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12750" tabRatio="954" firstSheet="1" activeTab="1"/>
  </bookViews>
  <sheets>
    <sheet name="Copyright" sheetId="105" r:id="rId1"/>
    <sheet name="Notes" sheetId="38" r:id="rId2"/>
    <sheet name="SqMiles" sheetId="93" state="hidden" r:id="rId3"/>
    <sheet name="Assumptions" sheetId="142" r:id="rId4"/>
    <sheet name="Weights" sheetId="247" r:id="rId5"/>
    <sheet name="Data Entry - SOF" sheetId="1" r:id="rId6"/>
    <sheet name="Data0809" sheetId="120" state="hidden" r:id="rId7"/>
    <sheet name="Data0910" sheetId="159" state="hidden" r:id="rId8"/>
    <sheet name="Calc Data1" sheetId="77" state="hidden" r:id="rId9"/>
    <sheet name="Calc Data" sheetId="9" state="hidden" r:id="rId10"/>
    <sheet name="new CEI" sheetId="78" state="hidden" r:id="rId11"/>
    <sheet name="Calc Data-SB1" sheetId="167" state="hidden" r:id="rId12"/>
    <sheet name="Ch41 Calc Data" sheetId="74" state="hidden" r:id="rId13"/>
    <sheet name="EDA2" sheetId="3" state="hidden" r:id="rId14"/>
    <sheet name="0506Data" sheetId="112" state="hidden" r:id="rId15"/>
    <sheet name="TaxRates" sheetId="148" state="hidden" r:id="rId16"/>
    <sheet name="GrossRecap" sheetId="73" state="hidden" r:id="rId17"/>
    <sheet name="IFA2" sheetId="50" state="hidden" r:id="rId18"/>
    <sheet name="SOF1617-HB3646" sheetId="348" state="hidden" r:id="rId19"/>
    <sheet name="SOF1718-HB3646" sheetId="398" state="hidden" r:id="rId20"/>
    <sheet name="SOF1819-HB3646" sheetId="400" state="hidden" r:id="rId21"/>
    <sheet name="DE1" sheetId="49" state="hidden" r:id="rId22"/>
    <sheet name="IFA_Limits" sheetId="391" r:id="rId23"/>
    <sheet name="IFA Data" sheetId="245" state="hidden" r:id="rId24"/>
    <sheet name="IFA" sheetId="60" state="hidden" r:id="rId25"/>
    <sheet name="Existing Debt" sheetId="2" state="hidden" r:id="rId26"/>
    <sheet name="Calc Data-15K" sheetId="393" state="hidden" r:id="rId27"/>
    <sheet name="Option Costs-15K-ASATR" sheetId="389" state="hidden" r:id="rId28"/>
    <sheet name="Option Costs-15K" sheetId="352" state="hidden" r:id="rId29"/>
    <sheet name="ASATR-SB1" sheetId="184" state="hidden" r:id="rId30"/>
    <sheet name="Option Costs-ASATR" sheetId="388" state="hidden" r:id="rId31"/>
    <sheet name="Option Costs-HB3646" sheetId="168" state="hidden" r:id="rId32"/>
    <sheet name="FracFunding1617" sheetId="350" r:id="rId33"/>
    <sheet name="FracFunding161715K" sheetId="357" state="hidden" r:id="rId34"/>
    <sheet name="Report-SOF1617-15K" sheetId="358" state="hidden" r:id="rId35"/>
    <sheet name="SOF1617-SB1" sheetId="268" state="hidden" r:id="rId36"/>
    <sheet name="Report-SOF1617" sheetId="267" r:id="rId37"/>
    <sheet name="HH1617-Calcs" sheetId="356" r:id="rId38"/>
    <sheet name="FracFunding1718" sheetId="359" r:id="rId39"/>
    <sheet name="Report-SOF1718" sheetId="281" r:id="rId40"/>
    <sheet name="SOF1718-SB1" sheetId="280" state="hidden" r:id="rId41"/>
    <sheet name="HH1718-Calcs" sheetId="360" r:id="rId42"/>
    <sheet name="FracFunding1819" sheetId="364" r:id="rId43"/>
    <sheet name="SOF1819-SB1" sheetId="302" state="hidden" r:id="rId44"/>
    <sheet name="Report-SOF1819" sheetId="301" r:id="rId45"/>
    <sheet name="HH1819-Calcs" sheetId="361" r:id="rId46"/>
    <sheet name="Comparisons" sheetId="173" r:id="rId47"/>
    <sheet name="Data - Notice1819" sheetId="108" state="hidden" r:id="rId48"/>
    <sheet name="Notice Calc1819" sheetId="109" state="hidden" r:id="rId49"/>
    <sheet name="EffectiveM&amp;ORate1819" sheetId="106" r:id="rId50"/>
    <sheet name="Notice1819" sheetId="107" r:id="rId51"/>
    <sheet name="FracFunding1920" sheetId="368" r:id="rId52"/>
    <sheet name="Report-SOF1920" sheetId="316" r:id="rId53"/>
    <sheet name="SOF1920-SB1" sheetId="315" state="hidden" r:id="rId54"/>
    <sheet name="HH1920-Calcs" sheetId="363" r:id="rId55"/>
    <sheet name="FracFunding2021" sheetId="384" r:id="rId56"/>
    <sheet name="SOF2021-SB1" sheetId="369" state="hidden" r:id="rId57"/>
    <sheet name="Report-SOF2021" sheetId="371" r:id="rId58"/>
    <sheet name="HH2021-Calcs" sheetId="372" r:id="rId59"/>
    <sheet name="FracFunding2122" sheetId="407" r:id="rId60"/>
    <sheet name="Report-SOF2122" sheetId="408" r:id="rId61"/>
    <sheet name="SOF2122-SB1" sheetId="410" state="hidden" r:id="rId62"/>
    <sheet name="HH2122-Calcs" sheetId="409" r:id="rId63"/>
    <sheet name="FracFunding2223" sheetId="426" r:id="rId64"/>
    <sheet name="Report-SOF2223" sheetId="424" r:id="rId65"/>
    <sheet name="SOF2223-SB1" sheetId="422" state="hidden" r:id="rId66"/>
    <sheet name="HH2223-Calcs" sheetId="423" r:id="rId67"/>
    <sheet name="Report-SOF-AllYears" sheetId="248" r:id="rId68"/>
    <sheet name="Report-Calculations" sheetId="227" r:id="rId69"/>
    <sheet name="Report-Recapture1617" sheetId="269" r:id="rId70"/>
    <sheet name="Report-Recapture1718" sheetId="291" r:id="rId71"/>
    <sheet name="Report-Recapture1819" sheetId="303" r:id="rId72"/>
    <sheet name="Report-Recapture1920" sheetId="327" r:id="rId73"/>
    <sheet name="GraphData" sheetId="176" state="hidden" r:id="rId74"/>
    <sheet name="Report-Recapture2021" sheetId="383" r:id="rId75"/>
    <sheet name="Graph-SB1" sheetId="188" state="hidden" r:id="rId76"/>
    <sheet name="Report-Recapture2122" sheetId="411" r:id="rId77"/>
    <sheet name="Report-Recapture2223" sheetId="425" r:id="rId78"/>
    <sheet name="Sheet5" sheetId="236" r:id="rId79"/>
    <sheet name="Sheet4" sheetId="235" r:id="rId80"/>
    <sheet name="Sheet3" sheetId="234" r:id="rId81"/>
    <sheet name="Sheet7" sheetId="238" r:id="rId82"/>
    <sheet name="Sheet6" sheetId="237" r:id="rId83"/>
    <sheet name="Sheet9" sheetId="240" r:id="rId84"/>
    <sheet name="Sheet8" sheetId="239" r:id="rId85"/>
    <sheet name="Sheet2" sheetId="233" r:id="rId86"/>
    <sheet name="Graphs" sheetId="177" state="hidden" r:id="rId87"/>
    <sheet name="Option Costs" sheetId="91" state="hidden" r:id="rId88"/>
    <sheet name="staff-ada" sheetId="70" state="hidden" r:id="rId89"/>
    <sheet name="Sheet1" sheetId="181" state="hidden" r:id="rId90"/>
    <sheet name="final0809" sheetId="182" state="hidden" r:id="rId91"/>
    <sheet name="Report-SpEd1617" sheetId="270" r:id="rId92"/>
    <sheet name="Report-M&amp;O1617" sheetId="271" r:id="rId93"/>
    <sheet name="Report-AA1617" sheetId="272" r:id="rId94"/>
    <sheet name="Report-T1Detail1617" sheetId="273" r:id="rId95"/>
    <sheet name="Report-T2Detail1617" sheetId="274" r:id="rId96"/>
    <sheet name="Report-ASATR1617" sheetId="275" r:id="rId97"/>
    <sheet name="Report-Other1617" sheetId="276" r:id="rId98"/>
    <sheet name="Report-EDA1617" sheetId="277" r:id="rId99"/>
    <sheet name="Report-IFA1617" sheetId="278" r:id="rId100"/>
    <sheet name="Report-FSF1617" sheetId="279" r:id="rId101"/>
    <sheet name="Report-SpEd1718" sheetId="282" r:id="rId102"/>
    <sheet name="Report-M&amp;O1718" sheetId="283" r:id="rId103"/>
    <sheet name="Report-AA1718" sheetId="284" r:id="rId104"/>
    <sheet name="Report-T1Detail1718" sheetId="285" r:id="rId105"/>
    <sheet name="Report-T2Detail1718" sheetId="286" r:id="rId106"/>
    <sheet name="Report-ASATR1718" sheetId="313" r:id="rId107"/>
    <sheet name="Report-Other1718" sheetId="287" r:id="rId108"/>
    <sheet name="Report-EDA1718" sheetId="288" r:id="rId109"/>
    <sheet name="Report-IFA1718" sheetId="289" r:id="rId110"/>
    <sheet name="Report-FSF1718" sheetId="290" r:id="rId111"/>
    <sheet name="Report-SpEd1819" sheetId="304" r:id="rId112"/>
    <sheet name="Report-M&amp;O1819" sheetId="305" r:id="rId113"/>
    <sheet name="Report-AA1819" sheetId="306" r:id="rId114"/>
    <sheet name="Report-T1Detail1819" sheetId="307" r:id="rId115"/>
    <sheet name="Report-T2Detail1819" sheetId="308" r:id="rId116"/>
    <sheet name="Report-ASATR1819" sheetId="314" r:id="rId117"/>
    <sheet name="Report-Other1819" sheetId="309" r:id="rId118"/>
    <sheet name="Report-EDA1819" sheetId="310" r:id="rId119"/>
    <sheet name="Report-IFA1819" sheetId="311" r:id="rId120"/>
    <sheet name="Report-FSF1819" sheetId="312" r:id="rId121"/>
    <sheet name="InputData" sheetId="297" state="hidden" r:id="rId122"/>
    <sheet name="Report-SpEd1920" sheetId="317" r:id="rId123"/>
    <sheet name="Report-M&amp;O1920" sheetId="318" r:id="rId124"/>
    <sheet name="Report-AA1920" sheetId="319" r:id="rId125"/>
    <sheet name="Report-T1Detail1920" sheetId="320" r:id="rId126"/>
    <sheet name="Report-T2Detail1920" sheetId="321" r:id="rId127"/>
    <sheet name="Report-ASATR1920" sheetId="322" r:id="rId128"/>
    <sheet name="Report-Other1920" sheetId="323" r:id="rId129"/>
    <sheet name="Report-EDA1920" sheetId="324" r:id="rId130"/>
    <sheet name="Report-IFA1920" sheetId="325" r:id="rId131"/>
    <sheet name="Report-FSF1920" sheetId="326" r:id="rId132"/>
    <sheet name="Concatenate" sheetId="298" state="hidden" r:id="rId133"/>
    <sheet name="Report-SpEd2021" sheetId="375" r:id="rId134"/>
    <sheet name="Report-M&amp;O2021" sheetId="376" r:id="rId135"/>
    <sheet name="Report-AA2021" sheetId="377" r:id="rId136"/>
    <sheet name="Report-T1Detail2021" sheetId="378" r:id="rId137"/>
    <sheet name="Report-T2Detail2021" sheetId="379" r:id="rId138"/>
    <sheet name="Report-ASATR2021" sheetId="380" r:id="rId139"/>
    <sheet name="Report-Other2021" sheetId="381" r:id="rId140"/>
    <sheet name="Report-EDA2021" sheetId="373" r:id="rId141"/>
    <sheet name="Report-IFA2021" sheetId="374" r:id="rId142"/>
    <sheet name="Report-FSF2021" sheetId="382" r:id="rId143"/>
    <sheet name="Report-SpEd2122" sheetId="412" r:id="rId144"/>
    <sheet name="Report-M&amp;O2122" sheetId="413" r:id="rId145"/>
    <sheet name="Report-AA2122" sheetId="414" r:id="rId146"/>
    <sheet name="Report-T1Detail2122" sheetId="415" r:id="rId147"/>
    <sheet name="Report-T2Detail2122" sheetId="416" r:id="rId148"/>
    <sheet name="Report-ASATR2122" sheetId="417" r:id="rId149"/>
    <sheet name="Report-Other2122" sheetId="418" r:id="rId150"/>
    <sheet name="Report-EDA2122" sheetId="419" r:id="rId151"/>
    <sheet name="Report-IFA2122" sheetId="421" r:id="rId152"/>
    <sheet name="Report-FSF2122" sheetId="420" r:id="rId153"/>
    <sheet name="Report-SpEd2223" sheetId="427" r:id="rId154"/>
    <sheet name="Report-M&amp;O2223" sheetId="428" r:id="rId155"/>
    <sheet name="Report-AA2223" sheetId="429" r:id="rId156"/>
    <sheet name="Report-T1Detail2223" sheetId="430" r:id="rId157"/>
    <sheet name="Report-T2Detail2223" sheetId="431" r:id="rId158"/>
    <sheet name="Report-ASATR2223" sheetId="432" r:id="rId159"/>
    <sheet name="Report-Other2223" sheetId="433" r:id="rId160"/>
    <sheet name="Report-EDA2223" sheetId="434" r:id="rId161"/>
    <sheet name="Report-IFA2223" sheetId="435" r:id="rId162"/>
    <sheet name="Report-FSF2223" sheetId="436" r:id="rId163"/>
    <sheet name="UnequalizedTaxes" sheetId="366" state="hidden" r:id="rId164"/>
    <sheet name="HardshipGrant" sheetId="406" state="hidden" r:id="rId165"/>
    <sheet name="Values-15K" sheetId="365" state="hidden" r:id="rId166"/>
    <sheet name="Values-25K" sheetId="367" state="hidden" r:id="rId167"/>
    <sheet name="Data1415" sheetId="394" state="hidden" r:id="rId168"/>
    <sheet name="IFAData_TEA" sheetId="390" state="hidden" r:id="rId169"/>
    <sheet name="HH_Debt1516" sheetId="392" state="hidden" r:id="rId170"/>
    <sheet name="HH_debt1617" sheetId="395" state="hidden" r:id="rId171"/>
    <sheet name="IFAData_TEA_1617" sheetId="405" state="hidden" r:id="rId172"/>
    <sheet name="TaxYr2015Values" sheetId="399" state="hidden" r:id="rId173"/>
    <sheet name="TaxYr2016ValuesFinal" sheetId="402" state="hidden" r:id="rId174"/>
    <sheet name="Data1516" sheetId="404" state="hidden" r:id="rId175"/>
    <sheet name="DeclineAdj" sheetId="403" state="hidden" r:id="rId176"/>
    <sheet name="Prelim_2017_Values" sheetId="437" state="hidden" r:id="rId177"/>
  </sheets>
  <definedNames>
    <definedName name="_xlnm.Print_Area" localSheetId="29">'ASATR-SB1'!$A$1:$D$47</definedName>
    <definedName name="_xlnm.Print_Area" localSheetId="3">Assumptions!$A$1:$L$84</definedName>
    <definedName name="_xlnm.Print_Area" localSheetId="9">'Calc Data'!$A$1:$I$114</definedName>
    <definedName name="_xlnm.Print_Area" localSheetId="26" xml:space="preserve"> 'Calc Data-15K'!$A$1:$I$45</definedName>
    <definedName name="_xlnm.Print_Area" localSheetId="11" xml:space="preserve"> 'Calc Data-SB1'!$A$1:$J$45</definedName>
    <definedName name="_xlnm.Print_Area" localSheetId="12">'Ch41 Calc Data'!$A$1:$E$10</definedName>
    <definedName name="_xlnm.Print_Area" localSheetId="47">'Data - Notice1819'!$A$1:$C$49</definedName>
    <definedName name="_xlnm.Print_Area" localSheetId="5">'Data Entry - SOF'!$A$1:$C$151</definedName>
    <definedName name="_xlnm.Print_Area" localSheetId="13">'EDA2'!$A$5:$H$58</definedName>
    <definedName name="_xlnm.Print_Area" localSheetId="49">'EffectiveM&amp;ORate1819'!$A$1:$F$140</definedName>
    <definedName name="_xlnm.Print_Area" localSheetId="25">'Existing Debt'!$A$1:$F$175</definedName>
    <definedName name="_xlnm.Print_Area" localSheetId="16">GrossRecap!$A$1:$M$45</definedName>
    <definedName name="_xlnm.Print_Area" localSheetId="24">IFA!$A$1:$G$91</definedName>
    <definedName name="_xlnm.Print_Area" localSheetId="1" xml:space="preserve">  Notes!$A$1:$A$11</definedName>
    <definedName name="_xlnm.Print_Area" localSheetId="50">Notice1819!$A$1:$K$28</definedName>
    <definedName name="_xlnm.Print_Area" localSheetId="87">'Option Costs'!$A$1:$AX$63</definedName>
    <definedName name="_xlnm.Print_Area" localSheetId="28">'Option Costs-15K'!$A$1:$B$58</definedName>
    <definedName name="_xlnm.Print_Area" localSheetId="27">'Option Costs-15K-ASATR'!$A$1:$B$58</definedName>
    <definedName name="_xlnm.Print_Area" localSheetId="30">'Option Costs-ASATR'!$A$1:$B$58</definedName>
    <definedName name="_xlnm.Print_Area" localSheetId="31">'Option Costs-HB3646'!$A$1:$B$58</definedName>
    <definedName name="_xlnm.Print_Area" localSheetId="93">'Report-AA1617'!$A$1:$D$21</definedName>
    <definedName name="_xlnm.Print_Area" localSheetId="103">'Report-AA1718'!$A$1:$D$21</definedName>
    <definedName name="_xlnm.Print_Area" localSheetId="96">'Report-ASATR1617'!$A$1:$C$34</definedName>
    <definedName name="_xlnm.Print_Area" localSheetId="68">'Report-Calculations'!$A$1:$C$44</definedName>
    <definedName name="_xlnm.Print_Area" localSheetId="98">'Report-EDA1617'!$A$1:$D$31</definedName>
    <definedName name="_xlnm.Print_Area" localSheetId="108">'Report-EDA1718'!$A$1:$D$31</definedName>
    <definedName name="_xlnm.Print_Area" localSheetId="99">'Report-IFA1617'!$A$1:$E$36</definedName>
    <definedName name="_xlnm.Print_Area" localSheetId="109">'Report-IFA1718'!$A$1:$E$36</definedName>
    <definedName name="_xlnm.Print_Area" localSheetId="92">'Report-M&amp;O1617'!$A$1:$C$24</definedName>
    <definedName name="_xlnm.Print_Area" localSheetId="102">'Report-M&amp;O1718'!$A$1:$C$24</definedName>
    <definedName name="_xlnm.Print_Area" localSheetId="97">'Report-Other1617'!$A$1:$D$32</definedName>
    <definedName name="_xlnm.Print_Area" localSheetId="107">'Report-Other1718'!$A$1:$D$32</definedName>
    <definedName name="_xlnm.Print_Area" localSheetId="69">'Report-Recapture1617'!$A$1:$E$154</definedName>
    <definedName name="_xlnm.Print_Area" localSheetId="70">'Report-Recapture1718'!$A$1:$E$154</definedName>
    <definedName name="_xlnm.Print_Area" localSheetId="36">'Report-SOF1617'!$A$1:$D$96</definedName>
    <definedName name="_xlnm.Print_Area" localSheetId="34">'Report-SOF1617-15K'!$A$1:$D$95</definedName>
    <definedName name="_xlnm.Print_Area" localSheetId="39">'Report-SOF1718'!$A$1:$D$94</definedName>
    <definedName name="_xlnm.Print_Area" localSheetId="67">'Report-SOF-AllYears'!$A$1:$D$96</definedName>
    <definedName name="_xlnm.Print_Area" localSheetId="91">'Report-SpEd1617'!$A$1:$E$28</definedName>
    <definedName name="_xlnm.Print_Area" localSheetId="101">'Report-SpEd1718'!$A$1:$E$28</definedName>
    <definedName name="_xlnm.Print_Area" localSheetId="94">'Report-T1Detail1617'!$A$1:$D$45</definedName>
    <definedName name="_xlnm.Print_Area" localSheetId="104">'Report-T1Detail1718'!$A$1:$D$43</definedName>
    <definedName name="_xlnm.Print_Area" localSheetId="95">'Report-T2Detail1617'!$B$1:$D$25</definedName>
    <definedName name="_xlnm.Print_Area" localSheetId="105">'Report-T2Detail1718'!$B$1:$D$25</definedName>
    <definedName name="_xlnm.Print_Area" localSheetId="35">'SOF1617-SB1'!$A$1:$F$122</definedName>
    <definedName name="_xlnm.Print_Area" localSheetId="40">'SOF1718-SB1'!$A$1:$F$120</definedName>
    <definedName name="_xlnm.Print_Area" localSheetId="4">Weights!$A$1:$O$54</definedName>
    <definedName name="_xlnm.Print_Titles" localSheetId="25">'Existing Debt'!$1:$3</definedName>
    <definedName name="_xlnm.Print_Titles" localSheetId="16">GrossRecap!$1:$2</definedName>
    <definedName name="_xlnm.Print_Titles" localSheetId="24">IFA!$1:$3</definedName>
    <definedName name="_xlnm.Print_Titles" localSheetId="87">'Option Costs'!$A:$B</definedName>
    <definedName name="_xlnm.Print_Titles" localSheetId="28">'Option Costs-15K'!$A:$B</definedName>
    <definedName name="_xlnm.Print_Titles" localSheetId="27">'Option Costs-15K-ASATR'!$A:$B</definedName>
    <definedName name="_xlnm.Print_Titles" localSheetId="30">'Option Costs-ASATR'!$A:$B</definedName>
    <definedName name="_xlnm.Print_Titles" localSheetId="31">'Option Costs-HB3646'!$A:$B</definedName>
    <definedName name="_xlnm.Print_Titles" localSheetId="35">'SOF1617-SB1'!$1:$5</definedName>
    <definedName name="_xlnm.Print_Titles" localSheetId="40">'SOF1718-SB1'!$1:$5</definedName>
  </definedNames>
  <calcPr calcId="162913"/>
  <fileRecoveryPr autoRecover="0"/>
</workbook>
</file>

<file path=xl/calcChain.xml><?xml version="1.0" encoding="utf-8"?>
<calcChain xmlns="http://schemas.openxmlformats.org/spreadsheetml/2006/main">
  <c r="C1020" i="437" l="1"/>
  <c r="EF114" i="168" l="1"/>
  <c r="EB114" i="168"/>
  <c r="DX114" i="168"/>
  <c r="DT114" i="168"/>
  <c r="DP114" i="168"/>
  <c r="DL114" i="168"/>
  <c r="DH114" i="168"/>
  <c r="DD114" i="168"/>
  <c r="D3" i="267" l="1"/>
  <c r="AA1021" i="366" l="1"/>
  <c r="AA1020" i="366"/>
  <c r="AA1019" i="366"/>
  <c r="AA1018" i="366"/>
  <c r="AA1017" i="366"/>
  <c r="AA1016" i="366"/>
  <c r="AA1015" i="366"/>
  <c r="AA1014" i="366"/>
  <c r="AA1013" i="366"/>
  <c r="AA1012" i="366"/>
  <c r="AA1011" i="366"/>
  <c r="AA1010" i="366"/>
  <c r="AA1009" i="366"/>
  <c r="AA1008" i="366"/>
  <c r="AA1007" i="366"/>
  <c r="AA1006" i="366"/>
  <c r="AA1005" i="366"/>
  <c r="AA1004" i="366"/>
  <c r="AA1003" i="366"/>
  <c r="AA1002" i="366"/>
  <c r="AA1001" i="366"/>
  <c r="AA1000" i="366"/>
  <c r="AA999" i="366"/>
  <c r="AA998" i="366"/>
  <c r="AA997" i="366"/>
  <c r="AA996" i="366"/>
  <c r="AA995" i="366"/>
  <c r="AA994" i="366"/>
  <c r="AA993" i="366"/>
  <c r="AA992" i="366"/>
  <c r="AA991" i="366"/>
  <c r="AA990" i="366"/>
  <c r="AA989" i="366"/>
  <c r="AA988" i="366"/>
  <c r="AA987" i="366"/>
  <c r="AA986" i="366"/>
  <c r="AA985" i="366"/>
  <c r="AA984" i="366"/>
  <c r="AA983" i="366"/>
  <c r="AA982" i="366"/>
  <c r="AA981" i="366"/>
  <c r="AA980" i="366"/>
  <c r="AA979" i="366"/>
  <c r="AA978" i="366"/>
  <c r="AA977" i="366"/>
  <c r="AA976" i="366"/>
  <c r="AA975" i="366"/>
  <c r="AA974" i="366"/>
  <c r="AA973" i="366"/>
  <c r="AA972" i="366"/>
  <c r="AA971" i="366"/>
  <c r="AA970" i="366"/>
  <c r="AA969" i="366"/>
  <c r="AA968" i="366"/>
  <c r="AA967" i="366"/>
  <c r="AA966" i="366"/>
  <c r="AA965" i="366"/>
  <c r="AA964" i="366"/>
  <c r="AA963" i="366"/>
  <c r="AA962" i="366"/>
  <c r="AA961" i="366"/>
  <c r="AA960" i="366"/>
  <c r="AA959" i="366"/>
  <c r="AA958" i="366"/>
  <c r="AA957" i="366"/>
  <c r="AA956" i="366"/>
  <c r="AA955" i="366"/>
  <c r="AA954" i="366"/>
  <c r="AA953" i="366"/>
  <c r="AA952" i="366"/>
  <c r="AA951" i="366"/>
  <c r="AA950" i="366"/>
  <c r="AA949" i="366"/>
  <c r="AA948" i="366"/>
  <c r="AA947" i="366"/>
  <c r="AA946" i="366"/>
  <c r="AA945" i="366"/>
  <c r="AA944" i="366"/>
  <c r="AA943" i="366"/>
  <c r="AA942" i="366"/>
  <c r="AA941" i="366"/>
  <c r="AA940" i="366"/>
  <c r="AA939" i="366"/>
  <c r="AA938" i="366"/>
  <c r="AA937" i="366"/>
  <c r="AA936" i="366"/>
  <c r="AA935" i="366"/>
  <c r="AA934" i="366"/>
  <c r="AA933" i="366"/>
  <c r="AA932" i="366"/>
  <c r="AA931" i="366"/>
  <c r="AA930" i="366"/>
  <c r="AA929" i="366"/>
  <c r="AA928" i="366"/>
  <c r="AA927" i="366"/>
  <c r="AA926" i="366"/>
  <c r="AA925" i="366"/>
  <c r="AA924" i="366"/>
  <c r="AA923" i="366"/>
  <c r="AA922" i="366"/>
  <c r="AA921" i="366"/>
  <c r="AA920" i="366"/>
  <c r="AA919" i="366"/>
  <c r="AA918" i="366"/>
  <c r="AA917" i="366"/>
  <c r="AA916" i="366"/>
  <c r="AA915" i="366"/>
  <c r="AA914" i="366"/>
  <c r="AA913" i="366"/>
  <c r="AA912" i="366"/>
  <c r="AA911" i="366"/>
  <c r="AA910" i="366"/>
  <c r="AA909" i="366"/>
  <c r="AA908" i="366"/>
  <c r="AA907" i="366"/>
  <c r="AA906" i="366"/>
  <c r="AA905" i="366"/>
  <c r="AA904" i="366"/>
  <c r="AA903" i="366"/>
  <c r="AA902" i="366"/>
  <c r="AA901" i="366"/>
  <c r="AA900" i="366"/>
  <c r="AA899" i="366"/>
  <c r="AA898" i="366"/>
  <c r="AA897" i="366"/>
  <c r="AA896" i="366"/>
  <c r="AA895" i="366"/>
  <c r="AA894" i="366"/>
  <c r="AA893" i="366"/>
  <c r="AA892" i="366"/>
  <c r="AA891" i="366"/>
  <c r="AA890" i="366"/>
  <c r="AA889" i="366"/>
  <c r="AA888" i="366"/>
  <c r="AA887" i="366"/>
  <c r="AA886" i="366"/>
  <c r="AA885" i="366"/>
  <c r="AA884" i="366"/>
  <c r="AA883" i="366"/>
  <c r="AA882" i="366"/>
  <c r="AA881" i="366"/>
  <c r="AA880" i="366"/>
  <c r="AA879" i="366"/>
  <c r="AA878" i="366"/>
  <c r="AA877" i="366"/>
  <c r="AA876" i="366"/>
  <c r="AA875" i="366"/>
  <c r="AA874" i="366"/>
  <c r="AA873" i="366"/>
  <c r="AA872" i="366"/>
  <c r="AA871" i="366"/>
  <c r="AA870" i="366"/>
  <c r="AA869" i="366"/>
  <c r="AA868" i="366"/>
  <c r="AA867" i="366"/>
  <c r="AA866" i="366"/>
  <c r="AA865" i="366"/>
  <c r="AA864" i="366"/>
  <c r="AA863" i="366"/>
  <c r="AA862" i="366"/>
  <c r="AA861" i="366"/>
  <c r="AA860" i="366"/>
  <c r="AA859" i="366"/>
  <c r="AA858" i="366"/>
  <c r="AA857" i="366"/>
  <c r="AA856" i="366"/>
  <c r="AA855" i="366"/>
  <c r="AA854" i="366"/>
  <c r="AA853" i="366"/>
  <c r="AA852" i="366"/>
  <c r="AA851" i="366"/>
  <c r="AA850" i="366"/>
  <c r="AA849" i="366"/>
  <c r="AA848" i="366"/>
  <c r="AA847" i="366"/>
  <c r="AA846" i="366"/>
  <c r="AA845" i="366"/>
  <c r="AA844" i="366"/>
  <c r="AA843" i="366"/>
  <c r="AA842" i="366"/>
  <c r="AA841" i="366"/>
  <c r="AA840" i="366"/>
  <c r="AA839" i="366"/>
  <c r="AA838" i="366"/>
  <c r="AA837" i="366"/>
  <c r="AA836" i="366"/>
  <c r="AA835" i="366"/>
  <c r="AA834" i="366"/>
  <c r="AA833" i="366"/>
  <c r="AA832" i="366"/>
  <c r="AA831" i="366"/>
  <c r="AA830" i="366"/>
  <c r="AA829" i="366"/>
  <c r="AA828" i="366"/>
  <c r="AA827" i="366"/>
  <c r="AA826" i="366"/>
  <c r="AA825" i="366"/>
  <c r="AA824" i="366"/>
  <c r="AA823" i="366"/>
  <c r="AA822" i="366"/>
  <c r="AA821" i="366"/>
  <c r="AA820" i="366"/>
  <c r="AA819" i="366"/>
  <c r="AA818" i="366"/>
  <c r="AA817" i="366"/>
  <c r="AA816" i="366"/>
  <c r="AA815" i="366"/>
  <c r="AA814" i="366"/>
  <c r="AA813" i="366"/>
  <c r="AA812" i="366"/>
  <c r="AA811" i="366"/>
  <c r="AA810" i="366"/>
  <c r="AA809" i="366"/>
  <c r="AA808" i="366"/>
  <c r="AA807" i="366"/>
  <c r="AA806" i="366"/>
  <c r="AA805" i="366"/>
  <c r="AA804" i="366"/>
  <c r="AA803" i="366"/>
  <c r="AA802" i="366"/>
  <c r="AA801" i="366"/>
  <c r="AA800" i="366"/>
  <c r="AA799" i="366"/>
  <c r="AA798" i="366"/>
  <c r="AA797" i="366"/>
  <c r="AA796" i="366"/>
  <c r="AA795" i="366"/>
  <c r="AA794" i="366"/>
  <c r="AA793" i="366"/>
  <c r="AA792" i="366"/>
  <c r="AA791" i="366"/>
  <c r="AA790" i="366"/>
  <c r="AA789" i="366"/>
  <c r="AA788" i="366"/>
  <c r="AA787" i="366"/>
  <c r="AA786" i="366"/>
  <c r="AA785" i="366"/>
  <c r="AA784" i="366"/>
  <c r="AA783" i="366"/>
  <c r="AA782" i="366"/>
  <c r="AA781" i="366"/>
  <c r="AA780" i="366"/>
  <c r="AA779" i="366"/>
  <c r="AA778" i="366"/>
  <c r="AA777" i="366"/>
  <c r="AA776" i="366"/>
  <c r="AA775" i="366"/>
  <c r="AA774" i="366"/>
  <c r="AA773" i="366"/>
  <c r="AA772" i="366"/>
  <c r="AA771" i="366"/>
  <c r="AA770" i="366"/>
  <c r="AA769" i="366"/>
  <c r="AA768" i="366"/>
  <c r="AA767" i="366"/>
  <c r="AA766" i="366"/>
  <c r="AA765" i="366"/>
  <c r="AA764" i="366"/>
  <c r="AA763" i="366"/>
  <c r="AA762" i="366"/>
  <c r="AA761" i="366"/>
  <c r="AA760" i="366"/>
  <c r="AA759" i="366"/>
  <c r="AA758" i="366"/>
  <c r="AA757" i="366"/>
  <c r="AA756" i="366"/>
  <c r="AA755" i="366"/>
  <c r="AA754" i="366"/>
  <c r="AA753" i="366"/>
  <c r="AA752" i="366"/>
  <c r="AA751" i="366"/>
  <c r="AA750" i="366"/>
  <c r="AA749" i="366"/>
  <c r="AA748" i="366"/>
  <c r="AA747" i="366"/>
  <c r="AA746" i="366"/>
  <c r="AA745" i="366"/>
  <c r="AA744" i="366"/>
  <c r="AA743" i="366"/>
  <c r="AA742" i="366"/>
  <c r="AA741" i="366"/>
  <c r="AA740" i="366"/>
  <c r="AA739" i="366"/>
  <c r="AA738" i="366"/>
  <c r="AA737" i="366"/>
  <c r="AA736" i="366"/>
  <c r="AA735" i="366"/>
  <c r="AA734" i="366"/>
  <c r="AA733" i="366"/>
  <c r="AA732" i="366"/>
  <c r="AA731" i="366"/>
  <c r="AA730" i="366"/>
  <c r="AA729" i="366"/>
  <c r="AA728" i="366"/>
  <c r="AA727" i="366"/>
  <c r="AA726" i="366"/>
  <c r="AA725" i="366"/>
  <c r="AA724" i="366"/>
  <c r="AA723" i="366"/>
  <c r="AA722" i="366"/>
  <c r="AA721" i="366"/>
  <c r="AA720" i="366"/>
  <c r="AA719" i="366"/>
  <c r="AA718" i="366"/>
  <c r="AA717" i="366"/>
  <c r="AA716" i="366"/>
  <c r="AA715" i="366"/>
  <c r="AA714" i="366"/>
  <c r="AA713" i="366"/>
  <c r="AA712" i="366"/>
  <c r="AA711" i="366"/>
  <c r="AA710" i="366"/>
  <c r="AA709" i="366"/>
  <c r="AA708" i="366"/>
  <c r="AA707" i="366"/>
  <c r="AA706" i="366"/>
  <c r="AA705" i="366"/>
  <c r="AA704" i="366"/>
  <c r="AA703" i="366"/>
  <c r="AA702" i="366"/>
  <c r="AA701" i="366"/>
  <c r="AA700" i="366"/>
  <c r="AA699" i="366"/>
  <c r="AA698" i="366"/>
  <c r="AA697" i="366"/>
  <c r="AA696" i="366"/>
  <c r="AA695" i="366"/>
  <c r="AA694" i="366"/>
  <c r="AA693" i="366"/>
  <c r="AA692" i="366"/>
  <c r="AA691" i="366"/>
  <c r="AA690" i="366"/>
  <c r="AA689" i="366"/>
  <c r="AA688" i="366"/>
  <c r="AA687" i="366"/>
  <c r="AA686" i="366"/>
  <c r="AA685" i="366"/>
  <c r="AA684" i="366"/>
  <c r="AA683" i="366"/>
  <c r="AA682" i="366"/>
  <c r="AA681" i="366"/>
  <c r="AA680" i="366"/>
  <c r="AA679" i="366"/>
  <c r="AA678" i="366"/>
  <c r="AA677" i="366"/>
  <c r="AA676" i="366"/>
  <c r="AA675" i="366"/>
  <c r="AA674" i="366"/>
  <c r="AA673" i="366"/>
  <c r="AA672" i="366"/>
  <c r="AA671" i="366"/>
  <c r="AA670" i="366"/>
  <c r="AA669" i="366"/>
  <c r="AA668" i="366"/>
  <c r="AA667" i="366"/>
  <c r="AA666" i="366"/>
  <c r="AA665" i="366"/>
  <c r="AA664" i="366"/>
  <c r="AA663" i="366"/>
  <c r="AA662" i="366"/>
  <c r="AA661" i="366"/>
  <c r="AA660" i="366"/>
  <c r="AA659" i="366"/>
  <c r="AA658" i="366"/>
  <c r="AA657" i="366"/>
  <c r="AA656" i="366"/>
  <c r="AA655" i="366"/>
  <c r="AA654" i="366"/>
  <c r="AA653" i="366"/>
  <c r="AA652" i="366"/>
  <c r="AA651" i="366"/>
  <c r="AA650" i="366"/>
  <c r="AA649" i="366"/>
  <c r="AA648" i="366"/>
  <c r="AA647" i="366"/>
  <c r="AA646" i="366"/>
  <c r="AA645" i="366"/>
  <c r="AA644" i="366"/>
  <c r="AA643" i="366"/>
  <c r="AA642" i="366"/>
  <c r="AA641" i="366"/>
  <c r="AA640" i="366"/>
  <c r="AA639" i="366"/>
  <c r="AA638" i="366"/>
  <c r="AA637" i="366"/>
  <c r="AA636" i="366"/>
  <c r="AA635" i="366"/>
  <c r="AA634" i="366"/>
  <c r="AA633" i="366"/>
  <c r="AA632" i="366"/>
  <c r="AA631" i="366"/>
  <c r="AA630" i="366"/>
  <c r="AA629" i="366"/>
  <c r="AA628" i="366"/>
  <c r="AA627" i="366"/>
  <c r="AA626" i="366"/>
  <c r="AA625" i="366"/>
  <c r="AA624" i="366"/>
  <c r="AA623" i="366"/>
  <c r="AA622" i="366"/>
  <c r="AA621" i="366"/>
  <c r="AA620" i="366"/>
  <c r="AA619" i="366"/>
  <c r="AA618" i="366"/>
  <c r="AA617" i="366"/>
  <c r="AA616" i="366"/>
  <c r="AA615" i="366"/>
  <c r="AA614" i="366"/>
  <c r="AA613" i="366"/>
  <c r="AA612" i="366"/>
  <c r="AA611" i="366"/>
  <c r="AA610" i="366"/>
  <c r="AA609" i="366"/>
  <c r="AA608" i="366"/>
  <c r="AA607" i="366"/>
  <c r="AA606" i="366"/>
  <c r="AA605" i="366"/>
  <c r="AA604" i="366"/>
  <c r="AA603" i="366"/>
  <c r="AA602" i="366"/>
  <c r="AA601" i="366"/>
  <c r="AA600" i="366"/>
  <c r="AA599" i="366"/>
  <c r="AA598" i="366"/>
  <c r="AA597" i="366"/>
  <c r="AA596" i="366"/>
  <c r="AA595" i="366"/>
  <c r="AA594" i="366"/>
  <c r="AA593" i="366"/>
  <c r="AA592" i="366"/>
  <c r="AA591" i="366"/>
  <c r="AA590" i="366"/>
  <c r="AA589" i="366"/>
  <c r="AA588" i="366"/>
  <c r="AA587" i="366"/>
  <c r="AA586" i="366"/>
  <c r="AA585" i="366"/>
  <c r="AA584" i="366"/>
  <c r="AA583" i="366"/>
  <c r="AA582" i="366"/>
  <c r="AA581" i="366"/>
  <c r="AA580" i="366"/>
  <c r="AA579" i="366"/>
  <c r="AA578" i="366"/>
  <c r="AA577" i="366"/>
  <c r="AA576" i="366"/>
  <c r="AA575" i="366"/>
  <c r="AA574" i="366"/>
  <c r="AA573" i="366"/>
  <c r="AA572" i="366"/>
  <c r="AA571" i="366"/>
  <c r="AA570" i="366"/>
  <c r="AA569" i="366"/>
  <c r="AA568" i="366"/>
  <c r="AA567" i="366"/>
  <c r="AA566" i="366"/>
  <c r="AA565" i="366"/>
  <c r="AA564" i="366"/>
  <c r="AA563" i="366"/>
  <c r="AA562" i="366"/>
  <c r="AA561" i="366"/>
  <c r="AA560" i="366"/>
  <c r="AA559" i="366"/>
  <c r="AA558" i="366"/>
  <c r="AA557" i="366"/>
  <c r="AA556" i="366"/>
  <c r="AA555" i="366"/>
  <c r="AA554" i="366"/>
  <c r="AA553" i="366"/>
  <c r="AA552" i="366"/>
  <c r="AA551" i="366"/>
  <c r="AA550" i="366"/>
  <c r="AA549" i="366"/>
  <c r="AA548" i="366"/>
  <c r="AA547" i="366"/>
  <c r="AA546" i="366"/>
  <c r="AA545" i="366"/>
  <c r="AA544" i="366"/>
  <c r="AA543" i="366"/>
  <c r="AA542" i="366"/>
  <c r="AA541" i="366"/>
  <c r="AA540" i="366"/>
  <c r="AA539" i="366"/>
  <c r="AA538" i="366"/>
  <c r="AA537" i="366"/>
  <c r="AA536" i="366"/>
  <c r="AA535" i="366"/>
  <c r="AA534" i="366"/>
  <c r="AA533" i="366"/>
  <c r="AA532" i="366"/>
  <c r="AA531" i="366"/>
  <c r="AA530" i="366"/>
  <c r="AA529" i="366"/>
  <c r="AA528" i="366"/>
  <c r="AA527" i="366"/>
  <c r="AA526" i="366"/>
  <c r="AA525" i="366"/>
  <c r="AA524" i="366"/>
  <c r="AA523" i="366"/>
  <c r="AA522" i="366"/>
  <c r="AA521" i="366"/>
  <c r="AA520" i="366"/>
  <c r="AA519" i="366"/>
  <c r="AA518" i="366"/>
  <c r="AA517" i="366"/>
  <c r="AA516" i="366"/>
  <c r="AA515" i="366"/>
  <c r="AA514" i="366"/>
  <c r="AA513" i="366"/>
  <c r="AA512" i="366"/>
  <c r="AA511" i="366"/>
  <c r="AA510" i="366"/>
  <c r="AA509" i="366"/>
  <c r="AA508" i="366"/>
  <c r="AA507" i="366"/>
  <c r="AA506" i="366"/>
  <c r="AA505" i="366"/>
  <c r="AA504" i="366"/>
  <c r="AA503" i="366"/>
  <c r="AA502" i="366"/>
  <c r="AA501" i="366"/>
  <c r="AA500" i="366"/>
  <c r="AA499" i="366"/>
  <c r="AA498" i="366"/>
  <c r="AA497" i="366"/>
  <c r="AA496" i="366"/>
  <c r="AA495" i="366"/>
  <c r="AA494" i="366"/>
  <c r="AA493" i="366"/>
  <c r="AA492" i="366"/>
  <c r="AA491" i="366"/>
  <c r="AA490" i="366"/>
  <c r="AA489" i="366"/>
  <c r="AA488" i="366"/>
  <c r="AA487" i="366"/>
  <c r="AA486" i="366"/>
  <c r="AA485" i="366"/>
  <c r="AA484" i="366"/>
  <c r="AA483" i="366"/>
  <c r="AA482" i="366"/>
  <c r="AA481" i="366"/>
  <c r="AA480" i="366"/>
  <c r="AA479" i="366"/>
  <c r="AA478" i="366"/>
  <c r="AA477" i="366"/>
  <c r="AA476" i="366"/>
  <c r="AA475" i="366"/>
  <c r="AA474" i="366"/>
  <c r="AA473" i="366"/>
  <c r="AA472" i="366"/>
  <c r="AA471" i="366"/>
  <c r="AA470" i="366"/>
  <c r="AA469" i="366"/>
  <c r="AA468" i="366"/>
  <c r="AA467" i="366"/>
  <c r="AA466" i="366"/>
  <c r="AA465" i="366"/>
  <c r="AA464" i="366"/>
  <c r="AA463" i="366"/>
  <c r="AA462" i="366"/>
  <c r="AA461" i="366"/>
  <c r="AA460" i="366"/>
  <c r="AA459" i="366"/>
  <c r="AA458" i="366"/>
  <c r="AA457" i="366"/>
  <c r="AA456" i="366"/>
  <c r="AA455" i="366"/>
  <c r="AA454" i="366"/>
  <c r="AA453" i="366"/>
  <c r="AA452" i="366"/>
  <c r="AA451" i="366"/>
  <c r="AA450" i="366"/>
  <c r="AA449" i="366"/>
  <c r="AA448" i="366"/>
  <c r="AA447" i="366"/>
  <c r="AA446" i="366"/>
  <c r="AA445" i="366"/>
  <c r="AA444" i="366"/>
  <c r="AA443" i="366"/>
  <c r="AA442" i="366"/>
  <c r="AA441" i="366"/>
  <c r="AA440" i="366"/>
  <c r="AA439" i="366"/>
  <c r="AA438" i="366"/>
  <c r="AA437" i="366"/>
  <c r="AA436" i="366"/>
  <c r="AA435" i="366"/>
  <c r="AA434" i="366"/>
  <c r="AA433" i="366"/>
  <c r="AA432" i="366"/>
  <c r="AA431" i="366"/>
  <c r="AA430" i="366"/>
  <c r="AA429" i="366"/>
  <c r="AA428" i="366"/>
  <c r="AA427" i="366"/>
  <c r="AA426" i="366"/>
  <c r="AA425" i="366"/>
  <c r="AA424" i="366"/>
  <c r="AA423" i="366"/>
  <c r="AA422" i="366"/>
  <c r="AA421" i="366"/>
  <c r="AA420" i="366"/>
  <c r="AA419" i="366"/>
  <c r="AA418" i="366"/>
  <c r="AA417" i="366"/>
  <c r="AA416" i="366"/>
  <c r="AA415" i="366"/>
  <c r="AA414" i="366"/>
  <c r="AA413" i="366"/>
  <c r="AA412" i="366"/>
  <c r="AA411" i="366"/>
  <c r="AA410" i="366"/>
  <c r="AA409" i="366"/>
  <c r="AA408" i="366"/>
  <c r="AA407" i="366"/>
  <c r="AA406" i="366"/>
  <c r="AA405" i="366"/>
  <c r="AA404" i="366"/>
  <c r="AA403" i="366"/>
  <c r="AA402" i="366"/>
  <c r="AA401" i="366"/>
  <c r="AA400" i="366"/>
  <c r="AA399" i="366"/>
  <c r="AA398" i="366"/>
  <c r="AA397" i="366"/>
  <c r="AA396" i="366"/>
  <c r="AA395" i="366"/>
  <c r="AA394" i="366"/>
  <c r="AA393" i="366"/>
  <c r="AA392" i="366"/>
  <c r="AA391" i="366"/>
  <c r="AA390" i="366"/>
  <c r="AA389" i="366"/>
  <c r="AA388" i="366"/>
  <c r="AA387" i="366"/>
  <c r="AA386" i="366"/>
  <c r="AA385" i="366"/>
  <c r="AA384" i="366"/>
  <c r="AA383" i="366"/>
  <c r="AA382" i="366"/>
  <c r="AA381" i="366"/>
  <c r="AA380" i="366"/>
  <c r="AA379" i="366"/>
  <c r="AA378" i="366"/>
  <c r="AA377" i="366"/>
  <c r="AA376" i="366"/>
  <c r="AA375" i="366"/>
  <c r="AA374" i="366"/>
  <c r="AA373" i="366"/>
  <c r="AA372" i="366"/>
  <c r="AA371" i="366"/>
  <c r="AA370" i="366"/>
  <c r="AA369" i="366"/>
  <c r="AA368" i="366"/>
  <c r="AA367" i="366"/>
  <c r="AA366" i="366"/>
  <c r="AA365" i="366"/>
  <c r="AA364" i="366"/>
  <c r="AA363" i="366"/>
  <c r="AA362" i="366"/>
  <c r="AA361" i="366"/>
  <c r="AA360" i="366"/>
  <c r="AA359" i="366"/>
  <c r="AA358" i="366"/>
  <c r="AA357" i="366"/>
  <c r="AA356" i="366"/>
  <c r="AA355" i="366"/>
  <c r="AA354" i="366"/>
  <c r="AA353" i="366"/>
  <c r="AA352" i="366"/>
  <c r="AA351" i="366"/>
  <c r="AA350" i="366"/>
  <c r="AA349" i="366"/>
  <c r="AA348" i="366"/>
  <c r="AA347" i="366"/>
  <c r="AA346" i="366"/>
  <c r="AA345" i="366"/>
  <c r="AA344" i="366"/>
  <c r="AA343" i="366"/>
  <c r="AA342" i="366"/>
  <c r="AA341" i="366"/>
  <c r="AA340" i="366"/>
  <c r="AA339" i="366"/>
  <c r="AA338" i="366"/>
  <c r="AA337" i="366"/>
  <c r="AA336" i="366"/>
  <c r="AA335" i="366"/>
  <c r="AA334" i="366"/>
  <c r="AA333" i="366"/>
  <c r="AA332" i="366"/>
  <c r="AA331" i="366"/>
  <c r="AA330" i="366"/>
  <c r="AA329" i="366"/>
  <c r="AA328" i="366"/>
  <c r="AA327" i="366"/>
  <c r="AA326" i="366"/>
  <c r="AA325" i="366"/>
  <c r="AA324" i="366"/>
  <c r="AA323" i="366"/>
  <c r="AA322" i="366"/>
  <c r="AA321" i="366"/>
  <c r="AA320" i="366"/>
  <c r="AA319" i="366"/>
  <c r="AA318" i="366"/>
  <c r="AA317" i="366"/>
  <c r="AA316" i="366"/>
  <c r="AA315" i="366"/>
  <c r="AA314" i="366"/>
  <c r="AA313" i="366"/>
  <c r="AA312" i="366"/>
  <c r="AA311" i="366"/>
  <c r="AA310" i="366"/>
  <c r="AA309" i="366"/>
  <c r="AA308" i="366"/>
  <c r="AA307" i="366"/>
  <c r="AA306" i="366"/>
  <c r="AA305" i="366"/>
  <c r="AA304" i="366"/>
  <c r="AA303" i="366"/>
  <c r="AA302" i="366"/>
  <c r="AA301" i="366"/>
  <c r="AA300" i="366"/>
  <c r="AA299" i="366"/>
  <c r="AA298" i="366"/>
  <c r="AA297" i="366"/>
  <c r="AA296" i="366"/>
  <c r="AA295" i="366"/>
  <c r="AA294" i="366"/>
  <c r="AA293" i="366"/>
  <c r="AA292" i="366"/>
  <c r="AA291" i="366"/>
  <c r="AA290" i="366"/>
  <c r="AA289" i="366"/>
  <c r="AA288" i="366"/>
  <c r="AA287" i="366"/>
  <c r="AA286" i="366"/>
  <c r="AA285" i="366"/>
  <c r="AA284" i="366"/>
  <c r="AA283" i="366"/>
  <c r="AA282" i="366"/>
  <c r="AA281" i="366"/>
  <c r="AA280" i="366"/>
  <c r="AA279" i="366"/>
  <c r="AA278" i="366"/>
  <c r="AA277" i="366"/>
  <c r="AA276" i="366"/>
  <c r="AA275" i="366"/>
  <c r="AA274" i="366"/>
  <c r="AA273" i="366"/>
  <c r="AA272" i="366"/>
  <c r="AA271" i="366"/>
  <c r="AA270" i="366"/>
  <c r="AA269" i="366"/>
  <c r="AA268" i="366"/>
  <c r="AA267" i="366"/>
  <c r="AA266" i="366"/>
  <c r="AA265" i="366"/>
  <c r="AA264" i="366"/>
  <c r="AA263" i="366"/>
  <c r="AA262" i="366"/>
  <c r="AA261" i="366"/>
  <c r="AA260" i="366"/>
  <c r="AA259" i="366"/>
  <c r="AA258" i="366"/>
  <c r="AA257" i="366"/>
  <c r="AA256" i="366"/>
  <c r="AA255" i="366"/>
  <c r="AA254" i="366"/>
  <c r="AA253" i="366"/>
  <c r="AA252" i="366"/>
  <c r="AA251" i="366"/>
  <c r="AA250" i="366"/>
  <c r="AA249" i="366"/>
  <c r="AA248" i="366"/>
  <c r="AA247" i="366"/>
  <c r="AA246" i="366"/>
  <c r="AA245" i="366"/>
  <c r="AA244" i="366"/>
  <c r="AA243" i="366"/>
  <c r="AA242" i="366"/>
  <c r="AA241" i="366"/>
  <c r="AA240" i="366"/>
  <c r="AA239" i="366"/>
  <c r="AA238" i="366"/>
  <c r="AA237" i="366"/>
  <c r="AA236" i="366"/>
  <c r="AA235" i="366"/>
  <c r="AA234" i="366"/>
  <c r="AA233" i="366"/>
  <c r="AA232" i="366"/>
  <c r="AA231" i="366"/>
  <c r="AA230" i="366"/>
  <c r="AA229" i="366"/>
  <c r="AA228" i="366"/>
  <c r="AA227" i="366"/>
  <c r="AA226" i="366"/>
  <c r="AA225" i="366"/>
  <c r="AA224" i="366"/>
  <c r="AA223" i="366"/>
  <c r="AA222" i="366"/>
  <c r="AA221" i="366"/>
  <c r="AA220" i="366"/>
  <c r="AA219" i="366"/>
  <c r="AA218" i="366"/>
  <c r="AA217" i="366"/>
  <c r="AA216" i="366"/>
  <c r="AA215" i="366"/>
  <c r="AA214" i="366"/>
  <c r="AA213" i="366"/>
  <c r="AA212" i="366"/>
  <c r="AA211" i="366"/>
  <c r="AA210" i="366"/>
  <c r="AA209" i="366"/>
  <c r="AA208" i="366"/>
  <c r="AA207" i="366"/>
  <c r="AA206" i="366"/>
  <c r="AA205" i="366"/>
  <c r="AA204" i="366"/>
  <c r="AA203" i="366"/>
  <c r="AA202" i="366"/>
  <c r="AA201" i="366"/>
  <c r="AA200" i="366"/>
  <c r="AA199" i="366"/>
  <c r="AA198" i="366"/>
  <c r="AA197" i="366"/>
  <c r="AA196" i="366"/>
  <c r="AA195" i="366"/>
  <c r="AA194" i="366"/>
  <c r="AA193" i="366"/>
  <c r="AA192" i="366"/>
  <c r="AA191" i="366"/>
  <c r="AA190" i="366"/>
  <c r="AA189" i="366"/>
  <c r="AA188" i="366"/>
  <c r="AA187" i="366"/>
  <c r="AA186" i="366"/>
  <c r="AA185" i="366"/>
  <c r="AA184" i="366"/>
  <c r="AA183" i="366"/>
  <c r="AA182" i="366"/>
  <c r="AA181" i="366"/>
  <c r="AA180" i="366"/>
  <c r="AA179" i="366"/>
  <c r="AA178" i="366"/>
  <c r="AA177" i="366"/>
  <c r="AA176" i="366"/>
  <c r="AA175" i="366"/>
  <c r="AA174" i="366"/>
  <c r="AA173" i="366"/>
  <c r="AA172" i="366"/>
  <c r="AA171" i="366"/>
  <c r="AA170" i="366"/>
  <c r="AA169" i="366"/>
  <c r="AA168" i="366"/>
  <c r="AA167" i="366"/>
  <c r="AA166" i="366"/>
  <c r="AA165" i="366"/>
  <c r="AA164" i="366"/>
  <c r="AA163" i="366"/>
  <c r="AA162" i="366"/>
  <c r="AA161" i="366"/>
  <c r="AA160" i="366"/>
  <c r="AA159" i="366"/>
  <c r="AA158" i="366"/>
  <c r="AA157" i="366"/>
  <c r="AA156" i="366"/>
  <c r="AA155" i="366"/>
  <c r="AA154" i="366"/>
  <c r="AA153" i="366"/>
  <c r="AA152" i="366"/>
  <c r="AA151" i="366"/>
  <c r="AA150" i="366"/>
  <c r="AA149" i="366"/>
  <c r="AA148" i="366"/>
  <c r="AA147" i="366"/>
  <c r="AA146" i="366"/>
  <c r="AA145" i="366"/>
  <c r="AA144" i="366"/>
  <c r="AA143" i="366"/>
  <c r="AA142" i="366"/>
  <c r="AA141" i="366"/>
  <c r="AA140" i="366"/>
  <c r="AA139" i="366"/>
  <c r="AA138" i="366"/>
  <c r="AA137" i="366"/>
  <c r="AA136" i="366"/>
  <c r="AA135" i="366"/>
  <c r="AA134" i="366"/>
  <c r="AA133" i="366"/>
  <c r="AA132" i="366"/>
  <c r="AA131" i="366"/>
  <c r="AA130" i="366"/>
  <c r="AA129" i="366"/>
  <c r="AA128" i="366"/>
  <c r="AA127" i="366"/>
  <c r="AA126" i="366"/>
  <c r="AA125" i="366"/>
  <c r="AA124" i="366"/>
  <c r="AA123" i="366"/>
  <c r="AA122" i="366"/>
  <c r="AA121" i="366"/>
  <c r="AA120" i="366"/>
  <c r="AA119" i="366"/>
  <c r="AA118" i="366"/>
  <c r="AA117" i="366"/>
  <c r="AA116" i="366"/>
  <c r="AA115" i="366"/>
  <c r="AA114" i="366"/>
  <c r="AA113" i="366"/>
  <c r="AA112" i="366"/>
  <c r="AA111" i="366"/>
  <c r="AA110" i="366"/>
  <c r="AA109" i="366"/>
  <c r="AA108" i="366"/>
  <c r="AA107" i="366"/>
  <c r="AA106" i="366"/>
  <c r="AA105" i="366"/>
  <c r="AA104" i="366"/>
  <c r="AA103" i="366"/>
  <c r="AA102" i="366"/>
  <c r="AA101" i="366"/>
  <c r="AA100" i="366"/>
  <c r="AA99" i="366"/>
  <c r="AA98" i="366"/>
  <c r="AA97" i="366"/>
  <c r="AA96" i="366"/>
  <c r="AA95" i="366"/>
  <c r="AA94" i="366"/>
  <c r="AA93" i="366"/>
  <c r="AA92" i="366"/>
  <c r="AA91" i="366"/>
  <c r="AA90" i="366"/>
  <c r="AA89" i="366"/>
  <c r="AA88" i="366"/>
  <c r="AA87" i="366"/>
  <c r="AA86" i="366"/>
  <c r="AA85" i="366"/>
  <c r="AA84" i="366"/>
  <c r="AA83" i="366"/>
  <c r="AA82" i="366"/>
  <c r="AA81" i="366"/>
  <c r="AA80" i="366"/>
  <c r="AA79" i="366"/>
  <c r="AA78" i="366"/>
  <c r="AA77" i="366"/>
  <c r="AA76" i="366"/>
  <c r="AA75" i="366"/>
  <c r="AA74" i="366"/>
  <c r="AA73" i="366"/>
  <c r="AA72" i="366"/>
  <c r="AA71" i="366"/>
  <c r="AA70" i="366"/>
  <c r="AA69" i="366"/>
  <c r="AA68" i="366"/>
  <c r="AA67" i="366"/>
  <c r="AA66" i="366"/>
  <c r="AA65" i="366"/>
  <c r="AA64" i="366"/>
  <c r="AA63" i="366"/>
  <c r="AA62" i="366"/>
  <c r="AA61" i="366"/>
  <c r="AA60" i="366"/>
  <c r="AA59" i="366"/>
  <c r="AA58" i="366"/>
  <c r="AA57" i="366"/>
  <c r="AA56" i="366"/>
  <c r="AA55" i="366"/>
  <c r="AA54" i="366"/>
  <c r="AA53" i="366"/>
  <c r="AA52" i="366"/>
  <c r="AA51" i="366"/>
  <c r="AA50" i="366"/>
  <c r="AA49" i="366"/>
  <c r="AA48" i="366"/>
  <c r="AA47" i="366"/>
  <c r="AA46" i="366"/>
  <c r="AA45" i="366"/>
  <c r="AA44" i="366"/>
  <c r="AA43" i="366"/>
  <c r="AA42" i="366"/>
  <c r="AA41" i="366"/>
  <c r="AA40" i="366"/>
  <c r="AA39" i="366"/>
  <c r="AA38" i="366"/>
  <c r="AA37" i="366"/>
  <c r="AA36" i="366"/>
  <c r="AA35" i="366"/>
  <c r="AA34" i="366"/>
  <c r="AA33" i="366"/>
  <c r="AA32" i="366"/>
  <c r="AA31" i="366"/>
  <c r="AA30" i="366"/>
  <c r="AA29" i="366"/>
  <c r="AA28" i="366"/>
  <c r="AA27" i="366"/>
  <c r="AA26" i="366"/>
  <c r="AA25" i="366"/>
  <c r="AA24" i="366"/>
  <c r="AA23" i="366"/>
  <c r="AA22" i="366"/>
  <c r="AA21" i="366"/>
  <c r="AA20" i="366"/>
  <c r="AA19" i="366"/>
  <c r="AA18" i="366"/>
  <c r="AA17" i="366"/>
  <c r="AA16" i="366"/>
  <c r="AA15" i="366"/>
  <c r="AA14" i="366"/>
  <c r="AA13" i="366"/>
  <c r="AA12" i="366"/>
  <c r="AA11" i="366"/>
  <c r="AA10" i="366"/>
  <c r="AA9" i="366"/>
  <c r="AA8" i="366"/>
  <c r="AA7" i="366"/>
  <c r="AA6" i="366"/>
  <c r="AA5" i="366"/>
  <c r="X1021" i="366"/>
  <c r="X1020" i="366"/>
  <c r="X1019" i="366"/>
  <c r="X1018" i="366"/>
  <c r="X1017" i="366"/>
  <c r="X1016" i="366"/>
  <c r="X1015" i="366"/>
  <c r="X1014" i="366"/>
  <c r="X1013" i="366"/>
  <c r="X1012" i="366"/>
  <c r="X1011" i="366"/>
  <c r="X1010" i="366"/>
  <c r="X1009" i="366"/>
  <c r="X1008" i="366"/>
  <c r="X1007" i="366"/>
  <c r="X1006" i="366"/>
  <c r="X1005" i="366"/>
  <c r="X1004" i="366"/>
  <c r="X1003" i="366"/>
  <c r="X1002" i="366"/>
  <c r="X1001" i="366"/>
  <c r="X1000" i="366"/>
  <c r="X999" i="366"/>
  <c r="X998" i="366"/>
  <c r="X997" i="366"/>
  <c r="X996" i="366"/>
  <c r="X995" i="366"/>
  <c r="X994" i="366"/>
  <c r="X993" i="366"/>
  <c r="X992" i="366"/>
  <c r="X991" i="366"/>
  <c r="X990" i="366"/>
  <c r="X989" i="366"/>
  <c r="X988" i="366"/>
  <c r="X987" i="366"/>
  <c r="X986" i="366"/>
  <c r="X985" i="366"/>
  <c r="X984" i="366"/>
  <c r="X983" i="366"/>
  <c r="X982" i="366"/>
  <c r="X981" i="366"/>
  <c r="X980" i="366"/>
  <c r="X979" i="366"/>
  <c r="X978" i="366"/>
  <c r="X977" i="366"/>
  <c r="X976" i="366"/>
  <c r="X975" i="366"/>
  <c r="X974" i="366"/>
  <c r="X973" i="366"/>
  <c r="X972" i="366"/>
  <c r="X971" i="366"/>
  <c r="X970" i="366"/>
  <c r="X969" i="366"/>
  <c r="X968" i="366"/>
  <c r="X967" i="366"/>
  <c r="X966" i="366"/>
  <c r="X965" i="366"/>
  <c r="X964" i="366"/>
  <c r="X963" i="366"/>
  <c r="X962" i="366"/>
  <c r="X961" i="366"/>
  <c r="X960" i="366"/>
  <c r="X959" i="366"/>
  <c r="X958" i="366"/>
  <c r="X957" i="366"/>
  <c r="X956" i="366"/>
  <c r="X955" i="366"/>
  <c r="X954" i="366"/>
  <c r="X953" i="366"/>
  <c r="X952" i="366"/>
  <c r="X951" i="366"/>
  <c r="X950" i="366"/>
  <c r="X949" i="366"/>
  <c r="X948" i="366"/>
  <c r="X947" i="366"/>
  <c r="X946" i="366"/>
  <c r="X945" i="366"/>
  <c r="X944" i="366"/>
  <c r="X943" i="366"/>
  <c r="X942" i="366"/>
  <c r="X941" i="366"/>
  <c r="X940" i="366"/>
  <c r="X939" i="366"/>
  <c r="X938" i="366"/>
  <c r="X937" i="366"/>
  <c r="X936" i="366"/>
  <c r="X935" i="366"/>
  <c r="X934" i="366"/>
  <c r="X933" i="366"/>
  <c r="X932" i="366"/>
  <c r="X931" i="366"/>
  <c r="X930" i="366"/>
  <c r="X929" i="366"/>
  <c r="X928" i="366"/>
  <c r="X927" i="366"/>
  <c r="X926" i="366"/>
  <c r="X925" i="366"/>
  <c r="X924" i="366"/>
  <c r="X923" i="366"/>
  <c r="X922" i="366"/>
  <c r="X921" i="366"/>
  <c r="X920" i="366"/>
  <c r="X919" i="366"/>
  <c r="X918" i="366"/>
  <c r="X917" i="366"/>
  <c r="X916" i="366"/>
  <c r="X915" i="366"/>
  <c r="X914" i="366"/>
  <c r="X913" i="366"/>
  <c r="X912" i="366"/>
  <c r="X911" i="366"/>
  <c r="X910" i="366"/>
  <c r="X909" i="366"/>
  <c r="X908" i="366"/>
  <c r="X907" i="366"/>
  <c r="X906" i="366"/>
  <c r="X905" i="366"/>
  <c r="X904" i="366"/>
  <c r="X903" i="366"/>
  <c r="X902" i="366"/>
  <c r="X901" i="366"/>
  <c r="X900" i="366"/>
  <c r="X899" i="366"/>
  <c r="X898" i="366"/>
  <c r="X897" i="366"/>
  <c r="X896" i="366"/>
  <c r="X895" i="366"/>
  <c r="X894" i="366"/>
  <c r="X893" i="366"/>
  <c r="X892" i="366"/>
  <c r="X891" i="366"/>
  <c r="X890" i="366"/>
  <c r="X889" i="366"/>
  <c r="X888" i="366"/>
  <c r="X887" i="366"/>
  <c r="X886" i="366"/>
  <c r="X885" i="366"/>
  <c r="X884" i="366"/>
  <c r="X883" i="366"/>
  <c r="X882" i="366"/>
  <c r="X881" i="366"/>
  <c r="X880" i="366"/>
  <c r="X879" i="366"/>
  <c r="X878" i="366"/>
  <c r="X877" i="366"/>
  <c r="X876" i="366"/>
  <c r="X875" i="366"/>
  <c r="X874" i="366"/>
  <c r="X873" i="366"/>
  <c r="X872" i="366"/>
  <c r="X871" i="366"/>
  <c r="X870" i="366"/>
  <c r="X869" i="366"/>
  <c r="X868" i="366"/>
  <c r="X867" i="366"/>
  <c r="X866" i="366"/>
  <c r="X865" i="366"/>
  <c r="X864" i="366"/>
  <c r="X863" i="366"/>
  <c r="X862" i="366"/>
  <c r="X861" i="366"/>
  <c r="X860" i="366"/>
  <c r="X859" i="366"/>
  <c r="X858" i="366"/>
  <c r="X857" i="366"/>
  <c r="X856" i="366"/>
  <c r="X855" i="366"/>
  <c r="X854" i="366"/>
  <c r="X853" i="366"/>
  <c r="X852" i="366"/>
  <c r="X851" i="366"/>
  <c r="X850" i="366"/>
  <c r="X849" i="366"/>
  <c r="X848" i="366"/>
  <c r="X847" i="366"/>
  <c r="X846" i="366"/>
  <c r="X845" i="366"/>
  <c r="X844" i="366"/>
  <c r="X843" i="366"/>
  <c r="X842" i="366"/>
  <c r="X841" i="366"/>
  <c r="X840" i="366"/>
  <c r="X839" i="366"/>
  <c r="X838" i="366"/>
  <c r="X837" i="366"/>
  <c r="X836" i="366"/>
  <c r="X835" i="366"/>
  <c r="X834" i="366"/>
  <c r="X833" i="366"/>
  <c r="X832" i="366"/>
  <c r="X831" i="366"/>
  <c r="X830" i="366"/>
  <c r="X829" i="366"/>
  <c r="X828" i="366"/>
  <c r="X827" i="366"/>
  <c r="X826" i="366"/>
  <c r="X825" i="366"/>
  <c r="X824" i="366"/>
  <c r="X823" i="366"/>
  <c r="X822" i="366"/>
  <c r="X821" i="366"/>
  <c r="X820" i="366"/>
  <c r="X819" i="366"/>
  <c r="X818" i="366"/>
  <c r="X817" i="366"/>
  <c r="X816" i="366"/>
  <c r="X815" i="366"/>
  <c r="X814" i="366"/>
  <c r="X813" i="366"/>
  <c r="X812" i="366"/>
  <c r="X811" i="366"/>
  <c r="X810" i="366"/>
  <c r="X809" i="366"/>
  <c r="X808" i="366"/>
  <c r="X807" i="366"/>
  <c r="X806" i="366"/>
  <c r="X805" i="366"/>
  <c r="X804" i="366"/>
  <c r="X803" i="366"/>
  <c r="X802" i="366"/>
  <c r="X801" i="366"/>
  <c r="X800" i="366"/>
  <c r="X799" i="366"/>
  <c r="X798" i="366"/>
  <c r="X797" i="366"/>
  <c r="X796" i="366"/>
  <c r="X795" i="366"/>
  <c r="X794" i="366"/>
  <c r="X793" i="366"/>
  <c r="X792" i="366"/>
  <c r="X791" i="366"/>
  <c r="X790" i="366"/>
  <c r="X789" i="366"/>
  <c r="X788" i="366"/>
  <c r="X787" i="366"/>
  <c r="X786" i="366"/>
  <c r="X785" i="366"/>
  <c r="X784" i="366"/>
  <c r="X783" i="366"/>
  <c r="X782" i="366"/>
  <c r="X781" i="366"/>
  <c r="X780" i="366"/>
  <c r="X779" i="366"/>
  <c r="X778" i="366"/>
  <c r="X777" i="366"/>
  <c r="X776" i="366"/>
  <c r="X775" i="366"/>
  <c r="X774" i="366"/>
  <c r="X773" i="366"/>
  <c r="X772" i="366"/>
  <c r="X771" i="366"/>
  <c r="X770" i="366"/>
  <c r="X769" i="366"/>
  <c r="X768" i="366"/>
  <c r="X767" i="366"/>
  <c r="X766" i="366"/>
  <c r="X765" i="366"/>
  <c r="X764" i="366"/>
  <c r="X763" i="366"/>
  <c r="X762" i="366"/>
  <c r="X761" i="366"/>
  <c r="X760" i="366"/>
  <c r="X759" i="366"/>
  <c r="X758" i="366"/>
  <c r="X757" i="366"/>
  <c r="X756" i="366"/>
  <c r="X755" i="366"/>
  <c r="X754" i="366"/>
  <c r="X753" i="366"/>
  <c r="X752" i="366"/>
  <c r="X751" i="366"/>
  <c r="X750" i="366"/>
  <c r="X749" i="366"/>
  <c r="X748" i="366"/>
  <c r="X747" i="366"/>
  <c r="X746" i="366"/>
  <c r="X745" i="366"/>
  <c r="X744" i="366"/>
  <c r="X743" i="366"/>
  <c r="X742" i="366"/>
  <c r="X741" i="366"/>
  <c r="X740" i="366"/>
  <c r="X739" i="366"/>
  <c r="X738" i="366"/>
  <c r="X737" i="366"/>
  <c r="X736" i="366"/>
  <c r="X735" i="366"/>
  <c r="X734" i="366"/>
  <c r="X733" i="366"/>
  <c r="X732" i="366"/>
  <c r="X731" i="366"/>
  <c r="X730" i="366"/>
  <c r="X729" i="366"/>
  <c r="X728" i="366"/>
  <c r="X727" i="366"/>
  <c r="X726" i="366"/>
  <c r="X725" i="366"/>
  <c r="X724" i="366"/>
  <c r="X723" i="366"/>
  <c r="X722" i="366"/>
  <c r="X721" i="366"/>
  <c r="X720" i="366"/>
  <c r="X719" i="366"/>
  <c r="X718" i="366"/>
  <c r="X717" i="366"/>
  <c r="X716" i="366"/>
  <c r="X715" i="366"/>
  <c r="X714" i="366"/>
  <c r="X713" i="366"/>
  <c r="X712" i="366"/>
  <c r="X711" i="366"/>
  <c r="X710" i="366"/>
  <c r="X709" i="366"/>
  <c r="X708" i="366"/>
  <c r="X707" i="366"/>
  <c r="X706" i="366"/>
  <c r="X705" i="366"/>
  <c r="X704" i="366"/>
  <c r="X703" i="366"/>
  <c r="X702" i="366"/>
  <c r="X701" i="366"/>
  <c r="X700" i="366"/>
  <c r="X699" i="366"/>
  <c r="X698" i="366"/>
  <c r="X697" i="366"/>
  <c r="X696" i="366"/>
  <c r="X695" i="366"/>
  <c r="X694" i="366"/>
  <c r="X693" i="366"/>
  <c r="X692" i="366"/>
  <c r="X691" i="366"/>
  <c r="X690" i="366"/>
  <c r="X689" i="366"/>
  <c r="X688" i="366"/>
  <c r="X687" i="366"/>
  <c r="X686" i="366"/>
  <c r="X685" i="366"/>
  <c r="X684" i="366"/>
  <c r="X683" i="366"/>
  <c r="X682" i="366"/>
  <c r="X681" i="366"/>
  <c r="X680" i="366"/>
  <c r="X679" i="366"/>
  <c r="X678" i="366"/>
  <c r="X677" i="366"/>
  <c r="X676" i="366"/>
  <c r="X675" i="366"/>
  <c r="X674" i="366"/>
  <c r="X673" i="366"/>
  <c r="X672" i="366"/>
  <c r="X671" i="366"/>
  <c r="X670" i="366"/>
  <c r="X669" i="366"/>
  <c r="X668" i="366"/>
  <c r="X667" i="366"/>
  <c r="X666" i="366"/>
  <c r="X665" i="366"/>
  <c r="X664" i="366"/>
  <c r="X663" i="366"/>
  <c r="X662" i="366"/>
  <c r="X661" i="366"/>
  <c r="X660" i="366"/>
  <c r="X659" i="366"/>
  <c r="X658" i="366"/>
  <c r="X657" i="366"/>
  <c r="X656" i="366"/>
  <c r="X655" i="366"/>
  <c r="X654" i="366"/>
  <c r="X653" i="366"/>
  <c r="X652" i="366"/>
  <c r="X651" i="366"/>
  <c r="X650" i="366"/>
  <c r="X649" i="366"/>
  <c r="X648" i="366"/>
  <c r="X647" i="366"/>
  <c r="X646" i="366"/>
  <c r="X645" i="366"/>
  <c r="X644" i="366"/>
  <c r="X643" i="366"/>
  <c r="X642" i="366"/>
  <c r="X641" i="366"/>
  <c r="X640" i="366"/>
  <c r="X639" i="366"/>
  <c r="X638" i="366"/>
  <c r="X637" i="366"/>
  <c r="X636" i="366"/>
  <c r="X635" i="366"/>
  <c r="X634" i="366"/>
  <c r="X633" i="366"/>
  <c r="X632" i="366"/>
  <c r="X631" i="366"/>
  <c r="X630" i="366"/>
  <c r="X629" i="366"/>
  <c r="X628" i="366"/>
  <c r="X627" i="366"/>
  <c r="X626" i="366"/>
  <c r="X625" i="366"/>
  <c r="X624" i="366"/>
  <c r="X623" i="366"/>
  <c r="X622" i="366"/>
  <c r="X621" i="366"/>
  <c r="X620" i="366"/>
  <c r="X619" i="366"/>
  <c r="X618" i="366"/>
  <c r="X617" i="366"/>
  <c r="X616" i="366"/>
  <c r="X615" i="366"/>
  <c r="X614" i="366"/>
  <c r="X613" i="366"/>
  <c r="X612" i="366"/>
  <c r="X611" i="366"/>
  <c r="X610" i="366"/>
  <c r="X609" i="366"/>
  <c r="X608" i="366"/>
  <c r="X607" i="366"/>
  <c r="X606" i="366"/>
  <c r="X605" i="366"/>
  <c r="X604" i="366"/>
  <c r="X603" i="366"/>
  <c r="X602" i="366"/>
  <c r="X601" i="366"/>
  <c r="X600" i="366"/>
  <c r="X599" i="366"/>
  <c r="X598" i="366"/>
  <c r="X597" i="366"/>
  <c r="X596" i="366"/>
  <c r="X595" i="366"/>
  <c r="X594" i="366"/>
  <c r="X593" i="366"/>
  <c r="X592" i="366"/>
  <c r="X591" i="366"/>
  <c r="X590" i="366"/>
  <c r="X589" i="366"/>
  <c r="X588" i="366"/>
  <c r="X587" i="366"/>
  <c r="X586" i="366"/>
  <c r="X585" i="366"/>
  <c r="X584" i="366"/>
  <c r="X583" i="366"/>
  <c r="X582" i="366"/>
  <c r="X581" i="366"/>
  <c r="X580" i="366"/>
  <c r="X579" i="366"/>
  <c r="X578" i="366"/>
  <c r="X577" i="366"/>
  <c r="X576" i="366"/>
  <c r="X575" i="366"/>
  <c r="X574" i="366"/>
  <c r="X573" i="366"/>
  <c r="X572" i="366"/>
  <c r="X571" i="366"/>
  <c r="X570" i="366"/>
  <c r="X569" i="366"/>
  <c r="X568" i="366"/>
  <c r="X567" i="366"/>
  <c r="X566" i="366"/>
  <c r="X565" i="366"/>
  <c r="X564" i="366"/>
  <c r="X563" i="366"/>
  <c r="X562" i="366"/>
  <c r="X561" i="366"/>
  <c r="X560" i="366"/>
  <c r="X559" i="366"/>
  <c r="X558" i="366"/>
  <c r="X557" i="366"/>
  <c r="X556" i="366"/>
  <c r="X555" i="366"/>
  <c r="X554" i="366"/>
  <c r="X553" i="366"/>
  <c r="X552" i="366"/>
  <c r="X551" i="366"/>
  <c r="X550" i="366"/>
  <c r="X549" i="366"/>
  <c r="X548" i="366"/>
  <c r="X547" i="366"/>
  <c r="X546" i="366"/>
  <c r="X545" i="366"/>
  <c r="X544" i="366"/>
  <c r="X543" i="366"/>
  <c r="X542" i="366"/>
  <c r="X541" i="366"/>
  <c r="X540" i="366"/>
  <c r="X539" i="366"/>
  <c r="X538" i="366"/>
  <c r="X537" i="366"/>
  <c r="X536" i="366"/>
  <c r="X535" i="366"/>
  <c r="X534" i="366"/>
  <c r="X533" i="366"/>
  <c r="X532" i="366"/>
  <c r="X531" i="366"/>
  <c r="X530" i="366"/>
  <c r="X529" i="366"/>
  <c r="X528" i="366"/>
  <c r="X527" i="366"/>
  <c r="X526" i="366"/>
  <c r="X525" i="366"/>
  <c r="X524" i="366"/>
  <c r="X523" i="366"/>
  <c r="X522" i="366"/>
  <c r="X521" i="366"/>
  <c r="X520" i="366"/>
  <c r="X519" i="366"/>
  <c r="X518" i="366"/>
  <c r="X517" i="366"/>
  <c r="X516" i="366"/>
  <c r="X515" i="366"/>
  <c r="X514" i="366"/>
  <c r="X513" i="366"/>
  <c r="X512" i="366"/>
  <c r="X511" i="366"/>
  <c r="X510" i="366"/>
  <c r="X509" i="366"/>
  <c r="X508" i="366"/>
  <c r="X507" i="366"/>
  <c r="X506" i="366"/>
  <c r="X505" i="366"/>
  <c r="X504" i="366"/>
  <c r="X503" i="366"/>
  <c r="X502" i="366"/>
  <c r="X501" i="366"/>
  <c r="X500" i="366"/>
  <c r="X499" i="366"/>
  <c r="X498" i="366"/>
  <c r="X497" i="366"/>
  <c r="X496" i="366"/>
  <c r="X495" i="366"/>
  <c r="X494" i="366"/>
  <c r="X493" i="366"/>
  <c r="X492" i="366"/>
  <c r="X491" i="366"/>
  <c r="X490" i="366"/>
  <c r="X489" i="366"/>
  <c r="X488" i="366"/>
  <c r="X487" i="366"/>
  <c r="X486" i="366"/>
  <c r="X485" i="366"/>
  <c r="X484" i="366"/>
  <c r="X483" i="366"/>
  <c r="X482" i="366"/>
  <c r="X481" i="366"/>
  <c r="X480" i="366"/>
  <c r="X479" i="366"/>
  <c r="X478" i="366"/>
  <c r="X477" i="366"/>
  <c r="X476" i="366"/>
  <c r="X475" i="366"/>
  <c r="X474" i="366"/>
  <c r="X473" i="366"/>
  <c r="X472" i="366"/>
  <c r="X471" i="366"/>
  <c r="X470" i="366"/>
  <c r="X469" i="366"/>
  <c r="X468" i="366"/>
  <c r="X467" i="366"/>
  <c r="X466" i="366"/>
  <c r="X465" i="366"/>
  <c r="X464" i="366"/>
  <c r="X463" i="366"/>
  <c r="X462" i="366"/>
  <c r="X461" i="366"/>
  <c r="X460" i="366"/>
  <c r="X459" i="366"/>
  <c r="X458" i="366"/>
  <c r="X457" i="366"/>
  <c r="X456" i="366"/>
  <c r="X455" i="366"/>
  <c r="X454" i="366"/>
  <c r="X453" i="366"/>
  <c r="X452" i="366"/>
  <c r="X451" i="366"/>
  <c r="X450" i="366"/>
  <c r="X449" i="366"/>
  <c r="X448" i="366"/>
  <c r="X447" i="366"/>
  <c r="X446" i="366"/>
  <c r="X445" i="366"/>
  <c r="X444" i="366"/>
  <c r="X443" i="366"/>
  <c r="X442" i="366"/>
  <c r="X441" i="366"/>
  <c r="X440" i="366"/>
  <c r="X439" i="366"/>
  <c r="X438" i="366"/>
  <c r="X437" i="366"/>
  <c r="X436" i="366"/>
  <c r="X435" i="366"/>
  <c r="X434" i="366"/>
  <c r="X433" i="366"/>
  <c r="X432" i="366"/>
  <c r="X431" i="366"/>
  <c r="X430" i="366"/>
  <c r="X429" i="366"/>
  <c r="X428" i="366"/>
  <c r="X427" i="366"/>
  <c r="X426" i="366"/>
  <c r="X425" i="366"/>
  <c r="X424" i="366"/>
  <c r="X423" i="366"/>
  <c r="X422" i="366"/>
  <c r="X421" i="366"/>
  <c r="X420" i="366"/>
  <c r="X419" i="366"/>
  <c r="X418" i="366"/>
  <c r="X417" i="366"/>
  <c r="X416" i="366"/>
  <c r="X415" i="366"/>
  <c r="X414" i="366"/>
  <c r="X413" i="366"/>
  <c r="X412" i="366"/>
  <c r="X411" i="366"/>
  <c r="X410" i="366"/>
  <c r="X409" i="366"/>
  <c r="X408" i="366"/>
  <c r="X407" i="366"/>
  <c r="X406" i="366"/>
  <c r="X405" i="366"/>
  <c r="X404" i="366"/>
  <c r="X403" i="366"/>
  <c r="X402" i="366"/>
  <c r="X401" i="366"/>
  <c r="X400" i="366"/>
  <c r="X399" i="366"/>
  <c r="X398" i="366"/>
  <c r="X397" i="366"/>
  <c r="X396" i="366"/>
  <c r="X395" i="366"/>
  <c r="X394" i="366"/>
  <c r="X393" i="366"/>
  <c r="X392" i="366"/>
  <c r="X391" i="366"/>
  <c r="X390" i="366"/>
  <c r="X389" i="366"/>
  <c r="X388" i="366"/>
  <c r="X387" i="366"/>
  <c r="X386" i="366"/>
  <c r="X385" i="366"/>
  <c r="X384" i="366"/>
  <c r="X383" i="366"/>
  <c r="X382" i="366"/>
  <c r="X381" i="366"/>
  <c r="X380" i="366"/>
  <c r="X379" i="366"/>
  <c r="X378" i="366"/>
  <c r="X377" i="366"/>
  <c r="X376" i="366"/>
  <c r="X375" i="366"/>
  <c r="X374" i="366"/>
  <c r="X373" i="366"/>
  <c r="X372" i="366"/>
  <c r="X371" i="366"/>
  <c r="X370" i="366"/>
  <c r="X369" i="366"/>
  <c r="X368" i="366"/>
  <c r="X367" i="366"/>
  <c r="X366" i="366"/>
  <c r="X365" i="366"/>
  <c r="X364" i="366"/>
  <c r="X363" i="366"/>
  <c r="X362" i="366"/>
  <c r="X361" i="366"/>
  <c r="X360" i="366"/>
  <c r="X359" i="366"/>
  <c r="X358" i="366"/>
  <c r="X357" i="366"/>
  <c r="X356" i="366"/>
  <c r="X355" i="366"/>
  <c r="X354" i="366"/>
  <c r="X353" i="366"/>
  <c r="X352" i="366"/>
  <c r="X351" i="366"/>
  <c r="X350" i="366"/>
  <c r="X349" i="366"/>
  <c r="X348" i="366"/>
  <c r="X347" i="366"/>
  <c r="X346" i="366"/>
  <c r="X345" i="366"/>
  <c r="X344" i="366"/>
  <c r="X343" i="366"/>
  <c r="X342" i="366"/>
  <c r="X341" i="366"/>
  <c r="X340" i="366"/>
  <c r="X339" i="366"/>
  <c r="X338" i="366"/>
  <c r="X337" i="366"/>
  <c r="X336" i="366"/>
  <c r="X335" i="366"/>
  <c r="X334" i="366"/>
  <c r="X333" i="366"/>
  <c r="X332" i="366"/>
  <c r="X331" i="366"/>
  <c r="X330" i="366"/>
  <c r="X329" i="366"/>
  <c r="X328" i="366"/>
  <c r="X327" i="366"/>
  <c r="X326" i="366"/>
  <c r="X325" i="366"/>
  <c r="X324" i="366"/>
  <c r="X323" i="366"/>
  <c r="X322" i="366"/>
  <c r="X321" i="366"/>
  <c r="X320" i="366"/>
  <c r="X319" i="366"/>
  <c r="X318" i="366"/>
  <c r="X317" i="366"/>
  <c r="X316" i="366"/>
  <c r="X315" i="366"/>
  <c r="X314" i="366"/>
  <c r="X313" i="366"/>
  <c r="X312" i="366"/>
  <c r="X311" i="366"/>
  <c r="X310" i="366"/>
  <c r="X309" i="366"/>
  <c r="X308" i="366"/>
  <c r="X307" i="366"/>
  <c r="X306" i="366"/>
  <c r="X305" i="366"/>
  <c r="X304" i="366"/>
  <c r="X303" i="366"/>
  <c r="X302" i="366"/>
  <c r="X301" i="366"/>
  <c r="X300" i="366"/>
  <c r="X299" i="366"/>
  <c r="X298" i="366"/>
  <c r="X297" i="366"/>
  <c r="X296" i="366"/>
  <c r="X295" i="366"/>
  <c r="X294" i="366"/>
  <c r="X293" i="366"/>
  <c r="X292" i="366"/>
  <c r="X291" i="366"/>
  <c r="X290" i="366"/>
  <c r="X289" i="366"/>
  <c r="X288" i="366"/>
  <c r="X287" i="366"/>
  <c r="X286" i="366"/>
  <c r="X285" i="366"/>
  <c r="X284" i="366"/>
  <c r="X283" i="366"/>
  <c r="X282" i="366"/>
  <c r="X281" i="366"/>
  <c r="X280" i="366"/>
  <c r="X279" i="366"/>
  <c r="X278" i="366"/>
  <c r="X277" i="366"/>
  <c r="X276" i="366"/>
  <c r="X275" i="366"/>
  <c r="X274" i="366"/>
  <c r="X273" i="366"/>
  <c r="X272" i="366"/>
  <c r="X271" i="366"/>
  <c r="X270" i="366"/>
  <c r="X269" i="366"/>
  <c r="X268" i="366"/>
  <c r="X267" i="366"/>
  <c r="X266" i="366"/>
  <c r="X265" i="366"/>
  <c r="X264" i="366"/>
  <c r="X263" i="366"/>
  <c r="X262" i="366"/>
  <c r="X261" i="366"/>
  <c r="X260" i="366"/>
  <c r="X259" i="366"/>
  <c r="X258" i="366"/>
  <c r="X257" i="366"/>
  <c r="X256" i="366"/>
  <c r="X255" i="366"/>
  <c r="X254" i="366"/>
  <c r="X253" i="366"/>
  <c r="X252" i="366"/>
  <c r="X251" i="366"/>
  <c r="X250" i="366"/>
  <c r="X249" i="366"/>
  <c r="X248" i="366"/>
  <c r="X247" i="366"/>
  <c r="X246" i="366"/>
  <c r="X245" i="366"/>
  <c r="X244" i="366"/>
  <c r="X243" i="366"/>
  <c r="X242" i="366"/>
  <c r="X241" i="366"/>
  <c r="X240" i="366"/>
  <c r="X239" i="366"/>
  <c r="X238" i="366"/>
  <c r="X237" i="366"/>
  <c r="X236" i="366"/>
  <c r="X235" i="366"/>
  <c r="X234" i="366"/>
  <c r="X233" i="366"/>
  <c r="X232" i="366"/>
  <c r="X231" i="366"/>
  <c r="X230" i="366"/>
  <c r="X229" i="366"/>
  <c r="X228" i="366"/>
  <c r="X227" i="366"/>
  <c r="X226" i="366"/>
  <c r="X225" i="366"/>
  <c r="X224" i="366"/>
  <c r="X223" i="366"/>
  <c r="X222" i="366"/>
  <c r="X221" i="366"/>
  <c r="X220" i="366"/>
  <c r="X219" i="366"/>
  <c r="X218" i="366"/>
  <c r="X217" i="366"/>
  <c r="X216" i="366"/>
  <c r="X215" i="366"/>
  <c r="X214" i="366"/>
  <c r="X213" i="366"/>
  <c r="X212" i="366"/>
  <c r="X211" i="366"/>
  <c r="X210" i="366"/>
  <c r="X209" i="366"/>
  <c r="X208" i="366"/>
  <c r="X207" i="366"/>
  <c r="X206" i="366"/>
  <c r="X205" i="366"/>
  <c r="X204" i="366"/>
  <c r="X203" i="366"/>
  <c r="X202" i="366"/>
  <c r="X201" i="366"/>
  <c r="X200" i="366"/>
  <c r="X199" i="366"/>
  <c r="X198" i="366"/>
  <c r="X197" i="366"/>
  <c r="X196" i="366"/>
  <c r="X195" i="366"/>
  <c r="X194" i="366"/>
  <c r="X193" i="366"/>
  <c r="X192" i="366"/>
  <c r="X191" i="366"/>
  <c r="X190" i="366"/>
  <c r="X189" i="366"/>
  <c r="X188" i="366"/>
  <c r="X187" i="366"/>
  <c r="X186" i="366"/>
  <c r="X185" i="366"/>
  <c r="X184" i="366"/>
  <c r="X183" i="366"/>
  <c r="X182" i="366"/>
  <c r="X181" i="366"/>
  <c r="X180" i="366"/>
  <c r="X179" i="366"/>
  <c r="X178" i="366"/>
  <c r="X177" i="366"/>
  <c r="X176" i="366"/>
  <c r="X175" i="366"/>
  <c r="X174" i="366"/>
  <c r="X173" i="366"/>
  <c r="X172" i="366"/>
  <c r="X171" i="366"/>
  <c r="X170" i="366"/>
  <c r="X169" i="366"/>
  <c r="X168" i="366"/>
  <c r="X167" i="366"/>
  <c r="X166" i="366"/>
  <c r="X165" i="366"/>
  <c r="X164" i="366"/>
  <c r="X163" i="366"/>
  <c r="X162" i="366"/>
  <c r="X161" i="366"/>
  <c r="X160" i="366"/>
  <c r="X159" i="366"/>
  <c r="X158" i="366"/>
  <c r="X157" i="366"/>
  <c r="X156" i="366"/>
  <c r="X155" i="366"/>
  <c r="X154" i="366"/>
  <c r="X153" i="366"/>
  <c r="X152" i="366"/>
  <c r="X151" i="366"/>
  <c r="X150" i="366"/>
  <c r="X149" i="366"/>
  <c r="X148" i="366"/>
  <c r="X147" i="366"/>
  <c r="X146" i="366"/>
  <c r="X145" i="366"/>
  <c r="X144" i="366"/>
  <c r="X143" i="366"/>
  <c r="X142" i="366"/>
  <c r="X141" i="366"/>
  <c r="X140" i="366"/>
  <c r="X139" i="366"/>
  <c r="X138" i="366"/>
  <c r="X137" i="366"/>
  <c r="X136" i="366"/>
  <c r="X135" i="366"/>
  <c r="X134" i="366"/>
  <c r="X133" i="366"/>
  <c r="X132" i="366"/>
  <c r="X131" i="366"/>
  <c r="X130" i="366"/>
  <c r="X129" i="366"/>
  <c r="X128" i="366"/>
  <c r="X127" i="366"/>
  <c r="X126" i="366"/>
  <c r="X125" i="366"/>
  <c r="X124" i="366"/>
  <c r="X123" i="366"/>
  <c r="X122" i="366"/>
  <c r="X121" i="366"/>
  <c r="X120" i="366"/>
  <c r="X119" i="366"/>
  <c r="X118" i="366"/>
  <c r="X117" i="366"/>
  <c r="X116" i="366"/>
  <c r="X115" i="366"/>
  <c r="X114" i="366"/>
  <c r="X113" i="366"/>
  <c r="X112" i="366"/>
  <c r="X111" i="366"/>
  <c r="X110" i="366"/>
  <c r="X109" i="366"/>
  <c r="X108" i="366"/>
  <c r="X107" i="366"/>
  <c r="X106" i="366"/>
  <c r="X105" i="366"/>
  <c r="X104" i="366"/>
  <c r="X103" i="366"/>
  <c r="X102" i="366"/>
  <c r="X101" i="366"/>
  <c r="X100" i="366"/>
  <c r="X99" i="366"/>
  <c r="X98" i="366"/>
  <c r="X97" i="366"/>
  <c r="X96" i="366"/>
  <c r="X95" i="366"/>
  <c r="X94" i="366"/>
  <c r="X93" i="366"/>
  <c r="X92" i="366"/>
  <c r="X91" i="366"/>
  <c r="X90" i="366"/>
  <c r="X89" i="366"/>
  <c r="X88" i="366"/>
  <c r="X87" i="366"/>
  <c r="X86" i="366"/>
  <c r="X85" i="366"/>
  <c r="X84" i="366"/>
  <c r="X83" i="366"/>
  <c r="X82" i="366"/>
  <c r="X81" i="366"/>
  <c r="X80" i="366"/>
  <c r="X79" i="366"/>
  <c r="X78" i="366"/>
  <c r="X77" i="366"/>
  <c r="X76" i="366"/>
  <c r="X75" i="366"/>
  <c r="X74" i="366"/>
  <c r="X73" i="366"/>
  <c r="X72" i="366"/>
  <c r="X71" i="366"/>
  <c r="X70" i="366"/>
  <c r="X69" i="366"/>
  <c r="X68" i="366"/>
  <c r="X67" i="366"/>
  <c r="X66" i="366"/>
  <c r="X65" i="366"/>
  <c r="X64" i="366"/>
  <c r="X63" i="366"/>
  <c r="X62" i="366"/>
  <c r="X61" i="366"/>
  <c r="X60" i="366"/>
  <c r="X59" i="366"/>
  <c r="X58" i="366"/>
  <c r="X57" i="366"/>
  <c r="X56" i="366"/>
  <c r="X55" i="366"/>
  <c r="X54" i="366"/>
  <c r="X53" i="366"/>
  <c r="X52" i="366"/>
  <c r="X51" i="366"/>
  <c r="X50" i="366"/>
  <c r="X49" i="366"/>
  <c r="X48" i="366"/>
  <c r="X47" i="366"/>
  <c r="X46" i="366"/>
  <c r="X45" i="366"/>
  <c r="X44" i="366"/>
  <c r="X43" i="366"/>
  <c r="X42" i="366"/>
  <c r="X41" i="366"/>
  <c r="X40" i="366"/>
  <c r="X39" i="366"/>
  <c r="X38" i="366"/>
  <c r="X37" i="366"/>
  <c r="X36" i="366"/>
  <c r="X35" i="366"/>
  <c r="X34" i="366"/>
  <c r="X33" i="366"/>
  <c r="X32" i="366"/>
  <c r="X31" i="366"/>
  <c r="X30" i="366"/>
  <c r="X29" i="366"/>
  <c r="X28" i="366"/>
  <c r="X27" i="366"/>
  <c r="X26" i="366"/>
  <c r="X25" i="366"/>
  <c r="X24" i="366"/>
  <c r="X23" i="366"/>
  <c r="X22" i="366"/>
  <c r="X21" i="366"/>
  <c r="X20" i="366"/>
  <c r="X19" i="366"/>
  <c r="X18" i="366"/>
  <c r="X17" i="366"/>
  <c r="X16" i="366"/>
  <c r="X15" i="366"/>
  <c r="X14" i="366"/>
  <c r="X13" i="366"/>
  <c r="X12" i="366"/>
  <c r="X11" i="366"/>
  <c r="X10" i="366"/>
  <c r="X9" i="366"/>
  <c r="X8" i="366"/>
  <c r="X7" i="366"/>
  <c r="X6" i="366"/>
  <c r="X5" i="366"/>
  <c r="AA4" i="366"/>
  <c r="X4" i="366"/>
  <c r="K21" i="248" l="1"/>
  <c r="I52" i="227"/>
  <c r="J20" i="227"/>
  <c r="J45" i="227" s="1"/>
  <c r="AS144" i="389" l="1"/>
  <c r="AW144" i="389"/>
  <c r="BE144" i="389"/>
  <c r="BE103" i="389" s="1"/>
  <c r="BA144" i="389"/>
  <c r="BA103" i="389" s="1"/>
  <c r="AO144" i="389"/>
  <c r="AK144" i="389"/>
  <c r="AG144" i="389"/>
  <c r="BE137" i="389"/>
  <c r="BE83" i="389" s="1"/>
  <c r="BA137" i="389"/>
  <c r="BA83" i="389" s="1"/>
  <c r="BE130" i="389"/>
  <c r="BE52" i="389" s="1"/>
  <c r="BA130" i="389"/>
  <c r="BA52" i="389" s="1"/>
  <c r="AY20" i="389"/>
  <c r="BA20" i="389" s="1"/>
  <c r="BA21" i="389" s="1"/>
  <c r="BC9" i="389"/>
  <c r="BE9" i="389" s="1"/>
  <c r="BC7" i="389"/>
  <c r="BE7" i="389" s="1"/>
  <c r="BA7" i="389"/>
  <c r="BC20" i="389" l="1"/>
  <c r="AY21" i="389"/>
  <c r="BE130" i="352"/>
  <c r="BE105" i="352" s="1"/>
  <c r="BA130" i="352"/>
  <c r="BA105" i="352" s="1"/>
  <c r="AS130" i="352"/>
  <c r="BC9" i="352"/>
  <c r="BE9" i="352" s="1"/>
  <c r="BE114" i="352"/>
  <c r="BE52" i="352" s="1"/>
  <c r="BA114" i="352"/>
  <c r="BA52" i="352" s="1"/>
  <c r="AY20" i="352"/>
  <c r="BA20" i="352" s="1"/>
  <c r="BC7" i="352"/>
  <c r="BE7" i="352" s="1"/>
  <c r="BA7" i="352"/>
  <c r="E27" i="393"/>
  <c r="BE37" i="393"/>
  <c r="I63" i="393"/>
  <c r="I72" i="393" s="1"/>
  <c r="I26" i="393"/>
  <c r="I17" i="393"/>
  <c r="BE20" i="389" l="1"/>
  <c r="BE21" i="389" s="1"/>
  <c r="BC21" i="389"/>
  <c r="BA21" i="352"/>
  <c r="BC20" i="352"/>
  <c r="AY21" i="352"/>
  <c r="K30" i="248"/>
  <c r="K25" i="248"/>
  <c r="K94" i="248"/>
  <c r="K24" i="248"/>
  <c r="K27" i="248" s="1"/>
  <c r="K36" i="248" s="1"/>
  <c r="K43" i="248" s="1"/>
  <c r="K59" i="248" s="1"/>
  <c r="K66" i="248" s="1"/>
  <c r="K79" i="248" s="1"/>
  <c r="K90" i="248" s="1"/>
  <c r="BC21" i="352" l="1"/>
  <c r="BE20" i="352"/>
  <c r="BE21" i="352" s="1"/>
  <c r="D2" i="267"/>
  <c r="D1" i="267"/>
  <c r="F68" i="422" l="1"/>
  <c r="H68" i="422" s="1"/>
  <c r="I68" i="422" s="1"/>
  <c r="F63" i="422"/>
  <c r="F61" i="422"/>
  <c r="F60" i="422"/>
  <c r="H60" i="422" s="1"/>
  <c r="I60" i="422" s="1"/>
  <c r="F59" i="422"/>
  <c r="F58" i="422"/>
  <c r="F57" i="422"/>
  <c r="H57" i="422" s="1"/>
  <c r="I57" i="422" s="1"/>
  <c r="F16" i="422"/>
  <c r="F12" i="422"/>
  <c r="C49" i="423"/>
  <c r="C54" i="423" s="1"/>
  <c r="C36" i="423"/>
  <c r="C35" i="423"/>
  <c r="C34" i="423"/>
  <c r="C41" i="423" s="1"/>
  <c r="D7" i="423"/>
  <c r="C10" i="423"/>
  <c r="C8" i="423"/>
  <c r="C7" i="423"/>
  <c r="C12" i="436"/>
  <c r="C13" i="436" s="1"/>
  <c r="C11" i="436"/>
  <c r="A6" i="436"/>
  <c r="S35" i="2"/>
  <c r="T35" i="2" s="1"/>
  <c r="B17" i="435"/>
  <c r="A6" i="435"/>
  <c r="D19" i="434"/>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c r="AI55" i="60"/>
  <c r="T22" i="2"/>
  <c r="T41" i="2"/>
  <c r="S41" i="2"/>
  <c r="S33" i="2"/>
  <c r="T3" i="2"/>
  <c r="T2" i="2"/>
  <c r="T1" i="2"/>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28" i="168"/>
  <c r="BE103" i="168" s="1"/>
  <c r="BA128" i="168"/>
  <c r="BA103" i="168" s="1"/>
  <c r="BE121" i="168"/>
  <c r="BE83" i="168" s="1"/>
  <c r="BA121" i="168"/>
  <c r="BA83" i="168" s="1"/>
  <c r="E62" i="425" s="1"/>
  <c r="BE114" i="168"/>
  <c r="BE52" i="168" s="1"/>
  <c r="BA114" i="168"/>
  <c r="BA52" i="168" s="1"/>
  <c r="AY20" i="168"/>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c r="C21" i="425"/>
  <c r="E21" i="425" s="1"/>
  <c r="C19" i="425"/>
  <c r="C16" i="425"/>
  <c r="E16" i="425" s="1"/>
  <c r="E3" i="425"/>
  <c r="E3" i="270" s="1"/>
  <c r="E2" i="425"/>
  <c r="E2" i="270" s="1"/>
  <c r="D41" i="424"/>
  <c r="K41" i="248" s="1"/>
  <c r="A86" i="425"/>
  <c r="A6" i="425"/>
  <c r="A82" i="425" s="1"/>
  <c r="Q80" i="184"/>
  <c r="BE144" i="388"/>
  <c r="BE103" i="388" s="1"/>
  <c r="BA144" i="388"/>
  <c r="BA103" i="388" s="1"/>
  <c r="BE137" i="388"/>
  <c r="BE83" i="388" s="1"/>
  <c r="BA137" i="388"/>
  <c r="BA83" i="388" s="1"/>
  <c r="BE130" i="388"/>
  <c r="BE52" i="388" s="1"/>
  <c r="BA130" i="388"/>
  <c r="BA52" i="388" s="1"/>
  <c r="AY20" i="388"/>
  <c r="BC9" i="388"/>
  <c r="BE9" i="388"/>
  <c r="BA7" i="388"/>
  <c r="BC7" i="388"/>
  <c r="BE7" i="388" s="1"/>
  <c r="AU9" i="388"/>
  <c r="AW9" i="388" s="1"/>
  <c r="Q16" i="74"/>
  <c r="E75" i="425" s="1"/>
  <c r="Q15" i="74"/>
  <c r="AS7" i="388"/>
  <c r="AU7" i="388" s="1"/>
  <c r="AW7" i="388" s="1"/>
  <c r="Q81" i="184"/>
  <c r="Q82" i="184" s="1"/>
  <c r="R33" i="184"/>
  <c r="R53" i="184" s="1"/>
  <c r="BC35" i="167"/>
  <c r="D94" i="424"/>
  <c r="D84" i="424"/>
  <c r="D35" i="424"/>
  <c r="K35" i="248" s="1"/>
  <c r="D33" i="424"/>
  <c r="K33" i="248" s="1"/>
  <c r="D32" i="424"/>
  <c r="K32" i="248" s="1"/>
  <c r="D31" i="424"/>
  <c r="K31" i="248" s="1"/>
  <c r="D26" i="424"/>
  <c r="K26" i="248" s="1"/>
  <c r="D20" i="424"/>
  <c r="K20" i="248" s="1"/>
  <c r="D19" i="424"/>
  <c r="K19" i="248" s="1"/>
  <c r="B92" i="424"/>
  <c r="B63" i="424"/>
  <c r="A6" i="424"/>
  <c r="A25" i="423"/>
  <c r="A26" i="423" s="1"/>
  <c r="E20" i="423"/>
  <c r="I77" i="422"/>
  <c r="H64" i="422"/>
  <c r="I64" i="422" s="1"/>
  <c r="H63" i="422"/>
  <c r="I63" i="422" s="1"/>
  <c r="H62" i="422"/>
  <c r="I62" i="422" s="1"/>
  <c r="H59" i="422"/>
  <c r="I59" i="422" s="1"/>
  <c r="H58" i="422"/>
  <c r="I58" i="422" s="1"/>
  <c r="G50" i="422"/>
  <c r="AN45" i="422"/>
  <c r="AN43" i="422"/>
  <c r="AN42" i="422"/>
  <c r="AN40" i="422"/>
  <c r="M38" i="422"/>
  <c r="F19" i="422"/>
  <c r="F13" i="422"/>
  <c r="F3" i="422"/>
  <c r="F2" i="422"/>
  <c r="C2" i="422"/>
  <c r="F1" i="422"/>
  <c r="I26" i="167"/>
  <c r="I17" i="167"/>
  <c r="O159" i="1"/>
  <c r="O153" i="1"/>
  <c r="D34" i="424" s="1"/>
  <c r="K34" i="248" s="1"/>
  <c r="O57" i="1"/>
  <c r="O86" i="1"/>
  <c r="O107" i="1"/>
  <c r="G148" i="142"/>
  <c r="I25" i="248"/>
  <c r="I30" i="248"/>
  <c r="M57" i="1"/>
  <c r="M86" i="1" s="1"/>
  <c r="M107" i="1" s="1"/>
  <c r="K57" i="1"/>
  <c r="K86" i="1"/>
  <c r="K107" i="1" s="1"/>
  <c r="I57" i="1"/>
  <c r="I86" i="1"/>
  <c r="I107" i="1" s="1"/>
  <c r="G57" i="1"/>
  <c r="G86" i="1"/>
  <c r="Y18" i="184"/>
  <c r="Z18" i="184" s="1"/>
  <c r="BK121" i="168"/>
  <c r="BK83" i="168" s="1"/>
  <c r="BI121" i="168"/>
  <c r="BI83" i="168" s="1"/>
  <c r="BI114" i="168"/>
  <c r="BI52" i="168" s="1"/>
  <c r="E94" i="248"/>
  <c r="J94" i="248"/>
  <c r="I94" i="248"/>
  <c r="H94" i="248"/>
  <c r="G94" i="248"/>
  <c r="F94" i="248"/>
  <c r="G45" i="1"/>
  <c r="D23" i="301" s="1"/>
  <c r="G23" i="248" s="1"/>
  <c r="G44" i="1"/>
  <c r="D16" i="109"/>
  <c r="D10" i="109"/>
  <c r="D36" i="109"/>
  <c r="D31" i="109"/>
  <c r="D27" i="109"/>
  <c r="D25" i="109"/>
  <c r="D23" i="109"/>
  <c r="C25" i="108"/>
  <c r="C24" i="108"/>
  <c r="C23" i="108"/>
  <c r="D53" i="109" s="1"/>
  <c r="C22" i="108"/>
  <c r="C21" i="108"/>
  <c r="C12" i="108"/>
  <c r="C10" i="108"/>
  <c r="C9" i="108"/>
  <c r="C8" i="108"/>
  <c r="C7" i="108"/>
  <c r="C6" i="108"/>
  <c r="E21" i="107"/>
  <c r="C21" i="107"/>
  <c r="E16" i="107"/>
  <c r="C16" i="107"/>
  <c r="G16" i="107" s="1"/>
  <c r="J18" i="167"/>
  <c r="Q40" i="280"/>
  <c r="Q37" i="280"/>
  <c r="Q34" i="280"/>
  <c r="Q32" i="280"/>
  <c r="Q31" i="280"/>
  <c r="Q30" i="280"/>
  <c r="Q28" i="280"/>
  <c r="F42" i="280"/>
  <c r="H40" i="280"/>
  <c r="D34" i="285" s="1"/>
  <c r="F40" i="280"/>
  <c r="H30" i="280"/>
  <c r="M30" i="280" s="1"/>
  <c r="F30" i="280"/>
  <c r="F131" i="106"/>
  <c r="F110" i="106"/>
  <c r="I20" i="227"/>
  <c r="I45" i="227"/>
  <c r="D3" i="281"/>
  <c r="F3" i="280" s="1"/>
  <c r="D2" i="281"/>
  <c r="D2" i="301" s="1"/>
  <c r="D1" i="281"/>
  <c r="F1" i="106" s="1"/>
  <c r="C1" i="108" s="1"/>
  <c r="D1" i="109" s="1"/>
  <c r="K1" i="107" s="1"/>
  <c r="H17" i="167"/>
  <c r="C17" i="167"/>
  <c r="D15" i="310"/>
  <c r="C34" i="372"/>
  <c r="F12" i="369"/>
  <c r="N41" i="2"/>
  <c r="U60" i="60"/>
  <c r="U67" i="60" s="1"/>
  <c r="C34" i="363"/>
  <c r="C19" i="327"/>
  <c r="C95" i="327" s="1"/>
  <c r="E95" i="327" s="1"/>
  <c r="C36" i="361"/>
  <c r="E66" i="1"/>
  <c r="AK43" i="398" s="1"/>
  <c r="G41" i="1"/>
  <c r="G40" i="1"/>
  <c r="I40" i="1" s="1"/>
  <c r="K40" i="1" s="1"/>
  <c r="G39" i="1"/>
  <c r="I39" i="1" s="1"/>
  <c r="G38" i="1"/>
  <c r="G37" i="1"/>
  <c r="I37" i="1" s="1"/>
  <c r="G36" i="1"/>
  <c r="G35" i="1"/>
  <c r="G34" i="1"/>
  <c r="F31" i="302"/>
  <c r="G33" i="1"/>
  <c r="G32" i="1"/>
  <c r="G31" i="1"/>
  <c r="I31" i="1" s="1"/>
  <c r="G30" i="1"/>
  <c r="I30" i="1"/>
  <c r="K30" i="1"/>
  <c r="M30" i="1" s="1"/>
  <c r="O30" i="1" s="1"/>
  <c r="G29" i="1"/>
  <c r="G28" i="1"/>
  <c r="G27" i="1"/>
  <c r="C16" i="307"/>
  <c r="G26" i="1"/>
  <c r="I26" i="1" s="1"/>
  <c r="K26" i="1" s="1"/>
  <c r="M26" i="1" s="1"/>
  <c r="D17" i="412" s="1"/>
  <c r="G25" i="1"/>
  <c r="G24" i="1"/>
  <c r="G23" i="1"/>
  <c r="D13" i="304" s="1"/>
  <c r="G22" i="1"/>
  <c r="D12" i="304" s="1"/>
  <c r="G21" i="1"/>
  <c r="G20" i="1"/>
  <c r="G18" i="1"/>
  <c r="I18" i="1" s="1"/>
  <c r="D16" i="316" s="1"/>
  <c r="H16" i="248" s="1"/>
  <c r="G17" i="1"/>
  <c r="F6" i="227" s="1"/>
  <c r="T1021" i="366"/>
  <c r="T1020" i="366"/>
  <c r="T1019" i="366"/>
  <c r="T1018" i="366"/>
  <c r="T1017" i="366"/>
  <c r="T1016" i="366"/>
  <c r="T1015" i="366"/>
  <c r="T1014" i="366"/>
  <c r="T1013" i="366"/>
  <c r="T1012" i="366"/>
  <c r="T1011" i="366"/>
  <c r="T1010" i="366"/>
  <c r="T1009" i="366"/>
  <c r="T1008" i="366"/>
  <c r="T1007" i="366"/>
  <c r="T1006" i="366"/>
  <c r="T1005" i="366"/>
  <c r="T1004" i="366"/>
  <c r="T1003" i="366"/>
  <c r="T1002" i="366"/>
  <c r="T1001" i="366"/>
  <c r="T1000" i="366"/>
  <c r="T999" i="366"/>
  <c r="T998" i="366"/>
  <c r="T997" i="366"/>
  <c r="T996" i="366"/>
  <c r="T995" i="366"/>
  <c r="T994" i="366"/>
  <c r="T993" i="366"/>
  <c r="T992" i="366"/>
  <c r="T991" i="366"/>
  <c r="T990" i="366"/>
  <c r="T989" i="366"/>
  <c r="T988" i="366"/>
  <c r="T987" i="366"/>
  <c r="T986" i="366"/>
  <c r="T985" i="366"/>
  <c r="T984" i="366"/>
  <c r="T983" i="366"/>
  <c r="T982" i="366"/>
  <c r="T981" i="366"/>
  <c r="T980" i="366"/>
  <c r="T979" i="366"/>
  <c r="T978" i="366"/>
  <c r="T977" i="366"/>
  <c r="T976" i="366"/>
  <c r="T975" i="366"/>
  <c r="T974" i="366"/>
  <c r="T973" i="366"/>
  <c r="T972" i="366"/>
  <c r="T971" i="366"/>
  <c r="T970" i="366"/>
  <c r="T969" i="366"/>
  <c r="T968" i="366"/>
  <c r="T967" i="366"/>
  <c r="T966" i="366"/>
  <c r="T965" i="366"/>
  <c r="T964" i="366"/>
  <c r="T963" i="366"/>
  <c r="T962" i="366"/>
  <c r="T961" i="366"/>
  <c r="T960" i="366"/>
  <c r="T959" i="366"/>
  <c r="T958" i="366"/>
  <c r="T957" i="366"/>
  <c r="T956" i="366"/>
  <c r="T955" i="366"/>
  <c r="T954" i="366"/>
  <c r="T953" i="366"/>
  <c r="T952" i="366"/>
  <c r="T951" i="366"/>
  <c r="T950" i="366"/>
  <c r="T949" i="366"/>
  <c r="T948" i="366"/>
  <c r="T947" i="366"/>
  <c r="T946" i="366"/>
  <c r="T945" i="366"/>
  <c r="T944" i="366"/>
  <c r="T943" i="366"/>
  <c r="T942" i="366"/>
  <c r="T941" i="366"/>
  <c r="T940" i="366"/>
  <c r="T939" i="366"/>
  <c r="T938" i="366"/>
  <c r="T937" i="366"/>
  <c r="T936" i="366"/>
  <c r="T935" i="366"/>
  <c r="T934" i="366"/>
  <c r="T933" i="366"/>
  <c r="T932" i="366"/>
  <c r="T931" i="366"/>
  <c r="T930" i="366"/>
  <c r="T929" i="366"/>
  <c r="T928" i="366"/>
  <c r="T927" i="366"/>
  <c r="T926" i="366"/>
  <c r="T925" i="366"/>
  <c r="T924" i="366"/>
  <c r="T923" i="366"/>
  <c r="T922" i="366"/>
  <c r="T921" i="366"/>
  <c r="T920" i="366"/>
  <c r="T919" i="366"/>
  <c r="T918" i="366"/>
  <c r="T917" i="366"/>
  <c r="T916" i="366"/>
  <c r="T915" i="366"/>
  <c r="T914" i="366"/>
  <c r="T913" i="366"/>
  <c r="T912" i="366"/>
  <c r="T911" i="366"/>
  <c r="T910" i="366"/>
  <c r="T909" i="366"/>
  <c r="T908" i="366"/>
  <c r="T907" i="366"/>
  <c r="T906" i="366"/>
  <c r="T905" i="366"/>
  <c r="T904" i="366"/>
  <c r="T903" i="366"/>
  <c r="T902" i="366"/>
  <c r="T901" i="366"/>
  <c r="T900" i="366"/>
  <c r="T899" i="366"/>
  <c r="T898" i="366"/>
  <c r="T897" i="366"/>
  <c r="T896" i="366"/>
  <c r="T895" i="366"/>
  <c r="T894" i="366"/>
  <c r="T893" i="366"/>
  <c r="T892" i="366"/>
  <c r="T891" i="366"/>
  <c r="T890" i="366"/>
  <c r="T889" i="366"/>
  <c r="T888" i="366"/>
  <c r="T887" i="366"/>
  <c r="T886" i="366"/>
  <c r="T885" i="366"/>
  <c r="T884" i="366"/>
  <c r="T883" i="366"/>
  <c r="T882" i="366"/>
  <c r="T881" i="366"/>
  <c r="T880" i="366"/>
  <c r="T879" i="366"/>
  <c r="T878" i="366"/>
  <c r="T877" i="366"/>
  <c r="T876" i="366"/>
  <c r="T875" i="366"/>
  <c r="T874" i="366"/>
  <c r="T873" i="366"/>
  <c r="T872" i="366"/>
  <c r="T871" i="366"/>
  <c r="T870" i="366"/>
  <c r="T869" i="366"/>
  <c r="T868" i="366"/>
  <c r="T867" i="366"/>
  <c r="T866" i="366"/>
  <c r="T865" i="366"/>
  <c r="T864" i="366"/>
  <c r="T863" i="366"/>
  <c r="T862" i="366"/>
  <c r="T861" i="366"/>
  <c r="T860" i="366"/>
  <c r="T859" i="366"/>
  <c r="T858" i="366"/>
  <c r="T857" i="366"/>
  <c r="T856" i="366"/>
  <c r="T855" i="366"/>
  <c r="T854" i="366"/>
  <c r="T853" i="366"/>
  <c r="T852" i="366"/>
  <c r="T851" i="366"/>
  <c r="T850" i="366"/>
  <c r="T849" i="366"/>
  <c r="T848" i="366"/>
  <c r="T847" i="366"/>
  <c r="T846" i="366"/>
  <c r="T845" i="366"/>
  <c r="T844" i="366"/>
  <c r="T843" i="366"/>
  <c r="T842" i="366"/>
  <c r="T841" i="366"/>
  <c r="T840" i="366"/>
  <c r="T839" i="366"/>
  <c r="T838" i="366"/>
  <c r="T837" i="366"/>
  <c r="T836" i="366"/>
  <c r="T835" i="366"/>
  <c r="T834" i="366"/>
  <c r="T833" i="366"/>
  <c r="T832" i="366"/>
  <c r="T831" i="366"/>
  <c r="T830" i="366"/>
  <c r="T829" i="366"/>
  <c r="T828" i="366"/>
  <c r="T827" i="366"/>
  <c r="T826" i="366"/>
  <c r="T825" i="366"/>
  <c r="T824" i="366"/>
  <c r="T823" i="366"/>
  <c r="T822" i="366"/>
  <c r="T821" i="366"/>
  <c r="T820" i="366"/>
  <c r="T819" i="366"/>
  <c r="T818" i="366"/>
  <c r="T817" i="366"/>
  <c r="T816" i="366"/>
  <c r="T815" i="366"/>
  <c r="T814" i="366"/>
  <c r="T813" i="366"/>
  <c r="T812" i="366"/>
  <c r="T811" i="366"/>
  <c r="T810" i="366"/>
  <c r="T809" i="366"/>
  <c r="T808" i="366"/>
  <c r="T807" i="366"/>
  <c r="T806" i="366"/>
  <c r="T805" i="366"/>
  <c r="T804" i="366"/>
  <c r="T803" i="366"/>
  <c r="T802" i="366"/>
  <c r="T801" i="366"/>
  <c r="T800" i="366"/>
  <c r="T799" i="366"/>
  <c r="T798" i="366"/>
  <c r="T797" i="366"/>
  <c r="T796" i="366"/>
  <c r="T795" i="366"/>
  <c r="T794" i="366"/>
  <c r="T793" i="366"/>
  <c r="T792" i="366"/>
  <c r="T791" i="366"/>
  <c r="T790" i="366"/>
  <c r="T789" i="366"/>
  <c r="T788" i="366"/>
  <c r="T787" i="366"/>
  <c r="T786" i="366"/>
  <c r="T785" i="366"/>
  <c r="T784" i="366"/>
  <c r="T783" i="366"/>
  <c r="T782" i="366"/>
  <c r="T781" i="366"/>
  <c r="T780" i="366"/>
  <c r="T779" i="366"/>
  <c r="T778" i="366"/>
  <c r="T777" i="366"/>
  <c r="T776" i="366"/>
  <c r="T775" i="366"/>
  <c r="T774" i="366"/>
  <c r="T773" i="366"/>
  <c r="T772" i="366"/>
  <c r="T771" i="366"/>
  <c r="T770" i="366"/>
  <c r="T769" i="366"/>
  <c r="T768" i="366"/>
  <c r="T767" i="366"/>
  <c r="T766" i="366"/>
  <c r="T765" i="366"/>
  <c r="T764" i="366"/>
  <c r="T763" i="366"/>
  <c r="T762" i="366"/>
  <c r="T761" i="366"/>
  <c r="T760" i="366"/>
  <c r="T759" i="366"/>
  <c r="T758" i="366"/>
  <c r="T757" i="366"/>
  <c r="T756" i="366"/>
  <c r="T755" i="366"/>
  <c r="T754" i="366"/>
  <c r="T753" i="366"/>
  <c r="T752" i="366"/>
  <c r="T751" i="366"/>
  <c r="T750" i="366"/>
  <c r="T749" i="366"/>
  <c r="T748" i="366"/>
  <c r="T747" i="366"/>
  <c r="T746" i="366"/>
  <c r="T745" i="366"/>
  <c r="T744" i="366"/>
  <c r="T743" i="366"/>
  <c r="T742" i="366"/>
  <c r="T741" i="366"/>
  <c r="T740" i="366"/>
  <c r="T739" i="366"/>
  <c r="T738" i="366"/>
  <c r="T737" i="366"/>
  <c r="T736" i="366"/>
  <c r="T735" i="366"/>
  <c r="T734" i="366"/>
  <c r="T733" i="366"/>
  <c r="T732" i="366"/>
  <c r="T731" i="366"/>
  <c r="T730" i="366"/>
  <c r="T729" i="366"/>
  <c r="T728" i="366"/>
  <c r="T727" i="366"/>
  <c r="T726" i="366"/>
  <c r="T725" i="366"/>
  <c r="T724" i="366"/>
  <c r="T723" i="366"/>
  <c r="T722" i="366"/>
  <c r="T721" i="366"/>
  <c r="T720" i="366"/>
  <c r="T719" i="366"/>
  <c r="T718" i="366"/>
  <c r="T717" i="366"/>
  <c r="T716" i="366"/>
  <c r="T715" i="366"/>
  <c r="T714" i="366"/>
  <c r="T713" i="366"/>
  <c r="T712" i="366"/>
  <c r="T711" i="366"/>
  <c r="T710" i="366"/>
  <c r="T709" i="366"/>
  <c r="T708" i="366"/>
  <c r="T707" i="366"/>
  <c r="T706" i="366"/>
  <c r="T705" i="366"/>
  <c r="T704" i="366"/>
  <c r="T703" i="366"/>
  <c r="T702" i="366"/>
  <c r="T701" i="366"/>
  <c r="T700" i="366"/>
  <c r="T699" i="366"/>
  <c r="T698" i="366"/>
  <c r="T697" i="366"/>
  <c r="T696" i="366"/>
  <c r="T695" i="366"/>
  <c r="T694" i="366"/>
  <c r="T693" i="366"/>
  <c r="T692" i="366"/>
  <c r="T691" i="366"/>
  <c r="T690" i="366"/>
  <c r="T689" i="366"/>
  <c r="T688" i="366"/>
  <c r="T687" i="366"/>
  <c r="T686" i="366"/>
  <c r="T685" i="366"/>
  <c r="T684" i="366"/>
  <c r="T683" i="366"/>
  <c r="T682" i="366"/>
  <c r="T681" i="366"/>
  <c r="T680" i="366"/>
  <c r="T679" i="366"/>
  <c r="T678" i="366"/>
  <c r="T677" i="366"/>
  <c r="T676" i="366"/>
  <c r="T675" i="366"/>
  <c r="T674" i="366"/>
  <c r="T673" i="366"/>
  <c r="T672" i="366"/>
  <c r="T671" i="366"/>
  <c r="T670" i="366"/>
  <c r="T669" i="366"/>
  <c r="T668" i="366"/>
  <c r="T667" i="366"/>
  <c r="T666" i="366"/>
  <c r="T665" i="366"/>
  <c r="T664" i="366"/>
  <c r="T663" i="366"/>
  <c r="T662" i="366"/>
  <c r="T661" i="366"/>
  <c r="T660" i="366"/>
  <c r="T659" i="366"/>
  <c r="T658" i="366"/>
  <c r="T657" i="366"/>
  <c r="T656" i="366"/>
  <c r="T655" i="366"/>
  <c r="T654" i="366"/>
  <c r="T653" i="366"/>
  <c r="T652" i="366"/>
  <c r="T651" i="366"/>
  <c r="T650" i="366"/>
  <c r="T649" i="366"/>
  <c r="T648" i="366"/>
  <c r="T647" i="366"/>
  <c r="T646" i="366"/>
  <c r="T645" i="366"/>
  <c r="T644" i="366"/>
  <c r="T643" i="366"/>
  <c r="T642" i="366"/>
  <c r="T641" i="366"/>
  <c r="T640" i="366"/>
  <c r="T639" i="366"/>
  <c r="T638" i="366"/>
  <c r="T637" i="366"/>
  <c r="T636" i="366"/>
  <c r="T635" i="366"/>
  <c r="T634" i="366"/>
  <c r="T633" i="366"/>
  <c r="T632" i="366"/>
  <c r="T631" i="366"/>
  <c r="T630" i="366"/>
  <c r="T629" i="366"/>
  <c r="T628" i="366"/>
  <c r="T627" i="366"/>
  <c r="T626" i="366"/>
  <c r="T625" i="366"/>
  <c r="T624" i="366"/>
  <c r="T623" i="366"/>
  <c r="T622" i="366"/>
  <c r="T621" i="366"/>
  <c r="T620" i="366"/>
  <c r="T619" i="366"/>
  <c r="T618" i="366"/>
  <c r="T617" i="366"/>
  <c r="T616" i="366"/>
  <c r="T615" i="366"/>
  <c r="T614" i="366"/>
  <c r="T613" i="366"/>
  <c r="T612" i="366"/>
  <c r="T611" i="366"/>
  <c r="T610" i="366"/>
  <c r="T609" i="366"/>
  <c r="T608" i="366"/>
  <c r="T607" i="366"/>
  <c r="T606" i="366"/>
  <c r="T605" i="366"/>
  <c r="T604" i="366"/>
  <c r="T603" i="366"/>
  <c r="T602" i="366"/>
  <c r="T601" i="366"/>
  <c r="T600" i="366"/>
  <c r="T599" i="366"/>
  <c r="T598" i="366"/>
  <c r="T597" i="366"/>
  <c r="T596" i="366"/>
  <c r="T595" i="366"/>
  <c r="T594" i="366"/>
  <c r="T593" i="366"/>
  <c r="T592" i="366"/>
  <c r="T591" i="366"/>
  <c r="T590" i="366"/>
  <c r="T589" i="366"/>
  <c r="T588" i="366"/>
  <c r="T587" i="366"/>
  <c r="T586" i="366"/>
  <c r="T585" i="366"/>
  <c r="T584" i="366"/>
  <c r="T583" i="366"/>
  <c r="T582" i="366"/>
  <c r="T581" i="366"/>
  <c r="T580" i="366"/>
  <c r="T579" i="366"/>
  <c r="T578" i="366"/>
  <c r="T577" i="366"/>
  <c r="T576" i="366"/>
  <c r="T575" i="366"/>
  <c r="T574" i="366"/>
  <c r="T573" i="366"/>
  <c r="T572" i="366"/>
  <c r="T571" i="366"/>
  <c r="T570" i="366"/>
  <c r="T569" i="366"/>
  <c r="T568" i="366"/>
  <c r="T567" i="366"/>
  <c r="T566" i="366"/>
  <c r="T565" i="366"/>
  <c r="T564" i="366"/>
  <c r="T563" i="366"/>
  <c r="T562" i="366"/>
  <c r="T561" i="366"/>
  <c r="T560" i="366"/>
  <c r="T559" i="366"/>
  <c r="T558" i="366"/>
  <c r="T557" i="366"/>
  <c r="T556" i="366"/>
  <c r="T555" i="366"/>
  <c r="T554" i="366"/>
  <c r="T553" i="366"/>
  <c r="T552" i="366"/>
  <c r="T551" i="366"/>
  <c r="T550" i="366"/>
  <c r="T549" i="366"/>
  <c r="T548" i="366"/>
  <c r="T547" i="366"/>
  <c r="T546" i="366"/>
  <c r="T545" i="366"/>
  <c r="T544" i="366"/>
  <c r="T543" i="366"/>
  <c r="T542" i="366"/>
  <c r="T541" i="366"/>
  <c r="T540" i="366"/>
  <c r="T539" i="366"/>
  <c r="T538" i="366"/>
  <c r="T537" i="366"/>
  <c r="T536" i="366"/>
  <c r="T535" i="366"/>
  <c r="T534" i="366"/>
  <c r="T533" i="366"/>
  <c r="T532" i="366"/>
  <c r="T531" i="366"/>
  <c r="T530" i="366"/>
  <c r="T529" i="366"/>
  <c r="T528" i="366"/>
  <c r="T527" i="366"/>
  <c r="T526" i="366"/>
  <c r="T525" i="366"/>
  <c r="T524" i="366"/>
  <c r="T523" i="366"/>
  <c r="T522" i="366"/>
  <c r="T521" i="366"/>
  <c r="T520" i="366"/>
  <c r="T519" i="366"/>
  <c r="T518" i="366"/>
  <c r="T517" i="366"/>
  <c r="T516" i="366"/>
  <c r="T515" i="366"/>
  <c r="T514" i="366"/>
  <c r="T513" i="366"/>
  <c r="T512" i="366"/>
  <c r="T511" i="366"/>
  <c r="T510" i="366"/>
  <c r="T509" i="366"/>
  <c r="T508" i="366"/>
  <c r="T507" i="366"/>
  <c r="T506" i="366"/>
  <c r="T505" i="366"/>
  <c r="T504" i="366"/>
  <c r="T503" i="366"/>
  <c r="T502" i="366"/>
  <c r="T501" i="366"/>
  <c r="T500" i="366"/>
  <c r="T499" i="366"/>
  <c r="T498" i="366"/>
  <c r="T497" i="366"/>
  <c r="T496" i="366"/>
  <c r="T495" i="366"/>
  <c r="T494" i="366"/>
  <c r="T493" i="366"/>
  <c r="T492" i="366"/>
  <c r="T491" i="366"/>
  <c r="T490" i="366"/>
  <c r="T489" i="366"/>
  <c r="T488" i="366"/>
  <c r="T487" i="366"/>
  <c r="T486" i="366"/>
  <c r="T485" i="366"/>
  <c r="T484" i="366"/>
  <c r="T483" i="366"/>
  <c r="T482" i="366"/>
  <c r="T481" i="366"/>
  <c r="T480" i="366"/>
  <c r="T479" i="366"/>
  <c r="T478" i="366"/>
  <c r="T477" i="366"/>
  <c r="T476" i="366"/>
  <c r="T475" i="366"/>
  <c r="T474" i="366"/>
  <c r="T473" i="366"/>
  <c r="T472" i="366"/>
  <c r="T471" i="366"/>
  <c r="T470" i="366"/>
  <c r="T469" i="366"/>
  <c r="T468" i="366"/>
  <c r="T467" i="366"/>
  <c r="T466" i="366"/>
  <c r="T465" i="366"/>
  <c r="T464" i="366"/>
  <c r="T463" i="366"/>
  <c r="T462" i="366"/>
  <c r="T461" i="366"/>
  <c r="T460" i="366"/>
  <c r="T459" i="366"/>
  <c r="T458" i="366"/>
  <c r="T457" i="366"/>
  <c r="T456" i="366"/>
  <c r="T455" i="366"/>
  <c r="T454" i="366"/>
  <c r="T453" i="366"/>
  <c r="T452" i="366"/>
  <c r="T451" i="366"/>
  <c r="T450" i="366"/>
  <c r="T449" i="366"/>
  <c r="T448" i="366"/>
  <c r="T447" i="366"/>
  <c r="T446" i="366"/>
  <c r="T445" i="366"/>
  <c r="T444" i="366"/>
  <c r="T443" i="366"/>
  <c r="T442" i="366"/>
  <c r="T441" i="366"/>
  <c r="T440" i="366"/>
  <c r="T439" i="366"/>
  <c r="T438" i="366"/>
  <c r="T437" i="366"/>
  <c r="T436" i="366"/>
  <c r="T435" i="366"/>
  <c r="T434" i="366"/>
  <c r="T433" i="366"/>
  <c r="T432" i="366"/>
  <c r="T431" i="366"/>
  <c r="T430" i="366"/>
  <c r="T429" i="366"/>
  <c r="T428" i="366"/>
  <c r="T427" i="366"/>
  <c r="T426" i="366"/>
  <c r="T425" i="366"/>
  <c r="T424" i="366"/>
  <c r="T423" i="366"/>
  <c r="T422" i="366"/>
  <c r="T421" i="366"/>
  <c r="T420" i="366"/>
  <c r="T419" i="366"/>
  <c r="T418" i="366"/>
  <c r="T417" i="366"/>
  <c r="T416" i="366"/>
  <c r="T415" i="366"/>
  <c r="T414" i="366"/>
  <c r="T413" i="366"/>
  <c r="T412" i="366"/>
  <c r="T411" i="366"/>
  <c r="T410" i="366"/>
  <c r="T409" i="366"/>
  <c r="T408" i="366"/>
  <c r="T407" i="366"/>
  <c r="T406" i="366"/>
  <c r="T405" i="366"/>
  <c r="T404" i="366"/>
  <c r="T403" i="366"/>
  <c r="T402" i="366"/>
  <c r="T401" i="366"/>
  <c r="T400" i="366"/>
  <c r="T399" i="366"/>
  <c r="T398" i="366"/>
  <c r="T397" i="366"/>
  <c r="T396" i="366"/>
  <c r="T395" i="366"/>
  <c r="T394" i="366"/>
  <c r="T393" i="366"/>
  <c r="T392" i="366"/>
  <c r="T391" i="366"/>
  <c r="T390" i="366"/>
  <c r="T389" i="366"/>
  <c r="T388" i="366"/>
  <c r="T387" i="366"/>
  <c r="T386" i="366"/>
  <c r="T385" i="366"/>
  <c r="T384" i="366"/>
  <c r="T383" i="366"/>
  <c r="T382" i="366"/>
  <c r="T381" i="366"/>
  <c r="T380" i="366"/>
  <c r="T379" i="366"/>
  <c r="T378" i="366"/>
  <c r="T377" i="366"/>
  <c r="T376" i="366"/>
  <c r="T375" i="366"/>
  <c r="T374" i="366"/>
  <c r="T373" i="366"/>
  <c r="T372" i="366"/>
  <c r="T371" i="366"/>
  <c r="T370" i="366"/>
  <c r="T369" i="366"/>
  <c r="T368" i="366"/>
  <c r="T367" i="366"/>
  <c r="T366" i="366"/>
  <c r="T365" i="366"/>
  <c r="T364" i="366"/>
  <c r="T363" i="366"/>
  <c r="T362" i="366"/>
  <c r="T361" i="366"/>
  <c r="T360" i="366"/>
  <c r="T359" i="366"/>
  <c r="T358" i="366"/>
  <c r="T357" i="366"/>
  <c r="T356" i="366"/>
  <c r="T355" i="366"/>
  <c r="T354" i="366"/>
  <c r="T353" i="366"/>
  <c r="T352" i="366"/>
  <c r="T351" i="366"/>
  <c r="T350" i="366"/>
  <c r="T349" i="366"/>
  <c r="T348" i="366"/>
  <c r="T347" i="366"/>
  <c r="T346" i="366"/>
  <c r="T345" i="366"/>
  <c r="T344" i="366"/>
  <c r="T343" i="366"/>
  <c r="T342" i="366"/>
  <c r="T341" i="366"/>
  <c r="T340" i="366"/>
  <c r="T339" i="366"/>
  <c r="T338" i="366"/>
  <c r="T337" i="366"/>
  <c r="T336" i="366"/>
  <c r="T335" i="366"/>
  <c r="T334" i="366"/>
  <c r="T333" i="366"/>
  <c r="T332" i="366"/>
  <c r="T331" i="366"/>
  <c r="T330" i="366"/>
  <c r="T329" i="366"/>
  <c r="T328" i="366"/>
  <c r="T327" i="366"/>
  <c r="T326" i="366"/>
  <c r="T325" i="366"/>
  <c r="T324" i="366"/>
  <c r="T323" i="366"/>
  <c r="T322" i="366"/>
  <c r="T321" i="366"/>
  <c r="T320" i="366"/>
  <c r="T319" i="366"/>
  <c r="T318" i="366"/>
  <c r="T317" i="366"/>
  <c r="T316" i="366"/>
  <c r="T315" i="366"/>
  <c r="T314" i="366"/>
  <c r="T313" i="366"/>
  <c r="T312" i="366"/>
  <c r="T311" i="366"/>
  <c r="T310" i="366"/>
  <c r="T309" i="366"/>
  <c r="T308" i="366"/>
  <c r="T307" i="366"/>
  <c r="T306" i="366"/>
  <c r="T305" i="366"/>
  <c r="T304" i="366"/>
  <c r="T303" i="366"/>
  <c r="T302" i="366"/>
  <c r="T301" i="366"/>
  <c r="T300" i="366"/>
  <c r="T299" i="366"/>
  <c r="T298" i="366"/>
  <c r="T297" i="366"/>
  <c r="T296" i="366"/>
  <c r="T295" i="366"/>
  <c r="T294" i="366"/>
  <c r="T293" i="366"/>
  <c r="T292" i="366"/>
  <c r="T291" i="366"/>
  <c r="T290" i="366"/>
  <c r="T289" i="366"/>
  <c r="T288" i="366"/>
  <c r="T287" i="366"/>
  <c r="T286" i="366"/>
  <c r="T285" i="366"/>
  <c r="T284" i="366"/>
  <c r="T283" i="366"/>
  <c r="T282" i="366"/>
  <c r="T281" i="366"/>
  <c r="T280" i="366"/>
  <c r="T279" i="366"/>
  <c r="T278" i="366"/>
  <c r="T277" i="366"/>
  <c r="T276" i="366"/>
  <c r="T275" i="366"/>
  <c r="T274" i="366"/>
  <c r="T273" i="366"/>
  <c r="T272" i="366"/>
  <c r="T271" i="366"/>
  <c r="T270" i="366"/>
  <c r="T269" i="366"/>
  <c r="T268" i="366"/>
  <c r="T267" i="366"/>
  <c r="T266" i="366"/>
  <c r="T265" i="366"/>
  <c r="T264" i="366"/>
  <c r="T263" i="366"/>
  <c r="T262" i="366"/>
  <c r="T261" i="366"/>
  <c r="T260" i="366"/>
  <c r="T259" i="366"/>
  <c r="T258" i="366"/>
  <c r="T257" i="366"/>
  <c r="T256" i="366"/>
  <c r="T255" i="366"/>
  <c r="T254" i="366"/>
  <c r="T253" i="366"/>
  <c r="T252" i="366"/>
  <c r="T251" i="366"/>
  <c r="T250" i="366"/>
  <c r="T249" i="366"/>
  <c r="T248" i="366"/>
  <c r="T247" i="366"/>
  <c r="T246" i="366"/>
  <c r="T245" i="366"/>
  <c r="T244" i="366"/>
  <c r="T243" i="366"/>
  <c r="T242" i="366"/>
  <c r="T241" i="366"/>
  <c r="T240" i="366"/>
  <c r="T239" i="366"/>
  <c r="T238" i="366"/>
  <c r="T237" i="366"/>
  <c r="T236" i="366"/>
  <c r="T235" i="366"/>
  <c r="T234" i="366"/>
  <c r="T233" i="366"/>
  <c r="T232" i="366"/>
  <c r="T231" i="366"/>
  <c r="T230" i="366"/>
  <c r="T229" i="366"/>
  <c r="T228" i="366"/>
  <c r="T227" i="366"/>
  <c r="T226" i="366"/>
  <c r="T225" i="366"/>
  <c r="T224" i="366"/>
  <c r="T223" i="366"/>
  <c r="T222" i="366"/>
  <c r="T221" i="366"/>
  <c r="T220" i="366"/>
  <c r="T219" i="366"/>
  <c r="T218" i="366"/>
  <c r="T217" i="366"/>
  <c r="T216" i="366"/>
  <c r="T215" i="366"/>
  <c r="T214" i="366"/>
  <c r="T213" i="366"/>
  <c r="T212" i="366"/>
  <c r="T211" i="366"/>
  <c r="T210" i="366"/>
  <c r="T209" i="366"/>
  <c r="T208" i="366"/>
  <c r="T207" i="366"/>
  <c r="T206" i="366"/>
  <c r="T205" i="366"/>
  <c r="T204" i="366"/>
  <c r="T203" i="366"/>
  <c r="T202" i="366"/>
  <c r="T201" i="366"/>
  <c r="T200" i="366"/>
  <c r="T199" i="366"/>
  <c r="T198" i="366"/>
  <c r="T197" i="366"/>
  <c r="T196" i="366"/>
  <c r="T195" i="366"/>
  <c r="T194" i="366"/>
  <c r="T193" i="366"/>
  <c r="T192" i="366"/>
  <c r="T191" i="366"/>
  <c r="T190" i="366"/>
  <c r="T189" i="366"/>
  <c r="T188" i="366"/>
  <c r="T187" i="366"/>
  <c r="T186" i="366"/>
  <c r="T185" i="366"/>
  <c r="T184" i="366"/>
  <c r="T183" i="366"/>
  <c r="T182" i="366"/>
  <c r="T181" i="366"/>
  <c r="T180" i="366"/>
  <c r="T179" i="366"/>
  <c r="T178" i="366"/>
  <c r="T177" i="366"/>
  <c r="T176" i="366"/>
  <c r="T175" i="366"/>
  <c r="T174" i="366"/>
  <c r="T173" i="366"/>
  <c r="T172" i="366"/>
  <c r="T171" i="366"/>
  <c r="T170" i="366"/>
  <c r="T169" i="366"/>
  <c r="T168" i="366"/>
  <c r="T167" i="366"/>
  <c r="T166" i="366"/>
  <c r="T165" i="366"/>
  <c r="T164" i="366"/>
  <c r="T163" i="366"/>
  <c r="T162" i="366"/>
  <c r="T161" i="366"/>
  <c r="T160" i="366"/>
  <c r="T159" i="366"/>
  <c r="T158" i="366"/>
  <c r="T157" i="366"/>
  <c r="T156" i="366"/>
  <c r="T155" i="366"/>
  <c r="T154" i="366"/>
  <c r="T153" i="366"/>
  <c r="T152" i="366"/>
  <c r="T151" i="366"/>
  <c r="T150" i="366"/>
  <c r="T149" i="366"/>
  <c r="T148" i="366"/>
  <c r="T147" i="366"/>
  <c r="T146" i="366"/>
  <c r="T145" i="366"/>
  <c r="T144" i="366"/>
  <c r="T143" i="366"/>
  <c r="T142" i="366"/>
  <c r="T141" i="366"/>
  <c r="T140" i="366"/>
  <c r="T139" i="366"/>
  <c r="T138" i="366"/>
  <c r="T137" i="366"/>
  <c r="T136" i="366"/>
  <c r="T135" i="366"/>
  <c r="T134" i="366"/>
  <c r="T133" i="366"/>
  <c r="T132" i="366"/>
  <c r="T131" i="366"/>
  <c r="T130" i="366"/>
  <c r="T129" i="366"/>
  <c r="T128" i="366"/>
  <c r="T127" i="366"/>
  <c r="T126" i="366"/>
  <c r="T125" i="366"/>
  <c r="T124" i="366"/>
  <c r="T123" i="366"/>
  <c r="T122" i="366"/>
  <c r="T121" i="366"/>
  <c r="T120" i="366"/>
  <c r="T119" i="366"/>
  <c r="T118" i="366"/>
  <c r="T117" i="366"/>
  <c r="T116" i="366"/>
  <c r="T115" i="366"/>
  <c r="T114" i="366"/>
  <c r="T113" i="366"/>
  <c r="T112" i="366"/>
  <c r="T111" i="366"/>
  <c r="T110" i="366"/>
  <c r="T109" i="366"/>
  <c r="T108" i="366"/>
  <c r="T107" i="366"/>
  <c r="T106" i="366"/>
  <c r="T105" i="366"/>
  <c r="T104" i="366"/>
  <c r="T103" i="366"/>
  <c r="T102" i="366"/>
  <c r="T101" i="366"/>
  <c r="T100" i="366"/>
  <c r="T99" i="366"/>
  <c r="T98" i="366"/>
  <c r="T97" i="366"/>
  <c r="T96" i="366"/>
  <c r="T95" i="366"/>
  <c r="T94" i="366"/>
  <c r="T93" i="366"/>
  <c r="T92" i="366"/>
  <c r="T91" i="366"/>
  <c r="T90" i="366"/>
  <c r="T89" i="366"/>
  <c r="T88" i="366"/>
  <c r="T87" i="366"/>
  <c r="T86" i="366"/>
  <c r="T85" i="366"/>
  <c r="T84" i="366"/>
  <c r="T83" i="366"/>
  <c r="T82" i="366"/>
  <c r="T81" i="366"/>
  <c r="T80" i="366"/>
  <c r="T79" i="366"/>
  <c r="T78" i="366"/>
  <c r="T77" i="366"/>
  <c r="T76" i="366"/>
  <c r="T75" i="366"/>
  <c r="T74" i="366"/>
  <c r="T73" i="366"/>
  <c r="T72" i="366"/>
  <c r="T71" i="366"/>
  <c r="T70" i="366"/>
  <c r="T69" i="366"/>
  <c r="T68" i="366"/>
  <c r="T67" i="366"/>
  <c r="T66" i="366"/>
  <c r="T65" i="366"/>
  <c r="T64" i="366"/>
  <c r="T63" i="366"/>
  <c r="T62" i="366"/>
  <c r="T61" i="366"/>
  <c r="T60" i="366"/>
  <c r="T59" i="366"/>
  <c r="T58" i="366"/>
  <c r="T57" i="366"/>
  <c r="T56" i="366"/>
  <c r="T55" i="366"/>
  <c r="T54" i="366"/>
  <c r="T53" i="366"/>
  <c r="T52" i="366"/>
  <c r="T51" i="366"/>
  <c r="T50" i="366"/>
  <c r="T49" i="366"/>
  <c r="T48" i="366"/>
  <c r="T47" i="366"/>
  <c r="T46" i="366"/>
  <c r="T45" i="366"/>
  <c r="T44" i="366"/>
  <c r="T43" i="366"/>
  <c r="T42" i="366"/>
  <c r="T41" i="366"/>
  <c r="T40" i="366"/>
  <c r="T39" i="366"/>
  <c r="T38" i="366"/>
  <c r="T37" i="366"/>
  <c r="T36" i="366"/>
  <c r="T35" i="366"/>
  <c r="T34" i="366"/>
  <c r="T33" i="366"/>
  <c r="T32" i="366"/>
  <c r="T31" i="366"/>
  <c r="T30" i="366"/>
  <c r="T29" i="366"/>
  <c r="T28" i="366"/>
  <c r="T27" i="366"/>
  <c r="T26" i="366"/>
  <c r="T25" i="366"/>
  <c r="T24" i="366"/>
  <c r="T23" i="366"/>
  <c r="T22" i="366"/>
  <c r="T21" i="366"/>
  <c r="T20" i="366"/>
  <c r="T19" i="366"/>
  <c r="T18" i="366"/>
  <c r="T17" i="366"/>
  <c r="T16" i="366"/>
  <c r="T15" i="366"/>
  <c r="T14" i="366"/>
  <c r="T13" i="366"/>
  <c r="T12" i="366"/>
  <c r="T11" i="366"/>
  <c r="T10" i="366"/>
  <c r="T9" i="366"/>
  <c r="T8" i="366"/>
  <c r="T7" i="366"/>
  <c r="T6" i="366"/>
  <c r="T5" i="366"/>
  <c r="T4"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P4" i="366"/>
  <c r="L1021" i="366"/>
  <c r="L1020" i="366"/>
  <c r="L1019" i="366"/>
  <c r="L1018" i="366"/>
  <c r="L1017" i="366"/>
  <c r="L1016" i="366"/>
  <c r="L1015" i="366"/>
  <c r="L1014" i="366"/>
  <c r="L1013" i="366"/>
  <c r="L1012" i="366"/>
  <c r="L1011" i="366"/>
  <c r="L1010" i="366"/>
  <c r="L1009" i="366"/>
  <c r="L1008" i="366"/>
  <c r="L1007" i="366"/>
  <c r="L1006" i="366"/>
  <c r="L1005" i="366"/>
  <c r="L1004" i="366"/>
  <c r="L1003" i="366"/>
  <c r="L1002" i="366"/>
  <c r="L1001" i="366"/>
  <c r="L1000" i="366"/>
  <c r="L999" i="366"/>
  <c r="L998" i="366"/>
  <c r="L997" i="366"/>
  <c r="L996" i="366"/>
  <c r="L995" i="366"/>
  <c r="L994" i="366"/>
  <c r="L993"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2"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6" i="366"/>
  <c r="L915" i="366"/>
  <c r="L914" i="366"/>
  <c r="L913" i="366"/>
  <c r="L912" i="366"/>
  <c r="L911" i="366"/>
  <c r="L910" i="366"/>
  <c r="L909" i="366"/>
  <c r="L908" i="366"/>
  <c r="L907" i="366"/>
  <c r="L906" i="366"/>
  <c r="L905" i="366"/>
  <c r="L904" i="366"/>
  <c r="L903" i="366"/>
  <c r="L902" i="366"/>
  <c r="L901" i="366"/>
  <c r="L900" i="366"/>
  <c r="L899" i="366"/>
  <c r="L898" i="366"/>
  <c r="L897" i="366"/>
  <c r="L896" i="366"/>
  <c r="L895" i="366"/>
  <c r="L894" i="366"/>
  <c r="L893"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1"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90"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2" i="366"/>
  <c r="L761" i="366"/>
  <c r="L760" i="366"/>
  <c r="L759" i="366"/>
  <c r="L758" i="366"/>
  <c r="L757" i="366"/>
  <c r="L756" i="366"/>
  <c r="L755" i="366"/>
  <c r="L754" i="366"/>
  <c r="L753" i="366"/>
  <c r="L752" i="366"/>
  <c r="L751" i="366"/>
  <c r="L750" i="366"/>
  <c r="L749" i="366"/>
  <c r="L748"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2"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2"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6"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7" i="366"/>
  <c r="L416" i="366"/>
  <c r="L415" i="366"/>
  <c r="L414" i="366"/>
  <c r="L413" i="366"/>
  <c r="L412" i="366"/>
  <c r="L411" i="366"/>
  <c r="L410" i="366"/>
  <c r="L409" i="366"/>
  <c r="L408" i="366"/>
  <c r="L407" i="366"/>
  <c r="L406" i="366"/>
  <c r="L405" i="366"/>
  <c r="L404" i="366"/>
  <c r="L403" i="366"/>
  <c r="L402"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9" i="366"/>
  <c r="L348" i="366"/>
  <c r="L347" i="366"/>
  <c r="L346" i="366"/>
  <c r="L345" i="366"/>
  <c r="L344" i="366"/>
  <c r="L343" i="366"/>
  <c r="L342" i="366"/>
  <c r="L341" i="366"/>
  <c r="L340" i="366"/>
  <c r="L339" i="366"/>
  <c r="L338" i="366"/>
  <c r="L337" i="366"/>
  <c r="L336" i="366"/>
  <c r="L335" i="366"/>
  <c r="L334" i="366"/>
  <c r="L333" i="366"/>
  <c r="L332" i="366"/>
  <c r="L331"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9"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2"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8"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9" i="366"/>
  <c r="L148"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6" i="366"/>
  <c r="L65" i="366"/>
  <c r="L64" i="366"/>
  <c r="L63" i="366"/>
  <c r="L62" i="366"/>
  <c r="L61" i="366"/>
  <c r="L60" i="366"/>
  <c r="L59" i="366"/>
  <c r="L58" i="366"/>
  <c r="L57" i="366"/>
  <c r="L56" i="366"/>
  <c r="L55" i="366"/>
  <c r="L54" i="366"/>
  <c r="L53" i="366"/>
  <c r="L52" i="366"/>
  <c r="L51" i="366"/>
  <c r="L50" i="366"/>
  <c r="L49" i="366"/>
  <c r="L48" i="366"/>
  <c r="L47" i="366"/>
  <c r="L46" i="366"/>
  <c r="L45" i="366"/>
  <c r="L44" i="366"/>
  <c r="L43"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4" i="366"/>
  <c r="L13" i="366"/>
  <c r="L12" i="366"/>
  <c r="L11" i="366"/>
  <c r="L10" i="366"/>
  <c r="L9" i="366"/>
  <c r="L8" i="366"/>
  <c r="L7" i="366"/>
  <c r="L6" i="366"/>
  <c r="L5" i="366"/>
  <c r="L4" i="366"/>
  <c r="H1021" i="366"/>
  <c r="H1020" i="366"/>
  <c r="H1019" i="366"/>
  <c r="H1018" i="366"/>
  <c r="H1017" i="366"/>
  <c r="H1016" i="366"/>
  <c r="H1015" i="366"/>
  <c r="H1014" i="366"/>
  <c r="H1013" i="366"/>
  <c r="H1012" i="366"/>
  <c r="H1011" i="366"/>
  <c r="H1010" i="366"/>
  <c r="H1009" i="366"/>
  <c r="H1008" i="366"/>
  <c r="H1007" i="366"/>
  <c r="H1006" i="366"/>
  <c r="H1005" i="366"/>
  <c r="H1004" i="366"/>
  <c r="H1003" i="366"/>
  <c r="H1002" i="366"/>
  <c r="H1001" i="366"/>
  <c r="H1000" i="366"/>
  <c r="H999" i="366"/>
  <c r="H998" i="366"/>
  <c r="H997" i="366"/>
  <c r="H996" i="366"/>
  <c r="H995" i="366"/>
  <c r="H994" i="366"/>
  <c r="H993" i="366"/>
  <c r="H992" i="366"/>
  <c r="H991" i="366"/>
  <c r="H990" i="366"/>
  <c r="H989" i="366"/>
  <c r="H988" i="366"/>
  <c r="H987" i="366"/>
  <c r="H986" i="366"/>
  <c r="H985" i="366"/>
  <c r="H984" i="366"/>
  <c r="H983" i="366"/>
  <c r="H982" i="366"/>
  <c r="H981" i="366"/>
  <c r="H980" i="366"/>
  <c r="H979" i="366"/>
  <c r="H978" i="366"/>
  <c r="H977" i="366"/>
  <c r="H976" i="366"/>
  <c r="H975" i="366"/>
  <c r="H974" i="366"/>
  <c r="H973" i="366"/>
  <c r="H972" i="366"/>
  <c r="H971" i="366"/>
  <c r="H970" i="366"/>
  <c r="H969" i="366"/>
  <c r="H968" i="366"/>
  <c r="H967" i="366"/>
  <c r="H966" i="366"/>
  <c r="H965" i="366"/>
  <c r="H964" i="366"/>
  <c r="H963" i="366"/>
  <c r="H962" i="366"/>
  <c r="H961" i="366"/>
  <c r="H960" i="366"/>
  <c r="H959" i="366"/>
  <c r="H958" i="366"/>
  <c r="H957" i="366"/>
  <c r="H956" i="366"/>
  <c r="H955" i="366"/>
  <c r="H954" i="366"/>
  <c r="H953" i="366"/>
  <c r="H952" i="366"/>
  <c r="H951" i="366"/>
  <c r="H950" i="366"/>
  <c r="H949" i="366"/>
  <c r="H948" i="366"/>
  <c r="H947" i="366"/>
  <c r="H946" i="366"/>
  <c r="H945" i="366"/>
  <c r="H944" i="366"/>
  <c r="H943" i="366"/>
  <c r="H942" i="366"/>
  <c r="H941" i="366"/>
  <c r="H940" i="366"/>
  <c r="H939" i="366"/>
  <c r="H938" i="366"/>
  <c r="H937" i="366"/>
  <c r="H936" i="366"/>
  <c r="H935" i="366"/>
  <c r="H934" i="366"/>
  <c r="H933" i="366"/>
  <c r="H932" i="366"/>
  <c r="H931" i="366"/>
  <c r="H930" i="366"/>
  <c r="H929" i="366"/>
  <c r="H928" i="366"/>
  <c r="H927" i="366"/>
  <c r="H926" i="366"/>
  <c r="H925" i="366"/>
  <c r="H924" i="366"/>
  <c r="H923" i="366"/>
  <c r="H922" i="366"/>
  <c r="H921" i="366"/>
  <c r="H920" i="366"/>
  <c r="H919" i="366"/>
  <c r="H918" i="366"/>
  <c r="H917" i="366"/>
  <c r="H916" i="366"/>
  <c r="H915" i="366"/>
  <c r="H914" i="366"/>
  <c r="H913" i="366"/>
  <c r="H912" i="366"/>
  <c r="H911" i="366"/>
  <c r="H910" i="366"/>
  <c r="H909" i="366"/>
  <c r="H908" i="366"/>
  <c r="H907" i="366"/>
  <c r="H906" i="366"/>
  <c r="H905" i="366"/>
  <c r="H904" i="366"/>
  <c r="H903" i="366"/>
  <c r="H902" i="366"/>
  <c r="H901" i="366"/>
  <c r="H900" i="366"/>
  <c r="H899" i="366"/>
  <c r="H898" i="366"/>
  <c r="H897" i="366"/>
  <c r="H896" i="366"/>
  <c r="H895" i="366"/>
  <c r="H894" i="366"/>
  <c r="H893" i="366"/>
  <c r="H892" i="366"/>
  <c r="H891" i="366"/>
  <c r="H890" i="366"/>
  <c r="H889" i="366"/>
  <c r="H888" i="366"/>
  <c r="H887" i="366"/>
  <c r="H886" i="366"/>
  <c r="H885" i="366"/>
  <c r="H884" i="366"/>
  <c r="H883" i="366"/>
  <c r="H882" i="366"/>
  <c r="H881" i="366"/>
  <c r="H880" i="366"/>
  <c r="H879" i="366"/>
  <c r="H878" i="366"/>
  <c r="H877" i="366"/>
  <c r="H876" i="366"/>
  <c r="H875" i="366"/>
  <c r="H874" i="366"/>
  <c r="H873" i="366"/>
  <c r="H872" i="366"/>
  <c r="H871" i="366"/>
  <c r="H870" i="366"/>
  <c r="H869" i="366"/>
  <c r="H868" i="366"/>
  <c r="H867" i="366"/>
  <c r="H866" i="366"/>
  <c r="H865" i="366"/>
  <c r="H864" i="366"/>
  <c r="H863" i="366"/>
  <c r="H862" i="366"/>
  <c r="H861" i="366"/>
  <c r="H860" i="366"/>
  <c r="H859" i="366"/>
  <c r="H858" i="366"/>
  <c r="H857" i="366"/>
  <c r="H856" i="366"/>
  <c r="H855" i="366"/>
  <c r="H854" i="366"/>
  <c r="H853" i="366"/>
  <c r="H852" i="366"/>
  <c r="H851" i="366"/>
  <c r="H850" i="366"/>
  <c r="H849" i="366"/>
  <c r="H848" i="366"/>
  <c r="H847" i="366"/>
  <c r="H846" i="366"/>
  <c r="H845" i="366"/>
  <c r="H844" i="366"/>
  <c r="H843" i="366"/>
  <c r="H842" i="366"/>
  <c r="H841" i="366"/>
  <c r="H840" i="366"/>
  <c r="H839" i="366"/>
  <c r="H838" i="366"/>
  <c r="H837" i="366"/>
  <c r="H836" i="366"/>
  <c r="H835" i="366"/>
  <c r="H834" i="366"/>
  <c r="H833" i="366"/>
  <c r="H832" i="366"/>
  <c r="H831" i="366"/>
  <c r="H830" i="366"/>
  <c r="H829" i="366"/>
  <c r="H828" i="366"/>
  <c r="H827" i="366"/>
  <c r="H826" i="366"/>
  <c r="H825" i="366"/>
  <c r="H824" i="366"/>
  <c r="H823" i="366"/>
  <c r="H822" i="366"/>
  <c r="H821" i="366"/>
  <c r="H820" i="366"/>
  <c r="H819" i="366"/>
  <c r="H818" i="366"/>
  <c r="H817" i="366"/>
  <c r="H816" i="366"/>
  <c r="H815" i="366"/>
  <c r="H814" i="366"/>
  <c r="H813" i="366"/>
  <c r="H812" i="366"/>
  <c r="H811" i="366"/>
  <c r="H810" i="366"/>
  <c r="H809" i="366"/>
  <c r="H808" i="366"/>
  <c r="H807" i="366"/>
  <c r="H806" i="366"/>
  <c r="H805" i="366"/>
  <c r="H804" i="366"/>
  <c r="H803" i="366"/>
  <c r="H802" i="366"/>
  <c r="H801" i="366"/>
  <c r="H800" i="366"/>
  <c r="H799" i="366"/>
  <c r="H798" i="366"/>
  <c r="H797" i="366"/>
  <c r="H796" i="366"/>
  <c r="H795" i="366"/>
  <c r="H794" i="366"/>
  <c r="H793" i="366"/>
  <c r="H792" i="366"/>
  <c r="H791" i="366"/>
  <c r="H790" i="366"/>
  <c r="H789" i="366"/>
  <c r="H788" i="366"/>
  <c r="H787" i="366"/>
  <c r="H786" i="366"/>
  <c r="H785" i="366"/>
  <c r="H784" i="366"/>
  <c r="H783" i="366"/>
  <c r="H782" i="366"/>
  <c r="H781" i="366"/>
  <c r="H780" i="366"/>
  <c r="H779" i="366"/>
  <c r="H778" i="366"/>
  <c r="H777" i="366"/>
  <c r="H776" i="366"/>
  <c r="H775" i="366"/>
  <c r="H774" i="366"/>
  <c r="H773" i="366"/>
  <c r="H772" i="366"/>
  <c r="H771" i="366"/>
  <c r="H770" i="366"/>
  <c r="H769" i="366"/>
  <c r="H768" i="366"/>
  <c r="H767" i="366"/>
  <c r="H766" i="366"/>
  <c r="H765" i="366"/>
  <c r="H764" i="366"/>
  <c r="H763" i="366"/>
  <c r="H762" i="366"/>
  <c r="H761" i="366"/>
  <c r="H760" i="366"/>
  <c r="H759" i="366"/>
  <c r="H758" i="366"/>
  <c r="H757" i="366"/>
  <c r="H756" i="366"/>
  <c r="H755" i="366"/>
  <c r="H754" i="366"/>
  <c r="H753" i="366"/>
  <c r="H752" i="366"/>
  <c r="H751" i="366"/>
  <c r="H750" i="366"/>
  <c r="H749" i="366"/>
  <c r="H748" i="366"/>
  <c r="H747" i="366"/>
  <c r="H746" i="366"/>
  <c r="H745" i="366"/>
  <c r="H744" i="366"/>
  <c r="H743" i="366"/>
  <c r="H742" i="366"/>
  <c r="H741" i="366"/>
  <c r="H740" i="366"/>
  <c r="H739" i="366"/>
  <c r="H738" i="366"/>
  <c r="H737" i="366"/>
  <c r="H736" i="366"/>
  <c r="H735" i="366"/>
  <c r="H734" i="366"/>
  <c r="H733" i="366"/>
  <c r="H732" i="366"/>
  <c r="H731" i="366"/>
  <c r="H730" i="366"/>
  <c r="H729" i="366"/>
  <c r="H728" i="366"/>
  <c r="H727" i="366"/>
  <c r="H726" i="366"/>
  <c r="H725" i="366"/>
  <c r="H724" i="366"/>
  <c r="H723" i="366"/>
  <c r="H722" i="366"/>
  <c r="H721" i="366"/>
  <c r="H720" i="366"/>
  <c r="H719" i="366"/>
  <c r="H718" i="366"/>
  <c r="H717" i="366"/>
  <c r="H716" i="366"/>
  <c r="H715" i="366"/>
  <c r="H714" i="366"/>
  <c r="H713" i="366"/>
  <c r="H712" i="366"/>
  <c r="H711" i="366"/>
  <c r="H710" i="366"/>
  <c r="H709" i="366"/>
  <c r="H708" i="366"/>
  <c r="H707" i="366"/>
  <c r="H706" i="366"/>
  <c r="H705" i="366"/>
  <c r="H704" i="366"/>
  <c r="H703" i="366"/>
  <c r="H702" i="366"/>
  <c r="H701" i="366"/>
  <c r="H700" i="366"/>
  <c r="H699" i="366"/>
  <c r="H698" i="366"/>
  <c r="H697" i="366"/>
  <c r="H696" i="366"/>
  <c r="H695" i="366"/>
  <c r="H694" i="366"/>
  <c r="H693" i="366"/>
  <c r="H692" i="366"/>
  <c r="H691" i="366"/>
  <c r="H690" i="366"/>
  <c r="H689" i="366"/>
  <c r="H688" i="366"/>
  <c r="H687" i="366"/>
  <c r="H686" i="366"/>
  <c r="H685" i="366"/>
  <c r="H684" i="366"/>
  <c r="H683" i="366"/>
  <c r="H682" i="366"/>
  <c r="H681" i="366"/>
  <c r="H680" i="366"/>
  <c r="H679" i="366"/>
  <c r="H678" i="366"/>
  <c r="H677" i="366"/>
  <c r="H676" i="366"/>
  <c r="H675" i="366"/>
  <c r="H674" i="366"/>
  <c r="H673" i="366"/>
  <c r="H672" i="366"/>
  <c r="H671" i="366"/>
  <c r="H670" i="366"/>
  <c r="H669" i="366"/>
  <c r="H668" i="366"/>
  <c r="H667" i="366"/>
  <c r="H666" i="366"/>
  <c r="H665" i="366"/>
  <c r="H664" i="366"/>
  <c r="H663" i="366"/>
  <c r="H662" i="366"/>
  <c r="H661" i="366"/>
  <c r="H660" i="366"/>
  <c r="H659" i="366"/>
  <c r="H658" i="366"/>
  <c r="H657" i="366"/>
  <c r="H656" i="366"/>
  <c r="H655" i="366"/>
  <c r="H654" i="366"/>
  <c r="H653" i="366"/>
  <c r="H652" i="366"/>
  <c r="H651" i="366"/>
  <c r="H650" i="366"/>
  <c r="H649" i="366"/>
  <c r="H648" i="366"/>
  <c r="H647" i="366"/>
  <c r="H646" i="366"/>
  <c r="H645" i="366"/>
  <c r="H644" i="366"/>
  <c r="H643" i="366"/>
  <c r="H642" i="366"/>
  <c r="H641" i="366"/>
  <c r="H640" i="366"/>
  <c r="H639" i="366"/>
  <c r="H638" i="366"/>
  <c r="H637" i="366"/>
  <c r="H636" i="366"/>
  <c r="H635" i="366"/>
  <c r="H634" i="366"/>
  <c r="H633" i="366"/>
  <c r="H632" i="366"/>
  <c r="H631" i="366"/>
  <c r="H630" i="366"/>
  <c r="H629" i="366"/>
  <c r="H628" i="366"/>
  <c r="H627" i="366"/>
  <c r="H626" i="366"/>
  <c r="H625" i="366"/>
  <c r="H624" i="366"/>
  <c r="H623" i="366"/>
  <c r="H622" i="366"/>
  <c r="H621" i="366"/>
  <c r="H620" i="366"/>
  <c r="H619" i="366"/>
  <c r="H618" i="366"/>
  <c r="H617" i="366"/>
  <c r="H616" i="366"/>
  <c r="H615" i="366"/>
  <c r="H614" i="366"/>
  <c r="H613" i="366"/>
  <c r="H612" i="366"/>
  <c r="H611" i="366"/>
  <c r="H610" i="366"/>
  <c r="H609" i="366"/>
  <c r="H608" i="366"/>
  <c r="H607" i="366"/>
  <c r="H606" i="366"/>
  <c r="H605" i="366"/>
  <c r="H604" i="366"/>
  <c r="H603" i="366"/>
  <c r="H602" i="366"/>
  <c r="H601" i="366"/>
  <c r="H600" i="366"/>
  <c r="H599" i="366"/>
  <c r="H598" i="366"/>
  <c r="H597" i="366"/>
  <c r="H596" i="366"/>
  <c r="H595" i="366"/>
  <c r="H594" i="366"/>
  <c r="H593" i="366"/>
  <c r="H592" i="366"/>
  <c r="H591" i="366"/>
  <c r="H590" i="366"/>
  <c r="H589" i="366"/>
  <c r="H588" i="366"/>
  <c r="H587" i="366"/>
  <c r="H586" i="366"/>
  <c r="H585" i="366"/>
  <c r="H584" i="366"/>
  <c r="H583" i="366"/>
  <c r="H582" i="366"/>
  <c r="H581" i="366"/>
  <c r="H580" i="366"/>
  <c r="H579" i="366"/>
  <c r="H578" i="366"/>
  <c r="H577" i="366"/>
  <c r="H576" i="366"/>
  <c r="H575" i="366"/>
  <c r="H574" i="366"/>
  <c r="H573" i="366"/>
  <c r="H572" i="366"/>
  <c r="H571" i="366"/>
  <c r="H570" i="366"/>
  <c r="H569" i="366"/>
  <c r="H568" i="366"/>
  <c r="H567" i="366"/>
  <c r="H566" i="366"/>
  <c r="H565" i="366"/>
  <c r="H564" i="366"/>
  <c r="H563" i="366"/>
  <c r="H562" i="366"/>
  <c r="H561" i="366"/>
  <c r="H560" i="366"/>
  <c r="H559" i="366"/>
  <c r="H558" i="366"/>
  <c r="H557" i="366"/>
  <c r="H556" i="366"/>
  <c r="H555" i="366"/>
  <c r="H554" i="366"/>
  <c r="H553" i="366"/>
  <c r="H552" i="366"/>
  <c r="H551" i="366"/>
  <c r="H550" i="366"/>
  <c r="H549" i="366"/>
  <c r="H548" i="366"/>
  <c r="H547" i="366"/>
  <c r="H546" i="366"/>
  <c r="H545" i="366"/>
  <c r="H544" i="366"/>
  <c r="H543" i="366"/>
  <c r="H542" i="366"/>
  <c r="H541" i="366"/>
  <c r="H540" i="366"/>
  <c r="H539" i="366"/>
  <c r="H538" i="366"/>
  <c r="H537" i="366"/>
  <c r="H536" i="366"/>
  <c r="H535" i="366"/>
  <c r="H534" i="366"/>
  <c r="H533" i="366"/>
  <c r="H532" i="366"/>
  <c r="H531" i="366"/>
  <c r="H530" i="366"/>
  <c r="H529" i="366"/>
  <c r="H528" i="366"/>
  <c r="H527" i="366"/>
  <c r="H526" i="366"/>
  <c r="H525" i="366"/>
  <c r="H524" i="366"/>
  <c r="H523" i="366"/>
  <c r="H522" i="366"/>
  <c r="H521" i="366"/>
  <c r="H520" i="366"/>
  <c r="H519" i="366"/>
  <c r="H518" i="366"/>
  <c r="H517" i="366"/>
  <c r="H516" i="366"/>
  <c r="H515" i="366"/>
  <c r="H514" i="366"/>
  <c r="H513" i="366"/>
  <c r="H512" i="366"/>
  <c r="H511" i="366"/>
  <c r="H510" i="366"/>
  <c r="H509" i="366"/>
  <c r="H508" i="366"/>
  <c r="H507" i="366"/>
  <c r="H506" i="366"/>
  <c r="H505" i="366"/>
  <c r="H504" i="366"/>
  <c r="H503" i="366"/>
  <c r="H502" i="366"/>
  <c r="H501" i="366"/>
  <c r="H500" i="366"/>
  <c r="H499" i="366"/>
  <c r="H498" i="366"/>
  <c r="H497" i="366"/>
  <c r="H496" i="366"/>
  <c r="H495" i="366"/>
  <c r="H494" i="366"/>
  <c r="H493" i="366"/>
  <c r="H492" i="366"/>
  <c r="H491" i="366"/>
  <c r="H490" i="366"/>
  <c r="H489" i="366"/>
  <c r="H488" i="366"/>
  <c r="H487" i="366"/>
  <c r="H486" i="366"/>
  <c r="H485" i="366"/>
  <c r="H484" i="366"/>
  <c r="H483" i="366"/>
  <c r="H482" i="366"/>
  <c r="H481" i="366"/>
  <c r="H480" i="366"/>
  <c r="H479" i="366"/>
  <c r="H478" i="366"/>
  <c r="H477" i="366"/>
  <c r="H476" i="366"/>
  <c r="H475" i="366"/>
  <c r="H474" i="366"/>
  <c r="H473" i="366"/>
  <c r="H472" i="366"/>
  <c r="H471" i="366"/>
  <c r="H470" i="366"/>
  <c r="H469" i="366"/>
  <c r="H468" i="366"/>
  <c r="H467" i="366"/>
  <c r="H466" i="366"/>
  <c r="H465" i="366"/>
  <c r="H464" i="366"/>
  <c r="H463" i="366"/>
  <c r="H462" i="366"/>
  <c r="H461" i="366"/>
  <c r="H460" i="366"/>
  <c r="H459" i="366"/>
  <c r="H458" i="366"/>
  <c r="H457" i="366"/>
  <c r="H456" i="366"/>
  <c r="H455" i="366"/>
  <c r="H454" i="366"/>
  <c r="H453" i="366"/>
  <c r="H452" i="366"/>
  <c r="H451" i="366"/>
  <c r="H450" i="366"/>
  <c r="H449" i="366"/>
  <c r="H448" i="366"/>
  <c r="H447" i="366"/>
  <c r="H446" i="366"/>
  <c r="H445" i="366"/>
  <c r="H444" i="366"/>
  <c r="H443" i="366"/>
  <c r="H442" i="366"/>
  <c r="H441" i="366"/>
  <c r="H440" i="366"/>
  <c r="H439" i="366"/>
  <c r="H438" i="366"/>
  <c r="H437" i="366"/>
  <c r="H436" i="366"/>
  <c r="H435" i="366"/>
  <c r="H434" i="366"/>
  <c r="H433" i="366"/>
  <c r="H432" i="366"/>
  <c r="H431" i="366"/>
  <c r="H430" i="366"/>
  <c r="H429" i="366"/>
  <c r="H428" i="366"/>
  <c r="H427" i="366"/>
  <c r="H426" i="366"/>
  <c r="H425" i="366"/>
  <c r="H424" i="366"/>
  <c r="H423" i="366"/>
  <c r="H422" i="366"/>
  <c r="H421" i="366"/>
  <c r="H420" i="366"/>
  <c r="H419" i="366"/>
  <c r="H418" i="366"/>
  <c r="H417" i="366"/>
  <c r="H416" i="366"/>
  <c r="H415" i="366"/>
  <c r="H414" i="366"/>
  <c r="H413" i="366"/>
  <c r="H412" i="366"/>
  <c r="H411" i="366"/>
  <c r="H410" i="366"/>
  <c r="H409" i="366"/>
  <c r="H408" i="366"/>
  <c r="H407" i="366"/>
  <c r="H406" i="366"/>
  <c r="H405" i="366"/>
  <c r="H404" i="366"/>
  <c r="H403" i="366"/>
  <c r="H402" i="366"/>
  <c r="H401" i="366"/>
  <c r="H400" i="366"/>
  <c r="H399" i="366"/>
  <c r="H398" i="366"/>
  <c r="H397" i="366"/>
  <c r="H396" i="366"/>
  <c r="H395" i="366"/>
  <c r="H394" i="366"/>
  <c r="H393" i="366"/>
  <c r="H392" i="366"/>
  <c r="H391" i="366"/>
  <c r="H390" i="366"/>
  <c r="H389" i="366"/>
  <c r="H388" i="366"/>
  <c r="H387" i="366"/>
  <c r="H386" i="366"/>
  <c r="H385" i="366"/>
  <c r="H384" i="366"/>
  <c r="H383" i="366"/>
  <c r="H382" i="366"/>
  <c r="H381" i="366"/>
  <c r="H380" i="366"/>
  <c r="H379" i="366"/>
  <c r="H378" i="366"/>
  <c r="H377" i="366"/>
  <c r="H376" i="366"/>
  <c r="H375" i="366"/>
  <c r="H374" i="366"/>
  <c r="H373" i="366"/>
  <c r="H372" i="366"/>
  <c r="H371" i="366"/>
  <c r="H370" i="366"/>
  <c r="H369" i="366"/>
  <c r="H368" i="366"/>
  <c r="H367" i="366"/>
  <c r="H366" i="366"/>
  <c r="H365" i="366"/>
  <c r="H364" i="366"/>
  <c r="H363" i="366"/>
  <c r="H362" i="366"/>
  <c r="H361" i="366"/>
  <c r="H360" i="366"/>
  <c r="H359" i="366"/>
  <c r="H358" i="366"/>
  <c r="H357" i="366"/>
  <c r="H356" i="366"/>
  <c r="H355" i="366"/>
  <c r="H354" i="366"/>
  <c r="H353" i="366"/>
  <c r="H352" i="366"/>
  <c r="H351" i="366"/>
  <c r="H350" i="366"/>
  <c r="H349" i="366"/>
  <c r="H348" i="366"/>
  <c r="H347" i="366"/>
  <c r="H346" i="366"/>
  <c r="H345" i="366"/>
  <c r="H344" i="366"/>
  <c r="H343" i="366"/>
  <c r="H342" i="366"/>
  <c r="H341" i="366"/>
  <c r="H340" i="366"/>
  <c r="H339" i="366"/>
  <c r="H338" i="366"/>
  <c r="H337" i="366"/>
  <c r="H336" i="366"/>
  <c r="H335" i="366"/>
  <c r="H334" i="366"/>
  <c r="H333" i="366"/>
  <c r="H332" i="366"/>
  <c r="H331" i="366"/>
  <c r="H330" i="366"/>
  <c r="H329" i="366"/>
  <c r="H328" i="366"/>
  <c r="H327" i="366"/>
  <c r="H326" i="366"/>
  <c r="H325" i="366"/>
  <c r="H324" i="366"/>
  <c r="H323" i="366"/>
  <c r="H322" i="366"/>
  <c r="H321" i="366"/>
  <c r="H320" i="366"/>
  <c r="H319" i="366"/>
  <c r="H318" i="366"/>
  <c r="H317" i="366"/>
  <c r="H316" i="366"/>
  <c r="H315" i="366"/>
  <c r="H314" i="366"/>
  <c r="H313" i="366"/>
  <c r="H312" i="366"/>
  <c r="H311" i="366"/>
  <c r="H310" i="366"/>
  <c r="H309" i="366"/>
  <c r="H308" i="366"/>
  <c r="H307" i="366"/>
  <c r="H306" i="366"/>
  <c r="H305" i="366"/>
  <c r="H304" i="366"/>
  <c r="H303" i="366"/>
  <c r="H302" i="366"/>
  <c r="H301" i="366"/>
  <c r="H300" i="366"/>
  <c r="H299" i="366"/>
  <c r="H298" i="366"/>
  <c r="H297" i="366"/>
  <c r="H296" i="366"/>
  <c r="H295" i="366"/>
  <c r="H294" i="366"/>
  <c r="H293" i="366"/>
  <c r="H292" i="366"/>
  <c r="H291" i="366"/>
  <c r="H290" i="366"/>
  <c r="H289" i="366"/>
  <c r="H288" i="366"/>
  <c r="H287" i="366"/>
  <c r="H286" i="366"/>
  <c r="H285" i="366"/>
  <c r="H284" i="366"/>
  <c r="H283" i="366"/>
  <c r="H282" i="366"/>
  <c r="H281" i="366"/>
  <c r="H280" i="366"/>
  <c r="H279" i="366"/>
  <c r="H278" i="366"/>
  <c r="H277" i="366"/>
  <c r="H276" i="366"/>
  <c r="H275" i="366"/>
  <c r="H274" i="366"/>
  <c r="H273" i="366"/>
  <c r="H272" i="366"/>
  <c r="H271" i="366"/>
  <c r="H270" i="366"/>
  <c r="H269" i="366"/>
  <c r="H268" i="366"/>
  <c r="H267" i="366"/>
  <c r="H266" i="366"/>
  <c r="H265" i="366"/>
  <c r="H264" i="366"/>
  <c r="H263" i="366"/>
  <c r="H262" i="366"/>
  <c r="H261" i="366"/>
  <c r="H260" i="366"/>
  <c r="H259" i="366"/>
  <c r="H258" i="366"/>
  <c r="H257" i="366"/>
  <c r="H256" i="366"/>
  <c r="H255" i="366"/>
  <c r="H254" i="366"/>
  <c r="H253" i="366"/>
  <c r="H252" i="366"/>
  <c r="H251" i="366"/>
  <c r="H250" i="366"/>
  <c r="H249" i="366"/>
  <c r="H248" i="366"/>
  <c r="H247" i="366"/>
  <c r="H246" i="366"/>
  <c r="H245" i="366"/>
  <c r="H244" i="366"/>
  <c r="H243" i="366"/>
  <c r="H242" i="366"/>
  <c r="H241" i="366"/>
  <c r="H240" i="366"/>
  <c r="H239" i="366"/>
  <c r="H238" i="366"/>
  <c r="H237" i="366"/>
  <c r="H236" i="366"/>
  <c r="H235" i="366"/>
  <c r="H234" i="366"/>
  <c r="H233" i="366"/>
  <c r="H232" i="366"/>
  <c r="H231" i="366"/>
  <c r="H230" i="366"/>
  <c r="H229" i="366"/>
  <c r="H228" i="366"/>
  <c r="H227" i="366"/>
  <c r="H226" i="366"/>
  <c r="H225" i="366"/>
  <c r="H224" i="366"/>
  <c r="H223" i="366"/>
  <c r="H222" i="366"/>
  <c r="H221" i="366"/>
  <c r="H220" i="366"/>
  <c r="H219" i="366"/>
  <c r="H218" i="366"/>
  <c r="H217" i="366"/>
  <c r="H216" i="366"/>
  <c r="H215" i="366"/>
  <c r="H214" i="366"/>
  <c r="H213" i="366"/>
  <c r="H212" i="366"/>
  <c r="H211" i="366"/>
  <c r="H210" i="366"/>
  <c r="H209" i="366"/>
  <c r="H208" i="366"/>
  <c r="H207" i="366"/>
  <c r="H206" i="366"/>
  <c r="H205" i="366"/>
  <c r="H204" i="366"/>
  <c r="H203" i="366"/>
  <c r="H202" i="366"/>
  <c r="H201" i="366"/>
  <c r="H200" i="366"/>
  <c r="H199" i="366"/>
  <c r="H198" i="366"/>
  <c r="H197" i="366"/>
  <c r="H196" i="366"/>
  <c r="H195" i="366"/>
  <c r="H194" i="366"/>
  <c r="H193" i="366"/>
  <c r="H192" i="366"/>
  <c r="H191" i="366"/>
  <c r="H190" i="366"/>
  <c r="H189" i="366"/>
  <c r="H188" i="366"/>
  <c r="H187" i="366"/>
  <c r="H186" i="366"/>
  <c r="H185" i="366"/>
  <c r="H184" i="366"/>
  <c r="H183" i="366"/>
  <c r="H182" i="366"/>
  <c r="H181" i="366"/>
  <c r="H180" i="366"/>
  <c r="H179" i="366"/>
  <c r="H178" i="366"/>
  <c r="H177" i="366"/>
  <c r="H176" i="366"/>
  <c r="H175" i="366"/>
  <c r="H174" i="366"/>
  <c r="H173" i="366"/>
  <c r="H172" i="366"/>
  <c r="H171" i="366"/>
  <c r="H170" i="366"/>
  <c r="H169" i="366"/>
  <c r="H168" i="366"/>
  <c r="H167" i="366"/>
  <c r="H166" i="366"/>
  <c r="H165" i="366"/>
  <c r="H164" i="366"/>
  <c r="H163" i="366"/>
  <c r="H162" i="366"/>
  <c r="H161" i="366"/>
  <c r="H160" i="366"/>
  <c r="H159" i="366"/>
  <c r="H158" i="366"/>
  <c r="H157" i="366"/>
  <c r="H156" i="366"/>
  <c r="H155" i="366"/>
  <c r="H154" i="366"/>
  <c r="H153" i="366"/>
  <c r="H152" i="366"/>
  <c r="H151" i="366"/>
  <c r="H150" i="366"/>
  <c r="H149" i="366"/>
  <c r="H148" i="366"/>
  <c r="H147" i="366"/>
  <c r="H146" i="366"/>
  <c r="H145" i="366"/>
  <c r="H144" i="366"/>
  <c r="H143" i="366"/>
  <c r="H142" i="366"/>
  <c r="H141" i="366"/>
  <c r="H140" i="366"/>
  <c r="H139" i="366"/>
  <c r="H138" i="366"/>
  <c r="H137" i="366"/>
  <c r="H136" i="366"/>
  <c r="H135" i="366"/>
  <c r="H134" i="366"/>
  <c r="H133" i="366"/>
  <c r="H132" i="366"/>
  <c r="H131" i="366"/>
  <c r="H130" i="366"/>
  <c r="H129" i="366"/>
  <c r="H128" i="366"/>
  <c r="H127" i="366"/>
  <c r="H126" i="366"/>
  <c r="H125" i="366"/>
  <c r="H124" i="366"/>
  <c r="H123" i="366"/>
  <c r="H122" i="366"/>
  <c r="H121" i="366"/>
  <c r="H120" i="366"/>
  <c r="H119" i="366"/>
  <c r="H118" i="366"/>
  <c r="H117" i="366"/>
  <c r="H116" i="366"/>
  <c r="H115" i="366"/>
  <c r="H114" i="366"/>
  <c r="H113" i="366"/>
  <c r="H112" i="366"/>
  <c r="H111" i="366"/>
  <c r="H110" i="366"/>
  <c r="H109" i="366"/>
  <c r="H108" i="366"/>
  <c r="H107" i="366"/>
  <c r="H106" i="366"/>
  <c r="H105" i="366"/>
  <c r="H104" i="366"/>
  <c r="H103" i="366"/>
  <c r="H102" i="366"/>
  <c r="H101" i="366"/>
  <c r="H100" i="366"/>
  <c r="H99" i="366"/>
  <c r="H98" i="366"/>
  <c r="H97" i="366"/>
  <c r="H96" i="366"/>
  <c r="H95" i="366"/>
  <c r="H94" i="366"/>
  <c r="H93" i="366"/>
  <c r="H92" i="366"/>
  <c r="H91" i="366"/>
  <c r="H90" i="366"/>
  <c r="H89" i="366"/>
  <c r="H88" i="366"/>
  <c r="H87" i="366"/>
  <c r="H86" i="366"/>
  <c r="H85" i="366"/>
  <c r="H84" i="366"/>
  <c r="H83" i="366"/>
  <c r="H82" i="366"/>
  <c r="H81" i="366"/>
  <c r="H80" i="366"/>
  <c r="H79" i="366"/>
  <c r="H78" i="366"/>
  <c r="H77" i="366"/>
  <c r="H76" i="366"/>
  <c r="H75" i="366"/>
  <c r="H74" i="366"/>
  <c r="H73" i="366"/>
  <c r="H72" i="366"/>
  <c r="H71" i="366"/>
  <c r="H70" i="366"/>
  <c r="H69" i="366"/>
  <c r="H68" i="366"/>
  <c r="H67" i="366"/>
  <c r="H66" i="366"/>
  <c r="H65" i="366"/>
  <c r="H64" i="366"/>
  <c r="H63" i="366"/>
  <c r="H62" i="366"/>
  <c r="H61" i="366"/>
  <c r="H60" i="366"/>
  <c r="H59" i="366"/>
  <c r="H58" i="366"/>
  <c r="H57" i="366"/>
  <c r="H56" i="366"/>
  <c r="H55" i="366"/>
  <c r="H54" i="366"/>
  <c r="H53" i="366"/>
  <c r="H52" i="366"/>
  <c r="H51" i="366"/>
  <c r="H50" i="366"/>
  <c r="H49" i="366"/>
  <c r="H48" i="366"/>
  <c r="H47" i="366"/>
  <c r="H46" i="366"/>
  <c r="H45" i="366"/>
  <c r="H44" i="366"/>
  <c r="H43" i="366"/>
  <c r="H42" i="366"/>
  <c r="H41" i="366"/>
  <c r="H40" i="366"/>
  <c r="H39" i="366"/>
  <c r="H38" i="366"/>
  <c r="H37" i="366"/>
  <c r="H36" i="366"/>
  <c r="H35" i="366"/>
  <c r="H34" i="366"/>
  <c r="H33" i="366"/>
  <c r="H32" i="366"/>
  <c r="H31" i="366"/>
  <c r="H30" i="366"/>
  <c r="H29" i="366"/>
  <c r="H28" i="366"/>
  <c r="H27" i="366"/>
  <c r="H26" i="366"/>
  <c r="H25" i="366"/>
  <c r="H24" i="366"/>
  <c r="H23" i="366"/>
  <c r="H22" i="366"/>
  <c r="H21" i="366"/>
  <c r="H20" i="366"/>
  <c r="H19" i="366"/>
  <c r="H18" i="366"/>
  <c r="H17" i="366"/>
  <c r="H16" i="366"/>
  <c r="H15" i="366"/>
  <c r="H14" i="366"/>
  <c r="H13" i="366"/>
  <c r="H12" i="366"/>
  <c r="H11" i="366"/>
  <c r="H10" i="366"/>
  <c r="H9" i="366"/>
  <c r="H8" i="366"/>
  <c r="H7" i="366"/>
  <c r="H6" i="366"/>
  <c r="H5" i="366"/>
  <c r="H4" i="366"/>
  <c r="D1021" i="366"/>
  <c r="E1021" i="366" s="1"/>
  <c r="D1020" i="366"/>
  <c r="E1020" i="366" s="1"/>
  <c r="D1019" i="366"/>
  <c r="E1019" i="366" s="1"/>
  <c r="D1018" i="366"/>
  <c r="E1018" i="366" s="1"/>
  <c r="D1017" i="366"/>
  <c r="E1017" i="366" s="1"/>
  <c r="D1016" i="366"/>
  <c r="E1016" i="366" s="1"/>
  <c r="D1015" i="366"/>
  <c r="E1015" i="366" s="1"/>
  <c r="D1014" i="366"/>
  <c r="D1013" i="366"/>
  <c r="E1013" i="366" s="1"/>
  <c r="D1012" i="366"/>
  <c r="E1012" i="366" s="1"/>
  <c r="D1011" i="366"/>
  <c r="E1011" i="366" s="1"/>
  <c r="D1010" i="366"/>
  <c r="E1010" i="366" s="1"/>
  <c r="D1009" i="366"/>
  <c r="E1009" i="366" s="1"/>
  <c r="D1008" i="366"/>
  <c r="E1008" i="366" s="1"/>
  <c r="D1007" i="366"/>
  <c r="E1007" i="366" s="1"/>
  <c r="D1006" i="366"/>
  <c r="D1005" i="366"/>
  <c r="E1005" i="366" s="1"/>
  <c r="D1004" i="366"/>
  <c r="E1004" i="366" s="1"/>
  <c r="D1003" i="366"/>
  <c r="E1003" i="366" s="1"/>
  <c r="D1002" i="366"/>
  <c r="E1002" i="366" s="1"/>
  <c r="D1001" i="366"/>
  <c r="E1001" i="366" s="1"/>
  <c r="D1000" i="366"/>
  <c r="E1000" i="366" s="1"/>
  <c r="D999" i="366"/>
  <c r="E999" i="366" s="1"/>
  <c r="D998" i="366"/>
  <c r="E998" i="366" s="1"/>
  <c r="D997" i="366"/>
  <c r="E997" i="366" s="1"/>
  <c r="D996" i="366"/>
  <c r="E996" i="366" s="1"/>
  <c r="I996" i="366" s="1"/>
  <c r="D995" i="366"/>
  <c r="E995" i="366" s="1"/>
  <c r="D994" i="366"/>
  <c r="D993" i="366"/>
  <c r="E993" i="366" s="1"/>
  <c r="D992" i="366"/>
  <c r="E992" i="366" s="1"/>
  <c r="I992" i="366" s="1"/>
  <c r="D991" i="366"/>
  <c r="E991" i="366" s="1"/>
  <c r="D990" i="366"/>
  <c r="D989" i="366"/>
  <c r="E989" i="366" s="1"/>
  <c r="D988" i="366"/>
  <c r="D987" i="366"/>
  <c r="E987" i="366" s="1"/>
  <c r="D986" i="366"/>
  <c r="E986" i="366" s="1"/>
  <c r="D985" i="366"/>
  <c r="E985" i="366" s="1"/>
  <c r="D984" i="366"/>
  <c r="E984" i="366" s="1"/>
  <c r="I984" i="366" s="1"/>
  <c r="D983" i="366"/>
  <c r="E983" i="366" s="1"/>
  <c r="D982" i="366"/>
  <c r="D981" i="366"/>
  <c r="E981" i="366" s="1"/>
  <c r="D980" i="366"/>
  <c r="E980" i="366" s="1"/>
  <c r="I980" i="366" s="1"/>
  <c r="D979" i="366"/>
  <c r="E979" i="366" s="1"/>
  <c r="D978" i="366"/>
  <c r="D977" i="366"/>
  <c r="E977" i="366" s="1"/>
  <c r="D976" i="366"/>
  <c r="E976" i="366" s="1"/>
  <c r="D975" i="366"/>
  <c r="E975" i="366" s="1"/>
  <c r="D974" i="366"/>
  <c r="D973" i="366"/>
  <c r="E973" i="366" s="1"/>
  <c r="D972" i="366"/>
  <c r="E972" i="366" s="1"/>
  <c r="D971" i="366"/>
  <c r="E971" i="366" s="1"/>
  <c r="D970" i="366"/>
  <c r="D969" i="366"/>
  <c r="E969" i="366" s="1"/>
  <c r="D968" i="366"/>
  <c r="E968" i="366" s="1"/>
  <c r="D967" i="366"/>
  <c r="E967" i="366" s="1"/>
  <c r="D966" i="366"/>
  <c r="D965" i="366"/>
  <c r="E965" i="366" s="1"/>
  <c r="D964" i="366"/>
  <c r="E964" i="366" s="1"/>
  <c r="I964" i="366" s="1"/>
  <c r="D963" i="366"/>
  <c r="E963" i="366" s="1"/>
  <c r="D962" i="366"/>
  <c r="D961" i="366"/>
  <c r="E961" i="366" s="1"/>
  <c r="D960" i="366"/>
  <c r="E960" i="366" s="1"/>
  <c r="I960" i="366" s="1"/>
  <c r="D959" i="366"/>
  <c r="E959" i="366" s="1"/>
  <c r="D958" i="366"/>
  <c r="D957" i="366"/>
  <c r="E957" i="366" s="1"/>
  <c r="D956" i="366"/>
  <c r="D955" i="366"/>
  <c r="E955" i="366" s="1"/>
  <c r="D954" i="366"/>
  <c r="D953" i="366"/>
  <c r="E953" i="366" s="1"/>
  <c r="D952" i="366"/>
  <c r="D951" i="366"/>
  <c r="E951" i="366" s="1"/>
  <c r="D950" i="366"/>
  <c r="D949" i="366"/>
  <c r="E949" i="366" s="1"/>
  <c r="D948" i="366"/>
  <c r="E948" i="366" s="1"/>
  <c r="D947" i="366"/>
  <c r="E947" i="366" s="1"/>
  <c r="D946" i="366"/>
  <c r="D945" i="366"/>
  <c r="E945" i="366" s="1"/>
  <c r="D944" i="366"/>
  <c r="E944" i="366" s="1"/>
  <c r="I944" i="366" s="1"/>
  <c r="D943" i="366"/>
  <c r="E943" i="366" s="1"/>
  <c r="D942" i="366"/>
  <c r="E942" i="366" s="1"/>
  <c r="D941" i="366"/>
  <c r="E941" i="366" s="1"/>
  <c r="D940" i="366"/>
  <c r="E940" i="366" s="1"/>
  <c r="I940" i="366" s="1"/>
  <c r="D939" i="366"/>
  <c r="E939" i="366" s="1"/>
  <c r="D938" i="366"/>
  <c r="D937" i="366"/>
  <c r="E937" i="366" s="1"/>
  <c r="D936" i="366"/>
  <c r="D935" i="366"/>
  <c r="E935" i="366" s="1"/>
  <c r="D934" i="366"/>
  <c r="D933" i="366"/>
  <c r="E933" i="366" s="1"/>
  <c r="D932" i="366"/>
  <c r="E932" i="366" s="1"/>
  <c r="D931" i="366"/>
  <c r="E931" i="366" s="1"/>
  <c r="D930" i="366"/>
  <c r="D929" i="366"/>
  <c r="E929" i="366" s="1"/>
  <c r="D928" i="366"/>
  <c r="E928" i="366" s="1"/>
  <c r="D927" i="366"/>
  <c r="D926" i="366"/>
  <c r="D925" i="366"/>
  <c r="E925" i="366" s="1"/>
  <c r="D924" i="366"/>
  <c r="E924" i="366" s="1"/>
  <c r="I924" i="366" s="1"/>
  <c r="D923" i="366"/>
  <c r="E923" i="366" s="1"/>
  <c r="D922" i="366"/>
  <c r="D921" i="366"/>
  <c r="E921" i="366" s="1"/>
  <c r="D920" i="366"/>
  <c r="E920" i="366" s="1"/>
  <c r="D919" i="366"/>
  <c r="E919" i="366" s="1"/>
  <c r="D918" i="366"/>
  <c r="E918" i="366" s="1"/>
  <c r="D917" i="366"/>
  <c r="E917" i="366" s="1"/>
  <c r="D916" i="366"/>
  <c r="E916" i="366" s="1"/>
  <c r="I916" i="366" s="1"/>
  <c r="D915" i="366"/>
  <c r="E915" i="366" s="1"/>
  <c r="D914" i="366"/>
  <c r="D913" i="366"/>
  <c r="E913" i="366" s="1"/>
  <c r="D912" i="366"/>
  <c r="D911" i="366"/>
  <c r="E911" i="366" s="1"/>
  <c r="D910" i="366"/>
  <c r="D909" i="366"/>
  <c r="E909" i="366" s="1"/>
  <c r="D908" i="366"/>
  <c r="E908" i="366" s="1"/>
  <c r="D907" i="366"/>
  <c r="E907" i="366" s="1"/>
  <c r="D906" i="366"/>
  <c r="D905" i="366"/>
  <c r="E905" i="366" s="1"/>
  <c r="D904" i="366"/>
  <c r="E904" i="366" s="1"/>
  <c r="D903" i="366"/>
  <c r="E903" i="366" s="1"/>
  <c r="D902" i="366"/>
  <c r="D901" i="366"/>
  <c r="E901" i="366" s="1"/>
  <c r="D900" i="366"/>
  <c r="E900" i="366" s="1"/>
  <c r="D899" i="366"/>
  <c r="E899" i="366" s="1"/>
  <c r="D898" i="366"/>
  <c r="E898" i="366" s="1"/>
  <c r="D897" i="366"/>
  <c r="E897" i="366" s="1"/>
  <c r="D896" i="366"/>
  <c r="E896" i="366" s="1"/>
  <c r="D895" i="366"/>
  <c r="E895" i="366" s="1"/>
  <c r="D894" i="366"/>
  <c r="D893" i="366"/>
  <c r="E893" i="366" s="1"/>
  <c r="D892" i="366"/>
  <c r="E892" i="366" s="1"/>
  <c r="D891" i="366"/>
  <c r="E891" i="366" s="1"/>
  <c r="D890" i="366"/>
  <c r="D889" i="366"/>
  <c r="E889" i="366" s="1"/>
  <c r="D888" i="366"/>
  <c r="E888" i="366" s="1"/>
  <c r="I888" i="366" s="1"/>
  <c r="D887" i="366"/>
  <c r="E887" i="366" s="1"/>
  <c r="D886" i="366"/>
  <c r="D885" i="366"/>
  <c r="E885" i="366" s="1"/>
  <c r="D884" i="366"/>
  <c r="E884" i="366" s="1"/>
  <c r="I884" i="366" s="1"/>
  <c r="D883" i="366"/>
  <c r="E883" i="366" s="1"/>
  <c r="D882" i="366"/>
  <c r="D881" i="366"/>
  <c r="E881" i="366" s="1"/>
  <c r="D880" i="366"/>
  <c r="E880" i="366" s="1"/>
  <c r="D879" i="366"/>
  <c r="E879" i="366" s="1"/>
  <c r="D878" i="366"/>
  <c r="D877" i="366"/>
  <c r="E877" i="366" s="1"/>
  <c r="D876" i="366"/>
  <c r="D875" i="366"/>
  <c r="E875" i="366" s="1"/>
  <c r="D874" i="366"/>
  <c r="D873" i="366"/>
  <c r="E873" i="366" s="1"/>
  <c r="D872" i="366"/>
  <c r="E872" i="366" s="1"/>
  <c r="D871" i="366"/>
  <c r="E871" i="366" s="1"/>
  <c r="D870" i="366"/>
  <c r="D869" i="366"/>
  <c r="E869" i="366" s="1"/>
  <c r="D868" i="366"/>
  <c r="E868" i="366" s="1"/>
  <c r="I868" i="366" s="1"/>
  <c r="D867" i="366"/>
  <c r="E867" i="366" s="1"/>
  <c r="D866" i="366"/>
  <c r="D865" i="366"/>
  <c r="E865" i="366" s="1"/>
  <c r="D864" i="366"/>
  <c r="E864" i="366" s="1"/>
  <c r="I864" i="366" s="1"/>
  <c r="D863" i="366"/>
  <c r="E863" i="366" s="1"/>
  <c r="D862" i="366"/>
  <c r="D861" i="366"/>
  <c r="E861" i="366" s="1"/>
  <c r="D860" i="366"/>
  <c r="E860" i="366" s="1"/>
  <c r="D859" i="366"/>
  <c r="E859" i="366" s="1"/>
  <c r="D858" i="366"/>
  <c r="E858" i="366" s="1"/>
  <c r="D857" i="366"/>
  <c r="E857" i="366" s="1"/>
  <c r="D856" i="366"/>
  <c r="E856" i="366" s="1"/>
  <c r="I856" i="366" s="1"/>
  <c r="M856" i="366" s="1"/>
  <c r="Q856" i="366" s="1"/>
  <c r="U856" i="366" s="1"/>
  <c r="D855" i="366"/>
  <c r="E855" i="366" s="1"/>
  <c r="D854" i="366"/>
  <c r="D853" i="366"/>
  <c r="E853" i="366" s="1"/>
  <c r="D852" i="366"/>
  <c r="D851" i="366"/>
  <c r="E851" i="366" s="1"/>
  <c r="D850" i="366"/>
  <c r="D849" i="366"/>
  <c r="E849" i="366" s="1"/>
  <c r="D848" i="366"/>
  <c r="E848" i="366" s="1"/>
  <c r="D847" i="366"/>
  <c r="E847" i="366" s="1"/>
  <c r="D846" i="366"/>
  <c r="D845" i="366"/>
  <c r="E845" i="366" s="1"/>
  <c r="D844" i="366"/>
  <c r="D843" i="366"/>
  <c r="E843" i="366" s="1"/>
  <c r="D842" i="366"/>
  <c r="D841" i="366"/>
  <c r="E841" i="366" s="1"/>
  <c r="D840" i="366"/>
  <c r="E840" i="366" s="1"/>
  <c r="I840" i="366" s="1"/>
  <c r="M840" i="366" s="1"/>
  <c r="Q840" i="366" s="1"/>
  <c r="U840" i="366" s="1"/>
  <c r="D839" i="366"/>
  <c r="E839" i="366" s="1"/>
  <c r="D838" i="366"/>
  <c r="D837" i="366"/>
  <c r="E837" i="366" s="1"/>
  <c r="D836" i="366"/>
  <c r="E836" i="366" s="1"/>
  <c r="D835" i="366"/>
  <c r="E835" i="366" s="1"/>
  <c r="D834" i="366"/>
  <c r="D833" i="366"/>
  <c r="E833" i="366" s="1"/>
  <c r="D832" i="366"/>
  <c r="E832" i="366" s="1"/>
  <c r="D831" i="366"/>
  <c r="E831" i="366" s="1"/>
  <c r="D830" i="366"/>
  <c r="E830" i="366" s="1"/>
  <c r="D829" i="366"/>
  <c r="E829" i="366" s="1"/>
  <c r="D828" i="366"/>
  <c r="E828" i="366" s="1"/>
  <c r="I828" i="366" s="1"/>
  <c r="M828" i="366" s="1"/>
  <c r="Q828" i="366" s="1"/>
  <c r="U828" i="366" s="1"/>
  <c r="D827" i="366"/>
  <c r="E827" i="366" s="1"/>
  <c r="D826" i="366"/>
  <c r="E826" i="366" s="1"/>
  <c r="D825" i="366"/>
  <c r="E825" i="366" s="1"/>
  <c r="D824" i="366"/>
  <c r="E824" i="366" s="1"/>
  <c r="I824" i="366" s="1"/>
  <c r="D823" i="366"/>
  <c r="E823" i="366" s="1"/>
  <c r="D822" i="366"/>
  <c r="E822" i="366" s="1"/>
  <c r="D821" i="366"/>
  <c r="E821" i="366" s="1"/>
  <c r="D820" i="366"/>
  <c r="E820" i="366" s="1"/>
  <c r="D819" i="366"/>
  <c r="E819" i="366" s="1"/>
  <c r="D818" i="366"/>
  <c r="D817" i="366"/>
  <c r="E817" i="366" s="1"/>
  <c r="D816" i="366"/>
  <c r="D815" i="366"/>
  <c r="E815" i="366" s="1"/>
  <c r="D814" i="366"/>
  <c r="D813" i="366"/>
  <c r="E813" i="366" s="1"/>
  <c r="D812" i="366"/>
  <c r="D811" i="366"/>
  <c r="E811" i="366" s="1"/>
  <c r="D810" i="366"/>
  <c r="E810" i="366" s="1"/>
  <c r="D809" i="366"/>
  <c r="E809" i="366" s="1"/>
  <c r="D808" i="366"/>
  <c r="D807" i="366"/>
  <c r="E807" i="366" s="1"/>
  <c r="D806" i="366"/>
  <c r="D805" i="366"/>
  <c r="E805" i="366" s="1"/>
  <c r="D804" i="366"/>
  <c r="E804" i="366" s="1"/>
  <c r="I804" i="366" s="1"/>
  <c r="D803" i="366"/>
  <c r="E803" i="366" s="1"/>
  <c r="D802" i="366"/>
  <c r="D801" i="366"/>
  <c r="E801" i="366" s="1"/>
  <c r="D800" i="366"/>
  <c r="D799" i="366"/>
  <c r="E799" i="366" s="1"/>
  <c r="D798" i="366"/>
  <c r="E798" i="366" s="1"/>
  <c r="D797" i="366"/>
  <c r="E797" i="366" s="1"/>
  <c r="D796" i="366"/>
  <c r="E796" i="366" s="1"/>
  <c r="I796" i="366" s="1"/>
  <c r="D795" i="366"/>
  <c r="E795" i="366" s="1"/>
  <c r="D794" i="366"/>
  <c r="E794" i="366" s="1"/>
  <c r="D793" i="366"/>
  <c r="E793" i="366" s="1"/>
  <c r="D792" i="366"/>
  <c r="E792" i="366" s="1"/>
  <c r="I792" i="366" s="1"/>
  <c r="D791" i="366"/>
  <c r="E791" i="366" s="1"/>
  <c r="D790" i="366"/>
  <c r="D789" i="366"/>
  <c r="E789" i="366" s="1"/>
  <c r="D788" i="366"/>
  <c r="E788" i="366" s="1"/>
  <c r="I788" i="366" s="1"/>
  <c r="D787" i="366"/>
  <c r="E787" i="366" s="1"/>
  <c r="D786" i="366"/>
  <c r="D785" i="366"/>
  <c r="E785" i="366" s="1"/>
  <c r="D784" i="366"/>
  <c r="E784" i="366" s="1"/>
  <c r="I784" i="366" s="1"/>
  <c r="M784" i="366" s="1"/>
  <c r="Q784" i="366" s="1"/>
  <c r="U784" i="366" s="1"/>
  <c r="D783" i="366"/>
  <c r="E783" i="366" s="1"/>
  <c r="D782" i="366"/>
  <c r="D781" i="366"/>
  <c r="E781" i="366" s="1"/>
  <c r="D780" i="366"/>
  <c r="E780" i="366" s="1"/>
  <c r="I780" i="366" s="1"/>
  <c r="D779" i="366"/>
  <c r="E779" i="366" s="1"/>
  <c r="D778" i="366"/>
  <c r="D777" i="366"/>
  <c r="E777" i="366" s="1"/>
  <c r="D776" i="366"/>
  <c r="E776" i="366" s="1"/>
  <c r="I776" i="366" s="1"/>
  <c r="D775" i="366"/>
  <c r="E775" i="366" s="1"/>
  <c r="D774" i="366"/>
  <c r="D773" i="366"/>
  <c r="E773" i="366" s="1"/>
  <c r="D772" i="366"/>
  <c r="D771" i="366"/>
  <c r="E771" i="366" s="1"/>
  <c r="D770" i="366"/>
  <c r="D769" i="366"/>
  <c r="E769" i="366" s="1"/>
  <c r="D768" i="366"/>
  <c r="E768" i="366" s="1"/>
  <c r="I768" i="366" s="1"/>
  <c r="D767" i="366"/>
  <c r="E767" i="366" s="1"/>
  <c r="D766" i="366"/>
  <c r="D765" i="366"/>
  <c r="E765" i="366" s="1"/>
  <c r="D764" i="366"/>
  <c r="E764" i="366" s="1"/>
  <c r="I764" i="366" s="1"/>
  <c r="D763" i="366"/>
  <c r="E763" i="366" s="1"/>
  <c r="D762" i="366"/>
  <c r="D761" i="366"/>
  <c r="E761" i="366" s="1"/>
  <c r="D760" i="366"/>
  <c r="E760" i="366" s="1"/>
  <c r="I760" i="366" s="1"/>
  <c r="D759" i="366"/>
  <c r="E759" i="366" s="1"/>
  <c r="D758" i="366"/>
  <c r="D757" i="366"/>
  <c r="E757" i="366" s="1"/>
  <c r="D756" i="366"/>
  <c r="E756" i="366" s="1"/>
  <c r="D755" i="366"/>
  <c r="E755" i="366" s="1"/>
  <c r="D754" i="366"/>
  <c r="D753" i="366"/>
  <c r="E753" i="366" s="1"/>
  <c r="D752" i="366"/>
  <c r="E752" i="366" s="1"/>
  <c r="I752" i="366" s="1"/>
  <c r="D751" i="366"/>
  <c r="E751" i="366" s="1"/>
  <c r="D750" i="366"/>
  <c r="E750" i="366" s="1"/>
  <c r="D749" i="366"/>
  <c r="E749" i="366" s="1"/>
  <c r="D748" i="366"/>
  <c r="E748" i="366" s="1"/>
  <c r="I748" i="366" s="1"/>
  <c r="D747" i="366"/>
  <c r="E747" i="366" s="1"/>
  <c r="D746" i="366"/>
  <c r="E746" i="366" s="1"/>
  <c r="D745" i="366"/>
  <c r="E745" i="366" s="1"/>
  <c r="D744" i="366"/>
  <c r="E744" i="366" s="1"/>
  <c r="I744" i="366" s="1"/>
  <c r="D743" i="366"/>
  <c r="E743" i="366" s="1"/>
  <c r="D742" i="366"/>
  <c r="D741" i="366"/>
  <c r="E741" i="366" s="1"/>
  <c r="D740" i="366"/>
  <c r="D739" i="366"/>
  <c r="E739" i="366" s="1"/>
  <c r="D738" i="366"/>
  <c r="D737" i="366"/>
  <c r="E737" i="366" s="1"/>
  <c r="D736" i="366"/>
  <c r="E736" i="366" s="1"/>
  <c r="D735" i="366"/>
  <c r="E735" i="366" s="1"/>
  <c r="D734" i="366"/>
  <c r="D733" i="366"/>
  <c r="E733" i="366" s="1"/>
  <c r="D732" i="366"/>
  <c r="E732" i="366" s="1"/>
  <c r="I732" i="366" s="1"/>
  <c r="D731" i="366"/>
  <c r="E731" i="366" s="1"/>
  <c r="D730" i="366"/>
  <c r="E730" i="366" s="1"/>
  <c r="D729" i="366"/>
  <c r="E729" i="366" s="1"/>
  <c r="D728" i="366"/>
  <c r="E728" i="366" s="1"/>
  <c r="I728" i="366" s="1"/>
  <c r="D727" i="366"/>
  <c r="E727" i="366" s="1"/>
  <c r="D726" i="366"/>
  <c r="E726" i="366" s="1"/>
  <c r="D725" i="366"/>
  <c r="E725" i="366" s="1"/>
  <c r="D724" i="366"/>
  <c r="E724" i="366" s="1"/>
  <c r="I724" i="366" s="1"/>
  <c r="D723" i="366"/>
  <c r="E723" i="366" s="1"/>
  <c r="D722" i="366"/>
  <c r="D721" i="366"/>
  <c r="E721" i="366" s="1"/>
  <c r="D720" i="366"/>
  <c r="E720" i="366" s="1"/>
  <c r="D719" i="366"/>
  <c r="E719" i="366" s="1"/>
  <c r="D718" i="366"/>
  <c r="E718" i="366" s="1"/>
  <c r="D717" i="366"/>
  <c r="E717" i="366" s="1"/>
  <c r="D716" i="366"/>
  <c r="E716" i="366" s="1"/>
  <c r="D715" i="366"/>
  <c r="E715" i="366" s="1"/>
  <c r="D714" i="366"/>
  <c r="D713" i="366"/>
  <c r="E713" i="366" s="1"/>
  <c r="D712" i="366"/>
  <c r="E712" i="366" s="1"/>
  <c r="D711" i="366"/>
  <c r="E711" i="366" s="1"/>
  <c r="D710" i="366"/>
  <c r="E710" i="366" s="1"/>
  <c r="D709" i="366"/>
  <c r="E709" i="366" s="1"/>
  <c r="D708" i="366"/>
  <c r="E708" i="366" s="1"/>
  <c r="I708" i="366" s="1"/>
  <c r="D707" i="366"/>
  <c r="E707" i="366" s="1"/>
  <c r="D706" i="366"/>
  <c r="E706" i="366" s="1"/>
  <c r="D705" i="366"/>
  <c r="E705" i="366" s="1"/>
  <c r="D704" i="366"/>
  <c r="E704" i="366" s="1"/>
  <c r="I704" i="366" s="1"/>
  <c r="D703" i="366"/>
  <c r="E703" i="366" s="1"/>
  <c r="D702" i="366"/>
  <c r="E702" i="366" s="1"/>
  <c r="D701" i="366"/>
  <c r="E701" i="366" s="1"/>
  <c r="D700" i="366"/>
  <c r="E700" i="366" s="1"/>
  <c r="D699" i="366"/>
  <c r="E699" i="366" s="1"/>
  <c r="D698" i="366"/>
  <c r="D697" i="366"/>
  <c r="E697" i="366" s="1"/>
  <c r="D696" i="366"/>
  <c r="E696" i="366" s="1"/>
  <c r="I696" i="366" s="1"/>
  <c r="D695" i="366"/>
  <c r="E695" i="366" s="1"/>
  <c r="D694" i="366"/>
  <c r="D693" i="366"/>
  <c r="E693" i="366" s="1"/>
  <c r="D692" i="366"/>
  <c r="E692" i="366" s="1"/>
  <c r="I692" i="366" s="1"/>
  <c r="D691" i="366"/>
  <c r="E691" i="366" s="1"/>
  <c r="D690" i="366"/>
  <c r="E690" i="366" s="1"/>
  <c r="D689" i="366"/>
  <c r="E689" i="366" s="1"/>
  <c r="D688" i="366"/>
  <c r="E688" i="366" s="1"/>
  <c r="D687" i="366"/>
  <c r="E687" i="366" s="1"/>
  <c r="D686" i="366"/>
  <c r="E686" i="366" s="1"/>
  <c r="D685" i="366"/>
  <c r="E685" i="366" s="1"/>
  <c r="D684" i="366"/>
  <c r="E684" i="366" s="1"/>
  <c r="I684" i="366" s="1"/>
  <c r="M684" i="366" s="1"/>
  <c r="Q684" i="366" s="1"/>
  <c r="U684" i="366" s="1"/>
  <c r="D683" i="366"/>
  <c r="E683" i="366" s="1"/>
  <c r="D682" i="366"/>
  <c r="E682" i="366" s="1"/>
  <c r="D681" i="366"/>
  <c r="E681" i="366" s="1"/>
  <c r="D680" i="366"/>
  <c r="D679" i="366"/>
  <c r="E679" i="366" s="1"/>
  <c r="D678" i="366"/>
  <c r="E678" i="366" s="1"/>
  <c r="D677" i="366"/>
  <c r="E677" i="366" s="1"/>
  <c r="D676" i="366"/>
  <c r="D675" i="366"/>
  <c r="E675" i="366" s="1"/>
  <c r="D674" i="366"/>
  <c r="E674" i="366" s="1"/>
  <c r="D673" i="366"/>
  <c r="E673" i="366" s="1"/>
  <c r="D672" i="366"/>
  <c r="E672" i="366" s="1"/>
  <c r="I672" i="366" s="1"/>
  <c r="D671" i="366"/>
  <c r="E671" i="366" s="1"/>
  <c r="D670" i="366"/>
  <c r="E670" i="366" s="1"/>
  <c r="D669" i="366"/>
  <c r="E669" i="366" s="1"/>
  <c r="D668" i="366"/>
  <c r="E668" i="366" s="1"/>
  <c r="I668" i="366" s="1"/>
  <c r="D667" i="366"/>
  <c r="E667" i="366" s="1"/>
  <c r="D666" i="366"/>
  <c r="E666" i="366" s="1"/>
  <c r="D665" i="366"/>
  <c r="E665" i="366" s="1"/>
  <c r="D664" i="366"/>
  <c r="E664" i="366" s="1"/>
  <c r="I664" i="366" s="1"/>
  <c r="D663" i="366"/>
  <c r="E663" i="366" s="1"/>
  <c r="D662" i="366"/>
  <c r="E662" i="366" s="1"/>
  <c r="D661" i="366"/>
  <c r="E661" i="366" s="1"/>
  <c r="D660" i="366"/>
  <c r="E660" i="366" s="1"/>
  <c r="I660" i="366" s="1"/>
  <c r="D659" i="366"/>
  <c r="E659" i="366" s="1"/>
  <c r="D658" i="366"/>
  <c r="E658" i="366" s="1"/>
  <c r="D657" i="366"/>
  <c r="E657" i="366" s="1"/>
  <c r="D656" i="366"/>
  <c r="E656" i="366" s="1"/>
  <c r="I656" i="366" s="1"/>
  <c r="D655" i="366"/>
  <c r="E655" i="366" s="1"/>
  <c r="D654" i="366"/>
  <c r="E654" i="366" s="1"/>
  <c r="D653" i="366"/>
  <c r="E653" i="366" s="1"/>
  <c r="D652" i="366"/>
  <c r="E652" i="366" s="1"/>
  <c r="D651" i="366"/>
  <c r="E651" i="366" s="1"/>
  <c r="D650" i="366"/>
  <c r="E650" i="366" s="1"/>
  <c r="D649" i="366"/>
  <c r="E649" i="366" s="1"/>
  <c r="D648" i="366"/>
  <c r="E648" i="366" s="1"/>
  <c r="I648" i="366" s="1"/>
  <c r="D647" i="366"/>
  <c r="E647" i="366" s="1"/>
  <c r="D646" i="366"/>
  <c r="E646" i="366" s="1"/>
  <c r="D645" i="366"/>
  <c r="E645" i="366" s="1"/>
  <c r="D644" i="366"/>
  <c r="E644" i="366" s="1"/>
  <c r="D643" i="366"/>
  <c r="E643" i="366" s="1"/>
  <c r="D642" i="366"/>
  <c r="E642" i="366" s="1"/>
  <c r="D641" i="366"/>
  <c r="E641" i="366" s="1"/>
  <c r="D640" i="366"/>
  <c r="D639" i="366"/>
  <c r="E639" i="366" s="1"/>
  <c r="D638" i="366"/>
  <c r="E638" i="366" s="1"/>
  <c r="D637" i="366"/>
  <c r="E637" i="366" s="1"/>
  <c r="D636" i="366"/>
  <c r="E636" i="366" s="1"/>
  <c r="D635" i="366"/>
  <c r="E635" i="366" s="1"/>
  <c r="D634" i="366"/>
  <c r="E634" i="366" s="1"/>
  <c r="D633" i="366"/>
  <c r="E633" i="366" s="1"/>
  <c r="D632" i="366"/>
  <c r="E632" i="366" s="1"/>
  <c r="D631" i="366"/>
  <c r="E631" i="366" s="1"/>
  <c r="D630" i="366"/>
  <c r="E630" i="366" s="1"/>
  <c r="D629" i="366"/>
  <c r="E629" i="366" s="1"/>
  <c r="D628" i="366"/>
  <c r="E628" i="366" s="1"/>
  <c r="I628" i="366" s="1"/>
  <c r="D627" i="366"/>
  <c r="E627" i="366" s="1"/>
  <c r="D626" i="366"/>
  <c r="E626" i="366" s="1"/>
  <c r="D625" i="366"/>
  <c r="E625" i="366" s="1"/>
  <c r="D624" i="366"/>
  <c r="D623" i="366"/>
  <c r="E623" i="366" s="1"/>
  <c r="D622" i="366"/>
  <c r="D621" i="366"/>
  <c r="E621" i="366" s="1"/>
  <c r="D620" i="366"/>
  <c r="E620" i="366" s="1"/>
  <c r="I620" i="366" s="1"/>
  <c r="D619" i="366"/>
  <c r="E619" i="366" s="1"/>
  <c r="D618" i="366"/>
  <c r="E618" i="366" s="1"/>
  <c r="D617" i="366"/>
  <c r="E617" i="366" s="1"/>
  <c r="D616" i="366"/>
  <c r="D615" i="366"/>
  <c r="E615" i="366" s="1"/>
  <c r="D614" i="366"/>
  <c r="E614" i="366" s="1"/>
  <c r="D613" i="366"/>
  <c r="E613" i="366" s="1"/>
  <c r="D612" i="366"/>
  <c r="E612" i="366" s="1"/>
  <c r="D611" i="366"/>
  <c r="E611" i="366" s="1"/>
  <c r="D610" i="366"/>
  <c r="E610" i="366" s="1"/>
  <c r="D609" i="366"/>
  <c r="E609" i="366" s="1"/>
  <c r="D608" i="366"/>
  <c r="E608" i="366" s="1"/>
  <c r="D607" i="366"/>
  <c r="E607" i="366" s="1"/>
  <c r="D606" i="366"/>
  <c r="E606" i="366" s="1"/>
  <c r="D605" i="366"/>
  <c r="E605" i="366" s="1"/>
  <c r="D604" i="366"/>
  <c r="D603" i="366"/>
  <c r="E603" i="366" s="1"/>
  <c r="D602" i="366"/>
  <c r="E602" i="366" s="1"/>
  <c r="D601" i="366"/>
  <c r="E601" i="366" s="1"/>
  <c r="D600" i="366"/>
  <c r="E600" i="366" s="1"/>
  <c r="D599" i="366"/>
  <c r="E599" i="366" s="1"/>
  <c r="D598" i="366"/>
  <c r="E598" i="366" s="1"/>
  <c r="D597" i="366"/>
  <c r="E597" i="366" s="1"/>
  <c r="D596" i="366"/>
  <c r="E596" i="366" s="1"/>
  <c r="I596" i="366" s="1"/>
  <c r="D595" i="366"/>
  <c r="E595" i="366" s="1"/>
  <c r="D594" i="366"/>
  <c r="E594" i="366" s="1"/>
  <c r="D593" i="366"/>
  <c r="E593" i="366" s="1"/>
  <c r="D592" i="366"/>
  <c r="E592" i="366" s="1"/>
  <c r="I592" i="366" s="1"/>
  <c r="D591" i="366"/>
  <c r="E591" i="366" s="1"/>
  <c r="D590" i="366"/>
  <c r="E590" i="366" s="1"/>
  <c r="D589" i="366"/>
  <c r="E589" i="366" s="1"/>
  <c r="D588" i="366"/>
  <c r="E588" i="366" s="1"/>
  <c r="D587" i="366"/>
  <c r="E587" i="366" s="1"/>
  <c r="D586" i="366"/>
  <c r="E586" i="366" s="1"/>
  <c r="D585" i="366"/>
  <c r="E585" i="366" s="1"/>
  <c r="D584" i="366"/>
  <c r="E584" i="366" s="1"/>
  <c r="I584" i="366" s="1"/>
  <c r="D583" i="366"/>
  <c r="E583" i="366" s="1"/>
  <c r="D582" i="366"/>
  <c r="E582" i="366" s="1"/>
  <c r="D581" i="366"/>
  <c r="E581" i="366" s="1"/>
  <c r="D580" i="366"/>
  <c r="E580" i="366" s="1"/>
  <c r="I580" i="366" s="1"/>
  <c r="D579" i="366"/>
  <c r="E579" i="366" s="1"/>
  <c r="D578" i="366"/>
  <c r="E578" i="366" s="1"/>
  <c r="D577" i="366"/>
  <c r="E577" i="366" s="1"/>
  <c r="D576" i="366"/>
  <c r="E576" i="366" s="1"/>
  <c r="D575" i="366"/>
  <c r="E575" i="366" s="1"/>
  <c r="D574" i="366"/>
  <c r="E574" i="366" s="1"/>
  <c r="D573" i="366"/>
  <c r="E573" i="366" s="1"/>
  <c r="D572" i="366"/>
  <c r="E572" i="366" s="1"/>
  <c r="I572" i="366" s="1"/>
  <c r="D571" i="366"/>
  <c r="E571" i="366" s="1"/>
  <c r="D570" i="366"/>
  <c r="E570" i="366" s="1"/>
  <c r="D569" i="366"/>
  <c r="E569" i="366" s="1"/>
  <c r="D568" i="366"/>
  <c r="D567" i="366"/>
  <c r="E567" i="366" s="1"/>
  <c r="D566" i="366"/>
  <c r="E566" i="366" s="1"/>
  <c r="D565" i="366"/>
  <c r="E565" i="366" s="1"/>
  <c r="D564" i="366"/>
  <c r="E564" i="366" s="1"/>
  <c r="D563" i="366"/>
  <c r="E563" i="366" s="1"/>
  <c r="D562" i="366"/>
  <c r="E562" i="366" s="1"/>
  <c r="D561" i="366"/>
  <c r="E561" i="366" s="1"/>
  <c r="D560" i="366"/>
  <c r="D559" i="366"/>
  <c r="E559" i="366" s="1"/>
  <c r="D558" i="366"/>
  <c r="E558" i="366" s="1"/>
  <c r="D557" i="366"/>
  <c r="E557" i="366" s="1"/>
  <c r="D556" i="366"/>
  <c r="E556" i="366" s="1"/>
  <c r="D555" i="366"/>
  <c r="E555" i="366" s="1"/>
  <c r="D554" i="366"/>
  <c r="D553" i="366"/>
  <c r="E553" i="366" s="1"/>
  <c r="D552" i="366"/>
  <c r="D551" i="366"/>
  <c r="E551" i="366" s="1"/>
  <c r="D550" i="366"/>
  <c r="E550" i="366" s="1"/>
  <c r="D549" i="366"/>
  <c r="E549" i="366" s="1"/>
  <c r="D548" i="366"/>
  <c r="E548" i="366" s="1"/>
  <c r="I548" i="366" s="1"/>
  <c r="D547" i="366"/>
  <c r="E547" i="366" s="1"/>
  <c r="D546" i="366"/>
  <c r="E546" i="366" s="1"/>
  <c r="D545" i="366"/>
  <c r="E545" i="366" s="1"/>
  <c r="D544" i="366"/>
  <c r="D543" i="366"/>
  <c r="E543" i="366" s="1"/>
  <c r="D542" i="366"/>
  <c r="E542" i="366" s="1"/>
  <c r="D541" i="366"/>
  <c r="E541" i="366" s="1"/>
  <c r="D540" i="366"/>
  <c r="D539" i="366"/>
  <c r="E539" i="366" s="1"/>
  <c r="D538" i="366"/>
  <c r="E538" i="366" s="1"/>
  <c r="D537" i="366"/>
  <c r="E537" i="366" s="1"/>
  <c r="D536" i="366"/>
  <c r="E536" i="366" s="1"/>
  <c r="D535" i="366"/>
  <c r="E535" i="366" s="1"/>
  <c r="D534" i="366"/>
  <c r="E534" i="366" s="1"/>
  <c r="D533" i="366"/>
  <c r="E533" i="366" s="1"/>
  <c r="D532" i="366"/>
  <c r="E532" i="366" s="1"/>
  <c r="I532" i="366" s="1"/>
  <c r="D531" i="366"/>
  <c r="E531" i="366" s="1"/>
  <c r="D530" i="366"/>
  <c r="E530" i="366" s="1"/>
  <c r="D529" i="366"/>
  <c r="E529" i="366" s="1"/>
  <c r="D528" i="366"/>
  <c r="E528" i="366" s="1"/>
  <c r="D527" i="366"/>
  <c r="E527" i="366" s="1"/>
  <c r="D526" i="366"/>
  <c r="E526" i="366" s="1"/>
  <c r="D525" i="366"/>
  <c r="E525" i="366" s="1"/>
  <c r="D524" i="366"/>
  <c r="E524" i="366" s="1"/>
  <c r="D523" i="366"/>
  <c r="E523" i="366" s="1"/>
  <c r="D522" i="366"/>
  <c r="D521" i="366"/>
  <c r="E521" i="366" s="1"/>
  <c r="D520" i="366"/>
  <c r="E520" i="366" s="1"/>
  <c r="D519" i="366"/>
  <c r="E519" i="366" s="1"/>
  <c r="D518" i="366"/>
  <c r="E518" i="366" s="1"/>
  <c r="D517" i="366"/>
  <c r="E517" i="366" s="1"/>
  <c r="D516" i="366"/>
  <c r="E516" i="366" s="1"/>
  <c r="I516" i="366" s="1"/>
  <c r="M516" i="366" s="1"/>
  <c r="Q516" i="366" s="1"/>
  <c r="U516" i="366" s="1"/>
  <c r="D515" i="366"/>
  <c r="E515" i="366" s="1"/>
  <c r="D514" i="366"/>
  <c r="E514" i="366" s="1"/>
  <c r="D513" i="366"/>
  <c r="E513" i="366" s="1"/>
  <c r="D512" i="366"/>
  <c r="D511" i="366"/>
  <c r="E511" i="366" s="1"/>
  <c r="D510" i="366"/>
  <c r="E510" i="366" s="1"/>
  <c r="D509" i="366"/>
  <c r="E509" i="366" s="1"/>
  <c r="D508" i="366"/>
  <c r="D507" i="366"/>
  <c r="E507" i="366" s="1"/>
  <c r="D506" i="366"/>
  <c r="E506" i="366" s="1"/>
  <c r="D505" i="366"/>
  <c r="E505" i="366" s="1"/>
  <c r="D504" i="366"/>
  <c r="E504" i="366" s="1"/>
  <c r="I504" i="366" s="1"/>
  <c r="D503" i="366"/>
  <c r="E503" i="366" s="1"/>
  <c r="D502" i="366"/>
  <c r="E502" i="366" s="1"/>
  <c r="D501" i="366"/>
  <c r="E501" i="366" s="1"/>
  <c r="D500" i="366"/>
  <c r="E500" i="366" s="1"/>
  <c r="D499" i="366"/>
  <c r="E499" i="366" s="1"/>
  <c r="D498" i="366"/>
  <c r="D497" i="366"/>
  <c r="E497" i="366" s="1"/>
  <c r="D496" i="366"/>
  <c r="E496" i="366" s="1"/>
  <c r="I496" i="366" s="1"/>
  <c r="D495" i="366"/>
  <c r="E495" i="366" s="1"/>
  <c r="D494" i="366"/>
  <c r="E494" i="366" s="1"/>
  <c r="D493" i="366"/>
  <c r="E493" i="366" s="1"/>
  <c r="D492" i="366"/>
  <c r="E492" i="366" s="1"/>
  <c r="D491" i="366"/>
  <c r="E491" i="366" s="1"/>
  <c r="D490" i="366"/>
  <c r="E490" i="366" s="1"/>
  <c r="D489" i="366"/>
  <c r="E489" i="366" s="1"/>
  <c r="D488" i="366"/>
  <c r="E488" i="366" s="1"/>
  <c r="D487" i="366"/>
  <c r="E487" i="366" s="1"/>
  <c r="D486" i="366"/>
  <c r="E486" i="366" s="1"/>
  <c r="D485" i="366"/>
  <c r="E485" i="366" s="1"/>
  <c r="D484" i="366"/>
  <c r="D483" i="366"/>
  <c r="E483" i="366" s="1"/>
  <c r="D482" i="366"/>
  <c r="E482" i="366" s="1"/>
  <c r="D481" i="366"/>
  <c r="E481" i="366" s="1"/>
  <c r="D480" i="366"/>
  <c r="D479" i="366"/>
  <c r="E479" i="366" s="1"/>
  <c r="D478" i="366"/>
  <c r="E478" i="366" s="1"/>
  <c r="D477" i="366"/>
  <c r="E477" i="366" s="1"/>
  <c r="D476" i="366"/>
  <c r="E476" i="366" s="1"/>
  <c r="I476" i="366" s="1"/>
  <c r="D475" i="366"/>
  <c r="E475" i="366" s="1"/>
  <c r="D474" i="366"/>
  <c r="E474" i="366" s="1"/>
  <c r="D473" i="366"/>
  <c r="E473" i="366" s="1"/>
  <c r="D472" i="366"/>
  <c r="E472" i="366" s="1"/>
  <c r="I472" i="366" s="1"/>
  <c r="D471" i="366"/>
  <c r="E471" i="366" s="1"/>
  <c r="D470" i="366"/>
  <c r="E470" i="366" s="1"/>
  <c r="D469" i="366"/>
  <c r="E469" i="366" s="1"/>
  <c r="D468" i="366"/>
  <c r="D467" i="366"/>
  <c r="E467" i="366" s="1"/>
  <c r="D466" i="366"/>
  <c r="E466" i="366" s="1"/>
  <c r="D465" i="366"/>
  <c r="E465" i="366" s="1"/>
  <c r="D464" i="366"/>
  <c r="E464" i="366" s="1"/>
  <c r="I464" i="366" s="1"/>
  <c r="D463" i="366"/>
  <c r="E463" i="366" s="1"/>
  <c r="D462" i="366"/>
  <c r="D461" i="366"/>
  <c r="E461" i="366" s="1"/>
  <c r="D460" i="366"/>
  <c r="E460" i="366" s="1"/>
  <c r="I460" i="366" s="1"/>
  <c r="D459" i="366"/>
  <c r="E459" i="366" s="1"/>
  <c r="D458" i="366"/>
  <c r="D457" i="366"/>
  <c r="E457" i="366" s="1"/>
  <c r="D456" i="366"/>
  <c r="D455" i="366"/>
  <c r="E455" i="366" s="1"/>
  <c r="D454" i="366"/>
  <c r="E454" i="366" s="1"/>
  <c r="D453" i="366"/>
  <c r="E453" i="366" s="1"/>
  <c r="D452" i="366"/>
  <c r="E452" i="366" s="1"/>
  <c r="I452" i="366" s="1"/>
  <c r="D451" i="366"/>
  <c r="E451" i="366" s="1"/>
  <c r="D450" i="366"/>
  <c r="E450" i="366" s="1"/>
  <c r="D449" i="366"/>
  <c r="E449" i="366" s="1"/>
  <c r="D448" i="366"/>
  <c r="E448" i="366" s="1"/>
  <c r="D447" i="366"/>
  <c r="E447" i="366" s="1"/>
  <c r="D446" i="366"/>
  <c r="D445" i="366"/>
  <c r="E445" i="366" s="1"/>
  <c r="D444" i="366"/>
  <c r="D443" i="366"/>
  <c r="E443" i="366" s="1"/>
  <c r="D442" i="366"/>
  <c r="E442" i="366" s="1"/>
  <c r="D441" i="366"/>
  <c r="E441" i="366" s="1"/>
  <c r="D440" i="366"/>
  <c r="E440" i="366" s="1"/>
  <c r="I440" i="366" s="1"/>
  <c r="D439" i="366"/>
  <c r="E439" i="366" s="1"/>
  <c r="D438" i="366"/>
  <c r="E438" i="366" s="1"/>
  <c r="D437" i="366"/>
  <c r="E437" i="366" s="1"/>
  <c r="D436" i="366"/>
  <c r="E436" i="366" s="1"/>
  <c r="I436" i="366" s="1"/>
  <c r="M436" i="366" s="1"/>
  <c r="Q436" i="366" s="1"/>
  <c r="U436" i="366" s="1"/>
  <c r="D435" i="366"/>
  <c r="E435" i="366" s="1"/>
  <c r="D434" i="366"/>
  <c r="E434" i="366" s="1"/>
  <c r="D433" i="366"/>
  <c r="E433" i="366" s="1"/>
  <c r="D432" i="366"/>
  <c r="E432" i="366" s="1"/>
  <c r="I432" i="366" s="1"/>
  <c r="D431" i="366"/>
  <c r="E431" i="366" s="1"/>
  <c r="D430" i="366"/>
  <c r="D429" i="366"/>
  <c r="E429" i="366" s="1"/>
  <c r="D428" i="366"/>
  <c r="E428" i="366" s="1"/>
  <c r="I428" i="366" s="1"/>
  <c r="D427" i="366"/>
  <c r="E427" i="366" s="1"/>
  <c r="D426" i="366"/>
  <c r="D425" i="366"/>
  <c r="E425" i="366" s="1"/>
  <c r="D424" i="366"/>
  <c r="E424" i="366" s="1"/>
  <c r="D423" i="366"/>
  <c r="E423" i="366" s="1"/>
  <c r="D422" i="366"/>
  <c r="D421" i="366"/>
  <c r="E421" i="366" s="1"/>
  <c r="D420" i="366"/>
  <c r="E420" i="366" s="1"/>
  <c r="D419" i="366"/>
  <c r="E419" i="366" s="1"/>
  <c r="D418" i="366"/>
  <c r="E418" i="366" s="1"/>
  <c r="D417" i="366"/>
  <c r="E417" i="366" s="1"/>
  <c r="D416" i="366"/>
  <c r="D415" i="366"/>
  <c r="E415" i="366" s="1"/>
  <c r="D414" i="366"/>
  <c r="E414" i="366" s="1"/>
  <c r="D413" i="366"/>
  <c r="E413" i="366" s="1"/>
  <c r="D412" i="366"/>
  <c r="E412" i="366" s="1"/>
  <c r="I412" i="366" s="1"/>
  <c r="D411" i="366"/>
  <c r="E411" i="366" s="1"/>
  <c r="D410" i="366"/>
  <c r="E410" i="366" s="1"/>
  <c r="D409" i="366"/>
  <c r="E409" i="366" s="1"/>
  <c r="D408" i="366"/>
  <c r="E408" i="366" s="1"/>
  <c r="D407" i="366"/>
  <c r="E407" i="366" s="1"/>
  <c r="D406" i="366"/>
  <c r="E406" i="366" s="1"/>
  <c r="D405" i="366"/>
  <c r="E405" i="366" s="1"/>
  <c r="D404" i="366"/>
  <c r="E404" i="366" s="1"/>
  <c r="D403" i="366"/>
  <c r="E403" i="366" s="1"/>
  <c r="D402" i="366"/>
  <c r="D401" i="366"/>
  <c r="E401" i="366" s="1"/>
  <c r="D400" i="366"/>
  <c r="E400" i="366" s="1"/>
  <c r="D399" i="366"/>
  <c r="E399" i="366" s="1"/>
  <c r="D398" i="366"/>
  <c r="D397" i="366"/>
  <c r="E397" i="366" s="1"/>
  <c r="D396" i="366"/>
  <c r="E396" i="366" s="1"/>
  <c r="I396" i="366" s="1"/>
  <c r="D395" i="366"/>
  <c r="E395" i="366" s="1"/>
  <c r="D394" i="366"/>
  <c r="E394" i="366" s="1"/>
  <c r="D393" i="366"/>
  <c r="E393" i="366" s="1"/>
  <c r="D392" i="366"/>
  <c r="D391" i="366"/>
  <c r="E391" i="366" s="1"/>
  <c r="D390" i="366"/>
  <c r="D389" i="366"/>
  <c r="E389" i="366" s="1"/>
  <c r="D388" i="366"/>
  <c r="E388" i="366" s="1"/>
  <c r="D387" i="366"/>
  <c r="E387" i="366" s="1"/>
  <c r="D386" i="366"/>
  <c r="E386" i="366" s="1"/>
  <c r="D385" i="366"/>
  <c r="E385" i="366" s="1"/>
  <c r="D384" i="366"/>
  <c r="E384" i="366" s="1"/>
  <c r="D383" i="366"/>
  <c r="E383" i="366" s="1"/>
  <c r="D382" i="366"/>
  <c r="E382" i="366" s="1"/>
  <c r="D381" i="366"/>
  <c r="E381" i="366" s="1"/>
  <c r="D380" i="366"/>
  <c r="D379" i="366"/>
  <c r="E379" i="366" s="1"/>
  <c r="D378" i="366"/>
  <c r="D377" i="366"/>
  <c r="E377" i="366" s="1"/>
  <c r="D376" i="366"/>
  <c r="E376" i="366" s="1"/>
  <c r="I376" i="366" s="1"/>
  <c r="M376" i="366" s="1"/>
  <c r="Q376" i="366" s="1"/>
  <c r="U376" i="366" s="1"/>
  <c r="D375" i="366"/>
  <c r="E375" i="366" s="1"/>
  <c r="D374" i="366"/>
  <c r="E374" i="366" s="1"/>
  <c r="D373" i="366"/>
  <c r="E373" i="366" s="1"/>
  <c r="D372" i="366"/>
  <c r="E372" i="366" s="1"/>
  <c r="I372" i="366" s="1"/>
  <c r="D371" i="366"/>
  <c r="E371" i="366" s="1"/>
  <c r="D370" i="366"/>
  <c r="D369" i="366"/>
  <c r="E369" i="366" s="1"/>
  <c r="D368" i="366"/>
  <c r="E368" i="366" s="1"/>
  <c r="I368" i="366" s="1"/>
  <c r="D367" i="366"/>
  <c r="E367" i="366" s="1"/>
  <c r="D366" i="366"/>
  <c r="D365" i="366"/>
  <c r="E365" i="366" s="1"/>
  <c r="D364" i="366"/>
  <c r="D363" i="366"/>
  <c r="E363" i="366" s="1"/>
  <c r="D362" i="366"/>
  <c r="E362" i="366" s="1"/>
  <c r="D361" i="366"/>
  <c r="E361" i="366" s="1"/>
  <c r="D360" i="366"/>
  <c r="D359" i="366"/>
  <c r="E359" i="366" s="1"/>
  <c r="D358" i="366"/>
  <c r="D357" i="366"/>
  <c r="E357" i="366" s="1"/>
  <c r="D356" i="366"/>
  <c r="E356" i="366" s="1"/>
  <c r="I356" i="366" s="1"/>
  <c r="D355" i="366"/>
  <c r="E355" i="366" s="1"/>
  <c r="D354" i="366"/>
  <c r="E354" i="366" s="1"/>
  <c r="D353" i="366"/>
  <c r="E353" i="366" s="1"/>
  <c r="D352" i="366"/>
  <c r="E352" i="366" s="1"/>
  <c r="D351" i="366"/>
  <c r="E351" i="366" s="1"/>
  <c r="D350" i="366"/>
  <c r="E350" i="366" s="1"/>
  <c r="D349" i="366"/>
  <c r="E349" i="366" s="1"/>
  <c r="D348" i="366"/>
  <c r="E348" i="366" s="1"/>
  <c r="D347" i="366"/>
  <c r="E347" i="366" s="1"/>
  <c r="D346" i="366"/>
  <c r="D345" i="366"/>
  <c r="E345" i="366" s="1"/>
  <c r="D344" i="366"/>
  <c r="E344" i="366" s="1"/>
  <c r="I344" i="366" s="1"/>
  <c r="D343" i="366"/>
  <c r="E343" i="366" s="1"/>
  <c r="D342" i="366"/>
  <c r="E342" i="366" s="1"/>
  <c r="D341" i="366"/>
  <c r="E341" i="366" s="1"/>
  <c r="D340" i="366"/>
  <c r="E340" i="366" s="1"/>
  <c r="I340" i="366" s="1"/>
  <c r="D339" i="366"/>
  <c r="E339" i="366" s="1"/>
  <c r="D338" i="366"/>
  <c r="E338" i="366" s="1"/>
  <c r="D337" i="366"/>
  <c r="E337" i="366" s="1"/>
  <c r="D336" i="366"/>
  <c r="D335" i="366"/>
  <c r="E335" i="366" s="1"/>
  <c r="D334" i="366"/>
  <c r="E334" i="366" s="1"/>
  <c r="D333" i="366"/>
  <c r="E333" i="366" s="1"/>
  <c r="D332" i="366"/>
  <c r="E332" i="366" s="1"/>
  <c r="D331" i="366"/>
  <c r="E331" i="366" s="1"/>
  <c r="D330" i="366"/>
  <c r="E330" i="366" s="1"/>
  <c r="D329" i="366"/>
  <c r="E329" i="366" s="1"/>
  <c r="D328" i="366"/>
  <c r="D327" i="366"/>
  <c r="E327" i="366" s="1"/>
  <c r="D326" i="366"/>
  <c r="D325" i="366"/>
  <c r="E325" i="366" s="1"/>
  <c r="D324" i="366"/>
  <c r="E324" i="366" s="1"/>
  <c r="D323" i="366"/>
  <c r="E323" i="366" s="1"/>
  <c r="D322" i="366"/>
  <c r="E322" i="366" s="1"/>
  <c r="D321" i="366"/>
  <c r="E321" i="366" s="1"/>
  <c r="D320" i="366"/>
  <c r="E320" i="366" s="1"/>
  <c r="D319" i="366"/>
  <c r="E319" i="366" s="1"/>
  <c r="D318" i="366"/>
  <c r="D317" i="366"/>
  <c r="E317" i="366" s="1"/>
  <c r="D316" i="366"/>
  <c r="E316" i="366" s="1"/>
  <c r="D315" i="366"/>
  <c r="E315" i="366" s="1"/>
  <c r="D314" i="366"/>
  <c r="D313" i="366"/>
  <c r="E313" i="366" s="1"/>
  <c r="D312" i="366"/>
  <c r="E312" i="366" s="1"/>
  <c r="I312" i="366" s="1"/>
  <c r="D311" i="366"/>
  <c r="E311" i="366" s="1"/>
  <c r="D310" i="366"/>
  <c r="E310" i="366" s="1"/>
  <c r="D309" i="366"/>
  <c r="E309" i="366" s="1"/>
  <c r="D308" i="366"/>
  <c r="E308" i="366" s="1"/>
  <c r="D307" i="366"/>
  <c r="E307" i="366" s="1"/>
  <c r="D306" i="366"/>
  <c r="D305" i="366"/>
  <c r="E305" i="366" s="1"/>
  <c r="D304" i="366"/>
  <c r="D303" i="366"/>
  <c r="E303" i="366" s="1"/>
  <c r="D302" i="366"/>
  <c r="D301" i="366"/>
  <c r="E301" i="366" s="1"/>
  <c r="D300" i="366"/>
  <c r="D299" i="366"/>
  <c r="E299" i="366" s="1"/>
  <c r="D298" i="366"/>
  <c r="E298" i="366" s="1"/>
  <c r="D297" i="366"/>
  <c r="E297" i="366" s="1"/>
  <c r="D296" i="366"/>
  <c r="E296" i="366" s="1"/>
  <c r="I296" i="366" s="1"/>
  <c r="D295" i="366"/>
  <c r="E295" i="366" s="1"/>
  <c r="D294" i="366"/>
  <c r="D293" i="366"/>
  <c r="E293" i="366" s="1"/>
  <c r="D292" i="366"/>
  <c r="E292" i="366" s="1"/>
  <c r="I292" i="366" s="1"/>
  <c r="D291" i="366"/>
  <c r="E291" i="366" s="1"/>
  <c r="D290" i="366"/>
  <c r="E290" i="366" s="1"/>
  <c r="D289" i="366"/>
  <c r="E289" i="366" s="1"/>
  <c r="D288" i="366"/>
  <c r="E288" i="366" s="1"/>
  <c r="D287" i="366"/>
  <c r="E287" i="366" s="1"/>
  <c r="D286" i="366"/>
  <c r="E286" i="366" s="1"/>
  <c r="D285" i="366"/>
  <c r="E285" i="366" s="1"/>
  <c r="D284" i="366"/>
  <c r="D283" i="366"/>
  <c r="E283" i="366" s="1"/>
  <c r="D282" i="366"/>
  <c r="E282" i="366" s="1"/>
  <c r="D281" i="366"/>
  <c r="E281" i="366" s="1"/>
  <c r="D280" i="366"/>
  <c r="E280" i="366" s="1"/>
  <c r="I280" i="366" s="1"/>
  <c r="D279" i="366"/>
  <c r="E279" i="366" s="1"/>
  <c r="D278" i="366"/>
  <c r="E278" i="366" s="1"/>
  <c r="D277" i="366"/>
  <c r="E277" i="366" s="1"/>
  <c r="D276" i="366"/>
  <c r="E276" i="366" s="1"/>
  <c r="I276" i="366" s="1"/>
  <c r="D275" i="366"/>
  <c r="E275" i="366" s="1"/>
  <c r="D274" i="366"/>
  <c r="E274" i="366" s="1"/>
  <c r="D273" i="366"/>
  <c r="E273" i="366" s="1"/>
  <c r="D272" i="366"/>
  <c r="E272" i="366" s="1"/>
  <c r="I272" i="366" s="1"/>
  <c r="D271" i="366"/>
  <c r="E271" i="366" s="1"/>
  <c r="D270" i="366"/>
  <c r="E270" i="366" s="1"/>
  <c r="D269" i="366"/>
  <c r="E269" i="366" s="1"/>
  <c r="D268" i="366"/>
  <c r="E268" i="366" s="1"/>
  <c r="I268" i="366" s="1"/>
  <c r="D267" i="366"/>
  <c r="E267" i="366" s="1"/>
  <c r="D266" i="366"/>
  <c r="E266" i="366" s="1"/>
  <c r="D265" i="366"/>
  <c r="E265" i="366" s="1"/>
  <c r="D264" i="366"/>
  <c r="D263" i="366"/>
  <c r="E263" i="366" s="1"/>
  <c r="D262" i="366"/>
  <c r="E262" i="366" s="1"/>
  <c r="D261" i="366"/>
  <c r="E261" i="366" s="1"/>
  <c r="D260" i="366"/>
  <c r="E260" i="366" s="1"/>
  <c r="I260" i="366" s="1"/>
  <c r="D259" i="366"/>
  <c r="E259" i="366" s="1"/>
  <c r="D258" i="366"/>
  <c r="E258" i="366" s="1"/>
  <c r="D257" i="366"/>
  <c r="E257" i="366" s="1"/>
  <c r="D256" i="366"/>
  <c r="D255" i="366"/>
  <c r="E255" i="366" s="1"/>
  <c r="D254" i="366"/>
  <c r="D253" i="366"/>
  <c r="E253" i="366" s="1"/>
  <c r="D252" i="366"/>
  <c r="D251" i="366"/>
  <c r="E251" i="366" s="1"/>
  <c r="D250" i="366"/>
  <c r="E250" i="366" s="1"/>
  <c r="D249" i="366"/>
  <c r="E249" i="366" s="1"/>
  <c r="D248" i="366"/>
  <c r="E248" i="366" s="1"/>
  <c r="I248" i="366" s="1"/>
  <c r="D247" i="366"/>
  <c r="E247" i="366" s="1"/>
  <c r="D246" i="366"/>
  <c r="E246" i="366" s="1"/>
  <c r="D245" i="366"/>
  <c r="E245" i="366" s="1"/>
  <c r="D244" i="366"/>
  <c r="E244" i="366" s="1"/>
  <c r="I244" i="366" s="1"/>
  <c r="D243" i="366"/>
  <c r="E243" i="366" s="1"/>
  <c r="D242" i="366"/>
  <c r="E242" i="366" s="1"/>
  <c r="D241" i="366"/>
  <c r="E241" i="366" s="1"/>
  <c r="D240" i="366"/>
  <c r="E240" i="366" s="1"/>
  <c r="I240" i="366" s="1"/>
  <c r="D239" i="366"/>
  <c r="E239" i="366" s="1"/>
  <c r="D238" i="366"/>
  <c r="E238" i="366" s="1"/>
  <c r="D237" i="366"/>
  <c r="E237" i="366" s="1"/>
  <c r="D236" i="366"/>
  <c r="E236" i="366" s="1"/>
  <c r="D235" i="366"/>
  <c r="E235" i="366" s="1"/>
  <c r="D234" i="366"/>
  <c r="E234" i="366" s="1"/>
  <c r="D233" i="366"/>
  <c r="E233" i="366" s="1"/>
  <c r="D232" i="366"/>
  <c r="E232" i="366" s="1"/>
  <c r="I232" i="366" s="1"/>
  <c r="D231" i="366"/>
  <c r="E231" i="366" s="1"/>
  <c r="D230" i="366"/>
  <c r="E230" i="366" s="1"/>
  <c r="D229" i="366"/>
  <c r="E229" i="366" s="1"/>
  <c r="D228" i="366"/>
  <c r="E228" i="366" s="1"/>
  <c r="I228" i="366" s="1"/>
  <c r="D227" i="366"/>
  <c r="E227" i="366" s="1"/>
  <c r="D226" i="366"/>
  <c r="E226" i="366" s="1"/>
  <c r="D225" i="366"/>
  <c r="E225" i="366" s="1"/>
  <c r="D224" i="366"/>
  <c r="E224" i="366" s="1"/>
  <c r="I224" i="366" s="1"/>
  <c r="D223" i="366"/>
  <c r="E223" i="366" s="1"/>
  <c r="D222" i="366"/>
  <c r="E222" i="366" s="1"/>
  <c r="D221" i="366"/>
  <c r="E221" i="366" s="1"/>
  <c r="D220" i="366"/>
  <c r="E220" i="366" s="1"/>
  <c r="I220" i="366" s="1"/>
  <c r="D219" i="366"/>
  <c r="E219" i="366" s="1"/>
  <c r="D218" i="366"/>
  <c r="E218" i="366" s="1"/>
  <c r="D217" i="366"/>
  <c r="E217" i="366" s="1"/>
  <c r="D216" i="366"/>
  <c r="E216" i="366" s="1"/>
  <c r="I216" i="366" s="1"/>
  <c r="D215" i="366"/>
  <c r="E215" i="366" s="1"/>
  <c r="D214" i="366"/>
  <c r="D213" i="366"/>
  <c r="E213" i="366" s="1"/>
  <c r="D212" i="366"/>
  <c r="E212" i="366" s="1"/>
  <c r="I212" i="366" s="1"/>
  <c r="D211" i="366"/>
  <c r="E211" i="366" s="1"/>
  <c r="D210" i="366"/>
  <c r="E210" i="366" s="1"/>
  <c r="D209" i="366"/>
  <c r="E209" i="366" s="1"/>
  <c r="D208" i="366"/>
  <c r="E208" i="366" s="1"/>
  <c r="D207" i="366"/>
  <c r="E207" i="366" s="1"/>
  <c r="D206" i="366"/>
  <c r="E206" i="366" s="1"/>
  <c r="D205" i="366"/>
  <c r="E205" i="366" s="1"/>
  <c r="D204" i="366"/>
  <c r="D203" i="366"/>
  <c r="E203" i="366" s="1"/>
  <c r="D202" i="366"/>
  <c r="E202" i="366" s="1"/>
  <c r="D201" i="366"/>
  <c r="E201" i="366" s="1"/>
  <c r="D200" i="366"/>
  <c r="E200" i="366" s="1"/>
  <c r="I200" i="366" s="1"/>
  <c r="D199" i="366"/>
  <c r="E199" i="366" s="1"/>
  <c r="D198" i="366"/>
  <c r="E198" i="366" s="1"/>
  <c r="D197" i="366"/>
  <c r="E197" i="366" s="1"/>
  <c r="D196" i="366"/>
  <c r="E196" i="366" s="1"/>
  <c r="I196" i="366" s="1"/>
  <c r="D195" i="366"/>
  <c r="E195" i="366" s="1"/>
  <c r="D194" i="366"/>
  <c r="E194" i="366" s="1"/>
  <c r="D193" i="366"/>
  <c r="E193" i="366" s="1"/>
  <c r="D192" i="366"/>
  <c r="E192" i="366" s="1"/>
  <c r="I192" i="366" s="1"/>
  <c r="D191" i="366"/>
  <c r="E191" i="366" s="1"/>
  <c r="D190" i="366"/>
  <c r="E190" i="366" s="1"/>
  <c r="D189" i="366"/>
  <c r="E189" i="366" s="1"/>
  <c r="D188" i="366"/>
  <c r="E188" i="366" s="1"/>
  <c r="D187" i="366"/>
  <c r="E187" i="366" s="1"/>
  <c r="D186" i="366"/>
  <c r="E186" i="366" s="1"/>
  <c r="D185" i="366"/>
  <c r="E185" i="366" s="1"/>
  <c r="D184" i="366"/>
  <c r="E184" i="366" s="1"/>
  <c r="D183" i="366"/>
  <c r="E183" i="366" s="1"/>
  <c r="D182" i="366"/>
  <c r="E182" i="366" s="1"/>
  <c r="D181" i="366"/>
  <c r="E181" i="366" s="1"/>
  <c r="D180" i="366"/>
  <c r="E180" i="366" s="1"/>
  <c r="I180" i="366" s="1"/>
  <c r="M180" i="366" s="1"/>
  <c r="Q180" i="366" s="1"/>
  <c r="U180" i="366" s="1"/>
  <c r="D179" i="366"/>
  <c r="E179" i="366" s="1"/>
  <c r="D178" i="366"/>
  <c r="D177" i="366"/>
  <c r="E177" i="366" s="1"/>
  <c r="D176" i="366"/>
  <c r="D175" i="366"/>
  <c r="E175" i="366" s="1"/>
  <c r="D174" i="366"/>
  <c r="E174" i="366" s="1"/>
  <c r="D173" i="366"/>
  <c r="E173" i="366" s="1"/>
  <c r="D172" i="366"/>
  <c r="E172" i="366" s="1"/>
  <c r="I172" i="366" s="1"/>
  <c r="D171" i="366"/>
  <c r="E171" i="366" s="1"/>
  <c r="D170" i="366"/>
  <c r="E170" i="366" s="1"/>
  <c r="D169" i="366"/>
  <c r="E169" i="366" s="1"/>
  <c r="D168" i="366"/>
  <c r="E168" i="366" s="1"/>
  <c r="I168" i="366" s="1"/>
  <c r="D167" i="366"/>
  <c r="E167" i="366" s="1"/>
  <c r="D166" i="366"/>
  <c r="E166" i="366" s="1"/>
  <c r="D165" i="366"/>
  <c r="E165" i="366" s="1"/>
  <c r="D164" i="366"/>
  <c r="E164" i="366" s="1"/>
  <c r="I164" i="366" s="1"/>
  <c r="D163" i="366"/>
  <c r="E163" i="366" s="1"/>
  <c r="D162" i="366"/>
  <c r="E162" i="366" s="1"/>
  <c r="D161" i="366"/>
  <c r="E161" i="366" s="1"/>
  <c r="D160" i="366"/>
  <c r="E160" i="366" s="1"/>
  <c r="I160" i="366" s="1"/>
  <c r="D159" i="366"/>
  <c r="E159" i="366" s="1"/>
  <c r="D158" i="366"/>
  <c r="E158" i="366" s="1"/>
  <c r="D157" i="366"/>
  <c r="E157" i="366" s="1"/>
  <c r="D156" i="366"/>
  <c r="E156" i="366" s="1"/>
  <c r="I156" i="366" s="1"/>
  <c r="D155" i="366"/>
  <c r="E155" i="366" s="1"/>
  <c r="D154" i="366"/>
  <c r="D153" i="366"/>
  <c r="E153" i="366" s="1"/>
  <c r="D152" i="366"/>
  <c r="E152" i="366" s="1"/>
  <c r="I152" i="366" s="1"/>
  <c r="D151" i="366"/>
  <c r="E151" i="366" s="1"/>
  <c r="D150" i="366"/>
  <c r="E150" i="366" s="1"/>
  <c r="D149" i="366"/>
  <c r="E149" i="366" s="1"/>
  <c r="D148" i="366"/>
  <c r="E148" i="366" s="1"/>
  <c r="I148" i="366" s="1"/>
  <c r="D147" i="366"/>
  <c r="E147" i="366" s="1"/>
  <c r="D146" i="366"/>
  <c r="E146" i="366" s="1"/>
  <c r="D145" i="366"/>
  <c r="E145" i="366" s="1"/>
  <c r="D144" i="366"/>
  <c r="E144" i="366" s="1"/>
  <c r="I144" i="366" s="1"/>
  <c r="D143" i="366"/>
  <c r="E143" i="366" s="1"/>
  <c r="D142" i="366"/>
  <c r="E142" i="366" s="1"/>
  <c r="D141" i="366"/>
  <c r="E141" i="366" s="1"/>
  <c r="D140" i="366"/>
  <c r="E140" i="366" s="1"/>
  <c r="D139" i="366"/>
  <c r="E139" i="366" s="1"/>
  <c r="D138" i="366"/>
  <c r="E138" i="366" s="1"/>
  <c r="D137" i="366"/>
  <c r="E137" i="366" s="1"/>
  <c r="D136" i="366"/>
  <c r="E136" i="366" s="1"/>
  <c r="I136" i="366" s="1"/>
  <c r="D135" i="366"/>
  <c r="E135" i="366" s="1"/>
  <c r="D134" i="366"/>
  <c r="E134" i="366" s="1"/>
  <c r="D133" i="366"/>
  <c r="E133" i="366" s="1"/>
  <c r="D132" i="366"/>
  <c r="E132" i="366" s="1"/>
  <c r="I132" i="366" s="1"/>
  <c r="D131" i="366"/>
  <c r="E131" i="366" s="1"/>
  <c r="D130" i="366"/>
  <c r="E130" i="366" s="1"/>
  <c r="D129" i="366"/>
  <c r="E129" i="366" s="1"/>
  <c r="D128" i="366"/>
  <c r="E128" i="366" s="1"/>
  <c r="I128" i="366" s="1"/>
  <c r="D127" i="366"/>
  <c r="E127" i="366" s="1"/>
  <c r="D126" i="366"/>
  <c r="E126" i="366" s="1"/>
  <c r="D125" i="366"/>
  <c r="E125" i="366" s="1"/>
  <c r="D124" i="366"/>
  <c r="E124" i="366" s="1"/>
  <c r="I124" i="366" s="1"/>
  <c r="D123" i="366"/>
  <c r="E123" i="366" s="1"/>
  <c r="D122" i="366"/>
  <c r="E122" i="366" s="1"/>
  <c r="D121" i="366"/>
  <c r="D120" i="366"/>
  <c r="E120" i="366" s="1"/>
  <c r="I120" i="366" s="1"/>
  <c r="D119" i="366"/>
  <c r="E119" i="366" s="1"/>
  <c r="D118" i="366"/>
  <c r="E118" i="366" s="1"/>
  <c r="D117" i="366"/>
  <c r="E117" i="366" s="1"/>
  <c r="D116" i="366"/>
  <c r="E116" i="366" s="1"/>
  <c r="D115" i="366"/>
  <c r="E115" i="366" s="1"/>
  <c r="D114" i="366"/>
  <c r="E114" i="366" s="1"/>
  <c r="D113" i="366"/>
  <c r="E113" i="366" s="1"/>
  <c r="D112" i="366"/>
  <c r="E112" i="366" s="1"/>
  <c r="I112" i="366" s="1"/>
  <c r="D111" i="366"/>
  <c r="E111" i="366" s="1"/>
  <c r="D110" i="366"/>
  <c r="E110" i="366" s="1"/>
  <c r="D109" i="366"/>
  <c r="E109" i="366" s="1"/>
  <c r="D108" i="366"/>
  <c r="E108" i="366" s="1"/>
  <c r="I108" i="366" s="1"/>
  <c r="D107" i="366"/>
  <c r="E107" i="366" s="1"/>
  <c r="D106" i="366"/>
  <c r="E106" i="366" s="1"/>
  <c r="D105" i="366"/>
  <c r="E105" i="366" s="1"/>
  <c r="D104" i="366"/>
  <c r="E104" i="366" s="1"/>
  <c r="I104" i="366" s="1"/>
  <c r="D103" i="366"/>
  <c r="E103" i="366" s="1"/>
  <c r="D102" i="366"/>
  <c r="D101" i="366"/>
  <c r="E101" i="366" s="1"/>
  <c r="D100" i="366"/>
  <c r="E100" i="366" s="1"/>
  <c r="I100" i="366" s="1"/>
  <c r="D99" i="366"/>
  <c r="E99" i="366" s="1"/>
  <c r="D98" i="366"/>
  <c r="E98" i="366" s="1"/>
  <c r="D97" i="366"/>
  <c r="E97" i="366" s="1"/>
  <c r="D96" i="366"/>
  <c r="E96" i="366" s="1"/>
  <c r="I96" i="366" s="1"/>
  <c r="D95" i="366"/>
  <c r="E95" i="366" s="1"/>
  <c r="D94" i="366"/>
  <c r="E94" i="366" s="1"/>
  <c r="D93" i="366"/>
  <c r="E93" i="366" s="1"/>
  <c r="D92" i="366"/>
  <c r="E92" i="366" s="1"/>
  <c r="I92" i="366" s="1"/>
  <c r="D91" i="366"/>
  <c r="E91" i="366" s="1"/>
  <c r="D90" i="366"/>
  <c r="E90" i="366" s="1"/>
  <c r="D89" i="366"/>
  <c r="E89" i="366" s="1"/>
  <c r="D88" i="366"/>
  <c r="E88" i="366" s="1"/>
  <c r="I88" i="366" s="1"/>
  <c r="D87" i="366"/>
  <c r="E87" i="366" s="1"/>
  <c r="D86" i="366"/>
  <c r="E86" i="366" s="1"/>
  <c r="D85" i="366"/>
  <c r="E85" i="366" s="1"/>
  <c r="D84" i="366"/>
  <c r="E84" i="366" s="1"/>
  <c r="I84" i="366" s="1"/>
  <c r="M84" i="366" s="1"/>
  <c r="Q84" i="366" s="1"/>
  <c r="U84" i="366" s="1"/>
  <c r="D83" i="366"/>
  <c r="E83" i="366" s="1"/>
  <c r="D82" i="366"/>
  <c r="E82" i="366" s="1"/>
  <c r="D81" i="366"/>
  <c r="E81" i="366" s="1"/>
  <c r="D80" i="366"/>
  <c r="E80" i="366" s="1"/>
  <c r="I80" i="366" s="1"/>
  <c r="D79" i="366"/>
  <c r="E79" i="366" s="1"/>
  <c r="D78" i="366"/>
  <c r="E78" i="366" s="1"/>
  <c r="D77" i="366"/>
  <c r="E77" i="366" s="1"/>
  <c r="D76" i="366"/>
  <c r="D75" i="366"/>
  <c r="E75" i="366" s="1"/>
  <c r="D74" i="366"/>
  <c r="E74" i="366" s="1"/>
  <c r="D73" i="366"/>
  <c r="D72" i="366"/>
  <c r="E72" i="366" s="1"/>
  <c r="I72" i="366" s="1"/>
  <c r="D71" i="366"/>
  <c r="E71" i="366" s="1"/>
  <c r="D70" i="366"/>
  <c r="E70" i="366" s="1"/>
  <c r="D69" i="366"/>
  <c r="E69" i="366" s="1"/>
  <c r="D68" i="366"/>
  <c r="E68" i="366" s="1"/>
  <c r="I68" i="366" s="1"/>
  <c r="D67" i="366"/>
  <c r="E67" i="366" s="1"/>
  <c r="D66" i="366"/>
  <c r="E66" i="366" s="1"/>
  <c r="D65" i="366"/>
  <c r="E65" i="366" s="1"/>
  <c r="D64" i="366"/>
  <c r="E64" i="366" s="1"/>
  <c r="I64" i="366" s="1"/>
  <c r="D63" i="366"/>
  <c r="E63" i="366" s="1"/>
  <c r="D62" i="366"/>
  <c r="D61" i="366"/>
  <c r="E61" i="366" s="1"/>
  <c r="D60" i="366"/>
  <c r="E60" i="366" s="1"/>
  <c r="D59" i="366"/>
  <c r="E59" i="366" s="1"/>
  <c r="D58" i="366"/>
  <c r="E58" i="366" s="1"/>
  <c r="D57" i="366"/>
  <c r="E57" i="366" s="1"/>
  <c r="D56" i="366"/>
  <c r="E56" i="366" s="1"/>
  <c r="I56" i="366" s="1"/>
  <c r="M56" i="366" s="1"/>
  <c r="Q56" i="366" s="1"/>
  <c r="U56" i="366" s="1"/>
  <c r="D55" i="366"/>
  <c r="E55" i="366" s="1"/>
  <c r="D54" i="366"/>
  <c r="E54" i="366" s="1"/>
  <c r="D53" i="366"/>
  <c r="E53" i="366" s="1"/>
  <c r="D52" i="366"/>
  <c r="E52" i="366" s="1"/>
  <c r="I52" i="366" s="1"/>
  <c r="D51" i="366"/>
  <c r="E51" i="366" s="1"/>
  <c r="D50" i="366"/>
  <c r="E50" i="366" s="1"/>
  <c r="D49" i="366"/>
  <c r="E49" i="366" s="1"/>
  <c r="D48" i="366"/>
  <c r="E48" i="366" s="1"/>
  <c r="I48" i="366" s="1"/>
  <c r="D47" i="366"/>
  <c r="E47" i="366" s="1"/>
  <c r="D46" i="366"/>
  <c r="E46" i="366" s="1"/>
  <c r="D45" i="366"/>
  <c r="E45" i="366" s="1"/>
  <c r="D44" i="366"/>
  <c r="E44" i="366" s="1"/>
  <c r="I44" i="366" s="1"/>
  <c r="D43" i="366"/>
  <c r="E43" i="366" s="1"/>
  <c r="D42" i="366"/>
  <c r="E42" i="366" s="1"/>
  <c r="D41" i="366"/>
  <c r="E41" i="366" s="1"/>
  <c r="D40" i="366"/>
  <c r="E40" i="366" s="1"/>
  <c r="I40" i="366" s="1"/>
  <c r="D39" i="366"/>
  <c r="E39" i="366" s="1"/>
  <c r="D38" i="366"/>
  <c r="E38" i="366" s="1"/>
  <c r="D37" i="366"/>
  <c r="E37" i="366" s="1"/>
  <c r="D36" i="366"/>
  <c r="D35" i="366"/>
  <c r="E35" i="366" s="1"/>
  <c r="D34" i="366"/>
  <c r="E34" i="366" s="1"/>
  <c r="D33" i="366"/>
  <c r="D32" i="366"/>
  <c r="E32" i="366" s="1"/>
  <c r="I32" i="366" s="1"/>
  <c r="D31" i="366"/>
  <c r="E31" i="366" s="1"/>
  <c r="D30" i="366"/>
  <c r="E30" i="366" s="1"/>
  <c r="D29" i="366"/>
  <c r="E29" i="366" s="1"/>
  <c r="D28" i="366"/>
  <c r="E28" i="366" s="1"/>
  <c r="I28" i="366" s="1"/>
  <c r="M28" i="366" s="1"/>
  <c r="Q28" i="366" s="1"/>
  <c r="U28" i="366" s="1"/>
  <c r="D27" i="366"/>
  <c r="E27" i="366" s="1"/>
  <c r="D26" i="366"/>
  <c r="E26" i="366" s="1"/>
  <c r="D25" i="366"/>
  <c r="E25" i="366" s="1"/>
  <c r="D24" i="366"/>
  <c r="E24" i="366" s="1"/>
  <c r="I24" i="366" s="1"/>
  <c r="D23" i="366"/>
  <c r="E23" i="366" s="1"/>
  <c r="D22" i="366"/>
  <c r="E22" i="366" s="1"/>
  <c r="D21" i="366"/>
  <c r="E21" i="366" s="1"/>
  <c r="D20" i="366"/>
  <c r="E20" i="366" s="1"/>
  <c r="I20" i="366" s="1"/>
  <c r="D19" i="366"/>
  <c r="E19" i="366" s="1"/>
  <c r="D18" i="366"/>
  <c r="E18" i="366" s="1"/>
  <c r="D17" i="366"/>
  <c r="E17" i="366" s="1"/>
  <c r="D16" i="366"/>
  <c r="E16" i="366" s="1"/>
  <c r="I16" i="366" s="1"/>
  <c r="D15" i="366"/>
  <c r="E15" i="366" s="1"/>
  <c r="D14" i="366"/>
  <c r="E14" i="366" s="1"/>
  <c r="D13" i="366"/>
  <c r="E13" i="366" s="1"/>
  <c r="D12" i="366"/>
  <c r="E12" i="366" s="1"/>
  <c r="I12" i="366" s="1"/>
  <c r="D11" i="366"/>
  <c r="E11" i="366" s="1"/>
  <c r="D10" i="366"/>
  <c r="E10" i="366" s="1"/>
  <c r="D9" i="366"/>
  <c r="E9" i="366" s="1"/>
  <c r="D8" i="366"/>
  <c r="E8" i="366" s="1"/>
  <c r="I8" i="366" s="1"/>
  <c r="D7" i="366"/>
  <c r="E7" i="366" s="1"/>
  <c r="D6" i="366"/>
  <c r="E6" i="366" s="1"/>
  <c r="D5" i="366"/>
  <c r="E5" i="366" s="1"/>
  <c r="D4" i="366"/>
  <c r="E4" i="366" s="1"/>
  <c r="AW130" i="352"/>
  <c r="AW105" i="352" s="1"/>
  <c r="G17" i="393"/>
  <c r="F17" i="393"/>
  <c r="E17" i="393"/>
  <c r="D17" i="393"/>
  <c r="C17" i="393"/>
  <c r="P33" i="184"/>
  <c r="P53" i="184"/>
  <c r="AS105" i="352"/>
  <c r="AW114" i="352"/>
  <c r="AW52" i="352" s="1"/>
  <c r="AS114" i="352"/>
  <c r="AS52" i="352" s="1"/>
  <c r="AQ20" i="352"/>
  <c r="AS20" i="352" s="1"/>
  <c r="AU9" i="352"/>
  <c r="AW9" i="352"/>
  <c r="Q39" i="2"/>
  <c r="R39" i="2" s="1"/>
  <c r="S39" i="2" s="1"/>
  <c r="T39" i="2" s="1"/>
  <c r="H26" i="393"/>
  <c r="H17" i="393"/>
  <c r="AW103" i="389"/>
  <c r="AS103" i="389"/>
  <c r="AW137" i="389"/>
  <c r="AW83" i="389" s="1"/>
  <c r="AS137" i="389"/>
  <c r="AS83" i="389" s="1"/>
  <c r="AW130" i="389"/>
  <c r="AW52" i="389" s="1"/>
  <c r="AS130" i="389"/>
  <c r="AS52" i="389" s="1"/>
  <c r="AQ20" i="389"/>
  <c r="AU9" i="389"/>
  <c r="AW9" i="389"/>
  <c r="C49" i="409"/>
  <c r="C36" i="409"/>
  <c r="C10" i="409"/>
  <c r="C8" i="409"/>
  <c r="D8" i="409" s="1"/>
  <c r="E27" i="167"/>
  <c r="M42" i="1"/>
  <c r="C34" i="409"/>
  <c r="B17" i="421"/>
  <c r="A6" i="421"/>
  <c r="C12" i="420"/>
  <c r="E12" i="420" s="1"/>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J41" i="248" s="1"/>
  <c r="D94" i="408"/>
  <c r="D84" i="408"/>
  <c r="D35" i="408"/>
  <c r="J35" i="248" s="1"/>
  <c r="D33" i="408"/>
  <c r="J33" i="248" s="1"/>
  <c r="D32" i="408"/>
  <c r="J32" i="248" s="1"/>
  <c r="D31" i="408"/>
  <c r="J31" i="248" s="1"/>
  <c r="D20" i="408"/>
  <c r="J20" i="248" s="1"/>
  <c r="D19" i="408"/>
  <c r="J19" i="248"/>
  <c r="C49" i="361"/>
  <c r="C10" i="361"/>
  <c r="J24" i="248"/>
  <c r="J27" i="248" s="1"/>
  <c r="J36" i="248" s="1"/>
  <c r="J43" i="248" s="1"/>
  <c r="J59" i="248" s="1"/>
  <c r="J66" i="248" s="1"/>
  <c r="J79" i="248" s="1"/>
  <c r="J90" i="248" s="1"/>
  <c r="J30" i="248"/>
  <c r="J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C3" i="271"/>
  <c r="D3" i="272" s="1"/>
  <c r="D3" i="273" s="1"/>
  <c r="D3" i="274" s="1"/>
  <c r="C3" i="275" s="1"/>
  <c r="D3" i="276" s="1"/>
  <c r="D3" i="277" s="1"/>
  <c r="E3" i="278" s="1"/>
  <c r="E3" i="279" s="1"/>
  <c r="E3" i="282" s="1"/>
  <c r="C3" i="283" s="1"/>
  <c r="D3" i="284" s="1"/>
  <c r="D3" i="285" s="1"/>
  <c r="D3" i="286" s="1"/>
  <c r="C3" i="313" s="1"/>
  <c r="D3" i="287" s="1"/>
  <c r="D3" i="288" s="1"/>
  <c r="E3" i="289" s="1"/>
  <c r="E3" i="290" s="1"/>
  <c r="E3" i="304" s="1"/>
  <c r="C3" i="305" s="1"/>
  <c r="D3" i="306" s="1"/>
  <c r="D3" i="307" s="1"/>
  <c r="D3" i="308" s="1"/>
  <c r="C3" i="314" s="1"/>
  <c r="D3" i="309" s="1"/>
  <c r="D3" i="310" s="1"/>
  <c r="E3" i="311" s="1"/>
  <c r="E3" i="312" s="1"/>
  <c r="E3" i="317" s="1"/>
  <c r="C3" i="318" s="1"/>
  <c r="C2" i="271"/>
  <c r="D2" i="272" s="1"/>
  <c r="D2" i="273" s="1"/>
  <c r="D2" i="274" s="1"/>
  <c r="C2" i="275" s="1"/>
  <c r="D2" i="276" s="1"/>
  <c r="D2" i="277" s="1"/>
  <c r="E2" i="278" s="1"/>
  <c r="E2" i="279" s="1"/>
  <c r="E2" i="282" s="1"/>
  <c r="C2" i="283" s="1"/>
  <c r="D2" i="284" s="1"/>
  <c r="D2" i="285" s="1"/>
  <c r="D2" i="286" s="1"/>
  <c r="C2" i="313" s="1"/>
  <c r="D2" i="287" s="1"/>
  <c r="D2" i="288" s="1"/>
  <c r="E2" i="289" s="1"/>
  <c r="E2" i="290" s="1"/>
  <c r="E2" i="304" s="1"/>
  <c r="C2" i="305" s="1"/>
  <c r="D2" i="306" s="1"/>
  <c r="D2" i="307" s="1"/>
  <c r="D2" i="308" s="1"/>
  <c r="C2" i="314" s="1"/>
  <c r="D2" i="309" s="1"/>
  <c r="D2" i="310" s="1"/>
  <c r="E2" i="311" s="1"/>
  <c r="E2" i="312" s="1"/>
  <c r="E2" i="317" s="1"/>
  <c r="C2" i="428" s="1"/>
  <c r="AW128" i="168"/>
  <c r="AW103" i="168" s="1"/>
  <c r="AS128" i="168"/>
  <c r="AS103" i="168" s="1"/>
  <c r="AW121" i="168"/>
  <c r="AW83" i="168" s="1"/>
  <c r="AS121" i="168"/>
  <c r="AS83" i="168" s="1"/>
  <c r="E59" i="411" s="1"/>
  <c r="AW114" i="168"/>
  <c r="AW52" i="168" s="1"/>
  <c r="AS114" i="168"/>
  <c r="AS52" i="168" s="1"/>
  <c r="AQ20" i="168"/>
  <c r="C30" i="411"/>
  <c r="E30" i="411"/>
  <c r="AU9" i="168"/>
  <c r="AW9" i="168" s="1"/>
  <c r="O80" i="184"/>
  <c r="AW144" i="388"/>
  <c r="AW103" i="388" s="1"/>
  <c r="AS144" i="388"/>
  <c r="AS103" i="388" s="1"/>
  <c r="A86" i="411"/>
  <c r="A6" i="411"/>
  <c r="A82" i="411" s="1"/>
  <c r="AW137" i="388"/>
  <c r="AW83" i="388" s="1"/>
  <c r="AS137" i="388"/>
  <c r="AS83" i="388" s="1"/>
  <c r="AW130" i="388"/>
  <c r="AW52" i="388" s="1"/>
  <c r="AS130" i="388"/>
  <c r="AS52" i="388" s="1"/>
  <c r="AQ20" i="388"/>
  <c r="AS20" i="388" s="1"/>
  <c r="AS21" i="388" s="1"/>
  <c r="P16" i="74"/>
  <c r="E75" i="411" s="1"/>
  <c r="P15" i="74"/>
  <c r="E74" i="411" s="1"/>
  <c r="F68" i="410"/>
  <c r="H68" i="410" s="1"/>
  <c r="I68" i="410" s="1"/>
  <c r="F63" i="410"/>
  <c r="H63" i="410" s="1"/>
  <c r="I63" i="410" s="1"/>
  <c r="F61" i="410"/>
  <c r="H61" i="410" s="1"/>
  <c r="I61" i="410" s="1"/>
  <c r="F60" i="410"/>
  <c r="H60" i="410" s="1"/>
  <c r="I60" i="410" s="1"/>
  <c r="F59" i="410"/>
  <c r="H59" i="410"/>
  <c r="I59" i="410"/>
  <c r="F58" i="410"/>
  <c r="H58" i="410" s="1"/>
  <c r="I58" i="410" s="1"/>
  <c r="F57" i="410"/>
  <c r="H57" i="410" s="1"/>
  <c r="I57" i="410" s="1"/>
  <c r="I77" i="410"/>
  <c r="H64" i="410"/>
  <c r="I64" i="410" s="1"/>
  <c r="H62" i="410"/>
  <c r="I62" i="410" s="1"/>
  <c r="G50" i="410"/>
  <c r="AN45" i="410"/>
  <c r="AN43" i="410"/>
  <c r="AN42" i="410"/>
  <c r="AN40" i="410"/>
  <c r="M38" i="410"/>
  <c r="F19" i="410"/>
  <c r="F13" i="410"/>
  <c r="F3" i="410"/>
  <c r="F2" i="410"/>
  <c r="C2" i="410"/>
  <c r="F1" i="410"/>
  <c r="A25" i="409"/>
  <c r="A26" i="409" s="1"/>
  <c r="E20" i="409"/>
  <c r="B92" i="408"/>
  <c r="B63" i="408"/>
  <c r="A6" i="408"/>
  <c r="G139" i="142"/>
  <c r="AQ9" i="389" s="1"/>
  <c r="AS9" i="389" s="1"/>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F72" i="398" s="1"/>
  <c r="Q37" i="268"/>
  <c r="Q32" i="268"/>
  <c r="Q31" i="268"/>
  <c r="F64" i="280"/>
  <c r="H64" i="280" s="1"/>
  <c r="M64" i="280" s="1"/>
  <c r="D25" i="287"/>
  <c r="D94" i="371"/>
  <c r="D84" i="371"/>
  <c r="D94" i="316"/>
  <c r="D84" i="316"/>
  <c r="D94" i="301"/>
  <c r="D84" i="301"/>
  <c r="D94" i="281"/>
  <c r="C38" i="285"/>
  <c r="C36" i="285"/>
  <c r="F37" i="398"/>
  <c r="G37" i="398" s="1"/>
  <c r="C30" i="285"/>
  <c r="H32" i="280"/>
  <c r="M32" i="280" s="1"/>
  <c r="H31" i="280"/>
  <c r="M31" i="280" s="1"/>
  <c r="F10" i="280"/>
  <c r="D14" i="281" s="1"/>
  <c r="F14" i="248" s="1"/>
  <c r="E8" i="227"/>
  <c r="C14" i="285"/>
  <c r="D18" i="282"/>
  <c r="D17" i="282"/>
  <c r="D16" i="281"/>
  <c r="F16" i="248" s="1"/>
  <c r="EF52" i="168"/>
  <c r="EF112" i="168"/>
  <c r="EB52" i="168"/>
  <c r="EB112" i="168"/>
  <c r="ED9" i="168"/>
  <c r="EF9" i="168" s="1"/>
  <c r="DZ9" i="168"/>
  <c r="EB9" i="168" s="1"/>
  <c r="DX52" i="168"/>
  <c r="DX112" i="168"/>
  <c r="DT52" i="168"/>
  <c r="DT112" i="168"/>
  <c r="DV9" i="168"/>
  <c r="DX9" i="168" s="1"/>
  <c r="DR9" i="168"/>
  <c r="DT9" i="168" s="1"/>
  <c r="G141" i="269"/>
  <c r="D91" i="358" s="1"/>
  <c r="G65" i="269"/>
  <c r="BG57" i="388" s="1"/>
  <c r="D16" i="282"/>
  <c r="D19" i="282"/>
  <c r="C23" i="285"/>
  <c r="D22" i="281"/>
  <c r="F22" i="248" s="1"/>
  <c r="E57" i="1"/>
  <c r="E86" i="1" s="1"/>
  <c r="E107" i="1" s="1"/>
  <c r="G70" i="1"/>
  <c r="H34" i="302" s="1"/>
  <c r="D27" i="307" s="1"/>
  <c r="G28" i="398"/>
  <c r="E87" i="1"/>
  <c r="G87" i="1" s="1"/>
  <c r="I87" i="1" s="1"/>
  <c r="K87" i="1" s="1"/>
  <c r="M87" i="1" s="1"/>
  <c r="O87" i="1" s="1"/>
  <c r="E88" i="1"/>
  <c r="G88" i="1" s="1"/>
  <c r="I88" i="1" s="1"/>
  <c r="K88" i="1" s="1"/>
  <c r="M88" i="1" s="1"/>
  <c r="O88" i="1" s="1"/>
  <c r="E97" i="1"/>
  <c r="E98" i="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c r="F64" i="398"/>
  <c r="G64" i="398" s="1"/>
  <c r="F62" i="398"/>
  <c r="G62" i="398" s="1"/>
  <c r="F61" i="398"/>
  <c r="G61" i="398" s="1"/>
  <c r="F60" i="398"/>
  <c r="G60" i="398" s="1"/>
  <c r="F59" i="398"/>
  <c r="G59" i="398"/>
  <c r="F58" i="398"/>
  <c r="G58" i="398" s="1"/>
  <c r="AK42" i="398"/>
  <c r="G63" i="398"/>
  <c r="H50" i="398"/>
  <c r="AK45" i="398"/>
  <c r="G42" i="398"/>
  <c r="AK40" i="398"/>
  <c r="G38" i="398"/>
  <c r="F19" i="398"/>
  <c r="C2" i="398"/>
  <c r="Q34" i="268"/>
  <c r="Q28" i="268"/>
  <c r="A25" i="372"/>
  <c r="A26" i="372" s="1"/>
  <c r="A25" i="363"/>
  <c r="A26" i="363" s="1"/>
  <c r="A25" i="361"/>
  <c r="A26" i="361" s="1"/>
  <c r="A25" i="360"/>
  <c r="A26" i="360" s="1"/>
  <c r="A25" i="356"/>
  <c r="A26" i="356" s="1"/>
  <c r="AO137" i="389"/>
  <c r="AK137" i="389"/>
  <c r="AO130" i="389"/>
  <c r="AO52" i="389" s="1"/>
  <c r="AK130" i="389"/>
  <c r="AK52" i="389" s="1"/>
  <c r="AG137" i="389"/>
  <c r="AC137" i="389"/>
  <c r="AG130" i="389"/>
  <c r="AG52" i="389" s="1"/>
  <c r="AC130" i="389"/>
  <c r="AC52" i="389" s="1"/>
  <c r="Y137" i="389"/>
  <c r="U137" i="389"/>
  <c r="Y130" i="389"/>
  <c r="Y52" i="389" s="1"/>
  <c r="U130" i="389"/>
  <c r="U52" i="389" s="1"/>
  <c r="AO128" i="168"/>
  <c r="AO103" i="168" s="1"/>
  <c r="AK128" i="168"/>
  <c r="AK103" i="168" s="1"/>
  <c r="AG128" i="168"/>
  <c r="AG103" i="168" s="1"/>
  <c r="AC128" i="168"/>
  <c r="AC103" i="168" s="1"/>
  <c r="Y128" i="168"/>
  <c r="Y103" i="168" s="1"/>
  <c r="U128" i="168"/>
  <c r="U103" i="168" s="1"/>
  <c r="Q128" i="168"/>
  <c r="Q103" i="168" s="1"/>
  <c r="M128" i="168"/>
  <c r="M103" i="168" s="1"/>
  <c r="I128" i="168"/>
  <c r="I103" i="168" s="1"/>
  <c r="E128" i="168"/>
  <c r="E103" i="168"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Q137" i="389"/>
  <c r="M137" i="389"/>
  <c r="Q130" i="389"/>
  <c r="Q52" i="389" s="1"/>
  <c r="M130" i="389"/>
  <c r="M52" i="389" s="1"/>
  <c r="B839" i="395"/>
  <c r="B838" i="395"/>
  <c r="B837" i="395"/>
  <c r="B836" i="395"/>
  <c r="B835" i="395"/>
  <c r="B834" i="395"/>
  <c r="B833" i="395"/>
  <c r="B832" i="395"/>
  <c r="B831" i="395"/>
  <c r="B830" i="395"/>
  <c r="B829" i="395"/>
  <c r="B828" i="395"/>
  <c r="B827" i="395"/>
  <c r="B826" i="395"/>
  <c r="B825" i="395"/>
  <c r="B824" i="395"/>
  <c r="B823" i="395"/>
  <c r="B822" i="395"/>
  <c r="B821" i="395"/>
  <c r="B820" i="395"/>
  <c r="B819" i="395"/>
  <c r="B818" i="395"/>
  <c r="B817" i="395"/>
  <c r="B816" i="395"/>
  <c r="B815" i="395"/>
  <c r="B814" i="395"/>
  <c r="B813" i="395"/>
  <c r="B812" i="395"/>
  <c r="B811" i="395"/>
  <c r="B810" i="395"/>
  <c r="B809" i="395"/>
  <c r="B808" i="395"/>
  <c r="B807" i="395"/>
  <c r="B806" i="395"/>
  <c r="B805" i="395"/>
  <c r="B804" i="395"/>
  <c r="B803" i="395"/>
  <c r="B802" i="395"/>
  <c r="B801" i="395"/>
  <c r="B800" i="395"/>
  <c r="B799" i="395"/>
  <c r="B798" i="395"/>
  <c r="B797" i="395"/>
  <c r="B796" i="395"/>
  <c r="B795" i="395"/>
  <c r="B794" i="395"/>
  <c r="B793" i="395"/>
  <c r="B792" i="395"/>
  <c r="B791" i="395"/>
  <c r="B790" i="395"/>
  <c r="B789" i="395"/>
  <c r="B788" i="395"/>
  <c r="B787" i="395"/>
  <c r="B786" i="395"/>
  <c r="B785" i="395"/>
  <c r="B784" i="395"/>
  <c r="B783" i="395"/>
  <c r="B782" i="395"/>
  <c r="B781" i="395"/>
  <c r="B780" i="395"/>
  <c r="B779" i="395"/>
  <c r="B778" i="395"/>
  <c r="B777" i="395"/>
  <c r="B776" i="395"/>
  <c r="B775" i="395"/>
  <c r="B774" i="395"/>
  <c r="B773" i="395"/>
  <c r="B772" i="395"/>
  <c r="B771" i="395"/>
  <c r="B770" i="395"/>
  <c r="B769" i="395"/>
  <c r="B768" i="395"/>
  <c r="B767" i="395"/>
  <c r="B766" i="395"/>
  <c r="B765" i="395"/>
  <c r="B764" i="395"/>
  <c r="B763" i="395"/>
  <c r="B762" i="395"/>
  <c r="B761" i="395"/>
  <c r="B760" i="395"/>
  <c r="B759" i="395"/>
  <c r="B758" i="395"/>
  <c r="B757" i="395"/>
  <c r="B756" i="395"/>
  <c r="B755" i="395"/>
  <c r="B754" i="395"/>
  <c r="B753" i="395"/>
  <c r="B752" i="395"/>
  <c r="B751" i="395"/>
  <c r="B750" i="395"/>
  <c r="B749" i="395"/>
  <c r="B748" i="395"/>
  <c r="B747" i="395"/>
  <c r="B746" i="395"/>
  <c r="B745" i="395"/>
  <c r="B744" i="395"/>
  <c r="B743" i="395"/>
  <c r="B742" i="395"/>
  <c r="B741" i="395"/>
  <c r="B740" i="395"/>
  <c r="B739" i="395"/>
  <c r="B738" i="395"/>
  <c r="B737" i="395"/>
  <c r="B736" i="395"/>
  <c r="B735" i="395"/>
  <c r="B734" i="395"/>
  <c r="B733" i="395"/>
  <c r="B732" i="395"/>
  <c r="B731" i="395"/>
  <c r="B730" i="395"/>
  <c r="B729" i="395"/>
  <c r="B728" i="395"/>
  <c r="B727" i="395"/>
  <c r="B726" i="395"/>
  <c r="B725" i="395"/>
  <c r="B724" i="395"/>
  <c r="B723" i="395"/>
  <c r="B722" i="395"/>
  <c r="B721" i="395"/>
  <c r="B720" i="395"/>
  <c r="B719" i="395"/>
  <c r="B718" i="395"/>
  <c r="B717" i="395"/>
  <c r="B716" i="395"/>
  <c r="B715" i="395"/>
  <c r="B714" i="395"/>
  <c r="B713" i="395"/>
  <c r="B712" i="395"/>
  <c r="B711" i="395"/>
  <c r="B710" i="395"/>
  <c r="B709" i="395"/>
  <c r="B708" i="395"/>
  <c r="B707" i="395"/>
  <c r="B706" i="395"/>
  <c r="B705" i="395"/>
  <c r="B704" i="395"/>
  <c r="B703" i="395"/>
  <c r="B702" i="395"/>
  <c r="B701" i="395"/>
  <c r="B700" i="395"/>
  <c r="B699" i="395"/>
  <c r="B698" i="395"/>
  <c r="B697" i="395"/>
  <c r="B696" i="395"/>
  <c r="B695" i="395"/>
  <c r="B694" i="395"/>
  <c r="B693" i="395"/>
  <c r="B692" i="395"/>
  <c r="B691" i="395"/>
  <c r="B690" i="395"/>
  <c r="B689" i="395"/>
  <c r="B688" i="395"/>
  <c r="B687" i="395"/>
  <c r="B686" i="395"/>
  <c r="B685" i="395"/>
  <c r="B684" i="395"/>
  <c r="B683" i="395"/>
  <c r="B682" i="395"/>
  <c r="B681" i="395"/>
  <c r="B680" i="395"/>
  <c r="B679" i="395"/>
  <c r="B678" i="395"/>
  <c r="B677" i="395"/>
  <c r="B676" i="395"/>
  <c r="B675" i="395"/>
  <c r="B674" i="395"/>
  <c r="B673" i="395"/>
  <c r="B672" i="395"/>
  <c r="B671" i="395"/>
  <c r="B670" i="395"/>
  <c r="B669" i="395"/>
  <c r="B668" i="395"/>
  <c r="B667" i="395"/>
  <c r="B666" i="395"/>
  <c r="B665" i="395"/>
  <c r="B664" i="395"/>
  <c r="B663" i="395"/>
  <c r="B662" i="395"/>
  <c r="B661" i="395"/>
  <c r="B660" i="395"/>
  <c r="B659" i="395"/>
  <c r="B658" i="395"/>
  <c r="B657" i="395"/>
  <c r="B656" i="395"/>
  <c r="B655" i="395"/>
  <c r="B654" i="395"/>
  <c r="B653" i="395"/>
  <c r="B652" i="395"/>
  <c r="B651" i="395"/>
  <c r="B650" i="395"/>
  <c r="B649" i="395"/>
  <c r="B648" i="395"/>
  <c r="B647" i="395"/>
  <c r="B646" i="395"/>
  <c r="B645" i="395"/>
  <c r="B644" i="395"/>
  <c r="B643" i="395"/>
  <c r="B642" i="395"/>
  <c r="B641" i="395"/>
  <c r="B640" i="395"/>
  <c r="B639" i="395"/>
  <c r="B638" i="395"/>
  <c r="B637" i="395"/>
  <c r="B636" i="395"/>
  <c r="B635" i="395"/>
  <c r="B634" i="395"/>
  <c r="B633" i="395"/>
  <c r="B632" i="395"/>
  <c r="B631" i="395"/>
  <c r="B630" i="395"/>
  <c r="B629" i="395"/>
  <c r="B628" i="395"/>
  <c r="B627" i="395"/>
  <c r="B626" i="395"/>
  <c r="B625" i="395"/>
  <c r="B624" i="395"/>
  <c r="B623" i="395"/>
  <c r="B622" i="395"/>
  <c r="B621" i="395"/>
  <c r="B620" i="395"/>
  <c r="B619" i="395"/>
  <c r="B618" i="395"/>
  <c r="B617" i="395"/>
  <c r="B616" i="395"/>
  <c r="B615" i="395"/>
  <c r="B614" i="395"/>
  <c r="B613" i="395"/>
  <c r="B612" i="395"/>
  <c r="B611" i="395"/>
  <c r="B610" i="395"/>
  <c r="B609" i="395"/>
  <c r="B608" i="395"/>
  <c r="B607" i="395"/>
  <c r="B606" i="395"/>
  <c r="B605" i="395"/>
  <c r="B604" i="395"/>
  <c r="B603" i="395"/>
  <c r="B602" i="395"/>
  <c r="B601" i="395"/>
  <c r="B600" i="395"/>
  <c r="B599" i="395"/>
  <c r="B598" i="395"/>
  <c r="B597" i="395"/>
  <c r="B596" i="395"/>
  <c r="B595" i="395"/>
  <c r="B594" i="395"/>
  <c r="B593" i="395"/>
  <c r="B592" i="395"/>
  <c r="B591" i="395"/>
  <c r="B590" i="395"/>
  <c r="B589" i="395"/>
  <c r="B588" i="395"/>
  <c r="B587" i="395"/>
  <c r="B586" i="395"/>
  <c r="B585" i="395"/>
  <c r="B584" i="395"/>
  <c r="B583" i="395"/>
  <c r="B582" i="395"/>
  <c r="B581" i="395"/>
  <c r="B580" i="395"/>
  <c r="B579" i="395"/>
  <c r="B578" i="395"/>
  <c r="B577" i="395"/>
  <c r="B576" i="395"/>
  <c r="B575" i="395"/>
  <c r="B574" i="395"/>
  <c r="B573" i="395"/>
  <c r="B572" i="395"/>
  <c r="B571" i="395"/>
  <c r="B570" i="395"/>
  <c r="B569" i="395"/>
  <c r="B568" i="395"/>
  <c r="B567" i="395"/>
  <c r="B566" i="395"/>
  <c r="B565" i="395"/>
  <c r="B564" i="395"/>
  <c r="B563" i="395"/>
  <c r="B562" i="395"/>
  <c r="B561" i="395"/>
  <c r="B560" i="395"/>
  <c r="B559" i="395"/>
  <c r="B558" i="395"/>
  <c r="B557" i="395"/>
  <c r="B556" i="395"/>
  <c r="B555" i="395"/>
  <c r="B554" i="395"/>
  <c r="B553" i="395"/>
  <c r="B552" i="395"/>
  <c r="B551" i="395"/>
  <c r="B550" i="395"/>
  <c r="B549" i="395"/>
  <c r="B548" i="395"/>
  <c r="B547" i="395"/>
  <c r="B546" i="395"/>
  <c r="B545" i="395"/>
  <c r="B544" i="395"/>
  <c r="B543" i="395"/>
  <c r="B542" i="395"/>
  <c r="B541" i="395"/>
  <c r="B540" i="395"/>
  <c r="B539" i="395"/>
  <c r="B538" i="395"/>
  <c r="B537" i="395"/>
  <c r="B536" i="395"/>
  <c r="B535" i="395"/>
  <c r="B534" i="395"/>
  <c r="B533" i="395"/>
  <c r="B532" i="395"/>
  <c r="B531" i="395"/>
  <c r="B530" i="395"/>
  <c r="B529" i="395"/>
  <c r="B528" i="395"/>
  <c r="B527" i="395"/>
  <c r="B526" i="395"/>
  <c r="B525" i="395"/>
  <c r="B524" i="395"/>
  <c r="B523" i="395"/>
  <c r="B522" i="395"/>
  <c r="B521" i="395"/>
  <c r="B520" i="395"/>
  <c r="B519" i="395"/>
  <c r="B518" i="395"/>
  <c r="B517" i="395"/>
  <c r="B516" i="395"/>
  <c r="B515" i="395"/>
  <c r="B514" i="395"/>
  <c r="B513" i="395"/>
  <c r="B512" i="395"/>
  <c r="B511" i="395"/>
  <c r="B510" i="395"/>
  <c r="B509" i="395"/>
  <c r="B508" i="395"/>
  <c r="B507" i="395"/>
  <c r="B506" i="395"/>
  <c r="B505" i="395"/>
  <c r="B504" i="395"/>
  <c r="B503" i="395"/>
  <c r="B502" i="395"/>
  <c r="B501" i="395"/>
  <c r="B500" i="395"/>
  <c r="B499" i="395"/>
  <c r="B498" i="395"/>
  <c r="B497" i="395"/>
  <c r="B496" i="395"/>
  <c r="B495" i="395"/>
  <c r="B494" i="395"/>
  <c r="B493" i="395"/>
  <c r="B492" i="395"/>
  <c r="B491" i="395"/>
  <c r="B490" i="395"/>
  <c r="B489" i="395"/>
  <c r="B488" i="395"/>
  <c r="B487" i="395"/>
  <c r="B486" i="395"/>
  <c r="B485" i="395"/>
  <c r="B484" i="395"/>
  <c r="B483" i="395"/>
  <c r="B482" i="395"/>
  <c r="B481" i="395"/>
  <c r="B480" i="395"/>
  <c r="B479" i="395"/>
  <c r="B478" i="395"/>
  <c r="B477" i="395"/>
  <c r="B476" i="395"/>
  <c r="B475" i="395"/>
  <c r="B474" i="395"/>
  <c r="B473" i="395"/>
  <c r="B472" i="395"/>
  <c r="B471" i="395"/>
  <c r="B470" i="395"/>
  <c r="B469" i="395"/>
  <c r="B468" i="395"/>
  <c r="B467" i="395"/>
  <c r="B466" i="395"/>
  <c r="B465" i="395"/>
  <c r="B464" i="395"/>
  <c r="B463" i="395"/>
  <c r="B462" i="395"/>
  <c r="B461" i="395"/>
  <c r="B460" i="395"/>
  <c r="B459" i="395"/>
  <c r="B458" i="395"/>
  <c r="B457" i="395"/>
  <c r="B456" i="395"/>
  <c r="B455" i="395"/>
  <c r="B454" i="395"/>
  <c r="B453" i="395"/>
  <c r="B452" i="395"/>
  <c r="B451" i="395"/>
  <c r="B450" i="395"/>
  <c r="B449" i="395"/>
  <c r="B448" i="395"/>
  <c r="B447" i="395"/>
  <c r="B446" i="395"/>
  <c r="B445" i="395"/>
  <c r="B444" i="395"/>
  <c r="B443" i="395"/>
  <c r="B442" i="395"/>
  <c r="B441" i="395"/>
  <c r="B440" i="395"/>
  <c r="B439" i="395"/>
  <c r="B438" i="395"/>
  <c r="B437" i="395"/>
  <c r="B436" i="395"/>
  <c r="B435" i="395"/>
  <c r="B434" i="395"/>
  <c r="B433" i="395"/>
  <c r="B432" i="395"/>
  <c r="B431" i="395"/>
  <c r="B430" i="395"/>
  <c r="B429" i="395"/>
  <c r="B428" i="395"/>
  <c r="B427" i="395"/>
  <c r="B426" i="395"/>
  <c r="B425" i="395"/>
  <c r="B424" i="395"/>
  <c r="B423" i="395"/>
  <c r="B422" i="395"/>
  <c r="B421" i="395"/>
  <c r="B420" i="395"/>
  <c r="B419" i="395"/>
  <c r="B418" i="395"/>
  <c r="B417" i="395"/>
  <c r="B416" i="395"/>
  <c r="B415" i="395"/>
  <c r="B414" i="395"/>
  <c r="B413" i="395"/>
  <c r="B412" i="395"/>
  <c r="B411" i="395"/>
  <c r="B410" i="395"/>
  <c r="B409" i="395"/>
  <c r="B408" i="395"/>
  <c r="B407" i="395"/>
  <c r="B406" i="395"/>
  <c r="B405" i="395"/>
  <c r="B404" i="395"/>
  <c r="B403" i="395"/>
  <c r="B402" i="395"/>
  <c r="B401" i="395"/>
  <c r="B400" i="395"/>
  <c r="B399" i="395"/>
  <c r="B398" i="395"/>
  <c r="B397" i="395"/>
  <c r="B396" i="395"/>
  <c r="B395" i="395"/>
  <c r="B394" i="395"/>
  <c r="B393" i="395"/>
  <c r="B392" i="395"/>
  <c r="B391" i="395"/>
  <c r="B390" i="395"/>
  <c r="B389" i="395"/>
  <c r="B388" i="395"/>
  <c r="B387" i="395"/>
  <c r="B386" i="395"/>
  <c r="B385" i="395"/>
  <c r="B384" i="395"/>
  <c r="B383" i="395"/>
  <c r="B382" i="395"/>
  <c r="B381" i="395"/>
  <c r="B380" i="395"/>
  <c r="B379" i="395"/>
  <c r="B378" i="395"/>
  <c r="B377" i="395"/>
  <c r="B376" i="395"/>
  <c r="B375" i="395"/>
  <c r="B374" i="395"/>
  <c r="B373" i="395"/>
  <c r="B372" i="395"/>
  <c r="B371" i="395"/>
  <c r="B370" i="395"/>
  <c r="B369" i="395"/>
  <c r="B368" i="395"/>
  <c r="B367" i="395"/>
  <c r="B366" i="395"/>
  <c r="B365" i="395"/>
  <c r="B364" i="395"/>
  <c r="B363" i="395"/>
  <c r="B362" i="395"/>
  <c r="B361" i="395"/>
  <c r="B360" i="395"/>
  <c r="B359" i="395"/>
  <c r="B358" i="395"/>
  <c r="B357" i="395"/>
  <c r="B356" i="395"/>
  <c r="B355" i="395"/>
  <c r="B354" i="395"/>
  <c r="B353" i="395"/>
  <c r="B352" i="395"/>
  <c r="B351" i="395"/>
  <c r="B350" i="395"/>
  <c r="B349" i="395"/>
  <c r="B348" i="395"/>
  <c r="B347" i="395"/>
  <c r="B346" i="395"/>
  <c r="B345" i="395"/>
  <c r="B344" i="395"/>
  <c r="B343" i="395"/>
  <c r="B342" i="395"/>
  <c r="B341" i="395"/>
  <c r="B340" i="395"/>
  <c r="B339" i="395"/>
  <c r="B338" i="395"/>
  <c r="B337" i="395"/>
  <c r="B336" i="395"/>
  <c r="B335" i="395"/>
  <c r="B334" i="395"/>
  <c r="B333" i="395"/>
  <c r="B332" i="395"/>
  <c r="B331" i="395"/>
  <c r="B330" i="395"/>
  <c r="B329" i="395"/>
  <c r="B328" i="395"/>
  <c r="B327" i="395"/>
  <c r="B326" i="395"/>
  <c r="B325" i="395"/>
  <c r="B324" i="395"/>
  <c r="B323" i="395"/>
  <c r="B322" i="395"/>
  <c r="B321" i="395"/>
  <c r="B320" i="395"/>
  <c r="B319" i="395"/>
  <c r="B318" i="395"/>
  <c r="B317" i="395"/>
  <c r="B316" i="395"/>
  <c r="B315" i="395"/>
  <c r="B314" i="395"/>
  <c r="B313" i="395"/>
  <c r="B312" i="395"/>
  <c r="B311" i="395"/>
  <c r="B310" i="395"/>
  <c r="B309" i="395"/>
  <c r="B308" i="395"/>
  <c r="B307" i="395"/>
  <c r="B306" i="395"/>
  <c r="B305" i="395"/>
  <c r="B304" i="395"/>
  <c r="B303" i="395"/>
  <c r="B302" i="395"/>
  <c r="B301" i="395"/>
  <c r="B300" i="395"/>
  <c r="B299" i="395"/>
  <c r="B298" i="395"/>
  <c r="B297" i="395"/>
  <c r="B296" i="395"/>
  <c r="B295" i="395"/>
  <c r="B294" i="395"/>
  <c r="B293" i="395"/>
  <c r="B292" i="395"/>
  <c r="B291" i="395"/>
  <c r="B290" i="395"/>
  <c r="B289" i="395"/>
  <c r="B288" i="395"/>
  <c r="B287" i="395"/>
  <c r="B286" i="395"/>
  <c r="B285" i="395"/>
  <c r="B284" i="395"/>
  <c r="B283" i="395"/>
  <c r="B282" i="395"/>
  <c r="B281" i="395"/>
  <c r="B280" i="395"/>
  <c r="B279" i="395"/>
  <c r="B278" i="395"/>
  <c r="B277" i="395"/>
  <c r="B276" i="395"/>
  <c r="B275" i="395"/>
  <c r="B274" i="395"/>
  <c r="B273" i="395"/>
  <c r="B272" i="395"/>
  <c r="B271" i="395"/>
  <c r="B270" i="395"/>
  <c r="B269" i="395"/>
  <c r="B268" i="395"/>
  <c r="B267" i="395"/>
  <c r="B266" i="395"/>
  <c r="B265" i="395"/>
  <c r="B264" i="395"/>
  <c r="B263" i="395"/>
  <c r="B262" i="395"/>
  <c r="B261" i="395"/>
  <c r="B260" i="395"/>
  <c r="B259" i="395"/>
  <c r="B258" i="395"/>
  <c r="B257" i="395"/>
  <c r="B256" i="395"/>
  <c r="B255" i="395"/>
  <c r="B254" i="395"/>
  <c r="B253" i="395"/>
  <c r="B252" i="395"/>
  <c r="B251" i="395"/>
  <c r="B250" i="395"/>
  <c r="B249" i="395"/>
  <c r="B248" i="395"/>
  <c r="B247" i="395"/>
  <c r="B246" i="395"/>
  <c r="B245" i="395"/>
  <c r="B244" i="395"/>
  <c r="B243" i="395"/>
  <c r="B242" i="395"/>
  <c r="B241" i="395"/>
  <c r="B240" i="395"/>
  <c r="B239" i="395"/>
  <c r="B238" i="395"/>
  <c r="B237" i="395"/>
  <c r="B236" i="395"/>
  <c r="B235" i="395"/>
  <c r="B234" i="395"/>
  <c r="B233" i="395"/>
  <c r="B232" i="395"/>
  <c r="B231" i="395"/>
  <c r="B230" i="395"/>
  <c r="B229" i="395"/>
  <c r="B228" i="395"/>
  <c r="B227" i="395"/>
  <c r="B226" i="395"/>
  <c r="B225" i="395"/>
  <c r="B224" i="395"/>
  <c r="B223" i="395"/>
  <c r="B222" i="395"/>
  <c r="B221" i="395"/>
  <c r="B220" i="395"/>
  <c r="B219" i="395"/>
  <c r="B218" i="395"/>
  <c r="B217" i="395"/>
  <c r="B216" i="395"/>
  <c r="B215" i="395"/>
  <c r="B214" i="395"/>
  <c r="B213" i="395"/>
  <c r="B212" i="395"/>
  <c r="B211" i="395"/>
  <c r="B210" i="395"/>
  <c r="B209" i="395"/>
  <c r="B208" i="395"/>
  <c r="B207" i="395"/>
  <c r="B206" i="395"/>
  <c r="B205" i="395"/>
  <c r="B204" i="395"/>
  <c r="B203" i="395"/>
  <c r="B202" i="395"/>
  <c r="B201" i="395"/>
  <c r="B200" i="395"/>
  <c r="B199" i="395"/>
  <c r="B198" i="395"/>
  <c r="B197" i="395"/>
  <c r="B196" i="395"/>
  <c r="B195" i="395"/>
  <c r="B194" i="395"/>
  <c r="B193" i="395"/>
  <c r="B192" i="395"/>
  <c r="B191" i="395"/>
  <c r="B190" i="395"/>
  <c r="B189" i="395"/>
  <c r="B188" i="395"/>
  <c r="B187" i="395"/>
  <c r="B186" i="395"/>
  <c r="B185" i="395"/>
  <c r="B184" i="395"/>
  <c r="B183" i="395"/>
  <c r="B182" i="395"/>
  <c r="B181" i="395"/>
  <c r="B180" i="395"/>
  <c r="B179" i="395"/>
  <c r="B178" i="395"/>
  <c r="B177" i="395"/>
  <c r="B176" i="395"/>
  <c r="B175" i="395"/>
  <c r="B174" i="395"/>
  <c r="B173" i="395"/>
  <c r="B172" i="395"/>
  <c r="B171" i="395"/>
  <c r="B170" i="395"/>
  <c r="B169" i="395"/>
  <c r="B168" i="395"/>
  <c r="B167" i="395"/>
  <c r="B166" i="395"/>
  <c r="B165" i="395"/>
  <c r="B164" i="395"/>
  <c r="B163" i="395"/>
  <c r="B162" i="395"/>
  <c r="B161" i="395"/>
  <c r="B160" i="395"/>
  <c r="B159" i="395"/>
  <c r="B158" i="395"/>
  <c r="B157" i="395"/>
  <c r="B156" i="395"/>
  <c r="B155" i="395"/>
  <c r="B154" i="395"/>
  <c r="B153" i="395"/>
  <c r="B152" i="395"/>
  <c r="B151" i="395"/>
  <c r="B150" i="395"/>
  <c r="B149" i="395"/>
  <c r="B148" i="395"/>
  <c r="B147" i="395"/>
  <c r="B146" i="395"/>
  <c r="B145" i="395"/>
  <c r="B144" i="395"/>
  <c r="B143" i="395"/>
  <c r="B142" i="395"/>
  <c r="B141" i="395"/>
  <c r="B140" i="395"/>
  <c r="B139" i="395"/>
  <c r="B138" i="395"/>
  <c r="B137" i="395"/>
  <c r="B136" i="395"/>
  <c r="B135" i="395"/>
  <c r="B134" i="395"/>
  <c r="B133" i="395"/>
  <c r="B132" i="395"/>
  <c r="B131" i="395"/>
  <c r="B130" i="395"/>
  <c r="B129" i="395"/>
  <c r="B128" i="395"/>
  <c r="B127" i="395"/>
  <c r="B126" i="395"/>
  <c r="B125" i="395"/>
  <c r="B124" i="395"/>
  <c r="B123" i="395"/>
  <c r="B122" i="395"/>
  <c r="B121" i="395"/>
  <c r="B120" i="395"/>
  <c r="B119" i="395"/>
  <c r="B118" i="395"/>
  <c r="B117" i="395"/>
  <c r="B116" i="395"/>
  <c r="B115" i="395"/>
  <c r="B114" i="395"/>
  <c r="B113" i="395"/>
  <c r="B112" i="395"/>
  <c r="B111" i="395"/>
  <c r="B110" i="395"/>
  <c r="B109" i="395"/>
  <c r="B108" i="395"/>
  <c r="B107" i="395"/>
  <c r="B106" i="395"/>
  <c r="B105" i="395"/>
  <c r="B104" i="395"/>
  <c r="B103" i="395"/>
  <c r="B102" i="395"/>
  <c r="B101" i="395"/>
  <c r="B100" i="395"/>
  <c r="B99" i="395"/>
  <c r="B98" i="395"/>
  <c r="B97" i="395"/>
  <c r="B96" i="395"/>
  <c r="B95" i="395"/>
  <c r="B94" i="395"/>
  <c r="B93" i="395"/>
  <c r="B92" i="395"/>
  <c r="B91" i="395"/>
  <c r="B90" i="395"/>
  <c r="B89" i="395"/>
  <c r="B88" i="395"/>
  <c r="B87" i="395"/>
  <c r="B86" i="395"/>
  <c r="B85" i="395"/>
  <c r="B84" i="395"/>
  <c r="B83" i="395"/>
  <c r="B82" i="395"/>
  <c r="B81" i="395"/>
  <c r="B80" i="395"/>
  <c r="B79" i="395"/>
  <c r="B78" i="395"/>
  <c r="B77" i="395"/>
  <c r="B76" i="395"/>
  <c r="B75" i="395"/>
  <c r="B74" i="395"/>
  <c r="B73" i="395"/>
  <c r="B72" i="395"/>
  <c r="B71" i="395"/>
  <c r="B70" i="395"/>
  <c r="B69" i="395"/>
  <c r="B68" i="395"/>
  <c r="B67" i="395"/>
  <c r="B66" i="395"/>
  <c r="B65" i="395"/>
  <c r="B64" i="395"/>
  <c r="B63" i="395"/>
  <c r="B62" i="395"/>
  <c r="B61" i="395"/>
  <c r="B60" i="395"/>
  <c r="B59" i="395"/>
  <c r="B58" i="395"/>
  <c r="B57" i="395"/>
  <c r="B56" i="395"/>
  <c r="B55" i="395"/>
  <c r="B54" i="395"/>
  <c r="B53" i="395"/>
  <c r="B52" i="395"/>
  <c r="B51" i="395"/>
  <c r="B50" i="395"/>
  <c r="B49" i="395"/>
  <c r="B48" i="395"/>
  <c r="B47" i="395"/>
  <c r="B46" i="395"/>
  <c r="B45" i="395"/>
  <c r="B44" i="395"/>
  <c r="B43" i="395"/>
  <c r="B42" i="395"/>
  <c r="B41" i="395"/>
  <c r="B40" i="395"/>
  <c r="B39" i="395"/>
  <c r="B38" i="395"/>
  <c r="B37" i="395"/>
  <c r="B36" i="395"/>
  <c r="B35" i="395"/>
  <c r="B34" i="395"/>
  <c r="B33" i="395"/>
  <c r="B32" i="395"/>
  <c r="B31" i="395"/>
  <c r="B30" i="395"/>
  <c r="B29" i="395"/>
  <c r="B28" i="395"/>
  <c r="B27" i="395"/>
  <c r="B26" i="395"/>
  <c r="B25" i="395"/>
  <c r="B24" i="395"/>
  <c r="B23" i="395"/>
  <c r="B22" i="395"/>
  <c r="B21" i="395"/>
  <c r="B20" i="395"/>
  <c r="B19" i="395"/>
  <c r="B18" i="395"/>
  <c r="B17" i="395"/>
  <c r="B16" i="395"/>
  <c r="B15" i="395"/>
  <c r="B14" i="395"/>
  <c r="B13" i="395"/>
  <c r="B12" i="395"/>
  <c r="B11" i="395"/>
  <c r="B10" i="395"/>
  <c r="B9" i="395"/>
  <c r="B8" i="395"/>
  <c r="B7" i="395"/>
  <c r="B6" i="395"/>
  <c r="B5" i="395"/>
  <c r="B4" i="395"/>
  <c r="B3" i="395"/>
  <c r="B2" i="395"/>
  <c r="B1" i="395"/>
  <c r="H34" i="268"/>
  <c r="K34" i="268" s="1"/>
  <c r="D23" i="358"/>
  <c r="C36" i="273"/>
  <c r="C31" i="273"/>
  <c r="C23" i="273"/>
  <c r="D8" i="227"/>
  <c r="F10" i="348"/>
  <c r="D17" i="270"/>
  <c r="D12" i="270"/>
  <c r="D17" i="277"/>
  <c r="C11" i="312"/>
  <c r="C11" i="290"/>
  <c r="D15" i="288"/>
  <c r="D31" i="281"/>
  <c r="F31" i="248" s="1"/>
  <c r="I33" i="2"/>
  <c r="J33" i="2" s="1"/>
  <c r="C2" i="49"/>
  <c r="H53" i="49" s="1"/>
  <c r="C53" i="1" s="1"/>
  <c r="H60" i="60" s="1"/>
  <c r="J60" i="60" s="1"/>
  <c r="J67" i="60" s="1"/>
  <c r="E15" i="278" s="1"/>
  <c r="F42" i="268"/>
  <c r="D51" i="267" s="1"/>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G9" i="184" s="1"/>
  <c r="I9" i="184" s="1"/>
  <c r="K9" i="184" s="1"/>
  <c r="M9" i="184" s="1"/>
  <c r="O9" i="184" s="1"/>
  <c r="Q9" i="184" s="1"/>
  <c r="M42" i="268"/>
  <c r="D11" i="276"/>
  <c r="E11" i="276" s="1"/>
  <c r="E130" i="388"/>
  <c r="E52" i="388" s="1"/>
  <c r="E137" i="388"/>
  <c r="E83" i="388" s="1"/>
  <c r="C17" i="273"/>
  <c r="F28" i="268"/>
  <c r="J28" i="268" s="1"/>
  <c r="F100" i="106"/>
  <c r="F104" i="106"/>
  <c r="L2155" i="390"/>
  <c r="D41" i="267"/>
  <c r="E41" i="248" s="1"/>
  <c r="G121" i="388"/>
  <c r="O58" i="393"/>
  <c r="O57" i="393"/>
  <c r="AQ37" i="393"/>
  <c r="AQ36" i="393"/>
  <c r="G26" i="393"/>
  <c r="F26" i="393"/>
  <c r="E26" i="393"/>
  <c r="D26" i="393"/>
  <c r="C26" i="393"/>
  <c r="P22" i="393"/>
  <c r="O22" i="393"/>
  <c r="P21" i="393"/>
  <c r="O21" i="393"/>
  <c r="O18" i="393"/>
  <c r="P18" i="393" s="1"/>
  <c r="E132" i="269"/>
  <c r="B850" i="392"/>
  <c r="B849" i="392"/>
  <c r="B848" i="392"/>
  <c r="B847" i="392"/>
  <c r="B846" i="392"/>
  <c r="B845" i="392"/>
  <c r="B844" i="392"/>
  <c r="B843" i="392"/>
  <c r="B842" i="392"/>
  <c r="B841" i="392"/>
  <c r="B840" i="392"/>
  <c r="B839" i="392"/>
  <c r="B838" i="392"/>
  <c r="B837" i="392"/>
  <c r="B836" i="392"/>
  <c r="B835" i="392"/>
  <c r="B834" i="392"/>
  <c r="B833" i="392"/>
  <c r="B832" i="392"/>
  <c r="B831" i="392"/>
  <c r="B830" i="392"/>
  <c r="B829" i="392"/>
  <c r="B828" i="392"/>
  <c r="B827" i="392"/>
  <c r="B826" i="392"/>
  <c r="B825" i="392"/>
  <c r="B824" i="392"/>
  <c r="B823" i="392"/>
  <c r="B822" i="392"/>
  <c r="B821" i="392"/>
  <c r="B820" i="392"/>
  <c r="B819" i="392"/>
  <c r="B818" i="392"/>
  <c r="B817" i="392"/>
  <c r="B816" i="392"/>
  <c r="B815" i="392"/>
  <c r="B814" i="392"/>
  <c r="B813" i="392"/>
  <c r="B812" i="392"/>
  <c r="B811" i="392"/>
  <c r="B810" i="392"/>
  <c r="B809" i="392"/>
  <c r="B808" i="392"/>
  <c r="B807" i="392"/>
  <c r="B806" i="392"/>
  <c r="B805" i="392"/>
  <c r="B804" i="392"/>
  <c r="B803" i="392"/>
  <c r="B802" i="392"/>
  <c r="B801" i="392"/>
  <c r="B800" i="392"/>
  <c r="B799" i="392"/>
  <c r="B798" i="392"/>
  <c r="B797" i="392"/>
  <c r="B796" i="392"/>
  <c r="B795" i="392"/>
  <c r="B794" i="392"/>
  <c r="B793" i="392"/>
  <c r="B792" i="392"/>
  <c r="B791" i="392"/>
  <c r="B790" i="392"/>
  <c r="B789" i="392"/>
  <c r="B788" i="392"/>
  <c r="B787" i="392"/>
  <c r="B786" i="392"/>
  <c r="B785" i="392"/>
  <c r="B784" i="392"/>
  <c r="B783" i="392"/>
  <c r="B782" i="392"/>
  <c r="B781" i="392"/>
  <c r="B780" i="392"/>
  <c r="B779" i="392"/>
  <c r="B778" i="392"/>
  <c r="B777" i="392"/>
  <c r="B776" i="392"/>
  <c r="B775" i="392"/>
  <c r="B774" i="392"/>
  <c r="B773" i="392"/>
  <c r="B772" i="392"/>
  <c r="B771" i="392"/>
  <c r="B770" i="392"/>
  <c r="B769" i="392"/>
  <c r="B768" i="392"/>
  <c r="B767" i="392"/>
  <c r="B766" i="392"/>
  <c r="B765" i="392"/>
  <c r="B764" i="392"/>
  <c r="B763" i="392"/>
  <c r="B762" i="392"/>
  <c r="B761" i="392"/>
  <c r="B760" i="392"/>
  <c r="B759" i="392"/>
  <c r="B758" i="392"/>
  <c r="B757" i="392"/>
  <c r="B756" i="392"/>
  <c r="B755" i="392"/>
  <c r="B754" i="392"/>
  <c r="B753" i="392"/>
  <c r="B752" i="392"/>
  <c r="B751" i="392"/>
  <c r="B750" i="392"/>
  <c r="B749" i="392"/>
  <c r="B748" i="392"/>
  <c r="B747" i="392"/>
  <c r="B746" i="392"/>
  <c r="B745" i="392"/>
  <c r="B744" i="392"/>
  <c r="B743" i="392"/>
  <c r="B742" i="392"/>
  <c r="B741" i="392"/>
  <c r="B740" i="392"/>
  <c r="B739" i="392"/>
  <c r="B738" i="392"/>
  <c r="B737" i="392"/>
  <c r="B736" i="392"/>
  <c r="B735" i="392"/>
  <c r="B734" i="392"/>
  <c r="B733" i="392"/>
  <c r="B732" i="392"/>
  <c r="B731" i="392"/>
  <c r="B730" i="392"/>
  <c r="B729" i="392"/>
  <c r="B728" i="392"/>
  <c r="B727" i="392"/>
  <c r="B726" i="392"/>
  <c r="B725" i="392"/>
  <c r="B724" i="392"/>
  <c r="B723" i="392"/>
  <c r="B722" i="392"/>
  <c r="B721" i="392"/>
  <c r="B720" i="392"/>
  <c r="B719" i="392"/>
  <c r="B718" i="392"/>
  <c r="B717" i="392"/>
  <c r="B716" i="392"/>
  <c r="B715" i="392"/>
  <c r="B714" i="392"/>
  <c r="B713" i="392"/>
  <c r="B712" i="392"/>
  <c r="B711" i="392"/>
  <c r="B710" i="392"/>
  <c r="B709" i="392"/>
  <c r="B708" i="392"/>
  <c r="B707" i="392"/>
  <c r="B706" i="392"/>
  <c r="B705" i="392"/>
  <c r="B704" i="392"/>
  <c r="B703" i="392"/>
  <c r="B702" i="392"/>
  <c r="B701" i="392"/>
  <c r="B700" i="392"/>
  <c r="B699" i="392"/>
  <c r="B698" i="392"/>
  <c r="B697" i="392"/>
  <c r="B696" i="392"/>
  <c r="B695" i="392"/>
  <c r="B694" i="392"/>
  <c r="B693" i="392"/>
  <c r="B692" i="392"/>
  <c r="B691" i="392"/>
  <c r="B690" i="392"/>
  <c r="B689" i="392"/>
  <c r="B688" i="392"/>
  <c r="B687" i="392"/>
  <c r="B686" i="392"/>
  <c r="B685" i="392"/>
  <c r="B684" i="392"/>
  <c r="B683" i="392"/>
  <c r="B682" i="392"/>
  <c r="B681" i="392"/>
  <c r="B680" i="392"/>
  <c r="B679" i="392"/>
  <c r="B678" i="392"/>
  <c r="B677" i="392"/>
  <c r="B676" i="392"/>
  <c r="B675" i="392"/>
  <c r="B674" i="392"/>
  <c r="B673" i="392"/>
  <c r="B672" i="392"/>
  <c r="B671" i="392"/>
  <c r="B670" i="392"/>
  <c r="B669" i="392"/>
  <c r="B668" i="392"/>
  <c r="B667" i="392"/>
  <c r="B666" i="392"/>
  <c r="B665" i="392"/>
  <c r="B664" i="392"/>
  <c r="B663" i="392"/>
  <c r="B662" i="392"/>
  <c r="B661" i="392"/>
  <c r="B660" i="392"/>
  <c r="B659" i="392"/>
  <c r="B658" i="392"/>
  <c r="B657" i="392"/>
  <c r="B656" i="392"/>
  <c r="B655" i="392"/>
  <c r="B654" i="392"/>
  <c r="B653" i="392"/>
  <c r="B652" i="392"/>
  <c r="B651" i="392"/>
  <c r="B650" i="392"/>
  <c r="B649" i="392"/>
  <c r="B648" i="392"/>
  <c r="B647" i="392"/>
  <c r="B646" i="392"/>
  <c r="B645" i="392"/>
  <c r="B644" i="392"/>
  <c r="B643" i="392"/>
  <c r="B642" i="392"/>
  <c r="B641" i="392"/>
  <c r="B640" i="392"/>
  <c r="B639" i="392"/>
  <c r="B638" i="392"/>
  <c r="B637" i="392"/>
  <c r="B636" i="392"/>
  <c r="B635" i="392"/>
  <c r="B634" i="392"/>
  <c r="B633" i="392"/>
  <c r="B632" i="392"/>
  <c r="B631" i="392"/>
  <c r="B630" i="392"/>
  <c r="B629" i="392"/>
  <c r="B628" i="392"/>
  <c r="B627" i="392"/>
  <c r="B626" i="392"/>
  <c r="B625" i="392"/>
  <c r="B624" i="392"/>
  <c r="B623" i="392"/>
  <c r="B622" i="392"/>
  <c r="B621" i="392"/>
  <c r="B620" i="392"/>
  <c r="B619" i="392"/>
  <c r="B618" i="392"/>
  <c r="B617" i="392"/>
  <c r="B616" i="392"/>
  <c r="B615" i="392"/>
  <c r="B614" i="392"/>
  <c r="B613" i="392"/>
  <c r="B612" i="392"/>
  <c r="B611" i="392"/>
  <c r="B610" i="392"/>
  <c r="B609" i="392"/>
  <c r="B608" i="392"/>
  <c r="B607" i="392"/>
  <c r="B606" i="392"/>
  <c r="B605" i="392"/>
  <c r="B604" i="392"/>
  <c r="B603" i="392"/>
  <c r="B602" i="392"/>
  <c r="B601" i="392"/>
  <c r="B600" i="392"/>
  <c r="B599" i="392"/>
  <c r="B598" i="392"/>
  <c r="B597" i="392"/>
  <c r="B596" i="392"/>
  <c r="B595" i="392"/>
  <c r="B594" i="392"/>
  <c r="B593" i="392"/>
  <c r="B592" i="392"/>
  <c r="B591" i="392"/>
  <c r="B590" i="392"/>
  <c r="B589" i="392"/>
  <c r="B588" i="392"/>
  <c r="B587" i="392"/>
  <c r="B586" i="392"/>
  <c r="B585" i="392"/>
  <c r="B584" i="392"/>
  <c r="B583" i="392"/>
  <c r="B582" i="392"/>
  <c r="B581" i="392"/>
  <c r="B580" i="392"/>
  <c r="B579" i="392"/>
  <c r="B578" i="392"/>
  <c r="B577" i="392"/>
  <c r="B576" i="392"/>
  <c r="B575" i="392"/>
  <c r="B574" i="392"/>
  <c r="B573" i="392"/>
  <c r="B572" i="392"/>
  <c r="B571" i="392"/>
  <c r="B570" i="392"/>
  <c r="B569" i="392"/>
  <c r="B568" i="392"/>
  <c r="B567" i="392"/>
  <c r="B566" i="392"/>
  <c r="B565" i="392"/>
  <c r="B564" i="392"/>
  <c r="B563" i="392"/>
  <c r="B562" i="392"/>
  <c r="B561" i="392"/>
  <c r="B560" i="392"/>
  <c r="B559" i="392"/>
  <c r="B558" i="392"/>
  <c r="B557" i="392"/>
  <c r="B556" i="392"/>
  <c r="B555" i="392"/>
  <c r="B554" i="392"/>
  <c r="B553" i="392"/>
  <c r="B552" i="392"/>
  <c r="B551" i="392"/>
  <c r="B550" i="392"/>
  <c r="B549" i="392"/>
  <c r="B548" i="392"/>
  <c r="B547" i="392"/>
  <c r="B546" i="392"/>
  <c r="B545" i="392"/>
  <c r="B544" i="392"/>
  <c r="B543" i="392"/>
  <c r="B542" i="392"/>
  <c r="B541" i="392"/>
  <c r="B540" i="392"/>
  <c r="B539" i="392"/>
  <c r="B538" i="392"/>
  <c r="B537" i="392"/>
  <c r="B536" i="392"/>
  <c r="B535" i="392"/>
  <c r="B534" i="392"/>
  <c r="B533" i="392"/>
  <c r="B532" i="392"/>
  <c r="B531" i="392"/>
  <c r="B530" i="392"/>
  <c r="B529" i="392"/>
  <c r="B528" i="392"/>
  <c r="B527" i="392"/>
  <c r="B526" i="392"/>
  <c r="B525" i="392"/>
  <c r="B524" i="392"/>
  <c r="B523" i="392"/>
  <c r="B522" i="392"/>
  <c r="B521" i="392"/>
  <c r="B520" i="392"/>
  <c r="B519" i="392"/>
  <c r="B518" i="392"/>
  <c r="B517" i="392"/>
  <c r="B516" i="392"/>
  <c r="B515" i="392"/>
  <c r="B514" i="392"/>
  <c r="B513" i="392"/>
  <c r="B512" i="392"/>
  <c r="B511" i="392"/>
  <c r="B510" i="392"/>
  <c r="B509" i="392"/>
  <c r="B508" i="392"/>
  <c r="B507" i="392"/>
  <c r="B506" i="392"/>
  <c r="B505" i="392"/>
  <c r="B504" i="392"/>
  <c r="B503" i="392"/>
  <c r="B502" i="392"/>
  <c r="B501" i="392"/>
  <c r="B500" i="392"/>
  <c r="B499" i="392"/>
  <c r="B498" i="392"/>
  <c r="B497" i="392"/>
  <c r="B496" i="392"/>
  <c r="B495" i="392"/>
  <c r="B494" i="392"/>
  <c r="B493" i="392"/>
  <c r="B492" i="392"/>
  <c r="B491" i="392"/>
  <c r="B490" i="392"/>
  <c r="B489" i="392"/>
  <c r="B488" i="392"/>
  <c r="B487" i="392"/>
  <c r="B486" i="392"/>
  <c r="B485" i="392"/>
  <c r="B484" i="392"/>
  <c r="B483" i="392"/>
  <c r="B482" i="392"/>
  <c r="B481" i="392"/>
  <c r="B480" i="392"/>
  <c r="B479" i="392"/>
  <c r="B478" i="392"/>
  <c r="B477" i="392"/>
  <c r="B476" i="392"/>
  <c r="B475" i="392"/>
  <c r="B474" i="392"/>
  <c r="B473" i="392"/>
  <c r="B472" i="392"/>
  <c r="B471" i="392"/>
  <c r="B470" i="392"/>
  <c r="B469" i="392"/>
  <c r="B468" i="392"/>
  <c r="B467" i="392"/>
  <c r="B466" i="392"/>
  <c r="B465" i="392"/>
  <c r="B464" i="392"/>
  <c r="B463" i="392"/>
  <c r="B462" i="392"/>
  <c r="B461" i="392"/>
  <c r="B460" i="392"/>
  <c r="B459" i="392"/>
  <c r="B458" i="392"/>
  <c r="B457" i="392"/>
  <c r="B456" i="392"/>
  <c r="B455" i="392"/>
  <c r="B454" i="392"/>
  <c r="B453" i="392"/>
  <c r="B452" i="392"/>
  <c r="B451" i="392"/>
  <c r="B450" i="392"/>
  <c r="B449" i="392"/>
  <c r="B448" i="392"/>
  <c r="B447" i="392"/>
  <c r="B446" i="392"/>
  <c r="B445" i="392"/>
  <c r="B444" i="392"/>
  <c r="B443" i="392"/>
  <c r="B442" i="392"/>
  <c r="B441" i="392"/>
  <c r="B440" i="392"/>
  <c r="B439" i="392"/>
  <c r="B438" i="392"/>
  <c r="B437" i="392"/>
  <c r="B436" i="392"/>
  <c r="B435" i="392"/>
  <c r="B434" i="392"/>
  <c r="B433" i="392"/>
  <c r="B432" i="392"/>
  <c r="B431" i="392"/>
  <c r="B430" i="392"/>
  <c r="B429" i="392"/>
  <c r="B428" i="392"/>
  <c r="B427" i="392"/>
  <c r="B426" i="392"/>
  <c r="B425" i="392"/>
  <c r="B424" i="392"/>
  <c r="B423" i="392"/>
  <c r="B422" i="392"/>
  <c r="B421" i="392"/>
  <c r="B420" i="392"/>
  <c r="B419" i="392"/>
  <c r="B418" i="392"/>
  <c r="B417" i="392"/>
  <c r="B416" i="392"/>
  <c r="B415" i="392"/>
  <c r="B414" i="392"/>
  <c r="B413" i="392"/>
  <c r="B412" i="392"/>
  <c r="B411" i="392"/>
  <c r="B410" i="392"/>
  <c r="B409" i="392"/>
  <c r="B408" i="392"/>
  <c r="B407" i="392"/>
  <c r="B406" i="392"/>
  <c r="B405" i="392"/>
  <c r="B404" i="392"/>
  <c r="B403" i="392"/>
  <c r="B402" i="392"/>
  <c r="B401" i="392"/>
  <c r="B400" i="392"/>
  <c r="B399" i="392"/>
  <c r="B398" i="392"/>
  <c r="B397" i="392"/>
  <c r="B396" i="392"/>
  <c r="B395" i="392"/>
  <c r="B394" i="392"/>
  <c r="B393" i="392"/>
  <c r="B392" i="392"/>
  <c r="B391" i="392"/>
  <c r="B390" i="392"/>
  <c r="B389" i="392"/>
  <c r="B388" i="392"/>
  <c r="B387" i="392"/>
  <c r="B386" i="392"/>
  <c r="B385" i="392"/>
  <c r="B384" i="392"/>
  <c r="B383" i="392"/>
  <c r="B382" i="392"/>
  <c r="B381" i="392"/>
  <c r="B380" i="392"/>
  <c r="B379" i="392"/>
  <c r="B378" i="392"/>
  <c r="B377" i="392"/>
  <c r="B376" i="392"/>
  <c r="B375" i="392"/>
  <c r="B374" i="392"/>
  <c r="B373" i="392"/>
  <c r="B372" i="392"/>
  <c r="B371" i="392"/>
  <c r="B370" i="392"/>
  <c r="B369" i="392"/>
  <c r="B368" i="392"/>
  <c r="B367" i="392"/>
  <c r="B366" i="392"/>
  <c r="B365" i="392"/>
  <c r="B364" i="392"/>
  <c r="B363" i="392"/>
  <c r="B362" i="392"/>
  <c r="B361" i="392"/>
  <c r="B360" i="392"/>
  <c r="B359" i="392"/>
  <c r="B358" i="392"/>
  <c r="B357" i="392"/>
  <c r="B356" i="392"/>
  <c r="B355" i="392"/>
  <c r="B354" i="392"/>
  <c r="B353" i="392"/>
  <c r="B352" i="392"/>
  <c r="B351" i="392"/>
  <c r="B350" i="392"/>
  <c r="B349" i="392"/>
  <c r="B348" i="392"/>
  <c r="B347" i="392"/>
  <c r="B346" i="392"/>
  <c r="B345" i="392"/>
  <c r="B344" i="392"/>
  <c r="B343" i="392"/>
  <c r="B342" i="392"/>
  <c r="B341" i="392"/>
  <c r="B340" i="392"/>
  <c r="B339" i="392"/>
  <c r="B338" i="392"/>
  <c r="B337" i="392"/>
  <c r="B336" i="392"/>
  <c r="B335" i="392"/>
  <c r="B334" i="392"/>
  <c r="B333" i="392"/>
  <c r="B332" i="392"/>
  <c r="B331" i="392"/>
  <c r="B330" i="392"/>
  <c r="B329" i="392"/>
  <c r="B328" i="392"/>
  <c r="B327" i="392"/>
  <c r="B326" i="392"/>
  <c r="B325" i="392"/>
  <c r="B324" i="392"/>
  <c r="B323" i="392"/>
  <c r="B322" i="392"/>
  <c r="B321" i="392"/>
  <c r="B320" i="392"/>
  <c r="B319" i="392"/>
  <c r="B318" i="392"/>
  <c r="B317" i="392"/>
  <c r="B316" i="392"/>
  <c r="B315" i="392"/>
  <c r="B314" i="392"/>
  <c r="B313" i="392"/>
  <c r="B312" i="392"/>
  <c r="B311" i="392"/>
  <c r="B310" i="392"/>
  <c r="B309" i="392"/>
  <c r="B308" i="392"/>
  <c r="B307" i="392"/>
  <c r="B306" i="392"/>
  <c r="B305" i="392"/>
  <c r="B304" i="392"/>
  <c r="B303" i="392"/>
  <c r="B302" i="392"/>
  <c r="B301" i="392"/>
  <c r="B300" i="392"/>
  <c r="B299" i="392"/>
  <c r="B298" i="392"/>
  <c r="B297" i="392"/>
  <c r="B296" i="392"/>
  <c r="B295" i="392"/>
  <c r="B294" i="392"/>
  <c r="B293" i="392"/>
  <c r="B292" i="392"/>
  <c r="B291" i="392"/>
  <c r="B290" i="392"/>
  <c r="B289" i="392"/>
  <c r="B288" i="392"/>
  <c r="B287" i="392"/>
  <c r="B286" i="392"/>
  <c r="B285" i="392"/>
  <c r="B284" i="392"/>
  <c r="B283" i="392"/>
  <c r="B282" i="392"/>
  <c r="B281" i="392"/>
  <c r="B280" i="392"/>
  <c r="B279" i="392"/>
  <c r="B278" i="392"/>
  <c r="B277" i="392"/>
  <c r="B276" i="392"/>
  <c r="B275" i="392"/>
  <c r="B274" i="392"/>
  <c r="B273" i="392"/>
  <c r="B272" i="392"/>
  <c r="B271" i="392"/>
  <c r="B270" i="392"/>
  <c r="B269" i="392"/>
  <c r="B268" i="392"/>
  <c r="B267" i="392"/>
  <c r="B266" i="392"/>
  <c r="B265" i="392"/>
  <c r="B264" i="392"/>
  <c r="B263" i="392"/>
  <c r="B262" i="392"/>
  <c r="B261" i="392"/>
  <c r="B260" i="392"/>
  <c r="B259" i="392"/>
  <c r="B258" i="392"/>
  <c r="B257" i="392"/>
  <c r="B256" i="392"/>
  <c r="B255" i="392"/>
  <c r="B254" i="392"/>
  <c r="B253" i="392"/>
  <c r="B252" i="392"/>
  <c r="B251" i="392"/>
  <c r="B250" i="392"/>
  <c r="B249" i="392"/>
  <c r="B248" i="392"/>
  <c r="B247" i="392"/>
  <c r="B246" i="392"/>
  <c r="B245" i="392"/>
  <c r="B244" i="392"/>
  <c r="B243" i="392"/>
  <c r="B242" i="392"/>
  <c r="B241" i="392"/>
  <c r="B240" i="392"/>
  <c r="B239" i="392"/>
  <c r="B238" i="392"/>
  <c r="B237" i="392"/>
  <c r="B236" i="392"/>
  <c r="B235" i="392"/>
  <c r="B234" i="392"/>
  <c r="B233" i="392"/>
  <c r="B232" i="392"/>
  <c r="B231" i="392"/>
  <c r="B230" i="392"/>
  <c r="B229" i="392"/>
  <c r="B228" i="392"/>
  <c r="B227" i="392"/>
  <c r="B226" i="392"/>
  <c r="B225" i="392"/>
  <c r="B224" i="392"/>
  <c r="B223" i="392"/>
  <c r="B222" i="392"/>
  <c r="B221" i="392"/>
  <c r="B220" i="392"/>
  <c r="B219" i="392"/>
  <c r="B218" i="392"/>
  <c r="B217" i="392"/>
  <c r="B216" i="392"/>
  <c r="B215" i="392"/>
  <c r="B214" i="392"/>
  <c r="B213" i="392"/>
  <c r="B212" i="392"/>
  <c r="B211" i="392"/>
  <c r="B210" i="392"/>
  <c r="B209" i="392"/>
  <c r="B208" i="392"/>
  <c r="B207" i="392"/>
  <c r="B206" i="392"/>
  <c r="B205" i="392"/>
  <c r="B204" i="392"/>
  <c r="B203" i="392"/>
  <c r="B202" i="392"/>
  <c r="B201" i="392"/>
  <c r="B200" i="392"/>
  <c r="B199" i="392"/>
  <c r="B198" i="392"/>
  <c r="B197" i="392"/>
  <c r="B196" i="392"/>
  <c r="B195" i="392"/>
  <c r="B194" i="392"/>
  <c r="B193" i="392"/>
  <c r="B192" i="392"/>
  <c r="B191" i="392"/>
  <c r="B190" i="392"/>
  <c r="B189" i="392"/>
  <c r="B188" i="392"/>
  <c r="B187" i="392"/>
  <c r="B186" i="392"/>
  <c r="B185" i="392"/>
  <c r="B184" i="392"/>
  <c r="B183" i="392"/>
  <c r="B182" i="392"/>
  <c r="B181" i="392"/>
  <c r="B180" i="392"/>
  <c r="B179" i="392"/>
  <c r="B178" i="392"/>
  <c r="B177" i="392"/>
  <c r="B176" i="392"/>
  <c r="B175" i="392"/>
  <c r="B174" i="392"/>
  <c r="B173" i="392"/>
  <c r="B172" i="392"/>
  <c r="B171" i="392"/>
  <c r="B170" i="392"/>
  <c r="B169" i="392"/>
  <c r="B168" i="392"/>
  <c r="B167" i="392"/>
  <c r="B166" i="392"/>
  <c r="B165" i="392"/>
  <c r="B164" i="392"/>
  <c r="B163" i="392"/>
  <c r="B162" i="392"/>
  <c r="B161" i="392"/>
  <c r="B160" i="392"/>
  <c r="B159" i="392"/>
  <c r="B158" i="392"/>
  <c r="B157" i="392"/>
  <c r="B156" i="392"/>
  <c r="B155" i="392"/>
  <c r="B154" i="392"/>
  <c r="B153" i="392"/>
  <c r="B152" i="392"/>
  <c r="B151" i="392"/>
  <c r="B150" i="392"/>
  <c r="B149" i="392"/>
  <c r="B148" i="392"/>
  <c r="B147" i="392"/>
  <c r="B146" i="392"/>
  <c r="B145" i="392"/>
  <c r="B144" i="392"/>
  <c r="B143" i="392"/>
  <c r="B142" i="392"/>
  <c r="B141" i="392"/>
  <c r="B140" i="392"/>
  <c r="B139" i="392"/>
  <c r="B138" i="392"/>
  <c r="B137" i="392"/>
  <c r="B136" i="392"/>
  <c r="B135" i="392"/>
  <c r="B134" i="392"/>
  <c r="B133" i="392"/>
  <c r="B132" i="392"/>
  <c r="B131" i="392"/>
  <c r="B130" i="392"/>
  <c r="B129" i="392"/>
  <c r="B128" i="392"/>
  <c r="B127" i="392"/>
  <c r="B126" i="392"/>
  <c r="B125" i="392"/>
  <c r="B124" i="392"/>
  <c r="B123" i="392"/>
  <c r="B122" i="392"/>
  <c r="B121" i="392"/>
  <c r="B120" i="392"/>
  <c r="B119" i="392"/>
  <c r="B118" i="392"/>
  <c r="B117" i="392"/>
  <c r="B116" i="392"/>
  <c r="B115" i="392"/>
  <c r="B114" i="392"/>
  <c r="B113" i="392"/>
  <c r="B112" i="392"/>
  <c r="B111" i="392"/>
  <c r="B110" i="392"/>
  <c r="B109" i="392"/>
  <c r="B108" i="392"/>
  <c r="B107" i="392"/>
  <c r="B106" i="392"/>
  <c r="B105" i="392"/>
  <c r="B104" i="392"/>
  <c r="B103" i="392"/>
  <c r="B102" i="392"/>
  <c r="B101" i="392"/>
  <c r="B100" i="392"/>
  <c r="B99" i="392"/>
  <c r="B98" i="392"/>
  <c r="B97" i="392"/>
  <c r="B96" i="392"/>
  <c r="B95" i="392"/>
  <c r="B94" i="392"/>
  <c r="B93" i="392"/>
  <c r="B92" i="392"/>
  <c r="B91" i="392"/>
  <c r="B90" i="392"/>
  <c r="B89" i="392"/>
  <c r="B88" i="392"/>
  <c r="B87" i="392"/>
  <c r="B86" i="392"/>
  <c r="B85" i="392"/>
  <c r="B84" i="392"/>
  <c r="B83" i="392"/>
  <c r="B82" i="392"/>
  <c r="B81" i="392"/>
  <c r="B80" i="392"/>
  <c r="B79" i="392"/>
  <c r="B78" i="392"/>
  <c r="B77" i="392"/>
  <c r="B76" i="392"/>
  <c r="B75" i="392"/>
  <c r="B74" i="392"/>
  <c r="B73" i="392"/>
  <c r="B72" i="392"/>
  <c r="B71" i="392"/>
  <c r="B70" i="392"/>
  <c r="B69" i="392"/>
  <c r="B68" i="392"/>
  <c r="B67" i="392"/>
  <c r="B66" i="392"/>
  <c r="B65" i="392"/>
  <c r="B64" i="392"/>
  <c r="B63" i="392"/>
  <c r="B62" i="392"/>
  <c r="B61" i="392"/>
  <c r="B60" i="392"/>
  <c r="B59" i="392"/>
  <c r="B58" i="392"/>
  <c r="B57" i="392"/>
  <c r="B56" i="392"/>
  <c r="B55" i="392"/>
  <c r="B54" i="392"/>
  <c r="B53" i="392"/>
  <c r="B52" i="392"/>
  <c r="B51" i="392"/>
  <c r="B50" i="392"/>
  <c r="B49" i="392"/>
  <c r="B48" i="392"/>
  <c r="B47" i="392"/>
  <c r="B46" i="392"/>
  <c r="B45" i="392"/>
  <c r="B44" i="392"/>
  <c r="B43" i="392"/>
  <c r="B42" i="392"/>
  <c r="B41" i="392"/>
  <c r="B40" i="392"/>
  <c r="B39" i="392"/>
  <c r="B38" i="392"/>
  <c r="B37" i="392"/>
  <c r="B36" i="392"/>
  <c r="B35" i="392"/>
  <c r="B34" i="392"/>
  <c r="B33" i="392"/>
  <c r="B32" i="392"/>
  <c r="B31" i="392"/>
  <c r="B30" i="392"/>
  <c r="B29" i="392"/>
  <c r="B28" i="392"/>
  <c r="B27" i="392"/>
  <c r="B26" i="392"/>
  <c r="B25" i="392"/>
  <c r="B24" i="392"/>
  <c r="B23" i="392"/>
  <c r="B22" i="392"/>
  <c r="B21" i="392"/>
  <c r="B20" i="392"/>
  <c r="B19" i="392"/>
  <c r="B18" i="392"/>
  <c r="B17" i="392"/>
  <c r="B16" i="392"/>
  <c r="B15" i="392"/>
  <c r="B14" i="392"/>
  <c r="B13" i="392"/>
  <c r="B12" i="392"/>
  <c r="B11" i="392"/>
  <c r="B10" i="392"/>
  <c r="B9" i="392"/>
  <c r="B8" i="392"/>
  <c r="B7" i="392"/>
  <c r="B6" i="392"/>
  <c r="B5" i="392"/>
  <c r="B4" i="392"/>
  <c r="B3" i="392"/>
  <c r="B2" i="392"/>
  <c r="B1" i="392"/>
  <c r="P16" i="245"/>
  <c r="T16" i="245"/>
  <c r="X16" i="245" s="1"/>
  <c r="AB16" i="245" s="1"/>
  <c r="AF16" i="245" s="1"/>
  <c r="AI16" i="245" s="1"/>
  <c r="P11" i="245"/>
  <c r="T11" i="245"/>
  <c r="X11" i="245" s="1"/>
  <c r="AB11" i="245"/>
  <c r="AF11" i="245" s="1"/>
  <c r="AI11" i="245" s="1"/>
  <c r="I137" i="389"/>
  <c r="I83" i="389" s="1"/>
  <c r="E137" i="389"/>
  <c r="E83" i="389" s="1"/>
  <c r="I130" i="389"/>
  <c r="I52" i="389" s="1"/>
  <c r="E130" i="389"/>
  <c r="E52" i="389" s="1"/>
  <c r="AI20" i="389"/>
  <c r="AA20" i="389"/>
  <c r="S20" i="389"/>
  <c r="AM9" i="389"/>
  <c r="AO9" i="389" s="1"/>
  <c r="AE9" i="389"/>
  <c r="AG9" i="389" s="1"/>
  <c r="W9" i="389"/>
  <c r="Y9" i="389" s="1"/>
  <c r="O9" i="389"/>
  <c r="Q9" i="389" s="1"/>
  <c r="G9" i="389"/>
  <c r="I9" i="389" s="1"/>
  <c r="C9" i="389"/>
  <c r="E9" i="389" s="1"/>
  <c r="AO137" i="388"/>
  <c r="AO83" i="388" s="1"/>
  <c r="AK137" i="388"/>
  <c r="AK83" i="388" s="1"/>
  <c r="AG137" i="388"/>
  <c r="AG83" i="388" s="1"/>
  <c r="AC137" i="388"/>
  <c r="AC83" i="388" s="1"/>
  <c r="Y137" i="388"/>
  <c r="Y83" i="388" s="1"/>
  <c r="U137" i="388"/>
  <c r="U83" i="388" s="1"/>
  <c r="Q137" i="388"/>
  <c r="Q83" i="388" s="1"/>
  <c r="M137" i="388"/>
  <c r="M83" i="388" s="1"/>
  <c r="I137" i="388"/>
  <c r="I83" i="388" s="1"/>
  <c r="BU130" i="388"/>
  <c r="BU52" i="388" s="1"/>
  <c r="BQ130" i="388"/>
  <c r="BQ52" i="388" s="1"/>
  <c r="BM130" i="388"/>
  <c r="BM52" i="388" s="1"/>
  <c r="BI130" i="388"/>
  <c r="BI52" i="388" s="1"/>
  <c r="AO130" i="388"/>
  <c r="AO52" i="388" s="1"/>
  <c r="AK130" i="388"/>
  <c r="AK52" i="388" s="1"/>
  <c r="AG130" i="388"/>
  <c r="AG52" i="388" s="1"/>
  <c r="AC130" i="388"/>
  <c r="AC52" i="388" s="1"/>
  <c r="Y130" i="388"/>
  <c r="Y52" i="388" s="1"/>
  <c r="U130" i="388"/>
  <c r="U52" i="388" s="1"/>
  <c r="Q130" i="388"/>
  <c r="Q52" i="388" s="1"/>
  <c r="M130" i="388"/>
  <c r="M52" i="388" s="1"/>
  <c r="I130" i="388"/>
  <c r="I52" i="388" s="1"/>
  <c r="BU128" i="388"/>
  <c r="BQ128" i="388"/>
  <c r="BM128" i="388"/>
  <c r="BI128" i="388"/>
  <c r="BS57" i="388"/>
  <c r="AI20" i="388"/>
  <c r="AI21" i="388" s="1"/>
  <c r="AA20" i="388"/>
  <c r="AA21" i="388"/>
  <c r="S20" i="388"/>
  <c r="S21" i="388" s="1"/>
  <c r="BS9" i="388"/>
  <c r="BU9" i="388" s="1"/>
  <c r="BO9" i="388"/>
  <c r="BQ9" i="388" s="1"/>
  <c r="BK9" i="388"/>
  <c r="BM9" i="388" s="1"/>
  <c r="BG9" i="388"/>
  <c r="BI9" i="388" s="1"/>
  <c r="AM9" i="388"/>
  <c r="AO9" i="388" s="1"/>
  <c r="AE9" i="388"/>
  <c r="AG9" i="388" s="1"/>
  <c r="W9" i="388"/>
  <c r="Y9" i="388" s="1"/>
  <c r="O9" i="388"/>
  <c r="Q9" i="388" s="1"/>
  <c r="G9" i="388"/>
  <c r="I9" i="388" s="1"/>
  <c r="C9" i="388"/>
  <c r="E9" i="388" s="1"/>
  <c r="H1019" i="365"/>
  <c r="H1018" i="365"/>
  <c r="H1017" i="365"/>
  <c r="H1016" i="365"/>
  <c r="H1015" i="365"/>
  <c r="H1014" i="365"/>
  <c r="H1013" i="365"/>
  <c r="H1012" i="365"/>
  <c r="H1011" i="365"/>
  <c r="H1010" i="365"/>
  <c r="H1009" i="365"/>
  <c r="H1008" i="365"/>
  <c r="H1007" i="365"/>
  <c r="H1006" i="365"/>
  <c r="H1005" i="365"/>
  <c r="H1004" i="365"/>
  <c r="H1003" i="365"/>
  <c r="H1002" i="365"/>
  <c r="H1001" i="365"/>
  <c r="H1000" i="365"/>
  <c r="H999" i="365"/>
  <c r="H998" i="365"/>
  <c r="H997" i="365"/>
  <c r="H996" i="365"/>
  <c r="H995" i="365"/>
  <c r="H994" i="365"/>
  <c r="H993" i="365"/>
  <c r="H992" i="365"/>
  <c r="H991" i="365"/>
  <c r="H990" i="365"/>
  <c r="H989" i="365"/>
  <c r="H988" i="365"/>
  <c r="H987" i="365"/>
  <c r="H986" i="365"/>
  <c r="H985" i="365"/>
  <c r="H984" i="365"/>
  <c r="H983" i="365"/>
  <c r="H982" i="365"/>
  <c r="H981" i="365"/>
  <c r="H980" i="365"/>
  <c r="H979" i="365"/>
  <c r="H978" i="365"/>
  <c r="H977" i="365"/>
  <c r="H976" i="365"/>
  <c r="H975" i="365"/>
  <c r="H974" i="365"/>
  <c r="H973" i="365"/>
  <c r="H972" i="365"/>
  <c r="H971" i="365"/>
  <c r="H970" i="365"/>
  <c r="H969" i="365"/>
  <c r="H968" i="365"/>
  <c r="H967" i="365"/>
  <c r="H966" i="365"/>
  <c r="H965" i="365"/>
  <c r="H964" i="365"/>
  <c r="H963" i="365"/>
  <c r="H962" i="365"/>
  <c r="H961" i="365"/>
  <c r="H960" i="365"/>
  <c r="H959" i="365"/>
  <c r="H958" i="365"/>
  <c r="H957" i="365"/>
  <c r="H956" i="365"/>
  <c r="H955" i="365"/>
  <c r="H954" i="365"/>
  <c r="H953" i="365"/>
  <c r="H952" i="365"/>
  <c r="H951" i="365"/>
  <c r="H950" i="365"/>
  <c r="H949" i="365"/>
  <c r="H948" i="365"/>
  <c r="H947" i="365"/>
  <c r="H946" i="365"/>
  <c r="H945" i="365"/>
  <c r="H944" i="365"/>
  <c r="H943" i="365"/>
  <c r="H942" i="365"/>
  <c r="H941" i="365"/>
  <c r="H940" i="365"/>
  <c r="H939" i="365"/>
  <c r="H938" i="365"/>
  <c r="H937" i="365"/>
  <c r="H936" i="365"/>
  <c r="H935" i="365"/>
  <c r="H934" i="365"/>
  <c r="H933" i="365"/>
  <c r="H932" i="365"/>
  <c r="H931" i="365"/>
  <c r="H930" i="365"/>
  <c r="H929" i="365"/>
  <c r="H928" i="365"/>
  <c r="H927" i="365"/>
  <c r="H926" i="365"/>
  <c r="H925" i="365"/>
  <c r="H924" i="365"/>
  <c r="H923" i="365"/>
  <c r="H922" i="365"/>
  <c r="H921" i="365"/>
  <c r="H920" i="365"/>
  <c r="H919" i="365"/>
  <c r="H918" i="365"/>
  <c r="H917" i="365"/>
  <c r="H916" i="365"/>
  <c r="H915" i="365"/>
  <c r="H914" i="365"/>
  <c r="H913" i="365"/>
  <c r="H912" i="365"/>
  <c r="H911" i="365"/>
  <c r="H910" i="365"/>
  <c r="H909" i="365"/>
  <c r="H908" i="365"/>
  <c r="H907" i="365"/>
  <c r="H906" i="365"/>
  <c r="H905" i="365"/>
  <c r="H904" i="365"/>
  <c r="H903" i="365"/>
  <c r="H902" i="365"/>
  <c r="H901" i="365"/>
  <c r="H900" i="365"/>
  <c r="H899" i="365"/>
  <c r="H898" i="365"/>
  <c r="H897" i="365"/>
  <c r="H896" i="365"/>
  <c r="H895" i="365"/>
  <c r="H894" i="365"/>
  <c r="H893" i="365"/>
  <c r="H892" i="365"/>
  <c r="H891" i="365"/>
  <c r="H890" i="365"/>
  <c r="H889" i="365"/>
  <c r="H888" i="365"/>
  <c r="H887" i="365"/>
  <c r="H886" i="365"/>
  <c r="H885" i="365"/>
  <c r="H884" i="365"/>
  <c r="H883" i="365"/>
  <c r="H882" i="365"/>
  <c r="H881" i="365"/>
  <c r="H880" i="365"/>
  <c r="H879" i="365"/>
  <c r="H878" i="365"/>
  <c r="H877" i="365"/>
  <c r="H876" i="365"/>
  <c r="H875" i="365"/>
  <c r="H874" i="365"/>
  <c r="H873" i="365"/>
  <c r="H872" i="365"/>
  <c r="H871" i="365"/>
  <c r="H870" i="365"/>
  <c r="H869" i="365"/>
  <c r="H868" i="365"/>
  <c r="H867" i="365"/>
  <c r="H866" i="365"/>
  <c r="H865" i="365"/>
  <c r="H864" i="365"/>
  <c r="H863" i="365"/>
  <c r="H862" i="365"/>
  <c r="H861" i="365"/>
  <c r="H860" i="365"/>
  <c r="H859" i="365"/>
  <c r="H858" i="365"/>
  <c r="H857" i="365"/>
  <c r="H856" i="365"/>
  <c r="H855" i="365"/>
  <c r="H854" i="365"/>
  <c r="H853" i="365"/>
  <c r="H852" i="365"/>
  <c r="H851" i="365"/>
  <c r="H850" i="365"/>
  <c r="H849" i="365"/>
  <c r="H848" i="365"/>
  <c r="H847" i="365"/>
  <c r="H846" i="365"/>
  <c r="H845" i="365"/>
  <c r="H844" i="365"/>
  <c r="H843" i="365"/>
  <c r="H842" i="365"/>
  <c r="H841" i="365"/>
  <c r="H840" i="365"/>
  <c r="H839" i="365"/>
  <c r="H838" i="365"/>
  <c r="H837" i="365"/>
  <c r="H836" i="365"/>
  <c r="H835" i="365"/>
  <c r="H834" i="365"/>
  <c r="H833" i="365"/>
  <c r="H832" i="365"/>
  <c r="H831" i="365"/>
  <c r="H830" i="365"/>
  <c r="H829" i="365"/>
  <c r="H828" i="365"/>
  <c r="H827" i="365"/>
  <c r="H826" i="365"/>
  <c r="H825" i="365"/>
  <c r="H824" i="365"/>
  <c r="H823" i="365"/>
  <c r="H822" i="365"/>
  <c r="H821" i="365"/>
  <c r="H820" i="365"/>
  <c r="H819" i="365"/>
  <c r="H818" i="365"/>
  <c r="H817" i="365"/>
  <c r="H816" i="365"/>
  <c r="H815" i="365"/>
  <c r="H814" i="365"/>
  <c r="H813" i="365"/>
  <c r="H812" i="365"/>
  <c r="H811" i="365"/>
  <c r="H810" i="365"/>
  <c r="H809" i="365"/>
  <c r="H808" i="365"/>
  <c r="H807" i="365"/>
  <c r="H806" i="365"/>
  <c r="H805" i="365"/>
  <c r="H804" i="365"/>
  <c r="H803" i="365"/>
  <c r="H802" i="365"/>
  <c r="H801" i="365"/>
  <c r="H800" i="365"/>
  <c r="H799" i="365"/>
  <c r="H798" i="365"/>
  <c r="H797" i="365"/>
  <c r="H796" i="365"/>
  <c r="H795" i="365"/>
  <c r="H794" i="365"/>
  <c r="H793" i="365"/>
  <c r="H792" i="365"/>
  <c r="H791" i="365"/>
  <c r="H790" i="365"/>
  <c r="H789" i="365"/>
  <c r="H788" i="365"/>
  <c r="H787" i="365"/>
  <c r="H786" i="365"/>
  <c r="H785" i="365"/>
  <c r="H784" i="365"/>
  <c r="H783" i="365"/>
  <c r="H782" i="365"/>
  <c r="H781" i="365"/>
  <c r="H780" i="365"/>
  <c r="H779" i="365"/>
  <c r="H778" i="365"/>
  <c r="H777" i="365"/>
  <c r="H776" i="365"/>
  <c r="H775" i="365"/>
  <c r="H774" i="365"/>
  <c r="H773" i="365"/>
  <c r="H772" i="365"/>
  <c r="H771" i="365"/>
  <c r="H770" i="365"/>
  <c r="H769" i="365"/>
  <c r="H768" i="365"/>
  <c r="H767" i="365"/>
  <c r="H766" i="365"/>
  <c r="H765" i="365"/>
  <c r="H764" i="365"/>
  <c r="H763" i="365"/>
  <c r="H762" i="365"/>
  <c r="H761" i="365"/>
  <c r="H760" i="365"/>
  <c r="H759" i="365"/>
  <c r="H758" i="365"/>
  <c r="H757" i="365"/>
  <c r="H756" i="365"/>
  <c r="H755" i="365"/>
  <c r="H754" i="365"/>
  <c r="H753" i="365"/>
  <c r="H752" i="365"/>
  <c r="H751" i="365"/>
  <c r="H750" i="365"/>
  <c r="H749" i="365"/>
  <c r="H748" i="365"/>
  <c r="H747" i="365"/>
  <c r="H746" i="365"/>
  <c r="H745" i="365"/>
  <c r="H744" i="365"/>
  <c r="H743" i="365"/>
  <c r="H742" i="365"/>
  <c r="H741" i="365"/>
  <c r="H740" i="365"/>
  <c r="H739" i="365"/>
  <c r="H738" i="365"/>
  <c r="H737" i="365"/>
  <c r="H736" i="365"/>
  <c r="H735" i="365"/>
  <c r="H734" i="365"/>
  <c r="H733" i="365"/>
  <c r="H732" i="365"/>
  <c r="H731" i="365"/>
  <c r="H730" i="365"/>
  <c r="H729" i="365"/>
  <c r="H728" i="365"/>
  <c r="H727" i="365"/>
  <c r="H726" i="365"/>
  <c r="H725" i="365"/>
  <c r="H724" i="365"/>
  <c r="H723" i="365"/>
  <c r="H722" i="365"/>
  <c r="H721" i="365"/>
  <c r="H720" i="365"/>
  <c r="H719" i="365"/>
  <c r="H718" i="365"/>
  <c r="H717" i="365"/>
  <c r="H716" i="365"/>
  <c r="H715" i="365"/>
  <c r="H714" i="365"/>
  <c r="H713" i="365"/>
  <c r="H712" i="365"/>
  <c r="H711" i="365"/>
  <c r="H710" i="365"/>
  <c r="H709" i="365"/>
  <c r="H708" i="365"/>
  <c r="H707" i="365"/>
  <c r="H706" i="365"/>
  <c r="H705" i="365"/>
  <c r="H704" i="365"/>
  <c r="H703" i="365"/>
  <c r="H702" i="365"/>
  <c r="H701" i="365"/>
  <c r="H700" i="365"/>
  <c r="H699" i="365"/>
  <c r="H698" i="365"/>
  <c r="H697" i="365"/>
  <c r="H696" i="365"/>
  <c r="H695" i="365"/>
  <c r="H694" i="365"/>
  <c r="H693" i="365"/>
  <c r="H692" i="365"/>
  <c r="H691" i="365"/>
  <c r="H690" i="365"/>
  <c r="H689" i="365"/>
  <c r="H688" i="365"/>
  <c r="H687" i="365"/>
  <c r="H686" i="365"/>
  <c r="H685" i="365"/>
  <c r="H684" i="365"/>
  <c r="H683" i="365"/>
  <c r="H682" i="365"/>
  <c r="H681" i="365"/>
  <c r="H680" i="365"/>
  <c r="H679" i="365"/>
  <c r="H678" i="365"/>
  <c r="H677" i="365"/>
  <c r="H676" i="365"/>
  <c r="H675" i="365"/>
  <c r="H674" i="365"/>
  <c r="H673" i="365"/>
  <c r="H672" i="365"/>
  <c r="H671" i="365"/>
  <c r="H670" i="365"/>
  <c r="H669" i="365"/>
  <c r="H668" i="365"/>
  <c r="H667" i="365"/>
  <c r="H666" i="365"/>
  <c r="H665" i="365"/>
  <c r="H664" i="365"/>
  <c r="H663" i="365"/>
  <c r="H662" i="365"/>
  <c r="H661" i="365"/>
  <c r="H660" i="365"/>
  <c r="H659" i="365"/>
  <c r="H658" i="365"/>
  <c r="H657" i="365"/>
  <c r="H656" i="365"/>
  <c r="H655" i="365"/>
  <c r="H654" i="365"/>
  <c r="H653" i="365"/>
  <c r="H652" i="365"/>
  <c r="H651" i="365"/>
  <c r="H650" i="365"/>
  <c r="H649" i="365"/>
  <c r="H648" i="365"/>
  <c r="H647" i="365"/>
  <c r="H646" i="365"/>
  <c r="H645" i="365"/>
  <c r="H644" i="365"/>
  <c r="H643" i="365"/>
  <c r="H642" i="365"/>
  <c r="H641" i="365"/>
  <c r="H640" i="365"/>
  <c r="H639" i="365"/>
  <c r="H638" i="365"/>
  <c r="H637" i="365"/>
  <c r="H636" i="365"/>
  <c r="H635" i="365"/>
  <c r="H634" i="365"/>
  <c r="H633" i="365"/>
  <c r="H632" i="365"/>
  <c r="H631" i="365"/>
  <c r="H630" i="365"/>
  <c r="H629" i="365"/>
  <c r="H628" i="365"/>
  <c r="H627" i="365"/>
  <c r="H626" i="365"/>
  <c r="H625" i="365"/>
  <c r="H624" i="365"/>
  <c r="H623" i="365"/>
  <c r="H622" i="365"/>
  <c r="H621" i="365"/>
  <c r="H620" i="365"/>
  <c r="H619" i="365"/>
  <c r="H618" i="365"/>
  <c r="H617" i="365"/>
  <c r="H616" i="365"/>
  <c r="H615" i="365"/>
  <c r="H614" i="365"/>
  <c r="H613" i="365"/>
  <c r="H612" i="365"/>
  <c r="H611" i="365"/>
  <c r="H610" i="365"/>
  <c r="H609" i="365"/>
  <c r="H608" i="365"/>
  <c r="H607" i="365"/>
  <c r="H606" i="365"/>
  <c r="H605" i="365"/>
  <c r="H604" i="365"/>
  <c r="H603" i="365"/>
  <c r="H602" i="365"/>
  <c r="H601" i="365"/>
  <c r="H600" i="365"/>
  <c r="H599" i="365"/>
  <c r="H598" i="365"/>
  <c r="H597" i="365"/>
  <c r="H596" i="365"/>
  <c r="H595" i="365"/>
  <c r="H594" i="365"/>
  <c r="H593" i="365"/>
  <c r="H592" i="365"/>
  <c r="H591" i="365"/>
  <c r="H590" i="365"/>
  <c r="H589" i="365"/>
  <c r="H588" i="365"/>
  <c r="H587" i="365"/>
  <c r="H586" i="365"/>
  <c r="H585" i="365"/>
  <c r="H584" i="365"/>
  <c r="H583" i="365"/>
  <c r="H582" i="365"/>
  <c r="H581" i="365"/>
  <c r="H580" i="365"/>
  <c r="H579" i="365"/>
  <c r="H578" i="365"/>
  <c r="H577" i="365"/>
  <c r="H576" i="365"/>
  <c r="H575" i="365"/>
  <c r="H574" i="365"/>
  <c r="H573" i="365"/>
  <c r="H572" i="365"/>
  <c r="H571" i="365"/>
  <c r="H570" i="365"/>
  <c r="H569" i="365"/>
  <c r="H568" i="365"/>
  <c r="H567" i="365"/>
  <c r="H566" i="365"/>
  <c r="H565" i="365"/>
  <c r="H564" i="365"/>
  <c r="H563" i="365"/>
  <c r="H562" i="365"/>
  <c r="H561" i="365"/>
  <c r="H560" i="365"/>
  <c r="H559" i="365"/>
  <c r="H558" i="365"/>
  <c r="H557" i="365"/>
  <c r="H556" i="365"/>
  <c r="H555" i="365"/>
  <c r="H554" i="365"/>
  <c r="H553" i="365"/>
  <c r="H552" i="365"/>
  <c r="H551" i="365"/>
  <c r="H550" i="365"/>
  <c r="H549" i="365"/>
  <c r="H548" i="365"/>
  <c r="H547" i="365"/>
  <c r="H546" i="365"/>
  <c r="H545" i="365"/>
  <c r="H544" i="365"/>
  <c r="H543" i="365"/>
  <c r="H542" i="365"/>
  <c r="H541" i="365"/>
  <c r="H540" i="365"/>
  <c r="H539" i="365"/>
  <c r="H538" i="365"/>
  <c r="H537" i="365"/>
  <c r="H536" i="365"/>
  <c r="H535" i="365"/>
  <c r="H534" i="365"/>
  <c r="H533" i="365"/>
  <c r="H532" i="365"/>
  <c r="H531" i="365"/>
  <c r="H530" i="365"/>
  <c r="H529" i="365"/>
  <c r="H528" i="365"/>
  <c r="H527" i="365"/>
  <c r="H526" i="365"/>
  <c r="H525" i="365"/>
  <c r="H524" i="365"/>
  <c r="H523" i="365"/>
  <c r="H522" i="365"/>
  <c r="H521" i="365"/>
  <c r="H520" i="365"/>
  <c r="H519" i="365"/>
  <c r="H518" i="365"/>
  <c r="H517" i="365"/>
  <c r="H516" i="365"/>
  <c r="H515" i="365"/>
  <c r="H514" i="365"/>
  <c r="H513" i="365"/>
  <c r="H512" i="365"/>
  <c r="H511" i="365"/>
  <c r="H510" i="365"/>
  <c r="H509" i="365"/>
  <c r="H508" i="365"/>
  <c r="H507" i="365"/>
  <c r="H506" i="365"/>
  <c r="H505" i="365"/>
  <c r="H504" i="365"/>
  <c r="H503" i="365"/>
  <c r="H502" i="365"/>
  <c r="H501" i="365"/>
  <c r="H500" i="365"/>
  <c r="H499" i="365"/>
  <c r="H498" i="365"/>
  <c r="H497" i="365"/>
  <c r="H496" i="365"/>
  <c r="H495" i="365"/>
  <c r="H494" i="365"/>
  <c r="H493" i="365"/>
  <c r="H492" i="365"/>
  <c r="H491" i="365"/>
  <c r="H490" i="365"/>
  <c r="H489" i="365"/>
  <c r="H488" i="365"/>
  <c r="H487" i="365"/>
  <c r="H486" i="365"/>
  <c r="H485" i="365"/>
  <c r="H484" i="365"/>
  <c r="H483" i="365"/>
  <c r="H482" i="365"/>
  <c r="H481" i="365"/>
  <c r="H480" i="365"/>
  <c r="H479" i="365"/>
  <c r="H478" i="365"/>
  <c r="H477" i="365"/>
  <c r="H476" i="365"/>
  <c r="H475" i="365"/>
  <c r="H474" i="365"/>
  <c r="H473" i="365"/>
  <c r="H472" i="365"/>
  <c r="H471" i="365"/>
  <c r="H470" i="365"/>
  <c r="H469" i="365"/>
  <c r="H468" i="365"/>
  <c r="H467" i="365"/>
  <c r="H466" i="365"/>
  <c r="H465" i="365"/>
  <c r="H464" i="365"/>
  <c r="H463" i="365"/>
  <c r="H462" i="365"/>
  <c r="H461" i="365"/>
  <c r="H460" i="365"/>
  <c r="H459" i="365"/>
  <c r="H458" i="365"/>
  <c r="H457" i="365"/>
  <c r="H456" i="365"/>
  <c r="H455" i="365"/>
  <c r="H454" i="365"/>
  <c r="H453" i="365"/>
  <c r="H452" i="365"/>
  <c r="H451" i="365"/>
  <c r="H450" i="365"/>
  <c r="H449" i="365"/>
  <c r="H448" i="365"/>
  <c r="H447" i="365"/>
  <c r="H446" i="365"/>
  <c r="H445" i="365"/>
  <c r="H444" i="365"/>
  <c r="H443" i="365"/>
  <c r="H442" i="365"/>
  <c r="H441" i="365"/>
  <c r="H440" i="365"/>
  <c r="H439" i="365"/>
  <c r="H438" i="365"/>
  <c r="H437" i="365"/>
  <c r="H436" i="365"/>
  <c r="H435" i="365"/>
  <c r="H434" i="365"/>
  <c r="H433" i="365"/>
  <c r="H432" i="365"/>
  <c r="H431" i="365"/>
  <c r="H430" i="365"/>
  <c r="H429" i="365"/>
  <c r="H428" i="365"/>
  <c r="H427" i="365"/>
  <c r="H426" i="365"/>
  <c r="H425" i="365"/>
  <c r="H424" i="365"/>
  <c r="H423" i="365"/>
  <c r="H422" i="365"/>
  <c r="H421" i="365"/>
  <c r="H420" i="365"/>
  <c r="H419" i="365"/>
  <c r="H418" i="365"/>
  <c r="H417" i="365"/>
  <c r="H416" i="365"/>
  <c r="H415" i="365"/>
  <c r="H414" i="365"/>
  <c r="H413" i="365"/>
  <c r="H412" i="365"/>
  <c r="H411" i="365"/>
  <c r="H410" i="365"/>
  <c r="H409" i="365"/>
  <c r="H408" i="365"/>
  <c r="H407" i="365"/>
  <c r="H406" i="365"/>
  <c r="H405" i="365"/>
  <c r="H404" i="365"/>
  <c r="H403" i="365"/>
  <c r="H402" i="365"/>
  <c r="H401" i="365"/>
  <c r="H400" i="365"/>
  <c r="H399" i="365"/>
  <c r="H398" i="365"/>
  <c r="H397" i="365"/>
  <c r="H396" i="365"/>
  <c r="H395" i="365"/>
  <c r="H394" i="365"/>
  <c r="H393" i="365"/>
  <c r="H392" i="365"/>
  <c r="H391" i="365"/>
  <c r="H390" i="365"/>
  <c r="H389" i="365"/>
  <c r="H388" i="365"/>
  <c r="H387" i="365"/>
  <c r="H386" i="365"/>
  <c r="H385" i="365"/>
  <c r="H384" i="365"/>
  <c r="H383" i="365"/>
  <c r="H382" i="365"/>
  <c r="H381" i="365"/>
  <c r="H380" i="365"/>
  <c r="H379" i="365"/>
  <c r="H378" i="365"/>
  <c r="H377" i="365"/>
  <c r="H376" i="365"/>
  <c r="H375" i="365"/>
  <c r="H374" i="365"/>
  <c r="H373" i="365"/>
  <c r="H372" i="365"/>
  <c r="H371" i="365"/>
  <c r="H370" i="365"/>
  <c r="H369" i="365"/>
  <c r="H368" i="365"/>
  <c r="H367" i="365"/>
  <c r="H366" i="365"/>
  <c r="H365" i="365"/>
  <c r="H364" i="365"/>
  <c r="H363" i="365"/>
  <c r="H362" i="365"/>
  <c r="H361" i="365"/>
  <c r="H360" i="365"/>
  <c r="H359" i="365"/>
  <c r="H358" i="365"/>
  <c r="H357" i="365"/>
  <c r="H356" i="365"/>
  <c r="H355" i="365"/>
  <c r="H354" i="365"/>
  <c r="H353" i="365"/>
  <c r="H352" i="365"/>
  <c r="H351" i="365"/>
  <c r="H350" i="365"/>
  <c r="H349" i="365"/>
  <c r="H348" i="365"/>
  <c r="H347" i="365"/>
  <c r="H346" i="365"/>
  <c r="H345" i="365"/>
  <c r="H344" i="365"/>
  <c r="H343" i="365"/>
  <c r="H342" i="365"/>
  <c r="H341" i="365"/>
  <c r="H340" i="365"/>
  <c r="H339" i="365"/>
  <c r="H338" i="365"/>
  <c r="H337" i="365"/>
  <c r="H336" i="365"/>
  <c r="H335" i="365"/>
  <c r="H334" i="365"/>
  <c r="H333" i="365"/>
  <c r="H332" i="365"/>
  <c r="H331" i="365"/>
  <c r="H330" i="365"/>
  <c r="H329" i="365"/>
  <c r="H328" i="365"/>
  <c r="H327" i="365"/>
  <c r="H326" i="365"/>
  <c r="H325" i="365"/>
  <c r="H324" i="365"/>
  <c r="H323" i="365"/>
  <c r="H322" i="365"/>
  <c r="H321" i="365"/>
  <c r="H320" i="365"/>
  <c r="H319" i="365"/>
  <c r="H318" i="365"/>
  <c r="H317" i="365"/>
  <c r="H316" i="365"/>
  <c r="H315" i="365"/>
  <c r="H314" i="365"/>
  <c r="H313" i="365"/>
  <c r="H312" i="365"/>
  <c r="H311" i="365"/>
  <c r="H310" i="365"/>
  <c r="H309" i="365"/>
  <c r="H308" i="365"/>
  <c r="H307" i="365"/>
  <c r="H306" i="365"/>
  <c r="H305" i="365"/>
  <c r="H304" i="365"/>
  <c r="H303" i="365"/>
  <c r="H302" i="365"/>
  <c r="H301" i="365"/>
  <c r="H300" i="365"/>
  <c r="H299" i="365"/>
  <c r="H298" i="365"/>
  <c r="H297" i="365"/>
  <c r="H296" i="365"/>
  <c r="H295" i="365"/>
  <c r="H294" i="365"/>
  <c r="H293" i="365"/>
  <c r="H292" i="365"/>
  <c r="H291" i="365"/>
  <c r="H290" i="365"/>
  <c r="H289" i="365"/>
  <c r="H288" i="365"/>
  <c r="H287" i="365"/>
  <c r="H286" i="365"/>
  <c r="H285" i="365"/>
  <c r="H284" i="365"/>
  <c r="H283" i="365"/>
  <c r="H282" i="365"/>
  <c r="H281" i="365"/>
  <c r="H280" i="365"/>
  <c r="H279" i="365"/>
  <c r="H278" i="365"/>
  <c r="H277" i="365"/>
  <c r="H276" i="365"/>
  <c r="H275" i="365"/>
  <c r="H274" i="365"/>
  <c r="H273" i="365"/>
  <c r="H272" i="365"/>
  <c r="H271" i="365"/>
  <c r="H270" i="365"/>
  <c r="H269" i="365"/>
  <c r="H268" i="365"/>
  <c r="H267" i="365"/>
  <c r="H266" i="365"/>
  <c r="H265" i="365"/>
  <c r="H264" i="365"/>
  <c r="H263" i="365"/>
  <c r="H262" i="365"/>
  <c r="H261" i="365"/>
  <c r="H260" i="365"/>
  <c r="H259" i="365"/>
  <c r="H258" i="365"/>
  <c r="H257" i="365"/>
  <c r="H256" i="365"/>
  <c r="H255" i="365"/>
  <c r="H254" i="365"/>
  <c r="H253" i="365"/>
  <c r="H252" i="365"/>
  <c r="H251" i="365"/>
  <c r="H250" i="365"/>
  <c r="H249" i="365"/>
  <c r="H248" i="365"/>
  <c r="H247" i="365"/>
  <c r="H246" i="365"/>
  <c r="H245" i="365"/>
  <c r="H244" i="365"/>
  <c r="H243" i="365"/>
  <c r="H242" i="365"/>
  <c r="H241" i="365"/>
  <c r="H240" i="365"/>
  <c r="H239" i="365"/>
  <c r="H238" i="365"/>
  <c r="H237" i="365"/>
  <c r="H236" i="365"/>
  <c r="H235" i="365"/>
  <c r="H234" i="365"/>
  <c r="H233" i="365"/>
  <c r="H232" i="365"/>
  <c r="H231" i="365"/>
  <c r="H230" i="365"/>
  <c r="H229" i="365"/>
  <c r="H228" i="365"/>
  <c r="H227" i="365"/>
  <c r="H226" i="365"/>
  <c r="H225" i="365"/>
  <c r="H224" i="365"/>
  <c r="H223" i="365"/>
  <c r="H222" i="365"/>
  <c r="H221" i="365"/>
  <c r="H220" i="365"/>
  <c r="H219" i="365"/>
  <c r="H218" i="365"/>
  <c r="H217" i="365"/>
  <c r="H216" i="365"/>
  <c r="H215" i="365"/>
  <c r="H214" i="365"/>
  <c r="H213" i="365"/>
  <c r="H212" i="365"/>
  <c r="H211" i="365"/>
  <c r="H210" i="365"/>
  <c r="H209" i="365"/>
  <c r="H208" i="365"/>
  <c r="H207" i="365"/>
  <c r="H206" i="365"/>
  <c r="H205" i="365"/>
  <c r="H204" i="365"/>
  <c r="H203" i="365"/>
  <c r="H202" i="365"/>
  <c r="H201" i="365"/>
  <c r="H200" i="365"/>
  <c r="H199" i="365"/>
  <c r="H198" i="365"/>
  <c r="H197" i="365"/>
  <c r="H196" i="365"/>
  <c r="H195" i="365"/>
  <c r="H194" i="365"/>
  <c r="H193" i="365"/>
  <c r="H192" i="365"/>
  <c r="H191" i="365"/>
  <c r="H190" i="365"/>
  <c r="H189" i="365"/>
  <c r="H188" i="365"/>
  <c r="H187" i="365"/>
  <c r="H186" i="365"/>
  <c r="H185" i="365"/>
  <c r="H184" i="365"/>
  <c r="H183" i="365"/>
  <c r="H182" i="365"/>
  <c r="H181" i="365"/>
  <c r="H180" i="365"/>
  <c r="H179" i="365"/>
  <c r="H178" i="365"/>
  <c r="H177" i="365"/>
  <c r="H176" i="365"/>
  <c r="H175" i="365"/>
  <c r="H174" i="365"/>
  <c r="H173" i="365"/>
  <c r="H172" i="365"/>
  <c r="H171" i="365"/>
  <c r="H170" i="365"/>
  <c r="H169" i="365"/>
  <c r="H168" i="365"/>
  <c r="H167" i="365"/>
  <c r="H166" i="365"/>
  <c r="H165" i="365"/>
  <c r="H164" i="365"/>
  <c r="H163" i="365"/>
  <c r="H162" i="365"/>
  <c r="H161" i="365"/>
  <c r="H160" i="365"/>
  <c r="H159" i="365"/>
  <c r="H158" i="365"/>
  <c r="H157" i="365"/>
  <c r="H156" i="365"/>
  <c r="H155" i="365"/>
  <c r="H154" i="365"/>
  <c r="H153" i="365"/>
  <c r="H152" i="365"/>
  <c r="H151" i="365"/>
  <c r="H150" i="365"/>
  <c r="H149" i="365"/>
  <c r="H148" i="365"/>
  <c r="H147" i="365"/>
  <c r="H146" i="365"/>
  <c r="H145" i="365"/>
  <c r="H144" i="365"/>
  <c r="H143" i="365"/>
  <c r="H142" i="365"/>
  <c r="H141" i="365"/>
  <c r="H140" i="365"/>
  <c r="H139" i="365"/>
  <c r="H138" i="365"/>
  <c r="H137" i="365"/>
  <c r="H136" i="365"/>
  <c r="H135" i="365"/>
  <c r="H134" i="365"/>
  <c r="H133" i="365"/>
  <c r="H132" i="365"/>
  <c r="H131" i="365"/>
  <c r="H130" i="365"/>
  <c r="H129" i="365"/>
  <c r="H128" i="365"/>
  <c r="H127" i="365"/>
  <c r="H126" i="365"/>
  <c r="H125" i="365"/>
  <c r="H124" i="365"/>
  <c r="H123" i="365"/>
  <c r="H122" i="365"/>
  <c r="H121" i="365"/>
  <c r="H120" i="365"/>
  <c r="H119" i="365"/>
  <c r="H118" i="365"/>
  <c r="H117" i="365"/>
  <c r="H116" i="365"/>
  <c r="H115" i="365"/>
  <c r="H114" i="365"/>
  <c r="H113" i="365"/>
  <c r="H112" i="365"/>
  <c r="H111" i="365"/>
  <c r="H110" i="365"/>
  <c r="H109" i="365"/>
  <c r="H108" i="365"/>
  <c r="H107" i="365"/>
  <c r="H106" i="365"/>
  <c r="H105" i="365"/>
  <c r="H104" i="365"/>
  <c r="H103" i="365"/>
  <c r="H102" i="365"/>
  <c r="H101" i="365"/>
  <c r="H100" i="365"/>
  <c r="H99" i="365"/>
  <c r="H98" i="365"/>
  <c r="H97" i="365"/>
  <c r="H96" i="365"/>
  <c r="H95" i="365"/>
  <c r="H94" i="365"/>
  <c r="H93" i="365"/>
  <c r="H92" i="365"/>
  <c r="H91" i="365"/>
  <c r="H90" i="365"/>
  <c r="H89" i="365"/>
  <c r="H88" i="365"/>
  <c r="H87" i="365"/>
  <c r="H86" i="365"/>
  <c r="H85" i="365"/>
  <c r="H84" i="365"/>
  <c r="H83" i="365"/>
  <c r="H82" i="365"/>
  <c r="H81" i="365"/>
  <c r="H80" i="365"/>
  <c r="H79" i="365"/>
  <c r="H78" i="365"/>
  <c r="H77" i="365"/>
  <c r="H76" i="365"/>
  <c r="H75" i="365"/>
  <c r="H74" i="365"/>
  <c r="H73" i="365"/>
  <c r="H72" i="365"/>
  <c r="H71" i="365"/>
  <c r="H70" i="365"/>
  <c r="H69" i="365"/>
  <c r="H68" i="365"/>
  <c r="H67" i="365"/>
  <c r="H66" i="365"/>
  <c r="H65" i="365"/>
  <c r="H64" i="365"/>
  <c r="H63" i="365"/>
  <c r="H62" i="365"/>
  <c r="H61" i="365"/>
  <c r="H60" i="365"/>
  <c r="H59" i="365"/>
  <c r="H58" i="365"/>
  <c r="H57" i="365"/>
  <c r="H56" i="365"/>
  <c r="H55" i="365"/>
  <c r="H54" i="365"/>
  <c r="H53" i="365"/>
  <c r="H52" i="365"/>
  <c r="H51" i="365"/>
  <c r="H50" i="365"/>
  <c r="H49" i="365"/>
  <c r="H48" i="365"/>
  <c r="H47" i="365"/>
  <c r="H46" i="365"/>
  <c r="H45" i="365"/>
  <c r="H44" i="365"/>
  <c r="H43" i="365"/>
  <c r="H42" i="365"/>
  <c r="H41" i="365"/>
  <c r="H40" i="365"/>
  <c r="H39" i="365"/>
  <c r="H38" i="365"/>
  <c r="H37" i="365"/>
  <c r="H36" i="365"/>
  <c r="H35" i="365"/>
  <c r="H34" i="365"/>
  <c r="H33" i="365"/>
  <c r="H32" i="365"/>
  <c r="H31" i="365"/>
  <c r="H30" i="365"/>
  <c r="H29" i="365"/>
  <c r="H28" i="365"/>
  <c r="H27" i="365"/>
  <c r="H26" i="365"/>
  <c r="H25" i="365"/>
  <c r="H24" i="365"/>
  <c r="H23" i="365"/>
  <c r="H22" i="365"/>
  <c r="H21" i="365"/>
  <c r="H20" i="365"/>
  <c r="H19" i="365"/>
  <c r="H18" i="365"/>
  <c r="H17" i="365"/>
  <c r="H16" i="365"/>
  <c r="H15" i="365"/>
  <c r="H14" i="365"/>
  <c r="H13" i="365"/>
  <c r="H12" i="365"/>
  <c r="H11" i="365"/>
  <c r="H10" i="365"/>
  <c r="H9" i="365"/>
  <c r="H8" i="365"/>
  <c r="H7" i="365"/>
  <c r="H6" i="365"/>
  <c r="H5" i="365"/>
  <c r="H4" i="365"/>
  <c r="H3" i="365"/>
  <c r="H2" i="365"/>
  <c r="H1" i="365"/>
  <c r="AO114" i="352"/>
  <c r="AO52" i="352" s="1"/>
  <c r="AK114" i="352"/>
  <c r="AK52" i="352" s="1"/>
  <c r="AG114" i="352"/>
  <c r="AG52" i="352" s="1"/>
  <c r="AC114" i="352"/>
  <c r="AC52" i="352" s="1"/>
  <c r="Y114" i="352"/>
  <c r="Y52" i="352" s="1"/>
  <c r="U114" i="352"/>
  <c r="U52" i="352" s="1"/>
  <c r="Q114" i="352"/>
  <c r="Q52" i="352" s="1"/>
  <c r="M114" i="352"/>
  <c r="M52" i="352" s="1"/>
  <c r="I121" i="352"/>
  <c r="I83" i="352" s="1"/>
  <c r="E121" i="352"/>
  <c r="E83" i="352" s="1"/>
  <c r="I114" i="352"/>
  <c r="I52" i="352" s="1"/>
  <c r="E114" i="352"/>
  <c r="E52" i="352" s="1"/>
  <c r="AO121" i="168"/>
  <c r="AO83" i="168" s="1"/>
  <c r="AK121" i="168"/>
  <c r="AK83" i="168" s="1"/>
  <c r="E62" i="383" s="1"/>
  <c r="AO114" i="168"/>
  <c r="AO52" i="168" s="1"/>
  <c r="AK114" i="168"/>
  <c r="AK52" i="168" s="1"/>
  <c r="AG121" i="168"/>
  <c r="AG83" i="168" s="1"/>
  <c r="AC121" i="168"/>
  <c r="AC83" i="168" s="1"/>
  <c r="E59" i="327" s="1"/>
  <c r="AG114" i="168"/>
  <c r="AG52" i="168" s="1"/>
  <c r="AC114" i="168"/>
  <c r="AC52" i="168" s="1"/>
  <c r="Y121" i="168"/>
  <c r="Y83" i="168" s="1"/>
  <c r="E138" i="303" s="1"/>
  <c r="U121" i="168"/>
  <c r="U83" i="168" s="1"/>
  <c r="Y114" i="168"/>
  <c r="Y52" i="168" s="1"/>
  <c r="U114" i="168"/>
  <c r="U52" i="168" s="1"/>
  <c r="Q121" i="168"/>
  <c r="Q83" i="168" s="1"/>
  <c r="E135" i="291" s="1"/>
  <c r="M121" i="168"/>
  <c r="M83" i="168" s="1"/>
  <c r="E59" i="291" s="1"/>
  <c r="Q114" i="168"/>
  <c r="Q52" i="168" s="1"/>
  <c r="M114" i="168"/>
  <c r="M52" i="168" s="1"/>
  <c r="I121" i="168"/>
  <c r="I83" i="168" s="1"/>
  <c r="E121" i="168"/>
  <c r="E83" i="168" s="1"/>
  <c r="I114" i="168"/>
  <c r="I52" i="168" s="1"/>
  <c r="E114" i="168"/>
  <c r="E52" i="168" s="1"/>
  <c r="H30" i="248"/>
  <c r="H25" i="248"/>
  <c r="B63" i="281"/>
  <c r="C56" i="291"/>
  <c r="E70" i="291"/>
  <c r="D19" i="301"/>
  <c r="G19" i="248"/>
  <c r="D19" i="281"/>
  <c r="F19" i="248" s="1"/>
  <c r="D35" i="358"/>
  <c r="D20" i="358"/>
  <c r="DN9" i="168"/>
  <c r="DP9" i="168" s="1"/>
  <c r="DJ9" i="168"/>
  <c r="DL9" i="168" s="1"/>
  <c r="DF9" i="168"/>
  <c r="DH9" i="168" s="1"/>
  <c r="DB9" i="168"/>
  <c r="DD9" i="168"/>
  <c r="DP112" i="168"/>
  <c r="DL112" i="168"/>
  <c r="DH112" i="168"/>
  <c r="DD112" i="168"/>
  <c r="DP52" i="168"/>
  <c r="DL52" i="168"/>
  <c r="DH52" i="168"/>
  <c r="DD52" i="168"/>
  <c r="CZ112" i="168"/>
  <c r="CV112" i="168"/>
  <c r="CR112" i="168"/>
  <c r="CN112" i="168"/>
  <c r="CJ112" i="168"/>
  <c r="CF112" i="168"/>
  <c r="CX9" i="168"/>
  <c r="CZ9" i="168" s="1"/>
  <c r="CT9" i="168"/>
  <c r="CV9" i="168" s="1"/>
  <c r="CP9" i="168"/>
  <c r="CR9" i="168" s="1"/>
  <c r="CZ114" i="168"/>
  <c r="CZ52" i="168" s="1"/>
  <c r="CV114" i="168"/>
  <c r="CV52" i="168" s="1"/>
  <c r="CR114" i="168"/>
  <c r="CR52" i="168" s="1"/>
  <c r="CN114" i="168"/>
  <c r="CN52" i="168" s="1"/>
  <c r="CL9" i="168"/>
  <c r="CN9" i="168" s="1"/>
  <c r="CJ114" i="168"/>
  <c r="CJ52" i="168" s="1"/>
  <c r="CF114" i="168"/>
  <c r="CF52" i="168" s="1"/>
  <c r="CH9" i="168"/>
  <c r="CJ9" i="168" s="1"/>
  <c r="CD9" i="168"/>
  <c r="CF9" i="168" s="1"/>
  <c r="BV9" i="168"/>
  <c r="BX9" i="168"/>
  <c r="BZ9" i="168"/>
  <c r="CB9" i="168" s="1"/>
  <c r="CB112" i="168"/>
  <c r="BX112" i="168"/>
  <c r="CB114" i="168"/>
  <c r="CB52" i="168" s="1"/>
  <c r="BX114" i="168"/>
  <c r="BX52" i="168" s="1"/>
  <c r="AI20" i="352"/>
  <c r="AM9" i="352"/>
  <c r="AO9" i="352"/>
  <c r="E149" i="383"/>
  <c r="E145" i="383"/>
  <c r="C149" i="383"/>
  <c r="C145" i="383"/>
  <c r="C98" i="383"/>
  <c r="E98" i="383" s="1"/>
  <c r="C97" i="383"/>
  <c r="E97" i="383" s="1"/>
  <c r="E73" i="383"/>
  <c r="C73" i="383"/>
  <c r="E69" i="383"/>
  <c r="C69" i="383"/>
  <c r="C22" i="383"/>
  <c r="E22" i="383" s="1"/>
  <c r="C21" i="383"/>
  <c r="E21" i="383" s="1"/>
  <c r="A86" i="383"/>
  <c r="A6" i="383"/>
  <c r="A82" i="383" s="1"/>
  <c r="AI20" i="168"/>
  <c r="AK20" i="168" s="1"/>
  <c r="O16" i="74"/>
  <c r="C151" i="383" s="1"/>
  <c r="AM9" i="168"/>
  <c r="AO9" i="168" s="1"/>
  <c r="C12" i="382"/>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2" i="369"/>
  <c r="F68" i="369"/>
  <c r="H68" i="369" s="1"/>
  <c r="I68" i="369" s="1"/>
  <c r="F63" i="369"/>
  <c r="H63" i="369" s="1"/>
  <c r="I63" i="369" s="1"/>
  <c r="F61" i="369"/>
  <c r="H61" i="369" s="1"/>
  <c r="I61" i="369" s="1"/>
  <c r="F60" i="369"/>
  <c r="H60" i="369" s="1"/>
  <c r="I60" i="369" s="1"/>
  <c r="F59" i="369"/>
  <c r="H59" i="369" s="1"/>
  <c r="I59" i="369" s="1"/>
  <c r="F58" i="369"/>
  <c r="H58" i="369" s="1"/>
  <c r="I58" i="369"/>
  <c r="F57" i="369"/>
  <c r="H57" i="369" s="1"/>
  <c r="I57" i="369" s="1"/>
  <c r="I77" i="369"/>
  <c r="H64" i="369"/>
  <c r="I64" i="369" s="1"/>
  <c r="H62" i="369"/>
  <c r="I62" i="369" s="1"/>
  <c r="G50" i="369"/>
  <c r="AN45" i="369"/>
  <c r="AN43" i="369"/>
  <c r="AN42" i="369"/>
  <c r="AN40" i="369"/>
  <c r="M38" i="369"/>
  <c r="F19" i="369"/>
  <c r="F13" i="369"/>
  <c r="C2" i="369"/>
  <c r="AI25" i="245"/>
  <c r="AI24" i="245"/>
  <c r="AI23" i="245"/>
  <c r="AI22" i="245"/>
  <c r="AI21" i="245"/>
  <c r="AG25" i="245"/>
  <c r="AG24" i="245"/>
  <c r="AG23" i="245"/>
  <c r="AG22" i="245"/>
  <c r="AG21" i="245"/>
  <c r="AQ37" i="167"/>
  <c r="G26" i="167"/>
  <c r="L17" i="245"/>
  <c r="D1" i="298"/>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B11" i="297"/>
  <c r="C11" i="297"/>
  <c r="D11" i="297" s="1"/>
  <c r="E11" i="297" s="1"/>
  <c r="F11" i="297" s="1"/>
  <c r="G11" i="297" s="1"/>
  <c r="H11" i="297" s="1"/>
  <c r="I11" i="297" s="1"/>
  <c r="J11" i="297" s="1"/>
  <c r="K11" i="297" s="1"/>
  <c r="L11" i="297" s="1"/>
  <c r="M11" i="297" s="1"/>
  <c r="N11" i="297" s="1"/>
  <c r="O11" i="297" s="1"/>
  <c r="P11" i="297" s="1"/>
  <c r="Q11" i="297" s="1"/>
  <c r="R11" i="297" s="1"/>
  <c r="S11" i="297" s="1"/>
  <c r="T11" i="297" s="1"/>
  <c r="U11" i="297" s="1"/>
  <c r="V11" i="297" s="1"/>
  <c r="W11" i="297" s="1"/>
  <c r="X11" i="297" s="1"/>
  <c r="Y11" i="297" s="1"/>
  <c r="Z11" i="297" s="1"/>
  <c r="AA11" i="297" s="1"/>
  <c r="AB11" i="297" s="1"/>
  <c r="AC11" i="297" s="1"/>
  <c r="AD11" i="297" s="1"/>
  <c r="AE11" i="297" s="1"/>
  <c r="AF11" i="297" s="1"/>
  <c r="AG11" i="297" s="1"/>
  <c r="AH11" i="297" s="1"/>
  <c r="AI11" i="297" s="1"/>
  <c r="AJ11" i="297" s="1"/>
  <c r="AK11" i="297" s="1"/>
  <c r="AL11" i="297" s="1"/>
  <c r="AM11" i="297" s="1"/>
  <c r="AN11" i="297" s="1"/>
  <c r="AO11" i="297" s="1"/>
  <c r="AP11" i="297" s="1"/>
  <c r="AQ11" i="297" s="1"/>
  <c r="AR11" i="297" s="1"/>
  <c r="AS11" i="297" s="1"/>
  <c r="AT11" i="297" s="1"/>
  <c r="AU11" i="297" s="1"/>
  <c r="AV11" i="297" s="1"/>
  <c r="AW11" i="297" s="1"/>
  <c r="AX11" i="297" s="1"/>
  <c r="AY11" i="297" s="1"/>
  <c r="AZ11" i="297" s="1"/>
  <c r="BA11" i="297" s="1"/>
  <c r="BB11" i="297" s="1"/>
  <c r="BC11" i="297" s="1"/>
  <c r="BD11" i="297" s="1"/>
  <c r="BE11" i="297" s="1"/>
  <c r="BF11" i="297" s="1"/>
  <c r="BG11" i="297" s="1"/>
  <c r="BH11" i="297" s="1"/>
  <c r="BI11" i="297" s="1"/>
  <c r="BJ11" i="297" s="1"/>
  <c r="BK11" i="297" s="1"/>
  <c r="A6" i="312"/>
  <c r="C12" i="312"/>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E13" i="304"/>
  <c r="C15" i="304"/>
  <c r="C16" i="304"/>
  <c r="C17" i="304"/>
  <c r="C18" i="304"/>
  <c r="C19" i="304"/>
  <c r="E19" i="304" s="1"/>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A6" i="282"/>
  <c r="C10" i="282"/>
  <c r="C11" i="282"/>
  <c r="E11" i="282" s="1"/>
  <c r="C12" i="282"/>
  <c r="C13" i="282"/>
  <c r="C15" i="282"/>
  <c r="C16" i="282"/>
  <c r="E16" i="282" s="1"/>
  <c r="C17" i="282"/>
  <c r="E17" i="282" s="1"/>
  <c r="C18" i="282"/>
  <c r="C19" i="282"/>
  <c r="C22" i="282"/>
  <c r="C23" i="282"/>
  <c r="A6" i="279"/>
  <c r="C11" i="279"/>
  <c r="C12" i="279"/>
  <c r="E12" i="279" s="1"/>
  <c r="A6" i="278"/>
  <c r="B17" i="278"/>
  <c r="A6" i="277"/>
  <c r="B23" i="277"/>
  <c r="B25" i="277"/>
  <c r="A6" i="276"/>
  <c r="E13" i="276"/>
  <c r="D15" i="276"/>
  <c r="E15" i="276" s="1"/>
  <c r="D16" i="276"/>
  <c r="E16" i="276" s="1"/>
  <c r="D17" i="276"/>
  <c r="E17" i="276" s="1"/>
  <c r="D20" i="276"/>
  <c r="E20" i="276" s="1"/>
  <c r="E23" i="276"/>
  <c r="E24" i="276"/>
  <c r="A6" i="275"/>
  <c r="B14" i="275"/>
  <c r="C15" i="275"/>
  <c r="B20" i="275"/>
  <c r="A6" i="274"/>
  <c r="B14" i="274"/>
  <c r="B16" i="274"/>
  <c r="B20" i="274"/>
  <c r="B22" i="274"/>
  <c r="A6" i="273"/>
  <c r="B11" i="273"/>
  <c r="B14" i="273"/>
  <c r="B15" i="273"/>
  <c r="B16" i="273"/>
  <c r="B17" i="273"/>
  <c r="B22" i="273"/>
  <c r="B23" i="273"/>
  <c r="B26" i="273"/>
  <c r="B30" i="273"/>
  <c r="B31" i="273"/>
  <c r="B34" i="273"/>
  <c r="B36" i="273"/>
  <c r="B38" i="273"/>
  <c r="B40" i="273"/>
  <c r="C40" i="273"/>
  <c r="A6" i="272"/>
  <c r="A6" i="271"/>
  <c r="A6" i="270"/>
  <c r="C10" i="270"/>
  <c r="C11" i="270"/>
  <c r="C12" i="270"/>
  <c r="E12" i="270" s="1"/>
  <c r="C13" i="270"/>
  <c r="C15" i="270"/>
  <c r="C16" i="270"/>
  <c r="C17" i="270"/>
  <c r="C18" i="270"/>
  <c r="E18" i="270" s="1"/>
  <c r="C19" i="270"/>
  <c r="C22" i="270"/>
  <c r="C23" i="270"/>
  <c r="B1" i="181"/>
  <c r="C1" i="181" s="1"/>
  <c r="C1031" i="181"/>
  <c r="V1" i="70"/>
  <c r="W1" i="70" s="1"/>
  <c r="V2" i="70"/>
  <c r="W2" i="70" s="1"/>
  <c r="V3" i="70"/>
  <c r="W3" i="70" s="1"/>
  <c r="V4" i="70"/>
  <c r="W4" i="70" s="1"/>
  <c r="V5" i="70"/>
  <c r="W5" i="70" s="1"/>
  <c r="V6" i="70"/>
  <c r="W6" i="70" s="1"/>
  <c r="V7" i="70"/>
  <c r="W7" i="70" s="1"/>
  <c r="V8" i="70"/>
  <c r="W8" i="70"/>
  <c r="V9" i="70"/>
  <c r="W9" i="70" s="1"/>
  <c r="V10" i="70"/>
  <c r="W10" i="70" s="1"/>
  <c r="V11" i="70"/>
  <c r="W11" i="70" s="1"/>
  <c r="V12" i="70"/>
  <c r="W12" i="70" s="1"/>
  <c r="V13" i="70"/>
  <c r="W13" i="70" s="1"/>
  <c r="V14" i="70"/>
  <c r="W14" i="70" s="1"/>
  <c r="V15" i="70"/>
  <c r="W15" i="70" s="1"/>
  <c r="V16" i="70"/>
  <c r="W16" i="70"/>
  <c r="V17" i="70"/>
  <c r="W17" i="70" s="1"/>
  <c r="V18" i="70"/>
  <c r="W18" i="70" s="1"/>
  <c r="V19" i="70"/>
  <c r="W19" i="70" s="1"/>
  <c r="V20" i="70"/>
  <c r="W20" i="70" s="1"/>
  <c r="V21" i="70"/>
  <c r="W21" i="70" s="1"/>
  <c r="V22" i="70"/>
  <c r="W22" i="70" s="1"/>
  <c r="V23" i="70"/>
  <c r="W23" i="70" s="1"/>
  <c r="V24" i="70"/>
  <c r="W24" i="70" s="1"/>
  <c r="V25" i="70"/>
  <c r="W25" i="70" s="1"/>
  <c r="V26" i="70"/>
  <c r="W26" i="70" s="1"/>
  <c r="V27" i="70"/>
  <c r="W27" i="70" s="1"/>
  <c r="V28" i="70"/>
  <c r="W28" i="70" s="1"/>
  <c r="V29" i="70"/>
  <c r="W29" i="70" s="1"/>
  <c r="V30" i="70"/>
  <c r="W30" i="70" s="1"/>
  <c r="V31" i="70"/>
  <c r="W31" i="70" s="1"/>
  <c r="V32" i="70"/>
  <c r="W32" i="70"/>
  <c r="V33" i="70"/>
  <c r="W33" i="70" s="1"/>
  <c r="V34" i="70"/>
  <c r="W34" i="70" s="1"/>
  <c r="V35" i="70"/>
  <c r="W35" i="70" s="1"/>
  <c r="V36" i="70"/>
  <c r="W36" i="70" s="1"/>
  <c r="V37" i="70"/>
  <c r="W37" i="70" s="1"/>
  <c r="V38" i="70"/>
  <c r="W38" i="70" s="1"/>
  <c r="V39" i="70"/>
  <c r="W39" i="70" s="1"/>
  <c r="V40" i="70"/>
  <c r="W40" i="70" s="1"/>
  <c r="V41" i="70"/>
  <c r="W41" i="70" s="1"/>
  <c r="V42" i="70"/>
  <c r="W42" i="70" s="1"/>
  <c r="V43" i="70"/>
  <c r="W43" i="70" s="1"/>
  <c r="V44" i="70"/>
  <c r="W44" i="70" s="1"/>
  <c r="V45" i="70"/>
  <c r="W45" i="70" s="1"/>
  <c r="V46" i="70"/>
  <c r="W46" i="70"/>
  <c r="V47" i="70"/>
  <c r="W47" i="70" s="1"/>
  <c r="V48" i="70"/>
  <c r="W48" i="70" s="1"/>
  <c r="V49" i="70"/>
  <c r="W49" i="70" s="1"/>
  <c r="V50" i="70"/>
  <c r="W50" i="70" s="1"/>
  <c r="V51" i="70"/>
  <c r="W51" i="70" s="1"/>
  <c r="V52" i="70"/>
  <c r="W52" i="70"/>
  <c r="W53" i="70"/>
  <c r="V54" i="70"/>
  <c r="W54" i="70" s="1"/>
  <c r="V55" i="70"/>
  <c r="W55" i="70" s="1"/>
  <c r="V56" i="70"/>
  <c r="W56" i="70"/>
  <c r="V57" i="70"/>
  <c r="W57" i="70" s="1"/>
  <c r="V58" i="70"/>
  <c r="W58" i="70" s="1"/>
  <c r="V59" i="70"/>
  <c r="W59" i="70" s="1"/>
  <c r="V60" i="70"/>
  <c r="W60" i="70" s="1"/>
  <c r="V61" i="70"/>
  <c r="W61" i="70" s="1"/>
  <c r="V62" i="70"/>
  <c r="W62" i="70"/>
  <c r="V63" i="70"/>
  <c r="W63" i="70" s="1"/>
  <c r="V64" i="70"/>
  <c r="W64" i="70"/>
  <c r="V65" i="70"/>
  <c r="W65" i="70" s="1"/>
  <c r="V66" i="70"/>
  <c r="W66" i="70" s="1"/>
  <c r="V67" i="70"/>
  <c r="W67" i="70" s="1"/>
  <c r="V68" i="70"/>
  <c r="W68" i="70"/>
  <c r="V69" i="70"/>
  <c r="W69" i="70" s="1"/>
  <c r="V70" i="70"/>
  <c r="W70" i="70"/>
  <c r="V71" i="70"/>
  <c r="W71" i="70" s="1"/>
  <c r="V72" i="70"/>
  <c r="W72" i="70"/>
  <c r="V73" i="70"/>
  <c r="W73" i="70" s="1"/>
  <c r="V74" i="70"/>
  <c r="W74" i="70" s="1"/>
  <c r="V75" i="70"/>
  <c r="W75" i="70" s="1"/>
  <c r="V76" i="70"/>
  <c r="W76" i="70"/>
  <c r="V77" i="70"/>
  <c r="W77" i="70" s="1"/>
  <c r="V78" i="70"/>
  <c r="W78" i="70"/>
  <c r="V79" i="70"/>
  <c r="W79" i="70" s="1"/>
  <c r="V80" i="70"/>
  <c r="W80" i="70"/>
  <c r="V81" i="70"/>
  <c r="W81" i="70" s="1"/>
  <c r="V82" i="70"/>
  <c r="W82" i="70" s="1"/>
  <c r="V83" i="70"/>
  <c r="W83" i="70" s="1"/>
  <c r="V84" i="70"/>
  <c r="W84" i="70"/>
  <c r="V85" i="70"/>
  <c r="W85" i="70" s="1"/>
  <c r="V86" i="70"/>
  <c r="W86" i="70" s="1"/>
  <c r="V87" i="70"/>
  <c r="W87" i="70" s="1"/>
  <c r="V88" i="70"/>
  <c r="W88" i="70"/>
  <c r="V89" i="70"/>
  <c r="W89" i="70" s="1"/>
  <c r="V90" i="70"/>
  <c r="W90" i="70" s="1"/>
  <c r="V91" i="70"/>
  <c r="W91" i="70" s="1"/>
  <c r="V92" i="70"/>
  <c r="W92" i="70" s="1"/>
  <c r="V93" i="70"/>
  <c r="W93" i="70" s="1"/>
  <c r="V94" i="70"/>
  <c r="W94" i="70" s="1"/>
  <c r="V95" i="70"/>
  <c r="W95" i="70" s="1"/>
  <c r="V96" i="70"/>
  <c r="W96" i="70"/>
  <c r="V97" i="70"/>
  <c r="W97" i="70" s="1"/>
  <c r="V98" i="70"/>
  <c r="W98" i="70" s="1"/>
  <c r="V99" i="70"/>
  <c r="W99" i="70" s="1"/>
  <c r="V100" i="70"/>
  <c r="W100" i="70" s="1"/>
  <c r="V101" i="70"/>
  <c r="W101" i="70" s="1"/>
  <c r="V102" i="70"/>
  <c r="W102" i="70" s="1"/>
  <c r="V103" i="70"/>
  <c r="W103" i="70" s="1"/>
  <c r="V104" i="70"/>
  <c r="W104" i="70"/>
  <c r="V105" i="70"/>
  <c r="W105" i="70" s="1"/>
  <c r="V106" i="70"/>
  <c r="W106" i="70" s="1"/>
  <c r="V107" i="70"/>
  <c r="W107" i="70" s="1"/>
  <c r="V108" i="70"/>
  <c r="W108" i="70" s="1"/>
  <c r="V109" i="70"/>
  <c r="W109" i="70" s="1"/>
  <c r="V110" i="70"/>
  <c r="W110" i="70"/>
  <c r="V111" i="70"/>
  <c r="W111" i="70" s="1"/>
  <c r="V112" i="70"/>
  <c r="W112" i="70"/>
  <c r="V113" i="70"/>
  <c r="W113" i="70" s="1"/>
  <c r="V114" i="70"/>
  <c r="W114" i="70" s="1"/>
  <c r="V115" i="70"/>
  <c r="W115" i="70" s="1"/>
  <c r="V116" i="70"/>
  <c r="W116" i="70"/>
  <c r="V117" i="70"/>
  <c r="W117" i="70" s="1"/>
  <c r="V118" i="70"/>
  <c r="W118" i="70" s="1"/>
  <c r="V119" i="70"/>
  <c r="W119" i="70" s="1"/>
  <c r="V120" i="70"/>
  <c r="W120" i="70"/>
  <c r="V121" i="70"/>
  <c r="W121" i="70" s="1"/>
  <c r="V122" i="70"/>
  <c r="W122" i="70" s="1"/>
  <c r="V123" i="70"/>
  <c r="W123" i="70" s="1"/>
  <c r="V124" i="70"/>
  <c r="W124" i="70" s="1"/>
  <c r="V125" i="70"/>
  <c r="W125" i="70" s="1"/>
  <c r="V126" i="70"/>
  <c r="W126" i="70"/>
  <c r="V127" i="70"/>
  <c r="W127" i="70" s="1"/>
  <c r="V128" i="70"/>
  <c r="W128" i="70"/>
  <c r="V129" i="70"/>
  <c r="W129" i="70" s="1"/>
  <c r="V130" i="70"/>
  <c r="W130" i="70" s="1"/>
  <c r="V131" i="70"/>
  <c r="W131" i="70" s="1"/>
  <c r="V132" i="70"/>
  <c r="W132" i="70"/>
  <c r="V133" i="70"/>
  <c r="W133" i="70" s="1"/>
  <c r="V134" i="70"/>
  <c r="W134" i="70"/>
  <c r="V135" i="70"/>
  <c r="W135" i="70" s="1"/>
  <c r="V136" i="70"/>
  <c r="W136" i="70"/>
  <c r="V137" i="70"/>
  <c r="W137" i="70" s="1"/>
  <c r="V138" i="70"/>
  <c r="W138" i="70" s="1"/>
  <c r="V139" i="70"/>
  <c r="W139" i="70" s="1"/>
  <c r="V140" i="70"/>
  <c r="W140" i="70"/>
  <c r="V141" i="70"/>
  <c r="W141" i="70" s="1"/>
  <c r="V142" i="70"/>
  <c r="W142" i="70"/>
  <c r="V143" i="70"/>
  <c r="W143" i="70" s="1"/>
  <c r="V144" i="70"/>
  <c r="W144" i="70"/>
  <c r="V145" i="70"/>
  <c r="W145" i="70" s="1"/>
  <c r="V146" i="70"/>
  <c r="W146" i="70" s="1"/>
  <c r="V147" i="70"/>
  <c r="W147" i="70" s="1"/>
  <c r="V148" i="70"/>
  <c r="W148" i="70"/>
  <c r="V149" i="70"/>
  <c r="W149" i="70" s="1"/>
  <c r="V150" i="70"/>
  <c r="W150" i="70" s="1"/>
  <c r="V151" i="70"/>
  <c r="W151" i="70" s="1"/>
  <c r="V152" i="70"/>
  <c r="W152" i="70"/>
  <c r="V153" i="70"/>
  <c r="W153" i="70" s="1"/>
  <c r="V154" i="70"/>
  <c r="W154" i="70" s="1"/>
  <c r="V155" i="70"/>
  <c r="W155" i="70" s="1"/>
  <c r="V156" i="70"/>
  <c r="W156" i="70" s="1"/>
  <c r="V157" i="70"/>
  <c r="W157" i="70" s="1"/>
  <c r="V158" i="70"/>
  <c r="W158" i="70" s="1"/>
  <c r="V159" i="70"/>
  <c r="W159" i="70" s="1"/>
  <c r="V160" i="70"/>
  <c r="W160" i="70"/>
  <c r="V161" i="70"/>
  <c r="W161" i="70" s="1"/>
  <c r="V162" i="70"/>
  <c r="W162" i="70" s="1"/>
  <c r="V163" i="70"/>
  <c r="W163" i="70" s="1"/>
  <c r="V164" i="70"/>
  <c r="W164" i="70" s="1"/>
  <c r="V165" i="70"/>
  <c r="W165" i="70" s="1"/>
  <c r="V166" i="70"/>
  <c r="W166" i="70"/>
  <c r="V167" i="70"/>
  <c r="W167" i="70" s="1"/>
  <c r="V168" i="70"/>
  <c r="W168" i="70"/>
  <c r="V169" i="70"/>
  <c r="W169" i="70" s="1"/>
  <c r="V170" i="70"/>
  <c r="W170" i="70" s="1"/>
  <c r="V171" i="70"/>
  <c r="W171" i="70" s="1"/>
  <c r="V172" i="70"/>
  <c r="W172" i="70"/>
  <c r="V173" i="70"/>
  <c r="W173" i="70" s="1"/>
  <c r="V174" i="70"/>
  <c r="W174" i="70"/>
  <c r="V175" i="70"/>
  <c r="W175" i="70" s="1"/>
  <c r="V176" i="70"/>
  <c r="W176" i="70"/>
  <c r="V177" i="70"/>
  <c r="W177" i="70" s="1"/>
  <c r="V178" i="70"/>
  <c r="W178" i="70" s="1"/>
  <c r="V179" i="70"/>
  <c r="W179" i="70" s="1"/>
  <c r="V180" i="70"/>
  <c r="W180" i="70"/>
  <c r="V181" i="70"/>
  <c r="W181" i="70" s="1"/>
  <c r="V182" i="70"/>
  <c r="W182" i="70" s="1"/>
  <c r="V183" i="70"/>
  <c r="W183" i="70" s="1"/>
  <c r="V184" i="70"/>
  <c r="W184" i="70"/>
  <c r="V185" i="70"/>
  <c r="W185" i="70" s="1"/>
  <c r="V186" i="70"/>
  <c r="W186" i="70" s="1"/>
  <c r="V187" i="70"/>
  <c r="W187" i="70" s="1"/>
  <c r="V188" i="70"/>
  <c r="W188" i="70" s="1"/>
  <c r="V189" i="70"/>
  <c r="W189" i="70" s="1"/>
  <c r="V190" i="70"/>
  <c r="W190" i="70"/>
  <c r="V191" i="70"/>
  <c r="W191" i="70" s="1"/>
  <c r="V192" i="70"/>
  <c r="W192" i="70"/>
  <c r="V193" i="70"/>
  <c r="W193" i="70" s="1"/>
  <c r="V194" i="70"/>
  <c r="W194" i="70" s="1"/>
  <c r="V195" i="70"/>
  <c r="W195" i="70" s="1"/>
  <c r="V196" i="70"/>
  <c r="W196" i="70"/>
  <c r="V197" i="70"/>
  <c r="W197" i="70" s="1"/>
  <c r="V198" i="70"/>
  <c r="W198" i="70"/>
  <c r="V199" i="70"/>
  <c r="W199" i="70" s="1"/>
  <c r="V200" i="70"/>
  <c r="W200" i="70"/>
  <c r="V201" i="70"/>
  <c r="W201" i="70" s="1"/>
  <c r="V202" i="70"/>
  <c r="W202" i="70" s="1"/>
  <c r="V203" i="70"/>
  <c r="W203" i="70" s="1"/>
  <c r="V204" i="70"/>
  <c r="W204" i="70"/>
  <c r="V205" i="70"/>
  <c r="W205" i="70" s="1"/>
  <c r="V206" i="70"/>
  <c r="W206" i="70"/>
  <c r="V207" i="70"/>
  <c r="W207" i="70" s="1"/>
  <c r="V208" i="70"/>
  <c r="W208" i="70"/>
  <c r="V209" i="70"/>
  <c r="W209" i="70" s="1"/>
  <c r="V210" i="70"/>
  <c r="W210" i="70" s="1"/>
  <c r="V211" i="70"/>
  <c r="W211" i="70" s="1"/>
  <c r="V212" i="70"/>
  <c r="W212" i="70"/>
  <c r="V213" i="70"/>
  <c r="W213" i="70" s="1"/>
  <c r="V214" i="70"/>
  <c r="W214" i="70" s="1"/>
  <c r="V215" i="70"/>
  <c r="W215" i="70" s="1"/>
  <c r="V216" i="70"/>
  <c r="W216" i="70"/>
  <c r="V217" i="70"/>
  <c r="W217" i="70" s="1"/>
  <c r="V218" i="70"/>
  <c r="W218" i="70" s="1"/>
  <c r="V219" i="70"/>
  <c r="W219" i="70" s="1"/>
  <c r="V220" i="70"/>
  <c r="W220" i="70" s="1"/>
  <c r="V221" i="70"/>
  <c r="W221" i="70" s="1"/>
  <c r="V222" i="70"/>
  <c r="W222" i="70" s="1"/>
  <c r="V223" i="70"/>
  <c r="W223" i="70" s="1"/>
  <c r="V224" i="70"/>
  <c r="W224" i="70"/>
  <c r="V225" i="70"/>
  <c r="W225" i="70" s="1"/>
  <c r="V226" i="70"/>
  <c r="W226" i="70" s="1"/>
  <c r="V227" i="70"/>
  <c r="W227" i="70" s="1"/>
  <c r="V228" i="70"/>
  <c r="W228" i="70" s="1"/>
  <c r="V229" i="70"/>
  <c r="W229" i="70" s="1"/>
  <c r="V230" i="70"/>
  <c r="W230" i="70" s="1"/>
  <c r="V231" i="70"/>
  <c r="W231" i="70" s="1"/>
  <c r="V232" i="70"/>
  <c r="W232" i="70"/>
  <c r="V233" i="70"/>
  <c r="W233" i="70" s="1"/>
  <c r="V234" i="70"/>
  <c r="W234" i="70" s="1"/>
  <c r="V235" i="70"/>
  <c r="W235" i="70" s="1"/>
  <c r="V236" i="70"/>
  <c r="W236" i="70" s="1"/>
  <c r="V237" i="70"/>
  <c r="W237" i="70" s="1"/>
  <c r="V238" i="70"/>
  <c r="W238" i="70"/>
  <c r="V239" i="70"/>
  <c r="W239" i="70" s="1"/>
  <c r="V240" i="70"/>
  <c r="W240" i="70"/>
  <c r="V241" i="70"/>
  <c r="W241" i="70" s="1"/>
  <c r="V242" i="70"/>
  <c r="W242" i="70" s="1"/>
  <c r="V243" i="70"/>
  <c r="W243" i="70" s="1"/>
  <c r="V244" i="70"/>
  <c r="W244" i="70"/>
  <c r="V245" i="70"/>
  <c r="W245" i="70" s="1"/>
  <c r="V246" i="70"/>
  <c r="W246" i="70" s="1"/>
  <c r="V247" i="70"/>
  <c r="W247" i="70" s="1"/>
  <c r="V248" i="70"/>
  <c r="W248" i="70"/>
  <c r="V249" i="70"/>
  <c r="W249" i="70" s="1"/>
  <c r="V250" i="70"/>
  <c r="W250" i="70" s="1"/>
  <c r="V251" i="70"/>
  <c r="W251" i="70" s="1"/>
  <c r="V252" i="70"/>
  <c r="W252" i="70" s="1"/>
  <c r="V253" i="70"/>
  <c r="W253" i="70" s="1"/>
  <c r="V254" i="70"/>
  <c r="W254" i="70"/>
  <c r="V255" i="70"/>
  <c r="W255" i="70" s="1"/>
  <c r="V256" i="70"/>
  <c r="W256" i="70"/>
  <c r="V257" i="70"/>
  <c r="W257" i="70" s="1"/>
  <c r="V258" i="70"/>
  <c r="W258" i="70" s="1"/>
  <c r="V259" i="70"/>
  <c r="W259" i="70" s="1"/>
  <c r="V260" i="70"/>
  <c r="W260" i="70"/>
  <c r="V261" i="70"/>
  <c r="W261" i="70" s="1"/>
  <c r="V262" i="70"/>
  <c r="W262" i="70"/>
  <c r="V263" i="70"/>
  <c r="W263" i="70" s="1"/>
  <c r="V264" i="70"/>
  <c r="W264" i="70"/>
  <c r="V265" i="70"/>
  <c r="W265" i="70" s="1"/>
  <c r="V266" i="70"/>
  <c r="W266" i="70" s="1"/>
  <c r="V267" i="70"/>
  <c r="W267" i="70" s="1"/>
  <c r="V268" i="70"/>
  <c r="W268" i="70"/>
  <c r="V269" i="70"/>
  <c r="W269" i="70" s="1"/>
  <c r="V270" i="70"/>
  <c r="W270" i="70"/>
  <c r="V271" i="70"/>
  <c r="W271" i="70" s="1"/>
  <c r="V272" i="70"/>
  <c r="W272" i="70"/>
  <c r="V273" i="70"/>
  <c r="W273" i="70" s="1"/>
  <c r="V274" i="70"/>
  <c r="W274" i="70" s="1"/>
  <c r="V275" i="70"/>
  <c r="W275" i="70" s="1"/>
  <c r="V276" i="70"/>
  <c r="W276" i="70"/>
  <c r="V277" i="70"/>
  <c r="W277" i="70" s="1"/>
  <c r="V278" i="70"/>
  <c r="W278" i="70" s="1"/>
  <c r="V279" i="70"/>
  <c r="W279" i="70" s="1"/>
  <c r="V280" i="70"/>
  <c r="W280" i="70"/>
  <c r="V281" i="70"/>
  <c r="W281" i="70" s="1"/>
  <c r="V282" i="70"/>
  <c r="W282" i="70" s="1"/>
  <c r="V283" i="70"/>
  <c r="W283" i="70" s="1"/>
  <c r="V284" i="70"/>
  <c r="W284" i="70" s="1"/>
  <c r="V285" i="70"/>
  <c r="W285" i="70" s="1"/>
  <c r="V286" i="70"/>
  <c r="W286" i="70" s="1"/>
  <c r="V287" i="70"/>
  <c r="W287" i="70" s="1"/>
  <c r="V288" i="70"/>
  <c r="W288" i="70"/>
  <c r="V289" i="70"/>
  <c r="W289" i="70" s="1"/>
  <c r="V290" i="70"/>
  <c r="W290" i="70" s="1"/>
  <c r="V291" i="70"/>
  <c r="W291" i="70" s="1"/>
  <c r="V292" i="70"/>
  <c r="W292" i="70" s="1"/>
  <c r="V293" i="70"/>
  <c r="W293" i="70" s="1"/>
  <c r="V294" i="70"/>
  <c r="W294" i="70"/>
  <c r="V295" i="70"/>
  <c r="W295" i="70" s="1"/>
  <c r="V296" i="70"/>
  <c r="W296" i="70"/>
  <c r="V297" i="70"/>
  <c r="W297" i="70" s="1"/>
  <c r="V298" i="70"/>
  <c r="W298" i="70" s="1"/>
  <c r="V299" i="70"/>
  <c r="W299" i="70" s="1"/>
  <c r="V300" i="70"/>
  <c r="W300" i="70"/>
  <c r="V301" i="70"/>
  <c r="W301" i="70" s="1"/>
  <c r="V302" i="70"/>
  <c r="W302" i="70"/>
  <c r="V303" i="70"/>
  <c r="W303" i="70" s="1"/>
  <c r="V304" i="70"/>
  <c r="W304" i="70"/>
  <c r="V305" i="70"/>
  <c r="W305" i="70" s="1"/>
  <c r="V306" i="70"/>
  <c r="W306" i="70" s="1"/>
  <c r="V307" i="70"/>
  <c r="W307" i="70" s="1"/>
  <c r="V308" i="70"/>
  <c r="W308" i="70"/>
  <c r="V309" i="70"/>
  <c r="W309" i="70" s="1"/>
  <c r="V310" i="70"/>
  <c r="W310" i="70" s="1"/>
  <c r="V311" i="70"/>
  <c r="W311" i="70" s="1"/>
  <c r="V312" i="70"/>
  <c r="W312" i="70"/>
  <c r="V313" i="70"/>
  <c r="W313" i="70" s="1"/>
  <c r="V314" i="70"/>
  <c r="W314" i="70" s="1"/>
  <c r="V315" i="70"/>
  <c r="W315" i="70" s="1"/>
  <c r="V316" i="70"/>
  <c r="W316" i="70" s="1"/>
  <c r="V317" i="70"/>
  <c r="W317" i="70" s="1"/>
  <c r="V318" i="70"/>
  <c r="W318" i="70"/>
  <c r="V319" i="70"/>
  <c r="W319" i="70" s="1"/>
  <c r="V320" i="70"/>
  <c r="W320" i="70"/>
  <c r="V321" i="70"/>
  <c r="W321" i="70" s="1"/>
  <c r="V322" i="70"/>
  <c r="W322" i="70" s="1"/>
  <c r="V323" i="70"/>
  <c r="W323" i="70" s="1"/>
  <c r="V324" i="70"/>
  <c r="W324" i="70"/>
  <c r="V325" i="70"/>
  <c r="W325" i="70" s="1"/>
  <c r="V326" i="70"/>
  <c r="W326" i="70"/>
  <c r="V327" i="70"/>
  <c r="W327" i="70" s="1"/>
  <c r="V328" i="70"/>
  <c r="W328" i="70"/>
  <c r="V329" i="70"/>
  <c r="W329" i="70" s="1"/>
  <c r="V330" i="70"/>
  <c r="W330" i="70" s="1"/>
  <c r="V331" i="70"/>
  <c r="W331" i="70" s="1"/>
  <c r="V332" i="70"/>
  <c r="W332" i="70"/>
  <c r="V333" i="70"/>
  <c r="W333" i="70" s="1"/>
  <c r="V334" i="70"/>
  <c r="W334" i="70"/>
  <c r="V335" i="70"/>
  <c r="W335" i="70" s="1"/>
  <c r="V336" i="70"/>
  <c r="W336" i="70"/>
  <c r="V337" i="70"/>
  <c r="W337" i="70" s="1"/>
  <c r="V338" i="70"/>
  <c r="W338" i="70" s="1"/>
  <c r="V339" i="70"/>
  <c r="W339" i="70" s="1"/>
  <c r="V340" i="70"/>
  <c r="W340" i="70"/>
  <c r="V341" i="70"/>
  <c r="W341" i="70" s="1"/>
  <c r="V342" i="70"/>
  <c r="W342" i="70" s="1"/>
  <c r="V343" i="70"/>
  <c r="W343" i="70" s="1"/>
  <c r="V344" i="70"/>
  <c r="W344" i="70"/>
  <c r="V345" i="70"/>
  <c r="W345" i="70" s="1"/>
  <c r="V346" i="70"/>
  <c r="W346" i="70" s="1"/>
  <c r="V347" i="70"/>
  <c r="W347" i="70" s="1"/>
  <c r="V348" i="70"/>
  <c r="W348" i="70" s="1"/>
  <c r="V349" i="70"/>
  <c r="W349" i="70" s="1"/>
  <c r="V350" i="70"/>
  <c r="W350" i="70" s="1"/>
  <c r="V351" i="70"/>
  <c r="W351" i="70" s="1"/>
  <c r="V352" i="70"/>
  <c r="W352" i="70"/>
  <c r="V353" i="70"/>
  <c r="W353" i="70" s="1"/>
  <c r="V354" i="70"/>
  <c r="W354" i="70" s="1"/>
  <c r="V355" i="70"/>
  <c r="W355" i="70" s="1"/>
  <c r="V356" i="70"/>
  <c r="W356" i="70" s="1"/>
  <c r="V357" i="70"/>
  <c r="W357" i="70" s="1"/>
  <c r="V358" i="70"/>
  <c r="W358" i="70" s="1"/>
  <c r="V359" i="70"/>
  <c r="W359" i="70" s="1"/>
  <c r="V360" i="70"/>
  <c r="W360" i="70"/>
  <c r="V361" i="70"/>
  <c r="W361" i="70" s="1"/>
  <c r="V362" i="70"/>
  <c r="W362" i="70" s="1"/>
  <c r="V363" i="70"/>
  <c r="W363" i="70" s="1"/>
  <c r="V364" i="70"/>
  <c r="W364" i="70" s="1"/>
  <c r="V365" i="70"/>
  <c r="W365" i="70" s="1"/>
  <c r="V366" i="70"/>
  <c r="W366" i="70"/>
  <c r="V367" i="70"/>
  <c r="W367" i="70" s="1"/>
  <c r="V368" i="70"/>
  <c r="W368" i="70"/>
  <c r="V369" i="70"/>
  <c r="W369" i="70" s="1"/>
  <c r="V370" i="70"/>
  <c r="W370" i="70" s="1"/>
  <c r="V371" i="70"/>
  <c r="W371" i="70" s="1"/>
  <c r="V372" i="70"/>
  <c r="W372" i="70"/>
  <c r="V373" i="70"/>
  <c r="W373" i="70" s="1"/>
  <c r="V374" i="70"/>
  <c r="W374" i="70" s="1"/>
  <c r="V375" i="70"/>
  <c r="W375" i="70" s="1"/>
  <c r="V376" i="70"/>
  <c r="W376" i="70"/>
  <c r="V377" i="70"/>
  <c r="W377" i="70" s="1"/>
  <c r="V378" i="70"/>
  <c r="W378" i="70" s="1"/>
  <c r="V379" i="70"/>
  <c r="W379" i="70" s="1"/>
  <c r="V380" i="70"/>
  <c r="W380" i="70" s="1"/>
  <c r="V381" i="70"/>
  <c r="W381" i="70" s="1"/>
  <c r="V382" i="70"/>
  <c r="W382" i="70"/>
  <c r="V383" i="70"/>
  <c r="W383" i="70" s="1"/>
  <c r="V384" i="70"/>
  <c r="W384" i="70"/>
  <c r="V385" i="70"/>
  <c r="W385" i="70" s="1"/>
  <c r="V386" i="70"/>
  <c r="W386" i="70" s="1"/>
  <c r="V387" i="70"/>
  <c r="W387" i="70" s="1"/>
  <c r="V388" i="70"/>
  <c r="W388" i="70"/>
  <c r="V389" i="70"/>
  <c r="W389" i="70" s="1"/>
  <c r="V390" i="70"/>
  <c r="W390" i="70"/>
  <c r="V391" i="70"/>
  <c r="W391" i="70" s="1"/>
  <c r="V392" i="70"/>
  <c r="W392" i="70"/>
  <c r="V393" i="70"/>
  <c r="W393" i="70" s="1"/>
  <c r="V394" i="70"/>
  <c r="W394" i="70" s="1"/>
  <c r="V395" i="70"/>
  <c r="W395" i="70" s="1"/>
  <c r="V396" i="70"/>
  <c r="W396" i="70"/>
  <c r="V397" i="70"/>
  <c r="W397" i="70" s="1"/>
  <c r="V398" i="70"/>
  <c r="W398" i="70"/>
  <c r="V399" i="70"/>
  <c r="W399" i="70" s="1"/>
  <c r="V400" i="70"/>
  <c r="W400" i="70"/>
  <c r="V401" i="70"/>
  <c r="W401" i="70" s="1"/>
  <c r="V402" i="70"/>
  <c r="W402" i="70" s="1"/>
  <c r="V403" i="70"/>
  <c r="W403" i="70" s="1"/>
  <c r="V404" i="70"/>
  <c r="W404" i="70"/>
  <c r="V405" i="70"/>
  <c r="W405" i="70" s="1"/>
  <c r="V406" i="70"/>
  <c r="W406" i="70" s="1"/>
  <c r="V407" i="70"/>
  <c r="W407" i="70" s="1"/>
  <c r="V408" i="70"/>
  <c r="W408" i="70"/>
  <c r="V409" i="70"/>
  <c r="W409" i="70" s="1"/>
  <c r="V410" i="70"/>
  <c r="W410" i="70" s="1"/>
  <c r="V411" i="70"/>
  <c r="W411" i="70" s="1"/>
  <c r="V412" i="70"/>
  <c r="W412" i="70" s="1"/>
  <c r="V413" i="70"/>
  <c r="W413" i="70" s="1"/>
  <c r="V414" i="70"/>
  <c r="W414" i="70" s="1"/>
  <c r="V415" i="70"/>
  <c r="W415" i="70" s="1"/>
  <c r="V416" i="70"/>
  <c r="W416" i="70"/>
  <c r="V417" i="70"/>
  <c r="W417" i="70" s="1"/>
  <c r="V418" i="70"/>
  <c r="W418" i="70" s="1"/>
  <c r="V419" i="70"/>
  <c r="W419" i="70" s="1"/>
  <c r="V420" i="70"/>
  <c r="W420" i="70" s="1"/>
  <c r="V421" i="70"/>
  <c r="W421" i="70" s="1"/>
  <c r="V422" i="70"/>
  <c r="W422" i="70"/>
  <c r="V423" i="70"/>
  <c r="W423" i="70" s="1"/>
  <c r="V424" i="70"/>
  <c r="W424" i="70"/>
  <c r="V425" i="70"/>
  <c r="W425" i="70" s="1"/>
  <c r="V426" i="70"/>
  <c r="W426" i="70" s="1"/>
  <c r="V427" i="70"/>
  <c r="W427" i="70" s="1"/>
  <c r="V428" i="70"/>
  <c r="W428" i="70"/>
  <c r="V429" i="70"/>
  <c r="W429" i="70" s="1"/>
  <c r="V430" i="70"/>
  <c r="W430" i="70"/>
  <c r="V431" i="70"/>
  <c r="W431" i="70" s="1"/>
  <c r="V432" i="70"/>
  <c r="W432" i="70"/>
  <c r="V433" i="70"/>
  <c r="W433" i="70" s="1"/>
  <c r="V434" i="70"/>
  <c r="W434" i="70" s="1"/>
  <c r="V435" i="70"/>
  <c r="W435" i="70" s="1"/>
  <c r="V436" i="70"/>
  <c r="W436" i="70"/>
  <c r="V437" i="70"/>
  <c r="W437" i="70" s="1"/>
  <c r="V438" i="70"/>
  <c r="W438" i="70" s="1"/>
  <c r="V439" i="70"/>
  <c r="W439" i="70" s="1"/>
  <c r="V440" i="70"/>
  <c r="W440" i="70"/>
  <c r="V441" i="70"/>
  <c r="W441" i="70" s="1"/>
  <c r="V442" i="70"/>
  <c r="W442" i="70" s="1"/>
  <c r="V443" i="70"/>
  <c r="W443" i="70" s="1"/>
  <c r="V444" i="70"/>
  <c r="W444" i="70" s="1"/>
  <c r="V445" i="70"/>
  <c r="W445" i="70" s="1"/>
  <c r="V446" i="70"/>
  <c r="W446" i="70"/>
  <c r="V447" i="70"/>
  <c r="W447" i="70" s="1"/>
  <c r="V448" i="70"/>
  <c r="W448" i="70"/>
  <c r="V449" i="70"/>
  <c r="W449" i="70" s="1"/>
  <c r="V450" i="70"/>
  <c r="W450" i="70" s="1"/>
  <c r="V451" i="70"/>
  <c r="W451" i="70" s="1"/>
  <c r="V452" i="70"/>
  <c r="W452" i="70"/>
  <c r="V453" i="70"/>
  <c r="W453" i="70" s="1"/>
  <c r="V454" i="70"/>
  <c r="W454" i="70"/>
  <c r="V455" i="70"/>
  <c r="W455" i="70" s="1"/>
  <c r="V456" i="70"/>
  <c r="W456" i="70"/>
  <c r="V457" i="70"/>
  <c r="W457" i="70" s="1"/>
  <c r="V458" i="70"/>
  <c r="W458" i="70" s="1"/>
  <c r="V459" i="70"/>
  <c r="W459" i="70" s="1"/>
  <c r="V460" i="70"/>
  <c r="W460" i="70"/>
  <c r="V461" i="70"/>
  <c r="W461" i="70" s="1"/>
  <c r="V462" i="70"/>
  <c r="W462" i="70"/>
  <c r="V463" i="70"/>
  <c r="W463" i="70" s="1"/>
  <c r="V464" i="70"/>
  <c r="W464" i="70"/>
  <c r="V465" i="70"/>
  <c r="W465" i="70" s="1"/>
  <c r="V466" i="70"/>
  <c r="W466" i="70" s="1"/>
  <c r="V467" i="70"/>
  <c r="W467" i="70" s="1"/>
  <c r="V468" i="70"/>
  <c r="W468" i="70"/>
  <c r="V469" i="70"/>
  <c r="W469" i="70" s="1"/>
  <c r="V470" i="70"/>
  <c r="W470" i="70" s="1"/>
  <c r="V471" i="70"/>
  <c r="W471" i="70" s="1"/>
  <c r="V472" i="70"/>
  <c r="W472" i="70"/>
  <c r="V473" i="70"/>
  <c r="W473" i="70" s="1"/>
  <c r="V474" i="70"/>
  <c r="W474" i="70" s="1"/>
  <c r="V475" i="70"/>
  <c r="W475" i="70" s="1"/>
  <c r="V476" i="70"/>
  <c r="W476" i="70" s="1"/>
  <c r="V477" i="70"/>
  <c r="W477" i="70" s="1"/>
  <c r="V478" i="70"/>
  <c r="W478" i="70" s="1"/>
  <c r="V479" i="70"/>
  <c r="W479" i="70" s="1"/>
  <c r="V480" i="70"/>
  <c r="W480" i="70"/>
  <c r="V481" i="70"/>
  <c r="W481" i="70" s="1"/>
  <c r="V482" i="70"/>
  <c r="W482" i="70" s="1"/>
  <c r="V483" i="70"/>
  <c r="W483" i="70" s="1"/>
  <c r="V484" i="70"/>
  <c r="W484" i="70" s="1"/>
  <c r="V485" i="70"/>
  <c r="W485" i="70" s="1"/>
  <c r="V486" i="70"/>
  <c r="W486" i="70" s="1"/>
  <c r="V487" i="70"/>
  <c r="W487" i="70" s="1"/>
  <c r="V488" i="70"/>
  <c r="W488" i="70"/>
  <c r="V489" i="70"/>
  <c r="W489" i="70" s="1"/>
  <c r="V490" i="70"/>
  <c r="W490" i="70" s="1"/>
  <c r="V491" i="70"/>
  <c r="W491" i="70" s="1"/>
  <c r="V492" i="70"/>
  <c r="W492" i="70" s="1"/>
  <c r="V493" i="70"/>
  <c r="W493" i="70" s="1"/>
  <c r="V494" i="70"/>
  <c r="W494" i="70"/>
  <c r="V495" i="70"/>
  <c r="W495" i="70" s="1"/>
  <c r="V496" i="70"/>
  <c r="W496" i="70"/>
  <c r="V497" i="70"/>
  <c r="W497" i="70" s="1"/>
  <c r="V498" i="70"/>
  <c r="W498" i="70" s="1"/>
  <c r="V499" i="70"/>
  <c r="W499" i="70" s="1"/>
  <c r="V500" i="70"/>
  <c r="W500" i="70"/>
  <c r="V501" i="70"/>
  <c r="W501" i="70" s="1"/>
  <c r="V502" i="70"/>
  <c r="W502" i="70" s="1"/>
  <c r="V503" i="70"/>
  <c r="W503" i="70" s="1"/>
  <c r="V504" i="70"/>
  <c r="W504" i="70" s="1"/>
  <c r="V505" i="70"/>
  <c r="W505" i="70" s="1"/>
  <c r="V506" i="70"/>
  <c r="W506" i="70"/>
  <c r="V507" i="70"/>
  <c r="W507" i="70" s="1"/>
  <c r="V508" i="70"/>
  <c r="W508" i="70"/>
  <c r="V509" i="70"/>
  <c r="W509" i="70" s="1"/>
  <c r="V510" i="70"/>
  <c r="W510" i="70" s="1"/>
  <c r="V511" i="70"/>
  <c r="W511" i="70" s="1"/>
  <c r="V512" i="70"/>
  <c r="W512" i="70"/>
  <c r="V513" i="70"/>
  <c r="W513" i="70" s="1"/>
  <c r="V514" i="70"/>
  <c r="W514" i="70"/>
  <c r="V515" i="70"/>
  <c r="W515" i="70" s="1"/>
  <c r="V516" i="70"/>
  <c r="W516" i="70"/>
  <c r="V517" i="70"/>
  <c r="W517" i="70" s="1"/>
  <c r="V518" i="70"/>
  <c r="W518" i="70" s="1"/>
  <c r="V519" i="70"/>
  <c r="W519" i="70" s="1"/>
  <c r="V520" i="70"/>
  <c r="W520" i="70"/>
  <c r="V521" i="70"/>
  <c r="W521" i="70" s="1"/>
  <c r="V522" i="70"/>
  <c r="W522" i="70" s="1"/>
  <c r="V523" i="70"/>
  <c r="W523" i="70" s="1"/>
  <c r="V524" i="70"/>
  <c r="W524" i="70"/>
  <c r="V525" i="70"/>
  <c r="W525" i="70" s="1"/>
  <c r="V526" i="70"/>
  <c r="W526" i="70" s="1"/>
  <c r="V527" i="70"/>
  <c r="W527" i="70" s="1"/>
  <c r="V528" i="70"/>
  <c r="W528" i="70" s="1"/>
  <c r="V529" i="70"/>
  <c r="W529" i="70" s="1"/>
  <c r="V530" i="70"/>
  <c r="W530" i="70"/>
  <c r="V531" i="70"/>
  <c r="W531" i="70" s="1"/>
  <c r="V532" i="70"/>
  <c r="W532" i="70"/>
  <c r="V533" i="70"/>
  <c r="W533" i="70" s="1"/>
  <c r="V534" i="70"/>
  <c r="W534" i="70" s="1"/>
  <c r="V535" i="70"/>
  <c r="W535" i="70" s="1"/>
  <c r="V536" i="70"/>
  <c r="W536" i="70"/>
  <c r="V537" i="70"/>
  <c r="W537" i="70" s="1"/>
  <c r="V538" i="70"/>
  <c r="W538" i="70"/>
  <c r="V539" i="70"/>
  <c r="W539" i="70" s="1"/>
  <c r="V540" i="70"/>
  <c r="W540" i="70"/>
  <c r="V541" i="70"/>
  <c r="W541" i="70" s="1"/>
  <c r="V542" i="70"/>
  <c r="W542" i="70" s="1"/>
  <c r="V543" i="70"/>
  <c r="W543" i="70" s="1"/>
  <c r="V544" i="70"/>
  <c r="W544" i="70"/>
  <c r="V545" i="70"/>
  <c r="W545" i="70" s="1"/>
  <c r="V546" i="70"/>
  <c r="W546" i="70"/>
  <c r="V547" i="70"/>
  <c r="W547" i="70" s="1"/>
  <c r="V548" i="70"/>
  <c r="W548" i="70"/>
  <c r="V549" i="70"/>
  <c r="W549" i="70" s="1"/>
  <c r="V550" i="70"/>
  <c r="W550" i="70" s="1"/>
  <c r="V551" i="70"/>
  <c r="W551" i="70" s="1"/>
  <c r="V552" i="70"/>
  <c r="W552" i="70"/>
  <c r="V553" i="70"/>
  <c r="W553" i="70" s="1"/>
  <c r="V554" i="70"/>
  <c r="W554" i="70" s="1"/>
  <c r="V555" i="70"/>
  <c r="W555" i="70" s="1"/>
  <c r="V556" i="70"/>
  <c r="W556" i="70"/>
  <c r="V557" i="70"/>
  <c r="W557" i="70" s="1"/>
  <c r="V558" i="70"/>
  <c r="W558" i="70" s="1"/>
  <c r="V559" i="70"/>
  <c r="W559" i="70" s="1"/>
  <c r="V560" i="70"/>
  <c r="W560" i="70" s="1"/>
  <c r="V561" i="70"/>
  <c r="W561" i="70" s="1"/>
  <c r="V562" i="70"/>
  <c r="W562" i="70" s="1"/>
  <c r="V563" i="70"/>
  <c r="W563" i="70" s="1"/>
  <c r="V564" i="70"/>
  <c r="W564" i="70"/>
  <c r="V565" i="70"/>
  <c r="W565" i="70" s="1"/>
  <c r="V566" i="70"/>
  <c r="W566" i="70" s="1"/>
  <c r="V567" i="70"/>
  <c r="W567" i="70" s="1"/>
  <c r="V568" i="70"/>
  <c r="W568" i="70" s="1"/>
  <c r="V569" i="70"/>
  <c r="W569" i="70" s="1"/>
  <c r="V570" i="70"/>
  <c r="W570" i="70"/>
  <c r="V571" i="70"/>
  <c r="W571" i="70" s="1"/>
  <c r="V572" i="70"/>
  <c r="W572" i="70"/>
  <c r="V573" i="70"/>
  <c r="W573" i="70" s="1"/>
  <c r="V574" i="70"/>
  <c r="W574" i="70" s="1"/>
  <c r="V575" i="70"/>
  <c r="W575" i="70" s="1"/>
  <c r="V576" i="70"/>
  <c r="W576" i="70"/>
  <c r="V577" i="70"/>
  <c r="W577" i="70" s="1"/>
  <c r="V578" i="70"/>
  <c r="W578" i="70"/>
  <c r="V579" i="70"/>
  <c r="W579" i="70" s="1"/>
  <c r="V580" i="70"/>
  <c r="W580" i="70"/>
  <c r="V581" i="70"/>
  <c r="W581" i="70" s="1"/>
  <c r="V582" i="70"/>
  <c r="W582" i="70" s="1"/>
  <c r="V583" i="70"/>
  <c r="W583" i="70" s="1"/>
  <c r="V584" i="70"/>
  <c r="W584" i="70"/>
  <c r="V585" i="70"/>
  <c r="W585" i="70" s="1"/>
  <c r="V586" i="70"/>
  <c r="W586" i="70" s="1"/>
  <c r="V587" i="70"/>
  <c r="W587" i="70" s="1"/>
  <c r="V588" i="70"/>
  <c r="W588" i="70"/>
  <c r="V589" i="70"/>
  <c r="W589" i="70" s="1"/>
  <c r="V590" i="70"/>
  <c r="W590" i="70" s="1"/>
  <c r="V591" i="70"/>
  <c r="W591" i="70" s="1"/>
  <c r="V592" i="70"/>
  <c r="W592" i="70" s="1"/>
  <c r="V593" i="70"/>
  <c r="W593" i="70" s="1"/>
  <c r="V594" i="70"/>
  <c r="W594" i="70"/>
  <c r="V595" i="70"/>
  <c r="W595" i="70" s="1"/>
  <c r="V596" i="70"/>
  <c r="W596" i="70"/>
  <c r="V597" i="70"/>
  <c r="W597" i="70" s="1"/>
  <c r="V598" i="70"/>
  <c r="W598" i="70" s="1"/>
  <c r="V599" i="70"/>
  <c r="W599" i="70" s="1"/>
  <c r="V600" i="70"/>
  <c r="W600" i="70"/>
  <c r="V601" i="70"/>
  <c r="W601" i="70" s="1"/>
  <c r="V602" i="70"/>
  <c r="W602" i="70"/>
  <c r="V603" i="70"/>
  <c r="W603" i="70" s="1"/>
  <c r="V604" i="70"/>
  <c r="W604" i="70"/>
  <c r="V605" i="70"/>
  <c r="W605" i="70" s="1"/>
  <c r="V606" i="70"/>
  <c r="W606" i="70" s="1"/>
  <c r="V607" i="70"/>
  <c r="W607" i="70" s="1"/>
  <c r="V608" i="70"/>
  <c r="W608" i="70"/>
  <c r="V609" i="70"/>
  <c r="W609" i="70" s="1"/>
  <c r="V610" i="70"/>
  <c r="W610" i="70"/>
  <c r="V611" i="70"/>
  <c r="W611" i="70" s="1"/>
  <c r="V612" i="70"/>
  <c r="W612" i="70"/>
  <c r="V613" i="70"/>
  <c r="W613" i="70" s="1"/>
  <c r="V614" i="70"/>
  <c r="W614" i="70" s="1"/>
  <c r="V615" i="70"/>
  <c r="W615" i="70" s="1"/>
  <c r="V616" i="70"/>
  <c r="W616" i="70"/>
  <c r="V617" i="70"/>
  <c r="W617" i="70" s="1"/>
  <c r="V618" i="70"/>
  <c r="W618" i="70" s="1"/>
  <c r="V619" i="70"/>
  <c r="W619" i="70" s="1"/>
  <c r="V620" i="70"/>
  <c r="W620" i="70"/>
  <c r="V621" i="70"/>
  <c r="W621" i="70" s="1"/>
  <c r="V622" i="70"/>
  <c r="W622" i="70" s="1"/>
  <c r="V623" i="70"/>
  <c r="W623" i="70" s="1"/>
  <c r="V624" i="70"/>
  <c r="W624" i="70" s="1"/>
  <c r="V625" i="70"/>
  <c r="W625" i="70" s="1"/>
  <c r="V626" i="70"/>
  <c r="W626" i="70" s="1"/>
  <c r="V627" i="70"/>
  <c r="W627" i="70" s="1"/>
  <c r="V628" i="70"/>
  <c r="W628" i="70"/>
  <c r="V629" i="70"/>
  <c r="W629" i="70" s="1"/>
  <c r="V630" i="70"/>
  <c r="W630" i="70" s="1"/>
  <c r="V631" i="70"/>
  <c r="W631" i="70" s="1"/>
  <c r="V632" i="70"/>
  <c r="W632" i="70" s="1"/>
  <c r="V633" i="70"/>
  <c r="W633" i="70" s="1"/>
  <c r="V634" i="70"/>
  <c r="W634" i="70"/>
  <c r="V635" i="70"/>
  <c r="W635" i="70" s="1"/>
  <c r="V636" i="70"/>
  <c r="W636" i="70"/>
  <c r="V637" i="70"/>
  <c r="W637" i="70" s="1"/>
  <c r="V638" i="70"/>
  <c r="W638" i="70" s="1"/>
  <c r="V639" i="70"/>
  <c r="W639" i="70" s="1"/>
  <c r="V640" i="70"/>
  <c r="W640" i="70"/>
  <c r="V641" i="70"/>
  <c r="W641" i="70" s="1"/>
  <c r="V642" i="70"/>
  <c r="W642" i="70"/>
  <c r="V643" i="70"/>
  <c r="W643" i="70" s="1"/>
  <c r="V644" i="70"/>
  <c r="W644" i="70"/>
  <c r="V645" i="70"/>
  <c r="W645" i="70" s="1"/>
  <c r="V646" i="70"/>
  <c r="W646" i="70" s="1"/>
  <c r="V647" i="70"/>
  <c r="W647" i="70" s="1"/>
  <c r="V648" i="70"/>
  <c r="W648" i="70"/>
  <c r="V649" i="70"/>
  <c r="W649" i="70" s="1"/>
  <c r="V650" i="70"/>
  <c r="W650" i="70" s="1"/>
  <c r="V651" i="70"/>
  <c r="W651" i="70" s="1"/>
  <c r="V652" i="70"/>
  <c r="W652" i="70"/>
  <c r="V653" i="70"/>
  <c r="W653" i="70" s="1"/>
  <c r="V654" i="70"/>
  <c r="W654" i="70" s="1"/>
  <c r="V655" i="70"/>
  <c r="W655" i="70" s="1"/>
  <c r="V656" i="70"/>
  <c r="W656" i="70" s="1"/>
  <c r="V657" i="70"/>
  <c r="W657" i="70" s="1"/>
  <c r="V658" i="70"/>
  <c r="W658" i="70"/>
  <c r="V659" i="70"/>
  <c r="W659" i="70" s="1"/>
  <c r="V660" i="70"/>
  <c r="W660" i="70"/>
  <c r="V661" i="70"/>
  <c r="W661" i="70" s="1"/>
  <c r="V662" i="70"/>
  <c r="W662" i="70" s="1"/>
  <c r="V663" i="70"/>
  <c r="W663" i="70" s="1"/>
  <c r="V664" i="70"/>
  <c r="W664" i="70"/>
  <c r="V665" i="70"/>
  <c r="W665" i="70" s="1"/>
  <c r="V666" i="70"/>
  <c r="W666" i="70"/>
  <c r="V667" i="70"/>
  <c r="W667" i="70" s="1"/>
  <c r="V668" i="70"/>
  <c r="W668" i="70"/>
  <c r="V669" i="70"/>
  <c r="W669" i="70" s="1"/>
  <c r="V670" i="70"/>
  <c r="W670" i="70" s="1"/>
  <c r="V671" i="70"/>
  <c r="W671" i="70" s="1"/>
  <c r="V672" i="70"/>
  <c r="W672" i="70"/>
  <c r="V673" i="70"/>
  <c r="W673" i="70" s="1"/>
  <c r="V674" i="70"/>
  <c r="W674" i="70"/>
  <c r="V675" i="70"/>
  <c r="W675" i="70" s="1"/>
  <c r="V676" i="70"/>
  <c r="W676" i="70"/>
  <c r="V677" i="70"/>
  <c r="W677" i="70" s="1"/>
  <c r="V678" i="70"/>
  <c r="W678" i="70" s="1"/>
  <c r="V679" i="70"/>
  <c r="W679" i="70" s="1"/>
  <c r="V680" i="70"/>
  <c r="W680" i="70"/>
  <c r="V681" i="70"/>
  <c r="W681" i="70" s="1"/>
  <c r="V682" i="70"/>
  <c r="W682" i="70" s="1"/>
  <c r="V683" i="70"/>
  <c r="W683" i="70" s="1"/>
  <c r="V684" i="70"/>
  <c r="W684" i="70"/>
  <c r="V685" i="70"/>
  <c r="W685" i="70" s="1"/>
  <c r="V686" i="70"/>
  <c r="W686" i="70" s="1"/>
  <c r="V687" i="70"/>
  <c r="W687" i="70" s="1"/>
  <c r="V688" i="70"/>
  <c r="W688" i="70" s="1"/>
  <c r="V689" i="70"/>
  <c r="W689" i="70" s="1"/>
  <c r="V690" i="70"/>
  <c r="W690" i="70" s="1"/>
  <c r="V691" i="70"/>
  <c r="W691" i="70" s="1"/>
  <c r="V692" i="70"/>
  <c r="W692" i="70"/>
  <c r="V693" i="70"/>
  <c r="W693" i="70" s="1"/>
  <c r="V694" i="70"/>
  <c r="W694" i="70" s="1"/>
  <c r="V695" i="70"/>
  <c r="W695" i="70" s="1"/>
  <c r="V696" i="70"/>
  <c r="W696" i="70" s="1"/>
  <c r="V697" i="70"/>
  <c r="W697" i="70" s="1"/>
  <c r="V698" i="70"/>
  <c r="W698" i="70"/>
  <c r="V699" i="70"/>
  <c r="W699" i="70" s="1"/>
  <c r="V700" i="70"/>
  <c r="W700" i="70"/>
  <c r="V701" i="70"/>
  <c r="W701" i="70" s="1"/>
  <c r="V702" i="70"/>
  <c r="W702" i="70" s="1"/>
  <c r="V703" i="70"/>
  <c r="W703" i="70" s="1"/>
  <c r="V704" i="70"/>
  <c r="W704" i="70"/>
  <c r="V705" i="70"/>
  <c r="W705" i="70" s="1"/>
  <c r="V706" i="70"/>
  <c r="W706" i="70"/>
  <c r="V707" i="70"/>
  <c r="W707" i="70" s="1"/>
  <c r="V708" i="70"/>
  <c r="W708" i="70"/>
  <c r="V709" i="70"/>
  <c r="W709" i="70" s="1"/>
  <c r="V710" i="70"/>
  <c r="W710" i="70" s="1"/>
  <c r="V711" i="70"/>
  <c r="W711" i="70" s="1"/>
  <c r="V712" i="70"/>
  <c r="W712" i="70"/>
  <c r="V713" i="70"/>
  <c r="W713" i="70" s="1"/>
  <c r="V714" i="70"/>
  <c r="W714" i="70" s="1"/>
  <c r="V715" i="70"/>
  <c r="W715" i="70" s="1"/>
  <c r="V716" i="70"/>
  <c r="W716" i="70"/>
  <c r="V717" i="70"/>
  <c r="W717" i="70" s="1"/>
  <c r="V718" i="70"/>
  <c r="W718" i="70" s="1"/>
  <c r="V719" i="70"/>
  <c r="W719" i="70" s="1"/>
  <c r="V720" i="70"/>
  <c r="W720" i="70" s="1"/>
  <c r="V721" i="70"/>
  <c r="W721" i="70" s="1"/>
  <c r="V722" i="70"/>
  <c r="W722" i="70"/>
  <c r="V723" i="70"/>
  <c r="W723" i="70" s="1"/>
  <c r="V724" i="70"/>
  <c r="W724" i="70"/>
  <c r="V725" i="70"/>
  <c r="W725" i="70" s="1"/>
  <c r="V726" i="70"/>
  <c r="W726" i="70" s="1"/>
  <c r="V727" i="70"/>
  <c r="W727" i="70" s="1"/>
  <c r="V728" i="70"/>
  <c r="W728" i="70"/>
  <c r="V729" i="70"/>
  <c r="W729" i="70" s="1"/>
  <c r="V730" i="70"/>
  <c r="W730" i="70"/>
  <c r="V731" i="70"/>
  <c r="W731" i="70" s="1"/>
  <c r="V732" i="70"/>
  <c r="W732" i="70"/>
  <c r="V733" i="70"/>
  <c r="W733" i="70" s="1"/>
  <c r="V734" i="70"/>
  <c r="W734" i="70" s="1"/>
  <c r="V735" i="70"/>
  <c r="W735" i="70" s="1"/>
  <c r="V736" i="70"/>
  <c r="W736" i="70"/>
  <c r="V737" i="70"/>
  <c r="W737" i="70" s="1"/>
  <c r="V738" i="70"/>
  <c r="W738" i="70"/>
  <c r="V739" i="70"/>
  <c r="W739" i="70" s="1"/>
  <c r="V740" i="70"/>
  <c r="W740" i="70"/>
  <c r="V741" i="70"/>
  <c r="W741" i="70" s="1"/>
  <c r="V742" i="70"/>
  <c r="W742" i="70" s="1"/>
  <c r="V743" i="70"/>
  <c r="W743" i="70" s="1"/>
  <c r="V744" i="70"/>
  <c r="W744" i="70"/>
  <c r="V745" i="70"/>
  <c r="W745" i="70" s="1"/>
  <c r="V746" i="70"/>
  <c r="W746" i="70" s="1"/>
  <c r="V747" i="70"/>
  <c r="W747" i="70" s="1"/>
  <c r="V748" i="70"/>
  <c r="W748" i="70"/>
  <c r="V749" i="70"/>
  <c r="W749" i="70" s="1"/>
  <c r="V750" i="70"/>
  <c r="W750" i="70" s="1"/>
  <c r="V751" i="70"/>
  <c r="W751" i="70" s="1"/>
  <c r="V752" i="70"/>
  <c r="W752" i="70" s="1"/>
  <c r="V753" i="70"/>
  <c r="W753" i="70" s="1"/>
  <c r="V754" i="70"/>
  <c r="W754" i="70" s="1"/>
  <c r="V755" i="70"/>
  <c r="W755" i="70" s="1"/>
  <c r="V756" i="70"/>
  <c r="W756" i="70"/>
  <c r="V757" i="70"/>
  <c r="W757" i="70" s="1"/>
  <c r="V758" i="70"/>
  <c r="W758" i="70" s="1"/>
  <c r="V759" i="70"/>
  <c r="W759" i="70" s="1"/>
  <c r="V760" i="70"/>
  <c r="W760" i="70" s="1"/>
  <c r="V761" i="70"/>
  <c r="W761" i="70" s="1"/>
  <c r="V762" i="70"/>
  <c r="W762" i="70"/>
  <c r="V763" i="70"/>
  <c r="W763" i="70" s="1"/>
  <c r="V764" i="70"/>
  <c r="W764" i="70"/>
  <c r="V765" i="70"/>
  <c r="W765" i="70" s="1"/>
  <c r="V766" i="70"/>
  <c r="W766" i="70" s="1"/>
  <c r="V767" i="70"/>
  <c r="W767" i="70" s="1"/>
  <c r="V768" i="70"/>
  <c r="W768" i="70"/>
  <c r="V769" i="70"/>
  <c r="W769" i="70" s="1"/>
  <c r="V770" i="70"/>
  <c r="W770" i="70"/>
  <c r="V771" i="70"/>
  <c r="W771" i="70" s="1"/>
  <c r="V772" i="70"/>
  <c r="W772" i="70"/>
  <c r="V773" i="70"/>
  <c r="W773" i="70" s="1"/>
  <c r="V774" i="70"/>
  <c r="W774" i="70" s="1"/>
  <c r="V775" i="70"/>
  <c r="W775" i="70" s="1"/>
  <c r="V776" i="70"/>
  <c r="W776" i="70"/>
  <c r="V777" i="70"/>
  <c r="W777" i="70" s="1"/>
  <c r="V778" i="70"/>
  <c r="W778" i="70" s="1"/>
  <c r="V779" i="70"/>
  <c r="W779" i="70" s="1"/>
  <c r="V780" i="70"/>
  <c r="W780" i="70"/>
  <c r="V781" i="70"/>
  <c r="W781" i="70" s="1"/>
  <c r="V782" i="70"/>
  <c r="W782" i="70" s="1"/>
  <c r="V783" i="70"/>
  <c r="W783" i="70" s="1"/>
  <c r="V784" i="70"/>
  <c r="W784" i="70" s="1"/>
  <c r="V785" i="70"/>
  <c r="W785" i="70" s="1"/>
  <c r="V786" i="70"/>
  <c r="W786" i="70"/>
  <c r="V787" i="70"/>
  <c r="W787" i="70" s="1"/>
  <c r="V788" i="70"/>
  <c r="W788" i="70"/>
  <c r="V789" i="70"/>
  <c r="W789" i="70" s="1"/>
  <c r="V790" i="70"/>
  <c r="W790" i="70" s="1"/>
  <c r="V791" i="70"/>
  <c r="W791" i="70" s="1"/>
  <c r="V792" i="70"/>
  <c r="W792" i="70"/>
  <c r="V793" i="70"/>
  <c r="W793" i="70" s="1"/>
  <c r="V794" i="70"/>
  <c r="W794" i="70"/>
  <c r="V795" i="70"/>
  <c r="W795" i="70" s="1"/>
  <c r="V796" i="70"/>
  <c r="W796" i="70"/>
  <c r="V797" i="70"/>
  <c r="W797" i="70" s="1"/>
  <c r="V798" i="70"/>
  <c r="W798" i="70" s="1"/>
  <c r="V799" i="70"/>
  <c r="W799" i="70" s="1"/>
  <c r="V800" i="70"/>
  <c r="W800" i="70"/>
  <c r="V801" i="70"/>
  <c r="W801" i="70" s="1"/>
  <c r="V802" i="70"/>
  <c r="W802" i="70"/>
  <c r="V803" i="70"/>
  <c r="W803" i="70" s="1"/>
  <c r="V804" i="70"/>
  <c r="W804" i="70"/>
  <c r="V805" i="70"/>
  <c r="W805" i="70" s="1"/>
  <c r="V806" i="70"/>
  <c r="W806" i="70" s="1"/>
  <c r="V807" i="70"/>
  <c r="W807" i="70" s="1"/>
  <c r="V808" i="70"/>
  <c r="W808" i="70"/>
  <c r="V809" i="70"/>
  <c r="W809" i="70" s="1"/>
  <c r="V810" i="70"/>
  <c r="W810" i="70" s="1"/>
  <c r="V811" i="70"/>
  <c r="W811" i="70" s="1"/>
  <c r="V812" i="70"/>
  <c r="W812" i="70"/>
  <c r="V813" i="70"/>
  <c r="W813" i="70" s="1"/>
  <c r="V814" i="70"/>
  <c r="W814" i="70" s="1"/>
  <c r="V815" i="70"/>
  <c r="W815" i="70" s="1"/>
  <c r="V816" i="70"/>
  <c r="W816" i="70" s="1"/>
  <c r="V817" i="70"/>
  <c r="W817" i="70" s="1"/>
  <c r="V818" i="70"/>
  <c r="W818" i="70" s="1"/>
  <c r="V819" i="70"/>
  <c r="W819" i="70" s="1"/>
  <c r="V820" i="70"/>
  <c r="W820" i="70"/>
  <c r="V821" i="70"/>
  <c r="W821" i="70" s="1"/>
  <c r="V822" i="70"/>
  <c r="W822" i="70" s="1"/>
  <c r="V823" i="70"/>
  <c r="W823" i="70" s="1"/>
  <c r="V824" i="70"/>
  <c r="W824" i="70" s="1"/>
  <c r="V825" i="70"/>
  <c r="W825" i="70" s="1"/>
  <c r="V826" i="70"/>
  <c r="W826" i="70"/>
  <c r="V827" i="70"/>
  <c r="W827" i="70" s="1"/>
  <c r="V828" i="70"/>
  <c r="W828" i="70"/>
  <c r="V829" i="70"/>
  <c r="W829" i="70" s="1"/>
  <c r="V830" i="70"/>
  <c r="W830" i="70" s="1"/>
  <c r="V831" i="70"/>
  <c r="W831" i="70" s="1"/>
  <c r="V832" i="70"/>
  <c r="W832" i="70"/>
  <c r="V833" i="70"/>
  <c r="W833" i="70" s="1"/>
  <c r="V834" i="70"/>
  <c r="W834" i="70"/>
  <c r="V835" i="70"/>
  <c r="W835" i="70" s="1"/>
  <c r="V836" i="70"/>
  <c r="W836" i="70"/>
  <c r="V837" i="70"/>
  <c r="W837" i="70" s="1"/>
  <c r="V838" i="70"/>
  <c r="W838" i="70" s="1"/>
  <c r="V839" i="70"/>
  <c r="W839" i="70" s="1"/>
  <c r="V840" i="70"/>
  <c r="W840" i="70"/>
  <c r="V841" i="70"/>
  <c r="W841" i="70" s="1"/>
  <c r="V842" i="70"/>
  <c r="W842" i="70" s="1"/>
  <c r="V843" i="70"/>
  <c r="W843" i="70" s="1"/>
  <c r="V844" i="70"/>
  <c r="W844" i="70"/>
  <c r="V845" i="70"/>
  <c r="W845" i="70" s="1"/>
  <c r="V846" i="70"/>
  <c r="W846" i="70" s="1"/>
  <c r="V847" i="70"/>
  <c r="W847" i="70" s="1"/>
  <c r="V848" i="70"/>
  <c r="W848" i="70" s="1"/>
  <c r="V849" i="70"/>
  <c r="W849" i="70" s="1"/>
  <c r="V850" i="70"/>
  <c r="W850" i="70"/>
  <c r="V851" i="70"/>
  <c r="W851" i="70" s="1"/>
  <c r="V852" i="70"/>
  <c r="W852" i="70"/>
  <c r="V853" i="70"/>
  <c r="W853" i="70" s="1"/>
  <c r="V854" i="70"/>
  <c r="W854" i="70" s="1"/>
  <c r="V855" i="70"/>
  <c r="W855" i="70" s="1"/>
  <c r="V856" i="70"/>
  <c r="W856" i="70"/>
  <c r="V857" i="70"/>
  <c r="W857" i="70" s="1"/>
  <c r="V858" i="70"/>
  <c r="W858" i="70"/>
  <c r="V859" i="70"/>
  <c r="W859" i="70" s="1"/>
  <c r="V860" i="70"/>
  <c r="W860" i="70"/>
  <c r="V861" i="70"/>
  <c r="W861" i="70" s="1"/>
  <c r="V862" i="70"/>
  <c r="W862" i="70" s="1"/>
  <c r="V863" i="70"/>
  <c r="W863" i="70" s="1"/>
  <c r="V864" i="70"/>
  <c r="W864" i="70"/>
  <c r="V865" i="70"/>
  <c r="W865" i="70" s="1"/>
  <c r="V866" i="70"/>
  <c r="W866" i="70"/>
  <c r="V867" i="70"/>
  <c r="W867" i="70" s="1"/>
  <c r="V868" i="70"/>
  <c r="W868" i="70"/>
  <c r="V869" i="70"/>
  <c r="W869" i="70" s="1"/>
  <c r="V870" i="70"/>
  <c r="W870" i="70" s="1"/>
  <c r="V871" i="70"/>
  <c r="W871" i="70" s="1"/>
  <c r="V872" i="70"/>
  <c r="W872" i="70"/>
  <c r="V873" i="70"/>
  <c r="W873" i="70" s="1"/>
  <c r="V874" i="70"/>
  <c r="W874" i="70" s="1"/>
  <c r="V875" i="70"/>
  <c r="W875" i="70" s="1"/>
  <c r="V876" i="70"/>
  <c r="W876" i="70"/>
  <c r="V877" i="70"/>
  <c r="W877" i="70" s="1"/>
  <c r="V878" i="70"/>
  <c r="W878" i="70" s="1"/>
  <c r="V879" i="70"/>
  <c r="W879" i="70" s="1"/>
  <c r="V880" i="70"/>
  <c r="W880" i="70" s="1"/>
  <c r="V881" i="70"/>
  <c r="W881" i="70" s="1"/>
  <c r="V882" i="70"/>
  <c r="W882" i="70" s="1"/>
  <c r="V883" i="70"/>
  <c r="W883" i="70" s="1"/>
  <c r="V884" i="70"/>
  <c r="W884" i="70"/>
  <c r="V885" i="70"/>
  <c r="W885" i="70" s="1"/>
  <c r="V886" i="70"/>
  <c r="W886" i="70" s="1"/>
  <c r="V887" i="70"/>
  <c r="W887" i="70" s="1"/>
  <c r="V888" i="70"/>
  <c r="W888" i="70" s="1"/>
  <c r="V889" i="70"/>
  <c r="W889" i="70" s="1"/>
  <c r="V890" i="70"/>
  <c r="W890" i="70"/>
  <c r="V891" i="70"/>
  <c r="W891" i="70" s="1"/>
  <c r="V892" i="70"/>
  <c r="W892" i="70"/>
  <c r="V893" i="70"/>
  <c r="W893" i="70" s="1"/>
  <c r="V894" i="70"/>
  <c r="W894" i="70" s="1"/>
  <c r="V895" i="70"/>
  <c r="W895" i="70"/>
  <c r="V896" i="70"/>
  <c r="W896" i="70" s="1"/>
  <c r="V897" i="70"/>
  <c r="W897" i="70" s="1"/>
  <c r="V898" i="70"/>
  <c r="W898" i="70" s="1"/>
  <c r="V899" i="70"/>
  <c r="W899" i="70"/>
  <c r="V900" i="70"/>
  <c r="W900" i="70" s="1"/>
  <c r="V901" i="70"/>
  <c r="W901" i="70"/>
  <c r="V902" i="70"/>
  <c r="W902" i="70" s="1"/>
  <c r="V903" i="70"/>
  <c r="W903" i="70"/>
  <c r="V904" i="70"/>
  <c r="W904" i="70"/>
  <c r="V905" i="70"/>
  <c r="W905" i="70"/>
  <c r="V906" i="70"/>
  <c r="W906" i="70"/>
  <c r="V907" i="70"/>
  <c r="W907" i="70"/>
  <c r="V908" i="70"/>
  <c r="W908" i="70"/>
  <c r="V909" i="70"/>
  <c r="W909" i="70"/>
  <c r="V910" i="70"/>
  <c r="W910" i="70"/>
  <c r="V911" i="70"/>
  <c r="W911" i="70"/>
  <c r="V912" i="70"/>
  <c r="W912" i="70"/>
  <c r="V913" i="70"/>
  <c r="W913" i="70"/>
  <c r="V914" i="70"/>
  <c r="W914" i="70"/>
  <c r="V915" i="70"/>
  <c r="W915" i="70"/>
  <c r="V916" i="70"/>
  <c r="W916" i="70"/>
  <c r="V917" i="70"/>
  <c r="W917" i="70"/>
  <c r="V918" i="70"/>
  <c r="W918" i="70"/>
  <c r="V919" i="70"/>
  <c r="W919" i="70"/>
  <c r="V920" i="70"/>
  <c r="W920" i="70"/>
  <c r="V921" i="70"/>
  <c r="W921" i="70"/>
  <c r="V922" i="70"/>
  <c r="W922" i="70"/>
  <c r="V923" i="70"/>
  <c r="W923" i="70"/>
  <c r="V924" i="70"/>
  <c r="W924" i="70"/>
  <c r="V925" i="70"/>
  <c r="W925" i="70"/>
  <c r="V926" i="70"/>
  <c r="W926" i="70"/>
  <c r="V927" i="70"/>
  <c r="W927" i="70"/>
  <c r="V928" i="70"/>
  <c r="W928" i="70"/>
  <c r="V929" i="70"/>
  <c r="W929" i="70"/>
  <c r="V930" i="70"/>
  <c r="W930" i="70"/>
  <c r="V931" i="70"/>
  <c r="W931" i="70"/>
  <c r="V932" i="70"/>
  <c r="W932" i="70"/>
  <c r="V933" i="70"/>
  <c r="W933" i="70"/>
  <c r="V934" i="70"/>
  <c r="W934" i="70"/>
  <c r="V935" i="70"/>
  <c r="W935" i="70"/>
  <c r="V936" i="70"/>
  <c r="W936" i="70"/>
  <c r="V937" i="70"/>
  <c r="W937" i="70"/>
  <c r="V938" i="70"/>
  <c r="W938" i="70"/>
  <c r="V939" i="70"/>
  <c r="W939" i="70"/>
  <c r="V940" i="70"/>
  <c r="W940" i="70"/>
  <c r="V941" i="70"/>
  <c r="W941" i="70"/>
  <c r="V942" i="70"/>
  <c r="W942" i="70"/>
  <c r="V943" i="70"/>
  <c r="W943" i="70"/>
  <c r="V944" i="70"/>
  <c r="W944" i="70"/>
  <c r="V945" i="70"/>
  <c r="W945" i="70"/>
  <c r="V946" i="70"/>
  <c r="W946" i="70"/>
  <c r="V947" i="70"/>
  <c r="W947" i="70"/>
  <c r="V948" i="70"/>
  <c r="W948" i="70"/>
  <c r="V949" i="70"/>
  <c r="W949" i="70"/>
  <c r="V950" i="70"/>
  <c r="W950" i="70"/>
  <c r="V951" i="70"/>
  <c r="W951" i="70"/>
  <c r="V952" i="70"/>
  <c r="W952" i="70"/>
  <c r="V953" i="70"/>
  <c r="W953" i="70"/>
  <c r="V954" i="70"/>
  <c r="W954" i="70"/>
  <c r="V955" i="70"/>
  <c r="W955" i="70"/>
  <c r="V956" i="70"/>
  <c r="W956" i="70"/>
  <c r="V957" i="70"/>
  <c r="W957" i="70"/>
  <c r="V958" i="70"/>
  <c r="W958" i="70"/>
  <c r="V959" i="70"/>
  <c r="W959" i="70"/>
  <c r="V960" i="70"/>
  <c r="W960" i="70"/>
  <c r="V961" i="70"/>
  <c r="W961" i="70"/>
  <c r="V962" i="70"/>
  <c r="W962" i="70"/>
  <c r="V963" i="70"/>
  <c r="W963" i="70"/>
  <c r="V964" i="70"/>
  <c r="W964" i="70"/>
  <c r="V965" i="70"/>
  <c r="W965" i="70"/>
  <c r="V966" i="70"/>
  <c r="W966" i="70"/>
  <c r="V967" i="70"/>
  <c r="W967" i="70"/>
  <c r="V968" i="70"/>
  <c r="W968" i="70"/>
  <c r="V969" i="70"/>
  <c r="W969" i="70"/>
  <c r="V970" i="70"/>
  <c r="W970" i="70"/>
  <c r="V971" i="70"/>
  <c r="W971" i="70"/>
  <c r="V972" i="70"/>
  <c r="W972" i="70"/>
  <c r="V973" i="70"/>
  <c r="W973" i="70"/>
  <c r="V974" i="70"/>
  <c r="W974" i="70"/>
  <c r="V975" i="70"/>
  <c r="W975" i="70"/>
  <c r="V976" i="70"/>
  <c r="W976" i="70"/>
  <c r="V977" i="70"/>
  <c r="W977" i="70"/>
  <c r="V978" i="70"/>
  <c r="W978" i="70"/>
  <c r="V979" i="70"/>
  <c r="W979" i="70"/>
  <c r="V980" i="70"/>
  <c r="W980" i="70"/>
  <c r="V981" i="70"/>
  <c r="W981" i="70"/>
  <c r="V982" i="70"/>
  <c r="W982" i="70"/>
  <c r="V983" i="70"/>
  <c r="W983" i="70"/>
  <c r="V984" i="70"/>
  <c r="W984" i="70"/>
  <c r="V985" i="70"/>
  <c r="W985" i="70"/>
  <c r="V986" i="70"/>
  <c r="W986" i="70"/>
  <c r="V987" i="70"/>
  <c r="W987" i="70"/>
  <c r="V988" i="70"/>
  <c r="W988" i="70"/>
  <c r="V989" i="70"/>
  <c r="W989" i="70"/>
  <c r="V990" i="70"/>
  <c r="W990" i="70"/>
  <c r="V991" i="70"/>
  <c r="W991" i="70"/>
  <c r="V992" i="70"/>
  <c r="W992" i="70"/>
  <c r="V993" i="70"/>
  <c r="W993" i="70"/>
  <c r="V994" i="70"/>
  <c r="W994" i="70"/>
  <c r="V995" i="70"/>
  <c r="W995" i="70"/>
  <c r="V996" i="70"/>
  <c r="W996" i="70"/>
  <c r="V997" i="70"/>
  <c r="W997" i="70"/>
  <c r="V998" i="70"/>
  <c r="W998" i="70"/>
  <c r="V999" i="70"/>
  <c r="W999" i="70"/>
  <c r="V1000" i="70"/>
  <c r="W1000" i="70"/>
  <c r="V1001" i="70"/>
  <c r="W1001" i="70"/>
  <c r="V1002" i="70"/>
  <c r="W1002" i="70"/>
  <c r="V1003" i="70"/>
  <c r="W1003" i="70"/>
  <c r="V1004" i="70"/>
  <c r="W1004" i="70"/>
  <c r="V1005" i="70"/>
  <c r="W1005" i="70"/>
  <c r="V1006" i="70"/>
  <c r="W1006" i="70"/>
  <c r="V1007" i="70"/>
  <c r="W1007" i="70"/>
  <c r="V1008" i="70"/>
  <c r="W1008" i="70"/>
  <c r="V1009" i="70"/>
  <c r="W1009" i="70"/>
  <c r="V1010" i="70"/>
  <c r="W1010" i="70"/>
  <c r="V1011" i="70"/>
  <c r="W1011" i="70"/>
  <c r="V1012" i="70"/>
  <c r="W1012" i="70"/>
  <c r="V1013" i="70"/>
  <c r="W1013" i="70"/>
  <c r="V1014" i="70"/>
  <c r="W1014" i="70"/>
  <c r="V1015" i="70"/>
  <c r="W1015" i="70"/>
  <c r="V1016" i="70"/>
  <c r="W1016" i="70"/>
  <c r="V1017" i="70"/>
  <c r="W1017" i="70"/>
  <c r="V1018" i="70"/>
  <c r="W1018" i="70"/>
  <c r="V1019" i="70"/>
  <c r="W1019" i="70"/>
  <c r="V1020" i="70"/>
  <c r="W1020" i="70"/>
  <c r="V1021" i="70"/>
  <c r="W1021" i="70"/>
  <c r="V1022" i="70"/>
  <c r="W1022" i="70"/>
  <c r="V1023" i="70"/>
  <c r="W1023" i="70"/>
  <c r="V1024" i="70"/>
  <c r="W1024" i="70"/>
  <c r="V1025" i="70"/>
  <c r="W1025" i="70"/>
  <c r="V1026" i="70"/>
  <c r="W1026" i="70"/>
  <c r="V1027" i="70"/>
  <c r="W1027" i="70"/>
  <c r="V1028" i="70"/>
  <c r="W1028" i="70"/>
  <c r="V1029" i="70"/>
  <c r="W1029" i="70"/>
  <c r="V1030" i="70"/>
  <c r="W1030" i="70"/>
  <c r="V1031" i="70"/>
  <c r="W1031" i="70"/>
  <c r="V1032" i="70"/>
  <c r="W1032" i="70"/>
  <c r="V1033" i="70"/>
  <c r="W1033" i="70"/>
  <c r="V1034" i="70"/>
  <c r="W1034" i="70"/>
  <c r="V1035" i="70"/>
  <c r="W1035" i="70"/>
  <c r="V1036" i="70"/>
  <c r="W1036" i="70"/>
  <c r="V1037" i="70"/>
  <c r="W1037" i="70"/>
  <c r="V1038" i="70"/>
  <c r="W1038" i="70"/>
  <c r="V1039" i="70"/>
  <c r="W1039" i="70"/>
  <c r="Y2" i="91"/>
  <c r="AJ9" i="91"/>
  <c r="AL9" i="91" s="1"/>
  <c r="AN9" i="91"/>
  <c r="AP9" i="91" s="1"/>
  <c r="AR9" i="91"/>
  <c r="AT9" i="91"/>
  <c r="AV9" i="91"/>
  <c r="AX9" i="91" s="1"/>
  <c r="AZ9" i="91"/>
  <c r="BB9" i="91" s="1"/>
  <c r="BD9" i="91"/>
  <c r="BF9" i="91" s="1"/>
  <c r="BH9" i="91"/>
  <c r="BJ9" i="91" s="1"/>
  <c r="BL9" i="91"/>
  <c r="BN9" i="91" s="1"/>
  <c r="BP9" i="91"/>
  <c r="BR9" i="91"/>
  <c r="BT9" i="91"/>
  <c r="BV9" i="91" s="1"/>
  <c r="C13" i="91"/>
  <c r="E13" i="91"/>
  <c r="E14" i="91"/>
  <c r="E16" i="91" s="1"/>
  <c r="G13" i="91"/>
  <c r="I13" i="91"/>
  <c r="K13" i="91"/>
  <c r="S13" i="91"/>
  <c r="U13" i="91" s="1"/>
  <c r="AJ13" i="91"/>
  <c r="AL13" i="91" s="1"/>
  <c r="AN13" i="91" s="1"/>
  <c r="AP13" i="91" s="1"/>
  <c r="AR13" i="91"/>
  <c r="AT13" i="91" s="1"/>
  <c r="AV13" i="91" s="1"/>
  <c r="AX13" i="91" s="1"/>
  <c r="AZ13" i="91"/>
  <c r="BB13" i="91" s="1"/>
  <c r="BH13" i="91"/>
  <c r="BJ13" i="91" s="1"/>
  <c r="BP13" i="91"/>
  <c r="BR13" i="91"/>
  <c r="BT13" i="91"/>
  <c r="BV13" i="91" s="1"/>
  <c r="C14" i="91"/>
  <c r="C16" i="91" s="1"/>
  <c r="G14" i="91"/>
  <c r="G16" i="91"/>
  <c r="I14" i="91"/>
  <c r="I16" i="91" s="1"/>
  <c r="I17" i="91" s="1"/>
  <c r="I19" i="91" s="1"/>
  <c r="K14" i="91"/>
  <c r="S14" i="91"/>
  <c r="AJ14" i="91"/>
  <c r="AL14" i="91" s="1"/>
  <c r="AR14" i="91"/>
  <c r="AR16" i="91" s="1"/>
  <c r="AR17" i="91" s="1"/>
  <c r="AZ14" i="91"/>
  <c r="BB14" i="91" s="1"/>
  <c r="BD14" i="91" s="1"/>
  <c r="BH14" i="91"/>
  <c r="BH16" i="91" s="1"/>
  <c r="BP14" i="91"/>
  <c r="C15" i="91"/>
  <c r="E15" i="91"/>
  <c r="G15" i="91"/>
  <c r="I15" i="91"/>
  <c r="K15" i="91"/>
  <c r="M15" i="91" s="1"/>
  <c r="O15" i="91" s="1"/>
  <c r="Q15" i="91" s="1"/>
  <c r="S15" i="91"/>
  <c r="U15" i="91" s="1"/>
  <c r="W15" i="91" s="1"/>
  <c r="Y15" i="91" s="1"/>
  <c r="AJ15" i="91"/>
  <c r="AL15" i="91"/>
  <c r="AN15" i="91"/>
  <c r="AP15" i="91" s="1"/>
  <c r="AR15" i="91"/>
  <c r="AT15" i="91" s="1"/>
  <c r="AV15" i="91" s="1"/>
  <c r="AX15" i="91" s="1"/>
  <c r="AZ15" i="91"/>
  <c r="BB15" i="91" s="1"/>
  <c r="BD15" i="91" s="1"/>
  <c r="BF15" i="91" s="1"/>
  <c r="BH15" i="91"/>
  <c r="BJ15" i="91" s="1"/>
  <c r="BL15" i="91" s="1"/>
  <c r="BN15" i="91" s="1"/>
  <c r="BP15" i="91"/>
  <c r="BR15" i="91"/>
  <c r="BT15" i="91" s="1"/>
  <c r="BV15" i="91" s="1"/>
  <c r="C18" i="91"/>
  <c r="E18" i="91"/>
  <c r="G18" i="91"/>
  <c r="I18" i="91"/>
  <c r="K18" i="91"/>
  <c r="M18" i="91"/>
  <c r="S18" i="91"/>
  <c r="U18" i="91" s="1"/>
  <c r="AJ18" i="91"/>
  <c r="AR18" i="91"/>
  <c r="AZ18" i="91"/>
  <c r="BB18" i="91" s="1"/>
  <c r="BH18" i="91"/>
  <c r="BP18" i="91"/>
  <c r="C20" i="91"/>
  <c r="C21" i="91"/>
  <c r="E20" i="91"/>
  <c r="E21" i="91" s="1"/>
  <c r="G20" i="91"/>
  <c r="G21" i="91"/>
  <c r="I20" i="91"/>
  <c r="I21" i="91" s="1"/>
  <c r="K20" i="91"/>
  <c r="S20" i="91"/>
  <c r="AJ20" i="91"/>
  <c r="AR20" i="91"/>
  <c r="AZ20" i="91"/>
  <c r="BH20" i="91"/>
  <c r="BP20" i="91"/>
  <c r="BR20" i="91"/>
  <c r="C24" i="91"/>
  <c r="E24" i="91"/>
  <c r="E33" i="91" s="1"/>
  <c r="E34" i="91" s="1"/>
  <c r="E35" i="91" s="1"/>
  <c r="G24" i="91"/>
  <c r="I24" i="91"/>
  <c r="I33" i="91" s="1"/>
  <c r="K24" i="91"/>
  <c r="M24" i="91"/>
  <c r="M33" i="91"/>
  <c r="O24" i="91"/>
  <c r="Q24" i="91" s="1"/>
  <c r="Q33" i="91" s="1"/>
  <c r="S24" i="91"/>
  <c r="U24" i="91" s="1"/>
  <c r="U33" i="91" s="1"/>
  <c r="U34" i="91" s="1"/>
  <c r="U35" i="91" s="1"/>
  <c r="W24" i="91"/>
  <c r="Y24" i="91" s="1"/>
  <c r="Y33" i="91" s="1"/>
  <c r="AJ24" i="91"/>
  <c r="AL24" i="91" s="1"/>
  <c r="AL33" i="91" s="1"/>
  <c r="AN24" i="91"/>
  <c r="AP24" i="91" s="1"/>
  <c r="AP33" i="91" s="1"/>
  <c r="AR24" i="91"/>
  <c r="AT24" i="91"/>
  <c r="AT33" i="91" s="1"/>
  <c r="AV24" i="91"/>
  <c r="AX24" i="91"/>
  <c r="AX33" i="91"/>
  <c r="AZ24" i="91"/>
  <c r="BB24" i="91" s="1"/>
  <c r="BB33" i="91" s="1"/>
  <c r="BB34" i="91" s="1"/>
  <c r="BB36" i="91"/>
  <c r="BD24" i="91"/>
  <c r="BF24" i="91" s="1"/>
  <c r="BF33" i="91" s="1"/>
  <c r="BF34" i="91" s="1"/>
  <c r="BH24" i="91"/>
  <c r="BJ24" i="91" s="1"/>
  <c r="BJ33" i="91" s="1"/>
  <c r="BL24" i="91"/>
  <c r="BN24" i="91" s="1"/>
  <c r="BN33" i="91" s="1"/>
  <c r="BP24" i="91"/>
  <c r="BR24" i="91" s="1"/>
  <c r="BR33" i="91" s="1"/>
  <c r="BT24" i="91"/>
  <c r="BV24" i="91"/>
  <c r="BV33" i="91" s="1"/>
  <c r="BX24" i="91"/>
  <c r="BZ24" i="91" s="1"/>
  <c r="BZ33" i="91"/>
  <c r="CH24" i="91"/>
  <c r="CJ24" i="91" s="1"/>
  <c r="CJ33" i="91" s="1"/>
  <c r="CJ34" i="91" s="1"/>
  <c r="CN24" i="91"/>
  <c r="CP24" i="91" s="1"/>
  <c r="CP33" i="91" s="1"/>
  <c r="CP36" i="91" s="1"/>
  <c r="CT24" i="91"/>
  <c r="CV24" i="91"/>
  <c r="CV33" i="91"/>
  <c r="CV34" i="91" s="1"/>
  <c r="CV35" i="91" s="1"/>
  <c r="CZ24" i="91"/>
  <c r="DB24" i="91" s="1"/>
  <c r="DB33" i="91" s="1"/>
  <c r="DB36" i="91" s="1"/>
  <c r="DF24" i="91"/>
  <c r="DH24" i="91" s="1"/>
  <c r="DH33" i="91" s="1"/>
  <c r="DH36" i="91" s="1"/>
  <c r="DL24" i="91"/>
  <c r="DN24" i="91" s="1"/>
  <c r="DN33" i="91" s="1"/>
  <c r="BP26" i="91"/>
  <c r="AA38" i="91"/>
  <c r="C39" i="91"/>
  <c r="E39" i="91" s="1"/>
  <c r="E41" i="91" s="1"/>
  <c r="E42" i="91" s="1"/>
  <c r="E111" i="91" s="1"/>
  <c r="E51" i="91" s="1"/>
  <c r="K39" i="91"/>
  <c r="O39" i="91"/>
  <c r="Q39" i="91"/>
  <c r="BX39" i="91"/>
  <c r="CD39" i="91"/>
  <c r="C40" i="91"/>
  <c r="G40" i="91"/>
  <c r="G41" i="91" s="1"/>
  <c r="I40" i="91"/>
  <c r="I41" i="91" s="1"/>
  <c r="K40" i="91"/>
  <c r="M40" i="91"/>
  <c r="O40" i="91"/>
  <c r="O41" i="91" s="1"/>
  <c r="Q40" i="91"/>
  <c r="Q41" i="91" s="1"/>
  <c r="BT40" i="91"/>
  <c r="BT41" i="91" s="1"/>
  <c r="AA41" i="91"/>
  <c r="Y51" i="91"/>
  <c r="CV52" i="91"/>
  <c r="CB55" i="91"/>
  <c r="CL55" i="91"/>
  <c r="CJ52" i="91" s="1"/>
  <c r="CR55" i="91"/>
  <c r="CP52" i="91" s="1"/>
  <c r="CX55" i="91"/>
  <c r="DD55" i="91"/>
  <c r="DB52" i="91" s="1"/>
  <c r="DJ55" i="91"/>
  <c r="DH52" i="91" s="1"/>
  <c r="DP55" i="91"/>
  <c r="DN52" i="91"/>
  <c r="O57" i="91"/>
  <c r="W57" i="91"/>
  <c r="AN57" i="91"/>
  <c r="AV57" i="91"/>
  <c r="BD57" i="91"/>
  <c r="BL57" i="91"/>
  <c r="BT57" i="91"/>
  <c r="CF58" i="91"/>
  <c r="I69" i="91"/>
  <c r="U69" i="91"/>
  <c r="W69" i="91" s="1"/>
  <c r="AF69" i="91"/>
  <c r="AH69" i="91" s="1"/>
  <c r="I70" i="91"/>
  <c r="U70" i="91"/>
  <c r="W70" i="91" s="1"/>
  <c r="AF70" i="91"/>
  <c r="AH70" i="91" s="1"/>
  <c r="I71" i="91"/>
  <c r="U71" i="91"/>
  <c r="W71" i="91" s="1"/>
  <c r="W77" i="91" s="1"/>
  <c r="AF71" i="91"/>
  <c r="AH71" i="91" s="1"/>
  <c r="I72" i="91"/>
  <c r="U72" i="91"/>
  <c r="W72" i="91" s="1"/>
  <c r="AF72" i="91"/>
  <c r="AH72" i="91" s="1"/>
  <c r="AH77" i="91" s="1"/>
  <c r="I73" i="91"/>
  <c r="U73" i="91"/>
  <c r="W73" i="91" s="1"/>
  <c r="AF73" i="91"/>
  <c r="AH73" i="91" s="1"/>
  <c r="I74" i="91"/>
  <c r="U74" i="91"/>
  <c r="W74" i="91" s="1"/>
  <c r="AF74" i="91"/>
  <c r="AH74" i="91"/>
  <c r="E75" i="91"/>
  <c r="Q75" i="91"/>
  <c r="AB75" i="91"/>
  <c r="W85" i="91"/>
  <c r="AH85" i="91"/>
  <c r="E112" i="91"/>
  <c r="I112" i="91"/>
  <c r="M112" i="91"/>
  <c r="Q112" i="91"/>
  <c r="U112" i="91"/>
  <c r="Y112" i="91"/>
  <c r="AL112" i="91"/>
  <c r="AP112" i="91"/>
  <c r="AT112" i="91"/>
  <c r="AX112" i="91"/>
  <c r="BB112" i="91"/>
  <c r="BF112" i="91"/>
  <c r="BJ112" i="91"/>
  <c r="BN112" i="91"/>
  <c r="BR112" i="91"/>
  <c r="BV112" i="91"/>
  <c r="BZ112" i="91"/>
  <c r="CJ112" i="91"/>
  <c r="CP112" i="91"/>
  <c r="CV112" i="91"/>
  <c r="DB112" i="91"/>
  <c r="DH112" i="91"/>
  <c r="DN112" i="91"/>
  <c r="E114" i="91"/>
  <c r="E52" i="91" s="1"/>
  <c r="I114" i="91"/>
  <c r="M114" i="91"/>
  <c r="M52" i="91"/>
  <c r="Q114" i="91"/>
  <c r="U114" i="91"/>
  <c r="U52" i="91"/>
  <c r="Y114" i="91"/>
  <c r="AL114" i="91"/>
  <c r="AL52" i="91" s="1"/>
  <c r="AP114" i="91"/>
  <c r="AT114" i="91"/>
  <c r="AT52" i="91"/>
  <c r="AX114" i="91"/>
  <c r="BB114" i="91"/>
  <c r="BB52" i="91"/>
  <c r="BF114" i="91"/>
  <c r="BJ114" i="91"/>
  <c r="BJ52" i="91" s="1"/>
  <c r="BN114" i="91"/>
  <c r="BR114" i="91"/>
  <c r="BR52" i="91" s="1"/>
  <c r="BV114" i="91"/>
  <c r="BZ114" i="91"/>
  <c r="CJ114" i="91"/>
  <c r="CP114" i="91"/>
  <c r="CV114" i="91"/>
  <c r="DB114" i="91"/>
  <c r="DH114" i="91"/>
  <c r="DN114" i="91"/>
  <c r="D2" i="358"/>
  <c r="C25" i="227"/>
  <c r="C5" i="176"/>
  <c r="C6" i="176"/>
  <c r="C15" i="176"/>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c r="C69" i="303"/>
  <c r="E69" i="303"/>
  <c r="C73" i="303"/>
  <c r="E73" i="303"/>
  <c r="A86" i="303"/>
  <c r="C97" i="303"/>
  <c r="E97" i="303" s="1"/>
  <c r="C98" i="303"/>
  <c r="E98" i="303" s="1"/>
  <c r="C145" i="303"/>
  <c r="E145" i="303"/>
  <c r="C149" i="303"/>
  <c r="E149" i="303"/>
  <c r="A6" i="291"/>
  <c r="A82" i="291" s="1"/>
  <c r="C21" i="291"/>
  <c r="E21" i="291" s="1"/>
  <c r="C22" i="291"/>
  <c r="E22" i="291"/>
  <c r="C69" i="291"/>
  <c r="E69" i="291"/>
  <c r="C73" i="291"/>
  <c r="E73" i="291"/>
  <c r="A86" i="291"/>
  <c r="C97" i="291"/>
  <c r="E97" i="291" s="1"/>
  <c r="C98" i="291"/>
  <c r="E98" i="291" s="1"/>
  <c r="C145" i="291"/>
  <c r="E145" i="291"/>
  <c r="C149" i="291"/>
  <c r="E149" i="291"/>
  <c r="A6" i="269"/>
  <c r="A82" i="269" s="1"/>
  <c r="A10" i="269"/>
  <c r="C21" i="269"/>
  <c r="E21" i="269" s="1"/>
  <c r="C22" i="269"/>
  <c r="E22" i="269" s="1"/>
  <c r="C69" i="269"/>
  <c r="E69" i="269"/>
  <c r="C73" i="269"/>
  <c r="E73" i="269"/>
  <c r="A86" i="269"/>
  <c r="C97" i="269"/>
  <c r="E97" i="269" s="1"/>
  <c r="C98" i="269"/>
  <c r="E98" i="269" s="1"/>
  <c r="C132" i="269"/>
  <c r="C145" i="269"/>
  <c r="E145" i="269"/>
  <c r="C149" i="269"/>
  <c r="E149" i="269"/>
  <c r="C6" i="227"/>
  <c r="C7" i="227"/>
  <c r="C8" i="227"/>
  <c r="C10" i="227"/>
  <c r="C21" i="227"/>
  <c r="C26" i="227" s="1"/>
  <c r="C22" i="227"/>
  <c r="C23" i="227"/>
  <c r="C46" i="227"/>
  <c r="C47" i="227"/>
  <c r="C28" i="227" s="1"/>
  <c r="C48" i="227"/>
  <c r="C49" i="227"/>
  <c r="C50" i="227"/>
  <c r="C51" i="227"/>
  <c r="A6" i="248"/>
  <c r="D11" i="248"/>
  <c r="D12" i="248"/>
  <c r="D13" i="248"/>
  <c r="D14" i="248"/>
  <c r="D15" i="248"/>
  <c r="D16" i="248"/>
  <c r="D17" i="248"/>
  <c r="D18" i="248"/>
  <c r="D19" i="248"/>
  <c r="D20" i="248"/>
  <c r="D22" i="248"/>
  <c r="D23" i="248"/>
  <c r="D25" i="248"/>
  <c r="E25" i="248"/>
  <c r="F25" i="248"/>
  <c r="G25" i="248"/>
  <c r="D26" i="248"/>
  <c r="D28" i="248"/>
  <c r="D29" i="248"/>
  <c r="D30" i="248"/>
  <c r="E30" i="248"/>
  <c r="F30" i="248"/>
  <c r="G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F19" i="315"/>
  <c r="M38" i="315"/>
  <c r="AN40" i="315"/>
  <c r="F42" i="315"/>
  <c r="AN42" i="315"/>
  <c r="AN43" i="315"/>
  <c r="AN45" i="315"/>
  <c r="G50" i="315"/>
  <c r="F57" i="315"/>
  <c r="H57" i="315" s="1"/>
  <c r="M57" i="315" s="1"/>
  <c r="F58" i="315"/>
  <c r="H58" i="315" s="1"/>
  <c r="M58" i="315" s="1"/>
  <c r="F59" i="315"/>
  <c r="H59" i="315" s="1"/>
  <c r="M59" i="315" s="1"/>
  <c r="F60" i="315"/>
  <c r="H60" i="315" s="1"/>
  <c r="M60" i="315" s="1"/>
  <c r="F61" i="315"/>
  <c r="H61" i="315" s="1"/>
  <c r="M61" i="315" s="1"/>
  <c r="H62" i="315"/>
  <c r="M62" i="315"/>
  <c r="F63" i="315"/>
  <c r="H63" i="315" s="1"/>
  <c r="M63" i="315" s="1"/>
  <c r="H64" i="315"/>
  <c r="M64" i="315" s="1"/>
  <c r="F68" i="315"/>
  <c r="H68" i="315" s="1"/>
  <c r="M68" i="315" s="1"/>
  <c r="M77" i="315"/>
  <c r="A6" i="316"/>
  <c r="B92" i="316"/>
  <c r="A6" i="301"/>
  <c r="B92" i="301"/>
  <c r="C2" i="302"/>
  <c r="F13" i="302"/>
  <c r="F19" i="302"/>
  <c r="M38" i="302"/>
  <c r="AN40" i="302"/>
  <c r="F42" i="302"/>
  <c r="E70" i="167" s="1"/>
  <c r="AN42" i="302"/>
  <c r="AN43" i="302"/>
  <c r="AN45" i="302"/>
  <c r="G50" i="302"/>
  <c r="F57" i="302"/>
  <c r="H57" i="302"/>
  <c r="M57" i="302" s="1"/>
  <c r="F58" i="302"/>
  <c r="H58" i="302" s="1"/>
  <c r="M58" i="302" s="1"/>
  <c r="F59" i="302"/>
  <c r="H59" i="302" s="1"/>
  <c r="M59" i="302" s="1"/>
  <c r="F60" i="302"/>
  <c r="H60" i="302"/>
  <c r="M60" i="302" s="1"/>
  <c r="F61" i="302"/>
  <c r="H61" i="302" s="1"/>
  <c r="M61" i="302" s="1"/>
  <c r="H62" i="302"/>
  <c r="M62" i="302" s="1"/>
  <c r="F63" i="302"/>
  <c r="H63" i="302" s="1"/>
  <c r="M63" i="302" s="1"/>
  <c r="F68" i="302"/>
  <c r="H68" i="302" s="1"/>
  <c r="M68" i="302" s="1"/>
  <c r="M77" i="302"/>
  <c r="C2" i="280"/>
  <c r="F19" i="280"/>
  <c r="M38" i="280"/>
  <c r="AN40" i="280"/>
  <c r="AN42" i="280"/>
  <c r="AN43" i="280"/>
  <c r="AN45" i="280"/>
  <c r="G50" i="280"/>
  <c r="F57" i="280"/>
  <c r="H57" i="280" s="1"/>
  <c r="M57" i="280" s="1"/>
  <c r="F58" i="280"/>
  <c r="H58" i="280" s="1"/>
  <c r="M58" i="280" s="1"/>
  <c r="F59" i="280"/>
  <c r="H59" i="280" s="1"/>
  <c r="M59" i="280" s="1"/>
  <c r="F60" i="280"/>
  <c r="H60" i="280" s="1"/>
  <c r="M60" i="280" s="1"/>
  <c r="F61" i="280"/>
  <c r="H61" i="280" s="1"/>
  <c r="M61" i="280" s="1"/>
  <c r="H62" i="280"/>
  <c r="M62" i="280" s="1"/>
  <c r="F63" i="280"/>
  <c r="H63" i="280" s="1"/>
  <c r="M63" i="280" s="1"/>
  <c r="F68" i="280"/>
  <c r="H68" i="280" s="1"/>
  <c r="M68" i="280" s="1"/>
  <c r="M70" i="280"/>
  <c r="M77" i="280"/>
  <c r="A6" i="281"/>
  <c r="B92" i="281"/>
  <c r="A6" i="267"/>
  <c r="D35" i="267"/>
  <c r="E35" i="248" s="1"/>
  <c r="B63" i="267"/>
  <c r="B91" i="267"/>
  <c r="B92" i="267"/>
  <c r="D94" i="267"/>
  <c r="C2" i="268"/>
  <c r="F13" i="268"/>
  <c r="F19" i="268"/>
  <c r="J38" i="268"/>
  <c r="K38" i="268"/>
  <c r="AP40" i="268"/>
  <c r="AP42" i="268"/>
  <c r="AP43" i="268"/>
  <c r="AP45" i="268"/>
  <c r="G50" i="268"/>
  <c r="F58" i="268"/>
  <c r="H58" i="268" s="1"/>
  <c r="J58" i="268" s="1"/>
  <c r="K58" i="268"/>
  <c r="F59" i="268"/>
  <c r="H59" i="268" s="1"/>
  <c r="J59" i="268" s="1"/>
  <c r="K59" i="268" s="1"/>
  <c r="F60" i="268"/>
  <c r="H60" i="268" s="1"/>
  <c r="J60" i="268" s="1"/>
  <c r="K60" i="268" s="1"/>
  <c r="F61" i="268"/>
  <c r="H61" i="268" s="1"/>
  <c r="J61" i="268" s="1"/>
  <c r="K61" i="268" s="1"/>
  <c r="F62" i="268"/>
  <c r="H62" i="268" s="1"/>
  <c r="J62" i="268" s="1"/>
  <c r="K62" i="268"/>
  <c r="H63" i="268"/>
  <c r="J63" i="268"/>
  <c r="K63" i="268"/>
  <c r="F64" i="268"/>
  <c r="H64" i="268" s="1"/>
  <c r="J64" i="268" s="1"/>
  <c r="K64" i="268" s="1"/>
  <c r="F69" i="268"/>
  <c r="I78" i="268"/>
  <c r="I81" i="268"/>
  <c r="D1" i="358"/>
  <c r="A6" i="358"/>
  <c r="B63" i="358"/>
  <c r="B90" i="358"/>
  <c r="B91" i="358"/>
  <c r="D93" i="358"/>
  <c r="D37" i="109"/>
  <c r="D54" i="109"/>
  <c r="D67" i="109"/>
  <c r="C36" i="108"/>
  <c r="C37" i="108"/>
  <c r="C40" i="108"/>
  <c r="C45" i="108"/>
  <c r="D2" i="106"/>
  <c r="D2" i="60"/>
  <c r="D2" i="2"/>
  <c r="H2" i="3"/>
  <c r="B149" i="2"/>
  <c r="B150" i="2" s="1"/>
  <c r="C27" i="176"/>
  <c r="C9" i="352"/>
  <c r="E9" i="352"/>
  <c r="G9" i="352"/>
  <c r="I9" i="352"/>
  <c r="O9" i="352"/>
  <c r="Q9" i="352"/>
  <c r="W9" i="352"/>
  <c r="Y9" i="352"/>
  <c r="AE9" i="352"/>
  <c r="AG9" i="352"/>
  <c r="S20" i="352"/>
  <c r="AA20" i="352"/>
  <c r="C9" i="168"/>
  <c r="E9" i="168"/>
  <c r="G9" i="168"/>
  <c r="I9" i="168"/>
  <c r="O9" i="168"/>
  <c r="Q9" i="168"/>
  <c r="W9" i="168"/>
  <c r="Y9" i="168"/>
  <c r="AE9" i="168"/>
  <c r="AG9" i="168"/>
  <c r="S20" i="168"/>
  <c r="U20" i="168" s="1"/>
  <c r="U21" i="168" s="1"/>
  <c r="AA20" i="168"/>
  <c r="AC20" i="168" s="1"/>
  <c r="I112" i="168"/>
  <c r="A9" i="184"/>
  <c r="A10" i="184" s="1"/>
  <c r="A12" i="184"/>
  <c r="A13" i="184"/>
  <c r="A17" i="184"/>
  <c r="A18" i="184" s="1"/>
  <c r="A20" i="184" s="1"/>
  <c r="C17" i="176"/>
  <c r="C18" i="176"/>
  <c r="AM1" i="245"/>
  <c r="AM2" i="245"/>
  <c r="AM3" i="245"/>
  <c r="B11" i="245"/>
  <c r="D11" i="245"/>
  <c r="L11" i="245"/>
  <c r="B12" i="245"/>
  <c r="F12" i="245" s="1"/>
  <c r="D12" i="245"/>
  <c r="H12" i="245" s="1"/>
  <c r="B13" i="245"/>
  <c r="F13" i="245"/>
  <c r="D13" i="245"/>
  <c r="H13" i="245" s="1"/>
  <c r="B14" i="245"/>
  <c r="F14" i="245" s="1"/>
  <c r="D14" i="245"/>
  <c r="H14" i="245" s="1"/>
  <c r="B15" i="245"/>
  <c r="F15" i="245" s="1"/>
  <c r="D15" i="245"/>
  <c r="H15" i="245" s="1"/>
  <c r="B16" i="245"/>
  <c r="F16" i="245"/>
  <c r="D16" i="245"/>
  <c r="H16" i="245" s="1"/>
  <c r="L16" i="245"/>
  <c r="B17" i="245"/>
  <c r="F17" i="245"/>
  <c r="D17" i="245"/>
  <c r="H17" i="245" s="1"/>
  <c r="B18" i="245"/>
  <c r="F18" i="245"/>
  <c r="D18" i="245"/>
  <c r="H18" i="245" s="1"/>
  <c r="B19" i="245"/>
  <c r="F19" i="245"/>
  <c r="D19" i="245"/>
  <c r="H19" i="245" s="1"/>
  <c r="B20" i="245"/>
  <c r="F20" i="245"/>
  <c r="D20" i="245"/>
  <c r="H20" i="245" s="1"/>
  <c r="C2" i="348"/>
  <c r="F19" i="348"/>
  <c r="G38" i="348"/>
  <c r="AK40" i="348"/>
  <c r="G42" i="348"/>
  <c r="AK42" i="348"/>
  <c r="AK45" i="348"/>
  <c r="H50" i="348"/>
  <c r="F58" i="348"/>
  <c r="G58" i="348"/>
  <c r="F59" i="348"/>
  <c r="G59" i="348" s="1"/>
  <c r="F60" i="348"/>
  <c r="G60" i="348"/>
  <c r="F61" i="348"/>
  <c r="G61" i="348" s="1"/>
  <c r="F62" i="348"/>
  <c r="G62" i="348" s="1"/>
  <c r="G63" i="348"/>
  <c r="F64" i="348"/>
  <c r="G64" i="348" s="1"/>
  <c r="F69" i="348"/>
  <c r="G69" i="348" s="1"/>
  <c r="G94" i="348" s="1"/>
  <c r="D2" i="50"/>
  <c r="D20" i="50" s="1"/>
  <c r="H2" i="50"/>
  <c r="H3" i="50"/>
  <c r="D48" i="50"/>
  <c r="F57" i="50"/>
  <c r="H57" i="50"/>
  <c r="F59" i="50"/>
  <c r="F65" i="50" s="1"/>
  <c r="F67" i="50" s="1"/>
  <c r="F69" i="50" s="1"/>
  <c r="F71" i="50" s="1"/>
  <c r="H59" i="50"/>
  <c r="H65" i="50" s="1"/>
  <c r="G1" i="73"/>
  <c r="M2" i="73"/>
  <c r="Y3" i="91" s="1"/>
  <c r="M3" i="73"/>
  <c r="Y4" i="91" s="1"/>
  <c r="M7" i="73"/>
  <c r="O7" i="73"/>
  <c r="Q7" i="73"/>
  <c r="S7" i="73"/>
  <c r="J8" i="73"/>
  <c r="K8" i="73" s="1"/>
  <c r="L8" i="73"/>
  <c r="M8" i="73"/>
  <c r="N8" i="73"/>
  <c r="O8" i="73" s="1"/>
  <c r="P8" i="73"/>
  <c r="Q8" i="73"/>
  <c r="R8" i="73"/>
  <c r="S8" i="73" s="1"/>
  <c r="C12" i="73"/>
  <c r="D12" i="73" s="1"/>
  <c r="F12" i="73"/>
  <c r="G12" i="73" s="1"/>
  <c r="H12" i="73"/>
  <c r="I12" i="73" s="1"/>
  <c r="J12" i="73"/>
  <c r="K12" i="73" s="1"/>
  <c r="L12" i="73"/>
  <c r="M12" i="73" s="1"/>
  <c r="N12" i="73" s="1"/>
  <c r="O12" i="73" s="1"/>
  <c r="P12" i="73" s="1"/>
  <c r="C13" i="73"/>
  <c r="F13" i="73"/>
  <c r="G13" i="73" s="1"/>
  <c r="H13" i="73"/>
  <c r="H15" i="73" s="1"/>
  <c r="I15" i="73" s="1"/>
  <c r="J13" i="73"/>
  <c r="J15" i="73" s="1"/>
  <c r="L13" i="73"/>
  <c r="C14" i="73"/>
  <c r="D14" i="73" s="1"/>
  <c r="F14" i="73"/>
  <c r="G14" i="73"/>
  <c r="H14" i="73"/>
  <c r="I14" i="73" s="1"/>
  <c r="J14" i="73"/>
  <c r="K14" i="73"/>
  <c r="L14" i="73"/>
  <c r="M14" i="73" s="1"/>
  <c r="N14" i="73"/>
  <c r="O14" i="73"/>
  <c r="P14" i="73"/>
  <c r="Q14" i="73" s="1"/>
  <c r="R14" i="73"/>
  <c r="S14" i="73"/>
  <c r="C17" i="73"/>
  <c r="D17" i="73"/>
  <c r="F17" i="73"/>
  <c r="G17" i="73"/>
  <c r="H17" i="73"/>
  <c r="I17" i="73"/>
  <c r="J17" i="73"/>
  <c r="K17" i="73"/>
  <c r="L17" i="73"/>
  <c r="M17" i="73"/>
  <c r="C19" i="73"/>
  <c r="F19" i="73"/>
  <c r="H19" i="73"/>
  <c r="H20" i="73" s="1"/>
  <c r="J19" i="73"/>
  <c r="J20" i="73" s="1"/>
  <c r="L19" i="73"/>
  <c r="C23" i="73"/>
  <c r="D23" i="73" s="1"/>
  <c r="F23" i="73"/>
  <c r="G23" i="73" s="1"/>
  <c r="H23" i="73"/>
  <c r="I23" i="73" s="1"/>
  <c r="J23" i="73"/>
  <c r="K23" i="73"/>
  <c r="L23" i="73"/>
  <c r="M23" i="73" s="1"/>
  <c r="N23" i="73"/>
  <c r="O23" i="73"/>
  <c r="P23" i="73"/>
  <c r="Q23" i="73" s="1"/>
  <c r="R23" i="73"/>
  <c r="S23" i="73" s="1"/>
  <c r="C37" i="73"/>
  <c r="F37" i="73"/>
  <c r="G37" i="73" s="1"/>
  <c r="F38" i="73"/>
  <c r="D1" i="3"/>
  <c r="D2" i="3"/>
  <c r="H24" i="3" s="1"/>
  <c r="H3" i="3"/>
  <c r="G18" i="3"/>
  <c r="G20" i="3"/>
  <c r="G26" i="3"/>
  <c r="G28" i="3"/>
  <c r="J1" i="74"/>
  <c r="J2" i="74"/>
  <c r="J3" i="74"/>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c r="BZ24" i="168" s="1"/>
  <c r="CB24" i="168" s="1"/>
  <c r="CB33" i="168" s="1"/>
  <c r="AB16" i="74"/>
  <c r="AB17" i="74" s="1"/>
  <c r="H19" i="74"/>
  <c r="P18" i="167"/>
  <c r="Q18" i="167"/>
  <c r="P21" i="167"/>
  <c r="Q21" i="167"/>
  <c r="P22" i="167"/>
  <c r="Q22" i="167"/>
  <c r="C26" i="167"/>
  <c r="D26" i="167"/>
  <c r="E26" i="167"/>
  <c r="F26" i="167"/>
  <c r="P57" i="167"/>
  <c r="P59" i="167" s="1"/>
  <c r="P58" i="167"/>
  <c r="I1" i="9"/>
  <c r="I2" i="9"/>
  <c r="I3" i="9"/>
  <c r="E9" i="9"/>
  <c r="E10" i="9" s="1"/>
  <c r="H9" i="9"/>
  <c r="H10" i="9" s="1"/>
  <c r="H11" i="9"/>
  <c r="I9" i="9"/>
  <c r="J9" i="9"/>
  <c r="K9" i="9"/>
  <c r="L9" i="9"/>
  <c r="E11" i="9"/>
  <c r="I11" i="9"/>
  <c r="J11" i="9"/>
  <c r="K11" i="9"/>
  <c r="L11" i="9"/>
  <c r="E12" i="9"/>
  <c r="H12" i="9"/>
  <c r="I12" i="9"/>
  <c r="J12" i="9"/>
  <c r="K12" i="9"/>
  <c r="L12" i="9"/>
  <c r="E21" i="9"/>
  <c r="H21" i="9"/>
  <c r="I21" i="9"/>
  <c r="J21" i="9"/>
  <c r="K21" i="9"/>
  <c r="L21" i="9"/>
  <c r="BJ21" i="9"/>
  <c r="BK21" i="9"/>
  <c r="H22" i="9"/>
  <c r="I22" i="9"/>
  <c r="J22" i="9"/>
  <c r="K22" i="9"/>
  <c r="L22" i="9"/>
  <c r="BJ22" i="9"/>
  <c r="BJ23" i="9" s="1"/>
  <c r="BK22" i="9"/>
  <c r="BK23" i="9" s="1"/>
  <c r="E25" i="9"/>
  <c r="H25" i="9"/>
  <c r="I25" i="9"/>
  <c r="J25" i="9"/>
  <c r="K25" i="9"/>
  <c r="L25" i="9"/>
  <c r="AQ25" i="9"/>
  <c r="AQ26" i="9" s="1"/>
  <c r="AR25" i="9"/>
  <c r="AU25" i="9"/>
  <c r="AV25" i="9"/>
  <c r="AW25" i="9"/>
  <c r="AX25" i="9"/>
  <c r="AY25" i="9"/>
  <c r="BJ25" i="9"/>
  <c r="BK25" i="9"/>
  <c r="AQ28" i="9"/>
  <c r="E30" i="9"/>
  <c r="H30" i="9"/>
  <c r="I30" i="9"/>
  <c r="J30" i="9"/>
  <c r="L30" i="9"/>
  <c r="E35" i="9"/>
  <c r="E44" i="9" s="1"/>
  <c r="H35" i="9"/>
  <c r="H44" i="9" s="1"/>
  <c r="I35" i="9"/>
  <c r="I44" i="9" s="1"/>
  <c r="J35" i="9"/>
  <c r="J44" i="9"/>
  <c r="K35" i="9"/>
  <c r="L35" i="9"/>
  <c r="L44" i="9"/>
  <c r="AL38" i="9"/>
  <c r="AO50" i="9"/>
  <c r="AM38" i="9"/>
  <c r="AN43" i="9"/>
  <c r="E39" i="9" s="1"/>
  <c r="AO38" i="9"/>
  <c r="AP38" i="9"/>
  <c r="AT38" i="9"/>
  <c r="AX38" i="9"/>
  <c r="J32" i="9" s="1"/>
  <c r="BB38" i="9"/>
  <c r="BB39" i="9" s="1"/>
  <c r="BB40" i="9" s="1"/>
  <c r="K34" i="9" s="1"/>
  <c r="BF38" i="9"/>
  <c r="BF39" i="9" s="1"/>
  <c r="L33" i="9" s="1"/>
  <c r="DL39" i="91" s="1"/>
  <c r="DL41" i="91" s="1"/>
  <c r="AL42" i="9"/>
  <c r="AN42" i="9"/>
  <c r="AP42" i="9"/>
  <c r="H36" i="9" s="1"/>
  <c r="AT42" i="9"/>
  <c r="I36" i="9" s="1"/>
  <c r="AX42" i="9"/>
  <c r="BB42" i="9"/>
  <c r="K36" i="9" s="1"/>
  <c r="BF42" i="9"/>
  <c r="BG42" i="9" s="1"/>
  <c r="L38" i="9" s="1"/>
  <c r="L45" i="9" s="1"/>
  <c r="AL43" i="9"/>
  <c r="AP43" i="9"/>
  <c r="H39" i="9" s="1"/>
  <c r="AT43" i="9"/>
  <c r="I39" i="9" s="1"/>
  <c r="AX43" i="9"/>
  <c r="BB43" i="9"/>
  <c r="K39" i="9" s="1"/>
  <c r="BF43" i="9"/>
  <c r="AO49" i="9"/>
  <c r="AP49" i="9"/>
  <c r="AR49" i="9"/>
  <c r="AV49" i="9"/>
  <c r="AZ49" i="9"/>
  <c r="BD49" i="9"/>
  <c r="BH49" i="9"/>
  <c r="AP50" i="9"/>
  <c r="AR50" i="9"/>
  <c r="AV50" i="9"/>
  <c r="AZ50" i="9"/>
  <c r="BD50" i="9"/>
  <c r="BH50" i="9"/>
  <c r="AO54" i="9"/>
  <c r="AP54" i="9"/>
  <c r="AR54" i="9"/>
  <c r="AV54" i="9"/>
  <c r="AO55" i="9"/>
  <c r="AP55" i="9"/>
  <c r="AR55" i="9"/>
  <c r="AV55" i="9"/>
  <c r="G61" i="9"/>
  <c r="H61" i="9"/>
  <c r="I61" i="9"/>
  <c r="J61" i="9"/>
  <c r="K61" i="9"/>
  <c r="L61" i="9"/>
  <c r="Q61" i="9"/>
  <c r="R61" i="9"/>
  <c r="D68" i="9"/>
  <c r="D69" i="9"/>
  <c r="D76" i="9" s="1"/>
  <c r="D83" i="9" s="1"/>
  <c r="D75" i="9"/>
  <c r="D82" i="9"/>
  <c r="E82" i="9"/>
  <c r="H82" i="9" s="1"/>
  <c r="I82" i="9" s="1"/>
  <c r="D92" i="9"/>
  <c r="E92" i="9"/>
  <c r="H92" i="9"/>
  <c r="I92" i="9"/>
  <c r="J92" i="9"/>
  <c r="K92" i="9"/>
  <c r="L92" i="9"/>
  <c r="D93" i="9"/>
  <c r="E93" i="9"/>
  <c r="H93" i="9"/>
  <c r="I93" i="9"/>
  <c r="J93" i="9"/>
  <c r="K93" i="9"/>
  <c r="L93" i="9"/>
  <c r="D100" i="9"/>
  <c r="D109" i="9" s="1"/>
  <c r="S125" i="9" s="1"/>
  <c r="E100" i="9"/>
  <c r="H100" i="9"/>
  <c r="I100" i="9"/>
  <c r="I108" i="9"/>
  <c r="J100" i="9"/>
  <c r="K100" i="9"/>
  <c r="L100" i="9"/>
  <c r="D101" i="9"/>
  <c r="E101" i="9"/>
  <c r="H101" i="9"/>
  <c r="I101" i="9"/>
  <c r="J101" i="9"/>
  <c r="K101" i="9"/>
  <c r="L101" i="9"/>
  <c r="D102" i="9"/>
  <c r="E102" i="9"/>
  <c r="H102" i="9"/>
  <c r="I102" i="9"/>
  <c r="J102" i="9"/>
  <c r="K102" i="9"/>
  <c r="L102" i="9"/>
  <c r="D103" i="9"/>
  <c r="E103" i="9"/>
  <c r="H103" i="9"/>
  <c r="I103" i="9"/>
  <c r="J103" i="9"/>
  <c r="K103" i="9"/>
  <c r="L103" i="9"/>
  <c r="D104" i="9"/>
  <c r="E104" i="9"/>
  <c r="H104" i="9"/>
  <c r="I104" i="9"/>
  <c r="J104" i="9"/>
  <c r="K104" i="9"/>
  <c r="L104" i="9"/>
  <c r="D105" i="9"/>
  <c r="E105" i="9"/>
  <c r="H105" i="9"/>
  <c r="I105" i="9"/>
  <c r="J105" i="9"/>
  <c r="K105" i="9"/>
  <c r="L105" i="9"/>
  <c r="D106" i="9"/>
  <c r="E106" i="9"/>
  <c r="H106" i="9"/>
  <c r="I106" i="9"/>
  <c r="J106" i="9"/>
  <c r="K106" i="9"/>
  <c r="L106" i="9"/>
  <c r="D107" i="9"/>
  <c r="D108" i="9"/>
  <c r="E108" i="9"/>
  <c r="H108" i="9"/>
  <c r="H109" i="9" s="1"/>
  <c r="U125" i="9" s="1"/>
  <c r="J108" i="9"/>
  <c r="K108" i="9"/>
  <c r="L108" i="9"/>
  <c r="L109" i="9" s="1"/>
  <c r="Y125" i="9" s="1"/>
  <c r="AB112" i="9"/>
  <c r="AC112" i="9"/>
  <c r="D113" i="9" s="1"/>
  <c r="AD112" i="9"/>
  <c r="E113" i="9" s="1"/>
  <c r="AE112" i="9"/>
  <c r="H113" i="9"/>
  <c r="AF112" i="9"/>
  <c r="I113" i="9" s="1"/>
  <c r="AG112" i="9"/>
  <c r="J113" i="9" s="1"/>
  <c r="AH112" i="9"/>
  <c r="K113" i="9" s="1"/>
  <c r="AI112" i="9"/>
  <c r="L113" i="9" s="1"/>
  <c r="S122" i="9"/>
  <c r="T122" i="9"/>
  <c r="U122" i="9"/>
  <c r="V122" i="9"/>
  <c r="W122" i="9"/>
  <c r="X122" i="9"/>
  <c r="Y122" i="9"/>
  <c r="D123" i="9"/>
  <c r="S123" i="9"/>
  <c r="T123" i="9"/>
  <c r="U123" i="9"/>
  <c r="V123" i="9"/>
  <c r="W123" i="9"/>
  <c r="X123" i="9"/>
  <c r="Y123" i="9"/>
  <c r="D124" i="9"/>
  <c r="D125" i="9"/>
  <c r="D127" i="9"/>
  <c r="D129" i="9"/>
  <c r="D131" i="9"/>
  <c r="D136" i="9"/>
  <c r="X137" i="9"/>
  <c r="Z137" i="9"/>
  <c r="W138" i="9"/>
  <c r="W139" i="9" s="1"/>
  <c r="X138" i="9" s="1"/>
  <c r="Y138" i="9"/>
  <c r="Y139" i="9" s="1"/>
  <c r="Z138" i="9" s="1"/>
  <c r="Z139" i="9"/>
  <c r="Z140" i="9"/>
  <c r="X139" i="9"/>
  <c r="X140" i="9"/>
  <c r="C149" i="9"/>
  <c r="D149" i="9"/>
  <c r="F149" i="9"/>
  <c r="G149" i="9"/>
  <c r="H149" i="9"/>
  <c r="D163" i="9"/>
  <c r="D72" i="9" s="1"/>
  <c r="E72" i="9" s="1"/>
  <c r="I149" i="9"/>
  <c r="J149" i="9"/>
  <c r="K149" i="9"/>
  <c r="L149" i="9"/>
  <c r="D183" i="9" s="1"/>
  <c r="K72" i="9" s="1"/>
  <c r="M149" i="9"/>
  <c r="Q149" i="9"/>
  <c r="R149" i="9"/>
  <c r="S149" i="9"/>
  <c r="T149" i="9"/>
  <c r="U149" i="9"/>
  <c r="V149" i="9"/>
  <c r="W149" i="9"/>
  <c r="C155" i="9"/>
  <c r="D155" i="9"/>
  <c r="G155" i="9"/>
  <c r="F155" i="9"/>
  <c r="H155" i="9"/>
  <c r="I155" i="9"/>
  <c r="J155" i="9"/>
  <c r="K155" i="9"/>
  <c r="L155" i="9"/>
  <c r="E182" i="9" s="1"/>
  <c r="M155" i="9"/>
  <c r="Q155" i="9"/>
  <c r="R155" i="9"/>
  <c r="S155" i="9"/>
  <c r="T155" i="9"/>
  <c r="U155" i="9"/>
  <c r="V155" i="9"/>
  <c r="W155" i="9"/>
  <c r="D196" i="9"/>
  <c r="D94" i="9" s="1"/>
  <c r="E94" i="9" s="1"/>
  <c r="D199" i="9"/>
  <c r="H94" i="9" s="1"/>
  <c r="D202" i="9"/>
  <c r="I94" i="9" s="1"/>
  <c r="D205" i="9"/>
  <c r="J94" i="9" s="1"/>
  <c r="D208" i="9"/>
  <c r="K94" i="9" s="1"/>
  <c r="D211" i="9"/>
  <c r="L94" i="9" s="1"/>
  <c r="B2" i="77"/>
  <c r="D5" i="77" s="1"/>
  <c r="G2" i="49"/>
  <c r="C3" i="49"/>
  <c r="G3" i="49"/>
  <c r="L12" i="245"/>
  <c r="P12" i="245"/>
  <c r="T12" i="245" s="1"/>
  <c r="X12" i="245" s="1"/>
  <c r="AB12" i="245" s="1"/>
  <c r="AF12" i="245" s="1"/>
  <c r="AI12" i="245" s="1"/>
  <c r="L13" i="245"/>
  <c r="L14" i="245"/>
  <c r="L15" i="245"/>
  <c r="L18" i="245"/>
  <c r="L19" i="245"/>
  <c r="L20" i="245"/>
  <c r="B1" i="159"/>
  <c r="C1" i="159" s="1"/>
  <c r="D1" i="159" s="1"/>
  <c r="E1" i="159" s="1"/>
  <c r="F1" i="159" s="1"/>
  <c r="G1" i="159" s="1"/>
  <c r="H1" i="159" s="1"/>
  <c r="B1" i="120"/>
  <c r="C1" i="120"/>
  <c r="D1" i="120" s="1"/>
  <c r="E1" i="120" s="1"/>
  <c r="F1" i="120" s="1"/>
  <c r="G1" i="120" s="1"/>
  <c r="H1" i="120" s="1"/>
  <c r="I1" i="120" s="1"/>
  <c r="J1" i="120" s="1"/>
  <c r="K1" i="120" s="1"/>
  <c r="L1" i="120" s="1"/>
  <c r="M1" i="120" s="1"/>
  <c r="N1" i="120" s="1"/>
  <c r="O1" i="120" s="1"/>
  <c r="P1" i="120" s="1"/>
  <c r="Q1" i="120" s="1"/>
  <c r="R1" i="120" s="1"/>
  <c r="S1" i="120" s="1"/>
  <c r="T1" i="120" s="1"/>
  <c r="U1" i="120" s="1"/>
  <c r="V1" i="120" s="1"/>
  <c r="W1" i="120" s="1"/>
  <c r="X1" i="120" s="1"/>
  <c r="Y1" i="120" s="1"/>
  <c r="Z1" i="120" s="1"/>
  <c r="AA1" i="120" s="1"/>
  <c r="AB1" i="120" s="1"/>
  <c r="AC1" i="120" s="1"/>
  <c r="AD1" i="120" s="1"/>
  <c r="AE1" i="120" s="1"/>
  <c r="AF1" i="120" s="1"/>
  <c r="AG1" i="120" s="1"/>
  <c r="AH1" i="120" s="1"/>
  <c r="AI1" i="120" s="1"/>
  <c r="AJ1" i="120" s="1"/>
  <c r="AK1" i="120" s="1"/>
  <c r="AL1" i="120" s="1"/>
  <c r="AM1" i="120" s="1"/>
  <c r="AN1" i="120" s="1"/>
  <c r="AO1" i="120" s="1"/>
  <c r="AP1" i="120" s="1"/>
  <c r="AQ1" i="120" s="1"/>
  <c r="AR1" i="120" s="1"/>
  <c r="AS1" i="120" s="1"/>
  <c r="AT1" i="120" s="1"/>
  <c r="AU1" i="120" s="1"/>
  <c r="AV1" i="120" s="1"/>
  <c r="AW1" i="120" s="1"/>
  <c r="AX1" i="120" s="1"/>
  <c r="AY1" i="120" s="1"/>
  <c r="AZ1" i="120" s="1"/>
  <c r="BA1" i="120" s="1"/>
  <c r="BB1" i="120" s="1"/>
  <c r="BC1" i="120" s="1"/>
  <c r="BD1" i="120" s="1"/>
  <c r="BE1" i="120" s="1"/>
  <c r="BF1" i="120" s="1"/>
  <c r="BG1" i="120" s="1"/>
  <c r="BH1" i="120" s="1"/>
  <c r="BI1" i="120" s="1"/>
  <c r="BJ1" i="120" s="1"/>
  <c r="BK1" i="120" s="1"/>
  <c r="BL1" i="120" s="1"/>
  <c r="BM1" i="120" s="1"/>
  <c r="BN1" i="120" s="1"/>
  <c r="BO1" i="120" s="1"/>
  <c r="BP1" i="120" s="1"/>
  <c r="C1031" i="120"/>
  <c r="B3" i="1"/>
  <c r="C3" i="268" s="1"/>
  <c r="I4" i="247"/>
  <c r="I7" i="247"/>
  <c r="J7" i="247"/>
  <c r="S9" i="184" s="1"/>
  <c r="G54" i="142"/>
  <c r="G107" i="142"/>
  <c r="G116" i="142" s="1"/>
  <c r="G125" i="142" s="1"/>
  <c r="G134" i="142" s="1"/>
  <c r="G143" i="142" s="1"/>
  <c r="G99" i="142"/>
  <c r="G108" i="142"/>
  <c r="G117" i="142" s="1"/>
  <c r="G126" i="142" s="1"/>
  <c r="B14" i="286"/>
  <c r="G103" i="142"/>
  <c r="A10" i="327"/>
  <c r="D3" i="358"/>
  <c r="E56" i="291"/>
  <c r="C146" i="291"/>
  <c r="C70" i="291"/>
  <c r="C70" i="303"/>
  <c r="C132" i="291"/>
  <c r="E132" i="291"/>
  <c r="E146" i="291"/>
  <c r="C70" i="269"/>
  <c r="E146" i="269"/>
  <c r="E70" i="269"/>
  <c r="C146" i="269"/>
  <c r="D19" i="267"/>
  <c r="E19" i="248" s="1"/>
  <c r="D19" i="358"/>
  <c r="D20" i="267"/>
  <c r="E20" i="248" s="1"/>
  <c r="D35" i="281"/>
  <c r="F35" i="248"/>
  <c r="D19" i="316"/>
  <c r="H19" i="248" s="1"/>
  <c r="D19" i="371"/>
  <c r="I19" i="248" s="1"/>
  <c r="D20" i="281"/>
  <c r="F20" i="248" s="1"/>
  <c r="C132" i="327"/>
  <c r="E56" i="327"/>
  <c r="E132" i="303"/>
  <c r="C132" i="303"/>
  <c r="E56" i="303"/>
  <c r="C56" i="303"/>
  <c r="E132" i="327"/>
  <c r="C56" i="327"/>
  <c r="E70" i="303"/>
  <c r="E146" i="303"/>
  <c r="C146" i="303"/>
  <c r="D35" i="301"/>
  <c r="G35" i="248" s="1"/>
  <c r="D20" i="301"/>
  <c r="G20" i="248" s="1"/>
  <c r="E132" i="383"/>
  <c r="C56" i="383"/>
  <c r="C132" i="383"/>
  <c r="E56" i="383"/>
  <c r="C70" i="327"/>
  <c r="E70" i="327"/>
  <c r="C146" i="327"/>
  <c r="D35" i="316"/>
  <c r="H35" i="248" s="1"/>
  <c r="D35" i="371"/>
  <c r="I35" i="248" s="1"/>
  <c r="D20" i="316"/>
  <c r="H20" i="248" s="1"/>
  <c r="D20" i="371"/>
  <c r="I20" i="248"/>
  <c r="E146" i="383"/>
  <c r="C70" i="383"/>
  <c r="E70" i="383"/>
  <c r="C146" i="383"/>
  <c r="J14" i="245"/>
  <c r="J19" i="245"/>
  <c r="N19" i="245"/>
  <c r="R19" i="245"/>
  <c r="V19" i="245" s="1"/>
  <c r="Z19" i="245" s="1"/>
  <c r="AD19" i="245" s="1"/>
  <c r="AG19" i="245" s="1"/>
  <c r="J20" i="245"/>
  <c r="J11" i="245"/>
  <c r="J16" i="245"/>
  <c r="N16" i="245"/>
  <c r="R16" i="245" s="1"/>
  <c r="V16" i="245" s="1"/>
  <c r="Z16" i="245" s="1"/>
  <c r="AD16" i="245" s="1"/>
  <c r="AG16" i="245" s="1"/>
  <c r="J18" i="245"/>
  <c r="J12" i="245"/>
  <c r="J13" i="245"/>
  <c r="J15" i="245"/>
  <c r="N15" i="245"/>
  <c r="R15" i="245" s="1"/>
  <c r="V15" i="245" s="1"/>
  <c r="Z15" i="245" s="1"/>
  <c r="AD15" i="245" s="1"/>
  <c r="AG15" i="245" s="1"/>
  <c r="J17" i="245"/>
  <c r="E56" i="269"/>
  <c r="C56" i="269"/>
  <c r="D15" i="277"/>
  <c r="E20" i="361"/>
  <c r="E20" i="363"/>
  <c r="E20" i="372"/>
  <c r="E20" i="360"/>
  <c r="G119" i="142"/>
  <c r="B16" i="308"/>
  <c r="B16" i="286"/>
  <c r="B14" i="308"/>
  <c r="D41" i="281"/>
  <c r="F41" i="248"/>
  <c r="D41" i="358"/>
  <c r="D22" i="270"/>
  <c r="G28" i="348"/>
  <c r="C107" i="1"/>
  <c r="D41" i="301"/>
  <c r="G41" i="248" s="1"/>
  <c r="F28" i="348"/>
  <c r="H64" i="302"/>
  <c r="M64" i="302" s="1"/>
  <c r="B63" i="301"/>
  <c r="H28" i="268"/>
  <c r="K28" i="268" s="1"/>
  <c r="M28" i="268"/>
  <c r="C92" i="269"/>
  <c r="E92" i="269"/>
  <c r="G34" i="348"/>
  <c r="M34" i="268"/>
  <c r="G33" i="2"/>
  <c r="H33" i="2" s="1"/>
  <c r="D31" i="358"/>
  <c r="C8" i="356"/>
  <c r="D8" i="356" s="1"/>
  <c r="E8" i="356" s="1"/>
  <c r="E81" i="184"/>
  <c r="C16" i="269"/>
  <c r="E16" i="269" s="1"/>
  <c r="D31" i="267"/>
  <c r="E31" i="248" s="1"/>
  <c r="C10" i="356"/>
  <c r="AK43" i="348"/>
  <c r="F34" i="268"/>
  <c r="J34" i="268" s="1"/>
  <c r="F34" i="348"/>
  <c r="C16" i="291"/>
  <c r="E16" i="291" s="1"/>
  <c r="C8" i="361"/>
  <c r="C15" i="283"/>
  <c r="F66" i="348"/>
  <c r="G66" i="348" s="1"/>
  <c r="D23" i="267"/>
  <c r="E23" i="248" s="1"/>
  <c r="F66" i="268"/>
  <c r="C15" i="273"/>
  <c r="M30" i="268"/>
  <c r="D16" i="267"/>
  <c r="E16" i="248"/>
  <c r="C8" i="360"/>
  <c r="D8" i="360" s="1"/>
  <c r="E8" i="360" s="1"/>
  <c r="C92" i="291"/>
  <c r="E92" i="291" s="1"/>
  <c r="G81" i="184"/>
  <c r="C11" i="326"/>
  <c r="C11" i="382"/>
  <c r="K33" i="2"/>
  <c r="AB15" i="74"/>
  <c r="AA15" i="74"/>
  <c r="P20" i="245"/>
  <c r="T20" i="245"/>
  <c r="X20" i="245" s="1"/>
  <c r="AB20" i="245" s="1"/>
  <c r="AF20" i="245" s="1"/>
  <c r="AI20" i="245" s="1"/>
  <c r="P18" i="245"/>
  <c r="T18" i="245" s="1"/>
  <c r="X18" i="245"/>
  <c r="AB18" i="245" s="1"/>
  <c r="AF18" i="245" s="1"/>
  <c r="AI18" i="245" s="1"/>
  <c r="C38" i="108"/>
  <c r="P15" i="245"/>
  <c r="T15" i="245" s="1"/>
  <c r="X15" i="245" s="1"/>
  <c r="AB15" i="245" s="1"/>
  <c r="AF15" i="245" s="1"/>
  <c r="AI15" i="245" s="1"/>
  <c r="N17" i="245"/>
  <c r="R17" i="245"/>
  <c r="V17" i="245" s="1"/>
  <c r="Z17" i="245" s="1"/>
  <c r="AD17" i="245" s="1"/>
  <c r="AG17" i="245" s="1"/>
  <c r="D41" i="316"/>
  <c r="H41" i="248" s="1"/>
  <c r="B63" i="316"/>
  <c r="D41" i="371"/>
  <c r="I41" i="248" s="1"/>
  <c r="B63" i="371"/>
  <c r="P13" i="245"/>
  <c r="T13" i="245"/>
  <c r="X13" i="245" s="1"/>
  <c r="AB13" i="245" s="1"/>
  <c r="AF13" i="245" s="1"/>
  <c r="AI13" i="245" s="1"/>
  <c r="C11" i="271"/>
  <c r="D11" i="310"/>
  <c r="C153" i="1"/>
  <c r="N11" i="245"/>
  <c r="R11" i="245"/>
  <c r="V11" i="245" s="1"/>
  <c r="Z11" i="245" s="1"/>
  <c r="AD11" i="245" s="1"/>
  <c r="AG11" i="245" s="1"/>
  <c r="N12" i="245"/>
  <c r="R12" i="245" s="1"/>
  <c r="V12" i="245"/>
  <c r="Z12" i="245"/>
  <c r="AD12" i="245" s="1"/>
  <c r="AG12" i="245" s="1"/>
  <c r="C6" i="167"/>
  <c r="C7" i="167" s="1"/>
  <c r="F76" i="280" s="1"/>
  <c r="H58" i="60"/>
  <c r="J58" i="60" s="1"/>
  <c r="K58" i="60" s="1"/>
  <c r="D11" i="270"/>
  <c r="D23" i="270"/>
  <c r="C26" i="273"/>
  <c r="C38" i="273"/>
  <c r="N13" i="245"/>
  <c r="R13" i="245"/>
  <c r="V13" i="245" s="1"/>
  <c r="Z13" i="245" s="1"/>
  <c r="AD13" i="245" s="1"/>
  <c r="AG13" i="245" s="1"/>
  <c r="P19" i="245"/>
  <c r="T19" i="245" s="1"/>
  <c r="X19" i="245" s="1"/>
  <c r="AB19" i="245" s="1"/>
  <c r="AF19" i="245" s="1"/>
  <c r="AI19" i="245" s="1"/>
  <c r="D22" i="358"/>
  <c r="N18" i="245"/>
  <c r="R18" i="245" s="1"/>
  <c r="V18" i="245" s="1"/>
  <c r="Z18" i="245"/>
  <c r="AD18" i="245" s="1"/>
  <c r="AG18" i="245" s="1"/>
  <c r="P14" i="245"/>
  <c r="T14" i="245"/>
  <c r="X14" i="245"/>
  <c r="AB14" i="245" s="1"/>
  <c r="AF14" i="245" s="1"/>
  <c r="AI14" i="245" s="1"/>
  <c r="N14" i="245"/>
  <c r="R14" i="245" s="1"/>
  <c r="V14" i="245" s="1"/>
  <c r="Z14" i="245" s="1"/>
  <c r="AD14" i="245" s="1"/>
  <c r="AG14" i="245" s="1"/>
  <c r="D19" i="270"/>
  <c r="C30" i="273"/>
  <c r="C14" i="273"/>
  <c r="D16" i="270"/>
  <c r="E16" i="270" s="1"/>
  <c r="C64" i="167"/>
  <c r="C22" i="273"/>
  <c r="D16" i="358"/>
  <c r="H40" i="268"/>
  <c r="K40" i="268" s="1"/>
  <c r="F26" i="245"/>
  <c r="P17" i="245"/>
  <c r="T17" i="245" s="1"/>
  <c r="X17" i="245" s="1"/>
  <c r="AB17" i="245" s="1"/>
  <c r="AF17" i="245" s="1"/>
  <c r="AI17" i="245" s="1"/>
  <c r="N20" i="245"/>
  <c r="R20" i="245"/>
  <c r="V20" i="245" s="1"/>
  <c r="Z20" i="245" s="1"/>
  <c r="AD20" i="245" s="1"/>
  <c r="AG20" i="245" s="1"/>
  <c r="Q18" i="393"/>
  <c r="R18" i="393" s="1"/>
  <c r="Q22" i="393"/>
  <c r="R22" i="393"/>
  <c r="Q21" i="393"/>
  <c r="R21" i="393"/>
  <c r="C39" i="108"/>
  <c r="D5" i="176"/>
  <c r="K30" i="9"/>
  <c r="C42" i="108"/>
  <c r="C41" i="108"/>
  <c r="CH40" i="168"/>
  <c r="CH41" i="168"/>
  <c r="BZ40" i="168"/>
  <c r="BZ42" i="168" s="1"/>
  <c r="BZ43" i="168" s="1"/>
  <c r="BZ44" i="168" s="1"/>
  <c r="BZ45" i="168" s="1"/>
  <c r="CB45" i="168" s="1"/>
  <c r="C44" i="108"/>
  <c r="CD39" i="168"/>
  <c r="BV39" i="168"/>
  <c r="C43" i="108"/>
  <c r="C24" i="176"/>
  <c r="D6" i="176"/>
  <c r="C33" i="176"/>
  <c r="Q43" i="268"/>
  <c r="C15" i="271"/>
  <c r="C10" i="360"/>
  <c r="Q40" i="268"/>
  <c r="BZ57" i="168"/>
  <c r="CH57" i="168"/>
  <c r="C47" i="108"/>
  <c r="C25" i="176"/>
  <c r="C16" i="176"/>
  <c r="F94" i="398"/>
  <c r="BV57" i="168"/>
  <c r="CD57" i="168"/>
  <c r="C33" i="108"/>
  <c r="BV18" i="168"/>
  <c r="C46" i="108"/>
  <c r="CD18" i="168"/>
  <c r="C26" i="176"/>
  <c r="F2" i="369"/>
  <c r="F1" i="268"/>
  <c r="F1" i="369"/>
  <c r="C34" i="108"/>
  <c r="F2" i="268"/>
  <c r="F3" i="369"/>
  <c r="F3" i="268"/>
  <c r="F43" i="268"/>
  <c r="D52" i="358" s="1"/>
  <c r="M43" i="268"/>
  <c r="H43" i="268"/>
  <c r="K43" i="268" s="1"/>
  <c r="C64" i="393"/>
  <c r="F43" i="348"/>
  <c r="G43" i="348" s="1"/>
  <c r="C11" i="283"/>
  <c r="D32" i="281"/>
  <c r="F32" i="248" s="1"/>
  <c r="C11" i="305"/>
  <c r="D33" i="281"/>
  <c r="F33" i="248" s="1"/>
  <c r="C49" i="360"/>
  <c r="D33" i="358"/>
  <c r="C49" i="356"/>
  <c r="D33" i="267"/>
  <c r="E33" i="248" s="1"/>
  <c r="I24" i="2"/>
  <c r="J24" i="2" s="1"/>
  <c r="D11" i="288"/>
  <c r="F16" i="280"/>
  <c r="E153" i="1"/>
  <c r="D34" i="281" s="1"/>
  <c r="F34" i="248" s="1"/>
  <c r="F16" i="348"/>
  <c r="D32" i="267"/>
  <c r="E32" i="248" s="1"/>
  <c r="D32" i="358"/>
  <c r="F16" i="398"/>
  <c r="F16" i="400"/>
  <c r="F16" i="268"/>
  <c r="D22" i="267"/>
  <c r="E22" i="248" s="1"/>
  <c r="H30" i="268"/>
  <c r="K30" i="268" s="1"/>
  <c r="F30" i="348"/>
  <c r="F10" i="268"/>
  <c r="D14" i="267" s="1"/>
  <c r="E14" i="248" s="1"/>
  <c r="D15" i="270"/>
  <c r="D13" i="270"/>
  <c r="C9" i="393"/>
  <c r="D10" i="270"/>
  <c r="C9" i="167"/>
  <c r="C34" i="273"/>
  <c r="D32" i="301"/>
  <c r="G32" i="248" s="1"/>
  <c r="F16" i="302"/>
  <c r="D33" i="301"/>
  <c r="G33" i="248" s="1"/>
  <c r="D15" i="358"/>
  <c r="F30" i="268"/>
  <c r="J30" i="268" s="1"/>
  <c r="D18" i="270"/>
  <c r="C16" i="273"/>
  <c r="CL57" i="168"/>
  <c r="Q30" i="268"/>
  <c r="D15" i="267"/>
  <c r="E15" i="248" s="1"/>
  <c r="G30" i="348"/>
  <c r="H32" i="268"/>
  <c r="K32" i="268" s="1"/>
  <c r="C15" i="285"/>
  <c r="G37" i="2"/>
  <c r="H37" i="2" s="1"/>
  <c r="C6" i="393"/>
  <c r="C7" i="393" s="1"/>
  <c r="D6" i="227"/>
  <c r="D17" i="288"/>
  <c r="C157" i="1"/>
  <c r="M40" i="268"/>
  <c r="F40" i="348"/>
  <c r="F40" i="268"/>
  <c r="G40" i="348"/>
  <c r="F34" i="280"/>
  <c r="L58" i="60"/>
  <c r="N58" i="60" s="1"/>
  <c r="E6" i="227"/>
  <c r="D6" i="393"/>
  <c r="D7" i="393" s="1"/>
  <c r="D6" i="167"/>
  <c r="D7" i="167" s="1"/>
  <c r="I37" i="2"/>
  <c r="J37" i="2" s="1"/>
  <c r="F10" i="398"/>
  <c r="C22" i="285"/>
  <c r="D12" i="282"/>
  <c r="E12" i="282" s="1"/>
  <c r="H28" i="280"/>
  <c r="D19" i="285" s="1"/>
  <c r="E25" i="227" s="1"/>
  <c r="H31" i="268"/>
  <c r="K31" i="268" s="1"/>
  <c r="F28" i="280"/>
  <c r="F31" i="268"/>
  <c r="J31" i="268" s="1"/>
  <c r="F31" i="348"/>
  <c r="G31" i="348" s="1"/>
  <c r="F32" i="348"/>
  <c r="G32" i="348" s="1"/>
  <c r="C8" i="393"/>
  <c r="C10" i="393" s="1"/>
  <c r="J57" i="393" s="1"/>
  <c r="D15" i="281"/>
  <c r="F15" i="248" s="1"/>
  <c r="C8" i="167"/>
  <c r="D20" i="270" s="1"/>
  <c r="F32" i="268"/>
  <c r="J32" i="268" s="1"/>
  <c r="F37" i="268"/>
  <c r="J37" i="268" s="1"/>
  <c r="F37" i="348"/>
  <c r="G37" i="348" s="1"/>
  <c r="E157" i="1"/>
  <c r="H37" i="268"/>
  <c r="K37" i="268" s="1"/>
  <c r="G30" i="398"/>
  <c r="F30" i="398"/>
  <c r="E123" i="327"/>
  <c r="E123" i="291"/>
  <c r="E123" i="303"/>
  <c r="C123" i="327"/>
  <c r="C123" i="291"/>
  <c r="E123" i="383"/>
  <c r="C123" i="383"/>
  <c r="C123" i="303"/>
  <c r="E47" i="291"/>
  <c r="C47" i="291"/>
  <c r="E47" i="303"/>
  <c r="E47" i="327"/>
  <c r="C47" i="303"/>
  <c r="C47" i="327"/>
  <c r="E47" i="383"/>
  <c r="C47" i="383"/>
  <c r="F32" i="280"/>
  <c r="F32" i="398"/>
  <c r="G32" i="398" s="1"/>
  <c r="AG16" i="74"/>
  <c r="AF16" i="74"/>
  <c r="AE16" i="74"/>
  <c r="AC15" i="74"/>
  <c r="AC16" i="74"/>
  <c r="AC17" i="74"/>
  <c r="AD15" i="74"/>
  <c r="AD16" i="74"/>
  <c r="AD17" i="74"/>
  <c r="CT24" i="168"/>
  <c r="CV24" i="168" s="1"/>
  <c r="CV33" i="168" s="1"/>
  <c r="AH16" i="74"/>
  <c r="L16" i="74"/>
  <c r="M16" i="74"/>
  <c r="E151" i="303" s="1"/>
  <c r="K16" i="74"/>
  <c r="C75" i="269" s="1"/>
  <c r="F77" i="400"/>
  <c r="F72" i="400" s="1"/>
  <c r="F68" i="400"/>
  <c r="G68" i="400" s="1"/>
  <c r="F67" i="400"/>
  <c r="G67" i="400" s="1"/>
  <c r="F34" i="398"/>
  <c r="H34" i="280"/>
  <c r="D27" i="285" s="1"/>
  <c r="G34" i="398"/>
  <c r="D11" i="282"/>
  <c r="C34" i="285"/>
  <c r="F40" i="398"/>
  <c r="G40" i="398"/>
  <c r="G71" i="1"/>
  <c r="G28" i="400" s="1"/>
  <c r="F65" i="280"/>
  <c r="H65" i="280" s="1"/>
  <c r="D23" i="281"/>
  <c r="F23" i="248" s="1"/>
  <c r="D23" i="282"/>
  <c r="F66" i="398"/>
  <c r="G66" i="398" s="1"/>
  <c r="CT57" i="168"/>
  <c r="C31" i="285"/>
  <c r="C16" i="285"/>
  <c r="D15" i="282"/>
  <c r="G77" i="400"/>
  <c r="G72" i="400" s="1"/>
  <c r="CX57" i="168"/>
  <c r="CP57" i="168"/>
  <c r="C42" i="176"/>
  <c r="F28" i="398"/>
  <c r="C26" i="285"/>
  <c r="D13" i="282"/>
  <c r="D8" i="393"/>
  <c r="D10" i="393" s="1"/>
  <c r="D57" i="393" s="1"/>
  <c r="D10" i="282"/>
  <c r="D9" i="167"/>
  <c r="D8" i="167"/>
  <c r="F9" i="280" s="1"/>
  <c r="D13" i="281" s="1"/>
  <c r="F13" i="248" s="1"/>
  <c r="F31" i="280"/>
  <c r="F31" i="398"/>
  <c r="G31" i="398" s="1"/>
  <c r="D9" i="393"/>
  <c r="C17" i="285"/>
  <c r="D22" i="282"/>
  <c r="F37" i="280"/>
  <c r="H37" i="280"/>
  <c r="M37" i="280" s="1"/>
  <c r="CT18" i="168"/>
  <c r="CV18" i="168"/>
  <c r="CX18" i="168" s="1"/>
  <c r="CZ18" i="168" s="1"/>
  <c r="CL18" i="168"/>
  <c r="G77" i="398"/>
  <c r="G72" i="398" s="1"/>
  <c r="D18" i="358"/>
  <c r="AE15" i="74"/>
  <c r="AF15" i="74"/>
  <c r="AH15" i="74"/>
  <c r="K15" i="74"/>
  <c r="AG15" i="74"/>
  <c r="L15" i="74"/>
  <c r="C150" i="291" s="1"/>
  <c r="M15" i="74"/>
  <c r="E74" i="303" s="1"/>
  <c r="E5" i="176"/>
  <c r="O15" i="74"/>
  <c r="C150" i="383" s="1"/>
  <c r="N15" i="74"/>
  <c r="C74" i="327" s="1"/>
  <c r="N26" i="245"/>
  <c r="P26" i="245"/>
  <c r="F27" i="393"/>
  <c r="F27" i="167"/>
  <c r="D27" i="167"/>
  <c r="D27" i="393"/>
  <c r="CL39" i="168"/>
  <c r="CP40" i="168"/>
  <c r="C40" i="176"/>
  <c r="C41" i="176"/>
  <c r="E151" i="389"/>
  <c r="E122" i="389" s="1"/>
  <c r="E144" i="389"/>
  <c r="E103" i="389" s="1"/>
  <c r="Q144" i="389"/>
  <c r="Q103" i="389" s="1"/>
  <c r="Q130" i="352"/>
  <c r="Q105" i="352" s="1"/>
  <c r="I130" i="352"/>
  <c r="I105" i="352" s="1"/>
  <c r="I151" i="389"/>
  <c r="I122" i="389" s="1"/>
  <c r="I144" i="389"/>
  <c r="I103" i="389" s="1"/>
  <c r="E130" i="352"/>
  <c r="E105" i="352" s="1"/>
  <c r="Y130" i="352"/>
  <c r="Y105" i="352" s="1"/>
  <c r="AG130" i="352"/>
  <c r="AG105" i="352" s="1"/>
  <c r="M144" i="389"/>
  <c r="M103" i="389" s="1"/>
  <c r="C39" i="176"/>
  <c r="E6" i="176"/>
  <c r="Y144" i="389"/>
  <c r="Y103" i="389" s="1"/>
  <c r="AG103" i="389"/>
  <c r="AO130" i="352"/>
  <c r="AO105" i="352" s="1"/>
  <c r="AC144" i="389"/>
  <c r="AC103" i="389" s="1"/>
  <c r="U144" i="389"/>
  <c r="U103" i="389" s="1"/>
  <c r="M130" i="352"/>
  <c r="M105" i="352" s="1"/>
  <c r="AC130" i="352"/>
  <c r="AC105" i="352" s="1"/>
  <c r="U130" i="352"/>
  <c r="U105" i="352" s="1"/>
  <c r="AK103" i="389"/>
  <c r="AO103" i="389"/>
  <c r="C968" i="366"/>
  <c r="C191" i="366"/>
  <c r="C971" i="366"/>
  <c r="C500" i="366"/>
  <c r="C56" i="366"/>
  <c r="C101" i="366"/>
  <c r="C648" i="366"/>
  <c r="C852" i="366"/>
  <c r="C819" i="366"/>
  <c r="C705" i="366"/>
  <c r="C124" i="366"/>
  <c r="C642" i="366"/>
  <c r="C340" i="366"/>
  <c r="C508" i="366"/>
  <c r="C243" i="366"/>
  <c r="C199" i="366"/>
  <c r="C924" i="366"/>
  <c r="C103" i="366"/>
  <c r="C92" i="366"/>
  <c r="C750" i="366"/>
  <c r="C638" i="366"/>
  <c r="C305" i="366"/>
  <c r="C279" i="366"/>
  <c r="C727" i="366"/>
  <c r="C261" i="366"/>
  <c r="C709" i="366"/>
  <c r="C995" i="366"/>
  <c r="C362" i="366"/>
  <c r="C854" i="366"/>
  <c r="C796" i="366"/>
  <c r="C925" i="366"/>
  <c r="C988" i="366"/>
  <c r="C937" i="366"/>
  <c r="C37" i="366"/>
  <c r="C111" i="366"/>
  <c r="C595" i="366"/>
  <c r="C844" i="366"/>
  <c r="C12" i="366"/>
  <c r="C131" i="366"/>
  <c r="C787" i="366"/>
  <c r="C106" i="366"/>
  <c r="C150" i="366"/>
  <c r="C783" i="366"/>
  <c r="C502" i="366"/>
  <c r="C308" i="366"/>
  <c r="C904" i="366"/>
  <c r="C320" i="366"/>
  <c r="C155" i="366"/>
  <c r="C441" i="366"/>
  <c r="C385" i="366"/>
  <c r="C116" i="366"/>
  <c r="C714" i="366"/>
  <c r="C454" i="366"/>
  <c r="C847" i="366"/>
  <c r="C82" i="366"/>
  <c r="C555" i="366"/>
  <c r="C827" i="366"/>
  <c r="C514" i="366"/>
  <c r="C98" i="366"/>
  <c r="C295" i="366"/>
  <c r="C229" i="366"/>
  <c r="C184" i="366"/>
  <c r="C97" i="366"/>
  <c r="C524" i="366"/>
  <c r="C428" i="366"/>
  <c r="C818" i="366"/>
  <c r="C922" i="366"/>
  <c r="C860" i="366"/>
  <c r="C635" i="366"/>
  <c r="C211" i="366"/>
  <c r="C49" i="366"/>
  <c r="C758" i="366"/>
  <c r="C685" i="366"/>
  <c r="C8" i="366"/>
  <c r="C407" i="366"/>
  <c r="C946" i="366"/>
  <c r="C934" i="366"/>
  <c r="C434" i="366"/>
  <c r="C152" i="366"/>
  <c r="C400" i="366"/>
  <c r="C459" i="366"/>
  <c r="C848" i="366"/>
  <c r="C66" i="366"/>
  <c r="C413" i="366"/>
  <c r="C292" i="366"/>
  <c r="C376" i="366"/>
  <c r="C733" i="366"/>
  <c r="C769" i="366"/>
  <c r="C287" i="366"/>
  <c r="C653" i="366"/>
  <c r="C659" i="366"/>
  <c r="C974" i="366"/>
  <c r="C581" i="366"/>
  <c r="C616" i="366"/>
  <c r="C6" i="366"/>
  <c r="C149" i="366"/>
  <c r="C196" i="366"/>
  <c r="C644" i="366"/>
  <c r="C855" i="366"/>
  <c r="C525" i="366"/>
  <c r="C1018" i="366"/>
  <c r="C503" i="366"/>
  <c r="C221" i="366"/>
  <c r="C831" i="366"/>
  <c r="C987" i="366"/>
  <c r="C865" i="366"/>
  <c r="C280" i="366"/>
  <c r="C193" i="366"/>
  <c r="C477" i="366"/>
  <c r="C553" i="366"/>
  <c r="C784" i="366"/>
  <c r="C578" i="366"/>
  <c r="C26" i="366"/>
  <c r="C55" i="366"/>
  <c r="C935" i="366"/>
  <c r="C710" i="366"/>
  <c r="C207" i="366"/>
  <c r="C527" i="366"/>
  <c r="C46" i="366"/>
  <c r="C136" i="366"/>
  <c r="C373" i="366"/>
  <c r="C31" i="366"/>
  <c r="C690" i="366"/>
  <c r="C631" i="366"/>
  <c r="C752" i="366"/>
  <c r="C874" i="366"/>
  <c r="C273" i="366"/>
  <c r="C456" i="366"/>
  <c r="C850" i="366"/>
  <c r="C572" i="366"/>
  <c r="C562" i="366"/>
  <c r="C217" i="366"/>
  <c r="C175" i="366"/>
  <c r="C812" i="366"/>
  <c r="C880" i="366"/>
  <c r="C601" i="366"/>
  <c r="C354" i="366"/>
  <c r="C878" i="366"/>
  <c r="C147" i="366"/>
  <c r="C29" i="366"/>
  <c r="C383" i="366"/>
  <c r="C187" i="366"/>
  <c r="C603" i="366"/>
  <c r="C380" i="366"/>
  <c r="C873" i="366"/>
  <c r="C405" i="366"/>
  <c r="C436" i="366"/>
  <c r="C487" i="366"/>
  <c r="C486" i="366"/>
  <c r="C60" i="366"/>
  <c r="C846" i="366"/>
  <c r="C34" i="366"/>
  <c r="C445" i="366"/>
  <c r="C649" i="366"/>
  <c r="C845" i="366"/>
  <c r="C249" i="366"/>
  <c r="C80" i="366"/>
  <c r="C786" i="366"/>
  <c r="C584" i="366"/>
  <c r="C345" i="366"/>
  <c r="C356" i="366"/>
  <c r="C119" i="366"/>
  <c r="C505" i="366"/>
  <c r="C757" i="366"/>
  <c r="C210" i="366"/>
  <c r="C11" i="366"/>
  <c r="C350" i="366"/>
  <c r="C421" i="366"/>
  <c r="C423" i="366"/>
  <c r="C85" i="366"/>
  <c r="C963" i="366"/>
  <c r="C952" i="366"/>
  <c r="C324" i="366"/>
  <c r="C768" i="366"/>
  <c r="C949" i="366"/>
  <c r="C164" i="366"/>
  <c r="C888" i="366"/>
  <c r="C862" i="366"/>
  <c r="C882" i="366"/>
  <c r="C399" i="366"/>
  <c r="C660" i="366"/>
  <c r="C319" i="366"/>
  <c r="C899" i="366"/>
  <c r="C351" i="366"/>
  <c r="C808" i="366"/>
  <c r="C762" i="366"/>
  <c r="C437" i="366"/>
  <c r="C542" i="366"/>
  <c r="C898" i="366"/>
  <c r="C222" i="366"/>
  <c r="C962" i="366"/>
  <c r="C371" i="366"/>
  <c r="C88" i="366"/>
  <c r="C468" i="366"/>
  <c r="C639" i="366"/>
  <c r="C235" i="366"/>
  <c r="C806" i="366"/>
  <c r="C198" i="366"/>
  <c r="C307" i="366"/>
  <c r="C181" i="366"/>
  <c r="C288" i="366"/>
  <c r="C71" i="366"/>
  <c r="C70" i="366"/>
  <c r="C967" i="366"/>
  <c r="C252" i="366"/>
  <c r="C927" i="366"/>
  <c r="C463" i="366"/>
  <c r="C609" i="366"/>
  <c r="C740" i="366"/>
  <c r="C408" i="366"/>
  <c r="C7" i="366"/>
  <c r="C105" i="366"/>
  <c r="C104" i="366"/>
  <c r="C301" i="366"/>
  <c r="C958" i="366"/>
  <c r="C478" i="366"/>
  <c r="C626" i="366"/>
  <c r="C440" i="366"/>
  <c r="C696" i="366"/>
  <c r="C565" i="366"/>
  <c r="C915" i="366"/>
  <c r="C231" i="366"/>
  <c r="C357" i="366"/>
  <c r="C294" i="366"/>
  <c r="C682" i="366"/>
  <c r="C241" i="366"/>
  <c r="C232" i="366"/>
  <c r="C374" i="366"/>
  <c r="C610" i="366"/>
  <c r="C739" i="366"/>
  <c r="C632" i="366"/>
  <c r="C177" i="366"/>
  <c r="C771" i="366"/>
  <c r="C621" i="366"/>
  <c r="C25" i="366"/>
  <c r="C979" i="366"/>
  <c r="C244" i="366"/>
  <c r="C905" i="366"/>
  <c r="C326" i="366"/>
  <c r="C348" i="366"/>
  <c r="C117" i="366"/>
  <c r="C321" i="366"/>
  <c r="C993" i="366"/>
  <c r="C664" i="366"/>
  <c r="C322" i="366"/>
  <c r="C497" i="366"/>
  <c r="C535" i="366"/>
  <c r="C897" i="366"/>
  <c r="C157" i="366"/>
  <c r="C208" i="366"/>
  <c r="C331" i="366"/>
  <c r="C338" i="366"/>
  <c r="C240" i="366"/>
  <c r="C265" i="366"/>
  <c r="C725" i="366"/>
  <c r="C134" i="366"/>
  <c r="C770" i="366"/>
  <c r="C881" i="366"/>
  <c r="C343" i="366"/>
  <c r="C183" i="366"/>
  <c r="C791" i="366"/>
  <c r="C166" i="366"/>
  <c r="C470" i="366"/>
  <c r="C23" i="366"/>
  <c r="C828" i="366"/>
  <c r="C735" i="366"/>
  <c r="C960" i="366"/>
  <c r="C799" i="366"/>
  <c r="C173" i="366"/>
  <c r="C615" i="366"/>
  <c r="C703" i="366"/>
  <c r="C1016" i="366"/>
  <c r="C418" i="366"/>
  <c r="C58" i="366"/>
  <c r="C677" i="366"/>
  <c r="C954" i="366"/>
  <c r="C262" i="366"/>
  <c r="C382" i="366"/>
  <c r="C90" i="366"/>
  <c r="C205" i="366"/>
  <c r="C900" i="366"/>
  <c r="C573" i="366"/>
  <c r="C83" i="366"/>
  <c r="C77" i="366"/>
  <c r="C274" i="366"/>
  <c r="C69" i="366"/>
  <c r="C271" i="366"/>
  <c r="C587" i="366"/>
  <c r="C234" i="366"/>
  <c r="C859" i="366"/>
  <c r="C1008" i="366"/>
  <c r="C728" i="366"/>
  <c r="C62" i="366"/>
  <c r="C68" i="366"/>
  <c r="C577" i="366"/>
  <c r="C1010" i="366"/>
  <c r="C670" i="366"/>
  <c r="C42" i="366"/>
  <c r="C537" i="366"/>
  <c r="C170" i="366"/>
  <c r="C745" i="366"/>
  <c r="C716" i="366"/>
  <c r="C298" i="366"/>
  <c r="C414" i="366"/>
  <c r="C129" i="366"/>
  <c r="C723" i="366"/>
  <c r="C754" i="366"/>
  <c r="C1005" i="366"/>
  <c r="C655" i="366"/>
  <c r="C186" i="366"/>
  <c r="C398" i="366"/>
  <c r="C776" i="366"/>
  <c r="C902" i="366"/>
  <c r="C417" i="366"/>
  <c r="C471" i="366"/>
  <c r="C78" i="366"/>
  <c r="C406" i="366"/>
  <c r="C277" i="366"/>
  <c r="C870" i="366"/>
  <c r="C906" i="366"/>
  <c r="C608" i="366"/>
  <c r="C1009" i="366"/>
  <c r="C457" i="366"/>
  <c r="C336" i="366"/>
  <c r="C566" i="366"/>
  <c r="C355" i="366"/>
  <c r="C429" i="366"/>
  <c r="C697" i="366"/>
  <c r="C893" i="366"/>
  <c r="C681" i="366"/>
  <c r="C842" i="366"/>
  <c r="C981" i="366"/>
  <c r="C628" i="366"/>
  <c r="C489" i="366"/>
  <c r="C794" i="366"/>
  <c r="C840" i="366"/>
  <c r="C384" i="366"/>
  <c r="C461" i="366"/>
  <c r="C625" i="366"/>
  <c r="C393" i="366"/>
  <c r="C267" i="366"/>
  <c r="C453" i="366"/>
  <c r="C130" i="366"/>
  <c r="C375" i="366"/>
  <c r="C507" i="366"/>
  <c r="C834" i="366"/>
  <c r="C316" i="366"/>
  <c r="C419" i="366"/>
  <c r="C102" i="366"/>
  <c r="C416" i="366"/>
  <c r="C760" i="366"/>
  <c r="C582" i="366"/>
  <c r="C220" i="366"/>
  <c r="C39" i="366"/>
  <c r="C991" i="366"/>
  <c r="C721" i="366"/>
  <c r="C634" i="366"/>
  <c r="C233" i="366"/>
  <c r="C48" i="366"/>
  <c r="C315" i="366"/>
  <c r="C154" i="366"/>
  <c r="C975" i="366"/>
  <c r="C576" i="366"/>
  <c r="C53" i="366"/>
  <c r="C14" i="366"/>
  <c r="C706" i="366"/>
  <c r="C75" i="366"/>
  <c r="C767" i="366"/>
  <c r="C825" i="366"/>
  <c r="C916" i="366"/>
  <c r="C759" i="366"/>
  <c r="C903" i="366"/>
  <c r="C145" i="366"/>
  <c r="C652" i="366"/>
  <c r="C999" i="366"/>
  <c r="C133" i="366"/>
  <c r="C523" i="366"/>
  <c r="C940" i="366"/>
  <c r="C777" i="366"/>
  <c r="C798" i="366"/>
  <c r="C849" i="366"/>
  <c r="C890" i="366"/>
  <c r="C159" i="366"/>
  <c r="C214" i="366"/>
  <c r="C778" i="366"/>
  <c r="C367" i="366"/>
  <c r="C169" i="366"/>
  <c r="C984" i="366"/>
  <c r="C479" i="366"/>
  <c r="C607" i="366"/>
  <c r="C533" i="366"/>
  <c r="C917" i="366"/>
  <c r="C661" i="366"/>
  <c r="C531" i="366"/>
  <c r="C282" i="366"/>
  <c r="C522" i="366"/>
  <c r="C238" i="366"/>
  <c r="C21" i="366"/>
  <c r="C372" i="366"/>
  <c r="C719" i="366"/>
  <c r="C446" i="366"/>
  <c r="C115" i="366"/>
  <c r="C72" i="366"/>
  <c r="C948" i="366"/>
  <c r="C435" i="366"/>
  <c r="C20" i="366"/>
  <c r="C843" i="366"/>
  <c r="C633" i="366"/>
  <c r="C921" i="366"/>
  <c r="C926" i="366"/>
  <c r="C884" i="366"/>
  <c r="C744" i="366"/>
  <c r="C339" i="366"/>
  <c r="C691" i="366"/>
  <c r="C883" i="366"/>
  <c r="C168" i="366"/>
  <c r="C583" i="366"/>
  <c r="C708" i="366"/>
  <c r="C247" i="366"/>
  <c r="C889" i="366"/>
  <c r="C602" i="366"/>
  <c r="C941" i="366"/>
  <c r="C673" i="366"/>
  <c r="C364" i="366"/>
  <c r="C738" i="366"/>
  <c r="C879" i="366"/>
  <c r="C774" i="366"/>
  <c r="C592" i="366"/>
  <c r="C761" i="366"/>
  <c r="C387" i="366"/>
  <c r="C729" i="366"/>
  <c r="C180" i="366"/>
  <c r="C227" i="366"/>
  <c r="C311" i="366"/>
  <c r="C144" i="366"/>
  <c r="C469" i="366"/>
  <c r="C365" i="366"/>
  <c r="C901" i="366"/>
  <c r="C804" i="366"/>
  <c r="C47" i="366"/>
  <c r="C755" i="366"/>
  <c r="C662" i="366"/>
  <c r="C299" i="366"/>
  <c r="C838" i="366"/>
  <c r="C830" i="366"/>
  <c r="C259" i="366"/>
  <c r="C779" i="366"/>
  <c r="C140" i="366"/>
  <c r="C872" i="366"/>
  <c r="C800" i="366"/>
  <c r="C611" i="366"/>
  <c r="C970" i="366"/>
  <c r="C22" i="366"/>
  <c r="C333" i="366"/>
  <c r="C35" i="366"/>
  <c r="C992" i="366"/>
  <c r="C363" i="366"/>
  <c r="C665" i="366"/>
  <c r="C118" i="366"/>
  <c r="C360" i="366"/>
  <c r="C95" i="366"/>
  <c r="C204" i="366"/>
  <c r="C203" i="366"/>
  <c r="C972" i="366"/>
  <c r="C947" i="366"/>
  <c r="C275" i="366"/>
  <c r="C212" i="366"/>
  <c r="C113" i="366"/>
  <c r="C863" i="366"/>
  <c r="C443" i="366"/>
  <c r="C643" i="366"/>
  <c r="C671" i="366"/>
  <c r="C891" i="366"/>
  <c r="C748" i="366"/>
  <c r="C811" i="366"/>
  <c r="C594" i="366"/>
  <c r="C568" i="366"/>
  <c r="C337" i="366"/>
  <c r="C36" i="366"/>
  <c r="C501" i="366"/>
  <c r="C146" i="366"/>
  <c r="C579" i="366"/>
  <c r="C480" i="366"/>
  <c r="C1002" i="366"/>
  <c r="C1021" i="366"/>
  <c r="C50" i="366"/>
  <c r="C945" i="366"/>
  <c r="C394" i="366"/>
  <c r="C431" i="366"/>
  <c r="C476" i="366"/>
  <c r="C538" i="366"/>
  <c r="C763" i="366"/>
  <c r="C569" i="366"/>
  <c r="C246" i="366"/>
  <c r="C580" i="366"/>
  <c r="C559" i="366"/>
  <c r="C519" i="366"/>
  <c r="C951" i="366"/>
  <c r="C284" i="366"/>
  <c r="C332" i="366"/>
  <c r="C415" i="366"/>
  <c r="C674" i="366"/>
  <c r="C869" i="366"/>
  <c r="C296" i="366"/>
  <c r="C658" i="366"/>
  <c r="C672" i="366"/>
  <c r="C518" i="366"/>
  <c r="C132" i="366"/>
  <c r="C737" i="366"/>
  <c r="C448" i="366"/>
  <c r="C32" i="366"/>
  <c r="C574" i="366"/>
  <c r="C45" i="366"/>
  <c r="C474" i="366"/>
  <c r="C636" i="366"/>
  <c r="C1004" i="366"/>
  <c r="C455" i="366"/>
  <c r="C892" i="366"/>
  <c r="C656" i="366"/>
  <c r="C344" i="366"/>
  <c r="C19" i="366"/>
  <c r="C620" i="366"/>
  <c r="C5" i="366"/>
  <c r="C353" i="366"/>
  <c r="C54" i="366"/>
  <c r="C604" i="366"/>
  <c r="C447" i="366"/>
  <c r="C675" i="366"/>
  <c r="C564" i="366"/>
  <c r="C158" i="366"/>
  <c r="C286" i="366"/>
  <c r="C255" i="366"/>
  <c r="C464" i="366"/>
  <c r="C16" i="366"/>
  <c r="C254" i="366"/>
  <c r="C909" i="366"/>
  <c r="C747" i="366"/>
  <c r="C886" i="366"/>
  <c r="C563" i="366"/>
  <c r="C452" i="366"/>
  <c r="C965" i="366"/>
  <c r="C853" i="366"/>
  <c r="C475" i="366"/>
  <c r="C1000" i="366"/>
  <c r="C99" i="366"/>
  <c r="C143" i="366"/>
  <c r="C462" i="366"/>
  <c r="C402" i="366"/>
  <c r="C923" i="366"/>
  <c r="C977" i="366"/>
  <c r="AK130" i="352"/>
  <c r="AK105" i="352" s="1"/>
  <c r="C349" i="366"/>
  <c r="C225" i="366"/>
  <c r="C698" i="366"/>
  <c r="C711" i="366"/>
  <c r="C532" i="366"/>
  <c r="C126" i="366"/>
  <c r="C585" i="366"/>
  <c r="C955" i="366"/>
  <c r="C472" i="366"/>
  <c r="C1003" i="366"/>
  <c r="C304" i="366"/>
  <c r="C598" i="366"/>
  <c r="C151" i="366"/>
  <c r="C512" i="366"/>
  <c r="C81" i="366"/>
  <c r="C346" i="366"/>
  <c r="C699" i="366"/>
  <c r="C959" i="366"/>
  <c r="C571" i="366"/>
  <c r="C396" i="366"/>
  <c r="C109" i="366"/>
  <c r="C41" i="366"/>
  <c r="C980" i="366"/>
  <c r="C257" i="366"/>
  <c r="C641" i="366"/>
  <c r="C910" i="366"/>
  <c r="C312" i="366"/>
  <c r="C91" i="366"/>
  <c r="C473" i="366"/>
  <c r="C359" i="366"/>
  <c r="C835" i="366"/>
  <c r="C313" i="366"/>
  <c r="C816" i="366"/>
  <c r="C460" i="366"/>
  <c r="C64" i="366"/>
  <c r="C171" i="366"/>
  <c r="C167" i="366"/>
  <c r="C896" i="366"/>
  <c r="C875" i="366"/>
  <c r="C990" i="366"/>
  <c r="C281" i="366"/>
  <c r="C485" i="366"/>
  <c r="C782" i="366"/>
  <c r="C135" i="366"/>
  <c r="C87" i="366"/>
  <c r="C715" i="366"/>
  <c r="C683" i="366"/>
  <c r="C239" i="366"/>
  <c r="C300" i="366"/>
  <c r="C226" i="366"/>
  <c r="C342" i="366"/>
  <c r="C785" i="366"/>
  <c r="C851" i="366"/>
  <c r="C465" i="366"/>
  <c r="C950" i="366"/>
  <c r="C876" i="366"/>
  <c r="C1020" i="366"/>
  <c r="C84" i="366"/>
  <c r="C801" i="366"/>
  <c r="C781" i="366"/>
  <c r="C293" i="366"/>
  <c r="C110" i="366"/>
  <c r="C726" i="366"/>
  <c r="C823" i="366"/>
  <c r="C202" i="366"/>
  <c r="C908" i="366"/>
  <c r="C403" i="366"/>
  <c r="C866" i="366"/>
  <c r="C57" i="366"/>
  <c r="C651" i="366"/>
  <c r="C526" i="366"/>
  <c r="C432" i="366"/>
  <c r="C802" i="366"/>
  <c r="C269" i="366"/>
  <c r="C206" i="366"/>
  <c r="C789" i="366"/>
  <c r="C736" i="366"/>
  <c r="C347" i="366"/>
  <c r="C953" i="366"/>
  <c r="C515" i="366"/>
  <c r="C546" i="366"/>
  <c r="C772" i="366"/>
  <c r="C112" i="366"/>
  <c r="C679" i="366"/>
  <c r="C944" i="366"/>
  <c r="C918" i="366"/>
  <c r="C1001" i="366"/>
  <c r="C44" i="366"/>
  <c r="C516" i="366"/>
  <c r="C15" i="366"/>
  <c r="C795" i="366"/>
  <c r="C938" i="366"/>
  <c r="C216" i="366"/>
  <c r="C433" i="366"/>
  <c r="D11" i="324"/>
  <c r="M24" i="2"/>
  <c r="D11" i="373"/>
  <c r="C15" i="305"/>
  <c r="I81" i="184"/>
  <c r="C36" i="363"/>
  <c r="D15" i="324"/>
  <c r="C16" i="327"/>
  <c r="E16" i="327" s="1"/>
  <c r="C8" i="363"/>
  <c r="D8" i="363" s="1"/>
  <c r="E8" i="363" s="1"/>
  <c r="C15" i="318"/>
  <c r="K81" i="184"/>
  <c r="C92" i="327"/>
  <c r="E92" i="327"/>
  <c r="D31" i="316"/>
  <c r="H31" i="248" s="1"/>
  <c r="C16" i="303"/>
  <c r="E16" i="303" s="1"/>
  <c r="C92" i="303"/>
  <c r="E92" i="303" s="1"/>
  <c r="D31" i="301"/>
  <c r="G31" i="248" s="1"/>
  <c r="D17" i="310"/>
  <c r="E6" i="393"/>
  <c r="E7" i="393" s="1"/>
  <c r="G153" i="1"/>
  <c r="D34" i="301" s="1"/>
  <c r="G34" i="248" s="1"/>
  <c r="C386" i="366"/>
  <c r="C61" i="366"/>
  <c r="C547" i="366"/>
  <c r="C248" i="366"/>
  <c r="C79" i="366"/>
  <c r="C444" i="366"/>
  <c r="C704" i="366"/>
  <c r="C994" i="366"/>
  <c r="C511" i="366"/>
  <c r="C228" i="366"/>
  <c r="C742" i="366"/>
  <c r="C513" i="366"/>
  <c r="C59" i="366"/>
  <c r="C540" i="366"/>
  <c r="C302" i="366"/>
  <c r="C932" i="366"/>
  <c r="C100" i="366"/>
  <c r="C822" i="366"/>
  <c r="C366" i="366"/>
  <c r="C422" i="366"/>
  <c r="C957" i="366"/>
  <c r="C539" i="366"/>
  <c r="C613" i="366"/>
  <c r="C810" i="366"/>
  <c r="C612" i="366"/>
  <c r="C451" i="366"/>
  <c r="C942" i="366"/>
  <c r="C707" i="366"/>
  <c r="C939" i="366"/>
  <c r="C858" i="366"/>
  <c r="C160" i="366"/>
  <c r="C74" i="366"/>
  <c r="C837" i="366"/>
  <c r="C931" i="366"/>
  <c r="C590" i="366"/>
  <c r="C871" i="366"/>
  <c r="C341" i="366"/>
  <c r="C190" i="366"/>
  <c r="C297" i="366"/>
  <c r="C712" i="366"/>
  <c r="C877" i="366"/>
  <c r="C741" i="366"/>
  <c r="C751" i="366"/>
  <c r="C379" i="366"/>
  <c r="C650" i="366"/>
  <c r="C912" i="366"/>
  <c r="C426" i="366"/>
  <c r="C189" i="366"/>
  <c r="C120" i="366"/>
  <c r="C805" i="366"/>
  <c r="C388" i="366"/>
  <c r="C1013" i="366"/>
  <c r="C983" i="366"/>
  <c r="C370" i="366"/>
  <c r="C536" i="366"/>
  <c r="C138" i="366"/>
  <c r="C389" i="366"/>
  <c r="C792" i="366"/>
  <c r="C530" i="366"/>
  <c r="C997" i="366"/>
  <c r="C654" i="366"/>
  <c r="C1006" i="366"/>
  <c r="C43" i="366"/>
  <c r="C732" i="366"/>
  <c r="C488" i="366"/>
  <c r="C734" i="366"/>
  <c r="C141" i="366"/>
  <c r="C176" i="366"/>
  <c r="C224" i="366"/>
  <c r="C1007" i="366"/>
  <c r="C857" i="366"/>
  <c r="C425" i="366"/>
  <c r="C86" i="366"/>
  <c r="C861" i="366"/>
  <c r="C179" i="366"/>
  <c r="C165" i="366"/>
  <c r="C409" i="366"/>
  <c r="C493" i="366"/>
  <c r="C427" i="366"/>
  <c r="C701" i="366"/>
  <c r="C289" i="366"/>
  <c r="C491" i="366"/>
  <c r="C560" i="366"/>
  <c r="C841" i="366"/>
  <c r="C1012" i="366"/>
  <c r="C378" i="366"/>
  <c r="C689" i="366"/>
  <c r="C541" i="366"/>
  <c r="C914" i="366"/>
  <c r="C817" i="366"/>
  <c r="C640" i="366"/>
  <c r="C317" i="366"/>
  <c r="C506" i="366"/>
  <c r="C756" i="366"/>
  <c r="C986" i="366"/>
  <c r="C127" i="366"/>
  <c r="C107" i="366"/>
  <c r="C481" i="366"/>
  <c r="C599" i="366"/>
  <c r="C420" i="366"/>
  <c r="C263" i="366"/>
  <c r="C256" i="366"/>
  <c r="C13" i="366"/>
  <c r="C788" i="366"/>
  <c r="C646" i="366"/>
  <c r="C303" i="366"/>
  <c r="C544" i="366"/>
  <c r="C395" i="366"/>
  <c r="C780" i="366"/>
  <c r="C600" i="366"/>
  <c r="C964" i="366"/>
  <c r="C978" i="366"/>
  <c r="C919" i="366"/>
  <c r="C499" i="366"/>
  <c r="C956" i="366"/>
  <c r="C285" i="366"/>
  <c r="C490" i="366"/>
  <c r="C509" i="366"/>
  <c r="C1019" i="366"/>
  <c r="C397" i="366"/>
  <c r="C520" i="366"/>
  <c r="C467" i="366"/>
  <c r="C961" i="366"/>
  <c r="C358" i="366"/>
  <c r="C27" i="366"/>
  <c r="C283" i="366"/>
  <c r="C722" i="366"/>
  <c r="C424" i="366"/>
  <c r="C309" i="366"/>
  <c r="C933" i="366"/>
  <c r="C28" i="366"/>
  <c r="C122" i="366"/>
  <c r="C318" i="366"/>
  <c r="C352" i="366"/>
  <c r="C528" i="366"/>
  <c r="C867" i="366"/>
  <c r="C172" i="366"/>
  <c r="C192" i="366"/>
  <c r="C534" i="366"/>
  <c r="C381" i="366"/>
  <c r="C123" i="366"/>
  <c r="C114" i="366"/>
  <c r="C743" i="366"/>
  <c r="C668" i="366"/>
  <c r="C38" i="366"/>
  <c r="C245" i="366"/>
  <c r="C449" i="366"/>
  <c r="C666" i="366"/>
  <c r="C575" i="366"/>
  <c r="C195" i="366"/>
  <c r="C693" i="366"/>
  <c r="C836" i="366"/>
  <c r="C813" i="366"/>
  <c r="C695" i="366"/>
  <c r="C815" i="366"/>
  <c r="C482" i="366"/>
  <c r="C895" i="366"/>
  <c r="C325" i="366"/>
  <c r="C928" i="366"/>
  <c r="C483" i="366"/>
  <c r="C35" i="363"/>
  <c r="C41" i="363" s="1"/>
  <c r="D33" i="316"/>
  <c r="H33" i="248" s="1"/>
  <c r="C49" i="363"/>
  <c r="C54" i="363"/>
  <c r="C36" i="372"/>
  <c r="D15" i="373"/>
  <c r="O33" i="2"/>
  <c r="P33" i="2" s="1"/>
  <c r="D33" i="371"/>
  <c r="I33" i="248" s="1"/>
  <c r="C49" i="372"/>
  <c r="F16" i="315"/>
  <c r="C27" i="167"/>
  <c r="C10" i="363"/>
  <c r="C27" i="393"/>
  <c r="D32" i="316"/>
  <c r="H32" i="248" s="1"/>
  <c r="I153" i="1"/>
  <c r="D34" i="316" s="1"/>
  <c r="H34" i="248" s="1"/>
  <c r="C11" i="318"/>
  <c r="C15" i="376"/>
  <c r="C8" i="372"/>
  <c r="M81" i="184"/>
  <c r="C92" i="383"/>
  <c r="E92" i="383" s="1"/>
  <c r="D31" i="371"/>
  <c r="I31" i="248" s="1"/>
  <c r="C16" i="383"/>
  <c r="E16" i="383" s="1"/>
  <c r="F16" i="369"/>
  <c r="D32" i="371"/>
  <c r="I32" i="248" s="1"/>
  <c r="C11" i="376"/>
  <c r="K153" i="1"/>
  <c r="D34" i="371" s="1"/>
  <c r="I34" i="248" s="1"/>
  <c r="C10" i="372"/>
  <c r="C16" i="411"/>
  <c r="E16" i="411" s="1"/>
  <c r="O81" i="184"/>
  <c r="O82" i="184" s="1"/>
  <c r="C92" i="411"/>
  <c r="E92" i="411" s="1"/>
  <c r="F16" i="410"/>
  <c r="M153" i="1"/>
  <c r="D34" i="408" s="1"/>
  <c r="J34" i="248" s="1"/>
  <c r="M41" i="2"/>
  <c r="D18" i="324"/>
  <c r="D13" i="325" s="1"/>
  <c r="E13" i="325" s="1"/>
  <c r="T60" i="60"/>
  <c r="V60" i="60" s="1"/>
  <c r="V67" i="60" s="1"/>
  <c r="E15" i="325" s="1"/>
  <c r="D26" i="316"/>
  <c r="H26" i="248"/>
  <c r="C7" i="363"/>
  <c r="E7" i="363" s="1"/>
  <c r="F12" i="315"/>
  <c r="D7" i="363"/>
  <c r="C7" i="372"/>
  <c r="D18" i="419"/>
  <c r="D13" i="421" s="1"/>
  <c r="E13" i="421" s="1"/>
  <c r="F12" i="410"/>
  <c r="C550" i="366"/>
  <c r="C89" i="366"/>
  <c r="C33" i="366"/>
  <c r="C996" i="366"/>
  <c r="C702" i="366"/>
  <c r="C746" i="366"/>
  <c r="C686" i="366"/>
  <c r="C764" i="366"/>
  <c r="C377" i="366"/>
  <c r="C223" i="366"/>
  <c r="C439" i="366"/>
  <c r="C504" i="366"/>
  <c r="C694" i="366"/>
  <c r="C218" i="366"/>
  <c r="C96" i="366"/>
  <c r="C907" i="366"/>
  <c r="C24" i="366"/>
  <c r="C306" i="366"/>
  <c r="C498" i="366"/>
  <c r="C929" i="366"/>
  <c r="C213" i="366"/>
  <c r="C558" i="366"/>
  <c r="C73" i="366"/>
  <c r="C1014" i="366"/>
  <c r="C936" i="366"/>
  <c r="C200" i="366"/>
  <c r="C153" i="366"/>
  <c r="C589" i="366"/>
  <c r="C549" i="366"/>
  <c r="C4" i="366"/>
  <c r="C314" i="366"/>
  <c r="C645" i="366"/>
  <c r="C793" i="366"/>
  <c r="C163" i="366"/>
  <c r="C76" i="366"/>
  <c r="C622" i="366"/>
  <c r="C627" i="366"/>
  <c r="C369" i="366"/>
  <c r="C629" i="366"/>
  <c r="C185" i="366"/>
  <c r="C156" i="366"/>
  <c r="C334" i="366"/>
  <c r="C10" i="366"/>
  <c r="C680" i="366"/>
  <c r="C142" i="366"/>
  <c r="C724" i="366"/>
  <c r="C713" i="366"/>
  <c r="C270" i="366"/>
  <c r="C567" i="366"/>
  <c r="C291" i="366"/>
  <c r="C1011" i="366"/>
  <c r="C820" i="366"/>
  <c r="C458" i="366"/>
  <c r="C162" i="366"/>
  <c r="C404" i="366"/>
  <c r="C809" i="366"/>
  <c r="C201" i="366"/>
  <c r="C219" i="366"/>
  <c r="C327" i="366"/>
  <c r="C692" i="366"/>
  <c r="C194" i="366"/>
  <c r="C829" i="366"/>
  <c r="C839" i="366"/>
  <c r="C125" i="366"/>
  <c r="C982" i="366"/>
  <c r="C67" i="366"/>
  <c r="C161" i="366"/>
  <c r="C412" i="366"/>
  <c r="C215" i="366"/>
  <c r="C833" i="366"/>
  <c r="C253" i="366"/>
  <c r="C821" i="366"/>
  <c r="C329" i="366"/>
  <c r="C588" i="366"/>
  <c r="C1017" i="366"/>
  <c r="C237" i="366"/>
  <c r="C753" i="366"/>
  <c r="C663" i="366"/>
  <c r="C885" i="366"/>
  <c r="C236" i="366"/>
  <c r="C368" i="366"/>
  <c r="C517" i="366"/>
  <c r="C807" i="366"/>
  <c r="C496" i="366"/>
  <c r="C51" i="366"/>
  <c r="C230" i="366"/>
  <c r="C619" i="366"/>
  <c r="C623" i="366"/>
  <c r="C773" i="366"/>
  <c r="C545" i="366"/>
  <c r="C188" i="366"/>
  <c r="C450" i="366"/>
  <c r="C290" i="366"/>
  <c r="C943" i="366"/>
  <c r="C868" i="366"/>
  <c r="C856" i="366"/>
  <c r="C624" i="366"/>
  <c r="C52" i="366"/>
  <c r="C401" i="366"/>
  <c r="C824" i="366"/>
  <c r="C826" i="366"/>
  <c r="C178" i="366"/>
  <c r="C137" i="366"/>
  <c r="C510" i="366"/>
  <c r="C548" i="366"/>
  <c r="C976" i="366"/>
  <c r="C985" i="366"/>
  <c r="C361" i="366"/>
  <c r="C591" i="366"/>
  <c r="C266" i="366"/>
  <c r="C411" i="366"/>
  <c r="C128" i="366"/>
  <c r="C570" i="366"/>
  <c r="C278" i="366"/>
  <c r="C250" i="366"/>
  <c r="C492" i="366"/>
  <c r="C242" i="366"/>
  <c r="C606" i="366"/>
  <c r="C766" i="366"/>
  <c r="C966" i="366"/>
  <c r="C596" i="366"/>
  <c r="C251" i="366"/>
  <c r="C593" i="366"/>
  <c r="C554" i="366"/>
  <c r="C392" i="366"/>
  <c r="C678" i="366"/>
  <c r="C765" i="366"/>
  <c r="C268" i="366"/>
  <c r="C40" i="366"/>
  <c r="C969" i="366"/>
  <c r="C335" i="366"/>
  <c r="C749" i="366"/>
  <c r="C557" i="366"/>
  <c r="C93" i="366"/>
  <c r="C182" i="366"/>
  <c r="C430" i="366"/>
  <c r="C647" i="366"/>
  <c r="C561" i="366"/>
  <c r="C803" i="366"/>
  <c r="C731" i="366"/>
  <c r="C108" i="366"/>
  <c r="C894" i="366"/>
  <c r="C258" i="366"/>
  <c r="C597" i="366"/>
  <c r="C276" i="366"/>
  <c r="C920" i="366"/>
  <c r="C330" i="366"/>
  <c r="C618" i="366"/>
  <c r="C630" i="366"/>
  <c r="C148" i="366"/>
  <c r="C669" i="366"/>
  <c r="C887" i="366"/>
  <c r="C998" i="366"/>
  <c r="C65" i="366"/>
  <c r="C30" i="366"/>
  <c r="C605" i="366"/>
  <c r="C18" i="366"/>
  <c r="C700" i="366"/>
  <c r="C676" i="366"/>
  <c r="C551" i="366"/>
  <c r="C717" i="366"/>
  <c r="C913" i="366"/>
  <c r="C197" i="366"/>
  <c r="C390" i="366"/>
  <c r="C310" i="366"/>
  <c r="C521" i="366"/>
  <c r="C552" i="366"/>
  <c r="C466" i="366"/>
  <c r="C832" i="366"/>
  <c r="C720" i="366"/>
  <c r="C174" i="366"/>
  <c r="C1015" i="366"/>
  <c r="C272" i="366"/>
  <c r="C614" i="366"/>
  <c r="C973" i="366"/>
  <c r="C328" i="366"/>
  <c r="C17" i="366"/>
  <c r="C260" i="366"/>
  <c r="C989" i="366"/>
  <c r="C264" i="366"/>
  <c r="C556" i="366"/>
  <c r="C63" i="366"/>
  <c r="C494" i="366"/>
  <c r="C930" i="366"/>
  <c r="C657" i="366"/>
  <c r="C775" i="366"/>
  <c r="C410" i="366"/>
  <c r="C94" i="366"/>
  <c r="C688" i="366"/>
  <c r="C911" i="366"/>
  <c r="C637" i="366"/>
  <c r="C529" i="366"/>
  <c r="C121" i="366"/>
  <c r="C391" i="366"/>
  <c r="C730" i="366"/>
  <c r="C139" i="366"/>
  <c r="C586" i="366"/>
  <c r="C209" i="366"/>
  <c r="C9" i="366"/>
  <c r="C543" i="366"/>
  <c r="C667" i="366"/>
  <c r="C484" i="366"/>
  <c r="C438" i="366"/>
  <c r="C718" i="366"/>
  <c r="C495" i="366"/>
  <c r="C797" i="366"/>
  <c r="C442" i="366"/>
  <c r="C864" i="366"/>
  <c r="C790" i="366"/>
  <c r="C323" i="366"/>
  <c r="C684" i="366"/>
  <c r="C617" i="366"/>
  <c r="C687" i="366"/>
  <c r="C814" i="366"/>
  <c r="C36" i="307"/>
  <c r="C34" i="307"/>
  <c r="C36" i="360"/>
  <c r="D20" i="109"/>
  <c r="L33" i="2"/>
  <c r="C7" i="409"/>
  <c r="Q41" i="2"/>
  <c r="X60" i="60"/>
  <c r="X67" i="60" s="1"/>
  <c r="D15" i="374" s="1"/>
  <c r="O41" i="2"/>
  <c r="D18" i="373"/>
  <c r="D13" i="374" s="1"/>
  <c r="E13" i="374" s="1"/>
  <c r="AB60" i="60"/>
  <c r="AB67" i="60" s="1"/>
  <c r="D15" i="421" s="1"/>
  <c r="C19" i="411"/>
  <c r="E19" i="411" s="1"/>
  <c r="C19" i="383"/>
  <c r="E19" i="383" s="1"/>
  <c r="D7" i="372"/>
  <c r="D26" i="371"/>
  <c r="I26" i="248" s="1"/>
  <c r="D26" i="408"/>
  <c r="J26" i="248" s="1"/>
  <c r="Y60" i="60"/>
  <c r="P41" i="2"/>
  <c r="C35" i="372"/>
  <c r="D7" i="409"/>
  <c r="C35" i="409"/>
  <c r="R41" i="2"/>
  <c r="AC60" i="60"/>
  <c r="AE60" i="60" s="1"/>
  <c r="AE67" i="60" s="1"/>
  <c r="G57" i="398"/>
  <c r="G70" i="398" s="1"/>
  <c r="G57" i="348"/>
  <c r="G70" i="348" s="1"/>
  <c r="G57" i="400"/>
  <c r="G70" i="400"/>
  <c r="G65" i="400"/>
  <c r="G65" i="398"/>
  <c r="E264" i="366"/>
  <c r="I264" i="366" s="1"/>
  <c r="D23" i="304"/>
  <c r="AQ21" i="168"/>
  <c r="C31" i="411" s="1"/>
  <c r="E31" i="411" s="1"/>
  <c r="D1" i="301"/>
  <c r="D1" i="408" s="1"/>
  <c r="I27" i="1"/>
  <c r="D18" i="317"/>
  <c r="E18" i="317" s="1"/>
  <c r="C14" i="307"/>
  <c r="K37" i="2"/>
  <c r="L37" i="2"/>
  <c r="D17" i="304"/>
  <c r="E17" i="304" s="1"/>
  <c r="E876" i="366"/>
  <c r="I876" i="366" s="1"/>
  <c r="DB57" i="168"/>
  <c r="C57" i="168"/>
  <c r="BH57" i="168" s="1"/>
  <c r="BH88" i="168" s="1"/>
  <c r="G98" i="1"/>
  <c r="G141" i="303" s="1"/>
  <c r="G141" i="291"/>
  <c r="E15" i="282"/>
  <c r="AC20" i="388"/>
  <c r="C2" i="376"/>
  <c r="E254" i="366"/>
  <c r="E302" i="366"/>
  <c r="E818" i="366"/>
  <c r="P58" i="60"/>
  <c r="R58" i="60" s="1"/>
  <c r="S58" i="60" s="1"/>
  <c r="D23" i="285"/>
  <c r="AS20" i="168"/>
  <c r="AS21" i="168" s="1"/>
  <c r="E1014" i="366"/>
  <c r="I976" i="366"/>
  <c r="I34" i="1"/>
  <c r="F31" i="315"/>
  <c r="D84" i="281"/>
  <c r="L32" i="9"/>
  <c r="E1006" i="366"/>
  <c r="I1006" i="366" s="1"/>
  <c r="M1006" i="366" s="1"/>
  <c r="Q1006" i="366" s="1"/>
  <c r="U1006" i="366" s="1"/>
  <c r="G66" i="1"/>
  <c r="E178" i="366"/>
  <c r="E426" i="366"/>
  <c r="E458" i="366"/>
  <c r="E554" i="366"/>
  <c r="E698" i="366"/>
  <c r="E754" i="366"/>
  <c r="E774" i="366"/>
  <c r="F40" i="400"/>
  <c r="D18" i="304"/>
  <c r="F1" i="280"/>
  <c r="C13" i="420"/>
  <c r="DJ57" i="168"/>
  <c r="E300" i="366"/>
  <c r="I300" i="366" s="1"/>
  <c r="M300" i="366" s="1"/>
  <c r="Q300" i="366" s="1"/>
  <c r="U300" i="366" s="1"/>
  <c r="E568" i="366"/>
  <c r="C57" i="352"/>
  <c r="AU20" i="388"/>
  <c r="C57" i="389"/>
  <c r="E392" i="366"/>
  <c r="I392" i="366" s="1"/>
  <c r="M392" i="366" s="1"/>
  <c r="Q392" i="366" s="1"/>
  <c r="U392" i="366" s="1"/>
  <c r="E70" i="393"/>
  <c r="I36" i="1"/>
  <c r="C30" i="307"/>
  <c r="E640" i="366"/>
  <c r="I640" i="366" s="1"/>
  <c r="M640" i="366" s="1"/>
  <c r="Q640" i="366" s="1"/>
  <c r="U640" i="366" s="1"/>
  <c r="M40" i="280"/>
  <c r="AS21" i="352"/>
  <c r="AU20" i="352"/>
  <c r="E878" i="366"/>
  <c r="F2" i="280"/>
  <c r="C13" i="285"/>
  <c r="D20" i="282"/>
  <c r="E346" i="366"/>
  <c r="E378" i="366"/>
  <c r="I60" i="366"/>
  <c r="AJ16" i="91"/>
  <c r="AJ17" i="91" s="1"/>
  <c r="AJ19" i="91" s="1"/>
  <c r="E422" i="366"/>
  <c r="E616" i="366"/>
  <c r="I616" i="366" s="1"/>
  <c r="E676" i="366"/>
  <c r="I676" i="366" s="1"/>
  <c r="E370" i="366"/>
  <c r="I17" i="1"/>
  <c r="E6" i="167"/>
  <c r="E7" i="167" s="1"/>
  <c r="F8" i="400" s="1"/>
  <c r="E318" i="366"/>
  <c r="E680" i="366"/>
  <c r="I680" i="366" s="1"/>
  <c r="H42" i="302"/>
  <c r="M42" i="302" s="1"/>
  <c r="E430" i="366"/>
  <c r="E7" i="227"/>
  <c r="I45" i="1"/>
  <c r="E402" i="366"/>
  <c r="F9" i="398"/>
  <c r="E498" i="366"/>
  <c r="E102" i="366"/>
  <c r="BO57" i="388"/>
  <c r="C57" i="388"/>
  <c r="E734" i="366"/>
  <c r="E806" i="366"/>
  <c r="E358" i="366"/>
  <c r="E624" i="366"/>
  <c r="I624" i="366" s="1"/>
  <c r="I25" i="1"/>
  <c r="K25" i="1"/>
  <c r="D16" i="375" s="1"/>
  <c r="E16" i="375" s="1"/>
  <c r="D16" i="304"/>
  <c r="E16" i="304" s="1"/>
  <c r="D13" i="73"/>
  <c r="C15" i="73"/>
  <c r="BR14" i="91"/>
  <c r="BP16" i="91"/>
  <c r="BP17" i="91" s="1"/>
  <c r="BP19" i="91" s="1"/>
  <c r="BB20" i="91"/>
  <c r="AZ21" i="91"/>
  <c r="BJ20" i="91"/>
  <c r="BH21" i="91"/>
  <c r="C30" i="383"/>
  <c r="E30" i="383"/>
  <c r="F28" i="302"/>
  <c r="AI21" i="168"/>
  <c r="C31" i="383"/>
  <c r="E31" i="383" s="1"/>
  <c r="D24" i="227"/>
  <c r="Q42" i="280"/>
  <c r="C23" i="269"/>
  <c r="Q42" i="268"/>
  <c r="E51" i="248"/>
  <c r="E36" i="366"/>
  <c r="I36" i="366" s="1"/>
  <c r="E870" i="366"/>
  <c r="E930" i="366"/>
  <c r="C17" i="307"/>
  <c r="D22" i="304"/>
  <c r="F10" i="400"/>
  <c r="C26" i="320"/>
  <c r="W60" i="60"/>
  <c r="W67" i="60" s="1"/>
  <c r="C2" i="318"/>
  <c r="D2" i="377" s="1"/>
  <c r="DR18" i="168"/>
  <c r="DT18" i="168" s="1"/>
  <c r="DV18" i="168" s="1"/>
  <c r="DX18" i="168" s="1"/>
  <c r="G19" i="73"/>
  <c r="G20" i="73" s="1"/>
  <c r="F20" i="73"/>
  <c r="E204" i="366"/>
  <c r="I204" i="366" s="1"/>
  <c r="M204" i="366" s="1"/>
  <c r="Q204" i="366" s="1"/>
  <c r="U204" i="366" s="1"/>
  <c r="E946" i="366"/>
  <c r="G157" i="1"/>
  <c r="AQ21" i="352"/>
  <c r="O57" i="389"/>
  <c r="O57" i="352"/>
  <c r="CB34" i="168"/>
  <c r="CB35" i="168"/>
  <c r="CB36" i="168"/>
  <c r="C20" i="73"/>
  <c r="D19" i="73"/>
  <c r="D20" i="73"/>
  <c r="C70" i="167"/>
  <c r="H42" i="268"/>
  <c r="K42" i="268" s="1"/>
  <c r="C70" i="393"/>
  <c r="E874" i="366"/>
  <c r="E906" i="366"/>
  <c r="J42" i="268"/>
  <c r="E926" i="366"/>
  <c r="E862" i="366"/>
  <c r="L15" i="73"/>
  <c r="M15" i="73" s="1"/>
  <c r="M13" i="73"/>
  <c r="N13" i="73" s="1"/>
  <c r="S16" i="91"/>
  <c r="U14" i="91"/>
  <c r="U16" i="91" s="1"/>
  <c r="E33" i="366"/>
  <c r="E740" i="366"/>
  <c r="I740" i="366" s="1"/>
  <c r="E927" i="366"/>
  <c r="I29" i="1"/>
  <c r="C15" i="307"/>
  <c r="D51" i="358"/>
  <c r="E866" i="366"/>
  <c r="E950" i="366"/>
  <c r="C2" i="413"/>
  <c r="BJ14" i="91"/>
  <c r="F1" i="302"/>
  <c r="D53" i="281"/>
  <c r="F53" i="248" s="1"/>
  <c r="D3" i="301"/>
  <c r="E294" i="366"/>
  <c r="C26" i="307"/>
  <c r="C95" i="383"/>
  <c r="E95" i="383" s="1"/>
  <c r="H28" i="302"/>
  <c r="I28" i="1"/>
  <c r="BB35" i="91"/>
  <c r="D19" i="304"/>
  <c r="J43" i="268"/>
  <c r="D52" i="267"/>
  <c r="E52" i="248" s="1"/>
  <c r="E304" i="366"/>
  <c r="I304" i="366" s="1"/>
  <c r="E694" i="366"/>
  <c r="E802" i="366"/>
  <c r="E172" i="9"/>
  <c r="I78" i="9"/>
  <c r="I85" i="9"/>
  <c r="I420" i="366"/>
  <c r="K13" i="73"/>
  <c r="E360" i="366"/>
  <c r="I360" i="366" s="1"/>
  <c r="BJ34" i="91"/>
  <c r="BJ35" i="91" s="1"/>
  <c r="BJ36" i="91"/>
  <c r="S21" i="91"/>
  <c r="U20" i="91"/>
  <c r="E364" i="366"/>
  <c r="I364" i="366" s="1"/>
  <c r="L20" i="73"/>
  <c r="M19" i="73"/>
  <c r="K15" i="73"/>
  <c r="J16" i="73"/>
  <c r="K16" i="73" s="1"/>
  <c r="K18" i="73" s="1"/>
  <c r="E11" i="270"/>
  <c r="E882" i="366"/>
  <c r="D10" i="304"/>
  <c r="I20" i="1"/>
  <c r="D10" i="317" s="1"/>
  <c r="E183" i="9"/>
  <c r="I600" i="366"/>
  <c r="E456" i="366"/>
  <c r="I456" i="366" s="1"/>
  <c r="E838" i="366"/>
  <c r="E974" i="366"/>
  <c r="E962" i="366"/>
  <c r="E966" i="366"/>
  <c r="AZ16" i="91"/>
  <c r="AZ17" i="91" s="1"/>
  <c r="E738" i="366"/>
  <c r="E758" i="366"/>
  <c r="E770" i="366"/>
  <c r="E902" i="366"/>
  <c r="R37" i="73"/>
  <c r="S37" i="73" s="1"/>
  <c r="E390" i="366"/>
  <c r="E894" i="366"/>
  <c r="E990" i="366"/>
  <c r="E922" i="366"/>
  <c r="E914" i="366"/>
  <c r="I914" i="366" s="1"/>
  <c r="M914" i="366" s="1"/>
  <c r="Q914" i="366" s="1"/>
  <c r="U914" i="366" s="1"/>
  <c r="E306" i="366"/>
  <c r="E480" i="366"/>
  <c r="I480" i="366" s="1"/>
  <c r="E842" i="366"/>
  <c r="E970" i="366"/>
  <c r="E958" i="366"/>
  <c r="E444" i="366"/>
  <c r="I444" i="366" s="1"/>
  <c r="M444" i="366" s="1"/>
  <c r="Q444" i="366" s="1"/>
  <c r="U444" i="366" s="1"/>
  <c r="E846" i="366"/>
  <c r="E834" i="366"/>
  <c r="E886" i="366"/>
  <c r="I886" i="366" s="1"/>
  <c r="M886" i="366" s="1"/>
  <c r="Q886" i="366" s="1"/>
  <c r="U886" i="366" s="1"/>
  <c r="E978" i="366"/>
  <c r="C95" i="425"/>
  <c r="E95" i="425" s="1"/>
  <c r="E19" i="425"/>
  <c r="BF40" i="9"/>
  <c r="E934" i="366"/>
  <c r="F15" i="73"/>
  <c r="G15" i="73" s="1"/>
  <c r="E398" i="366"/>
  <c r="E766" i="366"/>
  <c r="E854" i="366"/>
  <c r="E850" i="366"/>
  <c r="E910" i="366"/>
  <c r="E954" i="366"/>
  <c r="E762" i="366"/>
  <c r="U20" i="389"/>
  <c r="S21" i="389"/>
  <c r="L107" i="9"/>
  <c r="D1" i="371"/>
  <c r="D12" i="278"/>
  <c r="E12" i="278" s="1"/>
  <c r="E326" i="366"/>
  <c r="E982" i="366"/>
  <c r="E380" i="366"/>
  <c r="I380" i="366" s="1"/>
  <c r="E284" i="366"/>
  <c r="I284" i="366" s="1"/>
  <c r="E890" i="366"/>
  <c r="X141" i="9"/>
  <c r="B26" i="245"/>
  <c r="F11" i="245"/>
  <c r="L10" i="9"/>
  <c r="L13" i="9" s="1"/>
  <c r="L60" i="9" s="1"/>
  <c r="L62" i="9" s="1"/>
  <c r="L23" i="9" s="1"/>
  <c r="H13" i="9"/>
  <c r="BK24" i="9" s="1"/>
  <c r="E15" i="270"/>
  <c r="E10" i="270"/>
  <c r="C13" i="279"/>
  <c r="G17" i="91"/>
  <c r="G19" i="91"/>
  <c r="G27" i="91"/>
  <c r="G28" i="91" s="1"/>
  <c r="G29" i="91" s="1"/>
  <c r="G30" i="91" s="1"/>
  <c r="G33" i="91" s="1"/>
  <c r="G36" i="91" s="1"/>
  <c r="I324" i="366"/>
  <c r="I488" i="366"/>
  <c r="L36" i="9"/>
  <c r="L37" i="9" s="1"/>
  <c r="BC43" i="9"/>
  <c r="BP21" i="91"/>
  <c r="BP27" i="91" s="1"/>
  <c r="BP28" i="91" s="1"/>
  <c r="BP29" i="91" s="1"/>
  <c r="DL29" i="91" s="1"/>
  <c r="DL30" i="91" s="1"/>
  <c r="DL33" i="91" s="1"/>
  <c r="C13" i="312"/>
  <c r="E12" i="312"/>
  <c r="G97" i="1"/>
  <c r="G65" i="291"/>
  <c r="I70" i="1"/>
  <c r="K70" i="1" s="1"/>
  <c r="F34" i="400"/>
  <c r="G34" i="400"/>
  <c r="E512" i="366"/>
  <c r="I512" i="366" s="1"/>
  <c r="E604" i="366"/>
  <c r="I604" i="366" s="1"/>
  <c r="E622" i="366"/>
  <c r="E994" i="366"/>
  <c r="F30" i="400"/>
  <c r="F30" i="302"/>
  <c r="D15" i="301"/>
  <c r="G15" i="248" s="1"/>
  <c r="I41" i="1"/>
  <c r="C38" i="307"/>
  <c r="C30" i="425"/>
  <c r="E30" i="425" s="1"/>
  <c r="AY21" i="168"/>
  <c r="C31" i="425" s="1"/>
  <c r="E31" i="425" s="1"/>
  <c r="BA20" i="168"/>
  <c r="E786" i="366"/>
  <c r="E540" i="366"/>
  <c r="I540" i="366" s="1"/>
  <c r="M34" i="302"/>
  <c r="C31" i="307"/>
  <c r="AT39" i="9"/>
  <c r="I33" i="9" s="1"/>
  <c r="L37" i="73" s="1"/>
  <c r="M37" i="73" s="1"/>
  <c r="AU43" i="9"/>
  <c r="I41" i="9" s="1"/>
  <c r="I46" i="9" s="1"/>
  <c r="E121" i="366"/>
  <c r="E314" i="366"/>
  <c r="E328" i="366"/>
  <c r="I328" i="366" s="1"/>
  <c r="M328" i="366" s="1"/>
  <c r="Q328" i="366" s="1"/>
  <c r="U328" i="366" s="1"/>
  <c r="E336" i="366"/>
  <c r="I336" i="366" s="1"/>
  <c r="E446" i="366"/>
  <c r="E462" i="366"/>
  <c r="I462" i="366" s="1"/>
  <c r="M462" i="366" s="1"/>
  <c r="Q462" i="366" s="1"/>
  <c r="U462" i="366" s="1"/>
  <c r="E552" i="366"/>
  <c r="I552" i="366" s="1"/>
  <c r="E722" i="366"/>
  <c r="E742" i="366"/>
  <c r="E772" i="366"/>
  <c r="I772" i="366" s="1"/>
  <c r="E844" i="366"/>
  <c r="I844" i="366" s="1"/>
  <c r="E852" i="366"/>
  <c r="I852" i="366" s="1"/>
  <c r="E938" i="366"/>
  <c r="E952" i="366"/>
  <c r="I952" i="366" s="1"/>
  <c r="M952" i="366" s="1"/>
  <c r="Q952" i="366" s="1"/>
  <c r="U952" i="366" s="1"/>
  <c r="E956" i="366"/>
  <c r="I956" i="366" s="1"/>
  <c r="M956" i="366" s="1"/>
  <c r="Q956" i="366" s="1"/>
  <c r="U956" i="366" s="1"/>
  <c r="CR40" i="168"/>
  <c r="AA21" i="168"/>
  <c r="C31" i="327" s="1"/>
  <c r="E31" i="327" s="1"/>
  <c r="C30" i="327"/>
  <c r="E30" i="327" s="1"/>
  <c r="BV40" i="91"/>
  <c r="BV41" i="91" s="1"/>
  <c r="CV36" i="91"/>
  <c r="E468" i="366"/>
  <c r="I468" i="366" s="1"/>
  <c r="M468" i="366" s="1"/>
  <c r="Q468" i="366" s="1"/>
  <c r="U468" i="366" s="1"/>
  <c r="E484" i="366"/>
  <c r="I484" i="366" s="1"/>
  <c r="E522" i="366"/>
  <c r="E812" i="366"/>
  <c r="I812" i="366" s="1"/>
  <c r="M812" i="366" s="1"/>
  <c r="Q812" i="366" s="1"/>
  <c r="U812" i="366" s="1"/>
  <c r="F40" i="302"/>
  <c r="G40" i="400"/>
  <c r="H40" i="302"/>
  <c r="D53" i="301" s="1"/>
  <c r="I22" i="1"/>
  <c r="K22" i="1" s="1"/>
  <c r="D12" i="375" s="1"/>
  <c r="E12" i="375" s="1"/>
  <c r="E8" i="167"/>
  <c r="AY9" i="388"/>
  <c r="BA9" i="388" s="1"/>
  <c r="AY9" i="168"/>
  <c r="BA9" i="168" s="1"/>
  <c r="E782" i="366"/>
  <c r="I782" i="366" s="1"/>
  <c r="M782" i="366" s="1"/>
  <c r="Q782" i="366" s="1"/>
  <c r="U782" i="366" s="1"/>
  <c r="G30" i="400"/>
  <c r="D168" i="9"/>
  <c r="H72" i="9" s="1"/>
  <c r="F2" i="106"/>
  <c r="C2" i="108" s="1"/>
  <c r="D2" i="109" s="1"/>
  <c r="K2" i="107" s="1"/>
  <c r="E544" i="366"/>
  <c r="I544" i="366" s="1"/>
  <c r="M544" i="366" s="1"/>
  <c r="Q544" i="366" s="1"/>
  <c r="U544" i="366" s="1"/>
  <c r="L39" i="9"/>
  <c r="BG43" i="9"/>
  <c r="L41" i="9" s="1"/>
  <c r="L46" i="9" s="1"/>
  <c r="BP39" i="91"/>
  <c r="BP41" i="91" s="1"/>
  <c r="DP52" i="91" s="1"/>
  <c r="E9" i="167"/>
  <c r="BV15" i="168"/>
  <c r="BX15" i="168" s="1"/>
  <c r="BZ15" i="168" s="1"/>
  <c r="CB15" i="168" s="1"/>
  <c r="BV24" i="168"/>
  <c r="BX24" i="168" s="1"/>
  <c r="BX33" i="168" s="1"/>
  <c r="BC42" i="9"/>
  <c r="K38" i="9" s="1"/>
  <c r="K45" i="9" s="1"/>
  <c r="K19" i="73"/>
  <c r="K20" i="73" s="1"/>
  <c r="E816" i="366"/>
  <c r="I816" i="366" s="1"/>
  <c r="M816" i="366" s="1"/>
  <c r="Q816" i="366" s="1"/>
  <c r="U816" i="366" s="1"/>
  <c r="E800" i="366"/>
  <c r="I800" i="366" s="1"/>
  <c r="D16" i="301"/>
  <c r="G16" i="248" s="1"/>
  <c r="E790" i="366"/>
  <c r="E778" i="366"/>
  <c r="I778" i="366" s="1"/>
  <c r="M778" i="366" s="1"/>
  <c r="Q778" i="366" s="1"/>
  <c r="U778" i="366" s="1"/>
  <c r="E508" i="366"/>
  <c r="I508" i="366" s="1"/>
  <c r="I33" i="1"/>
  <c r="D14" i="358"/>
  <c r="K24" i="2"/>
  <c r="L24" i="2" s="1"/>
  <c r="D64" i="167"/>
  <c r="F3" i="106"/>
  <c r="C3" i="108" s="1"/>
  <c r="D6" i="109" s="1"/>
  <c r="K3" i="107" s="1"/>
  <c r="I23" i="1"/>
  <c r="D13" i="317" s="1"/>
  <c r="E13" i="317" s="1"/>
  <c r="E13" i="270"/>
  <c r="AM43" i="9"/>
  <c r="H67" i="50"/>
  <c r="H69" i="50" s="1"/>
  <c r="H71" i="50" s="1"/>
  <c r="E19" i="270"/>
  <c r="E13" i="9"/>
  <c r="AC20" i="352"/>
  <c r="AA21" i="352"/>
  <c r="E10" i="282"/>
  <c r="Z141" i="9"/>
  <c r="E13" i="282"/>
  <c r="E19" i="282"/>
  <c r="AK21" i="168"/>
  <c r="AM20" i="168"/>
  <c r="K10" i="9"/>
  <c r="K13" i="9" s="1"/>
  <c r="E12" i="382"/>
  <c r="C13" i="382"/>
  <c r="AI21" i="352"/>
  <c r="AK20" i="352"/>
  <c r="U20" i="388"/>
  <c r="W20" i="388" s="1"/>
  <c r="G107" i="1"/>
  <c r="G99" i="1"/>
  <c r="G57" i="389"/>
  <c r="BK57" i="388"/>
  <c r="DN57" i="168"/>
  <c r="DF57" i="168"/>
  <c r="G57" i="352"/>
  <c r="G57" i="168"/>
  <c r="BJ57" i="168" s="1"/>
  <c r="BJ88" i="168" s="1"/>
  <c r="G57" i="388"/>
  <c r="C3" i="376"/>
  <c r="E73" i="366"/>
  <c r="E252" i="366"/>
  <c r="I252" i="366" s="1"/>
  <c r="E256" i="366"/>
  <c r="I256" i="366" s="1"/>
  <c r="E560" i="366"/>
  <c r="I560" i="366" s="1"/>
  <c r="Q77" i="280"/>
  <c r="D34" i="358"/>
  <c r="D34" i="267"/>
  <c r="E34" i="248" s="1"/>
  <c r="AN14" i="91"/>
  <c r="AL16" i="91"/>
  <c r="AL17" i="91" s="1"/>
  <c r="AL19" i="91" s="1"/>
  <c r="DN39" i="91"/>
  <c r="DN41" i="91" s="1"/>
  <c r="W20" i="168"/>
  <c r="Y20" i="168" s="1"/>
  <c r="Y21" i="168" s="1"/>
  <c r="BL13" i="91"/>
  <c r="BN13" i="91" s="1"/>
  <c r="K27" i="1"/>
  <c r="M27" i="1" s="1"/>
  <c r="C16" i="320"/>
  <c r="CT15" i="168"/>
  <c r="CV15" i="168" s="1"/>
  <c r="CX15" i="168" s="1"/>
  <c r="CZ15" i="168" s="1"/>
  <c r="CX24" i="168"/>
  <c r="CZ24" i="168" s="1"/>
  <c r="CZ33" i="168" s="1"/>
  <c r="B11" i="285"/>
  <c r="J4" i="247"/>
  <c r="B11" i="307" s="1"/>
  <c r="AY42" i="9"/>
  <c r="J38" i="9" s="1"/>
  <c r="J45" i="9" s="1"/>
  <c r="J36" i="9"/>
  <c r="J37" i="9" s="1"/>
  <c r="AM39" i="9"/>
  <c r="E32" i="9"/>
  <c r="E40" i="9" s="1"/>
  <c r="W40" i="91" s="1"/>
  <c r="E12" i="326"/>
  <c r="C13" i="326"/>
  <c r="E912" i="366"/>
  <c r="I912" i="366" s="1"/>
  <c r="E936" i="366"/>
  <c r="I936" i="366" s="1"/>
  <c r="AU42" i="9"/>
  <c r="I38" i="9" s="1"/>
  <c r="I45" i="9" s="1"/>
  <c r="E808" i="366"/>
  <c r="I808" i="366" s="1"/>
  <c r="D12" i="289"/>
  <c r="E12" i="289" s="1"/>
  <c r="M58" i="60"/>
  <c r="O58" i="60" s="1"/>
  <c r="A10" i="291"/>
  <c r="G112" i="142"/>
  <c r="K9" i="388"/>
  <c r="M9" i="388" s="1"/>
  <c r="A10" i="303"/>
  <c r="A10" i="383"/>
  <c r="B91" i="281"/>
  <c r="K9" i="389"/>
  <c r="M9" i="389" s="1"/>
  <c r="K9" i="168"/>
  <c r="M9" i="168" s="1"/>
  <c r="DB34" i="91"/>
  <c r="BZ34" i="91"/>
  <c r="BZ36" i="91"/>
  <c r="G128" i="142"/>
  <c r="B16" i="321"/>
  <c r="B14" i="321"/>
  <c r="CJ35" i="91"/>
  <c r="E988" i="366"/>
  <c r="I988" i="366" s="1"/>
  <c r="AO43" i="9"/>
  <c r="I32" i="9"/>
  <c r="CJ36" i="91"/>
  <c r="CJ43" i="91" s="1"/>
  <c r="CJ44" i="91" s="1"/>
  <c r="K9" i="352"/>
  <c r="M9" i="352" s="1"/>
  <c r="I19" i="73"/>
  <c r="I20" i="73" s="1"/>
  <c r="S21" i="168"/>
  <c r="C31" i="303" s="1"/>
  <c r="E31" i="303" s="1"/>
  <c r="C30" i="303"/>
  <c r="E30" i="303" s="1"/>
  <c r="H69" i="268"/>
  <c r="F94" i="268"/>
  <c r="DN34" i="91"/>
  <c r="DN36" i="91"/>
  <c r="U36" i="91"/>
  <c r="U43" i="91" s="1"/>
  <c r="U44" i="91" s="1"/>
  <c r="J40" i="268"/>
  <c r="BX41" i="91"/>
  <c r="BZ39" i="91"/>
  <c r="BZ41" i="91" s="1"/>
  <c r="C41" i="91"/>
  <c r="DH34" i="91"/>
  <c r="DH35" i="91" s="1"/>
  <c r="AX34" i="91"/>
  <c r="AX35" i="91" s="1"/>
  <c r="AX36" i="91"/>
  <c r="E76" i="366"/>
  <c r="I76" i="366" s="1"/>
  <c r="E154" i="366"/>
  <c r="E176" i="366"/>
  <c r="I176" i="366" s="1"/>
  <c r="C41" i="409"/>
  <c r="AQ21" i="389"/>
  <c r="AS20" i="389"/>
  <c r="E416" i="366"/>
  <c r="I416" i="366" s="1"/>
  <c r="M416" i="366" s="1"/>
  <c r="Q416" i="366" s="1"/>
  <c r="U416" i="366" s="1"/>
  <c r="BZ41" i="168"/>
  <c r="E36" i="91"/>
  <c r="E43" i="91" s="1"/>
  <c r="E44" i="91" s="1"/>
  <c r="CB40" i="168"/>
  <c r="CB42" i="168" s="1"/>
  <c r="K7" i="247"/>
  <c r="L7" i="247" s="1"/>
  <c r="C9" i="227"/>
  <c r="AP36" i="91"/>
  <c r="AP34" i="91"/>
  <c r="AP35" i="91" s="1"/>
  <c r="E17" i="91"/>
  <c r="O42" i="1"/>
  <c r="F42" i="422" s="1"/>
  <c r="I70" i="167" s="1"/>
  <c r="E214" i="366"/>
  <c r="E714" i="366"/>
  <c r="I576" i="366"/>
  <c r="I524" i="366"/>
  <c r="I140" i="366"/>
  <c r="I536" i="366"/>
  <c r="M536" i="366" s="1"/>
  <c r="Q536" i="366" s="1"/>
  <c r="U536" i="366" s="1"/>
  <c r="H20" i="74"/>
  <c r="E17" i="270"/>
  <c r="F34" i="302"/>
  <c r="AQ21" i="388"/>
  <c r="AY21" i="388"/>
  <c r="BA20" i="388"/>
  <c r="BC20" i="388" s="1"/>
  <c r="BC21" i="388" s="1"/>
  <c r="D51" i="301"/>
  <c r="D18" i="276"/>
  <c r="E18" i="276" s="1"/>
  <c r="H66" i="268"/>
  <c r="J66" i="268" s="1"/>
  <c r="K66" i="268" s="1"/>
  <c r="D37" i="73"/>
  <c r="CP34" i="91"/>
  <c r="BR36" i="91"/>
  <c r="BR34" i="91"/>
  <c r="W13" i="91"/>
  <c r="Y13" i="91" s="1"/>
  <c r="D2" i="429"/>
  <c r="AC21" i="168"/>
  <c r="AE20" i="168"/>
  <c r="M40" i="1"/>
  <c r="C26" i="415" s="1"/>
  <c r="C26" i="378"/>
  <c r="D1" i="424"/>
  <c r="D1" i="316"/>
  <c r="F1" i="315" s="1"/>
  <c r="L89" i="49"/>
  <c r="D178" i="9"/>
  <c r="J72" i="9" s="1"/>
  <c r="F40" i="315"/>
  <c r="H40" i="315"/>
  <c r="D34" i="320" s="1"/>
  <c r="K18" i="1"/>
  <c r="C34" i="378" s="1"/>
  <c r="C34" i="320"/>
  <c r="M20" i="91"/>
  <c r="K21" i="91"/>
  <c r="DZ18" i="168"/>
  <c r="EB18" i="168" s="1"/>
  <c r="ED18" i="168" s="1"/>
  <c r="EF18" i="168" s="1"/>
  <c r="D8" i="372"/>
  <c r="E8" i="372" s="1"/>
  <c r="D77" i="9"/>
  <c r="E75" i="9"/>
  <c r="H75" i="9" s="1"/>
  <c r="I75" i="9" s="1"/>
  <c r="J75" i="9" s="1"/>
  <c r="K75" i="9" s="1"/>
  <c r="L75" i="9" s="1"/>
  <c r="E40" i="91"/>
  <c r="C38" i="73"/>
  <c r="D38" i="73" s="1"/>
  <c r="CF39" i="91"/>
  <c r="CF41" i="91" s="1"/>
  <c r="CD41" i="91"/>
  <c r="M39" i="91"/>
  <c r="M41" i="91"/>
  <c r="CB52" i="91" s="1"/>
  <c r="K41" i="91"/>
  <c r="BF35" i="91"/>
  <c r="BF36" i="91"/>
  <c r="M34" i="91"/>
  <c r="M36" i="91"/>
  <c r="BH17" i="91"/>
  <c r="BH19" i="91" s="1"/>
  <c r="BH27" i="91" s="1"/>
  <c r="BH28" i="91" s="1"/>
  <c r="BH29" i="91" s="1"/>
  <c r="BH30" i="91" s="1"/>
  <c r="F28" i="400"/>
  <c r="I71" i="1"/>
  <c r="H28" i="315" s="1"/>
  <c r="E168" i="9"/>
  <c r="H79" i="9" s="1"/>
  <c r="H86" i="9" s="1"/>
  <c r="H11" i="245"/>
  <c r="H26" i="245" s="1"/>
  <c r="D26" i="245"/>
  <c r="U20" i="352"/>
  <c r="S21" i="352"/>
  <c r="G38" i="73"/>
  <c r="D173" i="9"/>
  <c r="I72" i="9" s="1"/>
  <c r="BJ24" i="9"/>
  <c r="BJ26" i="9" s="1"/>
  <c r="F94" i="348"/>
  <c r="AT14" i="91"/>
  <c r="AT16" i="91" s="1"/>
  <c r="AT17" i="91" s="1"/>
  <c r="M13" i="91"/>
  <c r="E162" i="9"/>
  <c r="F162" i="9" s="1"/>
  <c r="D85" i="9" s="1"/>
  <c r="E85" i="9" s="1"/>
  <c r="D84" i="9"/>
  <c r="H22" i="3"/>
  <c r="H30" i="302"/>
  <c r="C23" i="307"/>
  <c r="CF18" i="168"/>
  <c r="CH18" i="168" s="1"/>
  <c r="CJ18" i="168" s="1"/>
  <c r="D8" i="361"/>
  <c r="E8" i="361" s="1"/>
  <c r="K32" i="9"/>
  <c r="K40" i="9" s="1"/>
  <c r="BL40" i="91" s="1"/>
  <c r="BL41" i="91" s="1"/>
  <c r="AC20" i="389"/>
  <c r="AE20" i="389" s="1"/>
  <c r="AG20" i="389" s="1"/>
  <c r="AG21" i="389" s="1"/>
  <c r="AA21" i="389"/>
  <c r="E62" i="366"/>
  <c r="I62" i="366" s="1"/>
  <c r="M62" i="366" s="1"/>
  <c r="Q62" i="366" s="1"/>
  <c r="U62" i="366" s="1"/>
  <c r="AQ9" i="388"/>
  <c r="AS9" i="388"/>
  <c r="AQ9" i="352"/>
  <c r="AS9" i="352" s="1"/>
  <c r="AQ9" i="168"/>
  <c r="AS9" i="168"/>
  <c r="E366" i="366"/>
  <c r="AG67" i="60"/>
  <c r="E814" i="366"/>
  <c r="I208" i="366"/>
  <c r="M208" i="366" s="1"/>
  <c r="Q208" i="366" s="1"/>
  <c r="U208" i="366" s="1"/>
  <c r="A10" i="425"/>
  <c r="A10" i="411"/>
  <c r="D8" i="423"/>
  <c r="E8" i="423" s="1"/>
  <c r="O59" i="393"/>
  <c r="F42" i="410"/>
  <c r="F31" i="400"/>
  <c r="G31" i="400" s="1"/>
  <c r="H31" i="302"/>
  <c r="M31" i="302" s="1"/>
  <c r="H61" i="422"/>
  <c r="I61" i="422" s="1"/>
  <c r="T33" i="2"/>
  <c r="D162" i="9"/>
  <c r="D71" i="9" s="1"/>
  <c r="J109" i="9"/>
  <c r="W125" i="9" s="1"/>
  <c r="D187" i="9"/>
  <c r="L71" i="9" s="1"/>
  <c r="CN18" i="168"/>
  <c r="CP18" i="168" s="1"/>
  <c r="CR18" i="168" s="1"/>
  <c r="AT18" i="91"/>
  <c r="D126" i="9"/>
  <c r="D128" i="9" s="1"/>
  <c r="E59" i="425"/>
  <c r="O18" i="91"/>
  <c r="Q18" i="91" s="1"/>
  <c r="K109" i="9"/>
  <c r="X125" i="9" s="1"/>
  <c r="I109" i="9"/>
  <c r="V125" i="9" s="1"/>
  <c r="AL18" i="91"/>
  <c r="AN18" i="91" s="1"/>
  <c r="AP18" i="91" s="1"/>
  <c r="BR18" i="91"/>
  <c r="BX18" i="168"/>
  <c r="D182" i="9"/>
  <c r="K71" i="9" s="1"/>
  <c r="N17" i="73"/>
  <c r="BJ18" i="91"/>
  <c r="E167" i="9"/>
  <c r="W18" i="91"/>
  <c r="B16" i="379"/>
  <c r="BR16" i="91"/>
  <c r="BR17" i="91" s="1"/>
  <c r="BR19" i="91" s="1"/>
  <c r="BT14" i="91"/>
  <c r="BV14" i="91" s="1"/>
  <c r="BV16" i="91" s="1"/>
  <c r="BV17" i="91" s="1"/>
  <c r="DV57" i="168"/>
  <c r="O57" i="168"/>
  <c r="O57" i="388"/>
  <c r="E23" i="269"/>
  <c r="C99" i="269"/>
  <c r="E99" i="269" s="1"/>
  <c r="D12" i="311"/>
  <c r="E12" i="311"/>
  <c r="Q58" i="60"/>
  <c r="AU20" i="168"/>
  <c r="AU21" i="168"/>
  <c r="C107" i="411"/>
  <c r="E107" i="411" s="1"/>
  <c r="H16" i="73"/>
  <c r="H31" i="315"/>
  <c r="M31" i="315" s="1"/>
  <c r="D22" i="227"/>
  <c r="E23" i="227"/>
  <c r="F76" i="315"/>
  <c r="I98" i="1"/>
  <c r="K98" i="1" s="1"/>
  <c r="K34" i="1"/>
  <c r="M34" i="1" s="1"/>
  <c r="D47" i="109"/>
  <c r="D56" i="109" s="1"/>
  <c r="F67" i="315"/>
  <c r="H67" i="315" s="1"/>
  <c r="L40" i="9"/>
  <c r="R38" i="73" s="1"/>
  <c r="F66" i="315"/>
  <c r="H66" i="315" s="1"/>
  <c r="M66" i="315" s="1"/>
  <c r="F8" i="302"/>
  <c r="D11" i="301" s="1"/>
  <c r="D18" i="316" s="1"/>
  <c r="H18" i="248" s="1"/>
  <c r="G137" i="142"/>
  <c r="G146" i="142" s="1"/>
  <c r="K20" i="1"/>
  <c r="D2" i="319"/>
  <c r="D2" i="415" s="1"/>
  <c r="D2" i="414"/>
  <c r="W14" i="91"/>
  <c r="D16" i="317"/>
  <c r="M25" i="1"/>
  <c r="O25" i="1" s="1"/>
  <c r="D16" i="427" s="1"/>
  <c r="E16" i="427" s="1"/>
  <c r="H76" i="315"/>
  <c r="D57" i="316" s="1"/>
  <c r="H57" i="248" s="1"/>
  <c r="D81" i="109"/>
  <c r="D92" i="109" s="1"/>
  <c r="F16" i="73"/>
  <c r="G16" i="73" s="1"/>
  <c r="G18" i="73" s="1"/>
  <c r="BB43" i="91"/>
  <c r="BB44" i="91" s="1"/>
  <c r="D15" i="73"/>
  <c r="I157" i="1"/>
  <c r="M37" i="2"/>
  <c r="N37" i="2" s="1"/>
  <c r="L16" i="73"/>
  <c r="M16" i="73" s="1"/>
  <c r="M18" i="73" s="1"/>
  <c r="M26" i="73" s="1"/>
  <c r="M27" i="73" s="1"/>
  <c r="M28" i="73" s="1"/>
  <c r="M29" i="73" s="1"/>
  <c r="M32" i="73" s="1"/>
  <c r="M33" i="73" s="1"/>
  <c r="M34" i="73" s="1"/>
  <c r="K24" i="9"/>
  <c r="F172" i="9"/>
  <c r="BJ43" i="91"/>
  <c r="BJ44" i="91" s="1"/>
  <c r="BL20" i="91"/>
  <c r="BJ21" i="91"/>
  <c r="B14" i="379"/>
  <c r="K29" i="1"/>
  <c r="M29" i="1" s="1"/>
  <c r="C15" i="415" s="1"/>
  <c r="C15" i="320"/>
  <c r="D19" i="317"/>
  <c r="I107" i="9"/>
  <c r="L34" i="9"/>
  <c r="J18" i="73"/>
  <c r="J26" i="73" s="1"/>
  <c r="J27" i="73" s="1"/>
  <c r="J28" i="73" s="1"/>
  <c r="J29" i="73" s="1"/>
  <c r="J32" i="73" s="1"/>
  <c r="J33" i="73" s="1"/>
  <c r="J34" i="73" s="1"/>
  <c r="AT40" i="9"/>
  <c r="M28" i="302"/>
  <c r="D19" i="307"/>
  <c r="F25" i="227" s="1"/>
  <c r="H60" i="9"/>
  <c r="H62" i="9" s="1"/>
  <c r="H23" i="9" s="1"/>
  <c r="H24" i="9"/>
  <c r="AU26" i="9" s="1"/>
  <c r="N19" i="73"/>
  <c r="M20" i="73"/>
  <c r="W20" i="91"/>
  <c r="U21" i="91"/>
  <c r="B20" i="380"/>
  <c r="H14" i="9"/>
  <c r="Q60" i="9"/>
  <c r="Q62" i="9" s="1"/>
  <c r="DB43" i="91"/>
  <c r="DB44" i="91" s="1"/>
  <c r="CV43" i="91"/>
  <c r="CV44" i="91" s="1"/>
  <c r="BB16" i="91"/>
  <c r="BB17" i="91" s="1"/>
  <c r="BZ35" i="91"/>
  <c r="DB35" i="91"/>
  <c r="AC21" i="352"/>
  <c r="AE20" i="352"/>
  <c r="K4" i="247"/>
  <c r="B11" i="320" s="1"/>
  <c r="K23" i="1"/>
  <c r="D13" i="375" s="1"/>
  <c r="E13" i="375" s="1"/>
  <c r="F9" i="400"/>
  <c r="F34" i="315"/>
  <c r="BR39" i="91"/>
  <c r="BR41" i="91"/>
  <c r="D12" i="317"/>
  <c r="E12" i="317" s="1"/>
  <c r="BC20" i="168"/>
  <c r="BA21" i="168"/>
  <c r="C38" i="320"/>
  <c r="K41" i="1"/>
  <c r="K57" i="352"/>
  <c r="DR57" i="168"/>
  <c r="K57" i="389"/>
  <c r="K33" i="9"/>
  <c r="BH39" i="91" s="1"/>
  <c r="C106" i="411"/>
  <c r="E106" i="411" s="1"/>
  <c r="AW20" i="168"/>
  <c r="AW21" i="168" s="1"/>
  <c r="M40" i="302"/>
  <c r="D34" i="307"/>
  <c r="I97" i="1"/>
  <c r="G65" i="303"/>
  <c r="S57" i="168" s="1"/>
  <c r="D78" i="9"/>
  <c r="E78" i="9" s="1"/>
  <c r="J69" i="268"/>
  <c r="K69" i="268" s="1"/>
  <c r="K94" i="268" s="1"/>
  <c r="H94" i="268"/>
  <c r="I94" i="268" s="1"/>
  <c r="S9" i="389"/>
  <c r="U9" i="389" s="1"/>
  <c r="B91" i="301"/>
  <c r="S9" i="388"/>
  <c r="U9" i="388" s="1"/>
  <c r="S9" i="352"/>
  <c r="U9" i="352"/>
  <c r="G121" i="142"/>
  <c r="AA9" i="352" s="1"/>
  <c r="AC9" i="352" s="1"/>
  <c r="S9" i="168"/>
  <c r="U9" i="168" s="1"/>
  <c r="W21" i="168"/>
  <c r="C107" i="303" s="1"/>
  <c r="E107" i="303" s="1"/>
  <c r="BT16" i="91"/>
  <c r="BT17" i="91" s="1"/>
  <c r="B14" i="417"/>
  <c r="I37" i="9"/>
  <c r="I40" i="9"/>
  <c r="AM40" i="9"/>
  <c r="AO41" i="9" s="1"/>
  <c r="E33" i="9"/>
  <c r="AN16" i="91"/>
  <c r="AN17" i="91" s="1"/>
  <c r="AN19" i="91" s="1"/>
  <c r="AP14" i="91"/>
  <c r="AP16" i="91" s="1"/>
  <c r="AP17" i="91" s="1"/>
  <c r="U21" i="388"/>
  <c r="DH43" i="91"/>
  <c r="DH44" i="91" s="1"/>
  <c r="BD13" i="91"/>
  <c r="BF13" i="91" s="1"/>
  <c r="E71" i="9"/>
  <c r="H70" i="167"/>
  <c r="H70" i="393"/>
  <c r="H71" i="393" s="1"/>
  <c r="H42" i="410"/>
  <c r="O13" i="91"/>
  <c r="D53" i="316"/>
  <c r="G23" i="227" s="1"/>
  <c r="M40" i="315"/>
  <c r="Q12" i="73"/>
  <c r="R12" i="73"/>
  <c r="S12" i="73" s="1"/>
  <c r="AV14" i="91"/>
  <c r="O20" i="91"/>
  <c r="O21" i="91" s="1"/>
  <c r="M21" i="91"/>
  <c r="F31" i="369"/>
  <c r="CP43" i="91"/>
  <c r="CP44" i="91" s="1"/>
  <c r="CP35" i="91"/>
  <c r="F24" i="227"/>
  <c r="C23" i="303"/>
  <c r="G51" i="248"/>
  <c r="AC21" i="389"/>
  <c r="AE21" i="168"/>
  <c r="C107" i="327" s="1"/>
  <c r="E107" i="327" s="1"/>
  <c r="C106" i="327"/>
  <c r="E106" i="327"/>
  <c r="AG20" i="168"/>
  <c r="AG21" i="168" s="1"/>
  <c r="C39" i="73"/>
  <c r="D39" i="73" s="1"/>
  <c r="BD18" i="91"/>
  <c r="BF18" i="91" s="1"/>
  <c r="AV18" i="91"/>
  <c r="AX18" i="91" s="1"/>
  <c r="BL18" i="91"/>
  <c r="K78" i="9"/>
  <c r="K85" i="9" s="1"/>
  <c r="F182" i="9"/>
  <c r="DF29" i="91"/>
  <c r="DF30" i="91" s="1"/>
  <c r="BH33" i="91"/>
  <c r="BH34" i="91" s="1"/>
  <c r="BT18" i="91"/>
  <c r="Y18" i="91"/>
  <c r="O17" i="73"/>
  <c r="P17" i="73" s="1"/>
  <c r="Q17" i="73" s="1"/>
  <c r="R17" i="73" s="1"/>
  <c r="S17" i="73" s="1"/>
  <c r="BZ18" i="168"/>
  <c r="H31" i="369"/>
  <c r="M31" i="369" s="1"/>
  <c r="W57" i="389"/>
  <c r="W57" i="388"/>
  <c r="W57" i="352"/>
  <c r="ED57" i="168"/>
  <c r="W57" i="168"/>
  <c r="B16" i="416"/>
  <c r="G141" i="327"/>
  <c r="AE57" i="389" s="1"/>
  <c r="B14" i="416"/>
  <c r="D2" i="430"/>
  <c r="F18" i="73"/>
  <c r="F26" i="73" s="1"/>
  <c r="F27" i="73" s="1"/>
  <c r="F28" i="73" s="1"/>
  <c r="F29" i="73" s="1"/>
  <c r="F32" i="73" s="1"/>
  <c r="F33" i="73" s="1"/>
  <c r="F34" i="73" s="1"/>
  <c r="D16" i="412"/>
  <c r="E16" i="412" s="1"/>
  <c r="D68" i="316"/>
  <c r="C96" i="327" s="1"/>
  <c r="E96" i="327" s="1"/>
  <c r="L18" i="73"/>
  <c r="L26" i="73" s="1"/>
  <c r="L27" i="73" s="1"/>
  <c r="L28" i="73" s="1"/>
  <c r="L29" i="73" s="1"/>
  <c r="L32" i="73" s="1"/>
  <c r="L33" i="73" s="1"/>
  <c r="L34" i="73" s="1"/>
  <c r="C15" i="378"/>
  <c r="D19" i="375"/>
  <c r="E19" i="375" s="1"/>
  <c r="Y20" i="91"/>
  <c r="Y21" i="91" s="1"/>
  <c r="W21" i="91"/>
  <c r="BD16" i="91"/>
  <c r="BD17" i="91" s="1"/>
  <c r="BD19" i="91" s="1"/>
  <c r="BF14" i="91"/>
  <c r="BF16" i="91" s="1"/>
  <c r="BF17" i="91" s="1"/>
  <c r="BP30" i="91"/>
  <c r="BP33" i="91" s="1"/>
  <c r="BP34" i="91" s="1"/>
  <c r="C38" i="378"/>
  <c r="M41" i="1"/>
  <c r="M22" i="1"/>
  <c r="O22" i="1" s="1"/>
  <c r="D12" i="427" s="1"/>
  <c r="E12" i="427" s="1"/>
  <c r="AP19" i="91"/>
  <c r="S57" i="352"/>
  <c r="M23" i="1"/>
  <c r="G65" i="327"/>
  <c r="K97" i="1"/>
  <c r="M97" i="1" s="1"/>
  <c r="G65" i="411" s="1"/>
  <c r="BC41" i="9"/>
  <c r="C106" i="425"/>
  <c r="E106" i="425" s="1"/>
  <c r="L38" i="73"/>
  <c r="AV40" i="91"/>
  <c r="AV41" i="91" s="1"/>
  <c r="J94" i="268"/>
  <c r="H38" i="73"/>
  <c r="I38" i="73" s="1"/>
  <c r="S39" i="91"/>
  <c r="E107" i="9"/>
  <c r="H37" i="73"/>
  <c r="CH39" i="91"/>
  <c r="E34" i="9"/>
  <c r="G130" i="142"/>
  <c r="AA9" i="389"/>
  <c r="AC9" i="389" s="1"/>
  <c r="B91" i="371"/>
  <c r="B91" i="424"/>
  <c r="B16" i="431"/>
  <c r="B14" i="431"/>
  <c r="E23" i="303"/>
  <c r="C99" i="303"/>
  <c r="E99" i="303" s="1"/>
  <c r="H53" i="248"/>
  <c r="AX14" i="91"/>
  <c r="AX16" i="91" s="1"/>
  <c r="AX17" i="91" s="1"/>
  <c r="AV16" i="91"/>
  <c r="AV17" i="91" s="1"/>
  <c r="AV19" i="91" s="1"/>
  <c r="M42" i="410"/>
  <c r="D51" i="408"/>
  <c r="Q20" i="91"/>
  <c r="Q21" i="91" s="1"/>
  <c r="CB18" i="168"/>
  <c r="BV18" i="91"/>
  <c r="BV19" i="91" s="1"/>
  <c r="BN18" i="91"/>
  <c r="M98" i="1"/>
  <c r="G141" i="411" s="1"/>
  <c r="G141" i="383"/>
  <c r="AE57" i="388"/>
  <c r="BP36" i="91"/>
  <c r="O41" i="1"/>
  <c r="C38" i="430" s="1"/>
  <c r="C38" i="415"/>
  <c r="G65" i="383"/>
  <c r="AI57" i="352" s="1"/>
  <c r="AA57" i="168"/>
  <c r="W41" i="91"/>
  <c r="Y40" i="91"/>
  <c r="Y41" i="91" s="1"/>
  <c r="U39" i="91"/>
  <c r="U41" i="91" s="1"/>
  <c r="U42" i="91" s="1"/>
  <c r="U111" i="91" s="1"/>
  <c r="U51" i="91" s="1"/>
  <c r="S41" i="91"/>
  <c r="AX40" i="91"/>
  <c r="AX41" i="91" s="1"/>
  <c r="AX42" i="91" s="1"/>
  <c r="AX111" i="91" s="1"/>
  <c r="AX51" i="91" s="1"/>
  <c r="I24" i="227"/>
  <c r="BP35" i="91"/>
  <c r="BP42" i="91" s="1"/>
  <c r="BP52" i="91" s="1"/>
  <c r="BH35" i="91"/>
  <c r="AM57" i="389"/>
  <c r="O98" i="1"/>
  <c r="G141" i="425" s="1"/>
  <c r="BC57" i="168" s="1"/>
  <c r="O97" i="1"/>
  <c r="G65" i="425" s="1"/>
  <c r="AI57" i="389"/>
  <c r="AQ57" i="389"/>
  <c r="AQ57" i="168"/>
  <c r="AX43" i="91"/>
  <c r="AX44" i="91" s="1"/>
  <c r="BC57" i="388"/>
  <c r="BP111" i="91"/>
  <c r="DL36" i="91"/>
  <c r="DL34" i="91"/>
  <c r="DL43" i="91" s="1"/>
  <c r="AU28" i="9"/>
  <c r="H29" i="9" s="1"/>
  <c r="H28" i="9"/>
  <c r="H69" i="9" s="1"/>
  <c r="BV34" i="91"/>
  <c r="BV35" i="91" s="1"/>
  <c r="BV42" i="91" s="1"/>
  <c r="BV36" i="91"/>
  <c r="I34" i="91"/>
  <c r="CF43" i="91" s="1"/>
  <c r="CF44" i="91" s="1"/>
  <c r="I36" i="91"/>
  <c r="AX39" i="9"/>
  <c r="AX40" i="9" s="1"/>
  <c r="J34" i="9" s="1"/>
  <c r="E8" i="409"/>
  <c r="J33" i="9"/>
  <c r="I35" i="91"/>
  <c r="I42" i="91" s="1"/>
  <c r="AY41" i="9"/>
  <c r="AZ39" i="91"/>
  <c r="BB39" i="91" s="1"/>
  <c r="BB41" i="91" s="1"/>
  <c r="BB42" i="91" s="1"/>
  <c r="BB111" i="91" s="1"/>
  <c r="BB51" i="91" s="1"/>
  <c r="AU57" i="389" l="1"/>
  <c r="AU57" i="352"/>
  <c r="H76" i="302"/>
  <c r="H71" i="302" s="1"/>
  <c r="F76" i="302"/>
  <c r="S18" i="388" s="1"/>
  <c r="U18" i="388" s="1"/>
  <c r="W18" i="388" s="1"/>
  <c r="Y18" i="388" s="1"/>
  <c r="BJ39" i="91"/>
  <c r="BJ41" i="91" s="1"/>
  <c r="BJ42" i="91" s="1"/>
  <c r="BJ111" i="91" s="1"/>
  <c r="BJ51" i="91" s="1"/>
  <c r="BH41" i="91"/>
  <c r="DJ52" i="91" s="1"/>
  <c r="CB43" i="168"/>
  <c r="CB44" i="168" s="1"/>
  <c r="CB111" i="168"/>
  <c r="AY57" i="388"/>
  <c r="AY57" i="168"/>
  <c r="AA57" i="352"/>
  <c r="AA57" i="388"/>
  <c r="CL24" i="168"/>
  <c r="CN24" i="168" s="1"/>
  <c r="CN33" i="168" s="1"/>
  <c r="CL15" i="168"/>
  <c r="CN15" i="168" s="1"/>
  <c r="CP15" i="168" s="1"/>
  <c r="CR15" i="168" s="1"/>
  <c r="BX39" i="168"/>
  <c r="BX41" i="168" s="1"/>
  <c r="BV41" i="168"/>
  <c r="F70" i="393"/>
  <c r="F70" i="167"/>
  <c r="H42" i="315"/>
  <c r="H42" i="369"/>
  <c r="G70" i="393"/>
  <c r="G70" i="167"/>
  <c r="AI21" i="389"/>
  <c r="AK20" i="389"/>
  <c r="H39" i="73"/>
  <c r="I39" i="73" s="1"/>
  <c r="I37" i="73"/>
  <c r="AU20" i="389"/>
  <c r="AS21" i="389"/>
  <c r="AO20" i="168"/>
  <c r="AO21" i="168" s="1"/>
  <c r="C106" i="383"/>
  <c r="E106" i="383" s="1"/>
  <c r="AW20" i="388"/>
  <c r="AW21" i="388" s="1"/>
  <c r="AU21" i="388"/>
  <c r="F43" i="302"/>
  <c r="H43" i="302"/>
  <c r="D52" i="301" s="1"/>
  <c r="G52" i="248" s="1"/>
  <c r="CV36" i="168"/>
  <c r="CV34" i="168"/>
  <c r="CZ39" i="91"/>
  <c r="N37" i="73"/>
  <c r="AX19" i="91"/>
  <c r="AE21" i="389"/>
  <c r="AI9" i="168"/>
  <c r="AK9" i="168" s="1"/>
  <c r="AI9" i="388"/>
  <c r="AK9" i="388" s="1"/>
  <c r="D13" i="412"/>
  <c r="E13" i="412" s="1"/>
  <c r="O23" i="1"/>
  <c r="D13" i="427" s="1"/>
  <c r="E13" i="427" s="1"/>
  <c r="AM21" i="168"/>
  <c r="C107" i="383" s="1"/>
  <c r="E107" i="383" s="1"/>
  <c r="S38" i="73"/>
  <c r="R39" i="73"/>
  <c r="S39" i="73" s="1"/>
  <c r="CL41" i="168"/>
  <c r="CN39" i="168"/>
  <c r="CN41" i="168" s="1"/>
  <c r="CD24" i="168"/>
  <c r="CF24" i="168" s="1"/>
  <c r="CF33" i="168" s="1"/>
  <c r="CD15" i="168"/>
  <c r="CF15" i="168" s="1"/>
  <c r="CH15" i="168" s="1"/>
  <c r="CJ15" i="168" s="1"/>
  <c r="CH24" i="168"/>
  <c r="CJ24" i="168" s="1"/>
  <c r="CJ33" i="168" s="1"/>
  <c r="AM57" i="352"/>
  <c r="AM57" i="168"/>
  <c r="M38" i="73"/>
  <c r="L39" i="73"/>
  <c r="M39" i="73" s="1"/>
  <c r="E24" i="9"/>
  <c r="G60" i="9"/>
  <c r="G62" i="9" s="1"/>
  <c r="E23" i="9" s="1"/>
  <c r="X322" i="1"/>
  <c r="X324" i="1"/>
  <c r="C30" i="320"/>
  <c r="K36" i="1"/>
  <c r="H26" i="9"/>
  <c r="BH42" i="91"/>
  <c r="L4" i="247"/>
  <c r="CB41" i="168"/>
  <c r="AU41" i="9"/>
  <c r="I34" i="9"/>
  <c r="H31" i="410"/>
  <c r="M31" i="410" s="1"/>
  <c r="O34" i="1"/>
  <c r="D23" i="307"/>
  <c r="M30" i="302"/>
  <c r="E21" i="270"/>
  <c r="D23" i="316"/>
  <c r="H23" i="248" s="1"/>
  <c r="K45" i="1"/>
  <c r="CD41" i="168"/>
  <c r="CF39" i="168"/>
  <c r="CF41" i="168" s="1"/>
  <c r="CH42" i="168"/>
  <c r="CH111" i="168" s="1"/>
  <c r="CJ40" i="168"/>
  <c r="Q34" i="91"/>
  <c r="Q35" i="91" s="1"/>
  <c r="Q42" i="91" s="1"/>
  <c r="Q36" i="91"/>
  <c r="BT20" i="91"/>
  <c r="BR21" i="91"/>
  <c r="AZ41" i="91"/>
  <c r="DL35" i="91"/>
  <c r="DL42" i="91" s="1"/>
  <c r="X323" i="1"/>
  <c r="AI9" i="389"/>
  <c r="AK9" i="389" s="1"/>
  <c r="D12" i="412"/>
  <c r="E12" i="412" s="1"/>
  <c r="BH36" i="91"/>
  <c r="BH43" i="91" s="1"/>
  <c r="Q13" i="91"/>
  <c r="J51" i="248"/>
  <c r="C23" i="411"/>
  <c r="BN40" i="91"/>
  <c r="BN41" i="91" s="1"/>
  <c r="BE20" i="388"/>
  <c r="BE21" i="388" s="1"/>
  <c r="BP43" i="91"/>
  <c r="O40" i="1"/>
  <c r="C26" i="430" s="1"/>
  <c r="P38" i="73"/>
  <c r="Q38" i="73" s="1"/>
  <c r="F168" i="9"/>
  <c r="BA21" i="388"/>
  <c r="CF42" i="91"/>
  <c r="CF57" i="91" s="1"/>
  <c r="CF51" i="91" s="1"/>
  <c r="BZ42" i="91"/>
  <c r="BZ111" i="91" s="1"/>
  <c r="BZ51" i="91" s="1"/>
  <c r="E14" i="9"/>
  <c r="G34" i="91"/>
  <c r="G35" i="91" s="1"/>
  <c r="G42" i="91" s="1"/>
  <c r="E19" i="317"/>
  <c r="AT19" i="91"/>
  <c r="U21" i="352"/>
  <c r="W20" i="352"/>
  <c r="M43" i="91"/>
  <c r="M44" i="91" s="1"/>
  <c r="M35" i="91"/>
  <c r="M42" i="91" s="1"/>
  <c r="BR43" i="91"/>
  <c r="BR44" i="91" s="1"/>
  <c r="BR35" i="91"/>
  <c r="BR42" i="91" s="1"/>
  <c r="BR111" i="91" s="1"/>
  <c r="BR51" i="91" s="1"/>
  <c r="E19" i="91"/>
  <c r="F39" i="73"/>
  <c r="G39" i="73" s="1"/>
  <c r="AK21" i="352"/>
  <c r="AM20" i="352"/>
  <c r="F23" i="227"/>
  <c r="G53" i="248"/>
  <c r="BL14" i="91"/>
  <c r="BJ16" i="91"/>
  <c r="BJ17" i="91" s="1"/>
  <c r="BJ19" i="91" s="1"/>
  <c r="N15" i="73"/>
  <c r="O13" i="73"/>
  <c r="P13" i="73" s="1"/>
  <c r="C13" i="290"/>
  <c r="BD20" i="91"/>
  <c r="BB21" i="91"/>
  <c r="AK20" i="388"/>
  <c r="AW20" i="352"/>
  <c r="AW21" i="352" s="1"/>
  <c r="AU21" i="352"/>
  <c r="CP24" i="168"/>
  <c r="CR24" i="168" s="1"/>
  <c r="CR33" i="168" s="1"/>
  <c r="D167" i="9"/>
  <c r="H71" i="9" s="1"/>
  <c r="D172" i="9"/>
  <c r="I71" i="9" s="1"/>
  <c r="E188" i="9"/>
  <c r="D188" i="9"/>
  <c r="L72" i="9" s="1"/>
  <c r="J82" i="9"/>
  <c r="K82" i="9" s="1"/>
  <c r="L82" i="9" s="1"/>
  <c r="D70" i="9"/>
  <c r="D73" i="9" s="1"/>
  <c r="D90" i="9" s="1"/>
  <c r="S121" i="9" s="1"/>
  <c r="S124" i="9" s="1"/>
  <c r="S126" i="9" s="1"/>
  <c r="E68" i="9"/>
  <c r="H68" i="9" s="1"/>
  <c r="I68" i="9" s="1"/>
  <c r="J39" i="9"/>
  <c r="J40" i="9" s="1"/>
  <c r="AY43" i="9"/>
  <c r="J41" i="9" s="1"/>
  <c r="J46" i="9" s="1"/>
  <c r="AQ42" i="9"/>
  <c r="H38" i="9" s="1"/>
  <c r="H45" i="9" s="1"/>
  <c r="AQ43" i="9"/>
  <c r="H41" i="9" s="1"/>
  <c r="H46" i="9" s="1"/>
  <c r="AL39" i="9"/>
  <c r="AL40" i="9" s="1"/>
  <c r="AM41" i="9" s="1"/>
  <c r="AM42" i="9"/>
  <c r="BZ52" i="91"/>
  <c r="CF52" i="91"/>
  <c r="AL36" i="91"/>
  <c r="AL34" i="91"/>
  <c r="AL20" i="91"/>
  <c r="AJ21" i="91"/>
  <c r="AJ27" i="91" s="1"/>
  <c r="AJ28" i="91" s="1"/>
  <c r="AJ29" i="91" s="1"/>
  <c r="F40" i="73"/>
  <c r="F43" i="73" s="1"/>
  <c r="DF39" i="91"/>
  <c r="P37" i="73"/>
  <c r="K107" i="9"/>
  <c r="W21" i="388"/>
  <c r="Y20" i="388"/>
  <c r="Y21" i="388" s="1"/>
  <c r="CR42" i="168"/>
  <c r="CR41" i="168"/>
  <c r="I10" i="9"/>
  <c r="I13" i="9" s="1"/>
  <c r="J10" i="9"/>
  <c r="J13" i="9" s="1"/>
  <c r="AR21" i="91"/>
  <c r="AT20" i="91"/>
  <c r="AM57" i="388"/>
  <c r="AI9" i="352"/>
  <c r="AK9" i="352" s="1"/>
  <c r="AA57" i="389"/>
  <c r="AI57" i="388"/>
  <c r="AI57" i="168"/>
  <c r="F31" i="410"/>
  <c r="AE57" i="168"/>
  <c r="AE57" i="352"/>
  <c r="C106" i="303"/>
  <c r="E106" i="303" s="1"/>
  <c r="AA9" i="168"/>
  <c r="AC9" i="168" s="1"/>
  <c r="B91" i="316"/>
  <c r="AA9" i="388"/>
  <c r="AC9" i="388" s="1"/>
  <c r="B91" i="408"/>
  <c r="S57" i="388"/>
  <c r="S57" i="389"/>
  <c r="DZ57" i="168"/>
  <c r="BC21" i="168"/>
  <c r="C107" i="425" s="1"/>
  <c r="E107" i="425" s="1"/>
  <c r="BE20" i="168"/>
  <c r="BE21" i="168" s="1"/>
  <c r="AA18" i="389"/>
  <c r="AC18" i="389" s="1"/>
  <c r="AE18" i="389" s="1"/>
  <c r="AG18" i="389" s="1"/>
  <c r="AA18" i="388"/>
  <c r="AC18" i="388" s="1"/>
  <c r="AE18" i="388" s="1"/>
  <c r="AG18" i="388" s="1"/>
  <c r="I16" i="73"/>
  <c r="I18" i="73" s="1"/>
  <c r="I26" i="73" s="1"/>
  <c r="I27" i="73" s="1"/>
  <c r="I28" i="73" s="1"/>
  <c r="I29" i="73" s="1"/>
  <c r="I32" i="73" s="1"/>
  <c r="I33" i="73" s="1"/>
  <c r="I34" i="73" s="1"/>
  <c r="H18" i="73"/>
  <c r="H78" i="9"/>
  <c r="H85" i="9" s="1"/>
  <c r="F167" i="9"/>
  <c r="B14" i="380"/>
  <c r="B20" i="417"/>
  <c r="M7" i="247"/>
  <c r="N7" i="247" s="1"/>
  <c r="DN35" i="91"/>
  <c r="DN43" i="91"/>
  <c r="DN44" i="91" s="1"/>
  <c r="C95" i="411"/>
  <c r="E95" i="411" s="1"/>
  <c r="K57" i="168"/>
  <c r="K57" i="388"/>
  <c r="AZ19" i="91"/>
  <c r="AZ27" i="91" s="1"/>
  <c r="AZ28" i="91" s="1"/>
  <c r="AZ29" i="91" s="1"/>
  <c r="K79" i="9"/>
  <c r="K86" i="9" s="1"/>
  <c r="F183" i="9"/>
  <c r="D3" i="316"/>
  <c r="F3" i="302"/>
  <c r="AC21" i="388"/>
  <c r="AE20" i="388"/>
  <c r="E177" i="9"/>
  <c r="D177" i="9"/>
  <c r="J71" i="9" s="1"/>
  <c r="E178" i="9"/>
  <c r="E163" i="9"/>
  <c r="E173" i="9"/>
  <c r="D130" i="9"/>
  <c r="D132" i="9" s="1"/>
  <c r="D137" i="9" s="1"/>
  <c r="E109" i="9"/>
  <c r="T125" i="9" s="1"/>
  <c r="K37" i="9"/>
  <c r="E36" i="9"/>
  <c r="E37" i="9" s="1"/>
  <c r="AO42" i="9"/>
  <c r="E38" i="9" s="1"/>
  <c r="E45" i="9" s="1"/>
  <c r="C27" i="227"/>
  <c r="C29" i="227" s="1"/>
  <c r="C30" i="227" s="1"/>
  <c r="C31" i="227" s="1"/>
  <c r="C33" i="227" s="1"/>
  <c r="C32" i="227"/>
  <c r="BN36" i="91"/>
  <c r="BN34" i="91"/>
  <c r="BN35" i="91" s="1"/>
  <c r="AT34" i="91"/>
  <c r="AT35" i="91" s="1"/>
  <c r="AT36" i="91"/>
  <c r="Y36" i="91"/>
  <c r="Y34" i="91"/>
  <c r="Y35" i="91" s="1"/>
  <c r="Y42" i="91" s="1"/>
  <c r="BF19" i="91"/>
  <c r="DF33" i="91"/>
  <c r="BB19" i="91"/>
  <c r="G26" i="73"/>
  <c r="G27" i="73" s="1"/>
  <c r="G28" i="73" s="1"/>
  <c r="G29" i="73" s="1"/>
  <c r="G32" i="73" s="1"/>
  <c r="G33" i="73" s="1"/>
  <c r="G34" i="73" s="1"/>
  <c r="G40" i="73" s="1"/>
  <c r="F42" i="73" s="1"/>
  <c r="F44" i="73" s="1"/>
  <c r="BZ43" i="91"/>
  <c r="BZ44" i="91" s="1"/>
  <c r="U21" i="389"/>
  <c r="W20" i="389"/>
  <c r="D53" i="267"/>
  <c r="D53" i="358"/>
  <c r="I13" i="73"/>
  <c r="K16" i="91"/>
  <c r="K17" i="91" s="1"/>
  <c r="K19" i="91" s="1"/>
  <c r="K27" i="91" s="1"/>
  <c r="K28" i="91" s="1"/>
  <c r="K29" i="91" s="1"/>
  <c r="M14" i="91"/>
  <c r="CL52" i="91"/>
  <c r="E16" i="317"/>
  <c r="E41" i="9"/>
  <c r="E46" i="9" s="1"/>
  <c r="K26" i="73"/>
  <c r="K27" i="73" s="1"/>
  <c r="K28" i="73" s="1"/>
  <c r="K29" i="73" s="1"/>
  <c r="K32" i="73" s="1"/>
  <c r="K33" i="73" s="1"/>
  <c r="K34" i="73" s="1"/>
  <c r="E10" i="304"/>
  <c r="E18" i="304"/>
  <c r="Y67" i="60"/>
  <c r="AA60" i="60"/>
  <c r="AA67" i="60" s="1"/>
  <c r="N24" i="2"/>
  <c r="O24" i="2"/>
  <c r="P24" i="2" s="1"/>
  <c r="CP42" i="168"/>
  <c r="CP43" i="168" s="1"/>
  <c r="CP41" i="168"/>
  <c r="AP39" i="9"/>
  <c r="H32" i="9"/>
  <c r="K44" i="9"/>
  <c r="K41" i="9"/>
  <c r="K46" i="9" s="1"/>
  <c r="J60" i="9"/>
  <c r="J62" i="9" s="1"/>
  <c r="J23" i="9" s="1"/>
  <c r="AR19" i="91"/>
  <c r="AR27" i="91" s="1"/>
  <c r="AR28" i="91" s="1"/>
  <c r="AR29" i="91" s="1"/>
  <c r="BG41" i="9"/>
  <c r="E10" i="317"/>
  <c r="U17" i="91"/>
  <c r="U19" i="91" s="1"/>
  <c r="BK26" i="9"/>
  <c r="AC67" i="60"/>
  <c r="S17" i="91"/>
  <c r="S19" i="91" s="1"/>
  <c r="S27" i="91" s="1"/>
  <c r="S28" i="91" s="1"/>
  <c r="S29" i="91" s="1"/>
  <c r="C16" i="73"/>
  <c r="E7" i="372"/>
  <c r="CB47" i="168"/>
  <c r="CB48" i="168" s="1"/>
  <c r="CB54" i="168" s="1"/>
  <c r="E187" i="9"/>
  <c r="E18" i="282"/>
  <c r="E7" i="423"/>
  <c r="E12" i="304"/>
  <c r="E17" i="412"/>
  <c r="AY9" i="389"/>
  <c r="BA9" i="389" s="1"/>
  <c r="AY9" i="352"/>
  <c r="BA9" i="352" s="1"/>
  <c r="E12" i="436"/>
  <c r="F89" i="49"/>
  <c r="F69" i="49"/>
  <c r="I53" i="49"/>
  <c r="E53" i="1" s="1"/>
  <c r="L60" i="60" s="1"/>
  <c r="H50" i="50"/>
  <c r="I57" i="366"/>
  <c r="M57" i="366" s="1"/>
  <c r="Q57" i="366" s="1"/>
  <c r="U57" i="366" s="1"/>
  <c r="I105" i="366"/>
  <c r="M105" i="366" s="1"/>
  <c r="Q105" i="366" s="1"/>
  <c r="U105" i="366" s="1"/>
  <c r="I205" i="366"/>
  <c r="I333" i="366"/>
  <c r="M333" i="366" s="1"/>
  <c r="Q333" i="366" s="1"/>
  <c r="U333" i="366" s="1"/>
  <c r="I617" i="366"/>
  <c r="M617" i="366" s="1"/>
  <c r="Q617" i="366" s="1"/>
  <c r="U617" i="366" s="1"/>
  <c r="I85" i="366"/>
  <c r="M85" i="366" s="1"/>
  <c r="Q85" i="366" s="1"/>
  <c r="U85" i="366" s="1"/>
  <c r="F79" i="49"/>
  <c r="F62" i="49"/>
  <c r="D20" i="49"/>
  <c r="I215" i="366"/>
  <c r="I671" i="366"/>
  <c r="M671" i="366" s="1"/>
  <c r="Q671" i="366" s="1"/>
  <c r="U671" i="366" s="1"/>
  <c r="F26" i="50"/>
  <c r="F100" i="49"/>
  <c r="G25" i="49"/>
  <c r="C116" i="1" s="1"/>
  <c r="G24" i="49"/>
  <c r="C115" i="1" s="1"/>
  <c r="E18" i="184" s="1"/>
  <c r="G18" i="184" s="1"/>
  <c r="I18" i="184" s="1"/>
  <c r="D33" i="49"/>
  <c r="G27" i="49"/>
  <c r="C118" i="1" s="1"/>
  <c r="I52" i="49"/>
  <c r="E52" i="1" s="1"/>
  <c r="C19" i="291" s="1"/>
  <c r="C95" i="291" s="1"/>
  <c r="E95" i="291" s="1"/>
  <c r="G35" i="49"/>
  <c r="C110" i="1" s="1"/>
  <c r="C167" i="1" s="1"/>
  <c r="C10" i="272" s="1"/>
  <c r="I50" i="49"/>
  <c r="E50" i="1" s="1"/>
  <c r="D7" i="360" s="1"/>
  <c r="I89" i="49"/>
  <c r="E32" i="311" s="1"/>
  <c r="G146" i="49"/>
  <c r="C123" i="1" s="1"/>
  <c r="B70" i="393" s="1"/>
  <c r="E71" i="393" s="1"/>
  <c r="C125" i="49"/>
  <c r="C133" i="1" s="1"/>
  <c r="C9" i="356" s="1"/>
  <c r="D9" i="356" s="1"/>
  <c r="E9" i="356" s="1"/>
  <c r="F49" i="49"/>
  <c r="C138" i="1" s="1"/>
  <c r="AA14" i="352" s="1"/>
  <c r="AC14" i="352" s="1"/>
  <c r="AE14" i="352" s="1"/>
  <c r="C51" i="49"/>
  <c r="I327" i="366"/>
  <c r="M327" i="366" s="1"/>
  <c r="Q327" i="366" s="1"/>
  <c r="U327" i="366" s="1"/>
  <c r="I91" i="366"/>
  <c r="M91" i="366" s="1"/>
  <c r="Q91" i="366" s="1"/>
  <c r="U91" i="366" s="1"/>
  <c r="G48" i="49"/>
  <c r="H49" i="49"/>
  <c r="F70" i="49"/>
  <c r="F128" i="49"/>
  <c r="G50" i="49"/>
  <c r="F47" i="49"/>
  <c r="C136" i="1" s="1"/>
  <c r="CL20" i="168" s="1"/>
  <c r="CL21" i="168" s="1"/>
  <c r="F98" i="49"/>
  <c r="G149" i="49"/>
  <c r="C125" i="1" s="1"/>
  <c r="E8" i="184" s="1"/>
  <c r="G8" i="184" s="1"/>
  <c r="C11" i="313" s="1"/>
  <c r="I7" i="366"/>
  <c r="M7" i="366" s="1"/>
  <c r="Q7" i="366" s="1"/>
  <c r="U7" i="366" s="1"/>
  <c r="I11" i="366"/>
  <c r="M11" i="366" s="1"/>
  <c r="Q11" i="366" s="1"/>
  <c r="U11" i="366" s="1"/>
  <c r="I15" i="366"/>
  <c r="M15" i="366" s="1"/>
  <c r="Q15" i="366" s="1"/>
  <c r="U15" i="366" s="1"/>
  <c r="I19" i="366"/>
  <c r="I23" i="366"/>
  <c r="M23" i="366" s="1"/>
  <c r="Q23" i="366" s="1"/>
  <c r="U23" i="366" s="1"/>
  <c r="I27" i="366"/>
  <c r="M27" i="366" s="1"/>
  <c r="Q27" i="366" s="1"/>
  <c r="U27" i="366" s="1"/>
  <c r="I31" i="366"/>
  <c r="M31" i="366" s="1"/>
  <c r="Q31" i="366" s="1"/>
  <c r="U31" i="366" s="1"/>
  <c r="I35" i="366"/>
  <c r="I39" i="366"/>
  <c r="M39" i="366" s="1"/>
  <c r="Q39" i="366" s="1"/>
  <c r="U39" i="366" s="1"/>
  <c r="I43" i="366"/>
  <c r="M43" i="366" s="1"/>
  <c r="Q43" i="366" s="1"/>
  <c r="U43" i="366" s="1"/>
  <c r="I47" i="366"/>
  <c r="I51" i="366"/>
  <c r="M51" i="366" s="1"/>
  <c r="Q51" i="366" s="1"/>
  <c r="U51" i="366" s="1"/>
  <c r="I55" i="366"/>
  <c r="M55" i="366" s="1"/>
  <c r="Q55" i="366" s="1"/>
  <c r="U55" i="366" s="1"/>
  <c r="I59" i="366"/>
  <c r="M59" i="366" s="1"/>
  <c r="Q59" i="366" s="1"/>
  <c r="U59" i="366" s="1"/>
  <c r="I63" i="366"/>
  <c r="M63" i="366" s="1"/>
  <c r="Q63" i="366" s="1"/>
  <c r="U63" i="366" s="1"/>
  <c r="I67" i="366"/>
  <c r="M67" i="366" s="1"/>
  <c r="Q67" i="366" s="1"/>
  <c r="U67" i="366" s="1"/>
  <c r="I71" i="366"/>
  <c r="M71" i="366" s="1"/>
  <c r="Q71" i="366" s="1"/>
  <c r="U71" i="366" s="1"/>
  <c r="I75" i="366"/>
  <c r="M75" i="366" s="1"/>
  <c r="Q75" i="366" s="1"/>
  <c r="U75" i="366" s="1"/>
  <c r="I79" i="366"/>
  <c r="I83" i="366"/>
  <c r="M83" i="366" s="1"/>
  <c r="Q83" i="366" s="1"/>
  <c r="U83" i="366" s="1"/>
  <c r="I87" i="366"/>
  <c r="M87" i="366" s="1"/>
  <c r="Q87" i="366" s="1"/>
  <c r="U87" i="366" s="1"/>
  <c r="I95" i="366"/>
  <c r="M95" i="366" s="1"/>
  <c r="Q95" i="366" s="1"/>
  <c r="U95" i="366" s="1"/>
  <c r="I99" i="366"/>
  <c r="M99" i="366" s="1"/>
  <c r="Q99" i="366" s="1"/>
  <c r="U99" i="366" s="1"/>
  <c r="I103" i="366"/>
  <c r="M103" i="366" s="1"/>
  <c r="Q103" i="366" s="1"/>
  <c r="U103" i="366" s="1"/>
  <c r="I107" i="366"/>
  <c r="M107" i="366" s="1"/>
  <c r="Q107" i="366" s="1"/>
  <c r="U107" i="366" s="1"/>
  <c r="I111" i="366"/>
  <c r="M111" i="366" s="1"/>
  <c r="Q111" i="366" s="1"/>
  <c r="U111" i="366" s="1"/>
  <c r="I115" i="366"/>
  <c r="I119" i="366"/>
  <c r="M119" i="366" s="1"/>
  <c r="Q119" i="366" s="1"/>
  <c r="U119" i="366" s="1"/>
  <c r="I123" i="366"/>
  <c r="M123" i="366" s="1"/>
  <c r="Q123" i="366" s="1"/>
  <c r="U123" i="366" s="1"/>
  <c r="I127" i="366"/>
  <c r="M127" i="366" s="1"/>
  <c r="Q127" i="366" s="1"/>
  <c r="U127" i="366" s="1"/>
  <c r="I131" i="366"/>
  <c r="I135" i="366"/>
  <c r="I139" i="366"/>
  <c r="M139" i="366" s="1"/>
  <c r="Q139" i="366" s="1"/>
  <c r="U139" i="366" s="1"/>
  <c r="I143" i="366"/>
  <c r="M143" i="366" s="1"/>
  <c r="Q143" i="366" s="1"/>
  <c r="U143" i="366" s="1"/>
  <c r="I147" i="366"/>
  <c r="I151" i="366"/>
  <c r="M151" i="366" s="1"/>
  <c r="Q151" i="366" s="1"/>
  <c r="U151" i="366" s="1"/>
  <c r="I155" i="366"/>
  <c r="M155" i="366" s="1"/>
  <c r="Q155" i="366" s="1"/>
  <c r="U155" i="366" s="1"/>
  <c r="I159" i="366"/>
  <c r="M159" i="366" s="1"/>
  <c r="Q159" i="366" s="1"/>
  <c r="U159" i="366" s="1"/>
  <c r="I163" i="366"/>
  <c r="M163" i="366" s="1"/>
  <c r="Q163" i="366" s="1"/>
  <c r="U163" i="366" s="1"/>
  <c r="I167" i="366"/>
  <c r="M167" i="366" s="1"/>
  <c r="Q167" i="366" s="1"/>
  <c r="U167" i="366" s="1"/>
  <c r="I171" i="366"/>
  <c r="M171" i="366" s="1"/>
  <c r="Q171" i="366" s="1"/>
  <c r="U171" i="366" s="1"/>
  <c r="I175" i="366"/>
  <c r="I179" i="366"/>
  <c r="M179" i="366" s="1"/>
  <c r="Q179" i="366" s="1"/>
  <c r="U179" i="366" s="1"/>
  <c r="I183" i="366"/>
  <c r="I187" i="366"/>
  <c r="M187" i="366" s="1"/>
  <c r="Q187" i="366" s="1"/>
  <c r="U187" i="366" s="1"/>
  <c r="I191" i="366"/>
  <c r="M191" i="366" s="1"/>
  <c r="Q191" i="366" s="1"/>
  <c r="U191" i="366" s="1"/>
  <c r="I195" i="366"/>
  <c r="I199" i="366"/>
  <c r="I203" i="366"/>
  <c r="M203" i="366" s="1"/>
  <c r="Q203" i="366" s="1"/>
  <c r="U203" i="366" s="1"/>
  <c r="I207" i="366"/>
  <c r="M207" i="366" s="1"/>
  <c r="Q207" i="366" s="1"/>
  <c r="U207" i="366" s="1"/>
  <c r="I211" i="366"/>
  <c r="I219" i="366"/>
  <c r="M219" i="366" s="1"/>
  <c r="Q219" i="366" s="1"/>
  <c r="U219" i="366" s="1"/>
  <c r="I223" i="366"/>
  <c r="M223" i="366" s="1"/>
  <c r="Q223" i="366" s="1"/>
  <c r="U223" i="366" s="1"/>
  <c r="I227" i="366"/>
  <c r="M227" i="366" s="1"/>
  <c r="Q227" i="366" s="1"/>
  <c r="U227" i="366" s="1"/>
  <c r="I231" i="366"/>
  <c r="M231" i="366" s="1"/>
  <c r="Q231" i="366" s="1"/>
  <c r="U231" i="366" s="1"/>
  <c r="I235" i="366"/>
  <c r="M235" i="366" s="1"/>
  <c r="Q235" i="366" s="1"/>
  <c r="U235" i="366" s="1"/>
  <c r="I243" i="366"/>
  <c r="M243" i="366" s="1"/>
  <c r="Q243" i="366" s="1"/>
  <c r="U243" i="366" s="1"/>
  <c r="I247" i="366"/>
  <c r="M247" i="366" s="1"/>
  <c r="Q247" i="366" s="1"/>
  <c r="U247" i="366" s="1"/>
  <c r="I251" i="366"/>
  <c r="M251" i="366" s="1"/>
  <c r="Q251" i="366" s="1"/>
  <c r="U251" i="366" s="1"/>
  <c r="I255" i="366"/>
  <c r="M255" i="366" s="1"/>
  <c r="Q255" i="366" s="1"/>
  <c r="U255" i="366" s="1"/>
  <c r="I259" i="366"/>
  <c r="M259" i="366" s="1"/>
  <c r="Q259" i="366" s="1"/>
  <c r="U259" i="366" s="1"/>
  <c r="I275" i="366"/>
  <c r="M275" i="366" s="1"/>
  <c r="Q275" i="366" s="1"/>
  <c r="U275" i="366" s="1"/>
  <c r="I291" i="366"/>
  <c r="M291" i="366" s="1"/>
  <c r="Q291" i="366" s="1"/>
  <c r="U291" i="366" s="1"/>
  <c r="I299" i="366"/>
  <c r="M299" i="366" s="1"/>
  <c r="Q299" i="366" s="1"/>
  <c r="U299" i="366" s="1"/>
  <c r="I319" i="366"/>
  <c r="M319" i="366" s="1"/>
  <c r="Q319" i="366" s="1"/>
  <c r="U319" i="366" s="1"/>
  <c r="I335" i="366"/>
  <c r="M335" i="366" s="1"/>
  <c r="Q335" i="366" s="1"/>
  <c r="U335" i="366" s="1"/>
  <c r="I563" i="366"/>
  <c r="M563" i="366" s="1"/>
  <c r="Q563" i="366" s="1"/>
  <c r="U563" i="366" s="1"/>
  <c r="F65" i="49"/>
  <c r="I49" i="49"/>
  <c r="H51" i="49"/>
  <c r="F118" i="49"/>
  <c r="I55" i="49"/>
  <c r="E55" i="1" s="1"/>
  <c r="C35" i="360" s="1"/>
  <c r="E150" i="383"/>
  <c r="F123" i="49"/>
  <c r="D35" i="49"/>
  <c r="F102" i="49"/>
  <c r="F103" i="49"/>
  <c r="H48" i="49"/>
  <c r="C48" i="1" s="1"/>
  <c r="F12" i="268" s="1"/>
  <c r="H70" i="49"/>
  <c r="C74" i="1" s="1"/>
  <c r="C36" i="356" s="1"/>
  <c r="F60" i="49"/>
  <c r="C120" i="49"/>
  <c r="C126" i="1" s="1"/>
  <c r="E83" i="49"/>
  <c r="C83" i="1" s="1"/>
  <c r="F65" i="268" s="1"/>
  <c r="H65" i="268" s="1"/>
  <c r="J65" i="268" s="1"/>
  <c r="K65" i="268" s="1"/>
  <c r="C123" i="49"/>
  <c r="C130" i="1" s="1"/>
  <c r="G26" i="2" s="1"/>
  <c r="H26" i="2" s="1"/>
  <c r="I48" i="49"/>
  <c r="E48" i="1" s="1"/>
  <c r="F71" i="49"/>
  <c r="G37" i="49"/>
  <c r="C112" i="1" s="1"/>
  <c r="C58" i="167" s="1"/>
  <c r="G26" i="49"/>
  <c r="C117" i="1" s="1"/>
  <c r="F94" i="49"/>
  <c r="F88" i="49"/>
  <c r="F55" i="49"/>
  <c r="F68" i="49"/>
  <c r="G147" i="49"/>
  <c r="C124" i="1" s="1"/>
  <c r="F64" i="49"/>
  <c r="C134" i="49"/>
  <c r="C134" i="1" s="1"/>
  <c r="F68" i="268" s="1"/>
  <c r="D21" i="276" s="1"/>
  <c r="E21" i="276" s="1"/>
  <c r="H52" i="49"/>
  <c r="C52" i="1" s="1"/>
  <c r="C19" i="269" s="1"/>
  <c r="E19" i="269" s="1"/>
  <c r="D17" i="49"/>
  <c r="F48" i="49"/>
  <c r="C137" i="1" s="1"/>
  <c r="DJ13" i="168" s="1"/>
  <c r="DL13" i="168" s="1"/>
  <c r="DN13" i="168" s="1"/>
  <c r="DP13" i="168" s="1"/>
  <c r="G70" i="49"/>
  <c r="D34" i="49"/>
  <c r="I343" i="366"/>
  <c r="M343" i="366" s="1"/>
  <c r="Q343" i="366" s="1"/>
  <c r="U343" i="366" s="1"/>
  <c r="I347" i="366"/>
  <c r="M347" i="366" s="1"/>
  <c r="Q347" i="366" s="1"/>
  <c r="U347" i="366" s="1"/>
  <c r="I351" i="366"/>
  <c r="M351" i="366" s="1"/>
  <c r="Q351" i="366" s="1"/>
  <c r="U351" i="366" s="1"/>
  <c r="I355" i="366"/>
  <c r="M355" i="366" s="1"/>
  <c r="Q355" i="366" s="1"/>
  <c r="U355" i="366" s="1"/>
  <c r="I371" i="366"/>
  <c r="M371" i="366" s="1"/>
  <c r="Q371" i="366" s="1"/>
  <c r="U371" i="366" s="1"/>
  <c r="I375" i="366"/>
  <c r="M375" i="366" s="1"/>
  <c r="Q375" i="366" s="1"/>
  <c r="U375" i="366" s="1"/>
  <c r="I379" i="366"/>
  <c r="M379" i="366" s="1"/>
  <c r="Q379" i="366" s="1"/>
  <c r="U379" i="366" s="1"/>
  <c r="I403" i="366"/>
  <c r="M403" i="366" s="1"/>
  <c r="Q403" i="366" s="1"/>
  <c r="U403" i="366" s="1"/>
  <c r="I407" i="366"/>
  <c r="M407" i="366" s="1"/>
  <c r="Q407" i="366" s="1"/>
  <c r="U407" i="366" s="1"/>
  <c r="I411" i="366"/>
  <c r="M411" i="366" s="1"/>
  <c r="Q411" i="366" s="1"/>
  <c r="U411" i="366" s="1"/>
  <c r="I415" i="366"/>
  <c r="M415" i="366" s="1"/>
  <c r="Q415" i="366" s="1"/>
  <c r="U415" i="366" s="1"/>
  <c r="I423" i="366"/>
  <c r="M423" i="366" s="1"/>
  <c r="Q423" i="366" s="1"/>
  <c r="U423" i="366" s="1"/>
  <c r="I427" i="366"/>
  <c r="M427" i="366" s="1"/>
  <c r="Q427" i="366" s="1"/>
  <c r="U427" i="366" s="1"/>
  <c r="I439" i="366"/>
  <c r="M439" i="366" s="1"/>
  <c r="Q439" i="366" s="1"/>
  <c r="U439" i="366" s="1"/>
  <c r="I443" i="366"/>
  <c r="M443" i="366" s="1"/>
  <c r="Q443" i="366" s="1"/>
  <c r="U443" i="366" s="1"/>
  <c r="I459" i="366"/>
  <c r="M459" i="366" s="1"/>
  <c r="Q459" i="366" s="1"/>
  <c r="U459" i="366" s="1"/>
  <c r="I467" i="366"/>
  <c r="M467" i="366" s="1"/>
  <c r="Q467" i="366" s="1"/>
  <c r="U467" i="366" s="1"/>
  <c r="I475" i="366"/>
  <c r="M475" i="366" s="1"/>
  <c r="Q475" i="366" s="1"/>
  <c r="U475" i="366" s="1"/>
  <c r="I495" i="366"/>
  <c r="M495" i="366" s="1"/>
  <c r="Q495" i="366" s="1"/>
  <c r="U495" i="366" s="1"/>
  <c r="I507" i="366"/>
  <c r="M507" i="366" s="1"/>
  <c r="Q507" i="366" s="1"/>
  <c r="U507" i="366" s="1"/>
  <c r="I511" i="366"/>
  <c r="M511" i="366" s="1"/>
  <c r="Q511" i="366" s="1"/>
  <c r="U511" i="366" s="1"/>
  <c r="I531" i="366"/>
  <c r="M531" i="366" s="1"/>
  <c r="Q531" i="366" s="1"/>
  <c r="U531" i="366" s="1"/>
  <c r="I559" i="366"/>
  <c r="M559" i="366" s="1"/>
  <c r="Q559" i="366" s="1"/>
  <c r="U559" i="366" s="1"/>
  <c r="I587" i="366"/>
  <c r="M587" i="366" s="1"/>
  <c r="Q587" i="366" s="1"/>
  <c r="U587" i="366" s="1"/>
  <c r="I603" i="366"/>
  <c r="M603" i="366" s="1"/>
  <c r="Q603" i="366" s="1"/>
  <c r="U603" i="366" s="1"/>
  <c r="I611" i="366"/>
  <c r="M611" i="366" s="1"/>
  <c r="Q611" i="366" s="1"/>
  <c r="U611" i="366" s="1"/>
  <c r="I619" i="366"/>
  <c r="M619" i="366" s="1"/>
  <c r="Q619" i="366" s="1"/>
  <c r="U619" i="366" s="1"/>
  <c r="I627" i="366"/>
  <c r="M627" i="366" s="1"/>
  <c r="Q627" i="366" s="1"/>
  <c r="U627" i="366" s="1"/>
  <c r="I639" i="366"/>
  <c r="M639" i="366" s="1"/>
  <c r="Q639" i="366" s="1"/>
  <c r="U639" i="366" s="1"/>
  <c r="I643" i="366"/>
  <c r="M643" i="366" s="1"/>
  <c r="Q643" i="366" s="1"/>
  <c r="U643" i="366" s="1"/>
  <c r="I663" i="366"/>
  <c r="M663" i="366" s="1"/>
  <c r="Q663" i="366" s="1"/>
  <c r="U663" i="366" s="1"/>
  <c r="I703" i="366"/>
  <c r="M703" i="366" s="1"/>
  <c r="Q703" i="366" s="1"/>
  <c r="U703" i="366" s="1"/>
  <c r="I739" i="366"/>
  <c r="M739" i="366" s="1"/>
  <c r="Q739" i="366" s="1"/>
  <c r="U739" i="366" s="1"/>
  <c r="I743" i="366"/>
  <c r="M743" i="366" s="1"/>
  <c r="Q743" i="366" s="1"/>
  <c r="U743" i="366" s="1"/>
  <c r="I751" i="366"/>
  <c r="M751" i="366" s="1"/>
  <c r="Q751" i="366" s="1"/>
  <c r="U751" i="366" s="1"/>
  <c r="I783" i="366"/>
  <c r="M783" i="366" s="1"/>
  <c r="Q783" i="366" s="1"/>
  <c r="U783" i="366" s="1"/>
  <c r="I787" i="366"/>
  <c r="M787" i="366" s="1"/>
  <c r="Q787" i="366" s="1"/>
  <c r="U787" i="366" s="1"/>
  <c r="I799" i="366"/>
  <c r="M799" i="366" s="1"/>
  <c r="Q799" i="366" s="1"/>
  <c r="U799" i="366" s="1"/>
  <c r="I803" i="366"/>
  <c r="M803" i="366" s="1"/>
  <c r="Q803" i="366" s="1"/>
  <c r="U803" i="366" s="1"/>
  <c r="I811" i="366"/>
  <c r="M811" i="366" s="1"/>
  <c r="Q811" i="366" s="1"/>
  <c r="U811" i="366" s="1"/>
  <c r="I831" i="366"/>
  <c r="M831" i="366" s="1"/>
  <c r="Q831" i="366" s="1"/>
  <c r="U831" i="366" s="1"/>
  <c r="I835" i="366"/>
  <c r="M835" i="366" s="1"/>
  <c r="Q835" i="366" s="1"/>
  <c r="U835" i="366" s="1"/>
  <c r="I843" i="366"/>
  <c r="M843" i="366" s="1"/>
  <c r="Q843" i="366" s="1"/>
  <c r="U843" i="366" s="1"/>
  <c r="I851" i="366"/>
  <c r="M851" i="366" s="1"/>
  <c r="Q851" i="366" s="1"/>
  <c r="U851" i="366" s="1"/>
  <c r="I887" i="366"/>
  <c r="M887" i="366" s="1"/>
  <c r="Q887" i="366" s="1"/>
  <c r="U887" i="366" s="1"/>
  <c r="I895" i="366"/>
  <c r="M895" i="366" s="1"/>
  <c r="Q895" i="366" s="1"/>
  <c r="U895" i="366" s="1"/>
  <c r="I899" i="366"/>
  <c r="M899" i="366" s="1"/>
  <c r="Q899" i="366" s="1"/>
  <c r="U899" i="366" s="1"/>
  <c r="I907" i="366"/>
  <c r="M907" i="366" s="1"/>
  <c r="Q907" i="366" s="1"/>
  <c r="U907" i="366" s="1"/>
  <c r="I919" i="366"/>
  <c r="M919" i="366" s="1"/>
  <c r="Q919" i="366" s="1"/>
  <c r="U919" i="366" s="1"/>
  <c r="I923" i="366"/>
  <c r="M923" i="366" s="1"/>
  <c r="Q923" i="366" s="1"/>
  <c r="U923" i="366" s="1"/>
  <c r="I935" i="366"/>
  <c r="M935" i="366" s="1"/>
  <c r="Q935" i="366" s="1"/>
  <c r="U935" i="366" s="1"/>
  <c r="I939" i="366"/>
  <c r="M939" i="366" s="1"/>
  <c r="Q939" i="366" s="1"/>
  <c r="U939" i="366" s="1"/>
  <c r="I943" i="366"/>
  <c r="M943" i="366" s="1"/>
  <c r="Q943" i="366" s="1"/>
  <c r="U943" i="366" s="1"/>
  <c r="I947" i="366"/>
  <c r="M947" i="366" s="1"/>
  <c r="Q947" i="366" s="1"/>
  <c r="U947" i="366" s="1"/>
  <c r="I955" i="366"/>
  <c r="M955" i="366" s="1"/>
  <c r="Q955" i="366" s="1"/>
  <c r="U955" i="366" s="1"/>
  <c r="I959" i="366"/>
  <c r="M959" i="366" s="1"/>
  <c r="Q959" i="366" s="1"/>
  <c r="U959" i="366" s="1"/>
  <c r="I963" i="366"/>
  <c r="M963" i="366" s="1"/>
  <c r="Q963" i="366" s="1"/>
  <c r="U963" i="366" s="1"/>
  <c r="I971" i="366"/>
  <c r="M971" i="366" s="1"/>
  <c r="Q971" i="366" s="1"/>
  <c r="U971" i="366" s="1"/>
  <c r="I975" i="366"/>
  <c r="M975" i="366" s="1"/>
  <c r="Q975" i="366" s="1"/>
  <c r="U975" i="366" s="1"/>
  <c r="I991" i="366"/>
  <c r="M991" i="366" s="1"/>
  <c r="Q991" i="366" s="1"/>
  <c r="U991" i="366" s="1"/>
  <c r="I1011" i="366"/>
  <c r="M1011" i="366" s="1"/>
  <c r="Q1011" i="366" s="1"/>
  <c r="U1011" i="366" s="1"/>
  <c r="I1015" i="366"/>
  <c r="M1015" i="366" s="1"/>
  <c r="Q1015" i="366" s="1"/>
  <c r="U1015" i="366" s="1"/>
  <c r="I5" i="366"/>
  <c r="M5" i="366" s="1"/>
  <c r="Q5" i="366" s="1"/>
  <c r="U5" i="366" s="1"/>
  <c r="I17" i="366"/>
  <c r="M17" i="366" s="1"/>
  <c r="Q17" i="366" s="1"/>
  <c r="U17" i="366" s="1"/>
  <c r="I21" i="366"/>
  <c r="M21" i="366" s="1"/>
  <c r="Q21" i="366" s="1"/>
  <c r="U21" i="366" s="1"/>
  <c r="I37" i="366"/>
  <c r="M37" i="366" s="1"/>
  <c r="Q37" i="366" s="1"/>
  <c r="U37" i="366" s="1"/>
  <c r="I49" i="366"/>
  <c r="M49" i="366" s="1"/>
  <c r="Q49" i="366" s="1"/>
  <c r="U49" i="366" s="1"/>
  <c r="I65" i="366"/>
  <c r="M65" i="366" s="1"/>
  <c r="Q65" i="366" s="1"/>
  <c r="U65" i="366" s="1"/>
  <c r="I77" i="366"/>
  <c r="M77" i="366" s="1"/>
  <c r="Q77" i="366" s="1"/>
  <c r="U77" i="366" s="1"/>
  <c r="I93" i="366"/>
  <c r="M93" i="366" s="1"/>
  <c r="Q93" i="366" s="1"/>
  <c r="U93" i="366" s="1"/>
  <c r="I113" i="366"/>
  <c r="M113" i="366" s="1"/>
  <c r="Q113" i="366" s="1"/>
  <c r="U113" i="366" s="1"/>
  <c r="I133" i="366"/>
  <c r="M133" i="366" s="1"/>
  <c r="Q133" i="366" s="1"/>
  <c r="U133" i="366" s="1"/>
  <c r="I141" i="366"/>
  <c r="M141" i="366" s="1"/>
  <c r="Q141" i="366" s="1"/>
  <c r="U141" i="366" s="1"/>
  <c r="I161" i="366"/>
  <c r="M161" i="366" s="1"/>
  <c r="Q161" i="366" s="1"/>
  <c r="U161" i="366" s="1"/>
  <c r="I185" i="366"/>
  <c r="M185" i="366" s="1"/>
  <c r="Q185" i="366" s="1"/>
  <c r="U185" i="366" s="1"/>
  <c r="I197" i="366"/>
  <c r="M197" i="366" s="1"/>
  <c r="Q197" i="366" s="1"/>
  <c r="U197" i="366" s="1"/>
  <c r="I209" i="366"/>
  <c r="M209" i="366" s="1"/>
  <c r="Q209" i="366" s="1"/>
  <c r="U209" i="366" s="1"/>
  <c r="I217" i="366"/>
  <c r="M217" i="366" s="1"/>
  <c r="Q217" i="366" s="1"/>
  <c r="U217" i="366" s="1"/>
  <c r="I221" i="366"/>
  <c r="M221" i="366" s="1"/>
  <c r="Q221" i="366" s="1"/>
  <c r="U221" i="366" s="1"/>
  <c r="I225" i="366"/>
  <c r="M225" i="366" s="1"/>
  <c r="Q225" i="366" s="1"/>
  <c r="U225" i="366" s="1"/>
  <c r="I233" i="366"/>
  <c r="M233" i="366" s="1"/>
  <c r="Q233" i="366" s="1"/>
  <c r="U233" i="366" s="1"/>
  <c r="I313" i="366"/>
  <c r="M313" i="366" s="1"/>
  <c r="Q313" i="366" s="1"/>
  <c r="U313" i="366" s="1"/>
  <c r="I357" i="366"/>
  <c r="M357" i="366" s="1"/>
  <c r="Q357" i="366" s="1"/>
  <c r="U357" i="366" s="1"/>
  <c r="I401" i="366"/>
  <c r="M401" i="366" s="1"/>
  <c r="Q401" i="366" s="1"/>
  <c r="U401" i="366" s="1"/>
  <c r="I465" i="366"/>
  <c r="M465" i="366" s="1"/>
  <c r="Q465" i="366" s="1"/>
  <c r="U465" i="366" s="1"/>
  <c r="I581" i="366"/>
  <c r="M581" i="366" s="1"/>
  <c r="Q581" i="366" s="1"/>
  <c r="U581" i="366" s="1"/>
  <c r="I717" i="366"/>
  <c r="M717" i="366" s="1"/>
  <c r="Q717" i="366" s="1"/>
  <c r="U717" i="366" s="1"/>
  <c r="I993" i="366"/>
  <c r="M993" i="366" s="1"/>
  <c r="Q993" i="366" s="1"/>
  <c r="U993" i="366" s="1"/>
  <c r="F73" i="167"/>
  <c r="C95" i="269"/>
  <c r="E95" i="269" s="1"/>
  <c r="C11" i="425"/>
  <c r="E11" i="425" s="1"/>
  <c r="C122" i="49"/>
  <c r="C128" i="1" s="1"/>
  <c r="D11" i="277" s="1"/>
  <c r="F66" i="49"/>
  <c r="D18" i="49"/>
  <c r="F104" i="49"/>
  <c r="G144" i="49"/>
  <c r="C121" i="1" s="1"/>
  <c r="F101" i="49"/>
  <c r="E22" i="49"/>
  <c r="E8" i="281" s="1"/>
  <c r="G22" i="49"/>
  <c r="F117" i="49"/>
  <c r="F67" i="49"/>
  <c r="F106" i="49"/>
  <c r="F75" i="49"/>
  <c r="F124" i="49"/>
  <c r="G145" i="49"/>
  <c r="C122" i="1" s="1"/>
  <c r="B64" i="167" s="1"/>
  <c r="C65" i="167" s="1"/>
  <c r="X16" i="184" s="1"/>
  <c r="F72" i="49"/>
  <c r="F61" i="49"/>
  <c r="H54" i="49"/>
  <c r="C54" i="1" s="1"/>
  <c r="D19" i="49"/>
  <c r="D179" i="49"/>
  <c r="D193" i="9" s="1"/>
  <c r="H55" i="49"/>
  <c r="C55" i="1" s="1"/>
  <c r="C35" i="356" s="1"/>
  <c r="C54" i="356" s="1"/>
  <c r="C1" i="49"/>
  <c r="B1" i="1" s="1"/>
  <c r="A5" i="305" s="1"/>
  <c r="H85" i="49"/>
  <c r="F50" i="49"/>
  <c r="C139" i="1" s="1"/>
  <c r="C90" i="303" s="1"/>
  <c r="E90" i="303" s="1"/>
  <c r="F74" i="49"/>
  <c r="C124" i="49"/>
  <c r="C131" i="1" s="1"/>
  <c r="D13" i="277" s="1"/>
  <c r="F86" i="49"/>
  <c r="D15" i="49"/>
  <c r="C113" i="1" s="1"/>
  <c r="D28" i="267" s="1"/>
  <c r="E28" i="248" s="1"/>
  <c r="G28" i="49"/>
  <c r="C119" i="1" s="1"/>
  <c r="F49" i="50"/>
  <c r="F121" i="49"/>
  <c r="F87" i="49"/>
  <c r="F73" i="49"/>
  <c r="G93" i="49"/>
  <c r="G85" i="49"/>
  <c r="G143" i="49"/>
  <c r="C120" i="1" s="1"/>
  <c r="D16" i="49"/>
  <c r="F96" i="49"/>
  <c r="F97" i="49"/>
  <c r="G89" i="49"/>
  <c r="E32" i="278" s="1"/>
  <c r="C74" i="411"/>
  <c r="H50" i="49"/>
  <c r="C50" i="1" s="1"/>
  <c r="D26" i="358" s="1"/>
  <c r="F120" i="49"/>
  <c r="F114" i="49"/>
  <c r="F63" i="49"/>
  <c r="G21" i="49"/>
  <c r="G51" i="49"/>
  <c r="F112" i="49"/>
  <c r="F110" i="49"/>
  <c r="F56" i="49"/>
  <c r="A1" i="391"/>
  <c r="B11" i="391" s="1"/>
  <c r="B12" i="391" s="1"/>
  <c r="B13" i="391" s="1"/>
  <c r="B14" i="391" s="1"/>
  <c r="B15" i="391" s="1"/>
  <c r="F113" i="49"/>
  <c r="G23" i="49"/>
  <c r="C114" i="1" s="1"/>
  <c r="I51" i="49"/>
  <c r="G49" i="49"/>
  <c r="F99" i="49"/>
  <c r="F59" i="49"/>
  <c r="D178" i="49"/>
  <c r="D192" i="9" s="1"/>
  <c r="D3" i="377"/>
  <c r="D3" i="414"/>
  <c r="D3" i="429"/>
  <c r="D3" i="319"/>
  <c r="C3" i="428"/>
  <c r="C3" i="413"/>
  <c r="I109" i="366"/>
  <c r="M109" i="366" s="1"/>
  <c r="Q109" i="366" s="1"/>
  <c r="U109" i="366" s="1"/>
  <c r="H53" i="50"/>
  <c r="D16" i="50"/>
  <c r="I714" i="366"/>
  <c r="M714" i="366" s="1"/>
  <c r="Q714" i="366" s="1"/>
  <c r="U714" i="366" s="1"/>
  <c r="I522" i="366"/>
  <c r="M522" i="366" s="1"/>
  <c r="Q522" i="366" s="1"/>
  <c r="U522" i="366" s="1"/>
  <c r="I994" i="366"/>
  <c r="M994" i="366" s="1"/>
  <c r="Q994" i="366" s="1"/>
  <c r="U994" i="366" s="1"/>
  <c r="I453" i="366"/>
  <c r="M453" i="366" s="1"/>
  <c r="Q453" i="366" s="1"/>
  <c r="U453" i="366" s="1"/>
  <c r="I966" i="366"/>
  <c r="M966" i="366" s="1"/>
  <c r="Q966" i="366" s="1"/>
  <c r="U966" i="366" s="1"/>
  <c r="I754" i="366"/>
  <c r="M754" i="366" s="1"/>
  <c r="Q754" i="366" s="1"/>
  <c r="U754" i="366" s="1"/>
  <c r="D40" i="50"/>
  <c r="H38" i="50"/>
  <c r="F37" i="50"/>
  <c r="F29" i="50"/>
  <c r="H46" i="50"/>
  <c r="H26" i="50"/>
  <c r="F46" i="50"/>
  <c r="I377" i="366"/>
  <c r="M377" i="366" s="1"/>
  <c r="Q377" i="366" s="1"/>
  <c r="U377" i="366" s="1"/>
  <c r="F73" i="393"/>
  <c r="I473" i="366"/>
  <c r="M473" i="366" s="1"/>
  <c r="Q473" i="366" s="1"/>
  <c r="U473" i="366" s="1"/>
  <c r="I622" i="366"/>
  <c r="M622" i="366" s="1"/>
  <c r="Q622" i="366" s="1"/>
  <c r="U622" i="366" s="1"/>
  <c r="F38" i="50"/>
  <c r="I770" i="366"/>
  <c r="M770" i="366" s="1"/>
  <c r="Q770" i="366" s="1"/>
  <c r="U770" i="366" s="1"/>
  <c r="I741" i="366"/>
  <c r="M741" i="366" s="1"/>
  <c r="Q741" i="366" s="1"/>
  <c r="U741" i="366" s="1"/>
  <c r="F50" i="50"/>
  <c r="F51" i="50" s="1"/>
  <c r="I597" i="366"/>
  <c r="M597" i="366" s="1"/>
  <c r="Q597" i="366" s="1"/>
  <c r="U597" i="366" s="1"/>
  <c r="I781" i="366"/>
  <c r="M781" i="366" s="1"/>
  <c r="Q781" i="366" s="1"/>
  <c r="U781" i="366" s="1"/>
  <c r="I306" i="366"/>
  <c r="M306" i="366" s="1"/>
  <c r="Q306" i="366" s="1"/>
  <c r="U306" i="366" s="1"/>
  <c r="I838" i="366"/>
  <c r="M838" i="366" s="1"/>
  <c r="Q838" i="366" s="1"/>
  <c r="U838" i="366" s="1"/>
  <c r="I505" i="366"/>
  <c r="M505" i="366" s="1"/>
  <c r="Q505" i="366" s="1"/>
  <c r="U505" i="366" s="1"/>
  <c r="I137" i="366"/>
  <c r="M137" i="366" s="1"/>
  <c r="Q137" i="366" s="1"/>
  <c r="U137" i="366" s="1"/>
  <c r="I893" i="366"/>
  <c r="M893" i="366" s="1"/>
  <c r="Q893" i="366" s="1"/>
  <c r="U893" i="366" s="1"/>
  <c r="I25" i="366"/>
  <c r="M25" i="366" s="1"/>
  <c r="Q25" i="366" s="1"/>
  <c r="U25" i="366" s="1"/>
  <c r="I390" i="366"/>
  <c r="M390" i="366" s="1"/>
  <c r="Q390" i="366" s="1"/>
  <c r="U390" i="366" s="1"/>
  <c r="I9" i="366"/>
  <c r="M9" i="366" s="1"/>
  <c r="Q9" i="366" s="1"/>
  <c r="U9" i="366" s="1"/>
  <c r="I422" i="366"/>
  <c r="M422" i="366" s="1"/>
  <c r="Q422" i="366" s="1"/>
  <c r="U422" i="366" s="1"/>
  <c r="I46" i="366"/>
  <c r="M46" i="366" s="1"/>
  <c r="Q46" i="366" s="1"/>
  <c r="U46" i="366" s="1"/>
  <c r="I78" i="366"/>
  <c r="M78" i="366" s="1"/>
  <c r="Q78" i="366" s="1"/>
  <c r="U78" i="366" s="1"/>
  <c r="I110" i="366"/>
  <c r="M110" i="366" s="1"/>
  <c r="Q110" i="366" s="1"/>
  <c r="U110" i="366" s="1"/>
  <c r="I122" i="366"/>
  <c r="M122" i="366" s="1"/>
  <c r="Q122" i="366" s="1"/>
  <c r="U122" i="366" s="1"/>
  <c r="I258" i="366"/>
  <c r="M258" i="366" s="1"/>
  <c r="Q258" i="366" s="1"/>
  <c r="U258" i="366" s="1"/>
  <c r="I270" i="366"/>
  <c r="M270" i="366" s="1"/>
  <c r="Q270" i="366" s="1"/>
  <c r="U270" i="366" s="1"/>
  <c r="I330" i="366"/>
  <c r="M330" i="366" s="1"/>
  <c r="Q330" i="366" s="1"/>
  <c r="U330" i="366" s="1"/>
  <c r="I550" i="366"/>
  <c r="M550" i="366" s="1"/>
  <c r="Q550" i="366" s="1"/>
  <c r="U550" i="366" s="1"/>
  <c r="I566" i="366"/>
  <c r="M566" i="366" s="1"/>
  <c r="Q566" i="366" s="1"/>
  <c r="U566" i="366" s="1"/>
  <c r="I570" i="366"/>
  <c r="M570" i="366" s="1"/>
  <c r="Q570" i="366" s="1"/>
  <c r="U570" i="366" s="1"/>
  <c r="I574" i="366"/>
  <c r="M574" i="366" s="1"/>
  <c r="Q574" i="366" s="1"/>
  <c r="U574" i="366" s="1"/>
  <c r="I578" i="366"/>
  <c r="M578" i="366" s="1"/>
  <c r="Q578" i="366" s="1"/>
  <c r="U578" i="366" s="1"/>
  <c r="I582" i="366"/>
  <c r="M582" i="366" s="1"/>
  <c r="Q582" i="366" s="1"/>
  <c r="U582" i="366" s="1"/>
  <c r="I586" i="366"/>
  <c r="M586" i="366" s="1"/>
  <c r="Q586" i="366" s="1"/>
  <c r="U586" i="366" s="1"/>
  <c r="I590" i="366"/>
  <c r="M590" i="366" s="1"/>
  <c r="Q590" i="366" s="1"/>
  <c r="U590" i="366" s="1"/>
  <c r="I594" i="366"/>
  <c r="M594" i="366" s="1"/>
  <c r="Q594" i="366" s="1"/>
  <c r="U594" i="366" s="1"/>
  <c r="I598" i="366"/>
  <c r="M598" i="366" s="1"/>
  <c r="Q598" i="366" s="1"/>
  <c r="U598" i="366" s="1"/>
  <c r="I602" i="366"/>
  <c r="M602" i="366" s="1"/>
  <c r="Q602" i="366" s="1"/>
  <c r="U602" i="366" s="1"/>
  <c r="I606" i="366"/>
  <c r="M606" i="366" s="1"/>
  <c r="Q606" i="366" s="1"/>
  <c r="U606" i="366" s="1"/>
  <c r="I610" i="366"/>
  <c r="M610" i="366" s="1"/>
  <c r="Q610" i="366" s="1"/>
  <c r="U610" i="366" s="1"/>
  <c r="I614" i="366"/>
  <c r="M614" i="366" s="1"/>
  <c r="Q614" i="366" s="1"/>
  <c r="U614" i="366" s="1"/>
  <c r="I618" i="366"/>
  <c r="I626" i="366"/>
  <c r="M626" i="366" s="1"/>
  <c r="Q626" i="366" s="1"/>
  <c r="U626" i="366" s="1"/>
  <c r="I630" i="366"/>
  <c r="M630" i="366" s="1"/>
  <c r="Q630" i="366" s="1"/>
  <c r="U630" i="366" s="1"/>
  <c r="I634" i="366"/>
  <c r="M634" i="366" s="1"/>
  <c r="Q634" i="366" s="1"/>
  <c r="U634" i="366" s="1"/>
  <c r="I638" i="366"/>
  <c r="M638" i="366" s="1"/>
  <c r="Q638" i="366" s="1"/>
  <c r="U638" i="366" s="1"/>
  <c r="I642" i="366"/>
  <c r="M642" i="366" s="1"/>
  <c r="Q642" i="366" s="1"/>
  <c r="U642" i="366" s="1"/>
  <c r="I646" i="366"/>
  <c r="M646" i="366" s="1"/>
  <c r="Q646" i="366" s="1"/>
  <c r="U646" i="366" s="1"/>
  <c r="I650" i="366"/>
  <c r="M650" i="366" s="1"/>
  <c r="Q650" i="366" s="1"/>
  <c r="U650" i="366" s="1"/>
  <c r="I654" i="366"/>
  <c r="M654" i="366" s="1"/>
  <c r="Q654" i="366" s="1"/>
  <c r="U654" i="366" s="1"/>
  <c r="I658" i="366"/>
  <c r="M658" i="366" s="1"/>
  <c r="Q658" i="366" s="1"/>
  <c r="U658" i="366" s="1"/>
  <c r="I662" i="366"/>
  <c r="M662" i="366" s="1"/>
  <c r="Q662" i="366" s="1"/>
  <c r="U662" i="366" s="1"/>
  <c r="I666" i="366"/>
  <c r="M666" i="366" s="1"/>
  <c r="Q666" i="366" s="1"/>
  <c r="U666" i="366" s="1"/>
  <c r="I670" i="366"/>
  <c r="M670" i="366" s="1"/>
  <c r="Q670" i="366" s="1"/>
  <c r="U670" i="366" s="1"/>
  <c r="I674" i="366"/>
  <c r="M674" i="366" s="1"/>
  <c r="Q674" i="366" s="1"/>
  <c r="U674" i="366" s="1"/>
  <c r="I678" i="366"/>
  <c r="M678" i="366" s="1"/>
  <c r="Q678" i="366" s="1"/>
  <c r="U678" i="366" s="1"/>
  <c r="I682" i="366"/>
  <c r="M682" i="366" s="1"/>
  <c r="Q682" i="366" s="1"/>
  <c r="U682" i="366" s="1"/>
  <c r="I686" i="366"/>
  <c r="M686" i="366" s="1"/>
  <c r="Q686" i="366" s="1"/>
  <c r="U686" i="366" s="1"/>
  <c r="I690" i="366"/>
  <c r="M690" i="366" s="1"/>
  <c r="Q690" i="366" s="1"/>
  <c r="U690" i="366" s="1"/>
  <c r="I73" i="366"/>
  <c r="M73" i="366" s="1"/>
  <c r="Q73" i="366" s="1"/>
  <c r="U73" i="366" s="1"/>
  <c r="I121" i="366"/>
  <c r="M121" i="366" s="1"/>
  <c r="Q121" i="366" s="1"/>
  <c r="U121" i="366" s="1"/>
  <c r="I977" i="366"/>
  <c r="M977" i="366" s="1"/>
  <c r="Q977" i="366" s="1"/>
  <c r="U977" i="366" s="1"/>
  <c r="I389" i="366"/>
  <c r="M389" i="366" s="1"/>
  <c r="Q389" i="366" s="1"/>
  <c r="U389" i="366" s="1"/>
  <c r="I393" i="366"/>
  <c r="M393" i="366" s="1"/>
  <c r="Q393" i="366" s="1"/>
  <c r="U393" i="366" s="1"/>
  <c r="I45" i="366"/>
  <c r="M45" i="366" s="1"/>
  <c r="Q45" i="366" s="1"/>
  <c r="U45" i="366" s="1"/>
  <c r="M215" i="366"/>
  <c r="Q215" i="366" s="1"/>
  <c r="U215" i="366" s="1"/>
  <c r="I309" i="366"/>
  <c r="M309" i="366" s="1"/>
  <c r="Q309" i="366" s="1"/>
  <c r="U309" i="366" s="1"/>
  <c r="I13" i="366"/>
  <c r="M13" i="366" s="1"/>
  <c r="Q13" i="366" s="1"/>
  <c r="U13" i="366" s="1"/>
  <c r="I97" i="366"/>
  <c r="M97" i="366" s="1"/>
  <c r="Q97" i="366" s="1"/>
  <c r="U97" i="366" s="1"/>
  <c r="I665" i="366"/>
  <c r="M665" i="366" s="1"/>
  <c r="Q665" i="366" s="1"/>
  <c r="U665" i="366" s="1"/>
  <c r="I557" i="366"/>
  <c r="M557" i="366" s="1"/>
  <c r="Q557" i="366" s="1"/>
  <c r="U557" i="366" s="1"/>
  <c r="I81" i="366"/>
  <c r="M81" i="366" s="1"/>
  <c r="Q81" i="366" s="1"/>
  <c r="U81" i="366" s="1"/>
  <c r="M35" i="366"/>
  <c r="Q35" i="366" s="1"/>
  <c r="U35" i="366" s="1"/>
  <c r="I369" i="366"/>
  <c r="M369" i="366" s="1"/>
  <c r="Q369" i="366" s="1"/>
  <c r="U369" i="366" s="1"/>
  <c r="I201" i="366"/>
  <c r="M201" i="366" s="1"/>
  <c r="Q201" i="366" s="1"/>
  <c r="U201" i="366" s="1"/>
  <c r="I301" i="366"/>
  <c r="M301" i="366" s="1"/>
  <c r="Q301" i="366" s="1"/>
  <c r="U301" i="366" s="1"/>
  <c r="I69" i="366"/>
  <c r="M69" i="366" s="1"/>
  <c r="Q69" i="366" s="1"/>
  <c r="U69" i="366" s="1"/>
  <c r="I637" i="366"/>
  <c r="M637" i="366" s="1"/>
  <c r="Q637" i="366" s="1"/>
  <c r="U637" i="366" s="1"/>
  <c r="I1001" i="366"/>
  <c r="M1001" i="366" s="1"/>
  <c r="Q1001" i="366" s="1"/>
  <c r="U1001" i="366" s="1"/>
  <c r="I117" i="366"/>
  <c r="M117" i="366" s="1"/>
  <c r="Q117" i="366" s="1"/>
  <c r="U117" i="366" s="1"/>
  <c r="I61" i="366"/>
  <c r="M61" i="366" s="1"/>
  <c r="Q61" i="366" s="1"/>
  <c r="U61" i="366" s="1"/>
  <c r="I29" i="366"/>
  <c r="M29" i="366" s="1"/>
  <c r="Q29" i="366" s="1"/>
  <c r="U29" i="366" s="1"/>
  <c r="I441" i="366"/>
  <c r="M441" i="366" s="1"/>
  <c r="Q441" i="366" s="1"/>
  <c r="U441" i="366" s="1"/>
  <c r="I41" i="366"/>
  <c r="M41" i="366" s="1"/>
  <c r="Q41" i="366" s="1"/>
  <c r="U41" i="366" s="1"/>
  <c r="I89" i="366"/>
  <c r="M89" i="366" s="1"/>
  <c r="Q89" i="366" s="1"/>
  <c r="U89" i="366" s="1"/>
  <c r="M183" i="366"/>
  <c r="Q183" i="366" s="1"/>
  <c r="U183" i="366" s="1"/>
  <c r="I173" i="366"/>
  <c r="M173" i="366" s="1"/>
  <c r="Q173" i="366" s="1"/>
  <c r="U173" i="366" s="1"/>
  <c r="I229" i="366"/>
  <c r="M229" i="366" s="1"/>
  <c r="Q229" i="366" s="1"/>
  <c r="U229" i="366" s="1"/>
  <c r="I181" i="366"/>
  <c r="M181" i="366" s="1"/>
  <c r="Q181" i="366" s="1"/>
  <c r="U181" i="366" s="1"/>
  <c r="I237" i="366"/>
  <c r="M237" i="366" s="1"/>
  <c r="Q237" i="366" s="1"/>
  <c r="U237" i="366" s="1"/>
  <c r="I241" i="366"/>
  <c r="M241" i="366" s="1"/>
  <c r="Q241" i="366" s="1"/>
  <c r="U241" i="366" s="1"/>
  <c r="I245" i="366"/>
  <c r="M245" i="366" s="1"/>
  <c r="Q245" i="366" s="1"/>
  <c r="U245" i="366" s="1"/>
  <c r="I249" i="366"/>
  <c r="M249" i="366" s="1"/>
  <c r="Q249" i="366" s="1"/>
  <c r="U249" i="366" s="1"/>
  <c r="I253" i="366"/>
  <c r="M253" i="366" s="1"/>
  <c r="Q253" i="366" s="1"/>
  <c r="U253" i="366" s="1"/>
  <c r="I257" i="366"/>
  <c r="M257" i="366" s="1"/>
  <c r="Q257" i="366" s="1"/>
  <c r="U257" i="366" s="1"/>
  <c r="I261" i="366"/>
  <c r="M261" i="366" s="1"/>
  <c r="Q261" i="366" s="1"/>
  <c r="U261" i="366" s="1"/>
  <c r="I265" i="366"/>
  <c r="M265" i="366" s="1"/>
  <c r="Q265" i="366" s="1"/>
  <c r="U265" i="366" s="1"/>
  <c r="I269" i="366"/>
  <c r="M269" i="366" s="1"/>
  <c r="Q269" i="366" s="1"/>
  <c r="U269" i="366" s="1"/>
  <c r="I273" i="366"/>
  <c r="M273" i="366" s="1"/>
  <c r="Q273" i="366" s="1"/>
  <c r="U273" i="366" s="1"/>
  <c r="I277" i="366"/>
  <c r="M277" i="366" s="1"/>
  <c r="Q277" i="366" s="1"/>
  <c r="U277" i="366" s="1"/>
  <c r="I285" i="366"/>
  <c r="M285" i="366" s="1"/>
  <c r="Q285" i="366" s="1"/>
  <c r="U285" i="366" s="1"/>
  <c r="I289" i="366"/>
  <c r="M289" i="366" s="1"/>
  <c r="Q289" i="366" s="1"/>
  <c r="U289" i="366" s="1"/>
  <c r="I293" i="366"/>
  <c r="M293" i="366" s="1"/>
  <c r="Q293" i="366" s="1"/>
  <c r="U293" i="366" s="1"/>
  <c r="I297" i="366"/>
  <c r="M297" i="366" s="1"/>
  <c r="Q297" i="366" s="1"/>
  <c r="U297" i="366" s="1"/>
  <c r="I305" i="366"/>
  <c r="M305" i="366" s="1"/>
  <c r="Q305" i="366" s="1"/>
  <c r="U305" i="366" s="1"/>
  <c r="I317" i="366"/>
  <c r="M317" i="366" s="1"/>
  <c r="Q317" i="366" s="1"/>
  <c r="U317" i="366" s="1"/>
  <c r="I321" i="366"/>
  <c r="M321" i="366" s="1"/>
  <c r="Q321" i="366" s="1"/>
  <c r="U321" i="366" s="1"/>
  <c r="I325" i="366"/>
  <c r="M325" i="366" s="1"/>
  <c r="Q325" i="366" s="1"/>
  <c r="U325" i="366" s="1"/>
  <c r="I329" i="366"/>
  <c r="M329" i="366" s="1"/>
  <c r="Q329" i="366" s="1"/>
  <c r="U329" i="366" s="1"/>
  <c r="I337" i="366"/>
  <c r="M337" i="366" s="1"/>
  <c r="Q337" i="366" s="1"/>
  <c r="U337" i="366" s="1"/>
  <c r="I341" i="366"/>
  <c r="M341" i="366" s="1"/>
  <c r="Q341" i="366" s="1"/>
  <c r="U341" i="366" s="1"/>
  <c r="I345" i="366"/>
  <c r="M345" i="366" s="1"/>
  <c r="Q345" i="366" s="1"/>
  <c r="U345" i="366" s="1"/>
  <c r="I353" i="366"/>
  <c r="M353" i="366" s="1"/>
  <c r="Q353" i="366" s="1"/>
  <c r="U353" i="366" s="1"/>
  <c r="I361" i="366"/>
  <c r="M361" i="366" s="1"/>
  <c r="Q361" i="366" s="1"/>
  <c r="U361" i="366" s="1"/>
  <c r="I365" i="366"/>
  <c r="M365" i="366" s="1"/>
  <c r="Q365" i="366" s="1"/>
  <c r="U365" i="366" s="1"/>
  <c r="I373" i="366"/>
  <c r="M373" i="366" s="1"/>
  <c r="Q373" i="366" s="1"/>
  <c r="U373" i="366" s="1"/>
  <c r="I381" i="366"/>
  <c r="M381" i="366" s="1"/>
  <c r="Q381" i="366" s="1"/>
  <c r="U381" i="366" s="1"/>
  <c r="I385" i="366"/>
  <c r="M385" i="366" s="1"/>
  <c r="Q385" i="366" s="1"/>
  <c r="U385" i="366" s="1"/>
  <c r="I397" i="366"/>
  <c r="M397" i="366" s="1"/>
  <c r="Q397" i="366" s="1"/>
  <c r="U397" i="366" s="1"/>
  <c r="I405" i="366"/>
  <c r="M405" i="366" s="1"/>
  <c r="Q405" i="366" s="1"/>
  <c r="U405" i="366" s="1"/>
  <c r="I409" i="366"/>
  <c r="M409" i="366" s="1"/>
  <c r="Q409" i="366" s="1"/>
  <c r="U409" i="366" s="1"/>
  <c r="I413" i="366"/>
  <c r="M413" i="366" s="1"/>
  <c r="Q413" i="366" s="1"/>
  <c r="U413" i="366" s="1"/>
  <c r="I417" i="366"/>
  <c r="M417" i="366" s="1"/>
  <c r="Q417" i="366" s="1"/>
  <c r="U417" i="366" s="1"/>
  <c r="I421" i="366"/>
  <c r="M421" i="366" s="1"/>
  <c r="Q421" i="366" s="1"/>
  <c r="U421" i="366" s="1"/>
  <c r="I425" i="366"/>
  <c r="M425" i="366" s="1"/>
  <c r="Q425" i="366" s="1"/>
  <c r="U425" i="366" s="1"/>
  <c r="I429" i="366"/>
  <c r="M429" i="366" s="1"/>
  <c r="Q429" i="366" s="1"/>
  <c r="U429" i="366" s="1"/>
  <c r="I433" i="366"/>
  <c r="M433" i="366" s="1"/>
  <c r="Q433" i="366" s="1"/>
  <c r="U433" i="366" s="1"/>
  <c r="I693" i="366"/>
  <c r="M693" i="366" s="1"/>
  <c r="Q693" i="366" s="1"/>
  <c r="U693" i="366" s="1"/>
  <c r="I697" i="366"/>
  <c r="M697" i="366" s="1"/>
  <c r="Q697" i="366" s="1"/>
  <c r="U697" i="366" s="1"/>
  <c r="I701" i="366"/>
  <c r="M701" i="366" s="1"/>
  <c r="Q701" i="366" s="1"/>
  <c r="U701" i="366" s="1"/>
  <c r="I705" i="366"/>
  <c r="M705" i="366" s="1"/>
  <c r="Q705" i="366" s="1"/>
  <c r="U705" i="366" s="1"/>
  <c r="I709" i="366"/>
  <c r="M709" i="366" s="1"/>
  <c r="Q709" i="366" s="1"/>
  <c r="U709" i="366" s="1"/>
  <c r="I721" i="366"/>
  <c r="M721" i="366" s="1"/>
  <c r="Q721" i="366" s="1"/>
  <c r="U721" i="366" s="1"/>
  <c r="I725" i="366"/>
  <c r="M725" i="366" s="1"/>
  <c r="Q725" i="366" s="1"/>
  <c r="U725" i="366" s="1"/>
  <c r="I729" i="366"/>
  <c r="M729" i="366" s="1"/>
  <c r="Q729" i="366" s="1"/>
  <c r="U729" i="366" s="1"/>
  <c r="I733" i="366"/>
  <c r="M733" i="366" s="1"/>
  <c r="Q733" i="366" s="1"/>
  <c r="U733" i="366" s="1"/>
  <c r="I737" i="366"/>
  <c r="M737" i="366" s="1"/>
  <c r="Q737" i="366" s="1"/>
  <c r="U737" i="366" s="1"/>
  <c r="I745" i="366"/>
  <c r="M745" i="366" s="1"/>
  <c r="Q745" i="366" s="1"/>
  <c r="U745" i="366" s="1"/>
  <c r="I749" i="366"/>
  <c r="M749" i="366" s="1"/>
  <c r="Q749" i="366" s="1"/>
  <c r="U749" i="366" s="1"/>
  <c r="I753" i="366"/>
  <c r="M753" i="366" s="1"/>
  <c r="Q753" i="366" s="1"/>
  <c r="U753" i="366" s="1"/>
  <c r="I757" i="366"/>
  <c r="M757" i="366" s="1"/>
  <c r="Q757" i="366" s="1"/>
  <c r="U757" i="366" s="1"/>
  <c r="I761" i="366"/>
  <c r="M761" i="366" s="1"/>
  <c r="Q761" i="366" s="1"/>
  <c r="U761" i="366" s="1"/>
  <c r="I765" i="366"/>
  <c r="M765" i="366" s="1"/>
  <c r="Q765" i="366" s="1"/>
  <c r="U765" i="366" s="1"/>
  <c r="I769" i="366"/>
  <c r="M769" i="366" s="1"/>
  <c r="Q769" i="366" s="1"/>
  <c r="U769" i="366" s="1"/>
  <c r="I773" i="366"/>
  <c r="M773" i="366" s="1"/>
  <c r="Q773" i="366" s="1"/>
  <c r="U773" i="366" s="1"/>
  <c r="I777" i="366"/>
  <c r="M777" i="366" s="1"/>
  <c r="Q777" i="366" s="1"/>
  <c r="U777" i="366" s="1"/>
  <c r="I785" i="366"/>
  <c r="M785" i="366" s="1"/>
  <c r="Q785" i="366" s="1"/>
  <c r="U785" i="366" s="1"/>
  <c r="I789" i="366"/>
  <c r="M789" i="366" s="1"/>
  <c r="Q789" i="366" s="1"/>
  <c r="U789" i="366" s="1"/>
  <c r="I797" i="366"/>
  <c r="M797" i="366" s="1"/>
  <c r="Q797" i="366" s="1"/>
  <c r="U797" i="366" s="1"/>
  <c r="I801" i="366"/>
  <c r="M801" i="366" s="1"/>
  <c r="Q801" i="366" s="1"/>
  <c r="U801" i="366" s="1"/>
  <c r="I805" i="366"/>
  <c r="M805" i="366" s="1"/>
  <c r="Q805" i="366" s="1"/>
  <c r="U805" i="366" s="1"/>
  <c r="I809" i="366"/>
  <c r="M809" i="366" s="1"/>
  <c r="Q809" i="366" s="1"/>
  <c r="U809" i="366" s="1"/>
  <c r="I813" i="366"/>
  <c r="M813" i="366" s="1"/>
  <c r="Q813" i="366" s="1"/>
  <c r="U813" i="366" s="1"/>
  <c r="I817" i="366"/>
  <c r="M817" i="366" s="1"/>
  <c r="Q817" i="366" s="1"/>
  <c r="U817" i="366" s="1"/>
  <c r="I821" i="366"/>
  <c r="M821" i="366" s="1"/>
  <c r="Q821" i="366" s="1"/>
  <c r="U821" i="366" s="1"/>
  <c r="I33" i="366"/>
  <c r="M33" i="366" s="1"/>
  <c r="Q33" i="366" s="1"/>
  <c r="U33" i="366" s="1"/>
  <c r="I53" i="366"/>
  <c r="M53" i="366" s="1"/>
  <c r="Q53" i="366" s="1"/>
  <c r="U53" i="366" s="1"/>
  <c r="I189" i="366"/>
  <c r="M189" i="366" s="1"/>
  <c r="Q189" i="366" s="1"/>
  <c r="U189" i="366" s="1"/>
  <c r="M19" i="366"/>
  <c r="Q19" i="366" s="1"/>
  <c r="U19" i="366" s="1"/>
  <c r="M79" i="366"/>
  <c r="Q79" i="366" s="1"/>
  <c r="U79" i="366" s="1"/>
  <c r="M131" i="366"/>
  <c r="Q131" i="366" s="1"/>
  <c r="U131" i="366" s="1"/>
  <c r="M135" i="366"/>
  <c r="Q135" i="366" s="1"/>
  <c r="U135" i="366" s="1"/>
  <c r="M147" i="366"/>
  <c r="Q147" i="366" s="1"/>
  <c r="U147" i="366" s="1"/>
  <c r="M175" i="366"/>
  <c r="Q175" i="366" s="1"/>
  <c r="U175" i="366" s="1"/>
  <c r="M195" i="366"/>
  <c r="Q195" i="366" s="1"/>
  <c r="U195" i="366" s="1"/>
  <c r="M199" i="366"/>
  <c r="Q199" i="366" s="1"/>
  <c r="U199" i="366" s="1"/>
  <c r="M211" i="366"/>
  <c r="Q211" i="366" s="1"/>
  <c r="U211" i="366" s="1"/>
  <c r="I437" i="366"/>
  <c r="M437" i="366" s="1"/>
  <c r="Q437" i="366" s="1"/>
  <c r="U437" i="366" s="1"/>
  <c r="I445" i="366"/>
  <c r="M445" i="366" s="1"/>
  <c r="Q445" i="366" s="1"/>
  <c r="U445" i="366" s="1"/>
  <c r="I449" i="366"/>
  <c r="M449" i="366" s="1"/>
  <c r="Q449" i="366" s="1"/>
  <c r="U449" i="366" s="1"/>
  <c r="I457" i="366"/>
  <c r="M457" i="366" s="1"/>
  <c r="Q457" i="366" s="1"/>
  <c r="U457" i="366" s="1"/>
  <c r="I461" i="366"/>
  <c r="M461" i="366" s="1"/>
  <c r="Q461" i="366" s="1"/>
  <c r="U461" i="366" s="1"/>
  <c r="I469" i="366"/>
  <c r="M469" i="366" s="1"/>
  <c r="Q469" i="366" s="1"/>
  <c r="U469" i="366" s="1"/>
  <c r="I477" i="366"/>
  <c r="M477" i="366" s="1"/>
  <c r="Q477" i="366" s="1"/>
  <c r="U477" i="366" s="1"/>
  <c r="I481" i="366"/>
  <c r="M481" i="366" s="1"/>
  <c r="Q481" i="366" s="1"/>
  <c r="U481" i="366" s="1"/>
  <c r="I485" i="366"/>
  <c r="M485" i="366" s="1"/>
  <c r="Q485" i="366" s="1"/>
  <c r="U485" i="366" s="1"/>
  <c r="I489" i="366"/>
  <c r="M489" i="366" s="1"/>
  <c r="Q489" i="366" s="1"/>
  <c r="U489" i="366" s="1"/>
  <c r="I493" i="366"/>
  <c r="M493" i="366" s="1"/>
  <c r="Q493" i="366" s="1"/>
  <c r="U493" i="366" s="1"/>
  <c r="I497" i="366"/>
  <c r="M497" i="366" s="1"/>
  <c r="Q497" i="366" s="1"/>
  <c r="U497" i="366" s="1"/>
  <c r="I513" i="366"/>
  <c r="M513" i="366" s="1"/>
  <c r="Q513" i="366" s="1"/>
  <c r="U513" i="366" s="1"/>
  <c r="I521" i="366"/>
  <c r="M521" i="366" s="1"/>
  <c r="Q521" i="366" s="1"/>
  <c r="U521" i="366" s="1"/>
  <c r="I525" i="366"/>
  <c r="M525" i="366" s="1"/>
  <c r="Q525" i="366" s="1"/>
  <c r="U525" i="366" s="1"/>
  <c r="I529" i="366"/>
  <c r="M529" i="366" s="1"/>
  <c r="Q529" i="366" s="1"/>
  <c r="U529" i="366" s="1"/>
  <c r="I537" i="366"/>
  <c r="M537" i="366" s="1"/>
  <c r="Q537" i="366" s="1"/>
  <c r="U537" i="366" s="1"/>
  <c r="I541" i="366"/>
  <c r="M541" i="366" s="1"/>
  <c r="Q541" i="366" s="1"/>
  <c r="U541" i="366" s="1"/>
  <c r="I545" i="366"/>
  <c r="M545" i="366" s="1"/>
  <c r="Q545" i="366" s="1"/>
  <c r="U545" i="366" s="1"/>
  <c r="I549" i="366"/>
  <c r="M549" i="366" s="1"/>
  <c r="Q549" i="366" s="1"/>
  <c r="U549" i="366" s="1"/>
  <c r="I561" i="366"/>
  <c r="M561" i="366" s="1"/>
  <c r="Q561" i="366" s="1"/>
  <c r="U561" i="366" s="1"/>
  <c r="I573" i="366"/>
  <c r="M573" i="366" s="1"/>
  <c r="Q573" i="366" s="1"/>
  <c r="U573" i="366" s="1"/>
  <c r="I577" i="366"/>
  <c r="M577" i="366" s="1"/>
  <c r="Q577" i="366" s="1"/>
  <c r="U577" i="366" s="1"/>
  <c r="I585" i="366"/>
  <c r="M585" i="366" s="1"/>
  <c r="Q585" i="366" s="1"/>
  <c r="U585" i="366" s="1"/>
  <c r="I589" i="366"/>
  <c r="M589" i="366" s="1"/>
  <c r="Q589" i="366" s="1"/>
  <c r="U589" i="366" s="1"/>
  <c r="I593" i="366"/>
  <c r="M593" i="366" s="1"/>
  <c r="Q593" i="366" s="1"/>
  <c r="U593" i="366" s="1"/>
  <c r="I601" i="366"/>
  <c r="M601" i="366" s="1"/>
  <c r="Q601" i="366" s="1"/>
  <c r="U601" i="366" s="1"/>
  <c r="I609" i="366"/>
  <c r="M609" i="366" s="1"/>
  <c r="Q609" i="366" s="1"/>
  <c r="U609" i="366" s="1"/>
  <c r="I613" i="366"/>
  <c r="M613" i="366" s="1"/>
  <c r="Q613" i="366" s="1"/>
  <c r="U613" i="366" s="1"/>
  <c r="I621" i="366"/>
  <c r="M621" i="366" s="1"/>
  <c r="Q621" i="366" s="1"/>
  <c r="U621" i="366" s="1"/>
  <c r="I629" i="366"/>
  <c r="M629" i="366" s="1"/>
  <c r="Q629" i="366" s="1"/>
  <c r="U629" i="366" s="1"/>
  <c r="I641" i="366"/>
  <c r="M641" i="366" s="1"/>
  <c r="Q641" i="366" s="1"/>
  <c r="U641" i="366" s="1"/>
  <c r="I645" i="366"/>
  <c r="M645" i="366" s="1"/>
  <c r="Q645" i="366" s="1"/>
  <c r="U645" i="366" s="1"/>
  <c r="I653" i="366"/>
  <c r="M653" i="366" s="1"/>
  <c r="Q653" i="366" s="1"/>
  <c r="U653" i="366" s="1"/>
  <c r="I657" i="366"/>
  <c r="M657" i="366" s="1"/>
  <c r="Q657" i="366" s="1"/>
  <c r="U657" i="366" s="1"/>
  <c r="I669" i="366"/>
  <c r="M669" i="366" s="1"/>
  <c r="Q669" i="366" s="1"/>
  <c r="U669" i="366" s="1"/>
  <c r="I673" i="366"/>
  <c r="M673" i="366" s="1"/>
  <c r="Q673" i="366" s="1"/>
  <c r="U673" i="366" s="1"/>
  <c r="I677" i="366"/>
  <c r="M677" i="366" s="1"/>
  <c r="Q677" i="366" s="1"/>
  <c r="U677" i="366" s="1"/>
  <c r="I681" i="366"/>
  <c r="M681" i="366" s="1"/>
  <c r="Q681" i="366" s="1"/>
  <c r="U681" i="366" s="1"/>
  <c r="I685" i="366"/>
  <c r="M685" i="366" s="1"/>
  <c r="Q685" i="366" s="1"/>
  <c r="U685" i="366" s="1"/>
  <c r="I689" i="366"/>
  <c r="M689" i="366" s="1"/>
  <c r="Q689" i="366" s="1"/>
  <c r="U689" i="366" s="1"/>
  <c r="I825" i="366"/>
  <c r="M825" i="366" s="1"/>
  <c r="Q825" i="366" s="1"/>
  <c r="U825" i="366" s="1"/>
  <c r="I829" i="366"/>
  <c r="M829" i="366" s="1"/>
  <c r="Q829" i="366" s="1"/>
  <c r="U829" i="366" s="1"/>
  <c r="I833" i="366"/>
  <c r="M833" i="366" s="1"/>
  <c r="Q833" i="366" s="1"/>
  <c r="U833" i="366" s="1"/>
  <c r="I837" i="366"/>
  <c r="M837" i="366" s="1"/>
  <c r="Q837" i="366" s="1"/>
  <c r="U837" i="366" s="1"/>
  <c r="I841" i="366"/>
  <c r="M841" i="366" s="1"/>
  <c r="Q841" i="366" s="1"/>
  <c r="U841" i="366" s="1"/>
  <c r="I845" i="366"/>
  <c r="M845" i="366" s="1"/>
  <c r="Q845" i="366" s="1"/>
  <c r="U845" i="366" s="1"/>
  <c r="I849" i="366"/>
  <c r="M849" i="366" s="1"/>
  <c r="Q849" i="366" s="1"/>
  <c r="U849" i="366" s="1"/>
  <c r="I853" i="366"/>
  <c r="M853" i="366" s="1"/>
  <c r="Q853" i="366" s="1"/>
  <c r="U853" i="366" s="1"/>
  <c r="I857" i="366"/>
  <c r="M857" i="366" s="1"/>
  <c r="Q857" i="366" s="1"/>
  <c r="U857" i="366" s="1"/>
  <c r="I861" i="366"/>
  <c r="M861" i="366" s="1"/>
  <c r="Q861" i="366" s="1"/>
  <c r="U861" i="366" s="1"/>
  <c r="I865" i="366"/>
  <c r="M865" i="366" s="1"/>
  <c r="Q865" i="366" s="1"/>
  <c r="U865" i="366" s="1"/>
  <c r="I869" i="366"/>
  <c r="M869" i="366" s="1"/>
  <c r="Q869" i="366" s="1"/>
  <c r="U869" i="366" s="1"/>
  <c r="I873" i="366"/>
  <c r="M873" i="366" s="1"/>
  <c r="Q873" i="366" s="1"/>
  <c r="U873" i="366" s="1"/>
  <c r="I877" i="366"/>
  <c r="M877" i="366" s="1"/>
  <c r="Q877" i="366" s="1"/>
  <c r="U877" i="366" s="1"/>
  <c r="I881" i="366"/>
  <c r="M881" i="366" s="1"/>
  <c r="Q881" i="366" s="1"/>
  <c r="U881" i="366" s="1"/>
  <c r="I885" i="366"/>
  <c r="M885" i="366" s="1"/>
  <c r="Q885" i="366" s="1"/>
  <c r="U885" i="366" s="1"/>
  <c r="I889" i="366"/>
  <c r="M889" i="366" s="1"/>
  <c r="Q889" i="366" s="1"/>
  <c r="U889" i="366" s="1"/>
  <c r="I897" i="366"/>
  <c r="M897" i="366" s="1"/>
  <c r="Q897" i="366" s="1"/>
  <c r="U897" i="366" s="1"/>
  <c r="I901" i="366"/>
  <c r="M901" i="366" s="1"/>
  <c r="Q901" i="366" s="1"/>
  <c r="U901" i="366" s="1"/>
  <c r="I905" i="366"/>
  <c r="M905" i="366" s="1"/>
  <c r="Q905" i="366" s="1"/>
  <c r="U905" i="366" s="1"/>
  <c r="I909" i="366"/>
  <c r="M909" i="366" s="1"/>
  <c r="Q909" i="366" s="1"/>
  <c r="U909" i="366" s="1"/>
  <c r="I917" i="366"/>
  <c r="M917" i="366" s="1"/>
  <c r="Q917" i="366" s="1"/>
  <c r="U917" i="366" s="1"/>
  <c r="I921" i="366"/>
  <c r="M921" i="366" s="1"/>
  <c r="Q921" i="366" s="1"/>
  <c r="U921" i="366" s="1"/>
  <c r="I925" i="366"/>
  <c r="M925" i="366" s="1"/>
  <c r="Q925" i="366" s="1"/>
  <c r="U925" i="366" s="1"/>
  <c r="I929" i="366"/>
  <c r="M929" i="366" s="1"/>
  <c r="Q929" i="366" s="1"/>
  <c r="U929" i="366" s="1"/>
  <c r="I933" i="366"/>
  <c r="M933" i="366" s="1"/>
  <c r="Q933" i="366" s="1"/>
  <c r="U933" i="366" s="1"/>
  <c r="I937" i="366"/>
  <c r="I941" i="366"/>
  <c r="M941" i="366" s="1"/>
  <c r="Q941" i="366" s="1"/>
  <c r="U941" i="366" s="1"/>
  <c r="I945" i="366"/>
  <c r="M945" i="366" s="1"/>
  <c r="Q945" i="366" s="1"/>
  <c r="U945" i="366" s="1"/>
  <c r="I949" i="366"/>
  <c r="M949" i="366" s="1"/>
  <c r="Q949" i="366" s="1"/>
  <c r="U949" i="366" s="1"/>
  <c r="I953" i="366"/>
  <c r="M953" i="366" s="1"/>
  <c r="Q953" i="366" s="1"/>
  <c r="U953" i="366" s="1"/>
  <c r="I957" i="366"/>
  <c r="M957" i="366" s="1"/>
  <c r="Q957" i="366" s="1"/>
  <c r="U957" i="366" s="1"/>
  <c r="I961" i="366"/>
  <c r="M961" i="366" s="1"/>
  <c r="Q961" i="366" s="1"/>
  <c r="U961" i="366" s="1"/>
  <c r="I965" i="366"/>
  <c r="M965" i="366" s="1"/>
  <c r="Q965" i="366" s="1"/>
  <c r="U965" i="366" s="1"/>
  <c r="I969" i="366"/>
  <c r="I973" i="366"/>
  <c r="M973" i="366" s="1"/>
  <c r="Q973" i="366" s="1"/>
  <c r="U973" i="366" s="1"/>
  <c r="I981" i="366"/>
  <c r="M981" i="366" s="1"/>
  <c r="Q981" i="366" s="1"/>
  <c r="U981" i="366" s="1"/>
  <c r="I985" i="366"/>
  <c r="M985" i="366" s="1"/>
  <c r="Q985" i="366" s="1"/>
  <c r="U985" i="366" s="1"/>
  <c r="I989" i="366"/>
  <c r="M989" i="366" s="1"/>
  <c r="Q989" i="366" s="1"/>
  <c r="U989" i="366" s="1"/>
  <c r="I1005" i="366"/>
  <c r="M1005" i="366" s="1"/>
  <c r="Q1005" i="366" s="1"/>
  <c r="U1005" i="366" s="1"/>
  <c r="I1009" i="366"/>
  <c r="M1009" i="366" s="1"/>
  <c r="Q1009" i="366" s="1"/>
  <c r="U1009" i="366" s="1"/>
  <c r="I1013" i="366"/>
  <c r="M1013" i="366" s="1"/>
  <c r="Q1013" i="366" s="1"/>
  <c r="U1013" i="366" s="1"/>
  <c r="I1017" i="366"/>
  <c r="M1017" i="366" s="1"/>
  <c r="Q1017" i="366" s="1"/>
  <c r="U1017" i="366" s="1"/>
  <c r="I1021" i="366"/>
  <c r="M1021" i="366" s="1"/>
  <c r="Q1021" i="366" s="1"/>
  <c r="U1021" i="366" s="1"/>
  <c r="I279" i="366"/>
  <c r="M279" i="366" s="1"/>
  <c r="Q279" i="366" s="1"/>
  <c r="U279" i="366" s="1"/>
  <c r="I283" i="366"/>
  <c r="M283" i="366" s="1"/>
  <c r="Q283" i="366" s="1"/>
  <c r="U283" i="366" s="1"/>
  <c r="I303" i="366"/>
  <c r="M303" i="366" s="1"/>
  <c r="Q303" i="366" s="1"/>
  <c r="U303" i="366" s="1"/>
  <c r="I363" i="366"/>
  <c r="M363" i="366" s="1"/>
  <c r="Q363" i="366" s="1"/>
  <c r="U363" i="366" s="1"/>
  <c r="I383" i="366"/>
  <c r="M383" i="366" s="1"/>
  <c r="Q383" i="366" s="1"/>
  <c r="U383" i="366" s="1"/>
  <c r="I395" i="366"/>
  <c r="M395" i="366" s="1"/>
  <c r="Q395" i="366" s="1"/>
  <c r="U395" i="366" s="1"/>
  <c r="I435" i="366"/>
  <c r="M435" i="366" s="1"/>
  <c r="Q435" i="366" s="1"/>
  <c r="U435" i="366" s="1"/>
  <c r="I447" i="366"/>
  <c r="M447" i="366" s="1"/>
  <c r="Q447" i="366" s="1"/>
  <c r="U447" i="366" s="1"/>
  <c r="I455" i="366"/>
  <c r="M455" i="366" s="1"/>
  <c r="Q455" i="366" s="1"/>
  <c r="U455" i="366" s="1"/>
  <c r="I471" i="366"/>
  <c r="M471" i="366" s="1"/>
  <c r="Q471" i="366" s="1"/>
  <c r="U471" i="366" s="1"/>
  <c r="I491" i="366"/>
  <c r="M491" i="366" s="1"/>
  <c r="Q491" i="366" s="1"/>
  <c r="U491" i="366" s="1"/>
  <c r="I527" i="366"/>
  <c r="M527" i="366" s="1"/>
  <c r="Q527" i="366" s="1"/>
  <c r="U527" i="366" s="1"/>
  <c r="I551" i="366"/>
  <c r="M551" i="366" s="1"/>
  <c r="Q551" i="366" s="1"/>
  <c r="U551" i="366" s="1"/>
  <c r="I567" i="366"/>
  <c r="M567" i="366" s="1"/>
  <c r="Q567" i="366" s="1"/>
  <c r="U567" i="366" s="1"/>
  <c r="I571" i="366"/>
  <c r="M571" i="366" s="1"/>
  <c r="Q571" i="366" s="1"/>
  <c r="U571" i="366" s="1"/>
  <c r="I583" i="366"/>
  <c r="M583" i="366" s="1"/>
  <c r="Q583" i="366" s="1"/>
  <c r="U583" i="366" s="1"/>
  <c r="I615" i="366"/>
  <c r="M615" i="366" s="1"/>
  <c r="Q615" i="366" s="1"/>
  <c r="U615" i="366" s="1"/>
  <c r="I631" i="366"/>
  <c r="M631" i="366" s="1"/>
  <c r="Q631" i="366" s="1"/>
  <c r="U631" i="366" s="1"/>
  <c r="I647" i="366"/>
  <c r="M647" i="366" s="1"/>
  <c r="Q647" i="366" s="1"/>
  <c r="U647" i="366" s="1"/>
  <c r="I651" i="366"/>
  <c r="M651" i="366" s="1"/>
  <c r="Q651" i="366" s="1"/>
  <c r="U651" i="366" s="1"/>
  <c r="I659" i="366"/>
  <c r="M659" i="366" s="1"/>
  <c r="Q659" i="366" s="1"/>
  <c r="U659" i="366" s="1"/>
  <c r="I679" i="366"/>
  <c r="M679" i="366" s="1"/>
  <c r="Q679" i="366" s="1"/>
  <c r="U679" i="366" s="1"/>
  <c r="I683" i="366"/>
  <c r="M683" i="366" s="1"/>
  <c r="Q683" i="366" s="1"/>
  <c r="U683" i="366" s="1"/>
  <c r="I687" i="366"/>
  <c r="M687" i="366" s="1"/>
  <c r="Q687" i="366" s="1"/>
  <c r="U687" i="366" s="1"/>
  <c r="I699" i="366"/>
  <c r="M699" i="366" s="1"/>
  <c r="Q699" i="366" s="1"/>
  <c r="U699" i="366" s="1"/>
  <c r="I715" i="366"/>
  <c r="M715" i="366" s="1"/>
  <c r="Q715" i="366" s="1"/>
  <c r="U715" i="366" s="1"/>
  <c r="I723" i="366"/>
  <c r="M723" i="366" s="1"/>
  <c r="Q723" i="366" s="1"/>
  <c r="U723" i="366" s="1"/>
  <c r="I735" i="366"/>
  <c r="M735" i="366" s="1"/>
  <c r="Q735" i="366" s="1"/>
  <c r="U735" i="366" s="1"/>
  <c r="I747" i="366"/>
  <c r="M747" i="366" s="1"/>
  <c r="Q747" i="366" s="1"/>
  <c r="U747" i="366" s="1"/>
  <c r="I755" i="366"/>
  <c r="M755" i="366" s="1"/>
  <c r="Q755" i="366" s="1"/>
  <c r="U755" i="366" s="1"/>
  <c r="I759" i="366"/>
  <c r="M759" i="366" s="1"/>
  <c r="Q759" i="366" s="1"/>
  <c r="U759" i="366" s="1"/>
  <c r="I775" i="366"/>
  <c r="M775" i="366" s="1"/>
  <c r="Q775" i="366" s="1"/>
  <c r="U775" i="366" s="1"/>
  <c r="I779" i="366"/>
  <c r="M779" i="366" s="1"/>
  <c r="Q779" i="366" s="1"/>
  <c r="U779" i="366" s="1"/>
  <c r="I807" i="366"/>
  <c r="M807" i="366" s="1"/>
  <c r="Q807" i="366" s="1"/>
  <c r="U807" i="366" s="1"/>
  <c r="I867" i="366"/>
  <c r="M867" i="366" s="1"/>
  <c r="Q867" i="366" s="1"/>
  <c r="U867" i="366" s="1"/>
  <c r="I871" i="366"/>
  <c r="M871" i="366" s="1"/>
  <c r="Q871" i="366" s="1"/>
  <c r="U871" i="366" s="1"/>
  <c r="I967" i="366"/>
  <c r="M967" i="366" s="1"/>
  <c r="Q967" i="366" s="1"/>
  <c r="U967" i="366" s="1"/>
  <c r="I983" i="366"/>
  <c r="M983" i="366" s="1"/>
  <c r="Q983" i="366" s="1"/>
  <c r="U983" i="366" s="1"/>
  <c r="I987" i="366"/>
  <c r="M987" i="366" s="1"/>
  <c r="Q987" i="366" s="1"/>
  <c r="U987" i="366" s="1"/>
  <c r="I995" i="366"/>
  <c r="M995" i="366" s="1"/>
  <c r="Q995" i="366" s="1"/>
  <c r="U995" i="366" s="1"/>
  <c r="I1003" i="366"/>
  <c r="M1003" i="366" s="1"/>
  <c r="Q1003" i="366" s="1"/>
  <c r="U1003" i="366" s="1"/>
  <c r="A5" i="378"/>
  <c r="F41" i="50"/>
  <c r="H49" i="50"/>
  <c r="H51" i="50" s="1"/>
  <c r="F45" i="50"/>
  <c r="F25" i="50"/>
  <c r="F27" i="50" s="1"/>
  <c r="H45" i="50"/>
  <c r="H33" i="50"/>
  <c r="F53" i="50"/>
  <c r="F22" i="50"/>
  <c r="H42" i="50"/>
  <c r="H30" i="50"/>
  <c r="H41" i="50"/>
  <c r="I523" i="366"/>
  <c r="M523" i="366" s="1"/>
  <c r="Q523" i="366" s="1"/>
  <c r="U523" i="366" s="1"/>
  <c r="I419" i="366"/>
  <c r="M419" i="366" s="1"/>
  <c r="Q419" i="366" s="1"/>
  <c r="U419" i="366" s="1"/>
  <c r="I311" i="366"/>
  <c r="M311" i="366" s="1"/>
  <c r="Q311" i="366" s="1"/>
  <c r="U311" i="366" s="1"/>
  <c r="I1019" i="366"/>
  <c r="M1019" i="366" s="1"/>
  <c r="Q1019" i="366" s="1"/>
  <c r="U1019" i="366" s="1"/>
  <c r="I555" i="366"/>
  <c r="M555" i="366" s="1"/>
  <c r="Q555" i="366" s="1"/>
  <c r="U555" i="366" s="1"/>
  <c r="I487" i="366"/>
  <c r="M487" i="366" s="1"/>
  <c r="Q487" i="366" s="1"/>
  <c r="U487" i="366" s="1"/>
  <c r="I979" i="366"/>
  <c r="M979" i="366" s="1"/>
  <c r="Q979" i="366" s="1"/>
  <c r="U979" i="366" s="1"/>
  <c r="I307" i="366"/>
  <c r="M307" i="366" s="1"/>
  <c r="Q307" i="366" s="1"/>
  <c r="U307" i="366" s="1"/>
  <c r="I771" i="366"/>
  <c r="M771" i="366" s="1"/>
  <c r="Q771" i="366" s="1"/>
  <c r="U771" i="366" s="1"/>
  <c r="D36" i="50"/>
  <c r="F30" i="50"/>
  <c r="F17" i="50"/>
  <c r="F34" i="50"/>
  <c r="H25" i="50"/>
  <c r="I515" i="366"/>
  <c r="M515" i="366" s="1"/>
  <c r="Q515" i="366" s="1"/>
  <c r="U515" i="366" s="1"/>
  <c r="D28" i="50"/>
  <c r="H21" i="50"/>
  <c r="I795" i="366"/>
  <c r="M795" i="366" s="1"/>
  <c r="Q795" i="366" s="1"/>
  <c r="U795" i="366" s="1"/>
  <c r="H22" i="50"/>
  <c r="F33" i="50"/>
  <c r="H18" i="50"/>
  <c r="I883" i="366"/>
  <c r="M883" i="366" s="1"/>
  <c r="Q883" i="366" s="1"/>
  <c r="U883" i="366" s="1"/>
  <c r="I859" i="366"/>
  <c r="M859" i="366" s="1"/>
  <c r="Q859" i="366" s="1"/>
  <c r="U859" i="366" s="1"/>
  <c r="D32" i="50"/>
  <c r="H37" i="50"/>
  <c r="I695" i="366"/>
  <c r="M695" i="366" s="1"/>
  <c r="Q695" i="366" s="1"/>
  <c r="U695" i="366" s="1"/>
  <c r="I731" i="366"/>
  <c r="M731" i="366" s="1"/>
  <c r="Q731" i="366" s="1"/>
  <c r="U731" i="366" s="1"/>
  <c r="I431" i="366"/>
  <c r="M431" i="366" s="1"/>
  <c r="Q431" i="366" s="1"/>
  <c r="U431" i="366" s="1"/>
  <c r="I323" i="366"/>
  <c r="M323" i="366" s="1"/>
  <c r="Q323" i="366" s="1"/>
  <c r="U323" i="366" s="1"/>
  <c r="G24" i="2"/>
  <c r="H24" i="2" s="1"/>
  <c r="C151" i="425"/>
  <c r="G22" i="3"/>
  <c r="G34" i="3" s="1"/>
  <c r="G40" i="3" s="1"/>
  <c r="I499" i="366"/>
  <c r="M499" i="366" s="1"/>
  <c r="Q499" i="366" s="1"/>
  <c r="U499" i="366" s="1"/>
  <c r="I263" i="366"/>
  <c r="M263" i="366" s="1"/>
  <c r="Q263" i="366" s="1"/>
  <c r="U263" i="366" s="1"/>
  <c r="I931" i="366"/>
  <c r="M931" i="366" s="1"/>
  <c r="Q931" i="366" s="1"/>
  <c r="U931" i="366" s="1"/>
  <c r="I591" i="366"/>
  <c r="M591" i="366" s="1"/>
  <c r="Q591" i="366" s="1"/>
  <c r="U591" i="366" s="1"/>
  <c r="D24" i="50"/>
  <c r="I727" i="366"/>
  <c r="M727" i="366" s="1"/>
  <c r="Q727" i="366" s="1"/>
  <c r="U727" i="366" s="1"/>
  <c r="F21" i="50"/>
  <c r="H29" i="50"/>
  <c r="I519" i="366"/>
  <c r="M519" i="366" s="1"/>
  <c r="Q519" i="366" s="1"/>
  <c r="U519" i="366" s="1"/>
  <c r="I827" i="366"/>
  <c r="M827" i="366" s="1"/>
  <c r="Q827" i="366" s="1"/>
  <c r="U827" i="366" s="1"/>
  <c r="I387" i="366"/>
  <c r="M387" i="366" s="1"/>
  <c r="Q387" i="366" s="1"/>
  <c r="U387" i="366" s="1"/>
  <c r="F42" i="50"/>
  <c r="H34" i="50"/>
  <c r="H17" i="50"/>
  <c r="F18" i="50"/>
  <c r="D44" i="50"/>
  <c r="I951" i="366"/>
  <c r="M951" i="366" s="1"/>
  <c r="Q951" i="366" s="1"/>
  <c r="U951" i="366" s="1"/>
  <c r="I815" i="366"/>
  <c r="M815" i="366" s="1"/>
  <c r="Q815" i="366" s="1"/>
  <c r="U815" i="366" s="1"/>
  <c r="I875" i="366"/>
  <c r="M875" i="366" s="1"/>
  <c r="Q875" i="366" s="1"/>
  <c r="U875" i="366" s="1"/>
  <c r="G24" i="3"/>
  <c r="G37" i="3" s="1"/>
  <c r="I391" i="366"/>
  <c r="M391" i="366" s="1"/>
  <c r="Q391" i="366" s="1"/>
  <c r="U391" i="366" s="1"/>
  <c r="I911" i="366"/>
  <c r="M911" i="366" s="1"/>
  <c r="Q911" i="366" s="1"/>
  <c r="U911" i="366" s="1"/>
  <c r="I927" i="366"/>
  <c r="M927" i="366" s="1"/>
  <c r="Q927" i="366" s="1"/>
  <c r="U927" i="366" s="1"/>
  <c r="I791" i="366"/>
  <c r="M791" i="366" s="1"/>
  <c r="Q791" i="366" s="1"/>
  <c r="U791" i="366" s="1"/>
  <c r="I855" i="366"/>
  <c r="M855" i="366" s="1"/>
  <c r="Q855" i="366" s="1"/>
  <c r="U855" i="366" s="1"/>
  <c r="I863" i="366"/>
  <c r="M863" i="366" s="1"/>
  <c r="Q863" i="366" s="1"/>
  <c r="U863" i="366" s="1"/>
  <c r="I903" i="366"/>
  <c r="M903" i="366" s="1"/>
  <c r="Q903" i="366" s="1"/>
  <c r="U903" i="366" s="1"/>
  <c r="I463" i="366"/>
  <c r="M463" i="366" s="1"/>
  <c r="Q463" i="366" s="1"/>
  <c r="U463" i="366" s="1"/>
  <c r="I287" i="366"/>
  <c r="M287" i="366" s="1"/>
  <c r="Q287" i="366" s="1"/>
  <c r="U287" i="366" s="1"/>
  <c r="I767" i="366"/>
  <c r="M767" i="366" s="1"/>
  <c r="Q767" i="366" s="1"/>
  <c r="U767" i="366" s="1"/>
  <c r="I763" i="366"/>
  <c r="M763" i="366" s="1"/>
  <c r="Q763" i="366" s="1"/>
  <c r="U763" i="366" s="1"/>
  <c r="I575" i="366"/>
  <c r="M575" i="366" s="1"/>
  <c r="Q575" i="366" s="1"/>
  <c r="U575" i="366" s="1"/>
  <c r="I543" i="366"/>
  <c r="M543" i="366" s="1"/>
  <c r="Q543" i="366" s="1"/>
  <c r="U543" i="366" s="1"/>
  <c r="I1007" i="366"/>
  <c r="M1007" i="366" s="1"/>
  <c r="Q1007" i="366" s="1"/>
  <c r="U1007" i="366" s="1"/>
  <c r="I271" i="366"/>
  <c r="M271" i="366" s="1"/>
  <c r="Q271" i="366" s="1"/>
  <c r="U271" i="366" s="1"/>
  <c r="I367" i="366"/>
  <c r="M367" i="366" s="1"/>
  <c r="Q367" i="366" s="1"/>
  <c r="U367" i="366" s="1"/>
  <c r="I295" i="366"/>
  <c r="M295" i="366" s="1"/>
  <c r="Q295" i="366" s="1"/>
  <c r="U295" i="366" s="1"/>
  <c r="I359" i="366"/>
  <c r="M359" i="366" s="1"/>
  <c r="Q359" i="366" s="1"/>
  <c r="U359" i="366" s="1"/>
  <c r="I479" i="366"/>
  <c r="M479" i="366" s="1"/>
  <c r="Q479" i="366" s="1"/>
  <c r="U479" i="366" s="1"/>
  <c r="I483" i="366"/>
  <c r="M483" i="366" s="1"/>
  <c r="Q483" i="366" s="1"/>
  <c r="U483" i="366" s="1"/>
  <c r="I503" i="366"/>
  <c r="M503" i="366" s="1"/>
  <c r="Q503" i="366" s="1"/>
  <c r="U503" i="366" s="1"/>
  <c r="I535" i="366"/>
  <c r="M535" i="366" s="1"/>
  <c r="Q535" i="366" s="1"/>
  <c r="U535" i="366" s="1"/>
  <c r="I539" i="366"/>
  <c r="M539" i="366" s="1"/>
  <c r="Q539" i="366" s="1"/>
  <c r="U539" i="366" s="1"/>
  <c r="I547" i="366"/>
  <c r="M547" i="366" s="1"/>
  <c r="Q547" i="366" s="1"/>
  <c r="U547" i="366" s="1"/>
  <c r="I579" i="366"/>
  <c r="M579" i="366" s="1"/>
  <c r="Q579" i="366" s="1"/>
  <c r="U579" i="366" s="1"/>
  <c r="I599" i="366"/>
  <c r="M599" i="366" s="1"/>
  <c r="Q599" i="366" s="1"/>
  <c r="U599" i="366" s="1"/>
  <c r="I607" i="366"/>
  <c r="M607" i="366" s="1"/>
  <c r="Q607" i="366" s="1"/>
  <c r="U607" i="366" s="1"/>
  <c r="I623" i="366"/>
  <c r="M623" i="366" s="1"/>
  <c r="Q623" i="366" s="1"/>
  <c r="U623" i="366" s="1"/>
  <c r="I635" i="366"/>
  <c r="M635" i="366" s="1"/>
  <c r="Q635" i="366" s="1"/>
  <c r="U635" i="366" s="1"/>
  <c r="I655" i="366"/>
  <c r="M655" i="366" s="1"/>
  <c r="Q655" i="366" s="1"/>
  <c r="U655" i="366" s="1"/>
  <c r="I667" i="366"/>
  <c r="M667" i="366" s="1"/>
  <c r="Q667" i="366" s="1"/>
  <c r="U667" i="366" s="1"/>
  <c r="I675" i="366"/>
  <c r="M675" i="366" s="1"/>
  <c r="Q675" i="366" s="1"/>
  <c r="U675" i="366" s="1"/>
  <c r="I691" i="366"/>
  <c r="M691" i="366" s="1"/>
  <c r="Q691" i="366" s="1"/>
  <c r="U691" i="366" s="1"/>
  <c r="I823" i="366"/>
  <c r="M823" i="366" s="1"/>
  <c r="Q823" i="366" s="1"/>
  <c r="U823" i="366" s="1"/>
  <c r="I315" i="366"/>
  <c r="M315" i="366" s="1"/>
  <c r="Q315" i="366" s="1"/>
  <c r="U315" i="366" s="1"/>
  <c r="I879" i="366"/>
  <c r="M879" i="366" s="1"/>
  <c r="Q879" i="366" s="1"/>
  <c r="U879" i="366" s="1"/>
  <c r="I891" i="366"/>
  <c r="M891" i="366" s="1"/>
  <c r="Q891" i="366" s="1"/>
  <c r="U891" i="366" s="1"/>
  <c r="I267" i="366"/>
  <c r="M267" i="366" s="1"/>
  <c r="Q267" i="366" s="1"/>
  <c r="U267" i="366" s="1"/>
  <c r="I999" i="366"/>
  <c r="M999" i="366" s="1"/>
  <c r="Q999" i="366" s="1"/>
  <c r="U999" i="366" s="1"/>
  <c r="I839" i="366"/>
  <c r="M839" i="366" s="1"/>
  <c r="Q839" i="366" s="1"/>
  <c r="U839" i="366" s="1"/>
  <c r="I399" i="366"/>
  <c r="M399" i="366" s="1"/>
  <c r="Q399" i="366" s="1"/>
  <c r="U399" i="366" s="1"/>
  <c r="I239" i="366"/>
  <c r="M239" i="366" s="1"/>
  <c r="Q239" i="366" s="1"/>
  <c r="U239" i="366" s="1"/>
  <c r="I847" i="366"/>
  <c r="M847" i="366" s="1"/>
  <c r="Q847" i="366" s="1"/>
  <c r="U847" i="366" s="1"/>
  <c r="I595" i="366"/>
  <c r="M595" i="366" s="1"/>
  <c r="Q595" i="366" s="1"/>
  <c r="U595" i="366" s="1"/>
  <c r="M205" i="366"/>
  <c r="Q205" i="366" s="1"/>
  <c r="U205" i="366" s="1"/>
  <c r="I331" i="366"/>
  <c r="M331" i="366" s="1"/>
  <c r="Q331" i="366" s="1"/>
  <c r="U331" i="366" s="1"/>
  <c r="I451" i="366"/>
  <c r="M451" i="366" s="1"/>
  <c r="Q451" i="366" s="1"/>
  <c r="U451" i="366" s="1"/>
  <c r="I339" i="366"/>
  <c r="M339" i="366" s="1"/>
  <c r="Q339" i="366" s="1"/>
  <c r="U339" i="366" s="1"/>
  <c r="J51" i="49"/>
  <c r="G53" i="1" s="1"/>
  <c r="J50" i="49"/>
  <c r="G52" i="1" s="1"/>
  <c r="C19" i="303" s="1"/>
  <c r="J53" i="49"/>
  <c r="G55" i="1" s="1"/>
  <c r="J49" i="49"/>
  <c r="G50" i="1" s="1"/>
  <c r="D7" i="361" s="1"/>
  <c r="J52" i="49"/>
  <c r="G54" i="1" s="1"/>
  <c r="I288" i="366"/>
  <c r="M288" i="366" s="1"/>
  <c r="Q288" i="366" s="1"/>
  <c r="U288" i="366" s="1"/>
  <c r="I332" i="366"/>
  <c r="M332" i="366" s="1"/>
  <c r="Q332" i="366" s="1"/>
  <c r="U332" i="366" s="1"/>
  <c r="I348" i="366"/>
  <c r="M348" i="366" s="1"/>
  <c r="Q348" i="366" s="1"/>
  <c r="U348" i="366" s="1"/>
  <c r="I352" i="366"/>
  <c r="M352" i="366" s="1"/>
  <c r="Q352" i="366" s="1"/>
  <c r="U352" i="366" s="1"/>
  <c r="I388" i="366"/>
  <c r="M388" i="366" s="1"/>
  <c r="Q388" i="366" s="1"/>
  <c r="U388" i="366" s="1"/>
  <c r="I400" i="366"/>
  <c r="M400" i="366" s="1"/>
  <c r="Q400" i="366" s="1"/>
  <c r="U400" i="366" s="1"/>
  <c r="I404" i="366"/>
  <c r="M404" i="366" s="1"/>
  <c r="Q404" i="366" s="1"/>
  <c r="U404" i="366" s="1"/>
  <c r="I408" i="366"/>
  <c r="M408" i="366" s="1"/>
  <c r="Q408" i="366" s="1"/>
  <c r="U408" i="366" s="1"/>
  <c r="I424" i="366"/>
  <c r="M424" i="366" s="1"/>
  <c r="Q424" i="366" s="1"/>
  <c r="U424" i="366" s="1"/>
  <c r="I448" i="366"/>
  <c r="M448" i="366" s="1"/>
  <c r="Q448" i="366" s="1"/>
  <c r="U448" i="366" s="1"/>
  <c r="I500" i="366"/>
  <c r="M500" i="366" s="1"/>
  <c r="Q500" i="366" s="1"/>
  <c r="U500" i="366" s="1"/>
  <c r="I556" i="366"/>
  <c r="M556" i="366" s="1"/>
  <c r="Q556" i="366" s="1"/>
  <c r="U556" i="366" s="1"/>
  <c r="I644" i="366"/>
  <c r="M644" i="366" s="1"/>
  <c r="Q644" i="366" s="1"/>
  <c r="U644" i="366" s="1"/>
  <c r="I707" i="366"/>
  <c r="I711" i="366"/>
  <c r="M711" i="366" s="1"/>
  <c r="Q711" i="366" s="1"/>
  <c r="U711" i="366" s="1"/>
  <c r="I719" i="366"/>
  <c r="M719" i="366" s="1"/>
  <c r="Q719" i="366" s="1"/>
  <c r="U719" i="366" s="1"/>
  <c r="I819" i="366"/>
  <c r="M819" i="366" s="1"/>
  <c r="Q819" i="366" s="1"/>
  <c r="U819" i="366" s="1"/>
  <c r="I915" i="366"/>
  <c r="M915" i="366" s="1"/>
  <c r="Q915" i="366" s="1"/>
  <c r="U915" i="366" s="1"/>
  <c r="I720" i="366"/>
  <c r="M720" i="366" s="1"/>
  <c r="Q720" i="366" s="1"/>
  <c r="U720" i="366" s="1"/>
  <c r="I736" i="366"/>
  <c r="M736" i="366" s="1"/>
  <c r="Q736" i="366" s="1"/>
  <c r="U736" i="366" s="1"/>
  <c r="I756" i="366"/>
  <c r="M756" i="366" s="1"/>
  <c r="Q756" i="366" s="1"/>
  <c r="U756" i="366" s="1"/>
  <c r="I872" i="366"/>
  <c r="M872" i="366" s="1"/>
  <c r="Q872" i="366" s="1"/>
  <c r="U872" i="366" s="1"/>
  <c r="I880" i="366"/>
  <c r="M880" i="366" s="1"/>
  <c r="Q880" i="366" s="1"/>
  <c r="U880" i="366" s="1"/>
  <c r="I896" i="366"/>
  <c r="M896" i="366" s="1"/>
  <c r="Q896" i="366" s="1"/>
  <c r="U896" i="366" s="1"/>
  <c r="I900" i="366"/>
  <c r="M900" i="366" s="1"/>
  <c r="Q900" i="366" s="1"/>
  <c r="U900" i="366" s="1"/>
  <c r="I948" i="366"/>
  <c r="M948" i="366" s="1"/>
  <c r="Q948" i="366" s="1"/>
  <c r="U948" i="366" s="1"/>
  <c r="I968" i="366"/>
  <c r="M968" i="366" s="1"/>
  <c r="Q968" i="366" s="1"/>
  <c r="U968" i="366" s="1"/>
  <c r="I533" i="366"/>
  <c r="M533" i="366" s="1"/>
  <c r="Q533" i="366" s="1"/>
  <c r="U533" i="366" s="1"/>
  <c r="I569" i="366"/>
  <c r="M569" i="366" s="1"/>
  <c r="Q569" i="366" s="1"/>
  <c r="U569" i="366" s="1"/>
  <c r="M937" i="366"/>
  <c r="Q937" i="366" s="1"/>
  <c r="U937" i="366" s="1"/>
  <c r="M969" i="366"/>
  <c r="Q969" i="366" s="1"/>
  <c r="U969" i="366" s="1"/>
  <c r="I1000" i="366"/>
  <c r="M1000" i="366" s="1"/>
  <c r="Q1000" i="366" s="1"/>
  <c r="U1000" i="366" s="1"/>
  <c r="I1004" i="366"/>
  <c r="M1004" i="366" s="1"/>
  <c r="Q1004" i="366" s="1"/>
  <c r="U1004" i="366" s="1"/>
  <c r="I1008" i="366"/>
  <c r="M1008" i="366" s="1"/>
  <c r="Q1008" i="366" s="1"/>
  <c r="U1008" i="366" s="1"/>
  <c r="I1012" i="366"/>
  <c r="M1012" i="366" s="1"/>
  <c r="Q1012" i="366" s="1"/>
  <c r="U1012" i="366" s="1"/>
  <c r="I1016" i="366"/>
  <c r="M1016" i="366" s="1"/>
  <c r="Q1016" i="366" s="1"/>
  <c r="U1016" i="366" s="1"/>
  <c r="I1020" i="366"/>
  <c r="M1020" i="366" s="1"/>
  <c r="Q1020" i="366" s="1"/>
  <c r="U1020" i="366" s="1"/>
  <c r="I10" i="366"/>
  <c r="M10" i="366" s="1"/>
  <c r="Q10" i="366" s="1"/>
  <c r="U10" i="366" s="1"/>
  <c r="I58" i="366"/>
  <c r="M58" i="366" s="1"/>
  <c r="Q58" i="366" s="1"/>
  <c r="U58" i="366" s="1"/>
  <c r="I70" i="366"/>
  <c r="M70" i="366" s="1"/>
  <c r="Q70" i="366" s="1"/>
  <c r="U70" i="366" s="1"/>
  <c r="I118" i="366"/>
  <c r="M118" i="366" s="1"/>
  <c r="Q118" i="366" s="1"/>
  <c r="U118" i="366" s="1"/>
  <c r="I146" i="366"/>
  <c r="M146" i="366" s="1"/>
  <c r="Q146" i="366" s="1"/>
  <c r="U146" i="366" s="1"/>
  <c r="I166" i="366"/>
  <c r="M166" i="366" s="1"/>
  <c r="Q166" i="366" s="1"/>
  <c r="U166" i="366" s="1"/>
  <c r="I170" i="366"/>
  <c r="M170" i="366" s="1"/>
  <c r="Q170" i="366" s="1"/>
  <c r="U170" i="366" s="1"/>
  <c r="I182" i="366"/>
  <c r="M182" i="366" s="1"/>
  <c r="Q182" i="366" s="1"/>
  <c r="U182" i="366" s="1"/>
  <c r="I190" i="366"/>
  <c r="M190" i="366" s="1"/>
  <c r="Q190" i="366" s="1"/>
  <c r="U190" i="366" s="1"/>
  <c r="I238" i="366"/>
  <c r="M238" i="366" s="1"/>
  <c r="Q238" i="366" s="1"/>
  <c r="U238" i="366" s="1"/>
  <c r="I246" i="366"/>
  <c r="M246" i="366" s="1"/>
  <c r="Q246" i="366" s="1"/>
  <c r="U246" i="366" s="1"/>
  <c r="I266" i="366"/>
  <c r="M266" i="366" s="1"/>
  <c r="Q266" i="366" s="1"/>
  <c r="U266" i="366" s="1"/>
  <c r="I274" i="366"/>
  <c r="M274" i="366" s="1"/>
  <c r="Q274" i="366" s="1"/>
  <c r="U274" i="366" s="1"/>
  <c r="I322" i="366"/>
  <c r="M322" i="366" s="1"/>
  <c r="Q322" i="366" s="1"/>
  <c r="U322" i="366" s="1"/>
  <c r="I338" i="366"/>
  <c r="M338" i="366" s="1"/>
  <c r="Q338" i="366" s="1"/>
  <c r="U338" i="366" s="1"/>
  <c r="I354" i="366"/>
  <c r="M354" i="366" s="1"/>
  <c r="Q354" i="366" s="1"/>
  <c r="U354" i="366" s="1"/>
  <c r="I362" i="366"/>
  <c r="M362" i="366" s="1"/>
  <c r="Q362" i="366" s="1"/>
  <c r="U362" i="366" s="1"/>
  <c r="I366" i="366"/>
  <c r="M366" i="366" s="1"/>
  <c r="Q366" i="366" s="1"/>
  <c r="U366" i="366" s="1"/>
  <c r="I434" i="366"/>
  <c r="M434" i="366" s="1"/>
  <c r="Q434" i="366" s="1"/>
  <c r="U434" i="366" s="1"/>
  <c r="I442" i="366"/>
  <c r="M442" i="366" s="1"/>
  <c r="Q442" i="366" s="1"/>
  <c r="U442" i="366" s="1"/>
  <c r="I502" i="366"/>
  <c r="M502" i="366" s="1"/>
  <c r="Q502" i="366" s="1"/>
  <c r="U502" i="366" s="1"/>
  <c r="I514" i="366"/>
  <c r="M514" i="366" s="1"/>
  <c r="Q514" i="366" s="1"/>
  <c r="U514" i="366" s="1"/>
  <c r="I786" i="366"/>
  <c r="M786" i="366" s="1"/>
  <c r="Q786" i="366" s="1"/>
  <c r="U786" i="366" s="1"/>
  <c r="I798" i="366"/>
  <c r="M798" i="366" s="1"/>
  <c r="Q798" i="366" s="1"/>
  <c r="U798" i="366" s="1"/>
  <c r="I806" i="366"/>
  <c r="M806" i="366" s="1"/>
  <c r="Q806" i="366" s="1"/>
  <c r="U806" i="366" s="1"/>
  <c r="I826" i="366"/>
  <c r="M826" i="366" s="1"/>
  <c r="Q826" i="366" s="1"/>
  <c r="U826" i="366" s="1"/>
  <c r="I858" i="366"/>
  <c r="M858" i="366" s="1"/>
  <c r="Q858" i="366" s="1"/>
  <c r="U858" i="366" s="1"/>
  <c r="I910" i="366"/>
  <c r="M910" i="366" s="1"/>
  <c r="Q910" i="366" s="1"/>
  <c r="U910" i="366" s="1"/>
  <c r="I918" i="366"/>
  <c r="M918" i="366" s="1"/>
  <c r="Q918" i="366" s="1"/>
  <c r="U918" i="366" s="1"/>
  <c r="I942" i="366"/>
  <c r="M942" i="366" s="1"/>
  <c r="Q942" i="366" s="1"/>
  <c r="U942" i="366" s="1"/>
  <c r="I986" i="366"/>
  <c r="M986" i="366" s="1"/>
  <c r="Q986" i="366" s="1"/>
  <c r="U986" i="366" s="1"/>
  <c r="I998" i="366"/>
  <c r="M998" i="366" s="1"/>
  <c r="Q998" i="366" s="1"/>
  <c r="U998" i="366" s="1"/>
  <c r="I1002" i="366"/>
  <c r="M1002" i="366" s="1"/>
  <c r="Q1002" i="366" s="1"/>
  <c r="U1002" i="366" s="1"/>
  <c r="I1014" i="366"/>
  <c r="M1014" i="366" s="1"/>
  <c r="Q1014" i="366" s="1"/>
  <c r="U1014" i="366" s="1"/>
  <c r="I1018" i="366"/>
  <c r="M1018" i="366" s="1"/>
  <c r="Q1018" i="366" s="1"/>
  <c r="U1018" i="366" s="1"/>
  <c r="H89" i="49"/>
  <c r="E32" i="289" s="1"/>
  <c r="M48" i="366"/>
  <c r="Q48" i="366" s="1"/>
  <c r="U48" i="366" s="1"/>
  <c r="M312" i="366"/>
  <c r="Q312" i="366" s="1"/>
  <c r="U312" i="366" s="1"/>
  <c r="M412" i="366"/>
  <c r="Q412" i="366" s="1"/>
  <c r="U412" i="366" s="1"/>
  <c r="M708" i="366"/>
  <c r="Q708" i="366" s="1"/>
  <c r="U708" i="366" s="1"/>
  <c r="J89" i="49"/>
  <c r="E32" i="325" s="1"/>
  <c r="A5" i="323"/>
  <c r="A2" i="391"/>
  <c r="BZ52" i="168"/>
  <c r="A5" i="291"/>
  <c r="A81" i="291" s="1"/>
  <c r="E150" i="303"/>
  <c r="S18" i="184"/>
  <c r="A5" i="308"/>
  <c r="C12" i="269"/>
  <c r="E12" i="269" s="1"/>
  <c r="BZ111" i="168"/>
  <c r="C1" i="398"/>
  <c r="A5" i="429"/>
  <c r="BZ112" i="168"/>
  <c r="J26" i="245"/>
  <c r="Q19" i="167"/>
  <c r="Q20" i="167" s="1"/>
  <c r="Q23" i="167" s="1"/>
  <c r="E151" i="327"/>
  <c r="S45" i="280"/>
  <c r="A5" i="285"/>
  <c r="A5" i="286"/>
  <c r="Y37" i="167"/>
  <c r="A5" i="319"/>
  <c r="C1" i="369"/>
  <c r="D1" i="60"/>
  <c r="C90" i="269"/>
  <c r="E90" i="269" s="1"/>
  <c r="C14" i="269"/>
  <c r="E14" i="269" s="1"/>
  <c r="A5" i="424"/>
  <c r="A5" i="288"/>
  <c r="C14" i="303"/>
  <c r="E14" i="303" s="1"/>
  <c r="D1" i="2"/>
  <c r="A5" i="322"/>
  <c r="A5" i="435"/>
  <c r="A5" i="411"/>
  <c r="A81" i="411" s="1"/>
  <c r="G41" i="2"/>
  <c r="P19" i="167"/>
  <c r="P20" i="167" s="1"/>
  <c r="P25" i="167" s="1"/>
  <c r="Y17" i="74" s="1"/>
  <c r="C90" i="291"/>
  <c r="E90" i="291" s="1"/>
  <c r="E74" i="383"/>
  <c r="L26" i="245"/>
  <c r="A5" i="248"/>
  <c r="C90" i="327"/>
  <c r="E90" i="327" s="1"/>
  <c r="D12" i="277"/>
  <c r="A5" i="425"/>
  <c r="A81" i="425" s="1"/>
  <c r="A5" i="281"/>
  <c r="CT20" i="168"/>
  <c r="CV20" i="168" s="1"/>
  <c r="CV21" i="168" s="1"/>
  <c r="C14" i="291"/>
  <c r="E14" i="291" s="1"/>
  <c r="A5" i="321"/>
  <c r="C14" i="327"/>
  <c r="E14" i="327" s="1"/>
  <c r="C1" i="268"/>
  <c r="S14" i="389"/>
  <c r="U14" i="389" s="1"/>
  <c r="A5" i="287"/>
  <c r="A5" i="289"/>
  <c r="E75" i="383"/>
  <c r="E151" i="269"/>
  <c r="C74" i="383"/>
  <c r="AB81" i="393"/>
  <c r="E73" i="167"/>
  <c r="BB81" i="167"/>
  <c r="E75" i="327"/>
  <c r="CP111" i="168"/>
  <c r="AJ81" i="393"/>
  <c r="C9" i="409"/>
  <c r="D9" i="409" s="1"/>
  <c r="E9" i="409" s="1"/>
  <c r="G71" i="393"/>
  <c r="CH52" i="168"/>
  <c r="F71" i="393"/>
  <c r="Q77" i="268"/>
  <c r="C20" i="389"/>
  <c r="E20" i="389" s="1"/>
  <c r="E21" i="389" s="1"/>
  <c r="AR81" i="393"/>
  <c r="D73" i="167"/>
  <c r="BO20" i="388"/>
  <c r="B70" i="167"/>
  <c r="E71" i="167" s="1"/>
  <c r="C9" i="423"/>
  <c r="C17" i="376"/>
  <c r="C17" i="428"/>
  <c r="AI37" i="167"/>
  <c r="AU37" i="167"/>
  <c r="C17" i="271"/>
  <c r="AM37" i="167"/>
  <c r="AM37" i="393"/>
  <c r="C17" i="305"/>
  <c r="C17" i="413"/>
  <c r="P19" i="393"/>
  <c r="P20" i="393" s="1"/>
  <c r="X37" i="393"/>
  <c r="AE37" i="167"/>
  <c r="R19" i="393"/>
  <c r="R20" i="393" s="1"/>
  <c r="R25" i="393" s="1"/>
  <c r="K108" i="1"/>
  <c r="AR24" i="393" s="1"/>
  <c r="C17" i="318"/>
  <c r="C108" i="1"/>
  <c r="J19" i="393" s="1"/>
  <c r="I154" i="366"/>
  <c r="M154" i="366" s="1"/>
  <c r="Q154" i="366" s="1"/>
  <c r="U154" i="366" s="1"/>
  <c r="M988" i="366"/>
  <c r="Q988" i="366" s="1"/>
  <c r="U988" i="366" s="1"/>
  <c r="M912" i="366"/>
  <c r="Q912" i="366" s="1"/>
  <c r="U912" i="366" s="1"/>
  <c r="M356" i="366"/>
  <c r="Q356" i="366" s="1"/>
  <c r="U356" i="366" s="1"/>
  <c r="I282" i="366"/>
  <c r="M282" i="366" s="1"/>
  <c r="Q282" i="366" s="1"/>
  <c r="U282" i="366" s="1"/>
  <c r="M248" i="366"/>
  <c r="Q248" i="366" s="1"/>
  <c r="U248" i="366" s="1"/>
  <c r="M324" i="366"/>
  <c r="Q324" i="366" s="1"/>
  <c r="U324" i="366" s="1"/>
  <c r="I854" i="366"/>
  <c r="M854" i="366" s="1"/>
  <c r="Q854" i="366" s="1"/>
  <c r="U854" i="366" s="1"/>
  <c r="I934" i="366"/>
  <c r="M934" i="366" s="1"/>
  <c r="Q934" i="366" s="1"/>
  <c r="U934" i="366" s="1"/>
  <c r="M152" i="366"/>
  <c r="Q152" i="366" s="1"/>
  <c r="U152" i="366" s="1"/>
  <c r="M440" i="366"/>
  <c r="Q440" i="366" s="1"/>
  <c r="U440" i="366" s="1"/>
  <c r="I486" i="366"/>
  <c r="M486" i="366" s="1"/>
  <c r="Q486" i="366" s="1"/>
  <c r="U486" i="366" s="1"/>
  <c r="M680" i="366"/>
  <c r="Q680" i="366" s="1"/>
  <c r="U680" i="366" s="1"/>
  <c r="I298" i="366"/>
  <c r="M298" i="366" s="1"/>
  <c r="Q298" i="366" s="1"/>
  <c r="U298" i="366" s="1"/>
  <c r="M884" i="366"/>
  <c r="Q884" i="366" s="1"/>
  <c r="U884" i="366" s="1"/>
  <c r="I554" i="366"/>
  <c r="M554" i="366" s="1"/>
  <c r="Q554" i="366" s="1"/>
  <c r="U554" i="366" s="1"/>
  <c r="I186" i="366"/>
  <c r="M186" i="366" s="1"/>
  <c r="Q186" i="366" s="1"/>
  <c r="U186" i="366" s="1"/>
  <c r="I30" i="366"/>
  <c r="M30" i="366" s="1"/>
  <c r="Q30" i="366" s="1"/>
  <c r="U30" i="366" s="1"/>
  <c r="D19" i="288"/>
  <c r="D18" i="277"/>
  <c r="D13" i="278" s="1"/>
  <c r="E13" i="278" s="1"/>
  <c r="C34" i="356"/>
  <c r="I39" i="2"/>
  <c r="D19" i="310"/>
  <c r="M824" i="366"/>
  <c r="Q824" i="366" s="1"/>
  <c r="U824" i="366" s="1"/>
  <c r="C34" i="360"/>
  <c r="I41" i="2"/>
  <c r="D18" i="288"/>
  <c r="D13" i="289" s="1"/>
  <c r="E13" i="289" s="1"/>
  <c r="D28" i="424"/>
  <c r="K28" i="248" s="1"/>
  <c r="M576" i="366"/>
  <c r="Q576" i="366" s="1"/>
  <c r="U576" i="366" s="1"/>
  <c r="M428" i="366"/>
  <c r="Q428" i="366" s="1"/>
  <c r="U428" i="366" s="1"/>
  <c r="M8" i="366"/>
  <c r="Q8" i="366" s="1"/>
  <c r="U8" i="366" s="1"/>
  <c r="M276" i="366"/>
  <c r="Q276" i="366" s="1"/>
  <c r="U276" i="366" s="1"/>
  <c r="M244" i="366"/>
  <c r="Q244" i="366" s="1"/>
  <c r="U244" i="366" s="1"/>
  <c r="M44" i="366"/>
  <c r="Q44" i="366" s="1"/>
  <c r="U44" i="366" s="1"/>
  <c r="I954" i="366"/>
  <c r="M954" i="366" s="1"/>
  <c r="Q954" i="366" s="1"/>
  <c r="U954" i="366" s="1"/>
  <c r="AZ37" i="393"/>
  <c r="I974" i="366"/>
  <c r="M974" i="366" s="1"/>
  <c r="Q974" i="366" s="1"/>
  <c r="U974" i="366" s="1"/>
  <c r="M452" i="366"/>
  <c r="Q452" i="366" s="1"/>
  <c r="U452" i="366" s="1"/>
  <c r="M600" i="366"/>
  <c r="Q600" i="366" s="1"/>
  <c r="U600" i="366" s="1"/>
  <c r="M212" i="366"/>
  <c r="Q212" i="366" s="1"/>
  <c r="U212" i="366" s="1"/>
  <c r="M740" i="366"/>
  <c r="Q740" i="366" s="1"/>
  <c r="U740" i="366" s="1"/>
  <c r="M132" i="366"/>
  <c r="Q132" i="366" s="1"/>
  <c r="U132" i="366" s="1"/>
  <c r="I926" i="366"/>
  <c r="M926" i="366" s="1"/>
  <c r="Q926" i="366" s="1"/>
  <c r="U926" i="366" s="1"/>
  <c r="I774" i="366"/>
  <c r="M774" i="366" s="1"/>
  <c r="Q774" i="366" s="1"/>
  <c r="U774" i="366" s="1"/>
  <c r="M32" i="366"/>
  <c r="Q32" i="366" s="1"/>
  <c r="U32" i="366" s="1"/>
  <c r="I814" i="366"/>
  <c r="M814" i="366" s="1"/>
  <c r="Q814" i="366" s="1"/>
  <c r="U814" i="366" s="1"/>
  <c r="M524" i="366"/>
  <c r="Q524" i="366" s="1"/>
  <c r="U524" i="366" s="1"/>
  <c r="I214" i="366"/>
  <c r="M214" i="366" s="1"/>
  <c r="Q214" i="366" s="1"/>
  <c r="U214" i="366" s="1"/>
  <c r="M672" i="366"/>
  <c r="Q672" i="366" s="1"/>
  <c r="U672" i="366" s="1"/>
  <c r="M924" i="366"/>
  <c r="Q924" i="366" s="1"/>
  <c r="U924" i="366" s="1"/>
  <c r="M808" i="366"/>
  <c r="Q808" i="366" s="1"/>
  <c r="U808" i="366" s="1"/>
  <c r="M992" i="366"/>
  <c r="Q992" i="366" s="1"/>
  <c r="U992" i="366" s="1"/>
  <c r="M796" i="366"/>
  <c r="Q796" i="366" s="1"/>
  <c r="U796" i="366" s="1"/>
  <c r="I938" i="366"/>
  <c r="M938" i="366" s="1"/>
  <c r="Q938" i="366" s="1"/>
  <c r="U938" i="366" s="1"/>
  <c r="M852" i="366"/>
  <c r="Q852" i="366" s="1"/>
  <c r="U852" i="366" s="1"/>
  <c r="M772" i="366"/>
  <c r="Q772" i="366" s="1"/>
  <c r="U772" i="366" s="1"/>
  <c r="I494" i="366"/>
  <c r="M494" i="366" s="1"/>
  <c r="Q494" i="366" s="1"/>
  <c r="U494" i="366" s="1"/>
  <c r="M960" i="366"/>
  <c r="Q960" i="366" s="1"/>
  <c r="U960" i="366" s="1"/>
  <c r="I766" i="366"/>
  <c r="M766" i="366" s="1"/>
  <c r="Q766" i="366" s="1"/>
  <c r="U766" i="366" s="1"/>
  <c r="I958" i="366"/>
  <c r="M958" i="366" s="1"/>
  <c r="Q958" i="366" s="1"/>
  <c r="U958" i="366" s="1"/>
  <c r="I842" i="366"/>
  <c r="M842" i="366" s="1"/>
  <c r="Q842" i="366" s="1"/>
  <c r="U842" i="366" s="1"/>
  <c r="M596" i="366"/>
  <c r="Q596" i="366" s="1"/>
  <c r="U596" i="366" s="1"/>
  <c r="M420" i="366"/>
  <c r="Q420" i="366" s="1"/>
  <c r="U420" i="366" s="1"/>
  <c r="I950" i="366"/>
  <c r="M950" i="366" s="1"/>
  <c r="Q950" i="366" s="1"/>
  <c r="U950" i="366" s="1"/>
  <c r="M20" i="366"/>
  <c r="Q20" i="366" s="1"/>
  <c r="U20" i="366" s="1"/>
  <c r="I946" i="366"/>
  <c r="M946" i="366" s="1"/>
  <c r="Q946" i="366" s="1"/>
  <c r="U946" i="366" s="1"/>
  <c r="M768" i="366"/>
  <c r="Q768" i="366" s="1"/>
  <c r="U768" i="366" s="1"/>
  <c r="M112" i="366"/>
  <c r="Q112" i="366" s="1"/>
  <c r="U112" i="366" s="1"/>
  <c r="I134" i="366"/>
  <c r="M134" i="366" s="1"/>
  <c r="Q134" i="366" s="1"/>
  <c r="U134" i="366" s="1"/>
  <c r="I102" i="366"/>
  <c r="M102" i="366" s="1"/>
  <c r="Q102" i="366" s="1"/>
  <c r="U102" i="366" s="1"/>
  <c r="I478" i="366"/>
  <c r="M478" i="366" s="1"/>
  <c r="Q478" i="366" s="1"/>
  <c r="U478" i="366" s="1"/>
  <c r="I430" i="366"/>
  <c r="M430" i="366" s="1"/>
  <c r="Q430" i="366" s="1"/>
  <c r="U430" i="366" s="1"/>
  <c r="I262" i="366"/>
  <c r="M262" i="366" s="1"/>
  <c r="Q262" i="366" s="1"/>
  <c r="U262" i="366" s="1"/>
  <c r="M572" i="366"/>
  <c r="Q572" i="366" s="1"/>
  <c r="U572" i="366" s="1"/>
  <c r="I250" i="366"/>
  <c r="M250" i="366" s="1"/>
  <c r="Q250" i="366" s="1"/>
  <c r="U250" i="366" s="1"/>
  <c r="I302" i="366"/>
  <c r="M302" i="366" s="1"/>
  <c r="Q302" i="366" s="1"/>
  <c r="U302" i="366" s="1"/>
  <c r="M788" i="366"/>
  <c r="Q788" i="366" s="1"/>
  <c r="U788" i="366" s="1"/>
  <c r="M140" i="366"/>
  <c r="Q140" i="366" s="1"/>
  <c r="U140" i="366" s="1"/>
  <c r="I94" i="366"/>
  <c r="M94" i="366" s="1"/>
  <c r="Q94" i="366" s="1"/>
  <c r="U94" i="366" s="1"/>
  <c r="I162" i="366"/>
  <c r="M162" i="366" s="1"/>
  <c r="Q162" i="366" s="1"/>
  <c r="U162" i="366" s="1"/>
  <c r="M76" i="366"/>
  <c r="Q76" i="366" s="1"/>
  <c r="U76" i="366" s="1"/>
  <c r="M916" i="366"/>
  <c r="Q916" i="366" s="1"/>
  <c r="U916" i="366" s="1"/>
  <c r="M936" i="366"/>
  <c r="Q936" i="366" s="1"/>
  <c r="U936" i="366" s="1"/>
  <c r="M252" i="366"/>
  <c r="Q252" i="366" s="1"/>
  <c r="U252" i="366" s="1"/>
  <c r="I14" i="366"/>
  <c r="M14" i="366" s="1"/>
  <c r="Q14" i="366" s="1"/>
  <c r="U14" i="366" s="1"/>
  <c r="M800" i="366"/>
  <c r="Q800" i="366" s="1"/>
  <c r="U800" i="366" s="1"/>
  <c r="I742" i="366"/>
  <c r="M742" i="366" s="1"/>
  <c r="Q742" i="366" s="1"/>
  <c r="U742" i="366" s="1"/>
  <c r="I410" i="366"/>
  <c r="M410" i="366" s="1"/>
  <c r="Q410" i="366" s="1"/>
  <c r="U410" i="366" s="1"/>
  <c r="M336" i="366"/>
  <c r="Q336" i="366" s="1"/>
  <c r="U336" i="366" s="1"/>
  <c r="I278" i="366"/>
  <c r="M278" i="366" s="1"/>
  <c r="Q278" i="366" s="1"/>
  <c r="U278" i="366" s="1"/>
  <c r="M88" i="366"/>
  <c r="Q88" i="366" s="1"/>
  <c r="U88" i="366" s="1"/>
  <c r="M380" i="366"/>
  <c r="Q380" i="366" s="1"/>
  <c r="U380" i="366" s="1"/>
  <c r="I846" i="366"/>
  <c r="M846" i="366" s="1"/>
  <c r="Q846" i="366" s="1"/>
  <c r="U846" i="366" s="1"/>
  <c r="M372" i="366"/>
  <c r="Q372" i="366" s="1"/>
  <c r="U372" i="366" s="1"/>
  <c r="I294" i="366"/>
  <c r="M294" i="366" s="1"/>
  <c r="Q294" i="366" s="1"/>
  <c r="U294" i="366" s="1"/>
  <c r="I734" i="366"/>
  <c r="M734" i="366" s="1"/>
  <c r="Q734" i="366" s="1"/>
  <c r="U734" i="366" s="1"/>
  <c r="I226" i="366"/>
  <c r="M226" i="366" s="1"/>
  <c r="Q226" i="366" s="1"/>
  <c r="U226" i="366" s="1"/>
  <c r="I498" i="366"/>
  <c r="M498" i="366" s="1"/>
  <c r="Q498" i="366" s="1"/>
  <c r="U498" i="366" s="1"/>
  <c r="I202" i="366"/>
  <c r="M202" i="366" s="1"/>
  <c r="Q202" i="366" s="1"/>
  <c r="U202" i="366" s="1"/>
  <c r="I402" i="366"/>
  <c r="M402" i="366" s="1"/>
  <c r="Q402" i="366" s="1"/>
  <c r="U402" i="366" s="1"/>
  <c r="I50" i="366"/>
  <c r="M50" i="366" s="1"/>
  <c r="Q50" i="366" s="1"/>
  <c r="U50" i="366" s="1"/>
  <c r="M668" i="366"/>
  <c r="Q668" i="366" s="1"/>
  <c r="U668" i="366" s="1"/>
  <c r="I6" i="366"/>
  <c r="M6" i="366" s="1"/>
  <c r="Q6" i="366" s="1"/>
  <c r="U6" i="366" s="1"/>
  <c r="I114" i="366"/>
  <c r="M114" i="366" s="1"/>
  <c r="Q114" i="366" s="1"/>
  <c r="U114" i="366" s="1"/>
  <c r="I126" i="366"/>
  <c r="M126" i="366" s="1"/>
  <c r="Q126" i="366" s="1"/>
  <c r="U126" i="366" s="1"/>
  <c r="I142" i="366"/>
  <c r="M142" i="366" s="1"/>
  <c r="Q142" i="366" s="1"/>
  <c r="U142" i="366" s="1"/>
  <c r="I194" i="366"/>
  <c r="M194" i="366" s="1"/>
  <c r="Q194" i="366" s="1"/>
  <c r="U194" i="366" s="1"/>
  <c r="I206" i="366"/>
  <c r="M206" i="366" s="1"/>
  <c r="Q206" i="366" s="1"/>
  <c r="U206" i="366" s="1"/>
  <c r="I982" i="366"/>
  <c r="M982" i="366" s="1"/>
  <c r="Q982" i="366" s="1"/>
  <c r="U982" i="366" s="1"/>
  <c r="I922" i="366"/>
  <c r="M922" i="366" s="1"/>
  <c r="Q922" i="366" s="1"/>
  <c r="U922" i="366" s="1"/>
  <c r="I894" i="366"/>
  <c r="M894" i="366" s="1"/>
  <c r="Q894" i="366" s="1"/>
  <c r="U894" i="366" s="1"/>
  <c r="I902" i="366"/>
  <c r="M902" i="366" s="1"/>
  <c r="Q902" i="366" s="1"/>
  <c r="U902" i="366" s="1"/>
  <c r="I758" i="366"/>
  <c r="M758" i="366" s="1"/>
  <c r="Q758" i="366" s="1"/>
  <c r="U758" i="366" s="1"/>
  <c r="M368" i="366"/>
  <c r="Q368" i="366" s="1"/>
  <c r="U368" i="366" s="1"/>
  <c r="I882" i="366"/>
  <c r="M882" i="366" s="1"/>
  <c r="Q882" i="366" s="1"/>
  <c r="U882" i="366" s="1"/>
  <c r="M364" i="366"/>
  <c r="Q364" i="366" s="1"/>
  <c r="U364" i="366" s="1"/>
  <c r="M360" i="366"/>
  <c r="Q360" i="366" s="1"/>
  <c r="U360" i="366" s="1"/>
  <c r="M476" i="366"/>
  <c r="Q476" i="366" s="1"/>
  <c r="U476" i="366" s="1"/>
  <c r="I802" i="366"/>
  <c r="M802" i="366" s="1"/>
  <c r="Q802" i="366" s="1"/>
  <c r="U802" i="366" s="1"/>
  <c r="M344" i="366"/>
  <c r="Q344" i="366" s="1"/>
  <c r="U344" i="366" s="1"/>
  <c r="I866" i="366"/>
  <c r="M866" i="366" s="1"/>
  <c r="Q866" i="366" s="1"/>
  <c r="U866" i="366" s="1"/>
  <c r="M232" i="366"/>
  <c r="Q232" i="366" s="1"/>
  <c r="U232" i="366" s="1"/>
  <c r="M124" i="366"/>
  <c r="Q124" i="366" s="1"/>
  <c r="U124" i="366" s="1"/>
  <c r="I862" i="366"/>
  <c r="M862" i="366" s="1"/>
  <c r="Q862" i="366" s="1"/>
  <c r="U862" i="366" s="1"/>
  <c r="M40" i="366"/>
  <c r="Q40" i="366" s="1"/>
  <c r="U40" i="366" s="1"/>
  <c r="M96" i="366"/>
  <c r="Q96" i="366" s="1"/>
  <c r="U96" i="366" s="1"/>
  <c r="M16" i="366"/>
  <c r="Q16" i="366" s="1"/>
  <c r="U16" i="366" s="1"/>
  <c r="M228" i="366"/>
  <c r="Q228" i="366" s="1"/>
  <c r="U228" i="366" s="1"/>
  <c r="M100" i="366"/>
  <c r="Q100" i="366" s="1"/>
  <c r="U100" i="366" s="1"/>
  <c r="I930" i="366"/>
  <c r="M930" i="366" s="1"/>
  <c r="Q930" i="366" s="1"/>
  <c r="U930" i="366" s="1"/>
  <c r="M36" i="366"/>
  <c r="Q36" i="366" s="1"/>
  <c r="U36" i="366" s="1"/>
  <c r="A5" i="282"/>
  <c r="C14" i="383"/>
  <c r="E14" i="383" s="1"/>
  <c r="M196" i="366"/>
  <c r="Q196" i="366" s="1"/>
  <c r="U196" i="366" s="1"/>
  <c r="M624" i="366"/>
  <c r="Q624" i="366" s="1"/>
  <c r="U624" i="366" s="1"/>
  <c r="I342" i="366"/>
  <c r="M342" i="366" s="1"/>
  <c r="Q342" i="366" s="1"/>
  <c r="U342" i="366" s="1"/>
  <c r="M628" i="366"/>
  <c r="Q628" i="366" s="1"/>
  <c r="U628" i="366" s="1"/>
  <c r="I510" i="366"/>
  <c r="M510" i="366" s="1"/>
  <c r="Q510" i="366" s="1"/>
  <c r="U510" i="366" s="1"/>
  <c r="I54" i="366"/>
  <c r="M54" i="366" s="1"/>
  <c r="Q54" i="366" s="1"/>
  <c r="U54" i="366" s="1"/>
  <c r="I86" i="366"/>
  <c r="M86" i="366" s="1"/>
  <c r="Q86" i="366" s="1"/>
  <c r="U86" i="366" s="1"/>
  <c r="M532" i="366"/>
  <c r="Q532" i="366" s="1"/>
  <c r="U532" i="366" s="1"/>
  <c r="M676" i="366"/>
  <c r="Q676" i="366" s="1"/>
  <c r="U676" i="366" s="1"/>
  <c r="I382" i="366"/>
  <c r="M382" i="366" s="1"/>
  <c r="Q382" i="366" s="1"/>
  <c r="U382" i="366" s="1"/>
  <c r="M164" i="366"/>
  <c r="Q164" i="366" s="1"/>
  <c r="U164" i="366" s="1"/>
  <c r="I506" i="366"/>
  <c r="M506" i="366" s="1"/>
  <c r="Q506" i="366" s="1"/>
  <c r="U506" i="366" s="1"/>
  <c r="I210" i="366"/>
  <c r="M210" i="366" s="1"/>
  <c r="Q210" i="366" s="1"/>
  <c r="U210" i="366" s="1"/>
  <c r="M260" i="366"/>
  <c r="Q260" i="366" s="1"/>
  <c r="U260" i="366" s="1"/>
  <c r="M496" i="366"/>
  <c r="Q496" i="366" s="1"/>
  <c r="U496" i="366" s="1"/>
  <c r="M548" i="366"/>
  <c r="Q548" i="366" s="1"/>
  <c r="U548" i="366" s="1"/>
  <c r="I698" i="366"/>
  <c r="M698" i="366" s="1"/>
  <c r="Q698" i="366" s="1"/>
  <c r="U698" i="366" s="1"/>
  <c r="I386" i="366"/>
  <c r="M386" i="366" s="1"/>
  <c r="Q386" i="366" s="1"/>
  <c r="U386" i="366" s="1"/>
  <c r="I178" i="366"/>
  <c r="M178" i="366" s="1"/>
  <c r="Q178" i="366" s="1"/>
  <c r="U178" i="366" s="1"/>
  <c r="M980" i="366"/>
  <c r="Q980" i="366" s="1"/>
  <c r="U980" i="366" s="1"/>
  <c r="M976" i="366"/>
  <c r="Q976" i="366" s="1"/>
  <c r="U976" i="366" s="1"/>
  <c r="I138" i="366"/>
  <c r="M138" i="366" s="1"/>
  <c r="Q138" i="366" s="1"/>
  <c r="U138" i="366" s="1"/>
  <c r="M984" i="366"/>
  <c r="Q984" i="366" s="1"/>
  <c r="U984" i="366" s="1"/>
  <c r="I702" i="366"/>
  <c r="M702" i="366" s="1"/>
  <c r="Q702" i="366" s="1"/>
  <c r="U702" i="366" s="1"/>
  <c r="I706" i="366"/>
  <c r="M706" i="366" s="1"/>
  <c r="Q706" i="366" s="1"/>
  <c r="U706" i="366" s="1"/>
  <c r="I710" i="366"/>
  <c r="M710" i="366" s="1"/>
  <c r="Q710" i="366" s="1"/>
  <c r="U710" i="366" s="1"/>
  <c r="I718" i="366"/>
  <c r="M718" i="366" s="1"/>
  <c r="Q718" i="366" s="1"/>
  <c r="U718" i="366" s="1"/>
  <c r="I726" i="366"/>
  <c r="M726" i="366" s="1"/>
  <c r="Q726" i="366" s="1"/>
  <c r="U726" i="366" s="1"/>
  <c r="I730" i="366"/>
  <c r="M730" i="366" s="1"/>
  <c r="Q730" i="366" s="1"/>
  <c r="U730" i="366" s="1"/>
  <c r="I746" i="366"/>
  <c r="M746" i="366" s="1"/>
  <c r="Q746" i="366" s="1"/>
  <c r="U746" i="366" s="1"/>
  <c r="I750" i="366"/>
  <c r="M750" i="366" s="1"/>
  <c r="Q750" i="366" s="1"/>
  <c r="U750" i="366" s="1"/>
  <c r="I794" i="366"/>
  <c r="M794" i="366" s="1"/>
  <c r="Q794" i="366" s="1"/>
  <c r="U794" i="366" s="1"/>
  <c r="I810" i="366"/>
  <c r="M810" i="366" s="1"/>
  <c r="Q810" i="366" s="1"/>
  <c r="U810" i="366" s="1"/>
  <c r="I822" i="366"/>
  <c r="M822" i="366" s="1"/>
  <c r="Q822" i="366" s="1"/>
  <c r="U822" i="366" s="1"/>
  <c r="I830" i="366"/>
  <c r="M830" i="366" s="1"/>
  <c r="Q830" i="366" s="1"/>
  <c r="U830" i="366" s="1"/>
  <c r="M508" i="366"/>
  <c r="Q508" i="366" s="1"/>
  <c r="U508" i="366" s="1"/>
  <c r="I790" i="366"/>
  <c r="M790" i="366" s="1"/>
  <c r="Q790" i="366" s="1"/>
  <c r="U790" i="366" s="1"/>
  <c r="I722" i="366"/>
  <c r="M722" i="366" s="1"/>
  <c r="Q722" i="366" s="1"/>
  <c r="U722" i="366" s="1"/>
  <c r="I418" i="366"/>
  <c r="M418" i="366" s="1"/>
  <c r="Q418" i="366" s="1"/>
  <c r="U418" i="366" s="1"/>
  <c r="M340" i="366"/>
  <c r="Q340" i="366" s="1"/>
  <c r="U340" i="366" s="1"/>
  <c r="M512" i="366"/>
  <c r="Q512" i="366" s="1"/>
  <c r="U512" i="366" s="1"/>
  <c r="M656" i="366"/>
  <c r="Q656" i="366" s="1"/>
  <c r="U656" i="366" s="1"/>
  <c r="I890" i="366"/>
  <c r="M890" i="366" s="1"/>
  <c r="Q890" i="366" s="1"/>
  <c r="U890" i="366" s="1"/>
  <c r="M432" i="366"/>
  <c r="Q432" i="366" s="1"/>
  <c r="U432" i="366" s="1"/>
  <c r="I762" i="366"/>
  <c r="M762" i="366" s="1"/>
  <c r="Q762" i="366" s="1"/>
  <c r="U762" i="366" s="1"/>
  <c r="I850" i="366"/>
  <c r="M850" i="366" s="1"/>
  <c r="Q850" i="366" s="1"/>
  <c r="U850" i="366" s="1"/>
  <c r="I978" i="366"/>
  <c r="M978" i="366" s="1"/>
  <c r="Q978" i="366" s="1"/>
  <c r="U978" i="366" s="1"/>
  <c r="I834" i="366"/>
  <c r="M834" i="366" s="1"/>
  <c r="Q834" i="366" s="1"/>
  <c r="U834" i="366" s="1"/>
  <c r="M480" i="366"/>
  <c r="Q480" i="366" s="1"/>
  <c r="U480" i="366" s="1"/>
  <c r="I990" i="366"/>
  <c r="M990" i="366" s="1"/>
  <c r="Q990" i="366" s="1"/>
  <c r="U990" i="366" s="1"/>
  <c r="M868" i="366"/>
  <c r="Q868" i="366" s="1"/>
  <c r="U868" i="366" s="1"/>
  <c r="I738" i="366"/>
  <c r="M738" i="366" s="1"/>
  <c r="Q738" i="366" s="1"/>
  <c r="U738" i="366" s="1"/>
  <c r="I406" i="366"/>
  <c r="M406" i="366" s="1"/>
  <c r="Q406" i="366" s="1"/>
  <c r="U406" i="366" s="1"/>
  <c r="I526" i="366"/>
  <c r="M526" i="366" s="1"/>
  <c r="Q526" i="366" s="1"/>
  <c r="U526" i="366" s="1"/>
  <c r="I174" i="366"/>
  <c r="M174" i="366" s="1"/>
  <c r="Q174" i="366" s="1"/>
  <c r="U174" i="366" s="1"/>
  <c r="M940" i="366"/>
  <c r="Q940" i="366" s="1"/>
  <c r="U940" i="366" s="1"/>
  <c r="M504" i="366"/>
  <c r="Q504" i="366" s="1"/>
  <c r="U504" i="366" s="1"/>
  <c r="M172" i="366"/>
  <c r="Q172" i="366" s="1"/>
  <c r="U172" i="366" s="1"/>
  <c r="I694" i="366"/>
  <c r="M694" i="366" s="1"/>
  <c r="Q694" i="366" s="1"/>
  <c r="U694" i="366" s="1"/>
  <c r="M304" i="366"/>
  <c r="Q304" i="366" s="1"/>
  <c r="U304" i="366" s="1"/>
  <c r="I562" i="366"/>
  <c r="M562" i="366" s="1"/>
  <c r="Q562" i="366" s="1"/>
  <c r="U562" i="366" s="1"/>
  <c r="M12" i="366"/>
  <c r="Q12" i="366" s="1"/>
  <c r="U12" i="366" s="1"/>
  <c r="M776" i="366"/>
  <c r="Q776" i="366" s="1"/>
  <c r="U776" i="366" s="1"/>
  <c r="I286" i="366"/>
  <c r="M286" i="366" s="1"/>
  <c r="Q286" i="366" s="1"/>
  <c r="U286" i="366" s="1"/>
  <c r="M764" i="366"/>
  <c r="Q764" i="366" s="1"/>
  <c r="U764" i="366" s="1"/>
  <c r="M224" i="366"/>
  <c r="Q224" i="366" s="1"/>
  <c r="U224" i="366" s="1"/>
  <c r="M68" i="366"/>
  <c r="Q68" i="366" s="1"/>
  <c r="U68" i="366" s="1"/>
  <c r="I906" i="366"/>
  <c r="M906" i="366" s="1"/>
  <c r="Q906" i="366" s="1"/>
  <c r="U906" i="366" s="1"/>
  <c r="M760" i="366"/>
  <c r="Q760" i="366" s="1"/>
  <c r="U760" i="366" s="1"/>
  <c r="M240" i="366"/>
  <c r="Q240" i="366" s="1"/>
  <c r="U240" i="366" s="1"/>
  <c r="M108" i="366"/>
  <c r="Q108" i="366" s="1"/>
  <c r="U108" i="366" s="1"/>
  <c r="M996" i="366"/>
  <c r="Q996" i="366" s="1"/>
  <c r="U996" i="366" s="1"/>
  <c r="M464" i="366"/>
  <c r="Q464" i="366" s="1"/>
  <c r="U464" i="366" s="1"/>
  <c r="M136" i="366"/>
  <c r="Q136" i="366" s="1"/>
  <c r="U136" i="366" s="1"/>
  <c r="M584" i="366"/>
  <c r="Q584" i="366" s="1"/>
  <c r="U584" i="366" s="1"/>
  <c r="I310" i="366"/>
  <c r="M310" i="366" s="1"/>
  <c r="Q310" i="366" s="1"/>
  <c r="U310" i="366" s="1"/>
  <c r="I98" i="366"/>
  <c r="M98" i="366" s="1"/>
  <c r="Q98" i="366" s="1"/>
  <c r="U98" i="366" s="1"/>
  <c r="M732" i="366"/>
  <c r="Q732" i="366" s="1"/>
  <c r="U732" i="366" s="1"/>
  <c r="M620" i="366"/>
  <c r="Q620" i="366" s="1"/>
  <c r="U620" i="366" s="1"/>
  <c r="I318" i="366"/>
  <c r="M318" i="366" s="1"/>
  <c r="Q318" i="366" s="1"/>
  <c r="U318" i="366" s="1"/>
  <c r="I230" i="366"/>
  <c r="M230" i="366" s="1"/>
  <c r="Q230" i="366" s="1"/>
  <c r="U230" i="366" s="1"/>
  <c r="I234" i="366"/>
  <c r="M234" i="366" s="1"/>
  <c r="Q234" i="366" s="1"/>
  <c r="U234" i="366" s="1"/>
  <c r="M616" i="366"/>
  <c r="Q616" i="366" s="1"/>
  <c r="U616" i="366" s="1"/>
  <c r="I218" i="366"/>
  <c r="M218" i="366" s="1"/>
  <c r="Q218" i="366" s="1"/>
  <c r="U218" i="366" s="1"/>
  <c r="M396" i="366"/>
  <c r="Q396" i="366" s="1"/>
  <c r="U396" i="366" s="1"/>
  <c r="M268" i="366"/>
  <c r="Q268" i="366" s="1"/>
  <c r="U268" i="366" s="1"/>
  <c r="I538" i="366"/>
  <c r="M538" i="366" s="1"/>
  <c r="Q538" i="366" s="1"/>
  <c r="U538" i="366" s="1"/>
  <c r="I450" i="366"/>
  <c r="M450" i="366" s="1"/>
  <c r="Q450" i="366" s="1"/>
  <c r="U450" i="366" s="1"/>
  <c r="I818" i="366"/>
  <c r="M818" i="366" s="1"/>
  <c r="Q818" i="366" s="1"/>
  <c r="U818" i="366" s="1"/>
  <c r="I34" i="366"/>
  <c r="M34" i="366" s="1"/>
  <c r="Q34" i="366" s="1"/>
  <c r="U34" i="366" s="1"/>
  <c r="M944" i="366"/>
  <c r="Q944" i="366" s="1"/>
  <c r="U944" i="366" s="1"/>
  <c r="M876" i="366"/>
  <c r="Q876" i="366" s="1"/>
  <c r="U876" i="366" s="1"/>
  <c r="M888" i="366"/>
  <c r="Q888" i="366" s="1"/>
  <c r="U888" i="366" s="1"/>
  <c r="M264" i="366"/>
  <c r="Q264" i="366" s="1"/>
  <c r="U264" i="366" s="1"/>
  <c r="M592" i="366"/>
  <c r="Q592" i="366" s="1"/>
  <c r="U592" i="366" s="1"/>
  <c r="I26" i="366"/>
  <c r="M26" i="366" s="1"/>
  <c r="Q26" i="366" s="1"/>
  <c r="U26" i="366" s="1"/>
  <c r="M176" i="366"/>
  <c r="Q176" i="366" s="1"/>
  <c r="U176" i="366" s="1"/>
  <c r="M560" i="366"/>
  <c r="Q560" i="366" s="1"/>
  <c r="U560" i="366" s="1"/>
  <c r="M272" i="366"/>
  <c r="Q272" i="366" s="1"/>
  <c r="U272" i="366" s="1"/>
  <c r="M256" i="366"/>
  <c r="Q256" i="366" s="1"/>
  <c r="U256" i="366" s="1"/>
  <c r="M24" i="366"/>
  <c r="Q24" i="366" s="1"/>
  <c r="U24" i="366" s="1"/>
  <c r="M472" i="366"/>
  <c r="Q472" i="366" s="1"/>
  <c r="U472" i="366" s="1"/>
  <c r="M484" i="366"/>
  <c r="Q484" i="366" s="1"/>
  <c r="U484" i="366" s="1"/>
  <c r="M964" i="366"/>
  <c r="Q964" i="366" s="1"/>
  <c r="U964" i="366" s="1"/>
  <c r="M844" i="366"/>
  <c r="Q844" i="366" s="1"/>
  <c r="U844" i="366" s="1"/>
  <c r="M728" i="366"/>
  <c r="Q728" i="366" s="1"/>
  <c r="U728" i="366" s="1"/>
  <c r="M552" i="366"/>
  <c r="Q552" i="366" s="1"/>
  <c r="U552" i="366" s="1"/>
  <c r="I446" i="366"/>
  <c r="M446" i="366" s="1"/>
  <c r="Q446" i="366" s="1"/>
  <c r="U446" i="366" s="1"/>
  <c r="I314" i="366"/>
  <c r="M314" i="366" s="1"/>
  <c r="Q314" i="366" s="1"/>
  <c r="U314" i="366" s="1"/>
  <c r="M80" i="366"/>
  <c r="Q80" i="366" s="1"/>
  <c r="U80" i="366" s="1"/>
  <c r="M540" i="366"/>
  <c r="Q540" i="366" s="1"/>
  <c r="U540" i="366" s="1"/>
  <c r="M604" i="366"/>
  <c r="Q604" i="366" s="1"/>
  <c r="U604" i="366" s="1"/>
  <c r="M488" i="366"/>
  <c r="Q488" i="366" s="1"/>
  <c r="U488" i="366" s="1"/>
  <c r="M284" i="366"/>
  <c r="Q284" i="366" s="1"/>
  <c r="U284" i="366" s="1"/>
  <c r="I326" i="366"/>
  <c r="M326" i="366" s="1"/>
  <c r="Q326" i="366" s="1"/>
  <c r="U326" i="366" s="1"/>
  <c r="I398" i="366"/>
  <c r="M398" i="366" s="1"/>
  <c r="Q398" i="366" s="1"/>
  <c r="U398" i="366" s="1"/>
  <c r="M292" i="366"/>
  <c r="Q292" i="366" s="1"/>
  <c r="U292" i="366" s="1"/>
  <c r="I18" i="366"/>
  <c r="M18" i="366" s="1"/>
  <c r="Q18" i="366" s="1"/>
  <c r="U18" i="366" s="1"/>
  <c r="I970" i="366"/>
  <c r="M970" i="366" s="1"/>
  <c r="Q970" i="366" s="1"/>
  <c r="U970" i="366" s="1"/>
  <c r="I242" i="366"/>
  <c r="M242" i="366" s="1"/>
  <c r="Q242" i="366" s="1"/>
  <c r="U242" i="366" s="1"/>
  <c r="M864" i="366"/>
  <c r="Q864" i="366" s="1"/>
  <c r="U864" i="366" s="1"/>
  <c r="I394" i="366"/>
  <c r="M394" i="366" s="1"/>
  <c r="Q394" i="366" s="1"/>
  <c r="U394" i="366" s="1"/>
  <c r="M280" i="366"/>
  <c r="Q280" i="366" s="1"/>
  <c r="U280" i="366" s="1"/>
  <c r="M64" i="366"/>
  <c r="Q64" i="366" s="1"/>
  <c r="U64" i="366" s="1"/>
  <c r="I962" i="366"/>
  <c r="M962" i="366" s="1"/>
  <c r="Q962" i="366" s="1"/>
  <c r="U962" i="366" s="1"/>
  <c r="M792" i="366"/>
  <c r="Q792" i="366" s="1"/>
  <c r="U792" i="366" s="1"/>
  <c r="M456" i="366"/>
  <c r="Q456" i="366" s="1"/>
  <c r="U456" i="366" s="1"/>
  <c r="M160" i="366"/>
  <c r="Q160" i="366" s="1"/>
  <c r="U160" i="366" s="1"/>
  <c r="M168" i="366"/>
  <c r="Q168" i="366" s="1"/>
  <c r="U168" i="366" s="1"/>
  <c r="M460" i="366"/>
  <c r="Q460" i="366" s="1"/>
  <c r="U460" i="366" s="1"/>
  <c r="M296" i="366"/>
  <c r="Q296" i="366" s="1"/>
  <c r="U296" i="366" s="1"/>
  <c r="M200" i="366"/>
  <c r="Q200" i="366" s="1"/>
  <c r="U200" i="366" s="1"/>
  <c r="M120" i="366"/>
  <c r="Q120" i="366" s="1"/>
  <c r="U120" i="366" s="1"/>
  <c r="M744" i="366"/>
  <c r="Q744" i="366" s="1"/>
  <c r="U744" i="366" s="1"/>
  <c r="M144" i="366"/>
  <c r="Q144" i="366" s="1"/>
  <c r="U144" i="366" s="1"/>
  <c r="I874" i="366"/>
  <c r="M874" i="366" s="1"/>
  <c r="Q874" i="366" s="1"/>
  <c r="U874" i="366" s="1"/>
  <c r="M748" i="366"/>
  <c r="Q748" i="366" s="1"/>
  <c r="U748" i="366" s="1"/>
  <c r="M72" i="366"/>
  <c r="Q72" i="366" s="1"/>
  <c r="U72" i="366" s="1"/>
  <c r="M216" i="366"/>
  <c r="Q216" i="366" s="1"/>
  <c r="U216" i="366" s="1"/>
  <c r="I870" i="366"/>
  <c r="M870" i="366" s="1"/>
  <c r="Q870" i="366" s="1"/>
  <c r="U870" i="366" s="1"/>
  <c r="M220" i="366"/>
  <c r="Q220" i="366" s="1"/>
  <c r="U220" i="366" s="1"/>
  <c r="M724" i="366"/>
  <c r="Q724" i="366" s="1"/>
  <c r="U724" i="366" s="1"/>
  <c r="I358" i="366"/>
  <c r="M358" i="366" s="1"/>
  <c r="Q358" i="366" s="1"/>
  <c r="U358" i="366" s="1"/>
  <c r="M104" i="366"/>
  <c r="Q104" i="366" s="1"/>
  <c r="U104" i="366" s="1"/>
  <c r="M648" i="366"/>
  <c r="Q648" i="366" s="1"/>
  <c r="U648" i="366" s="1"/>
  <c r="M704" i="366"/>
  <c r="Q704" i="366" s="1"/>
  <c r="U704" i="366" s="1"/>
  <c r="M660" i="366"/>
  <c r="Q660" i="366" s="1"/>
  <c r="U660" i="366" s="1"/>
  <c r="I370" i="366"/>
  <c r="M370" i="366" s="1"/>
  <c r="Q370" i="366" s="1"/>
  <c r="U370" i="366" s="1"/>
  <c r="M156" i="366"/>
  <c r="Q156" i="366" s="1"/>
  <c r="U156" i="366" s="1"/>
  <c r="I414" i="366"/>
  <c r="M414" i="366" s="1"/>
  <c r="Q414" i="366" s="1"/>
  <c r="U414" i="366" s="1"/>
  <c r="M664" i="366"/>
  <c r="Q664" i="366" s="1"/>
  <c r="U664" i="366" s="1"/>
  <c r="M780" i="366"/>
  <c r="Q780" i="366" s="1"/>
  <c r="U780" i="366" s="1"/>
  <c r="M92" i="366"/>
  <c r="Q92" i="366" s="1"/>
  <c r="U92" i="366" s="1"/>
  <c r="I530" i="366"/>
  <c r="M530" i="366" s="1"/>
  <c r="Q530" i="366" s="1"/>
  <c r="U530" i="366" s="1"/>
  <c r="I350" i="366"/>
  <c r="M350" i="366" s="1"/>
  <c r="Q350" i="366" s="1"/>
  <c r="U350" i="366" s="1"/>
  <c r="M52" i="366"/>
  <c r="Q52" i="366" s="1"/>
  <c r="U52" i="366" s="1"/>
  <c r="M580" i="366"/>
  <c r="Q580" i="366" s="1"/>
  <c r="U580" i="366" s="1"/>
  <c r="I157" i="366"/>
  <c r="M157" i="366" s="1"/>
  <c r="Q157" i="366" s="1"/>
  <c r="U157" i="366" s="1"/>
  <c r="I169" i="366"/>
  <c r="M169" i="366" s="1"/>
  <c r="Q169" i="366" s="1"/>
  <c r="U169" i="366" s="1"/>
  <c r="F58" i="49"/>
  <c r="J48" i="49"/>
  <c r="G48" i="1" s="1"/>
  <c r="F92" i="49"/>
  <c r="C109" i="1" s="1"/>
  <c r="C50" i="49"/>
  <c r="F105" i="49"/>
  <c r="I54" i="49"/>
  <c r="E54" i="1" s="1"/>
  <c r="C121" i="49"/>
  <c r="C127" i="1" s="1"/>
  <c r="F107" i="49"/>
  <c r="I101" i="366"/>
  <c r="M101" i="366" s="1"/>
  <c r="Q101" i="366" s="1"/>
  <c r="U101" i="366" s="1"/>
  <c r="I125" i="366"/>
  <c r="M125" i="366" s="1"/>
  <c r="Q125" i="366" s="1"/>
  <c r="U125" i="366" s="1"/>
  <c r="I129" i="366"/>
  <c r="M129" i="366" s="1"/>
  <c r="Q129" i="366" s="1"/>
  <c r="U129" i="366" s="1"/>
  <c r="I149" i="366"/>
  <c r="M149" i="366" s="1"/>
  <c r="Q149" i="366" s="1"/>
  <c r="U149" i="366" s="1"/>
  <c r="I165" i="366"/>
  <c r="M165" i="366" s="1"/>
  <c r="Q165" i="366" s="1"/>
  <c r="U165" i="366" s="1"/>
  <c r="I193" i="366"/>
  <c r="M193" i="366" s="1"/>
  <c r="Q193" i="366" s="1"/>
  <c r="U193" i="366" s="1"/>
  <c r="E74" i="269"/>
  <c r="C150" i="269"/>
  <c r="I22" i="366"/>
  <c r="M22" i="366" s="1"/>
  <c r="Q22" i="366" s="1"/>
  <c r="U22" i="366" s="1"/>
  <c r="I38" i="366"/>
  <c r="M38" i="366" s="1"/>
  <c r="Q38" i="366" s="1"/>
  <c r="U38" i="366" s="1"/>
  <c r="I42" i="366"/>
  <c r="M42" i="366" s="1"/>
  <c r="Q42" i="366" s="1"/>
  <c r="U42" i="366" s="1"/>
  <c r="I66" i="366"/>
  <c r="M66" i="366" s="1"/>
  <c r="Q66" i="366" s="1"/>
  <c r="U66" i="366" s="1"/>
  <c r="I74" i="366"/>
  <c r="M74" i="366" s="1"/>
  <c r="Q74" i="366" s="1"/>
  <c r="U74" i="366" s="1"/>
  <c r="I82" i="366"/>
  <c r="M82" i="366" s="1"/>
  <c r="Q82" i="366" s="1"/>
  <c r="U82" i="366" s="1"/>
  <c r="I90" i="366"/>
  <c r="M90" i="366" s="1"/>
  <c r="Q90" i="366" s="1"/>
  <c r="U90" i="366" s="1"/>
  <c r="I106" i="366"/>
  <c r="M106" i="366" s="1"/>
  <c r="Q106" i="366" s="1"/>
  <c r="U106" i="366" s="1"/>
  <c r="I130" i="366"/>
  <c r="M130" i="366" s="1"/>
  <c r="Q130" i="366" s="1"/>
  <c r="U130" i="366" s="1"/>
  <c r="I150" i="366"/>
  <c r="M150" i="366" s="1"/>
  <c r="Q150" i="366" s="1"/>
  <c r="U150" i="366" s="1"/>
  <c r="I158" i="366"/>
  <c r="M158" i="366" s="1"/>
  <c r="Q158" i="366" s="1"/>
  <c r="U158" i="366" s="1"/>
  <c r="I198" i="366"/>
  <c r="M198" i="366" s="1"/>
  <c r="Q198" i="366" s="1"/>
  <c r="U198" i="366" s="1"/>
  <c r="I222" i="366"/>
  <c r="M222" i="366" s="1"/>
  <c r="Q222" i="366" s="1"/>
  <c r="U222" i="366" s="1"/>
  <c r="M60" i="366"/>
  <c r="Q60" i="366" s="1"/>
  <c r="U60" i="366" s="1"/>
  <c r="I378" i="366"/>
  <c r="M378" i="366" s="1"/>
  <c r="Q378" i="366" s="1"/>
  <c r="U378" i="366" s="1"/>
  <c r="I878" i="366"/>
  <c r="M878" i="366" s="1"/>
  <c r="Q878" i="366" s="1"/>
  <c r="U878" i="366" s="1"/>
  <c r="I501" i="366"/>
  <c r="M501" i="366" s="1"/>
  <c r="Q501" i="366" s="1"/>
  <c r="U501" i="366" s="1"/>
  <c r="M148" i="366"/>
  <c r="Q148" i="366" s="1"/>
  <c r="U148" i="366" s="1"/>
  <c r="I546" i="366"/>
  <c r="M546" i="366" s="1"/>
  <c r="Q546" i="366" s="1"/>
  <c r="U546" i="366" s="1"/>
  <c r="I470" i="366"/>
  <c r="M470" i="366" s="1"/>
  <c r="Q470" i="366" s="1"/>
  <c r="U470" i="366" s="1"/>
  <c r="I438" i="366"/>
  <c r="M438" i="366" s="1"/>
  <c r="Q438" i="366" s="1"/>
  <c r="U438" i="366" s="1"/>
  <c r="I474" i="366"/>
  <c r="M474" i="366" s="1"/>
  <c r="Q474" i="366" s="1"/>
  <c r="U474" i="366" s="1"/>
  <c r="I254" i="366"/>
  <c r="M254" i="366" s="1"/>
  <c r="Q254" i="366" s="1"/>
  <c r="U254" i="366" s="1"/>
  <c r="M115" i="366"/>
  <c r="Q115" i="366" s="1"/>
  <c r="U115" i="366" s="1"/>
  <c r="I334" i="366"/>
  <c r="M334" i="366" s="1"/>
  <c r="Q334" i="366" s="1"/>
  <c r="U334" i="366" s="1"/>
  <c r="I374" i="366"/>
  <c r="M374" i="366" s="1"/>
  <c r="Q374" i="366" s="1"/>
  <c r="U374" i="366" s="1"/>
  <c r="M707" i="366"/>
  <c r="Q707" i="366" s="1"/>
  <c r="U707" i="366" s="1"/>
  <c r="I898" i="366"/>
  <c r="M898" i="366" s="1"/>
  <c r="Q898" i="366" s="1"/>
  <c r="U898" i="366" s="1"/>
  <c r="M192" i="366"/>
  <c r="Q192" i="366" s="1"/>
  <c r="U192" i="366" s="1"/>
  <c r="I518" i="366"/>
  <c r="M518" i="366" s="1"/>
  <c r="Q518" i="366" s="1"/>
  <c r="U518" i="366" s="1"/>
  <c r="I346" i="366"/>
  <c r="M346" i="366" s="1"/>
  <c r="Q346" i="366" s="1"/>
  <c r="U346" i="366" s="1"/>
  <c r="M696" i="366"/>
  <c r="Q696" i="366" s="1"/>
  <c r="U696" i="366" s="1"/>
  <c r="M692" i="366"/>
  <c r="Q692" i="366" s="1"/>
  <c r="U692" i="366" s="1"/>
  <c r="M804" i="366"/>
  <c r="Q804" i="366" s="1"/>
  <c r="U804" i="366" s="1"/>
  <c r="M128" i="366"/>
  <c r="Q128" i="366" s="1"/>
  <c r="U128" i="366" s="1"/>
  <c r="M752" i="366"/>
  <c r="Q752" i="366" s="1"/>
  <c r="U752" i="366" s="1"/>
  <c r="I458" i="366"/>
  <c r="M458" i="366" s="1"/>
  <c r="Q458" i="366" s="1"/>
  <c r="U458" i="366" s="1"/>
  <c r="I426" i="366"/>
  <c r="M426" i="366" s="1"/>
  <c r="Q426" i="366" s="1"/>
  <c r="U426" i="366" s="1"/>
  <c r="I290" i="366"/>
  <c r="M290" i="366" s="1"/>
  <c r="Q290" i="366" s="1"/>
  <c r="U290" i="366" s="1"/>
  <c r="M47" i="366"/>
  <c r="Q47" i="366" s="1"/>
  <c r="U47" i="366" s="1"/>
  <c r="I454" i="366"/>
  <c r="M454" i="366" s="1"/>
  <c r="Q454" i="366" s="1"/>
  <c r="U454" i="366" s="1"/>
  <c r="I558" i="366"/>
  <c r="M558" i="366" s="1"/>
  <c r="Q558" i="366" s="1"/>
  <c r="U558" i="366" s="1"/>
  <c r="I605" i="366"/>
  <c r="M605" i="366" s="1"/>
  <c r="Q605" i="366" s="1"/>
  <c r="U605" i="366" s="1"/>
  <c r="I649" i="366"/>
  <c r="M649" i="366" s="1"/>
  <c r="Q649" i="366" s="1"/>
  <c r="U649" i="366" s="1"/>
  <c r="I553" i="366"/>
  <c r="M553" i="366" s="1"/>
  <c r="Q553" i="366" s="1"/>
  <c r="U553" i="366" s="1"/>
  <c r="I625" i="366"/>
  <c r="M625" i="366" s="1"/>
  <c r="Q625" i="366" s="1"/>
  <c r="U625" i="366" s="1"/>
  <c r="I466" i="366"/>
  <c r="M466" i="366" s="1"/>
  <c r="Q466" i="366" s="1"/>
  <c r="U466" i="366" s="1"/>
  <c r="I482" i="366"/>
  <c r="M482" i="366" s="1"/>
  <c r="Q482" i="366" s="1"/>
  <c r="U482" i="366" s="1"/>
  <c r="I490" i="366"/>
  <c r="M490" i="366" s="1"/>
  <c r="Q490" i="366" s="1"/>
  <c r="U490" i="366" s="1"/>
  <c r="I534" i="366"/>
  <c r="M534" i="366" s="1"/>
  <c r="Q534" i="366" s="1"/>
  <c r="U534" i="366" s="1"/>
  <c r="I542" i="366"/>
  <c r="M542" i="366" s="1"/>
  <c r="Q542" i="366" s="1"/>
  <c r="U542" i="366" s="1"/>
  <c r="I633" i="366"/>
  <c r="M633" i="366" s="1"/>
  <c r="Q633" i="366" s="1"/>
  <c r="U633" i="366" s="1"/>
  <c r="I1010" i="366"/>
  <c r="M1010" i="366" s="1"/>
  <c r="Q1010" i="366" s="1"/>
  <c r="U1010" i="366" s="1"/>
  <c r="H67" i="60"/>
  <c r="D15" i="278" s="1"/>
  <c r="CP52" i="168"/>
  <c r="K13" i="388"/>
  <c r="M13" i="388" s="1"/>
  <c r="O13" i="388" s="1"/>
  <c r="Q13" i="388" s="1"/>
  <c r="F77" i="268"/>
  <c r="C18" i="352" s="1"/>
  <c r="E18" i="352" s="1"/>
  <c r="G18" i="352" s="1"/>
  <c r="I18" i="352" s="1"/>
  <c r="C13" i="383"/>
  <c r="E13" i="383" s="1"/>
  <c r="K18" i="167"/>
  <c r="DR14" i="168"/>
  <c r="E62" i="291"/>
  <c r="D95" i="9"/>
  <c r="C12" i="383"/>
  <c r="E12" i="383" s="1"/>
  <c r="F12" i="348"/>
  <c r="CH43" i="168"/>
  <c r="CH112" i="168" s="1"/>
  <c r="CH51" i="168" s="1"/>
  <c r="F67" i="348"/>
  <c r="G67" i="348" s="1"/>
  <c r="C13" i="425"/>
  <c r="E13" i="425" s="1"/>
  <c r="C88" i="303"/>
  <c r="E88" i="303" s="1"/>
  <c r="J18" i="393"/>
  <c r="F14" i="268"/>
  <c r="E150" i="411"/>
  <c r="K71" i="1"/>
  <c r="M28" i="280"/>
  <c r="G21" i="107"/>
  <c r="C54" i="409"/>
  <c r="E7" i="409"/>
  <c r="C54" i="372"/>
  <c r="C54" i="361"/>
  <c r="E21" i="282"/>
  <c r="F8" i="398"/>
  <c r="C17" i="108"/>
  <c r="BZ47" i="168"/>
  <c r="BZ55" i="168" s="1"/>
  <c r="CB55" i="168"/>
  <c r="C54" i="360"/>
  <c r="M28" i="315"/>
  <c r="D19" i="320"/>
  <c r="G25" i="227" s="1"/>
  <c r="F34" i="369"/>
  <c r="H34" i="369"/>
  <c r="M70" i="1"/>
  <c r="F28" i="369"/>
  <c r="F28" i="315"/>
  <c r="M34" i="280"/>
  <c r="H34" i="315"/>
  <c r="C150" i="327"/>
  <c r="E64" i="393"/>
  <c r="AK43" i="400"/>
  <c r="Q43" i="280"/>
  <c r="E74" i="291"/>
  <c r="D64" i="393"/>
  <c r="E64" i="167"/>
  <c r="I66" i="1"/>
  <c r="F43" i="398"/>
  <c r="G43" i="398" s="1"/>
  <c r="E74" i="327"/>
  <c r="H43" i="280"/>
  <c r="F22" i="227"/>
  <c r="M43" i="302"/>
  <c r="F43" i="400"/>
  <c r="G43" i="400" s="1"/>
  <c r="F43" i="280"/>
  <c r="AH60" i="60"/>
  <c r="AH67" i="60" s="1"/>
  <c r="E15" i="435" s="1"/>
  <c r="AD60" i="60"/>
  <c r="AD67" i="60" s="1"/>
  <c r="E15" i="421" s="1"/>
  <c r="T67" i="60"/>
  <c r="D15" i="325" s="1"/>
  <c r="E19" i="327"/>
  <c r="D18" i="412"/>
  <c r="E18" i="412" s="1"/>
  <c r="C16" i="415"/>
  <c r="O27" i="1"/>
  <c r="E74" i="425"/>
  <c r="E150" i="425"/>
  <c r="C150" i="425"/>
  <c r="O26" i="1"/>
  <c r="D17" i="427" s="1"/>
  <c r="E17" i="427" s="1"/>
  <c r="C74" i="425"/>
  <c r="F9" i="302"/>
  <c r="D13" i="301" s="1"/>
  <c r="G13" i="248" s="1"/>
  <c r="C13" i="307"/>
  <c r="D20" i="304"/>
  <c r="F7" i="227"/>
  <c r="F10" i="302"/>
  <c r="D14" i="301" s="1"/>
  <c r="G14" i="248" s="1"/>
  <c r="F8" i="227"/>
  <c r="H32" i="302"/>
  <c r="M32" i="302" s="1"/>
  <c r="F32" i="400"/>
  <c r="G32" i="400" s="1"/>
  <c r="F32" i="302"/>
  <c r="I35" i="1"/>
  <c r="H37" i="302"/>
  <c r="M37" i="302" s="1"/>
  <c r="I38" i="1"/>
  <c r="F37" i="302"/>
  <c r="D70" i="167"/>
  <c r="H42" i="280"/>
  <c r="D22" i="301"/>
  <c r="G22" i="248" s="1"/>
  <c r="F65" i="302"/>
  <c r="H65" i="302" s="1"/>
  <c r="M65" i="302" s="1"/>
  <c r="F66" i="400"/>
  <c r="G66" i="400" s="1"/>
  <c r="I44" i="1"/>
  <c r="D19" i="412"/>
  <c r="E19" i="412" s="1"/>
  <c r="D17" i="375"/>
  <c r="E17" i="375" s="1"/>
  <c r="M76" i="315"/>
  <c r="H71" i="315"/>
  <c r="M45" i="1"/>
  <c r="D23" i="371"/>
  <c r="I23" i="248" s="1"/>
  <c r="M20" i="1"/>
  <c r="O20" i="1" s="1"/>
  <c r="D10" i="375"/>
  <c r="E10" i="375" s="1"/>
  <c r="D17" i="317"/>
  <c r="E17" i="317" s="1"/>
  <c r="F37" i="400"/>
  <c r="G37" i="400" s="1"/>
  <c r="H30" i="315"/>
  <c r="D15" i="316"/>
  <c r="H15" i="248" s="1"/>
  <c r="F6" i="167"/>
  <c r="F7" i="167" s="1"/>
  <c r="F6" i="393"/>
  <c r="F7" i="393" s="1"/>
  <c r="T58" i="60"/>
  <c r="G6" i="227"/>
  <c r="D17" i="324"/>
  <c r="K17" i="1"/>
  <c r="C75" i="291"/>
  <c r="E75" i="291"/>
  <c r="C151" i="327"/>
  <c r="C75" i="383"/>
  <c r="D15" i="304"/>
  <c r="E15" i="304" s="1"/>
  <c r="I24" i="1"/>
  <c r="O29" i="1"/>
  <c r="D16" i="371"/>
  <c r="I16" i="248" s="1"/>
  <c r="H40" i="369"/>
  <c r="F40" i="369"/>
  <c r="M18" i="1"/>
  <c r="D18" i="375"/>
  <c r="E18" i="375" s="1"/>
  <c r="C16" i="378"/>
  <c r="D70" i="393"/>
  <c r="D22" i="317"/>
  <c r="K28" i="1"/>
  <c r="C17" i="320"/>
  <c r="I21" i="1"/>
  <c r="D11" i="304"/>
  <c r="E11" i="304" s="1"/>
  <c r="E8" i="393"/>
  <c r="E10" i="393" s="1"/>
  <c r="E57" i="393" s="1"/>
  <c r="E9" i="393"/>
  <c r="E9" i="227"/>
  <c r="F8" i="348"/>
  <c r="F8" i="268"/>
  <c r="E151" i="291"/>
  <c r="J69" i="60"/>
  <c r="E16" i="278" s="1"/>
  <c r="C151" i="291"/>
  <c r="I58" i="60"/>
  <c r="E150" i="291"/>
  <c r="I184" i="366"/>
  <c r="M184" i="366" s="1"/>
  <c r="Q184" i="366" s="1"/>
  <c r="U184" i="366" s="1"/>
  <c r="I236" i="366"/>
  <c r="M236" i="366" s="1"/>
  <c r="Q236" i="366" s="1"/>
  <c r="U236" i="366" s="1"/>
  <c r="I716" i="366"/>
  <c r="M716" i="366" s="1"/>
  <c r="Q716" i="366" s="1"/>
  <c r="U716" i="366" s="1"/>
  <c r="I820" i="366"/>
  <c r="M820" i="366" s="1"/>
  <c r="Q820" i="366" s="1"/>
  <c r="U820" i="366" s="1"/>
  <c r="I836" i="366"/>
  <c r="M836" i="366" s="1"/>
  <c r="Q836" i="366" s="1"/>
  <c r="U836" i="366" s="1"/>
  <c r="I860" i="366"/>
  <c r="M860" i="366" s="1"/>
  <c r="Q860" i="366" s="1"/>
  <c r="U860" i="366" s="1"/>
  <c r="I920" i="366"/>
  <c r="M920" i="366" s="1"/>
  <c r="Q920" i="366" s="1"/>
  <c r="U920" i="366" s="1"/>
  <c r="I153" i="366"/>
  <c r="M153" i="366" s="1"/>
  <c r="Q153" i="366" s="1"/>
  <c r="U153" i="366" s="1"/>
  <c r="I177" i="366"/>
  <c r="M177" i="366" s="1"/>
  <c r="Q177" i="366" s="1"/>
  <c r="U177" i="366" s="1"/>
  <c r="I213" i="366"/>
  <c r="M213" i="366" s="1"/>
  <c r="Q213" i="366" s="1"/>
  <c r="U213" i="366" s="1"/>
  <c r="I509" i="366"/>
  <c r="M509" i="366" s="1"/>
  <c r="Q509" i="366" s="1"/>
  <c r="U509" i="366" s="1"/>
  <c r="I913" i="366"/>
  <c r="M913" i="366" s="1"/>
  <c r="Q913" i="366" s="1"/>
  <c r="U913" i="366" s="1"/>
  <c r="I997" i="366"/>
  <c r="M997" i="366" s="1"/>
  <c r="Q997" i="366" s="1"/>
  <c r="U997" i="366" s="1"/>
  <c r="C20" i="313"/>
  <c r="CP112" i="168"/>
  <c r="CP44" i="168"/>
  <c r="CP45" i="168" s="1"/>
  <c r="CP47" i="168" s="1"/>
  <c r="I116" i="366"/>
  <c r="M116" i="366" s="1"/>
  <c r="Q116" i="366" s="1"/>
  <c r="U116" i="366" s="1"/>
  <c r="I892" i="366"/>
  <c r="M892" i="366" s="1"/>
  <c r="Q892" i="366" s="1"/>
  <c r="U892" i="366" s="1"/>
  <c r="I564" i="366"/>
  <c r="M564" i="366" s="1"/>
  <c r="Q564" i="366" s="1"/>
  <c r="U564" i="366" s="1"/>
  <c r="I652" i="366"/>
  <c r="M652" i="366" s="1"/>
  <c r="Q652" i="366" s="1"/>
  <c r="U652" i="366" s="1"/>
  <c r="I612" i="366"/>
  <c r="M612" i="366" s="1"/>
  <c r="Q612" i="366" s="1"/>
  <c r="U612" i="366" s="1"/>
  <c r="I588" i="366"/>
  <c r="M588" i="366" s="1"/>
  <c r="Q588" i="366" s="1"/>
  <c r="U588" i="366" s="1"/>
  <c r="I712" i="366"/>
  <c r="M712" i="366" s="1"/>
  <c r="Q712" i="366" s="1"/>
  <c r="U712" i="366" s="1"/>
  <c r="I688" i="366"/>
  <c r="M688" i="366" s="1"/>
  <c r="Q688" i="366" s="1"/>
  <c r="U688" i="366" s="1"/>
  <c r="I528" i="366"/>
  <c r="M528" i="366" s="1"/>
  <c r="Q528" i="366" s="1"/>
  <c r="U528" i="366" s="1"/>
  <c r="I608" i="366"/>
  <c r="M608" i="366" s="1"/>
  <c r="Q608" i="366" s="1"/>
  <c r="U608" i="366" s="1"/>
  <c r="I636" i="366"/>
  <c r="M636" i="366" s="1"/>
  <c r="Q636" i="366" s="1"/>
  <c r="U636" i="366" s="1"/>
  <c r="I632" i="366"/>
  <c r="M632" i="366" s="1"/>
  <c r="Q632" i="366" s="1"/>
  <c r="U632" i="366" s="1"/>
  <c r="I316" i="366"/>
  <c r="M316" i="366" s="1"/>
  <c r="Q316" i="366" s="1"/>
  <c r="U316" i="366" s="1"/>
  <c r="I520" i="366"/>
  <c r="M520" i="366" s="1"/>
  <c r="Q520" i="366" s="1"/>
  <c r="U520" i="366" s="1"/>
  <c r="I384" i="366"/>
  <c r="M384" i="366" s="1"/>
  <c r="Q384" i="366" s="1"/>
  <c r="U384" i="366" s="1"/>
  <c r="I320" i="366"/>
  <c r="M320" i="366" s="1"/>
  <c r="Q320" i="366" s="1"/>
  <c r="U320" i="366" s="1"/>
  <c r="I568" i="366"/>
  <c r="M568" i="366" s="1"/>
  <c r="Q568" i="366" s="1"/>
  <c r="U568" i="366" s="1"/>
  <c r="I188" i="366"/>
  <c r="M188" i="366" s="1"/>
  <c r="Q188" i="366" s="1"/>
  <c r="U188" i="366" s="1"/>
  <c r="M618" i="366"/>
  <c r="Q618" i="366" s="1"/>
  <c r="U618" i="366" s="1"/>
  <c r="I972" i="366"/>
  <c r="M972" i="366" s="1"/>
  <c r="Q972" i="366" s="1"/>
  <c r="U972" i="366" s="1"/>
  <c r="I904" i="366"/>
  <c r="M904" i="366" s="1"/>
  <c r="Q904" i="366" s="1"/>
  <c r="U904" i="366" s="1"/>
  <c r="I932" i="366"/>
  <c r="M932" i="366" s="1"/>
  <c r="Q932" i="366" s="1"/>
  <c r="U932" i="366" s="1"/>
  <c r="I700" i="366"/>
  <c r="M700" i="366" s="1"/>
  <c r="Q700" i="366" s="1"/>
  <c r="U700" i="366" s="1"/>
  <c r="I349" i="366"/>
  <c r="M349" i="366" s="1"/>
  <c r="Q349" i="366" s="1"/>
  <c r="U349" i="366" s="1"/>
  <c r="I565" i="366"/>
  <c r="M565" i="366" s="1"/>
  <c r="Q565" i="366" s="1"/>
  <c r="U565" i="366" s="1"/>
  <c r="I793" i="366"/>
  <c r="M793" i="366" s="1"/>
  <c r="Q793" i="366" s="1"/>
  <c r="U793" i="366" s="1"/>
  <c r="I908" i="366"/>
  <c r="M908" i="366" s="1"/>
  <c r="Q908" i="366" s="1"/>
  <c r="U908" i="366" s="1"/>
  <c r="I492" i="366"/>
  <c r="M492" i="366" s="1"/>
  <c r="Q492" i="366" s="1"/>
  <c r="U492" i="366" s="1"/>
  <c r="I713" i="366"/>
  <c r="M713" i="366" s="1"/>
  <c r="Q713" i="366" s="1"/>
  <c r="U713" i="366" s="1"/>
  <c r="I145" i="366"/>
  <c r="M145" i="366" s="1"/>
  <c r="Q145" i="366" s="1"/>
  <c r="U145" i="366" s="1"/>
  <c r="I517" i="366"/>
  <c r="M517" i="366" s="1"/>
  <c r="Q517" i="366" s="1"/>
  <c r="U517" i="366" s="1"/>
  <c r="I281" i="366"/>
  <c r="M281" i="366" s="1"/>
  <c r="Q281" i="366" s="1"/>
  <c r="U281" i="366" s="1"/>
  <c r="I661" i="366"/>
  <c r="M661" i="366" s="1"/>
  <c r="Q661" i="366" s="1"/>
  <c r="U661" i="366" s="1"/>
  <c r="I832" i="366"/>
  <c r="M832" i="366" s="1"/>
  <c r="Q832" i="366" s="1"/>
  <c r="U832" i="366" s="1"/>
  <c r="I848" i="366"/>
  <c r="M848" i="366" s="1"/>
  <c r="Q848" i="366" s="1"/>
  <c r="U848" i="366" s="1"/>
  <c r="I928" i="366"/>
  <c r="M928" i="366" s="1"/>
  <c r="Q928" i="366" s="1"/>
  <c r="U928" i="366" s="1"/>
  <c r="I308" i="366"/>
  <c r="M308" i="366" s="1"/>
  <c r="Q308" i="366" s="1"/>
  <c r="U308" i="366" s="1"/>
  <c r="E138" i="291"/>
  <c r="C41" i="372"/>
  <c r="Z60" i="60"/>
  <c r="Z67" i="60" s="1"/>
  <c r="D18" i="287"/>
  <c r="M65" i="280"/>
  <c r="D18" i="309"/>
  <c r="K39" i="1"/>
  <c r="C36" i="320"/>
  <c r="K37" i="1"/>
  <c r="C31" i="320"/>
  <c r="M30" i="315"/>
  <c r="D23" i="320"/>
  <c r="F30" i="315"/>
  <c r="C75" i="425"/>
  <c r="C151" i="411"/>
  <c r="C74" i="303"/>
  <c r="E151" i="411"/>
  <c r="K33" i="1"/>
  <c r="C23" i="320"/>
  <c r="E62" i="411"/>
  <c r="E151" i="425"/>
  <c r="C75" i="411"/>
  <c r="E135" i="303"/>
  <c r="E59" i="383"/>
  <c r="C75" i="303"/>
  <c r="E10" i="167"/>
  <c r="C151" i="303"/>
  <c r="C22" i="307"/>
  <c r="E62" i="327"/>
  <c r="E75" i="303"/>
  <c r="E151" i="383"/>
  <c r="C150" i="303"/>
  <c r="E150" i="327"/>
  <c r="I32" i="1"/>
  <c r="C150" i="411"/>
  <c r="C74" i="291"/>
  <c r="K31" i="1"/>
  <c r="C14" i="320"/>
  <c r="D23" i="317"/>
  <c r="D10" i="412"/>
  <c r="E10" i="412" s="1"/>
  <c r="C20" i="327"/>
  <c r="E20" i="327" s="1"/>
  <c r="H68" i="248"/>
  <c r="D68" i="301"/>
  <c r="M76" i="302"/>
  <c r="D57" i="301"/>
  <c r="G57" i="248" s="1"/>
  <c r="E138" i="327"/>
  <c r="E135" i="327"/>
  <c r="S18" i="389"/>
  <c r="U18" i="389" s="1"/>
  <c r="W18" i="389" s="1"/>
  <c r="S18" i="168"/>
  <c r="U18" i="168" s="1"/>
  <c r="S18" i="352"/>
  <c r="F71" i="302"/>
  <c r="E138" i="383"/>
  <c r="E135" i="383"/>
  <c r="E135" i="411"/>
  <c r="E138" i="411"/>
  <c r="E138" i="425"/>
  <c r="E135" i="425"/>
  <c r="D63" i="301"/>
  <c r="G63" i="248" s="1"/>
  <c r="M71" i="302"/>
  <c r="F11" i="400"/>
  <c r="F67" i="302"/>
  <c r="H67" i="302" s="1"/>
  <c r="G11" i="248"/>
  <c r="D10" i="167"/>
  <c r="F67" i="280"/>
  <c r="H67" i="280" s="1"/>
  <c r="F8" i="280"/>
  <c r="D11" i="281" s="1"/>
  <c r="D22" i="323"/>
  <c r="F66" i="280"/>
  <c r="F66" i="302"/>
  <c r="C151" i="269"/>
  <c r="E75" i="269"/>
  <c r="F9" i="348"/>
  <c r="F9" i="268"/>
  <c r="D7" i="227"/>
  <c r="D9" i="227" s="1"/>
  <c r="E150" i="269"/>
  <c r="C57" i="393"/>
  <c r="C10" i="167"/>
  <c r="F11" i="348" s="1"/>
  <c r="C13" i="273"/>
  <c r="D23" i="227"/>
  <c r="E53" i="248"/>
  <c r="C74" i="269"/>
  <c r="I111" i="91"/>
  <c r="I51" i="91" s="1"/>
  <c r="I43" i="91"/>
  <c r="I44" i="91" s="1"/>
  <c r="DL112" i="91"/>
  <c r="DL44" i="91"/>
  <c r="J107" i="9"/>
  <c r="AY57" i="389"/>
  <c r="AY57" i="352"/>
  <c r="BC57" i="389"/>
  <c r="BC57" i="352"/>
  <c r="CH41" i="91"/>
  <c r="CJ39" i="91"/>
  <c r="CJ41" i="91" s="1"/>
  <c r="CJ42" i="91" s="1"/>
  <c r="AG20" i="352"/>
  <c r="AG21" i="352" s="1"/>
  <c r="AE21" i="352"/>
  <c r="N20" i="73"/>
  <c r="O19" i="73"/>
  <c r="BN20" i="91"/>
  <c r="BN21" i="91" s="1"/>
  <c r="BL21" i="91"/>
  <c r="AQ57" i="352"/>
  <c r="AQ57" i="388"/>
  <c r="AU57" i="168"/>
  <c r="AU57" i="388"/>
  <c r="D53" i="371"/>
  <c r="M40" i="369"/>
  <c r="D34" i="378"/>
  <c r="L40" i="73"/>
  <c r="L43" i="73" s="1"/>
  <c r="M40" i="73"/>
  <c r="L42" i="73" s="1"/>
  <c r="L67" i="60"/>
  <c r="N60" i="60"/>
  <c r="N67" i="60" s="1"/>
  <c r="D21" i="323"/>
  <c r="M67" i="315"/>
  <c r="AM21" i="352"/>
  <c r="AO20" i="352"/>
  <c r="AO21" i="352" s="1"/>
  <c r="AW28" i="9"/>
  <c r="J29" i="9" s="1"/>
  <c r="J28" i="9"/>
  <c r="J69" i="9" s="1"/>
  <c r="F71" i="315"/>
  <c r="AA18" i="168"/>
  <c r="AA18" i="352"/>
  <c r="AC18" i="352" s="1"/>
  <c r="AE18" i="352" s="1"/>
  <c r="AG18" i="352" s="1"/>
  <c r="I40" i="73"/>
  <c r="H42" i="73" s="1"/>
  <c r="AJ30" i="91"/>
  <c r="AJ33" i="91" s="1"/>
  <c r="CN29" i="91"/>
  <c r="CN30" i="91" s="1"/>
  <c r="CN33" i="91" s="1"/>
  <c r="AR39" i="91"/>
  <c r="AR41" i="91" s="1"/>
  <c r="CX52" i="91" s="1"/>
  <c r="CT39" i="91"/>
  <c r="L14" i="9"/>
  <c r="L24" i="9"/>
  <c r="J1" i="227"/>
  <c r="K1" i="248"/>
  <c r="H26" i="73"/>
  <c r="H27" i="73" s="1"/>
  <c r="H28" i="73" s="1"/>
  <c r="H29" i="73" s="1"/>
  <c r="H32" i="73" s="1"/>
  <c r="H33" i="73" s="1"/>
  <c r="H34" i="73" s="1"/>
  <c r="H40" i="73" s="1"/>
  <c r="H43" i="73" s="1"/>
  <c r="H42" i="422"/>
  <c r="I70" i="393"/>
  <c r="I71" i="393" s="1"/>
  <c r="DN42" i="91"/>
  <c r="I73" i="393"/>
  <c r="BB81" i="393"/>
  <c r="C17" i="91"/>
  <c r="C19" i="91" s="1"/>
  <c r="C27" i="91" s="1"/>
  <c r="C28" i="91" s="1"/>
  <c r="C29" i="91" s="1"/>
  <c r="C30" i="91" s="1"/>
  <c r="C33" i="91" s="1"/>
  <c r="E62" i="303"/>
  <c r="E59" i="303"/>
  <c r="D39" i="324"/>
  <c r="D39" i="288"/>
  <c r="C3" i="398"/>
  <c r="D3" i="2"/>
  <c r="D3" i="50"/>
  <c r="C3" i="280"/>
  <c r="C3" i="348"/>
  <c r="D3" i="60"/>
  <c r="C3" i="302"/>
  <c r="C3" i="315"/>
  <c r="C3" i="369"/>
  <c r="D3" i="106"/>
  <c r="C3" i="422"/>
  <c r="C3" i="400"/>
  <c r="D3" i="3"/>
  <c r="C3" i="410"/>
  <c r="D2" i="316"/>
  <c r="F2" i="302"/>
  <c r="D3" i="371"/>
  <c r="E1" i="269"/>
  <c r="E1" i="291" s="1"/>
  <c r="E1" i="303" s="1"/>
  <c r="E1" i="425" s="1"/>
  <c r="E1" i="270" s="1"/>
  <c r="BV43" i="91"/>
  <c r="BV111" i="91"/>
  <c r="BV51" i="91" s="1"/>
  <c r="AY28" i="9"/>
  <c r="L29" i="9" s="1"/>
  <c r="L28" i="9"/>
  <c r="L69" i="9" s="1"/>
  <c r="L26" i="9"/>
  <c r="AY26" i="9"/>
  <c r="H76" i="9"/>
  <c r="H70" i="9"/>
  <c r="H73" i="9" s="1"/>
  <c r="H90" i="9" s="1"/>
  <c r="DL111" i="91"/>
  <c r="DL51" i="91" s="1"/>
  <c r="DL52" i="91"/>
  <c r="DN111" i="91"/>
  <c r="DN51" i="91" s="1"/>
  <c r="L44" i="73"/>
  <c r="W16" i="91"/>
  <c r="W17" i="91" s="1"/>
  <c r="W19" i="91" s="1"/>
  <c r="W27" i="91" s="1"/>
  <c r="W28" i="91" s="1"/>
  <c r="W29" i="91" s="1"/>
  <c r="W30" i="91" s="1"/>
  <c r="W33" i="91" s="1"/>
  <c r="Y14" i="91"/>
  <c r="Y16" i="91" s="1"/>
  <c r="F11" i="268"/>
  <c r="K60" i="9"/>
  <c r="K62" i="9" s="1"/>
  <c r="K23" i="9" s="1"/>
  <c r="K14" i="9"/>
  <c r="BT19" i="91"/>
  <c r="Q111" i="91"/>
  <c r="Q51" i="91" s="1"/>
  <c r="Q43" i="91"/>
  <c r="AE21" i="388"/>
  <c r="AG20" i="388"/>
  <c r="AG21" i="388" s="1"/>
  <c r="BX34" i="168"/>
  <c r="BX36" i="168"/>
  <c r="AT39" i="91"/>
  <c r="AT41" i="91" s="1"/>
  <c r="AT42" i="91" s="1"/>
  <c r="AT111" i="91" s="1"/>
  <c r="AT51" i="91" s="1"/>
  <c r="Y17" i="91"/>
  <c r="Y19" i="91" s="1"/>
  <c r="D2" i="378"/>
  <c r="D2" i="320"/>
  <c r="C34" i="91"/>
  <c r="C36" i="91"/>
  <c r="CZ36" i="168"/>
  <c r="CZ34" i="168"/>
  <c r="CZ35" i="168" s="1"/>
  <c r="Y111" i="91" l="1"/>
  <c r="Y43" i="91"/>
  <c r="Y44" i="91" s="1"/>
  <c r="BH112" i="91"/>
  <c r="BH44" i="91"/>
  <c r="D12" i="358"/>
  <c r="J57" i="167"/>
  <c r="E1" i="327"/>
  <c r="D12" i="267"/>
  <c r="E12" i="248" s="1"/>
  <c r="T69" i="60"/>
  <c r="H43" i="50"/>
  <c r="K30" i="91"/>
  <c r="K33" i="91" s="1"/>
  <c r="BX29" i="91"/>
  <c r="BX30" i="91" s="1"/>
  <c r="BX33" i="91" s="1"/>
  <c r="W21" i="389"/>
  <c r="Y20" i="389"/>
  <c r="Y21" i="389" s="1"/>
  <c r="AZ30" i="91"/>
  <c r="AZ33" i="91" s="1"/>
  <c r="CZ29" i="91"/>
  <c r="CZ30" i="91" s="1"/>
  <c r="CZ33" i="91" s="1"/>
  <c r="CR111" i="168"/>
  <c r="CR43" i="168"/>
  <c r="CR44" i="168" s="1"/>
  <c r="Q37" i="73"/>
  <c r="P39" i="73"/>
  <c r="Q39" i="73" s="1"/>
  <c r="AL21" i="91"/>
  <c r="AN20" i="91"/>
  <c r="F188" i="9"/>
  <c r="L79" i="9"/>
  <c r="L86" i="9" s="1"/>
  <c r="BD21" i="91"/>
  <c r="BD27" i="91" s="1"/>
  <c r="BD28" i="91" s="1"/>
  <c r="BD29" i="91" s="1"/>
  <c r="BD30" i="91" s="1"/>
  <c r="BD33" i="91" s="1"/>
  <c r="BF20" i="91"/>
  <c r="BF21" i="91" s="1"/>
  <c r="W21" i="352"/>
  <c r="Y20" i="352"/>
  <c r="Y21" i="352" s="1"/>
  <c r="G111" i="91"/>
  <c r="G43" i="91"/>
  <c r="BP112" i="91"/>
  <c r="BP51" i="91" s="1"/>
  <c r="BP44" i="91"/>
  <c r="CJ41" i="168"/>
  <c r="CJ42" i="168"/>
  <c r="BH52" i="91"/>
  <c r="BH111" i="91"/>
  <c r="BH51" i="91" s="1"/>
  <c r="DB39" i="91"/>
  <c r="DB41" i="91" s="1"/>
  <c r="DB42" i="91" s="1"/>
  <c r="CZ41" i="91"/>
  <c r="AR30" i="91"/>
  <c r="AR33" i="91" s="1"/>
  <c r="CT29" i="91"/>
  <c r="CT30" i="91" s="1"/>
  <c r="CT33" i="91" s="1"/>
  <c r="H40" i="9"/>
  <c r="H37" i="9"/>
  <c r="DF34" i="91"/>
  <c r="DF36" i="91"/>
  <c r="I79" i="9"/>
  <c r="I86" i="9" s="1"/>
  <c r="F173" i="9"/>
  <c r="F177" i="9"/>
  <c r="J78" i="9"/>
  <c r="J85" i="9" s="1"/>
  <c r="F3" i="315"/>
  <c r="D3" i="408"/>
  <c r="E3" i="269" s="1"/>
  <c r="E3" i="291" s="1"/>
  <c r="E3" i="303" s="1"/>
  <c r="E3" i="327" s="1"/>
  <c r="E3" i="383" s="1"/>
  <c r="E3" i="411" s="1"/>
  <c r="D3" i="424"/>
  <c r="K3" i="248" s="1"/>
  <c r="J3" i="227" s="1"/>
  <c r="J24" i="9"/>
  <c r="J14" i="9"/>
  <c r="DF41" i="91"/>
  <c r="DH39" i="91"/>
  <c r="DH41" i="91" s="1"/>
  <c r="DH42" i="91" s="1"/>
  <c r="AL35" i="91"/>
  <c r="AL43" i="91"/>
  <c r="AL44" i="91" s="1"/>
  <c r="BL16" i="91"/>
  <c r="BL17" i="91" s="1"/>
  <c r="BL19" i="91" s="1"/>
  <c r="BL27" i="91" s="1"/>
  <c r="BL28" i="91" s="1"/>
  <c r="BL29" i="91" s="1"/>
  <c r="BL30" i="91" s="1"/>
  <c r="BL33" i="91" s="1"/>
  <c r="BN14" i="91"/>
  <c r="BN16" i="91" s="1"/>
  <c r="BN17" i="91" s="1"/>
  <c r="BN19" i="91" s="1"/>
  <c r="BV20" i="91"/>
  <c r="BV21" i="91" s="1"/>
  <c r="BT21" i="91"/>
  <c r="BT27" i="91" s="1"/>
  <c r="BT28" i="91" s="1"/>
  <c r="BT29" i="91" s="1"/>
  <c r="BT30" i="91" s="1"/>
  <c r="BT33" i="91" s="1"/>
  <c r="H31" i="422"/>
  <c r="M31" i="422" s="1"/>
  <c r="F31" i="422"/>
  <c r="CJ36" i="168"/>
  <c r="CJ34" i="168"/>
  <c r="CJ35" i="168" s="1"/>
  <c r="CV35" i="168"/>
  <c r="CV43" i="168"/>
  <c r="CV44" i="168" s="1"/>
  <c r="CN34" i="168"/>
  <c r="CN35" i="168" s="1"/>
  <c r="CN42" i="168" s="1"/>
  <c r="CN111" i="168" s="1"/>
  <c r="CN36" i="168"/>
  <c r="CN43" i="168" s="1"/>
  <c r="CN44" i="168" s="1"/>
  <c r="D16" i="73"/>
  <c r="D18" i="73" s="1"/>
  <c r="D26" i="73" s="1"/>
  <c r="D27" i="73" s="1"/>
  <c r="D28" i="73" s="1"/>
  <c r="D29" i="73" s="1"/>
  <c r="D32" i="73" s="1"/>
  <c r="D33" i="73" s="1"/>
  <c r="D34" i="73" s="1"/>
  <c r="D40" i="73" s="1"/>
  <c r="C42" i="73" s="1"/>
  <c r="C18" i="73"/>
  <c r="C26" i="73" s="1"/>
  <c r="C27" i="73" s="1"/>
  <c r="C28" i="73" s="1"/>
  <c r="C29" i="73" s="1"/>
  <c r="C32" i="73" s="1"/>
  <c r="C33" i="73" s="1"/>
  <c r="C34" i="73" s="1"/>
  <c r="C40" i="73" s="1"/>
  <c r="C43" i="73" s="1"/>
  <c r="AP40" i="9"/>
  <c r="H33" i="9"/>
  <c r="AT43" i="91"/>
  <c r="AT44" i="91" s="1"/>
  <c r="F163" i="9"/>
  <c r="D86" i="9" s="1"/>
  <c r="D79" i="9"/>
  <c r="B20" i="432"/>
  <c r="B14" i="432"/>
  <c r="I60" i="9"/>
  <c r="I62" i="9" s="1"/>
  <c r="I23" i="9" s="1"/>
  <c r="I14" i="9"/>
  <c r="I24" i="9"/>
  <c r="R60" i="9"/>
  <c r="R62" i="9" s="1"/>
  <c r="N38" i="73"/>
  <c r="O38" i="73" s="1"/>
  <c r="BD40" i="91"/>
  <c r="AK21" i="388"/>
  <c r="AM20" i="388"/>
  <c r="Q13" i="73"/>
  <c r="R13" i="73" s="1"/>
  <c r="P15" i="73"/>
  <c r="CB53" i="91"/>
  <c r="CB54" i="91" s="1"/>
  <c r="M111" i="91"/>
  <c r="M51" i="91" s="1"/>
  <c r="BN42" i="91"/>
  <c r="B11" i="378"/>
  <c r="M4" i="247"/>
  <c r="C30" i="378"/>
  <c r="M36" i="1"/>
  <c r="AR28" i="9"/>
  <c r="E29" i="9" s="1"/>
  <c r="E28" i="9"/>
  <c r="E69" i="9" s="1"/>
  <c r="AW20" i="389"/>
  <c r="AW21" i="389" s="1"/>
  <c r="AU21" i="389"/>
  <c r="AK21" i="389"/>
  <c r="AM20" i="389"/>
  <c r="M42" i="369"/>
  <c r="D51" i="371"/>
  <c r="L78" i="9"/>
  <c r="L85" i="9" s="1"/>
  <c r="F187" i="9"/>
  <c r="S30" i="91"/>
  <c r="S33" i="91" s="1"/>
  <c r="CH29" i="91"/>
  <c r="CH30" i="91" s="1"/>
  <c r="CH33" i="91" s="1"/>
  <c r="O14" i="91"/>
  <c r="M16" i="91"/>
  <c r="M17" i="91" s="1"/>
  <c r="M19" i="91" s="1"/>
  <c r="F178" i="9"/>
  <c r="J79" i="9"/>
  <c r="J86" i="9" s="1"/>
  <c r="AT21" i="91"/>
  <c r="AV20" i="91"/>
  <c r="J68" i="9"/>
  <c r="K68" i="9" s="1"/>
  <c r="L68" i="9" s="1"/>
  <c r="CR34" i="168"/>
  <c r="CR35" i="168" s="1"/>
  <c r="CR36" i="168"/>
  <c r="O15" i="73"/>
  <c r="N16" i="73"/>
  <c r="E23" i="411"/>
  <c r="C99" i="411"/>
  <c r="E99" i="411" s="1"/>
  <c r="AR26" i="9"/>
  <c r="E26" i="9"/>
  <c r="CF36" i="168"/>
  <c r="CF34" i="168"/>
  <c r="N39" i="73"/>
  <c r="O39" i="73" s="1"/>
  <c r="O37" i="73"/>
  <c r="D51" i="316"/>
  <c r="M42" i="315"/>
  <c r="D39" i="277"/>
  <c r="C1" i="302"/>
  <c r="AZ37" i="167"/>
  <c r="G108" i="1"/>
  <c r="AI37" i="393"/>
  <c r="D28" i="408"/>
  <c r="J28" i="248" s="1"/>
  <c r="AE37" i="393"/>
  <c r="D28" i="316"/>
  <c r="H28" i="248" s="1"/>
  <c r="O19" i="393"/>
  <c r="O20" i="393" s="1"/>
  <c r="O25" i="393" s="1"/>
  <c r="E108" i="1"/>
  <c r="D7" i="356"/>
  <c r="A5" i="284"/>
  <c r="A5" i="373"/>
  <c r="A5" i="436"/>
  <c r="A5" i="432"/>
  <c r="AU37" i="393"/>
  <c r="A5" i="317"/>
  <c r="A5" i="377"/>
  <c r="A5" i="431"/>
  <c r="A5" i="303"/>
  <c r="A81" i="303" s="1"/>
  <c r="A5" i="430"/>
  <c r="A5" i="380"/>
  <c r="A5" i="324"/>
  <c r="C14" i="411"/>
  <c r="E14" i="411" s="1"/>
  <c r="A5" i="271"/>
  <c r="I108" i="1"/>
  <c r="F45" i="315" s="1"/>
  <c r="C9" i="368" s="1"/>
  <c r="A5" i="417"/>
  <c r="D28" i="358"/>
  <c r="C90" i="383"/>
  <c r="E90" i="383" s="1"/>
  <c r="F47" i="50"/>
  <c r="C1" i="422"/>
  <c r="D71" i="393"/>
  <c r="E19" i="291"/>
  <c r="C90" i="425"/>
  <c r="E90" i="425" s="1"/>
  <c r="F130" i="106"/>
  <c r="F132" i="106" s="1"/>
  <c r="O108" i="1"/>
  <c r="BB24" i="393" s="1"/>
  <c r="D28" i="301"/>
  <c r="G28" i="248" s="1"/>
  <c r="Q19" i="393"/>
  <c r="Q20" i="393" s="1"/>
  <c r="BE37" i="167"/>
  <c r="M108" i="1"/>
  <c r="H19" i="167" s="1"/>
  <c r="C6" i="407" s="1"/>
  <c r="D28" i="281"/>
  <c r="F28" i="248" s="1"/>
  <c r="C17" i="283"/>
  <c r="AA37" i="393"/>
  <c r="C71" i="393"/>
  <c r="A5" i="379"/>
  <c r="A5" i="279"/>
  <c r="A5" i="412"/>
  <c r="A5" i="421"/>
  <c r="D1" i="106"/>
  <c r="A5" i="414"/>
  <c r="D1" i="50"/>
  <c r="G28" i="2"/>
  <c r="H28" i="2" s="1"/>
  <c r="A5" i="376"/>
  <c r="C14" i="425"/>
  <c r="E14" i="425" s="1"/>
  <c r="D28" i="371"/>
  <c r="I28" i="248" s="1"/>
  <c r="A5" i="427"/>
  <c r="A5" i="428"/>
  <c r="A5" i="375"/>
  <c r="A5" i="273"/>
  <c r="C90" i="411"/>
  <c r="E90" i="411" s="1"/>
  <c r="A5" i="275"/>
  <c r="H47" i="50"/>
  <c r="F31" i="50"/>
  <c r="D39" i="310"/>
  <c r="J58" i="167"/>
  <c r="J59" i="167" s="1"/>
  <c r="D18" i="267"/>
  <c r="E18" i="248" s="1"/>
  <c r="C87" i="269"/>
  <c r="E87" i="269" s="1"/>
  <c r="H68" i="268"/>
  <c r="J68" i="268" s="1"/>
  <c r="K68" i="268" s="1"/>
  <c r="C20" i="168"/>
  <c r="C30" i="269" s="1"/>
  <c r="E30" i="269" s="1"/>
  <c r="DR20" i="168"/>
  <c r="DT20" i="168" s="1"/>
  <c r="DT21" i="168" s="1"/>
  <c r="J58" i="393"/>
  <c r="J59" i="393" s="1"/>
  <c r="C87" i="411"/>
  <c r="E87" i="411" s="1"/>
  <c r="C87" i="291"/>
  <c r="E87" i="291" s="1"/>
  <c r="K20" i="389"/>
  <c r="M20" i="389" s="1"/>
  <c r="M21" i="389" s="1"/>
  <c r="K20" i="388"/>
  <c r="M20" i="388" s="1"/>
  <c r="O20" i="388" s="1"/>
  <c r="F77" i="348"/>
  <c r="BG18" i="388" s="1"/>
  <c r="BI18" i="388" s="1"/>
  <c r="BK18" i="388" s="1"/>
  <c r="BM18" i="388" s="1"/>
  <c r="D39" i="267"/>
  <c r="E39" i="248" s="1"/>
  <c r="DJ20" i="168"/>
  <c r="DJ21" i="168" s="1"/>
  <c r="G77" i="348"/>
  <c r="DJ18" i="168" s="1"/>
  <c r="DL18" i="168" s="1"/>
  <c r="DN18" i="168" s="1"/>
  <c r="DP18" i="168" s="1"/>
  <c r="D25" i="276"/>
  <c r="E25" i="276" s="1"/>
  <c r="S45" i="268"/>
  <c r="C87" i="425"/>
  <c r="E87" i="425" s="1"/>
  <c r="F14" i="348"/>
  <c r="E110" i="1"/>
  <c r="E167" i="1" s="1"/>
  <c r="C10" i="284" s="1"/>
  <c r="C7" i="356"/>
  <c r="C58" i="393"/>
  <c r="D39" i="358"/>
  <c r="C41" i="360"/>
  <c r="C41" i="356"/>
  <c r="G10" i="184"/>
  <c r="F45" i="398"/>
  <c r="G45" i="398" s="1"/>
  <c r="C87" i="383"/>
  <c r="E87" i="383" s="1"/>
  <c r="BG20" i="388"/>
  <c r="BV20" i="168"/>
  <c r="BV21" i="168" s="1"/>
  <c r="D73" i="393"/>
  <c r="D79" i="393" s="1"/>
  <c r="C11" i="291"/>
  <c r="E11" i="291" s="1"/>
  <c r="H73" i="167"/>
  <c r="H79" i="167" s="1"/>
  <c r="E73" i="393"/>
  <c r="AN81" i="167"/>
  <c r="AN99" i="167" s="1"/>
  <c r="K20" i="168"/>
  <c r="K21" i="168" s="1"/>
  <c r="C31" i="291" s="1"/>
  <c r="E31" i="291" s="1"/>
  <c r="C20" i="388"/>
  <c r="E20" i="388" s="1"/>
  <c r="G20" i="388" s="1"/>
  <c r="C18" i="167"/>
  <c r="D48" i="227" s="1"/>
  <c r="DB20" i="168"/>
  <c r="DD20" i="168" s="1"/>
  <c r="DF20" i="168" s="1"/>
  <c r="DF21" i="168" s="1"/>
  <c r="D26" i="267"/>
  <c r="E26" i="248" s="1"/>
  <c r="C20" i="352"/>
  <c r="DZ20" i="168"/>
  <c r="EB20" i="168" s="1"/>
  <c r="ED20" i="168" s="1"/>
  <c r="EF20" i="168" s="1"/>
  <c r="EF21" i="168" s="1"/>
  <c r="H19" i="50"/>
  <c r="C11" i="303"/>
  <c r="E11" i="303" s="1"/>
  <c r="C11" i="383"/>
  <c r="E11" i="383" s="1"/>
  <c r="I73" i="167"/>
  <c r="CT21" i="168"/>
  <c r="AY13" i="168"/>
  <c r="BA13" i="168" s="1"/>
  <c r="BC13" i="168" s="1"/>
  <c r="J41" i="2"/>
  <c r="C18" i="393"/>
  <c r="S4" i="393" s="1"/>
  <c r="T4" i="393" s="1"/>
  <c r="U4" i="393" s="1"/>
  <c r="V4" i="393" s="1"/>
  <c r="F68" i="348"/>
  <c r="G68" i="348" s="1"/>
  <c r="C11" i="275"/>
  <c r="C8" i="391"/>
  <c r="D12" i="391" s="1"/>
  <c r="F12" i="391" s="1"/>
  <c r="H12" i="391" s="1"/>
  <c r="J12" i="391" s="1"/>
  <c r="L12" i="391" s="1"/>
  <c r="N12" i="391" s="1"/>
  <c r="P12" i="391" s="1"/>
  <c r="AB81" i="167"/>
  <c r="AB79" i="167" s="1"/>
  <c r="C11" i="411"/>
  <c r="E11" i="411" s="1"/>
  <c r="F67" i="268"/>
  <c r="H67" i="268" s="1"/>
  <c r="J67" i="268" s="1"/>
  <c r="K67" i="268" s="1"/>
  <c r="BH20" i="168"/>
  <c r="BH21" i="168" s="1"/>
  <c r="BI21" i="168" s="1"/>
  <c r="BJ21" i="168" s="1"/>
  <c r="BK21" i="168" s="1"/>
  <c r="C11" i="327"/>
  <c r="E11" i="327" s="1"/>
  <c r="C87" i="327"/>
  <c r="E87" i="327" s="1"/>
  <c r="C20" i="275"/>
  <c r="K20" i="352"/>
  <c r="K21" i="352" s="1"/>
  <c r="C9" i="361"/>
  <c r="C11" i="361" s="1"/>
  <c r="E74" i="167" s="1"/>
  <c r="E75" i="167" s="1"/>
  <c r="H73" i="393"/>
  <c r="H79" i="393" s="1"/>
  <c r="E112" i="1"/>
  <c r="D58" i="167" s="1"/>
  <c r="CD20" i="168"/>
  <c r="CD21" i="168" s="1"/>
  <c r="X18" i="184"/>
  <c r="DZ13" i="168"/>
  <c r="EB13" i="168" s="1"/>
  <c r="ED13" i="168" s="1"/>
  <c r="K14" i="389"/>
  <c r="M14" i="389" s="1"/>
  <c r="C14" i="168"/>
  <c r="E14" i="168" s="1"/>
  <c r="G14" i="168" s="1"/>
  <c r="I14" i="168" s="1"/>
  <c r="C88" i="269"/>
  <c r="E88" i="269" s="1"/>
  <c r="D33" i="393"/>
  <c r="AA13" i="352"/>
  <c r="AC13" i="352" s="1"/>
  <c r="AE13" i="352" s="1"/>
  <c r="AG13" i="352" s="1"/>
  <c r="C13" i="303"/>
  <c r="E13" i="303" s="1"/>
  <c r="S13" i="168"/>
  <c r="BQ20" i="388"/>
  <c r="BQ21" i="388" s="1"/>
  <c r="BO21" i="388"/>
  <c r="C89" i="291"/>
  <c r="E89" i="291" s="1"/>
  <c r="D19" i="167"/>
  <c r="C6" i="359" s="1"/>
  <c r="AF25" i="167"/>
  <c r="C88" i="291"/>
  <c r="E88" i="291" s="1"/>
  <c r="C12" i="425"/>
  <c r="E12" i="425" s="1"/>
  <c r="DR13" i="168"/>
  <c r="DT13" i="168" s="1"/>
  <c r="DV13" i="168" s="1"/>
  <c r="DX13" i="168" s="1"/>
  <c r="AQ13" i="168"/>
  <c r="AS13" i="168" s="1"/>
  <c r="AU13" i="168" s="1"/>
  <c r="AW13" i="168" s="1"/>
  <c r="BV13" i="168"/>
  <c r="BX13" i="168" s="1"/>
  <c r="BZ13" i="168" s="1"/>
  <c r="CB13" i="168" s="1"/>
  <c r="AA13" i="168"/>
  <c r="C26" i="327" s="1"/>
  <c r="E26" i="327" s="1"/>
  <c r="BO13" i="388"/>
  <c r="BQ13" i="388" s="1"/>
  <c r="BS13" i="388" s="1"/>
  <c r="AI13" i="389"/>
  <c r="AK13" i="389" s="1"/>
  <c r="AM13" i="389" s="1"/>
  <c r="AO13" i="389" s="1"/>
  <c r="BG13" i="388"/>
  <c r="BI13" i="388" s="1"/>
  <c r="BK13" i="388" s="1"/>
  <c r="BM13" i="388" s="1"/>
  <c r="C13" i="168"/>
  <c r="C26" i="269" s="1"/>
  <c r="E26" i="269" s="1"/>
  <c r="AI13" i="352"/>
  <c r="AK13" i="352" s="1"/>
  <c r="AM13" i="352" s="1"/>
  <c r="C12" i="327"/>
  <c r="E12" i="327" s="1"/>
  <c r="C12" i="303"/>
  <c r="E12" i="303" s="1"/>
  <c r="CT13" i="168"/>
  <c r="CV13" i="168" s="1"/>
  <c r="CX13" i="168" s="1"/>
  <c r="CZ13" i="168" s="1"/>
  <c r="CD13" i="168"/>
  <c r="CF13" i="168" s="1"/>
  <c r="CH13" i="168" s="1"/>
  <c r="CJ13" i="168" s="1"/>
  <c r="C13" i="388"/>
  <c r="E13" i="388" s="1"/>
  <c r="G13" i="388" s="1"/>
  <c r="I13" i="388" s="1"/>
  <c r="S13" i="389"/>
  <c r="U13" i="389" s="1"/>
  <c r="W13" i="389" s="1"/>
  <c r="Y13" i="389" s="1"/>
  <c r="S13" i="388"/>
  <c r="U13" i="388" s="1"/>
  <c r="W13" i="388" s="1"/>
  <c r="Y13" i="388" s="1"/>
  <c r="AQ13" i="352"/>
  <c r="AS13" i="352" s="1"/>
  <c r="AU13" i="352" s="1"/>
  <c r="AW13" i="352" s="1"/>
  <c r="S13" i="352"/>
  <c r="U13" i="352" s="1"/>
  <c r="W13" i="352" s="1"/>
  <c r="Y13" i="352" s="1"/>
  <c r="AA13" i="389"/>
  <c r="AC13" i="389" s="1"/>
  <c r="AE13" i="389" s="1"/>
  <c r="AG13" i="389" s="1"/>
  <c r="C88" i="411"/>
  <c r="E88" i="411" s="1"/>
  <c r="K13" i="168"/>
  <c r="C26" i="291" s="1"/>
  <c r="E26" i="291" s="1"/>
  <c r="AI13" i="168"/>
  <c r="AK13" i="168" s="1"/>
  <c r="AM13" i="168" s="1"/>
  <c r="C102" i="383" s="1"/>
  <c r="E102" i="383" s="1"/>
  <c r="DB13" i="168"/>
  <c r="DD13" i="168" s="1"/>
  <c r="DF13" i="168" s="1"/>
  <c r="DH13" i="168" s="1"/>
  <c r="AQ13" i="388"/>
  <c r="AS13" i="388" s="1"/>
  <c r="AU13" i="388" s="1"/>
  <c r="AW13" i="388" s="1"/>
  <c r="AY13" i="352"/>
  <c r="BA13" i="352" s="1"/>
  <c r="BC13" i="352" s="1"/>
  <c r="BE13" i="352" s="1"/>
  <c r="C88" i="425"/>
  <c r="E88" i="425" s="1"/>
  <c r="C88" i="383"/>
  <c r="E88" i="383" s="1"/>
  <c r="AQ14" i="168"/>
  <c r="AS14" i="168" s="1"/>
  <c r="AU14" i="168" s="1"/>
  <c r="C13" i="269"/>
  <c r="E13" i="269" s="1"/>
  <c r="AQ14" i="388"/>
  <c r="AS14" i="388" s="1"/>
  <c r="AU14" i="388" s="1"/>
  <c r="AW14" i="388" s="1"/>
  <c r="C89" i="411"/>
  <c r="E89" i="411" s="1"/>
  <c r="C14" i="352"/>
  <c r="E14" i="352" s="1"/>
  <c r="G14" i="352" s="1"/>
  <c r="C13" i="327"/>
  <c r="E13" i="327" s="1"/>
  <c r="C14" i="389"/>
  <c r="E14" i="389" s="1"/>
  <c r="G14" i="389" s="1"/>
  <c r="C89" i="425"/>
  <c r="E89" i="425" s="1"/>
  <c r="K14" i="388"/>
  <c r="M14" i="388" s="1"/>
  <c r="O14" i="388" s="1"/>
  <c r="Q14" i="388" s="1"/>
  <c r="AA14" i="388"/>
  <c r="AC14" i="388" s="1"/>
  <c r="DJ14" i="168"/>
  <c r="S14" i="168"/>
  <c r="U14" i="168" s="1"/>
  <c r="W14" i="168" s="1"/>
  <c r="C89" i="327"/>
  <c r="E89" i="327" s="1"/>
  <c r="DB14" i="168"/>
  <c r="DD14" i="168" s="1"/>
  <c r="C89" i="383"/>
  <c r="E89" i="383" s="1"/>
  <c r="BV14" i="168"/>
  <c r="BX14" i="168" s="1"/>
  <c r="BX16" i="168" s="1"/>
  <c r="AI14" i="388"/>
  <c r="AK14" i="388" s="1"/>
  <c r="AM14" i="388" s="1"/>
  <c r="C13" i="291"/>
  <c r="E13" i="291" s="1"/>
  <c r="AA14" i="168"/>
  <c r="AC14" i="168" s="1"/>
  <c r="AE14" i="168" s="1"/>
  <c r="CD14" i="168"/>
  <c r="CF14" i="168" s="1"/>
  <c r="CF16" i="168" s="1"/>
  <c r="CF17" i="168" s="1"/>
  <c r="CF19" i="168" s="1"/>
  <c r="AQ14" i="352"/>
  <c r="AS14" i="352" s="1"/>
  <c r="CT14" i="168"/>
  <c r="CV14" i="168" s="1"/>
  <c r="CX14" i="168" s="1"/>
  <c r="AQ14" i="389"/>
  <c r="DZ14" i="168"/>
  <c r="EB14" i="168" s="1"/>
  <c r="ED14" i="168" s="1"/>
  <c r="EF14" i="168" s="1"/>
  <c r="S14" i="388"/>
  <c r="U14" i="388" s="1"/>
  <c r="AY14" i="168"/>
  <c r="BA14" i="168" s="1"/>
  <c r="BO14" i="388"/>
  <c r="AI14" i="389"/>
  <c r="AK14" i="389" s="1"/>
  <c r="AM14" i="389" s="1"/>
  <c r="AO14" i="389" s="1"/>
  <c r="AY14" i="388"/>
  <c r="BA14" i="388" s="1"/>
  <c r="BC14" i="388" s="1"/>
  <c r="BE14" i="388" s="1"/>
  <c r="AY14" i="352"/>
  <c r="C89" i="303"/>
  <c r="E89" i="303" s="1"/>
  <c r="K13" i="352"/>
  <c r="M13" i="352" s="1"/>
  <c r="O13" i="352" s="1"/>
  <c r="Q13" i="352" s="1"/>
  <c r="AI36" i="393"/>
  <c r="AI14" i="352"/>
  <c r="AK14" i="352" s="1"/>
  <c r="C88" i="327"/>
  <c r="E88" i="327" s="1"/>
  <c r="AI13" i="388"/>
  <c r="AK13" i="388" s="1"/>
  <c r="AM13" i="388" s="1"/>
  <c r="AO13" i="388" s="1"/>
  <c r="C12" i="411"/>
  <c r="E12" i="411" s="1"/>
  <c r="BG14" i="388"/>
  <c r="BI14" i="388" s="1"/>
  <c r="BK14" i="388" s="1"/>
  <c r="BM14" i="388" s="1"/>
  <c r="D22" i="276"/>
  <c r="E22" i="276" s="1"/>
  <c r="K14" i="352"/>
  <c r="M14" i="352" s="1"/>
  <c r="O14" i="352" s="1"/>
  <c r="C13" i="389"/>
  <c r="E13" i="389" s="1"/>
  <c r="G13" i="389" s="1"/>
  <c r="I13" i="389" s="1"/>
  <c r="CL14" i="168"/>
  <c r="CL16" i="168" s="1"/>
  <c r="C13" i="411"/>
  <c r="E13" i="411" s="1"/>
  <c r="AY14" i="389"/>
  <c r="BA14" i="389" s="1"/>
  <c r="AY13" i="389"/>
  <c r="BA13" i="389" s="1"/>
  <c r="BC13" i="389" s="1"/>
  <c r="AY13" i="388"/>
  <c r="BA13" i="388" s="1"/>
  <c r="BC13" i="388" s="1"/>
  <c r="BE13" i="388" s="1"/>
  <c r="K13" i="389"/>
  <c r="M13" i="389" s="1"/>
  <c r="O13" i="389" s="1"/>
  <c r="Q13" i="389" s="1"/>
  <c r="AI14" i="168"/>
  <c r="AK14" i="168" s="1"/>
  <c r="AM14" i="168" s="1"/>
  <c r="C14" i="388"/>
  <c r="E14" i="388" s="1"/>
  <c r="G14" i="388" s="1"/>
  <c r="I14" i="388" s="1"/>
  <c r="C13" i="352"/>
  <c r="E13" i="352" s="1"/>
  <c r="G13" i="352" s="1"/>
  <c r="I13" i="352" s="1"/>
  <c r="D36" i="393"/>
  <c r="K14" i="168"/>
  <c r="M14" i="168" s="1"/>
  <c r="AA14" i="389"/>
  <c r="AC14" i="389" s="1"/>
  <c r="S14" i="352"/>
  <c r="U14" i="352" s="1"/>
  <c r="B64" i="393"/>
  <c r="C65" i="393" s="1"/>
  <c r="CL13" i="168"/>
  <c r="CN13" i="168" s="1"/>
  <c r="CP13" i="168" s="1"/>
  <c r="CR13" i="168" s="1"/>
  <c r="AA13" i="388"/>
  <c r="AC13" i="388" s="1"/>
  <c r="AE13" i="388" s="1"/>
  <c r="AG13" i="388" s="1"/>
  <c r="C89" i="269"/>
  <c r="E89" i="269" s="1"/>
  <c r="AQ13" i="389"/>
  <c r="AS13" i="389" s="1"/>
  <c r="AU13" i="389" s="1"/>
  <c r="AW13" i="389" s="1"/>
  <c r="C12" i="291"/>
  <c r="E12" i="291" s="1"/>
  <c r="G90" i="49"/>
  <c r="C111" i="1"/>
  <c r="C163" i="1" s="1"/>
  <c r="C7" i="360"/>
  <c r="E7" i="360" s="1"/>
  <c r="F12" i="398"/>
  <c r="D26" i="281"/>
  <c r="F26" i="248" s="1"/>
  <c r="AW81" i="393"/>
  <c r="AW99" i="393" s="1"/>
  <c r="C73" i="393"/>
  <c r="C82" i="393" s="1"/>
  <c r="I8" i="184"/>
  <c r="K8" i="184" s="1"/>
  <c r="M8" i="184" s="1"/>
  <c r="C11" i="380" s="1"/>
  <c r="C9" i="372"/>
  <c r="C11" i="372" s="1"/>
  <c r="G74" i="167" s="1"/>
  <c r="C73" i="167"/>
  <c r="C79" i="167" s="1"/>
  <c r="AF81" i="167"/>
  <c r="AF79" i="167" s="1"/>
  <c r="E10" i="184"/>
  <c r="A5" i="316"/>
  <c r="A5" i="415"/>
  <c r="F12" i="280"/>
  <c r="F13" i="280" s="1"/>
  <c r="A5" i="301"/>
  <c r="M60" i="60"/>
  <c r="O60" i="60" s="1"/>
  <c r="O67" i="60" s="1"/>
  <c r="O69" i="60" s="1"/>
  <c r="O71" i="60" s="1"/>
  <c r="O73" i="60" s="1"/>
  <c r="A5" i="381"/>
  <c r="A5" i="419"/>
  <c r="A5" i="269"/>
  <c r="A81" i="269" s="1"/>
  <c r="A5" i="418"/>
  <c r="A5" i="374"/>
  <c r="A5" i="327"/>
  <c r="A81" i="327" s="1"/>
  <c r="A5" i="312"/>
  <c r="A5" i="383"/>
  <c r="A81" i="383" s="1"/>
  <c r="A5" i="358"/>
  <c r="A5" i="320"/>
  <c r="A5" i="434"/>
  <c r="A5" i="413"/>
  <c r="A5" i="276"/>
  <c r="A5" i="283"/>
  <c r="A5" i="270"/>
  <c r="A5" i="310"/>
  <c r="A5" i="326"/>
  <c r="A5" i="382"/>
  <c r="A5" i="433"/>
  <c r="C1" i="315"/>
  <c r="H35" i="50"/>
  <c r="AR81" i="167"/>
  <c r="AR99" i="167" s="1"/>
  <c r="G73" i="167"/>
  <c r="G79" i="167" s="1"/>
  <c r="X8" i="184"/>
  <c r="C9" i="363"/>
  <c r="C11" i="363" s="1"/>
  <c r="F74" i="167" s="1"/>
  <c r="F75" i="167" s="1"/>
  <c r="G73" i="393"/>
  <c r="G79" i="393" s="1"/>
  <c r="C9" i="360"/>
  <c r="D9" i="360" s="1"/>
  <c r="E9" i="360" s="1"/>
  <c r="AW81" i="167"/>
  <c r="AW79" i="167" s="1"/>
  <c r="S8" i="184"/>
  <c r="S10" i="184" s="1"/>
  <c r="AJ81" i="167"/>
  <c r="A5" i="408"/>
  <c r="A5" i="306"/>
  <c r="C1" i="410"/>
  <c r="A5" i="307"/>
  <c r="A5" i="304"/>
  <c r="A5" i="274"/>
  <c r="A5" i="313"/>
  <c r="C1" i="348"/>
  <c r="D14" i="277"/>
  <c r="A5" i="278"/>
  <c r="A5" i="277"/>
  <c r="A5" i="267"/>
  <c r="C1" i="400"/>
  <c r="A5" i="290"/>
  <c r="A5" i="420"/>
  <c r="C1" i="280"/>
  <c r="A5" i="272"/>
  <c r="A5" i="318"/>
  <c r="K18" i="393"/>
  <c r="A5" i="309"/>
  <c r="A5" i="416"/>
  <c r="A5" i="325"/>
  <c r="A5" i="311"/>
  <c r="A5" i="371"/>
  <c r="A5" i="314"/>
  <c r="AN81" i="393"/>
  <c r="AN99" i="393" s="1"/>
  <c r="AF81" i="393"/>
  <c r="AF99" i="393" s="1"/>
  <c r="C11" i="269"/>
  <c r="E11" i="269" s="1"/>
  <c r="C87" i="303"/>
  <c r="E87" i="303" s="1"/>
  <c r="K19" i="393"/>
  <c r="K20" i="393" s="1"/>
  <c r="AF25" i="393"/>
  <c r="I60" i="60"/>
  <c r="I67" i="60" s="1"/>
  <c r="I69" i="60" s="1"/>
  <c r="I71" i="60" s="1"/>
  <c r="I73" i="60" s="1"/>
  <c r="F23" i="50"/>
  <c r="H39" i="50"/>
  <c r="H27" i="50"/>
  <c r="F39" i="50"/>
  <c r="C11" i="409"/>
  <c r="H74" i="167" s="1"/>
  <c r="AF79" i="393"/>
  <c r="U5" i="167"/>
  <c r="D36" i="167"/>
  <c r="C18" i="359" s="1"/>
  <c r="Y44" i="167" s="1"/>
  <c r="W24" i="167" s="1"/>
  <c r="D19" i="393"/>
  <c r="S5" i="393"/>
  <c r="H41" i="2"/>
  <c r="D3" i="415"/>
  <c r="D3" i="320"/>
  <c r="D3" i="378"/>
  <c r="D3" i="430"/>
  <c r="DD21" i="168"/>
  <c r="F35" i="50"/>
  <c r="D82" i="393"/>
  <c r="C19" i="167"/>
  <c r="C6" i="350" s="1"/>
  <c r="C43" i="350" s="1"/>
  <c r="C5" i="359"/>
  <c r="H31" i="50"/>
  <c r="D29" i="316"/>
  <c r="H29" i="248" s="1"/>
  <c r="F19" i="50"/>
  <c r="K21" i="388"/>
  <c r="E109" i="1"/>
  <c r="E166" i="1" s="1"/>
  <c r="H30" i="2"/>
  <c r="D26" i="301"/>
  <c r="G26" i="248" s="1"/>
  <c r="F12" i="302"/>
  <c r="F12" i="400"/>
  <c r="C7" i="361"/>
  <c r="E7" i="361" s="1"/>
  <c r="G19" i="393"/>
  <c r="Q60" i="60"/>
  <c r="C35" i="361"/>
  <c r="L41" i="2"/>
  <c r="G45" i="3"/>
  <c r="G47" i="3"/>
  <c r="J19" i="167"/>
  <c r="C34" i="361"/>
  <c r="D19" i="419"/>
  <c r="P60" i="60"/>
  <c r="K41" i="2"/>
  <c r="D19" i="373"/>
  <c r="D18" i="310"/>
  <c r="D13" i="311" s="1"/>
  <c r="E13" i="311" s="1"/>
  <c r="D19" i="324"/>
  <c r="M39" i="2"/>
  <c r="N39" i="2" s="1"/>
  <c r="O39" i="2" s="1"/>
  <c r="P39" i="2" s="1"/>
  <c r="T5" i="167"/>
  <c r="F43" i="50"/>
  <c r="CR45" i="168"/>
  <c r="CR47" i="168" s="1"/>
  <c r="CR55" i="168" s="1"/>
  <c r="F79" i="167"/>
  <c r="F80" i="167" s="1"/>
  <c r="F19" i="167"/>
  <c r="C6" i="368" s="1"/>
  <c r="C19" i="393"/>
  <c r="C6" i="357" s="1"/>
  <c r="C43" i="357" s="1"/>
  <c r="E19" i="393"/>
  <c r="G19" i="167"/>
  <c r="C6" i="384" s="1"/>
  <c r="AN80" i="167"/>
  <c r="CX20" i="168"/>
  <c r="CZ20" i="168" s="1"/>
  <c r="CZ21" i="168" s="1"/>
  <c r="T5" i="393"/>
  <c r="F19" i="393"/>
  <c r="H23" i="50"/>
  <c r="E19" i="303"/>
  <c r="C95" i="303"/>
  <c r="E95" i="303" s="1"/>
  <c r="Q25" i="167"/>
  <c r="Z17" i="74" s="1"/>
  <c r="P23" i="167"/>
  <c r="CP51" i="168"/>
  <c r="D57" i="358"/>
  <c r="BZ51" i="168"/>
  <c r="I15" i="184"/>
  <c r="C18" i="314" s="1"/>
  <c r="S15" i="184"/>
  <c r="D58" i="393"/>
  <c r="D59" i="393" s="1"/>
  <c r="AW25" i="167"/>
  <c r="AU36" i="167"/>
  <c r="AR80" i="393"/>
  <c r="F45" i="302"/>
  <c r="C9" i="364" s="1"/>
  <c r="F45" i="348"/>
  <c r="G45" i="348" s="1"/>
  <c r="E82" i="167"/>
  <c r="C18" i="168"/>
  <c r="E18" i="168" s="1"/>
  <c r="G18" i="168" s="1"/>
  <c r="I18" i="168" s="1"/>
  <c r="D68" i="267"/>
  <c r="E68" i="248" s="1"/>
  <c r="C11" i="314"/>
  <c r="D71" i="167"/>
  <c r="Y15" i="184" s="1"/>
  <c r="K60" i="60"/>
  <c r="K67" i="60" s="1"/>
  <c r="K69" i="60" s="1"/>
  <c r="K71" i="60" s="1"/>
  <c r="K73" i="60" s="1"/>
  <c r="D18" i="167"/>
  <c r="E48" i="227" s="1"/>
  <c r="G20" i="389"/>
  <c r="I20" i="389" s="1"/>
  <c r="I21" i="389" s="1"/>
  <c r="AN24" i="393"/>
  <c r="F33" i="167"/>
  <c r="CN20" i="168"/>
  <c r="CP20" i="168" s="1"/>
  <c r="F79" i="393"/>
  <c r="F82" i="393"/>
  <c r="AN80" i="393"/>
  <c r="F36" i="167"/>
  <c r="C18" i="368" s="1"/>
  <c r="F36" i="393"/>
  <c r="AN25" i="393"/>
  <c r="AN25" i="167"/>
  <c r="C11" i="356"/>
  <c r="C74" i="167" s="1"/>
  <c r="C5" i="368"/>
  <c r="AN24" i="167"/>
  <c r="AN79" i="167"/>
  <c r="AN74" i="167" s="1"/>
  <c r="BO18" i="388"/>
  <c r="BQ18" i="388" s="1"/>
  <c r="BS18" i="388" s="1"/>
  <c r="BU18" i="388" s="1"/>
  <c r="CH44" i="168"/>
  <c r="CH45" i="168" s="1"/>
  <c r="CJ45" i="168" s="1"/>
  <c r="CN14" i="168"/>
  <c r="F33" i="393"/>
  <c r="AB79" i="393"/>
  <c r="F82" i="167"/>
  <c r="F71" i="167"/>
  <c r="K15" i="184" s="1"/>
  <c r="C18" i="322" s="1"/>
  <c r="G71" i="167"/>
  <c r="M15" i="184" s="1"/>
  <c r="C18" i="380" s="1"/>
  <c r="DL20" i="168"/>
  <c r="Z15" i="184"/>
  <c r="AR25" i="393"/>
  <c r="AR19" i="393" s="1"/>
  <c r="C30" i="291"/>
  <c r="E30" i="291" s="1"/>
  <c r="J71" i="60"/>
  <c r="J73" i="60" s="1"/>
  <c r="E18" i="278" s="1"/>
  <c r="D29" i="371"/>
  <c r="I29" i="248" s="1"/>
  <c r="AW79" i="393"/>
  <c r="G33" i="167"/>
  <c r="AR25" i="167"/>
  <c r="H82" i="393"/>
  <c r="H71" i="167"/>
  <c r="O15" i="184" s="1"/>
  <c r="C18" i="417" s="1"/>
  <c r="BX20" i="168"/>
  <c r="BX21" i="168" s="1"/>
  <c r="M20" i="168"/>
  <c r="O20" i="168" s="1"/>
  <c r="AR79" i="393"/>
  <c r="AR74" i="393" s="1"/>
  <c r="AU36" i="393"/>
  <c r="E65" i="167"/>
  <c r="D65" i="167"/>
  <c r="G16" i="184" s="1"/>
  <c r="C19" i="313" s="1"/>
  <c r="AR24" i="167"/>
  <c r="DV20" i="168"/>
  <c r="DV21" i="168" s="1"/>
  <c r="R23" i="393"/>
  <c r="AB25" i="393"/>
  <c r="AW25" i="393"/>
  <c r="C71" i="167"/>
  <c r="BZ48" i="168"/>
  <c r="AR99" i="393"/>
  <c r="E16" i="184"/>
  <c r="C19" i="275" s="1"/>
  <c r="G36" i="167"/>
  <c r="C18" i="384" s="1"/>
  <c r="F45" i="369"/>
  <c r="C9" i="384" s="1"/>
  <c r="C21" i="389"/>
  <c r="I71" i="167"/>
  <c r="Q15" i="184" s="1"/>
  <c r="C18" i="432" s="1"/>
  <c r="C11" i="423"/>
  <c r="D9" i="423"/>
  <c r="E9" i="423" s="1"/>
  <c r="AJ24" i="167"/>
  <c r="AJ99" i="393"/>
  <c r="D29" i="301"/>
  <c r="G29" i="248" s="1"/>
  <c r="AJ80" i="167"/>
  <c r="F45" i="400"/>
  <c r="G45" i="400" s="1"/>
  <c r="I72" i="106"/>
  <c r="P25" i="393"/>
  <c r="P23" i="393"/>
  <c r="C11" i="322"/>
  <c r="E36" i="167"/>
  <c r="C18" i="364" s="1"/>
  <c r="AJ24" i="393"/>
  <c r="BE36" i="167"/>
  <c r="BB80" i="167"/>
  <c r="C5" i="426"/>
  <c r="BB99" i="167"/>
  <c r="I36" i="393"/>
  <c r="F45" i="422"/>
  <c r="C9" i="426" s="1"/>
  <c r="I33" i="393"/>
  <c r="K19" i="167"/>
  <c r="Y36" i="167"/>
  <c r="C36" i="167"/>
  <c r="C18" i="350" s="1"/>
  <c r="X44" i="393" s="1"/>
  <c r="C33" i="393"/>
  <c r="X36" i="393"/>
  <c r="D29" i="267"/>
  <c r="E29" i="248" s="1"/>
  <c r="C33" i="167"/>
  <c r="X45" i="393"/>
  <c r="V25" i="393" s="1"/>
  <c r="AE36" i="167"/>
  <c r="AB24" i="393"/>
  <c r="V38" i="393"/>
  <c r="W41" i="393"/>
  <c r="W42" i="393" s="1"/>
  <c r="W43" i="393" s="1"/>
  <c r="X41" i="167"/>
  <c r="X42" i="167" s="1"/>
  <c r="X43" i="167" s="1"/>
  <c r="W38" i="167"/>
  <c r="J45" i="268"/>
  <c r="C9" i="357" s="1"/>
  <c r="C46" i="357" s="1"/>
  <c r="D29" i="358"/>
  <c r="W39" i="167"/>
  <c r="AA36" i="393"/>
  <c r="C36" i="393"/>
  <c r="F45" i="268"/>
  <c r="C9" i="350" s="1"/>
  <c r="C46" i="350" s="1"/>
  <c r="C5" i="357"/>
  <c r="C42" i="357" s="1"/>
  <c r="AB80" i="393"/>
  <c r="AE36" i="393"/>
  <c r="V39" i="393"/>
  <c r="C5" i="350"/>
  <c r="C42" i="350" s="1"/>
  <c r="AB80" i="167"/>
  <c r="AB24" i="167"/>
  <c r="Y45" i="167"/>
  <c r="W25" i="167" s="1"/>
  <c r="AB99" i="393"/>
  <c r="AB25" i="167"/>
  <c r="AB19" i="167" s="1"/>
  <c r="D6" i="350" s="1"/>
  <c r="C59" i="393"/>
  <c r="K39" i="2"/>
  <c r="L39" i="2" s="1"/>
  <c r="J39" i="2"/>
  <c r="Q25" i="393"/>
  <c r="Q23" i="393"/>
  <c r="U5" i="393"/>
  <c r="AF80" i="393"/>
  <c r="AF80" i="167"/>
  <c r="D29" i="281"/>
  <c r="F29" i="248" s="1"/>
  <c r="AI36" i="167"/>
  <c r="D33" i="167"/>
  <c r="AF24" i="393"/>
  <c r="D79" i="167"/>
  <c r="F72" i="268"/>
  <c r="D63" i="358" s="1"/>
  <c r="H77" i="268"/>
  <c r="J77" i="268" s="1"/>
  <c r="F45" i="280"/>
  <c r="C9" i="359" s="1"/>
  <c r="AF24" i="167"/>
  <c r="G39" i="2"/>
  <c r="H39" i="2" s="1"/>
  <c r="D19" i="277"/>
  <c r="C164" i="1"/>
  <c r="C166" i="1"/>
  <c r="C165" i="1"/>
  <c r="C9" i="272"/>
  <c r="D82" i="167"/>
  <c r="AR80" i="167"/>
  <c r="C5" i="384"/>
  <c r="G36" i="393"/>
  <c r="G33" i="393"/>
  <c r="H36" i="393"/>
  <c r="AW24" i="393"/>
  <c r="AW24" i="167"/>
  <c r="AZ36" i="393"/>
  <c r="H33" i="167"/>
  <c r="AQ36" i="167"/>
  <c r="H33" i="393"/>
  <c r="DL14" i="168"/>
  <c r="M13" i="168"/>
  <c r="O13" i="168" s="1"/>
  <c r="DT14" i="168"/>
  <c r="AE14" i="388"/>
  <c r="AG14" i="388" s="1"/>
  <c r="C18" i="389"/>
  <c r="E18" i="389" s="1"/>
  <c r="G18" i="389" s="1"/>
  <c r="I18" i="389" s="1"/>
  <c r="BH18" i="168"/>
  <c r="BI18" i="168" s="1"/>
  <c r="BJ18" i="168" s="1"/>
  <c r="BK18" i="168" s="1"/>
  <c r="H69" i="60"/>
  <c r="H71" i="60" s="1"/>
  <c r="D111" i="9"/>
  <c r="D114" i="9"/>
  <c r="AS14" i="389"/>
  <c r="C18" i="388"/>
  <c r="E18" i="388" s="1"/>
  <c r="G18" i="388" s="1"/>
  <c r="I18" i="388" s="1"/>
  <c r="D57" i="267"/>
  <c r="E57" i="248" s="1"/>
  <c r="D68" i="358"/>
  <c r="DB18" i="168"/>
  <c r="DD18" i="168" s="1"/>
  <c r="DF18" i="168" s="1"/>
  <c r="DH18" i="168" s="1"/>
  <c r="F72" i="348"/>
  <c r="H28" i="369"/>
  <c r="M71" i="1"/>
  <c r="E21" i="304"/>
  <c r="D69" i="109"/>
  <c r="D39" i="109"/>
  <c r="D27" i="320"/>
  <c r="M34" i="315"/>
  <c r="H34" i="410"/>
  <c r="F34" i="410"/>
  <c r="O70" i="1"/>
  <c r="M34" i="369"/>
  <c r="D27" i="378"/>
  <c r="F43" i="315"/>
  <c r="F64" i="393"/>
  <c r="K66" i="1"/>
  <c r="H43" i="315"/>
  <c r="F64" i="167"/>
  <c r="F65" i="167" s="1"/>
  <c r="K16" i="184" s="1"/>
  <c r="C19" i="322" s="1"/>
  <c r="M43" i="280"/>
  <c r="D52" i="281"/>
  <c r="O18" i="1"/>
  <c r="D16" i="408"/>
  <c r="J16" i="248" s="1"/>
  <c r="C34" i="415"/>
  <c r="F40" i="410"/>
  <c r="H40" i="410"/>
  <c r="K21" i="1"/>
  <c r="D11" i="317"/>
  <c r="E11" i="317" s="1"/>
  <c r="F8" i="393"/>
  <c r="F9" i="393"/>
  <c r="F9" i="167"/>
  <c r="F8" i="167"/>
  <c r="K24" i="1"/>
  <c r="D15" i="317"/>
  <c r="E15" i="317" s="1"/>
  <c r="C16" i="430"/>
  <c r="D18" i="427"/>
  <c r="E18" i="427" s="1"/>
  <c r="C15" i="430"/>
  <c r="D19" i="427"/>
  <c r="E19" i="427" s="1"/>
  <c r="F67" i="369"/>
  <c r="H67" i="369" s="1"/>
  <c r="F8" i="315"/>
  <c r="D11" i="316" s="1"/>
  <c r="F76" i="369"/>
  <c r="F66" i="369"/>
  <c r="H66" i="369" s="1"/>
  <c r="H76" i="369"/>
  <c r="F32" i="315"/>
  <c r="H32" i="315"/>
  <c r="M32" i="315" s="1"/>
  <c r="K35" i="1"/>
  <c r="V58" i="60"/>
  <c r="D12" i="325"/>
  <c r="E12" i="325" s="1"/>
  <c r="U58" i="60"/>
  <c r="U69" i="60" s="1"/>
  <c r="U71" i="60" s="1"/>
  <c r="U73" i="60" s="1"/>
  <c r="D23" i="408"/>
  <c r="J23" i="248" s="1"/>
  <c r="O45" i="1"/>
  <c r="D23" i="424" s="1"/>
  <c r="K23" i="248" s="1"/>
  <c r="F37" i="315"/>
  <c r="K38" i="1"/>
  <c r="H37" i="315"/>
  <c r="M37" i="315" s="1"/>
  <c r="F9" i="227"/>
  <c r="D22" i="375"/>
  <c r="M28" i="1"/>
  <c r="C17" i="378"/>
  <c r="H6" i="227"/>
  <c r="X58" i="60"/>
  <c r="D17" i="373"/>
  <c r="G6" i="167"/>
  <c r="G7" i="167" s="1"/>
  <c r="K157" i="1"/>
  <c r="G6" i="393"/>
  <c r="G7" i="393" s="1"/>
  <c r="M17" i="1"/>
  <c r="O37" i="2"/>
  <c r="P37" i="2" s="1"/>
  <c r="M71" i="315"/>
  <c r="D63" i="316"/>
  <c r="H63" i="248" s="1"/>
  <c r="D22" i="316"/>
  <c r="H22" i="248" s="1"/>
  <c r="F65" i="315"/>
  <c r="K44" i="1"/>
  <c r="M42" i="280"/>
  <c r="D51" i="281"/>
  <c r="H76" i="280"/>
  <c r="K18" i="168"/>
  <c r="K18" i="388"/>
  <c r="K18" i="389"/>
  <c r="M18" i="389" s="1"/>
  <c r="O18" i="389" s="1"/>
  <c r="Q18" i="389" s="1"/>
  <c r="F71" i="280"/>
  <c r="K18" i="352"/>
  <c r="D11" i="358"/>
  <c r="D11" i="267"/>
  <c r="AG14" i="352"/>
  <c r="K18" i="184"/>
  <c r="C20" i="314"/>
  <c r="CV16" i="168"/>
  <c r="AM14" i="352"/>
  <c r="W14" i="389"/>
  <c r="E15" i="374"/>
  <c r="C36" i="378"/>
  <c r="M39" i="1"/>
  <c r="M37" i="1"/>
  <c r="C31" i="378"/>
  <c r="F30" i="369"/>
  <c r="D15" i="371"/>
  <c r="I15" i="248" s="1"/>
  <c r="M33" i="1"/>
  <c r="C23" i="378"/>
  <c r="H30" i="369"/>
  <c r="D12" i="301"/>
  <c r="G12" i="248" s="1"/>
  <c r="C11" i="307"/>
  <c r="F11" i="302"/>
  <c r="E57" i="167"/>
  <c r="G8" i="227"/>
  <c r="C22" i="320"/>
  <c r="K32" i="1"/>
  <c r="F10" i="315"/>
  <c r="D14" i="316" s="1"/>
  <c r="H14" i="248" s="1"/>
  <c r="F10" i="393"/>
  <c r="F57" i="393" s="1"/>
  <c r="D23" i="375"/>
  <c r="M31" i="1"/>
  <c r="C14" i="378"/>
  <c r="D10" i="427"/>
  <c r="E10" i="427" s="1"/>
  <c r="H66" i="302"/>
  <c r="F69" i="302"/>
  <c r="D18" i="301"/>
  <c r="G18" i="248" s="1"/>
  <c r="F11" i="248"/>
  <c r="U18" i="352"/>
  <c r="C20" i="303"/>
  <c r="E20" i="303" s="1"/>
  <c r="G68" i="248"/>
  <c r="C96" i="303"/>
  <c r="E96" i="303" s="1"/>
  <c r="H66" i="280"/>
  <c r="F69" i="280"/>
  <c r="D21" i="287"/>
  <c r="M67" i="280"/>
  <c r="D21" i="309"/>
  <c r="M67" i="302"/>
  <c r="D22" i="381"/>
  <c r="I66" i="369"/>
  <c r="W18" i="168"/>
  <c r="F11" i="280"/>
  <c r="F11" i="398"/>
  <c r="D12" i="281"/>
  <c r="F12" i="248" s="1"/>
  <c r="D57" i="167"/>
  <c r="D59" i="167" s="1"/>
  <c r="C11" i="285"/>
  <c r="Y18" i="389"/>
  <c r="C57" i="167"/>
  <c r="C59" i="167" s="1"/>
  <c r="C11" i="273"/>
  <c r="D13" i="358"/>
  <c r="D13" i="267"/>
  <c r="E13" i="248" s="1"/>
  <c r="D51" i="424"/>
  <c r="M42" i="422"/>
  <c r="CN34" i="91"/>
  <c r="CN36" i="91"/>
  <c r="L69" i="60"/>
  <c r="D15" i="289"/>
  <c r="H23" i="227"/>
  <c r="I53" i="248"/>
  <c r="CP55" i="168"/>
  <c r="CP48" i="168"/>
  <c r="BQ14" i="388"/>
  <c r="I82" i="393"/>
  <c r="AJ36" i="91"/>
  <c r="AJ34" i="91"/>
  <c r="AC18" i="168"/>
  <c r="AE18" i="168" s="1"/>
  <c r="AG18" i="168" s="1"/>
  <c r="AG14" i="168"/>
  <c r="H44" i="73"/>
  <c r="O20" i="73"/>
  <c r="P19" i="73"/>
  <c r="B16" i="391"/>
  <c r="BA14" i="352"/>
  <c r="BB79" i="393"/>
  <c r="CT41" i="91"/>
  <c r="CV39" i="91"/>
  <c r="CV41" i="91" s="1"/>
  <c r="CV42" i="91" s="1"/>
  <c r="J76" i="9"/>
  <c r="J70" i="9"/>
  <c r="J73" i="9" s="1"/>
  <c r="J90" i="9" s="1"/>
  <c r="N69" i="60"/>
  <c r="E15" i="289"/>
  <c r="DL46" i="91"/>
  <c r="DN46" i="91" s="1"/>
  <c r="DL45" i="91"/>
  <c r="D2" i="408"/>
  <c r="D2" i="371"/>
  <c r="F2" i="315"/>
  <c r="D2" i="424"/>
  <c r="E1" i="411"/>
  <c r="C1" i="271" s="1"/>
  <c r="D1" i="272" s="1"/>
  <c r="D1" i="273" s="1"/>
  <c r="D1" i="274" s="1"/>
  <c r="C1" i="275" s="1"/>
  <c r="D1" i="276" s="1"/>
  <c r="D1" i="277" s="1"/>
  <c r="E1" i="278" s="1"/>
  <c r="E1" i="279" s="1"/>
  <c r="E1" i="282" s="1"/>
  <c r="C1" i="283" s="1"/>
  <c r="D1" i="284" s="1"/>
  <c r="D1" i="285" s="1"/>
  <c r="D1" i="286" s="1"/>
  <c r="C1" i="313" s="1"/>
  <c r="D1" i="287" s="1"/>
  <c r="D1" i="288" s="1"/>
  <c r="E1" i="289" s="1"/>
  <c r="E1" i="290" s="1"/>
  <c r="E1" i="304" s="1"/>
  <c r="C1" i="305" s="1"/>
  <c r="D1" i="306" s="1"/>
  <c r="D1" i="307" s="1"/>
  <c r="D1" i="308" s="1"/>
  <c r="C1" i="314" s="1"/>
  <c r="D1" i="309" s="1"/>
  <c r="D1" i="310" s="1"/>
  <c r="E1" i="311" s="1"/>
  <c r="E1" i="312" s="1"/>
  <c r="E1" i="317" s="1"/>
  <c r="C1" i="413" s="1"/>
  <c r="E1" i="383"/>
  <c r="U121" i="9"/>
  <c r="U124" i="9" s="1"/>
  <c r="U126" i="9" s="1"/>
  <c r="H95" i="9"/>
  <c r="L76" i="9"/>
  <c r="L70" i="9"/>
  <c r="L73" i="9" s="1"/>
  <c r="L90" i="9" s="1"/>
  <c r="J20" i="393"/>
  <c r="BX35" i="168"/>
  <c r="BX42" i="168" s="1"/>
  <c r="BX111" i="168" s="1"/>
  <c r="BX43" i="168"/>
  <c r="Q44" i="91"/>
  <c r="BU13" i="388"/>
  <c r="H77" i="9"/>
  <c r="H80" i="9" s="1"/>
  <c r="H83" i="9"/>
  <c r="H84" i="9" s="1"/>
  <c r="H87" i="9" s="1"/>
  <c r="C35" i="91"/>
  <c r="C42" i="91" s="1"/>
  <c r="C43" i="91"/>
  <c r="W36" i="91"/>
  <c r="W34" i="91"/>
  <c r="W35" i="91" s="1"/>
  <c r="W42" i="91" s="1"/>
  <c r="D2" i="321"/>
  <c r="D2" i="379"/>
  <c r="D2" i="431"/>
  <c r="D2" i="416"/>
  <c r="M21" i="388"/>
  <c r="AX28" i="9"/>
  <c r="K29" i="9" s="1"/>
  <c r="K28" i="9"/>
  <c r="K69" i="9" s="1"/>
  <c r="K26" i="9"/>
  <c r="AX26" i="9"/>
  <c r="BC14" i="168"/>
  <c r="BV44" i="91"/>
  <c r="BL34" i="91" l="1"/>
  <c r="BL35" i="91" s="1"/>
  <c r="BL42" i="91" s="1"/>
  <c r="BL36" i="91"/>
  <c r="BT34" i="91"/>
  <c r="BT35" i="91" s="1"/>
  <c r="BT42" i="91" s="1"/>
  <c r="BT36" i="91"/>
  <c r="CH34" i="91"/>
  <c r="CH36" i="91"/>
  <c r="BN43" i="91"/>
  <c r="BN44" i="91" s="1"/>
  <c r="BN111" i="91"/>
  <c r="BN51" i="91" s="1"/>
  <c r="AW26" i="9"/>
  <c r="J26" i="9"/>
  <c r="C21" i="388"/>
  <c r="C21" i="168"/>
  <c r="C31" i="269" s="1"/>
  <c r="E31" i="269" s="1"/>
  <c r="CF43" i="168"/>
  <c r="CF44" i="168" s="1"/>
  <c r="CF35" i="168"/>
  <c r="CF42" i="168" s="1"/>
  <c r="CF111" i="168" s="1"/>
  <c r="S36" i="91"/>
  <c r="S34" i="91"/>
  <c r="AO20" i="388"/>
  <c r="AO21" i="388" s="1"/>
  <c r="AM21" i="388"/>
  <c r="C44" i="73"/>
  <c r="DF43" i="91"/>
  <c r="DF35" i="91"/>
  <c r="DF42" i="91" s="1"/>
  <c r="AR34" i="91"/>
  <c r="AR36" i="91"/>
  <c r="AZ34" i="91"/>
  <c r="AZ36" i="91"/>
  <c r="K36" i="91"/>
  <c r="K34" i="91"/>
  <c r="O16" i="73"/>
  <c r="O18" i="73" s="1"/>
  <c r="N18" i="73"/>
  <c r="N26" i="73" s="1"/>
  <c r="N27" i="73" s="1"/>
  <c r="N28" i="73" s="1"/>
  <c r="N29" i="73" s="1"/>
  <c r="N32" i="73" s="1"/>
  <c r="N33" i="73" s="1"/>
  <c r="N34" i="73" s="1"/>
  <c r="N40" i="73" s="1"/>
  <c r="N43" i="73" s="1"/>
  <c r="H24" i="227"/>
  <c r="I51" i="248"/>
  <c r="C23" i="383"/>
  <c r="O36" i="1"/>
  <c r="C30" i="430" s="1"/>
  <c r="C30" i="415"/>
  <c r="S13" i="73"/>
  <c r="R15" i="73"/>
  <c r="AV28" i="9"/>
  <c r="I29" i="9" s="1"/>
  <c r="I28" i="9"/>
  <c r="I69" i="9" s="1"/>
  <c r="E86" i="9"/>
  <c r="D87" i="9"/>
  <c r="CT34" i="91"/>
  <c r="CT36" i="91"/>
  <c r="BP45" i="91"/>
  <c r="BP46" i="91"/>
  <c r="BR46" i="91" s="1"/>
  <c r="CZ36" i="91"/>
  <c r="CZ34" i="91"/>
  <c r="BX34" i="91"/>
  <c r="BX36" i="91"/>
  <c r="BH45" i="91"/>
  <c r="BH46" i="91"/>
  <c r="BJ46" i="91" s="1"/>
  <c r="O26" i="73"/>
  <c r="O27" i="73" s="1"/>
  <c r="O28" i="73" s="1"/>
  <c r="O29" i="73" s="1"/>
  <c r="O32" i="73" s="1"/>
  <c r="O33" i="73" s="1"/>
  <c r="O34" i="73" s="1"/>
  <c r="O40" i="73" s="1"/>
  <c r="N42" i="73" s="1"/>
  <c r="N44" i="73" s="1"/>
  <c r="E21" i="388"/>
  <c r="H51" i="248"/>
  <c r="C23" i="327"/>
  <c r="G24" i="227"/>
  <c r="AV21" i="91"/>
  <c r="AV27" i="91" s="1"/>
  <c r="AV28" i="91" s="1"/>
  <c r="AV29" i="91" s="1"/>
  <c r="AV30" i="91" s="1"/>
  <c r="AV33" i="91" s="1"/>
  <c r="AX20" i="91"/>
  <c r="AX21" i="91" s="1"/>
  <c r="AO20" i="389"/>
  <c r="AO21" i="389" s="1"/>
  <c r="AM21" i="389"/>
  <c r="E76" i="9"/>
  <c r="E70" i="9"/>
  <c r="E73" i="9" s="1"/>
  <c r="E90" i="9" s="1"/>
  <c r="B11" i="415"/>
  <c r="N4" i="247"/>
  <c r="B11" i="430" s="1"/>
  <c r="AV26" i="9"/>
  <c r="I26" i="9"/>
  <c r="J37" i="73"/>
  <c r="AJ39" i="91"/>
  <c r="H107" i="9"/>
  <c r="CN39" i="91"/>
  <c r="CJ111" i="168"/>
  <c r="CJ43" i="168"/>
  <c r="CJ44" i="168" s="1"/>
  <c r="G44" i="91"/>
  <c r="G112" i="91"/>
  <c r="AP20" i="91"/>
  <c r="AP21" i="91" s="1"/>
  <c r="AN21" i="91"/>
  <c r="AN27" i="91" s="1"/>
  <c r="AN28" i="91" s="1"/>
  <c r="AN29" i="91" s="1"/>
  <c r="AN30" i="91" s="1"/>
  <c r="AN33" i="91" s="1"/>
  <c r="O23" i="393"/>
  <c r="E20" i="168"/>
  <c r="G20" i="168" s="1"/>
  <c r="I20" i="168" s="1"/>
  <c r="I21" i="168" s="1"/>
  <c r="O16" i="91"/>
  <c r="O17" i="91" s="1"/>
  <c r="O19" i="91" s="1"/>
  <c r="O27" i="91" s="1"/>
  <c r="O28" i="91" s="1"/>
  <c r="O29" i="91" s="1"/>
  <c r="O30" i="91" s="1"/>
  <c r="O33" i="91" s="1"/>
  <c r="Q14" i="91"/>
  <c r="Q16" i="91" s="1"/>
  <c r="Q17" i="91" s="1"/>
  <c r="Q19" i="91" s="1"/>
  <c r="Q15" i="73"/>
  <c r="P16" i="73"/>
  <c r="BF40" i="91"/>
  <c r="BF41" i="91" s="1"/>
  <c r="BF42" i="91" s="1"/>
  <c r="BD41" i="91"/>
  <c r="DD52" i="91" s="1"/>
  <c r="E79" i="9"/>
  <c r="D80" i="9"/>
  <c r="AQ41" i="9"/>
  <c r="H34" i="9"/>
  <c r="AN40" i="91"/>
  <c r="J38" i="73"/>
  <c r="K38" i="73" s="1"/>
  <c r="G51" i="91"/>
  <c r="BD34" i="91"/>
  <c r="BD35" i="91" s="1"/>
  <c r="BD42" i="91" s="1"/>
  <c r="BD36" i="91"/>
  <c r="D16" i="325"/>
  <c r="T71" i="60"/>
  <c r="D11" i="391"/>
  <c r="F11" i="391" s="1"/>
  <c r="H11" i="391" s="1"/>
  <c r="J11" i="391" s="1"/>
  <c r="L11" i="391" s="1"/>
  <c r="N11" i="391" s="1"/>
  <c r="P11" i="391" s="1"/>
  <c r="C82" i="167"/>
  <c r="C55" i="350" s="1"/>
  <c r="AM36" i="167"/>
  <c r="V5" i="167"/>
  <c r="BB99" i="393"/>
  <c r="C26" i="425"/>
  <c r="E26" i="425" s="1"/>
  <c r="AW80" i="393"/>
  <c r="AW83" i="393" s="1"/>
  <c r="D29" i="408"/>
  <c r="J29" i="248" s="1"/>
  <c r="AZ36" i="167"/>
  <c r="C5" i="407"/>
  <c r="C79" i="393"/>
  <c r="E79" i="167"/>
  <c r="E80" i="167" s="1"/>
  <c r="BB25" i="167"/>
  <c r="BB25" i="393"/>
  <c r="BB79" i="167"/>
  <c r="BB85" i="167" s="1"/>
  <c r="I19" i="167"/>
  <c r="C6" i="426" s="1"/>
  <c r="E33" i="167"/>
  <c r="AJ25" i="393"/>
  <c r="E33" i="393"/>
  <c r="V5" i="393"/>
  <c r="BC36" i="167"/>
  <c r="Q23" i="184" s="1"/>
  <c r="H82" i="167"/>
  <c r="E13" i="168"/>
  <c r="G13" i="168" s="1"/>
  <c r="I13" i="168" s="1"/>
  <c r="BE36" i="393"/>
  <c r="BH13" i="168"/>
  <c r="BI13" i="168" s="1"/>
  <c r="BJ13" i="168" s="1"/>
  <c r="BK13" i="168" s="1"/>
  <c r="G30" i="2"/>
  <c r="D39" i="281"/>
  <c r="F39" i="248" s="1"/>
  <c r="F14" i="280"/>
  <c r="I19" i="393"/>
  <c r="H19" i="393"/>
  <c r="D18" i="393"/>
  <c r="E19" i="167"/>
  <c r="C6" i="364" s="1"/>
  <c r="D15" i="391"/>
  <c r="F15" i="391" s="1"/>
  <c r="H15" i="391" s="1"/>
  <c r="J15" i="391" s="1"/>
  <c r="L15" i="391" s="1"/>
  <c r="N15" i="391" s="1"/>
  <c r="P15" i="391" s="1"/>
  <c r="I79" i="393"/>
  <c r="I79" i="167"/>
  <c r="BH14" i="168"/>
  <c r="BI14" i="168" s="1"/>
  <c r="BJ14" i="168" s="1"/>
  <c r="BK14" i="168" s="1"/>
  <c r="K10" i="184"/>
  <c r="H36" i="167"/>
  <c r="C18" i="407" s="1"/>
  <c r="AW80" i="167"/>
  <c r="AW74" i="167" s="1"/>
  <c r="F45" i="410"/>
  <c r="C9" i="407" s="1"/>
  <c r="AJ80" i="393"/>
  <c r="D29" i="424"/>
  <c r="K29" i="248" s="1"/>
  <c r="I33" i="167"/>
  <c r="I36" i="167"/>
  <c r="C18" i="426" s="1"/>
  <c r="C5" i="364"/>
  <c r="AJ25" i="167"/>
  <c r="AJ79" i="393"/>
  <c r="AJ85" i="393" s="1"/>
  <c r="AM36" i="393"/>
  <c r="E36" i="393"/>
  <c r="BI20" i="168"/>
  <c r="BJ20" i="168" s="1"/>
  <c r="BK20" i="168" s="1"/>
  <c r="AC13" i="168"/>
  <c r="AE13" i="168" s="1"/>
  <c r="AG13" i="168" s="1"/>
  <c r="G72" i="348"/>
  <c r="BB24" i="167"/>
  <c r="BB19" i="167" s="1"/>
  <c r="BB80" i="393"/>
  <c r="G110" i="1"/>
  <c r="G167" i="1" s="1"/>
  <c r="C10" i="306" s="1"/>
  <c r="D13" i="391"/>
  <c r="F13" i="391" s="1"/>
  <c r="H13" i="391" s="1"/>
  <c r="J13" i="391" s="1"/>
  <c r="L13" i="391" s="1"/>
  <c r="N13" i="391" s="1"/>
  <c r="P13" i="391" s="1"/>
  <c r="F14" i="398"/>
  <c r="I10" i="184"/>
  <c r="G112" i="1"/>
  <c r="E58" i="393" s="1"/>
  <c r="E59" i="393" s="1"/>
  <c r="AJ20" i="393" s="1"/>
  <c r="AJ79" i="167"/>
  <c r="AJ74" i="167" s="1"/>
  <c r="C162" i="1"/>
  <c r="E76" i="167"/>
  <c r="AB85" i="167"/>
  <c r="M45" i="268" s="1"/>
  <c r="D46" i="350" s="1"/>
  <c r="E46" i="350" s="1"/>
  <c r="I82" i="167"/>
  <c r="E79" i="393"/>
  <c r="E7" i="356"/>
  <c r="M21" i="168"/>
  <c r="AB99" i="167"/>
  <c r="T4" i="167"/>
  <c r="U4" i="167" s="1"/>
  <c r="V4" i="167" s="1"/>
  <c r="DZ21" i="168"/>
  <c r="K21" i="389"/>
  <c r="CV17" i="168"/>
  <c r="CV19" i="168" s="1"/>
  <c r="G82" i="167"/>
  <c r="EB21" i="168"/>
  <c r="D9" i="361"/>
  <c r="E9" i="361" s="1"/>
  <c r="C9" i="284"/>
  <c r="E82" i="393"/>
  <c r="O20" i="389"/>
  <c r="O21" i="389" s="1"/>
  <c r="E11" i="391"/>
  <c r="G11" i="391" s="1"/>
  <c r="I11" i="391" s="1"/>
  <c r="K11" i="391" s="1"/>
  <c r="M11" i="391" s="1"/>
  <c r="O11" i="391" s="1"/>
  <c r="Q11" i="391" s="1"/>
  <c r="DR21" i="168"/>
  <c r="CL17" i="168"/>
  <c r="CL19" i="168" s="1"/>
  <c r="CL27" i="168" s="1"/>
  <c r="CL28" i="168" s="1"/>
  <c r="CL29" i="168" s="1"/>
  <c r="CL30" i="168" s="1"/>
  <c r="CL33" i="168" s="1"/>
  <c r="CL34" i="168" s="1"/>
  <c r="C11" i="360"/>
  <c r="D74" i="167" s="1"/>
  <c r="D75" i="167" s="1"/>
  <c r="D76" i="167" s="1"/>
  <c r="G75" i="167"/>
  <c r="G76" i="167" s="1"/>
  <c r="E20" i="352"/>
  <c r="C21" i="352"/>
  <c r="BG21" i="388"/>
  <c r="BI20" i="388"/>
  <c r="E15" i="391"/>
  <c r="G15" i="391" s="1"/>
  <c r="I15" i="391" s="1"/>
  <c r="K15" i="391" s="1"/>
  <c r="M15" i="391" s="1"/>
  <c r="O15" i="391" s="1"/>
  <c r="Q15" i="391" s="1"/>
  <c r="CH14" i="168"/>
  <c r="I110" i="1"/>
  <c r="F18" i="393" s="1"/>
  <c r="AW28" i="393"/>
  <c r="D14" i="391"/>
  <c r="F14" i="391" s="1"/>
  <c r="H14" i="391" s="1"/>
  <c r="J14" i="391" s="1"/>
  <c r="L14" i="391" s="1"/>
  <c r="N14" i="391" s="1"/>
  <c r="P14" i="391" s="1"/>
  <c r="E14" i="391"/>
  <c r="G14" i="391" s="1"/>
  <c r="I14" i="391" s="1"/>
  <c r="K14" i="391" s="1"/>
  <c r="M14" i="391" s="1"/>
  <c r="O14" i="391" s="1"/>
  <c r="Q14" i="391" s="1"/>
  <c r="AJ74" i="393"/>
  <c r="AJ75" i="393" s="1"/>
  <c r="AW99" i="167"/>
  <c r="AR19" i="167"/>
  <c r="D15" i="377" s="1"/>
  <c r="CF20" i="168"/>
  <c r="CF21" i="168" s="1"/>
  <c r="DB21" i="168"/>
  <c r="DH20" i="168"/>
  <c r="DH21" i="168" s="1"/>
  <c r="C161" i="1"/>
  <c r="C11" i="167" s="1"/>
  <c r="H75" i="167"/>
  <c r="H80" i="167" s="1"/>
  <c r="F14" i="302"/>
  <c r="AF83" i="393"/>
  <c r="E12" i="391"/>
  <c r="G12" i="391" s="1"/>
  <c r="AR79" i="167"/>
  <c r="AR74" i="167" s="1"/>
  <c r="BZ14" i="168"/>
  <c r="BZ16" i="168" s="1"/>
  <c r="BZ17" i="168" s="1"/>
  <c r="BZ19" i="168" s="1"/>
  <c r="F65" i="393"/>
  <c r="CT16" i="168"/>
  <c r="CT17" i="168" s="1"/>
  <c r="CT19" i="168" s="1"/>
  <c r="CT27" i="168" s="1"/>
  <c r="CT28" i="168" s="1"/>
  <c r="CT29" i="168" s="1"/>
  <c r="CT30" i="168" s="1"/>
  <c r="CT33" i="168" s="1"/>
  <c r="CT36" i="168" s="1"/>
  <c r="E13" i="391"/>
  <c r="G13" i="391" s="1"/>
  <c r="I13" i="391" s="1"/>
  <c r="K13" i="391" s="1"/>
  <c r="M13" i="391" s="1"/>
  <c r="O13" i="391" s="1"/>
  <c r="Q13" i="391" s="1"/>
  <c r="AN79" i="393"/>
  <c r="AN74" i="393" s="1"/>
  <c r="G82" i="393"/>
  <c r="M67" i="60"/>
  <c r="M69" i="60" s="1"/>
  <c r="M71" i="60" s="1"/>
  <c r="M73" i="60" s="1"/>
  <c r="M20" i="352"/>
  <c r="M21" i="352" s="1"/>
  <c r="AN83" i="393"/>
  <c r="E65" i="393"/>
  <c r="G81" i="167"/>
  <c r="G88" i="167" s="1"/>
  <c r="AF99" i="167"/>
  <c r="D65" i="393"/>
  <c r="AJ99" i="167"/>
  <c r="D9" i="363"/>
  <c r="E9" i="363" s="1"/>
  <c r="C75" i="167"/>
  <c r="C76" i="167" s="1"/>
  <c r="AN28" i="393"/>
  <c r="BX17" i="168"/>
  <c r="BX19" i="168" s="1"/>
  <c r="BV16" i="168"/>
  <c r="BV17" i="168" s="1"/>
  <c r="BV19" i="168" s="1"/>
  <c r="BV27" i="168" s="1"/>
  <c r="BV28" i="168" s="1"/>
  <c r="BV29" i="168" s="1"/>
  <c r="BV30" i="168" s="1"/>
  <c r="BV33" i="168" s="1"/>
  <c r="X10" i="184"/>
  <c r="Y8" i="184"/>
  <c r="E111" i="1"/>
  <c r="E162" i="1" s="1"/>
  <c r="C168" i="1"/>
  <c r="C11" i="272" s="1"/>
  <c r="U13" i="168"/>
  <c r="W13" i="168" s="1"/>
  <c r="C26" i="303"/>
  <c r="E26" i="303" s="1"/>
  <c r="CP54" i="168"/>
  <c r="C26" i="383"/>
  <c r="E26" i="383" s="1"/>
  <c r="AO13" i="168"/>
  <c r="AF30" i="167"/>
  <c r="G80" i="184" s="1"/>
  <c r="AF30" i="393"/>
  <c r="M45" i="280" s="1"/>
  <c r="D13" i="360" s="1"/>
  <c r="T6" i="393"/>
  <c r="T8" i="393" s="1"/>
  <c r="BS20" i="388"/>
  <c r="BS21" i="388" s="1"/>
  <c r="AR85" i="393"/>
  <c r="ED21" i="168"/>
  <c r="G21" i="389"/>
  <c r="C26" i="411"/>
  <c r="E26" i="411" s="1"/>
  <c r="D9" i="372"/>
  <c r="E9" i="372" s="1"/>
  <c r="CD16" i="168"/>
  <c r="CD17" i="168" s="1"/>
  <c r="CD19" i="168" s="1"/>
  <c r="CD27" i="168" s="1"/>
  <c r="CD28" i="168" s="1"/>
  <c r="CD29" i="168" s="1"/>
  <c r="CD30" i="168" s="1"/>
  <c r="CD33" i="168" s="1"/>
  <c r="CD36" i="168" s="1"/>
  <c r="D20" i="393"/>
  <c r="C102" i="411"/>
  <c r="E102" i="411" s="1"/>
  <c r="CX21" i="168"/>
  <c r="AF74" i="393"/>
  <c r="AF75" i="393" s="1"/>
  <c r="AF77" i="393" s="1"/>
  <c r="E161" i="1"/>
  <c r="E165" i="1"/>
  <c r="AJ19" i="393"/>
  <c r="F63" i="50"/>
  <c r="F77" i="50" s="1"/>
  <c r="CR48" i="168"/>
  <c r="CR54" i="168" s="1"/>
  <c r="E164" i="1"/>
  <c r="AF28" i="393"/>
  <c r="G109" i="1"/>
  <c r="C9" i="306" s="1"/>
  <c r="J20" i="167"/>
  <c r="J22" i="167" s="1"/>
  <c r="G51" i="3"/>
  <c r="D3" i="379"/>
  <c r="D3" i="321"/>
  <c r="D3" i="431"/>
  <c r="D3" i="416"/>
  <c r="BV36" i="168"/>
  <c r="BV34" i="168"/>
  <c r="BV35" i="168" s="1"/>
  <c r="BV42" i="168" s="1"/>
  <c r="AB74" i="393"/>
  <c r="AB75" i="393" s="1"/>
  <c r="AB77" i="393" s="1"/>
  <c r="BB74" i="393"/>
  <c r="O8" i="184"/>
  <c r="C11" i="417" s="1"/>
  <c r="AJ19" i="167"/>
  <c r="D15" i="306" s="1"/>
  <c r="AB74" i="167"/>
  <c r="AF85" i="167"/>
  <c r="AN30" i="393"/>
  <c r="AO69" i="393" s="1"/>
  <c r="AO70" i="393" s="1"/>
  <c r="AF74" i="167"/>
  <c r="AF75" i="167" s="1"/>
  <c r="AF77" i="167" s="1"/>
  <c r="AN19" i="167"/>
  <c r="D15" i="319" s="1"/>
  <c r="H63" i="50"/>
  <c r="H77" i="50" s="1"/>
  <c r="AF19" i="393"/>
  <c r="AF20" i="393" s="1"/>
  <c r="AF22" i="393" s="1"/>
  <c r="BB30" i="167"/>
  <c r="D5" i="426" s="1"/>
  <c r="E5" i="426" s="1"/>
  <c r="AB28" i="393"/>
  <c r="D18" i="357" s="1"/>
  <c r="R60" i="60"/>
  <c r="R67" i="60" s="1"/>
  <c r="P67" i="60"/>
  <c r="AB83" i="167"/>
  <c r="D55" i="350" s="1"/>
  <c r="E55" i="350" s="1"/>
  <c r="CB14" i="168"/>
  <c r="CB16" i="168" s="1"/>
  <c r="CB17" i="168" s="1"/>
  <c r="CB19" i="168" s="1"/>
  <c r="E17" i="278"/>
  <c r="AF83" i="167"/>
  <c r="AW19" i="393"/>
  <c r="AW19" i="167"/>
  <c r="C41" i="361"/>
  <c r="AF19" i="167"/>
  <c r="W19" i="167"/>
  <c r="W20" i="167" s="1"/>
  <c r="BB30" i="393"/>
  <c r="BB19" i="393"/>
  <c r="Q67" i="60"/>
  <c r="Q69" i="60" s="1"/>
  <c r="Q71" i="60" s="1"/>
  <c r="Q73" i="60" s="1"/>
  <c r="S60" i="60"/>
  <c r="S67" i="60" s="1"/>
  <c r="S69" i="60" s="1"/>
  <c r="S71" i="60" s="1"/>
  <c r="S73" i="60" s="1"/>
  <c r="AB19" i="393"/>
  <c r="D6" i="357" s="1"/>
  <c r="AN19" i="393"/>
  <c r="AN85" i="167"/>
  <c r="AJ30" i="167"/>
  <c r="I80" i="184" s="1"/>
  <c r="BZ54" i="168"/>
  <c r="AR28" i="167"/>
  <c r="D18" i="384" s="1"/>
  <c r="E18" i="384" s="1"/>
  <c r="AN83" i="167"/>
  <c r="U6" i="393"/>
  <c r="U8" i="393" s="1"/>
  <c r="BB28" i="393"/>
  <c r="BB28" i="167"/>
  <c r="D18" i="426" s="1"/>
  <c r="AR83" i="393"/>
  <c r="CN21" i="168"/>
  <c r="AF28" i="167"/>
  <c r="D18" i="359" s="1"/>
  <c r="E18" i="359" s="1"/>
  <c r="AW30" i="167"/>
  <c r="AX69" i="167" s="1"/>
  <c r="AX70" i="167" s="1"/>
  <c r="AW83" i="167"/>
  <c r="AR30" i="393"/>
  <c r="AS69" i="393" s="1"/>
  <c r="AS70" i="393" s="1"/>
  <c r="C96" i="269"/>
  <c r="E96" i="269" s="1"/>
  <c r="G15" i="184"/>
  <c r="C18" i="313" s="1"/>
  <c r="AW28" i="167"/>
  <c r="D18" i="407" s="1"/>
  <c r="E18" i="407" s="1"/>
  <c r="CH47" i="168"/>
  <c r="C20" i="269"/>
  <c r="E20" i="269" s="1"/>
  <c r="X48" i="393"/>
  <c r="V30" i="393" s="1"/>
  <c r="DX20" i="168"/>
  <c r="DX21" i="168" s="1"/>
  <c r="F83" i="167"/>
  <c r="AR30" i="167"/>
  <c r="H45" i="369" s="1"/>
  <c r="C13" i="372" s="1"/>
  <c r="AB83" i="393"/>
  <c r="AB85" i="393"/>
  <c r="O45" i="268" s="1"/>
  <c r="D46" i="357" s="1"/>
  <c r="E46" i="357" s="1"/>
  <c r="E81" i="167"/>
  <c r="E88" i="167" s="1"/>
  <c r="CN16" i="168"/>
  <c r="CN17" i="168" s="1"/>
  <c r="CN19" i="168" s="1"/>
  <c r="CP14" i="168"/>
  <c r="S6" i="393"/>
  <c r="S8" i="393" s="1"/>
  <c r="D55" i="357"/>
  <c r="E84" i="167"/>
  <c r="E89" i="167" s="1"/>
  <c r="C20" i="393"/>
  <c r="C22" i="393" s="1"/>
  <c r="AN28" i="167"/>
  <c r="D18" i="368" s="1"/>
  <c r="E18" i="368" s="1"/>
  <c r="D63" i="267"/>
  <c r="E63" i="248" s="1"/>
  <c r="AB28" i="167"/>
  <c r="D18" i="350" s="1"/>
  <c r="E18" i="350" s="1"/>
  <c r="E83" i="167"/>
  <c r="AN30" i="167"/>
  <c r="AO69" i="167" s="1"/>
  <c r="AO70" i="167" s="1"/>
  <c r="AB30" i="393"/>
  <c r="AC69" i="393" s="1"/>
  <c r="AC70" i="393" s="1"/>
  <c r="Y16" i="184"/>
  <c r="CH20" i="168"/>
  <c r="F76" i="167"/>
  <c r="BZ20" i="168"/>
  <c r="CB20" i="168" s="1"/>
  <c r="CB21" i="168" s="1"/>
  <c r="C81" i="167"/>
  <c r="C88" i="167" s="1"/>
  <c r="AJ83" i="167"/>
  <c r="F84" i="167"/>
  <c r="F89" i="167" s="1"/>
  <c r="I77" i="268"/>
  <c r="I16" i="184"/>
  <c r="C19" i="314" s="1"/>
  <c r="S16" i="184"/>
  <c r="Z16" i="184"/>
  <c r="F81" i="167"/>
  <c r="F88" i="167" s="1"/>
  <c r="AB30" i="167"/>
  <c r="AC69" i="167" s="1"/>
  <c r="AC70" i="167" s="1"/>
  <c r="I74" i="167"/>
  <c r="I75" i="167" s="1"/>
  <c r="I76" i="167" s="1"/>
  <c r="BC90" i="167"/>
  <c r="BC91" i="167" s="1"/>
  <c r="AJ28" i="393"/>
  <c r="AW30" i="393"/>
  <c r="M45" i="422" s="1"/>
  <c r="D13" i="423" s="1"/>
  <c r="AR28" i="393"/>
  <c r="Y48" i="167"/>
  <c r="W30" i="167" s="1"/>
  <c r="AR83" i="167"/>
  <c r="K20" i="167"/>
  <c r="K22" i="167" s="1"/>
  <c r="AJ30" i="393"/>
  <c r="AK69" i="393" s="1"/>
  <c r="AK70" i="393" s="1"/>
  <c r="E15" i="184"/>
  <c r="C18" i="275" s="1"/>
  <c r="X15" i="184"/>
  <c r="DN20" i="168"/>
  <c r="DL21" i="168"/>
  <c r="H72" i="268"/>
  <c r="M10" i="184"/>
  <c r="AF85" i="393"/>
  <c r="Y46" i="167"/>
  <c r="W28" i="167" s="1"/>
  <c r="X46" i="393"/>
  <c r="V28" i="393" s="1"/>
  <c r="V24" i="393"/>
  <c r="V19" i="393" s="1"/>
  <c r="V20" i="393" s="1"/>
  <c r="V22" i="393" s="1"/>
  <c r="AJ28" i="167"/>
  <c r="D18" i="364" s="1"/>
  <c r="E18" i="364" s="1"/>
  <c r="C18" i="357"/>
  <c r="C55" i="357"/>
  <c r="W14" i="388"/>
  <c r="DN14" i="168"/>
  <c r="D16" i="278"/>
  <c r="AU14" i="352"/>
  <c r="O14" i="389"/>
  <c r="DF14" i="168"/>
  <c r="Q13" i="168"/>
  <c r="C102" i="291"/>
  <c r="E102" i="291" s="1"/>
  <c r="BE13" i="168"/>
  <c r="C102" i="425"/>
  <c r="E102" i="425" s="1"/>
  <c r="I14" i="389"/>
  <c r="AU14" i="389"/>
  <c r="W14" i="352"/>
  <c r="Q14" i="352"/>
  <c r="DV14" i="168"/>
  <c r="O14" i="168"/>
  <c r="AE14" i="389"/>
  <c r="F28" i="410"/>
  <c r="O71" i="1"/>
  <c r="H28" i="410"/>
  <c r="D19" i="378"/>
  <c r="H25" i="227" s="1"/>
  <c r="M28" i="369"/>
  <c r="E21" i="317"/>
  <c r="H73" i="60"/>
  <c r="D18" i="278" s="1"/>
  <c r="D17" i="278"/>
  <c r="D27" i="415"/>
  <c r="M34" i="410"/>
  <c r="H34" i="422"/>
  <c r="F34" i="422"/>
  <c r="D52" i="316"/>
  <c r="M43" i="315"/>
  <c r="F52" i="248"/>
  <c r="E22" i="227"/>
  <c r="G64" i="393"/>
  <c r="G65" i="393" s="1"/>
  <c r="M66" i="1"/>
  <c r="F43" i="369"/>
  <c r="H43" i="369"/>
  <c r="G64" i="167"/>
  <c r="G65" i="167" s="1"/>
  <c r="M16" i="184" s="1"/>
  <c r="C19" i="380" s="1"/>
  <c r="D20" i="317"/>
  <c r="F9" i="315"/>
  <c r="D13" i="316" s="1"/>
  <c r="H13" i="248" s="1"/>
  <c r="C13" i="320"/>
  <c r="G7" i="227"/>
  <c r="G9" i="227" s="1"/>
  <c r="F10" i="167"/>
  <c r="D12" i="316" s="1"/>
  <c r="H12" i="248" s="1"/>
  <c r="F65" i="369"/>
  <c r="D22" i="371"/>
  <c r="I22" i="248" s="1"/>
  <c r="M44" i="1"/>
  <c r="F37" i="369"/>
  <c r="M38" i="1"/>
  <c r="H37" i="369"/>
  <c r="M37" i="369" s="1"/>
  <c r="I76" i="369"/>
  <c r="H71" i="369"/>
  <c r="D68" i="371"/>
  <c r="D57" i="371"/>
  <c r="I57" i="248" s="1"/>
  <c r="I67" i="369"/>
  <c r="D21" i="381"/>
  <c r="D11" i="375"/>
  <c r="E11" i="375" s="1"/>
  <c r="M21" i="1"/>
  <c r="G8" i="393"/>
  <c r="G8" i="167"/>
  <c r="G9" i="393"/>
  <c r="G9" i="167"/>
  <c r="D53" i="408"/>
  <c r="D34" i="415"/>
  <c r="M40" i="410"/>
  <c r="F40" i="422"/>
  <c r="H40" i="422"/>
  <c r="C34" i="430"/>
  <c r="D16" i="424"/>
  <c r="K16" i="248" s="1"/>
  <c r="H65" i="315"/>
  <c r="F69" i="315"/>
  <c r="F76" i="410"/>
  <c r="F66" i="410"/>
  <c r="H66" i="410" s="1"/>
  <c r="F67" i="410"/>
  <c r="H67" i="410" s="1"/>
  <c r="H76" i="410"/>
  <c r="F8" i="369"/>
  <c r="D11" i="371" s="1"/>
  <c r="H32" i="369"/>
  <c r="M32" i="369" s="1"/>
  <c r="F32" i="369"/>
  <c r="M35" i="1"/>
  <c r="Y58" i="60"/>
  <c r="Y69" i="60" s="1"/>
  <c r="Y71" i="60" s="1"/>
  <c r="Y73" i="60" s="1"/>
  <c r="D12" i="374"/>
  <c r="E12" i="374" s="1"/>
  <c r="Z58" i="60"/>
  <c r="X69" i="60"/>
  <c r="V69" i="60"/>
  <c r="W58" i="60"/>
  <c r="W69" i="60" s="1"/>
  <c r="W71" i="60" s="1"/>
  <c r="W73" i="60" s="1"/>
  <c r="D18" i="371"/>
  <c r="I18" i="248" s="1"/>
  <c r="H11" i="248"/>
  <c r="F51" i="248"/>
  <c r="E24" i="227"/>
  <c r="C23" i="291"/>
  <c r="AB58" i="60"/>
  <c r="Q37" i="2"/>
  <c r="R37" i="2" s="1"/>
  <c r="M157" i="1"/>
  <c r="I6" i="227"/>
  <c r="D17" i="419"/>
  <c r="O17" i="1"/>
  <c r="H6" i="393"/>
  <c r="H7" i="393" s="1"/>
  <c r="H6" i="167"/>
  <c r="H7" i="167" s="1"/>
  <c r="C17" i="415"/>
  <c r="O28" i="1"/>
  <c r="D22" i="412"/>
  <c r="F71" i="369"/>
  <c r="AI18" i="352"/>
  <c r="AI18" i="389"/>
  <c r="AI18" i="168"/>
  <c r="AK18" i="168" s="1"/>
  <c r="AM18" i="168" s="1"/>
  <c r="AO18" i="168" s="1"/>
  <c r="AI18" i="388"/>
  <c r="M24" i="1"/>
  <c r="D15" i="375"/>
  <c r="E15" i="375" s="1"/>
  <c r="M18" i="388"/>
  <c r="D18" i="281"/>
  <c r="F18" i="248" s="1"/>
  <c r="E11" i="248"/>
  <c r="M18" i="352"/>
  <c r="M18" i="168"/>
  <c r="D57" i="281"/>
  <c r="F57" i="248" s="1"/>
  <c r="H71" i="280"/>
  <c r="D68" i="281"/>
  <c r="M76" i="280"/>
  <c r="AO14" i="388"/>
  <c r="H76" i="167"/>
  <c r="H83" i="167"/>
  <c r="Y14" i="168"/>
  <c r="AO14" i="168"/>
  <c r="CR20" i="168"/>
  <c r="CR21" i="168" s="1"/>
  <c r="CP21" i="168"/>
  <c r="Y14" i="389"/>
  <c r="K77" i="268"/>
  <c r="K72" i="268" s="1"/>
  <c r="J72" i="268"/>
  <c r="AO14" i="352"/>
  <c r="D15" i="429"/>
  <c r="D6" i="426"/>
  <c r="J46" i="227" s="1"/>
  <c r="J32" i="227" s="1"/>
  <c r="M18" i="184"/>
  <c r="C20" i="322"/>
  <c r="CZ14" i="168"/>
  <c r="CZ16" i="168" s="1"/>
  <c r="CZ17" i="168" s="1"/>
  <c r="CZ19" i="168" s="1"/>
  <c r="CX16" i="168"/>
  <c r="CX17" i="168" s="1"/>
  <c r="CX19" i="168" s="1"/>
  <c r="BV43" i="168"/>
  <c r="O39" i="1"/>
  <c r="C36" i="430" s="1"/>
  <c r="C36" i="415"/>
  <c r="C31" i="415"/>
  <c r="O37" i="1"/>
  <c r="C31" i="430" s="1"/>
  <c r="O33" i="1"/>
  <c r="C23" i="415"/>
  <c r="D15" i="408"/>
  <c r="J15" i="248" s="1"/>
  <c r="F30" i="410"/>
  <c r="H30" i="410"/>
  <c r="M30" i="369"/>
  <c r="D23" i="378"/>
  <c r="F10" i="369"/>
  <c r="D14" i="371" s="1"/>
  <c r="I14" i="248" s="1"/>
  <c r="M32" i="1"/>
  <c r="C22" i="378"/>
  <c r="H8" i="227"/>
  <c r="G10" i="393"/>
  <c r="G57" i="393" s="1"/>
  <c r="C14" i="415"/>
  <c r="D23" i="412"/>
  <c r="O31" i="1"/>
  <c r="F15" i="398"/>
  <c r="D20" i="167"/>
  <c r="D22" i="167" s="1"/>
  <c r="D40" i="281"/>
  <c r="F40" i="248" s="1"/>
  <c r="F15" i="280"/>
  <c r="V6" i="167"/>
  <c r="V8" i="167" s="1"/>
  <c r="D22" i="287"/>
  <c r="M66" i="280"/>
  <c r="H69" i="280"/>
  <c r="M69" i="280" s="1"/>
  <c r="Y18" i="168"/>
  <c r="D22" i="309"/>
  <c r="H69" i="302"/>
  <c r="M69" i="302" s="1"/>
  <c r="M66" i="302"/>
  <c r="W18" i="352"/>
  <c r="AB20" i="167"/>
  <c r="AB22" i="167" s="1"/>
  <c r="T6" i="167"/>
  <c r="T8" i="167" s="1"/>
  <c r="U6" i="167"/>
  <c r="D40" i="267"/>
  <c r="E40" i="248" s="1"/>
  <c r="F15" i="348"/>
  <c r="D40" i="358"/>
  <c r="C20" i="167"/>
  <c r="C22" i="167" s="1"/>
  <c r="C50" i="167" s="1"/>
  <c r="D18" i="272" s="1"/>
  <c r="F15" i="268"/>
  <c r="J2" i="227"/>
  <c r="K2" i="248"/>
  <c r="DN45" i="91"/>
  <c r="DN47" i="91" s="1"/>
  <c r="DN48" i="91" s="1"/>
  <c r="DN54" i="91" s="1"/>
  <c r="DL47" i="91"/>
  <c r="DL48" i="91" s="1"/>
  <c r="DL54" i="91" s="1"/>
  <c r="W121" i="9"/>
  <c r="W124" i="9" s="1"/>
  <c r="W126" i="9" s="1"/>
  <c r="J95" i="9"/>
  <c r="BB83" i="393"/>
  <c r="BB85" i="393"/>
  <c r="Q19" i="73"/>
  <c r="P20" i="73"/>
  <c r="C106" i="269"/>
  <c r="E106" i="269" s="1"/>
  <c r="D42" i="350"/>
  <c r="E42" i="350" s="1"/>
  <c r="I14" i="352"/>
  <c r="BE13" i="389"/>
  <c r="BC14" i="389"/>
  <c r="J77" i="9"/>
  <c r="J80" i="9" s="1"/>
  <c r="J83" i="9"/>
  <c r="J84" i="9" s="1"/>
  <c r="J87" i="9" s="1"/>
  <c r="D16" i="391"/>
  <c r="F16" i="391" s="1"/>
  <c r="H16" i="391" s="1"/>
  <c r="J16" i="391" s="1"/>
  <c r="L16" i="391" s="1"/>
  <c r="N16" i="391" s="1"/>
  <c r="P16" i="391" s="1"/>
  <c r="B17" i="391"/>
  <c r="E16" i="391"/>
  <c r="G16" i="391" s="1"/>
  <c r="I16" i="391" s="1"/>
  <c r="K16" i="391" s="1"/>
  <c r="M16" i="391" s="1"/>
  <c r="O16" i="391" s="1"/>
  <c r="Q16" i="391" s="1"/>
  <c r="D16" i="289"/>
  <c r="L71" i="60"/>
  <c r="J24" i="227"/>
  <c r="K51" i="248"/>
  <c r="C23" i="425"/>
  <c r="N71" i="60"/>
  <c r="E16" i="289"/>
  <c r="D5" i="359"/>
  <c r="E5" i="359" s="1"/>
  <c r="AG69" i="167"/>
  <c r="AG70" i="167" s="1"/>
  <c r="H45" i="280"/>
  <c r="Q20" i="168"/>
  <c r="Q21" i="168" s="1"/>
  <c r="O21" i="168"/>
  <c r="C106" i="291"/>
  <c r="E106" i="291" s="1"/>
  <c r="BS14" i="388"/>
  <c r="CH16" i="168"/>
  <c r="CH17" i="168" s="1"/>
  <c r="CH19" i="168" s="1"/>
  <c r="CJ14" i="168"/>
  <c r="CJ16" i="168" s="1"/>
  <c r="CJ17" i="168" s="1"/>
  <c r="CJ19" i="168" s="1"/>
  <c r="BL43" i="91"/>
  <c r="DJ53" i="91"/>
  <c r="DJ54" i="91" s="1"/>
  <c r="BL111" i="91"/>
  <c r="BC14" i="352"/>
  <c r="AO13" i="352"/>
  <c r="AG69" i="393"/>
  <c r="AG70" i="393" s="1"/>
  <c r="AJ35" i="91"/>
  <c r="AJ43" i="91"/>
  <c r="G21" i="388"/>
  <c r="I20" i="388"/>
  <c r="I21" i="388" s="1"/>
  <c r="CN35" i="91"/>
  <c r="CN43" i="91"/>
  <c r="E2" i="269"/>
  <c r="E2" i="291" s="1"/>
  <c r="E2" i="303" s="1"/>
  <c r="E2" i="327" s="1"/>
  <c r="E2" i="383" s="1"/>
  <c r="E2" i="411" s="1"/>
  <c r="C1" i="376"/>
  <c r="C1" i="428"/>
  <c r="C1" i="318"/>
  <c r="D1" i="377" s="1"/>
  <c r="BE14" i="168"/>
  <c r="K70" i="9"/>
  <c r="K73" i="9" s="1"/>
  <c r="K90" i="9" s="1"/>
  <c r="K76" i="9"/>
  <c r="E20" i="393"/>
  <c r="C112" i="91"/>
  <c r="C44" i="91"/>
  <c r="K22" i="393"/>
  <c r="I12" i="391"/>
  <c r="O21" i="388"/>
  <c r="Q20" i="388"/>
  <c r="Q21" i="388" s="1"/>
  <c r="C2" i="322"/>
  <c r="C2" i="432"/>
  <c r="C2" i="380"/>
  <c r="C2" i="417"/>
  <c r="W111" i="91"/>
  <c r="W43" i="91"/>
  <c r="BT43" i="91"/>
  <c r="BT111" i="91"/>
  <c r="DP53" i="91"/>
  <c r="DP54" i="91" s="1"/>
  <c r="C111" i="91"/>
  <c r="C51" i="91" s="1"/>
  <c r="C52" i="91"/>
  <c r="BX44" i="168"/>
  <c r="L95" i="9"/>
  <c r="Y121" i="9"/>
  <c r="Y124" i="9" s="1"/>
  <c r="Y126" i="9" s="1"/>
  <c r="D22" i="418"/>
  <c r="I66" i="410"/>
  <c r="D22" i="393"/>
  <c r="L77" i="9"/>
  <c r="L80" i="9" s="1"/>
  <c r="L83" i="9"/>
  <c r="L84" i="9" s="1"/>
  <c r="L87" i="9" s="1"/>
  <c r="D1" i="319"/>
  <c r="D1" i="414"/>
  <c r="EF13" i="168"/>
  <c r="AW14" i="168"/>
  <c r="J22" i="393"/>
  <c r="N95" i="9"/>
  <c r="H114" i="9"/>
  <c r="H111" i="9"/>
  <c r="Q16" i="73" l="1"/>
  <c r="Q18" i="73" s="1"/>
  <c r="P18" i="73"/>
  <c r="AL39" i="91"/>
  <c r="AL41" i="91" s="1"/>
  <c r="AL42" i="91" s="1"/>
  <c r="AL111" i="91" s="1"/>
  <c r="AL51" i="91" s="1"/>
  <c r="AJ41" i="91"/>
  <c r="BX43" i="91"/>
  <c r="CD43" i="91"/>
  <c r="BX35" i="91"/>
  <c r="BR45" i="91"/>
  <c r="BR47" i="91" s="1"/>
  <c r="BP47" i="91"/>
  <c r="K43" i="91"/>
  <c r="K35" i="91"/>
  <c r="K42" i="91" s="1"/>
  <c r="G21" i="168"/>
  <c r="BB83" i="167"/>
  <c r="BB84" i="167" s="1"/>
  <c r="D84" i="167"/>
  <c r="D89" i="167" s="1"/>
  <c r="E18" i="167"/>
  <c r="F48" i="227" s="1"/>
  <c r="AN41" i="91"/>
  <c r="AP40" i="91"/>
  <c r="AP41" i="91" s="1"/>
  <c r="AP42" i="91" s="1"/>
  <c r="K37" i="73"/>
  <c r="J39" i="73"/>
  <c r="C99" i="327"/>
  <c r="E99" i="327" s="1"/>
  <c r="E23" i="327"/>
  <c r="CZ43" i="91"/>
  <c r="CZ35" i="91"/>
  <c r="CZ42" i="91" s="1"/>
  <c r="I76" i="9"/>
  <c r="I70" i="9"/>
  <c r="I73" i="9" s="1"/>
  <c r="I90" i="9" s="1"/>
  <c r="AR35" i="91"/>
  <c r="AR42" i="91" s="1"/>
  <c r="AR43" i="91"/>
  <c r="CJ47" i="168"/>
  <c r="I109" i="1"/>
  <c r="O20" i="352"/>
  <c r="Q20" i="352" s="1"/>
  <c r="Q21" i="352" s="1"/>
  <c r="AW85" i="167"/>
  <c r="F14" i="400"/>
  <c r="BD111" i="91"/>
  <c r="BD43" i="91"/>
  <c r="CP39" i="91"/>
  <c r="CP41" i="91" s="1"/>
  <c r="CP42" i="91" s="1"/>
  <c r="CN41" i="91"/>
  <c r="E95" i="9"/>
  <c r="T121" i="9"/>
  <c r="T124" i="9" s="1"/>
  <c r="T126" i="9" s="1"/>
  <c r="BJ45" i="91"/>
  <c r="BJ47" i="91" s="1"/>
  <c r="BH47" i="91"/>
  <c r="CT43" i="91"/>
  <c r="CT35" i="91"/>
  <c r="CT42" i="91" s="1"/>
  <c r="DF111" i="91"/>
  <c r="DF51" i="91" s="1"/>
  <c r="DH111" i="91"/>
  <c r="DH51" i="91" s="1"/>
  <c r="DF52" i="91"/>
  <c r="CN42" i="91"/>
  <c r="AJ42" i="91"/>
  <c r="P26" i="73"/>
  <c r="P27" i="73" s="1"/>
  <c r="P28" i="73" s="1"/>
  <c r="P29" i="73" s="1"/>
  <c r="P32" i="73" s="1"/>
  <c r="P33" i="73" s="1"/>
  <c r="P34" i="73" s="1"/>
  <c r="P40" i="73" s="1"/>
  <c r="P43" i="73" s="1"/>
  <c r="CD34" i="168"/>
  <c r="CD35" i="168" s="1"/>
  <c r="CD42" i="168" s="1"/>
  <c r="AW85" i="393"/>
  <c r="AW74" i="393"/>
  <c r="E21" i="168"/>
  <c r="D39" i="301"/>
  <c r="G39" i="248" s="1"/>
  <c r="V6" i="393"/>
  <c r="T73" i="60"/>
  <c r="D18" i="325" s="1"/>
  <c r="D17" i="325"/>
  <c r="BF43" i="91"/>
  <c r="BF44" i="91" s="1"/>
  <c r="BF111" i="91"/>
  <c r="BF51" i="91" s="1"/>
  <c r="O36" i="91"/>
  <c r="O34" i="91"/>
  <c r="O35" i="91" s="1"/>
  <c r="O42" i="91" s="1"/>
  <c r="AN34" i="91"/>
  <c r="AN35" i="91" s="1"/>
  <c r="AN42" i="91" s="1"/>
  <c r="AN36" i="91"/>
  <c r="G46" i="91"/>
  <c r="I46" i="91" s="1"/>
  <c r="G45" i="91"/>
  <c r="E83" i="9"/>
  <c r="E84" i="9" s="1"/>
  <c r="E87" i="9" s="1"/>
  <c r="E77" i="9"/>
  <c r="E80" i="9" s="1"/>
  <c r="AV36" i="91"/>
  <c r="AV34" i="91"/>
  <c r="AV35" i="91" s="1"/>
  <c r="AV42" i="91" s="1"/>
  <c r="S15" i="73"/>
  <c r="R16" i="73"/>
  <c r="E23" i="383"/>
  <c r="C99" i="383"/>
  <c r="E99" i="383" s="1"/>
  <c r="AZ35" i="91"/>
  <c r="AZ42" i="91" s="1"/>
  <c r="AZ43" i="91"/>
  <c r="DF112" i="91"/>
  <c r="DF44" i="91"/>
  <c r="S35" i="91"/>
  <c r="S42" i="91" s="1"/>
  <c r="S43" i="91"/>
  <c r="CH35" i="91"/>
  <c r="CH42" i="91" s="1"/>
  <c r="CH43" i="91"/>
  <c r="H84" i="167"/>
  <c r="H89" i="167" s="1"/>
  <c r="AJ83" i="393"/>
  <c r="D81" i="167"/>
  <c r="D88" i="167" s="1"/>
  <c r="E18" i="426"/>
  <c r="D83" i="167"/>
  <c r="D11" i="393"/>
  <c r="T7" i="393" s="1"/>
  <c r="BB74" i="167"/>
  <c r="G84" i="167"/>
  <c r="G89" i="167" s="1"/>
  <c r="Q20" i="389"/>
  <c r="Q21" i="389" s="1"/>
  <c r="E58" i="167"/>
  <c r="E59" i="167" s="1"/>
  <c r="AJ75" i="167" s="1"/>
  <c r="G83" i="167"/>
  <c r="AJ85" i="167"/>
  <c r="AR85" i="167"/>
  <c r="H81" i="167"/>
  <c r="H88" i="167" s="1"/>
  <c r="E18" i="393"/>
  <c r="C102" i="269"/>
  <c r="E102" i="269" s="1"/>
  <c r="C102" i="327"/>
  <c r="E102" i="327" s="1"/>
  <c r="G80" i="167"/>
  <c r="D80" i="167"/>
  <c r="I112" i="1"/>
  <c r="D6" i="384"/>
  <c r="H46" i="227" s="1"/>
  <c r="H32" i="227" s="1"/>
  <c r="CL35" i="168"/>
  <c r="CL42" i="168" s="1"/>
  <c r="AN85" i="393"/>
  <c r="D11" i="167"/>
  <c r="E10" i="227" s="1"/>
  <c r="CL36" i="168"/>
  <c r="CL43" i="168" s="1"/>
  <c r="BK20" i="388"/>
  <c r="BI21" i="388"/>
  <c r="AK69" i="167"/>
  <c r="AK70" i="167" s="1"/>
  <c r="H45" i="422"/>
  <c r="C13" i="423" s="1"/>
  <c r="E13" i="423" s="1"/>
  <c r="F18" i="167"/>
  <c r="G48" i="227" s="1"/>
  <c r="I167" i="1"/>
  <c r="C10" i="319" s="1"/>
  <c r="C80" i="167"/>
  <c r="F73" i="50"/>
  <c r="F75" i="50" s="1"/>
  <c r="O10" i="184"/>
  <c r="G164" i="1"/>
  <c r="K110" i="1"/>
  <c r="G18" i="393" s="1"/>
  <c r="C11" i="393"/>
  <c r="V21" i="393" s="1"/>
  <c r="V23" i="393" s="1"/>
  <c r="BU20" i="388"/>
  <c r="BU21" i="388" s="1"/>
  <c r="CT34" i="168"/>
  <c r="E21" i="352"/>
  <c r="G20" i="352"/>
  <c r="Y10" i="184"/>
  <c r="Z8" i="184"/>
  <c r="Z10" i="184" s="1"/>
  <c r="J21" i="167"/>
  <c r="J23" i="167" s="1"/>
  <c r="C102" i="303"/>
  <c r="E102" i="303" s="1"/>
  <c r="Y13" i="168"/>
  <c r="M45" i="315"/>
  <c r="D13" i="363" s="1"/>
  <c r="Q8" i="184"/>
  <c r="Q10" i="184" s="1"/>
  <c r="O21" i="352"/>
  <c r="G165" i="1"/>
  <c r="AX69" i="393"/>
  <c r="AX70" i="393" s="1"/>
  <c r="CX27" i="168"/>
  <c r="CX28" i="168" s="1"/>
  <c r="CX29" i="168" s="1"/>
  <c r="CX30" i="168" s="1"/>
  <c r="CX33" i="168" s="1"/>
  <c r="CX36" i="168" s="1"/>
  <c r="G166" i="1"/>
  <c r="C84" i="167"/>
  <c r="C89" i="167" s="1"/>
  <c r="D6" i="368"/>
  <c r="G46" i="227" s="1"/>
  <c r="G32" i="227" s="1"/>
  <c r="C83" i="167"/>
  <c r="G91" i="388" s="1"/>
  <c r="I91" i="388" s="1"/>
  <c r="I92" i="388" s="1"/>
  <c r="H73" i="50"/>
  <c r="H75" i="50" s="1"/>
  <c r="G111" i="1"/>
  <c r="E168" i="1"/>
  <c r="C11" i="284" s="1"/>
  <c r="E163" i="1"/>
  <c r="E55" i="357"/>
  <c r="H45" i="302"/>
  <c r="D9" i="364" s="1"/>
  <c r="E9" i="364" s="1"/>
  <c r="E18" i="357"/>
  <c r="D6" i="364"/>
  <c r="F46" i="227" s="1"/>
  <c r="F32" i="227" s="1"/>
  <c r="D5" i="364"/>
  <c r="E5" i="364" s="1"/>
  <c r="C3" i="432"/>
  <c r="C3" i="322"/>
  <c r="C3" i="380"/>
  <c r="C3" i="417"/>
  <c r="D43" i="357"/>
  <c r="D43" i="350"/>
  <c r="M45" i="369"/>
  <c r="D13" i="372" s="1"/>
  <c r="E13" i="372" s="1"/>
  <c r="AB75" i="167"/>
  <c r="AB77" i="167" s="1"/>
  <c r="M80" i="184"/>
  <c r="BC69" i="167"/>
  <c r="BC70" i="167" s="1"/>
  <c r="BC69" i="393"/>
  <c r="BC70" i="393" s="1"/>
  <c r="H45" i="410"/>
  <c r="D55" i="408" s="1"/>
  <c r="J55" i="248" s="1"/>
  <c r="BD36" i="167"/>
  <c r="AY70" i="388" s="1"/>
  <c r="AB20" i="393"/>
  <c r="AB22" i="393" s="1"/>
  <c r="T7" i="167"/>
  <c r="T9" i="167" s="1"/>
  <c r="F21" i="348" s="1"/>
  <c r="D15" i="311"/>
  <c r="P69" i="60"/>
  <c r="D10" i="227"/>
  <c r="J72" i="106"/>
  <c r="F72" i="106" s="1"/>
  <c r="BD91" i="167"/>
  <c r="Q58" i="184" s="1"/>
  <c r="AY90" i="168" s="1"/>
  <c r="E15" i="311"/>
  <c r="R69" i="60"/>
  <c r="D6" i="359"/>
  <c r="E46" i="227" s="1"/>
  <c r="E32" i="227" s="1"/>
  <c r="D15" i="284"/>
  <c r="D15" i="414"/>
  <c r="D6" i="407"/>
  <c r="I46" i="227" s="1"/>
  <c r="I32" i="227" s="1"/>
  <c r="AF20" i="167"/>
  <c r="D42" i="357"/>
  <c r="E42" i="357" s="1"/>
  <c r="D5" i="350"/>
  <c r="E5" i="350" s="1"/>
  <c r="CD43" i="168"/>
  <c r="CD112" i="168" s="1"/>
  <c r="H45" i="268"/>
  <c r="D9" i="350" s="1"/>
  <c r="E9" i="350" s="1"/>
  <c r="J21" i="393"/>
  <c r="J23" i="393" s="1"/>
  <c r="F15" i="400"/>
  <c r="D5" i="407"/>
  <c r="E5" i="407" s="1"/>
  <c r="D21" i="393"/>
  <c r="D49" i="393" s="1"/>
  <c r="BZ21" i="168"/>
  <c r="BZ27" i="168" s="1"/>
  <c r="BZ28" i="168" s="1"/>
  <c r="BZ29" i="168" s="1"/>
  <c r="BZ30" i="168" s="1"/>
  <c r="BZ33" i="168" s="1"/>
  <c r="BZ34" i="168" s="1"/>
  <c r="BZ35" i="168" s="1"/>
  <c r="D5" i="368"/>
  <c r="E5" i="368" s="1"/>
  <c r="D55" i="371"/>
  <c r="I55" i="248" s="1"/>
  <c r="CH55" i="168"/>
  <c r="CH48" i="168"/>
  <c r="CH54" i="168" s="1"/>
  <c r="K80" i="184"/>
  <c r="D5" i="384"/>
  <c r="E5" i="384" s="1"/>
  <c r="AS69" i="167"/>
  <c r="AS70" i="167" s="1"/>
  <c r="H45" i="315"/>
  <c r="C13" i="363" s="1"/>
  <c r="K45" i="268"/>
  <c r="D9" i="357" s="1"/>
  <c r="E9" i="357" s="1"/>
  <c r="D5" i="357"/>
  <c r="E5" i="357" s="1"/>
  <c r="D9" i="384"/>
  <c r="E9" i="384" s="1"/>
  <c r="CH21" i="168"/>
  <c r="CH27" i="168" s="1"/>
  <c r="CH28" i="168" s="1"/>
  <c r="CH29" i="168" s="1"/>
  <c r="CH30" i="168" s="1"/>
  <c r="CH33" i="168" s="1"/>
  <c r="CJ20" i="168"/>
  <c r="CJ21" i="168" s="1"/>
  <c r="CR14" i="168"/>
  <c r="CR16" i="168" s="1"/>
  <c r="CR17" i="168" s="1"/>
  <c r="CR19" i="168" s="1"/>
  <c r="CP16" i="168"/>
  <c r="CP17" i="168" s="1"/>
  <c r="CP19" i="168" s="1"/>
  <c r="CP27" i="168" s="1"/>
  <c r="CP28" i="168" s="1"/>
  <c r="CP29" i="168" s="1"/>
  <c r="CP30" i="168" s="1"/>
  <c r="CP33" i="168" s="1"/>
  <c r="CP36" i="168" s="1"/>
  <c r="DN21" i="168"/>
  <c r="DP20" i="168"/>
  <c r="DP21" i="168" s="1"/>
  <c r="I83" i="167"/>
  <c r="M45" i="410"/>
  <c r="D13" i="409" s="1"/>
  <c r="M45" i="302"/>
  <c r="D13" i="361" s="1"/>
  <c r="I81" i="167"/>
  <c r="I88" i="167" s="1"/>
  <c r="I84" i="167"/>
  <c r="I89" i="167" s="1"/>
  <c r="I80" i="167"/>
  <c r="K167" i="1"/>
  <c r="C10" i="377" s="1"/>
  <c r="BB88" i="167"/>
  <c r="BC104" i="167" s="1"/>
  <c r="BC103" i="167"/>
  <c r="E20" i="167"/>
  <c r="E22" i="167" s="1"/>
  <c r="D40" i="301"/>
  <c r="G40" i="248" s="1"/>
  <c r="F15" i="302"/>
  <c r="AJ20" i="167"/>
  <c r="F47" i="227" s="1"/>
  <c r="AW14" i="389"/>
  <c r="DP14" i="168"/>
  <c r="U7" i="393"/>
  <c r="U9" i="393" s="1"/>
  <c r="AF76" i="393"/>
  <c r="AF78" i="393" s="1"/>
  <c r="I164" i="1"/>
  <c r="I166" i="1"/>
  <c r="K109" i="1"/>
  <c r="I165" i="1"/>
  <c r="C9" i="319"/>
  <c r="Q14" i="168"/>
  <c r="Q14" i="389"/>
  <c r="AF21" i="393"/>
  <c r="AF23" i="393" s="1"/>
  <c r="AG14" i="389"/>
  <c r="DH14" i="168"/>
  <c r="Y14" i="388"/>
  <c r="DX14" i="168"/>
  <c r="Y14" i="352"/>
  <c r="AW14" i="352"/>
  <c r="D19" i="415"/>
  <c r="I25" i="227" s="1"/>
  <c r="M28" i="410"/>
  <c r="H28" i="422"/>
  <c r="F28" i="422"/>
  <c r="D27" i="430"/>
  <c r="M34" i="422"/>
  <c r="H64" i="393"/>
  <c r="H65" i="393" s="1"/>
  <c r="H43" i="410"/>
  <c r="O66" i="1"/>
  <c r="H64" i="167"/>
  <c r="H65" i="167" s="1"/>
  <c r="O16" i="184" s="1"/>
  <c r="C19" i="417" s="1"/>
  <c r="F43" i="410"/>
  <c r="G22" i="227"/>
  <c r="H52" i="248"/>
  <c r="D52" i="371"/>
  <c r="M43" i="369"/>
  <c r="F9" i="369"/>
  <c r="D13" i="371" s="1"/>
  <c r="I13" i="248" s="1"/>
  <c r="C13" i="378"/>
  <c r="D20" i="375"/>
  <c r="H7" i="227"/>
  <c r="H9" i="227" s="1"/>
  <c r="G10" i="167"/>
  <c r="D12" i="371" s="1"/>
  <c r="I12" i="248" s="1"/>
  <c r="C11" i="320"/>
  <c r="E16" i="325"/>
  <c r="V71" i="60"/>
  <c r="D53" i="424"/>
  <c r="D34" i="430"/>
  <c r="M40" i="422"/>
  <c r="I23" i="227"/>
  <c r="J53" i="248"/>
  <c r="F65" i="410"/>
  <c r="D22" i="408"/>
  <c r="J22" i="248" s="1"/>
  <c r="O44" i="1"/>
  <c r="AK18" i="388"/>
  <c r="H76" i="422"/>
  <c r="F76" i="422"/>
  <c r="F67" i="422"/>
  <c r="H67" i="422" s="1"/>
  <c r="F8" i="410"/>
  <c r="D11" i="408" s="1"/>
  <c r="F66" i="422"/>
  <c r="E23" i="291"/>
  <c r="C99" i="291"/>
  <c r="E99" i="291" s="1"/>
  <c r="I67" i="410"/>
  <c r="D21" i="418"/>
  <c r="D63" i="371"/>
  <c r="I63" i="248" s="1"/>
  <c r="I71" i="369"/>
  <c r="F11" i="315"/>
  <c r="AK18" i="389"/>
  <c r="D22" i="427"/>
  <c r="C17" i="430"/>
  <c r="I6" i="167"/>
  <c r="I6" i="393"/>
  <c r="I7" i="393" s="1"/>
  <c r="O157" i="1"/>
  <c r="AF58" i="60"/>
  <c r="S37" i="2"/>
  <c r="J6" i="227"/>
  <c r="D17" i="434"/>
  <c r="D16" i="374"/>
  <c r="X71" i="60"/>
  <c r="I11" i="248"/>
  <c r="D18" i="408"/>
  <c r="J18" i="248" s="1"/>
  <c r="AQ18" i="352"/>
  <c r="F71" i="410"/>
  <c r="AQ18" i="388"/>
  <c r="AQ18" i="168"/>
  <c r="AQ18" i="389"/>
  <c r="O21" i="1"/>
  <c r="D11" i="412"/>
  <c r="E11" i="412" s="1"/>
  <c r="H9" i="393"/>
  <c r="H8" i="393"/>
  <c r="H10" i="393" s="1"/>
  <c r="H57" i="393" s="1"/>
  <c r="H8" i="167"/>
  <c r="H9" i="167"/>
  <c r="D18" i="323"/>
  <c r="M65" i="315"/>
  <c r="H69" i="315"/>
  <c r="M69" i="315" s="1"/>
  <c r="F57" i="167"/>
  <c r="O24" i="1"/>
  <c r="D15" i="427" s="1"/>
  <c r="E15" i="427" s="1"/>
  <c r="D15" i="412"/>
  <c r="E15" i="412" s="1"/>
  <c r="AK18" i="352"/>
  <c r="AB69" i="60"/>
  <c r="AC58" i="60"/>
  <c r="AC69" i="60" s="1"/>
  <c r="AC71" i="60" s="1"/>
  <c r="AC73" i="60" s="1"/>
  <c r="D12" i="421"/>
  <c r="E12" i="421" s="1"/>
  <c r="AD58" i="60"/>
  <c r="AA58" i="60"/>
  <c r="AA69" i="60" s="1"/>
  <c r="AA71" i="60" s="1"/>
  <c r="AA73" i="60" s="1"/>
  <c r="Z69" i="60"/>
  <c r="O35" i="1"/>
  <c r="F32" i="410"/>
  <c r="H32" i="410"/>
  <c r="M32" i="410" s="1"/>
  <c r="D57" i="408"/>
  <c r="J57" i="248" s="1"/>
  <c r="H71" i="410"/>
  <c r="D68" i="408"/>
  <c r="I76" i="410"/>
  <c r="E21" i="375"/>
  <c r="C20" i="383"/>
  <c r="E20" i="383" s="1"/>
  <c r="C96" i="383"/>
  <c r="E96" i="383" s="1"/>
  <c r="I68" i="248"/>
  <c r="F37" i="410"/>
  <c r="O38" i="1"/>
  <c r="H37" i="410"/>
  <c r="M37" i="410" s="1"/>
  <c r="H65" i="369"/>
  <c r="F69" i="369"/>
  <c r="C20" i="291"/>
  <c r="E20" i="291" s="1"/>
  <c r="C96" i="291"/>
  <c r="E96" i="291" s="1"/>
  <c r="F68" i="248"/>
  <c r="O18" i="168"/>
  <c r="M71" i="280"/>
  <c r="D63" i="281"/>
  <c r="F63" i="248" s="1"/>
  <c r="O18" i="352"/>
  <c r="O18" i="388"/>
  <c r="BV112" i="168"/>
  <c r="BV44" i="168"/>
  <c r="BV45" i="168" s="1"/>
  <c r="BX45" i="168" s="1"/>
  <c r="BX47" i="168" s="1"/>
  <c r="BX48" i="168" s="1"/>
  <c r="BX54" i="168" s="1"/>
  <c r="C20" i="380"/>
  <c r="O18" i="184"/>
  <c r="AB21" i="167"/>
  <c r="AB23" i="167" s="1"/>
  <c r="H21" i="268" s="1"/>
  <c r="K21" i="268" s="1"/>
  <c r="BV52" i="168"/>
  <c r="BV111" i="168"/>
  <c r="C11" i="432"/>
  <c r="CL52" i="168"/>
  <c r="CL111" i="168"/>
  <c r="CX34" i="168"/>
  <c r="CX35" i="168" s="1"/>
  <c r="D23" i="415"/>
  <c r="M30" i="410"/>
  <c r="C23" i="430"/>
  <c r="F30" i="422"/>
  <c r="H30" i="422"/>
  <c r="D15" i="424"/>
  <c r="K15" i="248" s="1"/>
  <c r="F11" i="369"/>
  <c r="F10" i="410"/>
  <c r="D14" i="408" s="1"/>
  <c r="J14" i="248" s="1"/>
  <c r="O32" i="1"/>
  <c r="I8" i="227"/>
  <c r="C22" i="415"/>
  <c r="H10" i="167"/>
  <c r="D23" i="427"/>
  <c r="C14" i="430"/>
  <c r="D50" i="167"/>
  <c r="D18" i="284" s="1"/>
  <c r="E50" i="227"/>
  <c r="Y18" i="352"/>
  <c r="W22" i="167"/>
  <c r="C21" i="167"/>
  <c r="C23" i="167" s="1"/>
  <c r="U8" i="167"/>
  <c r="F22" i="348"/>
  <c r="F25" i="348"/>
  <c r="CP111" i="91"/>
  <c r="CP51" i="91" s="1"/>
  <c r="CN111" i="91"/>
  <c r="CN52" i="91"/>
  <c r="AJ112" i="91"/>
  <c r="AJ44" i="91"/>
  <c r="BE14" i="352"/>
  <c r="D55" i="281"/>
  <c r="D9" i="359"/>
  <c r="E9" i="359" s="1"/>
  <c r="B18" i="391"/>
  <c r="E17" i="391"/>
  <c r="G17" i="391" s="1"/>
  <c r="I17" i="391" s="1"/>
  <c r="K17" i="391" s="1"/>
  <c r="M17" i="391" s="1"/>
  <c r="O17" i="391" s="1"/>
  <c r="Q17" i="391" s="1"/>
  <c r="D17" i="391"/>
  <c r="F17" i="391" s="1"/>
  <c r="H17" i="391" s="1"/>
  <c r="J17" i="391" s="1"/>
  <c r="L17" i="391" s="1"/>
  <c r="N17" i="391" s="1"/>
  <c r="P17" i="391" s="1"/>
  <c r="J114" i="9"/>
  <c r="J111" i="9"/>
  <c r="AJ52" i="91"/>
  <c r="AJ111" i="91"/>
  <c r="AJ51" i="91" s="1"/>
  <c r="CR53" i="91"/>
  <c r="BL112" i="91"/>
  <c r="BL51" i="91" s="1"/>
  <c r="BL44" i="91"/>
  <c r="C107" i="291"/>
  <c r="E107" i="291" s="1"/>
  <c r="C99" i="425"/>
  <c r="E99" i="425" s="1"/>
  <c r="E23" i="425"/>
  <c r="D17" i="289"/>
  <c r="L73" i="60"/>
  <c r="D18" i="289" s="1"/>
  <c r="D9" i="407"/>
  <c r="E9" i="407" s="1"/>
  <c r="C50" i="393"/>
  <c r="R19" i="73"/>
  <c r="Q20" i="73"/>
  <c r="Q26" i="73" s="1"/>
  <c r="Q27" i="73" s="1"/>
  <c r="Q28" i="73" s="1"/>
  <c r="Q29" i="73" s="1"/>
  <c r="Q32" i="73" s="1"/>
  <c r="Q33" i="73" s="1"/>
  <c r="Q34" i="73" s="1"/>
  <c r="Q40" i="73" s="1"/>
  <c r="P42" i="73" s="1"/>
  <c r="P44" i="73" s="1"/>
  <c r="CN44" i="91"/>
  <c r="CN112" i="91"/>
  <c r="CD52" i="168"/>
  <c r="CD111" i="168"/>
  <c r="BU14" i="388"/>
  <c r="T9" i="393"/>
  <c r="N73" i="60"/>
  <c r="E18" i="289" s="1"/>
  <c r="E17" i="289"/>
  <c r="BE14" i="389"/>
  <c r="C107" i="269"/>
  <c r="E107" i="269" s="1"/>
  <c r="D1" i="429"/>
  <c r="BT44" i="91"/>
  <c r="BT112" i="91"/>
  <c r="BT51" i="91" s="1"/>
  <c r="D2" i="323"/>
  <c r="D2" i="433"/>
  <c r="D2" i="381"/>
  <c r="D2" i="418"/>
  <c r="E22" i="393"/>
  <c r="X121" i="9"/>
  <c r="X124" i="9" s="1"/>
  <c r="X126" i="9" s="1"/>
  <c r="K95" i="9"/>
  <c r="D50" i="393"/>
  <c r="W112" i="91"/>
  <c r="W44" i="91"/>
  <c r="AJ22" i="393"/>
  <c r="AJ77" i="167"/>
  <c r="D1" i="430"/>
  <c r="D1" i="378"/>
  <c r="D1" i="415"/>
  <c r="D1" i="320"/>
  <c r="L111" i="9"/>
  <c r="L114" i="9"/>
  <c r="C45" i="91"/>
  <c r="C46" i="91"/>
  <c r="E46" i="91" s="1"/>
  <c r="AJ77" i="393"/>
  <c r="W51" i="91"/>
  <c r="K12" i="391"/>
  <c r="V8" i="393"/>
  <c r="K83" i="9"/>
  <c r="K84" i="9" s="1"/>
  <c r="K87" i="9" s="1"/>
  <c r="K77" i="9"/>
  <c r="K80" i="9" s="1"/>
  <c r="AN39" i="369" l="1"/>
  <c r="CH111" i="91"/>
  <c r="CH52" i="91"/>
  <c r="CJ111" i="91"/>
  <c r="CJ51" i="91" s="1"/>
  <c r="BH48" i="91"/>
  <c r="BH54" i="91" s="1"/>
  <c r="BH55" i="91"/>
  <c r="CJ48" i="168"/>
  <c r="CJ54" i="168" s="1"/>
  <c r="CJ55" i="168"/>
  <c r="I83" i="9"/>
  <c r="I84" i="9" s="1"/>
  <c r="I87" i="9" s="1"/>
  <c r="I77" i="9"/>
  <c r="I80" i="9" s="1"/>
  <c r="BR55" i="91"/>
  <c r="BR48" i="91"/>
  <c r="BR54" i="91" s="1"/>
  <c r="CR52" i="91"/>
  <c r="G92" i="388"/>
  <c r="S112" i="91"/>
  <c r="S44" i="91"/>
  <c r="AZ44" i="91"/>
  <c r="AZ112" i="91"/>
  <c r="S16" i="73"/>
  <c r="S18" i="73" s="1"/>
  <c r="R18" i="73"/>
  <c r="BJ48" i="91"/>
  <c r="BJ54" i="91" s="1"/>
  <c r="BJ55" i="91"/>
  <c r="AR44" i="91"/>
  <c r="AR112" i="91"/>
  <c r="CZ52" i="91"/>
  <c r="DB111" i="91"/>
  <c r="DB51" i="91" s="1"/>
  <c r="CZ111" i="91"/>
  <c r="K39" i="73"/>
  <c r="K40" i="73" s="1"/>
  <c r="J42" i="73" s="1"/>
  <c r="J40" i="73"/>
  <c r="J43" i="73" s="1"/>
  <c r="J44" i="73" s="1"/>
  <c r="W92" i="91"/>
  <c r="W79" i="91"/>
  <c r="K111" i="91"/>
  <c r="K52" i="91"/>
  <c r="CD42" i="91"/>
  <c r="BX42" i="91"/>
  <c r="S111" i="91"/>
  <c r="S51" i="91" s="1"/>
  <c r="AH92" i="91"/>
  <c r="S52" i="91"/>
  <c r="AH79" i="91"/>
  <c r="CL53" i="91"/>
  <c r="CL54" i="91" s="1"/>
  <c r="DD53" i="91"/>
  <c r="DD54" i="91" s="1"/>
  <c r="AZ52" i="91"/>
  <c r="AZ111" i="91"/>
  <c r="AZ51" i="91" s="1"/>
  <c r="AN43" i="91"/>
  <c r="AN111" i="91"/>
  <c r="CV111" i="91"/>
  <c r="CV51" i="91" s="1"/>
  <c r="CT111" i="91"/>
  <c r="CT52" i="91"/>
  <c r="BD112" i="91"/>
  <c r="BD44" i="91"/>
  <c r="AR111" i="91"/>
  <c r="AR51" i="91" s="1"/>
  <c r="AR52" i="91"/>
  <c r="CX53" i="91"/>
  <c r="CX54" i="91" s="1"/>
  <c r="CZ112" i="91"/>
  <c r="CZ44" i="91"/>
  <c r="K112" i="91"/>
  <c r="K44" i="91"/>
  <c r="CD44" i="91"/>
  <c r="CD58" i="91"/>
  <c r="CR54" i="91"/>
  <c r="CH44" i="91"/>
  <c r="CH112" i="91"/>
  <c r="DF46" i="91"/>
  <c r="DH46" i="91" s="1"/>
  <c r="DF45" i="91"/>
  <c r="AV43" i="91"/>
  <c r="AV111" i="91"/>
  <c r="I45" i="91"/>
  <c r="I47" i="91" s="1"/>
  <c r="G47" i="91"/>
  <c r="O111" i="91"/>
  <c r="O43" i="91"/>
  <c r="CT112" i="91"/>
  <c r="CT44" i="91"/>
  <c r="E111" i="9"/>
  <c r="E114" i="9"/>
  <c r="BD51" i="91"/>
  <c r="V121" i="9"/>
  <c r="V124" i="9" s="1"/>
  <c r="V126" i="9" s="1"/>
  <c r="I95" i="9"/>
  <c r="AP111" i="91"/>
  <c r="AP51" i="91" s="1"/>
  <c r="AP43" i="91"/>
  <c r="AP44" i="91" s="1"/>
  <c r="BP48" i="91"/>
  <c r="BP54" i="91" s="1"/>
  <c r="BP55" i="91"/>
  <c r="BX44" i="91"/>
  <c r="BX112" i="91"/>
  <c r="D39" i="316"/>
  <c r="H39" i="248" s="1"/>
  <c r="F14" i="315"/>
  <c r="F58" i="167"/>
  <c r="F58" i="393"/>
  <c r="F59" i="393" s="1"/>
  <c r="K112" i="1"/>
  <c r="AF76" i="167"/>
  <c r="AF78" i="167" s="1"/>
  <c r="F59" i="167"/>
  <c r="F20" i="167" s="1"/>
  <c r="AF21" i="167"/>
  <c r="M110" i="1"/>
  <c r="M167" i="1" s="1"/>
  <c r="C10" i="414" s="1"/>
  <c r="G18" i="167"/>
  <c r="H48" i="227" s="1"/>
  <c r="F39" i="348"/>
  <c r="U7" i="167"/>
  <c r="U9" i="167" s="1"/>
  <c r="D21" i="167"/>
  <c r="K21" i="167"/>
  <c r="K23" i="167" s="1"/>
  <c r="W21" i="167"/>
  <c r="F35" i="348"/>
  <c r="CL112" i="168"/>
  <c r="CL44" i="168"/>
  <c r="CL45" i="168" s="1"/>
  <c r="CN45" i="168" s="1"/>
  <c r="CN47" i="168" s="1"/>
  <c r="D9" i="426"/>
  <c r="E9" i="426" s="1"/>
  <c r="K21" i="393"/>
  <c r="K23" i="393" s="1"/>
  <c r="D55" i="424"/>
  <c r="K55" i="248" s="1"/>
  <c r="D23" i="393"/>
  <c r="AB21" i="393"/>
  <c r="AB23" i="393" s="1"/>
  <c r="AB76" i="393"/>
  <c r="AB78" i="393" s="1"/>
  <c r="G21" i="352"/>
  <c r="I20" i="352"/>
  <c r="I21" i="352" s="1"/>
  <c r="AF22" i="167"/>
  <c r="C21" i="393"/>
  <c r="C49" i="393" s="1"/>
  <c r="S7" i="393"/>
  <c r="S9" i="393" s="1"/>
  <c r="CT35" i="168"/>
  <c r="CT43" i="168"/>
  <c r="BM20" i="388"/>
  <c r="BM21" i="388" s="1"/>
  <c r="BK21" i="388"/>
  <c r="G168" i="1"/>
  <c r="C11" i="306" s="1"/>
  <c r="I111" i="1"/>
  <c r="G163" i="1"/>
  <c r="G161" i="1"/>
  <c r="G162" i="1"/>
  <c r="D55" i="301"/>
  <c r="G55" i="248" s="1"/>
  <c r="O110" i="1"/>
  <c r="I18" i="393" s="1"/>
  <c r="E13" i="363"/>
  <c r="E47" i="227"/>
  <c r="C13" i="409"/>
  <c r="E13" i="409" s="1"/>
  <c r="F27" i="348"/>
  <c r="F29" i="348"/>
  <c r="F135" i="348" s="1"/>
  <c r="F26" i="348"/>
  <c r="F36" i="348"/>
  <c r="F137" i="348" s="1"/>
  <c r="D3" i="418"/>
  <c r="D3" i="381"/>
  <c r="D3" i="323"/>
  <c r="D3" i="433"/>
  <c r="Q38" i="184"/>
  <c r="C24" i="432" s="1"/>
  <c r="D16" i="306"/>
  <c r="CD44" i="168"/>
  <c r="CD45" i="168" s="1"/>
  <c r="CF45" i="168" s="1"/>
  <c r="CF47" i="168" s="1"/>
  <c r="CF55" i="168" s="1"/>
  <c r="D9" i="368"/>
  <c r="E9" i="368" s="1"/>
  <c r="AB76" i="167"/>
  <c r="AB78" i="167" s="1"/>
  <c r="M21" i="268" s="1"/>
  <c r="AY90" i="388"/>
  <c r="BA90" i="388" s="1"/>
  <c r="BA92" i="388" s="1"/>
  <c r="F33" i="348"/>
  <c r="F136" i="348" s="1"/>
  <c r="F41" i="348"/>
  <c r="F24" i="348"/>
  <c r="CP34" i="168"/>
  <c r="CP35" i="168" s="1"/>
  <c r="BZ36" i="168"/>
  <c r="CD51" i="168"/>
  <c r="D16" i="284"/>
  <c r="R71" i="60"/>
  <c r="E16" i="311"/>
  <c r="P71" i="60"/>
  <c r="D16" i="311"/>
  <c r="I45" i="268"/>
  <c r="BV51" i="168"/>
  <c r="CH36" i="168"/>
  <c r="CH34" i="168"/>
  <c r="CH35" i="168" s="1"/>
  <c r="C49" i="167"/>
  <c r="D17" i="272" s="1"/>
  <c r="D55" i="316"/>
  <c r="H55" i="248" s="1"/>
  <c r="AN27" i="422"/>
  <c r="AN21" i="422"/>
  <c r="AN44" i="422" s="1"/>
  <c r="AN46" i="422" s="1"/>
  <c r="BX55" i="168"/>
  <c r="AK41" i="398"/>
  <c r="AJ22" i="167"/>
  <c r="AN21" i="410"/>
  <c r="AN44" i="410" s="1"/>
  <c r="AN46" i="410" s="1"/>
  <c r="AN39" i="315"/>
  <c r="AN24" i="369"/>
  <c r="CL51" i="168"/>
  <c r="AK26" i="398"/>
  <c r="H39" i="268"/>
  <c r="K39" i="268" s="1"/>
  <c r="AP41" i="268"/>
  <c r="AN35" i="315"/>
  <c r="AN41" i="410"/>
  <c r="AK27" i="348"/>
  <c r="AK22" i="400"/>
  <c r="AP21" i="268"/>
  <c r="AP44" i="268" s="1"/>
  <c r="AP46" i="268" s="1"/>
  <c r="AN33" i="422"/>
  <c r="AN26" i="410"/>
  <c r="AN35" i="422"/>
  <c r="AY92" i="168"/>
  <c r="BA90" i="168"/>
  <c r="BA92" i="168" s="1"/>
  <c r="AN21" i="302"/>
  <c r="AN44" i="302" s="1"/>
  <c r="AN46" i="302" s="1"/>
  <c r="AP22" i="268"/>
  <c r="AK24" i="348"/>
  <c r="AN24" i="410"/>
  <c r="AK29" i="348"/>
  <c r="AK39" i="398"/>
  <c r="AN36" i="410"/>
  <c r="AK33" i="400"/>
  <c r="AN33" i="369"/>
  <c r="AN33" i="410"/>
  <c r="AP35" i="268"/>
  <c r="AY72" i="388"/>
  <c r="BA70" i="388"/>
  <c r="BA72" i="388" s="1"/>
  <c r="H29" i="268"/>
  <c r="H135" i="268" s="1"/>
  <c r="AK36" i="398"/>
  <c r="AN39" i="410"/>
  <c r="AK21" i="398"/>
  <c r="AK44" i="398" s="1"/>
  <c r="AK46" i="398" s="1"/>
  <c r="AK33" i="348"/>
  <c r="AN22" i="315"/>
  <c r="AN29" i="315"/>
  <c r="AN21" i="315"/>
  <c r="AN44" i="315" s="1"/>
  <c r="AN46" i="315" s="1"/>
  <c r="AN25" i="410"/>
  <c r="AN35" i="410"/>
  <c r="AN41" i="422"/>
  <c r="AK36" i="400"/>
  <c r="AK21" i="400"/>
  <c r="AK44" i="400" s="1"/>
  <c r="AK46" i="400" s="1"/>
  <c r="AP33" i="268"/>
  <c r="H24" i="268"/>
  <c r="K24" i="268" s="1"/>
  <c r="AP39" i="268"/>
  <c r="AN25" i="422"/>
  <c r="AK22" i="348"/>
  <c r="AN25" i="302"/>
  <c r="H27" i="268"/>
  <c r="K27" i="268" s="1"/>
  <c r="AP36" i="268"/>
  <c r="AN39" i="422"/>
  <c r="AN22" i="410"/>
  <c r="AK21" i="348"/>
  <c r="AK44" i="348" s="1"/>
  <c r="AK46" i="348" s="1"/>
  <c r="H33" i="268"/>
  <c r="K33" i="268" s="1"/>
  <c r="K136" i="268" s="1"/>
  <c r="AK22" i="398"/>
  <c r="AK35" i="400"/>
  <c r="AN21" i="369"/>
  <c r="AN44" i="369" s="1"/>
  <c r="AN46" i="369" s="1"/>
  <c r="H35" i="268"/>
  <c r="AN29" i="369"/>
  <c r="AN41" i="369"/>
  <c r="AK41" i="400"/>
  <c r="AN27" i="315"/>
  <c r="AK39" i="400"/>
  <c r="AP27" i="268"/>
  <c r="AN27" i="410"/>
  <c r="H36" i="268"/>
  <c r="K36" i="268" s="1"/>
  <c r="AN27" i="369"/>
  <c r="H25" i="268"/>
  <c r="K25" i="268" s="1"/>
  <c r="AN26" i="369"/>
  <c r="AK35" i="348"/>
  <c r="AN22" i="422"/>
  <c r="AK25" i="348"/>
  <c r="AK24" i="398"/>
  <c r="AN29" i="422"/>
  <c r="AN35" i="302"/>
  <c r="AK27" i="398"/>
  <c r="AK26" i="348"/>
  <c r="AN26" i="315"/>
  <c r="AK24" i="400"/>
  <c r="AN24" i="422"/>
  <c r="AN41" i="302"/>
  <c r="AN22" i="369"/>
  <c r="AK33" i="398"/>
  <c r="AN36" i="422"/>
  <c r="AN33" i="315"/>
  <c r="AN25" i="369"/>
  <c r="AN36" i="302"/>
  <c r="AN36" i="369"/>
  <c r="AK25" i="400"/>
  <c r="AN26" i="422"/>
  <c r="AN25" i="315"/>
  <c r="AN33" i="302"/>
  <c r="AN26" i="302"/>
  <c r="H26" i="268"/>
  <c r="K26" i="268" s="1"/>
  <c r="AP26" i="268"/>
  <c r="AN29" i="302"/>
  <c r="AK27" i="400"/>
  <c r="AK36" i="348"/>
  <c r="AK26" i="400"/>
  <c r="AN41" i="315"/>
  <c r="AN35" i="369"/>
  <c r="AN36" i="315"/>
  <c r="AN39" i="302"/>
  <c r="AK39" i="348"/>
  <c r="AN24" i="302"/>
  <c r="AK41" i="348"/>
  <c r="AN27" i="302"/>
  <c r="H41" i="268"/>
  <c r="K41" i="268" s="1"/>
  <c r="H22" i="268"/>
  <c r="AK35" i="398"/>
  <c r="AP29" i="268"/>
  <c r="AN24" i="315"/>
  <c r="AK29" i="400"/>
  <c r="AN22" i="302"/>
  <c r="AN29" i="410"/>
  <c r="AK25" i="398"/>
  <c r="AP25" i="268"/>
  <c r="AP24" i="268"/>
  <c r="AK29" i="398"/>
  <c r="C9" i="377"/>
  <c r="K164" i="1"/>
  <c r="M109" i="1"/>
  <c r="K165" i="1"/>
  <c r="K166" i="1"/>
  <c r="M28" i="422"/>
  <c r="D19" i="430"/>
  <c r="J25" i="227" s="1"/>
  <c r="T37" i="2"/>
  <c r="T51" i="2" s="1"/>
  <c r="S51" i="2"/>
  <c r="D23" i="434" s="1"/>
  <c r="H22" i="227"/>
  <c r="I52" i="248"/>
  <c r="I64" i="393"/>
  <c r="I65" i="393" s="1"/>
  <c r="H43" i="422"/>
  <c r="I64" i="167"/>
  <c r="I65" i="167" s="1"/>
  <c r="Q16" i="184" s="1"/>
  <c r="C19" i="432" s="1"/>
  <c r="F43" i="422"/>
  <c r="D52" i="408"/>
  <c r="M43" i="410"/>
  <c r="M22" i="268"/>
  <c r="M25" i="268"/>
  <c r="AN20" i="167"/>
  <c r="D16" i="319" s="1"/>
  <c r="D40" i="316"/>
  <c r="H40" i="248" s="1"/>
  <c r="F15" i="315"/>
  <c r="AS18" i="352"/>
  <c r="AY18" i="168"/>
  <c r="AY18" i="388"/>
  <c r="F71" i="422"/>
  <c r="AY18" i="352"/>
  <c r="AY18" i="389"/>
  <c r="J23" i="227"/>
  <c r="K53" i="248"/>
  <c r="G57" i="167"/>
  <c r="C20" i="411"/>
  <c r="E20" i="411" s="1"/>
  <c r="J68" i="248"/>
  <c r="C96" i="411"/>
  <c r="E96" i="411" s="1"/>
  <c r="D16" i="421"/>
  <c r="AB71" i="60"/>
  <c r="AS18" i="168"/>
  <c r="H66" i="422"/>
  <c r="I76" i="422"/>
  <c r="H71" i="422"/>
  <c r="D68" i="424"/>
  <c r="D57" i="424"/>
  <c r="K57" i="248" s="1"/>
  <c r="D22" i="424"/>
  <c r="K22" i="248" s="1"/>
  <c r="F65" i="422"/>
  <c r="H65" i="422" s="1"/>
  <c r="E17" i="325"/>
  <c r="V73" i="60"/>
  <c r="E18" i="325" s="1"/>
  <c r="I65" i="369"/>
  <c r="D18" i="381"/>
  <c r="H69" i="369"/>
  <c r="I69" i="369" s="1"/>
  <c r="AS18" i="389"/>
  <c r="AG58" i="60"/>
  <c r="AG69" i="60" s="1"/>
  <c r="AG71" i="60" s="1"/>
  <c r="AG73" i="60" s="1"/>
  <c r="D12" i="435"/>
  <c r="E12" i="435" s="1"/>
  <c r="AF69" i="60"/>
  <c r="AH58" i="60"/>
  <c r="C11" i="378"/>
  <c r="F37" i="422"/>
  <c r="H37" i="422"/>
  <c r="M37" i="422" s="1"/>
  <c r="D63" i="408"/>
  <c r="J63" i="248" s="1"/>
  <c r="I71" i="410"/>
  <c r="H32" i="422"/>
  <c r="M32" i="422" s="1"/>
  <c r="F32" i="422"/>
  <c r="AE58" i="60"/>
  <c r="AE69" i="60" s="1"/>
  <c r="AE71" i="60" s="1"/>
  <c r="AE73" i="60" s="1"/>
  <c r="AD69" i="60"/>
  <c r="E21" i="412"/>
  <c r="AS18" i="388"/>
  <c r="D18" i="424"/>
  <c r="K18" i="248" s="1"/>
  <c r="J11" i="248"/>
  <c r="Z71" i="60"/>
  <c r="E16" i="374"/>
  <c r="AM18" i="352"/>
  <c r="D20" i="412"/>
  <c r="I7" i="227"/>
  <c r="I9" i="227" s="1"/>
  <c r="F9" i="410"/>
  <c r="D13" i="408" s="1"/>
  <c r="J13" i="248" s="1"/>
  <c r="C13" i="415"/>
  <c r="D11" i="427"/>
  <c r="E11" i="427" s="1"/>
  <c r="E21" i="427" s="1"/>
  <c r="I8" i="167"/>
  <c r="I8" i="393"/>
  <c r="I10" i="393" s="1"/>
  <c r="I57" i="393" s="1"/>
  <c r="I9" i="393"/>
  <c r="I9" i="167"/>
  <c r="D17" i="374"/>
  <c r="X73" i="60"/>
  <c r="D18" i="374" s="1"/>
  <c r="I7" i="167"/>
  <c r="F8" i="422" s="1"/>
  <c r="D11" i="424" s="1"/>
  <c r="K11" i="248" s="1"/>
  <c r="AM18" i="389"/>
  <c r="I67" i="422"/>
  <c r="D21" i="433"/>
  <c r="AM18" i="388"/>
  <c r="H65" i="410"/>
  <c r="F69" i="410"/>
  <c r="Q18" i="388"/>
  <c r="Q18" i="168"/>
  <c r="Q18" i="352"/>
  <c r="CN55" i="168"/>
  <c r="CN48" i="168"/>
  <c r="CN54" i="168" s="1"/>
  <c r="O167" i="1"/>
  <c r="C10" i="429" s="1"/>
  <c r="BV47" i="168"/>
  <c r="CL47" i="168"/>
  <c r="C20" i="417"/>
  <c r="Q18" i="184"/>
  <c r="C20" i="432" s="1"/>
  <c r="M26" i="268"/>
  <c r="M33" i="268"/>
  <c r="M41" i="268"/>
  <c r="M36" i="268"/>
  <c r="M30" i="422"/>
  <c r="D23" i="430"/>
  <c r="C11" i="415"/>
  <c r="H57" i="167"/>
  <c r="F11" i="410"/>
  <c r="D12" i="408"/>
  <c r="J12" i="248" s="1"/>
  <c r="J8" i="227"/>
  <c r="F10" i="422"/>
  <c r="D14" i="424" s="1"/>
  <c r="K14" i="248" s="1"/>
  <c r="C22" i="430"/>
  <c r="I10" i="167"/>
  <c r="E28" i="227"/>
  <c r="E27" i="227"/>
  <c r="D49" i="167"/>
  <c r="D17" i="284" s="1"/>
  <c r="E49" i="227"/>
  <c r="W23" i="167"/>
  <c r="D23" i="167"/>
  <c r="F22" i="268"/>
  <c r="F26" i="268"/>
  <c r="J26" i="268" s="1"/>
  <c r="F24" i="268"/>
  <c r="J24" i="268" s="1"/>
  <c r="F35" i="268"/>
  <c r="F41" i="268"/>
  <c r="J41" i="268" s="1"/>
  <c r="F25" i="268"/>
  <c r="J25" i="268" s="1"/>
  <c r="F33" i="268"/>
  <c r="F39" i="268"/>
  <c r="J39" i="268" s="1"/>
  <c r="F27" i="268"/>
  <c r="J27" i="268" s="1"/>
  <c r="F36" i="268"/>
  <c r="J36" i="268" s="1"/>
  <c r="F29" i="268"/>
  <c r="F21" i="268"/>
  <c r="CN51" i="91"/>
  <c r="BL45" i="91"/>
  <c r="BL46" i="91"/>
  <c r="BN46" i="91" s="1"/>
  <c r="F55" i="248"/>
  <c r="C13" i="360"/>
  <c r="E13" i="360" s="1"/>
  <c r="E18" i="391"/>
  <c r="G18" i="391" s="1"/>
  <c r="I18" i="391" s="1"/>
  <c r="K18" i="391" s="1"/>
  <c r="M18" i="391" s="1"/>
  <c r="O18" i="391" s="1"/>
  <c r="Q18" i="391" s="1"/>
  <c r="B19" i="391"/>
  <c r="D18" i="391"/>
  <c r="F18" i="391" s="1"/>
  <c r="H18" i="391" s="1"/>
  <c r="J18" i="391" s="1"/>
  <c r="L18" i="391" s="1"/>
  <c r="N18" i="391" s="1"/>
  <c r="P18" i="391" s="1"/>
  <c r="CN46" i="91"/>
  <c r="CP46" i="91" s="1"/>
  <c r="CN45" i="91"/>
  <c r="S19" i="73"/>
  <c r="S20" i="73" s="1"/>
  <c r="S26" i="73" s="1"/>
  <c r="S27" i="73" s="1"/>
  <c r="S28" i="73" s="1"/>
  <c r="S29" i="73" s="1"/>
  <c r="S32" i="73" s="1"/>
  <c r="S33" i="73" s="1"/>
  <c r="S34" i="73" s="1"/>
  <c r="S40" i="73" s="1"/>
  <c r="R42" i="73" s="1"/>
  <c r="R44" i="73" s="1"/>
  <c r="R20" i="73"/>
  <c r="R26" i="73" s="1"/>
  <c r="R27" i="73" s="1"/>
  <c r="R28" i="73" s="1"/>
  <c r="R29" i="73" s="1"/>
  <c r="R32" i="73" s="1"/>
  <c r="R33" i="73" s="1"/>
  <c r="R34" i="73" s="1"/>
  <c r="R40" i="73" s="1"/>
  <c r="R43" i="73" s="1"/>
  <c r="AJ46" i="91"/>
  <c r="AL46" i="91" s="1"/>
  <c r="AJ45" i="91"/>
  <c r="AN77" i="393"/>
  <c r="F22" i="393"/>
  <c r="D2" i="419"/>
  <c r="D2" i="434"/>
  <c r="D2" i="324"/>
  <c r="D2" i="373"/>
  <c r="BT46" i="91"/>
  <c r="BV46" i="91" s="1"/>
  <c r="BT45" i="91"/>
  <c r="F50" i="227"/>
  <c r="E50" i="167"/>
  <c r="D18" i="306" s="1"/>
  <c r="E45" i="91"/>
  <c r="E47" i="91" s="1"/>
  <c r="C47" i="91"/>
  <c r="D1" i="416"/>
  <c r="D1" i="379"/>
  <c r="D1" i="321"/>
  <c r="D1" i="431"/>
  <c r="F28" i="227"/>
  <c r="F27" i="227"/>
  <c r="AN22" i="393"/>
  <c r="E50" i="393"/>
  <c r="M12" i="391"/>
  <c r="F22" i="167"/>
  <c r="W45" i="91"/>
  <c r="W46" i="91"/>
  <c r="Y46" i="91" s="1"/>
  <c r="K114" i="9"/>
  <c r="K111" i="9"/>
  <c r="I114" i="9" l="1"/>
  <c r="I111" i="9"/>
  <c r="O44" i="91"/>
  <c r="O112" i="91"/>
  <c r="O51" i="91" s="1"/>
  <c r="BD46" i="91"/>
  <c r="BF46" i="91" s="1"/>
  <c r="BD45" i="91"/>
  <c r="CD52" i="91"/>
  <c r="CD57" i="91"/>
  <c r="CD51" i="91" s="1"/>
  <c r="AR46" i="91"/>
  <c r="AT46" i="91" s="1"/>
  <c r="AR45" i="91"/>
  <c r="S45" i="91"/>
  <c r="S46" i="91"/>
  <c r="U46" i="91" s="1"/>
  <c r="AV44" i="91"/>
  <c r="AV112" i="91"/>
  <c r="AV51" i="91" s="1"/>
  <c r="CH45" i="91"/>
  <c r="CH46" i="91"/>
  <c r="CJ46" i="91" s="1"/>
  <c r="K46" i="91"/>
  <c r="M46" i="91" s="1"/>
  <c r="K45" i="91"/>
  <c r="AF23" i="167"/>
  <c r="CT45" i="91"/>
  <c r="CT46" i="91"/>
  <c r="CV46" i="91" s="1"/>
  <c r="G48" i="91"/>
  <c r="G54" i="91" s="1"/>
  <c r="G55" i="91"/>
  <c r="DH45" i="91"/>
  <c r="DH47" i="91" s="1"/>
  <c r="DH48" i="91" s="1"/>
  <c r="DH54" i="91" s="1"/>
  <c r="DF47" i="91"/>
  <c r="DF48" i="91" s="1"/>
  <c r="DF54" i="91" s="1"/>
  <c r="AN112" i="91"/>
  <c r="AN51" i="91" s="1"/>
  <c r="AN44" i="91"/>
  <c r="K51" i="91"/>
  <c r="AZ45" i="91"/>
  <c r="AZ46" i="91"/>
  <c r="BB46" i="91" s="1"/>
  <c r="CH51" i="91"/>
  <c r="CD45" i="91"/>
  <c r="BX46" i="91"/>
  <c r="BZ46" i="91" s="1"/>
  <c r="CD46" i="91"/>
  <c r="CF46" i="91" s="1"/>
  <c r="BX45" i="91"/>
  <c r="I48" i="91"/>
  <c r="I54" i="91" s="1"/>
  <c r="I55" i="91"/>
  <c r="CZ46" i="91"/>
  <c r="DB46" i="91" s="1"/>
  <c r="CZ45" i="91"/>
  <c r="CT51" i="91"/>
  <c r="BX111" i="91"/>
  <c r="BX51" i="91" s="1"/>
  <c r="BX52" i="91"/>
  <c r="CZ51" i="91"/>
  <c r="AN75" i="393"/>
  <c r="AN20" i="393"/>
  <c r="F20" i="393"/>
  <c r="AN75" i="167"/>
  <c r="AN77" i="167" s="1"/>
  <c r="G59" i="167"/>
  <c r="AR75" i="167" s="1"/>
  <c r="AR77" i="167" s="1"/>
  <c r="H18" i="167"/>
  <c r="I48" i="227" s="1"/>
  <c r="H18" i="393"/>
  <c r="G58" i="393"/>
  <c r="G59" i="393" s="1"/>
  <c r="D39" i="371"/>
  <c r="I39" i="248" s="1"/>
  <c r="G58" i="167"/>
  <c r="M112" i="1"/>
  <c r="F14" i="369"/>
  <c r="C13" i="361"/>
  <c r="E13" i="361" s="1"/>
  <c r="C23" i="393"/>
  <c r="CT44" i="168"/>
  <c r="CT45" i="168" s="1"/>
  <c r="CT112" i="168"/>
  <c r="E11" i="167"/>
  <c r="E11" i="393"/>
  <c r="M39" i="268"/>
  <c r="M35" i="268"/>
  <c r="I18" i="167"/>
  <c r="J48" i="227" s="1"/>
  <c r="M29" i="268"/>
  <c r="K111" i="1"/>
  <c r="I168" i="1"/>
  <c r="C11" i="319" s="1"/>
  <c r="I163" i="1"/>
  <c r="I162" i="1"/>
  <c r="I161" i="1"/>
  <c r="M24" i="268"/>
  <c r="M27" i="268"/>
  <c r="AY92" i="388"/>
  <c r="CF48" i="168"/>
  <c r="CF54" i="168" s="1"/>
  <c r="CD47" i="168"/>
  <c r="F134" i="348"/>
  <c r="D3" i="419"/>
  <c r="D3" i="373"/>
  <c r="D3" i="434"/>
  <c r="D3" i="324"/>
  <c r="F44" i="348"/>
  <c r="S11" i="393" s="1"/>
  <c r="E17" i="311"/>
  <c r="R73" i="60"/>
  <c r="E18" i="311" s="1"/>
  <c r="D17" i="311"/>
  <c r="P73" i="60"/>
  <c r="D18" i="311" s="1"/>
  <c r="H134" i="268"/>
  <c r="H137" i="268"/>
  <c r="H136" i="268"/>
  <c r="K29" i="268"/>
  <c r="K135" i="268" s="1"/>
  <c r="K35" i="268"/>
  <c r="K137" i="268" s="1"/>
  <c r="AN22" i="167"/>
  <c r="H44" i="268"/>
  <c r="K44" i="268" s="1"/>
  <c r="K22" i="268"/>
  <c r="K134" i="268" s="1"/>
  <c r="M166" i="1"/>
  <c r="C9" i="414"/>
  <c r="M165" i="1"/>
  <c r="M164" i="1"/>
  <c r="O109" i="1"/>
  <c r="F69" i="422"/>
  <c r="G47" i="227"/>
  <c r="G28" i="227" s="1"/>
  <c r="M43" i="422"/>
  <c r="D52" i="424"/>
  <c r="J52" i="248"/>
  <c r="I22" i="227"/>
  <c r="G20" i="167"/>
  <c r="G22" i="167" s="1"/>
  <c r="F15" i="369"/>
  <c r="AR20" i="167"/>
  <c r="D16" i="377" s="1"/>
  <c r="D40" i="371"/>
  <c r="I40" i="248" s="1"/>
  <c r="AO18" i="352"/>
  <c r="E16" i="421"/>
  <c r="AD71" i="60"/>
  <c r="C96" i="425"/>
  <c r="E96" i="425" s="1"/>
  <c r="C20" i="425"/>
  <c r="E20" i="425" s="1"/>
  <c r="K68" i="248"/>
  <c r="BA18" i="168"/>
  <c r="C13" i="430"/>
  <c r="F9" i="422"/>
  <c r="D13" i="424" s="1"/>
  <c r="K13" i="248" s="1"/>
  <c r="D20" i="427"/>
  <c r="J7" i="227"/>
  <c r="J9" i="227" s="1"/>
  <c r="D18" i="433"/>
  <c r="I65" i="422"/>
  <c r="H69" i="422"/>
  <c r="I69" i="422" s="1"/>
  <c r="D63" i="424"/>
  <c r="K63" i="248" s="1"/>
  <c r="I71" i="422"/>
  <c r="BA18" i="352"/>
  <c r="AO18" i="389"/>
  <c r="I65" i="410"/>
  <c r="D18" i="418"/>
  <c r="H69" i="410"/>
  <c r="I69" i="410" s="1"/>
  <c r="Z73" i="60"/>
  <c r="E18" i="374" s="1"/>
  <c r="E17" i="374"/>
  <c r="AU18" i="388"/>
  <c r="AH69" i="60"/>
  <c r="AI58" i="60"/>
  <c r="AI69" i="60" s="1"/>
  <c r="AI71" i="60" s="1"/>
  <c r="AI73" i="60" s="1"/>
  <c r="AU18" i="389"/>
  <c r="AU18" i="168"/>
  <c r="AU18" i="352"/>
  <c r="AO18" i="388"/>
  <c r="BA18" i="389"/>
  <c r="AF71" i="60"/>
  <c r="D16" i="435"/>
  <c r="I66" i="422"/>
  <c r="D22" i="433"/>
  <c r="D17" i="421"/>
  <c r="AB73" i="60"/>
  <c r="D18" i="421" s="1"/>
  <c r="BA18" i="388"/>
  <c r="CL55" i="168"/>
  <c r="CL48" i="168"/>
  <c r="CL54" i="168" s="1"/>
  <c r="BV48" i="168"/>
  <c r="BV54" i="168" s="1"/>
  <c r="BV55" i="168"/>
  <c r="D12" i="424"/>
  <c r="K12" i="248" s="1"/>
  <c r="C11" i="430"/>
  <c r="I57" i="167"/>
  <c r="F11" i="422"/>
  <c r="E29" i="227"/>
  <c r="E30" i="227" s="1"/>
  <c r="AN33" i="280"/>
  <c r="H24" i="280"/>
  <c r="H29" i="280"/>
  <c r="H41" i="280"/>
  <c r="H21" i="280"/>
  <c r="AN41" i="280"/>
  <c r="AN22" i="280"/>
  <c r="D19" i="284"/>
  <c r="D37" i="281"/>
  <c r="F37" i="248" s="1"/>
  <c r="H27" i="280"/>
  <c r="AN21" i="280"/>
  <c r="AN44" i="280" s="1"/>
  <c r="AN46" i="280" s="1"/>
  <c r="AN29" i="280"/>
  <c r="AN39" i="280"/>
  <c r="H26" i="280"/>
  <c r="AN25" i="280"/>
  <c r="AN35" i="280"/>
  <c r="H39" i="280"/>
  <c r="H36" i="280"/>
  <c r="H33" i="280"/>
  <c r="H35" i="280"/>
  <c r="AN24" i="280"/>
  <c r="H25" i="280"/>
  <c r="H22" i="280"/>
  <c r="AN26" i="280"/>
  <c r="AN36" i="280"/>
  <c r="AN27" i="280"/>
  <c r="F33" i="280"/>
  <c r="F134" i="280" s="1"/>
  <c r="F25" i="280"/>
  <c r="F26" i="280"/>
  <c r="F36" i="280"/>
  <c r="F22" i="280"/>
  <c r="F39" i="280"/>
  <c r="F21" i="280"/>
  <c r="F27" i="280"/>
  <c r="F24" i="280"/>
  <c r="F41" i="280"/>
  <c r="F29" i="280"/>
  <c r="F133" i="280" s="1"/>
  <c r="F35" i="280"/>
  <c r="F135" i="280" s="1"/>
  <c r="E51" i="227"/>
  <c r="G26" i="398"/>
  <c r="G29" i="348"/>
  <c r="G135" i="348" s="1"/>
  <c r="G22" i="400"/>
  <c r="G26" i="348"/>
  <c r="G36" i="348"/>
  <c r="F25" i="398"/>
  <c r="F29" i="398"/>
  <c r="F135" i="398" s="1"/>
  <c r="G27" i="400"/>
  <c r="F26" i="398"/>
  <c r="G39" i="400"/>
  <c r="F39" i="398"/>
  <c r="F35" i="398"/>
  <c r="F27" i="398"/>
  <c r="G39" i="348"/>
  <c r="G25" i="400"/>
  <c r="G21" i="398"/>
  <c r="G22" i="398"/>
  <c r="F24" i="398"/>
  <c r="G35" i="348"/>
  <c r="G36" i="400"/>
  <c r="G33" i="400"/>
  <c r="G136" i="400" s="1"/>
  <c r="G35" i="398"/>
  <c r="G29" i="398"/>
  <c r="G135" i="398" s="1"/>
  <c r="F36" i="398"/>
  <c r="G22" i="348"/>
  <c r="G24" i="400"/>
  <c r="G29" i="400"/>
  <c r="G135" i="400" s="1"/>
  <c r="G24" i="398"/>
  <c r="G27" i="398"/>
  <c r="F22" i="398"/>
  <c r="G35" i="400"/>
  <c r="G27" i="348"/>
  <c r="G24" i="348"/>
  <c r="G26" i="400"/>
  <c r="G25" i="348"/>
  <c r="G41" i="348"/>
  <c r="G33" i="348"/>
  <c r="G136" i="348" s="1"/>
  <c r="F21" i="398"/>
  <c r="F41" i="398"/>
  <c r="F33" i="398"/>
  <c r="F136" i="398" s="1"/>
  <c r="G41" i="398"/>
  <c r="G39" i="398"/>
  <c r="G36" i="398"/>
  <c r="G33" i="398"/>
  <c r="G136" i="398" s="1"/>
  <c r="G41" i="400"/>
  <c r="G21" i="400"/>
  <c r="G25" i="398"/>
  <c r="G21" i="348"/>
  <c r="F46" i="348"/>
  <c r="F49" i="348" s="1"/>
  <c r="X22" i="184" s="1"/>
  <c r="F135" i="268"/>
  <c r="J29" i="268"/>
  <c r="J135" i="268" s="1"/>
  <c r="F136" i="268"/>
  <c r="J33" i="268"/>
  <c r="J136" i="268" s="1"/>
  <c r="J22" i="268"/>
  <c r="J134" i="268" s="1"/>
  <c r="F134" i="268"/>
  <c r="F44" i="268"/>
  <c r="J21" i="268"/>
  <c r="J35" i="268"/>
  <c r="J137" i="268" s="1"/>
  <c r="F137" i="268"/>
  <c r="CP45" i="91"/>
  <c r="CP47" i="91" s="1"/>
  <c r="CP48" i="91" s="1"/>
  <c r="CP54" i="91" s="1"/>
  <c r="CN47" i="91"/>
  <c r="CN48" i="91" s="1"/>
  <c r="CN54" i="91" s="1"/>
  <c r="D19" i="391"/>
  <c r="F19" i="391" s="1"/>
  <c r="H19" i="391" s="1"/>
  <c r="J19" i="391" s="1"/>
  <c r="L19" i="391" s="1"/>
  <c r="N19" i="391" s="1"/>
  <c r="P19" i="391" s="1"/>
  <c r="E19" i="391"/>
  <c r="G19" i="391" s="1"/>
  <c r="I19" i="391" s="1"/>
  <c r="K19" i="391" s="1"/>
  <c r="M19" i="391" s="1"/>
  <c r="O19" i="391" s="1"/>
  <c r="Q19" i="391" s="1"/>
  <c r="B20" i="391"/>
  <c r="AL45" i="91"/>
  <c r="AL47" i="91" s="1"/>
  <c r="AJ47" i="91"/>
  <c r="BN45" i="91"/>
  <c r="BN47" i="91" s="1"/>
  <c r="BL47" i="91"/>
  <c r="AR77" i="393"/>
  <c r="AR22" i="393"/>
  <c r="Y45" i="91"/>
  <c r="Y47" i="91" s="1"/>
  <c r="W47" i="91"/>
  <c r="F29" i="227"/>
  <c r="F30" i="227" s="1"/>
  <c r="E2" i="325"/>
  <c r="E2" i="421"/>
  <c r="E2" i="374"/>
  <c r="E2" i="435"/>
  <c r="F50" i="167"/>
  <c r="D18" i="319" s="1"/>
  <c r="G50" i="227"/>
  <c r="O12" i="391"/>
  <c r="BV45" i="91"/>
  <c r="BV47" i="91" s="1"/>
  <c r="BT47" i="91"/>
  <c r="F50" i="393"/>
  <c r="C48" i="91"/>
  <c r="C54" i="91" s="1"/>
  <c r="C55" i="91"/>
  <c r="G22" i="393"/>
  <c r="C1" i="417"/>
  <c r="C1" i="380"/>
  <c r="C1" i="432"/>
  <c r="C1" i="322"/>
  <c r="E48" i="91"/>
  <c r="E54" i="91" s="1"/>
  <c r="E55" i="91"/>
  <c r="BB45" i="91" l="1"/>
  <c r="BB47" i="91" s="1"/>
  <c r="AZ47" i="91"/>
  <c r="M45" i="91"/>
  <c r="M47" i="91" s="1"/>
  <c r="K47" i="91"/>
  <c r="U45" i="91"/>
  <c r="U47" i="91" s="1"/>
  <c r="S47" i="91"/>
  <c r="CD47" i="91"/>
  <c r="CD48" i="91" s="1"/>
  <c r="CD54" i="91" s="1"/>
  <c r="CF45" i="91"/>
  <c r="CF47" i="91" s="1"/>
  <c r="CF48" i="91" s="1"/>
  <c r="CF54" i="91" s="1"/>
  <c r="CV45" i="91"/>
  <c r="CV47" i="91" s="1"/>
  <c r="CV48" i="91" s="1"/>
  <c r="CV54" i="91" s="1"/>
  <c r="CT47" i="91"/>
  <c r="CT48" i="91" s="1"/>
  <c r="CT54" i="91" s="1"/>
  <c r="AT45" i="91"/>
  <c r="AT47" i="91" s="1"/>
  <c r="AR47" i="91"/>
  <c r="BD47" i="91"/>
  <c r="BF45" i="91"/>
  <c r="BF47" i="91" s="1"/>
  <c r="O45" i="91"/>
  <c r="O46" i="91"/>
  <c r="Q46" i="91" s="1"/>
  <c r="M44" i="268"/>
  <c r="O44" i="268" s="1"/>
  <c r="D45" i="357" s="1"/>
  <c r="CZ47" i="91"/>
  <c r="CZ48" i="91" s="1"/>
  <c r="CZ54" i="91" s="1"/>
  <c r="DB45" i="91"/>
  <c r="DB47" i="91" s="1"/>
  <c r="DB48" i="91" s="1"/>
  <c r="DB54" i="91" s="1"/>
  <c r="BX47" i="91"/>
  <c r="BX48" i="91" s="1"/>
  <c r="BX54" i="91" s="1"/>
  <c r="BZ45" i="91"/>
  <c r="BZ47" i="91" s="1"/>
  <c r="BZ48" i="91" s="1"/>
  <c r="BZ54" i="91" s="1"/>
  <c r="AN46" i="91"/>
  <c r="AP46" i="91" s="1"/>
  <c r="AN45" i="91"/>
  <c r="AV45" i="91"/>
  <c r="AV46" i="91"/>
  <c r="AX46" i="91" s="1"/>
  <c r="CJ45" i="91"/>
  <c r="CJ47" i="91" s="1"/>
  <c r="CJ48" i="91" s="1"/>
  <c r="CJ54" i="91" s="1"/>
  <c r="CH47" i="91"/>
  <c r="CH48" i="91" s="1"/>
  <c r="CH54" i="91" s="1"/>
  <c r="H58" i="167"/>
  <c r="H59" i="167" s="1"/>
  <c r="AW20" i="167" s="1"/>
  <c r="H58" i="393"/>
  <c r="H59" i="393" s="1"/>
  <c r="O112" i="1"/>
  <c r="D39" i="408"/>
  <c r="J39" i="248" s="1"/>
  <c r="F14" i="410"/>
  <c r="G20" i="393"/>
  <c r="AR20" i="393"/>
  <c r="AR75" i="393"/>
  <c r="CV45" i="168"/>
  <c r="CV47" i="168" s="1"/>
  <c r="CT47" i="168"/>
  <c r="V7" i="393"/>
  <c r="V9" i="393" s="1"/>
  <c r="AJ21" i="393"/>
  <c r="AJ23" i="393" s="1"/>
  <c r="AJ76" i="393"/>
  <c r="AJ78" i="393" s="1"/>
  <c r="E21" i="393"/>
  <c r="F10" i="227"/>
  <c r="AJ76" i="167"/>
  <c r="AJ78" i="167" s="1"/>
  <c r="E21" i="167"/>
  <c r="V7" i="167"/>
  <c r="V9" i="167" s="1"/>
  <c r="AJ21" i="167"/>
  <c r="AJ23" i="167" s="1"/>
  <c r="D37" i="301" s="1"/>
  <c r="G37" i="248" s="1"/>
  <c r="F11" i="393"/>
  <c r="F11" i="167"/>
  <c r="M111" i="1"/>
  <c r="K168" i="1"/>
  <c r="C11" i="377" s="1"/>
  <c r="K161" i="1"/>
  <c r="K163" i="1"/>
  <c r="K162" i="1"/>
  <c r="T11" i="167"/>
  <c r="X11" i="184" s="1"/>
  <c r="X12" i="184" s="1"/>
  <c r="CD55" i="168"/>
  <c r="CD48" i="168"/>
  <c r="CD54" i="168" s="1"/>
  <c r="E3" i="435"/>
  <c r="E3" i="374"/>
  <c r="E3" i="325"/>
  <c r="E3" i="421"/>
  <c r="AW75" i="167"/>
  <c r="G27" i="227"/>
  <c r="G29" i="227" s="1"/>
  <c r="G30" i="227" s="1"/>
  <c r="F15" i="410"/>
  <c r="H20" i="167"/>
  <c r="M46" i="268"/>
  <c r="O49" i="268" s="1"/>
  <c r="AR22" i="167"/>
  <c r="H47" i="227"/>
  <c r="H27" i="227" s="1"/>
  <c r="D8" i="357"/>
  <c r="K46" i="268"/>
  <c r="D10" i="357" s="1"/>
  <c r="H46" i="268"/>
  <c r="D8" i="350"/>
  <c r="O165" i="1"/>
  <c r="C9" i="429"/>
  <c r="O164" i="1"/>
  <c r="O166" i="1"/>
  <c r="O46" i="268"/>
  <c r="D47" i="357" s="1"/>
  <c r="D45" i="350"/>
  <c r="K52" i="248"/>
  <c r="J22" i="227"/>
  <c r="D17" i="435"/>
  <c r="AF73" i="60"/>
  <c r="D18" i="435" s="1"/>
  <c r="AW18" i="168"/>
  <c r="AH71" i="60"/>
  <c r="E16" i="435"/>
  <c r="BC18" i="352"/>
  <c r="G137" i="348"/>
  <c r="BC18" i="388"/>
  <c r="AW18" i="388"/>
  <c r="BC18" i="389"/>
  <c r="AW18" i="352"/>
  <c r="AW18" i="389"/>
  <c r="BC18" i="168"/>
  <c r="AD73" i="60"/>
  <c r="E18" i="421" s="1"/>
  <c r="E17" i="421"/>
  <c r="G44" i="400"/>
  <c r="G46" i="400" s="1"/>
  <c r="G49" i="400" s="1"/>
  <c r="F44" i="398"/>
  <c r="U11" i="393" s="1"/>
  <c r="F134" i="398"/>
  <c r="D15" i="285"/>
  <c r="M25" i="280"/>
  <c r="D31" i="285"/>
  <c r="M36" i="280"/>
  <c r="M26" i="280"/>
  <c r="D16" i="285"/>
  <c r="M27" i="280"/>
  <c r="D17" i="285"/>
  <c r="M24" i="280"/>
  <c r="D14" i="285"/>
  <c r="F44" i="280"/>
  <c r="D49" i="281"/>
  <c r="F49" i="248" s="1"/>
  <c r="M39" i="280"/>
  <c r="D36" i="285"/>
  <c r="D11" i="285"/>
  <c r="D44" i="281"/>
  <c r="F44" i="248" s="1"/>
  <c r="M21" i="280"/>
  <c r="H44" i="280"/>
  <c r="M35" i="280"/>
  <c r="H135" i="280"/>
  <c r="D30" i="285"/>
  <c r="M41" i="280"/>
  <c r="D50" i="281"/>
  <c r="F50" i="248" s="1"/>
  <c r="D38" i="285"/>
  <c r="F132" i="280"/>
  <c r="H132" i="280"/>
  <c r="D13" i="285"/>
  <c r="M22" i="280"/>
  <c r="D26" i="285"/>
  <c r="M33" i="280"/>
  <c r="H134" i="280"/>
  <c r="H133" i="280"/>
  <c r="M29" i="280"/>
  <c r="D22" i="285"/>
  <c r="G44" i="348"/>
  <c r="G46" i="348" s="1"/>
  <c r="G49" i="348" s="1"/>
  <c r="G137" i="398"/>
  <c r="G137" i="400"/>
  <c r="G134" i="400"/>
  <c r="G134" i="348"/>
  <c r="G134" i="398"/>
  <c r="G44" i="398"/>
  <c r="G46" i="398" s="1"/>
  <c r="G49" i="398" s="1"/>
  <c r="F137" i="398"/>
  <c r="C25" i="167"/>
  <c r="F46" i="268"/>
  <c r="J44" i="268"/>
  <c r="C25" i="393"/>
  <c r="K53" i="268" s="1"/>
  <c r="D19" i="357" s="1"/>
  <c r="C8" i="350"/>
  <c r="I44" i="268"/>
  <c r="I46" i="268" s="1"/>
  <c r="BN55" i="91"/>
  <c r="BN48" i="91"/>
  <c r="BN54" i="91" s="1"/>
  <c r="BL48" i="91"/>
  <c r="BL54" i="91" s="1"/>
  <c r="BL55" i="91"/>
  <c r="I22" i="393"/>
  <c r="B21" i="391"/>
  <c r="D20" i="391"/>
  <c r="F20" i="391" s="1"/>
  <c r="H20" i="391" s="1"/>
  <c r="J20" i="391" s="1"/>
  <c r="L20" i="391" s="1"/>
  <c r="N20" i="391" s="1"/>
  <c r="P20" i="391" s="1"/>
  <c r="E20" i="391"/>
  <c r="G20" i="391" s="1"/>
  <c r="I20" i="391" s="1"/>
  <c r="K20" i="391" s="1"/>
  <c r="M20" i="391" s="1"/>
  <c r="O20" i="391" s="1"/>
  <c r="Q20" i="391" s="1"/>
  <c r="AJ55" i="91"/>
  <c r="AJ48" i="91"/>
  <c r="AJ54" i="91" s="1"/>
  <c r="BB22" i="393"/>
  <c r="AL48" i="91"/>
  <c r="AL54" i="91" s="1"/>
  <c r="AL55" i="91"/>
  <c r="G50" i="167"/>
  <c r="D18" i="377" s="1"/>
  <c r="H50" i="227"/>
  <c r="G50" i="393"/>
  <c r="BT55" i="91"/>
  <c r="BT48" i="91"/>
  <c r="BT54" i="91" s="1"/>
  <c r="H22" i="393"/>
  <c r="Y55" i="91"/>
  <c r="Y48" i="91"/>
  <c r="Y54" i="91" s="1"/>
  <c r="BV48" i="91"/>
  <c r="BV54" i="91" s="1"/>
  <c r="BV55" i="91"/>
  <c r="D16" i="414"/>
  <c r="AW22" i="167"/>
  <c r="I47" i="227"/>
  <c r="AW22" i="393"/>
  <c r="D1" i="418"/>
  <c r="D1" i="433"/>
  <c r="D1" i="381"/>
  <c r="D1" i="323"/>
  <c r="H22" i="167"/>
  <c r="Q12" i="391"/>
  <c r="E2" i="326"/>
  <c r="E2" i="375" s="1"/>
  <c r="E2" i="436"/>
  <c r="E2" i="420"/>
  <c r="E2" i="382"/>
  <c r="E2" i="412" s="1"/>
  <c r="AW77" i="167"/>
  <c r="AW77" i="393"/>
  <c r="W55" i="91"/>
  <c r="W48" i="91"/>
  <c r="W54" i="91" s="1"/>
  <c r="AX45" i="91" l="1"/>
  <c r="AX47" i="91" s="1"/>
  <c r="AV47" i="91"/>
  <c r="AR55" i="91"/>
  <c r="AR48" i="91"/>
  <c r="AR54" i="91" s="1"/>
  <c r="W93" i="91"/>
  <c r="W84" i="91" s="1"/>
  <c r="W86" i="91" s="1"/>
  <c r="K48" i="91"/>
  <c r="W121" i="91"/>
  <c r="K55" i="91"/>
  <c r="W118" i="91"/>
  <c r="W117" i="91"/>
  <c r="W120" i="91"/>
  <c r="W91" i="91" s="1"/>
  <c r="AP45" i="91"/>
  <c r="AP47" i="91" s="1"/>
  <c r="AN47" i="91"/>
  <c r="Q45" i="91"/>
  <c r="Q47" i="91" s="1"/>
  <c r="O47" i="91"/>
  <c r="AT55" i="91"/>
  <c r="AT48" i="91"/>
  <c r="AT54" i="91" s="1"/>
  <c r="M55" i="91"/>
  <c r="M48" i="91"/>
  <c r="M54" i="91" s="1"/>
  <c r="BF55" i="91"/>
  <c r="BF48" i="91"/>
  <c r="BF54" i="91" s="1"/>
  <c r="Y120" i="91"/>
  <c r="Y121" i="91"/>
  <c r="S48" i="91"/>
  <c r="AH93" i="91"/>
  <c r="AH84" i="91" s="1"/>
  <c r="AH86" i="91" s="1"/>
  <c r="S55" i="91"/>
  <c r="Y118" i="91"/>
  <c r="Y117" i="91"/>
  <c r="AZ48" i="91"/>
  <c r="AZ54" i="91" s="1"/>
  <c r="AZ55" i="91"/>
  <c r="BD55" i="91"/>
  <c r="BD48" i="91"/>
  <c r="BD54" i="91" s="1"/>
  <c r="U55" i="91"/>
  <c r="U48" i="91"/>
  <c r="U54" i="91" s="1"/>
  <c r="BB48" i="91"/>
  <c r="BB54" i="91" s="1"/>
  <c r="BB55" i="91"/>
  <c r="I58" i="393"/>
  <c r="I59" i="393" s="1"/>
  <c r="D39" i="424"/>
  <c r="K39" i="248" s="1"/>
  <c r="I58" i="167"/>
  <c r="I59" i="167" s="1"/>
  <c r="I20" i="167" s="1"/>
  <c r="F14" i="422"/>
  <c r="H26" i="302"/>
  <c r="M26" i="302" s="1"/>
  <c r="D40" i="408"/>
  <c r="J40" i="248" s="1"/>
  <c r="AW75" i="393"/>
  <c r="H20" i="393"/>
  <c r="AW20" i="393"/>
  <c r="H29" i="302"/>
  <c r="H133" i="302" s="1"/>
  <c r="H27" i="302"/>
  <c r="M27" i="302" s="1"/>
  <c r="H33" i="302"/>
  <c r="D26" i="307" s="1"/>
  <c r="CT48" i="168"/>
  <c r="CT55" i="168"/>
  <c r="H36" i="302"/>
  <c r="M36" i="302" s="1"/>
  <c r="H21" i="302"/>
  <c r="D44" i="301" s="1"/>
  <c r="G44" i="248" s="1"/>
  <c r="CV48" i="168"/>
  <c r="CV54" i="168" s="1"/>
  <c r="CV55" i="168"/>
  <c r="G11" i="167"/>
  <c r="G11" i="393"/>
  <c r="F21" i="393"/>
  <c r="AN21" i="393"/>
  <c r="AN23" i="393" s="1"/>
  <c r="AN76" i="393"/>
  <c r="AN78" i="393" s="1"/>
  <c r="M29" i="302"/>
  <c r="D16" i="307"/>
  <c r="AE17" i="74"/>
  <c r="DB24" i="168" s="1"/>
  <c r="DD24" i="168" s="1"/>
  <c r="DD33" i="168" s="1"/>
  <c r="H35" i="302"/>
  <c r="D30" i="307" s="1"/>
  <c r="D19" i="306"/>
  <c r="H24" i="302"/>
  <c r="M24" i="302" s="1"/>
  <c r="O111" i="1"/>
  <c r="M168" i="1"/>
  <c r="C11" i="414" s="1"/>
  <c r="M161" i="1"/>
  <c r="M162" i="1"/>
  <c r="M163" i="1"/>
  <c r="F41" i="400"/>
  <c r="F35" i="400"/>
  <c r="F33" i="400"/>
  <c r="F136" i="400" s="1"/>
  <c r="F24" i="400"/>
  <c r="F22" i="400"/>
  <c r="F25" i="400"/>
  <c r="F39" i="400"/>
  <c r="F36" i="400"/>
  <c r="F27" i="400"/>
  <c r="F21" i="400"/>
  <c r="F26" i="400"/>
  <c r="F29" i="400"/>
  <c r="F135" i="400" s="1"/>
  <c r="E49" i="393"/>
  <c r="E23" i="393"/>
  <c r="D22" i="307"/>
  <c r="H25" i="302"/>
  <c r="D15" i="307" s="1"/>
  <c r="H39" i="302"/>
  <c r="D49" i="301" s="1"/>
  <c r="G49" i="248" s="1"/>
  <c r="H41" i="302"/>
  <c r="D38" i="307" s="1"/>
  <c r="H22" i="302"/>
  <c r="G10" i="227"/>
  <c r="F21" i="167"/>
  <c r="AN76" i="167"/>
  <c r="AN78" i="167" s="1"/>
  <c r="AN21" i="167"/>
  <c r="AN23" i="167" s="1"/>
  <c r="E23" i="167"/>
  <c r="E49" i="167"/>
  <c r="D17" i="306" s="1"/>
  <c r="F49" i="227"/>
  <c r="E3" i="420"/>
  <c r="E3" i="436"/>
  <c r="E3" i="326"/>
  <c r="E3" i="375" s="1"/>
  <c r="E3" i="382"/>
  <c r="D47" i="350"/>
  <c r="M49" i="268"/>
  <c r="E67" i="184" s="1"/>
  <c r="H28" i="227"/>
  <c r="H29" i="227" s="1"/>
  <c r="H30" i="227" s="1"/>
  <c r="D31" i="307"/>
  <c r="D14" i="307"/>
  <c r="K49" i="268"/>
  <c r="F37" i="184" s="1"/>
  <c r="H49" i="268"/>
  <c r="E37" i="184" s="1"/>
  <c r="D10" i="350"/>
  <c r="F15" i="422"/>
  <c r="F46" i="398"/>
  <c r="F49" i="398" s="1"/>
  <c r="Y22" i="184" s="1"/>
  <c r="U11" i="167"/>
  <c r="Y11" i="184" s="1"/>
  <c r="Y12" i="184" s="1"/>
  <c r="BE18" i="352"/>
  <c r="BE18" i="168"/>
  <c r="BE18" i="388"/>
  <c r="AH73" i="60"/>
  <c r="E18" i="435" s="1"/>
  <c r="E17" i="435"/>
  <c r="BE18" i="389"/>
  <c r="V11" i="167"/>
  <c r="AG17" i="74" s="1"/>
  <c r="D20" i="285"/>
  <c r="D45" i="281"/>
  <c r="F45" i="248" s="1"/>
  <c r="D32" i="285"/>
  <c r="D48" i="281"/>
  <c r="F48" i="248" s="1"/>
  <c r="T11" i="393"/>
  <c r="D24" i="285"/>
  <c r="D46" i="281"/>
  <c r="F46" i="248" s="1"/>
  <c r="F46" i="280"/>
  <c r="C8" i="359"/>
  <c r="D25" i="167"/>
  <c r="D25" i="393"/>
  <c r="D47" i="281"/>
  <c r="F47" i="248" s="1"/>
  <c r="D28" i="285"/>
  <c r="H46" i="280"/>
  <c r="D54" i="281"/>
  <c r="M44" i="280"/>
  <c r="D8" i="359"/>
  <c r="X20" i="184"/>
  <c r="X14" i="184"/>
  <c r="BG24" i="388"/>
  <c r="BI24" i="388" s="1"/>
  <c r="BI33" i="388" s="1"/>
  <c r="BK24" i="388"/>
  <c r="BM24" i="388" s="1"/>
  <c r="BM33" i="388" s="1"/>
  <c r="J46" i="268"/>
  <c r="C8" i="357"/>
  <c r="C10" i="350"/>
  <c r="F49" i="268"/>
  <c r="C45" i="350"/>
  <c r="E45" i="350" s="1"/>
  <c r="E8" i="350"/>
  <c r="E144" i="269"/>
  <c r="K138" i="268"/>
  <c r="K17" i="74"/>
  <c r="E68" i="269"/>
  <c r="D10" i="274"/>
  <c r="J139" i="268"/>
  <c r="C144" i="269"/>
  <c r="C68" i="269"/>
  <c r="J138" i="268"/>
  <c r="C12" i="275"/>
  <c r="L52" i="268"/>
  <c r="D17" i="267"/>
  <c r="E17" i="248" s="1"/>
  <c r="K139" i="268"/>
  <c r="D17" i="358"/>
  <c r="L53" i="268"/>
  <c r="C56" i="350" s="1"/>
  <c r="E11" i="184"/>
  <c r="E21" i="391"/>
  <c r="G21" i="391" s="1"/>
  <c r="I21" i="391" s="1"/>
  <c r="K21" i="391" s="1"/>
  <c r="M21" i="391" s="1"/>
  <c r="B22" i="391"/>
  <c r="D21" i="391"/>
  <c r="F21" i="391" s="1"/>
  <c r="H21" i="391" s="1"/>
  <c r="J21" i="391" s="1"/>
  <c r="L21" i="391" s="1"/>
  <c r="N21" i="391" s="1"/>
  <c r="P21" i="391" s="1"/>
  <c r="I50" i="393"/>
  <c r="BB22" i="167"/>
  <c r="D1" i="373"/>
  <c r="D1" i="434"/>
  <c r="D1" i="324"/>
  <c r="D1" i="419"/>
  <c r="I28" i="227"/>
  <c r="I27" i="227"/>
  <c r="H50" i="393"/>
  <c r="I22" i="167"/>
  <c r="J50" i="227" s="1"/>
  <c r="D46" i="301"/>
  <c r="G46" i="248" s="1"/>
  <c r="D24" i="307"/>
  <c r="I50" i="227"/>
  <c r="H50" i="167"/>
  <c r="D18" i="414" s="1"/>
  <c r="AH83" i="91" l="1"/>
  <c r="S54" i="91"/>
  <c r="AH89" i="91"/>
  <c r="AH94" i="91" s="1"/>
  <c r="AH81" i="91"/>
  <c r="AH87" i="91" s="1"/>
  <c r="AP48" i="91"/>
  <c r="AP54" i="91" s="1"/>
  <c r="AP55" i="91"/>
  <c r="O48" i="91"/>
  <c r="O54" i="91" s="1"/>
  <c r="O55" i="91"/>
  <c r="AH91" i="91"/>
  <c r="Q55" i="91"/>
  <c r="Q48" i="91"/>
  <c r="Q54" i="91" s="1"/>
  <c r="W83" i="91"/>
  <c r="W89" i="91"/>
  <c r="W94" i="91" s="1"/>
  <c r="K54" i="91"/>
  <c r="W81" i="91"/>
  <c r="W87" i="91" s="1"/>
  <c r="W96" i="91" s="1"/>
  <c r="AV55" i="91"/>
  <c r="AV48" i="91"/>
  <c r="AV54" i="91" s="1"/>
  <c r="AN48" i="91"/>
  <c r="AN54" i="91" s="1"/>
  <c r="AN55" i="91"/>
  <c r="AX55" i="91"/>
  <c r="AX48" i="91"/>
  <c r="AX54" i="91" s="1"/>
  <c r="D40" i="424"/>
  <c r="K40" i="248" s="1"/>
  <c r="BB20" i="167"/>
  <c r="J47" i="227" s="1"/>
  <c r="M33" i="302"/>
  <c r="F137" i="400"/>
  <c r="BB75" i="167"/>
  <c r="M41" i="302"/>
  <c r="BB20" i="393"/>
  <c r="I20" i="393"/>
  <c r="BB75" i="393"/>
  <c r="BB77" i="393" s="1"/>
  <c r="D36" i="307"/>
  <c r="M39" i="302"/>
  <c r="D17" i="307"/>
  <c r="D11" i="307"/>
  <c r="H134" i="302"/>
  <c r="D28" i="307" s="1"/>
  <c r="D50" i="301"/>
  <c r="G50" i="248" s="1"/>
  <c r="M21" i="302"/>
  <c r="F24" i="302"/>
  <c r="F39" i="302"/>
  <c r="F35" i="302"/>
  <c r="F25" i="302"/>
  <c r="F22" i="302"/>
  <c r="F51" i="227"/>
  <c r="F21" i="302"/>
  <c r="F33" i="302"/>
  <c r="F134" i="302" s="1"/>
  <c r="F29" i="302"/>
  <c r="F133" i="302" s="1"/>
  <c r="F36" i="302"/>
  <c r="F41" i="302"/>
  <c r="F26" i="302"/>
  <c r="F27" i="302"/>
  <c r="F134" i="400"/>
  <c r="AR76" i="393"/>
  <c r="AR78" i="393" s="1"/>
  <c r="AR21" i="393"/>
  <c r="AR23" i="393" s="1"/>
  <c r="G21" i="393"/>
  <c r="M35" i="302"/>
  <c r="H27" i="315"/>
  <c r="H22" i="315"/>
  <c r="H41" i="315"/>
  <c r="H39" i="315"/>
  <c r="H33" i="315"/>
  <c r="H36" i="315"/>
  <c r="H35" i="315"/>
  <c r="H24" i="315"/>
  <c r="H26" i="315"/>
  <c r="H21" i="315"/>
  <c r="D19" i="319"/>
  <c r="D37" i="316"/>
  <c r="H37" i="248" s="1"/>
  <c r="H25" i="315"/>
  <c r="H29" i="315"/>
  <c r="M22" i="302"/>
  <c r="D13" i="307"/>
  <c r="O168" i="1"/>
  <c r="C11" i="429" s="1"/>
  <c r="O162" i="1"/>
  <c r="O163" i="1"/>
  <c r="O161" i="1"/>
  <c r="H10" i="227"/>
  <c r="AR21" i="167"/>
  <c r="AR23" i="167" s="1"/>
  <c r="H21" i="369" s="1"/>
  <c r="D11" i="378" s="1"/>
  <c r="G21" i="167"/>
  <c r="AR76" i="167"/>
  <c r="AR78" i="167" s="1"/>
  <c r="DF24" i="168"/>
  <c r="DH24" i="168" s="1"/>
  <c r="DH33" i="168" s="1"/>
  <c r="DH34" i="168" s="1"/>
  <c r="DH35" i="168" s="1"/>
  <c r="BG15" i="388"/>
  <c r="BI15" i="388" s="1"/>
  <c r="H132" i="302"/>
  <c r="H44" i="302"/>
  <c r="H135" i="302"/>
  <c r="DB15" i="168"/>
  <c r="DD15" i="168" s="1"/>
  <c r="M25" i="302"/>
  <c r="F23" i="167"/>
  <c r="G49" i="227"/>
  <c r="F49" i="167"/>
  <c r="D17" i="319" s="1"/>
  <c r="F44" i="400"/>
  <c r="H11" i="393"/>
  <c r="H11" i="167"/>
  <c r="F49" i="393"/>
  <c r="F23" i="393"/>
  <c r="D47" i="301"/>
  <c r="G47" i="248" s="1"/>
  <c r="D16" i="429"/>
  <c r="D37" i="371"/>
  <c r="I37" i="248" s="1"/>
  <c r="H35" i="369"/>
  <c r="M35" i="369" s="1"/>
  <c r="DB16" i="168"/>
  <c r="DB17" i="168" s="1"/>
  <c r="DB19" i="168" s="1"/>
  <c r="DB27" i="168" s="1"/>
  <c r="DB28" i="168" s="1"/>
  <c r="DB29" i="168" s="1"/>
  <c r="DB30" i="168" s="1"/>
  <c r="DB33" i="168" s="1"/>
  <c r="DB36" i="168" s="1"/>
  <c r="BG16" i="388"/>
  <c r="BG17" i="388" s="1"/>
  <c r="BG19" i="388" s="1"/>
  <c r="BG27" i="388" s="1"/>
  <c r="BG28" i="388" s="1"/>
  <c r="BG29" i="388" s="1"/>
  <c r="BG30" i="388" s="1"/>
  <c r="BG33" i="388" s="1"/>
  <c r="BB77" i="167"/>
  <c r="E8" i="359"/>
  <c r="AF17" i="74"/>
  <c r="DJ15" i="168" s="1"/>
  <c r="Z11" i="184"/>
  <c r="Z12" i="184" s="1"/>
  <c r="Z14" i="184" s="1"/>
  <c r="AH17" i="74"/>
  <c r="DZ24" i="168" s="1"/>
  <c r="EB24" i="168" s="1"/>
  <c r="EB33" i="168" s="1"/>
  <c r="F54" i="248"/>
  <c r="E21" i="227"/>
  <c r="E26" i="227" s="1"/>
  <c r="E31" i="227" s="1"/>
  <c r="E33" i="227" s="1"/>
  <c r="C12" i="360"/>
  <c r="D10" i="359"/>
  <c r="H49" i="280"/>
  <c r="D56" i="281"/>
  <c r="F56" i="248" s="1"/>
  <c r="D10" i="286"/>
  <c r="D17" i="281"/>
  <c r="F17" i="248" s="1"/>
  <c r="C144" i="291"/>
  <c r="G11" i="184"/>
  <c r="C68" i="291"/>
  <c r="L17" i="74"/>
  <c r="J53" i="280"/>
  <c r="E68" i="291"/>
  <c r="C12" i="313"/>
  <c r="E144" i="291"/>
  <c r="J52" i="280"/>
  <c r="K52" i="280" s="1"/>
  <c r="C17" i="360" s="1"/>
  <c r="D12" i="360"/>
  <c r="M46" i="280"/>
  <c r="M49" i="280" s="1"/>
  <c r="C10" i="359"/>
  <c r="F49" i="280"/>
  <c r="G22" i="184" s="1"/>
  <c r="Y14" i="184"/>
  <c r="Y20" i="184"/>
  <c r="DV24" i="168"/>
  <c r="DX24" i="168" s="1"/>
  <c r="DX33" i="168" s="1"/>
  <c r="DR15" i="168"/>
  <c r="DR24" i="168"/>
  <c r="DT24" i="168" s="1"/>
  <c r="DT33" i="168" s="1"/>
  <c r="BM36" i="388"/>
  <c r="BM34" i="388"/>
  <c r="BM35" i="388" s="1"/>
  <c r="BI36" i="388"/>
  <c r="BI34" i="388"/>
  <c r="DD36" i="168"/>
  <c r="DD34" i="168"/>
  <c r="C47" i="350"/>
  <c r="E47" i="350" s="1"/>
  <c r="E10" i="350"/>
  <c r="E50" i="184"/>
  <c r="C13" i="275" s="1"/>
  <c r="E51" i="184"/>
  <c r="C14" i="275" s="1"/>
  <c r="E12" i="184"/>
  <c r="C45" i="357"/>
  <c r="E45" i="357" s="1"/>
  <c r="E8" i="357"/>
  <c r="M52" i="268"/>
  <c r="C17" i="356"/>
  <c r="C15" i="352"/>
  <c r="E77" i="269"/>
  <c r="I112" i="352"/>
  <c r="E153" i="269"/>
  <c r="E142" i="388"/>
  <c r="E149" i="389"/>
  <c r="I119" i="352"/>
  <c r="C94" i="269"/>
  <c r="E94" i="269" s="1"/>
  <c r="G24" i="352"/>
  <c r="I24" i="352" s="1"/>
  <c r="C15" i="389"/>
  <c r="E112" i="168"/>
  <c r="E128" i="388"/>
  <c r="E126" i="168"/>
  <c r="C24" i="389"/>
  <c r="E24" i="389" s="1"/>
  <c r="E128" i="389"/>
  <c r="E128" i="352"/>
  <c r="C15" i="168"/>
  <c r="E112" i="352"/>
  <c r="E119" i="168"/>
  <c r="I142" i="388"/>
  <c r="I149" i="389"/>
  <c r="I128" i="388"/>
  <c r="E119" i="352"/>
  <c r="E149" i="388"/>
  <c r="C15" i="388"/>
  <c r="E135" i="388"/>
  <c r="C24" i="168"/>
  <c r="I135" i="389"/>
  <c r="G24" i="389"/>
  <c r="I24" i="389" s="1"/>
  <c r="I149" i="388"/>
  <c r="I126" i="168"/>
  <c r="G24" i="168"/>
  <c r="C24" i="352"/>
  <c r="E24" i="352" s="1"/>
  <c r="I142" i="389"/>
  <c r="C77" i="269"/>
  <c r="E142" i="389"/>
  <c r="I128" i="352"/>
  <c r="C24" i="388"/>
  <c r="E24" i="388" s="1"/>
  <c r="E135" i="389"/>
  <c r="I119" i="168"/>
  <c r="C153" i="269"/>
  <c r="I135" i="388"/>
  <c r="G24" i="388"/>
  <c r="I24" i="388" s="1"/>
  <c r="C18" i="269"/>
  <c r="E18" i="269" s="1"/>
  <c r="I128" i="389"/>
  <c r="J49" i="268"/>
  <c r="F22" i="184" s="1"/>
  <c r="F57" i="184" s="1"/>
  <c r="C10" i="357"/>
  <c r="I49" i="268"/>
  <c r="E22" i="184"/>
  <c r="E57" i="184" s="1"/>
  <c r="E22" i="391"/>
  <c r="G22" i="391" s="1"/>
  <c r="I22" i="391" s="1"/>
  <c r="K22" i="391" s="1"/>
  <c r="M22" i="391" s="1"/>
  <c r="O22" i="391" s="1"/>
  <c r="Q22" i="391" s="1"/>
  <c r="B23" i="391"/>
  <c r="D22" i="391"/>
  <c r="F22" i="391" s="1"/>
  <c r="H22" i="391" s="1"/>
  <c r="J22" i="391" s="1"/>
  <c r="L22" i="391" s="1"/>
  <c r="N22" i="391" s="1"/>
  <c r="P22" i="391" s="1"/>
  <c r="O21" i="391"/>
  <c r="E1" i="325"/>
  <c r="E1" i="435"/>
  <c r="E1" i="374"/>
  <c r="E1" i="421"/>
  <c r="F67" i="184"/>
  <c r="D44" i="371"/>
  <c r="I44" i="248" s="1"/>
  <c r="I50" i="167"/>
  <c r="D18" i="429" s="1"/>
  <c r="I29" i="227"/>
  <c r="I30" i="227" s="1"/>
  <c r="AH96" i="91" l="1"/>
  <c r="H25" i="369"/>
  <c r="D15" i="378" s="1"/>
  <c r="J28" i="227"/>
  <c r="J27" i="227"/>
  <c r="H22" i="369"/>
  <c r="D13" i="378" s="1"/>
  <c r="H24" i="369"/>
  <c r="DH36" i="168"/>
  <c r="M21" i="369"/>
  <c r="H39" i="369"/>
  <c r="M39" i="369" s="1"/>
  <c r="H27" i="369"/>
  <c r="D19" i="377"/>
  <c r="H26" i="369"/>
  <c r="D16" i="378" s="1"/>
  <c r="H29" i="369"/>
  <c r="D22" i="378" s="1"/>
  <c r="AW21" i="393"/>
  <c r="AW23" i="393" s="1"/>
  <c r="AW76" i="393"/>
  <c r="AW78" i="393" s="1"/>
  <c r="H21" i="393"/>
  <c r="F35" i="315"/>
  <c r="F25" i="315"/>
  <c r="F39" i="315"/>
  <c r="F26" i="315"/>
  <c r="F29" i="315"/>
  <c r="F133" i="315" s="1"/>
  <c r="F21" i="315"/>
  <c r="F33" i="315"/>
  <c r="F134" i="315" s="1"/>
  <c r="F36" i="315"/>
  <c r="F24" i="315"/>
  <c r="F22" i="315"/>
  <c r="F41" i="315"/>
  <c r="G51" i="227"/>
  <c r="F27" i="315"/>
  <c r="D54" i="301"/>
  <c r="H46" i="302"/>
  <c r="I11" i="167"/>
  <c r="I11" i="393"/>
  <c r="D14" i="320"/>
  <c r="M24" i="315"/>
  <c r="M39" i="315"/>
  <c r="D49" i="316"/>
  <c r="H49" i="248" s="1"/>
  <c r="D36" i="320"/>
  <c r="M44" i="302"/>
  <c r="F46" i="400"/>
  <c r="F49" i="400" s="1"/>
  <c r="Z22" i="184" s="1"/>
  <c r="V11" i="393"/>
  <c r="D20" i="307"/>
  <c r="D45" i="301"/>
  <c r="G45" i="248" s="1"/>
  <c r="G49" i="167"/>
  <c r="D17" i="377" s="1"/>
  <c r="G23" i="167"/>
  <c r="H49" i="227"/>
  <c r="M35" i="315"/>
  <c r="H135" i="315"/>
  <c r="D30" i="320"/>
  <c r="D50" i="316"/>
  <c r="H50" i="248" s="1"/>
  <c r="D38" i="320"/>
  <c r="M41" i="315"/>
  <c r="G49" i="393"/>
  <c r="G23" i="393"/>
  <c r="F132" i="302"/>
  <c r="D8" i="364"/>
  <c r="H133" i="315"/>
  <c r="D22" i="320"/>
  <c r="M29" i="315"/>
  <c r="M21" i="315"/>
  <c r="D44" i="316"/>
  <c r="H44" i="248" s="1"/>
  <c r="D11" i="320"/>
  <c r="H44" i="315"/>
  <c r="D31" i="320"/>
  <c r="M36" i="315"/>
  <c r="D13" i="320"/>
  <c r="H132" i="315"/>
  <c r="H41" i="369"/>
  <c r="M41" i="369" s="1"/>
  <c r="H36" i="369"/>
  <c r="D31" i="378" s="1"/>
  <c r="H33" i="369"/>
  <c r="D26" i="378" s="1"/>
  <c r="I10" i="227"/>
  <c r="AW21" i="167"/>
  <c r="AW23" i="167" s="1"/>
  <c r="AW76" i="167"/>
  <c r="AW78" i="167" s="1"/>
  <c r="H21" i="167"/>
  <c r="D48" i="301"/>
  <c r="G48" i="248" s="1"/>
  <c r="D32" i="307"/>
  <c r="D15" i="320"/>
  <c r="M25" i="315"/>
  <c r="M26" i="315"/>
  <c r="D16" i="320"/>
  <c r="M33" i="315"/>
  <c r="D26" i="320"/>
  <c r="H134" i="315"/>
  <c r="D17" i="320"/>
  <c r="M27" i="315"/>
  <c r="F44" i="302"/>
  <c r="F135" i="302"/>
  <c r="D30" i="378"/>
  <c r="M25" i="369"/>
  <c r="D14" i="378"/>
  <c r="M26" i="369"/>
  <c r="M24" i="369"/>
  <c r="DL15" i="168"/>
  <c r="DJ16" i="168"/>
  <c r="DJ17" i="168" s="1"/>
  <c r="DJ19" i="168" s="1"/>
  <c r="DJ27" i="168" s="1"/>
  <c r="DJ28" i="168" s="1"/>
  <c r="DJ29" i="168" s="1"/>
  <c r="DJ30" i="168" s="1"/>
  <c r="E15" i="168"/>
  <c r="C16" i="168"/>
  <c r="DT15" i="168"/>
  <c r="DR16" i="168"/>
  <c r="DR17" i="168" s="1"/>
  <c r="DR19" i="168" s="1"/>
  <c r="DR27" i="168" s="1"/>
  <c r="DR28" i="168" s="1"/>
  <c r="DR29" i="168" s="1"/>
  <c r="DR30" i="168" s="1"/>
  <c r="DR33" i="168" s="1"/>
  <c r="DR34" i="168" s="1"/>
  <c r="E15" i="389"/>
  <c r="C16" i="389"/>
  <c r="C17" i="389" s="1"/>
  <c r="C19" i="389" s="1"/>
  <c r="C27" i="389" s="1"/>
  <c r="C28" i="389" s="1"/>
  <c r="C29" i="389" s="1"/>
  <c r="C30" i="389" s="1"/>
  <c r="C64" i="389" s="1"/>
  <c r="DF15" i="168"/>
  <c r="DD16" i="168"/>
  <c r="DD17" i="168" s="1"/>
  <c r="DD19" i="168" s="1"/>
  <c r="E15" i="352"/>
  <c r="C16" i="352"/>
  <c r="C17" i="352" s="1"/>
  <c r="C19" i="352" s="1"/>
  <c r="C27" i="352" s="1"/>
  <c r="C28" i="352" s="1"/>
  <c r="C29" i="352" s="1"/>
  <c r="C30" i="352" s="1"/>
  <c r="C33" i="352" s="1"/>
  <c r="BK15" i="388"/>
  <c r="BI16" i="388"/>
  <c r="BI17" i="388" s="1"/>
  <c r="BI19" i="388" s="1"/>
  <c r="E15" i="388"/>
  <c r="C16" i="388"/>
  <c r="C17" i="388" s="1"/>
  <c r="C19" i="388" s="1"/>
  <c r="C27" i="388" s="1"/>
  <c r="C28" i="388" s="1"/>
  <c r="C29" i="388" s="1"/>
  <c r="C30" i="388" s="1"/>
  <c r="C64" i="388" s="1"/>
  <c r="ED24" i="168"/>
  <c r="EF24" i="168" s="1"/>
  <c r="EF33" i="168" s="1"/>
  <c r="EF36" i="168" s="1"/>
  <c r="BO24" i="388"/>
  <c r="BQ24" i="388" s="1"/>
  <c r="BQ33" i="388" s="1"/>
  <c r="BQ34" i="388" s="1"/>
  <c r="DJ24" i="168"/>
  <c r="DL24" i="168" s="1"/>
  <c r="DL33" i="168" s="1"/>
  <c r="DL34" i="168" s="1"/>
  <c r="BO15" i="388"/>
  <c r="BS24" i="388"/>
  <c r="BU24" i="388" s="1"/>
  <c r="BU33" i="388" s="1"/>
  <c r="BU34" i="388" s="1"/>
  <c r="BU35" i="388" s="1"/>
  <c r="DN24" i="168"/>
  <c r="DP24" i="168" s="1"/>
  <c r="DP33" i="168" s="1"/>
  <c r="DP34" i="168" s="1"/>
  <c r="DP35" i="168" s="1"/>
  <c r="Z20" i="184"/>
  <c r="DB34" i="168"/>
  <c r="DB35" i="168" s="1"/>
  <c r="DZ15" i="168"/>
  <c r="O24" i="352"/>
  <c r="Q24" i="352" s="1"/>
  <c r="Q33" i="352" s="1"/>
  <c r="M142" i="388"/>
  <c r="M126" i="168"/>
  <c r="K24" i="352"/>
  <c r="M24" i="352" s="1"/>
  <c r="M33" i="352" s="1"/>
  <c r="Q142" i="388"/>
  <c r="O24" i="389"/>
  <c r="Q24" i="389" s="1"/>
  <c r="Q33" i="389" s="1"/>
  <c r="O24" i="168"/>
  <c r="Q149" i="388"/>
  <c r="Q135" i="388"/>
  <c r="M128" i="389"/>
  <c r="E77" i="291"/>
  <c r="M119" i="168"/>
  <c r="C18" i="291"/>
  <c r="E18" i="291" s="1"/>
  <c r="Q135" i="389"/>
  <c r="M135" i="389"/>
  <c r="M112" i="352"/>
  <c r="M142" i="389"/>
  <c r="K15" i="168"/>
  <c r="M149" i="388"/>
  <c r="K15" i="389"/>
  <c r="Q126" i="168"/>
  <c r="Q112" i="168"/>
  <c r="C94" i="291"/>
  <c r="E94" i="291" s="1"/>
  <c r="Q112" i="352"/>
  <c r="Q119" i="168"/>
  <c r="Q128" i="352"/>
  <c r="C77" i="291"/>
  <c r="Q128" i="389"/>
  <c r="M128" i="352"/>
  <c r="M135" i="388"/>
  <c r="E153" i="291"/>
  <c r="K24" i="168"/>
  <c r="K15" i="352"/>
  <c r="K15" i="388"/>
  <c r="O24" i="388"/>
  <c r="Q24" i="388" s="1"/>
  <c r="Q142" i="389"/>
  <c r="C153" i="291"/>
  <c r="K24" i="388"/>
  <c r="M24" i="388" s="1"/>
  <c r="K24" i="389"/>
  <c r="M24" i="389" s="1"/>
  <c r="M33" i="389" s="1"/>
  <c r="Q128" i="388"/>
  <c r="M112" i="168"/>
  <c r="M128" i="388"/>
  <c r="E10" i="359"/>
  <c r="H57" i="184"/>
  <c r="H37" i="184"/>
  <c r="D14" i="360"/>
  <c r="D16" i="360" s="1"/>
  <c r="M75" i="280"/>
  <c r="E12" i="360"/>
  <c r="G51" i="184"/>
  <c r="C14" i="313" s="1"/>
  <c r="G12" i="184"/>
  <c r="G50" i="184"/>
  <c r="C13" i="313" s="1"/>
  <c r="D60" i="281"/>
  <c r="G37" i="184"/>
  <c r="C23" i="313" s="1"/>
  <c r="G57" i="184"/>
  <c r="EB34" i="168"/>
  <c r="EB36" i="168"/>
  <c r="DT34" i="168"/>
  <c r="DT36" i="168"/>
  <c r="DX34" i="168"/>
  <c r="DX35" i="168" s="1"/>
  <c r="DX36" i="168"/>
  <c r="BG34" i="388"/>
  <c r="BG36" i="388"/>
  <c r="DD43" i="168"/>
  <c r="DD35" i="168"/>
  <c r="BI43" i="388"/>
  <c r="BI35" i="388"/>
  <c r="C47" i="357"/>
  <c r="E47" i="357" s="1"/>
  <c r="E10" i="357"/>
  <c r="I33" i="388"/>
  <c r="I64" i="388"/>
  <c r="E33" i="352"/>
  <c r="E64" i="352"/>
  <c r="I64" i="389"/>
  <c r="I33" i="389"/>
  <c r="E33" i="389"/>
  <c r="E64" i="389"/>
  <c r="E64" i="388"/>
  <c r="E33" i="388"/>
  <c r="C109" i="269"/>
  <c r="E109" i="269" s="1"/>
  <c r="I24" i="168"/>
  <c r="I64" i="352"/>
  <c r="I33" i="352"/>
  <c r="C33" i="269"/>
  <c r="E33" i="269" s="1"/>
  <c r="E24" i="168"/>
  <c r="E20" i="184"/>
  <c r="E14" i="184"/>
  <c r="C16" i="275" s="1"/>
  <c r="D23" i="391"/>
  <c r="F23" i="391" s="1"/>
  <c r="H23" i="391" s="1"/>
  <c r="J23" i="391" s="1"/>
  <c r="L23" i="391" s="1"/>
  <c r="N23" i="391" s="1"/>
  <c r="P23" i="391" s="1"/>
  <c r="B24" i="391"/>
  <c r="E23" i="391"/>
  <c r="G23" i="391" s="1"/>
  <c r="I23" i="391" s="1"/>
  <c r="K23" i="391" s="1"/>
  <c r="M23" i="391" s="1"/>
  <c r="Q21" i="391"/>
  <c r="D23" i="275"/>
  <c r="E1" i="420"/>
  <c r="E1" i="382"/>
  <c r="E1" i="412" s="1"/>
  <c r="E1" i="326"/>
  <c r="E1" i="375" s="1"/>
  <c r="E1" i="436"/>
  <c r="M29" i="369" l="1"/>
  <c r="J29" i="227"/>
  <c r="J30" i="227" s="1"/>
  <c r="H133" i="369"/>
  <c r="H132" i="369"/>
  <c r="D20" i="378" s="1"/>
  <c r="F135" i="315"/>
  <c r="D36" i="378"/>
  <c r="F132" i="315"/>
  <c r="D17" i="378"/>
  <c r="M27" i="369"/>
  <c r="D49" i="371"/>
  <c r="I49" i="248" s="1"/>
  <c r="D46" i="316"/>
  <c r="H46" i="248" s="1"/>
  <c r="D24" i="320"/>
  <c r="H49" i="302"/>
  <c r="D10" i="364"/>
  <c r="D56" i="301"/>
  <c r="G56" i="248" s="1"/>
  <c r="H135" i="369"/>
  <c r="D32" i="378" s="1"/>
  <c r="H25" i="410"/>
  <c r="H41" i="410"/>
  <c r="H26" i="410"/>
  <c r="H24" i="410"/>
  <c r="H27" i="410"/>
  <c r="H21" i="410"/>
  <c r="H29" i="410"/>
  <c r="H36" i="410"/>
  <c r="D37" i="408"/>
  <c r="J37" i="248" s="1"/>
  <c r="H35" i="410"/>
  <c r="H33" i="410"/>
  <c r="H39" i="410"/>
  <c r="D19" i="414"/>
  <c r="H22" i="410"/>
  <c r="F29" i="369"/>
  <c r="F133" i="369" s="1"/>
  <c r="F41" i="369"/>
  <c r="F26" i="369"/>
  <c r="F25" i="369"/>
  <c r="F33" i="369"/>
  <c r="F134" i="369" s="1"/>
  <c r="F21" i="369"/>
  <c r="F36" i="369"/>
  <c r="F27" i="369"/>
  <c r="F39" i="369"/>
  <c r="F35" i="369"/>
  <c r="F24" i="369"/>
  <c r="H51" i="227"/>
  <c r="F22" i="369"/>
  <c r="C12" i="361"/>
  <c r="F21" i="227"/>
  <c r="F26" i="227" s="1"/>
  <c r="F31" i="227" s="1"/>
  <c r="F33" i="227" s="1"/>
  <c r="G54" i="248"/>
  <c r="F44" i="315"/>
  <c r="H44" i="369"/>
  <c r="C12" i="372" s="1"/>
  <c r="D38" i="378"/>
  <c r="M36" i="369"/>
  <c r="D28" i="320"/>
  <c r="D47" i="316"/>
  <c r="H47" i="248" s="1"/>
  <c r="D20" i="320"/>
  <c r="D45" i="316"/>
  <c r="H45" i="248" s="1"/>
  <c r="M44" i="315"/>
  <c r="H46" i="315"/>
  <c r="D8" i="368"/>
  <c r="D54" i="316"/>
  <c r="C12" i="363"/>
  <c r="D32" i="320"/>
  <c r="D48" i="316"/>
  <c r="H48" i="248" s="1"/>
  <c r="BB76" i="393"/>
  <c r="BB78" i="393" s="1"/>
  <c r="I21" i="393"/>
  <c r="BB21" i="393"/>
  <c r="BB23" i="393" s="1"/>
  <c r="BU36" i="388"/>
  <c r="D50" i="371"/>
  <c r="I50" i="248" s="1"/>
  <c r="E25" i="167"/>
  <c r="C8" i="364"/>
  <c r="E8" i="364" s="1"/>
  <c r="F46" i="302"/>
  <c r="E25" i="393"/>
  <c r="H49" i="167"/>
  <c r="D17" i="414" s="1"/>
  <c r="I49" i="227"/>
  <c r="H23" i="167"/>
  <c r="H134" i="369"/>
  <c r="M33" i="369"/>
  <c r="D12" i="361"/>
  <c r="M46" i="302"/>
  <c r="M49" i="302" s="1"/>
  <c r="J10" i="227"/>
  <c r="BB21" i="167"/>
  <c r="BB23" i="167" s="1"/>
  <c r="I21" i="167"/>
  <c r="BB76" i="167"/>
  <c r="BB78" i="167" s="1"/>
  <c r="H49" i="393"/>
  <c r="H23" i="393"/>
  <c r="D8" i="384"/>
  <c r="DP36" i="168"/>
  <c r="C33" i="389"/>
  <c r="C36" i="389" s="1"/>
  <c r="EF34" i="168"/>
  <c r="EF35" i="168" s="1"/>
  <c r="C64" i="352"/>
  <c r="C67" i="352" s="1"/>
  <c r="DL36" i="168"/>
  <c r="DL43" i="168" s="1"/>
  <c r="DJ33" i="168"/>
  <c r="DJ36" i="168" s="1"/>
  <c r="M15" i="168"/>
  <c r="K16" i="168"/>
  <c r="M15" i="388"/>
  <c r="K16" i="388"/>
  <c r="K17" i="388" s="1"/>
  <c r="K19" i="388" s="1"/>
  <c r="K27" i="388" s="1"/>
  <c r="K28" i="388" s="1"/>
  <c r="K29" i="388" s="1"/>
  <c r="K30" i="388" s="1"/>
  <c r="K33" i="388" s="1"/>
  <c r="G15" i="388"/>
  <c r="E16" i="388"/>
  <c r="E17" i="388" s="1"/>
  <c r="E19" i="388" s="1"/>
  <c r="DH15" i="168"/>
  <c r="DH16" i="168" s="1"/>
  <c r="DH17" i="168" s="1"/>
  <c r="DH19" i="168" s="1"/>
  <c r="DF16" i="168"/>
  <c r="DF17" i="168" s="1"/>
  <c r="DF19" i="168" s="1"/>
  <c r="DF27" i="168" s="1"/>
  <c r="DF28" i="168" s="1"/>
  <c r="DF29" i="168" s="1"/>
  <c r="DF30" i="168" s="1"/>
  <c r="DF33" i="168" s="1"/>
  <c r="DV15" i="168"/>
  <c r="DT16" i="168"/>
  <c r="DT17" i="168" s="1"/>
  <c r="DT19" i="168" s="1"/>
  <c r="S16" i="352"/>
  <c r="S17" i="352" s="1"/>
  <c r="S19" i="352" s="1"/>
  <c r="S27" i="352" s="1"/>
  <c r="S16" i="388"/>
  <c r="S17" i="388" s="1"/>
  <c r="S19" i="388" s="1"/>
  <c r="S27" i="388" s="1"/>
  <c r="C33" i="388"/>
  <c r="C34" i="388" s="1"/>
  <c r="BQ36" i="388"/>
  <c r="BQ43" i="388" s="1"/>
  <c r="M15" i="352"/>
  <c r="K16" i="352"/>
  <c r="K17" i="352" s="1"/>
  <c r="K19" i="352" s="1"/>
  <c r="K27" i="352" s="1"/>
  <c r="K28" i="352" s="1"/>
  <c r="K29" i="352" s="1"/>
  <c r="K30" i="352" s="1"/>
  <c r="K33" i="352" s="1"/>
  <c r="M15" i="389"/>
  <c r="K16" i="389"/>
  <c r="K17" i="389" s="1"/>
  <c r="K19" i="389" s="1"/>
  <c r="K27" i="389" s="1"/>
  <c r="K28" i="389" s="1"/>
  <c r="K29" i="389" s="1"/>
  <c r="K30" i="389" s="1"/>
  <c r="K33" i="389" s="1"/>
  <c r="EB15" i="168"/>
  <c r="DZ16" i="168"/>
  <c r="DZ17" i="168" s="1"/>
  <c r="DZ19" i="168" s="1"/>
  <c r="DZ27" i="168" s="1"/>
  <c r="DZ28" i="168" s="1"/>
  <c r="DZ29" i="168" s="1"/>
  <c r="DZ30" i="168" s="1"/>
  <c r="DZ33" i="168" s="1"/>
  <c r="DZ36" i="168" s="1"/>
  <c r="BQ15" i="388"/>
  <c r="BO16" i="388"/>
  <c r="BO17" i="388" s="1"/>
  <c r="BO19" i="388" s="1"/>
  <c r="BO27" i="388" s="1"/>
  <c r="BO28" i="388" s="1"/>
  <c r="BO29" i="388" s="1"/>
  <c r="BO30" i="388" s="1"/>
  <c r="BO33" i="388" s="1"/>
  <c r="G15" i="352"/>
  <c r="E16" i="352"/>
  <c r="E17" i="352" s="1"/>
  <c r="E19" i="352" s="1"/>
  <c r="C17" i="168"/>
  <c r="C27" i="269"/>
  <c r="E27" i="269" s="1"/>
  <c r="S16" i="389"/>
  <c r="S17" i="389" s="1"/>
  <c r="S19" i="389" s="1"/>
  <c r="S27" i="389" s="1"/>
  <c r="DN15" i="168"/>
  <c r="DL16" i="168"/>
  <c r="DL17" i="168" s="1"/>
  <c r="DL19" i="168" s="1"/>
  <c r="S16" i="168"/>
  <c r="BM15" i="388"/>
  <c r="BM16" i="388" s="1"/>
  <c r="BM17" i="388" s="1"/>
  <c r="BM19" i="388" s="1"/>
  <c r="BK16" i="388"/>
  <c r="BK17" i="388" s="1"/>
  <c r="BK19" i="388" s="1"/>
  <c r="BK27" i="388" s="1"/>
  <c r="BK28" i="388" s="1"/>
  <c r="BK29" i="388" s="1"/>
  <c r="BK30" i="388" s="1"/>
  <c r="BK33" i="388" s="1"/>
  <c r="G15" i="389"/>
  <c r="E16" i="389"/>
  <c r="E17" i="389" s="1"/>
  <c r="E19" i="389" s="1"/>
  <c r="G15" i="168"/>
  <c r="E16" i="168"/>
  <c r="E17" i="168" s="1"/>
  <c r="E19" i="168" s="1"/>
  <c r="DB43" i="168"/>
  <c r="DB112" i="168" s="1"/>
  <c r="DR36" i="168"/>
  <c r="DR43" i="168" s="1"/>
  <c r="M24" i="168"/>
  <c r="C33" i="291"/>
  <c r="E33" i="291" s="1"/>
  <c r="C109" i="291"/>
  <c r="E109" i="291" s="1"/>
  <c r="Q24" i="168"/>
  <c r="F60" i="248"/>
  <c r="C14" i="360"/>
  <c r="D61" i="109"/>
  <c r="M89" i="280"/>
  <c r="M94" i="280"/>
  <c r="M36" i="389"/>
  <c r="M34" i="389"/>
  <c r="Q36" i="389"/>
  <c r="Q34" i="389"/>
  <c r="Q35" i="389" s="1"/>
  <c r="M33" i="388"/>
  <c r="M64" i="388"/>
  <c r="Q34" i="352"/>
  <c r="Q35" i="352" s="1"/>
  <c r="Q36" i="352"/>
  <c r="G20" i="184"/>
  <c r="G14" i="184"/>
  <c r="C16" i="313" s="1"/>
  <c r="Q33" i="388"/>
  <c r="Q64" i="388"/>
  <c r="M36" i="352"/>
  <c r="M34" i="352"/>
  <c r="DL35" i="168"/>
  <c r="DR35" i="168"/>
  <c r="BQ35" i="388"/>
  <c r="DT35" i="168"/>
  <c r="DT43" i="168"/>
  <c r="EB43" i="168"/>
  <c r="EB35" i="168"/>
  <c r="BG43" i="388"/>
  <c r="BG128" i="388" s="1"/>
  <c r="BG35" i="388"/>
  <c r="F5" i="176"/>
  <c r="C21" i="275"/>
  <c r="D21" i="275" s="1"/>
  <c r="F20" i="184"/>
  <c r="E35" i="184"/>
  <c r="I65" i="352"/>
  <c r="I66" i="352" s="1"/>
  <c r="I67" i="352"/>
  <c r="E65" i="388"/>
  <c r="E67" i="388"/>
  <c r="E36" i="389"/>
  <c r="E34" i="389"/>
  <c r="E34" i="352"/>
  <c r="E36" i="352"/>
  <c r="C65" i="388"/>
  <c r="C67" i="388"/>
  <c r="I64" i="168"/>
  <c r="I33" i="168"/>
  <c r="I36" i="389"/>
  <c r="I34" i="389"/>
  <c r="I35" i="389" s="1"/>
  <c r="I65" i="388"/>
  <c r="I66" i="388" s="1"/>
  <c r="I67" i="388"/>
  <c r="C34" i="352"/>
  <c r="C36" i="352"/>
  <c r="C65" i="389"/>
  <c r="C67" i="389"/>
  <c r="I67" i="389"/>
  <c r="I65" i="389"/>
  <c r="I66" i="389" s="1"/>
  <c r="I36" i="388"/>
  <c r="I34" i="388"/>
  <c r="I35" i="388" s="1"/>
  <c r="I93" i="388" s="1"/>
  <c r="E64" i="168"/>
  <c r="E33" i="168"/>
  <c r="I34" i="352"/>
  <c r="I35" i="352" s="1"/>
  <c r="I36" i="352"/>
  <c r="E34" i="388"/>
  <c r="E36" i="388"/>
  <c r="E67" i="389"/>
  <c r="E65" i="389"/>
  <c r="E67" i="352"/>
  <c r="E65" i="352"/>
  <c r="D24" i="391"/>
  <c r="F24" i="391" s="1"/>
  <c r="H24" i="391" s="1"/>
  <c r="J24" i="391" s="1"/>
  <c r="L24" i="391" s="1"/>
  <c r="N24" i="391" s="1"/>
  <c r="P24" i="391" s="1"/>
  <c r="B25" i="391"/>
  <c r="E24" i="391"/>
  <c r="G24" i="391" s="1"/>
  <c r="I24" i="391" s="1"/>
  <c r="K24" i="391" s="1"/>
  <c r="M24" i="391" s="1"/>
  <c r="O24" i="391" s="1"/>
  <c r="Q24" i="391" s="1"/>
  <c r="O23" i="391"/>
  <c r="C34" i="389" l="1"/>
  <c r="D46" i="371"/>
  <c r="I46" i="248" s="1"/>
  <c r="D24" i="378"/>
  <c r="D48" i="371"/>
  <c r="I48" i="248" s="1"/>
  <c r="C65" i="352"/>
  <c r="M44" i="369"/>
  <c r="M46" i="369" s="1"/>
  <c r="M49" i="369" s="1"/>
  <c r="D45" i="371"/>
  <c r="I45" i="248" s="1"/>
  <c r="D54" i="371"/>
  <c r="F132" i="369"/>
  <c r="H46" i="369"/>
  <c r="H49" i="369" s="1"/>
  <c r="H33" i="422"/>
  <c r="H41" i="422"/>
  <c r="H25" i="422"/>
  <c r="H22" i="422"/>
  <c r="H36" i="422"/>
  <c r="H26" i="422"/>
  <c r="H27" i="422"/>
  <c r="D37" i="424"/>
  <c r="K37" i="248" s="1"/>
  <c r="H35" i="422"/>
  <c r="H21" i="422"/>
  <c r="H29" i="422"/>
  <c r="H24" i="422"/>
  <c r="H39" i="422"/>
  <c r="D19" i="429"/>
  <c r="E144" i="303"/>
  <c r="I60" i="106"/>
  <c r="C144" i="303"/>
  <c r="I11" i="184"/>
  <c r="M17" i="74"/>
  <c r="S28" i="389" s="1"/>
  <c r="S29" i="389" s="1"/>
  <c r="S30" i="389" s="1"/>
  <c r="J52" i="302"/>
  <c r="K52" i="302" s="1"/>
  <c r="C17" i="361" s="1"/>
  <c r="D10" i="308"/>
  <c r="C68" i="303"/>
  <c r="F41" i="106"/>
  <c r="J53" i="302"/>
  <c r="D17" i="301"/>
  <c r="G17" i="248" s="1"/>
  <c r="C12" i="314"/>
  <c r="E68" i="303"/>
  <c r="I49" i="393"/>
  <c r="I23" i="393"/>
  <c r="D12" i="363"/>
  <c r="E12" i="363" s="1"/>
  <c r="M46" i="315"/>
  <c r="M49" i="315" s="1"/>
  <c r="F25" i="393"/>
  <c r="C8" i="368"/>
  <c r="E8" i="368" s="1"/>
  <c r="F46" i="315"/>
  <c r="F25" i="167"/>
  <c r="D36" i="415"/>
  <c r="D49" i="408"/>
  <c r="J49" i="248" s="1"/>
  <c r="M39" i="410"/>
  <c r="M36" i="410"/>
  <c r="D31" i="415"/>
  <c r="D14" i="415"/>
  <c r="M24" i="410"/>
  <c r="S28" i="388"/>
  <c r="S29" i="388" s="1"/>
  <c r="S30" i="388" s="1"/>
  <c r="D28" i="378"/>
  <c r="D47" i="371"/>
  <c r="I47" i="248" s="1"/>
  <c r="G21" i="227"/>
  <c r="G26" i="227" s="1"/>
  <c r="G31" i="227" s="1"/>
  <c r="G33" i="227" s="1"/>
  <c r="H54" i="248"/>
  <c r="H134" i="410"/>
  <c r="D26" i="415"/>
  <c r="M33" i="410"/>
  <c r="D22" i="415"/>
  <c r="H133" i="410"/>
  <c r="M29" i="410"/>
  <c r="D16" i="415"/>
  <c r="M26" i="410"/>
  <c r="J37" i="184"/>
  <c r="M75" i="302"/>
  <c r="J57" i="184"/>
  <c r="D14" i="361"/>
  <c r="D16" i="361" s="1"/>
  <c r="F21" i="410"/>
  <c r="F36" i="410"/>
  <c r="F27" i="410"/>
  <c r="F29" i="410"/>
  <c r="F133" i="410" s="1"/>
  <c r="F35" i="410"/>
  <c r="F26" i="410"/>
  <c r="F41" i="410"/>
  <c r="F22" i="410"/>
  <c r="I51" i="227"/>
  <c r="F33" i="410"/>
  <c r="F134" i="410" s="1"/>
  <c r="F24" i="410"/>
  <c r="F39" i="410"/>
  <c r="F25" i="410"/>
  <c r="F49" i="302"/>
  <c r="I22" i="184" s="1"/>
  <c r="C10" i="364"/>
  <c r="E10" i="364" s="1"/>
  <c r="H132" i="410"/>
  <c r="D13" i="415"/>
  <c r="H135" i="410"/>
  <c r="D30" i="415"/>
  <c r="M35" i="410"/>
  <c r="H44" i="410"/>
  <c r="D11" i="415"/>
  <c r="M21" i="410"/>
  <c r="D44" i="408"/>
  <c r="J44" i="248" s="1"/>
  <c r="D50" i="408"/>
  <c r="J50" i="248" s="1"/>
  <c r="M41" i="410"/>
  <c r="D38" i="415"/>
  <c r="D10" i="384"/>
  <c r="I49" i="167"/>
  <c r="D17" i="429" s="1"/>
  <c r="J49" i="227"/>
  <c r="I23" i="167"/>
  <c r="H49" i="315"/>
  <c r="D56" i="316"/>
  <c r="H56" i="248" s="1"/>
  <c r="D10" i="368"/>
  <c r="E12" i="361"/>
  <c r="F135" i="369"/>
  <c r="F44" i="369"/>
  <c r="D17" i="415"/>
  <c r="M27" i="410"/>
  <c r="M25" i="410"/>
  <c r="D15" i="415"/>
  <c r="I37" i="184"/>
  <c r="C23" i="314" s="1"/>
  <c r="D60" i="301"/>
  <c r="I57" i="184"/>
  <c r="D56" i="371"/>
  <c r="I56" i="248" s="1"/>
  <c r="D12" i="372"/>
  <c r="E12" i="372" s="1"/>
  <c r="C36" i="388"/>
  <c r="C43" i="388" s="1"/>
  <c r="DJ34" i="168"/>
  <c r="DJ43" i="168" s="1"/>
  <c r="DJ112" i="168" s="1"/>
  <c r="K64" i="388"/>
  <c r="K67" i="388" s="1"/>
  <c r="AA16" i="168"/>
  <c r="AA16" i="352"/>
  <c r="AA17" i="352" s="1"/>
  <c r="AA19" i="352" s="1"/>
  <c r="AA27" i="352" s="1"/>
  <c r="AI16" i="168"/>
  <c r="I15" i="352"/>
  <c r="I16" i="352" s="1"/>
  <c r="I17" i="352" s="1"/>
  <c r="I19" i="352" s="1"/>
  <c r="G16" i="352"/>
  <c r="G17" i="352" s="1"/>
  <c r="G19" i="352" s="1"/>
  <c r="G27" i="352" s="1"/>
  <c r="G28" i="352" s="1"/>
  <c r="G29" i="352" s="1"/>
  <c r="G30" i="352" s="1"/>
  <c r="O15" i="352"/>
  <c r="M16" i="352"/>
  <c r="M17" i="352" s="1"/>
  <c r="M19" i="352" s="1"/>
  <c r="DX15" i="168"/>
  <c r="DX16" i="168" s="1"/>
  <c r="DX17" i="168" s="1"/>
  <c r="DX19" i="168" s="1"/>
  <c r="DV16" i="168"/>
  <c r="DV17" i="168" s="1"/>
  <c r="DV19" i="168" s="1"/>
  <c r="DV27" i="168" s="1"/>
  <c r="DV28" i="168" s="1"/>
  <c r="DV29" i="168" s="1"/>
  <c r="DV30" i="168" s="1"/>
  <c r="DV33" i="168" s="1"/>
  <c r="I15" i="388"/>
  <c r="I16" i="388" s="1"/>
  <c r="I17" i="388" s="1"/>
  <c r="I19" i="388" s="1"/>
  <c r="G16" i="388"/>
  <c r="G17" i="388" s="1"/>
  <c r="G19" i="388" s="1"/>
  <c r="G27" i="388" s="1"/>
  <c r="G28" i="388" s="1"/>
  <c r="G29" i="388" s="1"/>
  <c r="G30" i="388" s="1"/>
  <c r="I15" i="168"/>
  <c r="I16" i="168" s="1"/>
  <c r="I17" i="168" s="1"/>
  <c r="I19" i="168" s="1"/>
  <c r="G16" i="168"/>
  <c r="DF34" i="168"/>
  <c r="DF35" i="168" s="1"/>
  <c r="DF36" i="168"/>
  <c r="O15" i="168"/>
  <c r="M16" i="168"/>
  <c r="M17" i="168" s="1"/>
  <c r="M19" i="168" s="1"/>
  <c r="AI16" i="389"/>
  <c r="AI17" i="389" s="1"/>
  <c r="AI19" i="389" s="1"/>
  <c r="AI27" i="389" s="1"/>
  <c r="DZ34" i="168"/>
  <c r="C27" i="303"/>
  <c r="E27" i="303" s="1"/>
  <c r="S17" i="168"/>
  <c r="DP15" i="168"/>
  <c r="DP16" i="168" s="1"/>
  <c r="DP17" i="168" s="1"/>
  <c r="DP19" i="168" s="1"/>
  <c r="DN16" i="168"/>
  <c r="DN17" i="168" s="1"/>
  <c r="DN19" i="168" s="1"/>
  <c r="DN27" i="168" s="1"/>
  <c r="DN28" i="168" s="1"/>
  <c r="DN29" i="168" s="1"/>
  <c r="DN30" i="168" s="1"/>
  <c r="DN33" i="168" s="1"/>
  <c r="DN36" i="168" s="1"/>
  <c r="C28" i="269"/>
  <c r="E28" i="269" s="1"/>
  <c r="C19" i="168"/>
  <c r="BS15" i="388"/>
  <c r="BQ16" i="388"/>
  <c r="BQ17" i="388" s="1"/>
  <c r="BQ19" i="388" s="1"/>
  <c r="O15" i="389"/>
  <c r="M16" i="389"/>
  <c r="M17" i="389" s="1"/>
  <c r="M19" i="389" s="1"/>
  <c r="U16" i="352"/>
  <c r="U17" i="352" s="1"/>
  <c r="U19" i="352" s="1"/>
  <c r="O15" i="388"/>
  <c r="M16" i="388"/>
  <c r="M17" i="388" s="1"/>
  <c r="M19" i="388" s="1"/>
  <c r="AA16" i="389"/>
  <c r="AA17" i="389" s="1"/>
  <c r="AA19" i="389" s="1"/>
  <c r="AA27" i="389" s="1"/>
  <c r="BK36" i="388"/>
  <c r="BK34" i="388"/>
  <c r="BK35" i="388" s="1"/>
  <c r="U16" i="389"/>
  <c r="U17" i="389" s="1"/>
  <c r="U19" i="389" s="1"/>
  <c r="ED15" i="168"/>
  <c r="EB16" i="168"/>
  <c r="EB17" i="168" s="1"/>
  <c r="EB19" i="168" s="1"/>
  <c r="U16" i="388"/>
  <c r="U17" i="388" s="1"/>
  <c r="U19" i="388" s="1"/>
  <c r="C27" i="291"/>
  <c r="E27" i="291" s="1"/>
  <c r="K17" i="168"/>
  <c r="AA16" i="388"/>
  <c r="AA17" i="388" s="1"/>
  <c r="AA19" i="388" s="1"/>
  <c r="AA27" i="388" s="1"/>
  <c r="AI16" i="388"/>
  <c r="AI17" i="388" s="1"/>
  <c r="AI19" i="388" s="1"/>
  <c r="AI27" i="388" s="1"/>
  <c r="AI16" i="352"/>
  <c r="AI17" i="352" s="1"/>
  <c r="AI19" i="352" s="1"/>
  <c r="AI27" i="352" s="1"/>
  <c r="I15" i="389"/>
  <c r="I16" i="389" s="1"/>
  <c r="I17" i="389" s="1"/>
  <c r="I19" i="389" s="1"/>
  <c r="G16" i="389"/>
  <c r="G17" i="389" s="1"/>
  <c r="G19" i="389" s="1"/>
  <c r="G27" i="389" s="1"/>
  <c r="G28" i="389" s="1"/>
  <c r="G29" i="389" s="1"/>
  <c r="G30" i="389" s="1"/>
  <c r="U16" i="168"/>
  <c r="U17" i="168" s="1"/>
  <c r="U19" i="168" s="1"/>
  <c r="BO36" i="388"/>
  <c r="BO34" i="388"/>
  <c r="M67" i="388"/>
  <c r="M65" i="388"/>
  <c r="K34" i="388"/>
  <c r="K36" i="388"/>
  <c r="Q33" i="168"/>
  <c r="Q64" i="168"/>
  <c r="M64" i="168"/>
  <c r="M33" i="168"/>
  <c r="Q67" i="388"/>
  <c r="Q65" i="388"/>
  <c r="Q66" i="388" s="1"/>
  <c r="M36" i="388"/>
  <c r="M34" i="388"/>
  <c r="M35" i="389"/>
  <c r="M94" i="389"/>
  <c r="M43" i="389"/>
  <c r="Q34" i="388"/>
  <c r="Q35" i="388" s="1"/>
  <c r="Q36" i="388"/>
  <c r="G5" i="176"/>
  <c r="C21" i="313"/>
  <c r="G35" i="184"/>
  <c r="G55" i="184" s="1"/>
  <c r="H55" i="184" s="1"/>
  <c r="H20" i="184"/>
  <c r="H35" i="184" s="1"/>
  <c r="E14" i="360"/>
  <c r="C16" i="360"/>
  <c r="E16" i="360" s="1"/>
  <c r="K34" i="352"/>
  <c r="K36" i="352"/>
  <c r="M96" i="352"/>
  <c r="M43" i="352"/>
  <c r="M35" i="352"/>
  <c r="K36" i="389"/>
  <c r="K34" i="389"/>
  <c r="DR112" i="168"/>
  <c r="I94" i="388"/>
  <c r="I95" i="388" s="1"/>
  <c r="I36" i="168"/>
  <c r="I34" i="168"/>
  <c r="E115" i="269"/>
  <c r="F35" i="184"/>
  <c r="E55" i="184"/>
  <c r="C35" i="388"/>
  <c r="E35" i="388"/>
  <c r="E113" i="388"/>
  <c r="E94" i="388"/>
  <c r="E43" i="388"/>
  <c r="C96" i="352"/>
  <c r="C35" i="352"/>
  <c r="C43" i="352"/>
  <c r="I65" i="168"/>
  <c r="I66" i="168" s="1"/>
  <c r="I67" i="168"/>
  <c r="C74" i="388"/>
  <c r="C66" i="388"/>
  <c r="E66" i="388"/>
  <c r="E74" i="388"/>
  <c r="E74" i="352"/>
  <c r="E66" i="352"/>
  <c r="E74" i="389"/>
  <c r="E66" i="389"/>
  <c r="E34" i="168"/>
  <c r="E39" i="269"/>
  <c r="E36" i="168"/>
  <c r="E35" i="389"/>
  <c r="E94" i="389"/>
  <c r="E113" i="389"/>
  <c r="E43" i="389"/>
  <c r="E67" i="168"/>
  <c r="E65" i="168"/>
  <c r="C66" i="389"/>
  <c r="C74" i="389"/>
  <c r="C113" i="389"/>
  <c r="C43" i="389"/>
  <c r="C35" i="389"/>
  <c r="C94" i="389"/>
  <c r="C74" i="352"/>
  <c r="C66" i="352"/>
  <c r="E35" i="352"/>
  <c r="E43" i="352"/>
  <c r="E96" i="352"/>
  <c r="B26" i="391"/>
  <c r="E25" i="391"/>
  <c r="G25" i="391" s="1"/>
  <c r="I25" i="391" s="1"/>
  <c r="K25" i="391" s="1"/>
  <c r="M25" i="391" s="1"/>
  <c r="D25" i="391"/>
  <c r="F25" i="391" s="1"/>
  <c r="H25" i="391" s="1"/>
  <c r="J25" i="391" s="1"/>
  <c r="L25" i="391" s="1"/>
  <c r="N25" i="391" s="1"/>
  <c r="P25" i="391" s="1"/>
  <c r="C14" i="372"/>
  <c r="D60" i="371"/>
  <c r="I60" i="248" s="1"/>
  <c r="M57" i="184"/>
  <c r="M37" i="184"/>
  <c r="M22" i="184"/>
  <c r="D14" i="372"/>
  <c r="N37" i="184"/>
  <c r="N57" i="184"/>
  <c r="I75" i="369"/>
  <c r="Q23" i="391"/>
  <c r="S28" i="352" l="1"/>
  <c r="S29" i="352" s="1"/>
  <c r="S30" i="352" s="1"/>
  <c r="F135" i="410"/>
  <c r="I54" i="248"/>
  <c r="H21" i="227"/>
  <c r="H26" i="227" s="1"/>
  <c r="H31" i="227" s="1"/>
  <c r="H33" i="227" s="1"/>
  <c r="D45" i="408"/>
  <c r="J45" i="248" s="1"/>
  <c r="D20" i="415"/>
  <c r="F44" i="410"/>
  <c r="D24" i="415"/>
  <c r="D46" i="408"/>
  <c r="J46" i="248" s="1"/>
  <c r="D47" i="408"/>
  <c r="J47" i="248" s="1"/>
  <c r="D28" i="415"/>
  <c r="I50" i="184"/>
  <c r="C13" i="314" s="1"/>
  <c r="I51" i="184"/>
  <c r="C14" i="314" s="1"/>
  <c r="I12" i="184"/>
  <c r="D11" i="430"/>
  <c r="M21" i="422"/>
  <c r="D44" i="424"/>
  <c r="K44" i="248" s="1"/>
  <c r="H44" i="422"/>
  <c r="D16" i="430"/>
  <c r="M26" i="422"/>
  <c r="D50" i="424"/>
  <c r="K50" i="248" s="1"/>
  <c r="D38" i="430"/>
  <c r="M41" i="422"/>
  <c r="G25" i="167"/>
  <c r="G25" i="393"/>
  <c r="F46" i="369"/>
  <c r="C8" i="384"/>
  <c r="E8" i="384" s="1"/>
  <c r="F132" i="410"/>
  <c r="D49" i="424"/>
  <c r="K49" i="248" s="1"/>
  <c r="M39" i="422"/>
  <c r="D36" i="430"/>
  <c r="D30" i="430"/>
  <c r="H135" i="422"/>
  <c r="M35" i="422"/>
  <c r="M36" i="422"/>
  <c r="D31" i="430"/>
  <c r="H134" i="422"/>
  <c r="D26" i="430"/>
  <c r="M33" i="422"/>
  <c r="D16" i="372"/>
  <c r="C14" i="363"/>
  <c r="K57" i="184"/>
  <c r="K37" i="184"/>
  <c r="C23" i="322" s="1"/>
  <c r="D60" i="316"/>
  <c r="H60" i="248" s="1"/>
  <c r="D48" i="408"/>
  <c r="J48" i="248" s="1"/>
  <c r="D32" i="415"/>
  <c r="N17" i="74"/>
  <c r="AA28" i="388" s="1"/>
  <c r="AA29" i="388" s="1"/>
  <c r="AA30" i="388" s="1"/>
  <c r="J52" i="315"/>
  <c r="K52" i="315" s="1"/>
  <c r="C17" i="363" s="1"/>
  <c r="J53" i="315"/>
  <c r="E68" i="327"/>
  <c r="C144" i="327"/>
  <c r="D10" i="321"/>
  <c r="K11" i="184"/>
  <c r="D17" i="316"/>
  <c r="H17" i="248" s="1"/>
  <c r="C12" i="322"/>
  <c r="C68" i="327"/>
  <c r="E144" i="327"/>
  <c r="L37" i="184"/>
  <c r="D14" i="363"/>
  <c r="D16" i="363" s="1"/>
  <c r="M75" i="315"/>
  <c r="L57" i="184"/>
  <c r="M24" i="422"/>
  <c r="D14" i="430"/>
  <c r="D13" i="430"/>
  <c r="H132" i="422"/>
  <c r="C14" i="361"/>
  <c r="D86" i="109"/>
  <c r="G60" i="248"/>
  <c r="J51" i="227"/>
  <c r="F41" i="422"/>
  <c r="F29" i="422"/>
  <c r="F133" i="422" s="1"/>
  <c r="F27" i="422"/>
  <c r="F24" i="422"/>
  <c r="F22" i="422"/>
  <c r="F36" i="422"/>
  <c r="F21" i="422"/>
  <c r="F33" i="422"/>
  <c r="F134" i="422" s="1"/>
  <c r="F25" i="422"/>
  <c r="F39" i="422"/>
  <c r="F35" i="422"/>
  <c r="F26" i="422"/>
  <c r="H46" i="410"/>
  <c r="D8" i="407"/>
  <c r="D54" i="408"/>
  <c r="M44" i="410"/>
  <c r="C12" i="409"/>
  <c r="M94" i="302"/>
  <c r="M89" i="302"/>
  <c r="F49" i="315"/>
  <c r="K22" i="184" s="1"/>
  <c r="C10" i="368"/>
  <c r="E10" i="368" s="1"/>
  <c r="S15" i="388"/>
  <c r="U15" i="388" s="1"/>
  <c r="W15" i="388" s="1"/>
  <c r="Y15" i="388" s="1"/>
  <c r="Y16" i="388" s="1"/>
  <c r="Y17" i="388" s="1"/>
  <c r="Y19" i="388" s="1"/>
  <c r="U128" i="389"/>
  <c r="Y112" i="352"/>
  <c r="Y135" i="388"/>
  <c r="S24" i="388"/>
  <c r="W24" i="168"/>
  <c r="S15" i="352"/>
  <c r="U15" i="352" s="1"/>
  <c r="W15" i="352" s="1"/>
  <c r="Y15" i="352" s="1"/>
  <c r="Y16" i="352" s="1"/>
  <c r="Y17" i="352" s="1"/>
  <c r="Y19" i="352" s="1"/>
  <c r="W24" i="389"/>
  <c r="Y24" i="389" s="1"/>
  <c r="Y33" i="389" s="1"/>
  <c r="S24" i="352"/>
  <c r="U24" i="352" s="1"/>
  <c r="U33" i="352" s="1"/>
  <c r="U128" i="352"/>
  <c r="C77" i="303"/>
  <c r="U112" i="352"/>
  <c r="Y126" i="168"/>
  <c r="W24" i="352"/>
  <c r="Y24" i="352" s="1"/>
  <c r="Y33" i="352" s="1"/>
  <c r="U128" i="388"/>
  <c r="Y128" i="352"/>
  <c r="W24" i="388"/>
  <c r="Y24" i="388" s="1"/>
  <c r="Y135" i="389"/>
  <c r="S15" i="168"/>
  <c r="U15" i="168" s="1"/>
  <c r="W15" i="168" s="1"/>
  <c r="Y15" i="168" s="1"/>
  <c r="Y16" i="168" s="1"/>
  <c r="Y17" i="168" s="1"/>
  <c r="Y19" i="168" s="1"/>
  <c r="U126" i="168"/>
  <c r="E153" i="303"/>
  <c r="U119" i="168"/>
  <c r="S15" i="389"/>
  <c r="U15" i="389" s="1"/>
  <c r="W15" i="389" s="1"/>
  <c r="Y15" i="389" s="1"/>
  <c r="Y16" i="389" s="1"/>
  <c r="Y17" i="389" s="1"/>
  <c r="Y19" i="389" s="1"/>
  <c r="Y142" i="389"/>
  <c r="Y119" i="168"/>
  <c r="Y142" i="388"/>
  <c r="U135" i="389"/>
  <c r="U112" i="168"/>
  <c r="E77" i="303"/>
  <c r="C18" i="303"/>
  <c r="E18" i="303" s="1"/>
  <c r="Y128" i="388"/>
  <c r="C94" i="303"/>
  <c r="E94" i="303" s="1"/>
  <c r="U142" i="389"/>
  <c r="U142" i="388"/>
  <c r="Y112" i="168"/>
  <c r="S24" i="168"/>
  <c r="U135" i="388"/>
  <c r="Y128" i="389"/>
  <c r="S24" i="389"/>
  <c r="U24" i="389" s="1"/>
  <c r="U33" i="389" s="1"/>
  <c r="C153" i="303"/>
  <c r="M29" i="422"/>
  <c r="H133" i="422"/>
  <c r="D22" i="430"/>
  <c r="D17" i="430"/>
  <c r="M27" i="422"/>
  <c r="D15" i="430"/>
  <c r="M25" i="422"/>
  <c r="DJ35" i="168"/>
  <c r="K65" i="388"/>
  <c r="K74" i="388" s="1"/>
  <c r="C113" i="388"/>
  <c r="C149" i="388" s="1"/>
  <c r="C94" i="388"/>
  <c r="C142" i="388" s="1"/>
  <c r="EF15" i="168"/>
  <c r="EF16" i="168" s="1"/>
  <c r="EF17" i="168" s="1"/>
  <c r="EF19" i="168" s="1"/>
  <c r="ED16" i="168"/>
  <c r="ED17" i="168" s="1"/>
  <c r="ED19" i="168" s="1"/>
  <c r="ED27" i="168" s="1"/>
  <c r="ED28" i="168" s="1"/>
  <c r="ED29" i="168" s="1"/>
  <c r="ED30" i="168" s="1"/>
  <c r="ED33" i="168" s="1"/>
  <c r="Q15" i="389"/>
  <c r="Q16" i="389" s="1"/>
  <c r="Q17" i="389" s="1"/>
  <c r="Q19" i="389" s="1"/>
  <c r="O16" i="389"/>
  <c r="O17" i="389" s="1"/>
  <c r="O19" i="389" s="1"/>
  <c r="O27" i="389" s="1"/>
  <c r="O28" i="389" s="1"/>
  <c r="O29" i="389" s="1"/>
  <c r="O30" i="389" s="1"/>
  <c r="O33" i="389" s="1"/>
  <c r="DV34" i="168"/>
  <c r="DV35" i="168" s="1"/>
  <c r="DV36" i="168"/>
  <c r="G64" i="352"/>
  <c r="G33" i="352"/>
  <c r="Q15" i="168"/>
  <c r="Q16" i="168" s="1"/>
  <c r="Q17" i="168" s="1"/>
  <c r="Q19" i="168" s="1"/>
  <c r="O16" i="168"/>
  <c r="G33" i="389"/>
  <c r="G64" i="389"/>
  <c r="AC16" i="388"/>
  <c r="AC17" i="388" s="1"/>
  <c r="AC19" i="388" s="1"/>
  <c r="W16" i="388"/>
  <c r="W17" i="388" s="1"/>
  <c r="W19" i="388" s="1"/>
  <c r="W27" i="388" s="1"/>
  <c r="W28" i="388" s="1"/>
  <c r="W29" i="388" s="1"/>
  <c r="W30" i="388" s="1"/>
  <c r="W16" i="389"/>
  <c r="W17" i="389" s="1"/>
  <c r="W19" i="389" s="1"/>
  <c r="W27" i="389" s="1"/>
  <c r="W28" i="389" s="1"/>
  <c r="W29" i="389" s="1"/>
  <c r="W30" i="389" s="1"/>
  <c r="AC16" i="389"/>
  <c r="AC17" i="389" s="1"/>
  <c r="AC19" i="389" s="1"/>
  <c r="W16" i="352"/>
  <c r="W17" i="352" s="1"/>
  <c r="W19" i="352" s="1"/>
  <c r="W27" i="352" s="1"/>
  <c r="W28" i="352" s="1"/>
  <c r="W29" i="352" s="1"/>
  <c r="W30" i="352" s="1"/>
  <c r="BU15" i="388"/>
  <c r="BU16" i="388" s="1"/>
  <c r="BU17" i="388" s="1"/>
  <c r="BU19" i="388" s="1"/>
  <c r="BS16" i="388"/>
  <c r="BS17" i="388" s="1"/>
  <c r="BS19" i="388" s="1"/>
  <c r="BS27" i="388" s="1"/>
  <c r="BS28" i="388" s="1"/>
  <c r="BS29" i="388" s="1"/>
  <c r="BS30" i="388" s="1"/>
  <c r="BS33" i="388" s="1"/>
  <c r="G33" i="388"/>
  <c r="G64" i="388"/>
  <c r="AI17" i="168"/>
  <c r="C27" i="383"/>
  <c r="E27" i="383" s="1"/>
  <c r="C27" i="327"/>
  <c r="E27" i="327" s="1"/>
  <c r="AA17" i="168"/>
  <c r="Q15" i="388"/>
  <c r="Q16" i="388" s="1"/>
  <c r="Q17" i="388" s="1"/>
  <c r="Q19" i="388" s="1"/>
  <c r="O16" i="388"/>
  <c r="O17" i="388" s="1"/>
  <c r="O19" i="388" s="1"/>
  <c r="O27" i="388" s="1"/>
  <c r="O28" i="388" s="1"/>
  <c r="O29" i="388" s="1"/>
  <c r="O30" i="388" s="1"/>
  <c r="G17" i="168"/>
  <c r="C103" i="269"/>
  <c r="E103" i="269" s="1"/>
  <c r="W16" i="168"/>
  <c r="AK16" i="352"/>
  <c r="AK17" i="352" s="1"/>
  <c r="AK19" i="352" s="1"/>
  <c r="DZ43" i="168"/>
  <c r="DZ112" i="168" s="1"/>
  <c r="DZ35" i="168"/>
  <c r="AC16" i="352"/>
  <c r="AC17" i="352" s="1"/>
  <c r="AC19" i="352" s="1"/>
  <c r="DN34" i="168"/>
  <c r="DN35" i="168" s="1"/>
  <c r="AK16" i="388"/>
  <c r="AK17" i="388" s="1"/>
  <c r="AK19" i="388" s="1"/>
  <c r="C28" i="291"/>
  <c r="E28" i="291" s="1"/>
  <c r="K19" i="168"/>
  <c r="C29" i="269"/>
  <c r="E29" i="269" s="1"/>
  <c r="C27" i="168"/>
  <c r="C28" i="303"/>
  <c r="E28" i="303" s="1"/>
  <c r="S19" i="168"/>
  <c r="AK16" i="389"/>
  <c r="AK17" i="389" s="1"/>
  <c r="AK19" i="389" s="1"/>
  <c r="Q15" i="352"/>
  <c r="Q16" i="352" s="1"/>
  <c r="Q17" i="352" s="1"/>
  <c r="Q19" i="352" s="1"/>
  <c r="O16" i="352"/>
  <c r="O17" i="352" s="1"/>
  <c r="O19" i="352" s="1"/>
  <c r="O27" i="352" s="1"/>
  <c r="O28" i="352" s="1"/>
  <c r="O29" i="352" s="1"/>
  <c r="O30" i="352" s="1"/>
  <c r="O33" i="352" s="1"/>
  <c r="AK16" i="168"/>
  <c r="AK17" i="168" s="1"/>
  <c r="AK19" i="168" s="1"/>
  <c r="AC16" i="168"/>
  <c r="AC17" i="168" s="1"/>
  <c r="AC19" i="168" s="1"/>
  <c r="BO35" i="388"/>
  <c r="BO43" i="388"/>
  <c r="BO128" i="388" s="1"/>
  <c r="M67" i="168"/>
  <c r="E39" i="291"/>
  <c r="M65" i="168"/>
  <c r="K43" i="388"/>
  <c r="K35" i="388"/>
  <c r="K94" i="388"/>
  <c r="K35" i="352"/>
  <c r="K43" i="352"/>
  <c r="K96" i="352"/>
  <c r="E115" i="291"/>
  <c r="Q65" i="168"/>
  <c r="Q67" i="168"/>
  <c r="M66" i="388"/>
  <c r="M74" i="388"/>
  <c r="K43" i="389"/>
  <c r="K35" i="389"/>
  <c r="K94" i="389"/>
  <c r="Q34" i="168"/>
  <c r="Q35" i="168" s="1"/>
  <c r="Q36" i="168"/>
  <c r="M35" i="388"/>
  <c r="M43" i="388"/>
  <c r="M94" i="388"/>
  <c r="M34" i="168"/>
  <c r="M36" i="168"/>
  <c r="C128" i="389"/>
  <c r="E66" i="168"/>
  <c r="E74" i="168"/>
  <c r="C128" i="352"/>
  <c r="C128" i="388"/>
  <c r="E65" i="184"/>
  <c r="F65" i="184" s="1"/>
  <c r="G65" i="184" s="1"/>
  <c r="H65" i="184" s="1"/>
  <c r="I65" i="184" s="1"/>
  <c r="J65" i="184" s="1"/>
  <c r="K65" i="184" s="1"/>
  <c r="L65" i="184" s="1"/>
  <c r="M65" i="184" s="1"/>
  <c r="N65" i="184" s="1"/>
  <c r="O65" i="184" s="1"/>
  <c r="P65" i="184" s="1"/>
  <c r="Q65" i="184" s="1"/>
  <c r="R65" i="184" s="1"/>
  <c r="F55" i="184"/>
  <c r="C119" i="352"/>
  <c r="C149" i="389"/>
  <c r="E116" i="269"/>
  <c r="I35" i="168"/>
  <c r="E117" i="269" s="1"/>
  <c r="C142" i="389"/>
  <c r="C135" i="389"/>
  <c r="C112" i="352"/>
  <c r="E35" i="168"/>
  <c r="E41" i="269" s="1"/>
  <c r="E94" i="168"/>
  <c r="E43" i="168"/>
  <c r="E40" i="269"/>
  <c r="C135" i="388"/>
  <c r="B27" i="391"/>
  <c r="D26" i="391"/>
  <c r="F26" i="391" s="1"/>
  <c r="H26" i="391" s="1"/>
  <c r="J26" i="391" s="1"/>
  <c r="L26" i="391" s="1"/>
  <c r="N26" i="391" s="1"/>
  <c r="P26" i="391" s="1"/>
  <c r="E26" i="391"/>
  <c r="G26" i="391" s="1"/>
  <c r="I26" i="391" s="1"/>
  <c r="K26" i="391" s="1"/>
  <c r="M26" i="391" s="1"/>
  <c r="O26" i="391" s="1"/>
  <c r="Q26" i="391" s="1"/>
  <c r="I89" i="369"/>
  <c r="I94" i="369"/>
  <c r="E14" i="372"/>
  <c r="C16" i="372"/>
  <c r="O25" i="391"/>
  <c r="C23" i="380"/>
  <c r="AA28" i="389" l="1"/>
  <c r="AA29" i="389" s="1"/>
  <c r="AA30" i="389" s="1"/>
  <c r="AA28" i="352"/>
  <c r="AA29" i="352" s="1"/>
  <c r="AA30" i="352" s="1"/>
  <c r="F135" i="422"/>
  <c r="S33" i="389"/>
  <c r="S36" i="389" s="1"/>
  <c r="D46" i="424"/>
  <c r="K46" i="248" s="1"/>
  <c r="D24" i="430"/>
  <c r="Y36" i="352"/>
  <c r="Y34" i="352"/>
  <c r="Y35" i="352" s="1"/>
  <c r="Y24" i="168"/>
  <c r="C109" i="303"/>
  <c r="E109" i="303" s="1"/>
  <c r="I21" i="227"/>
  <c r="I26" i="227" s="1"/>
  <c r="I31" i="227" s="1"/>
  <c r="I33" i="227" s="1"/>
  <c r="J54" i="248"/>
  <c r="F44" i="422"/>
  <c r="I25" i="393"/>
  <c r="C8" i="407"/>
  <c r="E8" i="407" s="1"/>
  <c r="H25" i="393"/>
  <c r="F46" i="410"/>
  <c r="H25" i="167"/>
  <c r="Y64" i="388"/>
  <c r="Y33" i="388"/>
  <c r="U34" i="352"/>
  <c r="U36" i="352"/>
  <c r="U24" i="388"/>
  <c r="S33" i="388"/>
  <c r="D45" i="424"/>
  <c r="K45" i="248" s="1"/>
  <c r="D20" i="430"/>
  <c r="K51" i="184"/>
  <c r="C14" i="322" s="1"/>
  <c r="K50" i="184"/>
  <c r="C13" i="322" s="1"/>
  <c r="K12" i="184"/>
  <c r="D28" i="430"/>
  <c r="D47" i="424"/>
  <c r="K47" i="248" s="1"/>
  <c r="D32" i="430"/>
  <c r="D48" i="424"/>
  <c r="K48" i="248" s="1"/>
  <c r="F49" i="369"/>
  <c r="C10" i="384"/>
  <c r="E10" i="384" s="1"/>
  <c r="C12" i="423"/>
  <c r="D8" i="426"/>
  <c r="H46" i="422"/>
  <c r="M44" i="422"/>
  <c r="D54" i="424"/>
  <c r="I14" i="184"/>
  <c r="C16" i="314" s="1"/>
  <c r="I20" i="184"/>
  <c r="U24" i="168"/>
  <c r="C33" i="303"/>
  <c r="E33" i="303" s="1"/>
  <c r="Y34" i="389"/>
  <c r="Y35" i="389" s="1"/>
  <c r="Y36" i="389"/>
  <c r="H49" i="410"/>
  <c r="D10" i="407"/>
  <c r="D56" i="408"/>
  <c r="J56" i="248" s="1"/>
  <c r="F132" i="422"/>
  <c r="C16" i="361"/>
  <c r="E16" i="361" s="1"/>
  <c r="E14" i="361"/>
  <c r="M89" i="315"/>
  <c r="M94" i="315"/>
  <c r="S64" i="388"/>
  <c r="W33" i="352"/>
  <c r="W36" i="352" s="1"/>
  <c r="W33" i="389"/>
  <c r="W36" i="389" s="1"/>
  <c r="U36" i="389"/>
  <c r="U34" i="389"/>
  <c r="D12" i="409"/>
  <c r="E12" i="409" s="1"/>
  <c r="M46" i="410"/>
  <c r="M49" i="410" s="1"/>
  <c r="AG142" i="389"/>
  <c r="AC135" i="389"/>
  <c r="AG112" i="352"/>
  <c r="C77" i="327"/>
  <c r="AE24" i="352"/>
  <c r="AG24" i="352" s="1"/>
  <c r="AG33" i="352" s="1"/>
  <c r="AC128" i="388"/>
  <c r="E77" i="327"/>
  <c r="C94" i="327"/>
  <c r="E94" i="327" s="1"/>
  <c r="AC126" i="168"/>
  <c r="AE24" i="168"/>
  <c r="AG128" i="388"/>
  <c r="C18" i="327"/>
  <c r="E18" i="327" s="1"/>
  <c r="AG135" i="389"/>
  <c r="AA24" i="388"/>
  <c r="AC24" i="388" s="1"/>
  <c r="AG126" i="168"/>
  <c r="AE24" i="388"/>
  <c r="AG24" i="388" s="1"/>
  <c r="AA24" i="389"/>
  <c r="AC24" i="389" s="1"/>
  <c r="AC33" i="389" s="1"/>
  <c r="AE24" i="389"/>
  <c r="AG24" i="389" s="1"/>
  <c r="AG33" i="389" s="1"/>
  <c r="AA15" i="168"/>
  <c r="AC15" i="168" s="1"/>
  <c r="AE15" i="168" s="1"/>
  <c r="AG15" i="168" s="1"/>
  <c r="AG16" i="168" s="1"/>
  <c r="AG17" i="168" s="1"/>
  <c r="AG19" i="168" s="1"/>
  <c r="AG142" i="388"/>
  <c r="AC112" i="352"/>
  <c r="C153" i="327"/>
  <c r="AC128" i="352"/>
  <c r="AA15" i="389"/>
  <c r="AC15" i="389" s="1"/>
  <c r="AE15" i="389" s="1"/>
  <c r="AG15" i="389" s="1"/>
  <c r="AG16" i="389" s="1"/>
  <c r="AG17" i="389" s="1"/>
  <c r="AG19" i="389" s="1"/>
  <c r="AA15" i="352"/>
  <c r="AC15" i="352" s="1"/>
  <c r="AE15" i="352" s="1"/>
  <c r="AG15" i="352" s="1"/>
  <c r="AG16" i="352" s="1"/>
  <c r="AG17" i="352" s="1"/>
  <c r="AG19" i="352" s="1"/>
  <c r="AC112" i="168"/>
  <c r="AA15" i="388"/>
  <c r="AC15" i="388" s="1"/>
  <c r="AE15" i="388" s="1"/>
  <c r="AC142" i="389"/>
  <c r="AG128" i="389"/>
  <c r="E153" i="327"/>
  <c r="AG112" i="168"/>
  <c r="AA24" i="168"/>
  <c r="AC128" i="389"/>
  <c r="AG128" i="352"/>
  <c r="AG119" i="168"/>
  <c r="AG135" i="388"/>
  <c r="AC135" i="388"/>
  <c r="AC119" i="168"/>
  <c r="AC142" i="388"/>
  <c r="AA24" i="352"/>
  <c r="AC24" i="352" s="1"/>
  <c r="AC33" i="352" s="1"/>
  <c r="S33" i="352"/>
  <c r="E14" i="363"/>
  <c r="C16" i="363"/>
  <c r="E16" i="363" s="1"/>
  <c r="O17" i="74"/>
  <c r="M11" i="184"/>
  <c r="J53" i="369"/>
  <c r="D10" i="379"/>
  <c r="C68" i="383"/>
  <c r="E68" i="383"/>
  <c r="D17" i="371"/>
  <c r="I17" i="248" s="1"/>
  <c r="C12" i="380"/>
  <c r="C144" i="383"/>
  <c r="J52" i="369"/>
  <c r="K52" i="369" s="1"/>
  <c r="C17" i="372" s="1"/>
  <c r="E144" i="383"/>
  <c r="K66" i="388"/>
  <c r="C28" i="327"/>
  <c r="E28" i="327" s="1"/>
  <c r="AA19" i="168"/>
  <c r="C103" i="291"/>
  <c r="E103" i="291" s="1"/>
  <c r="O17" i="168"/>
  <c r="G36" i="352"/>
  <c r="G34" i="352"/>
  <c r="G35" i="352" s="1"/>
  <c r="AQ16" i="388"/>
  <c r="AQ17" i="388" s="1"/>
  <c r="AQ19" i="388" s="1"/>
  <c r="AQ27" i="388" s="1"/>
  <c r="AQ16" i="389"/>
  <c r="AQ17" i="389" s="1"/>
  <c r="AQ19" i="389" s="1"/>
  <c r="AQ27" i="389" s="1"/>
  <c r="AM16" i="352"/>
  <c r="AM17" i="352" s="1"/>
  <c r="AM19" i="352" s="1"/>
  <c r="AM27" i="352" s="1"/>
  <c r="AM28" i="352" s="1"/>
  <c r="AM29" i="352" s="1"/>
  <c r="AM30" i="352" s="1"/>
  <c r="G34" i="388"/>
  <c r="G35" i="388" s="1"/>
  <c r="G93" i="388" s="1"/>
  <c r="G94" i="388" s="1"/>
  <c r="G36" i="388"/>
  <c r="AG15" i="388"/>
  <c r="AG16" i="388" s="1"/>
  <c r="AG17" i="388" s="1"/>
  <c r="AG19" i="388" s="1"/>
  <c r="AE16" i="388"/>
  <c r="AE17" i="388" s="1"/>
  <c r="AE19" i="388" s="1"/>
  <c r="AE27" i="388" s="1"/>
  <c r="AE28" i="388" s="1"/>
  <c r="AE29" i="388" s="1"/>
  <c r="AE30" i="388" s="1"/>
  <c r="G65" i="352"/>
  <c r="G66" i="352" s="1"/>
  <c r="G67" i="352"/>
  <c r="AM16" i="168"/>
  <c r="AM16" i="389"/>
  <c r="AM17" i="389" s="1"/>
  <c r="AM19" i="389" s="1"/>
  <c r="AM27" i="389" s="1"/>
  <c r="AM28" i="389" s="1"/>
  <c r="AM29" i="389" s="1"/>
  <c r="AM30" i="389" s="1"/>
  <c r="AM16" i="388"/>
  <c r="AM17" i="388" s="1"/>
  <c r="AM19" i="388" s="1"/>
  <c r="AM27" i="388" s="1"/>
  <c r="C103" i="303"/>
  <c r="E103" i="303" s="1"/>
  <c r="W17" i="168"/>
  <c r="O64" i="388"/>
  <c r="O33" i="388"/>
  <c r="BS34" i="388"/>
  <c r="BS35" i="388" s="1"/>
  <c r="BS36" i="388"/>
  <c r="W64" i="388"/>
  <c r="W33" i="388"/>
  <c r="G67" i="389"/>
  <c r="G65" i="389"/>
  <c r="G66" i="389" s="1"/>
  <c r="ED36" i="168"/>
  <c r="ED34" i="168"/>
  <c r="ED35" i="168" s="1"/>
  <c r="AE16" i="168"/>
  <c r="G67" i="388"/>
  <c r="G65" i="388"/>
  <c r="G66" i="388" s="1"/>
  <c r="O36" i="389"/>
  <c r="O34" i="389"/>
  <c r="O35" i="389" s="1"/>
  <c r="AQ16" i="352"/>
  <c r="AQ17" i="352" s="1"/>
  <c r="AQ19" i="352" s="1"/>
  <c r="AQ27" i="352" s="1"/>
  <c r="C35" i="269"/>
  <c r="C28" i="168"/>
  <c r="AE16" i="352"/>
  <c r="AE17" i="352" s="1"/>
  <c r="AE19" i="352" s="1"/>
  <c r="AE27" i="352" s="1"/>
  <c r="AE28" i="352" s="1"/>
  <c r="AE29" i="352" s="1"/>
  <c r="AE30" i="352" s="1"/>
  <c r="C104" i="269"/>
  <c r="E104" i="269" s="1"/>
  <c r="G19" i="168"/>
  <c r="AQ16" i="168"/>
  <c r="O36" i="352"/>
  <c r="O34" i="352"/>
  <c r="O35" i="352" s="1"/>
  <c r="S27" i="168"/>
  <c r="C29" i="303"/>
  <c r="E29" i="303" s="1"/>
  <c r="C29" i="291"/>
  <c r="E29" i="291" s="1"/>
  <c r="K27" i="168"/>
  <c r="C28" i="383"/>
  <c r="E28" i="383" s="1"/>
  <c r="AI19" i="168"/>
  <c r="AE16" i="389"/>
  <c r="AE17" i="389" s="1"/>
  <c r="AE19" i="389" s="1"/>
  <c r="AE27" i="389" s="1"/>
  <c r="AE28" i="389" s="1"/>
  <c r="AE29" i="389" s="1"/>
  <c r="AE30" i="389" s="1"/>
  <c r="G34" i="389"/>
  <c r="G35" i="389" s="1"/>
  <c r="G36" i="389"/>
  <c r="K128" i="389"/>
  <c r="Q66" i="168"/>
  <c r="E117" i="291" s="1"/>
  <c r="E116" i="291"/>
  <c r="K112" i="352"/>
  <c r="M35" i="168"/>
  <c r="M43" i="168"/>
  <c r="M94" i="168"/>
  <c r="K128" i="388"/>
  <c r="K135" i="389"/>
  <c r="K142" i="389"/>
  <c r="M66" i="168"/>
  <c r="E41" i="291" s="1"/>
  <c r="E40" i="291"/>
  <c r="M74" i="168"/>
  <c r="K128" i="352"/>
  <c r="K149" i="388"/>
  <c r="K142" i="388"/>
  <c r="K135" i="388"/>
  <c r="B28" i="391"/>
  <c r="E27" i="391"/>
  <c r="G27" i="391" s="1"/>
  <c r="I27" i="391" s="1"/>
  <c r="K27" i="391" s="1"/>
  <c r="M27" i="391" s="1"/>
  <c r="O27" i="391" s="1"/>
  <c r="Q27" i="391" s="1"/>
  <c r="D27" i="391"/>
  <c r="F27" i="391" s="1"/>
  <c r="H27" i="391" s="1"/>
  <c r="J27" i="391" s="1"/>
  <c r="L27" i="391" s="1"/>
  <c r="N27" i="391" s="1"/>
  <c r="P27" i="391" s="1"/>
  <c r="Q25" i="391"/>
  <c r="E16" i="372"/>
  <c r="S34" i="389" l="1"/>
  <c r="W34" i="389"/>
  <c r="W35" i="389" s="1"/>
  <c r="AE33" i="352"/>
  <c r="AE36" i="352" s="1"/>
  <c r="AA33" i="352"/>
  <c r="AA36" i="352" s="1"/>
  <c r="AG36" i="389"/>
  <c r="AG34" i="389"/>
  <c r="AG35" i="389" s="1"/>
  <c r="AC64" i="388"/>
  <c r="AC33" i="388"/>
  <c r="C109" i="327"/>
  <c r="E109" i="327" s="1"/>
  <c r="AG24" i="168"/>
  <c r="K20" i="184"/>
  <c r="K14" i="184"/>
  <c r="C16" i="322" s="1"/>
  <c r="C68" i="411"/>
  <c r="J53" i="410"/>
  <c r="E68" i="411"/>
  <c r="J52" i="410"/>
  <c r="K52" i="410" s="1"/>
  <c r="C17" i="409" s="1"/>
  <c r="E144" i="411"/>
  <c r="O11" i="184"/>
  <c r="C144" i="411"/>
  <c r="C12" i="417"/>
  <c r="P17" i="74"/>
  <c r="D17" i="408"/>
  <c r="J17" i="248" s="1"/>
  <c r="D10" i="416"/>
  <c r="AA64" i="388"/>
  <c r="AQ28" i="352"/>
  <c r="AQ29" i="352" s="1"/>
  <c r="AQ30" i="352" s="1"/>
  <c r="M50" i="184"/>
  <c r="C13" i="380" s="1"/>
  <c r="M12" i="184"/>
  <c r="M51" i="184"/>
  <c r="C14" i="380" s="1"/>
  <c r="S36" i="352"/>
  <c r="S34" i="352"/>
  <c r="AC36" i="389"/>
  <c r="AC34" i="389"/>
  <c r="AG34" i="352"/>
  <c r="AG35" i="352" s="1"/>
  <c r="AG36" i="352"/>
  <c r="U94" i="389"/>
  <c r="U43" i="389"/>
  <c r="U35" i="389"/>
  <c r="S67" i="388"/>
  <c r="S65" i="388"/>
  <c r="O37" i="184"/>
  <c r="C23" i="417" s="1"/>
  <c r="D60" i="408"/>
  <c r="J60" i="248" s="1"/>
  <c r="C14" i="409"/>
  <c r="O57" i="184"/>
  <c r="O22" i="184"/>
  <c r="U64" i="168"/>
  <c r="U33" i="168"/>
  <c r="K54" i="248"/>
  <c r="J21" i="227"/>
  <c r="J26" i="227" s="1"/>
  <c r="J31" i="227" s="1"/>
  <c r="J33" i="227" s="1"/>
  <c r="U96" i="352"/>
  <c r="U43" i="352"/>
  <c r="U35" i="352"/>
  <c r="F49" i="410"/>
  <c r="C10" i="407"/>
  <c r="E10" i="407" s="1"/>
  <c r="F46" i="422"/>
  <c r="C8" i="426"/>
  <c r="E8" i="426" s="1"/>
  <c r="I25" i="167"/>
  <c r="Y33" i="168"/>
  <c r="Y64" i="168"/>
  <c r="AE33" i="389"/>
  <c r="AE34" i="389" s="1"/>
  <c r="AE35" i="389" s="1"/>
  <c r="W34" i="352"/>
  <c r="W35" i="352" s="1"/>
  <c r="AM24" i="168"/>
  <c r="AO128" i="389"/>
  <c r="AO112" i="352"/>
  <c r="AO142" i="389"/>
  <c r="E77" i="383"/>
  <c r="C18" i="383"/>
  <c r="E18" i="383" s="1"/>
  <c r="AK142" i="389"/>
  <c r="C77" i="383"/>
  <c r="C153" i="383"/>
  <c r="AM24" i="388"/>
  <c r="AO24" i="388" s="1"/>
  <c r="AO119" i="168"/>
  <c r="C94" i="383"/>
  <c r="E94" i="383" s="1"/>
  <c r="AK135" i="389"/>
  <c r="E153" i="383"/>
  <c r="AI24" i="389"/>
  <c r="AK24" i="389" s="1"/>
  <c r="AK33" i="389" s="1"/>
  <c r="AO135" i="388"/>
  <c r="AI24" i="388"/>
  <c r="AK24" i="388" s="1"/>
  <c r="AM24" i="352"/>
  <c r="AO24" i="352" s="1"/>
  <c r="AO33" i="352" s="1"/>
  <c r="AM24" i="389"/>
  <c r="AO24" i="389" s="1"/>
  <c r="AO33" i="389" s="1"/>
  <c r="AI24" i="168"/>
  <c r="AK142" i="388"/>
  <c r="AK112" i="168"/>
  <c r="AK126" i="168"/>
  <c r="AO128" i="352"/>
  <c r="AO126" i="168"/>
  <c r="AO112" i="168"/>
  <c r="AI24" i="352"/>
  <c r="AK24" i="352" s="1"/>
  <c r="AK33" i="352" s="1"/>
  <c r="AO128" i="388"/>
  <c r="AI15" i="388"/>
  <c r="AK15" i="388" s="1"/>
  <c r="AM15" i="388" s="1"/>
  <c r="AO15" i="388" s="1"/>
  <c r="AO16" i="388" s="1"/>
  <c r="AO17" i="388" s="1"/>
  <c r="AO19" i="388" s="1"/>
  <c r="AI15" i="389"/>
  <c r="AK15" i="389" s="1"/>
  <c r="AM15" i="389" s="1"/>
  <c r="AO15" i="389" s="1"/>
  <c r="AO16" i="389" s="1"/>
  <c r="AO17" i="389" s="1"/>
  <c r="AO19" i="389" s="1"/>
  <c r="AO135" i="389"/>
  <c r="AI15" i="352"/>
  <c r="AK15" i="352" s="1"/>
  <c r="AM15" i="352" s="1"/>
  <c r="AO15" i="352" s="1"/>
  <c r="AO16" i="352" s="1"/>
  <c r="AO17" i="352" s="1"/>
  <c r="AO19" i="352" s="1"/>
  <c r="AK119" i="168"/>
  <c r="AI15" i="168"/>
  <c r="AK15" i="168" s="1"/>
  <c r="AM15" i="168" s="1"/>
  <c r="AO15" i="168" s="1"/>
  <c r="AO16" i="168" s="1"/>
  <c r="AO17" i="168" s="1"/>
  <c r="AO19" i="168" s="1"/>
  <c r="AK128" i="352"/>
  <c r="AK135" i="388"/>
  <c r="AO142" i="388"/>
  <c r="AK128" i="388"/>
  <c r="AK112" i="352"/>
  <c r="AK128" i="389"/>
  <c r="AI28" i="388"/>
  <c r="AI29" i="388" s="1"/>
  <c r="AI30" i="388" s="1"/>
  <c r="AI28" i="352"/>
  <c r="AI29" i="352" s="1"/>
  <c r="AI30" i="352" s="1"/>
  <c r="AI28" i="389"/>
  <c r="AI29" i="389" s="1"/>
  <c r="AI30" i="389" s="1"/>
  <c r="AI33" i="389" s="1"/>
  <c r="AC36" i="352"/>
  <c r="AC34" i="352"/>
  <c r="C33" i="327"/>
  <c r="E33" i="327" s="1"/>
  <c r="AC24" i="168"/>
  <c r="AG33" i="388"/>
  <c r="AG64" i="388"/>
  <c r="AA33" i="389"/>
  <c r="AA33" i="388"/>
  <c r="D12" i="423"/>
  <c r="E12" i="423" s="1"/>
  <c r="M46" i="422"/>
  <c r="M49" i="422" s="1"/>
  <c r="S34" i="388"/>
  <c r="S36" i="388"/>
  <c r="Y34" i="388"/>
  <c r="Y35" i="388" s="1"/>
  <c r="Y36" i="388"/>
  <c r="S35" i="389"/>
  <c r="S94" i="389"/>
  <c r="S43" i="389"/>
  <c r="S128" i="389" s="1"/>
  <c r="AM28" i="388"/>
  <c r="AM29" i="388" s="1"/>
  <c r="AM30" i="388" s="1"/>
  <c r="D14" i="409"/>
  <c r="D16" i="409" s="1"/>
  <c r="P37" i="184"/>
  <c r="P57" i="184"/>
  <c r="J20" i="184"/>
  <c r="J35" i="184" s="1"/>
  <c r="H5" i="176"/>
  <c r="I35" i="184"/>
  <c r="I55" i="184" s="1"/>
  <c r="J55" i="184" s="1"/>
  <c r="C21" i="314"/>
  <c r="H49" i="422"/>
  <c r="D10" i="426"/>
  <c r="D56" i="424"/>
  <c r="K56" i="248" s="1"/>
  <c r="U64" i="388"/>
  <c r="U33" i="388"/>
  <c r="Y65" i="388"/>
  <c r="Y66" i="388" s="1"/>
  <c r="Y67" i="388"/>
  <c r="C27" i="411"/>
  <c r="E27" i="411" s="1"/>
  <c r="AQ17" i="168"/>
  <c r="O67" i="388"/>
  <c r="O65" i="388"/>
  <c r="O66" i="388" s="1"/>
  <c r="AE33" i="388"/>
  <c r="AE64" i="388"/>
  <c r="C29" i="327"/>
  <c r="E29" i="327" s="1"/>
  <c r="AA27" i="168"/>
  <c r="AY16" i="352"/>
  <c r="AY17" i="352" s="1"/>
  <c r="AY19" i="352" s="1"/>
  <c r="AY27" i="352" s="1"/>
  <c r="AY16" i="389"/>
  <c r="AY17" i="389" s="1"/>
  <c r="AY19" i="389" s="1"/>
  <c r="AY27" i="389" s="1"/>
  <c r="C35" i="303"/>
  <c r="S28" i="168"/>
  <c r="AS16" i="388"/>
  <c r="AS17" i="388" s="1"/>
  <c r="AS19" i="388" s="1"/>
  <c r="AY16" i="168"/>
  <c r="AE36" i="389"/>
  <c r="C35" i="291"/>
  <c r="K28" i="168"/>
  <c r="AS16" i="352"/>
  <c r="AS17" i="352" s="1"/>
  <c r="AS19" i="352" s="1"/>
  <c r="C29" i="383"/>
  <c r="E29" i="383" s="1"/>
  <c r="AI27" i="168"/>
  <c r="W67" i="388"/>
  <c r="W65" i="388"/>
  <c r="W66" i="388" s="1"/>
  <c r="C104" i="291"/>
  <c r="E104" i="291" s="1"/>
  <c r="O19" i="168"/>
  <c r="AY16" i="388"/>
  <c r="AY17" i="388" s="1"/>
  <c r="AY19" i="388" s="1"/>
  <c r="AY27" i="388" s="1"/>
  <c r="AS16" i="168"/>
  <c r="AS17" i="168" s="1"/>
  <c r="AS19" i="168" s="1"/>
  <c r="C103" i="327"/>
  <c r="E103" i="327" s="1"/>
  <c r="AE17" i="168"/>
  <c r="C104" i="303"/>
  <c r="E104" i="303" s="1"/>
  <c r="W19" i="168"/>
  <c r="C105" i="269"/>
  <c r="E105" i="269" s="1"/>
  <c r="G27" i="168"/>
  <c r="C29" i="168"/>
  <c r="C36" i="269"/>
  <c r="W34" i="388"/>
  <c r="W35" i="388" s="1"/>
  <c r="W36" i="388"/>
  <c r="O36" i="388"/>
  <c r="O34" i="388"/>
  <c r="O35" i="388" s="1"/>
  <c r="AM17" i="168"/>
  <c r="C103" i="383"/>
  <c r="E103" i="383" s="1"/>
  <c r="G95" i="388"/>
  <c r="G96" i="388" s="1"/>
  <c r="G142" i="388"/>
  <c r="AS16" i="389"/>
  <c r="AS17" i="389" s="1"/>
  <c r="AS19" i="389" s="1"/>
  <c r="E44" i="291"/>
  <c r="E28" i="391"/>
  <c r="G28" i="391" s="1"/>
  <c r="I28" i="391" s="1"/>
  <c r="K28" i="391" s="1"/>
  <c r="M28" i="391" s="1"/>
  <c r="O28" i="391" s="1"/>
  <c r="D28" i="391"/>
  <c r="F28" i="391" s="1"/>
  <c r="H28" i="391" s="1"/>
  <c r="J28" i="391" s="1"/>
  <c r="L28" i="391" s="1"/>
  <c r="N28" i="391" s="1"/>
  <c r="P28" i="391" s="1"/>
  <c r="B29" i="391"/>
  <c r="AA34" i="352" l="1"/>
  <c r="AE34" i="352"/>
  <c r="AE35" i="352" s="1"/>
  <c r="AM33" i="388"/>
  <c r="AM33" i="352"/>
  <c r="AM36" i="352" s="1"/>
  <c r="U34" i="388"/>
  <c r="U36" i="388"/>
  <c r="D60" i="424"/>
  <c r="K60" i="248" s="1"/>
  <c r="Q22" i="184"/>
  <c r="Q37" i="184"/>
  <c r="C23" i="432" s="1"/>
  <c r="Q57" i="184"/>
  <c r="C14" i="423"/>
  <c r="R37" i="184"/>
  <c r="D14" i="423"/>
  <c r="D16" i="423" s="1"/>
  <c r="R57" i="184"/>
  <c r="AG65" i="388"/>
  <c r="AG66" i="388" s="1"/>
  <c r="AG67" i="388"/>
  <c r="AC96" i="352"/>
  <c r="AC43" i="352"/>
  <c r="AC35" i="352"/>
  <c r="AI64" i="388"/>
  <c r="AI33" i="388"/>
  <c r="AK33" i="388"/>
  <c r="AK64" i="388"/>
  <c r="AO24" i="168"/>
  <c r="C109" i="383"/>
  <c r="E109" i="383" s="1"/>
  <c r="E115" i="303"/>
  <c r="Y67" i="168"/>
  <c r="Y65" i="168"/>
  <c r="F49" i="422"/>
  <c r="C10" i="426"/>
  <c r="E10" i="426" s="1"/>
  <c r="AC43" i="389"/>
  <c r="AC35" i="389"/>
  <c r="AC94" i="389"/>
  <c r="AS128" i="352"/>
  <c r="AW112" i="168"/>
  <c r="AQ15" i="389"/>
  <c r="AS15" i="389" s="1"/>
  <c r="AU15" i="389" s="1"/>
  <c r="AW15" i="389" s="1"/>
  <c r="AW16" i="389" s="1"/>
  <c r="AW17" i="389" s="1"/>
  <c r="AW19" i="389" s="1"/>
  <c r="AW135" i="388"/>
  <c r="AS112" i="168"/>
  <c r="AQ24" i="168"/>
  <c r="AS128" i="388"/>
  <c r="AQ15" i="388"/>
  <c r="AS15" i="388" s="1"/>
  <c r="AU15" i="388" s="1"/>
  <c r="AQ15" i="352"/>
  <c r="AS15" i="352" s="1"/>
  <c r="AU15" i="352" s="1"/>
  <c r="AW128" i="352"/>
  <c r="AQ24" i="389"/>
  <c r="AS24" i="389" s="1"/>
  <c r="AS142" i="389"/>
  <c r="AS112" i="352"/>
  <c r="AW142" i="389"/>
  <c r="AQ24" i="352"/>
  <c r="AS24" i="352" s="1"/>
  <c r="AS33" i="352" s="1"/>
  <c r="AS126" i="168"/>
  <c r="C77" i="411"/>
  <c r="AQ24" i="388"/>
  <c r="AS24" i="388" s="1"/>
  <c r="C153" i="411"/>
  <c r="AS128" i="389"/>
  <c r="AU24" i="168"/>
  <c r="AW128" i="389"/>
  <c r="AQ15" i="168"/>
  <c r="AS15" i="168" s="1"/>
  <c r="AU15" i="168" s="1"/>
  <c r="AW15" i="168" s="1"/>
  <c r="AW16" i="168" s="1"/>
  <c r="AW17" i="168" s="1"/>
  <c r="AW19" i="168" s="1"/>
  <c r="AS119" i="168"/>
  <c r="AU24" i="352"/>
  <c r="AW24" i="352" s="1"/>
  <c r="AW33" i="352" s="1"/>
  <c r="AW112" i="352"/>
  <c r="C18" i="411"/>
  <c r="E18" i="411" s="1"/>
  <c r="AW135" i="389"/>
  <c r="AW126" i="168"/>
  <c r="AS135" i="388"/>
  <c r="AU24" i="389"/>
  <c r="AW24" i="389" s="1"/>
  <c r="AS135" i="389"/>
  <c r="AW142" i="388"/>
  <c r="AU24" i="388"/>
  <c r="AW24" i="388" s="1"/>
  <c r="AW119" i="168"/>
  <c r="E153" i="411"/>
  <c r="C94" i="411"/>
  <c r="E94" i="411" s="1"/>
  <c r="AS142" i="388"/>
  <c r="AW128" i="388"/>
  <c r="E77" i="411"/>
  <c r="AC65" i="388"/>
  <c r="AC67" i="388"/>
  <c r="U65" i="388"/>
  <c r="U67" i="388"/>
  <c r="AG36" i="388"/>
  <c r="AG34" i="388"/>
  <c r="AG35" i="388" s="1"/>
  <c r="C33" i="383"/>
  <c r="E33" i="383" s="1"/>
  <c r="AK24" i="168"/>
  <c r="Y34" i="168"/>
  <c r="Y35" i="168" s="1"/>
  <c r="Y36" i="168"/>
  <c r="AA43" i="352"/>
  <c r="AA112" i="352" s="1"/>
  <c r="AA35" i="352"/>
  <c r="AA96" i="352"/>
  <c r="AA128" i="352" s="1"/>
  <c r="S74" i="388"/>
  <c r="S135" i="388" s="1"/>
  <c r="S66" i="388"/>
  <c r="M20" i="184"/>
  <c r="M14" i="184"/>
  <c r="C16" i="380" s="1"/>
  <c r="AA67" i="388"/>
  <c r="AA65" i="388"/>
  <c r="AG33" i="168"/>
  <c r="AG64" i="168"/>
  <c r="AM64" i="388"/>
  <c r="AM65" i="388" s="1"/>
  <c r="AM66" i="388" s="1"/>
  <c r="AM34" i="352"/>
  <c r="AM35" i="352" s="1"/>
  <c r="S135" i="389"/>
  <c r="S142" i="389"/>
  <c r="AA36" i="388"/>
  <c r="AA34" i="388"/>
  <c r="AC33" i="168"/>
  <c r="AC64" i="168"/>
  <c r="AI36" i="389"/>
  <c r="AI34" i="389"/>
  <c r="AK34" i="352"/>
  <c r="AK36" i="352"/>
  <c r="AO36" i="389"/>
  <c r="AO34" i="389"/>
  <c r="AO35" i="389" s="1"/>
  <c r="AK34" i="389"/>
  <c r="AK36" i="389"/>
  <c r="AQ28" i="389"/>
  <c r="AQ29" i="389" s="1"/>
  <c r="AQ30" i="389" s="1"/>
  <c r="E144" i="425"/>
  <c r="J53" i="422"/>
  <c r="Q11" i="184"/>
  <c r="C68" i="425"/>
  <c r="C144" i="425"/>
  <c r="C12" i="432"/>
  <c r="D17" i="424"/>
  <c r="K17" i="248" s="1"/>
  <c r="D10" i="431"/>
  <c r="J52" i="422"/>
  <c r="K52" i="422" s="1"/>
  <c r="C17" i="423" s="1"/>
  <c r="Q17" i="74"/>
  <c r="AY28" i="388" s="1"/>
  <c r="AY29" i="388" s="1"/>
  <c r="AY30" i="388" s="1"/>
  <c r="E68" i="425"/>
  <c r="U34" i="168"/>
  <c r="U36" i="168"/>
  <c r="E14" i="409"/>
  <c r="C16" i="409"/>
  <c r="E16" i="409" s="1"/>
  <c r="S43" i="352"/>
  <c r="S112" i="352" s="1"/>
  <c r="S96" i="352"/>
  <c r="S128" i="352" s="1"/>
  <c r="S35" i="352"/>
  <c r="C21" i="322"/>
  <c r="L20" i="184"/>
  <c r="I5" i="176"/>
  <c r="K35" i="184"/>
  <c r="S35" i="388"/>
  <c r="S94" i="388"/>
  <c r="S142" i="388" s="1"/>
  <c r="S43" i="388"/>
  <c r="S128" i="388" s="1"/>
  <c r="AA36" i="389"/>
  <c r="AA34" i="389"/>
  <c r="AI33" i="352"/>
  <c r="AO36" i="352"/>
  <c r="AO34" i="352"/>
  <c r="AO35" i="352" s="1"/>
  <c r="AO33" i="388"/>
  <c r="AO64" i="388"/>
  <c r="E39" i="303"/>
  <c r="U67" i="168"/>
  <c r="U65" i="168"/>
  <c r="AM33" i="389"/>
  <c r="O50" i="184"/>
  <c r="C13" i="417" s="1"/>
  <c r="O51" i="184"/>
  <c r="C14" i="417" s="1"/>
  <c r="O12" i="184"/>
  <c r="AC36" i="388"/>
  <c r="AC34" i="388"/>
  <c r="AQ28" i="388"/>
  <c r="AQ29" i="388" s="1"/>
  <c r="AQ30" i="388" s="1"/>
  <c r="C111" i="269"/>
  <c r="G28" i="168"/>
  <c r="C104" i="327"/>
  <c r="E104" i="327" s="1"/>
  <c r="AE19" i="168"/>
  <c r="C28" i="411"/>
  <c r="E28" i="411" s="1"/>
  <c r="AQ19" i="168"/>
  <c r="I96" i="388"/>
  <c r="I98" i="388" s="1"/>
  <c r="I99" i="388" s="1"/>
  <c r="G98" i="388"/>
  <c r="G99" i="388" s="1"/>
  <c r="AM34" i="388"/>
  <c r="AM35" i="388" s="1"/>
  <c r="AM36" i="388"/>
  <c r="BA16" i="388"/>
  <c r="BA17" i="388" s="1"/>
  <c r="BA19" i="388" s="1"/>
  <c r="BA16" i="168"/>
  <c r="BA17" i="168" s="1"/>
  <c r="BA19" i="168" s="1"/>
  <c r="BA16" i="352"/>
  <c r="BA17" i="352" s="1"/>
  <c r="BA19" i="352" s="1"/>
  <c r="AE36" i="388"/>
  <c r="AE34" i="388"/>
  <c r="AE35" i="388" s="1"/>
  <c r="W27" i="168"/>
  <c r="C105" i="303"/>
  <c r="E105" i="303" s="1"/>
  <c r="O27" i="168"/>
  <c r="C105" i="291"/>
  <c r="E105" i="291" s="1"/>
  <c r="C35" i="327"/>
  <c r="AA28" i="168"/>
  <c r="C35" i="383"/>
  <c r="AI28" i="168"/>
  <c r="K29" i="168"/>
  <c r="C36" i="291"/>
  <c r="C27" i="425"/>
  <c r="E27" i="425" s="1"/>
  <c r="AY17" i="168"/>
  <c r="C36" i="303"/>
  <c r="S29" i="168"/>
  <c r="AE67" i="388"/>
  <c r="AE65" i="388"/>
  <c r="AE66" i="388" s="1"/>
  <c r="AU16" i="389"/>
  <c r="AU17" i="389" s="1"/>
  <c r="AU19" i="389" s="1"/>
  <c r="AU27" i="389" s="1"/>
  <c r="AU28" i="389" s="1"/>
  <c r="AU29" i="389" s="1"/>
  <c r="AU30" i="389" s="1"/>
  <c r="C104" i="383"/>
  <c r="E104" i="383" s="1"/>
  <c r="AM19" i="168"/>
  <c r="C37" i="269"/>
  <c r="C30" i="168"/>
  <c r="AU16" i="168"/>
  <c r="AW15" i="352"/>
  <c r="AW16" i="352" s="1"/>
  <c r="AW17" i="352" s="1"/>
  <c r="AW19" i="352" s="1"/>
  <c r="AU16" i="352"/>
  <c r="AU17" i="352" s="1"/>
  <c r="AU19" i="352" s="1"/>
  <c r="AU27" i="352" s="1"/>
  <c r="AU28" i="352" s="1"/>
  <c r="AU29" i="352" s="1"/>
  <c r="AU30" i="352" s="1"/>
  <c r="AW15" i="388"/>
  <c r="AW16" i="388" s="1"/>
  <c r="AW17" i="388" s="1"/>
  <c r="AW19" i="388" s="1"/>
  <c r="AU16" i="388"/>
  <c r="AU17" i="388" s="1"/>
  <c r="AU19" i="388" s="1"/>
  <c r="AU27" i="388" s="1"/>
  <c r="AU28" i="388" s="1"/>
  <c r="AU29" i="388" s="1"/>
  <c r="AU30" i="388" s="1"/>
  <c r="BA16" i="389"/>
  <c r="BA17" i="389" s="1"/>
  <c r="BA19" i="389" s="1"/>
  <c r="E29" i="391"/>
  <c r="G29" i="391" s="1"/>
  <c r="I29" i="391" s="1"/>
  <c r="K29" i="391" s="1"/>
  <c r="M29" i="391" s="1"/>
  <c r="O29" i="391" s="1"/>
  <c r="Q29" i="391" s="1"/>
  <c r="B30" i="391"/>
  <c r="D29" i="391"/>
  <c r="F29" i="391" s="1"/>
  <c r="H29" i="391" s="1"/>
  <c r="J29" i="391" s="1"/>
  <c r="L29" i="391" s="1"/>
  <c r="N29" i="391" s="1"/>
  <c r="P29" i="391" s="1"/>
  <c r="Q28" i="391"/>
  <c r="AU33" i="352" l="1"/>
  <c r="AQ33" i="388"/>
  <c r="AQ64" i="388"/>
  <c r="Q50" i="184"/>
  <c r="C13" i="432" s="1"/>
  <c r="Q51" i="184"/>
  <c r="C14" i="432" s="1"/>
  <c r="Q12" i="184"/>
  <c r="E39" i="327"/>
  <c r="AC65" i="168"/>
  <c r="AC67" i="168"/>
  <c r="AA74" i="388"/>
  <c r="AA135" i="388" s="1"/>
  <c r="AA66" i="388"/>
  <c r="U66" i="388"/>
  <c r="U74" i="388"/>
  <c r="AW64" i="389"/>
  <c r="AW33" i="389"/>
  <c r="AS34" i="352"/>
  <c r="AS36" i="352"/>
  <c r="AS33" i="389"/>
  <c r="AS64" i="389"/>
  <c r="AI36" i="388"/>
  <c r="AI34" i="388"/>
  <c r="U35" i="388"/>
  <c r="U43" i="388"/>
  <c r="U94" i="388"/>
  <c r="AC94" i="388"/>
  <c r="AC43" i="388"/>
  <c r="AC35" i="388"/>
  <c r="L35" i="184"/>
  <c r="K55" i="184"/>
  <c r="L55" i="184" s="1"/>
  <c r="AY15" i="389"/>
  <c r="BA15" i="389" s="1"/>
  <c r="BC15" i="389" s="1"/>
  <c r="BE15" i="389" s="1"/>
  <c r="BE16" i="389" s="1"/>
  <c r="BE17" i="389" s="1"/>
  <c r="BE19" i="389" s="1"/>
  <c r="BA142" i="389"/>
  <c r="AY15" i="352"/>
  <c r="BA15" i="352" s="1"/>
  <c r="BC15" i="352" s="1"/>
  <c r="BE15" i="352" s="1"/>
  <c r="BE16" i="352" s="1"/>
  <c r="BE17" i="352" s="1"/>
  <c r="BE19" i="352" s="1"/>
  <c r="AY24" i="352"/>
  <c r="BA24" i="352" s="1"/>
  <c r="BA33" i="352" s="1"/>
  <c r="BA112" i="168"/>
  <c r="BE142" i="388"/>
  <c r="E77" i="425"/>
  <c r="BA142" i="388"/>
  <c r="BC24" i="168"/>
  <c r="BE126" i="168"/>
  <c r="BE135" i="389"/>
  <c r="BA128" i="389"/>
  <c r="BE128" i="352"/>
  <c r="BA112" i="352"/>
  <c r="AY15" i="388"/>
  <c r="BA15" i="388" s="1"/>
  <c r="BC15" i="388" s="1"/>
  <c r="BE15" i="388" s="1"/>
  <c r="BE16" i="388" s="1"/>
  <c r="BE17" i="388" s="1"/>
  <c r="BE19" i="388" s="1"/>
  <c r="AY24" i="388"/>
  <c r="BA24" i="388" s="1"/>
  <c r="C153" i="425"/>
  <c r="BC24" i="388"/>
  <c r="BE24" i="388" s="1"/>
  <c r="BE112" i="168"/>
  <c r="BE128" i="388"/>
  <c r="BE142" i="389"/>
  <c r="AY24" i="389"/>
  <c r="BA24" i="389" s="1"/>
  <c r="BA135" i="389"/>
  <c r="BA128" i="352"/>
  <c r="BA119" i="168"/>
  <c r="BA126" i="168"/>
  <c r="BA128" i="388"/>
  <c r="AY24" i="168"/>
  <c r="E153" i="425"/>
  <c r="AY15" i="168"/>
  <c r="BA15" i="168" s="1"/>
  <c r="BC15" i="168" s="1"/>
  <c r="BE128" i="389"/>
  <c r="BC24" i="389"/>
  <c r="BE24" i="389" s="1"/>
  <c r="BE112" i="352"/>
  <c r="BC24" i="352"/>
  <c r="BE24" i="352" s="1"/>
  <c r="BE33" i="352" s="1"/>
  <c r="C18" i="425"/>
  <c r="E18" i="425" s="1"/>
  <c r="C94" i="425"/>
  <c r="E94" i="425" s="1"/>
  <c r="BA135" i="388"/>
  <c r="C77" i="425"/>
  <c r="BE119" i="168"/>
  <c r="BE135" i="388"/>
  <c r="AK35" i="389"/>
  <c r="AK43" i="389"/>
  <c r="AK94" i="389"/>
  <c r="AK43" i="352"/>
  <c r="AK96" i="352"/>
  <c r="AK35" i="352"/>
  <c r="AC34" i="168"/>
  <c r="AC36" i="168"/>
  <c r="AW64" i="388"/>
  <c r="AW33" i="388"/>
  <c r="AS64" i="388"/>
  <c r="AS33" i="388"/>
  <c r="AS24" i="168"/>
  <c r="C33" i="411"/>
  <c r="E33" i="411" s="1"/>
  <c r="Y66" i="168"/>
  <c r="E117" i="303" s="1"/>
  <c r="E116" i="303"/>
  <c r="AO64" i="168"/>
  <c r="AO33" i="168"/>
  <c r="AI67" i="388"/>
  <c r="AI65" i="388"/>
  <c r="AY28" i="389"/>
  <c r="AY29" i="389" s="1"/>
  <c r="AY30" i="389" s="1"/>
  <c r="AM67" i="388"/>
  <c r="AM36" i="389"/>
  <c r="AM34" i="389"/>
  <c r="AM35" i="389" s="1"/>
  <c r="AO65" i="388"/>
  <c r="AO66" i="388" s="1"/>
  <c r="AO67" i="388"/>
  <c r="AI34" i="352"/>
  <c r="AI36" i="352"/>
  <c r="AI94" i="389"/>
  <c r="AI43" i="389"/>
  <c r="AI128" i="389" s="1"/>
  <c r="AI35" i="389"/>
  <c r="AA94" i="388"/>
  <c r="AA142" i="388" s="1"/>
  <c r="AA35" i="388"/>
  <c r="AA43" i="388"/>
  <c r="AA128" i="388" s="1"/>
  <c r="AY28" i="352"/>
  <c r="AY29" i="352" s="1"/>
  <c r="AY30" i="352" s="1"/>
  <c r="AG67" i="168"/>
  <c r="AG65" i="168"/>
  <c r="E115" i="327"/>
  <c r="AC66" i="388"/>
  <c r="AC74" i="388"/>
  <c r="AW36" i="352"/>
  <c r="AW34" i="352"/>
  <c r="AW35" i="352" s="1"/>
  <c r="AW24" i="168"/>
  <c r="C109" i="411"/>
  <c r="E109" i="411" s="1"/>
  <c r="AK67" i="388"/>
  <c r="AK65" i="388"/>
  <c r="E14" i="423"/>
  <c r="C16" i="423"/>
  <c r="E16" i="423" s="1"/>
  <c r="AY33" i="388"/>
  <c r="O14" i="184"/>
  <c r="C16" i="417" s="1"/>
  <c r="O20" i="184"/>
  <c r="E40" i="303"/>
  <c r="U66" i="168"/>
  <c r="E41" i="303" s="1"/>
  <c r="U74" i="168"/>
  <c r="E44" i="303" s="1"/>
  <c r="AO34" i="388"/>
  <c r="AO35" i="388" s="1"/>
  <c r="AO36" i="388"/>
  <c r="AA94" i="389"/>
  <c r="AA35" i="389"/>
  <c r="AA43" i="389"/>
  <c r="AA128" i="389" s="1"/>
  <c r="U94" i="168"/>
  <c r="U43" i="168"/>
  <c r="U35" i="168"/>
  <c r="AQ33" i="389"/>
  <c r="AQ64" i="389"/>
  <c r="AG34" i="168"/>
  <c r="AG35" i="168" s="1"/>
  <c r="AG36" i="168"/>
  <c r="C21" i="380"/>
  <c r="N20" i="184"/>
  <c r="M35" i="184"/>
  <c r="AK33" i="168"/>
  <c r="AK64" i="168"/>
  <c r="AQ33" i="352"/>
  <c r="AK36" i="388"/>
  <c r="AK34" i="388"/>
  <c r="BC16" i="389"/>
  <c r="BC17" i="389" s="1"/>
  <c r="BC19" i="389" s="1"/>
  <c r="BC27" i="389" s="1"/>
  <c r="BC28" i="389" s="1"/>
  <c r="BC29" i="389" s="1"/>
  <c r="BC30" i="389" s="1"/>
  <c r="C37" i="291"/>
  <c r="K30" i="168"/>
  <c r="C111" i="303"/>
  <c r="W28" i="168"/>
  <c r="BC16" i="352"/>
  <c r="BC17" i="352" s="1"/>
  <c r="BC19" i="352" s="1"/>
  <c r="BC27" i="352" s="1"/>
  <c r="BC28" i="352" s="1"/>
  <c r="BC29" i="352" s="1"/>
  <c r="BC30" i="352" s="1"/>
  <c r="BC33" i="352" s="1"/>
  <c r="BC16" i="388"/>
  <c r="BC17" i="388" s="1"/>
  <c r="BC19" i="388" s="1"/>
  <c r="BC27" i="388" s="1"/>
  <c r="BC28" i="388" s="1"/>
  <c r="BC29" i="388" s="1"/>
  <c r="BC30" i="388" s="1"/>
  <c r="AE27" i="168"/>
  <c r="C105" i="327"/>
  <c r="E105" i="327" s="1"/>
  <c r="AU64" i="388"/>
  <c r="AU33" i="388"/>
  <c r="C103" i="411"/>
  <c r="E103" i="411" s="1"/>
  <c r="AU17" i="168"/>
  <c r="AM27" i="168"/>
  <c r="C105" i="383"/>
  <c r="E105" i="383" s="1"/>
  <c r="C28" i="425"/>
  <c r="E28" i="425" s="1"/>
  <c r="AY19" i="168"/>
  <c r="AI29" i="168"/>
  <c r="C36" i="383"/>
  <c r="C111" i="291"/>
  <c r="O28" i="168"/>
  <c r="BE15" i="168"/>
  <c r="BE16" i="168" s="1"/>
  <c r="BE17" i="168" s="1"/>
  <c r="BE19" i="168" s="1"/>
  <c r="BC16" i="168"/>
  <c r="C29" i="411"/>
  <c r="E29" i="411" s="1"/>
  <c r="AQ27" i="168"/>
  <c r="C112" i="269"/>
  <c r="G29" i="168"/>
  <c r="I141" i="388"/>
  <c r="I105" i="388"/>
  <c r="AU34" i="352"/>
  <c r="AU35" i="352" s="1"/>
  <c r="AU36" i="352"/>
  <c r="C64" i="168"/>
  <c r="C33" i="168"/>
  <c r="C38" i="269"/>
  <c r="AU64" i="389"/>
  <c r="AU33" i="389"/>
  <c r="S30" i="168"/>
  <c r="C37" i="303"/>
  <c r="C36" i="327"/>
  <c r="AA29" i="168"/>
  <c r="G141" i="388"/>
  <c r="G102" i="388" s="1"/>
  <c r="G103" i="388"/>
  <c r="E30" i="391"/>
  <c r="G30" i="391" s="1"/>
  <c r="I30" i="391" s="1"/>
  <c r="K30" i="391" s="1"/>
  <c r="M30" i="391" s="1"/>
  <c r="O30" i="391" s="1"/>
  <c r="Q30" i="391" s="1"/>
  <c r="B31" i="391"/>
  <c r="D30" i="391"/>
  <c r="F30" i="391" s="1"/>
  <c r="H30" i="391" s="1"/>
  <c r="J30" i="391" s="1"/>
  <c r="L30" i="391" s="1"/>
  <c r="N30" i="391" s="1"/>
  <c r="P30" i="391" s="1"/>
  <c r="M55" i="184" l="1"/>
  <c r="N55" i="184" s="1"/>
  <c r="N35" i="184"/>
  <c r="AA135" i="389"/>
  <c r="AA142" i="389"/>
  <c r="AY34" i="388"/>
  <c r="AY36" i="388"/>
  <c r="AG66" i="168"/>
  <c r="E117" i="327" s="1"/>
  <c r="E116" i="327"/>
  <c r="AI142" i="389"/>
  <c r="AI135" i="389"/>
  <c r="AY33" i="389"/>
  <c r="AY64" i="389"/>
  <c r="AO65" i="168"/>
  <c r="AO67" i="168"/>
  <c r="E115" i="383"/>
  <c r="AS64" i="168"/>
  <c r="AS33" i="168"/>
  <c r="AW65" i="388"/>
  <c r="AW66" i="388" s="1"/>
  <c r="AW67" i="388"/>
  <c r="BE24" i="168"/>
  <c r="C109" i="425"/>
  <c r="E109" i="425" s="1"/>
  <c r="AS36" i="389"/>
  <c r="AS34" i="389"/>
  <c r="AW67" i="389"/>
  <c r="AW65" i="389"/>
  <c r="AW66" i="389" s="1"/>
  <c r="AQ65" i="388"/>
  <c r="AQ67" i="388"/>
  <c r="AQ36" i="352"/>
  <c r="AQ34" i="352"/>
  <c r="AQ65" i="389"/>
  <c r="AQ67" i="389"/>
  <c r="AI74" i="388"/>
  <c r="AI135" i="388" s="1"/>
  <c r="AI66" i="388"/>
  <c r="AS34" i="388"/>
  <c r="AS36" i="388"/>
  <c r="BE33" i="389"/>
  <c r="BE64" i="389"/>
  <c r="BA24" i="168"/>
  <c r="C33" i="425"/>
  <c r="E33" i="425" s="1"/>
  <c r="BA33" i="388"/>
  <c r="BA64" i="388"/>
  <c r="BA34" i="352"/>
  <c r="BA36" i="352"/>
  <c r="AI35" i="388"/>
  <c r="AI43" i="388"/>
  <c r="AI128" i="388" s="1"/>
  <c r="AI94" i="388"/>
  <c r="AI142" i="388" s="1"/>
  <c r="AY64" i="388"/>
  <c r="Q14" i="184"/>
  <c r="C16" i="432" s="1"/>
  <c r="Q20" i="184"/>
  <c r="AQ34" i="388"/>
  <c r="AQ36" i="388"/>
  <c r="AK65" i="168"/>
  <c r="E39" i="383"/>
  <c r="AK67" i="168"/>
  <c r="AQ34" i="389"/>
  <c r="AQ36" i="389"/>
  <c r="O35" i="184"/>
  <c r="P20" i="184"/>
  <c r="C21" i="417"/>
  <c r="AW33" i="168"/>
  <c r="AW64" i="168"/>
  <c r="AY33" i="352"/>
  <c r="AI35" i="352"/>
  <c r="AI43" i="352"/>
  <c r="AI112" i="352" s="1"/>
  <c r="AI96" i="352"/>
  <c r="AI128" i="352" s="1"/>
  <c r="AS67" i="388"/>
  <c r="AS65" i="388"/>
  <c r="AC94" i="168"/>
  <c r="AC43" i="168"/>
  <c r="AC35" i="168"/>
  <c r="AS96" i="352"/>
  <c r="AS43" i="352"/>
  <c r="AS35" i="352"/>
  <c r="AK43" i="388"/>
  <c r="AK35" i="388"/>
  <c r="AK94" i="388"/>
  <c r="AK34" i="168"/>
  <c r="AK36" i="168"/>
  <c r="AK66" i="388"/>
  <c r="AK74" i="388"/>
  <c r="AO36" i="168"/>
  <c r="AO34" i="168"/>
  <c r="AO35" i="168" s="1"/>
  <c r="AW36" i="388"/>
  <c r="AW34" i="388"/>
  <c r="AW35" i="388" s="1"/>
  <c r="BE34" i="352"/>
  <c r="BE35" i="352" s="1"/>
  <c r="BE36" i="352"/>
  <c r="BA33" i="389"/>
  <c r="BA64" i="389"/>
  <c r="BE33" i="388"/>
  <c r="BE64" i="388"/>
  <c r="AS65" i="389"/>
  <c r="AS67" i="389"/>
  <c r="AW36" i="389"/>
  <c r="AW34" i="389"/>
  <c r="AW35" i="389" s="1"/>
  <c r="AC74" i="168"/>
  <c r="E44" i="327" s="1"/>
  <c r="AC66" i="168"/>
  <c r="E41" i="327" s="1"/>
  <c r="E40" i="327"/>
  <c r="AU65" i="389"/>
  <c r="AU66" i="389" s="1"/>
  <c r="AU67" i="389"/>
  <c r="C113" i="269"/>
  <c r="G30" i="168"/>
  <c r="BC64" i="388"/>
  <c r="BC33" i="388"/>
  <c r="C112" i="303"/>
  <c r="W29" i="168"/>
  <c r="AI30" i="168"/>
  <c r="C37" i="383"/>
  <c r="C111" i="383"/>
  <c r="AM28" i="168"/>
  <c r="G105" i="388"/>
  <c r="C58" i="350" s="1"/>
  <c r="S64" i="168"/>
  <c r="C38" i="303"/>
  <c r="S33" i="168"/>
  <c r="C34" i="168"/>
  <c r="C39" i="269"/>
  <c r="C36" i="168"/>
  <c r="C35" i="411"/>
  <c r="AQ28" i="168"/>
  <c r="O29" i="168"/>
  <c r="C112" i="291"/>
  <c r="AY27" i="168"/>
  <c r="C29" i="425"/>
  <c r="E29" i="425" s="1"/>
  <c r="C104" i="411"/>
  <c r="E104" i="411" s="1"/>
  <c r="AU19" i="168"/>
  <c r="BC34" i="352"/>
  <c r="BC35" i="352" s="1"/>
  <c r="BC36" i="352"/>
  <c r="K64" i="168"/>
  <c r="K33" i="168"/>
  <c r="C38" i="291"/>
  <c r="BC17" i="168"/>
  <c r="C103" i="425"/>
  <c r="E103" i="425" s="1"/>
  <c r="AU36" i="388"/>
  <c r="AU34" i="388"/>
  <c r="AU35" i="388" s="1"/>
  <c r="BC33" i="389"/>
  <c r="BC64" i="389"/>
  <c r="AU65" i="388"/>
  <c r="AU66" i="388" s="1"/>
  <c r="AU67" i="388"/>
  <c r="AA30" i="168"/>
  <c r="C37" i="327"/>
  <c r="AU34" i="389"/>
  <c r="AU35" i="389" s="1"/>
  <c r="AU36" i="389"/>
  <c r="C65" i="168"/>
  <c r="C67" i="168"/>
  <c r="C111" i="327"/>
  <c r="AE28" i="168"/>
  <c r="E31" i="391"/>
  <c r="G31" i="391" s="1"/>
  <c r="I31" i="391" s="1"/>
  <c r="K31" i="391" s="1"/>
  <c r="M31" i="391" s="1"/>
  <c r="O31" i="391" s="1"/>
  <c r="Q31" i="391" s="1"/>
  <c r="D31" i="391"/>
  <c r="F31" i="391" s="1"/>
  <c r="H31" i="391" s="1"/>
  <c r="J31" i="391" s="1"/>
  <c r="L31" i="391" s="1"/>
  <c r="N31" i="391" s="1"/>
  <c r="P31" i="391" s="1"/>
  <c r="B32" i="391"/>
  <c r="BE67" i="388" l="1"/>
  <c r="BE65" i="388"/>
  <c r="BE66" i="388" s="1"/>
  <c r="AY34" i="352"/>
  <c r="AY36" i="352"/>
  <c r="AY96" i="352" s="1"/>
  <c r="AY128" i="352" s="1"/>
  <c r="AQ43" i="388"/>
  <c r="AQ128" i="388" s="1"/>
  <c r="AQ94" i="388"/>
  <c r="AQ142" i="388" s="1"/>
  <c r="AQ35" i="388"/>
  <c r="BA96" i="352"/>
  <c r="BA43" i="352"/>
  <c r="BA35" i="352"/>
  <c r="BA33" i="168"/>
  <c r="BA64" i="168"/>
  <c r="AS35" i="388"/>
  <c r="AS94" i="388"/>
  <c r="AS43" i="388"/>
  <c r="AQ74" i="389"/>
  <c r="AQ135" i="389" s="1"/>
  <c r="AQ66" i="389"/>
  <c r="AQ74" i="388"/>
  <c r="AQ135" i="388" s="1"/>
  <c r="AQ66" i="388"/>
  <c r="BE36" i="388"/>
  <c r="BE34" i="388"/>
  <c r="BE35" i="388" s="1"/>
  <c r="AK35" i="168"/>
  <c r="AK94" i="168"/>
  <c r="AK43" i="168"/>
  <c r="E115" i="411"/>
  <c r="AW65" i="168"/>
  <c r="AW67" i="168"/>
  <c r="P35" i="184"/>
  <c r="O55" i="184"/>
  <c r="P55" i="184" s="1"/>
  <c r="R20" i="184"/>
  <c r="Q35" i="184"/>
  <c r="C21" i="432"/>
  <c r="BA67" i="388"/>
  <c r="BA65" i="388"/>
  <c r="BE65" i="389"/>
  <c r="BE66" i="389" s="1"/>
  <c r="BE67" i="389"/>
  <c r="AQ43" i="352"/>
  <c r="AQ112" i="352" s="1"/>
  <c r="AQ35" i="352"/>
  <c r="AQ96" i="352"/>
  <c r="AQ128" i="352" s="1"/>
  <c r="AS34" i="168"/>
  <c r="AS36" i="168"/>
  <c r="E116" i="383"/>
  <c r="AO66" i="168"/>
  <c r="E117" i="383" s="1"/>
  <c r="AY94" i="388"/>
  <c r="AY142" i="388" s="1"/>
  <c r="AY43" i="388"/>
  <c r="AY128" i="388" s="1"/>
  <c r="AY35" i="388"/>
  <c r="AY93" i="388" s="1"/>
  <c r="BA65" i="389"/>
  <c r="BA67" i="389"/>
  <c r="AW34" i="168"/>
  <c r="AW35" i="168" s="1"/>
  <c r="AW36" i="168"/>
  <c r="E40" i="383"/>
  <c r="AK74" i="168"/>
  <c r="E44" i="383" s="1"/>
  <c r="AK66" i="168"/>
  <c r="E41" i="383" s="1"/>
  <c r="BA36" i="388"/>
  <c r="BA34" i="388"/>
  <c r="BE34" i="389"/>
  <c r="BE35" i="389" s="1"/>
  <c r="BE36" i="389"/>
  <c r="BE64" i="168"/>
  <c r="BE33" i="168"/>
  <c r="E39" i="411"/>
  <c r="AS67" i="168"/>
  <c r="AS65" i="168"/>
  <c r="AY67" i="389"/>
  <c r="AY65" i="389"/>
  <c r="AS74" i="389"/>
  <c r="AS66" i="389"/>
  <c r="BA36" i="389"/>
  <c r="BA34" i="389"/>
  <c r="AS74" i="388"/>
  <c r="AS66" i="388"/>
  <c r="AQ43" i="389"/>
  <c r="AQ128" i="389" s="1"/>
  <c r="AQ35" i="389"/>
  <c r="AQ94" i="389"/>
  <c r="AQ142" i="389" s="1"/>
  <c r="AY67" i="388"/>
  <c r="AY65" i="388"/>
  <c r="AS35" i="389"/>
  <c r="AS94" i="389"/>
  <c r="AS43" i="389"/>
  <c r="AY36" i="389"/>
  <c r="AY34" i="389"/>
  <c r="BC67" i="389"/>
  <c r="BC65" i="389"/>
  <c r="BC66" i="389" s="1"/>
  <c r="K67" i="168"/>
  <c r="C39" i="291"/>
  <c r="K65" i="168"/>
  <c r="BC36" i="388"/>
  <c r="BC34" i="388"/>
  <c r="BC35" i="388" s="1"/>
  <c r="C38" i="327"/>
  <c r="AA64" i="168"/>
  <c r="AA33" i="168"/>
  <c r="C104" i="425"/>
  <c r="E104" i="425" s="1"/>
  <c r="BC19" i="168"/>
  <c r="C36" i="411"/>
  <c r="AQ29" i="168"/>
  <c r="C38" i="383"/>
  <c r="AI33" i="168"/>
  <c r="AI64" i="168"/>
  <c r="BC67" i="388"/>
  <c r="BC65" i="388"/>
  <c r="BC66" i="388" s="1"/>
  <c r="C112" i="327"/>
  <c r="AE29" i="168"/>
  <c r="C35" i="425"/>
  <c r="AY28" i="168"/>
  <c r="S34" i="168"/>
  <c r="S36" i="168"/>
  <c r="AM29" i="168"/>
  <c r="C112" i="383"/>
  <c r="C113" i="303"/>
  <c r="W30" i="168"/>
  <c r="G64" i="168"/>
  <c r="G33" i="168"/>
  <c r="C114" i="269"/>
  <c r="C113" i="291"/>
  <c r="O30" i="168"/>
  <c r="S67" i="168"/>
  <c r="C39" i="303"/>
  <c r="S65" i="168"/>
  <c r="C66" i="168"/>
  <c r="C74" i="168"/>
  <c r="C119" i="168" s="1"/>
  <c r="BC36" i="389"/>
  <c r="BC34" i="389"/>
  <c r="BC35" i="389" s="1"/>
  <c r="C35" i="168"/>
  <c r="C41" i="269" s="1"/>
  <c r="C43" i="168"/>
  <c r="C112" i="168" s="1"/>
  <c r="C40" i="269"/>
  <c r="C94" i="168"/>
  <c r="C126" i="168" s="1"/>
  <c r="K36" i="168"/>
  <c r="K34" i="168"/>
  <c r="C105" i="411"/>
  <c r="E105" i="411" s="1"/>
  <c r="AU27" i="168"/>
  <c r="E32" i="391"/>
  <c r="G32" i="391" s="1"/>
  <c r="I32" i="391" s="1"/>
  <c r="K32" i="391" s="1"/>
  <c r="M32" i="391" s="1"/>
  <c r="O32" i="391" s="1"/>
  <c r="Q32" i="391" s="1"/>
  <c r="D32" i="391"/>
  <c r="F32" i="391" s="1"/>
  <c r="H32" i="391" s="1"/>
  <c r="J32" i="391" s="1"/>
  <c r="L32" i="391" s="1"/>
  <c r="N32" i="391" s="1"/>
  <c r="P32" i="391" s="1"/>
  <c r="B33" i="391"/>
  <c r="AY95" i="388" l="1"/>
  <c r="AY96" i="388" s="1"/>
  <c r="BA96" i="388" s="1"/>
  <c r="AS66" i="168"/>
  <c r="E41" i="411" s="1"/>
  <c r="AS74" i="168"/>
  <c r="E44" i="411" s="1"/>
  <c r="E40" i="411"/>
  <c r="BE65" i="168"/>
  <c r="BE67" i="168"/>
  <c r="E115" i="425"/>
  <c r="BA74" i="388"/>
  <c r="BA75" i="388" s="1"/>
  <c r="BA66" i="388"/>
  <c r="BA73" i="388" s="1"/>
  <c r="E116" i="411"/>
  <c r="AW66" i="168"/>
  <c r="E117" i="411" s="1"/>
  <c r="AY35" i="389"/>
  <c r="AY94" i="389"/>
  <c r="AY43" i="389"/>
  <c r="AY128" i="389" s="1"/>
  <c r="BA94" i="389"/>
  <c r="BA43" i="389"/>
  <c r="BA35" i="389"/>
  <c r="AY74" i="389"/>
  <c r="AY66" i="389"/>
  <c r="AS94" i="168"/>
  <c r="AS35" i="168"/>
  <c r="AS43" i="168"/>
  <c r="BA65" i="168"/>
  <c r="BA67" i="168"/>
  <c r="E39" i="425"/>
  <c r="AY74" i="388"/>
  <c r="AY66" i="388"/>
  <c r="AY73" i="388" s="1"/>
  <c r="BE36" i="168"/>
  <c r="BE34" i="168"/>
  <c r="BE35" i="168" s="1"/>
  <c r="BA94" i="388"/>
  <c r="BA98" i="388" s="1"/>
  <c r="BA99" i="388" s="1"/>
  <c r="BA35" i="388"/>
  <c r="BA93" i="388" s="1"/>
  <c r="BA43" i="388"/>
  <c r="BA66" i="389"/>
  <c r="BA74" i="389"/>
  <c r="BA75" i="389" s="1"/>
  <c r="Q55" i="184"/>
  <c r="R55" i="184" s="1"/>
  <c r="R35" i="184"/>
  <c r="BA36" i="168"/>
  <c r="BA34" i="168"/>
  <c r="AY35" i="352"/>
  <c r="AY43" i="352"/>
  <c r="AY112" i="352" s="1"/>
  <c r="C114" i="291"/>
  <c r="O64" i="168"/>
  <c r="O33" i="168"/>
  <c r="AM30" i="168"/>
  <c r="C113" i="383"/>
  <c r="AA36" i="168"/>
  <c r="AA34" i="168"/>
  <c r="C40" i="303"/>
  <c r="S66" i="168"/>
  <c r="C41" i="303" s="1"/>
  <c r="S74" i="168"/>
  <c r="W33" i="168"/>
  <c r="W64" i="168"/>
  <c r="C114" i="303"/>
  <c r="AE30" i="168"/>
  <c r="C113" i="327"/>
  <c r="C39" i="383"/>
  <c r="AI67" i="168"/>
  <c r="AI65" i="168"/>
  <c r="C39" i="327"/>
  <c r="AA65" i="168"/>
  <c r="AA67" i="168"/>
  <c r="C40" i="291"/>
  <c r="K74" i="168"/>
  <c r="K66" i="168"/>
  <c r="S94" i="168"/>
  <c r="S126" i="168" s="1"/>
  <c r="S43" i="168"/>
  <c r="S112" i="168" s="1"/>
  <c r="S35" i="168"/>
  <c r="AI34" i="168"/>
  <c r="AI36" i="168"/>
  <c r="C105" i="425"/>
  <c r="E105" i="425" s="1"/>
  <c r="BC27" i="168"/>
  <c r="G67" i="168"/>
  <c r="G65" i="168"/>
  <c r="G66" i="168" s="1"/>
  <c r="C37" i="411"/>
  <c r="AQ30" i="168"/>
  <c r="C111" i="411"/>
  <c r="AU28" i="168"/>
  <c r="K94" i="168"/>
  <c r="K126" i="168" s="1"/>
  <c r="K35" i="168"/>
  <c r="K43" i="168"/>
  <c r="K112" i="168" s="1"/>
  <c r="G34" i="168"/>
  <c r="C115" i="269"/>
  <c r="G36" i="168"/>
  <c r="AY29" i="168"/>
  <c r="C36" i="425"/>
  <c r="AY98" i="388"/>
  <c r="AY99" i="388" s="1"/>
  <c r="E33" i="391"/>
  <c r="G33" i="391" s="1"/>
  <c r="I33" i="391" s="1"/>
  <c r="K33" i="391" s="1"/>
  <c r="M33" i="391" s="1"/>
  <c r="O33" i="391" s="1"/>
  <c r="Q33" i="391" s="1"/>
  <c r="D33" i="391"/>
  <c r="F33" i="391" s="1"/>
  <c r="H33" i="391" s="1"/>
  <c r="J33" i="391" s="1"/>
  <c r="L33" i="391" s="1"/>
  <c r="N33" i="391" s="1"/>
  <c r="P33" i="391" s="1"/>
  <c r="B34" i="391"/>
  <c r="BA105" i="388" l="1"/>
  <c r="BA141" i="388"/>
  <c r="BA43" i="168"/>
  <c r="BA35" i="168"/>
  <c r="BA93" i="168" s="1"/>
  <c r="BA94" i="168"/>
  <c r="AY135" i="388"/>
  <c r="AY75" i="388"/>
  <c r="AY76" i="388" s="1"/>
  <c r="BA76" i="388" s="1"/>
  <c r="BA78" i="388" s="1"/>
  <c r="BA79" i="388" s="1"/>
  <c r="AY78" i="388"/>
  <c r="AY79" i="388" s="1"/>
  <c r="AY83" i="388" s="1"/>
  <c r="AY75" i="389"/>
  <c r="AY76" i="389" s="1"/>
  <c r="BA76" i="389" s="1"/>
  <c r="BA78" i="389" s="1"/>
  <c r="BA79" i="389" s="1"/>
  <c r="BA134" i="389" s="1"/>
  <c r="AY135" i="389"/>
  <c r="AY142" i="389"/>
  <c r="AY95" i="389"/>
  <c r="AY96" i="389" s="1"/>
  <c r="BE66" i="168"/>
  <c r="E117" i="425" s="1"/>
  <c r="E116" i="425"/>
  <c r="BA95" i="388"/>
  <c r="E40" i="425"/>
  <c r="BA66" i="168"/>
  <c r="E41" i="425" s="1"/>
  <c r="BA74" i="168"/>
  <c r="E44" i="425" s="1"/>
  <c r="C40" i="383"/>
  <c r="AI74" i="168"/>
  <c r="AI66" i="168"/>
  <c r="C41" i="383" s="1"/>
  <c r="C44" i="303"/>
  <c r="S119" i="168"/>
  <c r="C53" i="303" s="1"/>
  <c r="O67" i="168"/>
  <c r="C115" i="291"/>
  <c r="O65" i="168"/>
  <c r="C112" i="411"/>
  <c r="AU29" i="168"/>
  <c r="AY30" i="168"/>
  <c r="C37" i="425"/>
  <c r="AI43" i="168"/>
  <c r="AI112" i="168" s="1"/>
  <c r="AI94" i="168"/>
  <c r="AI126" i="168" s="1"/>
  <c r="AI35" i="168"/>
  <c r="K134" i="168"/>
  <c r="K143" i="168" s="1"/>
  <c r="C41" i="291"/>
  <c r="AA66" i="168"/>
  <c r="C41" i="327" s="1"/>
  <c r="C40" i="327"/>
  <c r="AA74" i="168"/>
  <c r="W67" i="168"/>
  <c r="W65" i="168"/>
  <c r="C115" i="303"/>
  <c r="C114" i="383"/>
  <c r="AM64" i="168"/>
  <c r="AM33" i="168"/>
  <c r="AE33" i="168"/>
  <c r="AE64" i="168"/>
  <c r="C114" i="327"/>
  <c r="G35" i="168"/>
  <c r="C117" i="269" s="1"/>
  <c r="C116" i="269"/>
  <c r="AQ33" i="168"/>
  <c r="C38" i="411"/>
  <c r="AQ64" i="168"/>
  <c r="C111" i="425"/>
  <c r="BC28" i="168"/>
  <c r="K135" i="168"/>
  <c r="C44" i="291"/>
  <c r="K119" i="168"/>
  <c r="C53" i="291" s="1"/>
  <c r="W36" i="168"/>
  <c r="W34" i="168"/>
  <c r="W35" i="168" s="1"/>
  <c r="AA35" i="168"/>
  <c r="AA43" i="168"/>
  <c r="AA112" i="168" s="1"/>
  <c r="AA94" i="168"/>
  <c r="AA126" i="168" s="1"/>
  <c r="O36" i="168"/>
  <c r="O34" i="168"/>
  <c r="O35" i="168" s="1"/>
  <c r="AY141" i="388"/>
  <c r="AY102" i="388" s="1"/>
  <c r="AY103" i="388"/>
  <c r="E34" i="391"/>
  <c r="G34" i="391" s="1"/>
  <c r="I34" i="391" s="1"/>
  <c r="K34" i="391" s="1"/>
  <c r="M34" i="391" s="1"/>
  <c r="O34" i="391" s="1"/>
  <c r="Q34" i="391" s="1"/>
  <c r="D34" i="391"/>
  <c r="F34" i="391" s="1"/>
  <c r="H34" i="391" s="1"/>
  <c r="J34" i="391" s="1"/>
  <c r="L34" i="391" s="1"/>
  <c r="N34" i="391" s="1"/>
  <c r="P34" i="391" s="1"/>
  <c r="B35" i="391"/>
  <c r="BA85" i="389" l="1"/>
  <c r="BA86" i="389" s="1"/>
  <c r="AY134" i="388"/>
  <c r="AY82" i="388" s="1"/>
  <c r="AY85" i="388" s="1"/>
  <c r="Q39" i="184" s="1"/>
  <c r="D12" i="426" s="1"/>
  <c r="AY98" i="389"/>
  <c r="AY99" i="389" s="1"/>
  <c r="BA96" i="389"/>
  <c r="BA98" i="389" s="1"/>
  <c r="BA99" i="389" s="1"/>
  <c r="BA95" i="168"/>
  <c r="AY78" i="389"/>
  <c r="AY79" i="389" s="1"/>
  <c r="BA134" i="388"/>
  <c r="BA85" i="388"/>
  <c r="BA86" i="388" s="1"/>
  <c r="C116" i="303"/>
  <c r="W66" i="168"/>
  <c r="C117" i="303" s="1"/>
  <c r="AU30" i="168"/>
  <c r="C113" i="411"/>
  <c r="AI119" i="168"/>
  <c r="C53" i="383" s="1"/>
  <c r="C44" i="383"/>
  <c r="K152" i="168"/>
  <c r="K136" i="168"/>
  <c r="AM65" i="168"/>
  <c r="AM67" i="168"/>
  <c r="C115" i="383"/>
  <c r="BC29" i="168"/>
  <c r="C112" i="425"/>
  <c r="AQ36" i="168"/>
  <c r="AQ34" i="168"/>
  <c r="AE67" i="168"/>
  <c r="AE65" i="168"/>
  <c r="C115" i="327"/>
  <c r="C44" i="327"/>
  <c r="AA119" i="168"/>
  <c r="C53" i="327" s="1"/>
  <c r="O66" i="168"/>
  <c r="C117" i="291" s="1"/>
  <c r="C116" i="291"/>
  <c r="AQ65" i="168"/>
  <c r="C39" i="411"/>
  <c r="AQ67" i="168"/>
  <c r="AM34" i="168"/>
  <c r="AM35" i="168" s="1"/>
  <c r="AM36" i="168"/>
  <c r="AE36" i="168"/>
  <c r="AE34" i="168"/>
  <c r="AE35" i="168" s="1"/>
  <c r="C38" i="425"/>
  <c r="AY33" i="168"/>
  <c r="AY64" i="168"/>
  <c r="AY105" i="388"/>
  <c r="Q59" i="184" s="1"/>
  <c r="Q60" i="184" s="1"/>
  <c r="Q62" i="184" s="1"/>
  <c r="J57" i="422" s="1"/>
  <c r="K57" i="422" s="1"/>
  <c r="AY86" i="388"/>
  <c r="B36" i="391"/>
  <c r="E35" i="391"/>
  <c r="G35" i="391" s="1"/>
  <c r="I35" i="391" s="1"/>
  <c r="K35" i="391" s="1"/>
  <c r="M35" i="391" s="1"/>
  <c r="O35" i="391" s="1"/>
  <c r="Q35" i="391" s="1"/>
  <c r="D35" i="391"/>
  <c r="F35" i="391" s="1"/>
  <c r="H35" i="391" s="1"/>
  <c r="J35" i="391" s="1"/>
  <c r="L35" i="391" s="1"/>
  <c r="N35" i="391" s="1"/>
  <c r="P35" i="391" s="1"/>
  <c r="AY103" i="389" l="1"/>
  <c r="AY141" i="389"/>
  <c r="AY102" i="389" s="1"/>
  <c r="AY105" i="389" s="1"/>
  <c r="AY134" i="389"/>
  <c r="AY82" i="389" s="1"/>
  <c r="AY83" i="389"/>
  <c r="BA141" i="389"/>
  <c r="BA105" i="389"/>
  <c r="C39" i="425"/>
  <c r="AY65" i="168"/>
  <c r="AY67" i="168"/>
  <c r="BC30" i="168"/>
  <c r="C113" i="425"/>
  <c r="AY36" i="168"/>
  <c r="AY34" i="168"/>
  <c r="AQ66" i="168"/>
  <c r="C41" i="411" s="1"/>
  <c r="AQ74" i="168"/>
  <c r="C40" i="411"/>
  <c r="AQ94" i="168"/>
  <c r="AQ126" i="168" s="1"/>
  <c r="AQ35" i="168"/>
  <c r="AQ43" i="168"/>
  <c r="AQ112" i="168" s="1"/>
  <c r="K138" i="168"/>
  <c r="K137" i="168"/>
  <c r="C116" i="327"/>
  <c r="AE66" i="168"/>
  <c r="C117" i="327" s="1"/>
  <c r="C116" i="383"/>
  <c r="AM66" i="168"/>
  <c r="C117" i="383" s="1"/>
  <c r="C114" i="411"/>
  <c r="AU33" i="168"/>
  <c r="AU64" i="168"/>
  <c r="C25" i="432"/>
  <c r="Q40" i="184"/>
  <c r="Q42" i="184" s="1"/>
  <c r="D91" i="424"/>
  <c r="K91" i="248" s="1"/>
  <c r="D36" i="391"/>
  <c r="F36" i="391" s="1"/>
  <c r="H36" i="391" s="1"/>
  <c r="J36" i="391" s="1"/>
  <c r="L36" i="391" s="1"/>
  <c r="N36" i="391" s="1"/>
  <c r="P36" i="391" s="1"/>
  <c r="B37" i="391"/>
  <c r="E36" i="391"/>
  <c r="G36" i="391" s="1"/>
  <c r="I36" i="391" s="1"/>
  <c r="K36" i="391" s="1"/>
  <c r="M36" i="391" s="1"/>
  <c r="O36" i="391" s="1"/>
  <c r="Q36" i="391" s="1"/>
  <c r="AY85" i="389" l="1"/>
  <c r="AY86" i="389" s="1"/>
  <c r="AU65" i="168"/>
  <c r="AU67" i="168"/>
  <c r="C115" i="411"/>
  <c r="AU34" i="168"/>
  <c r="AU35" i="168" s="1"/>
  <c r="AU36" i="168"/>
  <c r="AQ119" i="168"/>
  <c r="C53" i="411" s="1"/>
  <c r="C44" i="411"/>
  <c r="C114" i="425"/>
  <c r="BC64" i="168"/>
  <c r="BC33" i="168"/>
  <c r="C40" i="425"/>
  <c r="AY74" i="168"/>
  <c r="AY66" i="168"/>
  <c r="C41" i="425" s="1"/>
  <c r="K139" i="168"/>
  <c r="K140" i="168" s="1"/>
  <c r="K151" i="168" s="1"/>
  <c r="K142" i="168" s="1"/>
  <c r="K145" i="168" s="1"/>
  <c r="AY94" i="168"/>
  <c r="AY43" i="168"/>
  <c r="AY112" i="168" s="1"/>
  <c r="AY35" i="168"/>
  <c r="AY93" i="168" s="1"/>
  <c r="C26" i="432"/>
  <c r="E37" i="391"/>
  <c r="G37" i="391" s="1"/>
  <c r="I37" i="391" s="1"/>
  <c r="K37" i="391" s="1"/>
  <c r="M37" i="391" s="1"/>
  <c r="O37" i="391" s="1"/>
  <c r="Q37" i="391" s="1"/>
  <c r="D37" i="391"/>
  <c r="F37" i="391" s="1"/>
  <c r="H37" i="391" s="1"/>
  <c r="J37" i="391" s="1"/>
  <c r="L37" i="391" s="1"/>
  <c r="N37" i="391" s="1"/>
  <c r="P37" i="391" s="1"/>
  <c r="B38" i="391"/>
  <c r="C28" i="432"/>
  <c r="D8" i="424"/>
  <c r="Q45" i="184"/>
  <c r="C116" i="411" l="1"/>
  <c r="AU66" i="168"/>
  <c r="C117" i="411" s="1"/>
  <c r="C44" i="425"/>
  <c r="AY119" i="168"/>
  <c r="C53" i="425" s="1"/>
  <c r="BC34" i="168"/>
  <c r="BC35" i="168" s="1"/>
  <c r="BC36" i="168"/>
  <c r="BC67" i="168"/>
  <c r="BC65" i="168"/>
  <c r="C115" i="425"/>
  <c r="AY126" i="168"/>
  <c r="AY95" i="168"/>
  <c r="AY96" i="168" s="1"/>
  <c r="BA96" i="168" s="1"/>
  <c r="BA98" i="168" s="1"/>
  <c r="BA99" i="168" s="1"/>
  <c r="D38" i="391"/>
  <c r="F38" i="391" s="1"/>
  <c r="H38" i="391" s="1"/>
  <c r="J38" i="391" s="1"/>
  <c r="L38" i="391" s="1"/>
  <c r="N38" i="391" s="1"/>
  <c r="P38" i="391" s="1"/>
  <c r="B39" i="391"/>
  <c r="E38" i="391"/>
  <c r="G38" i="391" s="1"/>
  <c r="I38" i="391" s="1"/>
  <c r="K38" i="391" s="1"/>
  <c r="M38" i="391" s="1"/>
  <c r="O38" i="391" s="1"/>
  <c r="Q38" i="391" s="1"/>
  <c r="C31" i="432"/>
  <c r="Q46" i="184"/>
  <c r="AY98" i="168" l="1"/>
  <c r="AY99" i="168" s="1"/>
  <c r="C116" i="425"/>
  <c r="BC66" i="168"/>
  <c r="C117" i="425" s="1"/>
  <c r="BA105" i="168"/>
  <c r="BA125" i="168"/>
  <c r="E39" i="391"/>
  <c r="G39" i="391" s="1"/>
  <c r="I39" i="391" s="1"/>
  <c r="K39" i="391" s="1"/>
  <c r="M39" i="391" s="1"/>
  <c r="O39" i="391" s="1"/>
  <c r="Q39" i="391" s="1"/>
  <c r="D39" i="391"/>
  <c r="F39" i="391" s="1"/>
  <c r="H39" i="391" s="1"/>
  <c r="J39" i="391" s="1"/>
  <c r="L39" i="391" s="1"/>
  <c r="N39" i="391" s="1"/>
  <c r="P39" i="391" s="1"/>
  <c r="B40" i="391"/>
  <c r="C32" i="432"/>
  <c r="D38" i="424"/>
  <c r="K38" i="248" s="1"/>
  <c r="AY125" i="168" l="1"/>
  <c r="AY102" i="168" s="1"/>
  <c r="AY103" i="168"/>
  <c r="E40" i="391"/>
  <c r="G40" i="391" s="1"/>
  <c r="I40" i="391" s="1"/>
  <c r="K40" i="391" s="1"/>
  <c r="M40" i="391" s="1"/>
  <c r="O40" i="391" s="1"/>
  <c r="Q40" i="391" s="1"/>
  <c r="B41" i="391"/>
  <c r="D40" i="391"/>
  <c r="F40" i="391" s="1"/>
  <c r="H40" i="391" s="1"/>
  <c r="J40" i="391" s="1"/>
  <c r="L40" i="391" s="1"/>
  <c r="N40" i="391" s="1"/>
  <c r="P40" i="391" s="1"/>
  <c r="AY105" i="168" l="1"/>
  <c r="B42" i="391"/>
  <c r="E41" i="391"/>
  <c r="G41" i="391" s="1"/>
  <c r="I41" i="391" s="1"/>
  <c r="K41" i="391" s="1"/>
  <c r="M41" i="391" s="1"/>
  <c r="O41" i="391" s="1"/>
  <c r="Q41" i="391" s="1"/>
  <c r="D41" i="391"/>
  <c r="F41" i="391" s="1"/>
  <c r="H41" i="391" s="1"/>
  <c r="J41" i="391" s="1"/>
  <c r="L41" i="391" s="1"/>
  <c r="N41" i="391" s="1"/>
  <c r="P41" i="391" s="1"/>
  <c r="B43" i="391" l="1"/>
  <c r="E42" i="391"/>
  <c r="G42" i="391" s="1"/>
  <c r="I42" i="391" s="1"/>
  <c r="K42" i="391" s="1"/>
  <c r="M42" i="391" s="1"/>
  <c r="O42" i="391" s="1"/>
  <c r="Q42" i="391" s="1"/>
  <c r="D42" i="391"/>
  <c r="F42" i="391" s="1"/>
  <c r="H42" i="391" s="1"/>
  <c r="J42" i="391" s="1"/>
  <c r="L42" i="391" s="1"/>
  <c r="N42" i="391" s="1"/>
  <c r="P42" i="391" s="1"/>
  <c r="E43" i="391" l="1"/>
  <c r="G43" i="391" s="1"/>
  <c r="I43" i="391" s="1"/>
  <c r="K43" i="391" s="1"/>
  <c r="M43" i="391" s="1"/>
  <c r="O43" i="391" s="1"/>
  <c r="Q43" i="391" s="1"/>
  <c r="D43" i="391"/>
  <c r="F43" i="391" s="1"/>
  <c r="H43" i="391" s="1"/>
  <c r="J43" i="391" s="1"/>
  <c r="L43" i="391" s="1"/>
  <c r="N43" i="391" s="1"/>
  <c r="P43" i="391" s="1"/>
  <c r="B44" i="391"/>
  <c r="B45" i="391" l="1"/>
  <c r="E44" i="391"/>
  <c r="G44" i="391" s="1"/>
  <c r="I44" i="391" s="1"/>
  <c r="K44" i="391" s="1"/>
  <c r="M44" i="391" s="1"/>
  <c r="O44" i="391" s="1"/>
  <c r="Q44" i="391" s="1"/>
  <c r="D44" i="391"/>
  <c r="F44" i="391" s="1"/>
  <c r="H44" i="391" s="1"/>
  <c r="J44" i="391" s="1"/>
  <c r="L44" i="391" s="1"/>
  <c r="N44" i="391" s="1"/>
  <c r="P44" i="391" s="1"/>
  <c r="E45" i="391" l="1"/>
  <c r="G45" i="391" s="1"/>
  <c r="I45" i="391" s="1"/>
  <c r="K45" i="391" s="1"/>
  <c r="M45" i="391" s="1"/>
  <c r="O45" i="391" s="1"/>
  <c r="Q45" i="391" s="1"/>
  <c r="B46" i="391"/>
  <c r="D45" i="391"/>
  <c r="F45" i="391" s="1"/>
  <c r="H45" i="391" s="1"/>
  <c r="J45" i="391" s="1"/>
  <c r="L45" i="391" s="1"/>
  <c r="N45" i="391" s="1"/>
  <c r="P45" i="391" s="1"/>
  <c r="B47" i="391" l="1"/>
  <c r="E46" i="391"/>
  <c r="G46" i="391" s="1"/>
  <c r="I46" i="391" s="1"/>
  <c r="K46" i="391" s="1"/>
  <c r="M46" i="391" s="1"/>
  <c r="O46" i="391" s="1"/>
  <c r="Q46" i="391" s="1"/>
  <c r="D46" i="391"/>
  <c r="F46" i="391" s="1"/>
  <c r="H46" i="391" s="1"/>
  <c r="J46" i="391" s="1"/>
  <c r="L46" i="391" s="1"/>
  <c r="N46" i="391" s="1"/>
  <c r="P46" i="391" s="1"/>
  <c r="B48" i="391" l="1"/>
  <c r="D47" i="391"/>
  <c r="F47" i="391" s="1"/>
  <c r="H47" i="391" s="1"/>
  <c r="J47" i="391" s="1"/>
  <c r="L47" i="391" s="1"/>
  <c r="N47" i="391" s="1"/>
  <c r="P47" i="391" s="1"/>
  <c r="E47" i="391"/>
  <c r="G47" i="391" s="1"/>
  <c r="I47" i="391" s="1"/>
  <c r="K47" i="391" s="1"/>
  <c r="M47" i="391" s="1"/>
  <c r="O47" i="391" s="1"/>
  <c r="Q47" i="391" s="1"/>
  <c r="D48" i="391" l="1"/>
  <c r="F48" i="391" s="1"/>
  <c r="H48" i="391" s="1"/>
  <c r="J48" i="391" s="1"/>
  <c r="L48" i="391" s="1"/>
  <c r="N48" i="391" s="1"/>
  <c r="P48" i="391" s="1"/>
  <c r="B49" i="391"/>
  <c r="E48" i="391"/>
  <c r="G48" i="391" s="1"/>
  <c r="I48" i="391" s="1"/>
  <c r="K48" i="391" s="1"/>
  <c r="M48" i="391" s="1"/>
  <c r="O48" i="391" s="1"/>
  <c r="Q48" i="391" s="1"/>
  <c r="B50" i="391" l="1"/>
  <c r="D49" i="391"/>
  <c r="F49" i="391" s="1"/>
  <c r="H49" i="391" s="1"/>
  <c r="J49" i="391" s="1"/>
  <c r="L49" i="391" s="1"/>
  <c r="N49" i="391" s="1"/>
  <c r="P49" i="391" s="1"/>
  <c r="E49" i="391"/>
  <c r="G49" i="391" s="1"/>
  <c r="I49" i="391" s="1"/>
  <c r="K49" i="391" s="1"/>
  <c r="M49" i="391" s="1"/>
  <c r="O49" i="391" s="1"/>
  <c r="Q49" i="391" s="1"/>
  <c r="E50" i="391" l="1"/>
  <c r="G50" i="391" s="1"/>
  <c r="I50" i="391" s="1"/>
  <c r="K50" i="391" s="1"/>
  <c r="M50" i="391" s="1"/>
  <c r="O50" i="391" s="1"/>
  <c r="Q50" i="391" s="1"/>
  <c r="D50" i="391"/>
  <c r="F50" i="391" s="1"/>
  <c r="H50" i="391" s="1"/>
  <c r="J50" i="391" s="1"/>
  <c r="L50" i="391" s="1"/>
  <c r="N50" i="391" s="1"/>
  <c r="P50" i="391" s="1"/>
  <c r="B51" i="391"/>
  <c r="D51" i="391" l="1"/>
  <c r="F51" i="391" s="1"/>
  <c r="H51" i="391" s="1"/>
  <c r="J51" i="391" s="1"/>
  <c r="L51" i="391" s="1"/>
  <c r="N51" i="391" s="1"/>
  <c r="P51" i="391" s="1"/>
  <c r="E51" i="391"/>
  <c r="G51" i="391" s="1"/>
  <c r="I51" i="391" s="1"/>
  <c r="K51" i="391" s="1"/>
  <c r="M51" i="391" s="1"/>
  <c r="O51" i="391" s="1"/>
  <c r="Q51" i="391" s="1"/>
  <c r="B52" i="391"/>
  <c r="B53" i="391" l="1"/>
  <c r="E52" i="391"/>
  <c r="D52" i="391"/>
  <c r="F52" i="391" s="1"/>
  <c r="H52" i="391" s="1"/>
  <c r="J52" i="391" s="1"/>
  <c r="L52" i="391" s="1"/>
  <c r="N52" i="391" s="1"/>
  <c r="P52" i="391" s="1"/>
  <c r="G52" i="391" l="1"/>
  <c r="D53" i="391"/>
  <c r="F53" i="391" s="1"/>
  <c r="H53" i="391" s="1"/>
  <c r="J53" i="391" s="1"/>
  <c r="L53" i="391" s="1"/>
  <c r="N53" i="391" s="1"/>
  <c r="P53" i="391" s="1"/>
  <c r="E53" i="391"/>
  <c r="G53" i="391" s="1"/>
  <c r="I53" i="391" s="1"/>
  <c r="K53" i="391" s="1"/>
  <c r="M53" i="391" s="1"/>
  <c r="O53" i="391" s="1"/>
  <c r="Q53" i="391" s="1"/>
  <c r="B54" i="391"/>
  <c r="E54" i="391" l="1"/>
  <c r="D54" i="391"/>
  <c r="F54" i="391" s="1"/>
  <c r="H54" i="391" s="1"/>
  <c r="J54" i="391" s="1"/>
  <c r="L54" i="391" s="1"/>
  <c r="N54" i="391" s="1"/>
  <c r="P54" i="391" s="1"/>
  <c r="I52" i="391"/>
  <c r="K52" i="391" l="1"/>
  <c r="G54" i="391"/>
  <c r="D56" i="391"/>
  <c r="D55" i="391"/>
  <c r="I54" i="391" l="1"/>
  <c r="F56" i="391"/>
  <c r="F55" i="391"/>
  <c r="D37" i="278"/>
  <c r="R26" i="245"/>
  <c r="H65" i="60"/>
  <c r="T26" i="245"/>
  <c r="J65" i="60"/>
  <c r="E37" i="278"/>
  <c r="E11" i="278" s="1"/>
  <c r="M52" i="391"/>
  <c r="E14" i="278" l="1"/>
  <c r="K65" i="60"/>
  <c r="J75" i="60"/>
  <c r="D11" i="278"/>
  <c r="G35" i="2"/>
  <c r="D16" i="277"/>
  <c r="V26" i="245"/>
  <c r="D37" i="289"/>
  <c r="L65" i="60"/>
  <c r="O52" i="391"/>
  <c r="I65" i="60"/>
  <c r="D14" i="278"/>
  <c r="G47" i="2"/>
  <c r="H75" i="60"/>
  <c r="H79" i="60" s="1"/>
  <c r="N65" i="60"/>
  <c r="E37" i="289"/>
  <c r="E11" i="289" s="1"/>
  <c r="X26" i="245"/>
  <c r="K54" i="391"/>
  <c r="H56" i="391"/>
  <c r="H55" i="391"/>
  <c r="G27" i="393" l="1"/>
  <c r="D20" i="278"/>
  <c r="G27" i="167"/>
  <c r="P65" i="60"/>
  <c r="D37" i="311"/>
  <c r="Z26" i="245"/>
  <c r="D21" i="277"/>
  <c r="J86" i="60"/>
  <c r="E19" i="278"/>
  <c r="AB26" i="245"/>
  <c r="E37" i="311"/>
  <c r="E11" i="311" s="1"/>
  <c r="R65" i="60"/>
  <c r="E14" i="289"/>
  <c r="O65" i="60"/>
  <c r="N75" i="60"/>
  <c r="N79" i="60" s="1"/>
  <c r="Q52" i="391"/>
  <c r="K75" i="60"/>
  <c r="K86" i="60" s="1"/>
  <c r="D19" i="356" s="1"/>
  <c r="M54" i="391"/>
  <c r="J55" i="391"/>
  <c r="J56" i="391"/>
  <c r="I75" i="60"/>
  <c r="I79" i="60" s="1"/>
  <c r="H47" i="2"/>
  <c r="D14" i="289"/>
  <c r="L75" i="60"/>
  <c r="M65" i="60"/>
  <c r="H35" i="2"/>
  <c r="H51" i="2" s="1"/>
  <c r="G51" i="2"/>
  <c r="D23" i="277" s="1"/>
  <c r="J79" i="60"/>
  <c r="AB35" i="167" s="1"/>
  <c r="D19" i="278"/>
  <c r="D11" i="289"/>
  <c r="I35" i="2"/>
  <c r="D16" i="288"/>
  <c r="K79" i="60" l="1"/>
  <c r="C29" i="393" s="1"/>
  <c r="H55" i="2"/>
  <c r="H61" i="2" s="1"/>
  <c r="AF35" i="167"/>
  <c r="AF90" i="167"/>
  <c r="D47" i="393"/>
  <c r="E20" i="289"/>
  <c r="X35" i="167"/>
  <c r="X36" i="167" s="1"/>
  <c r="AG35" i="167"/>
  <c r="AG90" i="167"/>
  <c r="D47" i="167"/>
  <c r="C14" i="283" s="1"/>
  <c r="W35" i="167"/>
  <c r="D77" i="167"/>
  <c r="D78" i="167" s="1"/>
  <c r="D29" i="167"/>
  <c r="C12" i="283"/>
  <c r="M75" i="60"/>
  <c r="H27" i="393"/>
  <c r="H27" i="167"/>
  <c r="T65" i="60"/>
  <c r="D37" i="325"/>
  <c r="AD26" i="245"/>
  <c r="O75" i="60"/>
  <c r="O86" i="60" s="1"/>
  <c r="D19" i="360" s="1"/>
  <c r="G55" i="2"/>
  <c r="P75" i="60"/>
  <c r="P79" i="60" s="1"/>
  <c r="D20" i="311" s="1"/>
  <c r="Q65" i="60"/>
  <c r="D14" i="311"/>
  <c r="J35" i="2"/>
  <c r="J51" i="2" s="1"/>
  <c r="I51" i="2"/>
  <c r="D23" i="288" s="1"/>
  <c r="I27" i="393"/>
  <c r="AC90" i="167"/>
  <c r="C77" i="167"/>
  <c r="C78" i="167" s="1"/>
  <c r="C90" i="388" s="1"/>
  <c r="AB90" i="167"/>
  <c r="AC35" i="167"/>
  <c r="C47" i="393"/>
  <c r="E20" i="278"/>
  <c r="W35" i="393"/>
  <c r="W36" i="393" s="1"/>
  <c r="V35" i="393"/>
  <c r="C29" i="167"/>
  <c r="C12" i="271"/>
  <c r="C47" i="167"/>
  <c r="C14" i="271" s="1"/>
  <c r="I27" i="167"/>
  <c r="D19" i="289"/>
  <c r="H59" i="2"/>
  <c r="O54" i="391"/>
  <c r="L55" i="391"/>
  <c r="L56" i="391"/>
  <c r="I86" i="60"/>
  <c r="D71" i="358"/>
  <c r="D13" i="310"/>
  <c r="D13" i="288"/>
  <c r="I28" i="2"/>
  <c r="J28" i="2" s="1"/>
  <c r="K28" i="2" s="1"/>
  <c r="L28" i="2" s="1"/>
  <c r="L79" i="60"/>
  <c r="D20" i="289" s="1"/>
  <c r="AF26" i="245"/>
  <c r="V65" i="60"/>
  <c r="E37" i="325"/>
  <c r="E11" i="325" s="1"/>
  <c r="E19" i="289"/>
  <c r="N86" i="60"/>
  <c r="E14" i="311"/>
  <c r="R75" i="60"/>
  <c r="S65" i="60"/>
  <c r="E21" i="278"/>
  <c r="C19" i="356"/>
  <c r="E19" i="356" s="1"/>
  <c r="D71" i="267"/>
  <c r="E71" i="248" s="1"/>
  <c r="D16" i="310"/>
  <c r="K35" i="2"/>
  <c r="D11" i="311"/>
  <c r="AB35" i="393" l="1"/>
  <c r="AB32" i="393" s="1"/>
  <c r="AC35" i="393"/>
  <c r="X50" i="393" s="1"/>
  <c r="V32" i="393" s="1"/>
  <c r="D10" i="356"/>
  <c r="E10" i="356" s="1"/>
  <c r="O79" i="60"/>
  <c r="D29" i="393" s="1"/>
  <c r="D30" i="393" s="1"/>
  <c r="D70" i="358"/>
  <c r="C44" i="356"/>
  <c r="J80" i="268"/>
  <c r="K80" i="268" s="1"/>
  <c r="H70" i="2"/>
  <c r="H74" i="2" s="1"/>
  <c r="X49" i="393"/>
  <c r="V31" i="393" s="1"/>
  <c r="W39" i="393"/>
  <c r="W38" i="393"/>
  <c r="V36" i="393"/>
  <c r="V37" i="393" s="1"/>
  <c r="C30" i="393"/>
  <c r="C34" i="393"/>
  <c r="J92" i="268" s="1"/>
  <c r="C35" i="393"/>
  <c r="C42" i="393" s="1"/>
  <c r="C38" i="393"/>
  <c r="C43" i="393" s="1"/>
  <c r="C37" i="393"/>
  <c r="D19" i="311"/>
  <c r="D30" i="167"/>
  <c r="D38" i="167"/>
  <c r="D37" i="167"/>
  <c r="D35" i="167"/>
  <c r="D34" i="167"/>
  <c r="C16" i="283"/>
  <c r="AG91" i="167"/>
  <c r="AH91" i="167"/>
  <c r="L35" i="2"/>
  <c r="L51" i="2" s="1"/>
  <c r="K51" i="2"/>
  <c r="D23" i="310" s="1"/>
  <c r="E21" i="289"/>
  <c r="C19" i="360"/>
  <c r="E19" i="360" s="1"/>
  <c r="D71" i="281"/>
  <c r="F71" i="248" s="1"/>
  <c r="Z65" i="60"/>
  <c r="E37" i="374"/>
  <c r="E11" i="374" s="1"/>
  <c r="AI26" i="245"/>
  <c r="AC36" i="167"/>
  <c r="E23" i="184" s="1"/>
  <c r="AD36" i="167"/>
  <c r="AD91" i="167"/>
  <c r="AC91" i="167"/>
  <c r="E58" i="184" s="1"/>
  <c r="G59" i="2"/>
  <c r="D25" i="277" s="1"/>
  <c r="G61" i="2"/>
  <c r="H86" i="60" s="1"/>
  <c r="D24" i="277"/>
  <c r="M35" i="2"/>
  <c r="D16" i="324"/>
  <c r="D11" i="325"/>
  <c r="M79" i="60"/>
  <c r="Y50" i="167"/>
  <c r="W32" i="167" s="1"/>
  <c r="AH36" i="167"/>
  <c r="AG36" i="167"/>
  <c r="G23" i="184" s="1"/>
  <c r="AF84" i="167"/>
  <c r="S75" i="60"/>
  <c r="S86" i="60" s="1"/>
  <c r="D19" i="361" s="1"/>
  <c r="AG26" i="245"/>
  <c r="D37" i="374"/>
  <c r="X65" i="60"/>
  <c r="AB100" i="167"/>
  <c r="AC101" i="167" s="1"/>
  <c r="AC102" i="167" s="1"/>
  <c r="AB86" i="167"/>
  <c r="G110" i="388" s="1"/>
  <c r="AB84" i="167"/>
  <c r="AB87" i="167"/>
  <c r="Q75" i="60"/>
  <c r="D14" i="325"/>
  <c r="T75" i="60"/>
  <c r="T79" i="60" s="1"/>
  <c r="D20" i="325" s="1"/>
  <c r="U65" i="60"/>
  <c r="Y49" i="167"/>
  <c r="W36" i="167"/>
  <c r="W37" i="167" s="1"/>
  <c r="X39" i="167"/>
  <c r="X38" i="167"/>
  <c r="AF86" i="167"/>
  <c r="O91" i="388" s="1"/>
  <c r="AF100" i="167"/>
  <c r="AG101" i="167" s="1"/>
  <c r="AG102" i="167" s="1"/>
  <c r="AF87" i="167"/>
  <c r="R79" i="60"/>
  <c r="E19" i="311"/>
  <c r="R86" i="60"/>
  <c r="AC71" i="393"/>
  <c r="K92" i="268" s="1"/>
  <c r="W65" i="60"/>
  <c r="V75" i="60"/>
  <c r="V79" i="60" s="1"/>
  <c r="E14" i="325"/>
  <c r="Q54" i="391"/>
  <c r="N55" i="391"/>
  <c r="N56" i="391"/>
  <c r="C34" i="167"/>
  <c r="C37" i="167"/>
  <c r="C16" i="271"/>
  <c r="C35" i="167"/>
  <c r="C30" i="167"/>
  <c r="C38" i="167"/>
  <c r="AC71" i="167"/>
  <c r="H92" i="268" s="1"/>
  <c r="AB32" i="167"/>
  <c r="AB31" i="167"/>
  <c r="AB29" i="167"/>
  <c r="C92" i="388"/>
  <c r="C93" i="388" s="1"/>
  <c r="E90" i="388"/>
  <c r="E92" i="388" s="1"/>
  <c r="E93" i="388" s="1"/>
  <c r="E95" i="388" s="1"/>
  <c r="D13" i="373"/>
  <c r="M28" i="2"/>
  <c r="D13" i="419"/>
  <c r="D13" i="324"/>
  <c r="AG71" i="167"/>
  <c r="H91" i="280" s="1"/>
  <c r="AF32" i="167"/>
  <c r="AF31" i="167"/>
  <c r="AF29" i="167"/>
  <c r="AC36" i="393" l="1"/>
  <c r="D34" i="393"/>
  <c r="AG35" i="393"/>
  <c r="AH36" i="393" s="1"/>
  <c r="H38" i="184" s="1"/>
  <c r="D11" i="356"/>
  <c r="AB90" i="393" s="1"/>
  <c r="AD36" i="393"/>
  <c r="F23" i="184" s="1"/>
  <c r="AB29" i="393"/>
  <c r="AB33" i="393" s="1"/>
  <c r="AB31" i="393"/>
  <c r="G71" i="352" s="1"/>
  <c r="D38" i="393"/>
  <c r="D43" i="393" s="1"/>
  <c r="D35" i="393"/>
  <c r="D42" i="393" s="1"/>
  <c r="AF35" i="393"/>
  <c r="AF32" i="393" s="1"/>
  <c r="D37" i="393"/>
  <c r="O40" i="352" s="1"/>
  <c r="D10" i="360"/>
  <c r="D11" i="360" s="1"/>
  <c r="G80" i="348"/>
  <c r="F80" i="348"/>
  <c r="F80" i="268"/>
  <c r="H80" i="268"/>
  <c r="G80" i="400"/>
  <c r="H85" i="60"/>
  <c r="G80" i="398"/>
  <c r="D70" i="267"/>
  <c r="E70" i="248" s="1"/>
  <c r="C38" i="356"/>
  <c r="F80" i="400"/>
  <c r="F80" i="398"/>
  <c r="D21" i="278"/>
  <c r="C95" i="388"/>
  <c r="C96" i="388" s="1"/>
  <c r="C18" i="283"/>
  <c r="K70" i="168"/>
  <c r="C15" i="291" s="1"/>
  <c r="O28" i="2"/>
  <c r="P28" i="2" s="1"/>
  <c r="N28" i="2"/>
  <c r="H139" i="268"/>
  <c r="AB33" i="167"/>
  <c r="H53" i="268" s="1"/>
  <c r="C22" i="271"/>
  <c r="C43" i="167"/>
  <c r="G53" i="348" s="1"/>
  <c r="F139" i="268"/>
  <c r="G139" i="348"/>
  <c r="F139" i="348"/>
  <c r="G40" i="388"/>
  <c r="DF40" i="168"/>
  <c r="CX40" i="168"/>
  <c r="G40" i="168"/>
  <c r="C21" i="271"/>
  <c r="P55" i="391"/>
  <c r="AF65" i="60" s="1"/>
  <c r="P56" i="391"/>
  <c r="AH65" i="60" s="1"/>
  <c r="W75" i="60"/>
  <c r="W86" i="60" s="1"/>
  <c r="D19" i="363" s="1"/>
  <c r="K39" i="389"/>
  <c r="K39" i="352"/>
  <c r="Q79" i="60"/>
  <c r="X75" i="60"/>
  <c r="Y65" i="60"/>
  <c r="D14" i="374"/>
  <c r="S79" i="60"/>
  <c r="M51" i="2"/>
  <c r="D23" i="324" s="1"/>
  <c r="N35" i="2"/>
  <c r="N51" i="2" s="1"/>
  <c r="C90" i="168"/>
  <c r="G139" i="398"/>
  <c r="D43" i="167"/>
  <c r="F53" i="280" s="1"/>
  <c r="C19" i="359" s="1"/>
  <c r="F137" i="280"/>
  <c r="F139" i="398"/>
  <c r="G40" i="352"/>
  <c r="G40" i="389"/>
  <c r="C39" i="352"/>
  <c r="C39" i="389"/>
  <c r="D82" i="281"/>
  <c r="F82" i="248" s="1"/>
  <c r="M91" i="280"/>
  <c r="G71" i="388"/>
  <c r="G71" i="168"/>
  <c r="G91" i="348"/>
  <c r="BO39" i="388"/>
  <c r="C18" i="271"/>
  <c r="C39" i="168"/>
  <c r="DJ39" i="168"/>
  <c r="CT39" i="168"/>
  <c r="BG39" i="388"/>
  <c r="DB39" i="168"/>
  <c r="C39" i="388"/>
  <c r="F92" i="268"/>
  <c r="I92" i="268" s="1"/>
  <c r="C20" i="271"/>
  <c r="G92" i="348"/>
  <c r="F92" i="348"/>
  <c r="D12" i="274"/>
  <c r="F29" i="167"/>
  <c r="F47" i="167"/>
  <c r="C14" i="318" s="1"/>
  <c r="F77" i="167"/>
  <c r="F78" i="167" s="1"/>
  <c r="AO90" i="167"/>
  <c r="AN35" i="167"/>
  <c r="C12" i="318"/>
  <c r="AN90" i="167"/>
  <c r="F47" i="393"/>
  <c r="E20" i="325"/>
  <c r="AO35" i="167"/>
  <c r="C70" i="352"/>
  <c r="C70" i="389"/>
  <c r="E21" i="311"/>
  <c r="D71" i="301"/>
  <c r="G71" i="248" s="1"/>
  <c r="C19" i="361"/>
  <c r="E19" i="361" s="1"/>
  <c r="U75" i="60"/>
  <c r="O35" i="2"/>
  <c r="D16" i="373"/>
  <c r="D11" i="374"/>
  <c r="AF88" i="167"/>
  <c r="AG104" i="167" s="1"/>
  <c r="AG103" i="167"/>
  <c r="E68" i="184"/>
  <c r="C109" i="388"/>
  <c r="C20" i="283"/>
  <c r="D12" i="286"/>
  <c r="F91" i="280"/>
  <c r="F92" i="398"/>
  <c r="G92" i="398"/>
  <c r="G91" i="398"/>
  <c r="DR39" i="168"/>
  <c r="K39" i="388"/>
  <c r="K39" i="168"/>
  <c r="BH39" i="168"/>
  <c r="C45" i="356"/>
  <c r="J79" i="268"/>
  <c r="K79" i="268" s="1"/>
  <c r="F38" i="184"/>
  <c r="AF33" i="167"/>
  <c r="D21" i="286" s="1"/>
  <c r="H137" i="280"/>
  <c r="D20" i="286" s="1"/>
  <c r="C22" i="283"/>
  <c r="D19" i="286"/>
  <c r="C70" i="168"/>
  <c r="C19" i="271"/>
  <c r="F138" i="348"/>
  <c r="D13" i="274"/>
  <c r="F138" i="268"/>
  <c r="D14" i="274" s="1"/>
  <c r="G138" i="348"/>
  <c r="H138" i="268"/>
  <c r="C42" i="167"/>
  <c r="D15" i="274" s="1"/>
  <c r="E37" i="435"/>
  <c r="E11" i="435" s="1"/>
  <c r="AD65" i="60"/>
  <c r="E37" i="421"/>
  <c r="E11" i="421" s="1"/>
  <c r="O92" i="388"/>
  <c r="O93" i="388" s="1"/>
  <c r="Q91" i="388"/>
  <c r="Q92" i="388" s="1"/>
  <c r="Q93" i="388" s="1"/>
  <c r="Q94" i="388" s="1"/>
  <c r="Q95" i="388" s="1"/>
  <c r="D19" i="325"/>
  <c r="AC103" i="167"/>
  <c r="AB88" i="167"/>
  <c r="AC104" i="167" s="1"/>
  <c r="Y23" i="184"/>
  <c r="I26" i="2"/>
  <c r="G70" i="2"/>
  <c r="D26" i="277"/>
  <c r="K26" i="2"/>
  <c r="C70" i="388"/>
  <c r="E38" i="184"/>
  <c r="AA65" i="60"/>
  <c r="Z75" i="60"/>
  <c r="E14" i="374"/>
  <c r="K90" i="388"/>
  <c r="G58" i="184"/>
  <c r="K90" i="168" s="1"/>
  <c r="D42" i="167"/>
  <c r="D15" i="286" s="1"/>
  <c r="H136" i="369"/>
  <c r="D14" i="379" s="1"/>
  <c r="G138" i="398"/>
  <c r="H136" i="315"/>
  <c r="D14" i="321" s="1"/>
  <c r="C19" i="283"/>
  <c r="F138" i="398"/>
  <c r="H136" i="302"/>
  <c r="D13" i="286"/>
  <c r="H136" i="280"/>
  <c r="F136" i="280"/>
  <c r="D14" i="286" s="1"/>
  <c r="O71" i="168"/>
  <c r="C91" i="291" s="1"/>
  <c r="D18" i="286"/>
  <c r="C21" i="283"/>
  <c r="O71" i="388"/>
  <c r="D37" i="435"/>
  <c r="D37" i="421"/>
  <c r="AB65" i="60"/>
  <c r="V86" i="60"/>
  <c r="E19" i="325"/>
  <c r="E20" i="311"/>
  <c r="C12" i="305"/>
  <c r="AJ90" i="167"/>
  <c r="AK90" i="167"/>
  <c r="E77" i="167"/>
  <c r="E78" i="167" s="1"/>
  <c r="AK35" i="167"/>
  <c r="E47" i="393"/>
  <c r="F94" i="106"/>
  <c r="F96" i="106" s="1"/>
  <c r="E29" i="167"/>
  <c r="E47" i="167"/>
  <c r="C14" i="305" s="1"/>
  <c r="AJ35" i="167"/>
  <c r="BJ40" i="168"/>
  <c r="BJ71" i="168"/>
  <c r="W31" i="167"/>
  <c r="I110" i="388"/>
  <c r="I111" i="388" s="1"/>
  <c r="I112" i="388" s="1"/>
  <c r="I113" i="388" s="1"/>
  <c r="I114" i="388" s="1"/>
  <c r="G111" i="388"/>
  <c r="G112" i="388" s="1"/>
  <c r="G38" i="184"/>
  <c r="K70" i="388"/>
  <c r="X23" i="184"/>
  <c r="O40" i="388"/>
  <c r="BK40" i="388"/>
  <c r="BS40" i="388"/>
  <c r="DV40" i="168"/>
  <c r="O40" i="168"/>
  <c r="DN40" i="168"/>
  <c r="E11" i="356" l="1"/>
  <c r="E10" i="360"/>
  <c r="AG36" i="393"/>
  <c r="G71" i="389"/>
  <c r="G72" i="389" s="1"/>
  <c r="G73" i="389" s="1"/>
  <c r="AF84" i="393"/>
  <c r="AG103" i="393" s="1"/>
  <c r="AC90" i="393"/>
  <c r="AD91" i="393" s="1"/>
  <c r="C74" i="393"/>
  <c r="C75" i="393" s="1"/>
  <c r="C84" i="393" s="1"/>
  <c r="C77" i="393"/>
  <c r="C78" i="393" s="1"/>
  <c r="C90" i="389" s="1"/>
  <c r="C92" i="389" s="1"/>
  <c r="C93" i="389" s="1"/>
  <c r="C95" i="389" s="1"/>
  <c r="C96" i="389" s="1"/>
  <c r="AF29" i="393"/>
  <c r="AF33" i="393" s="1"/>
  <c r="AG71" i="393"/>
  <c r="O40" i="389"/>
  <c r="Q40" i="389" s="1"/>
  <c r="AF31" i="393"/>
  <c r="I80" i="268"/>
  <c r="AJ35" i="393"/>
  <c r="E29" i="393"/>
  <c r="E34" i="393" s="1"/>
  <c r="F53" i="268"/>
  <c r="C19" i="350" s="1"/>
  <c r="F53" i="348"/>
  <c r="F52" i="280"/>
  <c r="D16" i="286" s="1"/>
  <c r="C15" i="108" s="1"/>
  <c r="D63" i="109" s="1"/>
  <c r="H52" i="280"/>
  <c r="H53" i="280"/>
  <c r="D19" i="359" s="1"/>
  <c r="E19" i="359" s="1"/>
  <c r="K53" i="280"/>
  <c r="C18" i="360" s="1"/>
  <c r="C24" i="360" s="1"/>
  <c r="F52" i="268"/>
  <c r="D16" i="274" s="1"/>
  <c r="H52" i="268"/>
  <c r="H54" i="268" s="1"/>
  <c r="E96" i="388"/>
  <c r="E98" i="388" s="1"/>
  <c r="E99" i="388" s="1"/>
  <c r="C98" i="388"/>
  <c r="C99" i="388" s="1"/>
  <c r="DP40" i="168"/>
  <c r="DN41" i="168"/>
  <c r="DN42" i="168" s="1"/>
  <c r="BM40" i="388"/>
  <c r="BM41" i="388" s="1"/>
  <c r="BM42" i="388" s="1"/>
  <c r="BK41" i="388"/>
  <c r="BK42" i="388" s="1"/>
  <c r="AJ86" i="167"/>
  <c r="W91" i="388" s="1"/>
  <c r="AJ100" i="167"/>
  <c r="AK101" i="167" s="1"/>
  <c r="AK102" i="167" s="1"/>
  <c r="AJ87" i="167"/>
  <c r="I71" i="352"/>
  <c r="I72" i="352" s="1"/>
  <c r="I73" i="352" s="1"/>
  <c r="I74" i="352" s="1"/>
  <c r="I75" i="352" s="1"/>
  <c r="G72" i="352"/>
  <c r="G73" i="352" s="1"/>
  <c r="D16" i="419"/>
  <c r="D11" i="421"/>
  <c r="Q35" i="2"/>
  <c r="Q71" i="388"/>
  <c r="Q72" i="388" s="1"/>
  <c r="Q73" i="388" s="1"/>
  <c r="Q74" i="388" s="1"/>
  <c r="Q75" i="388" s="1"/>
  <c r="O72" i="388"/>
  <c r="O73" i="388" s="1"/>
  <c r="G52" i="398"/>
  <c r="E70" i="388"/>
  <c r="E72" i="388" s="1"/>
  <c r="E73" i="388" s="1"/>
  <c r="E75" i="388" s="1"/>
  <c r="C72" i="388"/>
  <c r="C73" i="388" s="1"/>
  <c r="J26" i="2"/>
  <c r="I30" i="2"/>
  <c r="I47" i="2" s="1"/>
  <c r="M53" i="268"/>
  <c r="D56" i="350" s="1"/>
  <c r="E56" i="350" s="1"/>
  <c r="Q40" i="352"/>
  <c r="Q41" i="352" s="1"/>
  <c r="Q42" i="352" s="1"/>
  <c r="Q43" i="352" s="1"/>
  <c r="Q44" i="352" s="1"/>
  <c r="O41" i="352"/>
  <c r="O42" i="352" s="1"/>
  <c r="AD75" i="60"/>
  <c r="E14" i="421"/>
  <c r="AE65" i="60"/>
  <c r="F52" i="348"/>
  <c r="F54" i="348" s="1"/>
  <c r="DT39" i="168"/>
  <c r="DT41" i="168" s="1"/>
  <c r="DT42" i="168" s="1"/>
  <c r="DR41" i="168"/>
  <c r="DR42" i="168" s="1"/>
  <c r="DR44" i="168" s="1"/>
  <c r="DR45" i="168" s="1"/>
  <c r="AP36" i="167"/>
  <c r="AN84" i="167"/>
  <c r="AO36" i="167"/>
  <c r="K23" i="184" s="1"/>
  <c r="BI39" i="388"/>
  <c r="BI41" i="388" s="1"/>
  <c r="BI42" i="388" s="1"/>
  <c r="BG41" i="388"/>
  <c r="BG42" i="388" s="1"/>
  <c r="BG44" i="388" s="1"/>
  <c r="BG45" i="388" s="1"/>
  <c r="G72" i="388"/>
  <c r="G73" i="388" s="1"/>
  <c r="I71" i="388"/>
  <c r="I72" i="388" s="1"/>
  <c r="I73" i="388" s="1"/>
  <c r="I74" i="388" s="1"/>
  <c r="I75" i="388" s="1"/>
  <c r="C41" i="352"/>
  <c r="C42" i="352" s="1"/>
  <c r="E39" i="352"/>
  <c r="E41" i="352" s="1"/>
  <c r="E42" i="352" s="1"/>
  <c r="E44" i="352" s="1"/>
  <c r="X79" i="60"/>
  <c r="D20" i="374" s="1"/>
  <c r="D19" i="374"/>
  <c r="W79" i="60"/>
  <c r="F29" i="393" s="1"/>
  <c r="F34" i="393" s="1"/>
  <c r="I40" i="388"/>
  <c r="I41" i="388" s="1"/>
  <c r="I42" i="388" s="1"/>
  <c r="I43" i="388" s="1"/>
  <c r="I44" i="388" s="1"/>
  <c r="G41" i="388"/>
  <c r="G42" i="388"/>
  <c r="D19" i="350"/>
  <c r="O41" i="168"/>
  <c r="O42" i="168" s="1"/>
  <c r="Q40" i="168"/>
  <c r="Q41" i="168" s="1"/>
  <c r="Q42" i="168" s="1"/>
  <c r="Q43" i="168" s="1"/>
  <c r="Q44" i="168" s="1"/>
  <c r="E91" i="291"/>
  <c r="Q40" i="388"/>
  <c r="Q41" i="388" s="1"/>
  <c r="Q42" i="388" s="1"/>
  <c r="Q43" i="388" s="1"/>
  <c r="Q44" i="388" s="1"/>
  <c r="O41" i="388"/>
  <c r="O42" i="388" s="1"/>
  <c r="C80" i="393"/>
  <c r="K72" i="388"/>
  <c r="K73" i="388" s="1"/>
  <c r="M70" i="388"/>
  <c r="M72" i="388" s="1"/>
  <c r="M73" i="388" s="1"/>
  <c r="M75" i="388" s="1"/>
  <c r="BK71" i="168"/>
  <c r="BK72" i="168" s="1"/>
  <c r="BJ72" i="168"/>
  <c r="AJ84" i="167"/>
  <c r="AK36" i="167"/>
  <c r="I23" i="184" s="1"/>
  <c r="AL36" i="167"/>
  <c r="D16" i="434"/>
  <c r="D11" i="435"/>
  <c r="Z79" i="60"/>
  <c r="E19" i="374"/>
  <c r="Z86" i="60"/>
  <c r="K30" i="2"/>
  <c r="K47" i="2" s="1"/>
  <c r="L26" i="2"/>
  <c r="L30" i="2" s="1"/>
  <c r="L47" i="2" s="1"/>
  <c r="L55" i="2" s="1"/>
  <c r="BH41" i="168"/>
  <c r="BI39" i="168"/>
  <c r="BI41" i="168" s="1"/>
  <c r="U79" i="60"/>
  <c r="AN31" i="167"/>
  <c r="AN29" i="167"/>
  <c r="AO71" i="167"/>
  <c r="M91" i="315" s="1"/>
  <c r="AN32" i="167"/>
  <c r="CV39" i="168"/>
  <c r="CV41" i="168" s="1"/>
  <c r="CV42" i="168" s="1"/>
  <c r="CV111" i="168" s="1"/>
  <c r="CT41" i="168"/>
  <c r="CT42" i="168" s="1"/>
  <c r="BO41" i="388"/>
  <c r="BO42" i="388" s="1"/>
  <c r="BO44" i="388" s="1"/>
  <c r="BO45" i="388" s="1"/>
  <c r="BQ39" i="388"/>
  <c r="BQ41" i="388" s="1"/>
  <c r="BQ42" i="388" s="1"/>
  <c r="I40" i="389"/>
  <c r="G41" i="389"/>
  <c r="G42" i="389" s="1"/>
  <c r="D10" i="361"/>
  <c r="AK35" i="393"/>
  <c r="G41" i="168"/>
  <c r="G42" i="168" s="1"/>
  <c r="I40" i="168"/>
  <c r="DX40" i="168"/>
  <c r="DX41" i="168" s="1"/>
  <c r="DX42" i="168" s="1"/>
  <c r="DV41" i="168"/>
  <c r="DV42" i="168" s="1"/>
  <c r="AB84" i="393"/>
  <c r="AB87" i="393"/>
  <c r="AB100" i="393"/>
  <c r="AC101" i="393" s="1"/>
  <c r="AC102" i="393" s="1"/>
  <c r="J52" i="268" s="1"/>
  <c r="AB86" i="393"/>
  <c r="G110" i="389" s="1"/>
  <c r="C24" i="313"/>
  <c r="BK40" i="168"/>
  <c r="BK41" i="168" s="1"/>
  <c r="BJ41" i="168"/>
  <c r="C16" i="305"/>
  <c r="E37" i="167"/>
  <c r="F56" i="106"/>
  <c r="F58" i="106" s="1"/>
  <c r="E35" i="167"/>
  <c r="E30" i="167"/>
  <c r="F74" i="106"/>
  <c r="F76" i="106" s="1"/>
  <c r="H82" i="106" s="1"/>
  <c r="E38" i="167"/>
  <c r="E34" i="167"/>
  <c r="C19" i="363"/>
  <c r="E19" i="363" s="1"/>
  <c r="E21" i="325"/>
  <c r="D71" i="316"/>
  <c r="H71" i="248" s="1"/>
  <c r="K92" i="168"/>
  <c r="K93" i="168" s="1"/>
  <c r="M90" i="168"/>
  <c r="M92" i="168" s="1"/>
  <c r="M93" i="168" s="1"/>
  <c r="M95" i="168" s="1"/>
  <c r="AA75" i="60"/>
  <c r="AA86" i="60" s="1"/>
  <c r="D19" i="372" s="1"/>
  <c r="D12" i="310"/>
  <c r="D14" i="310" s="1"/>
  <c r="D12" i="288"/>
  <c r="D14" i="288" s="1"/>
  <c r="O94" i="388"/>
  <c r="C72" i="168"/>
  <c r="C73" i="168" s="1"/>
  <c r="E70" i="168"/>
  <c r="E72" i="168" s="1"/>
  <c r="E73" i="168" s="1"/>
  <c r="E75" i="168" s="1"/>
  <c r="E15" i="291"/>
  <c r="K41" i="168"/>
  <c r="K42" i="168" s="1"/>
  <c r="M39" i="168"/>
  <c r="M41" i="168" s="1"/>
  <c r="M42" i="168" s="1"/>
  <c r="M44" i="168" s="1"/>
  <c r="P35" i="2"/>
  <c r="P51" i="2" s="1"/>
  <c r="O51" i="2"/>
  <c r="D23" i="373" s="1"/>
  <c r="C72" i="389"/>
  <c r="C73" i="389" s="1"/>
  <c r="E70" i="389"/>
  <c r="E72" i="389" s="1"/>
  <c r="E73" i="389" s="1"/>
  <c r="E75" i="389" s="1"/>
  <c r="F30" i="167"/>
  <c r="F38" i="167"/>
  <c r="F34" i="167"/>
  <c r="F35" i="167"/>
  <c r="F37" i="167"/>
  <c r="C16" i="318"/>
  <c r="C41" i="388"/>
  <c r="C42" i="388" s="1"/>
  <c r="E39" i="388"/>
  <c r="E41" i="388" s="1"/>
  <c r="E42" i="388" s="1"/>
  <c r="E44" i="388" s="1"/>
  <c r="DL39" i="168"/>
  <c r="DL41" i="168" s="1"/>
  <c r="DL42" i="168" s="1"/>
  <c r="DJ41" i="168"/>
  <c r="DJ42" i="168" s="1"/>
  <c r="DJ44" i="168" s="1"/>
  <c r="DJ45" i="168" s="1"/>
  <c r="G41" i="352"/>
  <c r="G42" i="352" s="1"/>
  <c r="I40" i="352"/>
  <c r="I41" i="352" s="1"/>
  <c r="I42" i="352" s="1"/>
  <c r="I43" i="352" s="1"/>
  <c r="I44" i="352" s="1"/>
  <c r="C92" i="168"/>
  <c r="C93" i="168" s="1"/>
  <c r="E90" i="168"/>
  <c r="E92" i="168" s="1"/>
  <c r="E93" i="168" s="1"/>
  <c r="E95" i="168" s="1"/>
  <c r="M39" i="352"/>
  <c r="M41" i="352" s="1"/>
  <c r="M42" i="352" s="1"/>
  <c r="M44" i="352" s="1"/>
  <c r="K41" i="352"/>
  <c r="K42" i="352" s="1"/>
  <c r="AI65" i="60"/>
  <c r="E14" i="435"/>
  <c r="AH75" i="60"/>
  <c r="CZ40" i="168"/>
  <c r="CX41" i="168"/>
  <c r="CX42" i="168" s="1"/>
  <c r="C58" i="291"/>
  <c r="K72" i="168"/>
  <c r="K73" i="168" s="1"/>
  <c r="K75" i="168" s="1"/>
  <c r="M70" i="168"/>
  <c r="BS41" i="388"/>
  <c r="BS42" i="388" s="1"/>
  <c r="BU40" i="388"/>
  <c r="AC91" i="393"/>
  <c r="F58" i="184" s="1"/>
  <c r="G113" i="388"/>
  <c r="AJ32" i="167"/>
  <c r="AJ31" i="167"/>
  <c r="AJ29" i="167"/>
  <c r="AK71" i="167"/>
  <c r="H91" i="302" s="1"/>
  <c r="AL91" i="167"/>
  <c r="AK91" i="167"/>
  <c r="D14" i="421"/>
  <c r="AB75" i="60"/>
  <c r="AC65" i="60"/>
  <c r="Q71" i="168"/>
  <c r="O72" i="168"/>
  <c r="C134" i="291" s="1"/>
  <c r="F52" i="398"/>
  <c r="M90" i="388"/>
  <c r="M92" i="388" s="1"/>
  <c r="M93" i="388" s="1"/>
  <c r="M95" i="388" s="1"/>
  <c r="K92" i="388"/>
  <c r="K93" i="388" s="1"/>
  <c r="G74" i="2"/>
  <c r="D27" i="277"/>
  <c r="AF88" i="393"/>
  <c r="AG104" i="393" s="1"/>
  <c r="G52" i="348"/>
  <c r="G54" i="348" s="1"/>
  <c r="G76" i="348" s="1"/>
  <c r="K41" i="388"/>
  <c r="K42" i="388" s="1"/>
  <c r="M39" i="388"/>
  <c r="M41" i="388" s="1"/>
  <c r="M42" i="388" s="1"/>
  <c r="M44" i="388" s="1"/>
  <c r="C111" i="388"/>
  <c r="C112" i="388" s="1"/>
  <c r="E109" i="388"/>
  <c r="E111" i="388" s="1"/>
  <c r="E112" i="388" s="1"/>
  <c r="E114" i="388" s="1"/>
  <c r="AG90" i="393"/>
  <c r="D77" i="393"/>
  <c r="D78" i="393" s="1"/>
  <c r="E11" i="360"/>
  <c r="AF90" i="393"/>
  <c r="D74" i="393"/>
  <c r="D75" i="393" s="1"/>
  <c r="E70" i="352"/>
  <c r="E72" i="352" s="1"/>
  <c r="E73" i="352" s="1"/>
  <c r="E75" i="352" s="1"/>
  <c r="C72" i="352"/>
  <c r="C73" i="352" s="1"/>
  <c r="AN87" i="167"/>
  <c r="AN86" i="167"/>
  <c r="AE91" i="388" s="1"/>
  <c r="AN100" i="167"/>
  <c r="AO101" i="167" s="1"/>
  <c r="AO102" i="167" s="1"/>
  <c r="AP91" i="167"/>
  <c r="AO91" i="167"/>
  <c r="DD39" i="168"/>
  <c r="DD41" i="168" s="1"/>
  <c r="DD42" i="168" s="1"/>
  <c r="DB41" i="168"/>
  <c r="DB42" i="168" s="1"/>
  <c r="DB44" i="168" s="1"/>
  <c r="DB45" i="168" s="1"/>
  <c r="E39" i="168"/>
  <c r="E41" i="168" s="1"/>
  <c r="E42" i="168" s="1"/>
  <c r="E44" i="168" s="1"/>
  <c r="C41" i="168"/>
  <c r="C42" i="168" s="1"/>
  <c r="G72" i="168"/>
  <c r="G73" i="168" s="1"/>
  <c r="I71" i="168"/>
  <c r="I72" i="168" s="1"/>
  <c r="I73" i="168" s="1"/>
  <c r="I74" i="168" s="1"/>
  <c r="I75" i="168" s="1"/>
  <c r="E39" i="389"/>
  <c r="E41" i="389" s="1"/>
  <c r="E42" i="389" s="1"/>
  <c r="E44" i="389" s="1"/>
  <c r="C41" i="389"/>
  <c r="C42" i="389" s="1"/>
  <c r="G53" i="398"/>
  <c r="F53" i="398"/>
  <c r="Y75" i="60"/>
  <c r="K41" i="389"/>
  <c r="K42" i="389" s="1"/>
  <c r="M39" i="389"/>
  <c r="M41" i="389" s="1"/>
  <c r="M42" i="389" s="1"/>
  <c r="M44" i="389" s="1"/>
  <c r="D14" i="435"/>
  <c r="AG65" i="60"/>
  <c r="AF75" i="60"/>
  <c r="AF79" i="60" s="1"/>
  <c r="DF41" i="168"/>
  <c r="DF42" i="168" s="1"/>
  <c r="DH40" i="168"/>
  <c r="F257" i="366"/>
  <c r="G257" i="366" s="1"/>
  <c r="F809" i="366"/>
  <c r="G809" i="366" s="1"/>
  <c r="F207" i="366"/>
  <c r="G207" i="366" s="1"/>
  <c r="F105" i="366"/>
  <c r="G105" i="366" s="1"/>
  <c r="F999" i="366"/>
  <c r="G999" i="366" s="1"/>
  <c r="F320" i="366"/>
  <c r="G320" i="366" s="1"/>
  <c r="F589" i="366"/>
  <c r="G589" i="366" s="1"/>
  <c r="F567" i="366"/>
  <c r="G567" i="366" s="1"/>
  <c r="F638" i="366"/>
  <c r="G638" i="366" s="1"/>
  <c r="F759" i="366"/>
  <c r="G759" i="366" s="1"/>
  <c r="F345" i="366"/>
  <c r="G345" i="366" s="1"/>
  <c r="F16" i="366"/>
  <c r="G16" i="366" s="1"/>
  <c r="F546" i="366"/>
  <c r="G546" i="366" s="1"/>
  <c r="F442" i="366"/>
  <c r="G442" i="366" s="1"/>
  <c r="F457" i="366"/>
  <c r="G457" i="366" s="1"/>
  <c r="F846" i="366"/>
  <c r="G846" i="366" s="1"/>
  <c r="F693" i="366"/>
  <c r="G693" i="366" s="1"/>
  <c r="F198" i="366"/>
  <c r="G198" i="366" s="1"/>
  <c r="F808" i="366"/>
  <c r="G808" i="366" s="1"/>
  <c r="F911" i="366"/>
  <c r="G911" i="366" s="1"/>
  <c r="F13" i="366"/>
  <c r="G13" i="366" s="1"/>
  <c r="F189" i="366"/>
  <c r="G189" i="366" s="1"/>
  <c r="F598" i="366"/>
  <c r="G598" i="366" s="1"/>
  <c r="F326" i="366"/>
  <c r="G326" i="366" s="1"/>
  <c r="F905" i="366"/>
  <c r="G905" i="366" s="1"/>
  <c r="F716" i="366"/>
  <c r="G716" i="366" s="1"/>
  <c r="F168" i="366"/>
  <c r="G168" i="366" s="1"/>
  <c r="F108" i="366"/>
  <c r="G108" i="366" s="1"/>
  <c r="F409" i="366"/>
  <c r="G409" i="366" s="1"/>
  <c r="F20" i="366"/>
  <c r="G20" i="366" s="1"/>
  <c r="F245" i="366"/>
  <c r="G245" i="366" s="1"/>
  <c r="F797" i="366"/>
  <c r="G797" i="366" s="1"/>
  <c r="F87" i="366"/>
  <c r="G87" i="366" s="1"/>
  <c r="F519" i="366"/>
  <c r="G519" i="366" s="1"/>
  <c r="F274" i="366"/>
  <c r="G274" i="366" s="1"/>
  <c r="F635" i="366"/>
  <c r="G635" i="366" s="1"/>
  <c r="F133" i="366"/>
  <c r="G133" i="366" s="1"/>
  <c r="F439" i="366"/>
  <c r="G439" i="366" s="1"/>
  <c r="F6" i="366"/>
  <c r="G6" i="366" s="1"/>
  <c r="F238" i="366"/>
  <c r="G238" i="366" s="1"/>
  <c r="F344" i="366"/>
  <c r="G344" i="366" s="1"/>
  <c r="F69" i="366"/>
  <c r="G69" i="366" s="1"/>
  <c r="F916" i="366"/>
  <c r="G916" i="366" s="1"/>
  <c r="F844" i="366"/>
  <c r="G844" i="366" s="1"/>
  <c r="F717" i="366"/>
  <c r="G717" i="366" s="1"/>
  <c r="F104" i="366"/>
  <c r="G104" i="366" s="1"/>
  <c r="F509" i="366"/>
  <c r="G509" i="366" s="1"/>
  <c r="F416" i="366"/>
  <c r="G416" i="366" s="1"/>
  <c r="F670" i="366"/>
  <c r="G670" i="366" s="1"/>
  <c r="F871" i="366"/>
  <c r="G871" i="366" s="1"/>
  <c r="F451" i="366"/>
  <c r="G451" i="366" s="1"/>
  <c r="F203" i="366"/>
  <c r="G203" i="366" s="1"/>
  <c r="F971" i="366"/>
  <c r="G971" i="366" s="1"/>
  <c r="F302" i="366"/>
  <c r="G302" i="366" s="1"/>
  <c r="F900" i="366"/>
  <c r="G900" i="366" s="1"/>
  <c r="F386" i="366"/>
  <c r="G386" i="366" s="1"/>
  <c r="F160" i="366"/>
  <c r="G160" i="366" s="1"/>
  <c r="F415" i="366"/>
  <c r="G415" i="366" s="1"/>
  <c r="F212" i="366"/>
  <c r="G212" i="366" s="1"/>
  <c r="F110" i="366"/>
  <c r="G110" i="366" s="1"/>
  <c r="F306" i="366"/>
  <c r="G306" i="366" s="1"/>
  <c r="F114" i="366"/>
  <c r="G114" i="366" s="1"/>
  <c r="F743" i="366"/>
  <c r="G743" i="366" s="1"/>
  <c r="F308" i="366"/>
  <c r="G308" i="366" s="1"/>
  <c r="F592" i="366"/>
  <c r="G592" i="366" s="1"/>
  <c r="F788" i="366"/>
  <c r="G788" i="366" s="1"/>
  <c r="F53" i="366"/>
  <c r="G53" i="366" s="1"/>
  <c r="F286" i="366"/>
  <c r="G286" i="366" s="1"/>
  <c r="F406" i="366"/>
  <c r="G406" i="366" s="1"/>
  <c r="F36" i="366"/>
  <c r="G36" i="366" s="1"/>
  <c r="F613" i="366"/>
  <c r="G613" i="366" s="1"/>
  <c r="F174" i="366"/>
  <c r="G174" i="366" s="1"/>
  <c r="F199" i="366"/>
  <c r="G199" i="366" s="1"/>
  <c r="F231" i="366"/>
  <c r="G231" i="366" s="1"/>
  <c r="F940" i="366"/>
  <c r="G940" i="366" s="1"/>
  <c r="F700" i="366"/>
  <c r="G700" i="366" s="1"/>
  <c r="F390" i="366"/>
  <c r="G390" i="366" s="1"/>
  <c r="F781" i="366"/>
  <c r="G781" i="366" s="1"/>
  <c r="F348" i="366"/>
  <c r="G348" i="366" s="1"/>
  <c r="F495" i="366"/>
  <c r="G495" i="366" s="1"/>
  <c r="F317" i="366"/>
  <c r="G317" i="366" s="1"/>
  <c r="F193" i="366"/>
  <c r="G193" i="366" s="1"/>
  <c r="F924" i="366"/>
  <c r="G924" i="366" s="1"/>
  <c r="F758" i="366"/>
  <c r="G758" i="366" s="1"/>
  <c r="F54" i="366"/>
  <c r="G54" i="366" s="1"/>
  <c r="F853" i="366"/>
  <c r="G853" i="366" s="1"/>
  <c r="F521" i="366"/>
  <c r="G521" i="366" s="1"/>
  <c r="F663" i="366"/>
  <c r="G663" i="366" s="1"/>
  <c r="F875" i="366"/>
  <c r="G875" i="366" s="1"/>
  <c r="F907" i="366"/>
  <c r="G907" i="366" s="1"/>
  <c r="F513" i="366"/>
  <c r="G513" i="366" s="1"/>
  <c r="F425" i="366"/>
  <c r="G425" i="366" s="1"/>
  <c r="F850" i="366"/>
  <c r="G850" i="366" s="1"/>
  <c r="F583" i="366"/>
  <c r="G583" i="366" s="1"/>
  <c r="F958" i="366"/>
  <c r="G958" i="366" s="1"/>
  <c r="F45" i="366"/>
  <c r="G45" i="366" s="1"/>
  <c r="F32" i="366"/>
  <c r="G32" i="366" s="1"/>
  <c r="F130" i="366"/>
  <c r="G130" i="366" s="1"/>
  <c r="F742" i="366"/>
  <c r="G742" i="366" s="1"/>
  <c r="F787" i="366"/>
  <c r="G787" i="366" s="1"/>
  <c r="F187" i="366"/>
  <c r="G187" i="366" s="1"/>
  <c r="F747" i="366"/>
  <c r="G747" i="366" s="1"/>
  <c r="F934" i="366"/>
  <c r="G934" i="366" s="1"/>
  <c r="F772" i="366"/>
  <c r="G772" i="366" s="1"/>
  <c r="F535" i="366"/>
  <c r="G535" i="366" s="1"/>
  <c r="F965" i="366"/>
  <c r="G965" i="366" s="1"/>
  <c r="F1008" i="366"/>
  <c r="G1008" i="366" s="1"/>
  <c r="F445" i="366"/>
  <c r="G445" i="366" s="1"/>
  <c r="F76" i="366"/>
  <c r="G76" i="366" s="1"/>
  <c r="F342" i="366"/>
  <c r="G342" i="366" s="1"/>
  <c r="F624" i="366"/>
  <c r="G624" i="366" s="1"/>
  <c r="F57" i="366"/>
  <c r="G57" i="366" s="1"/>
  <c r="F874" i="366"/>
  <c r="G874" i="366" s="1"/>
  <c r="F263" i="366"/>
  <c r="G263" i="366" s="1"/>
  <c r="F776" i="366"/>
  <c r="G776" i="366" s="1"/>
  <c r="F334" i="366"/>
  <c r="G334" i="366" s="1"/>
  <c r="F636" i="366"/>
  <c r="G636" i="366" s="1"/>
  <c r="F694" i="366"/>
  <c r="G694" i="366" s="1"/>
  <c r="F477" i="366"/>
  <c r="G477" i="366" s="1"/>
  <c r="F266" i="366"/>
  <c r="G266" i="366" s="1"/>
  <c r="F721" i="366"/>
  <c r="G721" i="366" s="1"/>
  <c r="F921" i="366"/>
  <c r="G921" i="366" s="1"/>
  <c r="F467" i="366"/>
  <c r="G467" i="366" s="1"/>
  <c r="F993" i="366"/>
  <c r="G993" i="366" s="1"/>
  <c r="F468" i="366"/>
  <c r="G468" i="366" s="1"/>
  <c r="F223" i="366"/>
  <c r="G223" i="366" s="1"/>
  <c r="F932" i="366"/>
  <c r="G932" i="366" s="1"/>
  <c r="F318" i="366"/>
  <c r="G318" i="366" s="1"/>
  <c r="F66" i="366"/>
  <c r="G66" i="366" s="1"/>
  <c r="F422" i="366"/>
  <c r="G422" i="366" s="1"/>
  <c r="F81" i="366"/>
  <c r="G81" i="366" s="1"/>
  <c r="F37" i="366"/>
  <c r="G37" i="366" s="1"/>
  <c r="F206" i="366"/>
  <c r="G206" i="366" s="1"/>
  <c r="F322" i="366"/>
  <c r="G322" i="366" s="1"/>
  <c r="F531" i="366"/>
  <c r="G531" i="366" s="1"/>
  <c r="F335" i="366"/>
  <c r="G335" i="366" s="1"/>
  <c r="F849" i="366"/>
  <c r="G849" i="366" s="1"/>
  <c r="F399" i="366"/>
  <c r="G399" i="366" s="1"/>
  <c r="F385" i="366"/>
  <c r="G385" i="366" s="1"/>
  <c r="F236" i="366"/>
  <c r="G236" i="366" s="1"/>
  <c r="F1001" i="366"/>
  <c r="G1001" i="366" s="1"/>
  <c r="F688" i="366"/>
  <c r="G688" i="366" s="1"/>
  <c r="F486" i="366"/>
  <c r="G486" i="366" s="1"/>
  <c r="F89" i="366"/>
  <c r="G89" i="366" s="1"/>
  <c r="F769" i="366"/>
  <c r="G769" i="366" s="1"/>
  <c r="F622" i="366"/>
  <c r="G622" i="366" s="1"/>
  <c r="F248" i="366"/>
  <c r="G248" i="366" s="1"/>
  <c r="F910" i="366"/>
  <c r="G910" i="366" s="1"/>
  <c r="F818" i="366"/>
  <c r="G818" i="366" s="1"/>
  <c r="F166" i="366"/>
  <c r="G166" i="366" s="1"/>
  <c r="F988" i="366"/>
  <c r="G988" i="366" s="1"/>
  <c r="F204" i="366"/>
  <c r="G204" i="366" s="1"/>
  <c r="F233" i="366"/>
  <c r="G233" i="366" s="1"/>
  <c r="F459" i="366"/>
  <c r="G459" i="366" s="1"/>
  <c r="F959" i="366"/>
  <c r="G959" i="366" s="1"/>
  <c r="F43" i="366"/>
  <c r="G43" i="366" s="1"/>
  <c r="F626" i="366"/>
  <c r="G626" i="366" s="1"/>
  <c r="F562" i="366"/>
  <c r="G562" i="366" s="1"/>
  <c r="F824" i="366"/>
  <c r="G824" i="366" s="1"/>
  <c r="F504" i="366"/>
  <c r="G504" i="366" s="1"/>
  <c r="F791" i="366"/>
  <c r="G791" i="366" s="1"/>
  <c r="F260" i="366"/>
  <c r="G260" i="366" s="1"/>
  <c r="F78" i="366"/>
  <c r="G78" i="366" s="1"/>
  <c r="F271" i="366"/>
  <c r="G271" i="366" s="1"/>
  <c r="F529" i="366"/>
  <c r="G529" i="366" s="1"/>
  <c r="F976" i="366"/>
  <c r="G976" i="366" s="1"/>
  <c r="F1020" i="366"/>
  <c r="G1020" i="366" s="1"/>
  <c r="F590" i="366"/>
  <c r="G590" i="366" s="1"/>
  <c r="F576" i="366"/>
  <c r="G576" i="366" s="1"/>
  <c r="F28" i="366"/>
  <c r="G28" i="366" s="1"/>
  <c r="F431" i="366"/>
  <c r="G431" i="366" s="1"/>
  <c r="F648" i="366"/>
  <c r="G648" i="366" s="1"/>
  <c r="F251" i="366"/>
  <c r="G251" i="366" s="1"/>
  <c r="F951" i="366"/>
  <c r="G951" i="366" s="1"/>
  <c r="F523" i="366"/>
  <c r="G523" i="366" s="1"/>
  <c r="F653" i="366"/>
  <c r="G653" i="366" s="1"/>
  <c r="F561" i="366"/>
  <c r="G561" i="366" s="1"/>
  <c r="F751" i="366"/>
  <c r="G751" i="366" s="1"/>
  <c r="F478" i="366"/>
  <c r="G478" i="366" s="1"/>
  <c r="F922" i="366"/>
  <c r="G922" i="366" s="1"/>
  <c r="F462" i="366"/>
  <c r="G462" i="366" s="1"/>
  <c r="F102" i="366"/>
  <c r="G102" i="366" s="1"/>
  <c r="F172" i="366"/>
  <c r="G172" i="366" s="1"/>
  <c r="F810" i="366"/>
  <c r="G810" i="366" s="1"/>
  <c r="F710" i="366"/>
  <c r="G710" i="366" s="1"/>
  <c r="F627" i="366"/>
  <c r="G627" i="366" s="1"/>
  <c r="F714" i="366"/>
  <c r="G714" i="366" s="1"/>
  <c r="F100" i="366"/>
  <c r="G100" i="366" s="1"/>
  <c r="F1012" i="366"/>
  <c r="G1012" i="366" s="1"/>
  <c r="F691" i="366"/>
  <c r="G691" i="366" s="1"/>
  <c r="F858" i="366"/>
  <c r="G858" i="366" s="1"/>
  <c r="F964" i="366"/>
  <c r="G964" i="366" s="1"/>
  <c r="F215" i="366"/>
  <c r="G215" i="366" s="1"/>
  <c r="F836" i="366"/>
  <c r="G836" i="366" s="1"/>
  <c r="F428" i="366"/>
  <c r="G428" i="366" s="1"/>
  <c r="F936" i="366"/>
  <c r="G936" i="366" s="1"/>
  <c r="F894" i="366"/>
  <c r="G894" i="366" s="1"/>
  <c r="F247" i="366"/>
  <c r="G247" i="366" s="1"/>
  <c r="F298" i="366"/>
  <c r="G298" i="366" s="1"/>
  <c r="F996" i="366"/>
  <c r="G996" i="366" s="1"/>
  <c r="F805" i="366"/>
  <c r="G805" i="366" s="1"/>
  <c r="F278" i="366"/>
  <c r="G278" i="366" s="1"/>
  <c r="F366" i="366"/>
  <c r="G366" i="366" s="1"/>
  <c r="F1006" i="366"/>
  <c r="G1006" i="366" s="1"/>
  <c r="F919" i="366"/>
  <c r="G919" i="366" s="1"/>
  <c r="F330" i="366"/>
  <c r="G330" i="366" s="1"/>
  <c r="F82" i="366"/>
  <c r="G82" i="366" s="1"/>
  <c r="F319" i="366"/>
  <c r="G319" i="366" s="1"/>
  <c r="F111" i="366"/>
  <c r="G111" i="366" s="1"/>
  <c r="F232" i="366"/>
  <c r="G232" i="366" s="1"/>
  <c r="F527" i="366"/>
  <c r="G527" i="366" s="1"/>
  <c r="F985" i="366"/>
  <c r="G985" i="366" s="1"/>
  <c r="F373" i="366"/>
  <c r="G373" i="366" s="1"/>
  <c r="F304" i="366"/>
  <c r="G304" i="366" s="1"/>
  <c r="F490" i="366"/>
  <c r="G490" i="366" s="1"/>
  <c r="F540" i="366"/>
  <c r="G540" i="366" s="1"/>
  <c r="F292" i="366"/>
  <c r="G292" i="366" s="1"/>
  <c r="F216" i="366"/>
  <c r="G216" i="366" s="1"/>
  <c r="F886" i="366"/>
  <c r="G886" i="366" s="1"/>
  <c r="F39" i="366"/>
  <c r="G39" i="366" s="1"/>
  <c r="F748" i="366"/>
  <c r="G748" i="366" s="1"/>
  <c r="F570" i="366"/>
  <c r="G570" i="366" s="1"/>
  <c r="F587" i="366"/>
  <c r="G587" i="366" s="1"/>
  <c r="F396" i="366"/>
  <c r="G396" i="366" s="1"/>
  <c r="F1005" i="366"/>
  <c r="G1005" i="366" s="1"/>
  <c r="F780" i="366"/>
  <c r="G780" i="366" s="1"/>
  <c r="F872" i="366"/>
  <c r="G872" i="366" s="1"/>
  <c r="F170" i="366"/>
  <c r="G170" i="366" s="1"/>
  <c r="F782" i="366"/>
  <c r="G782" i="366" s="1"/>
  <c r="F686" i="366"/>
  <c r="G686" i="366" s="1"/>
  <c r="F92" i="366"/>
  <c r="G92" i="366" s="1"/>
  <c r="F375" i="366"/>
  <c r="G375" i="366" s="1"/>
  <c r="F220" i="366"/>
  <c r="G220" i="366" s="1"/>
  <c r="F151" i="366"/>
  <c r="G151" i="366" s="1"/>
  <c r="F967" i="366"/>
  <c r="G967" i="366" s="1"/>
  <c r="F340" i="366"/>
  <c r="G340" i="366" s="1"/>
  <c r="F801" i="366"/>
  <c r="G801" i="366" s="1"/>
  <c r="F859" i="366"/>
  <c r="G859" i="366" s="1"/>
  <c r="F804" i="366"/>
  <c r="G804" i="366" s="1"/>
  <c r="F923" i="366"/>
  <c r="G923" i="366" s="1"/>
  <c r="F842" i="366"/>
  <c r="G842" i="366" s="1"/>
  <c r="F998" i="366"/>
  <c r="G998" i="366" s="1"/>
  <c r="F255" i="366"/>
  <c r="G255" i="366" s="1"/>
  <c r="F689" i="366"/>
  <c r="G689" i="366" s="1"/>
  <c r="F802" i="366"/>
  <c r="G802" i="366" s="1"/>
  <c r="F430" i="366"/>
  <c r="G430" i="366" s="1"/>
  <c r="F520" i="366"/>
  <c r="G520" i="366" s="1"/>
  <c r="F884" i="366"/>
  <c r="G884" i="366" s="1"/>
  <c r="F143" i="366"/>
  <c r="G143" i="366" s="1"/>
  <c r="F667" i="366"/>
  <c r="G667" i="366" s="1"/>
  <c r="F855" i="366"/>
  <c r="G855" i="366" s="1"/>
  <c r="F436" i="366"/>
  <c r="G436" i="366" s="1"/>
  <c r="F915" i="366"/>
  <c r="G915" i="366" s="1"/>
  <c r="F731" i="366"/>
  <c r="G731" i="366" s="1"/>
  <c r="F137" i="366"/>
  <c r="G137" i="366" s="1"/>
  <c r="F768" i="366"/>
  <c r="G768" i="366" s="1"/>
  <c r="F945" i="366"/>
  <c r="G945" i="366" s="1"/>
  <c r="F525" i="366"/>
  <c r="G525" i="366" s="1"/>
  <c r="F732" i="366"/>
  <c r="G732" i="366" s="1"/>
  <c r="F67" i="366"/>
  <c r="G67" i="366" s="1"/>
  <c r="F834" i="366"/>
  <c r="G834" i="366" s="1"/>
  <c r="F480" i="366"/>
  <c r="G480" i="366" s="1"/>
  <c r="F909" i="366"/>
  <c r="G909" i="366" s="1"/>
  <c r="F211" i="366"/>
  <c r="G211" i="366" s="1"/>
  <c r="F662" i="366"/>
  <c r="G662" i="366" s="1"/>
  <c r="F328" i="366"/>
  <c r="G328" i="366" s="1"/>
  <c r="F631" i="366"/>
  <c r="G631" i="366" s="1"/>
  <c r="F180" i="366"/>
  <c r="G180" i="366" s="1"/>
  <c r="F62" i="366"/>
  <c r="G62" i="366" s="1"/>
  <c r="F173" i="366"/>
  <c r="G173" i="366" s="1"/>
  <c r="F240" i="366"/>
  <c r="G240" i="366" s="1"/>
  <c r="F14" i="366"/>
  <c r="G14" i="366" s="1"/>
  <c r="F839" i="366"/>
  <c r="G839" i="366" s="1"/>
  <c r="F49" i="366"/>
  <c r="G49" i="366" s="1"/>
  <c r="F426" i="366"/>
  <c r="G426" i="366" s="1"/>
  <c r="F992" i="366"/>
  <c r="G992" i="366" s="1"/>
  <c r="F763" i="366"/>
  <c r="G763" i="366" s="1"/>
  <c r="F90" i="366"/>
  <c r="G90" i="366" s="1"/>
  <c r="F250" i="366"/>
  <c r="G250" i="366" s="1"/>
  <c r="F452" i="366"/>
  <c r="G452" i="366" s="1"/>
  <c r="F131" i="366"/>
  <c r="G131" i="366" s="1"/>
  <c r="F97" i="366"/>
  <c r="G97" i="366" s="1"/>
  <c r="F178" i="366"/>
  <c r="G178" i="366" s="1"/>
  <c r="F830" i="366"/>
  <c r="G830" i="366" s="1"/>
  <c r="F765" i="366"/>
  <c r="G765" i="366" s="1"/>
  <c r="F990" i="366"/>
  <c r="G990" i="366" s="1"/>
  <c r="F301" i="366"/>
  <c r="G301" i="366" s="1"/>
  <c r="F914" i="366"/>
  <c r="G914" i="366" s="1"/>
  <c r="F132" i="366"/>
  <c r="G132" i="366" s="1"/>
  <c r="F74" i="366"/>
  <c r="G74" i="366" s="1"/>
  <c r="F196" i="366"/>
  <c r="G196" i="366" s="1"/>
  <c r="F633" i="366"/>
  <c r="G633" i="366" s="1"/>
  <c r="F719" i="366"/>
  <c r="G719" i="366" s="1"/>
  <c r="F179" i="366"/>
  <c r="G179" i="366" s="1"/>
  <c r="F85" i="366"/>
  <c r="G85" i="366" s="1"/>
  <c r="F825" i="366"/>
  <c r="G825" i="366" s="1"/>
  <c r="F38" i="366"/>
  <c r="G38" i="366" s="1"/>
  <c r="F629" i="366"/>
  <c r="G629" i="366" s="1"/>
  <c r="F249" i="366"/>
  <c r="G249" i="366" s="1"/>
  <c r="F845" i="366"/>
  <c r="G845" i="366" s="1"/>
  <c r="F146" i="366"/>
  <c r="G146" i="366" s="1"/>
  <c r="F979" i="366"/>
  <c r="G979" i="366" s="1"/>
  <c r="F346" i="366"/>
  <c r="G346" i="366" s="1"/>
  <c r="F112" i="366"/>
  <c r="G112" i="366" s="1"/>
  <c r="F361" i="366"/>
  <c r="G361" i="366" s="1"/>
  <c r="F735" i="366"/>
  <c r="G735" i="366" s="1"/>
  <c r="F702" i="366"/>
  <c r="G702" i="366" s="1"/>
  <c r="F649" i="366"/>
  <c r="G649" i="366" s="1"/>
  <c r="F362" i="366"/>
  <c r="G362" i="366" s="1"/>
  <c r="F429" i="366"/>
  <c r="G429" i="366" s="1"/>
  <c r="F23" i="366"/>
  <c r="G23" i="366" s="1"/>
  <c r="F440" i="366"/>
  <c r="G440" i="366" s="1"/>
  <c r="F432" i="366"/>
  <c r="G432" i="366" s="1"/>
  <c r="F253" i="366"/>
  <c r="G253" i="366" s="1"/>
  <c r="F944" i="366"/>
  <c r="G944" i="366" s="1"/>
  <c r="F652" i="366"/>
  <c r="G652" i="366" s="1"/>
  <c r="F341" i="366"/>
  <c r="G341" i="366" s="1"/>
  <c r="F230" i="366"/>
  <c r="G230" i="366" s="1"/>
  <c r="F60" i="366"/>
  <c r="G60" i="366" s="1"/>
  <c r="F25" i="366"/>
  <c r="G25" i="366" s="1"/>
  <c r="F807" i="366"/>
  <c r="G807" i="366" s="1"/>
  <c r="F52" i="366"/>
  <c r="G52" i="366" s="1"/>
  <c r="F917" i="366"/>
  <c r="G917" i="366" s="1"/>
  <c r="F854" i="366"/>
  <c r="G854" i="366" s="1"/>
  <c r="F986" i="366"/>
  <c r="G986" i="366" s="1"/>
  <c r="F666" i="366"/>
  <c r="G666" i="366" s="1"/>
  <c r="F435" i="366"/>
  <c r="G435" i="366" s="1"/>
  <c r="F565" i="366"/>
  <c r="G565" i="366" s="1"/>
  <c r="F775" i="366"/>
  <c r="G775" i="366" s="1"/>
  <c r="F640" i="366"/>
  <c r="G640" i="366" s="1"/>
  <c r="F483" i="366"/>
  <c r="G483" i="366" s="1"/>
  <c r="F890" i="366"/>
  <c r="G890" i="366" s="1"/>
  <c r="F568" i="366"/>
  <c r="G568" i="366" s="1"/>
  <c r="F159" i="366"/>
  <c r="G159" i="366" s="1"/>
  <c r="F991" i="366"/>
  <c r="G991" i="366" s="1"/>
  <c r="F297" i="366"/>
  <c r="G297" i="366" s="1"/>
  <c r="F164" i="366"/>
  <c r="G164" i="366" s="1"/>
  <c r="F770" i="366"/>
  <c r="G770" i="366" s="1"/>
  <c r="F1002" i="366"/>
  <c r="G1002" i="366" s="1"/>
  <c r="F760" i="366"/>
  <c r="G760" i="366" s="1"/>
  <c r="F673" i="366"/>
  <c r="G673" i="366" s="1"/>
  <c r="F634" i="366"/>
  <c r="G634" i="366" s="1"/>
  <c r="F437" i="366"/>
  <c r="G437" i="366" s="1"/>
  <c r="F647" i="366"/>
  <c r="G647" i="366" s="1"/>
  <c r="F127" i="366"/>
  <c r="G127" i="366" s="1"/>
  <c r="F723" i="366"/>
  <c r="G723" i="366" s="1"/>
  <c r="F1004" i="366"/>
  <c r="G1004" i="366" s="1"/>
  <c r="F987" i="366"/>
  <c r="G987" i="366" s="1"/>
  <c r="F1021" i="366"/>
  <c r="G1021" i="366" s="1"/>
  <c r="F275" i="366"/>
  <c r="G275" i="366" s="1"/>
  <c r="F709" i="366"/>
  <c r="G709" i="366" s="1"/>
  <c r="F171" i="366"/>
  <c r="G171" i="366" s="1"/>
  <c r="F313" i="366"/>
  <c r="G313" i="366" s="1"/>
  <c r="F185" i="366"/>
  <c r="G185" i="366" s="1"/>
  <c r="F739" i="366"/>
  <c r="G739" i="366" s="1"/>
  <c r="F876" i="366"/>
  <c r="G876" i="366" s="1"/>
  <c r="F578" i="366"/>
  <c r="G578" i="366" s="1"/>
  <c r="F608" i="366"/>
  <c r="G608" i="366" s="1"/>
  <c r="F371" i="366"/>
  <c r="G371" i="366" s="1"/>
  <c r="F392" i="366"/>
  <c r="G392" i="366" s="1"/>
  <c r="F704" i="366"/>
  <c r="G704" i="366" s="1"/>
  <c r="F621" i="366"/>
  <c r="G621" i="366" s="1"/>
  <c r="F823" i="366"/>
  <c r="G823" i="366" s="1"/>
  <c r="F434" i="366"/>
  <c r="G434" i="366" s="1"/>
  <c r="F270" i="366"/>
  <c r="G270" i="366" s="1"/>
  <c r="F741" i="366"/>
  <c r="G741" i="366" s="1"/>
  <c r="F142" i="366"/>
  <c r="G142" i="366" s="1"/>
  <c r="F612" i="366"/>
  <c r="G612" i="366" s="1"/>
  <c r="F843" i="366"/>
  <c r="G843" i="366" s="1"/>
  <c r="F465" i="366"/>
  <c r="G465" i="366" s="1"/>
  <c r="F360" i="366"/>
  <c r="G360" i="366" s="1"/>
  <c r="F948" i="366"/>
  <c r="G948" i="366" s="1"/>
  <c r="F840" i="366"/>
  <c r="G840" i="366" s="1"/>
  <c r="F88" i="366"/>
  <c r="G88" i="366" s="1"/>
  <c r="F705" i="366"/>
  <c r="G705" i="366" s="1"/>
  <c r="F660" i="366"/>
  <c r="G660" i="366" s="1"/>
  <c r="F476" i="366"/>
  <c r="G476" i="366" s="1"/>
  <c r="F650" i="366"/>
  <c r="G650" i="366" s="1"/>
  <c r="F384" i="366"/>
  <c r="G384" i="366" s="1"/>
  <c r="F31" i="366"/>
  <c r="G31" i="366" s="1"/>
  <c r="F101" i="366"/>
  <c r="G101" i="366" s="1"/>
  <c r="F806" i="366"/>
  <c r="G806" i="366" s="1"/>
  <c r="F544" i="366"/>
  <c r="G544" i="366" s="1"/>
  <c r="F675" i="366"/>
  <c r="G675" i="366" s="1"/>
  <c r="F332" i="366"/>
  <c r="G332" i="366" s="1"/>
  <c r="F563" i="366"/>
  <c r="G563" i="366" s="1"/>
  <c r="F722" i="366"/>
  <c r="G722" i="366" s="1"/>
  <c r="F961" i="366"/>
  <c r="G961" i="366" s="1"/>
  <c r="F799" i="366"/>
  <c r="G799" i="366" s="1"/>
  <c r="F738" i="366"/>
  <c r="G738" i="366" s="1"/>
  <c r="F761" i="366"/>
  <c r="G761" i="366" s="1"/>
  <c r="F165" i="366"/>
  <c r="G165" i="366" s="1"/>
  <c r="F728" i="366"/>
  <c r="G728" i="366" s="1"/>
  <c r="F639" i="366"/>
  <c r="G639" i="366" s="1"/>
  <c r="F817" i="366"/>
  <c r="G817" i="366" s="1"/>
  <c r="F883" i="366"/>
  <c r="G883" i="366" s="1"/>
  <c r="F630" i="366"/>
  <c r="G630" i="366" s="1"/>
  <c r="F508" i="366"/>
  <c r="G508" i="366" s="1"/>
  <c r="F310" i="366"/>
  <c r="G310" i="366" s="1"/>
  <c r="F812" i="366"/>
  <c r="G812" i="366" s="1"/>
  <c r="F941" i="366"/>
  <c r="G941" i="366" s="1"/>
  <c r="F217" i="366"/>
  <c r="G217" i="366" s="1"/>
  <c r="F197" i="366"/>
  <c r="G197" i="366" s="1"/>
  <c r="F118" i="366"/>
  <c r="G118" i="366" s="1"/>
  <c r="F19" i="366"/>
  <c r="G19" i="366" s="1"/>
  <c r="F383" i="366"/>
  <c r="G383" i="366" s="1"/>
  <c r="F767" i="366"/>
  <c r="G767" i="366" s="1"/>
  <c r="F314" i="366"/>
  <c r="G314" i="366" s="1"/>
  <c r="F898" i="366"/>
  <c r="G898" i="366" s="1"/>
  <c r="F866" i="366"/>
  <c r="G866" i="366" s="1"/>
  <c r="F364" i="366"/>
  <c r="G364" i="366" s="1"/>
  <c r="F816" i="366"/>
  <c r="G816" i="366" s="1"/>
  <c r="F291" i="366"/>
  <c r="G291" i="366" s="1"/>
  <c r="F336" i="366"/>
  <c r="G336" i="366" s="1"/>
  <c r="F482" i="366"/>
  <c r="G482" i="366" s="1"/>
  <c r="F120" i="366"/>
  <c r="G120" i="366" s="1"/>
  <c r="F606" i="366"/>
  <c r="G606" i="366" s="1"/>
  <c r="F283" i="366"/>
  <c r="G283" i="366" s="1"/>
  <c r="F22" i="366"/>
  <c r="G22" i="366" s="1"/>
  <c r="F585" i="366"/>
  <c r="G585" i="366" s="1"/>
  <c r="F796" i="366"/>
  <c r="G796" i="366" s="1"/>
  <c r="F499" i="366"/>
  <c r="G499" i="366" s="1"/>
  <c r="F377" i="366"/>
  <c r="G377" i="366" s="1"/>
  <c r="F438" i="366"/>
  <c r="G438" i="366" s="1"/>
  <c r="F740" i="366"/>
  <c r="G740" i="366" s="1"/>
  <c r="F930" i="366"/>
  <c r="G930" i="366" s="1"/>
  <c r="F551" i="366"/>
  <c r="G551" i="366" s="1"/>
  <c r="F147" i="366"/>
  <c r="G147" i="366" s="1"/>
  <c r="F607" i="366"/>
  <c r="G607" i="366" s="1"/>
  <c r="F511" i="366"/>
  <c r="G511" i="366" s="1"/>
  <c r="F724" i="366"/>
  <c r="G724" i="366" s="1"/>
  <c r="F221" i="366"/>
  <c r="G221" i="366" s="1"/>
  <c r="F77" i="366"/>
  <c r="G77" i="366" s="1"/>
  <c r="F413" i="366"/>
  <c r="G413" i="366" s="1"/>
  <c r="F891" i="366"/>
  <c r="G891" i="366" s="1"/>
  <c r="F395" i="366"/>
  <c r="G395" i="366" s="1"/>
  <c r="F752" i="366"/>
  <c r="G752" i="366" s="1"/>
  <c r="F604" i="366"/>
  <c r="G604" i="366" s="1"/>
  <c r="F963" i="366"/>
  <c r="G963" i="366" s="1"/>
  <c r="F150" i="366"/>
  <c r="G150" i="366" s="1"/>
  <c r="F337" i="366"/>
  <c r="G337" i="366" s="1"/>
  <c r="F455" i="366"/>
  <c r="G455" i="366" s="1"/>
  <c r="F674" i="366"/>
  <c r="G674" i="366" s="1"/>
  <c r="F128" i="366"/>
  <c r="G128" i="366" s="1"/>
  <c r="F370" i="366"/>
  <c r="G370" i="366" s="1"/>
  <c r="F703" i="366"/>
  <c r="G703" i="366" s="1"/>
  <c r="F901" i="366"/>
  <c r="G901" i="366" s="1"/>
  <c r="F814" i="366"/>
  <c r="G814" i="366" s="1"/>
  <c r="F365" i="366"/>
  <c r="G365" i="366" s="1"/>
  <c r="F646" i="366"/>
  <c r="G646" i="366" s="1"/>
  <c r="F599" i="366"/>
  <c r="G599" i="366" s="1"/>
  <c r="F404" i="366"/>
  <c r="G404" i="366" s="1"/>
  <c r="F837" i="366"/>
  <c r="G837" i="366" s="1"/>
  <c r="F557" i="366"/>
  <c r="G557" i="366" s="1"/>
  <c r="F418" i="366"/>
  <c r="G418" i="366" s="1"/>
  <c r="F239" i="366"/>
  <c r="G239" i="366" s="1"/>
  <c r="F95" i="366"/>
  <c r="G95" i="366" s="1"/>
  <c r="F315" i="366"/>
  <c r="G315" i="366" s="1"/>
  <c r="F474" i="366"/>
  <c r="G474" i="366" s="1"/>
  <c r="F683" i="366"/>
  <c r="G683" i="366" s="1"/>
  <c r="F163" i="366"/>
  <c r="G163" i="366" s="1"/>
  <c r="F777" i="366"/>
  <c r="G777" i="366" s="1"/>
  <c r="F628" i="366"/>
  <c r="G628" i="366" s="1"/>
  <c r="F995" i="366"/>
  <c r="G995" i="366" s="1"/>
  <c r="F974" i="366"/>
  <c r="G974" i="366" s="1"/>
  <c r="F754" i="366"/>
  <c r="G754" i="366" s="1"/>
  <c r="F762" i="366"/>
  <c r="G762" i="366" s="1"/>
  <c r="F784" i="366"/>
  <c r="G784" i="366" s="1"/>
  <c r="F862" i="366"/>
  <c r="G862" i="366" s="1"/>
  <c r="F755" i="366"/>
  <c r="G755" i="366" s="1"/>
  <c r="F538" i="366"/>
  <c r="G538" i="366" s="1"/>
  <c r="F676" i="366"/>
  <c r="G676" i="366" s="1"/>
  <c r="F1003" i="366"/>
  <c r="G1003" i="366" s="1"/>
  <c r="F267" i="366"/>
  <c r="G267" i="366" s="1"/>
  <c r="F707" i="366"/>
  <c r="G707" i="366" s="1"/>
  <c r="F692" i="366"/>
  <c r="G692" i="366" s="1"/>
  <c r="F559" i="366"/>
  <c r="G559" i="366" s="1"/>
  <c r="F733" i="366"/>
  <c r="G733" i="366" s="1"/>
  <c r="F1019" i="366"/>
  <c r="G1019" i="366" s="1"/>
  <c r="F167" i="366"/>
  <c r="G167" i="366" s="1"/>
  <c r="F669" i="366"/>
  <c r="G669" i="366" s="1"/>
  <c r="F176" i="366"/>
  <c r="G176" i="366" s="1"/>
  <c r="F276" i="366"/>
  <c r="G276" i="366" s="1"/>
  <c r="F596" i="366"/>
  <c r="G596" i="366" s="1"/>
  <c r="F906" i="366"/>
  <c r="G906" i="366" s="1"/>
  <c r="F34" i="366"/>
  <c r="G34" i="366" s="1"/>
  <c r="F600" i="366"/>
  <c r="G600" i="366" s="1"/>
  <c r="F954" i="366"/>
  <c r="G954" i="366" s="1"/>
  <c r="F571" i="366"/>
  <c r="G571" i="366" s="1"/>
  <c r="F103" i="366"/>
  <c r="G103" i="366" s="1"/>
  <c r="F975" i="366"/>
  <c r="G975" i="366" s="1"/>
  <c r="F720" i="366"/>
  <c r="G720" i="366" s="1"/>
  <c r="F507" i="366"/>
  <c r="G507" i="366" s="1"/>
  <c r="F641" i="366"/>
  <c r="G641" i="366" s="1"/>
  <c r="F156" i="366"/>
  <c r="G156" i="366" s="1"/>
  <c r="F182" i="366"/>
  <c r="G182" i="366" s="1"/>
  <c r="F785" i="366"/>
  <c r="G785" i="366" s="1"/>
  <c r="F420" i="366"/>
  <c r="G420" i="366" s="1"/>
  <c r="F931" i="366"/>
  <c r="G931" i="366" s="1"/>
  <c r="F311" i="366"/>
  <c r="G311" i="366" s="1"/>
  <c r="F119" i="366"/>
  <c r="G119" i="366" s="1"/>
  <c r="F687" i="366"/>
  <c r="G687" i="366" s="1"/>
  <c r="F764" i="366"/>
  <c r="G764" i="366" s="1"/>
  <c r="F26" i="366"/>
  <c r="G26" i="366" s="1"/>
  <c r="F379" i="366"/>
  <c r="G379" i="366" s="1"/>
  <c r="F756" i="366"/>
  <c r="G756" i="366" s="1"/>
  <c r="F1013" i="366"/>
  <c r="G1013" i="366" s="1"/>
  <c r="F80" i="366"/>
  <c r="G80" i="366" s="1"/>
  <c r="F729" i="366"/>
  <c r="G729" i="366" s="1"/>
  <c r="F56" i="366"/>
  <c r="G56" i="366" s="1"/>
  <c r="F681" i="366"/>
  <c r="G681" i="366" s="1"/>
  <c r="F870" i="366"/>
  <c r="G870" i="366" s="1"/>
  <c r="F712" i="366"/>
  <c r="G712" i="366" s="1"/>
  <c r="F391" i="366"/>
  <c r="G391" i="366" s="1"/>
  <c r="F454" i="366"/>
  <c r="G454" i="366" s="1"/>
  <c r="F957" i="366"/>
  <c r="G957" i="366" s="1"/>
  <c r="F327" i="366"/>
  <c r="G327" i="366" s="1"/>
  <c r="F654" i="366"/>
  <c r="G654" i="366" s="1"/>
  <c r="F224" i="366"/>
  <c r="G224" i="366" s="1"/>
  <c r="F887" i="366"/>
  <c r="G887" i="366" s="1"/>
  <c r="F234" i="366"/>
  <c r="G234" i="366" s="1"/>
  <c r="F534" i="366"/>
  <c r="G534" i="366" s="1"/>
  <c r="F496" i="366"/>
  <c r="G496" i="366" s="1"/>
  <c r="F860" i="366"/>
  <c r="G860" i="366" s="1"/>
  <c r="F555" i="366"/>
  <c r="G555" i="366" s="1"/>
  <c r="F736" i="366"/>
  <c r="G736" i="366" s="1"/>
  <c r="F393" i="366"/>
  <c r="G393" i="366" s="1"/>
  <c r="F50" i="366"/>
  <c r="G50" i="366" s="1"/>
  <c r="F892" i="366"/>
  <c r="G892" i="366" s="1"/>
  <c r="F913" i="366"/>
  <c r="G913" i="366" s="1"/>
  <c r="F470" i="366"/>
  <c r="G470" i="366" s="1"/>
  <c r="F10" i="366"/>
  <c r="G10" i="366" s="1"/>
  <c r="F58" i="366"/>
  <c r="G58" i="366" s="1"/>
  <c r="F98" i="366"/>
  <c r="G98" i="366" s="1"/>
  <c r="F487" i="366"/>
  <c r="G487" i="366" s="1"/>
  <c r="F609" i="366"/>
  <c r="G609" i="366" s="1"/>
  <c r="F117" i="366"/>
  <c r="G117" i="366" s="1"/>
  <c r="F881" i="366"/>
  <c r="G881" i="366" s="1"/>
  <c r="F533" i="366"/>
  <c r="G533" i="366" s="1"/>
  <c r="F144" i="366"/>
  <c r="G144" i="366" s="1"/>
  <c r="F680" i="366"/>
  <c r="G680" i="366" s="1"/>
  <c r="F833" i="366"/>
  <c r="G833" i="366" s="1"/>
  <c r="F47" i="366"/>
  <c r="G47" i="366" s="1"/>
  <c r="F441" i="366"/>
  <c r="G441" i="366" s="1"/>
  <c r="F12" i="366"/>
  <c r="G12" i="366" s="1"/>
  <c r="F481" i="366"/>
  <c r="G481" i="366" s="1"/>
  <c r="F210" i="366"/>
  <c r="G210" i="366" s="1"/>
  <c r="F953" i="366"/>
  <c r="G953" i="366" s="1"/>
  <c r="F893" i="366"/>
  <c r="G893" i="366" s="1"/>
  <c r="F116" i="366"/>
  <c r="G116" i="366" s="1"/>
  <c r="F757" i="366"/>
  <c r="G757" i="366" s="1"/>
  <c r="F617" i="366"/>
  <c r="G617" i="366" s="1"/>
  <c r="F24" i="366"/>
  <c r="G24" i="366" s="1"/>
  <c r="F955" i="366"/>
  <c r="G955" i="366" s="1"/>
  <c r="F982" i="366"/>
  <c r="G982" i="366" s="1"/>
  <c r="F333" i="366"/>
  <c r="G333" i="366" s="1"/>
  <c r="F564" i="366"/>
  <c r="G564" i="366" s="1"/>
  <c r="F897" i="366"/>
  <c r="G897" i="366" s="1"/>
  <c r="F324" i="366"/>
  <c r="G324" i="366" s="1"/>
  <c r="F656" i="366"/>
  <c r="G656" i="366" s="1"/>
  <c r="F1017" i="366"/>
  <c r="G1017" i="366" s="1"/>
  <c r="F912" i="366"/>
  <c r="G912" i="366" s="1"/>
  <c r="F29" i="366"/>
  <c r="G29" i="366" s="1"/>
  <c r="F397" i="366"/>
  <c r="G397" i="366" s="1"/>
  <c r="F380" i="366"/>
  <c r="G380" i="366" s="1"/>
  <c r="F63" i="366"/>
  <c r="G63" i="366" s="1"/>
  <c r="F374" i="366"/>
  <c r="G374" i="366" s="1"/>
  <c r="F35" i="366"/>
  <c r="G35" i="366" s="1"/>
  <c r="F427" i="366"/>
  <c r="G427" i="366" s="1"/>
  <c r="F771" i="366"/>
  <c r="G771" i="366" s="1"/>
  <c r="F943" i="366"/>
  <c r="G943" i="366" s="1"/>
  <c r="F357" i="366"/>
  <c r="G357" i="366" s="1"/>
  <c r="F279" i="366"/>
  <c r="G279" i="366" s="1"/>
  <c r="F325" i="366"/>
  <c r="G325" i="366" s="1"/>
  <c r="F920" i="366"/>
  <c r="G920" i="366" s="1"/>
  <c r="F27" i="366"/>
  <c r="G27" i="366" s="1"/>
  <c r="F463" i="366"/>
  <c r="G463" i="366" s="1"/>
  <c r="F123" i="366"/>
  <c r="G123" i="366" s="1"/>
  <c r="F91" i="366"/>
  <c r="G91" i="366" s="1"/>
  <c r="F376" i="366"/>
  <c r="G376" i="366" s="1"/>
  <c r="F381" i="366"/>
  <c r="G381" i="366" s="1"/>
  <c r="F677" i="366"/>
  <c r="G677" i="366" s="1"/>
  <c r="F1016" i="366"/>
  <c r="G1016" i="366" s="1"/>
  <c r="F925" i="366"/>
  <c r="G925" i="366" s="1"/>
  <c r="F378" i="366"/>
  <c r="G378" i="366" s="1"/>
  <c r="F41" i="366"/>
  <c r="G41" i="366" s="1"/>
  <c r="F122" i="366"/>
  <c r="G122" i="366" s="1"/>
  <c r="F497" i="366"/>
  <c r="G497" i="366" s="1"/>
  <c r="F623" i="366"/>
  <c r="G623" i="366" s="1"/>
  <c r="F191" i="366"/>
  <c r="G191" i="366" s="1"/>
  <c r="F17" i="366"/>
  <c r="G17" i="366" s="1"/>
  <c r="F268" i="366"/>
  <c r="G268" i="366" s="1"/>
  <c r="F84" i="366"/>
  <c r="G84" i="366" s="1"/>
  <c r="F690" i="366"/>
  <c r="G690" i="366" s="1"/>
  <c r="F984" i="366"/>
  <c r="G984" i="366" s="1"/>
  <c r="F213" i="366"/>
  <c r="G213" i="366" s="1"/>
  <c r="F363" i="366"/>
  <c r="G363" i="366" s="1"/>
  <c r="F903" i="366"/>
  <c r="G903" i="366" s="1"/>
  <c r="F989" i="366"/>
  <c r="G989" i="366" s="1"/>
  <c r="F1007" i="366"/>
  <c r="G1007" i="366" s="1"/>
  <c r="F241" i="366"/>
  <c r="G241" i="366" s="1"/>
  <c r="F295" i="366"/>
  <c r="G295" i="366" s="1"/>
  <c r="F696" i="366"/>
  <c r="G696" i="366" s="1"/>
  <c r="F113" i="366"/>
  <c r="G113" i="366" s="1"/>
  <c r="F933" i="366"/>
  <c r="G933" i="366" s="1"/>
  <c r="F83" i="366"/>
  <c r="G83" i="366" s="1"/>
  <c r="F819" i="366"/>
  <c r="G819" i="366" s="1"/>
  <c r="F479" i="366"/>
  <c r="G479" i="366" s="1"/>
  <c r="F737" i="366"/>
  <c r="G737" i="366" s="1"/>
  <c r="F124" i="366"/>
  <c r="G124" i="366" s="1"/>
  <c r="F822" i="366"/>
  <c r="G822" i="366" s="1"/>
  <c r="F183" i="366"/>
  <c r="G183" i="366" s="1"/>
  <c r="F351" i="366"/>
  <c r="G351" i="366" s="1"/>
  <c r="F512" i="366"/>
  <c r="G512" i="366" s="1"/>
  <c r="F252" i="366"/>
  <c r="G252" i="366" s="1"/>
  <c r="F895" i="366"/>
  <c r="G895" i="366" s="1"/>
  <c r="F135" i="366"/>
  <c r="G135" i="366" s="1"/>
  <c r="F595" i="366"/>
  <c r="G595" i="366" s="1"/>
  <c r="F9" i="366"/>
  <c r="G9" i="366" s="1"/>
  <c r="F947" i="366"/>
  <c r="G947" i="366" s="1"/>
  <c r="F73" i="366"/>
  <c r="G73" i="366" s="1"/>
  <c r="F829" i="366"/>
  <c r="G829" i="366" s="1"/>
  <c r="F262" i="366"/>
  <c r="G262" i="366" s="1"/>
  <c r="F293" i="366"/>
  <c r="G293" i="366" s="1"/>
  <c r="F902" i="366"/>
  <c r="G902" i="366" s="1"/>
  <c r="F554" i="366"/>
  <c r="G554" i="366" s="1"/>
  <c r="F177" i="366"/>
  <c r="G177" i="366" s="1"/>
  <c r="F715" i="366"/>
  <c r="G715" i="366" s="1"/>
  <c r="F530" i="366"/>
  <c r="G530" i="366" s="1"/>
  <c r="F795" i="366"/>
  <c r="G795" i="366" s="1"/>
  <c r="F75" i="366"/>
  <c r="G75" i="366" s="1"/>
  <c r="F857" i="366"/>
  <c r="G857" i="366" s="1"/>
  <c r="F449" i="366"/>
  <c r="G449" i="366" s="1"/>
  <c r="F447" i="366"/>
  <c r="G447" i="366" s="1"/>
  <c r="F591" i="366"/>
  <c r="G591" i="366" s="1"/>
  <c r="F282" i="366"/>
  <c r="G282" i="366" s="1"/>
  <c r="F285" i="366"/>
  <c r="G285" i="366" s="1"/>
  <c r="F502" i="366"/>
  <c r="G502" i="366" s="1"/>
  <c r="F94" i="366"/>
  <c r="G94" i="366" s="1"/>
  <c r="F219" i="366"/>
  <c r="G219" i="366" s="1"/>
  <c r="F162" i="366"/>
  <c r="G162" i="366" s="1"/>
  <c r="F498" i="366"/>
  <c r="G498" i="366" s="1"/>
  <c r="F40" i="366"/>
  <c r="G40" i="366" s="1"/>
  <c r="F475" i="366"/>
  <c r="G475" i="366" s="1"/>
  <c r="F284" i="366"/>
  <c r="G284" i="366" s="1"/>
  <c r="F30" i="366"/>
  <c r="G30" i="366" s="1"/>
  <c r="F821" i="366"/>
  <c r="G821" i="366" s="1"/>
  <c r="F225" i="366"/>
  <c r="G225" i="366" s="1"/>
  <c r="F352" i="366"/>
  <c r="G352" i="366" s="1"/>
  <c r="F294" i="366"/>
  <c r="G294" i="366" s="1"/>
  <c r="F671" i="366"/>
  <c r="G671" i="366" s="1"/>
  <c r="F820" i="366"/>
  <c r="G820" i="366" s="1"/>
  <c r="F194" i="366"/>
  <c r="G194" i="366" s="1"/>
  <c r="F962" i="366"/>
  <c r="G962" i="366" s="1"/>
  <c r="F783" i="366"/>
  <c r="G783" i="366" s="1"/>
  <c r="F926" i="366"/>
  <c r="G926" i="366" s="1"/>
  <c r="F277" i="366"/>
  <c r="G277" i="366" s="1"/>
  <c r="F878" i="366"/>
  <c r="G878" i="366" s="1"/>
  <c r="F389" i="366"/>
  <c r="G389" i="366" s="1"/>
  <c r="F726" i="366"/>
  <c r="G726" i="366" s="1"/>
  <c r="F472" i="366"/>
  <c r="G472" i="366" s="1"/>
  <c r="F734" i="366"/>
  <c r="G734" i="366" s="1"/>
  <c r="F569" i="366"/>
  <c r="G569" i="366" s="1"/>
  <c r="F289" i="366"/>
  <c r="G289" i="366" s="1"/>
  <c r="F832" i="366"/>
  <c r="G832" i="366" s="1"/>
  <c r="F867" i="366"/>
  <c r="G867" i="366" s="1"/>
  <c r="F977" i="366"/>
  <c r="G977" i="366" s="1"/>
  <c r="F536" i="366"/>
  <c r="G536" i="366" s="1"/>
  <c r="F713" i="366"/>
  <c r="G713" i="366" s="1"/>
  <c r="F539" i="366"/>
  <c r="G539" i="366" s="1"/>
  <c r="F684" i="366"/>
  <c r="G684" i="366" s="1"/>
  <c r="F70" i="366"/>
  <c r="G70" i="366" s="1"/>
  <c r="F403" i="366"/>
  <c r="G403" i="366" s="1"/>
  <c r="F610" i="366"/>
  <c r="G610" i="366" s="1"/>
  <c r="F305" i="366"/>
  <c r="G305" i="366" s="1"/>
  <c r="F7" i="366"/>
  <c r="G7" i="366" s="1"/>
  <c r="F491" i="366"/>
  <c r="G491" i="366" s="1"/>
  <c r="F205" i="366"/>
  <c r="G205" i="366" s="1"/>
  <c r="F838" i="366"/>
  <c r="G838" i="366" s="1"/>
  <c r="F506" i="366"/>
  <c r="G506" i="366" s="1"/>
  <c r="F981" i="366"/>
  <c r="G981" i="366" s="1"/>
  <c r="F939" i="366"/>
  <c r="G939" i="366" s="1"/>
  <c r="F471" i="366"/>
  <c r="G471" i="366" s="1"/>
  <c r="F246" i="366"/>
  <c r="G246" i="366" s="1"/>
  <c r="F928" i="366"/>
  <c r="G928" i="366" s="1"/>
  <c r="F369" i="366"/>
  <c r="G369" i="366" s="1"/>
  <c r="F93" i="366"/>
  <c r="G93" i="366" s="1"/>
  <c r="F256" i="366"/>
  <c r="G256" i="366" s="1"/>
  <c r="F44" i="366"/>
  <c r="G44" i="366" s="1"/>
  <c r="F880" i="366"/>
  <c r="G880" i="366" s="1"/>
  <c r="F71" i="366"/>
  <c r="G71" i="366" s="1"/>
  <c r="F524" i="366"/>
  <c r="G524" i="366" s="1"/>
  <c r="F1014" i="366"/>
  <c r="G1014" i="366" s="1"/>
  <c r="F779" i="366"/>
  <c r="G779" i="366" s="1"/>
  <c r="F929" i="366"/>
  <c r="G929" i="366" s="1"/>
  <c r="F296" i="366"/>
  <c r="G296" i="366" s="1"/>
  <c r="F580" i="366"/>
  <c r="G580" i="366" s="1"/>
  <c r="F851" i="366"/>
  <c r="G851" i="366" s="1"/>
  <c r="F718" i="366"/>
  <c r="G718" i="366" s="1"/>
  <c r="F64" i="366"/>
  <c r="G64" i="366" s="1"/>
  <c r="F869" i="366"/>
  <c r="G869" i="366" s="1"/>
  <c r="F545" i="366"/>
  <c r="G545" i="366" s="1"/>
  <c r="F899" i="366"/>
  <c r="G899" i="366" s="1"/>
  <c r="F678" i="366"/>
  <c r="G678" i="366" s="1"/>
  <c r="F79" i="366"/>
  <c r="G79" i="366" s="1"/>
  <c r="F861" i="366"/>
  <c r="G861" i="366" s="1"/>
  <c r="F503" i="366"/>
  <c r="G503" i="366" s="1"/>
  <c r="F661" i="366"/>
  <c r="G661" i="366" s="1"/>
  <c r="F254" i="366"/>
  <c r="G254" i="366" s="1"/>
  <c r="F500" i="366"/>
  <c r="G500" i="366" s="1"/>
  <c r="F154" i="366"/>
  <c r="G154" i="366" s="1"/>
  <c r="F339" i="366"/>
  <c r="G339" i="366" s="1"/>
  <c r="F387" i="366"/>
  <c r="G387" i="366" s="1"/>
  <c r="F72" i="366"/>
  <c r="G72" i="366" s="1"/>
  <c r="F227" i="366"/>
  <c r="G227" i="366" s="1"/>
  <c r="F264" i="366"/>
  <c r="G264" i="366" s="1"/>
  <c r="F424" i="366"/>
  <c r="G424" i="366" s="1"/>
  <c r="F658" i="366"/>
  <c r="G658" i="366" s="1"/>
  <c r="F848" i="366"/>
  <c r="G848" i="366" s="1"/>
  <c r="F701" i="366"/>
  <c r="G701" i="366" s="1"/>
  <c r="F619" i="366"/>
  <c r="G619" i="366" s="1"/>
  <c r="F614" i="366"/>
  <c r="G614" i="366" s="1"/>
  <c r="F460" i="366"/>
  <c r="G460" i="366" s="1"/>
  <c r="F706" i="366"/>
  <c r="G706" i="366" s="1"/>
  <c r="F969" i="366"/>
  <c r="G969" i="366" s="1"/>
  <c r="F190" i="366"/>
  <c r="G190" i="366" s="1"/>
  <c r="F208" i="366"/>
  <c r="G208" i="366" s="1"/>
  <c r="F287" i="366"/>
  <c r="G287" i="366" s="1"/>
  <c r="F186" i="366"/>
  <c r="G186" i="366" s="1"/>
  <c r="F265" i="366"/>
  <c r="G265" i="366" s="1"/>
  <c r="F644" i="366"/>
  <c r="G644" i="366" s="1"/>
  <c r="F778" i="366"/>
  <c r="G778" i="366" s="1"/>
  <c r="F727" i="366"/>
  <c r="G727" i="366" s="1"/>
  <c r="F828" i="366"/>
  <c r="G828" i="366" s="1"/>
  <c r="F188" i="366"/>
  <c r="G188" i="366" s="1"/>
  <c r="F258" i="366"/>
  <c r="G258" i="366" s="1"/>
  <c r="F149" i="366"/>
  <c r="G149" i="366" s="1"/>
  <c r="F139" i="366"/>
  <c r="G139" i="366" s="1"/>
  <c r="F968" i="366"/>
  <c r="G968" i="366" s="1"/>
  <c r="F349" i="366"/>
  <c r="G349" i="366" s="1"/>
  <c r="F456" i="366"/>
  <c r="G456" i="366" s="1"/>
  <c r="F603" i="366"/>
  <c r="G603" i="366" s="1"/>
  <c r="F201" i="366"/>
  <c r="G201" i="366" s="1"/>
  <c r="F745" i="366"/>
  <c r="G745" i="366" s="1"/>
  <c r="F558" i="366"/>
  <c r="G558" i="366" s="1"/>
  <c r="F532" i="366"/>
  <c r="G532" i="366" s="1"/>
  <c r="F864" i="366"/>
  <c r="G864" i="366" s="1"/>
  <c r="F309" i="366"/>
  <c r="G309" i="366" s="1"/>
  <c r="F242" i="366"/>
  <c r="G242" i="366" s="1"/>
  <c r="F789" i="366"/>
  <c r="G789" i="366" s="1"/>
  <c r="F412" i="366"/>
  <c r="G412" i="366" s="1"/>
  <c r="F1015" i="366"/>
  <c r="G1015" i="366" s="1"/>
  <c r="F526" i="366"/>
  <c r="G526" i="366" s="1"/>
  <c r="F697" i="366"/>
  <c r="G697" i="366" s="1"/>
  <c r="F516" i="366"/>
  <c r="G516" i="366" s="1"/>
  <c r="F1011" i="366"/>
  <c r="G1011" i="366" s="1"/>
  <c r="F746" i="366"/>
  <c r="G746" i="366" s="1"/>
  <c r="F699" i="366"/>
  <c r="G699" i="366" s="1"/>
  <c r="F547" i="366"/>
  <c r="G547" i="366" s="1"/>
  <c r="F148" i="366"/>
  <c r="G148" i="366" s="1"/>
  <c r="F597" i="366"/>
  <c r="G597" i="366" s="1"/>
  <c r="F259" i="366"/>
  <c r="G259" i="366" s="1"/>
  <c r="F918" i="366"/>
  <c r="G918" i="366" s="1"/>
  <c r="F831" i="366"/>
  <c r="G831" i="366" s="1"/>
  <c r="F138" i="366"/>
  <c r="G138" i="366" s="1"/>
  <c r="F414" i="366"/>
  <c r="G414" i="366" s="1"/>
  <c r="F679" i="366"/>
  <c r="G679" i="366" s="1"/>
  <c r="F11" i="366"/>
  <c r="G11" i="366" s="1"/>
  <c r="F355" i="366"/>
  <c r="G355" i="366" s="1"/>
  <c r="F488" i="366"/>
  <c r="G488" i="366" s="1"/>
  <c r="F518" i="366"/>
  <c r="G518" i="366" s="1"/>
  <c r="F972" i="366"/>
  <c r="G972" i="366" s="1"/>
  <c r="F835" i="366"/>
  <c r="G835" i="366" s="1"/>
  <c r="F161" i="366"/>
  <c r="G161" i="366" s="1"/>
  <c r="F272" i="366"/>
  <c r="G272" i="366" s="1"/>
  <c r="F695" i="366"/>
  <c r="G695" i="366" s="1"/>
  <c r="F573" i="366"/>
  <c r="G573" i="366" s="1"/>
  <c r="F882" i="366"/>
  <c r="G882" i="366" s="1"/>
  <c r="F827" i="366"/>
  <c r="G827" i="366" s="1"/>
  <c r="F664" i="366"/>
  <c r="G664" i="366" s="1"/>
  <c r="F528" i="366"/>
  <c r="G528" i="366" s="1"/>
  <c r="F421" i="366"/>
  <c r="G421" i="366" s="1"/>
  <c r="F423" i="366"/>
  <c r="G423" i="366" s="1"/>
  <c r="F611" i="366"/>
  <c r="G611" i="366" s="1"/>
  <c r="F550" i="366"/>
  <c r="G550" i="366" s="1"/>
  <c r="F192" i="366"/>
  <c r="G192" i="366" s="1"/>
  <c r="F290" i="366"/>
  <c r="G290" i="366" s="1"/>
  <c r="F145" i="366"/>
  <c r="G145" i="366" s="1"/>
  <c r="F368" i="366"/>
  <c r="G368" i="366" s="1"/>
  <c r="F419" i="366"/>
  <c r="G419" i="366" s="1"/>
  <c r="F65" i="366"/>
  <c r="G65" i="366" s="1"/>
  <c r="F616" i="366"/>
  <c r="G616" i="366" s="1"/>
  <c r="F126" i="366"/>
  <c r="G126" i="366" s="1"/>
  <c r="F994" i="366"/>
  <c r="G994" i="366" s="1"/>
  <c r="F593" i="366"/>
  <c r="G593" i="366" s="1"/>
  <c r="F299" i="366"/>
  <c r="G299" i="366" s="1"/>
  <c r="F237" i="366"/>
  <c r="G237" i="366" s="1"/>
  <c r="F708" i="366"/>
  <c r="G708" i="366" s="1"/>
  <c r="F637" i="366"/>
  <c r="G637" i="366" s="1"/>
  <c r="F937" i="366"/>
  <c r="G937" i="366" s="1"/>
  <c r="F517" i="366"/>
  <c r="G517" i="366" s="1"/>
  <c r="F773" i="366"/>
  <c r="G773" i="366" s="1"/>
  <c r="F501" i="366"/>
  <c r="G501" i="366" s="1"/>
  <c r="F651" i="366"/>
  <c r="G651" i="366" s="1"/>
  <c r="F405" i="366"/>
  <c r="G405" i="366" s="1"/>
  <c r="F96" i="366"/>
  <c r="G96" i="366" s="1"/>
  <c r="F541" i="366"/>
  <c r="G541" i="366" s="1"/>
  <c r="F970" i="366"/>
  <c r="G970" i="366" s="1"/>
  <c r="F1000" i="366"/>
  <c r="G1000" i="366" s="1"/>
  <c r="F329" i="366"/>
  <c r="G329" i="366" s="1"/>
  <c r="F155" i="366"/>
  <c r="G155" i="366" s="1"/>
  <c r="F889" i="366"/>
  <c r="G889" i="366" s="1"/>
  <c r="F184" i="366"/>
  <c r="G184" i="366" s="1"/>
  <c r="F372" i="366"/>
  <c r="G372" i="366" s="1"/>
  <c r="F879" i="366"/>
  <c r="G879" i="366" s="1"/>
  <c r="F983" i="366"/>
  <c r="G983" i="366" s="1"/>
  <c r="F235" i="366"/>
  <c r="G235" i="366" s="1"/>
  <c r="F109" i="366"/>
  <c r="G109" i="366" s="1"/>
  <c r="F620" i="366"/>
  <c r="G620" i="366" s="1"/>
  <c r="F537" i="366"/>
  <c r="G537" i="366" s="1"/>
  <c r="F574" i="366"/>
  <c r="G574" i="366" s="1"/>
  <c r="F552" i="366"/>
  <c r="G552" i="366" s="1"/>
  <c r="F632" i="366"/>
  <c r="G632" i="366" s="1"/>
  <c r="F766" i="366"/>
  <c r="G766" i="366" s="1"/>
  <c r="F510" i="366"/>
  <c r="G510" i="366" s="1"/>
  <c r="F106" i="366"/>
  <c r="G106" i="366" s="1"/>
  <c r="F152" i="366"/>
  <c r="G152" i="366" s="1"/>
  <c r="F841" i="366"/>
  <c r="G841" i="366" s="1"/>
  <c r="F140" i="366"/>
  <c r="G140" i="366" s="1"/>
  <c r="F350" i="366"/>
  <c r="G350" i="366" s="1"/>
  <c r="F904" i="366"/>
  <c r="G904" i="366" s="1"/>
  <c r="F331" i="366"/>
  <c r="G331" i="366" s="1"/>
  <c r="F572" i="366"/>
  <c r="G572" i="366" s="1"/>
  <c r="F469" i="366"/>
  <c r="G469" i="366" s="1"/>
  <c r="F228" i="366"/>
  <c r="G228" i="366" s="1"/>
  <c r="F68" i="366"/>
  <c r="G68" i="366" s="1"/>
  <c r="F908" i="366"/>
  <c r="G908" i="366" s="1"/>
  <c r="F343" i="366"/>
  <c r="G343" i="366" s="1"/>
  <c r="F410" i="366"/>
  <c r="G410" i="366" s="1"/>
  <c r="F55" i="366"/>
  <c r="G55" i="366" s="1"/>
  <c r="F134" i="366"/>
  <c r="G134" i="366" s="1"/>
  <c r="F645" i="366"/>
  <c r="G645" i="366" s="1"/>
  <c r="F202" i="366"/>
  <c r="G202" i="366" s="1"/>
  <c r="F21" i="366"/>
  <c r="G21" i="366" s="1"/>
  <c r="F753" i="366"/>
  <c r="G753" i="366" s="1"/>
  <c r="F811" i="366"/>
  <c r="G811" i="366" s="1"/>
  <c r="F473" i="366"/>
  <c r="G473" i="366" s="1"/>
  <c r="F625" i="366"/>
  <c r="G625" i="366" s="1"/>
  <c r="F577" i="366"/>
  <c r="G577" i="366" s="1"/>
  <c r="F136" i="366"/>
  <c r="G136" i="366" s="1"/>
  <c r="F980" i="366"/>
  <c r="G980" i="366" s="1"/>
  <c r="F129" i="366"/>
  <c r="G129" i="366" s="1"/>
  <c r="F642" i="366"/>
  <c r="G642" i="366" s="1"/>
  <c r="F605" i="366"/>
  <c r="G605" i="366" s="1"/>
  <c r="F356" i="366"/>
  <c r="G356" i="366" s="1"/>
  <c r="F8" i="366"/>
  <c r="G8" i="366" s="1"/>
  <c r="F484" i="366"/>
  <c r="G484" i="366" s="1"/>
  <c r="F668" i="366"/>
  <c r="G668" i="366" s="1"/>
  <c r="F542" i="366"/>
  <c r="G542" i="366" s="1"/>
  <c r="F388" i="366"/>
  <c r="G388" i="366" s="1"/>
  <c r="F749" i="366"/>
  <c r="G749" i="366" s="1"/>
  <c r="F730" i="366"/>
  <c r="G730" i="366" s="1"/>
  <c r="F316" i="366"/>
  <c r="G316" i="366" s="1"/>
  <c r="F560" i="366"/>
  <c r="G560" i="366" s="1"/>
  <c r="F86" i="366"/>
  <c r="G86" i="366" s="1"/>
  <c r="F493" i="366"/>
  <c r="G493" i="366" s="1"/>
  <c r="F615" i="366"/>
  <c r="G615" i="366" s="1"/>
  <c r="F4" i="366"/>
  <c r="F181" i="366"/>
  <c r="G181" i="366" s="1"/>
  <c r="F141" i="366"/>
  <c r="G141" i="366" s="1"/>
  <c r="F888" i="366"/>
  <c r="G888" i="366" s="1"/>
  <c r="F946" i="366"/>
  <c r="G946" i="366" s="1"/>
  <c r="F581" i="366"/>
  <c r="G581" i="366" s="1"/>
  <c r="F803" i="366"/>
  <c r="G803" i="366" s="1"/>
  <c r="F505" i="366"/>
  <c r="G505" i="366" s="1"/>
  <c r="F209" i="366"/>
  <c r="G209" i="366" s="1"/>
  <c r="F280" i="366"/>
  <c r="G280" i="366" s="1"/>
  <c r="F553" i="366"/>
  <c r="G553" i="366" s="1"/>
  <c r="F790" i="366"/>
  <c r="G790" i="366" s="1"/>
  <c r="F515" i="366"/>
  <c r="G515" i="366" s="1"/>
  <c r="F927" i="366"/>
  <c r="G927" i="366" s="1"/>
  <c r="F226" i="366"/>
  <c r="G226" i="366" s="1"/>
  <c r="F461" i="366"/>
  <c r="G461" i="366" s="1"/>
  <c r="F169" i="366"/>
  <c r="G169" i="366" s="1"/>
  <c r="F548" i="366"/>
  <c r="G548" i="366" s="1"/>
  <c r="F997" i="366"/>
  <c r="G997" i="366" s="1"/>
  <c r="F815" i="366"/>
  <c r="G815" i="366" s="1"/>
  <c r="F586" i="366"/>
  <c r="G586" i="366" s="1"/>
  <c r="F950" i="366"/>
  <c r="G950" i="366" s="1"/>
  <c r="F446" i="366"/>
  <c r="G446" i="366" s="1"/>
  <c r="F601" i="366"/>
  <c r="G601" i="366" s="1"/>
  <c r="F158" i="366"/>
  <c r="G158" i="366" s="1"/>
  <c r="F367" i="366"/>
  <c r="G367" i="366" s="1"/>
  <c r="F59" i="366"/>
  <c r="G59" i="366" s="1"/>
  <c r="F543" i="366"/>
  <c r="G543" i="366" s="1"/>
  <c r="F244" i="366"/>
  <c r="G244" i="366" s="1"/>
  <c r="F153" i="366"/>
  <c r="G153" i="366" s="1"/>
  <c r="F398" i="366"/>
  <c r="G398" i="366" s="1"/>
  <c r="F575" i="366"/>
  <c r="G575" i="366" s="1"/>
  <c r="F588" i="366"/>
  <c r="G588" i="366" s="1"/>
  <c r="F672" i="366"/>
  <c r="G672" i="366" s="1"/>
  <c r="F698" i="366"/>
  <c r="G698" i="366" s="1"/>
  <c r="F744" i="366"/>
  <c r="G744" i="366" s="1"/>
  <c r="F786" i="366"/>
  <c r="G786" i="366" s="1"/>
  <c r="F798" i="366"/>
  <c r="G798" i="366" s="1"/>
  <c r="F618" i="366"/>
  <c r="G618" i="366" s="1"/>
  <c r="F657" i="366"/>
  <c r="G657" i="366" s="1"/>
  <c r="F46" i="366"/>
  <c r="G46" i="366" s="1"/>
  <c r="F5" i="366"/>
  <c r="G5" i="366" s="1"/>
  <c r="F99" i="366"/>
  <c r="G99" i="366" s="1"/>
  <c r="F347" i="366"/>
  <c r="G347" i="366" s="1"/>
  <c r="F323" i="366"/>
  <c r="G323" i="366" s="1"/>
  <c r="F582" i="366"/>
  <c r="G582" i="366" s="1"/>
  <c r="F852" i="366"/>
  <c r="G852" i="366" s="1"/>
  <c r="F444" i="366"/>
  <c r="G444" i="366" s="1"/>
  <c r="F443" i="366"/>
  <c r="G443" i="366" s="1"/>
  <c r="F229" i="366"/>
  <c r="G229" i="366" s="1"/>
  <c r="F584" i="366"/>
  <c r="G584" i="366" s="1"/>
  <c r="F1010" i="366"/>
  <c r="G1010" i="366" s="1"/>
  <c r="F61" i="366"/>
  <c r="G61" i="366" s="1"/>
  <c r="F873" i="366"/>
  <c r="G873" i="366" s="1"/>
  <c r="F353" i="366"/>
  <c r="G353" i="366" s="1"/>
  <c r="F793" i="366"/>
  <c r="G793" i="366" s="1"/>
  <c r="F359" i="366"/>
  <c r="G359" i="366" s="1"/>
  <c r="F960" i="366"/>
  <c r="G960" i="366" s="1"/>
  <c r="F856" i="366"/>
  <c r="G856" i="366" s="1"/>
  <c r="F566" i="366"/>
  <c r="G566" i="366" s="1"/>
  <c r="F42" i="366"/>
  <c r="G42" i="366" s="1"/>
  <c r="F896" i="366"/>
  <c r="G896" i="366" s="1"/>
  <c r="F556" i="366"/>
  <c r="G556" i="366" s="1"/>
  <c r="F48" i="366"/>
  <c r="G48" i="366" s="1"/>
  <c r="F33" i="366"/>
  <c r="G33" i="366" s="1"/>
  <c r="F458" i="366"/>
  <c r="G458" i="366" s="1"/>
  <c r="F935" i="366"/>
  <c r="G935" i="366" s="1"/>
  <c r="F952" i="366"/>
  <c r="G952" i="366" s="1"/>
  <c r="F157" i="366"/>
  <c r="G157" i="366" s="1"/>
  <c r="F448" i="366"/>
  <c r="G448" i="366" s="1"/>
  <c r="F464" i="366"/>
  <c r="G464" i="366" s="1"/>
  <c r="F522" i="366"/>
  <c r="G522" i="366" s="1"/>
  <c r="F466" i="366"/>
  <c r="G466" i="366" s="1"/>
  <c r="F273" i="366"/>
  <c r="G273" i="366" s="1"/>
  <c r="F865" i="366"/>
  <c r="G865" i="366" s="1"/>
  <c r="F200" i="366"/>
  <c r="G200" i="366" s="1"/>
  <c r="F354" i="366"/>
  <c r="G354" i="366" s="1"/>
  <c r="F401" i="366"/>
  <c r="G401" i="366" s="1"/>
  <c r="F774" i="366"/>
  <c r="G774" i="366" s="1"/>
  <c r="F358" i="366"/>
  <c r="G358" i="366" s="1"/>
  <c r="F222" i="366"/>
  <c r="G222" i="366" s="1"/>
  <c r="F863" i="366"/>
  <c r="G863" i="366" s="1"/>
  <c r="F942" i="366"/>
  <c r="G942" i="366" s="1"/>
  <c r="F847" i="366"/>
  <c r="G847" i="366" s="1"/>
  <c r="F1018" i="366"/>
  <c r="G1018" i="366" s="1"/>
  <c r="F115" i="366"/>
  <c r="G115" i="366" s="1"/>
  <c r="F307" i="366"/>
  <c r="G307" i="366" s="1"/>
  <c r="F602" i="366"/>
  <c r="G602" i="366" s="1"/>
  <c r="F269" i="366"/>
  <c r="G269" i="366" s="1"/>
  <c r="F492" i="366"/>
  <c r="G492" i="366" s="1"/>
  <c r="F121" i="366"/>
  <c r="G121" i="366" s="1"/>
  <c r="F321" i="366"/>
  <c r="G321" i="366" s="1"/>
  <c r="F407" i="366"/>
  <c r="G407" i="366" s="1"/>
  <c r="F453" i="366"/>
  <c r="G453" i="366" s="1"/>
  <c r="F382" i="366"/>
  <c r="G382" i="366" s="1"/>
  <c r="F682" i="366"/>
  <c r="G682" i="366" s="1"/>
  <c r="F408" i="366"/>
  <c r="G408" i="366" s="1"/>
  <c r="F489" i="366"/>
  <c r="G489" i="366" s="1"/>
  <c r="F214" i="366"/>
  <c r="G214" i="366" s="1"/>
  <c r="F725" i="366"/>
  <c r="G725" i="366" s="1"/>
  <c r="F125" i="366"/>
  <c r="G125" i="366" s="1"/>
  <c r="F400" i="366"/>
  <c r="G400" i="366" s="1"/>
  <c r="F402" i="366"/>
  <c r="G402" i="366" s="1"/>
  <c r="F868" i="366"/>
  <c r="G868" i="366" s="1"/>
  <c r="F312" i="366"/>
  <c r="G312" i="366" s="1"/>
  <c r="F956" i="366"/>
  <c r="G956" i="366" s="1"/>
  <c r="F643" i="366"/>
  <c r="G643" i="366" s="1"/>
  <c r="F794" i="366"/>
  <c r="G794" i="366" s="1"/>
  <c r="F195" i="366"/>
  <c r="G195" i="366" s="1"/>
  <c r="F15" i="366"/>
  <c r="G15" i="366" s="1"/>
  <c r="F813" i="366"/>
  <c r="G813" i="366" s="1"/>
  <c r="F18" i="366"/>
  <c r="G18" i="366" s="1"/>
  <c r="F655" i="366"/>
  <c r="G655" i="366" s="1"/>
  <c r="F417" i="366"/>
  <c r="G417" i="366" s="1"/>
  <c r="F394" i="366"/>
  <c r="G394" i="366" s="1"/>
  <c r="F107" i="366"/>
  <c r="G107" i="366" s="1"/>
  <c r="F281" i="366"/>
  <c r="G281" i="366" s="1"/>
  <c r="F261" i="366"/>
  <c r="G261" i="366" s="1"/>
  <c r="F338" i="366"/>
  <c r="G338" i="366" s="1"/>
  <c r="F300" i="366"/>
  <c r="G300" i="366" s="1"/>
  <c r="F494" i="366"/>
  <c r="G494" i="366" s="1"/>
  <c r="F978" i="366"/>
  <c r="G978" i="366" s="1"/>
  <c r="F243" i="366"/>
  <c r="G243" i="366" s="1"/>
  <c r="F51" i="366"/>
  <c r="G51" i="366" s="1"/>
  <c r="F433" i="366"/>
  <c r="G433" i="366" s="1"/>
  <c r="F1009" i="366"/>
  <c r="G1009" i="366" s="1"/>
  <c r="F949" i="366"/>
  <c r="G949" i="366" s="1"/>
  <c r="F549" i="366"/>
  <c r="G549" i="366" s="1"/>
  <c r="F303" i="366"/>
  <c r="G303" i="366" s="1"/>
  <c r="F514" i="366"/>
  <c r="G514" i="366" s="1"/>
  <c r="F665" i="366"/>
  <c r="G665" i="366" s="1"/>
  <c r="F750" i="366"/>
  <c r="G750" i="366" s="1"/>
  <c r="F973" i="366"/>
  <c r="G973" i="366" s="1"/>
  <c r="F966" i="366"/>
  <c r="G966" i="366" s="1"/>
  <c r="F885" i="366"/>
  <c r="G885" i="366" s="1"/>
  <c r="F411" i="366"/>
  <c r="G411" i="366" s="1"/>
  <c r="F288" i="366"/>
  <c r="G288" i="366" s="1"/>
  <c r="F485" i="366"/>
  <c r="G485" i="366" s="1"/>
  <c r="F218" i="366"/>
  <c r="G218" i="366" s="1"/>
  <c r="F877" i="366"/>
  <c r="G877" i="366" s="1"/>
  <c r="F685" i="366"/>
  <c r="G685" i="366" s="1"/>
  <c r="F450" i="366"/>
  <c r="G450" i="366" s="1"/>
  <c r="F800" i="366"/>
  <c r="G800" i="366" s="1"/>
  <c r="F938" i="366"/>
  <c r="G938" i="366" s="1"/>
  <c r="F594" i="366"/>
  <c r="G594" i="366" s="1"/>
  <c r="F792" i="366"/>
  <c r="G792" i="366" s="1"/>
  <c r="F659" i="366"/>
  <c r="G659" i="366" s="1"/>
  <c r="F579" i="366"/>
  <c r="G579" i="366" s="1"/>
  <c r="F711" i="366"/>
  <c r="G711" i="366" s="1"/>
  <c r="F826" i="366"/>
  <c r="G826" i="366" s="1"/>
  <c r="F175" i="366"/>
  <c r="G175" i="366" s="1"/>
  <c r="C83" i="393" l="1"/>
  <c r="I71" i="389"/>
  <c r="I72" i="389" s="1"/>
  <c r="I73" i="389" s="1"/>
  <c r="I74" i="389" s="1"/>
  <c r="I75" i="389" s="1"/>
  <c r="E90" i="389"/>
  <c r="E92" i="389" s="1"/>
  <c r="E93" i="389" s="1"/>
  <c r="E95" i="389" s="1"/>
  <c r="C81" i="393"/>
  <c r="C88" i="393" s="1"/>
  <c r="N52" i="268" s="1"/>
  <c r="O41" i="389"/>
  <c r="O42" i="389" s="1"/>
  <c r="C76" i="393"/>
  <c r="F54" i="280"/>
  <c r="F75" i="280" s="1"/>
  <c r="F89" i="280" s="1"/>
  <c r="E37" i="393"/>
  <c r="W40" i="389" s="1"/>
  <c r="F54" i="268"/>
  <c r="I54" i="268" s="1"/>
  <c r="I53" i="268"/>
  <c r="F30" i="393"/>
  <c r="AA39" i="389" s="1"/>
  <c r="E30" i="393"/>
  <c r="S39" i="389" s="1"/>
  <c r="F37" i="393"/>
  <c r="AE40" i="352" s="1"/>
  <c r="C141" i="388"/>
  <c r="C102" i="388" s="1"/>
  <c r="C103" i="388"/>
  <c r="E38" i="393"/>
  <c r="E43" i="393" s="1"/>
  <c r="E19" i="350"/>
  <c r="O73" i="168"/>
  <c r="C133" i="291" s="1"/>
  <c r="F38" i="393"/>
  <c r="F43" i="393" s="1"/>
  <c r="F35" i="393"/>
  <c r="F42" i="393" s="1"/>
  <c r="I52" i="268"/>
  <c r="E35" i="393"/>
  <c r="E42" i="393" s="1"/>
  <c r="H54" i="280"/>
  <c r="D23" i="286" s="1"/>
  <c r="AJ32" i="393"/>
  <c r="AJ29" i="393"/>
  <c r="AJ33" i="393" s="1"/>
  <c r="AJ31" i="393"/>
  <c r="AK71" i="393"/>
  <c r="Y79" i="60"/>
  <c r="D22" i="286"/>
  <c r="C16" i="108" s="1"/>
  <c r="D64" i="109" s="1"/>
  <c r="K44" i="388"/>
  <c r="K45" i="388" s="1"/>
  <c r="K44" i="352"/>
  <c r="K45" i="352" s="1"/>
  <c r="DT45" i="168"/>
  <c r="DT47" i="168" s="1"/>
  <c r="DR47" i="168"/>
  <c r="K95" i="388"/>
  <c r="K96" i="388" s="1"/>
  <c r="C45" i="291"/>
  <c r="K76" i="168"/>
  <c r="K44" i="168"/>
  <c r="K45" i="168" s="1"/>
  <c r="BQ127" i="388"/>
  <c r="BQ44" i="388"/>
  <c r="DT44" i="168"/>
  <c r="DL45" i="168"/>
  <c r="DL47" i="168" s="1"/>
  <c r="DJ47" i="168"/>
  <c r="BQ45" i="388"/>
  <c r="BQ47" i="388" s="1"/>
  <c r="BO47" i="388"/>
  <c r="K75" i="388"/>
  <c r="K76" i="388" s="1"/>
  <c r="K44" i="389"/>
  <c r="K45" i="389" s="1"/>
  <c r="DL44" i="168"/>
  <c r="K95" i="168"/>
  <c r="K96" i="168" s="1"/>
  <c r="DD45" i="168"/>
  <c r="DD47" i="168" s="1"/>
  <c r="DB47" i="168"/>
  <c r="C75" i="389"/>
  <c r="C76" i="389" s="1"/>
  <c r="E96" i="389"/>
  <c r="E98" i="389" s="1"/>
  <c r="E99" i="389" s="1"/>
  <c r="C98" i="389"/>
  <c r="C99" i="389" s="1"/>
  <c r="BI45" i="388"/>
  <c r="BI47" i="388" s="1"/>
  <c r="BG47" i="388"/>
  <c r="C44" i="389"/>
  <c r="C45" i="389" s="1"/>
  <c r="DD44" i="168"/>
  <c r="C95" i="168"/>
  <c r="C96" i="168" s="1"/>
  <c r="C44" i="352"/>
  <c r="C45" i="352" s="1"/>
  <c r="BI127" i="388"/>
  <c r="BI44" i="388"/>
  <c r="C44" i="168"/>
  <c r="C45" i="168" s="1"/>
  <c r="C75" i="168"/>
  <c r="C76" i="168" s="1"/>
  <c r="C75" i="352"/>
  <c r="C76" i="352" s="1"/>
  <c r="C114" i="388"/>
  <c r="C115" i="388" s="1"/>
  <c r="C44" i="388"/>
  <c r="C45" i="388" s="1"/>
  <c r="C75" i="388"/>
  <c r="C76" i="388" s="1"/>
  <c r="E105" i="388"/>
  <c r="I106" i="388" s="1"/>
  <c r="E141" i="388"/>
  <c r="D21" i="310"/>
  <c r="K55" i="2"/>
  <c r="G74" i="389"/>
  <c r="G83" i="389"/>
  <c r="G43" i="352"/>
  <c r="G74" i="388"/>
  <c r="D20" i="435"/>
  <c r="AX35" i="167"/>
  <c r="DV43" i="168"/>
  <c r="DF43" i="168"/>
  <c r="AF86" i="393"/>
  <c r="O91" i="389" s="1"/>
  <c r="AF100" i="393"/>
  <c r="AG101" i="393" s="1"/>
  <c r="AG102" i="393" s="1"/>
  <c r="AF87" i="393"/>
  <c r="G90" i="348"/>
  <c r="G95" i="348" s="1"/>
  <c r="G96" i="348"/>
  <c r="G82" i="348"/>
  <c r="C119" i="291"/>
  <c r="C21" i="305"/>
  <c r="W71" i="388"/>
  <c r="D18" i="308"/>
  <c r="W71" i="168"/>
  <c r="C91" i="303" s="1"/>
  <c r="C92" i="352"/>
  <c r="D24" i="275"/>
  <c r="E58" i="291"/>
  <c r="M72" i="168"/>
  <c r="M73" i="168" s="1"/>
  <c r="M75" i="168" s="1"/>
  <c r="E45" i="291" s="1"/>
  <c r="CZ41" i="168"/>
  <c r="CZ42" i="168" s="1"/>
  <c r="F91" i="315"/>
  <c r="D12" i="321"/>
  <c r="C20" i="318"/>
  <c r="H91" i="315"/>
  <c r="D82" i="316" s="1"/>
  <c r="H82" i="248" s="1"/>
  <c r="O142" i="388"/>
  <c r="O149" i="388"/>
  <c r="O95" i="388"/>
  <c r="O96" i="388" s="1"/>
  <c r="Q96" i="388" s="1"/>
  <c r="Q98" i="388" s="1"/>
  <c r="Q99" i="388" s="1"/>
  <c r="S39" i="168"/>
  <c r="G91" i="400"/>
  <c r="DZ39" i="168"/>
  <c r="S39" i="388"/>
  <c r="AC103" i="393"/>
  <c r="AB88" i="393"/>
  <c r="AC104" i="393" s="1"/>
  <c r="J53" i="268" s="1"/>
  <c r="C19" i="357" s="1"/>
  <c r="E19" i="357" s="1"/>
  <c r="AL36" i="393"/>
  <c r="J38" i="184" s="1"/>
  <c r="AJ84" i="393"/>
  <c r="AK36" i="393"/>
  <c r="I41" i="389"/>
  <c r="I42" i="389" s="1"/>
  <c r="I43" i="389" s="1"/>
  <c r="I44" i="389" s="1"/>
  <c r="AE71" i="388"/>
  <c r="AE71" i="168"/>
  <c r="C91" i="327" s="1"/>
  <c r="C21" i="318"/>
  <c r="D18" i="321"/>
  <c r="L59" i="2"/>
  <c r="L61" i="2"/>
  <c r="Q86" i="60" s="1"/>
  <c r="G91" i="389"/>
  <c r="G93" i="352"/>
  <c r="D10" i="363"/>
  <c r="AO35" i="393"/>
  <c r="AN35" i="393"/>
  <c r="AO103" i="167"/>
  <c r="AN88" i="167"/>
  <c r="AO104" i="167" s="1"/>
  <c r="AD79" i="60"/>
  <c r="AW90" i="167" s="1"/>
  <c r="AD86" i="60"/>
  <c r="E19" i="421"/>
  <c r="G74" i="352"/>
  <c r="Y91" i="388"/>
  <c r="W92" i="388"/>
  <c r="W93" i="388" s="1"/>
  <c r="K58" i="184"/>
  <c r="AA90" i="168" s="1"/>
  <c r="AA90" i="388"/>
  <c r="Q41" i="389"/>
  <c r="Q42" i="389"/>
  <c r="Q43" i="389" s="1"/>
  <c r="Q44" i="389" s="1"/>
  <c r="Q72" i="168"/>
  <c r="E134" i="291" s="1"/>
  <c r="S90" i="388"/>
  <c r="I58" i="184"/>
  <c r="S90" i="168" s="1"/>
  <c r="C18" i="305"/>
  <c r="S70" i="168"/>
  <c r="C15" i="303" s="1"/>
  <c r="C109" i="389"/>
  <c r="F68" i="184"/>
  <c r="C57" i="291"/>
  <c r="C43" i="291"/>
  <c r="CX52" i="168"/>
  <c r="CX43" i="168"/>
  <c r="CX111" i="168"/>
  <c r="AI75" i="60"/>
  <c r="AI86" i="60" s="1"/>
  <c r="D19" i="423" s="1"/>
  <c r="C22" i="318"/>
  <c r="F137" i="315"/>
  <c r="F43" i="167"/>
  <c r="F53" i="315" s="1"/>
  <c r="C19" i="368" s="1"/>
  <c r="D12" i="308"/>
  <c r="C20" i="305"/>
  <c r="F91" i="302"/>
  <c r="G92" i="400"/>
  <c r="F92" i="400"/>
  <c r="C19" i="305"/>
  <c r="D13" i="308"/>
  <c r="E42" i="167"/>
  <c r="D15" i="308" s="1"/>
  <c r="F136" i="302"/>
  <c r="D14" i="308" s="1"/>
  <c r="G138" i="400"/>
  <c r="F138" i="400"/>
  <c r="G111" i="389"/>
  <c r="G112" i="389" s="1"/>
  <c r="I110" i="389"/>
  <c r="DX43" i="168"/>
  <c r="E10" i="361"/>
  <c r="D11" i="361"/>
  <c r="AA70" i="168"/>
  <c r="C15" i="327" s="1"/>
  <c r="C18" i="318"/>
  <c r="C12" i="376"/>
  <c r="G47" i="167"/>
  <c r="C14" i="376" s="1"/>
  <c r="C12" i="428"/>
  <c r="G77" i="167"/>
  <c r="G78" i="167" s="1"/>
  <c r="C12" i="413"/>
  <c r="G29" i="167"/>
  <c r="E20" i="374"/>
  <c r="G47" i="393"/>
  <c r="AR35" i="167"/>
  <c r="AS90" i="167"/>
  <c r="AR90" i="167"/>
  <c r="I38" i="184"/>
  <c r="C24" i="314" s="1"/>
  <c r="S70" i="388"/>
  <c r="O43" i="388"/>
  <c r="O43" i="168"/>
  <c r="G43" i="388"/>
  <c r="BG127" i="388"/>
  <c r="BG51" i="388" s="1"/>
  <c r="K38" i="184"/>
  <c r="AA70" i="388"/>
  <c r="O43" i="352"/>
  <c r="D21" i="288"/>
  <c r="I55" i="2"/>
  <c r="Q51" i="2"/>
  <c r="D23" i="419" s="1"/>
  <c r="R35" i="2"/>
  <c r="R51" i="2" s="1"/>
  <c r="BM127" i="388"/>
  <c r="BM43" i="388"/>
  <c r="D19" i="435"/>
  <c r="G74" i="168"/>
  <c r="O43" i="389"/>
  <c r="F54" i="398"/>
  <c r="AC75" i="60"/>
  <c r="M91" i="302"/>
  <c r="D82" i="301"/>
  <c r="G82" i="248" s="1"/>
  <c r="G114" i="388"/>
  <c r="G115" i="388" s="1"/>
  <c r="I115" i="388" s="1"/>
  <c r="I117" i="388" s="1"/>
  <c r="I118" i="388" s="1"/>
  <c r="G149" i="388"/>
  <c r="BU41" i="388"/>
  <c r="BU42" i="388" s="1"/>
  <c r="E19" i="435"/>
  <c r="AH86" i="60"/>
  <c r="AE40" i="388"/>
  <c r="AE40" i="168"/>
  <c r="AA39" i="388"/>
  <c r="AA39" i="168"/>
  <c r="E43" i="167"/>
  <c r="F53" i="400" s="1"/>
  <c r="F137" i="302"/>
  <c r="F139" i="400"/>
  <c r="G139" i="400"/>
  <c r="G53" i="400"/>
  <c r="H62" i="106"/>
  <c r="F60" i="106"/>
  <c r="K52" i="268"/>
  <c r="K54" i="268" s="1"/>
  <c r="J54" i="268"/>
  <c r="I41" i="168"/>
  <c r="I42" i="168" s="1"/>
  <c r="I43" i="168" s="1"/>
  <c r="BO127" i="388"/>
  <c r="BO51" i="388" s="1"/>
  <c r="Z23" i="184"/>
  <c r="AE75" i="60"/>
  <c r="AE86" i="60" s="1"/>
  <c r="D19" i="409" s="1"/>
  <c r="G54" i="398"/>
  <c r="G76" i="398" s="1"/>
  <c r="DN43" i="168"/>
  <c r="I4" i="366"/>
  <c r="G4" i="366"/>
  <c r="DH41" i="168"/>
  <c r="DH42" i="168" s="1"/>
  <c r="AG75" i="60"/>
  <c r="AG91" i="388"/>
  <c r="AE92" i="388"/>
  <c r="AE93" i="388" s="1"/>
  <c r="D84" i="393"/>
  <c r="D83" i="393"/>
  <c r="O93" i="352" s="1"/>
  <c r="D80" i="393"/>
  <c r="D76" i="393"/>
  <c r="D81" i="393"/>
  <c r="D88" i="393" s="1"/>
  <c r="M52" i="280" s="1"/>
  <c r="D17" i="360" s="1"/>
  <c r="AG91" i="393"/>
  <c r="AH91" i="393"/>
  <c r="F79" i="400"/>
  <c r="F79" i="398"/>
  <c r="D69" i="267"/>
  <c r="E69" i="248" s="1"/>
  <c r="H79" i="268"/>
  <c r="G73" i="2"/>
  <c r="C39" i="356"/>
  <c r="G79" i="348"/>
  <c r="G79" i="400"/>
  <c r="D69" i="358"/>
  <c r="G79" i="398"/>
  <c r="D28" i="277"/>
  <c r="F79" i="268"/>
  <c r="F79" i="348"/>
  <c r="AB79" i="60"/>
  <c r="D20" i="421" s="1"/>
  <c r="D19" i="421"/>
  <c r="D19" i="308"/>
  <c r="H137" i="302"/>
  <c r="D20" i="308" s="1"/>
  <c r="AJ33" i="167"/>
  <c r="H53" i="302" s="1"/>
  <c r="BS43" i="388"/>
  <c r="BS127" i="388"/>
  <c r="AH79" i="60"/>
  <c r="BB90" i="167" s="1"/>
  <c r="D13" i="321"/>
  <c r="F42" i="167"/>
  <c r="D15" i="321" s="1"/>
  <c r="F136" i="315"/>
  <c r="C19" i="318"/>
  <c r="AA79" i="60"/>
  <c r="G29" i="393" s="1"/>
  <c r="W40" i="168"/>
  <c r="ED40" i="168"/>
  <c r="W40" i="388"/>
  <c r="G43" i="168"/>
  <c r="G43" i="389"/>
  <c r="CT111" i="168"/>
  <c r="CT51" i="168" s="1"/>
  <c r="CT52" i="168"/>
  <c r="AN33" i="167"/>
  <c r="D21" i="321" s="1"/>
  <c r="H137" i="315"/>
  <c r="D20" i="321" s="1"/>
  <c r="D19" i="321"/>
  <c r="D71" i="371"/>
  <c r="I71" i="248" s="1"/>
  <c r="E21" i="374"/>
  <c r="C19" i="372"/>
  <c r="E19" i="372" s="1"/>
  <c r="AJ88" i="167"/>
  <c r="AK104" i="167" s="1"/>
  <c r="AK103" i="167"/>
  <c r="C89" i="393"/>
  <c r="N53" i="268" s="1"/>
  <c r="C56" i="357" s="1"/>
  <c r="D13" i="434"/>
  <c r="Q28" i="2"/>
  <c r="R28" i="2" s="1"/>
  <c r="S28" i="2" s="1"/>
  <c r="T28" i="2" s="1"/>
  <c r="J30" i="2"/>
  <c r="J47" i="2" s="1"/>
  <c r="J55" i="2" s="1"/>
  <c r="O74" i="388"/>
  <c r="BK127" i="388"/>
  <c r="BK43" i="388"/>
  <c r="DP41" i="168"/>
  <c r="DP42" i="168" s="1"/>
  <c r="W40" i="352" l="1"/>
  <c r="W41" i="352" s="1"/>
  <c r="W42" i="352" s="1"/>
  <c r="F94" i="280"/>
  <c r="AA39" i="352"/>
  <c r="AA41" i="352" s="1"/>
  <c r="AA42" i="352" s="1"/>
  <c r="O74" i="168"/>
  <c r="O119" i="168" s="1"/>
  <c r="C129" i="291" s="1"/>
  <c r="C105" i="388"/>
  <c r="E59" i="184" s="1"/>
  <c r="S39" i="352"/>
  <c r="U39" i="352" s="1"/>
  <c r="U41" i="352" s="1"/>
  <c r="U42" i="352" s="1"/>
  <c r="U44" i="352" s="1"/>
  <c r="AE40" i="389"/>
  <c r="AE41" i="389" s="1"/>
  <c r="AE42" i="389" s="1"/>
  <c r="C141" i="389"/>
  <c r="C102" i="389" s="1"/>
  <c r="C103" i="389"/>
  <c r="D61" i="281"/>
  <c r="F61" i="248" s="1"/>
  <c r="H75" i="280"/>
  <c r="C44" i="361"/>
  <c r="Q85" i="60"/>
  <c r="M79" i="302"/>
  <c r="BB87" i="167"/>
  <c r="BB86" i="167"/>
  <c r="BB100" i="167"/>
  <c r="BC101" i="167" s="1"/>
  <c r="BC102" i="167" s="1"/>
  <c r="O53" i="268"/>
  <c r="D56" i="357" s="1"/>
  <c r="E56" i="357" s="1"/>
  <c r="AE79" i="60"/>
  <c r="H29" i="393" s="1"/>
  <c r="K53" i="315"/>
  <c r="C18" i="363" s="1"/>
  <c r="C24" i="363" s="1"/>
  <c r="L70" i="2"/>
  <c r="L74" i="2" s="1"/>
  <c r="C45" i="361" s="1"/>
  <c r="M96" i="168"/>
  <c r="M98" i="168" s="1"/>
  <c r="M99" i="168" s="1"/>
  <c r="K98" i="168"/>
  <c r="K99" i="168" s="1"/>
  <c r="M45" i="389"/>
  <c r="M47" i="389" s="1"/>
  <c r="K47" i="389"/>
  <c r="BO48" i="388"/>
  <c r="M45" i="168"/>
  <c r="M47" i="168" s="1"/>
  <c r="K47" i="168"/>
  <c r="M96" i="388"/>
  <c r="M98" i="388" s="1"/>
  <c r="M99" i="388" s="1"/>
  <c r="K98" i="388"/>
  <c r="K99" i="388" s="1"/>
  <c r="K103" i="388" s="1"/>
  <c r="M45" i="352"/>
  <c r="M47" i="352" s="1"/>
  <c r="K47" i="352"/>
  <c r="BQ48" i="388"/>
  <c r="BQ54" i="388" s="1"/>
  <c r="BQ55" i="388" s="1"/>
  <c r="F52" i="315"/>
  <c r="F54" i="315" s="1"/>
  <c r="F75" i="315" s="1"/>
  <c r="F94" i="315" s="1"/>
  <c r="M76" i="388"/>
  <c r="M78" i="388" s="1"/>
  <c r="K78" i="388"/>
  <c r="DJ48" i="168"/>
  <c r="C46" i="291"/>
  <c r="M76" i="168"/>
  <c r="K78" i="168"/>
  <c r="DR48" i="168"/>
  <c r="M45" i="388"/>
  <c r="M47" i="388" s="1"/>
  <c r="K47" i="388"/>
  <c r="DL48" i="168"/>
  <c r="DT48" i="168"/>
  <c r="E45" i="388"/>
  <c r="E47" i="388" s="1"/>
  <c r="C47" i="388"/>
  <c r="E76" i="352"/>
  <c r="E78" i="352" s="1"/>
  <c r="C78" i="352"/>
  <c r="E45" i="168"/>
  <c r="E47" i="168" s="1"/>
  <c r="C47" i="168"/>
  <c r="E45" i="352"/>
  <c r="E47" i="352" s="1"/>
  <c r="C47" i="352"/>
  <c r="BG48" i="388"/>
  <c r="E76" i="389"/>
  <c r="E78" i="389" s="1"/>
  <c r="C78" i="389"/>
  <c r="BI48" i="388"/>
  <c r="BI54" i="388" s="1"/>
  <c r="BI55" i="388" s="1"/>
  <c r="G117" i="388"/>
  <c r="G118" i="388" s="1"/>
  <c r="G148" i="388" s="1"/>
  <c r="E76" i="388"/>
  <c r="E78" i="388" s="1"/>
  <c r="C78" i="388"/>
  <c r="E115" i="388"/>
  <c r="E117" i="388" s="1"/>
  <c r="E118" i="388" s="1"/>
  <c r="C117" i="388"/>
  <c r="C118" i="388" s="1"/>
  <c r="E76" i="168"/>
  <c r="E78" i="168" s="1"/>
  <c r="C78" i="168"/>
  <c r="E96" i="168"/>
  <c r="E98" i="168" s="1"/>
  <c r="E99" i="168" s="1"/>
  <c r="C98" i="168"/>
  <c r="C99" i="168" s="1"/>
  <c r="E45" i="389"/>
  <c r="E47" i="389" s="1"/>
  <c r="C47" i="389"/>
  <c r="DB48" i="168"/>
  <c r="E141" i="389"/>
  <c r="E105" i="389"/>
  <c r="DD48" i="168"/>
  <c r="I44" i="168"/>
  <c r="D17" i="356"/>
  <c r="E17" i="356" s="1"/>
  <c r="O52" i="268"/>
  <c r="CZ111" i="168"/>
  <c r="CZ43" i="168"/>
  <c r="BU43" i="388"/>
  <c r="BU127" i="388"/>
  <c r="CT54" i="168"/>
  <c r="EF40" i="168"/>
  <c r="EF41" i="168" s="1"/>
  <c r="EF42" i="168" s="1"/>
  <c r="ED41" i="168"/>
  <c r="ED42" i="168" s="1"/>
  <c r="H58" i="184"/>
  <c r="K92" i="352" s="1"/>
  <c r="K90" i="389"/>
  <c r="AG92" i="388"/>
  <c r="AG93" i="388" s="1"/>
  <c r="AG94" i="388" s="1"/>
  <c r="DN112" i="168"/>
  <c r="DN44" i="168"/>
  <c r="DN45" i="168" s="1"/>
  <c r="DP45" i="168" s="1"/>
  <c r="AC39" i="388"/>
  <c r="AC41" i="388" s="1"/>
  <c r="AC42" i="388" s="1"/>
  <c r="AC44" i="388" s="1"/>
  <c r="AA41" i="388"/>
  <c r="AA42" i="388" s="1"/>
  <c r="AC79" i="60"/>
  <c r="O44" i="389"/>
  <c r="O45" i="389" s="1"/>
  <c r="Q45" i="389" s="1"/>
  <c r="Q47" i="389" s="1"/>
  <c r="Q48" i="389" s="1"/>
  <c r="O128" i="389"/>
  <c r="O44" i="352"/>
  <c r="O45" i="352" s="1"/>
  <c r="Q45" i="352" s="1"/>
  <c r="Q47" i="352" s="1"/>
  <c r="Q48" i="352" s="1"/>
  <c r="O112" i="352"/>
  <c r="O128" i="388"/>
  <c r="O44" i="388"/>
  <c r="O45" i="388" s="1"/>
  <c r="Q45" i="388" s="1"/>
  <c r="Q47" i="388" s="1"/>
  <c r="Q48" i="388" s="1"/>
  <c r="U70" i="388"/>
  <c r="U72" i="388" s="1"/>
  <c r="U73" i="388" s="1"/>
  <c r="U75" i="388" s="1"/>
  <c r="S72" i="388"/>
  <c r="S73" i="388" s="1"/>
  <c r="AR100" i="167"/>
  <c r="AS101" i="167" s="1"/>
  <c r="AS102" i="167" s="1"/>
  <c r="AR86" i="167"/>
  <c r="AM91" i="388" s="1"/>
  <c r="AR87" i="167"/>
  <c r="G37" i="393"/>
  <c r="G30" i="393"/>
  <c r="G34" i="393"/>
  <c r="G35" i="393"/>
  <c r="G42" i="393" s="1"/>
  <c r="G38" i="393"/>
  <c r="G43" i="393" s="1"/>
  <c r="N566" i="366"/>
  <c r="O566" i="366" s="1"/>
  <c r="N650" i="366"/>
  <c r="O650" i="366" s="1"/>
  <c r="N893" i="366"/>
  <c r="O893" i="366" s="1"/>
  <c r="N509" i="366"/>
  <c r="O509" i="366" s="1"/>
  <c r="N405" i="366"/>
  <c r="O405" i="366" s="1"/>
  <c r="N321" i="366"/>
  <c r="O321" i="366" s="1"/>
  <c r="N825" i="366"/>
  <c r="O825" i="366" s="1"/>
  <c r="N838" i="366"/>
  <c r="O838" i="366" s="1"/>
  <c r="N769" i="366"/>
  <c r="O769" i="366" s="1"/>
  <c r="N329" i="366"/>
  <c r="O329" i="366" s="1"/>
  <c r="N706" i="366"/>
  <c r="O706" i="366" s="1"/>
  <c r="N303" i="366"/>
  <c r="O303" i="366" s="1"/>
  <c r="N442" i="366"/>
  <c r="O442" i="366" s="1"/>
  <c r="N177" i="366"/>
  <c r="O177" i="366" s="1"/>
  <c r="N835" i="366"/>
  <c r="O835" i="366" s="1"/>
  <c r="N402" i="366"/>
  <c r="O402" i="366" s="1"/>
  <c r="N593" i="366"/>
  <c r="O593" i="366" s="1"/>
  <c r="N921" i="366"/>
  <c r="O921" i="366" s="1"/>
  <c r="N528" i="366"/>
  <c r="O528" i="366" s="1"/>
  <c r="N1000" i="366"/>
  <c r="O1000" i="366" s="1"/>
  <c r="N583" i="366"/>
  <c r="O583" i="366" s="1"/>
  <c r="N286" i="366"/>
  <c r="O286" i="366" s="1"/>
  <c r="N770" i="366"/>
  <c r="O770" i="366" s="1"/>
  <c r="N620" i="366"/>
  <c r="O620" i="366" s="1"/>
  <c r="N486" i="366"/>
  <c r="O486" i="366" s="1"/>
  <c r="N111" i="366"/>
  <c r="O111" i="366" s="1"/>
  <c r="N477" i="366"/>
  <c r="O477" i="366" s="1"/>
  <c r="N446" i="366"/>
  <c r="O446" i="366" s="1"/>
  <c r="N771" i="366"/>
  <c r="O771" i="366" s="1"/>
  <c r="N138" i="366"/>
  <c r="O138" i="366" s="1"/>
  <c r="N1016" i="366"/>
  <c r="O1016" i="366" s="1"/>
  <c r="N766" i="366"/>
  <c r="O766" i="366" s="1"/>
  <c r="N757" i="366"/>
  <c r="O757" i="366" s="1"/>
  <c r="N101" i="366"/>
  <c r="O101" i="366" s="1"/>
  <c r="N772" i="366"/>
  <c r="O772" i="366" s="1"/>
  <c r="N696" i="366"/>
  <c r="O696" i="366" s="1"/>
  <c r="N296" i="366"/>
  <c r="O296" i="366" s="1"/>
  <c r="N819" i="366"/>
  <c r="O819" i="366" s="1"/>
  <c r="N858" i="366"/>
  <c r="O858" i="366" s="1"/>
  <c r="N614" i="366"/>
  <c r="O614" i="366" s="1"/>
  <c r="N798" i="366"/>
  <c r="O798" i="366" s="1"/>
  <c r="N465" i="366"/>
  <c r="O465" i="366" s="1"/>
  <c r="N118" i="366"/>
  <c r="O118" i="366" s="1"/>
  <c r="N589" i="366"/>
  <c r="O589" i="366" s="1"/>
  <c r="N736" i="366"/>
  <c r="O736" i="366" s="1"/>
  <c r="N776" i="366"/>
  <c r="O776" i="366" s="1"/>
  <c r="N404" i="366"/>
  <c r="O404" i="366" s="1"/>
  <c r="N708" i="366"/>
  <c r="O708" i="366" s="1"/>
  <c r="N279" i="366"/>
  <c r="O279" i="366" s="1"/>
  <c r="N449" i="366"/>
  <c r="O449" i="366" s="1"/>
  <c r="N669" i="366"/>
  <c r="O669" i="366" s="1"/>
  <c r="N236" i="366"/>
  <c r="O236" i="366" s="1"/>
  <c r="N417" i="366"/>
  <c r="O417" i="366" s="1"/>
  <c r="N124" i="366"/>
  <c r="O124" i="366" s="1"/>
  <c r="N414" i="366"/>
  <c r="O414" i="366" s="1"/>
  <c r="N911" i="366"/>
  <c r="O911" i="366" s="1"/>
  <c r="N274" i="366"/>
  <c r="O274" i="366" s="1"/>
  <c r="N257" i="366"/>
  <c r="O257" i="366" s="1"/>
  <c r="N638" i="366"/>
  <c r="O638" i="366" s="1"/>
  <c r="N600" i="366"/>
  <c r="O600" i="366" s="1"/>
  <c r="N190" i="366"/>
  <c r="O190" i="366" s="1"/>
  <c r="N513" i="366"/>
  <c r="O513" i="366" s="1"/>
  <c r="N398" i="366"/>
  <c r="O398" i="366" s="1"/>
  <c r="N976" i="366"/>
  <c r="O976" i="366" s="1"/>
  <c r="N482" i="366"/>
  <c r="O482" i="366" s="1"/>
  <c r="N765" i="366"/>
  <c r="O765" i="366" s="1"/>
  <c r="N933" i="366"/>
  <c r="O933" i="366" s="1"/>
  <c r="N356" i="366"/>
  <c r="O356" i="366" s="1"/>
  <c r="N146" i="366"/>
  <c r="O146" i="366" s="1"/>
  <c r="N556" i="366"/>
  <c r="O556" i="366" s="1"/>
  <c r="N915" i="366"/>
  <c r="O915" i="366" s="1"/>
  <c r="N646" i="366"/>
  <c r="O646" i="366" s="1"/>
  <c r="N617" i="366"/>
  <c r="O617" i="366" s="1"/>
  <c r="N379" i="366"/>
  <c r="O379" i="366" s="1"/>
  <c r="N364" i="366"/>
  <c r="O364" i="366" s="1"/>
  <c r="N185" i="366"/>
  <c r="O185" i="366" s="1"/>
  <c r="N343" i="366"/>
  <c r="O343" i="366" s="1"/>
  <c r="N815" i="366"/>
  <c r="O815" i="366" s="1"/>
  <c r="N758" i="366"/>
  <c r="O758" i="366" s="1"/>
  <c r="N363" i="366"/>
  <c r="O363" i="366" s="1"/>
  <c r="N524" i="366"/>
  <c r="O524" i="366" s="1"/>
  <c r="N362" i="366"/>
  <c r="O362" i="366" s="1"/>
  <c r="N14" i="366"/>
  <c r="O14" i="366" s="1"/>
  <c r="N351" i="366"/>
  <c r="O351" i="366" s="1"/>
  <c r="N851" i="366"/>
  <c r="O851" i="366" s="1"/>
  <c r="N421" i="366"/>
  <c r="O421" i="366" s="1"/>
  <c r="N616" i="366"/>
  <c r="O616" i="366" s="1"/>
  <c r="N148" i="366"/>
  <c r="O148" i="366" s="1"/>
  <c r="N332" i="366"/>
  <c r="O332" i="366" s="1"/>
  <c r="N102" i="366"/>
  <c r="O102" i="366" s="1"/>
  <c r="N151" i="366"/>
  <c r="O151" i="366" s="1"/>
  <c r="N709" i="366"/>
  <c r="O709" i="366" s="1"/>
  <c r="N188" i="366"/>
  <c r="O188" i="366" s="1"/>
  <c r="N909" i="366"/>
  <c r="O909" i="366" s="1"/>
  <c r="N653" i="366"/>
  <c r="O653" i="366" s="1"/>
  <c r="N813" i="366"/>
  <c r="O813" i="366" s="1"/>
  <c r="N234" i="366"/>
  <c r="O234" i="366" s="1"/>
  <c r="N908" i="366"/>
  <c r="O908" i="366" s="1"/>
  <c r="N150" i="366"/>
  <c r="O150" i="366" s="1"/>
  <c r="N285" i="366"/>
  <c r="O285" i="366" s="1"/>
  <c r="N55" i="366"/>
  <c r="O55" i="366" s="1"/>
  <c r="N738" i="366"/>
  <c r="O738" i="366" s="1"/>
  <c r="N542" i="366"/>
  <c r="O542" i="366" s="1"/>
  <c r="N507" i="366"/>
  <c r="O507" i="366" s="1"/>
  <c r="N204" i="366"/>
  <c r="O204" i="366" s="1"/>
  <c r="N169" i="366"/>
  <c r="O169" i="366" s="1"/>
  <c r="N644" i="366"/>
  <c r="O644" i="366" s="1"/>
  <c r="N284" i="366"/>
  <c r="O284" i="366" s="1"/>
  <c r="N992" i="366"/>
  <c r="O992" i="366" s="1"/>
  <c r="N1012" i="366"/>
  <c r="O1012" i="366" s="1"/>
  <c r="N8" i="366"/>
  <c r="O8" i="366" s="1"/>
  <c r="N666" i="366"/>
  <c r="O666" i="366" s="1"/>
  <c r="N789" i="366"/>
  <c r="O789" i="366" s="1"/>
  <c r="N36" i="366"/>
  <c r="O36" i="366" s="1"/>
  <c r="N260" i="366"/>
  <c r="O260" i="366" s="1"/>
  <c r="N300" i="366"/>
  <c r="O300" i="366" s="1"/>
  <c r="N369" i="366"/>
  <c r="O369" i="366" s="1"/>
  <c r="N330" i="366"/>
  <c r="O330" i="366" s="1"/>
  <c r="N152" i="366"/>
  <c r="O152" i="366" s="1"/>
  <c r="N834" i="366"/>
  <c r="O834" i="366" s="1"/>
  <c r="N784" i="366"/>
  <c r="O784" i="366" s="1"/>
  <c r="N949" i="366"/>
  <c r="O949" i="366" s="1"/>
  <c r="N510" i="366"/>
  <c r="O510" i="366" s="1"/>
  <c r="N1003" i="366"/>
  <c r="O1003" i="366" s="1"/>
  <c r="N869" i="366"/>
  <c r="O869" i="366" s="1"/>
  <c r="N595" i="366"/>
  <c r="O595" i="366" s="1"/>
  <c r="N853" i="366"/>
  <c r="O853" i="366" s="1"/>
  <c r="N523" i="366"/>
  <c r="O523" i="366" s="1"/>
  <c r="N794" i="366"/>
  <c r="O794" i="366" s="1"/>
  <c r="N832" i="366"/>
  <c r="O832" i="366" s="1"/>
  <c r="N803" i="366"/>
  <c r="O803" i="366" s="1"/>
  <c r="N548" i="366"/>
  <c r="O548" i="366" s="1"/>
  <c r="N84" i="366"/>
  <c r="O84" i="366" s="1"/>
  <c r="N599" i="366"/>
  <c r="O599" i="366" s="1"/>
  <c r="N459" i="366"/>
  <c r="O459" i="366" s="1"/>
  <c r="N636" i="366"/>
  <c r="O636" i="366" s="1"/>
  <c r="N735" i="366"/>
  <c r="O735" i="366" s="1"/>
  <c r="N165" i="366"/>
  <c r="O165" i="366" s="1"/>
  <c r="N133" i="366"/>
  <c r="O133" i="366" s="1"/>
  <c r="N403" i="366"/>
  <c r="O403" i="366" s="1"/>
  <c r="N936" i="366"/>
  <c r="O936" i="366" s="1"/>
  <c r="N752" i="366"/>
  <c r="O752" i="366" s="1"/>
  <c r="N57" i="366"/>
  <c r="O57" i="366" s="1"/>
  <c r="N891" i="366"/>
  <c r="O891" i="366" s="1"/>
  <c r="N727" i="366"/>
  <c r="O727" i="366" s="1"/>
  <c r="N672" i="366"/>
  <c r="O672" i="366" s="1"/>
  <c r="N378" i="366"/>
  <c r="O378" i="366" s="1"/>
  <c r="N516" i="366"/>
  <c r="O516" i="366" s="1"/>
  <c r="N792" i="366"/>
  <c r="O792" i="366" s="1"/>
  <c r="N969" i="366"/>
  <c r="O969" i="366" s="1"/>
  <c r="N487" i="366"/>
  <c r="O487" i="366" s="1"/>
  <c r="N753" i="366"/>
  <c r="O753" i="366" s="1"/>
  <c r="N584" i="366"/>
  <c r="O584" i="366" s="1"/>
  <c r="N592" i="366"/>
  <c r="O592" i="366" s="1"/>
  <c r="N747" i="366"/>
  <c r="O747" i="366" s="1"/>
  <c r="N280" i="366"/>
  <c r="O280" i="366" s="1"/>
  <c r="N700" i="366"/>
  <c r="O700" i="366" s="1"/>
  <c r="N210" i="366"/>
  <c r="O210" i="366" s="1"/>
  <c r="N649" i="366"/>
  <c r="O649" i="366" s="1"/>
  <c r="N135" i="366"/>
  <c r="O135" i="366" s="1"/>
  <c r="N836" i="366"/>
  <c r="O836" i="366" s="1"/>
  <c r="N579" i="366"/>
  <c r="O579" i="366" s="1"/>
  <c r="N1013" i="366"/>
  <c r="O1013" i="366" s="1"/>
  <c r="N569" i="366"/>
  <c r="O569" i="366" s="1"/>
  <c r="N582" i="366"/>
  <c r="O582" i="366" s="1"/>
  <c r="N475" i="366"/>
  <c r="O475" i="366" s="1"/>
  <c r="N498" i="366"/>
  <c r="O498" i="366" s="1"/>
  <c r="N607" i="366"/>
  <c r="O607" i="366" s="1"/>
  <c r="N613" i="366"/>
  <c r="O613" i="366" s="1"/>
  <c r="N886" i="366"/>
  <c r="O886" i="366" s="1"/>
  <c r="N121" i="366"/>
  <c r="O121" i="366" s="1"/>
  <c r="N464" i="366"/>
  <c r="O464" i="366" s="1"/>
  <c r="N651" i="366"/>
  <c r="O651" i="366" s="1"/>
  <c r="N186" i="366"/>
  <c r="O186" i="366" s="1"/>
  <c r="N249" i="366"/>
  <c r="O249" i="366" s="1"/>
  <c r="N874" i="366"/>
  <c r="O874" i="366" s="1"/>
  <c r="N357" i="366"/>
  <c r="O357" i="366" s="1"/>
  <c r="N166" i="366"/>
  <c r="O166" i="366" s="1"/>
  <c r="N828" i="366"/>
  <c r="O828" i="366" s="1"/>
  <c r="N723" i="366"/>
  <c r="O723" i="366" s="1"/>
  <c r="N293" i="366"/>
  <c r="O293" i="366" s="1"/>
  <c r="N117" i="366"/>
  <c r="O117" i="366" s="1"/>
  <c r="N965" i="366"/>
  <c r="O965" i="366" s="1"/>
  <c r="N561" i="366"/>
  <c r="O561" i="366" s="1"/>
  <c r="N322" i="366"/>
  <c r="O322" i="366" s="1"/>
  <c r="N892" i="366"/>
  <c r="O892" i="366" s="1"/>
  <c r="N787" i="366"/>
  <c r="O787" i="366" s="1"/>
  <c r="N744" i="366"/>
  <c r="O744" i="366" s="1"/>
  <c r="N871" i="366"/>
  <c r="O871" i="366" s="1"/>
  <c r="N894" i="366"/>
  <c r="O894" i="366" s="1"/>
  <c r="N928" i="366"/>
  <c r="O928" i="366" s="1"/>
  <c r="N543" i="366"/>
  <c r="O543" i="366" s="1"/>
  <c r="N876" i="366"/>
  <c r="O876" i="366" s="1"/>
  <c r="N220" i="366"/>
  <c r="O220" i="366" s="1"/>
  <c r="N527" i="366"/>
  <c r="O527" i="366" s="1"/>
  <c r="N317" i="366"/>
  <c r="O317" i="366" s="1"/>
  <c r="N112" i="366"/>
  <c r="O112" i="366" s="1"/>
  <c r="N119" i="366"/>
  <c r="O119" i="366" s="1"/>
  <c r="N264" i="366"/>
  <c r="O264" i="366" s="1"/>
  <c r="N98" i="366"/>
  <c r="O98" i="366" s="1"/>
  <c r="N353" i="366"/>
  <c r="O353" i="366" s="1"/>
  <c r="N394" i="366"/>
  <c r="O394" i="366" s="1"/>
  <c r="N6" i="366"/>
  <c r="O6" i="366" s="1"/>
  <c r="N172" i="366"/>
  <c r="O172" i="366" s="1"/>
  <c r="N429" i="366"/>
  <c r="O429" i="366" s="1"/>
  <c r="N683" i="366"/>
  <c r="O683" i="366" s="1"/>
  <c r="N952" i="366"/>
  <c r="O952" i="366" s="1"/>
  <c r="N741" i="366"/>
  <c r="O741" i="366" s="1"/>
  <c r="N980" i="366"/>
  <c r="O980" i="366" s="1"/>
  <c r="N538" i="366"/>
  <c r="O538" i="366" s="1"/>
  <c r="N141" i="366"/>
  <c r="O141" i="366" s="1"/>
  <c r="N558" i="366"/>
  <c r="O558" i="366" s="1"/>
  <c r="N292" i="366"/>
  <c r="O292" i="366" s="1"/>
  <c r="N461" i="366"/>
  <c r="O461" i="366" s="1"/>
  <c r="N255" i="366"/>
  <c r="O255" i="366" s="1"/>
  <c r="N238" i="366"/>
  <c r="O238" i="366" s="1"/>
  <c r="N880" i="366"/>
  <c r="O880" i="366" s="1"/>
  <c r="N127" i="366"/>
  <c r="O127" i="366" s="1"/>
  <c r="N820" i="366"/>
  <c r="O820" i="366" s="1"/>
  <c r="N467" i="366"/>
  <c r="O467" i="366" s="1"/>
  <c r="N214" i="366"/>
  <c r="O214" i="366" s="1"/>
  <c r="N480" i="366"/>
  <c r="O480" i="366" s="1"/>
  <c r="N575" i="366"/>
  <c r="O575" i="366" s="1"/>
  <c r="N681" i="366"/>
  <c r="O681" i="366" s="1"/>
  <c r="N33" i="366"/>
  <c r="O33" i="366" s="1"/>
  <c r="N16" i="366"/>
  <c r="O16" i="366" s="1"/>
  <c r="N154" i="366"/>
  <c r="O154" i="366" s="1"/>
  <c r="N801" i="366"/>
  <c r="O801" i="366" s="1"/>
  <c r="N997" i="366"/>
  <c r="O997" i="366" s="1"/>
  <c r="N786" i="366"/>
  <c r="O786" i="366" s="1"/>
  <c r="N354" i="366"/>
  <c r="O354" i="366" s="1"/>
  <c r="N76" i="366"/>
  <c r="O76" i="366" s="1"/>
  <c r="N197" i="366"/>
  <c r="O197" i="366" s="1"/>
  <c r="N401" i="366"/>
  <c r="O401" i="366" s="1"/>
  <c r="N953" i="366"/>
  <c r="O953" i="366" s="1"/>
  <c r="N685" i="366"/>
  <c r="O685" i="366" s="1"/>
  <c r="N912" i="366"/>
  <c r="O912" i="366" s="1"/>
  <c r="N375" i="366"/>
  <c r="O375" i="366" s="1"/>
  <c r="N519" i="366"/>
  <c r="O519" i="366" s="1"/>
  <c r="N572" i="366"/>
  <c r="O572" i="366" s="1"/>
  <c r="N291" i="366"/>
  <c r="O291" i="366" s="1"/>
  <c r="N75" i="366"/>
  <c r="O75" i="366" s="1"/>
  <c r="N12" i="366"/>
  <c r="O12" i="366" s="1"/>
  <c r="N730" i="366"/>
  <c r="O730" i="366" s="1"/>
  <c r="N534" i="366"/>
  <c r="O534" i="366" s="1"/>
  <c r="N94" i="366"/>
  <c r="O94" i="366" s="1"/>
  <c r="N325" i="366"/>
  <c r="O325" i="366" s="1"/>
  <c r="N932" i="366"/>
  <c r="O932" i="366" s="1"/>
  <c r="N791" i="366"/>
  <c r="O791" i="366" s="1"/>
  <c r="N657" i="366"/>
  <c r="O657" i="366" s="1"/>
  <c r="N950" i="366"/>
  <c r="O950" i="366" s="1"/>
  <c r="N426" i="366"/>
  <c r="O426" i="366" s="1"/>
  <c r="N65" i="366"/>
  <c r="O65" i="366" s="1"/>
  <c r="N867" i="366"/>
  <c r="O867" i="366" s="1"/>
  <c r="N532" i="366"/>
  <c r="O532" i="366" s="1"/>
  <c r="N511" i="366"/>
  <c r="O511" i="366" s="1"/>
  <c r="N751" i="366"/>
  <c r="O751" i="366" s="1"/>
  <c r="N49" i="366"/>
  <c r="O49" i="366" s="1"/>
  <c r="N424" i="366"/>
  <c r="O424" i="366" s="1"/>
  <c r="N897" i="366"/>
  <c r="O897" i="366" s="1"/>
  <c r="N231" i="366"/>
  <c r="O231" i="366" s="1"/>
  <c r="N703" i="366"/>
  <c r="O703" i="366" s="1"/>
  <c r="N905" i="366"/>
  <c r="O905" i="366" s="1"/>
  <c r="N460" i="366"/>
  <c r="O460" i="366" s="1"/>
  <c r="N731" i="366"/>
  <c r="O731" i="366" s="1"/>
  <c r="N531" i="366"/>
  <c r="O531" i="366" s="1"/>
  <c r="N856" i="366"/>
  <c r="O856" i="366" s="1"/>
  <c r="N318" i="366"/>
  <c r="O318" i="366" s="1"/>
  <c r="N416" i="366"/>
  <c r="O416" i="366" s="1"/>
  <c r="N26" i="366"/>
  <c r="O26" i="366" s="1"/>
  <c r="N473" i="366"/>
  <c r="O473" i="366" s="1"/>
  <c r="N902" i="366"/>
  <c r="O902" i="366" s="1"/>
  <c r="N191" i="366"/>
  <c r="O191" i="366" s="1"/>
  <c r="N497" i="366"/>
  <c r="O497" i="366" s="1"/>
  <c r="N7" i="366"/>
  <c r="O7" i="366" s="1"/>
  <c r="N147" i="366"/>
  <c r="O147" i="366" s="1"/>
  <c r="N227" i="366"/>
  <c r="O227" i="366" s="1"/>
  <c r="N570" i="366"/>
  <c r="O570" i="366" s="1"/>
  <c r="N29" i="366"/>
  <c r="O29" i="366" s="1"/>
  <c r="N559" i="366"/>
  <c r="O559" i="366" s="1"/>
  <c r="N17" i="366"/>
  <c r="O17" i="366" s="1"/>
  <c r="N454" i="366"/>
  <c r="O454" i="366" s="1"/>
  <c r="N61" i="366"/>
  <c r="O61" i="366" s="1"/>
  <c r="N799" i="366"/>
  <c r="O799" i="366" s="1"/>
  <c r="N864" i="366"/>
  <c r="O864" i="366" s="1"/>
  <c r="N762" i="366"/>
  <c r="O762" i="366" s="1"/>
  <c r="N37" i="366"/>
  <c r="O37" i="366" s="1"/>
  <c r="N865" i="366"/>
  <c r="O865" i="366" s="1"/>
  <c r="N844" i="366"/>
  <c r="O844" i="366" s="1"/>
  <c r="N898" i="366"/>
  <c r="O898" i="366" s="1"/>
  <c r="N656" i="366"/>
  <c r="O656" i="366" s="1"/>
  <c r="N619" i="366"/>
  <c r="O619" i="366" s="1"/>
  <c r="N435" i="366"/>
  <c r="O435" i="366" s="1"/>
  <c r="N782" i="366"/>
  <c r="O782" i="366" s="1"/>
  <c r="N667" i="366"/>
  <c r="O667" i="366" s="1"/>
  <c r="N5" i="366"/>
  <c r="O5" i="366" s="1"/>
  <c r="N157" i="366"/>
  <c r="O157" i="366" s="1"/>
  <c r="N654" i="366"/>
  <c r="O654" i="366" s="1"/>
  <c r="N256" i="366"/>
  <c r="O256" i="366" s="1"/>
  <c r="N30" i="366"/>
  <c r="O30" i="366" s="1"/>
  <c r="N160" i="366"/>
  <c r="O160" i="366" s="1"/>
  <c r="N53" i="366"/>
  <c r="O53" i="366" s="1"/>
  <c r="N447" i="366"/>
  <c r="O447" i="366" s="1"/>
  <c r="N159" i="366"/>
  <c r="O159" i="366" s="1"/>
  <c r="N182" i="366"/>
  <c r="O182" i="366" s="1"/>
  <c r="N116" i="366"/>
  <c r="O116" i="366" s="1"/>
  <c r="N923" i="366"/>
  <c r="O923" i="366" s="1"/>
  <c r="N857" i="366"/>
  <c r="O857" i="366" s="1"/>
  <c r="N223" i="366"/>
  <c r="O223" i="366" s="1"/>
  <c r="N1005" i="366"/>
  <c r="O1005" i="366" s="1"/>
  <c r="N215" i="366"/>
  <c r="O215" i="366" s="1"/>
  <c r="N376" i="366"/>
  <c r="O376" i="366" s="1"/>
  <c r="N761" i="366"/>
  <c r="O761" i="366" s="1"/>
  <c r="N850" i="366"/>
  <c r="O850" i="366" s="1"/>
  <c r="N50" i="366"/>
  <c r="O50" i="366" s="1"/>
  <c r="N926" i="366"/>
  <c r="O926" i="366" s="1"/>
  <c r="N389" i="366"/>
  <c r="O389" i="366" s="1"/>
  <c r="N333" i="366"/>
  <c r="O333" i="366" s="1"/>
  <c r="N32" i="366"/>
  <c r="O32" i="366" s="1"/>
  <c r="N306" i="366"/>
  <c r="O306" i="366" s="1"/>
  <c r="N805" i="366"/>
  <c r="O805" i="366" s="1"/>
  <c r="N319" i="366"/>
  <c r="O319" i="366" s="1"/>
  <c r="N484" i="366"/>
  <c r="O484" i="366" s="1"/>
  <c r="N990" i="366"/>
  <c r="O990" i="366" s="1"/>
  <c r="N412" i="366"/>
  <c r="O412" i="366" s="1"/>
  <c r="N655" i="366"/>
  <c r="O655" i="366" s="1"/>
  <c r="N496" i="366"/>
  <c r="O496" i="366" s="1"/>
  <c r="N472" i="366"/>
  <c r="O472" i="366" s="1"/>
  <c r="N163" i="366"/>
  <c r="O163" i="366" s="1"/>
  <c r="N15" i="366"/>
  <c r="O15" i="366" s="1"/>
  <c r="N195" i="366"/>
  <c r="O195" i="366" s="1"/>
  <c r="N407" i="366"/>
  <c r="O407" i="366" s="1"/>
  <c r="N900" i="366"/>
  <c r="O900" i="366" s="1"/>
  <c r="N54" i="366"/>
  <c r="O54" i="366" s="1"/>
  <c r="N295" i="366"/>
  <c r="O295" i="366" s="1"/>
  <c r="N250" i="366"/>
  <c r="O250" i="366" s="1"/>
  <c r="N91" i="366"/>
  <c r="O91" i="366" s="1"/>
  <c r="N228" i="366"/>
  <c r="O228" i="366" s="1"/>
  <c r="N106" i="366"/>
  <c r="O106" i="366" s="1"/>
  <c r="N504" i="366"/>
  <c r="O504" i="366" s="1"/>
  <c r="N193" i="366"/>
  <c r="O193" i="366" s="1"/>
  <c r="N382" i="366"/>
  <c r="O382" i="366" s="1"/>
  <c r="N529" i="366"/>
  <c r="O529" i="366" s="1"/>
  <c r="N175" i="366"/>
  <c r="O175" i="366" s="1"/>
  <c r="N269" i="366"/>
  <c r="O269" i="366" s="1"/>
  <c r="N1009" i="366"/>
  <c r="O1009" i="366" s="1"/>
  <c r="N870" i="366"/>
  <c r="O870" i="366" s="1"/>
  <c r="N51" i="366"/>
  <c r="O51" i="366" s="1"/>
  <c r="N205" i="366"/>
  <c r="O205" i="366" s="1"/>
  <c r="N290" i="366"/>
  <c r="O290" i="366" s="1"/>
  <c r="N171" i="366"/>
  <c r="O171" i="366" s="1"/>
  <c r="N383" i="366"/>
  <c r="O383" i="366" s="1"/>
  <c r="N957" i="366"/>
  <c r="O957" i="366" s="1"/>
  <c r="N235" i="366"/>
  <c r="O235" i="366" s="1"/>
  <c r="N427" i="366"/>
  <c r="O427" i="366" s="1"/>
  <c r="N587" i="366"/>
  <c r="O587" i="366" s="1"/>
  <c r="N44" i="366"/>
  <c r="O44" i="366" s="1"/>
  <c r="N720" i="366"/>
  <c r="O720" i="366" s="1"/>
  <c r="N999" i="366"/>
  <c r="O999" i="366" s="1"/>
  <c r="N551" i="366"/>
  <c r="O551" i="366" s="1"/>
  <c r="N1008" i="366"/>
  <c r="O1008" i="366" s="1"/>
  <c r="N288" i="366"/>
  <c r="O288" i="366" s="1"/>
  <c r="N796" i="366"/>
  <c r="O796" i="366" s="1"/>
  <c r="N750" i="366"/>
  <c r="O750" i="366" s="1"/>
  <c r="N237" i="366"/>
  <c r="O237" i="366" s="1"/>
  <c r="N754" i="366"/>
  <c r="O754" i="366" s="1"/>
  <c r="N859" i="366"/>
  <c r="O859" i="366" s="1"/>
  <c r="N335" i="366"/>
  <c r="O335" i="366" s="1"/>
  <c r="N920" i="366"/>
  <c r="O920" i="366" s="1"/>
  <c r="N982" i="366"/>
  <c r="O982" i="366" s="1"/>
  <c r="N817" i="366"/>
  <c r="O817" i="366" s="1"/>
  <c r="N896" i="366"/>
  <c r="O896" i="366" s="1"/>
  <c r="N262" i="366"/>
  <c r="O262" i="366" s="1"/>
  <c r="N692" i="366"/>
  <c r="O692" i="366" s="1"/>
  <c r="N27" i="366"/>
  <c r="O27" i="366" s="1"/>
  <c r="N688" i="366"/>
  <c r="O688" i="366" s="1"/>
  <c r="N972" i="366"/>
  <c r="O972" i="366" s="1"/>
  <c r="N545" i="366"/>
  <c r="O545" i="366" s="1"/>
  <c r="N189" i="366"/>
  <c r="O189" i="366" s="1"/>
  <c r="N499" i="366"/>
  <c r="O499" i="366" s="1"/>
  <c r="N910" i="366"/>
  <c r="O910" i="366" s="1"/>
  <c r="N406" i="366"/>
  <c r="O406" i="366" s="1"/>
  <c r="N626" i="366"/>
  <c r="O626" i="366" s="1"/>
  <c r="N1007" i="366"/>
  <c r="O1007" i="366" s="1"/>
  <c r="N206" i="366"/>
  <c r="O206" i="366" s="1"/>
  <c r="N716" i="366"/>
  <c r="O716" i="366" s="1"/>
  <c r="N144" i="366"/>
  <c r="O144" i="366" s="1"/>
  <c r="N883" i="366"/>
  <c r="O883" i="366" s="1"/>
  <c r="N878" i="366"/>
  <c r="O878" i="366" s="1"/>
  <c r="N259" i="366"/>
  <c r="O259" i="366" s="1"/>
  <c r="N627" i="366"/>
  <c r="O627" i="366" s="1"/>
  <c r="N947" i="366"/>
  <c r="O947" i="366" s="1"/>
  <c r="N622" i="366"/>
  <c r="O622" i="366" s="1"/>
  <c r="N1021" i="366"/>
  <c r="O1021" i="366" s="1"/>
  <c r="N312" i="366"/>
  <c r="O312" i="366" s="1"/>
  <c r="N410" i="366"/>
  <c r="O410" i="366" s="1"/>
  <c r="N450" i="366"/>
  <c r="O450" i="366" s="1"/>
  <c r="N254" i="366"/>
  <c r="O254" i="366" s="1"/>
  <c r="N131" i="366"/>
  <c r="O131" i="366" s="1"/>
  <c r="N74" i="366"/>
  <c r="O74" i="366" s="1"/>
  <c r="N585" i="366"/>
  <c r="O585" i="366" s="1"/>
  <c r="N40" i="366"/>
  <c r="O40" i="366" s="1"/>
  <c r="N901" i="366"/>
  <c r="O901" i="366" s="1"/>
  <c r="N173" i="366"/>
  <c r="O173" i="366" s="1"/>
  <c r="N707" i="366"/>
  <c r="O707" i="366" s="1"/>
  <c r="N612" i="366"/>
  <c r="O612" i="366" s="1"/>
  <c r="N287" i="366"/>
  <c r="O287" i="366" s="1"/>
  <c r="N816" i="366"/>
  <c r="O816" i="366" s="1"/>
  <c r="N388" i="366"/>
  <c r="O388" i="366" s="1"/>
  <c r="N371" i="366"/>
  <c r="O371" i="366" s="1"/>
  <c r="N352" i="366"/>
  <c r="O352" i="366" s="1"/>
  <c r="N115" i="366"/>
  <c r="O115" i="366" s="1"/>
  <c r="N962" i="366"/>
  <c r="O962" i="366" s="1"/>
  <c r="N251" i="366"/>
  <c r="O251" i="366" s="1"/>
  <c r="N452" i="366"/>
  <c r="O452" i="366" s="1"/>
  <c r="N229" i="366"/>
  <c r="O229" i="366" s="1"/>
  <c r="N759" i="366"/>
  <c r="O759" i="366" s="1"/>
  <c r="N311" i="366"/>
  <c r="O311" i="366" s="1"/>
  <c r="N562" i="366"/>
  <c r="O562" i="366" s="1"/>
  <c r="N302" i="366"/>
  <c r="O302" i="366" s="1"/>
  <c r="N983" i="366"/>
  <c r="O983" i="366" s="1"/>
  <c r="N338" i="366"/>
  <c r="O338" i="366" s="1"/>
  <c r="N580" i="366"/>
  <c r="O580" i="366" s="1"/>
  <c r="N456" i="366"/>
  <c r="O456" i="366" s="1"/>
  <c r="N278" i="366"/>
  <c r="O278" i="366" s="1"/>
  <c r="N221" i="366"/>
  <c r="O221" i="366" s="1"/>
  <c r="N514" i="366"/>
  <c r="O514" i="366" s="1"/>
  <c r="N100" i="366"/>
  <c r="O100" i="366" s="1"/>
  <c r="N489" i="366"/>
  <c r="O489" i="366" s="1"/>
  <c r="N885" i="366"/>
  <c r="O885" i="366" s="1"/>
  <c r="N451" i="366"/>
  <c r="O451" i="366" s="1"/>
  <c r="N748" i="366"/>
  <c r="O748" i="366" s="1"/>
  <c r="N537" i="366"/>
  <c r="O537" i="366" s="1"/>
  <c r="N925" i="366"/>
  <c r="O925" i="366" s="1"/>
  <c r="N337" i="366"/>
  <c r="O337" i="366" s="1"/>
  <c r="N785" i="366"/>
  <c r="O785" i="366" s="1"/>
  <c r="N198" i="366"/>
  <c r="O198" i="366" s="1"/>
  <c r="N922" i="366"/>
  <c r="O922" i="366" s="1"/>
  <c r="N795" i="366"/>
  <c r="O795" i="366" s="1"/>
  <c r="N884" i="366"/>
  <c r="O884" i="366" s="1"/>
  <c r="N931" i="366"/>
  <c r="O931" i="366" s="1"/>
  <c r="N808" i="366"/>
  <c r="O808" i="366" s="1"/>
  <c r="N995" i="366"/>
  <c r="O995" i="366" s="1"/>
  <c r="N9" i="366"/>
  <c r="O9" i="366" s="1"/>
  <c r="N888" i="366"/>
  <c r="O888" i="366" s="1"/>
  <c r="N266" i="366"/>
  <c r="O266" i="366" s="1"/>
  <c r="N242" i="366"/>
  <c r="O242" i="366" s="1"/>
  <c r="N564" i="366"/>
  <c r="O564" i="366" s="1"/>
  <c r="N202" i="366"/>
  <c r="O202" i="366" s="1"/>
  <c r="N158" i="366"/>
  <c r="O158" i="366" s="1"/>
  <c r="N120" i="366"/>
  <c r="O120" i="366" s="1"/>
  <c r="N624" i="366"/>
  <c r="O624" i="366" s="1"/>
  <c r="N125" i="366"/>
  <c r="O125" i="366" s="1"/>
  <c r="N79" i="366"/>
  <c r="O79" i="366" s="1"/>
  <c r="N540" i="366"/>
  <c r="O540" i="366" s="1"/>
  <c r="N110" i="366"/>
  <c r="O110" i="366" s="1"/>
  <c r="N1019" i="366"/>
  <c r="O1019" i="366" s="1"/>
  <c r="N606" i="366"/>
  <c r="O606" i="366" s="1"/>
  <c r="N985" i="366"/>
  <c r="O985" i="366" s="1"/>
  <c r="N323" i="366"/>
  <c r="O323" i="366" s="1"/>
  <c r="N695" i="366"/>
  <c r="O695" i="366" s="1"/>
  <c r="N942" i="366"/>
  <c r="O942" i="366" s="1"/>
  <c r="N713" i="366"/>
  <c r="O713" i="366" s="1"/>
  <c r="N779" i="366"/>
  <c r="O779" i="366" s="1"/>
  <c r="N939" i="366"/>
  <c r="O939" i="366" s="1"/>
  <c r="N485" i="366"/>
  <c r="O485" i="366" s="1"/>
  <c r="N811" i="366"/>
  <c r="O811" i="366" s="1"/>
  <c r="N164" i="366"/>
  <c r="O164" i="366" s="1"/>
  <c r="N230" i="366"/>
  <c r="O230" i="366" s="1"/>
  <c r="N818" i="366"/>
  <c r="O818" i="366" s="1"/>
  <c r="N822" i="366"/>
  <c r="O822" i="366" s="1"/>
  <c r="N23" i="366"/>
  <c r="O23" i="366" s="1"/>
  <c r="N541" i="366"/>
  <c r="O541" i="366" s="1"/>
  <c r="N258" i="366"/>
  <c r="O258" i="366" s="1"/>
  <c r="N697" i="366"/>
  <c r="O697" i="366" s="1"/>
  <c r="N145" i="366"/>
  <c r="O145" i="366" s="1"/>
  <c r="N434" i="366"/>
  <c r="O434" i="366" s="1"/>
  <c r="N184" i="366"/>
  <c r="O184" i="366" s="1"/>
  <c r="N745" i="366"/>
  <c r="O745" i="366" s="1"/>
  <c r="N365" i="366"/>
  <c r="O365" i="366" s="1"/>
  <c r="N675" i="366"/>
  <c r="O675" i="366" s="1"/>
  <c r="N336" i="366"/>
  <c r="O336" i="366" s="1"/>
  <c r="N495" i="366"/>
  <c r="O495" i="366" s="1"/>
  <c r="N491" i="366"/>
  <c r="O491" i="366" s="1"/>
  <c r="N664" i="366"/>
  <c r="O664" i="366" s="1"/>
  <c r="N181" i="366"/>
  <c r="O181" i="366" s="1"/>
  <c r="N233" i="366"/>
  <c r="O233" i="366" s="1"/>
  <c r="N109" i="366"/>
  <c r="O109" i="366" s="1"/>
  <c r="N372" i="366"/>
  <c r="O372" i="366" s="1"/>
  <c r="N479" i="366"/>
  <c r="O479" i="366" s="1"/>
  <c r="N70" i="366"/>
  <c r="O70" i="366" s="1"/>
  <c r="N97" i="366"/>
  <c r="O97" i="366" s="1"/>
  <c r="N273" i="366"/>
  <c r="O273" i="366" s="1"/>
  <c r="N571" i="366"/>
  <c r="O571" i="366" s="1"/>
  <c r="N611" i="366"/>
  <c r="O611" i="366" s="1"/>
  <c r="N391" i="366"/>
  <c r="O391" i="366" s="1"/>
  <c r="N824" i="366"/>
  <c r="O824" i="366" s="1"/>
  <c r="N59" i="366"/>
  <c r="O59" i="366" s="1"/>
  <c r="N396" i="366"/>
  <c r="O396" i="366" s="1"/>
  <c r="N981" i="366"/>
  <c r="O981" i="366" s="1"/>
  <c r="N425" i="366"/>
  <c r="O425" i="366" s="1"/>
  <c r="N993" i="366"/>
  <c r="O993" i="366" s="1"/>
  <c r="N187" i="366"/>
  <c r="O187" i="366" s="1"/>
  <c r="N966" i="366"/>
  <c r="O966" i="366" s="1"/>
  <c r="N346" i="366"/>
  <c r="O346" i="366" s="1"/>
  <c r="N701" i="366"/>
  <c r="O701" i="366" s="1"/>
  <c r="N347" i="366"/>
  <c r="O347" i="366" s="1"/>
  <c r="N641" i="366"/>
  <c r="O641" i="366" s="1"/>
  <c r="N508" i="366"/>
  <c r="O508" i="366" s="1"/>
  <c r="N4" i="366"/>
  <c r="N88" i="366"/>
  <c r="O88" i="366" s="1"/>
  <c r="N831" i="366"/>
  <c r="O831" i="366" s="1"/>
  <c r="N775" i="366"/>
  <c r="O775" i="366" s="1"/>
  <c r="N544" i="366"/>
  <c r="O544" i="366" s="1"/>
  <c r="N729" i="366"/>
  <c r="O729" i="366" s="1"/>
  <c r="N946" i="366"/>
  <c r="O946" i="366" s="1"/>
  <c r="N718" i="366"/>
  <c r="O718" i="366" s="1"/>
  <c r="N868" i="366"/>
  <c r="O868" i="366" s="1"/>
  <c r="N918" i="366"/>
  <c r="O918" i="366" s="1"/>
  <c r="N829" i="366"/>
  <c r="O829" i="366" s="1"/>
  <c r="N162" i="366"/>
  <c r="O162" i="366" s="1"/>
  <c r="N690" i="366"/>
  <c r="O690" i="366" s="1"/>
  <c r="N907" i="366"/>
  <c r="O907" i="366" s="1"/>
  <c r="N35" i="366"/>
  <c r="O35" i="366" s="1"/>
  <c r="N89" i="366"/>
  <c r="O89" i="366" s="1"/>
  <c r="N341" i="366"/>
  <c r="O341" i="366" s="1"/>
  <c r="N964" i="366"/>
  <c r="O964" i="366" s="1"/>
  <c r="N854" i="366"/>
  <c r="O854" i="366" s="1"/>
  <c r="N998" i="366"/>
  <c r="O998" i="366" s="1"/>
  <c r="N879" i="366"/>
  <c r="O879" i="366" s="1"/>
  <c r="N764" i="366"/>
  <c r="O764" i="366" s="1"/>
  <c r="N848" i="366"/>
  <c r="O848" i="366" s="1"/>
  <c r="N232" i="366"/>
  <c r="O232" i="366" s="1"/>
  <c r="N749" i="366"/>
  <c r="O749" i="366" s="1"/>
  <c r="N724" i="366"/>
  <c r="O724" i="366" s="1"/>
  <c r="N457" i="366"/>
  <c r="O457" i="366" s="1"/>
  <c r="N200" i="366"/>
  <c r="O200" i="366" s="1"/>
  <c r="N717" i="366"/>
  <c r="O717" i="366" s="1"/>
  <c r="N245" i="366"/>
  <c r="O245" i="366" s="1"/>
  <c r="N430" i="366"/>
  <c r="O430" i="366" s="1"/>
  <c r="N668" i="366"/>
  <c r="O668" i="366" s="1"/>
  <c r="N137" i="366"/>
  <c r="O137" i="366" s="1"/>
  <c r="N320" i="366"/>
  <c r="O320" i="366" s="1"/>
  <c r="N662" i="366"/>
  <c r="O662" i="366" s="1"/>
  <c r="N890" i="366"/>
  <c r="O890" i="366" s="1"/>
  <c r="N661" i="366"/>
  <c r="O661" i="366" s="1"/>
  <c r="N984" i="366"/>
  <c r="O984" i="366" s="1"/>
  <c r="N500" i="366"/>
  <c r="O500" i="366" s="1"/>
  <c r="N420" i="366"/>
  <c r="O420" i="366" s="1"/>
  <c r="N951" i="366"/>
  <c r="O951" i="366" s="1"/>
  <c r="N466" i="366"/>
  <c r="O466" i="366" s="1"/>
  <c r="N494" i="366"/>
  <c r="O494" i="366" s="1"/>
  <c r="N444" i="366"/>
  <c r="O444" i="366" s="1"/>
  <c r="N512" i="366"/>
  <c r="O512" i="366" s="1"/>
  <c r="N845" i="366"/>
  <c r="O845" i="366" s="1"/>
  <c r="N301" i="366"/>
  <c r="O301" i="366" s="1"/>
  <c r="N849" i="366"/>
  <c r="O849" i="366" s="1"/>
  <c r="N642" i="366"/>
  <c r="O642" i="366" s="1"/>
  <c r="N875" i="366"/>
  <c r="O875" i="366" s="1"/>
  <c r="N422" i="366"/>
  <c r="O422" i="366" s="1"/>
  <c r="N694" i="366"/>
  <c r="O694" i="366" s="1"/>
  <c r="N934" i="366"/>
  <c r="O934" i="366" s="1"/>
  <c r="N240" i="366"/>
  <c r="O240" i="366" s="1"/>
  <c r="N827" i="366"/>
  <c r="O827" i="366" s="1"/>
  <c r="N247" i="366"/>
  <c r="O247" i="366" s="1"/>
  <c r="N956" i="366"/>
  <c r="O956" i="366" s="1"/>
  <c r="N693" i="366"/>
  <c r="O693" i="366" s="1"/>
  <c r="N139" i="366"/>
  <c r="O139" i="366" s="1"/>
  <c r="N814" i="366"/>
  <c r="O814" i="366" s="1"/>
  <c r="N623" i="366"/>
  <c r="O623" i="366" s="1"/>
  <c r="N11" i="366"/>
  <c r="O11" i="366" s="1"/>
  <c r="N833" i="366"/>
  <c r="O833" i="366" s="1"/>
  <c r="N313" i="366"/>
  <c r="O313" i="366" s="1"/>
  <c r="N370" i="366"/>
  <c r="O370" i="366" s="1"/>
  <c r="N268" i="366"/>
  <c r="O268" i="366" s="1"/>
  <c r="N10" i="366"/>
  <c r="O10" i="366" s="1"/>
  <c r="N265" i="366"/>
  <c r="O265" i="366" s="1"/>
  <c r="N684" i="366"/>
  <c r="O684" i="366" s="1"/>
  <c r="N889" i="366"/>
  <c r="O889" i="366" s="1"/>
  <c r="N882" i="366"/>
  <c r="O882" i="366" s="1"/>
  <c r="N501" i="366"/>
  <c r="O501" i="366" s="1"/>
  <c r="N1010" i="366"/>
  <c r="O1010" i="366" s="1"/>
  <c r="N439" i="366"/>
  <c r="O439" i="366" s="1"/>
  <c r="N1014" i="366"/>
  <c r="O1014" i="366" s="1"/>
  <c r="N56" i="366"/>
  <c r="O56" i="366" s="1"/>
  <c r="N219" i="366"/>
  <c r="O219" i="366" s="1"/>
  <c r="N45" i="366"/>
  <c r="O45" i="366" s="1"/>
  <c r="N577" i="366"/>
  <c r="O577" i="366" s="1"/>
  <c r="N895" i="366"/>
  <c r="O895" i="366" s="1"/>
  <c r="N1011" i="366"/>
  <c r="O1011" i="366" s="1"/>
  <c r="N297" i="366"/>
  <c r="O297" i="366" s="1"/>
  <c r="N778" i="366"/>
  <c r="O778" i="366" s="1"/>
  <c r="N108" i="366"/>
  <c r="O108" i="366" s="1"/>
  <c r="N852" i="366"/>
  <c r="O852" i="366" s="1"/>
  <c r="N574" i="366"/>
  <c r="O574" i="366" s="1"/>
  <c r="N1018" i="366"/>
  <c r="O1018" i="366" s="1"/>
  <c r="N63" i="366"/>
  <c r="O63" i="366" s="1"/>
  <c r="N554" i="366"/>
  <c r="O554" i="366" s="1"/>
  <c r="N225" i="366"/>
  <c r="O225" i="366" s="1"/>
  <c r="N393" i="366"/>
  <c r="O393" i="366" s="1"/>
  <c r="N535" i="366"/>
  <c r="O535" i="366" s="1"/>
  <c r="N658" i="366"/>
  <c r="O658" i="366" s="1"/>
  <c r="N804" i="366"/>
  <c r="O804" i="366" s="1"/>
  <c r="N476" i="366"/>
  <c r="O476" i="366" s="1"/>
  <c r="N552" i="366"/>
  <c r="O552" i="366" s="1"/>
  <c r="N87" i="366"/>
  <c r="O87" i="366" s="1"/>
  <c r="N740" i="366"/>
  <c r="O740" i="366" s="1"/>
  <c r="N958" i="366"/>
  <c r="O958" i="366" s="1"/>
  <c r="N597" i="366"/>
  <c r="O597" i="366" s="1"/>
  <c r="N797" i="366"/>
  <c r="O797" i="366" s="1"/>
  <c r="N409" i="366"/>
  <c r="O409" i="366" s="1"/>
  <c r="N469" i="366"/>
  <c r="O469" i="366" s="1"/>
  <c r="N863" i="366"/>
  <c r="O863" i="366" s="1"/>
  <c r="N324" i="366"/>
  <c r="O324" i="366" s="1"/>
  <c r="N161" i="366"/>
  <c r="O161" i="366" s="1"/>
  <c r="N960" i="366"/>
  <c r="O960" i="366" s="1"/>
  <c r="N123" i="366"/>
  <c r="O123" i="366" s="1"/>
  <c r="N252" i="366"/>
  <c r="O252" i="366" s="1"/>
  <c r="N224" i="366"/>
  <c r="O224" i="366" s="1"/>
  <c r="N493" i="366"/>
  <c r="O493" i="366" s="1"/>
  <c r="N385" i="366"/>
  <c r="O385" i="366" s="1"/>
  <c r="N503" i="366"/>
  <c r="O503" i="366" s="1"/>
  <c r="N633" i="366"/>
  <c r="O633" i="366" s="1"/>
  <c r="N680" i="366"/>
  <c r="O680" i="366" s="1"/>
  <c r="N395" i="366"/>
  <c r="O395" i="366" s="1"/>
  <c r="N463" i="366"/>
  <c r="O463" i="366" s="1"/>
  <c r="N742" i="366"/>
  <c r="O742" i="366" s="1"/>
  <c r="N722" i="366"/>
  <c r="O722" i="366" s="1"/>
  <c r="N441" i="366"/>
  <c r="O441" i="366" s="1"/>
  <c r="N239" i="366"/>
  <c r="O239" i="366" s="1"/>
  <c r="N66" i="366"/>
  <c r="O66" i="366" s="1"/>
  <c r="N721" i="366"/>
  <c r="O721" i="366" s="1"/>
  <c r="N743" i="366"/>
  <c r="O743" i="366" s="1"/>
  <c r="N609" i="366"/>
  <c r="O609" i="366" s="1"/>
  <c r="N1004" i="366"/>
  <c r="O1004" i="366" s="1"/>
  <c r="N355" i="366"/>
  <c r="O355" i="366" s="1"/>
  <c r="N971" i="366"/>
  <c r="O971" i="366" s="1"/>
  <c r="N358" i="366"/>
  <c r="O358" i="366" s="1"/>
  <c r="N310" i="366"/>
  <c r="O310" i="366" s="1"/>
  <c r="N156" i="366"/>
  <c r="O156" i="366" s="1"/>
  <c r="N780" i="366"/>
  <c r="O780" i="366" s="1"/>
  <c r="N968" i="366"/>
  <c r="O968" i="366" s="1"/>
  <c r="N92" i="366"/>
  <c r="O92" i="366" s="1"/>
  <c r="N670" i="366"/>
  <c r="O670" i="366" s="1"/>
  <c r="N24" i="366"/>
  <c r="O24" i="366" s="1"/>
  <c r="N763" i="366"/>
  <c r="O763" i="366" s="1"/>
  <c r="N153" i="366"/>
  <c r="O153" i="366" s="1"/>
  <c r="N530" i="366"/>
  <c r="O530" i="366" s="1"/>
  <c r="N691" i="366"/>
  <c r="O691" i="366" s="1"/>
  <c r="N841" i="366"/>
  <c r="O841" i="366" s="1"/>
  <c r="N468" i="366"/>
  <c r="O468" i="366" s="1"/>
  <c r="N719" i="366"/>
  <c r="O719" i="366" s="1"/>
  <c r="N437" i="366"/>
  <c r="O437" i="366" s="1"/>
  <c r="N935" i="366"/>
  <c r="O935" i="366" s="1"/>
  <c r="N578" i="366"/>
  <c r="O578" i="366" s="1"/>
  <c r="N710" i="366"/>
  <c r="O710" i="366" s="1"/>
  <c r="N113" i="366"/>
  <c r="O113" i="366" s="1"/>
  <c r="N408" i="366"/>
  <c r="O408" i="366" s="1"/>
  <c r="N635" i="366"/>
  <c r="O635" i="366" s="1"/>
  <c r="N647" i="366"/>
  <c r="O647" i="366" s="1"/>
  <c r="N594" i="366"/>
  <c r="O594" i="366" s="1"/>
  <c r="N639" i="366"/>
  <c r="O639" i="366" s="1"/>
  <c r="N938" i="366"/>
  <c r="O938" i="366" s="1"/>
  <c r="N906" i="366"/>
  <c r="O906" i="366" s="1"/>
  <c r="N339" i="366"/>
  <c r="O339" i="366" s="1"/>
  <c r="N46" i="366"/>
  <c r="O46" i="366" s="1"/>
  <c r="N978" i="366"/>
  <c r="O978" i="366" s="1"/>
  <c r="N518" i="366"/>
  <c r="O518" i="366" s="1"/>
  <c r="N756" i="366"/>
  <c r="O756" i="366" s="1"/>
  <c r="N505" i="366"/>
  <c r="O505" i="366" s="1"/>
  <c r="N392" i="366"/>
  <c r="O392" i="366" s="1"/>
  <c r="N390" i="366"/>
  <c r="O390" i="366" s="1"/>
  <c r="N630" i="366"/>
  <c r="O630" i="366" s="1"/>
  <c r="N714" i="366"/>
  <c r="O714" i="366" s="1"/>
  <c r="N64" i="366"/>
  <c r="O64" i="366" s="1"/>
  <c r="N77" i="366"/>
  <c r="O77" i="366" s="1"/>
  <c r="N213" i="366"/>
  <c r="O213" i="366" s="1"/>
  <c r="N348" i="366"/>
  <c r="O348" i="366" s="1"/>
  <c r="N855" i="366"/>
  <c r="O855" i="366" s="1"/>
  <c r="N790" i="366"/>
  <c r="O790" i="366" s="1"/>
  <c r="N428" i="366"/>
  <c r="O428" i="366" s="1"/>
  <c r="N226" i="366"/>
  <c r="O226" i="366" s="1"/>
  <c r="N862" i="366"/>
  <c r="O862" i="366" s="1"/>
  <c r="N481" i="366"/>
  <c r="O481" i="366" s="1"/>
  <c r="N96" i="366"/>
  <c r="O96" i="366" s="1"/>
  <c r="N615" i="366"/>
  <c r="O615" i="366" s="1"/>
  <c r="N445" i="366"/>
  <c r="O445" i="366" s="1"/>
  <c r="N823" i="366"/>
  <c r="O823" i="366" s="1"/>
  <c r="N847" i="366"/>
  <c r="O847" i="366" s="1"/>
  <c r="N104" i="366"/>
  <c r="O104" i="366" s="1"/>
  <c r="N203" i="366"/>
  <c r="O203" i="366" s="1"/>
  <c r="N298" i="366"/>
  <c r="O298" i="366" s="1"/>
  <c r="N927" i="366"/>
  <c r="O927" i="366" s="1"/>
  <c r="N659" i="366"/>
  <c r="O659" i="366" s="1"/>
  <c r="N386" i="366"/>
  <c r="O386" i="366" s="1"/>
  <c r="N987" i="366"/>
  <c r="O987" i="366" s="1"/>
  <c r="N948" i="366"/>
  <c r="O948" i="366" s="1"/>
  <c r="N846" i="366"/>
  <c r="O846" i="366" s="1"/>
  <c r="N134" i="366"/>
  <c r="O134" i="366" s="1"/>
  <c r="N93" i="366"/>
  <c r="O93" i="366" s="1"/>
  <c r="N576" i="366"/>
  <c r="O576" i="366" s="1"/>
  <c r="N331" i="366"/>
  <c r="O331" i="366" s="1"/>
  <c r="N536" i="366"/>
  <c r="O536" i="366" s="1"/>
  <c r="N809" i="366"/>
  <c r="O809" i="366" s="1"/>
  <c r="N521" i="366"/>
  <c r="O521" i="366" s="1"/>
  <c r="N140" i="366"/>
  <c r="O140" i="366" s="1"/>
  <c r="N715" i="366"/>
  <c r="O715" i="366" s="1"/>
  <c r="N86" i="366"/>
  <c r="O86" i="366" s="1"/>
  <c r="N640" i="366"/>
  <c r="O640" i="366" s="1"/>
  <c r="N218" i="366"/>
  <c r="O218" i="366" s="1"/>
  <c r="N632" i="366"/>
  <c r="O632" i="366" s="1"/>
  <c r="N705" i="366"/>
  <c r="O705" i="366" s="1"/>
  <c r="N916" i="366"/>
  <c r="O916" i="366" s="1"/>
  <c r="N415" i="366"/>
  <c r="O415" i="366" s="1"/>
  <c r="N1015" i="366"/>
  <c r="O1015" i="366" s="1"/>
  <c r="N1020" i="366"/>
  <c r="O1020" i="366" s="1"/>
  <c r="N699" i="366"/>
  <c r="O699" i="366" s="1"/>
  <c r="N1017" i="366"/>
  <c r="O1017" i="366" s="1"/>
  <c r="N474" i="366"/>
  <c r="O474" i="366" s="1"/>
  <c r="N267" i="366"/>
  <c r="O267" i="366" s="1"/>
  <c r="N563" i="366"/>
  <c r="O563" i="366" s="1"/>
  <c r="N861" i="366"/>
  <c r="O861" i="366" s="1"/>
  <c r="N207" i="366"/>
  <c r="O207" i="366" s="1"/>
  <c r="N174" i="366"/>
  <c r="O174" i="366" s="1"/>
  <c r="N440" i="366"/>
  <c r="O440" i="366" s="1"/>
  <c r="N581" i="366"/>
  <c r="O581" i="366" s="1"/>
  <c r="N217" i="366"/>
  <c r="O217" i="366" s="1"/>
  <c r="N263" i="366"/>
  <c r="O263" i="366" s="1"/>
  <c r="N605" i="366"/>
  <c r="O605" i="366" s="1"/>
  <c r="N374" i="366"/>
  <c r="O374" i="366" s="1"/>
  <c r="N361" i="366"/>
  <c r="O361" i="366" s="1"/>
  <c r="N974" i="366"/>
  <c r="O974" i="366" s="1"/>
  <c r="N478" i="366"/>
  <c r="O478" i="366" s="1"/>
  <c r="N299" i="366"/>
  <c r="O299" i="366" s="1"/>
  <c r="N913" i="366"/>
  <c r="O913" i="366" s="1"/>
  <c r="N41" i="366"/>
  <c r="O41" i="366" s="1"/>
  <c r="N802" i="366"/>
  <c r="O802" i="366" s="1"/>
  <c r="N643" i="366"/>
  <c r="O643" i="366" s="1"/>
  <c r="N930" i="366"/>
  <c r="O930" i="366" s="1"/>
  <c r="N733" i="366"/>
  <c r="O733" i="366" s="1"/>
  <c r="N241" i="366"/>
  <c r="O241" i="366" s="1"/>
  <c r="N25" i="366"/>
  <c r="O25" i="366" s="1"/>
  <c r="N860" i="366"/>
  <c r="O860" i="366" s="1"/>
  <c r="N380" i="366"/>
  <c r="O380" i="366" s="1"/>
  <c r="N483" i="366"/>
  <c r="O483" i="366" s="1"/>
  <c r="N488" i="366"/>
  <c r="O488" i="366" s="1"/>
  <c r="N726" i="366"/>
  <c r="O726" i="366" s="1"/>
  <c r="N208" i="366"/>
  <c r="O208" i="366" s="1"/>
  <c r="N810" i="366"/>
  <c r="O810" i="366" s="1"/>
  <c r="N937" i="366"/>
  <c r="O937" i="366" s="1"/>
  <c r="N866" i="366"/>
  <c r="O866" i="366" s="1"/>
  <c r="N28" i="366"/>
  <c r="O28" i="366" s="1"/>
  <c r="N959" i="366"/>
  <c r="O959" i="366" s="1"/>
  <c r="N604" i="366"/>
  <c r="O604" i="366" s="1"/>
  <c r="N502" i="366"/>
  <c r="O502" i="366" s="1"/>
  <c r="N305" i="366"/>
  <c r="O305" i="366" s="1"/>
  <c r="N807" i="366"/>
  <c r="O807" i="366" s="1"/>
  <c r="N69" i="366"/>
  <c r="O69" i="366" s="1"/>
  <c r="N359" i="366"/>
  <c r="O359" i="366" s="1"/>
  <c r="N42" i="366"/>
  <c r="O42" i="366" s="1"/>
  <c r="N244" i="366"/>
  <c r="O244" i="366" s="1"/>
  <c r="N438" i="366"/>
  <c r="O438" i="366" s="1"/>
  <c r="N31" i="366"/>
  <c r="O31" i="366" s="1"/>
  <c r="N881" i="366"/>
  <c r="O881" i="366" s="1"/>
  <c r="N18" i="366"/>
  <c r="O18" i="366" s="1"/>
  <c r="N432" i="366"/>
  <c r="O432" i="366" s="1"/>
  <c r="N350" i="366"/>
  <c r="O350" i="366" s="1"/>
  <c r="N887" i="366"/>
  <c r="O887" i="366" s="1"/>
  <c r="N568" i="366"/>
  <c r="O568" i="366" s="1"/>
  <c r="N590" i="366"/>
  <c r="O590" i="366" s="1"/>
  <c r="N903" i="366"/>
  <c r="O903" i="366" s="1"/>
  <c r="N276" i="366"/>
  <c r="O276" i="366" s="1"/>
  <c r="N767" i="366"/>
  <c r="O767" i="366" s="1"/>
  <c r="N168" i="366"/>
  <c r="O168" i="366" s="1"/>
  <c r="N645" i="366"/>
  <c r="O645" i="366" s="1"/>
  <c r="N243" i="366"/>
  <c r="O243" i="366" s="1"/>
  <c r="N248" i="366"/>
  <c r="O248" i="366" s="1"/>
  <c r="N455" i="366"/>
  <c r="O455" i="366" s="1"/>
  <c r="N737" i="366"/>
  <c r="O737" i="366" s="1"/>
  <c r="N304" i="366"/>
  <c r="O304" i="366" s="1"/>
  <c r="N686" i="366"/>
  <c r="O686" i="366" s="1"/>
  <c r="N843" i="366"/>
  <c r="O843" i="366" s="1"/>
  <c r="N872" i="366"/>
  <c r="O872" i="366" s="1"/>
  <c r="N22" i="366"/>
  <c r="O22" i="366" s="1"/>
  <c r="N698" i="366"/>
  <c r="O698" i="366" s="1"/>
  <c r="N967" i="366"/>
  <c r="O967" i="366" s="1"/>
  <c r="N381" i="366"/>
  <c r="O381" i="366" s="1"/>
  <c r="N448" i="366"/>
  <c r="O448" i="366" s="1"/>
  <c r="N368" i="366"/>
  <c r="O368" i="366" s="1"/>
  <c r="N342" i="366"/>
  <c r="O342" i="366" s="1"/>
  <c r="N261" i="366"/>
  <c r="O261" i="366" s="1"/>
  <c r="N419" i="366"/>
  <c r="O419" i="366" s="1"/>
  <c r="N458" i="366"/>
  <c r="O458" i="366" s="1"/>
  <c r="N991" i="366"/>
  <c r="O991" i="366" s="1"/>
  <c r="N67" i="366"/>
  <c r="O67" i="366" s="1"/>
  <c r="N143" i="366"/>
  <c r="O143" i="366" s="1"/>
  <c r="N334" i="366"/>
  <c r="O334" i="366" s="1"/>
  <c r="N85" i="366"/>
  <c r="O85" i="366" s="1"/>
  <c r="N81" i="366"/>
  <c r="O81" i="366" s="1"/>
  <c r="N677" i="366"/>
  <c r="O677" i="366" s="1"/>
  <c r="N308" i="366"/>
  <c r="O308" i="366" s="1"/>
  <c r="N689" i="366"/>
  <c r="O689" i="366" s="1"/>
  <c r="N660" i="366"/>
  <c r="O660" i="366" s="1"/>
  <c r="N591" i="366"/>
  <c r="O591" i="366" s="1"/>
  <c r="N557" i="366"/>
  <c r="O557" i="366" s="1"/>
  <c r="N107" i="366"/>
  <c r="O107" i="366" s="1"/>
  <c r="N471" i="366"/>
  <c r="O471" i="366" s="1"/>
  <c r="N924" i="366"/>
  <c r="O924" i="366" s="1"/>
  <c r="N598" i="366"/>
  <c r="O598" i="366" s="1"/>
  <c r="N433" i="366"/>
  <c r="O433" i="366" s="1"/>
  <c r="N940" i="366"/>
  <c r="O940" i="366" s="1"/>
  <c r="N178" i="366"/>
  <c r="O178" i="366" s="1"/>
  <c r="N20" i="366"/>
  <c r="O20" i="366" s="1"/>
  <c r="N1006" i="366"/>
  <c r="O1006" i="366" s="1"/>
  <c r="N105" i="366"/>
  <c r="O105" i="366" s="1"/>
  <c r="N68" i="366"/>
  <c r="O68" i="366" s="1"/>
  <c r="N526" i="366"/>
  <c r="O526" i="366" s="1"/>
  <c r="N970" i="366"/>
  <c r="O970" i="366" s="1"/>
  <c r="N522" i="366"/>
  <c r="O522" i="366" s="1"/>
  <c r="N281" i="366"/>
  <c r="O281" i="366" s="1"/>
  <c r="N21" i="366"/>
  <c r="O21" i="366" s="1"/>
  <c r="N621" i="366"/>
  <c r="O621" i="366" s="1"/>
  <c r="N1001" i="366"/>
  <c r="O1001" i="366" s="1"/>
  <c r="N192" i="366"/>
  <c r="O192" i="366" s="1"/>
  <c r="N588" i="366"/>
  <c r="O588" i="366" s="1"/>
  <c r="N711" i="366"/>
  <c r="O711" i="366" s="1"/>
  <c r="N60" i="366"/>
  <c r="O60" i="366" s="1"/>
  <c r="N739" i="366"/>
  <c r="O739" i="366" s="1"/>
  <c r="N170" i="366"/>
  <c r="O170" i="366" s="1"/>
  <c r="N38" i="366"/>
  <c r="O38" i="366" s="1"/>
  <c r="N130" i="366"/>
  <c r="O130" i="366" s="1"/>
  <c r="N734" i="366"/>
  <c r="O734" i="366" s="1"/>
  <c r="N462" i="366"/>
  <c r="O462" i="366" s="1"/>
  <c r="N955" i="366"/>
  <c r="O955" i="366" s="1"/>
  <c r="N344" i="366"/>
  <c r="O344" i="366" s="1"/>
  <c r="N114" i="366"/>
  <c r="O114" i="366" s="1"/>
  <c r="N48" i="366"/>
  <c r="O48" i="366" s="1"/>
  <c r="N553" i="366"/>
  <c r="O553" i="366" s="1"/>
  <c r="N839" i="366"/>
  <c r="O839" i="366" s="1"/>
  <c r="N783" i="366"/>
  <c r="O783" i="366" s="1"/>
  <c r="N326" i="366"/>
  <c r="O326" i="366" s="1"/>
  <c r="N725" i="366"/>
  <c r="O725" i="366" s="1"/>
  <c r="N176" i="366"/>
  <c r="O176" i="366" s="1"/>
  <c r="N525" i="366"/>
  <c r="O525" i="366" s="1"/>
  <c r="N90" i="366"/>
  <c r="O90" i="366" s="1"/>
  <c r="N989" i="366"/>
  <c r="O989" i="366" s="1"/>
  <c r="N979" i="366"/>
  <c r="O979" i="366" s="1"/>
  <c r="N963" i="366"/>
  <c r="O963" i="366" s="1"/>
  <c r="N629" i="366"/>
  <c r="O629" i="366" s="1"/>
  <c r="N72" i="366"/>
  <c r="O72" i="366" s="1"/>
  <c r="N539" i="366"/>
  <c r="O539" i="366" s="1"/>
  <c r="N973" i="366"/>
  <c r="O973" i="366" s="1"/>
  <c r="N975" i="366"/>
  <c r="O975" i="366" s="1"/>
  <c r="N431" i="366"/>
  <c r="O431" i="366" s="1"/>
  <c r="N678" i="366"/>
  <c r="O678" i="366" s="1"/>
  <c r="N919" i="366"/>
  <c r="O919" i="366" s="1"/>
  <c r="N360" i="366"/>
  <c r="O360" i="366" s="1"/>
  <c r="N80" i="366"/>
  <c r="O80" i="366" s="1"/>
  <c r="N773" i="366"/>
  <c r="O773" i="366" s="1"/>
  <c r="N82" i="366"/>
  <c r="O82" i="366" s="1"/>
  <c r="N345" i="366"/>
  <c r="O345" i="366" s="1"/>
  <c r="N73" i="366"/>
  <c r="O73" i="366" s="1"/>
  <c r="N945" i="366"/>
  <c r="O945" i="366" s="1"/>
  <c r="N423" i="366"/>
  <c r="O423" i="366" s="1"/>
  <c r="N490" i="366"/>
  <c r="O490" i="366" s="1"/>
  <c r="N470" i="366"/>
  <c r="O470" i="366" s="1"/>
  <c r="N222" i="366"/>
  <c r="O222" i="366" s="1"/>
  <c r="N774" i="366"/>
  <c r="O774" i="366" s="1"/>
  <c r="N411" i="366"/>
  <c r="O411" i="366" s="1"/>
  <c r="N515" i="366"/>
  <c r="O515" i="366" s="1"/>
  <c r="N327" i="366"/>
  <c r="O327" i="366" s="1"/>
  <c r="N917" i="366"/>
  <c r="O917" i="366" s="1"/>
  <c r="N272" i="366"/>
  <c r="O272" i="366" s="1"/>
  <c r="N781" i="366"/>
  <c r="O781" i="366" s="1"/>
  <c r="N149" i="366"/>
  <c r="O149" i="366" s="1"/>
  <c r="N399" i="366"/>
  <c r="O399" i="366" s="1"/>
  <c r="N837" i="366"/>
  <c r="O837" i="366" s="1"/>
  <c r="N986" i="366"/>
  <c r="O986" i="366" s="1"/>
  <c r="N340" i="366"/>
  <c r="O340" i="366" s="1"/>
  <c r="N625" i="366"/>
  <c r="O625" i="366" s="1"/>
  <c r="N52" i="366"/>
  <c r="O52" i="366" s="1"/>
  <c r="N899" i="366"/>
  <c r="O899" i="366" s="1"/>
  <c r="N34" i="366"/>
  <c r="O34" i="366" s="1"/>
  <c r="N663" i="366"/>
  <c r="O663" i="366" s="1"/>
  <c r="N560" i="366"/>
  <c r="O560" i="366" s="1"/>
  <c r="N977" i="366"/>
  <c r="O977" i="366" s="1"/>
  <c r="N728" i="366"/>
  <c r="O728" i="366" s="1"/>
  <c r="N492" i="366"/>
  <c r="O492" i="366" s="1"/>
  <c r="N19" i="366"/>
  <c r="O19" i="366" s="1"/>
  <c r="N988" i="366"/>
  <c r="O988" i="366" s="1"/>
  <c r="N128" i="366"/>
  <c r="O128" i="366" s="1"/>
  <c r="N13" i="366"/>
  <c r="O13" i="366" s="1"/>
  <c r="N793" i="366"/>
  <c r="O793" i="366" s="1"/>
  <c r="N275" i="366"/>
  <c r="O275" i="366" s="1"/>
  <c r="N755" i="366"/>
  <c r="O755" i="366" s="1"/>
  <c r="N961" i="366"/>
  <c r="O961" i="366" s="1"/>
  <c r="N349" i="366"/>
  <c r="O349" i="366" s="1"/>
  <c r="N565" i="366"/>
  <c r="O565" i="366" s="1"/>
  <c r="N929" i="366"/>
  <c r="O929" i="366" s="1"/>
  <c r="N367" i="366"/>
  <c r="O367" i="366" s="1"/>
  <c r="N196" i="366"/>
  <c r="O196" i="366" s="1"/>
  <c r="N43" i="366"/>
  <c r="O43" i="366" s="1"/>
  <c r="N702" i="366"/>
  <c r="O702" i="366" s="1"/>
  <c r="N652" i="366"/>
  <c r="O652" i="366" s="1"/>
  <c r="N246" i="366"/>
  <c r="O246" i="366" s="1"/>
  <c r="N366" i="366"/>
  <c r="O366" i="366" s="1"/>
  <c r="N453" i="366"/>
  <c r="O453" i="366" s="1"/>
  <c r="N603" i="366"/>
  <c r="O603" i="366" s="1"/>
  <c r="N103" i="366"/>
  <c r="O103" i="366" s="1"/>
  <c r="N209" i="366"/>
  <c r="O209" i="366" s="1"/>
  <c r="N71" i="366"/>
  <c r="O71" i="366" s="1"/>
  <c r="N271" i="366"/>
  <c r="O271" i="366" s="1"/>
  <c r="N788" i="366"/>
  <c r="O788" i="366" s="1"/>
  <c r="N994" i="366"/>
  <c r="O994" i="366" s="1"/>
  <c r="N328" i="366"/>
  <c r="O328" i="366" s="1"/>
  <c r="N307" i="366"/>
  <c r="O307" i="366" s="1"/>
  <c r="N270" i="366"/>
  <c r="O270" i="366" s="1"/>
  <c r="N944" i="366"/>
  <c r="O944" i="366" s="1"/>
  <c r="N387" i="366"/>
  <c r="O387" i="366" s="1"/>
  <c r="N373" i="366"/>
  <c r="O373" i="366" s="1"/>
  <c r="N549" i="366"/>
  <c r="O549" i="366" s="1"/>
  <c r="N596" i="366"/>
  <c r="O596" i="366" s="1"/>
  <c r="N674" i="366"/>
  <c r="O674" i="366" s="1"/>
  <c r="N212" i="366"/>
  <c r="O212" i="366" s="1"/>
  <c r="N533" i="366"/>
  <c r="O533" i="366" s="1"/>
  <c r="N676" i="366"/>
  <c r="O676" i="366" s="1"/>
  <c r="N760" i="366"/>
  <c r="O760" i="366" s="1"/>
  <c r="N122" i="366"/>
  <c r="O122" i="366" s="1"/>
  <c r="N78" i="366"/>
  <c r="O78" i="366" s="1"/>
  <c r="N377" i="366"/>
  <c r="O377" i="366" s="1"/>
  <c r="N413" i="366"/>
  <c r="O413" i="366" s="1"/>
  <c r="N679" i="366"/>
  <c r="O679" i="366" s="1"/>
  <c r="N201" i="366"/>
  <c r="O201" i="366" s="1"/>
  <c r="N628" i="366"/>
  <c r="O628" i="366" s="1"/>
  <c r="N397" i="366"/>
  <c r="O397" i="366" s="1"/>
  <c r="N294" i="366"/>
  <c r="O294" i="366" s="1"/>
  <c r="N821" i="366"/>
  <c r="O821" i="366" s="1"/>
  <c r="N768" i="366"/>
  <c r="O768" i="366" s="1"/>
  <c r="N904" i="366"/>
  <c r="O904" i="366" s="1"/>
  <c r="N954" i="366"/>
  <c r="O954" i="366" s="1"/>
  <c r="N384" i="366"/>
  <c r="O384" i="366" s="1"/>
  <c r="N136" i="366"/>
  <c r="O136" i="366" s="1"/>
  <c r="N840" i="366"/>
  <c r="O840" i="366" s="1"/>
  <c r="N618" i="366"/>
  <c r="O618" i="366" s="1"/>
  <c r="N800" i="366"/>
  <c r="O800" i="366" s="1"/>
  <c r="N47" i="366"/>
  <c r="O47" i="366" s="1"/>
  <c r="N129" i="366"/>
  <c r="O129" i="366" s="1"/>
  <c r="N601" i="366"/>
  <c r="O601" i="366" s="1"/>
  <c r="N167" i="366"/>
  <c r="O167" i="366" s="1"/>
  <c r="N665" i="366"/>
  <c r="O665" i="366" s="1"/>
  <c r="N573" i="366"/>
  <c r="O573" i="366" s="1"/>
  <c r="N443" i="366"/>
  <c r="O443" i="366" s="1"/>
  <c r="N704" i="366"/>
  <c r="O704" i="366" s="1"/>
  <c r="N183" i="366"/>
  <c r="O183" i="366" s="1"/>
  <c r="N777" i="366"/>
  <c r="O777" i="366" s="1"/>
  <c r="N873" i="366"/>
  <c r="O873" i="366" s="1"/>
  <c r="N555" i="366"/>
  <c r="O555" i="366" s="1"/>
  <c r="N648" i="366"/>
  <c r="O648" i="366" s="1"/>
  <c r="N610" i="366"/>
  <c r="O610" i="366" s="1"/>
  <c r="N732" i="366"/>
  <c r="O732" i="366" s="1"/>
  <c r="N546" i="366"/>
  <c r="O546" i="366" s="1"/>
  <c r="N400" i="366"/>
  <c r="O400" i="366" s="1"/>
  <c r="N99" i="366"/>
  <c r="O99" i="366" s="1"/>
  <c r="N418" i="366"/>
  <c r="O418" i="366" s="1"/>
  <c r="N941" i="366"/>
  <c r="O941" i="366" s="1"/>
  <c r="N211" i="366"/>
  <c r="O211" i="366" s="1"/>
  <c r="N39" i="366"/>
  <c r="O39" i="366" s="1"/>
  <c r="N199" i="366"/>
  <c r="O199" i="366" s="1"/>
  <c r="N602" i="366"/>
  <c r="O602" i="366" s="1"/>
  <c r="N253" i="366"/>
  <c r="O253" i="366" s="1"/>
  <c r="N132" i="366"/>
  <c r="O132" i="366" s="1"/>
  <c r="N180" i="366"/>
  <c r="O180" i="366" s="1"/>
  <c r="N830" i="366"/>
  <c r="O830" i="366" s="1"/>
  <c r="N506" i="366"/>
  <c r="O506" i="366" s="1"/>
  <c r="N126" i="366"/>
  <c r="O126" i="366" s="1"/>
  <c r="N283" i="366"/>
  <c r="O283" i="366" s="1"/>
  <c r="N550" i="366"/>
  <c r="O550" i="366" s="1"/>
  <c r="N315" i="366"/>
  <c r="O315" i="366" s="1"/>
  <c r="N277" i="366"/>
  <c r="O277" i="366" s="1"/>
  <c r="N142" i="366"/>
  <c r="O142" i="366" s="1"/>
  <c r="N712" i="366"/>
  <c r="O712" i="366" s="1"/>
  <c r="N682" i="366"/>
  <c r="O682" i="366" s="1"/>
  <c r="N673" i="366"/>
  <c r="O673" i="366" s="1"/>
  <c r="N309" i="366"/>
  <c r="O309" i="366" s="1"/>
  <c r="N95" i="366"/>
  <c r="O95" i="366" s="1"/>
  <c r="N842" i="366"/>
  <c r="O842" i="366" s="1"/>
  <c r="N812" i="366"/>
  <c r="O812" i="366" s="1"/>
  <c r="N671" i="366"/>
  <c r="O671" i="366" s="1"/>
  <c r="N517" i="366"/>
  <c r="O517" i="366" s="1"/>
  <c r="N194" i="366"/>
  <c r="O194" i="366" s="1"/>
  <c r="N637" i="366"/>
  <c r="O637" i="366" s="1"/>
  <c r="N631" i="366"/>
  <c r="O631" i="366" s="1"/>
  <c r="N914" i="366"/>
  <c r="O914" i="366" s="1"/>
  <c r="N436" i="366"/>
  <c r="O436" i="366" s="1"/>
  <c r="N58" i="366"/>
  <c r="O58" i="366" s="1"/>
  <c r="N62" i="366"/>
  <c r="O62" i="366" s="1"/>
  <c r="N806" i="366"/>
  <c r="O806" i="366" s="1"/>
  <c r="N83" i="366"/>
  <c r="O83" i="366" s="1"/>
  <c r="N547" i="366"/>
  <c r="O547" i="366" s="1"/>
  <c r="N687" i="366"/>
  <c r="O687" i="366" s="1"/>
  <c r="N289" i="366"/>
  <c r="O289" i="366" s="1"/>
  <c r="N943" i="366"/>
  <c r="O943" i="366" s="1"/>
  <c r="N586" i="366"/>
  <c r="O586" i="366" s="1"/>
  <c r="N314" i="366"/>
  <c r="O314" i="366" s="1"/>
  <c r="N520" i="366"/>
  <c r="O520" i="366" s="1"/>
  <c r="N634" i="366"/>
  <c r="O634" i="366" s="1"/>
  <c r="N1002" i="366"/>
  <c r="O1002" i="366" s="1"/>
  <c r="N567" i="366"/>
  <c r="O567" i="366" s="1"/>
  <c r="N746" i="366"/>
  <c r="O746" i="366" s="1"/>
  <c r="N155" i="366"/>
  <c r="O155" i="366" s="1"/>
  <c r="N282" i="366"/>
  <c r="O282" i="366" s="1"/>
  <c r="N316" i="366"/>
  <c r="O316" i="366" s="1"/>
  <c r="N826" i="366"/>
  <c r="O826" i="366" s="1"/>
  <c r="N179" i="366"/>
  <c r="O179" i="366" s="1"/>
  <c r="N608" i="366"/>
  <c r="O608" i="366" s="1"/>
  <c r="N996" i="366"/>
  <c r="O996" i="366" s="1"/>
  <c r="N216" i="366"/>
  <c r="O216" i="366" s="1"/>
  <c r="N877" i="366"/>
  <c r="O877" i="366" s="1"/>
  <c r="DX44" i="168"/>
  <c r="F52" i="400"/>
  <c r="F54" i="400" s="1"/>
  <c r="F52" i="302"/>
  <c r="CX44" i="168"/>
  <c r="CX45" i="168" s="1"/>
  <c r="CZ45" i="168" s="1"/>
  <c r="CX112" i="168"/>
  <c r="CX51" i="168" s="1"/>
  <c r="C58" i="303"/>
  <c r="S72" i="168"/>
  <c r="S73" i="168" s="1"/>
  <c r="S75" i="168" s="1"/>
  <c r="U70" i="168"/>
  <c r="Q73" i="168"/>
  <c r="W94" i="388"/>
  <c r="D71" i="408"/>
  <c r="J71" i="248" s="1"/>
  <c r="E21" i="421"/>
  <c r="C19" i="409"/>
  <c r="E19" i="409" s="1"/>
  <c r="I93" i="352"/>
  <c r="G94" i="352"/>
  <c r="G95" i="352" s="1"/>
  <c r="AG71" i="168"/>
  <c r="AE72" i="168"/>
  <c r="C134" i="327" s="1"/>
  <c r="S41" i="388"/>
  <c r="S42" i="388" s="1"/>
  <c r="U39" i="388"/>
  <c r="U41" i="388" s="1"/>
  <c r="U42" i="388" s="1"/>
  <c r="U44" i="388" s="1"/>
  <c r="O98" i="388"/>
  <c r="O99" i="388" s="1"/>
  <c r="O103" i="388" s="1"/>
  <c r="W72" i="388"/>
  <c r="W73" i="388" s="1"/>
  <c r="Y71" i="388"/>
  <c r="Y72" i="388" s="1"/>
  <c r="Y73" i="388" s="1"/>
  <c r="Y74" i="388" s="1"/>
  <c r="G97" i="348"/>
  <c r="DF112" i="168"/>
  <c r="DF44" i="168"/>
  <c r="DF45" i="168" s="1"/>
  <c r="DH45" i="168" s="1"/>
  <c r="W41" i="389"/>
  <c r="W42" i="389" s="1"/>
  <c r="Y40" i="389"/>
  <c r="J61" i="2"/>
  <c r="M86" i="60" s="1"/>
  <c r="J59" i="2"/>
  <c r="H53" i="315"/>
  <c r="W41" i="168"/>
  <c r="W42" i="168" s="1"/>
  <c r="Y40" i="168"/>
  <c r="E91" i="303"/>
  <c r="AC39" i="389"/>
  <c r="AC41" i="389" s="1"/>
  <c r="AC42" i="389" s="1"/>
  <c r="AC44" i="389" s="1"/>
  <c r="AA41" i="389"/>
  <c r="AA42" i="389" s="1"/>
  <c r="E20" i="435"/>
  <c r="I29" i="167"/>
  <c r="BB35" i="167"/>
  <c r="I47" i="167"/>
  <c r="C14" i="428" s="1"/>
  <c r="I77" i="167"/>
  <c r="I78" i="167" s="1"/>
  <c r="D21" i="308"/>
  <c r="C22" i="305"/>
  <c r="I79" i="268"/>
  <c r="O94" i="352"/>
  <c r="O95" i="352" s="1"/>
  <c r="Q93" i="352"/>
  <c r="DH43" i="168"/>
  <c r="F53" i="302"/>
  <c r="C19" i="364" s="1"/>
  <c r="E91" i="327"/>
  <c r="AG40" i="168"/>
  <c r="AE41" i="168"/>
  <c r="AE42" i="168" s="1"/>
  <c r="I124" i="388"/>
  <c r="I148" i="388"/>
  <c r="D24" i="288"/>
  <c r="I59" i="2"/>
  <c r="D25" i="288" s="1"/>
  <c r="I61" i="2"/>
  <c r="L86" i="60" s="1"/>
  <c r="G44" i="388"/>
  <c r="G45" i="388" s="1"/>
  <c r="I45" i="388" s="1"/>
  <c r="I47" i="388" s="1"/>
  <c r="G128" i="388"/>
  <c r="AS91" i="167"/>
  <c r="AT91" i="167"/>
  <c r="G35" i="167"/>
  <c r="G37" i="167"/>
  <c r="G34" i="167"/>
  <c r="G30" i="167"/>
  <c r="C16" i="376"/>
  <c r="G38" i="167"/>
  <c r="AA72" i="168"/>
  <c r="AA73" i="168" s="1"/>
  <c r="AA75" i="168" s="1"/>
  <c r="AC70" i="168"/>
  <c r="C58" i="327"/>
  <c r="H52" i="302"/>
  <c r="H54" i="302" s="1"/>
  <c r="G52" i="400"/>
  <c r="G54" i="400" s="1"/>
  <c r="G76" i="400" s="1"/>
  <c r="AI79" i="60"/>
  <c r="J321" i="366"/>
  <c r="K321" i="366" s="1"/>
  <c r="J463" i="366"/>
  <c r="K463" i="366" s="1"/>
  <c r="J435" i="366"/>
  <c r="K435" i="366" s="1"/>
  <c r="J4" i="366"/>
  <c r="M4" i="366" s="1"/>
  <c r="J716" i="366"/>
  <c r="K716" i="366" s="1"/>
  <c r="J78" i="366"/>
  <c r="K78" i="366" s="1"/>
  <c r="J553" i="366"/>
  <c r="K553" i="366" s="1"/>
  <c r="J212" i="366"/>
  <c r="K212" i="366" s="1"/>
  <c r="J437" i="366"/>
  <c r="K437" i="366" s="1"/>
  <c r="J145" i="366"/>
  <c r="K145" i="366" s="1"/>
  <c r="J852" i="366"/>
  <c r="K852" i="366" s="1"/>
  <c r="J11" i="366"/>
  <c r="K11" i="366" s="1"/>
  <c r="J452" i="366"/>
  <c r="K452" i="366" s="1"/>
  <c r="J546" i="366"/>
  <c r="K546" i="366" s="1"/>
  <c r="J327" i="366"/>
  <c r="K327" i="366" s="1"/>
  <c r="J824" i="366"/>
  <c r="K824" i="366" s="1"/>
  <c r="J913" i="366"/>
  <c r="K913" i="366" s="1"/>
  <c r="J441" i="366"/>
  <c r="K441" i="366" s="1"/>
  <c r="J104" i="366"/>
  <c r="K104" i="366" s="1"/>
  <c r="J831" i="366"/>
  <c r="K831" i="366" s="1"/>
  <c r="J613" i="366"/>
  <c r="K613" i="366" s="1"/>
  <c r="J45" i="366"/>
  <c r="K45" i="366" s="1"/>
  <c r="J942" i="366"/>
  <c r="K942" i="366" s="1"/>
  <c r="J605" i="366"/>
  <c r="K605" i="366" s="1"/>
  <c r="J859" i="366"/>
  <c r="K859" i="366" s="1"/>
  <c r="J296" i="366"/>
  <c r="K296" i="366" s="1"/>
  <c r="J419" i="366"/>
  <c r="K419" i="366" s="1"/>
  <c r="J948" i="366"/>
  <c r="K948" i="366" s="1"/>
  <c r="J530" i="366"/>
  <c r="K530" i="366" s="1"/>
  <c r="J171" i="366"/>
  <c r="K171" i="366" s="1"/>
  <c r="J461" i="366"/>
  <c r="K461" i="366" s="1"/>
  <c r="J356" i="366"/>
  <c r="K356" i="366" s="1"/>
  <c r="J430" i="366"/>
  <c r="K430" i="366" s="1"/>
  <c r="J478" i="366"/>
  <c r="K478" i="366" s="1"/>
  <c r="J878" i="366"/>
  <c r="K878" i="366" s="1"/>
  <c r="J289" i="366"/>
  <c r="K289" i="366" s="1"/>
  <c r="J1004" i="366"/>
  <c r="K1004" i="366" s="1"/>
  <c r="J1019" i="366"/>
  <c r="K1019" i="366" s="1"/>
  <c r="J114" i="366"/>
  <c r="K114" i="366" s="1"/>
  <c r="J358" i="366"/>
  <c r="K358" i="366" s="1"/>
  <c r="J279" i="366"/>
  <c r="K279" i="366" s="1"/>
  <c r="J477" i="366"/>
  <c r="K477" i="366" s="1"/>
  <c r="J561" i="366"/>
  <c r="K561" i="366" s="1"/>
  <c r="J206" i="366"/>
  <c r="K206" i="366" s="1"/>
  <c r="J26" i="366"/>
  <c r="K26" i="366" s="1"/>
  <c r="J802" i="366"/>
  <c r="K802" i="366" s="1"/>
  <c r="J595" i="366"/>
  <c r="K595" i="366" s="1"/>
  <c r="J221" i="366"/>
  <c r="K221" i="366" s="1"/>
  <c r="J33" i="366"/>
  <c r="K33" i="366" s="1"/>
  <c r="J28" i="366"/>
  <c r="K28" i="366" s="1"/>
  <c r="J706" i="366"/>
  <c r="K706" i="366" s="1"/>
  <c r="J689" i="366"/>
  <c r="K689" i="366" s="1"/>
  <c r="J850" i="366"/>
  <c r="K850" i="366" s="1"/>
  <c r="J453" i="366"/>
  <c r="K453" i="366" s="1"/>
  <c r="J832" i="366"/>
  <c r="K832" i="366" s="1"/>
  <c r="J649" i="366"/>
  <c r="K649" i="366" s="1"/>
  <c r="J302" i="366"/>
  <c r="K302" i="366" s="1"/>
  <c r="J60" i="366"/>
  <c r="K60" i="366" s="1"/>
  <c r="J98" i="366"/>
  <c r="K98" i="366" s="1"/>
  <c r="J79" i="366"/>
  <c r="K79" i="366" s="1"/>
  <c r="J524" i="366"/>
  <c r="K524" i="366" s="1"/>
  <c r="J369" i="366"/>
  <c r="K369" i="366" s="1"/>
  <c r="J973" i="366"/>
  <c r="K973" i="366" s="1"/>
  <c r="J693" i="366"/>
  <c r="K693" i="366" s="1"/>
  <c r="J190" i="366"/>
  <c r="K190" i="366" s="1"/>
  <c r="J690" i="366"/>
  <c r="K690" i="366" s="1"/>
  <c r="J820" i="366"/>
  <c r="K820" i="366" s="1"/>
  <c r="J669" i="366"/>
  <c r="K669" i="366" s="1"/>
  <c r="J152" i="366"/>
  <c r="K152" i="366" s="1"/>
  <c r="J584" i="366"/>
  <c r="K584" i="366" s="1"/>
  <c r="J726" i="366"/>
  <c r="K726" i="366" s="1"/>
  <c r="J329" i="366"/>
  <c r="K329" i="366" s="1"/>
  <c r="J387" i="366"/>
  <c r="K387" i="366" s="1"/>
  <c r="J746" i="366"/>
  <c r="K746" i="366" s="1"/>
  <c r="J955" i="366"/>
  <c r="K955" i="366" s="1"/>
  <c r="J34" i="366"/>
  <c r="K34" i="366" s="1"/>
  <c r="J520" i="366"/>
  <c r="K520" i="366" s="1"/>
  <c r="J928" i="366"/>
  <c r="K928" i="366" s="1"/>
  <c r="J647" i="366"/>
  <c r="K647" i="366" s="1"/>
  <c r="J514" i="366"/>
  <c r="K514" i="366" s="1"/>
  <c r="J761" i="366"/>
  <c r="K761" i="366" s="1"/>
  <c r="J27" i="366"/>
  <c r="K27" i="366" s="1"/>
  <c r="J1015" i="366"/>
  <c r="K1015" i="366" s="1"/>
  <c r="J626" i="366"/>
  <c r="K626" i="366" s="1"/>
  <c r="J69" i="366"/>
  <c r="K69" i="366" s="1"/>
  <c r="J337" i="366"/>
  <c r="K337" i="366" s="1"/>
  <c r="J479" i="366"/>
  <c r="K479" i="366" s="1"/>
  <c r="J803" i="366"/>
  <c r="K803" i="366" s="1"/>
  <c r="J59" i="366"/>
  <c r="K59" i="366" s="1"/>
  <c r="J250" i="366"/>
  <c r="K250" i="366" s="1"/>
  <c r="J785" i="366"/>
  <c r="K785" i="366" s="1"/>
  <c r="J941" i="366"/>
  <c r="K941" i="366" s="1"/>
  <c r="J1013" i="366"/>
  <c r="K1013" i="366" s="1"/>
  <c r="J778" i="366"/>
  <c r="K778" i="366" s="1"/>
  <c r="J877" i="366"/>
  <c r="K877" i="366" s="1"/>
  <c r="J515" i="366"/>
  <c r="K515" i="366" s="1"/>
  <c r="J582" i="366"/>
  <c r="K582" i="366" s="1"/>
  <c r="J351" i="366"/>
  <c r="K351" i="366" s="1"/>
  <c r="J767" i="366"/>
  <c r="K767" i="366" s="1"/>
  <c r="J328" i="366"/>
  <c r="K328" i="366" s="1"/>
  <c r="J722" i="366"/>
  <c r="K722" i="366" s="1"/>
  <c r="J346" i="366"/>
  <c r="K346" i="366" s="1"/>
  <c r="J902" i="366"/>
  <c r="K902" i="366" s="1"/>
  <c r="J226" i="366"/>
  <c r="K226" i="366" s="1"/>
  <c r="J618" i="366"/>
  <c r="K618" i="366" s="1"/>
  <c r="J617" i="366"/>
  <c r="K617" i="366" s="1"/>
  <c r="J167" i="366"/>
  <c r="K167" i="366" s="1"/>
  <c r="J985" i="366"/>
  <c r="K985" i="366" s="1"/>
  <c r="J847" i="366"/>
  <c r="K847" i="366" s="1"/>
  <c r="J228" i="366"/>
  <c r="K228" i="366" s="1"/>
  <c r="J971" i="366"/>
  <c r="K971" i="366" s="1"/>
  <c r="J109" i="366"/>
  <c r="K109" i="366" s="1"/>
  <c r="J837" i="366"/>
  <c r="K837" i="366" s="1"/>
  <c r="J729" i="366"/>
  <c r="K729" i="366" s="1"/>
  <c r="J807" i="366"/>
  <c r="K807" i="366" s="1"/>
  <c r="J25" i="366"/>
  <c r="K25" i="366" s="1"/>
  <c r="J119" i="366"/>
  <c r="K119" i="366" s="1"/>
  <c r="J165" i="366"/>
  <c r="K165" i="366" s="1"/>
  <c r="J798" i="366"/>
  <c r="K798" i="366" s="1"/>
  <c r="J680" i="366"/>
  <c r="K680" i="366" s="1"/>
  <c r="J702" i="366"/>
  <c r="K702" i="366" s="1"/>
  <c r="J424" i="366"/>
  <c r="K424" i="366" s="1"/>
  <c r="J823" i="366"/>
  <c r="K823" i="366" s="1"/>
  <c r="J429" i="366"/>
  <c r="K429" i="366" s="1"/>
  <c r="J983" i="366"/>
  <c r="K983" i="366" s="1"/>
  <c r="J641" i="366"/>
  <c r="K641" i="366" s="1"/>
  <c r="J394" i="366"/>
  <c r="K394" i="366" s="1"/>
  <c r="J540" i="366"/>
  <c r="K540" i="366" s="1"/>
  <c r="J393" i="366"/>
  <c r="K393" i="366" s="1"/>
  <c r="J571" i="366"/>
  <c r="K571" i="366" s="1"/>
  <c r="J696" i="366"/>
  <c r="K696" i="366" s="1"/>
  <c r="J615" i="366"/>
  <c r="K615" i="366" s="1"/>
  <c r="J970" i="366"/>
  <c r="K970" i="366" s="1"/>
  <c r="J739" i="366"/>
  <c r="K739" i="366" s="1"/>
  <c r="J940" i="366"/>
  <c r="K940" i="366" s="1"/>
  <c r="J264" i="366"/>
  <c r="K264" i="366" s="1"/>
  <c r="J980" i="366"/>
  <c r="K980" i="366" s="1"/>
  <c r="J881" i="366"/>
  <c r="K881" i="366" s="1"/>
  <c r="J749" i="366"/>
  <c r="K749" i="366" s="1"/>
  <c r="J857" i="366"/>
  <c r="K857" i="366" s="1"/>
  <c r="J198" i="366"/>
  <c r="K198" i="366" s="1"/>
  <c r="J247" i="366"/>
  <c r="K247" i="366" s="1"/>
  <c r="J135" i="366"/>
  <c r="K135" i="366" s="1"/>
  <c r="J543" i="366"/>
  <c r="K543" i="366" s="1"/>
  <c r="J19" i="366"/>
  <c r="K19" i="366" s="1"/>
  <c r="J125" i="366"/>
  <c r="K125" i="366" s="1"/>
  <c r="J8" i="366"/>
  <c r="K8" i="366" s="1"/>
  <c r="J355" i="366"/>
  <c r="K355" i="366" s="1"/>
  <c r="J909" i="366"/>
  <c r="K909" i="366" s="1"/>
  <c r="J304" i="366"/>
  <c r="K304" i="366" s="1"/>
  <c r="J276" i="366"/>
  <c r="K276" i="366" s="1"/>
  <c r="J451" i="366"/>
  <c r="K451" i="366" s="1"/>
  <c r="J639" i="366"/>
  <c r="K639" i="366" s="1"/>
  <c r="J678" i="366"/>
  <c r="K678" i="366" s="1"/>
  <c r="J800" i="366"/>
  <c r="K800" i="366" s="1"/>
  <c r="J965" i="366"/>
  <c r="K965" i="366" s="1"/>
  <c r="J233" i="366"/>
  <c r="K233" i="366" s="1"/>
  <c r="J18" i="366"/>
  <c r="K18" i="366" s="1"/>
  <c r="J200" i="366"/>
  <c r="K200" i="366" s="1"/>
  <c r="J700" i="366"/>
  <c r="K700" i="366" s="1"/>
  <c r="J687" i="366"/>
  <c r="K687" i="366" s="1"/>
  <c r="J796" i="366"/>
  <c r="K796" i="366" s="1"/>
  <c r="J666" i="366"/>
  <c r="K666" i="366" s="1"/>
  <c r="J611" i="366"/>
  <c r="K611" i="366" s="1"/>
  <c r="J917" i="366"/>
  <c r="K917" i="366" s="1"/>
  <c r="J845" i="366"/>
  <c r="K845" i="366" s="1"/>
  <c r="J848" i="366"/>
  <c r="K848" i="366" s="1"/>
  <c r="J644" i="366"/>
  <c r="K644" i="366" s="1"/>
  <c r="J988" i="366"/>
  <c r="K988" i="366" s="1"/>
  <c r="J732" i="366"/>
  <c r="K732" i="366" s="1"/>
  <c r="J155" i="366"/>
  <c r="K155" i="366" s="1"/>
  <c r="J932" i="366"/>
  <c r="K932" i="366" s="1"/>
  <c r="J285" i="366"/>
  <c r="K285" i="366" s="1"/>
  <c r="J528" i="366"/>
  <c r="K528" i="366" s="1"/>
  <c r="J840" i="366"/>
  <c r="K840" i="366" s="1"/>
  <c r="J390" i="366"/>
  <c r="K390" i="366" s="1"/>
  <c r="J905" i="366"/>
  <c r="K905" i="366" s="1"/>
  <c r="J139" i="366"/>
  <c r="K139" i="366" s="1"/>
  <c r="J782" i="366"/>
  <c r="K782" i="366" s="1"/>
  <c r="J62" i="366"/>
  <c r="K62" i="366" s="1"/>
  <c r="J652" i="366"/>
  <c r="K652" i="366" s="1"/>
  <c r="J293" i="366"/>
  <c r="K293" i="366" s="1"/>
  <c r="J938" i="366"/>
  <c r="K938" i="366" s="1"/>
  <c r="J638" i="366"/>
  <c r="K638" i="366" s="1"/>
  <c r="J982" i="366"/>
  <c r="K982" i="366" s="1"/>
  <c r="J964" i="366"/>
  <c r="K964" i="366" s="1"/>
  <c r="J332" i="366"/>
  <c r="K332" i="366" s="1"/>
  <c r="J444" i="366"/>
  <c r="K444" i="366" s="1"/>
  <c r="J867" i="366"/>
  <c r="K867" i="366" s="1"/>
  <c r="J721" i="366"/>
  <c r="K721" i="366" s="1"/>
  <c r="J920" i="366"/>
  <c r="K920" i="366" s="1"/>
  <c r="J272" i="366"/>
  <c r="K272" i="366" s="1"/>
  <c r="J398" i="366"/>
  <c r="K398" i="366" s="1"/>
  <c r="J330" i="366"/>
  <c r="K330" i="366" s="1"/>
  <c r="J670" i="366"/>
  <c r="K670" i="366" s="1"/>
  <c r="J1018" i="366"/>
  <c r="K1018" i="366" s="1"/>
  <c r="J898" i="366"/>
  <c r="K898" i="366" s="1"/>
  <c r="J590" i="366"/>
  <c r="K590" i="366" s="1"/>
  <c r="J636" i="366"/>
  <c r="K636" i="366" s="1"/>
  <c r="J372" i="366"/>
  <c r="K372" i="366" s="1"/>
  <c r="J939" i="366"/>
  <c r="K939" i="366" s="1"/>
  <c r="J688" i="366"/>
  <c r="K688" i="366" s="1"/>
  <c r="J482" i="366"/>
  <c r="K482" i="366" s="1"/>
  <c r="J631" i="366"/>
  <c r="K631" i="366" s="1"/>
  <c r="J88" i="366"/>
  <c r="K88" i="366" s="1"/>
  <c r="J284" i="366"/>
  <c r="K284" i="366" s="1"/>
  <c r="J560" i="366"/>
  <c r="K560" i="366" s="1"/>
  <c r="J266" i="366"/>
  <c r="K266" i="366" s="1"/>
  <c r="J574" i="366"/>
  <c r="K574" i="366" s="1"/>
  <c r="J350" i="366"/>
  <c r="K350" i="366" s="1"/>
  <c r="J979" i="366"/>
  <c r="K979" i="366" s="1"/>
  <c r="J956" i="366"/>
  <c r="K956" i="366" s="1"/>
  <c r="J808" i="366"/>
  <c r="K808" i="366" s="1"/>
  <c r="J480" i="366"/>
  <c r="K480" i="366" s="1"/>
  <c r="J35" i="366"/>
  <c r="K35" i="366" s="1"/>
  <c r="J462" i="366"/>
  <c r="K462" i="366" s="1"/>
  <c r="J258" i="366"/>
  <c r="K258" i="366" s="1"/>
  <c r="J159" i="366"/>
  <c r="K159" i="366" s="1"/>
  <c r="J481" i="366"/>
  <c r="K481" i="366" s="1"/>
  <c r="J836" i="366"/>
  <c r="K836" i="366" s="1"/>
  <c r="J157" i="366"/>
  <c r="K157" i="366" s="1"/>
  <c r="J253" i="366"/>
  <c r="K253" i="366" s="1"/>
  <c r="J246" i="366"/>
  <c r="K246" i="366" s="1"/>
  <c r="J469" i="366"/>
  <c r="K469" i="366" s="1"/>
  <c r="J623" i="366"/>
  <c r="K623" i="366" s="1"/>
  <c r="J422" i="366"/>
  <c r="K422" i="366" s="1"/>
  <c r="J141" i="366"/>
  <c r="K141" i="366" s="1"/>
  <c r="J879" i="366"/>
  <c r="K879" i="366" s="1"/>
  <c r="J1000" i="366"/>
  <c r="K1000" i="366" s="1"/>
  <c r="J663" i="366"/>
  <c r="K663" i="366" s="1"/>
  <c r="J324" i="366"/>
  <c r="K324" i="366" s="1"/>
  <c r="J750" i="366"/>
  <c r="K750" i="366" s="1"/>
  <c r="J787" i="366"/>
  <c r="K787" i="366" s="1"/>
  <c r="J180" i="366"/>
  <c r="K180" i="366" s="1"/>
  <c r="J7" i="366"/>
  <c r="K7" i="366" s="1"/>
  <c r="J10" i="366"/>
  <c r="K10" i="366" s="1"/>
  <c r="J130" i="366"/>
  <c r="K130" i="366" s="1"/>
  <c r="J791" i="366"/>
  <c r="K791" i="366" s="1"/>
  <c r="J968" i="366"/>
  <c r="K968" i="366" s="1"/>
  <c r="J755" i="366"/>
  <c r="K755" i="366" s="1"/>
  <c r="J1012" i="366"/>
  <c r="K1012" i="366" s="1"/>
  <c r="J549" i="366"/>
  <c r="K549" i="366" s="1"/>
  <c r="J998" i="366"/>
  <c r="K998" i="366" s="1"/>
  <c r="J621" i="366"/>
  <c r="K621" i="366" s="1"/>
  <c r="J885" i="366"/>
  <c r="K885" i="366" s="1"/>
  <c r="J149" i="366"/>
  <c r="K149" i="366" s="1"/>
  <c r="J148" i="366"/>
  <c r="K148" i="366" s="1"/>
  <c r="J914" i="366"/>
  <c r="K914" i="366" s="1"/>
  <c r="J243" i="366"/>
  <c r="K243" i="366" s="1"/>
  <c r="J981" i="366"/>
  <c r="K981" i="366" s="1"/>
  <c r="J777" i="366"/>
  <c r="K777" i="366" s="1"/>
  <c r="J699" i="366"/>
  <c r="K699" i="366" s="1"/>
  <c r="J143" i="366"/>
  <c r="K143" i="366" s="1"/>
  <c r="J476" i="366"/>
  <c r="K476" i="366" s="1"/>
  <c r="J504" i="366"/>
  <c r="K504" i="366" s="1"/>
  <c r="J789" i="366"/>
  <c r="K789" i="366" s="1"/>
  <c r="J311" i="366"/>
  <c r="K311" i="366" s="1"/>
  <c r="J822" i="366"/>
  <c r="K822" i="366" s="1"/>
  <c r="J227" i="366"/>
  <c r="K227" i="366" s="1"/>
  <c r="J813" i="366"/>
  <c r="K813" i="366" s="1"/>
  <c r="J860" i="366"/>
  <c r="K860" i="366" s="1"/>
  <c r="J82" i="366"/>
  <c r="K82" i="366" s="1"/>
  <c r="J113" i="366"/>
  <c r="K113" i="366" s="1"/>
  <c r="J951" i="366"/>
  <c r="K951" i="366" s="1"/>
  <c r="J275" i="366"/>
  <c r="K275" i="366" s="1"/>
  <c r="J457" i="366"/>
  <c r="K457" i="366" s="1"/>
  <c r="J208" i="366"/>
  <c r="K208" i="366" s="1"/>
  <c r="J821" i="366"/>
  <c r="K821" i="366" s="1"/>
  <c r="J975" i="366"/>
  <c r="K975" i="366" s="1"/>
  <c r="J460" i="366"/>
  <c r="K460" i="366" s="1"/>
  <c r="J110" i="366"/>
  <c r="K110" i="366" s="1"/>
  <c r="J124" i="366"/>
  <c r="K124" i="366" s="1"/>
  <c r="J412" i="366"/>
  <c r="K412" i="366" s="1"/>
  <c r="J128" i="366"/>
  <c r="K128" i="366" s="1"/>
  <c r="J75" i="366"/>
  <c r="K75" i="366" s="1"/>
  <c r="J489" i="366"/>
  <c r="K489" i="366" s="1"/>
  <c r="J744" i="366"/>
  <c r="K744" i="366" s="1"/>
  <c r="J305" i="366"/>
  <c r="K305" i="366" s="1"/>
  <c r="J446" i="366"/>
  <c r="K446" i="366" s="1"/>
  <c r="J908" i="366"/>
  <c r="K908" i="366" s="1"/>
  <c r="J12" i="366"/>
  <c r="K12" i="366" s="1"/>
  <c r="J946" i="366"/>
  <c r="K946" i="366" s="1"/>
  <c r="J257" i="366"/>
  <c r="K257" i="366" s="1"/>
  <c r="J160" i="366"/>
  <c r="K160" i="366" s="1"/>
  <c r="J997" i="366"/>
  <c r="K997" i="366" s="1"/>
  <c r="J541" i="366"/>
  <c r="K541" i="366" s="1"/>
  <c r="J728" i="366"/>
  <c r="K728" i="366" s="1"/>
  <c r="J503" i="366"/>
  <c r="K503" i="366" s="1"/>
  <c r="J566" i="366"/>
  <c r="K566" i="366" s="1"/>
  <c r="J974" i="366"/>
  <c r="K974" i="366" s="1"/>
  <c r="J773" i="366"/>
  <c r="K773" i="366" s="1"/>
  <c r="J865" i="366"/>
  <c r="K865" i="366" s="1"/>
  <c r="J30" i="366"/>
  <c r="K30" i="366" s="1"/>
  <c r="J900" i="366"/>
  <c r="K900" i="366" s="1"/>
  <c r="J682" i="366"/>
  <c r="K682" i="366" s="1"/>
  <c r="J793" i="366"/>
  <c r="K793" i="366" s="1"/>
  <c r="J320" i="366"/>
  <c r="K320" i="366" s="1"/>
  <c r="J359" i="366"/>
  <c r="K359" i="366" s="1"/>
  <c r="J132" i="366"/>
  <c r="K132" i="366" s="1"/>
  <c r="J695" i="366"/>
  <c r="K695" i="366" s="1"/>
  <c r="J651" i="366"/>
  <c r="K651" i="366" s="1"/>
  <c r="J17" i="366"/>
  <c r="K17" i="366" s="1"/>
  <c r="J36" i="366"/>
  <c r="K36" i="366" s="1"/>
  <c r="J357" i="366"/>
  <c r="K357" i="366" s="1"/>
  <c r="J500" i="366"/>
  <c r="K500" i="366" s="1"/>
  <c r="J76" i="366"/>
  <c r="K76" i="366" s="1"/>
  <c r="J697" i="366"/>
  <c r="K697" i="366" s="1"/>
  <c r="J391" i="366"/>
  <c r="K391" i="366" s="1"/>
  <c r="J1007" i="366"/>
  <c r="K1007" i="366" s="1"/>
  <c r="J268" i="366"/>
  <c r="K268" i="366" s="1"/>
  <c r="J211" i="366"/>
  <c r="K211" i="366" s="1"/>
  <c r="J668" i="366"/>
  <c r="K668" i="366" s="1"/>
  <c r="J861" i="366"/>
  <c r="K861" i="366" s="1"/>
  <c r="J542" i="366"/>
  <c r="K542" i="366" s="1"/>
  <c r="J658" i="366"/>
  <c r="K658" i="366" s="1"/>
  <c r="J856" i="366"/>
  <c r="K856" i="366" s="1"/>
  <c r="J373" i="366"/>
  <c r="K373" i="366" s="1"/>
  <c r="J930" i="366"/>
  <c r="K930" i="366" s="1"/>
  <c r="J493" i="366"/>
  <c r="K493" i="366" s="1"/>
  <c r="J648" i="366"/>
  <c r="K648" i="366" s="1"/>
  <c r="J907" i="366"/>
  <c r="K907" i="366" s="1"/>
  <c r="J93" i="366"/>
  <c r="K93" i="366" s="1"/>
  <c r="J734" i="366"/>
  <c r="K734" i="366" s="1"/>
  <c r="J485" i="366"/>
  <c r="K485" i="366" s="1"/>
  <c r="J316" i="366"/>
  <c r="K316" i="366" s="1"/>
  <c r="J996" i="366"/>
  <c r="K996" i="366" s="1"/>
  <c r="J911" i="366"/>
  <c r="K911" i="366" s="1"/>
  <c r="J959" i="366"/>
  <c r="K959" i="366" s="1"/>
  <c r="J402" i="366"/>
  <c r="K402" i="366" s="1"/>
  <c r="J593" i="366"/>
  <c r="K593" i="366" s="1"/>
  <c r="J1005" i="366"/>
  <c r="K1005" i="366" s="1"/>
  <c r="J323" i="366"/>
  <c r="K323" i="366" s="1"/>
  <c r="J365" i="366"/>
  <c r="K365" i="366" s="1"/>
  <c r="J925" i="366"/>
  <c r="K925" i="366" s="1"/>
  <c r="J251" i="366"/>
  <c r="K251" i="366" s="1"/>
  <c r="J731" i="366"/>
  <c r="K731" i="366" s="1"/>
  <c r="J976" i="366"/>
  <c r="K976" i="366" s="1"/>
  <c r="J547" i="366"/>
  <c r="K547" i="366" s="1"/>
  <c r="J783" i="366"/>
  <c r="K783" i="366" s="1"/>
  <c r="J522" i="366"/>
  <c r="K522" i="366" s="1"/>
  <c r="J916" i="366"/>
  <c r="K916" i="366" s="1"/>
  <c r="J780" i="366"/>
  <c r="K780" i="366" s="1"/>
  <c r="J120" i="366"/>
  <c r="K120" i="366" s="1"/>
  <c r="J863" i="366"/>
  <c r="K863" i="366" s="1"/>
  <c r="J310" i="366"/>
  <c r="K310" i="366" s="1"/>
  <c r="J534" i="366"/>
  <c r="K534" i="366" s="1"/>
  <c r="J177" i="366"/>
  <c r="K177" i="366" s="1"/>
  <c r="J718" i="366"/>
  <c r="K718" i="366" s="1"/>
  <c r="J222" i="366"/>
  <c r="K222" i="366" s="1"/>
  <c r="J325" i="366"/>
  <c r="K325" i="366" s="1"/>
  <c r="J74" i="366"/>
  <c r="K74" i="366" s="1"/>
  <c r="J364" i="366"/>
  <c r="K364" i="366" s="1"/>
  <c r="J585" i="366"/>
  <c r="K585" i="366" s="1"/>
  <c r="J564" i="366"/>
  <c r="K564" i="366" s="1"/>
  <c r="J108" i="366"/>
  <c r="K108" i="366" s="1"/>
  <c r="J788" i="366"/>
  <c r="K788" i="366" s="1"/>
  <c r="J376" i="366"/>
  <c r="K376" i="366" s="1"/>
  <c r="J675" i="366"/>
  <c r="K675" i="366" s="1"/>
  <c r="J297" i="366"/>
  <c r="K297" i="366" s="1"/>
  <c r="J616" i="366"/>
  <c r="K616" i="366" s="1"/>
  <c r="J915" i="366"/>
  <c r="K915" i="366" s="1"/>
  <c r="J111" i="366"/>
  <c r="K111" i="366" s="1"/>
  <c r="J999" i="366"/>
  <c r="K999" i="366" s="1"/>
  <c r="J769" i="366"/>
  <c r="K769" i="366" s="1"/>
  <c r="J52" i="366"/>
  <c r="K52" i="366" s="1"/>
  <c r="J502" i="366"/>
  <c r="K502" i="366" s="1"/>
  <c r="J926" i="366"/>
  <c r="K926" i="366" s="1"/>
  <c r="J667" i="366"/>
  <c r="K667" i="366" s="1"/>
  <c r="J115" i="366"/>
  <c r="K115" i="366" s="1"/>
  <c r="J610" i="366"/>
  <c r="K610" i="366" s="1"/>
  <c r="J380" i="366"/>
  <c r="K380" i="366" s="1"/>
  <c r="J554" i="366"/>
  <c r="K554" i="366" s="1"/>
  <c r="J341" i="366"/>
  <c r="K341" i="366" s="1"/>
  <c r="J588" i="366"/>
  <c r="K588" i="366" s="1"/>
  <c r="J578" i="366"/>
  <c r="K578" i="366" s="1"/>
  <c r="J455" i="366"/>
  <c r="K455" i="366" s="1"/>
  <c r="J483" i="366"/>
  <c r="K483" i="366" s="1"/>
  <c r="J937" i="366"/>
  <c r="K937" i="366" s="1"/>
  <c r="J986" i="366"/>
  <c r="K986" i="366" s="1"/>
  <c r="J6" i="366"/>
  <c r="K6" i="366" s="1"/>
  <c r="J870" i="366"/>
  <c r="K870" i="366" s="1"/>
  <c r="J94" i="366"/>
  <c r="K94" i="366" s="1"/>
  <c r="J826" i="366"/>
  <c r="K826" i="366" s="1"/>
  <c r="J901" i="366"/>
  <c r="K901" i="366" s="1"/>
  <c r="J775" i="366"/>
  <c r="K775" i="366" s="1"/>
  <c r="J525" i="366"/>
  <c r="K525" i="366" s="1"/>
  <c r="J712" i="366"/>
  <c r="K712" i="366" s="1"/>
  <c r="J368" i="366"/>
  <c r="K368" i="366" s="1"/>
  <c r="J570" i="366"/>
  <c r="K570" i="366" s="1"/>
  <c r="J671" i="366"/>
  <c r="K671" i="366" s="1"/>
  <c r="J274" i="366"/>
  <c r="K274" i="366" s="1"/>
  <c r="J299" i="366"/>
  <c r="K299" i="366" s="1"/>
  <c r="J464" i="366"/>
  <c r="K464" i="366" s="1"/>
  <c r="J950" i="366"/>
  <c r="K950" i="366" s="1"/>
  <c r="J868" i="366"/>
  <c r="K868" i="366" s="1"/>
  <c r="J899" i="366"/>
  <c r="K899" i="366" s="1"/>
  <c r="J990" i="366"/>
  <c r="K990" i="366" s="1"/>
  <c r="J73" i="366"/>
  <c r="K73" i="366" s="1"/>
  <c r="J436" i="366"/>
  <c r="K436" i="366" s="1"/>
  <c r="J535" i="366"/>
  <c r="K535" i="366" s="1"/>
  <c r="J609" i="366"/>
  <c r="K609" i="366" s="1"/>
  <c r="J428" i="366"/>
  <c r="K428" i="366" s="1"/>
  <c r="J292" i="366"/>
  <c r="K292" i="366" s="1"/>
  <c r="J223" i="366"/>
  <c r="K223" i="366" s="1"/>
  <c r="J127" i="366"/>
  <c r="K127" i="366" s="1"/>
  <c r="J168" i="366"/>
  <c r="K168" i="366" s="1"/>
  <c r="J282" i="366"/>
  <c r="K282" i="366" s="1"/>
  <c r="J175" i="366"/>
  <c r="K175" i="366" s="1"/>
  <c r="J136" i="366"/>
  <c r="K136" i="366" s="1"/>
  <c r="J812" i="366"/>
  <c r="K812" i="366" s="1"/>
  <c r="J267" i="366"/>
  <c r="K267" i="366" s="1"/>
  <c r="J410" i="366"/>
  <c r="K410" i="366" s="1"/>
  <c r="J375" i="366"/>
  <c r="K375" i="366" s="1"/>
  <c r="J342" i="366"/>
  <c r="K342" i="366" s="1"/>
  <c r="J287" i="366"/>
  <c r="K287" i="366" s="1"/>
  <c r="J416" i="366"/>
  <c r="K416" i="366" s="1"/>
  <c r="J727" i="366"/>
  <c r="K727" i="366" s="1"/>
  <c r="J558" i="366"/>
  <c r="K558" i="366" s="1"/>
  <c r="J851" i="366"/>
  <c r="K851" i="366" s="1"/>
  <c r="J594" i="366"/>
  <c r="K594" i="366" s="1"/>
  <c r="J876" i="366"/>
  <c r="K876" i="366" s="1"/>
  <c r="J575" i="366"/>
  <c r="K575" i="366" s="1"/>
  <c r="J897" i="366"/>
  <c r="K897" i="366" s="1"/>
  <c r="J196" i="366"/>
  <c r="K196" i="366" s="1"/>
  <c r="J484" i="366"/>
  <c r="K484" i="366" s="1"/>
  <c r="J84" i="366"/>
  <c r="K84" i="366" s="1"/>
  <c r="J563" i="366"/>
  <c r="K563" i="366" s="1"/>
  <c r="J977" i="366"/>
  <c r="K977" i="366" s="1"/>
  <c r="J960" i="366"/>
  <c r="K960" i="366" s="1"/>
  <c r="J841" i="366"/>
  <c r="K841" i="366" s="1"/>
  <c r="J496" i="366"/>
  <c r="K496" i="366" s="1"/>
  <c r="J834" i="366"/>
  <c r="K834" i="366" s="1"/>
  <c r="J150" i="366"/>
  <c r="K150" i="366" s="1"/>
  <c r="J853" i="366"/>
  <c r="K853" i="366" s="1"/>
  <c r="J519" i="366"/>
  <c r="K519" i="366" s="1"/>
  <c r="J958" i="366"/>
  <c r="K958" i="366" s="1"/>
  <c r="J686" i="366"/>
  <c r="K686" i="366" s="1"/>
  <c r="J880" i="366"/>
  <c r="K880" i="366" s="1"/>
  <c r="J87" i="366"/>
  <c r="K87" i="366" s="1"/>
  <c r="J818" i="366"/>
  <c r="K818" i="366" s="1"/>
  <c r="J1016" i="366"/>
  <c r="K1016" i="366" s="1"/>
  <c r="J511" i="366"/>
  <c r="K511" i="366" s="1"/>
  <c r="J757" i="366"/>
  <c r="K757" i="366" s="1"/>
  <c r="J510" i="366"/>
  <c r="K510" i="366" s="1"/>
  <c r="J53" i="366"/>
  <c r="K53" i="366" s="1"/>
  <c r="J776" i="366"/>
  <c r="K776" i="366" s="1"/>
  <c r="J619" i="366"/>
  <c r="K619" i="366" s="1"/>
  <c r="J146" i="366"/>
  <c r="K146" i="366" s="1"/>
  <c r="J249" i="366"/>
  <c r="K249" i="366" s="1"/>
  <c r="J701" i="366"/>
  <c r="K701" i="366" s="1"/>
  <c r="J742" i="366"/>
  <c r="K742" i="366" s="1"/>
  <c r="J552" i="366"/>
  <c r="K552" i="366" s="1"/>
  <c r="J218" i="366"/>
  <c r="K218" i="366" s="1"/>
  <c r="J336" i="366"/>
  <c r="K336" i="366" s="1"/>
  <c r="J38" i="366"/>
  <c r="K38" i="366" s="1"/>
  <c r="J307" i="366"/>
  <c r="K307" i="366" s="1"/>
  <c r="J512" i="366"/>
  <c r="K512" i="366" s="1"/>
  <c r="J698" i="366"/>
  <c r="K698" i="366" s="1"/>
  <c r="J828" i="366"/>
  <c r="K828" i="366" s="1"/>
  <c r="J888" i="366"/>
  <c r="K888" i="366" s="1"/>
  <c r="J518" i="366"/>
  <c r="K518" i="366" s="1"/>
  <c r="J692" i="366"/>
  <c r="K692" i="366" s="1"/>
  <c r="J934" i="366"/>
  <c r="K934" i="366" s="1"/>
  <c r="J182" i="366"/>
  <c r="K182" i="366" s="1"/>
  <c r="J855" i="366"/>
  <c r="K855" i="366" s="1"/>
  <c r="J117" i="366"/>
  <c r="K117" i="366" s="1"/>
  <c r="J677" i="366"/>
  <c r="K677" i="366" s="1"/>
  <c r="J129" i="366"/>
  <c r="K129" i="366" s="1"/>
  <c r="J842" i="366"/>
  <c r="K842" i="366" s="1"/>
  <c r="J187" i="366"/>
  <c r="K187" i="366" s="1"/>
  <c r="J5" i="366"/>
  <c r="K5" i="366" s="1"/>
  <c r="J260" i="366"/>
  <c r="K260" i="366" s="1"/>
  <c r="J122" i="366"/>
  <c r="K122" i="366" s="1"/>
  <c r="J733" i="366"/>
  <c r="K733" i="366" s="1"/>
  <c r="J545" i="366"/>
  <c r="K545" i="366" s="1"/>
  <c r="J22" i="366"/>
  <c r="K22" i="366" s="1"/>
  <c r="J397" i="366"/>
  <c r="K397" i="366" s="1"/>
  <c r="J384" i="366"/>
  <c r="K384" i="366" s="1"/>
  <c r="J318" i="366"/>
  <c r="K318" i="366" s="1"/>
  <c r="J715" i="366"/>
  <c r="K715" i="366" s="1"/>
  <c r="J533" i="366"/>
  <c r="K533" i="366" s="1"/>
  <c r="J39" i="366"/>
  <c r="K39" i="366" s="1"/>
  <c r="J131" i="366"/>
  <c r="K131" i="366" s="1"/>
  <c r="J43" i="366"/>
  <c r="K43" i="366" s="1"/>
  <c r="J872" i="366"/>
  <c r="K872" i="366" s="1"/>
  <c r="J80" i="366"/>
  <c r="K80" i="366" s="1"/>
  <c r="J1002" i="366"/>
  <c r="K1002" i="366" s="1"/>
  <c r="J83" i="366"/>
  <c r="K83" i="366" s="1"/>
  <c r="J1009" i="366"/>
  <c r="K1009" i="366" s="1"/>
  <c r="J107" i="366"/>
  <c r="K107" i="366" s="1"/>
  <c r="J192" i="366"/>
  <c r="K192" i="366" s="1"/>
  <c r="J99" i="366"/>
  <c r="K99" i="366" s="1"/>
  <c r="J586" i="366"/>
  <c r="K586" i="366" s="1"/>
  <c r="J417" i="366"/>
  <c r="K417" i="366" s="1"/>
  <c r="J835" i="366"/>
  <c r="K835" i="366" s="1"/>
  <c r="J31" i="366"/>
  <c r="K31" i="366" s="1"/>
  <c r="J622" i="366"/>
  <c r="K622" i="366" s="1"/>
  <c r="J992" i="366"/>
  <c r="K992" i="366" s="1"/>
  <c r="J491" i="366"/>
  <c r="K491" i="366" s="1"/>
  <c r="J423" i="366"/>
  <c r="K423" i="366" s="1"/>
  <c r="J747" i="366"/>
  <c r="K747" i="366" s="1"/>
  <c r="J596" i="366"/>
  <c r="K596" i="366" s="1"/>
  <c r="J242" i="366"/>
  <c r="K242" i="366" s="1"/>
  <c r="J891" i="366"/>
  <c r="K891" i="366" s="1"/>
  <c r="J21" i="366"/>
  <c r="K21" i="366" s="1"/>
  <c r="J470" i="366"/>
  <c r="K470" i="366" s="1"/>
  <c r="J539" i="366"/>
  <c r="K539" i="366" s="1"/>
  <c r="J47" i="366"/>
  <c r="K47" i="366" s="1"/>
  <c r="J581" i="366"/>
  <c r="K581" i="366" s="1"/>
  <c r="J450" i="366"/>
  <c r="K450" i="366" s="1"/>
  <c r="J602" i="366"/>
  <c r="K602" i="366" s="1"/>
  <c r="J713" i="366"/>
  <c r="K713" i="366" s="1"/>
  <c r="J501" i="366"/>
  <c r="K501" i="366" s="1"/>
  <c r="J172" i="366"/>
  <c r="K172" i="366" s="1"/>
  <c r="J97" i="366"/>
  <c r="K97" i="366" s="1"/>
  <c r="J556" i="366"/>
  <c r="K556" i="366" s="1"/>
  <c r="J661" i="366"/>
  <c r="K661" i="366" s="1"/>
  <c r="J724" i="366"/>
  <c r="K724" i="366" s="1"/>
  <c r="J308" i="366"/>
  <c r="K308" i="366" s="1"/>
  <c r="J102" i="366"/>
  <c r="K102" i="366" s="1"/>
  <c r="J294" i="366"/>
  <c r="K294" i="366" s="1"/>
  <c r="J565" i="366"/>
  <c r="K565" i="366" s="1"/>
  <c r="J991" i="366"/>
  <c r="K991" i="366" s="1"/>
  <c r="J781" i="366"/>
  <c r="K781" i="366" s="1"/>
  <c r="J529" i="366"/>
  <c r="K529" i="366" s="1"/>
  <c r="J425" i="366"/>
  <c r="K425" i="366" s="1"/>
  <c r="J220" i="366"/>
  <c r="K220" i="366" s="1"/>
  <c r="J261" i="366"/>
  <c r="K261" i="366" s="1"/>
  <c r="J569" i="366"/>
  <c r="K569" i="366" s="1"/>
  <c r="J580" i="366"/>
  <c r="K580" i="366" s="1"/>
  <c r="J505" i="366"/>
  <c r="K505" i="366" s="1"/>
  <c r="J41" i="366"/>
  <c r="K41" i="366" s="1"/>
  <c r="J362" i="366"/>
  <c r="K362" i="366" s="1"/>
  <c r="J317" i="366"/>
  <c r="K317" i="366" s="1"/>
  <c r="J498" i="366"/>
  <c r="K498" i="366" s="1"/>
  <c r="J513" i="366"/>
  <c r="K513" i="366" s="1"/>
  <c r="J153" i="366"/>
  <c r="K153" i="366" s="1"/>
  <c r="J710" i="366"/>
  <c r="K710" i="366" s="1"/>
  <c r="J333" i="366"/>
  <c r="K333" i="366" s="1"/>
  <c r="J805" i="366"/>
  <c r="K805" i="366" s="1"/>
  <c r="J949" i="366"/>
  <c r="K949" i="366" s="1"/>
  <c r="J753" i="366"/>
  <c r="K753" i="366" s="1"/>
  <c r="J445" i="366"/>
  <c r="K445" i="366" s="1"/>
  <c r="J438" i="366"/>
  <c r="K438" i="366" s="1"/>
  <c r="J548" i="366"/>
  <c r="K548" i="366" s="1"/>
  <c r="J817" i="366"/>
  <c r="K817" i="366" s="1"/>
  <c r="J752" i="366"/>
  <c r="K752" i="366" s="1"/>
  <c r="J839" i="366"/>
  <c r="K839" i="366" s="1"/>
  <c r="J440" i="366"/>
  <c r="K440" i="366" s="1"/>
  <c r="J815" i="366"/>
  <c r="K815" i="366" s="1"/>
  <c r="J48" i="366"/>
  <c r="K48" i="366" s="1"/>
  <c r="J508" i="366"/>
  <c r="K508" i="366" s="1"/>
  <c r="J527" i="366"/>
  <c r="K527" i="366" s="1"/>
  <c r="J238" i="366"/>
  <c r="K238" i="366" s="1"/>
  <c r="J883" i="366"/>
  <c r="K883" i="366" s="1"/>
  <c r="J762" i="366"/>
  <c r="K762" i="366" s="1"/>
  <c r="J903" i="366"/>
  <c r="K903" i="366" s="1"/>
  <c r="J216" i="366"/>
  <c r="K216" i="366" s="1"/>
  <c r="J386" i="366"/>
  <c r="K386" i="366" s="1"/>
  <c r="J488" i="366"/>
  <c r="K488" i="366" s="1"/>
  <c r="J189" i="366"/>
  <c r="K189" i="366" s="1"/>
  <c r="J96" i="366"/>
  <c r="K96" i="366" s="1"/>
  <c r="J456" i="366"/>
  <c r="K456" i="366" s="1"/>
  <c r="J945" i="366"/>
  <c r="K945" i="366" s="1"/>
  <c r="J64" i="366"/>
  <c r="K64" i="366" s="1"/>
  <c r="J801" i="366"/>
  <c r="K801" i="366" s="1"/>
  <c r="J406" i="366"/>
  <c r="K406" i="366" s="1"/>
  <c r="J921" i="366"/>
  <c r="K921" i="366" s="1"/>
  <c r="J138" i="366"/>
  <c r="K138" i="366" s="1"/>
  <c r="J106" i="366"/>
  <c r="K106" i="366" s="1"/>
  <c r="J635" i="366"/>
  <c r="K635" i="366" s="1"/>
  <c r="J774" i="366"/>
  <c r="K774" i="366" s="1"/>
  <c r="J799" i="366"/>
  <c r="K799" i="366" s="1"/>
  <c r="J184" i="366"/>
  <c r="K184" i="366" s="1"/>
  <c r="J271" i="366"/>
  <c r="K271" i="366" s="1"/>
  <c r="J838" i="366"/>
  <c r="K838" i="366" s="1"/>
  <c r="J72" i="366"/>
  <c r="K72" i="366" s="1"/>
  <c r="J46" i="366"/>
  <c r="K46" i="366" s="1"/>
  <c r="J164" i="366"/>
  <c r="K164" i="366" s="1"/>
  <c r="J607" i="366"/>
  <c r="K607" i="366" s="1"/>
  <c r="J912" i="366"/>
  <c r="K912" i="366" s="1"/>
  <c r="J691" i="366"/>
  <c r="K691" i="366" s="1"/>
  <c r="J944" i="366"/>
  <c r="K944" i="366" s="1"/>
  <c r="J577" i="366"/>
  <c r="K577" i="366" s="1"/>
  <c r="J1001" i="366"/>
  <c r="K1001" i="366" s="1"/>
  <c r="J314" i="366"/>
  <c r="K314" i="366" s="1"/>
  <c r="J989" i="366"/>
  <c r="K989" i="366" s="1"/>
  <c r="J947" i="366"/>
  <c r="K947" i="366" s="1"/>
  <c r="J367" i="366"/>
  <c r="K367" i="366" s="1"/>
  <c r="J236" i="366"/>
  <c r="K236" i="366" s="1"/>
  <c r="J50" i="366"/>
  <c r="K50" i="366" s="1"/>
  <c r="J361" i="366"/>
  <c r="K361" i="366" s="1"/>
  <c r="J71" i="366"/>
  <c r="K71" i="366" s="1"/>
  <c r="J81" i="366"/>
  <c r="K81" i="366" s="1"/>
  <c r="J224" i="366"/>
  <c r="K224" i="366" s="1"/>
  <c r="J494" i="366"/>
  <c r="K494" i="366" s="1"/>
  <c r="J890" i="366"/>
  <c r="K890" i="366" s="1"/>
  <c r="J966" i="366"/>
  <c r="K966" i="366" s="1"/>
  <c r="J433" i="366"/>
  <c r="K433" i="366" s="1"/>
  <c r="J349" i="366"/>
  <c r="K349" i="366" s="1"/>
  <c r="J816" i="366"/>
  <c r="K816" i="366" s="1"/>
  <c r="J344" i="366"/>
  <c r="K344" i="366" s="1"/>
  <c r="J326" i="366"/>
  <c r="K326" i="366" s="1"/>
  <c r="J241" i="366"/>
  <c r="K241" i="366" s="1"/>
  <c r="J717" i="366"/>
  <c r="K717" i="366" s="1"/>
  <c r="J705" i="366"/>
  <c r="K705" i="366" s="1"/>
  <c r="J400" i="366"/>
  <c r="K400" i="366" s="1"/>
  <c r="J656" i="366"/>
  <c r="K656" i="366" s="1"/>
  <c r="J291" i="366"/>
  <c r="K291" i="366" s="1"/>
  <c r="J338" i="366"/>
  <c r="K338" i="366" s="1"/>
  <c r="J708" i="366"/>
  <c r="K708" i="366" s="1"/>
  <c r="J627" i="366"/>
  <c r="K627" i="366" s="1"/>
  <c r="J322" i="366"/>
  <c r="K322" i="366" s="1"/>
  <c r="J459" i="366"/>
  <c r="K459" i="366" s="1"/>
  <c r="J63" i="366"/>
  <c r="K63" i="366" s="1"/>
  <c r="J910" i="366"/>
  <c r="K910" i="366" s="1"/>
  <c r="J395" i="366"/>
  <c r="K395" i="366" s="1"/>
  <c r="J147" i="366"/>
  <c r="K147" i="366" s="1"/>
  <c r="J301" i="366"/>
  <c r="K301" i="366" s="1"/>
  <c r="J1008" i="366"/>
  <c r="K1008" i="366" s="1"/>
  <c r="J604" i="366"/>
  <c r="K604" i="366" s="1"/>
  <c r="J923" i="366"/>
  <c r="K923" i="366" s="1"/>
  <c r="J174" i="366"/>
  <c r="K174" i="366" s="1"/>
  <c r="J735" i="366"/>
  <c r="K735" i="366" s="1"/>
  <c r="J466" i="366"/>
  <c r="K466" i="366" s="1"/>
  <c r="J471" i="366"/>
  <c r="K471" i="366" s="1"/>
  <c r="J270" i="366"/>
  <c r="K270" i="366" s="1"/>
  <c r="J779" i="366"/>
  <c r="K779" i="366" s="1"/>
  <c r="J748" i="366"/>
  <c r="K748" i="366" s="1"/>
  <c r="J331" i="366"/>
  <c r="K331" i="366" s="1"/>
  <c r="J806" i="366"/>
  <c r="K806" i="366" s="1"/>
  <c r="J743" i="366"/>
  <c r="K743" i="366" s="1"/>
  <c r="J408" i="366"/>
  <c r="K408" i="366" s="1"/>
  <c r="J103" i="366"/>
  <c r="K103" i="366" s="1"/>
  <c r="J763" i="366"/>
  <c r="K763" i="366" s="1"/>
  <c r="J827" i="366"/>
  <c r="K827" i="366" s="1"/>
  <c r="J262" i="366"/>
  <c r="K262" i="366" s="1"/>
  <c r="J334" i="366"/>
  <c r="K334" i="366" s="1"/>
  <c r="J240" i="366"/>
  <c r="K240" i="366" s="1"/>
  <c r="J674" i="366"/>
  <c r="K674" i="366" s="1"/>
  <c r="J854" i="366"/>
  <c r="K854" i="366" s="1"/>
  <c r="J65" i="366"/>
  <c r="K65" i="366" s="1"/>
  <c r="J873" i="366"/>
  <c r="K873" i="366" s="1"/>
  <c r="J112" i="366"/>
  <c r="K112" i="366" s="1"/>
  <c r="J882" i="366"/>
  <c r="K882" i="366" s="1"/>
  <c r="J144" i="366"/>
  <c r="K144" i="366" s="1"/>
  <c r="J562" i="366"/>
  <c r="K562" i="366" s="1"/>
  <c r="J567" i="366"/>
  <c r="K567" i="366" s="1"/>
  <c r="J254" i="366"/>
  <c r="K254" i="366" s="1"/>
  <c r="J158" i="366"/>
  <c r="K158" i="366" s="1"/>
  <c r="J13" i="366"/>
  <c r="K13" i="366" s="1"/>
  <c r="J396" i="366"/>
  <c r="K396" i="366" s="1"/>
  <c r="J723" i="366"/>
  <c r="K723" i="366" s="1"/>
  <c r="J676" i="366"/>
  <c r="K676" i="366" s="1"/>
  <c r="J392" i="366"/>
  <c r="K392" i="366" s="1"/>
  <c r="J134" i="366"/>
  <c r="K134" i="366" s="1"/>
  <c r="J414" i="366"/>
  <c r="K414" i="366" s="1"/>
  <c r="J68" i="366"/>
  <c r="K68" i="366" s="1"/>
  <c r="J303" i="366"/>
  <c r="K303" i="366" s="1"/>
  <c r="J179" i="366"/>
  <c r="K179" i="366" s="1"/>
  <c r="J770" i="366"/>
  <c r="K770" i="366" s="1"/>
  <c r="J181" i="366"/>
  <c r="K181" i="366" s="1"/>
  <c r="J754" i="366"/>
  <c r="K754" i="366" s="1"/>
  <c r="J650" i="366"/>
  <c r="K650" i="366" s="1"/>
  <c r="J517" i="366"/>
  <c r="K517" i="366" s="1"/>
  <c r="J85" i="366"/>
  <c r="K85" i="366" s="1"/>
  <c r="J751" i="366"/>
  <c r="K751" i="366" s="1"/>
  <c r="J858" i="366"/>
  <c r="K858" i="366" s="1"/>
  <c r="J377" i="366"/>
  <c r="K377" i="366" s="1"/>
  <c r="J679" i="366"/>
  <c r="K679" i="366" s="1"/>
  <c r="J572" i="366"/>
  <c r="K572" i="366" s="1"/>
  <c r="J637" i="366"/>
  <c r="K637" i="366" s="1"/>
  <c r="J290" i="366"/>
  <c r="K290" i="366" s="1"/>
  <c r="J339" i="366"/>
  <c r="K339" i="366" s="1"/>
  <c r="J86" i="366"/>
  <c r="K86" i="366" s="1"/>
  <c r="J381" i="366"/>
  <c r="K381" i="366" s="1"/>
  <c r="J953" i="366"/>
  <c r="K953" i="366" s="1"/>
  <c r="J516" i="366"/>
  <c r="K516" i="366" s="1"/>
  <c r="J665" i="366"/>
  <c r="K665" i="366" s="1"/>
  <c r="J521" i="366"/>
  <c r="K521" i="366" s="1"/>
  <c r="J95" i="366"/>
  <c r="K95" i="366" s="1"/>
  <c r="J454" i="366"/>
  <c r="K454" i="366" s="1"/>
  <c r="J49" i="366"/>
  <c r="K49" i="366" s="1"/>
  <c r="J931" i="366"/>
  <c r="K931" i="366" s="1"/>
  <c r="J707" i="366"/>
  <c r="K707" i="366" s="1"/>
  <c r="J684" i="366"/>
  <c r="K684" i="366" s="1"/>
  <c r="J252" i="366"/>
  <c r="K252" i="366" s="1"/>
  <c r="J825" i="366"/>
  <c r="K825" i="366" s="1"/>
  <c r="J952" i="366"/>
  <c r="K952" i="366" s="1"/>
  <c r="J740" i="366"/>
  <c r="K740" i="366" s="1"/>
  <c r="J758" i="366"/>
  <c r="K758" i="366" s="1"/>
  <c r="J278" i="366"/>
  <c r="K278" i="366" s="1"/>
  <c r="J725" i="366"/>
  <c r="K725" i="366" s="1"/>
  <c r="J497" i="366"/>
  <c r="K497" i="366" s="1"/>
  <c r="J23" i="366"/>
  <c r="K23" i="366" s="1"/>
  <c r="J306" i="366"/>
  <c r="K306" i="366" s="1"/>
  <c r="J415" i="366"/>
  <c r="K415" i="366" s="1"/>
  <c r="J447" i="366"/>
  <c r="K447" i="366" s="1"/>
  <c r="J300" i="366"/>
  <c r="K300" i="366" s="1"/>
  <c r="J401" i="366"/>
  <c r="K401" i="366" s="1"/>
  <c r="J685" i="366"/>
  <c r="K685" i="366" s="1"/>
  <c r="J795" i="366"/>
  <c r="K795" i="366" s="1"/>
  <c r="J843" i="366"/>
  <c r="K843" i="366" s="1"/>
  <c r="J784" i="366"/>
  <c r="K784" i="366" s="1"/>
  <c r="J185" i="366"/>
  <c r="K185" i="366" s="1"/>
  <c r="J273" i="366"/>
  <c r="K273" i="366" s="1"/>
  <c r="J579" i="366"/>
  <c r="K579" i="366" s="1"/>
  <c r="J904" i="366"/>
  <c r="K904" i="366" s="1"/>
  <c r="J1006" i="366"/>
  <c r="K1006" i="366" s="1"/>
  <c r="J490" i="366"/>
  <c r="K490" i="366" s="1"/>
  <c r="J345" i="366"/>
  <c r="K345" i="366" s="1"/>
  <c r="J188" i="366"/>
  <c r="K188" i="366" s="1"/>
  <c r="J962" i="366"/>
  <c r="K962" i="366" s="1"/>
  <c r="J1020" i="366"/>
  <c r="K1020" i="366" s="1"/>
  <c r="J537" i="366"/>
  <c r="K537" i="366" s="1"/>
  <c r="J659" i="366"/>
  <c r="K659" i="366" s="1"/>
  <c r="J993" i="366"/>
  <c r="K993" i="366" s="1"/>
  <c r="J1017" i="366"/>
  <c r="K1017" i="366" s="1"/>
  <c r="J55" i="366"/>
  <c r="K55" i="366" s="1"/>
  <c r="J645" i="366"/>
  <c r="K645" i="366" s="1"/>
  <c r="J499" i="366"/>
  <c r="K499" i="366" s="1"/>
  <c r="J288" i="366"/>
  <c r="K288" i="366" s="1"/>
  <c r="J468" i="366"/>
  <c r="K468" i="366" s="1"/>
  <c r="J195" i="366"/>
  <c r="K195" i="366" s="1"/>
  <c r="J61" i="366"/>
  <c r="K61" i="366" s="1"/>
  <c r="J176" i="366"/>
  <c r="K176" i="366" s="1"/>
  <c r="J646" i="366"/>
  <c r="K646" i="366" s="1"/>
  <c r="J370" i="366"/>
  <c r="K370" i="366" s="1"/>
  <c r="J420" i="366"/>
  <c r="K420" i="366" s="1"/>
  <c r="J629" i="366"/>
  <c r="K629" i="366" s="1"/>
  <c r="J42" i="366"/>
  <c r="K42" i="366" s="1"/>
  <c r="J792" i="366"/>
  <c r="K792" i="366" s="1"/>
  <c r="J403" i="366"/>
  <c r="K403" i="366" s="1"/>
  <c r="J199" i="366"/>
  <c r="K199" i="366" s="1"/>
  <c r="J664" i="366"/>
  <c r="K664" i="366" s="1"/>
  <c r="J894" i="366"/>
  <c r="K894" i="366" s="1"/>
  <c r="J100" i="366"/>
  <c r="K100" i="366" s="1"/>
  <c r="J319" i="366"/>
  <c r="K319" i="366" s="1"/>
  <c r="J844" i="366"/>
  <c r="K844" i="366" s="1"/>
  <c r="J954" i="366"/>
  <c r="K954" i="366" s="1"/>
  <c r="J154" i="366"/>
  <c r="K154" i="366" s="1"/>
  <c r="J213" i="366"/>
  <c r="K213" i="366" s="1"/>
  <c r="J681" i="366"/>
  <c r="K681" i="366" s="1"/>
  <c r="J506" i="366"/>
  <c r="K506" i="366" s="1"/>
  <c r="J458" i="366"/>
  <c r="K458" i="366" s="1"/>
  <c r="J14" i="366"/>
  <c r="K14" i="366" s="1"/>
  <c r="J475" i="366"/>
  <c r="K475" i="366" s="1"/>
  <c r="J133" i="366"/>
  <c r="K133" i="366" s="1"/>
  <c r="J404" i="366"/>
  <c r="K404" i="366" s="1"/>
  <c r="J492" i="366"/>
  <c r="K492" i="366" s="1"/>
  <c r="J166" i="366"/>
  <c r="K166" i="366" s="1"/>
  <c r="J116" i="366"/>
  <c r="K116" i="366" s="1"/>
  <c r="J620" i="366"/>
  <c r="K620" i="366" s="1"/>
  <c r="J536" i="366"/>
  <c r="K536" i="366" s="1"/>
  <c r="J862" i="366"/>
  <c r="K862" i="366" s="1"/>
  <c r="J245" i="366"/>
  <c r="K245" i="366" s="1"/>
  <c r="J703" i="366"/>
  <c r="K703" i="366" s="1"/>
  <c r="J538" i="366"/>
  <c r="K538" i="366" s="1"/>
  <c r="J599" i="366"/>
  <c r="K599" i="366" s="1"/>
  <c r="J849" i="366"/>
  <c r="K849" i="366" s="1"/>
  <c r="J169" i="366"/>
  <c r="K169" i="366" s="1"/>
  <c r="J411" i="366"/>
  <c r="K411" i="366" s="1"/>
  <c r="J967" i="366"/>
  <c r="K967" i="366" s="1"/>
  <c r="J924" i="366"/>
  <c r="K924" i="366" s="1"/>
  <c r="J217" i="366"/>
  <c r="K217" i="366" s="1"/>
  <c r="J280" i="366"/>
  <c r="K280" i="366" s="1"/>
  <c r="J298" i="366"/>
  <c r="K298" i="366" s="1"/>
  <c r="J614" i="366"/>
  <c r="K614" i="366" s="1"/>
  <c r="J756" i="366"/>
  <c r="K756" i="366" s="1"/>
  <c r="J407" i="366"/>
  <c r="K407" i="366" s="1"/>
  <c r="J343" i="366"/>
  <c r="K343" i="366" s="1"/>
  <c r="J348" i="366"/>
  <c r="K348" i="366" s="1"/>
  <c r="J363" i="366"/>
  <c r="K363" i="366" s="1"/>
  <c r="J597" i="366"/>
  <c r="K597" i="366" s="1"/>
  <c r="J662" i="366"/>
  <c r="K662" i="366" s="1"/>
  <c r="J978" i="366"/>
  <c r="K978" i="366" s="1"/>
  <c r="J248" i="366"/>
  <c r="K248" i="366" s="1"/>
  <c r="J230" i="366"/>
  <c r="K230" i="366" s="1"/>
  <c r="J720" i="366"/>
  <c r="K720" i="366" s="1"/>
  <c r="J804" i="366"/>
  <c r="K804" i="366" s="1"/>
  <c r="J474" i="366"/>
  <c r="K474" i="366" s="1"/>
  <c r="J608" i="366"/>
  <c r="K608" i="366" s="1"/>
  <c r="J126" i="366"/>
  <c r="K126" i="366" s="1"/>
  <c r="J15" i="366"/>
  <c r="K15" i="366" s="1"/>
  <c r="J379" i="366"/>
  <c r="K379" i="366" s="1"/>
  <c r="J353" i="366"/>
  <c r="K353" i="366" s="1"/>
  <c r="J794" i="366"/>
  <c r="K794" i="366" s="1"/>
  <c r="J1010" i="366"/>
  <c r="K1010" i="366" s="1"/>
  <c r="J969" i="366"/>
  <c r="K969" i="366" s="1"/>
  <c r="J730" i="366"/>
  <c r="K730" i="366" s="1"/>
  <c r="J598" i="366"/>
  <c r="K598" i="366" s="1"/>
  <c r="J315" i="366"/>
  <c r="K315" i="366" s="1"/>
  <c r="J123" i="366"/>
  <c r="K123" i="366" s="1"/>
  <c r="J612" i="366"/>
  <c r="K612" i="366" s="1"/>
  <c r="J653" i="366"/>
  <c r="K653" i="366" s="1"/>
  <c r="J121" i="366"/>
  <c r="K121" i="366" s="1"/>
  <c r="J202" i="366"/>
  <c r="K202" i="366" s="1"/>
  <c r="J286" i="366"/>
  <c r="K286" i="366" s="1"/>
  <c r="J67" i="366"/>
  <c r="K67" i="366" s="1"/>
  <c r="J295" i="366"/>
  <c r="K295" i="366" s="1"/>
  <c r="J340" i="366"/>
  <c r="K340" i="366" s="1"/>
  <c r="J9" i="366"/>
  <c r="K9" i="366" s="1"/>
  <c r="J352" i="366"/>
  <c r="K352" i="366" s="1"/>
  <c r="J737" i="366"/>
  <c r="K737" i="366" s="1"/>
  <c r="J766" i="366"/>
  <c r="K766" i="366" s="1"/>
  <c r="J465" i="366"/>
  <c r="K465" i="366" s="1"/>
  <c r="J551" i="366"/>
  <c r="K551" i="366" s="1"/>
  <c r="J786" i="366"/>
  <c r="K786" i="366" s="1"/>
  <c r="J811" i="366"/>
  <c r="K811" i="366" s="1"/>
  <c r="J814" i="366"/>
  <c r="K814" i="366" s="1"/>
  <c r="J819" i="366"/>
  <c r="K819" i="366" s="1"/>
  <c r="J156" i="366"/>
  <c r="K156" i="366" s="1"/>
  <c r="J624" i="366"/>
  <c r="K624" i="366" s="1"/>
  <c r="J421" i="366"/>
  <c r="K421" i="366" s="1"/>
  <c r="J771" i="366"/>
  <c r="K771" i="366" s="1"/>
  <c r="J654" i="366"/>
  <c r="K654" i="366" s="1"/>
  <c r="J91" i="366"/>
  <c r="K91" i="366" s="1"/>
  <c r="J866" i="366"/>
  <c r="K866" i="366" s="1"/>
  <c r="J935" i="366"/>
  <c r="K935" i="366" s="1"/>
  <c r="J309" i="366"/>
  <c r="K309" i="366" s="1"/>
  <c r="J559" i="366"/>
  <c r="K559" i="366" s="1"/>
  <c r="J347" i="366"/>
  <c r="K347" i="366" s="1"/>
  <c r="J887" i="366"/>
  <c r="K887" i="366" s="1"/>
  <c r="J869" i="366"/>
  <c r="K869" i="366" s="1"/>
  <c r="J277" i="366"/>
  <c r="K277" i="366" s="1"/>
  <c r="J587" i="366"/>
  <c r="K587" i="366" s="1"/>
  <c r="J256" i="366"/>
  <c r="K256" i="366" s="1"/>
  <c r="J197" i="366"/>
  <c r="K197" i="366" s="1"/>
  <c r="J142" i="366"/>
  <c r="K142" i="366" s="1"/>
  <c r="J884" i="366"/>
  <c r="K884" i="366" s="1"/>
  <c r="J957" i="366"/>
  <c r="K957" i="366" s="1"/>
  <c r="J427" i="366"/>
  <c r="K427" i="366" s="1"/>
  <c r="J704" i="366"/>
  <c r="K704" i="366" s="1"/>
  <c r="J896" i="366"/>
  <c r="K896" i="366" s="1"/>
  <c r="J426" i="366"/>
  <c r="K426" i="366" s="1"/>
  <c r="J833" i="366"/>
  <c r="K833" i="366" s="1"/>
  <c r="J389" i="366"/>
  <c r="K389" i="366" s="1"/>
  <c r="J994" i="366"/>
  <c r="K994" i="366" s="1"/>
  <c r="J173" i="366"/>
  <c r="K173" i="366" s="1"/>
  <c r="J442" i="366"/>
  <c r="K442" i="366" s="1"/>
  <c r="J255" i="366"/>
  <c r="K255" i="366" s="1"/>
  <c r="J385" i="366"/>
  <c r="K385" i="366" s="1"/>
  <c r="J1003" i="366"/>
  <c r="K1003" i="366" s="1"/>
  <c r="J191" i="366"/>
  <c r="K191" i="366" s="1"/>
  <c r="J601" i="366"/>
  <c r="K601" i="366" s="1"/>
  <c r="J57" i="366"/>
  <c r="K57" i="366" s="1"/>
  <c r="J281" i="366"/>
  <c r="K281" i="366" s="1"/>
  <c r="J56" i="366"/>
  <c r="K56" i="366" s="1"/>
  <c r="J431" i="366"/>
  <c r="K431" i="366" s="1"/>
  <c r="J922" i="366"/>
  <c r="K922" i="366" s="1"/>
  <c r="J531" i="366"/>
  <c r="K531" i="366" s="1"/>
  <c r="J995" i="366"/>
  <c r="K995" i="366" s="1"/>
  <c r="J366" i="366"/>
  <c r="K366" i="366" s="1"/>
  <c r="J54" i="366"/>
  <c r="K54" i="366" s="1"/>
  <c r="J219" i="366"/>
  <c r="K219" i="366" s="1"/>
  <c r="J630" i="366"/>
  <c r="K630" i="366" s="1"/>
  <c r="J163" i="366"/>
  <c r="K163" i="366" s="1"/>
  <c r="J194" i="366"/>
  <c r="K194" i="366" s="1"/>
  <c r="J933" i="366"/>
  <c r="K933" i="366" s="1"/>
  <c r="J657" i="366"/>
  <c r="K657" i="366" s="1"/>
  <c r="J20" i="366"/>
  <c r="K20" i="366" s="1"/>
  <c r="J409" i="366"/>
  <c r="K409" i="366" s="1"/>
  <c r="J797" i="366"/>
  <c r="K797" i="366" s="1"/>
  <c r="J29" i="366"/>
  <c r="K29" i="366" s="1"/>
  <c r="J232" i="366"/>
  <c r="K232" i="366" s="1"/>
  <c r="J573" i="366"/>
  <c r="K573" i="366" s="1"/>
  <c r="J889" i="366"/>
  <c r="K889" i="366" s="1"/>
  <c r="J170" i="366"/>
  <c r="K170" i="366" s="1"/>
  <c r="J495" i="366"/>
  <c r="K495" i="366" s="1"/>
  <c r="J886" i="366"/>
  <c r="K886" i="366" s="1"/>
  <c r="J772" i="366"/>
  <c r="K772" i="366" s="1"/>
  <c r="J709" i="366"/>
  <c r="K709" i="366" s="1"/>
  <c r="J683" i="366"/>
  <c r="K683" i="366" s="1"/>
  <c r="J383" i="366"/>
  <c r="K383" i="366" s="1"/>
  <c r="J764" i="366"/>
  <c r="K764" i="366" s="1"/>
  <c r="J507" i="366"/>
  <c r="K507" i="366" s="1"/>
  <c r="J360" i="366"/>
  <c r="K360" i="366" s="1"/>
  <c r="J714" i="366"/>
  <c r="K714" i="366" s="1"/>
  <c r="J526" i="366"/>
  <c r="K526" i="366" s="1"/>
  <c r="J625" i="366"/>
  <c r="K625" i="366" s="1"/>
  <c r="J864" i="366"/>
  <c r="K864" i="366" s="1"/>
  <c r="J374" i="366"/>
  <c r="K374" i="366" s="1"/>
  <c r="J576" i="366"/>
  <c r="K576" i="366" s="1"/>
  <c r="J655" i="366"/>
  <c r="K655" i="366" s="1"/>
  <c r="J487" i="366"/>
  <c r="K487" i="366" s="1"/>
  <c r="J711" i="366"/>
  <c r="K711" i="366" s="1"/>
  <c r="J382" i="366"/>
  <c r="K382" i="366" s="1"/>
  <c r="J32" i="366"/>
  <c r="K32" i="366" s="1"/>
  <c r="J632" i="366"/>
  <c r="K632" i="366" s="1"/>
  <c r="J829" i="366"/>
  <c r="K829" i="366" s="1"/>
  <c r="J943" i="366"/>
  <c r="K943" i="366" s="1"/>
  <c r="J418" i="366"/>
  <c r="K418" i="366" s="1"/>
  <c r="J592" i="366"/>
  <c r="K592" i="366" s="1"/>
  <c r="J830" i="366"/>
  <c r="K830" i="366" s="1"/>
  <c r="J51" i="366"/>
  <c r="K51" i="366" s="1"/>
  <c r="J963" i="366"/>
  <c r="K963" i="366" s="1"/>
  <c r="J809" i="366"/>
  <c r="K809" i="366" s="1"/>
  <c r="J269" i="366"/>
  <c r="K269" i="366" s="1"/>
  <c r="J673" i="366"/>
  <c r="K673" i="366" s="1"/>
  <c r="J66" i="366"/>
  <c r="K66" i="366" s="1"/>
  <c r="J555" i="366"/>
  <c r="K555" i="366" s="1"/>
  <c r="J178" i="366"/>
  <c r="K178" i="366" s="1"/>
  <c r="J591" i="366"/>
  <c r="K591" i="366" s="1"/>
  <c r="J643" i="366"/>
  <c r="K643" i="366" s="1"/>
  <c r="J137" i="366"/>
  <c r="K137" i="366" s="1"/>
  <c r="J919" i="366"/>
  <c r="K919" i="366" s="1"/>
  <c r="J90" i="366"/>
  <c r="K90" i="366" s="1"/>
  <c r="J70" i="366"/>
  <c r="K70" i="366" s="1"/>
  <c r="J443" i="366"/>
  <c r="K443" i="366" s="1"/>
  <c r="J44" i="366"/>
  <c r="K44" i="366" s="1"/>
  <c r="J371" i="366"/>
  <c r="K371" i="366" s="1"/>
  <c r="J89" i="366"/>
  <c r="K89" i="366" s="1"/>
  <c r="J432" i="366"/>
  <c r="K432" i="366" s="1"/>
  <c r="J186" i="366"/>
  <c r="K186" i="366" s="1"/>
  <c r="J101" i="366"/>
  <c r="K101" i="366" s="1"/>
  <c r="J413" i="366"/>
  <c r="K413" i="366" s="1"/>
  <c r="J893" i="366"/>
  <c r="K893" i="366" s="1"/>
  <c r="J215" i="366"/>
  <c r="K215" i="366" s="1"/>
  <c r="J760" i="366"/>
  <c r="K760" i="366" s="1"/>
  <c r="J193" i="366"/>
  <c r="K193" i="366" s="1"/>
  <c r="J568" i="366"/>
  <c r="K568" i="366" s="1"/>
  <c r="J239" i="366"/>
  <c r="K239" i="366" s="1"/>
  <c r="J388" i="366"/>
  <c r="K388" i="366" s="1"/>
  <c r="J642" i="366"/>
  <c r="K642" i="366" s="1"/>
  <c r="J1014" i="366"/>
  <c r="K1014" i="366" s="1"/>
  <c r="J550" i="366"/>
  <c r="K550" i="366" s="1"/>
  <c r="J467" i="366"/>
  <c r="K467" i="366" s="1"/>
  <c r="J16" i="366"/>
  <c r="K16" i="366" s="1"/>
  <c r="J312" i="366"/>
  <c r="K312" i="366" s="1"/>
  <c r="J283" i="366"/>
  <c r="K283" i="366" s="1"/>
  <c r="J972" i="366"/>
  <c r="K972" i="366" s="1"/>
  <c r="J768" i="366"/>
  <c r="K768" i="366" s="1"/>
  <c r="J557" i="366"/>
  <c r="K557" i="366" s="1"/>
  <c r="J210" i="366"/>
  <c r="K210" i="366" s="1"/>
  <c r="J532" i="366"/>
  <c r="K532" i="366" s="1"/>
  <c r="J77" i="366"/>
  <c r="K77" i="366" s="1"/>
  <c r="J987" i="366"/>
  <c r="K987" i="366" s="1"/>
  <c r="J405" i="366"/>
  <c r="K405" i="366" s="1"/>
  <c r="J205" i="366"/>
  <c r="K205" i="366" s="1"/>
  <c r="J229" i="366"/>
  <c r="K229" i="366" s="1"/>
  <c r="J1021" i="366"/>
  <c r="K1021" i="366" s="1"/>
  <c r="J906" i="366"/>
  <c r="K906" i="366" s="1"/>
  <c r="J875" i="366"/>
  <c r="K875" i="366" s="1"/>
  <c r="J583" i="366"/>
  <c r="K583" i="366" s="1"/>
  <c r="J140" i="366"/>
  <c r="K140" i="366" s="1"/>
  <c r="J640" i="366"/>
  <c r="K640" i="366" s="1"/>
  <c r="J628" i="366"/>
  <c r="K628" i="366" s="1"/>
  <c r="J603" i="366"/>
  <c r="K603" i="366" s="1"/>
  <c r="J335" i="366"/>
  <c r="K335" i="366" s="1"/>
  <c r="J244" i="366"/>
  <c r="K244" i="366" s="1"/>
  <c r="J209" i="366"/>
  <c r="K209" i="366" s="1"/>
  <c r="J259" i="366"/>
  <c r="K259" i="366" s="1"/>
  <c r="J118" i="366"/>
  <c r="K118" i="366" s="1"/>
  <c r="J24" i="366"/>
  <c r="K24" i="366" s="1"/>
  <c r="J790" i="366"/>
  <c r="K790" i="366" s="1"/>
  <c r="J1011" i="366"/>
  <c r="K1011" i="366" s="1"/>
  <c r="J589" i="366"/>
  <c r="K589" i="366" s="1"/>
  <c r="J201" i="366"/>
  <c r="K201" i="366" s="1"/>
  <c r="J694" i="366"/>
  <c r="K694" i="366" s="1"/>
  <c r="J234" i="366"/>
  <c r="K234" i="366" s="1"/>
  <c r="J434" i="366"/>
  <c r="K434" i="366" s="1"/>
  <c r="J874" i="366"/>
  <c r="K874" i="366" s="1"/>
  <c r="J151" i="366"/>
  <c r="K151" i="366" s="1"/>
  <c r="J927" i="366"/>
  <c r="K927" i="366" s="1"/>
  <c r="J719" i="366"/>
  <c r="K719" i="366" s="1"/>
  <c r="J183" i="366"/>
  <c r="K183" i="366" s="1"/>
  <c r="J225" i="366"/>
  <c r="K225" i="366" s="1"/>
  <c r="J523" i="366"/>
  <c r="K523" i="366" s="1"/>
  <c r="J929" i="366"/>
  <c r="K929" i="366" s="1"/>
  <c r="J765" i="366"/>
  <c r="K765" i="366" s="1"/>
  <c r="J313" i="366"/>
  <c r="K313" i="366" s="1"/>
  <c r="J472" i="366"/>
  <c r="K472" i="366" s="1"/>
  <c r="J810" i="366"/>
  <c r="K810" i="366" s="1"/>
  <c r="J58" i="366"/>
  <c r="K58" i="366" s="1"/>
  <c r="J736" i="366"/>
  <c r="K736" i="366" s="1"/>
  <c r="J634" i="366"/>
  <c r="K634" i="366" s="1"/>
  <c r="J936" i="366"/>
  <c r="K936" i="366" s="1"/>
  <c r="J162" i="366"/>
  <c r="K162" i="366" s="1"/>
  <c r="J918" i="366"/>
  <c r="K918" i="366" s="1"/>
  <c r="J40" i="366"/>
  <c r="K40" i="366" s="1"/>
  <c r="J895" i="366"/>
  <c r="K895" i="366" s="1"/>
  <c r="J161" i="366"/>
  <c r="K161" i="366" s="1"/>
  <c r="J92" i="366"/>
  <c r="K92" i="366" s="1"/>
  <c r="J207" i="366"/>
  <c r="K207" i="366" s="1"/>
  <c r="J759" i="366"/>
  <c r="K759" i="366" s="1"/>
  <c r="J606" i="366"/>
  <c r="K606" i="366" s="1"/>
  <c r="J203" i="366"/>
  <c r="K203" i="366" s="1"/>
  <c r="J846" i="366"/>
  <c r="K846" i="366" s="1"/>
  <c r="J214" i="366"/>
  <c r="K214" i="366" s="1"/>
  <c r="J738" i="366"/>
  <c r="K738" i="366" s="1"/>
  <c r="J871" i="366"/>
  <c r="K871" i="366" s="1"/>
  <c r="J37" i="366"/>
  <c r="K37" i="366" s="1"/>
  <c r="J509" i="366"/>
  <c r="K509" i="366" s="1"/>
  <c r="J235" i="366"/>
  <c r="K235" i="366" s="1"/>
  <c r="J399" i="366"/>
  <c r="K399" i="366" s="1"/>
  <c r="J237" i="366"/>
  <c r="K237" i="366" s="1"/>
  <c r="J204" i="366"/>
  <c r="K204" i="366" s="1"/>
  <c r="J984" i="366"/>
  <c r="K984" i="366" s="1"/>
  <c r="J449" i="366"/>
  <c r="K449" i="366" s="1"/>
  <c r="J439" i="366"/>
  <c r="K439" i="366" s="1"/>
  <c r="J448" i="366"/>
  <c r="K448" i="366" s="1"/>
  <c r="J473" i="366"/>
  <c r="K473" i="366" s="1"/>
  <c r="J354" i="366"/>
  <c r="K354" i="366" s="1"/>
  <c r="J633" i="366"/>
  <c r="K633" i="366" s="1"/>
  <c r="J741" i="366"/>
  <c r="K741" i="366" s="1"/>
  <c r="J745" i="366"/>
  <c r="K745" i="366" s="1"/>
  <c r="J265" i="366"/>
  <c r="K265" i="366" s="1"/>
  <c r="J486" i="366"/>
  <c r="K486" i="366" s="1"/>
  <c r="J378" i="366"/>
  <c r="K378" i="366" s="1"/>
  <c r="J600" i="366"/>
  <c r="K600" i="366" s="1"/>
  <c r="J105" i="366"/>
  <c r="K105" i="366" s="1"/>
  <c r="J544" i="366"/>
  <c r="K544" i="366" s="1"/>
  <c r="J263" i="366"/>
  <c r="K263" i="366" s="1"/>
  <c r="J660" i="366"/>
  <c r="K660" i="366" s="1"/>
  <c r="J672" i="366"/>
  <c r="K672" i="366" s="1"/>
  <c r="J892" i="366"/>
  <c r="K892" i="366" s="1"/>
  <c r="J231" i="366"/>
  <c r="K231" i="366" s="1"/>
  <c r="J961" i="366"/>
  <c r="K961" i="366" s="1"/>
  <c r="Y92" i="388"/>
  <c r="Y93" i="388" s="1"/>
  <c r="Y94" i="388" s="1"/>
  <c r="Y95" i="388" s="1"/>
  <c r="H77" i="167"/>
  <c r="H78" i="167" s="1"/>
  <c r="H29" i="167"/>
  <c r="H47" i="167"/>
  <c r="C14" i="413" s="1"/>
  <c r="H47" i="393"/>
  <c r="E20" i="421"/>
  <c r="AW35" i="167"/>
  <c r="AN32" i="393"/>
  <c r="AN29" i="393"/>
  <c r="AN33" i="393" s="1"/>
  <c r="AN31" i="393"/>
  <c r="AO71" i="393"/>
  <c r="I91" i="389"/>
  <c r="I92" i="389" s="1"/>
  <c r="I93" i="389" s="1"/>
  <c r="I94" i="389" s="1"/>
  <c r="I95" i="389" s="1"/>
  <c r="G92" i="389"/>
  <c r="G93" i="389" s="1"/>
  <c r="AE72" i="388"/>
  <c r="AE73" i="388" s="1"/>
  <c r="AG71" i="388"/>
  <c r="AG72" i="388" s="1"/>
  <c r="AG73" i="388" s="1"/>
  <c r="AG74" i="388" s="1"/>
  <c r="AG75" i="388" s="1"/>
  <c r="AJ88" i="393"/>
  <c r="AK104" i="393" s="1"/>
  <c r="AK103" i="393"/>
  <c r="DZ41" i="168"/>
  <c r="DZ42" i="168" s="1"/>
  <c r="DZ44" i="168" s="1"/>
  <c r="DZ45" i="168" s="1"/>
  <c r="EB39" i="168"/>
  <c r="EB41" i="168" s="1"/>
  <c r="EB42" i="168" s="1"/>
  <c r="Q148" i="388"/>
  <c r="Q105" i="388"/>
  <c r="Q141" i="388"/>
  <c r="E43" i="291"/>
  <c r="E57" i="291"/>
  <c r="C94" i="352"/>
  <c r="C95" i="352" s="1"/>
  <c r="E92" i="352"/>
  <c r="E94" i="352" s="1"/>
  <c r="E95" i="352" s="1"/>
  <c r="E97" i="352" s="1"/>
  <c r="G75" i="388"/>
  <c r="G76" i="388" s="1"/>
  <c r="I76" i="388" s="1"/>
  <c r="I78" i="388" s="1"/>
  <c r="G135" i="388"/>
  <c r="G135" i="389"/>
  <c r="G75" i="389"/>
  <c r="G76" i="389" s="1"/>
  <c r="I76" i="389" s="1"/>
  <c r="I78" i="389" s="1"/>
  <c r="BK128" i="388"/>
  <c r="BK51" i="388" s="1"/>
  <c r="BK44" i="388"/>
  <c r="BK45" i="388" s="1"/>
  <c r="BM45" i="388" s="1"/>
  <c r="BM47" i="388" s="1"/>
  <c r="O75" i="388"/>
  <c r="O76" i="388" s="1"/>
  <c r="Q76" i="388" s="1"/>
  <c r="Q78" i="388" s="1"/>
  <c r="Q79" i="388" s="1"/>
  <c r="O135" i="388"/>
  <c r="K53" i="302"/>
  <c r="C18" i="361" s="1"/>
  <c r="C24" i="361" s="1"/>
  <c r="G44" i="389"/>
  <c r="G45" i="389" s="1"/>
  <c r="I45" i="389" s="1"/>
  <c r="I47" i="389" s="1"/>
  <c r="G128" i="389"/>
  <c r="D10" i="372"/>
  <c r="AS35" i="167"/>
  <c r="AS35" i="393"/>
  <c r="AR35" i="393"/>
  <c r="D22" i="308"/>
  <c r="D19" i="364"/>
  <c r="E17" i="360"/>
  <c r="D89" i="393"/>
  <c r="M53" i="280" s="1"/>
  <c r="D18" i="360" s="1"/>
  <c r="E18" i="360" s="1"/>
  <c r="AG79" i="60"/>
  <c r="AG40" i="388"/>
  <c r="AG41" i="388" s="1"/>
  <c r="AG42" i="388" s="1"/>
  <c r="AG43" i="388" s="1"/>
  <c r="AG44" i="388" s="1"/>
  <c r="AE41" i="388"/>
  <c r="AE42" i="388" s="1"/>
  <c r="S41" i="389"/>
  <c r="S42" i="389" s="1"/>
  <c r="U39" i="389"/>
  <c r="U41" i="389" s="1"/>
  <c r="U42" i="389" s="1"/>
  <c r="U44" i="389" s="1"/>
  <c r="AA72" i="388"/>
  <c r="AA73" i="388" s="1"/>
  <c r="AC70" i="388"/>
  <c r="AC72" i="388" s="1"/>
  <c r="AC73" i="388" s="1"/>
  <c r="AC75" i="388" s="1"/>
  <c r="AR32" i="167"/>
  <c r="AR31" i="167"/>
  <c r="AR29" i="167"/>
  <c r="AS71" i="167"/>
  <c r="AK90" i="393"/>
  <c r="E74" i="393"/>
  <c r="E75" i="393" s="1"/>
  <c r="AJ90" i="393"/>
  <c r="E11" i="361"/>
  <c r="E77" i="393"/>
  <c r="E78" i="393" s="1"/>
  <c r="I111" i="389"/>
  <c r="I112" i="389" s="1"/>
  <c r="I113" i="389" s="1"/>
  <c r="C111" i="389"/>
  <c r="C112" i="389" s="1"/>
  <c r="E109" i="389"/>
  <c r="E111" i="389" s="1"/>
  <c r="E112" i="389" s="1"/>
  <c r="E114" i="389" s="1"/>
  <c r="S92" i="168"/>
  <c r="S93" i="168" s="1"/>
  <c r="U90" i="168"/>
  <c r="U92" i="168" s="1"/>
  <c r="U93" i="168" s="1"/>
  <c r="U95" i="168" s="1"/>
  <c r="AA92" i="388"/>
  <c r="AA93" i="388" s="1"/>
  <c r="AC90" i="388"/>
  <c r="AC92" i="388" s="1"/>
  <c r="AC93" i="388" s="1"/>
  <c r="AC95" i="388" s="1"/>
  <c r="G75" i="352"/>
  <c r="G76" i="352" s="1"/>
  <c r="I76" i="352" s="1"/>
  <c r="I78" i="352" s="1"/>
  <c r="G119" i="352"/>
  <c r="AN84" i="393"/>
  <c r="AO36" i="393"/>
  <c r="AP36" i="393"/>
  <c r="L38" i="184" s="1"/>
  <c r="Y71" i="168"/>
  <c r="W72" i="168"/>
  <c r="C134" i="303" s="1"/>
  <c r="AX36" i="167"/>
  <c r="O23" i="184" s="1"/>
  <c r="AY36" i="167"/>
  <c r="AW84" i="167"/>
  <c r="G44" i="352"/>
  <c r="G45" i="352" s="1"/>
  <c r="I45" i="352" s="1"/>
  <c r="I47" i="352" s="1"/>
  <c r="G112" i="352"/>
  <c r="D24" i="310"/>
  <c r="K59" i="2"/>
  <c r="D25" i="310" s="1"/>
  <c r="K61" i="2"/>
  <c r="P86" i="60" s="1"/>
  <c r="DP43" i="168"/>
  <c r="G44" i="168"/>
  <c r="G45" i="168" s="1"/>
  <c r="I45" i="168" s="1"/>
  <c r="I47" i="168" s="1"/>
  <c r="G112" i="168"/>
  <c r="W41" i="388"/>
  <c r="W42" i="388" s="1"/>
  <c r="Y40" i="388"/>
  <c r="Y41" i="388" s="1"/>
  <c r="Y42" i="388" s="1"/>
  <c r="Y43" i="388" s="1"/>
  <c r="Y44" i="388" s="1"/>
  <c r="AE41" i="352"/>
  <c r="AE42" i="352" s="1"/>
  <c r="AG40" i="352"/>
  <c r="H52" i="315"/>
  <c r="BS128" i="388"/>
  <c r="BS51" i="388" s="1"/>
  <c r="BS44" i="388"/>
  <c r="BS45" i="388" s="1"/>
  <c r="BU45" i="388" s="1"/>
  <c r="C46" i="356"/>
  <c r="C40" i="356"/>
  <c r="C42" i="356" s="1"/>
  <c r="AE94" i="388"/>
  <c r="G96" i="398"/>
  <c r="G90" i="398"/>
  <c r="G95" i="398" s="1"/>
  <c r="G82" i="398"/>
  <c r="AC39" i="168"/>
  <c r="AC41" i="168" s="1"/>
  <c r="AC42" i="168" s="1"/>
  <c r="AC44" i="168" s="1"/>
  <c r="AA41" i="168"/>
  <c r="AA42" i="168" s="1"/>
  <c r="E15" i="327"/>
  <c r="C19" i="423"/>
  <c r="E19" i="423" s="1"/>
  <c r="E21" i="435"/>
  <c r="D71" i="424"/>
  <c r="K71" i="248" s="1"/>
  <c r="G75" i="168"/>
  <c r="G76" i="168" s="1"/>
  <c r="I76" i="168" s="1"/>
  <c r="I78" i="168" s="1"/>
  <c r="G119" i="168"/>
  <c r="BM44" i="388"/>
  <c r="C24" i="322"/>
  <c r="O44" i="168"/>
  <c r="O45" i="168" s="1"/>
  <c r="Q45" i="168" s="1"/>
  <c r="Q47" i="168" s="1"/>
  <c r="Q48" i="168" s="1"/>
  <c r="O112" i="168"/>
  <c r="G113" i="389"/>
  <c r="U90" i="388"/>
  <c r="U92" i="388" s="1"/>
  <c r="U93" i="388" s="1"/>
  <c r="U95" i="388" s="1"/>
  <c r="S92" i="388"/>
  <c r="S93" i="388" s="1"/>
  <c r="AA92" i="168"/>
  <c r="AA93" i="168" s="1"/>
  <c r="AC90" i="168"/>
  <c r="AC92" i="168" s="1"/>
  <c r="AC93" i="168" s="1"/>
  <c r="AC95" i="168" s="1"/>
  <c r="D11" i="363"/>
  <c r="E10" i="363"/>
  <c r="S41" i="168"/>
  <c r="S42" i="168" s="1"/>
  <c r="E15" i="303"/>
  <c r="U39" i="168"/>
  <c r="U41" i="168" s="1"/>
  <c r="U42" i="168" s="1"/>
  <c r="U44" i="168" s="1"/>
  <c r="O92" i="389"/>
  <c r="O93" i="389" s="1"/>
  <c r="Q91" i="389"/>
  <c r="DV112" i="168"/>
  <c r="DV44" i="168"/>
  <c r="DV45" i="168" s="1"/>
  <c r="DX45" i="168" s="1"/>
  <c r="DX47" i="168" s="1"/>
  <c r="Y40" i="352" l="1"/>
  <c r="Y41" i="352" s="1"/>
  <c r="Y42" i="352" s="1"/>
  <c r="Y43" i="352" s="1"/>
  <c r="Y44" i="352" s="1"/>
  <c r="S41" i="352"/>
  <c r="S42" i="352" s="1"/>
  <c r="AC39" i="352"/>
  <c r="AC41" i="352" s="1"/>
  <c r="AC42" i="352" s="1"/>
  <c r="AC44" i="352" s="1"/>
  <c r="O75" i="168"/>
  <c r="C121" i="291" s="1"/>
  <c r="C120" i="291"/>
  <c r="D10" i="409"/>
  <c r="E10" i="409" s="1"/>
  <c r="AG40" i="389"/>
  <c r="AG41" i="389" s="1"/>
  <c r="AG42" i="389" s="1"/>
  <c r="AG43" i="389" s="1"/>
  <c r="AG44" i="389" s="1"/>
  <c r="AX90" i="167"/>
  <c r="AX91" i="167" s="1"/>
  <c r="E106" i="388"/>
  <c r="K4" i="366"/>
  <c r="C105" i="389"/>
  <c r="AW35" i="393"/>
  <c r="AW32" i="393" s="1"/>
  <c r="AX35" i="393"/>
  <c r="AY36" i="393" s="1"/>
  <c r="DD54" i="168"/>
  <c r="DD55" i="168" s="1"/>
  <c r="DD111" i="168"/>
  <c r="C125" i="168"/>
  <c r="C102" i="168" s="1"/>
  <c r="C103" i="168"/>
  <c r="C148" i="388"/>
  <c r="C121" i="388" s="1"/>
  <c r="C122" i="388"/>
  <c r="G122" i="388"/>
  <c r="G124" i="388" s="1"/>
  <c r="D58" i="350" s="1"/>
  <c r="E58" i="350" s="1"/>
  <c r="BG52" i="388"/>
  <c r="BG54" i="388" s="1"/>
  <c r="BG55" i="388" s="1"/>
  <c r="BO52" i="388"/>
  <c r="BO54" i="388" s="1"/>
  <c r="BO55" i="388" s="1"/>
  <c r="F59" i="184"/>
  <c r="C49" i="357" s="1"/>
  <c r="DB111" i="168"/>
  <c r="DB51" i="168" s="1"/>
  <c r="DB52" i="168"/>
  <c r="DT54" i="168"/>
  <c r="DT55" i="168" s="1"/>
  <c r="DT111" i="168"/>
  <c r="DR111" i="168"/>
  <c r="DR51" i="168" s="1"/>
  <c r="DR52" i="168"/>
  <c r="DJ52" i="168"/>
  <c r="DJ111" i="168"/>
  <c r="DJ51" i="168" s="1"/>
  <c r="DL54" i="168"/>
  <c r="DL55" i="168" s="1"/>
  <c r="DL111" i="168"/>
  <c r="K125" i="168"/>
  <c r="K102" i="168" s="1"/>
  <c r="K103" i="168"/>
  <c r="L73" i="2"/>
  <c r="AE73" i="168"/>
  <c r="AE74" i="168" s="1"/>
  <c r="M78" i="302"/>
  <c r="M81" i="302" s="1"/>
  <c r="C38" i="360"/>
  <c r="H79" i="280"/>
  <c r="D70" i="281"/>
  <c r="F70" i="248" s="1"/>
  <c r="D21" i="289"/>
  <c r="L85" i="60"/>
  <c r="F79" i="280"/>
  <c r="C18" i="108"/>
  <c r="D65" i="109" s="1"/>
  <c r="M79" i="280"/>
  <c r="M85" i="60"/>
  <c r="C44" i="360"/>
  <c r="O4" i="366"/>
  <c r="F89" i="315"/>
  <c r="H89" i="280"/>
  <c r="H94" i="280"/>
  <c r="D86" i="281" s="1"/>
  <c r="F86" i="248" s="1"/>
  <c r="BC91" i="388"/>
  <c r="D78" i="109"/>
  <c r="D89" i="109" s="1"/>
  <c r="D21" i="311"/>
  <c r="H79" i="302"/>
  <c r="C38" i="361"/>
  <c r="F79" i="302"/>
  <c r="P85" i="60"/>
  <c r="D21" i="109"/>
  <c r="D70" i="301"/>
  <c r="G70" i="248" s="1"/>
  <c r="E19" i="364"/>
  <c r="AA95" i="168"/>
  <c r="AA96" i="168" s="1"/>
  <c r="S44" i="389"/>
  <c r="S45" i="389" s="1"/>
  <c r="AA44" i="352"/>
  <c r="AA45" i="352" s="1"/>
  <c r="S44" i="388"/>
  <c r="S45" i="388" s="1"/>
  <c r="S76" i="168"/>
  <c r="C45" i="303"/>
  <c r="K48" i="388"/>
  <c r="K52" i="388" s="1"/>
  <c r="K79" i="168"/>
  <c r="K83" i="168" s="1"/>
  <c r="C48" i="291"/>
  <c r="M48" i="352"/>
  <c r="M48" i="168"/>
  <c r="M48" i="389"/>
  <c r="S95" i="388"/>
  <c r="S96" i="388" s="1"/>
  <c r="W73" i="168"/>
  <c r="C133" i="303" s="1"/>
  <c r="S95" i="168"/>
  <c r="S96" i="168" s="1"/>
  <c r="AA76" i="168"/>
  <c r="C45" i="327"/>
  <c r="S75" i="388"/>
  <c r="S76" i="388" s="1"/>
  <c r="M48" i="388"/>
  <c r="E46" i="291"/>
  <c r="M78" i="168"/>
  <c r="K79" i="388"/>
  <c r="K83" i="388" s="1"/>
  <c r="K148" i="388"/>
  <c r="K141" i="388"/>
  <c r="K102" i="388" s="1"/>
  <c r="K105" i="388" s="1"/>
  <c r="AA44" i="168"/>
  <c r="AA45" i="168" s="1"/>
  <c r="AA75" i="388"/>
  <c r="AA76" i="388" s="1"/>
  <c r="EB44" i="168"/>
  <c r="AA44" i="388"/>
  <c r="AA45" i="388" s="1"/>
  <c r="DR55" i="168"/>
  <c r="M79" i="388"/>
  <c r="M105" i="388"/>
  <c r="Q106" i="388" s="1"/>
  <c r="M141" i="388"/>
  <c r="M148" i="388"/>
  <c r="M125" i="168"/>
  <c r="M105" i="168"/>
  <c r="S44" i="168"/>
  <c r="S45" i="168" s="1"/>
  <c r="AA95" i="388"/>
  <c r="AA96" i="388" s="1"/>
  <c r="EB45" i="168"/>
  <c r="EB47" i="168" s="1"/>
  <c r="DZ47" i="168"/>
  <c r="S44" i="352"/>
  <c r="S45" i="352" s="1"/>
  <c r="AA44" i="389"/>
  <c r="AA45" i="389" s="1"/>
  <c r="K48" i="352"/>
  <c r="K52" i="352" s="1"/>
  <c r="K48" i="168"/>
  <c r="K52" i="168" s="1"/>
  <c r="K48" i="389"/>
  <c r="K52" i="389" s="1"/>
  <c r="DV47" i="168"/>
  <c r="DV48" i="168" s="1"/>
  <c r="DF47" i="168"/>
  <c r="DF48" i="168" s="1"/>
  <c r="G78" i="388"/>
  <c r="G79" i="388" s="1"/>
  <c r="O47" i="352"/>
  <c r="O48" i="352" s="1"/>
  <c r="O52" i="352" s="1"/>
  <c r="C49" i="350"/>
  <c r="E60" i="184"/>
  <c r="E62" i="184" s="1"/>
  <c r="E125" i="168"/>
  <c r="E105" i="168"/>
  <c r="E124" i="388"/>
  <c r="I125" i="388" s="1"/>
  <c r="E148" i="388"/>
  <c r="C79" i="389"/>
  <c r="C83" i="389" s="1"/>
  <c r="C48" i="352"/>
  <c r="C52" i="352" s="1"/>
  <c r="C79" i="352"/>
  <c r="C83" i="352" s="1"/>
  <c r="C97" i="352"/>
  <c r="C98" i="352" s="1"/>
  <c r="G78" i="168"/>
  <c r="G79" i="168" s="1"/>
  <c r="G97" i="398"/>
  <c r="G78" i="352"/>
  <c r="G79" i="352" s="1"/>
  <c r="C114" i="389"/>
  <c r="C115" i="389" s="1"/>
  <c r="G78" i="389"/>
  <c r="G79" i="389" s="1"/>
  <c r="G134" i="389" s="1"/>
  <c r="G82" i="389" s="1"/>
  <c r="G85" i="389" s="1"/>
  <c r="G86" i="389" s="1"/>
  <c r="C48" i="389"/>
  <c r="C52" i="389" s="1"/>
  <c r="C79" i="168"/>
  <c r="C83" i="168" s="1"/>
  <c r="C79" i="388"/>
  <c r="C83" i="388" s="1"/>
  <c r="E79" i="389"/>
  <c r="E48" i="352"/>
  <c r="E79" i="352"/>
  <c r="O47" i="168"/>
  <c r="C48" i="356"/>
  <c r="C50" i="356" s="1"/>
  <c r="C51" i="356" s="1"/>
  <c r="D72" i="267" s="1"/>
  <c r="E72" i="248" s="1"/>
  <c r="O47" i="389"/>
  <c r="O48" i="389" s="1"/>
  <c r="E48" i="389"/>
  <c r="E79" i="168"/>
  <c r="E79" i="388"/>
  <c r="C48" i="168"/>
  <c r="C48" i="388"/>
  <c r="C52" i="388" s="1"/>
  <c r="G47" i="388"/>
  <c r="G48" i="388" s="1"/>
  <c r="CX47" i="168"/>
  <c r="CX55" i="168" s="1"/>
  <c r="DB55" i="168"/>
  <c r="E48" i="168"/>
  <c r="E48" i="388"/>
  <c r="G94" i="389"/>
  <c r="DX48" i="168"/>
  <c r="O94" i="389"/>
  <c r="AE43" i="352"/>
  <c r="I114" i="389"/>
  <c r="I48" i="168"/>
  <c r="W74" i="388"/>
  <c r="AG95" i="388"/>
  <c r="D26" i="310"/>
  <c r="M26" i="2"/>
  <c r="K70" i="2"/>
  <c r="AN88" i="393"/>
  <c r="AO104" i="393" s="1"/>
  <c r="AO103" i="393"/>
  <c r="AJ87" i="393"/>
  <c r="AJ100" i="393"/>
  <c r="AK101" i="393" s="1"/>
  <c r="AK102" i="393" s="1"/>
  <c r="AJ86" i="393"/>
  <c r="W91" i="389" s="1"/>
  <c r="AR33" i="167"/>
  <c r="D21" i="379" s="1"/>
  <c r="H137" i="369"/>
  <c r="D20" i="379" s="1"/>
  <c r="D19" i="379"/>
  <c r="D24" i="360"/>
  <c r="E24" i="360" s="1"/>
  <c r="AR29" i="393"/>
  <c r="AR33" i="393" s="1"/>
  <c r="AR32" i="393"/>
  <c r="AR31" i="393"/>
  <c r="AS71" i="393"/>
  <c r="H37" i="393"/>
  <c r="H30" i="393"/>
  <c r="H35" i="393"/>
  <c r="H42" i="393" s="1"/>
  <c r="H34" i="393"/>
  <c r="H38" i="393"/>
  <c r="H43" i="393" s="1"/>
  <c r="I29" i="393"/>
  <c r="BB35" i="393"/>
  <c r="I47" i="393"/>
  <c r="BC35" i="393"/>
  <c r="D10" i="423"/>
  <c r="D13" i="379"/>
  <c r="G42" i="167"/>
  <c r="D15" i="379" s="1"/>
  <c r="C19" i="376"/>
  <c r="F136" i="369"/>
  <c r="D26" i="288"/>
  <c r="I70" i="2"/>
  <c r="AG41" i="168"/>
  <c r="AG42" i="168" s="1"/>
  <c r="AG43" i="168" s="1"/>
  <c r="AG44" i="168" s="1"/>
  <c r="O96" i="352"/>
  <c r="Y41" i="168"/>
  <c r="Y42" i="168" s="1"/>
  <c r="Y43" i="168" s="1"/>
  <c r="J70" i="2"/>
  <c r="J74" i="2" s="1"/>
  <c r="Y75" i="388"/>
  <c r="I94" i="352"/>
  <c r="I95" i="352" s="1"/>
  <c r="I96" i="352" s="1"/>
  <c r="I97" i="352" s="1"/>
  <c r="C43" i="303"/>
  <c r="C57" i="303"/>
  <c r="DN47" i="168"/>
  <c r="K94" i="352"/>
  <c r="K95" i="352" s="1"/>
  <c r="M92" i="352"/>
  <c r="M94" i="352" s="1"/>
  <c r="M95" i="352" s="1"/>
  <c r="M97" i="352" s="1"/>
  <c r="EF43" i="168"/>
  <c r="W43" i="352"/>
  <c r="AG41" i="352"/>
  <c r="AG42" i="352" s="1"/>
  <c r="AG43" i="352" s="1"/>
  <c r="AG44" i="352" s="1"/>
  <c r="W43" i="388"/>
  <c r="I48" i="352"/>
  <c r="E81" i="393"/>
  <c r="E76" i="393"/>
  <c r="E80" i="393"/>
  <c r="E84" i="393"/>
  <c r="E89" i="393" s="1"/>
  <c r="M53" i="302" s="1"/>
  <c r="D18" i="361" s="1"/>
  <c r="E18" i="361" s="1"/>
  <c r="E83" i="393"/>
  <c r="W93" i="352" s="1"/>
  <c r="AM71" i="168"/>
  <c r="C91" i="383" s="1"/>
  <c r="AM71" i="388"/>
  <c r="C21" i="376"/>
  <c r="D18" i="379"/>
  <c r="AS36" i="393"/>
  <c r="AR84" i="393"/>
  <c r="AT36" i="393"/>
  <c r="N38" i="184" s="1"/>
  <c r="I48" i="389"/>
  <c r="Q85" i="388"/>
  <c r="Q86" i="388" s="1"/>
  <c r="Q134" i="388"/>
  <c r="AC72" i="168"/>
  <c r="AC73" i="168" s="1"/>
  <c r="AC75" i="168" s="1"/>
  <c r="E45" i="327" s="1"/>
  <c r="E58" i="327"/>
  <c r="AI39" i="388"/>
  <c r="AI39" i="168"/>
  <c r="AI90" i="388"/>
  <c r="M58" i="184"/>
  <c r="AI90" i="168" s="1"/>
  <c r="I48" i="388"/>
  <c r="Q94" i="352"/>
  <c r="Q95" i="352" s="1"/>
  <c r="Q96" i="352" s="1"/>
  <c r="BB32" i="167"/>
  <c r="BC71" i="167"/>
  <c r="BB31" i="167"/>
  <c r="BB29" i="167"/>
  <c r="Y41" i="389"/>
  <c r="Y42" i="389" s="1"/>
  <c r="Y43" i="389" s="1"/>
  <c r="W142" i="388"/>
  <c r="W95" i="388"/>
  <c r="W96" i="388" s="1"/>
  <c r="Y96" i="388" s="1"/>
  <c r="Y98" i="388" s="1"/>
  <c r="Y99" i="388" s="1"/>
  <c r="D16" i="308"/>
  <c r="F54" i="302"/>
  <c r="F75" i="302" s="1"/>
  <c r="Q4" i="366"/>
  <c r="AM92" i="388"/>
  <c r="AM93" i="388" s="1"/>
  <c r="AO91" i="388"/>
  <c r="Q127" i="388"/>
  <c r="Q54" i="388"/>
  <c r="Q55" i="388" s="1"/>
  <c r="Q127" i="389"/>
  <c r="Q54" i="389"/>
  <c r="Q55" i="389" s="1"/>
  <c r="AE43" i="389"/>
  <c r="Q92" i="389"/>
  <c r="Q93" i="389" s="1"/>
  <c r="Q94" i="389" s="1"/>
  <c r="Q95" i="389" s="1"/>
  <c r="AO90" i="393"/>
  <c r="F74" i="393"/>
  <c r="F75" i="393" s="1"/>
  <c r="AN90" i="393"/>
  <c r="F77" i="393"/>
  <c r="F78" i="393" s="1"/>
  <c r="E11" i="363"/>
  <c r="BM48" i="388"/>
  <c r="BM54" i="388" s="1"/>
  <c r="BM55" i="388" s="1"/>
  <c r="I79" i="168"/>
  <c r="AE142" i="388"/>
  <c r="AE95" i="388"/>
  <c r="AE96" i="388" s="1"/>
  <c r="AG96" i="388" s="1"/>
  <c r="AG98" i="388" s="1"/>
  <c r="AG99" i="388" s="1"/>
  <c r="D16" i="321"/>
  <c r="H54" i="315"/>
  <c r="DP47" i="168"/>
  <c r="DP44" i="168"/>
  <c r="AW88" i="167"/>
  <c r="AX104" i="167" s="1"/>
  <c r="AX103" i="167"/>
  <c r="I79" i="352"/>
  <c r="AK91" i="393"/>
  <c r="AL91" i="393"/>
  <c r="AI70" i="168"/>
  <c r="C15" i="383" s="1"/>
  <c r="C18" i="376"/>
  <c r="AS36" i="167"/>
  <c r="M23" i="184" s="1"/>
  <c r="AT36" i="167"/>
  <c r="AR84" i="167"/>
  <c r="BK47" i="388"/>
  <c r="I79" i="389"/>
  <c r="I79" i="388"/>
  <c r="AE74" i="388"/>
  <c r="AX71" i="167"/>
  <c r="AW29" i="167"/>
  <c r="AW31" i="167"/>
  <c r="AW32" i="167"/>
  <c r="H37" i="167"/>
  <c r="H38" i="167"/>
  <c r="H34" i="167"/>
  <c r="H35" i="167"/>
  <c r="H30" i="167"/>
  <c r="C16" i="413"/>
  <c r="G82" i="400"/>
  <c r="G96" i="400"/>
  <c r="G90" i="400"/>
  <c r="G95" i="400" s="1"/>
  <c r="C57" i="327"/>
  <c r="C43" i="327"/>
  <c r="D12" i="379"/>
  <c r="F91" i="369"/>
  <c r="C20" i="376"/>
  <c r="H91" i="369"/>
  <c r="D82" i="371" s="1"/>
  <c r="I82" i="248" s="1"/>
  <c r="DH44" i="168"/>
  <c r="DH47" i="168"/>
  <c r="I37" i="167"/>
  <c r="I34" i="167"/>
  <c r="I35" i="167"/>
  <c r="I38" i="167"/>
  <c r="I30" i="167"/>
  <c r="C16" i="428"/>
  <c r="D22" i="321"/>
  <c r="D19" i="368"/>
  <c r="E19" i="368" s="1"/>
  <c r="O141" i="388"/>
  <c r="O102" i="388" s="1"/>
  <c r="O105" i="388" s="1"/>
  <c r="O148" i="388"/>
  <c r="Q74" i="168"/>
  <c r="E133" i="291"/>
  <c r="E119" i="291"/>
  <c r="AI39" i="352"/>
  <c r="AI39" i="389"/>
  <c r="I52" i="410"/>
  <c r="I52" i="422"/>
  <c r="O47" i="388"/>
  <c r="O48" i="388" s="1"/>
  <c r="Q111" i="352"/>
  <c r="Q54" i="352"/>
  <c r="Q55" i="352" s="1"/>
  <c r="BU44" i="388"/>
  <c r="BU47" i="388"/>
  <c r="CZ47" i="168"/>
  <c r="CZ44" i="168"/>
  <c r="G114" i="389"/>
  <c r="G115" i="389" s="1"/>
  <c r="I115" i="389" s="1"/>
  <c r="I117" i="389" s="1"/>
  <c r="I118" i="389" s="1"/>
  <c r="G149" i="389"/>
  <c r="Q54" i="168"/>
  <c r="Q111" i="168"/>
  <c r="BS47" i="388"/>
  <c r="G47" i="168"/>
  <c r="G47" i="352"/>
  <c r="AQ70" i="388"/>
  <c r="O38" i="184"/>
  <c r="Y72" i="168"/>
  <c r="E134" i="303" s="1"/>
  <c r="I91" i="369"/>
  <c r="I91" i="422"/>
  <c r="I91" i="410"/>
  <c r="AE43" i="388"/>
  <c r="D11" i="372"/>
  <c r="E10" i="372"/>
  <c r="G47" i="389"/>
  <c r="O78" i="388"/>
  <c r="O79" i="388" s="1"/>
  <c r="D61" i="301"/>
  <c r="D23" i="308"/>
  <c r="H75" i="302"/>
  <c r="F137" i="369"/>
  <c r="G43" i="167"/>
  <c r="F53" i="369" s="1"/>
  <c r="C19" i="384" s="1"/>
  <c r="C22" i="376"/>
  <c r="AM40" i="168"/>
  <c r="AM40" i="388"/>
  <c r="AE43" i="168"/>
  <c r="AW86" i="167"/>
  <c r="AW100" i="167"/>
  <c r="AX101" i="167" s="1"/>
  <c r="AX102" i="167" s="1"/>
  <c r="AW87" i="167"/>
  <c r="W43" i="168"/>
  <c r="W43" i="389"/>
  <c r="AG72" i="168"/>
  <c r="E134" i="327" s="1"/>
  <c r="G96" i="352"/>
  <c r="U72" i="168"/>
  <c r="U73" i="168" s="1"/>
  <c r="U75" i="168" s="1"/>
  <c r="E45" i="303" s="1"/>
  <c r="E58" i="303"/>
  <c r="AM40" i="389"/>
  <c r="AM40" i="352"/>
  <c r="M90" i="389"/>
  <c r="M92" i="389" s="1"/>
  <c r="M93" i="389" s="1"/>
  <c r="M95" i="389" s="1"/>
  <c r="K92" i="389"/>
  <c r="K93" i="389" s="1"/>
  <c r="K95" i="389" s="1"/>
  <c r="K96" i="389" s="1"/>
  <c r="ED43" i="168"/>
  <c r="O76" i="168" l="1"/>
  <c r="O78" i="168" s="1"/>
  <c r="D25" i="275"/>
  <c r="CX48" i="168"/>
  <c r="CX54" i="168" s="1"/>
  <c r="D11" i="409"/>
  <c r="H74" i="393" s="1"/>
  <c r="H75" i="393" s="1"/>
  <c r="F60" i="184"/>
  <c r="D26" i="275" s="1"/>
  <c r="AW29" i="393"/>
  <c r="AW33" i="393" s="1"/>
  <c r="AY91" i="167"/>
  <c r="AQ90" i="388" s="1"/>
  <c r="W74" i="168"/>
  <c r="C120" i="303" s="1"/>
  <c r="AX71" i="393"/>
  <c r="C105" i="168"/>
  <c r="C119" i="327"/>
  <c r="DR54" i="168"/>
  <c r="Y24" i="184" s="1"/>
  <c r="Y25" i="184" s="1"/>
  <c r="Y27" i="184" s="1"/>
  <c r="F57" i="398" s="1"/>
  <c r="F70" i="398" s="1"/>
  <c r="F76" i="398" s="1"/>
  <c r="C133" i="327"/>
  <c r="AW84" i="393"/>
  <c r="AW88" i="393" s="1"/>
  <c r="AX104" i="393" s="1"/>
  <c r="DJ54" i="168"/>
  <c r="DJ55" i="168" s="1"/>
  <c r="DB54" i="168"/>
  <c r="X24" i="184" s="1"/>
  <c r="AX36" i="393"/>
  <c r="AW31" i="393"/>
  <c r="AU71" i="389" s="1"/>
  <c r="C124" i="388"/>
  <c r="E69" i="184" s="1"/>
  <c r="DF111" i="168"/>
  <c r="DF51" i="168" s="1"/>
  <c r="DF52" i="168"/>
  <c r="AQ39" i="352"/>
  <c r="AS39" i="352" s="1"/>
  <c r="AS41" i="352" s="1"/>
  <c r="AS42" i="352" s="1"/>
  <c r="AS44" i="352" s="1"/>
  <c r="AQ39" i="389"/>
  <c r="G118" i="168"/>
  <c r="G82" i="168" s="1"/>
  <c r="G83" i="168"/>
  <c r="G127" i="388"/>
  <c r="G51" i="388" s="1"/>
  <c r="G52" i="388"/>
  <c r="O127" i="388"/>
  <c r="O51" i="388" s="1"/>
  <c r="O52" i="388"/>
  <c r="P38" i="184"/>
  <c r="AQ70" i="389"/>
  <c r="AQ72" i="389" s="1"/>
  <c r="AQ73" i="389" s="1"/>
  <c r="C119" i="303"/>
  <c r="AU40" i="352"/>
  <c r="AU41" i="352" s="1"/>
  <c r="AU42" i="352" s="1"/>
  <c r="AU40" i="389"/>
  <c r="DX54" i="168"/>
  <c r="DX55" i="168" s="1"/>
  <c r="DX111" i="168"/>
  <c r="C111" i="168"/>
  <c r="C51" i="168" s="1"/>
  <c r="C52" i="168"/>
  <c r="DV111" i="168"/>
  <c r="DV51" i="168" s="1"/>
  <c r="DV52" i="168"/>
  <c r="O134" i="388"/>
  <c r="O82" i="388" s="1"/>
  <c r="O83" i="388"/>
  <c r="G134" i="388"/>
  <c r="G82" i="388" s="1"/>
  <c r="G83" i="388"/>
  <c r="G118" i="352"/>
  <c r="G82" i="352" s="1"/>
  <c r="G83" i="352"/>
  <c r="O127" i="389"/>
  <c r="O51" i="389" s="1"/>
  <c r="O52" i="389"/>
  <c r="C62" i="291"/>
  <c r="C59" i="291"/>
  <c r="K105" i="168"/>
  <c r="Y73" i="168"/>
  <c r="E119" i="303" s="1"/>
  <c r="H53" i="369"/>
  <c r="D22" i="379" s="1"/>
  <c r="BE91" i="388"/>
  <c r="BC92" i="388"/>
  <c r="BC93" i="388"/>
  <c r="M106" i="388"/>
  <c r="C21" i="360" s="1"/>
  <c r="C23" i="360" s="1"/>
  <c r="C25" i="360" s="1"/>
  <c r="AG73" i="168"/>
  <c r="AG74" i="168" s="1"/>
  <c r="K111" i="352"/>
  <c r="K51" i="352" s="1"/>
  <c r="K54" i="352" s="1"/>
  <c r="K55" i="352" s="1"/>
  <c r="U45" i="352"/>
  <c r="U47" i="352" s="1"/>
  <c r="S47" i="352"/>
  <c r="AC96" i="388"/>
  <c r="AC98" i="388" s="1"/>
  <c r="AC99" i="388" s="1"/>
  <c r="AA98" i="388"/>
  <c r="AA99" i="388" s="1"/>
  <c r="AC45" i="388"/>
  <c r="AC47" i="388" s="1"/>
  <c r="AA47" i="388"/>
  <c r="AC76" i="388"/>
  <c r="AC78" i="388" s="1"/>
  <c r="AA78" i="388"/>
  <c r="G59" i="184"/>
  <c r="G60" i="184" s="1"/>
  <c r="G62" i="184" s="1"/>
  <c r="J57" i="280" s="1"/>
  <c r="M79" i="168"/>
  <c r="E48" i="291"/>
  <c r="U76" i="388"/>
  <c r="U78" i="388" s="1"/>
  <c r="S78" i="388"/>
  <c r="U96" i="168"/>
  <c r="U98" i="168" s="1"/>
  <c r="U99" i="168" s="1"/>
  <c r="S98" i="168"/>
  <c r="S99" i="168" s="1"/>
  <c r="U96" i="388"/>
  <c r="U98" i="388" s="1"/>
  <c r="U99" i="388" s="1"/>
  <c r="S98" i="388"/>
  <c r="S99" i="388" s="1"/>
  <c r="M54" i="168"/>
  <c r="M55" i="168" s="1"/>
  <c r="M111" i="168"/>
  <c r="U45" i="389"/>
  <c r="U47" i="389" s="1"/>
  <c r="S47" i="389"/>
  <c r="W98" i="388"/>
  <c r="W99" i="388" s="1"/>
  <c r="K97" i="352"/>
  <c r="K98" i="352" s="1"/>
  <c r="K127" i="389"/>
  <c r="K51" i="389" s="1"/>
  <c r="K54" i="389" s="1"/>
  <c r="M134" i="388"/>
  <c r="M85" i="388"/>
  <c r="M86" i="388" s="1"/>
  <c r="K111" i="168"/>
  <c r="K51" i="168" s="1"/>
  <c r="K54" i="168" s="1"/>
  <c r="K55" i="168" s="1"/>
  <c r="AC45" i="389"/>
  <c r="AC47" i="389" s="1"/>
  <c r="AA47" i="389"/>
  <c r="DZ48" i="168"/>
  <c r="U45" i="168"/>
  <c r="U47" i="168" s="1"/>
  <c r="S47" i="168"/>
  <c r="AC45" i="168"/>
  <c r="AC47" i="168" s="1"/>
  <c r="AA47" i="168"/>
  <c r="K134" i="388"/>
  <c r="K82" i="388" s="1"/>
  <c r="K85" i="388" s="1"/>
  <c r="M54" i="389"/>
  <c r="M55" i="389" s="1"/>
  <c r="M127" i="389"/>
  <c r="M54" i="352"/>
  <c r="M55" i="352" s="1"/>
  <c r="M111" i="352"/>
  <c r="K118" i="168"/>
  <c r="C49" i="291"/>
  <c r="C64" i="291"/>
  <c r="U76" i="168"/>
  <c r="S78" i="168"/>
  <c r="C46" i="303"/>
  <c r="AC45" i="352"/>
  <c r="AC47" i="352" s="1"/>
  <c r="AA47" i="352"/>
  <c r="AC96" i="168"/>
  <c r="AC98" i="168" s="1"/>
  <c r="AC99" i="168" s="1"/>
  <c r="AA98" i="168"/>
  <c r="AA99" i="168" s="1"/>
  <c r="M96" i="389"/>
  <c r="M98" i="389" s="1"/>
  <c r="M99" i="389" s="1"/>
  <c r="K98" i="389"/>
  <c r="K99" i="389" s="1"/>
  <c r="K103" i="389" s="1"/>
  <c r="AE98" i="388"/>
  <c r="AE99" i="388" s="1"/>
  <c r="EB48" i="168"/>
  <c r="M127" i="388"/>
  <c r="M54" i="388"/>
  <c r="M55" i="388" s="1"/>
  <c r="C46" i="327"/>
  <c r="AC76" i="168"/>
  <c r="AA78" i="168"/>
  <c r="K127" i="388"/>
  <c r="K51" i="388" s="1"/>
  <c r="K54" i="388" s="1"/>
  <c r="U45" i="388"/>
  <c r="U47" i="388" s="1"/>
  <c r="S47" i="388"/>
  <c r="C127" i="388"/>
  <c r="C51" i="388" s="1"/>
  <c r="C54" i="388" s="1"/>
  <c r="E134" i="388"/>
  <c r="E85" i="388"/>
  <c r="E86" i="388" s="1"/>
  <c r="E54" i="389"/>
  <c r="E55" i="389" s="1"/>
  <c r="E127" i="389"/>
  <c r="E118" i="352"/>
  <c r="E85" i="352"/>
  <c r="E86" i="352" s="1"/>
  <c r="E85" i="389"/>
  <c r="E86" i="389" s="1"/>
  <c r="E134" i="389"/>
  <c r="C118" i="168"/>
  <c r="C82" i="168" s="1"/>
  <c r="C85" i="168" s="1"/>
  <c r="C86" i="168" s="1"/>
  <c r="E115" i="389"/>
  <c r="E117" i="389" s="1"/>
  <c r="E118" i="389" s="1"/>
  <c r="C117" i="389"/>
  <c r="C118" i="389" s="1"/>
  <c r="E54" i="388"/>
  <c r="E55" i="388" s="1"/>
  <c r="E127" i="388"/>
  <c r="E111" i="352"/>
  <c r="E54" i="352"/>
  <c r="E55" i="352" s="1"/>
  <c r="C134" i="388"/>
  <c r="C82" i="388" s="1"/>
  <c r="C85" i="388" s="1"/>
  <c r="C127" i="389"/>
  <c r="C51" i="389" s="1"/>
  <c r="C54" i="389" s="1"/>
  <c r="E98" i="352"/>
  <c r="E100" i="352" s="1"/>
  <c r="E101" i="352" s="1"/>
  <c r="C100" i="352"/>
  <c r="C101" i="352" s="1"/>
  <c r="C51" i="350"/>
  <c r="L57" i="268"/>
  <c r="M57" i="268" s="1"/>
  <c r="O48" i="168"/>
  <c r="C111" i="352"/>
  <c r="C51" i="352" s="1"/>
  <c r="C54" i="352" s="1"/>
  <c r="C55" i="352" s="1"/>
  <c r="E111" i="168"/>
  <c r="E54" i="168"/>
  <c r="E55" i="168" s="1"/>
  <c r="E118" i="168"/>
  <c r="E85" i="168"/>
  <c r="E86" i="168" s="1"/>
  <c r="C118" i="352"/>
  <c r="C82" i="352" s="1"/>
  <c r="C85" i="352" s="1"/>
  <c r="C86" i="352" s="1"/>
  <c r="C134" i="389"/>
  <c r="C82" i="389" s="1"/>
  <c r="C85" i="389" s="1"/>
  <c r="I124" i="389"/>
  <c r="I148" i="389"/>
  <c r="AG105" i="388"/>
  <c r="AG141" i="388"/>
  <c r="Q97" i="352"/>
  <c r="G97" i="352"/>
  <c r="G98" i="352" s="1"/>
  <c r="I98" i="352" s="1"/>
  <c r="I100" i="352" s="1"/>
  <c r="I101" i="352" s="1"/>
  <c r="G128" i="352"/>
  <c r="W112" i="168"/>
  <c r="W44" i="168"/>
  <c r="W45" i="168" s="1"/>
  <c r="Y45" i="168" s="1"/>
  <c r="Y47" i="168" s="1"/>
  <c r="AU91" i="388"/>
  <c r="G48" i="352"/>
  <c r="BU48" i="388"/>
  <c r="BU54" i="388" s="1"/>
  <c r="BU55" i="388" s="1"/>
  <c r="AK39" i="352"/>
  <c r="AK41" i="352" s="1"/>
  <c r="AK42" i="352" s="1"/>
  <c r="AK44" i="352" s="1"/>
  <c r="AI41" i="352"/>
  <c r="AI42" i="352" s="1"/>
  <c r="F137" i="422"/>
  <c r="I43" i="167"/>
  <c r="F53" i="422" s="1"/>
  <c r="C19" i="426" s="1"/>
  <c r="C22" i="428"/>
  <c r="DH48" i="168"/>
  <c r="C22" i="413"/>
  <c r="H43" i="167"/>
  <c r="F53" i="410" s="1"/>
  <c r="C19" i="407" s="1"/>
  <c r="F137" i="410"/>
  <c r="AW33" i="167"/>
  <c r="D21" i="416" s="1"/>
  <c r="H137" i="410"/>
  <c r="D20" i="416" s="1"/>
  <c r="D19" i="416"/>
  <c r="AI70" i="388"/>
  <c r="M38" i="184"/>
  <c r="AK70" i="168"/>
  <c r="AI72" i="168"/>
  <c r="AI73" i="168" s="1"/>
  <c r="AI75" i="168" s="1"/>
  <c r="C58" i="383"/>
  <c r="I118" i="352"/>
  <c r="I85" i="352"/>
  <c r="I86" i="352" s="1"/>
  <c r="I118" i="168"/>
  <c r="I85" i="168"/>
  <c r="I86" i="168" s="1"/>
  <c r="AP91" i="393"/>
  <c r="AO91" i="393"/>
  <c r="O111" i="352"/>
  <c r="O51" i="352" s="1"/>
  <c r="O54" i="352" s="1"/>
  <c r="AM94" i="388"/>
  <c r="AE119" i="168"/>
  <c r="C129" i="327" s="1"/>
  <c r="AE75" i="168"/>
  <c r="C120" i="327"/>
  <c r="BC71" i="388"/>
  <c r="C21" i="428"/>
  <c r="D18" i="431"/>
  <c r="BC71" i="168"/>
  <c r="C91" i="425" s="1"/>
  <c r="AK90" i="168"/>
  <c r="AK92" i="168" s="1"/>
  <c r="AK93" i="168" s="1"/>
  <c r="AK95" i="168" s="1"/>
  <c r="AI92" i="168"/>
  <c r="AI93" i="168" s="1"/>
  <c r="AI41" i="388"/>
  <c r="AI42" i="388" s="1"/>
  <c r="AK39" i="388"/>
  <c r="AK41" i="388" s="1"/>
  <c r="AK42" i="388" s="1"/>
  <c r="AK44" i="388" s="1"/>
  <c r="AO71" i="168"/>
  <c r="AM72" i="168"/>
  <c r="C134" i="383" s="1"/>
  <c r="DN48" i="168"/>
  <c r="F52" i="369"/>
  <c r="F54" i="369" s="1"/>
  <c r="F75" i="369" s="1"/>
  <c r="H52" i="369"/>
  <c r="O26" i="2"/>
  <c r="N26" i="2"/>
  <c r="M30" i="2"/>
  <c r="M47" i="2" s="1"/>
  <c r="C122" i="291"/>
  <c r="AE112" i="352"/>
  <c r="AE44" i="352"/>
  <c r="AE45" i="352" s="1"/>
  <c r="AG45" i="352" s="1"/>
  <c r="AG47" i="352" s="1"/>
  <c r="AG48" i="352" s="1"/>
  <c r="W128" i="389"/>
  <c r="W44" i="389"/>
  <c r="W45" i="389" s="1"/>
  <c r="Y45" i="389" s="1"/>
  <c r="Y47" i="389" s="1"/>
  <c r="H94" i="302"/>
  <c r="D86" i="301" s="1"/>
  <c r="G86" i="248" s="1"/>
  <c r="H89" i="302"/>
  <c r="AR90" i="393"/>
  <c r="E11" i="372"/>
  <c r="G77" i="393"/>
  <c r="G78" i="393" s="1"/>
  <c r="AS90" i="393"/>
  <c r="G74" i="393"/>
  <c r="G75" i="393" s="1"/>
  <c r="AY39" i="388"/>
  <c r="AY39" i="168"/>
  <c r="E43" i="303"/>
  <c r="E57" i="303"/>
  <c r="AO40" i="388"/>
  <c r="AM41" i="388"/>
  <c r="AM42" i="388" s="1"/>
  <c r="D87" i="109"/>
  <c r="G61" i="248"/>
  <c r="G48" i="389"/>
  <c r="C24" i="417"/>
  <c r="G48" i="168"/>
  <c r="G117" i="389"/>
  <c r="G118" i="389" s="1"/>
  <c r="E120" i="291"/>
  <c r="Q75" i="168"/>
  <c r="E121" i="291" s="1"/>
  <c r="H136" i="422"/>
  <c r="D14" i="431" s="1"/>
  <c r="D13" i="431"/>
  <c r="C19" i="428"/>
  <c r="F136" i="422"/>
  <c r="I42" i="167"/>
  <c r="D15" i="431" s="1"/>
  <c r="G97" i="400"/>
  <c r="AQ39" i="168"/>
  <c r="AQ39" i="388"/>
  <c r="AU40" i="168"/>
  <c r="AU40" i="388"/>
  <c r="I85" i="389"/>
  <c r="I86" i="389" s="1"/>
  <c r="I134" i="389"/>
  <c r="S90" i="389"/>
  <c r="J58" i="184"/>
  <c r="S92" i="352" s="1"/>
  <c r="Y105" i="388"/>
  <c r="Y141" i="388"/>
  <c r="AI92" i="388"/>
  <c r="AI93" i="388" s="1"/>
  <c r="AK90" i="388"/>
  <c r="AK92" i="388" s="1"/>
  <c r="AK93" i="388" s="1"/>
  <c r="AK95" i="388" s="1"/>
  <c r="Y93" i="352"/>
  <c r="Y94" i="352" s="1"/>
  <c r="Y95" i="352" s="1"/>
  <c r="Y96" i="352" s="1"/>
  <c r="Y97" i="352" s="1"/>
  <c r="W94" i="352"/>
  <c r="W95" i="352" s="1"/>
  <c r="E88" i="393"/>
  <c r="M52" i="302" s="1"/>
  <c r="D17" i="361" s="1"/>
  <c r="W128" i="388"/>
  <c r="W44" i="388"/>
  <c r="W45" i="388" s="1"/>
  <c r="Y45" i="388" s="1"/>
  <c r="Y47" i="388" s="1"/>
  <c r="Y48" i="388" s="1"/>
  <c r="EF44" i="168"/>
  <c r="Y44" i="168"/>
  <c r="BB32" i="393"/>
  <c r="BC71" i="393"/>
  <c r="BB29" i="393"/>
  <c r="BB33" i="393" s="1"/>
  <c r="BB31" i="393"/>
  <c r="BC71" i="389" s="1"/>
  <c r="W92" i="389"/>
  <c r="W93" i="389" s="1"/>
  <c r="Y91" i="389"/>
  <c r="D12" i="373"/>
  <c r="D14" i="373" s="1"/>
  <c r="D12" i="419"/>
  <c r="D14" i="419" s="1"/>
  <c r="D12" i="324"/>
  <c r="D14" i="324" s="1"/>
  <c r="I54" i="168"/>
  <c r="I55" i="168" s="1"/>
  <c r="I111" i="168"/>
  <c r="AM41" i="168"/>
  <c r="AM42" i="168" s="1"/>
  <c r="AO40" i="168"/>
  <c r="E91" i="383"/>
  <c r="AE128" i="388"/>
  <c r="AE44" i="388"/>
  <c r="AE45" i="388" s="1"/>
  <c r="AG45" i="388" s="1"/>
  <c r="AG47" i="388" s="1"/>
  <c r="AG48" i="388" s="1"/>
  <c r="AS70" i="388"/>
  <c r="AS72" i="388" s="1"/>
  <c r="AS73" i="388" s="1"/>
  <c r="AS75" i="388" s="1"/>
  <c r="AQ72" i="388"/>
  <c r="AQ73" i="388" s="1"/>
  <c r="BS48" i="388"/>
  <c r="Q55" i="168"/>
  <c r="C20" i="428"/>
  <c r="F91" i="422"/>
  <c r="H91" i="422"/>
  <c r="D82" i="424" s="1"/>
  <c r="K82" i="248" s="1"/>
  <c r="D12" i="431"/>
  <c r="E11" i="409"/>
  <c r="D13" i="416"/>
  <c r="H42" i="167"/>
  <c r="D15" i="416" s="1"/>
  <c r="F136" i="410"/>
  <c r="C19" i="413"/>
  <c r="H136" i="410"/>
  <c r="D14" i="416" s="1"/>
  <c r="C18" i="413"/>
  <c r="AQ70" i="168"/>
  <c r="C15" i="411" s="1"/>
  <c r="I85" i="388"/>
  <c r="I86" i="388" s="1"/>
  <c r="I134" i="388"/>
  <c r="BK48" i="388"/>
  <c r="DP48" i="168"/>
  <c r="AN100" i="393"/>
  <c r="AO101" i="393" s="1"/>
  <c r="AO102" i="393" s="1"/>
  <c r="AN86" i="393"/>
  <c r="AE91" i="389" s="1"/>
  <c r="AN87" i="393"/>
  <c r="F89" i="302"/>
  <c r="F94" i="302"/>
  <c r="Y44" i="389"/>
  <c r="H90" i="422"/>
  <c r="D81" i="424" s="1"/>
  <c r="K81" i="248" s="1"/>
  <c r="C18" i="428"/>
  <c r="AY70" i="168"/>
  <c r="C15" i="425" s="1"/>
  <c r="I127" i="388"/>
  <c r="I54" i="388"/>
  <c r="E57" i="327"/>
  <c r="E43" i="327"/>
  <c r="I74" i="2"/>
  <c r="D27" i="288"/>
  <c r="E10" i="423"/>
  <c r="D11" i="423"/>
  <c r="I30" i="393"/>
  <c r="I38" i="393"/>
  <c r="I43" i="393" s="1"/>
  <c r="I34" i="393"/>
  <c r="I37" i="393"/>
  <c r="I35" i="393"/>
  <c r="I42" i="393" s="1"/>
  <c r="O142" i="389"/>
  <c r="O135" i="389"/>
  <c r="O95" i="389"/>
  <c r="O96" i="389" s="1"/>
  <c r="Q96" i="389" s="1"/>
  <c r="Q98" i="389" s="1"/>
  <c r="Q99" i="389" s="1"/>
  <c r="G95" i="389"/>
  <c r="G96" i="389" s="1"/>
  <c r="I96" i="389" s="1"/>
  <c r="I98" i="389" s="1"/>
  <c r="I99" i="389" s="1"/>
  <c r="G142" i="389"/>
  <c r="AM41" i="352"/>
  <c r="AM42" i="352" s="1"/>
  <c r="AO40" i="352"/>
  <c r="AO41" i="352" s="1"/>
  <c r="AO42" i="352" s="1"/>
  <c r="AO43" i="352" s="1"/>
  <c r="AO44" i="352" s="1"/>
  <c r="AE112" i="168"/>
  <c r="AE44" i="168"/>
  <c r="AE45" i="168" s="1"/>
  <c r="AG45" i="168" s="1"/>
  <c r="AG47" i="168" s="1"/>
  <c r="AG48" i="168" s="1"/>
  <c r="ED44" i="168"/>
  <c r="ED45" i="168" s="1"/>
  <c r="EF45" i="168" s="1"/>
  <c r="EF47" i="168" s="1"/>
  <c r="ED112" i="168"/>
  <c r="AO40" i="389"/>
  <c r="AM41" i="389"/>
  <c r="AM42" i="389" s="1"/>
  <c r="CZ55" i="168"/>
  <c r="CZ48" i="168"/>
  <c r="CZ54" i="168" s="1"/>
  <c r="AI41" i="389"/>
  <c r="AI42" i="389" s="1"/>
  <c r="AK39" i="389"/>
  <c r="AK41" i="389" s="1"/>
  <c r="AK42" i="389" s="1"/>
  <c r="AK44" i="389" s="1"/>
  <c r="BC40" i="388"/>
  <c r="BC40" i="168"/>
  <c r="D12" i="416"/>
  <c r="F91" i="410"/>
  <c r="C20" i="413"/>
  <c r="H91" i="410"/>
  <c r="D82" i="408" s="1"/>
  <c r="J82" i="248" s="1"/>
  <c r="C21" i="413"/>
  <c r="AU71" i="388"/>
  <c r="AU71" i="168"/>
  <c r="C91" i="411" s="1"/>
  <c r="D18" i="416"/>
  <c r="AE135" i="388"/>
  <c r="AE75" i="388"/>
  <c r="AE76" i="388" s="1"/>
  <c r="AG76" i="388" s="1"/>
  <c r="AG78" i="388" s="1"/>
  <c r="AG79" i="388" s="1"/>
  <c r="AS103" i="167"/>
  <c r="AR88" i="167"/>
  <c r="AS104" i="167" s="1"/>
  <c r="R438" i="366"/>
  <c r="S438" i="366" s="1"/>
  <c r="R688" i="366"/>
  <c r="S688" i="366" s="1"/>
  <c r="R915" i="366"/>
  <c r="S915" i="366" s="1"/>
  <c r="R584" i="366"/>
  <c r="S584" i="366" s="1"/>
  <c r="R84" i="366"/>
  <c r="S84" i="366" s="1"/>
  <c r="R242" i="366"/>
  <c r="S242" i="366" s="1"/>
  <c r="R405" i="366"/>
  <c r="S405" i="366" s="1"/>
  <c r="R728" i="366"/>
  <c r="S728" i="366" s="1"/>
  <c r="R315" i="366"/>
  <c r="S315" i="366" s="1"/>
  <c r="R794" i="366"/>
  <c r="S794" i="366" s="1"/>
  <c r="R219" i="366"/>
  <c r="S219" i="366" s="1"/>
  <c r="R179" i="366"/>
  <c r="S179" i="366" s="1"/>
  <c r="R233" i="366"/>
  <c r="S233" i="366" s="1"/>
  <c r="R501" i="366"/>
  <c r="S501" i="366" s="1"/>
  <c r="R700" i="366"/>
  <c r="S700" i="366" s="1"/>
  <c r="R155" i="366"/>
  <c r="S155" i="366" s="1"/>
  <c r="R334" i="366"/>
  <c r="S334" i="366" s="1"/>
  <c r="R727" i="366"/>
  <c r="S727" i="366" s="1"/>
  <c r="R891" i="366"/>
  <c r="S891" i="366" s="1"/>
  <c r="R779" i="366"/>
  <c r="S779" i="366" s="1"/>
  <c r="R639" i="366"/>
  <c r="S639" i="366" s="1"/>
  <c r="R719" i="366"/>
  <c r="S719" i="366" s="1"/>
  <c r="R965" i="366"/>
  <c r="S965" i="366" s="1"/>
  <c r="R20" i="366"/>
  <c r="S20" i="366" s="1"/>
  <c r="R534" i="366"/>
  <c r="S534" i="366" s="1"/>
  <c r="R677" i="366"/>
  <c r="S677" i="366" s="1"/>
  <c r="R713" i="366"/>
  <c r="S713" i="366" s="1"/>
  <c r="R906" i="366"/>
  <c r="S906" i="366" s="1"/>
  <c r="R43" i="366"/>
  <c r="S43" i="366" s="1"/>
  <c r="R892" i="366"/>
  <c r="S892" i="366" s="1"/>
  <c r="R275" i="366"/>
  <c r="S275" i="366" s="1"/>
  <c r="R826" i="366"/>
  <c r="S826" i="366" s="1"/>
  <c r="R841" i="366"/>
  <c r="S841" i="366" s="1"/>
  <c r="R404" i="366"/>
  <c r="S404" i="366" s="1"/>
  <c r="R963" i="366"/>
  <c r="S963" i="366" s="1"/>
  <c r="R88" i="366"/>
  <c r="S88" i="366" s="1"/>
  <c r="R627" i="366"/>
  <c r="S627" i="366" s="1"/>
  <c r="R357" i="366"/>
  <c r="S357" i="366" s="1"/>
  <c r="R592" i="366"/>
  <c r="S592" i="366" s="1"/>
  <c r="R290" i="366"/>
  <c r="S290" i="366" s="1"/>
  <c r="R863" i="366"/>
  <c r="S863" i="366" s="1"/>
  <c r="R615" i="366"/>
  <c r="S615" i="366" s="1"/>
  <c r="R23" i="366"/>
  <c r="S23" i="366" s="1"/>
  <c r="R1021" i="366"/>
  <c r="S1021" i="366" s="1"/>
  <c r="R908" i="366"/>
  <c r="S908" i="366" s="1"/>
  <c r="R956" i="366"/>
  <c r="S956" i="366" s="1"/>
  <c r="R312" i="366"/>
  <c r="S312" i="366" s="1"/>
  <c r="R514" i="366"/>
  <c r="S514" i="366" s="1"/>
  <c r="R157" i="366"/>
  <c r="S157" i="366" s="1"/>
  <c r="R457" i="366"/>
  <c r="S457" i="366" s="1"/>
  <c r="R337" i="366"/>
  <c r="S337" i="366" s="1"/>
  <c r="R201" i="366"/>
  <c r="S201" i="366" s="1"/>
  <c r="R623" i="366"/>
  <c r="S623" i="366" s="1"/>
  <c r="R186" i="366"/>
  <c r="S186" i="366" s="1"/>
  <c r="R785" i="366"/>
  <c r="S785" i="366" s="1"/>
  <c r="R486" i="366"/>
  <c r="S486" i="366" s="1"/>
  <c r="R548" i="366"/>
  <c r="S548" i="366" s="1"/>
  <c r="R271" i="366"/>
  <c r="S271" i="366" s="1"/>
  <c r="R539" i="366"/>
  <c r="S539" i="366" s="1"/>
  <c r="R946" i="366"/>
  <c r="S946" i="366" s="1"/>
  <c r="R246" i="366"/>
  <c r="S246" i="366" s="1"/>
  <c r="R252" i="366"/>
  <c r="S252" i="366" s="1"/>
  <c r="R896" i="366"/>
  <c r="S896" i="366" s="1"/>
  <c r="R24" i="366"/>
  <c r="S24" i="366" s="1"/>
  <c r="R823" i="366"/>
  <c r="S823" i="366" s="1"/>
  <c r="R274" i="366"/>
  <c r="S274" i="366" s="1"/>
  <c r="R454" i="366"/>
  <c r="S454" i="366" s="1"/>
  <c r="R552" i="366"/>
  <c r="S552" i="366" s="1"/>
  <c r="R530" i="366"/>
  <c r="S530" i="366" s="1"/>
  <c r="R678" i="366"/>
  <c r="S678" i="366" s="1"/>
  <c r="R284" i="366"/>
  <c r="S284" i="366" s="1"/>
  <c r="R178" i="366"/>
  <c r="S178" i="366" s="1"/>
  <c r="R232" i="366"/>
  <c r="S232" i="366" s="1"/>
  <c r="R696" i="366"/>
  <c r="S696" i="366" s="1"/>
  <c r="R585" i="366"/>
  <c r="S585" i="366" s="1"/>
  <c r="R834" i="366"/>
  <c r="S834" i="366" s="1"/>
  <c r="R384" i="366"/>
  <c r="S384" i="366" s="1"/>
  <c r="R788" i="366"/>
  <c r="S788" i="366" s="1"/>
  <c r="R654" i="366"/>
  <c r="S654" i="366" s="1"/>
  <c r="R751" i="366"/>
  <c r="S751" i="366" s="1"/>
  <c r="R830" i="366"/>
  <c r="S830" i="366" s="1"/>
  <c r="R161" i="366"/>
  <c r="S161" i="366" s="1"/>
  <c r="R953" i="366"/>
  <c r="S953" i="366" s="1"/>
  <c r="R714" i="366"/>
  <c r="S714" i="366" s="1"/>
  <c r="R676" i="366"/>
  <c r="S676" i="366" s="1"/>
  <c r="R927" i="366"/>
  <c r="S927" i="366" s="1"/>
  <c r="R993" i="366"/>
  <c r="S993" i="366" s="1"/>
  <c r="R853" i="366"/>
  <c r="S853" i="366" s="1"/>
  <c r="R558" i="366"/>
  <c r="S558" i="366" s="1"/>
  <c r="R82" i="366"/>
  <c r="S82" i="366" s="1"/>
  <c r="R533" i="366"/>
  <c r="S533" i="366" s="1"/>
  <c r="R793" i="366"/>
  <c r="S793" i="366" s="1"/>
  <c r="R681" i="366"/>
  <c r="S681" i="366" s="1"/>
  <c r="R842" i="366"/>
  <c r="S842" i="366" s="1"/>
  <c r="R283" i="366"/>
  <c r="S283" i="366" s="1"/>
  <c r="R406" i="366"/>
  <c r="S406" i="366" s="1"/>
  <c r="R720" i="366"/>
  <c r="S720" i="366" s="1"/>
  <c r="R53" i="366"/>
  <c r="S53" i="366" s="1"/>
  <c r="R738" i="366"/>
  <c r="S738" i="366" s="1"/>
  <c r="R573" i="366"/>
  <c r="S573" i="366" s="1"/>
  <c r="R14" i="366"/>
  <c r="S14" i="366" s="1"/>
  <c r="R302" i="366"/>
  <c r="S302" i="366" s="1"/>
  <c r="R146" i="366"/>
  <c r="S146" i="366" s="1"/>
  <c r="R591" i="366"/>
  <c r="S591" i="366" s="1"/>
  <c r="R870" i="366"/>
  <c r="S870" i="366" s="1"/>
  <c r="R935" i="366"/>
  <c r="S935" i="366" s="1"/>
  <c r="R600" i="366"/>
  <c r="S600" i="366" s="1"/>
  <c r="R191" i="366"/>
  <c r="S191" i="366" s="1"/>
  <c r="R320" i="366"/>
  <c r="S320" i="366" s="1"/>
  <c r="R358" i="366"/>
  <c r="S358" i="366" s="1"/>
  <c r="R318" i="366"/>
  <c r="S318" i="366" s="1"/>
  <c r="R435" i="366"/>
  <c r="S435" i="366" s="1"/>
  <c r="R626" i="366"/>
  <c r="S626" i="366" s="1"/>
  <c r="R668" i="366"/>
  <c r="S668" i="366" s="1"/>
  <c r="R403" i="366"/>
  <c r="S403" i="366" s="1"/>
  <c r="R56" i="366"/>
  <c r="S56" i="366" s="1"/>
  <c r="R561" i="366"/>
  <c r="S561" i="366" s="1"/>
  <c r="R324" i="366"/>
  <c r="S324" i="366" s="1"/>
  <c r="R944" i="366"/>
  <c r="S944" i="366" s="1"/>
  <c r="R100" i="366"/>
  <c r="S100" i="366" s="1"/>
  <c r="R381" i="366"/>
  <c r="S381" i="366" s="1"/>
  <c r="R617" i="366"/>
  <c r="S617" i="366" s="1"/>
  <c r="R859" i="366"/>
  <c r="S859" i="366" s="1"/>
  <c r="R929" i="366"/>
  <c r="S929" i="366" s="1"/>
  <c r="R391" i="366"/>
  <c r="S391" i="366" s="1"/>
  <c r="R171" i="366"/>
  <c r="S171" i="366" s="1"/>
  <c r="R450" i="366"/>
  <c r="S450" i="366" s="1"/>
  <c r="R806" i="366"/>
  <c r="S806" i="366" s="1"/>
  <c r="R959" i="366"/>
  <c r="S959" i="366" s="1"/>
  <c r="R300" i="366"/>
  <c r="S300" i="366" s="1"/>
  <c r="R214" i="366"/>
  <c r="S214" i="366" s="1"/>
  <c r="R808" i="366"/>
  <c r="S808" i="366" s="1"/>
  <c r="R620" i="366"/>
  <c r="S620" i="366" s="1"/>
  <c r="R763" i="366"/>
  <c r="S763" i="366" s="1"/>
  <c r="R1020" i="366"/>
  <c r="S1020" i="366" s="1"/>
  <c r="R257" i="366"/>
  <c r="S257" i="366" s="1"/>
  <c r="R673" i="366"/>
  <c r="S673" i="366" s="1"/>
  <c r="R167" i="366"/>
  <c r="S167" i="366" s="1"/>
  <c r="R513" i="366"/>
  <c r="S513" i="366" s="1"/>
  <c r="R160" i="366"/>
  <c r="S160" i="366" s="1"/>
  <c r="R724" i="366"/>
  <c r="S724" i="366" s="1"/>
  <c r="R966" i="366"/>
  <c r="S966" i="366" s="1"/>
  <c r="R749" i="366"/>
  <c r="S749" i="366" s="1"/>
  <c r="R695" i="366"/>
  <c r="S695" i="366" s="1"/>
  <c r="R142" i="366"/>
  <c r="S142" i="366" s="1"/>
  <c r="R875" i="366"/>
  <c r="S875" i="366" s="1"/>
  <c r="R294" i="366"/>
  <c r="S294" i="366" s="1"/>
  <c r="R399" i="366"/>
  <c r="S399" i="366" s="1"/>
  <c r="R47" i="366"/>
  <c r="S47" i="366" s="1"/>
  <c r="R916" i="366"/>
  <c r="S916" i="366" s="1"/>
  <c r="R989" i="366"/>
  <c r="S989" i="366" s="1"/>
  <c r="R912" i="366"/>
  <c r="S912" i="366" s="1"/>
  <c r="R748" i="366"/>
  <c r="S748" i="366" s="1"/>
  <c r="R425" i="366"/>
  <c r="S425" i="366" s="1"/>
  <c r="R949" i="366"/>
  <c r="S949" i="366" s="1"/>
  <c r="R757" i="366"/>
  <c r="S757" i="366" s="1"/>
  <c r="R913" i="366"/>
  <c r="S913" i="366" s="1"/>
  <c r="R229" i="366"/>
  <c r="S229" i="366" s="1"/>
  <c r="R108" i="366"/>
  <c r="S108" i="366" s="1"/>
  <c r="R426" i="366"/>
  <c r="S426" i="366" s="1"/>
  <c r="R801" i="366"/>
  <c r="S801" i="366" s="1"/>
  <c r="R595" i="366"/>
  <c r="S595" i="366" s="1"/>
  <c r="R797" i="366"/>
  <c r="S797" i="366" s="1"/>
  <c r="R589" i="366"/>
  <c r="S589" i="366" s="1"/>
  <c r="R818" i="366"/>
  <c r="S818" i="366" s="1"/>
  <c r="R614" i="366"/>
  <c r="S614" i="366" s="1"/>
  <c r="R278" i="366"/>
  <c r="S278" i="366" s="1"/>
  <c r="R967" i="366"/>
  <c r="S967" i="366" s="1"/>
  <c r="R672" i="366"/>
  <c r="S672" i="366" s="1"/>
  <c r="R389" i="366"/>
  <c r="S389" i="366" s="1"/>
  <c r="R1016" i="366"/>
  <c r="S1016" i="366" s="1"/>
  <c r="R928" i="366"/>
  <c r="S928" i="366" s="1"/>
  <c r="R12" i="366"/>
  <c r="S12" i="366" s="1"/>
  <c r="R866" i="366"/>
  <c r="S866" i="366" s="1"/>
  <c r="R366" i="366"/>
  <c r="S366" i="366" s="1"/>
  <c r="R63" i="366"/>
  <c r="S63" i="366" s="1"/>
  <c r="R414" i="366"/>
  <c r="S414" i="366" s="1"/>
  <c r="R689" i="366"/>
  <c r="S689" i="366" s="1"/>
  <c r="R669" i="366"/>
  <c r="S669" i="366" s="1"/>
  <c r="R919" i="366"/>
  <c r="S919" i="366" s="1"/>
  <c r="R436" i="366"/>
  <c r="S436" i="366" s="1"/>
  <c r="R359" i="366"/>
  <c r="S359" i="366" s="1"/>
  <c r="R367" i="366"/>
  <c r="S367" i="366" s="1"/>
  <c r="R304" i="366"/>
  <c r="S304" i="366" s="1"/>
  <c r="R409" i="366"/>
  <c r="S409" i="366" s="1"/>
  <c r="R981" i="366"/>
  <c r="S981" i="366" s="1"/>
  <c r="R355" i="366"/>
  <c r="S355" i="366" s="1"/>
  <c r="R154" i="366"/>
  <c r="S154" i="366" s="1"/>
  <c r="R636" i="366"/>
  <c r="S636" i="366" s="1"/>
  <c r="R285" i="366"/>
  <c r="S285" i="366" s="1"/>
  <c r="R474" i="366"/>
  <c r="S474" i="366" s="1"/>
  <c r="R703" i="366"/>
  <c r="S703" i="366" s="1"/>
  <c r="R491" i="366"/>
  <c r="S491" i="366" s="1"/>
  <c r="R907" i="366"/>
  <c r="S907" i="366" s="1"/>
  <c r="R969" i="366"/>
  <c r="S969" i="366" s="1"/>
  <c r="R235" i="366"/>
  <c r="S235" i="366" s="1"/>
  <c r="R260" i="366"/>
  <c r="S260" i="366" s="1"/>
  <c r="R762" i="366"/>
  <c r="S762" i="366" s="1"/>
  <c r="R370" i="366"/>
  <c r="S370" i="366" s="1"/>
  <c r="R172" i="366"/>
  <c r="S172" i="366" s="1"/>
  <c r="R917" i="366"/>
  <c r="S917" i="366" s="1"/>
  <c r="R1000" i="366"/>
  <c r="S1000" i="366" s="1"/>
  <c r="R985" i="366"/>
  <c r="S985" i="366" s="1"/>
  <c r="R932" i="366"/>
  <c r="S932" i="366" s="1"/>
  <c r="R165" i="366"/>
  <c r="S165" i="366" s="1"/>
  <c r="R187" i="366"/>
  <c r="S187" i="366" s="1"/>
  <c r="R36" i="366"/>
  <c r="S36" i="366" s="1"/>
  <c r="R790" i="366"/>
  <c r="S790" i="366" s="1"/>
  <c r="R243" i="366"/>
  <c r="S243" i="366" s="1"/>
  <c r="R80" i="366"/>
  <c r="S80" i="366" s="1"/>
  <c r="R625" i="366"/>
  <c r="S625" i="366" s="1"/>
  <c r="R537" i="366"/>
  <c r="S537" i="366" s="1"/>
  <c r="R876" i="366"/>
  <c r="S876" i="366" s="1"/>
  <c r="R723" i="366"/>
  <c r="S723" i="366" s="1"/>
  <c r="R254" i="366"/>
  <c r="S254" i="366" s="1"/>
  <c r="R169" i="366"/>
  <c r="S169" i="366" s="1"/>
  <c r="R998" i="366"/>
  <c r="S998" i="366" s="1"/>
  <c r="R802" i="366"/>
  <c r="S802" i="366" s="1"/>
  <c r="R98" i="366"/>
  <c r="S98" i="366" s="1"/>
  <c r="R583" i="366"/>
  <c r="S583" i="366" s="1"/>
  <c r="R559" i="366"/>
  <c r="S559" i="366" s="1"/>
  <c r="R547" i="366"/>
  <c r="S547" i="366" s="1"/>
  <c r="R33" i="366"/>
  <c r="S33" i="366" s="1"/>
  <c r="R198" i="366"/>
  <c r="S198" i="366" s="1"/>
  <c r="R690" i="366"/>
  <c r="S690" i="366" s="1"/>
  <c r="R610" i="366"/>
  <c r="S610" i="366" s="1"/>
  <c r="R856" i="366"/>
  <c r="S856" i="366" s="1"/>
  <c r="R467" i="366"/>
  <c r="S467" i="366" s="1"/>
  <c r="R867" i="366"/>
  <c r="S867" i="366" s="1"/>
  <c r="R395" i="366"/>
  <c r="S395" i="366" s="1"/>
  <c r="R433" i="366"/>
  <c r="S433" i="366" s="1"/>
  <c r="R16" i="366"/>
  <c r="S16" i="366" s="1"/>
  <c r="R374" i="366"/>
  <c r="S374" i="366" s="1"/>
  <c r="R1012" i="366"/>
  <c r="S1012" i="366" s="1"/>
  <c r="R653" i="366"/>
  <c r="S653" i="366" s="1"/>
  <c r="R659" i="366"/>
  <c r="S659" i="366" s="1"/>
  <c r="R510" i="366"/>
  <c r="S510" i="366" s="1"/>
  <c r="R766" i="366"/>
  <c r="S766" i="366" s="1"/>
  <c r="R671" i="366"/>
  <c r="S671" i="366" s="1"/>
  <c r="R893" i="366"/>
  <c r="S893" i="366" s="1"/>
  <c r="R209" i="366"/>
  <c r="S209" i="366" s="1"/>
  <c r="R660" i="366"/>
  <c r="S660" i="366" s="1"/>
  <c r="R742" i="366"/>
  <c r="S742" i="366" s="1"/>
  <c r="R115" i="366"/>
  <c r="S115" i="366" s="1"/>
  <c r="R643" i="366"/>
  <c r="S643" i="366" s="1"/>
  <c r="R57" i="366"/>
  <c r="S57" i="366" s="1"/>
  <c r="R640" i="366"/>
  <c r="S640" i="366" s="1"/>
  <c r="R111" i="366"/>
  <c r="S111" i="366" s="1"/>
  <c r="R401" i="366"/>
  <c r="S401" i="366" s="1"/>
  <c r="R469" i="366"/>
  <c r="S469" i="366" s="1"/>
  <c r="R200" i="366"/>
  <c r="S200" i="366" s="1"/>
  <c r="R443" i="366"/>
  <c r="S443" i="366" s="1"/>
  <c r="R811" i="366"/>
  <c r="S811" i="366" s="1"/>
  <c r="R51" i="366"/>
  <c r="S51" i="366" s="1"/>
  <c r="R936" i="366"/>
  <c r="S936" i="366" s="1"/>
  <c r="R472" i="366"/>
  <c r="S472" i="366" s="1"/>
  <c r="R1018" i="366"/>
  <c r="S1018" i="366" s="1"/>
  <c r="R325" i="366"/>
  <c r="S325" i="366" s="1"/>
  <c r="R280" i="366"/>
  <c r="S280" i="366" s="1"/>
  <c r="R590" i="366"/>
  <c r="S590" i="366" s="1"/>
  <c r="R488" i="366"/>
  <c r="S488" i="366" s="1"/>
  <c r="R263" i="366"/>
  <c r="S263" i="366" s="1"/>
  <c r="R767" i="366"/>
  <c r="S767" i="366" s="1"/>
  <c r="R756" i="366"/>
  <c r="S756" i="366" s="1"/>
  <c r="R765" i="366"/>
  <c r="S765" i="366" s="1"/>
  <c r="R980" i="366"/>
  <c r="S980" i="366" s="1"/>
  <c r="R598" i="366"/>
  <c r="S598" i="366" s="1"/>
  <c r="R1005" i="366"/>
  <c r="S1005" i="366" s="1"/>
  <c r="R52" i="366"/>
  <c r="S52" i="366" s="1"/>
  <c r="R740" i="366"/>
  <c r="S740" i="366" s="1"/>
  <c r="R805" i="366"/>
  <c r="S805" i="366" s="1"/>
  <c r="R528" i="366"/>
  <c r="S528" i="366" s="1"/>
  <c r="R149" i="366"/>
  <c r="S149" i="366" s="1"/>
  <c r="R213" i="366"/>
  <c r="S213" i="366" s="1"/>
  <c r="R190" i="366"/>
  <c r="S190" i="366" s="1"/>
  <c r="R839" i="366"/>
  <c r="S839" i="366" s="1"/>
  <c r="R203" i="366"/>
  <c r="S203" i="366" s="1"/>
  <c r="R298" i="366"/>
  <c r="S298" i="366" s="1"/>
  <c r="R743" i="366"/>
  <c r="S743" i="366" s="1"/>
  <c r="R937" i="366"/>
  <c r="S937" i="366" s="1"/>
  <c r="R60" i="366"/>
  <c r="S60" i="366" s="1"/>
  <c r="R777" i="366"/>
  <c r="S777" i="366" s="1"/>
  <c r="R1014" i="366"/>
  <c r="S1014" i="366" s="1"/>
  <c r="R286" i="366"/>
  <c r="S286" i="366" s="1"/>
  <c r="R810" i="366"/>
  <c r="S810" i="366" s="1"/>
  <c r="R819" i="366"/>
  <c r="S819" i="366" s="1"/>
  <c r="R961" i="366"/>
  <c r="S961" i="366" s="1"/>
  <c r="R351" i="366"/>
  <c r="S351" i="366" s="1"/>
  <c r="R121" i="366"/>
  <c r="S121" i="366" s="1"/>
  <c r="R101" i="366"/>
  <c r="S101" i="366" s="1"/>
  <c r="R813" i="366"/>
  <c r="S813" i="366" s="1"/>
  <c r="R335" i="366"/>
  <c r="S335" i="366" s="1"/>
  <c r="R647" i="366"/>
  <c r="S647" i="366" s="1"/>
  <c r="R217" i="366"/>
  <c r="S217" i="366" s="1"/>
  <c r="R910" i="366"/>
  <c r="S910" i="366" s="1"/>
  <c r="R612" i="366"/>
  <c r="S612" i="366" s="1"/>
  <c r="R721" i="366"/>
  <c r="S721" i="366" s="1"/>
  <c r="R266" i="366"/>
  <c r="S266" i="366" s="1"/>
  <c r="R129" i="366"/>
  <c r="S129" i="366" s="1"/>
  <c r="R340" i="366"/>
  <c r="S340" i="366" s="1"/>
  <c r="R463" i="366"/>
  <c r="S463" i="366" s="1"/>
  <c r="R498" i="366"/>
  <c r="S498" i="366" s="1"/>
  <c r="R138" i="366"/>
  <c r="S138" i="366" s="1"/>
  <c r="R264" i="366"/>
  <c r="S264" i="366" s="1"/>
  <c r="R184" i="366"/>
  <c r="S184" i="366" s="1"/>
  <c r="R691" i="366"/>
  <c r="S691" i="366" s="1"/>
  <c r="R835" i="366"/>
  <c r="S835" i="366" s="1"/>
  <c r="R816" i="366"/>
  <c r="S816" i="366" s="1"/>
  <c r="R299" i="366"/>
  <c r="S299" i="366" s="1"/>
  <c r="R1004" i="366"/>
  <c r="S1004" i="366" s="1"/>
  <c r="R1010" i="366"/>
  <c r="S1010" i="366" s="1"/>
  <c r="R13" i="366"/>
  <c r="S13" i="366" s="1"/>
  <c r="R702" i="366"/>
  <c r="S702" i="366" s="1"/>
  <c r="R332" i="366"/>
  <c r="S332" i="366" s="1"/>
  <c r="R94" i="366"/>
  <c r="S94" i="366" s="1"/>
  <c r="R221" i="366"/>
  <c r="S221" i="366" s="1"/>
  <c r="R238" i="366"/>
  <c r="S238" i="366" s="1"/>
  <c r="R453" i="366"/>
  <c r="S453" i="366" s="1"/>
  <c r="R599" i="366"/>
  <c r="S599" i="366" s="1"/>
  <c r="R684" i="366"/>
  <c r="S684" i="366" s="1"/>
  <c r="R418" i="366"/>
  <c r="S418" i="366" s="1"/>
  <c r="R914" i="366"/>
  <c r="S914" i="366" s="1"/>
  <c r="R958" i="366"/>
  <c r="S958" i="366" s="1"/>
  <c r="R244" i="366"/>
  <c r="S244" i="366" s="1"/>
  <c r="R758" i="366"/>
  <c r="S758" i="366" s="1"/>
  <c r="R544" i="366"/>
  <c r="S544" i="366" s="1"/>
  <c r="R526" i="366"/>
  <c r="S526" i="366" s="1"/>
  <c r="R356" i="366"/>
  <c r="S356" i="366" s="1"/>
  <c r="R69" i="366"/>
  <c r="S69" i="366" s="1"/>
  <c r="R622" i="366"/>
  <c r="S622" i="366" s="1"/>
  <c r="R962" i="366"/>
  <c r="S962" i="366" s="1"/>
  <c r="R118" i="366"/>
  <c r="S118" i="366" s="1"/>
  <c r="R803" i="366"/>
  <c r="S803" i="366" s="1"/>
  <c r="R67" i="366"/>
  <c r="S67" i="366" s="1"/>
  <c r="R604" i="366"/>
  <c r="S604" i="366" s="1"/>
  <c r="R925" i="366"/>
  <c r="S925" i="366" s="1"/>
  <c r="R978" i="366"/>
  <c r="S978" i="366" s="1"/>
  <c r="R755" i="366"/>
  <c r="S755" i="366" s="1"/>
  <c r="R141" i="366"/>
  <c r="S141" i="366" s="1"/>
  <c r="R419" i="366"/>
  <c r="S419" i="366" s="1"/>
  <c r="R734" i="366"/>
  <c r="S734" i="366" s="1"/>
  <c r="R503" i="366"/>
  <c r="S503" i="366" s="1"/>
  <c r="R903" i="366"/>
  <c r="S903" i="366" s="1"/>
  <c r="R500" i="366"/>
  <c r="S500" i="366" s="1"/>
  <c r="R91" i="366"/>
  <c r="S91" i="366" s="1"/>
  <c r="R476" i="366"/>
  <c r="S476" i="366" s="1"/>
  <c r="R388" i="366"/>
  <c r="S388" i="366" s="1"/>
  <c r="R521" i="366"/>
  <c r="S521" i="366" s="1"/>
  <c r="R570" i="366"/>
  <c r="S570" i="366" s="1"/>
  <c r="R336" i="366"/>
  <c r="S336" i="366" s="1"/>
  <c r="R774" i="366"/>
  <c r="S774" i="366" s="1"/>
  <c r="R303" i="366"/>
  <c r="S303" i="366" s="1"/>
  <c r="R416" i="366"/>
  <c r="S416" i="366" s="1"/>
  <c r="R350" i="366"/>
  <c r="S350" i="366" s="1"/>
  <c r="R407" i="366"/>
  <c r="S407" i="366" s="1"/>
  <c r="R783" i="366"/>
  <c r="S783" i="366" s="1"/>
  <c r="R707" i="366"/>
  <c r="S707" i="366" s="1"/>
  <c r="R262" i="366"/>
  <c r="S262" i="366" s="1"/>
  <c r="R379" i="366"/>
  <c r="S379" i="366" s="1"/>
  <c r="R840" i="366"/>
  <c r="S840" i="366" s="1"/>
  <c r="R555" i="366"/>
  <c r="S555" i="366" s="1"/>
  <c r="R189" i="366"/>
  <c r="S189" i="366" s="1"/>
  <c r="R408" i="366"/>
  <c r="S408" i="366" s="1"/>
  <c r="R365" i="366"/>
  <c r="S365" i="366" s="1"/>
  <c r="R279" i="366"/>
  <c r="S279" i="366" s="1"/>
  <c r="R568" i="366"/>
  <c r="S568" i="366" s="1"/>
  <c r="R330" i="366"/>
  <c r="S330" i="366" s="1"/>
  <c r="R601" i="366"/>
  <c r="S601" i="366" s="1"/>
  <c r="R371" i="366"/>
  <c r="S371" i="366" s="1"/>
  <c r="R934" i="366"/>
  <c r="S934" i="366" s="1"/>
  <c r="R836" i="366"/>
  <c r="S836" i="366" s="1"/>
  <c r="R656" i="366"/>
  <c r="S656" i="366" s="1"/>
  <c r="R123" i="366"/>
  <c r="S123" i="366" s="1"/>
  <c r="R862" i="366"/>
  <c r="S862" i="366" s="1"/>
  <c r="R134" i="366"/>
  <c r="S134" i="366" s="1"/>
  <c r="R554" i="366"/>
  <c r="S554" i="366" s="1"/>
  <c r="R789" i="366"/>
  <c r="S789" i="366" s="1"/>
  <c r="R771" i="366"/>
  <c r="S771" i="366" s="1"/>
  <c r="R387" i="366"/>
  <c r="S387" i="366" s="1"/>
  <c r="R546" i="366"/>
  <c r="S546" i="366" s="1"/>
  <c r="R634" i="366"/>
  <c r="S634" i="366" s="1"/>
  <c r="R832" i="366"/>
  <c r="S832" i="366" s="1"/>
  <c r="R329" i="366"/>
  <c r="S329" i="366" s="1"/>
  <c r="R941" i="366"/>
  <c r="S941" i="366" s="1"/>
  <c r="R4" i="366"/>
  <c r="U4" i="366" s="1"/>
  <c r="R939" i="366"/>
  <c r="S939" i="366" s="1"/>
  <c r="R630" i="366"/>
  <c r="S630" i="366" s="1"/>
  <c r="R192" i="366"/>
  <c r="S192" i="366" s="1"/>
  <c r="R205" i="366"/>
  <c r="S205" i="366" s="1"/>
  <c r="R147" i="366"/>
  <c r="S147" i="366" s="1"/>
  <c r="R441" i="366"/>
  <c r="S441" i="366" s="1"/>
  <c r="R376" i="366"/>
  <c r="S376" i="366" s="1"/>
  <c r="R930" i="366"/>
  <c r="S930" i="366" s="1"/>
  <c r="R865" i="366"/>
  <c r="S865" i="366" s="1"/>
  <c r="R124" i="366"/>
  <c r="S124" i="366" s="1"/>
  <c r="R977" i="366"/>
  <c r="S977" i="366" s="1"/>
  <c r="R694" i="366"/>
  <c r="S694" i="366" s="1"/>
  <c r="R670" i="366"/>
  <c r="S670" i="366" s="1"/>
  <c r="R465" i="366"/>
  <c r="S465" i="366" s="1"/>
  <c r="R145" i="366"/>
  <c r="S145" i="366" s="1"/>
  <c r="R646" i="366"/>
  <c r="S646" i="366" s="1"/>
  <c r="R227" i="366"/>
  <c r="S227" i="366" s="1"/>
  <c r="R251" i="366"/>
  <c r="S251" i="366" s="1"/>
  <c r="R398" i="366"/>
  <c r="S398" i="366" s="1"/>
  <c r="R563" i="366"/>
  <c r="S563" i="366" s="1"/>
  <c r="R269" i="366"/>
  <c r="S269" i="366" s="1"/>
  <c r="R629" i="366"/>
  <c r="S629" i="366" s="1"/>
  <c r="R431" i="366"/>
  <c r="S431" i="366" s="1"/>
  <c r="R519" i="366"/>
  <c r="S519" i="366" s="1"/>
  <c r="R899" i="366"/>
  <c r="S899" i="366" s="1"/>
  <c r="R362" i="366"/>
  <c r="S362" i="366" s="1"/>
  <c r="R42" i="366"/>
  <c r="S42" i="366" s="1"/>
  <c r="R452" i="366"/>
  <c r="S452" i="366" s="1"/>
  <c r="R662" i="366"/>
  <c r="S662" i="366" s="1"/>
  <c r="R886" i="366"/>
  <c r="S886" i="366" s="1"/>
  <c r="R613" i="366"/>
  <c r="S613" i="366" s="1"/>
  <c r="R421" i="366"/>
  <c r="S421" i="366" s="1"/>
  <c r="R15" i="366"/>
  <c r="S15" i="366" s="1"/>
  <c r="R163" i="366"/>
  <c r="S163" i="366" s="1"/>
  <c r="R815" i="366"/>
  <c r="S815" i="366" s="1"/>
  <c r="R471" i="366"/>
  <c r="S471" i="366" s="1"/>
  <c r="R651" i="366"/>
  <c r="S651" i="366" s="1"/>
  <c r="R206" i="366"/>
  <c r="S206" i="366" s="1"/>
  <c r="R215" i="366"/>
  <c r="S215" i="366" s="1"/>
  <c r="R61" i="366"/>
  <c r="S61" i="366" s="1"/>
  <c r="R905" i="366"/>
  <c r="S905" i="366" s="1"/>
  <c r="R218" i="366"/>
  <c r="S218" i="366" s="1"/>
  <c r="R440" i="366"/>
  <c r="S440" i="366" s="1"/>
  <c r="R197" i="366"/>
  <c r="S197" i="366" s="1"/>
  <c r="R338" i="366"/>
  <c r="S338" i="366" s="1"/>
  <c r="R87" i="366"/>
  <c r="S87" i="366" s="1"/>
  <c r="R210" i="366"/>
  <c r="S210" i="366" s="1"/>
  <c r="R716" i="366"/>
  <c r="S716" i="366" s="1"/>
  <c r="R692" i="366"/>
  <c r="S692" i="366" s="1"/>
  <c r="R812" i="366"/>
  <c r="S812" i="366" s="1"/>
  <c r="R305" i="366"/>
  <c r="S305" i="366" s="1"/>
  <c r="R838" i="366"/>
  <c r="S838" i="366" s="1"/>
  <c r="R341" i="366"/>
  <c r="S341" i="366" s="1"/>
  <c r="R48" i="366"/>
  <c r="S48" i="366" s="1"/>
  <c r="R430" i="366"/>
  <c r="S430" i="366" s="1"/>
  <c r="R628" i="366"/>
  <c r="S628" i="366" s="1"/>
  <c r="R77" i="366"/>
  <c r="S77" i="366" s="1"/>
  <c r="R89" i="366"/>
  <c r="S89" i="366" s="1"/>
  <c r="R897" i="366"/>
  <c r="S897" i="366" s="1"/>
  <c r="R193" i="366"/>
  <c r="S193" i="366" s="1"/>
  <c r="R869" i="366"/>
  <c r="S869" i="366" s="1"/>
  <c r="R522" i="366"/>
  <c r="S522" i="366" s="1"/>
  <c r="R663" i="366"/>
  <c r="S663" i="366" s="1"/>
  <c r="R168" i="366"/>
  <c r="S168" i="366" s="1"/>
  <c r="R222" i="366"/>
  <c r="S222" i="366" s="1"/>
  <c r="R119" i="366"/>
  <c r="S119" i="366" s="1"/>
  <c r="R158" i="366"/>
  <c r="S158" i="366" s="1"/>
  <c r="R924" i="366"/>
  <c r="S924" i="366" s="1"/>
  <c r="R282" i="366"/>
  <c r="S282" i="366" s="1"/>
  <c r="R637" i="366"/>
  <c r="S637" i="366" s="1"/>
  <c r="R894" i="366"/>
  <c r="S894" i="366" s="1"/>
  <c r="R1019" i="366"/>
  <c r="S1019" i="366" s="1"/>
  <c r="R759" i="366"/>
  <c r="S759" i="366" s="1"/>
  <c r="R994" i="366"/>
  <c r="S994" i="366" s="1"/>
  <c r="R795" i="366"/>
  <c r="S795" i="366" s="1"/>
  <c r="R183" i="366"/>
  <c r="S183" i="366" s="1"/>
  <c r="R581" i="366"/>
  <c r="S581" i="366" s="1"/>
  <c r="R492" i="366"/>
  <c r="S492" i="366" s="1"/>
  <c r="R182" i="366"/>
  <c r="S182" i="366" s="1"/>
  <c r="R764" i="366"/>
  <c r="S764" i="366" s="1"/>
  <c r="R460" i="366"/>
  <c r="S460" i="366" s="1"/>
  <c r="R479" i="366"/>
  <c r="S479" i="366" s="1"/>
  <c r="R17" i="366"/>
  <c r="S17" i="366" s="1"/>
  <c r="R1009" i="366"/>
  <c r="S1009" i="366" s="1"/>
  <c r="R711" i="366"/>
  <c r="S711" i="366" s="1"/>
  <c r="R885" i="366"/>
  <c r="S885" i="366" s="1"/>
  <c r="R784" i="366"/>
  <c r="S784" i="366" s="1"/>
  <c r="R364" i="366"/>
  <c r="S364" i="366" s="1"/>
  <c r="R680" i="366"/>
  <c r="S680" i="366" s="1"/>
  <c r="R402" i="366"/>
  <c r="S402" i="366" s="1"/>
  <c r="R556" i="366"/>
  <c r="S556" i="366" s="1"/>
  <c r="R895" i="366"/>
  <c r="S895" i="366" s="1"/>
  <c r="R451" i="366"/>
  <c r="S451" i="366" s="1"/>
  <c r="R326" i="366"/>
  <c r="S326" i="366" s="1"/>
  <c r="R446" i="366"/>
  <c r="S446" i="366" s="1"/>
  <c r="R638" i="366"/>
  <c r="S638" i="366" s="1"/>
  <c r="R321" i="366"/>
  <c r="S321" i="366" s="1"/>
  <c r="R986" i="366"/>
  <c r="S986" i="366" s="1"/>
  <c r="R992" i="366"/>
  <c r="S992" i="366" s="1"/>
  <c r="R507" i="366"/>
  <c r="S507" i="366" s="1"/>
  <c r="R247" i="366"/>
  <c r="S247" i="366" s="1"/>
  <c r="R712" i="366"/>
  <c r="S712" i="366" s="1"/>
  <c r="R447" i="366"/>
  <c r="S447" i="366" s="1"/>
  <c r="R911" i="366"/>
  <c r="S911" i="366" s="1"/>
  <c r="R103" i="366"/>
  <c r="S103" i="366" s="1"/>
  <c r="R973" i="366"/>
  <c r="S973" i="366" s="1"/>
  <c r="R475" i="366"/>
  <c r="S475" i="366" s="1"/>
  <c r="R444" i="366"/>
  <c r="S444" i="366" s="1"/>
  <c r="R951" i="366"/>
  <c r="S951" i="366" s="1"/>
  <c r="R272" i="366"/>
  <c r="S272" i="366" s="1"/>
  <c r="R770" i="366"/>
  <c r="S770" i="366" s="1"/>
  <c r="R518" i="366"/>
  <c r="S518" i="366" s="1"/>
  <c r="R593" i="366"/>
  <c r="S593" i="366" s="1"/>
  <c r="R760" i="366"/>
  <c r="S760" i="366" s="1"/>
  <c r="R632" i="366"/>
  <c r="S632" i="366" s="1"/>
  <c r="R729" i="366"/>
  <c r="S729" i="366" s="1"/>
  <c r="R621" i="366"/>
  <c r="S621" i="366" s="1"/>
  <c r="R945" i="366"/>
  <c r="S945" i="366" s="1"/>
  <c r="R860" i="366"/>
  <c r="S860" i="366" s="1"/>
  <c r="R354" i="366"/>
  <c r="S354" i="366" s="1"/>
  <c r="R202" i="366"/>
  <c r="S202" i="366" s="1"/>
  <c r="R880" i="366"/>
  <c r="S880" i="366" s="1"/>
  <c r="R83" i="366"/>
  <c r="S83" i="366" s="1"/>
  <c r="R645" i="366"/>
  <c r="S645" i="366" s="1"/>
  <c r="R322" i="366"/>
  <c r="S322" i="366" s="1"/>
  <c r="R196" i="366"/>
  <c r="S196" i="366" s="1"/>
  <c r="R55" i="366"/>
  <c r="S55" i="366" s="1"/>
  <c r="R41" i="366"/>
  <c r="S41" i="366" s="1"/>
  <c r="R288" i="366"/>
  <c r="S288" i="366" s="1"/>
  <c r="R525" i="366"/>
  <c r="S525" i="366" s="1"/>
  <c r="R493" i="366"/>
  <c r="S493" i="366" s="1"/>
  <c r="R505" i="366"/>
  <c r="S505" i="366" s="1"/>
  <c r="R258" i="366"/>
  <c r="S258" i="366" s="1"/>
  <c r="R68" i="366"/>
  <c r="S68" i="366" s="1"/>
  <c r="R199" i="366"/>
  <c r="S199" i="366" s="1"/>
  <c r="R976" i="366"/>
  <c r="S976" i="366" s="1"/>
  <c r="R484" i="366"/>
  <c r="S484" i="366" s="1"/>
  <c r="R44" i="366"/>
  <c r="S44" i="366" s="1"/>
  <c r="R277" i="366"/>
  <c r="S277" i="366" s="1"/>
  <c r="R569" i="366"/>
  <c r="S569" i="366" s="1"/>
  <c r="R878" i="366"/>
  <c r="S878" i="366" s="1"/>
  <c r="R31" i="366"/>
  <c r="S31" i="366" s="1"/>
  <c r="R188" i="366"/>
  <c r="S188" i="366" s="1"/>
  <c r="R960" i="366"/>
  <c r="S960" i="366" s="1"/>
  <c r="R562" i="366"/>
  <c r="S562" i="366" s="1"/>
  <c r="R575" i="366"/>
  <c r="S575" i="366" s="1"/>
  <c r="R128" i="366"/>
  <c r="S128" i="366" s="1"/>
  <c r="R173" i="366"/>
  <c r="S173" i="366" s="1"/>
  <c r="R508" i="366"/>
  <c r="S508" i="366" s="1"/>
  <c r="R540" i="366"/>
  <c r="S540" i="366" s="1"/>
  <c r="R86" i="366"/>
  <c r="S86" i="366" s="1"/>
  <c r="R385" i="366"/>
  <c r="S385" i="366" s="1"/>
  <c r="R456" i="366"/>
  <c r="S456" i="366" s="1"/>
  <c r="R289" i="366"/>
  <c r="S289" i="366" s="1"/>
  <c r="R655" i="366"/>
  <c r="S655" i="366" s="1"/>
  <c r="R267" i="366"/>
  <c r="S267" i="366" s="1"/>
  <c r="R473" i="366"/>
  <c r="S473" i="366" s="1"/>
  <c r="R972" i="366"/>
  <c r="S972" i="366" s="1"/>
  <c r="R316" i="366"/>
  <c r="S316" i="366" s="1"/>
  <c r="R231" i="366"/>
  <c r="S231" i="366" s="1"/>
  <c r="R582" i="366"/>
  <c r="S582" i="366" s="1"/>
  <c r="R310" i="366"/>
  <c r="S310" i="366" s="1"/>
  <c r="R150" i="366"/>
  <c r="S150" i="366" s="1"/>
  <c r="R248" i="366"/>
  <c r="S248" i="366" s="1"/>
  <c r="R135" i="366"/>
  <c r="S135" i="366" s="1"/>
  <c r="R954" i="366"/>
  <c r="S954" i="366" s="1"/>
  <c r="R49" i="366"/>
  <c r="S49" i="366" s="1"/>
  <c r="R517" i="366"/>
  <c r="S517" i="366" s="1"/>
  <c r="R725" i="366"/>
  <c r="S725" i="366" s="1"/>
  <c r="R1017" i="366"/>
  <c r="S1017" i="366" s="1"/>
  <c r="R511" i="366"/>
  <c r="S511" i="366" s="1"/>
  <c r="R125" i="366"/>
  <c r="S125" i="366" s="1"/>
  <c r="R241" i="366"/>
  <c r="S241" i="366" s="1"/>
  <c r="R909" i="366"/>
  <c r="S909" i="366" s="1"/>
  <c r="R773" i="366"/>
  <c r="S773" i="366" s="1"/>
  <c r="R375" i="366"/>
  <c r="S375" i="366" s="1"/>
  <c r="R950" i="366"/>
  <c r="S950" i="366" s="1"/>
  <c r="R502" i="366"/>
  <c r="S502" i="366" s="1"/>
  <c r="R657" i="366"/>
  <c r="S657" i="366" s="1"/>
  <c r="R75" i="366"/>
  <c r="S75" i="366" s="1"/>
  <c r="R373" i="366"/>
  <c r="S373" i="366" s="1"/>
  <c r="R586" i="366"/>
  <c r="S586" i="366" s="1"/>
  <c r="R156" i="366"/>
  <c r="S156" i="366" s="1"/>
  <c r="R644" i="366"/>
  <c r="S644" i="366" s="1"/>
  <c r="R28" i="366"/>
  <c r="S28" i="366" s="1"/>
  <c r="R737" i="366"/>
  <c r="S737" i="366" s="1"/>
  <c r="R931" i="366"/>
  <c r="S931" i="366" s="1"/>
  <c r="R904" i="366"/>
  <c r="S904" i="366" s="1"/>
  <c r="R698" i="366"/>
  <c r="S698" i="366" s="1"/>
  <c r="R40" i="366"/>
  <c r="S40" i="366" s="1"/>
  <c r="R79" i="366"/>
  <c r="S79" i="366" s="1"/>
  <c r="R148" i="366"/>
  <c r="S148" i="366" s="1"/>
  <c r="R687" i="366"/>
  <c r="S687" i="366" s="1"/>
  <c r="R733" i="366"/>
  <c r="S733" i="366" s="1"/>
  <c r="R93" i="366"/>
  <c r="S93" i="366" s="1"/>
  <c r="R796" i="366"/>
  <c r="S796" i="366" s="1"/>
  <c r="R497" i="366"/>
  <c r="S497" i="366" s="1"/>
  <c r="R412" i="366"/>
  <c r="S412" i="366" s="1"/>
  <c r="R772" i="366"/>
  <c r="S772" i="366" s="1"/>
  <c r="R926" i="366"/>
  <c r="S926" i="366" s="1"/>
  <c r="R666" i="366"/>
  <c r="S666" i="366" s="1"/>
  <c r="R96" i="366"/>
  <c r="S96" i="366" s="1"/>
  <c r="R293" i="366"/>
  <c r="S293" i="366" s="1"/>
  <c r="R25" i="366"/>
  <c r="S25" i="366" s="1"/>
  <c r="R602" i="366"/>
  <c r="S602" i="366" s="1"/>
  <c r="R524" i="366"/>
  <c r="S524" i="366" s="1"/>
  <c r="R32" i="366"/>
  <c r="S32" i="366" s="1"/>
  <c r="R216" i="366"/>
  <c r="S216" i="366" s="1"/>
  <c r="R256" i="366"/>
  <c r="S256" i="366" s="1"/>
  <c r="R132" i="366"/>
  <c r="S132" i="366" s="1"/>
  <c r="R58" i="366"/>
  <c r="S58" i="366" s="1"/>
  <c r="R1002" i="366"/>
  <c r="S1002" i="366" s="1"/>
  <c r="R606" i="366"/>
  <c r="S606" i="366" s="1"/>
  <c r="R542" i="366"/>
  <c r="S542" i="366" s="1"/>
  <c r="R259" i="366"/>
  <c r="S259" i="366" s="1"/>
  <c r="R701" i="366"/>
  <c r="S701" i="366" s="1"/>
  <c r="R139" i="366"/>
  <c r="S139" i="366" s="1"/>
  <c r="R844" i="366"/>
  <c r="S844" i="366" s="1"/>
  <c r="R553" i="366"/>
  <c r="S553" i="366" s="1"/>
  <c r="R704" i="366"/>
  <c r="S704" i="366" s="1"/>
  <c r="R923" i="366"/>
  <c r="S923" i="366" s="1"/>
  <c r="R843" i="366"/>
  <c r="S843" i="366" s="1"/>
  <c r="R888" i="366"/>
  <c r="S888" i="366" s="1"/>
  <c r="R255" i="366"/>
  <c r="S255" i="366" s="1"/>
  <c r="R667" i="366"/>
  <c r="S667" i="366" s="1"/>
  <c r="R70" i="366"/>
  <c r="S70" i="366" s="1"/>
  <c r="R54" i="366"/>
  <c r="S54" i="366" s="1"/>
  <c r="R19" i="366"/>
  <c r="S19" i="366" s="1"/>
  <c r="R718" i="366"/>
  <c r="S718" i="366" s="1"/>
  <c r="R942" i="366"/>
  <c r="S942" i="366" s="1"/>
  <c r="R106" i="366"/>
  <c r="S106" i="366" s="1"/>
  <c r="R97" i="366"/>
  <c r="S97" i="366" s="1"/>
  <c r="R22" i="366"/>
  <c r="S22" i="366" s="1"/>
  <c r="R887" i="366"/>
  <c r="S887" i="366" s="1"/>
  <c r="R62" i="366"/>
  <c r="S62" i="366" s="1"/>
  <c r="R342" i="366"/>
  <c r="S342" i="366" s="1"/>
  <c r="R319" i="366"/>
  <c r="S319" i="366" s="1"/>
  <c r="R377" i="366"/>
  <c r="S377" i="366" s="1"/>
  <c r="R137" i="366"/>
  <c r="S137" i="366" s="1"/>
  <c r="R482" i="366"/>
  <c r="S482" i="366" s="1"/>
  <c r="R804" i="366"/>
  <c r="S804" i="366" s="1"/>
  <c r="R344" i="366"/>
  <c r="S344" i="366" s="1"/>
  <c r="R594" i="366"/>
  <c r="S594" i="366" s="1"/>
  <c r="R35" i="366"/>
  <c r="S35" i="366" s="1"/>
  <c r="R576" i="366"/>
  <c r="S576" i="366" s="1"/>
  <c r="R223" i="366"/>
  <c r="S223" i="366" s="1"/>
  <c r="R116" i="366"/>
  <c r="S116" i="366" s="1"/>
  <c r="R1006" i="366"/>
  <c r="S1006" i="366" s="1"/>
  <c r="R988" i="366"/>
  <c r="S988" i="366" s="1"/>
  <c r="R736" i="366"/>
  <c r="S736" i="366" s="1"/>
  <c r="R735" i="366"/>
  <c r="S735" i="366" s="1"/>
  <c r="R76" i="366"/>
  <c r="S76" i="366" s="1"/>
  <c r="R74" i="366"/>
  <c r="S74" i="366" s="1"/>
  <c r="R506" i="366"/>
  <c r="S506" i="366" s="1"/>
  <c r="R415" i="366"/>
  <c r="S415" i="366" s="1"/>
  <c r="R136" i="366"/>
  <c r="S136" i="366" s="1"/>
  <c r="R38" i="366"/>
  <c r="S38" i="366" s="1"/>
  <c r="R34" i="366"/>
  <c r="S34" i="366" s="1"/>
  <c r="R560" i="366"/>
  <c r="S560" i="366" s="1"/>
  <c r="R176" i="366"/>
  <c r="S176" i="366" s="1"/>
  <c r="R527" i="366"/>
  <c r="S527" i="366" s="1"/>
  <c r="R722" i="366"/>
  <c r="S722" i="366" s="1"/>
  <c r="R616" i="366"/>
  <c r="S616" i="366" s="1"/>
  <c r="R485" i="366"/>
  <c r="S485" i="366" s="1"/>
  <c r="R990" i="366"/>
  <c r="S990" i="366" s="1"/>
  <c r="R587" i="366"/>
  <c r="S587" i="366" s="1"/>
  <c r="R429" i="366"/>
  <c r="S429" i="366" s="1"/>
  <c r="R745" i="366"/>
  <c r="S745" i="366" s="1"/>
  <c r="R551" i="366"/>
  <c r="S551" i="366" s="1"/>
  <c r="R494" i="366"/>
  <c r="S494" i="366" s="1"/>
  <c r="R220" i="366"/>
  <c r="S220" i="366" s="1"/>
  <c r="R955" i="366"/>
  <c r="S955" i="366" s="1"/>
  <c r="R392" i="366"/>
  <c r="S392" i="366" s="1"/>
  <c r="R270" i="366"/>
  <c r="S270" i="366" s="1"/>
  <c r="R864" i="366"/>
  <c r="S864" i="366" s="1"/>
  <c r="R957" i="366"/>
  <c r="S957" i="366" s="1"/>
  <c r="R776" i="366"/>
  <c r="S776" i="366" s="1"/>
  <c r="R1003" i="366"/>
  <c r="S1003" i="366" s="1"/>
  <c r="R487" i="366"/>
  <c r="S487" i="366" s="1"/>
  <c r="R1007" i="366"/>
  <c r="S1007" i="366" s="1"/>
  <c r="R7" i="366"/>
  <c r="S7" i="366" s="1"/>
  <c r="R999" i="366"/>
  <c r="S999" i="366" s="1"/>
  <c r="R664" i="366"/>
  <c r="S664" i="366" s="1"/>
  <c r="R140" i="366"/>
  <c r="S140" i="366" s="1"/>
  <c r="R468" i="366"/>
  <c r="S468" i="366" s="1"/>
  <c r="R378" i="366"/>
  <c r="S378" i="366" s="1"/>
  <c r="R821" i="366"/>
  <c r="S821" i="366" s="1"/>
  <c r="R309" i="366"/>
  <c r="S309" i="366" s="1"/>
  <c r="R237" i="366"/>
  <c r="S237" i="366" s="1"/>
  <c r="R481" i="366"/>
  <c r="S481" i="366" s="1"/>
  <c r="R750" i="366"/>
  <c r="S750" i="366" s="1"/>
  <c r="R523" i="366"/>
  <c r="S523" i="366" s="1"/>
  <c r="R65" i="366"/>
  <c r="S65" i="366" s="1"/>
  <c r="R349" i="366"/>
  <c r="S349" i="366" s="1"/>
  <c r="R710" i="366"/>
  <c r="S710" i="366" s="1"/>
  <c r="R881" i="366"/>
  <c r="S881" i="366" s="1"/>
  <c r="R705" i="366"/>
  <c r="S705" i="366" s="1"/>
  <c r="R99" i="366"/>
  <c r="S99" i="366" s="1"/>
  <c r="R311" i="366"/>
  <c r="S311" i="366" s="1"/>
  <c r="R164" i="366"/>
  <c r="S164" i="366" s="1"/>
  <c r="R90" i="366"/>
  <c r="S90" i="366" s="1"/>
  <c r="R635" i="366"/>
  <c r="S635" i="366" s="1"/>
  <c r="R820" i="366"/>
  <c r="S820" i="366" s="1"/>
  <c r="R368" i="366"/>
  <c r="S368" i="366" s="1"/>
  <c r="R462" i="366"/>
  <c r="S462" i="366" s="1"/>
  <c r="R545" i="366"/>
  <c r="S545" i="366" s="1"/>
  <c r="R726" i="366"/>
  <c r="S726" i="366" s="1"/>
  <c r="R112" i="366"/>
  <c r="S112" i="366" s="1"/>
  <c r="R889" i="366"/>
  <c r="S889" i="366" s="1"/>
  <c r="R997" i="366"/>
  <c r="S997" i="366" s="1"/>
  <c r="R933" i="366"/>
  <c r="S933" i="366" s="1"/>
  <c r="R114" i="366"/>
  <c r="S114" i="366" s="1"/>
  <c r="R424" i="366"/>
  <c r="S424" i="366" s="1"/>
  <c r="R307" i="366"/>
  <c r="S307" i="366" s="1"/>
  <c r="R778" i="366"/>
  <c r="S778" i="366" s="1"/>
  <c r="R265" i="366"/>
  <c r="S265" i="366" s="1"/>
  <c r="R143" i="366"/>
  <c r="S143" i="366" s="1"/>
  <c r="R30" i="366"/>
  <c r="S30" i="366" s="1"/>
  <c r="R661" i="366"/>
  <c r="S661" i="366" s="1"/>
  <c r="R883" i="366"/>
  <c r="S883" i="366" s="1"/>
  <c r="R538" i="366"/>
  <c r="S538" i="366" s="1"/>
  <c r="R410" i="366"/>
  <c r="S410" i="366" s="1"/>
  <c r="R855" i="366"/>
  <c r="S855" i="366" s="1"/>
  <c r="R107" i="366"/>
  <c r="S107" i="366" s="1"/>
  <c r="R73" i="366"/>
  <c r="S73" i="366" s="1"/>
  <c r="R730" i="366"/>
  <c r="S730" i="366" s="1"/>
  <c r="R439" i="366"/>
  <c r="S439" i="366" s="1"/>
  <c r="R641" i="366"/>
  <c r="S641" i="366" s="1"/>
  <c r="R185" i="366"/>
  <c r="S185" i="366" s="1"/>
  <c r="R890" i="366"/>
  <c r="S890" i="366" s="1"/>
  <c r="R858" i="366"/>
  <c r="S858" i="366" s="1"/>
  <c r="R871" i="366"/>
  <c r="S871" i="366" s="1"/>
  <c r="R879" i="366"/>
  <c r="S879" i="366" s="1"/>
  <c r="R382" i="366"/>
  <c r="S382" i="366" s="1"/>
  <c r="R847" i="366"/>
  <c r="S847" i="366" s="1"/>
  <c r="R317" i="366"/>
  <c r="S317" i="366" s="1"/>
  <c r="R979" i="366"/>
  <c r="S979" i="366" s="1"/>
  <c r="R78" i="366"/>
  <c r="S78" i="366" s="1"/>
  <c r="R301" i="366"/>
  <c r="S301" i="366" s="1"/>
  <c r="R126" i="366"/>
  <c r="S126" i="366" s="1"/>
  <c r="R515" i="366"/>
  <c r="S515" i="366" s="1"/>
  <c r="R786" i="366"/>
  <c r="S786" i="366" s="1"/>
  <c r="R868" i="366"/>
  <c r="S868" i="366" s="1"/>
  <c r="R85" i="366"/>
  <c r="S85" i="366" s="1"/>
  <c r="R746" i="366"/>
  <c r="S746" i="366" s="1"/>
  <c r="R95" i="366"/>
  <c r="S95" i="366" s="1"/>
  <c r="R697" i="366"/>
  <c r="S697" i="366" s="1"/>
  <c r="R504" i="366"/>
  <c r="S504" i="366" s="1"/>
  <c r="R211" i="366"/>
  <c r="S211" i="366" s="1"/>
  <c r="R652" i="366"/>
  <c r="S652" i="366" s="1"/>
  <c r="R739" i="366"/>
  <c r="S739" i="366" s="1"/>
  <c r="R874" i="366"/>
  <c r="S874" i="366" s="1"/>
  <c r="R872" i="366"/>
  <c r="S872" i="366" s="1"/>
  <c r="R846" i="366"/>
  <c r="S846" i="366" s="1"/>
  <c r="R127" i="366"/>
  <c r="S127" i="366" s="1"/>
  <c r="R442" i="366"/>
  <c r="S442" i="366" s="1"/>
  <c r="R390" i="366"/>
  <c r="S390" i="366" s="1"/>
  <c r="R21" i="366"/>
  <c r="S21" i="366" s="1"/>
  <c r="R995" i="366"/>
  <c r="S995" i="366" s="1"/>
  <c r="R194" i="366"/>
  <c r="S194" i="366" s="1"/>
  <c r="R948" i="366"/>
  <c r="S948" i="366" s="1"/>
  <c r="R709" i="366"/>
  <c r="S709" i="366" s="1"/>
  <c r="R470" i="366"/>
  <c r="S470" i="366" s="1"/>
  <c r="R328" i="366"/>
  <c r="S328" i="366" s="1"/>
  <c r="R618" i="366"/>
  <c r="S618" i="366" s="1"/>
  <c r="R490" i="366"/>
  <c r="S490" i="366" s="1"/>
  <c r="R799" i="366"/>
  <c r="S799" i="366" s="1"/>
  <c r="R787" i="366"/>
  <c r="S787" i="366" s="1"/>
  <c r="R27" i="366"/>
  <c r="S27" i="366" s="1"/>
  <c r="R747" i="366"/>
  <c r="S747" i="366" s="1"/>
  <c r="R477" i="366"/>
  <c r="S477" i="366" s="1"/>
  <c r="R968" i="366"/>
  <c r="S968" i="366" s="1"/>
  <c r="R130" i="366"/>
  <c r="S130" i="366" s="1"/>
  <c r="R825" i="366"/>
  <c r="S825" i="366" s="1"/>
  <c r="R649" i="366"/>
  <c r="S649" i="366" s="1"/>
  <c r="R396" i="366"/>
  <c r="S396" i="366" s="1"/>
  <c r="R609" i="366"/>
  <c r="S609" i="366" s="1"/>
  <c r="R596" i="366"/>
  <c r="S596" i="366" s="1"/>
  <c r="R532" i="366"/>
  <c r="S532" i="366" s="1"/>
  <c r="R798" i="366"/>
  <c r="S798" i="366" s="1"/>
  <c r="R64" i="366"/>
  <c r="S64" i="366" s="1"/>
  <c r="R306" i="366"/>
  <c r="S306" i="366" s="1"/>
  <c r="R947" i="366"/>
  <c r="S947" i="366" s="1"/>
  <c r="R833" i="366"/>
  <c r="S833" i="366" s="1"/>
  <c r="R151" i="366"/>
  <c r="S151" i="366" s="1"/>
  <c r="R1011" i="366"/>
  <c r="S1011" i="366" s="1"/>
  <c r="R413" i="366"/>
  <c r="S413" i="366" s="1"/>
  <c r="R837" i="366"/>
  <c r="S837" i="366" s="1"/>
  <c r="R920" i="366"/>
  <c r="S920" i="366" s="1"/>
  <c r="R347" i="366"/>
  <c r="S347" i="366" s="1"/>
  <c r="R536" i="366"/>
  <c r="S536" i="366" s="1"/>
  <c r="R423" i="366"/>
  <c r="S423" i="366" s="1"/>
  <c r="R648" i="366"/>
  <c r="S648" i="366" s="1"/>
  <c r="R983" i="366"/>
  <c r="S983" i="366" s="1"/>
  <c r="R314" i="366"/>
  <c r="S314" i="366" s="1"/>
  <c r="R577" i="366"/>
  <c r="S577" i="366" s="1"/>
  <c r="R133" i="366"/>
  <c r="S133" i="366" s="1"/>
  <c r="R162" i="366"/>
  <c r="S162" i="366" s="1"/>
  <c r="R940" i="366"/>
  <c r="S940" i="366" s="1"/>
  <c r="R455" i="366"/>
  <c r="S455" i="366" s="1"/>
  <c r="R102" i="366"/>
  <c r="S102" i="366" s="1"/>
  <c r="R131" i="366"/>
  <c r="S131" i="366" s="1"/>
  <c r="R372" i="366"/>
  <c r="S372" i="366" s="1"/>
  <c r="R420" i="366"/>
  <c r="S420" i="366" s="1"/>
  <c r="R120" i="366"/>
  <c r="S120" i="366" s="1"/>
  <c r="R180" i="366"/>
  <c r="S180" i="366" s="1"/>
  <c r="R884" i="366"/>
  <c r="S884" i="366" s="1"/>
  <c r="R873" i="366"/>
  <c r="S873" i="366" s="1"/>
  <c r="R580" i="366"/>
  <c r="S580" i="366" s="1"/>
  <c r="R557" i="366"/>
  <c r="S557" i="366" s="1"/>
  <c r="R122" i="366"/>
  <c r="S122" i="366" s="1"/>
  <c r="R849" i="366"/>
  <c r="S849" i="366" s="1"/>
  <c r="R822" i="366"/>
  <c r="S822" i="366" s="1"/>
  <c r="R1001" i="366"/>
  <c r="S1001" i="366" s="1"/>
  <c r="R918" i="366"/>
  <c r="S918" i="366" s="1"/>
  <c r="R273" i="366"/>
  <c r="S273" i="366" s="1"/>
  <c r="R59" i="366"/>
  <c r="S59" i="366" s="1"/>
  <c r="R458" i="366"/>
  <c r="S458" i="366" s="1"/>
  <c r="R394" i="366"/>
  <c r="S394" i="366" s="1"/>
  <c r="R37" i="366"/>
  <c r="S37" i="366" s="1"/>
  <c r="R882" i="366"/>
  <c r="S882" i="366" s="1"/>
  <c r="R297" i="366"/>
  <c r="S297" i="366" s="1"/>
  <c r="R642" i="366"/>
  <c r="S642" i="366" s="1"/>
  <c r="R18" i="366"/>
  <c r="S18" i="366" s="1"/>
  <c r="R706" i="366"/>
  <c r="S706" i="366" s="1"/>
  <c r="R327" i="366"/>
  <c r="S327" i="366" s="1"/>
  <c r="R228" i="366"/>
  <c r="S228" i="366" s="1"/>
  <c r="R331" i="366"/>
  <c r="S331" i="366" s="1"/>
  <c r="R824" i="366"/>
  <c r="S824" i="366" s="1"/>
  <c r="R567" i="366"/>
  <c r="S567" i="366" s="1"/>
  <c r="R333" i="366"/>
  <c r="S333" i="366" s="1"/>
  <c r="R422" i="366"/>
  <c r="S422" i="366" s="1"/>
  <c r="R110" i="366"/>
  <c r="S110" i="366" s="1"/>
  <c r="R901" i="366"/>
  <c r="S901" i="366" s="1"/>
  <c r="R807" i="366"/>
  <c r="S807" i="366" s="1"/>
  <c r="R731" i="366"/>
  <c r="S731" i="366" s="1"/>
  <c r="R781" i="366"/>
  <c r="S781" i="366" s="1"/>
  <c r="R117" i="366"/>
  <c r="S117" i="366" s="1"/>
  <c r="R480" i="366"/>
  <c r="S480" i="366" s="1"/>
  <c r="R434" i="366"/>
  <c r="S434" i="366" s="1"/>
  <c r="R679" i="366"/>
  <c r="S679" i="366" s="1"/>
  <c r="R411" i="366"/>
  <c r="S411" i="366" s="1"/>
  <c r="R153" i="366"/>
  <c r="S153" i="366" s="1"/>
  <c r="R292" i="366"/>
  <c r="S292" i="366" s="1"/>
  <c r="R605" i="366"/>
  <c r="S605" i="366" s="1"/>
  <c r="R852" i="366"/>
  <c r="S852" i="366" s="1"/>
  <c r="R699" i="366"/>
  <c r="S699" i="366" s="1"/>
  <c r="R753" i="366"/>
  <c r="S753" i="366" s="1"/>
  <c r="R792" i="366"/>
  <c r="S792" i="366" s="1"/>
  <c r="R971" i="366"/>
  <c r="S971" i="366" s="1"/>
  <c r="R308" i="366"/>
  <c r="S308" i="366" s="1"/>
  <c r="R26" i="366"/>
  <c r="S26" i="366" s="1"/>
  <c r="R775" i="366"/>
  <c r="S775" i="366" s="1"/>
  <c r="R313" i="366"/>
  <c r="S313" i="366" s="1"/>
  <c r="R984" i="366"/>
  <c r="S984" i="366" s="1"/>
  <c r="R754" i="366"/>
  <c r="S754" i="366" s="1"/>
  <c r="R195" i="366"/>
  <c r="S195" i="366" s="1"/>
  <c r="R496" i="366"/>
  <c r="S496" i="366" s="1"/>
  <c r="R861" i="366"/>
  <c r="S861" i="366" s="1"/>
  <c r="R6" i="366"/>
  <c r="S6" i="366" s="1"/>
  <c r="R922" i="366"/>
  <c r="S922" i="366" s="1"/>
  <c r="R50" i="366"/>
  <c r="S50" i="366" s="1"/>
  <c r="R72" i="366"/>
  <c r="S72" i="366" s="1"/>
  <c r="R529" i="366"/>
  <c r="S529" i="366" s="1"/>
  <c r="R152" i="366"/>
  <c r="S152" i="366" s="1"/>
  <c r="R564" i="366"/>
  <c r="S564" i="366" s="1"/>
  <c r="R975" i="366"/>
  <c r="S975" i="366" s="1"/>
  <c r="R566" i="366"/>
  <c r="S566" i="366" s="1"/>
  <c r="R1008" i="366"/>
  <c r="S1008" i="366" s="1"/>
  <c r="R104" i="366"/>
  <c r="S104" i="366" s="1"/>
  <c r="R565" i="366"/>
  <c r="S565" i="366" s="1"/>
  <c r="R448" i="366"/>
  <c r="S448" i="366" s="1"/>
  <c r="R624" i="366"/>
  <c r="S624" i="366" s="1"/>
  <c r="R226" i="366"/>
  <c r="S226" i="366" s="1"/>
  <c r="R352" i="366"/>
  <c r="S352" i="366" s="1"/>
  <c r="R675" i="366"/>
  <c r="S675" i="366" s="1"/>
  <c r="R535" i="366"/>
  <c r="S535" i="366" s="1"/>
  <c r="R512" i="366"/>
  <c r="S512" i="366" s="1"/>
  <c r="R686" i="366"/>
  <c r="S686" i="366" s="1"/>
  <c r="R45" i="366"/>
  <c r="S45" i="366" s="1"/>
  <c r="R717" i="366"/>
  <c r="S717" i="366" s="1"/>
  <c r="R245" i="366"/>
  <c r="S245" i="366" s="1"/>
  <c r="R175" i="366"/>
  <c r="S175" i="366" s="1"/>
  <c r="R982" i="366"/>
  <c r="S982" i="366" s="1"/>
  <c r="R665" i="366"/>
  <c r="S665" i="366" s="1"/>
  <c r="R761" i="366"/>
  <c r="S761" i="366" s="1"/>
  <c r="R268" i="366"/>
  <c r="S268" i="366" s="1"/>
  <c r="R461" i="366"/>
  <c r="S461" i="366" s="1"/>
  <c r="R346" i="366"/>
  <c r="S346" i="366" s="1"/>
  <c r="R828" i="366"/>
  <c r="S828" i="366" s="1"/>
  <c r="R348" i="366"/>
  <c r="S348" i="366" s="1"/>
  <c r="R851" i="366"/>
  <c r="S851" i="366" s="1"/>
  <c r="R631" i="366"/>
  <c r="S631" i="366" s="1"/>
  <c r="R964" i="366"/>
  <c r="S964" i="366" s="1"/>
  <c r="R81" i="366"/>
  <c r="S81" i="366" s="1"/>
  <c r="R386" i="366"/>
  <c r="S386" i="366" s="1"/>
  <c r="R900" i="366"/>
  <c r="S900" i="366" s="1"/>
  <c r="R831" i="366"/>
  <c r="S831" i="366" s="1"/>
  <c r="R380" i="366"/>
  <c r="S380" i="366" s="1"/>
  <c r="R207" i="366"/>
  <c r="S207" i="366" s="1"/>
  <c r="R588" i="366"/>
  <c r="S588" i="366" s="1"/>
  <c r="R1015" i="366"/>
  <c r="S1015" i="366" s="1"/>
  <c r="R732" i="366"/>
  <c r="S732" i="366" s="1"/>
  <c r="R574" i="366"/>
  <c r="S574" i="366" s="1"/>
  <c r="R39" i="366"/>
  <c r="S39" i="366" s="1"/>
  <c r="R445" i="366"/>
  <c r="S445" i="366" s="1"/>
  <c r="R428" i="366"/>
  <c r="S428" i="366" s="1"/>
  <c r="R323" i="366"/>
  <c r="S323" i="366" s="1"/>
  <c r="R105" i="366"/>
  <c r="S105" i="366" s="1"/>
  <c r="R181" i="366"/>
  <c r="S181" i="366" s="1"/>
  <c r="R281" i="366"/>
  <c r="S281" i="366" s="1"/>
  <c r="R295" i="366"/>
  <c r="S295" i="366" s="1"/>
  <c r="R224" i="366"/>
  <c r="S224" i="366" s="1"/>
  <c r="R829" i="366"/>
  <c r="S829" i="366" s="1"/>
  <c r="R1013" i="366"/>
  <c r="S1013" i="366" s="1"/>
  <c r="R715" i="366"/>
  <c r="S715" i="366" s="1"/>
  <c r="R619" i="366"/>
  <c r="S619" i="366" s="1"/>
  <c r="R693" i="366"/>
  <c r="S693" i="366" s="1"/>
  <c r="R204" i="366"/>
  <c r="S204" i="366" s="1"/>
  <c r="R177" i="366"/>
  <c r="S177" i="366" s="1"/>
  <c r="R383" i="366"/>
  <c r="S383" i="366" s="1"/>
  <c r="R603" i="366"/>
  <c r="S603" i="366" s="1"/>
  <c r="R854" i="366"/>
  <c r="S854" i="366" s="1"/>
  <c r="R572" i="366"/>
  <c r="S572" i="366" s="1"/>
  <c r="R578" i="366"/>
  <c r="S578" i="366" s="1"/>
  <c r="R225" i="366"/>
  <c r="S225" i="366" s="1"/>
  <c r="R29" i="366"/>
  <c r="S29" i="366" s="1"/>
  <c r="R902" i="366"/>
  <c r="S902" i="366" s="1"/>
  <c r="R991" i="366"/>
  <c r="S991" i="366" s="1"/>
  <c r="R109" i="366"/>
  <c r="S109" i="366" s="1"/>
  <c r="R5" i="366"/>
  <c r="S5" i="366" s="1"/>
  <c r="R291" i="366"/>
  <c r="S291" i="366" s="1"/>
  <c r="R938" i="366"/>
  <c r="S938" i="366" s="1"/>
  <c r="R345" i="366"/>
  <c r="S345" i="366" s="1"/>
  <c r="R466" i="366"/>
  <c r="S466" i="366" s="1"/>
  <c r="R239" i="366"/>
  <c r="S239" i="366" s="1"/>
  <c r="R8" i="366"/>
  <c r="S8" i="366" s="1"/>
  <c r="R66" i="366"/>
  <c r="S66" i="366" s="1"/>
  <c r="R427" i="366"/>
  <c r="S427" i="366" s="1"/>
  <c r="R685" i="366"/>
  <c r="S685" i="366" s="1"/>
  <c r="R943" i="366"/>
  <c r="S943" i="366" s="1"/>
  <c r="R848" i="366"/>
  <c r="S848" i="366" s="1"/>
  <c r="R437" i="366"/>
  <c r="S437" i="366" s="1"/>
  <c r="R682" i="366"/>
  <c r="S682" i="366" s="1"/>
  <c r="R814" i="366"/>
  <c r="S814" i="366" s="1"/>
  <c r="R516" i="366"/>
  <c r="S516" i="366" s="1"/>
  <c r="R607" i="366"/>
  <c r="S607" i="366" s="1"/>
  <c r="R817" i="366"/>
  <c r="S817" i="366" s="1"/>
  <c r="R520" i="366"/>
  <c r="S520" i="366" s="1"/>
  <c r="R608" i="366"/>
  <c r="S608" i="366" s="1"/>
  <c r="R987" i="366"/>
  <c r="S987" i="366" s="1"/>
  <c r="R489" i="366"/>
  <c r="S489" i="366" s="1"/>
  <c r="R353" i="366"/>
  <c r="S353" i="366" s="1"/>
  <c r="R650" i="366"/>
  <c r="S650" i="366" s="1"/>
  <c r="R708" i="366"/>
  <c r="S708" i="366" s="1"/>
  <c r="R212" i="366"/>
  <c r="S212" i="366" s="1"/>
  <c r="R611" i="366"/>
  <c r="S611" i="366" s="1"/>
  <c r="R11" i="366"/>
  <c r="S11" i="366" s="1"/>
  <c r="R236" i="366"/>
  <c r="S236" i="366" s="1"/>
  <c r="R509" i="366"/>
  <c r="S509" i="366" s="1"/>
  <c r="R531" i="366"/>
  <c r="S531" i="366" s="1"/>
  <c r="R877" i="366"/>
  <c r="S877" i="366" s="1"/>
  <c r="R483" i="366"/>
  <c r="S483" i="366" s="1"/>
  <c r="R432" i="366"/>
  <c r="S432" i="366" s="1"/>
  <c r="R249" i="366"/>
  <c r="S249" i="366" s="1"/>
  <c r="R845" i="366"/>
  <c r="S845" i="366" s="1"/>
  <c r="R296" i="366"/>
  <c r="S296" i="366" s="1"/>
  <c r="R800" i="366"/>
  <c r="S800" i="366" s="1"/>
  <c r="R393" i="366"/>
  <c r="S393" i="366" s="1"/>
  <c r="R174" i="366"/>
  <c r="S174" i="366" s="1"/>
  <c r="R360" i="366"/>
  <c r="S360" i="366" s="1"/>
  <c r="R343" i="366"/>
  <c r="S343" i="366" s="1"/>
  <c r="R857" i="366"/>
  <c r="S857" i="366" s="1"/>
  <c r="R261" i="366"/>
  <c r="S261" i="366" s="1"/>
  <c r="R741" i="366"/>
  <c r="S741" i="366" s="1"/>
  <c r="R478" i="366"/>
  <c r="S478" i="366" s="1"/>
  <c r="R397" i="366"/>
  <c r="S397" i="366" s="1"/>
  <c r="R674" i="366"/>
  <c r="S674" i="366" s="1"/>
  <c r="R683" i="366"/>
  <c r="S683" i="366" s="1"/>
  <c r="R633" i="366"/>
  <c r="S633" i="366" s="1"/>
  <c r="R495" i="366"/>
  <c r="S495" i="366" s="1"/>
  <c r="R769" i="366"/>
  <c r="S769" i="366" s="1"/>
  <c r="R234" i="366"/>
  <c r="S234" i="366" s="1"/>
  <c r="R541" i="366"/>
  <c r="S541" i="366" s="1"/>
  <c r="R170" i="366"/>
  <c r="S170" i="366" s="1"/>
  <c r="R10" i="366"/>
  <c r="S10" i="366" s="1"/>
  <c r="R658" i="366"/>
  <c r="S658" i="366" s="1"/>
  <c r="R240" i="366"/>
  <c r="S240" i="366" s="1"/>
  <c r="R208" i="366"/>
  <c r="S208" i="366" s="1"/>
  <c r="R166" i="366"/>
  <c r="S166" i="366" s="1"/>
  <c r="R363" i="366"/>
  <c r="S363" i="366" s="1"/>
  <c r="R752" i="366"/>
  <c r="S752" i="366" s="1"/>
  <c r="R253" i="366"/>
  <c r="S253" i="366" s="1"/>
  <c r="R898" i="366"/>
  <c r="S898" i="366" s="1"/>
  <c r="R499" i="366"/>
  <c r="S499" i="366" s="1"/>
  <c r="R250" i="366"/>
  <c r="S250" i="366" s="1"/>
  <c r="R113" i="366"/>
  <c r="S113" i="366" s="1"/>
  <c r="R543" i="366"/>
  <c r="S543" i="366" s="1"/>
  <c r="R827" i="366"/>
  <c r="S827" i="366" s="1"/>
  <c r="R571" i="366"/>
  <c r="S571" i="366" s="1"/>
  <c r="R9" i="366"/>
  <c r="S9" i="366" s="1"/>
  <c r="R369" i="366"/>
  <c r="S369" i="366" s="1"/>
  <c r="R768" i="366"/>
  <c r="S768" i="366" s="1"/>
  <c r="R850" i="366"/>
  <c r="S850" i="366" s="1"/>
  <c r="R459" i="366"/>
  <c r="S459" i="366" s="1"/>
  <c r="R159" i="366"/>
  <c r="S159" i="366" s="1"/>
  <c r="R230" i="366"/>
  <c r="S230" i="366" s="1"/>
  <c r="R339" i="366"/>
  <c r="S339" i="366" s="1"/>
  <c r="R417" i="366"/>
  <c r="S417" i="366" s="1"/>
  <c r="R809" i="366"/>
  <c r="S809" i="366" s="1"/>
  <c r="R464" i="366"/>
  <c r="S464" i="366" s="1"/>
  <c r="R92" i="366"/>
  <c r="S92" i="366" s="1"/>
  <c r="R46" i="366"/>
  <c r="S46" i="366" s="1"/>
  <c r="R449" i="366"/>
  <c r="S449" i="366" s="1"/>
  <c r="R597" i="366"/>
  <c r="S597" i="366" s="1"/>
  <c r="R780" i="366"/>
  <c r="S780" i="366" s="1"/>
  <c r="R744" i="366"/>
  <c r="S744" i="366" s="1"/>
  <c r="R550" i="366"/>
  <c r="S550" i="366" s="1"/>
  <c r="R549" i="366"/>
  <c r="S549" i="366" s="1"/>
  <c r="R791" i="366"/>
  <c r="S791" i="366" s="1"/>
  <c r="R579" i="366"/>
  <c r="S579" i="366" s="1"/>
  <c r="R71" i="366"/>
  <c r="S71" i="366" s="1"/>
  <c r="R970" i="366"/>
  <c r="S970" i="366" s="1"/>
  <c r="R996" i="366"/>
  <c r="S996" i="366" s="1"/>
  <c r="R287" i="366"/>
  <c r="S287" i="366" s="1"/>
  <c r="R361" i="366"/>
  <c r="S361" i="366" s="1"/>
  <c r="R400" i="366"/>
  <c r="S400" i="366" s="1"/>
  <c r="R782" i="366"/>
  <c r="S782" i="366" s="1"/>
  <c r="R144" i="366"/>
  <c r="S144" i="366" s="1"/>
  <c r="R974" i="366"/>
  <c r="S974" i="366" s="1"/>
  <c r="R276" i="366"/>
  <c r="S276" i="366" s="1"/>
  <c r="R921" i="366"/>
  <c r="S921" i="366" s="1"/>
  <c r="R952" i="366"/>
  <c r="S952" i="366" s="1"/>
  <c r="D23" i="321"/>
  <c r="H75" i="315"/>
  <c r="D61" i="316"/>
  <c r="H61" i="248" s="1"/>
  <c r="F83" i="393"/>
  <c r="AE93" i="352" s="1"/>
  <c r="F80" i="393"/>
  <c r="F81" i="393"/>
  <c r="F84" i="393"/>
  <c r="F76" i="393"/>
  <c r="AE128" i="389"/>
  <c r="AE44" i="389"/>
  <c r="AE45" i="389" s="1"/>
  <c r="AG45" i="389" s="1"/>
  <c r="AG47" i="389" s="1"/>
  <c r="AG48" i="389" s="1"/>
  <c r="AO92" i="388"/>
  <c r="AO93" i="388"/>
  <c r="AO94" i="388" s="1"/>
  <c r="AO95" i="388" s="1"/>
  <c r="H137" i="422"/>
  <c r="D20" i="431" s="1"/>
  <c r="BB33" i="167"/>
  <c r="D21" i="431" s="1"/>
  <c r="D19" i="431"/>
  <c r="AI41" i="168"/>
  <c r="AI42" i="168" s="1"/>
  <c r="AK39" i="168"/>
  <c r="AK41" i="168" s="1"/>
  <c r="AK42" i="168" s="1"/>
  <c r="AK44" i="168" s="1"/>
  <c r="E15" i="383"/>
  <c r="I54" i="389"/>
  <c r="I55" i="389" s="1"/>
  <c r="I127" i="389"/>
  <c r="AS103" i="393"/>
  <c r="AR88" i="393"/>
  <c r="AS104" i="393" s="1"/>
  <c r="AO71" i="388"/>
  <c r="AO72" i="388" s="1"/>
  <c r="AO73" i="388" s="1"/>
  <c r="AO74" i="388" s="1"/>
  <c r="AO75" i="388" s="1"/>
  <c r="AM72" i="388"/>
  <c r="AM73" i="388" s="1"/>
  <c r="I54" i="352"/>
  <c r="I55" i="352" s="1"/>
  <c r="I111" i="352"/>
  <c r="W44" i="352"/>
  <c r="W45" i="352" s="1"/>
  <c r="Y45" i="352" s="1"/>
  <c r="Y47" i="352" s="1"/>
  <c r="Y48" i="352" s="1"/>
  <c r="W112" i="352"/>
  <c r="C45" i="360"/>
  <c r="M78" i="280"/>
  <c r="M81" i="280" s="1"/>
  <c r="J73" i="2"/>
  <c r="O97" i="352"/>
  <c r="O98" i="352" s="1"/>
  <c r="Q98" i="352" s="1"/>
  <c r="Q100" i="352" s="1"/>
  <c r="Q101" i="352" s="1"/>
  <c r="O128" i="352"/>
  <c r="BC36" i="393"/>
  <c r="BD36" i="393"/>
  <c r="BB84" i="393"/>
  <c r="D27" i="310"/>
  <c r="K74" i="2"/>
  <c r="W135" i="388"/>
  <c r="W75" i="388"/>
  <c r="W76" i="388" s="1"/>
  <c r="Y76" i="388" s="1"/>
  <c r="Y78" i="388" s="1"/>
  <c r="Y79" i="388" s="1"/>
  <c r="Q76" i="168" l="1"/>
  <c r="E122" i="291" s="1"/>
  <c r="F62" i="184"/>
  <c r="C51" i="357" s="1"/>
  <c r="Y30" i="184"/>
  <c r="Y31" i="184" s="1"/>
  <c r="H77" i="393"/>
  <c r="H78" i="393" s="1"/>
  <c r="O58" i="184"/>
  <c r="AQ90" i="168" s="1"/>
  <c r="AS90" i="168" s="1"/>
  <c r="AS92" i="168" s="1"/>
  <c r="AS93" i="168" s="1"/>
  <c r="AS95" i="168" s="1"/>
  <c r="W119" i="168"/>
  <c r="C129" i="303" s="1"/>
  <c r="AX90" i="393"/>
  <c r="AW90" i="393"/>
  <c r="AW100" i="393" s="1"/>
  <c r="AX101" i="393" s="1"/>
  <c r="AX102" i="393" s="1"/>
  <c r="W75" i="168"/>
  <c r="W76" i="168" s="1"/>
  <c r="F91" i="398"/>
  <c r="AS70" i="389"/>
  <c r="AS72" i="389" s="1"/>
  <c r="AS73" i="389" s="1"/>
  <c r="AS75" i="389" s="1"/>
  <c r="O54" i="389"/>
  <c r="O55" i="389" s="1"/>
  <c r="G85" i="388"/>
  <c r="G86" i="388" s="1"/>
  <c r="DV54" i="168"/>
  <c r="F93" i="398" s="1"/>
  <c r="E133" i="303"/>
  <c r="Y74" i="168"/>
  <c r="Y75" i="168" s="1"/>
  <c r="E121" i="303" s="1"/>
  <c r="AX103" i="393"/>
  <c r="D19" i="384"/>
  <c r="E19" i="384" s="1"/>
  <c r="C54" i="168"/>
  <c r="C55" i="168" s="1"/>
  <c r="AQ41" i="352"/>
  <c r="AQ42" i="352" s="1"/>
  <c r="AW40" i="352"/>
  <c r="AW41" i="352" s="1"/>
  <c r="AW42" i="352" s="1"/>
  <c r="AW43" i="352" s="1"/>
  <c r="AW44" i="352" s="1"/>
  <c r="DF54" i="168"/>
  <c r="DF55" i="168" s="1"/>
  <c r="E70" i="184"/>
  <c r="E72" i="184" s="1"/>
  <c r="D51" i="350" s="1"/>
  <c r="E51" i="350" s="1"/>
  <c r="D49" i="350"/>
  <c r="E49" i="350" s="1"/>
  <c r="O54" i="388"/>
  <c r="O55" i="388" s="1"/>
  <c r="E125" i="388"/>
  <c r="E133" i="327"/>
  <c r="F91" i="348"/>
  <c r="X25" i="184"/>
  <c r="X27" i="184" s="1"/>
  <c r="DV55" i="168"/>
  <c r="BS52" i="388"/>
  <c r="BS54" i="388" s="1"/>
  <c r="BS55" i="388" s="1"/>
  <c r="O111" i="168"/>
  <c r="O51" i="168" s="1"/>
  <c r="O52" i="168"/>
  <c r="AY39" i="352"/>
  <c r="AY41" i="352" s="1"/>
  <c r="AY42" i="352" s="1"/>
  <c r="AY39" i="389"/>
  <c r="BA39" i="389" s="1"/>
  <c r="BA41" i="389" s="1"/>
  <c r="BA42" i="389" s="1"/>
  <c r="BA44" i="389" s="1"/>
  <c r="DZ111" i="168"/>
  <c r="DZ51" i="168" s="1"/>
  <c r="DZ52" i="168"/>
  <c r="S125" i="168"/>
  <c r="S102" i="168" s="1"/>
  <c r="S103" i="168"/>
  <c r="BC40" i="352"/>
  <c r="BE40" i="352" s="1"/>
  <c r="BE41" i="352" s="1"/>
  <c r="BE42" i="352" s="1"/>
  <c r="BE43" i="352" s="1"/>
  <c r="BE44" i="352" s="1"/>
  <c r="BC40" i="389"/>
  <c r="BE40" i="389" s="1"/>
  <c r="BE41" i="389" s="1"/>
  <c r="BE42" i="389" s="1"/>
  <c r="BE43" i="389" s="1"/>
  <c r="BE44" i="389" s="1"/>
  <c r="G127" i="389"/>
  <c r="G51" i="389" s="1"/>
  <c r="G52" i="389"/>
  <c r="G111" i="352"/>
  <c r="G51" i="352" s="1"/>
  <c r="G52" i="352"/>
  <c r="E119" i="327"/>
  <c r="EB54" i="168"/>
  <c r="EB55" i="168" s="1"/>
  <c r="EB111" i="168"/>
  <c r="AA125" i="168"/>
  <c r="AA102" i="168" s="1"/>
  <c r="AA103" i="168"/>
  <c r="W141" i="388"/>
  <c r="W102" i="388" s="1"/>
  <c r="W103" i="388"/>
  <c r="G85" i="352"/>
  <c r="O85" i="388"/>
  <c r="O86" i="388" s="1"/>
  <c r="G54" i="388"/>
  <c r="G55" i="388" s="1"/>
  <c r="BK52" i="388"/>
  <c r="BK54" i="388" s="1"/>
  <c r="BK55" i="388" s="1"/>
  <c r="G111" i="168"/>
  <c r="G51" i="168" s="1"/>
  <c r="G52" i="168"/>
  <c r="C127" i="352"/>
  <c r="C104" i="352" s="1"/>
  <c r="C105" i="352"/>
  <c r="C148" i="389"/>
  <c r="C121" i="389" s="1"/>
  <c r="C122" i="389"/>
  <c r="AA141" i="388"/>
  <c r="AA102" i="388" s="1"/>
  <c r="AA103" i="388"/>
  <c r="DN52" i="168"/>
  <c r="DN111" i="168"/>
  <c r="DN51" i="168" s="1"/>
  <c r="G85" i="168"/>
  <c r="R38" i="184"/>
  <c r="AY70" i="389"/>
  <c r="DP54" i="168"/>
  <c r="DP55" i="168" s="1"/>
  <c r="DP111" i="168"/>
  <c r="G148" i="389"/>
  <c r="G121" i="389" s="1"/>
  <c r="G122" i="389"/>
  <c r="DH54" i="168"/>
  <c r="DH55" i="168" s="1"/>
  <c r="DH111" i="168"/>
  <c r="AE141" i="388"/>
  <c r="AE102" i="388" s="1"/>
  <c r="AE103" i="388"/>
  <c r="S141" i="388"/>
  <c r="S102" i="388" s="1"/>
  <c r="S103" i="388"/>
  <c r="H53" i="410"/>
  <c r="D19" i="407" s="1"/>
  <c r="E19" i="407" s="1"/>
  <c r="BC94" i="388"/>
  <c r="BE92" i="388"/>
  <c r="BE93" i="388"/>
  <c r="BE94" i="388" s="1"/>
  <c r="BE95" i="388" s="1"/>
  <c r="K53" i="369"/>
  <c r="C18" i="372" s="1"/>
  <c r="C24" i="372" s="1"/>
  <c r="H52" i="410"/>
  <c r="D16" i="416" s="1"/>
  <c r="F52" i="410"/>
  <c r="F54" i="410" s="1"/>
  <c r="F75" i="410" s="1"/>
  <c r="F94" i="410" s="1"/>
  <c r="AE78" i="388"/>
  <c r="AE79" i="388" s="1"/>
  <c r="AE47" i="168"/>
  <c r="AE48" i="168" s="1"/>
  <c r="Y48" i="389"/>
  <c r="Y54" i="389" s="1"/>
  <c r="Y55" i="389" s="1"/>
  <c r="G24" i="184"/>
  <c r="K55" i="388"/>
  <c r="G39" i="184"/>
  <c r="K86" i="388"/>
  <c r="H39" i="184"/>
  <c r="K55" i="389"/>
  <c r="AQ44" i="352"/>
  <c r="AQ45" i="352" s="1"/>
  <c r="W78" i="388"/>
  <c r="W79" i="388" s="1"/>
  <c r="AE47" i="388"/>
  <c r="AE48" i="388" s="1"/>
  <c r="AE52" i="388" s="1"/>
  <c r="H52" i="422"/>
  <c r="D16" i="431" s="1"/>
  <c r="F52" i="422"/>
  <c r="F54" i="422" s="1"/>
  <c r="F75" i="422" s="1"/>
  <c r="F94" i="422" s="1"/>
  <c r="AE47" i="352"/>
  <c r="AE48" i="352" s="1"/>
  <c r="AI44" i="388"/>
  <c r="AI45" i="388" s="1"/>
  <c r="AI44" i="352"/>
  <c r="AI45" i="352" s="1"/>
  <c r="W47" i="168"/>
  <c r="W48" i="168" s="1"/>
  <c r="S48" i="388"/>
  <c r="S52" i="388" s="1"/>
  <c r="C48" i="327"/>
  <c r="AA79" i="168"/>
  <c r="AA83" i="168" s="1"/>
  <c r="M105" i="389"/>
  <c r="M134" i="389"/>
  <c r="M141" i="389"/>
  <c r="AC48" i="352"/>
  <c r="S48" i="168"/>
  <c r="S52" i="168" s="1"/>
  <c r="AA48" i="389"/>
  <c r="AA52" i="389" s="1"/>
  <c r="M98" i="352"/>
  <c r="M100" i="352" s="1"/>
  <c r="M101" i="352" s="1"/>
  <c r="K100" i="352"/>
  <c r="K101" i="352" s="1"/>
  <c r="U48" i="389"/>
  <c r="S79" i="388"/>
  <c r="S83" i="388" s="1"/>
  <c r="E64" i="291"/>
  <c r="E49" i="291"/>
  <c r="M118" i="168"/>
  <c r="M85" i="168"/>
  <c r="AA48" i="388"/>
  <c r="AA52" i="388" s="1"/>
  <c r="S48" i="352"/>
  <c r="S52" i="352" s="1"/>
  <c r="H53" i="422"/>
  <c r="D19" i="426" s="1"/>
  <c r="E19" i="426" s="1"/>
  <c r="AI44" i="389"/>
  <c r="AI45" i="389" s="1"/>
  <c r="AQ75" i="388"/>
  <c r="AQ76" i="388" s="1"/>
  <c r="AI95" i="168"/>
  <c r="AI96" i="168" s="1"/>
  <c r="U48" i="388"/>
  <c r="E46" i="327"/>
  <c r="AC78" i="168"/>
  <c r="U48" i="168"/>
  <c r="AC48" i="389"/>
  <c r="U141" i="388"/>
  <c r="U105" i="388"/>
  <c r="Y106" i="388" s="1"/>
  <c r="U79" i="388"/>
  <c r="AC48" i="388"/>
  <c r="U48" i="352"/>
  <c r="AI44" i="168"/>
  <c r="AI45" i="168" s="1"/>
  <c r="AQ75" i="389"/>
  <c r="AQ76" i="389" s="1"/>
  <c r="Y48" i="168"/>
  <c r="Y111" i="168" s="1"/>
  <c r="AI95" i="388"/>
  <c r="AI96" i="388" s="1"/>
  <c r="AC105" i="168"/>
  <c r="AC125" i="168"/>
  <c r="S79" i="168"/>
  <c r="S83" i="168" s="1"/>
  <c r="C48" i="303"/>
  <c r="AA48" i="168"/>
  <c r="AA52" i="168" s="1"/>
  <c r="AA79" i="388"/>
  <c r="AA83" i="388" s="1"/>
  <c r="O100" i="352"/>
  <c r="O101" i="352" s="1"/>
  <c r="C45" i="383"/>
  <c r="AI76" i="168"/>
  <c r="K141" i="389"/>
  <c r="K102" i="389" s="1"/>
  <c r="K105" i="389" s="1"/>
  <c r="H59" i="184" s="1"/>
  <c r="H60" i="184" s="1"/>
  <c r="H62" i="184" s="1"/>
  <c r="L57" i="280" s="1"/>
  <c r="K134" i="389"/>
  <c r="AA48" i="352"/>
  <c r="AA52" i="352" s="1"/>
  <c r="E46" i="303"/>
  <c r="U78" i="168"/>
  <c r="K82" i="168"/>
  <c r="C52" i="291"/>
  <c r="AC48" i="168"/>
  <c r="DZ55" i="168"/>
  <c r="S48" i="389"/>
  <c r="S52" i="389" s="1"/>
  <c r="U125" i="168"/>
  <c r="U105" i="168"/>
  <c r="AC79" i="388"/>
  <c r="AC141" i="388"/>
  <c r="AC105" i="388"/>
  <c r="AG106" i="388" s="1"/>
  <c r="EF48" i="168"/>
  <c r="G100" i="352"/>
  <c r="G101" i="352" s="1"/>
  <c r="O98" i="389"/>
  <c r="O99" i="389" s="1"/>
  <c r="O103" i="389" s="1"/>
  <c r="O55" i="168"/>
  <c r="E127" i="352"/>
  <c r="E107" i="352"/>
  <c r="E39" i="184"/>
  <c r="C86" i="388"/>
  <c r="F39" i="184"/>
  <c r="C86" i="389"/>
  <c r="F24" i="184"/>
  <c r="C55" i="389"/>
  <c r="E24" i="184"/>
  <c r="C55" i="388"/>
  <c r="I57" i="388"/>
  <c r="I55" i="388"/>
  <c r="E148" i="389"/>
  <c r="E124" i="389"/>
  <c r="I125" i="389" s="1"/>
  <c r="Q127" i="352"/>
  <c r="Q107" i="352"/>
  <c r="AM74" i="388"/>
  <c r="W94" i="389"/>
  <c r="AU43" i="352"/>
  <c r="E17" i="361"/>
  <c r="D24" i="361"/>
  <c r="E24" i="361" s="1"/>
  <c r="Y134" i="388"/>
  <c r="Y85" i="388"/>
  <c r="Y86" i="388" s="1"/>
  <c r="Y111" i="352"/>
  <c r="Y54" i="352"/>
  <c r="Y55" i="352" s="1"/>
  <c r="AG93" i="352"/>
  <c r="AE94" i="352"/>
  <c r="AE95" i="352" s="1"/>
  <c r="K53" i="422"/>
  <c r="C18" i="423" s="1"/>
  <c r="C24" i="423" s="1"/>
  <c r="AG134" i="388"/>
  <c r="AG85" i="388"/>
  <c r="AG86" i="388" s="1"/>
  <c r="AW71" i="388"/>
  <c r="AW72" i="388" s="1"/>
  <c r="AW73" i="388" s="1"/>
  <c r="AW74" i="388" s="1"/>
  <c r="AW75" i="388" s="1"/>
  <c r="AU72" i="388"/>
  <c r="AU73" i="388" s="1"/>
  <c r="ED47" i="168"/>
  <c r="AG111" i="168"/>
  <c r="AG54" i="168"/>
  <c r="AG55" i="168" s="1"/>
  <c r="G98" i="389"/>
  <c r="G99" i="389" s="1"/>
  <c r="Q134" i="389"/>
  <c r="Q105" i="389"/>
  <c r="Q141" i="389"/>
  <c r="BA70" i="168"/>
  <c r="AY72" i="168"/>
  <c r="AY73" i="168" s="1"/>
  <c r="AY75" i="168" s="1"/>
  <c r="C58" i="425"/>
  <c r="AG91" i="389"/>
  <c r="AG92" i="389" s="1"/>
  <c r="AG93" i="389" s="1"/>
  <c r="AG94" i="389" s="1"/>
  <c r="AG95" i="389" s="1"/>
  <c r="AE92" i="389"/>
  <c r="AE93" i="389" s="1"/>
  <c r="AQ72" i="168"/>
  <c r="AQ73" i="168" s="1"/>
  <c r="AQ75" i="168" s="1"/>
  <c r="C58" i="411"/>
  <c r="AS70" i="168"/>
  <c r="AG54" i="388"/>
  <c r="AG55" i="388" s="1"/>
  <c r="AG127" i="388"/>
  <c r="AO41" i="168"/>
  <c r="AO42" i="168" s="1"/>
  <c r="AO43" i="168" s="1"/>
  <c r="AO44" i="168" s="1"/>
  <c r="AS90" i="388"/>
  <c r="AS92" i="388" s="1"/>
  <c r="AS93" i="388" s="1"/>
  <c r="AS95" i="388" s="1"/>
  <c r="AQ92" i="388"/>
  <c r="AQ93" i="388" s="1"/>
  <c r="U92" i="352"/>
  <c r="U94" i="352" s="1"/>
  <c r="U95" i="352" s="1"/>
  <c r="U97" i="352" s="1"/>
  <c r="S94" i="352"/>
  <c r="S95" i="352" s="1"/>
  <c r="AW40" i="389"/>
  <c r="AU41" i="389"/>
  <c r="AU42" i="389" s="1"/>
  <c r="AS39" i="388"/>
  <c r="AS41" i="388" s="1"/>
  <c r="AS42" i="388" s="1"/>
  <c r="AS44" i="388" s="1"/>
  <c r="AQ41" i="388"/>
  <c r="AQ42" i="388" s="1"/>
  <c r="G84" i="393"/>
  <c r="G76" i="393"/>
  <c r="G83" i="393"/>
  <c r="AM93" i="352" s="1"/>
  <c r="G81" i="393"/>
  <c r="G80" i="393"/>
  <c r="AR86" i="393"/>
  <c r="AM91" i="389" s="1"/>
  <c r="AR100" i="393"/>
  <c r="AS101" i="393" s="1"/>
  <c r="AS102" i="393" s="1"/>
  <c r="AR87" i="393"/>
  <c r="F89" i="369"/>
  <c r="F94" i="369"/>
  <c r="AM73" i="168"/>
  <c r="BE71" i="389"/>
  <c r="BE72" i="389" s="1"/>
  <c r="BE73" i="389" s="1"/>
  <c r="BE74" i="389" s="1"/>
  <c r="BE75" i="389" s="1"/>
  <c r="BC72" i="389"/>
  <c r="BC73" i="389" s="1"/>
  <c r="AE76" i="168"/>
  <c r="C121" i="327"/>
  <c r="L58" i="184"/>
  <c r="AA92" i="352" s="1"/>
  <c r="AA90" i="389"/>
  <c r="C24" i="380"/>
  <c r="AW91" i="388"/>
  <c r="AU92" i="388"/>
  <c r="AU93" i="388" s="1"/>
  <c r="H78" i="302"/>
  <c r="D69" i="301"/>
  <c r="G69" i="248" s="1"/>
  <c r="D79" i="109"/>
  <c r="D90" i="109" s="1"/>
  <c r="D91" i="109" s="1"/>
  <c r="D93" i="109" s="1"/>
  <c r="K21" i="107" s="1"/>
  <c r="K73" i="2"/>
  <c r="C39" i="361"/>
  <c r="F78" i="302"/>
  <c r="F81" i="302" s="1"/>
  <c r="D22" i="109"/>
  <c r="D24" i="109" s="1"/>
  <c r="D28" i="310"/>
  <c r="W47" i="352"/>
  <c r="AE47" i="389"/>
  <c r="AE48" i="389" s="1"/>
  <c r="F89" i="393"/>
  <c r="M53" i="315" s="1"/>
  <c r="D18" i="363" s="1"/>
  <c r="E18" i="363" s="1"/>
  <c r="K53" i="410"/>
  <c r="C18" i="409" s="1"/>
  <c r="C24" i="409" s="1"/>
  <c r="C19" i="108"/>
  <c r="D66" i="109" s="1"/>
  <c r="D69" i="281"/>
  <c r="F69" i="248" s="1"/>
  <c r="F78" i="280"/>
  <c r="F81" i="280" s="1"/>
  <c r="H78" i="280"/>
  <c r="I73" i="2"/>
  <c r="C39" i="360"/>
  <c r="D28" i="288"/>
  <c r="Z1006" i="366"/>
  <c r="Z990" i="366"/>
  <c r="Z974" i="366"/>
  <c r="Z958" i="366"/>
  <c r="Z942" i="366"/>
  <c r="Z926" i="366"/>
  <c r="Z910" i="366"/>
  <c r="Z894" i="366"/>
  <c r="Z878" i="366"/>
  <c r="Z862" i="366"/>
  <c r="Z846" i="366"/>
  <c r="Z830" i="366"/>
  <c r="Z814" i="366"/>
  <c r="Z798" i="366"/>
  <c r="Z782" i="366"/>
  <c r="Z766" i="366"/>
  <c r="Z750" i="366"/>
  <c r="Z734" i="366"/>
  <c r="Z718" i="366"/>
  <c r="Z702" i="366"/>
  <c r="Z686" i="366"/>
  <c r="Z1013" i="366"/>
  <c r="Z997" i="366"/>
  <c r="Z981" i="366"/>
  <c r="Z965" i="366"/>
  <c r="Z949" i="366"/>
  <c r="Z933" i="366"/>
  <c r="Z917" i="366"/>
  <c r="Z901" i="366"/>
  <c r="Z885" i="366"/>
  <c r="Z869" i="366"/>
  <c r="Z853" i="366"/>
  <c r="Z837" i="366"/>
  <c r="Z821" i="366"/>
  <c r="Z805" i="366"/>
  <c r="Z789" i="366"/>
  <c r="Z773" i="366"/>
  <c r="Z757" i="366"/>
  <c r="Z741" i="366"/>
  <c r="Z725" i="366"/>
  <c r="Z709" i="366"/>
  <c r="Z693" i="366"/>
  <c r="Z1016" i="366"/>
  <c r="Z1000" i="366"/>
  <c r="Z984" i="366"/>
  <c r="Z968" i="366"/>
  <c r="Z952" i="366"/>
  <c r="Z936" i="366"/>
  <c r="Z920" i="366"/>
  <c r="Z904" i="366"/>
  <c r="Z888" i="366"/>
  <c r="Z872" i="366"/>
  <c r="Z856" i="366"/>
  <c r="Z840" i="366"/>
  <c r="Z824" i="366"/>
  <c r="Z808" i="366"/>
  <c r="Z792" i="366"/>
  <c r="Z776" i="366"/>
  <c r="Z760" i="366"/>
  <c r="Z744" i="366"/>
  <c r="Z728" i="366"/>
  <c r="Z712" i="366"/>
  <c r="Z696" i="366"/>
  <c r="Z1007" i="366"/>
  <c r="Z991" i="366"/>
  <c r="Z975" i="366"/>
  <c r="Z959" i="366"/>
  <c r="Z943" i="366"/>
  <c r="Z927" i="366"/>
  <c r="Z911" i="366"/>
  <c r="Z895" i="366"/>
  <c r="Z879" i="366"/>
  <c r="Z863" i="366"/>
  <c r="Z847" i="366"/>
  <c r="Z831" i="366"/>
  <c r="Z815" i="366"/>
  <c r="Z799" i="366"/>
  <c r="Z783" i="366"/>
  <c r="Z767" i="366"/>
  <c r="Z751" i="366"/>
  <c r="Z735" i="366"/>
  <c r="Z719" i="366"/>
  <c r="Z691" i="366"/>
  <c r="Z670" i="366"/>
  <c r="Z654" i="366"/>
  <c r="Z638" i="366"/>
  <c r="Z622" i="366"/>
  <c r="Z606" i="366"/>
  <c r="Z590" i="366"/>
  <c r="Z574" i="366"/>
  <c r="Z558" i="366"/>
  <c r="Z542" i="366"/>
  <c r="Z526" i="366"/>
  <c r="Z510" i="366"/>
  <c r="Z494" i="366"/>
  <c r="Z478" i="366"/>
  <c r="Z462" i="366"/>
  <c r="Z446" i="366"/>
  <c r="Z430" i="366"/>
  <c r="Z414" i="366"/>
  <c r="Z398" i="366"/>
  <c r="Z382" i="366"/>
  <c r="Z366" i="366"/>
  <c r="Z699" i="366"/>
  <c r="Z673" i="366"/>
  <c r="Z657" i="366"/>
  <c r="Z641" i="366"/>
  <c r="Z625" i="366"/>
  <c r="Z609" i="366"/>
  <c r="Z593" i="366"/>
  <c r="Z577" i="366"/>
  <c r="Z561" i="366"/>
  <c r="Z545" i="366"/>
  <c r="Z529" i="366"/>
  <c r="Z513" i="366"/>
  <c r="Z497" i="366"/>
  <c r="Z481" i="366"/>
  <c r="Z465" i="366"/>
  <c r="Z449" i="366"/>
  <c r="Z433" i="366"/>
  <c r="Z417" i="366"/>
  <c r="Z401" i="366"/>
  <c r="Z385" i="366"/>
  <c r="Z369" i="366"/>
  <c r="Z353" i="366"/>
  <c r="Z664" i="366"/>
  <c r="Z632" i="366"/>
  <c r="Z600" i="366"/>
  <c r="Z568" i="366"/>
  <c r="Z536" i="366"/>
  <c r="Z504" i="366"/>
  <c r="Z472" i="366"/>
  <c r="Z440" i="366"/>
  <c r="Z408" i="366"/>
  <c r="Z376" i="366"/>
  <c r="Z348" i="366"/>
  <c r="Z332" i="366"/>
  <c r="Z316" i="366"/>
  <c r="Z300" i="366"/>
  <c r="Z284" i="366"/>
  <c r="Z268" i="366"/>
  <c r="Z252" i="366"/>
  <c r="Z236" i="366"/>
  <c r="Z220" i="366"/>
  <c r="Z204" i="366"/>
  <c r="Z188" i="366"/>
  <c r="Z679" i="366"/>
  <c r="Z647" i="366"/>
  <c r="Z615" i="366"/>
  <c r="Z583" i="366"/>
  <c r="Z551" i="366"/>
  <c r="Z519" i="366"/>
  <c r="Z487" i="366"/>
  <c r="Z455" i="366"/>
  <c r="Z423" i="366"/>
  <c r="Z391" i="366"/>
  <c r="Z359" i="366"/>
  <c r="Z339" i="366"/>
  <c r="Z323" i="366"/>
  <c r="Z307" i="366"/>
  <c r="Z291" i="366"/>
  <c r="Z275" i="366"/>
  <c r="Z259" i="366"/>
  <c r="Z243" i="366"/>
  <c r="Z227" i="366"/>
  <c r="Z211" i="366"/>
  <c r="Z195" i="366"/>
  <c r="Z644" i="366"/>
  <c r="Z166" i="366"/>
  <c r="Z106" i="366"/>
  <c r="Z42" i="366"/>
  <c r="Z675" i="366"/>
  <c r="Z611" i="366"/>
  <c r="Z547" i="366"/>
  <c r="Z483" i="366"/>
  <c r="Z403" i="366"/>
  <c r="Z345" i="366"/>
  <c r="Z297" i="366"/>
  <c r="Z217" i="366"/>
  <c r="Z122" i="366"/>
  <c r="Z38" i="366"/>
  <c r="Z668" i="366"/>
  <c r="Z604" i="366"/>
  <c r="Z540" i="366"/>
  <c r="Z476" i="366"/>
  <c r="Z412" i="366"/>
  <c r="Z350" i="366"/>
  <c r="Z318" i="366"/>
  <c r="Z286" i="366"/>
  <c r="Z254" i="366"/>
  <c r="Z222" i="366"/>
  <c r="Z190" i="366"/>
  <c r="Z169" i="366"/>
  <c r="Z153" i="366"/>
  <c r="Z137" i="366"/>
  <c r="Z121" i="366"/>
  <c r="Z105" i="366"/>
  <c r="Z89" i="366"/>
  <c r="Z73" i="366"/>
  <c r="Z57" i="366"/>
  <c r="Z41" i="366"/>
  <c r="Z25" i="366"/>
  <c r="Z9" i="366"/>
  <c r="Z596" i="366"/>
  <c r="Z452" i="366"/>
  <c r="Z338" i="366"/>
  <c r="Z274" i="366"/>
  <c r="Z210" i="366"/>
  <c r="Z163" i="366"/>
  <c r="Z131" i="366"/>
  <c r="Z95" i="366"/>
  <c r="Z67" i="366"/>
  <c r="Z39" i="366"/>
  <c r="Z11" i="366"/>
  <c r="Z174" i="366"/>
  <c r="Z126" i="366"/>
  <c r="Z78" i="366"/>
  <c r="Z18" i="366"/>
  <c r="Z635" i="366"/>
  <c r="Z571" i="366"/>
  <c r="Z507" i="366"/>
  <c r="Z443" i="366"/>
  <c r="Z379" i="366"/>
  <c r="Z333" i="366"/>
  <c r="Z301" i="366"/>
  <c r="Z269" i="366"/>
  <c r="Z237" i="366"/>
  <c r="Z205" i="366"/>
  <c r="Z176" i="366"/>
  <c r="Z160" i="366"/>
  <c r="Z144" i="366"/>
  <c r="Z128" i="366"/>
  <c r="Z112" i="366"/>
  <c r="Z96" i="366"/>
  <c r="Z80" i="366"/>
  <c r="Z64" i="366"/>
  <c r="Z48" i="366"/>
  <c r="Z32" i="366"/>
  <c r="Z16" i="366"/>
  <c r="Z660" i="366"/>
  <c r="Z516" i="366"/>
  <c r="Z404" i="366"/>
  <c r="Z314" i="366"/>
  <c r="Z250" i="366"/>
  <c r="Z186" i="366"/>
  <c r="Z151" i="366"/>
  <c r="Z115" i="366"/>
  <c r="Z79" i="366"/>
  <c r="Z47" i="366"/>
  <c r="Z7" i="366"/>
  <c r="Z265" i="366"/>
  <c r="Z178" i="366"/>
  <c r="Z110" i="366"/>
  <c r="Z50" i="366"/>
  <c r="Z1018" i="366"/>
  <c r="Z1002" i="366"/>
  <c r="Z986" i="366"/>
  <c r="Z970" i="366"/>
  <c r="Z954" i="366"/>
  <c r="Z938" i="366"/>
  <c r="Z922" i="366"/>
  <c r="Z906" i="366"/>
  <c r="Z890" i="366"/>
  <c r="Z874" i="366"/>
  <c r="Z858" i="366"/>
  <c r="Z842" i="366"/>
  <c r="Z826" i="366"/>
  <c r="Z810" i="366"/>
  <c r="Z794" i="366"/>
  <c r="Z778" i="366"/>
  <c r="Z762" i="366"/>
  <c r="Z746" i="366"/>
  <c r="Z730" i="366"/>
  <c r="Z714" i="366"/>
  <c r="Z698" i="366"/>
  <c r="Z682" i="366"/>
  <c r="Z1009" i="366"/>
  <c r="Z993" i="366"/>
  <c r="Z977" i="366"/>
  <c r="Z961" i="366"/>
  <c r="Z945" i="366"/>
  <c r="Z929" i="366"/>
  <c r="Z913" i="366"/>
  <c r="Z897" i="366"/>
  <c r="Z881" i="366"/>
  <c r="Z865" i="366"/>
  <c r="Z849" i="366"/>
  <c r="Z833" i="366"/>
  <c r="Z817" i="366"/>
  <c r="Z801" i="366"/>
  <c r="Z785" i="366"/>
  <c r="Z769" i="366"/>
  <c r="Z753" i="366"/>
  <c r="Z737" i="366"/>
  <c r="Z721" i="366"/>
  <c r="Z705" i="366"/>
  <c r="Z689" i="366"/>
  <c r="Z1012" i="366"/>
  <c r="Z996" i="366"/>
  <c r="Z980" i="366"/>
  <c r="Z964" i="366"/>
  <c r="Z948" i="366"/>
  <c r="Z932" i="366"/>
  <c r="Z916" i="366"/>
  <c r="Z900" i="366"/>
  <c r="Z884" i="366"/>
  <c r="Z868" i="366"/>
  <c r="Z852" i="366"/>
  <c r="Z836" i="366"/>
  <c r="Z820" i="366"/>
  <c r="Z804" i="366"/>
  <c r="Z788" i="366"/>
  <c r="Z772" i="366"/>
  <c r="Z756" i="366"/>
  <c r="Z740" i="366"/>
  <c r="Z724" i="366"/>
  <c r="Z708" i="366"/>
  <c r="Z1019" i="366"/>
  <c r="Z1003" i="366"/>
  <c r="Z987" i="366"/>
  <c r="Z971" i="366"/>
  <c r="Z955" i="366"/>
  <c r="Z939" i="366"/>
  <c r="Z923" i="366"/>
  <c r="Z907" i="366"/>
  <c r="Z891" i="366"/>
  <c r="Z875" i="366"/>
  <c r="Z859" i="366"/>
  <c r="Z843" i="366"/>
  <c r="Z827" i="366"/>
  <c r="Z811" i="366"/>
  <c r="Z795" i="366"/>
  <c r="Z779" i="366"/>
  <c r="Z763" i="366"/>
  <c r="Z747" i="366"/>
  <c r="Z731" i="366"/>
  <c r="Z715" i="366"/>
  <c r="Z683" i="366"/>
  <c r="Z666" i="366"/>
  <c r="Z650" i="366"/>
  <c r="Z634" i="366"/>
  <c r="Z618" i="366"/>
  <c r="Z602" i="366"/>
  <c r="Z586" i="366"/>
  <c r="Z570" i="366"/>
  <c r="Z554" i="366"/>
  <c r="Z538" i="366"/>
  <c r="Z522" i="366"/>
  <c r="Z506" i="366"/>
  <c r="Z490" i="366"/>
  <c r="Z474" i="366"/>
  <c r="Z458" i="366"/>
  <c r="Z442" i="366"/>
  <c r="Z426" i="366"/>
  <c r="Z410" i="366"/>
  <c r="Z394" i="366"/>
  <c r="Z378" i="366"/>
  <c r="Z362" i="366"/>
  <c r="Z688" i="366"/>
  <c r="Z669" i="366"/>
  <c r="Z653" i="366"/>
  <c r="Z637" i="366"/>
  <c r="Z621" i="366"/>
  <c r="Z605" i="366"/>
  <c r="Z589" i="366"/>
  <c r="Z573" i="366"/>
  <c r="Z557" i="366"/>
  <c r="Z541" i="366"/>
  <c r="Z525" i="366"/>
  <c r="Z509" i="366"/>
  <c r="Z493" i="366"/>
  <c r="Z477" i="366"/>
  <c r="Z461" i="366"/>
  <c r="Z445" i="366"/>
  <c r="Z429" i="366"/>
  <c r="Z413" i="366"/>
  <c r="Z397" i="366"/>
  <c r="Z381" i="366"/>
  <c r="Z365" i="366"/>
  <c r="Z695" i="366"/>
  <c r="Z656" i="366"/>
  <c r="Z624" i="366"/>
  <c r="Z592" i="366"/>
  <c r="Z560" i="366"/>
  <c r="Z528" i="366"/>
  <c r="Z496" i="366"/>
  <c r="Z464" i="366"/>
  <c r="Z432" i="366"/>
  <c r="Z400" i="366"/>
  <c r="Z368" i="366"/>
  <c r="Z344" i="366"/>
  <c r="Z328" i="366"/>
  <c r="Z312" i="366"/>
  <c r="Z296" i="366"/>
  <c r="Z280" i="366"/>
  <c r="Z264" i="366"/>
  <c r="Z248" i="366"/>
  <c r="Z232" i="366"/>
  <c r="Z216" i="366"/>
  <c r="Z200" i="366"/>
  <c r="Z184" i="366"/>
  <c r="Z671" i="366"/>
  <c r="Z639" i="366"/>
  <c r="Z607" i="366"/>
  <c r="Z575" i="366"/>
  <c r="Z543" i="366"/>
  <c r="Z511" i="366"/>
  <c r="Z479" i="366"/>
  <c r="Z447" i="366"/>
  <c r="Z415" i="366"/>
  <c r="Z383" i="366"/>
  <c r="Z351" i="366"/>
  <c r="Z335" i="366"/>
  <c r="Z319" i="366"/>
  <c r="Z303" i="366"/>
  <c r="Z287" i="366"/>
  <c r="Z271" i="366"/>
  <c r="Z255" i="366"/>
  <c r="Z239" i="366"/>
  <c r="Z223" i="366"/>
  <c r="Z207" i="366"/>
  <c r="Z191" i="366"/>
  <c r="Z119" i="366"/>
  <c r="Z150" i="366"/>
  <c r="Z90" i="366"/>
  <c r="Z26" i="366"/>
  <c r="Z659" i="366"/>
  <c r="Z595" i="366"/>
  <c r="Z531" i="366"/>
  <c r="Z467" i="366"/>
  <c r="Z387" i="366"/>
  <c r="Z337" i="366"/>
  <c r="Z281" i="366"/>
  <c r="Z193" i="366"/>
  <c r="Z94" i="366"/>
  <c r="Z22" i="366"/>
  <c r="Z652" i="366"/>
  <c r="Z588" i="366"/>
  <c r="Z524" i="366"/>
  <c r="Z460" i="366"/>
  <c r="Z396" i="366"/>
  <c r="Z342" i="366"/>
  <c r="Z310" i="366"/>
  <c r="Z278" i="366"/>
  <c r="Z246" i="366"/>
  <c r="Z214" i="366"/>
  <c r="Z182" i="366"/>
  <c r="Z165" i="366"/>
  <c r="Z149" i="366"/>
  <c r="Z133" i="366"/>
  <c r="Z117" i="366"/>
  <c r="Z101" i="366"/>
  <c r="Z85" i="366"/>
  <c r="Z69" i="366"/>
  <c r="Z53" i="366"/>
  <c r="Z37" i="366"/>
  <c r="Z21" i="366"/>
  <c r="Z5" i="366"/>
  <c r="Z564" i="366"/>
  <c r="Z420" i="366"/>
  <c r="Z322" i="366"/>
  <c r="Z258" i="366"/>
  <c r="Z194" i="366"/>
  <c r="Z155" i="366"/>
  <c r="Z123" i="366"/>
  <c r="Z91" i="366"/>
  <c r="Z59" i="366"/>
  <c r="Z31" i="366"/>
  <c r="Z313" i="366"/>
  <c r="Z170" i="366"/>
  <c r="Z114" i="366"/>
  <c r="Z62" i="366"/>
  <c r="Z684" i="366"/>
  <c r="Z619" i="366"/>
  <c r="Z555" i="366"/>
  <c r="Z491" i="366"/>
  <c r="Z427" i="366"/>
  <c r="Z363" i="366"/>
  <c r="Z325" i="366"/>
  <c r="Z293" i="366"/>
  <c r="Z261" i="366"/>
  <c r="Z229" i="366"/>
  <c r="Z197" i="366"/>
  <c r="Z172" i="366"/>
  <c r="Z156" i="366"/>
  <c r="Z140" i="366"/>
  <c r="Z124" i="366"/>
  <c r="Z108" i="366"/>
  <c r="Z92" i="366"/>
  <c r="Z76" i="366"/>
  <c r="Z60" i="366"/>
  <c r="Z44" i="366"/>
  <c r="Z28" i="366"/>
  <c r="Z12" i="366"/>
  <c r="Z612" i="366"/>
  <c r="Z484" i="366"/>
  <c r="Z372" i="366"/>
  <c r="Z298" i="366"/>
  <c r="Z234" i="366"/>
  <c r="Z179" i="366"/>
  <c r="Z143" i="366"/>
  <c r="Z107" i="366"/>
  <c r="Z71" i="366"/>
  <c r="Z35" i="366"/>
  <c r="Z419" i="366"/>
  <c r="Z241" i="366"/>
  <c r="Z162" i="366"/>
  <c r="Z98" i="366"/>
  <c r="Z34" i="366"/>
  <c r="Z1014" i="366"/>
  <c r="Z998" i="366"/>
  <c r="Z982" i="366"/>
  <c r="Z966" i="366"/>
  <c r="Z950" i="366"/>
  <c r="Z934" i="366"/>
  <c r="Z918" i="366"/>
  <c r="Z902" i="366"/>
  <c r="Z886" i="366"/>
  <c r="Z870" i="366"/>
  <c r="Z854" i="366"/>
  <c r="Z838" i="366"/>
  <c r="Z822" i="366"/>
  <c r="Z806" i="366"/>
  <c r="Z790" i="366"/>
  <c r="Z774" i="366"/>
  <c r="Z758" i="366"/>
  <c r="Z742" i="366"/>
  <c r="Z726" i="366"/>
  <c r="Z710" i="366"/>
  <c r="Z694" i="366"/>
  <c r="Z1021" i="366"/>
  <c r="Z1005" i="366"/>
  <c r="Z989" i="366"/>
  <c r="Z973" i="366"/>
  <c r="Z957" i="366"/>
  <c r="Z941" i="366"/>
  <c r="Z925" i="366"/>
  <c r="Z909" i="366"/>
  <c r="Z893" i="366"/>
  <c r="Z877" i="366"/>
  <c r="Z861" i="366"/>
  <c r="Z845" i="366"/>
  <c r="Z829" i="366"/>
  <c r="Z813" i="366"/>
  <c r="Z797" i="366"/>
  <c r="Z781" i="366"/>
  <c r="Z765" i="366"/>
  <c r="Z749" i="366"/>
  <c r="Z733" i="366"/>
  <c r="Z717" i="366"/>
  <c r="Z701" i="366"/>
  <c r="Z685" i="366"/>
  <c r="Z1008" i="366"/>
  <c r="Z992" i="366"/>
  <c r="Z976" i="366"/>
  <c r="Z960" i="366"/>
  <c r="Z944" i="366"/>
  <c r="Z928" i="366"/>
  <c r="Z912" i="366"/>
  <c r="Z896" i="366"/>
  <c r="Z880" i="366"/>
  <c r="Z864" i="366"/>
  <c r="Z848" i="366"/>
  <c r="Z832" i="366"/>
  <c r="Z816" i="366"/>
  <c r="Z800" i="366"/>
  <c r="Z784" i="366"/>
  <c r="Z768" i="366"/>
  <c r="Z752" i="366"/>
  <c r="Z736" i="366"/>
  <c r="Z720" i="366"/>
  <c r="Z704" i="366"/>
  <c r="Z1015" i="366"/>
  <c r="Z999" i="366"/>
  <c r="Z983" i="366"/>
  <c r="Z967" i="366"/>
  <c r="Z951" i="366"/>
  <c r="Z935" i="366"/>
  <c r="Z919" i="366"/>
  <c r="Z903" i="366"/>
  <c r="Z887" i="366"/>
  <c r="Z871" i="366"/>
  <c r="Z855" i="366"/>
  <c r="Z839" i="366"/>
  <c r="Z823" i="366"/>
  <c r="Z807" i="366"/>
  <c r="Z791" i="366"/>
  <c r="Z775" i="366"/>
  <c r="Z759" i="366"/>
  <c r="Z743" i="366"/>
  <c r="Z727" i="366"/>
  <c r="Z711" i="366"/>
  <c r="Z678" i="366"/>
  <c r="Z662" i="366"/>
  <c r="Z646" i="366"/>
  <c r="Z630" i="366"/>
  <c r="Z614" i="366"/>
  <c r="Z598" i="366"/>
  <c r="Z582" i="366"/>
  <c r="Z566" i="366"/>
  <c r="Z550" i="366"/>
  <c r="Z534" i="366"/>
  <c r="Z518" i="366"/>
  <c r="Z502" i="366"/>
  <c r="Z486" i="366"/>
  <c r="Z470" i="366"/>
  <c r="Z454" i="366"/>
  <c r="Z438" i="366"/>
  <c r="Z422" i="366"/>
  <c r="Z406" i="366"/>
  <c r="Z390" i="366"/>
  <c r="Z374" i="366"/>
  <c r="Z358" i="366"/>
  <c r="Z681" i="366"/>
  <c r="Z665" i="366"/>
  <c r="Z649" i="366"/>
  <c r="Z633" i="366"/>
  <c r="Z617" i="366"/>
  <c r="Z601" i="366"/>
  <c r="Z585" i="366"/>
  <c r="Z569" i="366"/>
  <c r="Z553" i="366"/>
  <c r="Z537" i="366"/>
  <c r="Z521" i="366"/>
  <c r="Z505" i="366"/>
  <c r="Z489" i="366"/>
  <c r="Z473" i="366"/>
  <c r="Z457" i="366"/>
  <c r="Z441" i="366"/>
  <c r="Z425" i="366"/>
  <c r="Z409" i="366"/>
  <c r="Z393" i="366"/>
  <c r="Z377" i="366"/>
  <c r="Z361" i="366"/>
  <c r="Z680" i="366"/>
  <c r="Z648" i="366"/>
  <c r="Z616" i="366"/>
  <c r="Z584" i="366"/>
  <c r="Z552" i="366"/>
  <c r="Z520" i="366"/>
  <c r="Z488" i="366"/>
  <c r="Z456" i="366"/>
  <c r="Z424" i="366"/>
  <c r="Z392" i="366"/>
  <c r="Z360" i="366"/>
  <c r="Z340" i="366"/>
  <c r="Z324" i="366"/>
  <c r="Z308" i="366"/>
  <c r="Z292" i="366"/>
  <c r="Z276" i="366"/>
  <c r="Z260" i="366"/>
  <c r="Z244" i="366"/>
  <c r="Z228" i="366"/>
  <c r="Z212" i="366"/>
  <c r="Z196" i="366"/>
  <c r="Z180" i="366"/>
  <c r="Z663" i="366"/>
  <c r="Z631" i="366"/>
  <c r="Z599" i="366"/>
  <c r="Z567" i="366"/>
  <c r="Z535" i="366"/>
  <c r="Z503" i="366"/>
  <c r="Z471" i="366"/>
  <c r="Z439" i="366"/>
  <c r="Z407" i="366"/>
  <c r="Z375" i="366"/>
  <c r="Z347" i="366"/>
  <c r="Z331" i="366"/>
  <c r="Z315" i="366"/>
  <c r="Z299" i="366"/>
  <c r="Z283" i="366"/>
  <c r="Z267" i="366"/>
  <c r="Z251" i="366"/>
  <c r="Z235" i="366"/>
  <c r="Z219" i="366"/>
  <c r="Z203" i="366"/>
  <c r="Z187" i="366"/>
  <c r="Z257" i="366"/>
  <c r="Z134" i="366"/>
  <c r="Z74" i="366"/>
  <c r="Z10" i="366"/>
  <c r="Z643" i="366"/>
  <c r="Z579" i="366"/>
  <c r="Z515" i="366"/>
  <c r="Z451" i="366"/>
  <c r="Z371" i="366"/>
  <c r="Z329" i="366"/>
  <c r="Z273" i="366"/>
  <c r="Z158" i="366"/>
  <c r="Z70" i="366"/>
  <c r="Z6" i="366"/>
  <c r="Z636" i="366"/>
  <c r="Z572" i="366"/>
  <c r="Z508" i="366"/>
  <c r="Z444" i="366"/>
  <c r="Z380" i="366"/>
  <c r="Z334" i="366"/>
  <c r="Z302" i="366"/>
  <c r="Z270" i="366"/>
  <c r="Z238" i="366"/>
  <c r="Z206" i="366"/>
  <c r="Z177" i="366"/>
  <c r="Z161" i="366"/>
  <c r="Z145" i="366"/>
  <c r="Z129" i="366"/>
  <c r="Z113" i="366"/>
  <c r="Z97" i="366"/>
  <c r="Z81" i="366"/>
  <c r="Z65" i="366"/>
  <c r="Z49" i="366"/>
  <c r="Z33" i="366"/>
  <c r="Z17" i="366"/>
  <c r="Z676" i="366"/>
  <c r="Z532" i="366"/>
  <c r="Z388" i="366"/>
  <c r="Z306" i="366"/>
  <c r="Z242" i="366"/>
  <c r="Z175" i="366"/>
  <c r="Z147" i="366"/>
  <c r="Z111" i="366"/>
  <c r="Z83" i="366"/>
  <c r="Z51" i="366"/>
  <c r="Z23" i="366"/>
  <c r="Z233" i="366"/>
  <c r="Z154" i="366"/>
  <c r="Z102" i="366"/>
  <c r="Z46" i="366"/>
  <c r="Z667" i="366"/>
  <c r="Z603" i="366"/>
  <c r="Z539" i="366"/>
  <c r="Z475" i="366"/>
  <c r="Z411" i="366"/>
  <c r="Z349" i="366"/>
  <c r="Z317" i="366"/>
  <c r="Z285" i="366"/>
  <c r="Z253" i="366"/>
  <c r="Z221" i="366"/>
  <c r="Z189" i="366"/>
  <c r="Z168" i="366"/>
  <c r="Z152" i="366"/>
  <c r="Z136" i="366"/>
  <c r="Z120" i="366"/>
  <c r="Z104" i="366"/>
  <c r="Z88" i="366"/>
  <c r="Z72" i="366"/>
  <c r="Z56" i="366"/>
  <c r="Z40" i="366"/>
  <c r="Z24" i="366"/>
  <c r="Z8" i="366"/>
  <c r="Z580" i="366"/>
  <c r="Z468" i="366"/>
  <c r="Z346" i="366"/>
  <c r="Z282" i="366"/>
  <c r="Z218" i="366"/>
  <c r="Z167" i="366"/>
  <c r="Z135" i="366"/>
  <c r="Z99" i="366"/>
  <c r="Z63" i="366"/>
  <c r="Z27" i="366"/>
  <c r="Z321" i="366"/>
  <c r="Z225" i="366"/>
  <c r="Z146" i="366"/>
  <c r="Z82" i="366"/>
  <c r="Z14" i="366"/>
  <c r="Z1010" i="366"/>
  <c r="Z994" i="366"/>
  <c r="Z978" i="366"/>
  <c r="Z962" i="366"/>
  <c r="Z946" i="366"/>
  <c r="Z930" i="366"/>
  <c r="Z914" i="366"/>
  <c r="Z898" i="366"/>
  <c r="Z882" i="366"/>
  <c r="Z866" i="366"/>
  <c r="Z850" i="366"/>
  <c r="Z834" i="366"/>
  <c r="Z818" i="366"/>
  <c r="Z802" i="366"/>
  <c r="Z786" i="366"/>
  <c r="Z770" i="366"/>
  <c r="Z754" i="366"/>
  <c r="Z738" i="366"/>
  <c r="Z722" i="366"/>
  <c r="Z706" i="366"/>
  <c r="Z690" i="366"/>
  <c r="Z1017" i="366"/>
  <c r="Z1001" i="366"/>
  <c r="Z985" i="366"/>
  <c r="Z969" i="366"/>
  <c r="Z953" i="366"/>
  <c r="Z937" i="366"/>
  <c r="Z921" i="366"/>
  <c r="Z905" i="366"/>
  <c r="Z889" i="366"/>
  <c r="Z873" i="366"/>
  <c r="Z857" i="366"/>
  <c r="Z841" i="366"/>
  <c r="Z825" i="366"/>
  <c r="Z809" i="366"/>
  <c r="Z793" i="366"/>
  <c r="Z777" i="366"/>
  <c r="Z761" i="366"/>
  <c r="Z745" i="366"/>
  <c r="Z729" i="366"/>
  <c r="Z713" i="366"/>
  <c r="Z697" i="366"/>
  <c r="Z1020" i="366"/>
  <c r="Z1004" i="366"/>
  <c r="Z988" i="366"/>
  <c r="Z972" i="366"/>
  <c r="Z956" i="366"/>
  <c r="Z940" i="366"/>
  <c r="Z924" i="366"/>
  <c r="Z908" i="366"/>
  <c r="Z892" i="366"/>
  <c r="Z876" i="366"/>
  <c r="Z860" i="366"/>
  <c r="Z844" i="366"/>
  <c r="Z828" i="366"/>
  <c r="Z812" i="366"/>
  <c r="Z796" i="366"/>
  <c r="Z780" i="366"/>
  <c r="Z764" i="366"/>
  <c r="Z748" i="366"/>
  <c r="Z732" i="366"/>
  <c r="Z716" i="366"/>
  <c r="Z700" i="366"/>
  <c r="Z1011" i="366"/>
  <c r="Z995" i="366"/>
  <c r="Z979" i="366"/>
  <c r="Z963" i="366"/>
  <c r="Z947" i="366"/>
  <c r="Z931" i="366"/>
  <c r="Z915" i="366"/>
  <c r="Z899" i="366"/>
  <c r="Z883" i="366"/>
  <c r="Z867" i="366"/>
  <c r="Z851" i="366"/>
  <c r="Z835" i="366"/>
  <c r="Z819" i="366"/>
  <c r="Z803" i="366"/>
  <c r="Z787" i="366"/>
  <c r="Z771" i="366"/>
  <c r="Z755" i="366"/>
  <c r="Z739" i="366"/>
  <c r="Z723" i="366"/>
  <c r="Z703" i="366"/>
  <c r="Z674" i="366"/>
  <c r="Z658" i="366"/>
  <c r="Z642" i="366"/>
  <c r="Z626" i="366"/>
  <c r="Z610" i="366"/>
  <c r="Z594" i="366"/>
  <c r="Z578" i="366"/>
  <c r="Z562" i="366"/>
  <c r="Z546" i="366"/>
  <c r="Z530" i="366"/>
  <c r="Z514" i="366"/>
  <c r="Z498" i="366"/>
  <c r="Z482" i="366"/>
  <c r="Z466" i="366"/>
  <c r="Z450" i="366"/>
  <c r="Z434" i="366"/>
  <c r="Z418" i="366"/>
  <c r="Z402" i="366"/>
  <c r="Z386" i="366"/>
  <c r="Z370" i="366"/>
  <c r="Z354" i="366"/>
  <c r="Z677" i="366"/>
  <c r="Z661" i="366"/>
  <c r="Z645" i="366"/>
  <c r="Z629" i="366"/>
  <c r="Z613" i="366"/>
  <c r="Z597" i="366"/>
  <c r="Z581" i="366"/>
  <c r="Z565" i="366"/>
  <c r="Z549" i="366"/>
  <c r="Z533" i="366"/>
  <c r="Z517" i="366"/>
  <c r="Z501" i="366"/>
  <c r="Z485" i="366"/>
  <c r="Z469" i="366"/>
  <c r="Z453" i="366"/>
  <c r="Z437" i="366"/>
  <c r="Z421" i="366"/>
  <c r="Z405" i="366"/>
  <c r="Z389" i="366"/>
  <c r="Z373" i="366"/>
  <c r="Z357" i="366"/>
  <c r="Z672" i="366"/>
  <c r="Z640" i="366"/>
  <c r="Z608" i="366"/>
  <c r="Z576" i="366"/>
  <c r="Z544" i="366"/>
  <c r="Z512" i="366"/>
  <c r="Z480" i="366"/>
  <c r="Z448" i="366"/>
  <c r="Z416" i="366"/>
  <c r="Z384" i="366"/>
  <c r="Z352" i="366"/>
  <c r="Z336" i="366"/>
  <c r="Z320" i="366"/>
  <c r="Z304" i="366"/>
  <c r="Z288" i="366"/>
  <c r="Z272" i="366"/>
  <c r="Z256" i="366"/>
  <c r="Z240" i="366"/>
  <c r="Z224" i="366"/>
  <c r="Z208" i="366"/>
  <c r="Z192" i="366"/>
  <c r="Z692" i="366"/>
  <c r="Z655" i="366"/>
  <c r="Z623" i="366"/>
  <c r="Z591" i="366"/>
  <c r="Z559" i="366"/>
  <c r="Z527" i="366"/>
  <c r="Z495" i="366"/>
  <c r="Z463" i="366"/>
  <c r="Z431" i="366"/>
  <c r="Z399" i="366"/>
  <c r="Z367" i="366"/>
  <c r="Z343" i="366"/>
  <c r="Z327" i="366"/>
  <c r="Z311" i="366"/>
  <c r="Z295" i="366"/>
  <c r="Z279" i="366"/>
  <c r="Z263" i="366"/>
  <c r="Z247" i="366"/>
  <c r="Z231" i="366"/>
  <c r="Z215" i="366"/>
  <c r="Z199" i="366"/>
  <c r="Z183" i="366"/>
  <c r="Z185" i="366"/>
  <c r="Z118" i="366"/>
  <c r="Z58" i="366"/>
  <c r="Z707" i="366"/>
  <c r="Z627" i="366"/>
  <c r="Z563" i="366"/>
  <c r="Z499" i="366"/>
  <c r="Z435" i="366"/>
  <c r="Z355" i="366"/>
  <c r="Z305" i="366"/>
  <c r="Z249" i="366"/>
  <c r="Z142" i="366"/>
  <c r="Z54" i="366"/>
  <c r="Z687" i="366"/>
  <c r="Z620" i="366"/>
  <c r="Z556" i="366"/>
  <c r="Z492" i="366"/>
  <c r="Z428" i="366"/>
  <c r="Z364" i="366"/>
  <c r="Z326" i="366"/>
  <c r="Z294" i="366"/>
  <c r="Z262" i="366"/>
  <c r="Z230" i="366"/>
  <c r="Z198" i="366"/>
  <c r="Z173" i="366"/>
  <c r="Z157" i="366"/>
  <c r="Z141" i="366"/>
  <c r="Z125" i="366"/>
  <c r="Z109" i="366"/>
  <c r="Z93" i="366"/>
  <c r="Z77" i="366"/>
  <c r="Z61" i="366"/>
  <c r="Z45" i="366"/>
  <c r="Z29" i="366"/>
  <c r="Z13" i="366"/>
  <c r="Z628" i="366"/>
  <c r="Z500" i="366"/>
  <c r="Z356" i="366"/>
  <c r="Z290" i="366"/>
  <c r="Z226" i="366"/>
  <c r="Z171" i="366"/>
  <c r="Z139" i="366"/>
  <c r="Z103" i="366"/>
  <c r="Z75" i="366"/>
  <c r="Z43" i="366"/>
  <c r="Z19" i="366"/>
  <c r="Z201" i="366"/>
  <c r="Z138" i="366"/>
  <c r="Z86" i="366"/>
  <c r="Z30" i="366"/>
  <c r="Z651" i="366"/>
  <c r="Z587" i="366"/>
  <c r="Z523" i="366"/>
  <c r="Z459" i="366"/>
  <c r="Z395" i="366"/>
  <c r="Z341" i="366"/>
  <c r="Z309" i="366"/>
  <c r="Z277" i="366"/>
  <c r="Z245" i="366"/>
  <c r="Z213" i="366"/>
  <c r="Z181" i="366"/>
  <c r="Z164" i="366"/>
  <c r="Z148" i="366"/>
  <c r="Z132" i="366"/>
  <c r="Z116" i="366"/>
  <c r="Z100" i="366"/>
  <c r="Z84" i="366"/>
  <c r="Z68" i="366"/>
  <c r="Z52" i="366"/>
  <c r="Z36" i="366"/>
  <c r="Z20" i="366"/>
  <c r="Z4" i="366"/>
  <c r="Z548" i="366"/>
  <c r="Z436" i="366"/>
  <c r="Z330" i="366"/>
  <c r="Z266" i="366"/>
  <c r="Z202" i="366"/>
  <c r="Z159" i="366"/>
  <c r="Z127" i="366"/>
  <c r="Z87" i="366"/>
  <c r="Z55" i="366"/>
  <c r="Z15" i="366"/>
  <c r="Z289" i="366"/>
  <c r="Z209" i="366"/>
  <c r="Z130" i="366"/>
  <c r="Z66" i="366"/>
  <c r="V943" i="366"/>
  <c r="V840" i="366"/>
  <c r="V777" i="366"/>
  <c r="V51" i="366"/>
  <c r="V819" i="366"/>
  <c r="V448" i="366"/>
  <c r="V116" i="366"/>
  <c r="V951" i="366"/>
  <c r="V255" i="366"/>
  <c r="V202" i="366"/>
  <c r="V44" i="366"/>
  <c r="V168" i="366"/>
  <c r="V762" i="366"/>
  <c r="V418" i="366"/>
  <c r="V332" i="366"/>
  <c r="V160" i="366"/>
  <c r="V615" i="366"/>
  <c r="V57" i="366"/>
  <c r="V635" i="366"/>
  <c r="V528" i="366"/>
  <c r="V877" i="366"/>
  <c r="V602" i="366"/>
  <c r="V490" i="366"/>
  <c r="V542" i="366"/>
  <c r="V83" i="366"/>
  <c r="V735" i="366"/>
  <c r="V628" i="366"/>
  <c r="V660" i="366"/>
  <c r="V740" i="366"/>
  <c r="V275" i="366"/>
  <c r="V764" i="366"/>
  <c r="V779" i="366"/>
  <c r="V372" i="366"/>
  <c r="V354" i="366"/>
  <c r="V115" i="366"/>
  <c r="V314" i="366"/>
  <c r="V761" i="366"/>
  <c r="V786" i="366"/>
  <c r="V985" i="366"/>
  <c r="V638" i="366"/>
  <c r="V825" i="366"/>
  <c r="V424" i="366"/>
  <c r="V272" i="366"/>
  <c r="V504" i="366"/>
  <c r="V14" i="366"/>
  <c r="V328" i="366"/>
  <c r="V164" i="366"/>
  <c r="V1020" i="366"/>
  <c r="V725" i="366"/>
  <c r="V706" i="366"/>
  <c r="V31" i="366"/>
  <c r="V299" i="366"/>
  <c r="V1015" i="366"/>
  <c r="V833" i="366"/>
  <c r="V128" i="366"/>
  <c r="V185" i="366"/>
  <c r="V836" i="366"/>
  <c r="V289" i="366"/>
  <c r="V428" i="366"/>
  <c r="V597" i="366"/>
  <c r="V78" i="366"/>
  <c r="V156" i="366"/>
  <c r="V509" i="366"/>
  <c r="V478" i="366"/>
  <c r="V415" i="366"/>
  <c r="V416" i="366"/>
  <c r="V192" i="366"/>
  <c r="V262" i="366"/>
  <c r="V920" i="366"/>
  <c r="V1000" i="366"/>
  <c r="V770" i="366"/>
  <c r="V733" i="366"/>
  <c r="V609" i="366"/>
  <c r="V223" i="366"/>
  <c r="V788" i="366"/>
  <c r="V306" i="366"/>
  <c r="V307" i="366"/>
  <c r="V117" i="366"/>
  <c r="V120" i="366"/>
  <c r="V565" i="366"/>
  <c r="V21" i="366"/>
  <c r="V139" i="366"/>
  <c r="V710" i="366"/>
  <c r="V927" i="366"/>
  <c r="V831" i="366"/>
  <c r="V219" i="366"/>
  <c r="V878" i="366"/>
  <c r="V1016" i="366"/>
  <c r="V302" i="366"/>
  <c r="V639" i="366"/>
  <c r="V396" i="366"/>
  <c r="V976" i="366"/>
  <c r="V256" i="366"/>
  <c r="V200" i="366"/>
  <c r="V519" i="366"/>
  <c r="V743" i="366"/>
  <c r="V209" i="366"/>
  <c r="V214" i="366"/>
  <c r="V849" i="366"/>
  <c r="V193" i="366"/>
  <c r="V986" i="366"/>
  <c r="V1019" i="366"/>
  <c r="V15" i="366"/>
  <c r="V688" i="366"/>
  <c r="V82" i="366"/>
  <c r="V887" i="366"/>
  <c r="V505" i="366"/>
  <c r="V375" i="366"/>
  <c r="V1009" i="366"/>
  <c r="V666" i="366"/>
  <c r="V926" i="366"/>
  <c r="V990" i="366"/>
  <c r="V854" i="366"/>
  <c r="V627" i="366"/>
  <c r="V708" i="366"/>
  <c r="V476" i="366"/>
  <c r="V564" i="366"/>
  <c r="V806" i="366"/>
  <c r="V331" i="366"/>
  <c r="V437" i="366"/>
  <c r="V261" i="366"/>
  <c r="V99" i="366"/>
  <c r="V737" i="366"/>
  <c r="V634" i="366"/>
  <c r="V366" i="366"/>
  <c r="V267" i="366"/>
  <c r="V507" i="366"/>
  <c r="V335" i="366"/>
  <c r="V147" i="366"/>
  <c r="V860" i="366"/>
  <c r="V122" i="366"/>
  <c r="V949" i="366"/>
  <c r="V430" i="366"/>
  <c r="V848" i="366"/>
  <c r="V569" i="366"/>
  <c r="V929" i="366"/>
  <c r="V946" i="366"/>
  <c r="V566" i="366"/>
  <c r="V365" i="366"/>
  <c r="V518" i="366"/>
  <c r="V963" i="366"/>
  <c r="V984" i="366"/>
  <c r="V536" i="366"/>
  <c r="V4" i="366"/>
  <c r="Y4" i="366" s="1"/>
  <c r="V148" i="366"/>
  <c r="V720" i="366"/>
  <c r="V10" i="366"/>
  <c r="V721" i="366"/>
  <c r="V49" i="366"/>
  <c r="V303" i="366"/>
  <c r="V575" i="366"/>
  <c r="V570" i="366"/>
  <c r="V871" i="366"/>
  <c r="V12" i="366"/>
  <c r="V679" i="366"/>
  <c r="V732" i="366"/>
  <c r="V850" i="366"/>
  <c r="V751" i="366"/>
  <c r="V447" i="366"/>
  <c r="V8" i="366"/>
  <c r="V876" i="366"/>
  <c r="V376" i="366"/>
  <c r="V1001" i="366"/>
  <c r="V308" i="366"/>
  <c r="V227" i="366"/>
  <c r="V30" i="366"/>
  <c r="V325" i="366"/>
  <c r="V73" i="366"/>
  <c r="V700" i="366"/>
  <c r="V334" i="366"/>
  <c r="V561" i="366"/>
  <c r="V6" i="366"/>
  <c r="V167" i="366"/>
  <c r="V941" i="366"/>
  <c r="V47" i="366"/>
  <c r="V931" i="366"/>
  <c r="V571" i="366"/>
  <c r="V184" i="366"/>
  <c r="V676" i="366"/>
  <c r="V469" i="366"/>
  <c r="V677" i="366"/>
  <c r="V747" i="366"/>
  <c r="V551" i="366"/>
  <c r="V560" i="366"/>
  <c r="V909" i="366"/>
  <c r="V821" i="366"/>
  <c r="V906" i="366"/>
  <c r="V326" i="366"/>
  <c r="V462" i="366"/>
  <c r="V881" i="366"/>
  <c r="V252" i="366"/>
  <c r="V970" i="366"/>
  <c r="V403" i="366"/>
  <c r="V413" i="366"/>
  <c r="V109" i="366"/>
  <c r="V482" i="366"/>
  <c r="V996" i="366"/>
  <c r="V259" i="366"/>
  <c r="V579" i="366"/>
  <c r="V102" i="366"/>
  <c r="V829" i="366"/>
  <c r="V964" i="366"/>
  <c r="V475" i="366"/>
  <c r="V459" i="366"/>
  <c r="V827" i="366"/>
  <c r="V550" i="366"/>
  <c r="V208" i="366"/>
  <c r="V242" i="366"/>
  <c r="V380" i="366"/>
  <c r="V216" i="366"/>
  <c r="V442" i="366"/>
  <c r="V42" i="366"/>
  <c r="V126" i="366"/>
  <c r="V572" i="366"/>
  <c r="V873" i="366"/>
  <c r="V277" i="366"/>
  <c r="V756" i="366"/>
  <c r="V947" i="366"/>
  <c r="V785" i="366"/>
  <c r="V404" i="366"/>
  <c r="V458" i="366"/>
  <c r="V33" i="366"/>
  <c r="V955" i="366"/>
  <c r="V236" i="366"/>
  <c r="V543" i="366"/>
  <c r="V701" i="366"/>
  <c r="V300" i="366"/>
  <c r="V420" i="366"/>
  <c r="V146" i="366"/>
  <c r="V995" i="366"/>
  <c r="V899" i="366"/>
  <c r="V783" i="366"/>
  <c r="V915" i="366"/>
  <c r="V224" i="366"/>
  <c r="V852" i="366"/>
  <c r="V280" i="366"/>
  <c r="V340" i="366"/>
  <c r="V925" i="366"/>
  <c r="V77" i="366"/>
  <c r="V745" i="366"/>
  <c r="V812" i="366"/>
  <c r="V196" i="366"/>
  <c r="V24" i="366"/>
  <c r="V774" i="366"/>
  <c r="V174" i="366"/>
  <c r="V814" i="366"/>
  <c r="V882" i="366"/>
  <c r="V452" i="366"/>
  <c r="V905" i="366"/>
  <c r="V35" i="366"/>
  <c r="V357" i="366"/>
  <c r="V118" i="366"/>
  <c r="V231" i="366"/>
  <c r="V539" i="366"/>
  <c r="V884" i="366"/>
  <c r="V96" i="366"/>
  <c r="V914" i="366"/>
  <c r="V798" i="366"/>
  <c r="V563" i="366"/>
  <c r="V190" i="366"/>
  <c r="V79" i="366"/>
  <c r="V207" i="366"/>
  <c r="V648" i="366"/>
  <c r="V54" i="366"/>
  <c r="V34" i="366"/>
  <c r="V497" i="366"/>
  <c r="V809" i="366"/>
  <c r="V520" i="366"/>
  <c r="V194" i="366"/>
  <c r="V598" i="366"/>
  <c r="V674" i="366"/>
  <c r="V817" i="366"/>
  <c r="V292" i="366"/>
  <c r="V810" i="366"/>
  <c r="V540" i="366"/>
  <c r="V802" i="366"/>
  <c r="V422" i="366"/>
  <c r="V159" i="366"/>
  <c r="V182" i="366"/>
  <c r="V199" i="366"/>
  <c r="V673" i="366"/>
  <c r="V607" i="366"/>
  <c r="V112" i="366"/>
  <c r="V839" i="366"/>
  <c r="V301" i="366"/>
  <c r="V154" i="366"/>
  <c r="V41" i="366"/>
  <c r="V784" i="366"/>
  <c r="V746" i="366"/>
  <c r="V180" i="366"/>
  <c r="V921" i="366"/>
  <c r="V851" i="366"/>
  <c r="V656" i="366"/>
  <c r="V85" i="366"/>
  <c r="V763" i="366"/>
  <c r="V247" i="366"/>
  <c r="V998" i="366"/>
  <c r="V546" i="366"/>
  <c r="V463" i="366"/>
  <c r="V894" i="366"/>
  <c r="V843" i="366"/>
  <c r="V758" i="366"/>
  <c r="V678" i="366"/>
  <c r="V395" i="366"/>
  <c r="V690" i="366"/>
  <c r="V58" i="366"/>
  <c r="V697" i="366"/>
  <c r="V954" i="366"/>
  <c r="V434" i="366"/>
  <c r="V1011" i="366"/>
  <c r="V235" i="366"/>
  <c r="V264" i="366"/>
  <c r="V474" i="366"/>
  <c r="V757" i="366"/>
  <c r="V555" i="366"/>
  <c r="V471" i="366"/>
  <c r="V89" i="366"/>
  <c r="V343" i="366"/>
  <c r="V893" i="366"/>
  <c r="V265" i="366"/>
  <c r="V465" i="366"/>
  <c r="V55" i="366"/>
  <c r="V149" i="366"/>
  <c r="V64" i="366"/>
  <c r="V573" i="366"/>
  <c r="V187" i="366"/>
  <c r="V285" i="366"/>
  <c r="V324" i="366"/>
  <c r="V760" i="366"/>
  <c r="V558" i="366"/>
  <c r="V27" i="366"/>
  <c r="V305" i="366"/>
  <c r="V374" i="366"/>
  <c r="V419" i="366"/>
  <c r="V559" i="366"/>
  <c r="V276" i="366"/>
  <c r="V409" i="366"/>
  <c r="V353" i="366"/>
  <c r="V297" i="366"/>
  <c r="V72" i="366"/>
  <c r="V136" i="366"/>
  <c r="V631" i="366"/>
  <c r="V693" i="366"/>
  <c r="V373" i="366"/>
  <c r="V715" i="366"/>
  <c r="V344" i="366"/>
  <c r="V776" i="366"/>
  <c r="V875" i="366"/>
  <c r="V750" i="366"/>
  <c r="V649" i="366"/>
  <c r="V43" i="366"/>
  <c r="V110" i="366"/>
  <c r="V663" i="366"/>
  <c r="V273" i="366"/>
  <c r="V755" i="366"/>
  <c r="V173" i="366"/>
  <c r="V953" i="366"/>
  <c r="V524" i="366"/>
  <c r="V973" i="366"/>
  <c r="V592" i="366"/>
  <c r="V789" i="366"/>
  <c r="V389" i="366"/>
  <c r="V436" i="366"/>
  <c r="V940" i="366"/>
  <c r="V312" i="366"/>
  <c r="V131" i="366"/>
  <c r="V613" i="366"/>
  <c r="V66" i="366"/>
  <c r="V790" i="366"/>
  <c r="V537" i="366"/>
  <c r="V387" i="366"/>
  <c r="V622" i="366"/>
  <c r="V997" i="366"/>
  <c r="V333" i="366"/>
  <c r="V414" i="366"/>
  <c r="V161" i="366"/>
  <c r="V989" i="366"/>
  <c r="V249" i="366"/>
  <c r="V922" i="366"/>
  <c r="V624" i="366"/>
  <c r="V22" i="366"/>
  <c r="V9" i="366"/>
  <c r="V114" i="366"/>
  <c r="V718" i="366"/>
  <c r="V288" i="366"/>
  <c r="V889" i="366"/>
  <c r="V206" i="366"/>
  <c r="V456" i="366"/>
  <c r="V457" i="366"/>
  <c r="V742" i="366"/>
  <c r="V681" i="366"/>
  <c r="V844" i="366"/>
  <c r="V100" i="366"/>
  <c r="V246" i="366"/>
  <c r="V450" i="366"/>
  <c r="V37" i="366"/>
  <c r="V912" i="366"/>
  <c r="V113" i="366"/>
  <c r="V145" i="366"/>
  <c r="V853" i="366"/>
  <c r="V795" i="366"/>
  <c r="V320" i="366"/>
  <c r="V45" i="366"/>
  <c r="V243" i="366"/>
  <c r="V368" i="366"/>
  <c r="V423" i="366"/>
  <c r="V870" i="366"/>
  <c r="V483" i="366"/>
  <c r="V488" i="366"/>
  <c r="V494" i="366"/>
  <c r="V619" i="366"/>
  <c r="V892" i="366"/>
  <c r="V329" i="366"/>
  <c r="V859" i="366"/>
  <c r="V484" i="366"/>
  <c r="V545" i="366"/>
  <c r="V521" i="366"/>
  <c r="V284" i="366"/>
  <c r="V398" i="366"/>
  <c r="V466" i="366"/>
  <c r="V232" i="366"/>
  <c r="V590" i="366"/>
  <c r="V604" i="366"/>
  <c r="V1005" i="366"/>
  <c r="V32" i="366"/>
  <c r="V754" i="366"/>
  <c r="V782" i="366"/>
  <c r="V260" i="366"/>
  <c r="V348" i="366"/>
  <c r="V807" i="366"/>
  <c r="V514" i="366"/>
  <c r="V778" i="366"/>
  <c r="V578" i="366"/>
  <c r="V408" i="366"/>
  <c r="V269" i="366"/>
  <c r="V133" i="366"/>
  <c r="V599" i="366"/>
  <c r="V724" i="366"/>
  <c r="V917" i="366"/>
  <c r="V322" i="366"/>
  <c r="V534" i="366"/>
  <c r="V800" i="366"/>
  <c r="V934" i="366"/>
  <c r="V278" i="366"/>
  <c r="V186" i="366"/>
  <c r="V837" i="366"/>
  <c r="V641" i="366"/>
  <c r="V767" i="366"/>
  <c r="V948" i="366"/>
  <c r="V744" i="366"/>
  <c r="V591" i="366"/>
  <c r="V362" i="366"/>
  <c r="V606" i="366"/>
  <c r="V359" i="366"/>
  <c r="V1006" i="366"/>
  <c r="V271" i="366"/>
  <c r="V617" i="366"/>
  <c r="V961" i="366"/>
  <c r="V969" i="366"/>
  <c r="V526" i="366"/>
  <c r="V228" i="366"/>
  <c r="V512" i="366"/>
  <c r="V911" i="366"/>
  <c r="V138" i="366"/>
  <c r="V522" i="366"/>
  <c r="V417" i="366"/>
  <c r="V183" i="366"/>
  <c r="V942" i="366"/>
  <c r="V897" i="366"/>
  <c r="V384" i="366"/>
  <c r="V741" i="366"/>
  <c r="V283" i="366"/>
  <c r="V211" i="366"/>
  <c r="V39" i="366"/>
  <c r="V210" i="366"/>
  <c r="V765" i="366"/>
  <c r="V982" i="366"/>
  <c r="V215" i="366"/>
  <c r="V496" i="366"/>
  <c r="V71" i="366"/>
  <c r="V794" i="366"/>
  <c r="V468" i="366"/>
  <c r="V583" i="366"/>
  <c r="V902" i="366"/>
  <c r="V1008" i="366"/>
  <c r="V397" i="366"/>
  <c r="V298" i="366"/>
  <c r="V151" i="366"/>
  <c r="V753" i="366"/>
  <c r="V195" i="366"/>
  <c r="V229" i="366"/>
  <c r="V446" i="366"/>
  <c r="V991" i="366"/>
  <c r="V153" i="366"/>
  <c r="V188" i="366"/>
  <c r="V108" i="366"/>
  <c r="V907" i="366"/>
  <c r="V803" i="366"/>
  <c r="V225" i="366"/>
  <c r="V611" i="366"/>
  <c r="V179" i="366"/>
  <c r="V847" i="366"/>
  <c r="V863" i="366"/>
  <c r="V1003" i="366"/>
  <c r="V486" i="366"/>
  <c r="V166" i="366"/>
  <c r="V240" i="366"/>
  <c r="V846" i="366"/>
  <c r="V749" i="366"/>
  <c r="V658" i="366"/>
  <c r="V910" i="366"/>
  <c r="V671" i="366"/>
  <c r="V506" i="366"/>
  <c r="V95" i="366"/>
  <c r="V134" i="366"/>
  <c r="V381" i="366"/>
  <c r="V772" i="366"/>
  <c r="V393" i="366"/>
  <c r="V685" i="366"/>
  <c r="V937" i="366"/>
  <c r="V904" i="366"/>
  <c r="V709" i="366"/>
  <c r="V251" i="366"/>
  <c r="V637" i="366"/>
  <c r="V939" i="366"/>
  <c r="V594" i="366"/>
  <c r="V503" i="366"/>
  <c r="V552" i="366"/>
  <c r="V294" i="366"/>
  <c r="V18" i="366"/>
  <c r="V842" i="366"/>
  <c r="V738" i="366"/>
  <c r="V62" i="366"/>
  <c r="V441" i="366"/>
  <c r="V336" i="366"/>
  <c r="V48" i="366"/>
  <c r="V385" i="366"/>
  <c r="V664" i="366"/>
  <c r="V212" i="366"/>
  <c r="V169" i="366"/>
  <c r="V993" i="366"/>
  <c r="V5" i="366"/>
  <c r="V623" i="366"/>
  <c r="V632" i="366"/>
  <c r="V952" i="366"/>
  <c r="V237" i="366"/>
  <c r="V680" i="366"/>
  <c r="V473" i="366"/>
  <c r="V86" i="366"/>
  <c r="V801" i="366"/>
  <c r="V364" i="366"/>
  <c r="V586" i="366"/>
  <c r="V891" i="366"/>
  <c r="V816" i="366"/>
  <c r="V979" i="366"/>
  <c r="V152" i="366"/>
  <c r="V773" i="366"/>
  <c r="V1002" i="366"/>
  <c r="V723" i="366"/>
  <c r="V691" i="366"/>
  <c r="V123" i="366"/>
  <c r="V342" i="366"/>
  <c r="V104" i="366"/>
  <c r="V313" i="366"/>
  <c r="V290" i="366"/>
  <c r="V263" i="366"/>
  <c r="V371" i="366"/>
  <c r="V60" i="366"/>
  <c r="V820" i="366"/>
  <c r="V119" i="366"/>
  <c r="V7" i="366"/>
  <c r="V862" i="366"/>
  <c r="V453" i="366"/>
  <c r="V898" i="366"/>
  <c r="V549" i="366"/>
  <c r="V945" i="366"/>
  <c r="V956" i="366"/>
  <c r="V454" i="366"/>
  <c r="V499" i="366"/>
  <c r="V532" i="366"/>
  <c r="V867" i="366"/>
  <c r="V429" i="366"/>
  <c r="V531" i="366"/>
  <c r="V913" i="366"/>
  <c r="V650" i="366"/>
  <c r="V916" i="366"/>
  <c r="V234" i="366"/>
  <c r="V1014" i="366"/>
  <c r="V125" i="366"/>
  <c r="V553" i="366"/>
  <c r="V177" i="366"/>
  <c r="V665" i="366"/>
  <c r="V1017" i="366"/>
  <c r="V988" i="366"/>
  <c r="V391" i="366"/>
  <c r="V960" i="366"/>
  <c r="V855" i="366"/>
  <c r="V805" i="366"/>
  <c r="V245" i="366"/>
  <c r="V728" i="366"/>
  <c r="V315" i="366"/>
  <c r="V451" i="366"/>
  <c r="V383" i="366"/>
  <c r="V659" i="366"/>
  <c r="V75" i="366"/>
  <c r="V130" i="366"/>
  <c r="V358" i="366"/>
  <c r="V714" i="366"/>
  <c r="V766" i="366"/>
  <c r="V698" i="366"/>
  <c r="V150" i="366"/>
  <c r="V477" i="366"/>
  <c r="V191" i="366"/>
  <c r="V97" i="366"/>
  <c r="V178" i="366"/>
  <c r="V620" i="366"/>
  <c r="V360" i="366"/>
  <c r="V793" i="366"/>
  <c r="V923" i="366"/>
  <c r="V377" i="366"/>
  <c r="V311" i="366"/>
  <c r="V157" i="366"/>
  <c r="V142" i="366"/>
  <c r="V205" i="366"/>
  <c r="V682" i="366"/>
  <c r="V813" i="366"/>
  <c r="V369" i="366"/>
  <c r="V626" i="366"/>
  <c r="V652" i="366"/>
  <c r="V282" i="366"/>
  <c r="V661" i="366"/>
  <c r="V74" i="366"/>
  <c r="V421" i="366"/>
  <c r="V595" i="366"/>
  <c r="V726" i="366"/>
  <c r="V621" i="366"/>
  <c r="V20" i="366"/>
  <c r="V444" i="366"/>
  <c r="V515" i="366"/>
  <c r="V111" i="366"/>
  <c r="V158" i="366"/>
  <c r="V636" i="366"/>
  <c r="V525" i="366"/>
  <c r="V643" i="366"/>
  <c r="V87" i="366"/>
  <c r="V330" i="366"/>
  <c r="V938" i="366"/>
  <c r="V481" i="366"/>
  <c r="V304" i="366"/>
  <c r="V281" i="366"/>
  <c r="V346" i="366"/>
  <c r="V321" i="366"/>
  <c r="V900" i="366"/>
  <c r="V338" i="366"/>
  <c r="V382" i="366"/>
  <c r="V838" i="366"/>
  <c r="V36" i="366"/>
  <c r="V980" i="366"/>
  <c r="V683" i="366"/>
  <c r="V361" i="366"/>
  <c r="V254" i="366"/>
  <c r="V958" i="366"/>
  <c r="V513" i="366"/>
  <c r="V84" i="366"/>
  <c r="V250" i="366"/>
  <c r="V822" i="366"/>
  <c r="V432" i="366"/>
  <c r="V687" i="366"/>
  <c r="V799" i="366"/>
  <c r="V646" i="366"/>
  <c r="V76" i="366"/>
  <c r="V967" i="366"/>
  <c r="V874" i="366"/>
  <c r="V608" i="366"/>
  <c r="V959" i="366"/>
  <c r="V824" i="366"/>
  <c r="V11" i="366"/>
  <c r="V584" i="366"/>
  <c r="V386" i="366"/>
  <c r="V530" i="366"/>
  <c r="V618" i="366"/>
  <c r="V796" i="366"/>
  <c r="V345" i="366"/>
  <c r="V363" i="366"/>
  <c r="V107" i="366"/>
  <c r="V787" i="366"/>
  <c r="V347" i="366"/>
  <c r="V642" i="366"/>
  <c r="V957" i="366"/>
  <c r="V339" i="366"/>
  <c r="V730" i="366"/>
  <c r="V253" i="366"/>
  <c r="V239" i="366"/>
  <c r="V63" i="366"/>
  <c r="V992" i="366"/>
  <c r="V668" i="366"/>
  <c r="V279" i="366"/>
  <c r="V576" i="366"/>
  <c r="V257" i="366"/>
  <c r="V101" i="366"/>
  <c r="V431" i="366"/>
  <c r="V70" i="366"/>
  <c r="V640" i="366"/>
  <c r="V98" i="366"/>
  <c r="V129" i="366"/>
  <c r="V155" i="366"/>
  <c r="V425" i="366"/>
  <c r="V629" i="366"/>
  <c r="V872" i="366"/>
  <c r="V394" i="366"/>
  <c r="V449" i="366"/>
  <c r="V221" i="366"/>
  <c r="V669" i="366"/>
  <c r="V472" i="366"/>
  <c r="V16" i="366"/>
  <c r="V293" i="366"/>
  <c r="V987" i="366"/>
  <c r="V903" i="366"/>
  <c r="V792" i="366"/>
  <c r="V705" i="366"/>
  <c r="V890" i="366"/>
  <c r="V204" i="366"/>
  <c r="V768" i="366"/>
  <c r="V135" i="366"/>
  <c r="V511" i="366"/>
  <c r="V480" i="366"/>
  <c r="V132" i="366"/>
  <c r="V644" i="366"/>
  <c r="V508" i="366"/>
  <c r="V717" i="366"/>
  <c r="V748" i="366"/>
  <c r="V804" i="366"/>
  <c r="V517" i="366"/>
  <c r="V1013" i="366"/>
  <c r="V165" i="366"/>
  <c r="V291" i="366"/>
  <c r="V834" i="366"/>
  <c r="V689" i="366"/>
  <c r="V858" i="366"/>
  <c r="V81" i="366"/>
  <c r="V808" i="366"/>
  <c r="V163" i="366"/>
  <c r="V316" i="366"/>
  <c r="V65" i="366"/>
  <c r="V541" i="366"/>
  <c r="V879" i="366"/>
  <c r="V50" i="366"/>
  <c r="V172" i="366"/>
  <c r="V966" i="366"/>
  <c r="V495" i="366"/>
  <c r="V585" i="366"/>
  <c r="V759" i="366"/>
  <c r="V124" i="366"/>
  <c r="V410" i="366"/>
  <c r="V489" i="366"/>
  <c r="V352" i="366"/>
  <c r="V29" i="366"/>
  <c r="V400" i="366"/>
  <c r="V538" i="366"/>
  <c r="V440" i="366"/>
  <c r="V13" i="366"/>
  <c r="V411" i="366"/>
  <c r="V144" i="366"/>
  <c r="V654" i="366"/>
  <c r="V487" i="366"/>
  <c r="V500" i="366"/>
  <c r="V830" i="366"/>
  <c r="V248" i="366"/>
  <c r="V388" i="366"/>
  <c r="V655" i="366"/>
  <c r="V141" i="366"/>
  <c r="V121" i="366"/>
  <c r="V978" i="366"/>
  <c r="V170" i="366"/>
  <c r="V670" i="366"/>
  <c r="V455" i="366"/>
  <c r="V244" i="366"/>
  <c r="V533" i="366"/>
  <c r="V427" i="366"/>
  <c r="V258" i="366"/>
  <c r="V355" i="366"/>
  <c r="V162" i="366"/>
  <c r="V866" i="366"/>
  <c r="V510" i="366"/>
  <c r="V527" i="366"/>
  <c r="V92" i="366"/>
  <c r="V213" i="366"/>
  <c r="V548" i="366"/>
  <c r="V975" i="366"/>
  <c r="V651" i="366"/>
  <c r="V67" i="366"/>
  <c r="V337" i="366"/>
  <c r="V865" i="366"/>
  <c r="V317" i="366"/>
  <c r="V605" i="366"/>
  <c r="V662" i="366"/>
  <c r="V835" i="366"/>
  <c r="V781" i="366"/>
  <c r="V1004" i="366"/>
  <c r="V103" i="366"/>
  <c r="V491" i="366"/>
  <c r="V38" i="366"/>
  <c r="V932" i="366"/>
  <c r="V59" i="366"/>
  <c r="V226" i="366"/>
  <c r="V438" i="366"/>
  <c r="V645" i="366"/>
  <c r="V577" i="366"/>
  <c r="V722" i="366"/>
  <c r="V327" i="366"/>
  <c r="V485" i="366"/>
  <c r="V241" i="366"/>
  <c r="V686" i="366"/>
  <c r="V719" i="366"/>
  <c r="V908" i="366"/>
  <c r="V220" i="366"/>
  <c r="V589" i="366"/>
  <c r="V886" i="366"/>
  <c r="V176" i="366"/>
  <c r="V769" i="366"/>
  <c r="V734" i="366"/>
  <c r="V46" i="366"/>
  <c r="V171" i="366"/>
  <c r="V610" i="366"/>
  <c r="V653" i="366"/>
  <c r="V930" i="366"/>
  <c r="V91" i="366"/>
  <c r="V587" i="366"/>
  <c r="V580" i="366"/>
  <c r="V68" i="366"/>
  <c r="V464" i="366"/>
  <c r="V699" i="366"/>
  <c r="V268" i="366"/>
  <c r="V968" i="366"/>
  <c r="V238" i="366"/>
  <c r="V692" i="366"/>
  <c r="V845" i="366"/>
  <c r="V950" i="366"/>
  <c r="V356" i="366"/>
  <c r="V61" i="366"/>
  <c r="V535" i="366"/>
  <c r="V568" i="366"/>
  <c r="V593" i="366"/>
  <c r="V467" i="366"/>
  <c r="V523" i="366"/>
  <c r="V574" i="366"/>
  <c r="V56" i="366"/>
  <c r="V28" i="366"/>
  <c r="V25" i="366"/>
  <c r="V703" i="366"/>
  <c r="V554" i="366"/>
  <c r="V716" i="366"/>
  <c r="V869" i="366"/>
  <c r="V1012" i="366"/>
  <c r="V711" i="366"/>
  <c r="V588" i="366"/>
  <c r="V218" i="366"/>
  <c r="V567" i="366"/>
  <c r="V994" i="366"/>
  <c r="V775" i="366"/>
  <c r="V901" i="366"/>
  <c r="V93" i="366"/>
  <c r="V222" i="366"/>
  <c r="V105" i="366"/>
  <c r="V727" i="366"/>
  <c r="V399" i="366"/>
  <c r="V600" i="366"/>
  <c r="V17" i="366"/>
  <c r="V633" i="366"/>
  <c r="V924" i="366"/>
  <c r="V318" i="366"/>
  <c r="V841" i="366"/>
  <c r="V625" i="366"/>
  <c r="V856" i="366"/>
  <c r="V630" i="366"/>
  <c r="V983" i="366"/>
  <c r="V197" i="366"/>
  <c r="V962" i="366"/>
  <c r="V864" i="366"/>
  <c r="V704" i="366"/>
  <c r="V880" i="366"/>
  <c r="V944" i="366"/>
  <c r="V26" i="366"/>
  <c r="V826" i="366"/>
  <c r="V752" i="366"/>
  <c r="V667" i="366"/>
  <c r="V106" i="366"/>
  <c r="V832" i="366"/>
  <c r="V426" i="366"/>
  <c r="V296" i="366"/>
  <c r="V309" i="366"/>
  <c r="V582" i="366"/>
  <c r="V69" i="366"/>
  <c r="V936" i="366"/>
  <c r="V127" i="366"/>
  <c r="V981" i="366"/>
  <c r="V797" i="366"/>
  <c r="V498" i="366"/>
  <c r="V470" i="366"/>
  <c r="V614" i="366"/>
  <c r="V266" i="366"/>
  <c r="V529" i="366"/>
  <c r="V657" i="366"/>
  <c r="V370" i="366"/>
  <c r="V1010" i="366"/>
  <c r="V90" i="366"/>
  <c r="V707" i="366"/>
  <c r="V935" i="366"/>
  <c r="V868" i="366"/>
  <c r="V40" i="366"/>
  <c r="V493" i="366"/>
  <c r="V80" i="366"/>
  <c r="V712" i="366"/>
  <c r="V791" i="366"/>
  <c r="V175" i="366"/>
  <c r="V771" i="366"/>
  <c r="V818" i="366"/>
  <c r="V713" i="366"/>
  <c r="V203" i="366"/>
  <c r="V350" i="366"/>
  <c r="V731" i="366"/>
  <c r="V406" i="366"/>
  <c r="V694" i="366"/>
  <c r="V695" i="366"/>
  <c r="V1021" i="366"/>
  <c r="V402" i="366"/>
  <c r="V351" i="366"/>
  <c r="V233" i="366"/>
  <c r="V547" i="366"/>
  <c r="V137" i="366"/>
  <c r="V367" i="366"/>
  <c r="V601" i="366"/>
  <c r="V502" i="366"/>
  <c r="V918" i="366"/>
  <c r="V407" i="366"/>
  <c r="V557" i="366"/>
  <c r="V349" i="366"/>
  <c r="V501" i="366"/>
  <c r="V780" i="366"/>
  <c r="V435" i="366"/>
  <c r="V895" i="366"/>
  <c r="V965" i="366"/>
  <c r="V739" i="366"/>
  <c r="V378" i="366"/>
  <c r="V885" i="366"/>
  <c r="V379" i="366"/>
  <c r="V928" i="366"/>
  <c r="V861" i="366"/>
  <c r="V581" i="366"/>
  <c r="V971" i="366"/>
  <c r="V596" i="366"/>
  <c r="V603" i="366"/>
  <c r="V412" i="366"/>
  <c r="V544" i="366"/>
  <c r="V52" i="366"/>
  <c r="V405" i="366"/>
  <c r="V684" i="366"/>
  <c r="V974" i="366"/>
  <c r="V702" i="366"/>
  <c r="V201" i="366"/>
  <c r="V977" i="366"/>
  <c r="V933" i="366"/>
  <c r="V460" i="366"/>
  <c r="V612" i="366"/>
  <c r="V443" i="366"/>
  <c r="V919" i="366"/>
  <c r="V439" i="366"/>
  <c r="V392" i="366"/>
  <c r="V1007" i="366"/>
  <c r="V310" i="366"/>
  <c r="V675" i="366"/>
  <c r="V140" i="366"/>
  <c r="V53" i="366"/>
  <c r="V181" i="366"/>
  <c r="V94" i="366"/>
  <c r="V217" i="366"/>
  <c r="V287" i="366"/>
  <c r="V295" i="366"/>
  <c r="V999" i="366"/>
  <c r="V696" i="366"/>
  <c r="V828" i="366"/>
  <c r="V286" i="366"/>
  <c r="V230" i="366"/>
  <c r="V390" i="366"/>
  <c r="V23" i="366"/>
  <c r="V647" i="366"/>
  <c r="V492" i="366"/>
  <c r="V143" i="366"/>
  <c r="V274" i="366"/>
  <c r="V341" i="366"/>
  <c r="V323" i="366"/>
  <c r="V562" i="366"/>
  <c r="V19" i="366"/>
  <c r="V896" i="366"/>
  <c r="V815" i="366"/>
  <c r="V461" i="366"/>
  <c r="V556" i="366"/>
  <c r="V198" i="366"/>
  <c r="V857" i="366"/>
  <c r="V736" i="366"/>
  <c r="V516" i="366"/>
  <c r="V1018" i="366"/>
  <c r="V672" i="366"/>
  <c r="V319" i="366"/>
  <c r="V479" i="366"/>
  <c r="V88" i="366"/>
  <c r="V401" i="366"/>
  <c r="V883" i="366"/>
  <c r="V811" i="366"/>
  <c r="V972" i="366"/>
  <c r="V823" i="366"/>
  <c r="V270" i="366"/>
  <c r="V888" i="366"/>
  <c r="V729" i="366"/>
  <c r="V445" i="366"/>
  <c r="V433" i="366"/>
  <c r="V616" i="366"/>
  <c r="V189" i="366"/>
  <c r="AW86" i="393"/>
  <c r="AU91" i="389" s="1"/>
  <c r="AW91" i="389" s="1"/>
  <c r="AW92" i="389" s="1"/>
  <c r="AW93" i="389" s="1"/>
  <c r="AW94" i="389" s="1"/>
  <c r="AW95" i="389" s="1"/>
  <c r="H80" i="393"/>
  <c r="H84" i="393"/>
  <c r="H89" i="393" s="1"/>
  <c r="H81" i="393"/>
  <c r="H88" i="393" s="1"/>
  <c r="H76" i="393"/>
  <c r="H83" i="393"/>
  <c r="AU93" i="352" s="1"/>
  <c r="AM43" i="168"/>
  <c r="W47" i="388"/>
  <c r="W48" i="388" s="1"/>
  <c r="U90" i="389"/>
  <c r="U92" i="389" s="1"/>
  <c r="U93" i="389" s="1"/>
  <c r="U95" i="389" s="1"/>
  <c r="S92" i="389"/>
  <c r="S93" i="389" s="1"/>
  <c r="S95" i="389" s="1"/>
  <c r="S96" i="389" s="1"/>
  <c r="E91" i="411"/>
  <c r="AW40" i="168"/>
  <c r="AU41" i="168"/>
  <c r="AU42" i="168" s="1"/>
  <c r="E15" i="411"/>
  <c r="AQ41" i="168"/>
  <c r="AQ42" i="168" s="1"/>
  <c r="AS39" i="168"/>
  <c r="AS41" i="168" s="1"/>
  <c r="AS42" i="168" s="1"/>
  <c r="AS44" i="168" s="1"/>
  <c r="AS91" i="393"/>
  <c r="AT91" i="393"/>
  <c r="W47" i="389"/>
  <c r="W48" i="389" s="1"/>
  <c r="O79" i="168"/>
  <c r="O83" i="168" s="1"/>
  <c r="C124" i="291"/>
  <c r="D21" i="324"/>
  <c r="M55" i="2"/>
  <c r="AO72" i="168"/>
  <c r="E134" i="383" s="1"/>
  <c r="BC72" i="168"/>
  <c r="C134" i="425" s="1"/>
  <c r="BE71" i="168"/>
  <c r="BC72" i="388"/>
  <c r="BC73" i="388" s="1"/>
  <c r="BE71" i="388"/>
  <c r="BE72" i="388" s="1"/>
  <c r="BE73" i="388" s="1"/>
  <c r="BE74" i="388" s="1"/>
  <c r="BE75" i="388" s="1"/>
  <c r="AI72" i="388"/>
  <c r="AI73" i="388" s="1"/>
  <c r="AK70" i="388"/>
  <c r="AK72" i="388" s="1"/>
  <c r="AK73" i="388" s="1"/>
  <c r="AK75" i="388" s="1"/>
  <c r="E120" i="327"/>
  <c r="AG75" i="168"/>
  <c r="E121" i="327" s="1"/>
  <c r="I127" i="352"/>
  <c r="I107" i="352"/>
  <c r="AG127" i="389"/>
  <c r="AG54" i="389"/>
  <c r="AG55" i="389" s="1"/>
  <c r="F88" i="393"/>
  <c r="M52" i="315" s="1"/>
  <c r="D17" i="363" s="1"/>
  <c r="H94" i="315"/>
  <c r="D86" i="316" s="1"/>
  <c r="H86" i="248" s="1"/>
  <c r="H89" i="315"/>
  <c r="AU72" i="389"/>
  <c r="AU73" i="389" s="1"/>
  <c r="AW71" i="389"/>
  <c r="AW72" i="389" s="1"/>
  <c r="AW73" i="389" s="1"/>
  <c r="AW74" i="389" s="1"/>
  <c r="AW75" i="389" s="1"/>
  <c r="E91" i="425"/>
  <c r="BE40" i="168"/>
  <c r="BE41" i="168" s="1"/>
  <c r="BE42" i="168" s="1"/>
  <c r="BE43" i="168" s="1"/>
  <c r="BE44" i="168" s="1"/>
  <c r="BC41" i="168"/>
  <c r="BC42" i="168" s="1"/>
  <c r="AO41" i="389"/>
  <c r="AO42" i="389" s="1"/>
  <c r="AO43" i="389" s="1"/>
  <c r="I141" i="389"/>
  <c r="I105" i="389"/>
  <c r="I106" i="389" s="1"/>
  <c r="BB90" i="393"/>
  <c r="BC90" i="393"/>
  <c r="I77" i="393"/>
  <c r="I78" i="393" s="1"/>
  <c r="I74" i="393"/>
  <c r="I75" i="393" s="1"/>
  <c r="E11" i="423"/>
  <c r="Y92" i="389"/>
  <c r="Y93" i="389" s="1"/>
  <c r="Y94" i="389" s="1"/>
  <c r="Y127" i="388"/>
  <c r="Y54" i="388"/>
  <c r="Y55" i="388" s="1"/>
  <c r="W96" i="352"/>
  <c r="S4" i="366"/>
  <c r="AM43" i="388"/>
  <c r="BA39" i="168"/>
  <c r="BA41" i="168" s="1"/>
  <c r="BA42" i="168" s="1"/>
  <c r="BA44" i="168" s="1"/>
  <c r="E15" i="425"/>
  <c r="AY41" i="168"/>
  <c r="AY42" i="168" s="1"/>
  <c r="N30" i="2"/>
  <c r="N47" i="2"/>
  <c r="N55" i="2" s="1"/>
  <c r="M92" i="280"/>
  <c r="O55" i="352"/>
  <c r="C43" i="383"/>
  <c r="C57" i="383"/>
  <c r="BB88" i="393"/>
  <c r="BC104" i="393" s="1"/>
  <c r="BC103" i="393"/>
  <c r="I53" i="410"/>
  <c r="I54" i="410" s="1"/>
  <c r="I75" i="410" s="1"/>
  <c r="I53" i="422"/>
  <c r="I54" i="422" s="1"/>
  <c r="I75" i="422" s="1"/>
  <c r="AU72" i="168"/>
  <c r="C134" i="411" s="1"/>
  <c r="AW71" i="168"/>
  <c r="BC41" i="388"/>
  <c r="BC42" i="388" s="1"/>
  <c r="BE40" i="388"/>
  <c r="BE41" i="388" s="1"/>
  <c r="BE42" i="388" s="1"/>
  <c r="BE43" i="388" s="1"/>
  <c r="BE44" i="388" s="1"/>
  <c r="F96" i="398"/>
  <c r="F82" i="398"/>
  <c r="F90" i="398"/>
  <c r="F95" i="398" s="1"/>
  <c r="AM43" i="389"/>
  <c r="AM43" i="352"/>
  <c r="AX91" i="393"/>
  <c r="AY91" i="393"/>
  <c r="AW40" i="388"/>
  <c r="AU41" i="388"/>
  <c r="AU42" i="388" s="1"/>
  <c r="AQ41" i="389"/>
  <c r="AQ42" i="389" s="1"/>
  <c r="AS39" i="389"/>
  <c r="AS41" i="389" s="1"/>
  <c r="AS42" i="389" s="1"/>
  <c r="AS44" i="389" s="1"/>
  <c r="AO41" i="388"/>
  <c r="AO42" i="388" s="1"/>
  <c r="AO43" i="388" s="1"/>
  <c r="BA39" i="388"/>
  <c r="BA41" i="388" s="1"/>
  <c r="BA42" i="388" s="1"/>
  <c r="BA44" i="388" s="1"/>
  <c r="AY41" i="388"/>
  <c r="AY42" i="388" s="1"/>
  <c r="AG54" i="352"/>
  <c r="AG55" i="352" s="1"/>
  <c r="AG111" i="352"/>
  <c r="P26" i="2"/>
  <c r="O30" i="2"/>
  <c r="O47" i="2" s="1"/>
  <c r="D16" i="379"/>
  <c r="H54" i="369"/>
  <c r="AM142" i="388"/>
  <c r="AM95" i="388"/>
  <c r="AM96" i="388" s="1"/>
  <c r="AO96" i="388" s="1"/>
  <c r="AO98" i="388" s="1"/>
  <c r="AO99" i="388" s="1"/>
  <c r="AK72" i="168"/>
  <c r="AK73" i="168" s="1"/>
  <c r="AK75" i="168" s="1"/>
  <c r="E45" i="383" s="1"/>
  <c r="E58" i="383"/>
  <c r="D28" i="275" l="1"/>
  <c r="E14" i="276" s="1"/>
  <c r="E26" i="276" s="1"/>
  <c r="D62" i="358" s="1"/>
  <c r="Q78" i="168"/>
  <c r="Q79" i="168" s="1"/>
  <c r="E125" i="291" s="1"/>
  <c r="AQ92" i="168"/>
  <c r="AQ93" i="168" s="1"/>
  <c r="AW87" i="393"/>
  <c r="Q106" i="389"/>
  <c r="C121" i="303"/>
  <c r="E120" i="303"/>
  <c r="F93" i="348"/>
  <c r="Y127" i="389"/>
  <c r="Y54" i="168"/>
  <c r="Y55" i="168" s="1"/>
  <c r="D22" i="416"/>
  <c r="BC41" i="352"/>
  <c r="BC42" i="352" s="1"/>
  <c r="BC43" i="352" s="1"/>
  <c r="AE105" i="388"/>
  <c r="DN54" i="168"/>
  <c r="G93" i="398" s="1"/>
  <c r="AA105" i="168"/>
  <c r="E57" i="388"/>
  <c r="D22" i="431"/>
  <c r="W105" i="388"/>
  <c r="O141" i="389"/>
  <c r="O102" i="389" s="1"/>
  <c r="O105" i="389" s="1"/>
  <c r="M106" i="389" s="1"/>
  <c r="D21" i="360" s="1"/>
  <c r="D23" i="360" s="1"/>
  <c r="E53" i="350"/>
  <c r="E61" i="350" s="1"/>
  <c r="D14" i="356" s="1"/>
  <c r="O134" i="389"/>
  <c r="DN55" i="168"/>
  <c r="C124" i="389"/>
  <c r="AE127" i="388"/>
  <c r="AE51" i="388" s="1"/>
  <c r="AE54" i="388" s="1"/>
  <c r="AE55" i="388" s="1"/>
  <c r="BA39" i="352"/>
  <c r="BA41" i="352" s="1"/>
  <c r="BA42" i="352" s="1"/>
  <c r="BA44" i="352" s="1"/>
  <c r="BC41" i="389"/>
  <c r="BC42" i="389" s="1"/>
  <c r="BC43" i="389" s="1"/>
  <c r="S105" i="388"/>
  <c r="AA105" i="388"/>
  <c r="AC106" i="388" s="1"/>
  <c r="C21" i="363" s="1"/>
  <c r="C23" i="363" s="1"/>
  <c r="C25" i="363" s="1"/>
  <c r="C107" i="352"/>
  <c r="G54" i="352"/>
  <c r="DZ54" i="168"/>
  <c r="Z24" i="184" s="1"/>
  <c r="Z25" i="184" s="1"/>
  <c r="Z27" i="184" s="1"/>
  <c r="O54" i="168"/>
  <c r="F57" i="348"/>
  <c r="X30" i="184"/>
  <c r="X31" i="184" s="1"/>
  <c r="G124" i="389"/>
  <c r="D58" i="357" s="1"/>
  <c r="G54" i="168"/>
  <c r="AU92" i="389"/>
  <c r="AU93" i="389" s="1"/>
  <c r="AU103" i="389" s="1"/>
  <c r="F89" i="410"/>
  <c r="K127" i="352"/>
  <c r="K104" i="352" s="1"/>
  <c r="K105" i="352"/>
  <c r="C62" i="327"/>
  <c r="C59" i="327"/>
  <c r="W111" i="168"/>
  <c r="W51" i="168" s="1"/>
  <c r="W52" i="168"/>
  <c r="AE111" i="168"/>
  <c r="AE51" i="168" s="1"/>
  <c r="AE52" i="168"/>
  <c r="P58" i="184"/>
  <c r="AQ92" i="352" s="1"/>
  <c r="AQ94" i="352" s="1"/>
  <c r="AQ95" i="352" s="1"/>
  <c r="AQ90" i="389"/>
  <c r="EF54" i="168"/>
  <c r="EF55" i="168" s="1"/>
  <c r="EF111" i="168"/>
  <c r="G86" i="168"/>
  <c r="D21" i="350"/>
  <c r="F89" i="422"/>
  <c r="H54" i="422"/>
  <c r="H75" i="422" s="1"/>
  <c r="W127" i="389"/>
  <c r="W51" i="389" s="1"/>
  <c r="W52" i="389"/>
  <c r="AY41" i="389"/>
  <c r="AY42" i="389" s="1"/>
  <c r="G141" i="389"/>
  <c r="G102" i="389" s="1"/>
  <c r="G103" i="389"/>
  <c r="O127" i="352"/>
  <c r="O104" i="352" s="1"/>
  <c r="O105" i="352"/>
  <c r="C59" i="303"/>
  <c r="C62" i="303"/>
  <c r="G86" i="352"/>
  <c r="K93" i="268"/>
  <c r="D21" i="357"/>
  <c r="AE55" i="168"/>
  <c r="C138" i="291"/>
  <c r="C135" i="291"/>
  <c r="W127" i="388"/>
  <c r="W51" i="388" s="1"/>
  <c r="W52" i="388"/>
  <c r="AE134" i="388"/>
  <c r="AE82" i="388" s="1"/>
  <c r="AE83" i="388"/>
  <c r="G54" i="389"/>
  <c r="G55" i="389" s="1"/>
  <c r="S105" i="168"/>
  <c r="AE127" i="389"/>
  <c r="AE51" i="389" s="1"/>
  <c r="AE52" i="389"/>
  <c r="G127" i="352"/>
  <c r="G104" i="352" s="1"/>
  <c r="G105" i="352"/>
  <c r="H93" i="268"/>
  <c r="AE111" i="352"/>
  <c r="AE51" i="352" s="1"/>
  <c r="AE52" i="352"/>
  <c r="W134" i="388"/>
  <c r="W82" i="388" s="1"/>
  <c r="W83" i="388"/>
  <c r="BA70" i="389"/>
  <c r="BA72" i="389" s="1"/>
  <c r="BA73" i="389" s="1"/>
  <c r="AY72" i="389"/>
  <c r="AY73" i="389" s="1"/>
  <c r="AO73" i="168"/>
  <c r="AO74" i="168" s="1"/>
  <c r="BC73" i="168"/>
  <c r="BC74" i="168" s="1"/>
  <c r="K57" i="280"/>
  <c r="H54" i="410"/>
  <c r="H75" i="410" s="1"/>
  <c r="BC95" i="388"/>
  <c r="BC96" i="388" s="1"/>
  <c r="BE96" i="388" s="1"/>
  <c r="BE98" i="388" s="1"/>
  <c r="BE99" i="388" s="1"/>
  <c r="BC142" i="388"/>
  <c r="F97" i="398"/>
  <c r="H5" i="173" s="1"/>
  <c r="AY44" i="388"/>
  <c r="AY45" i="388" s="1"/>
  <c r="AQ95" i="168"/>
  <c r="AQ96" i="168" s="1"/>
  <c r="AU73" i="168"/>
  <c r="C119" i="411" s="1"/>
  <c r="AC85" i="388"/>
  <c r="AC86" i="388" s="1"/>
  <c r="AC134" i="388"/>
  <c r="AA134" i="388"/>
  <c r="AA82" i="388" s="1"/>
  <c r="AA85" i="388" s="1"/>
  <c r="AC127" i="389"/>
  <c r="AC54" i="389"/>
  <c r="AC55" i="389" s="1"/>
  <c r="AK96" i="168"/>
  <c r="AK98" i="168" s="1"/>
  <c r="AK99" i="168" s="1"/>
  <c r="AI98" i="168"/>
  <c r="AI99" i="168" s="1"/>
  <c r="E65" i="291"/>
  <c r="M86" i="168"/>
  <c r="E66" i="291" s="1"/>
  <c r="C49" i="327"/>
  <c r="AA118" i="168"/>
  <c r="C64" i="327"/>
  <c r="AS45" i="352"/>
  <c r="AS47" i="352" s="1"/>
  <c r="AQ47" i="352"/>
  <c r="AY44" i="168"/>
  <c r="AY45" i="168" s="1"/>
  <c r="AI75" i="388"/>
  <c r="AI76" i="388" s="1"/>
  <c r="AY44" i="389"/>
  <c r="AY45" i="389" s="1"/>
  <c r="AQ95" i="388"/>
  <c r="AQ96" i="388" s="1"/>
  <c r="C45" i="411"/>
  <c r="AQ76" i="168"/>
  <c r="AY76" i="168"/>
  <c r="C45" i="425"/>
  <c r="S127" i="389"/>
  <c r="S51" i="389" s="1"/>
  <c r="S54" i="389" s="1"/>
  <c r="AK76" i="168"/>
  <c r="C46" i="383"/>
  <c r="AI78" i="168"/>
  <c r="AS76" i="389"/>
  <c r="AS78" i="389" s="1"/>
  <c r="AQ78" i="389"/>
  <c r="U111" i="352"/>
  <c r="U54" i="352"/>
  <c r="U55" i="352" s="1"/>
  <c r="U85" i="388"/>
  <c r="U86" i="388" s="1"/>
  <c r="U134" i="388"/>
  <c r="U111" i="168"/>
  <c r="U54" i="168"/>
  <c r="U55" i="168" s="1"/>
  <c r="U54" i="388"/>
  <c r="U55" i="388" s="1"/>
  <c r="U127" i="388"/>
  <c r="AK45" i="389"/>
  <c r="AK47" i="389" s="1"/>
  <c r="AI47" i="389"/>
  <c r="S111" i="352"/>
  <c r="S51" i="352" s="1"/>
  <c r="S54" i="352" s="1"/>
  <c r="S55" i="352" s="1"/>
  <c r="S134" i="388"/>
  <c r="S82" i="388" s="1"/>
  <c r="S85" i="388" s="1"/>
  <c r="M127" i="352"/>
  <c r="M107" i="352"/>
  <c r="AK45" i="388"/>
  <c r="AK47" i="388" s="1"/>
  <c r="AI47" i="388"/>
  <c r="G40" i="184"/>
  <c r="C25" i="313"/>
  <c r="H90" i="280"/>
  <c r="D81" i="281" s="1"/>
  <c r="F81" i="248" s="1"/>
  <c r="D91" i="281"/>
  <c r="F91" i="248" s="1"/>
  <c r="D12" i="359"/>
  <c r="AQ44" i="389"/>
  <c r="AQ45" i="389" s="1"/>
  <c r="AY44" i="352"/>
  <c r="AY45" i="352" s="1"/>
  <c r="C54" i="291"/>
  <c r="K85" i="168"/>
  <c r="AA111" i="352"/>
  <c r="AA51" i="352" s="1"/>
  <c r="AA54" i="352" s="1"/>
  <c r="AA55" i="352" s="1"/>
  <c r="AA111" i="168"/>
  <c r="AA51" i="168" s="1"/>
  <c r="AA54" i="168" s="1"/>
  <c r="AA55" i="168" s="1"/>
  <c r="S118" i="168"/>
  <c r="C49" i="303"/>
  <c r="C64" i="303"/>
  <c r="AK96" i="388"/>
  <c r="AK98" i="388" s="1"/>
  <c r="AK99" i="388" s="1"/>
  <c r="AI98" i="388"/>
  <c r="AI99" i="388" s="1"/>
  <c r="U54" i="389"/>
  <c r="U55" i="389" s="1"/>
  <c r="U127" i="389"/>
  <c r="S111" i="168"/>
  <c r="S51" i="168" s="1"/>
  <c r="S54" i="168" s="1"/>
  <c r="S55" i="168" s="1"/>
  <c r="AQ44" i="168"/>
  <c r="AQ45" i="168" s="1"/>
  <c r="U96" i="389"/>
  <c r="U98" i="389" s="1"/>
  <c r="U99" i="389" s="1"/>
  <c r="S98" i="389"/>
  <c r="S99" i="389" s="1"/>
  <c r="S103" i="389" s="1"/>
  <c r="AQ44" i="388"/>
  <c r="AQ45" i="388" s="1"/>
  <c r="S97" i="352"/>
  <c r="S98" i="352" s="1"/>
  <c r="AC111" i="168"/>
  <c r="AC54" i="168"/>
  <c r="AC55" i="168" s="1"/>
  <c r="U79" i="168"/>
  <c r="E48" i="303"/>
  <c r="AK45" i="168"/>
  <c r="AK47" i="168" s="1"/>
  <c r="AI47" i="168"/>
  <c r="AC54" i="388"/>
  <c r="AC55" i="388" s="1"/>
  <c r="AC127" i="388"/>
  <c r="E48" i="327"/>
  <c r="AC79" i="168"/>
  <c r="AS76" i="388"/>
  <c r="AS78" i="388" s="1"/>
  <c r="AQ78" i="388"/>
  <c r="AA127" i="388"/>
  <c r="AA51" i="388" s="1"/>
  <c r="AA54" i="388" s="1"/>
  <c r="AA127" i="389"/>
  <c r="AA51" i="389" s="1"/>
  <c r="AA54" i="389" s="1"/>
  <c r="AC111" i="352"/>
  <c r="AC54" i="352"/>
  <c r="AC55" i="352" s="1"/>
  <c r="S127" i="388"/>
  <c r="S51" i="388" s="1"/>
  <c r="S54" i="388" s="1"/>
  <c r="AK45" i="352"/>
  <c r="AK47" i="352" s="1"/>
  <c r="AI47" i="352"/>
  <c r="M90" i="280"/>
  <c r="M93" i="280" s="1"/>
  <c r="M95" i="280" s="1"/>
  <c r="H40" i="184"/>
  <c r="H42" i="184" s="1"/>
  <c r="F90" i="280"/>
  <c r="F93" i="280" s="1"/>
  <c r="F95" i="280" s="1"/>
  <c r="C12" i="359"/>
  <c r="G25" i="184"/>
  <c r="C12" i="357"/>
  <c r="F25" i="184"/>
  <c r="F27" i="184" s="1"/>
  <c r="J91" i="268"/>
  <c r="C12" i="350"/>
  <c r="E25" i="184"/>
  <c r="E27" i="184" s="1"/>
  <c r="F91" i="268"/>
  <c r="F40" i="184"/>
  <c r="F42" i="184" s="1"/>
  <c r="K91" i="268"/>
  <c r="D12" i="357"/>
  <c r="E40" i="184"/>
  <c r="E42" i="184" s="1"/>
  <c r="D12" i="350"/>
  <c r="H91" i="268"/>
  <c r="E17" i="363"/>
  <c r="D24" i="363"/>
  <c r="E24" i="363" s="1"/>
  <c r="BC74" i="389"/>
  <c r="AO44" i="389"/>
  <c r="AU43" i="389"/>
  <c r="Y95" i="389"/>
  <c r="AO44" i="388"/>
  <c r="AE55" i="352"/>
  <c r="AE94" i="389"/>
  <c r="E57" i="383"/>
  <c r="E43" i="383"/>
  <c r="P30" i="2"/>
  <c r="P47" i="2" s="1"/>
  <c r="P55" i="2" s="1"/>
  <c r="AM44" i="352"/>
  <c r="AM45" i="352" s="1"/>
  <c r="AO45" i="352" s="1"/>
  <c r="AO47" i="352" s="1"/>
  <c r="AO48" i="352" s="1"/>
  <c r="AM112" i="352"/>
  <c r="AM98" i="388"/>
  <c r="AM99" i="388" s="1"/>
  <c r="AM103" i="388" s="1"/>
  <c r="AU43" i="388"/>
  <c r="AW72" i="168"/>
  <c r="E134" i="411" s="1"/>
  <c r="BB87" i="393"/>
  <c r="BB100" i="393"/>
  <c r="BC101" i="393" s="1"/>
  <c r="BC102" i="393" s="1"/>
  <c r="BB86" i="393"/>
  <c r="BC91" i="389" s="1"/>
  <c r="BC43" i="168"/>
  <c r="AU74" i="389"/>
  <c r="M61" i="2"/>
  <c r="T86" i="60" s="1"/>
  <c r="M59" i="2"/>
  <c r="D25" i="324" s="1"/>
  <c r="D24" i="324"/>
  <c r="AM44" i="168"/>
  <c r="AM45" i="168" s="1"/>
  <c r="AO45" i="168" s="1"/>
  <c r="AO47" i="168" s="1"/>
  <c r="AO48" i="168" s="1"/>
  <c r="AM112" i="168"/>
  <c r="AU94" i="352"/>
  <c r="AU95" i="352"/>
  <c r="AW93" i="352"/>
  <c r="AW94" i="352" s="1"/>
  <c r="AW95" i="352" s="1"/>
  <c r="AW96" i="352" s="1"/>
  <c r="AW97" i="352" s="1"/>
  <c r="W189" i="366"/>
  <c r="Y189" i="366"/>
  <c r="Y729" i="366"/>
  <c r="W729" i="366"/>
  <c r="W972" i="366"/>
  <c r="Y972" i="366"/>
  <c r="Y88" i="366"/>
  <c r="W88" i="366"/>
  <c r="W1018" i="366"/>
  <c r="Y1018" i="366"/>
  <c r="Y198" i="366"/>
  <c r="W198" i="366"/>
  <c r="Y896" i="366"/>
  <c r="W896" i="366"/>
  <c r="W341" i="366"/>
  <c r="Y341" i="366"/>
  <c r="W647" i="366"/>
  <c r="Y647" i="366"/>
  <c r="Y286" i="366"/>
  <c r="W286" i="366"/>
  <c r="W295" i="366"/>
  <c r="Y295" i="366"/>
  <c r="Y181" i="366"/>
  <c r="W181" i="366"/>
  <c r="Y310" i="366"/>
  <c r="W310" i="366"/>
  <c r="Y919" i="366"/>
  <c r="W919" i="366"/>
  <c r="W933" i="366"/>
  <c r="Y933" i="366"/>
  <c r="W974" i="366"/>
  <c r="Y974" i="366"/>
  <c r="W544" i="366"/>
  <c r="Y544" i="366"/>
  <c r="W971" i="366"/>
  <c r="Y971" i="366"/>
  <c r="W379" i="366"/>
  <c r="Y379" i="366"/>
  <c r="Y965" i="366"/>
  <c r="W965" i="366"/>
  <c r="Y501" i="366"/>
  <c r="W501" i="366"/>
  <c r="W918" i="366"/>
  <c r="Y918" i="366"/>
  <c r="Y137" i="366"/>
  <c r="W137" i="366"/>
  <c r="W402" i="366"/>
  <c r="Y402" i="366"/>
  <c r="Y406" i="366"/>
  <c r="W406" i="366"/>
  <c r="W713" i="366"/>
  <c r="Y713" i="366"/>
  <c r="W791" i="366"/>
  <c r="Y791" i="366"/>
  <c r="Y40" i="366"/>
  <c r="W40" i="366"/>
  <c r="Y90" i="366"/>
  <c r="W90" i="366"/>
  <c r="Y529" i="366"/>
  <c r="W529" i="366"/>
  <c r="W498" i="366"/>
  <c r="Y498" i="366"/>
  <c r="W936" i="366"/>
  <c r="Y936" i="366"/>
  <c r="Y296" i="366"/>
  <c r="W296" i="366"/>
  <c r="W667" i="366"/>
  <c r="Y667" i="366"/>
  <c r="Y944" i="366"/>
  <c r="W944" i="366"/>
  <c r="Y962" i="366"/>
  <c r="W962" i="366"/>
  <c r="Y856" i="366"/>
  <c r="W856" i="366"/>
  <c r="W924" i="366"/>
  <c r="Y924" i="366"/>
  <c r="W399" i="366"/>
  <c r="Y399" i="366"/>
  <c r="Y93" i="366"/>
  <c r="W93" i="366"/>
  <c r="W567" i="366"/>
  <c r="Y567" i="366"/>
  <c r="W1012" i="366"/>
  <c r="Y1012" i="366"/>
  <c r="Y703" i="366"/>
  <c r="W703" i="366"/>
  <c r="Y574" i="366"/>
  <c r="W574" i="366"/>
  <c r="W568" i="366"/>
  <c r="Y568" i="366"/>
  <c r="W950" i="366"/>
  <c r="Y950" i="366"/>
  <c r="W968" i="366"/>
  <c r="Y968" i="366"/>
  <c r="Y68" i="366"/>
  <c r="W68" i="366"/>
  <c r="W930" i="366"/>
  <c r="Y930" i="366"/>
  <c r="Y46" i="366"/>
  <c r="W46" i="366"/>
  <c r="W886" i="366"/>
  <c r="Y886" i="366"/>
  <c r="W719" i="366"/>
  <c r="Y719" i="366"/>
  <c r="Y327" i="366"/>
  <c r="W327" i="366"/>
  <c r="W438" i="366"/>
  <c r="Y438" i="366"/>
  <c r="Y38" i="366"/>
  <c r="W38" i="366"/>
  <c r="Y781" i="366"/>
  <c r="W781" i="366"/>
  <c r="Y317" i="366"/>
  <c r="W317" i="366"/>
  <c r="W651" i="366"/>
  <c r="Y651" i="366"/>
  <c r="W92" i="366"/>
  <c r="Y92" i="366"/>
  <c r="Y162" i="366"/>
  <c r="W162" i="366"/>
  <c r="W533" i="366"/>
  <c r="Y533" i="366"/>
  <c r="W170" i="366"/>
  <c r="Y170" i="366"/>
  <c r="W655" i="366"/>
  <c r="Y655" i="366"/>
  <c r="Y500" i="366"/>
  <c r="W500" i="366"/>
  <c r="W411" i="366"/>
  <c r="Y411" i="366"/>
  <c r="Y400" i="366"/>
  <c r="W400" i="366"/>
  <c r="W410" i="366"/>
  <c r="Y410" i="366"/>
  <c r="W495" i="366"/>
  <c r="Y495" i="366"/>
  <c r="W879" i="366"/>
  <c r="Y879" i="366"/>
  <c r="W163" i="366"/>
  <c r="Y163" i="366"/>
  <c r="Y689" i="366"/>
  <c r="W689" i="366"/>
  <c r="Y1013" i="366"/>
  <c r="W1013" i="366"/>
  <c r="W717" i="366"/>
  <c r="Y717" i="366"/>
  <c r="W480" i="366"/>
  <c r="Y480" i="366"/>
  <c r="W204" i="366"/>
  <c r="Y204" i="366"/>
  <c r="Y903" i="366"/>
  <c r="W903" i="366"/>
  <c r="Y472" i="366"/>
  <c r="W472" i="366"/>
  <c r="Y394" i="366"/>
  <c r="W394" i="366"/>
  <c r="W155" i="366"/>
  <c r="Y155" i="366"/>
  <c r="W70" i="366"/>
  <c r="Y70" i="366"/>
  <c r="W576" i="366"/>
  <c r="Y576" i="366"/>
  <c r="W63" i="366"/>
  <c r="Y63" i="366"/>
  <c r="Y339" i="366"/>
  <c r="W339" i="366"/>
  <c r="W787" i="366"/>
  <c r="Y787" i="366"/>
  <c r="Y796" i="366"/>
  <c r="W796" i="366"/>
  <c r="W584" i="366"/>
  <c r="Y584" i="366"/>
  <c r="W608" i="366"/>
  <c r="Y608" i="366"/>
  <c r="Y646" i="366"/>
  <c r="W646" i="366"/>
  <c r="W822" i="366"/>
  <c r="Y822" i="366"/>
  <c r="W958" i="366"/>
  <c r="Y958" i="366"/>
  <c r="Y980" i="366"/>
  <c r="W980" i="366"/>
  <c r="Y338" i="366"/>
  <c r="W338" i="366"/>
  <c r="Y281" i="366"/>
  <c r="W281" i="366"/>
  <c r="Y330" i="366"/>
  <c r="W330" i="366"/>
  <c r="Y636" i="366"/>
  <c r="W636" i="366"/>
  <c r="W444" i="366"/>
  <c r="Y444" i="366"/>
  <c r="Y595" i="366"/>
  <c r="W595" i="366"/>
  <c r="W282" i="366"/>
  <c r="Y282" i="366"/>
  <c r="Y813" i="366"/>
  <c r="W813" i="366"/>
  <c r="W157" i="366"/>
  <c r="Y157" i="366"/>
  <c r="Y793" i="366"/>
  <c r="W793" i="366"/>
  <c r="W97" i="366"/>
  <c r="Y97" i="366"/>
  <c r="W698" i="366"/>
  <c r="Y698" i="366"/>
  <c r="Y130" i="366"/>
  <c r="W130" i="366"/>
  <c r="Y451" i="366"/>
  <c r="W451" i="366"/>
  <c r="W805" i="366"/>
  <c r="Y805" i="366"/>
  <c r="W988" i="366"/>
  <c r="Y988" i="366"/>
  <c r="Y553" i="366"/>
  <c r="W553" i="366"/>
  <c r="Y916" i="366"/>
  <c r="W916" i="366"/>
  <c r="W429" i="366"/>
  <c r="Y429" i="366"/>
  <c r="Y454" i="366"/>
  <c r="W454" i="366"/>
  <c r="W898" i="366"/>
  <c r="Y898" i="366"/>
  <c r="W119" i="366"/>
  <c r="Y119" i="366"/>
  <c r="W263" i="366"/>
  <c r="Y263" i="366"/>
  <c r="W342" i="366"/>
  <c r="Y342" i="366"/>
  <c r="Y1002" i="366"/>
  <c r="W1002" i="366"/>
  <c r="Y816" i="366"/>
  <c r="W816" i="366"/>
  <c r="W801" i="366"/>
  <c r="Y801" i="366"/>
  <c r="W237" i="366"/>
  <c r="Y237" i="366"/>
  <c r="Y5" i="366"/>
  <c r="W5" i="366"/>
  <c r="Y664" i="366"/>
  <c r="W664" i="366"/>
  <c r="W441" i="366"/>
  <c r="Y441" i="366"/>
  <c r="W18" i="366"/>
  <c r="Y18" i="366"/>
  <c r="W594" i="366"/>
  <c r="Y594" i="366"/>
  <c r="W709" i="366"/>
  <c r="Y709" i="366"/>
  <c r="W393" i="366"/>
  <c r="Y393" i="366"/>
  <c r="Y95" i="366"/>
  <c r="W95" i="366"/>
  <c r="Y658" i="366"/>
  <c r="W658" i="366"/>
  <c r="Y166" i="366"/>
  <c r="W166" i="366"/>
  <c r="W847" i="366"/>
  <c r="Y847" i="366"/>
  <c r="W803" i="366"/>
  <c r="Y803" i="366"/>
  <c r="Y153" i="366"/>
  <c r="W153" i="366"/>
  <c r="W195" i="366"/>
  <c r="Y195" i="366"/>
  <c r="Y397" i="366"/>
  <c r="W397" i="366"/>
  <c r="W468" i="366"/>
  <c r="Y468" i="366"/>
  <c r="W215" i="366"/>
  <c r="Y215" i="366"/>
  <c r="Y39" i="366"/>
  <c r="W39" i="366"/>
  <c r="Y384" i="366"/>
  <c r="W384" i="366"/>
  <c r="W417" i="366"/>
  <c r="Y417" i="366"/>
  <c r="Y512" i="366"/>
  <c r="W512" i="366"/>
  <c r="Y961" i="366"/>
  <c r="W961" i="366"/>
  <c r="Y359" i="366"/>
  <c r="W359" i="366"/>
  <c r="W744" i="366"/>
  <c r="Y744" i="366"/>
  <c r="Y837" i="366"/>
  <c r="W837" i="366"/>
  <c r="Y800" i="366"/>
  <c r="W800" i="366"/>
  <c r="W724" i="366"/>
  <c r="Y724" i="366"/>
  <c r="Y408" i="366"/>
  <c r="W408" i="366"/>
  <c r="Y807" i="366"/>
  <c r="W807" i="366"/>
  <c r="Y754" i="366"/>
  <c r="W754" i="366"/>
  <c r="W590" i="366"/>
  <c r="Y590" i="366"/>
  <c r="W284" i="366"/>
  <c r="Y284" i="366"/>
  <c r="W859" i="366"/>
  <c r="Y859" i="366"/>
  <c r="Y494" i="366"/>
  <c r="W494" i="366"/>
  <c r="Y423" i="366"/>
  <c r="W423" i="366"/>
  <c r="W320" i="366"/>
  <c r="Y320" i="366"/>
  <c r="Y113" i="366"/>
  <c r="W113" i="366"/>
  <c r="W246" i="366"/>
  <c r="Y246" i="366"/>
  <c r="W742" i="366"/>
  <c r="Y742" i="366"/>
  <c r="W889" i="366"/>
  <c r="Y889" i="366"/>
  <c r="W9" i="366"/>
  <c r="Y9" i="366"/>
  <c r="Y249" i="366"/>
  <c r="W249" i="366"/>
  <c r="Y333" i="366"/>
  <c r="W333" i="366"/>
  <c r="W537" i="366"/>
  <c r="Y537" i="366"/>
  <c r="W131" i="366"/>
  <c r="Y131" i="366"/>
  <c r="Y389" i="366"/>
  <c r="W389" i="366"/>
  <c r="Y524" i="366"/>
  <c r="W524" i="366"/>
  <c r="Y273" i="366"/>
  <c r="W273" i="366"/>
  <c r="Y649" i="366"/>
  <c r="W649" i="366"/>
  <c r="Y344" i="366"/>
  <c r="W344" i="366"/>
  <c r="W631" i="366"/>
  <c r="Y631" i="366"/>
  <c r="Y353" i="366"/>
  <c r="W353" i="366"/>
  <c r="W419" i="366"/>
  <c r="Y419" i="366"/>
  <c r="W558" i="366"/>
  <c r="Y558" i="366"/>
  <c r="Y187" i="366"/>
  <c r="W187" i="366"/>
  <c r="Y55" i="366"/>
  <c r="W55" i="366"/>
  <c r="Y343" i="366"/>
  <c r="W343" i="366"/>
  <c r="W757" i="366"/>
  <c r="Y757" i="366"/>
  <c r="Y1011" i="366"/>
  <c r="W1011" i="366"/>
  <c r="W58" i="366"/>
  <c r="Y58" i="366"/>
  <c r="W758" i="366"/>
  <c r="Y758" i="366"/>
  <c r="W546" i="366"/>
  <c r="Y546" i="366"/>
  <c r="Y85" i="366"/>
  <c r="W85" i="366"/>
  <c r="Y180" i="366"/>
  <c r="W180" i="366"/>
  <c r="W154" i="366"/>
  <c r="Y154" i="366"/>
  <c r="Y607" i="366"/>
  <c r="W607" i="366"/>
  <c r="Y159" i="366"/>
  <c r="W159" i="366"/>
  <c r="Y810" i="366"/>
  <c r="W810" i="366"/>
  <c r="W598" i="366"/>
  <c r="Y598" i="366"/>
  <c r="W497" i="366"/>
  <c r="Y497" i="366"/>
  <c r="W207" i="366"/>
  <c r="Y207" i="366"/>
  <c r="W798" i="366"/>
  <c r="Y798" i="366"/>
  <c r="W539" i="366"/>
  <c r="Y539" i="366"/>
  <c r="W35" i="366"/>
  <c r="Y35" i="366"/>
  <c r="Y814" i="366"/>
  <c r="W814" i="366"/>
  <c r="Y196" i="366"/>
  <c r="W196" i="366"/>
  <c r="W925" i="366"/>
  <c r="Y925" i="366"/>
  <c r="Y224" i="366"/>
  <c r="W224" i="366"/>
  <c r="W995" i="366"/>
  <c r="Y995" i="366"/>
  <c r="W701" i="366"/>
  <c r="Y701" i="366"/>
  <c r="W33" i="366"/>
  <c r="Y33" i="366"/>
  <c r="Y947" i="366"/>
  <c r="W947" i="366"/>
  <c r="Y572" i="366"/>
  <c r="W572" i="366"/>
  <c r="W216" i="366"/>
  <c r="Y216" i="366"/>
  <c r="W550" i="366"/>
  <c r="Y550" i="366"/>
  <c r="Y964" i="366"/>
  <c r="W964" i="366"/>
  <c r="W259" i="366"/>
  <c r="Y259" i="366"/>
  <c r="Y413" i="366"/>
  <c r="W413" i="366"/>
  <c r="Y881" i="366"/>
  <c r="W881" i="366"/>
  <c r="W821" i="366"/>
  <c r="Y821" i="366"/>
  <c r="W747" i="366"/>
  <c r="Y747" i="366"/>
  <c r="Y184" i="366"/>
  <c r="W184" i="366"/>
  <c r="Y941" i="366"/>
  <c r="W941" i="366"/>
  <c r="Y334" i="366"/>
  <c r="W334" i="366"/>
  <c r="Y30" i="366"/>
  <c r="W30" i="366"/>
  <c r="W376" i="366"/>
  <c r="Y376" i="366"/>
  <c r="Y751" i="366"/>
  <c r="W751" i="366"/>
  <c r="W12" i="366"/>
  <c r="Y12" i="366"/>
  <c r="W303" i="366"/>
  <c r="Y303" i="366"/>
  <c r="Y720" i="366"/>
  <c r="W720" i="366"/>
  <c r="Y984" i="366"/>
  <c r="W984" i="366"/>
  <c r="W566" i="366"/>
  <c r="Y566" i="366"/>
  <c r="W848" i="366"/>
  <c r="Y848" i="366"/>
  <c r="W860" i="366"/>
  <c r="Y860" i="366"/>
  <c r="W267" i="366"/>
  <c r="Y267" i="366"/>
  <c r="Y99" i="366"/>
  <c r="W99" i="366"/>
  <c r="Y806" i="366"/>
  <c r="W806" i="366"/>
  <c r="Y627" i="366"/>
  <c r="W627" i="366"/>
  <c r="W666" i="366"/>
  <c r="Y666" i="366"/>
  <c r="W887" i="366"/>
  <c r="Y887" i="366"/>
  <c r="Y1019" i="366"/>
  <c r="W1019" i="366"/>
  <c r="Y214" i="366"/>
  <c r="W214" i="366"/>
  <c r="Y200" i="366"/>
  <c r="W200" i="366"/>
  <c r="Y639" i="366"/>
  <c r="W639" i="366"/>
  <c r="W219" i="366"/>
  <c r="Y219" i="366"/>
  <c r="Y139" i="366"/>
  <c r="W139" i="366"/>
  <c r="W117" i="366"/>
  <c r="Y117" i="366"/>
  <c r="W223" i="366"/>
  <c r="Y223" i="366"/>
  <c r="W1000" i="366"/>
  <c r="Y1000" i="366"/>
  <c r="W416" i="366"/>
  <c r="Y416" i="366"/>
  <c r="W156" i="366"/>
  <c r="Y156" i="366"/>
  <c r="W289" i="366"/>
  <c r="Y289" i="366"/>
  <c r="Y833" i="366"/>
  <c r="W833" i="366"/>
  <c r="Y706" i="366"/>
  <c r="W706" i="366"/>
  <c r="Y328" i="366"/>
  <c r="W328" i="366"/>
  <c r="Y424" i="366"/>
  <c r="W424" i="366"/>
  <c r="W786" i="366"/>
  <c r="Y786" i="366"/>
  <c r="W354" i="366"/>
  <c r="Y354" i="366"/>
  <c r="W275" i="366"/>
  <c r="Y275" i="366"/>
  <c r="Y735" i="366"/>
  <c r="W735" i="366"/>
  <c r="Y602" i="366"/>
  <c r="W602" i="366"/>
  <c r="Y57" i="366"/>
  <c r="W57" i="366"/>
  <c r="W418" i="366"/>
  <c r="Y418" i="366"/>
  <c r="W202" i="366"/>
  <c r="Y202" i="366"/>
  <c r="Y448" i="366"/>
  <c r="W448" i="366"/>
  <c r="Y840" i="366"/>
  <c r="W840" i="366"/>
  <c r="G88" i="393"/>
  <c r="M52" i="410" s="1"/>
  <c r="D17" i="409" s="1"/>
  <c r="AM135" i="388"/>
  <c r="AM75" i="388"/>
  <c r="AM76" i="388" s="1"/>
  <c r="AO76" i="388" s="1"/>
  <c r="AO78" i="388" s="1"/>
  <c r="AO79" i="388" s="1"/>
  <c r="D21" i="373"/>
  <c r="O55" i="2"/>
  <c r="BC43" i="388"/>
  <c r="I89" i="410"/>
  <c r="I94" i="410"/>
  <c r="AO141" i="388"/>
  <c r="AO105" i="388"/>
  <c r="AW41" i="388"/>
  <c r="AW42" i="388" s="1"/>
  <c r="AW43" i="388" s="1"/>
  <c r="AM44" i="389"/>
  <c r="AM45" i="389" s="1"/>
  <c r="AO45" i="389" s="1"/>
  <c r="AO47" i="389" s="1"/>
  <c r="AO48" i="389" s="1"/>
  <c r="AM128" i="389"/>
  <c r="AM128" i="388"/>
  <c r="AM44" i="388"/>
  <c r="AM45" i="388" s="1"/>
  <c r="AO45" i="388" s="1"/>
  <c r="AO47" i="388" s="1"/>
  <c r="AO48" i="388" s="1"/>
  <c r="I76" i="393"/>
  <c r="I83" i="393"/>
  <c r="BC93" i="352" s="1"/>
  <c r="I80" i="393"/>
  <c r="I81" i="393"/>
  <c r="I88" i="393" s="1"/>
  <c r="I84" i="393"/>
  <c r="I89" i="393" s="1"/>
  <c r="N58" i="184"/>
  <c r="AI92" i="352" s="1"/>
  <c r="AI90" i="389"/>
  <c r="AW41" i="168"/>
  <c r="AW42" i="168" s="1"/>
  <c r="AW43" i="168" s="1"/>
  <c r="AW44" i="168" s="1"/>
  <c r="Y616" i="366"/>
  <c r="W616" i="366"/>
  <c r="W888" i="366"/>
  <c r="Y888" i="366"/>
  <c r="W811" i="366"/>
  <c r="Y811" i="366"/>
  <c r="Y479" i="366"/>
  <c r="W479" i="366"/>
  <c r="Y516" i="366"/>
  <c r="W516" i="366"/>
  <c r="W556" i="366"/>
  <c r="Y556" i="366"/>
  <c r="Y19" i="366"/>
  <c r="W19" i="366"/>
  <c r="Y274" i="366"/>
  <c r="W274" i="366"/>
  <c r="W23" i="366"/>
  <c r="Y23" i="366"/>
  <c r="W828" i="366"/>
  <c r="Y828" i="366"/>
  <c r="W287" i="366"/>
  <c r="Y287" i="366"/>
  <c r="Y53" i="366"/>
  <c r="W53" i="366"/>
  <c r="Y1007" i="366"/>
  <c r="W1007" i="366"/>
  <c r="Y443" i="366"/>
  <c r="W443" i="366"/>
  <c r="W977" i="366"/>
  <c r="Y977" i="366"/>
  <c r="Y684" i="366"/>
  <c r="W684" i="366"/>
  <c r="W412" i="366"/>
  <c r="Y412" i="366"/>
  <c r="Y581" i="366"/>
  <c r="W581" i="366"/>
  <c r="Y885" i="366"/>
  <c r="W885" i="366"/>
  <c r="W895" i="366"/>
  <c r="Y895" i="366"/>
  <c r="W349" i="366"/>
  <c r="Y349" i="366"/>
  <c r="W502" i="366"/>
  <c r="Y502" i="366"/>
  <c r="Y547" i="366"/>
  <c r="W547" i="366"/>
  <c r="Y1021" i="366"/>
  <c r="W1021" i="366"/>
  <c r="W731" i="366"/>
  <c r="Y731" i="366"/>
  <c r="Y818" i="366"/>
  <c r="W818" i="366"/>
  <c r="W712" i="366"/>
  <c r="Y712" i="366"/>
  <c r="Y868" i="366"/>
  <c r="W868" i="366"/>
  <c r="Y1010" i="366"/>
  <c r="W1010" i="366"/>
  <c r="W266" i="366"/>
  <c r="Y266" i="366"/>
  <c r="W797" i="366"/>
  <c r="Y797" i="366"/>
  <c r="Y69" i="366"/>
  <c r="W69" i="366"/>
  <c r="W426" i="366"/>
  <c r="Y426" i="366"/>
  <c r="W752" i="366"/>
  <c r="Y752" i="366"/>
  <c r="Y880" i="366"/>
  <c r="W880" i="366"/>
  <c r="W197" i="366"/>
  <c r="Y197" i="366"/>
  <c r="W625" i="366"/>
  <c r="Y625" i="366"/>
  <c r="Y633" i="366"/>
  <c r="W633" i="366"/>
  <c r="Y727" i="366"/>
  <c r="W727" i="366"/>
  <c r="Y901" i="366"/>
  <c r="W901" i="366"/>
  <c r="W218" i="366"/>
  <c r="Y218" i="366"/>
  <c r="W869" i="366"/>
  <c r="Y869" i="366"/>
  <c r="Y25" i="366"/>
  <c r="W25" i="366"/>
  <c r="W523" i="366"/>
  <c r="Y523" i="366"/>
  <c r="W535" i="366"/>
  <c r="Y535" i="366"/>
  <c r="Y845" i="366"/>
  <c r="W845" i="366"/>
  <c r="Y268" i="366"/>
  <c r="W268" i="366"/>
  <c r="Y580" i="366"/>
  <c r="W580" i="366"/>
  <c r="Y653" i="366"/>
  <c r="W653" i="366"/>
  <c r="Y734" i="366"/>
  <c r="W734" i="366"/>
  <c r="Y589" i="366"/>
  <c r="W589" i="366"/>
  <c r="Y686" i="366"/>
  <c r="W686" i="366"/>
  <c r="W722" i="366"/>
  <c r="Y722" i="366"/>
  <c r="Y226" i="366"/>
  <c r="W226" i="366"/>
  <c r="Y491" i="366"/>
  <c r="W491" i="366"/>
  <c r="Y835" i="366"/>
  <c r="W835" i="366"/>
  <c r="W865" i="366"/>
  <c r="Y865" i="366"/>
  <c r="Y975" i="366"/>
  <c r="W975" i="366"/>
  <c r="W527" i="366"/>
  <c r="Y527" i="366"/>
  <c r="W355" i="366"/>
  <c r="Y355" i="366"/>
  <c r="W244" i="366"/>
  <c r="Y244" i="366"/>
  <c r="W978" i="366"/>
  <c r="Y978" i="366"/>
  <c r="Y388" i="366"/>
  <c r="W388" i="366"/>
  <c r="W487" i="366"/>
  <c r="Y487" i="366"/>
  <c r="Y13" i="366"/>
  <c r="W13" i="366"/>
  <c r="Y29" i="366"/>
  <c r="W29" i="366"/>
  <c r="Y124" i="366"/>
  <c r="W124" i="366"/>
  <c r="Y966" i="366"/>
  <c r="W966" i="366"/>
  <c r="W541" i="366"/>
  <c r="Y541" i="366"/>
  <c r="Y808" i="366"/>
  <c r="W808" i="366"/>
  <c r="W834" i="366"/>
  <c r="Y834" i="366"/>
  <c r="W517" i="366"/>
  <c r="Y517" i="366"/>
  <c r="W508" i="366"/>
  <c r="Y508" i="366"/>
  <c r="W511" i="366"/>
  <c r="Y511" i="366"/>
  <c r="Y890" i="366"/>
  <c r="W890" i="366"/>
  <c r="Y987" i="366"/>
  <c r="W987" i="366"/>
  <c r="Y669" i="366"/>
  <c r="W669" i="366"/>
  <c r="W872" i="366"/>
  <c r="Y872" i="366"/>
  <c r="W129" i="366"/>
  <c r="Y129" i="366"/>
  <c r="W431" i="366"/>
  <c r="Y431" i="366"/>
  <c r="W279" i="366"/>
  <c r="Y279" i="366"/>
  <c r="W239" i="366"/>
  <c r="Y239" i="366"/>
  <c r="W957" i="366"/>
  <c r="Y957" i="366"/>
  <c r="W107" i="366"/>
  <c r="Y107" i="366"/>
  <c r="W618" i="366"/>
  <c r="Y618" i="366"/>
  <c r="Y11" i="366"/>
  <c r="W11" i="366"/>
  <c r="Y874" i="366"/>
  <c r="W874" i="366"/>
  <c r="Y799" i="366"/>
  <c r="W799" i="366"/>
  <c r="Y250" i="366"/>
  <c r="W250" i="366"/>
  <c r="Y254" i="366"/>
  <c r="W254" i="366"/>
  <c r="Y36" i="366"/>
  <c r="W36" i="366"/>
  <c r="Y900" i="366"/>
  <c r="W900" i="366"/>
  <c r="Y304" i="366"/>
  <c r="W304" i="366"/>
  <c r="Y87" i="366"/>
  <c r="W87" i="366"/>
  <c r="W158" i="366"/>
  <c r="Y158" i="366"/>
  <c r="W20" i="366"/>
  <c r="Y20" i="366"/>
  <c r="W421" i="366"/>
  <c r="Y421" i="366"/>
  <c r="Y652" i="366"/>
  <c r="W652" i="366"/>
  <c r="W682" i="366"/>
  <c r="Y682" i="366"/>
  <c r="Y311" i="366"/>
  <c r="W311" i="366"/>
  <c r="Y360" i="366"/>
  <c r="W360" i="366"/>
  <c r="W191" i="366"/>
  <c r="Y191" i="366"/>
  <c r="W766" i="366"/>
  <c r="Y766" i="366"/>
  <c r="W75" i="366"/>
  <c r="Y75" i="366"/>
  <c r="Y315" i="366"/>
  <c r="W315" i="366"/>
  <c r="Y855" i="366"/>
  <c r="W855" i="366"/>
  <c r="Y1017" i="366"/>
  <c r="W1017" i="366"/>
  <c r="Y125" i="366"/>
  <c r="W125" i="366"/>
  <c r="Y650" i="366"/>
  <c r="W650" i="366"/>
  <c r="W867" i="366"/>
  <c r="Y867" i="366"/>
  <c r="W956" i="366"/>
  <c r="Y956" i="366"/>
  <c r="Y453" i="366"/>
  <c r="W453" i="366"/>
  <c r="Y820" i="366"/>
  <c r="W820" i="366"/>
  <c r="W290" i="366"/>
  <c r="Y290" i="366"/>
  <c r="W123" i="366"/>
  <c r="Y123" i="366"/>
  <c r="W773" i="366"/>
  <c r="Y773" i="366"/>
  <c r="W891" i="366"/>
  <c r="Y891" i="366"/>
  <c r="Y86" i="366"/>
  <c r="W86" i="366"/>
  <c r="W952" i="366"/>
  <c r="Y952" i="366"/>
  <c r="W993" i="366"/>
  <c r="Y993" i="366"/>
  <c r="Y385" i="366"/>
  <c r="W385" i="366"/>
  <c r="W62" i="366"/>
  <c r="Y62" i="366"/>
  <c r="W294" i="366"/>
  <c r="Y294" i="366"/>
  <c r="Y939" i="366"/>
  <c r="W939" i="366"/>
  <c r="Y904" i="366"/>
  <c r="W904" i="366"/>
  <c r="W772" i="366"/>
  <c r="Y772" i="366"/>
  <c r="Y506" i="366"/>
  <c r="W506" i="366"/>
  <c r="Y749" i="366"/>
  <c r="W749" i="366"/>
  <c r="W486" i="366"/>
  <c r="Y486" i="366"/>
  <c r="Y179" i="366"/>
  <c r="W179" i="366"/>
  <c r="Y907" i="366"/>
  <c r="W907" i="366"/>
  <c r="Y991" i="366"/>
  <c r="W991" i="366"/>
  <c r="Y753" i="366"/>
  <c r="W753" i="366"/>
  <c r="Y1008" i="366"/>
  <c r="W1008" i="366"/>
  <c r="Y794" i="366"/>
  <c r="W794" i="366"/>
  <c r="W982" i="366"/>
  <c r="Y982" i="366"/>
  <c r="W211" i="366"/>
  <c r="Y211" i="366"/>
  <c r="W897" i="366"/>
  <c r="Y897" i="366"/>
  <c r="Y522" i="366"/>
  <c r="W522" i="366"/>
  <c r="W228" i="366"/>
  <c r="Y228" i="366"/>
  <c r="W617" i="366"/>
  <c r="Y617" i="366"/>
  <c r="W606" i="366"/>
  <c r="Y606" i="366"/>
  <c r="Y948" i="366"/>
  <c r="W948" i="366"/>
  <c r="Y186" i="366"/>
  <c r="W186" i="366"/>
  <c r="Y534" i="366"/>
  <c r="W534" i="366"/>
  <c r="W599" i="366"/>
  <c r="Y599" i="366"/>
  <c r="Y578" i="366"/>
  <c r="W578" i="366"/>
  <c r="Y348" i="366"/>
  <c r="W348" i="366"/>
  <c r="Y32" i="366"/>
  <c r="W32" i="366"/>
  <c r="W232" i="366"/>
  <c r="Y232" i="366"/>
  <c r="Y521" i="366"/>
  <c r="W521" i="366"/>
  <c r="Y329" i="366"/>
  <c r="W329" i="366"/>
  <c r="W488" i="366"/>
  <c r="Y488" i="366"/>
  <c r="Y368" i="366"/>
  <c r="W368" i="366"/>
  <c r="W795" i="366"/>
  <c r="Y795" i="366"/>
  <c r="Y912" i="366"/>
  <c r="W912" i="366"/>
  <c r="W100" i="366"/>
  <c r="Y100" i="366"/>
  <c r="Y457" i="366"/>
  <c r="W457" i="366"/>
  <c r="Y288" i="366"/>
  <c r="W288" i="366"/>
  <c r="Y22" i="366"/>
  <c r="W22" i="366"/>
  <c r="Y989" i="366"/>
  <c r="W989" i="366"/>
  <c r="Y997" i="366"/>
  <c r="W997" i="366"/>
  <c r="W790" i="366"/>
  <c r="Y790" i="366"/>
  <c r="Y312" i="366"/>
  <c r="W312" i="366"/>
  <c r="Y789" i="366"/>
  <c r="W789" i="366"/>
  <c r="Y953" i="366"/>
  <c r="W953" i="366"/>
  <c r="W663" i="366"/>
  <c r="Y663" i="366"/>
  <c r="W750" i="366"/>
  <c r="Y750" i="366"/>
  <c r="Y715" i="366"/>
  <c r="W715" i="366"/>
  <c r="W136" i="366"/>
  <c r="Y136" i="366"/>
  <c r="W409" i="366"/>
  <c r="Y409" i="366"/>
  <c r="Y374" i="366"/>
  <c r="W374" i="366"/>
  <c r="W760" i="366"/>
  <c r="Y760" i="366"/>
  <c r="W573" i="366"/>
  <c r="Y573" i="366"/>
  <c r="W465" i="366"/>
  <c r="Y465" i="366"/>
  <c r="Y89" i="366"/>
  <c r="W89" i="366"/>
  <c r="W474" i="366"/>
  <c r="Y474" i="366"/>
  <c r="Y434" i="366"/>
  <c r="W434" i="366"/>
  <c r="Y690" i="366"/>
  <c r="W690" i="366"/>
  <c r="Y843" i="366"/>
  <c r="W843" i="366"/>
  <c r="Y998" i="366"/>
  <c r="W998" i="366"/>
  <c r="W656" i="366"/>
  <c r="Y656" i="366"/>
  <c r="Y746" i="366"/>
  <c r="W746" i="366"/>
  <c r="W301" i="366"/>
  <c r="Y301" i="366"/>
  <c r="Y673" i="366"/>
  <c r="W673" i="366"/>
  <c r="Y422" i="366"/>
  <c r="W422" i="366"/>
  <c r="W292" i="366"/>
  <c r="Y292" i="366"/>
  <c r="W194" i="366"/>
  <c r="Y194" i="366"/>
  <c r="Y34" i="366"/>
  <c r="W34" i="366"/>
  <c r="Y79" i="366"/>
  <c r="W79" i="366"/>
  <c r="Y914" i="366"/>
  <c r="W914" i="366"/>
  <c r="Y231" i="366"/>
  <c r="W231" i="366"/>
  <c r="Y905" i="366"/>
  <c r="W905" i="366"/>
  <c r="W174" i="366"/>
  <c r="Y174" i="366"/>
  <c r="W812" i="366"/>
  <c r="Y812" i="366"/>
  <c r="W340" i="366"/>
  <c r="Y340" i="366"/>
  <c r="W915" i="366"/>
  <c r="Y915" i="366"/>
  <c r="Y146" i="366"/>
  <c r="W146" i="366"/>
  <c r="Y543" i="366"/>
  <c r="W543" i="366"/>
  <c r="W458" i="366"/>
  <c r="Y458" i="366"/>
  <c r="W756" i="366"/>
  <c r="Y756" i="366"/>
  <c r="Y126" i="366"/>
  <c r="W126" i="366"/>
  <c r="Y380" i="366"/>
  <c r="W380" i="366"/>
  <c r="W827" i="366"/>
  <c r="Y827" i="366"/>
  <c r="Y829" i="366"/>
  <c r="W829" i="366"/>
  <c r="Y996" i="366"/>
  <c r="W996" i="366"/>
  <c r="Y403" i="366"/>
  <c r="W403" i="366"/>
  <c r="W462" i="366"/>
  <c r="Y462" i="366"/>
  <c r="Y909" i="366"/>
  <c r="W909" i="366"/>
  <c r="Y677" i="366"/>
  <c r="W677" i="366"/>
  <c r="Y571" i="366"/>
  <c r="W571" i="366"/>
  <c r="Y167" i="366"/>
  <c r="W167" i="366"/>
  <c r="Y700" i="366"/>
  <c r="W700" i="366"/>
  <c r="Y227" i="366"/>
  <c r="W227" i="366"/>
  <c r="W876" i="366"/>
  <c r="Y876" i="366"/>
  <c r="Y850" i="366"/>
  <c r="W850" i="366"/>
  <c r="W871" i="366"/>
  <c r="Y871" i="366"/>
  <c r="Y49" i="366"/>
  <c r="W49" i="366"/>
  <c r="W148" i="366"/>
  <c r="Y148" i="366"/>
  <c r="W963" i="366"/>
  <c r="Y963" i="366"/>
  <c r="W946" i="366"/>
  <c r="Y946" i="366"/>
  <c r="Y430" i="366"/>
  <c r="W430" i="366"/>
  <c r="Y147" i="366"/>
  <c r="W147" i="366"/>
  <c r="Y366" i="366"/>
  <c r="W366" i="366"/>
  <c r="Y261" i="366"/>
  <c r="W261" i="366"/>
  <c r="Y564" i="366"/>
  <c r="W564" i="366"/>
  <c r="W854" i="366"/>
  <c r="Y854" i="366"/>
  <c r="W1009" i="366"/>
  <c r="Y1009" i="366"/>
  <c r="Y82" i="366"/>
  <c r="W82" i="366"/>
  <c r="Y986" i="366"/>
  <c r="W986" i="366"/>
  <c r="W209" i="366"/>
  <c r="Y209" i="366"/>
  <c r="W256" i="366"/>
  <c r="Y256" i="366"/>
  <c r="W302" i="366"/>
  <c r="Y302" i="366"/>
  <c r="W831" i="366"/>
  <c r="Y831" i="366"/>
  <c r="K89" i="49"/>
  <c r="W21" i="366"/>
  <c r="Y21" i="366"/>
  <c r="Y307" i="366"/>
  <c r="W307" i="366"/>
  <c r="W609" i="366"/>
  <c r="Y609" i="366"/>
  <c r="Y920" i="366"/>
  <c r="W920" i="366"/>
  <c r="Y415" i="366"/>
  <c r="W415" i="366"/>
  <c r="Y78" i="366"/>
  <c r="W78" i="366"/>
  <c r="W836" i="366"/>
  <c r="Y836" i="366"/>
  <c r="Y1015" i="366"/>
  <c r="W1015" i="366"/>
  <c r="W725" i="366"/>
  <c r="Y725" i="366"/>
  <c r="W14" i="366"/>
  <c r="Y14" i="366"/>
  <c r="W825" i="366"/>
  <c r="Y825" i="366"/>
  <c r="W761" i="366"/>
  <c r="Y761" i="366"/>
  <c r="W372" i="366"/>
  <c r="Y372" i="366"/>
  <c r="W740" i="366"/>
  <c r="Y740" i="366"/>
  <c r="Y83" i="366"/>
  <c r="W83" i="366"/>
  <c r="Y877" i="366"/>
  <c r="W877" i="366"/>
  <c r="Y615" i="366"/>
  <c r="W615" i="366"/>
  <c r="W762" i="366"/>
  <c r="Y762" i="366"/>
  <c r="W255" i="366"/>
  <c r="Y255" i="366"/>
  <c r="Y819" i="366"/>
  <c r="W819" i="366"/>
  <c r="Y943" i="366"/>
  <c r="W943" i="366"/>
  <c r="C40" i="360"/>
  <c r="C42" i="360" s="1"/>
  <c r="C46" i="360"/>
  <c r="W48" i="352"/>
  <c r="W52" i="352" s="1"/>
  <c r="C46" i="361"/>
  <c r="C40" i="361"/>
  <c r="C42" i="361" s="1"/>
  <c r="H81" i="302"/>
  <c r="H82" i="302"/>
  <c r="AG76" i="168"/>
  <c r="AE78" i="168"/>
  <c r="C122" i="327"/>
  <c r="AM74" i="168"/>
  <c r="C133" i="383"/>
  <c r="C119" i="383"/>
  <c r="AM94" i="352"/>
  <c r="AM95" i="352" s="1"/>
  <c r="AO93" i="352"/>
  <c r="C57" i="411"/>
  <c r="C43" i="411"/>
  <c r="AU74" i="388"/>
  <c r="AU112" i="352"/>
  <c r="AU44" i="352"/>
  <c r="AU45" i="352" s="1"/>
  <c r="AW45" i="352" s="1"/>
  <c r="AW47" i="352" s="1"/>
  <c r="AW48" i="352" s="1"/>
  <c r="I94" i="422"/>
  <c r="I89" i="422"/>
  <c r="Y76" i="168"/>
  <c r="C122" i="303"/>
  <c r="W78" i="168"/>
  <c r="N59" i="2"/>
  <c r="N61" i="2"/>
  <c r="U86" i="60" s="1"/>
  <c r="W128" i="352"/>
  <c r="W97" i="352"/>
  <c r="W98" i="352" s="1"/>
  <c r="Y98" i="352" s="1"/>
  <c r="Y100" i="352" s="1"/>
  <c r="Y101" i="352" s="1"/>
  <c r="BC74" i="388"/>
  <c r="E133" i="383"/>
  <c r="E119" i="383"/>
  <c r="AU43" i="168"/>
  <c r="Y433" i="366"/>
  <c r="W433" i="366"/>
  <c r="Y270" i="366"/>
  <c r="W270" i="366"/>
  <c r="W883" i="366"/>
  <c r="Y883" i="366"/>
  <c r="Y319" i="366"/>
  <c r="W319" i="366"/>
  <c r="W736" i="366"/>
  <c r="Y736" i="366"/>
  <c r="Y461" i="366"/>
  <c r="W461" i="366"/>
  <c r="Y562" i="366"/>
  <c r="W562" i="366"/>
  <c r="Y143" i="366"/>
  <c r="W143" i="366"/>
  <c r="W390" i="366"/>
  <c r="Y390" i="366"/>
  <c r="W696" i="366"/>
  <c r="Y696" i="366"/>
  <c r="W217" i="366"/>
  <c r="Y217" i="366"/>
  <c r="Y140" i="366"/>
  <c r="W140" i="366"/>
  <c r="W392" i="366"/>
  <c r="Y392" i="366"/>
  <c r="Y612" i="366"/>
  <c r="W612" i="366"/>
  <c r="Y201" i="366"/>
  <c r="W201" i="366"/>
  <c r="Y405" i="366"/>
  <c r="W405" i="366"/>
  <c r="W603" i="366"/>
  <c r="Y603" i="366"/>
  <c r="Y861" i="366"/>
  <c r="W861" i="366"/>
  <c r="W378" i="366"/>
  <c r="Y378" i="366"/>
  <c r="Y435" i="366"/>
  <c r="W435" i="366"/>
  <c r="Y557" i="366"/>
  <c r="W557" i="366"/>
  <c r="Y601" i="366"/>
  <c r="W601" i="366"/>
  <c r="Y233" i="366"/>
  <c r="W233" i="366"/>
  <c r="Y695" i="366"/>
  <c r="W695" i="366"/>
  <c r="W350" i="366"/>
  <c r="Y350" i="366"/>
  <c r="W771" i="366"/>
  <c r="Y771" i="366"/>
  <c r="W80" i="366"/>
  <c r="Y80" i="366"/>
  <c r="Y935" i="366"/>
  <c r="W935" i="366"/>
  <c r="Y370" i="366"/>
  <c r="W370" i="366"/>
  <c r="Y614" i="366"/>
  <c r="W614" i="366"/>
  <c r="Y981" i="366"/>
  <c r="W981" i="366"/>
  <c r="Y582" i="366"/>
  <c r="W582" i="366"/>
  <c r="W832" i="366"/>
  <c r="Y832" i="366"/>
  <c r="Y826" i="366"/>
  <c r="W826" i="366"/>
  <c r="W704" i="366"/>
  <c r="Y704" i="366"/>
  <c r="Y983" i="366"/>
  <c r="W983" i="366"/>
  <c r="W841" i="366"/>
  <c r="Y841" i="366"/>
  <c r="Y17" i="366"/>
  <c r="W17" i="366"/>
  <c r="W105" i="366"/>
  <c r="Y105" i="366"/>
  <c r="W775" i="366"/>
  <c r="Y775" i="366"/>
  <c r="W588" i="366"/>
  <c r="Y588" i="366"/>
  <c r="W716" i="366"/>
  <c r="Y716" i="366"/>
  <c r="Y28" i="366"/>
  <c r="W28" i="366"/>
  <c r="Y467" i="366"/>
  <c r="W467" i="366"/>
  <c r="Y61" i="366"/>
  <c r="W61" i="366"/>
  <c r="Y692" i="366"/>
  <c r="W692" i="366"/>
  <c r="Y699" i="366"/>
  <c r="W699" i="366"/>
  <c r="W587" i="366"/>
  <c r="Y587" i="366"/>
  <c r="W610" i="366"/>
  <c r="Y610" i="366"/>
  <c r="W769" i="366"/>
  <c r="Y769" i="366"/>
  <c r="W220" i="366"/>
  <c r="Y220" i="366"/>
  <c r="Y241" i="366"/>
  <c r="W241" i="366"/>
  <c r="W577" i="366"/>
  <c r="Y577" i="366"/>
  <c r="W59" i="366"/>
  <c r="Y59" i="366"/>
  <c r="W103" i="366"/>
  <c r="Y103" i="366"/>
  <c r="W662" i="366"/>
  <c r="Y662" i="366"/>
  <c r="Y337" i="366"/>
  <c r="W337" i="366"/>
  <c r="W548" i="366"/>
  <c r="Y548" i="366"/>
  <c r="W510" i="366"/>
  <c r="Y510" i="366"/>
  <c r="W258" i="366"/>
  <c r="Y258" i="366"/>
  <c r="Y455" i="366"/>
  <c r="W455" i="366"/>
  <c r="W121" i="366"/>
  <c r="Y121" i="366"/>
  <c r="W248" i="366"/>
  <c r="Y248" i="366"/>
  <c r="W654" i="366"/>
  <c r="Y654" i="366"/>
  <c r="Y440" i="366"/>
  <c r="W440" i="366"/>
  <c r="W352" i="366"/>
  <c r="Y352" i="366"/>
  <c r="W759" i="366"/>
  <c r="Y759" i="366"/>
  <c r="Y172" i="366"/>
  <c r="W172" i="366"/>
  <c r="W65" i="366"/>
  <c r="Y65" i="366"/>
  <c r="W81" i="366"/>
  <c r="Y81" i="366"/>
  <c r="W291" i="366"/>
  <c r="Y291" i="366"/>
  <c r="W804" i="366"/>
  <c r="Y804" i="366"/>
  <c r="Y644" i="366"/>
  <c r="W644" i="366"/>
  <c r="W135" i="366"/>
  <c r="Y135" i="366"/>
  <c r="Y705" i="366"/>
  <c r="W705" i="366"/>
  <c r="Y293" i="366"/>
  <c r="W293" i="366"/>
  <c r="W221" i="366"/>
  <c r="Y221" i="366"/>
  <c r="W629" i="366"/>
  <c r="Y629" i="366"/>
  <c r="W98" i="366"/>
  <c r="Y98" i="366"/>
  <c r="Y101" i="366"/>
  <c r="W101" i="366"/>
  <c r="W668" i="366"/>
  <c r="Y668" i="366"/>
  <c r="W253" i="366"/>
  <c r="Y253" i="366"/>
  <c r="Y642" i="366"/>
  <c r="W642" i="366"/>
  <c r="W363" i="366"/>
  <c r="Y363" i="366"/>
  <c r="W530" i="366"/>
  <c r="Y530" i="366"/>
  <c r="W824" i="366"/>
  <c r="Y824" i="366"/>
  <c r="Y967" i="366"/>
  <c r="W967" i="366"/>
  <c r="Y687" i="366"/>
  <c r="W687" i="366"/>
  <c r="Y84" i="366"/>
  <c r="W84" i="366"/>
  <c r="Y361" i="366"/>
  <c r="W361" i="366"/>
  <c r="W838" i="366"/>
  <c r="Y838" i="366"/>
  <c r="W321" i="366"/>
  <c r="Y321" i="366"/>
  <c r="Y481" i="366"/>
  <c r="W481" i="366"/>
  <c r="W643" i="366"/>
  <c r="Y643" i="366"/>
  <c r="W111" i="366"/>
  <c r="Y111" i="366"/>
  <c r="Y621" i="366"/>
  <c r="W621" i="366"/>
  <c r="W74" i="366"/>
  <c r="Y74" i="366"/>
  <c r="Y626" i="366"/>
  <c r="W626" i="366"/>
  <c r="Y205" i="366"/>
  <c r="W205" i="366"/>
  <c r="Y377" i="366"/>
  <c r="W377" i="366"/>
  <c r="Y620" i="366"/>
  <c r="W620" i="366"/>
  <c r="W477" i="366"/>
  <c r="Y477" i="366"/>
  <c r="W714" i="366"/>
  <c r="Y714" i="366"/>
  <c r="W659" i="366"/>
  <c r="Y659" i="366"/>
  <c r="W728" i="366"/>
  <c r="Y728" i="366"/>
  <c r="W960" i="366"/>
  <c r="Y960" i="366"/>
  <c r="Y665" i="366"/>
  <c r="W665" i="366"/>
  <c r="Y1014" i="366"/>
  <c r="W1014" i="366"/>
  <c r="W913" i="366"/>
  <c r="Y913" i="366"/>
  <c r="W532" i="366"/>
  <c r="Y532" i="366"/>
  <c r="Y945" i="366"/>
  <c r="W945" i="366"/>
  <c r="Y862" i="366"/>
  <c r="W862" i="366"/>
  <c r="W60" i="366"/>
  <c r="Y60" i="366"/>
  <c r="Y313" i="366"/>
  <c r="W313" i="366"/>
  <c r="Y691" i="366"/>
  <c r="W691" i="366"/>
  <c r="Y152" i="366"/>
  <c r="W152" i="366"/>
  <c r="W586" i="366"/>
  <c r="Y586" i="366"/>
  <c r="W473" i="366"/>
  <c r="Y473" i="366"/>
  <c r="W632" i="366"/>
  <c r="Y632" i="366"/>
  <c r="Y169" i="366"/>
  <c r="W169" i="366"/>
  <c r="Y48" i="366"/>
  <c r="W48" i="366"/>
  <c r="W738" i="366"/>
  <c r="Y738" i="366"/>
  <c r="W552" i="366"/>
  <c r="Y552" i="366"/>
  <c r="W637" i="366"/>
  <c r="Y637" i="366"/>
  <c r="Y937" i="366"/>
  <c r="W937" i="366"/>
  <c r="Y381" i="366"/>
  <c r="W381" i="366"/>
  <c r="W671" i="366"/>
  <c r="Y671" i="366"/>
  <c r="Y846" i="366"/>
  <c r="W846" i="366"/>
  <c r="Y1003" i="366"/>
  <c r="W1003" i="366"/>
  <c r="Y611" i="366"/>
  <c r="W611" i="366"/>
  <c r="W108" i="366"/>
  <c r="Y108" i="366"/>
  <c r="W446" i="366"/>
  <c r="Y446" i="366"/>
  <c r="W151" i="366"/>
  <c r="Y151" i="366"/>
  <c r="W902" i="366"/>
  <c r="Y902" i="366"/>
  <c r="W71" i="366"/>
  <c r="Y71" i="366"/>
  <c r="W765" i="366"/>
  <c r="Y765" i="366"/>
  <c r="Y283" i="366"/>
  <c r="W283" i="366"/>
  <c r="Y942" i="366"/>
  <c r="W942" i="366"/>
  <c r="W138" i="366"/>
  <c r="Y138" i="366"/>
  <c r="W526" i="366"/>
  <c r="Y526" i="366"/>
  <c r="Y271" i="366"/>
  <c r="W271" i="366"/>
  <c r="W362" i="366"/>
  <c r="Y362" i="366"/>
  <c r="Y767" i="366"/>
  <c r="W767" i="366"/>
  <c r="Y278" i="366"/>
  <c r="W278" i="366"/>
  <c r="W322" i="366"/>
  <c r="Y322" i="366"/>
  <c r="Y133" i="366"/>
  <c r="W133" i="366"/>
  <c r="W778" i="366"/>
  <c r="Y778" i="366"/>
  <c r="Y260" i="366"/>
  <c r="W260" i="366"/>
  <c r="W1005" i="366"/>
  <c r="Y1005" i="366"/>
  <c r="W466" i="366"/>
  <c r="Y466" i="366"/>
  <c r="Y545" i="366"/>
  <c r="W545" i="366"/>
  <c r="Y892" i="366"/>
  <c r="W892" i="366"/>
  <c r="W483" i="366"/>
  <c r="Y483" i="366"/>
  <c r="Y243" i="366"/>
  <c r="W243" i="366"/>
  <c r="W853" i="366"/>
  <c r="Y853" i="366"/>
  <c r="W37" i="366"/>
  <c r="Y37" i="366"/>
  <c r="Y844" i="366"/>
  <c r="W844" i="366"/>
  <c r="W456" i="366"/>
  <c r="Y456" i="366"/>
  <c r="W718" i="366"/>
  <c r="Y718" i="366"/>
  <c r="Y624" i="366"/>
  <c r="W624" i="366"/>
  <c r="Y161" i="366"/>
  <c r="W161" i="366"/>
  <c r="W622" i="366"/>
  <c r="Y622" i="366"/>
  <c r="Y66" i="366"/>
  <c r="W66" i="366"/>
  <c r="Y940" i="366"/>
  <c r="W940" i="366"/>
  <c r="Y592" i="366"/>
  <c r="W592" i="366"/>
  <c r="Y173" i="366"/>
  <c r="W173" i="366"/>
  <c r="Y110" i="366"/>
  <c r="W110" i="366"/>
  <c r="Y875" i="366"/>
  <c r="W875" i="366"/>
  <c r="W373" i="366"/>
  <c r="Y373" i="366"/>
  <c r="Y72" i="366"/>
  <c r="W72" i="366"/>
  <c r="Y276" i="366"/>
  <c r="W276" i="366"/>
  <c r="Y305" i="366"/>
  <c r="W305" i="366"/>
  <c r="W324" i="366"/>
  <c r="Y324" i="366"/>
  <c r="Y64" i="366"/>
  <c r="W64" i="366"/>
  <c r="W265" i="366"/>
  <c r="Y265" i="366"/>
  <c r="W471" i="366"/>
  <c r="Y471" i="366"/>
  <c r="Y264" i="366"/>
  <c r="W264" i="366"/>
  <c r="W954" i="366"/>
  <c r="Y954" i="366"/>
  <c r="W395" i="366"/>
  <c r="Y395" i="366"/>
  <c r="Y894" i="366"/>
  <c r="W894" i="366"/>
  <c r="Y247" i="366"/>
  <c r="W247" i="366"/>
  <c r="Y851" i="366"/>
  <c r="W851" i="366"/>
  <c r="W784" i="366"/>
  <c r="Y784" i="366"/>
  <c r="W839" i="366"/>
  <c r="Y839" i="366"/>
  <c r="Y199" i="366"/>
  <c r="W199" i="366"/>
  <c r="Y802" i="366"/>
  <c r="W802" i="366"/>
  <c r="Y817" i="366"/>
  <c r="W817" i="366"/>
  <c r="W520" i="366"/>
  <c r="Y520" i="366"/>
  <c r="W54" i="366"/>
  <c r="Y54" i="366"/>
  <c r="Y190" i="366"/>
  <c r="W190" i="366"/>
  <c r="Y96" i="366"/>
  <c r="W96" i="366"/>
  <c r="W118" i="366"/>
  <c r="Y118" i="366"/>
  <c r="W452" i="366"/>
  <c r="Y452" i="366"/>
  <c r="W774" i="366"/>
  <c r="Y774" i="366"/>
  <c r="W745" i="366"/>
  <c r="Y745" i="366"/>
  <c r="W280" i="366"/>
  <c r="Y280" i="366"/>
  <c r="Y783" i="366"/>
  <c r="W783" i="366"/>
  <c r="Y420" i="366"/>
  <c r="W420" i="366"/>
  <c r="W236" i="366"/>
  <c r="Y236" i="366"/>
  <c r="Y404" i="366"/>
  <c r="W404" i="366"/>
  <c r="Y277" i="366"/>
  <c r="W277" i="366"/>
  <c r="W42" i="366"/>
  <c r="Y42" i="366"/>
  <c r="W242" i="366"/>
  <c r="Y242" i="366"/>
  <c r="Y459" i="366"/>
  <c r="W459" i="366"/>
  <c r="Y102" i="366"/>
  <c r="W102" i="366"/>
  <c r="W482" i="366"/>
  <c r="Y482" i="366"/>
  <c r="Y970" i="366"/>
  <c r="W970" i="366"/>
  <c r="Y326" i="366"/>
  <c r="W326" i="366"/>
  <c r="W560" i="366"/>
  <c r="Y560" i="366"/>
  <c r="Y469" i="366"/>
  <c r="W469" i="366"/>
  <c r="W931" i="366"/>
  <c r="Y931" i="366"/>
  <c r="Y6" i="366"/>
  <c r="W6" i="366"/>
  <c r="W73" i="366"/>
  <c r="Y73" i="366"/>
  <c r="Y308" i="366"/>
  <c r="W308" i="366"/>
  <c r="W8" i="366"/>
  <c r="Y8" i="366"/>
  <c r="W732" i="366"/>
  <c r="Y732" i="366"/>
  <c r="W570" i="366"/>
  <c r="Y570" i="366"/>
  <c r="W721" i="366"/>
  <c r="Y721" i="366"/>
  <c r="W518" i="366"/>
  <c r="Y518" i="366"/>
  <c r="Y929" i="366"/>
  <c r="W929" i="366"/>
  <c r="Y949" i="366"/>
  <c r="W949" i="366"/>
  <c r="W335" i="366"/>
  <c r="Y335" i="366"/>
  <c r="Y634" i="366"/>
  <c r="W634" i="366"/>
  <c r="Y437" i="366"/>
  <c r="W437" i="366"/>
  <c r="Y476" i="366"/>
  <c r="W476" i="366"/>
  <c r="Y990" i="366"/>
  <c r="W990" i="366"/>
  <c r="W375" i="366"/>
  <c r="Y375" i="366"/>
  <c r="W688" i="366"/>
  <c r="Y688" i="366"/>
  <c r="Y193" i="366"/>
  <c r="W193" i="366"/>
  <c r="W743" i="366"/>
  <c r="Y743" i="366"/>
  <c r="Y976" i="366"/>
  <c r="W976" i="366"/>
  <c r="W1016" i="366"/>
  <c r="Y1016" i="366"/>
  <c r="W927" i="366"/>
  <c r="Y927" i="366"/>
  <c r="W565" i="366"/>
  <c r="Y565" i="366"/>
  <c r="W306" i="366"/>
  <c r="Y306" i="366"/>
  <c r="Y733" i="366"/>
  <c r="W733" i="366"/>
  <c r="W262" i="366"/>
  <c r="Y262" i="366"/>
  <c r="W478" i="366"/>
  <c r="Y478" i="366"/>
  <c r="W597" i="366"/>
  <c r="Y597" i="366"/>
  <c r="Y185" i="366"/>
  <c r="W185" i="366"/>
  <c r="Y299" i="366"/>
  <c r="W299" i="366"/>
  <c r="Y1020" i="366"/>
  <c r="W1020" i="366"/>
  <c r="W504" i="366"/>
  <c r="Y504" i="366"/>
  <c r="W638" i="366"/>
  <c r="Y638" i="366"/>
  <c r="W314" i="366"/>
  <c r="Y314" i="366"/>
  <c r="Y779" i="366"/>
  <c r="W779" i="366"/>
  <c r="Y660" i="366"/>
  <c r="W660" i="366"/>
  <c r="W542" i="366"/>
  <c r="Y542" i="366"/>
  <c r="W528" i="366"/>
  <c r="Y528" i="366"/>
  <c r="Y160" i="366"/>
  <c r="W160" i="366"/>
  <c r="Y168" i="366"/>
  <c r="W168" i="366"/>
  <c r="Y951" i="366"/>
  <c r="W951" i="366"/>
  <c r="W51" i="366"/>
  <c r="Y51" i="366"/>
  <c r="AU94" i="388"/>
  <c r="AA92" i="389"/>
  <c r="AA93" i="389" s="1"/>
  <c r="AA95" i="389" s="1"/>
  <c r="AA96" i="389" s="1"/>
  <c r="AC90" i="389"/>
  <c r="AC92" i="389" s="1"/>
  <c r="AC93" i="389" s="1"/>
  <c r="AC95" i="389" s="1"/>
  <c r="AO91" i="389"/>
  <c r="AM92" i="389"/>
  <c r="AM93" i="389" s="1"/>
  <c r="AW41" i="389"/>
  <c r="AW42" i="389" s="1"/>
  <c r="AW43" i="389" s="1"/>
  <c r="C43" i="425"/>
  <c r="C57" i="425"/>
  <c r="ED48" i="168"/>
  <c r="AE96" i="352"/>
  <c r="W95" i="389"/>
  <c r="W96" i="389" s="1"/>
  <c r="Y96" i="389" s="1"/>
  <c r="Y98" i="389" s="1"/>
  <c r="Y99" i="389" s="1"/>
  <c r="W135" i="389"/>
  <c r="W142" i="389"/>
  <c r="W4" i="366"/>
  <c r="D61" i="371"/>
  <c r="I61" i="248" s="1"/>
  <c r="D23" i="379"/>
  <c r="H75" i="369"/>
  <c r="BC91" i="393"/>
  <c r="BD91" i="393"/>
  <c r="BE72" i="168"/>
  <c r="E134" i="425" s="1"/>
  <c r="C140" i="291"/>
  <c r="O118" i="168"/>
  <c r="C125" i="291"/>
  <c r="W445" i="366"/>
  <c r="Y445" i="366"/>
  <c r="W823" i="366"/>
  <c r="Y823" i="366"/>
  <c r="W401" i="366"/>
  <c r="Y401" i="366"/>
  <c r="W672" i="366"/>
  <c r="Y672" i="366"/>
  <c r="Y857" i="366"/>
  <c r="W857" i="366"/>
  <c r="W815" i="366"/>
  <c r="Y815" i="366"/>
  <c r="W323" i="366"/>
  <c r="Y323" i="366"/>
  <c r="Y492" i="366"/>
  <c r="W492" i="366"/>
  <c r="W230" i="366"/>
  <c r="Y230" i="366"/>
  <c r="W999" i="366"/>
  <c r="Y999" i="366"/>
  <c r="W94" i="366"/>
  <c r="Y94" i="366"/>
  <c r="W675" i="366"/>
  <c r="Y675" i="366"/>
  <c r="W439" i="366"/>
  <c r="Y439" i="366"/>
  <c r="W460" i="366"/>
  <c r="Y460" i="366"/>
  <c r="W702" i="366"/>
  <c r="Y702" i="366"/>
  <c r="Y52" i="366"/>
  <c r="W52" i="366"/>
  <c r="W596" i="366"/>
  <c r="Y596" i="366"/>
  <c r="W928" i="366"/>
  <c r="Y928" i="366"/>
  <c r="Y739" i="366"/>
  <c r="W739" i="366"/>
  <c r="W780" i="366"/>
  <c r="Y780" i="366"/>
  <c r="W407" i="366"/>
  <c r="Y407" i="366"/>
  <c r="Y367" i="366"/>
  <c r="W367" i="366"/>
  <c r="Y351" i="366"/>
  <c r="W351" i="366"/>
  <c r="W694" i="366"/>
  <c r="Y694" i="366"/>
  <c r="W203" i="366"/>
  <c r="Y203" i="366"/>
  <c r="W175" i="366"/>
  <c r="Y175" i="366"/>
  <c r="Y493" i="366"/>
  <c r="W493" i="366"/>
  <c r="W707" i="366"/>
  <c r="Y707" i="366"/>
  <c r="W657" i="366"/>
  <c r="Y657" i="366"/>
  <c r="W470" i="366"/>
  <c r="Y470" i="366"/>
  <c r="W127" i="366"/>
  <c r="Y127" i="366"/>
  <c r="Y309" i="366"/>
  <c r="W309" i="366"/>
  <c r="W106" i="366"/>
  <c r="Y106" i="366"/>
  <c r="Y26" i="366"/>
  <c r="W26" i="366"/>
  <c r="Y864" i="366"/>
  <c r="W864" i="366"/>
  <c r="W630" i="366"/>
  <c r="Y630" i="366"/>
  <c r="Y318" i="366"/>
  <c r="W318" i="366"/>
  <c r="Y600" i="366"/>
  <c r="W600" i="366"/>
  <c r="W222" i="366"/>
  <c r="Y222" i="366"/>
  <c r="Y994" i="366"/>
  <c r="W994" i="366"/>
  <c r="Y711" i="366"/>
  <c r="W711" i="366"/>
  <c r="W554" i="366"/>
  <c r="Y554" i="366"/>
  <c r="Y56" i="366"/>
  <c r="W56" i="366"/>
  <c r="W593" i="366"/>
  <c r="Y593" i="366"/>
  <c r="W356" i="366"/>
  <c r="Y356" i="366"/>
  <c r="W238" i="366"/>
  <c r="Y238" i="366"/>
  <c r="W464" i="366"/>
  <c r="Y464" i="366"/>
  <c r="W91" i="366"/>
  <c r="Y91" i="366"/>
  <c r="Y171" i="366"/>
  <c r="W171" i="366"/>
  <c r="W176" i="366"/>
  <c r="Y176" i="366"/>
  <c r="W908" i="366"/>
  <c r="Y908" i="366"/>
  <c r="Y485" i="366"/>
  <c r="W485" i="366"/>
  <c r="W645" i="366"/>
  <c r="Y645" i="366"/>
  <c r="Y932" i="366"/>
  <c r="W932" i="366"/>
  <c r="W1004" i="366"/>
  <c r="Y1004" i="366"/>
  <c r="W605" i="366"/>
  <c r="Y605" i="366"/>
  <c r="W67" i="366"/>
  <c r="Y67" i="366"/>
  <c r="Y213" i="366"/>
  <c r="W213" i="366"/>
  <c r="W866" i="366"/>
  <c r="Y866" i="366"/>
  <c r="W427" i="366"/>
  <c r="Y427" i="366"/>
  <c r="W670" i="366"/>
  <c r="Y670" i="366"/>
  <c r="W141" i="366"/>
  <c r="Y141" i="366"/>
  <c r="W830" i="366"/>
  <c r="Y830" i="366"/>
  <c r="W144" i="366"/>
  <c r="Y144" i="366"/>
  <c r="W538" i="366"/>
  <c r="Y538" i="366"/>
  <c r="W489" i="366"/>
  <c r="Y489" i="366"/>
  <c r="Y585" i="366"/>
  <c r="W585" i="366"/>
  <c r="Y50" i="366"/>
  <c r="W50" i="366"/>
  <c r="W316" i="366"/>
  <c r="Y316" i="366"/>
  <c r="Y858" i="366"/>
  <c r="W858" i="366"/>
  <c r="W165" i="366"/>
  <c r="Y165" i="366"/>
  <c r="Y748" i="366"/>
  <c r="W748" i="366"/>
  <c r="W132" i="366"/>
  <c r="Y132" i="366"/>
  <c r="Y768" i="366"/>
  <c r="W768" i="366"/>
  <c r="W792" i="366"/>
  <c r="Y792" i="366"/>
  <c r="W16" i="366"/>
  <c r="Y16" i="366"/>
  <c r="Y449" i="366"/>
  <c r="W449" i="366"/>
  <c r="W425" i="366"/>
  <c r="Y425" i="366"/>
  <c r="Y640" i="366"/>
  <c r="W640" i="366"/>
  <c r="Y257" i="366"/>
  <c r="W257" i="366"/>
  <c r="Y992" i="366"/>
  <c r="W992" i="366"/>
  <c r="Y730" i="366"/>
  <c r="W730" i="366"/>
  <c r="W347" i="366"/>
  <c r="Y347" i="366"/>
  <c r="W345" i="366"/>
  <c r="Y345" i="366"/>
  <c r="Y386" i="366"/>
  <c r="W386" i="366"/>
  <c r="W959" i="366"/>
  <c r="Y959" i="366"/>
  <c r="Y76" i="366"/>
  <c r="W76" i="366"/>
  <c r="W432" i="366"/>
  <c r="Y432" i="366"/>
  <c r="W513" i="366"/>
  <c r="Y513" i="366"/>
  <c r="Y683" i="366"/>
  <c r="W683" i="366"/>
  <c r="Y382" i="366"/>
  <c r="W382" i="366"/>
  <c r="Y346" i="366"/>
  <c r="W346" i="366"/>
  <c r="Y938" i="366"/>
  <c r="W938" i="366"/>
  <c r="Y525" i="366"/>
  <c r="W525" i="366"/>
  <c r="W515" i="366"/>
  <c r="Y515" i="366"/>
  <c r="W726" i="366"/>
  <c r="Y726" i="366"/>
  <c r="W661" i="366"/>
  <c r="Y661" i="366"/>
  <c r="W369" i="366"/>
  <c r="Y369" i="366"/>
  <c r="W142" i="366"/>
  <c r="Y142" i="366"/>
  <c r="W923" i="366"/>
  <c r="Y923" i="366"/>
  <c r="Y178" i="366"/>
  <c r="W178" i="366"/>
  <c r="Y150" i="366"/>
  <c r="W150" i="366"/>
  <c r="W358" i="366"/>
  <c r="Y358" i="366"/>
  <c r="Y383" i="366"/>
  <c r="W383" i="366"/>
  <c r="W245" i="366"/>
  <c r="Y245" i="366"/>
  <c r="W391" i="366"/>
  <c r="Y391" i="366"/>
  <c r="W177" i="366"/>
  <c r="Y177" i="366"/>
  <c r="W234" i="366"/>
  <c r="Y234" i="366"/>
  <c r="Y531" i="366"/>
  <c r="W531" i="366"/>
  <c r="Y499" i="366"/>
  <c r="W499" i="366"/>
  <c r="W549" i="366"/>
  <c r="Y549" i="366"/>
  <c r="Y7" i="366"/>
  <c r="W7" i="366"/>
  <c r="Y371" i="366"/>
  <c r="W371" i="366"/>
  <c r="W104" i="366"/>
  <c r="Y104" i="366"/>
  <c r="Y723" i="366"/>
  <c r="W723" i="366"/>
  <c r="W979" i="366"/>
  <c r="Y979" i="366"/>
  <c r="Y364" i="366"/>
  <c r="W364" i="366"/>
  <c r="W680" i="366"/>
  <c r="Y680" i="366"/>
  <c r="W623" i="366"/>
  <c r="Y623" i="366"/>
  <c r="W212" i="366"/>
  <c r="Y212" i="366"/>
  <c r="W336" i="366"/>
  <c r="Y336" i="366"/>
  <c r="Y842" i="366"/>
  <c r="W842" i="366"/>
  <c r="W503" i="366"/>
  <c r="Y503" i="366"/>
  <c r="Y251" i="366"/>
  <c r="W251" i="366"/>
  <c r="W685" i="366"/>
  <c r="Y685" i="366"/>
  <c r="W134" i="366"/>
  <c r="Y134" i="366"/>
  <c r="W910" i="366"/>
  <c r="Y910" i="366"/>
  <c r="W240" i="366"/>
  <c r="Y240" i="366"/>
  <c r="Y863" i="366"/>
  <c r="W863" i="366"/>
  <c r="Y225" i="366"/>
  <c r="W225" i="366"/>
  <c r="Y188" i="366"/>
  <c r="W188" i="366"/>
  <c r="W229" i="366"/>
  <c r="Y229" i="366"/>
  <c r="Y298" i="366"/>
  <c r="W298" i="366"/>
  <c r="W583" i="366"/>
  <c r="Y583" i="366"/>
  <c r="Y496" i="366"/>
  <c r="W496" i="366"/>
  <c r="W210" i="366"/>
  <c r="Y210" i="366"/>
  <c r="Y741" i="366"/>
  <c r="W741" i="366"/>
  <c r="Y183" i="366"/>
  <c r="W183" i="366"/>
  <c r="W911" i="366"/>
  <c r="Y911" i="366"/>
  <c r="Y969" i="366"/>
  <c r="W969" i="366"/>
  <c r="Y1006" i="366"/>
  <c r="W1006" i="366"/>
  <c r="Y591" i="366"/>
  <c r="W591" i="366"/>
  <c r="W641" i="366"/>
  <c r="Y641" i="366"/>
  <c r="Y934" i="366"/>
  <c r="W934" i="366"/>
  <c r="Y917" i="366"/>
  <c r="W917" i="366"/>
  <c r="Y269" i="366"/>
  <c r="W269" i="366"/>
  <c r="W514" i="366"/>
  <c r="Y514" i="366"/>
  <c r="Y782" i="366"/>
  <c r="W782" i="366"/>
  <c r="Y604" i="366"/>
  <c r="W604" i="366"/>
  <c r="Y398" i="366"/>
  <c r="W398" i="366"/>
  <c r="Y484" i="366"/>
  <c r="W484" i="366"/>
  <c r="W619" i="366"/>
  <c r="Y619" i="366"/>
  <c r="W870" i="366"/>
  <c r="Y870" i="366"/>
  <c r="Y45" i="366"/>
  <c r="W45" i="366"/>
  <c r="W145" i="366"/>
  <c r="Y145" i="366"/>
  <c r="Y450" i="366"/>
  <c r="W450" i="366"/>
  <c r="Y681" i="366"/>
  <c r="W681" i="366"/>
  <c r="Y206" i="366"/>
  <c r="W206" i="366"/>
  <c r="Y114" i="366"/>
  <c r="W114" i="366"/>
  <c r="Y922" i="366"/>
  <c r="W922" i="366"/>
  <c r="Y414" i="366"/>
  <c r="W414" i="366"/>
  <c r="W387" i="366"/>
  <c r="Y387" i="366"/>
  <c r="Y613" i="366"/>
  <c r="W613" i="366"/>
  <c r="W436" i="366"/>
  <c r="Y436" i="366"/>
  <c r="W973" i="366"/>
  <c r="Y973" i="366"/>
  <c r="W755" i="366"/>
  <c r="Y755" i="366"/>
  <c r="Y43" i="366"/>
  <c r="W43" i="366"/>
  <c r="Y776" i="366"/>
  <c r="W776" i="366"/>
  <c r="Y693" i="366"/>
  <c r="W693" i="366"/>
  <c r="Y297" i="366"/>
  <c r="W297" i="366"/>
  <c r="W559" i="366"/>
  <c r="Y559" i="366"/>
  <c r="W27" i="366"/>
  <c r="Y27" i="366"/>
  <c r="Y285" i="366"/>
  <c r="W285" i="366"/>
  <c r="Y149" i="366"/>
  <c r="W149" i="366"/>
  <c r="Y893" i="366"/>
  <c r="W893" i="366"/>
  <c r="W555" i="366"/>
  <c r="Y555" i="366"/>
  <c r="Y235" i="366"/>
  <c r="W235" i="366"/>
  <c r="Y697" i="366"/>
  <c r="W697" i="366"/>
  <c r="Y678" i="366"/>
  <c r="W678" i="366"/>
  <c r="W463" i="366"/>
  <c r="Y463" i="366"/>
  <c r="Y763" i="366"/>
  <c r="W763" i="366"/>
  <c r="Y921" i="366"/>
  <c r="W921" i="366"/>
  <c r="Y41" i="366"/>
  <c r="W41" i="366"/>
  <c r="Y112" i="366"/>
  <c r="W112" i="366"/>
  <c r="Y182" i="366"/>
  <c r="W182" i="366"/>
  <c r="Y540" i="366"/>
  <c r="W540" i="366"/>
  <c r="Y674" i="366"/>
  <c r="W674" i="366"/>
  <c r="Y809" i="366"/>
  <c r="W809" i="366"/>
  <c r="W648" i="366"/>
  <c r="Y648" i="366"/>
  <c r="Y563" i="366"/>
  <c r="W563" i="366"/>
  <c r="Y884" i="366"/>
  <c r="W884" i="366"/>
  <c r="Y357" i="366"/>
  <c r="W357" i="366"/>
  <c r="Y882" i="366"/>
  <c r="W882" i="366"/>
  <c r="Y24" i="366"/>
  <c r="W24" i="366"/>
  <c r="Y77" i="366"/>
  <c r="W77" i="366"/>
  <c r="W852" i="366"/>
  <c r="Y852" i="366"/>
  <c r="Y899" i="366"/>
  <c r="W899" i="366"/>
  <c r="W300" i="366"/>
  <c r="Y300" i="366"/>
  <c r="Y955" i="366"/>
  <c r="W955" i="366"/>
  <c r="Y785" i="366"/>
  <c r="W785" i="366"/>
  <c r="W873" i="366"/>
  <c r="Y873" i="366"/>
  <c r="Y442" i="366"/>
  <c r="W442" i="366"/>
  <c r="W208" i="366"/>
  <c r="Y208" i="366"/>
  <c r="W475" i="366"/>
  <c r="Y475" i="366"/>
  <c r="W579" i="366"/>
  <c r="Y579" i="366"/>
  <c r="W109" i="366"/>
  <c r="Y109" i="366"/>
  <c r="Y252" i="366"/>
  <c r="W252" i="366"/>
  <c r="W906" i="366"/>
  <c r="Y906" i="366"/>
  <c r="Y551" i="366"/>
  <c r="W551" i="366"/>
  <c r="Y676" i="366"/>
  <c r="W676" i="366"/>
  <c r="Y47" i="366"/>
  <c r="W47" i="366"/>
  <c r="Y561" i="366"/>
  <c r="W561" i="366"/>
  <c r="W325" i="366"/>
  <c r="Y325" i="366"/>
  <c r="Y1001" i="366"/>
  <c r="W1001" i="366"/>
  <c r="W447" i="366"/>
  <c r="Y447" i="366"/>
  <c r="Y679" i="366"/>
  <c r="W679" i="366"/>
  <c r="Y575" i="366"/>
  <c r="W575" i="366"/>
  <c r="Y10" i="366"/>
  <c r="W10" i="366"/>
  <c r="W536" i="366"/>
  <c r="Y536" i="366"/>
  <c r="Y365" i="366"/>
  <c r="W365" i="366"/>
  <c r="Y569" i="366"/>
  <c r="W569" i="366"/>
  <c r="Y122" i="366"/>
  <c r="W122" i="366"/>
  <c r="Y507" i="366"/>
  <c r="W507" i="366"/>
  <c r="W737" i="366"/>
  <c r="Y737" i="366"/>
  <c r="W331" i="366"/>
  <c r="Y331" i="366"/>
  <c r="W708" i="366"/>
  <c r="Y708" i="366"/>
  <c r="W926" i="366"/>
  <c r="Y926" i="366"/>
  <c r="W505" i="366"/>
  <c r="Y505" i="366"/>
  <c r="W15" i="366"/>
  <c r="Y15" i="366"/>
  <c r="Y849" i="366"/>
  <c r="W849" i="366"/>
  <c r="Y519" i="366"/>
  <c r="W519" i="366"/>
  <c r="W396" i="366"/>
  <c r="Y396" i="366"/>
  <c r="Y878" i="366"/>
  <c r="W878" i="366"/>
  <c r="W710" i="366"/>
  <c r="Y710" i="366"/>
  <c r="Y120" i="366"/>
  <c r="W120" i="366"/>
  <c r="Y788" i="366"/>
  <c r="W788" i="366"/>
  <c r="W770" i="366"/>
  <c r="Y770" i="366"/>
  <c r="Y192" i="366"/>
  <c r="W192" i="366"/>
  <c r="Y509" i="366"/>
  <c r="W509" i="366"/>
  <c r="Y428" i="366"/>
  <c r="W428" i="366"/>
  <c r="W128" i="366"/>
  <c r="Y128" i="366"/>
  <c r="W31" i="366"/>
  <c r="Y31" i="366"/>
  <c r="W164" i="366"/>
  <c r="Y164" i="366"/>
  <c r="W272" i="366"/>
  <c r="Y272" i="366"/>
  <c r="Y985" i="366"/>
  <c r="W985" i="366"/>
  <c r="Y115" i="366"/>
  <c r="W115" i="366"/>
  <c r="Y764" i="366"/>
  <c r="W764" i="366"/>
  <c r="Y628" i="366"/>
  <c r="W628" i="366"/>
  <c r="Y490" i="366"/>
  <c r="W490" i="366"/>
  <c r="W635" i="366"/>
  <c r="Y635" i="366"/>
  <c r="W332" i="366"/>
  <c r="Y332" i="366"/>
  <c r="Y44" i="366"/>
  <c r="W44" i="366"/>
  <c r="W116" i="366"/>
  <c r="Y116" i="366"/>
  <c r="Y777" i="366"/>
  <c r="W777" i="366"/>
  <c r="H82" i="280"/>
  <c r="H81" i="280"/>
  <c r="D45" i="109"/>
  <c r="D26" i="109"/>
  <c r="D28" i="109" s="1"/>
  <c r="E17" i="107" s="1"/>
  <c r="AW92" i="388"/>
  <c r="AW93" i="388" s="1"/>
  <c r="AW94" i="388" s="1"/>
  <c r="AW95" i="388" s="1"/>
  <c r="AC92" i="352"/>
  <c r="AC94" i="352" s="1"/>
  <c r="AC95" i="352" s="1"/>
  <c r="AC97" i="352" s="1"/>
  <c r="AA94" i="352"/>
  <c r="AA95" i="352" s="1"/>
  <c r="G89" i="393"/>
  <c r="M53" i="422" s="1"/>
  <c r="D18" i="423" s="1"/>
  <c r="E18" i="423" s="1"/>
  <c r="E58" i="411"/>
  <c r="AS72" i="168"/>
  <c r="AS73" i="168" s="1"/>
  <c r="AS75" i="168" s="1"/>
  <c r="E45" i="411" s="1"/>
  <c r="E58" i="425"/>
  <c r="BA72" i="168"/>
  <c r="BA73" i="168" s="1"/>
  <c r="BA75" i="168" s="1"/>
  <c r="E45" i="425" s="1"/>
  <c r="AG94" i="352"/>
  <c r="AG95" i="352" s="1"/>
  <c r="AG96" i="352" s="1"/>
  <c r="Q118" i="168" l="1"/>
  <c r="E140" i="291"/>
  <c r="Q85" i="168"/>
  <c r="E124" i="291"/>
  <c r="D23" i="416"/>
  <c r="AU94" i="389"/>
  <c r="AU95" i="389" s="1"/>
  <c r="AU96" i="389" s="1"/>
  <c r="AW96" i="389" s="1"/>
  <c r="AW98" i="389" s="1"/>
  <c r="AW99" i="389" s="1"/>
  <c r="G93" i="348"/>
  <c r="D61" i="408"/>
  <c r="J61" i="248" s="1"/>
  <c r="F91" i="400"/>
  <c r="G93" i="400"/>
  <c r="C13" i="356"/>
  <c r="D18" i="356"/>
  <c r="C20" i="356"/>
  <c r="D13" i="356"/>
  <c r="D12" i="356"/>
  <c r="U106" i="388"/>
  <c r="C21" i="361" s="1"/>
  <c r="C23" i="361" s="1"/>
  <c r="C25" i="361" s="1"/>
  <c r="D61" i="424"/>
  <c r="K61" i="248" s="1"/>
  <c r="AS92" i="352"/>
  <c r="AS94" i="352" s="1"/>
  <c r="AS95" i="352" s="1"/>
  <c r="AS97" i="352" s="1"/>
  <c r="C133" i="411"/>
  <c r="C18" i="356"/>
  <c r="E18" i="356" s="1"/>
  <c r="C12" i="356"/>
  <c r="I59" i="184"/>
  <c r="I60" i="184" s="1"/>
  <c r="I62" i="184" s="1"/>
  <c r="J57" i="302" s="1"/>
  <c r="K57" i="302" s="1"/>
  <c r="C119" i="425"/>
  <c r="C14" i="356"/>
  <c r="E14" i="356" s="1"/>
  <c r="W54" i="168"/>
  <c r="K107" i="352"/>
  <c r="E125" i="389"/>
  <c r="C133" i="425"/>
  <c r="K59" i="184"/>
  <c r="K60" i="184" s="1"/>
  <c r="K62" i="184" s="1"/>
  <c r="J57" i="315" s="1"/>
  <c r="K57" i="315" s="1"/>
  <c r="W85" i="388"/>
  <c r="W86" i="388" s="1"/>
  <c r="AE85" i="388"/>
  <c r="AE86" i="388" s="1"/>
  <c r="G105" i="389"/>
  <c r="G55" i="352"/>
  <c r="J93" i="268"/>
  <c r="C21" i="357"/>
  <c r="E21" i="357" s="1"/>
  <c r="G55" i="168"/>
  <c r="F93" i="268"/>
  <c r="I93" i="268" s="1"/>
  <c r="C21" i="359"/>
  <c r="F92" i="280"/>
  <c r="F69" i="184"/>
  <c r="F70" i="184" s="1"/>
  <c r="F72" i="184" s="1"/>
  <c r="D51" i="357" s="1"/>
  <c r="E51" i="357" s="1"/>
  <c r="G107" i="352"/>
  <c r="C21" i="350"/>
  <c r="E21" i="350" s="1"/>
  <c r="R58" i="184"/>
  <c r="AY92" i="352" s="1"/>
  <c r="AY94" i="352" s="1"/>
  <c r="AY95" i="352" s="1"/>
  <c r="AY90" i="389"/>
  <c r="AE54" i="168"/>
  <c r="D23" i="431"/>
  <c r="AI141" i="388"/>
  <c r="AI102" i="388" s="1"/>
  <c r="AI103" i="388"/>
  <c r="AE54" i="389"/>
  <c r="AE55" i="389" s="1"/>
  <c r="W54" i="389"/>
  <c r="W55" i="389" s="1"/>
  <c r="AS90" i="389"/>
  <c r="AS92" i="389" s="1"/>
  <c r="AS93" i="389" s="1"/>
  <c r="AS95" i="389" s="1"/>
  <c r="AQ92" i="389"/>
  <c r="AQ93" i="389" s="1"/>
  <c r="AQ95" i="389" s="1"/>
  <c r="AQ96" i="389" s="1"/>
  <c r="BC93" i="389"/>
  <c r="BC94" i="389" s="1"/>
  <c r="BE91" i="389"/>
  <c r="BC92" i="389"/>
  <c r="AE54" i="352"/>
  <c r="M92" i="315" s="1"/>
  <c r="W54" i="388"/>
  <c r="W55" i="388" s="1"/>
  <c r="O107" i="352"/>
  <c r="ED52" i="168"/>
  <c r="ED111" i="168"/>
  <c r="ED51" i="168" s="1"/>
  <c r="AI125" i="168"/>
  <c r="AI102" i="168" s="1"/>
  <c r="AI103" i="168"/>
  <c r="E21" i="360"/>
  <c r="AU74" i="168"/>
  <c r="AU119" i="168" s="1"/>
  <c r="C129" i="411" s="1"/>
  <c r="AW73" i="168"/>
  <c r="AW74" i="168" s="1"/>
  <c r="E12" i="357"/>
  <c r="E12" i="359"/>
  <c r="E16" i="359" s="1"/>
  <c r="F79" i="315"/>
  <c r="T85" i="60"/>
  <c r="C38" i="363"/>
  <c r="D21" i="325"/>
  <c r="H79" i="315"/>
  <c r="D70" i="316"/>
  <c r="H70" i="248" s="1"/>
  <c r="BE105" i="388"/>
  <c r="BE106" i="388" s="1"/>
  <c r="BE141" i="388"/>
  <c r="BC98" i="388"/>
  <c r="BC99" i="388" s="1"/>
  <c r="C44" i="363"/>
  <c r="M79" i="315"/>
  <c r="U85" i="60"/>
  <c r="M52" i="422"/>
  <c r="D17" i="423" s="1"/>
  <c r="E17" i="423" s="1"/>
  <c r="BE73" i="168"/>
  <c r="E119" i="425" s="1"/>
  <c r="W98" i="389"/>
  <c r="W99" i="389" s="1"/>
  <c r="AU47" i="352"/>
  <c r="AU48" i="352" s="1"/>
  <c r="AU52" i="352" s="1"/>
  <c r="L39" i="184"/>
  <c r="AA55" i="389"/>
  <c r="I24" i="184"/>
  <c r="S55" i="388"/>
  <c r="K24" i="184"/>
  <c r="AA55" i="388"/>
  <c r="I39" i="184"/>
  <c r="S86" i="388"/>
  <c r="J39" i="184"/>
  <c r="S55" i="389"/>
  <c r="K39" i="184"/>
  <c r="AA86" i="388"/>
  <c r="AC96" i="389"/>
  <c r="AC98" i="389" s="1"/>
  <c r="AC99" i="389" s="1"/>
  <c r="AA98" i="389"/>
  <c r="AA99" i="389" s="1"/>
  <c r="AA103" i="389" s="1"/>
  <c r="C48" i="361"/>
  <c r="C50" i="361" s="1"/>
  <c r="C51" i="361" s="1"/>
  <c r="D72" i="301" s="1"/>
  <c r="G72" i="248" s="1"/>
  <c r="AM47" i="168"/>
  <c r="AM48" i="168" s="1"/>
  <c r="AI48" i="352"/>
  <c r="AI52" i="352" s="1"/>
  <c r="AC85" i="168"/>
  <c r="E49" i="327"/>
  <c r="E64" i="327"/>
  <c r="AC118" i="168"/>
  <c r="C65" i="291"/>
  <c r="K86" i="168"/>
  <c r="C66" i="291" s="1"/>
  <c r="G42" i="184"/>
  <c r="C26" i="313"/>
  <c r="AI48" i="389"/>
  <c r="AI52" i="389" s="1"/>
  <c r="AS79" i="389"/>
  <c r="AS76" i="168"/>
  <c r="C46" i="411"/>
  <c r="AQ78" i="168"/>
  <c r="AY47" i="389"/>
  <c r="BA45" i="389"/>
  <c r="BA47" i="389" s="1"/>
  <c r="AS48" i="352"/>
  <c r="C52" i="327"/>
  <c r="AA82" i="168"/>
  <c r="AK48" i="352"/>
  <c r="AI48" i="168"/>
  <c r="AI52" i="168" s="1"/>
  <c r="U98" i="352"/>
  <c r="U100" i="352" s="1"/>
  <c r="U101" i="352" s="1"/>
  <c r="S100" i="352"/>
  <c r="S101" i="352" s="1"/>
  <c r="S141" i="389"/>
  <c r="S102" i="389" s="1"/>
  <c r="S105" i="389" s="1"/>
  <c r="S134" i="389"/>
  <c r="F57" i="400"/>
  <c r="F70" i="400" s="1"/>
  <c r="F76" i="400" s="1"/>
  <c r="Z30" i="184"/>
  <c r="Z31" i="184" s="1"/>
  <c r="AK48" i="389"/>
  <c r="C48" i="383"/>
  <c r="AI79" i="168"/>
  <c r="AI83" i="168" s="1"/>
  <c r="BA45" i="168"/>
  <c r="BA47" i="168" s="1"/>
  <c r="AY47" i="168"/>
  <c r="BA45" i="388"/>
  <c r="BA47" i="388" s="1"/>
  <c r="AY47" i="388"/>
  <c r="AA97" i="352"/>
  <c r="AA98" i="352" s="1"/>
  <c r="AQ97" i="352"/>
  <c r="AQ98" i="352" s="1"/>
  <c r="AQ79" i="388"/>
  <c r="AQ83" i="388" s="1"/>
  <c r="AK48" i="168"/>
  <c r="E49" i="303"/>
  <c r="U85" i="168"/>
  <c r="U118" i="168"/>
  <c r="E64" i="303"/>
  <c r="U105" i="389"/>
  <c r="U134" i="389"/>
  <c r="U141" i="389"/>
  <c r="BA45" i="352"/>
  <c r="BA47" i="352" s="1"/>
  <c r="AY47" i="352"/>
  <c r="AS45" i="389"/>
  <c r="AS47" i="389" s="1"/>
  <c r="AQ47" i="389"/>
  <c r="AI48" i="388"/>
  <c r="AI52" i="388" s="1"/>
  <c r="AS96" i="388"/>
  <c r="AS98" i="388" s="1"/>
  <c r="AS99" i="388" s="1"/>
  <c r="AQ98" i="388"/>
  <c r="AQ99" i="388" s="1"/>
  <c r="AK105" i="168"/>
  <c r="AK125" i="168"/>
  <c r="G27" i="184"/>
  <c r="G82" i="184" s="1"/>
  <c r="G30" i="184"/>
  <c r="AS79" i="388"/>
  <c r="AS45" i="388"/>
  <c r="AS47" i="388" s="1"/>
  <c r="AQ47" i="388"/>
  <c r="AS45" i="168"/>
  <c r="AS47" i="168" s="1"/>
  <c r="AQ47" i="168"/>
  <c r="AK141" i="388"/>
  <c r="AK105" i="388"/>
  <c r="AO106" i="388" s="1"/>
  <c r="C52" i="303"/>
  <c r="S82" i="168"/>
  <c r="AK48" i="388"/>
  <c r="AQ79" i="389"/>
  <c r="AQ83" i="389" s="1"/>
  <c r="E46" i="383"/>
  <c r="AK78" i="168"/>
  <c r="C46" i="425"/>
  <c r="AY78" i="168"/>
  <c r="BA76" i="168"/>
  <c r="AK76" i="388"/>
  <c r="AK78" i="388" s="1"/>
  <c r="AI78" i="388"/>
  <c r="AQ48" i="352"/>
  <c r="AQ52" i="352" s="1"/>
  <c r="AS96" i="168"/>
  <c r="AS98" i="168" s="1"/>
  <c r="AS99" i="168" s="1"/>
  <c r="AQ98" i="168"/>
  <c r="AQ99" i="168" s="1"/>
  <c r="I91" i="268"/>
  <c r="D14" i="357"/>
  <c r="N57" i="268"/>
  <c r="O57" i="268" s="1"/>
  <c r="K57" i="268"/>
  <c r="H57" i="268"/>
  <c r="E45" i="184"/>
  <c r="E46" i="184" s="1"/>
  <c r="D14" i="350"/>
  <c r="C14" i="357"/>
  <c r="J57" i="268"/>
  <c r="E30" i="184"/>
  <c r="F57" i="268"/>
  <c r="F70" i="268" s="1"/>
  <c r="F76" i="268" s="1"/>
  <c r="C14" i="350"/>
  <c r="N70" i="2"/>
  <c r="N74" i="2" s="1"/>
  <c r="C45" i="363" s="1"/>
  <c r="E12" i="350"/>
  <c r="AW44" i="389"/>
  <c r="AO127" i="389"/>
  <c r="AO54" i="389"/>
  <c r="AO55" i="389" s="1"/>
  <c r="Y105" i="389"/>
  <c r="Y141" i="389"/>
  <c r="Y134" i="389"/>
  <c r="AO127" i="388"/>
  <c r="AO54" i="388"/>
  <c r="AO55" i="388" s="1"/>
  <c r="M53" i="410"/>
  <c r="D18" i="409" s="1"/>
  <c r="E18" i="409" s="1"/>
  <c r="C128" i="291"/>
  <c r="O82" i="168"/>
  <c r="AU142" i="388"/>
  <c r="AU95" i="388"/>
  <c r="AU96" i="388" s="1"/>
  <c r="AW96" i="388" s="1"/>
  <c r="AW98" i="388" s="1"/>
  <c r="AW99" i="388" s="1"/>
  <c r="AO75" i="168"/>
  <c r="E121" i="383" s="1"/>
  <c r="E120" i="383"/>
  <c r="W100" i="352"/>
  <c r="W101" i="352" s="1"/>
  <c r="AM96" i="352"/>
  <c r="C120" i="383"/>
  <c r="AM75" i="168"/>
  <c r="AM119" i="168"/>
  <c r="C129" i="383" s="1"/>
  <c r="AM47" i="388"/>
  <c r="AM48" i="388" s="1"/>
  <c r="AM52" i="388" s="1"/>
  <c r="M52" i="369"/>
  <c r="D17" i="372" s="1"/>
  <c r="AU75" i="389"/>
  <c r="AU76" i="389" s="1"/>
  <c r="AW76" i="389" s="1"/>
  <c r="AW78" i="389" s="1"/>
  <c r="AW79" i="389" s="1"/>
  <c r="AU135" i="389"/>
  <c r="AM47" i="352"/>
  <c r="P59" i="2"/>
  <c r="P61" i="2"/>
  <c r="Y86" i="60" s="1"/>
  <c r="AU142" i="389"/>
  <c r="BC112" i="352"/>
  <c r="BC44" i="352"/>
  <c r="BC45" i="352" s="1"/>
  <c r="BE45" i="352" s="1"/>
  <c r="BE47" i="352" s="1"/>
  <c r="BE48" i="352" s="1"/>
  <c r="AU44" i="389"/>
  <c r="AU45" i="389" s="1"/>
  <c r="AW45" i="389" s="1"/>
  <c r="AW47" i="389" s="1"/>
  <c r="AW48" i="389" s="1"/>
  <c r="AU128" i="389"/>
  <c r="BC135" i="389"/>
  <c r="BC75" i="389"/>
  <c r="BC76" i="389" s="1"/>
  <c r="BE76" i="389" s="1"/>
  <c r="BE78" i="389" s="1"/>
  <c r="BE79" i="389" s="1"/>
  <c r="E57" i="411"/>
  <c r="E43" i="411"/>
  <c r="H89" i="369"/>
  <c r="H94" i="369"/>
  <c r="D86" i="371" s="1"/>
  <c r="I86" i="248" s="1"/>
  <c r="AE128" i="352"/>
  <c r="AE97" i="352"/>
  <c r="AE98" i="352" s="1"/>
  <c r="AG98" i="352" s="1"/>
  <c r="AG100" i="352" s="1"/>
  <c r="AM94" i="389"/>
  <c r="AU112" i="168"/>
  <c r="AU44" i="168"/>
  <c r="AU45" i="168" s="1"/>
  <c r="AW45" i="168" s="1"/>
  <c r="AW47" i="168" s="1"/>
  <c r="Y107" i="352"/>
  <c r="Y127" i="352"/>
  <c r="C124" i="303"/>
  <c r="W79" i="168"/>
  <c r="W83" i="168" s="1"/>
  <c r="AU135" i="388"/>
  <c r="AU75" i="388"/>
  <c r="AU76" i="388" s="1"/>
  <c r="AW76" i="388" s="1"/>
  <c r="AW78" i="388" s="1"/>
  <c r="AW79" i="388" s="1"/>
  <c r="W111" i="352"/>
  <c r="W51" i="352" s="1"/>
  <c r="W54" i="352" s="1"/>
  <c r="H89" i="410"/>
  <c r="H94" i="410"/>
  <c r="D86" i="408" s="1"/>
  <c r="J86" i="248" s="1"/>
  <c r="AM78" i="388"/>
  <c r="AM79" i="388" s="1"/>
  <c r="C120" i="425"/>
  <c r="BC75" i="168"/>
  <c r="BC119" i="168"/>
  <c r="C129" i="425" s="1"/>
  <c r="BC112" i="168"/>
  <c r="BC44" i="168"/>
  <c r="BC45" i="168" s="1"/>
  <c r="BE45" i="168" s="1"/>
  <c r="BE47" i="168" s="1"/>
  <c r="BE48" i="168" s="1"/>
  <c r="AO54" i="352"/>
  <c r="AO55" i="352" s="1"/>
  <c r="AO111" i="352"/>
  <c r="AG97" i="352"/>
  <c r="Q86" i="168"/>
  <c r="E142" i="291" s="1"/>
  <c r="E141" i="291"/>
  <c r="C124" i="327"/>
  <c r="AE79" i="168"/>
  <c r="AE83" i="168" s="1"/>
  <c r="E32" i="421"/>
  <c r="D39" i="434"/>
  <c r="D39" i="419"/>
  <c r="E32" i="435"/>
  <c r="E32" i="374"/>
  <c r="D39" i="373"/>
  <c r="AI92" i="389"/>
  <c r="AI93" i="389" s="1"/>
  <c r="AI95" i="389" s="1"/>
  <c r="AI96" i="389" s="1"/>
  <c r="AK90" i="389"/>
  <c r="AK92" i="389" s="1"/>
  <c r="AK93" i="389" s="1"/>
  <c r="AK95" i="389" s="1"/>
  <c r="AW44" i="388"/>
  <c r="BC44" i="388"/>
  <c r="BC45" i="388" s="1"/>
  <c r="BE45" i="388" s="1"/>
  <c r="BE47" i="388" s="1"/>
  <c r="BE48" i="388" s="1"/>
  <c r="BC128" i="388"/>
  <c r="AO85" i="388"/>
  <c r="AO86" i="388" s="1"/>
  <c r="AO134" i="388"/>
  <c r="E17" i="409"/>
  <c r="M70" i="2"/>
  <c r="D26" i="324"/>
  <c r="AU44" i="388"/>
  <c r="AU45" i="388" s="1"/>
  <c r="AW45" i="388" s="1"/>
  <c r="AW47" i="388" s="1"/>
  <c r="AU128" i="388"/>
  <c r="AM141" i="388"/>
  <c r="AM102" i="388" s="1"/>
  <c r="AM105" i="388" s="1"/>
  <c r="AE135" i="389"/>
  <c r="AE95" i="389"/>
  <c r="AE96" i="389" s="1"/>
  <c r="AG96" i="389" s="1"/>
  <c r="AG98" i="389" s="1"/>
  <c r="AG99" i="389" s="1"/>
  <c r="AE142" i="389"/>
  <c r="AO92" i="389"/>
  <c r="AO93" i="389" s="1"/>
  <c r="AO94" i="389" s="1"/>
  <c r="AO95" i="389" s="1"/>
  <c r="BC128" i="389"/>
  <c r="BC44" i="389"/>
  <c r="BC45" i="389" s="1"/>
  <c r="E57" i="425"/>
  <c r="E43" i="425"/>
  <c r="M53" i="369"/>
  <c r="D18" i="372" s="1"/>
  <c r="E18" i="372" s="1"/>
  <c r="ED55" i="168"/>
  <c r="BC135" i="388"/>
  <c r="BC75" i="388"/>
  <c r="BC76" i="388" s="1"/>
  <c r="BE76" i="388" s="1"/>
  <c r="BE78" i="388" s="1"/>
  <c r="BE79" i="388" s="1"/>
  <c r="E122" i="303"/>
  <c r="Y78" i="168"/>
  <c r="H89" i="422"/>
  <c r="H94" i="422"/>
  <c r="D86" i="424" s="1"/>
  <c r="K86" i="248" s="1"/>
  <c r="AW54" i="352"/>
  <c r="AW55" i="352" s="1"/>
  <c r="AW111" i="352"/>
  <c r="AO94" i="352"/>
  <c r="AO95" i="352" s="1"/>
  <c r="AO96" i="352" s="1"/>
  <c r="AO97" i="352" s="1"/>
  <c r="E122" i="327"/>
  <c r="AG78" i="168"/>
  <c r="C48" i="360"/>
  <c r="C50" i="360" s="1"/>
  <c r="C51" i="360" s="1"/>
  <c r="D72" i="281" s="1"/>
  <c r="F72" i="248" s="1"/>
  <c r="AK92" i="352"/>
  <c r="AK94" i="352" s="1"/>
  <c r="AK95" i="352" s="1"/>
  <c r="AK97" i="352" s="1"/>
  <c r="AI94" i="352"/>
  <c r="AI95" i="352" s="1"/>
  <c r="BC94" i="352"/>
  <c r="BC95" i="352" s="1"/>
  <c r="BE93" i="352"/>
  <c r="AM47" i="389"/>
  <c r="AM48" i="389" s="1"/>
  <c r="O59" i="2"/>
  <c r="D25" i="373" s="1"/>
  <c r="O61" i="2"/>
  <c r="X86" i="60" s="1"/>
  <c r="D24" i="373"/>
  <c r="AU96" i="352"/>
  <c r="AO111" i="168"/>
  <c r="AO54" i="168"/>
  <c r="AO55" i="168" s="1"/>
  <c r="D25" i="360"/>
  <c r="E23" i="360"/>
  <c r="D49" i="357" l="1"/>
  <c r="E49" i="357" s="1"/>
  <c r="E53" i="357" s="1"/>
  <c r="AI105" i="168"/>
  <c r="E119" i="411"/>
  <c r="D16" i="356"/>
  <c r="C16" i="356"/>
  <c r="C24" i="356" s="1"/>
  <c r="E13" i="356"/>
  <c r="E12" i="356"/>
  <c r="ED54" i="168"/>
  <c r="F93" i="400" s="1"/>
  <c r="AI105" i="388"/>
  <c r="M59" i="184" s="1"/>
  <c r="M60" i="184" s="1"/>
  <c r="M62" i="184" s="1"/>
  <c r="J57" i="369" s="1"/>
  <c r="K57" i="369" s="1"/>
  <c r="AU75" i="168"/>
  <c r="AU76" i="168" s="1"/>
  <c r="D24" i="423"/>
  <c r="E24" i="423" s="1"/>
  <c r="C120" i="411"/>
  <c r="BA92" i="352"/>
  <c r="BA94" i="352" s="1"/>
  <c r="BA95" i="352" s="1"/>
  <c r="BA97" i="352" s="1"/>
  <c r="C58" i="357"/>
  <c r="E58" i="357" s="1"/>
  <c r="E106" i="389"/>
  <c r="W55" i="168"/>
  <c r="F92" i="302"/>
  <c r="C21" i="364"/>
  <c r="AM134" i="388"/>
  <c r="AM82" i="388" s="1"/>
  <c r="AM83" i="388"/>
  <c r="W127" i="352"/>
  <c r="W104" i="352" s="1"/>
  <c r="W105" i="352"/>
  <c r="BC142" i="389"/>
  <c r="BC95" i="389"/>
  <c r="BC96" i="389" s="1"/>
  <c r="BE96" i="389" s="1"/>
  <c r="C21" i="368"/>
  <c r="F92" i="315"/>
  <c r="E133" i="411"/>
  <c r="S127" i="352"/>
  <c r="S104" i="352" s="1"/>
  <c r="S105" i="352"/>
  <c r="BE92" i="389"/>
  <c r="BE93" i="389"/>
  <c r="BE94" i="389" s="1"/>
  <c r="BE95" i="389" s="1"/>
  <c r="W141" i="389"/>
  <c r="W102" i="389" s="1"/>
  <c r="W103" i="389"/>
  <c r="AM127" i="389"/>
  <c r="AM51" i="389" s="1"/>
  <c r="AM52" i="389"/>
  <c r="AM111" i="168"/>
  <c r="AM51" i="168" s="1"/>
  <c r="AM52" i="168"/>
  <c r="C135" i="327"/>
  <c r="C138" i="327"/>
  <c r="AQ125" i="168"/>
  <c r="AQ102" i="168" s="1"/>
  <c r="AQ103" i="168"/>
  <c r="BC141" i="388"/>
  <c r="BC102" i="388" s="1"/>
  <c r="BC103" i="388"/>
  <c r="AS96" i="389"/>
  <c r="AS98" i="389" s="1"/>
  <c r="AS99" i="389" s="1"/>
  <c r="AQ98" i="389"/>
  <c r="AQ99" i="389" s="1"/>
  <c r="BA90" i="389"/>
  <c r="BA92" i="389" s="1"/>
  <c r="BA93" i="389" s="1"/>
  <c r="BA95" i="389" s="1"/>
  <c r="AY92" i="389"/>
  <c r="AY93" i="389" s="1"/>
  <c r="M78" i="315"/>
  <c r="M81" i="315" s="1"/>
  <c r="BE74" i="168"/>
  <c r="E120" i="425" s="1"/>
  <c r="D24" i="409"/>
  <c r="E24" i="409" s="1"/>
  <c r="C138" i="303"/>
  <c r="C135" i="303"/>
  <c r="AQ141" i="388"/>
  <c r="AQ102" i="388" s="1"/>
  <c r="AQ103" i="388"/>
  <c r="C62" i="383"/>
  <c r="C59" i="383"/>
  <c r="E133" i="425"/>
  <c r="W134" i="389"/>
  <c r="C44" i="372"/>
  <c r="Y85" i="60"/>
  <c r="I79" i="410"/>
  <c r="I79" i="369"/>
  <c r="I79" i="422"/>
  <c r="X85" i="60"/>
  <c r="C38" i="372"/>
  <c r="D70" i="371"/>
  <c r="I70" i="248" s="1"/>
  <c r="D21" i="374"/>
  <c r="F79" i="369"/>
  <c r="H79" i="369"/>
  <c r="N73" i="2"/>
  <c r="P70" i="2"/>
  <c r="P74" i="2" s="1"/>
  <c r="I78" i="369" s="1"/>
  <c r="I81" i="369" s="1"/>
  <c r="Y106" i="389"/>
  <c r="AW48" i="388"/>
  <c r="AW54" i="388" s="1"/>
  <c r="AW55" i="388" s="1"/>
  <c r="AG101" i="352"/>
  <c r="AG107" i="352" s="1"/>
  <c r="J59" i="184"/>
  <c r="J60" i="184" s="1"/>
  <c r="J62" i="184" s="1"/>
  <c r="L57" i="302" s="1"/>
  <c r="AU47" i="389"/>
  <c r="AU48" i="389" s="1"/>
  <c r="AU52" i="389" s="1"/>
  <c r="AU98" i="388"/>
  <c r="AU99" i="388" s="1"/>
  <c r="AE100" i="352"/>
  <c r="AE101" i="352" s="1"/>
  <c r="AI79" i="388"/>
  <c r="AI83" i="388" s="1"/>
  <c r="AY79" i="168"/>
  <c r="AY83" i="168" s="1"/>
  <c r="C48" i="425"/>
  <c r="AQ48" i="388"/>
  <c r="AQ52" i="388" s="1"/>
  <c r="AS105" i="388"/>
  <c r="AS141" i="388"/>
  <c r="AQ48" i="389"/>
  <c r="AQ52" i="389" s="1"/>
  <c r="AK54" i="168"/>
  <c r="AK55" i="168" s="1"/>
  <c r="AK111" i="168"/>
  <c r="AS98" i="352"/>
  <c r="AS100" i="352" s="1"/>
  <c r="AS101" i="352" s="1"/>
  <c r="AQ100" i="352"/>
  <c r="AQ101" i="352" s="1"/>
  <c r="AY48" i="388"/>
  <c r="AY52" i="388" s="1"/>
  <c r="AK54" i="389"/>
  <c r="AK55" i="389" s="1"/>
  <c r="AK127" i="389"/>
  <c r="AK54" i="352"/>
  <c r="AK55" i="352" s="1"/>
  <c r="AK111" i="352"/>
  <c r="AS54" i="352"/>
  <c r="AS55" i="352" s="1"/>
  <c r="AS111" i="352"/>
  <c r="AY48" i="389"/>
  <c r="AY52" i="389" s="1"/>
  <c r="AS134" i="389"/>
  <c r="AS85" i="389"/>
  <c r="AS86" i="389" s="1"/>
  <c r="AI97" i="352"/>
  <c r="AI98" i="352" s="1"/>
  <c r="AY97" i="352"/>
  <c r="AY98" i="352" s="1"/>
  <c r="AS125" i="168"/>
  <c r="AS105" i="168"/>
  <c r="AK79" i="388"/>
  <c r="AQ134" i="389"/>
  <c r="AQ82" i="389" s="1"/>
  <c r="AQ85" i="389" s="1"/>
  <c r="AQ86" i="389" s="1"/>
  <c r="AS48" i="388"/>
  <c r="G31" i="184"/>
  <c r="G6" i="176"/>
  <c r="AS48" i="389"/>
  <c r="BA48" i="388"/>
  <c r="U127" i="352"/>
  <c r="U107" i="352"/>
  <c r="AQ79" i="168"/>
  <c r="AQ83" i="168" s="1"/>
  <c r="C48" i="411"/>
  <c r="D8" i="281"/>
  <c r="G45" i="184"/>
  <c r="C28" i="313"/>
  <c r="D62" i="109" s="1"/>
  <c r="D68" i="109" s="1"/>
  <c r="D70" i="109" s="1"/>
  <c r="K16" i="107" s="1"/>
  <c r="E65" i="327"/>
  <c r="AC86" i="168"/>
  <c r="E66" i="327" s="1"/>
  <c r="K40" i="184"/>
  <c r="D12" i="368"/>
  <c r="H90" i="315"/>
  <c r="D81" i="316" s="1"/>
  <c r="H81" i="248" s="1"/>
  <c r="D91" i="316"/>
  <c r="H91" i="248" s="1"/>
  <c r="C25" i="322"/>
  <c r="D91" i="301"/>
  <c r="G91" i="248" s="1"/>
  <c r="D12" i="364"/>
  <c r="I40" i="184"/>
  <c r="H90" i="302"/>
  <c r="D81" i="301" s="1"/>
  <c r="G81" i="248" s="1"/>
  <c r="C25" i="314"/>
  <c r="I25" i="184"/>
  <c r="C12" i="364"/>
  <c r="F90" i="302"/>
  <c r="F93" i="302" s="1"/>
  <c r="F95" i="302" s="1"/>
  <c r="AE98" i="389"/>
  <c r="AE99" i="389" s="1"/>
  <c r="AE134" i="389" s="1"/>
  <c r="BC78" i="389"/>
  <c r="BC79" i="389" s="1"/>
  <c r="AU98" i="389"/>
  <c r="AU99" i="389" s="1"/>
  <c r="AU141" i="389" s="1"/>
  <c r="AU102" i="389" s="1"/>
  <c r="AU105" i="389" s="1"/>
  <c r="AK79" i="168"/>
  <c r="E48" i="383"/>
  <c r="C54" i="303"/>
  <c r="S85" i="168"/>
  <c r="AQ48" i="168"/>
  <c r="AQ52" i="168" s="1"/>
  <c r="AY48" i="352"/>
  <c r="AY52" i="352" s="1"/>
  <c r="E65" i="303"/>
  <c r="U86" i="168"/>
  <c r="E66" i="303" s="1"/>
  <c r="AC98" i="352"/>
  <c r="AC100" i="352" s="1"/>
  <c r="AC101" i="352" s="1"/>
  <c r="AA100" i="352"/>
  <c r="AA101" i="352" s="1"/>
  <c r="AY48" i="168"/>
  <c r="AY52" i="168" s="1"/>
  <c r="C64" i="383"/>
  <c r="C49" i="383"/>
  <c r="AI118" i="168"/>
  <c r="AI111" i="168"/>
  <c r="AI51" i="168" s="1"/>
  <c r="AI54" i="168" s="1"/>
  <c r="AI55" i="168" s="1"/>
  <c r="C54" i="327"/>
  <c r="AA85" i="168"/>
  <c r="AI127" i="389"/>
  <c r="AI51" i="389" s="1"/>
  <c r="AI54" i="389" s="1"/>
  <c r="AA141" i="389"/>
  <c r="AA102" i="389" s="1"/>
  <c r="AA105" i="389" s="1"/>
  <c r="AA134" i="389"/>
  <c r="AK96" i="389"/>
  <c r="AK98" i="389" s="1"/>
  <c r="AK99" i="389" s="1"/>
  <c r="AI98" i="389"/>
  <c r="AI99" i="389" s="1"/>
  <c r="AI103" i="389" s="1"/>
  <c r="AQ111" i="352"/>
  <c r="AQ51" i="352" s="1"/>
  <c r="AQ54" i="352" s="1"/>
  <c r="AQ55" i="352" s="1"/>
  <c r="BA78" i="168"/>
  <c r="E46" i="425"/>
  <c r="AK54" i="388"/>
  <c r="AK55" i="388" s="1"/>
  <c r="AK127" i="388"/>
  <c r="AS48" i="168"/>
  <c r="AS85" i="388"/>
  <c r="AS86" i="388" s="1"/>
  <c r="AS134" i="388"/>
  <c r="AI127" i="388"/>
  <c r="AI51" i="388" s="1"/>
  <c r="AI54" i="388" s="1"/>
  <c r="BA48" i="352"/>
  <c r="AQ134" i="388"/>
  <c r="AQ82" i="388" s="1"/>
  <c r="AQ85" i="388" s="1"/>
  <c r="BA48" i="168"/>
  <c r="F96" i="400"/>
  <c r="F90" i="400"/>
  <c r="F95" i="400" s="1"/>
  <c r="F82" i="400"/>
  <c r="BA48" i="389"/>
  <c r="AS78" i="168"/>
  <c r="E46" i="411"/>
  <c r="AI111" i="352"/>
  <c r="AI51" i="352" s="1"/>
  <c r="AI54" i="352" s="1"/>
  <c r="AI55" i="352" s="1"/>
  <c r="AC134" i="389"/>
  <c r="AC105" i="389"/>
  <c r="AC141" i="389"/>
  <c r="M90" i="302"/>
  <c r="J40" i="184"/>
  <c r="J42" i="184" s="1"/>
  <c r="C12" i="368"/>
  <c r="F90" i="315"/>
  <c r="F93" i="315" s="1"/>
  <c r="F95" i="315" s="1"/>
  <c r="K25" i="184"/>
  <c r="M90" i="315"/>
  <c r="M93" i="315" s="1"/>
  <c r="M95" i="315" s="1"/>
  <c r="L40" i="184"/>
  <c r="L42" i="184" s="1"/>
  <c r="E14" i="350"/>
  <c r="E16" i="350" s="1"/>
  <c r="E24" i="350" s="1"/>
  <c r="E31" i="184"/>
  <c r="F6" i="176"/>
  <c r="E14" i="357"/>
  <c r="E16" i="357" s="1"/>
  <c r="E24" i="357" s="1"/>
  <c r="F96" i="268"/>
  <c r="F82" i="268"/>
  <c r="F90" i="268"/>
  <c r="F95" i="268" s="1"/>
  <c r="H70" i="268"/>
  <c r="I57" i="268"/>
  <c r="AW127" i="389"/>
  <c r="AW54" i="389"/>
  <c r="AW55" i="389" s="1"/>
  <c r="D26" i="373"/>
  <c r="D12" i="434" s="1"/>
  <c r="D14" i="434" s="1"/>
  <c r="Q26" i="2"/>
  <c r="O70" i="2"/>
  <c r="BC96" i="352"/>
  <c r="BC78" i="388"/>
  <c r="BC79" i="388" s="1"/>
  <c r="BC47" i="389"/>
  <c r="BC48" i="389" s="1"/>
  <c r="BE45" i="389"/>
  <c r="BE47" i="389" s="1"/>
  <c r="C125" i="327"/>
  <c r="C140" i="327"/>
  <c r="AE118" i="168"/>
  <c r="BE134" i="389"/>
  <c r="BE85" i="389"/>
  <c r="BE86" i="389" s="1"/>
  <c r="AU78" i="389"/>
  <c r="AU79" i="389" s="1"/>
  <c r="AM127" i="388"/>
  <c r="AM51" i="388" s="1"/>
  <c r="AM54" i="388" s="1"/>
  <c r="AM55" i="388" s="1"/>
  <c r="AW141" i="388"/>
  <c r="AW105" i="388"/>
  <c r="C130" i="291"/>
  <c r="O85" i="168"/>
  <c r="E124" i="327"/>
  <c r="AG79" i="168"/>
  <c r="AG141" i="389"/>
  <c r="AG134" i="389"/>
  <c r="AG105" i="389"/>
  <c r="AU47" i="388"/>
  <c r="AU48" i="388" s="1"/>
  <c r="AU52" i="388" s="1"/>
  <c r="AW75" i="168"/>
  <c r="E121" i="411" s="1"/>
  <c r="E120" i="411"/>
  <c r="BC47" i="388"/>
  <c r="BC48" i="388" s="1"/>
  <c r="AU111" i="352"/>
  <c r="AU51" i="352" s="1"/>
  <c r="AU54" i="352" s="1"/>
  <c r="BC47" i="168"/>
  <c r="C121" i="425"/>
  <c r="BC76" i="168"/>
  <c r="AU78" i="388"/>
  <c r="AU79" i="388" s="1"/>
  <c r="AM95" i="389"/>
  <c r="AM96" i="389" s="1"/>
  <c r="AO96" i="389" s="1"/>
  <c r="AO98" i="389" s="1"/>
  <c r="AO99" i="389" s="1"/>
  <c r="AM135" i="389"/>
  <c r="AM142" i="389"/>
  <c r="BC47" i="352"/>
  <c r="AW105" i="389"/>
  <c r="AW141" i="389"/>
  <c r="AM48" i="352"/>
  <c r="AM52" i="352" s="1"/>
  <c r="D26" i="360"/>
  <c r="E25" i="360"/>
  <c r="E124" i="303"/>
  <c r="Y79" i="168"/>
  <c r="D27" i="324"/>
  <c r="M74" i="2"/>
  <c r="BE54" i="168"/>
  <c r="BE55" i="168" s="1"/>
  <c r="BE111" i="168"/>
  <c r="M92" i="302"/>
  <c r="W55" i="352"/>
  <c r="C125" i="303"/>
  <c r="C140" i="303"/>
  <c r="W118" i="168"/>
  <c r="AU47" i="168"/>
  <c r="BE111" i="352"/>
  <c r="BE54" i="352"/>
  <c r="BE55" i="352" s="1"/>
  <c r="AW85" i="389"/>
  <c r="AW86" i="389" s="1"/>
  <c r="AW134" i="389"/>
  <c r="AM128" i="352"/>
  <c r="AM97" i="352"/>
  <c r="AM98" i="352" s="1"/>
  <c r="AO98" i="352" s="1"/>
  <c r="AO100" i="352" s="1"/>
  <c r="AO101" i="352" s="1"/>
  <c r="AU97" i="352"/>
  <c r="AU98" i="352" s="1"/>
  <c r="AW98" i="352" s="1"/>
  <c r="AW100" i="352" s="1"/>
  <c r="AW101" i="352" s="1"/>
  <c r="AU128" i="352"/>
  <c r="BE94" i="352"/>
  <c r="BE95" i="352" s="1"/>
  <c r="BE96" i="352" s="1"/>
  <c r="BE97" i="352" s="1"/>
  <c r="BE134" i="388"/>
  <c r="BE85" i="388"/>
  <c r="BE86" i="388" s="1"/>
  <c r="BE54" i="388"/>
  <c r="BE55" i="388" s="1"/>
  <c r="BE127" i="388"/>
  <c r="AW134" i="388"/>
  <c r="AW85" i="388"/>
  <c r="AW86" i="388" s="1"/>
  <c r="AW48" i="168"/>
  <c r="E17" i="372"/>
  <c r="D24" i="372"/>
  <c r="E24" i="372" s="1"/>
  <c r="C121" i="383"/>
  <c r="AM76" i="168"/>
  <c r="BE75" i="168" l="1"/>
  <c r="E121" i="425" s="1"/>
  <c r="E16" i="356"/>
  <c r="AK106" i="388"/>
  <c r="C21" i="372" s="1"/>
  <c r="C23" i="372" s="1"/>
  <c r="C25" i="372" s="1"/>
  <c r="AG127" i="352"/>
  <c r="AQ105" i="388"/>
  <c r="O59" i="184" s="1"/>
  <c r="O60" i="184" s="1"/>
  <c r="O62" i="184" s="1"/>
  <c r="J57" i="410" s="1"/>
  <c r="K57" i="410" s="1"/>
  <c r="AW127" i="388"/>
  <c r="BC105" i="388"/>
  <c r="BA106" i="388" s="1"/>
  <c r="C21" i="423" s="1"/>
  <c r="C23" i="423" s="1"/>
  <c r="C25" i="423" s="1"/>
  <c r="E12" i="368"/>
  <c r="E16" i="368" s="1"/>
  <c r="AM54" i="389"/>
  <c r="AM55" i="389" s="1"/>
  <c r="C121" i="411"/>
  <c r="AQ105" i="168"/>
  <c r="AM54" i="168"/>
  <c r="C21" i="384" s="1"/>
  <c r="W105" i="389"/>
  <c r="U106" i="389" s="1"/>
  <c r="D21" i="361" s="1"/>
  <c r="D23" i="361" s="1"/>
  <c r="S107" i="352"/>
  <c r="BE98" i="389"/>
  <c r="BE99" i="389" s="1"/>
  <c r="BE105" i="389" s="1"/>
  <c r="BE106" i="389" s="1"/>
  <c r="AW106" i="388"/>
  <c r="E61" i="357"/>
  <c r="E126" i="389" s="1"/>
  <c r="D21" i="356" s="1"/>
  <c r="D23" i="356" s="1"/>
  <c r="BC127" i="388"/>
  <c r="BC51" i="388" s="1"/>
  <c r="BC52" i="388"/>
  <c r="BC134" i="388"/>
  <c r="BC82" i="388" s="1"/>
  <c r="BC83" i="388"/>
  <c r="AE141" i="389"/>
  <c r="AE102" i="389" s="1"/>
  <c r="AE103" i="389"/>
  <c r="C62" i="411"/>
  <c r="C59" i="411"/>
  <c r="AE127" i="352"/>
  <c r="AE104" i="352" s="1"/>
  <c r="AE105" i="352"/>
  <c r="AQ127" i="352"/>
  <c r="AQ104" i="352" s="1"/>
  <c r="AQ105" i="352"/>
  <c r="AU141" i="388"/>
  <c r="AU102" i="388" s="1"/>
  <c r="AU103" i="388"/>
  <c r="BC98" i="389"/>
  <c r="BC99" i="389" s="1"/>
  <c r="AQ141" i="389"/>
  <c r="AQ102" i="389" s="1"/>
  <c r="AQ103" i="389"/>
  <c r="W107" i="352"/>
  <c r="AA127" i="352"/>
  <c r="AA104" i="352" s="1"/>
  <c r="AA105" i="352"/>
  <c r="C62" i="425"/>
  <c r="C59" i="425"/>
  <c r="AS105" i="389"/>
  <c r="AW106" i="389" s="1"/>
  <c r="AS141" i="389"/>
  <c r="BE141" i="389"/>
  <c r="AU134" i="388"/>
  <c r="AU82" i="388" s="1"/>
  <c r="AU83" i="388"/>
  <c r="AM85" i="388"/>
  <c r="AM86" i="388" s="1"/>
  <c r="BC127" i="389"/>
  <c r="BC51" i="389" s="1"/>
  <c r="BC52" i="389"/>
  <c r="BC134" i="389"/>
  <c r="BC82" i="389" s="1"/>
  <c r="BC83" i="389"/>
  <c r="AU134" i="389"/>
  <c r="AU82" i="389" s="1"/>
  <c r="AU83" i="389"/>
  <c r="C17" i="269"/>
  <c r="C93" i="269" s="1"/>
  <c r="E93" i="269" s="1"/>
  <c r="C15" i="269"/>
  <c r="E15" i="269" s="1"/>
  <c r="AG106" i="389"/>
  <c r="M93" i="302"/>
  <c r="M95" i="302" s="1"/>
  <c r="P73" i="2"/>
  <c r="I78" i="410"/>
  <c r="I81" i="410" s="1"/>
  <c r="I78" i="422"/>
  <c r="I81" i="422" s="1"/>
  <c r="C45" i="372"/>
  <c r="F97" i="400"/>
  <c r="J5" i="173" s="1"/>
  <c r="L59" i="184"/>
  <c r="L60" i="184" s="1"/>
  <c r="L62" i="184" s="1"/>
  <c r="L57" i="315" s="1"/>
  <c r="AM100" i="352"/>
  <c r="AM101" i="352" s="1"/>
  <c r="AM105" i="352" s="1"/>
  <c r="E12" i="364"/>
  <c r="E16" i="364" s="1"/>
  <c r="M24" i="184"/>
  <c r="AI55" i="388"/>
  <c r="N39" i="184"/>
  <c r="AI55" i="389"/>
  <c r="O39" i="184"/>
  <c r="AQ86" i="388"/>
  <c r="AU100" i="352"/>
  <c r="AU101" i="352" s="1"/>
  <c r="C65" i="327"/>
  <c r="AA86" i="168"/>
  <c r="C66" i="327" s="1"/>
  <c r="AY111" i="168"/>
  <c r="AY51" i="168" s="1"/>
  <c r="AY54" i="168" s="1"/>
  <c r="AY55" i="168" s="1"/>
  <c r="C26" i="322"/>
  <c r="K42" i="184"/>
  <c r="G46" i="184"/>
  <c r="C31" i="313"/>
  <c r="C64" i="411"/>
  <c r="C49" i="411"/>
  <c r="AQ118" i="168"/>
  <c r="E48" i="411"/>
  <c r="AS79" i="168"/>
  <c r="BA54" i="352"/>
  <c r="BA55" i="352" s="1"/>
  <c r="BA111" i="352"/>
  <c r="C52" i="383"/>
  <c r="AI82" i="168"/>
  <c r="C26" i="314"/>
  <c r="I42" i="184"/>
  <c r="F46" i="106"/>
  <c r="BA54" i="388"/>
  <c r="BA55" i="388" s="1"/>
  <c r="BA127" i="388"/>
  <c r="AS107" i="352"/>
  <c r="AS127" i="352"/>
  <c r="AQ127" i="389"/>
  <c r="AQ51" i="389" s="1"/>
  <c r="AQ54" i="389" s="1"/>
  <c r="AQ127" i="388"/>
  <c r="AQ51" i="388" s="1"/>
  <c r="AQ54" i="388" s="1"/>
  <c r="AI134" i="388"/>
  <c r="AI82" i="388" s="1"/>
  <c r="AI85" i="388" s="1"/>
  <c r="K27" i="184"/>
  <c r="K82" i="184" s="1"/>
  <c r="K30" i="184"/>
  <c r="BA54" i="389"/>
  <c r="BA55" i="389" s="1"/>
  <c r="BA127" i="389"/>
  <c r="AS111" i="168"/>
  <c r="AS54" i="168"/>
  <c r="AS55" i="168" s="1"/>
  <c r="AI141" i="389"/>
  <c r="AI102" i="389" s="1"/>
  <c r="AI105" i="389" s="1"/>
  <c r="AI134" i="389"/>
  <c r="AY111" i="352"/>
  <c r="AY51" i="352" s="1"/>
  <c r="AY54" i="352" s="1"/>
  <c r="AY55" i="352" s="1"/>
  <c r="AQ111" i="168"/>
  <c r="AQ51" i="168" s="1"/>
  <c r="AQ54" i="168" s="1"/>
  <c r="AQ55" i="168" s="1"/>
  <c r="AK118" i="168"/>
  <c r="E64" i="383"/>
  <c r="E49" i="383"/>
  <c r="AK85" i="168"/>
  <c r="I27" i="184"/>
  <c r="I82" i="184" s="1"/>
  <c r="I30" i="184"/>
  <c r="AK98" i="352"/>
  <c r="AK100" i="352" s="1"/>
  <c r="AK101" i="352" s="1"/>
  <c r="AI100" i="352"/>
  <c r="AI101" i="352" s="1"/>
  <c r="BA54" i="168"/>
  <c r="BA55" i="168" s="1"/>
  <c r="BA111" i="168"/>
  <c r="E48" i="425"/>
  <c r="BA79" i="168"/>
  <c r="AK105" i="389"/>
  <c r="AK141" i="389"/>
  <c r="AK134" i="389"/>
  <c r="AC107" i="352"/>
  <c r="AC127" i="352"/>
  <c r="C65" i="303"/>
  <c r="S86" i="168"/>
  <c r="C66" i="303" s="1"/>
  <c r="AS127" i="389"/>
  <c r="AS54" i="389"/>
  <c r="AS55" i="389" s="1"/>
  <c r="AS54" i="388"/>
  <c r="AS55" i="388" s="1"/>
  <c r="AS127" i="388"/>
  <c r="AK85" i="388"/>
  <c r="AK86" i="388" s="1"/>
  <c r="AK134" i="388"/>
  <c r="AY100" i="352"/>
  <c r="AY101" i="352" s="1"/>
  <c r="BA98" i="352"/>
  <c r="BA100" i="352" s="1"/>
  <c r="BA101" i="352" s="1"/>
  <c r="AY127" i="389"/>
  <c r="AY51" i="389" s="1"/>
  <c r="AY54" i="389" s="1"/>
  <c r="AY55" i="389" s="1"/>
  <c r="AY127" i="388"/>
  <c r="AY51" i="388" s="1"/>
  <c r="AY54" i="388" s="1"/>
  <c r="AY118" i="168"/>
  <c r="C64" i="425"/>
  <c r="C49" i="425"/>
  <c r="E119" i="269"/>
  <c r="C130" i="269"/>
  <c r="D60" i="267"/>
  <c r="E60" i="248" s="1"/>
  <c r="D44" i="267"/>
  <c r="E44" i="248" s="1"/>
  <c r="C142" i="269"/>
  <c r="E124" i="269"/>
  <c r="D46" i="227"/>
  <c r="D32" i="227" s="1"/>
  <c r="D20" i="273"/>
  <c r="D14" i="273"/>
  <c r="D50" i="267"/>
  <c r="E50" i="248" s="1"/>
  <c r="D49" i="227"/>
  <c r="E59" i="269"/>
  <c r="C125" i="269"/>
  <c r="D13" i="273"/>
  <c r="E109" i="352"/>
  <c r="E45" i="269"/>
  <c r="E47" i="269"/>
  <c r="C53" i="269"/>
  <c r="C59" i="269"/>
  <c r="D24" i="273"/>
  <c r="I126" i="388"/>
  <c r="C58" i="269"/>
  <c r="E121" i="269"/>
  <c r="C119" i="269"/>
  <c r="C135" i="269"/>
  <c r="C46" i="269"/>
  <c r="D28" i="273"/>
  <c r="D27" i="273"/>
  <c r="C49" i="269"/>
  <c r="E122" i="269"/>
  <c r="C141" i="269"/>
  <c r="C44" i="269"/>
  <c r="C48" i="269"/>
  <c r="C91" i="269"/>
  <c r="E91" i="269" s="1"/>
  <c r="E135" i="269"/>
  <c r="C43" i="269"/>
  <c r="C45" i="269"/>
  <c r="D82" i="267"/>
  <c r="E82" i="248" s="1"/>
  <c r="E58" i="269"/>
  <c r="Q45" i="268"/>
  <c r="T45" i="268" s="1"/>
  <c r="C25" i="275"/>
  <c r="D17" i="273"/>
  <c r="D40" i="273"/>
  <c r="D38" i="273"/>
  <c r="D15" i="273"/>
  <c r="D19" i="274"/>
  <c r="D37" i="267"/>
  <c r="E37" i="248" s="1"/>
  <c r="E44" i="269"/>
  <c r="E48" i="269"/>
  <c r="E65" i="269"/>
  <c r="E138" i="269"/>
  <c r="E64" i="269"/>
  <c r="D34" i="273"/>
  <c r="D22" i="273"/>
  <c r="D50" i="227"/>
  <c r="E142" i="269"/>
  <c r="D81" i="267"/>
  <c r="E81" i="248" s="1"/>
  <c r="D22" i="274"/>
  <c r="C140" i="269"/>
  <c r="I109" i="352"/>
  <c r="C122" i="269"/>
  <c r="G91" i="168"/>
  <c r="I91" i="168" s="1"/>
  <c r="I92" i="168" s="1"/>
  <c r="I93" i="168" s="1"/>
  <c r="I94" i="168" s="1"/>
  <c r="I95" i="168" s="1"/>
  <c r="E126" i="388"/>
  <c r="C21" i="356" s="1"/>
  <c r="C23" i="356" s="1"/>
  <c r="C25" i="356" s="1"/>
  <c r="E80" i="184"/>
  <c r="E82" i="184" s="1"/>
  <c r="F65" i="348" s="1"/>
  <c r="F70" i="348" s="1"/>
  <c r="F76" i="348" s="1"/>
  <c r="C120" i="269"/>
  <c r="D23" i="274"/>
  <c r="D11" i="273"/>
  <c r="D26" i="273"/>
  <c r="C52" i="269"/>
  <c r="D18" i="274"/>
  <c r="D49" i="267"/>
  <c r="E49" i="248" s="1"/>
  <c r="E57" i="269"/>
  <c r="E140" i="269"/>
  <c r="C133" i="269"/>
  <c r="C57" i="269"/>
  <c r="C26" i="275"/>
  <c r="C109" i="352"/>
  <c r="D91" i="267"/>
  <c r="E91" i="248" s="1"/>
  <c r="D15" i="272"/>
  <c r="D16" i="272"/>
  <c r="C123" i="269"/>
  <c r="D19" i="273"/>
  <c r="D25" i="227" s="1"/>
  <c r="D19" i="272"/>
  <c r="D31" i="273"/>
  <c r="E43" i="269"/>
  <c r="E66" i="269"/>
  <c r="D45" i="267"/>
  <c r="E45" i="248" s="1"/>
  <c r="E46" i="269"/>
  <c r="E120" i="269"/>
  <c r="D56" i="267"/>
  <c r="E56" i="248" s="1"/>
  <c r="D61" i="267"/>
  <c r="E61" i="248" s="1"/>
  <c r="C128" i="269"/>
  <c r="C28" i="275"/>
  <c r="D14" i="276" s="1"/>
  <c r="S21" i="268"/>
  <c r="Q24" i="268" s="1"/>
  <c r="D36" i="273"/>
  <c r="D84" i="267"/>
  <c r="E84" i="248" s="1"/>
  <c r="C66" i="269"/>
  <c r="D20" i="274"/>
  <c r="E141" i="269"/>
  <c r="C62" i="269"/>
  <c r="C24" i="275"/>
  <c r="D51" i="227"/>
  <c r="E49" i="269"/>
  <c r="D32" i="273"/>
  <c r="D55" i="267"/>
  <c r="E55" i="248" s="1"/>
  <c r="E62" i="269"/>
  <c r="D54" i="267"/>
  <c r="D21" i="227" s="1"/>
  <c r="D26" i="227" s="1"/>
  <c r="G109" i="352"/>
  <c r="E125" i="269"/>
  <c r="C64" i="269"/>
  <c r="C124" i="269"/>
  <c r="E134" i="269"/>
  <c r="D16" i="273"/>
  <c r="E123" i="269"/>
  <c r="C138" i="269"/>
  <c r="D30" i="273"/>
  <c r="C129" i="269"/>
  <c r="D23" i="273"/>
  <c r="C54" i="269"/>
  <c r="D47" i="267"/>
  <c r="E47" i="248" s="1"/>
  <c r="X41" i="393"/>
  <c r="X42" i="393" s="1"/>
  <c r="X43" i="393" s="1"/>
  <c r="X47" i="393" s="1"/>
  <c r="X51" i="393" s="1"/>
  <c r="V33" i="393" s="1"/>
  <c r="D21" i="274"/>
  <c r="C134" i="269"/>
  <c r="C31" i="275"/>
  <c r="D48" i="267"/>
  <c r="E48" i="248" s="1"/>
  <c r="C47" i="269"/>
  <c r="D47" i="227"/>
  <c r="C65" i="269"/>
  <c r="D86" i="267"/>
  <c r="E86" i="248" s="1"/>
  <c r="D83" i="267"/>
  <c r="E83" i="248" s="1"/>
  <c r="D46" i="267"/>
  <c r="E46" i="248" s="1"/>
  <c r="C23" i="275"/>
  <c r="C121" i="269"/>
  <c r="C32" i="275"/>
  <c r="D38" i="267" s="1"/>
  <c r="E38" i="248" s="1"/>
  <c r="E133" i="269"/>
  <c r="F97" i="268"/>
  <c r="J70" i="268"/>
  <c r="I70" i="268"/>
  <c r="H76" i="268"/>
  <c r="D46" i="358"/>
  <c r="D54" i="358"/>
  <c r="I126" i="389"/>
  <c r="D50" i="358"/>
  <c r="D37" i="358"/>
  <c r="D49" i="358"/>
  <c r="D55" i="358"/>
  <c r="D47" i="358"/>
  <c r="D81" i="358"/>
  <c r="D61" i="358"/>
  <c r="D83" i="358"/>
  <c r="D82" i="358"/>
  <c r="D48" i="358"/>
  <c r="D90" i="358"/>
  <c r="D92" i="358" s="1"/>
  <c r="D94" i="358" s="1"/>
  <c r="D45" i="358"/>
  <c r="D80" i="358"/>
  <c r="D44" i="358"/>
  <c r="D56" i="358"/>
  <c r="D60" i="358"/>
  <c r="D28" i="227"/>
  <c r="G65" i="348"/>
  <c r="AW107" i="352"/>
  <c r="AW127" i="352"/>
  <c r="AU48" i="168"/>
  <c r="E140" i="303"/>
  <c r="Y118" i="168"/>
  <c r="Y85" i="168"/>
  <c r="E125" i="303"/>
  <c r="AO134" i="389"/>
  <c r="AO141" i="389"/>
  <c r="AO105" i="389"/>
  <c r="BC48" i="168"/>
  <c r="I92" i="410"/>
  <c r="I92" i="422"/>
  <c r="AU55" i="352"/>
  <c r="BE48" i="389"/>
  <c r="AW111" i="168"/>
  <c r="AW54" i="168"/>
  <c r="AO107" i="352"/>
  <c r="AO127" i="352"/>
  <c r="AU127" i="389"/>
  <c r="AU51" i="389" s="1"/>
  <c r="AU54" i="389" s="1"/>
  <c r="F78" i="315"/>
  <c r="F81" i="315" s="1"/>
  <c r="D28" i="324"/>
  <c r="D69" i="316"/>
  <c r="H69" i="248" s="1"/>
  <c r="H78" i="315"/>
  <c r="C39" i="363"/>
  <c r="M73" i="2"/>
  <c r="D67" i="281"/>
  <c r="D80" i="281"/>
  <c r="F80" i="248" s="1"/>
  <c r="D12" i="287"/>
  <c r="D26" i="287" s="1"/>
  <c r="D62" i="281" s="1"/>
  <c r="F62" i="248" s="1"/>
  <c r="D73" i="281"/>
  <c r="F73" i="248" s="1"/>
  <c r="D64" i="281"/>
  <c r="F64" i="248" s="1"/>
  <c r="E125" i="327"/>
  <c r="AG118" i="168"/>
  <c r="E140" i="327"/>
  <c r="AG85" i="168"/>
  <c r="C128" i="327"/>
  <c r="AE82" i="168"/>
  <c r="O74" i="2"/>
  <c r="D27" i="373"/>
  <c r="C128" i="303"/>
  <c r="W82" i="168"/>
  <c r="BC48" i="352"/>
  <c r="AM98" i="389"/>
  <c r="AM99" i="389" s="1"/>
  <c r="AM103" i="389" s="1"/>
  <c r="BC78" i="168"/>
  <c r="C122" i="425"/>
  <c r="BE76" i="168"/>
  <c r="C141" i="291"/>
  <c r="D92" i="281" s="1"/>
  <c r="H92" i="280"/>
  <c r="O86" i="168"/>
  <c r="C142" i="291" s="1"/>
  <c r="D21" i="359"/>
  <c r="E21" i="359" s="1"/>
  <c r="E24" i="359" s="1"/>
  <c r="C17" i="291" s="1"/>
  <c r="Q30" i="2"/>
  <c r="Q47" i="2" s="1"/>
  <c r="R26" i="2"/>
  <c r="C122" i="383"/>
  <c r="AO76" i="168"/>
  <c r="AM78" i="168"/>
  <c r="AM111" i="352"/>
  <c r="AM51" i="352" s="1"/>
  <c r="AM54" i="352" s="1"/>
  <c r="AU127" i="388"/>
  <c r="AU51" i="388" s="1"/>
  <c r="AU54" i="388" s="1"/>
  <c r="AU55" i="388" s="1"/>
  <c r="C122" i="411"/>
  <c r="AW76" i="168"/>
  <c r="AU78" i="168"/>
  <c r="BC128" i="352"/>
  <c r="BC97" i="352"/>
  <c r="BC98" i="352" s="1"/>
  <c r="BE98" i="352" s="1"/>
  <c r="BE100" i="352" s="1"/>
  <c r="BE101" i="352" s="1"/>
  <c r="AU85" i="388" l="1"/>
  <c r="AU86" i="388" s="1"/>
  <c r="AA107" i="352"/>
  <c r="AQ107" i="352"/>
  <c r="E17" i="269"/>
  <c r="AU85" i="389"/>
  <c r="AU86" i="389" s="1"/>
  <c r="BC54" i="389"/>
  <c r="BC55" i="389" s="1"/>
  <c r="AQ105" i="389"/>
  <c r="E21" i="361"/>
  <c r="E23" i="361"/>
  <c r="D25" i="361"/>
  <c r="E25" i="361" s="1"/>
  <c r="D27" i="227"/>
  <c r="D29" i="227" s="1"/>
  <c r="D30" i="227" s="1"/>
  <c r="D31" i="227" s="1"/>
  <c r="D33" i="227" s="1"/>
  <c r="BC85" i="389"/>
  <c r="BC86" i="389" s="1"/>
  <c r="AM55" i="168"/>
  <c r="F92" i="369"/>
  <c r="D20" i="356"/>
  <c r="BC111" i="168"/>
  <c r="BC51" i="168" s="1"/>
  <c r="BC52" i="168"/>
  <c r="BC111" i="352"/>
  <c r="BC51" i="352" s="1"/>
  <c r="BC52" i="352"/>
  <c r="R59" i="184"/>
  <c r="R60" i="184" s="1"/>
  <c r="R62" i="184" s="1"/>
  <c r="Q22" i="268"/>
  <c r="AI127" i="352"/>
  <c r="AI104" i="352" s="1"/>
  <c r="AI105" i="352"/>
  <c r="AU105" i="388"/>
  <c r="AS106" i="388" s="1"/>
  <c r="C21" i="409" s="1"/>
  <c r="C23" i="409" s="1"/>
  <c r="C25" i="409" s="1"/>
  <c r="AE107" i="352"/>
  <c r="AE105" i="389"/>
  <c r="AC106" i="389" s="1"/>
  <c r="D21" i="363" s="1"/>
  <c r="D23" i="363" s="1"/>
  <c r="E23" i="363" s="1"/>
  <c r="BC54" i="388"/>
  <c r="BC55" i="388" s="1"/>
  <c r="AU111" i="168"/>
  <c r="AU51" i="168" s="1"/>
  <c r="AU52" i="168"/>
  <c r="AU127" i="352"/>
  <c r="AU104" i="352" s="1"/>
  <c r="AU105" i="352"/>
  <c r="AM127" i="352"/>
  <c r="AM104" i="352" s="1"/>
  <c r="AM107" i="352" s="1"/>
  <c r="G92" i="168"/>
  <c r="G93" i="168" s="1"/>
  <c r="G94" i="168" s="1"/>
  <c r="AY127" i="352"/>
  <c r="AY104" i="352" s="1"/>
  <c r="AY105" i="352"/>
  <c r="BC103" i="389"/>
  <c r="BC141" i="389"/>
  <c r="BC102" i="389" s="1"/>
  <c r="BC85" i="388"/>
  <c r="BC86" i="388" s="1"/>
  <c r="E23" i="356"/>
  <c r="E21" i="356"/>
  <c r="E54" i="248"/>
  <c r="C93" i="291"/>
  <c r="E93" i="291" s="1"/>
  <c r="E17" i="291"/>
  <c r="AO106" i="389"/>
  <c r="Q26" i="268"/>
  <c r="Q25" i="268"/>
  <c r="Q27" i="268"/>
  <c r="Q24" i="184"/>
  <c r="AY55" i="388"/>
  <c r="AK127" i="352"/>
  <c r="AK107" i="352"/>
  <c r="N59" i="184"/>
  <c r="N60" i="184" s="1"/>
  <c r="N62" i="184" s="1"/>
  <c r="C52" i="425"/>
  <c r="AY82" i="168"/>
  <c r="H6" i="176"/>
  <c r="I31" i="184"/>
  <c r="K31" i="184"/>
  <c r="I6" i="176"/>
  <c r="O24" i="184"/>
  <c r="AQ55" i="388"/>
  <c r="C54" i="383"/>
  <c r="AI85" i="168"/>
  <c r="E49" i="411"/>
  <c r="AS118" i="168"/>
  <c r="E64" i="411"/>
  <c r="AS85" i="168"/>
  <c r="I90" i="422"/>
  <c r="I93" i="422" s="1"/>
  <c r="I95" i="422" s="1"/>
  <c r="I90" i="369"/>
  <c r="N40" i="184"/>
  <c r="N42" i="184" s="1"/>
  <c r="I90" i="410"/>
  <c r="I93" i="410" s="1"/>
  <c r="I95" i="410" s="1"/>
  <c r="Q21" i="268"/>
  <c r="Q35" i="268"/>
  <c r="BA85" i="168"/>
  <c r="E64" i="425"/>
  <c r="BA118" i="168"/>
  <c r="E49" i="425"/>
  <c r="AQ82" i="168"/>
  <c r="C52" i="411"/>
  <c r="C32" i="313"/>
  <c r="D38" i="281"/>
  <c r="F38" i="248" s="1"/>
  <c r="BA127" i="352"/>
  <c r="BA107" i="352"/>
  <c r="E65" i="383"/>
  <c r="AK86" i="168"/>
  <c r="E66" i="383" s="1"/>
  <c r="M39" i="184"/>
  <c r="AI86" i="388"/>
  <c r="P39" i="184"/>
  <c r="P40" i="184" s="1"/>
  <c r="P42" i="184" s="1"/>
  <c r="AQ55" i="389"/>
  <c r="I45" i="184"/>
  <c r="D8" i="301"/>
  <c r="C28" i="314"/>
  <c r="C28" i="322"/>
  <c r="D8" i="316"/>
  <c r="K45" i="184"/>
  <c r="O40" i="184"/>
  <c r="C25" i="417"/>
  <c r="H90" i="410"/>
  <c r="D81" i="408" s="1"/>
  <c r="J81" i="248" s="1"/>
  <c r="D12" i="407"/>
  <c r="D91" i="408"/>
  <c r="J91" i="248" s="1"/>
  <c r="M25" i="184"/>
  <c r="F90" i="369"/>
  <c r="F93" i="369" s="1"/>
  <c r="F95" i="369" s="1"/>
  <c r="C12" i="384"/>
  <c r="D38" i="358"/>
  <c r="Q36" i="268"/>
  <c r="Q39" i="268"/>
  <c r="Q33" i="268"/>
  <c r="V29" i="393"/>
  <c r="Q41" i="268"/>
  <c r="Q29" i="268"/>
  <c r="D92" i="267"/>
  <c r="E20" i="356"/>
  <c r="D24" i="356"/>
  <c r="F96" i="348"/>
  <c r="F82" i="348"/>
  <c r="F90" i="348"/>
  <c r="F95" i="348" s="1"/>
  <c r="H90" i="268"/>
  <c r="H96" i="268"/>
  <c r="I96" i="268" s="1"/>
  <c r="H82" i="268"/>
  <c r="I82" i="268" s="1"/>
  <c r="I76" i="268"/>
  <c r="K70" i="268"/>
  <c r="K76" i="268" s="1"/>
  <c r="J76" i="268"/>
  <c r="D21" i="419"/>
  <c r="Q55" i="2"/>
  <c r="BC100" i="352"/>
  <c r="BC101" i="352" s="1"/>
  <c r="E122" i="411"/>
  <c r="AW78" i="168"/>
  <c r="E122" i="425"/>
  <c r="BE78" i="168"/>
  <c r="D28" i="373"/>
  <c r="F78" i="369"/>
  <c r="F81" i="369" s="1"/>
  <c r="D69" i="371"/>
  <c r="I69" i="248" s="1"/>
  <c r="H78" i="369"/>
  <c r="C39" i="372"/>
  <c r="O73" i="2"/>
  <c r="H81" i="315"/>
  <c r="H82" i="315"/>
  <c r="AU55" i="168"/>
  <c r="BE107" i="352"/>
  <c r="BE127" i="352"/>
  <c r="AM79" i="168"/>
  <c r="AM83" i="168" s="1"/>
  <c r="C124" i="383"/>
  <c r="R30" i="2"/>
  <c r="R47" i="2" s="1"/>
  <c r="R55" i="2" s="1"/>
  <c r="S26" i="2"/>
  <c r="D83" i="281"/>
  <c r="F83" i="248" s="1"/>
  <c r="H93" i="280"/>
  <c r="C130" i="327"/>
  <c r="AE85" i="168"/>
  <c r="AG86" i="168"/>
  <c r="E142" i="327" s="1"/>
  <c r="E141" i="327"/>
  <c r="F67" i="248"/>
  <c r="E11" i="290"/>
  <c r="E13" i="290" s="1"/>
  <c r="E15" i="290" s="1"/>
  <c r="R39" i="184"/>
  <c r="R40" i="184" s="1"/>
  <c r="R42" i="184" s="1"/>
  <c r="AU55" i="389"/>
  <c r="BE54" i="389"/>
  <c r="BE55" i="389" s="1"/>
  <c r="BE127" i="389"/>
  <c r="E141" i="303"/>
  <c r="Y86" i="168"/>
  <c r="E142" i="303" s="1"/>
  <c r="I92" i="369"/>
  <c r="AM55" i="352"/>
  <c r="E122" i="383"/>
  <c r="AO78" i="168"/>
  <c r="F92" i="248"/>
  <c r="D93" i="281"/>
  <c r="BC79" i="168"/>
  <c r="BC83" i="168" s="1"/>
  <c r="C124" i="425"/>
  <c r="C130" i="303"/>
  <c r="W85" i="168"/>
  <c r="F92" i="410"/>
  <c r="AW55" i="168"/>
  <c r="AU79" i="168"/>
  <c r="AU83" i="168" s="1"/>
  <c r="C124" i="411"/>
  <c r="BH70" i="168"/>
  <c r="C20" i="108"/>
  <c r="D35" i="109" s="1"/>
  <c r="D38" i="109" s="1"/>
  <c r="D40" i="109" s="1"/>
  <c r="I16" i="107" s="1"/>
  <c r="Q45" i="280"/>
  <c r="T45" i="280" s="1"/>
  <c r="C11" i="108"/>
  <c r="O91" i="168"/>
  <c r="S21" i="280"/>
  <c r="Y41" i="167"/>
  <c r="Y42" i="167" s="1"/>
  <c r="Y43" i="167" s="1"/>
  <c r="Y47" i="167" s="1"/>
  <c r="S23" i="184"/>
  <c r="C13" i="108"/>
  <c r="AM134" i="389"/>
  <c r="AM141" i="389"/>
  <c r="AM102" i="389" s="1"/>
  <c r="AM105" i="389" s="1"/>
  <c r="AK106" i="389" s="1"/>
  <c r="D21" i="372" s="1"/>
  <c r="C46" i="363"/>
  <c r="C40" i="363"/>
  <c r="BC55" i="168"/>
  <c r="AY107" i="352" l="1"/>
  <c r="D25" i="363"/>
  <c r="E25" i="363" s="1"/>
  <c r="D26" i="361"/>
  <c r="D67" i="301" s="1"/>
  <c r="P59" i="184"/>
  <c r="P60" i="184" s="1"/>
  <c r="P62" i="184" s="1"/>
  <c r="AS106" i="389"/>
  <c r="D21" i="409" s="1"/>
  <c r="D23" i="409" s="1"/>
  <c r="E23" i="409" s="1"/>
  <c r="E21" i="363"/>
  <c r="AU54" i="168"/>
  <c r="C21" i="407" s="1"/>
  <c r="BC54" i="168"/>
  <c r="BC127" i="352"/>
  <c r="BC104" i="352" s="1"/>
  <c r="BC105" i="352"/>
  <c r="AU107" i="352"/>
  <c r="AI107" i="352"/>
  <c r="BC54" i="352"/>
  <c r="BC55" i="352" s="1"/>
  <c r="BC105" i="389"/>
  <c r="BA106" i="389" s="1"/>
  <c r="D21" i="423" s="1"/>
  <c r="C135" i="425"/>
  <c r="C138" i="425"/>
  <c r="C135" i="411"/>
  <c r="C138" i="411"/>
  <c r="C138" i="383"/>
  <c r="C135" i="383"/>
  <c r="I93" i="369"/>
  <c r="I95" i="369" s="1"/>
  <c r="K46" i="184"/>
  <c r="C31" i="322"/>
  <c r="E65" i="411"/>
  <c r="AS86" i="168"/>
  <c r="E66" i="411" s="1"/>
  <c r="C65" i="383"/>
  <c r="AI86" i="168"/>
  <c r="C66" i="383" s="1"/>
  <c r="C54" i="425"/>
  <c r="AY85" i="168"/>
  <c r="C31" i="314"/>
  <c r="I46" i="184"/>
  <c r="D91" i="371"/>
  <c r="I91" i="248" s="1"/>
  <c r="D12" i="384"/>
  <c r="E12" i="384" s="1"/>
  <c r="E16" i="384" s="1"/>
  <c r="H90" i="369"/>
  <c r="D81" i="371" s="1"/>
  <c r="I81" i="248" s="1"/>
  <c r="M40" i="184"/>
  <c r="C25" i="380"/>
  <c r="C54" i="411"/>
  <c r="AQ85" i="168"/>
  <c r="E65" i="425"/>
  <c r="BA86" i="168"/>
  <c r="E66" i="425" s="1"/>
  <c r="M27" i="184"/>
  <c r="M82" i="184" s="1"/>
  <c r="M30" i="184"/>
  <c r="M31" i="184" s="1"/>
  <c r="O42" i="184"/>
  <c r="C26" i="417"/>
  <c r="C12" i="407"/>
  <c r="E12" i="407" s="1"/>
  <c r="E16" i="407" s="1"/>
  <c r="O25" i="184"/>
  <c r="F90" i="410"/>
  <c r="F93" i="410" s="1"/>
  <c r="F95" i="410" s="1"/>
  <c r="L57" i="410"/>
  <c r="M57" i="410" s="1"/>
  <c r="L57" i="422"/>
  <c r="M57" i="422" s="1"/>
  <c r="L57" i="369"/>
  <c r="M57" i="369" s="1"/>
  <c r="C12" i="426"/>
  <c r="E12" i="426" s="1"/>
  <c r="E16" i="426" s="1"/>
  <c r="F90" i="422"/>
  <c r="F93" i="422" s="1"/>
  <c r="F95" i="422" s="1"/>
  <c r="Q25" i="184"/>
  <c r="Q44" i="268"/>
  <c r="Q46" i="268" s="1"/>
  <c r="Q49" i="268" s="1"/>
  <c r="F97" i="348"/>
  <c r="F5" i="173" s="1"/>
  <c r="E92" i="248"/>
  <c r="D93" i="267"/>
  <c r="E24" i="356"/>
  <c r="D25" i="356"/>
  <c r="J90" i="268"/>
  <c r="J82" i="268"/>
  <c r="D72" i="358" s="1"/>
  <c r="J96" i="268"/>
  <c r="D85" i="358" s="1"/>
  <c r="D67" i="358"/>
  <c r="D64" i="358"/>
  <c r="K96" i="268"/>
  <c r="K82" i="268"/>
  <c r="K90" i="268"/>
  <c r="K95" i="268" s="1"/>
  <c r="G126" i="168"/>
  <c r="G95" i="168"/>
  <c r="G96" i="168" s="1"/>
  <c r="I96" i="168" s="1"/>
  <c r="I98" i="168" s="1"/>
  <c r="I99" i="168" s="1"/>
  <c r="I90" i="268"/>
  <c r="H95" i="268"/>
  <c r="Q91" i="168"/>
  <c r="O92" i="168"/>
  <c r="O93" i="168" s="1"/>
  <c r="BH72" i="168"/>
  <c r="BI70" i="168"/>
  <c r="BI72" i="168" s="1"/>
  <c r="C140" i="425"/>
  <c r="BC118" i="168"/>
  <c r="C125" i="425"/>
  <c r="F93" i="248"/>
  <c r="D95" i="281"/>
  <c r="F95" i="248" s="1"/>
  <c r="C40" i="372"/>
  <c r="C42" i="372" s="1"/>
  <c r="C46" i="372"/>
  <c r="H92" i="302"/>
  <c r="D21" i="364"/>
  <c r="E21" i="364" s="1"/>
  <c r="E24" i="364" s="1"/>
  <c r="W86" i="168"/>
  <c r="C142" i="303" s="1"/>
  <c r="D52" i="109"/>
  <c r="D55" i="109" s="1"/>
  <c r="D57" i="109" s="1"/>
  <c r="I21" i="107" s="1"/>
  <c r="C141" i="303"/>
  <c r="D92" i="301" s="1"/>
  <c r="H92" i="315"/>
  <c r="AE86" i="168"/>
  <c r="C142" i="327" s="1"/>
  <c r="D21" i="368"/>
  <c r="E21" i="368" s="1"/>
  <c r="E24" i="368" s="1"/>
  <c r="C141" i="327"/>
  <c r="D92" i="316" s="1"/>
  <c r="S30" i="2"/>
  <c r="S47" i="2" s="1"/>
  <c r="T26" i="2"/>
  <c r="C125" i="383"/>
  <c r="AM118" i="168"/>
  <c r="C140" i="383"/>
  <c r="H81" i="369"/>
  <c r="H82" i="369"/>
  <c r="BE79" i="168"/>
  <c r="E124" i="425"/>
  <c r="C42" i="363"/>
  <c r="C48" i="363" s="1"/>
  <c r="C50" i="363" s="1"/>
  <c r="C51" i="363" s="1"/>
  <c r="D72" i="316" s="1"/>
  <c r="D23" i="372"/>
  <c r="E21" i="372"/>
  <c r="W29" i="167"/>
  <c r="Y51" i="167"/>
  <c r="W33" i="167" s="1"/>
  <c r="C125" i="411"/>
  <c r="C140" i="411"/>
  <c r="AU118" i="168"/>
  <c r="AO79" i="168"/>
  <c r="E124" i="383"/>
  <c r="D80" i="301"/>
  <c r="G80" i="248" s="1"/>
  <c r="D12" i="309"/>
  <c r="D26" i="309" s="1"/>
  <c r="D62" i="301" s="1"/>
  <c r="G62" i="248" s="1"/>
  <c r="R61" i="2"/>
  <c r="AC86" i="60" s="1"/>
  <c r="R59" i="2"/>
  <c r="D24" i="419"/>
  <c r="Q61" i="2"/>
  <c r="AB86" i="60" s="1"/>
  <c r="Q59" i="2"/>
  <c r="D25" i="419" s="1"/>
  <c r="Q27" i="280"/>
  <c r="Q36" i="280"/>
  <c r="Q21" i="280"/>
  <c r="Q35" i="280"/>
  <c r="Q26" i="280"/>
  <c r="Q39" i="280"/>
  <c r="Q29" i="280"/>
  <c r="Q41" i="280"/>
  <c r="Q25" i="280"/>
  <c r="Q22" i="280"/>
  <c r="Q24" i="280"/>
  <c r="Q33" i="280"/>
  <c r="H95" i="280"/>
  <c r="D85" i="281"/>
  <c r="F85" i="248" s="1"/>
  <c r="E124" i="411"/>
  <c r="AW79" i="168"/>
  <c r="D26" i="363" l="1"/>
  <c r="D64" i="316" s="1"/>
  <c r="H64" i="248" s="1"/>
  <c r="BC107" i="352"/>
  <c r="D64" i="301"/>
  <c r="G64" i="248" s="1"/>
  <c r="D73" i="301"/>
  <c r="G73" i="248" s="1"/>
  <c r="E21" i="409"/>
  <c r="D25" i="409"/>
  <c r="E25" i="409" s="1"/>
  <c r="C21" i="426"/>
  <c r="F92" i="422"/>
  <c r="E21" i="423"/>
  <c r="D23" i="423"/>
  <c r="AE91" i="168"/>
  <c r="AG91" i="168" s="1"/>
  <c r="AG92" i="168" s="1"/>
  <c r="AG93" i="168" s="1"/>
  <c r="AG94" i="168" s="1"/>
  <c r="AG95" i="168" s="1"/>
  <c r="C17" i="327"/>
  <c r="W91" i="168"/>
  <c r="W92" i="168" s="1"/>
  <c r="W93" i="168" s="1"/>
  <c r="C17" i="303"/>
  <c r="AC85" i="60"/>
  <c r="C44" i="409"/>
  <c r="F79" i="410"/>
  <c r="H79" i="410" s="1"/>
  <c r="D70" i="408"/>
  <c r="J70" i="248" s="1"/>
  <c r="D21" i="421"/>
  <c r="AB85" i="60"/>
  <c r="C38" i="409"/>
  <c r="Q27" i="184"/>
  <c r="Q30" i="184"/>
  <c r="Q31" i="184" s="1"/>
  <c r="C65" i="425"/>
  <c r="AY86" i="168"/>
  <c r="C66" i="425" s="1"/>
  <c r="C48" i="372"/>
  <c r="C50" i="372" s="1"/>
  <c r="C51" i="372" s="1"/>
  <c r="D72" i="371" s="1"/>
  <c r="I72" i="248" s="1"/>
  <c r="C28" i="417"/>
  <c r="D8" i="408"/>
  <c r="O45" i="184"/>
  <c r="C26" i="380"/>
  <c r="M42" i="184"/>
  <c r="C32" i="314"/>
  <c r="D38" i="301"/>
  <c r="G38" i="248" s="1"/>
  <c r="O27" i="184"/>
  <c r="O30" i="184"/>
  <c r="O31" i="184" s="1"/>
  <c r="C65" i="411"/>
  <c r="AQ86" i="168"/>
  <c r="C66" i="411" s="1"/>
  <c r="D38" i="316"/>
  <c r="H38" i="248" s="1"/>
  <c r="C32" i="322"/>
  <c r="R44" i="268"/>
  <c r="T53" i="268" s="1"/>
  <c r="Q53" i="268" s="1"/>
  <c r="E93" i="248"/>
  <c r="D95" i="267"/>
  <c r="E95" i="248" s="1"/>
  <c r="D26" i="356"/>
  <c r="E25" i="356"/>
  <c r="K97" i="268"/>
  <c r="G98" i="168"/>
  <c r="G99" i="168" s="1"/>
  <c r="H97" i="268"/>
  <c r="I97" i="268" s="1"/>
  <c r="I95" i="268"/>
  <c r="J95" i="268"/>
  <c r="D79" i="358"/>
  <c r="R70" i="2"/>
  <c r="R74" i="2" s="1"/>
  <c r="C45" i="409" s="1"/>
  <c r="I125" i="168"/>
  <c r="I105" i="168"/>
  <c r="H72" i="248"/>
  <c r="E140" i="411"/>
  <c r="AW85" i="168"/>
  <c r="AW118" i="168"/>
  <c r="E125" i="411"/>
  <c r="Q44" i="280"/>
  <c r="Q70" i="2"/>
  <c r="D26" i="419"/>
  <c r="E140" i="383"/>
  <c r="AO118" i="168"/>
  <c r="AO85" i="168"/>
  <c r="E125" i="383"/>
  <c r="D25" i="372"/>
  <c r="E23" i="372"/>
  <c r="E140" i="425"/>
  <c r="E125" i="425"/>
  <c r="BE118" i="168"/>
  <c r="BE85" i="168"/>
  <c r="S55" i="2"/>
  <c r="D21" i="434"/>
  <c r="D83" i="316"/>
  <c r="H83" i="248" s="1"/>
  <c r="H93" i="315"/>
  <c r="E11" i="312"/>
  <c r="E13" i="312" s="1"/>
  <c r="E15" i="312" s="1"/>
  <c r="G67" i="248"/>
  <c r="C128" i="383"/>
  <c r="AM82" i="168"/>
  <c r="H92" i="248"/>
  <c r="D93" i="316"/>
  <c r="D93" i="301"/>
  <c r="G92" i="248"/>
  <c r="D83" i="301"/>
  <c r="G83" i="248" s="1"/>
  <c r="H93" i="302"/>
  <c r="C128" i="425"/>
  <c r="BC82" i="168"/>
  <c r="O94" i="168"/>
  <c r="D87" i="281"/>
  <c r="H97" i="280"/>
  <c r="C128" i="411"/>
  <c r="AU82" i="168"/>
  <c r="Q92" i="168"/>
  <c r="Q93" i="168" s="1"/>
  <c r="Q94" i="168" s="1"/>
  <c r="T30" i="2"/>
  <c r="T47" i="2" s="1"/>
  <c r="T55" i="2" s="1"/>
  <c r="AE92" i="168" l="1"/>
  <c r="AE93" i="168" s="1"/>
  <c r="D12" i="323"/>
  <c r="D26" i="323" s="1"/>
  <c r="D62" i="316" s="1"/>
  <c r="H62" i="248" s="1"/>
  <c r="Y91" i="168"/>
  <c r="Y92" i="168" s="1"/>
  <c r="Y93" i="168" s="1"/>
  <c r="Y94" i="168" s="1"/>
  <c r="Y95" i="168" s="1"/>
  <c r="D67" i="316"/>
  <c r="H67" i="248" s="1"/>
  <c r="D26" i="409"/>
  <c r="D80" i="408" s="1"/>
  <c r="J80" i="248" s="1"/>
  <c r="D80" i="316"/>
  <c r="H80" i="248" s="1"/>
  <c r="D73" i="316"/>
  <c r="H73" i="248" s="1"/>
  <c r="D25" i="423"/>
  <c r="E23" i="423"/>
  <c r="G125" i="168"/>
  <c r="G102" i="168" s="1"/>
  <c r="G103" i="168"/>
  <c r="C93" i="327"/>
  <c r="E93" i="327" s="1"/>
  <c r="E17" i="327"/>
  <c r="C93" i="303"/>
  <c r="E93" i="303" s="1"/>
  <c r="E17" i="303"/>
  <c r="Q52" i="268"/>
  <c r="Q54" i="268" s="1"/>
  <c r="R73" i="2"/>
  <c r="C31" i="417"/>
  <c r="O46" i="184"/>
  <c r="C28" i="380"/>
  <c r="M45" i="184"/>
  <c r="D8" i="371"/>
  <c r="U53" i="268"/>
  <c r="D67" i="267"/>
  <c r="D87" i="267"/>
  <c r="D85" i="267"/>
  <c r="E85" i="248" s="1"/>
  <c r="D80" i="267"/>
  <c r="E80" i="248" s="1"/>
  <c r="D64" i="267"/>
  <c r="E64" i="248" s="1"/>
  <c r="D12" i="276"/>
  <c r="D26" i="276" s="1"/>
  <c r="D62" i="267" s="1"/>
  <c r="E62" i="248" s="1"/>
  <c r="D73" i="267"/>
  <c r="E73" i="248" s="1"/>
  <c r="D84" i="358"/>
  <c r="J97" i="268"/>
  <c r="D86" i="358" s="1"/>
  <c r="Q95" i="168"/>
  <c r="T59" i="2"/>
  <c r="T61" i="2"/>
  <c r="AG86" i="60" s="1"/>
  <c r="O95" i="168"/>
  <c r="O96" i="168" s="1"/>
  <c r="Q96" i="168" s="1"/>
  <c r="Q98" i="168" s="1"/>
  <c r="O126" i="168"/>
  <c r="S61" i="2"/>
  <c r="AF86" i="60" s="1"/>
  <c r="D24" i="434"/>
  <c r="S59" i="2"/>
  <c r="D25" i="434" s="1"/>
  <c r="E141" i="383"/>
  <c r="AO86" i="168"/>
  <c r="E142" i="383" s="1"/>
  <c r="E141" i="411"/>
  <c r="AW86" i="168"/>
  <c r="E142" i="411" s="1"/>
  <c r="AE94" i="168"/>
  <c r="C130" i="425"/>
  <c r="BC85" i="168"/>
  <c r="C130" i="383"/>
  <c r="AM85" i="168"/>
  <c r="D85" i="316"/>
  <c r="H85" i="248" s="1"/>
  <c r="H95" i="315"/>
  <c r="BE86" i="168"/>
  <c r="E142" i="425" s="1"/>
  <c r="E141" i="425"/>
  <c r="F87" i="248"/>
  <c r="H24" i="173"/>
  <c r="H26" i="173" s="1"/>
  <c r="G93" i="248"/>
  <c r="D95" i="301"/>
  <c r="G95" i="248" s="1"/>
  <c r="D26" i="372"/>
  <c r="E25" i="372"/>
  <c r="Q74" i="2"/>
  <c r="D27" i="419"/>
  <c r="D64" i="424"/>
  <c r="K64" i="248" s="1"/>
  <c r="D64" i="408"/>
  <c r="J64" i="248" s="1"/>
  <c r="C130" i="411"/>
  <c r="AU85" i="168"/>
  <c r="H95" i="302"/>
  <c r="D85" i="301"/>
  <c r="G85" i="248" s="1"/>
  <c r="H93" i="248"/>
  <c r="D95" i="316"/>
  <c r="H95" i="248" s="1"/>
  <c r="W94" i="168"/>
  <c r="Q46" i="280"/>
  <c r="Q49" i="280" s="1"/>
  <c r="R44" i="280"/>
  <c r="E11" i="326" l="1"/>
  <c r="E13" i="326" s="1"/>
  <c r="E15" i="326" s="1"/>
  <c r="D12" i="418"/>
  <c r="D26" i="418" s="1"/>
  <c r="D62" i="408" s="1"/>
  <c r="J62" i="248" s="1"/>
  <c r="D67" i="408"/>
  <c r="D26" i="423"/>
  <c r="E25" i="423"/>
  <c r="G105" i="168"/>
  <c r="D70" i="424"/>
  <c r="K70" i="248" s="1"/>
  <c r="D21" i="435"/>
  <c r="F79" i="422"/>
  <c r="H79" i="422" s="1"/>
  <c r="AF85" i="60"/>
  <c r="C38" i="423"/>
  <c r="C44" i="423"/>
  <c r="AG85" i="60"/>
  <c r="Q99" i="168"/>
  <c r="Q105" i="168" s="1"/>
  <c r="C31" i="380"/>
  <c r="M46" i="184"/>
  <c r="T70" i="2"/>
  <c r="T74" i="2" s="1"/>
  <c r="T73" i="2" s="1"/>
  <c r="C32" i="417"/>
  <c r="D38" i="408"/>
  <c r="J38" i="248" s="1"/>
  <c r="F24" i="173"/>
  <c r="F26" i="173" s="1"/>
  <c r="E87" i="248"/>
  <c r="E67" i="248"/>
  <c r="E11" i="279"/>
  <c r="E13" i="279" s="1"/>
  <c r="E15" i="279" s="1"/>
  <c r="W95" i="168"/>
  <c r="W96" i="168" s="1"/>
  <c r="Y96" i="168" s="1"/>
  <c r="Y98" i="168" s="1"/>
  <c r="Y99" i="168" s="1"/>
  <c r="W126" i="168"/>
  <c r="D87" i="301"/>
  <c r="H97" i="302"/>
  <c r="H92" i="369"/>
  <c r="D21" i="384"/>
  <c r="E21" i="384" s="1"/>
  <c r="E24" i="384" s="1"/>
  <c r="C141" i="383"/>
  <c r="D92" i="371" s="1"/>
  <c r="AM86" i="168"/>
  <c r="C142" i="383" s="1"/>
  <c r="F37" i="106"/>
  <c r="L19" i="74"/>
  <c r="L20" i="74" s="1"/>
  <c r="T53" i="280"/>
  <c r="Q52" i="280"/>
  <c r="U53" i="280"/>
  <c r="BH15" i="168"/>
  <c r="S11" i="184"/>
  <c r="S12" i="184" s="1"/>
  <c r="H92" i="410"/>
  <c r="C141" i="411"/>
  <c r="D92" i="408" s="1"/>
  <c r="AU86" i="168"/>
  <c r="C142" i="411" s="1"/>
  <c r="D21" i="407"/>
  <c r="E21" i="407" s="1"/>
  <c r="E24" i="407" s="1"/>
  <c r="D28" i="419"/>
  <c r="D69" i="408"/>
  <c r="J69" i="248" s="1"/>
  <c r="Q73" i="2"/>
  <c r="F78" i="410"/>
  <c r="C39" i="409"/>
  <c r="AE126" i="168"/>
  <c r="AE95" i="168"/>
  <c r="AE96" i="168" s="1"/>
  <c r="O98" i="168"/>
  <c r="O99" i="168" s="1"/>
  <c r="F24" i="106"/>
  <c r="S22" i="184"/>
  <c r="H97" i="315"/>
  <c r="D87" i="316"/>
  <c r="H87" i="248" s="1"/>
  <c r="C141" i="425"/>
  <c r="D92" i="424" s="1"/>
  <c r="H92" i="422"/>
  <c r="BC86" i="168"/>
  <c r="C142" i="425" s="1"/>
  <c r="D21" i="426"/>
  <c r="E21" i="426" s="1"/>
  <c r="E24" i="426" s="1"/>
  <c r="S70" i="2"/>
  <c r="D26" i="434"/>
  <c r="E11" i="420"/>
  <c r="E13" i="420" s="1"/>
  <c r="E15" i="420" s="1"/>
  <c r="J67" i="248"/>
  <c r="D80" i="371"/>
  <c r="I80" i="248" s="1"/>
  <c r="D64" i="371"/>
  <c r="I64" i="248" s="1"/>
  <c r="D12" i="381"/>
  <c r="D26" i="381" s="1"/>
  <c r="D62" i="371" s="1"/>
  <c r="I62" i="248" s="1"/>
  <c r="D67" i="371"/>
  <c r="D73" i="371"/>
  <c r="I73" i="248" s="1"/>
  <c r="D62" i="424" l="1"/>
  <c r="K62" i="248" s="1"/>
  <c r="BI15" i="168"/>
  <c r="BJ15" i="168" s="1"/>
  <c r="BK15" i="168" s="1"/>
  <c r="BH16" i="168"/>
  <c r="D80" i="424"/>
  <c r="K80" i="248" s="1"/>
  <c r="D12" i="433"/>
  <c r="D26" i="433" s="1"/>
  <c r="D67" i="424"/>
  <c r="BC91" i="168"/>
  <c r="BC93" i="168" s="1"/>
  <c r="C17" i="425"/>
  <c r="AU91" i="168"/>
  <c r="AW91" i="168" s="1"/>
  <c r="C17" i="411"/>
  <c r="AM91" i="168"/>
  <c r="AM92" i="168" s="1"/>
  <c r="AM93" i="168" s="1"/>
  <c r="C17" i="383"/>
  <c r="O125" i="168"/>
  <c r="O102" i="168" s="1"/>
  <c r="O103" i="168"/>
  <c r="Q53" i="280"/>
  <c r="F28" i="106" s="1"/>
  <c r="C45" i="423"/>
  <c r="Q125" i="168"/>
  <c r="D38" i="371"/>
  <c r="I38" i="248" s="1"/>
  <c r="C32" i="380"/>
  <c r="D83" i="424"/>
  <c r="K83" i="248" s="1"/>
  <c r="H93" i="422"/>
  <c r="H78" i="410"/>
  <c r="F81" i="410"/>
  <c r="S14" i="184"/>
  <c r="S20" i="184"/>
  <c r="D83" i="371"/>
  <c r="I83" i="248" s="1"/>
  <c r="H93" i="369"/>
  <c r="S74" i="2"/>
  <c r="D27" i="434"/>
  <c r="K92" i="248"/>
  <c r="D93" i="424"/>
  <c r="AG96" i="168"/>
  <c r="AG98" i="168" s="1"/>
  <c r="AG99" i="168" s="1"/>
  <c r="AE98" i="168"/>
  <c r="AE99" i="168" s="1"/>
  <c r="BJ24" i="168"/>
  <c r="BK24" i="168" s="1"/>
  <c r="BK119" i="168"/>
  <c r="BI112" i="168"/>
  <c r="BH24" i="168"/>
  <c r="BI24" i="168" s="1"/>
  <c r="BI33" i="168" s="1"/>
  <c r="BK112" i="168"/>
  <c r="BI119" i="168"/>
  <c r="Y125" i="168"/>
  <c r="Y105" i="168"/>
  <c r="E11" i="382"/>
  <c r="E13" i="382" s="1"/>
  <c r="E15" i="382" s="1"/>
  <c r="I67" i="248"/>
  <c r="J92" i="248"/>
  <c r="D93" i="408"/>
  <c r="I92" i="248"/>
  <c r="D93" i="371"/>
  <c r="G87" i="248"/>
  <c r="J24" i="173"/>
  <c r="J26" i="173" s="1"/>
  <c r="C46" i="409"/>
  <c r="C40" i="409"/>
  <c r="C42" i="409" s="1"/>
  <c r="D83" i="408"/>
  <c r="J83" i="248" s="1"/>
  <c r="H93" i="410"/>
  <c r="F26" i="106"/>
  <c r="W98" i="168"/>
  <c r="W99" i="168" s="1"/>
  <c r="W103" i="168" s="1"/>
  <c r="AO91" i="168" l="1"/>
  <c r="AO92" i="168" s="1"/>
  <c r="AO93" i="168" s="1"/>
  <c r="AO94" i="168" s="1"/>
  <c r="AO95" i="168" s="1"/>
  <c r="AU92" i="168"/>
  <c r="AU93" i="168" s="1"/>
  <c r="AU94" i="168" s="1"/>
  <c r="BH17" i="168"/>
  <c r="BI16" i="168"/>
  <c r="BJ16" i="168" s="1"/>
  <c r="BK16" i="168" s="1"/>
  <c r="Q54" i="280"/>
  <c r="K67" i="248"/>
  <c r="E11" i="436"/>
  <c r="E13" i="436" s="1"/>
  <c r="E15" i="436" s="1"/>
  <c r="AE125" i="168"/>
  <c r="AE102" i="168" s="1"/>
  <c r="AE103" i="168"/>
  <c r="BC92" i="168"/>
  <c r="BE91" i="168"/>
  <c r="BE92" i="168" s="1"/>
  <c r="BE93" i="168" s="1"/>
  <c r="BE94" i="168" s="1"/>
  <c r="BE95" i="168" s="1"/>
  <c r="C93" i="425"/>
  <c r="E93" i="425" s="1"/>
  <c r="E17" i="425"/>
  <c r="C93" i="411"/>
  <c r="E93" i="411" s="1"/>
  <c r="E17" i="411"/>
  <c r="C93" i="383"/>
  <c r="E93" i="383" s="1"/>
  <c r="E17" i="383"/>
  <c r="O105" i="168"/>
  <c r="AM94" i="168"/>
  <c r="BI36" i="168"/>
  <c r="BI34" i="168"/>
  <c r="C48" i="409"/>
  <c r="C50" i="409" s="1"/>
  <c r="C51" i="409" s="1"/>
  <c r="D72" i="408" s="1"/>
  <c r="J72" i="248" s="1"/>
  <c r="I93" i="248"/>
  <c r="D95" i="371"/>
  <c r="I95" i="248" s="1"/>
  <c r="AG105" i="168"/>
  <c r="AG125" i="168"/>
  <c r="F78" i="422"/>
  <c r="D69" i="424"/>
  <c r="K69" i="248" s="1"/>
  <c r="D28" i="434"/>
  <c r="S73" i="2"/>
  <c r="C39" i="423"/>
  <c r="H81" i="410"/>
  <c r="H82" i="410"/>
  <c r="W125" i="168"/>
  <c r="W102" i="168" s="1"/>
  <c r="W105" i="168" s="1"/>
  <c r="K93" i="248"/>
  <c r="D95" i="424"/>
  <c r="K95" i="248" s="1"/>
  <c r="H95" i="369"/>
  <c r="D85" i="371"/>
  <c r="I85" i="248" s="1"/>
  <c r="D85" i="424"/>
  <c r="K85" i="248" s="1"/>
  <c r="H95" i="422"/>
  <c r="D85" i="408"/>
  <c r="J85" i="248" s="1"/>
  <c r="H95" i="410"/>
  <c r="D95" i="408"/>
  <c r="J95" i="248" s="1"/>
  <c r="J93" i="248"/>
  <c r="BC94" i="168"/>
  <c r="BK33" i="168"/>
  <c r="BK64" i="168"/>
  <c r="AW92" i="168"/>
  <c r="AW93" i="168" s="1"/>
  <c r="AW94" i="168" s="1"/>
  <c r="AW95" i="168" s="1"/>
  <c r="BI17" i="168" l="1"/>
  <c r="BJ17" i="168" s="1"/>
  <c r="BK17" i="168" s="1"/>
  <c r="BH19" i="168"/>
  <c r="AE105" i="168"/>
  <c r="D73" i="408"/>
  <c r="J73" i="248" s="1"/>
  <c r="H97" i="422"/>
  <c r="D87" i="424"/>
  <c r="K87" i="248" s="1"/>
  <c r="BI43" i="168"/>
  <c r="BI35" i="168"/>
  <c r="BI42" i="168" s="1"/>
  <c r="BK34" i="168"/>
  <c r="BK35" i="168" s="1"/>
  <c r="BK42" i="168" s="1"/>
  <c r="BK36" i="168"/>
  <c r="D87" i="371"/>
  <c r="I87" i="248" s="1"/>
  <c r="H97" i="369"/>
  <c r="BK67" i="168"/>
  <c r="BK65" i="168"/>
  <c r="BK66" i="168" s="1"/>
  <c r="BK73" i="168" s="1"/>
  <c r="BC95" i="168"/>
  <c r="BC96" i="168" s="1"/>
  <c r="BE96" i="168" s="1"/>
  <c r="BE98" i="168" s="1"/>
  <c r="BE99" i="168" s="1"/>
  <c r="BC126" i="168"/>
  <c r="D87" i="408"/>
  <c r="J87" i="248" s="1"/>
  <c r="H97" i="410"/>
  <c r="C46" i="423"/>
  <c r="C40" i="423"/>
  <c r="C42" i="423" s="1"/>
  <c r="H78" i="422"/>
  <c r="F81" i="422"/>
  <c r="AM126" i="168"/>
  <c r="AM95" i="168"/>
  <c r="AM96" i="168" s="1"/>
  <c r="AO96" i="168" s="1"/>
  <c r="AO98" i="168" s="1"/>
  <c r="AO99" i="168" s="1"/>
  <c r="AU95" i="168"/>
  <c r="AU96" i="168" s="1"/>
  <c r="AW96" i="168" s="1"/>
  <c r="AW98" i="168" s="1"/>
  <c r="AW99" i="168" s="1"/>
  <c r="AU126" i="168"/>
  <c r="BH27" i="168" l="1"/>
  <c r="BH28" i="168" s="1"/>
  <c r="BH29" i="168" s="1"/>
  <c r="BH30" i="168" s="1"/>
  <c r="BI19" i="168"/>
  <c r="BJ19" i="168" s="1"/>
  <c r="C48" i="423"/>
  <c r="C50" i="423" s="1"/>
  <c r="C51" i="423" s="1"/>
  <c r="D72" i="424" s="1"/>
  <c r="K72" i="248" s="1"/>
  <c r="BE105" i="168"/>
  <c r="BE125" i="168"/>
  <c r="AW125" i="168"/>
  <c r="AW105" i="168"/>
  <c r="AM98" i="168"/>
  <c r="AM99" i="168" s="1"/>
  <c r="H81" i="422"/>
  <c r="H82" i="422"/>
  <c r="BK74" i="168"/>
  <c r="BK75" i="168" s="1"/>
  <c r="BI44" i="168"/>
  <c r="AU98" i="168"/>
  <c r="AU99" i="168" s="1"/>
  <c r="BC98" i="168"/>
  <c r="BC99" i="168" s="1"/>
  <c r="AO125" i="168"/>
  <c r="AO105" i="168"/>
  <c r="BK43" i="168"/>
  <c r="BK44" i="168" s="1"/>
  <c r="BK19" i="168" l="1"/>
  <c r="BJ27" i="168"/>
  <c r="BJ28" i="168" s="1"/>
  <c r="BJ29" i="168" s="1"/>
  <c r="BJ30" i="168" s="1"/>
  <c r="BH64" i="168"/>
  <c r="BH33" i="168"/>
  <c r="BC125" i="168"/>
  <c r="BC102" i="168" s="1"/>
  <c r="BC103" i="168"/>
  <c r="AU125" i="168"/>
  <c r="AU102" i="168" s="1"/>
  <c r="AU103" i="168"/>
  <c r="AM125" i="168"/>
  <c r="AM102" i="168" s="1"/>
  <c r="AM103" i="168"/>
  <c r="D73" i="424"/>
  <c r="K73" i="248" s="1"/>
  <c r="BH36" i="168" l="1"/>
  <c r="BH34" i="168"/>
  <c r="BJ64" i="168"/>
  <c r="BJ33" i="168"/>
  <c r="BH67" i="168"/>
  <c r="BH65" i="168"/>
  <c r="BI64" i="168"/>
  <c r="BC105" i="168"/>
  <c r="AU105" i="168"/>
  <c r="AM105" i="168"/>
  <c r="BH66" i="168" l="1"/>
  <c r="BH73" i="168" s="1"/>
  <c r="BH74" i="168"/>
  <c r="BJ36" i="168"/>
  <c r="BJ34" i="168"/>
  <c r="BJ35" i="168" s="1"/>
  <c r="BJ42" i="168" s="1"/>
  <c r="BJ43" i="168" s="1"/>
  <c r="BH35" i="168"/>
  <c r="BH42" i="168" s="1"/>
  <c r="BH43" i="168"/>
  <c r="BI65" i="168"/>
  <c r="BI67" i="168"/>
  <c r="BJ67" i="168"/>
  <c r="BJ65" i="168"/>
  <c r="BJ66" i="168" s="1"/>
  <c r="BJ73" i="168" s="1"/>
  <c r="BJ74" i="168" s="1"/>
  <c r="BJ75" i="168" s="1"/>
  <c r="BJ76" i="168" s="1"/>
  <c r="BJ78" i="168" s="1"/>
  <c r="BJ79" i="168" s="1"/>
  <c r="BJ118" i="168" l="1"/>
  <c r="BJ83" i="168"/>
  <c r="BH75" i="168"/>
  <c r="BH76" i="168" s="1"/>
  <c r="BI76" i="168" s="1"/>
  <c r="BK76" i="168" s="1"/>
  <c r="BK78" i="168" s="1"/>
  <c r="BK79" i="168" s="1"/>
  <c r="BJ119" i="168"/>
  <c r="BJ44" i="168"/>
  <c r="BJ45" i="168" s="1"/>
  <c r="BJ47" i="168" s="1"/>
  <c r="BJ48" i="168" s="1"/>
  <c r="BJ112" i="168"/>
  <c r="BH119" i="168"/>
  <c r="BH112" i="168"/>
  <c r="BH44" i="168"/>
  <c r="BH45" i="168" s="1"/>
  <c r="BI45" i="168" s="1"/>
  <c r="BI66" i="168"/>
  <c r="BI73" i="168" s="1"/>
  <c r="BI74" i="168"/>
  <c r="BJ82" i="168" l="1"/>
  <c r="BJ85" i="168" s="1"/>
  <c r="BJ111" i="168"/>
  <c r="BJ51" i="168" s="1"/>
  <c r="BJ52" i="168"/>
  <c r="BI75" i="168"/>
  <c r="BI78" i="168"/>
  <c r="BI79" i="168" s="1"/>
  <c r="BH78" i="168"/>
  <c r="BH79" i="168" s="1"/>
  <c r="BK45" i="168"/>
  <c r="BK47" i="168" s="1"/>
  <c r="BK48" i="168" s="1"/>
  <c r="BI47" i="168"/>
  <c r="BI48" i="168" s="1"/>
  <c r="BH47" i="168"/>
  <c r="BH48" i="168" s="1"/>
  <c r="BK85" i="168"/>
  <c r="BK118" i="168"/>
  <c r="BJ54" i="168" l="1"/>
  <c r="BI111" i="168"/>
  <c r="BI54" i="168"/>
  <c r="BI85" i="168"/>
  <c r="BI118" i="168"/>
  <c r="BI86" i="168"/>
  <c r="BK54" i="168"/>
  <c r="BK111" i="168"/>
  <c r="BH52" i="168"/>
  <c r="BH111" i="168"/>
  <c r="BH51" i="168" s="1"/>
  <c r="BI55" i="168"/>
  <c r="I38" i="106"/>
  <c r="BH83" i="168"/>
  <c r="BH118" i="168"/>
  <c r="BH82" i="168" s="1"/>
  <c r="F33" i="106"/>
  <c r="S24" i="184"/>
  <c r="S25" i="184" s="1"/>
  <c r="S27" i="184" s="1"/>
  <c r="Q57" i="268" s="1"/>
  <c r="I33" i="106" l="1"/>
  <c r="BH54" i="168"/>
  <c r="BH55" i="168" s="1"/>
  <c r="BH85" i="168"/>
  <c r="BH86" i="168" s="1"/>
  <c r="Q57" i="280"/>
  <c r="F30" i="106"/>
  <c r="F35" i="106" s="1"/>
  <c r="F39" i="106" s="1"/>
  <c r="F43" i="106" s="1"/>
  <c r="D75" i="109" s="1"/>
  <c r="D76" i="109" s="1"/>
  <c r="D80" i="109" s="1"/>
  <c r="D82" i="109" s="1"/>
  <c r="K17" i="107" s="1"/>
  <c r="S30" i="184"/>
  <c r="S31" i="184" s="1"/>
  <c r="U24" i="184" l="1"/>
  <c r="I32" i="106"/>
  <c r="V24" i="184"/>
  <c r="I37" i="106"/>
  <c r="F48" i="106"/>
  <c r="F50" i="106" s="1"/>
  <c r="F52" i="106"/>
  <c r="F54" i="106" s="1"/>
  <c r="D44" i="109"/>
  <c r="D46" i="109" s="1"/>
  <c r="D48" i="109" s="1"/>
  <c r="I17" i="107" s="1"/>
  <c r="I62" i="106" l="1"/>
  <c r="F62" i="106" s="1"/>
  <c r="F64" i="106" s="1"/>
  <c r="F66" i="106" l="1"/>
  <c r="F68" i="106" s="1"/>
  <c r="F70" i="106" s="1"/>
  <c r="I70" i="106" l="1"/>
  <c r="J70" i="106"/>
  <c r="F78" i="106"/>
  <c r="F84" i="106" s="1"/>
  <c r="F80" i="106"/>
  <c r="I82" i="106" l="1"/>
  <c r="F82" i="106" s="1"/>
  <c r="F86" i="106" l="1"/>
  <c r="F88" i="106" s="1"/>
  <c r="I94" i="106" l="1"/>
  <c r="I97" i="106" s="1"/>
  <c r="F90" i="106"/>
  <c r="F92" i="106" l="1"/>
  <c r="F108" i="106" s="1"/>
  <c r="F112" i="106" s="1"/>
  <c r="F98" i="106"/>
  <c r="F102" i="106" s="1"/>
  <c r="F106" i="106" s="1"/>
  <c r="J112" i="106" l="1"/>
  <c r="I112" i="106"/>
  <c r="H112" i="106"/>
  <c r="F135" i="106"/>
  <c r="F138" i="106" s="1"/>
  <c r="D12" i="109"/>
  <c r="C17" i="107" s="1"/>
  <c r="G17" i="107"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11.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2.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
</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 ref="O8" authorId="0" shapeId="0">
      <text>
        <r>
          <rPr>
            <b/>
            <sz val="8"/>
            <color indexed="81"/>
            <rFont val="Tahoma"/>
            <family val="2"/>
          </rPr>
          <t>Administrator:</t>
        </r>
        <r>
          <rPr>
            <sz val="8"/>
            <color indexed="81"/>
            <rFont val="Tahoma"/>
            <family val="2"/>
          </rPr>
          <t xml:space="preserve">
See Note2 below</t>
        </r>
      </text>
    </comment>
    <comment ref="Q8" authorId="0" shapeId="0">
      <text>
        <r>
          <rPr>
            <b/>
            <sz val="8"/>
            <color indexed="81"/>
            <rFont val="Tahoma"/>
            <family val="2"/>
          </rPr>
          <t>Administrator:</t>
        </r>
        <r>
          <rPr>
            <sz val="8"/>
            <color indexed="81"/>
            <rFont val="Tahoma"/>
            <family val="2"/>
          </rPr>
          <t xml:space="preserve">
See Note2 below</t>
        </r>
      </text>
    </comment>
  </commentList>
</comments>
</file>

<file path=xl/comments5.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List>
</comments>
</file>

<file path=xl/comments6.xml><?xml version="1.0" encoding="utf-8"?>
<comments xmlns="http://schemas.openxmlformats.org/spreadsheetml/2006/main">
  <authors>
    <author>m014knm</author>
  </authors>
  <commentList>
    <comment ref="N52" authorId="0" shapeId="0">
      <text>
        <r>
          <rPr>
            <b/>
            <sz val="9"/>
            <color indexed="81"/>
            <rFont val="Tahoma"/>
            <family val="2"/>
          </rPr>
          <t>m014knm:</t>
        </r>
        <r>
          <rPr>
            <sz val="9"/>
            <color indexed="81"/>
            <rFont val="Tahoma"/>
            <family val="2"/>
          </rPr>
          <t xml:space="preserve">
uses 15-16 yield</t>
        </r>
      </text>
    </comment>
  </commentList>
</comments>
</file>

<file path=xl/comments7.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yield</t>
        </r>
      </text>
    </comment>
    <comment ref="M52" authorId="0" shapeId="0">
      <text>
        <r>
          <rPr>
            <b/>
            <sz val="9"/>
            <color indexed="81"/>
            <rFont val="Tahoma"/>
            <family val="2"/>
          </rPr>
          <t>m014knm:</t>
        </r>
        <r>
          <rPr>
            <sz val="9"/>
            <color indexed="81"/>
            <rFont val="Tahoma"/>
            <family val="2"/>
          </rPr>
          <t xml:space="preserve">
uses 15-16 yield</t>
        </r>
      </text>
    </comment>
    <comment ref="J53" authorId="0" shapeId="0">
      <text>
        <r>
          <rPr>
            <b/>
            <sz val="9"/>
            <color indexed="81"/>
            <rFont val="Tahoma"/>
            <family val="2"/>
          </rPr>
          <t>m014knm:</t>
        </r>
        <r>
          <rPr>
            <sz val="9"/>
            <color indexed="81"/>
            <rFont val="Tahoma"/>
            <family val="2"/>
          </rPr>
          <t xml:space="preserve">
uses 15-16 yield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8.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9.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yield
</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sharedStrings.xml><?xml version="1.0" encoding="utf-8"?>
<sst xmlns="http://schemas.openxmlformats.org/spreadsheetml/2006/main" count="65024" uniqueCount="9075">
  <si>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</si>
  <si>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</si>
  <si>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</si>
  <si>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</si>
  <si>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</si>
  <si>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</si>
  <si>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</si>
  <si>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</si>
  <si>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</si>
  <si>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</si>
  <si>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</si>
  <si>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</si>
  <si>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</si>
  <si>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</si>
  <si>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Gain From Option 4 Chapter 41 Partnership:</t>
  </si>
  <si>
    <t>001-904</t>
  </si>
  <si>
    <t>001-906</t>
  </si>
  <si>
    <t>001-907</t>
  </si>
  <si>
    <t xml:space="preserve">Actual Debt Service Payment for Eligible Bonded Debt * </t>
  </si>
  <si>
    <t xml:space="preserve">IF THE ELIGIBILITY DATE IS NOT ROLLED FORWARD, THE CALCULATION </t>
  </si>
  <si>
    <t>175-905</t>
  </si>
  <si>
    <t>175-910</t>
  </si>
  <si>
    <t>176-901</t>
  </si>
  <si>
    <t>SB1 Graph5</t>
  </si>
  <si>
    <t>Revenue @ Compressed Rate</t>
  </si>
  <si>
    <t>Tax Credits Under Texas Economic Development Act.</t>
  </si>
  <si>
    <r>
      <t xml:space="preserve">The following worksheet was designed to allow the user to </t>
    </r>
    <r>
      <rPr>
        <b/>
        <u/>
        <sz val="14"/>
        <color indexed="10"/>
        <rFont val="Arial MT"/>
      </rPr>
      <t>ESTIMATE</t>
    </r>
    <r>
      <rPr>
        <b/>
        <sz val="14"/>
        <color indexed="10"/>
        <rFont val="Arial MT"/>
      </rPr>
      <t xml:space="preserve"> an M&amp;O </t>
    </r>
  </si>
  <si>
    <r>
      <t xml:space="preserve">Effective Tax Rate, and thus, a </t>
    </r>
    <r>
      <rPr>
        <b/>
        <u/>
        <sz val="14"/>
        <color indexed="10"/>
        <rFont val="Arial MT"/>
      </rPr>
      <t>POSSIBLE</t>
    </r>
    <r>
      <rPr>
        <b/>
        <sz val="14"/>
        <color indexed="10"/>
        <rFont val="Arial MT"/>
      </rPr>
      <t xml:space="preserve"> M&amp;O Rollback Tax Rate.  It is not THE official </t>
    </r>
  </si>
  <si>
    <t>Chapter 41 WADA =</t>
  </si>
  <si>
    <t>QUITMAN ISD</t>
  </si>
  <si>
    <t>WELLS ISD</t>
  </si>
  <si>
    <t>BYERS ISD</t>
  </si>
  <si>
    <t>gain</t>
  </si>
  <si>
    <t xml:space="preserve">Net Gain Retained From Chapter 41 Partnership </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</si>
  <si>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</si>
  <si>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</si>
  <si>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</si>
  <si>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</si>
  <si>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</si>
  <si>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</si>
  <si>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</si>
  <si>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</si>
  <si>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</si>
  <si>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</si>
  <si>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</si>
  <si>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</si>
  <si>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</si>
  <si>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</si>
  <si>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</si>
  <si>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</si>
  <si>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</si>
  <si>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</si>
  <si>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</si>
  <si>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</si>
  <si>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</si>
  <si>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</si>
  <si>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</si>
  <si>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</si>
  <si>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</si>
  <si>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</si>
  <si>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</si>
  <si>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</si>
  <si>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</si>
  <si>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</si>
  <si>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</si>
  <si>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</si>
  <si>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</si>
  <si>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</si>
  <si>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</si>
  <si>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State/Local Share of Allotment ($35 x Line 5 x Line 9 x 100)</t>
  </si>
  <si>
    <t>Number of WADA District Allowed to Sell:</t>
  </si>
  <si>
    <t>107-906</t>
  </si>
  <si>
    <t>107-910</t>
  </si>
  <si>
    <t>075-908</t>
  </si>
  <si>
    <t>Penalty for Setting M&amp;O Tax Rate Less Than Compressed Rate</t>
  </si>
  <si>
    <t>Reduction to HB 1 Total State/Local Revenue ("excess" revenue)</t>
  </si>
  <si>
    <t xml:space="preserve">Tier I State Aid </t>
  </si>
  <si>
    <t>Total State/Local Revenue</t>
  </si>
  <si>
    <t>District Name:</t>
  </si>
  <si>
    <t>County-District No.:</t>
  </si>
  <si>
    <t/>
  </si>
  <si>
    <t xml:space="preserve"> </t>
  </si>
  <si>
    <t xml:space="preserve">            Worksheet for Estimating Instructional Facilities Allotment</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</si>
  <si>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</si>
  <si>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</si>
  <si>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</si>
  <si>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</si>
  <si>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</si>
  <si>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</si>
  <si>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</si>
  <si>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</si>
  <si>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</si>
  <si>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</si>
  <si>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</si>
  <si>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</si>
  <si>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</si>
  <si>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</si>
  <si>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</si>
  <si>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</si>
  <si>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</si>
  <si>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</si>
  <si>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</si>
  <si>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</si>
  <si>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</si>
  <si>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</si>
  <si>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</si>
  <si>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</si>
  <si>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</si>
  <si>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</si>
  <si>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</si>
  <si>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</si>
  <si>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SB1 Graph2</t>
  </si>
  <si>
    <t>SB1 Graph3</t>
  </si>
  <si>
    <t>SB1 Graph4</t>
  </si>
  <si>
    <t xml:space="preserve">NOTE:  The EDA entitlement on Line 16 must be </t>
  </si>
  <si>
    <t>Estimated 2003-04 ADA (from Data Entry: 400 minimum)</t>
  </si>
  <si>
    <t>Comp Rate</t>
  </si>
  <si>
    <t>Adopted Rate</t>
  </si>
  <si>
    <t>Penalty</t>
  </si>
  <si>
    <t>Career &amp; Technology Block Grant</t>
  </si>
  <si>
    <t>Payments Received From Chapter 41 District(s)</t>
  </si>
  <si>
    <t xml:space="preserve">Section 42.2516(d) - Gain Using Compressed Rate + Up to $.04, if applicable </t>
  </si>
  <si>
    <t>Estimated ADA (400 minimum)</t>
  </si>
  <si>
    <t>242-904</t>
  </si>
  <si>
    <t>EDA Eligible</t>
  </si>
  <si>
    <t>(1=yes; 2=no)</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</si>
  <si>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</si>
  <si>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</si>
  <si>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</si>
  <si>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</si>
  <si>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</si>
  <si>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</si>
  <si>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</si>
  <si>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</si>
  <si>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</si>
  <si>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</si>
  <si>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</si>
  <si>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</si>
  <si>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</si>
  <si>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</si>
  <si>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</si>
  <si>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</si>
  <si>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</si>
  <si>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</si>
  <si>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</si>
  <si>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</si>
  <si>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</si>
  <si>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</si>
  <si>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</si>
  <si>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</si>
  <si>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</si>
  <si>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</si>
  <si>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</si>
  <si>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</si>
  <si>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</si>
  <si>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</si>
  <si>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</si>
  <si>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</si>
  <si>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</si>
  <si>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</si>
  <si>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</si>
  <si>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</si>
  <si>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</si>
  <si>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</si>
  <si>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</si>
  <si>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</si>
  <si>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</si>
  <si>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Adjustment to ASATR in accordance with HB 828:</t>
  </si>
  <si>
    <t>Bilingual ADA</t>
  </si>
  <si>
    <t>096-905</t>
  </si>
  <si>
    <t>097-902</t>
  </si>
  <si>
    <t>030-903</t>
  </si>
  <si>
    <t>109-901</t>
  </si>
  <si>
    <t>109-908</t>
  </si>
  <si>
    <t>mile from hs</t>
  </si>
  <si>
    <t>tsd</t>
  </si>
  <si>
    <t>tsb</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</si>
  <si>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</si>
  <si>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</si>
  <si>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</si>
  <si>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</si>
  <si>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</si>
  <si>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</si>
  <si>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</si>
  <si>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</si>
  <si>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</si>
  <si>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</si>
  <si>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</si>
  <si>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</si>
  <si>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</si>
  <si>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</si>
  <si>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</si>
  <si>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</si>
  <si>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 xml:space="preserve">The following determines whether the increase in the per capita rate resulting from the passage of the Constitutional </t>
  </si>
  <si>
    <r>
      <t xml:space="preserve">mechanism to </t>
    </r>
    <r>
      <rPr>
        <b/>
        <u/>
        <sz val="14"/>
        <color indexed="10"/>
        <rFont val="Arial MT"/>
      </rPr>
      <t>ESTIMATE</t>
    </r>
    <r>
      <rPr>
        <b/>
        <sz val="14"/>
        <color indexed="10"/>
        <rFont val="Arial MT"/>
      </rPr>
      <t xml:space="preserve"> what their rollback tax rate might be.  I do not know when </t>
    </r>
  </si>
  <si>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</si>
  <si>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</si>
  <si>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</si>
  <si>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</si>
  <si>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</si>
  <si>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</si>
  <si>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</si>
  <si>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</si>
  <si>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</si>
  <si>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</si>
  <si>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</si>
  <si>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</si>
  <si>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</si>
  <si>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</si>
  <si>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</si>
  <si>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</si>
  <si>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</si>
  <si>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</si>
  <si>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</si>
  <si>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</si>
  <si>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</si>
  <si>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</si>
  <si>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</si>
  <si>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</si>
  <si>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</si>
  <si>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</si>
  <si>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</si>
  <si>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</si>
  <si>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</si>
  <si>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</si>
  <si>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</si>
  <si>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</si>
  <si>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</si>
  <si>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</si>
  <si>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</si>
  <si>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</si>
  <si>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</si>
  <si>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</si>
  <si>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</si>
  <si>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</si>
  <si>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</si>
  <si>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</si>
  <si>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</si>
  <si>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</si>
  <si>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</si>
  <si>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</si>
  <si>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</si>
  <si>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</si>
  <si>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</si>
  <si>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</si>
  <si>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</si>
  <si>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</si>
  <si>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</si>
  <si>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</si>
  <si>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</si>
  <si>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</si>
  <si>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</si>
  <si>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</si>
  <si>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</si>
  <si>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</si>
  <si>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</si>
  <si>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</si>
  <si>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</si>
  <si>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</si>
  <si>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</si>
  <si>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</si>
  <si>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</si>
  <si>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</si>
  <si>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</si>
  <si>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</si>
  <si>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</si>
  <si>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</si>
  <si>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</si>
  <si>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</si>
  <si>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</si>
  <si>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</si>
  <si>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</si>
  <si>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</si>
  <si>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</si>
  <si>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</si>
  <si>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</si>
  <si>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</si>
  <si>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</si>
  <si>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</si>
  <si>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</si>
  <si>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</si>
  <si>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</si>
  <si>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</si>
  <si>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</si>
  <si>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</si>
  <si>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</si>
  <si>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 xml:space="preserve">            Worksheet for Estimating Existing Debt Allotment</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</si>
  <si>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</si>
  <si>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</si>
  <si>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</si>
  <si>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</si>
  <si>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</si>
  <si>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</si>
  <si>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</si>
  <si>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</si>
  <si>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</si>
  <si>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</si>
  <si>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</si>
  <si>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 xml:space="preserve">Charge for Selling WADA </t>
  </si>
  <si>
    <t>Award #6</t>
  </si>
  <si>
    <t>Award #7</t>
  </si>
  <si>
    <t>Total Tax Levy</t>
  </si>
  <si>
    <t>PASADENA ISD</t>
  </si>
  <si>
    <t>PEARLAND ISD</t>
  </si>
  <si>
    <t>212-901</t>
  </si>
  <si>
    <t>225-906</t>
  </si>
  <si>
    <t>237-902</t>
  </si>
  <si>
    <t>237-904</t>
  </si>
  <si>
    <t>245-904</t>
  </si>
  <si>
    <t xml:space="preserve">       2005-06 Adopted M&amp;O Rate</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</si>
  <si>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</si>
  <si>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</si>
  <si>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</si>
  <si>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</si>
  <si>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</si>
  <si>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</si>
  <si>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</si>
  <si>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</si>
  <si>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</si>
  <si>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</si>
  <si>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</si>
  <si>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</si>
  <si>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</si>
  <si>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</si>
  <si>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</si>
  <si>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</si>
  <si>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</si>
  <si>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</si>
  <si>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</si>
  <si>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</si>
  <si>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</si>
  <si>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</si>
  <si>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</si>
  <si>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</si>
  <si>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</si>
  <si>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</si>
  <si>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</si>
  <si>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</si>
  <si>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 xml:space="preserve">LR for Second Level of Tier II </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</si>
  <si>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</si>
  <si>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</si>
  <si>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</si>
  <si>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</si>
  <si>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</si>
  <si>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</si>
  <si>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</si>
  <si>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</si>
  <si>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</si>
  <si>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</si>
  <si>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</si>
  <si>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</si>
  <si>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</si>
  <si>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</si>
  <si>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</si>
  <si>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</si>
  <si>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</si>
  <si>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</si>
  <si>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</si>
  <si>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</si>
  <si>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</si>
  <si>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</si>
  <si>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</si>
  <si>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</si>
  <si>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</si>
  <si>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</si>
  <si>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</si>
  <si>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</si>
  <si>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</si>
  <si>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</si>
  <si>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</si>
  <si>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</si>
  <si>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</si>
  <si>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</si>
  <si>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</si>
  <si>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</si>
  <si>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</si>
  <si>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</si>
  <si>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</si>
  <si>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</si>
  <si>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</si>
  <si>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</si>
  <si>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</si>
  <si>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HB 1:</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</si>
  <si>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</si>
  <si>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</si>
  <si>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</si>
  <si>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</si>
  <si>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</si>
  <si>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</si>
  <si>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</si>
  <si>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</si>
  <si>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</si>
  <si>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</si>
  <si>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</si>
  <si>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</si>
  <si>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</si>
  <si>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</si>
  <si>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</si>
  <si>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</si>
  <si>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</si>
  <si>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</si>
  <si>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</si>
  <si>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</si>
  <si>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</si>
  <si>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</si>
  <si>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</si>
  <si>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</si>
  <si>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Number of WADA Sold to Chapter 41 District(s)</t>
  </si>
  <si>
    <t>058-909</t>
  </si>
  <si>
    <t>166-907</t>
  </si>
  <si>
    <t>174-906</t>
  </si>
  <si>
    <t>194-905</t>
  </si>
  <si>
    <t>200-902</t>
  </si>
  <si>
    <t>200-906</t>
  </si>
  <si>
    <t xml:space="preserve">  Once all data are entered, all state aid calculations are made automatically.</t>
  </si>
  <si>
    <t>total eligible 'old' debt</t>
  </si>
  <si>
    <t>100-905</t>
  </si>
  <si>
    <t>used here should produce a reasonable ESTIMATE of an Effective M&amp;O Tax Rate.</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</si>
  <si>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</si>
  <si>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</si>
  <si>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</si>
  <si>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</si>
  <si>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</si>
  <si>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</si>
  <si>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</si>
  <si>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</si>
  <si>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</si>
  <si>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</si>
  <si>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</si>
  <si>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</si>
  <si>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</si>
  <si>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</si>
  <si>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</si>
  <si>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</si>
  <si>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</si>
  <si>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</si>
  <si>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</si>
  <si>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</si>
  <si>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</si>
  <si>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</si>
  <si>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</si>
  <si>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</si>
  <si>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</si>
  <si>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</si>
  <si>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</si>
  <si>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</si>
  <si>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</si>
  <si>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</si>
  <si>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</si>
  <si>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</si>
  <si>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</si>
  <si>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</si>
  <si>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</si>
  <si>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</si>
  <si>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</si>
  <si>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</si>
  <si>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</si>
  <si>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</si>
  <si>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</si>
  <si>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</si>
  <si>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</si>
  <si>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</si>
  <si>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</si>
  <si>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</si>
  <si>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</si>
  <si>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</si>
  <si>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</si>
  <si>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</si>
  <si>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</si>
  <si>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</si>
  <si>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</si>
  <si>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</si>
  <si>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</si>
  <si>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</si>
  <si>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</si>
  <si>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</si>
  <si>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</si>
  <si>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</si>
  <si>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</si>
  <si>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</si>
  <si>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</si>
  <si>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</si>
  <si>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</si>
  <si>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</si>
  <si>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</si>
  <si>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</si>
  <si>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</si>
  <si>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</si>
  <si>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</si>
  <si>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</si>
  <si>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</si>
  <si>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</si>
  <si>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</si>
  <si>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</si>
  <si>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</si>
  <si>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Amendment relating to the Permanent School Fund adversely affected the Chapter 41 district.</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</si>
  <si>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</si>
  <si>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</si>
  <si>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</si>
  <si>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</si>
  <si>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</si>
  <si>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</si>
  <si>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</si>
  <si>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</si>
  <si>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</si>
  <si>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</si>
  <si>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</si>
  <si>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</si>
  <si>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</si>
  <si>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</si>
  <si>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</si>
  <si>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</si>
  <si>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</si>
  <si>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</si>
  <si>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Additional State Aid for Tax Reduction (ASATR)</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</si>
  <si>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</si>
  <si>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</si>
  <si>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</si>
  <si>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</si>
  <si>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</si>
  <si>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</si>
  <si>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</si>
  <si>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</si>
  <si>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</si>
  <si>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</si>
  <si>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</si>
  <si>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</si>
  <si>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</si>
  <si>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</si>
  <si>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</si>
  <si>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</si>
  <si>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</si>
  <si>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</si>
  <si>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</si>
  <si>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</si>
  <si>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</si>
  <si>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</si>
  <si>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</si>
  <si>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</si>
  <si>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</si>
  <si>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</si>
  <si>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</si>
  <si>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</si>
  <si>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</si>
  <si>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</si>
  <si>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</si>
  <si>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</si>
  <si>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</si>
  <si>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</si>
  <si>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</si>
  <si>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</si>
  <si>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</si>
  <si>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</si>
  <si>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</si>
  <si>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</si>
  <si>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</si>
  <si>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</si>
  <si>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SB 4 Version</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</si>
  <si>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</si>
  <si>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</si>
  <si>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</si>
  <si>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</si>
  <si>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</si>
  <si>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</si>
  <si>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 xml:space="preserve"> = the district's 2002 CPTD value (adjusted for declines, if appl)</t>
  </si>
  <si>
    <t xml:space="preserve">2002-03 I &amp; S Collections </t>
  </si>
  <si>
    <t>Estimated 2002-03 ADA</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</si>
  <si>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</si>
  <si>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</si>
  <si>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</si>
  <si>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</si>
  <si>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</si>
  <si>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</si>
  <si>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</si>
  <si>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</si>
  <si>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</si>
  <si>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</si>
  <si>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</si>
  <si>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</si>
  <si>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</si>
  <si>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</si>
  <si>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</si>
  <si>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</si>
  <si>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</si>
  <si>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</si>
  <si>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</si>
  <si>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</si>
  <si>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</si>
  <si>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</si>
  <si>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</si>
  <si>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</si>
  <si>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</si>
  <si>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</si>
  <si>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</si>
  <si>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</si>
  <si>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</si>
  <si>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</si>
  <si>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</si>
  <si>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</si>
  <si>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</si>
  <si>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</si>
  <si>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</si>
  <si>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</si>
  <si>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</si>
  <si>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</si>
  <si>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</si>
  <si>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</si>
  <si>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</si>
  <si>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</si>
  <si>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</si>
  <si>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</si>
  <si>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</si>
  <si>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</si>
  <si>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</si>
  <si>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</si>
  <si>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Consortium Limit (10% of Ch 41 district's Opt 3 cost before discounts)</t>
  </si>
  <si>
    <t xml:space="preserve">Option 4 Cost Before Any Discounts </t>
  </si>
  <si>
    <t>219-903</t>
  </si>
  <si>
    <t>219-905</t>
  </si>
  <si>
    <t>178-905</t>
  </si>
  <si>
    <t>penalty:</t>
  </si>
  <si>
    <t>greater of</t>
  </si>
  <si>
    <t>salary allot</t>
  </si>
  <si>
    <t>high school allot</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</si>
  <si>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</si>
  <si>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</si>
  <si>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</si>
  <si>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</si>
  <si>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</si>
  <si>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</si>
  <si>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</si>
  <si>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</si>
  <si>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</si>
  <si>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</si>
  <si>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</si>
  <si>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</si>
  <si>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</si>
  <si>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eligible "old" debt covered by IFA: award#5</t>
  </si>
  <si>
    <t>043-901</t>
  </si>
  <si>
    <t>101-902</t>
  </si>
  <si>
    <t>LUBBOCK ISD</t>
  </si>
  <si>
    <t>LUBBOCK-COOPER ISD</t>
  </si>
  <si>
    <t>044-904</t>
  </si>
  <si>
    <t>045-903</t>
  </si>
  <si>
    <t>Weighted ADA (WADA) for Mid-size Chapter 41 Districts Under HB 1</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</si>
  <si>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</si>
  <si>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</si>
  <si>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</si>
  <si>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</si>
  <si>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</si>
  <si>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</si>
  <si>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</si>
  <si>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</si>
  <si>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</si>
  <si>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</si>
  <si>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</si>
  <si>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</si>
  <si>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</si>
  <si>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</si>
  <si>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</si>
  <si>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</si>
  <si>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</si>
  <si>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</si>
  <si>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</si>
  <si>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</si>
  <si>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</si>
  <si>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</si>
  <si>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</si>
  <si>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</si>
  <si>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</si>
  <si>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</si>
  <si>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 xml:space="preserve">same amount, or if applicable, increase the district's 'excess' revenue in Cells D93 and/or E93 by the same amount.  </t>
  </si>
  <si>
    <t>067-907</t>
  </si>
  <si>
    <t>1992-93 Chapter 36 WADA</t>
  </si>
  <si>
    <t>1991 CPTD Property Value</t>
  </si>
  <si>
    <t>Amount of M&amp;O Taxes Collected per Penny of Adopted Rate</t>
  </si>
  <si>
    <t>Consortium Partner A</t>
  </si>
  <si>
    <t>Consortium Partner B</t>
  </si>
  <si>
    <t>Consortium Partner C</t>
  </si>
  <si>
    <t>Consortium Partner D</t>
  </si>
  <si>
    <t>Consortium Partner E</t>
  </si>
  <si>
    <t>Consortium Partner F</t>
  </si>
  <si>
    <t>Total WADA Purchased</t>
  </si>
  <si>
    <t>Gain/WADA</t>
  </si>
  <si>
    <t>Gain</t>
  </si>
  <si>
    <t>EDNA ISD</t>
  </si>
  <si>
    <t>INDUSTRIAL ISD</t>
  </si>
  <si>
    <t>UTOPIA ISD</t>
  </si>
  <si>
    <t>COMSTOCK ISD</t>
  </si>
  <si>
    <t>Rate of $280</t>
  </si>
  <si>
    <t>Rate of $238</t>
  </si>
  <si>
    <t>Rate of $258</t>
  </si>
  <si>
    <t>Rate of $216</t>
  </si>
  <si>
    <t>237-905</t>
  </si>
  <si>
    <t>238-902</t>
  </si>
  <si>
    <t>238-904</t>
  </si>
  <si>
    <t>[(Line 1 - Line 4) / $35 / Line 5 / 100]</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</si>
  <si>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</si>
  <si>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</si>
  <si>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</si>
  <si>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</si>
  <si>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</si>
  <si>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</si>
  <si>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</si>
  <si>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</si>
  <si>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</si>
  <si>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</si>
  <si>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</si>
  <si>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</si>
  <si>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</si>
  <si>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DTR for First Level of Tier II (compressed rate - .86)</t>
  </si>
  <si>
    <t>060-914</t>
  </si>
  <si>
    <t>061-914</t>
  </si>
  <si>
    <t xml:space="preserve">Discounted Option 4 Portion of Cost </t>
  </si>
  <si>
    <t>243-903</t>
  </si>
  <si>
    <t>Advanced Career &amp; Technology FTEs</t>
  </si>
  <si>
    <t>Advanced Career &amp; Technology Allotment</t>
  </si>
  <si>
    <t>State Virtual School Network Student Allotment</t>
  </si>
  <si>
    <t>State Virtual School Network Administrative Cost Allotment</t>
  </si>
  <si>
    <t>2008-09 Tuition Paid (if less than 12 grades)</t>
  </si>
  <si>
    <t>Plus $350</t>
  </si>
  <si>
    <t>Maximum Revenue per WADA in 2010-11</t>
  </si>
  <si>
    <t>2008-09 EDA Local Share</t>
  </si>
  <si>
    <t>2008-09 IFA Local Share for Bonded Debt</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</si>
  <si>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</si>
  <si>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</si>
  <si>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</si>
  <si>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</si>
  <si>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</si>
  <si>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</si>
  <si>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</si>
  <si>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</si>
  <si>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</si>
  <si>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</si>
  <si>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</si>
  <si>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</si>
  <si>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</si>
  <si>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</si>
  <si>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</si>
  <si>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</si>
  <si>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</si>
  <si>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</si>
  <si>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</si>
  <si>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</si>
  <si>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HB 1 Total State/Local "S4" Revenue</t>
  </si>
  <si>
    <t>024-901</t>
  </si>
  <si>
    <t>025-901</t>
  </si>
  <si>
    <t>025-902</t>
  </si>
  <si>
    <t>026-901</t>
  </si>
  <si>
    <t>026-902</t>
  </si>
  <si>
    <t>026-903</t>
  </si>
  <si>
    <t>hosp</t>
  </si>
  <si>
    <t>speech</t>
  </si>
  <si>
    <t>s/c mild</t>
  </si>
  <si>
    <t>resource</t>
  </si>
  <si>
    <t>off home</t>
  </si>
  <si>
    <t>vac</t>
  </si>
  <si>
    <t>st schs</t>
  </si>
  <si>
    <t>nonpub</t>
  </si>
  <si>
    <t>res c&amp;t</t>
  </si>
  <si>
    <t>mainstr</t>
  </si>
  <si>
    <t>c&amp;t</t>
  </si>
  <si>
    <t>comp ed</t>
  </si>
  <si>
    <t>preg</t>
  </si>
  <si>
    <t>bil</t>
  </si>
  <si>
    <t>gt</t>
  </si>
  <si>
    <t>peg</t>
  </si>
  <si>
    <t>st schools</t>
  </si>
  <si>
    <t>non pub</t>
  </si>
  <si>
    <t>mainstrm</t>
  </si>
  <si>
    <t>m&amp;o coll</t>
  </si>
  <si>
    <t>i&amp;s coll</t>
  </si>
  <si>
    <t>m&amp;o taxes</t>
  </si>
  <si>
    <t>highest grade</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</si>
  <si>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</si>
  <si>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</si>
  <si>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</si>
  <si>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</si>
  <si>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</si>
  <si>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</si>
  <si>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</si>
  <si>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</si>
  <si>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</si>
  <si>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</si>
  <si>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</si>
  <si>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</si>
  <si>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</si>
  <si>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</si>
  <si>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</si>
  <si>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</si>
  <si>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</si>
  <si>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</si>
  <si>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</si>
  <si>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</si>
  <si>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</si>
  <si>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</si>
  <si>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</si>
  <si>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</si>
  <si>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</si>
  <si>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</si>
  <si>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</si>
  <si>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</si>
  <si>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</si>
  <si>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</si>
  <si>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</si>
  <si>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</si>
  <si>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</si>
  <si>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</si>
  <si>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</si>
  <si>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</si>
  <si>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</si>
  <si>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</si>
  <si>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</si>
  <si>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</si>
  <si>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</si>
  <si>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</si>
  <si>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</si>
  <si>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</si>
  <si>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</si>
  <si>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</si>
  <si>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</si>
  <si>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</si>
  <si>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</si>
  <si>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</si>
  <si>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</si>
  <si>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</si>
  <si>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</si>
  <si>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</si>
  <si>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</si>
  <si>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(includes Salary Allotment and High School Allotment)</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</si>
  <si>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</si>
  <si>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</si>
  <si>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</si>
  <si>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</si>
  <si>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</si>
  <si>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</si>
  <si>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</si>
  <si>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</si>
  <si>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</si>
  <si>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</si>
  <si>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</si>
  <si>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</si>
  <si>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</si>
  <si>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</si>
  <si>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</si>
  <si>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</si>
  <si>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</si>
  <si>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</si>
  <si>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</si>
  <si>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</si>
  <si>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</si>
  <si>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</si>
  <si>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</si>
  <si>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</si>
  <si>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 xml:space="preserve">Change in Recapture (cannot be greater than zero) </t>
  </si>
  <si>
    <t>Maintenance</t>
  </si>
  <si>
    <t>Interest</t>
  </si>
  <si>
    <t>State's Share (EDA) of Allotment (Line 10 - Line 11)</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</si>
  <si>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</si>
  <si>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</si>
  <si>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</si>
  <si>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</si>
  <si>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</si>
  <si>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</si>
  <si>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</si>
  <si>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</si>
  <si>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</si>
  <si>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entity, there will be no offset to the HB 1 hold harmless amount or to the 'excess' amount.</t>
  </si>
  <si>
    <t>Amount of Tuition Paid per Student</t>
  </si>
  <si>
    <t>178-912</t>
  </si>
  <si>
    <t>NOTE:  The state's share on Line 12 must be taken into account</t>
  </si>
  <si>
    <t>015-911</t>
  </si>
  <si>
    <t>025-909</t>
  </si>
  <si>
    <t>108-903</t>
  </si>
  <si>
    <t>015-905</t>
  </si>
  <si>
    <t>108-904</t>
  </si>
  <si>
    <t>011-902</t>
  </si>
  <si>
    <t>174-910</t>
  </si>
  <si>
    <t>071-903</t>
  </si>
  <si>
    <t>033-902</t>
  </si>
  <si>
    <t>dpe cptd value</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</si>
  <si>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</si>
  <si>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</si>
  <si>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</si>
  <si>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</si>
  <si>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</si>
  <si>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</si>
  <si>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</si>
  <si>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</si>
  <si>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</si>
  <si>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</si>
  <si>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</si>
  <si>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</si>
  <si>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</si>
  <si>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</si>
  <si>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</si>
  <si>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</si>
  <si>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</si>
  <si>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</si>
  <si>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</si>
  <si>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</si>
  <si>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</si>
  <si>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</si>
  <si>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</si>
  <si>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</si>
  <si>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</si>
  <si>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</si>
  <si>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</si>
  <si>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 xml:space="preserve"> (12-13 payment - amt pd in base year)</t>
  </si>
  <si>
    <t xml:space="preserve"> (13-14 payment - amt pd in base year)</t>
  </si>
  <si>
    <t>169-906</t>
  </si>
  <si>
    <t>Award #9</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</si>
  <si>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</si>
  <si>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</si>
  <si>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</si>
  <si>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</si>
  <si>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</si>
  <si>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</si>
  <si>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</si>
  <si>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</si>
  <si>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</si>
  <si>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</si>
  <si>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</si>
  <si>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</si>
  <si>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Note: If district retains this net gain, the HB 1 hold harmless amount or 'excess' amount</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</si>
  <si>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</si>
  <si>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</si>
  <si>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</si>
  <si>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</si>
  <si>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</si>
  <si>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</si>
  <si>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</si>
  <si>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</si>
  <si>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</si>
  <si>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</si>
  <si>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</si>
  <si>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</si>
  <si>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</si>
  <si>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</si>
  <si>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Rollback Pennies</t>
  </si>
  <si>
    <t>233-903</t>
  </si>
  <si>
    <t>Limitation on Assistance (sum of "Limitations" above)</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</si>
  <si>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</si>
  <si>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</si>
  <si>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</si>
  <si>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</si>
  <si>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</si>
  <si>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</si>
  <si>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</si>
  <si>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</si>
  <si>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</si>
  <si>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</si>
  <si>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 xml:space="preserve">The OFFICIAL version will be available.  At this time, it is believed that the methodology </t>
  </si>
  <si>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</si>
  <si>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</si>
  <si>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</si>
  <si>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</si>
  <si>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</si>
  <si>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</si>
  <si>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</si>
  <si>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</si>
  <si>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</si>
  <si>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</si>
  <si>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</si>
  <si>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</si>
  <si>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</si>
  <si>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</si>
  <si>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</si>
  <si>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</si>
  <si>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</si>
  <si>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Salary Allotment</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</si>
  <si>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</si>
  <si>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</si>
  <si>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</si>
  <si>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</si>
  <si>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</si>
  <si>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</si>
  <si>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</si>
  <si>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</si>
  <si>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</si>
  <si>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</si>
  <si>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</si>
  <si>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</si>
  <si>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</si>
  <si>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</si>
  <si>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</si>
  <si>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</si>
  <si>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</si>
  <si>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</si>
  <si>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</si>
  <si>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</si>
  <si>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</si>
  <si>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</si>
  <si>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</si>
  <si>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</si>
  <si>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</si>
  <si>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</si>
  <si>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</si>
  <si>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</si>
  <si>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</si>
  <si>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</si>
  <si>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</si>
  <si>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</si>
  <si>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</si>
  <si>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</si>
  <si>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</si>
  <si>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</si>
  <si>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</si>
  <si>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</si>
  <si>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</si>
  <si>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</si>
  <si>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</si>
  <si>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</si>
  <si>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</si>
  <si>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</si>
  <si>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</si>
  <si>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</si>
  <si>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</si>
  <si>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will be decreased/increased accordingly.  If district sends all of this amount to another</t>
  </si>
  <si>
    <t>089-901</t>
  </si>
  <si>
    <t>252-901</t>
  </si>
  <si>
    <t>things to do:</t>
  </si>
  <si>
    <t>1) does ch 41 hold harmless go away?</t>
  </si>
  <si>
    <t>&lt;&lt;&lt;&lt;&lt;&lt;&lt;&lt;&lt;&lt;&lt;&lt;&lt; The following are calculated automatically &gt;&gt;&gt;&gt;&gt;&gt;&gt;&gt;&gt;&gt;&gt;&gt;&gt;</t>
  </si>
  <si>
    <t>4.</t>
  </si>
  <si>
    <t>5.</t>
  </si>
  <si>
    <t>Calculation of Allotment:</t>
  </si>
  <si>
    <t>6.</t>
  </si>
  <si>
    <t>7.</t>
  </si>
  <si>
    <t>8.</t>
  </si>
  <si>
    <t>ADA</t>
  </si>
  <si>
    <t>DPV</t>
  </si>
  <si>
    <t xml:space="preserve">            the bonds were included in the district's audited 1998-99 debt service collections, </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</si>
  <si>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</si>
  <si>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</si>
  <si>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</si>
  <si>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</si>
  <si>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</si>
  <si>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</si>
  <si>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</si>
  <si>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</si>
  <si>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</si>
  <si>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</si>
  <si>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</si>
  <si>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</si>
  <si>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</si>
  <si>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</si>
  <si>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</si>
  <si>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 xml:space="preserve">     Proportional Efficiency Credit</t>
  </si>
  <si>
    <t>070-909</t>
  </si>
  <si>
    <t>032-902</t>
  </si>
  <si>
    <t>033-901</t>
  </si>
  <si>
    <t xml:space="preserve">Tax Collection Limit for DTR </t>
  </si>
  <si>
    <t>Weighted ADA (WADA)</t>
  </si>
  <si>
    <t>180-901</t>
  </si>
  <si>
    <t>G &amp; T  Enrollment</t>
  </si>
  <si>
    <t>Public Ed Grant Student ADA</t>
  </si>
  <si>
    <t>Highest Grade Taught</t>
  </si>
  <si>
    <t>2009-10 HB1</t>
  </si>
  <si>
    <t>2009-10</t>
  </si>
  <si>
    <t>09-10</t>
  </si>
  <si>
    <t xml:space="preserve">2009-10 </t>
  </si>
  <si>
    <t>M&amp;O Revenue From Local Taxes (for first $.06 above compressed rate; no recapture)</t>
  </si>
  <si>
    <t>M&amp;O Revenue From Local Taxes (net of recapture for pennies beyond compressed rate + $.06)</t>
  </si>
  <si>
    <t>LITTLEFIELD ISD</t>
  </si>
  <si>
    <t>SPADE ISD</t>
  </si>
  <si>
    <t>.</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</si>
  <si>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</si>
  <si>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</si>
  <si>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</si>
  <si>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</si>
  <si>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</si>
  <si>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</si>
  <si>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</si>
  <si>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</si>
  <si>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</si>
  <si>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</si>
  <si>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</si>
  <si>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</si>
  <si>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</si>
  <si>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</si>
  <si>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Transportation Allocation</t>
  </si>
  <si>
    <t>1992-93 M&amp;O Tax Collections</t>
  </si>
  <si>
    <t>1992-93 CED Distribution</t>
  </si>
  <si>
    <t>209-901</t>
  </si>
  <si>
    <t>209-902</t>
  </si>
  <si>
    <t>210-901</t>
  </si>
  <si>
    <t>178-913</t>
  </si>
  <si>
    <t>08-09</t>
  </si>
  <si>
    <t>EWL = $374,200</t>
  </si>
  <si>
    <t>@ $374,200</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</si>
  <si>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</si>
  <si>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</si>
  <si>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</si>
  <si>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</si>
  <si>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</si>
  <si>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</si>
  <si>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</si>
  <si>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</si>
  <si>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</si>
  <si>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</si>
  <si>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</si>
  <si>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</si>
  <si>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</si>
  <si>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</si>
  <si>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</si>
  <si>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</si>
  <si>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</si>
  <si>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</si>
  <si>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</si>
  <si>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</si>
  <si>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</si>
  <si>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 xml:space="preserve">worksheet at this point. It is being released at this time so that districts can have some </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</si>
  <si>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</si>
  <si>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</si>
  <si>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</si>
  <si>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</si>
  <si>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</si>
  <si>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</si>
  <si>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</si>
  <si>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</si>
  <si>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</si>
  <si>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</si>
  <si>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</si>
  <si>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</si>
  <si>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</si>
  <si>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</si>
  <si>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</si>
  <si>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</si>
  <si>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</si>
  <si>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</si>
  <si>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</si>
  <si>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</si>
  <si>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tax effort @ 1.50</t>
  </si>
  <si>
    <t>dtr @ 1.50</t>
  </si>
  <si>
    <t>@ compressed rate</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</si>
  <si>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</si>
  <si>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</si>
  <si>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</si>
  <si>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</si>
  <si>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</si>
  <si>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</si>
  <si>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 xml:space="preserve">Using Per Capita </t>
  </si>
  <si>
    <t>Option 3 Cost Before Any Discounts</t>
  </si>
  <si>
    <t>Credits Against Option 3 Portion of Initial Cost:</t>
  </si>
  <si>
    <t xml:space="preserve">     Proportional Early Agreement Credit</t>
  </si>
  <si>
    <t xml:space="preserve">     Maximum Credit for Appraisal Costs</t>
  </si>
  <si>
    <t>Total Revenue per WADA</t>
  </si>
  <si>
    <t>Basic Allotment</t>
  </si>
  <si>
    <t>Level 1 Guaranteed Yield</t>
  </si>
  <si>
    <t>Level 2 Guaranteed Yield</t>
  </si>
  <si>
    <t>ORANGE GROVE ISD</t>
  </si>
  <si>
    <t>ORE CITY ISD</t>
  </si>
  <si>
    <t>GRANGER ISD</t>
  </si>
  <si>
    <t>&lt;= Enter bilingual ADA for all grades.</t>
  </si>
  <si>
    <t>TOTAL STATE AID - ALL FUNDS</t>
  </si>
  <si>
    <t>eligible "old" debt covered by IFA: award#4</t>
  </si>
  <si>
    <t>Data Section: (from Data Entry &amp; IFA worksheets)</t>
  </si>
  <si>
    <t>100-903</t>
  </si>
  <si>
    <t>176-902</t>
  </si>
  <si>
    <t>236-901</t>
  </si>
  <si>
    <t>greater of amt</t>
  </si>
  <si>
    <t>Greater of</t>
  </si>
  <si>
    <t>HS ADA</t>
  </si>
  <si>
    <t># teachers</t>
  </si>
  <si>
    <t>F-T staff</t>
  </si>
  <si>
    <t>P-T staff</t>
  </si>
  <si>
    <t>M&amp;O Rate</t>
  </si>
  <si>
    <t>CPTD</t>
  </si>
  <si>
    <t>0506 rate</t>
  </si>
  <si>
    <t>0809rate</t>
  </si>
  <si>
    <t>comp rate</t>
  </si>
  <si>
    <t>pennies above</t>
  </si>
  <si>
    <t>ada</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</si>
  <si>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</si>
  <si>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</si>
  <si>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</si>
  <si>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</si>
  <si>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</si>
  <si>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</si>
  <si>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</si>
  <si>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</si>
  <si>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</si>
  <si>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</si>
  <si>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</si>
  <si>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</si>
  <si>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</si>
  <si>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</si>
  <si>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</si>
  <si>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</si>
  <si>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</si>
  <si>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</si>
  <si>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</si>
  <si>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</si>
  <si>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</si>
  <si>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</si>
  <si>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</si>
  <si>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</si>
  <si>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</si>
  <si>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</si>
  <si>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</si>
  <si>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</si>
  <si>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</si>
  <si>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</si>
  <si>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</si>
  <si>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</si>
  <si>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</si>
  <si>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</si>
  <si>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 xml:space="preserve">  Cost of Education Index</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</si>
  <si>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</si>
  <si>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</si>
  <si>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</si>
  <si>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</si>
  <si>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</si>
  <si>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</si>
  <si>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</si>
  <si>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</si>
  <si>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</si>
  <si>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</si>
  <si>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</si>
  <si>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</si>
  <si>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</si>
  <si>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</si>
  <si>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</si>
  <si>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</si>
  <si>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</si>
  <si>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</si>
  <si>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</si>
  <si>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</si>
  <si>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</si>
  <si>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</si>
  <si>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</si>
  <si>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</si>
  <si>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</si>
  <si>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 xml:space="preserve">2007-08 </t>
  </si>
  <si>
    <t xml:space="preserve">Adj to </t>
  </si>
  <si>
    <t>Total Additional State Aid for Tax Reduction</t>
  </si>
  <si>
    <t>NIFA</t>
  </si>
  <si>
    <t xml:space="preserve">Tier I State Aid Under HB 1 </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</si>
  <si>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</si>
  <si>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</si>
  <si>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</si>
  <si>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</si>
  <si>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</si>
  <si>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</si>
  <si>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</si>
  <si>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</si>
  <si>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</si>
  <si>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</si>
  <si>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</si>
  <si>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</si>
  <si>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</si>
  <si>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</si>
  <si>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</si>
  <si>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</si>
  <si>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</si>
  <si>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</si>
  <si>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</si>
  <si>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</si>
  <si>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</si>
  <si>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</si>
  <si>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</si>
  <si>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less: tax collections for golden pennies</t>
  </si>
  <si>
    <t>collections for level 3</t>
  </si>
  <si>
    <t>less: tax collections @ comp rate</t>
  </si>
  <si>
    <t>level 3 dtr</t>
  </si>
  <si>
    <t>(cannot be greater than $1.17)</t>
  </si>
  <si>
    <t>050-902</t>
  </si>
  <si>
    <t>050-909</t>
  </si>
  <si>
    <t>051-901</t>
  </si>
  <si>
    <t>039-901</t>
  </si>
  <si>
    <t>115-903</t>
  </si>
  <si>
    <t>116-902</t>
  </si>
  <si>
    <t>018-903</t>
  </si>
  <si>
    <t>018-904</t>
  </si>
  <si>
    <t>Note: You have to add recapture at the compressed rate and recapture at $319,500 level to get total recapture.</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</si>
  <si>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</si>
  <si>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</si>
  <si>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</si>
  <si>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</si>
  <si>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</si>
  <si>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</si>
  <si>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</si>
  <si>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</si>
  <si>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</si>
  <si>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</si>
  <si>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</si>
  <si>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</si>
  <si>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</si>
  <si>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</si>
  <si>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</si>
  <si>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</si>
  <si>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</si>
  <si>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</si>
  <si>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e= tfe index for 05-06</t>
  </si>
  <si>
    <t>227-910</t>
  </si>
  <si>
    <t>163-901</t>
  </si>
  <si>
    <t>Bilingual Education Block Grant</t>
  </si>
  <si>
    <t>2011-12 HB1</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</si>
  <si>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</si>
  <si>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</si>
  <si>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</si>
  <si>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</si>
  <si>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</si>
  <si>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</si>
  <si>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</si>
  <si>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</si>
  <si>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</si>
  <si>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</si>
  <si>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b=04-05</t>
  </si>
  <si>
    <t>CANTON ISD</t>
  </si>
  <si>
    <t>VAN ISD</t>
  </si>
  <si>
    <t>100-904</t>
  </si>
  <si>
    <t>013-905</t>
  </si>
  <si>
    <t>249-908</t>
  </si>
  <si>
    <t>071-909</t>
  </si>
  <si>
    <t>015-909</t>
  </si>
  <si>
    <t>128-903</t>
  </si>
  <si>
    <t>028-903</t>
  </si>
  <si>
    <t xml:space="preserve">     Adjusted Cost of Education Index</t>
  </si>
  <si>
    <t>236-902</t>
  </si>
  <si>
    <t>020-905</t>
  </si>
  <si>
    <t>020-906</t>
  </si>
  <si>
    <t>020-910</t>
  </si>
  <si>
    <t>and Option 4) for the 2008-09 &amp; 2009-10 school years.</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</si>
  <si>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</si>
  <si>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</si>
  <si>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</si>
  <si>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</si>
  <si>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</si>
  <si>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</si>
  <si>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</si>
  <si>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</si>
  <si>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</si>
  <si>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</si>
  <si>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</si>
  <si>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</si>
  <si>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</si>
  <si>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</si>
  <si>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</si>
  <si>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</si>
  <si>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</si>
  <si>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</si>
  <si>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</si>
  <si>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Local Share of Allotment (Line 9 * (Line 6 / 100)</t>
  </si>
  <si>
    <t>2007-08</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</si>
  <si>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</si>
  <si>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</si>
  <si>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</si>
  <si>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</si>
  <si>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</si>
  <si>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</si>
  <si>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</si>
  <si>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</si>
  <si>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</si>
  <si>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</si>
  <si>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</si>
  <si>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</si>
  <si>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</si>
  <si>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</si>
  <si>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</si>
  <si>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</si>
  <si>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</si>
  <si>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</si>
  <si>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</si>
  <si>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</si>
  <si>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</si>
  <si>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</si>
  <si>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</si>
  <si>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</si>
  <si>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</si>
  <si>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</si>
  <si>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</si>
  <si>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</si>
  <si>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</si>
  <si>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</si>
  <si>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</si>
  <si>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</si>
  <si>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</si>
  <si>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</si>
  <si>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</si>
  <si>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</si>
  <si>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</si>
  <si>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</si>
  <si>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</si>
  <si>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</si>
  <si>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</si>
  <si>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</si>
  <si>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</si>
  <si>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</si>
  <si>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</si>
  <si>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</si>
  <si>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</si>
  <si>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</si>
  <si>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</si>
  <si>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</si>
  <si>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2008-09 I&amp;S Tax Collections</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</si>
  <si>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</si>
  <si>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</si>
  <si>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</si>
  <si>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</si>
  <si>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</si>
  <si>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</si>
  <si>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</si>
  <si>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</si>
  <si>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</si>
  <si>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total collections</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</si>
  <si>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</si>
  <si>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</si>
  <si>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</si>
  <si>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</si>
  <si>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</si>
  <si>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</si>
  <si>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</si>
  <si>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</si>
  <si>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</si>
  <si>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</si>
  <si>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</si>
  <si>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</si>
  <si>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</si>
  <si>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</si>
  <si>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</si>
  <si>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</si>
  <si>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</si>
  <si>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</si>
  <si>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</si>
  <si>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</si>
  <si>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</si>
  <si>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</si>
  <si>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</si>
  <si>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for effective</t>
  </si>
  <si>
    <t>rate calc</t>
  </si>
  <si>
    <t>113-902</t>
  </si>
  <si>
    <t xml:space="preserve">The following are some of the calculations that were used to complete a portion of the </t>
  </si>
  <si>
    <t>2006-07</t>
  </si>
  <si>
    <t>126-911</t>
  </si>
  <si>
    <t>167-901</t>
  </si>
  <si>
    <t>046-902</t>
  </si>
  <si>
    <t>HUNTINGTON ISD</t>
  </si>
  <si>
    <t>HURST-EULESS-BEDFORD ISD</t>
  </si>
  <si>
    <t>HUTTO ISD</t>
  </si>
  <si>
    <t>IRVING ISD</t>
  </si>
  <si>
    <t>ITALY ISD</t>
  </si>
  <si>
    <t>If this data is incorrect, please contact Enrique Aleman at (512) 463-9238.</t>
  </si>
  <si>
    <t>Square Miles</t>
  </si>
  <si>
    <t>169-910</t>
  </si>
  <si>
    <t>Adjustment to ASATR in accordance with HB 1922:</t>
  </si>
  <si>
    <t>ASATR</t>
  </si>
  <si>
    <t>CED93</t>
  </si>
  <si>
    <t>WADA36</t>
  </si>
  <si>
    <t>CALCULATED DATA SECTION:</t>
  </si>
  <si>
    <t>SB 1</t>
  </si>
  <si>
    <t>Summary of Finances - 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</si>
  <si>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</si>
  <si>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</si>
  <si>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</si>
  <si>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</si>
  <si>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</si>
  <si>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</si>
  <si>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</si>
  <si>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</si>
  <si>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</si>
  <si>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</si>
  <si>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</si>
  <si>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</si>
  <si>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</si>
  <si>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</si>
  <si>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</si>
  <si>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</si>
  <si>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</si>
  <si>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</si>
  <si>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</si>
  <si>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</si>
  <si>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</si>
  <si>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</si>
  <si>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</si>
  <si>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</si>
  <si>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</si>
  <si>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</si>
  <si>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</si>
  <si>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</si>
  <si>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</si>
  <si>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</si>
  <si>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</si>
  <si>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</si>
  <si>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</si>
  <si>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</si>
  <si>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</si>
  <si>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</si>
  <si>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</si>
  <si>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</si>
  <si>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information available in the Division of State Funding and can also be found on the division's web page.</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</si>
  <si>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</si>
  <si>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</si>
  <si>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</si>
  <si>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</si>
  <si>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</si>
  <si>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</si>
  <si>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</si>
  <si>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</si>
  <si>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</si>
  <si>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</si>
  <si>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</si>
  <si>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</si>
  <si>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</si>
  <si>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</si>
  <si>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</si>
  <si>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</si>
  <si>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</si>
  <si>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</si>
  <si>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</si>
  <si>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</si>
  <si>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</si>
  <si>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</si>
  <si>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</si>
  <si>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</si>
  <si>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</si>
  <si>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</si>
  <si>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</si>
  <si>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</si>
  <si>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</si>
  <si>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</si>
  <si>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</si>
  <si>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</si>
  <si>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</si>
  <si>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</si>
  <si>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</si>
  <si>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</si>
  <si>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</si>
  <si>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</si>
  <si>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</si>
  <si>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</si>
  <si>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</si>
  <si>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</si>
  <si>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</si>
  <si>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</si>
  <si>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</si>
  <si>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</si>
  <si>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</si>
  <si>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</si>
  <si>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</si>
  <si>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</si>
  <si>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</si>
  <si>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</si>
  <si>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</si>
  <si>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11-12</t>
  </si>
  <si>
    <t>12-13</t>
  </si>
  <si>
    <t>13-14</t>
  </si>
  <si>
    <t>YANTIS ISD</t>
  </si>
  <si>
    <t>ALBA-GOLDEN ISD</t>
  </si>
  <si>
    <t>WINNSBORO ISD</t>
  </si>
  <si>
    <t>DENVER CITY ISD</t>
  </si>
  <si>
    <t>PLAINS ISD</t>
  </si>
  <si>
    <t>NEWCASTLE ISD</t>
  </si>
  <si>
    <t>ZAPATA COUNTY ISD</t>
  </si>
  <si>
    <t xml:space="preserve">       2005-06 Transportation</t>
  </si>
  <si>
    <t xml:space="preserve">       2005-06 NIFA</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</si>
  <si>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</si>
  <si>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</si>
  <si>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</si>
  <si>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</si>
  <si>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</si>
  <si>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</si>
  <si>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</si>
  <si>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</si>
  <si>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</si>
  <si>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</si>
  <si>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</si>
  <si>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</si>
  <si>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</si>
  <si>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</si>
  <si>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</si>
  <si>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</si>
  <si>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</si>
  <si>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</si>
  <si>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</si>
  <si>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</si>
  <si>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</si>
  <si>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</si>
  <si>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</si>
  <si>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</si>
  <si>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</si>
  <si>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</si>
  <si>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</si>
  <si>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</si>
  <si>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</si>
  <si>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</si>
  <si>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</si>
  <si>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</si>
  <si>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</si>
  <si>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</si>
  <si>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</si>
  <si>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</si>
  <si>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</si>
  <si>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</si>
  <si>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</si>
  <si>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</si>
  <si>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</si>
  <si>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</si>
  <si>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</si>
  <si>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</si>
  <si>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</si>
  <si>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</si>
  <si>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</si>
  <si>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</si>
  <si>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</si>
  <si>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</si>
  <si>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</si>
  <si>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</si>
  <si>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</si>
  <si>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</si>
  <si>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</si>
  <si>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</si>
  <si>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</si>
  <si>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 xml:space="preserve">2002-03 State/Local Share of IFA Awarded for Bonded Debt </t>
  </si>
  <si>
    <t>229-901</t>
  </si>
  <si>
    <t>020-907</t>
  </si>
  <si>
    <t>045-902</t>
  </si>
  <si>
    <t>116-903</t>
  </si>
  <si>
    <t>043-918</t>
  </si>
  <si>
    <t>Note: If the district is exercising Option 3 in combination with a technology consortium</t>
  </si>
  <si>
    <t xml:space="preserve">for rollback pennies under this tech consortium option is not available at this time). </t>
  </si>
  <si>
    <t># WADA Purchased</t>
  </si>
  <si>
    <t>Cost/WADA</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</si>
  <si>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</si>
  <si>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</si>
  <si>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</si>
  <si>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</si>
  <si>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</si>
  <si>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</si>
  <si>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</si>
  <si>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</si>
  <si>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</si>
  <si>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</si>
  <si>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</si>
  <si>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</si>
  <si>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</si>
  <si>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</si>
  <si>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</si>
  <si>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</si>
  <si>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</si>
  <si>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</si>
  <si>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n</t>
  </si>
  <si>
    <t>NOTE:  Bonds are eligible if (1) taxes levied to pay for the principal of and interest on</t>
  </si>
  <si>
    <t>197-902</t>
  </si>
  <si>
    <t>198-901</t>
  </si>
  <si>
    <t>198-902</t>
  </si>
  <si>
    <t>198-903</t>
  </si>
  <si>
    <t>198-905</t>
  </si>
  <si>
    <t>198-906</t>
  </si>
  <si>
    <t>091-910</t>
  </si>
  <si>
    <t>153-907</t>
  </si>
  <si>
    <t>154-903</t>
  </si>
  <si>
    <t xml:space="preserve">DTR for Second Level of Tier II </t>
  </si>
  <si>
    <t xml:space="preserve">LR for First Level of Tier II </t>
  </si>
  <si>
    <t>181-907</t>
  </si>
  <si>
    <t>184-903</t>
  </si>
  <si>
    <t>189-901</t>
  </si>
  <si>
    <t>037-901</t>
  </si>
  <si>
    <t>037-909</t>
  </si>
  <si>
    <t>251-902</t>
  </si>
  <si>
    <t>252-902</t>
  </si>
  <si>
    <t>208-903</t>
  </si>
  <si>
    <t xml:space="preserve">     Tuition-paying Non-Residents Converted to WADA</t>
  </si>
  <si>
    <t xml:space="preserve">Opt 3 Cost for </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</si>
  <si>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</si>
  <si>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</si>
  <si>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</si>
  <si>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</si>
  <si>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</si>
  <si>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</si>
  <si>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</si>
  <si>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</si>
  <si>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</si>
  <si>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</si>
  <si>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</si>
  <si>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</si>
  <si>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</si>
  <si>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</si>
  <si>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</si>
  <si>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</si>
  <si>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</si>
  <si>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</si>
  <si>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</si>
  <si>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</si>
  <si>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</si>
  <si>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</si>
  <si>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</si>
  <si>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</si>
  <si>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c=05-06</t>
  </si>
  <si>
    <t>d=06-07</t>
  </si>
  <si>
    <t>ALTO ISD</t>
  </si>
  <si>
    <t>102-902</t>
  </si>
  <si>
    <t>102-903</t>
  </si>
  <si>
    <t>102-904</t>
  </si>
  <si>
    <t>245-901</t>
  </si>
  <si>
    <t>252-903</t>
  </si>
  <si>
    <t>Target Revenue</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</si>
  <si>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</si>
  <si>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</si>
  <si>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</si>
  <si>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</si>
  <si>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</si>
  <si>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</si>
  <si>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</si>
  <si>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</si>
  <si>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</si>
  <si>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</si>
  <si>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</si>
  <si>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</si>
  <si>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</si>
  <si>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</si>
  <si>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</si>
  <si>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</si>
  <si>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</si>
  <si>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</si>
  <si>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</si>
  <si>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</si>
  <si>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</si>
  <si>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</si>
  <si>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</si>
  <si>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</si>
  <si>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</si>
  <si>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</si>
  <si>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</si>
  <si>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</si>
  <si>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</si>
  <si>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</si>
  <si>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</si>
  <si>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</si>
  <si>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</si>
  <si>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</si>
  <si>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</si>
  <si>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</si>
  <si>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</si>
  <si>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</si>
  <si>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</si>
  <si>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</si>
  <si>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</si>
  <si>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</si>
  <si>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</si>
  <si>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</si>
  <si>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</si>
  <si>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</si>
  <si>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</si>
  <si>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</si>
  <si>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</si>
  <si>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</si>
  <si>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2008-09 EDA local share</t>
  </si>
  <si>
    <t>2008-09 IFA local share</t>
  </si>
  <si>
    <t>adj ada</t>
  </si>
  <si>
    <t>tuition pd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</si>
  <si>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</si>
  <si>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</si>
  <si>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</si>
  <si>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</si>
  <si>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</si>
  <si>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</si>
  <si>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</si>
  <si>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</si>
  <si>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</si>
  <si>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</si>
  <si>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</si>
  <si>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</si>
  <si>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</si>
  <si>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</si>
  <si>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</si>
  <si>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</si>
  <si>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</si>
  <si>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</si>
  <si>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</si>
  <si>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</si>
  <si>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</si>
  <si>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</si>
  <si>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</si>
  <si>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</si>
  <si>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</si>
  <si>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</si>
  <si>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</si>
  <si>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</si>
  <si>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</si>
  <si>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</si>
  <si>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</si>
  <si>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</si>
  <si>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</si>
  <si>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</si>
  <si>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</si>
  <si>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</si>
  <si>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</si>
  <si>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</si>
  <si>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</si>
  <si>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</si>
  <si>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</si>
  <si>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</si>
  <si>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</si>
  <si>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</si>
  <si>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</si>
  <si>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</si>
  <si>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</si>
  <si>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</si>
  <si>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</si>
  <si>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</si>
  <si>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</si>
  <si>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</si>
  <si>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</si>
  <si>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</si>
  <si>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</si>
  <si>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</si>
  <si>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</si>
  <si>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</si>
  <si>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</si>
  <si>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</si>
  <si>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</si>
  <si>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</si>
  <si>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</si>
  <si>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</si>
  <si>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</si>
  <si>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</si>
  <si>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</si>
  <si>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 xml:space="preserve">Gross Profit From Option 4 Chapter 41 Partnership </t>
  </si>
  <si>
    <t>Portion of Gross Profit Sent to Another Entity</t>
  </si>
  <si>
    <t>Net Profit from Option 4 Chapter 41 Partnership</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</si>
  <si>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</si>
  <si>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</si>
  <si>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</si>
  <si>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</si>
  <si>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</si>
  <si>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</si>
  <si>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</si>
  <si>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</si>
  <si>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</si>
  <si>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</si>
  <si>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</si>
  <si>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</si>
  <si>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</si>
  <si>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</si>
  <si>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</si>
  <si>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</si>
  <si>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</si>
  <si>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</si>
  <si>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</si>
  <si>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</si>
  <si>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 xml:space="preserve">     M&amp;O Taxes Collected Beyond Compressed Rate + $.04</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</si>
  <si>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</si>
  <si>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</si>
  <si>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</si>
  <si>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</si>
  <si>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</si>
  <si>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</si>
  <si>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</si>
  <si>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</si>
  <si>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</si>
  <si>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</si>
  <si>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</si>
  <si>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</si>
  <si>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</si>
  <si>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</si>
  <si>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</si>
  <si>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 xml:space="preserve">       2004-05 I&amp;S Tax Collections</t>
  </si>
  <si>
    <t>Notice of Allotment Amount</t>
  </si>
  <si>
    <t xml:space="preserve">2002-03 Actual Debt Service Payment for Bonded Debt </t>
  </si>
  <si>
    <t xml:space="preserve">Pay Debt Service (#8.c / #8.d) </t>
  </si>
  <si>
    <t>Proposed Rate:</t>
  </si>
  <si>
    <t>9.a</t>
  </si>
  <si>
    <t>9.b</t>
  </si>
  <si>
    <t>9.c</t>
  </si>
  <si>
    <t>9.d</t>
  </si>
  <si>
    <t>9.e</t>
  </si>
  <si>
    <t>WINFIELD ISD</t>
  </si>
  <si>
    <t>HARTS BLUFF ISD</t>
  </si>
  <si>
    <t>IF DISTRICT ENTERS INTO AN OPTION 4 AGREEMENT WITH A CHAPTER 41 DISTRICT:</t>
  </si>
  <si>
    <t>when setting the district's I&amp;S tax rate.</t>
  </si>
  <si>
    <t>085-902</t>
  </si>
  <si>
    <t>085-903</t>
  </si>
  <si>
    <t>S1</t>
  </si>
  <si>
    <t>S2</t>
  </si>
  <si>
    <t>S3</t>
  </si>
  <si>
    <t>05-06 tu pd</t>
  </si>
  <si>
    <t>06-07 tu pd</t>
  </si>
  <si>
    <t>TEA's "S1" Revenue per WADA</t>
  </si>
  <si>
    <t>TEA's "S2" Revenue per WADA</t>
  </si>
  <si>
    <t>TEA's "S3" Revenue per WADA</t>
  </si>
  <si>
    <t>2005-06 tuition pd</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</si>
  <si>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</si>
  <si>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</si>
  <si>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</si>
  <si>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</si>
  <si>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</si>
  <si>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</si>
  <si>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</si>
  <si>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</si>
  <si>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</si>
  <si>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</si>
  <si>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</si>
  <si>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</si>
  <si>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</si>
  <si>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</si>
  <si>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</si>
  <si>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</si>
  <si>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</si>
  <si>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</si>
  <si>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</si>
  <si>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</si>
  <si>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</si>
  <si>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</si>
  <si>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</si>
  <si>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</si>
  <si>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</si>
  <si>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</si>
  <si>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 xml:space="preserve">2002-03 Rate Needed for All Eligible Debt </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</si>
  <si>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</si>
  <si>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</si>
  <si>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</si>
  <si>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</si>
  <si>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</si>
  <si>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</si>
  <si>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</si>
  <si>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 $364,500</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</si>
  <si>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</si>
  <si>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</si>
  <si>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</si>
  <si>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</si>
  <si>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</si>
  <si>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</si>
  <si>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</si>
  <si>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</si>
  <si>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</si>
  <si>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</si>
  <si>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</si>
  <si>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State Share of IFA (Line 8 x Line 4)</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</si>
  <si>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</si>
  <si>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</si>
  <si>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</si>
  <si>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</si>
  <si>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</si>
  <si>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</si>
  <si>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</si>
  <si>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</si>
  <si>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</si>
  <si>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</si>
  <si>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</si>
  <si>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</si>
  <si>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</si>
  <si>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</si>
  <si>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</si>
  <si>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</si>
  <si>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</si>
  <si>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</si>
  <si>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</si>
  <si>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</si>
  <si>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</si>
  <si>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</si>
  <si>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form of Option 4, complete the following to estimate recapture @ $364,500 (recapture</t>
  </si>
  <si>
    <t>EWL = $364,500</t>
  </si>
  <si>
    <t>042-906</t>
  </si>
  <si>
    <t xml:space="preserve">     WADA Needed to be Purchased</t>
  </si>
  <si>
    <t>JIM HOGG COUNTY ISD</t>
  </si>
  <si>
    <t>LA GLORIA ISD</t>
  </si>
  <si>
    <t>RIESEL ISD</t>
  </si>
  <si>
    <t>eligible "old" debt covered by IFA: award#1</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</si>
  <si>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</si>
  <si>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</si>
  <si>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</si>
  <si>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</si>
  <si>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</si>
  <si>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</si>
  <si>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</si>
  <si>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</si>
  <si>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</si>
  <si>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</si>
  <si>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</si>
  <si>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</si>
  <si>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</si>
  <si>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</si>
  <si>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</si>
  <si>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</si>
  <si>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</si>
  <si>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</si>
  <si>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</si>
  <si>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</si>
  <si>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</si>
  <si>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</si>
  <si>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</si>
  <si>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</si>
  <si>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</si>
  <si>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</si>
  <si>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</si>
  <si>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</si>
  <si>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</si>
  <si>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</si>
  <si>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</si>
  <si>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</si>
  <si>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</si>
  <si>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</si>
  <si>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</si>
  <si>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</si>
  <si>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</si>
  <si>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</si>
  <si>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</si>
  <si>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</si>
  <si>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</si>
  <si>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</si>
  <si>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</si>
  <si>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</si>
  <si>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</si>
  <si>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</si>
  <si>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</si>
  <si>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</si>
  <si>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high school ada</t>
  </si>
  <si>
    <t># teachers, etc.</t>
  </si>
  <si>
    <t>full-time staff</t>
  </si>
  <si>
    <t>part-time staff</t>
  </si>
  <si>
    <t>cptd value</t>
  </si>
  <si>
    <t>m&amp;o rate</t>
  </si>
  <si>
    <t>hmbd</t>
  </si>
  <si>
    <t xml:space="preserve"> (09-10 payment - amt pd in base year)</t>
  </si>
  <si>
    <t xml:space="preserve"> (10-11 payment - amt pd in base year)</t>
  </si>
  <si>
    <t>Transportation</t>
  </si>
  <si>
    <t xml:space="preserve"> (11-12 payment - amt pd in base year)</t>
  </si>
  <si>
    <t xml:space="preserve">   (Greater of Rows 73, 80, or 87 for applicable year)</t>
  </si>
  <si>
    <t>Tuition Paid Adjustment</t>
  </si>
  <si>
    <t>TEA's Adjusted Target Revenue</t>
  </si>
  <si>
    <t>2005-06 Tuition Paid</t>
  </si>
  <si>
    <t>2006-07 Tuition Paid</t>
  </si>
  <si>
    <t xml:space="preserve"> (08-09 payment - amt pd in base year)</t>
  </si>
  <si>
    <t xml:space="preserve">(bonded debt only) </t>
  </si>
  <si>
    <t>Graph 3:</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</si>
  <si>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</si>
  <si>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</si>
  <si>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</si>
  <si>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</si>
  <si>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</si>
  <si>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</si>
  <si>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square miles</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</si>
  <si>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</si>
  <si>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</si>
  <si>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</si>
  <si>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</si>
  <si>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</si>
  <si>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</si>
  <si>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</si>
  <si>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</si>
  <si>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</si>
  <si>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</si>
  <si>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Sec 42.2515, Additional State Aid for Ad Valorem</t>
  </si>
  <si>
    <t>This template does not factor this in.</t>
  </si>
  <si>
    <t>co-dist #</t>
  </si>
  <si>
    <t>teacher fixed effects index</t>
  </si>
  <si>
    <t>Small District Adj Weight</t>
  </si>
  <si>
    <t xml:space="preserve">This sheet estimates the district's recapture costs (both Option 3 </t>
  </si>
  <si>
    <t>033-904</t>
  </si>
  <si>
    <t>229-903</t>
  </si>
  <si>
    <t>229-904</t>
  </si>
  <si>
    <t>230-901</t>
  </si>
  <si>
    <t>230-902</t>
  </si>
  <si>
    <t xml:space="preserve">     Unadjusted Cost of Education Index</t>
  </si>
  <si>
    <t>199-902</t>
  </si>
  <si>
    <t>159-901</t>
  </si>
  <si>
    <t>[(Line 2 - Line 3)  /  (Line 6 / 100)]</t>
  </si>
  <si>
    <t>Data Coming From Someplace Else (Hide)</t>
  </si>
  <si>
    <t>&lt;&lt;&lt;&lt;&lt;&lt;&lt;&lt;hide all below&gt;&gt;&gt;&gt;&gt;&gt;&gt;&gt;&gt;&gt;&gt;&gt;</t>
  </si>
  <si>
    <t>10.i</t>
  </si>
  <si>
    <t>225-905</t>
  </si>
  <si>
    <t>225-907</t>
  </si>
  <si>
    <t>2006-07 tuition pd</t>
  </si>
  <si>
    <t>CALCULATION OF TARGET REVENUE</t>
  </si>
  <si>
    <t>Current-Year WADA</t>
  </si>
  <si>
    <t>Current-Year Revenue @ "S1" Level</t>
  </si>
  <si>
    <t>NIFA Adjustment</t>
  </si>
  <si>
    <t>Transportation Adjustment</t>
  </si>
  <si>
    <t>Adjusted Current-Year Revenue @ "S1" Level</t>
  </si>
  <si>
    <t>Current-Year Revenue @ "S2" Level</t>
  </si>
  <si>
    <t>Adjusted Current-Year Revenue @ "S2" Level</t>
  </si>
  <si>
    <t>Current-Year Revenue @ "S3" Level</t>
  </si>
  <si>
    <t>Adjusted Current-Year Revenue @ "S3" Level</t>
  </si>
  <si>
    <t xml:space="preserve">TEA's Target Revenue </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</si>
  <si>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</si>
  <si>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</si>
  <si>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</si>
  <si>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</si>
  <si>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</si>
  <si>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</si>
  <si>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</si>
  <si>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</si>
  <si>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tot recapture</t>
  </si>
  <si>
    <t>ratio</t>
  </si>
  <si>
    <t>max credit</t>
  </si>
  <si>
    <t>opt 4</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</si>
  <si>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</si>
  <si>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</si>
  <si>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</si>
  <si>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</si>
  <si>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</si>
  <si>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</si>
  <si>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</si>
  <si>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</si>
  <si>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</si>
  <si>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</si>
  <si>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</si>
  <si>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</si>
  <si>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</si>
  <si>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</si>
  <si>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</si>
  <si>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</si>
  <si>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</si>
  <si>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</si>
  <si>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</si>
  <si>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</si>
  <si>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</si>
  <si>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</si>
  <si>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</si>
  <si>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</si>
  <si>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cptd</t>
  </si>
  <si>
    <t>transp</t>
  </si>
  <si>
    <t>nifa</t>
  </si>
  <si>
    <t>i&amp;s taxes</t>
  </si>
  <si>
    <t># of Resident Students Being Educated by Another District</t>
  </si>
  <si>
    <t xml:space="preserve">               2003-04 School Year</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</si>
  <si>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</si>
  <si>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</si>
  <si>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</si>
  <si>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</si>
  <si>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</si>
  <si>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</si>
  <si>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</si>
  <si>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</si>
  <si>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</si>
  <si>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</si>
  <si>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</si>
  <si>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</si>
  <si>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</si>
  <si>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</si>
  <si>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</si>
  <si>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</si>
  <si>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</si>
  <si>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</si>
  <si>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</si>
  <si>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</si>
  <si>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</si>
  <si>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</si>
  <si>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</si>
  <si>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2009-10 calculations start in Column AJ</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</si>
  <si>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</si>
  <si>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</si>
  <si>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</si>
  <si>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</si>
  <si>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</si>
  <si>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</si>
  <si>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</si>
  <si>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</si>
  <si>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</si>
  <si>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Initial Recapture @LOWER RATE</t>
  </si>
  <si>
    <t>Graph 4:</t>
  </si>
  <si>
    <t>126-902</t>
  </si>
  <si>
    <t>027-903</t>
  </si>
  <si>
    <t>116-901</t>
  </si>
  <si>
    <t>166-901</t>
  </si>
  <si>
    <t>071-907</t>
  </si>
  <si>
    <t>EDA eligible debt is debt for which the district levied an I&amp;S tax rate for in 2003-04.</t>
  </si>
  <si>
    <t>2009-10 Total Refined ADA</t>
  </si>
  <si>
    <t>2009-10 Adjusted Total Refined ADA</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</si>
  <si>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</si>
  <si>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</si>
  <si>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</si>
  <si>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</si>
  <si>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</si>
  <si>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</si>
  <si>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</si>
  <si>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2007-08 Total Revenue Needed to Maintain 2006-07 Level</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</si>
  <si>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</si>
  <si>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</si>
  <si>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</si>
  <si>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</si>
  <si>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</si>
  <si>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</si>
  <si>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</si>
  <si>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</si>
  <si>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</si>
  <si>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</si>
  <si>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</si>
  <si>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</si>
  <si>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</si>
  <si>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</si>
  <si>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</si>
  <si>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</si>
  <si>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</si>
  <si>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</si>
  <si>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</si>
  <si>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</si>
  <si>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</si>
  <si>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</si>
  <si>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</si>
  <si>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</si>
  <si>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</si>
  <si>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</si>
  <si>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</si>
  <si>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</si>
  <si>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Compressed tax rate (Line 4 / $35 / Line 2 / 100)</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</si>
  <si>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</si>
  <si>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</si>
  <si>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</si>
  <si>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</si>
  <si>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</si>
  <si>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</si>
  <si>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</si>
  <si>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</si>
  <si>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</si>
  <si>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</si>
  <si>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</si>
  <si>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</si>
  <si>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</si>
  <si>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</si>
  <si>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</si>
  <si>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</si>
  <si>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</si>
  <si>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</si>
  <si>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</si>
  <si>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</si>
  <si>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</si>
  <si>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</si>
  <si>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</si>
  <si>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</si>
  <si>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</si>
  <si>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</si>
  <si>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</si>
  <si>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</si>
  <si>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</si>
  <si>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</si>
  <si>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</si>
  <si>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 effective rate</t>
  </si>
  <si>
    <t>note: this will have to change when level 3 yield is different than level 1</t>
  </si>
  <si>
    <t># of M&amp;O Pennies Beyond the 4 Pennies Above the Compressed Rate</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</si>
  <si>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</si>
  <si>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</si>
  <si>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</si>
  <si>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</si>
  <si>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</si>
  <si>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</si>
  <si>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</si>
  <si>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</si>
  <si>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</si>
  <si>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</si>
  <si>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</si>
  <si>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</si>
  <si>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</si>
  <si>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</si>
  <si>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</si>
  <si>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</si>
  <si>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</si>
  <si>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</si>
  <si>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</si>
  <si>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</si>
  <si>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</si>
  <si>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</si>
  <si>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</si>
  <si>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</si>
  <si>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</si>
  <si>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</si>
  <si>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</si>
  <si>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</si>
  <si>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</si>
  <si>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</si>
  <si>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</si>
  <si>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</si>
  <si>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</si>
  <si>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</si>
  <si>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</si>
  <si>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</si>
  <si>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</si>
  <si>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</si>
  <si>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</si>
  <si>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</si>
  <si>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</si>
  <si>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</si>
  <si>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</si>
  <si>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</si>
  <si>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</si>
  <si>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</si>
  <si>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</si>
  <si>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</si>
  <si>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</si>
  <si>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</si>
  <si>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</si>
  <si>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</si>
  <si>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</si>
  <si>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</si>
  <si>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</si>
  <si>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</si>
  <si>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</si>
  <si>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</si>
  <si>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</si>
  <si>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</si>
  <si>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</si>
  <si>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Line 5</t>
  </si>
  <si>
    <t>Tax Effort @ Compressed Rate (or lower rate, if applicable)</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</si>
  <si>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</si>
  <si>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</si>
  <si>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</si>
  <si>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</si>
  <si>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</si>
  <si>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</si>
  <si>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</si>
  <si>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</si>
  <si>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</si>
  <si>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</si>
  <si>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</si>
  <si>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</si>
  <si>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</si>
  <si>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</si>
  <si>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</si>
  <si>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</si>
  <si>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</si>
  <si>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</si>
  <si>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</si>
  <si>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</si>
  <si>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</si>
  <si>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</si>
  <si>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</si>
  <si>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</si>
  <si>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</si>
  <si>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</si>
  <si>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</si>
  <si>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</si>
  <si>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</si>
  <si>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</si>
  <si>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</si>
  <si>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</si>
  <si>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</si>
  <si>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</si>
  <si>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</si>
  <si>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</si>
  <si>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</si>
  <si>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</si>
  <si>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</si>
  <si>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</si>
  <si>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</si>
  <si>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levy</t>
  </si>
  <si>
    <t>red wada sold</t>
  </si>
  <si>
    <t>gt charge</t>
  </si>
  <si>
    <t>comp ed charge</t>
  </si>
  <si>
    <t>sp ed charge</t>
  </si>
  <si>
    <t>ch 41 status</t>
  </si>
  <si>
    <t>new ch 41</t>
  </si>
  <si>
    <t xml:space="preserve">bond </t>
  </si>
  <si>
    <t>highest grd</t>
  </si>
  <si>
    <t>miles hs</t>
  </si>
  <si>
    <t>red wada</t>
  </si>
  <si>
    <t>sp ed</t>
  </si>
  <si>
    <t>ch 41</t>
  </si>
  <si>
    <t>bond</t>
  </si>
  <si>
    <t>tuition</t>
  </si>
  <si>
    <t xml:space="preserve">Rate to Maintain Same Level of Maintenance &amp; Operations Revenue &amp;  </t>
  </si>
  <si>
    <t xml:space="preserve">     Pay Debt Service:</t>
  </si>
  <si>
    <t>SANGER ISD</t>
  </si>
  <si>
    <t xml:space="preserve">Rate Used to Determine Maximum Limit </t>
  </si>
  <si>
    <t>2005-06 M&amp;O Adopted Tax Rate</t>
  </si>
  <si>
    <t>tot coll</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</si>
  <si>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</si>
  <si>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</si>
  <si>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</si>
  <si>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</si>
  <si>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</si>
  <si>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</si>
  <si>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</si>
  <si>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</si>
  <si>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</si>
  <si>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</si>
  <si>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</si>
  <si>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</si>
  <si>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</si>
  <si>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</si>
  <si>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LPE DATA</t>
  </si>
  <si>
    <t>YOUR DATA</t>
  </si>
  <si>
    <t>BONDS</t>
  </si>
  <si>
    <t>LEASE-PURCHASE</t>
  </si>
  <si>
    <t>LPE</t>
  </si>
  <si>
    <t>YOURS</t>
  </si>
  <si>
    <t xml:space="preserve">     M&amp;O Taxes Collected Above Compressed Rate + $.06</t>
  </si>
  <si>
    <t>M&amp;O Collections Attributed to the Pennies Beyond the 6 Pennies Above the Compressed Rate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</si>
  <si>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</si>
  <si>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</si>
  <si>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</si>
  <si>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</si>
  <si>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</si>
  <si>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</si>
  <si>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</si>
  <si>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</si>
  <si>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</si>
  <si>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</si>
  <si>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</si>
  <si>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</si>
  <si>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Tier II State Aid (Levels 1 &amp; 2) </t>
  </si>
  <si>
    <t>M&amp;O Taxes Collected</t>
  </si>
  <si>
    <t xml:space="preserve">     Proportional Tax Base Reduction</t>
  </si>
  <si>
    <t>Cost of Buying WADA:</t>
  </si>
  <si>
    <t xml:space="preserve">     Initial Cost of Buying WADA</t>
  </si>
  <si>
    <t>Enrollment</t>
  </si>
  <si>
    <t xml:space="preserve">     Maximum Option 4 Credit for Appraisal Costs</t>
  </si>
  <si>
    <t xml:space="preserve">     Reported Credit for Appraisal Costs Paid by Partner(s)</t>
  </si>
  <si>
    <t xml:space="preserve">     CAD Credit Allowed </t>
  </si>
  <si>
    <t>127-901</t>
  </si>
  <si>
    <t>071-906</t>
  </si>
  <si>
    <t>Tier II State Aid Under HB 1</t>
  </si>
  <si>
    <t>$110 per WADA Entitlement</t>
  </si>
  <si>
    <t>New Salary Transition Entitlement</t>
  </si>
  <si>
    <t>Hold Harmless Additional State Aid</t>
  </si>
  <si>
    <t>Additional Aid for School Employee Benefits</t>
  </si>
  <si>
    <t>M&amp;O Tax Collections @ Compressed Rate</t>
  </si>
  <si>
    <t>Chapter 41 Recapture @ Compressed Rate</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</si>
  <si>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</si>
  <si>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</si>
  <si>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</si>
  <si>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</si>
  <si>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</si>
  <si>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</si>
  <si>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</si>
  <si>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</si>
  <si>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</si>
  <si>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</si>
  <si>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</si>
  <si>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</si>
  <si>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</si>
  <si>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</si>
  <si>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</si>
  <si>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</si>
  <si>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</si>
  <si>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</si>
  <si>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</si>
  <si>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</si>
  <si>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</si>
  <si>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</si>
  <si>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</si>
  <si>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</si>
  <si>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</si>
  <si>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</si>
  <si>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</si>
  <si>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</si>
  <si>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</si>
  <si>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</si>
  <si>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</si>
  <si>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</si>
  <si>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</si>
  <si>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</si>
  <si>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eligible "old" debt covered by IFA: award#2</t>
  </si>
  <si>
    <t>eligible "old" debt covered by IFA: award#3</t>
  </si>
  <si>
    <t>Award #6:</t>
  </si>
  <si>
    <t>Award #7:</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</si>
  <si>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</si>
  <si>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</si>
  <si>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</si>
  <si>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</si>
  <si>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</si>
  <si>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</si>
  <si>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</si>
  <si>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</si>
  <si>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</si>
  <si>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</si>
  <si>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</si>
  <si>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</si>
  <si>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</si>
  <si>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</si>
  <si>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</si>
  <si>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</si>
  <si>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</si>
  <si>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</si>
  <si>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</si>
  <si>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</si>
  <si>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</si>
  <si>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</si>
  <si>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</si>
  <si>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</si>
  <si>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</si>
  <si>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</si>
  <si>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</si>
  <si>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</si>
  <si>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</si>
  <si>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2007 CPTD Value ("T4")</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</si>
  <si>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</si>
  <si>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</si>
  <si>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</si>
  <si>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</si>
  <si>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</si>
  <si>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</si>
  <si>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</si>
  <si>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</si>
  <si>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</si>
  <si>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</si>
  <si>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</si>
  <si>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</si>
  <si>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</si>
  <si>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</si>
  <si>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</si>
  <si>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</si>
  <si>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</si>
  <si>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</si>
  <si>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</si>
  <si>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</si>
  <si>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</si>
  <si>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</si>
  <si>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</si>
  <si>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</si>
  <si>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</si>
  <si>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</si>
  <si>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</si>
  <si>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</si>
  <si>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</si>
  <si>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</si>
  <si>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</si>
  <si>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</si>
  <si>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</si>
  <si>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</si>
  <si>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</si>
  <si>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2005-06</t>
  </si>
  <si>
    <t>166-904</t>
  </si>
  <si>
    <t>HB1</t>
  </si>
  <si>
    <t>2010-11 HB1</t>
  </si>
  <si>
    <t>2010-11</t>
  </si>
  <si>
    <t>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</si>
  <si>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</si>
  <si>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</si>
  <si>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</si>
  <si>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</si>
  <si>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</si>
  <si>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</si>
  <si>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</si>
  <si>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</si>
  <si>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</si>
  <si>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</si>
  <si>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</si>
  <si>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</si>
  <si>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</si>
  <si>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</si>
  <si>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</si>
  <si>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</si>
  <si>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</si>
  <si>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</si>
  <si>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</si>
  <si>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</si>
  <si>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</si>
  <si>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</si>
  <si>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</si>
  <si>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</si>
  <si>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</si>
  <si>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</si>
  <si>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</si>
  <si>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</si>
  <si>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</si>
  <si>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</si>
  <si>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</si>
  <si>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</si>
  <si>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</si>
  <si>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</si>
  <si>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</si>
  <si>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</si>
  <si>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</si>
  <si>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</si>
  <si>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</si>
  <si>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</si>
  <si>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</si>
  <si>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</si>
  <si>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</si>
  <si>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</si>
  <si>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</si>
  <si>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</si>
  <si>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</si>
  <si>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</si>
  <si>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</si>
  <si>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</si>
  <si>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</si>
  <si>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</si>
  <si>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</si>
  <si>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</si>
  <si>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</si>
  <si>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</si>
  <si>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</si>
  <si>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</si>
  <si>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</si>
  <si>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</si>
  <si>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</si>
  <si>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2012-13 HB1</t>
  </si>
  <si>
    <t>2013-14 HB1</t>
  </si>
  <si>
    <t>Maximum State Share of IFA (Line 8 x Line 4)</t>
  </si>
  <si>
    <t>2000 CPTD Property Value</t>
  </si>
  <si>
    <t>2007-08 WADA</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</si>
  <si>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</si>
  <si>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</si>
  <si>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</si>
  <si>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</si>
  <si>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</si>
  <si>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</si>
  <si>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</si>
  <si>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</si>
  <si>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</si>
  <si>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</si>
  <si>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</si>
  <si>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</si>
  <si>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</si>
  <si>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</si>
  <si>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</si>
  <si>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</si>
  <si>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</si>
  <si>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</si>
  <si>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</si>
  <si>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</si>
  <si>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</si>
  <si>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</si>
  <si>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</si>
  <si>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</si>
  <si>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</si>
  <si>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</si>
  <si>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</si>
  <si>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</si>
  <si>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</si>
  <si>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</si>
  <si>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</si>
  <si>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</si>
  <si>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</si>
  <si>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</si>
  <si>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</si>
  <si>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</si>
  <si>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</si>
  <si>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</si>
  <si>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</si>
  <si>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</si>
  <si>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</si>
  <si>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</si>
  <si>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HB 1 Total Revenue -- The following are TEA's "S4" calculations</t>
  </si>
  <si>
    <t>FRENSHIP ISD</t>
  </si>
  <si>
    <t xml:space="preserve">EDA Entitlement (same as Line 15 unless I&amp;S taxes less than </t>
  </si>
  <si>
    <t>mid-size ch 41</t>
  </si>
  <si>
    <t>new ch 41 mid-size</t>
  </si>
  <si>
    <t>028-906</t>
  </si>
  <si>
    <t>1.h</t>
  </si>
  <si>
    <t>Award #8:</t>
  </si>
  <si>
    <t xml:space="preserve">The following IFA data (Notice of Allotment Amount and 2003-04 eligible debt payment) are derived from </t>
  </si>
  <si>
    <t>2003-04 Eligible Debt Payment</t>
  </si>
  <si>
    <t>If all debt is being covered by IFA, Line 10=0, ELSE,</t>
  </si>
  <si>
    <t>177-903</t>
  </si>
  <si>
    <t>161-921</t>
  </si>
  <si>
    <t>170-902</t>
  </si>
  <si>
    <t>TROY ISD</t>
  </si>
  <si>
    <t>101-905</t>
  </si>
  <si>
    <t>101-907</t>
  </si>
  <si>
    <t>Initial Recapture @HIGHER RATE</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</si>
  <si>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</si>
  <si>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</si>
  <si>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</si>
  <si>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</si>
  <si>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</si>
  <si>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</si>
  <si>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</si>
  <si>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</si>
  <si>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</si>
  <si>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</si>
  <si>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</si>
  <si>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</si>
  <si>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</si>
  <si>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</si>
  <si>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</si>
  <si>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</si>
  <si>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</si>
  <si>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</si>
  <si>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</si>
  <si>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</si>
  <si>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</si>
  <si>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</si>
  <si>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</si>
  <si>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</si>
  <si>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1, 2, or 3</t>
  </si>
  <si>
    <t>239-901</t>
  </si>
  <si>
    <t>239-903</t>
  </si>
  <si>
    <t>030-901</t>
  </si>
  <si>
    <t>047-903</t>
  </si>
  <si>
    <t>031-916</t>
  </si>
  <si>
    <t>098-901</t>
  </si>
  <si>
    <t xml:space="preserve">DTR for Third Level of Tier II </t>
  </si>
  <si>
    <t xml:space="preserve">LR for Third Level of Tier II </t>
  </si>
  <si>
    <t>LAREDO ISD</t>
  </si>
  <si>
    <t>LASARA ISD</t>
  </si>
  <si>
    <t>153-903</t>
  </si>
  <si>
    <t>153-904</t>
  </si>
  <si>
    <t>153-905</t>
  </si>
  <si>
    <t>015-906</t>
  </si>
  <si>
    <t>015-913</t>
  </si>
  <si>
    <t>015-914</t>
  </si>
  <si>
    <t>173-901</t>
  </si>
  <si>
    <t xml:space="preserve">           and (2) the district does not receive IFA (Chapter 46) assistance for these bonds.</t>
  </si>
  <si>
    <t>revenue target</t>
  </si>
  <si>
    <t>hb1 rev</t>
  </si>
  <si>
    <t>asatr</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</si>
  <si>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</si>
  <si>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</si>
  <si>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</si>
  <si>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</si>
  <si>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</si>
  <si>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</si>
  <si>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2008 CPTD Value ("T2")</t>
  </si>
  <si>
    <t>SB 1 Starting Point</t>
  </si>
  <si>
    <t>ADJ ADA</t>
  </si>
  <si>
    <t>TR</t>
  </si>
  <si>
    <t>REV/WADA</t>
  </si>
  <si>
    <t xml:space="preserve">This template is the property of BOSC, Inc. and Region 13 and is subject to </t>
  </si>
  <si>
    <t>may reproduce or copy this template without the express written permission of BOSC, Inc.</t>
  </si>
  <si>
    <t>UNITED ISD</t>
  </si>
  <si>
    <t>UVALDE CONS ISD</t>
  </si>
  <si>
    <t>VALLEY VIEW ISD</t>
  </si>
  <si>
    <t>VAN ALSTYNE ISD</t>
  </si>
  <si>
    <t>2002-03 Allowed Rate (Lesser of Line 7 or Line 8, or $.12)</t>
  </si>
  <si>
    <t xml:space="preserve">            2002-03 School Year</t>
  </si>
  <si>
    <t xml:space="preserve"> = the district's 2002-03 ADA</t>
  </si>
  <si>
    <t>011-904</t>
  </si>
  <si>
    <t>013-901</t>
  </si>
  <si>
    <t>042-903</t>
  </si>
  <si>
    <t>09-10 rev per</t>
  </si>
  <si>
    <t>foundation noga</t>
  </si>
  <si>
    <t>asf noga</t>
  </si>
  <si>
    <t>EAST CHAMBERS ISD</t>
  </si>
  <si>
    <t>hb5 aid</t>
  </si>
  <si>
    <t xml:space="preserve">2008-09 </t>
  </si>
  <si>
    <t>Transport</t>
  </si>
  <si>
    <t>2002-03 Rate Used for Determining 2002-03 Limit</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</si>
  <si>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</si>
  <si>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</si>
  <si>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</si>
  <si>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</si>
  <si>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</si>
  <si>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</si>
  <si>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</si>
  <si>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</si>
  <si>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</si>
  <si>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</si>
  <si>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</si>
  <si>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</si>
  <si>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</si>
  <si>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</si>
  <si>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</si>
  <si>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</si>
  <si>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</si>
  <si>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</si>
  <si>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</si>
  <si>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</si>
  <si>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The Comptroller's office will refer to this worksheet in their Rollback Tax Rate worksheet (see Line 51).</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</si>
  <si>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</si>
  <si>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</si>
  <si>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</si>
  <si>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</si>
  <si>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</si>
  <si>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</si>
  <si>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</si>
  <si>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</si>
  <si>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&lt;= This amount may have changed since the data were loaded. Check your latest Summary of Finances to make sure the latest amount loads.  If it has changed, unprotect and enter the latest amount.</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</si>
  <si>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</si>
  <si>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</si>
  <si>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</si>
  <si>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</si>
  <si>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</si>
  <si>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</si>
  <si>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</si>
  <si>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</si>
  <si>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</si>
  <si>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</si>
  <si>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</si>
  <si>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</si>
  <si>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</si>
  <si>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</si>
  <si>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</si>
  <si>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</si>
  <si>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</si>
  <si>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</si>
  <si>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</si>
  <si>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</si>
  <si>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</si>
  <si>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</si>
  <si>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</si>
  <si>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</si>
  <si>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</si>
  <si>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</si>
  <si>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Up To Comp Rate</t>
  </si>
  <si>
    <t>@ $319,500 for</t>
  </si>
  <si>
    <t>Rate #1</t>
  </si>
  <si>
    <t>249-904</t>
  </si>
  <si>
    <t>249-905</t>
  </si>
  <si>
    <t>gain retained</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</si>
  <si>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</si>
  <si>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</si>
  <si>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</si>
  <si>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</si>
  <si>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</si>
  <si>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</si>
  <si>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</si>
  <si>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</si>
  <si>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</si>
  <si>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</si>
  <si>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</si>
  <si>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</si>
  <si>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</si>
  <si>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</si>
  <si>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</si>
  <si>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</si>
  <si>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</si>
  <si>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</si>
  <si>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</si>
  <si>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</si>
  <si>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HB 828 also applies to changes in allotments under</t>
  </si>
  <si>
    <t>227-912</t>
  </si>
  <si>
    <t xml:space="preserve">NOTE:  The district must levy and collect I&amp;S taxes in the </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</si>
  <si>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</si>
  <si>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</si>
  <si>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</si>
  <si>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</si>
  <si>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</si>
  <si>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</si>
  <si>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</si>
  <si>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</si>
  <si>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</si>
  <si>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</si>
  <si>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</si>
  <si>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</si>
  <si>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</si>
  <si>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</si>
  <si>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</si>
  <si>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</si>
  <si>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</si>
  <si>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</si>
  <si>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</si>
  <si>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</si>
  <si>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</si>
  <si>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</si>
  <si>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&lt;= If district's adopted M&amp;O rate is less than 88.67% x 2005-06 M&amp;O rate, the Additional State Aid for Tax Reduction is reduced proportionately.</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</si>
  <si>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</si>
  <si>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</si>
  <si>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</si>
  <si>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</si>
  <si>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</si>
  <si>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</si>
  <si>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</si>
  <si>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</si>
  <si>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</si>
  <si>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</si>
  <si>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</si>
  <si>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</si>
  <si>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</si>
  <si>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</si>
  <si>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</si>
  <si>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</si>
  <si>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</si>
  <si>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</si>
  <si>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</si>
  <si>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</si>
  <si>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</si>
  <si>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</si>
  <si>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</si>
  <si>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</si>
  <si>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</si>
  <si>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</si>
  <si>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</si>
  <si>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</si>
  <si>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</si>
  <si>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</si>
  <si>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</si>
  <si>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</si>
  <si>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</si>
  <si>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</si>
  <si>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</si>
  <si>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</si>
  <si>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</si>
  <si>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</si>
  <si>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</si>
  <si>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</si>
  <si>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</si>
  <si>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</si>
  <si>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</si>
  <si>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</si>
  <si>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</si>
  <si>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</si>
  <si>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</si>
  <si>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</si>
  <si>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</si>
  <si>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</si>
  <si>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</si>
  <si>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</si>
  <si>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</si>
  <si>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2002 CPTD Property Value (from Data Entry)</t>
  </si>
  <si>
    <t>192-901</t>
  </si>
  <si>
    <t>eda local</t>
  </si>
  <si>
    <t>ifa local</t>
  </si>
  <si>
    <t>adj cptd</t>
  </si>
  <si>
    <t>Credits Against Option 4 Portion of Initial Cost:</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</si>
  <si>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</si>
  <si>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</si>
  <si>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</si>
  <si>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</si>
  <si>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</si>
  <si>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</si>
  <si>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</si>
  <si>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</si>
  <si>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</si>
  <si>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</si>
  <si>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</si>
  <si>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</si>
  <si>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</si>
  <si>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</si>
  <si>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</si>
  <si>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</si>
  <si>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</si>
  <si>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</si>
  <si>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</si>
  <si>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</si>
  <si>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</si>
  <si>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2008-09 ada</t>
  </si>
  <si>
    <t>2008-09 adj ada</t>
  </si>
  <si>
    <t>2007 cptd value</t>
  </si>
  <si>
    <t>107-902</t>
  </si>
  <si>
    <t>133-902</t>
  </si>
  <si>
    <t>133-903</t>
  </si>
  <si>
    <t>Total Cost of Option 3 &amp; 4 Tech Consortium Combo</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</si>
  <si>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</si>
  <si>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</si>
  <si>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</si>
  <si>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</si>
  <si>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</si>
  <si>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</si>
  <si>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</si>
  <si>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</si>
  <si>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</si>
  <si>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</si>
  <si>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</si>
  <si>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</si>
  <si>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</si>
  <si>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</si>
  <si>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</si>
  <si>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</si>
  <si>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</si>
  <si>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</si>
  <si>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</si>
  <si>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</si>
  <si>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</si>
  <si>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</si>
  <si>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</si>
  <si>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2008-09</t>
  </si>
  <si>
    <t>2008-09 HB1</t>
  </si>
  <si>
    <t>2008-09 wada</t>
  </si>
  <si>
    <t>2008-09 I&amp;S taxes</t>
  </si>
  <si>
    <t>2008-09 tuition paid</t>
  </si>
  <si>
    <t>OPTION 3 COST</t>
  </si>
  <si>
    <t xml:space="preserve">     Proportional Credit for Appraisal Costs</t>
  </si>
  <si>
    <t xml:space="preserve">Discounted Option 3 Portion of Cost </t>
  </si>
  <si>
    <t>Total Gain</t>
  </si>
  <si>
    <t>075-901</t>
  </si>
  <si>
    <t>WADA</t>
  </si>
  <si>
    <t>State/Local Revenue per WADA</t>
  </si>
  <si>
    <t>COPPERAS COVE ISD</t>
  </si>
  <si>
    <t>Rate of $100</t>
  </si>
  <si>
    <t>Rate of $58</t>
  </si>
  <si>
    <t>DPV1_91</t>
  </si>
  <si>
    <t>TUTROUT</t>
  </si>
  <si>
    <t>TUPDPER</t>
  </si>
  <si>
    <t>TUNUM</t>
  </si>
  <si>
    <t>ENROLL</t>
  </si>
  <si>
    <t>DCADCST</t>
  </si>
  <si>
    <t>PCADCST</t>
  </si>
  <si>
    <t>92-93 m&amp;o</t>
  </si>
  <si>
    <t>ced</t>
  </si>
  <si>
    <t>wada</t>
  </si>
  <si>
    <t>enrollment</t>
  </si>
  <si>
    <t>non-residents charged</t>
  </si>
  <si>
    <t>cad cost</t>
  </si>
  <si>
    <t>cad cost by partners</t>
  </si>
  <si>
    <t>paying tuition students</t>
  </si>
  <si>
    <t>amt per student</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</si>
  <si>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</si>
  <si>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</si>
  <si>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</si>
  <si>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</si>
  <si>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</si>
  <si>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</si>
  <si>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</si>
  <si>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</si>
  <si>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</si>
  <si>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</si>
  <si>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</si>
  <si>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</si>
  <si>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</si>
  <si>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</si>
  <si>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</si>
  <si>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</si>
  <si>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</si>
  <si>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</si>
  <si>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</si>
  <si>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</si>
  <si>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</si>
  <si>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</si>
  <si>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</si>
  <si>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form of Option 4, complete the following to estimate recapture @ $374,200 (recapture</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</si>
  <si>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</si>
  <si>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</si>
  <si>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</si>
  <si>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</si>
  <si>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</si>
  <si>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</si>
  <si>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</si>
  <si>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</si>
  <si>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</si>
  <si>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</si>
  <si>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</si>
  <si>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</si>
  <si>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</si>
  <si>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</si>
  <si>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</si>
  <si>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</si>
  <si>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</si>
  <si>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</si>
  <si>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</si>
  <si>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</si>
  <si>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</si>
  <si>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</si>
  <si>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</si>
  <si>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</si>
  <si>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</si>
  <si>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</si>
  <si>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</si>
  <si>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</si>
  <si>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</si>
  <si>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</si>
  <si>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</si>
  <si>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</si>
  <si>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</si>
  <si>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</si>
  <si>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</si>
  <si>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</si>
  <si>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</si>
  <si>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</si>
  <si>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</si>
  <si>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</si>
  <si>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</si>
  <si>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</si>
  <si>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</si>
  <si>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</si>
  <si>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</si>
  <si>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</si>
  <si>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</si>
  <si>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</si>
  <si>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</si>
  <si>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</si>
  <si>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</si>
  <si>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</si>
  <si>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 xml:space="preserve">Note: For the applicable year, this amount will reduce the district's Additional State Aid for Tax Reduction in Cell D88 and/or E88 by the </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</si>
  <si>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</si>
  <si>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</si>
  <si>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</si>
  <si>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</si>
  <si>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</si>
  <si>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</si>
  <si>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</si>
  <si>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</si>
  <si>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</si>
  <si>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</si>
  <si>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</si>
  <si>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</si>
  <si>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</si>
  <si>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</si>
  <si>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</si>
  <si>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</si>
  <si>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</si>
  <si>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</si>
  <si>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</si>
  <si>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</si>
  <si>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</si>
  <si>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 xml:space="preserve">* If district has "excess revenue" on the Calc Data worksheet (Cell D94, E94, or H94), the district must purchase </t>
  </si>
  <si>
    <t>additional WADA at a cost equal to the amount of the excess, as determined by the commissioner.</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</si>
  <si>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</si>
  <si>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</si>
  <si>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</si>
  <si>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</si>
  <si>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</si>
  <si>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</si>
  <si>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</si>
  <si>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</si>
  <si>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</si>
  <si>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</si>
  <si>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</si>
  <si>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</si>
  <si>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</si>
  <si>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</si>
  <si>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</si>
  <si>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</si>
  <si>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</si>
  <si>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</si>
  <si>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</si>
  <si>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</si>
  <si>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</si>
  <si>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</si>
  <si>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</si>
  <si>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</si>
  <si>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</si>
  <si>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</si>
  <si>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</si>
  <si>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</si>
  <si>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</si>
  <si>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</si>
  <si>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</si>
  <si>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</si>
  <si>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</si>
  <si>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</si>
  <si>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 xml:space="preserve">funding </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</si>
  <si>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</si>
  <si>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</si>
  <si>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</si>
  <si>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</si>
  <si>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</si>
  <si>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</si>
  <si>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</si>
  <si>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</si>
  <si>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</si>
  <si>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</si>
  <si>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</si>
  <si>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</si>
  <si>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</si>
  <si>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</si>
  <si>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</si>
  <si>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</si>
  <si>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</si>
  <si>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</si>
  <si>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</si>
  <si>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</si>
  <si>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</si>
  <si>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</si>
  <si>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</si>
  <si>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</si>
  <si>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</si>
  <si>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</si>
  <si>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</si>
  <si>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</si>
  <si>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</si>
  <si>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</si>
  <si>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</si>
  <si>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</si>
  <si>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</si>
  <si>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</si>
  <si>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</si>
  <si>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</si>
  <si>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</si>
  <si>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</si>
  <si>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</si>
  <si>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</si>
  <si>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</si>
  <si>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</si>
  <si>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</si>
  <si>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</si>
  <si>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</si>
  <si>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</si>
  <si>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</si>
  <si>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</si>
  <si>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</si>
  <si>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</si>
  <si>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</si>
  <si>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</si>
  <si>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</si>
  <si>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</si>
  <si>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</si>
  <si>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</si>
  <si>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</si>
  <si>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</si>
  <si>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</si>
  <si>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</si>
  <si>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</si>
  <si>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</si>
  <si>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</si>
  <si>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</si>
  <si>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</si>
  <si>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</si>
  <si>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</si>
  <si>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</si>
  <si>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</si>
  <si>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</si>
  <si>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</si>
  <si>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</si>
  <si>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</si>
  <si>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</si>
  <si>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</si>
  <si>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</si>
  <si>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</si>
  <si>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</si>
  <si>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</si>
  <si>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</si>
  <si>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</si>
  <si>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</si>
  <si>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</si>
  <si>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</si>
  <si>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</si>
  <si>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</si>
  <si>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</si>
  <si>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</si>
  <si>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</si>
  <si>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</si>
  <si>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</si>
  <si>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</si>
  <si>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</si>
  <si>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</si>
  <si>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</si>
  <si>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</si>
  <si>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</si>
  <si>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</si>
  <si>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</si>
  <si>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</si>
  <si>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</si>
  <si>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</si>
  <si>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</si>
  <si>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</si>
  <si>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</si>
  <si>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</si>
  <si>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</si>
  <si>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</si>
  <si>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</si>
  <si>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</si>
  <si>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</si>
  <si>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</si>
  <si>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</si>
  <si>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</si>
  <si>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</si>
  <si>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</si>
  <si>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</si>
  <si>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</si>
  <si>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</si>
  <si>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</si>
  <si>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</si>
  <si>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</si>
  <si>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</si>
  <si>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</si>
  <si>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</si>
  <si>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</si>
  <si>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</si>
  <si>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</si>
  <si>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</si>
  <si>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</si>
  <si>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</si>
  <si>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</si>
  <si>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</si>
  <si>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</si>
  <si>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</si>
  <si>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</si>
  <si>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</si>
  <si>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</si>
  <si>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</si>
  <si>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</si>
  <si>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</si>
  <si>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</si>
  <si>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</si>
  <si>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</si>
  <si>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</si>
  <si>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</si>
  <si>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</si>
  <si>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</si>
  <si>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</si>
  <si>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</si>
  <si>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</si>
  <si>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</si>
  <si>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</si>
  <si>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</si>
  <si>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</si>
  <si>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</si>
  <si>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</si>
  <si>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</si>
  <si>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</si>
  <si>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</si>
  <si>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</si>
  <si>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</si>
  <si>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</si>
  <si>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</si>
  <si>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</si>
  <si>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</si>
  <si>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</si>
  <si>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</si>
  <si>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</si>
  <si>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</si>
  <si>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2014-15 Total Refined ADA</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</si>
  <si>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</si>
  <si>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</si>
  <si>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</si>
  <si>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</si>
  <si>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</si>
  <si>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</si>
  <si>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</si>
  <si>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</si>
  <si>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</si>
  <si>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</si>
  <si>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</si>
  <si>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</si>
  <si>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</si>
  <si>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</si>
  <si>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</si>
  <si>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</si>
  <si>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</si>
  <si>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</si>
  <si>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</si>
  <si>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</si>
  <si>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</si>
  <si>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</si>
  <si>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</si>
  <si>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</si>
  <si>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</si>
  <si>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</si>
  <si>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</si>
  <si>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</si>
  <si>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</si>
  <si>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</si>
  <si>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</si>
  <si>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</si>
  <si>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</si>
  <si>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</si>
  <si>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</si>
  <si>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</si>
  <si>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</si>
  <si>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</si>
  <si>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</si>
  <si>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</si>
  <si>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</si>
  <si>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</si>
  <si>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</si>
  <si>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</si>
  <si>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</si>
  <si>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</si>
  <si>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</si>
  <si>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</si>
  <si>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</si>
  <si>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</si>
  <si>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</si>
  <si>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</si>
  <si>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</si>
  <si>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</si>
  <si>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</si>
  <si>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</si>
  <si>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</si>
  <si>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</si>
  <si>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</si>
  <si>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</si>
  <si>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</si>
  <si>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</si>
  <si>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</si>
  <si>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</si>
  <si>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 xml:space="preserve">     by Omar Garcia, BOSC, Inc.</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</si>
  <si>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</si>
  <si>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</si>
  <si>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</si>
  <si>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</si>
  <si>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</si>
  <si>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</si>
  <si>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</si>
  <si>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</si>
  <si>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</si>
  <si>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</si>
  <si>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</si>
  <si>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</si>
  <si>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</si>
  <si>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</si>
  <si>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</si>
  <si>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</si>
  <si>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</si>
  <si>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</si>
  <si>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</si>
  <si>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</si>
  <si>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</si>
  <si>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</si>
  <si>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</si>
  <si>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</si>
  <si>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</si>
  <si>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</si>
  <si>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</si>
  <si>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</si>
  <si>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</si>
  <si>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 xml:space="preserve">     specified in law.</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</si>
  <si>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</si>
  <si>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</si>
  <si>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</si>
  <si>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</si>
  <si>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</si>
  <si>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</si>
  <si>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</si>
  <si>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</si>
  <si>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</si>
  <si>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</si>
  <si>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</si>
  <si>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</si>
  <si>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</si>
  <si>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</si>
  <si>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</si>
  <si>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award #10</t>
  </si>
  <si>
    <t>(2) If Line 16 is less than Line 15, the district has not met its local share requirement.</t>
  </si>
  <si>
    <t>(1) The Eligible Debt Service Payments/Limitation on Assistance on Lines 1 and 4 are based on data from TEA</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</si>
  <si>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</si>
  <si>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</si>
  <si>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</si>
  <si>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</si>
  <si>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</si>
  <si>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</si>
  <si>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</si>
  <si>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</si>
  <si>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</si>
  <si>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</si>
  <si>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</si>
  <si>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</si>
  <si>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</si>
  <si>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</si>
  <si>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</si>
  <si>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</si>
  <si>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</si>
  <si>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</si>
  <si>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</si>
  <si>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</si>
  <si>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</si>
  <si>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</si>
  <si>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</si>
  <si>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</si>
  <si>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</si>
  <si>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</si>
  <si>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</si>
  <si>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</si>
  <si>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</si>
  <si>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</si>
  <si>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</si>
  <si>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</si>
  <si>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</si>
  <si>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</si>
  <si>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</si>
  <si>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</si>
  <si>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</si>
  <si>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</si>
  <si>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</si>
  <si>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</si>
  <si>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</si>
  <si>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</si>
  <si>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</si>
  <si>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</si>
  <si>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</si>
  <si>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</si>
  <si>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</si>
  <si>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</si>
  <si>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</si>
  <si>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</si>
  <si>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</si>
  <si>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</si>
  <si>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</si>
  <si>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</si>
  <si>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</si>
  <si>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</si>
  <si>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</si>
  <si>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</si>
  <si>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</si>
  <si>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</si>
  <si>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</si>
  <si>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</si>
  <si>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</si>
  <si>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</si>
  <si>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Effective M&amp;O Tax Rate / Notice Data </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</si>
  <si>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</si>
  <si>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</si>
  <si>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</si>
  <si>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</si>
  <si>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</si>
  <si>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</si>
  <si>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</si>
  <si>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Template for Estimating Total State Aid, Con'td</t>
  </si>
  <si>
    <t>IFA Funding Data</t>
  </si>
  <si>
    <t>Bonded Debt</t>
  </si>
  <si>
    <t>Lease-Pur</t>
  </si>
  <si>
    <t>SB1 Graph1</t>
  </si>
  <si>
    <t>Low</t>
  </si>
  <si>
    <t>Median</t>
  </si>
  <si>
    <t>Average</t>
  </si>
  <si>
    <t>High</t>
  </si>
  <si>
    <t>District's</t>
  </si>
  <si>
    <t>Copper/Silver Penny Revenue</t>
  </si>
  <si>
    <t>NOTE: Statewide statistics based on TEA "LPE" data.</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</si>
  <si>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</si>
  <si>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</si>
  <si>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</si>
  <si>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</si>
  <si>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</si>
  <si>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</si>
  <si>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2013 State Certified Property Value ("T8" value)</t>
  </si>
  <si>
    <t>This section is only for the purpose of making sure that the IFA data that the template automatically loads is the latest data from TEA.</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</si>
  <si>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</si>
  <si>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</si>
  <si>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</si>
  <si>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</si>
  <si>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</si>
  <si>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</si>
  <si>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</si>
  <si>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</si>
  <si>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</si>
  <si>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</si>
  <si>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</si>
  <si>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</si>
  <si>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</si>
  <si>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</si>
  <si>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</si>
  <si>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</si>
  <si>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</si>
  <si>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</si>
  <si>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</si>
  <si>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</si>
  <si>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</si>
  <si>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</si>
  <si>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</si>
  <si>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</si>
  <si>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</si>
  <si>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</si>
  <si>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</si>
  <si>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</si>
  <si>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</si>
  <si>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</si>
  <si>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</si>
  <si>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</si>
  <si>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</si>
  <si>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</si>
  <si>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</si>
  <si>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</si>
  <si>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</si>
  <si>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</si>
  <si>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</si>
  <si>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</si>
  <si>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</si>
  <si>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</si>
  <si>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</si>
  <si>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</si>
  <si>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</si>
  <si>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</si>
  <si>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</si>
  <si>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</si>
  <si>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</si>
  <si>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</si>
  <si>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</si>
  <si>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</si>
  <si>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</si>
  <si>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</si>
  <si>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</si>
  <si>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</si>
  <si>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</si>
  <si>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</si>
  <si>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</si>
  <si>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</si>
  <si>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</si>
  <si>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</si>
  <si>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</si>
  <si>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</si>
  <si>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</si>
  <si>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</si>
  <si>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</si>
  <si>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</si>
  <si>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</si>
  <si>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</si>
  <si>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</si>
  <si>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</si>
  <si>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</si>
  <si>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 Summary of Finances</t>
  </si>
  <si>
    <t>2015-16 (current tax year) M&amp;O Tax Rate</t>
  </si>
  <si>
    <t>2015-16 Total Tax Collections</t>
  </si>
  <si>
    <t>TOTAL  2015-16  FSP/ASF  STATE  AID</t>
  </si>
  <si>
    <t>2015-16 TOTAL STATE/LOCAL M&amp;O REVENUE</t>
  </si>
  <si>
    <t>2015-16 NET TOTAL STATE/LOCAL M&amp;O REVENUE</t>
  </si>
  <si>
    <t>Total 2015-16 Recapture</t>
  </si>
  <si>
    <t>2015-16</t>
  </si>
  <si>
    <t>2014-15 I&amp;S Tax Collections</t>
  </si>
  <si>
    <t>2014-15 Local Share of EDA</t>
  </si>
  <si>
    <t>2014-15 Local Share of IFA Awarded for Bonded Debt</t>
  </si>
  <si>
    <t>2014-15 Excess I&amp;S Tax Collections (Line 1 - Line 2 - Line 3)</t>
  </si>
  <si>
    <t>2015-16 Total Refined ADA</t>
  </si>
  <si>
    <t>2014-15 Rate to Determine Max EDA Limit (Line 2 + Line 4) / (Line 9 / 100)</t>
  </si>
  <si>
    <t>2015 (current tax year) Locally Certified Property Value</t>
  </si>
  <si>
    <t>2014 (prior tax year) State Certified Property Value ("T2" value)</t>
  </si>
  <si>
    <t>2015 (current tax year) Compressed M&amp;O Tax Rate</t>
  </si>
  <si>
    <t>599/5829 - Instructional Facilities Allotment (Lease Purchase)</t>
  </si>
  <si>
    <t>as of 12/7/12</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</si>
  <si>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</si>
  <si>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</si>
  <si>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</si>
  <si>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</si>
  <si>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</si>
  <si>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</si>
  <si>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</si>
  <si>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</si>
  <si>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</si>
  <si>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</si>
  <si>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</si>
  <si>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</si>
  <si>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</si>
  <si>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</si>
  <si>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</si>
  <si>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99-Transportation Allotment (no Detail Report included)</t>
  </si>
  <si>
    <t xml:space="preserve">NOTE: The New Instructional Facilities Allotment (NIFA) is not included in this report, as is not </t>
  </si>
  <si>
    <t>known if the Lege will appropriate any money to fund this program this year (is #9 on TEA's</t>
  </si>
  <si>
    <t>Tier I Detail Report).</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</si>
  <si>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</si>
  <si>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</si>
  <si>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</si>
  <si>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</si>
  <si>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</si>
  <si>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</si>
  <si>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</si>
  <si>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</si>
  <si>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</si>
  <si>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</si>
  <si>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</si>
  <si>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</si>
  <si>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</si>
  <si>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</si>
  <si>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</si>
  <si>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</si>
  <si>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</si>
  <si>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</si>
  <si>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</si>
  <si>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</si>
  <si>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</si>
  <si>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</si>
  <si>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</si>
  <si>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2016-17 Cost of Recapture - Level 1</t>
  </si>
  <si>
    <t>2016-17 M&amp;O Tax Collections</t>
  </si>
  <si>
    <t>2016-17 Adopted M&amp;O Tax Rate</t>
  </si>
  <si>
    <t>2016-17 Compressed M&amp;O Rate</t>
  </si>
  <si>
    <t>2016-17 Chapter 41 WADA</t>
  </si>
  <si>
    <t>2016-17 ASF Amount</t>
  </si>
  <si>
    <t>2016-17 Hold Harmless Effective Tax Rate</t>
  </si>
  <si>
    <t>2016-17 CAD Cost</t>
  </si>
  <si>
    <t>2016-17 Cost Before Discounts</t>
  </si>
  <si>
    <t>2016-17 Credit Amount</t>
  </si>
  <si>
    <t>2016-17 Chapter 42 WADA</t>
  </si>
  <si>
    <t>2016-17 Non-Resident Students Charged Tuition</t>
  </si>
  <si>
    <t>2016-17 Enrollment</t>
  </si>
  <si>
    <t>TEA Calculation of 2016-17 Chapter 41 WADA</t>
  </si>
  <si>
    <t>2016-17 Cost of Recapture - Level 3</t>
  </si>
  <si>
    <t>REGULAR PROGRAM ALLOTMENT</t>
  </si>
  <si>
    <t>2016-17 Special Education FTE Detail Report</t>
  </si>
  <si>
    <t>2016-17 M&amp;O Collections Detail Report</t>
  </si>
  <si>
    <t>2016-17 Local M&amp;O Collections</t>
  </si>
  <si>
    <t>2016-17 Local Share for IFA Lease Purchase</t>
  </si>
  <si>
    <t>2016-17 Payment to TIF</t>
  </si>
  <si>
    <t>2016-17 Total M&amp;O Collections (See Note Below)</t>
  </si>
  <si>
    <t>2016 M&amp;O Tax Rate</t>
  </si>
  <si>
    <t>2016-17 Adjusted Allotment Detail Report</t>
  </si>
  <si>
    <t>2016-17 Tier I Detail Report</t>
  </si>
  <si>
    <t>2016-17 Tier II Detail Report</t>
  </si>
  <si>
    <t>2016-17 ASATR Detail Report</t>
  </si>
  <si>
    <t>2016-17 WADA</t>
  </si>
  <si>
    <t>2016-17 Base Target Revenue (Line 1 * Line 2)</t>
  </si>
  <si>
    <t>2016-17 Minimum Revenue</t>
  </si>
  <si>
    <t>2016-17 Adjusted Minimum Revenue</t>
  </si>
  <si>
    <t>2016-17 Tier I State Aid</t>
  </si>
  <si>
    <t>2016-17 M&amp;O Collections @ Compressed Tax Rate</t>
  </si>
  <si>
    <t>2016-17 State and Local Revenue (Line 11 + Line 12 + Line 13)</t>
  </si>
  <si>
    <t>2016-17 Revenue @ Compressed Tax Rate (RACR)</t>
  </si>
  <si>
    <t>2016-17 Revenue per WADA @ Compressed Tax Rate (RACR / WADA)</t>
  </si>
  <si>
    <t>2016-17 Other Programs Detail Report</t>
  </si>
  <si>
    <t>2016-17 EDA Detail Report</t>
  </si>
  <si>
    <t>2016-17 Actual Eligible Debt Service Payment</t>
  </si>
  <si>
    <t>2016-17 IFA State/Local Share of IFA Awarded for Bonded Debt</t>
  </si>
  <si>
    <t>2016-17 Total Refined ADA</t>
  </si>
  <si>
    <t>2016-17 Allowed Rate (Lesser of Line 10 or Line 11 or $.29)</t>
  </si>
  <si>
    <t>2016-17 IFA Detail Report</t>
  </si>
  <si>
    <t>2016-17 FSP Detail Report</t>
  </si>
  <si>
    <t>2016-17 Summary of Finances</t>
  </si>
  <si>
    <t>2016 (current tax year) Locally Certified Property Value</t>
  </si>
  <si>
    <t>2015 (prior tax year) State Certified Property Value ("T2" value)</t>
  </si>
  <si>
    <t>2016-17 Total Tax Collections</t>
  </si>
  <si>
    <t>TOTAL  2016-17  FSP/ASF  STATE  AID</t>
  </si>
  <si>
    <t>2016-17 TOTAL STATE/LOCAL M&amp;O REVENUE</t>
  </si>
  <si>
    <t>2016-17 NET TOTAL STATE/LOCAL M&amp;O REVENUE</t>
  </si>
  <si>
    <t>Report-SOF1617</t>
  </si>
  <si>
    <t>Report-Other1617</t>
  </si>
  <si>
    <t>DTR_1 (M&amp;O Collections for Level 1 * 100) / 2015 CPTD</t>
  </si>
  <si>
    <t>Less LR (2015 CPTD / 100) * DTR_1</t>
  </si>
  <si>
    <t>DTR_2 (M&amp;O Collections for Level 2 * 100) / 2015 CPTD</t>
  </si>
  <si>
    <t>Less LR (2015 CPTD / 100) * DTR_2</t>
  </si>
  <si>
    <t>2015 TAX</t>
  </si>
  <si>
    <t>2017-18</t>
  </si>
  <si>
    <t>2016 TAX</t>
  </si>
  <si>
    <t>NO MORE</t>
  </si>
  <si>
    <t>2017-18 SB 1</t>
  </si>
  <si>
    <t>2017-18 Special Education FTE Detail Report</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</si>
  <si>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</si>
  <si>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</si>
  <si>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</si>
  <si>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</si>
  <si>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</si>
  <si>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</si>
  <si>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</si>
  <si>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</si>
  <si>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</si>
  <si>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</si>
  <si>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</si>
  <si>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</si>
  <si>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</si>
  <si>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</si>
  <si>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</si>
  <si>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</si>
  <si>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</si>
  <si>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</si>
  <si>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</si>
  <si>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</si>
  <si>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</si>
  <si>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</si>
  <si>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</si>
  <si>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</si>
  <si>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</si>
  <si>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</si>
  <si>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</si>
  <si>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</si>
  <si>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</si>
  <si>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</si>
  <si>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</si>
  <si>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</si>
  <si>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</si>
  <si>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</si>
  <si>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</si>
  <si>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</si>
  <si>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</si>
  <si>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</si>
  <si>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</si>
  <si>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</si>
  <si>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</si>
  <si>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</si>
  <si>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</si>
  <si>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</si>
  <si>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</si>
  <si>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</si>
  <si>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</si>
  <si>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</si>
  <si>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</si>
  <si>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</si>
  <si>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</si>
  <si>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Report-ASATR1617</t>
  </si>
  <si>
    <t>HB3646</t>
  </si>
  <si>
    <t>2013-14 HB3646</t>
  </si>
  <si>
    <t>SB1-82nd</t>
  </si>
  <si>
    <t>Summary of Finances - HB 3646 / SB1-82</t>
  </si>
  <si>
    <t>2013-14 SB1-82nd</t>
  </si>
  <si>
    <t>SB 1 - 83rd</t>
  </si>
  <si>
    <t>2014-15 HB3646</t>
  </si>
  <si>
    <t>2014-15 SB1-82nd</t>
  </si>
  <si>
    <t xml:space="preserve">REGULAR PROGRAM ALLOTMENT </t>
  </si>
  <si>
    <t>SB 1 - 82nd</t>
  </si>
  <si>
    <t>Summary of Finances - SB 1 - 83rd</t>
  </si>
  <si>
    <t>2016-17 School Year</t>
  </si>
  <si>
    <t>2017-18 School Year</t>
  </si>
  <si>
    <t>Bond Payment (not including Qualified School Constr Bnd Payments)</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</si>
  <si>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</si>
  <si>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</si>
  <si>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</si>
  <si>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</si>
  <si>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</si>
  <si>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</si>
  <si>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</si>
  <si>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</si>
  <si>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t xml:space="preserve">599/5829 - Instructional Facilities Allotment (Lease Purchase) </t>
    </r>
    <r>
      <rPr>
        <sz val="12"/>
        <color indexed="10"/>
        <rFont val="Arial MT"/>
      </rPr>
      <t>(See Link Above)</t>
    </r>
  </si>
  <si>
    <t>2015-16 (current year) I&amp;S Tax Collections</t>
  </si>
  <si>
    <t>2015-16 (current year) Total Tax Levy</t>
  </si>
  <si>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</si>
  <si>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</si>
  <si>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</si>
  <si>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</si>
  <si>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</si>
  <si>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</si>
  <si>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</si>
  <si>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</si>
  <si>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</si>
  <si>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Tier II State Aid                                                               </t>
    </r>
    <r>
      <rPr>
        <sz val="12"/>
        <color indexed="10"/>
        <rFont val="Arial MT"/>
      </rPr>
      <t>(Link to Tier II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</si>
  <si>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</si>
  <si>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</si>
  <si>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</si>
  <si>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2015-16 (current year) M&amp;O Tax Collections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</si>
  <si>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</si>
  <si>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</si>
  <si>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r>
      <rPr>
        <sz val="12"/>
        <rFont val="Arial MT"/>
      </rPr>
      <t xml:space="preserve">Other Programs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</si>
  <si>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</si>
  <si>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</si>
  <si>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</si>
  <si>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Additional State Aid for Tax Reduction                       (Link to Detail Report)</t>
  </si>
  <si>
    <t>SchoolYear</t>
  </si>
  <si>
    <t>AnchorYear</t>
  </si>
  <si>
    <t>DistrictNumber</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</si>
  <si>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</si>
  <si>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</si>
  <si>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</si>
  <si>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</si>
  <si>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</si>
  <si>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</si>
  <si>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</si>
  <si>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</si>
  <si>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</si>
  <si>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</si>
  <si>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State Certified Property Value (T2 value)</t>
  </si>
  <si>
    <t>State Certified Property Value (T8 value)</t>
  </si>
  <si>
    <t>M&amp;O Adopted Tax Rate</t>
  </si>
  <si>
    <t>M&amp;O Tax Collections @ Adopted M&amp;O Rate</t>
  </si>
  <si>
    <t>Projected Tax Collection Rate</t>
  </si>
  <si>
    <t>Current Total Taxable Value</t>
  </si>
  <si>
    <t>Certified Excess Previous Year Debt Collection</t>
  </si>
  <si>
    <t>Nbr.of Full-time Employees (excluding admin &amp; teachers, etc)</t>
  </si>
  <si>
    <t>Nbr.of Part-time Employees (excluding admin &amp; teachers, etc)</t>
  </si>
  <si>
    <t>Charge for Advanced Placement Testing</t>
  </si>
  <si>
    <t>Charge for Early Child Intervention</t>
  </si>
  <si>
    <t>LPE Current Foundation School Fund Allocation</t>
  </si>
  <si>
    <t>Foundation School Fund Adjustments to Date</t>
  </si>
  <si>
    <t>RPAF Adjustment (can be positive or negative)</t>
  </si>
  <si>
    <t>Q. Chapter 41 District? - if yes, change to Y</t>
  </si>
  <si>
    <t>Q. First-Time Chapter 41 district? (beginning with 2006-07 or later)</t>
  </si>
  <si>
    <t>Nbr.# of Non-Resident Students Who Are Charged Tuition</t>
  </si>
  <si>
    <t>Nbr.# of Resident Students Being Educated by Another District for which the District is Paying Tuition</t>
  </si>
  <si>
    <t>Q. Was the least expensive Option chosen? ($476,500 level)</t>
  </si>
  <si>
    <t>Q. Was the least expensive Option chosen? ($319,500 level)</t>
  </si>
  <si>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</si>
  <si>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</si>
  <si>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</si>
  <si>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</si>
  <si>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</si>
  <si>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</si>
  <si>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</si>
  <si>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</si>
  <si>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</si>
  <si>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</si>
  <si>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</si>
  <si>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</si>
  <si>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</si>
  <si>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</si>
  <si>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</si>
  <si>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</si>
  <si>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</si>
  <si>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</si>
  <si>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</si>
  <si>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from data 0809:</t>
  </si>
  <si>
    <t>EDA Eligible (based on bonded debt only)</t>
  </si>
  <si>
    <t>2018-19</t>
  </si>
  <si>
    <t>17-18 COEI ADJ</t>
  </si>
  <si>
    <t>18-19 COEI ADJ</t>
  </si>
  <si>
    <t>@319,500</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</si>
  <si>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</si>
  <si>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</si>
  <si>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</si>
  <si>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</si>
  <si>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</si>
  <si>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</si>
  <si>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</si>
  <si>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</si>
  <si>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</si>
  <si>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</si>
  <si>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</si>
  <si>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</si>
  <si>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</si>
  <si>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</si>
  <si>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</si>
  <si>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</si>
  <si>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</si>
  <si>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</si>
  <si>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</si>
  <si>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</si>
  <si>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</si>
  <si>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</si>
  <si>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</si>
  <si>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</si>
  <si>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</si>
  <si>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</si>
  <si>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</si>
  <si>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</si>
  <si>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</si>
  <si>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</si>
  <si>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</si>
  <si>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</si>
  <si>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</si>
  <si>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</si>
  <si>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</si>
  <si>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</si>
  <si>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</si>
  <si>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</si>
  <si>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</si>
  <si>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</si>
  <si>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</si>
  <si>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</si>
  <si>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</si>
  <si>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</si>
  <si>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</si>
  <si>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</si>
  <si>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</si>
  <si>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</si>
  <si>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</si>
  <si>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</si>
  <si>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</si>
  <si>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</si>
  <si>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</si>
  <si>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</si>
  <si>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</si>
  <si>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</si>
  <si>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</si>
  <si>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</si>
  <si>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</si>
  <si>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</si>
  <si>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</si>
  <si>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</si>
  <si>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</si>
  <si>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</si>
  <si>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</si>
  <si>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</si>
  <si>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</si>
  <si>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</si>
  <si>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</si>
  <si>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</si>
  <si>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2018 TAX</t>
  </si>
  <si>
    <t>19-20 COEI ADJ</t>
  </si>
  <si>
    <t>2019-20 School Year</t>
  </si>
  <si>
    <t>`</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</si>
  <si>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</si>
  <si>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</si>
  <si>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</si>
  <si>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</si>
  <si>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</si>
  <si>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</si>
  <si>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</si>
  <si>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</si>
  <si>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</si>
  <si>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</si>
  <si>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</si>
  <si>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</si>
  <si>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</si>
  <si>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</si>
  <si>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</si>
  <si>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</si>
  <si>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</si>
  <si>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</si>
  <si>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</si>
  <si>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</si>
  <si>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</si>
  <si>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</si>
  <si>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</si>
  <si>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</si>
  <si>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</si>
  <si>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</si>
  <si>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</si>
  <si>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</si>
  <si>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</si>
  <si>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</si>
  <si>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</si>
  <si>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</si>
  <si>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</si>
  <si>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</si>
  <si>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</si>
  <si>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</si>
  <si>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</si>
  <si>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</si>
  <si>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</si>
  <si>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</si>
  <si>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</si>
  <si>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</si>
  <si>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</si>
  <si>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</si>
  <si>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</si>
  <si>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</si>
  <si>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</si>
  <si>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</si>
  <si>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</si>
  <si>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</si>
  <si>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</si>
  <si>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</si>
  <si>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</si>
  <si>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</si>
  <si>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</si>
  <si>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</si>
  <si>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</si>
  <si>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</si>
  <si>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</si>
  <si>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</si>
  <si>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</si>
  <si>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</si>
  <si>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</si>
  <si>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</si>
  <si>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</si>
  <si>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</si>
  <si>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</si>
  <si>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</si>
  <si>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</si>
  <si>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</si>
  <si>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</si>
  <si>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Limitation on Assistance (from 'IFA Data' tab)</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</si>
  <si>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</si>
  <si>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</si>
  <si>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</si>
  <si>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</si>
  <si>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</si>
  <si>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</si>
  <si>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</si>
  <si>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</si>
  <si>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</si>
  <si>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</si>
  <si>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</si>
  <si>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</si>
  <si>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</si>
  <si>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</si>
  <si>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</si>
  <si>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</si>
  <si>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</si>
  <si>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</si>
  <si>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</si>
  <si>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</si>
  <si>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</si>
  <si>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</si>
  <si>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</si>
  <si>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</si>
  <si>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</si>
  <si>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</si>
  <si>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</si>
  <si>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</si>
  <si>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</si>
  <si>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</si>
  <si>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</si>
  <si>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</si>
  <si>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</si>
  <si>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</si>
  <si>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</si>
  <si>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</si>
  <si>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</si>
  <si>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</si>
  <si>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</si>
  <si>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</si>
  <si>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</si>
  <si>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</si>
  <si>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</si>
  <si>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</si>
  <si>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</si>
  <si>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</si>
  <si>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</si>
  <si>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</si>
  <si>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</si>
  <si>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</si>
  <si>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</si>
  <si>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</si>
  <si>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</si>
  <si>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</si>
  <si>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</si>
  <si>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</si>
  <si>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</si>
  <si>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</si>
  <si>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</si>
  <si>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</si>
  <si>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</si>
  <si>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</si>
  <si>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</si>
  <si>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</si>
  <si>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</si>
  <si>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</si>
  <si>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</si>
  <si>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</si>
  <si>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</si>
  <si>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</si>
  <si>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</si>
  <si>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</si>
  <si>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</si>
  <si>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</si>
  <si>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</si>
  <si>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</si>
  <si>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</si>
  <si>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</si>
  <si>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</si>
  <si>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</si>
  <si>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</si>
  <si>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</si>
  <si>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</si>
  <si>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</si>
  <si>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</si>
  <si>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</si>
  <si>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</si>
  <si>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</si>
  <si>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</si>
  <si>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</si>
  <si>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</si>
  <si>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</si>
  <si>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</si>
  <si>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</si>
  <si>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</si>
  <si>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</si>
  <si>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</si>
  <si>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</si>
  <si>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</si>
  <si>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</si>
  <si>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</si>
  <si>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</si>
  <si>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</si>
  <si>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</si>
  <si>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</si>
  <si>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</si>
  <si>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</si>
  <si>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</si>
  <si>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</si>
  <si>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</si>
  <si>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</si>
  <si>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</si>
  <si>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</si>
  <si>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</si>
  <si>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</si>
  <si>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</si>
  <si>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</si>
  <si>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</si>
  <si>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</si>
  <si>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</si>
  <si>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</si>
  <si>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</si>
  <si>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</si>
  <si>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</si>
  <si>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</si>
  <si>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</si>
  <si>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</si>
  <si>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</si>
  <si>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</si>
  <si>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</si>
  <si>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</si>
  <si>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</si>
  <si>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</si>
  <si>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</si>
  <si>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</si>
  <si>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</si>
  <si>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</si>
  <si>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</si>
  <si>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</si>
  <si>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</si>
  <si>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</si>
  <si>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</si>
  <si>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</si>
  <si>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</si>
  <si>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</si>
  <si>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</si>
  <si>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</si>
  <si>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</si>
  <si>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</si>
  <si>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</si>
  <si>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</si>
  <si>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</si>
  <si>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</si>
  <si>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</si>
  <si>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</si>
  <si>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</si>
  <si>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</si>
  <si>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</si>
  <si>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</si>
  <si>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</si>
  <si>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</si>
  <si>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</si>
  <si>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</si>
  <si>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</si>
  <si>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</si>
  <si>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</si>
  <si>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</si>
  <si>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</si>
  <si>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</si>
  <si>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</si>
  <si>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</si>
  <si>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</si>
  <si>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</si>
  <si>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</si>
  <si>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</si>
  <si>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</si>
  <si>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</si>
  <si>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</si>
  <si>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</si>
  <si>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</si>
  <si>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</si>
  <si>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</si>
  <si>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</si>
  <si>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</si>
  <si>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</si>
  <si>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</si>
  <si>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</si>
  <si>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</si>
  <si>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</si>
  <si>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</si>
  <si>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</si>
  <si>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</si>
  <si>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</si>
  <si>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</si>
  <si>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</si>
  <si>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</si>
  <si>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</si>
  <si>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</si>
  <si>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</si>
  <si>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</si>
  <si>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</si>
  <si>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</si>
  <si>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</si>
  <si>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</si>
  <si>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</si>
  <si>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</si>
  <si>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</si>
  <si>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</si>
  <si>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</si>
  <si>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</si>
  <si>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</si>
  <si>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</si>
  <si>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</si>
  <si>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</si>
  <si>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</si>
  <si>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</si>
  <si>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</si>
  <si>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</si>
  <si>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</si>
  <si>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</si>
  <si>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</si>
  <si>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</si>
  <si>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</si>
  <si>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</si>
  <si>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</si>
  <si>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</si>
  <si>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</si>
  <si>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</si>
  <si>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</si>
  <si>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</si>
  <si>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</si>
  <si>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</si>
  <si>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</si>
  <si>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</si>
  <si>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</si>
  <si>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</si>
  <si>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</si>
  <si>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</si>
  <si>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</si>
  <si>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</si>
  <si>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</si>
  <si>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</si>
  <si>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</si>
  <si>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</si>
  <si>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</si>
  <si>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</si>
  <si>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</si>
  <si>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</si>
  <si>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</si>
  <si>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</si>
  <si>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</si>
  <si>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</si>
  <si>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</si>
  <si>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</si>
  <si>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</si>
  <si>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</si>
  <si>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</si>
  <si>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</si>
  <si>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</si>
  <si>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</si>
  <si>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</si>
  <si>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</si>
  <si>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</si>
  <si>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</si>
  <si>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</si>
  <si>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</si>
  <si>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</si>
  <si>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</si>
  <si>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</si>
  <si>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</si>
  <si>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</si>
  <si>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</si>
  <si>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</si>
  <si>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</si>
  <si>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</si>
  <si>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</si>
  <si>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</si>
  <si>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</si>
  <si>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</si>
  <si>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</si>
  <si>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</si>
  <si>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</si>
  <si>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</si>
  <si>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</si>
  <si>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</si>
  <si>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</si>
  <si>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</si>
  <si>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</si>
  <si>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</si>
  <si>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</si>
  <si>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</si>
  <si>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</si>
  <si>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</si>
  <si>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</si>
  <si>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</si>
  <si>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</si>
  <si>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</si>
  <si>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</si>
  <si>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</si>
  <si>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</si>
  <si>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</si>
  <si>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</si>
  <si>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</si>
  <si>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</si>
  <si>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</si>
  <si>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</si>
  <si>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</si>
  <si>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</si>
  <si>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</si>
  <si>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</si>
  <si>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</si>
  <si>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</si>
  <si>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</si>
  <si>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</si>
  <si>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</si>
  <si>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</si>
  <si>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</si>
  <si>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</si>
  <si>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</si>
  <si>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</si>
  <si>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</si>
  <si>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</si>
  <si>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</si>
  <si>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</si>
  <si>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</si>
  <si>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</si>
  <si>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</si>
  <si>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</si>
  <si>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</si>
  <si>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</si>
  <si>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</si>
  <si>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</si>
  <si>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</si>
  <si>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</si>
  <si>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</si>
  <si>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</si>
  <si>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</si>
  <si>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</si>
  <si>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</si>
  <si>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</si>
  <si>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</si>
  <si>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</si>
  <si>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</si>
  <si>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</si>
  <si>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</si>
  <si>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</si>
  <si>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</si>
  <si>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</si>
  <si>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</si>
  <si>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</si>
  <si>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</si>
  <si>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</si>
  <si>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</si>
  <si>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</si>
  <si>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</si>
  <si>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</si>
  <si>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</si>
  <si>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</si>
  <si>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</si>
  <si>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</si>
  <si>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</si>
  <si>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</si>
  <si>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</si>
  <si>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</si>
  <si>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</si>
  <si>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</si>
  <si>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</si>
  <si>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</si>
  <si>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</si>
  <si>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</si>
  <si>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</si>
  <si>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</si>
  <si>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</si>
  <si>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</si>
  <si>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</si>
  <si>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</si>
  <si>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</si>
  <si>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</si>
  <si>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</si>
  <si>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</si>
  <si>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</si>
  <si>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</si>
  <si>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</si>
  <si>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</si>
  <si>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</si>
  <si>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</si>
  <si>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</si>
  <si>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</si>
  <si>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</si>
  <si>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</si>
  <si>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</si>
  <si>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</si>
  <si>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</si>
  <si>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</si>
  <si>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</si>
  <si>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</si>
  <si>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</si>
  <si>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</si>
  <si>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</si>
  <si>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</si>
  <si>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</si>
  <si>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</si>
  <si>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</si>
  <si>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</si>
  <si>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</si>
  <si>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</si>
  <si>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</si>
  <si>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</si>
  <si>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</si>
  <si>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</si>
  <si>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</si>
  <si>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</si>
  <si>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</si>
  <si>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</si>
  <si>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</si>
  <si>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</si>
  <si>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</si>
  <si>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</si>
  <si>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</si>
  <si>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</si>
  <si>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</si>
  <si>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</si>
  <si>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</si>
  <si>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</si>
  <si>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</si>
  <si>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</si>
  <si>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</si>
  <si>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</si>
  <si>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</si>
  <si>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</si>
  <si>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</si>
  <si>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</si>
  <si>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</si>
  <si>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</si>
  <si>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</si>
  <si>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</si>
  <si>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</si>
  <si>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</si>
  <si>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</si>
  <si>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</si>
  <si>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</si>
  <si>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</si>
  <si>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</si>
  <si>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</si>
  <si>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</si>
  <si>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</si>
  <si>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</si>
  <si>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</si>
  <si>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Graph 1:</t>
  </si>
  <si>
    <t>Graph 2:</t>
  </si>
  <si>
    <t>Graph 4</t>
  </si>
  <si>
    <t>Graph 5:</t>
  </si>
  <si>
    <t xml:space="preserve">2013-14 </t>
  </si>
  <si>
    <t xml:space="preserve">2014-15 </t>
  </si>
  <si>
    <t xml:space="preserve">2015-16 </t>
  </si>
  <si>
    <t>NA</t>
  </si>
  <si>
    <t>2016-17 HB3646</t>
  </si>
  <si>
    <t>2016-17 SB1-82nd</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</si>
  <si>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</si>
  <si>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</si>
  <si>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</si>
  <si>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</si>
  <si>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</si>
  <si>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</si>
  <si>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</si>
  <si>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</si>
  <si>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</si>
  <si>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</si>
  <si>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</si>
  <si>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</si>
  <si>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</si>
  <si>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</si>
  <si>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</si>
  <si>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</si>
  <si>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Total 2015-16 Recapture Payments To TEA (Link to Detail Report)</t>
  </si>
  <si>
    <t>Or, Link Back to Report-SOF1617</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</si>
  <si>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</si>
  <si>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</si>
  <si>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</si>
  <si>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</si>
  <si>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</si>
  <si>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</si>
  <si>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</si>
  <si>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</si>
  <si>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</si>
  <si>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</si>
  <si>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</si>
  <si>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</si>
  <si>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</si>
  <si>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</si>
  <si>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</si>
  <si>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</si>
  <si>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</si>
  <si>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</si>
  <si>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</si>
  <si>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</si>
  <si>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</si>
  <si>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</si>
  <si>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</si>
  <si>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</si>
  <si>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</si>
  <si>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</si>
  <si>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</si>
  <si>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</si>
  <si>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</si>
  <si>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the movement will result in a loss of total state/local revenue, so you wouldn't want to move them.</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</si>
  <si>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</si>
  <si>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</si>
  <si>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</si>
  <si>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</si>
  <si>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</si>
  <si>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</si>
  <si>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r>
      <rPr>
        <b/>
        <sz val="10"/>
        <rFont val="Arial MT"/>
      </rPr>
      <t>NOTE</t>
    </r>
    <r>
      <rPr>
        <sz val="10"/>
        <rFont val="Arial MT"/>
      </rPr>
      <t>:</t>
    </r>
    <r>
      <rPr>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</si>
  <si>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t>
    </r>
    <r>
      <rPr>
        <sz val="10"/>
        <color indexed="10"/>
        <rFont val="Arial MT"/>
      </rPr>
      <t>as noted above is a positive number.  If that amount is negative,</t>
    </r>
  </si>
  <si>
    <r>
      <t xml:space="preserve">This template assumes that if positive, the movement would take place.  </t>
    </r>
    <r>
      <rPr>
        <b/>
        <sz val="10"/>
        <rFont val="Arial MT"/>
      </rPr>
      <t>The results that you see</t>
    </r>
  </si>
  <si>
    <t>Fractional Funding Analysis:</t>
  </si>
  <si>
    <t>2018-19 School Year</t>
  </si>
  <si>
    <t xml:space="preserve">New Instructl Facilities Allot (NIFA) </t>
  </si>
  <si>
    <t>applicable.</t>
  </si>
  <si>
    <t>on the Report-SOF1516 tab are the results of the movement or non-movement, whichever is</t>
  </si>
  <si>
    <t>on the Report-SOF1617 tab are the results of the movement or non-movement, whichever is</t>
  </si>
  <si>
    <t>writing by September 1, 2015.</t>
  </si>
  <si>
    <t>For the movement to take place, the board of trustees must notify the commissioner in</t>
  </si>
  <si>
    <t>writing by September 1, 2016.</t>
  </si>
  <si>
    <t>level 1 recapture</t>
  </si>
  <si>
    <t>level 2 recapture</t>
  </si>
  <si>
    <t>no frac</t>
  </si>
  <si>
    <t>with frac</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</si>
  <si>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</si>
  <si>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</si>
  <si>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</si>
  <si>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</si>
  <si>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</si>
  <si>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</si>
  <si>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</si>
  <si>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</si>
  <si>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</si>
  <si>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</si>
  <si>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</si>
  <si>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</si>
  <si>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</si>
  <si>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Diff</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</si>
  <si>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</si>
  <si>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</si>
  <si>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</si>
  <si>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</si>
  <si>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</si>
  <si>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</si>
  <si>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</si>
  <si>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</si>
  <si>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</si>
  <si>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</si>
  <si>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</si>
  <si>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</si>
  <si>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</si>
  <si>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</si>
  <si>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</si>
  <si>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</si>
  <si>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</si>
  <si>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</si>
  <si>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</si>
  <si>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</si>
  <si>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9. New Instructional Facilities Allotment (NIFA)</t>
  </si>
  <si>
    <t>NIFA Allotment</t>
  </si>
  <si>
    <t xml:space="preserve">2014-15 Adopted M&amp;O Tax Rate </t>
  </si>
  <si>
    <t>The following I think reflects TEA's methodology used in calculating both the M&amp;O and I&amp;S hold harmless amounts.</t>
  </si>
  <si>
    <t>2016-17 M&amp;O Hold Harmless Calculations:</t>
  </si>
  <si>
    <t>2016-17 I&amp;S Hold Harmless Calculations:</t>
  </si>
  <si>
    <t xml:space="preserve">2016-17 Adopted M&amp;O Tax Rate </t>
  </si>
  <si>
    <t>2016-17 Total M&amp;O Collections @ Lesser M&amp;O Rate (includes local share of IFA lease-purchase and TIF payment)</t>
  </si>
  <si>
    <t xml:space="preserve">2015 Tax Year Property Value </t>
  </si>
  <si>
    <t>2016-17 M&amp;O Collections (includes local share of IFA lease-purchase and TIF payment)</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</si>
  <si>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</si>
  <si>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</si>
  <si>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</si>
  <si>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</si>
  <si>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</si>
  <si>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</si>
  <si>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</si>
  <si>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</si>
  <si>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</si>
  <si>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</si>
  <si>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</si>
  <si>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</si>
  <si>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</si>
  <si>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</si>
  <si>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</si>
  <si>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</si>
  <si>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</si>
  <si>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</si>
  <si>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</si>
  <si>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</si>
  <si>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</si>
  <si>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</si>
  <si>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</si>
  <si>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</si>
  <si>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</si>
  <si>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</si>
  <si>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</si>
  <si>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</si>
  <si>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</si>
  <si>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</si>
  <si>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</si>
  <si>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</si>
  <si>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</si>
  <si>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</si>
  <si>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</si>
  <si>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</si>
  <si>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</si>
  <si>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(TEA File)</t>
  </si>
  <si>
    <t xml:space="preserve">Used in </t>
  </si>
  <si>
    <t>(on template)</t>
  </si>
  <si>
    <t>2020-21</t>
  </si>
  <si>
    <t>not met its local share requirements.  The I&amp;S taxes entered in Row 59</t>
  </si>
  <si>
    <t>The I&amp;S taxes entered in Row 59 plus the Unequalized Taxes entered in Row 60 of the 'Data Entry - SOF' tab, for the applicable year,</t>
  </si>
  <si>
    <t xml:space="preserve">     The I&amp;S taxes entered on Row 59 plus the unequalized taxes entered on Row 60 must be </t>
  </si>
  <si>
    <t xml:space="preserve">     equal to or greater than Line 14 in order for the district to get the full state share.</t>
  </si>
  <si>
    <t>unequalized taxes bal</t>
  </si>
  <si>
    <t>(2) If Line 16 is less than Line 15, the district has not met its local share requirement.  The I&amp;S taxes</t>
  </si>
  <si>
    <t xml:space="preserve">     must be equal to or greater than Line 14 in order for the district to get the full state share.</t>
  </si>
  <si>
    <t xml:space="preserve">     entered on Row 59 plus the unequalized taxes entered on Row 60 minus the EDA local share</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</si>
  <si>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</si>
  <si>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</si>
  <si>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</si>
  <si>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</si>
  <si>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</si>
  <si>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</si>
  <si>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</si>
  <si>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</si>
  <si>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</si>
  <si>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</si>
  <si>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</si>
  <si>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</si>
  <si>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</si>
  <si>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</si>
  <si>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</si>
  <si>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</si>
  <si>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</si>
  <si>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</si>
  <si>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</si>
  <si>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</si>
  <si>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</si>
  <si>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</si>
  <si>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</si>
  <si>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</si>
  <si>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</si>
  <si>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</si>
  <si>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</si>
  <si>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</si>
  <si>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</si>
  <si>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</si>
  <si>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</si>
  <si>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</si>
  <si>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</si>
  <si>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</si>
  <si>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</si>
  <si>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</si>
  <si>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</si>
  <si>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</si>
  <si>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</si>
  <si>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</si>
  <si>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</si>
  <si>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</si>
  <si>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</si>
  <si>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</si>
  <si>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</si>
  <si>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</si>
  <si>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</si>
  <si>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</si>
  <si>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</si>
  <si>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</si>
  <si>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</si>
  <si>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</si>
  <si>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</si>
  <si>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</si>
  <si>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</si>
  <si>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</si>
  <si>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</si>
  <si>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</si>
  <si>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</si>
  <si>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</si>
  <si>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</si>
  <si>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</si>
  <si>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</si>
  <si>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</si>
  <si>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</si>
  <si>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</si>
  <si>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</si>
  <si>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</si>
  <si>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</si>
  <si>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</si>
  <si>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</si>
  <si>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</si>
  <si>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</si>
  <si>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</si>
  <si>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</si>
  <si>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</si>
  <si>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</si>
  <si>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</si>
  <si>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</si>
  <si>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</si>
  <si>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</si>
  <si>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</si>
  <si>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</si>
  <si>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</si>
  <si>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</si>
  <si>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</si>
  <si>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</si>
  <si>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</si>
  <si>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</si>
  <si>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t>2016-17 Compressed M&amp;O Tax Rate</t>
  </si>
  <si>
    <t>2016-17 M&amp;O Tax Rate</t>
  </si>
  <si>
    <t>2016-17 Total Tax Levy</t>
  </si>
  <si>
    <r>
      <rPr>
        <sz val="12"/>
        <rFont val="Arial MT"/>
      </rPr>
      <t xml:space="preserve">2016-17 M&amp;O Tax Collections                                                </t>
    </r>
    <r>
      <rPr>
        <sz val="12"/>
        <color indexed="10"/>
        <rFont val="Arial MT"/>
      </rPr>
      <t>(Link to Detail Report)</t>
    </r>
  </si>
  <si>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</si>
  <si>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</si>
  <si>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</si>
  <si>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</si>
  <si>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</si>
  <si>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</si>
  <si>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</si>
  <si>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</si>
  <si>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</si>
  <si>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</si>
  <si>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</si>
  <si>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</si>
  <si>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</si>
  <si>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2013 CPTD T2</t>
  </si>
  <si>
    <t>2013 CPTD T8</t>
  </si>
  <si>
    <t>2014 CPTD</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</si>
  <si>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</si>
  <si>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</si>
  <si>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</si>
  <si>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</si>
  <si>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</si>
  <si>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 xml:space="preserve">(3) Lines 18 thru 21 basically calculate one-half of the effect that the Cost of Education Index has on the Basic Allotment, as </t>
  </si>
  <si>
    <t>(1) The Basic Allotment is set by law but is reduced if the district's compressed rate is less than $1.00.</t>
  </si>
  <si>
    <t>(2) The Adjusted Basic Allotment (ABA) reflects the effect that the district's Cost of Education Index has on the Basic Allotment.</t>
  </si>
  <si>
    <t xml:space="preserve">(4) The Small District Adjustment (SDA) applies if the district's Regular Program ADA is less than 1,600.  If applicable, this adjustment </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</si>
  <si>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</si>
  <si>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</si>
  <si>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</si>
  <si>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</si>
  <si>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collections using HH M&amp;O collections</t>
  </si>
  <si>
    <t>For HH: Using M&amp;O HH taxes:</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</si>
  <si>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</si>
  <si>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</si>
  <si>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</si>
  <si>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</si>
  <si>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</si>
  <si>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</si>
  <si>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</si>
  <si>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</si>
  <si>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</si>
  <si>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</si>
  <si>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</si>
  <si>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</si>
  <si>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</si>
  <si>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HH1617-Calcs tab)</t>
    </r>
  </si>
  <si>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</si>
  <si>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</si>
  <si>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HH1617-Calcs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</si>
  <si>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</si>
  <si>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</si>
  <si>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</si>
  <si>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</si>
  <si>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</si>
  <si>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</si>
  <si>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</si>
  <si>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 xml:space="preserve">If the amounts below do not match the latest from TEA, enter the latest amount(s), which can be found on the "IFA Allotment Detail Report" </t>
  </si>
  <si>
    <t xml:space="preserve">that can be accessed by clicking on the link on Line 50 (the IFA allotment line) of TEA's Summary of Finances.   The latest amounts are under </t>
  </si>
  <si>
    <t>the column labeled "Limitations" (do not use the "LPE" limitation amounts).</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</si>
  <si>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</si>
  <si>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</si>
  <si>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</si>
  <si>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</si>
  <si>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</si>
  <si>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</si>
  <si>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</si>
  <si>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</si>
  <si>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</si>
  <si>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</si>
  <si>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</si>
  <si>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</si>
  <si>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</si>
  <si>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</si>
  <si>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</si>
  <si>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</si>
  <si>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</si>
  <si>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</si>
  <si>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</si>
  <si>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</si>
  <si>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</si>
  <si>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</si>
  <si>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</si>
  <si>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</si>
  <si>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</si>
  <si>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</si>
  <si>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</si>
  <si>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</si>
  <si>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</si>
  <si>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</si>
  <si>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</si>
  <si>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</si>
  <si>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</si>
  <si>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</si>
  <si>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</si>
  <si>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</si>
  <si>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</si>
  <si>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</si>
  <si>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</si>
  <si>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</si>
  <si>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</si>
  <si>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</si>
  <si>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</si>
  <si>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</si>
  <si>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</si>
  <si>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</si>
  <si>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</si>
  <si>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</si>
  <si>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</si>
  <si>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</si>
  <si>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</si>
  <si>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</si>
  <si>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</si>
  <si>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</si>
  <si>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</si>
  <si>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</si>
  <si>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</si>
  <si>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</si>
  <si>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</si>
  <si>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</si>
  <si>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</si>
  <si>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</si>
  <si>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</si>
  <si>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</si>
  <si>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</si>
  <si>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</si>
  <si>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</si>
  <si>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</si>
  <si>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</si>
  <si>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</si>
  <si>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</si>
  <si>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</si>
  <si>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</si>
  <si>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</si>
  <si>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</si>
  <si>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</si>
  <si>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</si>
  <si>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</si>
  <si>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</si>
  <si>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</si>
  <si>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</si>
  <si>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</si>
  <si>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</si>
  <si>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</si>
  <si>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</si>
  <si>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</si>
  <si>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</si>
  <si>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</si>
  <si>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</si>
  <si>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</si>
  <si>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</si>
  <si>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</si>
  <si>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</si>
  <si>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</si>
  <si>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</si>
  <si>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</si>
  <si>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</si>
  <si>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</si>
  <si>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</si>
  <si>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</si>
  <si>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</si>
  <si>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</si>
  <si>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</si>
  <si>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</si>
  <si>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</si>
  <si>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</si>
  <si>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</si>
  <si>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</si>
  <si>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</si>
  <si>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</si>
  <si>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</si>
  <si>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</si>
  <si>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</si>
  <si>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</si>
  <si>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</si>
  <si>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</si>
  <si>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</si>
  <si>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</si>
  <si>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</si>
  <si>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</si>
  <si>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</si>
  <si>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</si>
  <si>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</si>
  <si>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</si>
  <si>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</si>
  <si>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</si>
  <si>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</si>
  <si>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</si>
  <si>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</si>
  <si>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</si>
  <si>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</si>
  <si>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</si>
  <si>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</si>
  <si>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</si>
  <si>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</si>
  <si>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</si>
  <si>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</si>
  <si>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</si>
  <si>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</si>
  <si>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</si>
  <si>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</si>
  <si>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</si>
  <si>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</si>
  <si>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</si>
  <si>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</si>
  <si>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</si>
  <si>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</si>
  <si>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</si>
  <si>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</si>
  <si>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</si>
  <si>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</si>
  <si>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</si>
  <si>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</si>
  <si>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</si>
  <si>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</si>
  <si>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</si>
  <si>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</si>
  <si>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</si>
  <si>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</si>
  <si>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</si>
  <si>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</si>
  <si>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</si>
  <si>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</si>
  <si>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</si>
  <si>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</si>
  <si>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</si>
  <si>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</si>
  <si>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</si>
  <si>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</si>
  <si>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</si>
  <si>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</si>
  <si>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</si>
  <si>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</si>
  <si>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</si>
  <si>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</si>
  <si>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</si>
  <si>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</si>
  <si>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</si>
  <si>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</si>
  <si>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</si>
  <si>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</si>
  <si>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</si>
  <si>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</si>
  <si>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</si>
  <si>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</si>
  <si>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</si>
  <si>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</si>
  <si>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</si>
  <si>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</si>
  <si>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</si>
  <si>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</si>
  <si>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</si>
  <si>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</si>
  <si>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</si>
  <si>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</si>
  <si>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</si>
  <si>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</si>
  <si>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</si>
  <si>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</si>
  <si>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</si>
  <si>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</si>
  <si>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</si>
  <si>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</si>
  <si>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</si>
  <si>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</si>
  <si>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</si>
  <si>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</si>
  <si>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</si>
  <si>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</si>
  <si>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</si>
  <si>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</si>
  <si>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</si>
  <si>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</si>
  <si>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</si>
  <si>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</si>
  <si>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</si>
  <si>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</si>
  <si>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</si>
  <si>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</si>
  <si>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</si>
  <si>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</si>
  <si>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</si>
  <si>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</si>
  <si>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</si>
  <si>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</si>
  <si>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</si>
  <si>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</si>
  <si>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</si>
  <si>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</si>
  <si>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</si>
  <si>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</si>
  <si>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</si>
  <si>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</si>
  <si>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</si>
  <si>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</si>
  <si>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</si>
  <si>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</si>
  <si>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</si>
  <si>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</si>
  <si>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</si>
  <si>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</si>
  <si>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</si>
  <si>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</si>
  <si>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</si>
  <si>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</si>
  <si>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</si>
  <si>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</si>
  <si>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</si>
  <si>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</si>
  <si>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</si>
  <si>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</si>
  <si>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</si>
  <si>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</si>
  <si>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</si>
  <si>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</si>
  <si>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</si>
  <si>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</si>
  <si>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</si>
  <si>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</si>
  <si>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</si>
  <si>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</si>
  <si>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</si>
  <si>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</si>
  <si>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</si>
  <si>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</si>
  <si>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</si>
  <si>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</si>
  <si>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</si>
  <si>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</si>
  <si>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</si>
  <si>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</si>
  <si>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</si>
  <si>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</si>
  <si>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</si>
  <si>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</si>
  <si>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</si>
  <si>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</si>
  <si>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</si>
  <si>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</si>
  <si>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</si>
  <si>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</si>
  <si>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</si>
  <si>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</si>
  <si>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</si>
  <si>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</si>
  <si>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</si>
  <si>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</si>
  <si>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</si>
  <si>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</si>
  <si>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</si>
  <si>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</si>
  <si>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</si>
  <si>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</si>
  <si>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</si>
  <si>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</si>
  <si>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</si>
  <si>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</si>
  <si>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</si>
  <si>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</si>
  <si>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</si>
  <si>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</si>
  <si>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</si>
  <si>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</si>
  <si>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</si>
  <si>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</si>
  <si>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</si>
  <si>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</si>
  <si>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</si>
  <si>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</si>
  <si>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</si>
  <si>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</si>
  <si>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</si>
  <si>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</si>
  <si>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</si>
  <si>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</si>
  <si>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</si>
  <si>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</si>
  <si>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</si>
  <si>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</si>
  <si>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</si>
  <si>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</si>
  <si>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</si>
  <si>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</si>
  <si>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</si>
  <si>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</si>
  <si>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</si>
  <si>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</si>
  <si>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</si>
  <si>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</si>
  <si>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</si>
  <si>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</si>
  <si>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</si>
  <si>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</si>
  <si>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</si>
  <si>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</si>
  <si>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</si>
  <si>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</si>
  <si>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</si>
  <si>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</si>
  <si>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</si>
  <si>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</si>
  <si>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</si>
  <si>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</si>
  <si>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</si>
  <si>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</si>
  <si>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</si>
  <si>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</si>
  <si>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</si>
  <si>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</si>
  <si>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</si>
  <si>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</si>
  <si>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</si>
  <si>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</si>
  <si>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</si>
  <si>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</si>
  <si>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</si>
  <si>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</si>
  <si>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</si>
  <si>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</si>
  <si>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</si>
  <si>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</si>
  <si>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</si>
  <si>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</si>
  <si>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</si>
  <si>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</si>
  <si>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</si>
  <si>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</si>
  <si>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</si>
  <si>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</si>
  <si>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</si>
  <si>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</si>
  <si>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</si>
  <si>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</si>
  <si>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</si>
  <si>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</si>
  <si>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</si>
  <si>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</si>
  <si>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</si>
  <si>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</si>
  <si>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</si>
  <si>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</si>
  <si>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</si>
  <si>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</si>
  <si>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</si>
  <si>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</si>
  <si>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</si>
  <si>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</si>
  <si>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</si>
  <si>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</si>
  <si>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</si>
  <si>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</si>
  <si>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</si>
  <si>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</si>
  <si>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</si>
  <si>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</si>
  <si>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</si>
  <si>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</si>
  <si>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</si>
  <si>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</si>
  <si>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</si>
  <si>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</si>
  <si>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</si>
  <si>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</si>
  <si>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</si>
  <si>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</si>
  <si>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</si>
  <si>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</si>
  <si>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</si>
  <si>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</si>
  <si>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</si>
  <si>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</si>
  <si>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</si>
  <si>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</si>
  <si>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</si>
  <si>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</si>
  <si>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</si>
  <si>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</si>
  <si>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</si>
  <si>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</si>
  <si>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</si>
  <si>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</si>
  <si>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</si>
  <si>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</si>
  <si>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</si>
  <si>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</si>
  <si>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</si>
  <si>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</si>
  <si>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</si>
  <si>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</si>
  <si>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</si>
  <si>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</si>
  <si>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</si>
  <si>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</si>
  <si>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</si>
  <si>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</si>
  <si>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</si>
  <si>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</si>
  <si>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</si>
  <si>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</si>
  <si>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</si>
  <si>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</si>
  <si>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</si>
  <si>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</si>
  <si>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</si>
  <si>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</si>
  <si>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</si>
  <si>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</si>
  <si>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</si>
  <si>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</si>
  <si>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</si>
  <si>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</si>
  <si>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</si>
  <si>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</si>
  <si>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</si>
  <si>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</si>
  <si>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</si>
  <si>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</si>
  <si>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</si>
  <si>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</si>
  <si>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</si>
  <si>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</si>
  <si>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</si>
  <si>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</si>
  <si>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</si>
  <si>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</si>
  <si>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</si>
  <si>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</si>
  <si>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</si>
  <si>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</si>
  <si>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</si>
  <si>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</si>
  <si>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</si>
  <si>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</si>
  <si>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</si>
  <si>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</si>
  <si>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</si>
  <si>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</si>
  <si>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</si>
  <si>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</si>
  <si>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</si>
  <si>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</si>
  <si>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</si>
  <si>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</si>
  <si>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</si>
  <si>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</si>
  <si>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</si>
  <si>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</si>
  <si>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</si>
  <si>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</si>
  <si>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</si>
  <si>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</si>
  <si>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</si>
  <si>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</si>
  <si>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</si>
  <si>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</si>
  <si>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</si>
  <si>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</si>
  <si>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</si>
  <si>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</si>
  <si>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</si>
  <si>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</si>
  <si>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</si>
  <si>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</si>
  <si>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</si>
  <si>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</si>
  <si>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</si>
  <si>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</si>
  <si>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</si>
  <si>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</si>
  <si>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</si>
  <si>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</si>
  <si>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</si>
  <si>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</si>
  <si>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</si>
  <si>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</si>
  <si>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</si>
  <si>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</si>
  <si>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</si>
  <si>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</si>
  <si>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</si>
  <si>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</si>
  <si>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</si>
  <si>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</si>
  <si>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</si>
  <si>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</si>
  <si>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</si>
  <si>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</si>
  <si>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</si>
  <si>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</si>
  <si>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</si>
  <si>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</si>
  <si>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</si>
  <si>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</si>
  <si>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</si>
  <si>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</si>
  <si>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</si>
  <si>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</si>
  <si>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</si>
  <si>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</si>
  <si>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</si>
  <si>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</si>
  <si>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</si>
  <si>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</si>
  <si>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</si>
  <si>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</si>
  <si>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</si>
  <si>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</si>
  <si>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</si>
  <si>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</si>
  <si>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</si>
  <si>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</si>
  <si>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</si>
  <si>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</si>
  <si>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</si>
  <si>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</si>
  <si>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</si>
  <si>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</si>
  <si>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</si>
  <si>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</si>
  <si>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</si>
  <si>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</si>
  <si>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</si>
  <si>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</si>
  <si>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</si>
  <si>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</si>
  <si>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</si>
  <si>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</si>
  <si>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</si>
  <si>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</si>
  <si>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</si>
  <si>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</si>
  <si>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</si>
  <si>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</si>
  <si>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</si>
  <si>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</si>
  <si>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</si>
  <si>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</si>
  <si>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</si>
  <si>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</si>
  <si>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</si>
  <si>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</si>
  <si>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</si>
  <si>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</si>
  <si>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</si>
  <si>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</si>
  <si>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</si>
  <si>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</si>
  <si>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</si>
  <si>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</si>
  <si>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</si>
  <si>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</si>
  <si>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</si>
  <si>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</si>
  <si>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</si>
  <si>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</si>
  <si>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</si>
  <si>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</si>
  <si>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</si>
  <si>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</si>
  <si>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</si>
  <si>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</si>
  <si>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</si>
  <si>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</si>
  <si>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</si>
  <si>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</si>
  <si>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</si>
  <si>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</si>
  <si>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</si>
  <si>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</si>
  <si>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</si>
  <si>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</si>
  <si>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</si>
  <si>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</si>
  <si>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</si>
  <si>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</si>
  <si>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</si>
  <si>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</si>
  <si>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</si>
  <si>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</si>
  <si>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</si>
  <si>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</si>
  <si>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</si>
  <si>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</si>
  <si>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</si>
  <si>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</si>
  <si>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</si>
  <si>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</si>
  <si>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</si>
  <si>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</si>
  <si>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</si>
  <si>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</si>
  <si>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</si>
  <si>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</si>
  <si>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</si>
  <si>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</si>
  <si>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</si>
  <si>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</si>
  <si>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</si>
  <si>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</si>
  <si>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</si>
  <si>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</si>
  <si>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</si>
  <si>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</si>
  <si>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</si>
  <si>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</si>
  <si>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</si>
  <si>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</si>
  <si>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</si>
  <si>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</si>
  <si>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</si>
  <si>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</si>
  <si>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</si>
  <si>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</si>
  <si>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</si>
  <si>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</si>
  <si>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</si>
  <si>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</si>
  <si>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</si>
  <si>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</si>
  <si>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</si>
  <si>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</si>
  <si>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</si>
  <si>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</si>
  <si>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</si>
  <si>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</si>
  <si>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</si>
  <si>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</si>
  <si>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</si>
  <si>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</si>
  <si>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</si>
  <si>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</si>
  <si>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</si>
  <si>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</si>
  <si>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</si>
  <si>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</si>
  <si>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</si>
  <si>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</si>
  <si>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</si>
  <si>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</si>
  <si>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</si>
  <si>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</si>
  <si>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</si>
  <si>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</si>
  <si>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</si>
  <si>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</si>
  <si>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</si>
  <si>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</si>
  <si>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</si>
  <si>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</si>
  <si>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</si>
  <si>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</si>
  <si>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</si>
  <si>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</si>
  <si>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</si>
  <si>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</si>
  <si>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</si>
  <si>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</si>
  <si>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</si>
  <si>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</si>
  <si>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</si>
  <si>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</si>
  <si>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</si>
  <si>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</si>
  <si>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</si>
  <si>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</si>
  <si>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</si>
  <si>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</si>
  <si>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</si>
  <si>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</si>
  <si>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</si>
  <si>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</si>
  <si>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</si>
  <si>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</si>
  <si>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</si>
  <si>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</si>
  <si>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</si>
  <si>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</si>
  <si>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</si>
  <si>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</si>
  <si>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</si>
  <si>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</si>
  <si>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</si>
  <si>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</si>
  <si>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</si>
  <si>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</si>
  <si>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</si>
  <si>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</si>
  <si>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</si>
  <si>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</si>
  <si>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</si>
  <si>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</si>
  <si>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</si>
  <si>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</si>
  <si>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</si>
  <si>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</si>
  <si>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</si>
  <si>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</si>
  <si>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</si>
  <si>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</si>
  <si>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</si>
  <si>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</si>
  <si>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</si>
  <si>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</si>
  <si>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</si>
  <si>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</si>
  <si>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</si>
  <si>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</si>
  <si>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</si>
  <si>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</si>
  <si>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</si>
  <si>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</si>
  <si>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</si>
  <si>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</si>
  <si>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</si>
  <si>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</si>
  <si>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</si>
  <si>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</si>
  <si>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</si>
  <si>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</si>
  <si>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</si>
  <si>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</si>
  <si>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</si>
  <si>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</si>
  <si>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</si>
  <si>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</si>
  <si>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</si>
  <si>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</si>
  <si>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</si>
  <si>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</si>
  <si>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</si>
  <si>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</si>
  <si>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</si>
  <si>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</si>
  <si>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</si>
  <si>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</si>
  <si>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</si>
  <si>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</si>
  <si>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</si>
  <si>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</si>
  <si>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</si>
  <si>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</si>
  <si>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</si>
  <si>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</si>
  <si>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</si>
  <si>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</si>
  <si>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</si>
  <si>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</si>
  <si>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</si>
  <si>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</si>
  <si>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</si>
  <si>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</si>
  <si>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</si>
  <si>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</si>
  <si>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</si>
  <si>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</si>
  <si>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</si>
  <si>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</si>
  <si>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</si>
  <si>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</si>
  <si>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</si>
  <si>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</si>
  <si>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</si>
  <si>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</si>
  <si>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</si>
  <si>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</si>
  <si>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</si>
  <si>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</si>
  <si>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</si>
  <si>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</si>
  <si>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</si>
  <si>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</si>
  <si>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</si>
  <si>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</si>
  <si>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</si>
  <si>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</si>
  <si>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</si>
  <si>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</si>
  <si>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</si>
  <si>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</si>
  <si>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</si>
  <si>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</si>
  <si>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</si>
  <si>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</si>
  <si>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</si>
  <si>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</si>
  <si>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</si>
  <si>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</si>
  <si>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</si>
  <si>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</si>
  <si>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</si>
  <si>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</si>
  <si>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</si>
  <si>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</si>
  <si>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</si>
  <si>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</si>
  <si>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</si>
  <si>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</si>
  <si>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</si>
  <si>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</si>
  <si>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</si>
  <si>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</si>
  <si>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</si>
  <si>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</si>
  <si>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</si>
  <si>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</si>
  <si>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</si>
  <si>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</si>
  <si>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</si>
  <si>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</si>
  <si>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</si>
  <si>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</si>
  <si>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</si>
  <si>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</si>
  <si>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</si>
  <si>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</si>
  <si>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</si>
  <si>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</si>
  <si>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</si>
  <si>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</si>
  <si>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</si>
  <si>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</si>
  <si>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</si>
  <si>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</si>
  <si>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</si>
  <si>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</si>
  <si>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</si>
  <si>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</si>
  <si>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</si>
  <si>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</si>
  <si>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</si>
  <si>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</si>
  <si>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</si>
  <si>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</si>
  <si>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</si>
  <si>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</si>
  <si>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</si>
  <si>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</si>
  <si>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</si>
  <si>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</si>
  <si>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</si>
  <si>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</si>
  <si>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</si>
  <si>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</si>
  <si>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</si>
  <si>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</si>
  <si>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</si>
  <si>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</si>
  <si>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</si>
  <si>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</si>
  <si>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</si>
  <si>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</si>
  <si>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</si>
  <si>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</si>
  <si>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</si>
  <si>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</si>
  <si>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</si>
  <si>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</si>
  <si>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</si>
  <si>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</si>
  <si>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</si>
  <si>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</si>
  <si>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</si>
  <si>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</si>
  <si>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</si>
  <si>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</si>
  <si>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</si>
  <si>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</si>
  <si>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</si>
  <si>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</si>
  <si>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</si>
  <si>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</si>
  <si>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</si>
  <si>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</si>
  <si>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</si>
  <si>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</si>
  <si>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</si>
  <si>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</si>
  <si>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</si>
  <si>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</si>
  <si>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</si>
  <si>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</si>
  <si>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</si>
  <si>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</si>
  <si>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</si>
  <si>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</si>
  <si>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</si>
  <si>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</si>
  <si>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</si>
  <si>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</si>
  <si>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</si>
  <si>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</si>
  <si>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</si>
  <si>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</si>
  <si>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</si>
  <si>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</si>
  <si>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</si>
  <si>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</si>
  <si>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</si>
  <si>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</si>
  <si>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</si>
  <si>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</si>
  <si>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</si>
  <si>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</si>
  <si>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</si>
  <si>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</si>
  <si>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</si>
  <si>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</si>
  <si>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</si>
  <si>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</si>
  <si>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</si>
  <si>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</si>
  <si>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</si>
  <si>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</si>
  <si>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</si>
  <si>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</si>
  <si>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</si>
  <si>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</si>
  <si>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</si>
  <si>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</si>
  <si>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</si>
  <si>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</si>
  <si>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</si>
  <si>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</si>
  <si>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</si>
  <si>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</si>
  <si>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</si>
  <si>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</si>
  <si>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</si>
  <si>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</si>
  <si>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</si>
  <si>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</si>
  <si>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</si>
  <si>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</si>
  <si>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</si>
  <si>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</si>
  <si>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</si>
  <si>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</si>
  <si>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</si>
  <si>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</si>
  <si>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</si>
  <si>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</si>
  <si>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</si>
  <si>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</si>
  <si>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</si>
  <si>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</si>
  <si>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</si>
  <si>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</si>
  <si>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</si>
  <si>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</si>
  <si>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</si>
  <si>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</si>
  <si>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</si>
  <si>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</si>
  <si>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</si>
  <si>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</si>
  <si>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</si>
  <si>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</si>
  <si>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</si>
  <si>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</si>
  <si>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</si>
  <si>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</si>
  <si>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</si>
  <si>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</si>
  <si>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</si>
  <si>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</si>
  <si>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</si>
  <si>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</si>
  <si>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</si>
  <si>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</si>
  <si>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</si>
  <si>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</si>
  <si>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</si>
  <si>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</si>
  <si>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</si>
  <si>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</si>
  <si>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</si>
  <si>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</si>
  <si>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</si>
  <si>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</si>
  <si>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</si>
  <si>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</si>
  <si>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</si>
  <si>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</si>
  <si>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</si>
  <si>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</si>
  <si>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</si>
  <si>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</si>
  <si>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</si>
  <si>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</si>
  <si>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</si>
  <si>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</si>
  <si>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</si>
  <si>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</si>
  <si>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</si>
  <si>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</si>
  <si>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</si>
  <si>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</si>
  <si>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</si>
  <si>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</si>
  <si>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</si>
  <si>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</si>
  <si>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</si>
  <si>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</si>
  <si>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</si>
  <si>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</si>
  <si>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</si>
  <si>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</si>
  <si>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</si>
  <si>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</si>
  <si>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</si>
  <si>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</si>
  <si>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</si>
  <si>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</si>
  <si>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</si>
  <si>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</si>
  <si>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</si>
  <si>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</si>
  <si>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</si>
  <si>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</si>
  <si>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</si>
  <si>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</si>
  <si>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</si>
  <si>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</si>
  <si>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</si>
  <si>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</si>
  <si>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</si>
  <si>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</si>
  <si>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</si>
  <si>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</si>
  <si>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</si>
  <si>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</si>
  <si>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</si>
  <si>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</si>
  <si>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</si>
  <si>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</si>
  <si>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</si>
  <si>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</si>
  <si>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</si>
  <si>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</si>
  <si>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</si>
  <si>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</si>
  <si>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</si>
  <si>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</si>
  <si>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</si>
  <si>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</si>
  <si>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</si>
  <si>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</si>
  <si>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</si>
  <si>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</si>
  <si>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</si>
  <si>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</si>
  <si>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</si>
  <si>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</si>
  <si>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</si>
  <si>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</si>
  <si>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</si>
  <si>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</si>
  <si>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</si>
  <si>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</si>
  <si>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</si>
  <si>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</si>
  <si>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</si>
  <si>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</si>
  <si>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</si>
  <si>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</si>
  <si>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</si>
  <si>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</si>
  <si>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</si>
  <si>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</si>
  <si>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</si>
  <si>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</si>
  <si>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</si>
  <si>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</si>
  <si>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</si>
  <si>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</si>
  <si>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</si>
  <si>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</si>
  <si>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</si>
  <si>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</si>
  <si>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</si>
  <si>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</si>
  <si>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</si>
  <si>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</si>
  <si>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</si>
  <si>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</si>
  <si>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</si>
  <si>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</si>
  <si>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</si>
  <si>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</si>
  <si>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</si>
  <si>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</si>
  <si>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</si>
  <si>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</si>
  <si>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</si>
  <si>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</si>
  <si>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</si>
  <si>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</si>
  <si>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</si>
  <si>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</si>
  <si>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</si>
  <si>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</si>
  <si>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</si>
  <si>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</si>
  <si>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</si>
  <si>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</si>
  <si>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</si>
  <si>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</si>
  <si>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</si>
  <si>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</si>
  <si>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</si>
  <si>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</si>
  <si>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</si>
  <si>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</si>
  <si>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</si>
  <si>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</si>
  <si>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</si>
  <si>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</si>
  <si>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</si>
  <si>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</si>
  <si>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</si>
  <si>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</si>
  <si>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</si>
  <si>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</si>
  <si>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</si>
  <si>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</si>
  <si>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</si>
  <si>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</si>
  <si>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</si>
  <si>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</si>
  <si>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</si>
  <si>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</si>
  <si>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</si>
  <si>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</si>
  <si>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</si>
  <si>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</si>
  <si>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</si>
  <si>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</si>
  <si>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</si>
  <si>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</si>
  <si>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</si>
  <si>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</si>
  <si>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</si>
  <si>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</si>
  <si>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</si>
  <si>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</si>
  <si>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</si>
  <si>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</si>
  <si>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</si>
  <si>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</si>
  <si>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</si>
  <si>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</si>
  <si>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</si>
  <si>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</si>
  <si>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</si>
  <si>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</si>
  <si>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</si>
  <si>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</si>
  <si>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</si>
  <si>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</si>
  <si>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</si>
  <si>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</si>
  <si>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</si>
  <si>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</si>
  <si>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</si>
  <si>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</si>
  <si>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</si>
  <si>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</si>
  <si>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</si>
  <si>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</si>
  <si>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</si>
  <si>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</si>
  <si>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</si>
  <si>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</si>
  <si>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</si>
  <si>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</si>
  <si>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</si>
  <si>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</si>
  <si>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</si>
  <si>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</si>
  <si>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</si>
  <si>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</si>
  <si>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</si>
  <si>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</si>
  <si>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</si>
  <si>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</si>
  <si>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</si>
  <si>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</si>
  <si>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</si>
  <si>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</si>
  <si>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</si>
  <si>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</si>
  <si>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</si>
  <si>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</si>
  <si>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</si>
  <si>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</si>
  <si>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</si>
  <si>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</si>
  <si>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</si>
  <si>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</si>
  <si>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</si>
  <si>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</si>
  <si>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</si>
  <si>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</si>
  <si>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</si>
  <si>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</si>
  <si>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</si>
  <si>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</si>
  <si>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</si>
  <si>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</si>
  <si>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</si>
  <si>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</si>
  <si>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</si>
  <si>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</si>
  <si>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</si>
  <si>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</si>
  <si>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</si>
  <si>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</si>
  <si>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</si>
  <si>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</si>
  <si>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</si>
  <si>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</si>
  <si>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</si>
  <si>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</si>
  <si>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</si>
  <si>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</si>
  <si>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</si>
  <si>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</si>
  <si>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</si>
  <si>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</si>
  <si>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</si>
  <si>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</si>
  <si>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</si>
  <si>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</si>
  <si>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</si>
  <si>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</si>
  <si>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</si>
  <si>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</si>
  <si>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</si>
  <si>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</si>
  <si>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</si>
  <si>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</si>
  <si>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</si>
  <si>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</si>
  <si>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</si>
  <si>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</si>
  <si>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</si>
  <si>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</si>
  <si>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</si>
  <si>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</si>
  <si>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</si>
  <si>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</si>
  <si>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</si>
  <si>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</si>
  <si>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</si>
  <si>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</si>
  <si>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</si>
  <si>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</si>
  <si>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</si>
  <si>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</si>
  <si>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</si>
  <si>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</si>
  <si>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</si>
  <si>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</si>
  <si>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</si>
  <si>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</si>
  <si>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</si>
  <si>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</si>
  <si>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</si>
  <si>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</si>
  <si>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</si>
  <si>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</si>
  <si>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</si>
  <si>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</si>
  <si>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</si>
  <si>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</si>
  <si>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</si>
  <si>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</si>
  <si>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</si>
  <si>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</si>
  <si>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</si>
  <si>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</si>
  <si>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</si>
  <si>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</si>
  <si>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</si>
  <si>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</si>
  <si>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</si>
  <si>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</si>
  <si>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</si>
  <si>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</si>
  <si>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</si>
  <si>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</si>
  <si>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</si>
  <si>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</si>
  <si>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</si>
  <si>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</si>
  <si>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</si>
  <si>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</si>
  <si>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</si>
  <si>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</si>
  <si>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</si>
  <si>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</si>
  <si>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</si>
  <si>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</si>
  <si>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</si>
  <si>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</si>
  <si>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</si>
  <si>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</si>
  <si>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</si>
  <si>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</si>
  <si>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</si>
  <si>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</si>
  <si>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</si>
  <si>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</si>
  <si>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</si>
  <si>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</si>
  <si>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</si>
  <si>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</si>
  <si>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</si>
  <si>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</si>
  <si>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</si>
  <si>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</si>
  <si>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</si>
  <si>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</si>
  <si>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</si>
  <si>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</si>
  <si>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</si>
  <si>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</si>
  <si>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</si>
  <si>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</si>
  <si>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</si>
  <si>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</si>
  <si>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</si>
  <si>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</si>
  <si>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</si>
  <si>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</si>
  <si>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</si>
  <si>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</si>
  <si>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</si>
  <si>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</si>
  <si>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</si>
  <si>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</si>
  <si>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</si>
  <si>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</si>
  <si>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</si>
  <si>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</si>
  <si>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</si>
  <si>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</si>
  <si>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</si>
  <si>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</si>
  <si>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</si>
  <si>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</si>
  <si>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</si>
  <si>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</si>
  <si>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</si>
  <si>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</si>
  <si>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</si>
  <si>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</si>
  <si>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</si>
  <si>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</si>
  <si>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</si>
  <si>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</si>
  <si>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</si>
  <si>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</si>
  <si>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</si>
  <si>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</si>
  <si>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</si>
  <si>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</si>
  <si>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</si>
  <si>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</si>
  <si>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</si>
  <si>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</si>
  <si>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</si>
  <si>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</si>
  <si>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</si>
  <si>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</si>
  <si>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</si>
  <si>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</si>
  <si>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</si>
  <si>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</si>
  <si>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</si>
  <si>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</si>
  <si>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</si>
  <si>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</si>
  <si>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</si>
  <si>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</si>
  <si>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</si>
  <si>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</si>
  <si>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</si>
  <si>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</si>
  <si>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</si>
  <si>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</si>
  <si>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</si>
  <si>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</si>
  <si>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</si>
  <si>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</si>
  <si>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</si>
  <si>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</si>
  <si>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</si>
  <si>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</si>
  <si>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</si>
  <si>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</si>
  <si>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</si>
  <si>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</si>
  <si>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</si>
  <si>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</si>
  <si>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</si>
  <si>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</si>
  <si>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</si>
  <si>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</si>
  <si>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</si>
  <si>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</si>
  <si>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</si>
  <si>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</si>
  <si>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</si>
  <si>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</si>
  <si>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</si>
  <si>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</si>
  <si>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</si>
  <si>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</si>
  <si>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</si>
  <si>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</si>
  <si>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</si>
  <si>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</si>
  <si>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</si>
  <si>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</si>
  <si>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</si>
  <si>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</si>
  <si>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</si>
  <si>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</si>
  <si>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</si>
  <si>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</si>
  <si>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</si>
  <si>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</si>
  <si>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</si>
  <si>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</si>
  <si>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</si>
  <si>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</si>
  <si>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</si>
  <si>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</si>
  <si>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</si>
  <si>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</si>
  <si>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</si>
  <si>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</si>
  <si>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</si>
  <si>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</si>
  <si>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</si>
  <si>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</si>
  <si>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</si>
  <si>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</si>
  <si>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</si>
  <si>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</si>
  <si>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</si>
  <si>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</si>
  <si>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</si>
  <si>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</si>
  <si>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</si>
  <si>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</si>
  <si>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</si>
  <si>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</si>
  <si>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</si>
  <si>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</si>
  <si>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</si>
  <si>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</si>
  <si>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</si>
  <si>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</si>
  <si>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</si>
  <si>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</si>
  <si>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</si>
  <si>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</si>
  <si>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</si>
  <si>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</si>
  <si>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</si>
  <si>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</si>
  <si>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</si>
  <si>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</si>
  <si>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</si>
  <si>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</si>
  <si>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</si>
  <si>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</si>
  <si>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</si>
  <si>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</si>
  <si>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</si>
  <si>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</si>
  <si>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</si>
  <si>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</si>
  <si>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</si>
  <si>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</si>
  <si>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</si>
  <si>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</si>
  <si>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</si>
  <si>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</si>
  <si>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</si>
  <si>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</si>
  <si>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</si>
  <si>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</si>
  <si>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</si>
  <si>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</si>
  <si>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</si>
  <si>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</si>
  <si>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</si>
  <si>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</si>
  <si>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</si>
  <si>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</si>
  <si>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</si>
  <si>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</si>
  <si>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</si>
  <si>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</si>
  <si>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</si>
  <si>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</si>
  <si>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</si>
  <si>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</si>
  <si>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</si>
  <si>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</si>
  <si>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</si>
  <si>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</si>
  <si>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</si>
  <si>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</si>
  <si>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</si>
  <si>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</si>
  <si>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</si>
  <si>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</si>
  <si>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</si>
  <si>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</si>
  <si>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</si>
  <si>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</si>
  <si>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</si>
  <si>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</si>
  <si>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</si>
  <si>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</si>
  <si>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</si>
  <si>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</si>
  <si>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</si>
  <si>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</si>
  <si>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</si>
  <si>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</si>
  <si>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</si>
  <si>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</si>
  <si>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</si>
  <si>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</si>
  <si>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</si>
  <si>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</si>
  <si>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</si>
  <si>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</si>
  <si>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</si>
  <si>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</si>
  <si>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</si>
  <si>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</si>
  <si>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</si>
  <si>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</si>
  <si>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</si>
  <si>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</si>
  <si>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</si>
  <si>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</si>
  <si>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</si>
  <si>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</si>
  <si>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</si>
  <si>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</si>
  <si>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</si>
  <si>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</si>
  <si>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</si>
  <si>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</si>
  <si>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</si>
  <si>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</si>
  <si>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</si>
  <si>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</si>
  <si>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</si>
  <si>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</si>
  <si>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</si>
  <si>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</si>
  <si>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</si>
  <si>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</si>
  <si>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</si>
  <si>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</si>
  <si>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</si>
  <si>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</si>
  <si>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</si>
  <si>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</si>
  <si>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</si>
  <si>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</si>
  <si>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</si>
  <si>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</si>
  <si>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</si>
  <si>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</si>
  <si>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</si>
  <si>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</si>
  <si>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</si>
  <si>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</si>
  <si>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</si>
  <si>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</si>
  <si>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</si>
  <si>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</si>
  <si>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</si>
  <si>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</si>
  <si>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</si>
  <si>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</si>
  <si>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</si>
  <si>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</si>
  <si>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</si>
  <si>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</si>
  <si>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</si>
  <si>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</si>
  <si>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</si>
  <si>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</si>
  <si>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</si>
  <si>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</si>
  <si>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</si>
  <si>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</si>
  <si>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</si>
  <si>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</si>
  <si>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</si>
  <si>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</si>
  <si>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</si>
  <si>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</si>
  <si>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</si>
  <si>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</si>
  <si>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</si>
  <si>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</si>
  <si>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</si>
  <si>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</si>
  <si>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</si>
  <si>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</si>
  <si>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</si>
  <si>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</si>
  <si>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</si>
  <si>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</si>
  <si>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</si>
  <si>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</si>
  <si>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</si>
  <si>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</si>
  <si>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</si>
  <si>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</si>
  <si>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</si>
  <si>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</si>
  <si>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</si>
  <si>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</si>
  <si>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</si>
  <si>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</si>
  <si>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</si>
  <si>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</si>
  <si>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</si>
  <si>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</si>
  <si>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</si>
  <si>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</si>
  <si>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</si>
  <si>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</si>
  <si>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</si>
  <si>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</si>
  <si>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</si>
  <si>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</si>
  <si>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</si>
  <si>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</si>
  <si>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</si>
  <si>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</si>
  <si>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</si>
  <si>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</si>
  <si>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</si>
  <si>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</si>
  <si>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</si>
  <si>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</si>
  <si>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</si>
  <si>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</si>
  <si>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</si>
  <si>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</si>
  <si>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</si>
  <si>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</si>
  <si>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</si>
  <si>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</si>
  <si>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</si>
  <si>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Total Limitation Amounts</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</si>
  <si>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</si>
  <si>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</si>
  <si>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</si>
  <si>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</si>
  <si>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t>THESE TOTALS COME FROM THE IFA_Limits TAB</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</si>
  <si>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</si>
  <si>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</si>
  <si>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</si>
  <si>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</si>
  <si>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</si>
  <si>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</si>
  <si>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</si>
  <si>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</si>
  <si>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</si>
  <si>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</si>
  <si>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</si>
  <si>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</si>
  <si>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</si>
  <si>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</si>
  <si>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</si>
  <si>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</si>
  <si>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</si>
  <si>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</si>
  <si>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</si>
  <si>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</si>
  <si>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</si>
  <si>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</si>
  <si>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</si>
  <si>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</si>
  <si>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</si>
  <si>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</si>
  <si>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</si>
  <si>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</si>
  <si>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</si>
  <si>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</si>
  <si>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</si>
  <si>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</si>
  <si>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</si>
  <si>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</si>
  <si>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</si>
  <si>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</si>
  <si>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</si>
  <si>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</si>
  <si>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</si>
  <si>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</si>
  <si>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</si>
  <si>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</si>
  <si>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</si>
  <si>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</si>
  <si>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</si>
  <si>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</si>
  <si>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</si>
  <si>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</si>
  <si>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</si>
  <si>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</si>
  <si>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</si>
  <si>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</si>
  <si>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</si>
  <si>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</si>
  <si>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</si>
  <si>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</si>
  <si>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</si>
  <si>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</si>
  <si>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</si>
  <si>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</si>
  <si>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</si>
  <si>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</si>
  <si>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</si>
  <si>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</si>
  <si>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</si>
  <si>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</si>
  <si>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</si>
  <si>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</si>
  <si>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</si>
  <si>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</si>
  <si>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</si>
  <si>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</si>
  <si>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</si>
  <si>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</si>
  <si>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</si>
  <si>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</si>
  <si>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</si>
  <si>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</si>
  <si>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</si>
  <si>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</si>
  <si>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</si>
  <si>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</si>
  <si>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</si>
  <si>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</si>
  <si>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</si>
  <si>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</si>
  <si>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</si>
  <si>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</si>
  <si>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</si>
  <si>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</si>
  <si>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</si>
  <si>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</si>
  <si>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</si>
  <si>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</si>
  <si>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</si>
  <si>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</si>
  <si>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</si>
  <si>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</si>
  <si>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</si>
  <si>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</si>
  <si>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</si>
  <si>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</si>
  <si>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</si>
  <si>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</si>
  <si>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</si>
  <si>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</si>
  <si>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</si>
  <si>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</si>
  <si>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</si>
  <si>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</si>
  <si>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</si>
  <si>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</si>
  <si>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</si>
  <si>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</si>
  <si>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</si>
  <si>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084904</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</si>
  <si>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</si>
  <si>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</si>
  <si>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</si>
  <si>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</si>
  <si>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</si>
  <si>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</si>
  <si>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</si>
  <si>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</si>
  <si>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</si>
  <si>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</si>
  <si>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</si>
  <si>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</si>
  <si>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</si>
  <si>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</si>
  <si>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</si>
  <si>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</si>
  <si>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</si>
  <si>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</si>
  <si>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</si>
  <si>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</si>
  <si>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</si>
  <si>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</si>
  <si>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</si>
  <si>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</si>
  <si>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</si>
  <si>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</si>
  <si>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</si>
  <si>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</si>
  <si>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</si>
  <si>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</si>
  <si>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</si>
  <si>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</si>
  <si>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</si>
  <si>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</si>
  <si>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</si>
  <si>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</si>
  <si>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</si>
  <si>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</si>
  <si>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</si>
  <si>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</si>
  <si>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</si>
  <si>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</si>
  <si>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</si>
  <si>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</si>
  <si>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</si>
  <si>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</si>
  <si>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</si>
  <si>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</si>
  <si>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</si>
  <si>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</si>
  <si>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</si>
  <si>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</si>
  <si>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</si>
  <si>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</si>
  <si>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</si>
  <si>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</si>
  <si>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</si>
  <si>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</si>
  <si>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</si>
  <si>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</si>
  <si>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</si>
  <si>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</si>
  <si>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</si>
  <si>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</si>
  <si>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</si>
  <si>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</si>
  <si>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</si>
  <si>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</si>
  <si>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</si>
  <si>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</si>
  <si>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</si>
  <si>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</si>
  <si>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</si>
  <si>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</si>
  <si>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</si>
  <si>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</si>
  <si>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</si>
  <si>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</si>
  <si>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</si>
  <si>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</si>
  <si>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</si>
  <si>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</si>
  <si>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</si>
  <si>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</si>
  <si>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</si>
  <si>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</si>
  <si>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</si>
  <si>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</si>
  <si>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</si>
  <si>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</si>
  <si>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</si>
  <si>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</si>
  <si>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</si>
  <si>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</si>
  <si>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</si>
  <si>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</si>
  <si>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</si>
  <si>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</si>
  <si>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</si>
  <si>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</si>
  <si>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</si>
  <si>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</si>
  <si>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</si>
  <si>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</si>
  <si>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</si>
  <si>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</si>
  <si>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</si>
  <si>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</si>
  <si>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</si>
  <si>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</si>
  <si>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</si>
  <si>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</si>
  <si>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</si>
  <si>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</si>
  <si>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</si>
  <si>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</si>
  <si>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</si>
  <si>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</si>
  <si>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</si>
  <si>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</si>
  <si>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</si>
  <si>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</si>
  <si>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</si>
  <si>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</si>
  <si>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</si>
  <si>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</si>
  <si>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</si>
  <si>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</si>
  <si>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</si>
  <si>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</si>
  <si>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</si>
  <si>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</si>
  <si>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</si>
  <si>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</si>
  <si>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</si>
  <si>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</si>
  <si>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</si>
  <si>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</si>
  <si>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</si>
  <si>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</si>
  <si>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</si>
  <si>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</si>
  <si>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</si>
  <si>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</si>
  <si>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</si>
  <si>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</si>
  <si>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</si>
  <si>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</si>
  <si>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</si>
  <si>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</si>
  <si>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</si>
  <si>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</si>
  <si>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</si>
  <si>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</si>
  <si>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</si>
  <si>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</si>
  <si>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</si>
  <si>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</si>
  <si>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</si>
  <si>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</si>
  <si>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</si>
  <si>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</si>
  <si>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</si>
  <si>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</si>
  <si>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</si>
  <si>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</si>
  <si>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</si>
  <si>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</si>
  <si>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</si>
  <si>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</si>
  <si>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</si>
  <si>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</si>
  <si>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</si>
  <si>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</si>
  <si>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</si>
  <si>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</si>
  <si>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</si>
  <si>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</si>
  <si>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</si>
  <si>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</si>
  <si>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</si>
  <si>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</si>
  <si>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</si>
  <si>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</si>
  <si>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</si>
  <si>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</si>
  <si>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</si>
  <si>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</si>
  <si>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</si>
  <si>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</si>
  <si>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</si>
  <si>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</si>
  <si>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</si>
  <si>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</si>
  <si>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</si>
  <si>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</si>
  <si>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</si>
  <si>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</si>
  <si>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</si>
  <si>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</si>
  <si>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</si>
  <si>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</si>
  <si>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</si>
  <si>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</si>
  <si>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</si>
  <si>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</si>
  <si>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</si>
  <si>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</si>
  <si>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</si>
  <si>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</si>
  <si>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</si>
  <si>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</si>
  <si>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</si>
  <si>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</si>
  <si>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</si>
  <si>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</si>
  <si>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</si>
  <si>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</si>
  <si>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</si>
  <si>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</si>
  <si>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</si>
  <si>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</si>
  <si>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</si>
  <si>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</si>
  <si>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</si>
  <si>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</si>
  <si>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</si>
  <si>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</si>
  <si>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</si>
  <si>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</si>
  <si>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</si>
  <si>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</si>
  <si>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</si>
  <si>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</si>
  <si>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</si>
  <si>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</si>
  <si>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</si>
  <si>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</si>
  <si>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</si>
  <si>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</si>
  <si>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</si>
  <si>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</si>
  <si>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</si>
  <si>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</si>
  <si>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</si>
  <si>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</si>
  <si>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</si>
  <si>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</si>
  <si>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</si>
  <si>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</si>
  <si>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</si>
  <si>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</si>
  <si>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</si>
  <si>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</si>
  <si>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</si>
  <si>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</si>
  <si>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</si>
  <si>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</si>
  <si>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</si>
  <si>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</si>
  <si>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</si>
  <si>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</si>
  <si>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</si>
  <si>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</si>
  <si>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</si>
  <si>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</si>
  <si>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</si>
  <si>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</si>
  <si>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</si>
  <si>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</si>
  <si>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</si>
  <si>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</si>
  <si>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</si>
  <si>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</si>
  <si>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</si>
  <si>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</si>
  <si>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</si>
  <si>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</si>
  <si>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</si>
  <si>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</si>
  <si>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</si>
  <si>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</si>
  <si>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</si>
  <si>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</si>
  <si>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</si>
  <si>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</si>
  <si>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</si>
  <si>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</si>
  <si>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</si>
  <si>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</si>
  <si>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Certified Excess 2015 Debt Collections</t>
  </si>
  <si>
    <t>Amount of M&amp;O Taxes Collected per Penny of Adopted Rate - For ASATR purposes</t>
  </si>
  <si>
    <t>M&amp;O Collections Attributed to Compressed Rate - For ASATR purposes</t>
  </si>
  <si>
    <r>
      <t xml:space="preserve">     as of a certain date.  For your information, the totals of the limitation amounts are listed below.  </t>
    </r>
    <r>
      <rPr>
        <b/>
        <sz val="12"/>
        <rFont val="Arial MT"/>
      </rPr>
      <t xml:space="preserve">To view </t>
    </r>
  </si>
  <si>
    <r>
      <t xml:space="preserve">     </t>
    </r>
    <r>
      <rPr>
        <b/>
        <sz val="12"/>
        <rFont val="Arial MT"/>
      </rPr>
      <t>the individual Limitation Amounts, go back to the 'IFA_Limitation' tab.</t>
    </r>
  </si>
  <si>
    <t>16-17</t>
  </si>
  <si>
    <t>17-18</t>
  </si>
  <si>
    <t>18-19</t>
  </si>
  <si>
    <t>19-20</t>
  </si>
  <si>
    <t>20-21</t>
  </si>
  <si>
    <t>USING HH M&amp;O TAXES @$15K:</t>
  </si>
  <si>
    <t>USING HH M&amp;O TAXES @ $25K:</t>
  </si>
  <si>
    <t>for asatr-no frac</t>
  </si>
  <si>
    <t>for asatr-frac</t>
  </si>
  <si>
    <t>Additional State Aid for Tax Reduction (ASATR) - N/A</t>
  </si>
  <si>
    <t xml:space="preserve">STARTING HERE, ALL CALC ARE FOR FRAC FUNDING </t>
  </si>
  <si>
    <t>STARTING HERE, ALL CALS ARE FOR FRAC FUNDING</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</si>
  <si>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</si>
  <si>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</si>
  <si>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</si>
  <si>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</si>
  <si>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</si>
  <si>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</si>
  <si>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</si>
  <si>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using lesser rate</t>
  </si>
  <si>
    <t>For HH Purposes Using Lesser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</si>
  <si>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</si>
  <si>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</si>
  <si>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</si>
  <si>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</si>
  <si>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</si>
  <si>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</si>
  <si>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</si>
  <si>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</si>
  <si>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</si>
  <si>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</si>
  <si>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</si>
  <si>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</si>
  <si>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</si>
  <si>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</si>
  <si>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</si>
  <si>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</si>
  <si>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</si>
  <si>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</si>
  <si>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</si>
  <si>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</si>
  <si>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</si>
  <si>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</si>
  <si>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</si>
  <si>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</si>
  <si>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</si>
  <si>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</si>
  <si>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</si>
  <si>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</si>
  <si>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</si>
  <si>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</si>
  <si>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</si>
  <si>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</si>
  <si>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</si>
  <si>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</si>
  <si>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</si>
  <si>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</si>
  <si>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</si>
  <si>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</si>
  <si>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</si>
  <si>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</si>
  <si>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</si>
  <si>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</si>
  <si>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</si>
  <si>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</si>
  <si>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</si>
  <si>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</si>
  <si>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</si>
  <si>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</si>
  <si>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</si>
  <si>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</si>
  <si>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</si>
  <si>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</si>
  <si>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</si>
  <si>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</si>
  <si>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</si>
  <si>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</si>
  <si>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</si>
  <si>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</si>
  <si>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</si>
  <si>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</si>
  <si>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</si>
  <si>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</si>
  <si>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</si>
  <si>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</si>
  <si>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</si>
  <si>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</si>
  <si>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</si>
  <si>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</si>
  <si>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</si>
  <si>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</si>
  <si>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</si>
  <si>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</si>
  <si>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</si>
  <si>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</si>
  <si>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</si>
  <si>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</si>
  <si>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</si>
  <si>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</si>
  <si>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</si>
  <si>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</si>
  <si>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</si>
  <si>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</si>
  <si>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</si>
  <si>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</si>
  <si>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</si>
  <si>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</si>
  <si>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</si>
  <si>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</si>
  <si>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</si>
  <si>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</si>
  <si>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</si>
  <si>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</si>
  <si>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</si>
  <si>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</si>
  <si>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</si>
  <si>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</si>
  <si>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</si>
  <si>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</si>
  <si>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</si>
  <si>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</si>
  <si>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</si>
  <si>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</si>
  <si>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</si>
  <si>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</si>
  <si>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</si>
  <si>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</si>
  <si>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</si>
  <si>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</si>
  <si>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</si>
  <si>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</si>
  <si>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</si>
  <si>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</si>
  <si>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</si>
  <si>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</si>
  <si>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</si>
  <si>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</si>
  <si>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</si>
  <si>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</si>
  <si>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</si>
  <si>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</si>
  <si>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</si>
  <si>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</si>
  <si>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</si>
  <si>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</si>
  <si>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</si>
  <si>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</si>
  <si>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</si>
  <si>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</si>
  <si>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</si>
  <si>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</si>
  <si>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</si>
  <si>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</si>
  <si>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</si>
  <si>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</si>
  <si>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</si>
  <si>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</si>
  <si>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</si>
  <si>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</si>
  <si>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</si>
  <si>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</si>
  <si>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</si>
  <si>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</si>
  <si>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</si>
  <si>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</si>
  <si>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</si>
  <si>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</si>
  <si>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</si>
  <si>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</si>
  <si>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</si>
  <si>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</si>
  <si>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</si>
  <si>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</si>
  <si>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</si>
  <si>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</si>
  <si>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</si>
  <si>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</si>
  <si>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</si>
  <si>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</si>
  <si>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</si>
  <si>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</si>
  <si>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</si>
  <si>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</si>
  <si>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</si>
  <si>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</si>
  <si>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</si>
  <si>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</si>
  <si>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</si>
  <si>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</si>
  <si>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</si>
  <si>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</si>
  <si>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</si>
  <si>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</si>
  <si>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</si>
  <si>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</si>
  <si>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</si>
  <si>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</si>
  <si>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</si>
  <si>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</si>
  <si>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</si>
  <si>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</si>
  <si>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</si>
  <si>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</si>
  <si>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</si>
  <si>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</si>
  <si>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</si>
  <si>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</si>
  <si>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</si>
  <si>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</si>
  <si>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</si>
  <si>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</si>
  <si>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</si>
  <si>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</si>
  <si>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</si>
  <si>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</si>
  <si>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</si>
  <si>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</si>
  <si>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</si>
  <si>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</si>
  <si>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</si>
  <si>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</si>
  <si>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total</t>
  </si>
  <si>
    <t>available</t>
  </si>
  <si>
    <t xml:space="preserve">    This is the estimated balance of unequalized taxes available for 2016-17:</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</si>
  <si>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</si>
  <si>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</si>
  <si>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</si>
  <si>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</si>
  <si>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uses Assumptions G79 &amp; 80 instead of G90 &amp; 91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</si>
  <si>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</si>
  <si>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</si>
  <si>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</si>
  <si>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</si>
  <si>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</si>
  <si>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</si>
  <si>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</si>
  <si>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</si>
  <si>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</si>
  <si>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</si>
  <si>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</si>
  <si>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 xml:space="preserve">This template is being provided by BOK Financial Securities, Inc. (name change only from BOSC, Inc.) as a service to all school districts.  </t>
  </si>
  <si>
    <t xml:space="preserve">It reflects my understanding of the school finance provisions adopted by the 84th Legislature and school finance provisions adopted by </t>
  </si>
  <si>
    <t>previous sessions as well. Thanks go to Region 13 for continuing to allow this template to be posted to their website.</t>
  </si>
  <si>
    <t>T2</t>
  </si>
  <si>
    <t>T1</t>
  </si>
  <si>
    <t>T7</t>
  </si>
  <si>
    <t>2015 CPTD</t>
  </si>
  <si>
    <t>T1 @ $15K</t>
  </si>
  <si>
    <t>2013 CPTD "T8" Value</t>
  </si>
  <si>
    <t xml:space="preserve">2014-15 Bond Payment for EDA </t>
  </si>
  <si>
    <t xml:space="preserve">2014-15 Local Share of EDA </t>
  </si>
  <si>
    <t>2014-15 Local Share Awarded for Bonded Debt</t>
  </si>
  <si>
    <t>2014-15 IFA Eligible Debt Payments for IFA</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</si>
  <si>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</si>
  <si>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</si>
  <si>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</si>
  <si>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</si>
  <si>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</si>
  <si>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</si>
  <si>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</si>
  <si>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</si>
  <si>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</si>
  <si>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</si>
  <si>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</si>
  <si>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</si>
  <si>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</si>
  <si>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</si>
  <si>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</si>
  <si>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</si>
  <si>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</si>
  <si>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</si>
  <si>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</si>
  <si>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</si>
  <si>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</si>
  <si>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</si>
  <si>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</si>
  <si>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</si>
  <si>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</si>
  <si>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</si>
  <si>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</si>
  <si>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</si>
  <si>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</si>
  <si>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</si>
  <si>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</si>
  <si>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</si>
  <si>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</si>
  <si>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</si>
  <si>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</si>
  <si>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</si>
  <si>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</si>
  <si>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</si>
  <si>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</si>
  <si>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</si>
  <si>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</si>
  <si>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</si>
  <si>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</si>
  <si>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</si>
  <si>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</si>
  <si>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</si>
  <si>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</si>
  <si>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</si>
  <si>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</si>
  <si>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</si>
  <si>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</si>
  <si>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</si>
  <si>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</si>
  <si>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</si>
  <si>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</si>
  <si>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</si>
  <si>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</si>
  <si>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</si>
  <si>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</si>
  <si>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</si>
  <si>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</si>
  <si>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</si>
  <si>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</si>
  <si>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</si>
  <si>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</si>
  <si>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</si>
  <si>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</si>
  <si>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</si>
  <si>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</si>
  <si>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</si>
  <si>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</si>
  <si>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</si>
  <si>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</si>
  <si>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</si>
  <si>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</si>
  <si>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</si>
  <si>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</si>
  <si>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</si>
  <si>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</si>
  <si>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</si>
  <si>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</si>
  <si>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</si>
  <si>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</si>
  <si>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</si>
  <si>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</si>
  <si>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</si>
  <si>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</si>
  <si>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</si>
  <si>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</si>
  <si>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</si>
  <si>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</si>
  <si>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</si>
  <si>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</si>
  <si>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</si>
  <si>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</si>
  <si>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</si>
  <si>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</si>
  <si>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</si>
  <si>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</si>
  <si>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</si>
  <si>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</si>
  <si>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</si>
  <si>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</si>
  <si>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</si>
  <si>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</si>
  <si>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</si>
  <si>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</si>
  <si>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</si>
  <si>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</si>
  <si>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</si>
  <si>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</si>
  <si>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</si>
  <si>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</si>
  <si>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</si>
  <si>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</si>
  <si>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</si>
  <si>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</si>
  <si>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</si>
  <si>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</si>
  <si>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</si>
  <si>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</si>
  <si>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</si>
  <si>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</si>
  <si>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</si>
  <si>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</si>
  <si>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</si>
  <si>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</si>
  <si>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</si>
  <si>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</si>
  <si>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</si>
  <si>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</si>
  <si>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</si>
  <si>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</si>
  <si>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</si>
  <si>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</si>
  <si>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</si>
  <si>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</si>
  <si>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</si>
  <si>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</si>
  <si>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</si>
  <si>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</si>
  <si>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</si>
  <si>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</si>
  <si>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</si>
  <si>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</si>
  <si>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</si>
  <si>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</si>
  <si>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</si>
  <si>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</si>
  <si>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</si>
  <si>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</si>
  <si>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</si>
  <si>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</si>
  <si>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</si>
  <si>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</si>
  <si>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</si>
  <si>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</si>
  <si>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</si>
  <si>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</si>
  <si>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</si>
  <si>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</si>
  <si>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</si>
  <si>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</si>
  <si>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</si>
  <si>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</si>
  <si>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</si>
  <si>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</si>
  <si>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</si>
  <si>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</si>
  <si>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 xml:space="preserve">FOR 17-18 </t>
  </si>
  <si>
    <t>(using 17-18</t>
  </si>
  <si>
    <t>(using 17-18 rpaf)</t>
  </si>
  <si>
    <t>frac-funding - for 17-18 eff rate</t>
  </si>
  <si>
    <t>using 17-18 funding elements</t>
  </si>
  <si>
    <t>frac-funding for 17-18 eff m&amp;o rate</t>
  </si>
  <si>
    <t>@514,000</t>
  </si>
  <si>
    <t>2017-18 Level 3 Tier II State Aid</t>
  </si>
  <si>
    <t>2017 Total Taxable Value</t>
  </si>
  <si>
    <t>2017-18 HB3646</t>
  </si>
  <si>
    <t xml:space="preserve">    payment in on the EDA Payment Ledger.</t>
  </si>
  <si>
    <t xml:space="preserve">     as a separate allotment on the Report-SOF1617 tab (Line 52).  The I&amp;S Hold Harmless</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</si>
  <si>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</si>
  <si>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</si>
  <si>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</si>
  <si>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</si>
  <si>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2017-18 Taxes Collected for TIF</t>
  </si>
  <si>
    <t>2017-18 Refined ADA</t>
  </si>
  <si>
    <t>2017-18 State Share of EDA</t>
  </si>
  <si>
    <t>Certified Excess 2016 Debt Collections</t>
  </si>
  <si>
    <t>THIS TAB IS FOR THE PURPOSE OF DETERMINING IF THE CUTS MADE IN 2011 HAVE BEEN FULLY RESTORED</t>
  </si>
  <si>
    <t>TOTAL M&amp;O REVENUE - 2015 &amp; 2017 LEGISLATURES</t>
  </si>
  <si>
    <t xml:space="preserve">NET CHANGE </t>
  </si>
  <si>
    <t>14-15 ADA</t>
  </si>
  <si>
    <t>14-15 M&amp;O Rate</t>
  </si>
  <si>
    <t>14-15 I&amp;S Taxes</t>
  </si>
  <si>
    <t>14-15 EDA Local Share</t>
  </si>
  <si>
    <t>2013 T8 value</t>
  </si>
  <si>
    <t>I&amp;S taxes</t>
  </si>
  <si>
    <t>locla share of EDA</t>
  </si>
  <si>
    <t>local share of IFA Bd</t>
  </si>
  <si>
    <t>14-15 tax rate</t>
  </si>
  <si>
    <t>14-15 IFA Local Share</t>
  </si>
  <si>
    <t>85th Leg</t>
  </si>
  <si>
    <t>2018-19 HB3646</t>
  </si>
  <si>
    <t>2013 T8 Values</t>
  </si>
  <si>
    <t>Release 1: January 23, 2017</t>
  </si>
  <si>
    <t>BOK Financial Securities, Inc. (name changed from BOSC, Inc.)</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</si>
  <si>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</si>
  <si>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</si>
  <si>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</si>
  <si>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</si>
  <si>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</si>
  <si>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</si>
  <si>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</si>
  <si>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</si>
  <si>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</si>
  <si>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</si>
  <si>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</si>
  <si>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</si>
  <si>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</si>
  <si>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</si>
  <si>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</si>
  <si>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</si>
  <si>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</si>
  <si>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</si>
  <si>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</si>
  <si>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</si>
  <si>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</si>
  <si>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</si>
  <si>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</si>
  <si>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</si>
  <si>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</si>
  <si>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</si>
  <si>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</si>
  <si>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</si>
  <si>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</si>
  <si>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</si>
  <si>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2016 CPTD</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</si>
  <si>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</si>
  <si>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</si>
  <si>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</si>
  <si>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</si>
  <si>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</si>
  <si>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Template for Estimating Total State Aid - Property of BOK Financial Services, Inc.</t>
  </si>
  <si>
    <t xml:space="preserve">     by Omar Garcia, BOK Financial Services, Inc.</t>
  </si>
  <si>
    <t>2015 Property Value With $25K Homestead Exemption (T10)</t>
  </si>
  <si>
    <t>2015 Property Value With $15K Homestead Exemption (T9)</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</si>
  <si>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</si>
  <si>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</si>
  <si>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</si>
  <si>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</si>
  <si>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</si>
  <si>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</si>
  <si>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</si>
  <si>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</si>
  <si>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</si>
  <si>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</si>
  <si>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</si>
  <si>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</si>
  <si>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</si>
  <si>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</si>
  <si>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</si>
  <si>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2015 State Certified Property Value ("T4"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</si>
  <si>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</si>
  <si>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</si>
  <si>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</si>
  <si>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</si>
  <si>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</si>
  <si>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</si>
  <si>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</si>
  <si>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2017 Taxable Value</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</si>
  <si>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</si>
  <si>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</si>
  <si>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</si>
  <si>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</si>
  <si>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</si>
  <si>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</si>
  <si>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</si>
  <si>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</si>
  <si>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</si>
  <si>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</si>
  <si>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</si>
  <si>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</si>
  <si>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</si>
  <si>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</si>
  <si>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</si>
  <si>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</si>
  <si>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</si>
  <si>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the amount of M&amp;O taxes that would have been collected at that higher rate.</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</si>
  <si>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</si>
  <si>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</si>
  <si>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</si>
  <si>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</si>
  <si>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</si>
  <si>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</si>
  <si>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</si>
  <si>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</si>
  <si>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</si>
  <si>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</si>
  <si>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</si>
  <si>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</si>
  <si>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this level</t>
  </si>
  <si>
    <t>Additional State Aid for Property Value Decline</t>
  </si>
  <si>
    <t>Line 15 is a one-time calculation and will not change once it is calculated by TEA.</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</si>
  <si>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</si>
  <si>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</si>
  <si>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</si>
  <si>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</si>
  <si>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</si>
  <si>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</si>
  <si>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</si>
  <si>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</si>
  <si>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</si>
  <si>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</si>
  <si>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</si>
  <si>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</si>
  <si>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</si>
  <si>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</si>
  <si>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</si>
  <si>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</si>
  <si>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</si>
  <si>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</si>
  <si>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</si>
  <si>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</si>
  <si>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</si>
  <si>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</si>
  <si>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</si>
  <si>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</si>
  <si>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</si>
  <si>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</si>
  <si>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</si>
  <si>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</si>
  <si>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</si>
  <si>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</si>
  <si>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</si>
  <si>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</si>
  <si>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</si>
  <si>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</si>
  <si>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</si>
  <si>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</si>
  <si>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</si>
  <si>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</si>
  <si>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</si>
  <si>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</si>
  <si>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</si>
  <si>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</si>
  <si>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</si>
  <si>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</si>
  <si>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</si>
  <si>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</si>
  <si>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</si>
  <si>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</si>
  <si>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</si>
  <si>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</si>
  <si>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</si>
  <si>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</si>
  <si>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</si>
  <si>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</si>
  <si>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</si>
  <si>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</si>
  <si>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</si>
  <si>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</si>
  <si>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</si>
  <si>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</si>
  <si>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</si>
  <si>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</si>
  <si>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</si>
  <si>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</si>
  <si>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</si>
  <si>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</si>
  <si>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</si>
  <si>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</si>
  <si>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</si>
  <si>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</si>
  <si>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</si>
  <si>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</si>
  <si>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</si>
  <si>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</si>
  <si>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</si>
  <si>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</si>
  <si>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</si>
  <si>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</si>
  <si>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</si>
  <si>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</si>
  <si>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</si>
  <si>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</si>
  <si>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</si>
  <si>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</si>
  <si>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</si>
  <si>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</si>
  <si>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</si>
  <si>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</si>
  <si>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</si>
  <si>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</si>
  <si>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</si>
  <si>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</si>
  <si>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</si>
  <si>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</si>
  <si>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</si>
  <si>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</si>
  <si>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</si>
  <si>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</si>
  <si>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</si>
  <si>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</si>
  <si>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</si>
  <si>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</si>
  <si>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</si>
  <si>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</si>
  <si>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</si>
  <si>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</si>
  <si>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</si>
  <si>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</si>
  <si>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</si>
  <si>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</si>
  <si>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</si>
  <si>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</si>
  <si>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</si>
  <si>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</si>
  <si>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</si>
  <si>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</si>
  <si>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</si>
  <si>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</si>
  <si>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</si>
  <si>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</si>
  <si>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</si>
  <si>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</si>
  <si>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</si>
  <si>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</si>
  <si>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</si>
  <si>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</si>
  <si>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</si>
  <si>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</si>
  <si>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</si>
  <si>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</si>
  <si>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</si>
  <si>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</si>
  <si>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</si>
  <si>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</si>
  <si>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</si>
  <si>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</si>
  <si>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</si>
  <si>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</si>
  <si>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</si>
  <si>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</si>
  <si>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</si>
  <si>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</si>
  <si>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</si>
  <si>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</si>
  <si>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</si>
  <si>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</si>
  <si>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</si>
  <si>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</si>
  <si>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</si>
  <si>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</si>
  <si>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</si>
  <si>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</si>
  <si>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</si>
  <si>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</si>
  <si>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</si>
  <si>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</si>
  <si>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</si>
  <si>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</si>
  <si>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</si>
  <si>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</si>
  <si>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</si>
  <si>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</si>
  <si>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</si>
  <si>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</si>
  <si>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</si>
  <si>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</si>
  <si>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</si>
  <si>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</si>
  <si>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SOUTH TEXAS ISD</t>
  </si>
  <si>
    <t>BOYS RANCH ISD</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</si>
  <si>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</si>
  <si>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</si>
  <si>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</si>
  <si>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</si>
  <si>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</si>
  <si>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</si>
  <si>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</si>
  <si>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</si>
  <si>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</si>
  <si>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</si>
  <si>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</si>
  <si>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</si>
  <si>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</si>
  <si>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</si>
  <si>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</si>
  <si>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</si>
  <si>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</si>
  <si>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</si>
  <si>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</si>
  <si>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</si>
  <si>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</si>
  <si>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</si>
  <si>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</si>
  <si>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</si>
  <si>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</si>
  <si>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</si>
  <si>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</si>
  <si>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</si>
  <si>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</si>
  <si>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</si>
  <si>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</si>
  <si>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</si>
  <si>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This template is designed to calculate revenue based on the school finance provisions enacted by the 85th Session of the Texas Legislature</t>
  </si>
  <si>
    <t>2020 TAX</t>
  </si>
  <si>
    <t>2018 Total Taxable Value</t>
  </si>
  <si>
    <t>Certified Excess 2017 Debt Collections</t>
  </si>
  <si>
    <t>2018 Total I&amp;S Taxable Value (for Chapter 313 districts)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</si>
  <si>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</si>
  <si>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</si>
  <si>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</si>
  <si>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</si>
  <si>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</si>
  <si>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</si>
  <si>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</si>
  <si>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</si>
  <si>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</si>
  <si>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</si>
  <si>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</si>
  <si>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</si>
  <si>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</si>
  <si>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</si>
  <si>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</si>
  <si>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</si>
  <si>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</si>
  <si>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</si>
  <si>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</si>
  <si>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</si>
  <si>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</si>
  <si>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</si>
  <si>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</si>
  <si>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</si>
  <si>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</si>
  <si>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</si>
  <si>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</si>
  <si>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</si>
  <si>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</si>
  <si>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</si>
  <si>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</si>
  <si>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</si>
  <si>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</si>
  <si>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</si>
  <si>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</si>
  <si>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</si>
  <si>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</si>
  <si>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</si>
  <si>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</si>
  <si>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</si>
  <si>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</si>
  <si>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</si>
  <si>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</si>
  <si>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</si>
  <si>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</si>
  <si>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</si>
  <si>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</si>
  <si>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</si>
  <si>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</si>
  <si>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</si>
  <si>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</si>
  <si>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</si>
  <si>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</si>
  <si>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</si>
  <si>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</si>
  <si>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</si>
  <si>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</si>
  <si>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</si>
  <si>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</si>
  <si>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</si>
  <si>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</si>
  <si>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</si>
  <si>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</si>
  <si>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</si>
  <si>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</si>
  <si>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</si>
  <si>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</si>
  <si>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</si>
  <si>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</si>
  <si>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</si>
  <si>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</si>
  <si>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</si>
  <si>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</si>
  <si>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</si>
  <si>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</si>
  <si>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</si>
  <si>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</si>
  <si>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</si>
  <si>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</si>
  <si>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</si>
  <si>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</si>
  <si>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 xml:space="preserve">I&amp;S Taxes Collected In 2nd Yr of Biennium (i.e., 14-15 used for 15-16 &amp; 16-17) </t>
  </si>
  <si>
    <t>Prior-Yr CPTD Property Value ("T10"  beginning 16-17)</t>
  </si>
  <si>
    <t>State/Local Share of Allotment ($Yield x Line 7 x Line 12 x 100)</t>
  </si>
  <si>
    <t>(see Weights tab for $Yield)</t>
  </si>
  <si>
    <t xml:space="preserve">tab for the applicable year must be equal to or greater than Line 14. </t>
  </si>
  <si>
    <t xml:space="preserve">plus the Unequalized Taxes entered in Row 60 of the 'Data Entry - SOF' </t>
  </si>
  <si>
    <t xml:space="preserve">(2014-15 for 2015-16 and 2016-157 2016-17 for 2017-18 and 2018-19; 2018-19 for 2019-20 and 2020-21; 2020-21 for 2021-22) </t>
  </si>
  <si>
    <t>[(Line 5 - Line 6) / $Yield / Line 7 / 100]</t>
  </si>
  <si>
    <t xml:space="preserve">State/Local Share of IFA Awarded for Bonded Debt - Current Yr </t>
  </si>
  <si>
    <t>and Option 4).</t>
  </si>
  <si>
    <t>for 2021-22</t>
  </si>
  <si>
    <t>2022-23</t>
  </si>
  <si>
    <t>Property Values - (Loaded thru 17-18)</t>
  </si>
  <si>
    <t>&lt; Get from Line 18 of the Comptroller's 2018 Effective Tax Rate Worksheet (when available)</t>
  </si>
  <si>
    <t xml:space="preserve"> &lt; Will load after Co-Dist # is entered below</t>
  </si>
  <si>
    <r>
      <t xml:space="preserve"> </t>
    </r>
    <r>
      <rPr>
        <b/>
        <sz val="12"/>
        <color indexed="10"/>
        <rFont val="Arial MT"/>
      </rPr>
      <t>&lt; (ENTER # WITH DASH, i.e., 001-902)</t>
    </r>
  </si>
  <si>
    <t>as of this release, latest rate</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</si>
  <si>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</si>
  <si>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</si>
  <si>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</si>
  <si>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</si>
  <si>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</si>
  <si>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</si>
  <si>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</si>
  <si>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</si>
  <si>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</si>
  <si>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</si>
  <si>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</si>
  <si>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</si>
  <si>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</si>
  <si>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</si>
  <si>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</si>
  <si>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r>
      <rPr>
        <b/>
        <sz val="12"/>
        <rFont val="Arial MT"/>
      </rPr>
      <t>Total 2016-17 Recapture</t>
    </r>
    <r>
      <rPr>
        <sz val="12"/>
        <rFont val="Arial MT"/>
      </rPr>
      <t xml:space="preserve">                                                      </t>
    </r>
    <r>
      <rPr>
        <sz val="12"/>
        <color indexed="10"/>
        <rFont val="Arial MT"/>
      </rPr>
      <t>(Link to Detail Report)</t>
    </r>
  </si>
  <si>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</si>
  <si>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</si>
  <si>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</si>
  <si>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</si>
  <si>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</si>
  <si>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</si>
  <si>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</si>
  <si>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</si>
  <si>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</si>
  <si>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</si>
  <si>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Net Total State/Local Revenue Needed to Maintain</t>
  </si>
  <si>
    <t>2018-19 Net State/Local Revenue Allowed @ Compressed Rate</t>
  </si>
  <si>
    <t>2018-19 Net State/Local Revenue Allowed (cannot be greater than Line 10)</t>
  </si>
  <si>
    <t xml:space="preserve">2018-19 Levy Needed for Local Revenue Before Recapture, if applicable </t>
  </si>
  <si>
    <t>2018-19 Level 1 Tier II DTR Needed to Fund Remaining Balance</t>
  </si>
  <si>
    <t>2018-19 Taxes Collected at Maximum Level 1 Tier II Rate</t>
  </si>
  <si>
    <t>2018-19 Level 1 Tier II DTR @ Maximum Rate</t>
  </si>
  <si>
    <t>2018-19 Level 1 Tier II State and Local Revenue @ Maximum Rate</t>
  </si>
  <si>
    <t>2018-19 Level 1 Tier II Local Share (LR)</t>
  </si>
  <si>
    <t xml:space="preserve">2018-19 Levy Needed for Level 1 Tier II Local Share </t>
  </si>
  <si>
    <t>2018-19 Level 1 Tier II State Aid @ Rate Needed to Maintain</t>
  </si>
  <si>
    <t>2018-19 Remaining Balance Needed (Line 12 - Line 17 - Line 18)</t>
  </si>
  <si>
    <t>2018-19 Level 3 Tier II DTR Needed to Fund Remaining Balance</t>
  </si>
  <si>
    <t>2018-19 Tax Rate Available for Level 3 Tier II</t>
  </si>
  <si>
    <t xml:space="preserve">2018-19 Taxes Collected at Available Tax Rate </t>
  </si>
  <si>
    <t>2018-19 Level 3 Tier II DTR at Available Rate</t>
  </si>
  <si>
    <t>2018-19 Gross (before recapture) M&amp;O Taxes Needed to Fund Remaining Balance</t>
  </si>
  <si>
    <t>2018-19 Net (after recapture, if applicable) Level 3 Tier II State &amp; Local Revenue @ Level 3 Tier II DTR</t>
  </si>
  <si>
    <t>2018-19 Net (after recapture, if applicable) Level 3 Tier II Local Share (LR)</t>
  </si>
  <si>
    <t xml:space="preserve">2018-19 Levy Needed for Level 3 Tier II Local Share </t>
  </si>
  <si>
    <t>2018-19 Level 3 Tier II State Aid</t>
  </si>
  <si>
    <t>2018-19 Remaining Net Balance Needed (Line 19 - Line 26 - Line 27)</t>
  </si>
  <si>
    <t>2018-19 Gross M&amp;O Taxes Needed (before recapture, if applicable) to Retain Remaining Net Balance</t>
  </si>
  <si>
    <t>2018-19 Levy Needed for Remaining Balance</t>
  </si>
  <si>
    <t>2018-19 Local Share of IFA for a Lease-Purchase</t>
  </si>
  <si>
    <t>2018-19 Levy Needed for Local Share of IFA Lease-Purchase Local Share</t>
  </si>
  <si>
    <t>2018-19 M&amp;O Taxes Needed Above Compressed, or Lower (Sum of Lines 17, 24, 29, and 30)</t>
  </si>
  <si>
    <t xml:space="preserve">2018-19 Projected Tax Collection Rate for Current-year Levy </t>
  </si>
  <si>
    <t xml:space="preserve">2018-19 Total M&amp;O Levy Needed Above Compressed Rate (or lower) </t>
  </si>
  <si>
    <t>2018-19 M&amp;O Tax Rate Needed Above Compressed Rate (or lower) [(Line 33 / Line 34) *100]</t>
  </si>
  <si>
    <t>2018-19 Total Levy Needed  (Sum of Lines 13, 20, 30, 34, and 36)</t>
  </si>
  <si>
    <t>2018-19 Effective M&amp;O Tax Rate (Line 37 / (Line 38 / 100))</t>
  </si>
  <si>
    <t>FOR THE 2018-19 SCHOOL YEAR.</t>
  </si>
  <si>
    <t>NOTE:  The Comptroller's Truth-In-Taxation (publication?) should contain the official rollback tax rate worksheet for 2018-19.</t>
  </si>
  <si>
    <t>2018-19 ($1.50 x 66.67%) + $.04</t>
  </si>
  <si>
    <t>Rate #2 (2018-19 Effective M&amp;O Rate + $.04)</t>
  </si>
  <si>
    <t>2018-19 M&amp;O Rollback Rate (Lesser of Rate #1 or Rate #2)</t>
  </si>
  <si>
    <t xml:space="preserve">NOTE:  If the district's 2017-18 adopted M&amp;O tax rate was less than its 2017-18 Effective M&amp;O Tax Rate, the 2017-18 revenue below </t>
  </si>
  <si>
    <t>can be computed as if the district's 2017-18 adopted M&amp;O tax rate was its 2017-18 Effective M&amp;O Tax Rate.  For this purpose only</t>
  </si>
  <si>
    <t xml:space="preserve">and if applicable, go back and enter the district's 2017-18 Effective M&amp;O Tax Rate (regardless of how high the rate might be) instead of the </t>
  </si>
  <si>
    <t xml:space="preserve">district's adopted 2017-18 M&amp;O tax rate in Cell E58 of the 'Data Entry - SOF' tab.  Then, on that same tab in Cell E59, enter an estimate of </t>
  </si>
  <si>
    <t>2017-18 Tier I State Aid Using 2018-19 Basic Allotment</t>
  </si>
  <si>
    <t xml:space="preserve">2017-18 Tier II State Aid for Golden Pennies (Level 1) Using 2018-19 Yield </t>
  </si>
  <si>
    <t>2017-18 Tier II State Aid for $31.95 Pennies (Level 3)</t>
  </si>
  <si>
    <t>2017-18 Additional State Aid for Tax Reduction Using 2018-19 Funding Elements</t>
  </si>
  <si>
    <t xml:space="preserve">2017-18 Net M&amp;O Tax Collections </t>
  </si>
  <si>
    <t>2017-18 Net Total State/Local Revenue Using 2018-19 Funding Elements (Sum of Lines 1 thru 5)</t>
  </si>
  <si>
    <t>2017-18 WADA Using 2018-19 Funding Elements</t>
  </si>
  <si>
    <t>2017-18 Net Total State/Local Revenue per WADA (Line 6 / Line 7)</t>
  </si>
  <si>
    <t>2017-18 Net Total State/Local Revenue per WADA (Line 8 x Line 9)</t>
  </si>
  <si>
    <t>2018-19 Remaining Net Balance Needed to Maintain 2017-18 Net Revenue (Line 10 - Line 11)</t>
  </si>
  <si>
    <t>THE FOLLOWING WAS THE WAY IT WAS FOR 2017-18.  IT IS ASSUMED NOTHING WILL CHANGE FOR</t>
  </si>
  <si>
    <t>2017-18 recapture using 2018-19 Equalized Funding Levels:</t>
  </si>
  <si>
    <t>THIS SECTION USED ON 2018-19 EFFECTIVE M&amp;O RATE TAB:</t>
  </si>
  <si>
    <t>17-18 net m&amp;o</t>
  </si>
  <si>
    <t xml:space="preserve">FOR 18-19 </t>
  </si>
  <si>
    <t>(using 18-19</t>
  </si>
  <si>
    <t>FOR 18-19 EFF TAX RATE:</t>
  </si>
  <si>
    <t>(using 18-19 rpaf)</t>
  </si>
  <si>
    <t>2017-18 AA</t>
  </si>
  <si>
    <t>USING 18-19 ELEMENTS</t>
  </si>
  <si>
    <t>using 18-19 funding elements</t>
  </si>
  <si>
    <t>frac-funding - for 18-19 eff rate</t>
  </si>
  <si>
    <t>(using 17-18 reg prod adj factor)</t>
  </si>
  <si>
    <t>(uses 17-18 wada based on 18-19 rpaf</t>
  </si>
  <si>
    <t>FOR 18-19 EFF M&amp;O RATE</t>
  </si>
  <si>
    <t>To get the 2017-18 Effective M&amp;O Tax Rate, use the template that you worked last summer.  It will be on a tab labeled 'EffectiveM&amp;ORate1718'.</t>
  </si>
  <si>
    <t>2018-19 Notice of Public Meeting To Discuss Budget and Proposed Tax Rate.</t>
  </si>
  <si>
    <t>2018-19 Proposed I&amp;S Tax Rate</t>
  </si>
  <si>
    <t>2018-19 I&amp;S Collection Rate (.98, .99, etc. - if 100%, enter as 1.00)</t>
  </si>
  <si>
    <t>2018-19 I&amp;S Tax Collections @ Proposed I&amp;S Tax Rate</t>
  </si>
  <si>
    <t>2018-19 Taxes Collected for TIF</t>
  </si>
  <si>
    <t>2018-19 Debt Service Payment From I&amp;S Fund</t>
  </si>
  <si>
    <t>2018-19 WADA Needed to Equalize Wealth</t>
  </si>
  <si>
    <t>2018-19 Total Cost of Tier I</t>
  </si>
  <si>
    <t xml:space="preserve">2018-19 Available School Fund Entitlement </t>
  </si>
  <si>
    <t xml:space="preserve">2018-19 Maximum DTR </t>
  </si>
  <si>
    <t>2018-19 Proposed M&amp;O Tax Rate</t>
  </si>
  <si>
    <t>2018-19 Refined ADA</t>
  </si>
  <si>
    <t>2018-19 WADA (if Chapter 41, does not include WADA needed to be purchased)</t>
  </si>
  <si>
    <t xml:space="preserve">2018-19 Total Debt Service Payment </t>
  </si>
  <si>
    <t>2018-19 State Share of IFA (for bonded debt only)</t>
  </si>
  <si>
    <t>2018-19 State Share of IFA (for lease-purchase only)</t>
  </si>
  <si>
    <t>2018-19 State Share of EDA</t>
  </si>
  <si>
    <t>2018-19 M&amp;O Tax Collections @ Compressed M&amp;O Tax Rate</t>
  </si>
  <si>
    <t>2018-19 M&amp;O Tax Collections @ Proposed M&amp;O Tax Rate</t>
  </si>
  <si>
    <t>2018-19 Tier I Local Share</t>
  </si>
  <si>
    <t>2018-19 Tier II State Aid (Levels 2 and 3)</t>
  </si>
  <si>
    <t>2017-18 Actual I&amp;S Tax Rate</t>
  </si>
  <si>
    <t>2017-18 Actual M&amp;O Tax Rate</t>
  </si>
  <si>
    <t>2017-18 M&amp;O Taxes Collected</t>
  </si>
  <si>
    <t>2017-18 M&amp;O Taxes Collected @ Compressed Rate</t>
  </si>
  <si>
    <t>2017-18 I&amp;S Taxes Collected</t>
  </si>
  <si>
    <t>2017-18 Adjusted Target Revenue</t>
  </si>
  <si>
    <t>2017-18 Reduction for Excess Revenue</t>
  </si>
  <si>
    <t>2017-18 Level 2 Tier II State Aid</t>
  </si>
  <si>
    <t>2017-18 Adjusted Refined ADA</t>
  </si>
  <si>
    <t>2017-18 State Share of IFA (for both bonds and lease-purchases)</t>
  </si>
  <si>
    <t>2017-18 Recapture @ Compressed Rate</t>
  </si>
  <si>
    <t>&lt; enter the amount of I&amp;S taxes the district expects to collect from the proposed 2017-18 I&amp;S tax rate.</t>
  </si>
  <si>
    <t>&lt; enter the amount of taxes the district expects to collect in 2017-18 for a Tax Increment Financing agreement, if applicable.</t>
  </si>
  <si>
    <t>&lt; use the 2017-18 Chapter 41 template to get the number of WADA needed to be purchased to equalize the district's wealth using the district's best estimates of Chapter 41 WADA and M&amp;O tax collections for 2017-18.</t>
  </si>
  <si>
    <t>&lt; enter the district's best estimate of Chapter 42 WADA - if district is Chapter 41, DO NOT include WADA district must purchase in 2017-18 to equalize its wealth - that total WADA is already being brought over from the Rollback worksheets.</t>
  </si>
  <si>
    <t>&lt; enter the district's total debt service payment for the 2017-18 school year, regardless of the source of funds used to make the payment.</t>
  </si>
  <si>
    <t xml:space="preserve">&lt; for bonded debt only - use the 2017-18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</si>
  <si>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2017-18 state aid template (from the 'IFA' worksheet) to get this amount -  this amount does not include any new IFA awards that might be granted in the June 2006 cycle (assuming there is appropriation available to grant new awards).   </t>
  </si>
  <si>
    <t>&lt; use to 2017-18 state aid template (from the 'EDA' worksheet) to get this amount.</t>
  </si>
  <si>
    <t>&lt; enter the amount of M&amp;O taxes the district expects to collect at the compressed 2017-18 M&amp;O tax rate (2017-18 M&amp;O rate x .8868 = compressed rate).</t>
  </si>
  <si>
    <t>&lt; enter the amount of M&amp;O taxes the district expects to collect from the proposed 2017-18 M&amp;O tax rate, including the taxes collected for a TIF agreement.</t>
  </si>
  <si>
    <t xml:space="preserve">&lt; use the 2017-18 template to get the district's total Level 1 Tier II aid using the district's estimated student counts and estimated M&amp;O tax collections for 2017-18.  </t>
  </si>
  <si>
    <t>2018-19 State Share of IFA (bonded debt only)</t>
  </si>
  <si>
    <t>2018-19 Net M&amp;O Taxes Needed to Maintain</t>
  </si>
  <si>
    <t>2018-19 Debt Service Payment Needed</t>
  </si>
  <si>
    <t>2018-19 Total Taxes Needed (#8.a + #8.b)</t>
  </si>
  <si>
    <t xml:space="preserve">2018-19 Net M&amp;O Taxes Expected to be Collected from the Proposed M&amp;O Rate </t>
  </si>
  <si>
    <t xml:space="preserve">2018-19 I&amp;S Taxes Expected to be Collected from the Proposed I&amp;S Tax Rate </t>
  </si>
  <si>
    <t>2018-19 Taxes Expected to be Collected for a TIF</t>
  </si>
  <si>
    <t>2018-19 Total Tax Collections (#9.a + #9.b)</t>
  </si>
  <si>
    <t xml:space="preserve">2018-19 Refined ADA </t>
  </si>
  <si>
    <t xml:space="preserve">2018-19 Total State/Local Revenue Needed to Maintain </t>
  </si>
  <si>
    <t>2018-19 Reduction Resulting From $350 Limit</t>
  </si>
  <si>
    <t>2018-19 State Share of IFA (for bonds and lease-purchases)</t>
  </si>
  <si>
    <t>2018-19 Total State Revenue Needed to Maintain (Sum of #11.a thru #11.d)</t>
  </si>
  <si>
    <t>2018-19 Tier II State Aid (All Levels)</t>
  </si>
  <si>
    <t>2018-19 Additional State Aid for Tax Reduction</t>
  </si>
  <si>
    <t>2018-19 Total State Aid (sum of #12.a thru #12.e; cannot be less than ASF-State)</t>
  </si>
  <si>
    <t>2017-18 Net M&amp;O Taxes Collected</t>
  </si>
  <si>
    <t>2017-18 Total Taxes Collected (#7.a + #7.b)</t>
  </si>
  <si>
    <t>2017-18 ASATR</t>
  </si>
  <si>
    <t>2017-18 Level 1 Tier II State Aid</t>
  </si>
  <si>
    <t xml:space="preserve">2017-18 Level 2 Tier II State Aid </t>
  </si>
  <si>
    <t>2017-18 Reduction in State Aid for "Excess" Revenue</t>
  </si>
  <si>
    <t>2017-18 Total State Aid (sum of #10.a thru #10.g; cannot be less than ASF-State)</t>
  </si>
  <si>
    <t>2018 Adjusted Taxable Value</t>
  </si>
  <si>
    <t xml:space="preserve">         For HH: Using M&amp;O HH taxes:</t>
  </si>
  <si>
    <t xml:space="preserve">           For HH: Using M&amp;O HH taxes:</t>
  </si>
  <si>
    <t xml:space="preserve">          For HH: Using M&amp;O HH taxes:</t>
  </si>
  <si>
    <t>MUST DO:</t>
  </si>
  <si>
    <t>Total Recapture Payments Due TEA</t>
  </si>
  <si>
    <t>Cost per WADA per TEC 41.093 (Minimum is Statewide Avg)</t>
  </si>
  <si>
    <t>FOR COMPARISON TAB:</t>
  </si>
  <si>
    <t>for 18-19 eff m&amp;o rate</t>
  </si>
  <si>
    <t>Total 2016-17 Recapture Payments Due TEA</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</si>
  <si>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</si>
  <si>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</si>
  <si>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</si>
  <si>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</si>
  <si>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</si>
  <si>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</si>
  <si>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</si>
  <si>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</si>
  <si>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</si>
  <si>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</si>
  <si>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</si>
  <si>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</si>
  <si>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</si>
  <si>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</si>
  <si>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</si>
  <si>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</si>
  <si>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</si>
  <si>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</si>
  <si>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ck for correct IFA references &gt;</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</si>
  <si>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</si>
  <si>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</si>
  <si>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</si>
  <si>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</si>
  <si>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</si>
  <si>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</si>
  <si>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</si>
  <si>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</si>
  <si>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</si>
  <si>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</si>
  <si>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</si>
  <si>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</si>
  <si>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</si>
  <si>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</si>
  <si>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</si>
  <si>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</si>
  <si>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</si>
  <si>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</si>
  <si>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</si>
  <si>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</si>
  <si>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</si>
  <si>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</si>
  <si>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</si>
  <si>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</si>
  <si>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</si>
  <si>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</si>
  <si>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</si>
  <si>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</si>
  <si>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</si>
  <si>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</si>
  <si>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</si>
  <si>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</si>
  <si>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</si>
  <si>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</si>
  <si>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</si>
  <si>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</si>
  <si>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</si>
  <si>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</si>
  <si>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</si>
  <si>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</si>
  <si>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</si>
  <si>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</si>
  <si>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</si>
  <si>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</si>
  <si>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</si>
  <si>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</si>
  <si>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</si>
  <si>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</si>
  <si>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</si>
  <si>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</si>
  <si>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</si>
  <si>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</si>
  <si>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</si>
  <si>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</si>
  <si>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</si>
  <si>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</si>
  <si>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</si>
  <si>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</si>
  <si>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</si>
  <si>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</si>
  <si>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20201Property Value With $15K Homestead Exemption (T7)</t>
  </si>
  <si>
    <t>2022-23 School Year</t>
  </si>
  <si>
    <t>For HH</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</si>
  <si>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</si>
  <si>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</si>
  <si>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</si>
  <si>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</si>
  <si>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</si>
  <si>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</si>
  <si>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t>(3) The Small District Weight is based in part  on the number of square miles in the district (see Weights tab for multiplier in formula).</t>
  </si>
  <si>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</si>
  <si>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</si>
  <si>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</si>
  <si>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</si>
  <si>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</si>
  <si>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</si>
  <si>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</si>
  <si>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</si>
  <si>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</si>
  <si>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</si>
  <si>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</si>
  <si>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</si>
  <si>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</si>
  <si>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</si>
  <si>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</si>
  <si>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r>
      <t xml:space="preserve">2016-17 Recapture @ Compressed Tax Rate      </t>
    </r>
    <r>
      <rPr>
        <sz val="12"/>
        <color rgb="FFFF000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</si>
  <si>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</si>
  <si>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</si>
  <si>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</si>
  <si>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</si>
  <si>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</si>
  <si>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</si>
  <si>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</si>
  <si>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</si>
  <si>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</si>
  <si>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</si>
  <si>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Release 2</t>
  </si>
  <si>
    <t>&lt;= For tax years 2015 and 2016, the appropriate final "T" values as certified by the Comptroller have been loaded for you.  Starting with tax year 2017 (2018-19 school year, you should enter your own estimates of what those "T" values would be once certified by the Comptroller.</t>
  </si>
  <si>
    <t>&lt;= The "T2" value is used to computed the local shares in Tier I &amp; Tier II and is also used in the computation of the M&amp;O hold harmless amount.</t>
  </si>
  <si>
    <t>&lt;= The "T1" value is used in the computation of the M&amp;O hold harmless amount.</t>
  </si>
  <si>
    <t>&lt;= The "T4" value applies only to Chapter 41 school districts and is used in the computation of recapture.</t>
  </si>
  <si>
    <t>&lt;= The "T10" value is used to computed the local shares for EDA &amp; IFA.</t>
  </si>
  <si>
    <t>&lt;= The "T3" value applies only to Chapter 41 school districts and is used in the computation of the M&amp;O hold harmless amount.</t>
  </si>
  <si>
    <t>&lt;= The "T9" value is used in the computation of the I&amp;S hold harmless amount.</t>
  </si>
  <si>
    <r>
      <t xml:space="preserve">&lt;= Enter the district's adopted M&amp;O tax rate for the applicable year.  If the districts adopts an M&amp;O rate that is greater than its rollback rate (the rollback rate is the lesser of: $1.00 + $.04 + rollback-approved pennies previously authorized </t>
    </r>
    <r>
      <rPr>
        <b/>
        <sz val="10"/>
        <color rgb="FFFF0000"/>
        <rFont val="Arial MT"/>
      </rPr>
      <t>OR</t>
    </r>
    <r>
      <rPr>
        <sz val="10"/>
        <rFont val="Arial MT"/>
      </rPr>
      <t xml:space="preserve"> Effective M&amp;O Tax Rate + $.04) a rollback election is automatically triggered.  </t>
    </r>
  </si>
  <si>
    <r>
      <t xml:space="preserve">&lt;=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</si>
  <si>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</si>
  <si>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</si>
  <si>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</si>
  <si>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</si>
  <si>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</si>
  <si>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</si>
  <si>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t xml:space="preserve">&lt;= Enter the district's share of the statewide cost of thte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</si>
  <si>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</si>
  <si>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</si>
  <si>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tution to educate non-resident students).</t>
    </r>
  </si>
  <si>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</si>
  <si>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</si>
  <si>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</si>
  <si>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&lt;= Enter the district's total taxable value will be for tax year 2018.  The actual value will appear on Line 18 of the Comptroller's Rollback Tax Rate Worksheet, which is part of the Truth-in-Taxation publication for 2017.</t>
  </si>
  <si>
    <t xml:space="preserve">&lt;= Enter the district's total taxable value for I&amp;S purposes for tax year 2018 only if the district has a Chapter 313 agreement.  </t>
  </si>
  <si>
    <t>&lt;= Enter the amount of excess 2017 debt collections as certified by the Chief Appraiser (Line 29 on the Comptroller's Rollback Tax Rate Worksheet).</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</si>
  <si>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</si>
  <si>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</si>
  <si>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</si>
  <si>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</si>
  <si>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</si>
  <si>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</si>
  <si>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</si>
  <si>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</si>
  <si>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</si>
  <si>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</si>
  <si>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</si>
  <si>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</si>
  <si>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</si>
  <si>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</si>
  <si>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</si>
  <si>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</si>
  <si>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</si>
  <si>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</si>
  <si>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</si>
  <si>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</si>
  <si>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</si>
  <si>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</si>
  <si>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</si>
  <si>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</si>
  <si>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</si>
  <si>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</si>
  <si>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</si>
  <si>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</si>
  <si>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</si>
  <si>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</si>
  <si>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</si>
  <si>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</si>
  <si>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</si>
  <si>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</si>
  <si>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</si>
  <si>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</si>
  <si>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</si>
  <si>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</si>
  <si>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</si>
  <si>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</si>
  <si>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</si>
  <si>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</si>
  <si>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</si>
  <si>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</si>
  <si>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</si>
  <si>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</si>
  <si>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</si>
  <si>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</si>
  <si>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</si>
  <si>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</si>
  <si>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</si>
  <si>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</si>
  <si>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</si>
  <si>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</si>
  <si>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</si>
  <si>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</si>
  <si>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</si>
  <si>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</si>
  <si>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</si>
  <si>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</si>
  <si>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</si>
  <si>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</si>
  <si>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</si>
  <si>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</si>
  <si>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</si>
  <si>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</si>
  <si>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</si>
  <si>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</si>
  <si>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</si>
  <si>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</si>
  <si>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</si>
  <si>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</si>
  <si>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</si>
  <si>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</si>
  <si>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</si>
  <si>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</si>
  <si>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</si>
  <si>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</si>
  <si>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</si>
  <si>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</si>
  <si>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</si>
  <si>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</si>
  <si>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</si>
  <si>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</si>
  <si>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</si>
  <si>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</si>
  <si>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</si>
  <si>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</si>
  <si>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</si>
  <si>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</si>
  <si>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</si>
  <si>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</si>
  <si>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</si>
  <si>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</si>
  <si>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</si>
  <si>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</si>
  <si>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</si>
  <si>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</si>
  <si>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</si>
  <si>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</si>
  <si>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</si>
  <si>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</si>
  <si>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</si>
  <si>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</si>
  <si>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</si>
  <si>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</si>
  <si>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</si>
  <si>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</si>
  <si>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</si>
  <si>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</si>
  <si>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</si>
  <si>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</si>
  <si>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</si>
  <si>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</si>
  <si>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</si>
  <si>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</si>
  <si>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</si>
  <si>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</si>
  <si>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</si>
  <si>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</si>
  <si>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</si>
  <si>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</si>
  <si>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</si>
  <si>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</si>
  <si>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</si>
  <si>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</si>
  <si>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</si>
  <si>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</si>
  <si>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</si>
  <si>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</si>
  <si>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</si>
  <si>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</si>
  <si>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</si>
  <si>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</si>
  <si>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</si>
  <si>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</si>
  <si>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</si>
  <si>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</si>
  <si>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</si>
  <si>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</si>
  <si>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</si>
  <si>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</si>
  <si>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</si>
  <si>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</si>
  <si>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</si>
  <si>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</si>
  <si>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</si>
  <si>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</si>
  <si>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</si>
  <si>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</si>
  <si>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</si>
  <si>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</si>
  <si>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</si>
  <si>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</si>
  <si>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</si>
  <si>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</si>
  <si>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</si>
  <si>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</si>
  <si>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</si>
  <si>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</si>
  <si>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</si>
  <si>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</si>
  <si>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</si>
  <si>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</si>
  <si>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</si>
  <si>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</si>
  <si>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</si>
  <si>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</si>
  <si>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</si>
  <si>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</si>
  <si>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</si>
  <si>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</si>
  <si>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</si>
  <si>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</si>
  <si>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</si>
  <si>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</si>
  <si>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</si>
  <si>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</si>
  <si>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</si>
  <si>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</si>
  <si>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</si>
  <si>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</si>
  <si>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</si>
  <si>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</si>
  <si>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</si>
  <si>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</si>
  <si>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</si>
  <si>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</si>
  <si>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</si>
  <si>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</si>
  <si>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</si>
  <si>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</si>
  <si>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</si>
  <si>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</si>
  <si>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</si>
  <si>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</si>
  <si>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</si>
  <si>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</si>
  <si>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</si>
  <si>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</si>
  <si>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</si>
  <si>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</si>
  <si>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</si>
  <si>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</si>
  <si>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</si>
  <si>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</si>
  <si>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</si>
  <si>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</si>
  <si>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</si>
  <si>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</si>
  <si>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</si>
  <si>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</si>
  <si>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</si>
  <si>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</si>
  <si>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</si>
  <si>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</si>
  <si>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</si>
  <si>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</si>
  <si>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</si>
  <si>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</si>
  <si>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</si>
  <si>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</si>
  <si>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</si>
  <si>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</si>
  <si>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</si>
  <si>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</si>
  <si>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</si>
  <si>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</si>
  <si>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</si>
  <si>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</si>
  <si>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</si>
  <si>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</si>
  <si>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</si>
  <si>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</si>
  <si>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</si>
  <si>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</si>
  <si>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</si>
  <si>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</si>
  <si>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</si>
  <si>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</si>
  <si>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</si>
  <si>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</si>
  <si>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</si>
  <si>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</si>
  <si>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</si>
  <si>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</si>
  <si>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</si>
  <si>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</si>
  <si>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</si>
  <si>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</si>
  <si>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</si>
  <si>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</si>
  <si>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</si>
  <si>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</si>
  <si>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</si>
  <si>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</si>
  <si>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</si>
  <si>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</si>
  <si>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</si>
  <si>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</si>
  <si>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</si>
  <si>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</si>
  <si>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</si>
  <si>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</si>
  <si>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</si>
  <si>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</si>
  <si>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</si>
  <si>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</si>
  <si>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</si>
  <si>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</si>
  <si>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</si>
  <si>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</si>
  <si>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</si>
  <si>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</si>
  <si>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</si>
  <si>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</si>
  <si>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</si>
  <si>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</si>
  <si>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</si>
  <si>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</si>
  <si>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</si>
  <si>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</si>
  <si>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</si>
  <si>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</si>
  <si>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</si>
  <si>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</si>
  <si>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</si>
  <si>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</si>
  <si>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</si>
  <si>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</si>
  <si>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</si>
  <si>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</si>
  <si>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</si>
  <si>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</si>
  <si>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</si>
  <si>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</si>
  <si>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</si>
  <si>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</si>
  <si>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</si>
  <si>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</si>
  <si>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</si>
  <si>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</si>
  <si>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</si>
  <si>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</si>
  <si>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</si>
  <si>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</si>
  <si>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</si>
  <si>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</si>
  <si>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</si>
  <si>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</si>
  <si>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</si>
  <si>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</si>
  <si>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</si>
  <si>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</si>
  <si>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</si>
  <si>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</si>
  <si>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</si>
  <si>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</si>
  <si>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</si>
  <si>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</si>
  <si>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</si>
  <si>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</si>
  <si>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</si>
  <si>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</si>
  <si>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</si>
  <si>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</si>
  <si>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</si>
  <si>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</si>
  <si>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</si>
  <si>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</si>
  <si>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</si>
  <si>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</si>
  <si>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</si>
  <si>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</si>
  <si>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</si>
  <si>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</si>
  <si>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</si>
  <si>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</si>
  <si>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</si>
  <si>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</si>
  <si>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</si>
  <si>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</si>
  <si>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</si>
  <si>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</si>
  <si>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</si>
  <si>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</si>
  <si>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</si>
  <si>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</si>
  <si>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</si>
  <si>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</si>
  <si>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</si>
  <si>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</si>
  <si>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</si>
  <si>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</si>
  <si>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</si>
  <si>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</si>
  <si>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</si>
  <si>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</si>
  <si>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</si>
  <si>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</si>
  <si>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</si>
  <si>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</si>
  <si>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</si>
  <si>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</si>
  <si>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</si>
  <si>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</si>
  <si>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</si>
  <si>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</si>
  <si>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</si>
  <si>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</si>
  <si>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</si>
  <si>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</si>
  <si>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</si>
  <si>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</si>
  <si>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</si>
  <si>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</si>
  <si>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</si>
  <si>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</si>
  <si>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</si>
  <si>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</si>
  <si>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</si>
  <si>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</si>
  <si>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</si>
  <si>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</si>
  <si>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</si>
  <si>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</si>
  <si>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</si>
  <si>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</si>
  <si>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</si>
  <si>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</si>
  <si>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</si>
  <si>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</si>
  <si>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</si>
  <si>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</si>
  <si>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</si>
  <si>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</si>
  <si>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</si>
  <si>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</si>
  <si>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</si>
  <si>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</si>
  <si>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</si>
  <si>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</si>
  <si>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</si>
  <si>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</si>
  <si>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</si>
  <si>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</si>
  <si>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</si>
  <si>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</si>
  <si>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</si>
  <si>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</si>
  <si>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</si>
  <si>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</si>
  <si>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</si>
  <si>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</si>
  <si>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</si>
  <si>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</si>
  <si>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</si>
  <si>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</si>
  <si>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</si>
  <si>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</si>
  <si>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</si>
  <si>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</si>
  <si>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</si>
  <si>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</si>
  <si>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</si>
  <si>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</si>
  <si>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</si>
  <si>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</si>
  <si>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</si>
  <si>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</si>
  <si>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</si>
  <si>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</si>
  <si>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</si>
  <si>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</si>
  <si>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</si>
  <si>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</si>
  <si>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</si>
  <si>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</si>
  <si>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</si>
  <si>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</si>
  <si>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</si>
  <si>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</si>
  <si>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</si>
  <si>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</si>
  <si>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</si>
  <si>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</si>
  <si>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</si>
  <si>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</si>
  <si>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</si>
  <si>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</si>
  <si>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</si>
  <si>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</si>
  <si>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</si>
  <si>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</si>
  <si>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</si>
  <si>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</si>
  <si>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</si>
  <si>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</si>
  <si>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</si>
  <si>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</si>
  <si>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</si>
  <si>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</si>
  <si>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</si>
  <si>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</si>
  <si>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</si>
  <si>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</si>
  <si>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</si>
  <si>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</si>
  <si>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</si>
  <si>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</si>
  <si>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</si>
  <si>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</si>
  <si>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</si>
  <si>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</si>
  <si>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</si>
  <si>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</si>
  <si>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</si>
  <si>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</si>
  <si>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</si>
  <si>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</si>
  <si>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</si>
  <si>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</si>
  <si>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</si>
  <si>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</si>
  <si>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</si>
  <si>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</si>
  <si>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</si>
  <si>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</si>
  <si>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</si>
  <si>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</si>
  <si>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</si>
  <si>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</si>
  <si>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</si>
  <si>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</si>
  <si>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</si>
  <si>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</si>
  <si>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</si>
  <si>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</si>
  <si>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</si>
  <si>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</si>
  <si>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</si>
  <si>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</si>
  <si>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</si>
  <si>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</si>
  <si>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</si>
  <si>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</si>
  <si>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</si>
  <si>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</si>
  <si>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</si>
  <si>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</si>
  <si>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</si>
  <si>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</si>
  <si>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</si>
  <si>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</si>
  <si>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</si>
  <si>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</si>
  <si>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</si>
  <si>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</si>
  <si>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</si>
  <si>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</si>
  <si>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</si>
  <si>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</si>
  <si>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</si>
  <si>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</si>
  <si>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</si>
  <si>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</si>
  <si>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</si>
  <si>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</si>
  <si>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</si>
  <si>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</si>
  <si>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</si>
  <si>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</si>
  <si>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</si>
  <si>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</si>
  <si>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</si>
  <si>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</si>
  <si>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</si>
  <si>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</si>
  <si>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</si>
  <si>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</si>
  <si>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</si>
  <si>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</si>
  <si>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</si>
  <si>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</si>
  <si>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</si>
  <si>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</si>
  <si>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</si>
  <si>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</si>
  <si>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</si>
  <si>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</si>
  <si>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</si>
  <si>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</si>
  <si>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</si>
  <si>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</si>
  <si>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</si>
  <si>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</si>
  <si>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</si>
  <si>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</si>
  <si>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</si>
  <si>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</si>
  <si>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</si>
  <si>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</si>
  <si>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</si>
  <si>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</si>
  <si>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</si>
  <si>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</si>
  <si>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</si>
  <si>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</si>
  <si>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</si>
  <si>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</si>
  <si>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</si>
  <si>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</si>
  <si>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</si>
  <si>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</si>
  <si>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</si>
  <si>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</si>
  <si>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</si>
  <si>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</si>
  <si>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</si>
  <si>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</si>
  <si>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</si>
  <si>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</si>
  <si>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</si>
  <si>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</si>
  <si>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</si>
  <si>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</si>
  <si>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</si>
  <si>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</si>
  <si>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</si>
  <si>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</si>
  <si>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</si>
  <si>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</si>
  <si>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</si>
  <si>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</si>
  <si>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</si>
  <si>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</si>
  <si>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</si>
  <si>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</si>
  <si>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</si>
  <si>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</si>
  <si>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</si>
  <si>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</si>
  <si>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</si>
  <si>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</si>
  <si>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</si>
  <si>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</si>
  <si>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</si>
  <si>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</si>
  <si>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</si>
  <si>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</si>
  <si>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</si>
  <si>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</si>
  <si>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</si>
  <si>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</si>
  <si>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</si>
  <si>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</si>
  <si>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</si>
  <si>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</si>
  <si>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</si>
  <si>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</si>
  <si>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</si>
  <si>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</si>
  <si>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</si>
  <si>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</si>
  <si>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</si>
  <si>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</si>
  <si>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</si>
  <si>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</si>
  <si>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</si>
  <si>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</si>
  <si>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</si>
  <si>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</si>
  <si>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</si>
  <si>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</si>
  <si>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</si>
  <si>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</si>
  <si>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</si>
  <si>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</si>
  <si>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</si>
  <si>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</si>
  <si>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</si>
  <si>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</si>
  <si>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</si>
  <si>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</si>
  <si>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</si>
  <si>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</si>
  <si>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</si>
  <si>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</si>
  <si>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</si>
  <si>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</si>
  <si>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</si>
  <si>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</si>
  <si>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</si>
  <si>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</si>
  <si>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</si>
  <si>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</si>
  <si>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</si>
  <si>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</si>
  <si>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</si>
  <si>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</si>
  <si>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</si>
  <si>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</si>
  <si>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</si>
  <si>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</si>
  <si>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</si>
  <si>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</si>
  <si>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</si>
  <si>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</si>
  <si>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</si>
  <si>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</si>
  <si>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</si>
  <si>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</si>
  <si>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</si>
  <si>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</si>
  <si>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</si>
  <si>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</si>
  <si>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</si>
  <si>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</si>
  <si>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</si>
  <si>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</si>
  <si>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</si>
  <si>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</si>
  <si>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</si>
  <si>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</si>
  <si>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</si>
  <si>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</si>
  <si>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</si>
  <si>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</si>
  <si>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</si>
  <si>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</si>
  <si>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</si>
  <si>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</si>
  <si>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</si>
  <si>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</si>
  <si>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</si>
  <si>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</si>
  <si>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</si>
  <si>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</si>
  <si>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</si>
  <si>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</si>
  <si>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</si>
  <si>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</si>
  <si>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</si>
  <si>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</si>
  <si>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</si>
  <si>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</si>
  <si>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</si>
  <si>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</si>
  <si>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</si>
  <si>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</si>
  <si>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</si>
  <si>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</si>
  <si>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</si>
  <si>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</si>
  <si>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</si>
  <si>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</si>
  <si>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</si>
  <si>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</si>
  <si>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</si>
  <si>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</si>
  <si>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</si>
  <si>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</si>
  <si>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</si>
  <si>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</si>
  <si>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</si>
  <si>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</si>
  <si>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</si>
  <si>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</si>
  <si>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</si>
  <si>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</si>
  <si>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</si>
  <si>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</si>
  <si>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</si>
  <si>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</si>
  <si>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</si>
  <si>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</si>
  <si>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</si>
  <si>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</si>
  <si>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</si>
  <si>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</si>
  <si>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</si>
  <si>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</si>
  <si>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</si>
  <si>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</si>
  <si>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</si>
  <si>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</si>
  <si>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</si>
  <si>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</si>
  <si>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</si>
  <si>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</si>
  <si>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</si>
  <si>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</si>
  <si>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</si>
  <si>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</si>
  <si>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</si>
  <si>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</si>
  <si>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</si>
  <si>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</si>
  <si>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</si>
  <si>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</si>
  <si>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</si>
  <si>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</si>
  <si>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</si>
  <si>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</si>
  <si>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</si>
  <si>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</si>
  <si>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</si>
  <si>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</si>
  <si>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</si>
  <si>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</si>
  <si>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</si>
  <si>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</si>
  <si>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</si>
  <si>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</si>
  <si>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</si>
  <si>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</si>
  <si>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</si>
  <si>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</si>
  <si>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</si>
  <si>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</si>
  <si>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</si>
  <si>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</si>
  <si>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</si>
  <si>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</si>
  <si>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</si>
  <si>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</si>
  <si>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</si>
  <si>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</si>
  <si>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</si>
  <si>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</si>
  <si>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</si>
  <si>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</si>
  <si>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</si>
  <si>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</si>
  <si>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</si>
  <si>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</si>
  <si>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</si>
  <si>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</si>
  <si>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</si>
  <si>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</si>
  <si>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</si>
  <si>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</si>
  <si>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</si>
  <si>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</si>
  <si>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</si>
  <si>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</si>
  <si>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</si>
  <si>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</si>
  <si>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</si>
  <si>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</si>
  <si>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</si>
  <si>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</si>
  <si>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</si>
  <si>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</si>
  <si>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</si>
  <si>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</si>
  <si>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</si>
  <si>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</si>
  <si>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</si>
  <si>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</si>
  <si>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</si>
  <si>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</si>
  <si>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</si>
  <si>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</si>
  <si>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</si>
  <si>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</si>
  <si>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</si>
  <si>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</si>
  <si>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</si>
  <si>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</si>
  <si>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</si>
  <si>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</si>
  <si>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</si>
  <si>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</si>
  <si>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</si>
  <si>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</si>
  <si>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</si>
  <si>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</si>
  <si>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</si>
  <si>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</si>
  <si>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</si>
  <si>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</si>
  <si>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</si>
  <si>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</si>
  <si>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</si>
  <si>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</si>
  <si>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</si>
  <si>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</si>
  <si>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</si>
  <si>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</si>
  <si>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</si>
  <si>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</si>
  <si>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</si>
  <si>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</si>
  <si>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</si>
  <si>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</si>
  <si>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</si>
  <si>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</si>
  <si>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</si>
  <si>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</si>
  <si>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</si>
  <si>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</si>
  <si>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</si>
  <si>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</si>
  <si>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</si>
  <si>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</si>
  <si>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</si>
  <si>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</si>
  <si>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</si>
  <si>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</si>
  <si>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</si>
  <si>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</si>
  <si>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</si>
  <si>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</si>
  <si>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</si>
  <si>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</si>
  <si>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</si>
  <si>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</si>
  <si>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</si>
  <si>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</si>
  <si>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</si>
  <si>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</si>
  <si>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</si>
  <si>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</si>
  <si>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</si>
  <si>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</si>
  <si>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</si>
  <si>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</si>
  <si>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</si>
  <si>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</si>
  <si>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</si>
  <si>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</si>
  <si>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</si>
  <si>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</si>
  <si>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</si>
  <si>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</si>
  <si>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</si>
  <si>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</si>
  <si>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</si>
  <si>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</si>
  <si>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</si>
  <si>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</si>
  <si>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</si>
  <si>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</si>
  <si>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</si>
  <si>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</si>
  <si>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</si>
  <si>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</si>
  <si>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</si>
  <si>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</si>
  <si>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</si>
  <si>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</si>
  <si>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</si>
  <si>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</si>
  <si>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</si>
  <si>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</si>
  <si>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</si>
  <si>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</si>
  <si>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</si>
  <si>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</si>
  <si>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</si>
  <si>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</si>
  <si>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</si>
  <si>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</si>
  <si>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</si>
  <si>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</si>
  <si>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</si>
  <si>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</si>
  <si>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</si>
  <si>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</si>
  <si>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</si>
  <si>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</si>
  <si>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</si>
  <si>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</si>
  <si>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</si>
  <si>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</si>
  <si>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</si>
  <si>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</si>
  <si>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</si>
  <si>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</si>
  <si>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</si>
  <si>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</si>
  <si>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</si>
  <si>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</si>
  <si>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</si>
  <si>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</si>
  <si>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</si>
  <si>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</si>
  <si>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</si>
  <si>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</si>
  <si>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</si>
  <si>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</si>
  <si>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</si>
  <si>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</si>
  <si>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</si>
  <si>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</si>
  <si>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</si>
  <si>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</si>
  <si>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</si>
  <si>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</si>
  <si>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</si>
  <si>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</si>
  <si>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</si>
  <si>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</si>
  <si>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</si>
  <si>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</si>
  <si>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</si>
  <si>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</si>
  <si>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</si>
  <si>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</si>
  <si>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</si>
  <si>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</si>
  <si>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</si>
  <si>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</si>
  <si>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</si>
  <si>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</si>
  <si>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</si>
  <si>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</si>
  <si>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</si>
  <si>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</si>
  <si>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</si>
  <si>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</si>
  <si>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</si>
  <si>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</si>
  <si>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</si>
  <si>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</si>
  <si>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</si>
  <si>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</si>
  <si>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</si>
  <si>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</si>
  <si>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</si>
  <si>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</si>
  <si>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</si>
  <si>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</si>
  <si>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</si>
  <si>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</si>
  <si>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</si>
  <si>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</si>
  <si>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</si>
  <si>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</si>
  <si>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</si>
  <si>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</si>
  <si>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</si>
  <si>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</si>
  <si>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</si>
  <si>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</si>
  <si>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</si>
  <si>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</si>
  <si>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</si>
  <si>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</si>
  <si>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</si>
  <si>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2017 CPTD Prelim</t>
  </si>
  <si>
    <t>2017 TAX YR</t>
  </si>
  <si>
    <t>PRELIMS</t>
  </si>
  <si>
    <t>initial rate used on TEA's template</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</si>
  <si>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</si>
  <si>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</si>
  <si>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</si>
  <si>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</si>
  <si>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</si>
  <si>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</si>
  <si>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</si>
  <si>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</si>
  <si>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</si>
  <si>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</si>
  <si>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The per capita rate for 2018-19 has been changed to the rate that TEA is curently using on their template. That rate is $447.18 and I was 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</si>
</sst>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_);\(&quot;$&quot;#,##0\)"/>
    <numFmt numFmtId="6" formatCode="&quot;$&quot;#,##0_);[Red]\(&quot;$&quot;#,##0\)"/>
    <numFmt numFmtId="8" formatCode="&quot;$&quot;#,##0.00_);[Red]\(&quot;$&quot;#,##0.00\)"/>
    <numFmt numFmtId="44" formatCode="_(&quot;$&quot;* #,##0.00_);_(&quot;$&quot;* \(#,##0.00\);_(&quot;$&quot;* &quot;-&quot;??_);_(@_)"/>
    <numFmt numFmtId="164" formatCode="#,##0.000_);\(#,##0.000\)"/>
    <numFmt numFmtId="165" formatCode=";;"/>
    <numFmt numFmtId="166" formatCode="#,##0.0_);\(#,##0.0\)"/>
    <numFmt numFmtId="167" formatCode="0.000"/>
    <numFmt numFmtId="168" formatCode="#,##0.0000_);\(#,##0.0000\)"/>
    <numFmt numFmtId="169" formatCode="#,##0.000000_);\(#,##0.000000\)"/>
    <numFmt numFmtId="170" formatCode="#,##0.000"/>
    <numFmt numFmtId="171" formatCode="#,##0.00000_);\(#,##0.00000\)"/>
    <numFmt numFmtId="172" formatCode="0.00000"/>
    <numFmt numFmtId="173" formatCode="0_);\(0\)"/>
    <numFmt numFmtId="174" formatCode="000\-000"/>
    <numFmt numFmtId="175" formatCode="&quot;$&quot;#,##0"/>
    <numFmt numFmtId="176" formatCode="#,##0.0000_);[Red]\(#,##0.0000\)"/>
    <numFmt numFmtId="177" formatCode="#,##0.000_);[Red]\(#,##0.000\)"/>
    <numFmt numFmtId="178" formatCode="#,##0.00000_);[Red]\(#,##0.00000\)"/>
    <numFmt numFmtId="179" formatCode="#,##0.0000"/>
    <numFmt numFmtId="180" formatCode="0.00_);[Red]\(0.00\)"/>
    <numFmt numFmtId="181" formatCode="0.00;[Red]0.00"/>
    <numFmt numFmtId="182" formatCode="#,##0.000000_);[Red]\(#,##0.000000\)"/>
    <numFmt numFmtId="183" formatCode="#,##0.0_);[Red]\(#,##0.0\)"/>
    <numFmt numFmtId="184" formatCode="&quot;$&quot;#,##0.000_);[Red]\(&quot;$&quot;#,##0.000\)"/>
    <numFmt numFmtId="185" formatCode="0.0000_);[Red]\(0.0000\)"/>
    <numFmt numFmtId="186" formatCode="&quot;$&quot;#,##0.0000_);[Red]\(&quot;$&quot;#,##0.0000\)"/>
    <numFmt numFmtId="187" formatCode="&quot;$&quot;#,##0.0000"/>
    <numFmt numFmtId="188" formatCode="0.0000%"/>
    <numFmt numFmtId="189" formatCode="0.0000"/>
    <numFmt numFmtId="190" formatCode="_(&quot;$&quot;* #,##0_);_(&quot;$&quot;* \(#,##0\);_(&quot;$&quot;* &quot;-&quot;??_);_(@_)"/>
  </numFmts>
  <fonts count="238">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sz val="8"/>
      <name val="Arial"/>
      <family val="2"/>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sz val="10"/>
      <name val="Arial"/>
      <family val="2"/>
    </font>
    <font>
      <b/>
      <u/>
      <sz val="14"/>
      <color indexed="10"/>
      <name val="Arial MT"/>
    </font>
    <font>
      <b/>
      <sz val="10"/>
      <color indexed="18"/>
      <name val="Arial"/>
      <family val="2"/>
    </font>
    <font>
      <b/>
      <i/>
      <sz val="10"/>
      <color indexed="18"/>
      <name val="Arial"/>
      <family val="2"/>
    </font>
    <font>
      <sz val="10"/>
      <color indexed="30"/>
      <name val="Arial MT"/>
    </font>
    <font>
      <b/>
      <sz val="10"/>
      <color indexed="30"/>
      <name val="Arial MT"/>
    </font>
    <font>
      <b/>
      <sz val="12"/>
      <color indexed="30"/>
      <name val="Arial MT"/>
    </font>
    <font>
      <b/>
      <sz val="10"/>
      <color indexed="17"/>
      <name val="Arial"/>
      <family val="2"/>
    </font>
    <font>
      <b/>
      <sz val="10"/>
      <color indexed="30"/>
      <name val="Arial"/>
      <family val="2"/>
    </font>
    <font>
      <sz val="18"/>
      <name val="Arial MT"/>
    </font>
    <font>
      <b/>
      <sz val="18"/>
      <color indexed="10"/>
      <name val="Arial MT"/>
    </font>
    <font>
      <b/>
      <sz val="18"/>
      <color indexed="30"/>
      <name val="Arial MT"/>
    </font>
    <font>
      <b/>
      <sz val="18"/>
      <color indexed="12"/>
      <name val="Arial MT"/>
    </font>
    <font>
      <b/>
      <sz val="14"/>
      <name val="Arial MT"/>
    </font>
    <font>
      <sz val="10"/>
      <color indexed="17"/>
      <name val="Arial MT"/>
    </font>
    <font>
      <b/>
      <sz val="18"/>
      <color indexed="17"/>
      <name val="Arial MT"/>
    </font>
    <font>
      <b/>
      <sz val="18"/>
      <color indexed="20"/>
      <name val="Arial MT"/>
    </font>
    <font>
      <b/>
      <sz val="10"/>
      <color indexed="20"/>
      <name val="Arial"/>
      <family val="2"/>
    </font>
    <font>
      <b/>
      <sz val="12"/>
      <color indexed="20"/>
      <name val="Arial MT"/>
    </font>
    <font>
      <b/>
      <sz val="10"/>
      <color indexed="21"/>
      <name val="Arial MT"/>
    </font>
    <font>
      <sz val="10"/>
      <color indexed="21"/>
      <name val="Arial MT"/>
    </font>
    <font>
      <b/>
      <sz val="18"/>
      <color indexed="21"/>
      <name val="Arial MT"/>
    </font>
    <font>
      <b/>
      <sz val="10"/>
      <color indexed="21"/>
      <name val="Arial"/>
      <family val="2"/>
    </font>
    <font>
      <b/>
      <sz val="12"/>
      <color indexed="21"/>
      <name val="Arial MT"/>
    </font>
    <font>
      <b/>
      <sz val="18"/>
      <color indexed="18"/>
      <name val="Arial MT"/>
    </font>
    <font>
      <b/>
      <sz val="18"/>
      <color indexed="60"/>
      <name val="Arial MT"/>
    </font>
    <font>
      <b/>
      <sz val="10"/>
      <color indexed="58"/>
      <name val="Arial MT"/>
    </font>
    <font>
      <b/>
      <sz val="18"/>
      <color indexed="58"/>
      <name val="Arial MT"/>
    </font>
    <font>
      <b/>
      <sz val="10"/>
      <color indexed="60"/>
      <name val="Arial"/>
      <family val="2"/>
    </font>
    <font>
      <b/>
      <sz val="10"/>
      <color indexed="58"/>
      <name val="Arial"/>
      <family val="2"/>
    </font>
    <font>
      <b/>
      <sz val="10"/>
      <color indexed="56"/>
      <name val="Arial MT"/>
    </font>
    <font>
      <sz val="11"/>
      <name val="Calibri"/>
      <family val="2"/>
    </font>
    <font>
      <b/>
      <sz val="12"/>
      <color indexed="60"/>
      <name val="Arial MT"/>
    </font>
    <font>
      <b/>
      <sz val="12"/>
      <color indexed="18"/>
      <name val="Arial MT"/>
    </font>
    <font>
      <sz val="14"/>
      <color indexed="10"/>
      <name val="Arial MT"/>
    </font>
    <font>
      <b/>
      <sz val="12"/>
      <name val="Arial MT"/>
    </font>
    <font>
      <b/>
      <sz val="10"/>
      <color indexed="59"/>
      <name val="Arial MT"/>
    </font>
    <font>
      <b/>
      <sz val="18"/>
      <color indexed="59"/>
      <name val="Arial MT"/>
    </font>
    <font>
      <b/>
      <sz val="14"/>
      <color indexed="30"/>
      <name val="Arial MT"/>
    </font>
    <font>
      <b/>
      <sz val="14"/>
      <color indexed="17"/>
      <name val="Arial MT"/>
    </font>
    <font>
      <b/>
      <sz val="14"/>
      <color indexed="20"/>
      <name val="Arial MT"/>
    </font>
    <font>
      <b/>
      <sz val="14"/>
      <color indexed="21"/>
      <name val="Arial MT"/>
    </font>
    <font>
      <b/>
      <sz val="14"/>
      <color indexed="18"/>
      <name val="Arial MT"/>
    </font>
    <font>
      <b/>
      <sz val="14"/>
      <color indexed="60"/>
      <name val="Arial MT"/>
    </font>
    <font>
      <b/>
      <sz val="14"/>
      <color indexed="59"/>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4"/>
      <color indexed="12"/>
      <name val="Arial MT"/>
    </font>
    <font>
      <b/>
      <sz val="10"/>
      <color indexed="10"/>
      <name val="Arial MT"/>
    </font>
    <font>
      <sz val="10"/>
      <color indexed="8"/>
      <name val="Arial MT"/>
    </font>
    <font>
      <b/>
      <sz val="10"/>
      <color indexed="10"/>
      <name val="Arial"/>
      <family val="2"/>
    </font>
    <font>
      <b/>
      <sz val="12"/>
      <color indexed="12"/>
      <name val="Arial MT"/>
    </font>
    <font>
      <sz val="13.5"/>
      <name val="High Tower Text"/>
      <family val="1"/>
    </font>
    <font>
      <b/>
      <sz val="10"/>
      <color indexed="14"/>
      <name val="Arial MT"/>
    </font>
    <font>
      <sz val="10"/>
      <color indexed="14"/>
      <name val="Arial MT"/>
    </font>
    <font>
      <b/>
      <sz val="10"/>
      <color indexed="36"/>
      <name val="Arial MT"/>
    </font>
    <font>
      <b/>
      <sz val="12"/>
      <color indexed="36"/>
      <name val="Arial MT"/>
    </font>
    <font>
      <b/>
      <sz val="14"/>
      <color indexed="36"/>
      <name val="Arial MT"/>
    </font>
    <font>
      <b/>
      <i/>
      <sz val="12"/>
      <name val="Arial MT"/>
    </font>
    <font>
      <sz val="12"/>
      <color indexed="30"/>
      <name val="Arial MT"/>
    </font>
    <font>
      <b/>
      <sz val="12"/>
      <color indexed="44"/>
      <name val="Arial MT"/>
    </font>
    <font>
      <sz val="12"/>
      <color indexed="10"/>
      <name val="Arial MT"/>
    </font>
    <font>
      <sz val="12"/>
      <color indexed="21"/>
      <name val="Arial MT"/>
    </font>
    <font>
      <sz val="14"/>
      <color indexed="30"/>
      <name val="Arial MT"/>
    </font>
    <font>
      <sz val="12"/>
      <color indexed="56"/>
      <name val="Arial MT"/>
    </font>
    <font>
      <sz val="16"/>
      <name val="High Tower Text"/>
      <family val="1"/>
    </font>
    <font>
      <sz val="12"/>
      <color indexed="12"/>
      <name val="Arial MT"/>
    </font>
    <font>
      <sz val="10"/>
      <name val="Calibri"/>
      <family val="2"/>
    </font>
    <font>
      <sz val="12"/>
      <name val="Arial"/>
      <family val="2"/>
    </font>
    <font>
      <sz val="9"/>
      <color indexed="81"/>
      <name val="Tahoma"/>
      <family val="2"/>
    </font>
    <font>
      <b/>
      <sz val="9"/>
      <color indexed="81"/>
      <name val="Tahoma"/>
      <family val="2"/>
    </font>
    <font>
      <sz val="12"/>
      <color indexed="8"/>
      <name val="Times New Roman"/>
      <family val="1"/>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0"/>
      <color indexed="12"/>
      <name val="Arial MT"/>
    </font>
    <font>
      <b/>
      <sz val="12"/>
      <color indexed="12"/>
      <name val="Arial MT"/>
    </font>
    <font>
      <b/>
      <sz val="12"/>
      <color indexed="10"/>
      <name val="Arial MT"/>
    </font>
    <font>
      <u/>
      <sz val="12"/>
      <color indexed="10"/>
      <name val="Arial MT"/>
    </font>
    <font>
      <sz val="14"/>
      <color indexed="30"/>
      <name val="Arial MT"/>
    </font>
    <font>
      <b/>
      <sz val="12"/>
      <color indexed="56"/>
      <name val="Arial MT"/>
    </font>
    <font>
      <b/>
      <sz val="12"/>
      <color indexed="60"/>
      <name val="Arial MT"/>
    </font>
    <font>
      <b/>
      <sz val="12"/>
      <color indexed="17"/>
      <name val="Arial MT"/>
    </font>
    <font>
      <b/>
      <sz val="12"/>
      <color indexed="62"/>
      <name val="Arial MT"/>
    </font>
    <font>
      <b/>
      <sz val="12"/>
      <color indexed="30"/>
      <name val="Arial MT"/>
    </font>
    <font>
      <b/>
      <sz val="12"/>
      <color indexed="12"/>
      <name val="Arial MT"/>
    </font>
    <font>
      <b/>
      <sz val="10"/>
      <color indexed="12"/>
      <name val="Arial MT"/>
    </font>
    <font>
      <b/>
      <sz val="14"/>
      <color indexed="17"/>
      <name val="Arial MT"/>
    </font>
    <font>
      <b/>
      <sz val="12"/>
      <color indexed="10"/>
      <name val="Arial MT"/>
    </font>
    <font>
      <b/>
      <sz val="12"/>
      <color indexed="49"/>
      <name val="Arial MT"/>
    </font>
    <font>
      <b/>
      <sz val="12"/>
      <color indexed="60"/>
      <name val="Arial MT"/>
    </font>
    <font>
      <b/>
      <sz val="10"/>
      <color indexed="60"/>
      <name val="Arial MT"/>
    </font>
    <font>
      <b/>
      <sz val="10"/>
      <color indexed="60"/>
      <name val="Arial MT"/>
    </font>
    <font>
      <b/>
      <sz val="12"/>
      <color indexed="60"/>
      <name val="Arial MT"/>
    </font>
    <font>
      <b/>
      <sz val="14"/>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4"/>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b/>
      <sz val="11"/>
      <color indexed="8"/>
      <name val="Arial MT"/>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sz val="12"/>
      <color indexed="8"/>
      <name val="Arial"/>
      <family val="2"/>
    </font>
    <font>
      <b/>
      <sz val="14"/>
      <color indexed="62"/>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4"/>
      <color indexed="8"/>
      <name val="Calibri"/>
      <family val="2"/>
    </font>
    <font>
      <b/>
      <sz val="10"/>
      <color indexed="10"/>
      <name val="Arial"/>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4"/>
      <color indexed="20"/>
      <name val="Arial MT"/>
    </font>
    <font>
      <b/>
      <sz val="10"/>
      <color indexed="56"/>
      <name val="Arial MT"/>
    </font>
    <font>
      <b/>
      <sz val="12"/>
      <color indexed="56"/>
      <name val="Arial MT"/>
    </font>
    <font>
      <b/>
      <sz val="14"/>
      <color indexed="17"/>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2"/>
      <color indexed="60"/>
      <name val="Arial MT"/>
    </font>
    <font>
      <b/>
      <sz val="11"/>
      <color theme="0"/>
      <name val="Calibri"/>
      <family val="2"/>
      <scheme val="minor"/>
    </font>
    <font>
      <sz val="12"/>
      <color rgb="FFFF0000"/>
      <name val="Arial MT"/>
    </font>
    <font>
      <b/>
      <sz val="10"/>
      <color rgb="FF7030A0"/>
      <name val="Arial MT"/>
    </font>
    <font>
      <b/>
      <sz val="12"/>
      <color rgb="FF7030A0"/>
      <name val="Arial MT"/>
    </font>
    <font>
      <b/>
      <sz val="18"/>
      <color rgb="FF7030A0"/>
      <name val="Arial MT"/>
    </font>
    <font>
      <b/>
      <sz val="14"/>
      <color rgb="FF7030A0"/>
      <name val="Arial MT"/>
    </font>
    <font>
      <b/>
      <sz val="10"/>
      <color rgb="FF993300"/>
      <name val="Arial MT"/>
    </font>
    <font>
      <b/>
      <sz val="12"/>
      <color rgb="FFFF0000"/>
      <name val="Arial MT"/>
    </font>
    <font>
      <b/>
      <sz val="12"/>
      <color rgb="FF993300"/>
      <name val="Arial MT"/>
    </font>
    <font>
      <b/>
      <sz val="12"/>
      <color rgb="FF008000"/>
      <name val="Arial MT"/>
    </font>
    <font>
      <b/>
      <sz val="10"/>
      <color rgb="FFFF0000"/>
      <name val="Arial MT"/>
    </font>
    <font>
      <b/>
      <sz val="10"/>
      <color rgb="FF0000FF"/>
      <name val="Arial MT"/>
    </font>
    <font>
      <u/>
      <sz val="12"/>
      <color rgb="FFFF0000"/>
      <name val="Arial MT"/>
    </font>
    <font>
      <b/>
      <sz val="10"/>
      <color rgb="FF800080"/>
      <name val="Arial MT"/>
    </font>
    <font>
      <b/>
      <u/>
      <sz val="14"/>
      <name val="Arial MT"/>
    </font>
    <font>
      <b/>
      <u/>
      <sz val="14"/>
      <color indexed="8"/>
      <name val="Arial MT"/>
    </font>
    <font>
      <b/>
      <sz val="14"/>
      <color rgb="FFFF0000"/>
      <name val="Arial MT"/>
    </font>
  </fonts>
  <fills count="51">
    <fill>
      <patternFill patternType="none"/>
    </fill>
    <fill>
      <patternFill patternType="gray125"/>
    </fill>
    <fill>
      <patternFill patternType="solid">
        <fgColor indexed="9"/>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46"/>
        <bgColor indexed="64"/>
      </patternFill>
    </fill>
    <fill>
      <patternFill patternType="solid">
        <fgColor indexed="26"/>
        <bgColor indexed="64"/>
      </patternFill>
    </fill>
    <fill>
      <patternFill patternType="solid">
        <fgColor indexed="29"/>
        <bgColor indexed="64"/>
      </patternFill>
    </fill>
    <fill>
      <patternFill patternType="solid">
        <fgColor indexed="17"/>
        <bgColor indexed="64"/>
      </patternFill>
    </fill>
    <fill>
      <patternFill patternType="solid">
        <fgColor indexed="10"/>
        <bgColor indexed="64"/>
      </patternFill>
    </fill>
    <fill>
      <patternFill patternType="solid">
        <fgColor indexed="34"/>
        <bgColor indexed="64"/>
      </patternFill>
    </fill>
    <fill>
      <patternFill patternType="solid">
        <fgColor indexed="30"/>
        <bgColor indexed="64"/>
      </patternFill>
    </fill>
    <fill>
      <patternFill patternType="solid">
        <fgColor indexed="44"/>
        <bgColor indexed="64"/>
      </patternFill>
    </fill>
    <fill>
      <patternFill patternType="solid">
        <fgColor indexed="20"/>
        <bgColor indexed="64"/>
      </patternFill>
    </fill>
    <fill>
      <patternFill patternType="solid">
        <fgColor indexed="41"/>
        <bgColor indexed="64"/>
      </patternFill>
    </fill>
    <fill>
      <patternFill patternType="solid">
        <fgColor indexed="51"/>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49"/>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53"/>
        <bgColor indexed="64"/>
      </patternFill>
    </fill>
    <fill>
      <patternFill patternType="solid">
        <fgColor indexed="26"/>
        <bgColor indexed="9"/>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CC99FF"/>
        <bgColor indexed="64"/>
      </patternFill>
    </fill>
    <fill>
      <patternFill patternType="solid">
        <fgColor theme="6" tint="0.59996337778862885"/>
        <bgColor indexed="64"/>
      </patternFill>
    </fill>
    <fill>
      <patternFill patternType="solid">
        <fgColor theme="7" tint="0.59996337778862885"/>
        <bgColor indexed="64"/>
      </patternFill>
    </fill>
  </fills>
  <borders count="147">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style="thin">
        <color indexed="64"/>
      </right>
      <top style="thin">
        <color indexed="8"/>
      </top>
      <bottom style="thin">
        <color indexed="8"/>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double">
        <color indexed="10"/>
      </left>
      <right style="double">
        <color indexed="10"/>
      </right>
      <top/>
      <bottom/>
      <diagonal/>
    </border>
    <border>
      <left style="double">
        <color indexed="64"/>
      </left>
      <right style="double">
        <color indexed="64"/>
      </right>
      <top/>
      <bottom/>
      <diagonal/>
    </border>
    <border>
      <left style="double">
        <color indexed="10"/>
      </left>
      <right style="double">
        <color indexed="10"/>
      </right>
      <top/>
      <bottom style="medium">
        <color indexed="10"/>
      </bottom>
      <diagonal/>
    </border>
    <border>
      <left style="double">
        <color indexed="10"/>
      </left>
      <right style="double">
        <color indexed="10"/>
      </right>
      <top/>
      <bottom style="double">
        <color indexed="10"/>
      </bottom>
      <diagonal/>
    </border>
    <border>
      <left/>
      <right style="double">
        <color indexed="64"/>
      </right>
      <top style="thin">
        <color indexed="64"/>
      </top>
      <bottom style="thin">
        <color indexed="64"/>
      </bottom>
      <diagonal/>
    </border>
    <border>
      <left style="medium">
        <color indexed="44"/>
      </left>
      <right style="medium">
        <color indexed="8"/>
      </right>
      <top style="medium">
        <color indexed="44"/>
      </top>
      <bottom style="medium">
        <color indexed="44"/>
      </bottom>
      <diagonal/>
    </border>
    <border>
      <left style="medium">
        <color indexed="44"/>
      </left>
      <right style="medium">
        <color indexed="8"/>
      </right>
      <top style="medium">
        <color indexed="44"/>
      </top>
      <bottom style="medium">
        <color indexed="63"/>
      </bottom>
      <diagonal/>
    </border>
    <border>
      <left style="medium">
        <color indexed="44"/>
      </left>
      <right style="medium">
        <color indexed="44"/>
      </right>
      <top style="medium">
        <color indexed="44"/>
      </top>
      <bottom style="medium">
        <color indexed="44"/>
      </bottom>
      <diagonal/>
    </border>
    <border>
      <left style="medium">
        <color indexed="44"/>
      </left>
      <right style="medium">
        <color indexed="44"/>
      </right>
      <top style="medium">
        <color indexed="44"/>
      </top>
      <bottom style="medium">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ck">
        <color indexed="64"/>
      </right>
      <top style="thin">
        <color indexed="64"/>
      </top>
      <bottom/>
      <diagonal/>
    </border>
  </borders>
  <cellStyleXfs count="5">
    <xf numFmtId="0" fontId="0" fillId="2" borderId="0"/>
    <xf numFmtId="0" fontId="221" fillId="34" borderId="129"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cellStyleXfs>
  <cellXfs count="4654">
    <xf numFmtId="0" fontId="0" fillId="2" borderId="0" xfId="0" applyNumberFormat="1"/>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NumberFormat="1"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37" fontId="0" fillId="2" borderId="2" xfId="0" applyNumberFormat="1" applyBorder="1" applyProtection="1">
      <protection locked="0"/>
    </xf>
    <xf numFmtId="164" fontId="0" fillId="2" borderId="2" xfId="0" applyNumberFormat="1" applyBorder="1" applyProtection="1">
      <protection locked="0"/>
    </xf>
    <xf numFmtId="37" fontId="0" fillId="2" borderId="2" xfId="0" applyNumberFormat="1" applyBorder="1"/>
    <xf numFmtId="0" fontId="0" fillId="2" borderId="3" xfId="0" applyNumberFormat="1" applyBorder="1"/>
    <xf numFmtId="0" fontId="0" fillId="2" borderId="4" xfId="0" applyNumberFormat="1" applyBorder="1"/>
    <xf numFmtId="0" fontId="0" fillId="2" borderId="5" xfId="0" applyNumberFormat="1" applyBorder="1" applyProtection="1">
      <protection locked="0"/>
    </xf>
    <xf numFmtId="0" fontId="0" fillId="2" borderId="5" xfId="0" applyNumberFormat="1" applyBorder="1"/>
    <xf numFmtId="0" fontId="0" fillId="2" borderId="0" xfId="0" applyNumberFormat="1" applyAlignment="1" applyProtection="1">
      <alignment horizontal="left"/>
      <protection locked="0"/>
    </xf>
    <xf numFmtId="15" fontId="0" fillId="2" borderId="0" xfId="0" applyNumberFormat="1" applyAlignment="1">
      <alignment horizontal="left"/>
    </xf>
    <xf numFmtId="0" fontId="1" fillId="2" borderId="0" xfId="0" applyNumberFormat="1"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8" fontId="1" fillId="2" borderId="0" xfId="0" applyNumberFormat="1" applyFont="1"/>
    <xf numFmtId="0" fontId="1" fillId="2" borderId="0" xfId="0" applyNumberFormat="1" applyFont="1"/>
    <xf numFmtId="0" fontId="1" fillId="2" borderId="6" xfId="0" applyNumberFormat="1" applyFont="1" applyBorder="1"/>
    <xf numFmtId="0" fontId="1" fillId="2" borderId="0" xfId="0" applyNumberFormat="1" applyFont="1" applyAlignment="1">
      <alignment horizontal="left"/>
    </xf>
    <xf numFmtId="0" fontId="0" fillId="2" borderId="7" xfId="0" applyNumberFormat="1" applyBorder="1"/>
    <xf numFmtId="0" fontId="1" fillId="2" borderId="3" xfId="0" applyNumberFormat="1" applyFont="1" applyBorder="1"/>
    <xf numFmtId="0" fontId="1" fillId="2" borderId="0" xfId="0" applyNumberFormat="1" applyFont="1" applyAlignment="1">
      <alignment horizontal="center"/>
    </xf>
    <xf numFmtId="37" fontId="1" fillId="2" borderId="5" xfId="0" applyNumberFormat="1" applyFont="1" applyBorder="1"/>
    <xf numFmtId="37" fontId="1" fillId="4" borderId="0" xfId="0" applyNumberFormat="1" applyFont="1" applyFill="1"/>
    <xf numFmtId="0" fontId="1" fillId="2" borderId="4" xfId="0" applyNumberFormat="1" applyFont="1" applyBorder="1"/>
    <xf numFmtId="37" fontId="1" fillId="2" borderId="0" xfId="0" applyNumberFormat="1" applyFont="1" applyBorder="1"/>
    <xf numFmtId="37" fontId="0" fillId="2" borderId="0" xfId="0" applyNumberFormat="1" applyBorder="1" applyProtection="1">
      <protection locked="0"/>
    </xf>
    <xf numFmtId="0" fontId="1" fillId="2" borderId="0" xfId="0" applyNumberFormat="1" applyFont="1" applyBorder="1"/>
    <xf numFmtId="0" fontId="0" fillId="2" borderId="0" xfId="0" applyNumberForma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NumberFormat="1" applyFont="1"/>
    <xf numFmtId="0" fontId="3" fillId="2" borderId="0" xfId="0" applyNumberFormat="1" applyFont="1" applyAlignment="1" applyProtection="1">
      <alignment horizontal="center"/>
      <protection locked="0"/>
    </xf>
    <xf numFmtId="0" fontId="0" fillId="2" borderId="0" xfId="0" applyNumberFormat="1" applyAlignment="1">
      <alignment horizontal="left"/>
    </xf>
    <xf numFmtId="0" fontId="3" fillId="2" borderId="0" xfId="0" applyNumberFormat="1" applyFont="1" applyAlignment="1">
      <alignment horizontal="left"/>
    </xf>
    <xf numFmtId="0" fontId="3" fillId="2" borderId="6" xfId="0" applyNumberFormat="1" applyFont="1" applyBorder="1" applyAlignment="1">
      <alignment horizontal="left"/>
    </xf>
    <xf numFmtId="37" fontId="0" fillId="2" borderId="0" xfId="0" applyNumberFormat="1" applyBorder="1"/>
    <xf numFmtId="171" fontId="0" fillId="2" borderId="2" xfId="0" applyNumberFormat="1" applyBorder="1"/>
    <xf numFmtId="171" fontId="0" fillId="2" borderId="0" xfId="0" applyNumberFormat="1"/>
    <xf numFmtId="0" fontId="3" fillId="2" borderId="2" xfId="0" applyNumberFormat="1" applyFont="1" applyBorder="1"/>
    <xf numFmtId="0" fontId="4" fillId="2" borderId="0" xfId="0" applyNumberFormat="1" applyFont="1"/>
    <xf numFmtId="0" fontId="5" fillId="2" borderId="0" xfId="0" quotePrefix="1" applyNumberFormat="1" applyFont="1"/>
    <xf numFmtId="0" fontId="0" fillId="2" borderId="0" xfId="0" applyNumberFormat="1" applyAlignment="1">
      <alignment horizontal="right"/>
    </xf>
    <xf numFmtId="0" fontId="0" fillId="2" borderId="8" xfId="0" applyNumberFormat="1" applyBorder="1"/>
    <xf numFmtId="0" fontId="0" fillId="2" borderId="8" xfId="0" applyNumberFormat="1" applyBorder="1" applyAlignment="1">
      <alignment horizontal="right"/>
    </xf>
    <xf numFmtId="0" fontId="5" fillId="2" borderId="8" xfId="0" quotePrefix="1" applyNumberFormat="1" applyFont="1" applyBorder="1"/>
    <xf numFmtId="0" fontId="0" fillId="2" borderId="0" xfId="0" quotePrefix="1" applyNumberFormat="1" applyAlignment="1">
      <alignment horizontal="left"/>
    </xf>
    <xf numFmtId="37" fontId="0" fillId="2" borderId="9" xfId="0" applyNumberFormat="1" applyBorder="1"/>
    <xf numFmtId="172" fontId="0" fillId="2" borderId="9" xfId="0" applyNumberFormat="1" applyBorder="1"/>
    <xf numFmtId="0" fontId="0" fillId="2" borderId="10" xfId="0" applyNumberFormat="1" applyBorder="1"/>
    <xf numFmtId="0" fontId="0" fillId="2" borderId="11" xfId="0" applyNumberFormat="1" applyBorder="1"/>
    <xf numFmtId="0" fontId="0" fillId="2" borderId="12" xfId="0" applyNumberFormat="1" applyBorder="1"/>
    <xf numFmtId="37" fontId="1" fillId="2" borderId="0" xfId="0" applyNumberFormat="1" applyFont="1" applyBorder="1" applyAlignment="1">
      <alignment horizontal="right"/>
    </xf>
    <xf numFmtId="0" fontId="0" fillId="2" borderId="0" xfId="0" quotePrefix="1" applyNumberFormat="1"/>
    <xf numFmtId="171" fontId="0" fillId="2" borderId="0" xfId="0" applyNumberFormat="1" applyBorder="1"/>
    <xf numFmtId="0" fontId="4" fillId="2" borderId="0" xfId="0" quotePrefix="1" applyNumberFormat="1" applyFont="1"/>
    <xf numFmtId="37" fontId="0" fillId="2" borderId="13" xfId="0" applyNumberFormat="1" applyBorder="1"/>
    <xf numFmtId="0" fontId="0" fillId="2" borderId="0" xfId="0" applyNumberFormat="1" applyProtection="1">
      <protection hidden="1"/>
    </xf>
    <xf numFmtId="37" fontId="4" fillId="2" borderId="2" xfId="0" applyNumberFormat="1" applyFont="1" applyBorder="1"/>
    <xf numFmtId="37" fontId="1" fillId="2" borderId="13" xfId="0" applyNumberFormat="1" applyFont="1" applyBorder="1" applyAlignment="1">
      <alignment horizontal="right"/>
    </xf>
    <xf numFmtId="0" fontId="6" fillId="2" borderId="0" xfId="0" applyNumberFormat="1" applyFont="1"/>
    <xf numFmtId="0" fontId="1" fillId="2" borderId="11" xfId="0" quotePrefix="1" applyNumberFormat="1" applyFont="1" applyBorder="1"/>
    <xf numFmtId="0" fontId="6" fillId="2" borderId="0" xfId="0" quotePrefix="1" applyNumberFormat="1" applyFont="1" applyAlignment="1">
      <alignment horizontal="left"/>
    </xf>
    <xf numFmtId="37" fontId="0" fillId="2" borderId="0" xfId="0" applyNumberFormat="1" applyProtection="1">
      <protection hidden="1"/>
    </xf>
    <xf numFmtId="0" fontId="4" fillId="2" borderId="0" xfId="0" applyNumberFormat="1" applyFont="1" applyBorder="1"/>
    <xf numFmtId="0" fontId="0" fillId="2" borderId="0" xfId="0" applyNumberFormat="1" applyAlignment="1">
      <alignment horizontal="center"/>
    </xf>
    <xf numFmtId="14" fontId="0" fillId="2" borderId="5" xfId="0" quotePrefix="1" applyNumberFormat="1" applyBorder="1" applyAlignment="1" applyProtection="1">
      <alignment horizontal="left"/>
      <protection locked="0"/>
    </xf>
    <xf numFmtId="0" fontId="4" fillId="2" borderId="0" xfId="0" applyNumberFormat="1" applyFont="1" applyBorder="1" applyAlignment="1">
      <alignment horizontal="center"/>
    </xf>
    <xf numFmtId="0" fontId="4" fillId="2" borderId="9" xfId="0" applyNumberFormat="1" applyFont="1" applyBorder="1" applyAlignment="1">
      <alignment horizontal="center"/>
    </xf>
    <xf numFmtId="0" fontId="6" fillId="2" borderId="0" xfId="0" quotePrefix="1" applyNumberFormat="1" applyFont="1"/>
    <xf numFmtId="0" fontId="3" fillId="2" borderId="10" xfId="0" applyNumberFormat="1" applyFont="1" applyBorder="1" applyAlignment="1">
      <alignment horizontal="left"/>
    </xf>
    <xf numFmtId="37" fontId="7" fillId="2" borderId="9" xfId="0" applyNumberFormat="1" applyFont="1" applyBorder="1" applyAlignment="1" applyProtection="1">
      <alignment horizontal="right"/>
      <protection locked="0"/>
    </xf>
    <xf numFmtId="37" fontId="7" fillId="2" borderId="9" xfId="0" applyNumberFormat="1" applyFont="1" applyBorder="1" applyAlignment="1" applyProtection="1"/>
    <xf numFmtId="164" fontId="0" fillId="2" borderId="2" xfId="0" applyNumberFormat="1" applyBorder="1" applyProtection="1"/>
    <xf numFmtId="37" fontId="7" fillId="2" borderId="0" xfId="0" applyNumberFormat="1" applyFont="1" applyBorder="1" applyAlignment="1" applyProtection="1"/>
    <xf numFmtId="14" fontId="4" fillId="2" borderId="0" xfId="0" applyNumberFormat="1" applyFont="1" applyAlignment="1">
      <alignment horizontal="right"/>
    </xf>
    <xf numFmtId="0" fontId="1" fillId="2" borderId="0" xfId="0" applyNumberFormat="1" applyFont="1" applyAlignment="1">
      <alignment horizontal="right"/>
    </xf>
    <xf numFmtId="0" fontId="0" fillId="2" borderId="5" xfId="0" applyNumberFormat="1" applyBorder="1" applyAlignment="1" applyProtection="1">
      <alignment horizontal="left"/>
      <protection locked="0"/>
    </xf>
    <xf numFmtId="174" fontId="0" fillId="2" borderId="5" xfId="0" quotePrefix="1" applyNumberFormat="1" applyBorder="1" applyAlignment="1" applyProtection="1">
      <alignment horizontal="left"/>
      <protection locked="0"/>
    </xf>
    <xf numFmtId="174"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NumberFormat="1" applyFont="1" applyAlignment="1">
      <alignment horizontal="left"/>
    </xf>
    <xf numFmtId="37" fontId="4" fillId="2" borderId="0" xfId="0" applyNumberFormat="1" applyFont="1"/>
    <xf numFmtId="0" fontId="0" fillId="2" borderId="14" xfId="0" applyNumberFormat="1" applyBorder="1"/>
    <xf numFmtId="0" fontId="7" fillId="2" borderId="0" xfId="0" applyNumberFormat="1" applyFont="1"/>
    <xf numFmtId="171" fontId="0" fillId="2" borderId="9" xfId="0" applyNumberFormat="1" applyBorder="1"/>
    <xf numFmtId="0" fontId="9" fillId="5" borderId="0" xfId="0" applyNumberFormat="1" applyFont="1" applyFill="1"/>
    <xf numFmtId="0" fontId="9" fillId="5" borderId="0" xfId="0" applyNumberFormat="1" applyFont="1" applyFill="1" applyAlignment="1">
      <alignment horizontal="left"/>
    </xf>
    <xf numFmtId="0" fontId="10" fillId="2" borderId="0" xfId="0" quotePrefix="1" applyNumberFormat="1" applyFont="1" applyProtection="1"/>
    <xf numFmtId="0" fontId="9" fillId="2" borderId="0" xfId="0" applyNumberFormat="1" applyFont="1"/>
    <xf numFmtId="0" fontId="4" fillId="2" borderId="0" xfId="0" applyNumberFormat="1" applyFont="1" applyAlignment="1">
      <alignment horizontal="right"/>
    </xf>
    <xf numFmtId="0" fontId="11" fillId="2" borderId="0" xfId="0" applyNumberFormat="1" applyFont="1"/>
    <xf numFmtId="0" fontId="9" fillId="2" borderId="15" xfId="0" applyNumberFormat="1" applyFont="1" applyBorder="1"/>
    <xf numFmtId="0" fontId="9" fillId="2" borderId="0" xfId="0" applyNumberFormat="1" applyFont="1" applyBorder="1"/>
    <xf numFmtId="0" fontId="9" fillId="2" borderId="16" xfId="0" applyNumberFormat="1" applyFont="1" applyBorder="1"/>
    <xf numFmtId="0" fontId="9" fillId="2" borderId="13" xfId="0" applyNumberFormat="1" applyFont="1" applyBorder="1"/>
    <xf numFmtId="0" fontId="12" fillId="2" borderId="0" xfId="0" quotePrefix="1" applyNumberFormat="1" applyFont="1" applyAlignment="1">
      <alignment horizontal="left"/>
    </xf>
    <xf numFmtId="0" fontId="11" fillId="5" borderId="0" xfId="0" applyNumberFormat="1" applyFont="1" applyFill="1" applyAlignment="1">
      <alignment horizontal="left"/>
    </xf>
    <xf numFmtId="0" fontId="14" fillId="2" borderId="17" xfId="0" applyNumberFormat="1" applyFont="1" applyBorder="1"/>
    <xf numFmtId="0" fontId="15" fillId="2" borderId="18" xfId="0" applyNumberFormat="1" applyFont="1" applyBorder="1"/>
    <xf numFmtId="0" fontId="15" fillId="2" borderId="19" xfId="0" applyNumberFormat="1" applyFont="1" applyBorder="1"/>
    <xf numFmtId="0" fontId="9" fillId="2" borderId="0" xfId="0" quotePrefix="1" applyNumberFormat="1" applyFont="1"/>
    <xf numFmtId="39" fontId="0" fillId="2" borderId="0" xfId="0" applyNumberFormat="1"/>
    <xf numFmtId="0" fontId="13" fillId="2" borderId="0" xfId="0" applyNumberFormat="1" applyFont="1"/>
    <xf numFmtId="0" fontId="9" fillId="2" borderId="10" xfId="0" applyNumberFormat="1" applyFont="1" applyBorder="1"/>
    <xf numFmtId="0" fontId="17" fillId="2" borderId="11" xfId="0" applyNumberFormat="1" applyFont="1" applyBorder="1"/>
    <xf numFmtId="0" fontId="0" fillId="2" borderId="0" xfId="0"/>
    <xf numFmtId="0" fontId="11" fillId="2" borderId="0" xfId="0" applyNumberFormat="1" applyFont="1" applyAlignment="1">
      <alignment horizontal="center"/>
    </xf>
    <xf numFmtId="37" fontId="11" fillId="2" borderId="0" xfId="0" applyNumberFormat="1" applyFont="1"/>
    <xf numFmtId="0" fontId="4" fillId="2" borderId="0" xfId="0" quotePrefix="1" applyNumberFormat="1" applyFont="1" applyAlignment="1">
      <alignment horizontal="center"/>
    </xf>
    <xf numFmtId="0" fontId="0" fillId="2" borderId="20" xfId="0" applyNumberFormat="1" applyBorder="1"/>
    <xf numFmtId="0" fontId="0" fillId="2" borderId="13" xfId="0" applyNumberFormat="1" applyBorder="1"/>
    <xf numFmtId="0" fontId="0" fillId="2" borderId="0" xfId="0" applyAlignment="1">
      <alignment horizontal="center"/>
    </xf>
    <xf numFmtId="38" fontId="0" fillId="2" borderId="0" xfId="0" applyNumberFormat="1"/>
    <xf numFmtId="0" fontId="8" fillId="0" borderId="1" xfId="0" applyFont="1" applyFill="1" applyBorder="1" applyAlignment="1">
      <alignment wrapText="1"/>
    </xf>
    <xf numFmtId="0" fontId="11" fillId="2" borderId="0" xfId="0" applyNumberFormat="1" applyFont="1" applyBorder="1"/>
    <xf numFmtId="170" fontId="0" fillId="2" borderId="0" xfId="0" applyNumberFormat="1"/>
    <xf numFmtId="177" fontId="0" fillId="2" borderId="0" xfId="0" applyNumberFormat="1"/>
    <xf numFmtId="0" fontId="0" fillId="2" borderId="15" xfId="0" applyNumberFormat="1" applyBorder="1"/>
    <xf numFmtId="0" fontId="3" fillId="2" borderId="6" xfId="0" applyNumberFormat="1" applyFont="1" applyBorder="1"/>
    <xf numFmtId="37" fontId="0" fillId="2" borderId="3" xfId="0" applyNumberFormat="1" applyBorder="1"/>
    <xf numFmtId="0" fontId="0" fillId="2" borderId="21" xfId="0" applyNumberFormat="1" applyBorder="1"/>
    <xf numFmtId="0" fontId="0" fillId="2" borderId="22" xfId="0" applyNumberFormat="1" applyBorder="1"/>
    <xf numFmtId="0" fontId="0" fillId="2" borderId="23" xfId="0" applyNumberFormat="1" applyBorder="1"/>
    <xf numFmtId="0" fontId="14" fillId="2" borderId="0" xfId="0" applyNumberFormat="1" applyFont="1"/>
    <xf numFmtId="0" fontId="0" fillId="2" borderId="16" xfId="0" applyNumberFormat="1" applyBorder="1"/>
    <xf numFmtId="3" fontId="0" fillId="2" borderId="0" xfId="0" applyNumberFormat="1"/>
    <xf numFmtId="179" fontId="0" fillId="2" borderId="0" xfId="0" applyNumberFormat="1"/>
    <xf numFmtId="0" fontId="11" fillId="2" borderId="15" xfId="0" applyNumberFormat="1" applyFont="1" applyBorder="1"/>
    <xf numFmtId="180" fontId="0" fillId="2" borderId="0" xfId="0" applyNumberFormat="1"/>
    <xf numFmtId="181" fontId="0" fillId="2" borderId="9" xfId="0" applyNumberFormat="1" applyBorder="1" applyProtection="1">
      <protection locked="0"/>
    </xf>
    <xf numFmtId="0" fontId="20" fillId="2" borderId="0" xfId="0" applyNumberFormat="1" applyFont="1"/>
    <xf numFmtId="0" fontId="22" fillId="2" borderId="0" xfId="0" applyNumberFormat="1" applyFont="1" applyBorder="1" applyAlignment="1">
      <alignment horizontal="right"/>
    </xf>
    <xf numFmtId="0" fontId="23" fillId="2" borderId="0" xfId="0" quotePrefix="1" applyNumberFormat="1" applyFont="1" applyBorder="1"/>
    <xf numFmtId="0" fontId="22" fillId="2" borderId="0" xfId="0" applyNumberFormat="1" applyFont="1" applyBorder="1"/>
    <xf numFmtId="0" fontId="24" fillId="2" borderId="0" xfId="0" applyNumberFormat="1" applyFont="1" applyBorder="1"/>
    <xf numFmtId="0" fontId="3" fillId="2" borderId="0" xfId="0" applyNumberFormat="1" applyFont="1" applyBorder="1"/>
    <xf numFmtId="0" fontId="0" fillId="2" borderId="0" xfId="0" applyNumberFormat="1" applyBorder="1" applyAlignment="1">
      <alignment horizontal="center"/>
    </xf>
    <xf numFmtId="0" fontId="21" fillId="2" borderId="24" xfId="0" applyNumberFormat="1" applyFont="1" applyBorder="1"/>
    <xf numFmtId="0" fontId="24" fillId="2" borderId="25" xfId="0" applyNumberFormat="1" applyFont="1" applyBorder="1"/>
    <xf numFmtId="0" fontId="21" fillId="2" borderId="26" xfId="0" applyNumberFormat="1" applyFont="1" applyBorder="1"/>
    <xf numFmtId="0" fontId="0" fillId="2" borderId="27" xfId="0" applyNumberFormat="1" applyBorder="1"/>
    <xf numFmtId="0" fontId="0" fillId="2" borderId="28" xfId="0" applyNumberFormat="1" applyBorder="1"/>
    <xf numFmtId="0" fontId="22" fillId="2" borderId="25" xfId="0" applyNumberFormat="1" applyFont="1" applyBorder="1" applyAlignment="1">
      <alignment horizontal="right"/>
    </xf>
    <xf numFmtId="0" fontId="23" fillId="2" borderId="25" xfId="0" quotePrefix="1" applyNumberFormat="1" applyFont="1" applyBorder="1"/>
    <xf numFmtId="0" fontId="22" fillId="2" borderId="25" xfId="0" applyNumberFormat="1" applyFont="1" applyBorder="1"/>
    <xf numFmtId="0" fontId="21" fillId="2" borderId="27" xfId="0" applyNumberFormat="1" applyFont="1" applyBorder="1"/>
    <xf numFmtId="0" fontId="22" fillId="2" borderId="28" xfId="0" applyNumberFormat="1" applyFont="1" applyBorder="1" applyAlignment="1">
      <alignment horizontal="right"/>
    </xf>
    <xf numFmtId="0" fontId="23" fillId="2" borderId="28" xfId="0" quotePrefix="1" applyNumberFormat="1" applyFont="1" applyBorder="1"/>
    <xf numFmtId="0" fontId="22" fillId="2" borderId="28" xfId="0" applyNumberFormat="1" applyFont="1" applyBorder="1"/>
    <xf numFmtId="0" fontId="0" fillId="5" borderId="0" xfId="0" applyNumberFormat="1" applyFill="1" applyBorder="1"/>
    <xf numFmtId="0" fontId="9" fillId="2" borderId="0" xfId="0" applyNumberFormat="1" applyFont="1" applyAlignment="1">
      <alignment horizontal="right"/>
    </xf>
    <xf numFmtId="0" fontId="0" fillId="6" borderId="0" xfId="0" applyNumberFormat="1" applyFill="1"/>
    <xf numFmtId="39" fontId="26" fillId="2" borderId="0" xfId="0" applyNumberFormat="1" applyFont="1"/>
    <xf numFmtId="167" fontId="26" fillId="2" borderId="0" xfId="0" applyNumberFormat="1" applyFont="1"/>
    <xf numFmtId="38" fontId="0" fillId="2" borderId="0" xfId="0" applyNumberFormat="1" applyBorder="1"/>
    <xf numFmtId="0" fontId="4" fillId="5" borderId="0" xfId="0" applyNumberFormat="1" applyFont="1" applyFill="1" applyBorder="1"/>
    <xf numFmtId="173" fontId="0" fillId="2" borderId="9" xfId="0" applyNumberFormat="1" applyBorder="1" applyAlignment="1" applyProtection="1">
      <alignment horizontal="center"/>
      <protection locked="0"/>
    </xf>
    <xf numFmtId="0" fontId="11" fillId="2" borderId="29" xfId="0" applyNumberFormat="1" applyFont="1" applyBorder="1"/>
    <xf numFmtId="0" fontId="11" fillId="2" borderId="16" xfId="0" applyNumberFormat="1" applyFont="1" applyBorder="1"/>
    <xf numFmtId="38" fontId="0" fillId="2" borderId="9" xfId="0" applyNumberFormat="1" applyBorder="1" applyProtection="1">
      <protection locked="0"/>
    </xf>
    <xf numFmtId="0" fontId="7" fillId="2" borderId="0" xfId="0" applyNumberFormat="1" applyFont="1" applyBorder="1"/>
    <xf numFmtId="0" fontId="0" fillId="2" borderId="29" xfId="0" applyNumberFormat="1" applyBorder="1"/>
    <xf numFmtId="0" fontId="28" fillId="2" borderId="9" xfId="0" applyNumberFormat="1" applyFont="1" applyBorder="1" applyAlignment="1">
      <alignment horizontal="center"/>
    </xf>
    <xf numFmtId="0" fontId="28" fillId="2" borderId="0" xfId="0" applyNumberFormat="1" applyFont="1"/>
    <xf numFmtId="176" fontId="0" fillId="2" borderId="0" xfId="0" applyNumberFormat="1"/>
    <xf numFmtId="37" fontId="0" fillId="2" borderId="0" xfId="0" quotePrefix="1" applyNumberFormat="1" applyBorder="1"/>
    <xf numFmtId="182" fontId="0" fillId="2" borderId="0" xfId="0" applyNumberFormat="1"/>
    <xf numFmtId="40" fontId="0" fillId="2" borderId="0" xfId="0" applyNumberFormat="1"/>
    <xf numFmtId="0" fontId="0" fillId="5" borderId="0" xfId="0" applyNumberFormat="1" applyFill="1"/>
    <xf numFmtId="0" fontId="29" fillId="2" borderId="0" xfId="0" applyFont="1"/>
    <xf numFmtId="0" fontId="31" fillId="2" borderId="9" xfId="0" applyNumberFormat="1" applyFont="1" applyBorder="1" applyAlignment="1">
      <alignment horizontal="center"/>
    </xf>
    <xf numFmtId="0" fontId="31" fillId="2" borderId="0" xfId="0" applyNumberFormat="1" applyFont="1"/>
    <xf numFmtId="0" fontId="31" fillId="2" borderId="0" xfId="0" applyNumberFormat="1" applyFont="1" applyBorder="1"/>
    <xf numFmtId="0" fontId="31" fillId="2" borderId="0" xfId="0" quotePrefix="1" applyNumberFormat="1" applyFont="1"/>
    <xf numFmtId="0" fontId="0" fillId="2" borderId="30" xfId="0" applyNumberFormat="1" applyBorder="1"/>
    <xf numFmtId="0" fontId="0" fillId="2" borderId="31" xfId="0" applyNumberFormat="1" applyBorder="1"/>
    <xf numFmtId="0" fontId="1" fillId="2" borderId="32" xfId="0" applyNumberFormat="1" applyFont="1" applyBorder="1"/>
    <xf numFmtId="0" fontId="0" fillId="2" borderId="32" xfId="0" applyNumberFormat="1" applyBorder="1"/>
    <xf numFmtId="0" fontId="0" fillId="2" borderId="33" xfId="0" applyNumberFormat="1" applyBorder="1"/>
    <xf numFmtId="0" fontId="0" fillId="2" borderId="34" xfId="0" applyNumberFormat="1" applyBorder="1"/>
    <xf numFmtId="37" fontId="9" fillId="2" borderId="35" xfId="0" applyNumberFormat="1" applyFont="1" applyBorder="1" applyAlignment="1">
      <alignment horizontal="right"/>
    </xf>
    <xf numFmtId="0" fontId="31" fillId="2" borderId="0" xfId="0" applyNumberFormat="1" applyFont="1" applyAlignment="1">
      <alignment horizontal="center"/>
    </xf>
    <xf numFmtId="37" fontId="31" fillId="2" borderId="0" xfId="0" applyNumberFormat="1" applyFont="1" applyBorder="1"/>
    <xf numFmtId="37" fontId="31" fillId="2" borderId="9" xfId="0" applyNumberFormat="1" applyFont="1" applyBorder="1"/>
    <xf numFmtId="0" fontId="4" fillId="2" borderId="13" xfId="0" applyNumberFormat="1" applyFont="1" applyBorder="1"/>
    <xf numFmtId="0" fontId="4" fillId="2" borderId="0" xfId="0" applyNumberFormat="1" applyFont="1" applyAlignment="1">
      <alignment horizontal="center"/>
    </xf>
    <xf numFmtId="37" fontId="4" fillId="2" borderId="0" xfId="0" applyNumberFormat="1" applyFont="1" applyAlignment="1">
      <alignment horizontal="right"/>
    </xf>
    <xf numFmtId="37" fontId="31" fillId="2" borderId="0" xfId="0" applyNumberFormat="1" applyFont="1"/>
    <xf numFmtId="38" fontId="31" fillId="2" borderId="0" xfId="0" applyNumberFormat="1" applyFont="1"/>
    <xf numFmtId="38" fontId="31" fillId="2" borderId="8" xfId="0" applyNumberFormat="1" applyFont="1" applyBorder="1"/>
    <xf numFmtId="0" fontId="31" fillId="2" borderId="0" xfId="0" quotePrefix="1" applyNumberFormat="1" applyFont="1" applyAlignment="1">
      <alignment horizontal="center"/>
    </xf>
    <xf numFmtId="37" fontId="31" fillId="2" borderId="0" xfId="0" applyNumberFormat="1" applyFont="1" applyBorder="1" applyAlignment="1">
      <alignment horizontal="center"/>
    </xf>
    <xf numFmtId="0" fontId="4" fillId="5" borderId="0" xfId="0" applyNumberFormat="1" applyFont="1" applyFill="1"/>
    <xf numFmtId="38" fontId="0" fillId="5" borderId="0" xfId="0" applyNumberFormat="1" applyFill="1" applyBorder="1"/>
    <xf numFmtId="0" fontId="4" fillId="6" borderId="0" xfId="0" applyNumberFormat="1" applyFont="1" applyFill="1" applyAlignment="1">
      <alignment horizontal="center"/>
    </xf>
    <xf numFmtId="37" fontId="31" fillId="2" borderId="2" xfId="0" applyNumberFormat="1" applyFont="1" applyBorder="1"/>
    <xf numFmtId="171" fontId="31" fillId="2" borderId="2" xfId="0" applyNumberFormat="1" applyFont="1" applyBorder="1"/>
    <xf numFmtId="37" fontId="0" fillId="7" borderId="9" xfId="0" applyNumberFormat="1" applyFill="1" applyBorder="1"/>
    <xf numFmtId="0" fontId="4" fillId="5" borderId="0" xfId="0" applyNumberFormat="1" applyFont="1" applyFill="1" applyAlignment="1">
      <alignment horizontal="right"/>
    </xf>
    <xf numFmtId="14" fontId="4" fillId="5" borderId="0" xfId="0" applyNumberFormat="1" applyFont="1" applyFill="1" applyAlignment="1">
      <alignment horizontal="right"/>
    </xf>
    <xf numFmtId="0" fontId="1" fillId="5" borderId="0" xfId="0" applyNumberFormat="1" applyFont="1" applyFill="1" applyAlignment="1">
      <alignment horizontal="center"/>
    </xf>
    <xf numFmtId="0" fontId="0" fillId="5" borderId="0" xfId="0" applyNumberFormat="1" applyFill="1" applyBorder="1" applyAlignment="1">
      <alignment horizontal="center"/>
    </xf>
    <xf numFmtId="164" fontId="0" fillId="5" borderId="0" xfId="0" applyNumberFormat="1" applyFill="1" applyBorder="1"/>
    <xf numFmtId="37" fontId="0" fillId="5" borderId="0" xfId="0" applyNumberFormat="1" applyFill="1" applyBorder="1"/>
    <xf numFmtId="168" fontId="0" fillId="5" borderId="0" xfId="0" applyNumberFormat="1" applyFill="1" applyBorder="1"/>
    <xf numFmtId="169" fontId="0" fillId="5" borderId="0" xfId="0" applyNumberFormat="1" applyFill="1" applyBorder="1"/>
    <xf numFmtId="38" fontId="0" fillId="5" borderId="0" xfId="0" applyNumberFormat="1" applyFill="1" applyBorder="1" applyAlignment="1">
      <alignment horizontal="right"/>
    </xf>
    <xf numFmtId="182" fontId="4" fillId="5" borderId="0" xfId="0" applyNumberFormat="1" applyFont="1" applyFill="1" applyBorder="1"/>
    <xf numFmtId="182" fontId="0" fillId="5" borderId="0" xfId="0" applyNumberFormat="1" applyFill="1" applyBorder="1"/>
    <xf numFmtId="38" fontId="31" fillId="2" borderId="2" xfId="0" applyNumberFormat="1" applyFont="1" applyBorder="1"/>
    <xf numFmtId="176" fontId="31" fillId="2" borderId="2" xfId="0" applyNumberFormat="1" applyFont="1" applyBorder="1"/>
    <xf numFmtId="40" fontId="31" fillId="2" borderId="2" xfId="0" applyNumberFormat="1" applyFont="1" applyBorder="1"/>
    <xf numFmtId="38" fontId="31" fillId="2" borderId="9" xfId="0" applyNumberFormat="1" applyFont="1" applyBorder="1"/>
    <xf numFmtId="37" fontId="31" fillId="2" borderId="2" xfId="0" applyNumberFormat="1" applyFont="1" applyBorder="1" applyAlignment="1">
      <alignment horizontal="center"/>
    </xf>
    <xf numFmtId="38" fontId="31" fillId="2" borderId="0" xfId="0" applyNumberFormat="1" applyFont="1" applyBorder="1"/>
    <xf numFmtId="0" fontId="31" fillId="8" borderId="0" xfId="0" applyNumberFormat="1" applyFont="1" applyFill="1"/>
    <xf numFmtId="0" fontId="31" fillId="8" borderId="0" xfId="0" quotePrefix="1" applyNumberFormat="1" applyFont="1" applyFill="1"/>
    <xf numFmtId="38" fontId="31" fillId="8" borderId="0" xfId="0" applyNumberFormat="1" applyFont="1" applyFill="1"/>
    <xf numFmtId="168" fontId="31" fillId="2" borderId="9" xfId="0" applyNumberFormat="1" applyFont="1" applyBorder="1"/>
    <xf numFmtId="38" fontId="0" fillId="9" borderId="0" xfId="0" applyNumberFormat="1" applyFill="1"/>
    <xf numFmtId="176" fontId="0" fillId="9" borderId="0" xfId="0" applyNumberFormat="1" applyFill="1"/>
    <xf numFmtId="182" fontId="0" fillId="9" borderId="0" xfId="0" applyNumberFormat="1" applyFill="1"/>
    <xf numFmtId="0" fontId="32" fillId="2" borderId="0" xfId="0" applyNumberFormat="1" applyFont="1" applyAlignment="1">
      <alignment horizontal="center"/>
    </xf>
    <xf numFmtId="0" fontId="32" fillId="2" borderId="0" xfId="0" applyNumberFormat="1" applyFont="1" applyBorder="1" applyAlignment="1">
      <alignment horizontal="center"/>
    </xf>
    <xf numFmtId="0" fontId="31" fillId="2" borderId="0" xfId="0" applyNumberFormat="1" applyFont="1" applyBorder="1" applyAlignment="1">
      <alignment horizontal="center"/>
    </xf>
    <xf numFmtId="38" fontId="31" fillId="2" borderId="36" xfId="0" applyNumberFormat="1" applyFont="1" applyBorder="1"/>
    <xf numFmtId="0" fontId="16" fillId="2" borderId="0" xfId="3" applyNumberFormat="1" applyFill="1" applyAlignment="1" applyProtection="1"/>
    <xf numFmtId="168" fontId="31" fillId="2" borderId="2" xfId="0" applyNumberFormat="1" applyFont="1" applyBorder="1"/>
    <xf numFmtId="176" fontId="31" fillId="2" borderId="0" xfId="0" applyNumberFormat="1" applyFont="1" applyBorder="1"/>
    <xf numFmtId="40" fontId="31" fillId="2" borderId="0" xfId="0" applyNumberFormat="1" applyFont="1" applyBorder="1"/>
    <xf numFmtId="0" fontId="1" fillId="5" borderId="32" xfId="0" applyNumberFormat="1" applyFont="1" applyFill="1" applyBorder="1"/>
    <xf numFmtId="0" fontId="29" fillId="5" borderId="0" xfId="0" applyFont="1" applyFill="1"/>
    <xf numFmtId="0" fontId="29" fillId="2" borderId="0" xfId="0" applyFont="1" applyAlignment="1">
      <alignment horizontal="left"/>
    </xf>
    <xf numFmtId="38" fontId="0" fillId="2" borderId="13" xfId="0" applyNumberFormat="1" applyBorder="1"/>
    <xf numFmtId="176" fontId="0" fillId="2" borderId="13" xfId="0" applyNumberFormat="1" applyBorder="1"/>
    <xf numFmtId="0" fontId="29" fillId="5" borderId="0" xfId="0" applyFont="1" applyFill="1" applyAlignment="1">
      <alignment horizontal="center"/>
    </xf>
    <xf numFmtId="0" fontId="0" fillId="5" borderId="0" xfId="0" applyNumberFormat="1" applyFill="1" applyAlignment="1">
      <alignment horizontal="center"/>
    </xf>
    <xf numFmtId="0" fontId="0" fillId="5" borderId="0" xfId="0" applyFill="1" applyAlignment="1">
      <alignment horizontal="center"/>
    </xf>
    <xf numFmtId="0" fontId="29" fillId="5" borderId="0" xfId="0" applyFont="1" applyFill="1" applyBorder="1" applyAlignment="1">
      <alignment horizontal="center"/>
    </xf>
    <xf numFmtId="0" fontId="4" fillId="5" borderId="0" xfId="0" applyNumberFormat="1" applyFont="1" applyFill="1" applyAlignment="1">
      <alignment horizontal="center"/>
    </xf>
    <xf numFmtId="0" fontId="31" fillId="6" borderId="2" xfId="0" applyNumberFormat="1" applyFont="1" applyFill="1" applyBorder="1"/>
    <xf numFmtId="38" fontId="4" fillId="6" borderId="2" xfId="0" applyNumberFormat="1" applyFont="1" applyFill="1" applyBorder="1"/>
    <xf numFmtId="37" fontId="31" fillId="6" borderId="2" xfId="0" applyNumberFormat="1" applyFont="1" applyFill="1" applyBorder="1"/>
    <xf numFmtId="38" fontId="4" fillId="6" borderId="0" xfId="0" applyNumberFormat="1" applyFont="1" applyFill="1"/>
    <xf numFmtId="169" fontId="9" fillId="6" borderId="2" xfId="0" applyNumberFormat="1" applyFont="1" applyFill="1" applyBorder="1"/>
    <xf numFmtId="38" fontId="0" fillId="5" borderId="13" xfId="0" applyNumberFormat="1" applyFill="1" applyBorder="1"/>
    <xf numFmtId="0" fontId="0" fillId="5" borderId="0" xfId="0" applyFill="1"/>
    <xf numFmtId="38" fontId="31" fillId="10" borderId="2" xfId="0" applyNumberFormat="1" applyFont="1" applyFill="1" applyBorder="1"/>
    <xf numFmtId="0" fontId="4" fillId="2" borderId="0" xfId="0" applyNumberFormat="1" applyFont="1" applyBorder="1" applyAlignment="1">
      <alignment horizontal="left"/>
    </xf>
    <xf numFmtId="15" fontId="4" fillId="2" borderId="0" xfId="0" applyNumberFormat="1" applyFont="1" applyBorder="1" applyAlignment="1">
      <alignment horizontal="left"/>
    </xf>
    <xf numFmtId="0" fontId="31" fillId="10" borderId="0" xfId="0" applyNumberFormat="1" applyFont="1" applyFill="1"/>
    <xf numFmtId="0" fontId="31" fillId="10" borderId="29" xfId="0" applyNumberFormat="1" applyFont="1" applyFill="1" applyBorder="1"/>
    <xf numFmtId="0" fontId="31" fillId="10" borderId="15" xfId="0" applyNumberFormat="1" applyFont="1" applyFill="1" applyBorder="1"/>
    <xf numFmtId="0" fontId="31" fillId="10" borderId="16" xfId="0" applyNumberFormat="1" applyFont="1" applyFill="1" applyBorder="1"/>
    <xf numFmtId="0" fontId="31" fillId="2" borderId="0" xfId="0" applyNumberFormat="1" applyFont="1" applyAlignment="1">
      <alignment horizontal="right"/>
    </xf>
    <xf numFmtId="37" fontId="31" fillId="2" borderId="10" xfId="0" applyNumberFormat="1" applyFont="1" applyBorder="1" applyProtection="1">
      <protection locked="0"/>
    </xf>
    <xf numFmtId="0" fontId="9" fillId="5" borderId="0" xfId="0" quotePrefix="1" applyNumberFormat="1" applyFont="1" applyFill="1"/>
    <xf numFmtId="0" fontId="9" fillId="2" borderId="37" xfId="0" applyNumberFormat="1" applyFont="1" applyBorder="1"/>
    <xf numFmtId="0" fontId="9" fillId="2" borderId="38" xfId="0" applyNumberFormat="1" applyFont="1" applyBorder="1"/>
    <xf numFmtId="0" fontId="9" fillId="2" borderId="39" xfId="0" applyNumberFormat="1" applyFont="1" applyBorder="1"/>
    <xf numFmtId="0" fontId="19" fillId="2" borderId="40" xfId="0" applyNumberFormat="1" applyFont="1" applyBorder="1"/>
    <xf numFmtId="0" fontId="19" fillId="2" borderId="41" xfId="0" applyNumberFormat="1" applyFont="1" applyBorder="1"/>
    <xf numFmtId="0" fontId="19" fillId="2" borderId="42" xfId="0" applyNumberFormat="1" applyFont="1" applyBorder="1"/>
    <xf numFmtId="0" fontId="19" fillId="2" borderId="0" xfId="0" applyNumberFormat="1" applyFont="1" applyBorder="1"/>
    <xf numFmtId="0" fontId="0" fillId="2" borderId="43" xfId="0" applyNumberFormat="1" applyBorder="1"/>
    <xf numFmtId="0" fontId="0" fillId="5" borderId="43" xfId="0" applyNumberFormat="1" applyFill="1" applyBorder="1"/>
    <xf numFmtId="0" fontId="0" fillId="2" borderId="44" xfId="0" applyNumberFormat="1" applyBorder="1"/>
    <xf numFmtId="0" fontId="0" fillId="5" borderId="44" xfId="0" applyNumberFormat="1" applyFill="1" applyBorder="1"/>
    <xf numFmtId="0" fontId="7" fillId="2" borderId="13" xfId="0" applyNumberFormat="1" applyFont="1" applyBorder="1" applyAlignment="1">
      <alignment horizontal="center"/>
    </xf>
    <xf numFmtId="0" fontId="0" fillId="6" borderId="9" xfId="0" applyNumberFormat="1" applyFill="1" applyBorder="1"/>
    <xf numFmtId="177" fontId="0" fillId="8" borderId="9" xfId="0" applyNumberFormat="1" applyFill="1" applyBorder="1"/>
    <xf numFmtId="38" fontId="0" fillId="8" borderId="9" xfId="0" applyNumberFormat="1" applyFill="1" applyBorder="1"/>
    <xf numFmtId="40" fontId="0" fillId="8" borderId="9" xfId="0" applyNumberFormat="1" applyFill="1" applyBorder="1"/>
    <xf numFmtId="177" fontId="7" fillId="8" borderId="9" xfId="0" applyNumberFormat="1" applyFont="1" applyFill="1" applyBorder="1"/>
    <xf numFmtId="0" fontId="4" fillId="2" borderId="10" xfId="0" applyNumberFormat="1" applyFont="1" applyBorder="1"/>
    <xf numFmtId="0" fontId="4" fillId="2" borderId="12" xfId="0" applyNumberFormat="1" applyFont="1" applyBorder="1"/>
    <xf numFmtId="182" fontId="0" fillId="8" borderId="9" xfId="0" applyNumberFormat="1" applyFill="1" applyBorder="1"/>
    <xf numFmtId="37" fontId="0" fillId="8" borderId="9" xfId="0" applyNumberFormat="1" applyFill="1" applyBorder="1"/>
    <xf numFmtId="0" fontId="9" fillId="2" borderId="40" xfId="0" applyNumberFormat="1" applyFont="1" applyBorder="1"/>
    <xf numFmtId="0" fontId="0" fillId="2" borderId="37" xfId="0" applyNumberFormat="1" applyBorder="1"/>
    <xf numFmtId="0" fontId="9" fillId="2" borderId="41" xfId="0" applyNumberFormat="1" applyFont="1" applyBorder="1"/>
    <xf numFmtId="0" fontId="0" fillId="2" borderId="38" xfId="0" applyNumberFormat="1" applyBorder="1"/>
    <xf numFmtId="0" fontId="9" fillId="2" borderId="42" xfId="0" applyNumberFormat="1" applyFont="1" applyBorder="1"/>
    <xf numFmtId="0" fontId="0" fillId="2" borderId="39" xfId="0" applyNumberFormat="1" applyBorder="1"/>
    <xf numFmtId="0" fontId="4" fillId="2" borderId="29" xfId="0" applyNumberFormat="1" applyFont="1" applyBorder="1"/>
    <xf numFmtId="0" fontId="4" fillId="2" borderId="21" xfId="0" applyNumberFormat="1" applyFont="1" applyBorder="1"/>
    <xf numFmtId="0" fontId="4" fillId="2" borderId="22" xfId="0" applyNumberFormat="1" applyFont="1" applyBorder="1"/>
    <xf numFmtId="0" fontId="4" fillId="2" borderId="15" xfId="0" applyNumberFormat="1" applyFont="1" applyBorder="1"/>
    <xf numFmtId="0" fontId="4" fillId="2" borderId="20" xfId="0" applyNumberFormat="1" applyFont="1" applyBorder="1"/>
    <xf numFmtId="0" fontId="7" fillId="2" borderId="15" xfId="0" applyNumberFormat="1" applyFont="1" applyBorder="1"/>
    <xf numFmtId="0" fontId="7" fillId="2" borderId="0" xfId="0" applyNumberFormat="1" applyFont="1" applyBorder="1" applyAlignment="1">
      <alignment horizontal="center"/>
    </xf>
    <xf numFmtId="0" fontId="7" fillId="2" borderId="20" xfId="0" applyNumberFormat="1" applyFont="1" applyBorder="1" applyAlignment="1">
      <alignment horizontal="center"/>
    </xf>
    <xf numFmtId="0" fontId="7" fillId="2" borderId="23" xfId="0" applyNumberFormat="1" applyFont="1" applyBorder="1" applyAlignment="1">
      <alignment horizontal="center"/>
    </xf>
    <xf numFmtId="178" fontId="7" fillId="2" borderId="0" xfId="0" applyNumberFormat="1" applyFont="1" applyBorder="1" applyAlignment="1">
      <alignment horizontal="center"/>
    </xf>
    <xf numFmtId="38" fontId="7" fillId="2" borderId="0" xfId="0" applyNumberFormat="1" applyFont="1" applyBorder="1" applyAlignment="1">
      <alignment horizontal="center"/>
    </xf>
    <xf numFmtId="38" fontId="7" fillId="2" borderId="20" xfId="0" applyNumberFormat="1" applyFont="1" applyBorder="1" applyAlignment="1">
      <alignment horizontal="center"/>
    </xf>
    <xf numFmtId="0" fontId="7" fillId="2" borderId="20" xfId="0" applyNumberFormat="1" applyFont="1" applyBorder="1"/>
    <xf numFmtId="0" fontId="4" fillId="2" borderId="16" xfId="0" applyNumberFormat="1" applyFont="1" applyBorder="1"/>
    <xf numFmtId="0" fontId="4" fillId="2" borderId="23" xfId="0" applyNumberFormat="1" applyFont="1" applyBorder="1"/>
    <xf numFmtId="38" fontId="4" fillId="2" borderId="0" xfId="0" applyNumberFormat="1" applyFont="1" applyAlignment="1">
      <alignment horizontal="center"/>
    </xf>
    <xf numFmtId="0" fontId="9" fillId="8" borderId="0" xfId="0" applyNumberFormat="1" applyFont="1" applyFill="1" applyBorder="1"/>
    <xf numFmtId="0" fontId="0" fillId="11" borderId="0" xfId="0" applyNumberFormat="1" applyFill="1"/>
    <xf numFmtId="0" fontId="11" fillId="2" borderId="45" xfId="0" applyNumberFormat="1" applyFont="1" applyBorder="1"/>
    <xf numFmtId="0" fontId="0" fillId="2" borderId="46" xfId="0" applyNumberFormat="1" applyBorder="1"/>
    <xf numFmtId="0" fontId="0" fillId="8" borderId="21" xfId="0" applyNumberFormat="1" applyFill="1" applyBorder="1"/>
    <xf numFmtId="0" fontId="35" fillId="12" borderId="40" xfId="0" applyFont="1" applyFill="1" applyBorder="1"/>
    <xf numFmtId="0" fontId="35" fillId="12" borderId="42" xfId="0" applyFont="1" applyFill="1" applyBorder="1"/>
    <xf numFmtId="0" fontId="0" fillId="12" borderId="37" xfId="0" applyNumberFormat="1" applyFill="1" applyBorder="1"/>
    <xf numFmtId="0" fontId="0" fillId="12" borderId="38" xfId="0" applyNumberFormat="1" applyFill="1" applyBorder="1"/>
    <xf numFmtId="0" fontId="0" fillId="12" borderId="39" xfId="0" applyNumberFormat="1" applyFill="1" applyBorder="1"/>
    <xf numFmtId="16" fontId="4" fillId="2" borderId="0" xfId="0" quotePrefix="1" applyNumberFormat="1" applyFont="1" applyAlignment="1">
      <alignment horizontal="center"/>
    </xf>
    <xf numFmtId="168" fontId="9" fillId="2" borderId="0" xfId="0" applyNumberFormat="1" applyFont="1" applyBorder="1"/>
    <xf numFmtId="168" fontId="31" fillId="2" borderId="0" xfId="0" applyNumberFormat="1" applyFont="1" applyBorder="1"/>
    <xf numFmtId="0" fontId="37" fillId="2" borderId="0" xfId="0" applyNumberFormat="1" applyFont="1"/>
    <xf numFmtId="0" fontId="38" fillId="2" borderId="0" xfId="0" applyNumberFormat="1" applyFont="1"/>
    <xf numFmtId="0" fontId="37" fillId="6" borderId="0" xfId="0" applyNumberFormat="1" applyFont="1" applyFill="1"/>
    <xf numFmtId="0" fontId="38" fillId="2" borderId="0" xfId="0" applyNumberFormat="1" applyFont="1" applyAlignment="1">
      <alignment horizontal="center"/>
    </xf>
    <xf numFmtId="37" fontId="38" fillId="2" borderId="0" xfId="0" applyNumberFormat="1" applyFont="1" applyBorder="1"/>
    <xf numFmtId="37" fontId="37" fillId="2" borderId="0" xfId="0" applyNumberFormat="1" applyFont="1"/>
    <xf numFmtId="168" fontId="38" fillId="2" borderId="0" xfId="0" applyNumberFormat="1" applyFont="1"/>
    <xf numFmtId="165" fontId="37" fillId="2" borderId="0" xfId="0" applyNumberFormat="1" applyFont="1"/>
    <xf numFmtId="164" fontId="37" fillId="2" borderId="0" xfId="0" applyNumberFormat="1" applyFont="1" applyProtection="1">
      <protection locked="0"/>
    </xf>
    <xf numFmtId="164" fontId="37" fillId="2" borderId="0" xfId="0" applyNumberFormat="1" applyFont="1"/>
    <xf numFmtId="37" fontId="38" fillId="2" borderId="2" xfId="0" applyNumberFormat="1" applyFont="1" applyBorder="1"/>
    <xf numFmtId="168" fontId="38" fillId="2" borderId="2" xfId="0" applyNumberFormat="1" applyFont="1" applyBorder="1"/>
    <xf numFmtId="38" fontId="38" fillId="2" borderId="36" xfId="0" applyNumberFormat="1" applyFont="1" applyBorder="1"/>
    <xf numFmtId="38" fontId="38" fillId="2" borderId="9" xfId="0" applyNumberFormat="1" applyFont="1" applyBorder="1"/>
    <xf numFmtId="37" fontId="38" fillId="8" borderId="9" xfId="0" applyNumberFormat="1" applyFont="1" applyFill="1" applyBorder="1"/>
    <xf numFmtId="37" fontId="38" fillId="2" borderId="9" xfId="0" applyNumberFormat="1" applyFont="1" applyBorder="1"/>
    <xf numFmtId="168" fontId="38" fillId="2" borderId="9" xfId="0" applyNumberFormat="1" applyFont="1" applyBorder="1"/>
    <xf numFmtId="37" fontId="38" fillId="2" borderId="9" xfId="0" quotePrefix="1" applyNumberFormat="1" applyFont="1" applyBorder="1"/>
    <xf numFmtId="171" fontId="38" fillId="2" borderId="0" xfId="0" applyNumberFormat="1" applyFont="1" applyBorder="1"/>
    <xf numFmtId="37" fontId="38" fillId="2" borderId="0" xfId="0" applyNumberFormat="1" applyFont="1"/>
    <xf numFmtId="171" fontId="38" fillId="2" borderId="2" xfId="0" applyNumberFormat="1" applyFont="1" applyBorder="1"/>
    <xf numFmtId="0" fontId="38" fillId="2" borderId="9" xfId="0" applyNumberFormat="1" applyFont="1" applyBorder="1" applyAlignment="1">
      <alignment horizontal="center"/>
    </xf>
    <xf numFmtId="0" fontId="0" fillId="9" borderId="0" xfId="0" applyNumberFormat="1" applyFill="1"/>
    <xf numFmtId="16" fontId="4" fillId="9" borderId="0" xfId="0" quotePrefix="1" applyNumberFormat="1" applyFont="1" applyFill="1" applyAlignment="1">
      <alignment horizontal="center"/>
    </xf>
    <xf numFmtId="182" fontId="0" fillId="9" borderId="9" xfId="0" applyNumberFormat="1" applyFill="1" applyBorder="1"/>
    <xf numFmtId="0" fontId="39" fillId="2" borderId="0" xfId="0" applyNumberFormat="1" applyFont="1" applyAlignment="1">
      <alignment horizontal="center"/>
    </xf>
    <xf numFmtId="0" fontId="39" fillId="2" borderId="0" xfId="0" applyNumberFormat="1" applyFont="1" applyBorder="1" applyAlignment="1">
      <alignment horizontal="center"/>
    </xf>
    <xf numFmtId="0" fontId="38" fillId="2" borderId="0" xfId="0" applyNumberFormat="1" applyFont="1" applyBorder="1" applyAlignment="1">
      <alignment horizontal="center"/>
    </xf>
    <xf numFmtId="38" fontId="38" fillId="2" borderId="2" xfId="0" applyNumberFormat="1" applyFont="1" applyBorder="1"/>
    <xf numFmtId="0" fontId="38" fillId="2" borderId="0" xfId="0" applyNumberFormat="1" applyFont="1" applyBorder="1"/>
    <xf numFmtId="38" fontId="38" fillId="2" borderId="0" xfId="0" applyNumberFormat="1" applyFont="1" applyBorder="1"/>
    <xf numFmtId="0" fontId="38" fillId="2" borderId="0" xfId="0" quotePrefix="1" applyNumberFormat="1" applyFont="1" applyAlignment="1">
      <alignment horizontal="center"/>
    </xf>
    <xf numFmtId="37" fontId="38" fillId="2" borderId="0" xfId="0" applyNumberFormat="1" applyFont="1" applyBorder="1" applyAlignment="1">
      <alignment horizontal="center"/>
    </xf>
    <xf numFmtId="37" fontId="38" fillId="2" borderId="2" xfId="0" applyNumberFormat="1" applyFont="1" applyBorder="1" applyAlignment="1">
      <alignment horizontal="center"/>
    </xf>
    <xf numFmtId="176" fontId="38" fillId="2" borderId="2" xfId="0" applyNumberFormat="1" applyFont="1" applyBorder="1"/>
    <xf numFmtId="176" fontId="38" fillId="2" borderId="0" xfId="0" applyNumberFormat="1" applyFont="1" applyBorder="1"/>
    <xf numFmtId="40" fontId="38" fillId="2" borderId="2" xfId="0" applyNumberFormat="1" applyFont="1" applyBorder="1"/>
    <xf numFmtId="40" fontId="38" fillId="2" borderId="0" xfId="0" applyNumberFormat="1" applyFont="1" applyBorder="1"/>
    <xf numFmtId="38" fontId="38" fillId="2" borderId="0" xfId="0" applyNumberFormat="1" applyFont="1"/>
    <xf numFmtId="38" fontId="38" fillId="2" borderId="8" xfId="0" applyNumberFormat="1" applyFont="1" applyBorder="1"/>
    <xf numFmtId="38" fontId="38" fillId="13" borderId="2" xfId="0" applyNumberFormat="1" applyFont="1" applyFill="1" applyBorder="1"/>
    <xf numFmtId="0" fontId="31" fillId="10" borderId="13" xfId="0" applyNumberFormat="1" applyFont="1" applyFill="1" applyBorder="1"/>
    <xf numFmtId="0" fontId="38" fillId="2" borderId="0" xfId="0" quotePrefix="1" applyNumberFormat="1" applyFont="1"/>
    <xf numFmtId="0" fontId="40" fillId="2" borderId="0" xfId="0" applyFont="1" applyBorder="1" applyAlignment="1">
      <alignment horizontal="center"/>
    </xf>
    <xf numFmtId="38" fontId="31" fillId="2" borderId="9" xfId="0" applyNumberFormat="1" applyFont="1" applyBorder="1" applyAlignment="1">
      <alignment horizontal="center"/>
    </xf>
    <xf numFmtId="0" fontId="41" fillId="2" borderId="0" xfId="0" applyFont="1" applyBorder="1" applyAlignment="1">
      <alignment horizontal="center"/>
    </xf>
    <xf numFmtId="38" fontId="38" fillId="2" borderId="9" xfId="0" applyNumberFormat="1" applyFont="1" applyBorder="1" applyAlignment="1">
      <alignment horizontal="center"/>
    </xf>
    <xf numFmtId="38" fontId="4" fillId="2" borderId="0" xfId="0" applyNumberFormat="1" applyFont="1" applyAlignment="1">
      <alignment horizontal="right"/>
    </xf>
    <xf numFmtId="0" fontId="42" fillId="2" borderId="15" xfId="0" applyNumberFormat="1" applyFont="1" applyBorder="1"/>
    <xf numFmtId="0" fontId="43" fillId="12" borderId="10" xfId="0" applyNumberFormat="1" applyFont="1" applyFill="1" applyBorder="1"/>
    <xf numFmtId="0" fontId="42" fillId="12" borderId="11" xfId="0" applyNumberFormat="1" applyFont="1" applyFill="1" applyBorder="1"/>
    <xf numFmtId="0" fontId="42" fillId="5" borderId="0" xfId="0" applyNumberFormat="1" applyFont="1" applyFill="1"/>
    <xf numFmtId="0" fontId="42" fillId="2" borderId="0" xfId="0" applyNumberFormat="1" applyFont="1"/>
    <xf numFmtId="0" fontId="42" fillId="6" borderId="0" xfId="0" applyNumberFormat="1" applyFont="1" applyFill="1"/>
    <xf numFmtId="0" fontId="37" fillId="5" borderId="0" xfId="0" applyNumberFormat="1" applyFont="1" applyFill="1"/>
    <xf numFmtId="0" fontId="0" fillId="5" borderId="0" xfId="0" quotePrefix="1" applyNumberFormat="1" applyFill="1"/>
    <xf numFmtId="0" fontId="31" fillId="5" borderId="0" xfId="0" applyNumberFormat="1" applyFont="1" applyFill="1"/>
    <xf numFmtId="0" fontId="4" fillId="8" borderId="29" xfId="0" applyNumberFormat="1" applyFont="1" applyFill="1" applyBorder="1"/>
    <xf numFmtId="0" fontId="4" fillId="8" borderId="15" xfId="0" applyNumberFormat="1" applyFont="1" applyFill="1" applyBorder="1"/>
    <xf numFmtId="37" fontId="44" fillId="12" borderId="9" xfId="0" applyNumberFormat="1" applyFont="1" applyFill="1" applyBorder="1"/>
    <xf numFmtId="0" fontId="4" fillId="14" borderId="20" xfId="0" applyNumberFormat="1" applyFont="1" applyFill="1" applyBorder="1" applyAlignment="1">
      <alignment horizontal="center"/>
    </xf>
    <xf numFmtId="16" fontId="4" fillId="6" borderId="0" xfId="0" quotePrefix="1" applyNumberFormat="1" applyFont="1" applyFill="1" applyAlignment="1">
      <alignment horizontal="center"/>
    </xf>
    <xf numFmtId="0" fontId="9" fillId="12" borderId="29" xfId="0" applyNumberFormat="1" applyFont="1" applyFill="1" applyBorder="1"/>
    <xf numFmtId="0" fontId="0" fillId="12" borderId="22" xfId="0" applyNumberFormat="1" applyFill="1" applyBorder="1"/>
    <xf numFmtId="0" fontId="9" fillId="12" borderId="16" xfId="0" applyNumberFormat="1" applyFont="1" applyFill="1" applyBorder="1"/>
    <xf numFmtId="0" fontId="0" fillId="12" borderId="23" xfId="0" applyNumberFormat="1" applyFill="1" applyBorder="1"/>
    <xf numFmtId="0" fontId="3" fillId="2" borderId="0" xfId="0" applyNumberFormat="1" applyFont="1" applyBorder="1" applyAlignment="1">
      <alignment horizontal="left"/>
    </xf>
    <xf numFmtId="0" fontId="38" fillId="2" borderId="0" xfId="0" applyNumberFormat="1" applyFont="1" applyAlignment="1">
      <alignment horizontal="right"/>
    </xf>
    <xf numFmtId="37" fontId="38" fillId="2" borderId="10" xfId="0" applyNumberFormat="1" applyFont="1" applyBorder="1" applyProtection="1">
      <protection locked="0"/>
    </xf>
    <xf numFmtId="38" fontId="38" fillId="2" borderId="9" xfId="0" applyNumberFormat="1" applyFont="1" applyBorder="1" applyAlignment="1">
      <alignment horizontal="right"/>
    </xf>
    <xf numFmtId="0" fontId="38" fillId="13" borderId="0" xfId="0" applyNumberFormat="1" applyFont="1" applyFill="1"/>
    <xf numFmtId="0" fontId="38" fillId="13" borderId="16" xfId="0" applyNumberFormat="1" applyFont="1" applyFill="1" applyBorder="1"/>
    <xf numFmtId="0" fontId="38" fillId="13" borderId="29" xfId="0" applyNumberFormat="1" applyFont="1" applyFill="1" applyBorder="1"/>
    <xf numFmtId="0" fontId="38" fillId="13" borderId="15" xfId="0" applyNumberFormat="1" applyFont="1" applyFill="1" applyBorder="1"/>
    <xf numFmtId="0" fontId="38" fillId="13" borderId="13" xfId="0" applyNumberFormat="1" applyFont="1" applyFill="1" applyBorder="1"/>
    <xf numFmtId="0" fontId="38" fillId="13" borderId="23" xfId="0" applyNumberFormat="1" applyFont="1" applyFill="1" applyBorder="1"/>
    <xf numFmtId="38" fontId="38" fillId="13" borderId="9" xfId="0" applyNumberFormat="1" applyFont="1" applyFill="1" applyBorder="1" applyAlignment="1">
      <alignment horizontal="right"/>
    </xf>
    <xf numFmtId="176" fontId="38" fillId="2" borderId="9" xfId="0" applyNumberFormat="1" applyFont="1" applyBorder="1"/>
    <xf numFmtId="176" fontId="0" fillId="5" borderId="13" xfId="0" applyNumberFormat="1" applyFill="1" applyBorder="1"/>
    <xf numFmtId="168" fontId="38" fillId="2" borderId="0" xfId="0" applyNumberFormat="1" applyFont="1" applyBorder="1"/>
    <xf numFmtId="168" fontId="31" fillId="2" borderId="9" xfId="0" applyNumberFormat="1" applyFont="1" applyBorder="1" applyProtection="1">
      <protection locked="0"/>
    </xf>
    <xf numFmtId="168" fontId="31" fillId="2" borderId="47" xfId="0" applyNumberFormat="1" applyFont="1" applyBorder="1" applyProtection="1">
      <protection locked="0"/>
    </xf>
    <xf numFmtId="168" fontId="38" fillId="2" borderId="9" xfId="0" applyNumberFormat="1" applyFont="1" applyBorder="1" applyProtection="1">
      <protection locked="0"/>
    </xf>
    <xf numFmtId="168" fontId="38" fillId="2" borderId="47" xfId="0" applyNumberFormat="1" applyFont="1" applyBorder="1" applyProtection="1">
      <protection locked="0"/>
    </xf>
    <xf numFmtId="49" fontId="0" fillId="2" borderId="0" xfId="0" applyNumberFormat="1"/>
    <xf numFmtId="176" fontId="0" fillId="2" borderId="9" xfId="0" applyNumberFormat="1" applyBorder="1" applyProtection="1">
      <protection locked="0"/>
    </xf>
    <xf numFmtId="38" fontId="9" fillId="2" borderId="9" xfId="0" applyNumberFormat="1" applyFont="1" applyBorder="1" applyProtection="1"/>
    <xf numFmtId="0" fontId="45" fillId="8" borderId="10" xfId="0" applyNumberFormat="1" applyFont="1" applyFill="1" applyBorder="1"/>
    <xf numFmtId="0" fontId="42" fillId="8" borderId="12" xfId="0" applyNumberFormat="1" applyFont="1" applyFill="1" applyBorder="1"/>
    <xf numFmtId="0" fontId="31" fillId="2" borderId="9" xfId="0" applyNumberFormat="1" applyFont="1" applyBorder="1" applyAlignment="1" applyProtection="1">
      <alignment horizontal="center"/>
      <protection locked="0"/>
    </xf>
    <xf numFmtId="0" fontId="38" fillId="2" borderId="9" xfId="0" applyNumberFormat="1" applyFont="1" applyBorder="1" applyAlignment="1" applyProtection="1">
      <alignment horizontal="center"/>
      <protection locked="0"/>
    </xf>
    <xf numFmtId="38" fontId="0" fillId="2" borderId="9" xfId="0" applyNumberFormat="1" applyBorder="1"/>
    <xf numFmtId="170" fontId="7" fillId="8" borderId="9" xfId="0" applyNumberFormat="1" applyFont="1" applyFill="1" applyBorder="1"/>
    <xf numFmtId="38" fontId="38" fillId="12" borderId="9" xfId="0" applyNumberFormat="1" applyFont="1" applyFill="1" applyBorder="1"/>
    <xf numFmtId="0" fontId="0" fillId="2" borderId="9" xfId="0" applyNumberFormat="1" applyBorder="1"/>
    <xf numFmtId="0" fontId="11" fillId="2" borderId="22" xfId="0" applyNumberFormat="1" applyFont="1" applyBorder="1"/>
    <xf numFmtId="0" fontId="11" fillId="2" borderId="20" xfId="0" applyNumberFormat="1" applyFont="1" applyBorder="1"/>
    <xf numFmtId="0" fontId="11" fillId="2" borderId="23" xfId="0" applyNumberFormat="1" applyFont="1" applyBorder="1"/>
    <xf numFmtId="49" fontId="0" fillId="2" borderId="0" xfId="0" applyNumberFormat="1" applyAlignment="1">
      <alignment horizontal="center"/>
    </xf>
    <xf numFmtId="38" fontId="0" fillId="2" borderId="0" xfId="0" applyNumberFormat="1" applyAlignment="1">
      <alignment horizontal="right"/>
    </xf>
    <xf numFmtId="177" fontId="0" fillId="2" borderId="0" xfId="0" applyNumberFormat="1" applyAlignment="1">
      <alignment horizontal="center"/>
    </xf>
    <xf numFmtId="0" fontId="11" fillId="5" borderId="32" xfId="0" applyNumberFormat="1" applyFont="1" applyFill="1" applyBorder="1"/>
    <xf numFmtId="38" fontId="0" fillId="2" borderId="0" xfId="0" applyNumberFormat="1" applyAlignment="1">
      <alignment horizontal="center"/>
    </xf>
    <xf numFmtId="38" fontId="31" fillId="2" borderId="9" xfId="0" applyNumberFormat="1" applyFont="1" applyBorder="1" applyAlignment="1">
      <alignment horizontal="right"/>
    </xf>
    <xf numFmtId="37" fontId="38" fillId="2" borderId="20" xfId="0" applyNumberFormat="1" applyFont="1" applyBorder="1"/>
    <xf numFmtId="38" fontId="38" fillId="2" borderId="20" xfId="0" applyNumberFormat="1" applyFont="1" applyBorder="1"/>
    <xf numFmtId="168" fontId="38" fillId="2" borderId="20" xfId="0" applyNumberFormat="1" applyFont="1" applyBorder="1"/>
    <xf numFmtId="176" fontId="38" fillId="2" borderId="20" xfId="0" applyNumberFormat="1" applyFont="1" applyBorder="1"/>
    <xf numFmtId="37" fontId="38" fillId="2" borderId="20" xfId="0" quotePrefix="1" applyNumberFormat="1" applyFont="1" applyBorder="1"/>
    <xf numFmtId="0" fontId="4" fillId="10" borderId="2" xfId="0" applyNumberFormat="1" applyFont="1" applyFill="1" applyBorder="1" applyAlignment="1">
      <alignment horizontal="center"/>
    </xf>
    <xf numFmtId="0" fontId="4" fillId="14" borderId="6" xfId="0" applyNumberFormat="1" applyFont="1" applyFill="1" applyBorder="1" applyAlignment="1">
      <alignment horizontal="center"/>
    </xf>
    <xf numFmtId="37" fontId="0" fillId="14" borderId="6" xfId="0" applyNumberFormat="1" applyFill="1" applyBorder="1"/>
    <xf numFmtId="38" fontId="38" fillId="2" borderId="10" xfId="0" applyNumberFormat="1" applyFont="1" applyBorder="1"/>
    <xf numFmtId="0" fontId="31" fillId="2" borderId="2" xfId="0" applyNumberFormat="1" applyFont="1" applyBorder="1"/>
    <xf numFmtId="38" fontId="31" fillId="5" borderId="48" xfId="0" applyNumberFormat="1" applyFont="1" applyFill="1" applyBorder="1"/>
    <xf numFmtId="38" fontId="31" fillId="9" borderId="0" xfId="0" applyNumberFormat="1" applyFont="1" applyFill="1"/>
    <xf numFmtId="182" fontId="31" fillId="9" borderId="0" xfId="0" applyNumberFormat="1" applyFont="1" applyFill="1"/>
    <xf numFmtId="182" fontId="31" fillId="9" borderId="9" xfId="0" applyNumberFormat="1" applyFont="1" applyFill="1" applyBorder="1"/>
    <xf numFmtId="0" fontId="31" fillId="9" borderId="0" xfId="0" applyNumberFormat="1" applyFont="1" applyFill="1"/>
    <xf numFmtId="0" fontId="31" fillId="11" borderId="0" xfId="0" applyNumberFormat="1" applyFont="1" applyFill="1"/>
    <xf numFmtId="38" fontId="31" fillId="0" borderId="2" xfId="0" applyNumberFormat="1" applyFont="1" applyFill="1" applyBorder="1" applyAlignment="1">
      <alignment horizontal="right"/>
    </xf>
    <xf numFmtId="176" fontId="31" fillId="5" borderId="2" xfId="0" applyNumberFormat="1" applyFont="1" applyFill="1" applyBorder="1"/>
    <xf numFmtId="0" fontId="4" fillId="10" borderId="49" xfId="0" applyNumberFormat="1" applyFont="1" applyFill="1" applyBorder="1" applyAlignment="1">
      <alignment horizontal="center"/>
    </xf>
    <xf numFmtId="37" fontId="38" fillId="2" borderId="10" xfId="0" applyNumberFormat="1" applyFont="1" applyBorder="1"/>
    <xf numFmtId="37" fontId="44" fillId="12" borderId="10" xfId="0" applyNumberFormat="1" applyFont="1" applyFill="1" applyBorder="1"/>
    <xf numFmtId="0" fontId="4" fillId="10" borderId="9" xfId="0" applyNumberFormat="1" applyFont="1" applyFill="1" applyBorder="1" applyAlignment="1">
      <alignment horizontal="center"/>
    </xf>
    <xf numFmtId="37" fontId="48" fillId="12" borderId="9" xfId="0" applyNumberFormat="1" applyFont="1" applyFill="1" applyBorder="1"/>
    <xf numFmtId="171" fontId="31" fillId="2" borderId="0" xfId="0" applyNumberFormat="1" applyFont="1" applyBorder="1"/>
    <xf numFmtId="0" fontId="47" fillId="2" borderId="0" xfId="0" applyNumberFormat="1" applyFont="1"/>
    <xf numFmtId="37" fontId="31" fillId="8" borderId="9" xfId="0" applyNumberFormat="1" applyFont="1" applyFill="1" applyBorder="1"/>
    <xf numFmtId="38" fontId="31" fillId="12" borderId="9" xfId="0" applyNumberFormat="1" applyFont="1" applyFill="1" applyBorder="1"/>
    <xf numFmtId="0" fontId="31" fillId="10" borderId="12" xfId="0" applyNumberFormat="1" applyFont="1" applyFill="1" applyBorder="1"/>
    <xf numFmtId="38" fontId="31" fillId="10" borderId="9" xfId="0" applyNumberFormat="1" applyFont="1" applyFill="1" applyBorder="1" applyAlignment="1">
      <alignment horizontal="right"/>
    </xf>
    <xf numFmtId="38" fontId="0" fillId="2" borderId="0" xfId="0" applyNumberFormat="1" applyProtection="1">
      <protection locked="0"/>
    </xf>
    <xf numFmtId="40" fontId="0" fillId="2" borderId="0" xfId="0" applyNumberFormat="1" applyAlignment="1">
      <alignment horizontal="center"/>
    </xf>
    <xf numFmtId="176" fontId="9" fillId="2" borderId="0" xfId="0" applyNumberFormat="1" applyFont="1" applyBorder="1"/>
    <xf numFmtId="38" fontId="9" fillId="2" borderId="0" xfId="0" applyNumberFormat="1" applyFont="1" applyBorder="1"/>
    <xf numFmtId="0" fontId="9" fillId="5" borderId="0" xfId="0" applyNumberFormat="1" applyFont="1" applyFill="1" applyAlignment="1">
      <alignment horizontal="center"/>
    </xf>
    <xf numFmtId="0" fontId="13" fillId="2" borderId="0" xfId="0" applyNumberFormat="1" applyFont="1" applyBorder="1" applyAlignment="1">
      <alignment horizontal="center"/>
    </xf>
    <xf numFmtId="0" fontId="13" fillId="2" borderId="0" xfId="0" applyNumberFormat="1" applyFont="1" applyAlignment="1">
      <alignment horizontal="center"/>
    </xf>
    <xf numFmtId="0" fontId="13" fillId="2" borderId="0" xfId="0" applyNumberFormat="1" applyFont="1" applyBorder="1"/>
    <xf numFmtId="38" fontId="13" fillId="2" borderId="9" xfId="0" applyNumberFormat="1" applyFont="1" applyBorder="1" applyAlignment="1">
      <alignment horizontal="center"/>
    </xf>
    <xf numFmtId="176" fontId="13" fillId="2" borderId="2" xfId="0" applyNumberFormat="1" applyFont="1" applyBorder="1"/>
    <xf numFmtId="0" fontId="13" fillId="2" borderId="2" xfId="0" applyNumberFormat="1" applyFont="1" applyBorder="1"/>
    <xf numFmtId="37" fontId="13" fillId="2" borderId="2" xfId="0" applyNumberFormat="1" applyFont="1" applyBorder="1"/>
    <xf numFmtId="168" fontId="13" fillId="2" borderId="2" xfId="0" applyNumberFormat="1" applyFont="1" applyBorder="1"/>
    <xf numFmtId="38" fontId="13" fillId="0" borderId="2" xfId="0" applyNumberFormat="1" applyFont="1" applyFill="1" applyBorder="1" applyAlignment="1">
      <alignment horizontal="right"/>
    </xf>
    <xf numFmtId="176" fontId="13" fillId="5" borderId="2" xfId="0" applyNumberFormat="1" applyFont="1" applyFill="1" applyBorder="1"/>
    <xf numFmtId="38" fontId="13" fillId="2" borderId="2" xfId="0" applyNumberFormat="1" applyFont="1" applyBorder="1"/>
    <xf numFmtId="38" fontId="13" fillId="2" borderId="9" xfId="0" applyNumberFormat="1" applyFont="1" applyBorder="1"/>
    <xf numFmtId="171" fontId="13" fillId="2" borderId="0" xfId="0" applyNumberFormat="1" applyFont="1"/>
    <xf numFmtId="39" fontId="13" fillId="2" borderId="0" xfId="0" applyNumberFormat="1" applyFont="1"/>
    <xf numFmtId="37" fontId="49" fillId="12" borderId="9" xfId="0" applyNumberFormat="1" applyFont="1" applyFill="1" applyBorder="1"/>
    <xf numFmtId="37" fontId="13" fillId="8" borderId="9" xfId="0" applyNumberFormat="1" applyFont="1" applyFill="1" applyBorder="1"/>
    <xf numFmtId="37" fontId="13" fillId="2" borderId="9" xfId="0" applyNumberFormat="1" applyFont="1" applyBorder="1"/>
    <xf numFmtId="0" fontId="13" fillId="15" borderId="2" xfId="0" applyNumberFormat="1" applyFont="1" applyFill="1" applyBorder="1" applyAlignment="1">
      <alignment horizontal="center"/>
    </xf>
    <xf numFmtId="0" fontId="4" fillId="7" borderId="2" xfId="0" applyNumberFormat="1" applyFont="1" applyFill="1" applyBorder="1" applyAlignment="1">
      <alignment horizontal="center"/>
    </xf>
    <xf numFmtId="16" fontId="13" fillId="7" borderId="0" xfId="0" quotePrefix="1" applyNumberFormat="1" applyFont="1" applyFill="1" applyAlignment="1">
      <alignment horizontal="center"/>
    </xf>
    <xf numFmtId="0" fontId="13" fillId="7" borderId="0" xfId="0" applyNumberFormat="1" applyFont="1" applyFill="1"/>
    <xf numFmtId="38" fontId="13" fillId="7" borderId="0" xfId="0" applyNumberFormat="1" applyFont="1" applyFill="1"/>
    <xf numFmtId="182" fontId="13" fillId="7" borderId="0" xfId="0" applyNumberFormat="1" applyFont="1" applyFill="1"/>
    <xf numFmtId="182" fontId="13" fillId="7" borderId="9" xfId="0" applyNumberFormat="1" applyFont="1" applyFill="1" applyBorder="1"/>
    <xf numFmtId="37" fontId="13" fillId="5" borderId="2" xfId="0" applyNumberFormat="1" applyFont="1" applyFill="1" applyBorder="1"/>
    <xf numFmtId="37" fontId="13" fillId="5" borderId="0" xfId="0" applyNumberFormat="1" applyFont="1" applyFill="1" applyBorder="1"/>
    <xf numFmtId="0" fontId="13" fillId="5" borderId="0" xfId="0" applyNumberFormat="1" applyFont="1" applyFill="1"/>
    <xf numFmtId="37" fontId="13" fillId="5" borderId="0" xfId="0" applyNumberFormat="1" applyFont="1" applyFill="1" applyBorder="1" applyAlignment="1">
      <alignment horizontal="center"/>
    </xf>
    <xf numFmtId="37" fontId="13" fillId="5" borderId="2" xfId="0" applyNumberFormat="1" applyFont="1" applyFill="1" applyBorder="1" applyAlignment="1">
      <alignment horizontal="center"/>
    </xf>
    <xf numFmtId="171" fontId="13" fillId="5" borderId="2" xfId="0" applyNumberFormat="1" applyFont="1" applyFill="1" applyBorder="1"/>
    <xf numFmtId="171" fontId="13" fillId="5" borderId="0" xfId="0" applyNumberFormat="1" applyFont="1" applyFill="1" applyBorder="1"/>
    <xf numFmtId="38" fontId="13" fillId="5" borderId="2" xfId="0" applyNumberFormat="1" applyFont="1" applyFill="1" applyBorder="1"/>
    <xf numFmtId="38" fontId="13" fillId="5" borderId="0" xfId="0" applyNumberFormat="1" applyFont="1" applyFill="1" applyBorder="1"/>
    <xf numFmtId="0" fontId="13" fillId="5" borderId="0" xfId="0" quotePrefix="1" applyNumberFormat="1" applyFont="1" applyFill="1"/>
    <xf numFmtId="176" fontId="13" fillId="5" borderId="0" xfId="0" applyNumberFormat="1" applyFont="1" applyFill="1" applyBorder="1"/>
    <xf numFmtId="40" fontId="13" fillId="5" borderId="2" xfId="0" applyNumberFormat="1" applyFont="1" applyFill="1" applyBorder="1"/>
    <xf numFmtId="40" fontId="13" fillId="5" borderId="0" xfId="0" applyNumberFormat="1" applyFont="1" applyFill="1" applyBorder="1"/>
    <xf numFmtId="38" fontId="13" fillId="5" borderId="9" xfId="0" applyNumberFormat="1" applyFont="1" applyFill="1" applyBorder="1"/>
    <xf numFmtId="38" fontId="13" fillId="5" borderId="0" xfId="0" applyNumberFormat="1" applyFont="1" applyFill="1"/>
    <xf numFmtId="38" fontId="13" fillId="5" borderId="8" xfId="0" applyNumberFormat="1" applyFont="1" applyFill="1" applyBorder="1"/>
    <xf numFmtId="38" fontId="31" fillId="2" borderId="0" xfId="0" applyNumberFormat="1" applyFont="1" applyBorder="1" applyAlignment="1">
      <alignment horizontal="right"/>
    </xf>
    <xf numFmtId="0" fontId="13" fillId="2" borderId="0" xfId="0" quotePrefix="1" applyNumberFormat="1" applyFont="1" applyAlignment="1">
      <alignment horizontal="center"/>
    </xf>
    <xf numFmtId="37" fontId="13" fillId="2" borderId="0" xfId="0" applyNumberFormat="1" applyFont="1" applyBorder="1"/>
    <xf numFmtId="176" fontId="13" fillId="2" borderId="0" xfId="0" applyNumberFormat="1" applyFont="1" applyBorder="1"/>
    <xf numFmtId="37" fontId="13" fillId="2" borderId="0" xfId="0" applyNumberFormat="1" applyFont="1" applyBorder="1" applyAlignment="1">
      <alignment horizontal="center"/>
    </xf>
    <xf numFmtId="37" fontId="13" fillId="2" borderId="2" xfId="0" applyNumberFormat="1" applyFont="1" applyBorder="1" applyAlignment="1">
      <alignment horizontal="center"/>
    </xf>
    <xf numFmtId="168" fontId="13" fillId="2" borderId="0" xfId="0" applyNumberFormat="1" applyFont="1" applyBorder="1"/>
    <xf numFmtId="38" fontId="13" fillId="2" borderId="0" xfId="0" applyNumberFormat="1" applyFont="1" applyBorder="1"/>
    <xf numFmtId="40" fontId="13" fillId="2" borderId="2" xfId="0" applyNumberFormat="1" applyFont="1" applyBorder="1"/>
    <xf numFmtId="40" fontId="13" fillId="2" borderId="0" xfId="0" applyNumberFormat="1" applyFont="1" applyBorder="1"/>
    <xf numFmtId="38" fontId="13" fillId="2" borderId="0" xfId="0" applyNumberFormat="1" applyFont="1"/>
    <xf numFmtId="38" fontId="13" fillId="2" borderId="8" xfId="0" applyNumberFormat="1" applyFont="1" applyBorder="1"/>
    <xf numFmtId="0" fontId="13" fillId="2" borderId="9" xfId="0" applyNumberFormat="1" applyFont="1" applyBorder="1" applyAlignment="1" applyProtection="1">
      <alignment horizontal="center"/>
      <protection locked="0"/>
    </xf>
    <xf numFmtId="0" fontId="13" fillId="2" borderId="9" xfId="0" applyNumberFormat="1" applyFont="1" applyBorder="1" applyAlignment="1">
      <alignment horizontal="center"/>
    </xf>
    <xf numFmtId="38" fontId="13" fillId="15" borderId="2" xfId="0" applyNumberFormat="1" applyFont="1" applyFill="1" applyBorder="1"/>
    <xf numFmtId="0" fontId="50" fillId="2" borderId="0" xfId="0" applyFont="1" applyBorder="1" applyAlignment="1">
      <alignment horizontal="center"/>
    </xf>
    <xf numFmtId="0" fontId="38" fillId="5" borderId="0" xfId="0" applyNumberFormat="1" applyFont="1" applyFill="1" applyAlignment="1">
      <alignment horizontal="center"/>
    </xf>
    <xf numFmtId="37" fontId="13" fillId="2" borderId="0" xfId="0" applyNumberFormat="1" applyFont="1" applyAlignment="1">
      <alignment horizontal="center"/>
    </xf>
    <xf numFmtId="38" fontId="13" fillId="2" borderId="0" xfId="0" applyNumberFormat="1" applyFont="1" applyAlignment="1">
      <alignment horizontal="center"/>
    </xf>
    <xf numFmtId="0" fontId="51" fillId="2" borderId="0" xfId="0" applyNumberFormat="1" applyFont="1" applyAlignment="1">
      <alignment horizontal="center"/>
    </xf>
    <xf numFmtId="0" fontId="51" fillId="2" borderId="0" xfId="0" applyNumberFormat="1" applyFont="1" applyBorder="1" applyAlignment="1">
      <alignment horizontal="center"/>
    </xf>
    <xf numFmtId="38" fontId="13" fillId="2" borderId="36" xfId="0" applyNumberFormat="1" applyFont="1" applyBorder="1"/>
    <xf numFmtId="0" fontId="0" fillId="7" borderId="0" xfId="0" applyNumberFormat="1" applyFill="1"/>
    <xf numFmtId="38" fontId="38" fillId="2" borderId="0" xfId="0" applyNumberFormat="1" applyFont="1" applyAlignment="1">
      <alignment horizontal="center"/>
    </xf>
    <xf numFmtId="38" fontId="31" fillId="2" borderId="0" xfId="0" applyNumberFormat="1" applyFont="1" applyAlignment="1">
      <alignment horizontal="center"/>
    </xf>
    <xf numFmtId="0" fontId="13" fillId="2" borderId="0" xfId="0" applyNumberFormat="1" applyFont="1" applyAlignment="1">
      <alignment horizontal="left"/>
    </xf>
    <xf numFmtId="14" fontId="4" fillId="2" borderId="0" xfId="0" applyNumberFormat="1" applyFont="1"/>
    <xf numFmtId="38" fontId="13" fillId="2" borderId="0" xfId="0" applyNumberFormat="1" applyFont="1" applyBorder="1" applyAlignment="1" applyProtection="1">
      <alignment horizontal="right"/>
      <protection locked="0"/>
    </xf>
    <xf numFmtId="37" fontId="13" fillId="2" borderId="0" xfId="0" applyNumberFormat="1" applyFont="1" applyBorder="1" applyAlignment="1" applyProtection="1">
      <alignment horizontal="center"/>
      <protection locked="0"/>
    </xf>
    <xf numFmtId="176" fontId="13" fillId="2" borderId="0" xfId="0" applyNumberFormat="1" applyFont="1" applyBorder="1" applyAlignment="1" applyProtection="1">
      <alignment horizontal="right"/>
      <protection locked="0"/>
    </xf>
    <xf numFmtId="0" fontId="52" fillId="2" borderId="0" xfId="0" applyNumberFormat="1" applyFont="1" applyAlignment="1">
      <alignment horizontal="right"/>
    </xf>
    <xf numFmtId="0" fontId="52" fillId="2" borderId="0" xfId="0" applyNumberFormat="1" applyFont="1"/>
    <xf numFmtId="0" fontId="52" fillId="2" borderId="0" xfId="0" applyNumberFormat="1" applyFont="1" applyBorder="1"/>
    <xf numFmtId="0" fontId="52" fillId="5" borderId="0" xfId="0" quotePrefix="1" applyNumberFormat="1" applyFont="1" applyFill="1"/>
    <xf numFmtId="0" fontId="53" fillId="5" borderId="0" xfId="0" quotePrefix="1" applyNumberFormat="1" applyFont="1" applyFill="1"/>
    <xf numFmtId="0" fontId="52" fillId="6" borderId="0" xfId="0" applyNumberFormat="1" applyFont="1" applyFill="1"/>
    <xf numFmtId="0" fontId="52" fillId="2" borderId="0" xfId="0" applyNumberFormat="1" applyFont="1" applyAlignment="1">
      <alignment horizontal="center"/>
    </xf>
    <xf numFmtId="0" fontId="53" fillId="2" borderId="0" xfId="0" applyNumberFormat="1" applyFont="1"/>
    <xf numFmtId="168" fontId="52" fillId="2" borderId="0" xfId="0" applyNumberFormat="1" applyFont="1"/>
    <xf numFmtId="165" fontId="53" fillId="2" borderId="0" xfId="0" applyNumberFormat="1" applyFont="1"/>
    <xf numFmtId="165" fontId="52" fillId="2" borderId="0" xfId="0" applyNumberFormat="1" applyFont="1"/>
    <xf numFmtId="164" fontId="52" fillId="2" borderId="0" xfId="0" applyNumberFormat="1" applyFont="1" applyProtection="1">
      <protection locked="0"/>
    </xf>
    <xf numFmtId="164" fontId="52" fillId="2" borderId="0" xfId="0" applyNumberFormat="1" applyFont="1"/>
    <xf numFmtId="37" fontId="52" fillId="2" borderId="0" xfId="0" applyNumberFormat="1" applyFont="1"/>
    <xf numFmtId="176" fontId="52" fillId="2" borderId="2" xfId="0" applyNumberFormat="1" applyFont="1" applyBorder="1"/>
    <xf numFmtId="0" fontId="52" fillId="2" borderId="2" xfId="0" applyNumberFormat="1" applyFont="1" applyBorder="1"/>
    <xf numFmtId="37" fontId="52" fillId="2" borderId="2" xfId="0" applyNumberFormat="1" applyFont="1" applyBorder="1"/>
    <xf numFmtId="168" fontId="52" fillId="2" borderId="2" xfId="0" applyNumberFormat="1" applyFont="1" applyBorder="1"/>
    <xf numFmtId="38" fontId="52" fillId="0" borderId="2" xfId="0" applyNumberFormat="1" applyFont="1" applyFill="1" applyBorder="1" applyAlignment="1">
      <alignment horizontal="right"/>
    </xf>
    <xf numFmtId="176" fontId="52" fillId="5" borderId="2" xfId="0" applyNumberFormat="1" applyFont="1" applyFill="1" applyBorder="1"/>
    <xf numFmtId="38" fontId="52" fillId="2" borderId="2" xfId="0" applyNumberFormat="1" applyFont="1" applyBorder="1"/>
    <xf numFmtId="38" fontId="52" fillId="2" borderId="9" xfId="0" applyNumberFormat="1" applyFont="1" applyBorder="1"/>
    <xf numFmtId="171" fontId="52" fillId="2" borderId="0" xfId="0" applyNumberFormat="1" applyFont="1"/>
    <xf numFmtId="39" fontId="52" fillId="2" borderId="0" xfId="0" applyNumberFormat="1" applyFont="1"/>
    <xf numFmtId="37" fontId="54" fillId="12" borderId="9" xfId="0" applyNumberFormat="1" applyFont="1" applyFill="1" applyBorder="1"/>
    <xf numFmtId="37" fontId="52" fillId="8" borderId="9" xfId="0" applyNumberFormat="1" applyFont="1" applyFill="1" applyBorder="1"/>
    <xf numFmtId="37" fontId="52" fillId="2" borderId="9" xfId="0" applyNumberFormat="1" applyFont="1" applyBorder="1"/>
    <xf numFmtId="0" fontId="52" fillId="16" borderId="2" xfId="0" applyNumberFormat="1" applyFont="1" applyFill="1" applyBorder="1" applyAlignment="1">
      <alignment horizontal="center"/>
    </xf>
    <xf numFmtId="0" fontId="13" fillId="16" borderId="0" xfId="0" applyNumberFormat="1" applyFont="1" applyFill="1"/>
    <xf numFmtId="0" fontId="52" fillId="2" borderId="0" xfId="0" quotePrefix="1" applyNumberFormat="1" applyFont="1" applyAlignment="1">
      <alignment horizontal="center"/>
    </xf>
    <xf numFmtId="37" fontId="52" fillId="2" borderId="0" xfId="0" applyNumberFormat="1" applyFont="1" applyBorder="1"/>
    <xf numFmtId="176" fontId="52" fillId="2" borderId="0" xfId="0" applyNumberFormat="1" applyFont="1" applyBorder="1"/>
    <xf numFmtId="37" fontId="52" fillId="2" borderId="0" xfId="0" applyNumberFormat="1" applyFont="1" applyBorder="1" applyAlignment="1">
      <alignment horizontal="center"/>
    </xf>
    <xf numFmtId="37" fontId="52" fillId="2" borderId="2" xfId="0" applyNumberFormat="1" applyFont="1" applyBorder="1" applyAlignment="1">
      <alignment horizontal="center"/>
    </xf>
    <xf numFmtId="168" fontId="52" fillId="2" borderId="0" xfId="0" applyNumberFormat="1" applyFont="1" applyBorder="1"/>
    <xf numFmtId="38" fontId="52" fillId="2" borderId="0" xfId="0" applyNumberFormat="1" applyFont="1" applyBorder="1"/>
    <xf numFmtId="40" fontId="52" fillId="2" borderId="2" xfId="0" applyNumberFormat="1" applyFont="1" applyBorder="1"/>
    <xf numFmtId="40" fontId="52" fillId="2" borderId="0" xfId="0" applyNumberFormat="1" applyFont="1" applyBorder="1"/>
    <xf numFmtId="38" fontId="52" fillId="2" borderId="0" xfId="0" applyNumberFormat="1" applyFont="1"/>
    <xf numFmtId="38" fontId="52" fillId="2" borderId="8" xfId="0" applyNumberFormat="1" applyFont="1" applyBorder="1"/>
    <xf numFmtId="0" fontId="52" fillId="2" borderId="9" xfId="0" applyNumberFormat="1" applyFont="1" applyBorder="1" applyAlignment="1" applyProtection="1">
      <alignment horizontal="center"/>
      <protection locked="0"/>
    </xf>
    <xf numFmtId="0" fontId="52" fillId="2" borderId="9" xfId="0" applyNumberFormat="1" applyFont="1" applyBorder="1" applyAlignment="1">
      <alignment horizontal="center"/>
    </xf>
    <xf numFmtId="38" fontId="52" fillId="16" borderId="2" xfId="0" applyNumberFormat="1" applyFont="1" applyFill="1" applyBorder="1"/>
    <xf numFmtId="37" fontId="52" fillId="5" borderId="2" xfId="0" applyNumberFormat="1" applyFont="1" applyFill="1" applyBorder="1"/>
    <xf numFmtId="37" fontId="52" fillId="5" borderId="0" xfId="0" applyNumberFormat="1" applyFont="1" applyFill="1" applyBorder="1"/>
    <xf numFmtId="0" fontId="52" fillId="5" borderId="0" xfId="0" applyNumberFormat="1" applyFont="1" applyFill="1"/>
    <xf numFmtId="37" fontId="52" fillId="5" borderId="2" xfId="0" applyNumberFormat="1" applyFont="1" applyFill="1" applyBorder="1" applyAlignment="1">
      <alignment horizontal="center"/>
    </xf>
    <xf numFmtId="37" fontId="52" fillId="5" borderId="0" xfId="0" applyNumberFormat="1" applyFont="1" applyFill="1" applyBorder="1" applyAlignment="1">
      <alignment horizontal="center"/>
    </xf>
    <xf numFmtId="171" fontId="52" fillId="5" borderId="2" xfId="0" applyNumberFormat="1" applyFont="1" applyFill="1" applyBorder="1"/>
    <xf numFmtId="171" fontId="52" fillId="5" borderId="0" xfId="0" applyNumberFormat="1" applyFont="1" applyFill="1" applyBorder="1"/>
    <xf numFmtId="38" fontId="52" fillId="5" borderId="2" xfId="0" applyNumberFormat="1" applyFont="1" applyFill="1" applyBorder="1"/>
    <xf numFmtId="38" fontId="52" fillId="5" borderId="0" xfId="0" applyNumberFormat="1" applyFont="1" applyFill="1" applyBorder="1"/>
    <xf numFmtId="176" fontId="52" fillId="5" borderId="0" xfId="0" applyNumberFormat="1" applyFont="1" applyFill="1" applyBorder="1"/>
    <xf numFmtId="40" fontId="52" fillId="5" borderId="2" xfId="0" applyNumberFormat="1" applyFont="1" applyFill="1" applyBorder="1"/>
    <xf numFmtId="40" fontId="52" fillId="5" borderId="0" xfId="0" applyNumberFormat="1" applyFont="1" applyFill="1" applyBorder="1"/>
    <xf numFmtId="38" fontId="52" fillId="5" borderId="9" xfId="0" applyNumberFormat="1" applyFont="1" applyFill="1" applyBorder="1"/>
    <xf numFmtId="38" fontId="52" fillId="5" borderId="0" xfId="0" applyNumberFormat="1" applyFont="1" applyFill="1"/>
    <xf numFmtId="38" fontId="52" fillId="5" borderId="8" xfId="0" applyNumberFormat="1" applyFont="1" applyFill="1" applyBorder="1"/>
    <xf numFmtId="38" fontId="52" fillId="2" borderId="0" xfId="0" applyNumberFormat="1" applyFont="1" applyAlignment="1">
      <alignment horizontal="center"/>
    </xf>
    <xf numFmtId="0" fontId="55" fillId="2" borderId="0" xfId="0" applyFont="1" applyBorder="1" applyAlignment="1">
      <alignment horizontal="center"/>
    </xf>
    <xf numFmtId="38" fontId="52" fillId="2" borderId="9" xfId="0" applyNumberFormat="1" applyFont="1" applyBorder="1" applyAlignment="1">
      <alignment horizontal="center"/>
    </xf>
    <xf numFmtId="16" fontId="52" fillId="2" borderId="0" xfId="0" quotePrefix="1" applyNumberFormat="1" applyFont="1" applyAlignment="1">
      <alignment horizontal="center"/>
    </xf>
    <xf numFmtId="0" fontId="56" fillId="2" borderId="0" xfId="0" applyNumberFormat="1" applyFont="1" applyAlignment="1">
      <alignment horizontal="center"/>
    </xf>
    <xf numFmtId="0" fontId="56" fillId="2" borderId="0" xfId="0" applyNumberFormat="1" applyFont="1" applyBorder="1" applyAlignment="1">
      <alignment horizontal="center"/>
    </xf>
    <xf numFmtId="38" fontId="52" fillId="2" borderId="36" xfId="0" applyNumberFormat="1" applyFont="1" applyBorder="1"/>
    <xf numFmtId="168" fontId="52" fillId="5" borderId="2" xfId="0" applyNumberFormat="1" applyFont="1" applyFill="1" applyBorder="1"/>
    <xf numFmtId="38" fontId="13" fillId="12" borderId="48" xfId="0" applyNumberFormat="1" applyFont="1" applyFill="1" applyBorder="1"/>
    <xf numFmtId="38" fontId="52" fillId="12" borderId="48" xfId="0" applyNumberFormat="1" applyFont="1" applyFill="1" applyBorder="1"/>
    <xf numFmtId="0" fontId="28" fillId="2" borderId="0" xfId="0" applyNumberFormat="1" applyFont="1" applyAlignment="1">
      <alignment horizontal="right"/>
    </xf>
    <xf numFmtId="14" fontId="28" fillId="2" borderId="0" xfId="0" applyNumberFormat="1" applyFont="1" applyAlignment="1">
      <alignment horizontal="right"/>
    </xf>
    <xf numFmtId="0" fontId="28" fillId="2" borderId="0" xfId="0" applyNumberFormat="1" applyFont="1" applyAlignment="1">
      <alignment horizontal="center"/>
    </xf>
    <xf numFmtId="0" fontId="28" fillId="14" borderId="2" xfId="0" applyNumberFormat="1" applyFont="1" applyFill="1" applyBorder="1" applyAlignment="1">
      <alignment horizontal="center"/>
    </xf>
    <xf numFmtId="176" fontId="28" fillId="2" borderId="2" xfId="0" applyNumberFormat="1" applyFont="1" applyBorder="1"/>
    <xf numFmtId="0" fontId="28" fillId="2" borderId="0" xfId="0" applyNumberFormat="1" applyFont="1" applyBorder="1"/>
    <xf numFmtId="0" fontId="28" fillId="2" borderId="2" xfId="0" applyNumberFormat="1" applyFont="1" applyBorder="1"/>
    <xf numFmtId="38" fontId="28" fillId="12" borderId="48" xfId="0" applyNumberFormat="1" applyFont="1" applyFill="1" applyBorder="1"/>
    <xf numFmtId="37" fontId="28" fillId="2" borderId="2" xfId="0" applyNumberFormat="1" applyFont="1" applyBorder="1"/>
    <xf numFmtId="168" fontId="28" fillId="2" borderId="2" xfId="0" applyNumberFormat="1" applyFont="1" applyBorder="1"/>
    <xf numFmtId="38" fontId="28" fillId="0" borderId="2" xfId="0" applyNumberFormat="1" applyFont="1" applyFill="1" applyBorder="1" applyAlignment="1">
      <alignment horizontal="right"/>
    </xf>
    <xf numFmtId="176" fontId="28" fillId="5" borderId="2" xfId="0" applyNumberFormat="1" applyFont="1" applyFill="1" applyBorder="1"/>
    <xf numFmtId="38" fontId="28" fillId="2" borderId="2" xfId="0" applyNumberFormat="1" applyFont="1" applyBorder="1"/>
    <xf numFmtId="38" fontId="28" fillId="2" borderId="9" xfId="0" applyNumberFormat="1" applyFont="1" applyBorder="1"/>
    <xf numFmtId="37" fontId="57" fillId="12" borderId="9" xfId="0" applyNumberFormat="1" applyFont="1" applyFill="1" applyBorder="1"/>
    <xf numFmtId="37" fontId="28" fillId="8" borderId="9" xfId="0" applyNumberFormat="1" applyFont="1" applyFill="1" applyBorder="1"/>
    <xf numFmtId="37" fontId="28" fillId="2" borderId="9" xfId="0" applyNumberFormat="1" applyFont="1" applyBorder="1"/>
    <xf numFmtId="38" fontId="28" fillId="2" borderId="0" xfId="0" applyNumberFormat="1" applyFont="1" applyAlignment="1">
      <alignment horizontal="center"/>
    </xf>
    <xf numFmtId="0" fontId="27" fillId="2" borderId="0" xfId="0" applyNumberFormat="1" applyFont="1" applyAlignment="1">
      <alignment horizontal="right"/>
    </xf>
    <xf numFmtId="14" fontId="27" fillId="2" borderId="0" xfId="0" applyNumberFormat="1" applyFont="1" applyAlignment="1">
      <alignment horizontal="right"/>
    </xf>
    <xf numFmtId="0" fontId="27" fillId="2" borderId="0" xfId="0" applyNumberFormat="1" applyFont="1"/>
    <xf numFmtId="0" fontId="27" fillId="2" borderId="0" xfId="0" applyNumberFormat="1" applyFont="1" applyAlignment="1">
      <alignment horizontal="center"/>
    </xf>
    <xf numFmtId="176" fontId="27" fillId="2" borderId="2" xfId="0" applyNumberFormat="1" applyFont="1" applyBorder="1"/>
    <xf numFmtId="0" fontId="27" fillId="2" borderId="0" xfId="0" applyNumberFormat="1" applyFont="1" applyBorder="1"/>
    <xf numFmtId="0" fontId="27" fillId="2" borderId="2" xfId="0" applyNumberFormat="1" applyFont="1" applyBorder="1"/>
    <xf numFmtId="38" fontId="27" fillId="12" borderId="48" xfId="0" applyNumberFormat="1" applyFont="1" applyFill="1" applyBorder="1"/>
    <xf numFmtId="37" fontId="27" fillId="2" borderId="2" xfId="0" applyNumberFormat="1" applyFont="1" applyBorder="1"/>
    <xf numFmtId="168" fontId="27" fillId="2" borderId="2" xfId="0" applyNumberFormat="1" applyFont="1" applyBorder="1"/>
    <xf numFmtId="38" fontId="27" fillId="0" borderId="2" xfId="0" applyNumberFormat="1" applyFont="1" applyFill="1" applyBorder="1" applyAlignment="1">
      <alignment horizontal="right"/>
    </xf>
    <xf numFmtId="176" fontId="27" fillId="5" borderId="2" xfId="0" applyNumberFormat="1" applyFont="1" applyFill="1" applyBorder="1"/>
    <xf numFmtId="38" fontId="27" fillId="2" borderId="2" xfId="0" applyNumberFormat="1" applyFont="1" applyBorder="1"/>
    <xf numFmtId="38" fontId="27" fillId="2" borderId="9" xfId="0" applyNumberFormat="1" applyFont="1" applyBorder="1"/>
    <xf numFmtId="37" fontId="58" fillId="12" borderId="9" xfId="0" applyNumberFormat="1" applyFont="1" applyFill="1" applyBorder="1"/>
    <xf numFmtId="37" fontId="27" fillId="8" borderId="9" xfId="0" applyNumberFormat="1" applyFont="1" applyFill="1" applyBorder="1"/>
    <xf numFmtId="37" fontId="27" fillId="2" borderId="9" xfId="0" applyNumberFormat="1" applyFont="1" applyBorder="1"/>
    <xf numFmtId="38" fontId="27" fillId="2" borderId="0" xfId="0" applyNumberFormat="1" applyFont="1" applyAlignment="1">
      <alignment horizontal="center"/>
    </xf>
    <xf numFmtId="0" fontId="27" fillId="17" borderId="2" xfId="0" applyNumberFormat="1" applyFont="1" applyFill="1" applyBorder="1" applyAlignment="1">
      <alignment horizontal="center"/>
    </xf>
    <xf numFmtId="0" fontId="59" fillId="2" borderId="0" xfId="0" applyNumberFormat="1" applyFont="1" applyAlignment="1">
      <alignment horizontal="right"/>
    </xf>
    <xf numFmtId="0" fontId="59" fillId="2" borderId="0" xfId="0" applyNumberFormat="1" applyFont="1"/>
    <xf numFmtId="0" fontId="59" fillId="2" borderId="0" xfId="0" applyNumberFormat="1" applyFont="1" applyAlignment="1">
      <alignment horizontal="center"/>
    </xf>
    <xf numFmtId="176" fontId="59" fillId="2" borderId="2" xfId="0" applyNumberFormat="1" applyFont="1" applyBorder="1"/>
    <xf numFmtId="0" fontId="59" fillId="2" borderId="0" xfId="0" applyNumberFormat="1" applyFont="1" applyBorder="1"/>
    <xf numFmtId="0" fontId="59" fillId="2" borderId="2" xfId="0" applyNumberFormat="1" applyFont="1" applyBorder="1"/>
    <xf numFmtId="38" fontId="59" fillId="12" borderId="48" xfId="0" applyNumberFormat="1" applyFont="1" applyFill="1" applyBorder="1"/>
    <xf numFmtId="37" fontId="59" fillId="2" borderId="2" xfId="0" applyNumberFormat="1" applyFont="1" applyBorder="1"/>
    <xf numFmtId="168" fontId="59" fillId="2" borderId="2" xfId="0" applyNumberFormat="1" applyFont="1" applyBorder="1"/>
    <xf numFmtId="38" fontId="59" fillId="0" borderId="2" xfId="0" applyNumberFormat="1" applyFont="1" applyFill="1" applyBorder="1" applyAlignment="1">
      <alignment horizontal="right"/>
    </xf>
    <xf numFmtId="176" fontId="59" fillId="5" borderId="2" xfId="0" applyNumberFormat="1" applyFont="1" applyFill="1" applyBorder="1"/>
    <xf numFmtId="38" fontId="59" fillId="2" borderId="2" xfId="0" applyNumberFormat="1" applyFont="1" applyBorder="1"/>
    <xf numFmtId="38" fontId="59" fillId="2" borderId="9" xfId="0" applyNumberFormat="1" applyFont="1" applyBorder="1"/>
    <xf numFmtId="37" fontId="60" fillId="12" borderId="9" xfId="0" applyNumberFormat="1" applyFont="1" applyFill="1" applyBorder="1"/>
    <xf numFmtId="37" fontId="59" fillId="2" borderId="9" xfId="0" applyNumberFormat="1" applyFont="1" applyBorder="1"/>
    <xf numFmtId="38" fontId="59" fillId="2" borderId="0" xfId="0" applyNumberFormat="1" applyFont="1" applyAlignment="1">
      <alignment horizontal="center"/>
    </xf>
    <xf numFmtId="0" fontId="59" fillId="18" borderId="2" xfId="0" applyNumberFormat="1" applyFont="1" applyFill="1" applyBorder="1" applyAlignment="1">
      <alignment horizontal="center"/>
    </xf>
    <xf numFmtId="165" fontId="4" fillId="2" borderId="0" xfId="0" quotePrefix="1" applyNumberFormat="1" applyFont="1" applyAlignment="1">
      <alignment horizontal="center"/>
    </xf>
    <xf numFmtId="171" fontId="13" fillId="2" borderId="0" xfId="0" applyNumberFormat="1" applyFont="1" applyAlignment="1">
      <alignment horizontal="right"/>
    </xf>
    <xf numFmtId="39" fontId="13" fillId="2" borderId="0" xfId="0" applyNumberFormat="1" applyFont="1" applyAlignment="1">
      <alignment horizontal="right"/>
    </xf>
    <xf numFmtId="0" fontId="13" fillId="2" borderId="0" xfId="0" applyNumberFormat="1" applyFont="1" applyAlignment="1">
      <alignment horizontal="right"/>
    </xf>
    <xf numFmtId="171" fontId="52" fillId="2" borderId="0" xfId="0" applyNumberFormat="1" applyFont="1" applyAlignment="1">
      <alignment horizontal="right"/>
    </xf>
    <xf numFmtId="39" fontId="52" fillId="2" borderId="0" xfId="0" applyNumberFormat="1" applyFont="1" applyAlignment="1">
      <alignment horizontal="right"/>
    </xf>
    <xf numFmtId="171" fontId="28" fillId="2" borderId="0" xfId="0" applyNumberFormat="1" applyFont="1" applyAlignment="1">
      <alignment horizontal="right"/>
    </xf>
    <xf numFmtId="39" fontId="28" fillId="2" borderId="0" xfId="0" applyNumberFormat="1" applyFont="1" applyAlignment="1">
      <alignment horizontal="right"/>
    </xf>
    <xf numFmtId="171" fontId="27" fillId="2" borderId="0" xfId="0" applyNumberFormat="1" applyFont="1" applyAlignment="1">
      <alignment horizontal="right"/>
    </xf>
    <xf numFmtId="39" fontId="27" fillId="2" borderId="0" xfId="0" applyNumberFormat="1" applyFont="1" applyAlignment="1">
      <alignment horizontal="right"/>
    </xf>
    <xf numFmtId="171" fontId="59" fillId="2" borderId="0" xfId="0" applyNumberFormat="1" applyFont="1" applyAlignment="1">
      <alignment horizontal="right"/>
    </xf>
    <xf numFmtId="39" fontId="59" fillId="2" borderId="0" xfId="0" applyNumberFormat="1" applyFont="1" applyAlignment="1">
      <alignment horizontal="right"/>
    </xf>
    <xf numFmtId="16" fontId="28" fillId="2" borderId="0" xfId="0" quotePrefix="1" applyNumberFormat="1" applyFont="1" applyAlignment="1">
      <alignment horizontal="center"/>
    </xf>
    <xf numFmtId="16" fontId="27" fillId="2" borderId="0" xfId="0" quotePrefix="1" applyNumberFormat="1" applyFont="1" applyAlignment="1">
      <alignment horizontal="center"/>
    </xf>
    <xf numFmtId="16" fontId="59" fillId="2" borderId="0" xfId="0" quotePrefix="1" applyNumberFormat="1" applyFont="1" applyAlignment="1">
      <alignment horizontal="center"/>
    </xf>
    <xf numFmtId="168" fontId="28" fillId="11" borderId="2" xfId="0" applyNumberFormat="1" applyFont="1" applyFill="1" applyBorder="1"/>
    <xf numFmtId="168" fontId="27" fillId="11" borderId="2" xfId="0" applyNumberFormat="1" applyFont="1" applyFill="1" applyBorder="1"/>
    <xf numFmtId="168" fontId="59" fillId="11" borderId="2" xfId="0" applyNumberFormat="1" applyFont="1" applyFill="1" applyBorder="1"/>
    <xf numFmtId="16" fontId="28" fillId="14" borderId="0" xfId="0" quotePrefix="1" applyNumberFormat="1" applyFont="1" applyFill="1" applyAlignment="1">
      <alignment horizontal="center"/>
    </xf>
    <xf numFmtId="0" fontId="28" fillId="14" borderId="0" xfId="0" applyNumberFormat="1" applyFont="1" applyFill="1"/>
    <xf numFmtId="38" fontId="28" fillId="14" borderId="0" xfId="0" applyNumberFormat="1" applyFont="1" applyFill="1"/>
    <xf numFmtId="182" fontId="28" fillId="14" borderId="0" xfId="0" applyNumberFormat="1" applyFont="1" applyFill="1"/>
    <xf numFmtId="182" fontId="28" fillId="14" borderId="9" xfId="0" applyNumberFormat="1" applyFont="1" applyFill="1" applyBorder="1"/>
    <xf numFmtId="0" fontId="13" fillId="14" borderId="0" xfId="0" applyNumberFormat="1" applyFont="1" applyFill="1" applyAlignment="1">
      <alignment horizontal="right"/>
    </xf>
    <xf numFmtId="0" fontId="0" fillId="14" borderId="0" xfId="0" applyNumberFormat="1" applyFill="1" applyAlignment="1">
      <alignment horizontal="right"/>
    </xf>
    <xf numFmtId="0" fontId="28" fillId="18" borderId="0" xfId="0" applyNumberFormat="1" applyFont="1" applyFill="1"/>
    <xf numFmtId="16" fontId="59" fillId="18" borderId="0" xfId="0" quotePrefix="1" applyNumberFormat="1" applyFont="1" applyFill="1" applyAlignment="1">
      <alignment horizontal="center"/>
    </xf>
    <xf numFmtId="0" fontId="59" fillId="18" borderId="0" xfId="0" applyNumberFormat="1" applyFont="1" applyFill="1"/>
    <xf numFmtId="38" fontId="59" fillId="18" borderId="0" xfId="0" applyNumberFormat="1" applyFont="1" applyFill="1"/>
    <xf numFmtId="182" fontId="59" fillId="18" borderId="0" xfId="0" applyNumberFormat="1" applyFont="1" applyFill="1"/>
    <xf numFmtId="182" fontId="59" fillId="18" borderId="9" xfId="0" applyNumberFormat="1" applyFont="1" applyFill="1" applyBorder="1"/>
    <xf numFmtId="0" fontId="59" fillId="18" borderId="0" xfId="0" applyNumberFormat="1" applyFont="1" applyFill="1" applyAlignment="1">
      <alignment horizontal="right"/>
    </xf>
    <xf numFmtId="16" fontId="27" fillId="17" borderId="0" xfId="0" quotePrefix="1" applyNumberFormat="1" applyFont="1" applyFill="1" applyAlignment="1">
      <alignment horizontal="center"/>
    </xf>
    <xf numFmtId="0" fontId="27" fillId="17" borderId="0" xfId="0" applyNumberFormat="1" applyFont="1" applyFill="1"/>
    <xf numFmtId="0" fontId="28" fillId="17" borderId="0" xfId="0" applyNumberFormat="1" applyFont="1" applyFill="1"/>
    <xf numFmtId="38" fontId="27" fillId="17" borderId="0" xfId="0" applyNumberFormat="1" applyFont="1" applyFill="1"/>
    <xf numFmtId="182" fontId="27" fillId="17" borderId="0" xfId="0" applyNumberFormat="1" applyFont="1" applyFill="1"/>
    <xf numFmtId="182" fontId="27" fillId="17" borderId="9" xfId="0" applyNumberFormat="1" applyFont="1" applyFill="1" applyBorder="1"/>
    <xf numFmtId="0" fontId="27" fillId="17" borderId="0" xfId="0" applyNumberFormat="1" applyFont="1" applyFill="1" applyAlignment="1">
      <alignment horizontal="right"/>
    </xf>
    <xf numFmtId="0" fontId="13" fillId="17" borderId="0" xfId="0" applyNumberFormat="1" applyFont="1" applyFill="1" applyAlignment="1">
      <alignment horizontal="right"/>
    </xf>
    <xf numFmtId="0" fontId="0" fillId="17" borderId="0" xfId="0" applyNumberFormat="1" applyFill="1" applyAlignment="1">
      <alignment horizontal="right"/>
    </xf>
    <xf numFmtId="16" fontId="52" fillId="16" borderId="0" xfId="0" quotePrefix="1" applyNumberFormat="1" applyFont="1" applyFill="1" applyAlignment="1">
      <alignment horizontal="center"/>
    </xf>
    <xf numFmtId="0" fontId="52" fillId="16" borderId="0" xfId="0" applyNumberFormat="1" applyFont="1" applyFill="1"/>
    <xf numFmtId="38" fontId="52" fillId="16" borderId="0" xfId="0" applyNumberFormat="1" applyFont="1" applyFill="1"/>
    <xf numFmtId="182" fontId="52" fillId="16" borderId="0" xfId="0" applyNumberFormat="1" applyFont="1" applyFill="1"/>
    <xf numFmtId="182" fontId="52" fillId="16" borderId="9" xfId="0" applyNumberFormat="1" applyFont="1" applyFill="1" applyBorder="1"/>
    <xf numFmtId="0" fontId="52" fillId="7" borderId="0" xfId="0" applyNumberFormat="1" applyFont="1" applyFill="1"/>
    <xf numFmtId="0" fontId="28" fillId="14" borderId="0" xfId="0" applyNumberFormat="1" applyFont="1" applyFill="1" applyAlignment="1">
      <alignment horizontal="right"/>
    </xf>
    <xf numFmtId="37" fontId="28" fillId="5" borderId="2" xfId="0" applyNumberFormat="1" applyFont="1" applyFill="1" applyBorder="1"/>
    <xf numFmtId="37" fontId="28" fillId="5" borderId="0" xfId="0" applyNumberFormat="1" applyFont="1" applyFill="1" applyBorder="1"/>
    <xf numFmtId="0" fontId="28" fillId="5" borderId="0" xfId="0" applyNumberFormat="1" applyFont="1" applyFill="1"/>
    <xf numFmtId="37" fontId="28" fillId="5" borderId="2" xfId="0" applyNumberFormat="1" applyFont="1" applyFill="1" applyBorder="1" applyAlignment="1">
      <alignment horizontal="center"/>
    </xf>
    <xf numFmtId="37" fontId="28" fillId="5" borderId="0" xfId="0" applyNumberFormat="1" applyFont="1" applyFill="1" applyBorder="1" applyAlignment="1">
      <alignment horizontal="center"/>
    </xf>
    <xf numFmtId="171" fontId="28" fillId="5" borderId="2" xfId="0" applyNumberFormat="1" applyFont="1" applyFill="1" applyBorder="1"/>
    <xf numFmtId="171" fontId="28" fillId="5" borderId="0" xfId="0" applyNumberFormat="1" applyFont="1" applyFill="1" applyBorder="1"/>
    <xf numFmtId="38" fontId="28" fillId="5" borderId="2" xfId="0" applyNumberFormat="1" applyFont="1" applyFill="1" applyBorder="1"/>
    <xf numFmtId="38" fontId="28" fillId="5" borderId="0" xfId="0" applyNumberFormat="1" applyFont="1" applyFill="1" applyBorder="1"/>
    <xf numFmtId="0" fontId="28" fillId="5" borderId="0" xfId="0" quotePrefix="1" applyNumberFormat="1" applyFont="1" applyFill="1"/>
    <xf numFmtId="176" fontId="28" fillId="5" borderId="0" xfId="0" applyNumberFormat="1" applyFont="1" applyFill="1" applyBorder="1"/>
    <xf numFmtId="40" fontId="28" fillId="5" borderId="2" xfId="0" applyNumberFormat="1" applyFont="1" applyFill="1" applyBorder="1"/>
    <xf numFmtId="40" fontId="28" fillId="5" borderId="0" xfId="0" applyNumberFormat="1" applyFont="1" applyFill="1" applyBorder="1"/>
    <xf numFmtId="38" fontId="28" fillId="5" borderId="9" xfId="0" applyNumberFormat="1" applyFont="1" applyFill="1" applyBorder="1"/>
    <xf numFmtId="38" fontId="28" fillId="5" borderId="0" xfId="0" applyNumberFormat="1" applyFont="1" applyFill="1"/>
    <xf numFmtId="38" fontId="28" fillId="5" borderId="8" xfId="0" applyNumberFormat="1" applyFont="1" applyFill="1" applyBorder="1"/>
    <xf numFmtId="38" fontId="28" fillId="2" borderId="0" xfId="0" applyNumberFormat="1" applyFont="1"/>
    <xf numFmtId="38" fontId="52" fillId="16" borderId="0" xfId="0" applyNumberFormat="1" applyFont="1" applyFill="1" applyBorder="1"/>
    <xf numFmtId="0" fontId="28" fillId="2" borderId="0" xfId="0" quotePrefix="1" applyNumberFormat="1" applyFont="1" applyAlignment="1">
      <alignment horizontal="center"/>
    </xf>
    <xf numFmtId="37" fontId="28" fillId="2" borderId="0" xfId="0" applyNumberFormat="1" applyFont="1" applyBorder="1"/>
    <xf numFmtId="176" fontId="28" fillId="2" borderId="0" xfId="0" applyNumberFormat="1" applyFont="1" applyBorder="1"/>
    <xf numFmtId="37" fontId="28" fillId="2" borderId="0" xfId="0" applyNumberFormat="1" applyFont="1" applyBorder="1" applyAlignment="1">
      <alignment horizontal="center"/>
    </xf>
    <xf numFmtId="37" fontId="28" fillId="2" borderId="2" xfId="0" applyNumberFormat="1" applyFont="1" applyBorder="1" applyAlignment="1">
      <alignment horizontal="center"/>
    </xf>
    <xf numFmtId="168" fontId="28" fillId="2" borderId="0" xfId="0" applyNumberFormat="1" applyFont="1" applyBorder="1"/>
    <xf numFmtId="38" fontId="28" fillId="2" borderId="0" xfId="0" applyNumberFormat="1" applyFont="1" applyBorder="1"/>
    <xf numFmtId="38" fontId="28" fillId="16" borderId="2" xfId="0" applyNumberFormat="1" applyFont="1" applyFill="1" applyBorder="1"/>
    <xf numFmtId="40" fontId="28" fillId="2" borderId="2" xfId="0" applyNumberFormat="1" applyFont="1" applyBorder="1"/>
    <xf numFmtId="40" fontId="28" fillId="2" borderId="0" xfId="0" applyNumberFormat="1" applyFont="1" applyBorder="1"/>
    <xf numFmtId="38" fontId="28" fillId="2" borderId="8" xfId="0" applyNumberFormat="1" applyFont="1" applyBorder="1"/>
    <xf numFmtId="0" fontId="28" fillId="2" borderId="9" xfId="0" applyNumberFormat="1" applyFont="1" applyBorder="1" applyAlignment="1" applyProtection="1">
      <alignment horizontal="center"/>
      <protection locked="0"/>
    </xf>
    <xf numFmtId="38" fontId="28" fillId="2" borderId="0" xfId="0" applyNumberFormat="1" applyFont="1" applyBorder="1" applyAlignment="1">
      <alignment horizontal="right"/>
    </xf>
    <xf numFmtId="38" fontId="28" fillId="16" borderId="0" xfId="0" applyNumberFormat="1" applyFont="1" applyFill="1" applyBorder="1"/>
    <xf numFmtId="0" fontId="27" fillId="2" borderId="0" xfId="0" quotePrefix="1" applyNumberFormat="1" applyFont="1" applyAlignment="1">
      <alignment horizontal="center"/>
    </xf>
    <xf numFmtId="37" fontId="27" fillId="2" borderId="0" xfId="0" applyNumberFormat="1" applyFont="1" applyBorder="1"/>
    <xf numFmtId="176" fontId="27" fillId="2" borderId="0" xfId="0" applyNumberFormat="1" applyFont="1" applyBorder="1"/>
    <xf numFmtId="37" fontId="27" fillId="2" borderId="0" xfId="0" applyNumberFormat="1" applyFont="1" applyBorder="1" applyAlignment="1">
      <alignment horizontal="center"/>
    </xf>
    <xf numFmtId="37" fontId="27" fillId="2" borderId="2" xfId="0" applyNumberFormat="1" applyFont="1" applyBorder="1" applyAlignment="1">
      <alignment horizontal="center"/>
    </xf>
    <xf numFmtId="168" fontId="27" fillId="2" borderId="0" xfId="0" applyNumberFormat="1" applyFont="1" applyBorder="1"/>
    <xf numFmtId="38" fontId="27" fillId="2" borderId="0" xfId="0" applyNumberFormat="1" applyFont="1" applyBorder="1"/>
    <xf numFmtId="38" fontId="27" fillId="16" borderId="2" xfId="0" applyNumberFormat="1" applyFont="1" applyFill="1" applyBorder="1"/>
    <xf numFmtId="40" fontId="27" fillId="2" borderId="2" xfId="0" applyNumberFormat="1" applyFont="1" applyBorder="1"/>
    <xf numFmtId="40" fontId="27" fillId="2" borderId="0" xfId="0" applyNumberFormat="1" applyFont="1" applyBorder="1"/>
    <xf numFmtId="38" fontId="27" fillId="2" borderId="0" xfId="0" applyNumberFormat="1" applyFont="1"/>
    <xf numFmtId="38" fontId="27" fillId="2" borderId="8" xfId="0" applyNumberFormat="1" applyFont="1" applyBorder="1"/>
    <xf numFmtId="0" fontId="27" fillId="2" borderId="9" xfId="0" applyNumberFormat="1" applyFont="1" applyBorder="1" applyAlignment="1" applyProtection="1">
      <alignment horizontal="center"/>
      <protection locked="0"/>
    </xf>
    <xf numFmtId="0" fontId="27" fillId="2" borderId="9" xfId="0" applyNumberFormat="1" applyFont="1" applyBorder="1" applyAlignment="1">
      <alignment horizontal="center"/>
    </xf>
    <xf numFmtId="38" fontId="27" fillId="2" borderId="0" xfId="0" applyNumberFormat="1" applyFont="1" applyBorder="1" applyAlignment="1">
      <alignment horizontal="right"/>
    </xf>
    <xf numFmtId="38" fontId="27" fillId="16" borderId="0" xfId="0" applyNumberFormat="1" applyFont="1" applyFill="1" applyBorder="1"/>
    <xf numFmtId="0" fontId="59" fillId="2" borderId="0" xfId="0" quotePrefix="1" applyNumberFormat="1" applyFont="1" applyAlignment="1">
      <alignment horizontal="center"/>
    </xf>
    <xf numFmtId="37" fontId="59" fillId="2" borderId="0" xfId="0" applyNumberFormat="1" applyFont="1" applyBorder="1"/>
    <xf numFmtId="176" fontId="59" fillId="2" borderId="0" xfId="0" applyNumberFormat="1" applyFont="1" applyBorder="1"/>
    <xf numFmtId="37" fontId="59" fillId="2" borderId="0" xfId="0" applyNumberFormat="1" applyFont="1" applyBorder="1" applyAlignment="1">
      <alignment horizontal="center"/>
    </xf>
    <xf numFmtId="37" fontId="59" fillId="2" borderId="2" xfId="0" applyNumberFormat="1" applyFont="1" applyBorder="1" applyAlignment="1">
      <alignment horizontal="center"/>
    </xf>
    <xf numFmtId="168" fontId="59" fillId="2" borderId="0" xfId="0" applyNumberFormat="1" applyFont="1" applyBorder="1"/>
    <xf numFmtId="38" fontId="59" fillId="2" borderId="0" xfId="0" applyNumberFormat="1" applyFont="1" applyBorder="1"/>
    <xf numFmtId="38" fontId="59" fillId="16" borderId="2" xfId="0" applyNumberFormat="1" applyFont="1" applyFill="1" applyBorder="1"/>
    <xf numFmtId="40" fontId="59" fillId="2" borderId="2" xfId="0" applyNumberFormat="1" applyFont="1" applyBorder="1"/>
    <xf numFmtId="40" fontId="59" fillId="2" borderId="0" xfId="0" applyNumberFormat="1" applyFont="1" applyBorder="1"/>
    <xf numFmtId="38" fontId="59" fillId="2" borderId="0" xfId="0" applyNumberFormat="1" applyFont="1"/>
    <xf numFmtId="38" fontId="59" fillId="2" borderId="8" xfId="0" applyNumberFormat="1" applyFont="1" applyBorder="1"/>
    <xf numFmtId="0" fontId="59" fillId="2" borderId="9" xfId="0" applyNumberFormat="1" applyFont="1" applyBorder="1" applyAlignment="1" applyProtection="1">
      <alignment horizontal="center"/>
      <protection locked="0"/>
    </xf>
    <xf numFmtId="0" fontId="59" fillId="2" borderId="9" xfId="0" applyNumberFormat="1" applyFont="1" applyBorder="1" applyAlignment="1">
      <alignment horizontal="center"/>
    </xf>
    <xf numFmtId="38" fontId="59" fillId="2" borderId="0" xfId="0" applyNumberFormat="1" applyFont="1" applyBorder="1" applyAlignment="1">
      <alignment horizontal="right"/>
    </xf>
    <xf numFmtId="37" fontId="27" fillId="5" borderId="2" xfId="0" applyNumberFormat="1" applyFont="1" applyFill="1" applyBorder="1"/>
    <xf numFmtId="37" fontId="27" fillId="5" borderId="0" xfId="0" applyNumberFormat="1" applyFont="1" applyFill="1" applyBorder="1"/>
    <xf numFmtId="0" fontId="27" fillId="5" borderId="0" xfId="0" applyNumberFormat="1" applyFont="1" applyFill="1"/>
    <xf numFmtId="37" fontId="27" fillId="5" borderId="2" xfId="0" applyNumberFormat="1" applyFont="1" applyFill="1" applyBorder="1" applyAlignment="1">
      <alignment horizontal="center"/>
    </xf>
    <xf numFmtId="37" fontId="27" fillId="5" borderId="0" xfId="0" applyNumberFormat="1" applyFont="1" applyFill="1" applyBorder="1" applyAlignment="1">
      <alignment horizontal="center"/>
    </xf>
    <xf numFmtId="171" fontId="27" fillId="5" borderId="2" xfId="0" applyNumberFormat="1" applyFont="1" applyFill="1" applyBorder="1"/>
    <xf numFmtId="171" fontId="27" fillId="5" borderId="0" xfId="0" applyNumberFormat="1" applyFont="1" applyFill="1" applyBorder="1"/>
    <xf numFmtId="38" fontId="27" fillId="5" borderId="2" xfId="0" applyNumberFormat="1" applyFont="1" applyFill="1" applyBorder="1"/>
    <xf numFmtId="38" fontId="27" fillId="5" borderId="0" xfId="0" applyNumberFormat="1" applyFont="1" applyFill="1" applyBorder="1"/>
    <xf numFmtId="0" fontId="27" fillId="5" borderId="0" xfId="0" quotePrefix="1" applyNumberFormat="1" applyFont="1" applyFill="1"/>
    <xf numFmtId="176" fontId="27" fillId="5" borderId="0" xfId="0" applyNumberFormat="1" applyFont="1" applyFill="1" applyBorder="1"/>
    <xf numFmtId="40" fontId="27" fillId="5" borderId="2" xfId="0" applyNumberFormat="1" applyFont="1" applyFill="1" applyBorder="1"/>
    <xf numFmtId="40" fontId="27" fillId="5" borderId="0" xfId="0" applyNumberFormat="1" applyFont="1" applyFill="1" applyBorder="1"/>
    <xf numFmtId="38" fontId="27" fillId="5" borderId="9" xfId="0" applyNumberFormat="1" applyFont="1" applyFill="1" applyBorder="1"/>
    <xf numFmtId="38" fontId="27" fillId="5" borderId="0" xfId="0" applyNumberFormat="1" applyFont="1" applyFill="1"/>
    <xf numFmtId="38" fontId="27" fillId="5" borderId="8" xfId="0" applyNumberFormat="1" applyFont="1" applyFill="1" applyBorder="1"/>
    <xf numFmtId="37" fontId="59" fillId="5" borderId="2" xfId="0" applyNumberFormat="1" applyFont="1" applyFill="1" applyBorder="1"/>
    <xf numFmtId="37" fontId="59" fillId="5" borderId="0" xfId="0" applyNumberFormat="1" applyFont="1" applyFill="1" applyBorder="1"/>
    <xf numFmtId="0" fontId="59" fillId="5" borderId="0" xfId="0" applyNumberFormat="1" applyFont="1" applyFill="1"/>
    <xf numFmtId="37" fontId="59" fillId="5" borderId="2" xfId="0" applyNumberFormat="1" applyFont="1" applyFill="1" applyBorder="1" applyAlignment="1">
      <alignment horizontal="center"/>
    </xf>
    <xf numFmtId="37" fontId="59" fillId="5" borderId="0" xfId="0" applyNumberFormat="1" applyFont="1" applyFill="1" applyBorder="1" applyAlignment="1">
      <alignment horizontal="center"/>
    </xf>
    <xf numFmtId="171" fontId="59" fillId="5" borderId="2" xfId="0" applyNumberFormat="1" applyFont="1" applyFill="1" applyBorder="1"/>
    <xf numFmtId="171" fontId="59" fillId="5" borderId="0" xfId="0" applyNumberFormat="1" applyFont="1" applyFill="1" applyBorder="1"/>
    <xf numFmtId="38" fontId="59" fillId="5" borderId="2" xfId="0" applyNumberFormat="1" applyFont="1" applyFill="1" applyBorder="1"/>
    <xf numFmtId="38" fontId="59" fillId="5" borderId="0" xfId="0" applyNumberFormat="1" applyFont="1" applyFill="1" applyBorder="1"/>
    <xf numFmtId="0" fontId="59" fillId="5" borderId="0" xfId="0" quotePrefix="1" applyNumberFormat="1" applyFont="1" applyFill="1"/>
    <xf numFmtId="176" fontId="59" fillId="5" borderId="0" xfId="0" applyNumberFormat="1" applyFont="1" applyFill="1" applyBorder="1"/>
    <xf numFmtId="40" fontId="59" fillId="5" borderId="2" xfId="0" applyNumberFormat="1" applyFont="1" applyFill="1" applyBorder="1"/>
    <xf numFmtId="40" fontId="59" fillId="5" borderId="0" xfId="0" applyNumberFormat="1" applyFont="1" applyFill="1" applyBorder="1"/>
    <xf numFmtId="38" fontId="59" fillId="5" borderId="9" xfId="0" applyNumberFormat="1" applyFont="1" applyFill="1" applyBorder="1"/>
    <xf numFmtId="38" fontId="59" fillId="5" borderId="0" xfId="0" applyNumberFormat="1" applyFont="1" applyFill="1"/>
    <xf numFmtId="38" fontId="59" fillId="5" borderId="8" xfId="0" applyNumberFormat="1" applyFont="1" applyFill="1" applyBorder="1"/>
    <xf numFmtId="0" fontId="35" fillId="2" borderId="0" xfId="0" applyFont="1" applyBorder="1" applyAlignment="1">
      <alignment horizontal="center"/>
    </xf>
    <xf numFmtId="38" fontId="28" fillId="2" borderId="9" xfId="0" applyNumberFormat="1" applyFont="1" applyBorder="1" applyAlignment="1">
      <alignment horizontal="center"/>
    </xf>
    <xf numFmtId="0" fontId="61" fillId="2" borderId="0" xfId="0" applyFont="1" applyBorder="1" applyAlignment="1">
      <alignment horizontal="center"/>
    </xf>
    <xf numFmtId="38" fontId="27" fillId="2" borderId="9" xfId="0" applyNumberFormat="1" applyFont="1" applyBorder="1" applyAlignment="1">
      <alignment horizontal="center"/>
    </xf>
    <xf numFmtId="0" fontId="62" fillId="2" borderId="0" xfId="0" applyFont="1" applyBorder="1" applyAlignment="1">
      <alignment horizontal="center"/>
    </xf>
    <xf numFmtId="38" fontId="59" fillId="2" borderId="9" xfId="0" applyNumberFormat="1" applyFont="1" applyBorder="1" applyAlignment="1">
      <alignment horizontal="center"/>
    </xf>
    <xf numFmtId="37" fontId="52" fillId="2" borderId="0" xfId="0" applyNumberFormat="1" applyFont="1" applyAlignment="1">
      <alignment horizontal="center"/>
    </xf>
    <xf numFmtId="37" fontId="28" fillId="2" borderId="0" xfId="0" applyNumberFormat="1" applyFont="1" applyAlignment="1">
      <alignment horizontal="center"/>
    </xf>
    <xf numFmtId="37" fontId="27" fillId="2" borderId="0" xfId="0" applyNumberFormat="1" applyFont="1" applyAlignment="1">
      <alignment horizontal="center"/>
    </xf>
    <xf numFmtId="37" fontId="59" fillId="2" borderId="0" xfId="0" applyNumberFormat="1" applyFont="1" applyAlignment="1">
      <alignment horizontal="center"/>
    </xf>
    <xf numFmtId="40" fontId="4" fillId="2" borderId="0" xfId="0" applyNumberFormat="1" applyFont="1" applyAlignment="1">
      <alignment horizontal="center"/>
    </xf>
    <xf numFmtId="176" fontId="64" fillId="0" borderId="0" xfId="0" applyNumberFormat="1" applyFont="1" applyFill="1"/>
    <xf numFmtId="176" fontId="0" fillId="2" borderId="0" xfId="0" applyNumberFormat="1" applyAlignment="1">
      <alignment horizontal="right"/>
    </xf>
    <xf numFmtId="38" fontId="51" fillId="2" borderId="0" xfId="0" applyNumberFormat="1" applyFont="1" applyBorder="1" applyAlignment="1">
      <alignment horizontal="center"/>
    </xf>
    <xf numFmtId="38" fontId="56" fillId="2" borderId="0" xfId="0" applyNumberFormat="1" applyFont="1" applyBorder="1" applyAlignment="1">
      <alignment horizontal="center"/>
    </xf>
    <xf numFmtId="0" fontId="65" fillId="2" borderId="0" xfId="0" applyNumberFormat="1" applyFont="1" applyAlignment="1">
      <alignment horizontal="center"/>
    </xf>
    <xf numFmtId="38" fontId="65" fillId="2" borderId="0" xfId="0" applyNumberFormat="1" applyFont="1" applyBorder="1" applyAlignment="1">
      <alignment horizontal="center"/>
    </xf>
    <xf numFmtId="0" fontId="65" fillId="2" borderId="0" xfId="0" applyNumberFormat="1" applyFont="1" applyBorder="1" applyAlignment="1">
      <alignment horizontal="center"/>
    </xf>
    <xf numFmtId="38" fontId="27" fillId="2" borderId="36" xfId="0" applyNumberFormat="1" applyFont="1" applyBorder="1"/>
    <xf numFmtId="0" fontId="66" fillId="2" borderId="0" xfId="0" applyNumberFormat="1" applyFont="1" applyAlignment="1">
      <alignment horizontal="center"/>
    </xf>
    <xf numFmtId="38" fontId="66" fillId="2" borderId="0" xfId="0" applyNumberFormat="1" applyFont="1" applyBorder="1" applyAlignment="1">
      <alignment horizontal="center"/>
    </xf>
    <xf numFmtId="0" fontId="66" fillId="2" borderId="0" xfId="0" applyNumberFormat="1" applyFont="1" applyBorder="1" applyAlignment="1">
      <alignment horizontal="center"/>
    </xf>
    <xf numFmtId="38" fontId="28" fillId="2" borderId="36" xfId="0" applyNumberFormat="1" applyFont="1" applyBorder="1"/>
    <xf numFmtId="38" fontId="32" fillId="2" borderId="0" xfId="0" applyNumberFormat="1" applyFont="1" applyBorder="1" applyAlignment="1">
      <alignment horizontal="center"/>
    </xf>
    <xf numFmtId="38" fontId="13" fillId="2" borderId="0" xfId="0" quotePrefix="1" applyNumberFormat="1" applyFont="1" applyAlignment="1">
      <alignment horizontal="center"/>
    </xf>
    <xf numFmtId="38" fontId="52" fillId="2" borderId="0" xfId="0" quotePrefix="1" applyNumberFormat="1" applyFont="1" applyAlignment="1">
      <alignment horizontal="center"/>
    </xf>
    <xf numFmtId="38" fontId="28" fillId="2" borderId="0" xfId="0" quotePrefix="1" applyNumberFormat="1" applyFont="1" applyAlignment="1">
      <alignment horizontal="center"/>
    </xf>
    <xf numFmtId="38" fontId="27" fillId="2" borderId="0" xfId="0" quotePrefix="1" applyNumberFormat="1" applyFont="1" applyAlignment="1">
      <alignment horizontal="center"/>
    </xf>
    <xf numFmtId="38" fontId="59" fillId="2" borderId="0" xfId="0" quotePrefix="1" applyNumberFormat="1" applyFont="1" applyAlignment="1">
      <alignment horizontal="center"/>
    </xf>
    <xf numFmtId="0" fontId="0" fillId="2" borderId="0" xfId="0" applyNumberFormat="1" applyAlignment="1"/>
    <xf numFmtId="0" fontId="9" fillId="8" borderId="10" xfId="0" applyNumberFormat="1" applyFont="1" applyFill="1" applyBorder="1"/>
    <xf numFmtId="0" fontId="9" fillId="8" borderId="15" xfId="0" applyNumberFormat="1" applyFont="1" applyFill="1" applyBorder="1"/>
    <xf numFmtId="0" fontId="67" fillId="8" borderId="10" xfId="0" applyNumberFormat="1" applyFont="1" applyFill="1" applyBorder="1"/>
    <xf numFmtId="0" fontId="68" fillId="8" borderId="15" xfId="0" applyNumberFormat="1" applyFont="1" applyFill="1" applyBorder="1"/>
    <xf numFmtId="0" fontId="43" fillId="8" borderId="10" xfId="0" applyNumberFormat="1" applyFont="1" applyFill="1" applyBorder="1"/>
    <xf numFmtId="0" fontId="9" fillId="8" borderId="11" xfId="0" applyNumberFormat="1" applyFont="1" applyFill="1" applyBorder="1"/>
    <xf numFmtId="0" fontId="43" fillId="8" borderId="11" xfId="0" applyNumberFormat="1" applyFont="1" applyFill="1" applyBorder="1"/>
    <xf numFmtId="38" fontId="38" fillId="8" borderId="9" xfId="0" applyNumberFormat="1" applyFont="1" applyFill="1" applyBorder="1"/>
    <xf numFmtId="38" fontId="31" fillId="8" borderId="9" xfId="0" applyNumberFormat="1" applyFont="1" applyFill="1" applyBorder="1"/>
    <xf numFmtId="168" fontId="38" fillId="8" borderId="9" xfId="0" applyNumberFormat="1" applyFont="1" applyFill="1" applyBorder="1"/>
    <xf numFmtId="168" fontId="31" fillId="8" borderId="9" xfId="0" applyNumberFormat="1" applyFont="1" applyFill="1" applyBorder="1"/>
    <xf numFmtId="3" fontId="0" fillId="2" borderId="9" xfId="0" applyNumberFormat="1" applyBorder="1"/>
    <xf numFmtId="38" fontId="38" fillId="2" borderId="0" xfId="0" applyNumberFormat="1" applyFont="1" applyBorder="1" applyAlignment="1">
      <alignment horizontal="center"/>
    </xf>
    <xf numFmtId="38" fontId="31" fillId="2" borderId="0" xfId="0" applyNumberFormat="1" applyFont="1" applyBorder="1" applyAlignment="1">
      <alignment horizontal="center"/>
    </xf>
    <xf numFmtId="38" fontId="13" fillId="2" borderId="0" xfId="0" applyNumberFormat="1" applyFont="1" applyBorder="1" applyAlignment="1">
      <alignment horizontal="center"/>
    </xf>
    <xf numFmtId="38" fontId="52" fillId="2" borderId="0" xfId="0" applyNumberFormat="1" applyFont="1" applyBorder="1" applyAlignment="1">
      <alignment horizontal="center"/>
    </xf>
    <xf numFmtId="38" fontId="28" fillId="2" borderId="0" xfId="0" applyNumberFormat="1" applyFont="1" applyBorder="1" applyAlignment="1">
      <alignment horizontal="center"/>
    </xf>
    <xf numFmtId="38" fontId="27" fillId="2" borderId="0" xfId="0" applyNumberFormat="1" applyFont="1" applyBorder="1" applyAlignment="1">
      <alignment horizontal="center"/>
    </xf>
    <xf numFmtId="38" fontId="59" fillId="2" borderId="0" xfId="0" applyNumberFormat="1" applyFont="1" applyBorder="1" applyAlignment="1">
      <alignment horizontal="center"/>
    </xf>
    <xf numFmtId="38" fontId="13" fillId="8" borderId="9" xfId="0" applyNumberFormat="1" applyFont="1" applyFill="1" applyBorder="1"/>
    <xf numFmtId="38" fontId="52" fillId="8" borderId="9" xfId="0" applyNumberFormat="1" applyFont="1" applyFill="1" applyBorder="1"/>
    <xf numFmtId="168" fontId="13" fillId="8" borderId="9" xfId="0" applyNumberFormat="1" applyFont="1" applyFill="1" applyBorder="1"/>
    <xf numFmtId="168" fontId="52" fillId="8" borderId="9" xfId="0" applyNumberFormat="1" applyFont="1" applyFill="1" applyBorder="1"/>
    <xf numFmtId="37" fontId="48" fillId="12" borderId="10" xfId="0" applyNumberFormat="1" applyFont="1" applyFill="1" applyBorder="1"/>
    <xf numFmtId="38" fontId="28" fillId="8" borderId="9" xfId="0" applyNumberFormat="1" applyFont="1" applyFill="1" applyBorder="1"/>
    <xf numFmtId="168" fontId="28" fillId="8" borderId="9" xfId="0" applyNumberFormat="1" applyFont="1" applyFill="1" applyBorder="1"/>
    <xf numFmtId="38" fontId="27" fillId="8" borderId="9" xfId="0" applyNumberFormat="1" applyFont="1" applyFill="1" applyBorder="1"/>
    <xf numFmtId="168" fontId="27" fillId="8" borderId="9" xfId="0" applyNumberFormat="1" applyFont="1" applyFill="1" applyBorder="1"/>
    <xf numFmtId="38" fontId="69" fillId="8" borderId="9" xfId="0" applyNumberFormat="1" applyFont="1" applyFill="1" applyBorder="1"/>
    <xf numFmtId="168" fontId="69" fillId="8" borderId="9" xfId="0" applyNumberFormat="1" applyFont="1" applyFill="1" applyBorder="1"/>
    <xf numFmtId="37" fontId="69" fillId="8" borderId="9" xfId="0" applyNumberFormat="1" applyFont="1" applyFill="1" applyBorder="1"/>
    <xf numFmtId="37" fontId="70" fillId="12" borderId="9" xfId="0" applyNumberFormat="1" applyFont="1" applyFill="1" applyBorder="1"/>
    <xf numFmtId="37" fontId="49" fillId="12" borderId="10" xfId="0" applyNumberFormat="1" applyFont="1" applyFill="1" applyBorder="1"/>
    <xf numFmtId="37" fontId="54" fillId="12" borderId="10" xfId="0" applyNumberFormat="1" applyFont="1" applyFill="1" applyBorder="1"/>
    <xf numFmtId="37" fontId="57" fillId="12" borderId="10" xfId="0" applyNumberFormat="1" applyFont="1" applyFill="1" applyBorder="1"/>
    <xf numFmtId="37" fontId="58" fillId="12" borderId="10" xfId="0" applyNumberFormat="1" applyFont="1" applyFill="1" applyBorder="1"/>
    <xf numFmtId="0" fontId="44" fillId="12" borderId="6" xfId="0" applyNumberFormat="1" applyFont="1" applyFill="1" applyBorder="1" applyAlignment="1">
      <alignment horizontal="center"/>
    </xf>
    <xf numFmtId="0" fontId="48" fillId="12" borderId="2" xfId="0" applyNumberFormat="1" applyFont="1" applyFill="1" applyBorder="1" applyAlignment="1">
      <alignment horizontal="center"/>
    </xf>
    <xf numFmtId="0" fontId="0" fillId="12" borderId="12" xfId="0" applyNumberFormat="1" applyFill="1" applyBorder="1"/>
    <xf numFmtId="0" fontId="49" fillId="7" borderId="2" xfId="0" applyNumberFormat="1" applyFont="1" applyFill="1" applyBorder="1" applyAlignment="1">
      <alignment horizontal="center"/>
    </xf>
    <xf numFmtId="0" fontId="54" fillId="16" borderId="2" xfId="0" applyNumberFormat="1" applyFont="1" applyFill="1" applyBorder="1" applyAlignment="1">
      <alignment horizontal="center"/>
    </xf>
    <xf numFmtId="37" fontId="57" fillId="12" borderId="9" xfId="0" applyNumberFormat="1" applyFont="1" applyFill="1" applyBorder="1" applyAlignment="1">
      <alignment horizontal="center"/>
    </xf>
    <xf numFmtId="37" fontId="58" fillId="12" borderId="9" xfId="0" applyNumberFormat="1" applyFont="1" applyFill="1" applyBorder="1" applyAlignment="1">
      <alignment horizontal="center"/>
    </xf>
    <xf numFmtId="37" fontId="60" fillId="12" borderId="9" xfId="0" applyNumberFormat="1" applyFont="1" applyFill="1" applyBorder="1" applyAlignment="1">
      <alignment horizontal="center"/>
    </xf>
    <xf numFmtId="37" fontId="71" fillId="8" borderId="9" xfId="0" applyNumberFormat="1" applyFont="1" applyFill="1" applyBorder="1"/>
    <xf numFmtId="37" fontId="72" fillId="8" borderId="9" xfId="0" applyNumberFormat="1" applyFont="1" applyFill="1" applyBorder="1"/>
    <xf numFmtId="37" fontId="70" fillId="12" borderId="50" xfId="0" applyNumberFormat="1" applyFont="1" applyFill="1" applyBorder="1"/>
    <xf numFmtId="37" fontId="63" fillId="8" borderId="9" xfId="0" applyNumberFormat="1" applyFont="1" applyFill="1" applyBorder="1"/>
    <xf numFmtId="49" fontId="0" fillId="2" borderId="5" xfId="0" applyNumberFormat="1" applyBorder="1"/>
    <xf numFmtId="37" fontId="73" fillId="8" borderId="9" xfId="0" applyNumberFormat="1" applyFont="1" applyFill="1" applyBorder="1"/>
    <xf numFmtId="37" fontId="74" fillId="8" borderId="9" xfId="0" applyNumberFormat="1" applyFont="1" applyFill="1" applyBorder="1"/>
    <xf numFmtId="37" fontId="75" fillId="8" borderId="9" xfId="0" applyNumberFormat="1" applyFont="1" applyFill="1" applyBorder="1"/>
    <xf numFmtId="37" fontId="76" fillId="8" borderId="9" xfId="0" applyNumberFormat="1" applyFont="1" applyFill="1" applyBorder="1"/>
    <xf numFmtId="37" fontId="77" fillId="8" borderId="9" xfId="0" applyNumberFormat="1" applyFont="1" applyFill="1" applyBorder="1"/>
    <xf numFmtId="0" fontId="78" fillId="2" borderId="15" xfId="0" applyNumberFormat="1" applyFont="1" applyBorder="1"/>
    <xf numFmtId="0" fontId="78" fillId="2" borderId="0" xfId="0" applyNumberFormat="1" applyFont="1"/>
    <xf numFmtId="0" fontId="78" fillId="5" borderId="0" xfId="0" applyNumberFormat="1" applyFont="1" applyFill="1"/>
    <xf numFmtId="0" fontId="82" fillId="2" borderId="0" xfId="0" applyNumberFormat="1" applyFont="1"/>
    <xf numFmtId="37" fontId="82" fillId="2" borderId="2" xfId="0" applyNumberFormat="1" applyFont="1" applyBorder="1"/>
    <xf numFmtId="38" fontId="82" fillId="2" borderId="9" xfId="0" applyNumberFormat="1" applyFont="1" applyBorder="1"/>
    <xf numFmtId="0" fontId="83" fillId="2" borderId="0" xfId="0" applyNumberFormat="1" applyFont="1" applyBorder="1"/>
    <xf numFmtId="0" fontId="83" fillId="2" borderId="0" xfId="0" applyNumberFormat="1" applyFont="1"/>
    <xf numFmtId="0" fontId="84" fillId="18" borderId="2" xfId="0" applyNumberFormat="1" applyFont="1" applyFill="1" applyBorder="1" applyAlignment="1">
      <alignment horizontal="center"/>
    </xf>
    <xf numFmtId="0" fontId="84" fillId="2" borderId="2" xfId="0" applyNumberFormat="1" applyFont="1" applyBorder="1"/>
    <xf numFmtId="38" fontId="84" fillId="12" borderId="48" xfId="0" applyNumberFormat="1" applyFont="1" applyFill="1" applyBorder="1"/>
    <xf numFmtId="37" fontId="84" fillId="2" borderId="2" xfId="0" applyNumberFormat="1" applyFont="1" applyBorder="1"/>
    <xf numFmtId="38" fontId="4" fillId="2" borderId="0" xfId="0" applyNumberFormat="1" applyFont="1" applyAlignment="1" applyProtection="1">
      <alignment horizontal="center"/>
      <protection locked="0"/>
    </xf>
    <xf numFmtId="37" fontId="0" fillId="14" borderId="2" xfId="0" applyNumberFormat="1" applyFill="1" applyBorder="1"/>
    <xf numFmtId="0" fontId="1" fillId="2" borderId="0" xfId="0" applyNumberFormat="1" applyFont="1" applyBorder="1" applyAlignment="1">
      <alignment horizontal="center"/>
    </xf>
    <xf numFmtId="37" fontId="4" fillId="2" borderId="31" xfId="0" applyNumberFormat="1" applyFont="1" applyBorder="1"/>
    <xf numFmtId="38" fontId="4" fillId="2" borderId="31" xfId="0" applyNumberFormat="1" applyFont="1" applyBorder="1"/>
    <xf numFmtId="38" fontId="0" fillId="5" borderId="0" xfId="0" applyNumberFormat="1" applyFill="1" applyBorder="1" applyProtection="1">
      <protection locked="0"/>
    </xf>
    <xf numFmtId="0" fontId="33" fillId="2" borderId="0" xfId="0" applyFont="1"/>
    <xf numFmtId="37" fontId="6" fillId="2" borderId="13" xfId="0" applyNumberFormat="1" applyFont="1" applyBorder="1" applyAlignment="1">
      <alignment horizontal="right"/>
    </xf>
    <xf numFmtId="0" fontId="86" fillId="5" borderId="0" xfId="0" applyNumberFormat="1" applyFont="1" applyFill="1"/>
    <xf numFmtId="0" fontId="0" fillId="5" borderId="51" xfId="0" applyNumberFormat="1" applyFill="1" applyBorder="1"/>
    <xf numFmtId="0" fontId="0" fillId="5" borderId="52" xfId="0" applyNumberFormat="1" applyFill="1" applyBorder="1"/>
    <xf numFmtId="0" fontId="0" fillId="5" borderId="53" xfId="0" applyNumberFormat="1" applyFill="1" applyBorder="1"/>
    <xf numFmtId="0" fontId="87" fillId="2" borderId="0" xfId="0" applyNumberFormat="1" applyFont="1"/>
    <xf numFmtId="37" fontId="0" fillId="5" borderId="13" xfId="0" applyNumberFormat="1" applyFill="1" applyBorder="1"/>
    <xf numFmtId="38" fontId="1" fillId="2" borderId="0" xfId="0" applyNumberFormat="1" applyFont="1" applyAlignment="1">
      <alignment horizontal="right"/>
    </xf>
    <xf numFmtId="0" fontId="1" fillId="2" borderId="0" xfId="0" quotePrefix="1" applyNumberFormat="1" applyFont="1"/>
    <xf numFmtId="38" fontId="4" fillId="2" borderId="54" xfId="0" applyNumberFormat="1" applyFont="1" applyBorder="1"/>
    <xf numFmtId="0" fontId="1" fillId="2" borderId="0" xfId="0" quotePrefix="1" applyNumberFormat="1" applyFont="1" applyBorder="1"/>
    <xf numFmtId="0" fontId="0" fillId="2" borderId="55" xfId="0" applyNumberFormat="1" applyBorder="1"/>
    <xf numFmtId="0" fontId="0" fillId="2" borderId="56" xfId="0" applyNumberFormat="1" applyBorder="1"/>
    <xf numFmtId="0" fontId="1" fillId="2" borderId="56" xfId="0" applyNumberFormat="1" applyFont="1" applyBorder="1"/>
    <xf numFmtId="0" fontId="0" fillId="2" borderId="57" xfId="0" applyNumberFormat="1" applyBorder="1"/>
    <xf numFmtId="0" fontId="0" fillId="2" borderId="58" xfId="0" applyNumberFormat="1" applyBorder="1"/>
    <xf numFmtId="0" fontId="0" fillId="2" borderId="59" xfId="0" applyNumberFormat="1" applyBorder="1"/>
    <xf numFmtId="0" fontId="1" fillId="2" borderId="59" xfId="0" applyNumberFormat="1" applyFont="1" applyBorder="1"/>
    <xf numFmtId="0" fontId="4" fillId="8" borderId="47" xfId="0" applyNumberFormat="1" applyFont="1" applyFill="1" applyBorder="1" applyAlignment="1">
      <alignment horizontal="center"/>
    </xf>
    <xf numFmtId="0" fontId="4" fillId="8" borderId="36" xfId="0" applyNumberFormat="1" applyFont="1" applyFill="1" applyBorder="1" applyAlignment="1">
      <alignment horizontal="center"/>
    </xf>
    <xf numFmtId="0" fontId="1" fillId="2" borderId="60" xfId="0" applyNumberFormat="1" applyFont="1" applyBorder="1"/>
    <xf numFmtId="0" fontId="9" fillId="12" borderId="21" xfId="0" applyNumberFormat="1" applyFont="1" applyFill="1" applyBorder="1"/>
    <xf numFmtId="0" fontId="9" fillId="12" borderId="13" xfId="0" applyNumberFormat="1" applyFont="1" applyFill="1" applyBorder="1"/>
    <xf numFmtId="0" fontId="35" fillId="12" borderId="43" xfId="0" applyFont="1" applyFill="1" applyBorder="1"/>
    <xf numFmtId="0" fontId="36" fillId="12" borderId="0" xfId="0" applyFont="1" applyFill="1" applyBorder="1"/>
    <xf numFmtId="0" fontId="35" fillId="12" borderId="44" xfId="0" applyFont="1" applyFill="1" applyBorder="1"/>
    <xf numFmtId="0" fontId="4" fillId="6" borderId="0" xfId="0" applyNumberFormat="1" applyFont="1" applyFill="1" applyBorder="1"/>
    <xf numFmtId="0" fontId="9" fillId="19" borderId="9" xfId="0" applyNumberFormat="1" applyFont="1" applyFill="1" applyBorder="1" applyAlignment="1">
      <alignment horizontal="right"/>
    </xf>
    <xf numFmtId="176" fontId="4" fillId="2" borderId="0" xfId="0" applyNumberFormat="1" applyFont="1"/>
    <xf numFmtId="0" fontId="33" fillId="5" borderId="0" xfId="0" applyFont="1" applyFill="1" applyBorder="1"/>
    <xf numFmtId="0" fontId="33" fillId="5" borderId="21" xfId="0" applyFont="1" applyFill="1" applyBorder="1"/>
    <xf numFmtId="0" fontId="33" fillId="2" borderId="13" xfId="0" applyFont="1" applyBorder="1"/>
    <xf numFmtId="38" fontId="0" fillId="5" borderId="23" xfId="0" applyNumberFormat="1" applyFill="1" applyBorder="1" applyProtection="1">
      <protection locked="0"/>
    </xf>
    <xf numFmtId="0" fontId="88" fillId="5" borderId="29" xfId="0" applyFont="1" applyFill="1" applyBorder="1"/>
    <xf numFmtId="0" fontId="88" fillId="5" borderId="15" xfId="0" applyFont="1" applyFill="1" applyBorder="1"/>
    <xf numFmtId="0" fontId="88" fillId="2" borderId="16" xfId="0" applyFont="1" applyBorder="1"/>
    <xf numFmtId="3" fontId="0" fillId="0" borderId="0" xfId="0" applyNumberFormat="1" applyFill="1"/>
    <xf numFmtId="177" fontId="0" fillId="2" borderId="9" xfId="0" applyNumberFormat="1" applyBorder="1"/>
    <xf numFmtId="0" fontId="86" fillId="5" borderId="0" xfId="0" applyNumberFormat="1" applyFont="1" applyFill="1" applyAlignment="1">
      <alignment horizontal="left"/>
    </xf>
    <xf numFmtId="0" fontId="86" fillId="2" borderId="0" xfId="0" applyNumberFormat="1" applyFont="1" applyAlignment="1">
      <alignment horizontal="left"/>
    </xf>
    <xf numFmtId="0" fontId="78" fillId="2" borderId="0" xfId="0" applyNumberFormat="1" applyFont="1" applyAlignment="1">
      <alignment horizontal="center"/>
    </xf>
    <xf numFmtId="177" fontId="82" fillId="2" borderId="9" xfId="0" applyNumberFormat="1" applyFont="1" applyBorder="1"/>
    <xf numFmtId="0" fontId="0" fillId="2" borderId="0" xfId="0" applyNumberFormat="1" applyFont="1"/>
    <xf numFmtId="0" fontId="78" fillId="5" borderId="0" xfId="0" applyNumberFormat="1" applyFont="1" applyFill="1" applyBorder="1" applyAlignment="1">
      <alignment horizontal="center"/>
    </xf>
    <xf numFmtId="0" fontId="78" fillId="5" borderId="0" xfId="0" applyNumberFormat="1" applyFont="1" applyFill="1" applyBorder="1"/>
    <xf numFmtId="0" fontId="9" fillId="2" borderId="43" xfId="0" applyNumberFormat="1" applyFont="1" applyBorder="1"/>
    <xf numFmtId="0" fontId="10" fillId="2" borderId="0" xfId="0" applyNumberFormat="1" applyFont="1"/>
    <xf numFmtId="37" fontId="14" fillId="2" borderId="0" xfId="0" applyNumberFormat="1" applyFont="1"/>
    <xf numFmtId="177" fontId="27" fillId="2" borderId="9" xfId="0" applyNumberFormat="1" applyFont="1" applyBorder="1"/>
    <xf numFmtId="38" fontId="76" fillId="5" borderId="0" xfId="0" applyNumberFormat="1" applyFont="1" applyFill="1" applyBorder="1"/>
    <xf numFmtId="176" fontId="27" fillId="2" borderId="9" xfId="0" applyNumberFormat="1" applyFont="1" applyBorder="1"/>
    <xf numFmtId="0" fontId="9" fillId="2" borderId="9" xfId="0" applyNumberFormat="1" applyFont="1" applyBorder="1"/>
    <xf numFmtId="37" fontId="9" fillId="2" borderId="61" xfId="0" applyNumberFormat="1" applyFont="1" applyBorder="1" applyAlignment="1">
      <alignment horizontal="right"/>
    </xf>
    <xf numFmtId="37" fontId="9" fillId="2" borderId="62" xfId="0" applyNumberFormat="1" applyFont="1" applyBorder="1" applyAlignment="1">
      <alignment horizontal="right"/>
    </xf>
    <xf numFmtId="0" fontId="89" fillId="2" borderId="0" xfId="0" applyNumberFormat="1" applyFont="1" applyBorder="1"/>
    <xf numFmtId="0" fontId="0" fillId="12" borderId="0" xfId="0" applyNumberFormat="1" applyFill="1"/>
    <xf numFmtId="168" fontId="11" fillId="2" borderId="2" xfId="0" applyNumberFormat="1" applyFont="1" applyBorder="1"/>
    <xf numFmtId="0" fontId="89" fillId="2" borderId="0" xfId="0" applyNumberFormat="1" applyFont="1"/>
    <xf numFmtId="0" fontId="0" fillId="2" borderId="63" xfId="0" applyNumberFormat="1" applyBorder="1"/>
    <xf numFmtId="0" fontId="0" fillId="2" borderId="35" xfId="0" applyNumberFormat="1" applyBorder="1"/>
    <xf numFmtId="37" fontId="4" fillId="2" borderId="64" xfId="0" applyNumberFormat="1" applyFont="1" applyBorder="1"/>
    <xf numFmtId="37" fontId="11" fillId="2" borderId="35" xfId="0" applyNumberFormat="1" applyFont="1" applyBorder="1"/>
    <xf numFmtId="0" fontId="89" fillId="2" borderId="0" xfId="0" applyNumberFormat="1" applyFont="1" applyAlignment="1">
      <alignment horizontal="right"/>
    </xf>
    <xf numFmtId="0" fontId="68" fillId="2" borderId="0" xfId="0" applyNumberFormat="1" applyFont="1"/>
    <xf numFmtId="0" fontId="7" fillId="2" borderId="0" xfId="0" applyNumberFormat="1" applyFont="1" applyAlignment="1">
      <alignment horizontal="center"/>
    </xf>
    <xf numFmtId="38" fontId="65" fillId="2" borderId="0" xfId="0" applyNumberFormat="1" applyFont="1" applyBorder="1"/>
    <xf numFmtId="0" fontId="14" fillId="5" borderId="0" xfId="0" applyNumberFormat="1" applyFont="1" applyFill="1"/>
    <xf numFmtId="38" fontId="65" fillId="12" borderId="9" xfId="0" applyNumberFormat="1" applyFont="1" applyFill="1" applyBorder="1"/>
    <xf numFmtId="38" fontId="76" fillId="12" borderId="65" xfId="0" applyNumberFormat="1" applyFont="1" applyFill="1" applyBorder="1"/>
    <xf numFmtId="38" fontId="90" fillId="2" borderId="0" xfId="0" applyNumberFormat="1" applyFont="1"/>
    <xf numFmtId="177" fontId="90" fillId="2" borderId="0" xfId="0" applyNumberFormat="1" applyFont="1"/>
    <xf numFmtId="170" fontId="27" fillId="2" borderId="9" xfId="0" applyNumberFormat="1" applyFont="1" applyBorder="1"/>
    <xf numFmtId="0" fontId="0" fillId="2" borderId="62" xfId="0" applyNumberFormat="1" applyBorder="1"/>
    <xf numFmtId="0" fontId="4" fillId="12" borderId="0" xfId="0" applyNumberFormat="1" applyFont="1" applyFill="1"/>
    <xf numFmtId="0" fontId="89" fillId="12" borderId="12" xfId="0" applyNumberFormat="1" applyFont="1" applyFill="1" applyBorder="1" applyAlignment="1">
      <alignment horizontal="right"/>
    </xf>
    <xf numFmtId="0" fontId="4" fillId="12" borderId="9" xfId="0" applyNumberFormat="1" applyFont="1" applyFill="1" applyBorder="1" applyAlignment="1">
      <alignment horizontal="center"/>
    </xf>
    <xf numFmtId="164" fontId="4" fillId="12" borderId="2" xfId="0" applyNumberFormat="1" applyFont="1" applyFill="1" applyBorder="1"/>
    <xf numFmtId="3" fontId="90" fillId="17" borderId="0" xfId="0" applyNumberFormat="1" applyFont="1" applyFill="1"/>
    <xf numFmtId="168" fontId="4" fillId="2" borderId="0" xfId="0" applyNumberFormat="1" applyFont="1"/>
    <xf numFmtId="37" fontId="91" fillId="12" borderId="2" xfId="0" applyNumberFormat="1" applyFont="1" applyFill="1" applyBorder="1"/>
    <xf numFmtId="0" fontId="91" fillId="12" borderId="0" xfId="0" applyNumberFormat="1" applyFont="1" applyFill="1"/>
    <xf numFmtId="0" fontId="92" fillId="12" borderId="0" xfId="0" applyNumberFormat="1" applyFont="1" applyFill="1"/>
    <xf numFmtId="37" fontId="91" fillId="12" borderId="2" xfId="0" applyNumberFormat="1" applyFont="1" applyFill="1" applyBorder="1" applyAlignment="1">
      <alignment horizontal="center"/>
    </xf>
    <xf numFmtId="168" fontId="91" fillId="12" borderId="2" xfId="0" applyNumberFormat="1" applyFont="1" applyFill="1" applyBorder="1"/>
    <xf numFmtId="38" fontId="91" fillId="12" borderId="2" xfId="0" applyNumberFormat="1" applyFont="1" applyFill="1" applyBorder="1"/>
    <xf numFmtId="38" fontId="91" fillId="12" borderId="0" xfId="0" applyNumberFormat="1" applyFont="1" applyFill="1" applyBorder="1"/>
    <xf numFmtId="176" fontId="91" fillId="12" borderId="2" xfId="0" applyNumberFormat="1" applyFont="1" applyFill="1" applyBorder="1"/>
    <xf numFmtId="40" fontId="91" fillId="12" borderId="2" xfId="0" applyNumberFormat="1" applyFont="1" applyFill="1" applyBorder="1"/>
    <xf numFmtId="38" fontId="91" fillId="12" borderId="9" xfId="0" applyNumberFormat="1" applyFont="1" applyFill="1" applyBorder="1"/>
    <xf numFmtId="38" fontId="91" fillId="12" borderId="0" xfId="0" applyNumberFormat="1" applyFont="1" applyFill="1"/>
    <xf numFmtId="38" fontId="91" fillId="12" borderId="8" xfId="0" applyNumberFormat="1" applyFont="1" applyFill="1" applyBorder="1"/>
    <xf numFmtId="0" fontId="91" fillId="12" borderId="9" xfId="0" applyNumberFormat="1" applyFont="1" applyFill="1" applyBorder="1" applyAlignment="1" applyProtection="1">
      <alignment horizontal="center"/>
      <protection locked="0"/>
    </xf>
    <xf numFmtId="0" fontId="93" fillId="2" borderId="0" xfId="0" applyNumberFormat="1" applyFont="1" applyBorder="1"/>
    <xf numFmtId="0" fontId="93" fillId="6" borderId="0" xfId="0" applyNumberFormat="1" applyFont="1" applyFill="1"/>
    <xf numFmtId="38" fontId="94" fillId="2" borderId="0" xfId="0" applyNumberFormat="1" applyFont="1" applyBorder="1"/>
    <xf numFmtId="38" fontId="59" fillId="5" borderId="0" xfId="0" applyNumberFormat="1" applyFont="1" applyFill="1" applyAlignment="1">
      <alignment horizontal="center"/>
    </xf>
    <xf numFmtId="38" fontId="27" fillId="5" borderId="0" xfId="0" applyNumberFormat="1" applyFont="1" applyFill="1" applyAlignment="1">
      <alignment horizontal="center"/>
    </xf>
    <xf numFmtId="164" fontId="32" fillId="2" borderId="2" xfId="0" applyNumberFormat="1" applyFont="1" applyBorder="1"/>
    <xf numFmtId="0" fontId="59" fillId="7" borderId="0" xfId="0" applyNumberFormat="1" applyFont="1" applyFill="1" applyAlignment="1">
      <alignment horizontal="right"/>
    </xf>
    <xf numFmtId="0" fontId="28" fillId="7" borderId="0" xfId="0" applyNumberFormat="1" applyFont="1" applyFill="1"/>
    <xf numFmtId="16" fontId="93" fillId="7" borderId="0" xfId="0" quotePrefix="1" applyNumberFormat="1" applyFont="1" applyFill="1" applyAlignment="1">
      <alignment horizontal="center"/>
    </xf>
    <xf numFmtId="0" fontId="93" fillId="7" borderId="0" xfId="0" applyNumberFormat="1" applyFont="1" applyFill="1"/>
    <xf numFmtId="0" fontId="93" fillId="7" borderId="0" xfId="0" applyNumberFormat="1" applyFont="1" applyFill="1" applyAlignment="1">
      <alignment horizontal="right"/>
    </xf>
    <xf numFmtId="38" fontId="93" fillId="7" borderId="0" xfId="0" applyNumberFormat="1" applyFont="1" applyFill="1"/>
    <xf numFmtId="182" fontId="93" fillId="7" borderId="0" xfId="0" applyNumberFormat="1" applyFont="1" applyFill="1"/>
    <xf numFmtId="182" fontId="93" fillId="7" borderId="9" xfId="0" applyNumberFormat="1" applyFont="1" applyFill="1" applyBorder="1"/>
    <xf numFmtId="0" fontId="13" fillId="19" borderId="29" xfId="0" applyNumberFormat="1" applyFont="1" applyFill="1" applyBorder="1" applyAlignment="1">
      <alignment horizontal="right"/>
    </xf>
    <xf numFmtId="38" fontId="13" fillId="19" borderId="15" xfId="0" applyNumberFormat="1" applyFont="1" applyFill="1" applyBorder="1" applyAlignment="1">
      <alignment horizontal="right"/>
    </xf>
    <xf numFmtId="0" fontId="13" fillId="19" borderId="15" xfId="0" applyNumberFormat="1" applyFont="1" applyFill="1" applyBorder="1" applyAlignment="1">
      <alignment horizontal="right"/>
    </xf>
    <xf numFmtId="37" fontId="13" fillId="19" borderId="15" xfId="0" applyNumberFormat="1" applyFont="1" applyFill="1" applyBorder="1" applyAlignment="1">
      <alignment horizontal="right"/>
    </xf>
    <xf numFmtId="0" fontId="11" fillId="12" borderId="16" xfId="0" applyNumberFormat="1" applyFont="1" applyFill="1" applyBorder="1"/>
    <xf numFmtId="0" fontId="93" fillId="6" borderId="0" xfId="0" applyNumberFormat="1" applyFont="1" applyFill="1" applyAlignment="1">
      <alignment horizontal="center"/>
    </xf>
    <xf numFmtId="38" fontId="93" fillId="6" borderId="0" xfId="0" quotePrefix="1" applyNumberFormat="1" applyFont="1" applyFill="1" applyAlignment="1">
      <alignment horizontal="center"/>
    </xf>
    <xf numFmtId="0" fontId="93" fillId="6" borderId="0" xfId="0" quotePrefix="1" applyNumberFormat="1" applyFont="1" applyFill="1" applyAlignment="1">
      <alignment horizontal="center"/>
    </xf>
    <xf numFmtId="37" fontId="93" fillId="6" borderId="2" xfId="0" applyNumberFormat="1" applyFont="1" applyFill="1" applyBorder="1"/>
    <xf numFmtId="37" fontId="93" fillId="6" borderId="0" xfId="0" applyNumberFormat="1" applyFont="1" applyFill="1" applyBorder="1"/>
    <xf numFmtId="176" fontId="93" fillId="6" borderId="2" xfId="0" applyNumberFormat="1" applyFont="1" applyFill="1" applyBorder="1"/>
    <xf numFmtId="176" fontId="93" fillId="6" borderId="0" xfId="0" applyNumberFormat="1" applyFont="1" applyFill="1" applyBorder="1"/>
    <xf numFmtId="37" fontId="93" fillId="6" borderId="0" xfId="0" applyNumberFormat="1" applyFont="1" applyFill="1" applyBorder="1" applyAlignment="1">
      <alignment horizontal="center"/>
    </xf>
    <xf numFmtId="37" fontId="93" fillId="6" borderId="2" xfId="0" applyNumberFormat="1" applyFont="1" applyFill="1" applyBorder="1" applyAlignment="1">
      <alignment horizontal="center"/>
    </xf>
    <xf numFmtId="168" fontId="93" fillId="6" borderId="2" xfId="0" applyNumberFormat="1" applyFont="1" applyFill="1" applyBorder="1"/>
    <xf numFmtId="168" fontId="93" fillId="6" borderId="0" xfId="0" applyNumberFormat="1" applyFont="1" applyFill="1" applyBorder="1"/>
    <xf numFmtId="38" fontId="93" fillId="6" borderId="2" xfId="0" applyNumberFormat="1" applyFont="1" applyFill="1" applyBorder="1"/>
    <xf numFmtId="38" fontId="93" fillId="6" borderId="0" xfId="0" applyNumberFormat="1" applyFont="1" applyFill="1" applyBorder="1"/>
    <xf numFmtId="40" fontId="93" fillId="6" borderId="0" xfId="0" applyNumberFormat="1" applyFont="1" applyFill="1" applyBorder="1"/>
    <xf numFmtId="38" fontId="93" fillId="6" borderId="9" xfId="0" applyNumberFormat="1" applyFont="1" applyFill="1" applyBorder="1"/>
    <xf numFmtId="38" fontId="93" fillId="6" borderId="0" xfId="0" applyNumberFormat="1" applyFont="1" applyFill="1"/>
    <xf numFmtId="38" fontId="93" fillId="6" borderId="8" xfId="0" applyNumberFormat="1" applyFont="1" applyFill="1" applyBorder="1"/>
    <xf numFmtId="38" fontId="93" fillId="6" borderId="0" xfId="0" applyNumberFormat="1" applyFont="1" applyFill="1" applyBorder="1" applyAlignment="1">
      <alignment horizontal="right"/>
    </xf>
    <xf numFmtId="40" fontId="27" fillId="20" borderId="2" xfId="0" applyNumberFormat="1" applyFont="1" applyFill="1" applyBorder="1"/>
    <xf numFmtId="176" fontId="0" fillId="7" borderId="0" xfId="0" applyNumberFormat="1" applyFill="1"/>
    <xf numFmtId="40" fontId="4" fillId="5" borderId="0" xfId="0" applyNumberFormat="1" applyFont="1" applyFill="1" applyAlignment="1">
      <alignment horizontal="center"/>
    </xf>
    <xf numFmtId="0" fontId="9" fillId="6" borderId="0" xfId="0" quotePrefix="1" applyNumberFormat="1" applyFont="1" applyFill="1"/>
    <xf numFmtId="0" fontId="0" fillId="5" borderId="20" xfId="0" applyNumberFormat="1" applyFill="1" applyBorder="1"/>
    <xf numFmtId="0" fontId="0" fillId="21" borderId="29" xfId="0" applyNumberFormat="1" applyFill="1" applyBorder="1"/>
    <xf numFmtId="0" fontId="4" fillId="21" borderId="15" xfId="0" applyNumberFormat="1" applyFont="1" applyFill="1" applyBorder="1"/>
    <xf numFmtId="0" fontId="4" fillId="21" borderId="16" xfId="0" applyNumberFormat="1" applyFont="1" applyFill="1" applyBorder="1"/>
    <xf numFmtId="0" fontId="13" fillId="19" borderId="15" xfId="0" applyNumberFormat="1" applyFont="1" applyFill="1" applyBorder="1" applyAlignment="1">
      <alignment horizontal="left"/>
    </xf>
    <xf numFmtId="0" fontId="30" fillId="5" borderId="15" xfId="0" applyNumberFormat="1" applyFont="1" applyFill="1" applyBorder="1"/>
    <xf numFmtId="37" fontId="14" fillId="22" borderId="0" xfId="0" applyNumberFormat="1" applyFont="1" applyFill="1"/>
    <xf numFmtId="37" fontId="1" fillId="22" borderId="0" xfId="0" applyNumberFormat="1" applyFont="1" applyFill="1"/>
    <xf numFmtId="0" fontId="4" fillId="22" borderId="0" xfId="0" applyNumberFormat="1" applyFont="1" applyFill="1"/>
    <xf numFmtId="37" fontId="1" fillId="23" borderId="0" xfId="0" applyNumberFormat="1" applyFont="1" applyFill="1"/>
    <xf numFmtId="37" fontId="4" fillId="22" borderId="0" xfId="0" applyNumberFormat="1" applyFont="1" applyFill="1"/>
    <xf numFmtId="37" fontId="11" fillId="22" borderId="0" xfId="0" applyNumberFormat="1" applyFont="1" applyFill="1"/>
    <xf numFmtId="37" fontId="1" fillId="22" borderId="5" xfId="0" applyNumberFormat="1" applyFont="1" applyFill="1" applyBorder="1"/>
    <xf numFmtId="38" fontId="4" fillId="22" borderId="0" xfId="0" applyNumberFormat="1" applyFont="1" applyFill="1"/>
    <xf numFmtId="37" fontId="1" fillId="22" borderId="5" xfId="0" applyNumberFormat="1" applyFont="1" applyFill="1" applyBorder="1" applyAlignment="1">
      <alignment horizontal="right"/>
    </xf>
    <xf numFmtId="37" fontId="1" fillId="22" borderId="0" xfId="0" applyNumberFormat="1" applyFont="1" applyFill="1" applyAlignment="1">
      <alignment horizontal="right"/>
    </xf>
    <xf numFmtId="0" fontId="0" fillId="19" borderId="0" xfId="0" applyNumberFormat="1" applyFill="1" applyAlignment="1">
      <alignment horizontal="right"/>
    </xf>
    <xf numFmtId="0" fontId="4" fillId="19" borderId="0" xfId="0" applyNumberFormat="1" applyFont="1" applyFill="1" applyAlignment="1">
      <alignment horizontal="center"/>
    </xf>
    <xf numFmtId="37" fontId="4" fillId="19" borderId="0" xfId="0" applyNumberFormat="1" applyFont="1" applyFill="1"/>
    <xf numFmtId="37" fontId="1" fillId="19" borderId="0" xfId="0" applyNumberFormat="1" applyFont="1" applyFill="1" applyAlignment="1">
      <alignment horizontal="right"/>
    </xf>
    <xf numFmtId="37" fontId="1" fillId="19" borderId="13" xfId="0" applyNumberFormat="1" applyFont="1" applyFill="1" applyBorder="1" applyAlignment="1">
      <alignment horizontal="right"/>
    </xf>
    <xf numFmtId="37" fontId="4" fillId="19" borderId="0" xfId="0" applyNumberFormat="1" applyFont="1" applyFill="1" applyAlignment="1">
      <alignment horizontal="right"/>
    </xf>
    <xf numFmtId="0" fontId="0" fillId="19" borderId="0" xfId="0" applyNumberFormat="1" applyFill="1"/>
    <xf numFmtId="0" fontId="11" fillId="19" borderId="0" xfId="0" applyNumberFormat="1" applyFont="1" applyFill="1"/>
    <xf numFmtId="0" fontId="4" fillId="19" borderId="0" xfId="0" applyNumberFormat="1" applyFont="1" applyFill="1" applyAlignment="1">
      <alignment horizontal="right"/>
    </xf>
    <xf numFmtId="38" fontId="4" fillId="19" borderId="0" xfId="0" applyNumberFormat="1" applyFont="1" applyFill="1" applyAlignment="1">
      <alignment horizontal="right"/>
    </xf>
    <xf numFmtId="0" fontId="0" fillId="12" borderId="47" xfId="0" applyNumberFormat="1" applyFill="1" applyBorder="1" applyAlignment="1">
      <alignment horizontal="center"/>
    </xf>
    <xf numFmtId="0" fontId="0" fillId="12" borderId="48" xfId="0" applyNumberFormat="1" applyFill="1" applyBorder="1" applyAlignment="1">
      <alignment horizontal="center"/>
    </xf>
    <xf numFmtId="0" fontId="0" fillId="12" borderId="48" xfId="0" quotePrefix="1" applyNumberFormat="1" applyFill="1" applyBorder="1" applyAlignment="1">
      <alignment horizontal="center"/>
    </xf>
    <xf numFmtId="0" fontId="0" fillId="12" borderId="36" xfId="0" applyNumberFormat="1" applyFill="1" applyBorder="1" applyAlignment="1">
      <alignment horizontal="center"/>
    </xf>
    <xf numFmtId="38" fontId="0" fillId="12" borderId="9" xfId="0" applyNumberFormat="1" applyFill="1" applyBorder="1"/>
    <xf numFmtId="189" fontId="0" fillId="12" borderId="9" xfId="0" applyNumberFormat="1" applyFill="1" applyBorder="1"/>
    <xf numFmtId="176" fontId="0" fillId="12" borderId="9" xfId="0" applyNumberFormat="1" applyFill="1" applyBorder="1"/>
    <xf numFmtId="0" fontId="0" fillId="19" borderId="0" xfId="0" quotePrefix="1" applyNumberFormat="1" applyFill="1"/>
    <xf numFmtId="0" fontId="9" fillId="19" borderId="0" xfId="0" quotePrefix="1" applyNumberFormat="1" applyFont="1" applyFill="1" applyAlignment="1">
      <alignment horizontal="center"/>
    </xf>
    <xf numFmtId="0" fontId="0" fillId="19" borderId="9" xfId="0" applyNumberFormat="1" applyFill="1" applyBorder="1"/>
    <xf numFmtId="0" fontId="4" fillId="19" borderId="0" xfId="0" applyNumberFormat="1" applyFont="1" applyFill="1"/>
    <xf numFmtId="178" fontId="7" fillId="19" borderId="9" xfId="0" applyNumberFormat="1" applyFont="1" applyFill="1" applyBorder="1"/>
    <xf numFmtId="38" fontId="0" fillId="19" borderId="9" xfId="0" applyNumberFormat="1" applyFill="1" applyBorder="1"/>
    <xf numFmtId="177" fontId="0" fillId="19" borderId="9" xfId="0" applyNumberFormat="1" applyFill="1" applyBorder="1"/>
    <xf numFmtId="178" fontId="0" fillId="19" borderId="9" xfId="0" applyNumberFormat="1" applyFill="1" applyBorder="1"/>
    <xf numFmtId="178" fontId="7" fillId="24" borderId="9" xfId="0" applyNumberFormat="1" applyFont="1" applyFill="1" applyBorder="1"/>
    <xf numFmtId="38" fontId="0" fillId="24" borderId="9" xfId="0" applyNumberFormat="1" applyFill="1" applyBorder="1"/>
    <xf numFmtId="0" fontId="112" fillId="2" borderId="0" xfId="0" applyNumberFormat="1" applyFont="1" applyAlignment="1">
      <alignment horizontal="left"/>
    </xf>
    <xf numFmtId="0" fontId="68" fillId="2" borderId="0" xfId="0" applyNumberFormat="1" applyFont="1" applyAlignment="1">
      <alignment horizontal="left"/>
    </xf>
    <xf numFmtId="0" fontId="15" fillId="2" borderId="0" xfId="0" applyNumberFormat="1" applyFont="1"/>
    <xf numFmtId="49" fontId="68" fillId="2" borderId="0" xfId="0" applyNumberFormat="1" applyFont="1" applyAlignment="1">
      <alignment horizontal="left"/>
    </xf>
    <xf numFmtId="0" fontId="68" fillId="2" borderId="9" xfId="0" applyNumberFormat="1" applyFont="1" applyBorder="1"/>
    <xf numFmtId="0" fontId="15" fillId="2" borderId="9" xfId="0" quotePrefix="1" applyNumberFormat="1" applyFont="1" applyBorder="1" applyAlignment="1">
      <alignment horizontal="center"/>
    </xf>
    <xf numFmtId="0" fontId="15" fillId="2" borderId="9" xfId="0" applyNumberFormat="1" applyFont="1" applyBorder="1"/>
    <xf numFmtId="177"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6" fontId="15" fillId="2" borderId="9" xfId="0" applyNumberFormat="1" applyFont="1" applyBorder="1"/>
    <xf numFmtId="6" fontId="15" fillId="2" borderId="9" xfId="0" applyNumberFormat="1" applyFont="1" applyBorder="1"/>
    <xf numFmtId="177" fontId="15" fillId="2" borderId="9" xfId="0" applyNumberFormat="1" applyFont="1" applyBorder="1"/>
    <xf numFmtId="184" fontId="15" fillId="2" borderId="9" xfId="0" applyNumberFormat="1" applyFont="1" applyBorder="1"/>
    <xf numFmtId="177" fontId="4" fillId="2" borderId="0" xfId="0" applyNumberFormat="1" applyFont="1" applyAlignment="1">
      <alignment horizontal="center"/>
    </xf>
    <xf numFmtId="0" fontId="15" fillId="2" borderId="0" xfId="0" applyNumberFormat="1" applyFont="1" applyAlignment="1">
      <alignment horizontal="center"/>
    </xf>
    <xf numFmtId="6" fontId="68" fillId="2" borderId="9" xfId="0" applyNumberFormat="1" applyFont="1" applyBorder="1"/>
    <xf numFmtId="0" fontId="15" fillId="2" borderId="36" xfId="0" applyNumberFormat="1" applyFont="1" applyBorder="1" applyAlignment="1">
      <alignment horizontal="center"/>
    </xf>
    <xf numFmtId="183" fontId="15" fillId="2" borderId="47" xfId="0" applyNumberFormat="1" applyFont="1" applyBorder="1" applyAlignment="1">
      <alignment horizontal="center"/>
    </xf>
    <xf numFmtId="183" fontId="15" fillId="2" borderId="36" xfId="0" applyNumberFormat="1" applyFont="1" applyBorder="1" applyAlignment="1">
      <alignment horizontal="center"/>
    </xf>
    <xf numFmtId="183" fontId="0" fillId="2" borderId="0" xfId="0" applyNumberFormat="1" applyAlignment="1">
      <alignment horizontal="center"/>
    </xf>
    <xf numFmtId="0" fontId="15" fillId="2" borderId="9" xfId="0" quotePrefix="1" applyNumberFormat="1" applyFont="1" applyBorder="1"/>
    <xf numFmtId="183" fontId="15" fillId="2" borderId="9" xfId="0" applyNumberFormat="1" applyFont="1" applyBorder="1" applyAlignment="1">
      <alignment horizontal="center"/>
    </xf>
    <xf numFmtId="0" fontId="15" fillId="2" borderId="47" xfId="0" applyNumberFormat="1" applyFont="1" applyBorder="1"/>
    <xf numFmtId="177" fontId="15" fillId="2" borderId="47" xfId="0" applyNumberFormat="1" applyFont="1" applyBorder="1" applyAlignment="1">
      <alignment horizontal="right"/>
    </xf>
    <xf numFmtId="0" fontId="15" fillId="2" borderId="36" xfId="0" applyNumberFormat="1" applyFont="1" applyBorder="1"/>
    <xf numFmtId="177" fontId="15" fillId="2" borderId="36" xfId="0" applyNumberFormat="1" applyFont="1" applyBorder="1"/>
    <xf numFmtId="177" fontId="15" fillId="2" borderId="47" xfId="0" applyNumberFormat="1" applyFont="1" applyBorder="1"/>
    <xf numFmtId="0" fontId="96" fillId="2" borderId="0" xfId="0" quotePrefix="1" applyNumberFormat="1" applyFont="1" applyBorder="1"/>
    <xf numFmtId="186" fontId="15" fillId="2" borderId="9" xfId="0" applyNumberFormat="1" applyFont="1" applyBorder="1"/>
    <xf numFmtId="0" fontId="78" fillId="2" borderId="0" xfId="0" applyNumberFormat="1" applyFont="1" applyAlignment="1">
      <alignment horizontal="right"/>
    </xf>
    <xf numFmtId="37" fontId="78" fillId="2" borderId="0" xfId="0" applyNumberFormat="1" applyFont="1" applyAlignment="1">
      <alignment horizontal="right"/>
    </xf>
    <xf numFmtId="0" fontId="15" fillId="2" borderId="9" xfId="0" applyNumberFormat="1" applyFont="1" applyBorder="1" applyAlignment="1">
      <alignment horizontal="right"/>
    </xf>
    <xf numFmtId="0" fontId="15" fillId="2" borderId="11" xfId="0" applyNumberFormat="1" applyFont="1" applyBorder="1"/>
    <xf numFmtId="0" fontId="15" fillId="2" borderId="22" xfId="0" applyNumberFormat="1" applyFont="1" applyBorder="1"/>
    <xf numFmtId="183" fontId="15" fillId="2" borderId="9" xfId="0" applyNumberFormat="1" applyFont="1" applyBorder="1"/>
    <xf numFmtId="6" fontId="15" fillId="2" borderId="23" xfId="0" applyNumberFormat="1" applyFont="1" applyBorder="1"/>
    <xf numFmtId="0" fontId="15" fillId="2" borderId="36" xfId="0" applyNumberFormat="1" applyFont="1" applyBorder="1" applyAlignment="1">
      <alignment horizontal="right"/>
    </xf>
    <xf numFmtId="40" fontId="15" fillId="2" borderId="9" xfId="0" applyNumberFormat="1" applyFont="1" applyBorder="1"/>
    <xf numFmtId="0" fontId="15" fillId="2" borderId="47" xfId="0" quotePrefix="1" applyNumberFormat="1" applyFont="1" applyBorder="1" applyAlignment="1">
      <alignment horizontal="center"/>
    </xf>
    <xf numFmtId="6" fontId="68" fillId="2" borderId="22" xfId="0" applyNumberFormat="1" applyFont="1" applyBorder="1"/>
    <xf numFmtId="0" fontId="68" fillId="2" borderId="66" xfId="0" applyNumberFormat="1" applyFont="1" applyBorder="1"/>
    <xf numFmtId="0" fontId="68" fillId="2" borderId="0" xfId="0" applyNumberFormat="1" applyFont="1" applyBorder="1"/>
    <xf numFmtId="0" fontId="68" fillId="2" borderId="67" xfId="0" applyNumberFormat="1" applyFont="1" applyBorder="1"/>
    <xf numFmtId="6" fontId="15" fillId="2" borderId="68" xfId="0" applyNumberFormat="1" applyFont="1" applyBorder="1"/>
    <xf numFmtId="0" fontId="15" fillId="2" borderId="0" xfId="0" quotePrefix="1" applyNumberFormat="1" applyFont="1" applyAlignment="1">
      <alignment horizontal="center"/>
    </xf>
    <xf numFmtId="0" fontId="15" fillId="2" borderId="0" xfId="0" quotePrefix="1" applyNumberFormat="1" applyFont="1"/>
    <xf numFmtId="185" fontId="15" fillId="2" borderId="47" xfId="0" applyNumberFormat="1" applyFont="1" applyBorder="1"/>
    <xf numFmtId="185" fontId="15" fillId="2" borderId="36" xfId="0" applyNumberFormat="1" applyFont="1" applyBorder="1"/>
    <xf numFmtId="185" fontId="15" fillId="2" borderId="9" xfId="0" applyNumberFormat="1" applyFont="1" applyBorder="1"/>
    <xf numFmtId="175" fontId="15" fillId="2" borderId="9" xfId="0" applyNumberFormat="1" applyFont="1" applyBorder="1"/>
    <xf numFmtId="187" fontId="15" fillId="2" borderId="9" xfId="0" applyNumberFormat="1" applyFont="1" applyBorder="1"/>
    <xf numFmtId="175" fontId="15" fillId="2" borderId="47" xfId="0" applyNumberFormat="1" applyFont="1" applyBorder="1"/>
    <xf numFmtId="6" fontId="15" fillId="2" borderId="9" xfId="0" applyNumberFormat="1" applyFont="1" applyBorder="1" applyAlignment="1">
      <alignment horizontal="center"/>
    </xf>
    <xf numFmtId="0" fontId="15" fillId="2" borderId="10" xfId="0" applyNumberFormat="1" applyFont="1" applyBorder="1"/>
    <xf numFmtId="176" fontId="113" fillId="6" borderId="2" xfId="0" applyNumberFormat="1" applyFont="1" applyFill="1" applyBorder="1"/>
    <xf numFmtId="49" fontId="68" fillId="2" borderId="0" xfId="0" applyNumberFormat="1" applyFont="1"/>
    <xf numFmtId="0" fontId="15" fillId="2" borderId="0" xfId="0" applyNumberFormat="1" applyFont="1" applyBorder="1"/>
    <xf numFmtId="0" fontId="15" fillId="5" borderId="0" xfId="0" applyNumberFormat="1" applyFont="1" applyFill="1"/>
    <xf numFmtId="0" fontId="56" fillId="2" borderId="0" xfId="0" applyNumberFormat="1" applyFont="1"/>
    <xf numFmtId="0" fontId="97" fillId="2" borderId="0" xfId="0" applyNumberFormat="1" applyFont="1"/>
    <xf numFmtId="176" fontId="14" fillId="2" borderId="0" xfId="0" applyNumberFormat="1" applyFont="1" applyBorder="1"/>
    <xf numFmtId="176" fontId="51" fillId="2" borderId="0" xfId="0" applyNumberFormat="1" applyFont="1" applyBorder="1" applyAlignment="1" applyProtection="1">
      <protection locked="0"/>
    </xf>
    <xf numFmtId="0" fontId="14" fillId="5" borderId="0" xfId="0" applyNumberFormat="1" applyFont="1" applyFill="1" applyBorder="1"/>
    <xf numFmtId="176" fontId="51" fillId="5" borderId="0" xfId="0" applyNumberFormat="1" applyFont="1" applyFill="1" applyBorder="1" applyAlignment="1"/>
    <xf numFmtId="0" fontId="32" fillId="2" borderId="0" xfId="0" applyNumberFormat="1" applyFont="1"/>
    <xf numFmtId="40" fontId="14" fillId="2" borderId="0" xfId="0" applyNumberFormat="1" applyFont="1" applyBorder="1"/>
    <xf numFmtId="40" fontId="51" fillId="2" borderId="0" xfId="0" applyNumberFormat="1" applyFont="1" applyBorder="1" applyAlignment="1" applyProtection="1">
      <alignment horizontal="right"/>
      <protection locked="0"/>
    </xf>
    <xf numFmtId="0" fontId="39" fillId="2" borderId="0" xfId="0" applyNumberFormat="1" applyFont="1"/>
    <xf numFmtId="38" fontId="14" fillId="2" borderId="0" xfId="0" applyNumberFormat="1" applyFont="1" applyBorder="1"/>
    <xf numFmtId="38" fontId="51" fillId="2" borderId="0" xfId="0" applyNumberFormat="1" applyFont="1" applyBorder="1" applyAlignment="1" applyProtection="1">
      <alignment horizontal="right"/>
      <protection locked="0"/>
    </xf>
    <xf numFmtId="0" fontId="15" fillId="2" borderId="16" xfId="0" applyNumberFormat="1" applyFont="1" applyBorder="1"/>
    <xf numFmtId="0" fontId="15" fillId="2" borderId="13" xfId="0" applyNumberFormat="1" applyFont="1" applyBorder="1"/>
    <xf numFmtId="177" fontId="15" fillId="8" borderId="9" xfId="0" applyNumberFormat="1" applyFont="1" applyFill="1" applyBorder="1"/>
    <xf numFmtId="0" fontId="68" fillId="5" borderId="0" xfId="0" applyNumberFormat="1" applyFont="1" applyFill="1" applyBorder="1"/>
    <xf numFmtId="176" fontId="51" fillId="2" borderId="0" xfId="0" applyNumberFormat="1" applyFont="1" applyBorder="1" applyAlignment="1">
      <alignment horizontal="right"/>
    </xf>
    <xf numFmtId="15" fontId="15" fillId="2" borderId="0" xfId="0" applyNumberFormat="1" applyFont="1" applyAlignment="1">
      <alignment horizontal="right"/>
    </xf>
    <xf numFmtId="0" fontId="14" fillId="2" borderId="0" xfId="0" quotePrefix="1" applyNumberFormat="1" applyFont="1" applyBorder="1"/>
    <xf numFmtId="0" fontId="15" fillId="5" borderId="11" xfId="0" applyNumberFormat="1" applyFont="1" applyFill="1" applyBorder="1"/>
    <xf numFmtId="0" fontId="56" fillId="5" borderId="0" xfId="0" quotePrefix="1" applyNumberFormat="1" applyFont="1" applyFill="1"/>
    <xf numFmtId="0" fontId="97" fillId="5" borderId="0" xfId="0" applyNumberFormat="1" applyFont="1" applyFill="1"/>
    <xf numFmtId="0" fontId="100" fillId="5" borderId="0" xfId="0" quotePrefix="1" applyNumberFormat="1" applyFont="1" applyFill="1"/>
    <xf numFmtId="0" fontId="15" fillId="5" borderId="0" xfId="0" applyNumberFormat="1" applyFont="1" applyFill="1" applyBorder="1"/>
    <xf numFmtId="0" fontId="15" fillId="5" borderId="15" xfId="0" quotePrefix="1" applyNumberFormat="1" applyFont="1" applyFill="1" applyBorder="1"/>
    <xf numFmtId="0" fontId="15" fillId="0" borderId="15" xfId="0" applyNumberFormat="1" applyFont="1" applyFill="1" applyBorder="1"/>
    <xf numFmtId="0" fontId="15" fillId="0" borderId="0" xfId="0" applyNumberFormat="1" applyFont="1" applyFill="1" applyBorder="1"/>
    <xf numFmtId="0" fontId="15" fillId="19" borderId="15" xfId="0" applyNumberFormat="1" applyFont="1" applyFill="1" applyBorder="1"/>
    <xf numFmtId="0" fontId="15" fillId="19" borderId="0" xfId="0" applyNumberFormat="1" applyFont="1" applyFill="1" applyBorder="1"/>
    <xf numFmtId="0" fontId="3" fillId="2" borderId="11" xfId="0" applyNumberFormat="1" applyFont="1" applyBorder="1"/>
    <xf numFmtId="0" fontId="15" fillId="5" borderId="10" xfId="0" applyNumberFormat="1" applyFont="1" applyFill="1" applyBorder="1"/>
    <xf numFmtId="0" fontId="68" fillId="2" borderId="11" xfId="0" applyNumberFormat="1" applyFont="1" applyBorder="1"/>
    <xf numFmtId="0" fontId="115" fillId="2" borderId="11" xfId="0" applyNumberFormat="1" applyFont="1" applyBorder="1"/>
    <xf numFmtId="0" fontId="15" fillId="5" borderId="13" xfId="0" applyNumberFormat="1" applyFont="1" applyFill="1" applyBorder="1"/>
    <xf numFmtId="0" fontId="15" fillId="5" borderId="13" xfId="0" quotePrefix="1" applyNumberFormat="1" applyFont="1" applyFill="1" applyBorder="1"/>
    <xf numFmtId="0" fontId="116" fillId="2" borderId="0" xfId="0" applyNumberFormat="1" applyFont="1" applyBorder="1" applyAlignment="1">
      <alignment horizontal="left"/>
    </xf>
    <xf numFmtId="0" fontId="78" fillId="2" borderId="0" xfId="0" applyNumberFormat="1" applyFont="1" applyBorder="1"/>
    <xf numFmtId="0" fontId="74" fillId="2" borderId="0" xfId="0" applyNumberFormat="1" applyFont="1" applyBorder="1"/>
    <xf numFmtId="0" fontId="46" fillId="2" borderId="0" xfId="0" applyNumberFormat="1" applyFont="1" applyBorder="1"/>
    <xf numFmtId="0" fontId="72" fillId="2" borderId="0" xfId="0" applyNumberFormat="1" applyFont="1" applyBorder="1"/>
    <xf numFmtId="0" fontId="95" fillId="2" borderId="0" xfId="0" applyNumberFormat="1" applyFont="1" applyBorder="1"/>
    <xf numFmtId="0" fontId="101" fillId="2" borderId="0" xfId="0" applyNumberFormat="1" applyFont="1"/>
    <xf numFmtId="177" fontId="102" fillId="2" borderId="69" xfId="0" applyNumberFormat="1" applyFont="1" applyBorder="1"/>
    <xf numFmtId="177" fontId="102" fillId="2" borderId="6" xfId="0" applyNumberFormat="1" applyFont="1" applyBorder="1"/>
    <xf numFmtId="177" fontId="15" fillId="2" borderId="6" xfId="0" applyNumberFormat="1" applyFont="1" applyBorder="1"/>
    <xf numFmtId="177" fontId="15" fillId="2" borderId="70" xfId="0" applyNumberFormat="1" applyFont="1" applyBorder="1"/>
    <xf numFmtId="5" fontId="15" fillId="2" borderId="9" xfId="0" applyNumberFormat="1" applyFont="1" applyBorder="1"/>
    <xf numFmtId="0" fontId="15" fillId="2" borderId="0" xfId="0" quotePrefix="1" applyNumberFormat="1" applyFont="1" applyBorder="1" applyAlignment="1">
      <alignment horizontal="center"/>
    </xf>
    <xf numFmtId="176" fontId="28" fillId="19" borderId="2" xfId="0" applyNumberFormat="1" applyFont="1" applyFill="1" applyBorder="1"/>
    <xf numFmtId="37" fontId="28" fillId="19" borderId="2" xfId="0" applyNumberFormat="1" applyFont="1" applyFill="1" applyBorder="1"/>
    <xf numFmtId="8" fontId="15" fillId="2" borderId="9" xfId="0" applyNumberFormat="1" applyFont="1" applyBorder="1"/>
    <xf numFmtId="10" fontId="15" fillId="2" borderId="9" xfId="0" applyNumberFormat="1" applyFont="1" applyBorder="1"/>
    <xf numFmtId="49" fontId="0" fillId="2" borderId="5" xfId="0" applyNumberFormat="1" applyBorder="1" applyAlignment="1" applyProtection="1">
      <alignment horizontal="left"/>
      <protection locked="0"/>
    </xf>
    <xf numFmtId="0" fontId="15" fillId="2" borderId="0" xfId="0" applyNumberFormat="1" applyFont="1" applyAlignment="1">
      <alignment horizontal="right"/>
    </xf>
    <xf numFmtId="0" fontId="117" fillId="2" borderId="0" xfId="0" applyNumberFormat="1" applyFont="1" applyBorder="1" applyAlignment="1">
      <alignment horizontal="left"/>
    </xf>
    <xf numFmtId="6" fontId="68" fillId="2" borderId="71" xfId="0" applyNumberFormat="1" applyFont="1" applyBorder="1"/>
    <xf numFmtId="14" fontId="15" fillId="2" borderId="9" xfId="0" quotePrefix="1" applyNumberFormat="1" applyFont="1" applyBorder="1" applyAlignment="1" applyProtection="1">
      <alignment horizontal="left"/>
      <protection locked="0"/>
    </xf>
    <xf numFmtId="177" fontId="118" fillId="8" borderId="36" xfId="0" applyNumberFormat="1" applyFont="1" applyFill="1" applyBorder="1" applyAlignment="1">
      <alignment horizontal="center"/>
    </xf>
    <xf numFmtId="0" fontId="119" fillId="2" borderId="0" xfId="0" applyNumberFormat="1" applyFont="1" applyBorder="1"/>
    <xf numFmtId="177" fontId="120" fillId="2" borderId="0" xfId="3" applyNumberFormat="1" applyFont="1" applyFill="1" applyBorder="1" applyAlignment="1" applyProtection="1">
      <alignment horizontal="center"/>
    </xf>
    <xf numFmtId="183" fontId="15" fillId="2" borderId="0" xfId="0" applyNumberFormat="1" applyFont="1" applyAlignment="1">
      <alignment horizontal="center"/>
    </xf>
    <xf numFmtId="0" fontId="120" fillId="2" borderId="0" xfId="3" applyNumberFormat="1" applyFont="1" applyFill="1" applyAlignment="1" applyProtection="1">
      <alignment horizontal="center"/>
    </xf>
    <xf numFmtId="0" fontId="119" fillId="2" borderId="0" xfId="0" applyNumberFormat="1" applyFont="1" applyAlignment="1">
      <alignment horizontal="right"/>
    </xf>
    <xf numFmtId="6" fontId="15" fillId="2" borderId="0" xfId="0" applyNumberFormat="1" applyFont="1" applyBorder="1"/>
    <xf numFmtId="6" fontId="15" fillId="5" borderId="9" xfId="0" applyNumberFormat="1" applyFont="1" applyFill="1" applyBorder="1"/>
    <xf numFmtId="0" fontId="121" fillId="2" borderId="0" xfId="0" applyNumberFormat="1" applyFont="1"/>
    <xf numFmtId="6" fontId="15" fillId="2" borderId="9" xfId="0" applyNumberFormat="1" applyFont="1" applyBorder="1" applyProtection="1">
      <protection locked="0"/>
    </xf>
    <xf numFmtId="0" fontId="112" fillId="2" borderId="0" xfId="0" applyNumberFormat="1" applyFont="1"/>
    <xf numFmtId="0" fontId="0" fillId="2" borderId="0" xfId="0" quotePrefix="1" applyNumberFormat="1" applyFont="1"/>
    <xf numFmtId="0" fontId="0" fillId="2" borderId="0" xfId="0" quotePrefix="1" applyNumberFormat="1" applyFont="1" applyBorder="1"/>
    <xf numFmtId="0" fontId="0" fillId="2" borderId="0" xfId="0" quotePrefix="1" applyNumberFormat="1" applyBorder="1"/>
    <xf numFmtId="0" fontId="15" fillId="8" borderId="9" xfId="0" applyNumberFormat="1" applyFont="1" applyFill="1" applyBorder="1" applyProtection="1">
      <protection locked="0"/>
    </xf>
    <xf numFmtId="0" fontId="68" fillId="2" borderId="0" xfId="0" applyNumberFormat="1" applyFont="1" applyAlignment="1">
      <alignment horizontal="center"/>
    </xf>
    <xf numFmtId="6" fontId="15" fillId="2" borderId="9" xfId="0" applyNumberFormat="1" applyFont="1" applyBorder="1" applyAlignment="1">
      <alignment horizontal="right"/>
    </xf>
    <xf numFmtId="0" fontId="9" fillId="2" borderId="0" xfId="0" applyNumberFormat="1" applyFont="1" applyBorder="1" applyAlignment="1">
      <alignment horizontal="left"/>
    </xf>
    <xf numFmtId="0" fontId="86" fillId="5" borderId="0" xfId="0" quotePrefix="1" applyNumberFormat="1" applyFont="1" applyFill="1"/>
    <xf numFmtId="176" fontId="0" fillId="5" borderId="72" xfId="0" applyNumberFormat="1" applyFill="1" applyBorder="1" applyProtection="1"/>
    <xf numFmtId="38" fontId="0" fillId="5" borderId="72" xfId="0" applyNumberFormat="1" applyFill="1" applyBorder="1" applyProtection="1"/>
    <xf numFmtId="176" fontId="7" fillId="5" borderId="73" xfId="0" applyNumberFormat="1" applyFont="1" applyFill="1" applyBorder="1" applyProtection="1"/>
    <xf numFmtId="176" fontId="7" fillId="5" borderId="72" xfId="0" applyNumberFormat="1" applyFont="1" applyFill="1" applyBorder="1" applyProtection="1"/>
    <xf numFmtId="38" fontId="122" fillId="2" borderId="9" xfId="0" applyNumberFormat="1" applyFont="1" applyBorder="1" applyAlignment="1"/>
    <xf numFmtId="38" fontId="122" fillId="2" borderId="9" xfId="0" applyNumberFormat="1" applyFont="1" applyBorder="1" applyAlignment="1">
      <alignment horizontal="right"/>
    </xf>
    <xf numFmtId="38" fontId="123" fillId="2" borderId="9" xfId="0" applyNumberFormat="1" applyFont="1" applyBorder="1" applyAlignment="1">
      <alignment horizontal="right"/>
    </xf>
    <xf numFmtId="38" fontId="124" fillId="2" borderId="9" xfId="0" applyNumberFormat="1" applyFont="1" applyBorder="1" applyAlignment="1">
      <alignment horizontal="right"/>
    </xf>
    <xf numFmtId="38" fontId="122" fillId="2" borderId="47" xfId="0" applyNumberFormat="1" applyFont="1" applyBorder="1" applyAlignment="1"/>
    <xf numFmtId="38" fontId="122" fillId="2" borderId="47" xfId="0" applyNumberFormat="1" applyFont="1" applyBorder="1" applyAlignment="1">
      <alignment horizontal="right"/>
    </xf>
    <xf numFmtId="38" fontId="123" fillId="2" borderId="47" xfId="0" applyNumberFormat="1" applyFont="1" applyBorder="1" applyAlignment="1">
      <alignment horizontal="right"/>
    </xf>
    <xf numFmtId="38" fontId="122" fillId="2" borderId="9" xfId="0" applyNumberFormat="1" applyFont="1" applyBorder="1"/>
    <xf numFmtId="38" fontId="123" fillId="2" borderId="9" xfId="0" applyNumberFormat="1" applyFont="1" applyBorder="1"/>
    <xf numFmtId="38" fontId="125" fillId="2" borderId="9" xfId="0" applyNumberFormat="1" applyFont="1" applyBorder="1"/>
    <xf numFmtId="6" fontId="0" fillId="2" borderId="0" xfId="0" applyNumberFormat="1"/>
    <xf numFmtId="0" fontId="15" fillId="5" borderId="9" xfId="0" applyNumberFormat="1" applyFont="1" applyFill="1" applyBorder="1" applyAlignment="1">
      <alignment horizontal="center"/>
    </xf>
    <xf numFmtId="0" fontId="119" fillId="19" borderId="10" xfId="0" applyNumberFormat="1" applyFont="1" applyFill="1" applyBorder="1"/>
    <xf numFmtId="0" fontId="15" fillId="19" borderId="11" xfId="0" applyNumberFormat="1" applyFont="1" applyFill="1" applyBorder="1"/>
    <xf numFmtId="177" fontId="119" fillId="19" borderId="9" xfId="0" applyNumberFormat="1" applyFont="1" applyFill="1" applyBorder="1" applyProtection="1"/>
    <xf numFmtId="0" fontId="56" fillId="2" borderId="0" xfId="0" applyNumberFormat="1" applyFont="1" applyBorder="1"/>
    <xf numFmtId="0" fontId="32" fillId="2" borderId="0" xfId="0" applyNumberFormat="1" applyFont="1" applyBorder="1"/>
    <xf numFmtId="0" fontId="94" fillId="2" borderId="0" xfId="0" applyNumberFormat="1" applyFont="1" applyBorder="1"/>
    <xf numFmtId="0" fontId="115" fillId="5" borderId="10" xfId="0" applyNumberFormat="1" applyFont="1" applyFill="1" applyBorder="1"/>
    <xf numFmtId="0" fontId="15" fillId="5" borderId="12" xfId="0" applyNumberFormat="1" applyFont="1" applyFill="1" applyBorder="1"/>
    <xf numFmtId="6" fontId="15" fillId="5" borderId="9" xfId="0" applyNumberFormat="1" applyFont="1" applyFill="1" applyBorder="1" applyProtection="1">
      <protection locked="0"/>
    </xf>
    <xf numFmtId="6" fontId="15" fillId="5" borderId="9" xfId="0" applyNumberFormat="1" applyFont="1" applyFill="1" applyBorder="1" applyAlignment="1">
      <alignment horizontal="center"/>
    </xf>
    <xf numFmtId="0" fontId="4" fillId="2" borderId="66" xfId="0" applyNumberFormat="1" applyFont="1" applyBorder="1"/>
    <xf numFmtId="0" fontId="126" fillId="2" borderId="74" xfId="0" applyNumberFormat="1" applyFont="1" applyBorder="1"/>
    <xf numFmtId="0" fontId="4" fillId="2" borderId="67" xfId="0" applyNumberFormat="1" applyFont="1" applyBorder="1"/>
    <xf numFmtId="0" fontId="4" fillId="2" borderId="75" xfId="0" applyNumberFormat="1" applyFont="1" applyBorder="1"/>
    <xf numFmtId="6" fontId="68" fillId="2" borderId="68" xfId="0" applyNumberFormat="1" applyFont="1" applyBorder="1"/>
    <xf numFmtId="6" fontId="15" fillId="2" borderId="76" xfId="0" applyNumberFormat="1" applyFont="1" applyBorder="1"/>
    <xf numFmtId="38" fontId="1" fillId="2" borderId="0" xfId="0" applyNumberFormat="1" applyFont="1" applyBorder="1" applyAlignment="1">
      <alignment horizontal="right"/>
    </xf>
    <xf numFmtId="38" fontId="1" fillId="2" borderId="13" xfId="0" applyNumberFormat="1" applyFont="1" applyBorder="1" applyAlignment="1">
      <alignment horizontal="right"/>
    </xf>
    <xf numFmtId="0" fontId="15" fillId="5" borderId="9" xfId="0" applyNumberFormat="1" applyFont="1" applyFill="1" applyBorder="1"/>
    <xf numFmtId="0" fontId="15" fillId="5" borderId="23" xfId="0" applyNumberFormat="1" applyFont="1" applyFill="1" applyBorder="1"/>
    <xf numFmtId="0" fontId="35" fillId="12" borderId="41" xfId="0" applyFont="1" applyFill="1" applyBorder="1"/>
    <xf numFmtId="0" fontId="4" fillId="19" borderId="40" xfId="0" applyNumberFormat="1" applyFont="1" applyFill="1" applyBorder="1"/>
    <xf numFmtId="0" fontId="4" fillId="19" borderId="43" xfId="0" applyNumberFormat="1" applyFont="1" applyFill="1" applyBorder="1"/>
    <xf numFmtId="0" fontId="0" fillId="19" borderId="37" xfId="0" applyNumberFormat="1" applyFill="1" applyBorder="1"/>
    <xf numFmtId="0" fontId="4" fillId="19" borderId="42" xfId="0" applyNumberFormat="1" applyFont="1" applyFill="1" applyBorder="1"/>
    <xf numFmtId="0" fontId="4" fillId="19" borderId="44" xfId="0" applyNumberFormat="1" applyFont="1" applyFill="1" applyBorder="1"/>
    <xf numFmtId="0" fontId="0" fillId="19" borderId="39" xfId="0" applyNumberFormat="1" applyFill="1" applyBorder="1"/>
    <xf numFmtId="178" fontId="0" fillId="2" borderId="0" xfId="0" applyNumberFormat="1"/>
    <xf numFmtId="38" fontId="15" fillId="2" borderId="9" xfId="0" applyNumberFormat="1" applyFont="1" applyBorder="1" applyAlignment="1">
      <alignment horizontal="center"/>
    </xf>
    <xf numFmtId="0" fontId="15" fillId="2" borderId="9" xfId="0" applyNumberFormat="1" applyFont="1" applyBorder="1" applyAlignment="1">
      <alignment horizontal="center"/>
    </xf>
    <xf numFmtId="6" fontId="68" fillId="2" borderId="77" xfId="0" applyNumberFormat="1" applyFont="1" applyBorder="1"/>
    <xf numFmtId="0" fontId="4" fillId="19" borderId="47" xfId="0" applyNumberFormat="1" applyFont="1" applyFill="1" applyBorder="1" applyAlignment="1">
      <alignment horizontal="left"/>
    </xf>
    <xf numFmtId="0" fontId="4" fillId="19" borderId="48" xfId="0" applyNumberFormat="1" applyFont="1" applyFill="1" applyBorder="1" applyAlignment="1">
      <alignment horizontal="left"/>
    </xf>
    <xf numFmtId="0" fontId="4" fillId="19" borderId="36" xfId="0" applyNumberFormat="1" applyFont="1" applyFill="1" applyBorder="1" applyAlignment="1">
      <alignment horizontal="left"/>
    </xf>
    <xf numFmtId="0" fontId="128" fillId="2" borderId="0" xfId="0" applyNumberFormat="1" applyFont="1" applyAlignment="1">
      <alignment horizontal="center"/>
    </xf>
    <xf numFmtId="168" fontId="128" fillId="2" borderId="2" xfId="0" applyNumberFormat="1" applyFont="1" applyBorder="1"/>
    <xf numFmtId="38" fontId="128" fillId="2" borderId="9" xfId="0" applyNumberFormat="1" applyFont="1" applyBorder="1"/>
    <xf numFmtId="176" fontId="128" fillId="5" borderId="9" xfId="0" applyNumberFormat="1" applyFont="1" applyFill="1" applyBorder="1"/>
    <xf numFmtId="38" fontId="128" fillId="20" borderId="2" xfId="0" applyNumberFormat="1" applyFont="1" applyFill="1" applyBorder="1"/>
    <xf numFmtId="38" fontId="128" fillId="20" borderId="9" xfId="0" applyNumberFormat="1" applyFont="1" applyFill="1" applyBorder="1"/>
    <xf numFmtId="38" fontId="128" fillId="20" borderId="0" xfId="0" applyNumberFormat="1" applyFont="1" applyFill="1"/>
    <xf numFmtId="0" fontId="30" fillId="5" borderId="15" xfId="0" applyFont="1" applyFill="1" applyBorder="1"/>
    <xf numFmtId="38" fontId="127" fillId="2" borderId="9" xfId="0" applyNumberFormat="1" applyFont="1" applyBorder="1" applyAlignment="1">
      <alignment horizontal="right"/>
    </xf>
    <xf numFmtId="38" fontId="127" fillId="2" borderId="9" xfId="0" applyNumberFormat="1" applyFont="1" applyBorder="1"/>
    <xf numFmtId="0" fontId="129" fillId="2" borderId="9" xfId="0" applyNumberFormat="1" applyFont="1" applyBorder="1"/>
    <xf numFmtId="0" fontId="78" fillId="14" borderId="21" xfId="0" applyNumberFormat="1" applyFont="1" applyFill="1" applyBorder="1"/>
    <xf numFmtId="0" fontId="78" fillId="14" borderId="22" xfId="0" applyNumberFormat="1" applyFont="1" applyFill="1" applyBorder="1"/>
    <xf numFmtId="0" fontId="78" fillId="14" borderId="47" xfId="0" applyNumberFormat="1" applyFont="1" applyFill="1" applyBorder="1"/>
    <xf numFmtId="0" fontId="78" fillId="14" borderId="16" xfId="0" applyNumberFormat="1" applyFont="1" applyFill="1" applyBorder="1"/>
    <xf numFmtId="0" fontId="78" fillId="14" borderId="23" xfId="0" applyNumberFormat="1" applyFont="1" applyFill="1" applyBorder="1"/>
    <xf numFmtId="0" fontId="78" fillId="14" borderId="36" xfId="0" applyNumberFormat="1" applyFont="1" applyFill="1" applyBorder="1"/>
    <xf numFmtId="0" fontId="78" fillId="14" borderId="29" xfId="0" applyNumberFormat="1" applyFont="1" applyFill="1" applyBorder="1"/>
    <xf numFmtId="0" fontId="78" fillId="14" borderId="22" xfId="0" applyNumberFormat="1" applyFont="1" applyFill="1" applyBorder="1" applyAlignment="1">
      <alignment horizontal="center"/>
    </xf>
    <xf numFmtId="183" fontId="78" fillId="14" borderId="47" xfId="0" applyNumberFormat="1" applyFont="1" applyFill="1" applyBorder="1" applyAlignment="1">
      <alignment horizontal="center"/>
    </xf>
    <xf numFmtId="0" fontId="46" fillId="14" borderId="47" xfId="0" applyNumberFormat="1" applyFont="1" applyFill="1" applyBorder="1" applyAlignment="1">
      <alignment horizontal="center"/>
    </xf>
    <xf numFmtId="0" fontId="46" fillId="14" borderId="36" xfId="0" applyNumberFormat="1" applyFont="1" applyFill="1" applyBorder="1" applyAlignment="1">
      <alignment horizontal="center"/>
    </xf>
    <xf numFmtId="0" fontId="0" fillId="14" borderId="29" xfId="0" applyNumberFormat="1" applyFont="1" applyFill="1" applyBorder="1"/>
    <xf numFmtId="0" fontId="0" fillId="14" borderId="22" xfId="0" applyNumberFormat="1" applyFont="1" applyFill="1" applyBorder="1"/>
    <xf numFmtId="0" fontId="68" fillId="14" borderId="47" xfId="0" applyNumberFormat="1" applyFont="1" applyFill="1" applyBorder="1" applyAlignment="1">
      <alignment horizontal="center"/>
    </xf>
    <xf numFmtId="0" fontId="46" fillId="14" borderId="23" xfId="0" applyNumberFormat="1" applyFont="1" applyFill="1" applyBorder="1" applyAlignment="1">
      <alignment horizontal="center"/>
    </xf>
    <xf numFmtId="0" fontId="68" fillId="14" borderId="36" xfId="0" applyNumberFormat="1" applyFont="1" applyFill="1" applyBorder="1" applyAlignment="1">
      <alignment horizontal="center"/>
    </xf>
    <xf numFmtId="0" fontId="4" fillId="14" borderId="47" xfId="0" applyNumberFormat="1" applyFont="1" applyFill="1" applyBorder="1"/>
    <xf numFmtId="0" fontId="4" fillId="14" borderId="21" xfId="0" applyNumberFormat="1" applyFont="1" applyFill="1" applyBorder="1"/>
    <xf numFmtId="0" fontId="4" fillId="14" borderId="22" xfId="0" applyNumberFormat="1" applyFont="1" applyFill="1" applyBorder="1"/>
    <xf numFmtId="0" fontId="46" fillId="14" borderId="13" xfId="0" applyNumberFormat="1" applyFont="1" applyFill="1" applyBorder="1" applyAlignment="1">
      <alignment horizontal="center"/>
    </xf>
    <xf numFmtId="0" fontId="15" fillId="24" borderId="11" xfId="0" applyNumberFormat="1" applyFont="1" applyFill="1" applyBorder="1"/>
    <xf numFmtId="0" fontId="15" fillId="24" borderId="12" xfId="0" applyNumberFormat="1" applyFont="1" applyFill="1" applyBorder="1"/>
    <xf numFmtId="0" fontId="46" fillId="14" borderId="9" xfId="0" applyNumberFormat="1" applyFont="1" applyFill="1" applyBorder="1"/>
    <xf numFmtId="0" fontId="46" fillId="14" borderId="9" xfId="0" applyNumberFormat="1" applyFont="1" applyFill="1" applyBorder="1" applyAlignment="1">
      <alignment horizontal="center"/>
    </xf>
    <xf numFmtId="0" fontId="78" fillId="24" borderId="11" xfId="0" applyNumberFormat="1" applyFont="1" applyFill="1" applyBorder="1"/>
    <xf numFmtId="0" fontId="0" fillId="14" borderId="9" xfId="0" applyNumberFormat="1" applyFill="1" applyBorder="1"/>
    <xf numFmtId="0" fontId="15" fillId="24" borderId="9" xfId="0" applyNumberFormat="1" applyFont="1" applyFill="1" applyBorder="1" applyAlignment="1">
      <alignment horizontal="center"/>
    </xf>
    <xf numFmtId="0" fontId="15" fillId="24" borderId="10" xfId="0" applyNumberFormat="1" applyFont="1" applyFill="1" applyBorder="1" applyAlignment="1">
      <alignment horizontal="center"/>
    </xf>
    <xf numFmtId="0" fontId="68" fillId="24" borderId="10" xfId="0" applyNumberFormat="1" applyFont="1" applyFill="1" applyBorder="1" applyAlignment="1">
      <alignment horizontal="left"/>
    </xf>
    <xf numFmtId="0" fontId="46" fillId="24" borderId="10" xfId="0" applyNumberFormat="1" applyFont="1" applyFill="1" applyBorder="1" applyAlignment="1">
      <alignment horizontal="left"/>
    </xf>
    <xf numFmtId="0" fontId="68" fillId="24" borderId="9" xfId="0" applyNumberFormat="1" applyFont="1" applyFill="1" applyBorder="1" applyAlignment="1">
      <alignment horizontal="left"/>
    </xf>
    <xf numFmtId="0" fontId="15" fillId="2" borderId="36" xfId="0" quotePrefix="1" applyNumberFormat="1" applyFont="1" applyBorder="1" applyAlignment="1">
      <alignment horizontal="center"/>
    </xf>
    <xf numFmtId="0" fontId="46" fillId="14" borderId="16" xfId="0" applyNumberFormat="1" applyFont="1" applyFill="1" applyBorder="1" applyAlignment="1">
      <alignment horizontal="left"/>
    </xf>
    <xf numFmtId="0" fontId="114" fillId="14" borderId="12" xfId="0" applyNumberFormat="1" applyFont="1" applyFill="1" applyBorder="1" applyAlignment="1">
      <alignment horizontal="center"/>
    </xf>
    <xf numFmtId="0" fontId="46" fillId="14" borderId="12" xfId="0" applyNumberFormat="1" applyFont="1" applyFill="1" applyBorder="1" applyAlignment="1">
      <alignment horizontal="center"/>
    </xf>
    <xf numFmtId="6" fontId="15" fillId="24" borderId="12" xfId="0" applyNumberFormat="1" applyFont="1" applyFill="1" applyBorder="1"/>
    <xf numFmtId="0" fontId="46" fillId="14" borderId="10" xfId="0" applyNumberFormat="1" applyFont="1" applyFill="1" applyBorder="1" applyAlignment="1">
      <alignment horizontal="left"/>
    </xf>
    <xf numFmtId="0" fontId="46" fillId="14" borderId="16" xfId="0" applyNumberFormat="1" applyFont="1" applyFill="1" applyBorder="1"/>
    <xf numFmtId="0" fontId="78" fillId="14" borderId="11" xfId="0" applyNumberFormat="1" applyFont="1" applyFill="1" applyBorder="1"/>
    <xf numFmtId="0" fontId="78" fillId="14" borderId="12" xfId="0" applyNumberFormat="1" applyFont="1" applyFill="1" applyBorder="1"/>
    <xf numFmtId="0" fontId="15" fillId="24" borderId="13" xfId="0" applyNumberFormat="1" applyFont="1" applyFill="1" applyBorder="1"/>
    <xf numFmtId="0" fontId="15" fillId="24" borderId="23" xfId="0" applyNumberFormat="1" applyFont="1" applyFill="1" applyBorder="1"/>
    <xf numFmtId="0" fontId="68" fillId="24" borderId="16" xfId="0" applyNumberFormat="1" applyFont="1" applyFill="1" applyBorder="1"/>
    <xf numFmtId="0" fontId="15" fillId="24" borderId="9" xfId="0" applyNumberFormat="1" applyFont="1" applyFill="1" applyBorder="1"/>
    <xf numFmtId="0" fontId="46" fillId="14" borderId="10" xfId="0" applyNumberFormat="1" applyFont="1" applyFill="1" applyBorder="1"/>
    <xf numFmtId="0" fontId="68" fillId="2" borderId="0" xfId="0" quotePrefix="1" applyNumberFormat="1" applyFont="1"/>
    <xf numFmtId="183" fontId="46" fillId="14" borderId="36" xfId="0" applyNumberFormat="1" applyFont="1" applyFill="1" applyBorder="1" applyAlignment="1">
      <alignment horizontal="center"/>
    </xf>
    <xf numFmtId="0" fontId="15" fillId="5" borderId="0" xfId="0" quotePrefix="1" applyNumberFormat="1" applyFont="1" applyFill="1"/>
    <xf numFmtId="38" fontId="15" fillId="5" borderId="9" xfId="0" applyNumberFormat="1" applyFont="1" applyFill="1" applyBorder="1" applyAlignment="1" applyProtection="1">
      <alignment horizontal="center"/>
      <protection locked="0"/>
    </xf>
    <xf numFmtId="0" fontId="78" fillId="14" borderId="13" xfId="0" applyNumberFormat="1" applyFont="1" applyFill="1" applyBorder="1"/>
    <xf numFmtId="38" fontId="46" fillId="14" borderId="29" xfId="0" applyNumberFormat="1" applyFont="1" applyFill="1" applyBorder="1"/>
    <xf numFmtId="0" fontId="46" fillId="14" borderId="47" xfId="0" applyNumberFormat="1" applyFont="1" applyFill="1" applyBorder="1"/>
    <xf numFmtId="0" fontId="46" fillId="14" borderId="21" xfId="0" applyNumberFormat="1" applyFont="1" applyFill="1" applyBorder="1" applyAlignment="1">
      <alignment horizontal="center"/>
    </xf>
    <xf numFmtId="0" fontId="46" fillId="14" borderId="22" xfId="0" applyNumberFormat="1" applyFont="1" applyFill="1" applyBorder="1"/>
    <xf numFmtId="0" fontId="15" fillId="24" borderId="21" xfId="0" applyNumberFormat="1" applyFont="1" applyFill="1" applyBorder="1"/>
    <xf numFmtId="0" fontId="15" fillId="24" borderId="22" xfId="0" applyNumberFormat="1" applyFont="1" applyFill="1" applyBorder="1"/>
    <xf numFmtId="0" fontId="68" fillId="24" borderId="29" xfId="0" applyNumberFormat="1" applyFont="1" applyFill="1" applyBorder="1"/>
    <xf numFmtId="0" fontId="126" fillId="24" borderId="10" xfId="0" applyNumberFormat="1" applyFont="1" applyFill="1" applyBorder="1"/>
    <xf numFmtId="38" fontId="46" fillId="14" borderId="16" xfId="0" applyNumberFormat="1" applyFont="1" applyFill="1" applyBorder="1" applyAlignment="1">
      <alignment horizontal="left"/>
    </xf>
    <xf numFmtId="38" fontId="46" fillId="14" borderId="16" xfId="0" applyNumberFormat="1" applyFont="1" applyFill="1" applyBorder="1"/>
    <xf numFmtId="0" fontId="130" fillId="14" borderId="12" xfId="0" applyNumberFormat="1" applyFont="1" applyFill="1" applyBorder="1" applyAlignment="1">
      <alignment horizontal="center"/>
    </xf>
    <xf numFmtId="0" fontId="114" fillId="24" borderId="12" xfId="0" applyNumberFormat="1" applyFont="1" applyFill="1" applyBorder="1" applyAlignment="1">
      <alignment horizontal="center"/>
    </xf>
    <xf numFmtId="0" fontId="68" fillId="14" borderId="9" xfId="0" applyNumberFormat="1" applyFont="1" applyFill="1" applyBorder="1"/>
    <xf numFmtId="0" fontId="68" fillId="24" borderId="9" xfId="0" applyNumberFormat="1" applyFont="1" applyFill="1" applyBorder="1"/>
    <xf numFmtId="0" fontId="68" fillId="24" borderId="12" xfId="0" applyNumberFormat="1" applyFont="1" applyFill="1" applyBorder="1" applyAlignment="1">
      <alignment horizontal="left"/>
    </xf>
    <xf numFmtId="0" fontId="46" fillId="24" borderId="47" xfId="0" applyNumberFormat="1" applyFont="1" applyFill="1" applyBorder="1" applyAlignment="1">
      <alignment horizontal="left"/>
    </xf>
    <xf numFmtId="0" fontId="46" fillId="24" borderId="36" xfId="0" applyNumberFormat="1" applyFont="1" applyFill="1" applyBorder="1" applyAlignment="1">
      <alignment horizontal="left"/>
    </xf>
    <xf numFmtId="0" fontId="15" fillId="24" borderId="36" xfId="0" applyNumberFormat="1" applyFont="1" applyFill="1" applyBorder="1"/>
    <xf numFmtId="6" fontId="15" fillId="24" borderId="36" xfId="0" applyNumberFormat="1" applyFont="1" applyFill="1" applyBorder="1"/>
    <xf numFmtId="0" fontId="15" fillId="24" borderId="47" xfId="0" applyNumberFormat="1" applyFont="1" applyFill="1" applyBorder="1"/>
    <xf numFmtId="6" fontId="15" fillId="24" borderId="47" xfId="0" applyNumberFormat="1" applyFont="1" applyFill="1" applyBorder="1"/>
    <xf numFmtId="0" fontId="15" fillId="24" borderId="78" xfId="0" applyNumberFormat="1" applyFont="1" applyFill="1" applyBorder="1"/>
    <xf numFmtId="0" fontId="68" fillId="24" borderId="78" xfId="0" applyNumberFormat="1" applyFont="1" applyFill="1" applyBorder="1" applyAlignment="1">
      <alignment horizontal="center"/>
    </xf>
    <xf numFmtId="0" fontId="68" fillId="14" borderId="12" xfId="0" applyNumberFormat="1" applyFont="1" applyFill="1" applyBorder="1"/>
    <xf numFmtId="0" fontId="130" fillId="14" borderId="11" xfId="0" applyNumberFormat="1" applyFont="1" applyFill="1" applyBorder="1" applyAlignment="1">
      <alignment horizontal="center"/>
    </xf>
    <xf numFmtId="0" fontId="68" fillId="2" borderId="0" xfId="0" quotePrefix="1" applyNumberFormat="1" applyFont="1" applyAlignment="1"/>
    <xf numFmtId="0" fontId="15" fillId="24" borderId="0" xfId="0" applyNumberFormat="1" applyFont="1" applyFill="1"/>
    <xf numFmtId="0" fontId="46" fillId="14" borderId="21" xfId="0" applyNumberFormat="1" applyFont="1" applyFill="1" applyBorder="1"/>
    <xf numFmtId="0" fontId="46" fillId="14" borderId="13" xfId="0" applyNumberFormat="1" applyFont="1" applyFill="1" applyBorder="1"/>
    <xf numFmtId="0" fontId="131" fillId="5" borderId="13" xfId="0" applyNumberFormat="1" applyFont="1" applyFill="1" applyBorder="1"/>
    <xf numFmtId="0" fontId="131" fillId="5" borderId="0" xfId="0" applyNumberFormat="1" applyFont="1" applyFill="1" applyBorder="1"/>
    <xf numFmtId="0" fontId="46" fillId="25" borderId="21" xfId="0" applyNumberFormat="1" applyFont="1" applyFill="1" applyBorder="1"/>
    <xf numFmtId="0" fontId="46" fillId="25" borderId="13" xfId="0" applyNumberFormat="1" applyFont="1" applyFill="1" applyBorder="1"/>
    <xf numFmtId="0" fontId="15" fillId="14" borderId="10" xfId="0" applyNumberFormat="1" applyFont="1" applyFill="1" applyBorder="1"/>
    <xf numFmtId="0" fontId="68" fillId="14" borderId="10" xfId="0" applyNumberFormat="1" applyFont="1" applyFill="1" applyBorder="1"/>
    <xf numFmtId="0" fontId="68" fillId="14" borderId="10" xfId="0" applyNumberFormat="1" applyFont="1" applyFill="1" applyBorder="1" applyAlignment="1">
      <alignment horizontal="center"/>
    </xf>
    <xf numFmtId="0" fontId="68" fillId="14" borderId="9" xfId="0" applyNumberFormat="1" applyFont="1" applyFill="1" applyBorder="1" applyAlignment="1">
      <alignment horizontal="center"/>
    </xf>
    <xf numFmtId="0" fontId="68" fillId="14" borderId="11" xfId="0" applyNumberFormat="1" applyFont="1" applyFill="1" applyBorder="1"/>
    <xf numFmtId="0" fontId="129" fillId="2" borderId="0" xfId="0" applyNumberFormat="1" applyFont="1" applyBorder="1"/>
    <xf numFmtId="6" fontId="68" fillId="2" borderId="0" xfId="0" applyNumberFormat="1" applyFont="1" applyBorder="1"/>
    <xf numFmtId="0" fontId="46" fillId="14" borderId="29" xfId="0" applyNumberFormat="1" applyFont="1" applyFill="1" applyBorder="1"/>
    <xf numFmtId="0" fontId="0" fillId="14" borderId="22" xfId="0" applyNumberFormat="1" applyFill="1" applyBorder="1"/>
    <xf numFmtId="0" fontId="0" fillId="14" borderId="47" xfId="0" applyNumberFormat="1" applyFill="1" applyBorder="1"/>
    <xf numFmtId="0" fontId="46" fillId="14" borderId="22" xfId="0" applyNumberFormat="1" applyFont="1" applyFill="1" applyBorder="1" applyAlignment="1">
      <alignment horizontal="center"/>
    </xf>
    <xf numFmtId="0" fontId="0" fillId="14" borderId="23" xfId="0" applyNumberFormat="1" applyFill="1" applyBorder="1"/>
    <xf numFmtId="0" fontId="0" fillId="14" borderId="36" xfId="0" applyNumberFormat="1" applyFill="1" applyBorder="1"/>
    <xf numFmtId="0" fontId="68" fillId="24" borderId="10" xfId="0" applyNumberFormat="1" applyFont="1" applyFill="1" applyBorder="1"/>
    <xf numFmtId="0" fontId="0" fillId="24" borderId="11" xfId="0" applyNumberFormat="1" applyFill="1" applyBorder="1"/>
    <xf numFmtId="0" fontId="0" fillId="24" borderId="12" xfId="0" applyNumberFormat="1" applyFill="1" applyBorder="1"/>
    <xf numFmtId="0" fontId="46" fillId="19" borderId="10" xfId="0" applyNumberFormat="1" applyFont="1" applyFill="1" applyBorder="1"/>
    <xf numFmtId="0" fontId="115" fillId="5" borderId="11" xfId="0" applyNumberFormat="1" applyFont="1" applyFill="1" applyBorder="1"/>
    <xf numFmtId="38" fontId="15" fillId="2" borderId="0" xfId="0" applyNumberFormat="1" applyFont="1"/>
    <xf numFmtId="38" fontId="68" fillId="19" borderId="9" xfId="0" applyNumberFormat="1" applyFont="1" applyFill="1" applyBorder="1"/>
    <xf numFmtId="0" fontId="120" fillId="2" borderId="0" xfId="3" quotePrefix="1" applyNumberFormat="1" applyFont="1" applyFill="1" applyAlignment="1" applyProtection="1"/>
    <xf numFmtId="6" fontId="68" fillId="24" borderId="12" xfId="0" applyNumberFormat="1" applyFont="1" applyFill="1" applyBorder="1"/>
    <xf numFmtId="38" fontId="0" fillId="5" borderId="0" xfId="0" applyNumberFormat="1" applyFill="1"/>
    <xf numFmtId="0" fontId="4" fillId="19" borderId="41" xfId="0" applyNumberFormat="1" applyFont="1" applyFill="1" applyBorder="1"/>
    <xf numFmtId="0" fontId="4" fillId="19" borderId="0" xfId="0" applyNumberFormat="1" applyFont="1" applyFill="1" applyBorder="1"/>
    <xf numFmtId="0" fontId="0" fillId="19" borderId="38" xfId="0" applyNumberFormat="1" applyFill="1" applyBorder="1"/>
    <xf numFmtId="0" fontId="4" fillId="5" borderId="0" xfId="0" applyNumberFormat="1" applyFont="1" applyFill="1" applyAlignment="1">
      <alignment horizontal="left"/>
    </xf>
    <xf numFmtId="0" fontId="0" fillId="2" borderId="36" xfId="0" applyNumberFormat="1" applyBorder="1"/>
    <xf numFmtId="0" fontId="133" fillId="2" borderId="0" xfId="0" applyNumberFormat="1" applyFont="1"/>
    <xf numFmtId="0" fontId="133" fillId="2" borderId="0" xfId="0" applyNumberFormat="1" applyFont="1" applyAlignment="1">
      <alignment horizontal="center"/>
    </xf>
    <xf numFmtId="176" fontId="133" fillId="2" borderId="2" xfId="0" applyNumberFormat="1" applyFont="1" applyBorder="1"/>
    <xf numFmtId="177" fontId="133" fillId="0" borderId="2" xfId="0" applyNumberFormat="1" applyFont="1" applyFill="1" applyBorder="1"/>
    <xf numFmtId="0" fontId="133" fillId="2" borderId="0" xfId="0" applyNumberFormat="1" applyFont="1" applyBorder="1"/>
    <xf numFmtId="0" fontId="133" fillId="2" borderId="2" xfId="0" applyNumberFormat="1" applyFont="1" applyBorder="1"/>
    <xf numFmtId="37" fontId="133" fillId="2" borderId="2" xfId="0" applyNumberFormat="1" applyFont="1" applyBorder="1"/>
    <xf numFmtId="164" fontId="132" fillId="2" borderId="2" xfId="0" applyNumberFormat="1" applyFont="1" applyBorder="1"/>
    <xf numFmtId="168" fontId="133" fillId="2" borderId="2" xfId="0" applyNumberFormat="1" applyFont="1" applyBorder="1"/>
    <xf numFmtId="168" fontId="133" fillId="11" borderId="2" xfId="0" applyNumberFormat="1" applyFont="1" applyFill="1" applyBorder="1"/>
    <xf numFmtId="38" fontId="133" fillId="2" borderId="2" xfId="0" applyNumberFormat="1" applyFont="1" applyBorder="1"/>
    <xf numFmtId="38" fontId="133" fillId="2" borderId="9" xfId="0" applyNumberFormat="1" applyFont="1" applyBorder="1"/>
    <xf numFmtId="38" fontId="133" fillId="2" borderId="0" xfId="0" applyNumberFormat="1" applyFont="1"/>
    <xf numFmtId="0" fontId="133" fillId="2" borderId="0" xfId="0" applyNumberFormat="1" applyFont="1" applyAlignment="1">
      <alignment horizontal="right"/>
    </xf>
    <xf numFmtId="171" fontId="133" fillId="2" borderId="0" xfId="0" applyNumberFormat="1" applyFont="1" applyAlignment="1">
      <alignment horizontal="right"/>
    </xf>
    <xf numFmtId="39" fontId="133" fillId="2" borderId="0" xfId="0" applyNumberFormat="1" applyFont="1" applyAlignment="1">
      <alignment horizontal="right"/>
    </xf>
    <xf numFmtId="38" fontId="133" fillId="5" borderId="0" xfId="0" applyNumberFormat="1" applyFont="1" applyFill="1" applyBorder="1" applyAlignment="1">
      <alignment horizontal="center"/>
    </xf>
    <xf numFmtId="0" fontId="133" fillId="5" borderId="0" xfId="0" applyNumberFormat="1" applyFont="1" applyFill="1" applyBorder="1"/>
    <xf numFmtId="0" fontId="133" fillId="8" borderId="2" xfId="0" applyNumberFormat="1" applyFont="1" applyFill="1" applyBorder="1" applyAlignment="1">
      <alignment horizontal="center"/>
    </xf>
    <xf numFmtId="0" fontId="59" fillId="8" borderId="0" xfId="0" applyNumberFormat="1" applyFont="1" applyFill="1" applyAlignment="1">
      <alignment horizontal="right"/>
    </xf>
    <xf numFmtId="0" fontId="28" fillId="8" borderId="0" xfId="0" applyNumberFormat="1" applyFont="1" applyFill="1"/>
    <xf numFmtId="0" fontId="0" fillId="8" borderId="0" xfId="0" applyNumberFormat="1" applyFill="1"/>
    <xf numFmtId="0" fontId="133" fillId="8" borderId="0" xfId="0" applyNumberFormat="1" applyFont="1" applyFill="1"/>
    <xf numFmtId="0" fontId="133" fillId="8" borderId="0" xfId="0" applyNumberFormat="1" applyFont="1" applyFill="1" applyAlignment="1">
      <alignment horizontal="right"/>
    </xf>
    <xf numFmtId="38" fontId="133" fillId="8" borderId="0" xfId="0" applyNumberFormat="1" applyFont="1" applyFill="1"/>
    <xf numFmtId="176" fontId="133" fillId="2" borderId="0" xfId="0" applyNumberFormat="1" applyFont="1"/>
    <xf numFmtId="176" fontId="133" fillId="5" borderId="9" xfId="0" applyNumberFormat="1" applyFont="1" applyFill="1" applyBorder="1"/>
    <xf numFmtId="0" fontId="133" fillId="8" borderId="0" xfId="0" applyNumberFormat="1" applyFont="1" applyFill="1" applyAlignment="1">
      <alignment horizontal="center"/>
    </xf>
    <xf numFmtId="38" fontId="133" fillId="8" borderId="0" xfId="0" quotePrefix="1" applyNumberFormat="1" applyFont="1" applyFill="1" applyAlignment="1">
      <alignment horizontal="center"/>
    </xf>
    <xf numFmtId="0" fontId="133" fillId="8" borderId="0" xfId="0" quotePrefix="1" applyNumberFormat="1" applyFont="1" applyFill="1" applyAlignment="1">
      <alignment horizontal="center"/>
    </xf>
    <xf numFmtId="37" fontId="133" fillId="8" borderId="2" xfId="0" applyNumberFormat="1" applyFont="1" applyFill="1" applyBorder="1"/>
    <xf numFmtId="37" fontId="133" fillId="8" borderId="0" xfId="0" applyNumberFormat="1" applyFont="1" applyFill="1" applyBorder="1"/>
    <xf numFmtId="176" fontId="133" fillId="8" borderId="2" xfId="0" applyNumberFormat="1" applyFont="1" applyFill="1" applyBorder="1"/>
    <xf numFmtId="176" fontId="133" fillId="8" borderId="0" xfId="0" applyNumberFormat="1" applyFont="1" applyFill="1" applyBorder="1"/>
    <xf numFmtId="37" fontId="133" fillId="8" borderId="0" xfId="0" applyNumberFormat="1" applyFont="1" applyFill="1" applyBorder="1" applyAlignment="1">
      <alignment horizontal="center"/>
    </xf>
    <xf numFmtId="37" fontId="133" fillId="8" borderId="2" xfId="0" applyNumberFormat="1" applyFont="1" applyFill="1" applyBorder="1" applyAlignment="1">
      <alignment horizontal="center"/>
    </xf>
    <xf numFmtId="168" fontId="133" fillId="8" borderId="2" xfId="0" applyNumberFormat="1" applyFont="1" applyFill="1" applyBorder="1"/>
    <xf numFmtId="168" fontId="133" fillId="8" borderId="0" xfId="0" applyNumberFormat="1" applyFont="1" applyFill="1" applyBorder="1"/>
    <xf numFmtId="38" fontId="133" fillId="8" borderId="2" xfId="0" applyNumberFormat="1" applyFont="1" applyFill="1" applyBorder="1"/>
    <xf numFmtId="38" fontId="133" fillId="8" borderId="0" xfId="0" applyNumberFormat="1" applyFont="1" applyFill="1" applyBorder="1"/>
    <xf numFmtId="40" fontId="133" fillId="8" borderId="2" xfId="0" applyNumberFormat="1" applyFont="1" applyFill="1" applyBorder="1"/>
    <xf numFmtId="40" fontId="133" fillId="8" borderId="0" xfId="0" applyNumberFormat="1" applyFont="1" applyFill="1" applyBorder="1"/>
    <xf numFmtId="38" fontId="133" fillId="8" borderId="9" xfId="0" applyNumberFormat="1" applyFont="1" applyFill="1" applyBorder="1"/>
    <xf numFmtId="38" fontId="133" fillId="8" borderId="8" xfId="0" applyNumberFormat="1" applyFont="1" applyFill="1" applyBorder="1"/>
    <xf numFmtId="38" fontId="133" fillId="8" borderId="9" xfId="0" applyNumberFormat="1" applyFont="1" applyFill="1" applyBorder="1" applyAlignment="1" applyProtection="1">
      <alignment horizontal="center"/>
      <protection locked="0"/>
    </xf>
    <xf numFmtId="38" fontId="133" fillId="8" borderId="9" xfId="0" applyNumberFormat="1" applyFont="1" applyFill="1" applyBorder="1" applyAlignment="1">
      <alignment horizontal="center"/>
    </xf>
    <xf numFmtId="0" fontId="133" fillId="8" borderId="0" xfId="0" quotePrefix="1" applyNumberFormat="1" applyFont="1" applyFill="1"/>
    <xf numFmtId="165" fontId="133" fillId="2" borderId="0" xfId="0" applyNumberFormat="1" applyFont="1" applyAlignment="1">
      <alignment horizontal="right"/>
    </xf>
    <xf numFmtId="38" fontId="133" fillId="2" borderId="0" xfId="0" applyNumberFormat="1" applyFont="1" applyProtection="1">
      <protection locked="0"/>
    </xf>
    <xf numFmtId="0" fontId="134" fillId="2" borderId="0" xfId="0" applyNumberFormat="1" applyFont="1"/>
    <xf numFmtId="0" fontId="136" fillId="2" borderId="0" xfId="0" applyNumberFormat="1" applyFont="1"/>
    <xf numFmtId="0" fontId="135" fillId="2" borderId="0" xfId="0" applyNumberFormat="1" applyFont="1"/>
    <xf numFmtId="0" fontId="136" fillId="25" borderId="21" xfId="0" applyNumberFormat="1" applyFont="1" applyFill="1" applyBorder="1"/>
    <xf numFmtId="0" fontId="136" fillId="14" borderId="47" xfId="0" applyNumberFormat="1" applyFont="1" applyFill="1" applyBorder="1" applyAlignment="1">
      <alignment horizontal="center"/>
    </xf>
    <xf numFmtId="0" fontId="136" fillId="14" borderId="21" xfId="0" applyNumberFormat="1" applyFont="1" applyFill="1" applyBorder="1"/>
    <xf numFmtId="0" fontId="136" fillId="25" borderId="13" xfId="0" applyNumberFormat="1" applyFont="1" applyFill="1" applyBorder="1"/>
    <xf numFmtId="0" fontId="136" fillId="14" borderId="36" xfId="0" applyNumberFormat="1" applyFont="1" applyFill="1" applyBorder="1" applyAlignment="1">
      <alignment horizontal="center"/>
    </xf>
    <xf numFmtId="0" fontId="136" fillId="14" borderId="13" xfId="0" applyNumberFormat="1" applyFont="1" applyFill="1" applyBorder="1"/>
    <xf numFmtId="38" fontId="135" fillId="2" borderId="9" xfId="0" applyNumberFormat="1" applyFont="1" applyBorder="1" applyAlignment="1">
      <alignment horizontal="right"/>
    </xf>
    <xf numFmtId="0" fontId="135" fillId="5" borderId="13" xfId="0" applyNumberFormat="1" applyFont="1" applyFill="1" applyBorder="1"/>
    <xf numFmtId="38" fontId="135" fillId="2" borderId="47" xfId="0" applyNumberFormat="1" applyFont="1" applyBorder="1" applyAlignment="1">
      <alignment horizontal="right"/>
    </xf>
    <xf numFmtId="0" fontId="135" fillId="5" borderId="0" xfId="0" applyNumberFormat="1" applyFont="1" applyFill="1" applyBorder="1"/>
    <xf numFmtId="38" fontId="135" fillId="2" borderId="9" xfId="0" applyNumberFormat="1" applyFont="1" applyBorder="1"/>
    <xf numFmtId="0" fontId="135" fillId="2" borderId="9" xfId="0" applyNumberFormat="1" applyFont="1" applyBorder="1"/>
    <xf numFmtId="0" fontId="120" fillId="2" borderId="0" xfId="3" quotePrefix="1" applyNumberFormat="1" applyFont="1" applyFill="1" applyAlignment="1" applyProtection="1">
      <alignment horizontal="center"/>
    </xf>
    <xf numFmtId="49" fontId="15" fillId="2" borderId="9" xfId="0" applyNumberFormat="1" applyFont="1" applyBorder="1" applyProtection="1"/>
    <xf numFmtId="176" fontId="133" fillId="19" borderId="2" xfId="0" applyNumberFormat="1" applyFont="1" applyFill="1" applyBorder="1"/>
    <xf numFmtId="0" fontId="137" fillId="2" borderId="0" xfId="0" applyNumberFormat="1" applyFont="1"/>
    <xf numFmtId="0" fontId="137" fillId="2" borderId="0" xfId="0" applyNumberFormat="1" applyFont="1" applyAlignment="1">
      <alignment horizontal="center"/>
    </xf>
    <xf numFmtId="176" fontId="137" fillId="2" borderId="2" xfId="0" applyNumberFormat="1" applyFont="1" applyBorder="1"/>
    <xf numFmtId="177" fontId="137" fillId="0" borderId="2" xfId="0" applyNumberFormat="1" applyFont="1" applyFill="1" applyBorder="1"/>
    <xf numFmtId="0" fontId="137" fillId="2" borderId="0" xfId="0" applyNumberFormat="1" applyFont="1" applyBorder="1"/>
    <xf numFmtId="0" fontId="137" fillId="2" borderId="2" xfId="0" applyNumberFormat="1" applyFont="1" applyBorder="1"/>
    <xf numFmtId="37" fontId="137" fillId="2" borderId="2" xfId="0" applyNumberFormat="1" applyFont="1" applyBorder="1"/>
    <xf numFmtId="164" fontId="138" fillId="2" borderId="2" xfId="0" applyNumberFormat="1" applyFont="1" applyBorder="1"/>
    <xf numFmtId="168" fontId="137" fillId="2" borderId="2" xfId="0" applyNumberFormat="1" applyFont="1" applyBorder="1"/>
    <xf numFmtId="168" fontId="137" fillId="11"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NumberFormat="1" applyFont="1" applyAlignment="1">
      <alignment horizontal="right"/>
    </xf>
    <xf numFmtId="171" fontId="137" fillId="2" borderId="0" xfId="0" applyNumberFormat="1" applyFont="1" applyAlignment="1">
      <alignment horizontal="right"/>
    </xf>
    <xf numFmtId="39" fontId="137" fillId="2" borderId="0" xfId="0" applyNumberFormat="1" applyFont="1" applyAlignment="1">
      <alignment horizontal="right"/>
    </xf>
    <xf numFmtId="38" fontId="137" fillId="5" borderId="0" xfId="0" applyNumberFormat="1" applyFont="1" applyFill="1" applyBorder="1" applyAlignment="1">
      <alignment horizontal="center"/>
    </xf>
    <xf numFmtId="0" fontId="137" fillId="5" borderId="0" xfId="0" applyNumberFormat="1" applyFont="1" applyFill="1" applyBorder="1"/>
    <xf numFmtId="0" fontId="137" fillId="26" borderId="0" xfId="0" applyNumberFormat="1" applyFont="1" applyFill="1"/>
    <xf numFmtId="0" fontId="137" fillId="26" borderId="0" xfId="0" applyNumberFormat="1" applyFont="1" applyFill="1" applyAlignment="1">
      <alignment horizontal="right"/>
    </xf>
    <xf numFmtId="165" fontId="137" fillId="2" borderId="0" xfId="0" applyNumberFormat="1" applyFont="1" applyAlignment="1">
      <alignment horizontal="right"/>
    </xf>
    <xf numFmtId="176" fontId="137" fillId="2" borderId="0" xfId="0" applyNumberFormat="1" applyFont="1"/>
    <xf numFmtId="38" fontId="137" fillId="2" borderId="0" xfId="0" applyNumberFormat="1" applyFont="1" applyProtection="1">
      <protection locked="0"/>
    </xf>
    <xf numFmtId="176" fontId="137" fillId="5" borderId="9" xfId="0" applyNumberFormat="1" applyFont="1" applyFill="1" applyBorder="1"/>
    <xf numFmtId="0" fontId="128" fillId="26" borderId="0" xfId="0" applyNumberFormat="1" applyFont="1" applyFill="1"/>
    <xf numFmtId="176" fontId="0" fillId="2" borderId="0" xfId="0" applyNumberFormat="1" applyBorder="1"/>
    <xf numFmtId="0" fontId="139" fillId="19" borderId="47" xfId="0" applyNumberFormat="1" applyFont="1" applyFill="1" applyBorder="1" applyAlignment="1">
      <alignment horizontal="center"/>
    </xf>
    <xf numFmtId="0" fontId="139" fillId="19" borderId="36" xfId="0" applyNumberFormat="1" applyFont="1" applyFill="1" applyBorder="1" applyAlignment="1">
      <alignment horizontal="center"/>
    </xf>
    <xf numFmtId="0" fontId="0" fillId="5" borderId="36" xfId="0" applyNumberFormat="1" applyFill="1" applyBorder="1"/>
    <xf numFmtId="0" fontId="68" fillId="5" borderId="0" xfId="0" applyNumberFormat="1" applyFont="1" applyFill="1"/>
    <xf numFmtId="0" fontId="68" fillId="19" borderId="12" xfId="0" applyNumberFormat="1" applyFont="1" applyFill="1" applyBorder="1"/>
    <xf numFmtId="6" fontId="119" fillId="19" borderId="9" xfId="0" applyNumberFormat="1" applyFont="1" applyFill="1" applyBorder="1"/>
    <xf numFmtId="0" fontId="4" fillId="19" borderId="9" xfId="0" applyNumberFormat="1" applyFont="1" applyFill="1" applyBorder="1" applyAlignment="1">
      <alignment horizontal="center"/>
    </xf>
    <xf numFmtId="0" fontId="4" fillId="19" borderId="0" xfId="0" applyNumberFormat="1" applyFont="1" applyFill="1" applyAlignment="1">
      <alignment horizontal="left"/>
    </xf>
    <xf numFmtId="38" fontId="4" fillId="19" borderId="0" xfId="0" applyNumberFormat="1" applyFont="1" applyFill="1" applyAlignment="1">
      <alignment horizontal="center"/>
    </xf>
    <xf numFmtId="176" fontId="0" fillId="19" borderId="0" xfId="0" applyNumberFormat="1" applyFill="1"/>
    <xf numFmtId="178" fontId="0" fillId="19" borderId="0" xfId="0" applyNumberFormat="1" applyFill="1"/>
    <xf numFmtId="177" fontId="4" fillId="5" borderId="0" xfId="0" applyNumberFormat="1" applyFont="1" applyFill="1" applyAlignment="1">
      <alignment horizontal="center"/>
    </xf>
    <xf numFmtId="0" fontId="59" fillId="19" borderId="0" xfId="0" applyNumberFormat="1" applyFont="1" applyFill="1"/>
    <xf numFmtId="14" fontId="28" fillId="19" borderId="0" xfId="0" applyNumberFormat="1" applyFont="1" applyFill="1" applyAlignment="1">
      <alignment horizontal="right"/>
    </xf>
    <xf numFmtId="0" fontId="1" fillId="19" borderId="0" xfId="0" applyNumberFormat="1" applyFont="1" applyFill="1" applyAlignment="1">
      <alignment horizontal="center"/>
    </xf>
    <xf numFmtId="0" fontId="82" fillId="19" borderId="2" xfId="0" applyNumberFormat="1" applyFont="1" applyFill="1" applyBorder="1"/>
    <xf numFmtId="38" fontId="82" fillId="19" borderId="48" xfId="0" applyNumberFormat="1" applyFont="1" applyFill="1" applyBorder="1"/>
    <xf numFmtId="37" fontId="82" fillId="19" borderId="2" xfId="0" applyNumberFormat="1" applyFont="1" applyFill="1" applyBorder="1"/>
    <xf numFmtId="0" fontId="83" fillId="19" borderId="0" xfId="0" applyNumberFormat="1" applyFont="1" applyFill="1"/>
    <xf numFmtId="0" fontId="27" fillId="19" borderId="0" xfId="0" applyNumberFormat="1" applyFont="1" applyFill="1" applyAlignment="1">
      <alignment horizontal="right"/>
    </xf>
    <xf numFmtId="0" fontId="83" fillId="19" borderId="0" xfId="0" applyNumberFormat="1" applyFont="1" applyFill="1" applyBorder="1"/>
    <xf numFmtId="0" fontId="59" fillId="19" borderId="0" xfId="0" applyNumberFormat="1" applyFont="1" applyFill="1" applyBorder="1"/>
    <xf numFmtId="38" fontId="59" fillId="19" borderId="0" xfId="0" applyNumberFormat="1" applyFont="1" applyFill="1" applyAlignment="1">
      <alignment horizontal="center"/>
    </xf>
    <xf numFmtId="0" fontId="0" fillId="19" borderId="0" xfId="0" applyNumberFormat="1" applyFill="1" applyAlignment="1">
      <alignment horizontal="center"/>
    </xf>
    <xf numFmtId="0" fontId="63" fillId="2" borderId="0" xfId="0" applyNumberFormat="1" applyFont="1" applyAlignment="1">
      <alignment horizontal="center"/>
    </xf>
    <xf numFmtId="37" fontId="4" fillId="2" borderId="0" xfId="0" applyNumberFormat="1" applyFont="1" applyAlignment="1">
      <alignment horizontal="center"/>
    </xf>
    <xf numFmtId="0" fontId="31" fillId="18" borderId="2" xfId="0" applyNumberFormat="1" applyFont="1" applyFill="1" applyBorder="1" applyAlignment="1">
      <alignment horizontal="center"/>
    </xf>
    <xf numFmtId="6" fontId="4" fillId="2" borderId="0" xfId="0" applyNumberFormat="1" applyFont="1" applyAlignment="1">
      <alignment horizontal="center"/>
    </xf>
    <xf numFmtId="0" fontId="9" fillId="19" borderId="0" xfId="0" applyNumberFormat="1" applyFont="1" applyFill="1" applyBorder="1" applyAlignment="1">
      <alignment horizontal="right"/>
    </xf>
    <xf numFmtId="0" fontId="89" fillId="12" borderId="0" xfId="0" applyNumberFormat="1" applyFont="1" applyFill="1" applyBorder="1" applyAlignment="1">
      <alignment horizontal="right"/>
    </xf>
    <xf numFmtId="38" fontId="4" fillId="2" borderId="0" xfId="0" applyNumberFormat="1" applyFont="1" applyBorder="1"/>
    <xf numFmtId="0" fontId="89" fillId="2" borderId="0" xfId="0" applyNumberFormat="1" applyFont="1" applyAlignment="1">
      <alignment horizontal="center"/>
    </xf>
    <xf numFmtId="37" fontId="1" fillId="2" borderId="13" xfId="0" applyNumberFormat="1" applyFont="1" applyBorder="1"/>
    <xf numFmtId="0" fontId="31" fillId="14" borderId="2" xfId="0" applyNumberFormat="1" applyFont="1" applyFill="1" applyBorder="1" applyAlignment="1">
      <alignment horizontal="center"/>
    </xf>
    <xf numFmtId="0" fontId="84" fillId="14" borderId="2" xfId="0" applyNumberFormat="1" applyFont="1" applyFill="1" applyBorder="1" applyAlignment="1">
      <alignment horizontal="center"/>
    </xf>
    <xf numFmtId="38" fontId="4" fillId="5" borderId="54" xfId="0" applyNumberFormat="1" applyFont="1" applyFill="1" applyBorder="1"/>
    <xf numFmtId="0" fontId="0" fillId="19" borderId="0" xfId="0" applyNumberFormat="1" applyFill="1" applyBorder="1" applyAlignment="1">
      <alignment horizontal="center"/>
    </xf>
    <xf numFmtId="0" fontId="141" fillId="2" borderId="0" xfId="3" applyFont="1" applyFill="1" applyAlignment="1" applyProtection="1"/>
    <xf numFmtId="0" fontId="141" fillId="5" borderId="9" xfId="3" applyNumberFormat="1" applyFont="1" applyFill="1" applyBorder="1" applyAlignment="1" applyProtection="1">
      <alignment horizontal="left"/>
    </xf>
    <xf numFmtId="0" fontId="141" fillId="2" borderId="9" xfId="3" applyFont="1" applyFill="1" applyBorder="1" applyAlignment="1" applyProtection="1"/>
    <xf numFmtId="0" fontId="64" fillId="2" borderId="0" xfId="0" applyNumberFormat="1" applyFont="1"/>
    <xf numFmtId="0" fontId="119" fillId="19" borderId="10" xfId="0" applyNumberFormat="1" applyFont="1" applyFill="1" applyBorder="1" applyAlignment="1"/>
    <xf numFmtId="0" fontId="68" fillId="2" borderId="78" xfId="0" applyNumberFormat="1" applyFont="1" applyBorder="1"/>
    <xf numFmtId="0" fontId="68" fillId="2" borderId="77" xfId="0" applyNumberFormat="1" applyFont="1" applyBorder="1"/>
    <xf numFmtId="0" fontId="5" fillId="5" borderId="12" xfId="0" applyNumberFormat="1" applyFont="1" applyFill="1" applyBorder="1"/>
    <xf numFmtId="0" fontId="15" fillId="2" borderId="79" xfId="0" quotePrefix="1" applyNumberFormat="1" applyFont="1" applyBorder="1" applyAlignment="1">
      <alignment horizontal="center"/>
    </xf>
    <xf numFmtId="0" fontId="15" fillId="2" borderId="80" xfId="0" quotePrefix="1" applyNumberFormat="1" applyFont="1" applyBorder="1" applyAlignment="1">
      <alignment horizontal="center"/>
    </xf>
    <xf numFmtId="0" fontId="4" fillId="2" borderId="9" xfId="0" applyNumberFormat="1" applyFont="1" applyBorder="1"/>
    <xf numFmtId="0" fontId="4" fillId="2" borderId="77" xfId="0" applyNumberFormat="1" applyFont="1" applyBorder="1"/>
    <xf numFmtId="0" fontId="15" fillId="2" borderId="12" xfId="0" applyNumberFormat="1" applyFont="1" applyBorder="1" applyAlignment="1">
      <alignment horizontal="left"/>
    </xf>
    <xf numFmtId="0" fontId="68" fillId="2" borderId="12" xfId="0" applyNumberFormat="1" applyFont="1" applyBorder="1" applyAlignment="1">
      <alignment horizontal="left"/>
    </xf>
    <xf numFmtId="0" fontId="5" fillId="2" borderId="23" xfId="0" applyNumberFormat="1" applyFont="1" applyBorder="1"/>
    <xf numFmtId="0" fontId="68" fillId="2" borderId="36" xfId="0" applyNumberFormat="1" applyFont="1" applyBorder="1"/>
    <xf numFmtId="0" fontId="5" fillId="5" borderId="9" xfId="0" applyNumberFormat="1" applyFont="1" applyFill="1" applyBorder="1"/>
    <xf numFmtId="0" fontId="5" fillId="2" borderId="9" xfId="0" applyNumberFormat="1" applyFont="1" applyBorder="1"/>
    <xf numFmtId="0" fontId="68" fillId="5" borderId="77" xfId="0" applyNumberFormat="1" applyFont="1" applyFill="1" applyBorder="1"/>
    <xf numFmtId="0" fontId="68" fillId="5" borderId="81" xfId="0" applyNumberFormat="1" applyFont="1" applyFill="1" applyBorder="1"/>
    <xf numFmtId="0" fontId="15" fillId="2" borderId="9" xfId="0" applyNumberFormat="1" applyFont="1" applyBorder="1" applyAlignment="1">
      <alignment horizontal="left"/>
    </xf>
    <xf numFmtId="0" fontId="68" fillId="2" borderId="9" xfId="0" applyNumberFormat="1" applyFont="1" applyBorder="1" applyAlignment="1">
      <alignment horizontal="left"/>
    </xf>
    <xf numFmtId="0" fontId="68" fillId="2" borderId="77" xfId="0" applyNumberFormat="1" applyFont="1" applyBorder="1" applyAlignment="1">
      <alignment horizontal="left"/>
    </xf>
    <xf numFmtId="0" fontId="115" fillId="5" borderId="9" xfId="3" applyNumberFormat="1" applyFont="1" applyFill="1" applyBorder="1" applyAlignment="1" applyProtection="1">
      <alignment horizontal="left"/>
    </xf>
    <xf numFmtId="6" fontId="15" fillId="2" borderId="68" xfId="0" applyNumberFormat="1" applyFont="1" applyBorder="1" applyAlignment="1">
      <alignment horizontal="center"/>
    </xf>
    <xf numFmtId="6" fontId="68" fillId="2" borderId="82" xfId="0" applyNumberFormat="1" applyFont="1" applyBorder="1"/>
    <xf numFmtId="176" fontId="0" fillId="2" borderId="0" xfId="0" applyNumberFormat="1" applyAlignment="1">
      <alignment horizontal="center"/>
    </xf>
    <xf numFmtId="176" fontId="103" fillId="2" borderId="0" xfId="0" applyNumberFormat="1" applyFont="1"/>
    <xf numFmtId="0" fontId="15" fillId="2" borderId="10" xfId="0" applyNumberFormat="1" applyFont="1" applyBorder="1" applyAlignment="1">
      <alignment horizontal="left"/>
    </xf>
    <xf numFmtId="0" fontId="15" fillId="5" borderId="10" xfId="0" applyNumberFormat="1" applyFont="1" applyFill="1" applyBorder="1" applyAlignment="1">
      <alignment horizontal="left"/>
    </xf>
    <xf numFmtId="177" fontId="142" fillId="8" borderId="9" xfId="0" applyNumberFormat="1" applyFont="1" applyFill="1" applyBorder="1" applyAlignment="1"/>
    <xf numFmtId="38" fontId="142" fillId="8" borderId="36" xfId="0" applyNumberFormat="1" applyFont="1" applyFill="1" applyBorder="1" applyAlignment="1" applyProtection="1">
      <protection locked="0"/>
    </xf>
    <xf numFmtId="37" fontId="142" fillId="2" borderId="9" xfId="0" applyNumberFormat="1" applyFont="1" applyBorder="1" applyAlignment="1" applyProtection="1">
      <alignment horizontal="center"/>
      <protection locked="0"/>
    </xf>
    <xf numFmtId="177" fontId="142" fillId="2" borderId="9" xfId="0" applyNumberFormat="1" applyFont="1" applyBorder="1" applyAlignment="1">
      <alignment horizontal="right"/>
    </xf>
    <xf numFmtId="38" fontId="143" fillId="2" borderId="0" xfId="0" applyNumberFormat="1" applyFont="1"/>
    <xf numFmtId="0" fontId="143" fillId="2" borderId="0" xfId="0" applyNumberFormat="1" applyFont="1"/>
    <xf numFmtId="165" fontId="143" fillId="2" borderId="0" xfId="0" applyNumberFormat="1" applyFont="1" applyAlignment="1">
      <alignment horizontal="right"/>
    </xf>
    <xf numFmtId="176" fontId="143" fillId="2" borderId="0" xfId="0" applyNumberFormat="1" applyFont="1"/>
    <xf numFmtId="0" fontId="143" fillId="2" borderId="0" xfId="0" applyNumberFormat="1" applyFont="1" applyAlignment="1">
      <alignment horizontal="right"/>
    </xf>
    <xf numFmtId="38" fontId="143" fillId="2" borderId="0" xfId="0" applyNumberFormat="1" applyFont="1" applyProtection="1">
      <protection locked="0"/>
    </xf>
    <xf numFmtId="0" fontId="143" fillId="2" borderId="0" xfId="0" applyNumberFormat="1" applyFont="1" applyAlignment="1">
      <alignment horizontal="center"/>
    </xf>
    <xf numFmtId="176" fontId="143" fillId="2" borderId="2" xfId="0" applyNumberFormat="1" applyFont="1" applyBorder="1"/>
    <xf numFmtId="177" fontId="143" fillId="0" borderId="2" xfId="0" applyNumberFormat="1" applyFont="1" applyFill="1" applyBorder="1"/>
    <xf numFmtId="0" fontId="143" fillId="2" borderId="0" xfId="0" applyNumberFormat="1" applyFont="1" applyBorder="1"/>
    <xf numFmtId="0" fontId="143" fillId="2" borderId="2" xfId="0" applyNumberFormat="1" applyFont="1" applyBorder="1"/>
    <xf numFmtId="37" fontId="143" fillId="2" borderId="2" xfId="0" applyNumberFormat="1" applyFont="1" applyBorder="1"/>
    <xf numFmtId="164" fontId="142" fillId="2" borderId="2" xfId="0" applyNumberFormat="1" applyFont="1" applyBorder="1"/>
    <xf numFmtId="168" fontId="143" fillId="2" borderId="2" xfId="0" applyNumberFormat="1" applyFont="1" applyBorder="1"/>
    <xf numFmtId="168" fontId="143" fillId="11" borderId="2" xfId="0" applyNumberFormat="1" applyFont="1" applyFill="1" applyBorder="1"/>
    <xf numFmtId="38" fontId="143" fillId="2" borderId="2" xfId="0" applyNumberFormat="1" applyFont="1" applyBorder="1"/>
    <xf numFmtId="38" fontId="143" fillId="2" borderId="9" xfId="0" applyNumberFormat="1" applyFont="1" applyBorder="1"/>
    <xf numFmtId="171" fontId="143" fillId="2" borderId="0" xfId="0" applyNumberFormat="1" applyFont="1" applyAlignment="1">
      <alignment horizontal="right"/>
    </xf>
    <xf numFmtId="39" fontId="143" fillId="2" borderId="0" xfId="0" applyNumberFormat="1" applyFont="1" applyAlignment="1">
      <alignment horizontal="right"/>
    </xf>
    <xf numFmtId="0" fontId="143" fillId="12" borderId="22" xfId="0" applyNumberFormat="1" applyFont="1" applyFill="1" applyBorder="1" applyAlignment="1">
      <alignment horizontal="center"/>
    </xf>
    <xf numFmtId="38" fontId="143" fillId="12" borderId="20" xfId="0" applyNumberFormat="1" applyFont="1" applyFill="1" applyBorder="1" applyAlignment="1">
      <alignment horizontal="center"/>
    </xf>
    <xf numFmtId="0" fontId="143" fillId="12" borderId="20" xfId="0" applyNumberFormat="1" applyFont="1" applyFill="1" applyBorder="1"/>
    <xf numFmtId="38" fontId="143" fillId="12" borderId="23" xfId="0" applyNumberFormat="1" applyFont="1" applyFill="1" applyBorder="1" applyAlignment="1">
      <alignment horizontal="center"/>
    </xf>
    <xf numFmtId="38" fontId="143" fillId="5" borderId="0" xfId="0" applyNumberFormat="1" applyFont="1" applyFill="1" applyBorder="1" applyAlignment="1">
      <alignment horizontal="center"/>
    </xf>
    <xf numFmtId="0" fontId="143" fillId="5" borderId="0" xfId="0" applyNumberFormat="1" applyFont="1" applyFill="1" applyBorder="1"/>
    <xf numFmtId="0" fontId="143" fillId="27" borderId="0" xfId="0" applyNumberFormat="1" applyFont="1" applyFill="1"/>
    <xf numFmtId="0" fontId="143" fillId="27" borderId="0" xfId="0" applyNumberFormat="1" applyFont="1" applyFill="1" applyAlignment="1">
      <alignment horizontal="right"/>
    </xf>
    <xf numFmtId="38" fontId="143" fillId="27" borderId="0" xfId="0" applyNumberFormat="1" applyFont="1" applyFill="1"/>
    <xf numFmtId="176" fontId="143" fillId="5" borderId="9" xfId="0" applyNumberFormat="1" applyFont="1" applyFill="1" applyBorder="1"/>
    <xf numFmtId="0" fontId="145" fillId="2" borderId="0" xfId="0" applyNumberFormat="1" applyFont="1"/>
    <xf numFmtId="0" fontId="142" fillId="2" borderId="0" xfId="0" applyNumberFormat="1" applyFont="1"/>
    <xf numFmtId="0" fontId="145" fillId="14" borderId="47" xfId="0" applyNumberFormat="1" applyFont="1" applyFill="1" applyBorder="1" applyAlignment="1">
      <alignment horizontal="center"/>
    </xf>
    <xf numFmtId="0" fontId="145" fillId="14" borderId="21" xfId="0" applyNumberFormat="1" applyFont="1" applyFill="1" applyBorder="1"/>
    <xf numFmtId="0" fontId="145" fillId="14" borderId="36" xfId="0" applyNumberFormat="1" applyFont="1" applyFill="1" applyBorder="1" applyAlignment="1">
      <alignment horizontal="center"/>
    </xf>
    <xf numFmtId="0" fontId="145" fillId="14" borderId="13" xfId="0" applyNumberFormat="1" applyFont="1" applyFill="1" applyBorder="1"/>
    <xf numFmtId="38" fontId="142" fillId="2" borderId="9" xfId="0" applyNumberFormat="1" applyFont="1" applyBorder="1" applyAlignment="1">
      <alignment horizontal="right"/>
    </xf>
    <xf numFmtId="0" fontId="142" fillId="5" borderId="13" xfId="0" applyNumberFormat="1" applyFont="1" applyFill="1" applyBorder="1"/>
    <xf numFmtId="38" fontId="142" fillId="2" borderId="47" xfId="0" applyNumberFormat="1" applyFont="1" applyBorder="1" applyAlignment="1">
      <alignment horizontal="right"/>
    </xf>
    <xf numFmtId="0" fontId="142" fillId="5" borderId="0" xfId="0" applyNumberFormat="1" applyFont="1" applyFill="1" applyBorder="1"/>
    <xf numFmtId="38" fontId="142" fillId="2" borderId="9" xfId="0" applyNumberFormat="1" applyFont="1" applyBorder="1"/>
    <xf numFmtId="0" fontId="142" fillId="2" borderId="9" xfId="0" applyNumberFormat="1" applyFont="1" applyBorder="1"/>
    <xf numFmtId="0" fontId="143" fillId="27" borderId="0" xfId="0" applyNumberFormat="1" applyFont="1" applyFill="1" applyAlignment="1">
      <alignment horizontal="center"/>
    </xf>
    <xf numFmtId="38" fontId="143" fillId="27" borderId="0" xfId="0" quotePrefix="1" applyNumberFormat="1" applyFont="1" applyFill="1" applyAlignment="1">
      <alignment horizontal="center"/>
    </xf>
    <xf numFmtId="0" fontId="143" fillId="27" borderId="0" xfId="0" quotePrefix="1" applyNumberFormat="1" applyFont="1" applyFill="1" applyAlignment="1">
      <alignment horizontal="center"/>
    </xf>
    <xf numFmtId="37" fontId="143" fillId="27" borderId="2" xfId="0" applyNumberFormat="1" applyFont="1" applyFill="1" applyBorder="1"/>
    <xf numFmtId="37" fontId="143" fillId="27" borderId="0" xfId="0" applyNumberFormat="1" applyFont="1" applyFill="1" applyBorder="1"/>
    <xf numFmtId="176" fontId="143" fillId="27" borderId="2" xfId="0" applyNumberFormat="1" applyFont="1" applyFill="1" applyBorder="1"/>
    <xf numFmtId="176" fontId="143" fillId="27" borderId="0" xfId="0" applyNumberFormat="1" applyFont="1" applyFill="1" applyBorder="1"/>
    <xf numFmtId="37" fontId="143" fillId="27" borderId="0" xfId="0" applyNumberFormat="1" applyFont="1" applyFill="1" applyBorder="1" applyAlignment="1">
      <alignment horizontal="center"/>
    </xf>
    <xf numFmtId="37" fontId="143" fillId="27" borderId="2" xfId="0" applyNumberFormat="1" applyFont="1" applyFill="1" applyBorder="1" applyAlignment="1">
      <alignment horizontal="center"/>
    </xf>
    <xf numFmtId="168" fontId="143" fillId="27" borderId="2" xfId="0" applyNumberFormat="1" applyFont="1" applyFill="1" applyBorder="1"/>
    <xf numFmtId="168" fontId="143" fillId="27" borderId="0" xfId="0" applyNumberFormat="1" applyFont="1" applyFill="1" applyBorder="1"/>
    <xf numFmtId="38" fontId="143" fillId="27" borderId="2" xfId="0" applyNumberFormat="1" applyFont="1" applyFill="1" applyBorder="1"/>
    <xf numFmtId="38" fontId="143" fillId="27" borderId="0" xfId="0" applyNumberFormat="1" applyFont="1" applyFill="1" applyBorder="1"/>
    <xf numFmtId="40" fontId="143" fillId="27" borderId="2" xfId="0" applyNumberFormat="1" applyFont="1" applyFill="1" applyBorder="1"/>
    <xf numFmtId="40" fontId="143" fillId="27" borderId="0" xfId="0" applyNumberFormat="1" applyFont="1" applyFill="1" applyBorder="1"/>
    <xf numFmtId="38" fontId="143" fillId="27" borderId="9" xfId="0" applyNumberFormat="1" applyFont="1" applyFill="1" applyBorder="1"/>
    <xf numFmtId="38" fontId="143" fillId="27" borderId="8" xfId="0" applyNumberFormat="1" applyFont="1" applyFill="1" applyBorder="1"/>
    <xf numFmtId="38" fontId="143" fillId="27" borderId="9" xfId="0" applyNumberFormat="1" applyFont="1" applyFill="1" applyBorder="1" applyAlignment="1" applyProtection="1">
      <alignment horizontal="center"/>
      <protection locked="0"/>
    </xf>
    <xf numFmtId="38" fontId="143" fillId="27" borderId="9" xfId="0" applyNumberFormat="1" applyFont="1" applyFill="1" applyBorder="1" applyAlignment="1">
      <alignment horizontal="center"/>
    </xf>
    <xf numFmtId="0" fontId="143" fillId="27" borderId="0" xfId="0" quotePrefix="1" applyNumberFormat="1" applyFont="1" applyFill="1"/>
    <xf numFmtId="0" fontId="81" fillId="19" borderId="0" xfId="0" applyNumberFormat="1"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5" borderId="9" xfId="3" applyNumberFormat="1" applyFont="1" applyFill="1" applyBorder="1" applyAlignment="1" applyProtection="1">
      <alignment horizontal="left"/>
    </xf>
    <xf numFmtId="0" fontId="104" fillId="2" borderId="0" xfId="3" applyFont="1" applyFill="1" applyAlignment="1" applyProtection="1"/>
    <xf numFmtId="0" fontId="15" fillId="0" borderId="0" xfId="0" applyNumberFormat="1" applyFont="1" applyFill="1"/>
    <xf numFmtId="177" fontId="142" fillId="0" borderId="36" xfId="0" applyNumberFormat="1" applyFont="1" applyFill="1" applyBorder="1" applyAlignment="1" applyProtection="1">
      <protection locked="0"/>
    </xf>
    <xf numFmtId="0" fontId="0" fillId="0" borderId="0" xfId="0" applyNumberFormat="1" applyFill="1"/>
    <xf numFmtId="38" fontId="142" fillId="0" borderId="36" xfId="0" applyNumberFormat="1" applyFont="1" applyFill="1" applyBorder="1" applyAlignment="1" applyProtection="1">
      <protection locked="0"/>
    </xf>
    <xf numFmtId="38" fontId="138" fillId="0" borderId="36" xfId="0" applyNumberFormat="1" applyFont="1" applyFill="1" applyBorder="1" applyAlignment="1" applyProtection="1">
      <alignment horizontal="center"/>
      <protection locked="0"/>
    </xf>
    <xf numFmtId="38" fontId="142" fillId="0" borderId="36" xfId="0" applyNumberFormat="1" applyFont="1" applyFill="1" applyBorder="1" applyAlignment="1" applyProtection="1">
      <alignment horizontal="center"/>
      <protection locked="0"/>
    </xf>
    <xf numFmtId="0" fontId="9" fillId="5" borderId="0" xfId="0" applyNumberFormat="1" applyFont="1" applyFill="1" applyBorder="1" applyAlignment="1">
      <alignment horizontal="right"/>
    </xf>
    <xf numFmtId="0" fontId="139" fillId="5" borderId="0" xfId="0" applyNumberFormat="1" applyFont="1" applyFill="1" applyBorder="1" applyAlignment="1">
      <alignment horizontal="center"/>
    </xf>
    <xf numFmtId="38" fontId="143" fillId="5" borderId="0" xfId="0" applyNumberFormat="1" applyFont="1" applyFill="1"/>
    <xf numFmtId="0" fontId="143" fillId="5" borderId="0" xfId="0" applyNumberFormat="1" applyFont="1" applyFill="1"/>
    <xf numFmtId="165" fontId="143" fillId="5" borderId="0" xfId="0" applyNumberFormat="1" applyFont="1" applyFill="1" applyAlignment="1">
      <alignment horizontal="right"/>
    </xf>
    <xf numFmtId="176" fontId="143" fillId="5" borderId="0" xfId="0" applyNumberFormat="1" applyFont="1" applyFill="1"/>
    <xf numFmtId="0" fontId="143" fillId="5" borderId="0" xfId="0" applyNumberFormat="1" applyFont="1" applyFill="1" applyAlignment="1">
      <alignment horizontal="right"/>
    </xf>
    <xf numFmtId="38" fontId="143" fillId="5" borderId="0" xfId="0" applyNumberFormat="1" applyFont="1" applyFill="1" applyProtection="1">
      <protection locked="0"/>
    </xf>
    <xf numFmtId="37" fontId="0" fillId="5" borderId="0" xfId="0" applyNumberFormat="1" applyFill="1"/>
    <xf numFmtId="168" fontId="1" fillId="5" borderId="0" xfId="0" applyNumberFormat="1" applyFont="1" applyFill="1"/>
    <xf numFmtId="165" fontId="0" fillId="5" borderId="0" xfId="0" applyNumberFormat="1" applyFill="1"/>
    <xf numFmtId="164" fontId="0" fillId="5" borderId="0" xfId="0" applyNumberFormat="1" applyFill="1" applyProtection="1">
      <protection locked="0"/>
    </xf>
    <xf numFmtId="164" fontId="0" fillId="5" borderId="0" xfId="0" applyNumberFormat="1" applyFill="1"/>
    <xf numFmtId="38" fontId="146" fillId="0" borderId="36" xfId="0" applyNumberFormat="1" applyFont="1" applyFill="1" applyBorder="1" applyAlignment="1" applyProtection="1">
      <alignment horizontal="center"/>
      <protection locked="0"/>
    </xf>
    <xf numFmtId="0" fontId="147" fillId="2" borderId="0" xfId="0" applyNumberFormat="1" applyFont="1"/>
    <xf numFmtId="0" fontId="147" fillId="2" borderId="0" xfId="0" applyNumberFormat="1" applyFont="1" applyAlignment="1">
      <alignment horizontal="center"/>
    </xf>
    <xf numFmtId="176" fontId="147" fillId="2" borderId="2" xfId="0" applyNumberFormat="1" applyFont="1" applyBorder="1"/>
    <xf numFmtId="177" fontId="147" fillId="0" borderId="2" xfId="0" applyNumberFormat="1" applyFont="1" applyFill="1" applyBorder="1"/>
    <xf numFmtId="0" fontId="147" fillId="2" borderId="0" xfId="0" applyNumberFormat="1" applyFont="1" applyBorder="1"/>
    <xf numFmtId="0" fontId="147" fillId="2" borderId="2" xfId="0" applyNumberFormat="1" applyFont="1" applyBorder="1"/>
    <xf numFmtId="37" fontId="147" fillId="2" borderId="2" xfId="0" applyNumberFormat="1" applyFont="1" applyBorder="1"/>
    <xf numFmtId="164" fontId="146" fillId="2" borderId="2" xfId="0" applyNumberFormat="1" applyFont="1" applyBorder="1"/>
    <xf numFmtId="168" fontId="147" fillId="2" borderId="2" xfId="0" applyNumberFormat="1" applyFont="1" applyBorder="1"/>
    <xf numFmtId="168" fontId="147" fillId="11" borderId="2" xfId="0" applyNumberFormat="1" applyFont="1" applyFill="1" applyBorder="1"/>
    <xf numFmtId="38" fontId="147" fillId="2" borderId="2" xfId="0" applyNumberFormat="1" applyFont="1" applyBorder="1"/>
    <xf numFmtId="38" fontId="147" fillId="2" borderId="9" xfId="0" applyNumberFormat="1" applyFont="1" applyBorder="1"/>
    <xf numFmtId="38" fontId="147" fillId="2" borderId="0" xfId="0" applyNumberFormat="1" applyFont="1"/>
    <xf numFmtId="0" fontId="147" fillId="2" borderId="0" xfId="0" applyNumberFormat="1" applyFont="1" applyAlignment="1">
      <alignment horizontal="right"/>
    </xf>
    <xf numFmtId="171" fontId="147" fillId="2" borderId="0" xfId="0" applyNumberFormat="1" applyFont="1" applyAlignment="1">
      <alignment horizontal="right"/>
    </xf>
    <xf numFmtId="39" fontId="147" fillId="2" borderId="0" xfId="0" applyNumberFormat="1" applyFont="1" applyAlignment="1">
      <alignment horizontal="right"/>
    </xf>
    <xf numFmtId="38" fontId="147" fillId="5" borderId="0" xfId="0" applyNumberFormat="1" applyFont="1" applyFill="1" applyBorder="1" applyAlignment="1">
      <alignment horizontal="center"/>
    </xf>
    <xf numFmtId="0" fontId="147" fillId="5" borderId="0" xfId="0" applyNumberFormat="1" applyFont="1" applyFill="1" applyBorder="1"/>
    <xf numFmtId="0" fontId="143" fillId="28" borderId="0" xfId="0" applyNumberFormat="1" applyFont="1" applyFill="1" applyAlignment="1">
      <alignment horizontal="right"/>
    </xf>
    <xf numFmtId="0" fontId="143" fillId="28" borderId="0" xfId="0" applyNumberFormat="1" applyFont="1" applyFill="1"/>
    <xf numFmtId="38" fontId="143" fillId="28" borderId="0" xfId="0" applyNumberFormat="1" applyFont="1" applyFill="1"/>
    <xf numFmtId="176" fontId="147" fillId="5" borderId="9" xfId="0" applyNumberFormat="1" applyFont="1" applyFill="1" applyBorder="1"/>
    <xf numFmtId="0" fontId="149" fillId="2" borderId="0" xfId="0" applyNumberFormat="1" applyFont="1"/>
    <xf numFmtId="0" fontId="146" fillId="2" borderId="0" xfId="0" applyNumberFormat="1" applyFont="1"/>
    <xf numFmtId="0" fontId="149" fillId="25" borderId="21" xfId="0" applyNumberFormat="1" applyFont="1" applyFill="1" applyBorder="1"/>
    <xf numFmtId="0" fontId="149" fillId="14" borderId="47" xfId="0" applyNumberFormat="1" applyFont="1" applyFill="1" applyBorder="1" applyAlignment="1">
      <alignment horizontal="center"/>
    </xf>
    <xf numFmtId="0" fontId="149" fillId="14" borderId="21" xfId="0" applyNumberFormat="1" applyFont="1" applyFill="1" applyBorder="1"/>
    <xf numFmtId="0" fontId="149" fillId="25" borderId="13" xfId="0" applyNumberFormat="1" applyFont="1" applyFill="1" applyBorder="1"/>
    <xf numFmtId="0" fontId="149" fillId="14" borderId="36" xfId="0" applyNumberFormat="1" applyFont="1" applyFill="1" applyBorder="1" applyAlignment="1">
      <alignment horizontal="center"/>
    </xf>
    <xf numFmtId="0" fontId="149" fillId="14" borderId="13" xfId="0" applyNumberFormat="1" applyFont="1" applyFill="1" applyBorder="1"/>
    <xf numFmtId="38" fontId="146" fillId="2" borderId="9" xfId="0" applyNumberFormat="1" applyFont="1" applyBorder="1" applyAlignment="1">
      <alignment horizontal="right"/>
    </xf>
    <xf numFmtId="0" fontId="146" fillId="5" borderId="13" xfId="0" applyNumberFormat="1" applyFont="1" applyFill="1" applyBorder="1"/>
    <xf numFmtId="38" fontId="146" fillId="2" borderId="47" xfId="0" applyNumberFormat="1" applyFont="1" applyBorder="1" applyAlignment="1">
      <alignment horizontal="right"/>
    </xf>
    <xf numFmtId="0" fontId="146" fillId="5" borderId="0" xfId="0" applyNumberFormat="1" applyFont="1" applyFill="1" applyBorder="1"/>
    <xf numFmtId="38" fontId="146" fillId="2" borderId="9" xfId="0" applyNumberFormat="1" applyFont="1" applyBorder="1"/>
    <xf numFmtId="0" fontId="146" fillId="2" borderId="9" xfId="0" applyNumberFormat="1" applyFont="1" applyBorder="1"/>
    <xf numFmtId="0" fontId="143" fillId="28" borderId="0" xfId="0" applyNumberFormat="1" applyFont="1" applyFill="1" applyAlignment="1">
      <alignment horizontal="center"/>
    </xf>
    <xf numFmtId="38" fontId="143" fillId="28" borderId="0" xfId="0" quotePrefix="1" applyNumberFormat="1" applyFont="1" applyFill="1" applyAlignment="1">
      <alignment horizontal="center"/>
    </xf>
    <xf numFmtId="0" fontId="143" fillId="28" borderId="0" xfId="0" quotePrefix="1" applyNumberFormat="1" applyFont="1" applyFill="1" applyAlignment="1">
      <alignment horizontal="center"/>
    </xf>
    <xf numFmtId="37" fontId="143" fillId="28" borderId="2" xfId="0" applyNumberFormat="1" applyFont="1" applyFill="1" applyBorder="1"/>
    <xf numFmtId="37" fontId="143" fillId="28" borderId="0" xfId="0" applyNumberFormat="1" applyFont="1" applyFill="1" applyBorder="1"/>
    <xf numFmtId="176" fontId="143" fillId="28" borderId="2" xfId="0" applyNumberFormat="1" applyFont="1" applyFill="1" applyBorder="1"/>
    <xf numFmtId="176" fontId="143" fillId="28" borderId="0" xfId="0" applyNumberFormat="1" applyFont="1" applyFill="1" applyBorder="1"/>
    <xf numFmtId="37" fontId="143" fillId="28" borderId="0" xfId="0" applyNumberFormat="1" applyFont="1" applyFill="1" applyBorder="1" applyAlignment="1">
      <alignment horizontal="center"/>
    </xf>
    <xf numFmtId="37" fontId="143" fillId="28" borderId="2" xfId="0" applyNumberFormat="1" applyFont="1" applyFill="1" applyBorder="1" applyAlignment="1">
      <alignment horizontal="center"/>
    </xf>
    <xf numFmtId="168" fontId="143" fillId="28" borderId="2" xfId="0" applyNumberFormat="1" applyFont="1" applyFill="1" applyBorder="1"/>
    <xf numFmtId="168" fontId="143" fillId="28" borderId="0" xfId="0" applyNumberFormat="1" applyFont="1" applyFill="1" applyBorder="1"/>
    <xf numFmtId="38" fontId="143" fillId="28" borderId="2" xfId="0" applyNumberFormat="1" applyFont="1" applyFill="1" applyBorder="1"/>
    <xf numFmtId="38" fontId="143" fillId="28" borderId="0" xfId="0" applyNumberFormat="1" applyFont="1" applyFill="1" applyBorder="1"/>
    <xf numFmtId="40" fontId="143" fillId="28" borderId="2" xfId="0" applyNumberFormat="1" applyFont="1" applyFill="1" applyBorder="1"/>
    <xf numFmtId="40" fontId="143" fillId="28" borderId="0" xfId="0" applyNumberFormat="1" applyFont="1" applyFill="1" applyBorder="1"/>
    <xf numFmtId="38" fontId="143" fillId="28" borderId="9" xfId="0" applyNumberFormat="1" applyFont="1" applyFill="1" applyBorder="1"/>
    <xf numFmtId="38" fontId="143" fillId="28" borderId="8" xfId="0" applyNumberFormat="1" applyFont="1" applyFill="1" applyBorder="1"/>
    <xf numFmtId="38" fontId="143" fillId="28" borderId="9" xfId="0" applyNumberFormat="1" applyFont="1" applyFill="1" applyBorder="1" applyAlignment="1" applyProtection="1">
      <alignment horizontal="center"/>
      <protection locked="0"/>
    </xf>
    <xf numFmtId="38" fontId="143" fillId="28" borderId="9" xfId="0" applyNumberFormat="1" applyFont="1" applyFill="1" applyBorder="1" applyAlignment="1">
      <alignment horizontal="center"/>
    </xf>
    <xf numFmtId="0" fontId="143" fillId="28" borderId="0" xfId="0" quotePrefix="1" applyNumberFormat="1" applyFont="1" applyFill="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2" borderId="9" xfId="3" applyNumberFormat="1" applyFont="1" applyFill="1" applyBorder="1" applyAlignment="1" applyProtection="1"/>
    <xf numFmtId="0" fontId="15" fillId="5" borderId="9" xfId="3" applyNumberFormat="1" applyFont="1" applyFill="1" applyBorder="1" applyAlignment="1" applyProtection="1">
      <alignment horizontal="left"/>
    </xf>
    <xf numFmtId="0" fontId="105" fillId="0" borderId="0" xfId="0" applyFont="1" applyFill="1" applyBorder="1" applyAlignment="1"/>
    <xf numFmtId="0" fontId="105" fillId="0" borderId="0" xfId="0" applyFont="1" applyFill="1" applyBorder="1" applyAlignment="1">
      <alignment horizontal="left"/>
    </xf>
    <xf numFmtId="0" fontId="64" fillId="19" borderId="0" xfId="0" applyNumberFormat="1" applyFont="1" applyFill="1"/>
    <xf numFmtId="38" fontId="46" fillId="2" borderId="0" xfId="0" applyNumberFormat="1" applyFont="1" applyBorder="1"/>
    <xf numFmtId="38" fontId="95" fillId="2" borderId="0" xfId="0" applyNumberFormat="1" applyFont="1" applyBorder="1"/>
    <xf numFmtId="38" fontId="93" fillId="2" borderId="0" xfId="0" applyNumberFormat="1" applyFont="1" applyBorder="1"/>
    <xf numFmtId="38" fontId="68" fillId="2" borderId="0" xfId="0" applyNumberFormat="1" applyFont="1" applyBorder="1"/>
    <xf numFmtId="38" fontId="46" fillId="14" borderId="47" xfId="0" applyNumberFormat="1" applyFont="1" applyFill="1" applyBorder="1" applyAlignment="1">
      <alignment horizontal="center"/>
    </xf>
    <xf numFmtId="38" fontId="46" fillId="14" borderId="21" xfId="0" applyNumberFormat="1" applyFont="1" applyFill="1" applyBorder="1"/>
    <xf numFmtId="38" fontId="46" fillId="14" borderId="36" xfId="0" applyNumberFormat="1" applyFont="1" applyFill="1" applyBorder="1" applyAlignment="1">
      <alignment horizontal="center"/>
    </xf>
    <xf numFmtId="38" fontId="46" fillId="14" borderId="13" xfId="0" applyNumberFormat="1" applyFont="1" applyFill="1" applyBorder="1"/>
    <xf numFmtId="38" fontId="131" fillId="5" borderId="13" xfId="0" applyNumberFormat="1" applyFont="1" applyFill="1" applyBorder="1"/>
    <xf numFmtId="38" fontId="131" fillId="5" borderId="0" xfId="0" applyNumberFormat="1" applyFont="1" applyFill="1" applyBorder="1"/>
    <xf numFmtId="38" fontId="68" fillId="14" borderId="47" xfId="0" applyNumberFormat="1" applyFont="1" applyFill="1" applyBorder="1" applyAlignment="1">
      <alignment horizontal="center"/>
    </xf>
    <xf numFmtId="38" fontId="68" fillId="14" borderId="36" xfId="0" applyNumberFormat="1" applyFont="1" applyFill="1" applyBorder="1" applyAlignment="1">
      <alignment horizontal="center"/>
    </xf>
    <xf numFmtId="38" fontId="15" fillId="2" borderId="0" xfId="0" applyNumberFormat="1" applyFont="1" applyAlignment="1">
      <alignment horizontal="center"/>
    </xf>
    <xf numFmtId="38" fontId="124" fillId="2" borderId="9" xfId="0" applyNumberFormat="1" applyFont="1" applyBorder="1" applyProtection="1"/>
    <xf numFmtId="18" fontId="0" fillId="2" borderId="0" xfId="0" applyNumberFormat="1" applyBorder="1" applyProtection="1">
      <protection locked="0"/>
    </xf>
    <xf numFmtId="177" fontId="142" fillId="8" borderId="36" xfId="0" applyNumberFormat="1" applyFont="1" applyFill="1" applyBorder="1" applyAlignment="1" applyProtection="1">
      <protection locked="0"/>
    </xf>
    <xf numFmtId="38" fontId="142" fillId="8" borderId="47" xfId="0" applyNumberFormat="1" applyFont="1" applyFill="1" applyBorder="1" applyAlignment="1" applyProtection="1">
      <protection locked="0"/>
    </xf>
    <xf numFmtId="38" fontId="4" fillId="2" borderId="0" xfId="0" applyNumberFormat="1" applyFont="1" applyBorder="1" applyAlignment="1">
      <alignment horizontal="center"/>
    </xf>
    <xf numFmtId="6" fontId="4" fillId="2" borderId="9" xfId="0" applyNumberFormat="1" applyFont="1" applyBorder="1" applyAlignment="1">
      <alignment horizontal="center"/>
    </xf>
    <xf numFmtId="6" fontId="4" fillId="2" borderId="0" xfId="0" applyNumberFormat="1" applyFont="1" applyBorder="1" applyAlignment="1">
      <alignment horizontal="center"/>
    </xf>
    <xf numFmtId="37" fontId="1" fillId="2" borderId="0" xfId="0" applyNumberFormat="1" applyFont="1" applyAlignment="1">
      <alignment horizontal="center"/>
    </xf>
    <xf numFmtId="0" fontId="27" fillId="26" borderId="49" xfId="0" applyNumberFormat="1" applyFont="1" applyFill="1" applyBorder="1" applyAlignment="1">
      <alignment horizontal="center"/>
    </xf>
    <xf numFmtId="177" fontId="98" fillId="8" borderId="9" xfId="0" applyNumberFormat="1" applyFont="1" applyFill="1" applyBorder="1" applyAlignment="1"/>
    <xf numFmtId="0" fontId="0" fillId="6" borderId="53" xfId="0" applyNumberFormat="1" applyFill="1" applyBorder="1"/>
    <xf numFmtId="0" fontId="0" fillId="6" borderId="52" xfId="0" applyNumberFormat="1" applyFill="1" applyBorder="1"/>
    <xf numFmtId="0" fontId="0" fillId="6" borderId="83" xfId="0" applyNumberFormat="1" applyFill="1" applyBorder="1"/>
    <xf numFmtId="0" fontId="4" fillId="6" borderId="51" xfId="0" applyNumberFormat="1" applyFont="1" applyFill="1" applyBorder="1"/>
    <xf numFmtId="0" fontId="140" fillId="6" borderId="84" xfId="0" applyNumberFormat="1" applyFont="1" applyFill="1" applyBorder="1"/>
    <xf numFmtId="0" fontId="9" fillId="6" borderId="85" xfId="0" applyNumberFormat="1" applyFont="1" applyFill="1" applyBorder="1"/>
    <xf numFmtId="0" fontId="0" fillId="6" borderId="86" xfId="0" applyNumberFormat="1" applyFill="1" applyBorder="1"/>
    <xf numFmtId="176" fontId="4" fillId="8" borderId="87" xfId="0" applyNumberFormat="1" applyFont="1" applyFill="1" applyBorder="1"/>
    <xf numFmtId="176" fontId="4" fillId="8" borderId="88" xfId="0" applyNumberFormat="1" applyFont="1" applyFill="1" applyBorder="1" applyProtection="1">
      <protection locked="0"/>
    </xf>
    <xf numFmtId="176" fontId="4" fillId="8" borderId="89" xfId="0" applyNumberFormat="1" applyFont="1" applyFill="1" applyBorder="1"/>
    <xf numFmtId="176" fontId="112" fillId="8" borderId="90" xfId="0" applyNumberFormat="1" applyFont="1" applyFill="1" applyBorder="1"/>
    <xf numFmtId="0" fontId="112" fillId="8" borderId="91" xfId="0" applyNumberFormat="1" applyFont="1" applyFill="1" applyBorder="1"/>
    <xf numFmtId="0" fontId="4" fillId="8" borderId="92" xfId="0" applyNumberFormat="1" applyFont="1" applyFill="1" applyBorder="1"/>
    <xf numFmtId="0" fontId="4" fillId="8" borderId="7" xfId="0" applyNumberFormat="1" applyFont="1" applyFill="1" applyBorder="1"/>
    <xf numFmtId="0" fontId="119" fillId="2" borderId="93" xfId="3" applyNumberFormat="1" applyFont="1" applyFill="1" applyBorder="1" applyAlignment="1" applyProtection="1">
      <alignment horizontal="left"/>
    </xf>
    <xf numFmtId="0" fontId="141" fillId="2" borderId="0" xfId="0" applyNumberFormat="1" applyFont="1" applyAlignment="1">
      <alignment horizontal="right"/>
    </xf>
    <xf numFmtId="38" fontId="93" fillId="12" borderId="94" xfId="0" applyNumberFormat="1" applyFont="1" applyFill="1" applyBorder="1"/>
    <xf numFmtId="0" fontId="0" fillId="22" borderId="0" xfId="0" applyNumberFormat="1" applyFill="1"/>
    <xf numFmtId="0" fontId="1" fillId="2" borderId="0" xfId="0" applyNumberFormat="1" applyFont="1" applyFill="1" applyAlignment="1">
      <alignment horizontal="right"/>
    </xf>
    <xf numFmtId="0" fontId="0" fillId="2" borderId="0" xfId="0" applyNumberFormat="1" applyFill="1"/>
    <xf numFmtId="164" fontId="1" fillId="2" borderId="0" xfId="0" applyNumberFormat="1" applyFont="1" applyFill="1"/>
    <xf numFmtId="37" fontId="1" fillId="2" borderId="0" xfId="0" applyNumberFormat="1" applyFont="1" applyFill="1"/>
    <xf numFmtId="39" fontId="1" fillId="2" borderId="0" xfId="0" applyNumberFormat="1" applyFont="1" applyFill="1"/>
    <xf numFmtId="37" fontId="1" fillId="2" borderId="0" xfId="0" applyNumberFormat="1" applyFont="1" applyFill="1" applyBorder="1"/>
    <xf numFmtId="0" fontId="1" fillId="2" borderId="0" xfId="0" applyNumberFormat="1" applyFont="1" applyFill="1"/>
    <xf numFmtId="0" fontId="1" fillId="2" borderId="0" xfId="0" applyNumberFormat="1" applyFont="1" applyFill="1" applyAlignment="1">
      <alignment horizontal="center"/>
    </xf>
    <xf numFmtId="37" fontId="14" fillId="2" borderId="0" xfId="0" applyNumberFormat="1" applyFont="1" applyFill="1"/>
    <xf numFmtId="0" fontId="4" fillId="2" borderId="0" xfId="0" applyNumberFormat="1" applyFont="1" applyFill="1"/>
    <xf numFmtId="37" fontId="4" fillId="2" borderId="0" xfId="0" applyNumberFormat="1" applyFont="1" applyFill="1"/>
    <xf numFmtId="37" fontId="11" fillId="2" borderId="0" xfId="0" applyNumberFormat="1" applyFont="1" applyFill="1"/>
    <xf numFmtId="37" fontId="1" fillId="2" borderId="0" xfId="0" applyNumberFormat="1" applyFont="1" applyFill="1" applyBorder="1" applyAlignment="1">
      <alignment horizontal="right"/>
    </xf>
    <xf numFmtId="37" fontId="1" fillId="2" borderId="0" xfId="0" applyNumberFormat="1" applyFont="1" applyFill="1" applyAlignment="1">
      <alignment horizontal="right"/>
    </xf>
    <xf numFmtId="37" fontId="1" fillId="19" borderId="0" xfId="0" applyNumberFormat="1" applyFont="1" applyFill="1"/>
    <xf numFmtId="37" fontId="1" fillId="19" borderId="0" xfId="0" applyNumberFormat="1" applyFont="1" applyFill="1" applyBorder="1" applyAlignment="1">
      <alignment horizontal="right"/>
    </xf>
    <xf numFmtId="37" fontId="1" fillId="19" borderId="9" xfId="0" applyNumberFormat="1" applyFont="1" applyFill="1" applyBorder="1" applyAlignment="1">
      <alignment horizontal="right"/>
    </xf>
    <xf numFmtId="37" fontId="4" fillId="19" borderId="9" xfId="0" applyNumberFormat="1" applyFont="1" applyFill="1" applyBorder="1"/>
    <xf numFmtId="0" fontId="128" fillId="19" borderId="0" xfId="0" applyNumberFormat="1" applyFont="1" applyFill="1"/>
    <xf numFmtId="38" fontId="128" fillId="19" borderId="0" xfId="0" applyNumberFormat="1" applyFont="1" applyFill="1"/>
    <xf numFmtId="37" fontId="9" fillId="19" borderId="35" xfId="0" applyNumberFormat="1" applyFont="1" applyFill="1" applyBorder="1" applyAlignment="1">
      <alignment horizontal="right"/>
    </xf>
    <xf numFmtId="37" fontId="11" fillId="19" borderId="35" xfId="0" applyNumberFormat="1" applyFont="1" applyFill="1" applyBorder="1"/>
    <xf numFmtId="37" fontId="9" fillId="19" borderId="61" xfId="0" applyNumberFormat="1" applyFont="1" applyFill="1" applyBorder="1" applyAlignment="1">
      <alignment horizontal="right"/>
    </xf>
    <xf numFmtId="0" fontId="0" fillId="19" borderId="35" xfId="0" applyNumberFormat="1" applyFill="1" applyBorder="1"/>
    <xf numFmtId="37" fontId="9" fillId="19" borderId="62" xfId="0" applyNumberFormat="1" applyFont="1" applyFill="1" applyBorder="1" applyAlignment="1">
      <alignment horizontal="right"/>
    </xf>
    <xf numFmtId="37" fontId="0" fillId="2" borderId="0" xfId="0" applyNumberFormat="1" applyAlignment="1">
      <alignment horizontal="center"/>
    </xf>
    <xf numFmtId="37" fontId="0" fillId="2" borderId="9" xfId="0" applyNumberFormat="1" applyBorder="1" applyAlignment="1">
      <alignment horizontal="center"/>
    </xf>
    <xf numFmtId="37" fontId="0" fillId="2" borderId="0" xfId="0" applyNumberFormat="1" applyBorder="1" applyAlignment="1">
      <alignment horizontal="center"/>
    </xf>
    <xf numFmtId="37" fontId="4" fillId="19" borderId="9" xfId="0" applyNumberFormat="1" applyFont="1" applyFill="1" applyBorder="1" applyAlignment="1">
      <alignment horizontal="center"/>
    </xf>
    <xf numFmtId="38" fontId="4" fillId="19" borderId="9" xfId="0" applyNumberFormat="1" applyFont="1" applyFill="1" applyBorder="1" applyAlignment="1">
      <alignment horizontal="center"/>
    </xf>
    <xf numFmtId="37" fontId="4" fillId="19" borderId="11" xfId="0" applyNumberFormat="1" applyFont="1" applyFill="1" applyBorder="1"/>
    <xf numFmtId="37" fontId="0" fillId="5"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176" fontId="15" fillId="2" borderId="0" xfId="0" applyNumberFormat="1" applyFont="1" applyBorder="1"/>
    <xf numFmtId="0" fontId="112" fillId="5" borderId="0" xfId="0" applyNumberFormat="1" applyFont="1" applyFill="1" applyBorder="1" applyAlignment="1">
      <alignment horizontal="right"/>
    </xf>
    <xf numFmtId="0" fontId="4" fillId="5" borderId="0" xfId="0" applyNumberFormat="1" applyFont="1" applyFill="1" applyBorder="1" applyAlignment="1">
      <alignment horizontal="right"/>
    </xf>
    <xf numFmtId="0" fontId="140" fillId="5" borderId="0" xfId="0" applyNumberFormat="1" applyFont="1" applyFill="1" applyBorder="1" applyAlignment="1">
      <alignment horizontal="right"/>
    </xf>
    <xf numFmtId="14" fontId="140" fillId="5" borderId="0" xfId="0" applyNumberFormat="1" applyFont="1" applyFill="1" applyBorder="1" applyAlignment="1">
      <alignment horizontal="right"/>
    </xf>
    <xf numFmtId="0" fontId="112" fillId="5" borderId="0" xfId="0" applyNumberFormat="1" applyFont="1" applyFill="1" applyBorder="1"/>
    <xf numFmtId="0" fontId="4" fillId="5" borderId="0" xfId="0" applyNumberFormat="1" applyFont="1" applyFill="1" applyBorder="1" applyAlignment="1">
      <alignment horizontal="left"/>
    </xf>
    <xf numFmtId="0" fontId="86" fillId="5" borderId="0" xfId="0" applyNumberFormat="1" applyFont="1" applyFill="1" applyBorder="1" applyAlignment="1">
      <alignment horizontal="right"/>
    </xf>
    <xf numFmtId="0" fontId="150" fillId="5" borderId="0" xfId="0" applyNumberFormat="1" applyFont="1" applyFill="1" applyBorder="1"/>
    <xf numFmtId="176" fontId="4" fillId="6" borderId="95" xfId="0" applyNumberFormat="1" applyFont="1" applyFill="1" applyBorder="1"/>
    <xf numFmtId="175" fontId="15" fillId="2" borderId="0" xfId="0" applyNumberFormat="1" applyFont="1" applyBorder="1"/>
    <xf numFmtId="187" fontId="15" fillId="2" borderId="0" xfId="0" applyNumberFormat="1" applyFont="1" applyBorder="1"/>
    <xf numFmtId="38" fontId="15" fillId="2" borderId="0" xfId="0" applyNumberFormat="1" applyFont="1" applyBorder="1"/>
    <xf numFmtId="6" fontId="15" fillId="2" borderId="0" xfId="0" applyNumberFormat="1" applyFont="1" applyBorder="1" applyAlignment="1">
      <alignment horizontal="center"/>
    </xf>
    <xf numFmtId="37" fontId="4" fillId="2" borderId="0" xfId="0" quotePrefix="1" applyNumberFormat="1" applyFont="1" applyAlignment="1">
      <alignment horizontal="center"/>
    </xf>
    <xf numFmtId="0" fontId="4" fillId="19" borderId="9" xfId="0" applyNumberFormat="1" applyFont="1" applyFill="1" applyBorder="1"/>
    <xf numFmtId="6" fontId="4" fillId="19" borderId="9" xfId="0" applyNumberFormat="1" applyFont="1" applyFill="1" applyBorder="1" applyAlignment="1">
      <alignment horizontal="center"/>
    </xf>
    <xf numFmtId="0" fontId="4" fillId="5" borderId="9" xfId="0" applyNumberFormat="1" applyFont="1" applyFill="1" applyBorder="1" applyAlignment="1">
      <alignment horizontal="center"/>
    </xf>
    <xf numFmtId="0" fontId="4" fillId="5" borderId="0" xfId="0" applyNumberFormat="1" applyFont="1" applyFill="1" applyBorder="1" applyAlignment="1">
      <alignment horizontal="center"/>
    </xf>
    <xf numFmtId="38" fontId="4" fillId="5" borderId="0" xfId="0" applyNumberFormat="1" applyFont="1" applyFill="1" applyAlignment="1">
      <alignment horizontal="center"/>
    </xf>
    <xf numFmtId="176" fontId="4" fillId="5" borderId="0" xfId="0" applyNumberFormat="1" applyFont="1" applyFill="1" applyAlignment="1">
      <alignment horizontal="center"/>
    </xf>
    <xf numFmtId="0" fontId="116" fillId="19" borderId="10" xfId="0" applyNumberFormat="1" applyFont="1" applyFill="1" applyBorder="1" applyAlignment="1">
      <alignment horizontal="left"/>
    </xf>
    <xf numFmtId="0" fontId="78" fillId="19" borderId="11" xfId="0" applyNumberFormat="1" applyFont="1" applyFill="1" applyBorder="1"/>
    <xf numFmtId="0" fontId="119" fillId="2" borderId="0" xfId="0" applyNumberFormat="1" applyFont="1"/>
    <xf numFmtId="0" fontId="150" fillId="2" borderId="0" xfId="0" applyNumberFormat="1" applyFont="1" applyAlignment="1">
      <alignment horizontal="left"/>
    </xf>
    <xf numFmtId="176" fontId="0" fillId="5" borderId="0" xfId="0" applyNumberFormat="1" applyFill="1"/>
    <xf numFmtId="178" fontId="0" fillId="5" borderId="0" xfId="0" applyNumberFormat="1" applyFill="1"/>
    <xf numFmtId="0" fontId="15" fillId="2" borderId="12" xfId="0" applyNumberFormat="1" applyFont="1" applyBorder="1"/>
    <xf numFmtId="0" fontId="119" fillId="2" borderId="10" xfId="0" applyNumberFormat="1" applyFont="1" applyBorder="1"/>
    <xf numFmtId="0" fontId="4" fillId="27" borderId="9" xfId="0" applyNumberFormat="1" applyFont="1" applyFill="1" applyBorder="1" applyAlignment="1">
      <alignment horizontal="center"/>
    </xf>
    <xf numFmtId="0" fontId="151" fillId="2" borderId="0" xfId="0" applyNumberFormat="1" applyFont="1" applyAlignment="1">
      <alignment horizontal="left"/>
    </xf>
    <xf numFmtId="38" fontId="13" fillId="19" borderId="0" xfId="0" applyNumberFormat="1" applyFont="1" applyFill="1"/>
    <xf numFmtId="0" fontId="13" fillId="19" borderId="0" xfId="0" applyNumberFormat="1" applyFont="1" applyFill="1"/>
    <xf numFmtId="0" fontId="93" fillId="19" borderId="0" xfId="0" applyNumberFormat="1" applyFont="1" applyFill="1" applyAlignment="1">
      <alignment horizontal="left"/>
    </xf>
    <xf numFmtId="0" fontId="9" fillId="5" borderId="13" xfId="0" applyNumberFormat="1" applyFont="1" applyFill="1" applyBorder="1"/>
    <xf numFmtId="6" fontId="15" fillId="2" borderId="36" xfId="0" applyNumberFormat="1" applyFont="1" applyBorder="1"/>
    <xf numFmtId="37" fontId="4" fillId="19" borderId="0" xfId="0" applyNumberFormat="1" applyFont="1" applyFill="1" applyBorder="1"/>
    <xf numFmtId="37" fontId="1" fillId="8" borderId="0" xfId="0" applyNumberFormat="1" applyFont="1" applyFill="1"/>
    <xf numFmtId="37" fontId="1" fillId="8" borderId="0" xfId="0" applyNumberFormat="1" applyFont="1" applyFill="1" applyBorder="1" applyAlignment="1">
      <alignment horizontal="right"/>
    </xf>
    <xf numFmtId="37" fontId="4" fillId="8" borderId="0" xfId="0" applyNumberFormat="1" applyFont="1" applyFill="1"/>
    <xf numFmtId="37" fontId="1" fillId="8" borderId="0" xfId="0" applyNumberFormat="1" applyFont="1" applyFill="1" applyAlignment="1">
      <alignment horizontal="right"/>
    </xf>
    <xf numFmtId="37" fontId="4" fillId="8" borderId="0" xfId="0" applyNumberFormat="1" applyFont="1" applyFill="1" applyBorder="1"/>
    <xf numFmtId="37" fontId="1" fillId="8" borderId="5" xfId="0" applyNumberFormat="1" applyFont="1" applyFill="1" applyBorder="1" applyAlignment="1">
      <alignment horizontal="right"/>
    </xf>
    <xf numFmtId="37" fontId="1" fillId="2" borderId="0" xfId="0" applyNumberFormat="1" applyFont="1" applyFill="1" applyBorder="1" applyAlignment="1">
      <alignment horizontal="center"/>
    </xf>
    <xf numFmtId="0" fontId="15" fillId="2" borderId="9" xfId="0" applyFont="1" applyBorder="1" applyAlignment="1">
      <alignment horizontal="center"/>
    </xf>
    <xf numFmtId="0" fontId="152" fillId="29" borderId="96" xfId="1" applyFont="1" applyFill="1" applyBorder="1"/>
    <xf numFmtId="0" fontId="152" fillId="29" borderId="97" xfId="1" applyFont="1" applyFill="1" applyBorder="1" applyAlignment="1">
      <alignment horizontal="left"/>
    </xf>
    <xf numFmtId="0" fontId="15" fillId="2" borderId="9" xfId="0" applyFont="1" applyBorder="1" applyAlignment="1">
      <alignment horizontal="left"/>
    </xf>
    <xf numFmtId="0" fontId="152" fillId="29" borderId="0" xfId="1" applyFont="1" applyFill="1" applyBorder="1" applyAlignment="1">
      <alignment horizontal="left"/>
    </xf>
    <xf numFmtId="0" fontId="133" fillId="19" borderId="0" xfId="0" applyNumberFormat="1" applyFont="1" applyFill="1"/>
    <xf numFmtId="0" fontId="128" fillId="2" borderId="0" xfId="0" quotePrefix="1" applyNumberFormat="1" applyFont="1" applyAlignment="1">
      <alignment horizontal="center"/>
    </xf>
    <xf numFmtId="37" fontId="1" fillId="8" borderId="13" xfId="0" applyNumberFormat="1" applyFont="1" applyFill="1" applyBorder="1" applyAlignment="1">
      <alignment horizontal="right"/>
    </xf>
    <xf numFmtId="37" fontId="1" fillId="22" borderId="0" xfId="0" applyNumberFormat="1" applyFont="1" applyFill="1" applyBorder="1"/>
    <xf numFmtId="0" fontId="153" fillId="2" borderId="0" xfId="0" quotePrefix="1" applyNumberFormat="1" applyFont="1" applyAlignment="1">
      <alignment horizontal="right"/>
    </xf>
    <xf numFmtId="0" fontId="119" fillId="5" borderId="10" xfId="0" applyNumberFormat="1" applyFont="1" applyFill="1" applyBorder="1"/>
    <xf numFmtId="0" fontId="134" fillId="19" borderId="0" xfId="0" applyNumberFormat="1" applyFont="1" applyFill="1"/>
    <xf numFmtId="37" fontId="4" fillId="8" borderId="0" xfId="0" applyNumberFormat="1" applyFont="1" applyFill="1" applyAlignment="1">
      <alignment horizontal="right"/>
    </xf>
    <xf numFmtId="0" fontId="15" fillId="29" borderId="9" xfId="0" applyNumberFormat="1" applyFont="1" applyFill="1" applyBorder="1" applyAlignment="1">
      <alignment horizontal="center"/>
    </xf>
    <xf numFmtId="0" fontId="15" fillId="29" borderId="47" xfId="0" applyNumberFormat="1" applyFont="1" applyFill="1" applyBorder="1" applyAlignment="1">
      <alignment horizontal="center"/>
    </xf>
    <xf numFmtId="0" fontId="15" fillId="2" borderId="9" xfId="0" applyFont="1" applyBorder="1"/>
    <xf numFmtId="0" fontId="15" fillId="29" borderId="9" xfId="0" applyFont="1" applyFill="1" applyBorder="1" applyAlignment="1">
      <alignment horizontal="center"/>
    </xf>
    <xf numFmtId="0" fontId="152" fillId="29" borderId="9" xfId="1" applyFont="1" applyFill="1" applyBorder="1"/>
    <xf numFmtId="0" fontId="15" fillId="29" borderId="9" xfId="0" applyNumberFormat="1" applyFont="1" applyFill="1" applyBorder="1"/>
    <xf numFmtId="6" fontId="154" fillId="2" borderId="9" xfId="0" applyNumberFormat="1" applyFont="1" applyBorder="1"/>
    <xf numFmtId="0" fontId="155" fillId="29" borderId="9" xfId="0" quotePrefix="1" applyNumberFormat="1" applyFont="1" applyFill="1" applyBorder="1" applyAlignment="1">
      <alignment horizontal="center"/>
    </xf>
    <xf numFmtId="6" fontId="68" fillId="19" borderId="9" xfId="0" applyNumberFormat="1" applyFont="1" applyFill="1" applyBorder="1"/>
    <xf numFmtId="38" fontId="128" fillId="5" borderId="0" xfId="0" applyNumberFormat="1" applyFont="1" applyFill="1"/>
    <xf numFmtId="8" fontId="0" fillId="2" borderId="0" xfId="0" applyNumberFormat="1"/>
    <xf numFmtId="0" fontId="93" fillId="8" borderId="0" xfId="0" applyNumberFormat="1" applyFont="1" applyFill="1"/>
    <xf numFmtId="176" fontId="128" fillId="8" borderId="2" xfId="0" applyNumberFormat="1" applyFont="1" applyFill="1" applyBorder="1"/>
    <xf numFmtId="38" fontId="128" fillId="8" borderId="2" xfId="0" applyNumberFormat="1" applyFont="1" applyFill="1" applyBorder="1"/>
    <xf numFmtId="0" fontId="112" fillId="2" borderId="0" xfId="0" applyNumberFormat="1" applyFont="1" applyAlignment="1">
      <alignment horizontal="center"/>
    </xf>
    <xf numFmtId="0" fontId="112" fillId="2" borderId="0" xfId="0" quotePrefix="1" applyNumberFormat="1" applyFont="1" applyAlignment="1">
      <alignment horizontal="center"/>
    </xf>
    <xf numFmtId="0" fontId="68" fillId="19" borderId="9" xfId="0" applyFont="1" applyFill="1" applyBorder="1" applyAlignment="1">
      <alignment horizontal="center"/>
    </xf>
    <xf numFmtId="37" fontId="1" fillId="3" borderId="0" xfId="0" applyNumberFormat="1" applyFont="1" applyFill="1"/>
    <xf numFmtId="0" fontId="4" fillId="3" borderId="0" xfId="0" applyNumberFormat="1" applyFont="1" applyFill="1"/>
    <xf numFmtId="37" fontId="4" fillId="3" borderId="0" xfId="0" applyNumberFormat="1" applyFont="1" applyFill="1"/>
    <xf numFmtId="37" fontId="1" fillId="8" borderId="21" xfId="0" applyNumberFormat="1" applyFont="1" applyFill="1" applyBorder="1"/>
    <xf numFmtId="37" fontId="4" fillId="22" borderId="0" xfId="0" applyNumberFormat="1" applyFont="1" applyFill="1" applyAlignment="1">
      <alignment horizontal="right"/>
    </xf>
    <xf numFmtId="37" fontId="4" fillId="19" borderId="31" xfId="0" applyNumberFormat="1" applyFont="1" applyFill="1" applyBorder="1"/>
    <xf numFmtId="38" fontId="4" fillId="19" borderId="31" xfId="0" applyNumberFormat="1" applyFont="1" applyFill="1" applyBorder="1"/>
    <xf numFmtId="38" fontId="4" fillId="19" borderId="54" xfId="0" applyNumberFormat="1" applyFont="1" applyFill="1" applyBorder="1"/>
    <xf numFmtId="38" fontId="4" fillId="19" borderId="0" xfId="0" applyNumberFormat="1" applyFont="1" applyFill="1" applyBorder="1"/>
    <xf numFmtId="37" fontId="4" fillId="19" borderId="64" xfId="0" applyNumberFormat="1" applyFont="1" applyFill="1" applyBorder="1"/>
    <xf numFmtId="0" fontId="68" fillId="2" borderId="0" xfId="0" quotePrefix="1" applyNumberFormat="1" applyFont="1" applyAlignment="1">
      <alignment horizontal="center"/>
    </xf>
    <xf numFmtId="37" fontId="1" fillId="8" borderId="21" xfId="0" applyNumberFormat="1" applyFont="1" applyFill="1" applyBorder="1" applyAlignment="1">
      <alignment horizontal="right"/>
    </xf>
    <xf numFmtId="37" fontId="4" fillId="8" borderId="0" xfId="0" applyNumberFormat="1" applyFont="1" applyFill="1" applyBorder="1" applyAlignment="1">
      <alignment horizontal="right"/>
    </xf>
    <xf numFmtId="37" fontId="4" fillId="8" borderId="13" xfId="0" applyNumberFormat="1" applyFont="1" applyFill="1" applyBorder="1" applyAlignment="1">
      <alignment horizontal="right"/>
    </xf>
    <xf numFmtId="37" fontId="4" fillId="8" borderId="13" xfId="0" applyNumberFormat="1" applyFont="1" applyFill="1" applyBorder="1"/>
    <xf numFmtId="38" fontId="4" fillId="8" borderId="0" xfId="0" applyNumberFormat="1" applyFont="1" applyFill="1" applyBorder="1"/>
    <xf numFmtId="38" fontId="4" fillId="8" borderId="13" xfId="0" applyNumberFormat="1" applyFont="1" applyFill="1" applyBorder="1"/>
    <xf numFmtId="37" fontId="4" fillId="8" borderId="21" xfId="0" applyNumberFormat="1" applyFont="1" applyFill="1" applyBorder="1"/>
    <xf numFmtId="37" fontId="68" fillId="3" borderId="0" xfId="0" applyNumberFormat="1" applyFont="1" applyFill="1"/>
    <xf numFmtId="0" fontId="156" fillId="2" borderId="9" xfId="0" applyFont="1" applyBorder="1"/>
    <xf numFmtId="0" fontId="15" fillId="19" borderId="9" xfId="0" applyFont="1" applyFill="1" applyBorder="1" applyAlignment="1">
      <alignment horizontal="center"/>
    </xf>
    <xf numFmtId="0" fontId="157" fillId="19" borderId="10" xfId="0" applyFont="1" applyFill="1" applyBorder="1"/>
    <xf numFmtId="0" fontId="15" fillId="19" borderId="12" xfId="0" applyNumberFormat="1" applyFont="1" applyFill="1" applyBorder="1"/>
    <xf numFmtId="0" fontId="119" fillId="2" borderId="11" xfId="0" applyNumberFormat="1" applyFont="1" applyBorder="1"/>
    <xf numFmtId="176" fontId="78" fillId="2" borderId="0" xfId="0" applyNumberFormat="1" applyFont="1"/>
    <xf numFmtId="38" fontId="0" fillId="2" borderId="0" xfId="0" applyNumberFormat="1" applyAlignment="1">
      <alignment horizontal="left"/>
    </xf>
    <xf numFmtId="177" fontId="4" fillId="8" borderId="0" xfId="0" applyNumberFormat="1" applyFont="1" applyFill="1" applyAlignment="1">
      <alignment horizontal="center"/>
    </xf>
    <xf numFmtId="38" fontId="122" fillId="0" borderId="36" xfId="0" applyNumberFormat="1" applyFont="1" applyFill="1" applyBorder="1" applyAlignment="1" applyProtection="1">
      <protection locked="0"/>
    </xf>
    <xf numFmtId="38" fontId="128" fillId="8" borderId="0" xfId="0" applyNumberFormat="1" applyFont="1" applyFill="1" applyBorder="1"/>
    <xf numFmtId="37" fontId="93" fillId="8" borderId="2" xfId="0" applyNumberFormat="1" applyFont="1" applyFill="1" applyBorder="1"/>
    <xf numFmtId="37" fontId="82" fillId="8" borderId="2" xfId="0" applyNumberFormat="1" applyFont="1" applyFill="1" applyBorder="1"/>
    <xf numFmtId="182" fontId="93" fillId="8" borderId="2" xfId="0" applyNumberFormat="1" applyFont="1" applyFill="1" applyBorder="1"/>
    <xf numFmtId="38" fontId="93" fillId="8" borderId="2" xfId="0" applyNumberFormat="1" applyFont="1" applyFill="1" applyBorder="1"/>
    <xf numFmtId="176" fontId="159" fillId="8" borderId="2" xfId="0" applyNumberFormat="1" applyFont="1" applyFill="1" applyBorder="1"/>
    <xf numFmtId="0" fontId="159" fillId="8" borderId="2" xfId="0" applyNumberFormat="1" applyFont="1" applyFill="1" applyBorder="1"/>
    <xf numFmtId="38" fontId="159" fillId="8" borderId="2" xfId="0" applyNumberFormat="1" applyFont="1" applyFill="1" applyBorder="1"/>
    <xf numFmtId="38" fontId="159" fillId="8" borderId="0" xfId="0" applyNumberFormat="1" applyFont="1" applyFill="1"/>
    <xf numFmtId="182" fontId="159" fillId="8" borderId="0" xfId="0" applyNumberFormat="1" applyFont="1" applyFill="1"/>
    <xf numFmtId="0" fontId="159" fillId="8" borderId="0" xfId="0" applyNumberFormat="1" applyFont="1" applyFill="1"/>
    <xf numFmtId="0" fontId="159" fillId="8" borderId="0" xfId="0" applyNumberFormat="1" applyFont="1" applyFill="1" applyAlignment="1">
      <alignment horizontal="left"/>
    </xf>
    <xf numFmtId="0" fontId="134" fillId="8" borderId="0" xfId="0" applyNumberFormat="1" applyFont="1" applyFill="1"/>
    <xf numFmtId="37" fontId="134" fillId="8" borderId="2" xfId="0" applyNumberFormat="1" applyFont="1" applyFill="1" applyBorder="1"/>
    <xf numFmtId="168" fontId="134" fillId="8" borderId="2" xfId="0" applyNumberFormat="1" applyFont="1" applyFill="1" applyBorder="1"/>
    <xf numFmtId="38" fontId="134" fillId="8" borderId="2" xfId="0" applyNumberFormat="1" applyFont="1" applyFill="1" applyBorder="1"/>
    <xf numFmtId="0" fontId="134" fillId="8" borderId="0" xfId="0" applyNumberFormat="1" applyFont="1" applyFill="1" applyAlignment="1">
      <alignment horizontal="center"/>
    </xf>
    <xf numFmtId="38" fontId="134" fillId="8" borderId="0" xfId="0" applyNumberFormat="1" applyFont="1" applyFill="1" applyBorder="1"/>
    <xf numFmtId="176" fontId="134" fillId="8" borderId="2" xfId="0" applyNumberFormat="1" applyFont="1" applyFill="1" applyBorder="1"/>
    <xf numFmtId="40" fontId="134" fillId="8" borderId="2" xfId="0" applyNumberFormat="1" applyFont="1" applyFill="1" applyBorder="1"/>
    <xf numFmtId="38" fontId="134" fillId="8" borderId="9" xfId="0" applyNumberFormat="1" applyFont="1" applyFill="1" applyBorder="1"/>
    <xf numFmtId="38" fontId="134" fillId="8" borderId="0" xfId="0" applyNumberFormat="1" applyFont="1" applyFill="1"/>
    <xf numFmtId="38" fontId="134" fillId="8" borderId="8" xfId="0" applyNumberFormat="1" applyFont="1" applyFill="1" applyBorder="1"/>
    <xf numFmtId="37" fontId="134" fillId="8" borderId="0" xfId="0" applyNumberFormat="1" applyFont="1" applyFill="1" applyBorder="1"/>
    <xf numFmtId="176" fontId="134" fillId="8" borderId="0" xfId="0" applyNumberFormat="1" applyFont="1" applyFill="1" applyBorder="1"/>
    <xf numFmtId="40" fontId="134" fillId="8" borderId="0" xfId="0" applyNumberFormat="1" applyFont="1" applyFill="1" applyBorder="1"/>
    <xf numFmtId="37" fontId="93" fillId="26" borderId="2" xfId="0" applyNumberFormat="1" applyFont="1" applyFill="1" applyBorder="1"/>
    <xf numFmtId="37" fontId="82" fillId="26" borderId="2" xfId="0" applyNumberFormat="1" applyFont="1" applyFill="1" applyBorder="1"/>
    <xf numFmtId="176" fontId="159" fillId="26" borderId="2" xfId="0" applyNumberFormat="1" applyFont="1" applyFill="1" applyBorder="1"/>
    <xf numFmtId="0" fontId="159" fillId="26" borderId="2" xfId="0" applyNumberFormat="1" applyFont="1" applyFill="1" applyBorder="1"/>
    <xf numFmtId="182" fontId="93" fillId="26" borderId="2" xfId="0" applyNumberFormat="1" applyFont="1" applyFill="1" applyBorder="1"/>
    <xf numFmtId="38" fontId="159" fillId="26" borderId="2" xfId="0" applyNumberFormat="1" applyFont="1" applyFill="1" applyBorder="1"/>
    <xf numFmtId="38" fontId="93" fillId="26" borderId="2" xfId="0" applyNumberFormat="1" applyFont="1" applyFill="1" applyBorder="1"/>
    <xf numFmtId="0" fontId="0" fillId="26" borderId="0" xfId="0" applyNumberFormat="1" applyFill="1"/>
    <xf numFmtId="37" fontId="93" fillId="27" borderId="2" xfId="0" applyNumberFormat="1" applyFont="1" applyFill="1" applyBorder="1"/>
    <xf numFmtId="37" fontId="82" fillId="27" borderId="2" xfId="0" applyNumberFormat="1" applyFont="1" applyFill="1" applyBorder="1"/>
    <xf numFmtId="176" fontId="159" fillId="27" borderId="2" xfId="0" applyNumberFormat="1" applyFont="1" applyFill="1" applyBorder="1"/>
    <xf numFmtId="0" fontId="159" fillId="27" borderId="2" xfId="0" applyNumberFormat="1" applyFont="1" applyFill="1" applyBorder="1"/>
    <xf numFmtId="182" fontId="93" fillId="27" borderId="2" xfId="0" applyNumberFormat="1" applyFont="1" applyFill="1" applyBorder="1"/>
    <xf numFmtId="38" fontId="159" fillId="27" borderId="2" xfId="0" applyNumberFormat="1" applyFont="1" applyFill="1" applyBorder="1"/>
    <xf numFmtId="38" fontId="93" fillId="27" borderId="2" xfId="0" applyNumberFormat="1" applyFont="1" applyFill="1" applyBorder="1"/>
    <xf numFmtId="0" fontId="0" fillId="27" borderId="0" xfId="0" applyNumberFormat="1" applyFill="1"/>
    <xf numFmtId="37" fontId="93" fillId="28" borderId="2" xfId="0" applyNumberFormat="1" applyFont="1" applyFill="1" applyBorder="1"/>
    <xf numFmtId="37" fontId="82" fillId="28" borderId="2" xfId="0" applyNumberFormat="1" applyFont="1" applyFill="1" applyBorder="1"/>
    <xf numFmtId="176" fontId="159" fillId="28" borderId="2" xfId="0" applyNumberFormat="1" applyFont="1" applyFill="1" applyBorder="1"/>
    <xf numFmtId="0" fontId="159" fillId="28" borderId="2" xfId="0" applyNumberFormat="1" applyFont="1" applyFill="1" applyBorder="1"/>
    <xf numFmtId="182" fontId="93" fillId="28" borderId="2" xfId="0" applyNumberFormat="1" applyFont="1" applyFill="1" applyBorder="1"/>
    <xf numFmtId="38" fontId="159" fillId="28" borderId="2" xfId="0" applyNumberFormat="1" applyFont="1" applyFill="1" applyBorder="1"/>
    <xf numFmtId="38" fontId="93" fillId="28" borderId="2" xfId="0" applyNumberFormat="1" applyFont="1" applyFill="1" applyBorder="1"/>
    <xf numFmtId="0" fontId="0" fillId="28" borderId="0" xfId="0" applyNumberFormat="1" applyFill="1"/>
    <xf numFmtId="6" fontId="15" fillId="29" borderId="9" xfId="0" applyNumberFormat="1" applyFont="1" applyFill="1" applyBorder="1"/>
    <xf numFmtId="0" fontId="4" fillId="8" borderId="0" xfId="0" applyNumberFormat="1" applyFont="1" applyFill="1"/>
    <xf numFmtId="0" fontId="93" fillId="7" borderId="0" xfId="0" applyNumberFormat="1" applyFont="1" applyFill="1" applyAlignment="1">
      <alignment horizontal="center"/>
    </xf>
    <xf numFmtId="37" fontId="1" fillId="5" borderId="0" xfId="0" applyNumberFormat="1" applyFont="1" applyFill="1"/>
    <xf numFmtId="37" fontId="1" fillId="5" borderId="0" xfId="0" applyNumberFormat="1" applyFont="1" applyFill="1" applyBorder="1" applyAlignment="1">
      <alignment horizontal="right"/>
    </xf>
    <xf numFmtId="37" fontId="4" fillId="5" borderId="0" xfId="0" applyNumberFormat="1" applyFont="1" applyFill="1"/>
    <xf numFmtId="37" fontId="4" fillId="5" borderId="0" xfId="0" applyNumberFormat="1" applyFont="1" applyFill="1" applyBorder="1"/>
    <xf numFmtId="37" fontId="1" fillId="5" borderId="0" xfId="0" applyNumberFormat="1" applyFont="1" applyFill="1" applyAlignment="1">
      <alignment horizontal="right"/>
    </xf>
    <xf numFmtId="37" fontId="4" fillId="8" borderId="98" xfId="0" applyNumberFormat="1" applyFont="1" applyFill="1" applyBorder="1"/>
    <xf numFmtId="0" fontId="4" fillId="8" borderId="98" xfId="0" applyNumberFormat="1" applyFont="1" applyFill="1" applyBorder="1"/>
    <xf numFmtId="37" fontId="4" fillId="8" borderId="31" xfId="0" applyNumberFormat="1" applyFont="1" applyFill="1" applyBorder="1"/>
    <xf numFmtId="38" fontId="4" fillId="8" borderId="31" xfId="0" applyNumberFormat="1" applyFont="1" applyFill="1" applyBorder="1"/>
    <xf numFmtId="38" fontId="4" fillId="8" borderId="54" xfId="0" applyNumberFormat="1" applyFont="1" applyFill="1" applyBorder="1"/>
    <xf numFmtId="37" fontId="4" fillId="8" borderId="64" xfId="0" applyNumberFormat="1" applyFont="1" applyFill="1" applyBorder="1"/>
    <xf numFmtId="38" fontId="4" fillId="8" borderId="99" xfId="0" applyNumberFormat="1" applyFont="1" applyFill="1" applyBorder="1"/>
    <xf numFmtId="0" fontId="128" fillId="8" borderId="0" xfId="0" applyNumberFormat="1" applyFont="1" applyFill="1"/>
    <xf numFmtId="37" fontId="128" fillId="8" borderId="2" xfId="0" applyNumberFormat="1" applyFont="1" applyFill="1" applyBorder="1"/>
    <xf numFmtId="168" fontId="128" fillId="8" borderId="2" xfId="0" applyNumberFormat="1" applyFont="1" applyFill="1" applyBorder="1"/>
    <xf numFmtId="0" fontId="128" fillId="8" borderId="0" xfId="0" applyNumberFormat="1" applyFont="1" applyFill="1" applyAlignment="1">
      <alignment horizontal="center"/>
    </xf>
    <xf numFmtId="40" fontId="128" fillId="8" borderId="2" xfId="0" applyNumberFormat="1" applyFont="1" applyFill="1" applyBorder="1"/>
    <xf numFmtId="38" fontId="128" fillId="8" borderId="9" xfId="0" applyNumberFormat="1" applyFont="1" applyFill="1" applyBorder="1"/>
    <xf numFmtId="38" fontId="128" fillId="8" borderId="0" xfId="0" applyNumberFormat="1" applyFont="1" applyFill="1"/>
    <xf numFmtId="38" fontId="128" fillId="8" borderId="8" xfId="0" applyNumberFormat="1" applyFont="1" applyFill="1" applyBorder="1"/>
    <xf numFmtId="38" fontId="112" fillId="8" borderId="0" xfId="0" applyNumberFormat="1" applyFont="1" applyFill="1" applyBorder="1"/>
    <xf numFmtId="37" fontId="128" fillId="8" borderId="0" xfId="0" applyNumberFormat="1" applyFont="1" applyFill="1" applyBorder="1"/>
    <xf numFmtId="176" fontId="128" fillId="8" borderId="0" xfId="0" applyNumberFormat="1" applyFont="1" applyFill="1" applyBorder="1"/>
    <xf numFmtId="40" fontId="128" fillId="8" borderId="0" xfId="0" applyNumberFormat="1" applyFont="1" applyFill="1" applyBorder="1"/>
    <xf numFmtId="38" fontId="128" fillId="26" borderId="0" xfId="0" applyNumberFormat="1" applyFont="1" applyFill="1" applyBorder="1"/>
    <xf numFmtId="38" fontId="128" fillId="26" borderId="2" xfId="0" applyNumberFormat="1" applyFont="1" applyFill="1" applyBorder="1"/>
    <xf numFmtId="37" fontId="128" fillId="26" borderId="2" xfId="0" applyNumberFormat="1" applyFont="1" applyFill="1" applyBorder="1"/>
    <xf numFmtId="176" fontId="128" fillId="26" borderId="2" xfId="0" applyNumberFormat="1" applyFont="1" applyFill="1" applyBorder="1"/>
    <xf numFmtId="176" fontId="128" fillId="26" borderId="0" xfId="0" applyNumberFormat="1" applyFont="1" applyFill="1" applyBorder="1"/>
    <xf numFmtId="38" fontId="128" fillId="26" borderId="0" xfId="0" applyNumberFormat="1" applyFont="1" applyFill="1"/>
    <xf numFmtId="38" fontId="112" fillId="27" borderId="0" xfId="0" applyNumberFormat="1" applyFont="1" applyFill="1" applyBorder="1"/>
    <xf numFmtId="38" fontId="128" fillId="27" borderId="0" xfId="0" applyNumberFormat="1" applyFont="1" applyFill="1" applyBorder="1"/>
    <xf numFmtId="38" fontId="128" fillId="27" borderId="2" xfId="0" applyNumberFormat="1" applyFont="1" applyFill="1" applyBorder="1"/>
    <xf numFmtId="37" fontId="128" fillId="27" borderId="2" xfId="0" applyNumberFormat="1" applyFont="1" applyFill="1" applyBorder="1"/>
    <xf numFmtId="37" fontId="128" fillId="27" borderId="0" xfId="0" applyNumberFormat="1" applyFont="1" applyFill="1" applyBorder="1"/>
    <xf numFmtId="176" fontId="128" fillId="27" borderId="2" xfId="0" applyNumberFormat="1" applyFont="1" applyFill="1" applyBorder="1"/>
    <xf numFmtId="176" fontId="128" fillId="27" borderId="0" xfId="0" applyNumberFormat="1" applyFont="1" applyFill="1" applyBorder="1"/>
    <xf numFmtId="40" fontId="128" fillId="27" borderId="2" xfId="0" applyNumberFormat="1" applyFont="1" applyFill="1" applyBorder="1"/>
    <xf numFmtId="40" fontId="128" fillId="27" borderId="0" xfId="0" applyNumberFormat="1" applyFont="1" applyFill="1" applyBorder="1"/>
    <xf numFmtId="0" fontId="128" fillId="27" borderId="0" xfId="0" applyNumberFormat="1" applyFont="1" applyFill="1"/>
    <xf numFmtId="38" fontId="128" fillId="27" borderId="9" xfId="0" applyNumberFormat="1" applyFont="1" applyFill="1" applyBorder="1"/>
    <xf numFmtId="38" fontId="128" fillId="27" borderId="0" xfId="0" applyNumberFormat="1" applyFont="1" applyFill="1"/>
    <xf numFmtId="38" fontId="128" fillId="27" borderId="8" xfId="0" applyNumberFormat="1" applyFont="1" applyFill="1" applyBorder="1"/>
    <xf numFmtId="168" fontId="128" fillId="27" borderId="2" xfId="0" applyNumberFormat="1" applyFont="1" applyFill="1" applyBorder="1"/>
    <xf numFmtId="0" fontId="128" fillId="27" borderId="0" xfId="0" applyNumberFormat="1" applyFont="1" applyFill="1" applyAlignment="1">
      <alignment horizontal="center"/>
    </xf>
    <xf numFmtId="38" fontId="112" fillId="28" borderId="0" xfId="0" applyNumberFormat="1" applyFont="1" applyFill="1" applyBorder="1"/>
    <xf numFmtId="38" fontId="128" fillId="28" borderId="0" xfId="0" applyNumberFormat="1" applyFont="1" applyFill="1" applyBorder="1"/>
    <xf numFmtId="38" fontId="128" fillId="28" borderId="2" xfId="0" applyNumberFormat="1" applyFont="1" applyFill="1" applyBorder="1"/>
    <xf numFmtId="37" fontId="128" fillId="28" borderId="2" xfId="0" applyNumberFormat="1" applyFont="1" applyFill="1" applyBorder="1"/>
    <xf numFmtId="37" fontId="128" fillId="28" borderId="0" xfId="0" applyNumberFormat="1" applyFont="1" applyFill="1" applyBorder="1"/>
    <xf numFmtId="176" fontId="128" fillId="28" borderId="2" xfId="0" applyNumberFormat="1" applyFont="1" applyFill="1" applyBorder="1"/>
    <xf numFmtId="176" fontId="128" fillId="28" borderId="0" xfId="0" applyNumberFormat="1" applyFont="1" applyFill="1" applyBorder="1"/>
    <xf numFmtId="40" fontId="128" fillId="28" borderId="2" xfId="0" applyNumberFormat="1" applyFont="1" applyFill="1" applyBorder="1"/>
    <xf numFmtId="40" fontId="128" fillId="28" borderId="0" xfId="0" applyNumberFormat="1" applyFont="1" applyFill="1" applyBorder="1"/>
    <xf numFmtId="0" fontId="128" fillId="28" borderId="0" xfId="0" applyNumberFormat="1" applyFont="1" applyFill="1"/>
    <xf numFmtId="38" fontId="128" fillId="28" borderId="9" xfId="0" applyNumberFormat="1" applyFont="1" applyFill="1" applyBorder="1"/>
    <xf numFmtId="38" fontId="128" fillId="28" borderId="0" xfId="0" applyNumberFormat="1" applyFont="1" applyFill="1"/>
    <xf numFmtId="38" fontId="128" fillId="28" borderId="8" xfId="0" applyNumberFormat="1" applyFont="1" applyFill="1" applyBorder="1"/>
    <xf numFmtId="38" fontId="134" fillId="26" borderId="2" xfId="0" applyNumberFormat="1" applyFont="1" applyFill="1" applyBorder="1"/>
    <xf numFmtId="38" fontId="134" fillId="27" borderId="0" xfId="0" applyNumberFormat="1" applyFont="1" applyFill="1" applyBorder="1"/>
    <xf numFmtId="38" fontId="134" fillId="27" borderId="2" xfId="0" applyNumberFormat="1" applyFont="1" applyFill="1" applyBorder="1"/>
    <xf numFmtId="37" fontId="134" fillId="27" borderId="2" xfId="0" applyNumberFormat="1" applyFont="1" applyFill="1" applyBorder="1"/>
    <xf numFmtId="37" fontId="134" fillId="27" borderId="0" xfId="0" applyNumberFormat="1" applyFont="1" applyFill="1" applyBorder="1"/>
    <xf numFmtId="176" fontId="134" fillId="27" borderId="2" xfId="0" applyNumberFormat="1" applyFont="1" applyFill="1" applyBorder="1"/>
    <xf numFmtId="176" fontId="134" fillId="27" borderId="0" xfId="0" applyNumberFormat="1" applyFont="1" applyFill="1" applyBorder="1"/>
    <xf numFmtId="40" fontId="134" fillId="27" borderId="2" xfId="0" applyNumberFormat="1" applyFont="1" applyFill="1" applyBorder="1"/>
    <xf numFmtId="40" fontId="134" fillId="27" borderId="0" xfId="0" applyNumberFormat="1" applyFont="1" applyFill="1" applyBorder="1"/>
    <xf numFmtId="0" fontId="134" fillId="27" borderId="0" xfId="0" applyNumberFormat="1" applyFont="1" applyFill="1"/>
    <xf numFmtId="38" fontId="134" fillId="27" borderId="9" xfId="0" applyNumberFormat="1" applyFont="1" applyFill="1" applyBorder="1"/>
    <xf numFmtId="38" fontId="134" fillId="27" borderId="0" xfId="0" applyNumberFormat="1" applyFont="1" applyFill="1"/>
    <xf numFmtId="38" fontId="134" fillId="27" borderId="8" xfId="0" applyNumberFormat="1" applyFont="1" applyFill="1" applyBorder="1"/>
    <xf numFmtId="38" fontId="134" fillId="28" borderId="0" xfId="0" applyNumberFormat="1" applyFont="1" applyFill="1" applyBorder="1"/>
    <xf numFmtId="38" fontId="134" fillId="28" borderId="2" xfId="0" applyNumberFormat="1" applyFont="1" applyFill="1" applyBorder="1"/>
    <xf numFmtId="37" fontId="134" fillId="28" borderId="2" xfId="0" applyNumberFormat="1" applyFont="1" applyFill="1" applyBorder="1"/>
    <xf numFmtId="37" fontId="134" fillId="28" borderId="0" xfId="0" applyNumberFormat="1" applyFont="1" applyFill="1" applyBorder="1"/>
    <xf numFmtId="176" fontId="134" fillId="28" borderId="2" xfId="0" applyNumberFormat="1" applyFont="1" applyFill="1" applyBorder="1"/>
    <xf numFmtId="176" fontId="134" fillId="28" borderId="0" xfId="0" applyNumberFormat="1" applyFont="1" applyFill="1" applyBorder="1"/>
    <xf numFmtId="40" fontId="134" fillId="28" borderId="2" xfId="0" applyNumberFormat="1" applyFont="1" applyFill="1" applyBorder="1"/>
    <xf numFmtId="40" fontId="134" fillId="28" borderId="0" xfId="0" applyNumberFormat="1" applyFont="1" applyFill="1" applyBorder="1"/>
    <xf numFmtId="0" fontId="134" fillId="28" borderId="0" xfId="0" applyNumberFormat="1" applyFont="1" applyFill="1"/>
    <xf numFmtId="38" fontId="134" fillId="28" borderId="9" xfId="0" applyNumberFormat="1" applyFont="1" applyFill="1" applyBorder="1"/>
    <xf numFmtId="38" fontId="134" fillId="28" borderId="0" xfId="0" applyNumberFormat="1" applyFont="1" applyFill="1"/>
    <xf numFmtId="38" fontId="134" fillId="28" borderId="8" xfId="0" applyNumberFormat="1" applyFont="1" applyFill="1" applyBorder="1"/>
    <xf numFmtId="37" fontId="4" fillId="8" borderId="98" xfId="0" applyNumberFormat="1" applyFont="1" applyFill="1" applyBorder="1" applyAlignment="1">
      <alignment horizontal="right"/>
    </xf>
    <xf numFmtId="37" fontId="4" fillId="8" borderId="100" xfId="0" applyNumberFormat="1" applyFont="1" applyFill="1" applyBorder="1" applyAlignment="1">
      <alignment horizontal="right"/>
    </xf>
    <xf numFmtId="37" fontId="4" fillId="8" borderId="101" xfId="0" applyNumberFormat="1" applyFont="1" applyFill="1" applyBorder="1" applyAlignment="1">
      <alignment horizontal="right"/>
    </xf>
    <xf numFmtId="38" fontId="4" fillId="2" borderId="102" xfId="0" applyNumberFormat="1" applyFont="1" applyBorder="1"/>
    <xf numFmtId="37" fontId="1" fillId="30" borderId="0" xfId="0" applyNumberFormat="1" applyFont="1" applyFill="1" applyAlignment="1">
      <alignment horizontal="right"/>
    </xf>
    <xf numFmtId="0" fontId="161" fillId="5" borderId="103" xfId="0" applyFont="1" applyFill="1" applyBorder="1" applyAlignment="1">
      <alignment horizontal="left" vertical="center" indent="1"/>
    </xf>
    <xf numFmtId="0" fontId="161" fillId="6" borderId="103" xfId="0" applyFont="1" applyFill="1" applyBorder="1" applyAlignment="1">
      <alignment horizontal="left" vertical="center" indent="1"/>
    </xf>
    <xf numFmtId="0" fontId="161" fillId="5" borderId="104" xfId="0" applyFont="1" applyFill="1" applyBorder="1" applyAlignment="1">
      <alignment horizontal="left" vertical="center" indent="1"/>
    </xf>
    <xf numFmtId="0" fontId="106" fillId="2" borderId="0" xfId="0" applyFont="1"/>
    <xf numFmtId="38" fontId="161" fillId="5" borderId="105" xfId="0" applyNumberFormat="1" applyFont="1" applyFill="1" applyBorder="1" applyAlignment="1">
      <alignment horizontal="right" vertical="center"/>
    </xf>
    <xf numFmtId="38" fontId="161" fillId="6" borderId="105" xfId="0" applyNumberFormat="1" applyFont="1" applyFill="1" applyBorder="1" applyAlignment="1">
      <alignment horizontal="right" vertical="center"/>
    </xf>
    <xf numFmtId="38" fontId="161" fillId="5" borderId="106" xfId="0" applyNumberFormat="1" applyFont="1" applyFill="1" applyBorder="1" applyAlignment="1">
      <alignment horizontal="right" vertical="center"/>
    </xf>
    <xf numFmtId="38" fontId="106" fillId="2" borderId="0" xfId="0" applyNumberFormat="1" applyFont="1"/>
    <xf numFmtId="0" fontId="0" fillId="2" borderId="11" xfId="0" applyNumberFormat="1" applyBorder="1" applyAlignment="1">
      <alignment horizontal="center"/>
    </xf>
    <xf numFmtId="0" fontId="0" fillId="2" borderId="4" xfId="0" applyNumberFormat="1" applyBorder="1" applyAlignment="1">
      <alignment horizontal="center"/>
    </xf>
    <xf numFmtId="0" fontId="1" fillId="2" borderId="12" xfId="0" applyNumberFormat="1" applyFont="1" applyBorder="1" applyAlignment="1">
      <alignment horizontal="center"/>
    </xf>
    <xf numFmtId="38" fontId="119" fillId="2" borderId="9" xfId="0" applyNumberFormat="1" applyFont="1" applyBorder="1" applyProtection="1"/>
    <xf numFmtId="0" fontId="162" fillId="14" borderId="47" xfId="0" applyNumberFormat="1" applyFont="1" applyFill="1" applyBorder="1" applyAlignment="1">
      <alignment horizontal="center"/>
    </xf>
    <xf numFmtId="0" fontId="162" fillId="14" borderId="21" xfId="0" applyNumberFormat="1" applyFont="1" applyFill="1" applyBorder="1"/>
    <xf numFmtId="0" fontId="162" fillId="14" borderId="36" xfId="0" applyNumberFormat="1" applyFont="1" applyFill="1" applyBorder="1" applyAlignment="1">
      <alignment horizontal="center"/>
    </xf>
    <xf numFmtId="0" fontId="162" fillId="14" borderId="13" xfId="0" applyNumberFormat="1" applyFont="1" applyFill="1" applyBorder="1"/>
    <xf numFmtId="38" fontId="125" fillId="2" borderId="9" xfId="0" applyNumberFormat="1" applyFont="1" applyBorder="1" applyAlignment="1">
      <alignment horizontal="right"/>
    </xf>
    <xf numFmtId="0" fontId="125" fillId="5" borderId="13" xfId="0" applyNumberFormat="1" applyFont="1" applyFill="1" applyBorder="1"/>
    <xf numFmtId="38" fontId="125" fillId="2" borderId="47" xfId="0" applyNumberFormat="1" applyFont="1" applyBorder="1" applyAlignment="1">
      <alignment horizontal="right"/>
    </xf>
    <xf numFmtId="0" fontId="125" fillId="5" borderId="0" xfId="0" applyNumberFormat="1" applyFont="1" applyFill="1" applyBorder="1"/>
    <xf numFmtId="0" fontId="125" fillId="2" borderId="9" xfId="0" applyNumberFormat="1" applyFont="1" applyBorder="1"/>
    <xf numFmtId="0" fontId="68" fillId="8" borderId="9" xfId="0" applyNumberFormat="1" applyFont="1" applyFill="1" applyBorder="1" applyAlignment="1">
      <alignment horizontal="center"/>
    </xf>
    <xf numFmtId="177" fontId="146" fillId="5" borderId="0" xfId="0" applyNumberFormat="1" applyFont="1" applyFill="1" applyBorder="1" applyAlignment="1" applyProtection="1">
      <protection locked="0"/>
    </xf>
    <xf numFmtId="177" fontId="146" fillId="5" borderId="0" xfId="0" applyNumberFormat="1" applyFont="1" applyFill="1" applyBorder="1" applyAlignment="1"/>
    <xf numFmtId="38" fontId="146" fillId="5" borderId="0" xfId="0" applyNumberFormat="1" applyFont="1" applyFill="1" applyBorder="1" applyAlignment="1" applyProtection="1">
      <protection locked="0"/>
    </xf>
    <xf numFmtId="176" fontId="146" fillId="5" borderId="0" xfId="0" applyNumberFormat="1" applyFont="1" applyFill="1" applyBorder="1" applyAlignment="1" applyProtection="1">
      <protection locked="0"/>
    </xf>
    <xf numFmtId="38" fontId="146" fillId="5" borderId="0" xfId="0" applyNumberFormat="1" applyFont="1" applyFill="1" applyBorder="1" applyAlignment="1" applyProtection="1">
      <alignment horizontal="center"/>
      <protection locked="0"/>
    </xf>
    <xf numFmtId="0" fontId="147" fillId="5" borderId="0" xfId="0" applyNumberFormat="1" applyFont="1" applyFill="1"/>
    <xf numFmtId="176" fontId="146" fillId="5" borderId="0" xfId="0" applyNumberFormat="1" applyFont="1" applyFill="1" applyBorder="1" applyProtection="1"/>
    <xf numFmtId="37" fontId="146" fillId="5" borderId="0" xfId="0" applyNumberFormat="1" applyFont="1" applyFill="1" applyBorder="1" applyAlignment="1" applyProtection="1">
      <alignment horizontal="center"/>
      <protection locked="0"/>
    </xf>
    <xf numFmtId="177" fontId="146" fillId="5" borderId="0" xfId="0" applyNumberFormat="1" applyFont="1" applyFill="1" applyBorder="1" applyAlignment="1">
      <alignment horizontal="right"/>
    </xf>
    <xf numFmtId="38" fontId="163" fillId="0" borderId="36" xfId="0" applyNumberFormat="1" applyFont="1" applyFill="1" applyBorder="1" applyAlignment="1" applyProtection="1">
      <alignment horizontal="center"/>
      <protection locked="0"/>
    </xf>
    <xf numFmtId="0" fontId="164" fillId="2" borderId="0" xfId="0" applyNumberFormat="1" applyFont="1"/>
    <xf numFmtId="0" fontId="164" fillId="2" borderId="0" xfId="0" applyNumberFormat="1" applyFont="1" applyAlignment="1">
      <alignment horizontal="center"/>
    </xf>
    <xf numFmtId="176" fontId="164" fillId="2" borderId="2" xfId="0" applyNumberFormat="1" applyFont="1" applyBorder="1"/>
    <xf numFmtId="177" fontId="164" fillId="0" borderId="2" xfId="0" applyNumberFormat="1" applyFont="1" applyFill="1" applyBorder="1"/>
    <xf numFmtId="0" fontId="164" fillId="2" borderId="0" xfId="0" applyNumberFormat="1" applyFont="1" applyBorder="1"/>
    <xf numFmtId="0" fontId="164" fillId="2" borderId="2" xfId="0" applyNumberFormat="1" applyFont="1" applyBorder="1"/>
    <xf numFmtId="37" fontId="164" fillId="2" borderId="2" xfId="0" applyNumberFormat="1" applyFont="1" applyBorder="1"/>
    <xf numFmtId="164" fontId="163" fillId="2" borderId="2" xfId="0" applyNumberFormat="1" applyFont="1" applyBorder="1"/>
    <xf numFmtId="168" fontId="164" fillId="2" borderId="2" xfId="0" applyNumberFormat="1" applyFont="1" applyBorder="1"/>
    <xf numFmtId="168" fontId="164" fillId="11" borderId="2" xfId="0" applyNumberFormat="1" applyFont="1" applyFill="1" applyBorder="1"/>
    <xf numFmtId="38" fontId="164" fillId="2" borderId="2" xfId="0" applyNumberFormat="1" applyFont="1" applyBorder="1"/>
    <xf numFmtId="38" fontId="164" fillId="2" borderId="9" xfId="0" applyNumberFormat="1" applyFont="1" applyBorder="1"/>
    <xf numFmtId="38" fontId="164" fillId="2" borderId="0" xfId="0" applyNumberFormat="1" applyFont="1"/>
    <xf numFmtId="0" fontId="164" fillId="2" borderId="0" xfId="0" applyNumberFormat="1" applyFont="1" applyAlignment="1">
      <alignment horizontal="right"/>
    </xf>
    <xf numFmtId="171" fontId="164" fillId="2" borderId="0" xfId="0" applyNumberFormat="1" applyFont="1" applyAlignment="1">
      <alignment horizontal="right"/>
    </xf>
    <xf numFmtId="39" fontId="164" fillId="2" borderId="0" xfId="0" applyNumberFormat="1" applyFont="1" applyAlignment="1">
      <alignment horizontal="right"/>
    </xf>
    <xf numFmtId="38" fontId="164" fillId="5" borderId="0" xfId="0" applyNumberFormat="1" applyFont="1" applyFill="1" applyBorder="1" applyAlignment="1">
      <alignment horizontal="center"/>
    </xf>
    <xf numFmtId="0" fontId="164" fillId="5" borderId="0" xfId="0" applyNumberFormat="1" applyFont="1" applyFill="1" applyBorder="1"/>
    <xf numFmtId="0" fontId="147" fillId="19" borderId="2" xfId="0" applyNumberFormat="1" applyFont="1" applyFill="1" applyBorder="1" applyAlignment="1">
      <alignment horizontal="center"/>
    </xf>
    <xf numFmtId="0" fontId="143" fillId="20" borderId="0" xfId="0" applyNumberFormat="1" applyFont="1" applyFill="1"/>
    <xf numFmtId="0" fontId="0" fillId="20" borderId="0" xfId="0" applyNumberFormat="1" applyFill="1"/>
    <xf numFmtId="0" fontId="143" fillId="20" borderId="0" xfId="0" applyNumberFormat="1" applyFont="1" applyFill="1" applyAlignment="1">
      <alignment horizontal="right"/>
    </xf>
    <xf numFmtId="38" fontId="164" fillId="12" borderId="94" xfId="0" applyNumberFormat="1" applyFont="1" applyFill="1" applyBorder="1"/>
    <xf numFmtId="37" fontId="164" fillId="20" borderId="2" xfId="0" applyNumberFormat="1" applyFont="1" applyFill="1" applyBorder="1"/>
    <xf numFmtId="176" fontId="164" fillId="20" borderId="2" xfId="0" applyNumberFormat="1" applyFont="1" applyFill="1" applyBorder="1"/>
    <xf numFmtId="0" fontId="164" fillId="20" borderId="2" xfId="0" applyNumberFormat="1" applyFont="1" applyFill="1" applyBorder="1"/>
    <xf numFmtId="182" fontId="164" fillId="20" borderId="2" xfId="0" applyNumberFormat="1" applyFont="1" applyFill="1" applyBorder="1"/>
    <xf numFmtId="38" fontId="164" fillId="20" borderId="2" xfId="0" applyNumberFormat="1" applyFont="1" applyFill="1" applyBorder="1"/>
    <xf numFmtId="0" fontId="164" fillId="20" borderId="0" xfId="0" applyNumberFormat="1" applyFont="1" applyFill="1"/>
    <xf numFmtId="0" fontId="164" fillId="20" borderId="0" xfId="0" applyNumberFormat="1" applyFont="1" applyFill="1" applyAlignment="1">
      <alignment horizontal="right"/>
    </xf>
    <xf numFmtId="38" fontId="164" fillId="20" borderId="0" xfId="0" applyNumberFormat="1" applyFont="1" applyFill="1"/>
    <xf numFmtId="182" fontId="164" fillId="20" borderId="0" xfId="0" applyNumberFormat="1" applyFont="1" applyFill="1"/>
    <xf numFmtId="0" fontId="165" fillId="2" borderId="0" xfId="0" applyNumberFormat="1" applyFont="1"/>
    <xf numFmtId="176" fontId="164" fillId="5" borderId="9" xfId="0" applyNumberFormat="1" applyFont="1" applyFill="1" applyBorder="1"/>
    <xf numFmtId="0" fontId="134" fillId="2" borderId="0" xfId="0" applyNumberFormat="1" applyFont="1" applyAlignment="1">
      <alignment horizontal="center"/>
    </xf>
    <xf numFmtId="185" fontId="15" fillId="5" borderId="47" xfId="0" applyNumberFormat="1" applyFont="1" applyFill="1" applyBorder="1"/>
    <xf numFmtId="185" fontId="15" fillId="5" borderId="36" xfId="0" applyNumberFormat="1" applyFont="1" applyFill="1" applyBorder="1"/>
    <xf numFmtId="185" fontId="15" fillId="5" borderId="9" xfId="0" applyNumberFormat="1" applyFont="1" applyFill="1" applyBorder="1"/>
    <xf numFmtId="0" fontId="134" fillId="20" borderId="0" xfId="0" applyNumberFormat="1" applyFont="1" applyFill="1"/>
    <xf numFmtId="0" fontId="134" fillId="20" borderId="0" xfId="0" applyNumberFormat="1" applyFont="1" applyFill="1" applyAlignment="1">
      <alignment horizontal="center"/>
    </xf>
    <xf numFmtId="38" fontId="134" fillId="20" borderId="0" xfId="0" quotePrefix="1" applyNumberFormat="1" applyFont="1" applyFill="1" applyAlignment="1">
      <alignment horizontal="center"/>
    </xf>
    <xf numFmtId="0" fontId="134" fillId="20" borderId="0" xfId="0" quotePrefix="1" applyNumberFormat="1" applyFont="1" applyFill="1" applyAlignment="1">
      <alignment horizontal="center"/>
    </xf>
    <xf numFmtId="37" fontId="134" fillId="20" borderId="2" xfId="0" applyNumberFormat="1" applyFont="1" applyFill="1" applyBorder="1"/>
    <xf numFmtId="37" fontId="134" fillId="20" borderId="0" xfId="0" applyNumberFormat="1" applyFont="1" applyFill="1" applyBorder="1"/>
    <xf numFmtId="176" fontId="134" fillId="20" borderId="2" xfId="0" applyNumberFormat="1" applyFont="1" applyFill="1" applyBorder="1"/>
    <xf numFmtId="176" fontId="134" fillId="20" borderId="0" xfId="0" applyNumberFormat="1" applyFont="1" applyFill="1" applyBorder="1"/>
    <xf numFmtId="37" fontId="134" fillId="20" borderId="0" xfId="0" applyNumberFormat="1" applyFont="1" applyFill="1" applyBorder="1" applyAlignment="1">
      <alignment horizontal="center"/>
    </xf>
    <xf numFmtId="37" fontId="134" fillId="20" borderId="2" xfId="0" applyNumberFormat="1" applyFont="1" applyFill="1" applyBorder="1" applyAlignment="1">
      <alignment horizontal="center"/>
    </xf>
    <xf numFmtId="168" fontId="134" fillId="20" borderId="2" xfId="0" applyNumberFormat="1" applyFont="1" applyFill="1" applyBorder="1"/>
    <xf numFmtId="168" fontId="134" fillId="20" borderId="0" xfId="0" applyNumberFormat="1" applyFont="1" applyFill="1" applyBorder="1"/>
    <xf numFmtId="38" fontId="134" fillId="20" borderId="2" xfId="0" applyNumberFormat="1" applyFont="1" applyFill="1" applyBorder="1"/>
    <xf numFmtId="38" fontId="134" fillId="20" borderId="0" xfId="0" applyNumberFormat="1" applyFont="1" applyFill="1" applyBorder="1"/>
    <xf numFmtId="40" fontId="134" fillId="20" borderId="2" xfId="0" applyNumberFormat="1" applyFont="1" applyFill="1" applyBorder="1"/>
    <xf numFmtId="40" fontId="134" fillId="20" borderId="0" xfId="0" applyNumberFormat="1" applyFont="1" applyFill="1" applyBorder="1"/>
    <xf numFmtId="38" fontId="134" fillId="20" borderId="9" xfId="0" applyNumberFormat="1" applyFont="1" applyFill="1" applyBorder="1"/>
    <xf numFmtId="38" fontId="134" fillId="20" borderId="0" xfId="0" applyNumberFormat="1" applyFont="1" applyFill="1"/>
    <xf numFmtId="38" fontId="134" fillId="20" borderId="8" xfId="0" applyNumberFormat="1" applyFont="1" applyFill="1" applyBorder="1"/>
    <xf numFmtId="38" fontId="134" fillId="20" borderId="9" xfId="0" applyNumberFormat="1" applyFont="1" applyFill="1" applyBorder="1" applyAlignment="1" applyProtection="1">
      <alignment horizontal="center"/>
      <protection locked="0"/>
    </xf>
    <xf numFmtId="38" fontId="134" fillId="20" borderId="9" xfId="0" applyNumberFormat="1" applyFont="1" applyFill="1" applyBorder="1" applyAlignment="1">
      <alignment horizontal="center"/>
    </xf>
    <xf numFmtId="0" fontId="134" fillId="20" borderId="0" xfId="0" quotePrefix="1" applyNumberFormat="1" applyFont="1" applyFill="1"/>
    <xf numFmtId="168" fontId="134" fillId="2" borderId="2" xfId="0" applyNumberFormat="1" applyFont="1" applyBorder="1"/>
    <xf numFmtId="38" fontId="134" fillId="19" borderId="0" xfId="0" applyNumberFormat="1" applyFont="1" applyFill="1"/>
    <xf numFmtId="0" fontId="143" fillId="8" borderId="0" xfId="0" applyNumberFormat="1" applyFont="1" applyFill="1"/>
    <xf numFmtId="0" fontId="143" fillId="8" borderId="0" xfId="0" applyNumberFormat="1" applyFont="1" applyFill="1" applyAlignment="1">
      <alignment horizontal="center"/>
    </xf>
    <xf numFmtId="38" fontId="143" fillId="8" borderId="0" xfId="0" quotePrefix="1" applyNumberFormat="1" applyFont="1" applyFill="1" applyAlignment="1">
      <alignment horizontal="center"/>
    </xf>
    <xf numFmtId="0" fontId="143" fillId="8" borderId="0" xfId="0" quotePrefix="1" applyNumberFormat="1" applyFont="1" applyFill="1" applyAlignment="1">
      <alignment horizontal="center"/>
    </xf>
    <xf numFmtId="37" fontId="143" fillId="8" borderId="2" xfId="0" applyNumberFormat="1" applyFont="1" applyFill="1" applyBorder="1"/>
    <xf numFmtId="37" fontId="143" fillId="8" borderId="0" xfId="0" applyNumberFormat="1" applyFont="1" applyFill="1" applyBorder="1"/>
    <xf numFmtId="176" fontId="143" fillId="8" borderId="2" xfId="0" applyNumberFormat="1" applyFont="1" applyFill="1" applyBorder="1"/>
    <xf numFmtId="176" fontId="143" fillId="8" borderId="0" xfId="0" applyNumberFormat="1" applyFont="1" applyFill="1" applyBorder="1"/>
    <xf numFmtId="37" fontId="143" fillId="8" borderId="0" xfId="0" applyNumberFormat="1" applyFont="1" applyFill="1" applyBorder="1" applyAlignment="1">
      <alignment horizontal="center"/>
    </xf>
    <xf numFmtId="37" fontId="143" fillId="8" borderId="2" xfId="0" applyNumberFormat="1" applyFont="1" applyFill="1" applyBorder="1" applyAlignment="1">
      <alignment horizontal="center"/>
    </xf>
    <xf numFmtId="168" fontId="143" fillId="8" borderId="2" xfId="0" applyNumberFormat="1" applyFont="1" applyFill="1" applyBorder="1"/>
    <xf numFmtId="168" fontId="143" fillId="8" borderId="0" xfId="0" applyNumberFormat="1" applyFont="1" applyFill="1" applyBorder="1"/>
    <xf numFmtId="38" fontId="143" fillId="8" borderId="2" xfId="0" applyNumberFormat="1" applyFont="1" applyFill="1" applyBorder="1"/>
    <xf numFmtId="38" fontId="143" fillId="8" borderId="0" xfId="0" applyNumberFormat="1" applyFont="1" applyFill="1" applyBorder="1"/>
    <xf numFmtId="40" fontId="143" fillId="8" borderId="2" xfId="0" applyNumberFormat="1" applyFont="1" applyFill="1" applyBorder="1"/>
    <xf numFmtId="40" fontId="143" fillId="8" borderId="0" xfId="0" applyNumberFormat="1" applyFont="1" applyFill="1" applyBorder="1"/>
    <xf numFmtId="38" fontId="143" fillId="8" borderId="9" xfId="0" applyNumberFormat="1" applyFont="1" applyFill="1" applyBorder="1"/>
    <xf numFmtId="38" fontId="143" fillId="8" borderId="0" xfId="0" applyNumberFormat="1" applyFont="1" applyFill="1"/>
    <xf numFmtId="38" fontId="143" fillId="8" borderId="8" xfId="0" applyNumberFormat="1" applyFont="1" applyFill="1" applyBorder="1"/>
    <xf numFmtId="38" fontId="143" fillId="8" borderId="9" xfId="0" applyNumberFormat="1" applyFont="1" applyFill="1" applyBorder="1" applyAlignment="1" applyProtection="1">
      <alignment horizontal="center"/>
      <protection locked="0"/>
    </xf>
    <xf numFmtId="38" fontId="143" fillId="8" borderId="9" xfId="0" applyNumberFormat="1" applyFont="1" applyFill="1" applyBorder="1" applyAlignment="1">
      <alignment horizontal="center"/>
    </xf>
    <xf numFmtId="0" fontId="143" fillId="8" borderId="0" xfId="0" quotePrefix="1" applyNumberFormat="1" applyFont="1" applyFill="1"/>
    <xf numFmtId="0" fontId="115" fillId="2" borderId="0" xfId="3" applyFont="1" applyFill="1" applyAlignment="1" applyProtection="1"/>
    <xf numFmtId="0" fontId="93" fillId="19" borderId="0" xfId="0" applyNumberFormat="1" applyFont="1" applyFill="1" applyAlignment="1">
      <alignment horizontal="center"/>
    </xf>
    <xf numFmtId="38" fontId="93" fillId="6" borderId="9" xfId="0" applyNumberFormat="1" applyFont="1" applyFill="1" applyBorder="1" applyAlignment="1" applyProtection="1">
      <alignment horizontal="center"/>
      <protection locked="0"/>
    </xf>
    <xf numFmtId="38" fontId="93" fillId="6" borderId="9" xfId="0" applyNumberFormat="1" applyFont="1" applyFill="1" applyBorder="1" applyAlignment="1">
      <alignment horizontal="center"/>
    </xf>
    <xf numFmtId="0" fontId="93" fillId="8" borderId="0" xfId="0" applyNumberFormat="1" applyFont="1" applyFill="1" applyAlignment="1">
      <alignment horizontal="center"/>
    </xf>
    <xf numFmtId="38" fontId="93" fillId="8" borderId="0" xfId="0" quotePrefix="1" applyNumberFormat="1" applyFont="1" applyFill="1" applyAlignment="1">
      <alignment horizontal="center"/>
    </xf>
    <xf numFmtId="0" fontId="93" fillId="8" borderId="0" xfId="0" quotePrefix="1" applyNumberFormat="1" applyFont="1" applyFill="1" applyAlignment="1">
      <alignment horizontal="center"/>
    </xf>
    <xf numFmtId="37" fontId="93" fillId="8" borderId="0" xfId="0" applyNumberFormat="1" applyFont="1" applyFill="1" applyBorder="1"/>
    <xf numFmtId="176" fontId="93" fillId="8" borderId="2" xfId="0" applyNumberFormat="1" applyFont="1" applyFill="1" applyBorder="1"/>
    <xf numFmtId="176" fontId="93" fillId="8" borderId="0" xfId="0" applyNumberFormat="1" applyFont="1" applyFill="1" applyBorder="1"/>
    <xf numFmtId="176" fontId="113" fillId="8" borderId="2" xfId="0" applyNumberFormat="1" applyFont="1" applyFill="1" applyBorder="1"/>
    <xf numFmtId="37" fontId="93" fillId="8" borderId="0" xfId="0" applyNumberFormat="1" applyFont="1" applyFill="1" applyBorder="1" applyAlignment="1">
      <alignment horizontal="center"/>
    </xf>
    <xf numFmtId="37" fontId="93" fillId="8" borderId="2" xfId="0" applyNumberFormat="1" applyFont="1" applyFill="1" applyBorder="1" applyAlignment="1">
      <alignment horizontal="center"/>
    </xf>
    <xf numFmtId="168" fontId="93" fillId="8" borderId="2" xfId="0" applyNumberFormat="1" applyFont="1" applyFill="1" applyBorder="1"/>
    <xf numFmtId="168" fontId="93" fillId="8" borderId="0" xfId="0" applyNumberFormat="1" applyFont="1" applyFill="1" applyBorder="1"/>
    <xf numFmtId="38" fontId="93" fillId="8" borderId="0" xfId="0" applyNumberFormat="1" applyFont="1" applyFill="1" applyBorder="1"/>
    <xf numFmtId="40" fontId="27" fillId="8" borderId="2" xfId="0" applyNumberFormat="1" applyFont="1" applyFill="1" applyBorder="1"/>
    <xf numFmtId="40" fontId="93" fillId="8" borderId="0" xfId="0" applyNumberFormat="1" applyFont="1" applyFill="1" applyBorder="1"/>
    <xf numFmtId="38" fontId="93" fillId="8" borderId="9" xfId="0" applyNumberFormat="1" applyFont="1" applyFill="1" applyBorder="1"/>
    <xf numFmtId="38" fontId="93" fillId="8" borderId="0" xfId="0" applyNumberFormat="1" applyFont="1" applyFill="1"/>
    <xf numFmtId="38" fontId="93" fillId="8" borderId="8" xfId="0" applyNumberFormat="1" applyFont="1" applyFill="1" applyBorder="1"/>
    <xf numFmtId="38" fontId="93" fillId="8" borderId="9" xfId="0" applyNumberFormat="1" applyFont="1" applyFill="1" applyBorder="1" applyAlignment="1" applyProtection="1">
      <alignment horizontal="center"/>
      <protection locked="0"/>
    </xf>
    <xf numFmtId="38" fontId="93" fillId="8" borderId="9" xfId="0" applyNumberFormat="1" applyFont="1" applyFill="1" applyBorder="1" applyAlignment="1">
      <alignment horizontal="center"/>
    </xf>
    <xf numFmtId="0" fontId="9" fillId="8" borderId="0" xfId="0" quotePrefix="1" applyNumberFormat="1" applyFont="1" applyFill="1"/>
    <xf numFmtId="38" fontId="93" fillId="8" borderId="0" xfId="0" applyNumberFormat="1" applyFont="1" applyFill="1" applyBorder="1" applyAlignment="1">
      <alignment horizontal="right"/>
    </xf>
    <xf numFmtId="0" fontId="93" fillId="24" borderId="0" xfId="0" applyNumberFormat="1" applyFont="1" applyFill="1"/>
    <xf numFmtId="0" fontId="0" fillId="24" borderId="0" xfId="0" applyNumberFormat="1" applyFill="1"/>
    <xf numFmtId="0" fontId="93" fillId="24" borderId="0" xfId="0" applyNumberFormat="1" applyFont="1" applyFill="1" applyAlignment="1">
      <alignment horizontal="center"/>
    </xf>
    <xf numFmtId="38" fontId="93" fillId="24" borderId="0" xfId="0" quotePrefix="1" applyNumberFormat="1" applyFont="1" applyFill="1" applyAlignment="1">
      <alignment horizontal="center"/>
    </xf>
    <xf numFmtId="0" fontId="93" fillId="24" borderId="0" xfId="0" quotePrefix="1" applyNumberFormat="1" applyFont="1" applyFill="1" applyAlignment="1">
      <alignment horizontal="center"/>
    </xf>
    <xf numFmtId="37" fontId="93" fillId="24" borderId="2" xfId="0" applyNumberFormat="1" applyFont="1" applyFill="1" applyBorder="1"/>
    <xf numFmtId="37" fontId="93" fillId="24" borderId="0" xfId="0" applyNumberFormat="1" applyFont="1" applyFill="1" applyBorder="1"/>
    <xf numFmtId="176" fontId="93" fillId="24" borderId="2" xfId="0" applyNumberFormat="1" applyFont="1" applyFill="1" applyBorder="1"/>
    <xf numFmtId="176" fontId="93" fillId="24" borderId="0" xfId="0" applyNumberFormat="1" applyFont="1" applyFill="1" applyBorder="1"/>
    <xf numFmtId="176" fontId="113" fillId="24" borderId="2" xfId="0" applyNumberFormat="1" applyFont="1" applyFill="1" applyBorder="1"/>
    <xf numFmtId="37" fontId="93" fillId="24" borderId="0" xfId="0" applyNumberFormat="1" applyFont="1" applyFill="1" applyBorder="1" applyAlignment="1">
      <alignment horizontal="center"/>
    </xf>
    <xf numFmtId="37" fontId="93" fillId="24" borderId="2" xfId="0" applyNumberFormat="1" applyFont="1" applyFill="1" applyBorder="1" applyAlignment="1">
      <alignment horizontal="center"/>
    </xf>
    <xf numFmtId="168" fontId="93" fillId="24" borderId="2" xfId="0" applyNumberFormat="1" applyFont="1" applyFill="1" applyBorder="1"/>
    <xf numFmtId="168" fontId="93" fillId="24" borderId="0" xfId="0" applyNumberFormat="1" applyFont="1" applyFill="1" applyBorder="1"/>
    <xf numFmtId="38" fontId="93" fillId="24" borderId="2" xfId="0" applyNumberFormat="1" applyFont="1" applyFill="1" applyBorder="1"/>
    <xf numFmtId="38" fontId="93" fillId="24" borderId="0" xfId="0" applyNumberFormat="1" applyFont="1" applyFill="1" applyBorder="1"/>
    <xf numFmtId="40" fontId="27" fillId="24" borderId="2" xfId="0" applyNumberFormat="1" applyFont="1" applyFill="1" applyBorder="1"/>
    <xf numFmtId="40" fontId="93" fillId="24" borderId="0" xfId="0" applyNumberFormat="1" applyFont="1" applyFill="1" applyBorder="1"/>
    <xf numFmtId="38" fontId="93" fillId="24" borderId="9" xfId="0" applyNumberFormat="1" applyFont="1" applyFill="1" applyBorder="1"/>
    <xf numFmtId="38" fontId="93" fillId="24" borderId="0" xfId="0" applyNumberFormat="1" applyFont="1" applyFill="1"/>
    <xf numFmtId="38" fontId="93" fillId="24" borderId="8" xfId="0" applyNumberFormat="1" applyFont="1" applyFill="1" applyBorder="1"/>
    <xf numFmtId="38" fontId="93" fillId="24" borderId="9" xfId="0" applyNumberFormat="1" applyFont="1" applyFill="1" applyBorder="1" applyAlignment="1" applyProtection="1">
      <alignment horizontal="center"/>
      <protection locked="0"/>
    </xf>
    <xf numFmtId="38" fontId="93" fillId="24" borderId="9" xfId="0" applyNumberFormat="1" applyFont="1" applyFill="1" applyBorder="1" applyAlignment="1">
      <alignment horizontal="center"/>
    </xf>
    <xf numFmtId="0" fontId="9" fillId="24" borderId="0" xfId="0" quotePrefix="1" applyNumberFormat="1" applyFont="1" applyFill="1"/>
    <xf numFmtId="38" fontId="93" fillId="24" borderId="0" xfId="0" applyNumberFormat="1" applyFont="1" applyFill="1" applyBorder="1" applyAlignment="1">
      <alignment horizontal="right"/>
    </xf>
    <xf numFmtId="0" fontId="112" fillId="2" borderId="9" xfId="0" applyNumberFormat="1" applyFont="1" applyBorder="1"/>
    <xf numFmtId="0" fontId="93" fillId="14" borderId="0" xfId="0" applyNumberFormat="1" applyFont="1" applyFill="1"/>
    <xf numFmtId="0" fontId="0" fillId="14" borderId="0" xfId="0" applyNumberFormat="1" applyFill="1"/>
    <xf numFmtId="0" fontId="93" fillId="14" borderId="0" xfId="0" applyNumberFormat="1" applyFont="1" applyFill="1" applyAlignment="1">
      <alignment horizontal="center"/>
    </xf>
    <xf numFmtId="38" fontId="93" fillId="14" borderId="0" xfId="0" quotePrefix="1" applyNumberFormat="1" applyFont="1" applyFill="1" applyAlignment="1">
      <alignment horizontal="center"/>
    </xf>
    <xf numFmtId="0" fontId="93" fillId="14" borderId="0" xfId="0" quotePrefix="1" applyNumberFormat="1" applyFont="1" applyFill="1" applyAlignment="1">
      <alignment horizontal="center"/>
    </xf>
    <xf numFmtId="37" fontId="93" fillId="14" borderId="2" xfId="0" applyNumberFormat="1" applyFont="1" applyFill="1" applyBorder="1"/>
    <xf numFmtId="37" fontId="93" fillId="14" borderId="0" xfId="0" applyNumberFormat="1" applyFont="1" applyFill="1" applyBorder="1"/>
    <xf numFmtId="176" fontId="93" fillId="14" borderId="2" xfId="0" applyNumberFormat="1" applyFont="1" applyFill="1" applyBorder="1"/>
    <xf numFmtId="176" fontId="93" fillId="14" borderId="0" xfId="0" applyNumberFormat="1" applyFont="1" applyFill="1" applyBorder="1"/>
    <xf numFmtId="176" fontId="113" fillId="14" borderId="2" xfId="0" applyNumberFormat="1" applyFont="1" applyFill="1" applyBorder="1"/>
    <xf numFmtId="37" fontId="93" fillId="14" borderId="0" xfId="0" applyNumberFormat="1" applyFont="1" applyFill="1" applyBorder="1" applyAlignment="1">
      <alignment horizontal="center"/>
    </xf>
    <xf numFmtId="37" fontId="93" fillId="14" borderId="2" xfId="0" applyNumberFormat="1" applyFont="1" applyFill="1" applyBorder="1" applyAlignment="1">
      <alignment horizontal="center"/>
    </xf>
    <xf numFmtId="168" fontId="93" fillId="14" borderId="2" xfId="0" applyNumberFormat="1" applyFont="1" applyFill="1" applyBorder="1"/>
    <xf numFmtId="168" fontId="93" fillId="14" borderId="0" xfId="0" applyNumberFormat="1" applyFont="1" applyFill="1" applyBorder="1"/>
    <xf numFmtId="38" fontId="93" fillId="14" borderId="2" xfId="0" applyNumberFormat="1" applyFont="1" applyFill="1" applyBorder="1"/>
    <xf numFmtId="38" fontId="93" fillId="14" borderId="0" xfId="0" applyNumberFormat="1" applyFont="1" applyFill="1" applyBorder="1"/>
    <xf numFmtId="40" fontId="27" fillId="14" borderId="2" xfId="0" applyNumberFormat="1" applyFont="1" applyFill="1" applyBorder="1"/>
    <xf numFmtId="40" fontId="93" fillId="14" borderId="0" xfId="0" applyNumberFormat="1" applyFont="1" applyFill="1" applyBorder="1"/>
    <xf numFmtId="38" fontId="93" fillId="14" borderId="9" xfId="0" applyNumberFormat="1" applyFont="1" applyFill="1" applyBorder="1"/>
    <xf numFmtId="38" fontId="93" fillId="14" borderId="0" xfId="0" applyNumberFormat="1" applyFont="1" applyFill="1"/>
    <xf numFmtId="38" fontId="93" fillId="14" borderId="8" xfId="0" applyNumberFormat="1" applyFont="1" applyFill="1" applyBorder="1"/>
    <xf numFmtId="38" fontId="93" fillId="14" borderId="9" xfId="0" applyNumberFormat="1" applyFont="1" applyFill="1" applyBorder="1" applyAlignment="1" applyProtection="1">
      <alignment horizontal="center"/>
      <protection locked="0"/>
    </xf>
    <xf numFmtId="38" fontId="93" fillId="14" borderId="9" xfId="0" applyNumberFormat="1" applyFont="1" applyFill="1" applyBorder="1" applyAlignment="1">
      <alignment horizontal="center"/>
    </xf>
    <xf numFmtId="0" fontId="9" fillId="14" borderId="0" xfId="0" quotePrefix="1" applyNumberFormat="1" applyFont="1" applyFill="1"/>
    <xf numFmtId="38" fontId="93" fillId="14" borderId="0" xfId="0" applyNumberFormat="1" applyFont="1" applyFill="1" applyBorder="1" applyAlignment="1">
      <alignment horizontal="right"/>
    </xf>
    <xf numFmtId="0" fontId="4" fillId="2" borderId="0" xfId="0" applyNumberFormat="1" applyFont="1" applyBorder="1" applyAlignment="1">
      <alignment horizontal="right"/>
    </xf>
    <xf numFmtId="14" fontId="4" fillId="2" borderId="0" xfId="0" applyNumberFormat="1" applyFont="1" applyBorder="1" applyAlignment="1">
      <alignment horizontal="right"/>
    </xf>
    <xf numFmtId="168" fontId="128" fillId="28" borderId="2" xfId="0" applyNumberFormat="1" applyFont="1" applyFill="1" applyBorder="1"/>
    <xf numFmtId="0" fontId="128" fillId="28" borderId="0" xfId="0" applyNumberFormat="1" applyFont="1" applyFill="1" applyAlignment="1">
      <alignment horizontal="center"/>
    </xf>
    <xf numFmtId="176" fontId="31" fillId="28" borderId="2" xfId="0" applyNumberFormat="1" applyFont="1" applyFill="1" applyBorder="1"/>
    <xf numFmtId="175" fontId="167" fillId="2" borderId="0" xfId="0" applyNumberFormat="1" applyFont="1"/>
    <xf numFmtId="3" fontId="167" fillId="2" borderId="9" xfId="0" applyNumberFormat="1" applyFont="1" applyBorder="1"/>
    <xf numFmtId="3" fontId="167" fillId="2" borderId="0" xfId="0" applyNumberFormat="1" applyFont="1"/>
    <xf numFmtId="175" fontId="0" fillId="2" borderId="0" xfId="0" applyNumberFormat="1"/>
    <xf numFmtId="38" fontId="128" fillId="12" borderId="94" xfId="0" applyNumberFormat="1" applyFont="1" applyFill="1" applyBorder="1"/>
    <xf numFmtId="0" fontId="0" fillId="2" borderId="0" xfId="0" quotePrefix="1" applyNumberFormat="1" applyAlignment="1">
      <alignment horizontal="center"/>
    </xf>
    <xf numFmtId="176" fontId="128" fillId="8" borderId="9" xfId="0" applyNumberFormat="1" applyFont="1" applyFill="1" applyBorder="1"/>
    <xf numFmtId="37" fontId="68" fillId="19" borderId="0" xfId="0" applyNumberFormat="1" applyFont="1" applyFill="1"/>
    <xf numFmtId="37" fontId="1" fillId="19" borderId="0" xfId="0" applyNumberFormat="1" applyFont="1" applyFill="1" applyBorder="1"/>
    <xf numFmtId="37" fontId="4" fillId="19" borderId="0" xfId="0" applyNumberFormat="1" applyFont="1" applyFill="1" applyBorder="1" applyAlignment="1">
      <alignment horizontal="right"/>
    </xf>
    <xf numFmtId="37" fontId="14" fillId="3" borderId="0" xfId="0" applyNumberFormat="1" applyFont="1" applyFill="1"/>
    <xf numFmtId="37" fontId="1" fillId="31" borderId="0" xfId="0" applyNumberFormat="1" applyFont="1" applyFill="1"/>
    <xf numFmtId="37" fontId="11" fillId="3" borderId="0" xfId="0" applyNumberFormat="1" applyFont="1" applyFill="1"/>
    <xf numFmtId="37" fontId="1" fillId="3" borderId="0" xfId="0" applyNumberFormat="1" applyFont="1" applyFill="1" applyBorder="1" applyAlignment="1">
      <alignment horizontal="center"/>
    </xf>
    <xf numFmtId="0" fontId="0" fillId="3" borderId="0" xfId="0" applyNumberFormat="1" applyFill="1"/>
    <xf numFmtId="0" fontId="137" fillId="26" borderId="0" xfId="0" applyNumberFormat="1" applyFont="1" applyFill="1" applyAlignment="1">
      <alignment horizontal="left"/>
    </xf>
    <xf numFmtId="182" fontId="143" fillId="27" borderId="0" xfId="0" applyNumberFormat="1" applyFont="1" applyFill="1" applyBorder="1"/>
    <xf numFmtId="38" fontId="93" fillId="5" borderId="0" xfId="0" applyNumberFormat="1" applyFont="1" applyFill="1" applyBorder="1"/>
    <xf numFmtId="37" fontId="93" fillId="5" borderId="0" xfId="0" applyNumberFormat="1" applyFont="1" applyFill="1" applyBorder="1"/>
    <xf numFmtId="37" fontId="82" fillId="5" borderId="0" xfId="0" applyNumberFormat="1" applyFont="1" applyFill="1" applyBorder="1"/>
    <xf numFmtId="176" fontId="159" fillId="5" borderId="0" xfId="0" applyNumberFormat="1" applyFont="1" applyFill="1" applyBorder="1"/>
    <xf numFmtId="0" fontId="159" fillId="5" borderId="0" xfId="0" applyNumberFormat="1" applyFont="1" applyFill="1" applyBorder="1"/>
    <xf numFmtId="182" fontId="93" fillId="5" borderId="0" xfId="0" applyNumberFormat="1" applyFont="1" applyFill="1" applyBorder="1"/>
    <xf numFmtId="38" fontId="159" fillId="5" borderId="0" xfId="0" applyNumberFormat="1" applyFont="1" applyFill="1" applyBorder="1"/>
    <xf numFmtId="37" fontId="1" fillId="30" borderId="13" xfId="0" applyNumberFormat="1" applyFont="1" applyFill="1" applyBorder="1" applyAlignment="1">
      <alignment horizontal="right"/>
    </xf>
    <xf numFmtId="0" fontId="15" fillId="2" borderId="10" xfId="0" applyFont="1" applyBorder="1" applyAlignment="1">
      <alignment horizontal="left"/>
    </xf>
    <xf numFmtId="0" fontId="15" fillId="2" borderId="13" xfId="0" applyFont="1" applyBorder="1" applyAlignment="1">
      <alignment horizontal="left"/>
    </xf>
    <xf numFmtId="0" fontId="68" fillId="19" borderId="10" xfId="0" applyFont="1" applyFill="1" applyBorder="1" applyAlignment="1">
      <alignment horizontal="left"/>
    </xf>
    <xf numFmtId="188" fontId="15" fillId="2" borderId="9" xfId="0" applyNumberFormat="1" applyFont="1" applyBorder="1"/>
    <xf numFmtId="0" fontId="64" fillId="26" borderId="0" xfId="0" applyFont="1" applyFill="1" applyBorder="1" applyAlignment="1">
      <alignment horizontal="center" vertical="center" wrapText="1"/>
    </xf>
    <xf numFmtId="0" fontId="64" fillId="26" borderId="0" xfId="0" applyFont="1" applyFill="1" applyBorder="1" applyAlignment="1">
      <alignment horizontal="left" vertical="center" wrapText="1"/>
    </xf>
    <xf numFmtId="175" fontId="64" fillId="26" borderId="0" xfId="0" applyNumberFormat="1" applyFont="1" applyFill="1" applyBorder="1" applyAlignment="1">
      <alignment horizontal="center" vertical="center" wrapText="1"/>
    </xf>
    <xf numFmtId="10" fontId="64" fillId="26" borderId="0" xfId="4" applyNumberFormat="1" applyFont="1" applyFill="1" applyBorder="1" applyAlignment="1">
      <alignment horizontal="center" vertical="center" wrapText="1"/>
    </xf>
    <xf numFmtId="0" fontId="64" fillId="0" borderId="0" xfId="0" applyFont="1" applyFill="1" applyBorder="1" applyAlignment="1">
      <alignment horizontal="center" wrapText="1"/>
    </xf>
    <xf numFmtId="175" fontId="105" fillId="0" borderId="0" xfId="0" applyNumberFormat="1" applyFont="1" applyFill="1" applyBorder="1" applyAlignment="1"/>
    <xf numFmtId="10" fontId="105" fillId="0" borderId="0" xfId="4" applyNumberFormat="1" applyFont="1" applyFill="1" applyBorder="1" applyAlignment="1"/>
    <xf numFmtId="0" fontId="111" fillId="2" borderId="0" xfId="0" applyFont="1" applyAlignment="1">
      <alignment horizontal="center"/>
    </xf>
    <xf numFmtId="49" fontId="4" fillId="2" borderId="0" xfId="0" applyNumberFormat="1" applyFont="1"/>
    <xf numFmtId="0" fontId="46" fillId="14" borderId="15" xfId="0" applyNumberFormat="1" applyFont="1" applyFill="1" applyBorder="1" applyAlignment="1">
      <alignment horizontal="left"/>
    </xf>
    <xf numFmtId="0" fontId="46" fillId="14" borderId="47" xfId="0" applyNumberFormat="1" applyFont="1" applyFill="1" applyBorder="1" applyAlignment="1">
      <alignment horizontal="left"/>
    </xf>
    <xf numFmtId="0" fontId="0" fillId="19" borderId="9" xfId="0" applyNumberFormat="1" applyFill="1" applyBorder="1" applyAlignment="1">
      <alignment horizontal="left"/>
    </xf>
    <xf numFmtId="0" fontId="0" fillId="24" borderId="22" xfId="0" applyNumberFormat="1" applyFill="1" applyBorder="1"/>
    <xf numFmtId="0" fontId="4" fillId="24" borderId="23" xfId="0" applyNumberFormat="1" applyFont="1" applyFill="1" applyBorder="1" applyAlignment="1">
      <alignment horizontal="right"/>
    </xf>
    <xf numFmtId="38" fontId="0" fillId="20" borderId="9" xfId="0" applyNumberFormat="1" applyFill="1" applyBorder="1" applyAlignment="1"/>
    <xf numFmtId="38" fontId="0" fillId="8" borderId="9" xfId="0" applyNumberFormat="1" applyFill="1" applyBorder="1" applyAlignment="1"/>
    <xf numFmtId="38" fontId="0" fillId="9" borderId="9" xfId="0" applyNumberFormat="1" applyFill="1" applyBorder="1" applyAlignment="1"/>
    <xf numFmtId="38" fontId="0" fillId="14" borderId="9" xfId="0" applyNumberFormat="1" applyFill="1" applyBorder="1" applyAlignment="1"/>
    <xf numFmtId="38" fontId="0" fillId="24" borderId="9" xfId="0" applyNumberFormat="1" applyFill="1" applyBorder="1" applyAlignment="1"/>
    <xf numFmtId="38" fontId="0" fillId="2" borderId="29" xfId="0" applyNumberFormat="1" applyBorder="1"/>
    <xf numFmtId="38" fontId="0" fillId="20" borderId="36" xfId="0" applyNumberFormat="1" applyFill="1" applyBorder="1"/>
    <xf numFmtId="38" fontId="0" fillId="8" borderId="36" xfId="0" applyNumberFormat="1" applyFill="1" applyBorder="1"/>
    <xf numFmtId="38" fontId="0" fillId="9" borderId="36" xfId="0" applyNumberFormat="1" applyFill="1" applyBorder="1"/>
    <xf numFmtId="38" fontId="0" fillId="14" borderId="36" xfId="0" applyNumberFormat="1" applyFill="1" applyBorder="1"/>
    <xf numFmtId="38" fontId="0" fillId="24" borderId="36" xfId="0" applyNumberFormat="1" applyFill="1" applyBorder="1"/>
    <xf numFmtId="0" fontId="168" fillId="2" borderId="0" xfId="0" applyFont="1"/>
    <xf numFmtId="38" fontId="0" fillId="19" borderId="0" xfId="0" applyNumberFormat="1" applyFill="1"/>
    <xf numFmtId="40" fontId="134" fillId="19" borderId="2" xfId="0" applyNumberFormat="1" applyFont="1" applyFill="1" applyBorder="1"/>
    <xf numFmtId="176" fontId="31" fillId="19" borderId="2" xfId="0" applyNumberFormat="1" applyFont="1" applyFill="1" applyBorder="1"/>
    <xf numFmtId="176" fontId="134" fillId="19" borderId="2" xfId="0" applyNumberFormat="1" applyFont="1" applyFill="1" applyBorder="1"/>
    <xf numFmtId="176" fontId="128" fillId="20" borderId="0" xfId="0" applyNumberFormat="1" applyFont="1" applyFill="1" applyBorder="1"/>
    <xf numFmtId="0" fontId="128" fillId="26" borderId="9" xfId="0" applyNumberFormat="1" applyFont="1" applyFill="1" applyBorder="1" applyAlignment="1">
      <alignment horizontal="center"/>
    </xf>
    <xf numFmtId="0" fontId="4" fillId="24" borderId="0" xfId="0" applyNumberFormat="1" applyFont="1" applyFill="1" applyAlignment="1"/>
    <xf numFmtId="38" fontId="128" fillId="24" borderId="9" xfId="0" applyNumberFormat="1" applyFont="1" applyFill="1" applyBorder="1"/>
    <xf numFmtId="38" fontId="128" fillId="5" borderId="9" xfId="0" applyNumberFormat="1" applyFont="1" applyFill="1" applyBorder="1"/>
    <xf numFmtId="0" fontId="4" fillId="19" borderId="10" xfId="0" applyNumberFormat="1" applyFont="1" applyFill="1" applyBorder="1"/>
    <xf numFmtId="0" fontId="0" fillId="19" borderId="11" xfId="0" applyNumberFormat="1" applyFill="1" applyBorder="1"/>
    <xf numFmtId="0" fontId="0" fillId="19" borderId="12" xfId="0" applyNumberFormat="1" applyFill="1" applyBorder="1"/>
    <xf numFmtId="0" fontId="128" fillId="19" borderId="29" xfId="0" applyNumberFormat="1" applyFont="1" applyFill="1" applyBorder="1" applyAlignment="1">
      <alignment horizontal="center"/>
    </xf>
    <xf numFmtId="38" fontId="128" fillId="19" borderId="15" xfId="0" applyNumberFormat="1" applyFont="1" applyFill="1" applyBorder="1"/>
    <xf numFmtId="38" fontId="128" fillId="19" borderId="16" xfId="0" applyNumberFormat="1" applyFont="1" applyFill="1" applyBorder="1"/>
    <xf numFmtId="16" fontId="4" fillId="8" borderId="6" xfId="0" quotePrefix="1" applyNumberFormat="1" applyFont="1" applyFill="1" applyBorder="1" applyAlignment="1">
      <alignment horizontal="center"/>
    </xf>
    <xf numFmtId="38" fontId="159" fillId="19" borderId="15" xfId="0" applyNumberFormat="1" applyFont="1" applyFill="1" applyBorder="1"/>
    <xf numFmtId="38" fontId="159" fillId="19" borderId="16" xfId="0" applyNumberFormat="1" applyFont="1" applyFill="1" applyBorder="1"/>
    <xf numFmtId="16" fontId="4" fillId="26" borderId="6" xfId="0" quotePrefix="1" applyNumberFormat="1" applyFont="1" applyFill="1" applyBorder="1" applyAlignment="1">
      <alignment horizontal="center"/>
    </xf>
    <xf numFmtId="16" fontId="4" fillId="27" borderId="6" xfId="0" quotePrefix="1" applyNumberFormat="1" applyFont="1" applyFill="1" applyBorder="1" applyAlignment="1">
      <alignment horizontal="center"/>
    </xf>
    <xf numFmtId="16" fontId="4" fillId="28" borderId="6" xfId="0" quotePrefix="1" applyNumberFormat="1" applyFont="1" applyFill="1" applyBorder="1" applyAlignment="1">
      <alignment horizontal="center"/>
    </xf>
    <xf numFmtId="16" fontId="164" fillId="20" borderId="6" xfId="0" quotePrefix="1" applyNumberFormat="1" applyFont="1" applyFill="1" applyBorder="1" applyAlignment="1">
      <alignment horizontal="center"/>
    </xf>
    <xf numFmtId="38" fontId="164" fillId="19" borderId="15" xfId="0" applyNumberFormat="1" applyFont="1" applyFill="1" applyBorder="1"/>
    <xf numFmtId="38" fontId="164" fillId="19" borderId="16" xfId="0" applyNumberFormat="1" applyFont="1" applyFill="1" applyBorder="1"/>
    <xf numFmtId="0" fontId="128" fillId="19" borderId="48" xfId="0" applyNumberFormat="1" applyFont="1" applyFill="1" applyBorder="1" applyAlignment="1">
      <alignment horizontal="center"/>
    </xf>
    <xf numFmtId="0" fontId="159" fillId="19" borderId="47" xfId="0" applyNumberFormat="1" applyFont="1" applyFill="1" applyBorder="1" applyAlignment="1">
      <alignment horizontal="left"/>
    </xf>
    <xf numFmtId="38" fontId="128" fillId="19" borderId="36" xfId="0" applyNumberFormat="1" applyFont="1" applyFill="1" applyBorder="1"/>
    <xf numFmtId="0" fontId="137" fillId="19" borderId="47" xfId="0" applyNumberFormat="1" applyFont="1" applyFill="1" applyBorder="1" applyAlignment="1">
      <alignment horizontal="right"/>
    </xf>
    <xf numFmtId="0" fontId="143" fillId="19" borderId="47" xfId="0" applyNumberFormat="1" applyFont="1" applyFill="1" applyBorder="1"/>
    <xf numFmtId="0" fontId="143" fillId="19" borderId="47" xfId="0" applyNumberFormat="1" applyFont="1" applyFill="1" applyBorder="1" applyAlignment="1">
      <alignment horizontal="right"/>
    </xf>
    <xf numFmtId="0" fontId="164" fillId="19" borderId="47" xfId="0" applyNumberFormat="1" applyFont="1" applyFill="1" applyBorder="1" applyAlignment="1">
      <alignment horizontal="right"/>
    </xf>
    <xf numFmtId="0" fontId="0" fillId="19" borderId="47" xfId="0" applyNumberFormat="1" applyFill="1" applyBorder="1"/>
    <xf numFmtId="0" fontId="112" fillId="5" borderId="0" xfId="0" quotePrefix="1" applyNumberFormat="1" applyFont="1" applyFill="1" applyAlignment="1">
      <alignment horizontal="center"/>
    </xf>
    <xf numFmtId="0" fontId="112" fillId="5" borderId="0" xfId="0" applyNumberFormat="1" applyFont="1" applyFill="1" applyAlignment="1">
      <alignment horizontal="center"/>
    </xf>
    <xf numFmtId="0" fontId="0" fillId="5" borderId="0" xfId="0" quotePrefix="1" applyNumberFormat="1" applyFill="1" applyAlignment="1">
      <alignment horizontal="center"/>
    </xf>
    <xf numFmtId="38" fontId="4" fillId="5" borderId="0" xfId="0" applyNumberFormat="1" applyFont="1" applyFill="1" applyBorder="1"/>
    <xf numFmtId="189" fontId="4" fillId="5" borderId="0" xfId="0" applyNumberFormat="1" applyFont="1" applyFill="1" applyBorder="1"/>
    <xf numFmtId="176" fontId="4" fillId="5" borderId="0" xfId="0" applyNumberFormat="1" applyFont="1" applyFill="1" applyBorder="1"/>
    <xf numFmtId="0" fontId="128" fillId="5" borderId="0" xfId="0" applyNumberFormat="1" applyFont="1" applyFill="1" applyBorder="1" applyAlignment="1">
      <alignment horizontal="right"/>
    </xf>
    <xf numFmtId="176" fontId="128" fillId="5" borderId="0" xfId="0" applyNumberFormat="1" applyFont="1" applyFill="1" applyBorder="1"/>
    <xf numFmtId="0" fontId="68" fillId="2" borderId="9" xfId="0" applyFont="1" applyBorder="1"/>
    <xf numFmtId="0" fontId="4" fillId="20" borderId="6" xfId="0" quotePrefix="1" applyNumberFormat="1" applyFont="1" applyFill="1" applyBorder="1" applyAlignment="1">
      <alignment horizontal="center"/>
    </xf>
    <xf numFmtId="38" fontId="128" fillId="20" borderId="0" xfId="0" applyNumberFormat="1" applyFont="1" applyFill="1" applyBorder="1"/>
    <xf numFmtId="0" fontId="128" fillId="20" borderId="0" xfId="0" applyNumberFormat="1" applyFont="1" applyFill="1" applyBorder="1" applyAlignment="1">
      <alignment horizontal="right"/>
    </xf>
    <xf numFmtId="0" fontId="93" fillId="20" borderId="0" xfId="0" applyNumberFormat="1" applyFont="1" applyFill="1"/>
    <xf numFmtId="0" fontId="164" fillId="5" borderId="0" xfId="0" quotePrefix="1" applyNumberFormat="1" applyFont="1" applyFill="1" applyAlignment="1">
      <alignment horizontal="center"/>
    </xf>
    <xf numFmtId="0" fontId="169" fillId="2" borderId="0" xfId="0" applyNumberFormat="1" applyFont="1"/>
    <xf numFmtId="37" fontId="164" fillId="20" borderId="107" xfId="0" applyNumberFormat="1" applyFont="1" applyFill="1" applyBorder="1"/>
    <xf numFmtId="176" fontId="164" fillId="20" borderId="107" xfId="0" applyNumberFormat="1" applyFont="1" applyFill="1" applyBorder="1"/>
    <xf numFmtId="0" fontId="169" fillId="20" borderId="107" xfId="0" applyNumberFormat="1" applyFont="1" applyFill="1" applyBorder="1"/>
    <xf numFmtId="0" fontId="164" fillId="20" borderId="6" xfId="0" quotePrefix="1" applyNumberFormat="1" applyFont="1" applyFill="1" applyBorder="1" applyAlignment="1">
      <alignment horizontal="center"/>
    </xf>
    <xf numFmtId="0" fontId="169" fillId="19" borderId="47" xfId="0" applyNumberFormat="1" applyFont="1" applyFill="1" applyBorder="1"/>
    <xf numFmtId="38" fontId="164" fillId="20" borderId="0" xfId="0" applyNumberFormat="1" applyFont="1" applyFill="1" applyBorder="1"/>
    <xf numFmtId="38" fontId="164" fillId="19" borderId="36" xfId="0" applyNumberFormat="1" applyFont="1" applyFill="1" applyBorder="1"/>
    <xf numFmtId="0" fontId="169" fillId="20" borderId="0" xfId="0" applyNumberFormat="1" applyFont="1" applyFill="1"/>
    <xf numFmtId="176" fontId="164" fillId="20" borderId="0" xfId="0" applyNumberFormat="1" applyFont="1" applyFill="1" applyBorder="1"/>
    <xf numFmtId="0" fontId="164" fillId="20" borderId="9" xfId="0" applyNumberFormat="1" applyFont="1" applyFill="1" applyBorder="1" applyAlignment="1">
      <alignment horizontal="right"/>
    </xf>
    <xf numFmtId="38" fontId="113" fillId="28" borderId="0" xfId="0" applyNumberFormat="1" applyFont="1" applyFill="1"/>
    <xf numFmtId="38" fontId="113" fillId="19" borderId="15" xfId="0" applyNumberFormat="1" applyFont="1" applyFill="1" applyBorder="1"/>
    <xf numFmtId="38" fontId="113" fillId="19" borderId="16" xfId="0" applyNumberFormat="1" applyFont="1" applyFill="1" applyBorder="1"/>
    <xf numFmtId="38" fontId="113" fillId="19" borderId="36" xfId="0" applyNumberFormat="1" applyFont="1" applyFill="1" applyBorder="1"/>
    <xf numFmtId="182" fontId="113" fillId="28" borderId="0" xfId="0" applyNumberFormat="1" applyFont="1" applyFill="1"/>
    <xf numFmtId="0" fontId="113" fillId="28" borderId="0" xfId="0" applyNumberFormat="1" applyFont="1" applyFill="1"/>
    <xf numFmtId="0" fontId="113" fillId="28" borderId="0" xfId="0" applyNumberFormat="1" applyFont="1" applyFill="1" applyAlignment="1">
      <alignment horizontal="right"/>
    </xf>
    <xf numFmtId="176" fontId="113" fillId="28" borderId="0" xfId="0" applyNumberFormat="1" applyFont="1" applyFill="1" applyBorder="1"/>
    <xf numFmtId="0" fontId="170" fillId="28" borderId="0" xfId="0" applyNumberFormat="1" applyFont="1" applyFill="1"/>
    <xf numFmtId="0" fontId="113" fillId="5" borderId="0" xfId="0" quotePrefix="1" applyNumberFormat="1" applyFont="1" applyFill="1" applyAlignment="1">
      <alignment horizontal="center"/>
    </xf>
    <xf numFmtId="0" fontId="170" fillId="2" borderId="0" xfId="0" applyNumberFormat="1" applyFont="1"/>
    <xf numFmtId="0" fontId="171" fillId="2" borderId="0" xfId="0" applyNumberFormat="1" applyFont="1"/>
    <xf numFmtId="0" fontId="172" fillId="2" borderId="0" xfId="0" applyNumberFormat="1" applyFont="1" applyAlignment="1">
      <alignment horizontal="right"/>
    </xf>
    <xf numFmtId="0" fontId="172" fillId="2" borderId="0" xfId="0" applyNumberFormat="1" applyFont="1"/>
    <xf numFmtId="0" fontId="170" fillId="2" borderId="0" xfId="0" applyNumberFormat="1" applyFont="1" applyAlignment="1">
      <alignment horizontal="right"/>
    </xf>
    <xf numFmtId="38" fontId="170" fillId="2" borderId="0" xfId="0" applyNumberFormat="1" applyFont="1"/>
    <xf numFmtId="0" fontId="113" fillId="2" borderId="0" xfId="0" applyNumberFormat="1" applyFont="1" applyAlignment="1">
      <alignment horizontal="center"/>
    </xf>
    <xf numFmtId="38" fontId="113" fillId="12" borderId="94" xfId="0" applyNumberFormat="1" applyFont="1" applyFill="1" applyBorder="1"/>
    <xf numFmtId="37" fontId="113" fillId="28" borderId="107" xfId="0" applyNumberFormat="1" applyFont="1" applyFill="1" applyBorder="1"/>
    <xf numFmtId="176" fontId="113" fillId="28" borderId="107" xfId="0" applyNumberFormat="1" applyFont="1" applyFill="1" applyBorder="1"/>
    <xf numFmtId="0" fontId="170" fillId="28" borderId="107" xfId="0" applyNumberFormat="1" applyFont="1" applyFill="1" applyBorder="1"/>
    <xf numFmtId="182" fontId="113" fillId="28" borderId="2" xfId="0" applyNumberFormat="1" applyFont="1" applyFill="1" applyBorder="1"/>
    <xf numFmtId="176" fontId="113" fillId="28" borderId="2" xfId="0" applyNumberFormat="1" applyFont="1" applyFill="1" applyBorder="1"/>
    <xf numFmtId="38" fontId="113" fillId="28" borderId="2" xfId="0" applyNumberFormat="1" applyFont="1" applyFill="1" applyBorder="1"/>
    <xf numFmtId="0" fontId="113" fillId="28" borderId="6" xfId="0" quotePrefix="1" applyNumberFormat="1" applyFont="1" applyFill="1" applyBorder="1" applyAlignment="1">
      <alignment horizontal="center"/>
    </xf>
    <xf numFmtId="0" fontId="170" fillId="19" borderId="47" xfId="0" applyNumberFormat="1" applyFont="1" applyFill="1" applyBorder="1"/>
    <xf numFmtId="38" fontId="113" fillId="28" borderId="0" xfId="0" applyNumberFormat="1" applyFont="1" applyFill="1" applyBorder="1"/>
    <xf numFmtId="0" fontId="113" fillId="28" borderId="0" xfId="0" applyNumberFormat="1" applyFont="1" applyFill="1" applyBorder="1" applyAlignment="1">
      <alignment horizontal="right"/>
    </xf>
    <xf numFmtId="0" fontId="113" fillId="28" borderId="9" xfId="0" applyNumberFormat="1" applyFont="1" applyFill="1" applyBorder="1" applyAlignment="1">
      <alignment horizontal="right"/>
    </xf>
    <xf numFmtId="37" fontId="128" fillId="27" borderId="107" xfId="0" applyNumberFormat="1" applyFont="1" applyFill="1" applyBorder="1"/>
    <xf numFmtId="176" fontId="128" fillId="27" borderId="107" xfId="0" applyNumberFormat="1" applyFont="1" applyFill="1" applyBorder="1"/>
    <xf numFmtId="0" fontId="158" fillId="27" borderId="107" xfId="0" applyNumberFormat="1" applyFont="1" applyFill="1" applyBorder="1"/>
    <xf numFmtId="182" fontId="128" fillId="27" borderId="2" xfId="0" applyNumberFormat="1" applyFont="1" applyFill="1" applyBorder="1"/>
    <xf numFmtId="0" fontId="4" fillId="27" borderId="6" xfId="0" quotePrefix="1" applyNumberFormat="1" applyFont="1" applyFill="1" applyBorder="1" applyAlignment="1">
      <alignment horizontal="center"/>
    </xf>
    <xf numFmtId="0" fontId="128" fillId="27" borderId="0" xfId="0" applyNumberFormat="1" applyFont="1" applyFill="1" applyBorder="1" applyAlignment="1">
      <alignment horizontal="right"/>
    </xf>
    <xf numFmtId="0" fontId="128" fillId="27" borderId="9" xfId="0" applyNumberFormat="1" applyFont="1" applyFill="1" applyBorder="1" applyAlignment="1">
      <alignment horizontal="right"/>
    </xf>
    <xf numFmtId="0" fontId="93" fillId="27" borderId="0" xfId="0" applyNumberFormat="1" applyFont="1" applyFill="1"/>
    <xf numFmtId="38" fontId="113" fillId="27" borderId="0" xfId="0" applyNumberFormat="1" applyFont="1" applyFill="1"/>
    <xf numFmtId="182" fontId="113" fillId="27" borderId="0" xfId="0" applyNumberFormat="1" applyFont="1" applyFill="1"/>
    <xf numFmtId="0" fontId="113" fillId="27" borderId="0" xfId="0" applyNumberFormat="1" applyFont="1" applyFill="1"/>
    <xf numFmtId="176" fontId="113" fillId="27" borderId="0" xfId="0" applyNumberFormat="1" applyFont="1" applyFill="1" applyBorder="1"/>
    <xf numFmtId="37" fontId="113" fillId="27" borderId="107" xfId="0" applyNumberFormat="1" applyFont="1" applyFill="1" applyBorder="1"/>
    <xf numFmtId="176" fontId="113" fillId="27" borderId="107" xfId="0" applyNumberFormat="1" applyFont="1" applyFill="1" applyBorder="1"/>
    <xf numFmtId="0" fontId="113" fillId="27" borderId="107" xfId="0" applyNumberFormat="1" applyFont="1" applyFill="1" applyBorder="1"/>
    <xf numFmtId="182" fontId="113" fillId="27" borderId="2" xfId="0" applyNumberFormat="1" applyFont="1" applyFill="1" applyBorder="1"/>
    <xf numFmtId="176" fontId="113" fillId="27" borderId="2" xfId="0" applyNumberFormat="1" applyFont="1" applyFill="1" applyBorder="1"/>
    <xf numFmtId="38" fontId="113" fillId="27" borderId="2" xfId="0" applyNumberFormat="1" applyFont="1" applyFill="1" applyBorder="1"/>
    <xf numFmtId="37" fontId="128" fillId="26" borderId="107" xfId="0" applyNumberFormat="1" applyFont="1" applyFill="1" applyBorder="1"/>
    <xf numFmtId="176" fontId="128" fillId="26" borderId="107" xfId="0" applyNumberFormat="1" applyFont="1" applyFill="1" applyBorder="1"/>
    <xf numFmtId="0" fontId="158" fillId="26" borderId="107" xfId="0" applyNumberFormat="1" applyFont="1" applyFill="1" applyBorder="1"/>
    <xf numFmtId="182" fontId="128" fillId="26" borderId="2" xfId="0" applyNumberFormat="1" applyFont="1" applyFill="1" applyBorder="1"/>
    <xf numFmtId="0" fontId="4" fillId="26" borderId="6" xfId="0" quotePrefix="1" applyNumberFormat="1" applyFont="1" applyFill="1" applyBorder="1" applyAlignment="1">
      <alignment horizontal="center"/>
    </xf>
    <xf numFmtId="0" fontId="128" fillId="26" borderId="0" xfId="0" applyNumberFormat="1" applyFont="1" applyFill="1" applyBorder="1" applyAlignment="1">
      <alignment horizontal="right"/>
    </xf>
    <xf numFmtId="0" fontId="128" fillId="26" borderId="9" xfId="0" applyNumberFormat="1" applyFont="1" applyFill="1" applyBorder="1" applyAlignment="1">
      <alignment horizontal="right"/>
    </xf>
    <xf numFmtId="0" fontId="93" fillId="26" borderId="0" xfId="0" applyNumberFormat="1" applyFont="1" applyFill="1"/>
    <xf numFmtId="0" fontId="128" fillId="26" borderId="2" xfId="0" applyNumberFormat="1" applyFont="1" applyFill="1" applyBorder="1"/>
    <xf numFmtId="16" fontId="128" fillId="26" borderId="6" xfId="0" quotePrefix="1" applyNumberFormat="1" applyFont="1" applyFill="1" applyBorder="1" applyAlignment="1">
      <alignment horizontal="center"/>
    </xf>
    <xf numFmtId="182" fontId="128" fillId="26" borderId="0" xfId="0" applyNumberFormat="1" applyFont="1" applyFill="1"/>
    <xf numFmtId="0" fontId="143" fillId="27" borderId="0" xfId="0" applyNumberFormat="1" applyFont="1" applyFill="1" applyAlignment="1">
      <alignment horizontal="left"/>
    </xf>
    <xf numFmtId="0" fontId="143" fillId="28" borderId="0" xfId="0" applyNumberFormat="1" applyFont="1" applyFill="1" applyAlignment="1">
      <alignment horizontal="left"/>
    </xf>
    <xf numFmtId="0" fontId="164" fillId="20" borderId="0" xfId="0" applyNumberFormat="1" applyFont="1" applyFill="1" applyAlignment="1">
      <alignment horizontal="left"/>
    </xf>
    <xf numFmtId="0" fontId="4" fillId="8" borderId="6" xfId="0" quotePrefix="1" applyNumberFormat="1" applyFont="1" applyFill="1" applyBorder="1" applyAlignment="1">
      <alignment horizontal="center"/>
    </xf>
    <xf numFmtId="0" fontId="128" fillId="8" borderId="0" xfId="0" applyNumberFormat="1" applyFont="1" applyFill="1" applyBorder="1" applyAlignment="1">
      <alignment horizontal="right"/>
    </xf>
    <xf numFmtId="0" fontId="128" fillId="8" borderId="9" xfId="0" applyNumberFormat="1" applyFont="1" applyFill="1" applyBorder="1" applyAlignment="1">
      <alignment horizontal="right"/>
    </xf>
    <xf numFmtId="37" fontId="113" fillId="8" borderId="107" xfId="0" applyNumberFormat="1" applyFont="1" applyFill="1" applyBorder="1"/>
    <xf numFmtId="176" fontId="113" fillId="8" borderId="107" xfId="0" applyNumberFormat="1" applyFont="1" applyFill="1" applyBorder="1"/>
    <xf numFmtId="0" fontId="113" fillId="8" borderId="107" xfId="0" applyNumberFormat="1" applyFont="1" applyFill="1" applyBorder="1"/>
    <xf numFmtId="182" fontId="113" fillId="8" borderId="2" xfId="0" applyNumberFormat="1" applyFont="1" applyFill="1" applyBorder="1"/>
    <xf numFmtId="38" fontId="113" fillId="8" borderId="2" xfId="0" applyNumberFormat="1" applyFont="1" applyFill="1" applyBorder="1"/>
    <xf numFmtId="176" fontId="113" fillId="8" borderId="0" xfId="0" applyNumberFormat="1" applyFont="1" applyFill="1" applyBorder="1"/>
    <xf numFmtId="0" fontId="128" fillId="8" borderId="0" xfId="0" applyNumberFormat="1" applyFont="1" applyFill="1" applyAlignment="1">
      <alignment horizontal="left"/>
    </xf>
    <xf numFmtId="0" fontId="164" fillId="20" borderId="107" xfId="0" applyNumberFormat="1" applyFont="1" applyFill="1" applyBorder="1"/>
    <xf numFmtId="37" fontId="113" fillId="28" borderId="2" xfId="0" applyNumberFormat="1" applyFont="1" applyFill="1" applyBorder="1"/>
    <xf numFmtId="0" fontId="113" fillId="28" borderId="2" xfId="0" applyNumberFormat="1" applyFont="1" applyFill="1" applyBorder="1"/>
    <xf numFmtId="16" fontId="113" fillId="28" borderId="6" xfId="0" quotePrefix="1" applyNumberFormat="1" applyFont="1" applyFill="1" applyBorder="1" applyAlignment="1">
      <alignment horizontal="center"/>
    </xf>
    <xf numFmtId="0" fontId="113" fillId="28" borderId="107" xfId="0" applyNumberFormat="1" applyFont="1" applyFill="1" applyBorder="1"/>
    <xf numFmtId="0" fontId="113" fillId="28" borderId="0" xfId="0" applyNumberFormat="1" applyFont="1" applyFill="1" applyAlignment="1">
      <alignment horizontal="left"/>
    </xf>
    <xf numFmtId="0" fontId="128" fillId="27" borderId="2" xfId="0" applyNumberFormat="1" applyFont="1" applyFill="1" applyBorder="1"/>
    <xf numFmtId="16" fontId="128" fillId="27" borderId="6" xfId="0" quotePrefix="1" applyNumberFormat="1" applyFont="1" applyFill="1" applyBorder="1" applyAlignment="1">
      <alignment horizontal="center"/>
    </xf>
    <xf numFmtId="182" fontId="128" fillId="27" borderId="0" xfId="0" applyNumberFormat="1" applyFont="1" applyFill="1"/>
    <xf numFmtId="182" fontId="128" fillId="27" borderId="0" xfId="0" applyNumberFormat="1" applyFont="1" applyFill="1" applyBorder="1"/>
    <xf numFmtId="0" fontId="128" fillId="27" borderId="0" xfId="0" applyNumberFormat="1" applyFont="1" applyFill="1" applyAlignment="1">
      <alignment horizontal="left"/>
    </xf>
    <xf numFmtId="0" fontId="128" fillId="27" borderId="0" xfId="0" applyNumberFormat="1" applyFont="1" applyFill="1" applyAlignment="1">
      <alignment horizontal="right"/>
    </xf>
    <xf numFmtId="38" fontId="113" fillId="26" borderId="0" xfId="0" applyNumberFormat="1" applyFont="1" applyFill="1"/>
    <xf numFmtId="182" fontId="113" fillId="26" borderId="0" xfId="0" applyNumberFormat="1" applyFont="1" applyFill="1"/>
    <xf numFmtId="0" fontId="113" fillId="26" borderId="0" xfId="0" applyNumberFormat="1" applyFont="1" applyFill="1"/>
    <xf numFmtId="0" fontId="113" fillId="26" borderId="0" xfId="0" applyNumberFormat="1" applyFont="1" applyFill="1" applyAlignment="1">
      <alignment horizontal="right"/>
    </xf>
    <xf numFmtId="0" fontId="113" fillId="26" borderId="0" xfId="0" applyNumberFormat="1" applyFont="1" applyFill="1" applyAlignment="1">
      <alignment horizontal="left"/>
    </xf>
    <xf numFmtId="176" fontId="113" fillId="26" borderId="0" xfId="0" applyNumberFormat="1" applyFont="1" applyFill="1" applyBorder="1"/>
    <xf numFmtId="37" fontId="113" fillId="26" borderId="107" xfId="0" applyNumberFormat="1" applyFont="1" applyFill="1" applyBorder="1"/>
    <xf numFmtId="176" fontId="113" fillId="26" borderId="107" xfId="0" applyNumberFormat="1" applyFont="1" applyFill="1" applyBorder="1"/>
    <xf numFmtId="0" fontId="113" fillId="26" borderId="107" xfId="0" applyNumberFormat="1" applyFont="1" applyFill="1" applyBorder="1"/>
    <xf numFmtId="182" fontId="113" fillId="26" borderId="2" xfId="0" applyNumberFormat="1" applyFont="1" applyFill="1" applyBorder="1"/>
    <xf numFmtId="176" fontId="113" fillId="26" borderId="2" xfId="0" applyNumberFormat="1" applyFont="1" applyFill="1" applyBorder="1"/>
    <xf numFmtId="38" fontId="113" fillId="26" borderId="2" xfId="0" applyNumberFormat="1" applyFont="1" applyFill="1" applyBorder="1"/>
    <xf numFmtId="0" fontId="113" fillId="26" borderId="6" xfId="0" quotePrefix="1" applyNumberFormat="1" applyFont="1" applyFill="1" applyBorder="1" applyAlignment="1">
      <alignment horizontal="center"/>
    </xf>
    <xf numFmtId="38" fontId="113" fillId="26" borderId="0" xfId="0" applyNumberFormat="1" applyFont="1" applyFill="1" applyBorder="1"/>
    <xf numFmtId="0" fontId="113" fillId="26" borderId="9" xfId="0" applyNumberFormat="1" applyFont="1" applyFill="1" applyBorder="1" applyAlignment="1">
      <alignment horizontal="right"/>
    </xf>
    <xf numFmtId="0" fontId="113" fillId="8" borderId="0" xfId="0" applyNumberFormat="1" applyFont="1" applyFill="1" applyAlignment="1">
      <alignment horizontal="left"/>
    </xf>
    <xf numFmtId="0" fontId="113" fillId="8" borderId="0" xfId="0" applyNumberFormat="1" applyFont="1" applyFill="1"/>
    <xf numFmtId="0" fontId="113" fillId="8" borderId="0" xfId="0" applyNumberFormat="1" applyFont="1" applyFill="1" applyAlignment="1">
      <alignment horizontal="right"/>
    </xf>
    <xf numFmtId="182" fontId="113" fillId="8" borderId="0" xfId="0" applyNumberFormat="1" applyFont="1" applyFill="1"/>
    <xf numFmtId="0" fontId="113" fillId="8" borderId="6" xfId="0" quotePrefix="1" applyNumberFormat="1" applyFont="1" applyFill="1" applyBorder="1" applyAlignment="1">
      <alignment horizontal="center"/>
    </xf>
    <xf numFmtId="38" fontId="113" fillId="8" borderId="0" xfId="0" applyNumberFormat="1" applyFont="1" applyFill="1" applyBorder="1"/>
    <xf numFmtId="0" fontId="113" fillId="8" borderId="9" xfId="0" applyNumberFormat="1" applyFont="1" applyFill="1" applyBorder="1" applyAlignment="1">
      <alignment horizontal="right"/>
    </xf>
    <xf numFmtId="38" fontId="7" fillId="5" borderId="72" xfId="0" applyNumberFormat="1" applyFont="1" applyFill="1" applyBorder="1" applyProtection="1"/>
    <xf numFmtId="0" fontId="0" fillId="19" borderId="51" xfId="0" applyNumberFormat="1" applyFill="1" applyBorder="1"/>
    <xf numFmtId="38" fontId="7" fillId="5" borderId="72" xfId="0" applyNumberFormat="1" applyFont="1" applyFill="1" applyBorder="1" applyProtection="1">
      <protection locked="0"/>
    </xf>
    <xf numFmtId="0" fontId="0" fillId="5" borderId="84" xfId="0" applyNumberFormat="1" applyFill="1" applyBorder="1"/>
    <xf numFmtId="0" fontId="0" fillId="5" borderId="85" xfId="0" applyNumberFormat="1" applyFill="1" applyBorder="1"/>
    <xf numFmtId="38" fontId="7" fillId="5" borderId="108" xfId="0" applyNumberFormat="1" applyFont="1" applyFill="1" applyBorder="1" applyProtection="1">
      <protection locked="0"/>
    </xf>
    <xf numFmtId="40" fontId="7" fillId="5" borderId="109" xfId="0" applyNumberFormat="1" applyFont="1" applyFill="1" applyBorder="1" applyProtection="1"/>
    <xf numFmtId="175" fontId="168" fillId="2" borderId="0" xfId="0" applyNumberFormat="1" applyFont="1"/>
    <xf numFmtId="0" fontId="112" fillId="5" borderId="0" xfId="0" applyNumberFormat="1" applyFont="1" applyFill="1" applyAlignment="1">
      <alignment horizontal="left"/>
    </xf>
    <xf numFmtId="0" fontId="112" fillId="8" borderId="107" xfId="0" applyNumberFormat="1" applyFont="1" applyFill="1" applyBorder="1"/>
    <xf numFmtId="38" fontId="128" fillId="8" borderId="9" xfId="0" applyNumberFormat="1" applyFont="1" applyFill="1" applyBorder="1" applyAlignment="1">
      <alignment horizontal="right"/>
    </xf>
    <xf numFmtId="187" fontId="128" fillId="2" borderId="9" xfId="0" applyNumberFormat="1" applyFont="1" applyBorder="1"/>
    <xf numFmtId="185" fontId="0" fillId="2" borderId="0" xfId="0" applyNumberFormat="1" applyAlignment="1">
      <alignment horizontal="center"/>
    </xf>
    <xf numFmtId="38" fontId="133" fillId="19" borderId="0" xfId="0" applyNumberFormat="1" applyFont="1" applyFill="1"/>
    <xf numFmtId="176" fontId="31" fillId="8" borderId="2" xfId="0" applyNumberFormat="1" applyFont="1" applyFill="1" applyBorder="1"/>
    <xf numFmtId="176" fontId="142" fillId="8" borderId="36" xfId="0" applyNumberFormat="1" applyFont="1" applyFill="1" applyBorder="1" applyAlignment="1" applyProtection="1">
      <protection locked="0"/>
    </xf>
    <xf numFmtId="0" fontId="168" fillId="5" borderId="0" xfId="0" applyFont="1" applyFill="1"/>
    <xf numFmtId="9" fontId="168" fillId="0" borderId="0" xfId="4" applyFont="1"/>
    <xf numFmtId="175" fontId="168" fillId="5" borderId="0" xfId="0" applyNumberFormat="1" applyFont="1" applyFill="1"/>
    <xf numFmtId="9" fontId="168" fillId="5" borderId="0" xfId="4" applyFont="1" applyFill="1"/>
    <xf numFmtId="38" fontId="173" fillId="2" borderId="9" xfId="0" applyNumberFormat="1" applyFont="1" applyBorder="1" applyProtection="1"/>
    <xf numFmtId="38" fontId="167" fillId="2" borderId="0" xfId="0" applyNumberFormat="1" applyFont="1"/>
    <xf numFmtId="0" fontId="4" fillId="2" borderId="0" xfId="0" applyNumberFormat="1" applyFont="1" applyAlignment="1"/>
    <xf numFmtId="175" fontId="167" fillId="19" borderId="0" xfId="0" applyNumberFormat="1" applyFont="1" applyFill="1"/>
    <xf numFmtId="38" fontId="0" fillId="19" borderId="0" xfId="0" applyNumberFormat="1" applyFill="1" applyAlignment="1">
      <alignment horizontal="center"/>
    </xf>
    <xf numFmtId="38" fontId="0" fillId="19" borderId="72" xfId="0" applyNumberFormat="1" applyFill="1" applyBorder="1" applyProtection="1"/>
    <xf numFmtId="38" fontId="132" fillId="8" borderId="36" xfId="0" applyNumberFormat="1" applyFont="1" applyFill="1" applyBorder="1" applyAlignment="1" applyProtection="1">
      <alignment horizontal="center"/>
      <protection locked="0"/>
    </xf>
    <xf numFmtId="0" fontId="15" fillId="11" borderId="10" xfId="0" applyNumberFormat="1" applyFont="1" applyFill="1" applyBorder="1" applyAlignment="1">
      <alignment horizontal="left"/>
    </xf>
    <xf numFmtId="0" fontId="15" fillId="11" borderId="11" xfId="0" applyNumberFormat="1" applyFont="1" applyFill="1" applyBorder="1"/>
    <xf numFmtId="0" fontId="68" fillId="11" borderId="0" xfId="0" applyNumberFormat="1" applyFont="1" applyFill="1"/>
    <xf numFmtId="0" fontId="56" fillId="11" borderId="0" xfId="0" applyNumberFormat="1" applyFont="1" applyFill="1"/>
    <xf numFmtId="0" fontId="15" fillId="11" borderId="0" xfId="0" applyNumberFormat="1" applyFont="1" applyFill="1"/>
    <xf numFmtId="0" fontId="0" fillId="11" borderId="0" xfId="0" quotePrefix="1" applyNumberFormat="1" applyFill="1" applyBorder="1"/>
    <xf numFmtId="0" fontId="97" fillId="11" borderId="0" xfId="0" applyNumberFormat="1" applyFont="1" applyFill="1"/>
    <xf numFmtId="0" fontId="56" fillId="5" borderId="0" xfId="0" applyNumberFormat="1" applyFont="1" applyFill="1"/>
    <xf numFmtId="0" fontId="74" fillId="19" borderId="12" xfId="0" applyNumberFormat="1" applyFont="1" applyFill="1" applyBorder="1"/>
    <xf numFmtId="0" fontId="64" fillId="19" borderId="0" xfId="0" applyNumberFormat="1" applyFont="1" applyFill="1" applyAlignment="1">
      <alignment horizontal="center"/>
    </xf>
    <xf numFmtId="37" fontId="93" fillId="7" borderId="2" xfId="0" applyNumberFormat="1" applyFont="1" applyFill="1" applyBorder="1"/>
    <xf numFmtId="37" fontId="82" fillId="7" borderId="2" xfId="0" applyNumberFormat="1" applyFont="1" applyFill="1" applyBorder="1"/>
    <xf numFmtId="40" fontId="0" fillId="7" borderId="2" xfId="0" applyNumberFormat="1" applyFill="1" applyBorder="1"/>
    <xf numFmtId="176" fontId="0" fillId="7" borderId="2" xfId="0" applyNumberFormat="1" applyFill="1" applyBorder="1"/>
    <xf numFmtId="0" fontId="0" fillId="7" borderId="2" xfId="0" applyNumberFormat="1" applyFill="1" applyBorder="1"/>
    <xf numFmtId="182" fontId="93" fillId="7" borderId="2" xfId="0" applyNumberFormat="1" applyFont="1" applyFill="1" applyBorder="1"/>
    <xf numFmtId="38" fontId="0" fillId="7" borderId="2" xfId="0" applyNumberFormat="1" applyFill="1" applyBorder="1"/>
    <xf numFmtId="38" fontId="93" fillId="7" borderId="2" xfId="0" applyNumberFormat="1" applyFont="1" applyFill="1" applyBorder="1"/>
    <xf numFmtId="0" fontId="93" fillId="7" borderId="0" xfId="0" applyNumberFormat="1" applyFont="1" applyFill="1" applyAlignment="1">
      <alignment horizontal="left"/>
    </xf>
    <xf numFmtId="176" fontId="0" fillId="7" borderId="9" xfId="0" applyNumberFormat="1" applyFill="1" applyBorder="1"/>
    <xf numFmtId="0" fontId="4" fillId="7" borderId="0" xfId="0" applyNumberFormat="1" applyFont="1" applyFill="1" applyAlignment="1">
      <alignment horizontal="center"/>
    </xf>
    <xf numFmtId="0" fontId="4" fillId="7" borderId="0" xfId="0" quotePrefix="1" applyNumberFormat="1" applyFont="1" applyFill="1" applyAlignment="1">
      <alignment horizontal="left"/>
    </xf>
    <xf numFmtId="0" fontId="4" fillId="7" borderId="0" xfId="0" applyNumberFormat="1" applyFont="1" applyFill="1" applyAlignment="1">
      <alignment horizontal="left"/>
    </xf>
    <xf numFmtId="0" fontId="0" fillId="7" borderId="0" xfId="0" quotePrefix="1" applyNumberFormat="1" applyFill="1"/>
    <xf numFmtId="38" fontId="11" fillId="7" borderId="9" xfId="0" applyNumberFormat="1" applyFont="1" applyFill="1" applyBorder="1"/>
    <xf numFmtId="38" fontId="91" fillId="12" borderId="9" xfId="0" applyNumberFormat="1" applyFont="1" applyFill="1" applyBorder="1" applyAlignment="1" applyProtection="1">
      <alignment horizontal="center"/>
      <protection locked="0"/>
    </xf>
    <xf numFmtId="38" fontId="93" fillId="7" borderId="110" xfId="0" applyNumberFormat="1" applyFont="1" applyFill="1" applyBorder="1"/>
    <xf numFmtId="0" fontId="4" fillId="2" borderId="21" xfId="0" applyNumberFormat="1" applyFont="1" applyBorder="1" applyAlignment="1">
      <alignment horizontal="center"/>
    </xf>
    <xf numFmtId="0" fontId="4" fillId="2" borderId="13" xfId="0" applyNumberFormat="1" applyFont="1" applyBorder="1" applyAlignment="1">
      <alignment horizontal="center"/>
    </xf>
    <xf numFmtId="0" fontId="4" fillId="19" borderId="0" xfId="0" quotePrefix="1" applyNumberFormat="1" applyFont="1" applyFill="1" applyAlignment="1">
      <alignment horizontal="left"/>
    </xf>
    <xf numFmtId="0" fontId="4" fillId="5" borderId="48" xfId="0" applyNumberFormat="1" applyFont="1" applyFill="1" applyBorder="1" applyAlignment="1">
      <alignment horizontal="left"/>
    </xf>
    <xf numFmtId="0" fontId="4" fillId="5" borderId="48" xfId="0" applyNumberFormat="1" applyFont="1" applyFill="1" applyBorder="1"/>
    <xf numFmtId="0" fontId="4" fillId="5" borderId="36" xfId="0" applyNumberFormat="1" applyFont="1" applyFill="1" applyBorder="1" applyAlignment="1">
      <alignment horizontal="left"/>
    </xf>
    <xf numFmtId="0" fontId="4" fillId="5" borderId="47" xfId="0" applyNumberFormat="1" applyFont="1" applyFill="1" applyBorder="1" applyAlignment="1">
      <alignment horizontal="left"/>
    </xf>
    <xf numFmtId="0" fontId="0" fillId="2" borderId="12" xfId="0" applyNumberFormat="1" applyBorder="1" applyAlignment="1">
      <alignment horizontal="center"/>
    </xf>
    <xf numFmtId="0" fontId="139" fillId="2" borderId="10" xfId="0" applyNumberFormat="1" applyFont="1" applyBorder="1" applyAlignment="1">
      <alignment horizontal="left"/>
    </xf>
    <xf numFmtId="177" fontId="174" fillId="2" borderId="0" xfId="0" applyNumberFormat="1" applyFont="1"/>
    <xf numFmtId="176" fontId="174" fillId="2" borderId="0" xfId="0" applyNumberFormat="1" applyFont="1"/>
    <xf numFmtId="38" fontId="174" fillId="2" borderId="0" xfId="0" applyNumberFormat="1" applyFont="1"/>
    <xf numFmtId="0" fontId="0" fillId="2" borderId="11" xfId="0" applyNumberFormat="1" applyBorder="1" applyAlignment="1">
      <alignment horizontal="right"/>
    </xf>
    <xf numFmtId="0" fontId="0" fillId="2" borderId="4" xfId="0" applyNumberFormat="1" applyBorder="1" applyAlignment="1">
      <alignment horizontal="right"/>
    </xf>
    <xf numFmtId="0" fontId="0" fillId="2" borderId="0" xfId="0" applyNumberFormat="1" applyBorder="1" applyAlignment="1">
      <alignment horizontal="right"/>
    </xf>
    <xf numFmtId="177" fontId="0" fillId="2" borderId="9" xfId="0" applyNumberFormat="1" applyBorder="1" applyAlignment="1">
      <alignment horizontal="center"/>
    </xf>
    <xf numFmtId="38" fontId="0" fillId="2" borderId="9" xfId="0" applyNumberFormat="1" applyBorder="1" applyAlignment="1">
      <alignment horizontal="center"/>
    </xf>
    <xf numFmtId="3" fontId="174" fillId="2" borderId="0" xfId="0" applyNumberFormat="1" applyFont="1"/>
    <xf numFmtId="38" fontId="175" fillId="2" borderId="0" xfId="0" applyNumberFormat="1" applyFont="1"/>
    <xf numFmtId="0" fontId="112" fillId="2" borderId="0" xfId="0" quotePrefix="1" applyNumberFormat="1" applyFont="1" applyAlignment="1">
      <alignment horizontal="left"/>
    </xf>
    <xf numFmtId="0" fontId="112" fillId="2" borderId="0" xfId="0" quotePrefix="1" applyNumberFormat="1" applyFont="1"/>
    <xf numFmtId="49" fontId="4" fillId="2" borderId="0" xfId="0" applyNumberFormat="1" applyFont="1" applyAlignment="1">
      <alignment horizontal="left"/>
    </xf>
    <xf numFmtId="6" fontId="68" fillId="2" borderId="0" xfId="0" applyNumberFormat="1" applyFont="1"/>
    <xf numFmtId="0" fontId="15" fillId="5" borderId="22" xfId="0" applyNumberFormat="1" applyFont="1" applyFill="1" applyBorder="1"/>
    <xf numFmtId="0" fontId="124" fillId="2" borderId="10" xfId="0" applyNumberFormat="1" applyFont="1" applyBorder="1"/>
    <xf numFmtId="0" fontId="124" fillId="5" borderId="10" xfId="0" applyNumberFormat="1" applyFont="1" applyFill="1" applyBorder="1"/>
    <xf numFmtId="0" fontId="176" fillId="5" borderId="0" xfId="0" applyFont="1" applyFill="1"/>
    <xf numFmtId="0" fontId="176" fillId="2" borderId="0" xfId="0" applyFont="1"/>
    <xf numFmtId="0" fontId="30" fillId="5" borderId="10" xfId="0" applyFont="1" applyFill="1" applyBorder="1"/>
    <xf numFmtId="0" fontId="30" fillId="5" borderId="12" xfId="0" applyFont="1" applyFill="1" applyBorder="1"/>
    <xf numFmtId="176" fontId="9" fillId="19" borderId="9" xfId="0" applyNumberFormat="1" applyFont="1" applyFill="1" applyBorder="1"/>
    <xf numFmtId="0" fontId="0" fillId="2" borderId="0" xfId="0" applyNumberFormat="1" applyFont="1" applyBorder="1"/>
    <xf numFmtId="38" fontId="176" fillId="19" borderId="9" xfId="0" applyNumberFormat="1" applyFont="1" applyFill="1" applyBorder="1"/>
    <xf numFmtId="38" fontId="112" fillId="19" borderId="9" xfId="0" applyNumberFormat="1" applyFont="1" applyFill="1" applyBorder="1"/>
    <xf numFmtId="0" fontId="140" fillId="5" borderId="0" xfId="0" applyFont="1" applyFill="1"/>
    <xf numFmtId="38" fontId="112" fillId="2" borderId="0" xfId="0" quotePrefix="1" applyNumberFormat="1" applyFont="1"/>
    <xf numFmtId="177" fontId="0" fillId="19" borderId="0" xfId="0" applyNumberFormat="1" applyFill="1"/>
    <xf numFmtId="182" fontId="0" fillId="19" borderId="0" xfId="0" applyNumberFormat="1" applyFill="1"/>
    <xf numFmtId="38" fontId="0" fillId="19" borderId="10" xfId="0" applyNumberFormat="1" applyFill="1" applyBorder="1"/>
    <xf numFmtId="0" fontId="119" fillId="5" borderId="11" xfId="0" applyNumberFormat="1" applyFont="1" applyFill="1" applyBorder="1"/>
    <xf numFmtId="0" fontId="4" fillId="19" borderId="15" xfId="0" applyNumberFormat="1" applyFont="1" applyFill="1" applyBorder="1"/>
    <xf numFmtId="0" fontId="0" fillId="19" borderId="21" xfId="0" applyNumberFormat="1" applyFill="1" applyBorder="1"/>
    <xf numFmtId="0" fontId="0" fillId="19" borderId="22" xfId="0" applyNumberFormat="1" applyFill="1" applyBorder="1"/>
    <xf numFmtId="0" fontId="4" fillId="19" borderId="16" xfId="0" applyNumberFormat="1" applyFont="1" applyFill="1" applyBorder="1"/>
    <xf numFmtId="0" fontId="0" fillId="19" borderId="13" xfId="0" applyNumberFormat="1" applyFill="1" applyBorder="1"/>
    <xf numFmtId="0" fontId="0" fillId="19" borderId="23" xfId="0" applyNumberFormat="1" applyFill="1" applyBorder="1"/>
    <xf numFmtId="0" fontId="4" fillId="19" borderId="47" xfId="0" applyNumberFormat="1" applyFont="1" applyFill="1" applyBorder="1"/>
    <xf numFmtId="0" fontId="4" fillId="19" borderId="22" xfId="0" applyNumberFormat="1" applyFont="1" applyFill="1" applyBorder="1"/>
    <xf numFmtId="0" fontId="4" fillId="19" borderId="48" xfId="0" applyNumberFormat="1" applyFont="1" applyFill="1" applyBorder="1"/>
    <xf numFmtId="0" fontId="4" fillId="19" borderId="36" xfId="0" applyNumberFormat="1" applyFont="1" applyFill="1" applyBorder="1"/>
    <xf numFmtId="182" fontId="4" fillId="19" borderId="10" xfId="0" applyNumberFormat="1" applyFont="1" applyFill="1" applyBorder="1"/>
    <xf numFmtId="38" fontId="4" fillId="19" borderId="10" xfId="0" applyNumberFormat="1" applyFont="1" applyFill="1" applyBorder="1"/>
    <xf numFmtId="38" fontId="4" fillId="19" borderId="12" xfId="0" applyNumberFormat="1" applyFont="1" applyFill="1" applyBorder="1"/>
    <xf numFmtId="178" fontId="0" fillId="19" borderId="11" xfId="0" applyNumberFormat="1" applyFill="1" applyBorder="1"/>
    <xf numFmtId="182" fontId="0" fillId="19" borderId="12" xfId="0" applyNumberFormat="1" applyFill="1" applyBorder="1"/>
    <xf numFmtId="38" fontId="0" fillId="19" borderId="11" xfId="0" applyNumberFormat="1" applyFill="1" applyBorder="1"/>
    <xf numFmtId="0" fontId="141" fillId="2" borderId="9" xfId="0" applyNumberFormat="1" applyFont="1" applyBorder="1"/>
    <xf numFmtId="0" fontId="0" fillId="2" borderId="0" xfId="0" applyAlignment="1">
      <alignment horizontal="left"/>
    </xf>
    <xf numFmtId="190" fontId="0" fillId="0" borderId="0" xfId="2" applyNumberFormat="1" applyFont="1" applyAlignment="1">
      <alignment horizontal="right"/>
    </xf>
    <xf numFmtId="190" fontId="4" fillId="19" borderId="9" xfId="2" applyNumberFormat="1" applyFont="1" applyFill="1" applyBorder="1" applyAlignment="1">
      <alignment horizontal="right"/>
    </xf>
    <xf numFmtId="190" fontId="7" fillId="19" borderId="0" xfId="2" applyNumberFormat="1" applyFont="1" applyFill="1" applyAlignment="1">
      <alignment horizontal="right"/>
    </xf>
    <xf numFmtId="190" fontId="4" fillId="5" borderId="9" xfId="2" applyNumberFormat="1" applyFont="1" applyFill="1" applyBorder="1" applyAlignment="1">
      <alignment horizontal="right"/>
    </xf>
    <xf numFmtId="190" fontId="7" fillId="5" borderId="0" xfId="2" applyNumberFormat="1" applyFont="1" applyFill="1" applyAlignment="1">
      <alignment horizontal="right"/>
    </xf>
    <xf numFmtId="0" fontId="177" fillId="2" borderId="0" xfId="0" applyFont="1"/>
    <xf numFmtId="0" fontId="109" fillId="2" borderId="0" xfId="0" applyFont="1"/>
    <xf numFmtId="170" fontId="109" fillId="2" borderId="0" xfId="0" applyNumberFormat="1" applyFont="1"/>
    <xf numFmtId="6" fontId="15" fillId="2" borderId="68" xfId="0" quotePrefix="1" applyNumberFormat="1" applyFont="1" applyBorder="1" applyAlignment="1">
      <alignment horizontal="right"/>
    </xf>
    <xf numFmtId="6" fontId="15" fillId="2" borderId="76" xfId="0" quotePrefix="1" applyNumberFormat="1" applyFont="1" applyBorder="1" applyAlignment="1">
      <alignment horizontal="right"/>
    </xf>
    <xf numFmtId="171" fontId="133" fillId="19" borderId="0" xfId="0" applyNumberFormat="1" applyFont="1" applyFill="1" applyAlignment="1">
      <alignment horizontal="right"/>
    </xf>
    <xf numFmtId="39" fontId="133" fillId="19" borderId="0" xfId="0" applyNumberFormat="1" applyFont="1" applyFill="1" applyAlignment="1">
      <alignment horizontal="right"/>
    </xf>
    <xf numFmtId="0" fontId="133" fillId="19" borderId="0" xfId="0" applyNumberFormat="1" applyFont="1" applyFill="1" applyAlignment="1">
      <alignment horizontal="right"/>
    </xf>
    <xf numFmtId="9" fontId="64" fillId="26" borderId="0" xfId="4" applyFont="1" applyFill="1" applyBorder="1" applyAlignment="1">
      <alignment horizontal="center" vertical="center" wrapText="1"/>
    </xf>
    <xf numFmtId="0" fontId="10" fillId="2" borderId="0" xfId="0" applyNumberFormat="1" applyFont="1" applyBorder="1"/>
    <xf numFmtId="176" fontId="0" fillId="7" borderId="0" xfId="0" applyNumberFormat="1" applyFill="1" applyBorder="1"/>
    <xf numFmtId="40" fontId="0" fillId="7" borderId="0" xfId="0" applyNumberFormat="1" applyFill="1" applyBorder="1"/>
    <xf numFmtId="182" fontId="93" fillId="7" borderId="0" xfId="0" applyNumberFormat="1" applyFont="1" applyFill="1" applyBorder="1"/>
    <xf numFmtId="38" fontId="0" fillId="7" borderId="0" xfId="0" applyNumberFormat="1" applyFill="1" applyBorder="1"/>
    <xf numFmtId="38" fontId="93" fillId="7" borderId="0" xfId="0" applyNumberFormat="1" applyFont="1" applyFill="1" applyBorder="1"/>
    <xf numFmtId="0" fontId="0" fillId="2" borderId="9" xfId="0" applyFill="1" applyBorder="1"/>
    <xf numFmtId="175" fontId="178" fillId="32" borderId="9" xfId="0" applyNumberFormat="1" applyFont="1" applyFill="1" applyBorder="1"/>
    <xf numFmtId="175" fontId="178" fillId="2" borderId="9" xfId="0" applyNumberFormat="1" applyFont="1" applyFill="1" applyBorder="1"/>
    <xf numFmtId="0" fontId="0" fillId="2" borderId="9" xfId="0" applyNumberFormat="1" applyFill="1" applyBorder="1"/>
    <xf numFmtId="175" fontId="0" fillId="2" borderId="9" xfId="0" applyNumberFormat="1" applyFill="1" applyBorder="1"/>
    <xf numFmtId="6" fontId="119" fillId="2" borderId="9" xfId="0" applyNumberFormat="1" applyFont="1" applyBorder="1" applyProtection="1"/>
    <xf numFmtId="38" fontId="137" fillId="8" borderId="2" xfId="0" applyNumberFormat="1" applyFont="1" applyFill="1" applyBorder="1"/>
    <xf numFmtId="176" fontId="137" fillId="8" borderId="2" xfId="0" applyNumberFormat="1" applyFont="1" applyFill="1" applyBorder="1"/>
    <xf numFmtId="176" fontId="137" fillId="5" borderId="2" xfId="0" applyNumberFormat="1" applyFont="1" applyFill="1" applyBorder="1"/>
    <xf numFmtId="187" fontId="137" fillId="2" borderId="9" xfId="0" applyNumberFormat="1" applyFont="1" applyBorder="1"/>
    <xf numFmtId="38" fontId="137" fillId="5" borderId="9" xfId="0" applyNumberFormat="1" applyFont="1" applyFill="1" applyBorder="1"/>
    <xf numFmtId="38" fontId="137" fillId="24" borderId="9" xfId="0" applyNumberFormat="1" applyFont="1" applyFill="1" applyBorder="1"/>
    <xf numFmtId="0" fontId="137" fillId="26" borderId="9" xfId="0" applyNumberFormat="1" applyFont="1" applyFill="1" applyBorder="1" applyAlignment="1">
      <alignment horizontal="center"/>
    </xf>
    <xf numFmtId="0" fontId="0" fillId="33" borderId="0" xfId="0" applyNumberFormat="1" applyFill="1"/>
    <xf numFmtId="0" fontId="4" fillId="33" borderId="0" xfId="0" quotePrefix="1" applyNumberFormat="1" applyFont="1" applyFill="1" applyAlignment="1">
      <alignment horizontal="center"/>
    </xf>
    <xf numFmtId="0" fontId="112" fillId="33" borderId="0" xfId="0" quotePrefix="1" applyNumberFormat="1" applyFont="1" applyFill="1" applyAlignment="1">
      <alignment horizontal="center"/>
    </xf>
    <xf numFmtId="0" fontId="4" fillId="33" borderId="0" xfId="0" applyNumberFormat="1" applyFont="1" applyFill="1" applyAlignment="1">
      <alignment horizontal="center"/>
    </xf>
    <xf numFmtId="38" fontId="164" fillId="33" borderId="94" xfId="0" applyNumberFormat="1" applyFont="1" applyFill="1" applyBorder="1"/>
    <xf numFmtId="0" fontId="164" fillId="33" borderId="0" xfId="0" applyNumberFormat="1" applyFont="1" applyFill="1"/>
    <xf numFmtId="0" fontId="0" fillId="33" borderId="0" xfId="0" applyNumberFormat="1" applyFill="1" applyAlignment="1">
      <alignment horizontal="right"/>
    </xf>
    <xf numFmtId="37" fontId="164" fillId="33" borderId="2" xfId="0" applyNumberFormat="1" applyFont="1" applyFill="1" applyBorder="1"/>
    <xf numFmtId="176" fontId="128" fillId="33" borderId="2" xfId="0" applyNumberFormat="1" applyFont="1" applyFill="1" applyBorder="1"/>
    <xf numFmtId="176" fontId="164" fillId="33" borderId="2" xfId="0" applyNumberFormat="1" applyFont="1" applyFill="1" applyBorder="1"/>
    <xf numFmtId="168" fontId="31" fillId="33" borderId="0" xfId="0" applyNumberFormat="1" applyFont="1" applyFill="1" applyBorder="1"/>
    <xf numFmtId="0" fontId="164" fillId="33" borderId="2" xfId="0" applyNumberFormat="1" applyFont="1" applyFill="1" applyBorder="1"/>
    <xf numFmtId="182" fontId="164" fillId="33" borderId="2" xfId="0" applyNumberFormat="1" applyFont="1" applyFill="1" applyBorder="1"/>
    <xf numFmtId="38" fontId="164" fillId="33" borderId="2" xfId="0" applyNumberFormat="1" applyFont="1" applyFill="1" applyBorder="1"/>
    <xf numFmtId="0" fontId="143" fillId="33" borderId="0" xfId="0" applyNumberFormat="1" applyFont="1" applyFill="1" applyAlignment="1">
      <alignment horizontal="right"/>
    </xf>
    <xf numFmtId="16" fontId="164" fillId="33" borderId="6" xfId="0" quotePrefix="1" applyNumberFormat="1" applyFont="1" applyFill="1" applyBorder="1" applyAlignment="1">
      <alignment horizontal="center"/>
    </xf>
    <xf numFmtId="0" fontId="128" fillId="33" borderId="29" xfId="0" applyNumberFormat="1" applyFont="1" applyFill="1" applyBorder="1" applyAlignment="1">
      <alignment horizontal="center"/>
    </xf>
    <xf numFmtId="0" fontId="164" fillId="33" borderId="47" xfId="0" applyNumberFormat="1" applyFont="1" applyFill="1" applyBorder="1" applyAlignment="1">
      <alignment horizontal="right"/>
    </xf>
    <xf numFmtId="0" fontId="143" fillId="33" borderId="0" xfId="0" applyNumberFormat="1" applyFont="1" applyFill="1" applyAlignment="1">
      <alignment horizontal="left"/>
    </xf>
    <xf numFmtId="38" fontId="164" fillId="33" borderId="0" xfId="0" applyNumberFormat="1" applyFont="1" applyFill="1"/>
    <xf numFmtId="38" fontId="164" fillId="33" borderId="15" xfId="0" applyNumberFormat="1" applyFont="1" applyFill="1" applyBorder="1"/>
    <xf numFmtId="0" fontId="128" fillId="33" borderId="48" xfId="0" applyNumberFormat="1" applyFont="1" applyFill="1" applyBorder="1" applyAlignment="1">
      <alignment horizontal="center"/>
    </xf>
    <xf numFmtId="0" fontId="164" fillId="33" borderId="0" xfId="0" applyNumberFormat="1" applyFont="1" applyFill="1" applyAlignment="1">
      <alignment horizontal="left"/>
    </xf>
    <xf numFmtId="38" fontId="164" fillId="33" borderId="16" xfId="0" applyNumberFormat="1" applyFont="1" applyFill="1" applyBorder="1"/>
    <xf numFmtId="38" fontId="164" fillId="33" borderId="36" xfId="0" applyNumberFormat="1" applyFont="1" applyFill="1" applyBorder="1"/>
    <xf numFmtId="182" fontId="164" fillId="33" borderId="0" xfId="0" applyNumberFormat="1" applyFont="1" applyFill="1"/>
    <xf numFmtId="0" fontId="164" fillId="33" borderId="0" xfId="0" applyNumberFormat="1" applyFont="1" applyFill="1" applyAlignment="1">
      <alignment horizontal="right"/>
    </xf>
    <xf numFmtId="0" fontId="143" fillId="33" borderId="0" xfId="0" applyNumberFormat="1" applyFont="1" applyFill="1"/>
    <xf numFmtId="0" fontId="164" fillId="33" borderId="0" xfId="0" quotePrefix="1" applyNumberFormat="1" applyFont="1" applyFill="1" applyAlignment="1">
      <alignment horizontal="center"/>
    </xf>
    <xf numFmtId="0" fontId="42" fillId="33" borderId="0" xfId="0" applyNumberFormat="1" applyFont="1" applyFill="1"/>
    <xf numFmtId="0" fontId="165" fillId="33" borderId="0" xfId="0" applyNumberFormat="1" applyFont="1" applyFill="1"/>
    <xf numFmtId="0" fontId="78" fillId="33" borderId="0" xfId="0" applyNumberFormat="1" applyFont="1" applyFill="1"/>
    <xf numFmtId="0" fontId="78" fillId="33" borderId="0" xfId="0" applyNumberFormat="1" applyFont="1" applyFill="1" applyAlignment="1">
      <alignment horizontal="right"/>
    </xf>
    <xf numFmtId="176" fontId="78" fillId="33" borderId="0" xfId="0" applyNumberFormat="1" applyFont="1" applyFill="1"/>
    <xf numFmtId="38" fontId="0" fillId="33" borderId="0" xfId="0" applyNumberFormat="1" applyFill="1"/>
    <xf numFmtId="0" fontId="4" fillId="33" borderId="0" xfId="0" applyNumberFormat="1" applyFont="1" applyFill="1" applyAlignment="1">
      <alignment horizontal="right"/>
    </xf>
    <xf numFmtId="0" fontId="169" fillId="33" borderId="0" xfId="0" applyNumberFormat="1" applyFont="1" applyFill="1"/>
    <xf numFmtId="37" fontId="164" fillId="33" borderId="107" xfId="0" applyNumberFormat="1" applyFont="1" applyFill="1" applyBorder="1"/>
    <xf numFmtId="176" fontId="164" fillId="33" borderId="107" xfId="0" applyNumberFormat="1" applyFont="1" applyFill="1" applyBorder="1"/>
    <xf numFmtId="0" fontId="112" fillId="33" borderId="107" xfId="0" applyNumberFormat="1" applyFont="1" applyFill="1" applyBorder="1"/>
    <xf numFmtId="0" fontId="112" fillId="33" borderId="0" xfId="0" applyNumberFormat="1" applyFont="1" applyFill="1" applyAlignment="1">
      <alignment horizontal="left"/>
    </xf>
    <xf numFmtId="0" fontId="169" fillId="33" borderId="107" xfId="0" applyNumberFormat="1" applyFont="1" applyFill="1" applyBorder="1"/>
    <xf numFmtId="38" fontId="128" fillId="33" borderId="2" xfId="0" applyNumberFormat="1" applyFont="1" applyFill="1" applyBorder="1"/>
    <xf numFmtId="0" fontId="164" fillId="33" borderId="6" xfId="0" quotePrefix="1" applyNumberFormat="1" applyFont="1" applyFill="1" applyBorder="1" applyAlignment="1">
      <alignment horizontal="center"/>
    </xf>
    <xf numFmtId="0" fontId="169" fillId="33" borderId="47" xfId="0" applyNumberFormat="1" applyFont="1" applyFill="1" applyBorder="1"/>
    <xf numFmtId="38" fontId="128" fillId="33" borderId="0" xfId="0" applyNumberFormat="1" applyFont="1" applyFill="1" applyBorder="1"/>
    <xf numFmtId="38" fontId="164" fillId="33" borderId="0" xfId="0" applyNumberFormat="1" applyFont="1" applyFill="1" applyBorder="1"/>
    <xf numFmtId="0" fontId="31" fillId="33" borderId="0" xfId="0" applyNumberFormat="1" applyFont="1" applyFill="1"/>
    <xf numFmtId="176" fontId="128" fillId="33" borderId="9" xfId="0" applyNumberFormat="1" applyFont="1" applyFill="1" applyBorder="1"/>
    <xf numFmtId="176" fontId="164" fillId="33" borderId="0" xfId="0" applyNumberFormat="1" applyFont="1" applyFill="1" applyBorder="1"/>
    <xf numFmtId="38" fontId="128" fillId="33" borderId="9" xfId="0" applyNumberFormat="1" applyFont="1" applyFill="1" applyBorder="1" applyAlignment="1">
      <alignment horizontal="right"/>
    </xf>
    <xf numFmtId="0" fontId="164" fillId="33" borderId="9" xfId="0" applyNumberFormat="1" applyFont="1" applyFill="1" applyBorder="1" applyAlignment="1">
      <alignment horizontal="right"/>
    </xf>
    <xf numFmtId="38" fontId="128" fillId="33" borderId="9" xfId="0" applyNumberFormat="1" applyFont="1" applyFill="1" applyBorder="1"/>
    <xf numFmtId="0" fontId="128" fillId="33" borderId="0" xfId="0" applyNumberFormat="1" applyFont="1" applyFill="1" applyBorder="1" applyAlignment="1">
      <alignment horizontal="right"/>
    </xf>
    <xf numFmtId="176" fontId="128" fillId="33" borderId="0" xfId="0" applyNumberFormat="1" applyFont="1" applyFill="1" applyBorder="1"/>
    <xf numFmtId="0" fontId="137" fillId="33" borderId="0" xfId="0" applyNumberFormat="1" applyFont="1" applyFill="1" applyAlignment="1">
      <alignment horizontal="right"/>
    </xf>
    <xf numFmtId="38" fontId="164" fillId="19" borderId="94" xfId="0" applyNumberFormat="1" applyFont="1" applyFill="1" applyBorder="1"/>
    <xf numFmtId="0" fontId="134" fillId="33" borderId="0" xfId="0" applyNumberFormat="1" applyFont="1" applyFill="1"/>
    <xf numFmtId="0" fontId="134" fillId="33" borderId="0" xfId="0" applyNumberFormat="1" applyFont="1" applyFill="1" applyAlignment="1">
      <alignment horizontal="center"/>
    </xf>
    <xf numFmtId="38" fontId="134" fillId="33" borderId="0" xfId="0" quotePrefix="1" applyNumberFormat="1" applyFont="1" applyFill="1" applyAlignment="1">
      <alignment horizontal="center"/>
    </xf>
    <xf numFmtId="0" fontId="134" fillId="33" borderId="0" xfId="0" quotePrefix="1" applyNumberFormat="1" applyFont="1" applyFill="1" applyAlignment="1">
      <alignment horizontal="center"/>
    </xf>
    <xf numFmtId="37" fontId="134" fillId="33" borderId="2" xfId="0" applyNumberFormat="1" applyFont="1" applyFill="1" applyBorder="1"/>
    <xf numFmtId="37" fontId="134" fillId="33" borderId="0" xfId="0" applyNumberFormat="1" applyFont="1" applyFill="1" applyBorder="1"/>
    <xf numFmtId="176" fontId="134" fillId="33" borderId="2" xfId="0" applyNumberFormat="1" applyFont="1" applyFill="1" applyBorder="1"/>
    <xf numFmtId="176" fontId="134" fillId="33" borderId="0" xfId="0" applyNumberFormat="1" applyFont="1" applyFill="1" applyBorder="1"/>
    <xf numFmtId="37" fontId="134" fillId="33" borderId="0" xfId="0" applyNumberFormat="1" applyFont="1" applyFill="1" applyBorder="1" applyAlignment="1">
      <alignment horizontal="center"/>
    </xf>
    <xf numFmtId="37" fontId="134" fillId="33" borderId="2" xfId="0" applyNumberFormat="1" applyFont="1" applyFill="1" applyBorder="1" applyAlignment="1">
      <alignment horizontal="center"/>
    </xf>
    <xf numFmtId="168" fontId="134" fillId="33" borderId="2" xfId="0" applyNumberFormat="1" applyFont="1" applyFill="1" applyBorder="1"/>
    <xf numFmtId="168" fontId="134" fillId="33" borderId="0" xfId="0" applyNumberFormat="1" applyFont="1" applyFill="1" applyBorder="1"/>
    <xf numFmtId="38" fontId="134" fillId="33" borderId="2" xfId="0" applyNumberFormat="1" applyFont="1" applyFill="1" applyBorder="1"/>
    <xf numFmtId="38" fontId="134" fillId="33" borderId="0" xfId="0" applyNumberFormat="1" applyFont="1" applyFill="1" applyBorder="1"/>
    <xf numFmtId="40" fontId="134" fillId="33" borderId="2" xfId="0" applyNumberFormat="1" applyFont="1" applyFill="1" applyBorder="1"/>
    <xf numFmtId="40" fontId="134" fillId="33" borderId="0" xfId="0" applyNumberFormat="1" applyFont="1" applyFill="1" applyBorder="1"/>
    <xf numFmtId="176" fontId="31" fillId="33" borderId="2" xfId="0" applyNumberFormat="1" applyFont="1" applyFill="1" applyBorder="1"/>
    <xf numFmtId="38" fontId="134" fillId="33" borderId="9" xfId="0" applyNumberFormat="1" applyFont="1" applyFill="1" applyBorder="1"/>
    <xf numFmtId="38" fontId="134" fillId="33" borderId="0" xfId="0" applyNumberFormat="1" applyFont="1" applyFill="1"/>
    <xf numFmtId="38" fontId="134" fillId="33" borderId="8" xfId="0" applyNumberFormat="1" applyFont="1" applyFill="1" applyBorder="1"/>
    <xf numFmtId="38" fontId="134" fillId="33" borderId="9" xfId="0" applyNumberFormat="1" applyFont="1" applyFill="1" applyBorder="1" applyAlignment="1" applyProtection="1">
      <alignment horizontal="center"/>
      <protection locked="0"/>
    </xf>
    <xf numFmtId="38" fontId="134" fillId="33" borderId="9" xfId="0" applyNumberFormat="1" applyFont="1" applyFill="1" applyBorder="1" applyAlignment="1">
      <alignment horizontal="center"/>
    </xf>
    <xf numFmtId="0" fontId="134" fillId="33" borderId="0" xfId="0" quotePrefix="1" applyNumberFormat="1" applyFont="1" applyFill="1"/>
    <xf numFmtId="0" fontId="134" fillId="33" borderId="9" xfId="0" applyNumberFormat="1" applyFont="1" applyFill="1" applyBorder="1"/>
    <xf numFmtId="0" fontId="4" fillId="2" borderId="54" xfId="0" applyNumberFormat="1" applyFont="1" applyBorder="1"/>
    <xf numFmtId="0" fontId="81" fillId="5" borderId="0" xfId="0" applyNumberFormat="1" applyFont="1" applyFill="1" applyAlignment="1">
      <alignment horizontal="right"/>
    </xf>
    <xf numFmtId="0" fontId="27" fillId="5" borderId="0" xfId="0" applyNumberFormat="1" applyFont="1" applyFill="1" applyAlignment="1">
      <alignment horizontal="right"/>
    </xf>
    <xf numFmtId="171" fontId="133" fillId="5" borderId="0" xfId="0" applyNumberFormat="1" applyFont="1" applyFill="1" applyAlignment="1">
      <alignment horizontal="right"/>
    </xf>
    <xf numFmtId="39" fontId="82" fillId="5" borderId="0" xfId="0" applyNumberFormat="1" applyFont="1" applyFill="1" applyAlignment="1">
      <alignment horizontal="right"/>
    </xf>
    <xf numFmtId="0" fontId="82" fillId="5" borderId="0" xfId="0" applyNumberFormat="1" applyFont="1" applyFill="1" applyAlignment="1">
      <alignment horizontal="right"/>
    </xf>
    <xf numFmtId="0" fontId="133" fillId="19" borderId="112" xfId="0" applyNumberFormat="1" applyFont="1" applyFill="1" applyBorder="1"/>
    <xf numFmtId="176" fontId="137" fillId="8" borderId="0" xfId="0" applyNumberFormat="1" applyFont="1" applyFill="1" applyBorder="1"/>
    <xf numFmtId="176" fontId="147" fillId="8" borderId="0" xfId="0" applyNumberFormat="1" applyFont="1" applyFill="1" applyBorder="1"/>
    <xf numFmtId="0" fontId="143" fillId="8" borderId="112" xfId="0" applyNumberFormat="1" applyFont="1" applyFill="1" applyBorder="1"/>
    <xf numFmtId="0" fontId="143" fillId="8" borderId="112" xfId="0" applyNumberFormat="1" applyFont="1" applyFill="1" applyBorder="1" applyAlignment="1">
      <alignment horizontal="center"/>
    </xf>
    <xf numFmtId="176" fontId="143" fillId="8" borderId="113" xfId="0" applyNumberFormat="1" applyFont="1" applyFill="1" applyBorder="1"/>
    <xf numFmtId="37" fontId="143" fillId="8" borderId="113" xfId="0" applyNumberFormat="1" applyFont="1" applyFill="1" applyBorder="1"/>
    <xf numFmtId="0" fontId="133" fillId="19" borderId="2" xfId="0" applyNumberFormat="1" applyFont="1" applyFill="1" applyBorder="1" applyAlignment="1">
      <alignment horizontal="center"/>
    </xf>
    <xf numFmtId="0" fontId="137" fillId="19" borderId="2" xfId="0" applyNumberFormat="1" applyFont="1" applyFill="1" applyBorder="1" applyAlignment="1">
      <alignment horizontal="center"/>
    </xf>
    <xf numFmtId="0" fontId="143" fillId="19" borderId="2" xfId="0" applyNumberFormat="1" applyFont="1" applyFill="1" applyBorder="1" applyAlignment="1">
      <alignment horizontal="center"/>
    </xf>
    <xf numFmtId="0" fontId="164" fillId="19" borderId="2" xfId="0" applyNumberFormat="1" applyFont="1" applyFill="1" applyBorder="1" applyAlignment="1">
      <alignment horizontal="center"/>
    </xf>
    <xf numFmtId="38" fontId="133" fillId="27" borderId="48" xfId="0" applyNumberFormat="1" applyFont="1" applyFill="1" applyBorder="1"/>
    <xf numFmtId="38" fontId="137" fillId="27" borderId="48" xfId="0" applyNumberFormat="1" applyFont="1" applyFill="1" applyBorder="1"/>
    <xf numFmtId="38" fontId="143" fillId="27" borderId="48" xfId="0" applyNumberFormat="1" applyFont="1" applyFill="1" applyBorder="1"/>
    <xf numFmtId="38" fontId="147" fillId="27" borderId="48" xfId="0" applyNumberFormat="1" applyFont="1" applyFill="1" applyBorder="1"/>
    <xf numFmtId="38" fontId="164" fillId="27" borderId="48" xfId="0" applyNumberFormat="1" applyFont="1" applyFill="1" applyBorder="1"/>
    <xf numFmtId="176" fontId="133" fillId="5" borderId="2" xfId="0" applyNumberFormat="1" applyFont="1" applyFill="1" applyBorder="1"/>
    <xf numFmtId="187" fontId="133" fillId="2" borderId="9" xfId="0" applyNumberFormat="1" applyFont="1" applyBorder="1"/>
    <xf numFmtId="38" fontId="133" fillId="5" borderId="9" xfId="0" applyNumberFormat="1" applyFont="1" applyFill="1" applyBorder="1"/>
    <xf numFmtId="38" fontId="133" fillId="24" borderId="9" xfId="0" applyNumberFormat="1" applyFont="1" applyFill="1" applyBorder="1"/>
    <xf numFmtId="0" fontId="133" fillId="26" borderId="9" xfId="0" applyNumberFormat="1" applyFont="1" applyFill="1" applyBorder="1" applyAlignment="1">
      <alignment horizontal="center"/>
    </xf>
    <xf numFmtId="176" fontId="143" fillId="5" borderId="2" xfId="0" applyNumberFormat="1" applyFont="1" applyFill="1" applyBorder="1"/>
    <xf numFmtId="187" fontId="143" fillId="2" borderId="9" xfId="0" applyNumberFormat="1" applyFont="1" applyBorder="1"/>
    <xf numFmtId="38" fontId="143" fillId="5" borderId="9" xfId="0" applyNumberFormat="1" applyFont="1" applyFill="1" applyBorder="1"/>
    <xf numFmtId="38" fontId="143" fillId="24" borderId="9" xfId="0" applyNumberFormat="1" applyFont="1" applyFill="1" applyBorder="1"/>
    <xf numFmtId="0" fontId="143" fillId="26" borderId="9" xfId="0" applyNumberFormat="1" applyFont="1" applyFill="1" applyBorder="1" applyAlignment="1">
      <alignment horizontal="center"/>
    </xf>
    <xf numFmtId="38" fontId="147" fillId="8" borderId="2" xfId="0" applyNumberFormat="1" applyFont="1" applyFill="1" applyBorder="1"/>
    <xf numFmtId="176" fontId="147" fillId="5" borderId="2" xfId="0" applyNumberFormat="1" applyFont="1" applyFill="1" applyBorder="1"/>
    <xf numFmtId="187" fontId="147" fillId="2" borderId="9" xfId="0" applyNumberFormat="1" applyFont="1" applyBorder="1"/>
    <xf numFmtId="38" fontId="147" fillId="5" borderId="9" xfId="0" applyNumberFormat="1" applyFont="1" applyFill="1" applyBorder="1"/>
    <xf numFmtId="38" fontId="147" fillId="24" borderId="9" xfId="0" applyNumberFormat="1" applyFont="1" applyFill="1" applyBorder="1"/>
    <xf numFmtId="0" fontId="147" fillId="26" borderId="9" xfId="0" applyNumberFormat="1" applyFont="1" applyFill="1" applyBorder="1" applyAlignment="1">
      <alignment horizontal="center"/>
    </xf>
    <xf numFmtId="38" fontId="164" fillId="8" borderId="2" xfId="0" applyNumberFormat="1" applyFont="1" applyFill="1" applyBorder="1"/>
    <xf numFmtId="176" fontId="164" fillId="8" borderId="0" xfId="0" applyNumberFormat="1" applyFont="1" applyFill="1" applyBorder="1"/>
    <xf numFmtId="176" fontId="164" fillId="5" borderId="2" xfId="0" applyNumberFormat="1" applyFont="1" applyFill="1" applyBorder="1"/>
    <xf numFmtId="187" fontId="164" fillId="2" borderId="9" xfId="0" applyNumberFormat="1" applyFont="1" applyBorder="1"/>
    <xf numFmtId="38" fontId="164" fillId="5" borderId="9" xfId="0" applyNumberFormat="1" applyFont="1" applyFill="1" applyBorder="1"/>
    <xf numFmtId="38" fontId="164" fillId="24" borderId="9" xfId="0" applyNumberFormat="1" applyFont="1" applyFill="1" applyBorder="1"/>
    <xf numFmtId="0" fontId="164" fillId="26" borderId="9" xfId="0" applyNumberFormat="1" applyFont="1" applyFill="1" applyBorder="1" applyAlignment="1">
      <alignment horizontal="center"/>
    </xf>
    <xf numFmtId="0" fontId="112" fillId="5" borderId="0" xfId="0" applyNumberFormat="1" applyFont="1" applyFill="1"/>
    <xf numFmtId="0" fontId="13" fillId="27" borderId="29" xfId="0" applyNumberFormat="1" applyFont="1" applyFill="1" applyBorder="1" applyAlignment="1">
      <alignment horizontal="right"/>
    </xf>
    <xf numFmtId="0" fontId="133" fillId="27" borderId="22" xfId="0" applyNumberFormat="1" applyFont="1" applyFill="1" applyBorder="1" applyAlignment="1">
      <alignment horizontal="center"/>
    </xf>
    <xf numFmtId="0" fontId="137" fillId="27" borderId="22" xfId="0" applyNumberFormat="1" applyFont="1" applyFill="1" applyBorder="1" applyAlignment="1">
      <alignment horizontal="center"/>
    </xf>
    <xf numFmtId="0" fontId="143" fillId="27" borderId="22" xfId="0" applyNumberFormat="1" applyFont="1" applyFill="1" applyBorder="1" applyAlignment="1">
      <alignment horizontal="center"/>
    </xf>
    <xf numFmtId="0" fontId="147" fillId="27" borderId="22" xfId="0" applyNumberFormat="1" applyFont="1" applyFill="1" applyBorder="1" applyAlignment="1">
      <alignment horizontal="center"/>
    </xf>
    <xf numFmtId="0" fontId="164" fillId="27" borderId="22" xfId="0" applyNumberFormat="1" applyFont="1" applyFill="1" applyBorder="1" applyAlignment="1">
      <alignment horizontal="center"/>
    </xf>
    <xf numFmtId="38" fontId="13" fillId="27" borderId="15" xfId="0" applyNumberFormat="1" applyFont="1" applyFill="1" applyBorder="1" applyAlignment="1">
      <alignment horizontal="right"/>
    </xf>
    <xf numFmtId="38" fontId="133" fillId="27" borderId="20" xfId="0" applyNumberFormat="1" applyFont="1" applyFill="1" applyBorder="1" applyAlignment="1">
      <alignment horizontal="center"/>
    </xf>
    <xf numFmtId="38" fontId="137" fillId="27" borderId="20" xfId="0" applyNumberFormat="1" applyFont="1" applyFill="1" applyBorder="1" applyAlignment="1">
      <alignment horizontal="center"/>
    </xf>
    <xf numFmtId="38" fontId="143" fillId="27" borderId="20" xfId="0" applyNumberFormat="1" applyFont="1" applyFill="1" applyBorder="1" applyAlignment="1">
      <alignment horizontal="center"/>
    </xf>
    <xf numFmtId="38" fontId="147" fillId="27" borderId="20" xfId="0" applyNumberFormat="1" applyFont="1" applyFill="1" applyBorder="1" applyAlignment="1">
      <alignment horizontal="center"/>
    </xf>
    <xf numFmtId="38" fontId="164" fillId="27" borderId="20" xfId="0" applyNumberFormat="1" applyFont="1" applyFill="1" applyBorder="1" applyAlignment="1">
      <alignment horizontal="center"/>
    </xf>
    <xf numFmtId="0" fontId="13" fillId="27" borderId="15" xfId="0" applyNumberFormat="1" applyFont="1" applyFill="1" applyBorder="1" applyAlignment="1">
      <alignment horizontal="right"/>
    </xf>
    <xf numFmtId="0" fontId="133" fillId="27" borderId="20" xfId="0" applyNumberFormat="1" applyFont="1" applyFill="1" applyBorder="1"/>
    <xf numFmtId="0" fontId="137" fillId="27" borderId="20" xfId="0" applyNumberFormat="1" applyFont="1" applyFill="1" applyBorder="1"/>
    <xf numFmtId="0" fontId="143" fillId="27" borderId="20" xfId="0" applyNumberFormat="1" applyFont="1" applyFill="1" applyBorder="1"/>
    <xf numFmtId="0" fontId="147" fillId="27" borderId="20" xfId="0" applyNumberFormat="1" applyFont="1" applyFill="1" applyBorder="1"/>
    <xf numFmtId="0" fontId="164" fillId="27" borderId="20" xfId="0" applyNumberFormat="1" applyFont="1" applyFill="1" applyBorder="1"/>
    <xf numFmtId="37" fontId="13" fillId="27" borderId="15" xfId="0" applyNumberFormat="1" applyFont="1" applyFill="1" applyBorder="1" applyAlignment="1">
      <alignment horizontal="right"/>
    </xf>
    <xf numFmtId="0" fontId="13" fillId="27" borderId="15" xfId="0" applyNumberFormat="1" applyFont="1" applyFill="1" applyBorder="1" applyAlignment="1">
      <alignment horizontal="left"/>
    </xf>
    <xf numFmtId="0" fontId="11" fillId="27" borderId="16" xfId="0" applyNumberFormat="1" applyFont="1" applyFill="1" applyBorder="1"/>
    <xf numFmtId="38" fontId="133" fillId="27" borderId="23" xfId="0" applyNumberFormat="1" applyFont="1" applyFill="1" applyBorder="1" applyAlignment="1">
      <alignment horizontal="center"/>
    </xf>
    <xf numFmtId="38" fontId="137" fillId="27" borderId="23" xfId="0" applyNumberFormat="1" applyFont="1" applyFill="1" applyBorder="1" applyAlignment="1">
      <alignment horizontal="center"/>
    </xf>
    <xf numFmtId="38" fontId="143" fillId="27" borderId="23" xfId="0" applyNumberFormat="1" applyFont="1" applyFill="1" applyBorder="1" applyAlignment="1">
      <alignment horizontal="center"/>
    </xf>
    <xf numFmtId="38" fontId="147" fillId="27" borderId="23" xfId="0" applyNumberFormat="1" applyFont="1" applyFill="1" applyBorder="1" applyAlignment="1">
      <alignment horizontal="center"/>
    </xf>
    <xf numFmtId="38" fontId="164" fillId="27" borderId="23" xfId="0" applyNumberFormat="1" applyFont="1" applyFill="1" applyBorder="1" applyAlignment="1">
      <alignment horizontal="center"/>
    </xf>
    <xf numFmtId="0" fontId="133" fillId="19" borderId="9" xfId="0" quotePrefix="1" applyNumberFormat="1" applyFont="1" applyFill="1" applyBorder="1" applyAlignment="1">
      <alignment horizontal="center"/>
    </xf>
    <xf numFmtId="0" fontId="137" fillId="19" borderId="9" xfId="0" quotePrefix="1" applyNumberFormat="1" applyFont="1" applyFill="1" applyBorder="1" applyAlignment="1">
      <alignment horizontal="center"/>
    </xf>
    <xf numFmtId="0" fontId="143" fillId="19" borderId="9" xfId="0" quotePrefix="1" applyNumberFormat="1" applyFont="1" applyFill="1" applyBorder="1" applyAlignment="1">
      <alignment horizontal="center"/>
    </xf>
    <xf numFmtId="0" fontId="147" fillId="19" borderId="9" xfId="0" quotePrefix="1" applyNumberFormat="1" applyFont="1" applyFill="1" applyBorder="1" applyAlignment="1">
      <alignment horizontal="center"/>
    </xf>
    <xf numFmtId="0" fontId="164" fillId="19" borderId="9" xfId="0" quotePrefix="1" applyNumberFormat="1" applyFont="1" applyFill="1" applyBorder="1" applyAlignment="1">
      <alignment horizontal="center"/>
    </xf>
    <xf numFmtId="0" fontId="4" fillId="5" borderId="0" xfId="0" applyNumberFormat="1" applyFont="1" applyFill="1" applyAlignment="1"/>
    <xf numFmtId="0" fontId="133" fillId="8" borderId="112" xfId="0" applyNumberFormat="1" applyFont="1" applyFill="1" applyBorder="1"/>
    <xf numFmtId="0" fontId="133" fillId="8" borderId="112" xfId="0" quotePrefix="1" applyNumberFormat="1" applyFont="1" applyFill="1" applyBorder="1" applyAlignment="1">
      <alignment horizontal="center"/>
    </xf>
    <xf numFmtId="0" fontId="133" fillId="8" borderId="112" xfId="0" applyNumberFormat="1" applyFont="1" applyFill="1" applyBorder="1" applyAlignment="1">
      <alignment horizontal="center"/>
    </xf>
    <xf numFmtId="38" fontId="133" fillId="8" borderId="112" xfId="0" quotePrefix="1" applyNumberFormat="1" applyFont="1" applyFill="1" applyBorder="1" applyAlignment="1">
      <alignment horizontal="center"/>
    </xf>
    <xf numFmtId="37" fontId="133" fillId="8" borderId="113" xfId="0" applyNumberFormat="1" applyFont="1" applyFill="1" applyBorder="1"/>
    <xf numFmtId="176" fontId="133" fillId="8" borderId="113" xfId="0" applyNumberFormat="1" applyFont="1" applyFill="1" applyBorder="1"/>
    <xf numFmtId="37" fontId="133" fillId="8" borderId="113" xfId="0" applyNumberFormat="1" applyFont="1" applyFill="1" applyBorder="1" applyAlignment="1">
      <alignment horizontal="center"/>
    </xf>
    <xf numFmtId="168" fontId="133" fillId="8" borderId="113" xfId="0" applyNumberFormat="1" applyFont="1" applyFill="1" applyBorder="1"/>
    <xf numFmtId="38" fontId="133" fillId="8" borderId="113" xfId="0" applyNumberFormat="1" applyFont="1" applyFill="1" applyBorder="1"/>
    <xf numFmtId="40" fontId="133" fillId="8" borderId="113" xfId="0" applyNumberFormat="1" applyFont="1" applyFill="1" applyBorder="1"/>
    <xf numFmtId="176" fontId="31" fillId="2" borderId="113" xfId="0" applyNumberFormat="1" applyFont="1" applyBorder="1"/>
    <xf numFmtId="38" fontId="133" fillId="8" borderId="114" xfId="0" applyNumberFormat="1" applyFont="1" applyFill="1" applyBorder="1"/>
    <xf numFmtId="38" fontId="133" fillId="8" borderId="112" xfId="0" applyNumberFormat="1" applyFont="1" applyFill="1" applyBorder="1"/>
    <xf numFmtId="38" fontId="133" fillId="8" borderId="115" xfId="0" applyNumberFormat="1" applyFont="1" applyFill="1" applyBorder="1"/>
    <xf numFmtId="0" fontId="134" fillId="8" borderId="112" xfId="0" applyNumberFormat="1" applyFont="1" applyFill="1" applyBorder="1"/>
    <xf numFmtId="37" fontId="134" fillId="8" borderId="113" xfId="0" applyNumberFormat="1" applyFont="1" applyFill="1" applyBorder="1"/>
    <xf numFmtId="168" fontId="134" fillId="8" borderId="113" xfId="0" applyNumberFormat="1" applyFont="1" applyFill="1" applyBorder="1"/>
    <xf numFmtId="38" fontId="134" fillId="8" borderId="113" xfId="0" applyNumberFormat="1" applyFont="1" applyFill="1" applyBorder="1"/>
    <xf numFmtId="176" fontId="134" fillId="8" borderId="113" xfId="0" applyNumberFormat="1" applyFont="1" applyFill="1" applyBorder="1"/>
    <xf numFmtId="40" fontId="134" fillId="8" borderId="113" xfId="0" applyNumberFormat="1" applyFont="1" applyFill="1" applyBorder="1"/>
    <xf numFmtId="38" fontId="134" fillId="8" borderId="114" xfId="0" applyNumberFormat="1" applyFont="1" applyFill="1" applyBorder="1"/>
    <xf numFmtId="38" fontId="134" fillId="8" borderId="112" xfId="0" applyNumberFormat="1" applyFont="1" applyFill="1" applyBorder="1"/>
    <xf numFmtId="38" fontId="134" fillId="8" borderId="115" xfId="0" applyNumberFormat="1" applyFont="1" applyFill="1" applyBorder="1"/>
    <xf numFmtId="38" fontId="128" fillId="8" borderId="113" xfId="0" applyNumberFormat="1" applyFont="1" applyFill="1" applyBorder="1"/>
    <xf numFmtId="37" fontId="128" fillId="8" borderId="113" xfId="0" applyNumberFormat="1" applyFont="1" applyFill="1" applyBorder="1"/>
    <xf numFmtId="176" fontId="128" fillId="8" borderId="113" xfId="0" applyNumberFormat="1" applyFont="1" applyFill="1" applyBorder="1"/>
    <xf numFmtId="40" fontId="128" fillId="8" borderId="113" xfId="0" applyNumberFormat="1" applyFont="1" applyFill="1" applyBorder="1"/>
    <xf numFmtId="176" fontId="31" fillId="8" borderId="113" xfId="0" applyNumberFormat="1" applyFont="1" applyFill="1" applyBorder="1"/>
    <xf numFmtId="0" fontId="128" fillId="8" borderId="112" xfId="0" applyNumberFormat="1" applyFont="1" applyFill="1" applyBorder="1"/>
    <xf numFmtId="38" fontId="128" fillId="8" borderId="114" xfId="0" applyNumberFormat="1" applyFont="1" applyFill="1" applyBorder="1"/>
    <xf numFmtId="38" fontId="128" fillId="8" borderId="112" xfId="0" applyNumberFormat="1" applyFont="1" applyFill="1" applyBorder="1"/>
    <xf numFmtId="38" fontId="128" fillId="8" borderId="115" xfId="0" applyNumberFormat="1" applyFont="1" applyFill="1" applyBorder="1"/>
    <xf numFmtId="38" fontId="128" fillId="20" borderId="112" xfId="0" applyNumberFormat="1" applyFont="1" applyFill="1" applyBorder="1"/>
    <xf numFmtId="38" fontId="133" fillId="19" borderId="112" xfId="0" applyNumberFormat="1" applyFont="1" applyFill="1" applyBorder="1"/>
    <xf numFmtId="0" fontId="128" fillId="19" borderId="112" xfId="0" applyNumberFormat="1" applyFont="1" applyFill="1" applyBorder="1"/>
    <xf numFmtId="38" fontId="128" fillId="19" borderId="112" xfId="0" applyNumberFormat="1" applyFont="1" applyFill="1" applyBorder="1"/>
    <xf numFmtId="0" fontId="143" fillId="27" borderId="112" xfId="0" applyNumberFormat="1" applyFont="1" applyFill="1" applyBorder="1"/>
    <xf numFmtId="0" fontId="143" fillId="27" borderId="112" xfId="0" applyNumberFormat="1" applyFont="1" applyFill="1" applyBorder="1" applyAlignment="1">
      <alignment horizontal="center"/>
    </xf>
    <xf numFmtId="38" fontId="143" fillId="27" borderId="112" xfId="0" quotePrefix="1" applyNumberFormat="1" applyFont="1" applyFill="1" applyBorder="1" applyAlignment="1">
      <alignment horizontal="center"/>
    </xf>
    <xf numFmtId="0" fontId="143" fillId="27" borderId="112" xfId="0" quotePrefix="1" applyNumberFormat="1" applyFont="1" applyFill="1" applyBorder="1" applyAlignment="1">
      <alignment horizontal="center"/>
    </xf>
    <xf numFmtId="37" fontId="143" fillId="27" borderId="113" xfId="0" applyNumberFormat="1" applyFont="1" applyFill="1" applyBorder="1"/>
    <xf numFmtId="176" fontId="143" fillId="27" borderId="113" xfId="0" applyNumberFormat="1" applyFont="1" applyFill="1" applyBorder="1"/>
    <xf numFmtId="37" fontId="143" fillId="27" borderId="113" xfId="0" applyNumberFormat="1" applyFont="1" applyFill="1" applyBorder="1" applyAlignment="1">
      <alignment horizontal="center"/>
    </xf>
    <xf numFmtId="168" fontId="143" fillId="27" borderId="113" xfId="0" applyNumberFormat="1" applyFont="1" applyFill="1" applyBorder="1"/>
    <xf numFmtId="38" fontId="143" fillId="27" borderId="113" xfId="0" applyNumberFormat="1" applyFont="1" applyFill="1" applyBorder="1"/>
    <xf numFmtId="40" fontId="143" fillId="27" borderId="113" xfId="0" applyNumberFormat="1" applyFont="1" applyFill="1" applyBorder="1"/>
    <xf numFmtId="38" fontId="143" fillId="27" borderId="114" xfId="0" applyNumberFormat="1" applyFont="1" applyFill="1" applyBorder="1"/>
    <xf numFmtId="38" fontId="143" fillId="27" borderId="112" xfId="0" applyNumberFormat="1" applyFont="1" applyFill="1" applyBorder="1"/>
    <xf numFmtId="38" fontId="143" fillId="27" borderId="115" xfId="0" applyNumberFormat="1" applyFont="1" applyFill="1" applyBorder="1"/>
    <xf numFmtId="38" fontId="134" fillId="27" borderId="112" xfId="0" applyNumberFormat="1" applyFont="1" applyFill="1" applyBorder="1"/>
    <xf numFmtId="38" fontId="134" fillId="27" borderId="113" xfId="0" applyNumberFormat="1" applyFont="1" applyFill="1" applyBorder="1"/>
    <xf numFmtId="37" fontId="134" fillId="27" borderId="113" xfId="0" applyNumberFormat="1" applyFont="1" applyFill="1" applyBorder="1"/>
    <xf numFmtId="176" fontId="134" fillId="27" borderId="113" xfId="0" applyNumberFormat="1" applyFont="1" applyFill="1" applyBorder="1"/>
    <xf numFmtId="40" fontId="134" fillId="27" borderId="113" xfId="0" applyNumberFormat="1" applyFont="1" applyFill="1" applyBorder="1"/>
    <xf numFmtId="0" fontId="134" fillId="27" borderId="112" xfId="0" applyNumberFormat="1" applyFont="1" applyFill="1" applyBorder="1"/>
    <xf numFmtId="38" fontId="134" fillId="27" borderId="114" xfId="0" applyNumberFormat="1" applyFont="1" applyFill="1" applyBorder="1"/>
    <xf numFmtId="38" fontId="134" fillId="27" borderId="115" xfId="0" applyNumberFormat="1" applyFont="1" applyFill="1" applyBorder="1"/>
    <xf numFmtId="0" fontId="143" fillId="28" borderId="112" xfId="0" applyNumberFormat="1" applyFont="1" applyFill="1" applyBorder="1"/>
    <xf numFmtId="0" fontId="143" fillId="28" borderId="112" xfId="0" applyNumberFormat="1" applyFont="1" applyFill="1" applyBorder="1" applyAlignment="1">
      <alignment horizontal="center"/>
    </xf>
    <xf numFmtId="38" fontId="143" fillId="28" borderId="112" xfId="0" quotePrefix="1" applyNumberFormat="1" applyFont="1" applyFill="1" applyBorder="1" applyAlignment="1">
      <alignment horizontal="center"/>
    </xf>
    <xf numFmtId="0" fontId="143" fillId="28" borderId="112" xfId="0" quotePrefix="1" applyNumberFormat="1" applyFont="1" applyFill="1" applyBorder="1" applyAlignment="1">
      <alignment horizontal="center"/>
    </xf>
    <xf numFmtId="37" fontId="143" fillId="28" borderId="113" xfId="0" applyNumberFormat="1" applyFont="1" applyFill="1" applyBorder="1"/>
    <xf numFmtId="176" fontId="143" fillId="28" borderId="113" xfId="0" applyNumberFormat="1" applyFont="1" applyFill="1" applyBorder="1"/>
    <xf numFmtId="37" fontId="143" fillId="28" borderId="113" xfId="0" applyNumberFormat="1" applyFont="1" applyFill="1" applyBorder="1" applyAlignment="1">
      <alignment horizontal="center"/>
    </xf>
    <xf numFmtId="168" fontId="143" fillId="28" borderId="113" xfId="0" applyNumberFormat="1" applyFont="1" applyFill="1" applyBorder="1"/>
    <xf numFmtId="38" fontId="143" fillId="28" borderId="113" xfId="0" applyNumberFormat="1" applyFont="1" applyFill="1" applyBorder="1"/>
    <xf numFmtId="40" fontId="143" fillId="28" borderId="113" xfId="0" applyNumberFormat="1" applyFont="1" applyFill="1" applyBorder="1"/>
    <xf numFmtId="38" fontId="143" fillId="28" borderId="114" xfId="0" applyNumberFormat="1" applyFont="1" applyFill="1" applyBorder="1"/>
    <xf numFmtId="38" fontId="143" fillId="28" borderId="112" xfId="0" applyNumberFormat="1" applyFont="1" applyFill="1" applyBorder="1"/>
    <xf numFmtId="38" fontId="143" fillId="28" borderId="115" xfId="0" applyNumberFormat="1" applyFont="1" applyFill="1" applyBorder="1"/>
    <xf numFmtId="38" fontId="134" fillId="28" borderId="112" xfId="0" applyNumberFormat="1" applyFont="1" applyFill="1" applyBorder="1"/>
    <xf numFmtId="38" fontId="134" fillId="28" borderId="113" xfId="0" applyNumberFormat="1" applyFont="1" applyFill="1" applyBorder="1"/>
    <xf numFmtId="37" fontId="134" fillId="28" borderId="113" xfId="0" applyNumberFormat="1" applyFont="1" applyFill="1" applyBorder="1"/>
    <xf numFmtId="176" fontId="134" fillId="28" borderId="113" xfId="0" applyNumberFormat="1" applyFont="1" applyFill="1" applyBorder="1"/>
    <xf numFmtId="40" fontId="134" fillId="28" borderId="113" xfId="0" applyNumberFormat="1" applyFont="1" applyFill="1" applyBorder="1"/>
    <xf numFmtId="0" fontId="134" fillId="28" borderId="112" xfId="0" applyNumberFormat="1" applyFont="1" applyFill="1" applyBorder="1"/>
    <xf numFmtId="38" fontId="134" fillId="28" borderId="114" xfId="0" applyNumberFormat="1" applyFont="1" applyFill="1" applyBorder="1"/>
    <xf numFmtId="38" fontId="134" fillId="28" borderId="115" xfId="0" applyNumberFormat="1" applyFont="1" applyFill="1" applyBorder="1"/>
    <xf numFmtId="38" fontId="143" fillId="8" borderId="112" xfId="0" quotePrefix="1" applyNumberFormat="1" applyFont="1" applyFill="1" applyBorder="1" applyAlignment="1">
      <alignment horizontal="center"/>
    </xf>
    <xf numFmtId="0" fontId="143" fillId="8" borderId="112" xfId="0" quotePrefix="1" applyNumberFormat="1" applyFont="1" applyFill="1" applyBorder="1" applyAlignment="1">
      <alignment horizontal="center"/>
    </xf>
    <xf numFmtId="37" fontId="143" fillId="8" borderId="113" xfId="0" applyNumberFormat="1" applyFont="1" applyFill="1" applyBorder="1" applyAlignment="1">
      <alignment horizontal="center"/>
    </xf>
    <xf numFmtId="168" fontId="143" fillId="8" borderId="113" xfId="0" applyNumberFormat="1" applyFont="1" applyFill="1" applyBorder="1"/>
    <xf numFmtId="38" fontId="143" fillId="8" borderId="113" xfId="0" applyNumberFormat="1" applyFont="1" applyFill="1" applyBorder="1"/>
    <xf numFmtId="40" fontId="143" fillId="8" borderId="113" xfId="0" applyNumberFormat="1" applyFont="1" applyFill="1" applyBorder="1"/>
    <xf numFmtId="38" fontId="143" fillId="8" borderId="114" xfId="0" applyNumberFormat="1" applyFont="1" applyFill="1" applyBorder="1"/>
    <xf numFmtId="38" fontId="143" fillId="8" borderId="112" xfId="0" applyNumberFormat="1" applyFont="1" applyFill="1" applyBorder="1"/>
    <xf numFmtId="38" fontId="143" fillId="8" borderId="115" xfId="0" applyNumberFormat="1" applyFont="1" applyFill="1" applyBorder="1"/>
    <xf numFmtId="0" fontId="134" fillId="33" borderId="112" xfId="0" applyNumberFormat="1" applyFont="1" applyFill="1" applyBorder="1"/>
    <xf numFmtId="0" fontId="134" fillId="33" borderId="112" xfId="0" applyNumberFormat="1" applyFont="1" applyFill="1" applyBorder="1" applyAlignment="1">
      <alignment horizontal="center"/>
    </xf>
    <xf numFmtId="38" fontId="134" fillId="33" borderId="112" xfId="0" quotePrefix="1" applyNumberFormat="1" applyFont="1" applyFill="1" applyBorder="1" applyAlignment="1">
      <alignment horizontal="center"/>
    </xf>
    <xf numFmtId="0" fontId="134" fillId="33" borderId="112" xfId="0" quotePrefix="1" applyNumberFormat="1" applyFont="1" applyFill="1" applyBorder="1" applyAlignment="1">
      <alignment horizontal="center"/>
    </xf>
    <xf numFmtId="37" fontId="134" fillId="33" borderId="113" xfId="0" applyNumberFormat="1" applyFont="1" applyFill="1" applyBorder="1"/>
    <xf numFmtId="176" fontId="134" fillId="33" borderId="113" xfId="0" applyNumberFormat="1" applyFont="1" applyFill="1" applyBorder="1"/>
    <xf numFmtId="37" fontId="134" fillId="33" borderId="113" xfId="0" applyNumberFormat="1" applyFont="1" applyFill="1" applyBorder="1" applyAlignment="1">
      <alignment horizontal="center"/>
    </xf>
    <xf numFmtId="168" fontId="134" fillId="33" borderId="113" xfId="0" applyNumberFormat="1" applyFont="1" applyFill="1" applyBorder="1"/>
    <xf numFmtId="38" fontId="134" fillId="33" borderId="113" xfId="0" applyNumberFormat="1" applyFont="1" applyFill="1" applyBorder="1"/>
    <xf numFmtId="40" fontId="134" fillId="33" borderId="113" xfId="0" applyNumberFormat="1" applyFont="1" applyFill="1" applyBorder="1"/>
    <xf numFmtId="176" fontId="31" fillId="33" borderId="113" xfId="0" applyNumberFormat="1" applyFont="1" applyFill="1" applyBorder="1"/>
    <xf numFmtId="38" fontId="134" fillId="33" borderId="114" xfId="0" applyNumberFormat="1" applyFont="1" applyFill="1" applyBorder="1"/>
    <xf numFmtId="38" fontId="134" fillId="33" borderId="112" xfId="0" applyNumberFormat="1" applyFont="1" applyFill="1" applyBorder="1"/>
    <xf numFmtId="38" fontId="134" fillId="33" borderId="115" xfId="0" applyNumberFormat="1" applyFont="1" applyFill="1" applyBorder="1"/>
    <xf numFmtId="0" fontId="0" fillId="21" borderId="0" xfId="0" applyNumberFormat="1" applyFill="1"/>
    <xf numFmtId="14" fontId="4" fillId="21" borderId="0" xfId="0" applyNumberFormat="1" applyFont="1" applyFill="1" applyAlignment="1">
      <alignment horizontal="right"/>
    </xf>
    <xf numFmtId="0" fontId="4" fillId="21" borderId="22" xfId="0" applyNumberFormat="1" applyFont="1" applyFill="1" applyBorder="1" applyAlignment="1">
      <alignment horizontal="center"/>
    </xf>
    <xf numFmtId="176" fontId="4" fillId="21" borderId="20" xfId="0" applyNumberFormat="1" applyFont="1" applyFill="1" applyBorder="1"/>
    <xf numFmtId="38" fontId="4" fillId="21" borderId="23" xfId="0" applyNumberFormat="1" applyFont="1" applyFill="1" applyBorder="1"/>
    <xf numFmtId="0" fontId="0" fillId="21" borderId="112" xfId="0" applyNumberFormat="1" applyFill="1" applyBorder="1"/>
    <xf numFmtId="14" fontId="4" fillId="21" borderId="112" xfId="0" applyNumberFormat="1" applyFont="1" applyFill="1" applyBorder="1" applyAlignment="1">
      <alignment horizontal="right"/>
    </xf>
    <xf numFmtId="0" fontId="160" fillId="21" borderId="112" xfId="0" applyNumberFormat="1" applyFont="1" applyFill="1" applyBorder="1"/>
    <xf numFmtId="38" fontId="9" fillId="2" borderId="0" xfId="0" quotePrefix="1" applyNumberFormat="1" applyFont="1"/>
    <xf numFmtId="0" fontId="0" fillId="27" borderId="22" xfId="0" applyNumberFormat="1" applyFill="1" applyBorder="1"/>
    <xf numFmtId="0" fontId="4" fillId="27" borderId="23" xfId="0" applyNumberFormat="1" applyFont="1" applyFill="1" applyBorder="1" applyAlignment="1">
      <alignment horizontal="right"/>
    </xf>
    <xf numFmtId="0" fontId="0" fillId="8" borderId="22" xfId="0" applyNumberFormat="1" applyFill="1" applyBorder="1"/>
    <xf numFmtId="0" fontId="4" fillId="8" borderId="23" xfId="0" applyNumberFormat="1" applyFont="1" applyFill="1" applyBorder="1" applyAlignment="1">
      <alignment horizontal="right"/>
    </xf>
    <xf numFmtId="0" fontId="0" fillId="20" borderId="22" xfId="0" applyNumberFormat="1" applyFill="1" applyBorder="1"/>
    <xf numFmtId="0" fontId="4" fillId="20" borderId="23" xfId="0" applyNumberFormat="1" applyFont="1" applyFill="1" applyBorder="1" applyAlignment="1">
      <alignment horizontal="right"/>
    </xf>
    <xf numFmtId="0" fontId="78" fillId="19" borderId="10" xfId="0" applyNumberFormat="1" applyFont="1" applyFill="1" applyBorder="1"/>
    <xf numFmtId="14" fontId="15" fillId="8" borderId="116" xfId="0" applyNumberFormat="1" applyFont="1" applyFill="1" applyBorder="1" applyAlignment="1" applyProtection="1">
      <alignment horizontal="left"/>
      <protection locked="0"/>
    </xf>
    <xf numFmtId="0" fontId="3" fillId="2" borderId="0" xfId="0" applyNumberFormat="1" applyFont="1" applyAlignment="1">
      <alignment horizontal="right"/>
    </xf>
    <xf numFmtId="14" fontId="68" fillId="2" borderId="0" xfId="0" applyNumberFormat="1" applyFont="1" applyAlignment="1">
      <alignment horizontal="right"/>
    </xf>
    <xf numFmtId="0" fontId="183" fillId="2" borderId="0" xfId="0" quotePrefix="1" applyNumberFormat="1" applyFont="1"/>
    <xf numFmtId="0" fontId="99" fillId="2" borderId="0" xfId="0" quotePrefix="1" applyNumberFormat="1" applyFont="1" applyProtection="1"/>
    <xf numFmtId="177" fontId="184" fillId="8" borderId="36" xfId="0" applyNumberFormat="1" applyFont="1" applyFill="1" applyBorder="1" applyAlignment="1" applyProtection="1">
      <protection locked="0"/>
    </xf>
    <xf numFmtId="177" fontId="184" fillId="8" borderId="9" xfId="0" applyNumberFormat="1" applyFont="1" applyFill="1" applyBorder="1" applyAlignment="1"/>
    <xf numFmtId="38" fontId="184" fillId="2" borderId="9" xfId="0" applyNumberFormat="1" applyFont="1" applyBorder="1" applyProtection="1"/>
    <xf numFmtId="177" fontId="184" fillId="8" borderId="36" xfId="0" applyNumberFormat="1" applyFont="1" applyFill="1" applyBorder="1" applyAlignment="1">
      <alignment horizontal="center"/>
    </xf>
    <xf numFmtId="176" fontId="184" fillId="8" borderId="36" xfId="0" applyNumberFormat="1" applyFont="1" applyFill="1" applyBorder="1" applyAlignment="1" applyProtection="1">
      <protection locked="0"/>
    </xf>
    <xf numFmtId="38" fontId="184" fillId="8" borderId="36" xfId="0" applyNumberFormat="1" applyFont="1" applyFill="1" applyBorder="1" applyAlignment="1" applyProtection="1">
      <protection locked="0"/>
    </xf>
    <xf numFmtId="38" fontId="184" fillId="8" borderId="47" xfId="0" applyNumberFormat="1" applyFont="1" applyFill="1" applyBorder="1" applyAlignment="1" applyProtection="1">
      <protection locked="0"/>
    </xf>
    <xf numFmtId="38" fontId="184" fillId="0" borderId="36" xfId="0" applyNumberFormat="1" applyFont="1" applyFill="1" applyBorder="1" applyAlignment="1" applyProtection="1">
      <alignment horizontal="center"/>
      <protection locked="0"/>
    </xf>
    <xf numFmtId="38" fontId="184" fillId="2" borderId="9" xfId="0" applyNumberFormat="1" applyFont="1" applyBorder="1" applyAlignment="1" applyProtection="1">
      <alignment horizontal="right"/>
    </xf>
    <xf numFmtId="177" fontId="184" fillId="2" borderId="9" xfId="0" applyNumberFormat="1" applyFont="1" applyBorder="1" applyAlignment="1" applyProtection="1">
      <alignment horizontal="right"/>
    </xf>
    <xf numFmtId="176" fontId="184" fillId="2" borderId="9" xfId="0" applyNumberFormat="1" applyFont="1" applyBorder="1" applyProtection="1"/>
    <xf numFmtId="177" fontId="184" fillId="2" borderId="9" xfId="0" applyNumberFormat="1" applyFont="1" applyBorder="1" applyProtection="1"/>
    <xf numFmtId="38" fontId="184" fillId="11" borderId="9" xfId="0" applyNumberFormat="1" applyFont="1" applyFill="1" applyBorder="1" applyProtection="1"/>
    <xf numFmtId="177" fontId="185" fillId="0" borderId="36" xfId="0" applyNumberFormat="1" applyFont="1" applyFill="1" applyBorder="1" applyAlignment="1" applyProtection="1">
      <protection locked="0"/>
    </xf>
    <xf numFmtId="177" fontId="185" fillId="8" borderId="9" xfId="0" applyNumberFormat="1" applyFont="1" applyFill="1" applyBorder="1" applyAlignment="1"/>
    <xf numFmtId="177" fontId="185" fillId="8" borderId="36" xfId="0" applyNumberFormat="1" applyFont="1" applyFill="1" applyBorder="1" applyAlignment="1" applyProtection="1">
      <protection locked="0"/>
    </xf>
    <xf numFmtId="38" fontId="185" fillId="8" borderId="36" xfId="0" applyNumberFormat="1" applyFont="1" applyFill="1" applyBorder="1" applyAlignment="1" applyProtection="1">
      <protection locked="0"/>
    </xf>
    <xf numFmtId="177" fontId="185" fillId="8" borderId="36" xfId="0" applyNumberFormat="1" applyFont="1" applyFill="1" applyBorder="1" applyAlignment="1">
      <alignment horizontal="center"/>
    </xf>
    <xf numFmtId="176" fontId="185" fillId="8" borderId="36" xfId="0" applyNumberFormat="1" applyFont="1" applyFill="1" applyBorder="1" applyAlignment="1" applyProtection="1">
      <protection locked="0"/>
    </xf>
    <xf numFmtId="38" fontId="185" fillId="0" borderId="36" xfId="0" applyNumberFormat="1" applyFont="1" applyFill="1" applyBorder="1" applyAlignment="1" applyProtection="1">
      <protection locked="0"/>
    </xf>
    <xf numFmtId="38" fontId="185" fillId="8" borderId="47" xfId="0" applyNumberFormat="1" applyFont="1" applyFill="1" applyBorder="1" applyAlignment="1" applyProtection="1">
      <protection locked="0"/>
    </xf>
    <xf numFmtId="38" fontId="185" fillId="0" borderId="36" xfId="0" applyNumberFormat="1" applyFont="1" applyFill="1" applyBorder="1" applyAlignment="1" applyProtection="1">
      <alignment horizontal="center"/>
      <protection locked="0"/>
    </xf>
    <xf numFmtId="37" fontId="185" fillId="2" borderId="9" xfId="0" applyNumberFormat="1" applyFont="1" applyBorder="1" applyAlignment="1" applyProtection="1">
      <alignment horizontal="center"/>
      <protection locked="0"/>
    </xf>
    <xf numFmtId="177" fontId="185" fillId="2" borderId="9" xfId="0" applyNumberFormat="1" applyFont="1" applyBorder="1" applyAlignment="1">
      <alignment horizontal="right"/>
    </xf>
    <xf numFmtId="0" fontId="4" fillId="27" borderId="47" xfId="0" applyNumberFormat="1" applyFont="1" applyFill="1" applyBorder="1" applyAlignment="1">
      <alignment horizontal="center"/>
    </xf>
    <xf numFmtId="38" fontId="4" fillId="27" borderId="36" xfId="0" applyNumberFormat="1" applyFont="1" applyFill="1" applyBorder="1" applyAlignment="1">
      <alignment horizontal="center"/>
    </xf>
    <xf numFmtId="0" fontId="4" fillId="20" borderId="47" xfId="0" applyNumberFormat="1" applyFont="1" applyFill="1" applyBorder="1" applyAlignment="1">
      <alignment horizontal="center"/>
    </xf>
    <xf numFmtId="38" fontId="4" fillId="20" borderId="36" xfId="0" applyNumberFormat="1" applyFont="1" applyFill="1" applyBorder="1" applyAlignment="1">
      <alignment horizontal="center"/>
    </xf>
    <xf numFmtId="38" fontId="4" fillId="8" borderId="36" xfId="0" applyNumberFormat="1" applyFont="1" applyFill="1" applyBorder="1" applyAlignment="1">
      <alignment horizontal="center"/>
    </xf>
    <xf numFmtId="0" fontId="4" fillId="24" borderId="47" xfId="0" applyNumberFormat="1" applyFont="1" applyFill="1" applyBorder="1" applyAlignment="1">
      <alignment horizontal="center"/>
    </xf>
    <xf numFmtId="38" fontId="4" fillId="24" borderId="36" xfId="0" applyNumberFormat="1" applyFont="1" applyFill="1" applyBorder="1" applyAlignment="1">
      <alignment horizontal="center"/>
    </xf>
    <xf numFmtId="0" fontId="137" fillId="33" borderId="0" xfId="0" applyNumberFormat="1" applyFont="1" applyFill="1"/>
    <xf numFmtId="0" fontId="143" fillId="9" borderId="0" xfId="0" applyNumberFormat="1" applyFont="1" applyFill="1"/>
    <xf numFmtId="0" fontId="143" fillId="9" borderId="0" xfId="0" applyNumberFormat="1" applyFont="1" applyFill="1" applyAlignment="1">
      <alignment horizontal="center"/>
    </xf>
    <xf numFmtId="176" fontId="143" fillId="9" borderId="3" xfId="0" applyNumberFormat="1" applyFont="1" applyFill="1" applyBorder="1" applyProtection="1"/>
    <xf numFmtId="37" fontId="143" fillId="9" borderId="3" xfId="0" applyNumberFormat="1" applyFont="1" applyFill="1" applyBorder="1" applyProtection="1"/>
    <xf numFmtId="37" fontId="143" fillId="9" borderId="3" xfId="0" applyNumberFormat="1" applyFont="1" applyFill="1" applyBorder="1"/>
    <xf numFmtId="37" fontId="143" fillId="9" borderId="0" xfId="0" applyNumberFormat="1" applyFont="1" applyFill="1"/>
    <xf numFmtId="179" fontId="143" fillId="9" borderId="3" xfId="0" applyNumberFormat="1" applyFont="1" applyFill="1" applyBorder="1"/>
    <xf numFmtId="179" fontId="143" fillId="9" borderId="0" xfId="0" applyNumberFormat="1" applyFont="1" applyFill="1"/>
    <xf numFmtId="37" fontId="143" fillId="9" borderId="0" xfId="0" applyNumberFormat="1" applyFont="1" applyFill="1" applyBorder="1"/>
    <xf numFmtId="37" fontId="143" fillId="9" borderId="12" xfId="0" applyNumberFormat="1" applyFont="1" applyFill="1" applyBorder="1"/>
    <xf numFmtId="37" fontId="143" fillId="9" borderId="0" xfId="0" applyNumberFormat="1" applyFont="1" applyFill="1" applyBorder="1" applyAlignment="1">
      <alignment horizontal="center"/>
    </xf>
    <xf numFmtId="176" fontId="143" fillId="9" borderId="2" xfId="0" applyNumberFormat="1" applyFont="1" applyFill="1" applyBorder="1" applyProtection="1"/>
    <xf numFmtId="37" fontId="143" fillId="9" borderId="2" xfId="0" applyNumberFormat="1" applyFont="1" applyFill="1" applyBorder="1" applyProtection="1"/>
    <xf numFmtId="37" fontId="143" fillId="9" borderId="2" xfId="0" applyNumberFormat="1" applyFont="1" applyFill="1" applyBorder="1"/>
    <xf numFmtId="179" fontId="143" fillId="9" borderId="2" xfId="0" applyNumberFormat="1" applyFont="1" applyFill="1" applyBorder="1"/>
    <xf numFmtId="37" fontId="143" fillId="9" borderId="9" xfId="0" applyNumberFormat="1" applyFont="1" applyFill="1" applyBorder="1"/>
    <xf numFmtId="0" fontId="147" fillId="27" borderId="0" xfId="0" applyNumberFormat="1" applyFont="1" applyFill="1"/>
    <xf numFmtId="0" fontId="147" fillId="27" borderId="0" xfId="0" applyNumberFormat="1" applyFont="1" applyFill="1" applyAlignment="1">
      <alignment horizontal="center"/>
    </xf>
    <xf numFmtId="176" fontId="147" fillId="27" borderId="3" xfId="0" applyNumberFormat="1" applyFont="1" applyFill="1" applyBorder="1" applyProtection="1"/>
    <xf numFmtId="37" fontId="147" fillId="27" borderId="3" xfId="0" applyNumberFormat="1" applyFont="1" applyFill="1" applyBorder="1" applyProtection="1"/>
    <xf numFmtId="37" fontId="147" fillId="27" borderId="3" xfId="0" applyNumberFormat="1" applyFont="1" applyFill="1" applyBorder="1"/>
    <xf numFmtId="37" fontId="147" fillId="27" borderId="0" xfId="0" applyNumberFormat="1" applyFont="1" applyFill="1"/>
    <xf numFmtId="179" fontId="147" fillId="27" borderId="3" xfId="0" applyNumberFormat="1" applyFont="1" applyFill="1" applyBorder="1"/>
    <xf numFmtId="179" fontId="147" fillId="27" borderId="0" xfId="0" applyNumberFormat="1" applyFont="1" applyFill="1"/>
    <xf numFmtId="37" fontId="147" fillId="27" borderId="0" xfId="0" applyNumberFormat="1" applyFont="1" applyFill="1" applyBorder="1"/>
    <xf numFmtId="37" fontId="147" fillId="27" borderId="12" xfId="0" applyNumberFormat="1" applyFont="1" applyFill="1" applyBorder="1"/>
    <xf numFmtId="37" fontId="147" fillId="27" borderId="0" xfId="0" applyNumberFormat="1" applyFont="1" applyFill="1" applyBorder="1" applyAlignment="1">
      <alignment horizontal="center"/>
    </xf>
    <xf numFmtId="176" fontId="147" fillId="27" borderId="2" xfId="0" applyNumberFormat="1" applyFont="1" applyFill="1" applyBorder="1" applyProtection="1"/>
    <xf numFmtId="37" fontId="147" fillId="27" borderId="2" xfId="0" applyNumberFormat="1" applyFont="1" applyFill="1" applyBorder="1" applyProtection="1"/>
    <xf numFmtId="37" fontId="147" fillId="27" borderId="2" xfId="0" applyNumberFormat="1" applyFont="1" applyFill="1" applyBorder="1"/>
    <xf numFmtId="179" fontId="147" fillId="27" borderId="2" xfId="0" applyNumberFormat="1" applyFont="1" applyFill="1" applyBorder="1"/>
    <xf numFmtId="37" fontId="147" fillId="27" borderId="9" xfId="0" applyNumberFormat="1" applyFont="1" applyFill="1" applyBorder="1"/>
    <xf numFmtId="0" fontId="134" fillId="6" borderId="0" xfId="0" applyNumberFormat="1" applyFont="1" applyFill="1"/>
    <xf numFmtId="0" fontId="134" fillId="6" borderId="0" xfId="0" applyNumberFormat="1" applyFont="1" applyFill="1" applyAlignment="1">
      <alignment horizontal="center"/>
    </xf>
    <xf numFmtId="176" fontId="134" fillId="6" borderId="3" xfId="0" applyNumberFormat="1" applyFont="1" applyFill="1" applyBorder="1" applyProtection="1"/>
    <xf numFmtId="37" fontId="134" fillId="6" borderId="3" xfId="0" applyNumberFormat="1" applyFont="1" applyFill="1" applyBorder="1" applyProtection="1"/>
    <xf numFmtId="37" fontId="134" fillId="6" borderId="3" xfId="0" applyNumberFormat="1" applyFont="1" applyFill="1" applyBorder="1"/>
    <xf numFmtId="37" fontId="134" fillId="6" borderId="0" xfId="0" applyNumberFormat="1" applyFont="1" applyFill="1"/>
    <xf numFmtId="179" fontId="134" fillId="6" borderId="3" xfId="0" applyNumberFormat="1" applyFont="1" applyFill="1" applyBorder="1"/>
    <xf numFmtId="179" fontId="134" fillId="6" borderId="0" xfId="0" applyNumberFormat="1" applyFont="1" applyFill="1"/>
    <xf numFmtId="37" fontId="134" fillId="6" borderId="0" xfId="0" applyNumberFormat="1" applyFont="1" applyFill="1" applyBorder="1"/>
    <xf numFmtId="37" fontId="134" fillId="6" borderId="12" xfId="0" applyNumberFormat="1" applyFont="1" applyFill="1" applyBorder="1"/>
    <xf numFmtId="37" fontId="134" fillId="6" borderId="0" xfId="0" applyNumberFormat="1" applyFont="1" applyFill="1" applyBorder="1" applyAlignment="1">
      <alignment horizontal="center"/>
    </xf>
    <xf numFmtId="176" fontId="134" fillId="6" borderId="2" xfId="0" applyNumberFormat="1" applyFont="1" applyFill="1" applyBorder="1" applyProtection="1"/>
    <xf numFmtId="37" fontId="134" fillId="6" borderId="2" xfId="0" applyNumberFormat="1" applyFont="1" applyFill="1" applyBorder="1" applyProtection="1"/>
    <xf numFmtId="37" fontId="134" fillId="6" borderId="2" xfId="0" applyNumberFormat="1" applyFont="1" applyFill="1" applyBorder="1"/>
    <xf numFmtId="179" fontId="134" fillId="6" borderId="2" xfId="0" applyNumberFormat="1" applyFont="1" applyFill="1" applyBorder="1"/>
    <xf numFmtId="37" fontId="134" fillId="6" borderId="9" xfId="0" applyNumberFormat="1" applyFont="1" applyFill="1" applyBorder="1"/>
    <xf numFmtId="0" fontId="134" fillId="8" borderId="112" xfId="0" applyNumberFormat="1" applyFont="1" applyFill="1" applyBorder="1" applyAlignment="1">
      <alignment horizontal="center"/>
    </xf>
    <xf numFmtId="176" fontId="134" fillId="8" borderId="113" xfId="0" applyNumberFormat="1" applyFont="1" applyFill="1" applyBorder="1" applyProtection="1"/>
    <xf numFmtId="37" fontId="134" fillId="8" borderId="113" xfId="0" applyNumberFormat="1" applyFont="1" applyFill="1" applyBorder="1" applyProtection="1"/>
    <xf numFmtId="179" fontId="134" fillId="8" borderId="113" xfId="0" applyNumberFormat="1" applyFont="1" applyFill="1" applyBorder="1"/>
    <xf numFmtId="179" fontId="134" fillId="8" borderId="112" xfId="0" applyNumberFormat="1" applyFont="1" applyFill="1" applyBorder="1"/>
    <xf numFmtId="37" fontId="134" fillId="8" borderId="112" xfId="0" applyNumberFormat="1" applyFont="1" applyFill="1" applyBorder="1"/>
    <xf numFmtId="37" fontId="134" fillId="8" borderId="114" xfId="0" applyNumberFormat="1" applyFont="1" applyFill="1" applyBorder="1"/>
    <xf numFmtId="176" fontId="134" fillId="8" borderId="2" xfId="0" applyNumberFormat="1" applyFont="1" applyFill="1" applyBorder="1" applyProtection="1"/>
    <xf numFmtId="37" fontId="134" fillId="8" borderId="2" xfId="0" applyNumberFormat="1" applyFont="1" applyFill="1" applyBorder="1" applyProtection="1"/>
    <xf numFmtId="37" fontId="134" fillId="8" borderId="0" xfId="0" applyNumberFormat="1" applyFont="1" applyFill="1"/>
    <xf numFmtId="179" fontId="134" fillId="8" borderId="2" xfId="0" applyNumberFormat="1" applyFont="1" applyFill="1" applyBorder="1"/>
    <xf numFmtId="179" fontId="134" fillId="8" borderId="0" xfId="0" applyNumberFormat="1" applyFont="1" applyFill="1"/>
    <xf numFmtId="37" fontId="134" fillId="8" borderId="9" xfId="0" applyNumberFormat="1" applyFont="1" applyFill="1" applyBorder="1"/>
    <xf numFmtId="37" fontId="134" fillId="8" borderId="0" xfId="0" applyNumberFormat="1" applyFont="1" applyFill="1" applyBorder="1" applyAlignment="1">
      <alignment horizontal="center"/>
    </xf>
    <xf numFmtId="0" fontId="147" fillId="8" borderId="112" xfId="0" applyNumberFormat="1" applyFont="1" applyFill="1" applyBorder="1"/>
    <xf numFmtId="0" fontId="147" fillId="8" borderId="112" xfId="0" applyNumberFormat="1" applyFont="1" applyFill="1" applyBorder="1" applyAlignment="1">
      <alignment horizontal="center"/>
    </xf>
    <xf numFmtId="176" fontId="147" fillId="8" borderId="113" xfId="0" applyNumberFormat="1" applyFont="1" applyFill="1" applyBorder="1" applyProtection="1"/>
    <xf numFmtId="37" fontId="147" fillId="8" borderId="113" xfId="0" applyNumberFormat="1" applyFont="1" applyFill="1" applyBorder="1" applyProtection="1"/>
    <xf numFmtId="37" fontId="147" fillId="8" borderId="113" xfId="0" applyNumberFormat="1" applyFont="1" applyFill="1" applyBorder="1"/>
    <xf numFmtId="179" fontId="147" fillId="8" borderId="113" xfId="0" applyNumberFormat="1" applyFont="1" applyFill="1" applyBorder="1"/>
    <xf numFmtId="179" fontId="147" fillId="8" borderId="112" xfId="0" applyNumberFormat="1" applyFont="1" applyFill="1" applyBorder="1"/>
    <xf numFmtId="37" fontId="147" fillId="8" borderId="112" xfId="0" applyNumberFormat="1" applyFont="1" applyFill="1" applyBorder="1"/>
    <xf numFmtId="37" fontId="147" fillId="8" borderId="114" xfId="0" applyNumberFormat="1" applyFont="1" applyFill="1" applyBorder="1"/>
    <xf numFmtId="0" fontId="147" fillId="8" borderId="0" xfId="0" applyNumberFormat="1" applyFont="1" applyFill="1"/>
    <xf numFmtId="0" fontId="147" fillId="8" borderId="0" xfId="0" applyNumberFormat="1" applyFont="1" applyFill="1" applyAlignment="1">
      <alignment horizontal="center"/>
    </xf>
    <xf numFmtId="176" fontId="147" fillId="8" borderId="2" xfId="0" applyNumberFormat="1" applyFont="1" applyFill="1" applyBorder="1" applyProtection="1"/>
    <xf numFmtId="37" fontId="147" fillId="8" borderId="2" xfId="0" applyNumberFormat="1" applyFont="1" applyFill="1" applyBorder="1" applyProtection="1"/>
    <xf numFmtId="37" fontId="147" fillId="8" borderId="2" xfId="0" applyNumberFormat="1" applyFont="1" applyFill="1" applyBorder="1"/>
    <xf numFmtId="37" fontId="147" fillId="8" borderId="0" xfId="0" applyNumberFormat="1" applyFont="1" applyFill="1"/>
    <xf numFmtId="179" fontId="147" fillId="8" borderId="2" xfId="0" applyNumberFormat="1" applyFont="1" applyFill="1" applyBorder="1"/>
    <xf numFmtId="179" fontId="147" fillId="8" borderId="0" xfId="0" applyNumberFormat="1" applyFont="1" applyFill="1"/>
    <xf numFmtId="37" fontId="147" fillId="8" borderId="0" xfId="0" applyNumberFormat="1" applyFont="1" applyFill="1" applyBorder="1"/>
    <xf numFmtId="37" fontId="147" fillId="8" borderId="9" xfId="0" applyNumberFormat="1" applyFont="1" applyFill="1" applyBorder="1"/>
    <xf numFmtId="37" fontId="147" fillId="8" borderId="0" xfId="0" applyNumberFormat="1" applyFont="1" applyFill="1" applyBorder="1" applyAlignment="1">
      <alignment horizontal="center"/>
    </xf>
    <xf numFmtId="176" fontId="143" fillId="8" borderId="113" xfId="0" applyNumberFormat="1" applyFont="1" applyFill="1" applyBorder="1" applyProtection="1"/>
    <xf numFmtId="37" fontId="143" fillId="8" borderId="113" xfId="0" applyNumberFormat="1" applyFont="1" applyFill="1" applyBorder="1" applyProtection="1"/>
    <xf numFmtId="179" fontId="143" fillId="8" borderId="113" xfId="0" applyNumberFormat="1" applyFont="1" applyFill="1" applyBorder="1"/>
    <xf numFmtId="179" fontId="143" fillId="8" borderId="112" xfId="0" applyNumberFormat="1" applyFont="1" applyFill="1" applyBorder="1"/>
    <xf numFmtId="37" fontId="143" fillId="8" borderId="112" xfId="0" applyNumberFormat="1" applyFont="1" applyFill="1" applyBorder="1"/>
    <xf numFmtId="37" fontId="143" fillId="8" borderId="114" xfId="0" applyNumberFormat="1" applyFont="1" applyFill="1" applyBorder="1"/>
    <xf numFmtId="176" fontId="143" fillId="8" borderId="2" xfId="0" applyNumberFormat="1" applyFont="1" applyFill="1" applyBorder="1" applyProtection="1"/>
    <xf numFmtId="37" fontId="143" fillId="8" borderId="2" xfId="0" applyNumberFormat="1" applyFont="1" applyFill="1" applyBorder="1" applyProtection="1"/>
    <xf numFmtId="37" fontId="143" fillId="8" borderId="0" xfId="0" applyNumberFormat="1" applyFont="1" applyFill="1"/>
    <xf numFmtId="179" fontId="143" fillId="8" borderId="2" xfId="0" applyNumberFormat="1" applyFont="1" applyFill="1" applyBorder="1"/>
    <xf numFmtId="179" fontId="143" fillId="8" borderId="0" xfId="0" applyNumberFormat="1" applyFont="1" applyFill="1"/>
    <xf numFmtId="37" fontId="143" fillId="8" borderId="9" xfId="0" applyNumberFormat="1" applyFont="1" applyFill="1" applyBorder="1"/>
    <xf numFmtId="0" fontId="137" fillId="8" borderId="0" xfId="0" applyNumberFormat="1" applyFont="1" applyFill="1"/>
    <xf numFmtId="37" fontId="137" fillId="8" borderId="0" xfId="0" applyNumberFormat="1" applyFont="1" applyFill="1" applyBorder="1"/>
    <xf numFmtId="37" fontId="137" fillId="8" borderId="0" xfId="0" applyNumberFormat="1" applyFont="1" applyFill="1" applyBorder="1" applyAlignment="1">
      <alignment horizontal="center"/>
    </xf>
    <xf numFmtId="37" fontId="133" fillId="8" borderId="2" xfId="0" applyNumberFormat="1" applyFont="1" applyFill="1" applyBorder="1" applyProtection="1"/>
    <xf numFmtId="179" fontId="133" fillId="8" borderId="2" xfId="0" applyNumberFormat="1" applyFont="1" applyFill="1" applyBorder="1"/>
    <xf numFmtId="179" fontId="133" fillId="8" borderId="0" xfId="0" applyNumberFormat="1" applyFont="1" applyFill="1"/>
    <xf numFmtId="37" fontId="133" fillId="8" borderId="9" xfId="0" applyNumberFormat="1" applyFont="1" applyFill="1" applyBorder="1"/>
    <xf numFmtId="0" fontId="133" fillId="8" borderId="0" xfId="0" applyNumberFormat="1" applyFont="1" applyFill="1" applyAlignment="1">
      <alignment horizontal="left"/>
    </xf>
    <xf numFmtId="0" fontId="179" fillId="8" borderId="112" xfId="0" applyNumberFormat="1" applyFont="1" applyFill="1" applyBorder="1" applyAlignment="1">
      <alignment horizontal="center"/>
    </xf>
    <xf numFmtId="37" fontId="133" fillId="8" borderId="113" xfId="0" applyNumberFormat="1" applyFont="1" applyFill="1" applyBorder="1" applyProtection="1"/>
    <xf numFmtId="179" fontId="133" fillId="8" borderId="113" xfId="0" applyNumberFormat="1" applyFont="1" applyFill="1" applyBorder="1"/>
    <xf numFmtId="179" fontId="133" fillId="8" borderId="112" xfId="0" applyNumberFormat="1" applyFont="1" applyFill="1" applyBorder="1"/>
    <xf numFmtId="37" fontId="133" fillId="8" borderId="114" xfId="0" applyNumberFormat="1" applyFont="1" applyFill="1" applyBorder="1"/>
    <xf numFmtId="0" fontId="133" fillId="8" borderId="112" xfId="0" applyNumberFormat="1" applyFont="1" applyFill="1" applyBorder="1" applyAlignment="1">
      <alignment horizontal="left"/>
    </xf>
    <xf numFmtId="0" fontId="112" fillId="19" borderId="9" xfId="0" quotePrefix="1" applyNumberFormat="1" applyFont="1" applyFill="1" applyBorder="1" applyAlignment="1">
      <alignment horizontal="center"/>
    </xf>
    <xf numFmtId="0" fontId="112" fillId="19" borderId="114" xfId="0" quotePrefix="1" applyNumberFormat="1" applyFont="1" applyFill="1" applyBorder="1" applyAlignment="1">
      <alignment horizontal="center"/>
    </xf>
    <xf numFmtId="0" fontId="112" fillId="19" borderId="12" xfId="0" quotePrefix="1" applyNumberFormat="1" applyFont="1" applyFill="1" applyBorder="1" applyAlignment="1">
      <alignment horizontal="center"/>
    </xf>
    <xf numFmtId="0" fontId="147" fillId="27" borderId="112" xfId="0" applyNumberFormat="1" applyFont="1" applyFill="1" applyBorder="1"/>
    <xf numFmtId="0" fontId="148" fillId="27" borderId="0" xfId="0" applyNumberFormat="1" applyFont="1" applyFill="1" applyBorder="1"/>
    <xf numFmtId="0" fontId="148" fillId="27" borderId="112" xfId="0" applyNumberFormat="1" applyFont="1" applyFill="1" applyBorder="1"/>
    <xf numFmtId="0" fontId="147" fillId="27" borderId="112" xfId="0" applyNumberFormat="1" applyFont="1" applyFill="1" applyBorder="1" applyAlignment="1">
      <alignment horizontal="center"/>
    </xf>
    <xf numFmtId="37" fontId="147" fillId="27" borderId="3" xfId="0" applyNumberFormat="1" applyFont="1" applyFill="1" applyBorder="1" applyProtection="1">
      <protection locked="0"/>
    </xf>
    <xf numFmtId="37" fontId="147" fillId="27" borderId="113" xfId="0" applyNumberFormat="1" applyFont="1" applyFill="1" applyBorder="1" applyProtection="1">
      <protection locked="0"/>
    </xf>
    <xf numFmtId="37" fontId="147" fillId="27" borderId="0" xfId="0" applyNumberFormat="1" applyFont="1" applyFill="1" applyBorder="1" applyProtection="1">
      <protection locked="0"/>
    </xf>
    <xf numFmtId="37" fontId="147" fillId="27" borderId="112" xfId="0" applyNumberFormat="1" applyFont="1" applyFill="1" applyBorder="1" applyProtection="1">
      <protection locked="0"/>
    </xf>
    <xf numFmtId="37" fontId="147" fillId="27" borderId="113" xfId="0" applyNumberFormat="1" applyFont="1" applyFill="1" applyBorder="1" applyProtection="1"/>
    <xf numFmtId="37" fontId="147" fillId="27" borderId="12" xfId="0" applyNumberFormat="1" applyFont="1" applyFill="1" applyBorder="1" applyProtection="1"/>
    <xf numFmtId="37" fontId="147" fillId="27" borderId="114" xfId="0" applyNumberFormat="1" applyFont="1" applyFill="1" applyBorder="1" applyProtection="1"/>
    <xf numFmtId="168" fontId="147" fillId="27" borderId="3" xfId="0" applyNumberFormat="1" applyFont="1" applyFill="1" applyBorder="1" applyProtection="1"/>
    <xf numFmtId="168" fontId="147" fillId="27" borderId="113" xfId="0" applyNumberFormat="1" applyFont="1" applyFill="1" applyBorder="1" applyProtection="1"/>
    <xf numFmtId="176" fontId="147" fillId="27" borderId="12" xfId="0" applyNumberFormat="1" applyFont="1" applyFill="1" applyBorder="1"/>
    <xf numFmtId="176" fontId="147" fillId="27" borderId="114" xfId="0" applyNumberFormat="1" applyFont="1" applyFill="1" applyBorder="1"/>
    <xf numFmtId="176" fontId="147" fillId="27" borderId="0" xfId="0" applyNumberFormat="1" applyFont="1" applyFill="1" applyBorder="1"/>
    <xf numFmtId="176" fontId="147" fillId="27" borderId="112" xfId="0" applyNumberFormat="1" applyFont="1" applyFill="1" applyBorder="1"/>
    <xf numFmtId="176" fontId="147" fillId="27" borderId="0" xfId="0" applyNumberFormat="1" applyFont="1" applyFill="1"/>
    <xf numFmtId="176" fontId="147" fillId="27" borderId="3" xfId="0" applyNumberFormat="1" applyFont="1" applyFill="1" applyBorder="1"/>
    <xf numFmtId="176" fontId="147" fillId="27" borderId="113" xfId="0" applyNumberFormat="1" applyFont="1" applyFill="1" applyBorder="1"/>
    <xf numFmtId="37" fontId="147" fillId="27" borderId="112" xfId="0" applyNumberFormat="1" applyFont="1" applyFill="1" applyBorder="1"/>
    <xf numFmtId="37" fontId="147" fillId="27" borderId="113" xfId="0" applyNumberFormat="1" applyFont="1" applyFill="1" applyBorder="1"/>
    <xf numFmtId="171" fontId="147" fillId="27" borderId="0" xfId="0" applyNumberFormat="1" applyFont="1" applyFill="1" applyAlignment="1"/>
    <xf numFmtId="171" fontId="147" fillId="27" borderId="112" xfId="0" applyNumberFormat="1" applyFont="1" applyFill="1" applyBorder="1" applyAlignment="1"/>
    <xf numFmtId="37" fontId="147" fillId="27" borderId="114" xfId="0" applyNumberFormat="1" applyFont="1" applyFill="1" applyBorder="1"/>
    <xf numFmtId="0" fontId="164" fillId="24" borderId="0" xfId="0" applyNumberFormat="1" applyFont="1" applyFill="1"/>
    <xf numFmtId="0" fontId="164" fillId="24" borderId="112" xfId="0" applyNumberFormat="1" applyFont="1" applyFill="1" applyBorder="1" applyAlignment="1">
      <alignment horizontal="right"/>
    </xf>
    <xf numFmtId="14" fontId="164" fillId="24" borderId="112" xfId="0" applyNumberFormat="1" applyFont="1" applyFill="1" applyBorder="1" applyAlignment="1">
      <alignment horizontal="right"/>
    </xf>
    <xf numFmtId="0" fontId="164" fillId="24" borderId="112" xfId="0" applyNumberFormat="1" applyFont="1" applyFill="1" applyBorder="1"/>
    <xf numFmtId="0" fontId="166" fillId="24" borderId="0" xfId="0" applyNumberFormat="1" applyFont="1" applyFill="1" applyBorder="1"/>
    <xf numFmtId="0" fontId="166" fillId="24" borderId="112" xfId="0" applyNumberFormat="1" applyFont="1" applyFill="1" applyBorder="1"/>
    <xf numFmtId="0" fontId="164" fillId="24" borderId="0" xfId="0" applyNumberFormat="1" applyFont="1" applyFill="1" applyAlignment="1">
      <alignment horizontal="center"/>
    </xf>
    <xf numFmtId="0" fontId="164" fillId="24" borderId="112" xfId="0" applyNumberFormat="1" applyFont="1" applyFill="1" applyBorder="1" applyAlignment="1">
      <alignment horizontal="center"/>
    </xf>
    <xf numFmtId="37" fontId="164" fillId="24" borderId="3" xfId="0" applyNumberFormat="1" applyFont="1" applyFill="1" applyBorder="1" applyProtection="1">
      <protection locked="0"/>
    </xf>
    <xf numFmtId="37" fontId="164" fillId="24" borderId="113" xfId="0" applyNumberFormat="1" applyFont="1" applyFill="1" applyBorder="1" applyProtection="1">
      <protection locked="0"/>
    </xf>
    <xf numFmtId="37" fontId="164" fillId="24" borderId="0" xfId="0" applyNumberFormat="1" applyFont="1" applyFill="1" applyBorder="1" applyProtection="1">
      <protection locked="0"/>
    </xf>
    <xf numFmtId="37" fontId="164" fillId="24" borderId="112" xfId="0" applyNumberFormat="1" applyFont="1" applyFill="1" applyBorder="1" applyProtection="1">
      <protection locked="0"/>
    </xf>
    <xf numFmtId="37" fontId="164" fillId="24" borderId="3" xfId="0" applyNumberFormat="1" applyFont="1" applyFill="1" applyBorder="1" applyProtection="1"/>
    <xf numFmtId="37" fontId="164" fillId="24" borderId="113" xfId="0" applyNumberFormat="1" applyFont="1" applyFill="1" applyBorder="1" applyProtection="1"/>
    <xf numFmtId="37" fontId="164" fillId="24" borderId="12" xfId="0" applyNumberFormat="1" applyFont="1" applyFill="1" applyBorder="1" applyProtection="1"/>
    <xf numFmtId="37" fontId="164" fillId="24" borderId="114" xfId="0" applyNumberFormat="1" applyFont="1" applyFill="1" applyBorder="1" applyProtection="1"/>
    <xf numFmtId="168" fontId="164" fillId="24" borderId="3" xfId="0" applyNumberFormat="1" applyFont="1" applyFill="1" applyBorder="1" applyProtection="1"/>
    <xf numFmtId="168" fontId="164" fillId="24" borderId="113" xfId="0" applyNumberFormat="1" applyFont="1" applyFill="1" applyBorder="1" applyProtection="1"/>
    <xf numFmtId="176" fontId="164" fillId="24" borderId="12" xfId="0" applyNumberFormat="1" applyFont="1" applyFill="1" applyBorder="1"/>
    <xf numFmtId="176" fontId="164" fillId="24" borderId="114" xfId="0" applyNumberFormat="1" applyFont="1" applyFill="1" applyBorder="1"/>
    <xf numFmtId="176" fontId="164" fillId="24" borderId="0" xfId="0" applyNumberFormat="1" applyFont="1" applyFill="1" applyBorder="1"/>
    <xf numFmtId="176" fontId="164" fillId="24" borderId="112" xfId="0" applyNumberFormat="1" applyFont="1" applyFill="1" applyBorder="1"/>
    <xf numFmtId="176" fontId="164" fillId="24" borderId="0" xfId="0" applyNumberFormat="1" applyFont="1" applyFill="1"/>
    <xf numFmtId="176" fontId="164" fillId="24" borderId="3" xfId="0" applyNumberFormat="1" applyFont="1" applyFill="1" applyBorder="1"/>
    <xf numFmtId="176" fontId="164" fillId="24" borderId="113" xfId="0" applyNumberFormat="1" applyFont="1" applyFill="1" applyBorder="1"/>
    <xf numFmtId="37" fontId="164" fillId="24" borderId="0" xfId="0" applyNumberFormat="1" applyFont="1" applyFill="1"/>
    <xf numFmtId="37" fontId="164" fillId="24" borderId="112" xfId="0" applyNumberFormat="1" applyFont="1" applyFill="1" applyBorder="1"/>
    <xf numFmtId="37" fontId="164" fillId="24" borderId="3" xfId="0" applyNumberFormat="1" applyFont="1" applyFill="1" applyBorder="1"/>
    <xf numFmtId="37" fontId="164" fillId="24" borderId="113" xfId="0" applyNumberFormat="1" applyFont="1" applyFill="1" applyBorder="1"/>
    <xf numFmtId="37" fontId="164" fillId="24" borderId="0" xfId="0" applyNumberFormat="1" applyFont="1" applyFill="1" applyBorder="1"/>
    <xf numFmtId="171" fontId="164" fillId="24" borderId="0" xfId="0" applyNumberFormat="1" applyFont="1" applyFill="1" applyAlignment="1"/>
    <xf numFmtId="171" fontId="164" fillId="24" borderId="112" xfId="0" applyNumberFormat="1" applyFont="1" applyFill="1" applyBorder="1" applyAlignment="1"/>
    <xf numFmtId="37" fontId="164" fillId="24" borderId="12" xfId="0" applyNumberFormat="1" applyFont="1" applyFill="1" applyBorder="1"/>
    <xf numFmtId="37" fontId="164" fillId="24" borderId="114" xfId="0" applyNumberFormat="1" applyFont="1" applyFill="1" applyBorder="1"/>
    <xf numFmtId="0" fontId="181" fillId="19" borderId="9" xfId="0" quotePrefix="1" applyNumberFormat="1" applyFont="1" applyFill="1" applyBorder="1" applyAlignment="1">
      <alignment horizontal="center"/>
    </xf>
    <xf numFmtId="0" fontId="181" fillId="19" borderId="114" xfId="0" quotePrefix="1" applyNumberFormat="1" applyFont="1" applyFill="1" applyBorder="1" applyAlignment="1">
      <alignment horizontal="center"/>
    </xf>
    <xf numFmtId="0" fontId="190" fillId="19" borderId="12" xfId="0" quotePrefix="1" applyNumberFormat="1" applyFont="1" applyFill="1" applyBorder="1" applyAlignment="1">
      <alignment horizontal="center"/>
    </xf>
    <xf numFmtId="0" fontId="181" fillId="19" borderId="12" xfId="0" quotePrefix="1" applyNumberFormat="1" applyFont="1" applyFill="1" applyBorder="1" applyAlignment="1">
      <alignment horizontal="center"/>
    </xf>
    <xf numFmtId="0" fontId="187" fillId="21" borderId="0" xfId="0" applyNumberFormat="1" applyFont="1" applyFill="1"/>
    <xf numFmtId="0" fontId="187" fillId="21" borderId="112" xfId="0" applyNumberFormat="1" applyFont="1" applyFill="1" applyBorder="1"/>
    <xf numFmtId="0" fontId="188" fillId="21" borderId="0" xfId="0" applyNumberFormat="1" applyFont="1" applyFill="1" applyBorder="1"/>
    <xf numFmtId="0" fontId="188" fillId="21" borderId="112" xfId="0" applyNumberFormat="1" applyFont="1" applyFill="1" applyBorder="1"/>
    <xf numFmtId="0" fontId="187" fillId="21" borderId="9" xfId="0" applyNumberFormat="1" applyFont="1" applyFill="1" applyBorder="1" applyAlignment="1">
      <alignment horizontal="center"/>
    </xf>
    <xf numFmtId="0" fontId="187" fillId="21" borderId="0" xfId="0" applyNumberFormat="1" applyFont="1" applyFill="1" applyAlignment="1">
      <alignment horizontal="center"/>
    </xf>
    <xf numFmtId="0" fontId="187" fillId="21" borderId="112" xfId="0" applyNumberFormat="1" applyFont="1" applyFill="1" applyBorder="1" applyAlignment="1">
      <alignment horizontal="center"/>
    </xf>
    <xf numFmtId="37" fontId="187" fillId="21" borderId="2" xfId="0" applyNumberFormat="1" applyFont="1" applyFill="1" applyBorder="1" applyProtection="1">
      <protection locked="0"/>
    </xf>
    <xf numFmtId="37" fontId="187" fillId="21" borderId="113" xfId="0" applyNumberFormat="1" applyFont="1" applyFill="1" applyBorder="1" applyProtection="1">
      <protection locked="0"/>
    </xf>
    <xf numFmtId="37" fontId="187" fillId="21" borderId="0" xfId="0" applyNumberFormat="1" applyFont="1" applyFill="1" applyBorder="1" applyProtection="1">
      <protection locked="0"/>
    </xf>
    <xf numFmtId="37" fontId="187" fillId="21" borderId="112" xfId="0" applyNumberFormat="1" applyFont="1" applyFill="1" applyBorder="1" applyProtection="1">
      <protection locked="0"/>
    </xf>
    <xf numFmtId="37" fontId="187" fillId="21" borderId="2" xfId="0" applyNumberFormat="1" applyFont="1" applyFill="1" applyBorder="1" applyProtection="1"/>
    <xf numFmtId="37" fontId="187" fillId="21" borderId="113" xfId="0" applyNumberFormat="1" applyFont="1" applyFill="1" applyBorder="1" applyProtection="1"/>
    <xf numFmtId="37" fontId="187" fillId="21" borderId="9" xfId="0" applyNumberFormat="1" applyFont="1" applyFill="1" applyBorder="1" applyProtection="1"/>
    <xf numFmtId="37" fontId="187" fillId="21" borderId="114" xfId="0" applyNumberFormat="1" applyFont="1" applyFill="1" applyBorder="1" applyProtection="1"/>
    <xf numFmtId="168" fontId="187" fillId="21" borderId="2" xfId="0" applyNumberFormat="1" applyFont="1" applyFill="1" applyBorder="1" applyProtection="1"/>
    <xf numFmtId="168" fontId="187" fillId="21" borderId="113" xfId="0" applyNumberFormat="1" applyFont="1" applyFill="1" applyBorder="1" applyProtection="1"/>
    <xf numFmtId="176" fontId="187" fillId="21" borderId="9" xfId="0" applyNumberFormat="1" applyFont="1" applyFill="1" applyBorder="1"/>
    <xf numFmtId="176" fontId="187" fillId="21" borderId="114" xfId="0" applyNumberFormat="1" applyFont="1" applyFill="1" applyBorder="1"/>
    <xf numFmtId="176" fontId="187" fillId="21" borderId="0" xfId="0" applyNumberFormat="1" applyFont="1" applyFill="1" applyBorder="1"/>
    <xf numFmtId="176" fontId="187" fillId="21" borderId="112" xfId="0" applyNumberFormat="1" applyFont="1" applyFill="1" applyBorder="1"/>
    <xf numFmtId="176" fontId="187" fillId="21" borderId="0" xfId="0" applyNumberFormat="1" applyFont="1" applyFill="1"/>
    <xf numFmtId="176" fontId="187" fillId="21" borderId="2" xfId="0" applyNumberFormat="1" applyFont="1" applyFill="1" applyBorder="1"/>
    <xf numFmtId="176" fontId="187" fillId="21" borderId="113" xfId="0" applyNumberFormat="1" applyFont="1" applyFill="1" applyBorder="1"/>
    <xf numFmtId="37" fontId="187" fillId="21" borderId="0" xfId="0" applyNumberFormat="1" applyFont="1" applyFill="1"/>
    <xf numFmtId="37" fontId="187" fillId="21" borderId="112" xfId="0" applyNumberFormat="1" applyFont="1" applyFill="1" applyBorder="1"/>
    <xf numFmtId="37" fontId="187" fillId="21" borderId="2" xfId="0" applyNumberFormat="1" applyFont="1" applyFill="1" applyBorder="1"/>
    <xf numFmtId="37" fontId="187" fillId="21" borderId="0" xfId="0" applyNumberFormat="1" applyFont="1" applyFill="1" applyBorder="1"/>
    <xf numFmtId="171" fontId="187" fillId="21" borderId="0" xfId="0" applyNumberFormat="1" applyFont="1" applyFill="1" applyAlignment="1"/>
    <xf numFmtId="171" fontId="187" fillId="21" borderId="112" xfId="0" applyNumberFormat="1" applyFont="1" applyFill="1" applyBorder="1" applyAlignment="1"/>
    <xf numFmtId="37" fontId="187" fillId="21" borderId="9" xfId="0" applyNumberFormat="1" applyFont="1" applyFill="1" applyBorder="1"/>
    <xf numFmtId="37" fontId="187" fillId="21" borderId="6" xfId="0" applyNumberFormat="1" applyFont="1" applyFill="1" applyBorder="1"/>
    <xf numFmtId="37" fontId="187" fillId="21" borderId="10" xfId="0" applyNumberFormat="1" applyFont="1" applyFill="1" applyBorder="1"/>
    <xf numFmtId="0" fontId="144" fillId="8" borderId="0" xfId="0" applyNumberFormat="1" applyFont="1" applyFill="1" applyBorder="1"/>
    <xf numFmtId="0" fontId="144" fillId="8" borderId="112" xfId="0" applyNumberFormat="1" applyFont="1" applyFill="1" applyBorder="1"/>
    <xf numFmtId="0" fontId="140" fillId="8" borderId="12" xfId="0" applyNumberFormat="1" applyFont="1" applyFill="1" applyBorder="1" applyAlignment="1">
      <alignment horizontal="center"/>
    </xf>
    <xf numFmtId="37" fontId="143" fillId="8" borderId="3" xfId="0" applyNumberFormat="1" applyFont="1" applyFill="1" applyBorder="1" applyProtection="1">
      <protection locked="0"/>
    </xf>
    <xf numFmtId="37" fontId="143" fillId="8" borderId="113" xfId="0" applyNumberFormat="1" applyFont="1" applyFill="1" applyBorder="1" applyProtection="1">
      <protection locked="0"/>
    </xf>
    <xf numFmtId="37" fontId="143" fillId="8" borderId="0" xfId="0" applyNumberFormat="1" applyFont="1" applyFill="1" applyBorder="1" applyProtection="1">
      <protection locked="0"/>
    </xf>
    <xf numFmtId="37" fontId="143" fillId="8" borderId="112" xfId="0" applyNumberFormat="1" applyFont="1" applyFill="1" applyBorder="1" applyProtection="1">
      <protection locked="0"/>
    </xf>
    <xf numFmtId="37" fontId="143" fillId="8" borderId="3" xfId="0" applyNumberFormat="1" applyFont="1" applyFill="1" applyBorder="1" applyProtection="1"/>
    <xf numFmtId="37" fontId="143" fillId="8" borderId="12" xfId="0" applyNumberFormat="1" applyFont="1" applyFill="1" applyBorder="1" applyProtection="1"/>
    <xf numFmtId="37" fontId="143" fillId="8" borderId="114" xfId="0" applyNumberFormat="1" applyFont="1" applyFill="1" applyBorder="1" applyProtection="1"/>
    <xf numFmtId="168" fontId="143" fillId="8" borderId="3" xfId="0" applyNumberFormat="1" applyFont="1" applyFill="1" applyBorder="1" applyProtection="1"/>
    <xf numFmtId="168" fontId="143" fillId="8" borderId="113" xfId="0" applyNumberFormat="1" applyFont="1" applyFill="1" applyBorder="1" applyProtection="1"/>
    <xf numFmtId="176" fontId="143" fillId="8" borderId="12" xfId="0" applyNumberFormat="1" applyFont="1" applyFill="1" applyBorder="1"/>
    <xf numFmtId="176" fontId="143" fillId="8" borderId="114" xfId="0" applyNumberFormat="1" applyFont="1" applyFill="1" applyBorder="1"/>
    <xf numFmtId="176" fontId="143" fillId="8" borderId="112" xfId="0" applyNumberFormat="1" applyFont="1" applyFill="1" applyBorder="1"/>
    <xf numFmtId="176" fontId="143" fillId="8" borderId="0" xfId="0" applyNumberFormat="1" applyFont="1" applyFill="1"/>
    <xf numFmtId="176" fontId="143" fillId="8" borderId="3" xfId="0" applyNumberFormat="1" applyFont="1" applyFill="1" applyBorder="1"/>
    <xf numFmtId="37" fontId="143" fillId="8" borderId="3" xfId="0" applyNumberFormat="1" applyFont="1" applyFill="1" applyBorder="1"/>
    <xf numFmtId="171" fontId="143" fillId="8" borderId="0" xfId="0" applyNumberFormat="1" applyFont="1" applyFill="1" applyAlignment="1"/>
    <xf numFmtId="171" fontId="143" fillId="8" borderId="112" xfId="0" applyNumberFormat="1" applyFont="1" applyFill="1" applyBorder="1" applyAlignment="1"/>
    <xf numFmtId="37" fontId="143" fillId="8" borderId="12" xfId="0" applyNumberFormat="1" applyFont="1" applyFill="1" applyBorder="1"/>
    <xf numFmtId="0" fontId="140" fillId="24" borderId="12" xfId="0" applyNumberFormat="1" applyFont="1" applyFill="1" applyBorder="1" applyAlignment="1">
      <alignment horizontal="center"/>
    </xf>
    <xf numFmtId="0" fontId="147" fillId="27" borderId="121" xfId="0" applyNumberFormat="1" applyFont="1" applyFill="1" applyBorder="1"/>
    <xf numFmtId="0" fontId="182" fillId="2" borderId="0" xfId="0" applyNumberFormat="1" applyFont="1"/>
    <xf numFmtId="0" fontId="4" fillId="19" borderId="0" xfId="0" applyNumberFormat="1" applyFont="1" applyFill="1" applyBorder="1" applyAlignment="1">
      <alignment horizontal="center"/>
    </xf>
    <xf numFmtId="40" fontId="4" fillId="19" borderId="0" xfId="0" applyNumberFormat="1" applyFont="1" applyFill="1" applyAlignment="1">
      <alignment horizontal="center"/>
    </xf>
    <xf numFmtId="177" fontId="4" fillId="19" borderId="0" xfId="0" applyNumberFormat="1" applyFont="1" applyFill="1" applyAlignment="1">
      <alignment horizontal="center"/>
    </xf>
    <xf numFmtId="0" fontId="192" fillId="5" borderId="0" xfId="0" applyNumberFormat="1" applyFont="1" applyFill="1" applyBorder="1" applyAlignment="1">
      <alignment horizontal="right"/>
    </xf>
    <xf numFmtId="0" fontId="193" fillId="2" borderId="0" xfId="0" applyNumberFormat="1" applyFont="1"/>
    <xf numFmtId="0" fontId="193" fillId="2" borderId="0" xfId="0" applyNumberFormat="1" applyFont="1" applyAlignment="1">
      <alignment horizontal="center"/>
    </xf>
    <xf numFmtId="176" fontId="193" fillId="2" borderId="2" xfId="0" applyNumberFormat="1" applyFont="1" applyBorder="1"/>
    <xf numFmtId="177" fontId="193" fillId="0" borderId="2" xfId="0" applyNumberFormat="1" applyFont="1" applyFill="1" applyBorder="1"/>
    <xf numFmtId="0" fontId="193" fillId="2" borderId="0" xfId="0" applyNumberFormat="1" applyFont="1" applyBorder="1"/>
    <xf numFmtId="0" fontId="193" fillId="2" borderId="2" xfId="0" applyNumberFormat="1" applyFont="1" applyBorder="1"/>
    <xf numFmtId="37" fontId="193" fillId="2" borderId="2" xfId="0" applyNumberFormat="1" applyFont="1" applyBorder="1"/>
    <xf numFmtId="168" fontId="193" fillId="2" borderId="2" xfId="0" applyNumberFormat="1" applyFont="1" applyBorder="1"/>
    <xf numFmtId="168" fontId="193" fillId="11" borderId="2" xfId="0" applyNumberFormat="1" applyFont="1" applyFill="1" applyBorder="1"/>
    <xf numFmtId="38" fontId="193" fillId="2" borderId="2" xfId="0" applyNumberFormat="1" applyFont="1" applyBorder="1"/>
    <xf numFmtId="38" fontId="193" fillId="2" borderId="9" xfId="0" applyNumberFormat="1" applyFont="1" applyBorder="1"/>
    <xf numFmtId="38" fontId="193" fillId="2" borderId="0" xfId="0" applyNumberFormat="1" applyFont="1"/>
    <xf numFmtId="0" fontId="193" fillId="2" borderId="0" xfId="0" applyNumberFormat="1" applyFont="1" applyAlignment="1">
      <alignment horizontal="right"/>
    </xf>
    <xf numFmtId="171" fontId="193" fillId="2" borderId="0" xfId="0" applyNumberFormat="1" applyFont="1" applyAlignment="1">
      <alignment horizontal="right"/>
    </xf>
    <xf numFmtId="39" fontId="193" fillId="2" borderId="0" xfId="0" applyNumberFormat="1" applyFont="1" applyAlignment="1">
      <alignment horizontal="right"/>
    </xf>
    <xf numFmtId="0" fontId="193" fillId="12" borderId="22" xfId="0" applyNumberFormat="1" applyFont="1" applyFill="1" applyBorder="1" applyAlignment="1">
      <alignment horizontal="center"/>
    </xf>
    <xf numFmtId="38" fontId="193" fillId="12" borderId="20" xfId="0" applyNumberFormat="1" applyFont="1" applyFill="1" applyBorder="1" applyAlignment="1">
      <alignment horizontal="center"/>
    </xf>
    <xf numFmtId="0" fontId="193" fillId="12" borderId="20" xfId="0" applyNumberFormat="1" applyFont="1" applyFill="1" applyBorder="1"/>
    <xf numFmtId="38" fontId="193" fillId="12" borderId="23" xfId="0" applyNumberFormat="1" applyFont="1" applyFill="1" applyBorder="1" applyAlignment="1">
      <alignment horizontal="center"/>
    </xf>
    <xf numFmtId="0" fontId="193" fillId="2" borderId="0" xfId="0" quotePrefix="1" applyNumberFormat="1" applyFont="1" applyAlignment="1">
      <alignment horizontal="center"/>
    </xf>
    <xf numFmtId="187" fontId="193" fillId="2" borderId="9" xfId="0" applyNumberFormat="1" applyFont="1" applyBorder="1"/>
    <xf numFmtId="38" fontId="193" fillId="5" borderId="9" xfId="0" applyNumberFormat="1" applyFont="1" applyFill="1" applyBorder="1"/>
    <xf numFmtId="38" fontId="193" fillId="24" borderId="9" xfId="0" applyNumberFormat="1" applyFont="1" applyFill="1" applyBorder="1"/>
    <xf numFmtId="176" fontId="193" fillId="5" borderId="9" xfId="0" applyNumberFormat="1" applyFont="1" applyFill="1" applyBorder="1"/>
    <xf numFmtId="0" fontId="193" fillId="26" borderId="9" xfId="0" applyNumberFormat="1" applyFont="1" applyFill="1" applyBorder="1" applyAlignment="1">
      <alignment horizontal="center"/>
    </xf>
    <xf numFmtId="38" fontId="193" fillId="5" borderId="0" xfId="0" applyNumberFormat="1" applyFont="1" applyFill="1" applyBorder="1" applyAlignment="1">
      <alignment horizontal="center"/>
    </xf>
    <xf numFmtId="0" fontId="193" fillId="5" borderId="0" xfId="0" applyNumberFormat="1" applyFont="1" applyFill="1" applyBorder="1"/>
    <xf numFmtId="0" fontId="195" fillId="2" borderId="0" xfId="0" applyNumberFormat="1" applyFont="1"/>
    <xf numFmtId="0" fontId="195" fillId="2" borderId="0" xfId="0" applyNumberFormat="1" applyFont="1" applyAlignment="1">
      <alignment horizontal="center"/>
    </xf>
    <xf numFmtId="176" fontId="195" fillId="2" borderId="2" xfId="0" applyNumberFormat="1" applyFont="1" applyBorder="1"/>
    <xf numFmtId="177" fontId="195" fillId="0" borderId="2" xfId="0" applyNumberFormat="1" applyFont="1" applyFill="1" applyBorder="1"/>
    <xf numFmtId="0" fontId="195" fillId="2" borderId="0" xfId="0" applyNumberFormat="1" applyFont="1" applyBorder="1"/>
    <xf numFmtId="0" fontId="195" fillId="2" borderId="2" xfId="0" applyNumberFormat="1" applyFont="1" applyBorder="1"/>
    <xf numFmtId="37" fontId="195" fillId="2" borderId="2" xfId="0" applyNumberFormat="1" applyFont="1" applyBorder="1"/>
    <xf numFmtId="168" fontId="195" fillId="2" borderId="2" xfId="0" applyNumberFormat="1" applyFont="1" applyBorder="1"/>
    <xf numFmtId="168" fontId="195" fillId="11" borderId="2" xfId="0" applyNumberFormat="1" applyFont="1" applyFill="1" applyBorder="1"/>
    <xf numFmtId="38" fontId="195" fillId="2" borderId="2" xfId="0" applyNumberFormat="1" applyFont="1" applyBorder="1"/>
    <xf numFmtId="38" fontId="195" fillId="2" borderId="9" xfId="0" applyNumberFormat="1" applyFont="1" applyBorder="1"/>
    <xf numFmtId="38" fontId="195" fillId="2" borderId="0" xfId="0" applyNumberFormat="1" applyFont="1"/>
    <xf numFmtId="0" fontId="195" fillId="2" borderId="0" xfId="0" applyNumberFormat="1" applyFont="1" applyAlignment="1">
      <alignment horizontal="right"/>
    </xf>
    <xf numFmtId="171" fontId="195" fillId="2" borderId="0" xfId="0" applyNumberFormat="1" applyFont="1" applyAlignment="1">
      <alignment horizontal="right"/>
    </xf>
    <xf numFmtId="39" fontId="195" fillId="2" borderId="0" xfId="0" applyNumberFormat="1" applyFont="1" applyAlignment="1">
      <alignment horizontal="right"/>
    </xf>
    <xf numFmtId="0" fontId="195" fillId="12" borderId="22" xfId="0" applyNumberFormat="1" applyFont="1" applyFill="1" applyBorder="1" applyAlignment="1">
      <alignment horizontal="center"/>
    </xf>
    <xf numFmtId="38" fontId="195" fillId="12" borderId="20" xfId="0" applyNumberFormat="1" applyFont="1" applyFill="1" applyBorder="1" applyAlignment="1">
      <alignment horizontal="center"/>
    </xf>
    <xf numFmtId="0" fontId="195" fillId="12" borderId="20" xfId="0" applyNumberFormat="1" applyFont="1" applyFill="1" applyBorder="1"/>
    <xf numFmtId="38" fontId="195" fillId="12" borderId="23" xfId="0" applyNumberFormat="1" applyFont="1" applyFill="1" applyBorder="1" applyAlignment="1">
      <alignment horizontal="center"/>
    </xf>
    <xf numFmtId="0" fontId="195" fillId="2" borderId="0" xfId="0" quotePrefix="1" applyNumberFormat="1" applyFont="1" applyAlignment="1">
      <alignment horizontal="center"/>
    </xf>
    <xf numFmtId="187" fontId="195" fillId="2" borderId="9" xfId="0" applyNumberFormat="1" applyFont="1" applyBorder="1"/>
    <xf numFmtId="38" fontId="195" fillId="5" borderId="9" xfId="0" applyNumberFormat="1" applyFont="1" applyFill="1" applyBorder="1"/>
    <xf numFmtId="38" fontId="195" fillId="24" borderId="9" xfId="0" applyNumberFormat="1" applyFont="1" applyFill="1" applyBorder="1"/>
    <xf numFmtId="176" fontId="195" fillId="5" borderId="9" xfId="0" applyNumberFormat="1" applyFont="1" applyFill="1" applyBorder="1"/>
    <xf numFmtId="0" fontId="195" fillId="26" borderId="9" xfId="0" applyNumberFormat="1" applyFont="1" applyFill="1" applyBorder="1" applyAlignment="1">
      <alignment horizontal="center"/>
    </xf>
    <xf numFmtId="38" fontId="195" fillId="5" borderId="0" xfId="0" applyNumberFormat="1" applyFont="1" applyFill="1" applyBorder="1" applyAlignment="1">
      <alignment horizontal="center"/>
    </xf>
    <xf numFmtId="0" fontId="195" fillId="5" borderId="0" xfId="0" applyNumberFormat="1" applyFont="1" applyFill="1" applyBorder="1"/>
    <xf numFmtId="0" fontId="197" fillId="2" borderId="0" xfId="0" applyNumberFormat="1" applyFont="1"/>
    <xf numFmtId="0" fontId="197" fillId="2" borderId="0" xfId="0" applyNumberFormat="1" applyFont="1" applyAlignment="1">
      <alignment horizontal="center"/>
    </xf>
    <xf numFmtId="176" fontId="197" fillId="2" borderId="2" xfId="0" applyNumberFormat="1" applyFont="1" applyBorder="1"/>
    <xf numFmtId="177" fontId="197" fillId="0" borderId="2" xfId="0" applyNumberFormat="1" applyFont="1" applyFill="1" applyBorder="1"/>
    <xf numFmtId="0" fontId="197" fillId="2" borderId="0" xfId="0" applyNumberFormat="1" applyFont="1" applyBorder="1"/>
    <xf numFmtId="0" fontId="197" fillId="2" borderId="2" xfId="0" applyNumberFormat="1" applyFont="1" applyBorder="1"/>
    <xf numFmtId="37" fontId="197" fillId="2" borderId="2" xfId="0" applyNumberFormat="1" applyFont="1" applyBorder="1"/>
    <xf numFmtId="168" fontId="197" fillId="2" borderId="2" xfId="0" applyNumberFormat="1" applyFont="1" applyBorder="1"/>
    <xf numFmtId="168" fontId="197" fillId="11" borderId="2" xfId="0" applyNumberFormat="1" applyFont="1" applyFill="1" applyBorder="1"/>
    <xf numFmtId="38" fontId="197" fillId="2" borderId="2" xfId="0" applyNumberFormat="1" applyFont="1" applyBorder="1"/>
    <xf numFmtId="38" fontId="197" fillId="2" borderId="9" xfId="0" applyNumberFormat="1" applyFont="1" applyBorder="1"/>
    <xf numFmtId="38" fontId="197" fillId="2" borderId="0" xfId="0" applyNumberFormat="1" applyFont="1"/>
    <xf numFmtId="0" fontId="197" fillId="2" borderId="0" xfId="0" applyNumberFormat="1" applyFont="1" applyAlignment="1">
      <alignment horizontal="right"/>
    </xf>
    <xf numFmtId="171" fontId="197" fillId="2" borderId="0" xfId="0" applyNumberFormat="1" applyFont="1" applyAlignment="1">
      <alignment horizontal="right"/>
    </xf>
    <xf numFmtId="39" fontId="197" fillId="2" borderId="0" xfId="0" applyNumberFormat="1" applyFont="1" applyAlignment="1">
      <alignment horizontal="right"/>
    </xf>
    <xf numFmtId="0" fontId="197" fillId="12" borderId="22" xfId="0" applyNumberFormat="1" applyFont="1" applyFill="1" applyBorder="1" applyAlignment="1">
      <alignment horizontal="center"/>
    </xf>
    <xf numFmtId="38" fontId="197" fillId="12" borderId="20" xfId="0" applyNumberFormat="1" applyFont="1" applyFill="1" applyBorder="1" applyAlignment="1">
      <alignment horizontal="center"/>
    </xf>
    <xf numFmtId="0" fontId="197" fillId="12" borderId="20" xfId="0" applyNumberFormat="1" applyFont="1" applyFill="1" applyBorder="1"/>
    <xf numFmtId="38" fontId="197" fillId="12" borderId="23" xfId="0" applyNumberFormat="1" applyFont="1" applyFill="1" applyBorder="1" applyAlignment="1">
      <alignment horizontal="center"/>
    </xf>
    <xf numFmtId="0" fontId="197" fillId="2" borderId="0" xfId="0" quotePrefix="1" applyNumberFormat="1" applyFont="1" applyAlignment="1">
      <alignment horizontal="center"/>
    </xf>
    <xf numFmtId="187" fontId="197" fillId="2" borderId="9" xfId="0" applyNumberFormat="1" applyFont="1" applyBorder="1"/>
    <xf numFmtId="38" fontId="197" fillId="5" borderId="9" xfId="0" applyNumberFormat="1" applyFont="1" applyFill="1" applyBorder="1"/>
    <xf numFmtId="38" fontId="197" fillId="24" borderId="9" xfId="0" applyNumberFormat="1" applyFont="1" applyFill="1" applyBorder="1"/>
    <xf numFmtId="176" fontId="197" fillId="5" borderId="9" xfId="0" applyNumberFormat="1" applyFont="1" applyFill="1" applyBorder="1"/>
    <xf numFmtId="0" fontId="197" fillId="26" borderId="9" xfId="0" applyNumberFormat="1" applyFont="1" applyFill="1" applyBorder="1" applyAlignment="1">
      <alignment horizontal="center"/>
    </xf>
    <xf numFmtId="38" fontId="197" fillId="5" borderId="0" xfId="0" applyNumberFormat="1" applyFont="1" applyFill="1" applyBorder="1" applyAlignment="1">
      <alignment horizontal="center"/>
    </xf>
    <xf numFmtId="0" fontId="197" fillId="5" borderId="0" xfId="0" applyNumberFormat="1" applyFont="1" applyFill="1" applyBorder="1"/>
    <xf numFmtId="0" fontId="190" fillId="2" borderId="0" xfId="0" applyNumberFormat="1" applyFont="1"/>
    <xf numFmtId="0" fontId="190" fillId="2" borderId="0" xfId="0" applyNumberFormat="1" applyFont="1" applyAlignment="1">
      <alignment horizontal="center"/>
    </xf>
    <xf numFmtId="176" fontId="190" fillId="2" borderId="2" xfId="0" applyNumberFormat="1" applyFont="1" applyBorder="1"/>
    <xf numFmtId="177" fontId="190" fillId="0" borderId="2" xfId="0" applyNumberFormat="1" applyFont="1" applyFill="1" applyBorder="1"/>
    <xf numFmtId="0" fontId="190" fillId="2" borderId="0" xfId="0" applyNumberFormat="1" applyFont="1" applyBorder="1"/>
    <xf numFmtId="0" fontId="190" fillId="2" borderId="2" xfId="0" applyNumberFormat="1" applyFont="1" applyBorder="1"/>
    <xf numFmtId="37" fontId="190" fillId="2" borderId="2" xfId="0" applyNumberFormat="1" applyFont="1" applyBorder="1"/>
    <xf numFmtId="168" fontId="190" fillId="2" borderId="2" xfId="0" applyNumberFormat="1" applyFont="1" applyBorder="1"/>
    <xf numFmtId="168" fontId="190" fillId="11" borderId="2" xfId="0" applyNumberFormat="1" applyFont="1" applyFill="1" applyBorder="1"/>
    <xf numFmtId="38" fontId="190" fillId="2" borderId="2" xfId="0" applyNumberFormat="1" applyFont="1" applyBorder="1"/>
    <xf numFmtId="38" fontId="190" fillId="2" borderId="9" xfId="0" applyNumberFormat="1" applyFont="1" applyBorder="1"/>
    <xf numFmtId="38" fontId="190" fillId="2" borderId="0" xfId="0" applyNumberFormat="1" applyFont="1"/>
    <xf numFmtId="0" fontId="190" fillId="2" borderId="0" xfId="0" applyNumberFormat="1" applyFont="1" applyAlignment="1">
      <alignment horizontal="right"/>
    </xf>
    <xf numFmtId="171" fontId="190" fillId="2" borderId="0" xfId="0" applyNumberFormat="1" applyFont="1" applyAlignment="1">
      <alignment horizontal="right"/>
    </xf>
    <xf numFmtId="39" fontId="190" fillId="2" borderId="0" xfId="0" applyNumberFormat="1" applyFont="1" applyAlignment="1">
      <alignment horizontal="right"/>
    </xf>
    <xf numFmtId="0" fontId="190" fillId="12" borderId="22" xfId="0" applyNumberFormat="1" applyFont="1" applyFill="1" applyBorder="1" applyAlignment="1">
      <alignment horizontal="center"/>
    </xf>
    <xf numFmtId="38" fontId="190" fillId="12" borderId="20" xfId="0" applyNumberFormat="1" applyFont="1" applyFill="1" applyBorder="1" applyAlignment="1">
      <alignment horizontal="center"/>
    </xf>
    <xf numFmtId="0" fontId="190" fillId="12" borderId="20" xfId="0" applyNumberFormat="1" applyFont="1" applyFill="1" applyBorder="1"/>
    <xf numFmtId="38" fontId="190" fillId="12" borderId="23" xfId="0" applyNumberFormat="1" applyFont="1" applyFill="1" applyBorder="1" applyAlignment="1">
      <alignment horizontal="center"/>
    </xf>
    <xf numFmtId="0" fontId="190" fillId="2" borderId="0" xfId="0" quotePrefix="1" applyNumberFormat="1" applyFont="1" applyAlignment="1">
      <alignment horizontal="center"/>
    </xf>
    <xf numFmtId="187" fontId="190" fillId="2" borderId="9" xfId="0" applyNumberFormat="1" applyFont="1" applyBorder="1"/>
    <xf numFmtId="38" fontId="190" fillId="5" borderId="9" xfId="0" applyNumberFormat="1" applyFont="1" applyFill="1" applyBorder="1"/>
    <xf numFmtId="38" fontId="190" fillId="24" borderId="9" xfId="0" applyNumberFormat="1" applyFont="1" applyFill="1" applyBorder="1"/>
    <xf numFmtId="176" fontId="190" fillId="5" borderId="9" xfId="0" applyNumberFormat="1" applyFont="1" applyFill="1" applyBorder="1"/>
    <xf numFmtId="0" fontId="190" fillId="26" borderId="9" xfId="0" applyNumberFormat="1" applyFont="1" applyFill="1" applyBorder="1" applyAlignment="1">
      <alignment horizontal="center"/>
    </xf>
    <xf numFmtId="38" fontId="190" fillId="5" borderId="0" xfId="0" applyNumberFormat="1" applyFont="1" applyFill="1" applyBorder="1" applyAlignment="1">
      <alignment horizontal="center"/>
    </xf>
    <xf numFmtId="0" fontId="190" fillId="5" borderId="0" xfId="0" applyNumberFormat="1" applyFont="1" applyFill="1" applyBorder="1"/>
    <xf numFmtId="0" fontId="200" fillId="2" borderId="0" xfId="0" applyNumberFormat="1" applyFont="1"/>
    <xf numFmtId="0" fontId="200" fillId="2" borderId="0" xfId="0" applyNumberFormat="1" applyFont="1" applyAlignment="1">
      <alignment horizontal="center"/>
    </xf>
    <xf numFmtId="176" fontId="200" fillId="2" borderId="2" xfId="0" applyNumberFormat="1" applyFont="1" applyBorder="1"/>
    <xf numFmtId="177" fontId="200" fillId="0" borderId="2" xfId="0" applyNumberFormat="1" applyFont="1" applyFill="1" applyBorder="1"/>
    <xf numFmtId="0" fontId="200" fillId="2" borderId="0" xfId="0" applyNumberFormat="1" applyFont="1" applyBorder="1"/>
    <xf numFmtId="0" fontId="200" fillId="2" borderId="2" xfId="0" applyNumberFormat="1" applyFont="1" applyBorder="1"/>
    <xf numFmtId="37" fontId="200" fillId="2" borderId="2" xfId="0" applyNumberFormat="1" applyFont="1" applyBorder="1"/>
    <xf numFmtId="168" fontId="200" fillId="2" borderId="2" xfId="0" applyNumberFormat="1" applyFont="1" applyBorder="1"/>
    <xf numFmtId="168" fontId="200" fillId="11" borderId="2" xfId="0" applyNumberFormat="1" applyFont="1" applyFill="1" applyBorder="1"/>
    <xf numFmtId="38" fontId="200" fillId="2" borderId="2" xfId="0" applyNumberFormat="1" applyFont="1" applyBorder="1"/>
    <xf numFmtId="38" fontId="200" fillId="2" borderId="9" xfId="0" applyNumberFormat="1" applyFont="1" applyBorder="1"/>
    <xf numFmtId="38" fontId="200" fillId="2" borderId="0" xfId="0" applyNumberFormat="1" applyFont="1"/>
    <xf numFmtId="0" fontId="200" fillId="2" borderId="0" xfId="0" applyNumberFormat="1" applyFont="1" applyAlignment="1">
      <alignment horizontal="right"/>
    </xf>
    <xf numFmtId="171" fontId="200" fillId="2" borderId="0" xfId="0" applyNumberFormat="1" applyFont="1" applyAlignment="1">
      <alignment horizontal="right"/>
    </xf>
    <xf numFmtId="39" fontId="200" fillId="2" borderId="0" xfId="0" applyNumberFormat="1" applyFont="1" applyAlignment="1">
      <alignment horizontal="right"/>
    </xf>
    <xf numFmtId="0" fontId="200" fillId="12" borderId="22" xfId="0" applyNumberFormat="1" applyFont="1" applyFill="1" applyBorder="1" applyAlignment="1">
      <alignment horizontal="center"/>
    </xf>
    <xf numFmtId="38" fontId="200" fillId="12" borderId="20" xfId="0" applyNumberFormat="1" applyFont="1" applyFill="1" applyBorder="1" applyAlignment="1">
      <alignment horizontal="center"/>
    </xf>
    <xf numFmtId="0" fontId="200" fillId="12" borderId="20" xfId="0" applyNumberFormat="1" applyFont="1" applyFill="1" applyBorder="1"/>
    <xf numFmtId="38" fontId="200" fillId="12" borderId="23" xfId="0" applyNumberFormat="1" applyFont="1" applyFill="1" applyBorder="1" applyAlignment="1">
      <alignment horizontal="center"/>
    </xf>
    <xf numFmtId="0" fontId="200" fillId="2" borderId="0" xfId="0" quotePrefix="1" applyNumberFormat="1" applyFont="1" applyAlignment="1">
      <alignment horizontal="center"/>
    </xf>
    <xf numFmtId="187" fontId="200" fillId="2" borderId="9" xfId="0" applyNumberFormat="1" applyFont="1" applyBorder="1"/>
    <xf numFmtId="38" fontId="200" fillId="5" borderId="9" xfId="0" applyNumberFormat="1" applyFont="1" applyFill="1" applyBorder="1"/>
    <xf numFmtId="38" fontId="200" fillId="24" borderId="9" xfId="0" applyNumberFormat="1" applyFont="1" applyFill="1" applyBorder="1"/>
    <xf numFmtId="176" fontId="200" fillId="5" borderId="9" xfId="0" applyNumberFormat="1" applyFont="1" applyFill="1" applyBorder="1"/>
    <xf numFmtId="0" fontId="200" fillId="26" borderId="9" xfId="0" applyNumberFormat="1" applyFont="1" applyFill="1" applyBorder="1" applyAlignment="1">
      <alignment horizontal="center"/>
    </xf>
    <xf numFmtId="38" fontId="200" fillId="5" borderId="0" xfId="0" applyNumberFormat="1" applyFont="1" applyFill="1" applyBorder="1" applyAlignment="1">
      <alignment horizontal="center"/>
    </xf>
    <xf numFmtId="0" fontId="200" fillId="5" borderId="0" xfId="0" applyNumberFormat="1" applyFont="1" applyFill="1" applyBorder="1"/>
    <xf numFmtId="0" fontId="189" fillId="2" borderId="0" xfId="0" applyNumberFormat="1" applyFont="1" applyAlignment="1">
      <alignment horizontal="center"/>
    </xf>
    <xf numFmtId="0" fontId="193" fillId="8" borderId="2" xfId="0" applyNumberFormat="1" applyFont="1" applyFill="1" applyBorder="1" applyAlignment="1">
      <alignment horizontal="center"/>
    </xf>
    <xf numFmtId="0" fontId="195" fillId="8" borderId="2" xfId="0" applyNumberFormat="1" applyFont="1" applyFill="1" applyBorder="1" applyAlignment="1">
      <alignment horizontal="center"/>
    </xf>
    <xf numFmtId="0" fontId="143" fillId="8" borderId="2" xfId="0" applyNumberFormat="1" applyFont="1" applyFill="1" applyBorder="1" applyAlignment="1">
      <alignment horizontal="center"/>
    </xf>
    <xf numFmtId="0" fontId="197" fillId="8" borderId="2" xfId="0" applyNumberFormat="1" applyFont="1" applyFill="1" applyBorder="1" applyAlignment="1">
      <alignment horizontal="center"/>
    </xf>
    <xf numFmtId="0" fontId="190" fillId="8" borderId="2" xfId="0" applyNumberFormat="1" applyFont="1" applyFill="1" applyBorder="1" applyAlignment="1">
      <alignment horizontal="center"/>
    </xf>
    <xf numFmtId="0" fontId="200" fillId="8" borderId="2" xfId="0" applyNumberFormat="1" applyFont="1" applyFill="1" applyBorder="1" applyAlignment="1">
      <alignment horizontal="center"/>
    </xf>
    <xf numFmtId="164" fontId="194" fillId="19" borderId="2" xfId="0" applyNumberFormat="1" applyFont="1" applyFill="1" applyBorder="1"/>
    <xf numFmtId="164" fontId="196" fillId="19" borderId="2" xfId="0" applyNumberFormat="1" applyFont="1" applyFill="1" applyBorder="1"/>
    <xf numFmtId="164" fontId="142" fillId="19" borderId="2" xfId="0" applyNumberFormat="1" applyFont="1" applyFill="1" applyBorder="1"/>
    <xf numFmtId="164" fontId="198" fillId="19" borderId="2" xfId="0" applyNumberFormat="1" applyFont="1" applyFill="1" applyBorder="1"/>
    <xf numFmtId="164" fontId="199" fillId="19" borderId="2" xfId="0" applyNumberFormat="1" applyFont="1" applyFill="1" applyBorder="1"/>
    <xf numFmtId="164" fontId="186" fillId="19" borderId="2" xfId="0" applyNumberFormat="1" applyFont="1" applyFill="1" applyBorder="1"/>
    <xf numFmtId="38" fontId="193" fillId="5" borderId="2" xfId="0" applyNumberFormat="1" applyFont="1" applyFill="1" applyBorder="1" applyProtection="1">
      <protection locked="0"/>
    </xf>
    <xf numFmtId="38" fontId="195" fillId="5" borderId="2" xfId="0" applyNumberFormat="1" applyFont="1" applyFill="1" applyBorder="1" applyProtection="1">
      <protection locked="0"/>
    </xf>
    <xf numFmtId="38" fontId="128" fillId="5" borderId="2" xfId="0" applyNumberFormat="1" applyFont="1" applyFill="1" applyBorder="1" applyProtection="1">
      <protection locked="0"/>
    </xf>
    <xf numFmtId="38" fontId="197" fillId="5" borderId="2" xfId="0" applyNumberFormat="1" applyFont="1" applyFill="1" applyBorder="1" applyProtection="1">
      <protection locked="0"/>
    </xf>
    <xf numFmtId="38" fontId="190" fillId="5" borderId="2" xfId="0" applyNumberFormat="1" applyFont="1" applyFill="1" applyBorder="1" applyProtection="1">
      <protection locked="0"/>
    </xf>
    <xf numFmtId="38" fontId="200" fillId="5" borderId="2" xfId="0" applyNumberFormat="1" applyFont="1" applyFill="1" applyBorder="1" applyProtection="1">
      <protection locked="0"/>
    </xf>
    <xf numFmtId="176" fontId="193" fillId="5" borderId="2" xfId="0" applyNumberFormat="1" applyFont="1" applyFill="1" applyBorder="1"/>
    <xf numFmtId="176" fontId="195" fillId="5" borderId="2" xfId="0" applyNumberFormat="1" applyFont="1" applyFill="1" applyBorder="1"/>
    <xf numFmtId="176" fontId="128" fillId="5" borderId="2" xfId="0" applyNumberFormat="1" applyFont="1" applyFill="1" applyBorder="1"/>
    <xf numFmtId="176" fontId="197" fillId="5" borderId="2" xfId="0" applyNumberFormat="1" applyFont="1" applyFill="1" applyBorder="1"/>
    <xf numFmtId="176" fontId="190" fillId="5" borderId="2" xfId="0" applyNumberFormat="1" applyFont="1" applyFill="1" applyBorder="1"/>
    <xf numFmtId="176" fontId="200" fillId="5" borderId="2" xfId="0" applyNumberFormat="1" applyFont="1" applyFill="1" applyBorder="1"/>
    <xf numFmtId="176" fontId="193" fillId="19" borderId="2" xfId="0" applyNumberFormat="1" applyFont="1" applyFill="1" applyBorder="1"/>
    <xf numFmtId="176" fontId="195" fillId="19" borderId="2" xfId="0" applyNumberFormat="1" applyFont="1" applyFill="1" applyBorder="1"/>
    <xf numFmtId="176" fontId="128" fillId="19" borderId="2" xfId="0" applyNumberFormat="1" applyFont="1" applyFill="1" applyBorder="1"/>
    <xf numFmtId="176" fontId="197" fillId="19" borderId="2" xfId="0" applyNumberFormat="1" applyFont="1" applyFill="1" applyBorder="1"/>
    <xf numFmtId="176" fontId="190" fillId="19" borderId="2" xfId="0" applyNumberFormat="1" applyFont="1" applyFill="1" applyBorder="1"/>
    <xf numFmtId="176" fontId="200" fillId="19" borderId="2" xfId="0" applyNumberFormat="1" applyFont="1" applyFill="1" applyBorder="1"/>
    <xf numFmtId="38" fontId="193" fillId="19" borderId="9" xfId="0" applyNumberFormat="1" applyFont="1" applyFill="1" applyBorder="1"/>
    <xf numFmtId="38" fontId="195" fillId="19" borderId="9" xfId="0" applyNumberFormat="1" applyFont="1" applyFill="1" applyBorder="1"/>
    <xf numFmtId="38" fontId="143" fillId="19" borderId="9" xfId="0" applyNumberFormat="1" applyFont="1" applyFill="1" applyBorder="1"/>
    <xf numFmtId="38" fontId="197" fillId="19" borderId="9" xfId="0" applyNumberFormat="1" applyFont="1" applyFill="1" applyBorder="1"/>
    <xf numFmtId="38" fontId="190" fillId="19" borderId="9" xfId="0" applyNumberFormat="1" applyFont="1" applyFill="1" applyBorder="1"/>
    <xf numFmtId="38" fontId="200" fillId="19" borderId="9" xfId="0" applyNumberFormat="1" applyFont="1" applyFill="1" applyBorder="1"/>
    <xf numFmtId="38" fontId="193" fillId="5" borderId="48" xfId="0" applyNumberFormat="1" applyFont="1" applyFill="1" applyBorder="1"/>
    <xf numFmtId="38" fontId="195" fillId="5" borderId="48" xfId="0" applyNumberFormat="1" applyFont="1" applyFill="1" applyBorder="1"/>
    <xf numFmtId="38" fontId="143" fillId="5" borderId="48" xfId="0" applyNumberFormat="1" applyFont="1" applyFill="1" applyBorder="1"/>
    <xf numFmtId="38" fontId="197" fillId="5" borderId="48" xfId="0" applyNumberFormat="1" applyFont="1" applyFill="1" applyBorder="1"/>
    <xf numFmtId="38" fontId="190" fillId="5" borderId="48" xfId="0" applyNumberFormat="1" applyFont="1" applyFill="1" applyBorder="1"/>
    <xf numFmtId="38" fontId="200" fillId="5" borderId="48" xfId="0" applyNumberFormat="1" applyFont="1" applyFill="1" applyBorder="1"/>
    <xf numFmtId="37" fontId="193" fillId="19" borderId="2" xfId="0" applyNumberFormat="1" applyFont="1" applyFill="1" applyBorder="1"/>
    <xf numFmtId="37" fontId="195" fillId="19" borderId="2" xfId="0" applyNumberFormat="1" applyFont="1" applyFill="1" applyBorder="1"/>
    <xf numFmtId="37" fontId="143" fillId="19" borderId="2" xfId="0" applyNumberFormat="1" applyFont="1" applyFill="1" applyBorder="1"/>
    <xf numFmtId="37" fontId="197" fillId="19" borderId="2" xfId="0" applyNumberFormat="1" applyFont="1" applyFill="1" applyBorder="1"/>
    <xf numFmtId="37" fontId="190" fillId="19" borderId="2" xfId="0" applyNumberFormat="1" applyFont="1" applyFill="1" applyBorder="1"/>
    <xf numFmtId="37" fontId="200" fillId="19" borderId="2" xfId="0" applyNumberFormat="1" applyFont="1" applyFill="1" applyBorder="1"/>
    <xf numFmtId="0" fontId="181" fillId="2" borderId="2" xfId="0" applyNumberFormat="1" applyFont="1" applyBorder="1"/>
    <xf numFmtId="0" fontId="181" fillId="5" borderId="9" xfId="0" applyNumberFormat="1" applyFont="1" applyFill="1" applyBorder="1"/>
    <xf numFmtId="0" fontId="181" fillId="2" borderId="2" xfId="0" applyNumberFormat="1" applyFont="1" applyBorder="1" applyAlignment="1">
      <alignment horizontal="left"/>
    </xf>
    <xf numFmtId="0" fontId="133" fillId="21" borderId="0" xfId="0" applyNumberFormat="1" applyFont="1" applyFill="1"/>
    <xf numFmtId="0" fontId="133" fillId="21" borderId="0" xfId="0" applyNumberFormat="1" applyFont="1" applyFill="1" applyBorder="1"/>
    <xf numFmtId="0" fontId="179" fillId="21" borderId="0" xfId="0" applyNumberFormat="1" applyFont="1" applyFill="1" applyAlignment="1">
      <alignment horizontal="center"/>
    </xf>
    <xf numFmtId="176" fontId="133" fillId="21" borderId="2" xfId="0" applyNumberFormat="1" applyFont="1" applyFill="1" applyBorder="1" applyProtection="1"/>
    <xf numFmtId="37" fontId="133" fillId="21" borderId="2" xfId="0" applyNumberFormat="1" applyFont="1" applyFill="1" applyBorder="1" applyProtection="1"/>
    <xf numFmtId="37" fontId="133" fillId="21" borderId="2" xfId="0" applyNumberFormat="1" applyFont="1" applyFill="1" applyBorder="1"/>
    <xf numFmtId="37" fontId="133" fillId="21" borderId="0" xfId="0" applyNumberFormat="1" applyFont="1" applyFill="1"/>
    <xf numFmtId="179" fontId="133" fillId="21" borderId="2" xfId="0" applyNumberFormat="1" applyFont="1" applyFill="1" applyBorder="1"/>
    <xf numFmtId="179" fontId="133" fillId="21" borderId="0" xfId="0" applyNumberFormat="1" applyFont="1" applyFill="1"/>
    <xf numFmtId="37" fontId="133" fillId="21" borderId="0" xfId="0" applyNumberFormat="1" applyFont="1" applyFill="1" applyBorder="1"/>
    <xf numFmtId="37" fontId="133" fillId="21" borderId="9" xfId="0" applyNumberFormat="1" applyFont="1" applyFill="1" applyBorder="1"/>
    <xf numFmtId="37" fontId="133" fillId="21" borderId="0" xfId="0" applyNumberFormat="1" applyFont="1" applyFill="1" applyBorder="1" applyAlignment="1">
      <alignment horizontal="center"/>
    </xf>
    <xf numFmtId="38" fontId="184" fillId="21" borderId="9" xfId="0" applyNumberFormat="1" applyFont="1" applyFill="1" applyBorder="1"/>
    <xf numFmtId="38" fontId="184" fillId="21" borderId="114" xfId="0" applyNumberFormat="1" applyFont="1" applyFill="1" applyBorder="1"/>
    <xf numFmtId="37" fontId="187" fillId="21" borderId="114" xfId="0" applyNumberFormat="1" applyFont="1" applyFill="1" applyBorder="1"/>
    <xf numFmtId="38" fontId="187" fillId="21" borderId="9" xfId="0" applyNumberFormat="1" applyFont="1" applyFill="1" applyBorder="1"/>
    <xf numFmtId="38" fontId="187" fillId="21" borderId="114" xfId="0" applyNumberFormat="1" applyFont="1" applyFill="1" applyBorder="1"/>
    <xf numFmtId="38" fontId="184" fillId="21" borderId="0" xfId="0" applyNumberFormat="1" applyFont="1" applyFill="1" applyBorder="1"/>
    <xf numFmtId="38" fontId="184" fillId="21" borderId="112" xfId="0" applyNumberFormat="1" applyFont="1" applyFill="1" applyBorder="1"/>
    <xf numFmtId="38" fontId="201" fillId="21" borderId="0" xfId="0" applyNumberFormat="1" applyFont="1" applyFill="1" applyBorder="1"/>
    <xf numFmtId="38" fontId="201" fillId="21" borderId="112" xfId="0" applyNumberFormat="1" applyFont="1" applyFill="1" applyBorder="1"/>
    <xf numFmtId="0" fontId="19" fillId="5" borderId="0" xfId="0" applyNumberFormat="1" applyFont="1" applyFill="1"/>
    <xf numFmtId="0" fontId="78" fillId="7" borderId="0" xfId="0" applyNumberFormat="1" applyFont="1" applyFill="1"/>
    <xf numFmtId="0" fontId="190" fillId="27" borderId="0" xfId="0" applyNumberFormat="1" applyFont="1" applyFill="1"/>
    <xf numFmtId="0" fontId="190" fillId="27" borderId="112" xfId="0" applyNumberFormat="1" applyFont="1" applyFill="1" applyBorder="1"/>
    <xf numFmtId="14" fontId="190" fillId="27" borderId="0" xfId="0" applyNumberFormat="1" applyFont="1" applyFill="1" applyAlignment="1">
      <alignment horizontal="right"/>
    </xf>
    <xf numFmtId="14" fontId="190" fillId="27" borderId="112" xfId="0" applyNumberFormat="1" applyFont="1" applyFill="1" applyBorder="1" applyAlignment="1">
      <alignment horizontal="right"/>
    </xf>
    <xf numFmtId="170" fontId="190" fillId="27" borderId="11" xfId="0" applyNumberFormat="1" applyFont="1" applyFill="1" applyBorder="1"/>
    <xf numFmtId="170" fontId="190" fillId="27" borderId="114" xfId="0" applyNumberFormat="1" applyFont="1" applyFill="1" applyBorder="1"/>
    <xf numFmtId="177" fontId="190" fillId="27" borderId="11" xfId="0" applyNumberFormat="1" applyFont="1" applyFill="1" applyBorder="1"/>
    <xf numFmtId="177" fontId="190" fillId="27" borderId="114" xfId="0" applyNumberFormat="1" applyFont="1" applyFill="1" applyBorder="1"/>
    <xf numFmtId="176" fontId="190" fillId="27" borderId="11" xfId="0" applyNumberFormat="1" applyFont="1" applyFill="1" applyBorder="1"/>
    <xf numFmtId="176" fontId="190" fillId="27" borderId="114" xfId="0" applyNumberFormat="1" applyFont="1" applyFill="1" applyBorder="1"/>
    <xf numFmtId="38" fontId="190" fillId="27" borderId="11" xfId="0" applyNumberFormat="1" applyFont="1" applyFill="1" applyBorder="1"/>
    <xf numFmtId="38" fontId="190" fillId="27" borderId="114" xfId="0" applyNumberFormat="1" applyFont="1" applyFill="1" applyBorder="1"/>
    <xf numFmtId="0" fontId="190" fillId="27" borderId="122" xfId="0" applyNumberFormat="1" applyFont="1" applyFill="1" applyBorder="1"/>
    <xf numFmtId="0" fontId="190" fillId="27" borderId="123" xfId="0" applyNumberFormat="1" applyFont="1" applyFill="1" applyBorder="1"/>
    <xf numFmtId="37" fontId="190" fillId="27" borderId="11" xfId="0" applyNumberFormat="1" applyFont="1" applyFill="1" applyBorder="1"/>
    <xf numFmtId="37" fontId="190" fillId="27" borderId="114" xfId="0" applyNumberFormat="1" applyFont="1" applyFill="1" applyBorder="1"/>
    <xf numFmtId="38" fontId="199" fillId="27" borderId="114" xfId="0" applyNumberFormat="1" applyFont="1" applyFill="1" applyBorder="1"/>
    <xf numFmtId="38" fontId="199" fillId="27" borderId="0" xfId="0" applyNumberFormat="1" applyFont="1" applyFill="1" applyBorder="1"/>
    <xf numFmtId="38" fontId="199" fillId="27" borderId="122" xfId="0" applyNumberFormat="1" applyFont="1" applyFill="1" applyBorder="1"/>
    <xf numFmtId="38" fontId="202" fillId="27" borderId="0" xfId="0" applyNumberFormat="1" applyFont="1" applyFill="1" applyBorder="1"/>
    <xf numFmtId="38" fontId="202" fillId="27" borderId="112" xfId="0" applyNumberFormat="1" applyFont="1" applyFill="1" applyBorder="1"/>
    <xf numFmtId="38" fontId="190" fillId="27" borderId="12" xfId="0" applyNumberFormat="1" applyFont="1" applyFill="1" applyBorder="1"/>
    <xf numFmtId="38" fontId="199" fillId="27" borderId="12" xfId="0" applyNumberFormat="1" applyFont="1" applyFill="1" applyBorder="1"/>
    <xf numFmtId="37" fontId="190" fillId="27" borderId="12" xfId="0" applyNumberFormat="1" applyFont="1" applyFill="1" applyBorder="1"/>
    <xf numFmtId="38" fontId="199" fillId="27" borderId="112" xfId="0" applyNumberFormat="1" applyFont="1" applyFill="1" applyBorder="1"/>
    <xf numFmtId="0" fontId="190" fillId="27" borderId="22" xfId="0" applyNumberFormat="1" applyFont="1" applyFill="1" applyBorder="1" applyAlignment="1">
      <alignment horizontal="center"/>
    </xf>
    <xf numFmtId="176" fontId="190" fillId="27" borderId="20" xfId="0" applyNumberFormat="1" applyFont="1" applyFill="1" applyBorder="1"/>
    <xf numFmtId="38" fontId="190" fillId="27" borderId="23" xfId="0" applyNumberFormat="1" applyFont="1" applyFill="1" applyBorder="1"/>
    <xf numFmtId="37" fontId="199" fillId="19" borderId="12" xfId="0" applyNumberFormat="1" applyFont="1" applyFill="1" applyBorder="1"/>
    <xf numFmtId="0" fontId="140" fillId="8" borderId="9" xfId="0" applyNumberFormat="1" applyFont="1" applyFill="1" applyBorder="1" applyAlignment="1">
      <alignment horizontal="center"/>
    </xf>
    <xf numFmtId="0" fontId="140" fillId="8" borderId="124" xfId="0" applyNumberFormat="1" applyFont="1" applyFill="1" applyBorder="1" applyAlignment="1">
      <alignment horizontal="center"/>
    </xf>
    <xf numFmtId="0" fontId="140" fillId="8" borderId="125" xfId="0" applyNumberFormat="1" applyFont="1" applyFill="1" applyBorder="1" applyAlignment="1">
      <alignment horizontal="center"/>
    </xf>
    <xf numFmtId="0" fontId="190" fillId="8" borderId="0" xfId="0" applyNumberFormat="1" applyFont="1" applyFill="1" applyBorder="1" applyAlignment="1">
      <alignment horizontal="center"/>
    </xf>
    <xf numFmtId="0" fontId="190" fillId="8" borderId="123" xfId="0" applyNumberFormat="1" applyFont="1" applyFill="1" applyBorder="1" applyAlignment="1">
      <alignment horizontal="center"/>
    </xf>
    <xf numFmtId="0" fontId="203" fillId="20" borderId="0" xfId="0" applyNumberFormat="1" applyFont="1" applyFill="1"/>
    <xf numFmtId="0" fontId="203" fillId="20" borderId="112" xfId="0" applyNumberFormat="1" applyFont="1" applyFill="1" applyBorder="1"/>
    <xf numFmtId="14" fontId="203" fillId="20" borderId="0" xfId="0" applyNumberFormat="1" applyFont="1" applyFill="1" applyAlignment="1">
      <alignment horizontal="right"/>
    </xf>
    <xf numFmtId="14" fontId="203" fillId="20" borderId="112" xfId="0" applyNumberFormat="1" applyFont="1" applyFill="1" applyBorder="1" applyAlignment="1">
      <alignment horizontal="right"/>
    </xf>
    <xf numFmtId="170" fontId="203" fillId="20" borderId="12" xfId="0" applyNumberFormat="1" applyFont="1" applyFill="1" applyBorder="1"/>
    <xf numFmtId="170" fontId="203" fillId="20" borderId="114" xfId="0" applyNumberFormat="1" applyFont="1" applyFill="1" applyBorder="1"/>
    <xf numFmtId="177" fontId="203" fillId="20" borderId="12" xfId="0" applyNumberFormat="1" applyFont="1" applyFill="1" applyBorder="1"/>
    <xf numFmtId="177" fontId="203" fillId="20" borderId="114" xfId="0" applyNumberFormat="1" applyFont="1" applyFill="1" applyBorder="1"/>
    <xf numFmtId="176" fontId="203" fillId="20" borderId="12" xfId="0" applyNumberFormat="1" applyFont="1" applyFill="1" applyBorder="1"/>
    <xf numFmtId="176" fontId="203" fillId="20" borderId="114" xfId="0" applyNumberFormat="1" applyFont="1" applyFill="1" applyBorder="1"/>
    <xf numFmtId="38" fontId="203" fillId="20" borderId="12" xfId="0" applyNumberFormat="1" applyFont="1" applyFill="1" applyBorder="1"/>
    <xf numFmtId="38" fontId="203" fillId="20" borderId="114" xfId="0" applyNumberFormat="1" applyFont="1" applyFill="1" applyBorder="1"/>
    <xf numFmtId="38" fontId="204" fillId="20" borderId="12" xfId="0" applyNumberFormat="1" applyFont="1" applyFill="1" applyBorder="1"/>
    <xf numFmtId="37" fontId="203" fillId="20" borderId="12" xfId="0" applyNumberFormat="1" applyFont="1" applyFill="1" applyBorder="1"/>
    <xf numFmtId="37" fontId="203" fillId="20" borderId="114" xfId="0" applyNumberFormat="1" applyFont="1" applyFill="1" applyBorder="1"/>
    <xf numFmtId="38" fontId="204" fillId="20" borderId="114" xfId="0" applyNumberFormat="1" applyFont="1" applyFill="1" applyBorder="1"/>
    <xf numFmtId="38" fontId="204" fillId="20" borderId="0" xfId="0" applyNumberFormat="1" applyFont="1" applyFill="1" applyBorder="1"/>
    <xf numFmtId="38" fontId="204" fillId="20" borderId="112" xfId="0" applyNumberFormat="1" applyFont="1" applyFill="1" applyBorder="1"/>
    <xf numFmtId="38" fontId="180" fillId="20" borderId="0" xfId="0" applyNumberFormat="1" applyFont="1" applyFill="1" applyBorder="1"/>
    <xf numFmtId="38" fontId="180" fillId="20" borderId="112" xfId="0" applyNumberFormat="1" applyFont="1" applyFill="1" applyBorder="1"/>
    <xf numFmtId="0" fontId="203" fillId="20" borderId="22" xfId="0" applyNumberFormat="1" applyFont="1" applyFill="1" applyBorder="1" applyAlignment="1">
      <alignment horizontal="center"/>
    </xf>
    <xf numFmtId="176" fontId="203" fillId="20" borderId="20" xfId="0" applyNumberFormat="1" applyFont="1" applyFill="1" applyBorder="1"/>
    <xf numFmtId="38" fontId="203" fillId="20" borderId="23" xfId="0" applyNumberFormat="1" applyFont="1" applyFill="1" applyBorder="1"/>
    <xf numFmtId="38" fontId="190" fillId="27" borderId="0" xfId="0" applyNumberFormat="1" applyFont="1" applyFill="1"/>
    <xf numFmtId="0" fontId="0" fillId="14" borderId="11" xfId="0" applyNumberFormat="1" applyFill="1" applyBorder="1"/>
    <xf numFmtId="0" fontId="0" fillId="14" borderId="12" xfId="0" applyNumberFormat="1" applyFill="1" applyBorder="1"/>
    <xf numFmtId="0" fontId="119" fillId="19" borderId="29" xfId="0" applyNumberFormat="1" applyFont="1" applyFill="1" applyBorder="1" applyAlignment="1"/>
    <xf numFmtId="0" fontId="68" fillId="19" borderId="22" xfId="0" applyNumberFormat="1" applyFont="1" applyFill="1" applyBorder="1"/>
    <xf numFmtId="0" fontId="141" fillId="5" borderId="36" xfId="3" applyNumberFormat="1" applyFont="1" applyFill="1" applyBorder="1" applyAlignment="1" applyProtection="1">
      <alignment horizontal="left"/>
    </xf>
    <xf numFmtId="0" fontId="15" fillId="5" borderId="16" xfId="0" quotePrefix="1" applyNumberFormat="1" applyFont="1" applyFill="1" applyBorder="1" applyAlignment="1">
      <alignment horizontal="center"/>
    </xf>
    <xf numFmtId="0" fontId="129" fillId="5" borderId="13" xfId="0" applyNumberFormat="1" applyFont="1" applyFill="1" applyBorder="1"/>
    <xf numFmtId="6" fontId="15" fillId="2" borderId="47" xfId="0" applyNumberFormat="1" applyFont="1" applyBorder="1"/>
    <xf numFmtId="6" fontId="68" fillId="5" borderId="0" xfId="0" applyNumberFormat="1" applyFont="1" applyFill="1" applyBorder="1"/>
    <xf numFmtId="0" fontId="68" fillId="2" borderId="81" xfId="0" applyNumberFormat="1" applyFont="1" applyBorder="1"/>
    <xf numFmtId="0" fontId="46" fillId="14" borderId="0" xfId="0" applyNumberFormat="1" applyFont="1" applyFill="1" applyAlignment="1">
      <alignment horizontal="center"/>
    </xf>
    <xf numFmtId="6" fontId="119" fillId="19" borderId="47" xfId="0" applyNumberFormat="1" applyFont="1" applyFill="1" applyBorder="1"/>
    <xf numFmtId="0" fontId="46" fillId="14" borderId="0" xfId="0" applyNumberFormat="1" applyFont="1" applyFill="1"/>
    <xf numFmtId="0" fontId="0" fillId="2" borderId="81" xfId="0" applyNumberFormat="1" applyBorder="1"/>
    <xf numFmtId="0" fontId="206" fillId="19" borderId="10" xfId="0" applyNumberFormat="1" applyFont="1" applyFill="1" applyBorder="1"/>
    <xf numFmtId="0" fontId="206" fillId="19" borderId="11" xfId="0" applyNumberFormat="1" applyFont="1" applyFill="1" applyBorder="1"/>
    <xf numFmtId="0" fontId="207" fillId="2" borderId="0" xfId="0" applyNumberFormat="1" applyFont="1" applyAlignment="1">
      <alignment horizontal="right"/>
    </xf>
    <xf numFmtId="0" fontId="208" fillId="2" borderId="0" xfId="0" applyNumberFormat="1" applyFont="1"/>
    <xf numFmtId="0" fontId="209" fillId="2" borderId="0" xfId="0" applyNumberFormat="1" applyFont="1" applyAlignment="1">
      <alignment horizontal="center"/>
    </xf>
    <xf numFmtId="176" fontId="210" fillId="8" borderId="36" xfId="0" applyNumberFormat="1" applyFont="1" applyFill="1" applyBorder="1" applyAlignment="1" applyProtection="1">
      <protection locked="0"/>
    </xf>
    <xf numFmtId="38" fontId="210" fillId="8" borderId="36" xfId="0" applyNumberFormat="1" applyFont="1" applyFill="1" applyBorder="1" applyAlignment="1" applyProtection="1">
      <protection locked="0"/>
    </xf>
    <xf numFmtId="177" fontId="211" fillId="0" borderId="36" xfId="0" applyNumberFormat="1" applyFont="1" applyFill="1" applyBorder="1" applyAlignment="1" applyProtection="1">
      <protection locked="0"/>
    </xf>
    <xf numFmtId="177" fontId="211" fillId="8" borderId="36" xfId="0" applyNumberFormat="1" applyFont="1" applyFill="1" applyBorder="1" applyAlignment="1" applyProtection="1">
      <protection locked="0"/>
    </xf>
    <xf numFmtId="38" fontId="211" fillId="8" borderId="36" xfId="0" applyNumberFormat="1" applyFont="1" applyFill="1" applyBorder="1" applyAlignment="1" applyProtection="1">
      <protection locked="0"/>
    </xf>
    <xf numFmtId="177" fontId="211" fillId="8" borderId="36" xfId="0" applyNumberFormat="1" applyFont="1" applyFill="1" applyBorder="1" applyAlignment="1">
      <alignment horizontal="center"/>
    </xf>
    <xf numFmtId="176" fontId="211" fillId="8" borderId="36" xfId="0" applyNumberFormat="1" applyFont="1" applyFill="1" applyBorder="1" applyAlignment="1" applyProtection="1">
      <protection locked="0"/>
    </xf>
    <xf numFmtId="38" fontId="211" fillId="0" borderId="36" xfId="0" applyNumberFormat="1" applyFont="1" applyFill="1" applyBorder="1" applyAlignment="1" applyProtection="1">
      <protection locked="0"/>
    </xf>
    <xf numFmtId="177" fontId="211" fillId="8" borderId="9" xfId="0" applyNumberFormat="1" applyFont="1" applyFill="1" applyBorder="1" applyAlignment="1"/>
    <xf numFmtId="38" fontId="211" fillId="8" borderId="47" xfId="0" applyNumberFormat="1" applyFont="1" applyFill="1" applyBorder="1" applyAlignment="1" applyProtection="1">
      <protection locked="0"/>
    </xf>
    <xf numFmtId="38" fontId="211" fillId="0" borderId="36" xfId="0" applyNumberFormat="1" applyFont="1" applyFill="1" applyBorder="1" applyAlignment="1" applyProtection="1">
      <alignment horizontal="center"/>
      <protection locked="0"/>
    </xf>
    <xf numFmtId="37" fontId="211" fillId="2" borderId="9" xfId="0" applyNumberFormat="1" applyFont="1" applyBorder="1" applyAlignment="1" applyProtection="1">
      <alignment horizontal="center"/>
      <protection locked="0"/>
    </xf>
    <xf numFmtId="177" fontId="211" fillId="2" borderId="9" xfId="0" applyNumberFormat="1" applyFont="1" applyBorder="1" applyAlignment="1">
      <alignment horizontal="right"/>
    </xf>
    <xf numFmtId="177" fontId="212" fillId="8" borderId="36" xfId="0" applyNumberFormat="1" applyFont="1" applyFill="1" applyBorder="1" applyAlignment="1" applyProtection="1">
      <protection locked="0"/>
    </xf>
    <xf numFmtId="38" fontId="212" fillId="2" borderId="9" xfId="0" applyNumberFormat="1" applyFont="1" applyBorder="1" applyProtection="1"/>
    <xf numFmtId="177" fontId="212" fillId="8" borderId="36" xfId="0" applyNumberFormat="1" applyFont="1" applyFill="1" applyBorder="1" applyAlignment="1">
      <alignment horizontal="center"/>
    </xf>
    <xf numFmtId="176" fontId="212" fillId="8" borderId="36" xfId="0" applyNumberFormat="1" applyFont="1" applyFill="1" applyBorder="1" applyAlignment="1" applyProtection="1">
      <protection locked="0"/>
    </xf>
    <xf numFmtId="38" fontId="212" fillId="8" borderId="36" xfId="0" applyNumberFormat="1" applyFont="1" applyFill="1" applyBorder="1" applyAlignment="1" applyProtection="1">
      <protection locked="0"/>
    </xf>
    <xf numFmtId="38" fontId="212" fillId="0" borderId="36" xfId="0" applyNumberFormat="1" applyFont="1" applyFill="1" applyBorder="1" applyAlignment="1" applyProtection="1">
      <protection locked="0"/>
    </xf>
    <xf numFmtId="177" fontId="212" fillId="8" borderId="9" xfId="0" applyNumberFormat="1" applyFont="1" applyFill="1" applyBorder="1" applyAlignment="1"/>
    <xf numFmtId="38" fontId="212" fillId="8" borderId="47" xfId="0" applyNumberFormat="1" applyFont="1" applyFill="1" applyBorder="1" applyAlignment="1" applyProtection="1">
      <protection locked="0"/>
    </xf>
    <xf numFmtId="38" fontId="212" fillId="0" borderId="36" xfId="0" applyNumberFormat="1" applyFont="1" applyFill="1" applyBorder="1" applyAlignment="1" applyProtection="1">
      <alignment horizontal="center"/>
      <protection locked="0"/>
    </xf>
    <xf numFmtId="37" fontId="212" fillId="2" borderId="9" xfId="0" applyNumberFormat="1" applyFont="1" applyBorder="1" applyAlignment="1" applyProtection="1">
      <alignment horizontal="center"/>
      <protection locked="0"/>
    </xf>
    <xf numFmtId="177" fontId="212" fillId="2" borderId="9" xfId="0" applyNumberFormat="1" applyFont="1" applyBorder="1" applyAlignment="1">
      <alignment horizontal="right"/>
    </xf>
    <xf numFmtId="177" fontId="213" fillId="0" borderId="36" xfId="0" applyNumberFormat="1" applyFont="1" applyFill="1" applyBorder="1" applyAlignment="1" applyProtection="1">
      <protection locked="0"/>
    </xf>
    <xf numFmtId="177" fontId="213" fillId="8" borderId="36" xfId="0" applyNumberFormat="1" applyFont="1" applyFill="1" applyBorder="1" applyAlignment="1" applyProtection="1">
      <protection locked="0"/>
    </xf>
    <xf numFmtId="38" fontId="213" fillId="8" borderId="36" xfId="0" applyNumberFormat="1" applyFont="1" applyFill="1" applyBorder="1" applyAlignment="1" applyProtection="1">
      <protection locked="0"/>
    </xf>
    <xf numFmtId="177" fontId="213" fillId="8" borderId="36" xfId="0" applyNumberFormat="1" applyFont="1" applyFill="1" applyBorder="1" applyAlignment="1">
      <alignment horizontal="center"/>
    </xf>
    <xf numFmtId="176" fontId="213" fillId="8" borderId="36" xfId="0" applyNumberFormat="1" applyFont="1" applyFill="1" applyBorder="1" applyAlignment="1" applyProtection="1">
      <protection locked="0"/>
    </xf>
    <xf numFmtId="38" fontId="213" fillId="0" borderId="36" xfId="0" applyNumberFormat="1" applyFont="1" applyFill="1" applyBorder="1" applyAlignment="1" applyProtection="1">
      <protection locked="0"/>
    </xf>
    <xf numFmtId="177" fontId="213" fillId="8" borderId="9" xfId="0" applyNumberFormat="1" applyFont="1" applyFill="1" applyBorder="1" applyAlignment="1"/>
    <xf numFmtId="38" fontId="213" fillId="8" borderId="47" xfId="0" applyNumberFormat="1" applyFont="1" applyFill="1" applyBorder="1" applyAlignment="1" applyProtection="1">
      <protection locked="0"/>
    </xf>
    <xf numFmtId="38" fontId="213" fillId="0" borderId="36" xfId="0" applyNumberFormat="1" applyFont="1" applyFill="1" applyBorder="1" applyAlignment="1" applyProtection="1">
      <alignment horizontal="center"/>
      <protection locked="0"/>
    </xf>
    <xf numFmtId="37" fontId="213" fillId="2" borderId="9" xfId="0" applyNumberFormat="1" applyFont="1" applyBorder="1" applyAlignment="1" applyProtection="1">
      <alignment horizontal="center"/>
      <protection locked="0"/>
    </xf>
    <xf numFmtId="177" fontId="213" fillId="2" borderId="9" xfId="0" applyNumberFormat="1" applyFont="1" applyBorder="1" applyAlignment="1">
      <alignment horizontal="right"/>
    </xf>
    <xf numFmtId="0" fontId="149" fillId="5" borderId="15" xfId="0" applyNumberFormat="1" applyFont="1" applyFill="1" applyBorder="1" applyAlignment="1">
      <alignment horizontal="center"/>
    </xf>
    <xf numFmtId="177" fontId="146" fillId="5" borderId="15" xfId="0" applyNumberFormat="1" applyFont="1" applyFill="1" applyBorder="1" applyAlignment="1"/>
    <xf numFmtId="177" fontId="146" fillId="5" borderId="15" xfId="0" applyNumberFormat="1" applyFont="1" applyFill="1" applyBorder="1" applyAlignment="1">
      <alignment horizontal="center"/>
    </xf>
    <xf numFmtId="0" fontId="146" fillId="5" borderId="15" xfId="0" applyNumberFormat="1" applyFont="1" applyFill="1" applyBorder="1" applyAlignment="1">
      <alignment horizontal="center"/>
    </xf>
    <xf numFmtId="38" fontId="146" fillId="5" borderId="15" xfId="0" applyNumberFormat="1" applyFont="1" applyFill="1" applyBorder="1" applyAlignment="1" applyProtection="1">
      <alignment horizontal="right"/>
      <protection locked="0"/>
    </xf>
    <xf numFmtId="177" fontId="214" fillId="0" borderId="36" xfId="0" applyNumberFormat="1" applyFont="1" applyFill="1" applyBorder="1" applyAlignment="1" applyProtection="1">
      <protection locked="0"/>
    </xf>
    <xf numFmtId="177" fontId="214" fillId="8" borderId="36" xfId="0" applyNumberFormat="1" applyFont="1" applyFill="1" applyBorder="1" applyAlignment="1" applyProtection="1">
      <protection locked="0"/>
    </xf>
    <xf numFmtId="38" fontId="214" fillId="8" borderId="36" xfId="0" applyNumberFormat="1" applyFont="1" applyFill="1" applyBorder="1" applyAlignment="1" applyProtection="1">
      <protection locked="0"/>
    </xf>
    <xf numFmtId="177" fontId="214" fillId="8" borderId="36" xfId="0" applyNumberFormat="1" applyFont="1" applyFill="1" applyBorder="1" applyAlignment="1">
      <alignment horizontal="center"/>
    </xf>
    <xf numFmtId="176" fontId="214" fillId="8" borderId="36" xfId="0" applyNumberFormat="1" applyFont="1" applyFill="1" applyBorder="1" applyAlignment="1" applyProtection="1">
      <protection locked="0"/>
    </xf>
    <xf numFmtId="38" fontId="214" fillId="0" borderId="36" xfId="0" applyNumberFormat="1" applyFont="1" applyFill="1" applyBorder="1" applyAlignment="1" applyProtection="1">
      <protection locked="0"/>
    </xf>
    <xf numFmtId="177" fontId="214" fillId="8" borderId="9" xfId="0" applyNumberFormat="1" applyFont="1" applyFill="1" applyBorder="1" applyAlignment="1"/>
    <xf numFmtId="38" fontId="214" fillId="8" borderId="47" xfId="0" applyNumberFormat="1" applyFont="1" applyFill="1" applyBorder="1" applyAlignment="1" applyProtection="1">
      <protection locked="0"/>
    </xf>
    <xf numFmtId="38" fontId="214" fillId="0" borderId="36" xfId="0" applyNumberFormat="1" applyFont="1" applyFill="1" applyBorder="1" applyAlignment="1" applyProtection="1">
      <alignment horizontal="center"/>
      <protection locked="0"/>
    </xf>
    <xf numFmtId="37" fontId="214" fillId="2" borderId="9" xfId="0" applyNumberFormat="1" applyFont="1" applyBorder="1" applyAlignment="1" applyProtection="1">
      <alignment horizontal="center"/>
      <protection locked="0"/>
    </xf>
    <xf numFmtId="177" fontId="214" fillId="2" borderId="9" xfId="0" applyNumberFormat="1" applyFont="1" applyBorder="1" applyAlignment="1">
      <alignment horizontal="right"/>
    </xf>
    <xf numFmtId="0" fontId="215" fillId="2" borderId="0" xfId="0" applyNumberFormat="1" applyFont="1"/>
    <xf numFmtId="0" fontId="215" fillId="2" borderId="0" xfId="0" applyNumberFormat="1" applyFont="1" applyAlignment="1">
      <alignment horizontal="center"/>
    </xf>
    <xf numFmtId="0" fontId="215" fillId="8" borderId="2" xfId="0" applyNumberFormat="1" applyFont="1" applyFill="1" applyBorder="1" applyAlignment="1">
      <alignment horizontal="center"/>
    </xf>
    <xf numFmtId="176" fontId="215" fillId="2" borderId="2" xfId="0" applyNumberFormat="1" applyFont="1" applyBorder="1"/>
    <xf numFmtId="177" fontId="215" fillId="0" borderId="2" xfId="0" applyNumberFormat="1" applyFont="1" applyFill="1" applyBorder="1"/>
    <xf numFmtId="0" fontId="215" fillId="2" borderId="0" xfId="0" applyNumberFormat="1" applyFont="1" applyBorder="1"/>
    <xf numFmtId="0" fontId="215" fillId="2" borderId="2" xfId="0" applyNumberFormat="1" applyFont="1" applyBorder="1"/>
    <xf numFmtId="38" fontId="215" fillId="5" borderId="48" xfId="0" applyNumberFormat="1" applyFont="1" applyFill="1" applyBorder="1"/>
    <xf numFmtId="37" fontId="215" fillId="2" borderId="2" xfId="0" applyNumberFormat="1" applyFont="1" applyBorder="1"/>
    <xf numFmtId="37" fontId="215" fillId="19" borderId="2" xfId="0" applyNumberFormat="1" applyFont="1" applyFill="1" applyBorder="1"/>
    <xf numFmtId="164" fontId="211" fillId="19" borderId="2" xfId="0" applyNumberFormat="1" applyFont="1" applyFill="1" applyBorder="1"/>
    <xf numFmtId="168" fontId="215" fillId="2" borderId="2" xfId="0" applyNumberFormat="1" applyFont="1" applyBorder="1"/>
    <xf numFmtId="168" fontId="215" fillId="11" borderId="2" xfId="0" applyNumberFormat="1" applyFont="1" applyFill="1" applyBorder="1"/>
    <xf numFmtId="38" fontId="215" fillId="5" borderId="2" xfId="0" applyNumberFormat="1" applyFont="1" applyFill="1" applyBorder="1" applyProtection="1">
      <protection locked="0"/>
    </xf>
    <xf numFmtId="176" fontId="215" fillId="5" borderId="2" xfId="0" applyNumberFormat="1" applyFont="1" applyFill="1" applyBorder="1"/>
    <xf numFmtId="38" fontId="215" fillId="2" borderId="2" xfId="0" applyNumberFormat="1" applyFont="1" applyBorder="1"/>
    <xf numFmtId="176" fontId="215" fillId="19" borderId="2" xfId="0" applyNumberFormat="1" applyFont="1" applyFill="1" applyBorder="1"/>
    <xf numFmtId="38" fontId="215" fillId="19" borderId="9" xfId="0" applyNumberFormat="1" applyFont="1" applyFill="1" applyBorder="1"/>
    <xf numFmtId="38" fontId="215" fillId="2" borderId="0" xfId="0" applyNumberFormat="1" applyFont="1"/>
    <xf numFmtId="0" fontId="215" fillId="2" borderId="0" xfId="0" applyNumberFormat="1" applyFont="1" applyAlignment="1">
      <alignment horizontal="right"/>
    </xf>
    <xf numFmtId="171" fontId="215" fillId="2" borderId="0" xfId="0" applyNumberFormat="1" applyFont="1" applyAlignment="1">
      <alignment horizontal="right"/>
    </xf>
    <xf numFmtId="39" fontId="215" fillId="2" borderId="0" xfId="0" applyNumberFormat="1" applyFont="1" applyAlignment="1">
      <alignment horizontal="right"/>
    </xf>
    <xf numFmtId="0" fontId="215" fillId="12" borderId="22" xfId="0" applyNumberFormat="1" applyFont="1" applyFill="1" applyBorder="1" applyAlignment="1">
      <alignment horizontal="center"/>
    </xf>
    <xf numFmtId="38" fontId="215" fillId="12" borderId="20" xfId="0" applyNumberFormat="1" applyFont="1" applyFill="1" applyBorder="1" applyAlignment="1">
      <alignment horizontal="center"/>
    </xf>
    <xf numFmtId="0" fontId="215" fillId="12" borderId="20" xfId="0" applyNumberFormat="1" applyFont="1" applyFill="1" applyBorder="1"/>
    <xf numFmtId="38" fontId="215" fillId="12" borderId="23" xfId="0" applyNumberFormat="1" applyFont="1" applyFill="1" applyBorder="1" applyAlignment="1">
      <alignment horizontal="center"/>
    </xf>
    <xf numFmtId="0" fontId="215" fillId="2" borderId="0" xfId="0" quotePrefix="1" applyNumberFormat="1" applyFont="1" applyAlignment="1">
      <alignment horizontal="center"/>
    </xf>
    <xf numFmtId="187" fontId="215" fillId="2" borderId="9" xfId="0" applyNumberFormat="1" applyFont="1" applyBorder="1"/>
    <xf numFmtId="38" fontId="215" fillId="2" borderId="9" xfId="0" applyNumberFormat="1" applyFont="1" applyBorder="1"/>
    <xf numFmtId="38" fontId="215" fillId="5" borderId="9" xfId="0" applyNumberFormat="1" applyFont="1" applyFill="1" applyBorder="1"/>
    <xf numFmtId="38" fontId="215" fillId="24" borderId="9" xfId="0" applyNumberFormat="1" applyFont="1" applyFill="1" applyBorder="1"/>
    <xf numFmtId="176" fontId="215" fillId="5" borderId="9" xfId="0" applyNumberFormat="1" applyFont="1" applyFill="1" applyBorder="1"/>
    <xf numFmtId="0" fontId="215" fillId="26" borderId="9" xfId="0" applyNumberFormat="1" applyFont="1" applyFill="1" applyBorder="1" applyAlignment="1">
      <alignment horizontal="center"/>
    </xf>
    <xf numFmtId="38" fontId="215" fillId="5" borderId="0" xfId="0" applyNumberFormat="1" applyFont="1" applyFill="1" applyBorder="1" applyAlignment="1">
      <alignment horizontal="center"/>
    </xf>
    <xf numFmtId="0" fontId="215" fillId="5" borderId="0" xfId="0" applyNumberFormat="1" applyFont="1" applyFill="1" applyBorder="1"/>
    <xf numFmtId="0" fontId="181" fillId="19" borderId="119" xfId="0" quotePrefix="1" applyNumberFormat="1" applyFont="1" applyFill="1" applyBorder="1" applyAlignment="1">
      <alignment horizontal="center"/>
    </xf>
    <xf numFmtId="0" fontId="216" fillId="33" borderId="0" xfId="0" applyNumberFormat="1" applyFont="1" applyFill="1" applyAlignment="1">
      <alignment horizontal="center"/>
    </xf>
    <xf numFmtId="176" fontId="216" fillId="33" borderId="3" xfId="0" applyNumberFormat="1" applyFont="1" applyFill="1" applyBorder="1" applyProtection="1"/>
    <xf numFmtId="0" fontId="216" fillId="33" borderId="0" xfId="0" applyNumberFormat="1" applyFont="1" applyFill="1"/>
    <xf numFmtId="37" fontId="216" fillId="33" borderId="3" xfId="0" applyNumberFormat="1" applyFont="1" applyFill="1" applyBorder="1" applyProtection="1"/>
    <xf numFmtId="37" fontId="216" fillId="33" borderId="3" xfId="0" applyNumberFormat="1" applyFont="1" applyFill="1" applyBorder="1"/>
    <xf numFmtId="37" fontId="216" fillId="33" borderId="0" xfId="0" applyNumberFormat="1" applyFont="1" applyFill="1"/>
    <xf numFmtId="179" fontId="216" fillId="33" borderId="3" xfId="0" applyNumberFormat="1" applyFont="1" applyFill="1" applyBorder="1"/>
    <xf numFmtId="179" fontId="216" fillId="33" borderId="0" xfId="0" applyNumberFormat="1" applyFont="1" applyFill="1"/>
    <xf numFmtId="37" fontId="216" fillId="33" borderId="0" xfId="0" applyNumberFormat="1" applyFont="1" applyFill="1" applyBorder="1"/>
    <xf numFmtId="37" fontId="216" fillId="33" borderId="12" xfId="0" applyNumberFormat="1" applyFont="1" applyFill="1" applyBorder="1"/>
    <xf numFmtId="37" fontId="216" fillId="33" borderId="0" xfId="0" applyNumberFormat="1" applyFont="1" applyFill="1" applyBorder="1" applyAlignment="1">
      <alignment horizontal="center"/>
    </xf>
    <xf numFmtId="0" fontId="216" fillId="8" borderId="0" xfId="0" applyNumberFormat="1" applyFont="1" applyFill="1" applyAlignment="1">
      <alignment horizontal="center"/>
    </xf>
    <xf numFmtId="176" fontId="216" fillId="8" borderId="2" xfId="0" applyNumberFormat="1" applyFont="1" applyFill="1" applyBorder="1" applyProtection="1"/>
    <xf numFmtId="0" fontId="216" fillId="8" borderId="0" xfId="0" applyNumberFormat="1" applyFont="1" applyFill="1"/>
    <xf numFmtId="37" fontId="216" fillId="8" borderId="2" xfId="0" applyNumberFormat="1" applyFont="1" applyFill="1" applyBorder="1" applyProtection="1"/>
    <xf numFmtId="37" fontId="216" fillId="8" borderId="2" xfId="0" applyNumberFormat="1" applyFont="1" applyFill="1" applyBorder="1"/>
    <xf numFmtId="37" fontId="216" fillId="8" borderId="0" xfId="0" applyNumberFormat="1" applyFont="1" applyFill="1"/>
    <xf numFmtId="179" fontId="216" fillId="8" borderId="2" xfId="0" applyNumberFormat="1" applyFont="1" applyFill="1" applyBorder="1"/>
    <xf numFmtId="179" fontId="216" fillId="8" borderId="0" xfId="0" applyNumberFormat="1" applyFont="1" applyFill="1"/>
    <xf numFmtId="37" fontId="216" fillId="8" borderId="0" xfId="0" applyNumberFormat="1" applyFont="1" applyFill="1" applyBorder="1"/>
    <xf numFmtId="37" fontId="216" fillId="8" borderId="9" xfId="0" applyNumberFormat="1" applyFont="1" applyFill="1" applyBorder="1"/>
    <xf numFmtId="177" fontId="184" fillId="8" borderId="48" xfId="0" applyNumberFormat="1" applyFont="1" applyFill="1" applyBorder="1" applyAlignment="1" applyProtection="1">
      <protection locked="0"/>
    </xf>
    <xf numFmtId="177" fontId="212" fillId="8" borderId="48" xfId="0" applyNumberFormat="1" applyFont="1" applyFill="1" applyBorder="1" applyAlignment="1" applyProtection="1">
      <protection locked="0"/>
    </xf>
    <xf numFmtId="177" fontId="142" fillId="0" borderId="48" xfId="0" applyNumberFormat="1" applyFont="1" applyFill="1" applyBorder="1" applyAlignment="1" applyProtection="1">
      <protection locked="0"/>
    </xf>
    <xf numFmtId="177" fontId="213" fillId="0" borderId="48" xfId="0" applyNumberFormat="1" applyFont="1" applyFill="1" applyBorder="1" applyAlignment="1" applyProtection="1">
      <protection locked="0"/>
    </xf>
    <xf numFmtId="177" fontId="185" fillId="0" borderId="48" xfId="0" applyNumberFormat="1" applyFont="1" applyFill="1" applyBorder="1" applyAlignment="1" applyProtection="1">
      <protection locked="0"/>
    </xf>
    <xf numFmtId="177" fontId="214" fillId="0" borderId="48" xfId="0" applyNumberFormat="1" applyFont="1" applyFill="1" applyBorder="1" applyAlignment="1" applyProtection="1">
      <protection locked="0"/>
    </xf>
    <xf numFmtId="177" fontId="211" fillId="0" borderId="48" xfId="0" applyNumberFormat="1" applyFont="1" applyFill="1" applyBorder="1" applyAlignment="1" applyProtection="1">
      <protection locked="0"/>
    </xf>
    <xf numFmtId="0" fontId="119" fillId="2" borderId="9" xfId="0" applyNumberFormat="1" applyFont="1" applyBorder="1"/>
    <xf numFmtId="177" fontId="184" fillId="8" borderId="20" xfId="0" applyNumberFormat="1" applyFont="1" applyFill="1" applyBorder="1" applyAlignment="1" applyProtection="1">
      <protection locked="0"/>
    </xf>
    <xf numFmtId="177" fontId="142" fillId="8" borderId="48" xfId="0" applyNumberFormat="1" applyFont="1" applyFill="1" applyBorder="1" applyAlignment="1" applyProtection="1">
      <protection locked="0"/>
    </xf>
    <xf numFmtId="177" fontId="213" fillId="8" borderId="48" xfId="0" applyNumberFormat="1" applyFont="1" applyFill="1" applyBorder="1" applyAlignment="1" applyProtection="1">
      <protection locked="0"/>
    </xf>
    <xf numFmtId="177" fontId="185" fillId="8" borderId="48" xfId="0" applyNumberFormat="1" applyFont="1" applyFill="1" applyBorder="1" applyAlignment="1" applyProtection="1">
      <protection locked="0"/>
    </xf>
    <xf numFmtId="177" fontId="214" fillId="8" borderId="48" xfId="0" applyNumberFormat="1" applyFont="1" applyFill="1" applyBorder="1" applyAlignment="1" applyProtection="1">
      <protection locked="0"/>
    </xf>
    <xf numFmtId="177" fontId="211" fillId="8" borderId="48" xfId="0" applyNumberFormat="1" applyFont="1" applyFill="1" applyBorder="1" applyAlignment="1" applyProtection="1">
      <protection locked="0"/>
    </xf>
    <xf numFmtId="38" fontId="184" fillId="2" borderId="36" xfId="0" applyNumberFormat="1" applyFont="1" applyBorder="1" applyProtection="1"/>
    <xf numFmtId="38" fontId="212" fillId="2" borderId="36" xfId="0" applyNumberFormat="1" applyFont="1" applyBorder="1" applyProtection="1"/>
    <xf numFmtId="0" fontId="124" fillId="5" borderId="29" xfId="0" applyNumberFormat="1" applyFont="1" applyFill="1" applyBorder="1"/>
    <xf numFmtId="38" fontId="184" fillId="2" borderId="47" xfId="0" applyNumberFormat="1" applyFont="1" applyBorder="1" applyProtection="1"/>
    <xf numFmtId="38" fontId="212" fillId="2" borderId="47" xfId="0" applyNumberFormat="1" applyFont="1" applyBorder="1" applyProtection="1"/>
    <xf numFmtId="38" fontId="142" fillId="8" borderId="48" xfId="0" applyNumberFormat="1" applyFont="1" applyFill="1" applyBorder="1" applyAlignment="1" applyProtection="1">
      <protection locked="0"/>
    </xf>
    <xf numFmtId="38" fontId="213" fillId="8" borderId="48" xfId="0" applyNumberFormat="1" applyFont="1" applyFill="1" applyBorder="1" applyAlignment="1" applyProtection="1">
      <protection locked="0"/>
    </xf>
    <xf numFmtId="38" fontId="185" fillId="8" borderId="48" xfId="0" applyNumberFormat="1" applyFont="1" applyFill="1" applyBorder="1" applyAlignment="1" applyProtection="1">
      <protection locked="0"/>
    </xf>
    <xf numFmtId="38" fontId="214" fillId="8" borderId="48" xfId="0" applyNumberFormat="1" applyFont="1" applyFill="1" applyBorder="1" applyAlignment="1" applyProtection="1">
      <protection locked="0"/>
    </xf>
    <xf numFmtId="38" fontId="211" fillId="8" borderId="48" xfId="0" applyNumberFormat="1" applyFont="1" applyFill="1" applyBorder="1" applyAlignment="1" applyProtection="1">
      <protection locked="0"/>
    </xf>
    <xf numFmtId="0" fontId="15" fillId="2" borderId="29" xfId="0" applyNumberFormat="1" applyFont="1" applyBorder="1"/>
    <xf numFmtId="38" fontId="184" fillId="8" borderId="48" xfId="0" applyNumberFormat="1" applyFont="1" applyFill="1" applyBorder="1" applyAlignment="1" applyProtection="1">
      <protection locked="0"/>
    </xf>
    <xf numFmtId="38" fontId="212" fillId="8" borderId="48" xfId="0" applyNumberFormat="1" applyFont="1" applyFill="1" applyBorder="1" applyAlignment="1" applyProtection="1">
      <protection locked="0"/>
    </xf>
    <xf numFmtId="0" fontId="119" fillId="5" borderId="12" xfId="0" applyNumberFormat="1" applyFont="1" applyFill="1" applyBorder="1"/>
    <xf numFmtId="176" fontId="210" fillId="8" borderId="48" xfId="0" applyNumberFormat="1" applyFont="1" applyFill="1" applyBorder="1" applyAlignment="1" applyProtection="1">
      <protection locked="0"/>
    </xf>
    <xf numFmtId="176" fontId="184" fillId="0" borderId="36" xfId="0" applyNumberFormat="1" applyFont="1" applyFill="1" applyBorder="1" applyProtection="1"/>
    <xf numFmtId="176" fontId="212" fillId="0" borderId="36" xfId="0" applyNumberFormat="1" applyFont="1" applyFill="1" applyBorder="1" applyProtection="1"/>
    <xf numFmtId="176" fontId="142" fillId="0" borderId="36" xfId="0" applyNumberFormat="1" applyFont="1" applyFill="1" applyBorder="1" applyProtection="1"/>
    <xf numFmtId="176" fontId="213" fillId="0" borderId="36" xfId="0" applyNumberFormat="1" applyFont="1" applyFill="1" applyBorder="1" applyProtection="1"/>
    <xf numFmtId="176" fontId="185" fillId="0" borderId="36" xfId="0" applyNumberFormat="1" applyFont="1" applyFill="1" applyBorder="1" applyProtection="1"/>
    <xf numFmtId="176" fontId="214" fillId="0" borderId="36" xfId="0" applyNumberFormat="1" applyFont="1" applyFill="1" applyBorder="1" applyProtection="1"/>
    <xf numFmtId="176" fontId="211" fillId="0" borderId="36" xfId="0" applyNumberFormat="1" applyFont="1" applyFill="1" applyBorder="1" applyProtection="1"/>
    <xf numFmtId="0" fontId="4" fillId="27" borderId="47" xfId="0" applyNumberFormat="1" applyFont="1" applyFill="1" applyBorder="1" applyAlignment="1">
      <alignment horizontal="center"/>
    </xf>
    <xf numFmtId="0" fontId="0" fillId="27" borderId="22" xfId="0" applyNumberFormat="1" applyFill="1" applyBorder="1"/>
    <xf numFmtId="38" fontId="4" fillId="27" borderId="36" xfId="0" applyNumberFormat="1" applyFont="1" applyFill="1" applyBorder="1" applyAlignment="1">
      <alignment horizontal="center"/>
    </xf>
    <xf numFmtId="0" fontId="4" fillId="27" borderId="23" xfId="0" applyNumberFormat="1" applyFont="1" applyFill="1" applyBorder="1" applyAlignment="1">
      <alignment horizontal="right"/>
    </xf>
    <xf numFmtId="0" fontId="4" fillId="8" borderId="47" xfId="0" applyNumberFormat="1" applyFont="1" applyFill="1" applyBorder="1" applyAlignment="1">
      <alignment horizontal="center"/>
    </xf>
    <xf numFmtId="0" fontId="0" fillId="8" borderId="22" xfId="0" applyNumberFormat="1" applyFill="1" applyBorder="1"/>
    <xf numFmtId="38" fontId="4" fillId="8" borderId="36" xfId="0" applyNumberFormat="1" applyFont="1" applyFill="1" applyBorder="1" applyAlignment="1">
      <alignment horizontal="center"/>
    </xf>
    <xf numFmtId="0" fontId="4" fillId="8" borderId="23" xfId="0" applyNumberFormat="1" applyFont="1" applyFill="1" applyBorder="1" applyAlignment="1">
      <alignment horizontal="right"/>
    </xf>
    <xf numFmtId="0" fontId="4" fillId="33" borderId="47" xfId="0" applyNumberFormat="1" applyFont="1" applyFill="1" applyBorder="1" applyAlignment="1">
      <alignment horizontal="center"/>
    </xf>
    <xf numFmtId="0" fontId="0" fillId="33" borderId="22" xfId="0" applyNumberFormat="1" applyFill="1" applyBorder="1"/>
    <xf numFmtId="38" fontId="4" fillId="33" borderId="36" xfId="0" applyNumberFormat="1" applyFont="1" applyFill="1" applyBorder="1" applyAlignment="1">
      <alignment horizontal="center"/>
    </xf>
    <xf numFmtId="0" fontId="4" fillId="33" borderId="23" xfId="0" applyNumberFormat="1" applyFont="1" applyFill="1" applyBorder="1" applyAlignment="1">
      <alignment horizontal="right"/>
    </xf>
    <xf numFmtId="0" fontId="0" fillId="8" borderId="0" xfId="0" applyNumberFormat="1" applyFill="1"/>
    <xf numFmtId="38" fontId="199" fillId="19" borderId="114" xfId="0" applyNumberFormat="1" applyFont="1" applyFill="1" applyBorder="1"/>
    <xf numFmtId="38" fontId="204" fillId="19" borderId="12" xfId="0" applyNumberFormat="1" applyFont="1" applyFill="1" applyBorder="1"/>
    <xf numFmtId="38" fontId="204" fillId="19" borderId="114" xfId="0" applyNumberFormat="1" applyFont="1" applyFill="1" applyBorder="1"/>
    <xf numFmtId="38" fontId="198" fillId="19" borderId="11" xfId="0" applyNumberFormat="1" applyFont="1" applyFill="1" applyBorder="1"/>
    <xf numFmtId="38" fontId="198" fillId="19" borderId="114" xfId="0" applyNumberFormat="1" applyFont="1" applyFill="1" applyBorder="1"/>
    <xf numFmtId="38" fontId="199" fillId="19" borderId="11" xfId="0" applyNumberFormat="1" applyFont="1" applyFill="1" applyBorder="1"/>
    <xf numFmtId="0" fontId="197" fillId="8" borderId="0" xfId="0" applyNumberFormat="1" applyFont="1" applyFill="1"/>
    <xf numFmtId="0" fontId="197" fillId="8" borderId="112" xfId="0" applyNumberFormat="1" applyFont="1" applyFill="1" applyBorder="1"/>
    <xf numFmtId="14" fontId="197" fillId="8" borderId="0" xfId="0" applyNumberFormat="1" applyFont="1" applyFill="1" applyAlignment="1">
      <alignment horizontal="right"/>
    </xf>
    <xf numFmtId="14" fontId="197" fillId="8" borderId="112" xfId="0" applyNumberFormat="1" applyFont="1" applyFill="1" applyBorder="1" applyAlignment="1">
      <alignment horizontal="right"/>
    </xf>
    <xf numFmtId="170" fontId="197" fillId="8" borderId="11" xfId="0" applyNumberFormat="1" applyFont="1" applyFill="1" applyBorder="1"/>
    <xf numFmtId="170" fontId="197" fillId="8" borderId="114" xfId="0" applyNumberFormat="1" applyFont="1" applyFill="1" applyBorder="1"/>
    <xf numFmtId="177" fontId="197" fillId="8" borderId="11" xfId="0" applyNumberFormat="1" applyFont="1" applyFill="1" applyBorder="1"/>
    <xf numFmtId="177" fontId="197" fillId="8" borderId="114" xfId="0" applyNumberFormat="1" applyFont="1" applyFill="1" applyBorder="1"/>
    <xf numFmtId="176" fontId="197" fillId="8" borderId="11" xfId="0" applyNumberFormat="1" applyFont="1" applyFill="1" applyBorder="1"/>
    <xf numFmtId="176" fontId="197" fillId="8" borderId="114" xfId="0" applyNumberFormat="1" applyFont="1" applyFill="1" applyBorder="1"/>
    <xf numFmtId="38" fontId="197" fillId="8" borderId="11" xfId="0" applyNumberFormat="1" applyFont="1" applyFill="1" applyBorder="1"/>
    <xf numFmtId="38" fontId="197" fillId="8" borderId="114" xfId="0" applyNumberFormat="1" applyFont="1" applyFill="1" applyBorder="1"/>
    <xf numFmtId="0" fontId="197" fillId="8" borderId="122" xfId="0" applyNumberFormat="1" applyFont="1" applyFill="1" applyBorder="1"/>
    <xf numFmtId="0" fontId="197" fillId="8" borderId="123" xfId="0" applyNumberFormat="1" applyFont="1" applyFill="1" applyBorder="1"/>
    <xf numFmtId="37" fontId="197" fillId="8" borderId="11" xfId="0" applyNumberFormat="1" applyFont="1" applyFill="1" applyBorder="1"/>
    <xf numFmtId="37" fontId="197" fillId="8" borderId="114" xfId="0" applyNumberFormat="1" applyFont="1" applyFill="1" applyBorder="1"/>
    <xf numFmtId="38" fontId="198" fillId="8" borderId="114" xfId="0" applyNumberFormat="1" applyFont="1" applyFill="1" applyBorder="1"/>
    <xf numFmtId="38" fontId="198" fillId="8" borderId="0" xfId="0" applyNumberFormat="1" applyFont="1" applyFill="1" applyBorder="1"/>
    <xf numFmtId="38" fontId="198" fillId="8" borderId="122" xfId="0" applyNumberFormat="1" applyFont="1" applyFill="1" applyBorder="1"/>
    <xf numFmtId="38" fontId="205" fillId="8" borderId="0" xfId="0" applyNumberFormat="1" applyFont="1" applyFill="1" applyBorder="1"/>
    <xf numFmtId="38" fontId="205" fillId="8" borderId="112" xfId="0" applyNumberFormat="1" applyFont="1" applyFill="1" applyBorder="1"/>
    <xf numFmtId="38" fontId="197" fillId="8" borderId="12" xfId="0" applyNumberFormat="1" applyFont="1" applyFill="1" applyBorder="1"/>
    <xf numFmtId="38" fontId="198" fillId="8" borderId="12" xfId="0" applyNumberFormat="1" applyFont="1" applyFill="1" applyBorder="1"/>
    <xf numFmtId="37" fontId="197" fillId="8" borderId="12" xfId="0" applyNumberFormat="1" applyFont="1" applyFill="1" applyBorder="1"/>
    <xf numFmtId="38" fontId="198" fillId="8" borderId="112" xfId="0" applyNumberFormat="1" applyFont="1" applyFill="1" applyBorder="1"/>
    <xf numFmtId="0" fontId="197" fillId="8" borderId="22" xfId="0" applyNumberFormat="1" applyFont="1" applyFill="1" applyBorder="1" applyAlignment="1">
      <alignment horizontal="center"/>
    </xf>
    <xf numFmtId="176" fontId="197" fillId="8" borderId="20" xfId="0" applyNumberFormat="1" applyFont="1" applyFill="1" applyBorder="1"/>
    <xf numFmtId="38" fontId="197" fillId="8" borderId="23" xfId="0" applyNumberFormat="1" applyFont="1" applyFill="1" applyBorder="1"/>
    <xf numFmtId="37" fontId="204" fillId="19" borderId="114" xfId="0" applyNumberFormat="1" applyFont="1" applyFill="1" applyBorder="1"/>
    <xf numFmtId="37" fontId="198" fillId="19" borderId="12" xfId="0" applyNumberFormat="1" applyFont="1" applyFill="1" applyBorder="1"/>
    <xf numFmtId="37" fontId="198" fillId="19" borderId="114" xfId="0" applyNumberFormat="1" applyFont="1" applyFill="1" applyBorder="1"/>
    <xf numFmtId="0" fontId="190" fillId="19" borderId="114" xfId="0" quotePrefix="1" applyNumberFormat="1" applyFont="1" applyFill="1" applyBorder="1" applyAlignment="1">
      <alignment horizontal="center"/>
    </xf>
    <xf numFmtId="0" fontId="203" fillId="19" borderId="12" xfId="0" quotePrefix="1" applyNumberFormat="1" applyFont="1" applyFill="1" applyBorder="1" applyAlignment="1">
      <alignment horizontal="center"/>
    </xf>
    <xf numFmtId="0" fontId="203" fillId="19" borderId="114" xfId="0" quotePrefix="1" applyNumberFormat="1" applyFont="1" applyFill="1" applyBorder="1" applyAlignment="1">
      <alignment horizontal="center"/>
    </xf>
    <xf numFmtId="0" fontId="197" fillId="19" borderId="12" xfId="0" quotePrefix="1" applyNumberFormat="1" applyFont="1" applyFill="1" applyBorder="1" applyAlignment="1">
      <alignment horizontal="center"/>
    </xf>
    <xf numFmtId="0" fontId="197" fillId="19" borderId="114" xfId="0" quotePrefix="1" applyNumberFormat="1" applyFont="1" applyFill="1" applyBorder="1" applyAlignment="1">
      <alignment horizontal="center"/>
    </xf>
    <xf numFmtId="0" fontId="203" fillId="8" borderId="128" xfId="0" applyNumberFormat="1" applyFont="1" applyFill="1" applyBorder="1" applyAlignment="1">
      <alignment horizontal="center"/>
    </xf>
    <xf numFmtId="0" fontId="203" fillId="8" borderId="125" xfId="0" applyNumberFormat="1" applyFont="1" applyFill="1" applyBorder="1" applyAlignment="1">
      <alignment horizontal="center"/>
    </xf>
    <xf numFmtId="0" fontId="197" fillId="8" borderId="0" xfId="0" applyNumberFormat="1" applyFont="1" applyFill="1" applyBorder="1" applyAlignment="1">
      <alignment horizontal="center"/>
    </xf>
    <xf numFmtId="0" fontId="197" fillId="8" borderId="123" xfId="0" applyNumberFormat="1" applyFont="1" applyFill="1" applyBorder="1" applyAlignment="1">
      <alignment horizontal="center"/>
    </xf>
    <xf numFmtId="0" fontId="218" fillId="8" borderId="9" xfId="0" applyNumberFormat="1" applyFont="1" applyFill="1" applyBorder="1" applyAlignment="1">
      <alignment horizontal="center"/>
    </xf>
    <xf numFmtId="0" fontId="190" fillId="8" borderId="12" xfId="0" applyNumberFormat="1" applyFont="1" applyFill="1" applyBorder="1" applyAlignment="1">
      <alignment horizontal="center"/>
    </xf>
    <xf numFmtId="0" fontId="190" fillId="8" borderId="114" xfId="0" applyNumberFormat="1" applyFont="1" applyFill="1" applyBorder="1" applyAlignment="1">
      <alignment horizontal="center"/>
    </xf>
    <xf numFmtId="0" fontId="203" fillId="8" borderId="12" xfId="0" applyNumberFormat="1" applyFont="1" applyFill="1" applyBorder="1" applyAlignment="1">
      <alignment horizontal="center"/>
    </xf>
    <xf numFmtId="0" fontId="203" fillId="8" borderId="114" xfId="0" applyNumberFormat="1" applyFont="1" applyFill="1" applyBorder="1" applyAlignment="1">
      <alignment horizontal="center"/>
    </xf>
    <xf numFmtId="0" fontId="197" fillId="8" borderId="12" xfId="0" applyNumberFormat="1" applyFont="1" applyFill="1" applyBorder="1" applyAlignment="1">
      <alignment horizontal="center"/>
    </xf>
    <xf numFmtId="0" fontId="197" fillId="8" borderId="114" xfId="0" applyNumberFormat="1" applyFont="1" applyFill="1" applyBorder="1" applyAlignment="1">
      <alignment horizontal="center"/>
    </xf>
    <xf numFmtId="0" fontId="134" fillId="8" borderId="9" xfId="0" applyNumberFormat="1" applyFont="1" applyFill="1" applyBorder="1" applyAlignment="1">
      <alignment horizontal="center"/>
    </xf>
    <xf numFmtId="0" fontId="134" fillId="8" borderId="114" xfId="0" applyNumberFormat="1" applyFont="1" applyFill="1" applyBorder="1" applyAlignment="1">
      <alignment horizontal="center"/>
    </xf>
    <xf numFmtId="0" fontId="181" fillId="8" borderId="9" xfId="0" quotePrefix="1" applyNumberFormat="1" applyFont="1" applyFill="1" applyBorder="1" applyAlignment="1">
      <alignment horizontal="center"/>
    </xf>
    <xf numFmtId="0" fontId="181" fillId="8" borderId="114" xfId="0" quotePrefix="1" applyNumberFormat="1" applyFont="1" applyFill="1" applyBorder="1" applyAlignment="1">
      <alignment horizontal="center"/>
    </xf>
    <xf numFmtId="0" fontId="181" fillId="8" borderId="12" xfId="0" quotePrefix="1" applyNumberFormat="1" applyFont="1" applyFill="1" applyBorder="1" applyAlignment="1">
      <alignment horizontal="center"/>
    </xf>
    <xf numFmtId="170" fontId="219" fillId="21" borderId="9" xfId="0" applyNumberFormat="1" applyFont="1" applyFill="1" applyBorder="1"/>
    <xf numFmtId="170" fontId="219" fillId="21" borderId="114" xfId="0" applyNumberFormat="1" applyFont="1" applyFill="1" applyBorder="1"/>
    <xf numFmtId="177" fontId="219" fillId="21" borderId="9" xfId="0" applyNumberFormat="1" applyFont="1" applyFill="1" applyBorder="1"/>
    <xf numFmtId="177" fontId="219" fillId="21" borderId="114" xfId="0" applyNumberFormat="1" applyFont="1" applyFill="1" applyBorder="1"/>
    <xf numFmtId="176" fontId="219" fillId="21" borderId="9" xfId="0" applyNumberFormat="1" applyFont="1" applyFill="1" applyBorder="1"/>
    <xf numFmtId="176" fontId="219" fillId="21" borderId="114" xfId="0" applyNumberFormat="1" applyFont="1" applyFill="1" applyBorder="1"/>
    <xf numFmtId="38" fontId="219" fillId="21" borderId="9" xfId="0" applyNumberFormat="1" applyFont="1" applyFill="1" applyBorder="1"/>
    <xf numFmtId="38" fontId="219" fillId="21" borderId="114" xfId="0" applyNumberFormat="1" applyFont="1" applyFill="1" applyBorder="1"/>
    <xf numFmtId="0" fontId="219" fillId="21" borderId="0" xfId="0" applyNumberFormat="1" applyFont="1" applyFill="1"/>
    <xf numFmtId="0" fontId="219" fillId="21" borderId="112" xfId="0" applyNumberFormat="1" applyFont="1" applyFill="1" applyBorder="1"/>
    <xf numFmtId="38" fontId="220" fillId="19" borderId="9" xfId="0" applyNumberFormat="1" applyFont="1" applyFill="1" applyBorder="1"/>
    <xf numFmtId="38" fontId="220" fillId="19" borderId="114" xfId="0" applyNumberFormat="1" applyFont="1" applyFill="1" applyBorder="1"/>
    <xf numFmtId="37" fontId="219" fillId="21" borderId="9" xfId="0" applyNumberFormat="1" applyFont="1" applyFill="1" applyBorder="1"/>
    <xf numFmtId="37" fontId="219" fillId="21" borderId="114" xfId="0" applyNumberFormat="1" applyFont="1" applyFill="1" applyBorder="1"/>
    <xf numFmtId="0" fontId="46" fillId="35" borderId="10" xfId="0" applyNumberFormat="1" applyFont="1" applyFill="1" applyBorder="1"/>
    <xf numFmtId="0" fontId="0" fillId="35" borderId="12" xfId="0" applyNumberFormat="1" applyFill="1" applyBorder="1"/>
    <xf numFmtId="0" fontId="217" fillId="35" borderId="47" xfId="0" applyNumberFormat="1" applyFont="1" applyFill="1" applyBorder="1" applyAlignment="1">
      <alignment horizontal="center"/>
    </xf>
    <xf numFmtId="0" fontId="217" fillId="35" borderId="36" xfId="0" applyNumberFormat="1" applyFont="1" applyFill="1" applyBorder="1" applyAlignment="1">
      <alignment horizontal="center"/>
    </xf>
    <xf numFmtId="0" fontId="68" fillId="35" borderId="0" xfId="0" applyNumberFormat="1" applyFont="1" applyFill="1"/>
    <xf numFmtId="0" fontId="0" fillId="35" borderId="0" xfId="0" applyNumberFormat="1" applyFill="1"/>
    <xf numFmtId="0" fontId="0" fillId="35" borderId="9" xfId="0" applyNumberFormat="1" applyFill="1" applyBorder="1"/>
    <xf numFmtId="0" fontId="46" fillId="35" borderId="9" xfId="0" applyNumberFormat="1" applyFont="1" applyFill="1" applyBorder="1" applyAlignment="1">
      <alignment horizontal="center"/>
    </xf>
    <xf numFmtId="0" fontId="0" fillId="35" borderId="29" xfId="0" applyNumberFormat="1" applyFill="1" applyBorder="1"/>
    <xf numFmtId="0" fontId="0" fillId="35" borderId="22" xfId="0" applyNumberFormat="1" applyFill="1" applyBorder="1"/>
    <xf numFmtId="0" fontId="46" fillId="35" borderId="16" xfId="0" applyNumberFormat="1" applyFont="1" applyFill="1" applyBorder="1"/>
    <xf numFmtId="0" fontId="0" fillId="35" borderId="23" xfId="0" applyNumberFormat="1" applyFill="1" applyBorder="1"/>
    <xf numFmtId="0" fontId="46" fillId="35" borderId="0" xfId="0" applyNumberFormat="1" applyFont="1" applyFill="1"/>
    <xf numFmtId="0" fontId="0" fillId="35" borderId="47" xfId="0" applyNumberFormat="1" applyFill="1" applyBorder="1"/>
    <xf numFmtId="0" fontId="68" fillId="35" borderId="11" xfId="0" applyNumberFormat="1" applyFont="1" applyFill="1" applyBorder="1"/>
    <xf numFmtId="0" fontId="0" fillId="35" borderId="13" xfId="0" applyNumberFormat="1" applyFill="1" applyBorder="1"/>
    <xf numFmtId="0" fontId="0" fillId="35" borderId="11" xfId="0" applyNumberFormat="1" applyFill="1" applyBorder="1"/>
    <xf numFmtId="0" fontId="46" fillId="36" borderId="10" xfId="0" applyNumberFormat="1" applyFont="1" applyFill="1" applyBorder="1"/>
    <xf numFmtId="0" fontId="0" fillId="36" borderId="11" xfId="0" applyNumberFormat="1" applyFill="1" applyBorder="1"/>
    <xf numFmtId="0" fontId="0" fillId="36" borderId="12" xfId="0" applyNumberFormat="1" applyFill="1" applyBorder="1"/>
    <xf numFmtId="0" fontId="46" fillId="36" borderId="47" xfId="0" applyNumberFormat="1" applyFont="1" applyFill="1" applyBorder="1" applyAlignment="1">
      <alignment horizontal="center"/>
    </xf>
    <xf numFmtId="0" fontId="46" fillId="36" borderId="36" xfId="0" applyNumberFormat="1" applyFont="1" applyFill="1" applyBorder="1" applyAlignment="1">
      <alignment horizontal="center"/>
    </xf>
    <xf numFmtId="0" fontId="46" fillId="35" borderId="11" xfId="0" applyNumberFormat="1" applyFont="1" applyFill="1" applyBorder="1"/>
    <xf numFmtId="0" fontId="46" fillId="35" borderId="12" xfId="0" applyNumberFormat="1" applyFont="1" applyFill="1" applyBorder="1"/>
    <xf numFmtId="0" fontId="46" fillId="35" borderId="29" xfId="0" applyNumberFormat="1" applyFont="1" applyFill="1" applyBorder="1"/>
    <xf numFmtId="0" fontId="0" fillId="35" borderId="21" xfId="0" applyNumberFormat="1" applyFill="1" applyBorder="1"/>
    <xf numFmtId="0" fontId="15" fillId="35" borderId="9" xfId="0" quotePrefix="1" applyNumberFormat="1" applyFont="1" applyFill="1" applyBorder="1" applyAlignment="1">
      <alignment horizontal="center"/>
    </xf>
    <xf numFmtId="0" fontId="15" fillId="37" borderId="9" xfId="0" applyNumberFormat="1" applyFont="1" applyFill="1" applyBorder="1"/>
    <xf numFmtId="6" fontId="68" fillId="37" borderId="12" xfId="0" applyNumberFormat="1" applyFont="1" applyFill="1" applyBorder="1" applyAlignment="1"/>
    <xf numFmtId="0" fontId="68" fillId="35" borderId="9" xfId="0" applyNumberFormat="1" applyFont="1" applyFill="1" applyBorder="1" applyAlignment="1">
      <alignment horizontal="center"/>
    </xf>
    <xf numFmtId="0" fontId="0" fillId="35" borderId="10" xfId="0" applyNumberFormat="1" applyFill="1" applyBorder="1"/>
    <xf numFmtId="0" fontId="46" fillId="35" borderId="9" xfId="0" applyNumberFormat="1" applyFont="1" applyFill="1" applyBorder="1"/>
    <xf numFmtId="0" fontId="15" fillId="37" borderId="11" xfId="0" applyNumberFormat="1" applyFont="1" applyFill="1" applyBorder="1"/>
    <xf numFmtId="6" fontId="68" fillId="37" borderId="9" xfId="0" applyNumberFormat="1" applyFont="1" applyFill="1" applyBorder="1"/>
    <xf numFmtId="0" fontId="15" fillId="35" borderId="36" xfId="0" quotePrefix="1" applyNumberFormat="1" applyFont="1" applyFill="1" applyBorder="1" applyAlignment="1">
      <alignment horizontal="center"/>
    </xf>
    <xf numFmtId="0" fontId="46" fillId="35" borderId="21" xfId="0" applyNumberFormat="1" applyFont="1" applyFill="1" applyBorder="1"/>
    <xf numFmtId="0" fontId="46" fillId="35" borderId="22" xfId="0" applyNumberFormat="1" applyFont="1" applyFill="1" applyBorder="1"/>
    <xf numFmtId="0" fontId="46" fillId="35" borderId="13" xfId="0" applyNumberFormat="1" applyFont="1" applyFill="1" applyBorder="1"/>
    <xf numFmtId="0" fontId="46" fillId="35" borderId="23" xfId="0" applyNumberFormat="1" applyFont="1" applyFill="1" applyBorder="1"/>
    <xf numFmtId="6" fontId="68" fillId="37" borderId="12" xfId="0" applyNumberFormat="1" applyFont="1" applyFill="1" applyBorder="1"/>
    <xf numFmtId="0" fontId="68" fillId="35" borderId="9" xfId="0" applyNumberFormat="1" applyFont="1" applyFill="1" applyBorder="1" applyAlignment="1"/>
    <xf numFmtId="0" fontId="15" fillId="35" borderId="9" xfId="0" applyNumberFormat="1" applyFont="1" applyFill="1" applyBorder="1"/>
    <xf numFmtId="6" fontId="68" fillId="35" borderId="12" xfId="0" applyNumberFormat="1" applyFont="1" applyFill="1" applyBorder="1"/>
    <xf numFmtId="0" fontId="68" fillId="37" borderId="9" xfId="0" applyNumberFormat="1" applyFont="1" applyFill="1" applyBorder="1"/>
    <xf numFmtId="175" fontId="68" fillId="37" borderId="9" xfId="0" applyNumberFormat="1" applyFont="1" applyFill="1" applyBorder="1"/>
    <xf numFmtId="175" fontId="15" fillId="2" borderId="68" xfId="0" applyNumberFormat="1" applyFont="1" applyBorder="1"/>
    <xf numFmtId="5" fontId="68" fillId="2" borderId="71" xfId="0" applyNumberFormat="1" applyFont="1" applyBorder="1"/>
    <xf numFmtId="0" fontId="15" fillId="2" borderId="81" xfId="0" applyNumberFormat="1" applyFont="1" applyBorder="1"/>
    <xf numFmtId="0" fontId="46" fillId="35" borderId="10" xfId="0" applyNumberFormat="1" applyFont="1" applyFill="1" applyBorder="1" applyAlignment="1">
      <alignment horizontal="left"/>
    </xf>
    <xf numFmtId="0" fontId="114" fillId="35" borderId="11" xfId="0" applyNumberFormat="1" applyFont="1" applyFill="1" applyBorder="1" applyAlignment="1">
      <alignment horizontal="center"/>
    </xf>
    <xf numFmtId="0" fontId="68" fillId="35" borderId="23" xfId="0" applyNumberFormat="1" applyFont="1" applyFill="1" applyBorder="1"/>
    <xf numFmtId="0" fontId="114" fillId="35" borderId="12" xfId="0" applyNumberFormat="1" applyFont="1" applyFill="1" applyBorder="1" applyAlignment="1">
      <alignment horizontal="center"/>
    </xf>
    <xf numFmtId="0" fontId="68" fillId="35" borderId="9" xfId="0" applyNumberFormat="1" applyFont="1" applyFill="1" applyBorder="1" applyAlignment="1">
      <alignment horizontal="left"/>
    </xf>
    <xf numFmtId="0" fontId="68" fillId="35" borderId="12" xfId="0" applyNumberFormat="1" applyFont="1" applyFill="1" applyBorder="1" applyAlignment="1">
      <alignment horizontal="left"/>
    </xf>
    <xf numFmtId="0" fontId="46" fillId="35" borderId="47" xfId="0" applyNumberFormat="1" applyFont="1" applyFill="1" applyBorder="1" applyAlignment="1">
      <alignment horizontal="left"/>
    </xf>
    <xf numFmtId="0" fontId="15" fillId="35" borderId="47" xfId="0" applyNumberFormat="1" applyFont="1" applyFill="1" applyBorder="1"/>
    <xf numFmtId="6" fontId="15" fillId="35" borderId="9" xfId="0" applyNumberFormat="1" applyFont="1" applyFill="1" applyBorder="1"/>
    <xf numFmtId="0" fontId="46" fillId="35" borderId="36" xfId="0" applyNumberFormat="1" applyFont="1" applyFill="1" applyBorder="1" applyAlignment="1">
      <alignment horizontal="left"/>
    </xf>
    <xf numFmtId="0" fontId="15" fillId="35" borderId="36" xfId="0" applyNumberFormat="1" applyFont="1" applyFill="1" applyBorder="1"/>
    <xf numFmtId="0" fontId="15" fillId="35" borderId="9" xfId="0" applyNumberFormat="1" applyFont="1" applyFill="1" applyBorder="1" applyAlignment="1">
      <alignment horizontal="center"/>
    </xf>
    <xf numFmtId="0" fontId="68" fillId="35" borderId="78" xfId="0" applyNumberFormat="1" applyFont="1" applyFill="1" applyBorder="1" applyAlignment="1">
      <alignment horizontal="center"/>
    </xf>
    <xf numFmtId="0" fontId="68" fillId="35" borderId="66" xfId="0" applyNumberFormat="1" applyFont="1" applyFill="1" applyBorder="1" applyAlignment="1">
      <alignment horizontal="center"/>
    </xf>
    <xf numFmtId="0" fontId="68" fillId="35" borderId="111" xfId="0" applyNumberFormat="1" applyFont="1" applyFill="1" applyBorder="1" applyAlignment="1">
      <alignment horizontal="center"/>
    </xf>
    <xf numFmtId="0" fontId="15" fillId="38" borderId="78" xfId="0" applyNumberFormat="1" applyFont="1" applyFill="1" applyBorder="1"/>
    <xf numFmtId="0" fontId="15" fillId="38" borderId="9" xfId="0" applyNumberFormat="1" applyFont="1" applyFill="1" applyBorder="1"/>
    <xf numFmtId="0" fontId="15" fillId="38" borderId="81" xfId="0" applyNumberFormat="1" applyFont="1" applyFill="1" applyBorder="1"/>
    <xf numFmtId="0" fontId="4" fillId="38" borderId="0" xfId="0" applyNumberFormat="1" applyFont="1" applyFill="1"/>
    <xf numFmtId="0" fontId="15" fillId="38" borderId="36" xfId="0" applyNumberFormat="1" applyFont="1" applyFill="1" applyBorder="1"/>
    <xf numFmtId="0" fontId="223" fillId="2" borderId="0" xfId="0" applyNumberFormat="1" applyFont="1"/>
    <xf numFmtId="0" fontId="223" fillId="2" borderId="0" xfId="0" applyNumberFormat="1" applyFont="1" applyAlignment="1">
      <alignment horizontal="center"/>
    </xf>
    <xf numFmtId="0" fontId="223" fillId="19" borderId="2" xfId="0" applyNumberFormat="1" applyFont="1" applyFill="1" applyBorder="1" applyAlignment="1">
      <alignment horizontal="center"/>
    </xf>
    <xf numFmtId="176" fontId="223" fillId="2" borderId="2" xfId="0" applyNumberFormat="1" applyFont="1" applyBorder="1"/>
    <xf numFmtId="177" fontId="223" fillId="0" borderId="2" xfId="0" applyNumberFormat="1" applyFont="1" applyFill="1" applyBorder="1"/>
    <xf numFmtId="0" fontId="223" fillId="2" borderId="0" xfId="0" applyNumberFormat="1" applyFont="1" applyBorder="1"/>
    <xf numFmtId="0" fontId="223" fillId="2" borderId="2" xfId="0" applyNumberFormat="1" applyFont="1" applyBorder="1"/>
    <xf numFmtId="38" fontId="223" fillId="27" borderId="48" xfId="0" applyNumberFormat="1" applyFont="1" applyFill="1" applyBorder="1"/>
    <xf numFmtId="37" fontId="223" fillId="2" borderId="2" xfId="0" applyNumberFormat="1" applyFont="1" applyBorder="1"/>
    <xf numFmtId="0" fontId="223" fillId="8" borderId="2" xfId="0" applyNumberFormat="1" applyFont="1" applyFill="1" applyBorder="1" applyAlignment="1">
      <alignment horizontal="center"/>
    </xf>
    <xf numFmtId="164" fontId="224" fillId="2" borderId="2" xfId="0" applyNumberFormat="1" applyFont="1" applyBorder="1"/>
    <xf numFmtId="168" fontId="223" fillId="2" borderId="2" xfId="0" applyNumberFormat="1" applyFont="1" applyBorder="1"/>
    <xf numFmtId="168" fontId="223" fillId="11" borderId="2" xfId="0" applyNumberFormat="1" applyFont="1" applyFill="1" applyBorder="1"/>
    <xf numFmtId="38" fontId="223" fillId="8" borderId="2" xfId="0" applyNumberFormat="1" applyFont="1" applyFill="1" applyBorder="1"/>
    <xf numFmtId="176" fontId="223" fillId="8" borderId="2" xfId="0" applyNumberFormat="1" applyFont="1" applyFill="1" applyBorder="1"/>
    <xf numFmtId="38" fontId="223" fillId="2" borderId="2" xfId="0" applyNumberFormat="1" applyFont="1" applyBorder="1"/>
    <xf numFmtId="176" fontId="223" fillId="5" borderId="2" xfId="0" applyNumberFormat="1" applyFont="1" applyFill="1" applyBorder="1"/>
    <xf numFmtId="38" fontId="223" fillId="2" borderId="9" xfId="0" applyNumberFormat="1" applyFont="1" applyBorder="1"/>
    <xf numFmtId="38" fontId="223" fillId="2" borderId="0" xfId="0" applyNumberFormat="1" applyFont="1"/>
    <xf numFmtId="0" fontId="223" fillId="2" borderId="0" xfId="0" applyNumberFormat="1" applyFont="1" applyAlignment="1">
      <alignment horizontal="right"/>
    </xf>
    <xf numFmtId="171" fontId="223" fillId="2" borderId="0" xfId="0" applyNumberFormat="1" applyFont="1" applyAlignment="1">
      <alignment horizontal="right"/>
    </xf>
    <xf numFmtId="39" fontId="223" fillId="2" borderId="0" xfId="0" applyNumberFormat="1" applyFont="1" applyAlignment="1">
      <alignment horizontal="right"/>
    </xf>
    <xf numFmtId="0" fontId="223" fillId="27" borderId="22" xfId="0" applyNumberFormat="1" applyFont="1" applyFill="1" applyBorder="1" applyAlignment="1">
      <alignment horizontal="center"/>
    </xf>
    <xf numFmtId="38" fontId="223" fillId="27" borderId="20" xfId="0" applyNumberFormat="1" applyFont="1" applyFill="1" applyBorder="1" applyAlignment="1">
      <alignment horizontal="center"/>
    </xf>
    <xf numFmtId="0" fontId="223" fillId="27" borderId="20" xfId="0" applyNumberFormat="1" applyFont="1" applyFill="1" applyBorder="1"/>
    <xf numFmtId="38" fontId="223" fillId="27" borderId="23" xfId="0" applyNumberFormat="1" applyFont="1" applyFill="1" applyBorder="1" applyAlignment="1">
      <alignment horizontal="center"/>
    </xf>
    <xf numFmtId="0" fontId="223" fillId="19" borderId="9" xfId="0" quotePrefix="1" applyNumberFormat="1" applyFont="1" applyFill="1" applyBorder="1" applyAlignment="1">
      <alignment horizontal="center"/>
    </xf>
    <xf numFmtId="187" fontId="223" fillId="2" borderId="9" xfId="0" applyNumberFormat="1" applyFont="1" applyBorder="1"/>
    <xf numFmtId="38" fontId="223" fillId="5" borderId="9" xfId="0" applyNumberFormat="1" applyFont="1" applyFill="1" applyBorder="1"/>
    <xf numFmtId="38" fontId="223" fillId="24" borderId="9" xfId="0" applyNumberFormat="1" applyFont="1" applyFill="1" applyBorder="1"/>
    <xf numFmtId="176" fontId="223" fillId="5" borderId="9" xfId="0" applyNumberFormat="1" applyFont="1" applyFill="1" applyBorder="1"/>
    <xf numFmtId="0" fontId="223" fillId="26" borderId="9" xfId="0" applyNumberFormat="1" applyFont="1" applyFill="1" applyBorder="1" applyAlignment="1">
      <alignment horizontal="center"/>
    </xf>
    <xf numFmtId="38" fontId="223" fillId="5" borderId="0" xfId="0" applyNumberFormat="1" applyFont="1" applyFill="1" applyBorder="1" applyAlignment="1">
      <alignment horizontal="center"/>
    </xf>
    <xf numFmtId="0" fontId="223" fillId="5" borderId="0" xfId="0" applyNumberFormat="1" applyFont="1" applyFill="1" applyBorder="1"/>
    <xf numFmtId="0" fontId="4" fillId="38" borderId="0" xfId="0" applyNumberFormat="1" applyFont="1" applyFill="1" applyAlignment="1">
      <alignment horizontal="left"/>
    </xf>
    <xf numFmtId="0" fontId="0" fillId="37" borderId="0" xfId="0" applyNumberFormat="1" applyFill="1"/>
    <xf numFmtId="0" fontId="4" fillId="37" borderId="0" xfId="0" applyNumberFormat="1" applyFont="1" applyFill="1" applyAlignment="1">
      <alignment horizontal="left"/>
    </xf>
    <xf numFmtId="0" fontId="4" fillId="37" borderId="0" xfId="0" applyNumberFormat="1" applyFont="1" applyFill="1" applyAlignment="1">
      <alignment horizontal="center"/>
    </xf>
    <xf numFmtId="0" fontId="4" fillId="35" borderId="0" xfId="0" quotePrefix="1" applyNumberFormat="1" applyFont="1" applyFill="1" applyAlignment="1">
      <alignment horizontal="center"/>
    </xf>
    <xf numFmtId="0" fontId="4" fillId="35" borderId="0" xfId="0" applyNumberFormat="1" applyFont="1" applyFill="1" applyAlignment="1">
      <alignment horizontal="center"/>
    </xf>
    <xf numFmtId="38" fontId="164" fillId="35" borderId="94" xfId="0" applyNumberFormat="1" applyFont="1" applyFill="1" applyBorder="1"/>
    <xf numFmtId="0" fontId="164" fillId="35" borderId="0" xfId="0" applyNumberFormat="1" applyFont="1" applyFill="1"/>
    <xf numFmtId="37" fontId="164" fillId="35" borderId="2" xfId="0" applyNumberFormat="1" applyFont="1" applyFill="1" applyBorder="1"/>
    <xf numFmtId="176" fontId="164" fillId="35" borderId="2" xfId="0" applyNumberFormat="1" applyFont="1" applyFill="1" applyBorder="1"/>
    <xf numFmtId="168" fontId="31" fillId="35" borderId="0" xfId="0" applyNumberFormat="1" applyFont="1" applyFill="1" applyBorder="1"/>
    <xf numFmtId="0" fontId="164" fillId="35" borderId="2" xfId="0" applyNumberFormat="1" applyFont="1" applyFill="1" applyBorder="1"/>
    <xf numFmtId="182" fontId="164" fillId="35" borderId="2" xfId="0" applyNumberFormat="1" applyFont="1" applyFill="1" applyBorder="1"/>
    <xf numFmtId="38" fontId="164" fillId="35" borderId="2" xfId="0" applyNumberFormat="1" applyFont="1" applyFill="1" applyBorder="1"/>
    <xf numFmtId="0" fontId="143" fillId="35" borderId="0" xfId="0" applyNumberFormat="1" applyFont="1" applyFill="1" applyAlignment="1">
      <alignment horizontal="right"/>
    </xf>
    <xf numFmtId="16" fontId="164" fillId="35" borderId="6" xfId="0" quotePrefix="1" applyNumberFormat="1" applyFont="1" applyFill="1" applyBorder="1" applyAlignment="1">
      <alignment horizontal="center"/>
    </xf>
    <xf numFmtId="0" fontId="143" fillId="35" borderId="0" xfId="0" applyNumberFormat="1" applyFont="1" applyFill="1" applyAlignment="1">
      <alignment horizontal="left"/>
    </xf>
    <xf numFmtId="0" fontId="143" fillId="35" borderId="0" xfId="0" applyNumberFormat="1" applyFont="1" applyFill="1"/>
    <xf numFmtId="38" fontId="0" fillId="35" borderId="0" xfId="0" applyNumberFormat="1" applyFill="1"/>
    <xf numFmtId="38" fontId="128" fillId="35" borderId="2" xfId="0" applyNumberFormat="1" applyFont="1" applyFill="1" applyBorder="1"/>
    <xf numFmtId="0" fontId="223" fillId="35" borderId="0" xfId="0" applyNumberFormat="1" applyFont="1" applyFill="1"/>
    <xf numFmtId="0" fontId="223" fillId="35" borderId="0" xfId="0" quotePrefix="1" applyNumberFormat="1" applyFont="1" applyFill="1" applyAlignment="1">
      <alignment horizontal="center"/>
    </xf>
    <xf numFmtId="0" fontId="223" fillId="35" borderId="0" xfId="0" applyNumberFormat="1" applyFont="1" applyFill="1" applyAlignment="1">
      <alignment horizontal="center"/>
    </xf>
    <xf numFmtId="38" fontId="223" fillId="35" borderId="94" xfId="0" applyNumberFormat="1" applyFont="1" applyFill="1" applyBorder="1"/>
    <xf numFmtId="0" fontId="223" fillId="35" borderId="0" xfId="0" applyNumberFormat="1" applyFont="1" applyFill="1" applyAlignment="1">
      <alignment horizontal="right"/>
    </xf>
    <xf numFmtId="37" fontId="223" fillId="35" borderId="2" xfId="0" applyNumberFormat="1" applyFont="1" applyFill="1" applyBorder="1"/>
    <xf numFmtId="176" fontId="223" fillId="35" borderId="2" xfId="0" applyNumberFormat="1" applyFont="1" applyFill="1" applyBorder="1"/>
    <xf numFmtId="168" fontId="223" fillId="35" borderId="0" xfId="0" applyNumberFormat="1" applyFont="1" applyFill="1" applyBorder="1"/>
    <xf numFmtId="0" fontId="223" fillId="35" borderId="2" xfId="0" applyNumberFormat="1" applyFont="1" applyFill="1" applyBorder="1"/>
    <xf numFmtId="182" fontId="223" fillId="35" borderId="2" xfId="0" applyNumberFormat="1" applyFont="1" applyFill="1" applyBorder="1"/>
    <xf numFmtId="38" fontId="223" fillId="35" borderId="2" xfId="0" applyNumberFormat="1" applyFont="1" applyFill="1" applyBorder="1"/>
    <xf numFmtId="16" fontId="223" fillId="35" borderId="6" xfId="0" quotePrefix="1" applyNumberFormat="1" applyFont="1" applyFill="1" applyBorder="1" applyAlignment="1">
      <alignment horizontal="center"/>
    </xf>
    <xf numFmtId="0" fontId="223" fillId="35" borderId="29" xfId="0" applyNumberFormat="1" applyFont="1" applyFill="1" applyBorder="1" applyAlignment="1">
      <alignment horizontal="center"/>
    </xf>
    <xf numFmtId="0" fontId="223" fillId="35" borderId="47" xfId="0" applyNumberFormat="1" applyFont="1" applyFill="1" applyBorder="1" applyAlignment="1">
      <alignment horizontal="right"/>
    </xf>
    <xf numFmtId="0" fontId="223" fillId="35" borderId="0" xfId="0" applyNumberFormat="1" applyFont="1" applyFill="1" applyAlignment="1">
      <alignment horizontal="left"/>
    </xf>
    <xf numFmtId="38" fontId="223" fillId="35" borderId="0" xfId="0" applyNumberFormat="1" applyFont="1" applyFill="1"/>
    <xf numFmtId="38" fontId="223" fillId="35" borderId="15" xfId="0" applyNumberFormat="1" applyFont="1" applyFill="1" applyBorder="1"/>
    <xf numFmtId="0" fontId="223" fillId="35" borderId="48" xfId="0" applyNumberFormat="1" applyFont="1" applyFill="1" applyBorder="1" applyAlignment="1">
      <alignment horizontal="center"/>
    </xf>
    <xf numFmtId="38" fontId="223" fillId="35" borderId="16" xfId="0" applyNumberFormat="1" applyFont="1" applyFill="1" applyBorder="1"/>
    <xf numFmtId="38" fontId="223" fillId="35" borderId="36" xfId="0" applyNumberFormat="1" applyFont="1" applyFill="1" applyBorder="1"/>
    <xf numFmtId="182" fontId="223" fillId="35" borderId="0" xfId="0" applyNumberFormat="1" applyFont="1" applyFill="1"/>
    <xf numFmtId="0" fontId="225" fillId="35" borderId="0" xfId="0" applyNumberFormat="1" applyFont="1" applyFill="1"/>
    <xf numFmtId="0" fontId="226" fillId="35" borderId="0" xfId="0" applyNumberFormat="1" applyFont="1" applyFill="1"/>
    <xf numFmtId="0" fontId="226" fillId="35" borderId="0" xfId="0" applyNumberFormat="1" applyFont="1" applyFill="1" applyAlignment="1">
      <alignment horizontal="right"/>
    </xf>
    <xf numFmtId="176" fontId="226" fillId="35" borderId="0" xfId="0" applyNumberFormat="1" applyFont="1" applyFill="1"/>
    <xf numFmtId="37" fontId="223" fillId="35" borderId="107" xfId="0" applyNumberFormat="1" applyFont="1" applyFill="1" applyBorder="1"/>
    <xf numFmtId="176" fontId="223" fillId="35" borderId="107" xfId="0" applyNumberFormat="1" applyFont="1" applyFill="1" applyBorder="1"/>
    <xf numFmtId="0" fontId="223" fillId="35" borderId="107" xfId="0" applyNumberFormat="1" applyFont="1" applyFill="1" applyBorder="1"/>
    <xf numFmtId="0" fontId="223" fillId="35" borderId="6" xfId="0" quotePrefix="1" applyNumberFormat="1" applyFont="1" applyFill="1" applyBorder="1" applyAlignment="1">
      <alignment horizontal="center"/>
    </xf>
    <xf numFmtId="0" fontId="223" fillId="35" borderId="47" xfId="0" applyNumberFormat="1" applyFont="1" applyFill="1" applyBorder="1"/>
    <xf numFmtId="38" fontId="223" fillId="35" borderId="0" xfId="0" applyNumberFormat="1" applyFont="1" applyFill="1" applyBorder="1"/>
    <xf numFmtId="176" fontId="223" fillId="35" borderId="9" xfId="0" applyNumberFormat="1" applyFont="1" applyFill="1" applyBorder="1"/>
    <xf numFmtId="176" fontId="223" fillId="35" borderId="0" xfId="0" applyNumberFormat="1" applyFont="1" applyFill="1" applyBorder="1"/>
    <xf numFmtId="38" fontId="223" fillId="35" borderId="9" xfId="0" applyNumberFormat="1" applyFont="1" applyFill="1" applyBorder="1" applyAlignment="1">
      <alignment horizontal="right"/>
    </xf>
    <xf numFmtId="0" fontId="223" fillId="35" borderId="9" xfId="0" applyNumberFormat="1" applyFont="1" applyFill="1" applyBorder="1" applyAlignment="1">
      <alignment horizontal="right"/>
    </xf>
    <xf numFmtId="38" fontId="223" fillId="35" borderId="9" xfId="0" applyNumberFormat="1" applyFont="1" applyFill="1" applyBorder="1"/>
    <xf numFmtId="0" fontId="223" fillId="35" borderId="0" xfId="0" applyNumberFormat="1" applyFont="1" applyFill="1" applyBorder="1" applyAlignment="1">
      <alignment horizontal="right"/>
    </xf>
    <xf numFmtId="0" fontId="128" fillId="39" borderId="0" xfId="0" applyNumberFormat="1" applyFont="1" applyFill="1"/>
    <xf numFmtId="0" fontId="137" fillId="39" borderId="0" xfId="0" applyNumberFormat="1" applyFont="1" applyFill="1"/>
    <xf numFmtId="0" fontId="137" fillId="39" borderId="112" xfId="0" applyNumberFormat="1" applyFont="1" applyFill="1" applyBorder="1"/>
    <xf numFmtId="0" fontId="137" fillId="39" borderId="0" xfId="0" quotePrefix="1" applyNumberFormat="1" applyFont="1" applyFill="1" applyAlignment="1">
      <alignment horizontal="center"/>
    </xf>
    <xf numFmtId="0" fontId="137" fillId="39" borderId="0" xfId="0" applyNumberFormat="1" applyFont="1" applyFill="1" applyAlignment="1">
      <alignment horizontal="center"/>
    </xf>
    <xf numFmtId="0" fontId="137" fillId="39" borderId="112" xfId="0" quotePrefix="1" applyNumberFormat="1" applyFont="1" applyFill="1" applyBorder="1" applyAlignment="1">
      <alignment horizontal="center"/>
    </xf>
    <xf numFmtId="0" fontId="137" fillId="39" borderId="112" xfId="0" applyNumberFormat="1" applyFont="1" applyFill="1" applyBorder="1" applyAlignment="1">
      <alignment horizontal="center"/>
    </xf>
    <xf numFmtId="38" fontId="137" fillId="39" borderId="0" xfId="0" quotePrefix="1" applyNumberFormat="1" applyFont="1" applyFill="1" applyAlignment="1">
      <alignment horizontal="center"/>
    </xf>
    <xf numFmtId="38" fontId="137" fillId="39" borderId="112" xfId="0" quotePrefix="1" applyNumberFormat="1" applyFont="1" applyFill="1" applyBorder="1" applyAlignment="1">
      <alignment horizontal="center"/>
    </xf>
    <xf numFmtId="37" fontId="137" fillId="39" borderId="2" xfId="0" applyNumberFormat="1" applyFont="1" applyFill="1" applyBorder="1"/>
    <xf numFmtId="37" fontId="137" fillId="39" borderId="0" xfId="0" applyNumberFormat="1" applyFont="1" applyFill="1" applyBorder="1"/>
    <xf numFmtId="37" fontId="137" fillId="39" borderId="113" xfId="0" applyNumberFormat="1" applyFont="1" applyFill="1" applyBorder="1"/>
    <xf numFmtId="176" fontId="137" fillId="39" borderId="2" xfId="0" applyNumberFormat="1" applyFont="1" applyFill="1" applyBorder="1"/>
    <xf numFmtId="176" fontId="137" fillId="39" borderId="0" xfId="0" applyNumberFormat="1" applyFont="1" applyFill="1" applyBorder="1"/>
    <xf numFmtId="176" fontId="137" fillId="39" borderId="113" xfId="0" applyNumberFormat="1" applyFont="1" applyFill="1" applyBorder="1"/>
    <xf numFmtId="37" fontId="137" fillId="39" borderId="0" xfId="0" applyNumberFormat="1" applyFont="1" applyFill="1" applyBorder="1" applyAlignment="1">
      <alignment horizontal="center"/>
    </xf>
    <xf numFmtId="37" fontId="137" fillId="39" borderId="2" xfId="0" applyNumberFormat="1" applyFont="1" applyFill="1" applyBorder="1" applyAlignment="1">
      <alignment horizontal="center"/>
    </xf>
    <xf numFmtId="37" fontId="137" fillId="39" borderId="113" xfId="0" applyNumberFormat="1" applyFont="1" applyFill="1" applyBorder="1" applyAlignment="1">
      <alignment horizontal="center"/>
    </xf>
    <xf numFmtId="168" fontId="137" fillId="39" borderId="2" xfId="0" applyNumberFormat="1" applyFont="1" applyFill="1" applyBorder="1"/>
    <xf numFmtId="168" fontId="137" fillId="39" borderId="0" xfId="0" applyNumberFormat="1" applyFont="1" applyFill="1" applyBorder="1"/>
    <xf numFmtId="168" fontId="137" fillId="39" borderId="113" xfId="0" applyNumberFormat="1" applyFont="1" applyFill="1" applyBorder="1"/>
    <xf numFmtId="38" fontId="137" fillId="39" borderId="2" xfId="0" applyNumberFormat="1" applyFont="1" applyFill="1" applyBorder="1"/>
    <xf numFmtId="38" fontId="137" fillId="39" borderId="0" xfId="0" applyNumberFormat="1" applyFont="1" applyFill="1" applyBorder="1"/>
    <xf numFmtId="38" fontId="137" fillId="39" borderId="113" xfId="0" applyNumberFormat="1" applyFont="1" applyFill="1" applyBorder="1"/>
    <xf numFmtId="38" fontId="128" fillId="39" borderId="2" xfId="0" applyNumberFormat="1" applyFont="1" applyFill="1" applyBorder="1"/>
    <xf numFmtId="40" fontId="137" fillId="39" borderId="2" xfId="0" applyNumberFormat="1" applyFont="1" applyFill="1" applyBorder="1"/>
    <xf numFmtId="40" fontId="137" fillId="39" borderId="0" xfId="0" applyNumberFormat="1" applyFont="1" applyFill="1" applyBorder="1"/>
    <xf numFmtId="40" fontId="137" fillId="39" borderId="113" xfId="0" applyNumberFormat="1" applyFont="1" applyFill="1" applyBorder="1"/>
    <xf numFmtId="176" fontId="31" fillId="39" borderId="2" xfId="0" applyNumberFormat="1" applyFont="1" applyFill="1" applyBorder="1"/>
    <xf numFmtId="176" fontId="31" fillId="39" borderId="113" xfId="0" applyNumberFormat="1" applyFont="1" applyFill="1" applyBorder="1"/>
    <xf numFmtId="38" fontId="137" fillId="39" borderId="9" xfId="0" applyNumberFormat="1" applyFont="1" applyFill="1" applyBorder="1"/>
    <xf numFmtId="38" fontId="137" fillId="39" borderId="114" xfId="0" applyNumberFormat="1" applyFont="1" applyFill="1" applyBorder="1"/>
    <xf numFmtId="38" fontId="137" fillId="39" borderId="0" xfId="0" applyNumberFormat="1" applyFont="1" applyFill="1"/>
    <xf numFmtId="38" fontId="137" fillId="39" borderId="112" xfId="0" applyNumberFormat="1" applyFont="1" applyFill="1" applyBorder="1"/>
    <xf numFmtId="38" fontId="137" fillId="39" borderId="8" xfId="0" applyNumberFormat="1" applyFont="1" applyFill="1" applyBorder="1"/>
    <xf numFmtId="38" fontId="137" fillId="39" borderId="115" xfId="0" applyNumberFormat="1" applyFont="1" applyFill="1" applyBorder="1"/>
    <xf numFmtId="38" fontId="137" fillId="39" borderId="9" xfId="0" applyNumberFormat="1" applyFont="1" applyFill="1" applyBorder="1" applyAlignment="1" applyProtection="1">
      <alignment horizontal="center"/>
      <protection locked="0"/>
    </xf>
    <xf numFmtId="38" fontId="137" fillId="39" borderId="9" xfId="0" applyNumberFormat="1" applyFont="1" applyFill="1" applyBorder="1" applyAlignment="1">
      <alignment horizontal="center"/>
    </xf>
    <xf numFmtId="0" fontId="137" fillId="39" borderId="0" xfId="0" quotePrefix="1" applyNumberFormat="1" applyFont="1" applyFill="1"/>
    <xf numFmtId="38" fontId="134" fillId="39" borderId="0" xfId="0" applyNumberFormat="1" applyFont="1" applyFill="1" applyBorder="1"/>
    <xf numFmtId="38" fontId="134" fillId="39" borderId="112" xfId="0" applyNumberFormat="1" applyFont="1" applyFill="1" applyBorder="1"/>
    <xf numFmtId="38" fontId="134" fillId="39" borderId="2" xfId="0" applyNumberFormat="1" applyFont="1" applyFill="1" applyBorder="1"/>
    <xf numFmtId="38" fontId="134" fillId="39" borderId="113" xfId="0" applyNumberFormat="1" applyFont="1" applyFill="1" applyBorder="1"/>
    <xf numFmtId="37" fontId="134" fillId="39" borderId="2" xfId="0" applyNumberFormat="1" applyFont="1" applyFill="1" applyBorder="1"/>
    <xf numFmtId="37" fontId="134" fillId="39" borderId="0" xfId="0" applyNumberFormat="1" applyFont="1" applyFill="1" applyBorder="1"/>
    <xf numFmtId="37" fontId="134" fillId="39" borderId="113" xfId="0" applyNumberFormat="1" applyFont="1" applyFill="1" applyBorder="1"/>
    <xf numFmtId="176" fontId="134" fillId="39" borderId="2" xfId="0" applyNumberFormat="1" applyFont="1" applyFill="1" applyBorder="1"/>
    <xf numFmtId="176" fontId="134" fillId="39" borderId="0" xfId="0" applyNumberFormat="1" applyFont="1" applyFill="1" applyBorder="1"/>
    <xf numFmtId="176" fontId="134" fillId="39" borderId="113" xfId="0" applyNumberFormat="1" applyFont="1" applyFill="1" applyBorder="1"/>
    <xf numFmtId="40" fontId="134" fillId="39" borderId="2" xfId="0" applyNumberFormat="1" applyFont="1" applyFill="1" applyBorder="1"/>
    <xf numFmtId="40" fontId="134" fillId="39" borderId="0" xfId="0" applyNumberFormat="1" applyFont="1" applyFill="1" applyBorder="1"/>
    <xf numFmtId="40" fontId="134" fillId="39" borderId="113" xfId="0" applyNumberFormat="1" applyFont="1" applyFill="1" applyBorder="1"/>
    <xf numFmtId="0" fontId="134" fillId="39" borderId="0" xfId="0" applyNumberFormat="1" applyFont="1" applyFill="1"/>
    <xf numFmtId="0" fontId="134" fillId="39" borderId="112" xfId="0" applyNumberFormat="1" applyFont="1" applyFill="1" applyBorder="1"/>
    <xf numFmtId="38" fontId="134" fillId="39" borderId="9" xfId="0" applyNumberFormat="1" applyFont="1" applyFill="1" applyBorder="1"/>
    <xf numFmtId="38" fontId="134" fillId="39" borderId="114" xfId="0" applyNumberFormat="1" applyFont="1" applyFill="1" applyBorder="1"/>
    <xf numFmtId="38" fontId="134" fillId="39" borderId="0" xfId="0" applyNumberFormat="1" applyFont="1" applyFill="1"/>
    <xf numFmtId="38" fontId="134" fillId="39" borderId="8" xfId="0" applyNumberFormat="1" applyFont="1" applyFill="1" applyBorder="1"/>
    <xf numFmtId="38" fontId="134" fillId="39" borderId="115" xfId="0" applyNumberFormat="1" applyFont="1" applyFill="1" applyBorder="1"/>
    <xf numFmtId="0" fontId="128" fillId="39" borderId="112" xfId="0" applyNumberFormat="1" applyFont="1" applyFill="1" applyBorder="1"/>
    <xf numFmtId="38" fontId="128" fillId="39" borderId="0" xfId="0" applyNumberFormat="1" applyFont="1" applyFill="1"/>
    <xf numFmtId="38" fontId="128" fillId="39" borderId="112" xfId="0" applyNumberFormat="1" applyFont="1" applyFill="1" applyBorder="1"/>
    <xf numFmtId="0" fontId="143" fillId="35" borderId="112" xfId="0" applyNumberFormat="1" applyFont="1" applyFill="1" applyBorder="1"/>
    <xf numFmtId="0" fontId="143" fillId="35" borderId="0" xfId="0" quotePrefix="1" applyNumberFormat="1" applyFont="1" applyFill="1" applyAlignment="1">
      <alignment horizontal="center"/>
    </xf>
    <xf numFmtId="0" fontId="143" fillId="35" borderId="0" xfId="0" applyNumberFormat="1" applyFont="1" applyFill="1" applyAlignment="1">
      <alignment horizontal="center"/>
    </xf>
    <xf numFmtId="0" fontId="143" fillId="35" borderId="112" xfId="0" quotePrefix="1" applyNumberFormat="1" applyFont="1" applyFill="1" applyBorder="1" applyAlignment="1">
      <alignment horizontal="center"/>
    </xf>
    <xf numFmtId="0" fontId="143" fillId="35" borderId="112" xfId="0" applyNumberFormat="1" applyFont="1" applyFill="1" applyBorder="1" applyAlignment="1">
      <alignment horizontal="center"/>
    </xf>
    <xf numFmtId="38" fontId="143" fillId="35" borderId="0" xfId="0" quotePrefix="1" applyNumberFormat="1" applyFont="1" applyFill="1" applyAlignment="1">
      <alignment horizontal="center"/>
    </xf>
    <xf numFmtId="38" fontId="143" fillId="35" borderId="112" xfId="0" quotePrefix="1" applyNumberFormat="1" applyFont="1" applyFill="1" applyBorder="1" applyAlignment="1">
      <alignment horizontal="center"/>
    </xf>
    <xf numFmtId="37" fontId="143" fillId="35" borderId="2" xfId="0" applyNumberFormat="1" applyFont="1" applyFill="1" applyBorder="1"/>
    <xf numFmtId="37" fontId="143" fillId="35" borderId="0" xfId="0" applyNumberFormat="1" applyFont="1" applyFill="1" applyBorder="1"/>
    <xf numFmtId="37" fontId="143" fillId="35" borderId="113" xfId="0" applyNumberFormat="1" applyFont="1" applyFill="1" applyBorder="1"/>
    <xf numFmtId="176" fontId="143" fillId="35" borderId="2" xfId="0" applyNumberFormat="1" applyFont="1" applyFill="1" applyBorder="1"/>
    <xf numFmtId="176" fontId="143" fillId="35" borderId="0" xfId="0" applyNumberFormat="1" applyFont="1" applyFill="1" applyBorder="1"/>
    <xf numFmtId="176" fontId="143" fillId="35" borderId="113" xfId="0" applyNumberFormat="1" applyFont="1" applyFill="1" applyBorder="1"/>
    <xf numFmtId="37" fontId="143" fillId="35" borderId="0" xfId="0" applyNumberFormat="1" applyFont="1" applyFill="1" applyBorder="1" applyAlignment="1">
      <alignment horizontal="center"/>
    </xf>
    <xf numFmtId="37" fontId="143" fillId="35" borderId="2" xfId="0" applyNumberFormat="1" applyFont="1" applyFill="1" applyBorder="1" applyAlignment="1">
      <alignment horizontal="center"/>
    </xf>
    <xf numFmtId="37" fontId="143" fillId="35" borderId="113" xfId="0" applyNumberFormat="1" applyFont="1" applyFill="1" applyBorder="1" applyAlignment="1">
      <alignment horizontal="center"/>
    </xf>
    <xf numFmtId="168" fontId="143" fillId="35" borderId="2" xfId="0" applyNumberFormat="1" applyFont="1" applyFill="1" applyBorder="1"/>
    <xf numFmtId="168" fontId="143" fillId="35" borderId="0" xfId="0" applyNumberFormat="1" applyFont="1" applyFill="1" applyBorder="1"/>
    <xf numFmtId="168" fontId="143" fillId="35" borderId="113" xfId="0" applyNumberFormat="1" applyFont="1" applyFill="1" applyBorder="1"/>
    <xf numFmtId="38" fontId="143" fillId="35" borderId="2" xfId="0" applyNumberFormat="1" applyFont="1" applyFill="1" applyBorder="1"/>
    <xf numFmtId="38" fontId="143" fillId="35" borderId="0" xfId="0" applyNumberFormat="1" applyFont="1" applyFill="1" applyBorder="1"/>
    <xf numFmtId="38" fontId="143" fillId="35" borderId="113" xfId="0" applyNumberFormat="1" applyFont="1" applyFill="1" applyBorder="1"/>
    <xf numFmtId="40" fontId="143" fillId="35" borderId="2" xfId="0" applyNumberFormat="1" applyFont="1" applyFill="1" applyBorder="1"/>
    <xf numFmtId="40" fontId="143" fillId="35" borderId="0" xfId="0" applyNumberFormat="1" applyFont="1" applyFill="1" applyBorder="1"/>
    <xf numFmtId="40" fontId="143" fillId="35" borderId="113" xfId="0" applyNumberFormat="1" applyFont="1" applyFill="1" applyBorder="1"/>
    <xf numFmtId="176" fontId="31" fillId="35" borderId="2" xfId="0" applyNumberFormat="1" applyFont="1" applyFill="1" applyBorder="1"/>
    <xf numFmtId="176" fontId="31" fillId="35" borderId="113" xfId="0" applyNumberFormat="1" applyFont="1" applyFill="1" applyBorder="1"/>
    <xf numFmtId="38" fontId="143" fillId="35" borderId="9" xfId="0" applyNumberFormat="1" applyFont="1" applyFill="1" applyBorder="1"/>
    <xf numFmtId="38" fontId="143" fillId="35" borderId="114" xfId="0" applyNumberFormat="1" applyFont="1" applyFill="1" applyBorder="1"/>
    <xf numFmtId="38" fontId="143" fillId="35" borderId="0" xfId="0" applyNumberFormat="1" applyFont="1" applyFill="1"/>
    <xf numFmtId="38" fontId="143" fillId="35" borderId="112" xfId="0" applyNumberFormat="1" applyFont="1" applyFill="1" applyBorder="1"/>
    <xf numFmtId="38" fontId="143" fillId="35" borderId="8" xfId="0" applyNumberFormat="1" applyFont="1" applyFill="1" applyBorder="1"/>
    <xf numFmtId="38" fontId="143" fillId="35" borderId="115" xfId="0" applyNumberFormat="1" applyFont="1" applyFill="1" applyBorder="1"/>
    <xf numFmtId="38" fontId="143" fillId="35" borderId="9" xfId="0" applyNumberFormat="1" applyFont="1" applyFill="1" applyBorder="1" applyAlignment="1" applyProtection="1">
      <alignment horizontal="center"/>
      <protection locked="0"/>
    </xf>
    <xf numFmtId="38" fontId="143" fillId="35" borderId="9" xfId="0" applyNumberFormat="1" applyFont="1" applyFill="1" applyBorder="1" applyAlignment="1">
      <alignment horizontal="center"/>
    </xf>
    <xf numFmtId="0" fontId="143" fillId="35" borderId="0" xfId="0" quotePrefix="1" applyNumberFormat="1" applyFont="1" applyFill="1"/>
    <xf numFmtId="38" fontId="134" fillId="35" borderId="0" xfId="0" applyNumberFormat="1" applyFont="1" applyFill="1" applyBorder="1"/>
    <xf numFmtId="38" fontId="134" fillId="35" borderId="112" xfId="0" applyNumberFormat="1" applyFont="1" applyFill="1" applyBorder="1"/>
    <xf numFmtId="38" fontId="134" fillId="35" borderId="2" xfId="0" applyNumberFormat="1" applyFont="1" applyFill="1" applyBorder="1"/>
    <xf numFmtId="38" fontId="134" fillId="35" borderId="113" xfId="0" applyNumberFormat="1" applyFont="1" applyFill="1" applyBorder="1"/>
    <xf numFmtId="37" fontId="134" fillId="35" borderId="2" xfId="0" applyNumberFormat="1" applyFont="1" applyFill="1" applyBorder="1"/>
    <xf numFmtId="37" fontId="134" fillId="35" borderId="0" xfId="0" applyNumberFormat="1" applyFont="1" applyFill="1" applyBorder="1"/>
    <xf numFmtId="37" fontId="134" fillId="35" borderId="113" xfId="0" applyNumberFormat="1" applyFont="1" applyFill="1" applyBorder="1"/>
    <xf numFmtId="176" fontId="134" fillId="35" borderId="2" xfId="0" applyNumberFormat="1" applyFont="1" applyFill="1" applyBorder="1"/>
    <xf numFmtId="176" fontId="134" fillId="35" borderId="0" xfId="0" applyNumberFormat="1" applyFont="1" applyFill="1" applyBorder="1"/>
    <xf numFmtId="176" fontId="134" fillId="35" borderId="113" xfId="0" applyNumberFormat="1" applyFont="1" applyFill="1" applyBorder="1"/>
    <xf numFmtId="40" fontId="134" fillId="35" borderId="2" xfId="0" applyNumberFormat="1" applyFont="1" applyFill="1" applyBorder="1"/>
    <xf numFmtId="40" fontId="134" fillId="35" borderId="0" xfId="0" applyNumberFormat="1" applyFont="1" applyFill="1" applyBorder="1"/>
    <xf numFmtId="40" fontId="134" fillId="35" borderId="113" xfId="0" applyNumberFormat="1" applyFont="1" applyFill="1" applyBorder="1"/>
    <xf numFmtId="0" fontId="134" fillId="35" borderId="0" xfId="0" applyNumberFormat="1" applyFont="1" applyFill="1"/>
    <xf numFmtId="0" fontId="134" fillId="35" borderId="112" xfId="0" applyNumberFormat="1" applyFont="1" applyFill="1" applyBorder="1"/>
    <xf numFmtId="38" fontId="134" fillId="35" borderId="9" xfId="0" applyNumberFormat="1" applyFont="1" applyFill="1" applyBorder="1"/>
    <xf numFmtId="38" fontId="134" fillId="35" borderId="114" xfId="0" applyNumberFormat="1" applyFont="1" applyFill="1" applyBorder="1"/>
    <xf numFmtId="38" fontId="134" fillId="35" borderId="0" xfId="0" applyNumberFormat="1" applyFont="1" applyFill="1"/>
    <xf numFmtId="38" fontId="134" fillId="35" borderId="8" xfId="0" applyNumberFormat="1" applyFont="1" applyFill="1" applyBorder="1"/>
    <xf numFmtId="38" fontId="134" fillId="35" borderId="115" xfId="0" applyNumberFormat="1" applyFont="1" applyFill="1" applyBorder="1"/>
    <xf numFmtId="0" fontId="128" fillId="35" borderId="0" xfId="0" applyNumberFormat="1" applyFont="1" applyFill="1"/>
    <xf numFmtId="0" fontId="128" fillId="35" borderId="112" xfId="0" applyNumberFormat="1" applyFont="1" applyFill="1" applyBorder="1"/>
    <xf numFmtId="38" fontId="128" fillId="35" borderId="0" xfId="0" applyNumberFormat="1" applyFont="1" applyFill="1"/>
    <xf numFmtId="38" fontId="128" fillId="35" borderId="112" xfId="0" applyNumberFormat="1" applyFont="1" applyFill="1" applyBorder="1"/>
    <xf numFmtId="0" fontId="143" fillId="40" borderId="0" xfId="0" applyNumberFormat="1" applyFont="1" applyFill="1"/>
    <xf numFmtId="0" fontId="143" fillId="40" borderId="112" xfId="0" applyNumberFormat="1" applyFont="1" applyFill="1" applyBorder="1"/>
    <xf numFmtId="0" fontId="143" fillId="40" borderId="0" xfId="0" quotePrefix="1" applyNumberFormat="1" applyFont="1" applyFill="1" applyAlignment="1">
      <alignment horizontal="center"/>
    </xf>
    <xf numFmtId="0" fontId="143" fillId="40" borderId="0" xfId="0" applyNumberFormat="1" applyFont="1" applyFill="1" applyAlignment="1">
      <alignment horizontal="center"/>
    </xf>
    <xf numFmtId="0" fontId="143" fillId="40" borderId="112" xfId="0" quotePrefix="1" applyNumberFormat="1" applyFont="1" applyFill="1" applyBorder="1" applyAlignment="1">
      <alignment horizontal="center"/>
    </xf>
    <xf numFmtId="0" fontId="143" fillId="40" borderId="112" xfId="0" applyNumberFormat="1" applyFont="1" applyFill="1" applyBorder="1" applyAlignment="1">
      <alignment horizontal="center"/>
    </xf>
    <xf numFmtId="38" fontId="143" fillId="40" borderId="0" xfId="0" quotePrefix="1" applyNumberFormat="1" applyFont="1" applyFill="1" applyAlignment="1">
      <alignment horizontal="center"/>
    </xf>
    <xf numFmtId="38" fontId="143" fillId="40" borderId="112" xfId="0" quotePrefix="1" applyNumberFormat="1" applyFont="1" applyFill="1" applyBorder="1" applyAlignment="1">
      <alignment horizontal="center"/>
    </xf>
    <xf numFmtId="37" fontId="143" fillId="40" borderId="2" xfId="0" applyNumberFormat="1" applyFont="1" applyFill="1" applyBorder="1"/>
    <xf numFmtId="37" fontId="143" fillId="40" borderId="0" xfId="0" applyNumberFormat="1" applyFont="1" applyFill="1" applyBorder="1"/>
    <xf numFmtId="37" fontId="143" fillId="40" borderId="113" xfId="0" applyNumberFormat="1" applyFont="1" applyFill="1" applyBorder="1"/>
    <xf numFmtId="176" fontId="143" fillId="40" borderId="2" xfId="0" applyNumberFormat="1" applyFont="1" applyFill="1" applyBorder="1"/>
    <xf numFmtId="176" fontId="143" fillId="40" borderId="0" xfId="0" applyNumberFormat="1" applyFont="1" applyFill="1" applyBorder="1"/>
    <xf numFmtId="176" fontId="143" fillId="40" borderId="113" xfId="0" applyNumberFormat="1" applyFont="1" applyFill="1" applyBorder="1"/>
    <xf numFmtId="37" fontId="143" fillId="40" borderId="0" xfId="0" applyNumberFormat="1" applyFont="1" applyFill="1" applyBorder="1" applyAlignment="1">
      <alignment horizontal="center"/>
    </xf>
    <xf numFmtId="37" fontId="143" fillId="40" borderId="2" xfId="0" applyNumberFormat="1" applyFont="1" applyFill="1" applyBorder="1" applyAlignment="1">
      <alignment horizontal="center"/>
    </xf>
    <xf numFmtId="37" fontId="143" fillId="40" borderId="113" xfId="0" applyNumberFormat="1" applyFont="1" applyFill="1" applyBorder="1" applyAlignment="1">
      <alignment horizontal="center"/>
    </xf>
    <xf numFmtId="168" fontId="143" fillId="40" borderId="2" xfId="0" applyNumberFormat="1" applyFont="1" applyFill="1" applyBorder="1"/>
    <xf numFmtId="168" fontId="143" fillId="40" borderId="0" xfId="0" applyNumberFormat="1" applyFont="1" applyFill="1" applyBorder="1"/>
    <xf numFmtId="168" fontId="143" fillId="40" borderId="113" xfId="0" applyNumberFormat="1" applyFont="1" applyFill="1" applyBorder="1"/>
    <xf numFmtId="38" fontId="143" fillId="40" borderId="2" xfId="0" applyNumberFormat="1" applyFont="1" applyFill="1" applyBorder="1"/>
    <xf numFmtId="38" fontId="143" fillId="40" borderId="0" xfId="0" applyNumberFormat="1" applyFont="1" applyFill="1" applyBorder="1"/>
    <xf numFmtId="38" fontId="143" fillId="40" borderId="113" xfId="0" applyNumberFormat="1" applyFont="1" applyFill="1" applyBorder="1"/>
    <xf numFmtId="38" fontId="128" fillId="40" borderId="2" xfId="0" applyNumberFormat="1" applyFont="1" applyFill="1" applyBorder="1"/>
    <xf numFmtId="40" fontId="143" fillId="40" borderId="2" xfId="0" applyNumberFormat="1" applyFont="1" applyFill="1" applyBorder="1"/>
    <xf numFmtId="40" fontId="143" fillId="40" borderId="0" xfId="0" applyNumberFormat="1" applyFont="1" applyFill="1" applyBorder="1"/>
    <xf numFmtId="40" fontId="143" fillId="40" borderId="113" xfId="0" applyNumberFormat="1" applyFont="1" applyFill="1" applyBorder="1"/>
    <xf numFmtId="176" fontId="31" fillId="40" borderId="2" xfId="0" applyNumberFormat="1" applyFont="1" applyFill="1" applyBorder="1"/>
    <xf numFmtId="176" fontId="31" fillId="40" borderId="113" xfId="0" applyNumberFormat="1" applyFont="1" applyFill="1" applyBorder="1"/>
    <xf numFmtId="38" fontId="143" fillId="40" borderId="9" xfId="0" applyNumberFormat="1" applyFont="1" applyFill="1" applyBorder="1"/>
    <xf numFmtId="38" fontId="143" fillId="40" borderId="114" xfId="0" applyNumberFormat="1" applyFont="1" applyFill="1" applyBorder="1"/>
    <xf numFmtId="38" fontId="143" fillId="40" borderId="0" xfId="0" applyNumberFormat="1" applyFont="1" applyFill="1"/>
    <xf numFmtId="38" fontId="143" fillId="40" borderId="112" xfId="0" applyNumberFormat="1" applyFont="1" applyFill="1" applyBorder="1"/>
    <xf numFmtId="38" fontId="143" fillId="40" borderId="8" xfId="0" applyNumberFormat="1" applyFont="1" applyFill="1" applyBorder="1"/>
    <xf numFmtId="38" fontId="143" fillId="40" borderId="115" xfId="0" applyNumberFormat="1" applyFont="1" applyFill="1" applyBorder="1"/>
    <xf numFmtId="38" fontId="143" fillId="40" borderId="9" xfId="0" applyNumberFormat="1" applyFont="1" applyFill="1" applyBorder="1" applyAlignment="1" applyProtection="1">
      <alignment horizontal="center"/>
      <protection locked="0"/>
    </xf>
    <xf numFmtId="38" fontId="143" fillId="40" borderId="9" xfId="0" applyNumberFormat="1" applyFont="1" applyFill="1" applyBorder="1" applyAlignment="1">
      <alignment horizontal="center"/>
    </xf>
    <xf numFmtId="0" fontId="143" fillId="40" borderId="0" xfId="0" quotePrefix="1" applyNumberFormat="1" applyFont="1" applyFill="1"/>
    <xf numFmtId="38" fontId="134" fillId="40" borderId="0" xfId="0" applyNumberFormat="1" applyFont="1" applyFill="1" applyBorder="1"/>
    <xf numFmtId="38" fontId="134" fillId="40" borderId="112" xfId="0" applyNumberFormat="1" applyFont="1" applyFill="1" applyBorder="1"/>
    <xf numFmtId="38" fontId="134" fillId="40" borderId="2" xfId="0" applyNumberFormat="1" applyFont="1" applyFill="1" applyBorder="1"/>
    <xf numFmtId="38" fontId="134" fillId="40" borderId="113" xfId="0" applyNumberFormat="1" applyFont="1" applyFill="1" applyBorder="1"/>
    <xf numFmtId="37" fontId="134" fillId="40" borderId="2" xfId="0" applyNumberFormat="1" applyFont="1" applyFill="1" applyBorder="1"/>
    <xf numFmtId="37" fontId="134" fillId="40" borderId="0" xfId="0" applyNumberFormat="1" applyFont="1" applyFill="1" applyBorder="1"/>
    <xf numFmtId="37" fontId="134" fillId="40" borderId="113" xfId="0" applyNumberFormat="1" applyFont="1" applyFill="1" applyBorder="1"/>
    <xf numFmtId="176" fontId="134" fillId="40" borderId="2" xfId="0" applyNumberFormat="1" applyFont="1" applyFill="1" applyBorder="1"/>
    <xf numFmtId="176" fontId="134" fillId="40" borderId="0" xfId="0" applyNumberFormat="1" applyFont="1" applyFill="1" applyBorder="1"/>
    <xf numFmtId="176" fontId="134" fillId="40" borderId="113" xfId="0" applyNumberFormat="1" applyFont="1" applyFill="1" applyBorder="1"/>
    <xf numFmtId="40" fontId="134" fillId="40" borderId="2" xfId="0" applyNumberFormat="1" applyFont="1" applyFill="1" applyBorder="1"/>
    <xf numFmtId="40" fontId="134" fillId="40" borderId="0" xfId="0" applyNumberFormat="1" applyFont="1" applyFill="1" applyBorder="1"/>
    <xf numFmtId="40" fontId="134" fillId="40" borderId="113" xfId="0" applyNumberFormat="1" applyFont="1" applyFill="1" applyBorder="1"/>
    <xf numFmtId="0" fontId="134" fillId="40" borderId="0" xfId="0" applyNumberFormat="1" applyFont="1" applyFill="1"/>
    <xf numFmtId="0" fontId="134" fillId="40" borderId="112" xfId="0" applyNumberFormat="1" applyFont="1" applyFill="1" applyBorder="1"/>
    <xf numFmtId="38" fontId="134" fillId="40" borderId="9" xfId="0" applyNumberFormat="1" applyFont="1" applyFill="1" applyBorder="1"/>
    <xf numFmtId="38" fontId="134" fillId="40" borderId="114" xfId="0" applyNumberFormat="1" applyFont="1" applyFill="1" applyBorder="1"/>
    <xf numFmtId="38" fontId="134" fillId="40" borderId="0" xfId="0" applyNumberFormat="1" applyFont="1" applyFill="1"/>
    <xf numFmtId="38" fontId="134" fillId="40" borderId="8" xfId="0" applyNumberFormat="1" applyFont="1" applyFill="1" applyBorder="1"/>
    <xf numFmtId="38" fontId="134" fillId="40" borderId="115" xfId="0" applyNumberFormat="1" applyFont="1" applyFill="1" applyBorder="1"/>
    <xf numFmtId="0" fontId="128" fillId="40" borderId="0" xfId="0" applyNumberFormat="1" applyFont="1" applyFill="1"/>
    <xf numFmtId="0" fontId="128" fillId="40" borderId="112" xfId="0" applyNumberFormat="1" applyFont="1" applyFill="1" applyBorder="1"/>
    <xf numFmtId="38" fontId="128" fillId="40" borderId="0" xfId="0" applyNumberFormat="1" applyFont="1" applyFill="1"/>
    <xf numFmtId="38" fontId="128" fillId="40" borderId="112" xfId="0" applyNumberFormat="1" applyFont="1" applyFill="1" applyBorder="1"/>
    <xf numFmtId="0" fontId="0" fillId="40" borderId="0" xfId="0" applyNumberFormat="1" applyFill="1"/>
    <xf numFmtId="38" fontId="0" fillId="40" borderId="0" xfId="0" applyNumberFormat="1" applyFill="1"/>
    <xf numFmtId="0" fontId="227" fillId="42" borderId="0" xfId="0" applyNumberFormat="1" applyFont="1" applyFill="1"/>
    <xf numFmtId="0" fontId="0" fillId="42" borderId="0" xfId="0" applyNumberFormat="1" applyFill="1"/>
    <xf numFmtId="38" fontId="199" fillId="19" borderId="23" xfId="0" applyNumberFormat="1" applyFont="1" applyFill="1" applyBorder="1"/>
    <xf numFmtId="38" fontId="199" fillId="19" borderId="123" xfId="0" applyNumberFormat="1" applyFont="1" applyFill="1" applyBorder="1"/>
    <xf numFmtId="38" fontId="204" fillId="19" borderId="23" xfId="0" applyNumberFormat="1" applyFont="1" applyFill="1" applyBorder="1"/>
    <xf numFmtId="38" fontId="204" fillId="19" borderId="123" xfId="0" applyNumberFormat="1" applyFont="1" applyFill="1" applyBorder="1"/>
    <xf numFmtId="38" fontId="198" fillId="19" borderId="123" xfId="0" applyNumberFormat="1" applyFont="1" applyFill="1" applyBorder="1"/>
    <xf numFmtId="38" fontId="0" fillId="42" borderId="0" xfId="0" applyNumberFormat="1" applyFill="1"/>
    <xf numFmtId="38" fontId="15" fillId="37" borderId="130" xfId="0" applyNumberFormat="1" applyFont="1" applyFill="1" applyBorder="1"/>
    <xf numFmtId="38" fontId="227" fillId="42" borderId="130" xfId="0" applyNumberFormat="1" applyFont="1" applyFill="1" applyBorder="1"/>
    <xf numFmtId="38" fontId="68" fillId="42" borderId="130" xfId="0" applyNumberFormat="1" applyFont="1" applyFill="1" applyBorder="1"/>
    <xf numFmtId="38" fontId="227" fillId="37" borderId="130" xfId="0" applyNumberFormat="1" applyFont="1" applyFill="1" applyBorder="1"/>
    <xf numFmtId="0" fontId="229" fillId="37" borderId="130" xfId="0" applyNumberFormat="1" applyFont="1" applyFill="1" applyBorder="1"/>
    <xf numFmtId="38" fontId="180" fillId="37" borderId="127" xfId="0" applyNumberFormat="1" applyFont="1" applyFill="1" applyBorder="1"/>
    <xf numFmtId="38" fontId="180" fillId="37" borderId="126" xfId="0" applyNumberFormat="1" applyFont="1" applyFill="1" applyBorder="1"/>
    <xf numFmtId="38" fontId="73" fillId="37" borderId="127" xfId="0" applyNumberFormat="1" applyFont="1" applyFill="1" applyBorder="1"/>
    <xf numFmtId="38" fontId="73" fillId="37" borderId="126" xfId="0" applyNumberFormat="1" applyFont="1" applyFill="1" applyBorder="1"/>
    <xf numFmtId="0" fontId="68" fillId="37" borderId="12" xfId="0" applyNumberFormat="1" applyFont="1" applyFill="1" applyBorder="1"/>
    <xf numFmtId="0" fontId="190" fillId="8" borderId="22" xfId="0" applyNumberFormat="1" applyFont="1" applyFill="1" applyBorder="1" applyAlignment="1">
      <alignment horizontal="center"/>
    </xf>
    <xf numFmtId="0" fontId="228" fillId="41" borderId="12" xfId="0" applyNumberFormat="1" applyFont="1" applyFill="1" applyBorder="1" applyAlignment="1">
      <alignment horizontal="center"/>
    </xf>
    <xf numFmtId="38" fontId="227" fillId="37" borderId="114" xfId="0" applyNumberFormat="1" applyFont="1" applyFill="1" applyBorder="1"/>
    <xf numFmtId="0" fontId="227" fillId="42" borderId="112" xfId="0" applyNumberFormat="1" applyFont="1" applyFill="1" applyBorder="1"/>
    <xf numFmtId="0" fontId="229" fillId="37" borderId="114" xfId="0" applyNumberFormat="1" applyFont="1" applyFill="1" applyBorder="1"/>
    <xf numFmtId="0" fontId="0" fillId="42" borderId="112" xfId="0" applyNumberFormat="1" applyFill="1" applyBorder="1"/>
    <xf numFmtId="0" fontId="140" fillId="8" borderId="122" xfId="0" applyNumberFormat="1" applyFont="1" applyFill="1" applyBorder="1" applyAlignment="1">
      <alignment horizontal="center"/>
    </xf>
    <xf numFmtId="0" fontId="228" fillId="41" borderId="114" xfId="0" applyNumberFormat="1" applyFont="1" applyFill="1" applyBorder="1" applyAlignment="1">
      <alignment horizontal="center"/>
    </xf>
    <xf numFmtId="38" fontId="15" fillId="37" borderId="114" xfId="0" applyNumberFormat="1" applyFont="1" applyFill="1" applyBorder="1"/>
    <xf numFmtId="38" fontId="227" fillId="42" borderId="114" xfId="0" applyNumberFormat="1" applyFont="1" applyFill="1" applyBorder="1"/>
    <xf numFmtId="38" fontId="68" fillId="42" borderId="114" xfId="0" applyNumberFormat="1" applyFont="1" applyFill="1" applyBorder="1"/>
    <xf numFmtId="38" fontId="0" fillId="42" borderId="112" xfId="0" applyNumberFormat="1" applyFill="1" applyBorder="1"/>
    <xf numFmtId="0" fontId="203" fillId="8" borderId="22" xfId="0" applyNumberFormat="1" applyFont="1" applyFill="1" applyBorder="1" applyAlignment="1">
      <alignment horizontal="center"/>
    </xf>
    <xf numFmtId="0" fontId="4" fillId="39" borderId="12" xfId="0" applyNumberFormat="1" applyFont="1" applyFill="1" applyBorder="1"/>
    <xf numFmtId="0" fontId="15" fillId="37" borderId="114" xfId="0" applyNumberFormat="1" applyFont="1" applyFill="1" applyBorder="1"/>
    <xf numFmtId="0" fontId="190" fillId="8" borderId="122" xfId="0" applyNumberFormat="1" applyFont="1" applyFill="1" applyBorder="1" applyAlignment="1">
      <alignment horizontal="center"/>
    </xf>
    <xf numFmtId="0" fontId="68" fillId="37" borderId="114" xfId="0" applyNumberFormat="1" applyFont="1" applyFill="1" applyBorder="1"/>
    <xf numFmtId="38" fontId="76" fillId="19" borderId="65" xfId="0" applyNumberFormat="1" applyFont="1" applyFill="1" applyBorder="1"/>
    <xf numFmtId="38" fontId="76" fillId="19" borderId="126" xfId="0" applyNumberFormat="1" applyFont="1" applyFill="1" applyBorder="1"/>
    <xf numFmtId="0" fontId="46" fillId="37" borderId="12" xfId="0" applyNumberFormat="1" applyFont="1" applyFill="1" applyBorder="1"/>
    <xf numFmtId="0" fontId="46" fillId="37" borderId="114" xfId="0" applyNumberFormat="1" applyFont="1" applyFill="1" applyBorder="1"/>
    <xf numFmtId="38" fontId="230" fillId="37" borderId="12" xfId="0" applyNumberFormat="1" applyFont="1" applyFill="1" applyBorder="1"/>
    <xf numFmtId="0" fontId="4" fillId="41" borderId="12" xfId="0" applyNumberFormat="1" applyFont="1" applyFill="1" applyBorder="1"/>
    <xf numFmtId="0" fontId="203" fillId="8" borderId="122" xfId="0" applyNumberFormat="1" applyFont="1" applyFill="1" applyBorder="1" applyAlignment="1">
      <alignment horizontal="center"/>
    </xf>
    <xf numFmtId="0" fontId="4" fillId="39" borderId="114" xfId="0" applyNumberFormat="1" applyFont="1" applyFill="1" applyBorder="1"/>
    <xf numFmtId="38" fontId="68" fillId="37" borderId="12" xfId="0" applyNumberFormat="1" applyFont="1" applyFill="1" applyBorder="1"/>
    <xf numFmtId="38" fontId="4" fillId="44" borderId="12" xfId="0" applyNumberFormat="1" applyFont="1" applyFill="1" applyBorder="1"/>
    <xf numFmtId="0" fontId="197" fillId="8" borderId="122" xfId="0" applyNumberFormat="1" applyFont="1" applyFill="1" applyBorder="1" applyAlignment="1">
      <alignment horizontal="center"/>
    </xf>
    <xf numFmtId="0" fontId="4" fillId="41" borderId="114" xfId="0" applyNumberFormat="1" applyFont="1" applyFill="1" applyBorder="1"/>
    <xf numFmtId="3" fontId="4" fillId="35" borderId="0" xfId="0" applyNumberFormat="1" applyFont="1" applyFill="1"/>
    <xf numFmtId="3" fontId="4" fillId="40" borderId="0" xfId="0" applyNumberFormat="1" applyFont="1" applyFill="1"/>
    <xf numFmtId="0" fontId="4" fillId="37" borderId="12" xfId="0" applyNumberFormat="1" applyFont="1" applyFill="1" applyBorder="1" applyAlignment="1">
      <alignment horizontal="center"/>
    </xf>
    <xf numFmtId="0" fontId="4" fillId="41" borderId="12" xfId="0" applyNumberFormat="1" applyFont="1" applyFill="1" applyBorder="1" applyAlignment="1">
      <alignment horizontal="center"/>
    </xf>
    <xf numFmtId="177" fontId="4" fillId="35" borderId="12" xfId="0" applyNumberFormat="1" applyFont="1" applyFill="1" applyBorder="1"/>
    <xf numFmtId="38" fontId="4" fillId="35" borderId="12" xfId="0" applyNumberFormat="1" applyFont="1" applyFill="1" applyBorder="1"/>
    <xf numFmtId="38" fontId="4" fillId="37" borderId="12" xfId="0" applyNumberFormat="1" applyFont="1" applyFill="1" applyBorder="1"/>
    <xf numFmtId="38" fontId="46" fillId="37" borderId="12" xfId="0" applyNumberFormat="1" applyFont="1" applyFill="1" applyBorder="1"/>
    <xf numFmtId="0" fontId="231" fillId="41" borderId="12" xfId="0" applyNumberFormat="1" applyFont="1" applyFill="1" applyBorder="1" applyAlignment="1">
      <alignment horizontal="center"/>
    </xf>
    <xf numFmtId="3" fontId="4" fillId="35" borderId="12" xfId="0" applyNumberFormat="1" applyFont="1" applyFill="1" applyBorder="1"/>
    <xf numFmtId="3" fontId="231" fillId="41" borderId="12" xfId="0" applyNumberFormat="1" applyFont="1" applyFill="1" applyBorder="1" applyAlignment="1">
      <alignment horizontal="center"/>
    </xf>
    <xf numFmtId="3" fontId="68" fillId="35" borderId="12" xfId="0" applyNumberFormat="1" applyFont="1" applyFill="1" applyBorder="1"/>
    <xf numFmtId="38" fontId="4" fillId="44" borderId="114" xfId="0" applyNumberFormat="1" applyFont="1" applyFill="1" applyBorder="1"/>
    <xf numFmtId="0" fontId="4" fillId="37" borderId="132" xfId="0" applyNumberFormat="1" applyFont="1" applyFill="1" applyBorder="1" applyAlignment="1">
      <alignment horizontal="center"/>
    </xf>
    <xf numFmtId="0" fontId="4" fillId="41" borderId="132" xfId="0" applyNumberFormat="1" applyFont="1" applyFill="1" applyBorder="1" applyAlignment="1">
      <alignment horizontal="center"/>
    </xf>
    <xf numFmtId="177" fontId="4" fillId="40" borderId="132" xfId="0" applyNumberFormat="1" applyFont="1" applyFill="1" applyBorder="1"/>
    <xf numFmtId="38" fontId="4" fillId="40" borderId="132" xfId="0" applyNumberFormat="1" applyFont="1" applyFill="1" applyBorder="1"/>
    <xf numFmtId="38" fontId="68" fillId="37" borderId="132" xfId="0" applyNumberFormat="1" applyFont="1" applyFill="1" applyBorder="1"/>
    <xf numFmtId="38" fontId="4" fillId="37" borderId="132" xfId="0" applyNumberFormat="1" applyFont="1" applyFill="1" applyBorder="1"/>
    <xf numFmtId="0" fontId="228" fillId="41" borderId="132" xfId="0" applyNumberFormat="1" applyFont="1" applyFill="1" applyBorder="1" applyAlignment="1">
      <alignment horizontal="center"/>
    </xf>
    <xf numFmtId="38" fontId="46" fillId="37" borderId="132" xfId="0" applyNumberFormat="1" applyFont="1" applyFill="1" applyBorder="1"/>
    <xf numFmtId="0" fontId="231" fillId="41" borderId="132" xfId="0" applyNumberFormat="1" applyFont="1" applyFill="1" applyBorder="1" applyAlignment="1">
      <alignment horizontal="center"/>
    </xf>
    <xf numFmtId="3" fontId="4" fillId="40" borderId="132" xfId="0" applyNumberFormat="1" applyFont="1" applyFill="1" applyBorder="1"/>
    <xf numFmtId="3" fontId="231" fillId="41" borderId="132" xfId="0" applyNumberFormat="1" applyFont="1" applyFill="1" applyBorder="1" applyAlignment="1">
      <alignment horizontal="center"/>
    </xf>
    <xf numFmtId="3" fontId="68" fillId="40" borderId="132" xfId="0" applyNumberFormat="1" applyFont="1" applyFill="1" applyBorder="1"/>
    <xf numFmtId="0" fontId="0" fillId="35" borderId="112" xfId="0" applyNumberFormat="1" applyFill="1" applyBorder="1"/>
    <xf numFmtId="0" fontId="4" fillId="37" borderId="133" xfId="0" applyNumberFormat="1" applyFont="1" applyFill="1" applyBorder="1" applyAlignment="1">
      <alignment horizontal="center"/>
    </xf>
    <xf numFmtId="0" fontId="4" fillId="41" borderId="133" xfId="0" applyNumberFormat="1" applyFont="1" applyFill="1" applyBorder="1" applyAlignment="1">
      <alignment horizontal="center"/>
    </xf>
    <xf numFmtId="177" fontId="4" fillId="35" borderId="133" xfId="0" applyNumberFormat="1" applyFont="1" applyFill="1" applyBorder="1"/>
    <xf numFmtId="38" fontId="4" fillId="35" borderId="133" xfId="0" applyNumberFormat="1" applyFont="1" applyFill="1" applyBorder="1"/>
    <xf numFmtId="38" fontId="68" fillId="37" borderId="133" xfId="0" applyNumberFormat="1" applyFont="1" applyFill="1" applyBorder="1"/>
    <xf numFmtId="38" fontId="4" fillId="37" borderId="133" xfId="0" applyNumberFormat="1" applyFont="1" applyFill="1" applyBorder="1"/>
    <xf numFmtId="38" fontId="0" fillId="35" borderId="112" xfId="0" applyNumberFormat="1" applyFill="1" applyBorder="1"/>
    <xf numFmtId="0" fontId="228" fillId="41" borderId="133" xfId="0" applyNumberFormat="1" applyFont="1" applyFill="1" applyBorder="1" applyAlignment="1">
      <alignment horizontal="center"/>
    </xf>
    <xf numFmtId="38" fontId="46" fillId="37" borderId="133" xfId="0" applyNumberFormat="1" applyFont="1" applyFill="1" applyBorder="1"/>
    <xf numFmtId="0" fontId="231" fillId="41" borderId="133" xfId="0" applyNumberFormat="1" applyFont="1" applyFill="1" applyBorder="1" applyAlignment="1">
      <alignment horizontal="center"/>
    </xf>
    <xf numFmtId="3" fontId="4" fillId="35" borderId="133" xfId="0" applyNumberFormat="1" applyFont="1" applyFill="1" applyBorder="1"/>
    <xf numFmtId="3" fontId="4" fillId="35" borderId="112" xfId="0" applyNumberFormat="1" applyFont="1" applyFill="1" applyBorder="1"/>
    <xf numFmtId="3" fontId="231" fillId="41" borderId="133" xfId="0" applyNumberFormat="1" applyFont="1" applyFill="1" applyBorder="1" applyAlignment="1">
      <alignment horizontal="center"/>
    </xf>
    <xf numFmtId="3" fontId="68" fillId="35" borderId="133" xfId="0" applyNumberFormat="1" applyFont="1" applyFill="1" applyBorder="1"/>
    <xf numFmtId="0" fontId="0" fillId="40" borderId="112" xfId="0" applyNumberFormat="1" applyFill="1" applyBorder="1"/>
    <xf numFmtId="177" fontId="4" fillId="40" borderId="133" xfId="0" applyNumberFormat="1" applyFont="1" applyFill="1" applyBorder="1"/>
    <xf numFmtId="38" fontId="4" fillId="40" borderId="133" xfId="0" applyNumberFormat="1" applyFont="1" applyFill="1" applyBorder="1"/>
    <xf numFmtId="38" fontId="0" fillId="40" borderId="112" xfId="0" applyNumberFormat="1" applyFill="1" applyBorder="1"/>
    <xf numFmtId="38" fontId="0" fillId="40" borderId="133" xfId="0" applyNumberFormat="1" applyFill="1" applyBorder="1"/>
    <xf numFmtId="3" fontId="4" fillId="40" borderId="112" xfId="0" applyNumberFormat="1" applyFont="1" applyFill="1" applyBorder="1"/>
    <xf numFmtId="3" fontId="4" fillId="40" borderId="133" xfId="0" applyNumberFormat="1" applyFont="1" applyFill="1" applyBorder="1"/>
    <xf numFmtId="3" fontId="68" fillId="40" borderId="133" xfId="0" applyNumberFormat="1" applyFont="1" applyFill="1" applyBorder="1"/>
    <xf numFmtId="38" fontId="68" fillId="35" borderId="12" xfId="0" applyNumberFormat="1" applyFont="1" applyFill="1" applyBorder="1"/>
    <xf numFmtId="38" fontId="68" fillId="35" borderId="133" xfId="0" applyNumberFormat="1" applyFont="1" applyFill="1" applyBorder="1"/>
    <xf numFmtId="38" fontId="68" fillId="40" borderId="132" xfId="0" applyNumberFormat="1" applyFont="1" applyFill="1" applyBorder="1"/>
    <xf numFmtId="38" fontId="68" fillId="40" borderId="133" xfId="0" applyNumberFormat="1" applyFont="1" applyFill="1" applyBorder="1"/>
    <xf numFmtId="0" fontId="0" fillId="44" borderId="0" xfId="0" applyNumberFormat="1" applyFill="1"/>
    <xf numFmtId="0" fontId="143" fillId="44" borderId="0" xfId="0" applyNumberFormat="1" applyFont="1" applyFill="1"/>
    <xf numFmtId="0" fontId="164" fillId="35" borderId="131" xfId="0" applyNumberFormat="1" applyFont="1" applyFill="1" applyBorder="1" applyAlignment="1">
      <alignment horizontal="right"/>
    </xf>
    <xf numFmtId="3" fontId="4" fillId="35" borderId="48" xfId="0" applyNumberFormat="1" applyFont="1" applyFill="1" applyBorder="1"/>
    <xf numFmtId="3" fontId="4" fillId="35" borderId="36" xfId="0" applyNumberFormat="1" applyFont="1" applyFill="1" applyBorder="1"/>
    <xf numFmtId="3" fontId="4" fillId="35" borderId="23" xfId="0" applyNumberFormat="1" applyFont="1" applyFill="1" applyBorder="1"/>
    <xf numFmtId="3" fontId="232" fillId="35" borderId="20" xfId="0" applyNumberFormat="1" applyFont="1" applyFill="1" applyBorder="1" applyAlignment="1">
      <alignment horizontal="center"/>
    </xf>
    <xf numFmtId="38" fontId="27" fillId="40" borderId="0" xfId="0" applyNumberFormat="1" applyFont="1" applyFill="1" applyBorder="1"/>
    <xf numFmtId="0" fontId="134" fillId="35" borderId="0" xfId="0" quotePrefix="1" applyNumberFormat="1" applyFont="1" applyFill="1" applyAlignment="1">
      <alignment horizontal="center"/>
    </xf>
    <xf numFmtId="0" fontId="134" fillId="35" borderId="0" xfId="0" applyNumberFormat="1" applyFont="1" applyFill="1" applyAlignment="1">
      <alignment horizontal="center"/>
    </xf>
    <xf numFmtId="0" fontId="134" fillId="35" borderId="112" xfId="0" quotePrefix="1" applyNumberFormat="1" applyFont="1" applyFill="1" applyBorder="1" applyAlignment="1">
      <alignment horizontal="center"/>
    </xf>
    <xf numFmtId="0" fontId="134" fillId="35" borderId="112" xfId="0" applyNumberFormat="1" applyFont="1" applyFill="1" applyBorder="1" applyAlignment="1">
      <alignment horizontal="center"/>
    </xf>
    <xf numFmtId="38" fontId="134" fillId="35" borderId="0" xfId="0" quotePrefix="1" applyNumberFormat="1" applyFont="1" applyFill="1" applyAlignment="1">
      <alignment horizontal="center"/>
    </xf>
    <xf numFmtId="38" fontId="134" fillId="35" borderId="112" xfId="0" quotePrefix="1" applyNumberFormat="1" applyFont="1" applyFill="1" applyBorder="1" applyAlignment="1">
      <alignment horizontal="center"/>
    </xf>
    <xf numFmtId="37" fontId="134" fillId="35" borderId="0" xfId="0" applyNumberFormat="1" applyFont="1" applyFill="1" applyBorder="1" applyAlignment="1">
      <alignment horizontal="center"/>
    </xf>
    <xf numFmtId="37" fontId="134" fillId="35" borderId="2" xfId="0" applyNumberFormat="1" applyFont="1" applyFill="1" applyBorder="1" applyAlignment="1">
      <alignment horizontal="center"/>
    </xf>
    <xf numFmtId="37" fontId="134" fillId="35" borderId="113" xfId="0" applyNumberFormat="1" applyFont="1" applyFill="1" applyBorder="1" applyAlignment="1">
      <alignment horizontal="center"/>
    </xf>
    <xf numFmtId="168" fontId="134" fillId="35" borderId="2" xfId="0" applyNumberFormat="1" applyFont="1" applyFill="1" applyBorder="1"/>
    <xf numFmtId="168" fontId="134" fillId="35" borderId="0" xfId="0" applyNumberFormat="1" applyFont="1" applyFill="1" applyBorder="1"/>
    <xf numFmtId="168" fontId="134" fillId="35" borderId="113" xfId="0" applyNumberFormat="1" applyFont="1" applyFill="1" applyBorder="1"/>
    <xf numFmtId="38" fontId="134" fillId="35" borderId="9" xfId="0" applyNumberFormat="1" applyFont="1" applyFill="1" applyBorder="1" applyAlignment="1" applyProtection="1">
      <alignment horizontal="center"/>
      <protection locked="0"/>
    </xf>
    <xf numFmtId="38" fontId="134" fillId="35" borderId="9" xfId="0" applyNumberFormat="1" applyFont="1" applyFill="1" applyBorder="1" applyAlignment="1">
      <alignment horizontal="center"/>
    </xf>
    <xf numFmtId="0" fontId="134" fillId="35" borderId="0" xfId="0" quotePrefix="1" applyNumberFormat="1" applyFont="1" applyFill="1"/>
    <xf numFmtId="0" fontId="27" fillId="35" borderId="0" xfId="0" applyNumberFormat="1" applyFont="1" applyFill="1" applyAlignment="1">
      <alignment horizontal="center"/>
    </xf>
    <xf numFmtId="0" fontId="233" fillId="2" borderId="0" xfId="3" quotePrefix="1" applyNumberFormat="1" applyFont="1" applyFill="1" applyAlignment="1" applyProtection="1">
      <alignment horizontal="center"/>
    </xf>
    <xf numFmtId="0" fontId="104" fillId="2" borderId="9" xfId="3" applyNumberFormat="1" applyFont="1" applyFill="1" applyBorder="1" applyAlignment="1" applyProtection="1"/>
    <xf numFmtId="0" fontId="233" fillId="2" borderId="0" xfId="0" applyNumberFormat="1" applyFont="1" applyAlignment="1">
      <alignment horizontal="center"/>
    </xf>
    <xf numFmtId="0" fontId="9" fillId="38" borderId="0" xfId="0" applyNumberFormat="1" applyFont="1" applyFill="1" applyBorder="1" applyAlignment="1">
      <alignment horizontal="right"/>
    </xf>
    <xf numFmtId="0" fontId="15" fillId="2" borderId="0" xfId="3" applyNumberFormat="1" applyFont="1" applyFill="1" applyAlignment="1" applyProtection="1"/>
    <xf numFmtId="0" fontId="99" fillId="2" borderId="0" xfId="0" applyNumberFormat="1" applyFont="1" applyAlignment="1">
      <alignment horizontal="right"/>
    </xf>
    <xf numFmtId="0" fontId="4" fillId="38" borderId="0" xfId="0" applyNumberFormat="1" applyFont="1" applyFill="1" applyBorder="1" applyAlignment="1">
      <alignment horizontal="right"/>
    </xf>
    <xf numFmtId="0" fontId="4" fillId="35" borderId="0" xfId="0" applyNumberFormat="1" applyFont="1" applyFill="1"/>
    <xf numFmtId="38" fontId="4" fillId="35" borderId="130" xfId="0" applyNumberFormat="1" applyFont="1" applyFill="1" applyBorder="1"/>
    <xf numFmtId="38" fontId="4" fillId="35" borderId="0" xfId="0" applyNumberFormat="1" applyFont="1" applyFill="1"/>
    <xf numFmtId="176" fontId="4" fillId="35" borderId="130" xfId="0" applyNumberFormat="1" applyFont="1" applyFill="1" applyBorder="1"/>
    <xf numFmtId="176" fontId="4" fillId="35" borderId="0" xfId="0" applyNumberFormat="1" applyFont="1" applyFill="1"/>
    <xf numFmtId="38" fontId="4" fillId="35" borderId="130" xfId="0" applyNumberFormat="1" applyFont="1" applyFill="1" applyBorder="1" applyAlignment="1">
      <alignment horizontal="center"/>
    </xf>
    <xf numFmtId="179" fontId="4" fillId="35" borderId="130" xfId="0" applyNumberFormat="1" applyFont="1" applyFill="1" applyBorder="1"/>
    <xf numFmtId="179" fontId="4" fillId="35" borderId="0" xfId="0" applyNumberFormat="1" applyFont="1" applyFill="1"/>
    <xf numFmtId="40" fontId="4" fillId="35" borderId="130" xfId="0" applyNumberFormat="1" applyFont="1" applyFill="1" applyBorder="1"/>
    <xf numFmtId="40" fontId="4" fillId="35" borderId="0" xfId="0" applyNumberFormat="1" applyFont="1" applyFill="1"/>
    <xf numFmtId="38" fontId="4" fillId="35" borderId="135" xfId="0" applyNumberFormat="1" applyFont="1" applyFill="1" applyBorder="1"/>
    <xf numFmtId="0" fontId="4" fillId="35" borderId="130" xfId="0" applyNumberFormat="1" applyFont="1" applyFill="1" applyBorder="1" applyAlignment="1">
      <alignment horizontal="center"/>
    </xf>
    <xf numFmtId="0" fontId="190" fillId="44" borderId="0" xfId="0" applyNumberFormat="1" applyFont="1" applyFill="1"/>
    <xf numFmtId="0" fontId="190" fillId="44" borderId="0" xfId="0" applyNumberFormat="1" applyFont="1" applyFill="1" applyAlignment="1">
      <alignment horizontal="center"/>
    </xf>
    <xf numFmtId="38" fontId="190" fillId="44" borderId="0" xfId="0" applyNumberFormat="1" applyFont="1" applyFill="1" applyAlignment="1">
      <alignment horizontal="center"/>
    </xf>
    <xf numFmtId="0" fontId="190" fillId="44" borderId="9" xfId="0" applyNumberFormat="1" applyFont="1" applyFill="1" applyBorder="1"/>
    <xf numFmtId="176" fontId="190" fillId="44" borderId="9" xfId="0" applyNumberFormat="1" applyFont="1" applyFill="1" applyBorder="1"/>
    <xf numFmtId="176" fontId="190" fillId="44" borderId="0" xfId="0" applyNumberFormat="1" applyFont="1" applyFill="1"/>
    <xf numFmtId="38" fontId="190" fillId="44" borderId="9" xfId="0" applyNumberFormat="1" applyFont="1" applyFill="1" applyBorder="1"/>
    <xf numFmtId="38" fontId="190" fillId="44" borderId="0" xfId="0" applyNumberFormat="1" applyFont="1" applyFill="1"/>
    <xf numFmtId="38" fontId="190" fillId="44" borderId="9" xfId="0" applyNumberFormat="1" applyFont="1" applyFill="1" applyBorder="1" applyAlignment="1">
      <alignment horizontal="center"/>
    </xf>
    <xf numFmtId="179" fontId="190" fillId="44" borderId="9" xfId="0" applyNumberFormat="1" applyFont="1" applyFill="1" applyBorder="1"/>
    <xf numFmtId="179" fontId="190" fillId="44" borderId="0" xfId="0" applyNumberFormat="1" applyFont="1" applyFill="1"/>
    <xf numFmtId="2" fontId="190" fillId="44" borderId="9" xfId="0" applyNumberFormat="1" applyFont="1" applyFill="1" applyBorder="1"/>
    <xf numFmtId="0" fontId="234" fillId="44" borderId="0" xfId="0" applyNumberFormat="1" applyFont="1" applyFill="1"/>
    <xf numFmtId="0" fontId="234" fillId="44" borderId="0" xfId="0" applyNumberFormat="1" applyFont="1" applyFill="1" applyAlignment="1">
      <alignment horizontal="center"/>
    </xf>
    <xf numFmtId="38" fontId="234" fillId="44" borderId="0" xfId="0" applyNumberFormat="1" applyFont="1" applyFill="1" applyAlignment="1">
      <alignment horizontal="center"/>
    </xf>
    <xf numFmtId="38" fontId="234" fillId="44" borderId="130" xfId="0" applyNumberFormat="1" applyFont="1" applyFill="1" applyBorder="1"/>
    <xf numFmtId="176" fontId="234" fillId="44" borderId="130" xfId="0" applyNumberFormat="1" applyFont="1" applyFill="1" applyBorder="1"/>
    <xf numFmtId="0" fontId="234" fillId="44" borderId="130" xfId="0" applyNumberFormat="1" applyFont="1" applyFill="1" applyBorder="1" applyAlignment="1">
      <alignment horizontal="center"/>
    </xf>
    <xf numFmtId="3" fontId="234" fillId="44" borderId="130" xfId="0" applyNumberFormat="1" applyFont="1" applyFill="1" applyBorder="1"/>
    <xf numFmtId="0" fontId="4" fillId="45" borderId="0" xfId="0" applyNumberFormat="1" applyFont="1" applyFill="1" applyAlignment="1">
      <alignment horizontal="center"/>
    </xf>
    <xf numFmtId="0" fontId="4" fillId="40" borderId="0" xfId="0" applyNumberFormat="1" applyFont="1" applyFill="1" applyAlignment="1">
      <alignment horizontal="center"/>
    </xf>
    <xf numFmtId="0" fontId="4" fillId="46" borderId="0" xfId="0" applyNumberFormat="1" applyFont="1" applyFill="1" applyAlignment="1">
      <alignment horizontal="center"/>
    </xf>
    <xf numFmtId="0" fontId="4" fillId="47" borderId="0" xfId="0" applyNumberFormat="1" applyFont="1" applyFill="1" applyAlignment="1">
      <alignment horizontal="center"/>
    </xf>
    <xf numFmtId="0" fontId="4" fillId="45" borderId="0" xfId="0" applyNumberFormat="1" applyFont="1" applyFill="1"/>
    <xf numFmtId="0" fontId="4" fillId="40" borderId="0" xfId="0" applyNumberFormat="1" applyFont="1" applyFill="1"/>
    <xf numFmtId="0" fontId="4" fillId="46" borderId="0" xfId="0" applyNumberFormat="1" applyFont="1" applyFill="1"/>
    <xf numFmtId="0" fontId="4" fillId="47" borderId="0" xfId="0" applyNumberFormat="1" applyFont="1" applyFill="1"/>
    <xf numFmtId="38" fontId="4" fillId="35" borderId="0" xfId="0" applyNumberFormat="1" applyFont="1" applyFill="1" applyAlignment="1">
      <alignment horizontal="center"/>
    </xf>
    <xf numFmtId="38" fontId="4" fillId="45" borderId="0" xfId="0" applyNumberFormat="1" applyFont="1" applyFill="1" applyAlignment="1">
      <alignment horizontal="center"/>
    </xf>
    <xf numFmtId="38" fontId="4" fillId="40" borderId="0" xfId="0" applyNumberFormat="1" applyFont="1" applyFill="1" applyAlignment="1">
      <alignment horizontal="center"/>
    </xf>
    <xf numFmtId="38" fontId="4" fillId="46" borderId="0" xfId="0" applyNumberFormat="1" applyFont="1" applyFill="1" applyAlignment="1">
      <alignment horizontal="center"/>
    </xf>
    <xf numFmtId="38" fontId="4" fillId="47" borderId="0" xfId="0" applyNumberFormat="1" applyFont="1" applyFill="1" applyAlignment="1">
      <alignment horizontal="center"/>
    </xf>
    <xf numFmtId="0" fontId="4" fillId="35" borderId="130" xfId="0" applyNumberFormat="1" applyFont="1" applyFill="1" applyBorder="1"/>
    <xf numFmtId="0" fontId="234" fillId="44" borderId="130" xfId="0" applyNumberFormat="1" applyFont="1" applyFill="1" applyBorder="1"/>
    <xf numFmtId="0" fontId="0" fillId="44" borderId="130" xfId="0" applyNumberFormat="1" applyFill="1" applyBorder="1" applyAlignment="1">
      <alignment horizontal="center"/>
    </xf>
    <xf numFmtId="0" fontId="4" fillId="44" borderId="130" xfId="0" applyNumberFormat="1" applyFont="1" applyFill="1" applyBorder="1"/>
    <xf numFmtId="38" fontId="13" fillId="44" borderId="0" xfId="0" applyNumberFormat="1" applyFont="1" applyFill="1"/>
    <xf numFmtId="0" fontId="4" fillId="44" borderId="135" xfId="0" applyNumberFormat="1" applyFont="1" applyFill="1" applyBorder="1"/>
    <xf numFmtId="0" fontId="4" fillId="44" borderId="0" xfId="0" applyNumberFormat="1" applyFont="1" applyFill="1"/>
    <xf numFmtId="38" fontId="13" fillId="44" borderId="0" xfId="0" applyNumberFormat="1" applyFont="1" applyFill="1" applyBorder="1"/>
    <xf numFmtId="176" fontId="13" fillId="44" borderId="0" xfId="0" applyNumberFormat="1" applyFont="1" applyFill="1"/>
    <xf numFmtId="0" fontId="4" fillId="45" borderId="130" xfId="0" applyNumberFormat="1" applyFont="1" applyFill="1" applyBorder="1"/>
    <xf numFmtId="0" fontId="4" fillId="40" borderId="130" xfId="0" applyNumberFormat="1" applyFont="1" applyFill="1" applyBorder="1"/>
    <xf numFmtId="0" fontId="4" fillId="45" borderId="130" xfId="0" applyNumberFormat="1" applyFont="1" applyFill="1" applyBorder="1" applyAlignment="1">
      <alignment horizontal="center"/>
    </xf>
    <xf numFmtId="0" fontId="4" fillId="40" borderId="130" xfId="0" applyNumberFormat="1" applyFont="1" applyFill="1" applyBorder="1" applyAlignment="1">
      <alignment horizontal="center"/>
    </xf>
    <xf numFmtId="0" fontId="4" fillId="46" borderId="130" xfId="0" applyNumberFormat="1" applyFont="1" applyFill="1" applyBorder="1"/>
    <xf numFmtId="0" fontId="4" fillId="47" borderId="130" xfId="0" applyNumberFormat="1" applyFont="1" applyFill="1" applyBorder="1"/>
    <xf numFmtId="0" fontId="4" fillId="46" borderId="130" xfId="0" applyNumberFormat="1" applyFont="1" applyFill="1" applyBorder="1" applyAlignment="1">
      <alignment horizontal="center"/>
    </xf>
    <xf numFmtId="0" fontId="4" fillId="47" borderId="130" xfId="0" applyNumberFormat="1" applyFont="1" applyFill="1" applyBorder="1" applyAlignment="1">
      <alignment horizontal="center"/>
    </xf>
    <xf numFmtId="3" fontId="4" fillId="35" borderId="130" xfId="0" applyNumberFormat="1" applyFont="1" applyFill="1" applyBorder="1"/>
    <xf numFmtId="3" fontId="4" fillId="45" borderId="130" xfId="0" applyNumberFormat="1" applyFont="1" applyFill="1" applyBorder="1"/>
    <xf numFmtId="3" fontId="4" fillId="45" borderId="0" xfId="0" applyNumberFormat="1" applyFont="1" applyFill="1"/>
    <xf numFmtId="3" fontId="4" fillId="40" borderId="130" xfId="0" applyNumberFormat="1" applyFont="1" applyFill="1" applyBorder="1"/>
    <xf numFmtId="3" fontId="4" fillId="46" borderId="130" xfId="0" applyNumberFormat="1" applyFont="1" applyFill="1" applyBorder="1"/>
    <xf numFmtId="3" fontId="4" fillId="46" borderId="0" xfId="0" applyNumberFormat="1" applyFont="1" applyFill="1"/>
    <xf numFmtId="3" fontId="4" fillId="47" borderId="130" xfId="0" applyNumberFormat="1" applyFont="1" applyFill="1" applyBorder="1"/>
    <xf numFmtId="3" fontId="4" fillId="47" borderId="0" xfId="0" applyNumberFormat="1" applyFont="1" applyFill="1"/>
    <xf numFmtId="176" fontId="4" fillId="45" borderId="130" xfId="0" applyNumberFormat="1" applyFont="1" applyFill="1" applyBorder="1"/>
    <xf numFmtId="176" fontId="4" fillId="45" borderId="0" xfId="0" applyNumberFormat="1" applyFont="1" applyFill="1"/>
    <xf numFmtId="176" fontId="4" fillId="40" borderId="130" xfId="0" applyNumberFormat="1" applyFont="1" applyFill="1" applyBorder="1"/>
    <xf numFmtId="176" fontId="4" fillId="40" borderId="0" xfId="0" applyNumberFormat="1" applyFont="1" applyFill="1"/>
    <xf numFmtId="176" fontId="4" fillId="46" borderId="130" xfId="0" applyNumberFormat="1" applyFont="1" applyFill="1" applyBorder="1"/>
    <xf numFmtId="176" fontId="4" fillId="46" borderId="0" xfId="0" applyNumberFormat="1" applyFont="1" applyFill="1"/>
    <xf numFmtId="176" fontId="4" fillId="47" borderId="130" xfId="0" applyNumberFormat="1" applyFont="1" applyFill="1" applyBorder="1"/>
    <xf numFmtId="176" fontId="4" fillId="47" borderId="0" xfId="0" applyNumberFormat="1" applyFont="1" applyFill="1"/>
    <xf numFmtId="38" fontId="4" fillId="45" borderId="130" xfId="0" applyNumberFormat="1" applyFont="1" applyFill="1" applyBorder="1"/>
    <xf numFmtId="38" fontId="4" fillId="45" borderId="0" xfId="0" applyNumberFormat="1" applyFont="1" applyFill="1"/>
    <xf numFmtId="38" fontId="4" fillId="40" borderId="130" xfId="0" applyNumberFormat="1" applyFont="1" applyFill="1" applyBorder="1"/>
    <xf numFmtId="38" fontId="4" fillId="40" borderId="0" xfId="0" applyNumberFormat="1" applyFont="1" applyFill="1"/>
    <xf numFmtId="38" fontId="4" fillId="46" borderId="130" xfId="0" applyNumberFormat="1" applyFont="1" applyFill="1" applyBorder="1"/>
    <xf numFmtId="38" fontId="4" fillId="46" borderId="0" xfId="0" applyNumberFormat="1" applyFont="1" applyFill="1"/>
    <xf numFmtId="38" fontId="4" fillId="47" borderId="130" xfId="0" applyNumberFormat="1" applyFont="1" applyFill="1" applyBorder="1"/>
    <xf numFmtId="38" fontId="4" fillId="47" borderId="0" xfId="0" applyNumberFormat="1" applyFont="1" applyFill="1"/>
    <xf numFmtId="38" fontId="4" fillId="45" borderId="130" xfId="0" applyNumberFormat="1" applyFont="1" applyFill="1" applyBorder="1" applyAlignment="1">
      <alignment horizontal="center"/>
    </xf>
    <xf numFmtId="38" fontId="4" fillId="40" borderId="130" xfId="0" applyNumberFormat="1" applyFont="1" applyFill="1" applyBorder="1" applyAlignment="1">
      <alignment horizontal="center"/>
    </xf>
    <xf numFmtId="38" fontId="4" fillId="46" borderId="130" xfId="0" applyNumberFormat="1" applyFont="1" applyFill="1" applyBorder="1" applyAlignment="1">
      <alignment horizontal="center"/>
    </xf>
    <xf numFmtId="38" fontId="4" fillId="47" borderId="130" xfId="0" applyNumberFormat="1" applyFont="1" applyFill="1" applyBorder="1" applyAlignment="1">
      <alignment horizontal="center"/>
    </xf>
    <xf numFmtId="179" fontId="4" fillId="45" borderId="130" xfId="0" applyNumberFormat="1" applyFont="1" applyFill="1" applyBorder="1"/>
    <xf numFmtId="179" fontId="4" fillId="45" borderId="0" xfId="0" applyNumberFormat="1" applyFont="1" applyFill="1"/>
    <xf numFmtId="179" fontId="4" fillId="40" borderId="130" xfId="0" applyNumberFormat="1" applyFont="1" applyFill="1" applyBorder="1"/>
    <xf numFmtId="179" fontId="4" fillId="40" borderId="0" xfId="0" applyNumberFormat="1" applyFont="1" applyFill="1"/>
    <xf numFmtId="179" fontId="4" fillId="46" borderId="130" xfId="0" applyNumberFormat="1" applyFont="1" applyFill="1" applyBorder="1"/>
    <xf numFmtId="179" fontId="4" fillId="46" borderId="0" xfId="0" applyNumberFormat="1" applyFont="1" applyFill="1"/>
    <xf numFmtId="179" fontId="4" fillId="47" borderId="130" xfId="0" applyNumberFormat="1" applyFont="1" applyFill="1" applyBorder="1"/>
    <xf numFmtId="179" fontId="4" fillId="47" borderId="0" xfId="0" applyNumberFormat="1" applyFont="1" applyFill="1"/>
    <xf numFmtId="3" fontId="190" fillId="44" borderId="9" xfId="0" applyNumberFormat="1" applyFont="1" applyFill="1" applyBorder="1"/>
    <xf numFmtId="3" fontId="190" fillId="44" borderId="0" xfId="0" applyNumberFormat="1" applyFont="1" applyFill="1"/>
    <xf numFmtId="176" fontId="0" fillId="44" borderId="0" xfId="0" applyNumberFormat="1" applyFill="1"/>
    <xf numFmtId="3" fontId="234" fillId="44" borderId="0" xfId="0" applyNumberFormat="1" applyFont="1" applyFill="1"/>
    <xf numFmtId="3" fontId="234" fillId="44" borderId="135" xfId="0" applyNumberFormat="1" applyFont="1" applyFill="1" applyBorder="1"/>
    <xf numFmtId="3" fontId="4" fillId="35" borderId="135" xfId="0" applyNumberFormat="1" applyFont="1" applyFill="1" applyBorder="1"/>
    <xf numFmtId="3" fontId="4" fillId="45" borderId="135" xfId="0" applyNumberFormat="1" applyFont="1" applyFill="1" applyBorder="1"/>
    <xf numFmtId="3" fontId="4" fillId="40" borderId="135" xfId="0" applyNumberFormat="1" applyFont="1" applyFill="1" applyBorder="1"/>
    <xf numFmtId="3" fontId="4" fillId="46" borderId="135" xfId="0" applyNumberFormat="1" applyFont="1" applyFill="1" applyBorder="1"/>
    <xf numFmtId="3" fontId="4" fillId="47" borderId="135" xfId="0" applyNumberFormat="1" applyFont="1" applyFill="1" applyBorder="1"/>
    <xf numFmtId="38" fontId="0" fillId="44" borderId="135" xfId="0" applyNumberFormat="1" applyFill="1" applyBorder="1"/>
    <xf numFmtId="38" fontId="234" fillId="44" borderId="0" xfId="0" applyNumberFormat="1" applyFont="1" applyFill="1"/>
    <xf numFmtId="176" fontId="4" fillId="44" borderId="130" xfId="0" applyNumberFormat="1" applyFont="1" applyFill="1" applyBorder="1"/>
    <xf numFmtId="38" fontId="234" fillId="44" borderId="135" xfId="0" applyNumberFormat="1" applyFont="1" applyFill="1" applyBorder="1"/>
    <xf numFmtId="38" fontId="4" fillId="45" borderId="135" xfId="0" applyNumberFormat="1" applyFont="1" applyFill="1" applyBorder="1"/>
    <xf numFmtId="38" fontId="4" fillId="40" borderId="135" xfId="0" applyNumberFormat="1" applyFont="1" applyFill="1" applyBorder="1"/>
    <xf numFmtId="38" fontId="4" fillId="46" borderId="135" xfId="0" applyNumberFormat="1" applyFont="1" applyFill="1" applyBorder="1"/>
    <xf numFmtId="38" fontId="4" fillId="47" borderId="135" xfId="0" applyNumberFormat="1" applyFont="1" applyFill="1" applyBorder="1"/>
    <xf numFmtId="38" fontId="4" fillId="44" borderId="130" xfId="0" applyNumberFormat="1" applyFont="1" applyFill="1" applyBorder="1"/>
    <xf numFmtId="176" fontId="4" fillId="44" borderId="0" xfId="0" applyNumberFormat="1" applyFont="1" applyFill="1"/>
    <xf numFmtId="38" fontId="4" fillId="44" borderId="135" xfId="0" applyNumberFormat="1" applyFont="1" applyFill="1" applyBorder="1"/>
    <xf numFmtId="3" fontId="4" fillId="2" borderId="130" xfId="0" applyNumberFormat="1" applyFont="1" applyBorder="1"/>
    <xf numFmtId="3" fontId="4" fillId="2" borderId="0" xfId="0" applyNumberFormat="1" applyFont="1"/>
    <xf numFmtId="176" fontId="4" fillId="2" borderId="130" xfId="0" applyNumberFormat="1" applyFont="1" applyBorder="1"/>
    <xf numFmtId="38" fontId="4" fillId="2" borderId="130" xfId="0" applyNumberFormat="1" applyFont="1" applyBorder="1"/>
    <xf numFmtId="38" fontId="4" fillId="2" borderId="0" xfId="0" applyNumberFormat="1" applyFont="1"/>
    <xf numFmtId="38" fontId="4" fillId="2" borderId="130" xfId="0" applyNumberFormat="1" applyFont="1" applyBorder="1" applyAlignment="1">
      <alignment horizontal="center"/>
    </xf>
    <xf numFmtId="3" fontId="4" fillId="2" borderId="135" xfId="0" applyNumberFormat="1" applyFont="1" applyBorder="1"/>
    <xf numFmtId="3" fontId="4" fillId="2" borderId="130" xfId="0" applyNumberFormat="1" applyFont="1" applyBorder="1" applyAlignment="1">
      <alignment horizontal="center"/>
    </xf>
    <xf numFmtId="38" fontId="4" fillId="2" borderId="135" xfId="0" applyNumberFormat="1" applyFont="1" applyBorder="1"/>
    <xf numFmtId="0" fontId="4" fillId="35" borderId="112" xfId="0" applyNumberFormat="1" applyFont="1" applyFill="1" applyBorder="1" applyAlignment="1">
      <alignment horizontal="center"/>
    </xf>
    <xf numFmtId="176" fontId="4" fillId="35" borderId="133" xfId="0" applyNumberFormat="1" applyFont="1" applyFill="1" applyBorder="1"/>
    <xf numFmtId="0" fontId="4" fillId="35" borderId="112" xfId="0" applyNumberFormat="1" applyFont="1" applyFill="1" applyBorder="1"/>
    <xf numFmtId="38" fontId="4" fillId="35" borderId="133" xfId="0" applyNumberFormat="1" applyFont="1" applyFill="1" applyBorder="1" applyAlignment="1">
      <alignment horizontal="center"/>
    </xf>
    <xf numFmtId="179" fontId="4" fillId="35" borderId="133" xfId="0" applyNumberFormat="1" applyFont="1" applyFill="1" applyBorder="1"/>
    <xf numFmtId="40" fontId="4" fillId="35" borderId="133" xfId="0" applyNumberFormat="1" applyFont="1" applyFill="1" applyBorder="1"/>
    <xf numFmtId="38" fontId="4" fillId="35" borderId="112" xfId="0" applyNumberFormat="1" applyFont="1" applyFill="1" applyBorder="1"/>
    <xf numFmtId="38" fontId="4" fillId="35" borderId="115" xfId="0" applyNumberFormat="1" applyFont="1" applyFill="1" applyBorder="1"/>
    <xf numFmtId="0" fontId="0" fillId="48" borderId="0" xfId="0" applyNumberFormat="1" applyFill="1"/>
    <xf numFmtId="170" fontId="0" fillId="48" borderId="0" xfId="0" applyNumberFormat="1" applyFill="1"/>
    <xf numFmtId="38" fontId="0" fillId="48" borderId="0" xfId="0" applyNumberFormat="1" applyFill="1"/>
    <xf numFmtId="38" fontId="11" fillId="48" borderId="0" xfId="0" applyNumberFormat="1" applyFont="1" applyFill="1"/>
    <xf numFmtId="38" fontId="89" fillId="48" borderId="0" xfId="0" applyNumberFormat="1" applyFont="1" applyFill="1" applyBorder="1"/>
    <xf numFmtId="38" fontId="85" fillId="48" borderId="0" xfId="0" applyNumberFormat="1" applyFont="1" applyFill="1" applyBorder="1"/>
    <xf numFmtId="3" fontId="4" fillId="35" borderId="132" xfId="0" applyNumberFormat="1" applyFont="1" applyFill="1" applyBorder="1"/>
    <xf numFmtId="176" fontId="4" fillId="35" borderId="132" xfId="0" applyNumberFormat="1" applyFont="1" applyFill="1" applyBorder="1"/>
    <xf numFmtId="38" fontId="4" fillId="35" borderId="132" xfId="0" applyNumberFormat="1" applyFont="1" applyFill="1" applyBorder="1"/>
    <xf numFmtId="179" fontId="4" fillId="35" borderId="132" xfId="0" applyNumberFormat="1" applyFont="1" applyFill="1" applyBorder="1"/>
    <xf numFmtId="0" fontId="4" fillId="35" borderId="132" xfId="0" applyNumberFormat="1" applyFont="1" applyFill="1" applyBorder="1"/>
    <xf numFmtId="0" fontId="4" fillId="35" borderId="132" xfId="0" applyNumberFormat="1" applyFont="1" applyFill="1" applyBorder="1" applyAlignment="1">
      <alignment horizontal="center"/>
    </xf>
    <xf numFmtId="0" fontId="143" fillId="44" borderId="112" xfId="0" applyNumberFormat="1" applyFont="1" applyFill="1" applyBorder="1"/>
    <xf numFmtId="176" fontId="143" fillId="44" borderId="112" xfId="0" applyNumberFormat="1" applyFont="1" applyFill="1" applyBorder="1"/>
    <xf numFmtId="3" fontId="143" fillId="44" borderId="112" xfId="0" applyNumberFormat="1" applyFont="1" applyFill="1" applyBorder="1"/>
    <xf numFmtId="38" fontId="143" fillId="44" borderId="112" xfId="0" applyNumberFormat="1" applyFont="1" applyFill="1" applyBorder="1"/>
    <xf numFmtId="3" fontId="4" fillId="45" borderId="132" xfId="0" applyNumberFormat="1" applyFont="1" applyFill="1" applyBorder="1"/>
    <xf numFmtId="176" fontId="4" fillId="45" borderId="132" xfId="0" applyNumberFormat="1" applyFont="1" applyFill="1" applyBorder="1"/>
    <xf numFmtId="38" fontId="4" fillId="45" borderId="132" xfId="0" applyNumberFormat="1" applyFont="1" applyFill="1" applyBorder="1"/>
    <xf numFmtId="179" fontId="4" fillId="45" borderId="132" xfId="0" applyNumberFormat="1" applyFont="1" applyFill="1" applyBorder="1"/>
    <xf numFmtId="0" fontId="4" fillId="45" borderId="132" xfId="0" applyNumberFormat="1" applyFont="1" applyFill="1" applyBorder="1"/>
    <xf numFmtId="0" fontId="4" fillId="45" borderId="132" xfId="0" applyNumberFormat="1" applyFont="1" applyFill="1" applyBorder="1" applyAlignment="1">
      <alignment horizontal="center"/>
    </xf>
    <xf numFmtId="38" fontId="4" fillId="35" borderId="112" xfId="0" applyNumberFormat="1" applyFont="1" applyFill="1" applyBorder="1" applyAlignment="1">
      <alignment horizontal="center"/>
    </xf>
    <xf numFmtId="176" fontId="4" fillId="35" borderId="112" xfId="0" applyNumberFormat="1" applyFont="1" applyFill="1" applyBorder="1"/>
    <xf numFmtId="179" fontId="4" fillId="35" borderId="112" xfId="0" applyNumberFormat="1" applyFont="1" applyFill="1" applyBorder="1"/>
    <xf numFmtId="176" fontId="4" fillId="40" borderId="132" xfId="0" applyNumberFormat="1" applyFont="1" applyFill="1" applyBorder="1"/>
    <xf numFmtId="179" fontId="4" fillId="40" borderId="132" xfId="0" applyNumberFormat="1" applyFont="1" applyFill="1" applyBorder="1"/>
    <xf numFmtId="0" fontId="4" fillId="40" borderId="132" xfId="0" applyNumberFormat="1" applyFont="1" applyFill="1" applyBorder="1"/>
    <xf numFmtId="0" fontId="4" fillId="40" borderId="132" xfId="0" applyNumberFormat="1" applyFont="1" applyFill="1" applyBorder="1" applyAlignment="1">
      <alignment horizontal="center"/>
    </xf>
    <xf numFmtId="0" fontId="4" fillId="45" borderId="112" xfId="0" applyNumberFormat="1" applyFont="1" applyFill="1" applyBorder="1"/>
    <xf numFmtId="0" fontId="4" fillId="45" borderId="112" xfId="0" applyNumberFormat="1" applyFont="1" applyFill="1" applyBorder="1" applyAlignment="1">
      <alignment horizontal="center"/>
    </xf>
    <xf numFmtId="38" fontId="4" fillId="45" borderId="112" xfId="0" applyNumberFormat="1" applyFont="1" applyFill="1" applyBorder="1" applyAlignment="1">
      <alignment horizontal="center"/>
    </xf>
    <xf numFmtId="3" fontId="4" fillId="45" borderId="112" xfId="0" applyNumberFormat="1" applyFont="1" applyFill="1" applyBorder="1"/>
    <xf numFmtId="176" fontId="4" fillId="45" borderId="112" xfId="0" applyNumberFormat="1" applyFont="1" applyFill="1" applyBorder="1"/>
    <xf numFmtId="38" fontId="4" fillId="45" borderId="112" xfId="0" applyNumberFormat="1" applyFont="1" applyFill="1" applyBorder="1"/>
    <xf numFmtId="179" fontId="4" fillId="45" borderId="112" xfId="0" applyNumberFormat="1" applyFont="1" applyFill="1" applyBorder="1"/>
    <xf numFmtId="3" fontId="4" fillId="46" borderId="132" xfId="0" applyNumberFormat="1" applyFont="1" applyFill="1" applyBorder="1"/>
    <xf numFmtId="176" fontId="4" fillId="46" borderId="132" xfId="0" applyNumberFormat="1" applyFont="1" applyFill="1" applyBorder="1"/>
    <xf numFmtId="38" fontId="4" fillId="46" borderId="132" xfId="0" applyNumberFormat="1" applyFont="1" applyFill="1" applyBorder="1"/>
    <xf numFmtId="179" fontId="4" fillId="46" borderId="132" xfId="0" applyNumberFormat="1" applyFont="1" applyFill="1" applyBorder="1"/>
    <xf numFmtId="0" fontId="4" fillId="46" borderId="132" xfId="0" applyNumberFormat="1" applyFont="1" applyFill="1" applyBorder="1"/>
    <xf numFmtId="0" fontId="4" fillId="46" borderId="132" xfId="0" applyNumberFormat="1" applyFont="1" applyFill="1" applyBorder="1" applyAlignment="1">
      <alignment horizontal="center"/>
    </xf>
    <xf numFmtId="0" fontId="4" fillId="40" borderId="112" xfId="0" applyNumberFormat="1" applyFont="1" applyFill="1" applyBorder="1"/>
    <xf numFmtId="0" fontId="4" fillId="40" borderId="112" xfId="0" applyNumberFormat="1" applyFont="1" applyFill="1" applyBorder="1" applyAlignment="1">
      <alignment horizontal="center"/>
    </xf>
    <xf numFmtId="38" fontId="4" fillId="40" borderId="112" xfId="0" applyNumberFormat="1" applyFont="1" applyFill="1" applyBorder="1" applyAlignment="1">
      <alignment horizontal="center"/>
    </xf>
    <xf numFmtId="176" fontId="4" fillId="40" borderId="112" xfId="0" applyNumberFormat="1" applyFont="1" applyFill="1" applyBorder="1"/>
    <xf numFmtId="38" fontId="4" fillId="40" borderId="112" xfId="0" applyNumberFormat="1" applyFont="1" applyFill="1" applyBorder="1"/>
    <xf numFmtId="179" fontId="4" fillId="40" borderId="112" xfId="0" applyNumberFormat="1" applyFont="1" applyFill="1" applyBorder="1"/>
    <xf numFmtId="3" fontId="4" fillId="47" borderId="132" xfId="0" applyNumberFormat="1" applyFont="1" applyFill="1" applyBorder="1"/>
    <xf numFmtId="176" fontId="4" fillId="47" borderId="132" xfId="0" applyNumberFormat="1" applyFont="1" applyFill="1" applyBorder="1"/>
    <xf numFmtId="38" fontId="4" fillId="47" borderId="132" xfId="0" applyNumberFormat="1" applyFont="1" applyFill="1" applyBorder="1"/>
    <xf numFmtId="179" fontId="4" fillId="47" borderId="132" xfId="0" applyNumberFormat="1" applyFont="1" applyFill="1" applyBorder="1"/>
    <xf numFmtId="0" fontId="4" fillId="47" borderId="132" xfId="0" applyNumberFormat="1" applyFont="1" applyFill="1" applyBorder="1"/>
    <xf numFmtId="0" fontId="4" fillId="47" borderId="132" xfId="0" applyNumberFormat="1" applyFont="1" applyFill="1" applyBorder="1" applyAlignment="1">
      <alignment horizontal="center"/>
    </xf>
    <xf numFmtId="0" fontId="4" fillId="46" borderId="112" xfId="0" applyNumberFormat="1" applyFont="1" applyFill="1" applyBorder="1"/>
    <xf numFmtId="0" fontId="4" fillId="46" borderId="112" xfId="0" applyNumberFormat="1" applyFont="1" applyFill="1" applyBorder="1" applyAlignment="1">
      <alignment horizontal="center"/>
    </xf>
    <xf numFmtId="38" fontId="4" fillId="46" borderId="112" xfId="0" applyNumberFormat="1" applyFont="1" applyFill="1" applyBorder="1" applyAlignment="1">
      <alignment horizontal="center"/>
    </xf>
    <xf numFmtId="3" fontId="4" fillId="46" borderId="112" xfId="0" applyNumberFormat="1" applyFont="1" applyFill="1" applyBorder="1"/>
    <xf numFmtId="176" fontId="4" fillId="46" borderId="112" xfId="0" applyNumberFormat="1" applyFont="1" applyFill="1" applyBorder="1"/>
    <xf numFmtId="38" fontId="4" fillId="46" borderId="112" xfId="0" applyNumberFormat="1" applyFont="1" applyFill="1" applyBorder="1"/>
    <xf numFmtId="179" fontId="4" fillId="46" borderId="112" xfId="0" applyNumberFormat="1" applyFont="1" applyFill="1" applyBorder="1"/>
    <xf numFmtId="37" fontId="93" fillId="24" borderId="3" xfId="0" applyNumberFormat="1" applyFont="1" applyFill="1" applyBorder="1"/>
    <xf numFmtId="176" fontId="93" fillId="24" borderId="3" xfId="0" applyNumberFormat="1" applyFont="1" applyFill="1" applyBorder="1"/>
    <xf numFmtId="176" fontId="113" fillId="24" borderId="3" xfId="0" applyNumberFormat="1" applyFont="1" applyFill="1" applyBorder="1"/>
    <xf numFmtId="168" fontId="93" fillId="24" borderId="3" xfId="0" applyNumberFormat="1" applyFont="1" applyFill="1" applyBorder="1"/>
    <xf numFmtId="38" fontId="93" fillId="24" borderId="3" xfId="0" applyNumberFormat="1" applyFont="1" applyFill="1" applyBorder="1"/>
    <xf numFmtId="40" fontId="27" fillId="24" borderId="3" xfId="0" applyNumberFormat="1" applyFont="1" applyFill="1" applyBorder="1"/>
    <xf numFmtId="38" fontId="93" fillId="24" borderId="12" xfId="0" applyNumberFormat="1" applyFont="1" applyFill="1" applyBorder="1"/>
    <xf numFmtId="38" fontId="93" fillId="24" borderId="135" xfId="0" applyNumberFormat="1" applyFont="1" applyFill="1" applyBorder="1"/>
    <xf numFmtId="38" fontId="93" fillId="24" borderId="12" xfId="0" applyNumberFormat="1" applyFont="1" applyFill="1" applyBorder="1" applyAlignment="1" applyProtection="1">
      <alignment horizontal="center"/>
      <protection locked="0"/>
    </xf>
    <xf numFmtId="0" fontId="4" fillId="47" borderId="112" xfId="0" applyNumberFormat="1" applyFont="1" applyFill="1" applyBorder="1"/>
    <xf numFmtId="0" fontId="4" fillId="47" borderId="112" xfId="0" applyNumberFormat="1" applyFont="1" applyFill="1" applyBorder="1" applyAlignment="1">
      <alignment horizontal="center"/>
    </xf>
    <xf numFmtId="38" fontId="4" fillId="47" borderId="112" xfId="0" applyNumberFormat="1" applyFont="1" applyFill="1" applyBorder="1" applyAlignment="1">
      <alignment horizontal="center"/>
    </xf>
    <xf numFmtId="37" fontId="133" fillId="8" borderId="136" xfId="0" applyNumberFormat="1" applyFont="1" applyFill="1" applyBorder="1"/>
    <xf numFmtId="176" fontId="133" fillId="8" borderId="136" xfId="0" applyNumberFormat="1" applyFont="1" applyFill="1" applyBorder="1"/>
    <xf numFmtId="37" fontId="133" fillId="8" borderId="136" xfId="0" applyNumberFormat="1" applyFont="1" applyFill="1" applyBorder="1" applyAlignment="1">
      <alignment horizontal="center"/>
    </xf>
    <xf numFmtId="168" fontId="133" fillId="8" borderId="136" xfId="0" applyNumberFormat="1" applyFont="1" applyFill="1" applyBorder="1"/>
    <xf numFmtId="38" fontId="133" fillId="8" borderId="136" xfId="0" applyNumberFormat="1" applyFont="1" applyFill="1" applyBorder="1"/>
    <xf numFmtId="40" fontId="133" fillId="8" borderId="136" xfId="0" applyNumberFormat="1" applyFont="1" applyFill="1" applyBorder="1"/>
    <xf numFmtId="176" fontId="31" fillId="2" borderId="136" xfId="0" applyNumberFormat="1" applyFont="1" applyBorder="1"/>
    <xf numFmtId="37" fontId="128" fillId="8" borderId="136" xfId="0" applyNumberFormat="1" applyFont="1" applyFill="1" applyBorder="1"/>
    <xf numFmtId="168" fontId="128" fillId="8" borderId="136" xfId="0" applyNumberFormat="1" applyFont="1" applyFill="1" applyBorder="1"/>
    <xf numFmtId="38" fontId="128" fillId="8" borderId="136" xfId="0" applyNumberFormat="1" applyFont="1" applyFill="1" applyBorder="1"/>
    <xf numFmtId="176" fontId="128" fillId="8" borderId="136" xfId="0" applyNumberFormat="1" applyFont="1" applyFill="1" applyBorder="1"/>
    <xf numFmtId="40" fontId="128" fillId="8" borderId="136" xfId="0" applyNumberFormat="1" applyFont="1" applyFill="1" applyBorder="1"/>
    <xf numFmtId="0" fontId="4" fillId="2" borderId="112" xfId="0" applyNumberFormat="1" applyFont="1" applyBorder="1"/>
    <xf numFmtId="0" fontId="4" fillId="2" borderId="112" xfId="0" applyNumberFormat="1" applyFont="1" applyBorder="1" applyAlignment="1">
      <alignment horizontal="center"/>
    </xf>
    <xf numFmtId="38" fontId="4" fillId="2" borderId="112" xfId="0" applyNumberFormat="1" applyFont="1" applyBorder="1" applyAlignment="1">
      <alignment horizontal="center"/>
    </xf>
    <xf numFmtId="3" fontId="4" fillId="2" borderId="133" xfId="0" applyNumberFormat="1" applyFont="1" applyBorder="1"/>
    <xf numFmtId="176" fontId="4" fillId="2" borderId="133" xfId="0" applyNumberFormat="1" applyFont="1" applyBorder="1"/>
    <xf numFmtId="38" fontId="4" fillId="2" borderId="133" xfId="0" applyNumberFormat="1" applyFont="1" applyBorder="1"/>
    <xf numFmtId="38" fontId="4" fillId="2" borderId="112" xfId="0" applyNumberFormat="1" applyFont="1" applyBorder="1"/>
    <xf numFmtId="38" fontId="4" fillId="2" borderId="133" xfId="0" applyNumberFormat="1" applyFont="1" applyBorder="1" applyAlignment="1">
      <alignment horizontal="center"/>
    </xf>
    <xf numFmtId="3" fontId="4" fillId="2" borderId="112" xfId="0" applyNumberFormat="1" applyFont="1" applyBorder="1"/>
    <xf numFmtId="3" fontId="4" fillId="2" borderId="115" xfId="0" applyNumberFormat="1" applyFont="1" applyBorder="1"/>
    <xf numFmtId="38" fontId="4" fillId="2" borderId="115" xfId="0" applyNumberFormat="1" applyFont="1" applyBorder="1"/>
    <xf numFmtId="37" fontId="143" fillId="27" borderId="136" xfId="0" applyNumberFormat="1" applyFont="1" applyFill="1" applyBorder="1"/>
    <xf numFmtId="176" fontId="143" fillId="27" borderId="136" xfId="0" applyNumberFormat="1" applyFont="1" applyFill="1" applyBorder="1"/>
    <xf numFmtId="37" fontId="143" fillId="27" borderId="136" xfId="0" applyNumberFormat="1" applyFont="1" applyFill="1" applyBorder="1" applyAlignment="1">
      <alignment horizontal="center"/>
    </xf>
    <xf numFmtId="168" fontId="143" fillId="27" borderId="136" xfId="0" applyNumberFormat="1" applyFont="1" applyFill="1" applyBorder="1"/>
    <xf numFmtId="38" fontId="143" fillId="27" borderId="136" xfId="0" applyNumberFormat="1" applyFont="1" applyFill="1" applyBorder="1"/>
    <xf numFmtId="40" fontId="143" fillId="27" borderId="136" xfId="0" applyNumberFormat="1" applyFont="1" applyFill="1" applyBorder="1"/>
    <xf numFmtId="0" fontId="128" fillId="27" borderId="112" xfId="0" applyNumberFormat="1" applyFont="1" applyFill="1" applyBorder="1"/>
    <xf numFmtId="37" fontId="128" fillId="27" borderId="136" xfId="0" applyNumberFormat="1" applyFont="1" applyFill="1" applyBorder="1"/>
    <xf numFmtId="168" fontId="128" fillId="27" borderId="136" xfId="0" applyNumberFormat="1" applyFont="1" applyFill="1" applyBorder="1"/>
    <xf numFmtId="38" fontId="128" fillId="27" borderId="136" xfId="0" applyNumberFormat="1" applyFont="1" applyFill="1" applyBorder="1"/>
    <xf numFmtId="176" fontId="128" fillId="27" borderId="136" xfId="0" applyNumberFormat="1" applyFont="1" applyFill="1" applyBorder="1"/>
    <xf numFmtId="40" fontId="128" fillId="27" borderId="136" xfId="0" applyNumberFormat="1" applyFont="1" applyFill="1" applyBorder="1"/>
    <xf numFmtId="38" fontId="128" fillId="27" borderId="114" xfId="0" applyNumberFormat="1" applyFont="1" applyFill="1" applyBorder="1"/>
    <xf numFmtId="38" fontId="128" fillId="27" borderId="112" xfId="0" applyNumberFormat="1" applyFont="1" applyFill="1" applyBorder="1"/>
    <xf numFmtId="38" fontId="128" fillId="27" borderId="115" xfId="0" applyNumberFormat="1" applyFont="1" applyFill="1" applyBorder="1"/>
    <xf numFmtId="37" fontId="143" fillId="28" borderId="136" xfId="0" applyNumberFormat="1" applyFont="1" applyFill="1" applyBorder="1"/>
    <xf numFmtId="176" fontId="143" fillId="28" borderId="136" xfId="0" applyNumberFormat="1" applyFont="1" applyFill="1" applyBorder="1"/>
    <xf numFmtId="37" fontId="143" fillId="28" borderId="136" xfId="0" applyNumberFormat="1" applyFont="1" applyFill="1" applyBorder="1" applyAlignment="1">
      <alignment horizontal="center"/>
    </xf>
    <xf numFmtId="168" fontId="143" fillId="28" borderId="136" xfId="0" applyNumberFormat="1" applyFont="1" applyFill="1" applyBorder="1"/>
    <xf numFmtId="38" fontId="143" fillId="28" borderId="136" xfId="0" applyNumberFormat="1" applyFont="1" applyFill="1" applyBorder="1"/>
    <xf numFmtId="40" fontId="143" fillId="28" borderId="136" xfId="0" applyNumberFormat="1" applyFont="1" applyFill="1" applyBorder="1"/>
    <xf numFmtId="0" fontId="128" fillId="28" borderId="112" xfId="0" applyNumberFormat="1" applyFont="1" applyFill="1" applyBorder="1"/>
    <xf numFmtId="37" fontId="128" fillId="28" borderId="136" xfId="0" applyNumberFormat="1" applyFont="1" applyFill="1" applyBorder="1"/>
    <xf numFmtId="168" fontId="128" fillId="28" borderId="136" xfId="0" applyNumberFormat="1" applyFont="1" applyFill="1" applyBorder="1"/>
    <xf numFmtId="38" fontId="128" fillId="28" borderId="136" xfId="0" applyNumberFormat="1" applyFont="1" applyFill="1" applyBorder="1"/>
    <xf numFmtId="176" fontId="128" fillId="28" borderId="136" xfId="0" applyNumberFormat="1" applyFont="1" applyFill="1" applyBorder="1"/>
    <xf numFmtId="40" fontId="128" fillId="28" borderId="136" xfId="0" applyNumberFormat="1" applyFont="1" applyFill="1" applyBorder="1"/>
    <xf numFmtId="176" fontId="31" fillId="28" borderId="136" xfId="0" applyNumberFormat="1" applyFont="1" applyFill="1" applyBorder="1"/>
    <xf numFmtId="38" fontId="128" fillId="28" borderId="114" xfId="0" applyNumberFormat="1" applyFont="1" applyFill="1" applyBorder="1"/>
    <xf numFmtId="38" fontId="128" fillId="28" borderId="112" xfId="0" applyNumberFormat="1" applyFont="1" applyFill="1" applyBorder="1"/>
    <xf numFmtId="38" fontId="128" fillId="28" borderId="115" xfId="0" applyNumberFormat="1" applyFont="1" applyFill="1" applyBorder="1"/>
    <xf numFmtId="0" fontId="134" fillId="20" borderId="112" xfId="0" applyNumberFormat="1" applyFont="1" applyFill="1" applyBorder="1"/>
    <xf numFmtId="0" fontId="134" fillId="20" borderId="112" xfId="0" applyNumberFormat="1" applyFont="1" applyFill="1" applyBorder="1" applyAlignment="1">
      <alignment horizontal="center"/>
    </xf>
    <xf numFmtId="38" fontId="134" fillId="20" borderId="112" xfId="0" quotePrefix="1" applyNumberFormat="1" applyFont="1" applyFill="1" applyBorder="1" applyAlignment="1">
      <alignment horizontal="center"/>
    </xf>
    <xf numFmtId="0" fontId="134" fillId="20" borderId="112" xfId="0" quotePrefix="1" applyNumberFormat="1" applyFont="1" applyFill="1" applyBorder="1" applyAlignment="1">
      <alignment horizontal="center"/>
    </xf>
    <xf numFmtId="37" fontId="134" fillId="20" borderId="136" xfId="0" applyNumberFormat="1" applyFont="1" applyFill="1" applyBorder="1"/>
    <xf numFmtId="176" fontId="134" fillId="20" borderId="136" xfId="0" applyNumberFormat="1" applyFont="1" applyFill="1" applyBorder="1"/>
    <xf numFmtId="37" fontId="134" fillId="20" borderId="136" xfId="0" applyNumberFormat="1" applyFont="1" applyFill="1" applyBorder="1" applyAlignment="1">
      <alignment horizontal="center"/>
    </xf>
    <xf numFmtId="168" fontId="134" fillId="20" borderId="136" xfId="0" applyNumberFormat="1" applyFont="1" applyFill="1" applyBorder="1"/>
    <xf numFmtId="38" fontId="134" fillId="20" borderId="136" xfId="0" applyNumberFormat="1" applyFont="1" applyFill="1" applyBorder="1"/>
    <xf numFmtId="40" fontId="134" fillId="20" borderId="136" xfId="0" applyNumberFormat="1" applyFont="1" applyFill="1" applyBorder="1"/>
    <xf numFmtId="38" fontId="134" fillId="20" borderId="114" xfId="0" applyNumberFormat="1" applyFont="1" applyFill="1" applyBorder="1"/>
    <xf numFmtId="38" fontId="134" fillId="20" borderId="112" xfId="0" applyNumberFormat="1" applyFont="1" applyFill="1" applyBorder="1"/>
    <xf numFmtId="38" fontId="134" fillId="20" borderId="115" xfId="0" applyNumberFormat="1" applyFont="1" applyFill="1" applyBorder="1"/>
    <xf numFmtId="0" fontId="134" fillId="19" borderId="112" xfId="0" applyNumberFormat="1" applyFont="1" applyFill="1" applyBorder="1"/>
    <xf numFmtId="38" fontId="134" fillId="19" borderId="112" xfId="0" applyNumberFormat="1" applyFont="1" applyFill="1" applyBorder="1"/>
    <xf numFmtId="37" fontId="134" fillId="33" borderId="136" xfId="0" applyNumberFormat="1" applyFont="1" applyFill="1" applyBorder="1"/>
    <xf numFmtId="176" fontId="134" fillId="33" borderId="136" xfId="0" applyNumberFormat="1" applyFont="1" applyFill="1" applyBorder="1"/>
    <xf numFmtId="37" fontId="134" fillId="33" borderId="136" xfId="0" applyNumberFormat="1" applyFont="1" applyFill="1" applyBorder="1" applyAlignment="1">
      <alignment horizontal="center"/>
    </xf>
    <xf numFmtId="168" fontId="134" fillId="33" borderId="136" xfId="0" applyNumberFormat="1" applyFont="1" applyFill="1" applyBorder="1"/>
    <xf numFmtId="38" fontId="134" fillId="33" borderId="136" xfId="0" applyNumberFormat="1" applyFont="1" applyFill="1" applyBorder="1"/>
    <xf numFmtId="40" fontId="134" fillId="33" borderId="136" xfId="0" applyNumberFormat="1" applyFont="1" applyFill="1" applyBorder="1"/>
    <xf numFmtId="176" fontId="31" fillId="33" borderId="136" xfId="0" applyNumberFormat="1" applyFont="1" applyFill="1" applyBorder="1"/>
    <xf numFmtId="38" fontId="4" fillId="47" borderId="133" xfId="0" applyNumberFormat="1" applyFont="1" applyFill="1" applyBorder="1"/>
    <xf numFmtId="179" fontId="4" fillId="47" borderId="133" xfId="0" applyNumberFormat="1" applyFont="1" applyFill="1" applyBorder="1"/>
    <xf numFmtId="3" fontId="4" fillId="47" borderId="133" xfId="0" applyNumberFormat="1" applyFont="1" applyFill="1" applyBorder="1"/>
    <xf numFmtId="38" fontId="4" fillId="47" borderId="112" xfId="0" applyNumberFormat="1" applyFont="1" applyFill="1" applyBorder="1"/>
    <xf numFmtId="38" fontId="4" fillId="47" borderId="133" xfId="0" applyNumberFormat="1" applyFont="1" applyFill="1" applyBorder="1" applyAlignment="1">
      <alignment horizontal="center"/>
    </xf>
    <xf numFmtId="176" fontId="4" fillId="47" borderId="133" xfId="0" applyNumberFormat="1" applyFont="1" applyFill="1" applyBorder="1"/>
    <xf numFmtId="0" fontId="4" fillId="47" borderId="133" xfId="0" applyNumberFormat="1" applyFont="1" applyFill="1" applyBorder="1"/>
    <xf numFmtId="38" fontId="4" fillId="47" borderId="115" xfId="0" applyNumberFormat="1" applyFont="1" applyFill="1" applyBorder="1"/>
    <xf numFmtId="3" fontId="0" fillId="37" borderId="0" xfId="0" applyNumberFormat="1" applyFill="1"/>
    <xf numFmtId="0" fontId="231" fillId="41" borderId="137" xfId="0" applyNumberFormat="1" applyFont="1" applyFill="1" applyBorder="1"/>
    <xf numFmtId="0" fontId="228" fillId="41" borderId="138" xfId="0" applyNumberFormat="1" applyFont="1" applyFill="1" applyBorder="1"/>
    <xf numFmtId="0" fontId="228" fillId="41" borderId="132" xfId="0" applyNumberFormat="1" applyFont="1" applyFill="1" applyBorder="1" applyAlignment="1">
      <alignment horizontal="right"/>
    </xf>
    <xf numFmtId="0" fontId="91" fillId="33" borderId="0" xfId="0" applyNumberFormat="1" applyFont="1" applyFill="1"/>
    <xf numFmtId="0" fontId="91" fillId="8" borderId="112" xfId="0" applyNumberFormat="1" applyFont="1" applyFill="1" applyBorder="1"/>
    <xf numFmtId="0" fontId="9" fillId="19" borderId="9" xfId="0" quotePrefix="1" applyNumberFormat="1" applyFont="1" applyFill="1" applyBorder="1" applyAlignment="1">
      <alignment horizontal="center"/>
    </xf>
    <xf numFmtId="0" fontId="9" fillId="19" borderId="114" xfId="0" quotePrefix="1" applyNumberFormat="1" applyFont="1" applyFill="1" applyBorder="1" applyAlignment="1">
      <alignment horizontal="center"/>
    </xf>
    <xf numFmtId="0" fontId="63" fillId="33" borderId="0" xfId="0" applyNumberFormat="1" applyFont="1" applyFill="1" applyAlignment="1">
      <alignment horizontal="center"/>
    </xf>
    <xf numFmtId="0" fontId="4" fillId="43" borderId="139" xfId="0" applyNumberFormat="1" applyFont="1" applyFill="1" applyBorder="1"/>
    <xf numFmtId="0" fontId="63" fillId="43" borderId="0" xfId="0" applyNumberFormat="1" applyFont="1" applyFill="1"/>
    <xf numFmtId="179" fontId="63" fillId="43" borderId="0" xfId="0" applyNumberFormat="1" applyFont="1" applyFill="1"/>
    <xf numFmtId="37" fontId="63" fillId="43" borderId="0" xfId="0" applyNumberFormat="1" applyFont="1" applyFill="1" applyBorder="1"/>
    <xf numFmtId="0" fontId="4" fillId="43" borderId="130" xfId="0" applyNumberFormat="1" applyFont="1" applyFill="1" applyBorder="1"/>
    <xf numFmtId="37" fontId="91" fillId="33" borderId="0" xfId="0" applyNumberFormat="1" applyFont="1" applyFill="1" applyBorder="1"/>
    <xf numFmtId="37" fontId="91" fillId="8" borderId="112" xfId="0" applyNumberFormat="1" applyFont="1" applyFill="1" applyBorder="1"/>
    <xf numFmtId="0" fontId="91" fillId="8" borderId="0" xfId="0" applyNumberFormat="1" applyFont="1" applyFill="1"/>
    <xf numFmtId="0" fontId="181" fillId="19" borderId="132" xfId="0" quotePrefix="1" applyNumberFormat="1" applyFont="1" applyFill="1" applyBorder="1" applyAlignment="1">
      <alignment horizontal="center"/>
    </xf>
    <xf numFmtId="0" fontId="4" fillId="41" borderId="112" xfId="0" applyNumberFormat="1" applyFont="1" applyFill="1" applyBorder="1" applyAlignment="1">
      <alignment horizontal="center"/>
    </xf>
    <xf numFmtId="0" fontId="4" fillId="41" borderId="140" xfId="0" applyNumberFormat="1" applyFont="1" applyFill="1" applyBorder="1"/>
    <xf numFmtId="0" fontId="4" fillId="41" borderId="112" xfId="0" applyNumberFormat="1" applyFont="1" applyFill="1" applyBorder="1"/>
    <xf numFmtId="0" fontId="4" fillId="41" borderId="133" xfId="0" applyNumberFormat="1" applyFont="1" applyFill="1" applyBorder="1"/>
    <xf numFmtId="0" fontId="181" fillId="35" borderId="119" xfId="0" quotePrefix="1" applyNumberFormat="1" applyFont="1" applyFill="1" applyBorder="1" applyAlignment="1">
      <alignment horizontal="center"/>
    </xf>
    <xf numFmtId="176" fontId="134" fillId="35" borderId="3" xfId="0" applyNumberFormat="1" applyFont="1" applyFill="1" applyBorder="1" applyProtection="1"/>
    <xf numFmtId="37" fontId="134" fillId="35" borderId="3" xfId="0" applyNumberFormat="1" applyFont="1" applyFill="1" applyBorder="1" applyProtection="1"/>
    <xf numFmtId="37" fontId="134" fillId="35" borderId="3" xfId="0" applyNumberFormat="1" applyFont="1" applyFill="1" applyBorder="1"/>
    <xf numFmtId="37" fontId="134" fillId="35" borderId="0" xfId="0" applyNumberFormat="1" applyFont="1" applyFill="1"/>
    <xf numFmtId="179" fontId="134" fillId="35" borderId="3" xfId="0" applyNumberFormat="1" applyFont="1" applyFill="1" applyBorder="1"/>
    <xf numFmtId="179" fontId="134" fillId="35" borderId="0" xfId="0" applyNumberFormat="1" applyFont="1" applyFill="1"/>
    <xf numFmtId="37" fontId="134" fillId="35" borderId="12" xfId="0" applyNumberFormat="1" applyFont="1" applyFill="1" applyBorder="1"/>
    <xf numFmtId="0" fontId="181" fillId="35" borderId="9" xfId="0" quotePrefix="1" applyNumberFormat="1" applyFont="1" applyFill="1" applyBorder="1" applyAlignment="1">
      <alignment horizontal="center"/>
    </xf>
    <xf numFmtId="176" fontId="134" fillId="35" borderId="2" xfId="0" applyNumberFormat="1" applyFont="1" applyFill="1" applyBorder="1" applyProtection="1"/>
    <xf numFmtId="37" fontId="134" fillId="35" borderId="2" xfId="0" applyNumberFormat="1" applyFont="1" applyFill="1" applyBorder="1" applyProtection="1"/>
    <xf numFmtId="179" fontId="134" fillId="35" borderId="2" xfId="0" applyNumberFormat="1" applyFont="1" applyFill="1" applyBorder="1"/>
    <xf numFmtId="37" fontId="134" fillId="35" borderId="9" xfId="0" applyNumberFormat="1" applyFont="1" applyFill="1" applyBorder="1"/>
    <xf numFmtId="0" fontId="134" fillId="49" borderId="0" xfId="0" applyNumberFormat="1" applyFont="1" applyFill="1"/>
    <xf numFmtId="0" fontId="181" fillId="49" borderId="119" xfId="0" quotePrefix="1" applyNumberFormat="1" applyFont="1" applyFill="1" applyBorder="1" applyAlignment="1">
      <alignment horizontal="center"/>
    </xf>
    <xf numFmtId="0" fontId="27" fillId="49" borderId="0" xfId="0" applyNumberFormat="1" applyFont="1" applyFill="1" applyAlignment="1">
      <alignment horizontal="center"/>
    </xf>
    <xf numFmtId="0" fontId="134" fillId="49" borderId="0" xfId="0" applyNumberFormat="1" applyFont="1" applyFill="1" applyAlignment="1">
      <alignment horizontal="center"/>
    </xf>
    <xf numFmtId="176" fontId="134" fillId="49" borderId="3" xfId="0" applyNumberFormat="1" applyFont="1" applyFill="1" applyBorder="1" applyProtection="1"/>
    <xf numFmtId="37" fontId="134" fillId="49" borderId="3" xfId="0" applyNumberFormat="1" applyFont="1" applyFill="1" applyBorder="1" applyProtection="1"/>
    <xf numFmtId="37" fontId="134" fillId="49" borderId="3" xfId="0" applyNumberFormat="1" applyFont="1" applyFill="1" applyBorder="1"/>
    <xf numFmtId="37" fontId="134" fillId="49" borderId="0" xfId="0" applyNumberFormat="1" applyFont="1" applyFill="1"/>
    <xf numFmtId="179" fontId="134" fillId="49" borderId="3" xfId="0" applyNumberFormat="1" applyFont="1" applyFill="1" applyBorder="1"/>
    <xf numFmtId="179" fontId="134" fillId="49" borderId="0" xfId="0" applyNumberFormat="1" applyFont="1" applyFill="1"/>
    <xf numFmtId="37" fontId="134" fillId="49" borderId="0" xfId="0" applyNumberFormat="1" applyFont="1" applyFill="1" applyBorder="1"/>
    <xf numFmtId="37" fontId="134" fillId="49" borderId="12" xfId="0" applyNumberFormat="1" applyFont="1" applyFill="1" applyBorder="1"/>
    <xf numFmtId="37" fontId="134" fillId="49" borderId="0" xfId="0" applyNumberFormat="1" applyFont="1" applyFill="1" applyBorder="1" applyAlignment="1">
      <alignment horizontal="center"/>
    </xf>
    <xf numFmtId="0" fontId="181" fillId="49" borderId="9" xfId="0" quotePrefix="1" applyNumberFormat="1" applyFont="1" applyFill="1" applyBorder="1" applyAlignment="1">
      <alignment horizontal="center"/>
    </xf>
    <xf numFmtId="176" fontId="134" fillId="49" borderId="2" xfId="0" applyNumberFormat="1" applyFont="1" applyFill="1" applyBorder="1" applyProtection="1"/>
    <xf numFmtId="37" fontId="134" fillId="49" borderId="2" xfId="0" applyNumberFormat="1" applyFont="1" applyFill="1" applyBorder="1" applyProtection="1"/>
    <xf numFmtId="37" fontId="134" fillId="49" borderId="2" xfId="0" applyNumberFormat="1" applyFont="1" applyFill="1" applyBorder="1"/>
    <xf numFmtId="179" fontId="134" fillId="49" borderId="2" xfId="0" applyNumberFormat="1" applyFont="1" applyFill="1" applyBorder="1"/>
    <xf numFmtId="37" fontId="134" fillId="49" borderId="9" xfId="0" applyNumberFormat="1" applyFont="1" applyFill="1" applyBorder="1"/>
    <xf numFmtId="38" fontId="164" fillId="35" borderId="130" xfId="0" applyNumberFormat="1" applyFont="1" applyFill="1" applyBorder="1"/>
    <xf numFmtId="182" fontId="164" fillId="35" borderId="130" xfId="0" applyNumberFormat="1" applyFont="1" applyFill="1" applyBorder="1"/>
    <xf numFmtId="176" fontId="164" fillId="35" borderId="130" xfId="0" applyNumberFormat="1" applyFont="1" applyFill="1" applyBorder="1"/>
    <xf numFmtId="0" fontId="9" fillId="35" borderId="0" xfId="0" quotePrefix="1" applyNumberFormat="1" applyFont="1" applyFill="1" applyAlignment="1">
      <alignment horizontal="center"/>
    </xf>
    <xf numFmtId="0" fontId="4" fillId="35" borderId="0" xfId="0" applyNumberFormat="1" applyFont="1" applyFill="1" applyAlignment="1">
      <alignment horizontal="right"/>
    </xf>
    <xf numFmtId="176" fontId="11" fillId="35" borderId="2" xfId="0" applyNumberFormat="1" applyFont="1" applyFill="1" applyBorder="1"/>
    <xf numFmtId="0" fontId="11" fillId="35" borderId="134" xfId="0" applyNumberFormat="1" applyFont="1" applyFill="1" applyBorder="1" applyAlignment="1">
      <alignment horizontal="center"/>
    </xf>
    <xf numFmtId="176" fontId="11" fillId="35" borderId="130" xfId="0" applyNumberFormat="1" applyFont="1" applyFill="1" applyBorder="1"/>
    <xf numFmtId="0" fontId="4" fillId="35" borderId="137" xfId="0" applyNumberFormat="1" applyFont="1" applyFill="1" applyBorder="1"/>
    <xf numFmtId="0" fontId="11" fillId="35" borderId="144" xfId="0" applyNumberFormat="1" applyFont="1" applyFill="1" applyBorder="1" applyAlignment="1">
      <alignment horizontal="center"/>
    </xf>
    <xf numFmtId="0" fontId="4" fillId="35" borderId="131" xfId="0" applyNumberFormat="1" applyFont="1" applyFill="1" applyBorder="1"/>
    <xf numFmtId="0" fontId="4" fillId="35" borderId="145" xfId="0" applyNumberFormat="1" applyFont="1" applyFill="1" applyBorder="1"/>
    <xf numFmtId="0" fontId="4" fillId="35" borderId="141" xfId="0" applyNumberFormat="1" applyFont="1" applyFill="1" applyBorder="1"/>
    <xf numFmtId="0" fontId="4" fillId="35" borderId="36" xfId="0" applyNumberFormat="1" applyFont="1" applyFill="1" applyBorder="1"/>
    <xf numFmtId="0" fontId="4" fillId="35" borderId="142" xfId="0" applyNumberFormat="1" applyFont="1" applyFill="1" applyBorder="1"/>
    <xf numFmtId="0" fontId="4" fillId="35" borderId="143" xfId="0" applyNumberFormat="1" applyFont="1" applyFill="1" applyBorder="1"/>
    <xf numFmtId="0" fontId="164" fillId="35" borderId="112" xfId="0" applyNumberFormat="1" applyFont="1" applyFill="1" applyBorder="1" applyAlignment="1">
      <alignment horizontal="right"/>
    </xf>
    <xf numFmtId="14" fontId="164" fillId="35" borderId="112" xfId="0" applyNumberFormat="1" applyFont="1" applyFill="1" applyBorder="1" applyAlignment="1">
      <alignment horizontal="right"/>
    </xf>
    <xf numFmtId="0" fontId="164" fillId="35" borderId="112" xfId="0" applyNumberFormat="1" applyFont="1" applyFill="1" applyBorder="1"/>
    <xf numFmtId="0" fontId="166" fillId="35" borderId="0" xfId="0" applyNumberFormat="1" applyFont="1" applyFill="1" applyBorder="1"/>
    <xf numFmtId="0" fontId="166" fillId="35" borderId="112" xfId="0" applyNumberFormat="1" applyFont="1" applyFill="1" applyBorder="1"/>
    <xf numFmtId="0" fontId="31" fillId="35" borderId="0" xfId="0" applyNumberFormat="1" applyFont="1" applyFill="1" applyAlignment="1">
      <alignment horizontal="center"/>
    </xf>
    <xf numFmtId="0" fontId="112" fillId="35" borderId="12" xfId="0" quotePrefix="1" applyNumberFormat="1" applyFont="1" applyFill="1" applyBorder="1" applyAlignment="1">
      <alignment horizontal="center"/>
    </xf>
    <xf numFmtId="0" fontId="112" fillId="35" borderId="114" xfId="0" quotePrefix="1" applyNumberFormat="1" applyFont="1" applyFill="1" applyBorder="1" applyAlignment="1">
      <alignment horizontal="center"/>
    </xf>
    <xf numFmtId="0" fontId="164" fillId="35" borderId="0" xfId="0" applyNumberFormat="1" applyFont="1" applyFill="1" applyAlignment="1">
      <alignment horizontal="center"/>
    </xf>
    <xf numFmtId="0" fontId="164" fillId="35" borderId="112" xfId="0" applyNumberFormat="1" applyFont="1" applyFill="1" applyBorder="1" applyAlignment="1">
      <alignment horizontal="center"/>
    </xf>
    <xf numFmtId="37" fontId="164" fillId="35" borderId="3" xfId="0" applyNumberFormat="1" applyFont="1" applyFill="1" applyBorder="1" applyProtection="1">
      <protection locked="0"/>
    </xf>
    <xf numFmtId="37" fontId="164" fillId="35" borderId="113" xfId="0" applyNumberFormat="1" applyFont="1" applyFill="1" applyBorder="1" applyProtection="1">
      <protection locked="0"/>
    </xf>
    <xf numFmtId="37" fontId="164" fillId="35" borderId="0" xfId="0" applyNumberFormat="1" applyFont="1" applyFill="1" applyBorder="1" applyProtection="1">
      <protection locked="0"/>
    </xf>
    <xf numFmtId="37" fontId="164" fillId="35" borderId="112" xfId="0" applyNumberFormat="1" applyFont="1" applyFill="1" applyBorder="1" applyProtection="1">
      <protection locked="0"/>
    </xf>
    <xf numFmtId="37" fontId="164" fillId="35" borderId="3" xfId="0" applyNumberFormat="1" applyFont="1" applyFill="1" applyBorder="1" applyProtection="1"/>
    <xf numFmtId="37" fontId="164" fillId="35" borderId="113" xfId="0" applyNumberFormat="1" applyFont="1" applyFill="1" applyBorder="1" applyProtection="1"/>
    <xf numFmtId="37" fontId="147" fillId="35" borderId="3" xfId="0" applyNumberFormat="1" applyFont="1" applyFill="1" applyBorder="1" applyProtection="1"/>
    <xf numFmtId="37" fontId="164" fillId="35" borderId="12" xfId="0" applyNumberFormat="1" applyFont="1" applyFill="1" applyBorder="1" applyProtection="1"/>
    <xf numFmtId="37" fontId="164" fillId="35" borderId="114" xfId="0" applyNumberFormat="1" applyFont="1" applyFill="1" applyBorder="1" applyProtection="1"/>
    <xf numFmtId="168" fontId="164" fillId="35" borderId="3" xfId="0" applyNumberFormat="1" applyFont="1" applyFill="1" applyBorder="1" applyProtection="1"/>
    <xf numFmtId="168" fontId="164" fillId="35" borderId="113" xfId="0" applyNumberFormat="1" applyFont="1" applyFill="1" applyBorder="1" applyProtection="1"/>
    <xf numFmtId="176" fontId="164" fillId="35" borderId="12" xfId="0" applyNumberFormat="1" applyFont="1" applyFill="1" applyBorder="1"/>
    <xf numFmtId="176" fontId="164" fillId="35" borderId="114" xfId="0" applyNumberFormat="1" applyFont="1" applyFill="1" applyBorder="1"/>
    <xf numFmtId="176" fontId="164" fillId="35" borderId="0" xfId="0" applyNumberFormat="1" applyFont="1" applyFill="1" applyBorder="1"/>
    <xf numFmtId="176" fontId="164" fillId="35" borderId="112" xfId="0" applyNumberFormat="1" applyFont="1" applyFill="1" applyBorder="1"/>
    <xf numFmtId="176" fontId="164" fillId="35" borderId="0" xfId="0" applyNumberFormat="1" applyFont="1" applyFill="1"/>
    <xf numFmtId="176" fontId="164" fillId="35" borderId="3" xfId="0" applyNumberFormat="1" applyFont="1" applyFill="1" applyBorder="1"/>
    <xf numFmtId="176" fontId="164" fillId="35" borderId="113" xfId="0" applyNumberFormat="1" applyFont="1" applyFill="1" applyBorder="1"/>
    <xf numFmtId="37" fontId="164" fillId="35" borderId="0" xfId="0" applyNumberFormat="1" applyFont="1" applyFill="1"/>
    <xf numFmtId="37" fontId="164" fillId="35" borderId="112" xfId="0" applyNumberFormat="1" applyFont="1" applyFill="1" applyBorder="1"/>
    <xf numFmtId="37" fontId="164" fillId="35" borderId="3" xfId="0" applyNumberFormat="1" applyFont="1" applyFill="1" applyBorder="1"/>
    <xf numFmtId="37" fontId="164" fillId="35" borderId="113" xfId="0" applyNumberFormat="1" applyFont="1" applyFill="1" applyBorder="1"/>
    <xf numFmtId="37" fontId="164" fillId="35" borderId="0" xfId="0" applyNumberFormat="1" applyFont="1" applyFill="1" applyBorder="1"/>
    <xf numFmtId="171" fontId="164" fillId="35" borderId="0" xfId="0" applyNumberFormat="1" applyFont="1" applyFill="1" applyAlignment="1"/>
    <xf numFmtId="171" fontId="164" fillId="35" borderId="112" xfId="0" applyNumberFormat="1" applyFont="1" applyFill="1" applyBorder="1" applyAlignment="1"/>
    <xf numFmtId="37" fontId="164" fillId="35" borderId="12" xfId="0" applyNumberFormat="1" applyFont="1" applyFill="1" applyBorder="1"/>
    <xf numFmtId="37" fontId="164" fillId="35" borderId="114" xfId="0" applyNumberFormat="1" applyFont="1" applyFill="1" applyBorder="1"/>
    <xf numFmtId="0" fontId="164" fillId="40" borderId="0" xfId="0" applyNumberFormat="1" applyFont="1" applyFill="1"/>
    <xf numFmtId="0" fontId="164" fillId="40" borderId="122" xfId="0" applyNumberFormat="1" applyFont="1" applyFill="1" applyBorder="1" applyAlignment="1">
      <alignment horizontal="right"/>
    </xf>
    <xf numFmtId="0" fontId="164" fillId="40" borderId="112" xfId="0" applyNumberFormat="1" applyFont="1" applyFill="1" applyBorder="1" applyAlignment="1">
      <alignment horizontal="right"/>
    </xf>
    <xf numFmtId="14" fontId="164" fillId="40" borderId="112" xfId="0" applyNumberFormat="1" applyFont="1" applyFill="1" applyBorder="1" applyAlignment="1">
      <alignment horizontal="right"/>
    </xf>
    <xf numFmtId="0" fontId="164" fillId="40" borderId="112" xfId="0" applyNumberFormat="1" applyFont="1" applyFill="1" applyBorder="1"/>
    <xf numFmtId="0" fontId="166" fillId="40" borderId="0" xfId="0" applyNumberFormat="1" applyFont="1" applyFill="1" applyBorder="1"/>
    <xf numFmtId="0" fontId="166" fillId="40" borderId="112" xfId="0" applyNumberFormat="1" applyFont="1" applyFill="1" applyBorder="1"/>
    <xf numFmtId="0" fontId="140" fillId="40" borderId="12" xfId="0" applyNumberFormat="1" applyFont="1" applyFill="1" applyBorder="1" applyAlignment="1">
      <alignment horizontal="center"/>
    </xf>
    <xf numFmtId="0" fontId="112" fillId="40" borderId="12" xfId="0" quotePrefix="1" applyNumberFormat="1" applyFont="1" applyFill="1" applyBorder="1" applyAlignment="1">
      <alignment horizontal="center"/>
    </xf>
    <xf numFmtId="0" fontId="112" fillId="40" borderId="114" xfId="0" quotePrefix="1" applyNumberFormat="1" applyFont="1" applyFill="1" applyBorder="1" applyAlignment="1">
      <alignment horizontal="center"/>
    </xf>
    <xf numFmtId="0" fontId="164" fillId="40" borderId="0" xfId="0" applyNumberFormat="1" applyFont="1" applyFill="1" applyAlignment="1">
      <alignment horizontal="center"/>
    </xf>
    <xf numFmtId="0" fontId="164" fillId="40" borderId="112" xfId="0" applyNumberFormat="1" applyFont="1" applyFill="1" applyBorder="1" applyAlignment="1">
      <alignment horizontal="center"/>
    </xf>
    <xf numFmtId="37" fontId="164" fillId="40" borderId="3" xfId="0" applyNumberFormat="1" applyFont="1" applyFill="1" applyBorder="1" applyProtection="1">
      <protection locked="0"/>
    </xf>
    <xf numFmtId="37" fontId="164" fillId="40" borderId="113" xfId="0" applyNumberFormat="1" applyFont="1" applyFill="1" applyBorder="1" applyProtection="1">
      <protection locked="0"/>
    </xf>
    <xf numFmtId="37" fontId="164" fillId="40" borderId="0" xfId="0" applyNumberFormat="1" applyFont="1" applyFill="1" applyBorder="1" applyProtection="1">
      <protection locked="0"/>
    </xf>
    <xf numFmtId="37" fontId="164" fillId="40" borderId="112" xfId="0" applyNumberFormat="1" applyFont="1" applyFill="1" applyBorder="1" applyProtection="1">
      <protection locked="0"/>
    </xf>
    <xf numFmtId="37" fontId="164" fillId="40" borderId="3" xfId="0" applyNumberFormat="1" applyFont="1" applyFill="1" applyBorder="1" applyProtection="1"/>
    <xf numFmtId="37" fontId="164" fillId="40" borderId="113" xfId="0" applyNumberFormat="1" applyFont="1" applyFill="1" applyBorder="1" applyProtection="1"/>
    <xf numFmtId="37" fontId="147" fillId="40" borderId="3" xfId="0" applyNumberFormat="1" applyFont="1" applyFill="1" applyBorder="1" applyProtection="1"/>
    <xf numFmtId="37" fontId="164" fillId="40" borderId="12" xfId="0" applyNumberFormat="1" applyFont="1" applyFill="1" applyBorder="1" applyProtection="1"/>
    <xf numFmtId="37" fontId="164" fillId="40" borderId="114" xfId="0" applyNumberFormat="1" applyFont="1" applyFill="1" applyBorder="1" applyProtection="1"/>
    <xf numFmtId="168" fontId="164" fillId="40" borderId="3" xfId="0" applyNumberFormat="1" applyFont="1" applyFill="1" applyBorder="1" applyProtection="1"/>
    <xf numFmtId="168" fontId="164" fillId="40" borderId="113" xfId="0" applyNumberFormat="1" applyFont="1" applyFill="1" applyBorder="1" applyProtection="1"/>
    <xf numFmtId="176" fontId="164" fillId="40" borderId="12" xfId="0" applyNumberFormat="1" applyFont="1" applyFill="1" applyBorder="1"/>
    <xf numFmtId="176" fontId="164" fillId="40" borderId="114" xfId="0" applyNumberFormat="1" applyFont="1" applyFill="1" applyBorder="1"/>
    <xf numFmtId="176" fontId="164" fillId="40" borderId="0" xfId="0" applyNumberFormat="1" applyFont="1" applyFill="1" applyBorder="1"/>
    <xf numFmtId="176" fontId="164" fillId="40" borderId="112" xfId="0" applyNumberFormat="1" applyFont="1" applyFill="1" applyBorder="1"/>
    <xf numFmtId="176" fontId="164" fillId="40" borderId="0" xfId="0" applyNumberFormat="1" applyFont="1" applyFill="1"/>
    <xf numFmtId="176" fontId="164" fillId="40" borderId="3" xfId="0" applyNumberFormat="1" applyFont="1" applyFill="1" applyBorder="1"/>
    <xf numFmtId="176" fontId="164" fillId="40" borderId="113" xfId="0" applyNumberFormat="1" applyFont="1" applyFill="1" applyBorder="1"/>
    <xf numFmtId="37" fontId="164" fillId="40" borderId="0" xfId="0" applyNumberFormat="1" applyFont="1" applyFill="1"/>
    <xf numFmtId="37" fontId="164" fillId="40" borderId="112" xfId="0" applyNumberFormat="1" applyFont="1" applyFill="1" applyBorder="1"/>
    <xf numFmtId="37" fontId="164" fillId="40" borderId="3" xfId="0" applyNumberFormat="1" applyFont="1" applyFill="1" applyBorder="1"/>
    <xf numFmtId="37" fontId="164" fillId="40" borderId="113" xfId="0" applyNumberFormat="1" applyFont="1" applyFill="1" applyBorder="1"/>
    <xf numFmtId="37" fontId="164" fillId="40" borderId="0" xfId="0" applyNumberFormat="1" applyFont="1" applyFill="1" applyBorder="1"/>
    <xf numFmtId="171" fontId="164" fillId="40" borderId="0" xfId="0" applyNumberFormat="1" applyFont="1" applyFill="1" applyAlignment="1"/>
    <xf numFmtId="171" fontId="164" fillId="40" borderId="112" xfId="0" applyNumberFormat="1" applyFont="1" applyFill="1" applyBorder="1" applyAlignment="1"/>
    <xf numFmtId="37" fontId="164" fillId="40" borderId="12" xfId="0" applyNumberFormat="1" applyFont="1" applyFill="1" applyBorder="1"/>
    <xf numFmtId="37" fontId="164" fillId="40" borderId="114" xfId="0" applyNumberFormat="1" applyFont="1" applyFill="1" applyBorder="1"/>
    <xf numFmtId="0" fontId="164" fillId="35" borderId="146" xfId="0" applyNumberFormat="1" applyFont="1" applyFill="1" applyBorder="1" applyAlignment="1">
      <alignment horizontal="right"/>
    </xf>
    <xf numFmtId="0" fontId="164" fillId="35" borderId="118" xfId="0" applyNumberFormat="1" applyFont="1" applyFill="1" applyBorder="1"/>
    <xf numFmtId="0" fontId="190" fillId="36" borderId="0" xfId="0" applyNumberFormat="1" applyFont="1" applyFill="1"/>
    <xf numFmtId="0" fontId="190" fillId="36" borderId="112" xfId="0" applyNumberFormat="1" applyFont="1" applyFill="1" applyBorder="1"/>
    <xf numFmtId="0" fontId="191" fillId="36" borderId="0" xfId="0" applyNumberFormat="1" applyFont="1" applyFill="1" applyBorder="1"/>
    <xf numFmtId="0" fontId="191" fillId="36" borderId="112" xfId="0" applyNumberFormat="1" applyFont="1" applyFill="1" applyBorder="1"/>
    <xf numFmtId="0" fontId="190" fillId="36" borderId="121" xfId="0" applyNumberFormat="1" applyFont="1" applyFill="1" applyBorder="1"/>
    <xf numFmtId="0" fontId="181" fillId="36" borderId="12" xfId="0" quotePrefix="1" applyNumberFormat="1" applyFont="1" applyFill="1" applyBorder="1" applyAlignment="1">
      <alignment horizontal="center"/>
    </xf>
    <xf numFmtId="0" fontId="181" fillId="36" borderId="114" xfId="0" quotePrefix="1" applyNumberFormat="1" applyFont="1" applyFill="1" applyBorder="1" applyAlignment="1">
      <alignment horizontal="center"/>
    </xf>
    <xf numFmtId="0" fontId="190" fillId="36" borderId="0" xfId="0" applyNumberFormat="1" applyFont="1" applyFill="1" applyAlignment="1">
      <alignment horizontal="center"/>
    </xf>
    <xf numFmtId="0" fontId="190" fillId="36" borderId="112" xfId="0" applyNumberFormat="1" applyFont="1" applyFill="1" applyBorder="1" applyAlignment="1">
      <alignment horizontal="center"/>
    </xf>
    <xf numFmtId="37" fontId="190" fillId="36" borderId="3" xfId="0" applyNumberFormat="1" applyFont="1" applyFill="1" applyBorder="1" applyProtection="1">
      <protection locked="0"/>
    </xf>
    <xf numFmtId="37" fontId="190" fillId="36" borderId="113" xfId="0" applyNumberFormat="1" applyFont="1" applyFill="1" applyBorder="1" applyProtection="1">
      <protection locked="0"/>
    </xf>
    <xf numFmtId="37" fontId="190" fillId="36" borderId="0" xfId="0" applyNumberFormat="1" applyFont="1" applyFill="1" applyBorder="1" applyProtection="1">
      <protection locked="0"/>
    </xf>
    <xf numFmtId="37" fontId="190" fillId="36" borderId="112" xfId="0" applyNumberFormat="1" applyFont="1" applyFill="1" applyBorder="1" applyProtection="1">
      <protection locked="0"/>
    </xf>
    <xf numFmtId="37" fontId="190" fillId="36" borderId="3" xfId="0" applyNumberFormat="1" applyFont="1" applyFill="1" applyBorder="1" applyProtection="1"/>
    <xf numFmtId="37" fontId="190" fillId="36" borderId="113" xfId="0" applyNumberFormat="1" applyFont="1" applyFill="1" applyBorder="1" applyProtection="1"/>
    <xf numFmtId="37" fontId="190" fillId="36" borderId="12" xfId="0" applyNumberFormat="1" applyFont="1" applyFill="1" applyBorder="1" applyProtection="1"/>
    <xf numFmtId="37" fontId="190" fillId="36" borderId="114" xfId="0" applyNumberFormat="1" applyFont="1" applyFill="1" applyBorder="1" applyProtection="1"/>
    <xf numFmtId="168" fontId="190" fillId="36" borderId="3" xfId="0" applyNumberFormat="1" applyFont="1" applyFill="1" applyBorder="1" applyProtection="1"/>
    <xf numFmtId="168" fontId="190" fillId="36" borderId="113" xfId="0" applyNumberFormat="1" applyFont="1" applyFill="1" applyBorder="1" applyProtection="1"/>
    <xf numFmtId="176" fontId="190" fillId="36" borderId="12" xfId="0" applyNumberFormat="1" applyFont="1" applyFill="1" applyBorder="1"/>
    <xf numFmtId="176" fontId="190" fillId="36" borderId="114" xfId="0" applyNumberFormat="1" applyFont="1" applyFill="1" applyBorder="1"/>
    <xf numFmtId="176" fontId="190" fillId="36" borderId="0" xfId="0" applyNumberFormat="1" applyFont="1" applyFill="1" applyBorder="1"/>
    <xf numFmtId="176" fontId="190" fillId="36" borderId="112" xfId="0" applyNumberFormat="1" applyFont="1" applyFill="1" applyBorder="1"/>
    <xf numFmtId="176" fontId="190" fillId="36" borderId="0" xfId="0" applyNumberFormat="1" applyFont="1" applyFill="1"/>
    <xf numFmtId="176" fontId="190" fillId="36" borderId="3" xfId="0" applyNumberFormat="1" applyFont="1" applyFill="1" applyBorder="1"/>
    <xf numFmtId="0" fontId="190" fillId="36" borderId="117" xfId="0" applyNumberFormat="1" applyFont="1" applyFill="1" applyBorder="1"/>
    <xf numFmtId="0" fontId="190" fillId="36" borderId="120" xfId="0" applyNumberFormat="1" applyFont="1" applyFill="1" applyBorder="1"/>
    <xf numFmtId="0" fontId="190" fillId="36" borderId="118" xfId="0" applyNumberFormat="1" applyFont="1" applyFill="1" applyBorder="1"/>
    <xf numFmtId="0" fontId="190" fillId="36" borderId="119" xfId="0" applyNumberFormat="1" applyFont="1" applyFill="1" applyBorder="1"/>
    <xf numFmtId="0" fontId="190" fillId="50" borderId="0" xfId="0" applyNumberFormat="1" applyFont="1" applyFill="1"/>
    <xf numFmtId="0" fontId="190" fillId="50" borderId="112" xfId="0" applyNumberFormat="1" applyFont="1" applyFill="1" applyBorder="1"/>
    <xf numFmtId="14" fontId="190" fillId="50" borderId="0" xfId="0" applyNumberFormat="1" applyFont="1" applyFill="1" applyAlignment="1">
      <alignment horizontal="right"/>
    </xf>
    <xf numFmtId="14" fontId="190" fillId="50" borderId="112" xfId="0" applyNumberFormat="1" applyFont="1" applyFill="1" applyBorder="1" applyAlignment="1">
      <alignment horizontal="right"/>
    </xf>
    <xf numFmtId="0" fontId="190" fillId="50" borderId="12" xfId="0" quotePrefix="1" applyNumberFormat="1" applyFont="1" applyFill="1" applyBorder="1" applyAlignment="1">
      <alignment horizontal="center"/>
    </xf>
    <xf numFmtId="0" fontId="190" fillId="50" borderId="114" xfId="0" quotePrefix="1" applyNumberFormat="1" applyFont="1" applyFill="1" applyBorder="1" applyAlignment="1">
      <alignment horizontal="center"/>
    </xf>
    <xf numFmtId="0" fontId="190" fillId="50" borderId="128" xfId="0" applyNumberFormat="1" applyFont="1" applyFill="1" applyBorder="1" applyAlignment="1">
      <alignment horizontal="center"/>
    </xf>
    <xf numFmtId="0" fontId="190" fillId="50" borderId="125" xfId="0" applyNumberFormat="1" applyFont="1" applyFill="1" applyBorder="1" applyAlignment="1">
      <alignment horizontal="center"/>
    </xf>
    <xf numFmtId="170" fontId="190" fillId="50" borderId="12" xfId="0" applyNumberFormat="1" applyFont="1" applyFill="1" applyBorder="1"/>
    <xf numFmtId="170" fontId="190" fillId="50" borderId="114" xfId="0" applyNumberFormat="1" applyFont="1" applyFill="1" applyBorder="1"/>
    <xf numFmtId="177" fontId="190" fillId="50" borderId="12" xfId="0" applyNumberFormat="1" applyFont="1" applyFill="1" applyBorder="1"/>
    <xf numFmtId="177" fontId="190" fillId="50" borderId="114" xfId="0" applyNumberFormat="1" applyFont="1" applyFill="1" applyBorder="1"/>
    <xf numFmtId="176" fontId="190" fillId="50" borderId="12" xfId="0" applyNumberFormat="1" applyFont="1" applyFill="1" applyBorder="1"/>
    <xf numFmtId="176" fontId="190" fillId="50" borderId="114" xfId="0" applyNumberFormat="1" applyFont="1" applyFill="1" applyBorder="1"/>
    <xf numFmtId="38" fontId="190" fillId="50" borderId="12" xfId="0" applyNumberFormat="1" applyFont="1" applyFill="1" applyBorder="1"/>
    <xf numFmtId="38" fontId="190" fillId="50" borderId="114" xfId="0" applyNumberFormat="1" applyFont="1" applyFill="1" applyBorder="1"/>
    <xf numFmtId="38" fontId="199" fillId="50" borderId="12" xfId="0" applyNumberFormat="1" applyFont="1" applyFill="1" applyBorder="1"/>
    <xf numFmtId="38" fontId="199" fillId="50" borderId="114" xfId="0" applyNumberFormat="1" applyFont="1" applyFill="1" applyBorder="1"/>
    <xf numFmtId="37" fontId="190" fillId="50" borderId="12" xfId="0" applyNumberFormat="1" applyFont="1" applyFill="1" applyBorder="1"/>
    <xf numFmtId="37" fontId="190" fillId="50" borderId="114" xfId="0" applyNumberFormat="1" applyFont="1" applyFill="1" applyBorder="1"/>
    <xf numFmtId="38" fontId="199" fillId="50" borderId="0" xfId="0" applyNumberFormat="1" applyFont="1" applyFill="1" applyBorder="1"/>
    <xf numFmtId="38" fontId="199" fillId="50" borderId="112" xfId="0" applyNumberFormat="1" applyFont="1" applyFill="1" applyBorder="1"/>
    <xf numFmtId="0" fontId="68" fillId="50" borderId="12" xfId="0" applyNumberFormat="1" applyFont="1" applyFill="1" applyBorder="1"/>
    <xf numFmtId="0" fontId="15" fillId="50" borderId="114" xfId="0" applyNumberFormat="1" applyFont="1" applyFill="1" applyBorder="1"/>
    <xf numFmtId="38" fontId="202" fillId="50" borderId="0" xfId="0" applyNumberFormat="1" applyFont="1" applyFill="1" applyBorder="1"/>
    <xf numFmtId="38" fontId="202" fillId="50" borderId="112" xfId="0" applyNumberFormat="1" applyFont="1" applyFill="1" applyBorder="1"/>
    <xf numFmtId="0" fontId="190" fillId="50" borderId="22" xfId="0" applyNumberFormat="1" applyFont="1" applyFill="1" applyBorder="1" applyAlignment="1">
      <alignment horizontal="center"/>
    </xf>
    <xf numFmtId="0" fontId="190" fillId="50" borderId="122" xfId="0" applyNumberFormat="1" applyFont="1" applyFill="1" applyBorder="1" applyAlignment="1">
      <alignment horizontal="center"/>
    </xf>
    <xf numFmtId="0" fontId="228" fillId="50" borderId="12" xfId="0" applyNumberFormat="1" applyFont="1" applyFill="1" applyBorder="1" applyAlignment="1">
      <alignment horizontal="center"/>
    </xf>
    <xf numFmtId="0" fontId="228" fillId="50" borderId="114" xfId="0" applyNumberFormat="1" applyFont="1" applyFill="1" applyBorder="1" applyAlignment="1">
      <alignment horizontal="center"/>
    </xf>
    <xf numFmtId="38" fontId="199" fillId="50" borderId="23" xfId="0" applyNumberFormat="1" applyFont="1" applyFill="1" applyBorder="1"/>
    <xf numFmtId="38" fontId="199" fillId="50" borderId="123" xfId="0" applyNumberFormat="1" applyFont="1" applyFill="1" applyBorder="1"/>
    <xf numFmtId="0" fontId="46" fillId="50" borderId="12" xfId="0" applyNumberFormat="1" applyFont="1" applyFill="1" applyBorder="1"/>
    <xf numFmtId="0" fontId="46" fillId="50" borderId="114" xfId="0" applyNumberFormat="1" applyFont="1" applyFill="1" applyBorder="1"/>
    <xf numFmtId="0" fontId="190" fillId="50" borderId="12" xfId="0" applyNumberFormat="1" applyFont="1" applyFill="1" applyBorder="1" applyAlignment="1">
      <alignment horizontal="center"/>
    </xf>
    <xf numFmtId="0" fontId="190" fillId="50" borderId="114" xfId="0" applyNumberFormat="1" applyFont="1" applyFill="1" applyBorder="1" applyAlignment="1">
      <alignment horizontal="center"/>
    </xf>
    <xf numFmtId="0" fontId="181" fillId="50" borderId="12" xfId="0" quotePrefix="1" applyNumberFormat="1" applyFont="1" applyFill="1" applyBorder="1" applyAlignment="1">
      <alignment horizontal="center"/>
    </xf>
    <xf numFmtId="0" fontId="181" fillId="50" borderId="114" xfId="0" quotePrefix="1" applyNumberFormat="1" applyFont="1" applyFill="1" applyBorder="1" applyAlignment="1">
      <alignment horizontal="center"/>
    </xf>
    <xf numFmtId="0" fontId="4" fillId="50" borderId="12" xfId="0" applyNumberFormat="1" applyFont="1" applyFill="1" applyBorder="1"/>
    <xf numFmtId="0" fontId="4" fillId="50" borderId="114" xfId="0" applyNumberFormat="1" applyFont="1" applyFill="1" applyBorder="1"/>
    <xf numFmtId="176" fontId="190" fillId="50" borderId="20" xfId="0" applyNumberFormat="1" applyFont="1" applyFill="1" applyBorder="1"/>
    <xf numFmtId="38" fontId="190" fillId="50" borderId="23" xfId="0" applyNumberFormat="1" applyFont="1" applyFill="1" applyBorder="1"/>
    <xf numFmtId="0" fontId="19" fillId="2" borderId="0" xfId="0" applyNumberFormat="1" applyFont="1"/>
    <xf numFmtId="0" fontId="228" fillId="2" borderId="0" xfId="0" quotePrefix="1" applyNumberFormat="1" applyFont="1"/>
    <xf numFmtId="0" fontId="0" fillId="36" borderId="29" xfId="0" applyNumberFormat="1" applyFill="1" applyBorder="1"/>
    <xf numFmtId="0" fontId="218" fillId="36" borderId="22" xfId="0" applyNumberFormat="1" applyFont="1" applyFill="1" applyBorder="1"/>
    <xf numFmtId="38" fontId="190" fillId="36" borderId="119" xfId="0" applyNumberFormat="1" applyFont="1" applyFill="1" applyBorder="1"/>
    <xf numFmtId="38" fontId="190" fillId="36" borderId="114" xfId="0" applyNumberFormat="1" applyFont="1" applyFill="1" applyBorder="1"/>
    <xf numFmtId="38" fontId="190" fillId="36" borderId="0" xfId="0" applyNumberFormat="1" applyFont="1" applyFill="1"/>
    <xf numFmtId="38" fontId="190" fillId="36" borderId="112" xfId="0" applyNumberFormat="1" applyFont="1" applyFill="1" applyBorder="1"/>
    <xf numFmtId="38" fontId="190" fillId="36" borderId="9" xfId="0" applyNumberFormat="1" applyFont="1" applyFill="1" applyBorder="1"/>
    <xf numFmtId="38" fontId="190" fillId="36" borderId="132" xfId="0" applyNumberFormat="1" applyFont="1" applyFill="1" applyBorder="1"/>
    <xf numFmtId="37" fontId="187" fillId="21" borderId="117" xfId="0" applyNumberFormat="1" applyFont="1" applyFill="1" applyBorder="1"/>
    <xf numFmtId="14" fontId="4" fillId="5" borderId="0" xfId="0" applyNumberFormat="1" applyFont="1" applyFill="1" applyBorder="1" applyAlignment="1">
      <alignment horizontal="right"/>
    </xf>
    <xf numFmtId="14" fontId="4" fillId="38" borderId="0" xfId="0" applyNumberFormat="1" applyFont="1" applyFill="1" applyBorder="1" applyAlignment="1">
      <alignment horizontal="right"/>
    </xf>
    <xf numFmtId="0" fontId="128" fillId="8" borderId="9" xfId="0" applyNumberFormat="1" applyFont="1" applyFill="1" applyBorder="1"/>
    <xf numFmtId="0" fontId="4" fillId="2" borderId="130" xfId="0" applyNumberFormat="1" applyFont="1" applyBorder="1"/>
    <xf numFmtId="0" fontId="128" fillId="27" borderId="9" xfId="0" applyNumberFormat="1" applyFont="1" applyFill="1" applyBorder="1"/>
    <xf numFmtId="0" fontId="128" fillId="28" borderId="9" xfId="0" applyNumberFormat="1" applyFont="1" applyFill="1" applyBorder="1"/>
    <xf numFmtId="0" fontId="134" fillId="20" borderId="9" xfId="0" applyNumberFormat="1" applyFont="1" applyFill="1" applyBorder="1"/>
    <xf numFmtId="0" fontId="134" fillId="8" borderId="9" xfId="0" applyNumberFormat="1" applyFont="1" applyFill="1" applyBorder="1"/>
    <xf numFmtId="0" fontId="134" fillId="39" borderId="9" xfId="0" applyNumberFormat="1" applyFont="1" applyFill="1" applyBorder="1"/>
    <xf numFmtId="0" fontId="134" fillId="27" borderId="9" xfId="0" applyNumberFormat="1" applyFont="1" applyFill="1" applyBorder="1"/>
    <xf numFmtId="0" fontId="134" fillId="28" borderId="9" xfId="0" applyNumberFormat="1" applyFont="1" applyFill="1" applyBorder="1"/>
    <xf numFmtId="0" fontId="134" fillId="35" borderId="9" xfId="0" applyNumberFormat="1" applyFont="1" applyFill="1" applyBorder="1"/>
    <xf numFmtId="0" fontId="134" fillId="40" borderId="9" xfId="0" applyNumberFormat="1" applyFont="1" applyFill="1" applyBorder="1"/>
    <xf numFmtId="0" fontId="133" fillId="8" borderId="9" xfId="0" applyNumberFormat="1" applyFont="1" applyFill="1" applyBorder="1"/>
    <xf numFmtId="0" fontId="231" fillId="2" borderId="0" xfId="0" applyNumberFormat="1" applyFont="1"/>
    <xf numFmtId="0" fontId="0" fillId="5" borderId="0" xfId="0" applyNumberFormat="1" applyFont="1" applyFill="1"/>
    <xf numFmtId="38" fontId="0" fillId="37" borderId="9" xfId="0" applyNumberFormat="1" applyFill="1" applyBorder="1" applyProtection="1">
      <protection locked="0"/>
    </xf>
    <xf numFmtId="0" fontId="237" fillId="37" borderId="47" xfId="0" applyNumberFormat="1" applyFont="1" applyFill="1" applyBorder="1" applyAlignment="1">
      <alignment horizontal="center"/>
    </xf>
    <xf numFmtId="0" fontId="237" fillId="37" borderId="36" xfId="0" applyNumberFormat="1" applyFont="1" applyFill="1" applyBorder="1" applyAlignment="1">
      <alignment horizontal="center"/>
    </xf>
  </cellXfs>
  <cellStyles count="5">
    <cellStyle name="Check Cell" xfId="1" builtinId="2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99CC"/>
      <color rgb="FFFFCCCC"/>
      <color rgb="FFCC99FF"/>
      <color rgb="FF800080"/>
      <color rgb="FFCCFFFF"/>
      <color rgb="FF0000FF"/>
      <color rgb="FF008000"/>
      <color rgb="FFFF66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Target Revenue vs Revenue Retained
@ Compressed Rate</a:t>
            </a:r>
          </a:p>
        </c:rich>
      </c:tx>
      <c:layout>
        <c:manualLayout>
          <c:xMode val="edge"/>
          <c:yMode val="edge"/>
          <c:x val="0.24639594362631276"/>
          <c:y val="2.9469548133595286E-2"/>
        </c:manualLayout>
      </c:layout>
      <c:overlay val="0"/>
      <c:spPr>
        <a:noFill/>
        <a:ln w="25400">
          <a:noFill/>
        </a:ln>
      </c:spPr>
    </c:title>
    <c:autoTitleDeleted val="0"/>
    <c:plotArea>
      <c:layout>
        <c:manualLayout>
          <c:layoutTarget val="inner"/>
          <c:xMode val="edge"/>
          <c:yMode val="edge"/>
          <c:x val="5.8977757270947631E-2"/>
          <c:y val="0.2200392927308448"/>
          <c:w val="0.92267424708326962"/>
          <c:h val="0.62082514734774064"/>
        </c:manualLayout>
      </c:layout>
      <c:barChart>
        <c:barDir val="col"/>
        <c:grouping val="clustered"/>
        <c:varyColors val="0"/>
        <c:ser>
          <c:idx val="0"/>
          <c:order val="0"/>
          <c:tx>
            <c:strRef>
              <c:f>GraphData!$B$5</c:f>
              <c:strCache>
                <c:ptCount val="1"/>
                <c:pt idx="0">
                  <c:v>Target Revenue</c:v>
                </c:pt>
              </c:strCache>
            </c:strRef>
          </c:tx>
          <c:spPr>
            <a:solidFill>
              <a:srgbClr val="9999FF"/>
            </a:solidFill>
            <a:ln w="12700">
              <a:solidFill>
                <a:srgbClr val="000000"/>
              </a:solidFill>
              <a:prstDash val="solid"/>
            </a:ln>
          </c:spPr>
          <c:invertIfNegative val="0"/>
          <c:cat>
            <c:strRef>
              <c:f>GraphData!$C$4:$I$4</c:f>
              <c:strCache>
                <c:ptCount val="7"/>
                <c:pt idx="0">
                  <c:v>2013-14 </c:v>
                </c:pt>
                <c:pt idx="1">
                  <c:v>2014-15 </c:v>
                </c:pt>
                <c:pt idx="2">
                  <c:v>2015-16 </c:v>
                </c:pt>
                <c:pt idx="3">
                  <c:v>2016-17</c:v>
                </c:pt>
                <c:pt idx="4">
                  <c:v>2017-18</c:v>
                </c:pt>
                <c:pt idx="5">
                  <c:v>2018-19</c:v>
                </c:pt>
                <c:pt idx="6">
                  <c:v>2019-20</c:v>
                </c:pt>
              </c:strCache>
            </c:strRef>
          </c:cat>
          <c:val>
            <c:numRef>
              <c:f>GraphData!$C$5:$I$5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62A-4FA9-8A9A-83504962FDDD}"/>
            </c:ext>
          </c:extLst>
        </c:ser>
        <c:ser>
          <c:idx val="1"/>
          <c:order val="1"/>
          <c:tx>
            <c:strRef>
              <c:f>GraphData!$B$6</c:f>
              <c:strCache>
                <c:ptCount val="1"/>
                <c:pt idx="0">
                  <c:v>Revenue @ Compressed Rate</c:v>
                </c:pt>
              </c:strCache>
            </c:strRef>
          </c:tx>
          <c:spPr>
            <a:solidFill>
              <a:srgbClr val="993366"/>
            </a:solidFill>
            <a:ln w="12700">
              <a:solidFill>
                <a:srgbClr val="000000"/>
              </a:solidFill>
              <a:prstDash val="solid"/>
            </a:ln>
          </c:spPr>
          <c:invertIfNegative val="0"/>
          <c:cat>
            <c:strRef>
              <c:f>GraphData!$C$4:$I$4</c:f>
              <c:strCache>
                <c:ptCount val="7"/>
                <c:pt idx="0">
                  <c:v>2013-14 </c:v>
                </c:pt>
                <c:pt idx="1">
                  <c:v>2014-15 </c:v>
                </c:pt>
                <c:pt idx="2">
                  <c:v>2015-16 </c:v>
                </c:pt>
                <c:pt idx="3">
                  <c:v>2016-17</c:v>
                </c:pt>
                <c:pt idx="4">
                  <c:v>2017-18</c:v>
                </c:pt>
                <c:pt idx="5">
                  <c:v>2018-19</c:v>
                </c:pt>
                <c:pt idx="6">
                  <c:v>2019-20</c:v>
                </c:pt>
              </c:strCache>
            </c:strRef>
          </c:cat>
          <c:val>
            <c:numRef>
              <c:f>GraphData!$C$6:$I$6</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A62A-4FA9-8A9A-83504962FDDD}"/>
            </c:ext>
          </c:extLst>
        </c:ser>
        <c:dLbls>
          <c:showLegendKey val="0"/>
          <c:showVal val="0"/>
          <c:showCatName val="0"/>
          <c:showSerName val="0"/>
          <c:showPercent val="0"/>
          <c:showBubbleSize val="0"/>
        </c:dLbls>
        <c:gapWidth val="130"/>
        <c:axId val="329205704"/>
        <c:axId val="329204920"/>
      </c:barChart>
      <c:catAx>
        <c:axId val="329205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9204920"/>
        <c:crosses val="autoZero"/>
        <c:auto val="1"/>
        <c:lblAlgn val="ctr"/>
        <c:lblOffset val="100"/>
        <c:tickLblSkip val="1"/>
        <c:tickMarkSkip val="1"/>
        <c:noMultiLvlLbl val="0"/>
      </c:catAx>
      <c:valAx>
        <c:axId val="329204920"/>
        <c:scaling>
          <c:orientation val="minMax"/>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9205704"/>
        <c:crosses val="autoZero"/>
        <c:crossBetween val="between"/>
      </c:valAx>
      <c:spPr>
        <a:solidFill>
          <a:srgbClr val="FFFFCC"/>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2013-14 SB 1 Total Operating Revenue</a:t>
            </a:r>
          </a:p>
        </c:rich>
      </c:tx>
      <c:layout>
        <c:manualLayout>
          <c:xMode val="edge"/>
          <c:yMode val="edge"/>
          <c:x val="0.24613402061855671"/>
          <c:y val="2.8680688336520075E-2"/>
        </c:manualLayout>
      </c:layout>
      <c:overlay val="0"/>
      <c:spPr>
        <a:noFill/>
        <a:ln w="25400">
          <a:noFill/>
        </a:ln>
      </c:spPr>
    </c:title>
    <c:autoTitleDeleted val="0"/>
    <c:plotArea>
      <c:layout>
        <c:manualLayout>
          <c:layoutTarget val="inner"/>
          <c:xMode val="edge"/>
          <c:yMode val="edge"/>
          <c:x val="0.13015463917525774"/>
          <c:y val="0.19120476742199397"/>
          <c:w val="0.49226804123711343"/>
          <c:h val="0.730402211552016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1286-4F8E-8FB9-43E0762C8B9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286-4F8E-8FB9-43E0762C8B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1286-4F8E-8FB9-43E0762C8B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1286-4F8E-8FB9-43E0762C8B94}"/>
              </c:ext>
            </c:extLst>
          </c:dPt>
          <c:cat>
            <c:strRef>
              <c:f>GraphData!$B$15:$B$18</c:f>
              <c:strCache>
                <c:ptCount val="4"/>
                <c:pt idx="0">
                  <c:v>Revenue @ Compressed Rate</c:v>
                </c:pt>
                <c:pt idx="1">
                  <c:v>Golden Penny Revenue</c:v>
                </c:pt>
                <c:pt idx="2">
                  <c:v>Copper/Silver Penny Revenue</c:v>
                </c:pt>
                <c:pt idx="3">
                  <c:v>Staff Allotment</c:v>
                </c:pt>
              </c:strCache>
            </c:strRef>
          </c:cat>
          <c:val>
            <c:numRef>
              <c:f>GraphData!$C$15:$C$18</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1286-4F8E-8FB9-43E0762C8B94}"/>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2014-15 SB 1 Total Operating Revenue</a:t>
            </a:r>
          </a:p>
        </c:rich>
      </c:tx>
      <c:overlay val="0"/>
      <c:spPr>
        <a:noFill/>
        <a:ln w="25400">
          <a:noFill/>
        </a:ln>
      </c:spPr>
    </c:title>
    <c:autoTitleDeleted val="0"/>
    <c:plotArea>
      <c:layout>
        <c:manualLayout>
          <c:layoutTarget val="inner"/>
          <c:xMode val="edge"/>
          <c:yMode val="edge"/>
          <c:x val="0.12836970474967907"/>
          <c:y val="0.18975332068311196"/>
          <c:w val="0.49550706033376124"/>
          <c:h val="0.7324478178368121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DD59-4B78-A7E8-BBF10BF1658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59-4B78-A7E8-BBF10BF1658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DD59-4B78-A7E8-BBF10BF1658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DD59-4B78-A7E8-BBF10BF16585}"/>
              </c:ext>
            </c:extLst>
          </c:dPt>
          <c:cat>
            <c:strRef>
              <c:f>GraphData!$B$24:$B$27</c:f>
              <c:strCache>
                <c:ptCount val="4"/>
                <c:pt idx="0">
                  <c:v>Revenue @ Compressed Rate</c:v>
                </c:pt>
                <c:pt idx="1">
                  <c:v>Golden Penny Revenue</c:v>
                </c:pt>
                <c:pt idx="2">
                  <c:v>Copper/Silver Penny Revenue</c:v>
                </c:pt>
                <c:pt idx="3">
                  <c:v>Staff Allotment</c:v>
                </c:pt>
              </c:strCache>
            </c:strRef>
          </c:cat>
          <c:val>
            <c:numRef>
              <c:f>GraphData!$C$24:$C$27</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DD59-4B78-A7E8-BBF10BF16585}"/>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2013-14</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 Revenue per WADA @ Compressed Rate</a:t>
            </a:r>
          </a:p>
        </c:rich>
      </c:tx>
      <c:overlay val="0"/>
    </c:title>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GraphData!$B$31:$B$35</c:f>
              <c:strCache>
                <c:ptCount val="5"/>
                <c:pt idx="0">
                  <c:v>Low</c:v>
                </c:pt>
                <c:pt idx="1">
                  <c:v>Median</c:v>
                </c:pt>
                <c:pt idx="2">
                  <c:v>District's</c:v>
                </c:pt>
                <c:pt idx="3">
                  <c:v>Average</c:v>
                </c:pt>
                <c:pt idx="4">
                  <c:v>High</c:v>
                </c:pt>
              </c:strCache>
            </c:strRef>
          </c:cat>
          <c:val>
            <c:numRef>
              <c:f>GraphData!$C$31:$C$35</c:f>
              <c:numCache>
                <c:formatCode>"$"#,##0_);[Red]\("$"#,##0\)</c:formatCode>
                <c:ptCount val="5"/>
                <c:pt idx="0">
                  <c:v>3634</c:v>
                </c:pt>
                <c:pt idx="1">
                  <c:v>5206</c:v>
                </c:pt>
                <c:pt idx="2">
                  <c:v>0</c:v>
                </c:pt>
                <c:pt idx="3">
                  <c:v>5339</c:v>
                </c:pt>
                <c:pt idx="4">
                  <c:v>12146</c:v>
                </c:pt>
              </c:numCache>
            </c:numRef>
          </c:val>
          <c:extLst>
            <c:ext xmlns:c16="http://schemas.microsoft.com/office/drawing/2014/chart" uri="{C3380CC4-5D6E-409C-BE32-E72D297353CC}">
              <c16:uniqueId val="{00000000-E05C-4EB7-B96E-96C7FD489F8C}"/>
            </c:ext>
          </c:extLst>
        </c:ser>
        <c:dLbls>
          <c:showLegendKey val="0"/>
          <c:showVal val="0"/>
          <c:showCatName val="0"/>
          <c:showSerName val="0"/>
          <c:showPercent val="0"/>
          <c:showBubbleSize val="0"/>
        </c:dLbls>
        <c:gapWidth val="150"/>
        <c:axId val="313537824"/>
        <c:axId val="313539000"/>
      </c:barChart>
      <c:catAx>
        <c:axId val="313537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539000"/>
        <c:crosses val="autoZero"/>
        <c:auto val="1"/>
        <c:lblAlgn val="ctr"/>
        <c:lblOffset val="100"/>
        <c:noMultiLvlLbl val="0"/>
      </c:catAx>
      <c:valAx>
        <c:axId val="313539000"/>
        <c:scaling>
          <c:orientation val="minMax"/>
        </c:scaling>
        <c:delete val="0"/>
        <c:axPos val="l"/>
        <c:majorGridlines/>
        <c:numFmt formatCode="&quot;$&quot;#,##0_);[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537824"/>
        <c:crosses val="autoZero"/>
        <c:crossBetween val="between"/>
      </c:valAx>
      <c:spPr>
        <a:solidFill>
          <a:schemeClr val="accent6">
            <a:lumMod val="40000"/>
            <a:lumOff val="60000"/>
          </a:schemeClr>
        </a:solidFill>
      </c:spPr>
    </c:plotArea>
    <c:plotVisOnly val="1"/>
    <c:dispBlanksAs val="gap"/>
    <c:showDLblsOverMax val="0"/>
  </c:chart>
  <c:spPr>
    <a:solidFill>
      <a:schemeClr val="tx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Arial"/>
                <a:cs typeface="Arial"/>
              </a:rPr>
              <a:t>2015-16 SB 1 Total Operating Revenue</a:t>
            </a:r>
          </a:p>
          <a:p>
            <a:pPr>
              <a:defRPr sz="1000" b="0" i="0" u="none" strike="noStrike" baseline="0">
                <a:solidFill>
                  <a:srgbClr val="000000"/>
                </a:solidFill>
                <a:latin typeface="Calibri"/>
                <a:ea typeface="Calibri"/>
                <a:cs typeface="Calibri"/>
              </a:defRPr>
            </a:pPr>
            <a:endParaRPr lang="en-US" sz="16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endParaRPr lang="en-US" sz="1600" b="1" i="0" u="none" strike="noStrike" baseline="0">
              <a:solidFill>
                <a:srgbClr val="000000"/>
              </a:solidFill>
              <a:latin typeface="Arial"/>
              <a:cs typeface="Arial"/>
            </a:endParaRPr>
          </a:p>
        </c:rich>
      </c:tx>
      <c:overlay val="0"/>
    </c:title>
    <c:autoTitleDeleted val="0"/>
    <c:plotArea>
      <c:layout/>
      <c:pieChart>
        <c:varyColors val="1"/>
        <c:ser>
          <c:idx val="0"/>
          <c:order val="0"/>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D7C5-42ED-B3B2-8DD958C2F0F3}"/>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1-D7C5-42ED-B3B2-8DD958C2F0F3}"/>
              </c:ext>
            </c:extLst>
          </c:dPt>
          <c:dPt>
            <c:idx val="2"/>
            <c:bubble3D val="0"/>
            <c:extLst>
              <c:ext xmlns:c16="http://schemas.microsoft.com/office/drawing/2014/chart" uri="{C3380CC4-5D6E-409C-BE32-E72D297353CC}">
                <c16:uniqueId val="{00000002-D7C5-42ED-B3B2-8DD958C2F0F3}"/>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3-D7C5-42ED-B3B2-8DD958C2F0F3}"/>
              </c:ext>
            </c:extLst>
          </c:dPt>
          <c:cat>
            <c:strRef>
              <c:f>GraphData!$B$39:$B$42</c:f>
              <c:strCache>
                <c:ptCount val="4"/>
                <c:pt idx="0">
                  <c:v>Revenue @ Compressed Rate</c:v>
                </c:pt>
                <c:pt idx="1">
                  <c:v>Golden Penny Revenue</c:v>
                </c:pt>
                <c:pt idx="2">
                  <c:v>Copper/Silver Penny Revenue</c:v>
                </c:pt>
                <c:pt idx="3">
                  <c:v>Staff Allotment</c:v>
                </c:pt>
              </c:strCache>
            </c:strRef>
          </c:cat>
          <c:val>
            <c:numRef>
              <c:f>GraphData!$C$39:$C$42</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D7C5-42ED-B3B2-8DD958C2F0F3}"/>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chemeClr val="bg1"/>
        </a:solidFill>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000"/>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Sources of M&amp;O Revenue</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2009-10 School Year</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A9B3-4597-8C6D-9AB9EB93BC9A}"/>
              </c:ext>
            </c:extLst>
          </c:dPt>
          <c:dPt>
            <c:idx val="1"/>
            <c:bubble3D val="0"/>
            <c:extLst>
              <c:ext xmlns:c16="http://schemas.microsoft.com/office/drawing/2014/chart" uri="{C3380CC4-5D6E-409C-BE32-E72D297353CC}">
                <c16:uniqueId val="{00000001-A9B3-4597-8C6D-9AB9EB93BC9A}"/>
              </c:ext>
            </c:extLst>
          </c:dPt>
          <c:dPt>
            <c:idx val="2"/>
            <c:bubble3D val="0"/>
            <c:extLst>
              <c:ext xmlns:c16="http://schemas.microsoft.com/office/drawing/2014/chart" uri="{C3380CC4-5D6E-409C-BE32-E72D297353CC}">
                <c16:uniqueId val="{00000002-A9B3-4597-8C6D-9AB9EB93BC9A}"/>
              </c:ext>
            </c:extLst>
          </c:dPt>
          <c:dPt>
            <c:idx val="3"/>
            <c:bubble3D val="0"/>
            <c:extLst>
              <c:ext xmlns:c16="http://schemas.microsoft.com/office/drawing/2014/chart" uri="{C3380CC4-5D6E-409C-BE32-E72D297353CC}">
                <c16:uniqueId val="{00000003-A9B3-4597-8C6D-9AB9EB93BC9A}"/>
              </c:ext>
            </c:extLst>
          </c:dPt>
          <c:dPt>
            <c:idx val="4"/>
            <c:bubble3D val="0"/>
            <c:extLst>
              <c:ext xmlns:c16="http://schemas.microsoft.com/office/drawing/2014/chart" uri="{C3380CC4-5D6E-409C-BE32-E72D297353CC}">
                <c16:uniqueId val="{00000004-A9B3-4597-8C6D-9AB9EB93BC9A}"/>
              </c:ext>
            </c:extLst>
          </c:dPt>
          <c:val>
            <c:numRef>
              <c:f>GraphData!#REF!</c:f>
              <c:numCache>
                <c:formatCode>General</c:formatCode>
                <c:ptCount val="5"/>
                <c:pt idx="0">
                  <c:v>0</c:v>
                </c:pt>
                <c:pt idx="1">
                  <c:v>0</c:v>
                </c:pt>
                <c:pt idx="2">
                  <c:v>0</c:v>
                </c:pt>
                <c:pt idx="3">
                  <c:v>0</c:v>
                </c:pt>
                <c:pt idx="4">
                  <c:v>274851.09315999999</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5"/>
                      <c:pt idx="0">
                        <c:v>Target Revenue</c:v>
                      </c:pt>
                      <c:pt idx="1">
                        <c:v>Golden Penny Revenue</c:v>
                      </c:pt>
                      <c:pt idx="2">
                        <c:v>Silver Penny Revenue</c:v>
                      </c:pt>
                      <c:pt idx="3">
                        <c:v>Staff Allotment</c:v>
                      </c:pt>
                      <c:pt idx="4">
                        <c:v>Technology Allotment</c:v>
                      </c:pt>
                    </c:strCache>
                  </c:strRef>
                </c15:cat>
              </c15:filteredCategoryTitle>
            </c:ext>
            <c:ext xmlns:c16="http://schemas.microsoft.com/office/drawing/2014/chart" uri="{C3380CC4-5D6E-409C-BE32-E72D297353CC}">
              <c16:uniqueId val="{00000005-A9B3-4597-8C6D-9AB9EB93BC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92236024844720499"/>
          <c:y val="0.5132984307812587"/>
          <c:w val="0.9860248447204969"/>
          <c:h val="0.6728731780867816"/>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6">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Sources of M&amp;O Revenue</a:t>
            </a:r>
          </a:p>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2010-11 School Year</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E32B-4221-875D-271AAA6E3C90}"/>
              </c:ext>
            </c:extLst>
          </c:dPt>
          <c:dPt>
            <c:idx val="1"/>
            <c:bubble3D val="0"/>
            <c:extLst>
              <c:ext xmlns:c16="http://schemas.microsoft.com/office/drawing/2014/chart" uri="{C3380CC4-5D6E-409C-BE32-E72D297353CC}">
                <c16:uniqueId val="{00000001-E32B-4221-875D-271AAA6E3C90}"/>
              </c:ext>
            </c:extLst>
          </c:dPt>
          <c:dPt>
            <c:idx val="2"/>
            <c:bubble3D val="0"/>
            <c:extLst>
              <c:ext xmlns:c16="http://schemas.microsoft.com/office/drawing/2014/chart" uri="{C3380CC4-5D6E-409C-BE32-E72D297353CC}">
                <c16:uniqueId val="{00000002-E32B-4221-875D-271AAA6E3C90}"/>
              </c:ext>
            </c:extLst>
          </c:dPt>
          <c:dPt>
            <c:idx val="3"/>
            <c:bubble3D val="0"/>
            <c:extLst>
              <c:ext xmlns:c16="http://schemas.microsoft.com/office/drawing/2014/chart" uri="{C3380CC4-5D6E-409C-BE32-E72D297353CC}">
                <c16:uniqueId val="{00000003-E32B-4221-875D-271AAA6E3C90}"/>
              </c:ext>
            </c:extLst>
          </c:dPt>
          <c:dPt>
            <c:idx val="4"/>
            <c:bubble3D val="0"/>
            <c:extLst>
              <c:ext xmlns:c16="http://schemas.microsoft.com/office/drawing/2014/chart" uri="{C3380CC4-5D6E-409C-BE32-E72D297353CC}">
                <c16:uniqueId val="{00000004-E32B-4221-875D-271AAA6E3C90}"/>
              </c:ext>
            </c:extLst>
          </c:dPt>
          <c:val>
            <c:numRef>
              <c:f>GraphData!#REF!</c:f>
              <c:numCache>
                <c:formatCode>General</c:formatCode>
                <c:ptCount val="5"/>
                <c:pt idx="0">
                  <c:v>73945493.53202799</c:v>
                </c:pt>
                <c:pt idx="1">
                  <c:v>3161640.6153846169</c:v>
                </c:pt>
                <c:pt idx="2">
                  <c:v>0</c:v>
                </c:pt>
                <c:pt idx="3">
                  <c:v>262500</c:v>
                </c:pt>
                <c:pt idx="4">
                  <c:v>289066.7574</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5"/>
                      <c:pt idx="0">
                        <c:v>Target Revenue</c:v>
                      </c:pt>
                      <c:pt idx="1">
                        <c:v>Golden Penny Revenue</c:v>
                      </c:pt>
                      <c:pt idx="2">
                        <c:v>Silver Penny Revenue</c:v>
                      </c:pt>
                      <c:pt idx="3">
                        <c:v>Staff Allotment</c:v>
                      </c:pt>
                      <c:pt idx="4">
                        <c:v>Technology Allotment</c:v>
                      </c:pt>
                    </c:strCache>
                  </c:strRef>
                </c15:cat>
              </c15:filteredCategoryTitle>
            </c:ext>
            <c:ext xmlns:c16="http://schemas.microsoft.com/office/drawing/2014/chart" uri="{C3380CC4-5D6E-409C-BE32-E72D297353CC}">
              <c16:uniqueId val="{00000005-E32B-4221-875D-271AAA6E3C9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92260126926858599"/>
          <c:y val="0.50663129973474796"/>
          <c:w val="0.98606876152864786"/>
          <c:h val="0.66578249336870021"/>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6">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Total Revenue (excluding facilities)</a:t>
            </a:r>
          </a:p>
        </c:rich>
      </c:tx>
      <c:overlay val="0"/>
      <c:spPr>
        <a:noFill/>
        <a:ln w="25400">
          <a:noFill/>
        </a:ln>
      </c:spPr>
    </c:title>
    <c:autoTitleDeleted val="0"/>
    <c:plotArea>
      <c:layout/>
      <c:barChart>
        <c:barDir val="col"/>
        <c:grouping val="stacked"/>
        <c:varyColors val="0"/>
        <c:ser>
          <c:idx val="0"/>
          <c:order val="0"/>
          <c:tx>
            <c:v>GraphData!#REF!</c:v>
          </c:tx>
          <c:invertIfNegative val="0"/>
          <c:val>
            <c:numRef>
              <c:f>GraphData!#REF!</c:f>
              <c:numCache>
                <c:formatCode>General</c:formatCode>
                <c:ptCount val="4"/>
                <c:pt idx="0">
                  <c:v>2830628</c:v>
                </c:pt>
                <c:pt idx="1">
                  <c:v>2771852</c:v>
                </c:pt>
                <c:pt idx="2">
                  <c:v>0</c:v>
                </c:pt>
                <c:pt idx="3">
                  <c:v>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0-2905-4539-B181-37AF5FC60D00}"/>
            </c:ext>
          </c:extLst>
        </c:ser>
        <c:ser>
          <c:idx val="1"/>
          <c:order val="1"/>
          <c:tx>
            <c:v>GraphData!#REF!</c:v>
          </c:tx>
          <c:invertIfNegative val="0"/>
          <c:val>
            <c:numRef>
              <c:f>GraphData!#REF!</c:f>
              <c:numCache>
                <c:formatCode>General</c:formatCode>
                <c:ptCount val="4"/>
                <c:pt idx="0">
                  <c:v>0</c:v>
                </c:pt>
                <c:pt idx="1">
                  <c:v>42402593.904812597</c:v>
                </c:pt>
                <c:pt idx="2">
                  <c:v>47527654.479720294</c:v>
                </c:pt>
                <c:pt idx="3">
                  <c:v>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1-2905-4539-B181-37AF5FC60D00}"/>
            </c:ext>
          </c:extLst>
        </c:ser>
        <c:ser>
          <c:idx val="2"/>
          <c:order val="2"/>
          <c:tx>
            <c:v>GraphData!#REF!</c:v>
          </c:tx>
          <c:invertIfNegative val="0"/>
          <c:val>
            <c:numRef>
              <c:f>GraphData!#REF!</c:f>
              <c:numCache>
                <c:formatCode>General</c:formatCode>
                <c:ptCount val="4"/>
                <c:pt idx="0">
                  <c:v>0</c:v>
                </c:pt>
                <c:pt idx="1">
                  <c:v>32575000</c:v>
                </c:pt>
                <c:pt idx="2">
                  <c:v>28114458</c:v>
                </c:pt>
                <c:pt idx="3">
                  <c:v>28500000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2-2905-4539-B181-37AF5FC60D00}"/>
            </c:ext>
          </c:extLst>
        </c:ser>
        <c:dLbls>
          <c:showLegendKey val="0"/>
          <c:showVal val="0"/>
          <c:showCatName val="0"/>
          <c:showSerName val="0"/>
          <c:showPercent val="0"/>
          <c:showBubbleSize val="0"/>
        </c:dLbls>
        <c:gapWidth val="75"/>
        <c:overlap val="100"/>
        <c:axId val="255583112"/>
        <c:axId val="255583504"/>
      </c:barChart>
      <c:catAx>
        <c:axId val="255583112"/>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255583504"/>
        <c:crosses val="autoZero"/>
        <c:auto val="1"/>
        <c:lblAlgn val="ctr"/>
        <c:lblOffset val="100"/>
        <c:noMultiLvlLbl val="0"/>
      </c:catAx>
      <c:valAx>
        <c:axId val="255583504"/>
        <c:scaling>
          <c:orientation val="minMax"/>
        </c:scaling>
        <c:delete val="0"/>
        <c:axPos val="l"/>
        <c:majorGridlines/>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Calibri"/>
                <a:ea typeface="Calibri"/>
                <a:cs typeface="Calibri"/>
              </a:defRPr>
            </a:pPr>
            <a:endParaRPr lang="en-US"/>
          </a:p>
        </c:txPr>
        <c:crossAx val="255583112"/>
        <c:crosses val="autoZero"/>
        <c:crossBetween val="between"/>
      </c:valAx>
      <c:spPr>
        <a:solidFill>
          <a:srgbClr val="FFFFCC"/>
        </a:solidFill>
      </c:spPr>
    </c:plotArea>
    <c:legend>
      <c:legendPos val="b"/>
      <c:layout>
        <c:manualLayout>
          <c:xMode val="edge"/>
          <c:yMode val="edge"/>
          <c:x val="7.3732880164173023E-2"/>
          <c:y val="0.9196891191709845"/>
          <c:w val="0.59447101370393218"/>
          <c:h val="5.6994818652849721E-2"/>
        </c:manualLayout>
      </c:layout>
      <c:overlay val="0"/>
      <c:txPr>
        <a:bodyPr/>
        <a:lstStyle/>
        <a:p>
          <a:pPr>
            <a:defRPr sz="10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accent6">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HB 3646 Target Revenue per WADA</a:t>
            </a:r>
          </a:p>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2009-10 School Year</a:t>
            </a:r>
          </a:p>
        </c:rich>
      </c:tx>
      <c:layout>
        <c:manualLayout>
          <c:xMode val="edge"/>
          <c:yMode val="edge"/>
          <c:x val="0.22352752685055471"/>
          <c:y val="2.3391822215116511E-2"/>
        </c:manualLayout>
      </c:layout>
      <c:overlay val="0"/>
      <c:spPr>
        <a:noFill/>
        <a:ln w="25400">
          <a:noFill/>
        </a:ln>
      </c:spPr>
    </c:title>
    <c:autoTitleDeleted val="0"/>
    <c:plotArea>
      <c:layout/>
      <c:barChart>
        <c:barDir val="col"/>
        <c:grouping val="clustered"/>
        <c:varyColors val="0"/>
        <c:ser>
          <c:idx val="0"/>
          <c:order val="0"/>
          <c:invertIfNegative val="0"/>
          <c:dPt>
            <c:idx val="2"/>
            <c:invertIfNegative val="0"/>
            <c:bubble3D val="0"/>
            <c:spPr>
              <a:solidFill>
                <a:schemeClr val="accent6">
                  <a:lumMod val="75000"/>
                </a:schemeClr>
              </a:solidFill>
            </c:spPr>
            <c:extLst>
              <c:ext xmlns:c16="http://schemas.microsoft.com/office/drawing/2014/chart" uri="{C3380CC4-5D6E-409C-BE32-E72D297353CC}">
                <c16:uniqueId val="{00000000-C909-4EF4-8154-28A59FC2588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GraphData!#REF!</c:f>
              <c:numCache>
                <c:formatCode>General</c:formatCode>
                <c:ptCount val="5"/>
                <c:pt idx="0">
                  <c:v>3776.8000278022314</c:v>
                </c:pt>
                <c:pt idx="1">
                  <c:v>4923.1326415033873</c:v>
                </c:pt>
                <c:pt idx="2">
                  <c:v>5506.1436885981047</c:v>
                </c:pt>
                <c:pt idx="3">
                  <c:v>5218.2312026287318</c:v>
                </c:pt>
                <c:pt idx="4">
                  <c:v>12844.945080218598</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GraphData!#REF!</c15:sqref>
                        </c15:formulaRef>
                      </c:ext>
                    </c:extLst>
                    <c:strCache>
                      <c:ptCount val="5"/>
                      <c:pt idx="0">
                        <c:v>Lowest </c:v>
                      </c:pt>
                      <c:pt idx="1">
                        <c:v>Median </c:v>
                      </c:pt>
                      <c:pt idx="2">
                        <c:v>District's</c:v>
                      </c:pt>
                      <c:pt idx="3">
                        <c:v>Average</c:v>
                      </c:pt>
                      <c:pt idx="4">
                        <c:v>Highest </c:v>
                      </c:pt>
                    </c:strCache>
                  </c:strRef>
                </c15:cat>
              </c15:filteredCategoryTitle>
            </c:ext>
            <c:ext xmlns:c16="http://schemas.microsoft.com/office/drawing/2014/chart" uri="{C3380CC4-5D6E-409C-BE32-E72D297353CC}">
              <c16:uniqueId val="{00000001-C909-4EF4-8154-28A59FC2588B}"/>
            </c:ext>
          </c:extLst>
        </c:ser>
        <c:dLbls>
          <c:showLegendKey val="0"/>
          <c:showVal val="0"/>
          <c:showCatName val="0"/>
          <c:showSerName val="0"/>
          <c:showPercent val="0"/>
          <c:showBubbleSize val="0"/>
        </c:dLbls>
        <c:gapWidth val="150"/>
        <c:axId val="318843112"/>
        <c:axId val="318843504"/>
      </c:barChart>
      <c:catAx>
        <c:axId val="318843112"/>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18843504"/>
        <c:crosses val="autoZero"/>
        <c:auto val="1"/>
        <c:lblAlgn val="ctr"/>
        <c:lblOffset val="100"/>
        <c:noMultiLvlLbl val="0"/>
      </c:catAx>
      <c:valAx>
        <c:axId val="3188435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843112"/>
        <c:crosses val="autoZero"/>
        <c:crossBetween val="between"/>
      </c:valAx>
      <c:spPr>
        <a:solidFill>
          <a:schemeClr val="accent6">
            <a:lumMod val="40000"/>
            <a:lumOff val="60000"/>
          </a:schemeClr>
        </a:solidFill>
      </c:spPr>
    </c:plotArea>
    <c:plotVisOnly val="1"/>
    <c:dispBlanksAs val="gap"/>
    <c:showDLblsOverMax val="0"/>
  </c:chart>
  <c:spPr>
    <a:solidFill>
      <a:schemeClr val="tx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142875</xdr:rowOff>
    </xdr:from>
    <xdr:to>
      <xdr:col>12</xdr:col>
      <xdr:colOff>104775</xdr:colOff>
      <xdr:row>32</xdr:row>
      <xdr:rowOff>133350</xdr:rowOff>
    </xdr:to>
    <xdr:graphicFrame macro="">
      <xdr:nvGraphicFramePr>
        <xdr:cNvPr id="38615814" name="Chart 2">
          <a:extLst>
            <a:ext uri="{FF2B5EF4-FFF2-40B4-BE49-F238E27FC236}">
              <a16:creationId xmlns:a16="http://schemas.microsoft.com/office/drawing/2014/main" id="{4EEDB283-3C5C-418F-8376-0FD36DC74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75</xdr:row>
      <xdr:rowOff>152400</xdr:rowOff>
    </xdr:from>
    <xdr:to>
      <xdr:col>12</xdr:col>
      <xdr:colOff>180975</xdr:colOff>
      <xdr:row>106</xdr:row>
      <xdr:rowOff>114300</xdr:rowOff>
    </xdr:to>
    <xdr:graphicFrame macro="">
      <xdr:nvGraphicFramePr>
        <xdr:cNvPr id="38615815" name="Chart 5">
          <a:extLst>
            <a:ext uri="{FF2B5EF4-FFF2-40B4-BE49-F238E27FC236}">
              <a16:creationId xmlns:a16="http://schemas.microsoft.com/office/drawing/2014/main" id="{007B742B-CA03-45DD-8898-E2EC0D243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111</xdr:row>
      <xdr:rowOff>0</xdr:rowOff>
    </xdr:from>
    <xdr:to>
      <xdr:col>12</xdr:col>
      <xdr:colOff>219075</xdr:colOff>
      <xdr:row>142</xdr:row>
      <xdr:rowOff>0</xdr:rowOff>
    </xdr:to>
    <xdr:graphicFrame macro="">
      <xdr:nvGraphicFramePr>
        <xdr:cNvPr id="38615816" name="Chart 6">
          <a:extLst>
            <a:ext uri="{FF2B5EF4-FFF2-40B4-BE49-F238E27FC236}">
              <a16:creationId xmlns:a16="http://schemas.microsoft.com/office/drawing/2014/main" id="{08E34BA1-7D49-4797-A069-91F2F7B2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39</xdr:row>
      <xdr:rowOff>142875</xdr:rowOff>
    </xdr:from>
    <xdr:to>
      <xdr:col>12</xdr:col>
      <xdr:colOff>76200</xdr:colOff>
      <xdr:row>69</xdr:row>
      <xdr:rowOff>19050</xdr:rowOff>
    </xdr:to>
    <xdr:graphicFrame macro="">
      <xdr:nvGraphicFramePr>
        <xdr:cNvPr id="38615817" name="Chart 6">
          <a:extLst>
            <a:ext uri="{FF2B5EF4-FFF2-40B4-BE49-F238E27FC236}">
              <a16:creationId xmlns:a16="http://schemas.microsoft.com/office/drawing/2014/main" id="{A880EF2A-8C16-4FAB-82FF-E34C08159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147</xdr:row>
      <xdr:rowOff>9525</xdr:rowOff>
    </xdr:from>
    <xdr:to>
      <xdr:col>12</xdr:col>
      <xdr:colOff>257175</xdr:colOff>
      <xdr:row>177</xdr:row>
      <xdr:rowOff>142875</xdr:rowOff>
    </xdr:to>
    <xdr:graphicFrame macro="">
      <xdr:nvGraphicFramePr>
        <xdr:cNvPr id="38615818" name="Chart 7">
          <a:extLst>
            <a:ext uri="{FF2B5EF4-FFF2-40B4-BE49-F238E27FC236}">
              <a16:creationId xmlns:a16="http://schemas.microsoft.com/office/drawing/2014/main" id="{4ABD801A-B3F1-4892-A968-7F0040702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10</xdr:col>
      <xdr:colOff>47625</xdr:colOff>
      <xdr:row>24</xdr:row>
      <xdr:rowOff>9525</xdr:rowOff>
    </xdr:to>
    <xdr:graphicFrame macro="">
      <xdr:nvGraphicFramePr>
        <xdr:cNvPr id="39357744" name="Chart 1">
          <a:extLst>
            <a:ext uri="{FF2B5EF4-FFF2-40B4-BE49-F238E27FC236}">
              <a16:creationId xmlns:a16="http://schemas.microsoft.com/office/drawing/2014/main" id="{06A91B54-463F-416A-8A5B-F0BBD458D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27</xdr:row>
      <xdr:rowOff>152400</xdr:rowOff>
    </xdr:from>
    <xdr:to>
      <xdr:col>10</xdr:col>
      <xdr:colOff>76200</xdr:colOff>
      <xdr:row>50</xdr:row>
      <xdr:rowOff>19050</xdr:rowOff>
    </xdr:to>
    <xdr:graphicFrame macro="">
      <xdr:nvGraphicFramePr>
        <xdr:cNvPr id="39357745" name="Chart 2">
          <a:extLst>
            <a:ext uri="{FF2B5EF4-FFF2-40B4-BE49-F238E27FC236}">
              <a16:creationId xmlns:a16="http://schemas.microsoft.com/office/drawing/2014/main" id="{4E9501C0-0F5C-4E0A-A617-0A2924463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54</xdr:row>
      <xdr:rowOff>114300</xdr:rowOff>
    </xdr:from>
    <xdr:to>
      <xdr:col>10</xdr:col>
      <xdr:colOff>123825</xdr:colOff>
      <xdr:row>77</xdr:row>
      <xdr:rowOff>66675</xdr:rowOff>
    </xdr:to>
    <xdr:graphicFrame macro="">
      <xdr:nvGraphicFramePr>
        <xdr:cNvPr id="39357746" name="Chart 3">
          <a:extLst>
            <a:ext uri="{FF2B5EF4-FFF2-40B4-BE49-F238E27FC236}">
              <a16:creationId xmlns:a16="http://schemas.microsoft.com/office/drawing/2014/main" id="{33B57941-30E1-4ACF-88CE-AB116BF65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142875</xdr:rowOff>
    </xdr:from>
    <xdr:to>
      <xdr:col>10</xdr:col>
      <xdr:colOff>114300</xdr:colOff>
      <xdr:row>105</xdr:row>
      <xdr:rowOff>9525</xdr:rowOff>
    </xdr:to>
    <xdr:graphicFrame macro="">
      <xdr:nvGraphicFramePr>
        <xdr:cNvPr id="39357747" name="Chart 4">
          <a:extLst>
            <a:ext uri="{FF2B5EF4-FFF2-40B4-BE49-F238E27FC236}">
              <a16:creationId xmlns:a16="http://schemas.microsoft.com/office/drawing/2014/main" id="{E2CD1854-416F-4DE6-A5F9-41C0845BC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0.1663</cdr:x>
      <cdr:y>0.4101</cdr:y>
    </cdr:from>
    <cdr:to>
      <cdr:x>0.3206</cdr:x>
      <cdr:y>0.60797</cdr:y>
    </cdr:to>
    <cdr:sp macro="" textlink="">
      <cdr:nvSpPr>
        <cdr:cNvPr id="2" name="TextBox 1"/>
        <cdr:cNvSpPr txBox="1"/>
      </cdr:nvSpPr>
      <cdr:spPr>
        <a:xfrm xmlns:a="http://schemas.openxmlformats.org/drawingml/2006/main">
          <a:off x="2095500" y="1438275"/>
          <a:ext cx="752476" cy="6953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0.15175</cdr:x>
      <cdr:y>0.72375</cdr:y>
    </cdr:from>
    <cdr:to>
      <cdr:x>0.15027</cdr:x>
      <cdr:y>0.72448</cdr:y>
    </cdr:to>
    <cdr:sp macro="" textlink="">
      <cdr:nvSpPr>
        <cdr:cNvPr id="3" name="TextBox 2"/>
        <cdr:cNvSpPr txBox="1"/>
      </cdr:nvSpPr>
      <cdr:spPr>
        <a:xfrm xmlns:a="http://schemas.openxmlformats.org/drawingml/2006/main">
          <a:off x="2057400" y="2524124"/>
          <a:ext cx="714375" cy="9810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0.664</cdr:x>
      <cdr:y>0.7275</cdr:y>
    </cdr:from>
    <cdr:to>
      <cdr:x>0.66351</cdr:x>
      <cdr:y>0.72823</cdr:y>
    </cdr:to>
    <cdr:sp macro="" textlink="">
      <cdr:nvSpPr>
        <cdr:cNvPr id="4" name="TextBox 3"/>
        <cdr:cNvSpPr txBox="1"/>
      </cdr:nvSpPr>
      <cdr:spPr>
        <a:xfrm xmlns:a="http://schemas.openxmlformats.org/drawingml/2006/main">
          <a:off x="4514850" y="2533650"/>
          <a:ext cx="762000" cy="9715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0.65207</cdr:x>
      <cdr:y>0.40689</cdr:y>
    </cdr:from>
    <cdr:to>
      <cdr:x>0.79623</cdr:x>
      <cdr:y>0.59957</cdr:y>
    </cdr:to>
    <cdr:sp macro="" textlink="">
      <cdr:nvSpPr>
        <cdr:cNvPr id="5" name="TextBox 4"/>
        <cdr:cNvSpPr txBox="1"/>
      </cdr:nvSpPr>
      <cdr:spPr>
        <a:xfrm xmlns:a="http://schemas.openxmlformats.org/drawingml/2006/main">
          <a:off x="4467225" y="1428750"/>
          <a:ext cx="704850" cy="6762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0.13276</cdr:x>
      <cdr:y>0.17121</cdr:y>
    </cdr:from>
    <cdr:to>
      <cdr:x>0.3295</cdr:x>
      <cdr:y>0.23075</cdr:y>
    </cdr:to>
    <cdr:sp macro="" textlink="">
      <cdr:nvSpPr>
        <cdr:cNvPr id="6" name="TextBox 5"/>
        <cdr:cNvSpPr txBox="1"/>
      </cdr:nvSpPr>
      <cdr:spPr>
        <a:xfrm xmlns:a="http://schemas.openxmlformats.org/drawingml/2006/main">
          <a:off x="1924050" y="600075"/>
          <a:ext cx="971550" cy="2095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n-US" sz="1100" b="1"/>
            <a:t> </a:t>
          </a:r>
        </a:p>
      </cdr:txBody>
    </cdr:sp>
  </cdr:relSizeAnchor>
  <cdr:relSizeAnchor xmlns:cdr="http://schemas.openxmlformats.org/drawingml/2006/chartDrawing">
    <cdr:from>
      <cdr:x>0.62896</cdr:x>
      <cdr:y>0.17121</cdr:y>
    </cdr:from>
    <cdr:to>
      <cdr:x>0.82795</cdr:x>
      <cdr:y>0.23346</cdr:y>
    </cdr:to>
    <cdr:sp macro="" textlink="">
      <cdr:nvSpPr>
        <cdr:cNvPr id="7" name="TextBox 6"/>
        <cdr:cNvSpPr txBox="1"/>
      </cdr:nvSpPr>
      <cdr:spPr>
        <a:xfrm xmlns:a="http://schemas.openxmlformats.org/drawingml/2006/main">
          <a:off x="4352926" y="600075"/>
          <a:ext cx="971550" cy="2190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n-US" sz="1100" b="1"/>
            <a:t>    </a:t>
          </a:r>
        </a:p>
      </cdr:txBody>
    </cdr:sp>
  </cdr:relSizeAnchor>
  <cdr:relSizeAnchor xmlns:cdr="http://schemas.openxmlformats.org/drawingml/2006/chartDrawing">
    <cdr:from>
      <cdr:x>0.05717</cdr:x>
      <cdr:y>0.85059</cdr:y>
    </cdr:from>
    <cdr:to>
      <cdr:x>0.33786</cdr:x>
      <cdr:y>0.90344</cdr:y>
    </cdr:to>
    <cdr:sp macro="" textlink="">
      <cdr:nvSpPr>
        <cdr:cNvPr id="8" name="TextBox 7"/>
        <cdr:cNvSpPr txBox="1"/>
      </cdr:nvSpPr>
      <cdr:spPr>
        <a:xfrm xmlns:a="http://schemas.openxmlformats.org/drawingml/2006/main">
          <a:off x="1485900" y="2990850"/>
          <a:ext cx="1447800" cy="1809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0.56629</cdr:x>
      <cdr:y>0.84516</cdr:y>
    </cdr:from>
    <cdr:to>
      <cdr:x>0.86119</cdr:x>
      <cdr:y>0.91158</cdr:y>
    </cdr:to>
    <cdr:sp macro="" textlink="">
      <cdr:nvSpPr>
        <cdr:cNvPr id="10" name="TextBox 9"/>
        <cdr:cNvSpPr txBox="1"/>
      </cdr:nvSpPr>
      <cdr:spPr>
        <a:xfrm xmlns:a="http://schemas.openxmlformats.org/drawingml/2006/main">
          <a:off x="4048125" y="2971800"/>
          <a:ext cx="1438275" cy="2286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endParaRPr lang="en-US" sz="1100" b="1"/>
        </a:p>
        <a:p xmlns:a="http://schemas.openxmlformats.org/drawingml/2006/main">
          <a:pPr algn="ctr"/>
          <a:endParaRPr lang="en-US"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25</xdr:col>
      <xdr:colOff>95250</xdr:colOff>
      <xdr:row>12</xdr:row>
      <xdr:rowOff>95250</xdr:rowOff>
    </xdr:from>
    <xdr:to>
      <xdr:col>25</xdr:col>
      <xdr:colOff>857250</xdr:colOff>
      <xdr:row>12</xdr:row>
      <xdr:rowOff>95250</xdr:rowOff>
    </xdr:to>
    <xdr:sp macro="" textlink="">
      <xdr:nvSpPr>
        <xdr:cNvPr id="36159305" name="Line 9">
          <a:extLst>
            <a:ext uri="{FF2B5EF4-FFF2-40B4-BE49-F238E27FC236}">
              <a16:creationId xmlns:a16="http://schemas.microsoft.com/office/drawing/2014/main" id="{28F16F1D-921C-46A9-96F9-599E4562EB6B}"/>
            </a:ext>
          </a:extLst>
        </xdr:cNvPr>
        <xdr:cNvSpPr>
          <a:spLocks noChangeShapeType="1"/>
        </xdr:cNvSpPr>
      </xdr:nvSpPr>
      <xdr:spPr bwMode="auto">
        <a:xfrm>
          <a:off x="3924300" y="20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12</xdr:row>
      <xdr:rowOff>95250</xdr:rowOff>
    </xdr:from>
    <xdr:to>
      <xdr:col>34</xdr:col>
      <xdr:colOff>781050</xdr:colOff>
      <xdr:row>12</xdr:row>
      <xdr:rowOff>104775</xdr:rowOff>
    </xdr:to>
    <xdr:sp macro="" textlink="">
      <xdr:nvSpPr>
        <xdr:cNvPr id="36159306" name="Line 10">
          <a:extLst>
            <a:ext uri="{FF2B5EF4-FFF2-40B4-BE49-F238E27FC236}">
              <a16:creationId xmlns:a16="http://schemas.microsoft.com/office/drawing/2014/main" id="{8D3CDD82-A800-4796-AD1E-4541519A3B38}"/>
            </a:ext>
          </a:extLst>
        </xdr:cNvPr>
        <xdr:cNvSpPr>
          <a:spLocks noChangeShapeType="1"/>
        </xdr:cNvSpPr>
      </xdr:nvSpPr>
      <xdr:spPr bwMode="auto">
        <a:xfrm>
          <a:off x="3924300" y="2076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5.bin"/><Relationship Id="rId4" Type="http://schemas.openxmlformats.org/officeDocument/2006/relationships/comments" Target="../comments6.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2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2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28.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9.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30.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x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heetViews>
  <sheetFormatPr defaultRowHeight="12.75"/>
  <cols>
    <col min="1" max="1" width="17.28515625" customWidth="1"/>
  </cols>
  <sheetData>
    <row r="1" spans="1:1">
      <c r="A1" s="97" t="s">
        <v>2798</v>
      </c>
    </row>
    <row r="2" spans="1:1">
      <c r="A2" s="97"/>
    </row>
    <row r="3" spans="1:1">
      <c r="A3" s="97" t="s">
        <v>2701</v>
      </c>
    </row>
    <row r="4" spans="1:1">
      <c r="A4" s="97" t="s">
        <v>455</v>
      </c>
    </row>
    <row r="5" spans="1:1">
      <c r="A5" s="235" t="s">
        <v>1673</v>
      </c>
    </row>
    <row r="6" spans="1:1">
      <c r="A6" s="97"/>
    </row>
    <row r="7" spans="1:1">
      <c r="A7" s="97" t="s">
        <v>1674</v>
      </c>
    </row>
    <row r="8" spans="1:1">
      <c r="A8" s="97" t="s">
        <v>1675</v>
      </c>
    </row>
    <row r="9" spans="1:1">
      <c r="A9" s="97" t="s">
        <v>2702</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K211"/>
  <sheetViews>
    <sheetView topLeftCell="D66" workbookViewId="0">
      <selection activeCell="N95" sqref="N95"/>
    </sheetView>
  </sheetViews>
  <sheetFormatPr defaultRowHeight="12.75"/>
  <cols>
    <col min="1" max="1" width="2.140625" customWidth="1"/>
    <col min="3" max="3" width="74.5703125" customWidth="1"/>
    <col min="4" max="4" width="22.7109375" customWidth="1"/>
    <col min="5" max="5" width="22.7109375" hidden="1" customWidth="1"/>
    <col min="6" max="6" width="8.85546875" hidden="1" customWidth="1"/>
    <col min="7" max="7" width="5.7109375" customWidth="1"/>
    <col min="8" max="8" width="22.7109375" customWidth="1"/>
    <col min="9" max="9" width="22.7109375" hidden="1" customWidth="1"/>
    <col min="10" max="10" width="22.7109375" style="172" hidden="1" customWidth="1"/>
    <col min="11" max="11" width="22.7109375" style="618" hidden="1" customWidth="1"/>
    <col min="12" max="12" width="22.7109375" style="636" hidden="1" customWidth="1"/>
    <col min="13" max="15" width="14.5703125" customWidth="1"/>
    <col min="16" max="16" width="16.140625" customWidth="1"/>
    <col min="17" max="17" width="13.28515625" style="177" customWidth="1"/>
    <col min="18" max="18" width="40.140625" customWidth="1"/>
    <col min="19" max="19" width="13.7109375" customWidth="1"/>
    <col min="20" max="20" width="14.140625" customWidth="1"/>
    <col min="21" max="21" width="76.28515625" customWidth="1"/>
    <col min="22" max="22" width="16.140625" customWidth="1"/>
    <col min="23" max="26" width="15.7109375" style="224" customWidth="1"/>
    <col min="30" max="31" width="10.7109375" customWidth="1"/>
    <col min="34" max="34" width="12.85546875" customWidth="1"/>
    <col min="35" max="35" width="12.7109375" customWidth="1"/>
    <col min="36" max="36" width="13" customWidth="1"/>
    <col min="37" max="37" width="14" customWidth="1"/>
    <col min="38" max="38" width="12.5703125" customWidth="1"/>
    <col min="39" max="39" width="12" customWidth="1"/>
    <col min="40" max="40" width="16.5703125" customWidth="1"/>
    <col min="41" max="41" width="15.7109375" customWidth="1"/>
    <col min="42" max="42" width="15.85546875" customWidth="1"/>
    <col min="43" max="44" width="16.28515625" customWidth="1"/>
    <col min="45" max="45" width="13.28515625" customWidth="1"/>
    <col min="46" max="46" width="15" customWidth="1"/>
    <col min="47" max="47" width="19.7109375" customWidth="1"/>
    <col min="48" max="48" width="22" customWidth="1"/>
    <col min="49" max="49" width="15.7109375" customWidth="1"/>
    <col min="50" max="50" width="16.5703125" customWidth="1"/>
    <col min="51" max="51" width="16.140625" customWidth="1"/>
    <col min="52" max="52" width="14.5703125" customWidth="1"/>
    <col min="53" max="53" width="14.28515625" customWidth="1"/>
    <col min="54" max="56" width="14.85546875" customWidth="1"/>
    <col min="57" max="58" width="15" customWidth="1"/>
    <col min="59" max="59" width="15.85546875" customWidth="1"/>
    <col min="60" max="60" width="15.28515625" customWidth="1"/>
    <col min="61" max="61" width="15.140625" customWidth="1"/>
    <col min="62" max="62" width="13.85546875" style="160" customWidth="1"/>
    <col min="63" max="63" width="13.5703125" customWidth="1"/>
  </cols>
  <sheetData>
    <row r="1" spans="1:17">
      <c r="A1" s="47" t="s">
        <v>1419</v>
      </c>
      <c r="E1" s="98"/>
      <c r="I1" s="159" t="str">
        <f>'Data Entry - SOF'!C1</f>
        <v xml:space="preserve"> &lt; Will load after Co-Dist # is entered below</v>
      </c>
      <c r="J1" s="598"/>
      <c r="K1" s="616"/>
      <c r="M1" s="98"/>
      <c r="N1" s="98"/>
      <c r="O1" s="98"/>
      <c r="P1" s="98"/>
      <c r="Q1" s="207"/>
    </row>
    <row r="2" spans="1:17">
      <c r="E2" s="98"/>
      <c r="I2" s="98" t="e">
        <f>'Data Entry - SOF'!#REF!</f>
        <v>#REF!</v>
      </c>
      <c r="J2" s="598"/>
      <c r="K2" s="616"/>
      <c r="M2" s="98"/>
      <c r="N2" s="98"/>
      <c r="O2" s="98"/>
      <c r="P2" s="98"/>
      <c r="Q2" s="207"/>
    </row>
    <row r="3" spans="1:17">
      <c r="E3" s="82"/>
      <c r="I3" s="82">
        <f>'Data Entry - SOF'!C3</f>
        <v>0</v>
      </c>
      <c r="J3"/>
      <c r="K3" s="616"/>
      <c r="M3" s="82"/>
      <c r="N3" s="82"/>
      <c r="O3" s="82"/>
      <c r="P3" s="82"/>
      <c r="Q3" s="208"/>
    </row>
    <row r="4" spans="1:17">
      <c r="J4" s="599"/>
      <c r="K4" s="617"/>
    </row>
    <row r="6" spans="1:17">
      <c r="A6" s="18" t="s">
        <v>80</v>
      </c>
    </row>
    <row r="7" spans="1:17">
      <c r="A7" s="24" t="s">
        <v>1450</v>
      </c>
      <c r="B7" s="26"/>
      <c r="C7" s="27"/>
      <c r="D7" s="892"/>
      <c r="E7" s="190" t="s">
        <v>2372</v>
      </c>
      <c r="G7" s="28"/>
      <c r="H7" s="461" t="s">
        <v>1009</v>
      </c>
      <c r="I7" s="536" t="s">
        <v>1009</v>
      </c>
      <c r="J7" s="600" t="s">
        <v>1009</v>
      </c>
      <c r="K7" s="619" t="s">
        <v>1009</v>
      </c>
      <c r="L7" s="637" t="s">
        <v>1009</v>
      </c>
      <c r="M7" s="28"/>
      <c r="N7" s="28"/>
      <c r="O7" s="28"/>
      <c r="P7" s="28"/>
      <c r="Q7" s="209"/>
    </row>
    <row r="8" spans="1:17">
      <c r="A8" s="34"/>
      <c r="B8" s="35"/>
      <c r="C8" s="34"/>
      <c r="D8" s="433"/>
      <c r="E8" s="431" t="s">
        <v>2940</v>
      </c>
      <c r="H8" s="478" t="s">
        <v>1058</v>
      </c>
      <c r="I8" s="557" t="s">
        <v>2515</v>
      </c>
      <c r="J8" s="601" t="s">
        <v>1298</v>
      </c>
      <c r="K8" s="634" t="s">
        <v>2579</v>
      </c>
      <c r="L8" s="651" t="s">
        <v>2580</v>
      </c>
      <c r="Q8" s="210"/>
    </row>
    <row r="9" spans="1:17">
      <c r="A9" s="34"/>
      <c r="B9" t="s">
        <v>2285</v>
      </c>
      <c r="D9" s="433"/>
      <c r="E9" s="219" t="e">
        <f>'Data Entry - SOF'!#REF!</f>
        <v>#REF!</v>
      </c>
      <c r="H9" s="464" t="e">
        <f>'Data Entry - SOF'!#REF!</f>
        <v>#REF!</v>
      </c>
      <c r="I9" s="544" t="e">
        <f>'Data Entry - SOF'!#REF!</f>
        <v>#REF!</v>
      </c>
      <c r="J9" s="602" t="e">
        <f>'Data Entry - SOF'!#REF!</f>
        <v>#REF!</v>
      </c>
      <c r="K9" s="620" t="e">
        <f>'Data Entry - SOF'!#REF!</f>
        <v>#REF!</v>
      </c>
      <c r="L9" s="638" t="e">
        <f>'Data Entry - SOF'!#REF!</f>
        <v>#REF!</v>
      </c>
      <c r="Q9" s="211"/>
    </row>
    <row r="10" spans="1:17">
      <c r="B10" s="99" t="s">
        <v>2109</v>
      </c>
      <c r="D10" s="433"/>
      <c r="E10" s="219" t="e">
        <f>IF(E9&gt;0.98*'Data Entry - SOF'!#REF!,E9,0.98*'Data Entry - SOF'!#REF!)</f>
        <v>#REF!</v>
      </c>
      <c r="H10" s="464" t="e">
        <f>IF(H9&gt;0.98*'Data Entry - SOF'!#REF!,H9,0.98*'Data Entry - SOF'!#REF!)</f>
        <v>#REF!</v>
      </c>
      <c r="I10" s="544" t="e">
        <f>IF(I9&gt;0.98*H9,I9,0.98*H9)</f>
        <v>#REF!</v>
      </c>
      <c r="J10" s="602" t="e">
        <f>IF(J9&gt;0.98*I9,J9,0.98*I9)</f>
        <v>#REF!</v>
      </c>
      <c r="K10" s="620" t="e">
        <f>IF(K9&gt;0.98*J9,K9,0.98*J9)</f>
        <v>#REF!</v>
      </c>
      <c r="L10" s="638" t="e">
        <f>IF(L9&gt;0.98*K9,L9,0.98*K9)</f>
        <v>#REF!</v>
      </c>
      <c r="Q10" s="211"/>
    </row>
    <row r="11" spans="1:17">
      <c r="B11" t="s">
        <v>2286</v>
      </c>
      <c r="D11" s="433"/>
      <c r="E11" s="219" t="e">
        <f>SUM('Data Entry - SOF'!#REF!)+SUM('Data Entry - SOF'!#REF!)</f>
        <v>#REF!</v>
      </c>
      <c r="H11" s="464" t="e">
        <f>SUM('Data Entry - SOF'!#REF!)+SUM('Data Entry - SOF'!#REF!)</f>
        <v>#REF!</v>
      </c>
      <c r="I11" s="544" t="e">
        <f>SUM('Data Entry - SOF'!#REF!)+SUM('Data Entry - SOF'!#REF!)</f>
        <v>#REF!</v>
      </c>
      <c r="J11" s="602" t="e">
        <f>SUM('Data Entry - SOF'!#REF!)+SUM('Data Entry - SOF'!#REF!)</f>
        <v>#REF!</v>
      </c>
      <c r="K11" s="620" t="e">
        <f>SUM('Data Entry - SOF'!#REF!)+SUM('Data Entry - SOF'!#REF!)</f>
        <v>#REF!</v>
      </c>
      <c r="L11" s="638" t="e">
        <f>SUM('Data Entry - SOF'!#REF!)+SUM('Data Entry - SOF'!#REF!)</f>
        <v>#REF!</v>
      </c>
      <c r="Q11" s="211"/>
    </row>
    <row r="12" spans="1:17">
      <c r="B12" t="s">
        <v>2287</v>
      </c>
      <c r="D12" s="433"/>
      <c r="E12" s="219" t="e">
        <f>('Data Entry - SOF'!#REF!*5)+('Data Entry - SOF'!#REF!*3)+('Data Entry - SOF'!#REF!*5)+('Data Entry - SOF'!#REF!*3)+('Data Entry - SOF'!#REF!*3)+('Data Entry - SOF'!#REF!*2.7)+('Data Entry - SOF'!#REF!*2.3)+('Data Entry - SOF'!#REF!*3)</f>
        <v>#REF!</v>
      </c>
      <c r="H12" s="464" t="e">
        <f>('Data Entry - SOF'!#REF!*5)+('Data Entry - SOF'!#REF!*3)+('Data Entry - SOF'!#REF!*5)+('Data Entry - SOF'!#REF!*3)+('Data Entry - SOF'!#REF!*3)+('Data Entry - SOF'!#REF!*2.7)+('Data Entry - SOF'!#REF!*2.3)+('Data Entry - SOF'!#REF!*3)</f>
        <v>#REF!</v>
      </c>
      <c r="I12" s="544" t="e">
        <f>('Data Entry - SOF'!#REF!*5)+('Data Entry - SOF'!#REF!*3)+('Data Entry - SOF'!#REF!*5)+('Data Entry - SOF'!#REF!*3)+('Data Entry - SOF'!#REF!*3)+('Data Entry - SOF'!#REF!*2.7)+('Data Entry - SOF'!#REF!*2.3)+('Data Entry - SOF'!#REF!*3)</f>
        <v>#REF!</v>
      </c>
      <c r="J12" s="602" t="e">
        <f>('Data Entry - SOF'!#REF!*5)+('Data Entry - SOF'!#REF!*3)+('Data Entry - SOF'!#REF!*5)+('Data Entry - SOF'!#REF!*3)+('Data Entry - SOF'!#REF!*3)+('Data Entry - SOF'!#REF!*2.7)+('Data Entry - SOF'!#REF!*2.3)+('Data Entry - SOF'!#REF!*3)</f>
        <v>#REF!</v>
      </c>
      <c r="K12" s="620" t="e">
        <f>('Data Entry - SOF'!#REF!*5)+('Data Entry - SOF'!#REF!*3)+('Data Entry - SOF'!#REF!*5)+('Data Entry - SOF'!#REF!*3)+('Data Entry - SOF'!#REF!*3)+('Data Entry - SOF'!#REF!*2.7)+('Data Entry - SOF'!#REF!*2.3)+('Data Entry - SOF'!#REF!*3)</f>
        <v>#REF!</v>
      </c>
      <c r="L12" s="638" t="e">
        <f>('Data Entry - SOF'!#REF!*5)+('Data Entry - SOF'!#REF!*3)+('Data Entry - SOF'!#REF!*5)+('Data Entry - SOF'!#REF!*3)+('Data Entry - SOF'!#REF!*3)+('Data Entry - SOF'!#REF!*2.7)+('Data Entry - SOF'!#REF!*2.3)+('Data Entry - SOF'!#REF!*3)</f>
        <v>#REF!</v>
      </c>
      <c r="Q12" s="211"/>
    </row>
    <row r="13" spans="1:17">
      <c r="B13" t="s">
        <v>2288</v>
      </c>
      <c r="D13" s="433"/>
      <c r="E13" s="219" t="e">
        <f>E10-E11-'Data Entry - SOF'!#REF!</f>
        <v>#REF!</v>
      </c>
      <c r="H13" s="464" t="e">
        <f>H10-H11-'Data Entry - SOF'!#REF!</f>
        <v>#REF!</v>
      </c>
      <c r="I13" s="544" t="e">
        <f>I10-I11-'Data Entry - SOF'!#REF!</f>
        <v>#REF!</v>
      </c>
      <c r="J13" s="602" t="e">
        <f>J10-J11-'Data Entry - SOF'!#REF!</f>
        <v>#REF!</v>
      </c>
      <c r="K13" s="620" t="e">
        <f>K10-K11-'Data Entry - SOF'!#REF!</f>
        <v>#REF!</v>
      </c>
      <c r="L13" s="638" t="e">
        <f>L10-L11-'Data Entry - SOF'!#REF!</f>
        <v>#REF!</v>
      </c>
      <c r="Q13" s="211"/>
    </row>
    <row r="14" spans="1:17">
      <c r="B14" t="s">
        <v>2289</v>
      </c>
      <c r="D14" s="433"/>
      <c r="E14" s="219" t="e">
        <f>IF(E13&gt;129.999,0,IF(OR('Data Entry - SOF'!S322&gt;'Data Entry - SOF'!S323,'Data Entry - SOF'!S322&gt;'Data Entry - SOF'!S324),'Data Entry - SOF'!S322,IF('Data Entry - SOF'!S323&gt;'Data Entry - SOF'!S324,'Data Entry - SOF'!S323,'Data Entry - SOF'!S324)))</f>
        <v>#REF!</v>
      </c>
      <c r="H14" s="464" t="e">
        <f>IF(H13&gt;129.999,0,IF(OR('Data Entry - SOF'!#REF!&gt;'Data Entry - SOF'!#REF!,'Data Entry - SOF'!#REF!&gt;'Data Entry - SOF'!#REF!),'Data Entry - SOF'!#REF!,IF('Data Entry - SOF'!#REF!&gt;'Data Entry - SOF'!#REF!,'Data Entry - SOF'!#REF!,'Data Entry - SOF'!#REF!)))</f>
        <v>#REF!</v>
      </c>
      <c r="I14" s="544" t="e">
        <f>IF(I13&gt;129.999,0,IF(OR('Data Entry - SOF'!#REF!&gt;'Data Entry - SOF'!#REF!,'Data Entry - SOF'!#REF!&gt;'Data Entry - SOF'!#REF!),'Data Entry - SOF'!#REF!,IF('Data Entry - SOF'!#REF!&gt;'Data Entry - SOF'!#REF!,'Data Entry - SOF'!#REF!,'Data Entry - SOF'!#REF!)))</f>
        <v>#REF!</v>
      </c>
      <c r="J14" s="602" t="e">
        <f>IF(J13&gt;129.999,0,IF(OR('Data Entry - SOF'!#REF!&gt;'Data Entry - SOF'!#REF!,'Data Entry - SOF'!#REF!&gt;'Data Entry - SOF'!#REF!),'Data Entry - SOF'!#REF!,IF('Data Entry - SOF'!#REF!&gt;'Data Entry - SOF'!#REF!,'Data Entry - SOF'!#REF!,'Data Entry - SOF'!#REF!)))</f>
        <v>#REF!</v>
      </c>
      <c r="K14" s="620" t="e">
        <f>IF(K13&gt;129.999,0,IF(OR('Data Entry - SOF'!#REF!&gt;'Data Entry - SOF'!#REF!,'Data Entry - SOF'!#REF!&gt;'Data Entry - SOF'!#REF!),'Data Entry - SOF'!#REF!,IF('Data Entry - SOF'!#REF!&gt;'Data Entry - SOF'!#REF!,'Data Entry - SOF'!#REF!,'Data Entry - SOF'!#REF!)))</f>
        <v>#REF!</v>
      </c>
      <c r="L14" s="638" t="e">
        <f>IF(L13&gt;129.999,0,IF(OR('Data Entry - SOF'!X322&gt;'Data Entry - SOF'!X323,'Data Entry - SOF'!X322&gt;'Data Entry - SOF'!X324),'Data Entry - SOF'!X322,IF('Data Entry - SOF'!X323&gt;'Data Entry - SOF'!X324,'Data Entry - SOF'!X323,'Data Entry - SOF'!X324)))</f>
        <v>#REF!</v>
      </c>
      <c r="Q14" s="158"/>
    </row>
    <row r="15" spans="1:17">
      <c r="D15" s="892"/>
      <c r="E15" s="35"/>
      <c r="G15" s="35"/>
      <c r="H15" s="462"/>
      <c r="I15" s="532"/>
      <c r="J15" s="603"/>
      <c r="K15" s="621"/>
      <c r="L15" s="639"/>
      <c r="M15" s="35"/>
      <c r="N15" s="35"/>
      <c r="O15" s="35"/>
      <c r="P15" s="35"/>
      <c r="Q15" s="158"/>
    </row>
    <row r="16" spans="1:17" hidden="1">
      <c r="B16" s="99" t="s">
        <v>297</v>
      </c>
      <c r="D16" s="892"/>
      <c r="H16" s="111"/>
      <c r="I16" s="531"/>
    </row>
    <row r="17" spans="2:63" hidden="1">
      <c r="B17" s="99" t="s">
        <v>2363</v>
      </c>
      <c r="D17" s="892"/>
      <c r="H17" s="111"/>
      <c r="I17" s="531"/>
    </row>
    <row r="18" spans="2:63" hidden="1">
      <c r="B18" s="99" t="s">
        <v>860</v>
      </c>
      <c r="D18" s="892"/>
      <c r="H18" s="111"/>
      <c r="I18" s="531"/>
      <c r="BJ18" s="383" t="s">
        <v>1345</v>
      </c>
      <c r="BK18" s="383" t="s">
        <v>2939</v>
      </c>
    </row>
    <row r="19" spans="2:63">
      <c r="B19" s="99"/>
      <c r="D19" s="892"/>
      <c r="E19" s="190" t="s">
        <v>2372</v>
      </c>
      <c r="H19" s="461" t="s">
        <v>1009</v>
      </c>
      <c r="I19" s="536" t="s">
        <v>1009</v>
      </c>
      <c r="J19" s="600" t="s">
        <v>1009</v>
      </c>
      <c r="K19" s="619" t="s">
        <v>1009</v>
      </c>
      <c r="L19" s="637" t="s">
        <v>1009</v>
      </c>
      <c r="BJ19" s="203" t="s">
        <v>1430</v>
      </c>
      <c r="BK19" s="203" t="s">
        <v>1430</v>
      </c>
    </row>
    <row r="20" spans="2:63">
      <c r="B20" s="47"/>
      <c r="D20" s="433"/>
      <c r="E20" s="431" t="s">
        <v>2940</v>
      </c>
      <c r="H20" s="478" t="s">
        <v>1058</v>
      </c>
      <c r="I20" s="557" t="s">
        <v>2515</v>
      </c>
      <c r="J20" s="601" t="s">
        <v>1298</v>
      </c>
      <c r="K20" s="634" t="s">
        <v>2579</v>
      </c>
      <c r="L20" s="651" t="s">
        <v>2580</v>
      </c>
      <c r="Q20" s="210"/>
      <c r="BJ20" s="203" t="s">
        <v>1431</v>
      </c>
      <c r="BK20" s="203" t="s">
        <v>1431</v>
      </c>
    </row>
    <row r="21" spans="2:63">
      <c r="B21" t="s">
        <v>2048</v>
      </c>
      <c r="D21" s="433"/>
      <c r="E21" s="435" t="e">
        <f>IF('Data Entry - SOF'!#REF!&gt;=300,0.0004,0.00025)</f>
        <v>#REF!</v>
      </c>
      <c r="H21" s="465" t="e">
        <f>IF('Data Entry - SOF'!#REF!&gt;=300,0.0004,0.00025)</f>
        <v>#REF!</v>
      </c>
      <c r="I21" s="545" t="e">
        <f>IF('Data Entry - SOF'!#REF!&gt;=300,0.0004,0.00025)</f>
        <v>#REF!</v>
      </c>
      <c r="J21" s="604" t="e">
        <f>IF('Data Entry - SOF'!#REF!&gt;=300,0.0004,0.00025)</f>
        <v>#REF!</v>
      </c>
      <c r="K21" s="622" t="e">
        <f>IF('Data Entry - SOF'!#REF!&gt;=300,0.0004,0.00025)</f>
        <v>#REF!</v>
      </c>
      <c r="L21" s="640" t="e">
        <f>IF('Data Entry - SOF'!#REF!&gt;=300,0.0004,0.00025)</f>
        <v>#REF!</v>
      </c>
      <c r="Q21" s="158"/>
      <c r="BJ21" s="249" t="e">
        <f>IF('Data Entry - SOF'!#REF!&gt;300,0.0004,0.00025)</f>
        <v>#REF!</v>
      </c>
      <c r="BK21" s="249" t="e">
        <f>IF('Data Entry - SOF'!#REF!&gt;300,0.0004,0.00025)</f>
        <v>#REF!</v>
      </c>
    </row>
    <row r="22" spans="2:63">
      <c r="B22" t="s">
        <v>2776</v>
      </c>
      <c r="D22" s="433"/>
      <c r="E22" s="436">
        <v>3218</v>
      </c>
      <c r="H22" s="596">
        <f>Assumptions!C17</f>
        <v>3737</v>
      </c>
      <c r="I22" s="597">
        <f>Assumptions!C26</f>
        <v>3874</v>
      </c>
      <c r="J22" s="605">
        <f>Assumptions!C35</f>
        <v>4193</v>
      </c>
      <c r="K22" s="623">
        <f>Assumptions!C46</f>
        <v>4427</v>
      </c>
      <c r="L22" s="641">
        <f>Assumptions!C55</f>
        <v>4535</v>
      </c>
      <c r="Q22" s="158"/>
      <c r="AQ22" s="319" t="s">
        <v>2939</v>
      </c>
      <c r="AU22" s="319" t="s">
        <v>1059</v>
      </c>
      <c r="AV22" s="591" t="s">
        <v>2516</v>
      </c>
      <c r="AW22" s="664" t="s">
        <v>195</v>
      </c>
      <c r="AX22" s="666" t="s">
        <v>196</v>
      </c>
      <c r="AY22" s="665" t="s">
        <v>197</v>
      </c>
      <c r="BJ22" s="250" t="e">
        <f>#REF!</f>
        <v>#REF!</v>
      </c>
      <c r="BK22" s="250">
        <f>D22</f>
        <v>0</v>
      </c>
    </row>
    <row r="23" spans="2:63">
      <c r="B23" t="s">
        <v>1915</v>
      </c>
      <c r="D23" s="433"/>
      <c r="E23" s="204" t="e">
        <f>ROUND(E22*(((G62-1)*0.71)+1),0)</f>
        <v>#REF!</v>
      </c>
      <c r="H23" s="466" t="e">
        <f>ROUND(H22*(((H62-1)*0.71)+1),0)</f>
        <v>#REF!</v>
      </c>
      <c r="I23" s="546" t="e">
        <f>ROUND(I22*(((I62-1)*0.71)+1),0)</f>
        <v>#REF!</v>
      </c>
      <c r="J23" s="606" t="e">
        <f>ROUND(J22*(((J62-1)*0.71)+1),0)</f>
        <v>#REF!</v>
      </c>
      <c r="K23" s="624" t="e">
        <f>ROUND(K22*(((K62-1)*0.71)+1),0)</f>
        <v>#REF!</v>
      </c>
      <c r="L23" s="642" t="e">
        <f>ROUND(L22*(((L62-1)*0.71)+1),0)</f>
        <v>#REF!</v>
      </c>
      <c r="Q23" s="212"/>
      <c r="AQ23" s="194" t="s">
        <v>2629</v>
      </c>
      <c r="AU23" s="194" t="s">
        <v>2629</v>
      </c>
      <c r="AV23" s="536" t="s">
        <v>2629</v>
      </c>
      <c r="AW23" s="600" t="s">
        <v>2629</v>
      </c>
      <c r="AX23" s="637" t="s">
        <v>2629</v>
      </c>
      <c r="AY23" s="619" t="s">
        <v>2629</v>
      </c>
      <c r="BJ23" s="251" t="e">
        <f>ROUND(BJ22*(((D62-1)*0.71)+1),0)</f>
        <v>#REF!</v>
      </c>
      <c r="BK23" s="251">
        <f>ROUND(BK22*(((F62-1)*0.71)+1),0)</f>
        <v>0</v>
      </c>
    </row>
    <row r="24" spans="2:63">
      <c r="B24" t="s">
        <v>94</v>
      </c>
      <c r="D24" s="433"/>
      <c r="E24" s="204" t="e">
        <f>ROUND(IF(E13&gt;1600,E23,(1+(1600-IF(E13&gt;E14,E13,E14))*E21)*E23),0)</f>
        <v>#REF!</v>
      </c>
      <c r="H24" s="466" t="e">
        <f>ROUND(IF(H13&gt;1600,H23,(1+(1600-IF(H13&gt;H14,H13,H14))*H21)*H23),0)</f>
        <v>#REF!</v>
      </c>
      <c r="I24" s="546" t="e">
        <f>ROUND(IF(I13&gt;1600,I23,(1+(1600-IF(I13&gt;I14,I13,I14))*I21)*I23),0)</f>
        <v>#REF!</v>
      </c>
      <c r="J24" s="606" t="e">
        <f>ROUND(IF(J13&gt;1600,J23,(1+(1600-IF(J13&gt;J14,J13,J14))*J21)*J23),0)</f>
        <v>#REF!</v>
      </c>
      <c r="K24" s="624" t="e">
        <f>ROUND(IF(K13&gt;1600,K23,(1+(1600-IF(K13&gt;K14,K13,K14))*K21)*K23),0)</f>
        <v>#REF!</v>
      </c>
      <c r="L24" s="642" t="e">
        <f>ROUND(IF(L13&gt;1600,L23,(1+(1600-IF(L13&gt;L14,L13,L14))*L21)*L23),0)</f>
        <v>#REF!</v>
      </c>
      <c r="Q24" s="212"/>
      <c r="AV24" s="531"/>
      <c r="AW24" s="172"/>
      <c r="AX24" s="636"/>
      <c r="AY24" s="618"/>
      <c r="BJ24" s="251" t="e">
        <f>ROUND(IF(G13&gt;1600,BJ23,(1+(1600-IF(G13&gt;G14,G13,G14))*BJ21)*BJ23),0)</f>
        <v>#REF!</v>
      </c>
      <c r="BK24" s="251" t="e">
        <f>ROUND(IF(H13&gt;1600,BK23,(1+(1600-IF(H13&gt;H14,H13,H14))*BK21)*BK23),0)</f>
        <v>#REF!</v>
      </c>
    </row>
    <row r="25" spans="2:63">
      <c r="B25" t="s">
        <v>2169</v>
      </c>
      <c r="D25" s="433"/>
      <c r="E25" s="204" t="e">
        <f>ROUND(IF('Data Entry - SOF'!#REF!="Y",0,IF(OR(E13&gt;4999.999,'Data Entry - SOF'!#REF!&lt;12),0,(1+((5000-E13)*0.000025))*E23)),0)</f>
        <v>#REF!</v>
      </c>
      <c r="H25" s="466" t="e">
        <f>ROUND(IF('Data Entry - SOF'!#REF!="Y",0,IF(OR(H13&gt;4999.999,'Data Entry - SOF'!#REF!&lt;12),0,(1+((5000-H13)*0.000025))*H23)),0)</f>
        <v>#REF!</v>
      </c>
      <c r="I25" s="546" t="e">
        <f>ROUND(IF('Data Entry - SOF'!#REF!="Y",0,IF(OR(I13&gt;4999.999,'Data Entry - SOF'!#REF!&lt;12),0,(1+((5000-I13)*0.000025))*I23)),0)</f>
        <v>#REF!</v>
      </c>
      <c r="J25" s="606" t="e">
        <f>ROUND(IF('Data Entry - SOF'!#REF!="Y",0,IF(OR(J13&gt;4999.999,'Data Entry - SOF'!#REF!&lt;12),0,(1+((5000-J13)*0.000025))*J23)),0)</f>
        <v>#REF!</v>
      </c>
      <c r="K25" s="624" t="e">
        <f>ROUND(IF('Data Entry - SOF'!#REF!="Y",0,IF(OR(K13&gt;4999.999,'Data Entry - SOF'!#REF!&lt;12),0,(1+((5000-K13)*0.000025))*K23)),0)</f>
        <v>#REF!</v>
      </c>
      <c r="L25" s="642" t="e">
        <f>ROUND(IF('Data Entry - SOF'!#REF!="Y",0,IF(OR(L13&gt;4999.999,'Data Entry - SOF'!#REF!&lt;12),0,(1+((5000-L13)*0.000025))*L23)),0)</f>
        <v>#REF!</v>
      </c>
      <c r="Q25" s="212"/>
      <c r="AQ25" s="332" t="e">
        <f>ROUND(IF(AND('Data Entry - SOF'!#REF!="n",'Data Entry - SOF'!#REF!="Y"),0,IF(OR(D13&gt;4999.999,'Data Entry - SOF'!#REF!&lt;12),0,(1+((5000-D13)*0.000025))*D23)),0)</f>
        <v>#REF!</v>
      </c>
      <c r="AR25" s="204" t="e">
        <f>ROUND(IF(AND('Data Entry - SOF'!#REF!="n",'Data Entry - SOF'!#REF!="Y"),0,IF(OR(E13&gt;4999.999,'Data Entry - SOF'!#REF!&lt;12),0,(1+((5000-E13)*0.000025))*E23)),0)</f>
        <v>#REF!</v>
      </c>
      <c r="AU25" s="466" t="e">
        <f>ROUND(IF(AND('Data Entry - SOF'!#REF!="n",'Data Entry - SOF'!#REF!="Y"),0,IF(OR(H13&gt;4999.999,'Data Entry - SOF'!#REF!&lt;12),0,(1+((5000-H13)*0.000025))*H23)),0)</f>
        <v>#REF!</v>
      </c>
      <c r="AV25" s="546" t="e">
        <f>ROUND(IF(AND('Data Entry - SOF'!#REF!="n",'Data Entry - SOF'!#REF!="Y"),0,IF(OR(I13&gt;4999.999,'Data Entry - SOF'!#REF!&lt;12),0,(1+((5000-I13)*0.000025))*I23)),0)</f>
        <v>#REF!</v>
      </c>
      <c r="AW25" s="606" t="e">
        <f>ROUND(IF(AND('Data Entry - SOF'!#REF!="n",'Data Entry - SOF'!#REF!="Y"),0,IF(OR(J13&gt;4999.999,'Data Entry - SOF'!#REF!&lt;12),0,(1+((5000-J13)*0.000025))*J23)),0)</f>
        <v>#REF!</v>
      </c>
      <c r="AX25" s="642" t="e">
        <f>ROUND(IF(AND('Data Entry - SOF'!#REF!="n",'Data Entry - SOF'!#REF!="Y"),0,IF(OR(K13&gt;4999.999,'Data Entry - SOF'!#REF!&lt;12),0,(1+((5000-K13)*0.000025))*K23)),0)</f>
        <v>#REF!</v>
      </c>
      <c r="AY25" s="624" t="e">
        <f>ROUND(IF(AND('Data Entry - SOF'!#REF!="n",'Data Entry - SOF'!#REF!="Y"),0,IF(OR(L13&gt;4999.999,'Data Entry - SOF'!#REF!&lt;12),0,(1+((5000-L13)*0.000025))*L23)),0)</f>
        <v>#REF!</v>
      </c>
      <c r="BJ25" s="251" t="e">
        <f>ROUND(IF('Data Entry - SOF'!#REF!="Y",0,IF(OR(G13&gt;4999.999,'Data Entry - SOF'!#REF!&lt;12),0,(1+((5000-G13)*0.000025))*BJ23)),0)</f>
        <v>#REF!</v>
      </c>
      <c r="BK25" s="251" t="e">
        <f>ROUND(IF('Data Entry - SOF'!#REF!="Y",0,IF(OR(H13&gt;4999.999,'Data Entry - SOF'!#REF!&lt;12),0,(1+((5000-H13)*0.000025))*BK23)),0)</f>
        <v>#REF!</v>
      </c>
    </row>
    <row r="26" spans="2:63">
      <c r="B26" t="s">
        <v>1916</v>
      </c>
      <c r="D26" s="433"/>
      <c r="E26" s="204" t="e">
        <f>IF(AND(E25&gt;=E24,E25&gt;=E23),E25,IF(AND(E24&gt;=E23,E24&gt;=E25),E24,E23))</f>
        <v>#REF!</v>
      </c>
      <c r="H26" s="466" t="e">
        <f>IF(AND(H25&gt;=H24,H25&gt;=H23),H25,IF(AND(H24&gt;=H23,H24&gt;=H25),H24,H23))</f>
        <v>#REF!</v>
      </c>
      <c r="I26" s="546" t="e">
        <f>IF(AND(I25&gt;=I24,I25&gt;=I23),I25,IF(AND(I24&gt;=I23,I24&gt;=I25),I24,I23))</f>
        <v>#REF!</v>
      </c>
      <c r="J26" s="606" t="e">
        <f>IF(AND(J25&gt;=J24,J25&gt;=J23),J25,IF(AND(J24&gt;=J23,J24&gt;=J25),J24,J23))</f>
        <v>#REF!</v>
      </c>
      <c r="K26" s="624" t="e">
        <f>IF(AND(K25&gt;=K24,K25&gt;=K23),K25,IF(AND(K24&gt;=K23,K24&gt;=K25),K24,K23))</f>
        <v>#REF!</v>
      </c>
      <c r="L26" s="642" t="e">
        <f>IF(AND(L25&gt;=L24,L25&gt;=L23),L25,IF(AND(L24&gt;=L23,L24&gt;=L25),L24,L23))</f>
        <v>#REF!</v>
      </c>
      <c r="Q26" s="212"/>
      <c r="AQ26" s="332" t="e">
        <f>IF(AND(AQ25&gt;=D24,AQ25&gt;=D23),AQ25,IF(AND(D24&gt;=D23,D24&gt;=AQ25),D24,D23))</f>
        <v>#REF!</v>
      </c>
      <c r="AR26" s="204" t="e">
        <f>IF(AND(AR25&gt;=E24,AR25&gt;=E23),AR25,IF(AND(E24&gt;=E23,E24&gt;=AR25),E24,E23))</f>
        <v>#REF!</v>
      </c>
      <c r="AU26" s="466" t="e">
        <f>IF(AND(AU25&gt;=H24,AU25&gt;=H23),AU25,IF(AND(H24&gt;=H23,H24&gt;=AU25),H24,H23))</f>
        <v>#REF!</v>
      </c>
      <c r="AV26" s="546" t="e">
        <f>IF(AND(AV25&gt;=I24,AV25&gt;=I23),AV25,IF(AND(I24&gt;=I23,I24&gt;=AV25),I24,I23))</f>
        <v>#REF!</v>
      </c>
      <c r="AW26" s="606" t="e">
        <f>IF(AND(AW25&gt;=J24,AW25&gt;=J23),AW25,IF(AND(J24&gt;=J23,J24&gt;=AW25),J24,J23))</f>
        <v>#REF!</v>
      </c>
      <c r="AX26" s="642" t="e">
        <f>IF(AND(AX25&gt;=K24,AX25&gt;=K23),AX25,IF(AND(K24&gt;=K23,K24&gt;=AX25),K24,K23))</f>
        <v>#REF!</v>
      </c>
      <c r="AY26" s="624" t="e">
        <f>IF(AND(AY25&gt;=L24,AY25&gt;=L23),AY25,IF(AND(L24&gt;=L23,L24&gt;=AY25),L24,L23))</f>
        <v>#REF!</v>
      </c>
      <c r="BJ26" s="251" t="e">
        <f>IF(AND(BJ25&gt;BJ24,BJ25&gt;BJ23),BJ25,IF(AND(BJ24&gt;BJ23,BJ24&gt;BJ25),BJ24,BJ23))</f>
        <v>#REF!</v>
      </c>
      <c r="BK26" s="251" t="e">
        <f>IF(AND(BK25&gt;BK24,BK25&gt;BK23),BK25,IF(AND(BK24&gt;BK23,BK24&gt;BK25),BK24,BK23))</f>
        <v>#REF!</v>
      </c>
    </row>
    <row r="27" spans="2:63">
      <c r="B27" t="s">
        <v>1052</v>
      </c>
      <c r="D27" s="433"/>
      <c r="E27" s="431"/>
      <c r="H27" s="477"/>
      <c r="I27" s="557"/>
      <c r="J27" s="601"/>
      <c r="K27" s="634"/>
      <c r="L27" s="651"/>
      <c r="Q27" s="212"/>
      <c r="AQ27" s="323"/>
      <c r="AU27" s="111"/>
      <c r="AV27" s="531"/>
      <c r="AW27" s="172"/>
      <c r="AX27" s="636"/>
      <c r="AY27" s="618"/>
      <c r="BK27" s="160"/>
    </row>
    <row r="28" spans="2:63">
      <c r="B28" t="s">
        <v>1053</v>
      </c>
      <c r="D28" s="433"/>
      <c r="E28" s="236" t="e">
        <f>ROUND(((#REF!-#REF!-#REF!-#REF!-#REF!)-(((E23-E22)*0.5)/E23)*(#REF!-#REF!-#REF!-#REF!-#REF!))/E22,4)</f>
        <v>#REF!</v>
      </c>
      <c r="H28" s="467" t="e">
        <f>ROUND(((#REF!-#REF!-#REF!-#REF!-#REF!)-(((H23-H22)*0.5)/H23)*(#REF!-#REF!-#REF!-#REF!-#REF!))/H22,4)</f>
        <v>#REF!</v>
      </c>
      <c r="I28" s="547" t="e">
        <f>ROUND(((#REF!-#REF!-#REF!-#REF!-#REF!)-(((I23-I22)*0.5)/I23)*(#REF!-#REF!-#REF!-#REF!-#REF!))/I22,4)</f>
        <v>#REF!</v>
      </c>
      <c r="J28" s="607" t="e">
        <f>ROUND(((#REF!-#REF!-#REF!-#REF!-#REF!)-(((J23-J22)*0.5)/J23)*(#REF!-#REF!-#REF!-#REF!-#REF!))/J22,4)</f>
        <v>#REF!</v>
      </c>
      <c r="K28" s="625" t="e">
        <f>ROUND(((#REF!-#REF!-#REF!-#REF!-#REF!)-(((K23-K22)*0.5)/K23)*(#REF!-#REF!-#REF!-#REF!-#REF!))/K22,4)</f>
        <v>#REF!</v>
      </c>
      <c r="L28" s="643" t="e">
        <f>ROUND(((#REF!-#REF!-#REF!-#REF!-#REF!)-(((L23-L22)*0.5)/L23)*(#REF!-#REF!-#REF!-#REF!-#REF!))/L22,4)</f>
        <v>#REF!</v>
      </c>
      <c r="Q28" s="213"/>
      <c r="AQ28" s="333" t="e">
        <f>ROUND(((#REF!-#REF!-#REF!-#REF!-#REF!)-(((D23-D22)*0.5)/D23)*(#REF!-#REF!-#REF!-#REF!-#REF!))/D22,4)</f>
        <v>#REF!</v>
      </c>
      <c r="AR28" s="236" t="e">
        <f>ROUND(((#REF!-#REF!-#REF!-#REF!-#REF!)-(((E23-E22)*0.5)/E23)*(#REF!-#REF!-#REF!-#REF!-#REF!))/E22,4)</f>
        <v>#REF!</v>
      </c>
      <c r="AU28" s="467" t="e">
        <f>ROUND(((#REF!-#REF!-#REF!-#REF!-#REF!)-(((H23-H22)*0.5)/H23)*(#REF!-#REF!-#REF!-#REF!-#REF!))/H22,4)</f>
        <v>#REF!</v>
      </c>
      <c r="AV28" s="547" t="e">
        <f>ROUND(((#REF!-#REF!-#REF!-#REF!-#REF!)-(((I23-I22)*0.5)/I23)*(#REF!-#REF!-#REF!-#REF!-#REF!))/I22,4)</f>
        <v>#REF!</v>
      </c>
      <c r="AW28" s="607" t="e">
        <f>ROUND(((#REF!-#REF!-#REF!-#REF!-#REF!)-(((J23-J22)*0.5)/J23)*(#REF!-#REF!-#REF!-#REF!-#REF!))/J22,4)</f>
        <v>#REF!</v>
      </c>
      <c r="AX28" s="643" t="e">
        <f>ROUND(((#REF!-#REF!-#REF!-#REF!-#REF!)-(((K23-K22)*0.5)/K23)*(#REF!-#REF!-#REF!-#REF!-#REF!))/K22,4)</f>
        <v>#REF!</v>
      </c>
      <c r="AY28" s="625" t="e">
        <f>ROUND(((#REF!-#REF!-#REF!-#REF!-#REF!)-(((L23-L22)*0.5)/L23)*(#REF!-#REF!-#REF!-#REF!-#REF!))/L22,4)</f>
        <v>#REF!</v>
      </c>
      <c r="BJ28" s="252"/>
      <c r="BK28" s="252"/>
    </row>
    <row r="29" spans="2:63">
      <c r="B29" t="s">
        <v>644</v>
      </c>
      <c r="D29" s="433"/>
      <c r="E29" s="236" t="e">
        <f>AR28</f>
        <v>#REF!</v>
      </c>
      <c r="H29" s="467" t="e">
        <f>AU28</f>
        <v>#REF!</v>
      </c>
      <c r="I29" s="547" t="e">
        <f>AV28</f>
        <v>#REF!</v>
      </c>
      <c r="J29" s="607" t="e">
        <f>AW28</f>
        <v>#REF!</v>
      </c>
      <c r="K29" s="625" t="e">
        <f>AX28</f>
        <v>#REF!</v>
      </c>
      <c r="L29" s="643" t="e">
        <f>AY28</f>
        <v>#REF!</v>
      </c>
      <c r="Q29" s="213"/>
      <c r="AO29" s="320"/>
      <c r="AP29" s="321"/>
      <c r="BJ29" s="252"/>
      <c r="BK29" s="252"/>
    </row>
    <row r="30" spans="2:63">
      <c r="B30" t="s">
        <v>847</v>
      </c>
      <c r="D30" s="433"/>
      <c r="E30" s="236" t="e">
        <f>('Data Entry - SOF'!#REF!-IFA!#REF!)/('Data Entry - SOF'!#REF!/100)</f>
        <v>#REF!</v>
      </c>
      <c r="H30" s="467" t="e">
        <f>('Data Entry - SOF'!#REF!-IFA!#REF!)/('Data Entry - SOF'!#REF!/100)</f>
        <v>#REF!</v>
      </c>
      <c r="I30" s="595" t="e">
        <f>('Data Entry - SOF'!#REF!-IFA!#REF!)/('Data Entry - SOF'!#REF!/100)</f>
        <v>#REF!</v>
      </c>
      <c r="J30" s="667" t="e">
        <f>('Data Entry - SOF'!#REF!-IFA!G79)/('Data Entry - SOF'!#REF!/100)</f>
        <v>#REF!</v>
      </c>
      <c r="K30" s="668" t="e">
        <f>('Data Entry - SOF'!#REF!-IFA!#REF!)/('Data Entry - SOF'!#REF!/100)</f>
        <v>#REF!</v>
      </c>
      <c r="L30" s="669" t="e">
        <f>('Data Entry - SOF'!#REF!-IFA!#REF!)/('Data Entry - SOF'!#REF!/100)</f>
        <v>#REF!</v>
      </c>
      <c r="Q30" s="214"/>
      <c r="BJ30" s="253"/>
      <c r="BK30" s="253"/>
    </row>
    <row r="31" spans="2:63">
      <c r="B31" s="47" t="s">
        <v>382</v>
      </c>
      <c r="D31" s="433"/>
      <c r="E31" s="431"/>
      <c r="H31" s="477"/>
      <c r="I31" s="557"/>
      <c r="J31" s="601"/>
      <c r="K31" s="634"/>
      <c r="L31" s="651"/>
      <c r="Q31" s="158"/>
      <c r="BK31" s="160"/>
    </row>
    <row r="32" spans="2:63">
      <c r="B32" t="s">
        <v>675</v>
      </c>
      <c r="D32" s="433"/>
      <c r="E32" s="442" t="e">
        <f>AM38</f>
        <v>#REF!</v>
      </c>
      <c r="H32" s="468" t="e">
        <f>AP38</f>
        <v>#REF!</v>
      </c>
      <c r="I32" s="548" t="e">
        <f>AT38</f>
        <v>#REF!</v>
      </c>
      <c r="J32" s="608" t="e">
        <f>AX38</f>
        <v>#REF!</v>
      </c>
      <c r="K32" s="626" t="e">
        <f>BB38</f>
        <v>#REF!</v>
      </c>
      <c r="L32" s="644" t="e">
        <f>BF38</f>
        <v>#REF!</v>
      </c>
      <c r="Q32" s="214"/>
      <c r="BJ32" s="253"/>
      <c r="BK32" s="253"/>
    </row>
    <row r="33" spans="2:63">
      <c r="B33" t="s">
        <v>709</v>
      </c>
      <c r="D33" s="433"/>
      <c r="E33" s="442" t="e">
        <f>AM39</f>
        <v>#REF!</v>
      </c>
      <c r="H33" s="468" t="e">
        <f>AP39</f>
        <v>#REF!</v>
      </c>
      <c r="I33" s="548" t="e">
        <f>AT39</f>
        <v>#REF!</v>
      </c>
      <c r="J33" s="608" t="e">
        <f>AX39</f>
        <v>#REF!</v>
      </c>
      <c r="K33" s="626" t="e">
        <f>BB39</f>
        <v>#REF!</v>
      </c>
      <c r="L33" s="644" t="e">
        <f>BF39</f>
        <v>#REF!</v>
      </c>
      <c r="Q33" s="158"/>
      <c r="BK33" s="160"/>
    </row>
    <row r="34" spans="2:63">
      <c r="B34" t="s">
        <v>2294</v>
      </c>
      <c r="D34" s="433"/>
      <c r="E34" s="236" t="e">
        <f>AM40</f>
        <v>#REF!</v>
      </c>
      <c r="H34" s="467" t="e">
        <f>AP40</f>
        <v>#REF!</v>
      </c>
      <c r="I34" s="547" t="e">
        <f>AT40</f>
        <v>#REF!</v>
      </c>
      <c r="J34" s="607" t="e">
        <f>AX40</f>
        <v>#REF!</v>
      </c>
      <c r="K34" s="625" t="e">
        <f>BB40</f>
        <v>#REF!</v>
      </c>
      <c r="L34" s="643" t="e">
        <f>BF40</f>
        <v>#REF!</v>
      </c>
      <c r="Q34" s="158"/>
      <c r="BK34" s="160"/>
    </row>
    <row r="35" spans="2:63">
      <c r="B35" s="201" t="s">
        <v>710</v>
      </c>
      <c r="C35" s="177"/>
      <c r="D35" s="433"/>
      <c r="E35" s="443" t="e">
        <f>IF('Data Entry - SOF'!#REF!-0.86&lt;0,0,'Data Entry - SOF'!#REF!-0.86)</f>
        <v>#REF!</v>
      </c>
      <c r="H35" s="469" t="e">
        <f>IF('Data Entry - SOF'!#REF!-0.86&lt;0,0,'Data Entry - SOF'!#REF!-0.86)</f>
        <v>#REF!</v>
      </c>
      <c r="I35" s="549" t="e">
        <f>IF('Data Entry - SOF'!#REF!-0.86&lt;0,0,'Data Entry - SOF'!#REF!-0.86)</f>
        <v>#REF!</v>
      </c>
      <c r="J35" s="609" t="e">
        <f>IF('Data Entry - SOF'!#REF!-0.86&lt;0,0,'Data Entry - SOF'!#REF!-0.86)</f>
        <v>#REF!</v>
      </c>
      <c r="K35" s="627" t="e">
        <f>IF('Data Entry - SOF'!#REF!-0.86&lt;0,0,'Data Entry - SOF'!#REF!-0.86)</f>
        <v>#REF!</v>
      </c>
      <c r="L35" s="645" t="e">
        <f>IF('Data Entry - SOF'!#REF!-0.86&lt;0,0,'Data Entry - SOF'!#REF!-0.86)</f>
        <v>#REF!</v>
      </c>
      <c r="Q35" s="158"/>
      <c r="AV35" s="121"/>
      <c r="BK35" s="160"/>
    </row>
    <row r="36" spans="2:63">
      <c r="B36" t="s">
        <v>2030</v>
      </c>
      <c r="D36" s="433"/>
      <c r="E36" s="219" t="e">
        <f>AN42</f>
        <v>#REF!</v>
      </c>
      <c r="H36" s="464" t="e">
        <f>AP42</f>
        <v>#REF!</v>
      </c>
      <c r="I36" s="544" t="e">
        <f>AT42</f>
        <v>#REF!</v>
      </c>
      <c r="J36" s="602" t="e">
        <f>AX42</f>
        <v>#REF!</v>
      </c>
      <c r="K36" s="620" t="e">
        <f>BB42</f>
        <v>#REF!</v>
      </c>
      <c r="L36" s="638" t="e">
        <f>BF42</f>
        <v>#REF!</v>
      </c>
      <c r="Q36" s="158"/>
      <c r="BK36" s="160"/>
    </row>
    <row r="37" spans="2:63">
      <c r="B37" t="s">
        <v>2031</v>
      </c>
      <c r="D37" s="433"/>
      <c r="E37" s="218" t="e">
        <f>E36*E32</f>
        <v>#REF!</v>
      </c>
      <c r="H37" s="470" t="e">
        <f>H36*H32</f>
        <v>#REF!</v>
      </c>
      <c r="I37" s="550" t="e">
        <f>I36*I32</f>
        <v>#REF!</v>
      </c>
      <c r="J37" s="610" t="e">
        <f>J36*J32</f>
        <v>#REF!</v>
      </c>
      <c r="K37" s="628" t="e">
        <f>K36*K32</f>
        <v>#REF!</v>
      </c>
      <c r="L37" s="646" t="e">
        <f>L36*L32</f>
        <v>#REF!</v>
      </c>
      <c r="Q37" s="210"/>
      <c r="AL37" s="345" t="s">
        <v>1088</v>
      </c>
      <c r="AM37" s="344"/>
      <c r="AP37" s="479" t="s">
        <v>1060</v>
      </c>
      <c r="AQ37" s="480"/>
      <c r="AR37" s="480"/>
      <c r="AS37" s="480"/>
      <c r="AT37" s="693" t="s">
        <v>2517</v>
      </c>
      <c r="AU37" s="694"/>
      <c r="AV37" s="558"/>
      <c r="AW37" s="558"/>
      <c r="AX37" s="670" t="s">
        <v>1545</v>
      </c>
      <c r="AY37" s="671"/>
      <c r="AZ37" s="671"/>
      <c r="BA37" s="671"/>
      <c r="BB37" s="684" t="s">
        <v>1546</v>
      </c>
      <c r="BC37" s="685"/>
      <c r="BD37" s="686"/>
      <c r="BE37" s="686"/>
      <c r="BF37" s="678" t="s">
        <v>1547</v>
      </c>
      <c r="BG37" s="679"/>
      <c r="BH37" s="677"/>
      <c r="BI37" s="677"/>
      <c r="BK37" s="160"/>
    </row>
    <row r="38" spans="2:63">
      <c r="B38" s="47" t="s">
        <v>1653</v>
      </c>
      <c r="D38" s="433"/>
      <c r="E38" s="443" t="e">
        <f>AO42</f>
        <v>#REF!</v>
      </c>
      <c r="H38" s="469" t="e">
        <f>AQ42</f>
        <v>#REF!</v>
      </c>
      <c r="I38" s="549" t="e">
        <f>AU42</f>
        <v>#REF!</v>
      </c>
      <c r="J38" s="609" t="e">
        <f>AY42</f>
        <v>#REF!</v>
      </c>
      <c r="K38" s="627" t="e">
        <f>BC42</f>
        <v>#REF!</v>
      </c>
      <c r="L38" s="645" t="e">
        <f>BG42</f>
        <v>#REF!</v>
      </c>
      <c r="Q38" s="210"/>
      <c r="AL38" s="228" t="e">
        <f>('Data Entry - SOF'!#REF!)/('Data Entry - SOF'!#REF!*100)</f>
        <v>#REF!</v>
      </c>
      <c r="AM38" s="437" t="e">
        <f>('Data Entry - SOF'!#REF!/('Data Entry - SOF'!#REF!*100))</f>
        <v>#REF!</v>
      </c>
      <c r="AO38" s="481" t="e">
        <f>(('Data Entry - SOF'!#REF!-'Data Entry - SOF'!#REF!-IFA!#REF!)/('Data Entry - SOF'!#REF!*100))</f>
        <v>#REF!</v>
      </c>
      <c r="AP38" s="481" t="e">
        <f>('Data Entry - SOF'!#REF!/('Data Entry - SOF'!#REF!*100))</f>
        <v>#REF!</v>
      </c>
      <c r="AQ38" s="480"/>
      <c r="AR38" s="480"/>
      <c r="AS38" s="480"/>
      <c r="AT38" s="695" t="e">
        <f>('Data Entry - SOF'!#REF!/('Data Entry - SOF'!#REF!*100))</f>
        <v>#REF!</v>
      </c>
      <c r="AU38" s="694"/>
      <c r="AV38" s="558"/>
      <c r="AW38" s="558"/>
      <c r="AX38" s="672" t="e">
        <f>('Data Entry - SOF'!#REF!/('Data Entry - SOF'!#REF!*100))</f>
        <v>#REF!</v>
      </c>
      <c r="AY38" s="671"/>
      <c r="AZ38" s="671"/>
      <c r="BA38" s="671"/>
      <c r="BB38" s="687" t="e">
        <f>('Data Entry - SOF'!#REF!/('Data Entry - SOF'!#REF!*100))</f>
        <v>#REF!</v>
      </c>
      <c r="BC38" s="685"/>
      <c r="BD38" s="686"/>
      <c r="BE38" s="686"/>
      <c r="BF38" s="680" t="e">
        <f>('Data Entry - SOF'!#REF!/('Data Entry - SOF'!#REF!*100))</f>
        <v>#REF!</v>
      </c>
      <c r="BG38" s="679"/>
      <c r="BH38" s="677"/>
      <c r="BI38" s="677"/>
      <c r="BK38" s="160"/>
    </row>
    <row r="39" spans="2:63">
      <c r="B39" t="s">
        <v>2231</v>
      </c>
      <c r="D39" s="433"/>
      <c r="E39" s="219" t="e">
        <f>AN43</f>
        <v>#REF!</v>
      </c>
      <c r="H39" s="464" t="e">
        <f>AP43</f>
        <v>#REF!</v>
      </c>
      <c r="I39" s="544" t="e">
        <f>AT43</f>
        <v>#REF!</v>
      </c>
      <c r="J39" s="602" t="e">
        <f>AX43</f>
        <v>#REF!</v>
      </c>
      <c r="K39" s="620" t="e">
        <f>BB43</f>
        <v>#REF!</v>
      </c>
      <c r="L39" s="638" t="e">
        <f>BF43</f>
        <v>#REF!</v>
      </c>
      <c r="Q39" s="210"/>
      <c r="AL39" s="228" t="e">
        <f>AL38*IF('Data Entry - SOF'!#REF!&lt;'Data Entry - SOF'!#REF!,('Data Entry - SOF'!#REF!*100),('Data Entry - SOF'!#REF!*100))</f>
        <v>#REF!</v>
      </c>
      <c r="AM39" s="437" t="e">
        <f>AM38*IF('Data Entry - SOF'!#REF!&lt;'Data Entry - SOF'!#REF!,('Data Entry - SOF'!#REF!*100),('Data Entry - SOF'!#REF!*100))</f>
        <v>#REF!</v>
      </c>
      <c r="AP39" s="481" t="e">
        <f>AP38*IF('Data Entry - SOF'!#REF!&lt;'Data Entry - SOF'!#REF!,('Data Entry - SOF'!#REF!*100),('Data Entry - SOF'!#REF!*100))</f>
        <v>#REF!</v>
      </c>
      <c r="AQ39" s="480"/>
      <c r="AR39" s="480"/>
      <c r="AS39" s="480"/>
      <c r="AT39" s="695" t="e">
        <f>AT38*IF('Data Entry - SOF'!#REF!&lt;'Data Entry - SOF'!#REF!,('Data Entry - SOF'!#REF!*100),('Data Entry - SOF'!#REF!*100))</f>
        <v>#REF!</v>
      </c>
      <c r="AU39" s="694"/>
      <c r="AV39" s="558"/>
      <c r="AW39" s="558"/>
      <c r="AX39" s="672" t="e">
        <f>AX38*IF('Data Entry - SOF'!#REF!&lt;'Data Entry - SOF'!#REF!,('Data Entry - SOF'!#REF!*100),('Data Entry - SOF'!#REF!*100))</f>
        <v>#REF!</v>
      </c>
      <c r="AY39" s="671"/>
      <c r="AZ39" s="671"/>
      <c r="BA39" s="671"/>
      <c r="BB39" s="687" t="e">
        <f>BB38*IF('Data Entry - SOF'!#REF!&lt;'Data Entry - SOF'!#REF!,('Data Entry - SOF'!#REF!*100),('Data Entry - SOF'!#REF!*100))</f>
        <v>#REF!</v>
      </c>
      <c r="BC39" s="685"/>
      <c r="BD39" s="686"/>
      <c r="BE39" s="686"/>
      <c r="BF39" s="680" t="e">
        <f>BF38*IF('Data Entry - SOF'!#REF!&lt;'Data Entry - SOF'!#REF!,('Data Entry - SOF'!#REF!*100),('Data Entry - SOF'!#REF!*100))</f>
        <v>#REF!</v>
      </c>
      <c r="BG39" s="679"/>
      <c r="BH39" s="677"/>
      <c r="BI39" s="677"/>
      <c r="BK39" s="160"/>
    </row>
    <row r="40" spans="2:63">
      <c r="B40" t="s">
        <v>2378</v>
      </c>
      <c r="D40" s="433"/>
      <c r="E40" s="218" t="e">
        <f>E39*E32</f>
        <v>#REF!</v>
      </c>
      <c r="H40" s="470" t="e">
        <f>H39*H32</f>
        <v>#REF!</v>
      </c>
      <c r="I40" s="550" t="e">
        <f>I39*I32</f>
        <v>#REF!</v>
      </c>
      <c r="J40" s="610" t="e">
        <f>J39*J32</f>
        <v>#REF!</v>
      </c>
      <c r="K40" s="628" t="e">
        <f>K39*K32</f>
        <v>#REF!</v>
      </c>
      <c r="L40" s="646" t="e">
        <f>L39*L32</f>
        <v>#REF!</v>
      </c>
      <c r="Q40" s="215"/>
      <c r="AL40" s="230" t="e">
        <f>(AL39/'Data Entry - SOF'!#REF!)*100</f>
        <v>#REF!</v>
      </c>
      <c r="AM40" s="438" t="e">
        <f>(AM39/'Data Entry - SOF'!#REF!)*100</f>
        <v>#REF!</v>
      </c>
      <c r="AP40" s="482" t="e">
        <f>(AP39/'Data Entry - SOF'!#REF!)*100</f>
        <v>#REF!</v>
      </c>
      <c r="AQ40" s="480"/>
      <c r="AR40" s="480"/>
      <c r="AS40" s="480"/>
      <c r="AT40" s="696" t="e">
        <f>(AT39/'Data Entry - SOF'!#REF!)*100</f>
        <v>#REF!</v>
      </c>
      <c r="AU40" s="694"/>
      <c r="AV40" s="558"/>
      <c r="AW40" s="558"/>
      <c r="AX40" s="673" t="e">
        <f>(AX39/'Data Entry - SOF'!#REF!)*100</f>
        <v>#REF!</v>
      </c>
      <c r="AY40" s="671"/>
      <c r="AZ40" s="671"/>
      <c r="BA40" s="671"/>
      <c r="BB40" s="688" t="e">
        <f>(BB39/'Data Entry - SOF'!#REF!)*100</f>
        <v>#REF!</v>
      </c>
      <c r="BC40" s="685"/>
      <c r="BD40" s="686"/>
      <c r="BE40" s="686"/>
      <c r="BF40" s="681" t="e">
        <f>(BF39/'Data Entry - SOF'!#REF!)*100</f>
        <v>#REF!</v>
      </c>
      <c r="BG40" s="679"/>
      <c r="BH40" s="677"/>
      <c r="BI40" s="677"/>
      <c r="BK40" s="160"/>
    </row>
    <row r="41" spans="2:63">
      <c r="B41" s="47" t="s">
        <v>2675</v>
      </c>
      <c r="D41" s="433"/>
      <c r="E41" s="443" t="e">
        <f>IF(E35+AO43&gt;MAX(0.31,AP50),MAX(0.31,AP50)-E35,AO43)</f>
        <v>#REF!</v>
      </c>
      <c r="H41" s="469" t="e">
        <f>IF(H35+AQ43&gt;MAX(0.31,AR50),MAX(0.31,AR50)-H35,AQ43)</f>
        <v>#REF!</v>
      </c>
      <c r="I41" s="549" t="e">
        <f>IF(I35+AU43&gt;MAX(0.31,AV50),MAX(0.31,AV50)-I35,AU43)</f>
        <v>#REF!</v>
      </c>
      <c r="J41" s="609" t="e">
        <f>IF(J35+AY43&gt;MAX(0.31,AZ50),MAX(0.31,AZ50)-J35,AY43)</f>
        <v>#REF!</v>
      </c>
      <c r="K41" s="627" t="e">
        <f>IF(K35+BC43&gt;MAX(0.31,BD50),MAX(0.31,BD50)-K35,BC43)</f>
        <v>#REF!</v>
      </c>
      <c r="L41" s="645" t="e">
        <f>IF(L35+BG43&gt;MAX(0.31,BH50),MAX(0.31,BH50)-L35,BG43)</f>
        <v>#REF!</v>
      </c>
      <c r="Q41" s="215"/>
      <c r="AL41" s="344"/>
      <c r="AM41" s="346" t="e">
        <f>IF(AL40-0.86&gt;MAX(0.31005,AO50),MAX(0.31005,AO50),IF(AL40-0.86&lt;0,0,AL40-0.86))</f>
        <v>#REF!</v>
      </c>
      <c r="AO41" s="439" t="e">
        <f>IF(AM40-0.86&gt;MAX(0.31005,AP50),MAX(0.31005,AP50),IF(AM40-0.86&lt;0,0,AM40-0.86))</f>
        <v>#REF!</v>
      </c>
      <c r="AP41" s="480"/>
      <c r="AQ41" s="483" t="e">
        <f>IF(AP40-0.86&gt;MAX(0.31005,AR50),MAX(0.31005,AR50),IF(AP40-0.86&lt;0,0,AP40-0.86))</f>
        <v>#REF!</v>
      </c>
      <c r="AR41" s="480"/>
      <c r="AS41" s="480"/>
      <c r="AT41" s="694"/>
      <c r="AU41" s="697" t="e">
        <f>IF(AT40-0.86&gt;MAX(0.31005,AV50),MAX(0.31005,AV50),IF(AT40-0.86&lt;0,0,AT40-0.86))</f>
        <v>#REF!</v>
      </c>
      <c r="AV41" s="558"/>
      <c r="AW41" s="558"/>
      <c r="AX41" s="671"/>
      <c r="AY41" s="674" t="e">
        <f>IF(AX40-0.86&gt;MAX(0.31005,AZ50),MAX(0.31005,AZ50),IF(AX40-0.86&lt;0,0,AX40-0.86))</f>
        <v>#REF!</v>
      </c>
      <c r="AZ41" s="671"/>
      <c r="BA41" s="671"/>
      <c r="BB41" s="685"/>
      <c r="BC41" s="689" t="e">
        <f>IF(BB40-0.86&gt;MAX(0.31005,BD50),MAX(0.31005,BD50),IF(BB40-0.86&lt;0,0,BB40-0.86))</f>
        <v>#REF!</v>
      </c>
      <c r="BD41" s="686"/>
      <c r="BE41" s="686"/>
      <c r="BF41" s="679"/>
      <c r="BG41" s="682" t="e">
        <f>IF(BF40-0.86&gt;MAX(0.31005,BH50),MAX(0.31005,BH50),IF(BF40-0.86&lt;0,0,BF40-0.86))</f>
        <v>#REF!</v>
      </c>
      <c r="BH41" s="677"/>
      <c r="BI41" s="677"/>
      <c r="BK41" s="160"/>
    </row>
    <row r="42" spans="2:63">
      <c r="D42" s="433"/>
      <c r="E42" s="431"/>
      <c r="H42" s="477"/>
      <c r="I42" s="557"/>
      <c r="J42" s="601"/>
      <c r="K42" s="634"/>
      <c r="L42" s="651"/>
      <c r="Q42" s="214"/>
      <c r="AL42" s="344" t="e">
        <f>IF('Data Entry - SOF'!#REF!&lt;='Data Entry - SOF'!#REF!,0,IF('Data Entry - SOF'!#REF!&gt;'Data Entry - SOF'!#REF!+0.06,0.06*100,('Data Entry - SOF'!#REF!-'Data Entry - SOF'!#REF!)*100))</f>
        <v>#REF!</v>
      </c>
      <c r="AM42" s="346" t="e">
        <f>((AL42*AL38)/'Data Entry - SOF'!#REF!)*100</f>
        <v>#REF!</v>
      </c>
      <c r="AN42" s="440" t="e">
        <f>IF('Data Entry - SOF'!#REF!&lt;='Data Entry - SOF'!#REF!,0,IF('Data Entry - SOF'!#REF!&gt;'Data Entry - SOF'!#REF!+0.06,0.06*100,('Data Entry - SOF'!#REF!-'Data Entry - SOF'!#REF!)*100))</f>
        <v>#REF!</v>
      </c>
      <c r="AO42" s="439" t="e">
        <f>((AN42*AM38)/'Data Entry - SOF'!#REF!)*100</f>
        <v>#REF!</v>
      </c>
      <c r="AP42" s="480" t="e">
        <f>IF('Data Entry - SOF'!#REF!&lt;='Data Entry - SOF'!#REF!,0,IF('Data Entry - SOF'!#REF!&gt;'Data Entry - SOF'!#REF!+0.06,0.06*100,('Data Entry - SOF'!#REF!-'Data Entry - SOF'!#REF!)*100))</f>
        <v>#REF!</v>
      </c>
      <c r="AQ42" s="483" t="e">
        <f>((AP42*AO38)/'Data Entry - SOF'!#REF!)*100</f>
        <v>#REF!</v>
      </c>
      <c r="AR42" s="480"/>
      <c r="AS42" s="480"/>
      <c r="AT42" s="694" t="e">
        <f>IF('Data Entry - SOF'!#REF!&lt;='Data Entry - SOF'!#REF!,0,IF('Data Entry - SOF'!#REF!&gt;'Data Entry - SOF'!#REF!+0.06,0.06*100,('Data Entry - SOF'!#REF!-'Data Entry - SOF'!#REF!)*100))</f>
        <v>#REF!</v>
      </c>
      <c r="AU42" s="697" t="e">
        <f>((AT42*AT38)/'Data Entry - SOF'!#REF!)*100</f>
        <v>#REF!</v>
      </c>
      <c r="AV42" s="558"/>
      <c r="AW42" s="558"/>
      <c r="AX42" s="671" t="e">
        <f>IF('Data Entry - SOF'!#REF!&lt;='Data Entry - SOF'!#REF!,0,IF('Data Entry - SOF'!#REF!&gt;'Data Entry - SOF'!#REF!+0.06,0.06*100,('Data Entry - SOF'!#REF!-'Data Entry - SOF'!#REF!)*100))</f>
        <v>#REF!</v>
      </c>
      <c r="AY42" s="674" t="e">
        <f>((AX42*AX38)/'Data Entry - SOF'!#REF!)*100</f>
        <v>#REF!</v>
      </c>
      <c r="AZ42" s="671"/>
      <c r="BA42" s="671"/>
      <c r="BB42" s="685" t="e">
        <f>IF('Data Entry - SOF'!#REF!&lt;='Data Entry - SOF'!#REF!,0,IF('Data Entry - SOF'!#REF!&gt;'Data Entry - SOF'!#REF!+0.06,0.06*100,('Data Entry - SOF'!#REF!-'Data Entry - SOF'!#REF!)*100))</f>
        <v>#REF!</v>
      </c>
      <c r="BC42" s="689" t="e">
        <f>((BB42*BB38)/'Data Entry - SOF'!#REF!)*100</f>
        <v>#REF!</v>
      </c>
      <c r="BD42" s="686"/>
      <c r="BE42" s="686"/>
      <c r="BF42" s="679" t="e">
        <f>IF('Data Entry - SOF'!#REF!&lt;='Data Entry - SOF'!#REF!,0,IF('Data Entry - SOF'!#REF!&gt;'Data Entry - SOF'!#REF!+0.06,0.06*100,('Data Entry - SOF'!#REF!-'Data Entry - SOF'!#REF!)*100))</f>
        <v>#REF!</v>
      </c>
      <c r="BG42" s="682" t="e">
        <f>((BF42*BF38)/'Data Entry - SOF'!#REF!)*100</f>
        <v>#REF!</v>
      </c>
      <c r="BH42" s="677"/>
      <c r="BI42" s="677"/>
      <c r="BK42" s="160"/>
    </row>
    <row r="43" spans="2:63">
      <c r="D43" s="433"/>
      <c r="E43" s="444"/>
      <c r="H43" s="477"/>
      <c r="I43" s="557"/>
      <c r="J43" s="601"/>
      <c r="K43" s="634"/>
      <c r="L43" s="651"/>
      <c r="Q43" s="216"/>
      <c r="AL43" s="344" t="e">
        <f>IF('Data Entry - SOF'!#REF!-'Data Entry - SOF'!#REF!&gt;0.06,('Data Entry - SOF'!#REF!-('Data Entry - SOF'!#REF!+0.06))*100,0)</f>
        <v>#REF!</v>
      </c>
      <c r="AM43" s="346" t="e">
        <f>((AL43*AL38)/'Data Entry - SOF'!#REF!)*100</f>
        <v>#REF!</v>
      </c>
      <c r="AN43" s="440" t="e">
        <f>IF('Data Entry - SOF'!#REF!-'Data Entry - SOF'!#REF!&gt;0.06,('Data Entry - SOF'!#REF!-('Data Entry - SOF'!#REF!+0.06))*100,0)</f>
        <v>#REF!</v>
      </c>
      <c r="AO43" s="439" t="e">
        <f>((AN43*AM38)/'Data Entry - SOF'!#REF!)*100</f>
        <v>#REF!</v>
      </c>
      <c r="AP43" s="480" t="e">
        <f>IF('Data Entry - SOF'!#REF!-'Data Entry - SOF'!#REF!&gt;0.06,('Data Entry - SOF'!#REF!-('Data Entry - SOF'!#REF!+0.06))*100,0)</f>
        <v>#REF!</v>
      </c>
      <c r="AQ43" s="483" t="e">
        <f>((AP43*AO38)/'Data Entry - SOF'!#REF!)*100</f>
        <v>#REF!</v>
      </c>
      <c r="AR43" s="480"/>
      <c r="AS43" s="480"/>
      <c r="AT43" s="694" t="e">
        <f>IF('Data Entry - SOF'!#REF!-'Data Entry - SOF'!#REF!&gt;0.06,('Data Entry - SOF'!#REF!-('Data Entry - SOF'!#REF!+0.06))*100,0)</f>
        <v>#REF!</v>
      </c>
      <c r="AU43" s="697" t="e">
        <f>((AT43*AT38)/'Data Entry - SOF'!#REF!)*100</f>
        <v>#REF!</v>
      </c>
      <c r="AV43" s="558"/>
      <c r="AW43" s="558"/>
      <c r="AX43" s="671" t="e">
        <f>IF('Data Entry - SOF'!#REF!-'Data Entry - SOF'!#REF!&gt;0.06,('Data Entry - SOF'!#REF!-('Data Entry - SOF'!#REF!+0.06))*100,0)</f>
        <v>#REF!</v>
      </c>
      <c r="AY43" s="674" t="e">
        <f>((AX43*AX38)/'Data Entry - SOF'!#REF!)*100</f>
        <v>#REF!</v>
      </c>
      <c r="AZ43" s="671"/>
      <c r="BA43" s="671"/>
      <c r="BB43" s="685" t="e">
        <f>IF('Data Entry - SOF'!#REF!-'Data Entry - SOF'!#REF!&gt;0.06,('Data Entry - SOF'!#REF!-('Data Entry - SOF'!#REF!+0.06))*100,0)</f>
        <v>#REF!</v>
      </c>
      <c r="BC43" s="689" t="e">
        <f>((BB43*BB38)/'Data Entry - SOF'!#REF!)*100</f>
        <v>#REF!</v>
      </c>
      <c r="BD43" s="686"/>
      <c r="BE43" s="686"/>
      <c r="BF43" s="679" t="e">
        <f>IF('Data Entry - SOF'!#REF!-'Data Entry - SOF'!#REF!&gt;0.06,('Data Entry - SOF'!#REF!-('Data Entry - SOF'!#REF!+0.06))*100,0)</f>
        <v>#REF!</v>
      </c>
      <c r="BG43" s="682" t="e">
        <f>((BF43*BF38)/'Data Entry - SOF'!#REF!)*100</f>
        <v>#REF!</v>
      </c>
      <c r="BH43" s="677"/>
      <c r="BI43" s="677"/>
      <c r="BK43" s="160"/>
    </row>
    <row r="44" spans="2:63">
      <c r="B44" t="s">
        <v>1654</v>
      </c>
      <c r="D44" s="433"/>
      <c r="E44" s="221" t="e">
        <f>E35*('Data Entry - SOF'!#REF!/100)</f>
        <v>#REF!</v>
      </c>
      <c r="H44" s="471" t="e">
        <f>H35*('Data Entry - SOF'!#REF!/100)</f>
        <v>#REF!</v>
      </c>
      <c r="I44" s="551" t="e">
        <f>I35*('Data Entry - SOF'!#REF!/100)</f>
        <v>#REF!</v>
      </c>
      <c r="J44" s="611" t="e">
        <f>J35*('Data Entry - SOF'!#REF!/100)</f>
        <v>#REF!</v>
      </c>
      <c r="K44" s="629" t="e">
        <f>K35*('Data Entry - SOF'!#REF!/100)</f>
        <v>#REF!</v>
      </c>
      <c r="L44" s="647" t="e">
        <f>L35*('Data Entry - SOF'!#REF!/100)</f>
        <v>#REF!</v>
      </c>
      <c r="Q44" s="217"/>
      <c r="BK44" s="160"/>
    </row>
    <row r="45" spans="2:63">
      <c r="B45" s="177" t="s">
        <v>338</v>
      </c>
      <c r="C45" s="177"/>
      <c r="D45" s="433"/>
      <c r="E45" s="221" t="e">
        <f>E38*('Data Entry - SOF'!#REF!/100)</f>
        <v>#REF!</v>
      </c>
      <c r="H45" s="471" t="e">
        <f>H38*('Data Entry - SOF'!#REF!/100)</f>
        <v>#REF!</v>
      </c>
      <c r="I45" s="551" t="e">
        <f>I38*('Data Entry - SOF'!#REF!/100)</f>
        <v>#REF!</v>
      </c>
      <c r="J45" s="611" t="e">
        <f>J38*('Data Entry - SOF'!#REF!/100)</f>
        <v>#REF!</v>
      </c>
      <c r="K45" s="629" t="e">
        <f>K38*('Data Entry - SOF'!#REF!/100)</f>
        <v>#REF!</v>
      </c>
      <c r="L45" s="647" t="e">
        <f>L38*('Data Entry - SOF'!#REF!/100)</f>
        <v>#REF!</v>
      </c>
      <c r="Q45" s="202"/>
      <c r="BK45" s="160"/>
    </row>
    <row r="46" spans="2:63">
      <c r="B46" s="177" t="s">
        <v>2676</v>
      </c>
      <c r="C46" s="177"/>
      <c r="D46" s="433"/>
      <c r="E46" s="221" t="e">
        <f>E41*('Data Entry - SOF'!#REF!/100)</f>
        <v>#REF!</v>
      </c>
      <c r="H46" s="471" t="e">
        <f>H41*('Data Entry - SOF'!#REF!/100)</f>
        <v>#REF!</v>
      </c>
      <c r="I46" s="551" t="e">
        <f>I41*('Data Entry - SOF'!#REF!/100)</f>
        <v>#REF!</v>
      </c>
      <c r="J46" s="611" t="e">
        <f>J41*('Data Entry - SOF'!#REF!/100)</f>
        <v>#REF!</v>
      </c>
      <c r="K46" s="629" t="e">
        <f>K41*('Data Entry - SOF'!#REF!/100)</f>
        <v>#REF!</v>
      </c>
      <c r="L46" s="647" t="e">
        <f>L41*('Data Entry - SOF'!#REF!/100)</f>
        <v>#REF!</v>
      </c>
      <c r="Q46" s="216"/>
      <c r="AG46" s="49" t="s">
        <v>1406</v>
      </c>
      <c r="BK46" s="160"/>
    </row>
    <row r="47" spans="2:63">
      <c r="H47" s="111"/>
      <c r="I47" s="531"/>
      <c r="Q47" s="217"/>
      <c r="AG47" s="49" t="s">
        <v>1264</v>
      </c>
      <c r="AO47" s="310" t="s">
        <v>2939</v>
      </c>
      <c r="AR47" s="480" t="s">
        <v>1059</v>
      </c>
      <c r="AS47" s="480"/>
      <c r="AV47" s="698" t="s">
        <v>2516</v>
      </c>
      <c r="AW47" s="480"/>
      <c r="AZ47" s="699" t="s">
        <v>195</v>
      </c>
      <c r="BA47" s="675"/>
      <c r="BD47" s="690" t="s">
        <v>196</v>
      </c>
      <c r="BE47" s="691"/>
      <c r="BH47" s="683" t="s">
        <v>196</v>
      </c>
      <c r="BI47" s="683"/>
      <c r="BK47" s="160"/>
    </row>
    <row r="48" spans="2:63">
      <c r="H48" s="111"/>
      <c r="I48" s="531"/>
      <c r="Q48" s="202"/>
      <c r="AG48" s="49" t="s">
        <v>1262</v>
      </c>
      <c r="AO48" s="310" t="s">
        <v>2149</v>
      </c>
      <c r="AR48" s="480" t="s">
        <v>2149</v>
      </c>
      <c r="AS48" s="480"/>
      <c r="AV48" s="698" t="s">
        <v>2149</v>
      </c>
      <c r="AW48" s="480"/>
      <c r="AZ48" s="699" t="s">
        <v>2149</v>
      </c>
      <c r="BA48" s="675"/>
      <c r="BD48" s="690" t="s">
        <v>2149</v>
      </c>
      <c r="BE48" s="691"/>
      <c r="BH48" s="683" t="s">
        <v>2149</v>
      </c>
      <c r="BI48" s="683"/>
      <c r="BK48" s="160"/>
    </row>
    <row r="49" spans="1:63" hidden="1">
      <c r="H49" s="111"/>
      <c r="I49" s="531"/>
      <c r="Q49" s="216"/>
      <c r="AG49" s="49" t="s">
        <v>1263</v>
      </c>
      <c r="AO49" s="310" t="e">
        <f>'Data Entry - SOF'!#REF!+0.17</f>
        <v>#REF!</v>
      </c>
      <c r="AP49" s="441" t="e">
        <f>'Data Entry - SOF'!#REF!+0.17</f>
        <v>#REF!</v>
      </c>
      <c r="AR49" s="480" t="e">
        <f>'Data Entry - SOF'!#REF!+0.17</f>
        <v>#REF!</v>
      </c>
      <c r="AS49" s="480"/>
      <c r="AV49" s="698" t="e">
        <f>'Data Entry - SOF'!#REF!+0.17</f>
        <v>#REF!</v>
      </c>
      <c r="AW49" s="480"/>
      <c r="AZ49" s="699" t="e">
        <f>'Data Entry - SOF'!#REF!+0.17</f>
        <v>#REF!</v>
      </c>
      <c r="BA49" s="675"/>
      <c r="BD49" s="690" t="e">
        <f>'Data Entry - SOF'!#REF!+0.17</f>
        <v>#REF!</v>
      </c>
      <c r="BE49" s="691"/>
      <c r="BH49" s="683" t="e">
        <f>'Data Entry - SOF'!#REF!+0.17</f>
        <v>#REF!</v>
      </c>
      <c r="BI49" s="683"/>
      <c r="BK49" s="160"/>
    </row>
    <row r="50" spans="1:63" hidden="1">
      <c r="H50" s="111"/>
      <c r="I50" s="531"/>
      <c r="Q50" s="210"/>
      <c r="AG50" s="49" t="s">
        <v>1265</v>
      </c>
      <c r="AO50" s="310" t="e">
        <f>IF('Data Entry - SOF'!#REF!&lt;=1.5,0,AO49-0.86)</f>
        <v>#REF!</v>
      </c>
      <c r="AP50" s="441" t="e">
        <f>IF('Data Entry - SOF'!#REF!&lt;=1.5,0,AP49-0.86)</f>
        <v>#REF!</v>
      </c>
      <c r="AR50" s="480" t="e">
        <f>IF('Data Entry - SOF'!#REF!&lt;=1.5,0,AR49-0.86)</f>
        <v>#REF!</v>
      </c>
      <c r="AS50" s="480"/>
      <c r="AV50" s="698" t="e">
        <f>IF('Data Entry - SOF'!#REF!&lt;=1.5,0,AV49-0.86)</f>
        <v>#REF!</v>
      </c>
      <c r="AW50" s="480"/>
      <c r="AZ50" s="699" t="e">
        <f>IF('Data Entry - SOF'!#REF!&lt;=1.5,0,AZ49-0.86)</f>
        <v>#REF!</v>
      </c>
      <c r="BA50" s="675"/>
      <c r="BD50" s="690" t="e">
        <f>IF('Data Entry - SOF'!#REF!&lt;=1.5,0,BD49-0.86)</f>
        <v>#REF!</v>
      </c>
      <c r="BE50" s="691"/>
      <c r="BH50" s="683" t="e">
        <f>IF('Data Entry - SOF'!#REF!&lt;=1.5,0,BH49-0.86)</f>
        <v>#REF!</v>
      </c>
      <c r="BI50" s="683"/>
      <c r="BK50" s="160"/>
    </row>
    <row r="51" spans="1:63" hidden="1">
      <c r="H51" s="111"/>
      <c r="I51" s="531"/>
      <c r="Q51" s="210"/>
      <c r="AH51" s="121"/>
      <c r="AO51" s="310"/>
      <c r="AP51" s="310"/>
      <c r="AR51" s="522"/>
      <c r="AS51" s="522"/>
      <c r="AV51" s="522"/>
      <c r="AW51" s="522"/>
      <c r="AZ51" s="676"/>
      <c r="BA51" s="676"/>
      <c r="BD51" s="692"/>
      <c r="BE51" s="692"/>
      <c r="BH51" s="683"/>
      <c r="BI51" s="683"/>
      <c r="BK51" s="160"/>
    </row>
    <row r="52" spans="1:63" hidden="1">
      <c r="H52" s="111"/>
      <c r="I52" s="531"/>
      <c r="Q52" s="202"/>
      <c r="AH52" s="121"/>
      <c r="BK52" s="160"/>
    </row>
    <row r="53" spans="1:63" hidden="1">
      <c r="H53" s="111"/>
      <c r="I53" s="531"/>
      <c r="Q53" s="202"/>
      <c r="AH53" s="121"/>
      <c r="AO53" s="310" t="s">
        <v>2149</v>
      </c>
      <c r="AR53" s="480" t="s">
        <v>2149</v>
      </c>
      <c r="AS53" s="480"/>
      <c r="AV53" s="480" t="s">
        <v>2149</v>
      </c>
      <c r="AW53" s="480"/>
      <c r="BK53" s="160"/>
    </row>
    <row r="54" spans="1:63" hidden="1">
      <c r="H54" s="111"/>
      <c r="I54" s="531"/>
      <c r="Q54" s="202"/>
      <c r="AH54" s="121"/>
      <c r="AO54" s="310" t="e">
        <f>'Data Entry - SOF'!#REF!+0.17</f>
        <v>#REF!</v>
      </c>
      <c r="AP54" s="310" t="e">
        <f>'Data Entry - SOF'!#REF!+0.17</f>
        <v>#REF!</v>
      </c>
      <c r="AR54" s="310" t="e">
        <f>'Data Entry - SOF'!#REF!+0.17</f>
        <v>#REF!</v>
      </c>
      <c r="AS54" s="480"/>
      <c r="AV54" s="480" t="e">
        <f>'Data Entry - SOF'!#REF!+0.17</f>
        <v>#REF!</v>
      </c>
      <c r="AW54" s="480"/>
      <c r="BK54" s="160"/>
    </row>
    <row r="55" spans="1:63" hidden="1">
      <c r="H55" s="111"/>
      <c r="I55" s="531"/>
      <c r="AO55" s="310" t="e">
        <f>IF('Data Entry - SOF'!#REF!&lt;=1.5,0,AO54-0.86)</f>
        <v>#REF!</v>
      </c>
      <c r="AP55" s="310" t="e">
        <f>IF('Data Entry - SOF'!#REF!&lt;=1.5,0,AP54-0.86)</f>
        <v>#REF!</v>
      </c>
      <c r="AR55" s="310" t="e">
        <f>IF('Data Entry - SOF'!#REF!&lt;=1.5,0,AR54-0.86)</f>
        <v>#REF!</v>
      </c>
      <c r="AS55" s="480"/>
      <c r="AV55" s="480" t="e">
        <f>IF('Data Entry - SOF'!#REF!&lt;=1.5,0,AV54-0.86)</f>
        <v>#REF!</v>
      </c>
      <c r="AW55" s="480"/>
      <c r="BK55" s="160"/>
    </row>
    <row r="56" spans="1:63" hidden="1">
      <c r="H56" s="111"/>
      <c r="I56" s="531"/>
      <c r="AO56" s="310"/>
      <c r="AP56" s="310"/>
      <c r="AR56" s="522"/>
      <c r="AS56" s="522"/>
      <c r="AV56" s="522"/>
      <c r="AW56" s="522"/>
      <c r="BK56" s="160"/>
    </row>
    <row r="57" spans="1:63" hidden="1">
      <c r="H57" s="111"/>
      <c r="I57" s="531"/>
      <c r="BK57" s="160"/>
    </row>
    <row r="58" spans="1:63" hidden="1">
      <c r="H58" s="111"/>
      <c r="I58" s="531"/>
      <c r="BK58" s="160"/>
    </row>
    <row r="59" spans="1:63" hidden="1">
      <c r="H59" s="111"/>
      <c r="I59" s="531"/>
      <c r="BK59" s="160"/>
    </row>
    <row r="60" spans="1:63" hidden="1">
      <c r="B60" s="99" t="s">
        <v>2418</v>
      </c>
      <c r="E60" s="45"/>
      <c r="G60" s="45" t="e">
        <f>IF(AND(E9&lt;2000,E13&gt;1599.999),'Data Entry - SOF'!#REF!*(1+((2000-'Calc Data'!E10)*0.00014)),0)</f>
        <v>#REF!</v>
      </c>
      <c r="H60" s="653" t="e">
        <f>IF(AND(H9&lt;2000,H13&gt;1599.999),'Data Entry - SOF'!#REF!*(1+((2000-'Calc Data'!H10)*0.00014)),0)</f>
        <v>#REF!</v>
      </c>
      <c r="I60" s="656" t="e">
        <f>IF(AND(I9&lt;2000,I13&gt;1599.999),'Data Entry - SOF'!#REF!*(1+((2000-'Calc Data'!I10)*0.00014)),0)</f>
        <v>#REF!</v>
      </c>
      <c r="J60" s="658" t="e">
        <f>IF(AND(J9&lt;2000,J13&gt;1599.999),'Data Entry - SOF'!#REF!*(1+((2000-'Calc Data'!J10)*0.00014)),0)</f>
        <v>#REF!</v>
      </c>
      <c r="K60" s="660" t="e">
        <f>IF(AND(K9&lt;2000,K13&gt;1599.999),'Data Entry - SOF'!#REF!*(1+((2000-'Calc Data'!K10)*0.00014)),0)</f>
        <v>#REF!</v>
      </c>
      <c r="L60" s="662" t="e">
        <f>IF(AND(L9&lt;2000,L13&gt;1599.999),'Data Entry - SOF'!#REF!*(1+((2000-'Calc Data'!L10)*0.00014)),0)</f>
        <v>#REF!</v>
      </c>
      <c r="Q60" s="472" t="e">
        <f>IF(AND(H9&lt;2000,H13&gt;1599.999),'Data Entry - SOF'!#REF!*(1+((2000-'Calc Data'!H10)*0.00014)),0)</f>
        <v>#REF!</v>
      </c>
      <c r="R60" s="552" t="e">
        <f>IF(AND(I9&lt;2000,I13&gt;1599.999),'Data Entry - SOF'!#REF!*(1+((2000-'Calc Data'!I10)*0.00014)),0)</f>
        <v>#REF!</v>
      </c>
      <c r="BK60" s="160"/>
    </row>
    <row r="61" spans="1:63" hidden="1">
      <c r="B61" s="99" t="s">
        <v>1109</v>
      </c>
      <c r="E61" s="110"/>
      <c r="G61" s="110" t="e">
        <f>'Data Entry - SOF'!#REF!</f>
        <v>#REF!</v>
      </c>
      <c r="H61" s="654" t="e">
        <f>'Data Entry - SOF'!#REF!</f>
        <v>#REF!</v>
      </c>
      <c r="I61" s="657" t="e">
        <f>'Data Entry - SOF'!#REF!</f>
        <v>#REF!</v>
      </c>
      <c r="J61" s="659" t="e">
        <f>'Data Entry - SOF'!#REF!</f>
        <v>#REF!</v>
      </c>
      <c r="K61" s="661" t="e">
        <f>'Data Entry - SOF'!#REF!</f>
        <v>#REF!</v>
      </c>
      <c r="L61" s="663" t="e">
        <f>'Data Entry - SOF'!#REF!</f>
        <v>#REF!</v>
      </c>
      <c r="Q61" s="473" t="e">
        <f>'Data Entry - SOF'!#REF!</f>
        <v>#REF!</v>
      </c>
      <c r="R61" s="553" t="e">
        <f>'Data Entry - SOF'!#REF!</f>
        <v>#REF!</v>
      </c>
      <c r="BK61" s="160"/>
    </row>
    <row r="62" spans="1:63" hidden="1">
      <c r="B62" s="99" t="s">
        <v>2593</v>
      </c>
      <c r="G62" t="e">
        <f t="shared" ref="G62:L62" si="0">IF(G60&gt;G61,G60,G61)</f>
        <v>#REF!</v>
      </c>
      <c r="H62" s="655" t="e">
        <f t="shared" si="0"/>
        <v>#REF!</v>
      </c>
      <c r="I62" s="530" t="e">
        <f t="shared" si="0"/>
        <v>#REF!</v>
      </c>
      <c r="J62" s="598" t="e">
        <f t="shared" si="0"/>
        <v>#REF!</v>
      </c>
      <c r="K62" s="616" t="e">
        <f t="shared" si="0"/>
        <v>#REF!</v>
      </c>
      <c r="L62" s="635" t="e">
        <f t="shared" si="0"/>
        <v>#REF!</v>
      </c>
      <c r="Q62" s="111" t="e">
        <f>IF(Q60&gt;Q61,Q60,Q61)</f>
        <v>#REF!</v>
      </c>
      <c r="R62" s="531" t="e">
        <f>IF(R60&gt;R61,R60,R61)</f>
        <v>#REF!</v>
      </c>
      <c r="BK62" s="160"/>
    </row>
    <row r="63" spans="1:63" hidden="1">
      <c r="B63" s="99"/>
      <c r="H63" s="111"/>
      <c r="I63" s="531"/>
      <c r="BK63" s="160"/>
    </row>
    <row r="64" spans="1:63" hidden="1">
      <c r="A64" s="126"/>
      <c r="B64" s="169" t="s">
        <v>2583</v>
      </c>
      <c r="C64" s="35"/>
      <c r="D64" s="35"/>
      <c r="E64" s="35"/>
      <c r="G64" s="206"/>
      <c r="H64" s="462"/>
      <c r="I64" s="532"/>
      <c r="J64" s="603"/>
      <c r="K64" s="621"/>
      <c r="L64" s="639"/>
      <c r="BK64" s="160"/>
    </row>
    <row r="65" spans="1:63" hidden="1">
      <c r="A65" s="126"/>
      <c r="B65" s="169" t="s">
        <v>2168</v>
      </c>
      <c r="C65" s="35"/>
      <c r="D65" s="35"/>
      <c r="E65" s="35"/>
      <c r="G65" s="206"/>
      <c r="H65" s="462"/>
      <c r="I65" s="532"/>
      <c r="J65" s="603"/>
      <c r="K65" s="621"/>
      <c r="L65" s="639"/>
      <c r="BK65" s="160"/>
    </row>
    <row r="66" spans="1:63" s="374" customFormat="1" ht="23.25">
      <c r="A66" s="370"/>
      <c r="B66" s="371" t="s">
        <v>2065</v>
      </c>
      <c r="C66" s="372"/>
      <c r="D66" s="861" t="s">
        <v>2940</v>
      </c>
      <c r="E66" s="862" t="s">
        <v>2940</v>
      </c>
      <c r="F66"/>
      <c r="G66" s="863"/>
      <c r="H66" s="864" t="s">
        <v>1058</v>
      </c>
      <c r="I66" s="865" t="s">
        <v>2515</v>
      </c>
      <c r="J66" s="866" t="s">
        <v>195</v>
      </c>
      <c r="K66" s="867" t="s">
        <v>196</v>
      </c>
      <c r="L66" s="868" t="s">
        <v>197</v>
      </c>
      <c r="M66"/>
      <c r="N66"/>
      <c r="O66"/>
      <c r="P66"/>
      <c r="Q66" s="373"/>
      <c r="R66"/>
      <c r="S66"/>
      <c r="T66"/>
      <c r="U66"/>
      <c r="V66"/>
      <c r="W66" s="224"/>
      <c r="X66" s="224"/>
      <c r="Y66" s="224"/>
      <c r="Z66" s="224"/>
      <c r="BJ66" s="375"/>
      <c r="BK66" s="375"/>
    </row>
    <row r="67" spans="1:63" s="374" customFormat="1" ht="23.25">
      <c r="A67" s="370"/>
      <c r="B67"/>
      <c r="C67"/>
      <c r="D67"/>
      <c r="E67"/>
      <c r="F67"/>
      <c r="G67"/>
      <c r="H67" s="111"/>
      <c r="I67" s="531"/>
      <c r="J67" s="172"/>
      <c r="K67" s="618"/>
      <c r="L67" s="636"/>
      <c r="M67"/>
      <c r="N67"/>
      <c r="O67"/>
      <c r="P67"/>
      <c r="Q67" s="373"/>
      <c r="R67"/>
      <c r="S67"/>
      <c r="T67"/>
      <c r="U67"/>
      <c r="V67"/>
      <c r="W67" s="224"/>
      <c r="X67" s="224"/>
      <c r="Y67" s="224"/>
      <c r="Z67" s="224"/>
      <c r="BJ67" s="375"/>
      <c r="BK67" s="375"/>
    </row>
    <row r="68" spans="1:63">
      <c r="B68" s="379" t="s">
        <v>1879</v>
      </c>
      <c r="C68" s="313"/>
      <c r="D68" s="832" t="e">
        <f>'Data Entry - SOF'!#REF!</f>
        <v>#REF!</v>
      </c>
      <c r="E68" s="833" t="e">
        <f>D68</f>
        <v>#REF!</v>
      </c>
      <c r="G68" s="325"/>
      <c r="H68" s="844" t="e">
        <f>E68</f>
        <v>#REF!</v>
      </c>
      <c r="I68" s="845" t="e">
        <f>H68</f>
        <v>#REF!</v>
      </c>
      <c r="J68" s="849" t="e">
        <f>I68</f>
        <v>#REF!</v>
      </c>
      <c r="K68" s="851" t="e">
        <f>J68</f>
        <v>#REF!</v>
      </c>
      <c r="L68" s="853" t="e">
        <f>K68</f>
        <v>#REF!</v>
      </c>
    </row>
    <row r="69" spans="1:63">
      <c r="B69" s="380" t="s">
        <v>2066</v>
      </c>
      <c r="C69" s="309"/>
      <c r="D69" s="834">
        <f>MAX(D28,D29)</f>
        <v>0</v>
      </c>
      <c r="E69" s="835" t="e">
        <f>MAX(E28,E29)</f>
        <v>#REF!</v>
      </c>
      <c r="H69" s="846" t="e">
        <f>MAX(H28,H29)</f>
        <v>#REF!</v>
      </c>
      <c r="I69" s="847" t="e">
        <f>MAX(I28,I29)</f>
        <v>#REF!</v>
      </c>
      <c r="J69" s="850" t="e">
        <f>MAX(J28,J29)</f>
        <v>#REF!</v>
      </c>
      <c r="K69" s="852" t="e">
        <f>MAX(K28,K29)</f>
        <v>#REF!</v>
      </c>
      <c r="L69" s="854" t="e">
        <f>MAX(L28,L29)</f>
        <v>#REF!</v>
      </c>
    </row>
    <row r="70" spans="1:63">
      <c r="B70" s="380" t="s">
        <v>2067</v>
      </c>
      <c r="C70" s="309"/>
      <c r="D70" s="336" t="e">
        <f>D68*D69</f>
        <v>#REF!</v>
      </c>
      <c r="E70" s="451" t="e">
        <f>E68*E69</f>
        <v>#REF!</v>
      </c>
      <c r="H70" s="475" t="e">
        <f>H68*H69</f>
        <v>#REF!</v>
      </c>
      <c r="I70" s="555" t="e">
        <f>I68*I69</f>
        <v>#REF!</v>
      </c>
      <c r="J70" s="613" t="e">
        <f>J68*J69</f>
        <v>#REF!</v>
      </c>
      <c r="K70" s="631" t="e">
        <f>K68*K69</f>
        <v>#REF!</v>
      </c>
      <c r="L70" s="855" t="e">
        <f>L68*L69</f>
        <v>#REF!</v>
      </c>
    </row>
    <row r="71" spans="1:63">
      <c r="B71" s="380" t="s">
        <v>2068</v>
      </c>
      <c r="C71" s="309"/>
      <c r="D71" s="336" t="e">
        <f>D162</f>
        <v>#REF!</v>
      </c>
      <c r="E71" s="451" t="e">
        <f>D71</f>
        <v>#REF!</v>
      </c>
      <c r="H71" s="475" t="e">
        <f>D167</f>
        <v>#REF!</v>
      </c>
      <c r="I71" s="555" t="e">
        <f>D172</f>
        <v>#REF!</v>
      </c>
      <c r="J71" s="872" t="e">
        <f>D177</f>
        <v>#REF!</v>
      </c>
      <c r="K71" s="631" t="e">
        <f>D182</f>
        <v>#REF!</v>
      </c>
      <c r="L71" s="855" t="e">
        <f>D187</f>
        <v>#REF!</v>
      </c>
    </row>
    <row r="72" spans="1:63">
      <c r="B72" s="380" t="s">
        <v>2069</v>
      </c>
      <c r="C72" s="309"/>
      <c r="D72" s="336" t="e">
        <f>D163</f>
        <v>#REF!</v>
      </c>
      <c r="E72" s="451" t="e">
        <f>D72</f>
        <v>#REF!</v>
      </c>
      <c r="H72" s="475" t="e">
        <f>D168</f>
        <v>#REF!</v>
      </c>
      <c r="I72" s="555" t="e">
        <f>D173</f>
        <v>#REF!</v>
      </c>
      <c r="J72" s="872" t="e">
        <f>D178</f>
        <v>#REF!</v>
      </c>
      <c r="K72" s="631" t="e">
        <f>D183</f>
        <v>#REF!</v>
      </c>
      <c r="L72" s="855" t="e">
        <f>D188</f>
        <v>#REF!</v>
      </c>
    </row>
    <row r="73" spans="1:63">
      <c r="B73" s="825" t="s">
        <v>2070</v>
      </c>
      <c r="C73" s="830"/>
      <c r="D73" s="336" t="e">
        <f>D70+D71+D72</f>
        <v>#REF!</v>
      </c>
      <c r="E73" s="451" t="e">
        <f>E70+E71+E72</f>
        <v>#REF!</v>
      </c>
      <c r="H73" s="475" t="e">
        <f>H70+H71+H72</f>
        <v>#REF!</v>
      </c>
      <c r="I73" s="555" t="e">
        <f>I70+I71+I72</f>
        <v>#REF!</v>
      </c>
      <c r="J73" s="613" t="e">
        <f>J70+J71+J72</f>
        <v>#REF!</v>
      </c>
      <c r="K73" s="631" t="e">
        <f>K70+K71+K72</f>
        <v>#REF!</v>
      </c>
      <c r="L73" s="855" t="e">
        <f>L70+L71+L72</f>
        <v>#REF!</v>
      </c>
    </row>
    <row r="74" spans="1:63">
      <c r="B74" s="380"/>
      <c r="C74" s="309"/>
      <c r="D74" s="433"/>
      <c r="E74" s="444"/>
      <c r="H74" s="477"/>
      <c r="I74" s="557"/>
      <c r="J74" s="601"/>
      <c r="K74" s="634"/>
      <c r="L74" s="651"/>
    </row>
    <row r="75" spans="1:63">
      <c r="B75" s="380" t="s">
        <v>1880</v>
      </c>
      <c r="C75" s="309"/>
      <c r="D75" s="336" t="e">
        <f>'Data Entry - SOF'!#REF!</f>
        <v>#REF!</v>
      </c>
      <c r="E75" s="451" t="e">
        <f>D75</f>
        <v>#REF!</v>
      </c>
      <c r="H75" s="475" t="e">
        <f>E75</f>
        <v>#REF!</v>
      </c>
      <c r="I75" s="555" t="e">
        <f>H75</f>
        <v>#REF!</v>
      </c>
      <c r="J75" s="613" t="e">
        <f>I75</f>
        <v>#REF!</v>
      </c>
      <c r="K75" s="631" t="e">
        <f>J75</f>
        <v>#REF!</v>
      </c>
      <c r="L75" s="855" t="e">
        <f>K75</f>
        <v>#REF!</v>
      </c>
    </row>
    <row r="76" spans="1:63">
      <c r="B76" s="380" t="s">
        <v>2066</v>
      </c>
      <c r="C76" s="309"/>
      <c r="D76" s="834">
        <f>D69</f>
        <v>0</v>
      </c>
      <c r="E76" s="835" t="e">
        <f>E69</f>
        <v>#REF!</v>
      </c>
      <c r="H76" s="846" t="e">
        <f>H69</f>
        <v>#REF!</v>
      </c>
      <c r="I76" s="847" t="e">
        <f>I69</f>
        <v>#REF!</v>
      </c>
      <c r="J76" s="850" t="e">
        <f>J69</f>
        <v>#REF!</v>
      </c>
      <c r="K76" s="852" t="e">
        <f>K69</f>
        <v>#REF!</v>
      </c>
      <c r="L76" s="854" t="e">
        <f>L69</f>
        <v>#REF!</v>
      </c>
    </row>
    <row r="77" spans="1:63">
      <c r="B77" s="380" t="s">
        <v>2071</v>
      </c>
      <c r="C77" s="309"/>
      <c r="D77" s="336" t="e">
        <f>D75*D76</f>
        <v>#REF!</v>
      </c>
      <c r="E77" s="451" t="e">
        <f>E75*E76</f>
        <v>#REF!</v>
      </c>
      <c r="H77" s="475" t="e">
        <f>H75*H76</f>
        <v>#REF!</v>
      </c>
      <c r="I77" s="555" t="e">
        <f>I75*I76</f>
        <v>#REF!</v>
      </c>
      <c r="J77" s="613" t="e">
        <f>J75*J76</f>
        <v>#REF!</v>
      </c>
      <c r="K77" s="631" t="e">
        <f>K75*K76</f>
        <v>#REF!</v>
      </c>
      <c r="L77" s="855" t="e">
        <f>L75*L76</f>
        <v>#REF!</v>
      </c>
    </row>
    <row r="78" spans="1:63">
      <c r="B78" s="380" t="s">
        <v>2068</v>
      </c>
      <c r="C78" s="309"/>
      <c r="D78" s="336" t="e">
        <f>E162</f>
        <v>#REF!</v>
      </c>
      <c r="E78" s="451" t="e">
        <f>D78</f>
        <v>#REF!</v>
      </c>
      <c r="H78" s="475" t="e">
        <f>E167</f>
        <v>#REF!</v>
      </c>
      <c r="I78" s="555" t="e">
        <f>E172</f>
        <v>#REF!</v>
      </c>
      <c r="J78" s="613" t="e">
        <f>E177</f>
        <v>#REF!</v>
      </c>
      <c r="K78" s="631" t="e">
        <f>E182</f>
        <v>#REF!</v>
      </c>
      <c r="L78" s="855" t="e">
        <f>E187</f>
        <v>#REF!</v>
      </c>
    </row>
    <row r="79" spans="1:63">
      <c r="B79" s="380" t="s">
        <v>2069</v>
      </c>
      <c r="C79" s="309"/>
      <c r="D79" s="336" t="e">
        <f>E163</f>
        <v>#REF!</v>
      </c>
      <c r="E79" s="451" t="e">
        <f>D79</f>
        <v>#REF!</v>
      </c>
      <c r="H79" s="475" t="e">
        <f>E168</f>
        <v>#REF!</v>
      </c>
      <c r="I79" s="555" t="e">
        <f>E173</f>
        <v>#REF!</v>
      </c>
      <c r="J79" s="613" t="e">
        <f>E178</f>
        <v>#REF!</v>
      </c>
      <c r="K79" s="631" t="e">
        <f>E183</f>
        <v>#REF!</v>
      </c>
      <c r="L79" s="855" t="e">
        <f>E188</f>
        <v>#REF!</v>
      </c>
    </row>
    <row r="80" spans="1:63">
      <c r="B80" s="825" t="s">
        <v>2072</v>
      </c>
      <c r="C80" s="830"/>
      <c r="D80" s="336" t="e">
        <f>D77+D78+D79</f>
        <v>#REF!</v>
      </c>
      <c r="E80" s="451" t="e">
        <f>E77+E78+E79</f>
        <v>#REF!</v>
      </c>
      <c r="H80" s="475" t="e">
        <f>H77+H78+H79</f>
        <v>#REF!</v>
      </c>
      <c r="I80" s="555" t="e">
        <f>I77+I78+I79</f>
        <v>#REF!</v>
      </c>
      <c r="J80" s="613" t="e">
        <f>J77+J78+J79</f>
        <v>#REF!</v>
      </c>
      <c r="K80" s="631" t="e">
        <f>K77+K78+K79</f>
        <v>#REF!</v>
      </c>
      <c r="L80" s="855" t="e">
        <f>L77+L78+L79</f>
        <v>#REF!</v>
      </c>
    </row>
    <row r="81" spans="2:14">
      <c r="B81" s="380"/>
      <c r="C81" s="309"/>
      <c r="D81" s="433"/>
      <c r="E81" s="444"/>
      <c r="H81" s="477"/>
      <c r="I81" s="557"/>
      <c r="J81" s="601"/>
      <c r="K81" s="634"/>
      <c r="L81" s="651"/>
    </row>
    <row r="82" spans="2:14">
      <c r="B82" s="380" t="s">
        <v>1881</v>
      </c>
      <c r="C82" s="309"/>
      <c r="D82" s="336" t="e">
        <f>'Data Entry - SOF'!#REF!</f>
        <v>#REF!</v>
      </c>
      <c r="E82" s="451" t="e">
        <f>D82</f>
        <v>#REF!</v>
      </c>
      <c r="H82" s="475" t="e">
        <f>E82</f>
        <v>#REF!</v>
      </c>
      <c r="I82" s="555" t="e">
        <f>H82</f>
        <v>#REF!</v>
      </c>
      <c r="J82" s="613" t="e">
        <f>I82</f>
        <v>#REF!</v>
      </c>
      <c r="K82" s="631" t="e">
        <f>J82</f>
        <v>#REF!</v>
      </c>
      <c r="L82" s="855" t="e">
        <f>K82</f>
        <v>#REF!</v>
      </c>
    </row>
    <row r="83" spans="2:14">
      <c r="B83" s="380" t="s">
        <v>2066</v>
      </c>
      <c r="C83" s="309"/>
      <c r="D83" s="834">
        <f>D76</f>
        <v>0</v>
      </c>
      <c r="E83" s="835" t="e">
        <f>E76</f>
        <v>#REF!</v>
      </c>
      <c r="H83" s="846" t="e">
        <f>H76</f>
        <v>#REF!</v>
      </c>
      <c r="I83" s="847" t="e">
        <f>I76</f>
        <v>#REF!</v>
      </c>
      <c r="J83" s="850" t="e">
        <f>J76</f>
        <v>#REF!</v>
      </c>
      <c r="K83" s="852" t="e">
        <f>K76</f>
        <v>#REF!</v>
      </c>
      <c r="L83" s="854" t="e">
        <f>L76</f>
        <v>#REF!</v>
      </c>
    </row>
    <row r="84" spans="2:14">
      <c r="B84" s="380" t="s">
        <v>2073</v>
      </c>
      <c r="C84" s="309"/>
      <c r="D84" s="336" t="e">
        <f>D82*D83</f>
        <v>#REF!</v>
      </c>
      <c r="E84" s="451" t="e">
        <f>E82*E83</f>
        <v>#REF!</v>
      </c>
      <c r="H84" s="475" t="e">
        <f>H82*H83</f>
        <v>#REF!</v>
      </c>
      <c r="I84" s="555" t="e">
        <f>I82*I83</f>
        <v>#REF!</v>
      </c>
      <c r="J84" s="613" t="e">
        <f>J82*J83</f>
        <v>#REF!</v>
      </c>
      <c r="K84" s="631" t="e">
        <f>K82*K83</f>
        <v>#REF!</v>
      </c>
      <c r="L84" s="855" t="e">
        <f>L82*L83</f>
        <v>#REF!</v>
      </c>
    </row>
    <row r="85" spans="2:14">
      <c r="B85" s="380" t="s">
        <v>2068</v>
      </c>
      <c r="C85" s="309"/>
      <c r="D85" s="336" t="e">
        <f>F162</f>
        <v>#REF!</v>
      </c>
      <c r="E85" s="451" t="e">
        <f>D85</f>
        <v>#REF!</v>
      </c>
      <c r="H85" s="475" t="e">
        <f t="shared" ref="H85:L86" si="1">H78</f>
        <v>#REF!</v>
      </c>
      <c r="I85" s="555" t="e">
        <f t="shared" si="1"/>
        <v>#REF!</v>
      </c>
      <c r="J85" s="613" t="e">
        <f t="shared" si="1"/>
        <v>#REF!</v>
      </c>
      <c r="K85" s="631" t="e">
        <f t="shared" si="1"/>
        <v>#REF!</v>
      </c>
      <c r="L85" s="855" t="e">
        <f t="shared" si="1"/>
        <v>#REF!</v>
      </c>
    </row>
    <row r="86" spans="2:14">
      <c r="B86" s="380" t="s">
        <v>2069</v>
      </c>
      <c r="C86" s="309"/>
      <c r="D86" s="336" t="e">
        <f>F163</f>
        <v>#REF!</v>
      </c>
      <c r="E86" s="451" t="e">
        <f>D86</f>
        <v>#REF!</v>
      </c>
      <c r="H86" s="475" t="e">
        <f t="shared" si="1"/>
        <v>#REF!</v>
      </c>
      <c r="I86" s="555" t="e">
        <f t="shared" si="1"/>
        <v>#REF!</v>
      </c>
      <c r="J86" s="613" t="e">
        <f t="shared" si="1"/>
        <v>#REF!</v>
      </c>
      <c r="K86" s="631" t="e">
        <f t="shared" si="1"/>
        <v>#REF!</v>
      </c>
      <c r="L86" s="855" t="e">
        <f t="shared" si="1"/>
        <v>#REF!</v>
      </c>
    </row>
    <row r="87" spans="2:14">
      <c r="B87" s="825" t="s">
        <v>2074</v>
      </c>
      <c r="C87" s="830"/>
      <c r="D87" s="336" t="e">
        <f>D84+D85+D86</f>
        <v>#REF!</v>
      </c>
      <c r="E87" s="451" t="e">
        <f>E84+E85+E86</f>
        <v>#REF!</v>
      </c>
      <c r="H87" s="475" t="e">
        <f>H84+H85+H86</f>
        <v>#REF!</v>
      </c>
      <c r="I87" s="555" t="e">
        <f>I84+I85+I86</f>
        <v>#REF!</v>
      </c>
      <c r="J87" s="613" t="e">
        <f>J84+J85+J86</f>
        <v>#REF!</v>
      </c>
      <c r="K87" s="631" t="e">
        <f>K84+K85+K86</f>
        <v>#REF!</v>
      </c>
      <c r="L87" s="855" t="e">
        <f>L84+L85+L86</f>
        <v>#REF!</v>
      </c>
    </row>
    <row r="88" spans="2:14">
      <c r="B88" s="826"/>
      <c r="C88" s="309"/>
      <c r="D88" s="433"/>
      <c r="E88" s="444"/>
      <c r="H88" s="477"/>
      <c r="I88" s="557"/>
      <c r="J88" s="601"/>
      <c r="K88" s="634"/>
      <c r="L88" s="651"/>
    </row>
    <row r="89" spans="2:14">
      <c r="B89" s="380"/>
      <c r="C89" s="309"/>
      <c r="D89" s="433"/>
      <c r="E89" s="444"/>
      <c r="H89" s="477"/>
      <c r="I89" s="557"/>
      <c r="J89" s="601"/>
      <c r="K89" s="634"/>
      <c r="L89" s="651"/>
    </row>
    <row r="90" spans="2:14" ht="18">
      <c r="B90" s="827" t="s">
        <v>2075</v>
      </c>
      <c r="C90" s="830"/>
      <c r="D90" s="869" t="e">
        <f>MAX(D73,D80,D87)</f>
        <v>#REF!</v>
      </c>
      <c r="E90" s="870" t="e">
        <f>MAX(E73,E80,E87)</f>
        <v>#REF!</v>
      </c>
      <c r="H90" s="874" t="e">
        <f>MAX(H73,H80,H87)</f>
        <v>#REF!</v>
      </c>
      <c r="I90" s="875" t="e">
        <f>MAX(I73,I80,I87)</f>
        <v>#REF!</v>
      </c>
      <c r="J90" s="876" t="e">
        <f>MAX(J73,J80,J87)</f>
        <v>#REF!</v>
      </c>
      <c r="K90" s="877" t="e">
        <f>MAX(K73,K80,K87)</f>
        <v>#REF!</v>
      </c>
      <c r="L90" s="878" t="e">
        <f>MAX(L73,L80,L87)</f>
        <v>#REF!</v>
      </c>
    </row>
    <row r="91" spans="2:14" ht="15.75">
      <c r="B91" s="828" t="s">
        <v>2019</v>
      </c>
      <c r="C91" s="309"/>
      <c r="D91" s="433"/>
      <c r="E91" s="444"/>
      <c r="H91" s="477"/>
      <c r="I91" s="557"/>
      <c r="J91" s="601"/>
      <c r="K91" s="634"/>
      <c r="L91" s="651"/>
    </row>
    <row r="92" spans="2:14">
      <c r="B92" s="380" t="s">
        <v>970</v>
      </c>
      <c r="C92" s="309"/>
      <c r="D92" s="336" t="e">
        <f>#REF!</f>
        <v>#REF!</v>
      </c>
      <c r="E92" s="451" t="e">
        <f>#REF!</f>
        <v>#REF!</v>
      </c>
      <c r="H92" s="475" t="e">
        <f>#REF!</f>
        <v>#REF!</v>
      </c>
      <c r="I92" s="555" t="e">
        <f>#REF!</f>
        <v>#REF!</v>
      </c>
      <c r="J92" s="613" t="e">
        <f>#REF!</f>
        <v>#REF!</v>
      </c>
      <c r="K92" s="631" t="e">
        <f>#REF!</f>
        <v>#REF!</v>
      </c>
      <c r="L92" s="855" t="e">
        <f>#REF!</f>
        <v>#REF!</v>
      </c>
    </row>
    <row r="93" spans="2:14">
      <c r="B93" s="380" t="s">
        <v>2792</v>
      </c>
      <c r="C93" s="309"/>
      <c r="D93" s="336" t="e">
        <f>#REF!</f>
        <v>#REF!</v>
      </c>
      <c r="E93" s="451" t="e">
        <f>#REF!</f>
        <v>#REF!</v>
      </c>
      <c r="H93" s="475" t="e">
        <f>#REF!</f>
        <v>#REF!</v>
      </c>
      <c r="I93" s="555" t="e">
        <f>#REF!</f>
        <v>#REF!</v>
      </c>
      <c r="J93" s="613" t="e">
        <f>#REF!</f>
        <v>#REF!</v>
      </c>
      <c r="K93" s="631" t="e">
        <f>#REF!</f>
        <v>#REF!</v>
      </c>
      <c r="L93" s="855" t="e">
        <f>#REF!</f>
        <v>#REF!</v>
      </c>
    </row>
    <row r="94" spans="2:14">
      <c r="B94" s="380" t="s">
        <v>2020</v>
      </c>
      <c r="C94" s="309"/>
      <c r="D94" s="832" t="e">
        <f>D196</f>
        <v>#REF!</v>
      </c>
      <c r="E94" s="833" t="e">
        <f>D94</f>
        <v>#REF!</v>
      </c>
      <c r="H94" s="475" t="e">
        <f>D199</f>
        <v>#REF!</v>
      </c>
      <c r="I94" s="555" t="e">
        <f>D202</f>
        <v>#REF!</v>
      </c>
      <c r="J94" s="613" t="e">
        <f>D205</f>
        <v>#REF!</v>
      </c>
      <c r="K94" s="631" t="e">
        <f>D208</f>
        <v>#REF!</v>
      </c>
      <c r="L94" s="855" t="e">
        <f>D211</f>
        <v>#REF!</v>
      </c>
    </row>
    <row r="95" spans="2:14" ht="23.25">
      <c r="B95" s="829" t="s">
        <v>2021</v>
      </c>
      <c r="C95" s="831"/>
      <c r="D95" s="381" t="e">
        <f>D90+D92+D93+D94</f>
        <v>#REF!</v>
      </c>
      <c r="E95" s="448" t="e">
        <f>E90+E92+E93+E94</f>
        <v>#REF!</v>
      </c>
      <c r="H95" s="474" t="e">
        <f>H90+H92+H93+H94</f>
        <v>#REF!</v>
      </c>
      <c r="I95" s="554" t="e">
        <f>I90+I92+I93+I94</f>
        <v>#REF!</v>
      </c>
      <c r="J95" s="612" t="e">
        <f>J90+J92+J93+J94</f>
        <v>#REF!</v>
      </c>
      <c r="K95" s="630" t="e">
        <f>K90+K92+K93+K94</f>
        <v>#REF!</v>
      </c>
      <c r="L95" s="856" t="e">
        <f>L90+L92+L93+L94</f>
        <v>#REF!</v>
      </c>
      <c r="N95" t="e">
        <f>H95/H28</f>
        <v>#REF!</v>
      </c>
    </row>
    <row r="96" spans="2:14">
      <c r="D96" s="325"/>
      <c r="E96" s="190"/>
      <c r="H96" s="461"/>
      <c r="I96" s="536"/>
      <c r="J96" s="600"/>
      <c r="K96" s="619"/>
      <c r="L96" s="637"/>
    </row>
    <row r="97" spans="1:63">
      <c r="D97" s="325"/>
      <c r="E97" s="190"/>
      <c r="H97" s="461"/>
      <c r="I97" s="536"/>
      <c r="J97" s="600"/>
      <c r="K97" s="619"/>
      <c r="L97" s="637"/>
    </row>
    <row r="98" spans="1:63" ht="13.5" thickBot="1">
      <c r="D98" s="325" t="s">
        <v>2371</v>
      </c>
      <c r="E98" s="190" t="s">
        <v>2372</v>
      </c>
      <c r="H98" s="461" t="s">
        <v>1009</v>
      </c>
      <c r="I98" s="536" t="s">
        <v>1009</v>
      </c>
      <c r="J98" s="600" t="s">
        <v>1009</v>
      </c>
      <c r="K98" s="619" t="s">
        <v>1009</v>
      </c>
      <c r="L98" s="637" t="s">
        <v>1009</v>
      </c>
    </row>
    <row r="99" spans="1:63" ht="13.5" thickBot="1">
      <c r="A99" s="126"/>
      <c r="B99" s="311" t="s">
        <v>2626</v>
      </c>
      <c r="C99" s="312"/>
      <c r="D99" s="432" t="s">
        <v>2940</v>
      </c>
      <c r="E99" s="431" t="s">
        <v>2940</v>
      </c>
      <c r="H99" s="478" t="s">
        <v>1058</v>
      </c>
      <c r="I99" s="557" t="s">
        <v>2515</v>
      </c>
      <c r="J99" s="601" t="s">
        <v>1298</v>
      </c>
      <c r="K99" s="634" t="s">
        <v>2579</v>
      </c>
      <c r="L99" s="651" t="s">
        <v>2580</v>
      </c>
      <c r="BK99" s="160"/>
    </row>
    <row r="100" spans="1:63">
      <c r="A100" s="126"/>
      <c r="B100" s="169" t="s">
        <v>1238</v>
      </c>
      <c r="C100" s="35"/>
      <c r="D100" s="445" t="e">
        <f>#REF!</f>
        <v>#REF!</v>
      </c>
      <c r="E100" s="192" t="e">
        <f>#REF!</f>
        <v>#REF!</v>
      </c>
      <c r="G100" s="35"/>
      <c r="H100" s="476" t="e">
        <f>#REF!</f>
        <v>#REF!</v>
      </c>
      <c r="I100" s="556" t="e">
        <f>#REF!</f>
        <v>#REF!</v>
      </c>
      <c r="J100" s="614" t="e">
        <f>#REF!</f>
        <v>#REF!</v>
      </c>
      <c r="K100" s="632" t="e">
        <f>#REF!</f>
        <v>#REF!</v>
      </c>
      <c r="L100" s="649" t="e">
        <f>#REF!</f>
        <v>#REF!</v>
      </c>
      <c r="BK100" s="160"/>
    </row>
    <row r="101" spans="1:63">
      <c r="A101" s="126"/>
      <c r="B101" s="169" t="s">
        <v>2402</v>
      </c>
      <c r="C101" s="35"/>
      <c r="D101" s="445" t="e">
        <f>#REF!</f>
        <v>#REF!</v>
      </c>
      <c r="E101" s="192" t="e">
        <f>#REF!</f>
        <v>#REF!</v>
      </c>
      <c r="G101" s="35"/>
      <c r="H101" s="476" t="e">
        <f>#REF!</f>
        <v>#REF!</v>
      </c>
      <c r="I101" s="556" t="e">
        <f>#REF!</f>
        <v>#REF!</v>
      </c>
      <c r="J101" s="614" t="e">
        <f>#REF!</f>
        <v>#REF!</v>
      </c>
      <c r="K101" s="632" t="e">
        <f>#REF!</f>
        <v>#REF!</v>
      </c>
      <c r="L101" s="649" t="e">
        <f>#REF!</f>
        <v>#REF!</v>
      </c>
      <c r="BK101" s="160"/>
    </row>
    <row r="102" spans="1:63">
      <c r="A102" s="126"/>
      <c r="B102" s="169" t="s">
        <v>2403</v>
      </c>
      <c r="C102" s="35"/>
      <c r="D102" s="445" t="e">
        <f>#REF!</f>
        <v>#REF!</v>
      </c>
      <c r="E102" s="192" t="e">
        <f>#REF!</f>
        <v>#REF!</v>
      </c>
      <c r="G102" s="35"/>
      <c r="H102" s="476" t="e">
        <f>#REF!</f>
        <v>#REF!</v>
      </c>
      <c r="I102" s="556" t="e">
        <f>#REF!</f>
        <v>#REF!</v>
      </c>
      <c r="J102" s="614" t="e">
        <f>#REF!</f>
        <v>#REF!</v>
      </c>
      <c r="K102" s="632" t="e">
        <f>#REF!</f>
        <v>#REF!</v>
      </c>
      <c r="L102" s="649" t="e">
        <f>#REF!</f>
        <v>#REF!</v>
      </c>
      <c r="BK102" s="160"/>
    </row>
    <row r="103" spans="1:63">
      <c r="A103" s="126"/>
      <c r="B103" s="169" t="s">
        <v>2404</v>
      </c>
      <c r="C103" s="35"/>
      <c r="D103" s="445" t="e">
        <f>#REF!</f>
        <v>#REF!</v>
      </c>
      <c r="E103" s="192" t="e">
        <f>#REF!</f>
        <v>#REF!</v>
      </c>
      <c r="G103" s="35"/>
      <c r="H103" s="476" t="e">
        <f>#REF!</f>
        <v>#REF!</v>
      </c>
      <c r="I103" s="556" t="e">
        <f>#REF!</f>
        <v>#REF!</v>
      </c>
      <c r="J103" s="614" t="e">
        <f>#REF!</f>
        <v>#REF!</v>
      </c>
      <c r="K103" s="632" t="e">
        <f>#REF!</f>
        <v>#REF!</v>
      </c>
      <c r="L103" s="649" t="e">
        <f>#REF!</f>
        <v>#REF!</v>
      </c>
      <c r="BK103" s="160"/>
    </row>
    <row r="104" spans="1:63">
      <c r="A104" s="126"/>
      <c r="B104" s="169" t="s">
        <v>2405</v>
      </c>
      <c r="C104" s="35"/>
      <c r="D104" s="445" t="e">
        <f>#REF!</f>
        <v>#REF!</v>
      </c>
      <c r="E104" s="192" t="e">
        <f>#REF!</f>
        <v>#REF!</v>
      </c>
      <c r="G104" s="35"/>
      <c r="H104" s="476" t="e">
        <f>#REF!</f>
        <v>#REF!</v>
      </c>
      <c r="I104" s="556" t="e">
        <f>#REF!</f>
        <v>#REF!</v>
      </c>
      <c r="J104" s="614" t="e">
        <f>#REF!</f>
        <v>#REF!</v>
      </c>
      <c r="K104" s="632" t="e">
        <f>#REF!</f>
        <v>#REF!</v>
      </c>
      <c r="L104" s="649" t="e">
        <f>#REF!</f>
        <v>#REF!</v>
      </c>
      <c r="BK104" s="160"/>
    </row>
    <row r="105" spans="1:63">
      <c r="A105" s="126"/>
      <c r="B105" s="169" t="s">
        <v>2406</v>
      </c>
      <c r="C105" s="35"/>
      <c r="D105" s="445" t="e">
        <f>#REF!</f>
        <v>#REF!</v>
      </c>
      <c r="E105" s="192" t="e">
        <f>#REF!</f>
        <v>#REF!</v>
      </c>
      <c r="G105" s="35"/>
      <c r="H105" s="476" t="e">
        <f>#REF!</f>
        <v>#REF!</v>
      </c>
      <c r="I105" s="556" t="e">
        <f>#REF!</f>
        <v>#REF!</v>
      </c>
      <c r="J105" s="614" t="e">
        <f>#REF!</f>
        <v>#REF!</v>
      </c>
      <c r="K105" s="632" t="e">
        <f>#REF!</f>
        <v>#REF!</v>
      </c>
      <c r="L105" s="649" t="e">
        <f>#REF!</f>
        <v>#REF!</v>
      </c>
      <c r="BK105" s="160"/>
    </row>
    <row r="106" spans="1:63">
      <c r="A106" s="126"/>
      <c r="B106" s="169" t="s">
        <v>33</v>
      </c>
      <c r="C106" s="35"/>
      <c r="D106" s="445" t="e">
        <f>'Data Entry - SOF'!#REF!</f>
        <v>#REF!</v>
      </c>
      <c r="E106" s="192" t="e">
        <f>'Data Entry - SOF'!#REF!</f>
        <v>#REF!</v>
      </c>
      <c r="G106" s="35"/>
      <c r="H106" s="476" t="e">
        <f>'Data Entry - SOF'!#REF!</f>
        <v>#REF!</v>
      </c>
      <c r="I106" s="556" t="e">
        <f>'Data Entry - SOF'!#REF!</f>
        <v>#REF!</v>
      </c>
      <c r="J106" s="614" t="e">
        <f>'Data Entry - SOF'!#REF!</f>
        <v>#REF!</v>
      </c>
      <c r="K106" s="632" t="e">
        <f>'Data Entry - SOF'!#REF!</f>
        <v>#REF!</v>
      </c>
      <c r="L106" s="649" t="e">
        <f>'Data Entry - SOF'!#REF!</f>
        <v>#REF!</v>
      </c>
      <c r="BK106" s="160"/>
    </row>
    <row r="107" spans="1:63">
      <c r="A107" s="126"/>
      <c r="B107" s="169" t="s">
        <v>2407</v>
      </c>
      <c r="C107" s="35"/>
      <c r="D107" s="434">
        <f>D33</f>
        <v>0</v>
      </c>
      <c r="E107" s="221" t="e">
        <f>E33</f>
        <v>#REF!</v>
      </c>
      <c r="G107" s="35"/>
      <c r="H107" s="471" t="e">
        <f>H33</f>
        <v>#REF!</v>
      </c>
      <c r="I107" s="551" t="e">
        <f>I33</f>
        <v>#REF!</v>
      </c>
      <c r="J107" s="611" t="e">
        <f>J33</f>
        <v>#REF!</v>
      </c>
      <c r="K107" s="629" t="e">
        <f>K33</f>
        <v>#REF!</v>
      </c>
      <c r="L107" s="647" t="e">
        <f>L33</f>
        <v>#REF!</v>
      </c>
      <c r="BK107" s="160"/>
    </row>
    <row r="108" spans="1:63">
      <c r="A108" s="126"/>
      <c r="B108" s="169" t="s">
        <v>2408</v>
      </c>
      <c r="C108" s="35"/>
      <c r="D108" s="434" t="e">
        <f>IF('Data Entry - SOF'!#REF!="N",0,IF('Option Costs'!K57="Y",MIN('Option Costs'!BX54,'Option Costs'!BZ54),MAX('Option Costs'!BX54,'Option Costs'!BZ54)))</f>
        <v>#REF!</v>
      </c>
      <c r="E108" s="221" t="e">
        <f>IF('Data Entry - SOF'!#REF!="N",0,IF('Option Costs'!S57="Y",MIN('Option Costs'!CH54,'Option Costs'!CJ54),MAX('Option Costs'!CH54,'Option Costs'!CJ54)))</f>
        <v>#REF!</v>
      </c>
      <c r="G108" s="35"/>
      <c r="H108" s="471" t="e">
        <f>IF('Data Entry - SOF'!#REF!="N",0,IF('Option Costs'!AJ57="Y",MIN('Option Costs'!CN54,'Option Costs'!CP54),MAX('Option Costs'!CN54,'Option Costs'!CP54)))</f>
        <v>#REF!</v>
      </c>
      <c r="I108" s="551" t="e">
        <f>IF('Data Entry - SOF'!#REF!="N",0,IF('Option Costs'!AR57="Y",MIN('Option Costs'!CT54,'Option Costs'!CV54),MAX('Option Costs'!CT54,'Option Costs'!CV54)))</f>
        <v>#REF!</v>
      </c>
      <c r="J108" s="611" t="e">
        <f>IF('Data Entry - SOF'!#REF!="N",0,IF('Option Costs'!AZ57="Y",MIN('Option Costs'!CZ54,'Option Costs'!DB54),MAX('Option Costs'!CZ54,'Option Costs'!DB54)))</f>
        <v>#REF!</v>
      </c>
      <c r="K108" s="629" t="e">
        <f>IF('Data Entry - SOF'!#REF!="N",0,IF('Option Costs'!BH57="Y",MIN('Option Costs'!DF54,'Option Costs'!DH54),MAX('Option Costs'!DF54,'Option Costs'!DH54)))</f>
        <v>#REF!</v>
      </c>
      <c r="L108" s="647" t="e">
        <f>IF('Data Entry - SOF'!#REF!="N",0,IF('Option Costs'!BP57="Y",MIN('Option Costs'!DL54,'Option Costs'!DN54),MAX('Option Costs'!DL54,'Option Costs'!DN54)))</f>
        <v>#REF!</v>
      </c>
      <c r="N108" s="5"/>
      <c r="BK108" s="160"/>
    </row>
    <row r="109" spans="1:63" ht="23.25">
      <c r="A109" s="126"/>
      <c r="B109" s="409" t="s">
        <v>744</v>
      </c>
      <c r="C109" s="410"/>
      <c r="D109" s="446" t="e">
        <f>SUM(D100:D107)-D108</f>
        <v>#REF!</v>
      </c>
      <c r="E109" s="448" t="e">
        <f>SUM(E100:E107)-E108</f>
        <v>#REF!</v>
      </c>
      <c r="G109" s="35"/>
      <c r="H109" s="474" t="e">
        <f>SUM(H100:H107)-H108</f>
        <v>#REF!</v>
      </c>
      <c r="I109" s="554" t="e">
        <f>SUM(I100:I107)-I108</f>
        <v>#REF!</v>
      </c>
      <c r="J109" s="612" t="e">
        <f>SUM(J100:J107)-J108</f>
        <v>#REF!</v>
      </c>
      <c r="K109" s="630" t="e">
        <f>SUM(K100:K107)-K108</f>
        <v>#REF!</v>
      </c>
      <c r="L109" s="648" t="e">
        <f>SUM(L100:L107)-L108</f>
        <v>#REF!</v>
      </c>
      <c r="Q109" s="174" t="s">
        <v>80</v>
      </c>
      <c r="BK109" s="160"/>
    </row>
    <row r="110" spans="1:63">
      <c r="A110" s="126"/>
      <c r="B110" s="169"/>
      <c r="C110" s="35"/>
      <c r="D110" s="433"/>
      <c r="E110" s="447"/>
      <c r="G110" s="35"/>
      <c r="H110" s="477"/>
      <c r="I110" s="557"/>
      <c r="J110" s="601"/>
      <c r="K110" s="634"/>
      <c r="L110" s="651"/>
      <c r="Q110" s="35"/>
      <c r="BK110" s="160"/>
    </row>
    <row r="111" spans="1:63" ht="23.25">
      <c r="A111" s="126"/>
      <c r="B111" s="829" t="s">
        <v>1236</v>
      </c>
      <c r="C111" s="410"/>
      <c r="D111" s="446" t="e">
        <f>IF(D109&gt;D95,0,D95-D109)</f>
        <v>#REF!</v>
      </c>
      <c r="E111" s="848" t="e">
        <f>IF(E109&gt;E95,0,E95-E109)</f>
        <v>#REF!</v>
      </c>
      <c r="G111" s="35"/>
      <c r="H111" s="857" t="e">
        <f>IF(H109&gt;H95,0,H95-H109)</f>
        <v>#REF!</v>
      </c>
      <c r="I111" s="858" t="e">
        <f>IF(I109&gt;I95,0,I95-I109)</f>
        <v>#REF!</v>
      </c>
      <c r="J111" s="859" t="e">
        <f>IF(J109&gt;J95,0,J95-J109)</f>
        <v>#REF!</v>
      </c>
      <c r="K111" s="860" t="e">
        <f>IF(K109&gt;K95,0,K95-K109)</f>
        <v>#REF!</v>
      </c>
      <c r="L111" s="871" t="e">
        <f>IF(L109&gt;L95,0,L95-L109)</f>
        <v>#REF!</v>
      </c>
      <c r="AA111" s="173"/>
      <c r="AB111" s="173"/>
      <c r="BK111" s="160"/>
    </row>
    <row r="112" spans="1:63">
      <c r="A112" s="126"/>
      <c r="B112" s="71"/>
      <c r="C112" s="35"/>
      <c r="D112" s="433"/>
      <c r="E112" s="447"/>
      <c r="G112" s="35"/>
      <c r="H112" s="477"/>
      <c r="I112" s="557"/>
      <c r="J112" s="601"/>
      <c r="K112" s="634"/>
      <c r="L112" s="651"/>
      <c r="AB112" s="173" t="e">
        <f>0.666666666667*'Data Entry - SOF'!#REF!</f>
        <v>#REF!</v>
      </c>
      <c r="AC112" s="173" t="e">
        <f>0.666666666667*'Data Entry - SOF'!#REF!</f>
        <v>#REF!</v>
      </c>
      <c r="AD112" s="173" t="e">
        <f>0.666666666667*'Data Entry - SOF'!#REF!</f>
        <v>#REF!</v>
      </c>
      <c r="AE112" s="173" t="e">
        <f>0.666666666667*'Data Entry - SOF'!#REF!</f>
        <v>#REF!</v>
      </c>
      <c r="AF112" s="173" t="e">
        <f>0.666666666667*'Data Entry - SOF'!#REF!</f>
        <v>#REF!</v>
      </c>
      <c r="AG112" s="173" t="e">
        <f>0.666666666667*'Data Entry - SOF'!#REF!</f>
        <v>#REF!</v>
      </c>
      <c r="AH112" s="173" t="e">
        <f>0.666666666667*'Data Entry - SOF'!#REF!</f>
        <v>#REF!</v>
      </c>
      <c r="AI112" s="173" t="e">
        <f>0.666666666667*'Data Entry - SOF'!#REF!</f>
        <v>#REF!</v>
      </c>
      <c r="BK112" s="160"/>
    </row>
    <row r="113" spans="1:63">
      <c r="A113" s="126"/>
      <c r="B113" s="71" t="s">
        <v>74</v>
      </c>
      <c r="C113" s="35"/>
      <c r="D113" s="445" t="e">
        <f>IF('Data Entry - SOF'!#REF!&gt;=AC112,0,(S126*(1-('Data Entry - SOF'!#REF!/AC112))*-1))</f>
        <v>#REF!</v>
      </c>
      <c r="E113" s="192" t="e">
        <f>IF('Data Entry - SOF'!#REF!&gt;=AD112,0,(T126*(1-('Data Entry - SOF'!#REF!/AD112))*-1))</f>
        <v>#REF!</v>
      </c>
      <c r="G113" s="35"/>
      <c r="H113" s="476" t="e">
        <f>IF('Data Entry - SOF'!#REF!&gt;=AE112,0,(U126*(1-('Data Entry - SOF'!#REF!/AE112))*-1))</f>
        <v>#REF!</v>
      </c>
      <c r="I113" s="556" t="e">
        <f>IF('Data Entry - SOF'!#REF!&gt;=AF112,0,(V126*(1-('Data Entry - SOF'!#REF!/AF112))*-1))</f>
        <v>#REF!</v>
      </c>
      <c r="J113" s="614" t="e">
        <f>IF('Data Entry - SOF'!#REF!&gt;=AG112,0,(W126*(1-('Data Entry - SOF'!#REF!/AG112))*-1))</f>
        <v>#REF!</v>
      </c>
      <c r="K113" s="632" t="e">
        <f>IF('Data Entry - SOF'!#REF!&gt;=AH112,0,(X126*(1-('Data Entry - SOF'!#REF!/AH112))*-1))</f>
        <v>#REF!</v>
      </c>
      <c r="L113" s="649" t="e">
        <f>IF('Data Entry - SOF'!#REF!&gt;=AI112,0,(Y126*(1-('Data Entry - SOF'!#REF!/AI112))*-1))</f>
        <v>#REF!</v>
      </c>
      <c r="W113" s="225" t="s">
        <v>2828</v>
      </c>
      <c r="BK113" s="160"/>
    </row>
    <row r="114" spans="1:63">
      <c r="A114" s="126"/>
      <c r="B114" s="71" t="s">
        <v>75</v>
      </c>
      <c r="C114" s="35"/>
      <c r="D114" s="337" t="e">
        <f>IF(D95&gt;D109,0,D95-D109)</f>
        <v>#REF!</v>
      </c>
      <c r="E114" s="192" t="e">
        <f>IF(E95&gt;E109,0,E95-109)</f>
        <v>#REF!</v>
      </c>
      <c r="G114" s="35"/>
      <c r="H114" s="476" t="e">
        <f>IF(H95&gt;H109,0,H95-H109)</f>
        <v>#REF!</v>
      </c>
      <c r="I114" s="556" t="e">
        <f>IF(I95&gt;I109,0,I95-I109)</f>
        <v>#REF!</v>
      </c>
      <c r="J114" s="614" t="e">
        <f>IF(J95&gt;J109,0,J95-J109)</f>
        <v>#REF!</v>
      </c>
      <c r="K114" s="632" t="e">
        <f>IF(K95&gt;K109,0,K95-K109)</f>
        <v>#REF!</v>
      </c>
      <c r="L114" s="649" t="e">
        <f>IF(L95&gt;L109,0,L95-L109)</f>
        <v>#REF!</v>
      </c>
      <c r="W114" s="225"/>
      <c r="BK114" s="160"/>
    </row>
    <row r="115" spans="1:63">
      <c r="A115" s="71"/>
      <c r="B115" s="71"/>
      <c r="C115" s="71"/>
      <c r="D115" s="71"/>
      <c r="E115" s="71"/>
      <c r="F115" s="71"/>
      <c r="G115" s="71"/>
      <c r="H115" s="71"/>
      <c r="I115" s="71"/>
      <c r="J115" s="603"/>
      <c r="K115" s="621"/>
      <c r="L115" s="639"/>
      <c r="M115" s="71"/>
      <c r="N115" s="71"/>
      <c r="O115" s="71"/>
      <c r="P115" s="71"/>
      <c r="Q115" s="71"/>
    </row>
    <row r="116" spans="1:63">
      <c r="A116" s="71"/>
      <c r="B116" s="71"/>
      <c r="C116" s="71"/>
      <c r="D116" s="71"/>
      <c r="E116" s="71"/>
      <c r="F116" s="71"/>
      <c r="G116" s="71"/>
      <c r="H116" s="71"/>
      <c r="I116" s="71"/>
      <c r="J116" s="603"/>
      <c r="K116" s="621"/>
      <c r="L116" s="639"/>
      <c r="M116" s="71"/>
      <c r="N116" s="71"/>
      <c r="O116" s="71"/>
      <c r="P116" s="71"/>
      <c r="Q116" s="71"/>
      <c r="T116" s="5"/>
    </row>
    <row r="117" spans="1:63">
      <c r="A117" s="71"/>
      <c r="B117" s="71"/>
      <c r="C117" s="71"/>
      <c r="D117" s="71"/>
      <c r="E117" s="71"/>
      <c r="F117" s="71"/>
      <c r="G117" s="71"/>
      <c r="H117" s="71"/>
      <c r="I117" s="71"/>
      <c r="J117" s="603"/>
      <c r="K117" s="621"/>
      <c r="L117" s="639"/>
      <c r="M117" s="71"/>
      <c r="N117" s="71"/>
      <c r="O117" s="71"/>
      <c r="P117" s="71"/>
      <c r="Q117" s="71"/>
      <c r="T117" s="5"/>
    </row>
    <row r="118" spans="1:63">
      <c r="A118" s="35"/>
      <c r="B118" s="71"/>
      <c r="C118" s="35"/>
      <c r="D118" s="35"/>
      <c r="E118" s="35"/>
      <c r="F118" s="35"/>
      <c r="G118" s="35"/>
      <c r="H118" s="35"/>
      <c r="I118" s="35"/>
      <c r="J118" s="603"/>
      <c r="K118" s="621"/>
      <c r="L118" s="639"/>
      <c r="M118" s="35"/>
      <c r="N118" s="35"/>
      <c r="O118" s="35"/>
      <c r="P118" s="35"/>
      <c r="T118" s="5"/>
    </row>
    <row r="119" spans="1:63" hidden="1">
      <c r="A119" s="35"/>
      <c r="B119" s="35"/>
      <c r="C119" s="35"/>
      <c r="D119" s="35"/>
      <c r="E119" s="35"/>
      <c r="G119" s="35"/>
      <c r="H119" s="35"/>
      <c r="I119" s="35"/>
      <c r="J119" s="603"/>
      <c r="K119" s="621"/>
      <c r="L119" s="639"/>
      <c r="M119" s="35"/>
      <c r="N119" s="35"/>
      <c r="O119" s="35"/>
      <c r="P119" s="35"/>
    </row>
    <row r="120" spans="1:63" hidden="1">
      <c r="A120" s="170"/>
      <c r="B120" s="129"/>
      <c r="C120" s="129"/>
      <c r="D120" s="129"/>
      <c r="E120" s="129"/>
      <c r="F120" s="130"/>
      <c r="G120" s="35"/>
      <c r="H120" s="35"/>
      <c r="I120" s="35"/>
      <c r="J120" s="603"/>
      <c r="K120" s="621"/>
      <c r="L120" s="639"/>
      <c r="M120" s="35"/>
      <c r="N120" s="35"/>
      <c r="O120" s="35"/>
      <c r="P120" s="35"/>
      <c r="R120" t="s">
        <v>620</v>
      </c>
    </row>
    <row r="121" spans="1:63" hidden="1">
      <c r="A121" s="126"/>
      <c r="B121" s="71" t="s">
        <v>14</v>
      </c>
      <c r="C121" s="35"/>
      <c r="D121" s="35"/>
      <c r="E121" s="35"/>
      <c r="F121" s="118"/>
      <c r="G121" s="35"/>
      <c r="H121" s="35"/>
      <c r="I121" s="35"/>
      <c r="J121" s="603"/>
      <c r="K121" s="621"/>
      <c r="L121" s="639"/>
      <c r="M121" s="35"/>
      <c r="N121" s="35"/>
      <c r="O121" s="35"/>
      <c r="P121" s="35"/>
      <c r="R121" t="s">
        <v>621</v>
      </c>
      <c r="S121" s="341" t="e">
        <f>D90</f>
        <v>#REF!</v>
      </c>
      <c r="T121" s="196" t="e">
        <f>E90</f>
        <v>#REF!</v>
      </c>
      <c r="U121" s="517" t="e">
        <f>H90</f>
        <v>#REF!</v>
      </c>
      <c r="V121" s="801" t="e">
        <f>I90</f>
        <v>#REF!</v>
      </c>
      <c r="W121" s="802" t="e">
        <f>J90</f>
        <v>#REF!</v>
      </c>
      <c r="X121" s="803" t="e">
        <f>K90</f>
        <v>#REF!</v>
      </c>
      <c r="Y121" s="804" t="e">
        <f>L90</f>
        <v>#REF!</v>
      </c>
    </row>
    <row r="122" spans="1:63" hidden="1">
      <c r="A122" s="126"/>
      <c r="B122" s="123" t="s">
        <v>121</v>
      </c>
      <c r="C122" s="35"/>
      <c r="D122" s="382" t="s">
        <v>2940</v>
      </c>
      <c r="E122" s="382"/>
      <c r="F122" s="118"/>
      <c r="G122" s="35"/>
      <c r="H122" s="35"/>
      <c r="I122" s="35"/>
      <c r="J122" s="603"/>
      <c r="K122" s="621"/>
      <c r="L122" s="639"/>
      <c r="M122" s="35"/>
      <c r="N122" s="35"/>
      <c r="O122" s="35"/>
      <c r="P122" s="35"/>
      <c r="R122" t="s">
        <v>622</v>
      </c>
      <c r="S122" s="341" t="e">
        <f>#REF!</f>
        <v>#REF!</v>
      </c>
      <c r="T122" s="196" t="e">
        <f>#REF!</f>
        <v>#REF!</v>
      </c>
      <c r="U122" s="517" t="e">
        <f>#REF!</f>
        <v>#REF!</v>
      </c>
      <c r="V122" s="801" t="e">
        <f>#REF!</f>
        <v>#REF!</v>
      </c>
      <c r="W122" s="802" t="e">
        <f>#REF!</f>
        <v>#REF!</v>
      </c>
      <c r="X122" s="803" t="e">
        <f>#REF!</f>
        <v>#REF!</v>
      </c>
      <c r="Y122" s="804" t="e">
        <f>#REF!</f>
        <v>#REF!</v>
      </c>
    </row>
    <row r="123" spans="1:63" hidden="1">
      <c r="A123" s="126"/>
      <c r="B123" s="35" t="s">
        <v>76</v>
      </c>
      <c r="C123" s="35"/>
      <c r="D123" s="337" t="e">
        <f>#REF!</f>
        <v>#REF!</v>
      </c>
      <c r="E123" s="426"/>
      <c r="F123" s="118"/>
      <c r="G123" s="35"/>
      <c r="H123" s="35"/>
      <c r="I123" s="35"/>
      <c r="J123" s="603"/>
      <c r="K123" s="621"/>
      <c r="L123" s="639"/>
      <c r="M123" s="35"/>
      <c r="N123" s="35"/>
      <c r="O123" s="35"/>
      <c r="P123" s="35"/>
      <c r="R123" t="s">
        <v>623</v>
      </c>
      <c r="S123" s="341" t="e">
        <f>#REF!</f>
        <v>#REF!</v>
      </c>
      <c r="T123" s="196" t="e">
        <f>#REF!</f>
        <v>#REF!</v>
      </c>
      <c r="U123" s="517" t="e">
        <f>#REF!</f>
        <v>#REF!</v>
      </c>
      <c r="V123" s="801" t="e">
        <f>#REF!</f>
        <v>#REF!</v>
      </c>
      <c r="W123" s="802" t="e">
        <f>#REF!</f>
        <v>#REF!</v>
      </c>
      <c r="X123" s="803" t="e">
        <f>#REF!</f>
        <v>#REF!</v>
      </c>
      <c r="Y123" s="804" t="e">
        <f>#REF!</f>
        <v>#REF!</v>
      </c>
      <c r="AD123" s="5"/>
      <c r="AE123" s="5"/>
      <c r="AF123" s="121"/>
    </row>
    <row r="124" spans="1:63" hidden="1">
      <c r="A124" s="126"/>
      <c r="B124" s="35" t="s">
        <v>2391</v>
      </c>
      <c r="C124" s="35"/>
      <c r="D124" s="335" t="e">
        <f>#REF!+#REF!</f>
        <v>#REF!</v>
      </c>
      <c r="E124" s="427"/>
      <c r="F124" s="118"/>
      <c r="G124" s="35"/>
      <c r="H124" s="35"/>
      <c r="I124" s="35"/>
      <c r="J124" s="603"/>
      <c r="K124" s="621"/>
      <c r="L124" s="639"/>
      <c r="M124" s="35"/>
      <c r="N124" s="35"/>
      <c r="O124" s="35"/>
      <c r="P124" s="35"/>
      <c r="R124" t="s">
        <v>2687</v>
      </c>
      <c r="S124" s="341" t="e">
        <f t="shared" ref="S124:Y124" si="2">S121+S122+S123</f>
        <v>#REF!</v>
      </c>
      <c r="T124" s="196" t="e">
        <f t="shared" si="2"/>
        <v>#REF!</v>
      </c>
      <c r="U124" s="517" t="e">
        <f t="shared" si="2"/>
        <v>#REF!</v>
      </c>
      <c r="V124" s="801" t="e">
        <f t="shared" si="2"/>
        <v>#REF!</v>
      </c>
      <c r="W124" s="802" t="e">
        <f t="shared" si="2"/>
        <v>#REF!</v>
      </c>
      <c r="X124" s="803" t="e">
        <f t="shared" si="2"/>
        <v>#REF!</v>
      </c>
      <c r="Y124" s="804" t="e">
        <f t="shared" si="2"/>
        <v>#REF!</v>
      </c>
      <c r="AD124" s="5"/>
      <c r="AE124" s="5"/>
      <c r="AF124" s="121"/>
    </row>
    <row r="125" spans="1:63" hidden="1">
      <c r="A125" s="126"/>
      <c r="B125" s="35" t="s">
        <v>2392</v>
      </c>
      <c r="C125" s="35"/>
      <c r="D125" s="335">
        <f>D33+D37</f>
        <v>0</v>
      </c>
      <c r="E125" s="427"/>
      <c r="F125" s="118"/>
      <c r="G125" s="35"/>
      <c r="H125" s="35"/>
      <c r="I125" s="35"/>
      <c r="J125" s="603"/>
      <c r="K125" s="621"/>
      <c r="L125" s="639"/>
      <c r="M125" s="35"/>
      <c r="N125" s="35"/>
      <c r="O125" s="35"/>
      <c r="P125" s="35"/>
      <c r="R125" t="s">
        <v>2688</v>
      </c>
      <c r="S125" s="341" t="e">
        <f>D109</f>
        <v>#REF!</v>
      </c>
      <c r="T125" s="196" t="e">
        <f>E109</f>
        <v>#REF!</v>
      </c>
      <c r="U125" s="517" t="e">
        <f>H109</f>
        <v>#REF!</v>
      </c>
      <c r="V125" s="801" t="e">
        <f>I109</f>
        <v>#REF!</v>
      </c>
      <c r="W125" s="802" t="e">
        <f>J109</f>
        <v>#REF!</v>
      </c>
      <c r="X125" s="803" t="e">
        <f>K109</f>
        <v>#REF!</v>
      </c>
      <c r="Y125" s="804" t="e">
        <f>L109</f>
        <v>#REF!</v>
      </c>
      <c r="AD125" s="5"/>
      <c r="AE125" s="5"/>
      <c r="AF125" s="121"/>
    </row>
    <row r="126" spans="1:63" hidden="1">
      <c r="A126" s="126"/>
      <c r="B126" s="35" t="s">
        <v>77</v>
      </c>
      <c r="C126" s="35"/>
      <c r="D126" s="337" t="e">
        <f>D123+D124+D125</f>
        <v>#REF!</v>
      </c>
      <c r="E126" s="426"/>
      <c r="F126" s="118"/>
      <c r="G126" s="35"/>
      <c r="H126" s="35"/>
      <c r="I126" s="35"/>
      <c r="J126" s="603"/>
      <c r="K126" s="621"/>
      <c r="L126" s="639"/>
      <c r="M126" s="35"/>
      <c r="N126" s="35"/>
      <c r="O126" s="35"/>
      <c r="P126" s="35"/>
      <c r="R126" t="s">
        <v>2689</v>
      </c>
      <c r="S126" s="360" t="e">
        <f t="shared" ref="S126:Y126" si="3">IF(S125&gt;S124,0,S124-S125)</f>
        <v>#REF!</v>
      </c>
      <c r="T126" s="197" t="e">
        <f t="shared" si="3"/>
        <v>#REF!</v>
      </c>
      <c r="U126" s="518" t="e">
        <f t="shared" si="3"/>
        <v>#REF!</v>
      </c>
      <c r="V126" s="588" t="e">
        <f t="shared" si="3"/>
        <v>#REF!</v>
      </c>
      <c r="W126" s="615" t="e">
        <f t="shared" si="3"/>
        <v>#REF!</v>
      </c>
      <c r="X126" s="633" t="e">
        <f t="shared" si="3"/>
        <v>#REF!</v>
      </c>
      <c r="Y126" s="650" t="e">
        <f t="shared" si="3"/>
        <v>#REF!</v>
      </c>
      <c r="AD126" s="5"/>
      <c r="AE126" s="5"/>
      <c r="AF126" s="121"/>
    </row>
    <row r="127" spans="1:63" hidden="1">
      <c r="A127" s="126"/>
      <c r="B127" s="35" t="s">
        <v>2949</v>
      </c>
      <c r="C127" s="35"/>
      <c r="D127" s="338">
        <f>D28</f>
        <v>0</v>
      </c>
      <c r="E127" s="428"/>
      <c r="F127" s="118"/>
      <c r="G127" s="35"/>
      <c r="H127" s="35"/>
      <c r="I127" s="35"/>
      <c r="J127" s="603"/>
      <c r="K127" s="621"/>
      <c r="L127" s="639"/>
      <c r="M127" s="35"/>
      <c r="N127" s="35"/>
      <c r="O127" s="35"/>
      <c r="P127" s="35"/>
      <c r="X127" s="226"/>
      <c r="AD127" s="5"/>
      <c r="AE127" s="5"/>
      <c r="AF127" s="121"/>
    </row>
    <row r="128" spans="1:63" hidden="1">
      <c r="A128" s="126"/>
      <c r="B128" s="35" t="s">
        <v>2950</v>
      </c>
      <c r="C128" s="35"/>
      <c r="D128" s="335" t="e">
        <f>D126/D127</f>
        <v>#REF!</v>
      </c>
      <c r="E128" s="427"/>
      <c r="F128" s="118"/>
      <c r="G128" s="35"/>
      <c r="H128" s="35"/>
      <c r="I128" s="35"/>
      <c r="J128" s="603"/>
      <c r="K128" s="621"/>
      <c r="L128" s="639"/>
      <c r="M128" s="35"/>
      <c r="N128" s="35"/>
      <c r="O128" s="35"/>
      <c r="P128" s="35"/>
      <c r="X128" s="226"/>
      <c r="AD128" s="5"/>
      <c r="AE128" s="5"/>
      <c r="AF128" s="121"/>
    </row>
    <row r="129" spans="1:32" hidden="1">
      <c r="A129" s="126"/>
      <c r="B129" s="35" t="s">
        <v>407</v>
      </c>
      <c r="C129" s="35"/>
      <c r="D129" s="399" t="e">
        <f>'Data Entry - SOF'!#REF!</f>
        <v>#REF!</v>
      </c>
      <c r="E129" s="429"/>
      <c r="F129" s="118"/>
      <c r="G129" s="35"/>
      <c r="H129" s="35"/>
      <c r="I129" s="35"/>
      <c r="J129" s="603"/>
      <c r="K129" s="621"/>
      <c r="L129" s="639"/>
      <c r="M129" s="35"/>
      <c r="N129" s="35"/>
      <c r="O129" s="35"/>
      <c r="P129" s="35"/>
      <c r="X129" s="226"/>
      <c r="AD129" s="5"/>
      <c r="AE129" s="5"/>
      <c r="AF129" s="121"/>
    </row>
    <row r="130" spans="1:32" hidden="1">
      <c r="A130" s="126"/>
      <c r="B130" s="35" t="s">
        <v>298</v>
      </c>
      <c r="C130" s="35"/>
      <c r="D130" s="335" t="e">
        <f>D129*D128</f>
        <v>#REF!</v>
      </c>
      <c r="E130" s="427"/>
      <c r="F130" s="118"/>
      <c r="G130" s="35"/>
      <c r="H130" s="35"/>
      <c r="I130" s="35"/>
      <c r="J130" s="603"/>
      <c r="K130" s="621"/>
      <c r="L130" s="639"/>
      <c r="M130" s="35"/>
      <c r="N130" s="35"/>
      <c r="O130" s="35"/>
      <c r="P130" s="35"/>
      <c r="X130" s="226"/>
      <c r="AD130" s="5"/>
      <c r="AE130" s="5"/>
      <c r="AF130" s="121"/>
    </row>
    <row r="131" spans="1:32" hidden="1">
      <c r="A131" s="126"/>
      <c r="B131" s="35" t="s">
        <v>120</v>
      </c>
      <c r="C131" s="35"/>
      <c r="D131" s="337" t="e">
        <f>'Data Entry - SOF'!#REF!</f>
        <v>#REF!</v>
      </c>
      <c r="E131" s="426"/>
      <c r="F131" s="118"/>
      <c r="G131" s="35"/>
      <c r="H131" s="35"/>
      <c r="I131" s="35"/>
      <c r="J131" s="603"/>
      <c r="K131" s="621"/>
      <c r="L131" s="639"/>
      <c r="M131" s="35"/>
      <c r="N131" s="35"/>
      <c r="O131" s="35"/>
      <c r="P131" s="35"/>
      <c r="X131" s="226"/>
      <c r="AD131" s="5"/>
      <c r="AE131" s="5"/>
      <c r="AF131" s="121"/>
    </row>
    <row r="132" spans="1:32" hidden="1">
      <c r="A132" s="126"/>
      <c r="B132" s="123" t="s">
        <v>1819</v>
      </c>
      <c r="C132" s="101"/>
      <c r="D132" s="339" t="e">
        <f>IF(D130&gt;D131,0,D131-D130)</f>
        <v>#REF!</v>
      </c>
      <c r="E132" s="430"/>
      <c r="F132" s="118"/>
      <c r="G132" s="35"/>
      <c r="H132" s="35"/>
      <c r="I132" s="35"/>
      <c r="J132" s="603"/>
      <c r="K132" s="621"/>
      <c r="L132" s="639"/>
      <c r="M132" s="35"/>
      <c r="N132" s="35"/>
      <c r="O132" s="35"/>
      <c r="P132" s="35"/>
      <c r="X132" s="226"/>
      <c r="AD132" s="5"/>
      <c r="AE132" s="5"/>
      <c r="AF132" s="121"/>
    </row>
    <row r="133" spans="1:32" hidden="1">
      <c r="A133" s="126"/>
      <c r="B133" s="123" t="s">
        <v>924</v>
      </c>
      <c r="C133" s="101"/>
      <c r="D133" s="118"/>
      <c r="E133" s="118"/>
      <c r="F133" s="118"/>
      <c r="G133" s="35"/>
      <c r="H133" s="35"/>
      <c r="I133" s="35"/>
      <c r="J133" s="603"/>
      <c r="K133" s="621"/>
      <c r="L133" s="639"/>
      <c r="M133" s="35"/>
      <c r="N133" s="35"/>
      <c r="O133" s="35"/>
      <c r="P133" s="35"/>
      <c r="X133" s="226"/>
      <c r="AD133" s="5"/>
      <c r="AE133" s="5"/>
      <c r="AF133" s="121"/>
    </row>
    <row r="134" spans="1:32" hidden="1">
      <c r="A134" s="126"/>
      <c r="B134" s="123" t="s">
        <v>1018</v>
      </c>
      <c r="C134" s="101"/>
      <c r="D134" s="118"/>
      <c r="E134" s="118"/>
      <c r="F134" s="118"/>
      <c r="G134" s="35"/>
      <c r="H134" s="35"/>
      <c r="I134" s="35"/>
      <c r="J134" s="603"/>
      <c r="K134" s="621"/>
      <c r="L134" s="639"/>
      <c r="M134" s="35"/>
      <c r="N134" s="35"/>
      <c r="O134" s="35"/>
      <c r="P134" s="35"/>
      <c r="X134" s="226"/>
      <c r="AD134" s="5"/>
      <c r="AE134" s="5"/>
      <c r="AF134" s="121"/>
    </row>
    <row r="135" spans="1:32" hidden="1">
      <c r="A135" s="126"/>
      <c r="B135" s="123" t="s">
        <v>867</v>
      </c>
      <c r="C135" s="101"/>
      <c r="D135" s="118"/>
      <c r="E135" s="118"/>
      <c r="F135" s="118"/>
      <c r="G135" s="35"/>
      <c r="X135" s="226"/>
    </row>
    <row r="136" spans="1:32" hidden="1">
      <c r="A136" s="126"/>
      <c r="B136" s="169" t="s">
        <v>1820</v>
      </c>
      <c r="C136" s="35"/>
      <c r="D136" s="339" t="e">
        <f>'Data Entry - SOF'!#REF!</f>
        <v>#REF!</v>
      </c>
      <c r="E136" s="430"/>
      <c r="F136" s="118"/>
      <c r="G136" s="35"/>
      <c r="X136" s="226"/>
    </row>
    <row r="137" spans="1:32" hidden="1">
      <c r="A137" s="126"/>
      <c r="B137" s="112" t="s">
        <v>1821</v>
      </c>
      <c r="C137" s="57"/>
      <c r="D137" s="339" t="e">
        <f>IF(D132-D136&lt;0,0,D132-D136)</f>
        <v>#REF!</v>
      </c>
      <c r="E137" s="430"/>
      <c r="F137" s="118"/>
      <c r="G137" s="35"/>
      <c r="X137" s="226" t="e">
        <f>IF((27.14*0.64*G28*100)-(0.64*('Data Entry - SOF'!#REF!/100))&lt;0,0,(27.14*0.64*G28*100)-(0.64*('Data Entry - SOF'!#REF!/100)))</f>
        <v>#REF!</v>
      </c>
      <c r="Z137" s="226" t="e">
        <f>IF((27.14*0.31*#REF!*100)-(0.31*('Data Entry - SOF'!#REF!/100))&lt;0,0,(27.14*0.31*#REF!*100)-(0.31*('Data Entry - SOF'!#REF!/100)))</f>
        <v>#REF!</v>
      </c>
    </row>
    <row r="138" spans="1:32" hidden="1">
      <c r="A138" s="126"/>
      <c r="B138" s="101" t="s">
        <v>3046</v>
      </c>
      <c r="C138" s="35"/>
      <c r="D138" s="35"/>
      <c r="E138" s="35"/>
      <c r="F138" s="118"/>
      <c r="G138" s="35"/>
      <c r="V138" s="49" t="s">
        <v>1133</v>
      </c>
      <c r="W138" s="224" t="e">
        <f>G125/('Data Entry - SOF'!#REF!/100)</f>
        <v>#REF!</v>
      </c>
      <c r="X138" s="226" t="e">
        <f>IF(((31.95*W139*G28*100)-W139*('Data Entry - SOF'!#REF!/100))&lt;0,0,(31.95*W139*G28*100)-W139*('Data Entry - SOF'!#REF!/100))</f>
        <v>#REF!</v>
      </c>
      <c r="Y138" s="224" t="e">
        <f>#REF!/('Data Entry - SOF'!#REF!/100)</f>
        <v>#REF!</v>
      </c>
      <c r="Z138" s="226" t="e">
        <f>IF(((34*Y139*#REF!*100)-Y139*('Data Entry - SOF'!#REF!/100))&lt;0,0,(34*Y139*#REF!*100)-Y139*('Data Entry - SOF'!#REF!/100))</f>
        <v>#REF!</v>
      </c>
    </row>
    <row r="139" spans="1:32" hidden="1">
      <c r="A139" s="133"/>
      <c r="B139" s="103" t="s">
        <v>671</v>
      </c>
      <c r="C139" s="119"/>
      <c r="D139" s="119"/>
      <c r="E139" s="119"/>
      <c r="F139" s="131"/>
      <c r="G139" s="35"/>
      <c r="V139" s="49" t="s">
        <v>1134</v>
      </c>
      <c r="W139" s="224" t="e">
        <f>IF(W138-0.86&gt;0.64,0.64,W138-0.86)</f>
        <v>#REF!</v>
      </c>
      <c r="X139" s="226" t="e">
        <f>IF(((41.21*G46*G28*100)-G46*('Data Entry - SOF'!#REF!/100))&lt;0,0,(41.21*G46*G28*100)-G46*('Data Entry - SOF'!#REF!/100))</f>
        <v>#REF!</v>
      </c>
      <c r="Y139" s="224" t="e">
        <f>IF(Y138-0.86&gt;0.31,0.31,Y138-0.86)</f>
        <v>#REF!</v>
      </c>
      <c r="Z139" s="226" t="e">
        <f>IF(((44*#REF!*#REF!*100)-#REF!*('Data Entry - SOF'!#REF!/100))&lt;0,0,(44*#REF!*#REF!*100)-#REF!*('Data Entry - SOF'!#REF!/100))</f>
        <v>#REF!</v>
      </c>
    </row>
    <row r="140" spans="1:32" hidden="1">
      <c r="A140" s="129"/>
      <c r="G140" s="35"/>
      <c r="V140" s="49" t="s">
        <v>2230</v>
      </c>
      <c r="X140" s="226" t="e">
        <f>IF(((31.95*G49*G28*100)-G49*('Data Entry - SOF'!#REF!/100))&lt;0,0,(31.95*G49*G28*100)-G49*('Data Entry - SOF'!#REF!/100))</f>
        <v>#REF!</v>
      </c>
      <c r="Z140" s="226" t="e">
        <f>IF(((31.95*#REF!*#REF!*100)-#REF!*('Data Entry - SOF'!#REF!/100))&lt;0,0,(31.95*#REF!*#REF!*100)-#REF!*('Data Entry - SOF'!#REF!/100))</f>
        <v>#REF!</v>
      </c>
    </row>
    <row r="141" spans="1:32">
      <c r="A141" s="126"/>
      <c r="G141" s="35"/>
      <c r="X141" s="226" t="e">
        <f>X138+X139+X140</f>
        <v>#REF!</v>
      </c>
      <c r="Z141" s="226" t="e">
        <f>Z138+Z139+Z140</f>
        <v>#REF!</v>
      </c>
    </row>
    <row r="143" spans="1:32">
      <c r="A143" s="283" t="s">
        <v>167</v>
      </c>
      <c r="B143" s="57"/>
      <c r="C143" s="58"/>
    </row>
    <row r="144" spans="1:32">
      <c r="A144" s="97" t="s">
        <v>2803</v>
      </c>
      <c r="Q144" s="516" t="s">
        <v>2375</v>
      </c>
      <c r="R144" s="190" t="s">
        <v>2376</v>
      </c>
      <c r="S144" s="461" t="s">
        <v>2376</v>
      </c>
      <c r="T144" s="536" t="s">
        <v>2376</v>
      </c>
      <c r="U144" s="600" t="s">
        <v>2376</v>
      </c>
      <c r="V144" s="619" t="s">
        <v>2376</v>
      </c>
      <c r="W144" s="637" t="s">
        <v>2376</v>
      </c>
    </row>
    <row r="145" spans="1:23">
      <c r="A145" s="97" t="s">
        <v>2044</v>
      </c>
      <c r="D145" s="47"/>
      <c r="E145" s="47"/>
      <c r="F145" s="47"/>
      <c r="G145" s="194"/>
      <c r="Q145" s="367" t="s">
        <v>2718</v>
      </c>
      <c r="R145" s="365" t="s">
        <v>2718</v>
      </c>
      <c r="S145" s="515" t="s">
        <v>1061</v>
      </c>
      <c r="T145" s="536" t="s">
        <v>2516</v>
      </c>
      <c r="U145" s="600" t="s">
        <v>195</v>
      </c>
      <c r="V145" s="619" t="s">
        <v>196</v>
      </c>
      <c r="W145" s="637" t="s">
        <v>197</v>
      </c>
    </row>
    <row r="146" spans="1:23">
      <c r="A146" s="97" t="s">
        <v>25</v>
      </c>
      <c r="D146" s="47"/>
      <c r="E146" s="47"/>
      <c r="F146" s="47"/>
      <c r="G146" s="194"/>
      <c r="Q146" s="367" t="s">
        <v>1235</v>
      </c>
      <c r="R146" s="365" t="s">
        <v>1235</v>
      </c>
      <c r="S146" s="515" t="s">
        <v>1235</v>
      </c>
      <c r="T146" s="589" t="s">
        <v>1235</v>
      </c>
      <c r="U146" s="795" t="s">
        <v>1235</v>
      </c>
      <c r="V146" s="797" t="s">
        <v>1235</v>
      </c>
      <c r="W146" s="799" t="s">
        <v>1235</v>
      </c>
    </row>
    <row r="147" spans="1:23">
      <c r="A147" s="97" t="s">
        <v>2045</v>
      </c>
      <c r="Q147" s="367" t="s">
        <v>1447</v>
      </c>
      <c r="R147" s="365" t="s">
        <v>1447</v>
      </c>
      <c r="S147" s="515" t="s">
        <v>1447</v>
      </c>
      <c r="T147" s="589" t="s">
        <v>1447</v>
      </c>
      <c r="U147" s="795" t="s">
        <v>1447</v>
      </c>
      <c r="V147" s="797" t="s">
        <v>1447</v>
      </c>
      <c r="W147" s="799" t="s">
        <v>1447</v>
      </c>
    </row>
    <row r="148" spans="1:23">
      <c r="A148" s="97"/>
      <c r="C148" s="98" t="s">
        <v>2512</v>
      </c>
      <c r="D148" s="194" t="s">
        <v>1434</v>
      </c>
      <c r="E148" s="194"/>
      <c r="F148" s="194" t="s">
        <v>1345</v>
      </c>
      <c r="G148" s="325" t="s">
        <v>2939</v>
      </c>
      <c r="H148" s="190" t="s">
        <v>2939</v>
      </c>
      <c r="I148" s="461" t="s">
        <v>1059</v>
      </c>
      <c r="J148" s="536" t="s">
        <v>2516</v>
      </c>
      <c r="K148" s="600" t="s">
        <v>195</v>
      </c>
      <c r="L148" s="619" t="s">
        <v>196</v>
      </c>
      <c r="M148" s="637" t="s">
        <v>197</v>
      </c>
      <c r="Q148"/>
      <c r="R148" s="177"/>
      <c r="S148" s="486"/>
      <c r="T148" s="575"/>
      <c r="U148" s="702"/>
      <c r="V148" s="765"/>
      <c r="W148" s="781"/>
    </row>
    <row r="149" spans="1:23">
      <c r="B149" s="89" t="s">
        <v>2719</v>
      </c>
      <c r="C149" s="369" t="e">
        <f>'Data Entry - SOF'!#REF!</f>
        <v>#REF!</v>
      </c>
      <c r="D149" s="308" t="e">
        <f>'Data Entry - SOF'!#REF!</f>
        <v>#REF!</v>
      </c>
      <c r="E149" s="308"/>
      <c r="F149" s="308" t="e">
        <f>'Data Entry - SOF'!#REF!</f>
        <v>#REF!</v>
      </c>
      <c r="G149" s="523" t="e">
        <f>'Data Entry - SOF'!#REF!</f>
        <v>#REF!</v>
      </c>
      <c r="H149" s="524" t="e">
        <f>'Data Entry - SOF'!#REF!</f>
        <v>#REF!</v>
      </c>
      <c r="I149" s="518" t="e">
        <f>'Data Entry - SOF'!#REF!</f>
        <v>#REF!</v>
      </c>
      <c r="J149" s="588" t="e">
        <f>'Data Entry - SOF'!#REF!</f>
        <v>#REF!</v>
      </c>
      <c r="K149" s="615" t="e">
        <f>'Data Entry - SOF'!#REF!</f>
        <v>#REF!</v>
      </c>
      <c r="L149" s="633" t="e">
        <f>'Data Entry - SOF'!#REF!</f>
        <v>#REF!</v>
      </c>
      <c r="M149" s="650" t="e">
        <f>'Data Entry - SOF'!#REF!</f>
        <v>#REF!</v>
      </c>
      <c r="Q149" s="368" t="e">
        <f>IF('Data Entry - SOF'!#REF!=1,G149-C149,IF('Data Entry - SOF'!#REF!=2,G149-D149,G149-D149))</f>
        <v>#REF!</v>
      </c>
      <c r="R149" s="366" t="e">
        <f>IF('Data Entry - SOF'!#REF!=1,H149-C149,IF('Data Entry - SOF'!#REF!=2,H149-D149,H149-D149))</f>
        <v>#REF!</v>
      </c>
      <c r="S149" s="463" t="e">
        <f>IF('Data Entry - SOF'!#REF!=1,I149-C149,IF('Data Entry - SOF'!#REF!=2,I149-D149,I149-D149))</f>
        <v>#REF!</v>
      </c>
      <c r="T149" s="590" t="e">
        <f>IF('Data Entry - SOF'!#REF!=1,J149-C149,IF('Data Entry - SOF'!#REF!=2,J149-D149,J149-D149))</f>
        <v>#REF!</v>
      </c>
      <c r="U149" s="796" t="e">
        <f>IF('Data Entry - SOF'!#REF!=1,K149-C149,IF('Data Entry - SOF'!#REF!=2,K149-D149,K149-D149))</f>
        <v>#REF!</v>
      </c>
      <c r="V149" s="798" t="e">
        <f>IF('Data Entry - SOF'!#REF!=1,L149-C149,IF('Data Entry - SOF'!#REF!=2,L149-D149,L149-D149))</f>
        <v>#REF!</v>
      </c>
      <c r="W149" s="800" t="e">
        <f>IF('Data Entry - SOF'!#REF!=1,M149-C149,IF('Data Entry - SOF'!#REF!=2,M149-D149,M149-D149))</f>
        <v>#REF!</v>
      </c>
    </row>
    <row r="150" spans="1:23">
      <c r="A150" s="97"/>
      <c r="D150" s="121"/>
      <c r="E150" s="121"/>
      <c r="F150" s="121"/>
      <c r="G150" s="360"/>
      <c r="H150" s="180"/>
      <c r="I150" s="111"/>
      <c r="K150" s="172"/>
      <c r="L150" s="618"/>
      <c r="M150" s="636"/>
      <c r="Q150" s="360"/>
      <c r="R150" s="177"/>
      <c r="S150" s="486"/>
      <c r="T150" s="575"/>
      <c r="U150" s="702"/>
      <c r="V150" s="765"/>
      <c r="W150" s="781"/>
    </row>
    <row r="151" spans="1:23">
      <c r="G151" s="323"/>
      <c r="H151" s="180"/>
      <c r="I151" s="111"/>
      <c r="K151" s="172"/>
      <c r="L151" s="618"/>
      <c r="M151" s="636"/>
      <c r="Q151" s="323"/>
      <c r="R151" s="177"/>
      <c r="S151" s="486"/>
      <c r="T151" s="575"/>
      <c r="U151" s="702"/>
      <c r="V151" s="765"/>
      <c r="W151" s="781"/>
    </row>
    <row r="152" spans="1:23">
      <c r="A152" s="283" t="s">
        <v>1446</v>
      </c>
      <c r="B152" s="57"/>
      <c r="C152" s="58"/>
      <c r="D152" s="47"/>
      <c r="E152" s="47"/>
      <c r="F152" s="47"/>
      <c r="G152" s="325"/>
      <c r="H152" s="180"/>
      <c r="I152" s="111"/>
      <c r="K152" s="172"/>
      <c r="L152" s="618"/>
      <c r="M152" s="636"/>
      <c r="Q152" s="367" t="s">
        <v>2718</v>
      </c>
      <c r="R152" s="365" t="s">
        <v>1234</v>
      </c>
      <c r="S152" s="515" t="s">
        <v>1061</v>
      </c>
      <c r="T152" s="589" t="s">
        <v>1061</v>
      </c>
      <c r="U152" s="795" t="s">
        <v>1061</v>
      </c>
      <c r="V152" s="797" t="s">
        <v>1061</v>
      </c>
      <c r="W152" s="799" t="s">
        <v>1061</v>
      </c>
    </row>
    <row r="153" spans="1:23">
      <c r="D153" s="47"/>
      <c r="E153" s="47"/>
      <c r="F153" s="47"/>
      <c r="G153" s="325"/>
      <c r="H153" s="180"/>
      <c r="I153" s="111"/>
      <c r="K153" s="172"/>
      <c r="L153" s="618"/>
      <c r="M153" s="636"/>
      <c r="Q153" s="367" t="s">
        <v>1235</v>
      </c>
      <c r="R153" s="365" t="s">
        <v>1235</v>
      </c>
      <c r="S153" s="515" t="s">
        <v>1235</v>
      </c>
      <c r="T153" s="589" t="s">
        <v>1235</v>
      </c>
      <c r="U153" s="795" t="s">
        <v>1235</v>
      </c>
      <c r="V153" s="797" t="s">
        <v>1235</v>
      </c>
      <c r="W153" s="799" t="s">
        <v>1235</v>
      </c>
    </row>
    <row r="154" spans="1:23">
      <c r="C154" s="98" t="s">
        <v>2512</v>
      </c>
      <c r="D154" s="194" t="s">
        <v>1434</v>
      </c>
      <c r="E154" s="194"/>
      <c r="F154" s="194" t="s">
        <v>1345</v>
      </c>
      <c r="G154" s="325" t="s">
        <v>2939</v>
      </c>
      <c r="H154" s="180"/>
      <c r="I154" s="111"/>
      <c r="K154" s="172"/>
      <c r="L154" s="618"/>
      <c r="M154" s="636"/>
      <c r="Q154" s="367" t="s">
        <v>1447</v>
      </c>
      <c r="R154" s="365" t="s">
        <v>1447</v>
      </c>
      <c r="S154" s="515" t="s">
        <v>1447</v>
      </c>
      <c r="T154" s="589" t="s">
        <v>1447</v>
      </c>
      <c r="U154" s="795" t="s">
        <v>1447</v>
      </c>
      <c r="V154" s="797" t="s">
        <v>1447</v>
      </c>
      <c r="W154" s="799" t="s">
        <v>1447</v>
      </c>
    </row>
    <row r="155" spans="1:23">
      <c r="B155" s="98" t="s">
        <v>1237</v>
      </c>
      <c r="C155" s="369" t="e">
        <f>'Data Entry - SOF'!#REF!</f>
        <v>#REF!</v>
      </c>
      <c r="D155" s="308" t="e">
        <f>'Data Entry - SOF'!#REF!</f>
        <v>#REF!</v>
      </c>
      <c r="E155" s="308"/>
      <c r="F155" s="308" t="e">
        <f>'Data Entry - SOF'!#REF!</f>
        <v>#REF!</v>
      </c>
      <c r="G155" s="523" t="e">
        <f>#REF!</f>
        <v>#REF!</v>
      </c>
      <c r="H155" s="524" t="e">
        <f>#REF!</f>
        <v>#REF!</v>
      </c>
      <c r="I155" s="518" t="e">
        <f>#REF!</f>
        <v>#REF!</v>
      </c>
      <c r="J155" s="588" t="e">
        <f>#REF!</f>
        <v>#REF!</v>
      </c>
      <c r="K155" s="615" t="e">
        <f>#REF!</f>
        <v>#REF!</v>
      </c>
      <c r="L155" s="633" t="e">
        <f>#REF!</f>
        <v>#REF!</v>
      </c>
      <c r="M155" s="650" t="e">
        <f>#REF!</f>
        <v>#REF!</v>
      </c>
      <c r="Q155" s="368" t="e">
        <f>IF('Data Entry - SOF'!#REF!="Y",0,IF('Data Entry - SOF'!#REF!=1,G155-C155,IF('Data Entry - SOF'!#REF!=2,G155-D155,G155-D155)))</f>
        <v>#REF!</v>
      </c>
      <c r="R155" s="366" t="e">
        <f>IF('Data Entry - SOF'!#REF!="Y",0,IF('Data Entry - SOF'!#REF!=1,H155-C155,IF('Data Entry - SOF'!#REF!=2,H155-D155,H155-D155)))</f>
        <v>#REF!</v>
      </c>
      <c r="S155" s="463" t="e">
        <f>IF('Data Entry - SOF'!#REF!="Y",0,IF('Data Entry - SOF'!#REF!=1,I155-C155,IF('Data Entry - SOF'!#REF!=2,I155-D155,I155-D155)))</f>
        <v>#REF!</v>
      </c>
      <c r="T155" s="463" t="e">
        <f>IF('Data Entry - SOF'!#REF!="Y",0,IF('Data Entry - SOF'!#REF!=1,J155-C155,IF('Data Entry - SOF'!#REF!=2,J155-D155,J155-D155)))</f>
        <v>#REF!</v>
      </c>
      <c r="U155" s="796" t="e">
        <f>IF('Data Entry - SOF'!#REF!="Y",0,IF('Data Entry - SOF'!#REF!=1,K155-C155,IF('Data Entry - SOF'!#REF!=2,K155-D155,K155-D155)))</f>
        <v>#REF!</v>
      </c>
      <c r="V155" s="798" t="e">
        <f>IF('Data Entry - SOF'!#REF!="Y",0,IF('Data Entry - SOF'!#REF!=1,L155-C155,IF('Data Entry - SOF'!#REF!=2,L155-D155,L155-D155)))</f>
        <v>#REF!</v>
      </c>
      <c r="W155" s="800" t="e">
        <f>IF('Data Entry - SOF'!#REF!="Y",0,IF('Data Entry - SOF'!#REF!=1,M155-C155,IF('Data Entry - SOF'!#REF!=2,M155-D155,M155-D155)))</f>
        <v>#REF!</v>
      </c>
    </row>
    <row r="156" spans="1:23">
      <c r="B156" s="98"/>
      <c r="C156" s="369"/>
      <c r="D156" s="308"/>
      <c r="E156" s="308"/>
      <c r="F156" s="308"/>
      <c r="G156" s="523"/>
      <c r="H156" s="524"/>
      <c r="I156" s="518"/>
      <c r="J156" s="615"/>
      <c r="K156" s="633"/>
      <c r="L156" s="650"/>
      <c r="M156" s="588"/>
      <c r="N156" s="615"/>
      <c r="O156" s="633"/>
      <c r="P156" s="650"/>
      <c r="Q156" s="837"/>
      <c r="R156" s="838"/>
      <c r="S156" s="839"/>
      <c r="T156" s="840"/>
      <c r="U156" s="841"/>
      <c r="V156" s="842"/>
      <c r="W156" s="843"/>
    </row>
    <row r="157" spans="1:23">
      <c r="B157" s="98"/>
      <c r="C157" s="369"/>
      <c r="D157" s="308"/>
      <c r="E157" s="308"/>
      <c r="F157" s="308"/>
      <c r="G157" s="523"/>
      <c r="H157" s="524"/>
      <c r="I157" s="518"/>
      <c r="J157" s="615"/>
      <c r="K157" s="633"/>
      <c r="L157" s="650"/>
      <c r="M157" s="588"/>
      <c r="N157" s="615"/>
      <c r="O157" s="633"/>
      <c r="P157" s="650"/>
      <c r="Q157" s="837"/>
      <c r="R157" s="838"/>
      <c r="S157" s="839"/>
      <c r="T157" s="840"/>
      <c r="U157" s="841"/>
      <c r="V157" s="842"/>
      <c r="W157" s="843"/>
    </row>
    <row r="158" spans="1:23">
      <c r="B158" s="98"/>
      <c r="C158" s="369"/>
      <c r="D158" s="308"/>
      <c r="E158" s="308"/>
      <c r="F158" s="308"/>
      <c r="G158" s="523"/>
      <c r="H158" s="524"/>
      <c r="I158" s="518"/>
      <c r="J158" s="615"/>
      <c r="K158" s="633"/>
      <c r="L158" s="650"/>
      <c r="M158" s="588"/>
      <c r="N158" s="615"/>
      <c r="O158" s="633"/>
      <c r="P158" s="650"/>
      <c r="Q158" s="837"/>
      <c r="R158" s="838"/>
      <c r="S158" s="839"/>
      <c r="T158" s="840"/>
      <c r="U158" s="841"/>
      <c r="V158" s="842"/>
      <c r="W158" s="843"/>
    </row>
    <row r="159" spans="1:23">
      <c r="B159" s="98"/>
      <c r="C159" s="369"/>
      <c r="D159" s="308"/>
      <c r="E159" s="308"/>
      <c r="F159" s="308"/>
      <c r="G159" s="523"/>
      <c r="H159" s="524"/>
      <c r="I159" s="518"/>
      <c r="J159" s="615"/>
      <c r="K159" s="633"/>
      <c r="L159" s="650"/>
      <c r="M159" s="588"/>
      <c r="N159" s="615"/>
      <c r="O159" s="633"/>
      <c r="P159" s="650"/>
      <c r="Q159" s="837"/>
      <c r="R159" s="838"/>
      <c r="S159" s="839"/>
      <c r="T159" s="840"/>
      <c r="U159" s="841"/>
      <c r="V159" s="842"/>
      <c r="W159" s="843"/>
    </row>
    <row r="160" spans="1:23">
      <c r="B160" s="98"/>
      <c r="C160" s="369"/>
      <c r="D160" s="308"/>
      <c r="E160" s="308"/>
      <c r="F160" s="308"/>
      <c r="G160" s="523"/>
      <c r="H160" s="524"/>
      <c r="I160" s="518"/>
      <c r="J160" s="615"/>
      <c r="K160" s="633"/>
      <c r="L160" s="650"/>
      <c r="M160" s="588"/>
      <c r="N160" s="615"/>
      <c r="O160" s="633"/>
      <c r="P160" s="650"/>
      <c r="Q160" s="837"/>
      <c r="R160" s="838"/>
      <c r="S160" s="839"/>
      <c r="T160" s="840"/>
      <c r="U160" s="841"/>
      <c r="V160" s="842"/>
      <c r="W160" s="843"/>
    </row>
    <row r="161" spans="2:62">
      <c r="B161" s="47" t="s">
        <v>2939</v>
      </c>
      <c r="D161" s="75" t="s">
        <v>1874</v>
      </c>
      <c r="E161" s="75" t="s">
        <v>1875</v>
      </c>
      <c r="F161" s="75" t="s">
        <v>1876</v>
      </c>
      <c r="J161"/>
      <c r="K161" s="177"/>
      <c r="L161"/>
      <c r="Q161" s="224"/>
      <c r="R161" s="224"/>
      <c r="S161" s="224"/>
      <c r="T161" s="224"/>
      <c r="W161"/>
      <c r="X161"/>
      <c r="Y161"/>
      <c r="Z161"/>
      <c r="BD161" s="160"/>
      <c r="BJ161"/>
    </row>
    <row r="162" spans="2:62">
      <c r="B162" t="s">
        <v>1237</v>
      </c>
      <c r="D162" s="413" t="e">
        <f>G155-C155</f>
        <v>#REF!</v>
      </c>
      <c r="E162" s="413" t="e">
        <f>G155-D155</f>
        <v>#REF!</v>
      </c>
      <c r="F162" s="413" t="e">
        <f>E162</f>
        <v>#REF!</v>
      </c>
      <c r="J162"/>
      <c r="K162" s="177"/>
      <c r="L162"/>
      <c r="Q162" s="224"/>
      <c r="R162" s="224"/>
      <c r="S162" s="224"/>
      <c r="T162" s="224"/>
      <c r="W162"/>
      <c r="X162"/>
      <c r="Y162"/>
      <c r="Z162"/>
      <c r="BD162" s="160"/>
      <c r="BJ162"/>
    </row>
    <row r="163" spans="2:62">
      <c r="B163" t="s">
        <v>2017</v>
      </c>
      <c r="D163" s="413" t="e">
        <f>H149-C149</f>
        <v>#REF!</v>
      </c>
      <c r="E163" s="413" t="e">
        <f>H149-D149</f>
        <v>#REF!</v>
      </c>
      <c r="F163" s="413" t="e">
        <f>E163</f>
        <v>#REF!</v>
      </c>
      <c r="J163"/>
      <c r="K163" s="177"/>
      <c r="L163"/>
      <c r="Q163" s="224"/>
      <c r="R163" s="224"/>
      <c r="S163" s="224"/>
      <c r="T163" s="224"/>
      <c r="W163"/>
      <c r="X163"/>
      <c r="Y163"/>
      <c r="Z163"/>
      <c r="BD163" s="160"/>
      <c r="BJ163"/>
    </row>
    <row r="164" spans="2:62">
      <c r="J164"/>
      <c r="K164" s="177"/>
      <c r="L164"/>
      <c r="Q164" s="224"/>
      <c r="R164" s="224"/>
      <c r="S164" s="224"/>
      <c r="T164" s="224"/>
      <c r="W164"/>
      <c r="X164"/>
      <c r="Y164"/>
      <c r="Z164"/>
      <c r="BD164" s="160"/>
      <c r="BJ164"/>
    </row>
    <row r="165" spans="2:62">
      <c r="J165"/>
      <c r="K165" s="177"/>
      <c r="L165"/>
      <c r="Q165" s="224"/>
      <c r="R165" s="224"/>
      <c r="S165" s="224"/>
      <c r="T165" s="224"/>
      <c r="W165"/>
      <c r="X165"/>
      <c r="Y165"/>
      <c r="Z165"/>
      <c r="BD165" s="160"/>
      <c r="BJ165"/>
    </row>
    <row r="166" spans="2:62">
      <c r="B166" s="47" t="s">
        <v>1059</v>
      </c>
      <c r="D166" s="75" t="s">
        <v>1874</v>
      </c>
      <c r="E166" s="75" t="s">
        <v>1875</v>
      </c>
      <c r="F166" s="75" t="s">
        <v>1876</v>
      </c>
      <c r="J166"/>
      <c r="K166" s="177"/>
      <c r="L166"/>
      <c r="Q166" s="224"/>
      <c r="R166" s="224"/>
      <c r="S166" s="224"/>
      <c r="T166" s="224"/>
      <c r="W166"/>
      <c r="X166"/>
      <c r="Y166"/>
      <c r="Z166"/>
      <c r="BD166" s="160"/>
      <c r="BJ166"/>
    </row>
    <row r="167" spans="2:62">
      <c r="B167" t="s">
        <v>1237</v>
      </c>
      <c r="D167" s="413" t="e">
        <f>I155-C155</f>
        <v>#REF!</v>
      </c>
      <c r="E167" s="413" t="e">
        <f>I155-D155</f>
        <v>#REF!</v>
      </c>
      <c r="F167" s="413" t="e">
        <f>E167</f>
        <v>#REF!</v>
      </c>
      <c r="J167"/>
      <c r="K167" s="177"/>
      <c r="L167"/>
      <c r="Q167" s="224"/>
      <c r="R167" s="224"/>
      <c r="S167" s="224"/>
      <c r="T167" s="224"/>
      <c r="W167"/>
      <c r="X167"/>
      <c r="Y167"/>
      <c r="Z167"/>
      <c r="BD167" s="160"/>
      <c r="BJ167"/>
    </row>
    <row r="168" spans="2:62">
      <c r="B168" t="s">
        <v>2017</v>
      </c>
      <c r="D168" s="413" t="e">
        <f>I149-C149</f>
        <v>#REF!</v>
      </c>
      <c r="E168" s="413" t="e">
        <f>I149-D149</f>
        <v>#REF!</v>
      </c>
      <c r="F168" s="413" t="e">
        <f>E168</f>
        <v>#REF!</v>
      </c>
      <c r="J168"/>
      <c r="K168" s="177"/>
      <c r="L168"/>
      <c r="Q168" s="224"/>
      <c r="R168" s="224"/>
      <c r="S168" s="224"/>
      <c r="T168" s="224"/>
      <c r="W168"/>
      <c r="X168"/>
      <c r="Y168"/>
      <c r="Z168"/>
      <c r="BD168" s="160"/>
      <c r="BJ168"/>
    </row>
    <row r="169" spans="2:62">
      <c r="J169"/>
      <c r="K169" s="177"/>
      <c r="L169"/>
      <c r="Q169" s="224"/>
      <c r="R169" s="224"/>
      <c r="S169" s="224"/>
      <c r="T169" s="224"/>
      <c r="W169"/>
      <c r="X169"/>
      <c r="Y169"/>
      <c r="Z169"/>
      <c r="BD169" s="160"/>
      <c r="BJ169"/>
    </row>
    <row r="170" spans="2:62">
      <c r="J170"/>
      <c r="K170" s="177"/>
      <c r="L170"/>
      <c r="Q170" s="224"/>
      <c r="R170" s="224"/>
      <c r="S170" s="224"/>
      <c r="T170" s="224"/>
      <c r="W170"/>
      <c r="X170"/>
      <c r="Y170"/>
      <c r="Z170"/>
      <c r="BD170" s="160"/>
      <c r="BJ170"/>
    </row>
    <row r="171" spans="2:62">
      <c r="B171" s="47" t="s">
        <v>2516</v>
      </c>
      <c r="D171" s="75" t="s">
        <v>1874</v>
      </c>
      <c r="E171" s="75" t="s">
        <v>1875</v>
      </c>
      <c r="F171" s="75" t="s">
        <v>1876</v>
      </c>
      <c r="J171"/>
      <c r="K171" s="177"/>
      <c r="L171"/>
      <c r="Q171" s="224"/>
      <c r="R171" s="224"/>
      <c r="S171" s="224"/>
      <c r="T171" s="224"/>
      <c r="W171"/>
      <c r="X171"/>
      <c r="Y171"/>
      <c r="Z171"/>
      <c r="BD171" s="160"/>
      <c r="BJ171"/>
    </row>
    <row r="172" spans="2:62">
      <c r="B172" t="s">
        <v>1237</v>
      </c>
      <c r="D172" s="413" t="e">
        <f>J155-C155</f>
        <v>#REF!</v>
      </c>
      <c r="E172" s="413" t="e">
        <f>J155-D155</f>
        <v>#REF!</v>
      </c>
      <c r="F172" s="413" t="e">
        <f>E172</f>
        <v>#REF!</v>
      </c>
      <c r="J172"/>
      <c r="K172" s="177"/>
      <c r="L172"/>
      <c r="Q172" s="224"/>
      <c r="R172" s="224"/>
      <c r="S172" s="224"/>
      <c r="T172" s="224"/>
      <c r="W172"/>
      <c r="X172"/>
      <c r="Y172"/>
      <c r="Z172"/>
      <c r="BD172" s="160"/>
      <c r="BJ172"/>
    </row>
    <row r="173" spans="2:62">
      <c r="B173" t="s">
        <v>2017</v>
      </c>
      <c r="D173" s="413" t="e">
        <f>J149-C149</f>
        <v>#REF!</v>
      </c>
      <c r="E173" s="413" t="e">
        <f>J149-D149</f>
        <v>#REF!</v>
      </c>
      <c r="F173" s="413" t="e">
        <f>E173</f>
        <v>#REF!</v>
      </c>
      <c r="J173"/>
      <c r="K173" s="177"/>
      <c r="L173"/>
      <c r="Q173" s="224"/>
      <c r="R173" s="224"/>
      <c r="S173" s="224"/>
      <c r="T173" s="224"/>
      <c r="W173"/>
      <c r="X173"/>
      <c r="Y173"/>
      <c r="Z173"/>
      <c r="BD173" s="160"/>
      <c r="BJ173"/>
    </row>
    <row r="176" spans="2:62">
      <c r="B176" s="47" t="s">
        <v>195</v>
      </c>
      <c r="D176" s="75" t="s">
        <v>1874</v>
      </c>
      <c r="E176" s="75" t="s">
        <v>1875</v>
      </c>
      <c r="F176" s="75" t="s">
        <v>1876</v>
      </c>
    </row>
    <row r="177" spans="2:6">
      <c r="B177" t="s">
        <v>1237</v>
      </c>
      <c r="D177" s="413" t="e">
        <f>K155-C155</f>
        <v>#REF!</v>
      </c>
      <c r="E177" s="413" t="e">
        <f>K155-D155</f>
        <v>#REF!</v>
      </c>
      <c r="F177" s="413" t="e">
        <f>E177</f>
        <v>#REF!</v>
      </c>
    </row>
    <row r="178" spans="2:6">
      <c r="B178" t="s">
        <v>2017</v>
      </c>
      <c r="D178" s="413" t="e">
        <f>K149-C149</f>
        <v>#REF!</v>
      </c>
      <c r="E178" s="413" t="e">
        <f>K149-D149</f>
        <v>#REF!</v>
      </c>
      <c r="F178" s="413" t="e">
        <f>E178</f>
        <v>#REF!</v>
      </c>
    </row>
    <row r="181" spans="2:6">
      <c r="B181" s="47" t="s">
        <v>196</v>
      </c>
      <c r="D181" s="75" t="s">
        <v>1874</v>
      </c>
      <c r="E181" s="75" t="s">
        <v>1875</v>
      </c>
      <c r="F181" s="75" t="s">
        <v>1876</v>
      </c>
    </row>
    <row r="182" spans="2:6">
      <c r="B182" t="s">
        <v>1237</v>
      </c>
      <c r="D182" s="413" t="e">
        <f>L155-C155</f>
        <v>#REF!</v>
      </c>
      <c r="E182" s="413" t="e">
        <f>L155-D155</f>
        <v>#REF!</v>
      </c>
      <c r="F182" s="413" t="e">
        <f>E182</f>
        <v>#REF!</v>
      </c>
    </row>
    <row r="183" spans="2:6">
      <c r="B183" t="s">
        <v>2017</v>
      </c>
      <c r="D183" s="413" t="e">
        <f>L149-C149</f>
        <v>#REF!</v>
      </c>
      <c r="E183" s="413" t="e">
        <f>L149-D149</f>
        <v>#REF!</v>
      </c>
      <c r="F183" s="413" t="e">
        <f>E183</f>
        <v>#REF!</v>
      </c>
    </row>
    <row r="186" spans="2:6">
      <c r="B186" s="47" t="s">
        <v>197</v>
      </c>
      <c r="D186" s="75" t="s">
        <v>1874</v>
      </c>
      <c r="E186" s="75" t="s">
        <v>1875</v>
      </c>
      <c r="F186" s="75" t="s">
        <v>1876</v>
      </c>
    </row>
    <row r="187" spans="2:6">
      <c r="B187" t="s">
        <v>1237</v>
      </c>
      <c r="D187" s="413" t="e">
        <f>M155-C155</f>
        <v>#REF!</v>
      </c>
      <c r="E187" s="413" t="e">
        <f>M155-D155</f>
        <v>#REF!</v>
      </c>
      <c r="F187" s="413" t="e">
        <f>E187</f>
        <v>#REF!</v>
      </c>
    </row>
    <row r="188" spans="2:6">
      <c r="B188" t="s">
        <v>2017</v>
      </c>
      <c r="D188" s="413" t="e">
        <f>M149-C149</f>
        <v>#REF!</v>
      </c>
      <c r="E188" s="413" t="e">
        <f>M149-D149</f>
        <v>#REF!</v>
      </c>
      <c r="F188" s="413" t="e">
        <f>E188</f>
        <v>#REF!</v>
      </c>
    </row>
    <row r="192" spans="2:6">
      <c r="C192" s="49" t="s">
        <v>2022</v>
      </c>
      <c r="D192" s="408" t="e">
        <f>'DE1'!D178</f>
        <v>#N/A</v>
      </c>
    </row>
    <row r="193" spans="3:5">
      <c r="C193" s="49" t="s">
        <v>2023</v>
      </c>
      <c r="D193" s="408" t="e">
        <f>'DE1'!D179</f>
        <v>#N/A</v>
      </c>
    </row>
    <row r="195" spans="3:5">
      <c r="C195" s="98" t="s">
        <v>2939</v>
      </c>
    </row>
    <row r="196" spans="3:5">
      <c r="C196" s="49" t="s">
        <v>2020</v>
      </c>
      <c r="D196" s="836" t="e">
        <f>IF('Data Entry - SOF'!#REF!=1,IF('Data Entry - SOF'!#REF!-D192&lt;0,0,'Data Entry - SOF'!#REF!-D192),IF('Data Entry - SOF'!#REF!-D193&lt;0,0,'Data Entry - SOF'!#REF!-D193))</f>
        <v>#REF!</v>
      </c>
      <c r="E196" s="60" t="s">
        <v>2024</v>
      </c>
    </row>
    <row r="198" spans="3:5">
      <c r="C198" s="98" t="s">
        <v>1059</v>
      </c>
    </row>
    <row r="199" spans="3:5">
      <c r="C199" s="49" t="s">
        <v>2020</v>
      </c>
      <c r="D199" s="836" t="e">
        <f>IF('Data Entry - SOF'!#REF!=1,IF('Data Entry - SOF'!#REF!-D192&lt;0,0,'Data Entry - SOF'!#REF!-D192),IF('Data Entry - SOF'!#REF!-D193&lt;0,0,'Data Entry - SOF'!#REF!-D193))</f>
        <v>#REF!</v>
      </c>
      <c r="E199" s="60" t="s">
        <v>2015</v>
      </c>
    </row>
    <row r="201" spans="3:5">
      <c r="C201" s="98" t="s">
        <v>2516</v>
      </c>
    </row>
    <row r="202" spans="3:5">
      <c r="C202" s="49" t="s">
        <v>2020</v>
      </c>
      <c r="D202" s="836" t="e">
        <f>IF('Data Entry - SOF'!#REF!=1,IF('Data Entry - SOF'!#REF!-D192&lt;0,0,'Data Entry - SOF'!#REF!-D192),IF('Data Entry - SOF'!#REF!-D193&lt;0,0,'Data Entry - SOF'!#REF!-D193))</f>
        <v>#REF!</v>
      </c>
      <c r="E202" s="60" t="s">
        <v>2016</v>
      </c>
    </row>
    <row r="204" spans="3:5">
      <c r="C204" s="98" t="s">
        <v>195</v>
      </c>
    </row>
    <row r="205" spans="3:5">
      <c r="C205" s="49" t="s">
        <v>2020</v>
      </c>
      <c r="D205" s="836" t="e">
        <f>IF('Data Entry - SOF'!#REF!=1,IF('Data Entry - SOF'!#REF!-D192&lt;0,0,'Data Entry - SOF'!#REF!-D192),IF('Data Entry - SOF'!#REF!-D193&lt;0,0,'Data Entry - SOF'!#REF!-D193))</f>
        <v>#REF!</v>
      </c>
      <c r="E205" s="60" t="s">
        <v>2018</v>
      </c>
    </row>
    <row r="207" spans="3:5">
      <c r="C207" s="98" t="s">
        <v>196</v>
      </c>
    </row>
    <row r="208" spans="3:5">
      <c r="C208" s="49" t="s">
        <v>2020</v>
      </c>
      <c r="D208" s="836" t="e">
        <f>IF('Data Entry - SOF'!#REF!=1,IF('Data Entry - SOF'!#REF!-D192&lt;0,0,'Data Entry - SOF'!#REF!-D192),IF('Data Entry - SOF'!#REF!-D193&lt;0,0,'Data Entry - SOF'!#REF!-D193))</f>
        <v>#REF!</v>
      </c>
      <c r="E208" s="60" t="s">
        <v>908</v>
      </c>
    </row>
    <row r="210" spans="3:5">
      <c r="C210" s="98" t="s">
        <v>197</v>
      </c>
    </row>
    <row r="211" spans="3:5">
      <c r="C211" s="49" t="s">
        <v>2020</v>
      </c>
      <c r="D211" s="836" t="e">
        <f>IF('Data Entry - SOF'!#REF!=1,IF('Data Entry - SOF'!#REF!-D192&lt;0,0,'Data Entry - SOF'!#REF!-D192),IF('Data Entry - SOF'!#REF!-D193&lt;0,0,'Data Entry - SOF'!#REF!-D193))</f>
        <v>#REF!</v>
      </c>
      <c r="E211" s="60" t="s">
        <v>909</v>
      </c>
    </row>
  </sheetData>
  <phoneticPr fontId="0" type="noConversion"/>
  <pageMargins left="0.25" right="0.25" top="0.5" bottom="0.5" header="0.5" footer="0.5"/>
  <pageSetup scale="60" orientation="landscape" r:id="rId1"/>
  <headerFooter alignWithMargins="0">
    <oddFooter>&amp;L&amp;G</oddFooter>
  </headerFooter>
  <rowBreaks count="1" manualBreakCount="1">
    <brk id="55" max="16383" man="1"/>
  </rowBreaks>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election activeCell="E2" sqref="E2"/>
    </sheetView>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'Report-EDA1617'!D1</f>
        <v>84th/85th Legislative Session</v>
      </c>
    </row>
    <row r="2" spans="1:5">
      <c r="A2" s="1074" t="s">
        <v>3267</v>
      </c>
      <c r="E2" s="98" t="str">
        <f>'Report-EDA1617'!D2</f>
        <v>Release 2</v>
      </c>
    </row>
    <row r="3" spans="1:5">
      <c r="A3" s="89"/>
      <c r="E3" s="82">
        <f>'Report-EDA1617'!D3</f>
        <v>43145</v>
      </c>
    </row>
    <row r="4" spans="1:5" ht="15.75">
      <c r="A4" s="1075" t="s">
        <v>3657</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IFA!H58</f>
        <v>400</v>
      </c>
      <c r="E12" s="1086">
        <f>D12</f>
        <v>400</v>
      </c>
    </row>
    <row r="13" spans="1:5" s="1076" customFormat="1" ht="15">
      <c r="A13" s="1079" t="s">
        <v>2503</v>
      </c>
      <c r="B13" s="1080" t="s">
        <v>7387</v>
      </c>
      <c r="C13" s="1080"/>
      <c r="D13" s="1085">
        <f>'Report-EDA1617'!D18</f>
        <v>0</v>
      </c>
      <c r="E13" s="1085">
        <f>D13</f>
        <v>0</v>
      </c>
    </row>
    <row r="14" spans="1:5" s="1076" customFormat="1" ht="15">
      <c r="A14" s="1079" t="s">
        <v>1024</v>
      </c>
      <c r="B14" s="1080" t="s">
        <v>3378</v>
      </c>
      <c r="C14" s="1080"/>
      <c r="D14" s="1085">
        <f>IFA!H65</f>
        <v>0</v>
      </c>
      <c r="E14" s="1085">
        <f>IFA!J65</f>
        <v>0</v>
      </c>
    </row>
    <row r="15" spans="1:5" s="1076" customFormat="1" ht="15">
      <c r="A15" s="1079" t="s">
        <v>1025</v>
      </c>
      <c r="B15" s="1080" t="s">
        <v>3379</v>
      </c>
      <c r="C15" s="1080"/>
      <c r="D15" s="1183">
        <f>IFA!H67</f>
        <v>0</v>
      </c>
      <c r="E15" s="1183">
        <f>IFA!J67</f>
        <v>0</v>
      </c>
    </row>
    <row r="16" spans="1:5" s="1076" customFormat="1" ht="15">
      <c r="A16" s="1079" t="s">
        <v>1027</v>
      </c>
      <c r="B16" s="1080" t="s">
        <v>3380</v>
      </c>
      <c r="C16" s="1080"/>
      <c r="D16" s="1183">
        <f>IFA!H69</f>
        <v>0</v>
      </c>
      <c r="E16" s="1183">
        <f>IFA!J69</f>
        <v>0</v>
      </c>
    </row>
    <row r="17" spans="1:5" s="1076" customFormat="1" ht="15">
      <c r="A17" s="1079" t="s">
        <v>1028</v>
      </c>
      <c r="B17" s="1080" t="str">
        <f>CONCATENATE("State's Share of $",Weights!H49," per ADA Yield")</f>
        <v>State's Share of $35 per ADA Yield</v>
      </c>
      <c r="C17" s="1080"/>
      <c r="D17" s="1085">
        <f>IFA!H71</f>
        <v>35</v>
      </c>
      <c r="E17" s="1085">
        <f>IFA!J71</f>
        <v>35</v>
      </c>
    </row>
    <row r="18" spans="1:5" s="1076" customFormat="1" ht="15">
      <c r="A18" s="1079" t="s">
        <v>1029</v>
      </c>
      <c r="B18" s="1080" t="s">
        <v>3381</v>
      </c>
      <c r="C18" s="1080"/>
      <c r="D18" s="1184">
        <f>IFA!H73</f>
        <v>1</v>
      </c>
      <c r="E18" s="1184">
        <f>IFA!J73</f>
        <v>1</v>
      </c>
    </row>
    <row r="19" spans="1:5" s="1076" customFormat="1" ht="15">
      <c r="A19" s="1079" t="s">
        <v>139</v>
      </c>
      <c r="B19" s="1080" t="s">
        <v>3382</v>
      </c>
      <c r="C19" s="1080"/>
      <c r="D19" s="1085">
        <f>IFA!H75</f>
        <v>0</v>
      </c>
      <c r="E19" s="1085">
        <f>IFA!J75</f>
        <v>0</v>
      </c>
    </row>
    <row r="20" spans="1:5" s="1076" customFormat="1" ht="15">
      <c r="A20" s="1079" t="s">
        <v>140</v>
      </c>
      <c r="B20" s="1080" t="s">
        <v>3383</v>
      </c>
      <c r="C20" s="1080"/>
      <c r="D20" s="1085">
        <f>IFA!H79</f>
        <v>0</v>
      </c>
      <c r="E20" s="1085">
        <f>IFA!J79</f>
        <v>0</v>
      </c>
    </row>
    <row r="21" spans="1:5" s="1076" customFormat="1" ht="15.75">
      <c r="A21" s="1079" t="s">
        <v>141</v>
      </c>
      <c r="B21" s="1078" t="s">
        <v>3384</v>
      </c>
      <c r="C21" s="1080"/>
      <c r="D21" s="1085">
        <f>IFA!H86</f>
        <v>0</v>
      </c>
      <c r="E21" s="1085">
        <f>IFA!J86</f>
        <v>0</v>
      </c>
    </row>
    <row r="22" spans="1:5" s="1076" customFormat="1" ht="15.75">
      <c r="B22" s="1195" t="s">
        <v>3392</v>
      </c>
      <c r="D22" s="1445" t="s">
        <v>3666</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7100</v>
      </c>
      <c r="E32" s="2026">
        <f>IF(ISNA('DE1'!G89),0,'DE1'!G89)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IFA_Limits!D55</f>
        <v>0</v>
      </c>
      <c r="E37" s="1199">
        <f>IFA_Limits!D56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1076" customFormat="1" ht="15"/>
    <row r="50" s="1076" customFormat="1" ht="15"/>
    <row r="51" s="1076" customFormat="1" ht="15"/>
  </sheetData>
  <hyperlinks>
    <hyperlink ref="D22" location="'Report-SOF1617'!A1" display="'Report-SOF1617'!A1"/>
  </hyperlinks>
  <pageMargins left="0.45" right="0.45" top="0.5" bottom="0.5" header="0.3" footer="0.3"/>
  <pageSetup scale="8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2" sqref="E2"/>
    </sheetView>
  </sheetViews>
  <sheetFormatPr defaultRowHeight="12.75"/>
  <cols>
    <col min="1" max="1" width="5.42578125" customWidth="1"/>
    <col min="2" max="2" width="61.85546875" customWidth="1"/>
    <col min="3" max="3" width="19.5703125" customWidth="1"/>
    <col min="4" max="4" width="3.85546875" customWidth="1"/>
    <col min="5" max="5" width="23.140625" bestFit="1" customWidth="1"/>
  </cols>
  <sheetData>
    <row r="1" spans="1:5">
      <c r="A1" s="1074" t="s">
        <v>3593</v>
      </c>
      <c r="E1" s="1773" t="str">
        <f>'Report-IFA1617'!E1</f>
        <v>84th/85th Legislative Session</v>
      </c>
    </row>
    <row r="2" spans="1:5">
      <c r="A2" s="1074" t="s">
        <v>3594</v>
      </c>
      <c r="E2" s="98" t="str">
        <f>'Report-IFA1617'!E2</f>
        <v>Release 2</v>
      </c>
    </row>
    <row r="3" spans="1:5">
      <c r="A3" s="89"/>
      <c r="E3" s="82">
        <f>'Report-IFA1617'!E3</f>
        <v>43145</v>
      </c>
    </row>
    <row r="4" spans="1:5" ht="15.75">
      <c r="A4" s="1075" t="s">
        <v>3658</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SOF'!C84</f>
        <v>0</v>
      </c>
      <c r="D11" s="1080"/>
      <c r="E11" s="1083" t="e">
        <f>'Report-SOF1617'!D67</f>
        <v>#DIV/0!</v>
      </c>
    </row>
    <row r="12" spans="1:5" ht="15">
      <c r="A12" s="1079" t="s">
        <v>2502</v>
      </c>
      <c r="B12" s="1080" t="s">
        <v>3601</v>
      </c>
      <c r="C12" s="1083">
        <f>'Data Entry - SOF'!C85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1445" t="s">
        <v>3666</v>
      </c>
    </row>
    <row r="17" spans="1:5" ht="15.75">
      <c r="A17" s="1076"/>
      <c r="C17" s="1195"/>
      <c r="D17" s="1076"/>
      <c r="E17" s="1373"/>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c r="E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hyperlinks>
    <hyperlink ref="E16" location="'Report-SOF1617'!A1" display="'Report-SOF1617'!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703125" customWidth="1"/>
    <col min="2" max="2" width="36.28515625" customWidth="1"/>
    <col min="3" max="3" width="12.85546875" style="1094" customWidth="1"/>
    <col min="4" max="4" width="29.7109375" customWidth="1"/>
    <col min="5" max="5" width="24" customWidth="1"/>
  </cols>
  <sheetData>
    <row r="1" spans="1:5">
      <c r="A1" s="1074" t="s">
        <v>3411</v>
      </c>
      <c r="B1" s="1074"/>
      <c r="E1" s="1773" t="str">
        <f>'Report-FSF1617'!E1</f>
        <v>84th/85th Legislative Session</v>
      </c>
    </row>
    <row r="2" spans="1:5">
      <c r="A2" s="1074" t="s">
        <v>3412</v>
      </c>
      <c r="B2" s="1074"/>
      <c r="E2" s="98" t="str">
        <f>'Report-FSF1617'!E2</f>
        <v>Release 2</v>
      </c>
    </row>
    <row r="3" spans="1:5">
      <c r="A3" s="89"/>
      <c r="B3" s="89"/>
      <c r="E3" s="82">
        <f>'Report-FSF1617'!E3</f>
        <v>43145</v>
      </c>
    </row>
    <row r="4" spans="1:5" ht="15.75">
      <c r="A4" s="1075" t="s">
        <v>3677</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Weights!I10</f>
        <v>5</v>
      </c>
      <c r="D10" s="1081">
        <f>'Data Entry - SOF'!E20</f>
        <v>0</v>
      </c>
      <c r="E10" s="1086">
        <f>D10*C10</f>
        <v>0</v>
      </c>
    </row>
    <row r="11" spans="1:5" ht="15">
      <c r="A11" s="1079" t="s">
        <v>2502</v>
      </c>
      <c r="B11" s="1080" t="s">
        <v>3187</v>
      </c>
      <c r="C11" s="1096">
        <f>Weights!I11</f>
        <v>3</v>
      </c>
      <c r="D11" s="1081">
        <f>'Data Entry - SOF'!E21</f>
        <v>0</v>
      </c>
      <c r="E11" s="1086">
        <f t="shared" ref="E11:E19" si="0">D11*C11</f>
        <v>0</v>
      </c>
    </row>
    <row r="12" spans="1:5" ht="15">
      <c r="A12" s="1079" t="s">
        <v>2503</v>
      </c>
      <c r="B12" s="1080" t="s">
        <v>3188</v>
      </c>
      <c r="C12" s="1096">
        <f>Weights!I12</f>
        <v>5</v>
      </c>
      <c r="D12" s="1081">
        <f>'Data Entry - SOF'!E22</f>
        <v>0</v>
      </c>
      <c r="E12" s="1086">
        <f t="shared" si="0"/>
        <v>0</v>
      </c>
    </row>
    <row r="13" spans="1:5" ht="15">
      <c r="A13" s="1079" t="s">
        <v>1024</v>
      </c>
      <c r="B13" s="1080" t="s">
        <v>3189</v>
      </c>
      <c r="C13" s="1096">
        <f>Weights!I13</f>
        <v>3</v>
      </c>
      <c r="D13" s="1081">
        <f>'Data Entry - SOF'!E23</f>
        <v>0</v>
      </c>
      <c r="E13" s="1086">
        <f t="shared" si="0"/>
        <v>0</v>
      </c>
    </row>
    <row r="14" spans="1:5" ht="15">
      <c r="A14" s="1113"/>
      <c r="B14" s="1097" t="s">
        <v>3190</v>
      </c>
      <c r="C14" s="1092"/>
      <c r="D14" s="1098"/>
      <c r="E14" s="1101"/>
    </row>
    <row r="15" spans="1:5" ht="15">
      <c r="A15" s="1301" t="s">
        <v>1025</v>
      </c>
      <c r="B15" s="1099" t="s">
        <v>3191</v>
      </c>
      <c r="C15" s="1093">
        <f>Weights!I14</f>
        <v>3</v>
      </c>
      <c r="D15" s="1100">
        <f>'Data Entry - SOF'!E24</f>
        <v>0</v>
      </c>
      <c r="E15" s="1100">
        <f t="shared" si="0"/>
        <v>0</v>
      </c>
    </row>
    <row r="16" spans="1:5" ht="15">
      <c r="A16" s="1079" t="s">
        <v>1027</v>
      </c>
      <c r="B16" s="1080" t="s">
        <v>3192</v>
      </c>
      <c r="C16" s="1096">
        <f>Weights!I15</f>
        <v>2.7</v>
      </c>
      <c r="D16" s="1086">
        <f>'Data Entry - SOF'!E25</f>
        <v>0</v>
      </c>
      <c r="E16" s="1086">
        <f t="shared" si="0"/>
        <v>0</v>
      </c>
    </row>
    <row r="17" spans="1:5" ht="15">
      <c r="A17" s="1079" t="s">
        <v>1028</v>
      </c>
      <c r="B17" s="1080" t="s">
        <v>3193</v>
      </c>
      <c r="C17" s="1096">
        <f>Weights!I16</f>
        <v>2.2999999999999998</v>
      </c>
      <c r="D17" s="1086">
        <f>'Data Entry - SOF'!E26</f>
        <v>0</v>
      </c>
      <c r="E17" s="1086">
        <f t="shared" si="0"/>
        <v>0</v>
      </c>
    </row>
    <row r="18" spans="1:5" ht="15">
      <c r="A18" s="1079" t="s">
        <v>1029</v>
      </c>
      <c r="B18" s="1080" t="s">
        <v>3194</v>
      </c>
      <c r="C18" s="1096">
        <f>Weights!I17</f>
        <v>2.8</v>
      </c>
      <c r="D18" s="1086">
        <f>'Data Entry - SOF'!E27</f>
        <v>0</v>
      </c>
      <c r="E18" s="1086">
        <f t="shared" si="0"/>
        <v>0</v>
      </c>
    </row>
    <row r="19" spans="1:5" ht="15">
      <c r="A19" s="1079" t="s">
        <v>139</v>
      </c>
      <c r="B19" s="1080" t="s">
        <v>3195</v>
      </c>
      <c r="C19" s="1096">
        <f>Weights!I19</f>
        <v>4</v>
      </c>
      <c r="D19" s="1086">
        <f>'Data Entry - SOF'!E29</f>
        <v>0</v>
      </c>
      <c r="E19" s="1086">
        <f t="shared" si="0"/>
        <v>0</v>
      </c>
    </row>
    <row r="20" spans="1:5" ht="15.75">
      <c r="A20" s="1079" t="s">
        <v>140</v>
      </c>
      <c r="B20" s="1080" t="s">
        <v>3201</v>
      </c>
      <c r="C20" s="1096" t="s">
        <v>1994</v>
      </c>
      <c r="D20" s="1086">
        <f>'Calc Data-SB1'!D8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Weights!I18</f>
        <v>1.7</v>
      </c>
      <c r="D22" s="1086">
        <f>'Data Entry - SOF'!E28</f>
        <v>0</v>
      </c>
      <c r="E22" s="1096" t="s">
        <v>1994</v>
      </c>
    </row>
    <row r="23" spans="1:5" ht="15">
      <c r="A23" s="1079" t="s">
        <v>1706</v>
      </c>
      <c r="B23" s="1080" t="s">
        <v>584</v>
      </c>
      <c r="C23" s="1096">
        <f>Weights!I21</f>
        <v>1.1000000000000001</v>
      </c>
      <c r="D23" s="1086">
        <f>'Data Entry - SOF'!E31</f>
        <v>0</v>
      </c>
      <c r="E23" s="1096" t="s">
        <v>1994</v>
      </c>
    </row>
    <row r="24" spans="1:5" s="1076" customFormat="1" ht="15.75">
      <c r="C24" s="1195" t="s">
        <v>3392</v>
      </c>
      <c r="D24" s="1445" t="s">
        <v>3704</v>
      </c>
    </row>
    <row r="25" spans="1:5" s="1076" customFormat="1" ht="15">
      <c r="C25" s="1193"/>
    </row>
    <row r="27" spans="1:5" ht="15">
      <c r="A27" s="1102" t="s">
        <v>3585</v>
      </c>
    </row>
  </sheetData>
  <hyperlinks>
    <hyperlink ref="D24" location="'Report-SOF1718'!A1" display="'Report-SOF1718'!A1"/>
  </hyperlinks>
  <pageMargins left="0.45" right="0.45" top="0.5" bottom="0.5" header="0.3" footer="0.3"/>
  <pageSetup scale="9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heetViews>
  <sheetFormatPr defaultRowHeight="12.75"/>
  <cols>
    <col min="1" max="1" width="3.85546875" customWidth="1"/>
    <col min="2" max="2" width="83.140625" customWidth="1"/>
    <col min="3" max="3" width="23.140625" bestFit="1" customWidth="1"/>
  </cols>
  <sheetData>
    <row r="1" spans="1:3">
      <c r="A1" s="1074" t="s">
        <v>3411</v>
      </c>
      <c r="C1" s="1773" t="str">
        <f>'Report-SpEd1718'!E1</f>
        <v>84th/85th Legislative Session</v>
      </c>
    </row>
    <row r="2" spans="1:3">
      <c r="A2" s="1074" t="s">
        <v>3412</v>
      </c>
      <c r="C2" s="98" t="str">
        <f>'Report-SpEd1718'!E2</f>
        <v>Release 2</v>
      </c>
    </row>
    <row r="3" spans="1:3">
      <c r="A3" s="89"/>
      <c r="C3" s="82">
        <f>'Report-SpEd1718'!E3</f>
        <v>43145</v>
      </c>
    </row>
    <row r="4" spans="1:3" ht="15.75">
      <c r="A4" s="1075" t="s">
        <v>3678</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3679</v>
      </c>
      <c r="C11" s="1085">
        <f>'Data Entry - SOF'!E59</f>
        <v>0</v>
      </c>
    </row>
    <row r="12" spans="1:3" ht="15">
      <c r="A12" s="1095" t="s">
        <v>2502</v>
      </c>
      <c r="B12" s="1080" t="s">
        <v>3680</v>
      </c>
      <c r="C12" s="1085">
        <f>IFA!N79</f>
        <v>0</v>
      </c>
    </row>
    <row r="13" spans="1:3" ht="15">
      <c r="A13" s="1095" t="s">
        <v>2503</v>
      </c>
      <c r="B13" s="1080" t="s">
        <v>3681</v>
      </c>
      <c r="C13" s="1234" t="s">
        <v>3450</v>
      </c>
    </row>
    <row r="14" spans="1:3" ht="15.75">
      <c r="A14" s="1095" t="s">
        <v>1024</v>
      </c>
      <c r="B14" s="1078" t="s">
        <v>3682</v>
      </c>
      <c r="C14" s="1090">
        <f>'Calc Data-SB1'!D47</f>
        <v>0</v>
      </c>
    </row>
    <row r="15" spans="1:3" ht="15">
      <c r="A15" s="1095" t="s">
        <v>1025</v>
      </c>
      <c r="B15" s="1080" t="s">
        <v>3683</v>
      </c>
      <c r="C15" s="1103">
        <f>'Data Entry - SOF'!E58</f>
        <v>0</v>
      </c>
    </row>
    <row r="16" spans="1:3" ht="15">
      <c r="A16" s="1095" t="s">
        <v>1027</v>
      </c>
      <c r="B16" s="1080" t="s">
        <v>3203</v>
      </c>
      <c r="C16" s="1085" t="e">
        <f>'Calc Data-SB1'!D29</f>
        <v>#DIV/0!</v>
      </c>
    </row>
    <row r="17" spans="1:3" ht="15">
      <c r="A17" s="1095" t="s">
        <v>1028</v>
      </c>
      <c r="B17" s="1080" t="s">
        <v>3124</v>
      </c>
      <c r="C17" s="1103">
        <f>'Data Entry - SOF'!C113</f>
        <v>0</v>
      </c>
    </row>
    <row r="18" spans="1:3" ht="15">
      <c r="A18" s="1095" t="s">
        <v>1029</v>
      </c>
      <c r="B18" s="1080" t="s">
        <v>3211</v>
      </c>
      <c r="C18" s="1085" t="e">
        <f>'Calc Data-SB1'!AF32</f>
        <v>#DIV/0!</v>
      </c>
    </row>
    <row r="19" spans="1:3" ht="15">
      <c r="A19" s="1095" t="s">
        <v>139</v>
      </c>
      <c r="B19" s="1080" t="s">
        <v>3204</v>
      </c>
      <c r="C19" s="1103" t="e">
        <f>'Calc Data-SB1'!D35</f>
        <v>#DIV/0!</v>
      </c>
    </row>
    <row r="20" spans="1:3" ht="15">
      <c r="A20" s="1095" t="s">
        <v>140</v>
      </c>
      <c r="B20" s="1080" t="s">
        <v>3205</v>
      </c>
      <c r="C20" s="1085" t="e">
        <f>'Calc Data-SB1'!D34</f>
        <v>#DIV/0!</v>
      </c>
    </row>
    <row r="21" spans="1:3" ht="15">
      <c r="A21" s="1095" t="s">
        <v>141</v>
      </c>
      <c r="B21" s="1080" t="s">
        <v>3206</v>
      </c>
      <c r="C21" s="1085" t="e">
        <f>'Calc Data-SB1'!AF31</f>
        <v>#DIV/0!</v>
      </c>
    </row>
    <row r="22" spans="1:3" ht="15">
      <c r="A22" s="1095" t="s">
        <v>142</v>
      </c>
      <c r="B22" s="1080" t="s">
        <v>3210</v>
      </c>
      <c r="C22" s="1103" t="e">
        <f>'Calc Data-SB1'!AF29</f>
        <v>#DIV/0!</v>
      </c>
    </row>
    <row r="23" spans="1:3" s="1076" customFormat="1" ht="15.75">
      <c r="B23" s="1195" t="s">
        <v>3392</v>
      </c>
      <c r="C23" s="1445" t="s">
        <v>3704</v>
      </c>
    </row>
    <row r="26" spans="1:3" ht="15.75">
      <c r="B26" s="961" t="s">
        <v>3452</v>
      </c>
    </row>
    <row r="27" spans="1:3" ht="15.75">
      <c r="B27" s="961" t="s">
        <v>3451</v>
      </c>
    </row>
  </sheetData>
  <hyperlinks>
    <hyperlink ref="C23" location="'Report-SOF1718'!A1" display="'Report-SOF1718'!A1"/>
  </hyperlinks>
  <pageMargins left="0.45" right="0.45" top="0.5" bottom="0.5" header="0.3" footer="0.3"/>
  <pageSetup scale="8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4" customWidth="1"/>
  </cols>
  <sheetData>
    <row r="1" spans="1:4">
      <c r="A1" s="1074" t="s">
        <v>3411</v>
      </c>
      <c r="D1" s="1773" t="str">
        <f>'Report-M&amp;O1718'!C1</f>
        <v>84th/85th Legislative Session</v>
      </c>
    </row>
    <row r="2" spans="1:4">
      <c r="A2" s="1074" t="s">
        <v>3412</v>
      </c>
      <c r="D2" s="98" t="str">
        <f>'Report-M&amp;O1718'!C2</f>
        <v>Release 2</v>
      </c>
    </row>
    <row r="3" spans="1:4">
      <c r="A3" s="89"/>
      <c r="D3" s="82">
        <f>'Report-M&amp;O1718'!C3</f>
        <v>43145</v>
      </c>
    </row>
    <row r="4" spans="1:4" ht="15.75">
      <c r="A4" s="1075" t="s">
        <v>3684</v>
      </c>
    </row>
    <row r="5" spans="1:4" ht="15.75">
      <c r="A5" s="1077">
        <f>'Data Entry - SOF'!B1</f>
        <v>0</v>
      </c>
    </row>
    <row r="6" spans="1:4" ht="15.75">
      <c r="A6" s="1075">
        <f>'Data Entry - SOF'!B2</f>
        <v>0</v>
      </c>
    </row>
    <row r="9" spans="1:4" ht="18">
      <c r="A9" s="880"/>
      <c r="B9" s="1104" t="s">
        <v>1057</v>
      </c>
      <c r="C9" s="1105">
        <f>'Data Entry - SOF'!E109</f>
        <v>0</v>
      </c>
      <c r="D9" s="880"/>
    </row>
    <row r="10" spans="1:4" ht="18">
      <c r="A10" s="880"/>
      <c r="B10" s="1104" t="s">
        <v>3212</v>
      </c>
      <c r="C10" s="1104" t="str">
        <f>'Data Entry - SOF'!E167</f>
        <v>No</v>
      </c>
      <c r="D10" s="880"/>
    </row>
    <row r="11" spans="1:4" ht="18">
      <c r="A11" s="880"/>
      <c r="B11" s="1104" t="s">
        <v>3213</v>
      </c>
      <c r="C11" s="1104" t="str">
        <f>'Data Entry - SOF'!E168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Data-SB1'!AF19</f>
        <v>0</v>
      </c>
    </row>
    <row r="16" spans="1:4" ht="15">
      <c r="A16" s="1079" t="s">
        <v>2502</v>
      </c>
      <c r="B16" s="1080" t="s">
        <v>3216</v>
      </c>
      <c r="C16" s="1080"/>
      <c r="D16" s="1085">
        <f>'Calc Data-SB1'!AF20</f>
        <v>0</v>
      </c>
    </row>
    <row r="17" spans="1:4" ht="15">
      <c r="A17" s="1079" t="s">
        <v>2503</v>
      </c>
      <c r="B17" s="1080" t="s">
        <v>3217</v>
      </c>
      <c r="C17" s="1080"/>
      <c r="D17" s="1106" t="str">
        <f>'Calc Data-SB1'!D49</f>
        <v>N/A</v>
      </c>
    </row>
    <row r="18" spans="1:4" ht="15">
      <c r="A18" s="1079" t="s">
        <v>1024</v>
      </c>
      <c r="B18" s="1080" t="s">
        <v>3218</v>
      </c>
      <c r="C18" s="1080"/>
      <c r="D18" s="1206" t="str">
        <f>'Calc Data-SB1'!D50</f>
        <v>N/A</v>
      </c>
    </row>
    <row r="19" spans="1:4" ht="15">
      <c r="A19" s="1079" t="s">
        <v>1025</v>
      </c>
      <c r="B19" s="1080" t="s">
        <v>3219</v>
      </c>
      <c r="C19" s="1080"/>
      <c r="D19" s="1085">
        <f>'Calc Data-SB1'!AF23</f>
        <v>0</v>
      </c>
    </row>
    <row r="20" spans="1:4" s="1076" customFormat="1" ht="15.75">
      <c r="B20" s="1195" t="s">
        <v>3392</v>
      </c>
      <c r="D20" s="1445" t="s">
        <v>3704</v>
      </c>
    </row>
  </sheetData>
  <hyperlinks>
    <hyperlink ref="D20" location="'Report-SOF1718'!A1" display="'Report-SOF1718'!A1"/>
  </hyperlinks>
  <pageMargins left="0.7" right="0.7" top="0.75" bottom="0.75" header="0.3" footer="0.3"/>
  <pageSetup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'Report-AA1718'!D1</f>
        <v>84th/85th Legislative Session</v>
      </c>
    </row>
    <row r="2" spans="1:4">
      <c r="A2" s="1074" t="s">
        <v>3412</v>
      </c>
      <c r="D2" s="98" t="str">
        <f>'Report-AA1718'!D2</f>
        <v>Release 2</v>
      </c>
    </row>
    <row r="3" spans="1:4">
      <c r="A3" s="89"/>
      <c r="D3" s="82">
        <f>'Report-AA1718'!D3</f>
        <v>43145</v>
      </c>
    </row>
    <row r="4" spans="1:4" ht="15.75">
      <c r="A4" s="1075" t="s">
        <v>3685</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Weights!I4</f>
        <v>1</v>
      </c>
      <c r="C11" s="1086">
        <f>'Calc Data-SB1'!D10</f>
        <v>0</v>
      </c>
      <c r="D11" s="1085">
        <f>'SOF1718-SB1'!H21</f>
        <v>0</v>
      </c>
    </row>
    <row r="12" spans="1:4" s="1076" customFormat="1" ht="15.75">
      <c r="A12" s="1366" t="s">
        <v>3224</v>
      </c>
      <c r="B12" s="1290"/>
      <c r="C12" s="1290"/>
      <c r="D12" s="1291"/>
    </row>
    <row r="13" spans="1:4" s="1076" customFormat="1" ht="15">
      <c r="A13" s="1080" t="s">
        <v>3110</v>
      </c>
      <c r="B13" s="1106" t="s">
        <v>1994</v>
      </c>
      <c r="C13" s="1086">
        <f>'Calc Data-SB1'!D8</f>
        <v>0</v>
      </c>
      <c r="D13" s="1085">
        <f>'SOF1718-SB1'!H22</f>
        <v>0</v>
      </c>
    </row>
    <row r="14" spans="1:4" s="1076" customFormat="1" ht="15">
      <c r="A14" s="1080" t="s">
        <v>3226</v>
      </c>
      <c r="B14" s="1109">
        <f>Weights!I21</f>
        <v>1.1000000000000001</v>
      </c>
      <c r="C14" s="1086">
        <f>'Data Entry - SOF'!E31</f>
        <v>0</v>
      </c>
      <c r="D14" s="1085">
        <f>'SOF1718-SB1'!H24</f>
        <v>0</v>
      </c>
    </row>
    <row r="15" spans="1:4" s="1076" customFormat="1" ht="15">
      <c r="A15" s="1080" t="s">
        <v>3227</v>
      </c>
      <c r="B15" s="1109">
        <f>Weights!I19</f>
        <v>4</v>
      </c>
      <c r="C15" s="1086">
        <f>'Data Entry - SOF'!E29</f>
        <v>0</v>
      </c>
      <c r="D15" s="1085">
        <f>'SOF1718-SB1'!H25</f>
        <v>0</v>
      </c>
    </row>
    <row r="16" spans="1:4" s="1076" customFormat="1" ht="15">
      <c r="A16" s="1080" t="s">
        <v>3194</v>
      </c>
      <c r="B16" s="1109">
        <f>Weights!I17</f>
        <v>2.8</v>
      </c>
      <c r="C16" s="1086">
        <f>'Data Entry - SOF'!E27</f>
        <v>0</v>
      </c>
      <c r="D16" s="1085">
        <f>'SOF1718-SB1'!H26</f>
        <v>0</v>
      </c>
    </row>
    <row r="17" spans="1:4" s="1076" customFormat="1" ht="15">
      <c r="A17" s="1080" t="s">
        <v>3197</v>
      </c>
      <c r="B17" s="1109">
        <f>Weights!I18</f>
        <v>1.7</v>
      </c>
      <c r="C17" s="1086">
        <f>'Data Entry - SOF'!E28</f>
        <v>0</v>
      </c>
      <c r="D17" s="1085">
        <f>'SOF1718-SB1'!H27</f>
        <v>0</v>
      </c>
    </row>
    <row r="18" spans="1:4" s="1076" customFormat="1" ht="15">
      <c r="A18" s="1097" t="s">
        <v>3228</v>
      </c>
      <c r="B18" s="1097"/>
      <c r="C18" s="1097"/>
      <c r="D18" s="1108"/>
    </row>
    <row r="19" spans="1:4" s="1076" customFormat="1" ht="15">
      <c r="A19" s="1099" t="s">
        <v>3229</v>
      </c>
      <c r="B19" s="1111" t="s">
        <v>1994</v>
      </c>
      <c r="C19" s="1111" t="s">
        <v>1994</v>
      </c>
      <c r="D19" s="1110">
        <f>'SOF1718-SB1'!H28</f>
        <v>0</v>
      </c>
    </row>
    <row r="20" spans="1:4" s="1076" customFormat="1" ht="15">
      <c r="A20" s="1080" t="s">
        <v>3230</v>
      </c>
      <c r="B20" s="1106" t="s">
        <v>1994</v>
      </c>
      <c r="C20" s="1106" t="s">
        <v>1994</v>
      </c>
      <c r="D20" s="1085">
        <f>'SOF1718-SB1'!H132</f>
        <v>0</v>
      </c>
    </row>
    <row r="21" spans="1:4" s="1076" customFormat="1" ht="15.75">
      <c r="A21" s="1366" t="s">
        <v>3233</v>
      </c>
      <c r="B21" s="1290"/>
      <c r="C21" s="1290"/>
      <c r="D21" s="1291"/>
    </row>
    <row r="22" spans="1:4" ht="15">
      <c r="A22" s="1080" t="s">
        <v>3234</v>
      </c>
      <c r="B22" s="1112">
        <f>Weights!I23</f>
        <v>1.35</v>
      </c>
      <c r="C22" s="1086">
        <f>'Data Entry - SOF'!E32</f>
        <v>0</v>
      </c>
      <c r="D22" s="1085">
        <f>'SOF1718-SB1'!H29</f>
        <v>0</v>
      </c>
    </row>
    <row r="23" spans="1:4" ht="15">
      <c r="A23" s="1080" t="s">
        <v>3235</v>
      </c>
      <c r="B23" s="1085">
        <f>Weights!I24</f>
        <v>50</v>
      </c>
      <c r="C23" s="1086">
        <f>'Data Entry - SOF'!E33</f>
        <v>0</v>
      </c>
      <c r="D23" s="1085">
        <f>'SOF1718-SB1'!H30</f>
        <v>0</v>
      </c>
    </row>
    <row r="24" spans="1:4" ht="15">
      <c r="A24" s="1080" t="s">
        <v>3236</v>
      </c>
      <c r="B24" s="1106" t="s">
        <v>1994</v>
      </c>
      <c r="C24" s="1106" t="s">
        <v>1994</v>
      </c>
      <c r="D24" s="1085">
        <f>'SOF1718-SB1'!H133</f>
        <v>0</v>
      </c>
    </row>
    <row r="25" spans="1:4" s="1076" customFormat="1" ht="15.75">
      <c r="A25" s="1366" t="s">
        <v>3237</v>
      </c>
      <c r="B25" s="1290"/>
      <c r="C25" s="1290"/>
      <c r="D25" s="1291"/>
    </row>
    <row r="26" spans="1:4" ht="15">
      <c r="A26" s="1080" t="s">
        <v>3238</v>
      </c>
      <c r="B26" s="1112">
        <f>Weights!I28</f>
        <v>0.12</v>
      </c>
      <c r="C26" s="1086">
        <f>'Data Entry - SOF'!E40</f>
        <v>0</v>
      </c>
      <c r="D26" s="1085">
        <f>'SOF1718-SB1'!H33</f>
        <v>0</v>
      </c>
    </row>
    <row r="27" spans="1:4" ht="15">
      <c r="A27" s="1080" t="s">
        <v>3239</v>
      </c>
      <c r="B27" s="1106" t="s">
        <v>1994</v>
      </c>
      <c r="C27" s="1106" t="s">
        <v>1994</v>
      </c>
      <c r="D27" s="1085">
        <f>'SOF1718-SB1'!H34</f>
        <v>0</v>
      </c>
    </row>
    <row r="28" spans="1:4" ht="15">
      <c r="A28" s="1080" t="s">
        <v>3240</v>
      </c>
      <c r="B28" s="1106" t="s">
        <v>1994</v>
      </c>
      <c r="C28" s="1106" t="s">
        <v>1994</v>
      </c>
      <c r="D28" s="1085">
        <f>'SOF1718-SB1'!H134</f>
        <v>0</v>
      </c>
    </row>
    <row r="29" spans="1:4" s="1076" customFormat="1" ht="15.75">
      <c r="A29" s="1366" t="s">
        <v>3241</v>
      </c>
      <c r="B29" s="1290"/>
      <c r="C29" s="1290"/>
      <c r="D29" s="1291"/>
    </row>
    <row r="30" spans="1:4" ht="15">
      <c r="A30" s="1080" t="s">
        <v>3242</v>
      </c>
      <c r="B30" s="1112">
        <f>Weights!I30</f>
        <v>0.2</v>
      </c>
      <c r="C30" s="1086">
        <f>'Data Entry - SOF'!E36</f>
        <v>0</v>
      </c>
      <c r="D30" s="1085">
        <f>'SOF1718-SB1'!H35</f>
        <v>0</v>
      </c>
    </row>
    <row r="31" spans="1:4" ht="15">
      <c r="A31" s="1080" t="s">
        <v>3475</v>
      </c>
      <c r="B31" s="1112">
        <f>Weights!I31</f>
        <v>2.41</v>
      </c>
      <c r="C31" s="1086">
        <f>'Data Entry - SOF'!E37</f>
        <v>0</v>
      </c>
      <c r="D31" s="1085">
        <f>'SOF1718-SB1'!H36</f>
        <v>0</v>
      </c>
    </row>
    <row r="32" spans="1:4" ht="15">
      <c r="A32" s="1080" t="s">
        <v>3476</v>
      </c>
      <c r="B32" s="1106" t="s">
        <v>1994</v>
      </c>
      <c r="C32" s="1106" t="s">
        <v>1994</v>
      </c>
      <c r="D32" s="1085">
        <f>'SOF1718-SB1'!H135</f>
        <v>0</v>
      </c>
    </row>
    <row r="33" spans="1:4" s="1076" customFormat="1" ht="15.75">
      <c r="A33" s="1366" t="s">
        <v>3243</v>
      </c>
      <c r="B33" s="1290"/>
      <c r="C33" s="1290"/>
      <c r="D33" s="1291"/>
    </row>
    <row r="34" spans="1:4" s="1076" customFormat="1" ht="15">
      <c r="A34" s="1080" t="s">
        <v>2792</v>
      </c>
      <c r="B34" s="1085">
        <f>Weights!I33</f>
        <v>275</v>
      </c>
      <c r="C34" s="1086">
        <f>'Data Entry - SOF'!E18</f>
        <v>0</v>
      </c>
      <c r="D34" s="1085">
        <f>'SOF1718-SB1'!H40</f>
        <v>0</v>
      </c>
    </row>
    <row r="35" spans="1:4" s="1076" customFormat="1" ht="15.75">
      <c r="A35" s="1366" t="s">
        <v>3246</v>
      </c>
      <c r="B35" s="1290"/>
      <c r="C35" s="1290"/>
      <c r="D35" s="1291"/>
    </row>
    <row r="36" spans="1:4" s="1076" customFormat="1" ht="15">
      <c r="A36" s="1080" t="s">
        <v>3244</v>
      </c>
      <c r="B36" s="1112">
        <f>Weights!I26</f>
        <v>0.1</v>
      </c>
      <c r="C36" s="1086">
        <f>'Data Entry - SOF'!E39</f>
        <v>0</v>
      </c>
      <c r="D36" s="1085">
        <f>'SOF1718-SB1'!H39</f>
        <v>0</v>
      </c>
    </row>
    <row r="37" spans="1:4" s="1076" customFormat="1" ht="15.75">
      <c r="A37" s="1366" t="s">
        <v>3245</v>
      </c>
      <c r="B37" s="1290"/>
      <c r="C37" s="1290"/>
      <c r="D37" s="1291"/>
    </row>
    <row r="38" spans="1:4" s="1076" customFormat="1" ht="15">
      <c r="A38" s="1080" t="s">
        <v>3247</v>
      </c>
      <c r="B38" s="1112">
        <f>Weights!I37</f>
        <v>0.1</v>
      </c>
      <c r="C38" s="1086">
        <f>'Data Entry - SOF'!E41</f>
        <v>0</v>
      </c>
      <c r="D38" s="1085">
        <f>'SOF1718-SB1'!H41</f>
        <v>0</v>
      </c>
    </row>
    <row r="39" spans="1:4" s="1076" customFormat="1" ht="15.75">
      <c r="C39" s="1195" t="s">
        <v>3393</v>
      </c>
      <c r="D39" s="1445" t="s">
        <v>3704</v>
      </c>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sheetData>
  <hyperlinks>
    <hyperlink ref="D39" location="'Report-SOF1718'!A1" display="'Report-SOF1718'!A1"/>
  </hyperlinks>
  <pageMargins left="0.45" right="0.45" top="0.5" bottom="0.5" header="0.3" footer="0.3"/>
  <pageSetup scale="8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'Report-T1Detail1718'!D1</f>
        <v>84th/85th Legislative Session</v>
      </c>
    </row>
    <row r="2" spans="1:4">
      <c r="A2" s="1074" t="s">
        <v>3412</v>
      </c>
      <c r="C2" s="1074"/>
      <c r="D2" s="98" t="str">
        <f>'Report-T1Detail1718'!D2</f>
        <v>Release 2</v>
      </c>
    </row>
    <row r="3" spans="1:4">
      <c r="A3" s="89"/>
      <c r="C3" s="89"/>
      <c r="D3" s="82">
        <f>'Report-T1Detail1718'!D3</f>
        <v>43145</v>
      </c>
    </row>
    <row r="4" spans="1:4" ht="15.75">
      <c r="A4" s="1075" t="s">
        <v>3686</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Data-SB1'!D25</f>
        <v>#DIV/0!</v>
      </c>
    </row>
    <row r="11" spans="1:4" s="1076" customFormat="1" ht="18">
      <c r="A11" s="1366" t="s">
        <v>3250</v>
      </c>
      <c r="B11" s="1346"/>
      <c r="C11" s="1294"/>
      <c r="D11" s="1291"/>
    </row>
    <row r="12" spans="1:4" s="1076" customFormat="1" ht="15">
      <c r="A12" s="1079" t="s">
        <v>2502</v>
      </c>
      <c r="B12" s="1080" t="s">
        <v>3579</v>
      </c>
      <c r="C12" s="1080"/>
      <c r="D12" s="1085" t="e">
        <f>'Calc Data-SB1'!D34</f>
        <v>#DIV/0!</v>
      </c>
    </row>
    <row r="13" spans="1:4" s="1076" customFormat="1" ht="15">
      <c r="A13" s="1079" t="s">
        <v>2503</v>
      </c>
      <c r="B13" s="1080" t="s">
        <v>3687</v>
      </c>
      <c r="C13" s="1080"/>
      <c r="D13" s="1084" t="e">
        <f>'Calc Data-SB1'!D35</f>
        <v>#DIV/0!</v>
      </c>
    </row>
    <row r="14" spans="1:4" s="1076" customFormat="1" ht="15">
      <c r="A14" s="1079" t="s">
        <v>3592</v>
      </c>
      <c r="B14" s="1080" t="str">
        <f>CONCATENATE("Level 1 Entitlement @ $",Assumptions!G101,"")</f>
        <v>Level 1 Entitlement @ $99.41</v>
      </c>
      <c r="C14" s="1080"/>
      <c r="D14" s="1085" t="e">
        <f>'SOF1718-SB1'!F136</f>
        <v>#DIV/0!</v>
      </c>
    </row>
    <row r="15" spans="1:4" s="1076" customFormat="1" ht="15">
      <c r="A15" s="1079" t="s">
        <v>1025</v>
      </c>
      <c r="B15" s="1080" t="s">
        <v>3688</v>
      </c>
      <c r="C15" s="1080"/>
      <c r="D15" s="1085" t="e">
        <f>'Calc Data-SB1'!D42*-1</f>
        <v>#DIV/0!</v>
      </c>
    </row>
    <row r="16" spans="1:4" s="1076" customFormat="1" ht="15">
      <c r="A16" s="1079" t="s">
        <v>1027</v>
      </c>
      <c r="B16" s="1080" t="str">
        <f>CONCATENATE("GYA ($",Assumptions!G101," * WADA * DTR_1 * 100) - LR")</f>
        <v>GYA ($99.41 * WADA * DTR_1 * 100) - LR</v>
      </c>
      <c r="C16" s="1080"/>
      <c r="D16" s="1085" t="e">
        <f>'SOF1718-SB1'!F52</f>
        <v>#DIV/0!</v>
      </c>
    </row>
    <row r="17" spans="1:4" s="1076" customFormat="1" ht="18">
      <c r="A17" s="1366" t="s">
        <v>3252</v>
      </c>
      <c r="B17" s="1346"/>
      <c r="C17" s="1294"/>
      <c r="D17" s="1291"/>
    </row>
    <row r="18" spans="1:4" s="1076" customFormat="1" ht="15">
      <c r="A18" s="1079" t="s">
        <v>1028</v>
      </c>
      <c r="B18" s="1080" t="s">
        <v>3580</v>
      </c>
      <c r="C18" s="1080"/>
      <c r="D18" s="1085" t="e">
        <f>'Calc Data-SB1'!AF31</f>
        <v>#DIV/0!</v>
      </c>
    </row>
    <row r="19" spans="1:4" s="1076" customFormat="1" ht="15">
      <c r="A19" s="1079" t="s">
        <v>1029</v>
      </c>
      <c r="B19" s="1080" t="s">
        <v>3689</v>
      </c>
      <c r="C19" s="1080"/>
      <c r="D19" s="1084" t="e">
        <f>'Calc Data-SB1'!AF29</f>
        <v>#DIV/0!</v>
      </c>
    </row>
    <row r="20" spans="1:4" s="1076" customFormat="1" ht="15">
      <c r="A20" s="1079" t="s">
        <v>139</v>
      </c>
      <c r="B20" s="1080" t="str">
        <f>CONCATENATE("Level 2 Entitlement @ $",Assumptions!G102,"")</f>
        <v>Level 2 Entitlement @ $31.95</v>
      </c>
      <c r="C20" s="1080"/>
      <c r="D20" s="1085" t="e">
        <f>'SOF1718-SB1'!H137</f>
        <v>#DIV/0!</v>
      </c>
    </row>
    <row r="21" spans="1:4" s="1076" customFormat="1" ht="15">
      <c r="A21" s="1079" t="s">
        <v>140</v>
      </c>
      <c r="B21" s="1080" t="s">
        <v>3690</v>
      </c>
      <c r="C21" s="1080"/>
      <c r="D21" s="1085" t="e">
        <f>'Calc Data-SB1'!AF33*-1</f>
        <v>#DIV/0!</v>
      </c>
    </row>
    <row r="22" spans="1:4" s="1076" customFormat="1" ht="15">
      <c r="A22" s="1079" t="s">
        <v>141</v>
      </c>
      <c r="B22" s="1080" t="str">
        <f>CONCATENATE("GYA ($",Assumptions!G102," * WADA * DTR_1 * 100) - LR")</f>
        <v>GYA ($31.95 * WADA * DTR_1 * 100) - LR</v>
      </c>
      <c r="C22" s="1080"/>
      <c r="D22" s="1085" t="e">
        <f>'SOF1718-SB1'!H53</f>
        <v>#DIV/0!</v>
      </c>
    </row>
    <row r="23" spans="1:4" s="1076" customFormat="1" ht="15.75">
      <c r="A23" s="1079" t="s">
        <v>142</v>
      </c>
      <c r="B23" s="1078" t="s">
        <v>3581</v>
      </c>
      <c r="C23" s="1078"/>
      <c r="D23" s="1090" t="e">
        <f>'SOF1718-SB1'!H54</f>
        <v>#DIV/0!</v>
      </c>
    </row>
    <row r="24" spans="1:4" s="1076" customFormat="1" ht="15.75">
      <c r="B24" s="1195" t="s">
        <v>3392</v>
      </c>
      <c r="D24" s="1445" t="s">
        <v>3704</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sheetData>
  <hyperlinks>
    <hyperlink ref="D24" location="'Report-SOF1718'!A1" display="'Report-SOF1718'!A1"/>
  </hyperlinks>
  <pageMargins left="0.7" right="0.7" top="0.75" bottom="0.75" header="0.3" footer="0.3"/>
  <pageSetup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1074" t="s">
        <v>3411</v>
      </c>
      <c r="C1" s="1773" t="str">
        <f>'Report-T2Detail1718'!D1</f>
        <v>84th/85th Legislative Session</v>
      </c>
    </row>
    <row r="2" spans="1:3">
      <c r="A2" s="1074" t="s">
        <v>3412</v>
      </c>
      <c r="C2" s="98" t="str">
        <f>'Report-T2Detail1718'!D2</f>
        <v>Release 2</v>
      </c>
    </row>
    <row r="3" spans="1:3">
      <c r="A3" s="89"/>
      <c r="C3" s="82">
        <f>'Report-T2Detail1718'!D3</f>
        <v>43145</v>
      </c>
    </row>
    <row r="4" spans="1:3" ht="15.75">
      <c r="A4" s="1075" t="s">
        <v>3877</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'ASATR-SB1'!G8</f>
        <v>0</v>
      </c>
    </row>
    <row r="12" spans="1:3" s="1076" customFormat="1" ht="15">
      <c r="A12" s="1079" t="s">
        <v>2502</v>
      </c>
      <c r="B12" s="1080" t="s">
        <v>3878</v>
      </c>
      <c r="C12" s="1086" t="e">
        <f>'Calc Data-SB1'!D25</f>
        <v>#DIV/0!</v>
      </c>
    </row>
    <row r="13" spans="1:3" s="1076" customFormat="1" ht="15">
      <c r="A13" s="1079" t="s">
        <v>2503</v>
      </c>
      <c r="B13" s="1080" t="s">
        <v>3879</v>
      </c>
      <c r="C13" s="1085" t="e">
        <f>'ASATR-SB1'!G50</f>
        <v>#DIV/0!</v>
      </c>
    </row>
    <row r="14" spans="1:3" s="1076" customFormat="1" ht="15">
      <c r="A14" s="1079" t="s">
        <v>1024</v>
      </c>
      <c r="B14" s="1080" t="str">
        <f>CONCATENATE("2017-18 Minimum Increase (Line 2 * $120 * ",Weights!G7,")")</f>
        <v>2017-18 Minimum Increase (Line 2 * $120 * 0.9263)</v>
      </c>
      <c r="C14" s="1085" t="e">
        <f>'ASATR-SB1'!G51</f>
        <v>#DIV/0!</v>
      </c>
    </row>
    <row r="15" spans="1:3" s="1076" customFormat="1" ht="15">
      <c r="A15" s="1079" t="s">
        <v>1025</v>
      </c>
      <c r="B15" s="1080" t="s">
        <v>3255</v>
      </c>
      <c r="C15" s="1085">
        <f>'ASATR-SB1'!G13</f>
        <v>0</v>
      </c>
    </row>
    <row r="16" spans="1:3" s="1076" customFormat="1" ht="15">
      <c r="A16" s="1079" t="s">
        <v>1027</v>
      </c>
      <c r="B16" s="1080" t="s">
        <v>3880</v>
      </c>
      <c r="C16" s="1085" t="e">
        <f>'ASATR-SB1'!G14</f>
        <v>#DIV/0!</v>
      </c>
    </row>
    <row r="17" spans="1:4" s="1076" customFormat="1" ht="15">
      <c r="A17" s="1297"/>
      <c r="B17" s="1290"/>
      <c r="C17" s="1291"/>
    </row>
    <row r="18" spans="1:4" s="1076" customFormat="1" ht="15">
      <c r="A18" s="1079" t="s">
        <v>1028</v>
      </c>
      <c r="B18" s="1080" t="s">
        <v>3258</v>
      </c>
      <c r="C18" s="1085">
        <f>'ASATR-SB1'!G15</f>
        <v>0</v>
      </c>
    </row>
    <row r="19" spans="1:4" s="1076" customFormat="1" ht="15">
      <c r="A19" s="1079" t="s">
        <v>1029</v>
      </c>
      <c r="B19" s="1080" t="s">
        <v>3259</v>
      </c>
      <c r="C19" s="1085">
        <f>'ASATR-SB1'!G16</f>
        <v>0</v>
      </c>
    </row>
    <row r="20" spans="1:4" s="1076" customFormat="1" ht="15">
      <c r="A20" s="1079" t="s">
        <v>139</v>
      </c>
      <c r="B20" s="1080" t="str">
        <f>CONCATENATE("2008-09 Educator Salary Increase ($23.63 * 2008-09 WADA * ",Weights!G7,")")</f>
        <v>2008-09 Educator Salary Increase ($23.63 * 2008-09 WADA * 0.9263)</v>
      </c>
      <c r="C20" s="1085">
        <f>'ASATR-SB1'!G18</f>
        <v>0</v>
      </c>
    </row>
    <row r="21" spans="1:4" s="1076" customFormat="1" ht="15.75">
      <c r="A21" s="1079" t="s">
        <v>140</v>
      </c>
      <c r="B21" s="1078" t="s">
        <v>3881</v>
      </c>
      <c r="C21" s="1085" t="e">
        <f>'ASATR-SB1'!G20</f>
        <v>#DIV/0!</v>
      </c>
    </row>
    <row r="22" spans="1:4" s="1076" customFormat="1" ht="15">
      <c r="A22" s="1297"/>
      <c r="B22" s="1290"/>
      <c r="C22" s="1291"/>
    </row>
    <row r="23" spans="1:4" s="1076" customFormat="1" ht="15">
      <c r="A23" s="1079" t="s">
        <v>141</v>
      </c>
      <c r="B23" s="1080" t="s">
        <v>3882</v>
      </c>
      <c r="C23" s="1085">
        <f>'ASATR-SB1'!G37</f>
        <v>0</v>
      </c>
    </row>
    <row r="24" spans="1:4" s="1076" customFormat="1" ht="15">
      <c r="A24" s="1079" t="s">
        <v>142</v>
      </c>
      <c r="B24" s="1080" t="s">
        <v>3883</v>
      </c>
      <c r="C24" s="1085" t="e">
        <f>'ASATR-SB1'!G38</f>
        <v>#DIV/0!</v>
      </c>
    </row>
    <row r="25" spans="1:4" s="1076" customFormat="1" ht="15">
      <c r="A25" s="1079" t="s">
        <v>1706</v>
      </c>
      <c r="B25" s="1610" t="s">
        <v>3888</v>
      </c>
      <c r="C25" s="1085" t="e">
        <f>'ASATR-SB1'!G39</f>
        <v>#DIV/0!</v>
      </c>
    </row>
    <row r="26" spans="1:4" s="1076" customFormat="1" ht="15">
      <c r="A26" s="1079" t="s">
        <v>6</v>
      </c>
      <c r="B26" s="1080" t="s">
        <v>3884</v>
      </c>
      <c r="C26" s="1085" t="e">
        <f>'ASATR-SB1'!G40</f>
        <v>#DIV/0!</v>
      </c>
    </row>
    <row r="27" spans="1:4" s="1076" customFormat="1" ht="15">
      <c r="A27" s="1297"/>
      <c r="B27" s="1290"/>
      <c r="C27" s="1305"/>
    </row>
    <row r="28" spans="1:4" s="1076" customFormat="1" ht="15.75">
      <c r="A28" s="1113" t="s">
        <v>2551</v>
      </c>
      <c r="B28" s="1097" t="s">
        <v>3448</v>
      </c>
      <c r="C28" s="1090" t="e">
        <f>'ASATR-SB1'!G42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3885</v>
      </c>
      <c r="C31" s="1085" t="e">
        <f>'ASATR-SB1'!G45</f>
        <v>#DIV/0!</v>
      </c>
    </row>
    <row r="32" spans="1:4" s="1076" customFormat="1" ht="15">
      <c r="A32" s="1095" t="s">
        <v>3122</v>
      </c>
      <c r="B32" s="1080" t="s">
        <v>3886</v>
      </c>
      <c r="C32" s="1085" t="e">
        <f>'ASATR-SB1'!G46</f>
        <v>#DIV/0!</v>
      </c>
    </row>
    <row r="33" spans="2:3" s="1076" customFormat="1" ht="15.75">
      <c r="B33" s="1195" t="s">
        <v>3405</v>
      </c>
      <c r="C33" s="1194" t="s">
        <v>3728</v>
      </c>
    </row>
    <row r="34" spans="2:3" s="1076" customFormat="1" ht="15"/>
    <row r="35" spans="2:3" s="1076" customFormat="1" ht="15"/>
    <row r="36" spans="2:3" s="1076" customFormat="1" ht="15"/>
    <row r="37" spans="2:3" s="1076" customFormat="1" ht="15"/>
    <row r="38" spans="2:3" s="1076"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'Report-ASATR1718'!C1</f>
        <v>84th/85th Legislative Session</v>
      </c>
    </row>
    <row r="2" spans="1:4" s="1076" customFormat="1" ht="15">
      <c r="A2" s="1074" t="s">
        <v>3412</v>
      </c>
      <c r="D2" s="98" t="str">
        <f>'Report-ASATR1718'!C2</f>
        <v>Release 2</v>
      </c>
    </row>
    <row r="3" spans="1:4" s="1076" customFormat="1" ht="15.75">
      <c r="A3" s="1075"/>
      <c r="D3" s="82">
        <f>'Report-ASATR1718'!C3</f>
        <v>43145</v>
      </c>
    </row>
    <row r="4" spans="1:4" s="1076" customFormat="1" ht="15.75">
      <c r="A4" s="1075" t="s">
        <v>3691</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SOF'!E75</f>
        <v>0</v>
      </c>
    </row>
    <row r="12" spans="1:4" s="1076" customFormat="1" ht="15.75">
      <c r="A12" s="1079" t="s">
        <v>2502</v>
      </c>
      <c r="B12" s="1080" t="s">
        <v>4740</v>
      </c>
      <c r="C12" s="1080"/>
      <c r="D12" s="1233" t="e">
        <f>'HH1718-Calcs'!D26</f>
        <v>#DIV/0!</v>
      </c>
    </row>
    <row r="13" spans="1:4" s="1076" customFormat="1" ht="15">
      <c r="A13" s="1079" t="s">
        <v>2503</v>
      </c>
      <c r="B13" s="1080" t="s">
        <v>3576</v>
      </c>
      <c r="C13" s="1080"/>
      <c r="D13" s="1233">
        <v>0</v>
      </c>
    </row>
    <row r="14" spans="1:4" s="1076" customFormat="1" ht="15.75">
      <c r="A14" s="1079" t="s">
        <v>1024</v>
      </c>
      <c r="B14" s="1610" t="s">
        <v>3887</v>
      </c>
      <c r="C14" s="1080"/>
      <c r="D14" s="1090">
        <v>0</v>
      </c>
    </row>
    <row r="15" spans="1:4" s="1076" customFormat="1" ht="15">
      <c r="A15" s="1079" t="s">
        <v>1025</v>
      </c>
      <c r="B15" s="1080" t="s">
        <v>859</v>
      </c>
      <c r="C15" s="1080"/>
      <c r="D15" s="1085">
        <f>'Data Entry - SOF'!E76</f>
        <v>0</v>
      </c>
    </row>
    <row r="16" spans="1:4" s="1076" customFormat="1" ht="15">
      <c r="A16" s="1079" t="s">
        <v>1027</v>
      </c>
      <c r="B16" s="1080" t="s">
        <v>3397</v>
      </c>
      <c r="C16" s="1080"/>
      <c r="D16" s="1233">
        <f>'Data Entry - SOF'!E78</f>
        <v>0</v>
      </c>
    </row>
    <row r="17" spans="1:5" s="1076" customFormat="1" ht="15">
      <c r="A17" s="1079" t="s">
        <v>1028</v>
      </c>
      <c r="B17" s="1080" t="s">
        <v>3773</v>
      </c>
      <c r="C17" s="1080"/>
      <c r="D17" s="1233">
        <f>'Data Entry - SOF'!E96</f>
        <v>0</v>
      </c>
    </row>
    <row r="18" spans="1:5" s="1076" customFormat="1" ht="15">
      <c r="A18" s="1079" t="s">
        <v>1029</v>
      </c>
      <c r="B18" s="1080" t="s">
        <v>2793</v>
      </c>
      <c r="C18" s="1080"/>
      <c r="D18" s="1085">
        <f>'SOF1718-SB1'!H65</f>
        <v>0</v>
      </c>
    </row>
    <row r="19" spans="1:5" s="1076" customFormat="1" ht="15">
      <c r="A19" s="1079" t="s">
        <v>139</v>
      </c>
      <c r="B19" s="1080" t="s">
        <v>3400</v>
      </c>
      <c r="C19" s="1080"/>
      <c r="D19" s="1233">
        <v>0</v>
      </c>
    </row>
    <row r="20" spans="1:5" s="1076" customFormat="1" ht="15">
      <c r="A20" s="1079" t="s">
        <v>140</v>
      </c>
      <c r="B20" s="1080" t="s">
        <v>3401</v>
      </c>
      <c r="C20" s="1080"/>
      <c r="D20" s="1233">
        <f>'Data Entry - SOF'!E80</f>
        <v>0</v>
      </c>
    </row>
    <row r="21" spans="1:5" s="1076" customFormat="1" ht="15">
      <c r="A21" s="1079" t="s">
        <v>141</v>
      </c>
      <c r="B21" s="1080" t="s">
        <v>3402</v>
      </c>
      <c r="C21" s="1080"/>
      <c r="D21" s="1085" t="e">
        <f>'SOF1718-SB1'!H67</f>
        <v>#DIV/0!</v>
      </c>
    </row>
    <row r="22" spans="1:5" s="1076" customFormat="1" ht="15">
      <c r="A22" s="1079" t="s">
        <v>142</v>
      </c>
      <c r="B22" s="1080" t="s">
        <v>3403</v>
      </c>
      <c r="C22" s="1080"/>
      <c r="D22" s="1085" t="e">
        <f>'SOF1718-SB1'!H66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2539" t="s">
        <v>7434</v>
      </c>
      <c r="C25" s="1080"/>
      <c r="D25" s="1085">
        <f>'Data Entry - SOF'!E83</f>
        <v>0</v>
      </c>
      <c r="E25" s="1120"/>
    </row>
    <row r="26" spans="1:5" s="1076" customFormat="1" ht="15.75">
      <c r="A26" s="1079" t="s">
        <v>2552</v>
      </c>
      <c r="B26" s="1078" t="s">
        <v>3449</v>
      </c>
      <c r="C26" s="1080"/>
      <c r="D26" s="1090" t="e">
        <f>SUM(D11:D25)</f>
        <v>#DIV/0!</v>
      </c>
    </row>
    <row r="27" spans="1:5" s="1076" customFormat="1" ht="15.75">
      <c r="A27" s="1089"/>
      <c r="B27" s="1195" t="s">
        <v>3392</v>
      </c>
      <c r="D27" s="1445" t="s">
        <v>3704</v>
      </c>
    </row>
    <row r="28" spans="1:5" s="1076" customFormat="1" ht="15">
      <c r="A28" s="1089"/>
    </row>
    <row r="29" spans="1:5" s="1076" customFormat="1" ht="15">
      <c r="A29" s="1089"/>
    </row>
    <row r="30" spans="1:5" s="1076" customFormat="1" ht="15.75">
      <c r="A30" s="1345" t="s">
        <v>4748</v>
      </c>
    </row>
    <row r="31" spans="1:5" s="1076" customFormat="1" ht="15.75">
      <c r="A31" s="1089"/>
      <c r="B31" s="1795" t="s">
        <v>7433</v>
      </c>
    </row>
    <row r="32" spans="1:5" s="1076" customFormat="1" ht="15">
      <c r="A32" s="1089"/>
    </row>
    <row r="33" spans="1:1" s="1076" customFormat="1" ht="15">
      <c r="A33" s="1089"/>
    </row>
    <row r="34" spans="1:1" s="1076" customFormat="1" ht="15">
      <c r="A34" s="1089"/>
    </row>
    <row r="35" spans="1:1" s="1076" customFormat="1" ht="15">
      <c r="A35" s="1089"/>
    </row>
    <row r="36" spans="1:1" s="1076" customFormat="1" ht="15">
      <c r="A36" s="1089"/>
    </row>
    <row r="37" spans="1:1" s="1076" customFormat="1" ht="15">
      <c r="A37" s="1089"/>
    </row>
    <row r="38" spans="1:1" s="1076" customFormat="1" ht="15">
      <c r="A38" s="1089"/>
    </row>
    <row r="39" spans="1:1" s="1076" customFormat="1" ht="15">
      <c r="A39" s="1089"/>
    </row>
    <row r="40" spans="1:1" s="1076" customFormat="1" ht="15"/>
    <row r="41" spans="1:1" s="1076" customFormat="1" ht="15"/>
    <row r="42" spans="1:1" s="1076" customFormat="1" ht="15"/>
    <row r="43" spans="1:1" s="1076" customFormat="1" ht="15"/>
    <row r="44" spans="1:1" s="1076" customFormat="1" ht="15"/>
    <row r="45" spans="1:1" s="1076" customFormat="1" ht="15"/>
    <row r="46" spans="1:1" s="1076" customFormat="1" ht="15"/>
    <row r="47" spans="1:1" s="1076"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election activeCell="D2" sqref="D2"/>
    </sheetView>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3" t="str">
        <f>'Report-Other1718'!D1</f>
        <v>84th/85th Legislative Session</v>
      </c>
    </row>
    <row r="2" spans="1:4">
      <c r="A2" s="1074" t="s">
        <v>3412</v>
      </c>
      <c r="D2" s="98" t="str">
        <f>'Report-Other1718'!D2</f>
        <v>Release 2</v>
      </c>
    </row>
    <row r="3" spans="1:4">
      <c r="A3" s="89"/>
      <c r="D3" s="82">
        <f>'Report-Other1718'!D3</f>
        <v>43145</v>
      </c>
    </row>
    <row r="4" spans="1:4" ht="15.75">
      <c r="A4" s="1075" t="s">
        <v>3692</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3697</v>
      </c>
      <c r="C11" s="1080"/>
      <c r="D11" s="1085">
        <f>'Data Entry - SOF'!C63</f>
        <v>0</v>
      </c>
    </row>
    <row r="12" spans="1:4" s="1076" customFormat="1" ht="15">
      <c r="A12" s="1079" t="s">
        <v>2502</v>
      </c>
      <c r="B12" s="1080" t="s">
        <v>3698</v>
      </c>
      <c r="C12" s="1080"/>
      <c r="D12" s="1085">
        <f>'Report-EDA1617'!D26</f>
        <v>0</v>
      </c>
    </row>
    <row r="13" spans="1:4" s="1076" customFormat="1" ht="15">
      <c r="A13" s="1079" t="s">
        <v>2503</v>
      </c>
      <c r="B13" s="1080" t="s">
        <v>3699</v>
      </c>
      <c r="C13" s="1080"/>
      <c r="D13" s="1085">
        <f>'Report-IFA1617'!D20</f>
        <v>0</v>
      </c>
    </row>
    <row r="14" spans="1:4" s="1076" customFormat="1" ht="15">
      <c r="A14" s="1079" t="s">
        <v>1024</v>
      </c>
      <c r="B14" s="1080" t="s">
        <v>3700</v>
      </c>
      <c r="C14" s="1080"/>
      <c r="D14" s="1085">
        <f>IF(D11-D12-D13&lt;0,0,D11-D12-D13)</f>
        <v>0</v>
      </c>
    </row>
    <row r="15" spans="1:4" s="1076" customFormat="1" ht="15">
      <c r="A15" s="1079" t="s">
        <v>1025</v>
      </c>
      <c r="B15" s="1080" t="s">
        <v>3693</v>
      </c>
      <c r="C15" s="1080"/>
      <c r="D15" s="1085">
        <f>'Data Entry - SOF'!E73</f>
        <v>0</v>
      </c>
    </row>
    <row r="16" spans="1:4" s="1076" customFormat="1" ht="15">
      <c r="A16" s="1079" t="s">
        <v>1027</v>
      </c>
      <c r="B16" s="1080" t="s">
        <v>3694</v>
      </c>
      <c r="C16" s="1080"/>
      <c r="D16" s="1085">
        <f>'Report-IFA1718'!D37</f>
        <v>0</v>
      </c>
    </row>
    <row r="17" spans="1:4" s="1076" customFormat="1" ht="15">
      <c r="A17" s="1079" t="s">
        <v>1028</v>
      </c>
      <c r="B17" s="1080" t="s">
        <v>3695</v>
      </c>
      <c r="C17" s="1080"/>
      <c r="D17" s="1086">
        <f>'Data Entry - SOF'!E17</f>
        <v>0</v>
      </c>
    </row>
    <row r="18" spans="1:4" s="1076" customFormat="1" ht="15">
      <c r="A18" s="1079" t="s">
        <v>1029</v>
      </c>
      <c r="B18" s="1080" t="s">
        <v>7388</v>
      </c>
      <c r="C18" s="1080"/>
      <c r="D18" s="1085">
        <f>'Data Entry - SOF'!E53</f>
        <v>0</v>
      </c>
    </row>
    <row r="19" spans="1:4" s="1076" customFormat="1" ht="15">
      <c r="A19" s="1079" t="s">
        <v>139</v>
      </c>
      <c r="B19" s="1080" t="s">
        <v>7387</v>
      </c>
      <c r="C19" s="1080"/>
      <c r="D19" s="1085">
        <f>'Data Entry - SOF'!C53</f>
        <v>0</v>
      </c>
    </row>
    <row r="20" spans="1:4" s="1076" customFormat="1" ht="15.75">
      <c r="A20" s="1366" t="s">
        <v>3270</v>
      </c>
      <c r="B20" s="1290"/>
      <c r="C20" s="1291"/>
      <c r="D20" s="1313"/>
    </row>
    <row r="21" spans="1:4" s="1076" customFormat="1" ht="15">
      <c r="A21" s="1113" t="s">
        <v>140</v>
      </c>
      <c r="B21" s="1097" t="s">
        <v>3701</v>
      </c>
      <c r="C21" s="1097"/>
      <c r="D21" s="1121">
        <f>'Existing Debt'!I47</f>
        <v>0</v>
      </c>
    </row>
    <row r="22" spans="1:4" s="1076" customFormat="1" ht="15">
      <c r="A22" s="1091"/>
      <c r="B22" s="1099" t="s">
        <v>3271</v>
      </c>
      <c r="C22" s="1099"/>
      <c r="D22" s="1122"/>
    </row>
    <row r="23" spans="1:4" s="1076" customFormat="1" ht="15">
      <c r="A23" s="1079" t="s">
        <v>141</v>
      </c>
      <c r="B23" s="1080" t="str">
        <f>CONCATENATE("2017-18 Rate Needed for All Eligible Debt ((Line 5 - Line 6) / ",Weights!I50," / Line 7 / 100)")</f>
        <v>2017-18 Rate Needed for All Eligible Debt ((Line 5 - Line 6) / 35 / Line 7 / 100)</v>
      </c>
      <c r="C23" s="1080"/>
      <c r="D23" s="1123">
        <f>'Existing Debt'!I51</f>
        <v>0</v>
      </c>
    </row>
    <row r="24" spans="1:4" s="1076" customFormat="1" ht="15">
      <c r="A24" s="1079" t="s">
        <v>142</v>
      </c>
      <c r="B24" s="1080" t="s">
        <v>3696</v>
      </c>
      <c r="C24" s="1080"/>
      <c r="D24" s="1123">
        <f>'Existing Debt'!I55</f>
        <v>0</v>
      </c>
    </row>
    <row r="25" spans="1:4" s="1076" customFormat="1" ht="15">
      <c r="A25" s="1079" t="s">
        <v>1706</v>
      </c>
      <c r="B25" s="1080" t="str">
        <f>CONCATENATE("State/Local Share of EDA ($",Weights!I50," * Line 7 * Line 12 * 100)")</f>
        <v>State/Local Share of EDA ($35 * Line 7 * Line 12 * 100)</v>
      </c>
      <c r="C25" s="1080"/>
      <c r="D25" s="1085">
        <f>'Existing Debt'!I59</f>
        <v>0</v>
      </c>
    </row>
    <row r="26" spans="1:4" s="1076" customFormat="1" ht="15">
      <c r="A26" s="1079" t="s">
        <v>6</v>
      </c>
      <c r="B26" s="1080" t="s">
        <v>3272</v>
      </c>
      <c r="C26" s="1080"/>
      <c r="D26" s="1085">
        <f>'Existing Debt'!I61</f>
        <v>0</v>
      </c>
    </row>
    <row r="27" spans="1:4" s="1076" customFormat="1" ht="15">
      <c r="A27" s="1079" t="s">
        <v>2551</v>
      </c>
      <c r="B27" s="1080" t="s">
        <v>3273</v>
      </c>
      <c r="C27" s="1080"/>
      <c r="D27" s="1085">
        <f>'Existing Debt'!I70</f>
        <v>0</v>
      </c>
    </row>
    <row r="28" spans="1:4" s="1076" customFormat="1" ht="15.75">
      <c r="A28" s="1079" t="s">
        <v>2552</v>
      </c>
      <c r="B28" s="1078" t="s">
        <v>3274</v>
      </c>
      <c r="C28" s="1080"/>
      <c r="D28" s="1090">
        <f>'Existing Debt'!I74</f>
        <v>0</v>
      </c>
    </row>
    <row r="29" spans="1:4" s="1076" customFormat="1" ht="15.75">
      <c r="B29" s="1195" t="s">
        <v>3392</v>
      </c>
      <c r="D29" s="1445" t="s">
        <v>3704</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7101</v>
      </c>
      <c r="D39" s="2026">
        <f>IF(ISNA('DE1'!H89),0,'DE1'!H89)</f>
        <v>0</v>
      </c>
    </row>
    <row r="40" spans="2:4" ht="15.75">
      <c r="B40" s="961"/>
      <c r="C40" s="1076"/>
      <c r="D40" s="1076"/>
    </row>
    <row r="41" spans="2:4" ht="15.75">
      <c r="B41" s="961" t="s">
        <v>7090</v>
      </c>
      <c r="C41" s="1076"/>
      <c r="D41" s="1076"/>
    </row>
    <row r="42" spans="2:4" ht="15.75">
      <c r="B42" s="1315" t="s">
        <v>7311</v>
      </c>
      <c r="C42" s="1076"/>
      <c r="D42" s="1076"/>
    </row>
    <row r="43" spans="2:4" ht="15.75">
      <c r="B43" s="961" t="s">
        <v>7309</v>
      </c>
    </row>
  </sheetData>
  <sheetProtection sheet="1"/>
  <hyperlinks>
    <hyperlink ref="D29" location="'Report-SOF1718'!A1" display="'Report-SOF1718'!A1"/>
  </hyperlinks>
  <pageMargins left="0.45" right="0.45" top="0.5" bottom="0.5" header="0.3" footer="0.3"/>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9"/>
  <sheetViews>
    <sheetView workbookViewId="0"/>
  </sheetViews>
  <sheetFormatPr defaultRowHeight="12.75"/>
  <sheetData>
    <row r="1" spans="1:6">
      <c r="A1" s="122" t="s">
        <v>225</v>
      </c>
      <c r="B1" s="161">
        <v>1.03</v>
      </c>
      <c r="C1" s="162">
        <v>1.0443832838586558</v>
      </c>
      <c r="D1" s="162">
        <v>1.0587665677173115</v>
      </c>
      <c r="E1" s="125">
        <v>1.06</v>
      </c>
      <c r="F1" t="s">
        <v>1309</v>
      </c>
    </row>
    <row r="2" spans="1:6">
      <c r="A2" s="122" t="s">
        <v>2228</v>
      </c>
      <c r="B2" s="161">
        <v>1.03</v>
      </c>
      <c r="C2" s="162">
        <v>1.0486114230697434</v>
      </c>
      <c r="D2" s="162">
        <v>1.067222846139487</v>
      </c>
      <c r="E2" s="125">
        <v>1.07</v>
      </c>
      <c r="F2" t="s">
        <v>1689</v>
      </c>
    </row>
    <row r="3" spans="1:6">
      <c r="A3" s="122" t="s">
        <v>15</v>
      </c>
      <c r="B3" s="161">
        <v>1.03</v>
      </c>
      <c r="C3" s="162">
        <v>1.0400591985221705</v>
      </c>
      <c r="D3" s="162">
        <v>1.0501183970443413</v>
      </c>
      <c r="E3" s="125">
        <v>1.05</v>
      </c>
      <c r="F3" t="s">
        <v>1690</v>
      </c>
    </row>
    <row r="4" spans="1:6">
      <c r="A4" s="122" t="s">
        <v>16</v>
      </c>
      <c r="B4" s="161">
        <v>1.03</v>
      </c>
      <c r="C4" s="162">
        <v>1.0377951460626624</v>
      </c>
      <c r="D4" s="162">
        <v>1.0455902921253251</v>
      </c>
      <c r="E4" s="125">
        <v>1.05</v>
      </c>
      <c r="F4" t="s">
        <v>1294</v>
      </c>
    </row>
    <row r="5" spans="1:6">
      <c r="A5" s="122" t="s">
        <v>17</v>
      </c>
      <c r="B5" s="161">
        <v>1.06</v>
      </c>
      <c r="C5" s="162">
        <v>1.0672424977620429</v>
      </c>
      <c r="D5" s="162">
        <v>1.0744849955240858</v>
      </c>
      <c r="E5" s="125">
        <v>1.07</v>
      </c>
    </row>
    <row r="6" spans="1:6">
      <c r="A6" s="122" t="s">
        <v>1254</v>
      </c>
      <c r="B6" s="161">
        <v>1.05</v>
      </c>
      <c r="C6" s="162">
        <v>1.0601652279300464</v>
      </c>
      <c r="D6" s="162">
        <v>1.0703304558600926</v>
      </c>
      <c r="E6" s="125">
        <v>1.07</v>
      </c>
    </row>
    <row r="7" spans="1:6">
      <c r="A7" s="122" t="s">
        <v>1255</v>
      </c>
      <c r="B7" s="161">
        <v>1.03</v>
      </c>
      <c r="C7" s="162">
        <v>1.042365997426248</v>
      </c>
      <c r="D7" s="162">
        <v>1.0547319948524958</v>
      </c>
      <c r="E7" s="125">
        <v>1.05</v>
      </c>
    </row>
    <row r="8" spans="1:6">
      <c r="A8" s="122" t="s">
        <v>2102</v>
      </c>
      <c r="B8" s="161">
        <v>1.1200000000000001</v>
      </c>
      <c r="C8" s="162">
        <v>1.1074472365617356</v>
      </c>
      <c r="D8" s="162">
        <v>1.0948944731234709</v>
      </c>
      <c r="E8" s="125">
        <v>1.0900000000000001</v>
      </c>
    </row>
    <row r="9" spans="1:6">
      <c r="A9" s="122" t="s">
        <v>774</v>
      </c>
      <c r="B9" s="161">
        <v>1.04</v>
      </c>
      <c r="C9" s="162">
        <v>1.0422351987897873</v>
      </c>
      <c r="D9" s="162">
        <v>1.0444703975795746</v>
      </c>
      <c r="E9" s="125">
        <v>1.04</v>
      </c>
    </row>
    <row r="10" spans="1:6">
      <c r="A10" s="122" t="s">
        <v>1637</v>
      </c>
      <c r="B10" s="161">
        <v>1.06</v>
      </c>
      <c r="C10" s="162">
        <v>1.0582439881111134</v>
      </c>
      <c r="D10" s="162">
        <v>1.056487976222227</v>
      </c>
      <c r="E10" s="125">
        <v>1.06</v>
      </c>
    </row>
    <row r="11" spans="1:6">
      <c r="A11" s="122" t="s">
        <v>1279</v>
      </c>
      <c r="B11" s="161">
        <v>1.04</v>
      </c>
      <c r="C11" s="162">
        <v>1.0419192023211354</v>
      </c>
      <c r="D11" s="162">
        <v>1.0438384046422711</v>
      </c>
      <c r="E11" s="125">
        <v>1.04</v>
      </c>
    </row>
    <row r="12" spans="1:6">
      <c r="A12" s="122" t="s">
        <v>369</v>
      </c>
      <c r="B12" s="161">
        <v>1.06</v>
      </c>
      <c r="C12" s="162">
        <v>1.0522453344364133</v>
      </c>
      <c r="D12" s="162">
        <v>1.0444906688728266</v>
      </c>
      <c r="E12" s="125">
        <v>1.04</v>
      </c>
    </row>
    <row r="13" spans="1:6">
      <c r="A13" s="122" t="s">
        <v>370</v>
      </c>
      <c r="B13" s="161">
        <v>1.03</v>
      </c>
      <c r="C13" s="162">
        <v>1.033444813934326</v>
      </c>
      <c r="D13" s="162">
        <v>1.0368896278686519</v>
      </c>
      <c r="E13" s="125">
        <v>1.04</v>
      </c>
    </row>
    <row r="14" spans="1:6">
      <c r="A14" s="122" t="s">
        <v>371</v>
      </c>
      <c r="B14" s="161">
        <v>1.04</v>
      </c>
      <c r="C14" s="162">
        <v>1.0411142396110091</v>
      </c>
      <c r="D14" s="162">
        <v>1.042228479222018</v>
      </c>
      <c r="E14" s="125">
        <v>1.04</v>
      </c>
    </row>
    <row r="15" spans="1:6">
      <c r="A15" s="122" t="s">
        <v>2839</v>
      </c>
      <c r="B15" s="161">
        <v>1.1100000000000001</v>
      </c>
      <c r="C15" s="162">
        <v>1.1203437848507996</v>
      </c>
      <c r="D15" s="162">
        <v>1.130687569701599</v>
      </c>
      <c r="E15" s="125">
        <v>1.1299999999999999</v>
      </c>
    </row>
    <row r="16" spans="1:6">
      <c r="A16" s="122" t="s">
        <v>2840</v>
      </c>
      <c r="B16" s="161">
        <v>1.07</v>
      </c>
      <c r="C16" s="162">
        <v>1.0617303710461226</v>
      </c>
      <c r="D16" s="162">
        <v>1.0534607420922453</v>
      </c>
      <c r="E16" s="125">
        <v>1.05</v>
      </c>
    </row>
    <row r="17" spans="1:5">
      <c r="A17" s="122" t="s">
        <v>2841</v>
      </c>
      <c r="B17" s="161">
        <v>1.05</v>
      </c>
      <c r="C17" s="162">
        <v>1.0578373558450624</v>
      </c>
      <c r="D17" s="162">
        <v>1.0656747116901246</v>
      </c>
      <c r="E17" s="125">
        <v>1.07</v>
      </c>
    </row>
    <row r="18" spans="1:5">
      <c r="A18" s="122" t="s">
        <v>2842</v>
      </c>
      <c r="B18" s="161">
        <v>1.07</v>
      </c>
      <c r="C18" s="162">
        <v>1.0463919126996732</v>
      </c>
      <c r="D18" s="162">
        <v>1.0227838253993464</v>
      </c>
      <c r="E18" s="125">
        <v>1.02</v>
      </c>
    </row>
    <row r="19" spans="1:5">
      <c r="A19" s="122" t="s">
        <v>2219</v>
      </c>
      <c r="B19" s="161">
        <v>1.06</v>
      </c>
      <c r="C19" s="162">
        <v>1.054832654669088</v>
      </c>
      <c r="D19" s="162">
        <v>1.0496653093381758</v>
      </c>
      <c r="E19" s="125">
        <v>1.05</v>
      </c>
    </row>
    <row r="20" spans="1:5">
      <c r="A20" s="122" t="s">
        <v>2843</v>
      </c>
      <c r="B20" s="161">
        <v>1.05</v>
      </c>
      <c r="C20" s="162">
        <v>1.0287663096275257</v>
      </c>
      <c r="D20" s="162">
        <v>1.0075326192550513</v>
      </c>
      <c r="E20" s="125">
        <v>1.01</v>
      </c>
    </row>
    <row r="21" spans="1:5">
      <c r="A21" s="122" t="s">
        <v>806</v>
      </c>
      <c r="B21" s="161">
        <v>1.08</v>
      </c>
      <c r="C21" s="162">
        <v>1.1036291324204188</v>
      </c>
      <c r="D21" s="162">
        <v>1.1272582648408374</v>
      </c>
      <c r="E21" s="125">
        <v>1.1299999999999999</v>
      </c>
    </row>
    <row r="22" spans="1:5">
      <c r="A22" s="122" t="s">
        <v>2844</v>
      </c>
      <c r="B22" s="161">
        <v>1.07</v>
      </c>
      <c r="C22" s="162">
        <v>1.1123953446177102</v>
      </c>
      <c r="D22" s="162">
        <v>1.1547906892354203</v>
      </c>
      <c r="E22" s="125">
        <v>1.1499999999999999</v>
      </c>
    </row>
    <row r="23" spans="1:5">
      <c r="A23" s="122" t="s">
        <v>2388</v>
      </c>
      <c r="B23" s="161">
        <v>1.07</v>
      </c>
      <c r="C23" s="162">
        <v>1.1193101055011829</v>
      </c>
      <c r="D23" s="162">
        <v>1.1686202110023658</v>
      </c>
      <c r="E23" s="125">
        <v>1.17</v>
      </c>
    </row>
    <row r="24" spans="1:5">
      <c r="A24" s="122" t="s">
        <v>241</v>
      </c>
      <c r="B24" s="161">
        <v>1.08</v>
      </c>
      <c r="C24" s="162">
        <v>1.1333086472544185</v>
      </c>
      <c r="D24" s="162">
        <v>1.1866172945088369</v>
      </c>
      <c r="E24" s="125">
        <v>1.19</v>
      </c>
    </row>
    <row r="25" spans="1:5">
      <c r="A25" s="122" t="s">
        <v>2447</v>
      </c>
      <c r="B25" s="161">
        <v>1.0900000000000001</v>
      </c>
      <c r="C25" s="162">
        <v>1.1290436143726943</v>
      </c>
      <c r="D25" s="162">
        <v>1.1680872287453887</v>
      </c>
      <c r="E25" s="125">
        <v>1.17</v>
      </c>
    </row>
    <row r="26" spans="1:5">
      <c r="A26" s="122" t="s">
        <v>2845</v>
      </c>
      <c r="B26" s="161">
        <v>1.1200000000000001</v>
      </c>
      <c r="C26" s="162">
        <v>1.1302611147967565</v>
      </c>
      <c r="D26" s="162">
        <v>1.1405222295935127</v>
      </c>
      <c r="E26" s="125">
        <v>1.1399999999999999</v>
      </c>
    </row>
    <row r="27" spans="1:5">
      <c r="A27" s="122" t="s">
        <v>783</v>
      </c>
      <c r="B27" s="161">
        <v>1.1299999999999999</v>
      </c>
      <c r="C27" s="162">
        <v>1.1370620589482054</v>
      </c>
      <c r="D27" s="162">
        <v>1.144124117896411</v>
      </c>
      <c r="E27" s="125">
        <v>1.1399999999999999</v>
      </c>
    </row>
    <row r="28" spans="1:5">
      <c r="A28" s="122" t="s">
        <v>784</v>
      </c>
      <c r="B28" s="161">
        <v>1.1100000000000001</v>
      </c>
      <c r="C28" s="162">
        <v>1.1210873200681928</v>
      </c>
      <c r="D28" s="162">
        <v>1.1321746401363855</v>
      </c>
      <c r="E28" s="125">
        <v>1.1299999999999999</v>
      </c>
    </row>
    <row r="29" spans="1:5">
      <c r="A29" s="122" t="s">
        <v>785</v>
      </c>
      <c r="B29" s="161">
        <v>1.06</v>
      </c>
      <c r="C29" s="162">
        <v>1.0662404721779353</v>
      </c>
      <c r="D29" s="162">
        <v>1.0724809443558705</v>
      </c>
      <c r="E29" s="125">
        <v>1.07</v>
      </c>
    </row>
    <row r="30" spans="1:5">
      <c r="A30" s="122" t="s">
        <v>216</v>
      </c>
      <c r="B30" s="161">
        <v>1.07</v>
      </c>
      <c r="C30" s="162">
        <v>1.088275330865883</v>
      </c>
      <c r="D30" s="162">
        <v>1.106550661731766</v>
      </c>
      <c r="E30" s="125">
        <v>1.1100000000000001</v>
      </c>
    </row>
    <row r="31" spans="1:5">
      <c r="A31" s="122" t="s">
        <v>2220</v>
      </c>
      <c r="B31" s="161">
        <v>1.07</v>
      </c>
      <c r="C31" s="162">
        <v>1.1213523435574169</v>
      </c>
      <c r="D31" s="162">
        <v>1.1727046871148337</v>
      </c>
      <c r="E31" s="125">
        <v>1.17</v>
      </c>
    </row>
    <row r="32" spans="1:5">
      <c r="A32" s="122" t="s">
        <v>1896</v>
      </c>
      <c r="B32" s="161">
        <v>1.1000000000000001</v>
      </c>
      <c r="C32" s="162">
        <v>1.142081863016059</v>
      </c>
      <c r="D32" s="162">
        <v>1.1841637260321178</v>
      </c>
      <c r="E32" s="125">
        <v>1.18</v>
      </c>
    </row>
    <row r="33" spans="1:5">
      <c r="A33" s="122" t="s">
        <v>876</v>
      </c>
      <c r="B33" s="161">
        <v>1.0900000000000001</v>
      </c>
      <c r="C33" s="162">
        <v>1.1287867931776367</v>
      </c>
      <c r="D33" s="162">
        <v>1.1675735863552736</v>
      </c>
      <c r="E33" s="125">
        <v>1.17</v>
      </c>
    </row>
    <row r="34" spans="1:5">
      <c r="A34" s="122" t="s">
        <v>2710</v>
      </c>
      <c r="B34" s="161">
        <v>1.08</v>
      </c>
      <c r="C34" s="162">
        <v>1.1007894252602382</v>
      </c>
      <c r="D34" s="162">
        <v>1.1215788505204762</v>
      </c>
      <c r="E34" s="125">
        <v>1.1200000000000001</v>
      </c>
    </row>
    <row r="35" spans="1:5">
      <c r="A35" s="122" t="s">
        <v>2448</v>
      </c>
      <c r="B35" s="161">
        <v>1.08</v>
      </c>
      <c r="C35" s="162">
        <v>1.0852160863874738</v>
      </c>
      <c r="D35" s="162">
        <v>1.0904321727749475</v>
      </c>
      <c r="E35" s="125">
        <v>1.0900000000000001</v>
      </c>
    </row>
    <row r="36" spans="1:5">
      <c r="A36" s="122" t="s">
        <v>492</v>
      </c>
      <c r="B36" s="161">
        <v>1.07</v>
      </c>
      <c r="C36" s="162">
        <v>1.0674938819053896</v>
      </c>
      <c r="D36" s="162">
        <v>1.0649877638107792</v>
      </c>
      <c r="E36" s="125">
        <v>1.06</v>
      </c>
    </row>
    <row r="37" spans="1:5">
      <c r="A37" s="122" t="s">
        <v>2711</v>
      </c>
      <c r="B37" s="161">
        <v>1.0900000000000001</v>
      </c>
      <c r="C37" s="162">
        <v>1.100512736039398</v>
      </c>
      <c r="D37" s="162">
        <v>1.1110254720787962</v>
      </c>
      <c r="E37" s="125">
        <v>1.1100000000000001</v>
      </c>
    </row>
    <row r="38" spans="1:5">
      <c r="A38" s="122" t="s">
        <v>3048</v>
      </c>
      <c r="B38" s="161">
        <v>1.0900000000000001</v>
      </c>
      <c r="C38" s="162">
        <v>1.0830918678284462</v>
      </c>
      <c r="D38" s="162">
        <v>1.0761837356568924</v>
      </c>
      <c r="E38" s="125">
        <v>1.08</v>
      </c>
    </row>
    <row r="39" spans="1:5">
      <c r="A39" s="122" t="s">
        <v>3049</v>
      </c>
      <c r="B39" s="161">
        <v>1.06</v>
      </c>
      <c r="C39" s="162">
        <v>1.0721657985654098</v>
      </c>
      <c r="D39" s="162">
        <v>1.0843315971308194</v>
      </c>
      <c r="E39" s="125">
        <v>1.08</v>
      </c>
    </row>
    <row r="40" spans="1:5">
      <c r="A40" s="122" t="s">
        <v>1313</v>
      </c>
      <c r="B40" s="161">
        <v>1.07</v>
      </c>
      <c r="C40" s="162">
        <v>1.0771024985277267</v>
      </c>
      <c r="D40" s="162">
        <v>1.084204997055453</v>
      </c>
      <c r="E40" s="125">
        <v>1.08</v>
      </c>
    </row>
    <row r="41" spans="1:5">
      <c r="A41" s="122" t="s">
        <v>2449</v>
      </c>
      <c r="B41" s="161">
        <v>1.04</v>
      </c>
      <c r="C41" s="162">
        <v>1.0545679328641091</v>
      </c>
      <c r="D41" s="162">
        <v>1.0691358657282184</v>
      </c>
      <c r="E41" s="125">
        <v>1.07</v>
      </c>
    </row>
    <row r="42" spans="1:5">
      <c r="A42" s="122" t="s">
        <v>1895</v>
      </c>
      <c r="B42" s="161">
        <v>1.04</v>
      </c>
      <c r="C42" s="162">
        <v>1.0476951860306096</v>
      </c>
      <c r="D42" s="162">
        <v>1.0553903720612192</v>
      </c>
      <c r="E42" s="125">
        <v>1.06</v>
      </c>
    </row>
    <row r="43" spans="1:5">
      <c r="A43" s="122" t="s">
        <v>1898</v>
      </c>
      <c r="B43" s="161">
        <v>1.08</v>
      </c>
      <c r="C43" s="162">
        <v>1.1023926537778626</v>
      </c>
      <c r="D43" s="162">
        <v>1.1247853075557248</v>
      </c>
      <c r="E43" s="125">
        <v>1.1200000000000001</v>
      </c>
    </row>
    <row r="44" spans="1:5">
      <c r="A44" s="122" t="s">
        <v>198</v>
      </c>
      <c r="B44" s="161">
        <v>1.04</v>
      </c>
      <c r="C44" s="162">
        <v>1.0467672172417766</v>
      </c>
      <c r="D44" s="162">
        <v>1.0535344344835533</v>
      </c>
      <c r="E44" s="125">
        <v>1.05</v>
      </c>
    </row>
    <row r="45" spans="1:5">
      <c r="A45" s="122" t="s">
        <v>60</v>
      </c>
      <c r="B45" s="161">
        <v>1.1000000000000001</v>
      </c>
      <c r="C45" s="162">
        <v>1.135954572060887</v>
      </c>
      <c r="D45" s="162">
        <v>1.1719091441217739</v>
      </c>
      <c r="E45" s="125">
        <v>1.17</v>
      </c>
    </row>
    <row r="46" spans="1:5">
      <c r="A46" s="122" t="s">
        <v>192</v>
      </c>
      <c r="B46" s="161">
        <v>1.05</v>
      </c>
      <c r="C46" s="162">
        <v>1.0575824292873715</v>
      </c>
      <c r="D46" s="162">
        <v>1.0651648585747429</v>
      </c>
      <c r="E46" s="125">
        <v>1.07</v>
      </c>
    </row>
    <row r="47" spans="1:5">
      <c r="A47" s="122" t="s">
        <v>1487</v>
      </c>
      <c r="B47" s="161">
        <v>1.05</v>
      </c>
      <c r="C47" s="162">
        <v>1.0603939958448967</v>
      </c>
      <c r="D47" s="162">
        <v>1.0707879916897933</v>
      </c>
      <c r="E47" s="125">
        <v>1.07</v>
      </c>
    </row>
    <row r="48" spans="1:5">
      <c r="A48" s="122" t="s">
        <v>1707</v>
      </c>
      <c r="B48" s="161">
        <v>1.0900000000000001</v>
      </c>
      <c r="C48" s="162">
        <v>1.110173635100435</v>
      </c>
      <c r="D48" s="162">
        <v>1.1303472702008697</v>
      </c>
      <c r="E48" s="125">
        <v>1.1299999999999999</v>
      </c>
    </row>
    <row r="49" spans="1:5">
      <c r="A49" s="122" t="s">
        <v>1712</v>
      </c>
      <c r="B49" s="161">
        <v>1.04</v>
      </c>
      <c r="C49" s="162">
        <v>1.0567236483223064</v>
      </c>
      <c r="D49" s="162">
        <v>1.0734472966446129</v>
      </c>
      <c r="E49" s="125">
        <v>1.07</v>
      </c>
    </row>
    <row r="50" spans="1:5">
      <c r="A50" s="122" t="s">
        <v>463</v>
      </c>
      <c r="B50" s="161">
        <v>1.08</v>
      </c>
      <c r="C50" s="162">
        <v>1.1471185188423121</v>
      </c>
      <c r="D50" s="162">
        <v>1.2142370376846243</v>
      </c>
      <c r="E50" s="125">
        <v>1.21</v>
      </c>
    </row>
    <row r="51" spans="1:5">
      <c r="A51" s="122" t="s">
        <v>2125</v>
      </c>
      <c r="B51" s="161">
        <v>1.1200000000000001</v>
      </c>
      <c r="C51" s="162">
        <v>1.1887050356363833</v>
      </c>
      <c r="D51" s="162">
        <v>1.2574100712727665</v>
      </c>
      <c r="E51" s="125">
        <v>1.26</v>
      </c>
    </row>
    <row r="52" spans="1:5">
      <c r="A52" s="122" t="s">
        <v>874</v>
      </c>
      <c r="B52" s="161">
        <v>1.1499999999999999</v>
      </c>
      <c r="C52" s="162">
        <v>1.2022809861823958</v>
      </c>
      <c r="D52" s="162">
        <v>1.2545619723647916</v>
      </c>
      <c r="E52" s="125">
        <v>1.25</v>
      </c>
    </row>
    <row r="53" spans="1:5">
      <c r="A53" s="122" t="s">
        <v>2682</v>
      </c>
      <c r="B53" s="161">
        <v>1.06</v>
      </c>
      <c r="C53" s="162">
        <v>1.112532636859576</v>
      </c>
      <c r="D53" s="162">
        <v>1.165065273719152</v>
      </c>
      <c r="E53" s="125">
        <v>1.17</v>
      </c>
    </row>
    <row r="54" spans="1:5">
      <c r="A54" s="122" t="s">
        <v>1489</v>
      </c>
      <c r="B54" s="161">
        <v>1.1399999999999999</v>
      </c>
      <c r="C54" s="162">
        <v>1.2086294809100622</v>
      </c>
      <c r="D54" s="162">
        <v>1.2772589618201244</v>
      </c>
      <c r="E54" s="125">
        <v>1.28</v>
      </c>
    </row>
    <row r="55" spans="1:5">
      <c r="A55" s="122" t="s">
        <v>1699</v>
      </c>
      <c r="B55" s="161">
        <v>1.1399999999999999</v>
      </c>
      <c r="C55" s="162">
        <v>1.1903590155828871</v>
      </c>
      <c r="D55" s="162">
        <v>1.2407180311657744</v>
      </c>
      <c r="E55" s="125">
        <v>1.24</v>
      </c>
    </row>
    <row r="56" spans="1:5">
      <c r="A56" s="122" t="s">
        <v>1316</v>
      </c>
      <c r="B56" s="161">
        <v>1.08</v>
      </c>
      <c r="C56" s="162">
        <v>1.1362559384594924</v>
      </c>
      <c r="D56" s="162">
        <v>1.1925118769189846</v>
      </c>
      <c r="E56" s="125">
        <v>1.19</v>
      </c>
    </row>
    <row r="57" spans="1:5">
      <c r="A57" s="122" t="s">
        <v>1587</v>
      </c>
      <c r="B57" s="161">
        <v>1.1100000000000001</v>
      </c>
      <c r="C57" s="162">
        <v>1.1951388306505217</v>
      </c>
      <c r="D57" s="162">
        <v>1.2802776613010434</v>
      </c>
      <c r="E57" s="125">
        <v>1.28</v>
      </c>
    </row>
    <row r="58" spans="1:5">
      <c r="A58" s="122" t="s">
        <v>871</v>
      </c>
      <c r="B58" s="161">
        <v>1.1000000000000001</v>
      </c>
      <c r="C58" s="162">
        <v>1.1643280194066565</v>
      </c>
      <c r="D58" s="162">
        <v>1.2286560388133132</v>
      </c>
      <c r="E58" s="125">
        <v>1.23</v>
      </c>
    </row>
    <row r="59" spans="1:5">
      <c r="A59" s="122" t="s">
        <v>807</v>
      </c>
      <c r="B59" s="161">
        <v>1.1100000000000001</v>
      </c>
      <c r="C59" s="162">
        <v>1.1730166231049699</v>
      </c>
      <c r="D59" s="162">
        <v>1.2360332462099395</v>
      </c>
      <c r="E59" s="125">
        <v>1.24</v>
      </c>
    </row>
    <row r="60" spans="1:5">
      <c r="A60" s="122" t="s">
        <v>2683</v>
      </c>
      <c r="B60" s="161">
        <v>1.05</v>
      </c>
      <c r="C60" s="162">
        <v>1.108736896480111</v>
      </c>
      <c r="D60" s="162">
        <v>1.1674737929602221</v>
      </c>
      <c r="E60" s="125">
        <v>1.17</v>
      </c>
    </row>
    <row r="61" spans="1:5">
      <c r="A61" s="122" t="s">
        <v>2684</v>
      </c>
      <c r="B61" s="161">
        <v>1.06</v>
      </c>
      <c r="C61" s="162">
        <v>1.1168851694210682</v>
      </c>
      <c r="D61" s="162">
        <v>1.1737703388421361</v>
      </c>
      <c r="E61" s="125">
        <v>1.17</v>
      </c>
    </row>
    <row r="62" spans="1:5">
      <c r="A62" s="122" t="s">
        <v>1589</v>
      </c>
      <c r="B62" s="161">
        <v>1.1100000000000001</v>
      </c>
      <c r="C62" s="162">
        <v>1.1912652215425665</v>
      </c>
      <c r="D62" s="162">
        <v>1.272530443085133</v>
      </c>
      <c r="E62" s="125">
        <v>1.27</v>
      </c>
    </row>
    <row r="63" spans="1:5">
      <c r="A63" s="122" t="s">
        <v>53</v>
      </c>
      <c r="B63" s="161">
        <v>1.1100000000000001</v>
      </c>
      <c r="C63" s="162">
        <v>1.185266721748008</v>
      </c>
      <c r="D63" s="162">
        <v>1.2605334434960156</v>
      </c>
      <c r="E63" s="125">
        <v>1.26</v>
      </c>
    </row>
    <row r="64" spans="1:5">
      <c r="A64" s="122" t="s">
        <v>1700</v>
      </c>
      <c r="B64" s="161">
        <v>1.1000000000000001</v>
      </c>
      <c r="C64" s="162">
        <v>1.1546701363999452</v>
      </c>
      <c r="D64" s="162">
        <v>1.2093402727998903</v>
      </c>
      <c r="E64" s="125">
        <v>1.21</v>
      </c>
    </row>
    <row r="65" spans="1:5">
      <c r="A65" s="122" t="s">
        <v>1377</v>
      </c>
      <c r="B65" s="161">
        <v>1.08</v>
      </c>
      <c r="C65" s="162">
        <v>1.0825602498508018</v>
      </c>
      <c r="D65" s="162">
        <v>1.0851204997016033</v>
      </c>
      <c r="E65" s="125">
        <v>1.0900000000000001</v>
      </c>
    </row>
    <row r="66" spans="1:5">
      <c r="A66" s="122" t="s">
        <v>986</v>
      </c>
      <c r="B66" s="161">
        <v>1.08</v>
      </c>
      <c r="C66" s="162">
        <v>1.0821904823305153</v>
      </c>
      <c r="D66" s="162">
        <v>1.0843809646610303</v>
      </c>
      <c r="E66" s="125">
        <v>1.08</v>
      </c>
    </row>
    <row r="67" spans="1:5">
      <c r="A67" s="122" t="s">
        <v>1378</v>
      </c>
      <c r="B67" s="161">
        <v>1.06</v>
      </c>
      <c r="C67" s="162">
        <v>1.0460378218483051</v>
      </c>
      <c r="D67" s="162">
        <v>1.0320756436966101</v>
      </c>
      <c r="E67" s="125">
        <v>1.03</v>
      </c>
    </row>
    <row r="68" spans="1:5">
      <c r="A68" s="122" t="s">
        <v>628</v>
      </c>
      <c r="B68" s="161">
        <v>1.04</v>
      </c>
      <c r="C68" s="162">
        <v>1.0582664405527469</v>
      </c>
      <c r="D68" s="162">
        <v>1.0765328811054937</v>
      </c>
      <c r="E68" s="125">
        <v>1.08</v>
      </c>
    </row>
    <row r="69" spans="1:5">
      <c r="A69" s="122" t="s">
        <v>1379</v>
      </c>
      <c r="B69" s="161">
        <v>1.04</v>
      </c>
      <c r="C69" s="162">
        <v>1.0540500762701019</v>
      </c>
      <c r="D69" s="162">
        <v>1.0681001525402041</v>
      </c>
      <c r="E69" s="125">
        <v>1.07</v>
      </c>
    </row>
    <row r="70" spans="1:5">
      <c r="A70" s="122" t="s">
        <v>1273</v>
      </c>
      <c r="B70" s="161">
        <v>1.07</v>
      </c>
      <c r="C70" s="162">
        <v>1.0584899876017593</v>
      </c>
      <c r="D70" s="162">
        <v>1.0469799752035183</v>
      </c>
      <c r="E70" s="125">
        <v>1.05</v>
      </c>
    </row>
    <row r="71" spans="1:5">
      <c r="A71" s="122" t="s">
        <v>1274</v>
      </c>
      <c r="B71" s="161">
        <v>1.04</v>
      </c>
      <c r="C71" s="162">
        <v>1.0515654242872277</v>
      </c>
      <c r="D71" s="162">
        <v>1.0631308485744555</v>
      </c>
      <c r="E71" s="125">
        <v>1.06</v>
      </c>
    </row>
    <row r="72" spans="1:5">
      <c r="A72" s="122" t="s">
        <v>2174</v>
      </c>
      <c r="B72" s="161">
        <v>1.04</v>
      </c>
      <c r="C72" s="162">
        <v>1.0424027262795028</v>
      </c>
      <c r="D72" s="162">
        <v>1.0448054525590056</v>
      </c>
      <c r="E72" s="125">
        <v>1.04</v>
      </c>
    </row>
    <row r="73" spans="1:5">
      <c r="A73" s="122" t="s">
        <v>1846</v>
      </c>
      <c r="B73" s="161">
        <v>1.05</v>
      </c>
      <c r="C73" s="162">
        <v>1.0454121180988791</v>
      </c>
      <c r="D73" s="162">
        <v>1.0408242361977582</v>
      </c>
      <c r="E73" s="125">
        <v>1.04</v>
      </c>
    </row>
    <row r="74" spans="1:5">
      <c r="A74" s="122" t="s">
        <v>1847</v>
      </c>
      <c r="B74" s="161">
        <v>1.05</v>
      </c>
      <c r="C74" s="162">
        <v>1.0504504872482581</v>
      </c>
      <c r="D74" s="162">
        <v>1.0509009744965161</v>
      </c>
      <c r="E74" s="125">
        <v>1.05</v>
      </c>
    </row>
    <row r="75" spans="1:5">
      <c r="A75" s="122" t="s">
        <v>1848</v>
      </c>
      <c r="B75" s="161">
        <v>1.05</v>
      </c>
      <c r="C75" s="162">
        <v>1.0520383475684862</v>
      </c>
      <c r="D75" s="162">
        <v>1.0540766951369724</v>
      </c>
      <c r="E75" s="125">
        <v>1.05</v>
      </c>
    </row>
    <row r="76" spans="1:5">
      <c r="A76" s="122" t="s">
        <v>997</v>
      </c>
      <c r="B76" s="161">
        <v>1.03</v>
      </c>
      <c r="C76" s="162">
        <v>1.046588644681163</v>
      </c>
      <c r="D76" s="162">
        <v>1.0631772893623259</v>
      </c>
      <c r="E76" s="125">
        <v>1.06</v>
      </c>
    </row>
    <row r="77" spans="1:5">
      <c r="A77" s="122" t="s">
        <v>808</v>
      </c>
      <c r="B77" s="161">
        <v>1.04</v>
      </c>
      <c r="C77" s="162">
        <v>1.0506717984906639</v>
      </c>
      <c r="D77" s="162">
        <v>1.0613435969813279</v>
      </c>
      <c r="E77" s="125">
        <v>1.06</v>
      </c>
    </row>
    <row r="78" spans="1:5">
      <c r="A78" s="122" t="s">
        <v>2450</v>
      </c>
      <c r="B78" s="161">
        <v>1.03</v>
      </c>
      <c r="C78" s="162">
        <v>1.0385543010213589</v>
      </c>
      <c r="D78" s="162">
        <v>1.0471086020427178</v>
      </c>
      <c r="E78" s="125">
        <v>1.05</v>
      </c>
    </row>
    <row r="79" spans="1:5">
      <c r="A79" s="122" t="s">
        <v>3034</v>
      </c>
      <c r="B79" s="161">
        <v>1.05</v>
      </c>
      <c r="C79" s="162">
        <v>1.0610221639163941</v>
      </c>
      <c r="D79" s="162">
        <v>1.0720443278327882</v>
      </c>
      <c r="E79" s="125">
        <v>1.07</v>
      </c>
    </row>
    <row r="80" spans="1:5">
      <c r="A80" s="122" t="s">
        <v>1252</v>
      </c>
      <c r="B80" s="161">
        <v>1.03</v>
      </c>
      <c r="C80" s="162">
        <v>1.0453463347254661</v>
      </c>
      <c r="D80" s="162">
        <v>1.0606926694509322</v>
      </c>
      <c r="E80" s="125">
        <v>1.06</v>
      </c>
    </row>
    <row r="81" spans="1:5">
      <c r="A81" s="122" t="s">
        <v>1253</v>
      </c>
      <c r="B81" s="161">
        <v>1.06</v>
      </c>
      <c r="C81" s="162">
        <v>1.0783526973295661</v>
      </c>
      <c r="D81" s="162">
        <v>1.0967053946591321</v>
      </c>
      <c r="E81" s="125">
        <v>1.1000000000000001</v>
      </c>
    </row>
    <row r="82" spans="1:5">
      <c r="A82" s="122" t="s">
        <v>1285</v>
      </c>
      <c r="B82" s="161">
        <v>1.06</v>
      </c>
      <c r="C82" s="162">
        <v>1.0696442180907795</v>
      </c>
      <c r="D82" s="162">
        <v>1.0792884361815589</v>
      </c>
      <c r="E82" s="125">
        <v>1.08</v>
      </c>
    </row>
    <row r="83" spans="1:5">
      <c r="A83" s="122" t="s">
        <v>2451</v>
      </c>
      <c r="B83" s="161">
        <v>1.03</v>
      </c>
      <c r="C83" s="162">
        <v>1.041001164420154</v>
      </c>
      <c r="D83" s="162">
        <v>1.0520023288403082</v>
      </c>
      <c r="E83" s="125">
        <v>1.05</v>
      </c>
    </row>
    <row r="84" spans="1:5">
      <c r="A84" s="122" t="s">
        <v>1110</v>
      </c>
      <c r="B84" s="161">
        <v>1.04</v>
      </c>
      <c r="C84" s="162">
        <v>1.0330984873136284</v>
      </c>
      <c r="D84" s="162">
        <v>1.026196974627257</v>
      </c>
      <c r="E84" s="125">
        <v>1.03</v>
      </c>
    </row>
    <row r="85" spans="1:5">
      <c r="A85" s="122" t="s">
        <v>953</v>
      </c>
      <c r="B85" s="161">
        <v>1.03</v>
      </c>
      <c r="C85" s="162">
        <v>1.0317394624734835</v>
      </c>
      <c r="D85" s="162">
        <v>1.0334789249469669</v>
      </c>
      <c r="E85" s="125">
        <v>1.03</v>
      </c>
    </row>
    <row r="86" spans="1:5">
      <c r="A86" s="122" t="s">
        <v>1286</v>
      </c>
      <c r="B86" s="161">
        <v>1.05</v>
      </c>
      <c r="C86" s="162">
        <v>1.0597977357460322</v>
      </c>
      <c r="D86" s="162">
        <v>1.0695954714920644</v>
      </c>
      <c r="E86" s="125">
        <v>1.07</v>
      </c>
    </row>
    <row r="87" spans="1:5">
      <c r="A87" s="122" t="s">
        <v>1287</v>
      </c>
      <c r="B87" s="161">
        <v>1.04</v>
      </c>
      <c r="C87" s="162">
        <v>1.0305476133116893</v>
      </c>
      <c r="D87" s="162">
        <v>1.0210952266233788</v>
      </c>
      <c r="E87" s="125">
        <v>1.02</v>
      </c>
    </row>
    <row r="88" spans="1:5">
      <c r="A88" s="122" t="s">
        <v>954</v>
      </c>
      <c r="B88" s="161">
        <v>1.04</v>
      </c>
      <c r="C88" s="162">
        <v>1.0307209233441221</v>
      </c>
      <c r="D88" s="162">
        <v>1.0214418466882444</v>
      </c>
      <c r="E88" s="125">
        <v>1.02</v>
      </c>
    </row>
    <row r="89" spans="1:5">
      <c r="A89" s="122" t="s">
        <v>207</v>
      </c>
      <c r="B89" s="161">
        <v>1.1499999999999999</v>
      </c>
      <c r="C89" s="162">
        <v>1.1864928433298625</v>
      </c>
      <c r="D89" s="162">
        <v>1.2229856866597251</v>
      </c>
      <c r="E89" s="125">
        <v>1.22</v>
      </c>
    </row>
    <row r="90" spans="1:5">
      <c r="A90" s="122" t="s">
        <v>1035</v>
      </c>
      <c r="B90" s="161">
        <v>1.1499999999999999</v>
      </c>
      <c r="C90" s="162">
        <v>1.1671871542258923</v>
      </c>
      <c r="D90" s="162">
        <v>1.1843743084517844</v>
      </c>
      <c r="E90" s="125">
        <v>1.18</v>
      </c>
    </row>
    <row r="91" spans="1:5">
      <c r="A91" s="122" t="s">
        <v>809</v>
      </c>
      <c r="B91" s="161">
        <v>1.1100000000000001</v>
      </c>
      <c r="C91" s="162">
        <v>1.1176210929537764</v>
      </c>
      <c r="D91" s="162">
        <v>1.1252421859075525</v>
      </c>
      <c r="E91" s="125">
        <v>1.1299999999999999</v>
      </c>
    </row>
    <row r="92" spans="1:5">
      <c r="A92" s="122" t="s">
        <v>1321</v>
      </c>
      <c r="B92" s="161">
        <v>1.1599999999999999</v>
      </c>
      <c r="C92" s="162">
        <v>1.1797037011616485</v>
      </c>
      <c r="D92" s="162">
        <v>1.199407402323297</v>
      </c>
      <c r="E92" s="125">
        <v>1.2</v>
      </c>
    </row>
    <row r="93" spans="1:5">
      <c r="A93" s="122" t="s">
        <v>1322</v>
      </c>
      <c r="B93" s="161">
        <v>1.1200000000000001</v>
      </c>
      <c r="C93" s="162">
        <v>1.1284934793929522</v>
      </c>
      <c r="D93" s="162">
        <v>1.1369869587859041</v>
      </c>
      <c r="E93" s="125">
        <v>1.1399999999999999</v>
      </c>
    </row>
    <row r="94" spans="1:5">
      <c r="A94" s="122" t="s">
        <v>1616</v>
      </c>
      <c r="B94" s="161">
        <v>1.1299999999999999</v>
      </c>
      <c r="C94" s="162">
        <v>1.141204372817364</v>
      </c>
      <c r="D94" s="162">
        <v>1.1524087456347281</v>
      </c>
      <c r="E94" s="125">
        <v>1.1499999999999999</v>
      </c>
    </row>
    <row r="95" spans="1:5">
      <c r="A95" s="122" t="s">
        <v>235</v>
      </c>
      <c r="B95" s="161">
        <v>1.1499999999999999</v>
      </c>
      <c r="C95" s="162">
        <v>1.1924736410846952</v>
      </c>
      <c r="D95" s="162">
        <v>1.2349472821693908</v>
      </c>
      <c r="E95" s="125">
        <v>1.23</v>
      </c>
    </row>
    <row r="96" spans="1:5">
      <c r="A96" s="122" t="s">
        <v>1323</v>
      </c>
      <c r="B96" s="161">
        <v>1.1100000000000001</v>
      </c>
      <c r="C96" s="162">
        <v>1.1027036296278432</v>
      </c>
      <c r="D96" s="162">
        <v>1.095407259255686</v>
      </c>
      <c r="E96" s="125">
        <v>1.1000000000000001</v>
      </c>
    </row>
    <row r="97" spans="1:5">
      <c r="A97" s="122" t="s">
        <v>631</v>
      </c>
      <c r="B97" s="161">
        <v>1.0900000000000001</v>
      </c>
      <c r="C97" s="162">
        <v>1.1137271972737397</v>
      </c>
      <c r="D97" s="162">
        <v>1.1374543945474793</v>
      </c>
      <c r="E97" s="125">
        <v>1.1399999999999999</v>
      </c>
    </row>
    <row r="98" spans="1:5">
      <c r="A98" s="122" t="s">
        <v>994</v>
      </c>
      <c r="B98" s="161">
        <v>1.1100000000000001</v>
      </c>
      <c r="C98" s="162">
        <v>1.1351806214981548</v>
      </c>
      <c r="D98" s="162">
        <v>1.1603612429963095</v>
      </c>
      <c r="E98" s="125">
        <v>1.1599999999999999</v>
      </c>
    </row>
    <row r="99" spans="1:5">
      <c r="A99" s="122" t="s">
        <v>2918</v>
      </c>
      <c r="B99" s="161">
        <v>1.1000000000000001</v>
      </c>
      <c r="C99" s="162">
        <v>1.0780430292689165</v>
      </c>
      <c r="D99" s="162">
        <v>1.0560860585378329</v>
      </c>
      <c r="E99" s="125">
        <v>1.06</v>
      </c>
    </row>
    <row r="100" spans="1:5">
      <c r="A100" s="122" t="s">
        <v>440</v>
      </c>
      <c r="B100" s="161">
        <v>1.1000000000000001</v>
      </c>
      <c r="C100" s="162">
        <v>1.0770192692565781</v>
      </c>
      <c r="D100" s="162">
        <v>1.0540385385131561</v>
      </c>
      <c r="E100" s="125">
        <v>1.05</v>
      </c>
    </row>
    <row r="101" spans="1:5">
      <c r="A101" s="122" t="s">
        <v>441</v>
      </c>
      <c r="B101" s="161">
        <v>1.0900000000000001</v>
      </c>
      <c r="C101" s="162">
        <v>1.0728595641870862</v>
      </c>
      <c r="D101" s="162">
        <v>1.0557191283741723</v>
      </c>
      <c r="E101" s="125">
        <v>1.06</v>
      </c>
    </row>
    <row r="102" spans="1:5">
      <c r="A102" s="122" t="s">
        <v>442</v>
      </c>
      <c r="B102" s="161">
        <v>1.0900000000000001</v>
      </c>
      <c r="C102" s="162">
        <v>1.0754987068719397</v>
      </c>
      <c r="D102" s="162">
        <v>1.0609974137438793</v>
      </c>
      <c r="E102" s="125">
        <v>1.06</v>
      </c>
    </row>
    <row r="103" spans="1:5">
      <c r="A103" s="122" t="s">
        <v>443</v>
      </c>
      <c r="B103" s="161">
        <v>1.04</v>
      </c>
      <c r="C103" s="162">
        <v>1.0262211227630862</v>
      </c>
      <c r="D103" s="162">
        <v>1.0124422455261723</v>
      </c>
      <c r="E103" s="125">
        <v>1.01</v>
      </c>
    </row>
    <row r="104" spans="1:5">
      <c r="A104" s="122" t="s">
        <v>745</v>
      </c>
      <c r="B104" s="161">
        <v>1.1499999999999999</v>
      </c>
      <c r="C104" s="162">
        <v>1.121274500286785</v>
      </c>
      <c r="D104" s="162">
        <v>1.0925490005735701</v>
      </c>
      <c r="E104" s="125">
        <v>1.0900000000000001</v>
      </c>
    </row>
    <row r="105" spans="1:5">
      <c r="A105" s="122" t="s">
        <v>746</v>
      </c>
      <c r="B105" s="161">
        <v>1.03</v>
      </c>
      <c r="C105" s="162">
        <v>1.0379110766106128</v>
      </c>
      <c r="D105" s="162">
        <v>1.0458221532212253</v>
      </c>
      <c r="E105" s="125">
        <v>1.05</v>
      </c>
    </row>
    <row r="106" spans="1:5">
      <c r="A106" s="122" t="s">
        <v>747</v>
      </c>
      <c r="B106" s="161">
        <v>1.06</v>
      </c>
      <c r="C106" s="162">
        <v>1.0549760564012012</v>
      </c>
      <c r="D106" s="162">
        <v>1.0499521128024023</v>
      </c>
      <c r="E106" s="125">
        <v>1.05</v>
      </c>
    </row>
    <row r="107" spans="1:5">
      <c r="A107" s="122" t="s">
        <v>988</v>
      </c>
      <c r="B107" s="161">
        <v>1.05</v>
      </c>
      <c r="C107" s="162">
        <v>1.0377416400707722</v>
      </c>
      <c r="D107" s="162">
        <v>1.0254832801415443</v>
      </c>
      <c r="E107" s="125">
        <v>1.03</v>
      </c>
    </row>
    <row r="108" spans="1:5">
      <c r="A108" s="122" t="s">
        <v>2893</v>
      </c>
      <c r="B108" s="161">
        <v>1.03</v>
      </c>
      <c r="C108" s="162">
        <v>1.0351785810045913</v>
      </c>
      <c r="D108" s="162">
        <v>1.0403571620091825</v>
      </c>
      <c r="E108" s="125">
        <v>1.04</v>
      </c>
    </row>
    <row r="109" spans="1:5">
      <c r="A109" s="122" t="s">
        <v>1354</v>
      </c>
      <c r="B109" s="161">
        <v>1.04</v>
      </c>
      <c r="C109" s="162">
        <v>1.0292532217359101</v>
      </c>
      <c r="D109" s="162">
        <v>1.0185064434718201</v>
      </c>
      <c r="E109" s="125">
        <v>1.02</v>
      </c>
    </row>
    <row r="110" spans="1:5">
      <c r="A110" s="122" t="s">
        <v>810</v>
      </c>
      <c r="B110" s="161">
        <v>1.04</v>
      </c>
      <c r="C110" s="162">
        <v>1.0311005191058755</v>
      </c>
      <c r="D110" s="162">
        <v>1.0222010382117512</v>
      </c>
      <c r="E110" s="125">
        <v>1.02</v>
      </c>
    </row>
    <row r="111" spans="1:5">
      <c r="A111" s="122" t="s">
        <v>872</v>
      </c>
      <c r="B111" s="161">
        <v>1.04</v>
      </c>
      <c r="C111" s="162">
        <v>1.0408496847151607</v>
      </c>
      <c r="D111" s="162">
        <v>1.0416993694303214</v>
      </c>
      <c r="E111" s="125">
        <v>1.04</v>
      </c>
    </row>
    <row r="112" spans="1:5">
      <c r="A112" s="122" t="s">
        <v>748</v>
      </c>
      <c r="B112" s="161">
        <v>1.08</v>
      </c>
      <c r="C112" s="162">
        <v>1.0828523351321611</v>
      </c>
      <c r="D112" s="162">
        <v>1.085704670264322</v>
      </c>
      <c r="E112" s="125">
        <v>1.0900000000000001</v>
      </c>
    </row>
    <row r="113" spans="1:5">
      <c r="A113" s="122" t="s">
        <v>749</v>
      </c>
      <c r="B113" s="161">
        <v>1.0900000000000001</v>
      </c>
      <c r="C113" s="162">
        <v>1.077992143258188</v>
      </c>
      <c r="D113" s="162">
        <v>1.065984286516376</v>
      </c>
      <c r="E113" s="125">
        <v>1.07</v>
      </c>
    </row>
    <row r="114" spans="1:5">
      <c r="A114" s="122" t="s">
        <v>750</v>
      </c>
      <c r="B114" s="161">
        <v>1.0900000000000001</v>
      </c>
      <c r="C114" s="162">
        <v>1.0740821637205791</v>
      </c>
      <c r="D114" s="162">
        <v>1.0581643274411581</v>
      </c>
      <c r="E114" s="125">
        <v>1.06</v>
      </c>
    </row>
    <row r="115" spans="1:5">
      <c r="A115" s="122" t="s">
        <v>2154</v>
      </c>
      <c r="B115" s="161">
        <v>1.0900000000000001</v>
      </c>
      <c r="C115" s="162">
        <v>1.1014156217035302</v>
      </c>
      <c r="D115" s="162">
        <v>1.1128312434070606</v>
      </c>
      <c r="E115" s="125">
        <v>1.1100000000000001</v>
      </c>
    </row>
    <row r="116" spans="1:5">
      <c r="A116" s="122" t="s">
        <v>380</v>
      </c>
      <c r="B116" s="161">
        <v>1.0900000000000001</v>
      </c>
      <c r="C116" s="162">
        <v>1.10227029341746</v>
      </c>
      <c r="D116" s="162">
        <v>1.1145405868349199</v>
      </c>
      <c r="E116" s="125">
        <v>1.1100000000000001</v>
      </c>
    </row>
    <row r="117" spans="1:5">
      <c r="A117" s="122" t="s">
        <v>497</v>
      </c>
      <c r="B117" s="161">
        <v>1.0900000000000001</v>
      </c>
      <c r="C117" s="162">
        <v>1.1275843303015027</v>
      </c>
      <c r="D117" s="162">
        <v>1.1651686606030056</v>
      </c>
      <c r="E117" s="125">
        <v>1.17</v>
      </c>
    </row>
    <row r="118" spans="1:5">
      <c r="A118" s="122" t="s">
        <v>1318</v>
      </c>
      <c r="B118" s="161">
        <v>1.0900000000000001</v>
      </c>
      <c r="C118" s="162">
        <v>1.0991733943359452</v>
      </c>
      <c r="D118" s="162">
        <v>1.1083467886718905</v>
      </c>
      <c r="E118" s="125">
        <v>1.1100000000000001</v>
      </c>
    </row>
    <row r="119" spans="1:5">
      <c r="A119" s="122" t="s">
        <v>2631</v>
      </c>
      <c r="B119" s="161">
        <v>1.08</v>
      </c>
      <c r="C119" s="162">
        <v>1.0762946904029902</v>
      </c>
      <c r="D119" s="162">
        <v>1.0725893808059803</v>
      </c>
      <c r="E119" s="125">
        <v>1.07</v>
      </c>
    </row>
    <row r="120" spans="1:5">
      <c r="A120" s="122" t="s">
        <v>1535</v>
      </c>
      <c r="B120" s="161">
        <v>1.1100000000000001</v>
      </c>
      <c r="C120" s="162">
        <v>1.1280622928156374</v>
      </c>
      <c r="D120" s="162">
        <v>1.1461245856312745</v>
      </c>
      <c r="E120" s="125">
        <v>1.1499999999999999</v>
      </c>
    </row>
    <row r="121" spans="1:5">
      <c r="A121" s="122" t="s">
        <v>2671</v>
      </c>
      <c r="B121" s="161">
        <v>1.04</v>
      </c>
      <c r="C121" s="162">
        <v>1.0423026234887462</v>
      </c>
      <c r="D121" s="162">
        <v>1.0446052469774922</v>
      </c>
      <c r="E121" s="125">
        <v>1.04</v>
      </c>
    </row>
    <row r="122" spans="1:5">
      <c r="A122" s="122" t="s">
        <v>811</v>
      </c>
      <c r="B122" s="161">
        <v>1.05</v>
      </c>
      <c r="C122" s="162">
        <v>1.0598881992903828</v>
      </c>
      <c r="D122" s="162">
        <v>1.0697763985807653</v>
      </c>
      <c r="E122" s="125">
        <v>1.07</v>
      </c>
    </row>
    <row r="123" spans="1:5">
      <c r="A123" s="122" t="s">
        <v>171</v>
      </c>
      <c r="B123" s="161">
        <v>1.04</v>
      </c>
      <c r="C123" s="162">
        <v>1.0407329961793228</v>
      </c>
      <c r="D123" s="162">
        <v>1.0414659923586456</v>
      </c>
      <c r="E123" s="125">
        <v>1.04</v>
      </c>
    </row>
    <row r="124" spans="1:5">
      <c r="A124" s="122" t="s">
        <v>2090</v>
      </c>
      <c r="B124" s="161">
        <v>1.03</v>
      </c>
      <c r="C124" s="162">
        <v>1.0380979912387249</v>
      </c>
      <c r="D124" s="162">
        <v>1.04619598247745</v>
      </c>
      <c r="E124" s="125">
        <v>1.05</v>
      </c>
    </row>
    <row r="125" spans="1:5">
      <c r="A125" s="122" t="s">
        <v>993</v>
      </c>
      <c r="B125" s="161">
        <v>1.19</v>
      </c>
      <c r="C125" s="162">
        <v>1.2020877886401962</v>
      </c>
      <c r="D125" s="162">
        <v>1.2141755772803924</v>
      </c>
      <c r="E125" s="125">
        <v>1.21</v>
      </c>
    </row>
    <row r="126" spans="1:5">
      <c r="A126" s="122" t="s">
        <v>2126</v>
      </c>
      <c r="B126" s="161">
        <v>1.17</v>
      </c>
      <c r="C126" s="162">
        <v>1.1836715193836267</v>
      </c>
      <c r="D126" s="162">
        <v>1.1973430387672537</v>
      </c>
      <c r="E126" s="125">
        <v>1.2</v>
      </c>
    </row>
    <row r="127" spans="1:5">
      <c r="A127" s="122" t="s">
        <v>64</v>
      </c>
      <c r="B127" s="161">
        <v>1.1399999999999999</v>
      </c>
      <c r="C127" s="162">
        <v>1.1381000934548511</v>
      </c>
      <c r="D127" s="162">
        <v>1.1362001869097025</v>
      </c>
      <c r="E127" s="125">
        <v>1.1399999999999999</v>
      </c>
    </row>
    <row r="128" spans="1:5">
      <c r="A128" s="122" t="s">
        <v>2606</v>
      </c>
      <c r="B128" s="161">
        <v>1.17</v>
      </c>
      <c r="C128" s="162">
        <v>1.1688522758099076</v>
      </c>
      <c r="D128" s="162">
        <v>1.1677045516198155</v>
      </c>
      <c r="E128" s="125">
        <v>1.17</v>
      </c>
    </row>
    <row r="129" spans="1:5">
      <c r="A129" s="122" t="s">
        <v>1892</v>
      </c>
      <c r="B129" s="161">
        <v>1.1399999999999999</v>
      </c>
      <c r="C129" s="162">
        <v>1.1379248177880412</v>
      </c>
      <c r="D129" s="162">
        <v>1.1358496355760823</v>
      </c>
      <c r="E129" s="125">
        <v>1.1399999999999999</v>
      </c>
    </row>
    <row r="130" spans="1:5">
      <c r="A130" s="122" t="s">
        <v>812</v>
      </c>
      <c r="B130" s="161">
        <v>1.1399999999999999</v>
      </c>
      <c r="C130" s="162">
        <v>1.1358352661825699</v>
      </c>
      <c r="D130" s="162">
        <v>1.1316705323651399</v>
      </c>
      <c r="E130" s="125">
        <v>1.1299999999999999</v>
      </c>
    </row>
    <row r="131" spans="1:5">
      <c r="A131" s="122" t="s">
        <v>1490</v>
      </c>
      <c r="B131" s="161">
        <v>1.18</v>
      </c>
      <c r="C131" s="162">
        <v>1.1779366585958799</v>
      </c>
      <c r="D131" s="162">
        <v>1.1758733171917597</v>
      </c>
      <c r="E131" s="125">
        <v>1.18</v>
      </c>
    </row>
    <row r="132" spans="1:5">
      <c r="A132" s="122" t="s">
        <v>813</v>
      </c>
      <c r="B132" s="161">
        <v>1.1499999999999999</v>
      </c>
      <c r="C132" s="162">
        <v>1.1212080421867809</v>
      </c>
      <c r="D132" s="162">
        <v>1.0924160843735622</v>
      </c>
      <c r="E132" s="125">
        <v>1.0900000000000001</v>
      </c>
    </row>
    <row r="133" spans="1:5">
      <c r="A133" s="122" t="s">
        <v>534</v>
      </c>
      <c r="B133" s="161">
        <v>1.1499999999999999</v>
      </c>
      <c r="C133" s="162">
        <v>1.1311861270585344</v>
      </c>
      <c r="D133" s="162">
        <v>1.1123722541170691</v>
      </c>
      <c r="E133" s="125">
        <v>1.1100000000000001</v>
      </c>
    </row>
    <row r="134" spans="1:5">
      <c r="A134" s="122" t="s">
        <v>2673</v>
      </c>
      <c r="B134" s="161">
        <v>1.1200000000000001</v>
      </c>
      <c r="C134" s="162">
        <v>1.124763681926388</v>
      </c>
      <c r="D134" s="162">
        <v>1.1295273638527761</v>
      </c>
      <c r="E134" s="125">
        <v>1.1299999999999999</v>
      </c>
    </row>
    <row r="135" spans="1:5">
      <c r="A135" s="122" t="s">
        <v>1050</v>
      </c>
      <c r="B135" s="161">
        <v>1.06</v>
      </c>
      <c r="C135" s="162">
        <v>1.0694594489251275</v>
      </c>
      <c r="D135" s="162">
        <v>1.0789188978502551</v>
      </c>
      <c r="E135" s="125">
        <v>1.08</v>
      </c>
    </row>
    <row r="136" spans="1:5">
      <c r="A136" s="122" t="s">
        <v>1051</v>
      </c>
      <c r="B136" s="161">
        <v>1.06</v>
      </c>
      <c r="C136" s="162">
        <v>1.03</v>
      </c>
      <c r="D136" s="162">
        <v>1</v>
      </c>
      <c r="E136" s="125">
        <v>1</v>
      </c>
    </row>
    <row r="137" spans="1:5">
      <c r="A137" s="122" t="s">
        <v>879</v>
      </c>
      <c r="B137" s="161">
        <v>1.07</v>
      </c>
      <c r="C137" s="162">
        <v>1.051574184153556</v>
      </c>
      <c r="D137" s="162">
        <v>1.0331483683071121</v>
      </c>
      <c r="E137" s="125">
        <v>1.03</v>
      </c>
    </row>
    <row r="138" spans="1:5">
      <c r="A138" s="122" t="s">
        <v>2050</v>
      </c>
      <c r="B138" s="161">
        <v>1.06</v>
      </c>
      <c r="C138" s="162">
        <v>1.0382918284441063</v>
      </c>
      <c r="D138" s="162">
        <v>1.0165836568882125</v>
      </c>
      <c r="E138" s="125">
        <v>1.02</v>
      </c>
    </row>
    <row r="139" spans="1:5">
      <c r="A139" s="122" t="s">
        <v>1941</v>
      </c>
      <c r="B139" s="161">
        <v>1.05</v>
      </c>
      <c r="C139" s="162">
        <v>1.0589922334002644</v>
      </c>
      <c r="D139" s="162">
        <v>1.0679844668005285</v>
      </c>
      <c r="E139" s="125">
        <v>1.07</v>
      </c>
    </row>
    <row r="140" spans="1:5">
      <c r="A140" s="122" t="s">
        <v>1942</v>
      </c>
      <c r="B140" s="161">
        <v>1.04</v>
      </c>
      <c r="C140" s="162">
        <v>1.0425109531755061</v>
      </c>
      <c r="D140" s="162">
        <v>1.0450219063510122</v>
      </c>
      <c r="E140" s="125">
        <v>1.05</v>
      </c>
    </row>
    <row r="141" spans="1:5">
      <c r="A141" s="122" t="s">
        <v>842</v>
      </c>
      <c r="B141" s="161">
        <v>1.04</v>
      </c>
      <c r="C141" s="162">
        <v>1.055348843151416</v>
      </c>
      <c r="D141" s="162">
        <v>1.0706976863028319</v>
      </c>
      <c r="E141" s="125">
        <v>1.07</v>
      </c>
    </row>
    <row r="142" spans="1:5">
      <c r="A142" s="122" t="s">
        <v>843</v>
      </c>
      <c r="B142" s="161">
        <v>1.05</v>
      </c>
      <c r="C142" s="162">
        <v>1.0593891611453818</v>
      </c>
      <c r="D142" s="162">
        <v>1.0687783222907634</v>
      </c>
      <c r="E142" s="125">
        <v>1.07</v>
      </c>
    </row>
    <row r="143" spans="1:5">
      <c r="A143" s="122" t="s">
        <v>2142</v>
      </c>
      <c r="B143" s="161">
        <v>1.04</v>
      </c>
      <c r="C143" s="162">
        <v>1.0489790884563583</v>
      </c>
      <c r="D143" s="162">
        <v>1.0579581769127167</v>
      </c>
      <c r="E143" s="125">
        <v>1.06</v>
      </c>
    </row>
    <row r="144" spans="1:5">
      <c r="A144" s="122" t="s">
        <v>844</v>
      </c>
      <c r="B144" s="161">
        <v>1.05</v>
      </c>
      <c r="C144" s="162">
        <v>1.054805655883464</v>
      </c>
      <c r="D144" s="162">
        <v>1.0596113117669277</v>
      </c>
      <c r="E144" s="125">
        <v>1.06</v>
      </c>
    </row>
    <row r="145" spans="1:5">
      <c r="A145" s="122" t="s">
        <v>845</v>
      </c>
      <c r="B145" s="161">
        <v>1.0900000000000001</v>
      </c>
      <c r="C145" s="162">
        <v>1.0644455165798115</v>
      </c>
      <c r="D145" s="162">
        <v>1.0388910331596226</v>
      </c>
      <c r="E145" s="125">
        <v>1.04</v>
      </c>
    </row>
    <row r="146" spans="1:5">
      <c r="A146" s="122" t="s">
        <v>2226</v>
      </c>
      <c r="B146" s="161">
        <v>1.04</v>
      </c>
      <c r="C146" s="162">
        <v>1.0415572582704502</v>
      </c>
      <c r="D146" s="162">
        <v>1.0431145165409004</v>
      </c>
      <c r="E146" s="125">
        <v>1.04</v>
      </c>
    </row>
    <row r="147" spans="1:5">
      <c r="A147" s="122" t="s">
        <v>2227</v>
      </c>
      <c r="B147" s="161">
        <v>1.08</v>
      </c>
      <c r="C147" s="162">
        <v>1.0705622134673018</v>
      </c>
      <c r="D147" s="162">
        <v>1.0611244269346036</v>
      </c>
      <c r="E147" s="125">
        <v>1.06</v>
      </c>
    </row>
    <row r="148" spans="1:5">
      <c r="A148" s="122" t="s">
        <v>2788</v>
      </c>
      <c r="B148" s="161">
        <v>1.0900000000000001</v>
      </c>
      <c r="C148" s="162">
        <v>1.0624132815966902</v>
      </c>
      <c r="D148" s="162">
        <v>1.0348265631933804</v>
      </c>
      <c r="E148" s="125">
        <v>1.03</v>
      </c>
    </row>
    <row r="149" spans="1:5">
      <c r="A149" s="122" t="s">
        <v>2904</v>
      </c>
      <c r="B149" s="161">
        <v>1.05</v>
      </c>
      <c r="C149" s="162">
        <v>1.0435479751558794</v>
      </c>
      <c r="D149" s="162">
        <v>1.0370959503117587</v>
      </c>
      <c r="E149" s="125">
        <v>1.04</v>
      </c>
    </row>
    <row r="150" spans="1:5">
      <c r="A150" s="122" t="s">
        <v>1840</v>
      </c>
      <c r="B150" s="161">
        <v>1.1200000000000001</v>
      </c>
      <c r="C150" s="162">
        <v>1.1424046141986743</v>
      </c>
      <c r="D150" s="162">
        <v>1.1648092283973486</v>
      </c>
      <c r="E150" s="125">
        <v>1.1599999999999999</v>
      </c>
    </row>
    <row r="151" spans="1:5">
      <c r="A151" s="122" t="s">
        <v>2789</v>
      </c>
      <c r="B151" s="161">
        <v>1.1200000000000001</v>
      </c>
      <c r="C151" s="162">
        <v>1.1478427698395073</v>
      </c>
      <c r="D151" s="162">
        <v>1.1756855396790145</v>
      </c>
      <c r="E151" s="125">
        <v>1.18</v>
      </c>
    </row>
    <row r="152" spans="1:5">
      <c r="A152" s="122" t="s">
        <v>316</v>
      </c>
      <c r="B152" s="161">
        <v>1.1100000000000001</v>
      </c>
      <c r="C152" s="162">
        <v>1.1429052051702016</v>
      </c>
      <c r="D152" s="162">
        <v>1.1758104103404032</v>
      </c>
      <c r="E152" s="125">
        <v>1.18</v>
      </c>
    </row>
    <row r="153" spans="1:5">
      <c r="A153" s="122" t="s">
        <v>1658</v>
      </c>
      <c r="B153" s="161">
        <v>1.05</v>
      </c>
      <c r="C153" s="162">
        <v>1.0521756721817437</v>
      </c>
      <c r="D153" s="162">
        <v>1.0543513443634873</v>
      </c>
      <c r="E153" s="125">
        <v>1.05</v>
      </c>
    </row>
    <row r="154" spans="1:5">
      <c r="A154" s="122" t="s">
        <v>50</v>
      </c>
      <c r="B154" s="161">
        <v>1.06</v>
      </c>
      <c r="C154" s="162">
        <v>1.0714455670739624</v>
      </c>
      <c r="D154" s="162">
        <v>1.0828911341479248</v>
      </c>
      <c r="E154" s="125">
        <v>1.08</v>
      </c>
    </row>
    <row r="155" spans="1:5">
      <c r="A155" s="122" t="s">
        <v>1486</v>
      </c>
      <c r="B155" s="161">
        <v>1.05</v>
      </c>
      <c r="C155" s="162">
        <v>1.064239928709235</v>
      </c>
      <c r="D155" s="162">
        <v>1.07847985741847</v>
      </c>
      <c r="E155" s="125">
        <v>1.08</v>
      </c>
    </row>
    <row r="156" spans="1:5">
      <c r="A156" s="122" t="s">
        <v>2907</v>
      </c>
      <c r="B156" s="161">
        <v>1.04</v>
      </c>
      <c r="C156" s="162">
        <v>1.0497323279756405</v>
      </c>
      <c r="D156" s="162">
        <v>1.059464655951281</v>
      </c>
      <c r="E156" s="125">
        <v>1.06</v>
      </c>
    </row>
    <row r="157" spans="1:5">
      <c r="A157" s="122" t="s">
        <v>1659</v>
      </c>
      <c r="B157" s="161">
        <v>1.03</v>
      </c>
      <c r="C157" s="162">
        <v>1.0364503863085723</v>
      </c>
      <c r="D157" s="162">
        <v>1.0429007726171446</v>
      </c>
      <c r="E157" s="125">
        <v>1.04</v>
      </c>
    </row>
    <row r="158" spans="1:5">
      <c r="A158" s="122" t="s">
        <v>84</v>
      </c>
      <c r="B158" s="161">
        <v>1.04</v>
      </c>
      <c r="C158" s="162">
        <v>1.0569608255419467</v>
      </c>
      <c r="D158" s="162">
        <v>1.0739216510838934</v>
      </c>
      <c r="E158" s="125">
        <v>1.07</v>
      </c>
    </row>
    <row r="159" spans="1:5">
      <c r="A159" s="122" t="s">
        <v>1270</v>
      </c>
      <c r="B159" s="161">
        <v>1.06</v>
      </c>
      <c r="C159" s="162">
        <v>1.0462856008632795</v>
      </c>
      <c r="D159" s="162">
        <v>1.0325712017265589</v>
      </c>
      <c r="E159" s="125">
        <v>1.03</v>
      </c>
    </row>
    <row r="160" spans="1:5">
      <c r="A160" s="122" t="s">
        <v>2482</v>
      </c>
      <c r="B160" s="161">
        <v>1.05</v>
      </c>
      <c r="C160" s="162">
        <v>1.0591921188305995</v>
      </c>
      <c r="D160" s="162">
        <v>1.0683842376611987</v>
      </c>
      <c r="E160" s="125">
        <v>1.07</v>
      </c>
    </row>
    <row r="161" spans="1:5">
      <c r="A161" s="122" t="s">
        <v>814</v>
      </c>
      <c r="B161" s="161">
        <v>1.05</v>
      </c>
      <c r="C161" s="162">
        <v>1.0517487036692739</v>
      </c>
      <c r="D161" s="162">
        <v>1.0534974073385475</v>
      </c>
      <c r="E161" s="125">
        <v>1.05</v>
      </c>
    </row>
    <row r="162" spans="1:5">
      <c r="A162" s="122" t="s">
        <v>2483</v>
      </c>
      <c r="B162" s="161">
        <v>1.06</v>
      </c>
      <c r="C162" s="162">
        <v>1.0476724663448391</v>
      </c>
      <c r="D162" s="162">
        <v>1.0353449326896782</v>
      </c>
      <c r="E162" s="125">
        <v>1.04</v>
      </c>
    </row>
    <row r="163" spans="1:5">
      <c r="A163" s="122" t="s">
        <v>1883</v>
      </c>
      <c r="B163" s="161">
        <v>1.06</v>
      </c>
      <c r="C163" s="162">
        <v>1.0473963134974595</v>
      </c>
      <c r="D163" s="162">
        <v>1.034792626994919</v>
      </c>
      <c r="E163" s="125">
        <v>1.03</v>
      </c>
    </row>
    <row r="164" spans="1:5">
      <c r="A164" s="122" t="s">
        <v>1884</v>
      </c>
      <c r="B164" s="161">
        <v>1.0900000000000001</v>
      </c>
      <c r="C164" s="162">
        <v>1.0610286122980077</v>
      </c>
      <c r="D164" s="162">
        <v>1.0320572245960153</v>
      </c>
      <c r="E164" s="125">
        <v>1.03</v>
      </c>
    </row>
    <row r="165" spans="1:5">
      <c r="A165" s="122" t="s">
        <v>899</v>
      </c>
      <c r="B165" s="161">
        <v>1.08</v>
      </c>
      <c r="C165" s="162">
        <v>1.0525253101313772</v>
      </c>
      <c r="D165" s="162">
        <v>1.0250506202627543</v>
      </c>
      <c r="E165" s="125">
        <v>1.03</v>
      </c>
    </row>
    <row r="166" spans="1:5">
      <c r="A166" s="122" t="s">
        <v>900</v>
      </c>
      <c r="B166" s="161">
        <v>1.05</v>
      </c>
      <c r="C166" s="162">
        <v>1.0549315308376745</v>
      </c>
      <c r="D166" s="162">
        <v>1.0598630616753493</v>
      </c>
      <c r="E166" s="125">
        <v>1.06</v>
      </c>
    </row>
    <row r="167" spans="1:5">
      <c r="A167" s="122" t="s">
        <v>922</v>
      </c>
      <c r="B167" s="161">
        <v>1.05</v>
      </c>
      <c r="C167" s="162">
        <v>1.0518246158727851</v>
      </c>
      <c r="D167" s="162">
        <v>1.0536492317455703</v>
      </c>
      <c r="E167" s="125">
        <v>1.05</v>
      </c>
    </row>
    <row r="168" spans="1:5">
      <c r="A168" s="122" t="s">
        <v>630</v>
      </c>
      <c r="B168" s="161">
        <v>1.03</v>
      </c>
      <c r="C168" s="162">
        <v>1.0439349689716866</v>
      </c>
      <c r="D168" s="162">
        <v>1.0578699379433734</v>
      </c>
      <c r="E168" s="125">
        <v>1.06</v>
      </c>
    </row>
    <row r="169" spans="1:5">
      <c r="A169" s="122" t="s">
        <v>2712</v>
      </c>
      <c r="B169" s="161">
        <v>1.03</v>
      </c>
      <c r="C169" s="162">
        <v>1.0312065494770226</v>
      </c>
      <c r="D169" s="162">
        <v>1.032413098954045</v>
      </c>
      <c r="E169" s="125">
        <v>1.03</v>
      </c>
    </row>
    <row r="170" spans="1:5">
      <c r="A170" s="122" t="s">
        <v>923</v>
      </c>
      <c r="B170" s="161">
        <v>1.03</v>
      </c>
      <c r="C170" s="162">
        <v>1.0368066215738816</v>
      </c>
      <c r="D170" s="162">
        <v>1.0436132431477632</v>
      </c>
      <c r="E170" s="125">
        <v>1.04</v>
      </c>
    </row>
    <row r="171" spans="1:5">
      <c r="A171" s="122" t="s">
        <v>1954</v>
      </c>
      <c r="B171" s="161">
        <v>1.05</v>
      </c>
      <c r="C171" s="162">
        <v>1.0450322642632304</v>
      </c>
      <c r="D171" s="162">
        <v>1.0400645285264607</v>
      </c>
      <c r="E171" s="125">
        <v>1.04</v>
      </c>
    </row>
    <row r="172" spans="1:5">
      <c r="A172" s="122" t="s">
        <v>638</v>
      </c>
      <c r="B172" s="161">
        <v>1.1200000000000001</v>
      </c>
      <c r="C172" s="162">
        <v>1.1676550767792109</v>
      </c>
      <c r="D172" s="162">
        <v>1.2153101535584214</v>
      </c>
      <c r="E172" s="125">
        <v>1.22</v>
      </c>
    </row>
    <row r="173" spans="1:5">
      <c r="A173" s="122" t="s">
        <v>1841</v>
      </c>
      <c r="B173" s="161">
        <v>1.0900000000000001</v>
      </c>
      <c r="C173" s="162">
        <v>1.1187494134906273</v>
      </c>
      <c r="D173" s="162">
        <v>1.1474988269812547</v>
      </c>
      <c r="E173" s="125">
        <v>1.1499999999999999</v>
      </c>
    </row>
    <row r="174" spans="1:5">
      <c r="A174" s="122" t="s">
        <v>2862</v>
      </c>
      <c r="B174" s="161">
        <v>1.0900000000000001</v>
      </c>
      <c r="C174" s="162">
        <v>1.1211337024729682</v>
      </c>
      <c r="D174" s="162">
        <v>1.1522674049459363</v>
      </c>
      <c r="E174" s="125">
        <v>1.1499999999999999</v>
      </c>
    </row>
    <row r="175" spans="1:5">
      <c r="A175" s="122" t="s">
        <v>1900</v>
      </c>
      <c r="B175" s="161">
        <v>1.08</v>
      </c>
      <c r="C175" s="162">
        <v>1.1055016696465463</v>
      </c>
      <c r="D175" s="162">
        <v>1.1310033392930925</v>
      </c>
      <c r="E175" s="125">
        <v>1.1299999999999999</v>
      </c>
    </row>
    <row r="176" spans="1:5">
      <c r="A176" s="122" t="s">
        <v>1605</v>
      </c>
      <c r="B176" s="161">
        <v>1.0900000000000001</v>
      </c>
      <c r="C176" s="162">
        <v>1.1480095832165427</v>
      </c>
      <c r="D176" s="162">
        <v>1.2060191664330853</v>
      </c>
      <c r="E176" s="125">
        <v>1.21</v>
      </c>
    </row>
    <row r="177" spans="1:5">
      <c r="A177" s="122" t="s">
        <v>2895</v>
      </c>
      <c r="B177" s="161">
        <v>1.1200000000000001</v>
      </c>
      <c r="C177" s="162">
        <v>1.1679662484951241</v>
      </c>
      <c r="D177" s="162">
        <v>1.2159324969902481</v>
      </c>
      <c r="E177" s="125">
        <v>1.22</v>
      </c>
    </row>
    <row r="178" spans="1:5">
      <c r="A178" s="122" t="s">
        <v>724</v>
      </c>
      <c r="B178" s="161">
        <v>1.08</v>
      </c>
      <c r="C178" s="162">
        <v>1.1015498484870763</v>
      </c>
      <c r="D178" s="162">
        <v>1.1230996969741525</v>
      </c>
      <c r="E178" s="125">
        <v>1.1200000000000001</v>
      </c>
    </row>
    <row r="179" spans="1:5">
      <c r="A179" s="122" t="s">
        <v>725</v>
      </c>
      <c r="B179" s="161">
        <v>1.1299999999999999</v>
      </c>
      <c r="C179" s="162">
        <v>1.1934302181375114</v>
      </c>
      <c r="D179" s="162">
        <v>1.2568604362750229</v>
      </c>
      <c r="E179" s="125">
        <v>1.26</v>
      </c>
    </row>
    <row r="180" spans="1:5">
      <c r="A180" s="122" t="s">
        <v>246</v>
      </c>
      <c r="B180" s="161">
        <v>1.0900000000000001</v>
      </c>
      <c r="C180" s="162">
        <v>1.1192007489658398</v>
      </c>
      <c r="D180" s="162">
        <v>1.1484014979316792</v>
      </c>
      <c r="E180" s="125">
        <v>1.1499999999999999</v>
      </c>
    </row>
    <row r="181" spans="1:5">
      <c r="A181" s="122" t="s">
        <v>1780</v>
      </c>
      <c r="B181" s="161">
        <v>1.07</v>
      </c>
      <c r="C181" s="162">
        <v>1.1037634527518616</v>
      </c>
      <c r="D181" s="162">
        <v>1.1375269055037232</v>
      </c>
      <c r="E181" s="125">
        <v>1.1399999999999999</v>
      </c>
    </row>
    <row r="182" spans="1:5">
      <c r="A182" s="122" t="s">
        <v>1351</v>
      </c>
      <c r="B182" s="161">
        <v>1.1000000000000001</v>
      </c>
      <c r="C182" s="162">
        <v>1.1456245864444154</v>
      </c>
      <c r="D182" s="162">
        <v>1.191249172888831</v>
      </c>
      <c r="E182" s="125">
        <v>1.19</v>
      </c>
    </row>
    <row r="183" spans="1:5">
      <c r="A183" s="122" t="s">
        <v>990</v>
      </c>
      <c r="B183" s="161">
        <v>1.08</v>
      </c>
      <c r="C183" s="162">
        <v>1.10402290763873</v>
      </c>
      <c r="D183" s="162">
        <v>1.12804581527746</v>
      </c>
      <c r="E183" s="125">
        <v>1.1299999999999999</v>
      </c>
    </row>
    <row r="184" spans="1:5">
      <c r="A184" s="122" t="s">
        <v>1619</v>
      </c>
      <c r="B184" s="161">
        <v>1.08</v>
      </c>
      <c r="C184" s="162">
        <v>1.1093414971824553</v>
      </c>
      <c r="D184" s="162">
        <v>1.1386829943649104</v>
      </c>
      <c r="E184" s="125">
        <v>1.1399999999999999</v>
      </c>
    </row>
    <row r="185" spans="1:5">
      <c r="A185" s="122" t="s">
        <v>281</v>
      </c>
      <c r="B185" s="161">
        <v>1.07</v>
      </c>
      <c r="C185" s="162">
        <v>1.1012839850477103</v>
      </c>
      <c r="D185" s="162">
        <v>1.1325679700954205</v>
      </c>
      <c r="E185" s="125">
        <v>1.1299999999999999</v>
      </c>
    </row>
    <row r="186" spans="1:5">
      <c r="A186" s="122" t="s">
        <v>282</v>
      </c>
      <c r="B186" s="161">
        <v>1.08</v>
      </c>
      <c r="C186" s="162">
        <v>1.0793891872069061</v>
      </c>
      <c r="D186" s="162">
        <v>1.0787783744138122</v>
      </c>
      <c r="E186" s="125">
        <v>1.08</v>
      </c>
    </row>
    <row r="187" spans="1:5">
      <c r="A187" s="122" t="s">
        <v>642</v>
      </c>
      <c r="B187" s="161">
        <v>1.07</v>
      </c>
      <c r="C187" s="162">
        <v>1.0642752059876774</v>
      </c>
      <c r="D187" s="162">
        <v>1.0585504119753546</v>
      </c>
      <c r="E187" s="125">
        <v>1.06</v>
      </c>
    </row>
    <row r="188" spans="1:5">
      <c r="A188" s="122" t="s">
        <v>1617</v>
      </c>
      <c r="B188" s="161">
        <v>1.07</v>
      </c>
      <c r="C188" s="162">
        <v>1.0798714412572359</v>
      </c>
      <c r="D188" s="162">
        <v>1.0897428825144717</v>
      </c>
      <c r="E188" s="125">
        <v>1.0900000000000001</v>
      </c>
    </row>
    <row r="189" spans="1:5">
      <c r="A189" s="122" t="s">
        <v>643</v>
      </c>
      <c r="B189" s="161">
        <v>1.08</v>
      </c>
      <c r="C189" s="162">
        <v>1.0863931202857144</v>
      </c>
      <c r="D189" s="162">
        <v>1.0927862405714288</v>
      </c>
      <c r="E189" s="125">
        <v>1.0900000000000001</v>
      </c>
    </row>
    <row r="190" spans="1:5">
      <c r="A190" s="122" t="s">
        <v>34</v>
      </c>
      <c r="B190" s="161">
        <v>1.07</v>
      </c>
      <c r="C190" s="162">
        <v>1.0800694775924331</v>
      </c>
      <c r="D190" s="162">
        <v>1.0901389551848661</v>
      </c>
      <c r="E190" s="125">
        <v>1.0900000000000001</v>
      </c>
    </row>
    <row r="191" spans="1:5">
      <c r="A191" s="122" t="s">
        <v>35</v>
      </c>
      <c r="B191" s="161">
        <v>1.08</v>
      </c>
      <c r="C191" s="162">
        <v>1.1419487018664931</v>
      </c>
      <c r="D191" s="162">
        <v>1.2038974037329861</v>
      </c>
      <c r="E191" s="125">
        <v>1.2</v>
      </c>
    </row>
    <row r="192" spans="1:5">
      <c r="A192" s="122" t="s">
        <v>1437</v>
      </c>
      <c r="B192" s="161">
        <v>1.0900000000000001</v>
      </c>
      <c r="C192" s="162">
        <v>1.1590779787455365</v>
      </c>
      <c r="D192" s="162">
        <v>1.2281559574910728</v>
      </c>
      <c r="E192" s="125">
        <v>1.23</v>
      </c>
    </row>
    <row r="193" spans="1:5">
      <c r="A193" s="122" t="s">
        <v>2644</v>
      </c>
      <c r="B193" s="161">
        <v>1.04</v>
      </c>
      <c r="C193" s="162">
        <v>1.0463113134343431</v>
      </c>
      <c r="D193" s="162">
        <v>1.0526226268686865</v>
      </c>
      <c r="E193" s="125">
        <v>1.05</v>
      </c>
    </row>
    <row r="194" spans="1:5">
      <c r="A194" s="122" t="s">
        <v>2763</v>
      </c>
      <c r="B194" s="161">
        <v>1.04</v>
      </c>
      <c r="C194" s="162">
        <v>1.037839385516786</v>
      </c>
      <c r="D194" s="162">
        <v>1.0356787710335722</v>
      </c>
      <c r="E194" s="125">
        <v>1.04</v>
      </c>
    </row>
    <row r="195" spans="1:5">
      <c r="A195" s="122" t="s">
        <v>2672</v>
      </c>
      <c r="B195" s="161">
        <v>1.05</v>
      </c>
      <c r="C195" s="162">
        <v>1.0360949776998361</v>
      </c>
      <c r="D195" s="162">
        <v>1.0221899553996721</v>
      </c>
      <c r="E195" s="125">
        <v>1.02</v>
      </c>
    </row>
    <row r="196" spans="1:5">
      <c r="A196" s="122" t="s">
        <v>2645</v>
      </c>
      <c r="B196" s="161">
        <v>1.04</v>
      </c>
      <c r="C196" s="162">
        <v>1.0317751947363039</v>
      </c>
      <c r="D196" s="162">
        <v>1.0235503894726077</v>
      </c>
      <c r="E196" s="125">
        <v>1.02</v>
      </c>
    </row>
    <row r="197" spans="1:5">
      <c r="A197" s="122" t="s">
        <v>2646</v>
      </c>
      <c r="B197" s="161">
        <v>1.04</v>
      </c>
      <c r="C197" s="162">
        <v>1.0557998943527371</v>
      </c>
      <c r="D197" s="162">
        <v>1.0715997887054742</v>
      </c>
      <c r="E197" s="125">
        <v>1.07</v>
      </c>
    </row>
    <row r="198" spans="1:5">
      <c r="A198" s="122" t="s">
        <v>331</v>
      </c>
      <c r="B198" s="161">
        <v>1.06</v>
      </c>
      <c r="C198" s="162">
        <v>1.0610770010182624</v>
      </c>
      <c r="D198" s="162">
        <v>1.0621540020365245</v>
      </c>
      <c r="E198" s="125">
        <v>1.06</v>
      </c>
    </row>
    <row r="199" spans="1:5">
      <c r="A199" s="122" t="s">
        <v>1607</v>
      </c>
      <c r="B199" s="161">
        <v>1.0900000000000001</v>
      </c>
      <c r="C199" s="162">
        <v>1.0945995694344477</v>
      </c>
      <c r="D199" s="162">
        <v>1.0991991388688955</v>
      </c>
      <c r="E199" s="125">
        <v>1.1000000000000001</v>
      </c>
    </row>
    <row r="200" spans="1:5">
      <c r="A200" s="122" t="s">
        <v>332</v>
      </c>
      <c r="B200" s="161">
        <v>1.07</v>
      </c>
      <c r="C200" s="162">
        <v>1.0777055030504803</v>
      </c>
      <c r="D200" s="162">
        <v>1.0854110061009603</v>
      </c>
      <c r="E200" s="125">
        <v>1.0900000000000001</v>
      </c>
    </row>
    <row r="201" spans="1:5">
      <c r="A201" s="122" t="s">
        <v>2863</v>
      </c>
      <c r="B201" s="161">
        <v>1.07</v>
      </c>
      <c r="C201" s="162">
        <v>1.0750643012305536</v>
      </c>
      <c r="D201" s="162">
        <v>1.0801286024611074</v>
      </c>
      <c r="E201" s="125">
        <v>1.08</v>
      </c>
    </row>
    <row r="202" spans="1:5">
      <c r="A202" s="122" t="s">
        <v>333</v>
      </c>
      <c r="B202" s="161">
        <v>1.07</v>
      </c>
      <c r="C202" s="162">
        <v>1.0810579030808141</v>
      </c>
      <c r="D202" s="162">
        <v>1.0921158061616283</v>
      </c>
      <c r="E202" s="125">
        <v>1.0900000000000001</v>
      </c>
    </row>
    <row r="203" spans="1:5">
      <c r="A203" s="122" t="s">
        <v>334</v>
      </c>
      <c r="B203" s="161">
        <v>1.06</v>
      </c>
      <c r="C203" s="162">
        <v>1.065041644181439</v>
      </c>
      <c r="D203" s="162">
        <v>1.0700832883628779</v>
      </c>
      <c r="E203" s="125">
        <v>1.07</v>
      </c>
    </row>
    <row r="204" spans="1:5">
      <c r="A204" s="122" t="s">
        <v>335</v>
      </c>
      <c r="B204" s="161">
        <v>1.06</v>
      </c>
      <c r="C204" s="162">
        <v>1.0708634162178903</v>
      </c>
      <c r="D204" s="162">
        <v>1.0817268324357805</v>
      </c>
      <c r="E204" s="125">
        <v>1.08</v>
      </c>
    </row>
    <row r="205" spans="1:5">
      <c r="A205" s="122" t="s">
        <v>1962</v>
      </c>
      <c r="B205" s="161">
        <v>1.08</v>
      </c>
      <c r="C205" s="162">
        <v>1.069697441587385</v>
      </c>
      <c r="D205" s="162">
        <v>1.0593948831747699</v>
      </c>
      <c r="E205" s="125">
        <v>1.06</v>
      </c>
    </row>
    <row r="206" spans="1:5">
      <c r="A206" s="122" t="s">
        <v>1963</v>
      </c>
      <c r="B206" s="161">
        <v>1.08</v>
      </c>
      <c r="C206" s="162">
        <v>1.0693515811650041</v>
      </c>
      <c r="D206" s="162">
        <v>1.0587031623300081</v>
      </c>
      <c r="E206" s="125">
        <v>1.06</v>
      </c>
    </row>
    <row r="207" spans="1:5">
      <c r="A207" s="122" t="s">
        <v>1492</v>
      </c>
      <c r="B207" s="161">
        <v>1.04</v>
      </c>
      <c r="C207" s="162">
        <v>1.039755243626048</v>
      </c>
      <c r="D207" s="162">
        <v>1.0395104872520959</v>
      </c>
      <c r="E207" s="125">
        <v>1.04</v>
      </c>
    </row>
    <row r="208" spans="1:5">
      <c r="A208" s="122" t="s">
        <v>1267</v>
      </c>
      <c r="B208" s="161">
        <v>1.05</v>
      </c>
      <c r="C208" s="162">
        <v>1.069191841024939</v>
      </c>
      <c r="D208" s="162">
        <v>1.088383682049878</v>
      </c>
      <c r="E208" s="125">
        <v>1.0900000000000001</v>
      </c>
    </row>
    <row r="209" spans="1:5">
      <c r="A209" s="122" t="s">
        <v>2462</v>
      </c>
      <c r="B209" s="161">
        <v>1.05</v>
      </c>
      <c r="C209" s="162">
        <v>1.0430914369669391</v>
      </c>
      <c r="D209" s="162">
        <v>1.0361828739338781</v>
      </c>
      <c r="E209" s="125">
        <v>1.04</v>
      </c>
    </row>
    <row r="210" spans="1:5">
      <c r="A210" s="122" t="s">
        <v>1268</v>
      </c>
      <c r="B210" s="161">
        <v>1.04</v>
      </c>
      <c r="C210" s="162">
        <v>1.0384283373733552</v>
      </c>
      <c r="D210" s="162">
        <v>1.0368566747467105</v>
      </c>
      <c r="E210" s="125">
        <v>1.04</v>
      </c>
    </row>
    <row r="211" spans="1:5">
      <c r="A211" s="122" t="s">
        <v>2752</v>
      </c>
      <c r="B211" s="161">
        <v>1.0900000000000001</v>
      </c>
      <c r="C211" s="162">
        <v>1.1057463107869463</v>
      </c>
      <c r="D211" s="162">
        <v>1.1214926215738923</v>
      </c>
      <c r="E211" s="125">
        <v>1.1200000000000001</v>
      </c>
    </row>
    <row r="212" spans="1:5">
      <c r="A212" s="122" t="s">
        <v>1269</v>
      </c>
      <c r="B212" s="161">
        <v>1.07</v>
      </c>
      <c r="C212" s="162">
        <v>1.0660778723049251</v>
      </c>
      <c r="D212" s="162">
        <v>1.06215574460985</v>
      </c>
      <c r="E212" s="125">
        <v>1.06</v>
      </c>
    </row>
    <row r="213" spans="1:5">
      <c r="A213" s="122" t="s">
        <v>779</v>
      </c>
      <c r="B213" s="161">
        <v>1.1100000000000001</v>
      </c>
      <c r="C213" s="162">
        <v>1.0916599362249959</v>
      </c>
      <c r="D213" s="162">
        <v>1.0733198724499917</v>
      </c>
      <c r="E213" s="125">
        <v>1.07</v>
      </c>
    </row>
    <row r="214" spans="1:5">
      <c r="A214" s="122" t="s">
        <v>780</v>
      </c>
      <c r="B214" s="161">
        <v>1.1100000000000001</v>
      </c>
      <c r="C214" s="162">
        <v>1.1034627843719167</v>
      </c>
      <c r="D214" s="162">
        <v>1.0969255687438335</v>
      </c>
      <c r="E214" s="125">
        <v>1.1000000000000001</v>
      </c>
    </row>
    <row r="215" spans="1:5">
      <c r="A215" s="122" t="s">
        <v>781</v>
      </c>
      <c r="B215" s="161">
        <v>1.07</v>
      </c>
      <c r="C215" s="162">
        <v>1.0429653906068821</v>
      </c>
      <c r="D215" s="162">
        <v>1.0159307812137641</v>
      </c>
      <c r="E215" s="125">
        <v>1.02</v>
      </c>
    </row>
    <row r="216" spans="1:5">
      <c r="A216" s="122" t="s">
        <v>782</v>
      </c>
      <c r="B216" s="161">
        <v>1.07</v>
      </c>
      <c r="C216" s="162">
        <v>1.0425816891005204</v>
      </c>
      <c r="D216" s="162">
        <v>1.0151633782010407</v>
      </c>
      <c r="E216" s="125">
        <v>1.02</v>
      </c>
    </row>
    <row r="217" spans="1:5">
      <c r="A217" s="122" t="s">
        <v>428</v>
      </c>
      <c r="B217" s="161">
        <v>1.07</v>
      </c>
      <c r="C217" s="162">
        <v>1.0469172430837257</v>
      </c>
      <c r="D217" s="162">
        <v>1.0238344861674513</v>
      </c>
      <c r="E217" s="125">
        <v>1.02</v>
      </c>
    </row>
    <row r="218" spans="1:5">
      <c r="A218" s="122" t="s">
        <v>2928</v>
      </c>
      <c r="B218" s="161">
        <v>1.0900000000000001</v>
      </c>
      <c r="C218" s="162">
        <v>1.0758955502078797</v>
      </c>
      <c r="D218" s="162">
        <v>1.0617911004157596</v>
      </c>
      <c r="E218" s="125">
        <v>1.06</v>
      </c>
    </row>
    <row r="219" spans="1:5">
      <c r="A219" s="122" t="s">
        <v>2929</v>
      </c>
      <c r="B219" s="161">
        <v>1.0900000000000001</v>
      </c>
      <c r="C219" s="162">
        <v>1.0812519400767107</v>
      </c>
      <c r="D219" s="162">
        <v>1.072503880153421</v>
      </c>
      <c r="E219" s="125">
        <v>1.07</v>
      </c>
    </row>
    <row r="220" spans="1:5">
      <c r="A220" s="122" t="s">
        <v>2930</v>
      </c>
      <c r="B220" s="161">
        <v>1.08</v>
      </c>
      <c r="C220" s="162">
        <v>1.0707359846178508</v>
      </c>
      <c r="D220" s="162">
        <v>1.0614719692357015</v>
      </c>
      <c r="E220" s="125">
        <v>1.06</v>
      </c>
    </row>
    <row r="221" spans="1:5">
      <c r="A221" s="122" t="s">
        <v>1843</v>
      </c>
      <c r="B221" s="161">
        <v>1.1399999999999999</v>
      </c>
      <c r="C221" s="162">
        <v>1.2021740566867543</v>
      </c>
      <c r="D221" s="162">
        <v>1.2643481133735088</v>
      </c>
      <c r="E221" s="125">
        <v>1.26</v>
      </c>
    </row>
    <row r="222" spans="1:5">
      <c r="A222" s="122" t="s">
        <v>421</v>
      </c>
      <c r="B222" s="161">
        <v>1.1200000000000001</v>
      </c>
      <c r="C222" s="162">
        <v>1.1660001060604066</v>
      </c>
      <c r="D222" s="162">
        <v>1.2120002121208131</v>
      </c>
      <c r="E222" s="125">
        <v>1.21</v>
      </c>
    </row>
    <row r="223" spans="1:5">
      <c r="A223" s="122" t="s">
        <v>422</v>
      </c>
      <c r="B223" s="161">
        <v>1.1599999999999999</v>
      </c>
      <c r="C223" s="162">
        <v>1.2167109987797373</v>
      </c>
      <c r="D223" s="162">
        <v>1.2734219975594747</v>
      </c>
      <c r="E223" s="125">
        <v>1.27</v>
      </c>
    </row>
    <row r="224" spans="1:5">
      <c r="A224" s="122" t="s">
        <v>423</v>
      </c>
      <c r="B224" s="161">
        <v>1.1299999999999999</v>
      </c>
      <c r="C224" s="162">
        <v>1.1733597959721103</v>
      </c>
      <c r="D224" s="162">
        <v>1.2167195919442206</v>
      </c>
      <c r="E224" s="125">
        <v>1.22</v>
      </c>
    </row>
    <row r="225" spans="1:5">
      <c r="A225" s="122" t="s">
        <v>424</v>
      </c>
      <c r="B225" s="161">
        <v>1.1399999999999999</v>
      </c>
      <c r="C225" s="162">
        <v>1.1869412080644395</v>
      </c>
      <c r="D225" s="162">
        <v>1.2338824161288791</v>
      </c>
      <c r="E225" s="125">
        <v>1.23</v>
      </c>
    </row>
    <row r="226" spans="1:5">
      <c r="A226" s="122" t="s">
        <v>2973</v>
      </c>
      <c r="B226" s="161">
        <v>1.1399999999999999</v>
      </c>
      <c r="C226" s="162">
        <v>1.2035592643942667</v>
      </c>
      <c r="D226" s="162">
        <v>1.2671185287885338</v>
      </c>
      <c r="E226" s="125">
        <v>1.27</v>
      </c>
    </row>
    <row r="227" spans="1:5">
      <c r="A227" s="122" t="s">
        <v>741</v>
      </c>
      <c r="B227" s="161">
        <v>1.1399999999999999</v>
      </c>
      <c r="C227" s="162">
        <v>1.1988366609126757</v>
      </c>
      <c r="D227" s="162">
        <v>1.2576733218253513</v>
      </c>
      <c r="E227" s="125">
        <v>1.26</v>
      </c>
    </row>
    <row r="228" spans="1:5">
      <c r="A228" s="122" t="s">
        <v>579</v>
      </c>
      <c r="B228" s="161">
        <v>1.1200000000000001</v>
      </c>
      <c r="C228" s="162">
        <v>1.1710417825102299</v>
      </c>
      <c r="D228" s="162">
        <v>1.2220835650204598</v>
      </c>
      <c r="E228" s="125">
        <v>1.22</v>
      </c>
    </row>
    <row r="229" spans="1:5">
      <c r="A229" s="122" t="s">
        <v>48</v>
      </c>
      <c r="B229" s="161">
        <v>1.1399999999999999</v>
      </c>
      <c r="C229" s="162">
        <v>1.2067967960587775</v>
      </c>
      <c r="D229" s="162">
        <v>1.2735935921175552</v>
      </c>
      <c r="E229" s="125">
        <v>1.27</v>
      </c>
    </row>
    <row r="230" spans="1:5">
      <c r="A230" s="122" t="s">
        <v>2028</v>
      </c>
      <c r="B230" s="161">
        <v>1.1200000000000001</v>
      </c>
      <c r="C230" s="162">
        <v>1.1597128149074725</v>
      </c>
      <c r="D230" s="162">
        <v>1.199425629814945</v>
      </c>
      <c r="E230" s="125">
        <v>1.2</v>
      </c>
    </row>
    <row r="231" spans="1:5">
      <c r="A231" s="122" t="s">
        <v>2898</v>
      </c>
      <c r="B231" s="161">
        <v>1.1399999999999999</v>
      </c>
      <c r="C231" s="162">
        <v>1.2074705723680639</v>
      </c>
      <c r="D231" s="162">
        <v>1.2749411447361276</v>
      </c>
      <c r="E231" s="125">
        <v>1.27</v>
      </c>
    </row>
    <row r="232" spans="1:5">
      <c r="A232" s="122" t="s">
        <v>2029</v>
      </c>
      <c r="B232" s="161">
        <v>1.1399999999999999</v>
      </c>
      <c r="C232" s="162">
        <v>1.2047508933917517</v>
      </c>
      <c r="D232" s="162">
        <v>1.2695017867835034</v>
      </c>
      <c r="E232" s="125">
        <v>1.27</v>
      </c>
    </row>
    <row r="233" spans="1:5">
      <c r="A233" s="122" t="s">
        <v>3087</v>
      </c>
      <c r="B233" s="161">
        <v>1.08</v>
      </c>
      <c r="C233" s="162">
        <v>1.109919078909724</v>
      </c>
      <c r="D233" s="162">
        <v>1.1398381578194479</v>
      </c>
      <c r="E233" s="125">
        <v>1.1399999999999999</v>
      </c>
    </row>
    <row r="234" spans="1:5">
      <c r="A234" s="122" t="s">
        <v>276</v>
      </c>
      <c r="B234" s="161">
        <v>1.1200000000000001</v>
      </c>
      <c r="C234" s="162">
        <v>1.1553412855477756</v>
      </c>
      <c r="D234" s="162">
        <v>1.1906825710955511</v>
      </c>
      <c r="E234" s="125">
        <v>1.19</v>
      </c>
    </row>
    <row r="235" spans="1:5">
      <c r="A235" s="122" t="s">
        <v>277</v>
      </c>
      <c r="B235" s="161">
        <v>1.1100000000000001</v>
      </c>
      <c r="C235" s="162">
        <v>1.1656787687995407</v>
      </c>
      <c r="D235" s="162">
        <v>1.2213575375990813</v>
      </c>
      <c r="E235" s="125">
        <v>1.22</v>
      </c>
    </row>
    <row r="236" spans="1:5">
      <c r="A236" s="122" t="s">
        <v>278</v>
      </c>
      <c r="B236" s="161">
        <v>1.1100000000000001</v>
      </c>
      <c r="C236" s="162">
        <v>1.0800818154356508</v>
      </c>
      <c r="D236" s="162">
        <v>1.0501636308713016</v>
      </c>
      <c r="E236" s="125">
        <v>1.05</v>
      </c>
    </row>
    <row r="237" spans="1:5">
      <c r="A237" s="122" t="s">
        <v>279</v>
      </c>
      <c r="B237" s="161">
        <v>1.08</v>
      </c>
      <c r="C237" s="162">
        <v>1.0590176619229135</v>
      </c>
      <c r="D237" s="162">
        <v>1.0380353238458269</v>
      </c>
      <c r="E237" s="125">
        <v>1.04</v>
      </c>
    </row>
    <row r="238" spans="1:5">
      <c r="A238" s="122" t="s">
        <v>280</v>
      </c>
      <c r="B238" s="161">
        <v>1.1299999999999999</v>
      </c>
      <c r="C238" s="162">
        <v>1.0941985554796041</v>
      </c>
      <c r="D238" s="162">
        <v>1.0583971109592083</v>
      </c>
      <c r="E238" s="125">
        <v>1.06</v>
      </c>
    </row>
    <row r="239" spans="1:5">
      <c r="A239" s="122" t="s">
        <v>408</v>
      </c>
      <c r="B239" s="161">
        <v>1.08</v>
      </c>
      <c r="C239" s="162">
        <v>1.0578248860563058</v>
      </c>
      <c r="D239" s="162">
        <v>1.0356497721126112</v>
      </c>
      <c r="E239" s="125">
        <v>1.04</v>
      </c>
    </row>
    <row r="240" spans="1:5">
      <c r="A240" s="122" t="s">
        <v>2130</v>
      </c>
      <c r="B240" s="161">
        <v>1.0900000000000001</v>
      </c>
      <c r="C240" s="162">
        <v>1.0774326537801682</v>
      </c>
      <c r="D240" s="162">
        <v>1.0648653075603363</v>
      </c>
      <c r="E240" s="125">
        <v>1.06</v>
      </c>
    </row>
    <row r="241" spans="1:5">
      <c r="A241" s="122" t="s">
        <v>1220</v>
      </c>
      <c r="B241" s="161">
        <v>1.05</v>
      </c>
      <c r="C241" s="162">
        <v>1.042131121424174</v>
      </c>
      <c r="D241" s="162">
        <v>1.0342622428483479</v>
      </c>
      <c r="E241" s="125">
        <v>1.03</v>
      </c>
    </row>
    <row r="242" spans="1:5">
      <c r="A242" s="122" t="s">
        <v>1221</v>
      </c>
      <c r="B242" s="161">
        <v>1.03</v>
      </c>
      <c r="C242" s="162">
        <v>1.053008347486339</v>
      </c>
      <c r="D242" s="162">
        <v>1.0760166949726777</v>
      </c>
      <c r="E242" s="125">
        <v>1.08</v>
      </c>
    </row>
    <row r="243" spans="1:5">
      <c r="A243" s="122" t="s">
        <v>711</v>
      </c>
      <c r="B243" s="161">
        <v>1.06</v>
      </c>
      <c r="C243" s="162">
        <v>1.0628170503461289</v>
      </c>
      <c r="D243" s="162">
        <v>1.0656341006922581</v>
      </c>
      <c r="E243" s="125">
        <v>1.07</v>
      </c>
    </row>
    <row r="244" spans="1:5">
      <c r="A244" s="122" t="s">
        <v>1222</v>
      </c>
      <c r="B244" s="161">
        <v>1.1399999999999999</v>
      </c>
      <c r="C244" s="162">
        <v>1.1736725293942158</v>
      </c>
      <c r="D244" s="162">
        <v>1.2073450587884318</v>
      </c>
      <c r="E244" s="125">
        <v>1.21</v>
      </c>
    </row>
    <row r="245" spans="1:5">
      <c r="A245" s="122" t="s">
        <v>1989</v>
      </c>
      <c r="B245" s="161">
        <v>1.1399999999999999</v>
      </c>
      <c r="C245" s="162">
        <v>1.1962597728567843</v>
      </c>
      <c r="D245" s="162">
        <v>1.2525195457135689</v>
      </c>
      <c r="E245" s="125">
        <v>1.25</v>
      </c>
    </row>
    <row r="246" spans="1:5">
      <c r="A246" s="122" t="s">
        <v>240</v>
      </c>
      <c r="B246" s="161">
        <v>1.08</v>
      </c>
      <c r="C246" s="162">
        <v>1.1159499792379715</v>
      </c>
      <c r="D246" s="162">
        <v>1.1518999584759428</v>
      </c>
      <c r="E246" s="125">
        <v>1.1499999999999999</v>
      </c>
    </row>
    <row r="247" spans="1:5">
      <c r="A247" s="122" t="s">
        <v>815</v>
      </c>
      <c r="B247" s="161">
        <v>1.08</v>
      </c>
      <c r="C247" s="162">
        <v>1.1011857068498538</v>
      </c>
      <c r="D247" s="162">
        <v>1.1223714136997078</v>
      </c>
      <c r="E247" s="125">
        <v>1.1200000000000001</v>
      </c>
    </row>
    <row r="248" spans="1:5">
      <c r="A248" s="122" t="s">
        <v>242</v>
      </c>
      <c r="B248" s="161">
        <v>1.07</v>
      </c>
      <c r="C248" s="162">
        <v>1.0970864055660094</v>
      </c>
      <c r="D248" s="162">
        <v>1.1241728111320188</v>
      </c>
      <c r="E248" s="125">
        <v>1.1200000000000001</v>
      </c>
    </row>
    <row r="249" spans="1:5">
      <c r="A249" s="122" t="s">
        <v>1893</v>
      </c>
      <c r="B249" s="161">
        <v>1.08</v>
      </c>
      <c r="C249" s="162">
        <v>1.1048601483536005</v>
      </c>
      <c r="D249" s="162">
        <v>1.1297202967072009</v>
      </c>
      <c r="E249" s="125">
        <v>1.1299999999999999</v>
      </c>
    </row>
    <row r="250" spans="1:5">
      <c r="A250" s="122" t="s">
        <v>532</v>
      </c>
      <c r="B250" s="161">
        <v>1.0900000000000001</v>
      </c>
      <c r="C250" s="162">
        <v>1.1147223972431721</v>
      </c>
      <c r="D250" s="162">
        <v>1.1394447944863442</v>
      </c>
      <c r="E250" s="125">
        <v>1.1399999999999999</v>
      </c>
    </row>
    <row r="251" spans="1:5">
      <c r="A251" s="122" t="s">
        <v>2099</v>
      </c>
      <c r="B251" s="161">
        <v>1.08</v>
      </c>
      <c r="C251" s="162">
        <v>1.1060696250186257</v>
      </c>
      <c r="D251" s="162">
        <v>1.1321392500372514</v>
      </c>
      <c r="E251" s="125">
        <v>1.1299999999999999</v>
      </c>
    </row>
    <row r="252" spans="1:5">
      <c r="A252" s="122" t="s">
        <v>1590</v>
      </c>
      <c r="B252" s="161">
        <v>1.1100000000000001</v>
      </c>
      <c r="C252" s="162">
        <v>1.1551538673297259</v>
      </c>
      <c r="D252" s="162">
        <v>1.2003077346594517</v>
      </c>
      <c r="E252" s="125">
        <v>1.2</v>
      </c>
    </row>
    <row r="253" spans="1:5">
      <c r="A253" s="122" t="s">
        <v>68</v>
      </c>
      <c r="B253" s="161">
        <v>1.0900000000000001</v>
      </c>
      <c r="C253" s="162">
        <v>1.1264898174057985</v>
      </c>
      <c r="D253" s="162">
        <v>1.1629796348115971</v>
      </c>
      <c r="E253" s="125">
        <v>1.1599999999999999</v>
      </c>
    </row>
    <row r="254" spans="1:5">
      <c r="A254" s="122" t="s">
        <v>712</v>
      </c>
      <c r="B254" s="161">
        <v>1.08</v>
      </c>
      <c r="C254" s="162">
        <v>1.1182328594157624</v>
      </c>
      <c r="D254" s="162">
        <v>1.156465718831525</v>
      </c>
      <c r="E254" s="125">
        <v>1.1599999999999999</v>
      </c>
    </row>
    <row r="255" spans="1:5">
      <c r="A255" s="122" t="s">
        <v>2864</v>
      </c>
      <c r="B255" s="161">
        <v>1.08</v>
      </c>
      <c r="C255" s="162">
        <v>1.082890999962276</v>
      </c>
      <c r="D255" s="162">
        <v>1.0857819999245519</v>
      </c>
      <c r="E255" s="125">
        <v>1.0900000000000001</v>
      </c>
    </row>
    <row r="256" spans="1:5">
      <c r="A256" s="122" t="s">
        <v>2100</v>
      </c>
      <c r="B256" s="161">
        <v>1.0900000000000001</v>
      </c>
      <c r="C256" s="162">
        <v>1.0715541218600984</v>
      </c>
      <c r="D256" s="162">
        <v>1.0531082437201968</v>
      </c>
      <c r="E256" s="125">
        <v>1.05</v>
      </c>
    </row>
    <row r="257" spans="1:5">
      <c r="A257" s="122" t="s">
        <v>1352</v>
      </c>
      <c r="B257" s="161">
        <v>1.07</v>
      </c>
      <c r="C257" s="162">
        <v>1.0795450580140926</v>
      </c>
      <c r="D257" s="162">
        <v>1.0890901160281854</v>
      </c>
      <c r="E257" s="125">
        <v>1.0900000000000001</v>
      </c>
    </row>
    <row r="258" spans="1:5">
      <c r="A258" s="122" t="s">
        <v>2101</v>
      </c>
      <c r="B258" s="161">
        <v>1.06</v>
      </c>
      <c r="C258" s="162">
        <v>1.0684890610498035</v>
      </c>
      <c r="D258" s="162">
        <v>1.0769781220996069</v>
      </c>
      <c r="E258" s="125">
        <v>1.08</v>
      </c>
    </row>
    <row r="259" spans="1:5">
      <c r="A259" s="122" t="s">
        <v>796</v>
      </c>
      <c r="B259" s="161">
        <v>1.0900000000000001</v>
      </c>
      <c r="C259" s="162">
        <v>1.0699092104747725</v>
      </c>
      <c r="D259" s="162">
        <v>1.0498184209495449</v>
      </c>
      <c r="E259" s="125">
        <v>1.05</v>
      </c>
    </row>
    <row r="260" spans="1:5">
      <c r="A260" s="122" t="s">
        <v>330</v>
      </c>
      <c r="B260" s="161">
        <v>1.07</v>
      </c>
      <c r="C260" s="162">
        <v>1.0613986655514234</v>
      </c>
      <c r="D260" s="162">
        <v>1.0527973311028469</v>
      </c>
      <c r="E260" s="125">
        <v>1.05</v>
      </c>
    </row>
    <row r="261" spans="1:5">
      <c r="A261" s="122" t="s">
        <v>203</v>
      </c>
      <c r="B261" s="161">
        <v>1.06</v>
      </c>
      <c r="C261" s="162">
        <v>1.0481817236559254</v>
      </c>
      <c r="D261" s="162">
        <v>1.036363447311851</v>
      </c>
      <c r="E261" s="125">
        <v>1.04</v>
      </c>
    </row>
    <row r="262" spans="1:5">
      <c r="A262" s="122" t="s">
        <v>204</v>
      </c>
      <c r="B262" s="161">
        <v>1.0900000000000001</v>
      </c>
      <c r="C262" s="162">
        <v>1.0619096840675075</v>
      </c>
      <c r="D262" s="162">
        <v>1.033819368135015</v>
      </c>
      <c r="E262" s="125">
        <v>1.03</v>
      </c>
    </row>
    <row r="263" spans="1:5">
      <c r="A263" s="122" t="s">
        <v>816</v>
      </c>
      <c r="B263" s="161">
        <v>1.1200000000000001</v>
      </c>
      <c r="C263" s="162">
        <v>1.1137300960092396</v>
      </c>
      <c r="D263" s="162">
        <v>1.1074601920184788</v>
      </c>
      <c r="E263" s="125">
        <v>1.1100000000000001</v>
      </c>
    </row>
    <row r="264" spans="1:5">
      <c r="A264" s="122" t="s">
        <v>3025</v>
      </c>
      <c r="B264" s="161">
        <v>1.07</v>
      </c>
      <c r="C264" s="162">
        <v>1.0638423741137504</v>
      </c>
      <c r="D264" s="162">
        <v>1.0576847482275007</v>
      </c>
      <c r="E264" s="125">
        <v>1.06</v>
      </c>
    </row>
    <row r="265" spans="1:5">
      <c r="A265" s="122" t="s">
        <v>1753</v>
      </c>
      <c r="B265" s="161">
        <v>1.07</v>
      </c>
      <c r="C265" s="162">
        <v>1.0596839082698288</v>
      </c>
      <c r="D265" s="162">
        <v>1.0493678165396576</v>
      </c>
      <c r="E265" s="125">
        <v>1.05</v>
      </c>
    </row>
    <row r="266" spans="1:5">
      <c r="A266" s="122" t="s">
        <v>3026</v>
      </c>
      <c r="B266" s="161">
        <v>1.1200000000000001</v>
      </c>
      <c r="C266" s="162">
        <v>1.0897887239042849</v>
      </c>
      <c r="D266" s="162">
        <v>1.0595774478085696</v>
      </c>
      <c r="E266" s="125">
        <v>1.06</v>
      </c>
    </row>
    <row r="267" spans="1:5">
      <c r="A267" s="122" t="s">
        <v>3027</v>
      </c>
      <c r="B267" s="161">
        <v>1.1100000000000001</v>
      </c>
      <c r="C267" s="162">
        <v>1.0984576173491019</v>
      </c>
      <c r="D267" s="162">
        <v>1.0869152346982038</v>
      </c>
      <c r="E267" s="125">
        <v>1.0900000000000001</v>
      </c>
    </row>
    <row r="268" spans="1:5">
      <c r="A268" s="122" t="s">
        <v>817</v>
      </c>
      <c r="B268" s="161">
        <v>1.1200000000000001</v>
      </c>
      <c r="C268" s="162">
        <v>1.1091339407041811</v>
      </c>
      <c r="D268" s="162">
        <v>1.0982678814083624</v>
      </c>
      <c r="E268" s="125">
        <v>1.1000000000000001</v>
      </c>
    </row>
    <row r="269" spans="1:5">
      <c r="A269" s="122" t="s">
        <v>776</v>
      </c>
      <c r="B269" s="161">
        <v>1.08</v>
      </c>
      <c r="C269" s="162">
        <v>1.0934473791969226</v>
      </c>
      <c r="D269" s="162">
        <v>1.1068947583938453</v>
      </c>
      <c r="E269" s="125">
        <v>1.1100000000000001</v>
      </c>
    </row>
    <row r="270" spans="1:5">
      <c r="A270" s="122" t="s">
        <v>2463</v>
      </c>
      <c r="B270" s="161">
        <v>1.04</v>
      </c>
      <c r="C270" s="162">
        <v>1.046097788473592</v>
      </c>
      <c r="D270" s="162">
        <v>1.052195576947184</v>
      </c>
      <c r="E270" s="125">
        <v>1.05</v>
      </c>
    </row>
    <row r="271" spans="1:5">
      <c r="A271" s="122" t="s">
        <v>2620</v>
      </c>
      <c r="B271" s="161">
        <v>1.05</v>
      </c>
      <c r="C271" s="162">
        <v>1.0511378758694194</v>
      </c>
      <c r="D271" s="162">
        <v>1.0522757517388388</v>
      </c>
      <c r="E271" s="125">
        <v>1.05</v>
      </c>
    </row>
    <row r="272" spans="1:5">
      <c r="A272" s="122" t="s">
        <v>2007</v>
      </c>
      <c r="B272" s="161">
        <v>1.04</v>
      </c>
      <c r="C272" s="162">
        <v>1.0356846705471916</v>
      </c>
      <c r="D272" s="162">
        <v>1.0313693410943832</v>
      </c>
      <c r="E272" s="125">
        <v>1.03</v>
      </c>
    </row>
    <row r="273" spans="1:5">
      <c r="A273" s="122" t="s">
        <v>672</v>
      </c>
      <c r="B273" s="161">
        <v>1.05</v>
      </c>
      <c r="C273" s="162">
        <v>1.0401588992115043</v>
      </c>
      <c r="D273" s="162">
        <v>1.0303177984230083</v>
      </c>
      <c r="E273" s="125">
        <v>1.03</v>
      </c>
    </row>
    <row r="274" spans="1:5">
      <c r="A274" s="122" t="s">
        <v>1034</v>
      </c>
      <c r="B274" s="161">
        <v>1.05</v>
      </c>
      <c r="C274" s="162">
        <v>1.042546072981263</v>
      </c>
      <c r="D274" s="162">
        <v>1.0350921459625262</v>
      </c>
      <c r="E274" s="125">
        <v>1.04</v>
      </c>
    </row>
    <row r="275" spans="1:5">
      <c r="A275" s="122" t="s">
        <v>2442</v>
      </c>
      <c r="B275" s="161">
        <v>1.1399999999999999</v>
      </c>
      <c r="C275" s="162">
        <v>1.1555800778338803</v>
      </c>
      <c r="D275" s="162">
        <v>1.1711601556677607</v>
      </c>
      <c r="E275" s="125">
        <v>1.17</v>
      </c>
    </row>
    <row r="276" spans="1:5">
      <c r="A276" s="122" t="s">
        <v>2976</v>
      </c>
      <c r="B276" s="161">
        <v>1.0900000000000001</v>
      </c>
      <c r="C276" s="162">
        <v>1.0765391163260354</v>
      </c>
      <c r="D276" s="162">
        <v>1.0630782326520705</v>
      </c>
      <c r="E276" s="125">
        <v>1.06</v>
      </c>
    </row>
    <row r="277" spans="1:5">
      <c r="A277" s="122" t="s">
        <v>2745</v>
      </c>
      <c r="B277" s="161">
        <v>1.08</v>
      </c>
      <c r="C277" s="162">
        <v>1.065452921782406</v>
      </c>
      <c r="D277" s="162">
        <v>1.0509058435648122</v>
      </c>
      <c r="E277" s="125">
        <v>1.05</v>
      </c>
    </row>
    <row r="278" spans="1:5">
      <c r="A278" s="122" t="s">
        <v>274</v>
      </c>
      <c r="B278" s="161">
        <v>1.0900000000000001</v>
      </c>
      <c r="C278" s="162">
        <v>1.0867261272507336</v>
      </c>
      <c r="D278" s="162">
        <v>1.0834522545014671</v>
      </c>
      <c r="E278" s="125">
        <v>1.08</v>
      </c>
    </row>
    <row r="279" spans="1:5">
      <c r="A279" s="122" t="s">
        <v>1585</v>
      </c>
      <c r="B279" s="161">
        <v>1.1100000000000001</v>
      </c>
      <c r="C279" s="162">
        <v>1.1413098966176709</v>
      </c>
      <c r="D279" s="162">
        <v>1.1726197932353419</v>
      </c>
      <c r="E279" s="125">
        <v>1.17</v>
      </c>
    </row>
    <row r="280" spans="1:5">
      <c r="A280" s="122" t="s">
        <v>1586</v>
      </c>
      <c r="B280" s="161">
        <v>1.0900000000000001</v>
      </c>
      <c r="C280" s="162">
        <v>1.1280588505597267</v>
      </c>
      <c r="D280" s="162">
        <v>1.1661177011194532</v>
      </c>
      <c r="E280" s="125">
        <v>1.17</v>
      </c>
    </row>
    <row r="281" spans="1:5">
      <c r="A281" s="122" t="s">
        <v>818</v>
      </c>
      <c r="B281" s="161">
        <v>1.0900000000000001</v>
      </c>
      <c r="C281" s="162">
        <v>1.0951653563149792</v>
      </c>
      <c r="D281" s="162">
        <v>1.1003307126299584</v>
      </c>
      <c r="E281" s="125">
        <v>1.1000000000000001</v>
      </c>
    </row>
    <row r="282" spans="1:5">
      <c r="A282" s="122" t="s">
        <v>1581</v>
      </c>
      <c r="B282" s="161">
        <v>1.1100000000000001</v>
      </c>
      <c r="C282" s="162">
        <v>1.1478099506108443</v>
      </c>
      <c r="D282" s="162">
        <v>1.1856199012216884</v>
      </c>
      <c r="E282" s="125">
        <v>1.19</v>
      </c>
    </row>
    <row r="283" spans="1:5">
      <c r="A283" s="122" t="s">
        <v>1049</v>
      </c>
      <c r="B283" s="161">
        <v>1.1000000000000001</v>
      </c>
      <c r="C283" s="162">
        <v>1.0878902079833339</v>
      </c>
      <c r="D283" s="162">
        <v>1.0757804159666677</v>
      </c>
      <c r="E283" s="125">
        <v>1.08</v>
      </c>
    </row>
    <row r="284" spans="1:5">
      <c r="A284" s="122" t="s">
        <v>275</v>
      </c>
      <c r="B284" s="161">
        <v>1.08</v>
      </c>
      <c r="C284" s="162">
        <v>1.1093934332283313</v>
      </c>
      <c r="D284" s="162">
        <v>1.1387868664566627</v>
      </c>
      <c r="E284" s="125">
        <v>1.1399999999999999</v>
      </c>
    </row>
    <row r="285" spans="1:5">
      <c r="A285" s="122" t="s">
        <v>2382</v>
      </c>
      <c r="B285" s="161">
        <v>1.1100000000000001</v>
      </c>
      <c r="C285" s="162">
        <v>1.1525009227568377</v>
      </c>
      <c r="D285" s="162">
        <v>1.1950018455136753</v>
      </c>
      <c r="E285" s="125">
        <v>1.2</v>
      </c>
    </row>
    <row r="286" spans="1:5">
      <c r="A286" s="122" t="s">
        <v>375</v>
      </c>
      <c r="B286" s="161">
        <v>1.1100000000000001</v>
      </c>
      <c r="C286" s="162">
        <v>1.1510595696104486</v>
      </c>
      <c r="D286" s="162">
        <v>1.1921191392208974</v>
      </c>
      <c r="E286" s="125">
        <v>1.19</v>
      </c>
    </row>
    <row r="287" spans="1:5">
      <c r="A287" s="122" t="s">
        <v>819</v>
      </c>
      <c r="B287" s="161">
        <v>1.08</v>
      </c>
      <c r="C287" s="162">
        <v>1.099927588394408</v>
      </c>
      <c r="D287" s="162">
        <v>1.1198551767888156</v>
      </c>
      <c r="E287" s="125">
        <v>1.1200000000000001</v>
      </c>
    </row>
    <row r="288" spans="1:5">
      <c r="A288" s="122" t="s">
        <v>629</v>
      </c>
      <c r="B288" s="161">
        <v>1.1200000000000001</v>
      </c>
      <c r="C288" s="162">
        <v>1.158542031406117</v>
      </c>
      <c r="D288" s="162">
        <v>1.1970840628122341</v>
      </c>
      <c r="E288" s="125">
        <v>1.2</v>
      </c>
    </row>
    <row r="289" spans="1:5">
      <c r="A289" s="122" t="s">
        <v>2767</v>
      </c>
      <c r="B289" s="161">
        <v>1.1399999999999999</v>
      </c>
      <c r="C289" s="162">
        <v>1.1853499250434689</v>
      </c>
      <c r="D289" s="162">
        <v>1.2306998500869379</v>
      </c>
      <c r="E289" s="125">
        <v>1.23</v>
      </c>
    </row>
    <row r="290" spans="1:5">
      <c r="A290" s="122" t="s">
        <v>878</v>
      </c>
      <c r="B290" s="161">
        <v>1.1299999999999999</v>
      </c>
      <c r="C290" s="162">
        <v>1.1449056255521723</v>
      </c>
      <c r="D290" s="162">
        <v>1.1598112511043448</v>
      </c>
      <c r="E290" s="125">
        <v>1.1599999999999999</v>
      </c>
    </row>
    <row r="291" spans="1:5">
      <c r="A291" s="122" t="s">
        <v>212</v>
      </c>
      <c r="B291" s="161">
        <v>1.1399999999999999</v>
      </c>
      <c r="C291" s="162">
        <v>1.1544286151346936</v>
      </c>
      <c r="D291" s="162">
        <v>1.1688572302693876</v>
      </c>
      <c r="E291" s="125">
        <v>1.17</v>
      </c>
    </row>
    <row r="292" spans="1:5">
      <c r="A292" s="122" t="s">
        <v>1353</v>
      </c>
      <c r="B292" s="161">
        <v>1.1399999999999999</v>
      </c>
      <c r="C292" s="162">
        <v>1.1911433836241452</v>
      </c>
      <c r="D292" s="162">
        <v>1.2422867672482905</v>
      </c>
      <c r="E292" s="125">
        <v>1.24</v>
      </c>
    </row>
    <row r="293" spans="1:5">
      <c r="A293" s="122" t="s">
        <v>2401</v>
      </c>
      <c r="B293" s="161">
        <v>1.1000000000000001</v>
      </c>
      <c r="C293" s="162">
        <v>1.1100014983971835</v>
      </c>
      <c r="D293" s="162">
        <v>1.120002996794367</v>
      </c>
      <c r="E293" s="125">
        <v>1.1200000000000001</v>
      </c>
    </row>
    <row r="294" spans="1:5">
      <c r="A294" s="122" t="s">
        <v>2157</v>
      </c>
      <c r="B294" s="161">
        <v>1.1299999999999999</v>
      </c>
      <c r="C294" s="162">
        <v>1.150071939154977</v>
      </c>
      <c r="D294" s="162">
        <v>1.170143878309954</v>
      </c>
      <c r="E294" s="125">
        <v>1.17</v>
      </c>
    </row>
    <row r="295" spans="1:5">
      <c r="A295" s="122" t="s">
        <v>1710</v>
      </c>
      <c r="B295" s="161">
        <v>1.1299999999999999</v>
      </c>
      <c r="C295" s="162">
        <v>1.1322013168347524</v>
      </c>
      <c r="D295" s="162">
        <v>1.134402633669505</v>
      </c>
      <c r="E295" s="125">
        <v>1.1299999999999999</v>
      </c>
    </row>
    <row r="296" spans="1:5">
      <c r="A296" s="122" t="s">
        <v>1315</v>
      </c>
      <c r="B296" s="161">
        <v>1.1499999999999999</v>
      </c>
      <c r="C296" s="162">
        <v>1.1973774215630888</v>
      </c>
      <c r="D296" s="162">
        <v>1.2447548431261777</v>
      </c>
      <c r="E296" s="125">
        <v>1.24</v>
      </c>
    </row>
    <row r="297" spans="1:5">
      <c r="A297" s="122" t="s">
        <v>2768</v>
      </c>
      <c r="B297" s="161">
        <v>1.07</v>
      </c>
      <c r="C297" s="162">
        <v>1.04465891580071</v>
      </c>
      <c r="D297" s="162">
        <v>1.01931783160142</v>
      </c>
      <c r="E297" s="125">
        <v>1.02</v>
      </c>
    </row>
    <row r="298" spans="1:5">
      <c r="A298" s="122" t="s">
        <v>2769</v>
      </c>
      <c r="B298" s="161">
        <v>1.05</v>
      </c>
      <c r="C298" s="162">
        <v>1.0525237078830036</v>
      </c>
      <c r="D298" s="162">
        <v>1.055047415766007</v>
      </c>
      <c r="E298" s="125">
        <v>1.06</v>
      </c>
    </row>
    <row r="299" spans="1:5">
      <c r="A299" s="122" t="s">
        <v>1704</v>
      </c>
      <c r="B299" s="161">
        <v>1.08</v>
      </c>
      <c r="C299" s="162">
        <v>1.0708886495599901</v>
      </c>
      <c r="D299" s="162">
        <v>1.0617772991199801</v>
      </c>
      <c r="E299" s="125">
        <v>1.06</v>
      </c>
    </row>
    <row r="300" spans="1:5">
      <c r="A300" s="122" t="s">
        <v>2091</v>
      </c>
      <c r="B300" s="161">
        <v>1.06</v>
      </c>
      <c r="C300" s="162">
        <v>1.0444202028344125</v>
      </c>
      <c r="D300" s="162">
        <v>1.028840405668825</v>
      </c>
      <c r="E300" s="125">
        <v>1.03</v>
      </c>
    </row>
    <row r="301" spans="1:5">
      <c r="A301" s="122" t="s">
        <v>2092</v>
      </c>
      <c r="B301" s="161">
        <v>1.06</v>
      </c>
      <c r="C301" s="162">
        <v>1.049493204118078</v>
      </c>
      <c r="D301" s="162">
        <v>1.0389864082361557</v>
      </c>
      <c r="E301" s="125">
        <v>1.04</v>
      </c>
    </row>
    <row r="302" spans="1:5">
      <c r="A302" s="122" t="s">
        <v>1400</v>
      </c>
      <c r="B302" s="161">
        <v>1.06</v>
      </c>
      <c r="C302" s="162">
        <v>1.0530558504851264</v>
      </c>
      <c r="D302" s="162">
        <v>1.046111700970253</v>
      </c>
      <c r="E302" s="125">
        <v>1.05</v>
      </c>
    </row>
    <row r="303" spans="1:5">
      <c r="A303" s="122" t="s">
        <v>2093</v>
      </c>
      <c r="B303" s="161">
        <v>1.06</v>
      </c>
      <c r="C303" s="162">
        <v>1.046047113415185</v>
      </c>
      <c r="D303" s="162">
        <v>1.0320942268303699</v>
      </c>
      <c r="E303" s="125">
        <v>1.03</v>
      </c>
    </row>
    <row r="304" spans="1:5">
      <c r="A304" s="122" t="s">
        <v>229</v>
      </c>
      <c r="B304" s="161">
        <v>1.07</v>
      </c>
      <c r="C304" s="162">
        <v>1.0521091710324639</v>
      </c>
      <c r="D304" s="162">
        <v>1.034218342064928</v>
      </c>
      <c r="E304" s="125">
        <v>1.03</v>
      </c>
    </row>
    <row r="305" spans="1:5">
      <c r="A305" s="122" t="s">
        <v>2095</v>
      </c>
      <c r="B305" s="161">
        <v>1.08</v>
      </c>
      <c r="C305" s="162">
        <v>1.0687450104634322</v>
      </c>
      <c r="D305" s="162">
        <v>1.0574900209268643</v>
      </c>
      <c r="E305" s="125">
        <v>1.06</v>
      </c>
    </row>
    <row r="306" spans="1:5">
      <c r="A306" s="122" t="s">
        <v>2103</v>
      </c>
      <c r="B306" s="161">
        <v>1.06</v>
      </c>
      <c r="C306" s="162">
        <v>1.0465219746650853</v>
      </c>
      <c r="D306" s="162">
        <v>1.0330439493301706</v>
      </c>
      <c r="E306" s="125">
        <v>1.03</v>
      </c>
    </row>
    <row r="307" spans="1:5">
      <c r="A307" s="122" t="s">
        <v>230</v>
      </c>
      <c r="B307" s="161">
        <v>1.05</v>
      </c>
      <c r="C307" s="162">
        <v>1.0531197751001935</v>
      </c>
      <c r="D307" s="162">
        <v>1.0562395502003872</v>
      </c>
      <c r="E307" s="125">
        <v>1.06</v>
      </c>
    </row>
    <row r="308" spans="1:5">
      <c r="A308" s="122" t="s">
        <v>231</v>
      </c>
      <c r="B308" s="161">
        <v>1.08</v>
      </c>
      <c r="C308" s="162">
        <v>1.0775932023841908</v>
      </c>
      <c r="D308" s="162">
        <v>1.0751864047683815</v>
      </c>
      <c r="E308" s="125">
        <v>1.08</v>
      </c>
    </row>
    <row r="309" spans="1:5">
      <c r="A309" s="122" t="s">
        <v>1401</v>
      </c>
      <c r="B309" s="161">
        <v>1.08</v>
      </c>
      <c r="C309" s="162">
        <v>1.0637018343020768</v>
      </c>
      <c r="D309" s="162">
        <v>1.0474036686041537</v>
      </c>
      <c r="E309" s="125">
        <v>1.05</v>
      </c>
    </row>
    <row r="310" spans="1:5">
      <c r="A310" s="122" t="s">
        <v>820</v>
      </c>
      <c r="B310" s="161">
        <v>1.07</v>
      </c>
      <c r="C310" s="162">
        <v>1.0587856151866615</v>
      </c>
      <c r="D310" s="162">
        <v>1.0475712303733231</v>
      </c>
      <c r="E310" s="125">
        <v>1.05</v>
      </c>
    </row>
    <row r="311" spans="1:5">
      <c r="A311" s="122" t="s">
        <v>232</v>
      </c>
      <c r="B311" s="161">
        <v>1.07</v>
      </c>
      <c r="C311" s="162">
        <v>1.0636098585074918</v>
      </c>
      <c r="D311" s="162">
        <v>1.0572197170149833</v>
      </c>
      <c r="E311" s="125">
        <v>1.06</v>
      </c>
    </row>
    <row r="312" spans="1:5">
      <c r="A312" s="122" t="s">
        <v>233</v>
      </c>
      <c r="B312" s="161">
        <v>1.07</v>
      </c>
      <c r="C312" s="162">
        <v>1.0653796691290851</v>
      </c>
      <c r="D312" s="162">
        <v>1.0607593382581704</v>
      </c>
      <c r="E312" s="125">
        <v>1.06</v>
      </c>
    </row>
    <row r="313" spans="1:5">
      <c r="A313" s="122" t="s">
        <v>1960</v>
      </c>
      <c r="B313" s="161">
        <v>1.06</v>
      </c>
      <c r="C313" s="162">
        <v>1.0547725516439304</v>
      </c>
      <c r="D313" s="162">
        <v>1.0495451032878609</v>
      </c>
      <c r="E313" s="125">
        <v>1.05</v>
      </c>
    </row>
    <row r="314" spans="1:5">
      <c r="A314" s="122" t="s">
        <v>1961</v>
      </c>
      <c r="B314" s="161">
        <v>1.06</v>
      </c>
      <c r="C314" s="162">
        <v>1.0586020493214954</v>
      </c>
      <c r="D314" s="162">
        <v>1.0572040986429909</v>
      </c>
      <c r="E314" s="125">
        <v>1.06</v>
      </c>
    </row>
    <row r="315" spans="1:5">
      <c r="A315" s="122" t="s">
        <v>1402</v>
      </c>
      <c r="B315" s="161">
        <v>1.06</v>
      </c>
      <c r="C315" s="162">
        <v>1.0600750093125053</v>
      </c>
      <c r="D315" s="162">
        <v>1.0601500186250106</v>
      </c>
      <c r="E315" s="125">
        <v>1.06</v>
      </c>
    </row>
    <row r="316" spans="1:5">
      <c r="A316" s="122" t="s">
        <v>2948</v>
      </c>
      <c r="B316" s="161">
        <v>1.05</v>
      </c>
      <c r="C316" s="162">
        <v>1.0683666228528028</v>
      </c>
      <c r="D316" s="162">
        <v>1.0867332457056054</v>
      </c>
      <c r="E316" s="125">
        <v>1.0900000000000001</v>
      </c>
    </row>
    <row r="317" spans="1:5">
      <c r="A317" s="122" t="s">
        <v>1911</v>
      </c>
      <c r="B317" s="161">
        <v>1.07</v>
      </c>
      <c r="C317" s="162">
        <v>1.0876012282547229</v>
      </c>
      <c r="D317" s="162">
        <v>1.105202456509446</v>
      </c>
      <c r="E317" s="125">
        <v>1.1100000000000001</v>
      </c>
    </row>
    <row r="318" spans="1:5">
      <c r="A318" s="122" t="s">
        <v>1912</v>
      </c>
      <c r="B318" s="161">
        <v>1.06</v>
      </c>
      <c r="C318" s="162">
        <v>1.0798062450718811</v>
      </c>
      <c r="D318" s="162">
        <v>1.0996124901437623</v>
      </c>
      <c r="E318" s="125">
        <v>1.1000000000000001</v>
      </c>
    </row>
    <row r="319" spans="1:5">
      <c r="A319" s="122" t="s">
        <v>1037</v>
      </c>
      <c r="B319" s="161">
        <v>1.06</v>
      </c>
      <c r="C319" s="162">
        <v>1.0673004246142983</v>
      </c>
      <c r="D319" s="162">
        <v>1.0746008492285966</v>
      </c>
      <c r="E319" s="125">
        <v>1.07</v>
      </c>
    </row>
    <row r="320" spans="1:5">
      <c r="A320" s="122" t="s">
        <v>73</v>
      </c>
      <c r="B320" s="161">
        <v>1.05</v>
      </c>
      <c r="C320" s="162">
        <v>1.0639064295961127</v>
      </c>
      <c r="D320" s="162">
        <v>1.0778128591922256</v>
      </c>
      <c r="E320" s="125">
        <v>1.08</v>
      </c>
    </row>
    <row r="321" spans="1:5">
      <c r="A321" s="122" t="s">
        <v>853</v>
      </c>
      <c r="B321" s="161">
        <v>1.05</v>
      </c>
      <c r="C321" s="162">
        <v>1.0491400362389891</v>
      </c>
      <c r="D321" s="162">
        <v>1.0482800724779784</v>
      </c>
      <c r="E321" s="125">
        <v>1.05</v>
      </c>
    </row>
    <row r="322" spans="1:5">
      <c r="A322" s="122" t="s">
        <v>2865</v>
      </c>
      <c r="B322" s="161">
        <v>1.06</v>
      </c>
      <c r="C322" s="162">
        <v>1.055968078939707</v>
      </c>
      <c r="D322" s="162">
        <v>1.051936157879414</v>
      </c>
      <c r="E322" s="125">
        <v>1.05</v>
      </c>
    </row>
    <row r="323" spans="1:5">
      <c r="A323" s="122" t="s">
        <v>697</v>
      </c>
      <c r="B323" s="161">
        <v>1.07</v>
      </c>
      <c r="C323" s="162">
        <v>1.0588183409403347</v>
      </c>
      <c r="D323" s="162">
        <v>1.0476366818806691</v>
      </c>
      <c r="E323" s="125">
        <v>1.05</v>
      </c>
    </row>
    <row r="324" spans="1:5">
      <c r="A324" s="122" t="s">
        <v>698</v>
      </c>
      <c r="B324" s="161">
        <v>1.06</v>
      </c>
      <c r="C324" s="162">
        <v>1.0492136479321768</v>
      </c>
      <c r="D324" s="162">
        <v>1.0384272958643535</v>
      </c>
      <c r="E324" s="125">
        <v>1.04</v>
      </c>
    </row>
    <row r="325" spans="1:5">
      <c r="A325" s="122" t="s">
        <v>699</v>
      </c>
      <c r="B325" s="161">
        <v>1.04</v>
      </c>
      <c r="C325" s="162">
        <v>1.0467968513179848</v>
      </c>
      <c r="D325" s="162">
        <v>1.0535937026359696</v>
      </c>
      <c r="E325" s="125">
        <v>1.05</v>
      </c>
    </row>
    <row r="326" spans="1:5">
      <c r="A326" s="122" t="s">
        <v>700</v>
      </c>
      <c r="B326" s="161">
        <v>1.1599999999999999</v>
      </c>
      <c r="C326" s="162">
        <v>1.1978840266843513</v>
      </c>
      <c r="D326" s="162">
        <v>1.2357680533687025</v>
      </c>
      <c r="E326" s="125">
        <v>1.24</v>
      </c>
    </row>
    <row r="327" spans="1:5">
      <c r="A327" s="122" t="s">
        <v>2906</v>
      </c>
      <c r="B327" s="161">
        <v>1.1200000000000001</v>
      </c>
      <c r="C327" s="162">
        <v>1.1386454808992648</v>
      </c>
      <c r="D327" s="162">
        <v>1.1572909617985294</v>
      </c>
      <c r="E327" s="125">
        <v>1.1599999999999999</v>
      </c>
    </row>
    <row r="328" spans="1:5">
      <c r="A328" s="122" t="s">
        <v>1602</v>
      </c>
      <c r="B328" s="161">
        <v>1.1599999999999999</v>
      </c>
      <c r="C328" s="162">
        <v>1.2094981713945734</v>
      </c>
      <c r="D328" s="162">
        <v>1.2589963427891468</v>
      </c>
      <c r="E328" s="125">
        <v>1.26</v>
      </c>
    </row>
    <row r="329" spans="1:5">
      <c r="A329" s="122" t="s">
        <v>701</v>
      </c>
      <c r="B329" s="161">
        <v>1.1299999999999999</v>
      </c>
      <c r="C329" s="162">
        <v>1.1084258000024647</v>
      </c>
      <c r="D329" s="162">
        <v>1.0868516000049298</v>
      </c>
      <c r="E329" s="125">
        <v>1.0900000000000001</v>
      </c>
    </row>
    <row r="330" spans="1:5">
      <c r="A330" s="122" t="s">
        <v>2647</v>
      </c>
      <c r="B330" s="161">
        <v>1.1100000000000001</v>
      </c>
      <c r="C330" s="162">
        <v>1.1472402290595616</v>
      </c>
      <c r="D330" s="162">
        <v>1.1844804581191231</v>
      </c>
      <c r="E330" s="125">
        <v>1.18</v>
      </c>
    </row>
    <row r="331" spans="1:5">
      <c r="A331" s="122" t="s">
        <v>2290</v>
      </c>
      <c r="B331" s="161">
        <v>1.04</v>
      </c>
      <c r="C331" s="162">
        <v>1.0724756201178889</v>
      </c>
      <c r="D331" s="162">
        <v>1.104951240235778</v>
      </c>
      <c r="E331" s="125">
        <v>1.1000000000000001</v>
      </c>
    </row>
    <row r="332" spans="1:5">
      <c r="A332" s="122" t="s">
        <v>1478</v>
      </c>
      <c r="B332" s="161">
        <v>1.06</v>
      </c>
      <c r="C332" s="162">
        <v>1.0748281756531111</v>
      </c>
      <c r="D332" s="162">
        <v>1.0896563513062221</v>
      </c>
      <c r="E332" s="125">
        <v>1.0900000000000001</v>
      </c>
    </row>
    <row r="333" spans="1:5">
      <c r="A333" s="122" t="s">
        <v>2192</v>
      </c>
      <c r="B333" s="161">
        <v>1.05</v>
      </c>
      <c r="C333" s="162">
        <v>1.0683412789140927</v>
      </c>
      <c r="D333" s="162">
        <v>1.0866825578281853</v>
      </c>
      <c r="E333" s="125">
        <v>1.0900000000000001</v>
      </c>
    </row>
    <row r="334" spans="1:5">
      <c r="A334" s="122" t="s">
        <v>2198</v>
      </c>
      <c r="B334" s="161">
        <v>1.05</v>
      </c>
      <c r="C334" s="162">
        <v>1.061542586724022</v>
      </c>
      <c r="D334" s="162">
        <v>1.0730851734480438</v>
      </c>
      <c r="E334" s="125">
        <v>1.07</v>
      </c>
    </row>
    <row r="335" spans="1:5">
      <c r="A335" s="122" t="s">
        <v>2199</v>
      </c>
      <c r="B335" s="161">
        <v>1.06</v>
      </c>
      <c r="C335" s="162">
        <v>1.0589686906788636</v>
      </c>
      <c r="D335" s="162">
        <v>1.0579373813577269</v>
      </c>
      <c r="E335" s="125">
        <v>1.06</v>
      </c>
    </row>
    <row r="336" spans="1:5">
      <c r="A336" s="122" t="s">
        <v>1403</v>
      </c>
      <c r="B336" s="161">
        <v>1.08</v>
      </c>
      <c r="C336" s="162">
        <v>1.0800953196187757</v>
      </c>
      <c r="D336" s="162">
        <v>1.0801906392375513</v>
      </c>
      <c r="E336" s="125">
        <v>1.08</v>
      </c>
    </row>
    <row r="337" spans="1:5">
      <c r="A337" s="122" t="s">
        <v>2866</v>
      </c>
      <c r="B337" s="161">
        <v>1.0900000000000001</v>
      </c>
      <c r="C337" s="162">
        <v>1.0896278031062097</v>
      </c>
      <c r="D337" s="162">
        <v>1.0892556062124195</v>
      </c>
      <c r="E337" s="125">
        <v>1.0900000000000001</v>
      </c>
    </row>
    <row r="338" spans="1:5">
      <c r="A338" s="122" t="s">
        <v>2200</v>
      </c>
      <c r="B338" s="161">
        <v>1.1200000000000001</v>
      </c>
      <c r="C338" s="162">
        <v>1.0968146242711194</v>
      </c>
      <c r="D338" s="162">
        <v>1.0736292485422387</v>
      </c>
      <c r="E338" s="125">
        <v>1.07</v>
      </c>
    </row>
    <row r="339" spans="1:5">
      <c r="A339" s="122" t="s">
        <v>2420</v>
      </c>
      <c r="B339" s="161">
        <v>1.1299999999999999</v>
      </c>
      <c r="C339" s="162">
        <v>1.0932271624159258</v>
      </c>
      <c r="D339" s="162">
        <v>1.0564543248318516</v>
      </c>
      <c r="E339" s="125">
        <v>1.06</v>
      </c>
    </row>
    <row r="340" spans="1:5">
      <c r="A340" s="122" t="s">
        <v>2490</v>
      </c>
      <c r="B340" s="161">
        <v>1.1000000000000001</v>
      </c>
      <c r="C340" s="162">
        <v>1.0971126387223071</v>
      </c>
      <c r="D340" s="162">
        <v>1.094225277444614</v>
      </c>
      <c r="E340" s="125">
        <v>1.0900000000000001</v>
      </c>
    </row>
    <row r="341" spans="1:5">
      <c r="A341" s="122" t="s">
        <v>2270</v>
      </c>
      <c r="B341" s="161">
        <v>1.1399999999999999</v>
      </c>
      <c r="C341" s="162">
        <v>1.1639529023506481</v>
      </c>
      <c r="D341" s="162">
        <v>1.1879058047012965</v>
      </c>
      <c r="E341" s="125">
        <v>1.19</v>
      </c>
    </row>
    <row r="342" spans="1:5">
      <c r="A342" s="122" t="s">
        <v>2550</v>
      </c>
      <c r="B342" s="161">
        <v>1.1599999999999999</v>
      </c>
      <c r="C342" s="162">
        <v>1.1712403137682101</v>
      </c>
      <c r="D342" s="162">
        <v>1.1824806275364201</v>
      </c>
      <c r="E342" s="125">
        <v>1.18</v>
      </c>
    </row>
    <row r="343" spans="1:5">
      <c r="A343" s="122" t="s">
        <v>2132</v>
      </c>
      <c r="B343" s="161">
        <v>1.1000000000000001</v>
      </c>
      <c r="C343" s="162">
        <v>1.1152141832914877</v>
      </c>
      <c r="D343" s="162">
        <v>1.1304283665829755</v>
      </c>
      <c r="E343" s="125">
        <v>1.1299999999999999</v>
      </c>
    </row>
    <row r="344" spans="1:5">
      <c r="A344" s="122" t="s">
        <v>862</v>
      </c>
      <c r="B344" s="161">
        <v>1.1399999999999999</v>
      </c>
      <c r="C344" s="162">
        <v>1.1527561911073376</v>
      </c>
      <c r="D344" s="162">
        <v>1.1655123822146751</v>
      </c>
      <c r="E344" s="125">
        <v>1.17</v>
      </c>
    </row>
    <row r="345" spans="1:5">
      <c r="A345" s="122" t="s">
        <v>863</v>
      </c>
      <c r="B345" s="161">
        <v>1.1499999999999999</v>
      </c>
      <c r="C345" s="162">
        <v>1.1634685807020781</v>
      </c>
      <c r="D345" s="162">
        <v>1.1769371614041564</v>
      </c>
      <c r="E345" s="125">
        <v>1.18</v>
      </c>
    </row>
    <row r="346" spans="1:5">
      <c r="A346" s="122" t="s">
        <v>2817</v>
      </c>
      <c r="B346" s="161">
        <v>1.1200000000000001</v>
      </c>
      <c r="C346" s="162">
        <v>1.1256478027831816</v>
      </c>
      <c r="D346" s="162">
        <v>1.131295605566363</v>
      </c>
      <c r="E346" s="125">
        <v>1.1299999999999999</v>
      </c>
    </row>
    <row r="347" spans="1:5">
      <c r="A347" s="122" t="s">
        <v>533</v>
      </c>
      <c r="B347" s="161">
        <v>1.1299999999999999</v>
      </c>
      <c r="C347" s="162">
        <v>1.1525733467200536</v>
      </c>
      <c r="D347" s="162">
        <v>1.1751466934401074</v>
      </c>
      <c r="E347" s="125">
        <v>1.18</v>
      </c>
    </row>
    <row r="348" spans="1:5">
      <c r="A348" s="122" t="s">
        <v>2818</v>
      </c>
      <c r="B348" s="161">
        <v>1.1599999999999999</v>
      </c>
      <c r="C348" s="162">
        <v>1.2066108359053558</v>
      </c>
      <c r="D348" s="162">
        <v>1.2532216718107116</v>
      </c>
      <c r="E348" s="125">
        <v>1.25</v>
      </c>
    </row>
    <row r="349" spans="1:5">
      <c r="A349" s="122" t="s">
        <v>1604</v>
      </c>
      <c r="B349" s="161">
        <v>1.1299999999999999</v>
      </c>
      <c r="C349" s="162">
        <v>1.1625318227279928</v>
      </c>
      <c r="D349" s="162">
        <v>1.1950636454559858</v>
      </c>
      <c r="E349" s="125">
        <v>1.2</v>
      </c>
    </row>
    <row r="350" spans="1:5">
      <c r="A350" s="122" t="s">
        <v>1872</v>
      </c>
      <c r="B350" s="161">
        <v>1.06</v>
      </c>
      <c r="C350" s="162">
        <v>1.0585526480501777</v>
      </c>
      <c r="D350" s="162">
        <v>1.0571052961003555</v>
      </c>
      <c r="E350" s="125">
        <v>1.06</v>
      </c>
    </row>
    <row r="351" spans="1:5">
      <c r="A351" s="122" t="s">
        <v>1873</v>
      </c>
      <c r="B351" s="161">
        <v>1.08</v>
      </c>
      <c r="C351" s="162">
        <v>1.0539523796786781</v>
      </c>
      <c r="D351" s="162">
        <v>1.0279047593573563</v>
      </c>
      <c r="E351" s="125">
        <v>1.03</v>
      </c>
    </row>
    <row r="352" spans="1:5">
      <c r="A352" s="122" t="s">
        <v>2139</v>
      </c>
      <c r="B352" s="161">
        <v>1.05</v>
      </c>
      <c r="C352" s="162">
        <v>1.0526190543796217</v>
      </c>
      <c r="D352" s="162">
        <v>1.0552381087592433</v>
      </c>
      <c r="E352" s="125">
        <v>1.06</v>
      </c>
    </row>
    <row r="353" spans="1:5">
      <c r="A353" s="122" t="s">
        <v>1636</v>
      </c>
      <c r="B353" s="161">
        <v>1.06</v>
      </c>
      <c r="C353" s="162">
        <v>1.0790397264416585</v>
      </c>
      <c r="D353" s="162">
        <v>1.0980794528833169</v>
      </c>
      <c r="E353" s="125">
        <v>1.1000000000000001</v>
      </c>
    </row>
    <row r="354" spans="1:5">
      <c r="A354" s="122" t="s">
        <v>2474</v>
      </c>
      <c r="B354" s="161">
        <v>1.04</v>
      </c>
      <c r="C354" s="162">
        <v>1.0571174561044359</v>
      </c>
      <c r="D354" s="162">
        <v>1.0742349122088715</v>
      </c>
      <c r="E354" s="125">
        <v>1.07</v>
      </c>
    </row>
    <row r="355" spans="1:5">
      <c r="A355" s="122" t="s">
        <v>2475</v>
      </c>
      <c r="B355" s="161">
        <v>1.0900000000000001</v>
      </c>
      <c r="C355" s="162">
        <v>1.0716254529521896</v>
      </c>
      <c r="D355" s="162">
        <v>1.0532509059043789</v>
      </c>
      <c r="E355" s="125">
        <v>1.05</v>
      </c>
    </row>
    <row r="356" spans="1:5">
      <c r="A356" s="122" t="s">
        <v>2794</v>
      </c>
      <c r="B356" s="161">
        <v>1.08</v>
      </c>
      <c r="C356" s="162">
        <v>1.0945390398134482</v>
      </c>
      <c r="D356" s="162">
        <v>1.1090780796268966</v>
      </c>
      <c r="E356" s="125">
        <v>1.1100000000000001</v>
      </c>
    </row>
    <row r="357" spans="1:5">
      <c r="A357" s="122" t="s">
        <v>1019</v>
      </c>
      <c r="B357" s="161">
        <v>1.07</v>
      </c>
      <c r="C357" s="162">
        <v>1.0754496442373798</v>
      </c>
      <c r="D357" s="162">
        <v>1.0808992884747592</v>
      </c>
      <c r="E357" s="125">
        <v>1.08</v>
      </c>
    </row>
    <row r="358" spans="1:5">
      <c r="A358" s="122" t="s">
        <v>2795</v>
      </c>
      <c r="B358" s="161">
        <v>1.06</v>
      </c>
      <c r="C358" s="162">
        <v>1.0655691829356466</v>
      </c>
      <c r="D358" s="162">
        <v>1.071138365871293</v>
      </c>
      <c r="E358" s="125">
        <v>1.07</v>
      </c>
    </row>
    <row r="359" spans="1:5">
      <c r="A359" s="122" t="s">
        <v>2796</v>
      </c>
      <c r="B359" s="161">
        <v>1.07</v>
      </c>
      <c r="C359" s="162">
        <v>1.0704591291615104</v>
      </c>
      <c r="D359" s="162">
        <v>1.070918258323021</v>
      </c>
      <c r="E359" s="125">
        <v>1.07</v>
      </c>
    </row>
    <row r="360" spans="1:5">
      <c r="A360" s="122" t="s">
        <v>2118</v>
      </c>
      <c r="B360" s="161">
        <v>1.08</v>
      </c>
      <c r="C360" s="162">
        <v>1.0613094350345391</v>
      </c>
      <c r="D360" s="162">
        <v>1.0426188700690784</v>
      </c>
      <c r="E360" s="125">
        <v>1.04</v>
      </c>
    </row>
    <row r="361" spans="1:5">
      <c r="A361" s="122" t="s">
        <v>2119</v>
      </c>
      <c r="B361" s="161">
        <v>1.07</v>
      </c>
      <c r="C361" s="162">
        <v>1.0578707740089635</v>
      </c>
      <c r="D361" s="162">
        <v>1.0457415480179271</v>
      </c>
      <c r="E361" s="125">
        <v>1.05</v>
      </c>
    </row>
    <row r="362" spans="1:5">
      <c r="A362" s="122" t="s">
        <v>2301</v>
      </c>
      <c r="B362" s="161">
        <v>1.0900000000000001</v>
      </c>
      <c r="C362" s="162">
        <v>1.0825671139875706</v>
      </c>
      <c r="D362" s="162">
        <v>1.0751342279751408</v>
      </c>
      <c r="E362" s="125">
        <v>1.08</v>
      </c>
    </row>
    <row r="363" spans="1:5">
      <c r="A363" s="122" t="s">
        <v>2313</v>
      </c>
      <c r="B363" s="161">
        <v>1.08</v>
      </c>
      <c r="C363" s="162">
        <v>1.0487543196311337</v>
      </c>
      <c r="D363" s="162">
        <v>1.0175086392622672</v>
      </c>
      <c r="E363" s="125">
        <v>1.02</v>
      </c>
    </row>
    <row r="364" spans="1:5">
      <c r="A364" s="122" t="s">
        <v>1897</v>
      </c>
      <c r="B364" s="161">
        <v>1.08</v>
      </c>
      <c r="C364" s="162">
        <v>1.0697372223085782</v>
      </c>
      <c r="D364" s="162">
        <v>1.0594744446171562</v>
      </c>
      <c r="E364" s="125">
        <v>1.06</v>
      </c>
    </row>
    <row r="365" spans="1:5">
      <c r="A365" s="122" t="s">
        <v>1107</v>
      </c>
      <c r="B365" s="161">
        <v>1.07</v>
      </c>
      <c r="C365" s="162">
        <v>1.0627848677726255</v>
      </c>
      <c r="D365" s="162">
        <v>1.0555697355452511</v>
      </c>
      <c r="E365" s="125">
        <v>1.06</v>
      </c>
    </row>
    <row r="366" spans="1:5">
      <c r="A366" s="122" t="s">
        <v>1108</v>
      </c>
      <c r="B366" s="161">
        <v>1.1000000000000001</v>
      </c>
      <c r="C366" s="162">
        <v>1.1026415496883535</v>
      </c>
      <c r="D366" s="162">
        <v>1.1052830993767069</v>
      </c>
      <c r="E366" s="125">
        <v>1.1100000000000001</v>
      </c>
    </row>
    <row r="367" spans="1:5">
      <c r="A367" s="122" t="s">
        <v>1276</v>
      </c>
      <c r="B367" s="161">
        <v>1.07</v>
      </c>
      <c r="C367" s="162">
        <v>1.0685212144693386</v>
      </c>
      <c r="D367" s="162">
        <v>1.0670424289386771</v>
      </c>
      <c r="E367" s="125">
        <v>1.07</v>
      </c>
    </row>
    <row r="368" spans="1:5">
      <c r="A368" s="122" t="s">
        <v>897</v>
      </c>
      <c r="B368" s="161">
        <v>1.1100000000000001</v>
      </c>
      <c r="C368" s="162">
        <v>1.1121227571193377</v>
      </c>
      <c r="D368" s="162">
        <v>1.1142455142386751</v>
      </c>
      <c r="E368" s="125">
        <v>1.1100000000000001</v>
      </c>
    </row>
    <row r="369" spans="1:5">
      <c r="A369" s="122" t="s">
        <v>898</v>
      </c>
      <c r="B369" s="161">
        <v>1.08</v>
      </c>
      <c r="C369" s="162">
        <v>1.0568656657687523</v>
      </c>
      <c r="D369" s="162">
        <v>1.0337313315375045</v>
      </c>
      <c r="E369" s="125">
        <v>1.03</v>
      </c>
    </row>
    <row r="370" spans="1:5">
      <c r="A370" s="122" t="s">
        <v>1404</v>
      </c>
      <c r="B370" s="161">
        <v>1.07</v>
      </c>
      <c r="C370" s="162">
        <v>1.0710738950220446</v>
      </c>
      <c r="D370" s="162">
        <v>1.072147790044089</v>
      </c>
      <c r="E370" s="125">
        <v>1.07</v>
      </c>
    </row>
    <row r="371" spans="1:5">
      <c r="A371" s="122" t="s">
        <v>1405</v>
      </c>
      <c r="B371" s="161">
        <v>1.08</v>
      </c>
      <c r="C371" s="162">
        <v>1.0792822895957364</v>
      </c>
      <c r="D371" s="162">
        <v>1.0785645791914726</v>
      </c>
      <c r="E371" s="125">
        <v>1.08</v>
      </c>
    </row>
    <row r="372" spans="1:5">
      <c r="A372" s="122" t="s">
        <v>1650</v>
      </c>
      <c r="B372" s="161">
        <v>1.07</v>
      </c>
      <c r="C372" s="162">
        <v>1.0645555710357548</v>
      </c>
      <c r="D372" s="162">
        <v>1.0591111420715096</v>
      </c>
      <c r="E372" s="125">
        <v>1.06</v>
      </c>
    </row>
    <row r="373" spans="1:5">
      <c r="A373" s="122" t="s">
        <v>243</v>
      </c>
      <c r="B373" s="161">
        <v>1.07</v>
      </c>
      <c r="C373" s="162">
        <v>1.0716545282586349</v>
      </c>
      <c r="D373" s="162">
        <v>1.0733090565172698</v>
      </c>
      <c r="E373" s="125">
        <v>1.07</v>
      </c>
    </row>
    <row r="374" spans="1:5">
      <c r="A374" s="122" t="s">
        <v>2977</v>
      </c>
      <c r="B374" s="161">
        <v>1.07</v>
      </c>
      <c r="C374" s="162">
        <v>1.0673734812138216</v>
      </c>
      <c r="D374" s="162">
        <v>1.0647469624276431</v>
      </c>
      <c r="E374" s="125">
        <v>1.06</v>
      </c>
    </row>
    <row r="375" spans="1:5">
      <c r="A375" s="122" t="s">
        <v>1483</v>
      </c>
      <c r="B375" s="161">
        <v>1.06</v>
      </c>
      <c r="C375" s="162">
        <v>1.060146380238552</v>
      </c>
      <c r="D375" s="162">
        <v>1.060292760477104</v>
      </c>
      <c r="E375" s="125">
        <v>1.06</v>
      </c>
    </row>
    <row r="376" spans="1:5">
      <c r="A376" s="122" t="s">
        <v>1461</v>
      </c>
      <c r="B376" s="161">
        <v>1.08</v>
      </c>
      <c r="C376" s="162">
        <v>1.0708807178464124</v>
      </c>
      <c r="D376" s="162">
        <v>1.0617614356928249</v>
      </c>
      <c r="E376" s="125">
        <v>1.06</v>
      </c>
    </row>
    <row r="377" spans="1:5">
      <c r="A377" s="122" t="s">
        <v>1462</v>
      </c>
      <c r="B377" s="161">
        <v>1.06</v>
      </c>
      <c r="C377" s="162">
        <v>1.0775184225462082</v>
      </c>
      <c r="D377" s="162">
        <v>1.0950368450924162</v>
      </c>
      <c r="E377" s="125">
        <v>1.1000000000000001</v>
      </c>
    </row>
    <row r="378" spans="1:5">
      <c r="A378" s="122" t="s">
        <v>1463</v>
      </c>
      <c r="B378" s="161">
        <v>1.07</v>
      </c>
      <c r="C378" s="162">
        <v>1.0886594814822681</v>
      </c>
      <c r="D378" s="162">
        <v>1.1073189629645364</v>
      </c>
      <c r="E378" s="125">
        <v>1.1100000000000001</v>
      </c>
    </row>
    <row r="379" spans="1:5">
      <c r="A379" s="122" t="s">
        <v>498</v>
      </c>
      <c r="B379" s="161">
        <v>1.0900000000000001</v>
      </c>
      <c r="C379" s="162">
        <v>1.113183022444058</v>
      </c>
      <c r="D379" s="162">
        <v>1.1363660448881161</v>
      </c>
      <c r="E379" s="125">
        <v>1.1399999999999999</v>
      </c>
    </row>
    <row r="380" spans="1:5">
      <c r="A380" s="122" t="s">
        <v>2504</v>
      </c>
      <c r="B380" s="161">
        <v>1.08</v>
      </c>
      <c r="C380" s="162">
        <v>1.0991759060501645</v>
      </c>
      <c r="D380" s="162">
        <v>1.1183518121003289</v>
      </c>
      <c r="E380" s="125">
        <v>1.1200000000000001</v>
      </c>
    </row>
    <row r="381" spans="1:5">
      <c r="A381" s="122" t="s">
        <v>3035</v>
      </c>
      <c r="B381" s="161">
        <v>1.05</v>
      </c>
      <c r="C381" s="162">
        <v>1.0665783041711996</v>
      </c>
      <c r="D381" s="162">
        <v>1.0831566083423989</v>
      </c>
      <c r="E381" s="125">
        <v>1.08</v>
      </c>
    </row>
    <row r="382" spans="1:5">
      <c r="A382" s="122" t="s">
        <v>1702</v>
      </c>
      <c r="B382" s="161">
        <v>1.05</v>
      </c>
      <c r="C382" s="162">
        <v>1.0688462989378218</v>
      </c>
      <c r="D382" s="162">
        <v>1.0876925978756435</v>
      </c>
      <c r="E382" s="125">
        <v>1.0900000000000001</v>
      </c>
    </row>
    <row r="383" spans="1:5">
      <c r="A383" s="122" t="s">
        <v>3036</v>
      </c>
      <c r="B383" s="161">
        <v>1.05</v>
      </c>
      <c r="C383" s="162">
        <v>1.0671364048221073</v>
      </c>
      <c r="D383" s="162">
        <v>1.0842728096442145</v>
      </c>
      <c r="E383" s="125">
        <v>1.08</v>
      </c>
    </row>
    <row r="384" spans="1:5">
      <c r="A384" s="122" t="s">
        <v>3037</v>
      </c>
      <c r="B384" s="161">
        <v>1.08</v>
      </c>
      <c r="C384" s="162">
        <v>1.0726777946579564</v>
      </c>
      <c r="D384" s="162">
        <v>1.0653555893159128</v>
      </c>
      <c r="E384" s="125">
        <v>1.07</v>
      </c>
    </row>
    <row r="385" spans="1:5">
      <c r="A385" s="122" t="s">
        <v>3038</v>
      </c>
      <c r="B385" s="161">
        <v>1.07</v>
      </c>
      <c r="C385" s="162">
        <v>1.0663197127553514</v>
      </c>
      <c r="D385" s="162">
        <v>1.0626394255107028</v>
      </c>
      <c r="E385" s="125">
        <v>1.06</v>
      </c>
    </row>
    <row r="386" spans="1:5">
      <c r="A386" s="122" t="s">
        <v>3039</v>
      </c>
      <c r="B386" s="161">
        <v>1.1100000000000001</v>
      </c>
      <c r="C386" s="162">
        <v>1.0946062295494641</v>
      </c>
      <c r="D386" s="162">
        <v>1.079212459098928</v>
      </c>
      <c r="E386" s="125">
        <v>1.08</v>
      </c>
    </row>
    <row r="387" spans="1:5">
      <c r="A387" s="122" t="s">
        <v>2456</v>
      </c>
      <c r="B387" s="161">
        <v>1.1000000000000001</v>
      </c>
      <c r="C387" s="162">
        <v>1.0752844486164417</v>
      </c>
      <c r="D387" s="162">
        <v>1.0505688972328833</v>
      </c>
      <c r="E387" s="125">
        <v>1.05</v>
      </c>
    </row>
    <row r="388" spans="1:5">
      <c r="A388" s="122" t="s">
        <v>537</v>
      </c>
      <c r="B388" s="161">
        <v>1.0900000000000001</v>
      </c>
      <c r="C388" s="162">
        <v>1.1457724817456116</v>
      </c>
      <c r="D388" s="162">
        <v>1.2015449634912232</v>
      </c>
      <c r="E388" s="125">
        <v>1.2</v>
      </c>
    </row>
    <row r="389" spans="1:5">
      <c r="A389" s="122" t="s">
        <v>535</v>
      </c>
      <c r="B389" s="161">
        <v>1.0900000000000001</v>
      </c>
      <c r="C389" s="162">
        <v>1.1543337418393391</v>
      </c>
      <c r="D389" s="162">
        <v>1.2186674836786779</v>
      </c>
      <c r="E389" s="125">
        <v>1.22</v>
      </c>
    </row>
    <row r="390" spans="1:5">
      <c r="A390" s="122" t="s">
        <v>2457</v>
      </c>
      <c r="B390" s="161">
        <v>1.06</v>
      </c>
      <c r="C390" s="162">
        <v>1.1022736599778642</v>
      </c>
      <c r="D390" s="162">
        <v>1.1445473199557283</v>
      </c>
      <c r="E390" s="125">
        <v>1.1399999999999999</v>
      </c>
    </row>
    <row r="391" spans="1:5">
      <c r="A391" s="122" t="s">
        <v>381</v>
      </c>
      <c r="B391" s="161">
        <v>1.05</v>
      </c>
      <c r="C391" s="162">
        <v>1.1062887764790812</v>
      </c>
      <c r="D391" s="162">
        <v>1.1625775529581626</v>
      </c>
      <c r="E391" s="125">
        <v>1.1599999999999999</v>
      </c>
    </row>
    <row r="392" spans="1:5">
      <c r="A392" s="122" t="s">
        <v>2458</v>
      </c>
      <c r="B392" s="161">
        <v>1.06</v>
      </c>
      <c r="C392" s="162">
        <v>1.0519882509679737</v>
      </c>
      <c r="D392" s="162">
        <v>1.0439765019359475</v>
      </c>
      <c r="E392" s="125">
        <v>1.04</v>
      </c>
    </row>
    <row r="393" spans="1:5">
      <c r="A393" s="122" t="s">
        <v>2459</v>
      </c>
      <c r="B393" s="161">
        <v>1.0900000000000001</v>
      </c>
      <c r="C393" s="162">
        <v>1.0555326486925987</v>
      </c>
      <c r="D393" s="162">
        <v>1.021065297385197</v>
      </c>
      <c r="E393" s="125">
        <v>1.02</v>
      </c>
    </row>
    <row r="394" spans="1:5">
      <c r="A394" s="122" t="s">
        <v>547</v>
      </c>
      <c r="B394" s="161">
        <v>1.07</v>
      </c>
      <c r="C394" s="162">
        <v>1.0503413575571057</v>
      </c>
      <c r="D394" s="162">
        <v>1.0306827151142111</v>
      </c>
      <c r="E394" s="125">
        <v>1.03</v>
      </c>
    </row>
    <row r="395" spans="1:5">
      <c r="A395" s="122" t="s">
        <v>2232</v>
      </c>
      <c r="B395" s="161">
        <v>1.06</v>
      </c>
      <c r="C395" s="162">
        <v>1.0478429212480127</v>
      </c>
      <c r="D395" s="162">
        <v>1.0356858424960256</v>
      </c>
      <c r="E395" s="125">
        <v>1.04</v>
      </c>
    </row>
    <row r="396" spans="1:5">
      <c r="A396" s="122" t="s">
        <v>2366</v>
      </c>
      <c r="B396" s="161">
        <v>1.0900000000000001</v>
      </c>
      <c r="C396" s="162">
        <v>1.0671716436265575</v>
      </c>
      <c r="D396" s="162">
        <v>1.0443432872531149</v>
      </c>
      <c r="E396" s="125">
        <v>1.04</v>
      </c>
    </row>
    <row r="397" spans="1:5">
      <c r="A397" s="122" t="s">
        <v>2367</v>
      </c>
      <c r="B397" s="161">
        <v>1.02</v>
      </c>
      <c r="C397" s="162">
        <v>1.039373881156243</v>
      </c>
      <c r="D397" s="162">
        <v>1.0587477623124861</v>
      </c>
      <c r="E397" s="125">
        <v>1.06</v>
      </c>
    </row>
    <row r="398" spans="1:5">
      <c r="A398" s="122" t="s">
        <v>169</v>
      </c>
      <c r="B398" s="161">
        <v>1.04</v>
      </c>
      <c r="C398" s="162">
        <v>1.0410444651803838</v>
      </c>
      <c r="D398" s="162">
        <v>1.0420889303607677</v>
      </c>
      <c r="E398" s="125">
        <v>1.04</v>
      </c>
    </row>
    <row r="399" spans="1:5">
      <c r="A399" s="122" t="s">
        <v>170</v>
      </c>
      <c r="B399" s="161">
        <v>1.04</v>
      </c>
      <c r="C399" s="162">
        <v>1.0624637736753009</v>
      </c>
      <c r="D399" s="162">
        <v>1.0849275473506019</v>
      </c>
      <c r="E399" s="125">
        <v>1.08</v>
      </c>
    </row>
    <row r="400" spans="1:5">
      <c r="A400" s="122" t="s">
        <v>2867</v>
      </c>
      <c r="B400" s="161">
        <v>1.03</v>
      </c>
      <c r="C400" s="162">
        <v>1.0493980651068848</v>
      </c>
      <c r="D400" s="162">
        <v>1.0687961302137696</v>
      </c>
      <c r="E400" s="125">
        <v>1.07</v>
      </c>
    </row>
    <row r="401" spans="1:5">
      <c r="A401" s="122" t="s">
        <v>2674</v>
      </c>
      <c r="B401" s="161">
        <v>1.0900000000000001</v>
      </c>
      <c r="C401" s="162">
        <v>1.095226813232526</v>
      </c>
      <c r="D401" s="162">
        <v>1.100453626465052</v>
      </c>
      <c r="E401" s="125">
        <v>1.1000000000000001</v>
      </c>
    </row>
    <row r="402" spans="1:5">
      <c r="A402" s="122" t="s">
        <v>1281</v>
      </c>
      <c r="B402" s="161">
        <v>1.0900000000000001</v>
      </c>
      <c r="C402" s="162">
        <v>1.0812690744484579</v>
      </c>
      <c r="D402" s="162">
        <v>1.0725381488969155</v>
      </c>
      <c r="E402" s="125">
        <v>1.07</v>
      </c>
    </row>
    <row r="403" spans="1:5">
      <c r="A403" s="122" t="s">
        <v>1282</v>
      </c>
      <c r="B403" s="161">
        <v>1.08</v>
      </c>
      <c r="C403" s="162">
        <v>1.0939487677768009</v>
      </c>
      <c r="D403" s="162">
        <v>1.107897535553602</v>
      </c>
      <c r="E403" s="125">
        <v>1.1100000000000001</v>
      </c>
    </row>
    <row r="404" spans="1:5">
      <c r="A404" s="122" t="s">
        <v>2416</v>
      </c>
      <c r="B404" s="161">
        <v>1.04</v>
      </c>
      <c r="C404" s="162">
        <v>1.0478813155419489</v>
      </c>
      <c r="D404" s="162">
        <v>1.0557626310838977</v>
      </c>
      <c r="E404" s="125">
        <v>1.06</v>
      </c>
    </row>
    <row r="405" spans="1:5">
      <c r="A405" s="122" t="s">
        <v>2417</v>
      </c>
      <c r="B405" s="161">
        <v>1.03</v>
      </c>
      <c r="C405" s="162">
        <v>1.0513738315843331</v>
      </c>
      <c r="D405" s="162">
        <v>1.0727476631686661</v>
      </c>
      <c r="E405" s="125">
        <v>1.07</v>
      </c>
    </row>
    <row r="406" spans="1:5">
      <c r="A406" s="122" t="s">
        <v>1158</v>
      </c>
      <c r="B406" s="161">
        <v>1.08</v>
      </c>
      <c r="C406" s="162">
        <v>1.083978608239712</v>
      </c>
      <c r="D406" s="162">
        <v>1.0879572164794242</v>
      </c>
      <c r="E406" s="125">
        <v>1.0900000000000001</v>
      </c>
    </row>
    <row r="407" spans="1:5">
      <c r="A407" s="122" t="s">
        <v>1312</v>
      </c>
      <c r="B407" s="161">
        <v>1.0900000000000001</v>
      </c>
      <c r="C407" s="162">
        <v>1.0998812666001601</v>
      </c>
      <c r="D407" s="162">
        <v>1.10976253320032</v>
      </c>
      <c r="E407" s="125">
        <v>1.1100000000000001</v>
      </c>
    </row>
    <row r="408" spans="1:5">
      <c r="A408" s="122" t="s">
        <v>416</v>
      </c>
      <c r="B408" s="161">
        <v>1.0900000000000001</v>
      </c>
      <c r="C408" s="162">
        <v>1.0951589511685289</v>
      </c>
      <c r="D408" s="162">
        <v>1.1003179023370577</v>
      </c>
      <c r="E408" s="125">
        <v>1.1000000000000001</v>
      </c>
    </row>
    <row r="409" spans="1:5">
      <c r="A409" s="122" t="s">
        <v>2608</v>
      </c>
      <c r="B409" s="161">
        <v>1.0900000000000001</v>
      </c>
      <c r="C409" s="162">
        <v>1.0998531804812846</v>
      </c>
      <c r="D409" s="162">
        <v>1.1097063609625692</v>
      </c>
      <c r="E409" s="125">
        <v>1.1100000000000001</v>
      </c>
    </row>
    <row r="410" spans="1:5">
      <c r="A410" s="122" t="s">
        <v>1346</v>
      </c>
      <c r="B410" s="161">
        <v>1.08</v>
      </c>
      <c r="C410" s="162">
        <v>1.0768870983493024</v>
      </c>
      <c r="D410" s="162">
        <v>1.0737741966986047</v>
      </c>
      <c r="E410" s="125">
        <v>1.07</v>
      </c>
    </row>
    <row r="411" spans="1:5">
      <c r="A411" s="122" t="s">
        <v>639</v>
      </c>
      <c r="B411" s="161">
        <v>1.1599999999999999</v>
      </c>
      <c r="C411" s="162">
        <v>1.225507951196307</v>
      </c>
      <c r="D411" s="162">
        <v>1.2910159023926138</v>
      </c>
      <c r="E411" s="125">
        <v>1.29</v>
      </c>
    </row>
    <row r="412" spans="1:5">
      <c r="A412" s="122" t="s">
        <v>222</v>
      </c>
      <c r="B412" s="161">
        <v>1.1599999999999999</v>
      </c>
      <c r="C412" s="162">
        <v>1.2166008814585574</v>
      </c>
      <c r="D412" s="162">
        <v>1.2732017629171146</v>
      </c>
      <c r="E412" s="125">
        <v>1.27</v>
      </c>
    </row>
    <row r="413" spans="1:5">
      <c r="A413" s="122" t="s">
        <v>2641</v>
      </c>
      <c r="B413" s="161">
        <v>1.1399999999999999</v>
      </c>
      <c r="C413" s="162">
        <v>1.1806024848710366</v>
      </c>
      <c r="D413" s="162">
        <v>1.221204969742073</v>
      </c>
      <c r="E413" s="125">
        <v>1.22</v>
      </c>
    </row>
    <row r="414" spans="1:5">
      <c r="A414" s="122" t="s">
        <v>2758</v>
      </c>
      <c r="B414" s="161">
        <v>1.1299999999999999</v>
      </c>
      <c r="C414" s="162">
        <v>1.164812409579969</v>
      </c>
      <c r="D414" s="162">
        <v>1.1996248191599383</v>
      </c>
      <c r="E414" s="125">
        <v>1.2</v>
      </c>
    </row>
    <row r="415" spans="1:5">
      <c r="A415" s="122" t="s">
        <v>2642</v>
      </c>
      <c r="B415" s="161">
        <v>1.1599999999999999</v>
      </c>
      <c r="C415" s="162">
        <v>1.2150802497132005</v>
      </c>
      <c r="D415" s="162">
        <v>1.2701604994264011</v>
      </c>
      <c r="E415" s="125">
        <v>1.27</v>
      </c>
    </row>
    <row r="416" spans="1:5">
      <c r="A416" s="122" t="s">
        <v>2481</v>
      </c>
      <c r="B416" s="161">
        <v>1.1599999999999999</v>
      </c>
      <c r="C416" s="162">
        <v>1.1968116678944671</v>
      </c>
      <c r="D416" s="162">
        <v>1.2336233357889341</v>
      </c>
      <c r="E416" s="125">
        <v>1.23</v>
      </c>
    </row>
    <row r="417" spans="1:5">
      <c r="A417" s="122" t="s">
        <v>1588</v>
      </c>
      <c r="B417" s="161">
        <v>1.18</v>
      </c>
      <c r="C417" s="162">
        <v>1.2169167139191632</v>
      </c>
      <c r="D417" s="162">
        <v>1.2538334278383265</v>
      </c>
      <c r="E417" s="125">
        <v>1.25</v>
      </c>
    </row>
    <row r="418" spans="1:5">
      <c r="A418" s="122" t="s">
        <v>1608</v>
      </c>
      <c r="B418" s="161">
        <v>1.1599999999999999</v>
      </c>
      <c r="C418" s="162">
        <v>1.2133417563033659</v>
      </c>
      <c r="D418" s="162">
        <v>1.266683512606732</v>
      </c>
      <c r="E418" s="125">
        <v>1.27</v>
      </c>
    </row>
    <row r="419" spans="1:5">
      <c r="A419" s="122" t="s">
        <v>2300</v>
      </c>
      <c r="B419" s="161">
        <v>1.1599999999999999</v>
      </c>
      <c r="C419" s="162">
        <v>1.2040059027473817</v>
      </c>
      <c r="D419" s="162">
        <v>1.2480118054947633</v>
      </c>
      <c r="E419" s="125">
        <v>1.25</v>
      </c>
    </row>
    <row r="420" spans="1:5">
      <c r="A420" s="122" t="s">
        <v>2921</v>
      </c>
      <c r="B420" s="161">
        <v>1.17</v>
      </c>
      <c r="C420" s="162">
        <v>1.2226549138874927</v>
      </c>
      <c r="D420" s="162">
        <v>1.2753098277749855</v>
      </c>
      <c r="E420" s="125">
        <v>1.28</v>
      </c>
    </row>
    <row r="421" spans="1:5">
      <c r="A421" s="122" t="s">
        <v>1278</v>
      </c>
      <c r="B421" s="161">
        <v>1.1599999999999999</v>
      </c>
      <c r="C421" s="162">
        <v>1.2200142395034321</v>
      </c>
      <c r="D421" s="162">
        <v>1.2800284790068646</v>
      </c>
      <c r="E421" s="125">
        <v>1.28</v>
      </c>
    </row>
    <row r="422" spans="1:5">
      <c r="A422" s="122" t="s">
        <v>55</v>
      </c>
      <c r="B422" s="161">
        <v>1.1599999999999999</v>
      </c>
      <c r="C422" s="162">
        <v>1.2142115666070585</v>
      </c>
      <c r="D422" s="162">
        <v>1.2684231332141171</v>
      </c>
      <c r="E422" s="125">
        <v>1.27</v>
      </c>
    </row>
    <row r="423" spans="1:5">
      <c r="A423" s="122" t="s">
        <v>62</v>
      </c>
      <c r="B423" s="161">
        <v>1.1599999999999999</v>
      </c>
      <c r="C423" s="162">
        <v>1.2205485347109803</v>
      </c>
      <c r="D423" s="162">
        <v>1.2810970694219606</v>
      </c>
      <c r="E423" s="125">
        <v>1.28</v>
      </c>
    </row>
    <row r="424" spans="1:5">
      <c r="A424" s="122" t="s">
        <v>2922</v>
      </c>
      <c r="B424" s="161">
        <v>1.1499999999999999</v>
      </c>
      <c r="C424" s="162">
        <v>1.1809455006865255</v>
      </c>
      <c r="D424" s="162">
        <v>1.2118910013730513</v>
      </c>
      <c r="E424" s="125">
        <v>1.21</v>
      </c>
    </row>
    <row r="425" spans="1:5">
      <c r="A425" s="122" t="s">
        <v>234</v>
      </c>
      <c r="B425" s="161">
        <v>1.1599999999999999</v>
      </c>
      <c r="C425" s="162">
        <v>1.2151258274783869</v>
      </c>
      <c r="D425" s="162">
        <v>1.2702516549567739</v>
      </c>
      <c r="E425" s="125">
        <v>1.27</v>
      </c>
    </row>
    <row r="426" spans="1:5">
      <c r="A426" s="122" t="s">
        <v>743</v>
      </c>
      <c r="B426" s="161">
        <v>1.1599999999999999</v>
      </c>
      <c r="C426" s="162">
        <v>1.2205998806356424</v>
      </c>
      <c r="D426" s="162">
        <v>1.2811997612712849</v>
      </c>
      <c r="E426" s="125">
        <v>1.28</v>
      </c>
    </row>
    <row r="427" spans="1:5">
      <c r="A427" s="122" t="s">
        <v>918</v>
      </c>
      <c r="B427" s="161">
        <v>1.1599999999999999</v>
      </c>
      <c r="C427" s="162">
        <v>1.2218918073154561</v>
      </c>
      <c r="D427" s="162">
        <v>1.2837836146309123</v>
      </c>
      <c r="E427" s="125">
        <v>1.28</v>
      </c>
    </row>
    <row r="428" spans="1:5">
      <c r="A428" s="122" t="s">
        <v>2221</v>
      </c>
      <c r="B428" s="161">
        <v>1.1399999999999999</v>
      </c>
      <c r="C428" s="162">
        <v>1.180890506163415</v>
      </c>
      <c r="D428" s="162">
        <v>1.22178101232683</v>
      </c>
      <c r="E428" s="125">
        <v>1.22</v>
      </c>
    </row>
    <row r="429" spans="1:5">
      <c r="A429" s="122" t="s">
        <v>2222</v>
      </c>
      <c r="B429" s="161">
        <v>1.1399999999999999</v>
      </c>
      <c r="C429" s="162">
        <v>1.1742201372993351</v>
      </c>
      <c r="D429" s="162">
        <v>1.20844027459867</v>
      </c>
      <c r="E429" s="125">
        <v>1.21</v>
      </c>
    </row>
    <row r="430" spans="1:5">
      <c r="A430" s="122" t="s">
        <v>979</v>
      </c>
      <c r="B430" s="161">
        <v>1.1200000000000001</v>
      </c>
      <c r="C430" s="162">
        <v>1.1533143284583769</v>
      </c>
      <c r="D430" s="162">
        <v>1.1866286569167535</v>
      </c>
      <c r="E430" s="125">
        <v>1.19</v>
      </c>
    </row>
    <row r="431" spans="1:5">
      <c r="A431" s="122" t="s">
        <v>2223</v>
      </c>
      <c r="B431" s="161">
        <v>1.06</v>
      </c>
      <c r="C431" s="162">
        <v>1.0459038611870835</v>
      </c>
      <c r="D431" s="162">
        <v>1.0318077223741666</v>
      </c>
      <c r="E431" s="125">
        <v>1.03</v>
      </c>
    </row>
    <row r="432" spans="1:5">
      <c r="A432" s="122" t="s">
        <v>1692</v>
      </c>
      <c r="B432" s="161">
        <v>1.08</v>
      </c>
      <c r="C432" s="162">
        <v>1.0692549809522804</v>
      </c>
      <c r="D432" s="162">
        <v>1.0585099619045608</v>
      </c>
      <c r="E432" s="125">
        <v>1.06</v>
      </c>
    </row>
    <row r="433" spans="1:5">
      <c r="A433" s="122" t="s">
        <v>1693</v>
      </c>
      <c r="B433" s="161">
        <v>1.04</v>
      </c>
      <c r="C433" s="162">
        <v>1.0387296410232993</v>
      </c>
      <c r="D433" s="162">
        <v>1.0374592820465989</v>
      </c>
      <c r="E433" s="125">
        <v>1.04</v>
      </c>
    </row>
    <row r="434" spans="1:5">
      <c r="A434" s="122" t="s">
        <v>1694</v>
      </c>
      <c r="B434" s="161">
        <v>1.07</v>
      </c>
      <c r="C434" s="162">
        <v>1.0658851562028195</v>
      </c>
      <c r="D434" s="162">
        <v>1.061770312405639</v>
      </c>
      <c r="E434" s="125">
        <v>1.06</v>
      </c>
    </row>
    <row r="435" spans="1:5">
      <c r="A435" s="122" t="s">
        <v>1765</v>
      </c>
      <c r="B435" s="161">
        <v>1.04</v>
      </c>
      <c r="C435" s="162">
        <v>1.0417275258011043</v>
      </c>
      <c r="D435" s="162">
        <v>1.0434550516022087</v>
      </c>
      <c r="E435" s="125">
        <v>1.04</v>
      </c>
    </row>
    <row r="436" spans="1:5">
      <c r="A436" s="122" t="s">
        <v>1766</v>
      </c>
      <c r="B436" s="161">
        <v>1.04</v>
      </c>
      <c r="C436" s="162">
        <v>1.0407706033126223</v>
      </c>
      <c r="D436" s="162">
        <v>1.0415412066252447</v>
      </c>
      <c r="E436" s="125">
        <v>1.04</v>
      </c>
    </row>
    <row r="437" spans="1:5">
      <c r="A437" s="122" t="s">
        <v>539</v>
      </c>
      <c r="B437" s="161">
        <v>1.05</v>
      </c>
      <c r="C437" s="162">
        <v>1.0678195006673175</v>
      </c>
      <c r="D437" s="162">
        <v>1.0856390013346346</v>
      </c>
      <c r="E437" s="125">
        <v>1.0900000000000001</v>
      </c>
    </row>
    <row r="438" spans="1:5">
      <c r="A438" s="122" t="s">
        <v>506</v>
      </c>
      <c r="B438" s="161">
        <v>1.05</v>
      </c>
      <c r="C438" s="162">
        <v>1.0751539522143498</v>
      </c>
      <c r="D438" s="162">
        <v>1.1003079044286999</v>
      </c>
      <c r="E438" s="125">
        <v>1.1000000000000001</v>
      </c>
    </row>
    <row r="439" spans="1:5">
      <c r="A439" s="122" t="s">
        <v>507</v>
      </c>
      <c r="B439" s="161">
        <v>1.04</v>
      </c>
      <c r="C439" s="162">
        <v>1.0515970577617852</v>
      </c>
      <c r="D439" s="162">
        <v>1.0631941155235702</v>
      </c>
      <c r="E439" s="125">
        <v>1.06</v>
      </c>
    </row>
    <row r="440" spans="1:5">
      <c r="A440" s="122" t="s">
        <v>2868</v>
      </c>
      <c r="B440" s="161">
        <v>1.05</v>
      </c>
      <c r="C440" s="162">
        <v>1.0494639932187955</v>
      </c>
      <c r="D440" s="162">
        <v>1.0489279864375907</v>
      </c>
      <c r="E440" s="125">
        <v>1.05</v>
      </c>
    </row>
    <row r="441" spans="1:5">
      <c r="A441" s="122" t="s">
        <v>508</v>
      </c>
      <c r="B441" s="161">
        <v>1.05</v>
      </c>
      <c r="C441" s="162">
        <v>1.0506240592624938</v>
      </c>
      <c r="D441" s="162">
        <v>1.0512481185249876</v>
      </c>
      <c r="E441" s="125">
        <v>1.05</v>
      </c>
    </row>
    <row r="442" spans="1:5">
      <c r="A442" s="122" t="s">
        <v>509</v>
      </c>
      <c r="B442" s="161">
        <v>1.06</v>
      </c>
      <c r="C442" s="162">
        <v>1.0532644099141648</v>
      </c>
      <c r="D442" s="162">
        <v>1.0465288198283293</v>
      </c>
      <c r="E442" s="125">
        <v>1.05</v>
      </c>
    </row>
    <row r="443" spans="1:5">
      <c r="A443" s="122" t="s">
        <v>1304</v>
      </c>
      <c r="B443" s="161">
        <v>1.1000000000000001</v>
      </c>
      <c r="C443" s="162">
        <v>1.1347688646139977</v>
      </c>
      <c r="D443" s="162">
        <v>1.1695377292279954</v>
      </c>
      <c r="E443" s="125">
        <v>1.17</v>
      </c>
    </row>
    <row r="444" spans="1:5">
      <c r="A444" s="122" t="s">
        <v>1678</v>
      </c>
      <c r="B444" s="161">
        <v>1.07</v>
      </c>
      <c r="C444" s="162">
        <v>1.1236784866270508</v>
      </c>
      <c r="D444" s="162">
        <v>1.1773569732541016</v>
      </c>
      <c r="E444" s="125">
        <v>1.18</v>
      </c>
    </row>
    <row r="445" spans="1:5">
      <c r="A445" s="122" t="s">
        <v>1467</v>
      </c>
      <c r="B445" s="161">
        <v>1.06</v>
      </c>
      <c r="C445" s="162">
        <v>1.1007429389856318</v>
      </c>
      <c r="D445" s="162">
        <v>1.1414858779712636</v>
      </c>
      <c r="E445" s="125">
        <v>1.1399999999999999</v>
      </c>
    </row>
    <row r="446" spans="1:5">
      <c r="A446" s="122" t="s">
        <v>2129</v>
      </c>
      <c r="B446" s="161">
        <v>1.1000000000000001</v>
      </c>
      <c r="C446" s="162">
        <v>1.1524177331910828</v>
      </c>
      <c r="D446" s="162">
        <v>1.2048354663821657</v>
      </c>
      <c r="E446" s="125">
        <v>1.2</v>
      </c>
    </row>
    <row r="447" spans="1:5">
      <c r="A447" s="122" t="s">
        <v>1918</v>
      </c>
      <c r="B447" s="161">
        <v>1.07</v>
      </c>
      <c r="C447" s="162">
        <v>1.094196651013871</v>
      </c>
      <c r="D447" s="162">
        <v>1.1183933020277421</v>
      </c>
      <c r="E447" s="125">
        <v>1.1200000000000001</v>
      </c>
    </row>
    <row r="448" spans="1:5">
      <c r="A448" s="122" t="s">
        <v>1919</v>
      </c>
      <c r="B448" s="161">
        <v>1.06</v>
      </c>
      <c r="C448" s="162">
        <v>1.0703608665383562</v>
      </c>
      <c r="D448" s="162">
        <v>1.0807217330767123</v>
      </c>
      <c r="E448" s="125">
        <v>1.08</v>
      </c>
    </row>
    <row r="449" spans="1:5">
      <c r="A449" s="122" t="s">
        <v>2912</v>
      </c>
      <c r="B449" s="161">
        <v>1.05</v>
      </c>
      <c r="C449" s="162">
        <v>1.0591037482214363</v>
      </c>
      <c r="D449" s="162">
        <v>1.0682074964428723</v>
      </c>
      <c r="E449" s="125">
        <v>1.07</v>
      </c>
    </row>
    <row r="450" spans="1:5">
      <c r="A450" s="122" t="s">
        <v>2879</v>
      </c>
      <c r="B450" s="161">
        <v>1.05</v>
      </c>
      <c r="C450" s="162">
        <v>1.0570477174283739</v>
      </c>
      <c r="D450" s="162">
        <v>1.064095434856748</v>
      </c>
      <c r="E450" s="125">
        <v>1.06</v>
      </c>
    </row>
    <row r="451" spans="1:5">
      <c r="A451" s="122" t="s">
        <v>2284</v>
      </c>
      <c r="B451" s="161">
        <v>1.04</v>
      </c>
      <c r="C451" s="162">
        <v>1.0566405618525498</v>
      </c>
      <c r="D451" s="162">
        <v>1.0732811237050996</v>
      </c>
      <c r="E451" s="125">
        <v>1.07</v>
      </c>
    </row>
    <row r="452" spans="1:5">
      <c r="A452" s="122" t="s">
        <v>71</v>
      </c>
      <c r="B452" s="161">
        <v>1.04</v>
      </c>
      <c r="C452" s="162">
        <v>1.0552014551990427</v>
      </c>
      <c r="D452" s="162">
        <v>1.0704029103980857</v>
      </c>
      <c r="E452" s="125">
        <v>1.07</v>
      </c>
    </row>
    <row r="453" spans="1:5">
      <c r="A453" s="122" t="s">
        <v>1711</v>
      </c>
      <c r="B453" s="161">
        <v>1.04</v>
      </c>
      <c r="C453" s="162">
        <v>1.0471780010386491</v>
      </c>
      <c r="D453" s="162">
        <v>1.0543560020772982</v>
      </c>
      <c r="E453" s="125">
        <v>1.05</v>
      </c>
    </row>
    <row r="454" spans="1:5">
      <c r="A454" s="122" t="s">
        <v>980</v>
      </c>
      <c r="B454" s="161">
        <v>1.05</v>
      </c>
      <c r="C454" s="162">
        <v>1.0456813621262158</v>
      </c>
      <c r="D454" s="162">
        <v>1.0413627242524315</v>
      </c>
      <c r="E454" s="125">
        <v>1.04</v>
      </c>
    </row>
    <row r="455" spans="1:5">
      <c r="A455" s="122" t="s">
        <v>72</v>
      </c>
      <c r="B455" s="161">
        <v>1.04</v>
      </c>
      <c r="C455" s="162">
        <v>1.0468554280843145</v>
      </c>
      <c r="D455" s="162">
        <v>1.0537108561686293</v>
      </c>
      <c r="E455" s="125">
        <v>1.05</v>
      </c>
    </row>
    <row r="456" spans="1:5">
      <c r="A456" s="122" t="s">
        <v>2437</v>
      </c>
      <c r="B456" s="161">
        <v>1.18</v>
      </c>
      <c r="C456" s="162">
        <v>1.1788736228898014</v>
      </c>
      <c r="D456" s="162">
        <v>1.1777472457796028</v>
      </c>
      <c r="E456" s="125">
        <v>1.18</v>
      </c>
    </row>
    <row r="457" spans="1:5">
      <c r="A457" s="122" t="s">
        <v>873</v>
      </c>
      <c r="B457" s="161">
        <v>1.18</v>
      </c>
      <c r="C457" s="162">
        <v>1.165275794386252</v>
      </c>
      <c r="D457" s="162">
        <v>1.150551588772504</v>
      </c>
      <c r="E457" s="125">
        <v>1.1499999999999999</v>
      </c>
    </row>
    <row r="458" spans="1:5">
      <c r="A458" s="122" t="s">
        <v>875</v>
      </c>
      <c r="B458" s="161">
        <v>1.18</v>
      </c>
      <c r="C458" s="162">
        <v>1.1930314828455468</v>
      </c>
      <c r="D458" s="162">
        <v>1.2060629656910937</v>
      </c>
      <c r="E458" s="125">
        <v>1.21</v>
      </c>
    </row>
    <row r="459" spans="1:5">
      <c r="A459" s="122" t="s">
        <v>2131</v>
      </c>
      <c r="B459" s="161">
        <v>1.17</v>
      </c>
      <c r="C459" s="162">
        <v>1.1523564171976162</v>
      </c>
      <c r="D459" s="162">
        <v>1.1347128343952326</v>
      </c>
      <c r="E459" s="125">
        <v>1.1299999999999999</v>
      </c>
    </row>
    <row r="460" spans="1:5">
      <c r="A460" s="122" t="s">
        <v>2894</v>
      </c>
      <c r="B460" s="161">
        <v>1.17</v>
      </c>
      <c r="C460" s="162">
        <v>1.1888367422307864</v>
      </c>
      <c r="D460" s="162">
        <v>1.2076734844615729</v>
      </c>
      <c r="E460" s="125">
        <v>1.21</v>
      </c>
    </row>
    <row r="461" spans="1:5">
      <c r="A461" s="122" t="s">
        <v>2897</v>
      </c>
      <c r="B461" s="161">
        <v>1.17</v>
      </c>
      <c r="C461" s="162">
        <v>1.161839459425706</v>
      </c>
      <c r="D461" s="162">
        <v>1.1536789188514123</v>
      </c>
      <c r="E461" s="125">
        <v>1.1499999999999999</v>
      </c>
    </row>
    <row r="462" spans="1:5">
      <c r="A462" s="122" t="s">
        <v>2903</v>
      </c>
      <c r="B462" s="161">
        <v>1.19</v>
      </c>
      <c r="C462" s="162">
        <v>1.1882443269696601</v>
      </c>
      <c r="D462" s="162">
        <v>1.1864886539393202</v>
      </c>
      <c r="E462" s="125">
        <v>1.19</v>
      </c>
    </row>
    <row r="463" spans="1:5">
      <c r="A463" s="122" t="s">
        <v>239</v>
      </c>
      <c r="B463" s="161">
        <v>1.19</v>
      </c>
      <c r="C463" s="162">
        <v>1.199974732995867</v>
      </c>
      <c r="D463" s="162">
        <v>1.209949465991734</v>
      </c>
      <c r="E463" s="125">
        <v>1.21</v>
      </c>
    </row>
    <row r="464" spans="1:5">
      <c r="A464" s="122" t="s">
        <v>1218</v>
      </c>
      <c r="B464" s="161">
        <v>1.1599999999999999</v>
      </c>
      <c r="C464" s="162">
        <v>1.1428332252855566</v>
      </c>
      <c r="D464" s="162">
        <v>1.1256664505711134</v>
      </c>
      <c r="E464" s="125">
        <v>1.1299999999999999</v>
      </c>
    </row>
    <row r="465" spans="1:5">
      <c r="A465" s="122" t="s">
        <v>1759</v>
      </c>
      <c r="B465" s="161">
        <v>1.1399999999999999</v>
      </c>
      <c r="C465" s="162">
        <v>1.1486817775929268</v>
      </c>
      <c r="D465" s="162">
        <v>1.1573635551858539</v>
      </c>
      <c r="E465" s="125">
        <v>1.1599999999999999</v>
      </c>
    </row>
    <row r="466" spans="1:5">
      <c r="A466" s="122" t="s">
        <v>65</v>
      </c>
      <c r="B466" s="161">
        <v>1.2</v>
      </c>
      <c r="C466" s="162">
        <v>1.2015939241587357</v>
      </c>
      <c r="D466" s="162">
        <v>1.2031878483174712</v>
      </c>
      <c r="E466" s="125">
        <v>1.2</v>
      </c>
    </row>
    <row r="467" spans="1:5">
      <c r="A467" s="122" t="s">
        <v>821</v>
      </c>
      <c r="B467" s="161">
        <v>1.19</v>
      </c>
      <c r="C467" s="162">
        <v>1.1899905507054747</v>
      </c>
      <c r="D467" s="162">
        <v>1.1899811014109494</v>
      </c>
      <c r="E467" s="125">
        <v>1.19</v>
      </c>
    </row>
    <row r="468" spans="1:5">
      <c r="A468" s="122" t="s">
        <v>67</v>
      </c>
      <c r="B468" s="161">
        <v>1.1499999999999999</v>
      </c>
      <c r="C468" s="162">
        <v>1.1230946836336604</v>
      </c>
      <c r="D468" s="162">
        <v>1.0961893672673209</v>
      </c>
      <c r="E468" s="125">
        <v>1.1000000000000001</v>
      </c>
    </row>
    <row r="469" spans="1:5">
      <c r="A469" s="122" t="s">
        <v>554</v>
      </c>
      <c r="B469" s="161">
        <v>1.1399999999999999</v>
      </c>
      <c r="C469" s="162">
        <v>1.1140612921916662</v>
      </c>
      <c r="D469" s="162">
        <v>1.0881225843833324</v>
      </c>
      <c r="E469" s="125">
        <v>1.0900000000000001</v>
      </c>
    </row>
    <row r="470" spans="1:5">
      <c r="A470" s="122" t="s">
        <v>1715</v>
      </c>
      <c r="B470" s="161">
        <v>1.1599999999999999</v>
      </c>
      <c r="C470" s="162">
        <v>1.1448101247488744</v>
      </c>
      <c r="D470" s="162">
        <v>1.1296202494977492</v>
      </c>
      <c r="E470" s="125">
        <v>1.1299999999999999</v>
      </c>
    </row>
    <row r="471" spans="1:5">
      <c r="A471" s="122" t="s">
        <v>172</v>
      </c>
      <c r="B471" s="161">
        <v>1.06</v>
      </c>
      <c r="C471" s="162">
        <v>1.0539614770829289</v>
      </c>
      <c r="D471" s="162">
        <v>1.0479229541658579</v>
      </c>
      <c r="E471" s="125">
        <v>1.05</v>
      </c>
    </row>
    <row r="472" spans="1:5">
      <c r="A472" s="122" t="s">
        <v>2869</v>
      </c>
      <c r="B472" s="161">
        <v>1.06</v>
      </c>
      <c r="C472" s="162">
        <v>1.0533645024627936</v>
      </c>
      <c r="D472" s="162">
        <v>1.0467290049255871</v>
      </c>
      <c r="E472" s="125">
        <v>1.05</v>
      </c>
    </row>
    <row r="473" spans="1:5">
      <c r="A473" s="122" t="s">
        <v>2756</v>
      </c>
      <c r="B473" s="161">
        <v>1.05</v>
      </c>
      <c r="C473" s="162">
        <v>1.0460888828580419</v>
      </c>
      <c r="D473" s="162">
        <v>1.042177765716084</v>
      </c>
      <c r="E473" s="125">
        <v>1.04</v>
      </c>
    </row>
    <row r="474" spans="1:5">
      <c r="A474" s="122" t="s">
        <v>2133</v>
      </c>
      <c r="B474" s="161">
        <v>1.05</v>
      </c>
      <c r="C474" s="162">
        <v>1.0645628547449297</v>
      </c>
      <c r="D474" s="162">
        <v>1.0791257094898594</v>
      </c>
      <c r="E474" s="125">
        <v>1.08</v>
      </c>
    </row>
    <row r="475" spans="1:5">
      <c r="A475" s="122" t="s">
        <v>555</v>
      </c>
      <c r="B475" s="161">
        <v>1.05</v>
      </c>
      <c r="C475" s="162">
        <v>1.0539008750695316</v>
      </c>
      <c r="D475" s="162">
        <v>1.0578017501390631</v>
      </c>
      <c r="E475" s="125">
        <v>1.06</v>
      </c>
    </row>
    <row r="476" spans="1:5">
      <c r="A476" s="122" t="s">
        <v>49</v>
      </c>
      <c r="B476" s="161">
        <v>1.06</v>
      </c>
      <c r="C476" s="162">
        <v>1.0571438860341658</v>
      </c>
      <c r="D476" s="162">
        <v>1.0542877720683315</v>
      </c>
      <c r="E476" s="125">
        <v>1.05</v>
      </c>
    </row>
    <row r="477" spans="1:5">
      <c r="A477" s="122" t="s">
        <v>173</v>
      </c>
      <c r="B477" s="161">
        <v>1.07</v>
      </c>
      <c r="C477" s="162">
        <v>1.0509634486643384</v>
      </c>
      <c r="D477" s="162">
        <v>1.0319268973286768</v>
      </c>
      <c r="E477" s="125">
        <v>1.03</v>
      </c>
    </row>
    <row r="478" spans="1:5">
      <c r="A478" s="122" t="s">
        <v>567</v>
      </c>
      <c r="B478" s="161">
        <v>1.06</v>
      </c>
      <c r="C478" s="162">
        <v>1.0492726648784201</v>
      </c>
      <c r="D478" s="162">
        <v>1.0385453297568399</v>
      </c>
      <c r="E478" s="125">
        <v>1.04</v>
      </c>
    </row>
    <row r="479" spans="1:5">
      <c r="A479" s="122" t="s">
        <v>1760</v>
      </c>
      <c r="B479" s="161">
        <v>1.06</v>
      </c>
      <c r="C479" s="162">
        <v>1.0661344642998443</v>
      </c>
      <c r="D479" s="162">
        <v>1.0722689285996883</v>
      </c>
      <c r="E479" s="125">
        <v>1.07</v>
      </c>
    </row>
    <row r="480" spans="1:5">
      <c r="A480" s="122" t="s">
        <v>568</v>
      </c>
      <c r="B480" s="161">
        <v>1.06</v>
      </c>
      <c r="C480" s="162">
        <v>1.0529148017117702</v>
      </c>
      <c r="D480" s="162">
        <v>1.0458296034235401</v>
      </c>
      <c r="E480" s="125">
        <v>1.05</v>
      </c>
    </row>
    <row r="481" spans="1:5">
      <c r="A481" s="122" t="s">
        <v>1733</v>
      </c>
      <c r="B481" s="161">
        <v>1.05</v>
      </c>
      <c r="C481" s="162">
        <v>1.0469886888335758</v>
      </c>
      <c r="D481" s="162">
        <v>1.0439773776671513</v>
      </c>
      <c r="E481" s="125">
        <v>1.04</v>
      </c>
    </row>
    <row r="482" spans="1:5">
      <c r="A482" s="122" t="s">
        <v>569</v>
      </c>
      <c r="B482" s="161">
        <v>1.06</v>
      </c>
      <c r="C482" s="162">
        <v>1.0517146523824656</v>
      </c>
      <c r="D482" s="162">
        <v>1.0434293047649312</v>
      </c>
      <c r="E482" s="125">
        <v>1.04</v>
      </c>
    </row>
    <row r="483" spans="1:5">
      <c r="A483" s="122" t="s">
        <v>1761</v>
      </c>
      <c r="B483" s="161">
        <v>1.06</v>
      </c>
      <c r="C483" s="162">
        <v>1.0446978614852247</v>
      </c>
      <c r="D483" s="162">
        <v>1.0293957229704491</v>
      </c>
      <c r="E483" s="125">
        <v>1.03</v>
      </c>
    </row>
    <row r="484" spans="1:5">
      <c r="A484" s="122" t="s">
        <v>1762</v>
      </c>
      <c r="B484" s="161">
        <v>1.0900000000000001</v>
      </c>
      <c r="C484" s="162">
        <v>1.0719717983355621</v>
      </c>
      <c r="D484" s="162">
        <v>1.0539435966711244</v>
      </c>
      <c r="E484" s="125">
        <v>1.05</v>
      </c>
    </row>
    <row r="485" spans="1:5">
      <c r="A485" s="122" t="s">
        <v>1410</v>
      </c>
      <c r="B485" s="161">
        <v>1.07</v>
      </c>
      <c r="C485" s="162">
        <v>1.0477686641435375</v>
      </c>
      <c r="D485" s="162">
        <v>1.0255373282870752</v>
      </c>
      <c r="E485" s="125">
        <v>1.03</v>
      </c>
    </row>
    <row r="486" spans="1:5">
      <c r="A486" s="122" t="s">
        <v>2104</v>
      </c>
      <c r="B486" s="161">
        <v>1.04</v>
      </c>
      <c r="C486" s="162">
        <v>1.03318748449997</v>
      </c>
      <c r="D486" s="162">
        <v>1.02637496899994</v>
      </c>
      <c r="E486" s="125">
        <v>1.03</v>
      </c>
    </row>
    <row r="487" spans="1:5">
      <c r="A487" s="122" t="s">
        <v>1411</v>
      </c>
      <c r="B487" s="161">
        <v>1.06</v>
      </c>
      <c r="C487" s="162">
        <v>1.0493367826682791</v>
      </c>
      <c r="D487" s="162">
        <v>1.0386735653365582</v>
      </c>
      <c r="E487" s="125">
        <v>1.04</v>
      </c>
    </row>
    <row r="488" spans="1:5">
      <c r="A488" s="122" t="s">
        <v>1412</v>
      </c>
      <c r="B488" s="161">
        <v>1.07</v>
      </c>
      <c r="C488" s="162">
        <v>1.0474576036376493</v>
      </c>
      <c r="D488" s="162">
        <v>1.0249152072752985</v>
      </c>
      <c r="E488" s="125">
        <v>1.02</v>
      </c>
    </row>
    <row r="489" spans="1:5">
      <c r="A489" s="122" t="s">
        <v>1413</v>
      </c>
      <c r="B489" s="161">
        <v>1.08</v>
      </c>
      <c r="C489" s="162">
        <v>1.0840348902463801</v>
      </c>
      <c r="D489" s="162">
        <v>1.0880697804927602</v>
      </c>
      <c r="E489" s="125">
        <v>1.0900000000000001</v>
      </c>
    </row>
    <row r="490" spans="1:5">
      <c r="A490" s="122" t="s">
        <v>1991</v>
      </c>
      <c r="B490" s="161">
        <v>1.04</v>
      </c>
      <c r="C490" s="162">
        <v>1.0433884331209615</v>
      </c>
      <c r="D490" s="162">
        <v>1.046776866241923</v>
      </c>
      <c r="E490" s="125">
        <v>1.05</v>
      </c>
    </row>
    <row r="491" spans="1:5">
      <c r="A491" s="122" t="s">
        <v>1709</v>
      </c>
      <c r="B491" s="161">
        <v>1.04</v>
      </c>
      <c r="C491" s="162">
        <v>1.0451820887608683</v>
      </c>
      <c r="D491" s="162">
        <v>1.0503641775217365</v>
      </c>
      <c r="E491" s="125">
        <v>1.05</v>
      </c>
    </row>
    <row r="492" spans="1:5">
      <c r="A492" s="122" t="s">
        <v>208</v>
      </c>
      <c r="B492" s="161">
        <v>1.06</v>
      </c>
      <c r="C492" s="162">
        <v>1.0688448602637406</v>
      </c>
      <c r="D492" s="162">
        <v>1.0776897205274811</v>
      </c>
      <c r="E492" s="125">
        <v>1.08</v>
      </c>
    </row>
    <row r="493" spans="1:5">
      <c r="A493" s="122" t="s">
        <v>1687</v>
      </c>
      <c r="B493" s="161">
        <v>1.03</v>
      </c>
      <c r="C493" s="162">
        <v>1.0364534993466066</v>
      </c>
      <c r="D493" s="162">
        <v>1.0429069986932133</v>
      </c>
      <c r="E493" s="125">
        <v>1.04</v>
      </c>
    </row>
    <row r="494" spans="1:5">
      <c r="A494" s="122" t="s">
        <v>209</v>
      </c>
      <c r="B494" s="161">
        <v>1.02</v>
      </c>
      <c r="C494" s="162">
        <v>1.0358680941358522</v>
      </c>
      <c r="D494" s="162">
        <v>1.0517361882717047</v>
      </c>
      <c r="E494" s="125">
        <v>1.05</v>
      </c>
    </row>
    <row r="495" spans="1:5">
      <c r="A495" s="122" t="s">
        <v>2217</v>
      </c>
      <c r="B495" s="161">
        <v>1.04</v>
      </c>
      <c r="C495" s="162">
        <v>1.0400769994471728</v>
      </c>
      <c r="D495" s="162">
        <v>1.0401539988943456</v>
      </c>
      <c r="E495" s="125">
        <v>1.04</v>
      </c>
    </row>
    <row r="496" spans="1:5">
      <c r="A496" s="122" t="s">
        <v>210</v>
      </c>
      <c r="B496" s="161">
        <v>1.04</v>
      </c>
      <c r="C496" s="162">
        <v>1.0592045543370441</v>
      </c>
      <c r="D496" s="162">
        <v>1.0784091086740883</v>
      </c>
      <c r="E496" s="125">
        <v>1.08</v>
      </c>
    </row>
    <row r="497" spans="1:5">
      <c r="A497" s="122" t="s">
        <v>211</v>
      </c>
      <c r="B497" s="161">
        <v>1.04</v>
      </c>
      <c r="C497" s="162">
        <v>1.0467864695487337</v>
      </c>
      <c r="D497" s="162">
        <v>1.0535729390974675</v>
      </c>
      <c r="E497" s="125">
        <v>1.05</v>
      </c>
    </row>
    <row r="498" spans="1:5">
      <c r="A498" s="122" t="s">
        <v>1688</v>
      </c>
      <c r="B498" s="161">
        <v>1.03</v>
      </c>
      <c r="C498" s="162">
        <v>1.0430671899220547</v>
      </c>
      <c r="D498" s="162">
        <v>1.0561343798441096</v>
      </c>
      <c r="E498" s="125">
        <v>1.06</v>
      </c>
    </row>
    <row r="499" spans="1:5">
      <c r="A499" s="122" t="s">
        <v>1601</v>
      </c>
      <c r="B499" s="161">
        <v>1.07</v>
      </c>
      <c r="C499" s="162">
        <v>1.070044248284538</v>
      </c>
      <c r="D499" s="162">
        <v>1.070088496569076</v>
      </c>
      <c r="E499" s="125">
        <v>1.07</v>
      </c>
    </row>
    <row r="500" spans="1:5">
      <c r="A500" s="122" t="s">
        <v>1432</v>
      </c>
      <c r="B500" s="161">
        <v>1.04</v>
      </c>
      <c r="C500" s="162">
        <v>1.0528736637972629</v>
      </c>
      <c r="D500" s="162">
        <v>1.0657473275945255</v>
      </c>
      <c r="E500" s="125">
        <v>1.07</v>
      </c>
    </row>
    <row r="501" spans="1:5">
      <c r="A501" s="122" t="s">
        <v>1104</v>
      </c>
      <c r="B501" s="161">
        <v>1.04</v>
      </c>
      <c r="C501" s="162">
        <v>1.0452356592665732</v>
      </c>
      <c r="D501" s="162">
        <v>1.0504713185331465</v>
      </c>
      <c r="E501" s="125">
        <v>1.05</v>
      </c>
    </row>
    <row r="502" spans="1:5">
      <c r="A502" s="122" t="s">
        <v>1105</v>
      </c>
      <c r="B502" s="161">
        <v>1.03</v>
      </c>
      <c r="C502" s="162">
        <v>1.0450922243702878</v>
      </c>
      <c r="D502" s="162">
        <v>1.0601844487405756</v>
      </c>
      <c r="E502" s="125">
        <v>1.06</v>
      </c>
    </row>
    <row r="503" spans="1:5">
      <c r="A503" s="122" t="s">
        <v>1011</v>
      </c>
      <c r="B503" s="161">
        <v>1.06</v>
      </c>
      <c r="C503" s="162">
        <v>1.0536388688308533</v>
      </c>
      <c r="D503" s="162">
        <v>1.0472777376617068</v>
      </c>
      <c r="E503" s="125">
        <v>1.05</v>
      </c>
    </row>
    <row r="504" spans="1:5">
      <c r="A504" s="122" t="s">
        <v>2036</v>
      </c>
      <c r="B504" s="161">
        <v>1.08</v>
      </c>
      <c r="C504" s="162">
        <v>1.0762502677849364</v>
      </c>
      <c r="D504" s="162">
        <v>1.0725005355698729</v>
      </c>
      <c r="E504" s="125">
        <v>1.07</v>
      </c>
    </row>
    <row r="505" spans="1:5">
      <c r="A505" s="122" t="s">
        <v>3076</v>
      </c>
      <c r="B505" s="161">
        <v>1.05</v>
      </c>
      <c r="C505" s="162">
        <v>1.0557734932095699</v>
      </c>
      <c r="D505" s="162">
        <v>1.0615469864191398</v>
      </c>
      <c r="E505" s="125">
        <v>1.06</v>
      </c>
    </row>
    <row r="506" spans="1:5">
      <c r="A506" s="122" t="s">
        <v>3077</v>
      </c>
      <c r="B506" s="161">
        <v>1.06</v>
      </c>
      <c r="C506" s="162">
        <v>1.0570965299656179</v>
      </c>
      <c r="D506" s="162">
        <v>1.0541930599312357</v>
      </c>
      <c r="E506" s="125">
        <v>1.05</v>
      </c>
    </row>
    <row r="507" spans="1:5">
      <c r="A507" s="122" t="s">
        <v>1507</v>
      </c>
      <c r="B507" s="161">
        <v>1.1100000000000001</v>
      </c>
      <c r="C507" s="162">
        <v>1.0815820871407387</v>
      </c>
      <c r="D507" s="162">
        <v>1.053164174281477</v>
      </c>
      <c r="E507" s="125">
        <v>1.05</v>
      </c>
    </row>
    <row r="508" spans="1:5">
      <c r="A508" s="122" t="s">
        <v>2492</v>
      </c>
      <c r="B508" s="161">
        <v>1.1000000000000001</v>
      </c>
      <c r="C508" s="162">
        <v>1.0753661710641009</v>
      </c>
      <c r="D508" s="162">
        <v>1.050732342128202</v>
      </c>
      <c r="E508" s="125">
        <v>1.05</v>
      </c>
    </row>
    <row r="509" spans="1:5">
      <c r="A509" s="122" t="s">
        <v>1271</v>
      </c>
      <c r="B509" s="161">
        <v>1.1000000000000001</v>
      </c>
      <c r="C509" s="162">
        <v>1.0701072015151052</v>
      </c>
      <c r="D509" s="162">
        <v>1.0402144030302103</v>
      </c>
      <c r="E509" s="125">
        <v>1.04</v>
      </c>
    </row>
    <row r="510" spans="1:5">
      <c r="A510" s="122" t="s">
        <v>2155</v>
      </c>
      <c r="B510" s="161">
        <v>1.06</v>
      </c>
      <c r="C510" s="162">
        <v>1.0913640792849311</v>
      </c>
      <c r="D510" s="162">
        <v>1.1227281585698621</v>
      </c>
      <c r="E510" s="125">
        <v>1.1200000000000001</v>
      </c>
    </row>
    <row r="511" spans="1:5">
      <c r="A511" s="122" t="s">
        <v>1272</v>
      </c>
      <c r="B511" s="161">
        <v>1.05</v>
      </c>
      <c r="C511" s="162">
        <v>1.0772017958458437</v>
      </c>
      <c r="D511" s="162">
        <v>1.1044035916916874</v>
      </c>
      <c r="E511" s="125">
        <v>1.1000000000000001</v>
      </c>
    </row>
    <row r="512" spans="1:5">
      <c r="A512" s="122" t="s">
        <v>1618</v>
      </c>
      <c r="B512" s="161">
        <v>1.06</v>
      </c>
      <c r="C512" s="162">
        <v>1.0829130331215762</v>
      </c>
      <c r="D512" s="162">
        <v>1.1058260662431525</v>
      </c>
      <c r="E512" s="125">
        <v>1.1100000000000001</v>
      </c>
    </row>
    <row r="513" spans="1:5">
      <c r="A513" s="122" t="s">
        <v>1209</v>
      </c>
      <c r="B513" s="161">
        <v>1.08</v>
      </c>
      <c r="C513" s="162">
        <v>1.1147683495161538</v>
      </c>
      <c r="D513" s="162">
        <v>1.1495366990323075</v>
      </c>
      <c r="E513" s="125">
        <v>1.1499999999999999</v>
      </c>
    </row>
    <row r="514" spans="1:5">
      <c r="A514" s="122" t="s">
        <v>2218</v>
      </c>
      <c r="B514" s="161">
        <v>1.04</v>
      </c>
      <c r="C514" s="162">
        <v>1.0643817989690807</v>
      </c>
      <c r="D514" s="162">
        <v>1.0887635979381616</v>
      </c>
      <c r="E514" s="125">
        <v>1.0900000000000001</v>
      </c>
    </row>
    <row r="515" spans="1:5">
      <c r="A515" s="122" t="s">
        <v>1781</v>
      </c>
      <c r="B515" s="161">
        <v>1.07</v>
      </c>
      <c r="C515" s="162">
        <v>1.1103911101156068</v>
      </c>
      <c r="D515" s="162">
        <v>1.1507822202312137</v>
      </c>
      <c r="E515" s="125">
        <v>1.1499999999999999</v>
      </c>
    </row>
    <row r="516" spans="1:5">
      <c r="A516" s="122" t="s">
        <v>273</v>
      </c>
      <c r="B516" s="161">
        <v>1.06</v>
      </c>
      <c r="C516" s="162">
        <v>1.0806798989575617</v>
      </c>
      <c r="D516" s="162">
        <v>1.1013597979151233</v>
      </c>
      <c r="E516" s="125">
        <v>1.1000000000000001</v>
      </c>
    </row>
    <row r="517" spans="1:5">
      <c r="A517" s="122" t="s">
        <v>1210</v>
      </c>
      <c r="B517" s="161">
        <v>1.05</v>
      </c>
      <c r="C517" s="162">
        <v>1.0566096751733696</v>
      </c>
      <c r="D517" s="162">
        <v>1.0632193503467389</v>
      </c>
      <c r="E517" s="125">
        <v>1.06</v>
      </c>
    </row>
    <row r="518" spans="1:5">
      <c r="A518" s="122" t="s">
        <v>987</v>
      </c>
      <c r="B518" s="161">
        <v>1.04</v>
      </c>
      <c r="C518" s="162">
        <v>1.0708923482349326</v>
      </c>
      <c r="D518" s="162">
        <v>1.1017846964698654</v>
      </c>
      <c r="E518" s="125">
        <v>1.1000000000000001</v>
      </c>
    </row>
    <row r="519" spans="1:5">
      <c r="A519" s="122" t="s">
        <v>2105</v>
      </c>
      <c r="B519" s="161">
        <v>1.07</v>
      </c>
      <c r="C519" s="162">
        <v>1.0895936694098696</v>
      </c>
      <c r="D519" s="162">
        <v>1.1091873388197393</v>
      </c>
      <c r="E519" s="125">
        <v>1.1100000000000001</v>
      </c>
    </row>
    <row r="520" spans="1:5">
      <c r="A520" s="122" t="s">
        <v>1211</v>
      </c>
      <c r="B520" s="161">
        <v>1.08</v>
      </c>
      <c r="C520" s="162">
        <v>1.0775796136319891</v>
      </c>
      <c r="D520" s="162">
        <v>1.0751592272639781</v>
      </c>
      <c r="E520" s="125">
        <v>1.08</v>
      </c>
    </row>
    <row r="521" spans="1:5">
      <c r="A521" s="122" t="s">
        <v>2454</v>
      </c>
      <c r="B521" s="161">
        <v>1.07</v>
      </c>
      <c r="C521" s="162">
        <v>1.0657310393659309</v>
      </c>
      <c r="D521" s="162">
        <v>1.0614620787318618</v>
      </c>
      <c r="E521" s="125">
        <v>1.06</v>
      </c>
    </row>
    <row r="522" spans="1:5">
      <c r="A522" s="122" t="s">
        <v>2455</v>
      </c>
      <c r="B522" s="161">
        <v>1.06</v>
      </c>
      <c r="C522" s="162">
        <v>1.0627733806772421</v>
      </c>
      <c r="D522" s="162">
        <v>1.0655467613544842</v>
      </c>
      <c r="E522" s="125">
        <v>1.07</v>
      </c>
    </row>
    <row r="523" spans="1:5">
      <c r="A523" s="122" t="s">
        <v>1428</v>
      </c>
      <c r="B523" s="161">
        <v>1.07</v>
      </c>
      <c r="C523" s="162">
        <v>1.053933653020237</v>
      </c>
      <c r="D523" s="162">
        <v>1.0378673060404739</v>
      </c>
      <c r="E523" s="125">
        <v>1.04</v>
      </c>
    </row>
    <row r="524" spans="1:5">
      <c r="A524" s="122" t="s">
        <v>1429</v>
      </c>
      <c r="B524" s="161">
        <v>1.06</v>
      </c>
      <c r="C524" s="162">
        <v>1.0545662188898659</v>
      </c>
      <c r="D524" s="162">
        <v>1.0491324377797318</v>
      </c>
      <c r="E524" s="125">
        <v>1.05</v>
      </c>
    </row>
    <row r="525" spans="1:5">
      <c r="A525" s="122" t="s">
        <v>1039</v>
      </c>
      <c r="B525" s="161">
        <v>1.05</v>
      </c>
      <c r="C525" s="162">
        <v>1.0611848969513082</v>
      </c>
      <c r="D525" s="162">
        <v>1.0723697939026167</v>
      </c>
      <c r="E525" s="125">
        <v>1.07</v>
      </c>
    </row>
    <row r="526" spans="1:5">
      <c r="A526" s="122" t="s">
        <v>1040</v>
      </c>
      <c r="B526" s="161">
        <v>1.05</v>
      </c>
      <c r="C526" s="162">
        <v>1.0679767384579639</v>
      </c>
      <c r="D526" s="162">
        <v>1.085953476915928</v>
      </c>
      <c r="E526" s="125">
        <v>1.0900000000000001</v>
      </c>
    </row>
    <row r="527" spans="1:5">
      <c r="A527" s="122" t="s">
        <v>1041</v>
      </c>
      <c r="B527" s="161">
        <v>1.05</v>
      </c>
      <c r="C527" s="162">
        <v>1.0635245168548024</v>
      </c>
      <c r="D527" s="162">
        <v>1.0770490337096048</v>
      </c>
      <c r="E527" s="125">
        <v>1.08</v>
      </c>
    </row>
    <row r="528" spans="1:5">
      <c r="A528" s="122" t="s">
        <v>1042</v>
      </c>
      <c r="B528" s="161">
        <v>1.08</v>
      </c>
      <c r="C528" s="162">
        <v>1.0831895280718371</v>
      </c>
      <c r="D528" s="162">
        <v>1.0863790561436741</v>
      </c>
      <c r="E528" s="125">
        <v>1.0900000000000001</v>
      </c>
    </row>
    <row r="529" spans="1:5">
      <c r="A529" s="122" t="s">
        <v>2972</v>
      </c>
      <c r="B529" s="161">
        <v>1.0900000000000001</v>
      </c>
      <c r="C529" s="162">
        <v>1.0856653962341389</v>
      </c>
      <c r="D529" s="162">
        <v>1.0813307924682778</v>
      </c>
      <c r="E529" s="125">
        <v>1.08</v>
      </c>
    </row>
    <row r="530" spans="1:5">
      <c r="A530" s="122" t="s">
        <v>544</v>
      </c>
      <c r="B530" s="161">
        <v>1.07</v>
      </c>
      <c r="C530" s="162">
        <v>1.0755398309612585</v>
      </c>
      <c r="D530" s="162">
        <v>1.0810796619225171</v>
      </c>
      <c r="E530" s="125">
        <v>1.08</v>
      </c>
    </row>
    <row r="531" spans="1:5">
      <c r="A531" s="122" t="s">
        <v>3042</v>
      </c>
      <c r="B531" s="161">
        <v>1.07</v>
      </c>
      <c r="C531" s="162">
        <v>1.0622016824213083</v>
      </c>
      <c r="D531" s="162">
        <v>1.0544033648426165</v>
      </c>
      <c r="E531" s="125">
        <v>1.05</v>
      </c>
    </row>
    <row r="532" spans="1:5">
      <c r="A532" s="122" t="s">
        <v>995</v>
      </c>
      <c r="B532" s="161">
        <v>1.06</v>
      </c>
      <c r="C532" s="162">
        <v>1.0622568425112</v>
      </c>
      <c r="D532" s="162">
        <v>1.0645136850223997</v>
      </c>
      <c r="E532" s="125">
        <v>1.06</v>
      </c>
    </row>
    <row r="533" spans="1:5">
      <c r="A533" s="122" t="s">
        <v>51</v>
      </c>
      <c r="B533" s="161">
        <v>1.08</v>
      </c>
      <c r="C533" s="162">
        <v>1.0832680609983147</v>
      </c>
      <c r="D533" s="162">
        <v>1.0865361219966294</v>
      </c>
      <c r="E533" s="125">
        <v>1.0900000000000001</v>
      </c>
    </row>
    <row r="534" spans="1:5">
      <c r="A534" s="122" t="s">
        <v>61</v>
      </c>
      <c r="B534" s="161">
        <v>1.06</v>
      </c>
      <c r="C534" s="162">
        <v>1.0658059085487082</v>
      </c>
      <c r="D534" s="162">
        <v>1.0716118170974163</v>
      </c>
      <c r="E534" s="125">
        <v>1.07</v>
      </c>
    </row>
    <row r="535" spans="1:5">
      <c r="A535" s="122" t="s">
        <v>3043</v>
      </c>
      <c r="B535" s="161">
        <v>1.05</v>
      </c>
      <c r="C535" s="162">
        <v>1.0488819430000649</v>
      </c>
      <c r="D535" s="162">
        <v>1.0477638860001295</v>
      </c>
      <c r="E535" s="125">
        <v>1.05</v>
      </c>
    </row>
    <row r="536" spans="1:5">
      <c r="A536" s="122" t="s">
        <v>3044</v>
      </c>
      <c r="B536" s="161">
        <v>1.08</v>
      </c>
      <c r="C536" s="162">
        <v>1.0590562607477891</v>
      </c>
      <c r="D536" s="162">
        <v>1.0381125214955782</v>
      </c>
      <c r="E536" s="125">
        <v>1.04</v>
      </c>
    </row>
    <row r="537" spans="1:5">
      <c r="A537" s="122" t="s">
        <v>3045</v>
      </c>
      <c r="B537" s="161">
        <v>1.0900000000000001</v>
      </c>
      <c r="C537" s="162">
        <v>1.0621930976394891</v>
      </c>
      <c r="D537" s="162">
        <v>1.0343861952789781</v>
      </c>
      <c r="E537" s="125">
        <v>1.03</v>
      </c>
    </row>
    <row r="538" spans="1:5">
      <c r="A538" s="122" t="s">
        <v>2905</v>
      </c>
      <c r="B538" s="161">
        <v>1.1200000000000001</v>
      </c>
      <c r="C538" s="162">
        <v>1.1230816556308927</v>
      </c>
      <c r="D538" s="162">
        <v>1.1261633112617855</v>
      </c>
      <c r="E538" s="125">
        <v>1.1299999999999999</v>
      </c>
    </row>
    <row r="539" spans="1:5">
      <c r="A539" s="122" t="s">
        <v>2615</v>
      </c>
      <c r="B539" s="161">
        <v>1.1399999999999999</v>
      </c>
      <c r="C539" s="162">
        <v>1.146532136466982</v>
      </c>
      <c r="D539" s="162">
        <v>1.1530642729339642</v>
      </c>
      <c r="E539" s="125">
        <v>1.1499999999999999</v>
      </c>
    </row>
    <row r="540" spans="1:5">
      <c r="A540" s="122" t="s">
        <v>2616</v>
      </c>
      <c r="B540" s="161">
        <v>1.1200000000000001</v>
      </c>
      <c r="C540" s="162">
        <v>1.1223350424102145</v>
      </c>
      <c r="D540" s="162">
        <v>1.124670084820429</v>
      </c>
      <c r="E540" s="125">
        <v>1.1200000000000001</v>
      </c>
    </row>
    <row r="541" spans="1:5">
      <c r="A541" s="122" t="s">
        <v>1501</v>
      </c>
      <c r="B541" s="161">
        <v>1.1399999999999999</v>
      </c>
      <c r="C541" s="162">
        <v>1.1570646941671765</v>
      </c>
      <c r="D541" s="162">
        <v>1.1741293883343531</v>
      </c>
      <c r="E541" s="125">
        <v>1.17</v>
      </c>
    </row>
    <row r="542" spans="1:5">
      <c r="A542" s="122" t="s">
        <v>1502</v>
      </c>
      <c r="B542" s="161">
        <v>1.0900000000000001</v>
      </c>
      <c r="C542" s="162">
        <v>1.071140618561476</v>
      </c>
      <c r="D542" s="162">
        <v>1.0522812371229522</v>
      </c>
      <c r="E542" s="125">
        <v>1.05</v>
      </c>
    </row>
    <row r="543" spans="1:5">
      <c r="A543" s="122" t="s">
        <v>1484</v>
      </c>
      <c r="B543" s="161">
        <v>1.0900000000000001</v>
      </c>
      <c r="C543" s="162">
        <v>1.0938969254206641</v>
      </c>
      <c r="D543" s="162">
        <v>1.0977938508413283</v>
      </c>
      <c r="E543" s="125">
        <v>1.1000000000000001</v>
      </c>
    </row>
    <row r="544" spans="1:5">
      <c r="A544" s="122" t="s">
        <v>1503</v>
      </c>
      <c r="B544" s="161">
        <v>1.1000000000000001</v>
      </c>
      <c r="C544" s="162">
        <v>1.1114796338114341</v>
      </c>
      <c r="D544" s="162">
        <v>1.1229592676228684</v>
      </c>
      <c r="E544" s="125">
        <v>1.1200000000000001</v>
      </c>
    </row>
    <row r="545" spans="1:5">
      <c r="A545" s="122" t="s">
        <v>2299</v>
      </c>
      <c r="B545" s="161">
        <v>1.1200000000000001</v>
      </c>
      <c r="C545" s="162">
        <v>1.1097306916208063</v>
      </c>
      <c r="D545" s="162">
        <v>1.0994613832416122</v>
      </c>
      <c r="E545" s="125">
        <v>1.1000000000000001</v>
      </c>
    </row>
    <row r="546" spans="1:5">
      <c r="A546" s="122" t="s">
        <v>2652</v>
      </c>
      <c r="B546" s="161">
        <v>1.1000000000000001</v>
      </c>
      <c r="C546" s="162">
        <v>1.0845333399879549</v>
      </c>
      <c r="D546" s="162">
        <v>1.0690666799759097</v>
      </c>
      <c r="E546" s="125">
        <v>1.07</v>
      </c>
    </row>
    <row r="547" spans="1:5">
      <c r="A547" s="122" t="s">
        <v>1593</v>
      </c>
      <c r="B547" s="161">
        <v>1.0900000000000001</v>
      </c>
      <c r="C547" s="162">
        <v>1.0916900758276238</v>
      </c>
      <c r="D547" s="162">
        <v>1.0933801516552475</v>
      </c>
      <c r="E547" s="125">
        <v>1.0900000000000001</v>
      </c>
    </row>
    <row r="548" spans="1:5">
      <c r="A548" s="122" t="s">
        <v>244</v>
      </c>
      <c r="B548" s="161">
        <v>1.08</v>
      </c>
      <c r="C548" s="162">
        <v>1.0758630128894306</v>
      </c>
      <c r="D548" s="162">
        <v>1.0717260257788612</v>
      </c>
      <c r="E548" s="125">
        <v>1.07</v>
      </c>
    </row>
    <row r="549" spans="1:5">
      <c r="A549" s="122" t="s">
        <v>1504</v>
      </c>
      <c r="B549" s="161">
        <v>1.1299999999999999</v>
      </c>
      <c r="C549" s="162">
        <v>1.0913618802523204</v>
      </c>
      <c r="D549" s="162">
        <v>1.0527237605046409</v>
      </c>
      <c r="E549" s="125">
        <v>1.05</v>
      </c>
    </row>
    <row r="550" spans="1:5">
      <c r="A550" s="122" t="s">
        <v>223</v>
      </c>
      <c r="B550" s="161">
        <v>1.1000000000000001</v>
      </c>
      <c r="C550" s="162">
        <v>1.1376458619252843</v>
      </c>
      <c r="D550" s="162">
        <v>1.1752917238505685</v>
      </c>
      <c r="E550" s="125">
        <v>1.18</v>
      </c>
    </row>
    <row r="551" spans="1:5">
      <c r="A551" s="122" t="s">
        <v>2153</v>
      </c>
      <c r="B551" s="161">
        <v>1.1100000000000001</v>
      </c>
      <c r="C551" s="162">
        <v>1.1599864028343208</v>
      </c>
      <c r="D551" s="162">
        <v>1.2099728056686414</v>
      </c>
      <c r="E551" s="125">
        <v>1.21</v>
      </c>
    </row>
    <row r="552" spans="1:5">
      <c r="A552" s="122" t="s">
        <v>627</v>
      </c>
      <c r="B552" s="161">
        <v>1.1100000000000001</v>
      </c>
      <c r="C552" s="162">
        <v>1.1488726930186384</v>
      </c>
      <c r="D552" s="162">
        <v>1.1877453860372764</v>
      </c>
      <c r="E552" s="125">
        <v>1.19</v>
      </c>
    </row>
    <row r="553" spans="1:5">
      <c r="A553" s="122" t="s">
        <v>2037</v>
      </c>
      <c r="B553" s="161">
        <v>1.0900000000000001</v>
      </c>
      <c r="C553" s="162">
        <v>1.1111608708003518</v>
      </c>
      <c r="D553" s="162">
        <v>1.1323217416007032</v>
      </c>
      <c r="E553" s="125">
        <v>1.1299999999999999</v>
      </c>
    </row>
    <row r="554" spans="1:5">
      <c r="A554" s="122" t="s">
        <v>52</v>
      </c>
      <c r="B554" s="161">
        <v>1.1200000000000001</v>
      </c>
      <c r="C554" s="162">
        <v>1.1523883504516315</v>
      </c>
      <c r="D554" s="162">
        <v>1.1847767009032628</v>
      </c>
      <c r="E554" s="125">
        <v>1.18</v>
      </c>
    </row>
    <row r="555" spans="1:5">
      <c r="A555" s="122" t="s">
        <v>1505</v>
      </c>
      <c r="B555" s="161">
        <v>1.08</v>
      </c>
      <c r="C555" s="162">
        <v>1.1052813048455352</v>
      </c>
      <c r="D555" s="162">
        <v>1.1305626096910701</v>
      </c>
      <c r="E555" s="125">
        <v>1.1299999999999999</v>
      </c>
    </row>
    <row r="556" spans="1:5">
      <c r="A556" s="122" t="s">
        <v>2653</v>
      </c>
      <c r="B556" s="161">
        <v>1.08</v>
      </c>
      <c r="C556" s="162">
        <v>1.101614716092969</v>
      </c>
      <c r="D556" s="162">
        <v>1.123229432185938</v>
      </c>
      <c r="E556" s="125">
        <v>1.1200000000000001</v>
      </c>
    </row>
    <row r="557" spans="1:5">
      <c r="A557" s="122" t="s">
        <v>283</v>
      </c>
      <c r="B557" s="161">
        <v>1.08</v>
      </c>
      <c r="C557" s="162">
        <v>1.1177580780101537</v>
      </c>
      <c r="D557" s="162">
        <v>1.1555161560203071</v>
      </c>
      <c r="E557" s="125">
        <v>1.1599999999999999</v>
      </c>
    </row>
    <row r="558" spans="1:5">
      <c r="A558" s="122" t="s">
        <v>1435</v>
      </c>
      <c r="B558" s="161">
        <v>1.08</v>
      </c>
      <c r="C558" s="162">
        <v>1.1139745179195522</v>
      </c>
      <c r="D558" s="162">
        <v>1.1479490358391042</v>
      </c>
      <c r="E558" s="125">
        <v>1.1499999999999999</v>
      </c>
    </row>
    <row r="559" spans="1:5">
      <c r="A559" s="122" t="s">
        <v>2400</v>
      </c>
      <c r="B559" s="161">
        <v>1.06</v>
      </c>
      <c r="C559" s="162">
        <v>1.0575966842609374</v>
      </c>
      <c r="D559" s="162">
        <v>1.0551933685218746</v>
      </c>
      <c r="E559" s="125">
        <v>1.06</v>
      </c>
    </row>
    <row r="560" spans="1:5">
      <c r="A560" s="122" t="s">
        <v>1506</v>
      </c>
      <c r="B560" s="161">
        <v>1.05</v>
      </c>
      <c r="C560" s="162">
        <v>1.0497626977010457</v>
      </c>
      <c r="D560" s="162">
        <v>1.0495253954020916</v>
      </c>
      <c r="E560" s="125">
        <v>1.05</v>
      </c>
    </row>
    <row r="561" spans="1:5">
      <c r="A561" s="122" t="s">
        <v>2128</v>
      </c>
      <c r="B561" s="161">
        <v>1.06</v>
      </c>
      <c r="C561" s="162">
        <v>1.0564579791381292</v>
      </c>
      <c r="D561" s="162">
        <v>1.0529159582762584</v>
      </c>
      <c r="E561" s="125">
        <v>1.05</v>
      </c>
    </row>
    <row r="562" spans="1:5">
      <c r="A562" s="122" t="s">
        <v>2870</v>
      </c>
      <c r="B562" s="161">
        <v>1.05</v>
      </c>
      <c r="C562" s="162">
        <v>1.0373107053210768</v>
      </c>
      <c r="D562" s="162">
        <v>1.0246214106421534</v>
      </c>
      <c r="E562" s="125">
        <v>1.02</v>
      </c>
    </row>
    <row r="563" spans="1:5">
      <c r="A563" s="122" t="s">
        <v>288</v>
      </c>
      <c r="B563" s="161">
        <v>1.04</v>
      </c>
      <c r="C563" s="162">
        <v>1.0476263552974294</v>
      </c>
      <c r="D563" s="162">
        <v>1.0552527105948586</v>
      </c>
      <c r="E563" s="125">
        <v>1.06</v>
      </c>
    </row>
    <row r="564" spans="1:5">
      <c r="A564" s="122" t="s">
        <v>54</v>
      </c>
      <c r="B564" s="161">
        <v>1.06</v>
      </c>
      <c r="C564" s="162">
        <v>1.0643365803133</v>
      </c>
      <c r="D564" s="162">
        <v>1.0686731606266002</v>
      </c>
      <c r="E564" s="125">
        <v>1.07</v>
      </c>
    </row>
    <row r="565" spans="1:5">
      <c r="A565" s="122" t="s">
        <v>2871</v>
      </c>
      <c r="B565" s="161">
        <v>1.08</v>
      </c>
      <c r="C565" s="162">
        <v>1.0750154946670805</v>
      </c>
      <c r="D565" s="162">
        <v>1.0700309893341609</v>
      </c>
      <c r="E565" s="125">
        <v>1.07</v>
      </c>
    </row>
    <row r="566" spans="1:5">
      <c r="A566" s="122" t="s">
        <v>1317</v>
      </c>
      <c r="B566" s="161">
        <v>1.06</v>
      </c>
      <c r="C566" s="162">
        <v>1.0581938713148249</v>
      </c>
      <c r="D566" s="162">
        <v>1.0563877426296497</v>
      </c>
      <c r="E566" s="125">
        <v>1.06</v>
      </c>
    </row>
    <row r="567" spans="1:5">
      <c r="A567" s="122" t="s">
        <v>1899</v>
      </c>
      <c r="B567" s="161">
        <v>1.04</v>
      </c>
      <c r="C567" s="162">
        <v>1.0473024446481638</v>
      </c>
      <c r="D567" s="162">
        <v>1.0546048892963273</v>
      </c>
      <c r="E567" s="125">
        <v>1.05</v>
      </c>
    </row>
    <row r="568" spans="1:5">
      <c r="A568" s="122" t="s">
        <v>2757</v>
      </c>
      <c r="B568" s="161">
        <v>1.08</v>
      </c>
      <c r="C568" s="162">
        <v>1.1206126112662198</v>
      </c>
      <c r="D568" s="162">
        <v>1.1612252225324393</v>
      </c>
      <c r="E568" s="125">
        <v>1.1599999999999999</v>
      </c>
    </row>
    <row r="569" spans="1:5">
      <c r="A569" s="122" t="s">
        <v>1515</v>
      </c>
      <c r="B569" s="161">
        <v>1.08</v>
      </c>
      <c r="C569" s="162">
        <v>1.1304138539212274</v>
      </c>
      <c r="D569" s="162">
        <v>1.1808277078424545</v>
      </c>
      <c r="E569" s="125">
        <v>1.18</v>
      </c>
    </row>
    <row r="570" spans="1:5">
      <c r="A570" s="122" t="s">
        <v>56</v>
      </c>
      <c r="B570" s="161">
        <v>1.1000000000000001</v>
      </c>
      <c r="C570" s="162">
        <v>1.1315292906325705</v>
      </c>
      <c r="D570" s="162">
        <v>1.1630585812651408</v>
      </c>
      <c r="E570" s="125">
        <v>1.1599999999999999</v>
      </c>
    </row>
    <row r="571" spans="1:5">
      <c r="A571" s="122" t="s">
        <v>58</v>
      </c>
      <c r="B571" s="161">
        <v>1.08</v>
      </c>
      <c r="C571" s="162">
        <v>1.105965415061138</v>
      </c>
      <c r="D571" s="162">
        <v>1.1319308301222759</v>
      </c>
      <c r="E571" s="125">
        <v>1.1299999999999999</v>
      </c>
    </row>
    <row r="572" spans="1:5">
      <c r="A572" s="122" t="s">
        <v>2923</v>
      </c>
      <c r="B572" s="161">
        <v>1.0900000000000001</v>
      </c>
      <c r="C572" s="162">
        <v>1.1145814932325906</v>
      </c>
      <c r="D572" s="162">
        <v>1.1391629864651811</v>
      </c>
      <c r="E572" s="125">
        <v>1.1399999999999999</v>
      </c>
    </row>
    <row r="573" spans="1:5">
      <c r="A573" s="122" t="s">
        <v>2924</v>
      </c>
      <c r="B573" s="161">
        <v>1.1000000000000001</v>
      </c>
      <c r="C573" s="162">
        <v>1.1381202606504877</v>
      </c>
      <c r="D573" s="162">
        <v>1.1762405213009752</v>
      </c>
      <c r="E573" s="125">
        <v>1.18</v>
      </c>
    </row>
    <row r="574" spans="1:5">
      <c r="A574" s="122" t="s">
        <v>536</v>
      </c>
      <c r="B574" s="161">
        <v>1.07</v>
      </c>
      <c r="C574" s="162">
        <v>1.0993260711922344</v>
      </c>
      <c r="D574" s="162">
        <v>1.1286521423844686</v>
      </c>
      <c r="E574" s="125">
        <v>1.1299999999999999</v>
      </c>
    </row>
    <row r="575" spans="1:5">
      <c r="A575" s="122" t="s">
        <v>2925</v>
      </c>
      <c r="B575" s="161">
        <v>1.0900000000000001</v>
      </c>
      <c r="C575" s="162">
        <v>1.1471167288039212</v>
      </c>
      <c r="D575" s="162">
        <v>1.2042334576078424</v>
      </c>
      <c r="E575" s="125">
        <v>1.2</v>
      </c>
    </row>
    <row r="576" spans="1:5">
      <c r="A576" s="122" t="s">
        <v>1732</v>
      </c>
      <c r="B576" s="161">
        <v>1.06</v>
      </c>
      <c r="C576" s="162">
        <v>1.0998601741692613</v>
      </c>
      <c r="D576" s="162">
        <v>1.1397203483385223</v>
      </c>
      <c r="E576" s="125">
        <v>1.1399999999999999</v>
      </c>
    </row>
    <row r="577" spans="1:5">
      <c r="A577" s="122" t="s">
        <v>3088</v>
      </c>
      <c r="B577" s="161">
        <v>1.1200000000000001</v>
      </c>
      <c r="C577" s="162">
        <v>1.0861543433302983</v>
      </c>
      <c r="D577" s="162">
        <v>1.0523086866605964</v>
      </c>
      <c r="E577" s="125">
        <v>1.05</v>
      </c>
    </row>
    <row r="578" spans="1:5">
      <c r="A578" s="122" t="s">
        <v>2649</v>
      </c>
      <c r="B578" s="161">
        <v>1.07</v>
      </c>
      <c r="C578" s="162">
        <v>1.059465861422114</v>
      </c>
      <c r="D578" s="162">
        <v>1.0489317228442276</v>
      </c>
      <c r="E578" s="125">
        <v>1.05</v>
      </c>
    </row>
    <row r="579" spans="1:5">
      <c r="A579" s="122" t="s">
        <v>1734</v>
      </c>
      <c r="B579" s="161">
        <v>1.05</v>
      </c>
      <c r="C579" s="162">
        <v>1.0633965245299761</v>
      </c>
      <c r="D579" s="162">
        <v>1.0767930490599522</v>
      </c>
      <c r="E579" s="125">
        <v>1.08</v>
      </c>
    </row>
    <row r="580" spans="1:5">
      <c r="A580" s="122" t="s">
        <v>2913</v>
      </c>
      <c r="B580" s="161">
        <v>1.05</v>
      </c>
      <c r="C580" s="162">
        <v>1.0570960688341715</v>
      </c>
      <c r="D580" s="162">
        <v>1.064192137668343</v>
      </c>
      <c r="E580" s="125">
        <v>1.06</v>
      </c>
    </row>
    <row r="581" spans="1:5">
      <c r="A581" s="122" t="s">
        <v>2914</v>
      </c>
      <c r="B581" s="161">
        <v>1.06</v>
      </c>
      <c r="C581" s="162">
        <v>1.0754553648806819</v>
      </c>
      <c r="D581" s="162">
        <v>1.0909107297613641</v>
      </c>
      <c r="E581" s="125">
        <v>1.0900000000000001</v>
      </c>
    </row>
    <row r="582" spans="1:5">
      <c r="A582" s="122" t="s">
        <v>529</v>
      </c>
      <c r="B582" s="161">
        <v>1.05</v>
      </c>
      <c r="C582" s="162">
        <v>1.0679193643887666</v>
      </c>
      <c r="D582" s="162">
        <v>1.0858387287775333</v>
      </c>
      <c r="E582" s="125">
        <v>1.0900000000000001</v>
      </c>
    </row>
    <row r="583" spans="1:5">
      <c r="A583" s="122" t="s">
        <v>2601</v>
      </c>
      <c r="B583" s="161">
        <v>1.05</v>
      </c>
      <c r="C583" s="162">
        <v>1.0474916685671181</v>
      </c>
      <c r="D583" s="162">
        <v>1.0449833371342361</v>
      </c>
      <c r="E583" s="125">
        <v>1.04</v>
      </c>
    </row>
    <row r="584" spans="1:5">
      <c r="A584" s="122" t="s">
        <v>2602</v>
      </c>
      <c r="B584" s="161">
        <v>1.05</v>
      </c>
      <c r="C584" s="162">
        <v>1.0635445322099746</v>
      </c>
      <c r="D584" s="162">
        <v>1.0770890644199489</v>
      </c>
      <c r="E584" s="125">
        <v>1.08</v>
      </c>
    </row>
    <row r="585" spans="1:5">
      <c r="A585" s="122" t="s">
        <v>1727</v>
      </c>
      <c r="B585" s="161">
        <v>1.08</v>
      </c>
      <c r="C585" s="162">
        <v>1.0681893183373856</v>
      </c>
      <c r="D585" s="162">
        <v>1.0563786366747709</v>
      </c>
      <c r="E585" s="125">
        <v>1.06</v>
      </c>
    </row>
    <row r="586" spans="1:5">
      <c r="A586" s="122" t="s">
        <v>1728</v>
      </c>
      <c r="B586" s="161">
        <v>1.1000000000000001</v>
      </c>
      <c r="C586" s="162">
        <v>1.0749066656307193</v>
      </c>
      <c r="D586" s="162">
        <v>1.0498133312614388</v>
      </c>
      <c r="E586" s="125">
        <v>1.05</v>
      </c>
    </row>
    <row r="587" spans="1:5">
      <c r="A587" s="122" t="s">
        <v>2872</v>
      </c>
      <c r="B587" s="161">
        <v>1.1200000000000001</v>
      </c>
      <c r="C587" s="162">
        <v>1.1055391443481857</v>
      </c>
      <c r="D587" s="162">
        <v>1.0910782886963712</v>
      </c>
      <c r="E587" s="125">
        <v>1.0900000000000001</v>
      </c>
    </row>
    <row r="588" spans="1:5">
      <c r="A588" s="122" t="s">
        <v>429</v>
      </c>
      <c r="B588" s="161">
        <v>1.08</v>
      </c>
      <c r="C588" s="162">
        <v>1.0727108435488089</v>
      </c>
      <c r="D588" s="162">
        <v>1.0654216870976174</v>
      </c>
      <c r="E588" s="125">
        <v>1.07</v>
      </c>
    </row>
    <row r="589" spans="1:5">
      <c r="A589" s="122" t="s">
        <v>430</v>
      </c>
      <c r="B589" s="161">
        <v>1.0900000000000001</v>
      </c>
      <c r="C589" s="162">
        <v>1.0806641623702067</v>
      </c>
      <c r="D589" s="162">
        <v>1.0713283247404131</v>
      </c>
      <c r="E589" s="125">
        <v>1.07</v>
      </c>
    </row>
    <row r="590" spans="1:5">
      <c r="A590" s="122" t="s">
        <v>431</v>
      </c>
      <c r="B590" s="161">
        <v>1.0900000000000001</v>
      </c>
      <c r="C590" s="162">
        <v>1.0755555144955384</v>
      </c>
      <c r="D590" s="162">
        <v>1.0611110289910768</v>
      </c>
      <c r="E590" s="125">
        <v>1.06</v>
      </c>
    </row>
    <row r="591" spans="1:5">
      <c r="A591" s="122" t="s">
        <v>432</v>
      </c>
      <c r="E591" s="125"/>
    </row>
    <row r="592" spans="1:5">
      <c r="A592" s="122" t="s">
        <v>2873</v>
      </c>
      <c r="B592" s="161">
        <v>1.08</v>
      </c>
      <c r="C592" s="162">
        <v>1.0695789915047649</v>
      </c>
      <c r="D592" s="162">
        <v>1.0591579830095295</v>
      </c>
      <c r="E592" s="125">
        <v>1.06</v>
      </c>
    </row>
    <row r="593" spans="1:5">
      <c r="A593" s="122" t="s">
        <v>270</v>
      </c>
      <c r="B593" s="161">
        <v>1.08</v>
      </c>
      <c r="C593" s="162">
        <v>1.0733871110760012</v>
      </c>
      <c r="D593" s="162">
        <v>1.066774222152002</v>
      </c>
      <c r="E593" s="125">
        <v>1.07</v>
      </c>
    </row>
    <row r="594" spans="1:5">
      <c r="A594" s="122" t="s">
        <v>271</v>
      </c>
      <c r="B594" s="161">
        <v>1.08</v>
      </c>
      <c r="C594" s="162">
        <v>1.0669346294222033</v>
      </c>
      <c r="D594" s="162">
        <v>1.0538692588444065</v>
      </c>
      <c r="E594" s="125">
        <v>1.05</v>
      </c>
    </row>
    <row r="595" spans="1:5">
      <c r="A595" s="122" t="s">
        <v>272</v>
      </c>
      <c r="B595" s="161">
        <v>1.03</v>
      </c>
      <c r="C595" s="162">
        <v>1.0362160270142711</v>
      </c>
      <c r="D595" s="162">
        <v>1.0424320540285421</v>
      </c>
      <c r="E595" s="125">
        <v>1.04</v>
      </c>
    </row>
    <row r="596" spans="1:5">
      <c r="A596" s="122" t="s">
        <v>2654</v>
      </c>
      <c r="B596" s="161">
        <v>1.05</v>
      </c>
      <c r="C596" s="162">
        <v>1.0354168197625337</v>
      </c>
      <c r="D596" s="162">
        <v>1.0208336395250674</v>
      </c>
      <c r="E596" s="125">
        <v>1.02</v>
      </c>
    </row>
    <row r="597" spans="1:5">
      <c r="A597" s="122" t="s">
        <v>2303</v>
      </c>
      <c r="B597" s="161">
        <v>1.06</v>
      </c>
      <c r="C597" s="162">
        <v>1.0584529344202824</v>
      </c>
      <c r="D597" s="162">
        <v>1.056905868840565</v>
      </c>
      <c r="E597" s="125">
        <v>1.06</v>
      </c>
    </row>
    <row r="598" spans="1:5">
      <c r="A598" s="122" t="s">
        <v>2370</v>
      </c>
      <c r="B598" s="161">
        <v>1.06</v>
      </c>
      <c r="C598" s="162">
        <v>1.0593161944436678</v>
      </c>
      <c r="D598" s="162">
        <v>1.0586323888873357</v>
      </c>
      <c r="E598" s="125">
        <v>1.06</v>
      </c>
    </row>
    <row r="599" spans="1:5">
      <c r="A599" s="122" t="s">
        <v>2874</v>
      </c>
      <c r="B599" s="161">
        <v>1.04</v>
      </c>
      <c r="C599" s="162">
        <v>1.0420862111446794</v>
      </c>
      <c r="D599" s="162">
        <v>1.0441724222893589</v>
      </c>
      <c r="E599" s="125">
        <v>1.04</v>
      </c>
    </row>
    <row r="600" spans="1:5">
      <c r="A600" s="122" t="s">
        <v>1754</v>
      </c>
      <c r="B600" s="161">
        <v>1.06</v>
      </c>
      <c r="C600" s="162">
        <v>1.0379061727579995</v>
      </c>
      <c r="D600" s="162">
        <v>1.0158123455159991</v>
      </c>
      <c r="E600" s="125">
        <v>1.02</v>
      </c>
    </row>
    <row r="601" spans="1:5">
      <c r="A601" s="122" t="s">
        <v>1755</v>
      </c>
      <c r="B601" s="161">
        <v>1.07</v>
      </c>
      <c r="C601" s="162">
        <v>1.0540603322033659</v>
      </c>
      <c r="D601" s="162">
        <v>1.038120664406732</v>
      </c>
      <c r="E601" s="125">
        <v>1.04</v>
      </c>
    </row>
    <row r="602" spans="1:5">
      <c r="A602" s="122" t="s">
        <v>1592</v>
      </c>
      <c r="B602" s="161">
        <v>1.07</v>
      </c>
      <c r="C602" s="162">
        <v>1.0442815352566304</v>
      </c>
      <c r="D602" s="162">
        <v>1.0185630705132607</v>
      </c>
      <c r="E602" s="125">
        <v>1.02</v>
      </c>
    </row>
    <row r="603" spans="1:5">
      <c r="A603" s="122" t="s">
        <v>2461</v>
      </c>
      <c r="B603" s="161">
        <v>1.07</v>
      </c>
      <c r="C603" s="162">
        <v>1.040629691928237</v>
      </c>
      <c r="D603" s="162">
        <v>1.0112593838564736</v>
      </c>
      <c r="E603" s="125">
        <v>1.01</v>
      </c>
    </row>
    <row r="604" spans="1:5">
      <c r="A604" s="122" t="s">
        <v>2584</v>
      </c>
      <c r="B604" s="161">
        <v>1.07</v>
      </c>
      <c r="C604" s="162">
        <v>1.0450545834842233</v>
      </c>
      <c r="D604" s="162">
        <v>1.0201091669684466</v>
      </c>
      <c r="E604" s="125">
        <v>1.02</v>
      </c>
    </row>
    <row r="605" spans="1:5">
      <c r="A605" s="122" t="s">
        <v>2585</v>
      </c>
      <c r="B605" s="161">
        <v>1.06</v>
      </c>
      <c r="C605" s="162">
        <v>1.0446309317937059</v>
      </c>
      <c r="D605" s="162">
        <v>1.029261863587412</v>
      </c>
      <c r="E605" s="125">
        <v>1.03</v>
      </c>
    </row>
    <row r="606" spans="1:5">
      <c r="A606" s="122" t="s">
        <v>2586</v>
      </c>
      <c r="B606" s="161">
        <v>1.07</v>
      </c>
      <c r="C606" s="162">
        <v>1.0799695441219552</v>
      </c>
      <c r="D606" s="162">
        <v>1.0899390882439102</v>
      </c>
      <c r="E606" s="125">
        <v>1.0900000000000001</v>
      </c>
    </row>
    <row r="607" spans="1:5">
      <c r="A607" s="122" t="s">
        <v>2587</v>
      </c>
      <c r="B607" s="161">
        <v>1.06</v>
      </c>
      <c r="C607" s="162">
        <v>1.0435996976939221</v>
      </c>
      <c r="D607" s="162">
        <v>1.0271993953878444</v>
      </c>
      <c r="E607" s="125">
        <v>1.03</v>
      </c>
    </row>
    <row r="608" spans="1:5">
      <c r="A608" s="122" t="s">
        <v>2755</v>
      </c>
      <c r="B608" s="161">
        <v>1.1000000000000001</v>
      </c>
      <c r="C608" s="162">
        <v>1.0878506527502165</v>
      </c>
      <c r="D608" s="162">
        <v>1.0757013055004327</v>
      </c>
      <c r="E608" s="125">
        <v>1.08</v>
      </c>
    </row>
    <row r="609" spans="1:5">
      <c r="A609" s="122" t="s">
        <v>2588</v>
      </c>
      <c r="B609" s="161">
        <v>1.06</v>
      </c>
      <c r="C609" s="162">
        <v>1.076982704576896</v>
      </c>
      <c r="D609" s="162">
        <v>1.093965409153792</v>
      </c>
      <c r="E609" s="125">
        <v>1.0900000000000001</v>
      </c>
    </row>
    <row r="610" spans="1:5">
      <c r="A610" s="122" t="s">
        <v>2589</v>
      </c>
      <c r="B610" s="161">
        <v>1.06</v>
      </c>
      <c r="C610" s="162">
        <v>1.0696347180099846</v>
      </c>
      <c r="D610" s="162">
        <v>1.0792694360199688</v>
      </c>
      <c r="E610" s="125">
        <v>1.08</v>
      </c>
    </row>
    <row r="611" spans="1:5">
      <c r="A611" s="122" t="s">
        <v>2590</v>
      </c>
      <c r="B611" s="161">
        <v>1.07</v>
      </c>
      <c r="C611" s="162">
        <v>1.0768654687529509</v>
      </c>
      <c r="D611" s="162">
        <v>1.0837309375059014</v>
      </c>
      <c r="E611" s="125">
        <v>1.08</v>
      </c>
    </row>
    <row r="612" spans="1:5">
      <c r="A612" s="122" t="s">
        <v>2591</v>
      </c>
      <c r="B612" s="161">
        <v>1.07</v>
      </c>
      <c r="C612" s="162">
        <v>1.0671021803483227</v>
      </c>
      <c r="D612" s="162">
        <v>1.0642043606966454</v>
      </c>
      <c r="E612" s="125">
        <v>1.06</v>
      </c>
    </row>
    <row r="613" spans="1:5">
      <c r="A613" s="122" t="s">
        <v>2592</v>
      </c>
      <c r="B613" s="161">
        <v>1.07</v>
      </c>
      <c r="C613" s="162">
        <v>1.0658684869563806</v>
      </c>
      <c r="D613" s="162">
        <v>1.0617369739127611</v>
      </c>
      <c r="E613" s="125">
        <v>1.06</v>
      </c>
    </row>
    <row r="614" spans="1:5">
      <c r="A614" s="122" t="s">
        <v>2981</v>
      </c>
      <c r="B614" s="161">
        <v>1.07</v>
      </c>
      <c r="C614" s="162">
        <v>1.0667617737407098</v>
      </c>
      <c r="D614" s="162">
        <v>1.0635235474814195</v>
      </c>
      <c r="E614" s="125">
        <v>1.06</v>
      </c>
    </row>
    <row r="615" spans="1:5">
      <c r="A615" s="122" t="s">
        <v>2982</v>
      </c>
      <c r="B615" s="161">
        <v>1.08</v>
      </c>
      <c r="C615" s="162">
        <v>1.0877409723735951</v>
      </c>
      <c r="D615" s="162">
        <v>1.0954819447471904</v>
      </c>
      <c r="E615" s="125">
        <v>1.1000000000000001</v>
      </c>
    </row>
    <row r="616" spans="1:5">
      <c r="A616" s="122" t="s">
        <v>2983</v>
      </c>
      <c r="B616" s="161">
        <v>1.07</v>
      </c>
      <c r="C616" s="162">
        <v>1.0773943598669606</v>
      </c>
      <c r="D616" s="162">
        <v>1.0847887197339214</v>
      </c>
      <c r="E616" s="125">
        <v>1.08</v>
      </c>
    </row>
    <row r="617" spans="1:5">
      <c r="A617" s="122" t="s">
        <v>2984</v>
      </c>
      <c r="B617" s="161">
        <v>1.0900000000000001</v>
      </c>
      <c r="C617" s="162">
        <v>1.080287029805473</v>
      </c>
      <c r="D617" s="162">
        <v>1.0705740596109459</v>
      </c>
      <c r="E617" s="125">
        <v>1.07</v>
      </c>
    </row>
    <row r="618" spans="1:5">
      <c r="A618" s="122" t="s">
        <v>2985</v>
      </c>
      <c r="B618" s="161">
        <v>1.07</v>
      </c>
      <c r="C618" s="162">
        <v>1.0760231406010261</v>
      </c>
      <c r="D618" s="162">
        <v>1.0820462812020524</v>
      </c>
      <c r="E618" s="125">
        <v>1.08</v>
      </c>
    </row>
    <row r="619" spans="1:5">
      <c r="A619" s="122" t="s">
        <v>1561</v>
      </c>
      <c r="B619" s="161">
        <v>1.06</v>
      </c>
      <c r="C619" s="162">
        <v>1.0670516681504361</v>
      </c>
      <c r="D619" s="162">
        <v>1.0741033363008718</v>
      </c>
      <c r="E619" s="125">
        <v>1.07</v>
      </c>
    </row>
    <row r="620" spans="1:5">
      <c r="A620" s="122" t="s">
        <v>1562</v>
      </c>
      <c r="B620" s="161">
        <v>1.06</v>
      </c>
      <c r="C620" s="162">
        <v>1.065064969449059</v>
      </c>
      <c r="D620" s="162">
        <v>1.070129938898118</v>
      </c>
      <c r="E620" s="125">
        <v>1.07</v>
      </c>
    </row>
    <row r="621" spans="1:5">
      <c r="A621" s="122" t="s">
        <v>2783</v>
      </c>
      <c r="B621" s="161">
        <v>1.06</v>
      </c>
      <c r="C621" s="162">
        <v>1.0654220768850751</v>
      </c>
      <c r="D621" s="162">
        <v>1.0708441537701503</v>
      </c>
      <c r="E621" s="125">
        <v>1.07</v>
      </c>
    </row>
    <row r="622" spans="1:5">
      <c r="A622" s="122" t="s">
        <v>2421</v>
      </c>
      <c r="B622" s="161">
        <v>1.07</v>
      </c>
      <c r="C622" s="162">
        <v>1.0745599503428851</v>
      </c>
      <c r="D622" s="162">
        <v>1.0791199006857699</v>
      </c>
      <c r="E622" s="125">
        <v>1.08</v>
      </c>
    </row>
    <row r="623" spans="1:5">
      <c r="A623" s="122" t="s">
        <v>3029</v>
      </c>
      <c r="B623" s="161">
        <v>1.1299999999999999</v>
      </c>
      <c r="C623" s="162">
        <v>1.1510916112916907</v>
      </c>
      <c r="D623" s="162">
        <v>1.1721832225833813</v>
      </c>
      <c r="E623" s="125">
        <v>1.17</v>
      </c>
    </row>
    <row r="624" spans="1:5">
      <c r="A624" s="122" t="s">
        <v>2762</v>
      </c>
      <c r="B624" s="161">
        <v>1.1200000000000001</v>
      </c>
      <c r="C624" s="162">
        <v>1.1570118742632629</v>
      </c>
      <c r="D624" s="162">
        <v>1.1940237485265259</v>
      </c>
      <c r="E624" s="125">
        <v>1.19</v>
      </c>
    </row>
    <row r="625" spans="1:5">
      <c r="A625" s="122" t="s">
        <v>2422</v>
      </c>
      <c r="B625" s="161">
        <v>1.1100000000000001</v>
      </c>
      <c r="C625" s="162">
        <v>1.1146284522156966</v>
      </c>
      <c r="D625" s="162">
        <v>1.1192569044313931</v>
      </c>
      <c r="E625" s="125">
        <v>1.1200000000000001</v>
      </c>
    </row>
    <row r="626" spans="1:5">
      <c r="A626" s="122" t="s">
        <v>2875</v>
      </c>
      <c r="B626" s="161">
        <v>1.1000000000000001</v>
      </c>
      <c r="C626" s="162">
        <v>1.1212403219227651</v>
      </c>
      <c r="D626" s="162">
        <v>1.1424806438455304</v>
      </c>
      <c r="E626" s="125">
        <v>1.1399999999999999</v>
      </c>
    </row>
    <row r="627" spans="1:5">
      <c r="A627" s="122" t="s">
        <v>1277</v>
      </c>
      <c r="B627" s="161">
        <v>1.1000000000000001</v>
      </c>
      <c r="C627" s="162">
        <v>1.1173797476489622</v>
      </c>
      <c r="D627" s="162">
        <v>1.1347594952979243</v>
      </c>
      <c r="E627" s="125">
        <v>1.1299999999999999</v>
      </c>
    </row>
    <row r="628" spans="1:5">
      <c r="A628" s="122" t="s">
        <v>2423</v>
      </c>
      <c r="B628" s="161">
        <v>1.1200000000000001</v>
      </c>
      <c r="C628" s="162">
        <v>1.1411848311107273</v>
      </c>
      <c r="D628" s="162">
        <v>1.1623696622214545</v>
      </c>
      <c r="E628" s="125">
        <v>1.1599999999999999</v>
      </c>
    </row>
    <row r="629" spans="1:5">
      <c r="A629" s="122" t="s">
        <v>2424</v>
      </c>
      <c r="B629" s="161">
        <v>1.1100000000000001</v>
      </c>
      <c r="C629" s="162">
        <v>1.1332230828295633</v>
      </c>
      <c r="D629" s="162">
        <v>1.1564461656591263</v>
      </c>
      <c r="E629" s="125">
        <v>1.1599999999999999</v>
      </c>
    </row>
    <row r="630" spans="1:5">
      <c r="A630" s="122" t="s">
        <v>1093</v>
      </c>
      <c r="B630" s="161">
        <v>1.05</v>
      </c>
      <c r="C630" s="162">
        <v>1.0508475390036378</v>
      </c>
      <c r="D630" s="162">
        <v>1.0516950780072754</v>
      </c>
      <c r="E630" s="125">
        <v>1.05</v>
      </c>
    </row>
    <row r="631" spans="1:5">
      <c r="A631" s="122" t="s">
        <v>1513</v>
      </c>
      <c r="B631" s="161">
        <v>1.05</v>
      </c>
      <c r="C631" s="162">
        <v>1.0618044825854986</v>
      </c>
      <c r="D631" s="162">
        <v>1.0736089651709975</v>
      </c>
      <c r="E631" s="125">
        <v>1.07</v>
      </c>
    </row>
    <row r="632" spans="1:5">
      <c r="A632" s="122" t="s">
        <v>1902</v>
      </c>
      <c r="B632" s="161">
        <v>1.06</v>
      </c>
      <c r="C632" s="162">
        <v>1.0697085382069031</v>
      </c>
      <c r="D632" s="162">
        <v>1.0794170764138062</v>
      </c>
      <c r="E632" s="125">
        <v>1.08</v>
      </c>
    </row>
    <row r="633" spans="1:5">
      <c r="A633" s="122" t="s">
        <v>1903</v>
      </c>
      <c r="B633" s="161">
        <v>1.07</v>
      </c>
      <c r="C633" s="162">
        <v>1.0881537607016929</v>
      </c>
      <c r="D633" s="162">
        <v>1.106307521403386</v>
      </c>
      <c r="E633" s="125">
        <v>1.1100000000000001</v>
      </c>
    </row>
    <row r="634" spans="1:5">
      <c r="A634" s="122" t="s">
        <v>2926</v>
      </c>
      <c r="B634" s="161">
        <v>1.08</v>
      </c>
      <c r="C634" s="162">
        <v>1.0863092243769317</v>
      </c>
      <c r="D634" s="162">
        <v>1.0926184487538635</v>
      </c>
      <c r="E634" s="125">
        <v>1.0900000000000001</v>
      </c>
    </row>
    <row r="635" spans="1:5">
      <c r="A635" s="122" t="s">
        <v>2927</v>
      </c>
      <c r="B635" s="161">
        <v>1.08</v>
      </c>
      <c r="C635" s="162">
        <v>1.0827989003194751</v>
      </c>
      <c r="D635" s="162">
        <v>1.0855978006389502</v>
      </c>
      <c r="E635" s="125">
        <v>1.0900000000000001</v>
      </c>
    </row>
    <row r="636" spans="1:5">
      <c r="A636" s="122" t="s">
        <v>3056</v>
      </c>
      <c r="B636" s="161">
        <v>1.08</v>
      </c>
      <c r="C636" s="162">
        <v>1.0803313120608813</v>
      </c>
      <c r="D636" s="162">
        <v>1.0806626241217627</v>
      </c>
      <c r="E636" s="125">
        <v>1.08</v>
      </c>
    </row>
    <row r="637" spans="1:5">
      <c r="A637" s="122" t="s">
        <v>947</v>
      </c>
      <c r="B637" s="161">
        <v>1.06</v>
      </c>
      <c r="C637" s="162">
        <v>1.07966285279337</v>
      </c>
      <c r="D637" s="162">
        <v>1.0993257055867398</v>
      </c>
      <c r="E637" s="125">
        <v>1.1000000000000001</v>
      </c>
    </row>
    <row r="638" spans="1:5">
      <c r="A638" s="122" t="s">
        <v>95</v>
      </c>
      <c r="B638" s="161">
        <v>1.05</v>
      </c>
      <c r="C638" s="162">
        <v>1.0727864386438</v>
      </c>
      <c r="D638" s="162">
        <v>1.0955728772875999</v>
      </c>
      <c r="E638" s="125">
        <v>1.1000000000000001</v>
      </c>
    </row>
    <row r="639" spans="1:5">
      <c r="A639" s="122" t="s">
        <v>96</v>
      </c>
      <c r="B639" s="161">
        <v>1.05</v>
      </c>
      <c r="C639" s="162">
        <v>1.0875364303978574</v>
      </c>
      <c r="D639" s="162">
        <v>1.1250728607957148</v>
      </c>
      <c r="E639" s="125">
        <v>1.1299999999999999</v>
      </c>
    </row>
    <row r="640" spans="1:5">
      <c r="A640" s="122" t="s">
        <v>2607</v>
      </c>
      <c r="B640" s="161">
        <v>1.1100000000000001</v>
      </c>
      <c r="C640" s="162">
        <v>1.1231503791789335</v>
      </c>
      <c r="D640" s="162">
        <v>1.136300758357867</v>
      </c>
      <c r="E640" s="125">
        <v>1.1399999999999999</v>
      </c>
    </row>
    <row r="641" spans="1:5">
      <c r="A641" s="122" t="s">
        <v>2764</v>
      </c>
      <c r="B641" s="161">
        <v>1.04</v>
      </c>
      <c r="C641" s="162">
        <v>1.0345011740532479</v>
      </c>
      <c r="D641" s="162">
        <v>1.0290023481064956</v>
      </c>
      <c r="E641" s="125">
        <v>1.03</v>
      </c>
    </row>
    <row r="642" spans="1:5">
      <c r="A642" s="122" t="s">
        <v>2765</v>
      </c>
      <c r="B642" s="161">
        <v>1.07</v>
      </c>
      <c r="C642" s="162">
        <v>1.0553793363491932</v>
      </c>
      <c r="D642" s="162">
        <v>1.0407586726983866</v>
      </c>
      <c r="E642" s="125">
        <v>1.04</v>
      </c>
    </row>
    <row r="643" spans="1:5">
      <c r="A643" s="122" t="s">
        <v>2414</v>
      </c>
      <c r="B643" s="161">
        <v>1.05</v>
      </c>
      <c r="C643" s="162">
        <v>1.0518367708786793</v>
      </c>
      <c r="D643" s="162">
        <v>1.0536735417573588</v>
      </c>
      <c r="E643" s="125">
        <v>1.05</v>
      </c>
    </row>
    <row r="644" spans="1:5">
      <c r="A644" s="122" t="s">
        <v>1603</v>
      </c>
      <c r="B644" s="161">
        <v>1.08</v>
      </c>
      <c r="C644" s="162">
        <v>1.0784831976123752</v>
      </c>
      <c r="D644" s="162">
        <v>1.0769663952247501</v>
      </c>
      <c r="E644" s="125">
        <v>1.08</v>
      </c>
    </row>
    <row r="645" spans="1:5">
      <c r="A645" s="122" t="s">
        <v>2766</v>
      </c>
      <c r="B645" s="161">
        <v>1.05</v>
      </c>
      <c r="C645" s="162">
        <v>1.0455821950431021</v>
      </c>
      <c r="D645" s="162">
        <v>1.0411643900862042</v>
      </c>
      <c r="E645" s="125">
        <v>1.04</v>
      </c>
    </row>
    <row r="646" spans="1:5">
      <c r="A646" s="122" t="s">
        <v>538</v>
      </c>
      <c r="B646" s="161">
        <v>1.04</v>
      </c>
      <c r="C646" s="162">
        <v>1.0393525423677996</v>
      </c>
      <c r="D646" s="162">
        <v>1.0387050847355992</v>
      </c>
      <c r="E646" s="125">
        <v>1.04</v>
      </c>
    </row>
    <row r="647" spans="1:5">
      <c r="A647" s="122" t="s">
        <v>775</v>
      </c>
      <c r="B647" s="161">
        <v>1.04</v>
      </c>
      <c r="C647" s="162">
        <v>1.0358715235732898</v>
      </c>
      <c r="D647" s="162">
        <v>1.0317430471465796</v>
      </c>
      <c r="E647" s="125">
        <v>1.03</v>
      </c>
    </row>
    <row r="648" spans="1:5">
      <c r="A648" s="122" t="s">
        <v>2679</v>
      </c>
      <c r="B648" s="161">
        <v>1.07</v>
      </c>
      <c r="C648" s="162">
        <v>1.062864339103665</v>
      </c>
      <c r="D648" s="162">
        <v>1.0557286782073296</v>
      </c>
      <c r="E648" s="125">
        <v>1.06</v>
      </c>
    </row>
    <row r="649" spans="1:5">
      <c r="A649" s="122" t="s">
        <v>2680</v>
      </c>
      <c r="B649" s="161">
        <v>1.07</v>
      </c>
      <c r="C649" s="162">
        <v>1.0632613761418424</v>
      </c>
      <c r="D649" s="162">
        <v>1.0565227522836846</v>
      </c>
      <c r="E649" s="125">
        <v>1.06</v>
      </c>
    </row>
    <row r="650" spans="1:5">
      <c r="A650" s="122" t="s">
        <v>2681</v>
      </c>
      <c r="B650" s="161">
        <v>1.07</v>
      </c>
      <c r="C650" s="162">
        <v>1.0536293236062741</v>
      </c>
      <c r="D650" s="162">
        <v>1.037258647212548</v>
      </c>
      <c r="E650" s="125">
        <v>1.04</v>
      </c>
    </row>
    <row r="651" spans="1:5">
      <c r="A651" s="122" t="s">
        <v>1651</v>
      </c>
      <c r="B651" s="161">
        <v>1.06</v>
      </c>
      <c r="C651" s="162">
        <v>1.0509797304459447</v>
      </c>
      <c r="D651" s="162">
        <v>1.0419594608918894</v>
      </c>
      <c r="E651" s="125">
        <v>1.04</v>
      </c>
    </row>
    <row r="652" spans="1:5">
      <c r="A652" s="122" t="s">
        <v>2389</v>
      </c>
      <c r="B652" s="161">
        <v>1.07</v>
      </c>
      <c r="C652" s="162">
        <v>1.072982956028425</v>
      </c>
      <c r="D652" s="162">
        <v>1.0759659120568497</v>
      </c>
      <c r="E652" s="125">
        <v>1.08</v>
      </c>
    </row>
    <row r="653" spans="1:5">
      <c r="A653" s="122" t="s">
        <v>1652</v>
      </c>
      <c r="B653" s="161">
        <v>1.07</v>
      </c>
      <c r="C653" s="162">
        <v>1.0640700108959957</v>
      </c>
      <c r="D653" s="162">
        <v>1.0581400217919916</v>
      </c>
      <c r="E653" s="125">
        <v>1.06</v>
      </c>
    </row>
    <row r="654" spans="1:5">
      <c r="A654" s="122" t="s">
        <v>418</v>
      </c>
      <c r="B654" s="161">
        <v>1.06</v>
      </c>
      <c r="C654" s="162">
        <v>1.0580299464998693</v>
      </c>
      <c r="D654" s="162">
        <v>1.0560598929997385</v>
      </c>
      <c r="E654" s="125">
        <v>1.06</v>
      </c>
    </row>
    <row r="655" spans="1:5">
      <c r="A655" s="122" t="s">
        <v>419</v>
      </c>
      <c r="B655" s="161">
        <v>1.0900000000000001</v>
      </c>
      <c r="C655" s="162">
        <v>1.0699313184514201</v>
      </c>
      <c r="D655" s="162">
        <v>1.0498626369028401</v>
      </c>
      <c r="E655" s="125">
        <v>1.05</v>
      </c>
    </row>
    <row r="656" spans="1:5">
      <c r="A656" s="122" t="s">
        <v>420</v>
      </c>
      <c r="B656" s="161">
        <v>1.0900000000000001</v>
      </c>
      <c r="C656" s="162">
        <v>1.0657743424773354</v>
      </c>
      <c r="D656" s="162">
        <v>1.0415486849546707</v>
      </c>
      <c r="E656" s="125">
        <v>1.04</v>
      </c>
    </row>
    <row r="657" spans="1:5">
      <c r="A657" s="122" t="s">
        <v>1856</v>
      </c>
      <c r="B657" s="161">
        <v>1.05</v>
      </c>
      <c r="C657" s="162">
        <v>1.0669307190934667</v>
      </c>
      <c r="D657" s="162">
        <v>1.0838614381869336</v>
      </c>
      <c r="E657" s="125">
        <v>1.08</v>
      </c>
    </row>
    <row r="658" spans="1:5">
      <c r="A658" s="122" t="s">
        <v>1857</v>
      </c>
      <c r="B658" s="161">
        <v>1.1299999999999999</v>
      </c>
      <c r="C658" s="162">
        <v>1.1192122911507556</v>
      </c>
      <c r="D658" s="162">
        <v>1.1084245823015111</v>
      </c>
      <c r="E658" s="125">
        <v>1.1100000000000001</v>
      </c>
    </row>
    <row r="659" spans="1:5">
      <c r="A659" s="122" t="s">
        <v>201</v>
      </c>
      <c r="B659" s="161">
        <v>1.0900000000000001</v>
      </c>
      <c r="C659" s="162">
        <v>1.0934766514400973</v>
      </c>
      <c r="D659" s="162">
        <v>1.0969533028801943</v>
      </c>
      <c r="E659" s="125">
        <v>1.1000000000000001</v>
      </c>
    </row>
    <row r="660" spans="1:5">
      <c r="A660" s="122" t="s">
        <v>2438</v>
      </c>
      <c r="B660" s="161">
        <v>1.1000000000000001</v>
      </c>
      <c r="C660" s="162">
        <v>1.0856356610876285</v>
      </c>
      <c r="D660" s="162">
        <v>1.071271322175257</v>
      </c>
      <c r="E660" s="125">
        <v>1.07</v>
      </c>
    </row>
    <row r="661" spans="1:5">
      <c r="A661" s="122" t="s">
        <v>2439</v>
      </c>
      <c r="B661" s="161">
        <v>1.1100000000000001</v>
      </c>
      <c r="C661" s="162">
        <v>1.105534200676467</v>
      </c>
      <c r="D661" s="162">
        <v>1.1010684013529339</v>
      </c>
      <c r="E661" s="125">
        <v>1.1000000000000001</v>
      </c>
    </row>
    <row r="662" spans="1:5">
      <c r="A662" s="122" t="s">
        <v>2440</v>
      </c>
      <c r="B662" s="161">
        <v>1.1100000000000001</v>
      </c>
      <c r="C662" s="162">
        <v>1.0998061619092707</v>
      </c>
      <c r="D662" s="162">
        <v>1.0896123238185413</v>
      </c>
      <c r="E662" s="125">
        <v>1.0900000000000001</v>
      </c>
    </row>
    <row r="663" spans="1:5">
      <c r="A663" s="122" t="s">
        <v>2057</v>
      </c>
      <c r="B663" s="161">
        <v>1.1499999999999999</v>
      </c>
      <c r="C663" s="162">
        <v>1.1344551452281086</v>
      </c>
      <c r="D663" s="162">
        <v>1.1189102904562176</v>
      </c>
      <c r="E663" s="125">
        <v>1.1200000000000001</v>
      </c>
    </row>
    <row r="664" spans="1:5">
      <c r="A664" s="122" t="s">
        <v>992</v>
      </c>
      <c r="B664" s="161">
        <v>1.03</v>
      </c>
      <c r="C664" s="162">
        <v>1.0555136964290686</v>
      </c>
      <c r="D664" s="162">
        <v>1.0810273928581369</v>
      </c>
      <c r="E664" s="125">
        <v>1.08</v>
      </c>
    </row>
    <row r="665" spans="1:5">
      <c r="A665" s="122" t="s">
        <v>1583</v>
      </c>
      <c r="B665" s="161">
        <v>1.05</v>
      </c>
      <c r="C665" s="162">
        <v>1.0463266222225236</v>
      </c>
      <c r="D665" s="162">
        <v>1.0426532444450471</v>
      </c>
      <c r="E665" s="125">
        <v>1.04</v>
      </c>
    </row>
    <row r="666" spans="1:5">
      <c r="A666" s="122" t="s">
        <v>2265</v>
      </c>
      <c r="B666" s="161">
        <v>1.04</v>
      </c>
      <c r="C666" s="162">
        <v>1.043190810433793</v>
      </c>
      <c r="D666" s="162">
        <v>1.046381620867586</v>
      </c>
      <c r="E666" s="125">
        <v>1.05</v>
      </c>
    </row>
    <row r="667" spans="1:5">
      <c r="A667" s="122" t="s">
        <v>1094</v>
      </c>
      <c r="B667" s="161">
        <v>1.03</v>
      </c>
      <c r="C667" s="162">
        <v>1.0501180274159982</v>
      </c>
      <c r="D667" s="162">
        <v>1.0702360548319967</v>
      </c>
      <c r="E667" s="125">
        <v>1.07</v>
      </c>
    </row>
    <row r="668" spans="1:5">
      <c r="A668" s="122" t="s">
        <v>1012</v>
      </c>
      <c r="B668" s="161">
        <v>1.08</v>
      </c>
      <c r="C668" s="162">
        <v>1.1054104358439711</v>
      </c>
      <c r="D668" s="162">
        <v>1.1308208716879422</v>
      </c>
      <c r="E668" s="125">
        <v>1.1299999999999999</v>
      </c>
    </row>
    <row r="669" spans="1:5">
      <c r="A669" s="122" t="s">
        <v>800</v>
      </c>
      <c r="B669" s="161">
        <v>1.06</v>
      </c>
      <c r="C669" s="162">
        <v>1.0812456086608249</v>
      </c>
      <c r="D669" s="162">
        <v>1.1024912173216499</v>
      </c>
      <c r="E669" s="125">
        <v>1.1000000000000001</v>
      </c>
    </row>
    <row r="670" spans="1:5">
      <c r="A670" s="122" t="s">
        <v>1095</v>
      </c>
      <c r="B670" s="161">
        <v>1.05</v>
      </c>
      <c r="C670" s="162">
        <v>1.0705568989243641</v>
      </c>
      <c r="D670" s="162">
        <v>1.091113797848728</v>
      </c>
      <c r="E670" s="125">
        <v>1.0900000000000001</v>
      </c>
    </row>
    <row r="671" spans="1:5">
      <c r="A671" s="122" t="s">
        <v>2096</v>
      </c>
      <c r="B671" s="161">
        <v>1.05</v>
      </c>
      <c r="C671" s="162">
        <v>1.0599342519233526</v>
      </c>
      <c r="D671" s="162">
        <v>1.0698685038467053</v>
      </c>
      <c r="E671" s="125">
        <v>1.07</v>
      </c>
    </row>
    <row r="672" spans="1:5">
      <c r="A672" s="122" t="s">
        <v>1735</v>
      </c>
      <c r="B672" s="161">
        <v>1.05</v>
      </c>
      <c r="C672" s="162">
        <v>1.0669419517864287</v>
      </c>
      <c r="D672" s="162">
        <v>1.0838839035728574</v>
      </c>
      <c r="E672" s="125">
        <v>1.08</v>
      </c>
    </row>
    <row r="673" spans="1:5">
      <c r="A673" s="122" t="s">
        <v>134</v>
      </c>
      <c r="B673" s="161">
        <v>1.05</v>
      </c>
      <c r="C673" s="162">
        <v>1.0605804961697092</v>
      </c>
      <c r="D673" s="162">
        <v>1.0711609923394185</v>
      </c>
      <c r="E673" s="125">
        <v>1.07</v>
      </c>
    </row>
    <row r="674" spans="1:5">
      <c r="A674" s="122" t="s">
        <v>2384</v>
      </c>
      <c r="B674" s="161">
        <v>1.04</v>
      </c>
      <c r="C674" s="162">
        <v>1.0534902755134672</v>
      </c>
      <c r="D674" s="162">
        <v>1.0669805510269341</v>
      </c>
      <c r="E674" s="125">
        <v>1.07</v>
      </c>
    </row>
    <row r="675" spans="1:5">
      <c r="A675" s="122" t="s">
        <v>373</v>
      </c>
      <c r="B675" s="161">
        <v>1.1100000000000001</v>
      </c>
      <c r="C675" s="162">
        <v>1.1370895381497927</v>
      </c>
      <c r="D675" s="162">
        <v>1.1641790762995852</v>
      </c>
      <c r="E675" s="125">
        <v>1.1599999999999999</v>
      </c>
    </row>
    <row r="676" spans="1:5">
      <c r="A676" s="122" t="s">
        <v>376</v>
      </c>
      <c r="B676" s="161">
        <v>1.05</v>
      </c>
      <c r="C676" s="162">
        <v>1.0697397856518696</v>
      </c>
      <c r="D676" s="162">
        <v>1.0894795713037391</v>
      </c>
      <c r="E676" s="125">
        <v>1.0900000000000001</v>
      </c>
    </row>
    <row r="677" spans="1:5">
      <c r="A677" s="122" t="s">
        <v>2819</v>
      </c>
      <c r="B677" s="161">
        <v>1.04</v>
      </c>
      <c r="C677" s="162">
        <v>1.0561382192587629</v>
      </c>
      <c r="D677" s="162">
        <v>1.0722764385175259</v>
      </c>
      <c r="E677" s="125">
        <v>1.07</v>
      </c>
    </row>
    <row r="678" spans="1:5">
      <c r="A678" s="122" t="s">
        <v>2820</v>
      </c>
      <c r="B678" s="161">
        <v>1.04</v>
      </c>
      <c r="C678" s="162">
        <v>1.0592638846935465</v>
      </c>
      <c r="D678" s="162">
        <v>1.0785277693870929</v>
      </c>
      <c r="E678" s="125">
        <v>1.08</v>
      </c>
    </row>
    <row r="679" spans="1:5">
      <c r="A679" s="122" t="s">
        <v>85</v>
      </c>
      <c r="B679" s="161">
        <v>1.04</v>
      </c>
      <c r="C679" s="162">
        <v>1.0667667455767185</v>
      </c>
      <c r="D679" s="162">
        <v>1.0935334911534369</v>
      </c>
      <c r="E679" s="125">
        <v>1.0900000000000001</v>
      </c>
    </row>
    <row r="680" spans="1:5">
      <c r="A680" s="122" t="s">
        <v>2638</v>
      </c>
      <c r="B680" s="161">
        <v>1.06</v>
      </c>
      <c r="C680" s="162">
        <v>1.0814088100566503</v>
      </c>
      <c r="D680" s="162">
        <v>1.1028176201133009</v>
      </c>
      <c r="E680" s="125">
        <v>1.1000000000000001</v>
      </c>
    </row>
    <row r="681" spans="1:5">
      <c r="A681" s="122" t="s">
        <v>190</v>
      </c>
      <c r="B681" s="161">
        <v>1.06</v>
      </c>
      <c r="C681" s="162">
        <v>1.0789699706254265</v>
      </c>
      <c r="D681" s="162">
        <v>1.0979399412508533</v>
      </c>
      <c r="E681" s="125">
        <v>1.1000000000000001</v>
      </c>
    </row>
    <row r="682" spans="1:5">
      <c r="A682" s="122" t="s">
        <v>991</v>
      </c>
      <c r="B682" s="161">
        <v>1.04</v>
      </c>
      <c r="C682" s="162">
        <v>1.0521905826615923</v>
      </c>
      <c r="D682" s="162">
        <v>1.0643811653231843</v>
      </c>
      <c r="E682" s="125">
        <v>1.06</v>
      </c>
    </row>
    <row r="683" spans="1:5">
      <c r="A683" s="122" t="s">
        <v>2098</v>
      </c>
      <c r="B683" s="161">
        <v>1.05</v>
      </c>
      <c r="C683" s="162">
        <v>1.0450738064945893</v>
      </c>
      <c r="D683" s="162">
        <v>1.0401476129891785</v>
      </c>
      <c r="E683" s="125">
        <v>1.04</v>
      </c>
    </row>
    <row r="684" spans="1:5">
      <c r="A684" s="122" t="s">
        <v>287</v>
      </c>
      <c r="B684" s="161">
        <v>1.05</v>
      </c>
      <c r="C684" s="162">
        <v>1.0468090517110675</v>
      </c>
      <c r="D684" s="162">
        <v>1.0436181034221352</v>
      </c>
      <c r="E684" s="125">
        <v>1.04</v>
      </c>
    </row>
    <row r="685" spans="1:5">
      <c r="A685" s="122" t="s">
        <v>1782</v>
      </c>
      <c r="B685" s="161">
        <v>1.07</v>
      </c>
      <c r="C685" s="162">
        <v>1.0743922070170409</v>
      </c>
      <c r="D685" s="162">
        <v>1.0787844140340817</v>
      </c>
      <c r="E685" s="125">
        <v>1.08</v>
      </c>
    </row>
    <row r="686" spans="1:5">
      <c r="A686" s="122" t="s">
        <v>1296</v>
      </c>
      <c r="B686" s="161">
        <v>1.07</v>
      </c>
      <c r="C686" s="162">
        <v>1.1202959772506631</v>
      </c>
      <c r="D686" s="162">
        <v>1.1705919545013259</v>
      </c>
      <c r="E686" s="125">
        <v>1.17</v>
      </c>
    </row>
    <row r="687" spans="1:5">
      <c r="A687" s="122" t="s">
        <v>2266</v>
      </c>
      <c r="B687" s="161">
        <v>1.06</v>
      </c>
      <c r="C687" s="162">
        <v>1.086444704291464</v>
      </c>
      <c r="D687" s="162">
        <v>1.1128894085829282</v>
      </c>
      <c r="E687" s="125">
        <v>1.1100000000000001</v>
      </c>
    </row>
    <row r="688" spans="1:5">
      <c r="A688" s="122" t="s">
        <v>1036</v>
      </c>
      <c r="B688" s="161">
        <v>1.07</v>
      </c>
      <c r="C688" s="162">
        <v>1.1150787282745425</v>
      </c>
      <c r="D688" s="162">
        <v>1.1601574565490851</v>
      </c>
      <c r="E688" s="125">
        <v>1.1599999999999999</v>
      </c>
    </row>
    <row r="689" spans="1:5">
      <c r="A689" s="122" t="s">
        <v>199</v>
      </c>
      <c r="B689" s="161">
        <v>1.08</v>
      </c>
      <c r="C689" s="162">
        <v>1.1249651942700405</v>
      </c>
      <c r="D689" s="162">
        <v>1.1699303885400809</v>
      </c>
      <c r="E689" s="125">
        <v>1.17</v>
      </c>
    </row>
    <row r="690" spans="1:5">
      <c r="A690" s="122" t="s">
        <v>2896</v>
      </c>
      <c r="B690" s="161">
        <v>1.08</v>
      </c>
      <c r="C690" s="162">
        <v>1.1348342023392237</v>
      </c>
      <c r="D690" s="162">
        <v>1.1896684046784476</v>
      </c>
      <c r="E690" s="125">
        <v>1.19</v>
      </c>
    </row>
    <row r="691" spans="1:5">
      <c r="A691" s="122" t="s">
        <v>2978</v>
      </c>
      <c r="B691" s="161">
        <v>1.06</v>
      </c>
      <c r="C691" s="162">
        <v>1.0654017449784705</v>
      </c>
      <c r="D691" s="162">
        <v>1.0708034899569412</v>
      </c>
      <c r="E691" s="125">
        <v>1.07</v>
      </c>
    </row>
    <row r="692" spans="1:5">
      <c r="A692" s="122" t="s">
        <v>2899</v>
      </c>
      <c r="B692" s="161">
        <v>1.1399999999999999</v>
      </c>
      <c r="C692" s="162">
        <v>1.151071381692752</v>
      </c>
      <c r="D692" s="162">
        <v>1.1621427633855039</v>
      </c>
      <c r="E692" s="125">
        <v>1.1599999999999999</v>
      </c>
    </row>
    <row r="693" spans="1:5">
      <c r="A693" s="122" t="s">
        <v>1475</v>
      </c>
      <c r="B693" s="161">
        <v>1.0900000000000001</v>
      </c>
      <c r="C693" s="162">
        <v>1.0845897332605299</v>
      </c>
      <c r="D693" s="162">
        <v>1.0791794665210599</v>
      </c>
      <c r="E693" s="125">
        <v>1.08</v>
      </c>
    </row>
    <row r="694" spans="1:5">
      <c r="A694" s="122" t="s">
        <v>2156</v>
      </c>
      <c r="B694" s="161">
        <v>1.08</v>
      </c>
      <c r="C694" s="162">
        <v>1.0804832385589762</v>
      </c>
      <c r="D694" s="162">
        <v>1.0809664771179521</v>
      </c>
      <c r="E694" s="125">
        <v>1.08</v>
      </c>
    </row>
    <row r="695" spans="1:5">
      <c r="A695" s="122" t="s">
        <v>1536</v>
      </c>
      <c r="B695" s="161">
        <v>1.08</v>
      </c>
      <c r="C695" s="162">
        <v>1.0650744119975168</v>
      </c>
      <c r="D695" s="162">
        <v>1.0501488239950336</v>
      </c>
      <c r="E695" s="125">
        <v>1.05</v>
      </c>
    </row>
    <row r="696" spans="1:5">
      <c r="A696" s="122" t="s">
        <v>2900</v>
      </c>
      <c r="B696" s="161">
        <v>1.06</v>
      </c>
      <c r="C696" s="162">
        <v>1.0605940260466196</v>
      </c>
      <c r="D696" s="162">
        <v>1.0611880520932389</v>
      </c>
      <c r="E696" s="125">
        <v>1.06</v>
      </c>
    </row>
    <row r="697" spans="1:5">
      <c r="A697" s="122" t="s">
        <v>2513</v>
      </c>
      <c r="B697" s="161">
        <v>1.08</v>
      </c>
      <c r="C697" s="162">
        <v>1.0839782011471095</v>
      </c>
      <c r="D697" s="162">
        <v>1.087956402294219</v>
      </c>
      <c r="E697" s="125">
        <v>1.0900000000000001</v>
      </c>
    </row>
    <row r="698" spans="1:5">
      <c r="A698" s="122" t="s">
        <v>1046</v>
      </c>
      <c r="B698" s="161">
        <v>1.06</v>
      </c>
      <c r="C698" s="162">
        <v>1.0610098778546817</v>
      </c>
      <c r="D698" s="162">
        <v>1.0620197557093634</v>
      </c>
      <c r="E698" s="125">
        <v>1.06</v>
      </c>
    </row>
    <row r="699" spans="1:5">
      <c r="A699" s="122" t="s">
        <v>409</v>
      </c>
      <c r="B699" s="161">
        <v>1.08</v>
      </c>
      <c r="C699" s="162">
        <v>1.0659475690271476</v>
      </c>
      <c r="D699" s="162">
        <v>1.0518951380542949</v>
      </c>
      <c r="E699" s="125">
        <v>1.05</v>
      </c>
    </row>
    <row r="700" spans="1:5">
      <c r="A700" s="122" t="s">
        <v>1436</v>
      </c>
      <c r="B700" s="161">
        <v>1.04</v>
      </c>
      <c r="C700" s="162">
        <v>1.0538275401591259</v>
      </c>
      <c r="D700" s="162">
        <v>1.0676550803182518</v>
      </c>
      <c r="E700" s="125">
        <v>1.07</v>
      </c>
    </row>
    <row r="701" spans="1:5">
      <c r="A701" s="122" t="s">
        <v>3070</v>
      </c>
      <c r="B701" s="161">
        <v>1.05</v>
      </c>
      <c r="C701" s="162">
        <v>1.0483140226195444</v>
      </c>
      <c r="D701" s="162">
        <v>1.0466280452390888</v>
      </c>
      <c r="E701" s="125">
        <v>1.05</v>
      </c>
    </row>
    <row r="702" spans="1:5">
      <c r="A702" s="122" t="s">
        <v>3071</v>
      </c>
      <c r="B702" s="161">
        <v>1.04</v>
      </c>
      <c r="C702" s="162">
        <v>1.0465345260171266</v>
      </c>
      <c r="D702" s="162">
        <v>1.0530690520342534</v>
      </c>
      <c r="E702" s="125">
        <v>1.05</v>
      </c>
    </row>
    <row r="703" spans="1:5">
      <c r="A703" s="122" t="s">
        <v>2267</v>
      </c>
      <c r="B703" s="161">
        <v>1.05</v>
      </c>
      <c r="C703" s="162">
        <v>1.0490832014862035</v>
      </c>
      <c r="D703" s="162">
        <v>1.0481664029724069</v>
      </c>
      <c r="E703" s="125">
        <v>1.05</v>
      </c>
    </row>
    <row r="704" spans="1:5">
      <c r="A704" s="122" t="s">
        <v>3072</v>
      </c>
      <c r="B704" s="161">
        <v>1.07</v>
      </c>
      <c r="C704" s="162">
        <v>1.0683734050281</v>
      </c>
      <c r="D704" s="162">
        <v>1.0667468100561999</v>
      </c>
      <c r="E704" s="125">
        <v>1.07</v>
      </c>
    </row>
    <row r="705" spans="1:5">
      <c r="A705" s="122" t="s">
        <v>3073</v>
      </c>
      <c r="B705" s="161">
        <v>1.06</v>
      </c>
      <c r="C705" s="162">
        <v>1.0518217452297276</v>
      </c>
      <c r="D705" s="162">
        <v>1.0436434904594554</v>
      </c>
      <c r="E705" s="125">
        <v>1.04</v>
      </c>
    </row>
    <row r="706" spans="1:5">
      <c r="A706" s="122" t="s">
        <v>1676</v>
      </c>
      <c r="B706" s="161">
        <v>1.08</v>
      </c>
      <c r="C706" s="162">
        <v>1.0613991175361843</v>
      </c>
      <c r="D706" s="162">
        <v>1.0427982350723686</v>
      </c>
      <c r="E706" s="125">
        <v>1.04</v>
      </c>
    </row>
    <row r="707" spans="1:5">
      <c r="A707" s="122" t="s">
        <v>1494</v>
      </c>
      <c r="B707" s="161">
        <v>1.07</v>
      </c>
      <c r="C707" s="162">
        <v>1.0730922964412053</v>
      </c>
      <c r="D707" s="162">
        <v>1.0761845928824103</v>
      </c>
      <c r="E707" s="125">
        <v>1.08</v>
      </c>
    </row>
    <row r="708" spans="1:5">
      <c r="A708" s="122" t="s">
        <v>1612</v>
      </c>
      <c r="B708" s="161">
        <v>1.06</v>
      </c>
      <c r="C708" s="162">
        <v>1.0645399196476026</v>
      </c>
      <c r="D708" s="162">
        <v>1.0690798392952052</v>
      </c>
      <c r="E708" s="125">
        <v>1.07</v>
      </c>
    </row>
    <row r="709" spans="1:5">
      <c r="A709" s="122" t="s">
        <v>910</v>
      </c>
      <c r="B709" s="161">
        <v>1.07</v>
      </c>
      <c r="C709" s="162">
        <v>1.0577045797989051</v>
      </c>
      <c r="D709" s="162">
        <v>1.0454091595978103</v>
      </c>
      <c r="E709" s="125">
        <v>1.05</v>
      </c>
    </row>
    <row r="710" spans="1:5">
      <c r="A710" s="122" t="s">
        <v>1685</v>
      </c>
      <c r="B710" s="161">
        <v>1.07</v>
      </c>
      <c r="C710" s="162">
        <v>1.0554391607874509</v>
      </c>
      <c r="D710" s="162">
        <v>1.0408783215749018</v>
      </c>
      <c r="E710" s="125">
        <v>1.04</v>
      </c>
    </row>
    <row r="711" spans="1:5">
      <c r="A711" s="122" t="s">
        <v>1686</v>
      </c>
      <c r="B711" s="161">
        <v>1.06</v>
      </c>
      <c r="C711" s="162">
        <v>1.0538024214907387</v>
      </c>
      <c r="D711" s="162">
        <v>1.0476048429814773</v>
      </c>
      <c r="E711" s="125">
        <v>1.05</v>
      </c>
    </row>
    <row r="712" spans="1:5">
      <c r="A712" s="122" t="s">
        <v>1445</v>
      </c>
      <c r="B712" s="161">
        <v>1.06</v>
      </c>
      <c r="C712" s="162">
        <v>1.0531055796287552</v>
      </c>
      <c r="D712" s="162">
        <v>1.0462111592575101</v>
      </c>
      <c r="E712" s="125">
        <v>1.05</v>
      </c>
    </row>
    <row r="713" spans="1:5">
      <c r="A713" s="122" t="s">
        <v>1724</v>
      </c>
      <c r="B713" s="161">
        <v>1.05</v>
      </c>
      <c r="C713" s="162">
        <v>1.0545428951034148</v>
      </c>
      <c r="D713" s="162">
        <v>1.0590857902068296</v>
      </c>
      <c r="E713" s="125">
        <v>1.06</v>
      </c>
    </row>
    <row r="714" spans="1:5">
      <c r="A714" s="122" t="s">
        <v>2639</v>
      </c>
      <c r="B714" s="161">
        <v>1.1599999999999999</v>
      </c>
      <c r="C714" s="162">
        <v>1.2128608365308788</v>
      </c>
      <c r="D714" s="162">
        <v>1.2657216730617575</v>
      </c>
      <c r="E714" s="125">
        <v>1.27</v>
      </c>
    </row>
    <row r="715" spans="1:5">
      <c r="A715" s="122" t="s">
        <v>1725</v>
      </c>
      <c r="B715" s="161">
        <v>1.1200000000000001</v>
      </c>
      <c r="C715" s="162">
        <v>1.146577860300559</v>
      </c>
      <c r="D715" s="162">
        <v>1.1731557206011176</v>
      </c>
      <c r="E715" s="125">
        <v>1.17</v>
      </c>
    </row>
    <row r="716" spans="1:5">
      <c r="A716" s="122" t="s">
        <v>1349</v>
      </c>
      <c r="B716" s="161">
        <v>1.1299999999999999</v>
      </c>
      <c r="C716" s="162">
        <v>1.1530123790794167</v>
      </c>
      <c r="D716" s="162">
        <v>1.1760247581588334</v>
      </c>
      <c r="E716" s="125">
        <v>1.18</v>
      </c>
    </row>
    <row r="717" spans="1:5">
      <c r="A717" s="122" t="s">
        <v>378</v>
      </c>
      <c r="B717" s="161">
        <v>1.1299999999999999</v>
      </c>
      <c r="C717" s="162">
        <v>1.1695397455715157</v>
      </c>
      <c r="D717" s="162">
        <v>1.2090794911430316</v>
      </c>
      <c r="E717" s="125">
        <v>1.21</v>
      </c>
    </row>
    <row r="718" spans="1:5">
      <c r="A718" s="122" t="s">
        <v>1701</v>
      </c>
      <c r="B718" s="161">
        <v>1.1200000000000001</v>
      </c>
      <c r="C718" s="162">
        <v>1.1504160427263281</v>
      </c>
      <c r="D718" s="162">
        <v>1.1808320854526559</v>
      </c>
      <c r="E718" s="125">
        <v>1.18</v>
      </c>
    </row>
    <row r="719" spans="1:5">
      <c r="A719" s="122" t="s">
        <v>801</v>
      </c>
      <c r="B719" s="161">
        <v>1.1399999999999999</v>
      </c>
      <c r="C719" s="162">
        <v>1.1775809415445284</v>
      </c>
      <c r="D719" s="162">
        <v>1.2151618830890567</v>
      </c>
      <c r="E719" s="125">
        <v>1.22</v>
      </c>
    </row>
    <row r="720" spans="1:5">
      <c r="A720" s="122" t="s">
        <v>2134</v>
      </c>
      <c r="B720" s="161">
        <v>1.08</v>
      </c>
      <c r="C720" s="162">
        <v>1.0917877316214857</v>
      </c>
      <c r="D720" s="162">
        <v>1.1035754632429711</v>
      </c>
      <c r="E720" s="125">
        <v>1.1000000000000001</v>
      </c>
    </row>
    <row r="721" spans="1:5">
      <c r="A721" s="122" t="s">
        <v>2135</v>
      </c>
      <c r="B721" s="161">
        <v>1.05</v>
      </c>
      <c r="C721" s="162">
        <v>1.0684629694813759</v>
      </c>
      <c r="D721" s="162">
        <v>1.0869259389627515</v>
      </c>
      <c r="E721" s="125">
        <v>1.0900000000000001</v>
      </c>
    </row>
    <row r="722" spans="1:5">
      <c r="A722" s="122" t="s">
        <v>2136</v>
      </c>
      <c r="B722" s="161">
        <v>1.06</v>
      </c>
      <c r="C722" s="162">
        <v>1.0582286137880068</v>
      </c>
      <c r="D722" s="162">
        <v>1.0564572275760133</v>
      </c>
      <c r="E722" s="125">
        <v>1.06</v>
      </c>
    </row>
    <row r="723" spans="1:5">
      <c r="A723" s="122" t="s">
        <v>2137</v>
      </c>
      <c r="B723" s="161">
        <v>1.04</v>
      </c>
      <c r="C723" s="162">
        <v>1.0486178645332918</v>
      </c>
      <c r="D723" s="162">
        <v>1.0572357290665837</v>
      </c>
      <c r="E723" s="125">
        <v>1.06</v>
      </c>
    </row>
    <row r="724" spans="1:5">
      <c r="A724" s="122" t="s">
        <v>2685</v>
      </c>
      <c r="B724" s="161">
        <v>1.04</v>
      </c>
      <c r="C724" s="162">
        <v>1.0344285328073326</v>
      </c>
      <c r="D724" s="162">
        <v>1.0288570656146652</v>
      </c>
      <c r="E724" s="125">
        <v>1.03</v>
      </c>
    </row>
    <row r="725" spans="1:5">
      <c r="A725" s="122" t="s">
        <v>802</v>
      </c>
      <c r="B725" s="161">
        <v>1.03</v>
      </c>
      <c r="C725" s="162">
        <v>1.0303985549683907</v>
      </c>
      <c r="D725" s="162">
        <v>1.0307971099367812</v>
      </c>
      <c r="E725" s="125">
        <v>1.03</v>
      </c>
    </row>
    <row r="726" spans="1:5">
      <c r="A726" s="122" t="s">
        <v>570</v>
      </c>
      <c r="B726" s="161">
        <v>1.03</v>
      </c>
      <c r="C726" s="162">
        <v>1.0366484646919285</v>
      </c>
      <c r="D726" s="162">
        <v>1.0432969293838568</v>
      </c>
      <c r="E726" s="125">
        <v>1.04</v>
      </c>
    </row>
    <row r="727" spans="1:5">
      <c r="A727" s="122" t="s">
        <v>803</v>
      </c>
      <c r="B727" s="161">
        <v>1.04</v>
      </c>
      <c r="C727" s="162">
        <v>1.0421492565054948</v>
      </c>
      <c r="D727" s="162">
        <v>1.0442985130109899</v>
      </c>
      <c r="E727" s="125">
        <v>1.04</v>
      </c>
    </row>
    <row r="728" spans="1:5">
      <c r="A728" s="122" t="s">
        <v>571</v>
      </c>
      <c r="B728" s="161">
        <v>1.06</v>
      </c>
      <c r="C728" s="162">
        <v>1.057016624565658</v>
      </c>
      <c r="D728" s="162">
        <v>1.054033249131316</v>
      </c>
      <c r="E728" s="125">
        <v>1.05</v>
      </c>
    </row>
    <row r="729" spans="1:5">
      <c r="A729" s="122" t="s">
        <v>410</v>
      </c>
      <c r="B729" s="161">
        <v>1.03</v>
      </c>
      <c r="C729" s="162">
        <v>1.0339878774484035</v>
      </c>
      <c r="D729" s="162">
        <v>1.0379757548968072</v>
      </c>
      <c r="E729" s="125">
        <v>1.04</v>
      </c>
    </row>
    <row r="730" spans="1:5">
      <c r="A730" s="122" t="s">
        <v>572</v>
      </c>
      <c r="B730" s="161">
        <v>1.03</v>
      </c>
      <c r="C730" s="162">
        <v>1.0341151211691457</v>
      </c>
      <c r="D730" s="162">
        <v>1.0382302423382914</v>
      </c>
      <c r="E730" s="125">
        <v>1.04</v>
      </c>
    </row>
    <row r="731" spans="1:5">
      <c r="A731" s="122" t="s">
        <v>573</v>
      </c>
      <c r="B731" s="161">
        <v>1.04</v>
      </c>
      <c r="C731" s="162">
        <v>1.0362222356868309</v>
      </c>
      <c r="D731" s="162">
        <v>1.0324444713736618</v>
      </c>
      <c r="E731" s="125">
        <v>1.03</v>
      </c>
    </row>
    <row r="732" spans="1:5">
      <c r="A732" s="122" t="s">
        <v>877</v>
      </c>
      <c r="B732" s="161">
        <v>1.04</v>
      </c>
      <c r="C732" s="162">
        <v>1.0321065357888648</v>
      </c>
      <c r="D732" s="162">
        <v>1.0242130715777296</v>
      </c>
      <c r="E732" s="125">
        <v>1.02</v>
      </c>
    </row>
    <row r="733" spans="1:5">
      <c r="A733" s="122" t="s">
        <v>574</v>
      </c>
      <c r="B733" s="161">
        <v>1.03</v>
      </c>
      <c r="C733" s="162">
        <v>1.0328860592386528</v>
      </c>
      <c r="D733" s="162">
        <v>1.0357721184773057</v>
      </c>
      <c r="E733" s="125">
        <v>1.04</v>
      </c>
    </row>
    <row r="734" spans="1:5">
      <c r="A734" s="122" t="s">
        <v>575</v>
      </c>
      <c r="B734" s="161">
        <v>1.05</v>
      </c>
      <c r="C734" s="162">
        <v>1.0526616987586532</v>
      </c>
      <c r="D734" s="162">
        <v>1.0553233975173062</v>
      </c>
      <c r="E734" s="125">
        <v>1.06</v>
      </c>
    </row>
    <row r="735" spans="1:5">
      <c r="A735" s="122" t="s">
        <v>2754</v>
      </c>
      <c r="B735" s="161">
        <v>1.07</v>
      </c>
      <c r="C735" s="162">
        <v>1.0806187349121075</v>
      </c>
      <c r="D735" s="162">
        <v>1.0912374698242147</v>
      </c>
      <c r="E735" s="125">
        <v>1.0900000000000001</v>
      </c>
    </row>
    <row r="736" spans="1:5">
      <c r="A736" s="122" t="s">
        <v>2761</v>
      </c>
      <c r="B736" s="161">
        <v>1.04</v>
      </c>
      <c r="C736" s="162">
        <v>1.0508762381254146</v>
      </c>
      <c r="D736" s="162">
        <v>1.061752476250829</v>
      </c>
      <c r="E736" s="125">
        <v>1.06</v>
      </c>
    </row>
    <row r="737" spans="1:5">
      <c r="A737" s="122" t="s">
        <v>20</v>
      </c>
      <c r="B737" s="161">
        <v>1.04</v>
      </c>
      <c r="C737" s="162">
        <v>1.0448319367045888</v>
      </c>
      <c r="D737" s="162">
        <v>1.0496638734091779</v>
      </c>
      <c r="E737" s="125">
        <v>1.05</v>
      </c>
    </row>
    <row r="738" spans="1:5">
      <c r="A738" s="122" t="s">
        <v>804</v>
      </c>
      <c r="B738" s="161">
        <v>1.06</v>
      </c>
      <c r="C738" s="162">
        <v>1.0630115626527581</v>
      </c>
      <c r="D738" s="162">
        <v>1.0660231253055161</v>
      </c>
      <c r="E738" s="125">
        <v>1.07</v>
      </c>
    </row>
    <row r="739" spans="1:5">
      <c r="A739" s="122" t="s">
        <v>21</v>
      </c>
      <c r="B739" s="161">
        <v>1.04</v>
      </c>
      <c r="C739" s="162">
        <v>1.0506752212863342</v>
      </c>
      <c r="D739" s="162">
        <v>1.0613504425726681</v>
      </c>
      <c r="E739" s="125">
        <v>1.06</v>
      </c>
    </row>
    <row r="740" spans="1:5">
      <c r="A740" s="122" t="s">
        <v>2383</v>
      </c>
      <c r="B740" s="161">
        <v>1.04</v>
      </c>
      <c r="C740" s="162">
        <v>1.0484988429795887</v>
      </c>
      <c r="D740" s="162">
        <v>1.0569976859591774</v>
      </c>
      <c r="E740" s="125">
        <v>1.06</v>
      </c>
    </row>
    <row r="741" spans="1:5">
      <c r="A741" s="122" t="s">
        <v>22</v>
      </c>
      <c r="B741" s="161">
        <v>1.08</v>
      </c>
      <c r="C741" s="162">
        <v>1.0688410119708742</v>
      </c>
      <c r="D741" s="162">
        <v>1.0576820239417484</v>
      </c>
      <c r="E741" s="125">
        <v>1.06</v>
      </c>
    </row>
    <row r="742" spans="1:5">
      <c r="A742" s="122" t="s">
        <v>1159</v>
      </c>
      <c r="B742" s="161">
        <v>1.07</v>
      </c>
      <c r="C742" s="162">
        <v>1.0671489769912719</v>
      </c>
      <c r="D742" s="162">
        <v>1.0642979539825435</v>
      </c>
      <c r="E742" s="125">
        <v>1.06</v>
      </c>
    </row>
    <row r="743" spans="1:5">
      <c r="A743" s="122" t="s">
        <v>2268</v>
      </c>
      <c r="B743" s="161">
        <v>1.07</v>
      </c>
      <c r="C743" s="162">
        <v>1.0569191838833372</v>
      </c>
      <c r="D743" s="162">
        <v>1.043838367766674</v>
      </c>
      <c r="E743" s="125">
        <v>1.04</v>
      </c>
    </row>
    <row r="744" spans="1:5">
      <c r="A744" s="122" t="s">
        <v>1736</v>
      </c>
      <c r="B744" s="161">
        <v>1.05</v>
      </c>
      <c r="C744" s="162">
        <v>1.0519335459851118</v>
      </c>
      <c r="D744" s="162">
        <v>1.0538670919702233</v>
      </c>
      <c r="E744" s="125">
        <v>1.05</v>
      </c>
    </row>
    <row r="745" spans="1:5">
      <c r="A745" s="122" t="s">
        <v>2145</v>
      </c>
      <c r="B745" s="161">
        <v>1.07</v>
      </c>
      <c r="C745" s="162">
        <v>1.0711168939752542</v>
      </c>
      <c r="D745" s="162">
        <v>1.0722337879505084</v>
      </c>
      <c r="E745" s="125">
        <v>1.07</v>
      </c>
    </row>
    <row r="746" spans="1:5">
      <c r="A746" s="122" t="s">
        <v>2637</v>
      </c>
      <c r="B746" s="161">
        <v>1.07</v>
      </c>
      <c r="C746" s="162">
        <v>1.0574655478444175</v>
      </c>
      <c r="D746" s="162">
        <v>1.0449310956888351</v>
      </c>
      <c r="E746" s="125">
        <v>1.04</v>
      </c>
    </row>
    <row r="747" spans="1:5">
      <c r="A747" s="122" t="s">
        <v>464</v>
      </c>
      <c r="B747" s="161">
        <v>1.06</v>
      </c>
      <c r="C747" s="162">
        <v>1.0564158976678293</v>
      </c>
      <c r="D747" s="162">
        <v>1.0528317953356585</v>
      </c>
      <c r="E747" s="125">
        <v>1.05</v>
      </c>
    </row>
    <row r="748" spans="1:5">
      <c r="A748" s="122" t="s">
        <v>2858</v>
      </c>
      <c r="B748" s="161">
        <v>1.07</v>
      </c>
      <c r="C748" s="162">
        <v>1.0709519389919904</v>
      </c>
      <c r="D748" s="162">
        <v>1.0719038779839805</v>
      </c>
      <c r="E748" s="125">
        <v>1.07</v>
      </c>
    </row>
    <row r="749" spans="1:5">
      <c r="A749" s="122" t="s">
        <v>1337</v>
      </c>
      <c r="B749" s="161">
        <v>1.08</v>
      </c>
      <c r="C749" s="162">
        <v>1.0902394288388104</v>
      </c>
      <c r="D749" s="162">
        <v>1.1004788576776208</v>
      </c>
      <c r="E749" s="125">
        <v>1.1000000000000001</v>
      </c>
    </row>
    <row r="750" spans="1:5">
      <c r="A750" s="122" t="s">
        <v>1338</v>
      </c>
      <c r="B750" s="161">
        <v>1.1100000000000001</v>
      </c>
      <c r="C750" s="162">
        <v>1.1257959947433172</v>
      </c>
      <c r="D750" s="162">
        <v>1.1415919894866344</v>
      </c>
      <c r="E750" s="125">
        <v>1.1399999999999999</v>
      </c>
    </row>
    <row r="751" spans="1:5">
      <c r="A751" s="122" t="s">
        <v>2753</v>
      </c>
      <c r="B751" s="161">
        <v>1.1100000000000001</v>
      </c>
      <c r="C751" s="162">
        <v>1.15812527673762</v>
      </c>
      <c r="D751" s="162">
        <v>1.2062505534752397</v>
      </c>
      <c r="E751" s="125">
        <v>1.21</v>
      </c>
    </row>
    <row r="752" spans="1:5">
      <c r="A752" s="122" t="s">
        <v>619</v>
      </c>
      <c r="B752" s="161">
        <v>1.1100000000000001</v>
      </c>
      <c r="C752" s="162">
        <v>1.0914389594850578</v>
      </c>
      <c r="D752" s="162">
        <v>1.0728779189701154</v>
      </c>
      <c r="E752" s="125">
        <v>1.07</v>
      </c>
    </row>
    <row r="753" spans="1:5">
      <c r="A753" s="122" t="s">
        <v>632</v>
      </c>
      <c r="B753" s="161">
        <v>1.08</v>
      </c>
      <c r="C753" s="162">
        <v>1.0744135596183013</v>
      </c>
      <c r="D753" s="162">
        <v>1.0688271192366026</v>
      </c>
      <c r="E753" s="125">
        <v>1.07</v>
      </c>
    </row>
    <row r="754" spans="1:5">
      <c r="A754" s="122" t="s">
        <v>633</v>
      </c>
      <c r="B754" s="161">
        <v>1.07</v>
      </c>
      <c r="C754" s="162">
        <v>1.0736281556473966</v>
      </c>
      <c r="D754" s="162">
        <v>1.077256311294793</v>
      </c>
      <c r="E754" s="125">
        <v>1.08</v>
      </c>
    </row>
    <row r="755" spans="1:5">
      <c r="A755" s="122" t="s">
        <v>191</v>
      </c>
      <c r="B755" s="161">
        <v>1.1599999999999999</v>
      </c>
      <c r="C755" s="162">
        <v>1.1490990617600412</v>
      </c>
      <c r="D755" s="162">
        <v>1.1381981235200822</v>
      </c>
      <c r="E755" s="125">
        <v>1.1399999999999999</v>
      </c>
    </row>
    <row r="756" spans="1:5">
      <c r="A756" s="122" t="s">
        <v>869</v>
      </c>
      <c r="B756" s="161">
        <v>1.1000000000000001</v>
      </c>
      <c r="C756" s="162">
        <v>1.1165076595699435</v>
      </c>
      <c r="D756" s="162">
        <v>1.1330153191398866</v>
      </c>
      <c r="E756" s="125">
        <v>1.1299999999999999</v>
      </c>
    </row>
    <row r="757" spans="1:5">
      <c r="A757" s="122" t="s">
        <v>1087</v>
      </c>
      <c r="B757" s="161">
        <v>1.08</v>
      </c>
      <c r="C757" s="162">
        <v>1.087474583919795</v>
      </c>
      <c r="D757" s="162">
        <v>1.0949491678395902</v>
      </c>
      <c r="E757" s="125">
        <v>1.0900000000000001</v>
      </c>
    </row>
    <row r="758" spans="1:5">
      <c r="A758" s="122" t="s">
        <v>2452</v>
      </c>
      <c r="B758" s="161">
        <v>1.1100000000000001</v>
      </c>
      <c r="C758" s="162">
        <v>1.1252161025217466</v>
      </c>
      <c r="D758" s="162">
        <v>1.1404322050434932</v>
      </c>
      <c r="E758" s="125">
        <v>1.1399999999999999</v>
      </c>
    </row>
    <row r="759" spans="1:5">
      <c r="A759" s="122" t="s">
        <v>2453</v>
      </c>
      <c r="B759" s="161">
        <v>1.1200000000000001</v>
      </c>
      <c r="C759" s="162">
        <v>1.118576029283332</v>
      </c>
      <c r="D759" s="162">
        <v>1.1171520585666639</v>
      </c>
      <c r="E759" s="125">
        <v>1.1200000000000001</v>
      </c>
    </row>
    <row r="760" spans="1:5">
      <c r="A760" s="122" t="s">
        <v>237</v>
      </c>
      <c r="B760" s="161">
        <v>1.1000000000000001</v>
      </c>
      <c r="C760" s="162">
        <v>1.1224250916057854</v>
      </c>
      <c r="D760" s="162">
        <v>1.1448501832115707</v>
      </c>
      <c r="E760" s="125">
        <v>1.1399999999999999</v>
      </c>
    </row>
    <row r="761" spans="1:5">
      <c r="A761" s="122" t="s">
        <v>1054</v>
      </c>
      <c r="B761" s="161">
        <v>1.0900000000000001</v>
      </c>
      <c r="C761" s="162">
        <v>1.0812734434683045</v>
      </c>
      <c r="D761" s="162">
        <v>1.0725468869366088</v>
      </c>
      <c r="E761" s="125">
        <v>1.07</v>
      </c>
    </row>
    <row r="762" spans="1:5">
      <c r="A762" s="122" t="s">
        <v>1097</v>
      </c>
      <c r="B762" s="161">
        <v>1.04</v>
      </c>
      <c r="C762" s="162">
        <v>1.0538355452747248</v>
      </c>
      <c r="D762" s="162">
        <v>1.0676710905494495</v>
      </c>
      <c r="E762" s="125">
        <v>1.07</v>
      </c>
    </row>
    <row r="763" spans="1:5">
      <c r="A763" s="122" t="s">
        <v>1098</v>
      </c>
      <c r="B763" s="161">
        <v>1.06</v>
      </c>
      <c r="C763" s="162">
        <v>1.0616411693628804</v>
      </c>
      <c r="D763" s="162">
        <v>1.0632823387257606</v>
      </c>
      <c r="E763" s="125">
        <v>1.06</v>
      </c>
    </row>
    <row r="764" spans="1:5">
      <c r="A764" s="122" t="s">
        <v>1099</v>
      </c>
      <c r="B764" s="161">
        <v>1.05</v>
      </c>
      <c r="C764" s="162">
        <v>1.0451454937274312</v>
      </c>
      <c r="D764" s="162">
        <v>1.040290987454862</v>
      </c>
      <c r="E764" s="125">
        <v>1.04</v>
      </c>
    </row>
    <row r="765" spans="1:5">
      <c r="A765" s="122" t="s">
        <v>2225</v>
      </c>
      <c r="B765" s="161">
        <v>1.1000000000000001</v>
      </c>
      <c r="C765" s="162">
        <v>1.1031421411589943</v>
      </c>
      <c r="D765" s="162">
        <v>1.1062842823179886</v>
      </c>
      <c r="E765" s="125">
        <v>1.1100000000000001</v>
      </c>
    </row>
    <row r="766" spans="1:5">
      <c r="A766" s="122" t="s">
        <v>1100</v>
      </c>
      <c r="B766" s="161">
        <v>1.08</v>
      </c>
      <c r="C766" s="162">
        <v>1.0859865094045817</v>
      </c>
      <c r="D766" s="162">
        <v>1.0919730188091636</v>
      </c>
      <c r="E766" s="125">
        <v>1.0900000000000001</v>
      </c>
    </row>
    <row r="767" spans="1:5">
      <c r="A767" s="122" t="s">
        <v>1101</v>
      </c>
      <c r="B767" s="161">
        <v>1.1100000000000001</v>
      </c>
      <c r="C767" s="162">
        <v>1.1110738658086956</v>
      </c>
      <c r="D767" s="162">
        <v>1.1121477316173909</v>
      </c>
      <c r="E767" s="125">
        <v>1.1100000000000001</v>
      </c>
    </row>
    <row r="768" spans="1:5">
      <c r="A768" s="122" t="s">
        <v>1655</v>
      </c>
      <c r="B768" s="161">
        <v>1.1000000000000001</v>
      </c>
      <c r="C768" s="162">
        <v>1.1117947310974789</v>
      </c>
      <c r="D768" s="162">
        <v>1.1235894621949578</v>
      </c>
      <c r="E768" s="125">
        <v>1.1200000000000001</v>
      </c>
    </row>
    <row r="769" spans="1:5">
      <c r="A769" s="122" t="s">
        <v>1248</v>
      </c>
      <c r="B769" s="161">
        <v>1.1000000000000001</v>
      </c>
      <c r="C769" s="162">
        <v>1.1074626931360296</v>
      </c>
      <c r="D769" s="162">
        <v>1.1149253862720592</v>
      </c>
      <c r="E769" s="125">
        <v>1.1100000000000001</v>
      </c>
    </row>
    <row r="770" spans="1:5">
      <c r="A770" s="122" t="s">
        <v>1249</v>
      </c>
      <c r="B770" s="161">
        <v>1.06</v>
      </c>
      <c r="C770" s="162">
        <v>1.0598147378956726</v>
      </c>
      <c r="D770" s="162">
        <v>1.0596294757913451</v>
      </c>
      <c r="E770" s="125">
        <v>1.06</v>
      </c>
    </row>
    <row r="771" spans="1:5">
      <c r="A771" s="122" t="s">
        <v>1250</v>
      </c>
      <c r="B771" s="161">
        <v>1.05</v>
      </c>
      <c r="C771" s="162">
        <v>1.0675470853077647</v>
      </c>
      <c r="D771" s="162">
        <v>1.0850941706155295</v>
      </c>
      <c r="E771" s="125">
        <v>1.0900000000000001</v>
      </c>
    </row>
    <row r="772" spans="1:5">
      <c r="A772" s="122" t="s">
        <v>2902</v>
      </c>
      <c r="B772" s="161">
        <v>1.07</v>
      </c>
      <c r="C772" s="162">
        <v>1.0884381826484497</v>
      </c>
      <c r="D772" s="162">
        <v>1.1068763652968996</v>
      </c>
      <c r="E772" s="125">
        <v>1.1100000000000001</v>
      </c>
    </row>
    <row r="773" spans="1:5">
      <c r="A773" s="122" t="s">
        <v>1529</v>
      </c>
      <c r="B773" s="161">
        <v>1.05</v>
      </c>
      <c r="C773" s="162">
        <v>1.0597802716115983</v>
      </c>
      <c r="D773" s="162">
        <v>1.0695605432231965</v>
      </c>
      <c r="E773" s="125">
        <v>1.07</v>
      </c>
    </row>
    <row r="774" spans="1:5">
      <c r="A774" s="122" t="s">
        <v>1530</v>
      </c>
      <c r="B774" s="161">
        <v>1.06</v>
      </c>
      <c r="C774" s="162">
        <v>1.0620834457634472</v>
      </c>
      <c r="D774" s="162">
        <v>1.0641668915268943</v>
      </c>
      <c r="E774" s="125">
        <v>1.06</v>
      </c>
    </row>
    <row r="775" spans="1:5">
      <c r="A775" s="122" t="s">
        <v>1531</v>
      </c>
      <c r="B775" s="161">
        <v>1.06</v>
      </c>
      <c r="C775" s="162">
        <v>1.0596373154083949</v>
      </c>
      <c r="D775" s="162">
        <v>1.0592746308167895</v>
      </c>
      <c r="E775" s="125">
        <v>1.06</v>
      </c>
    </row>
    <row r="776" spans="1:5">
      <c r="A776" s="122" t="s">
        <v>1532</v>
      </c>
      <c r="B776" s="161">
        <v>1.05</v>
      </c>
      <c r="C776" s="162">
        <v>1.0556687014075097</v>
      </c>
      <c r="D776" s="162">
        <v>1.0613374028150195</v>
      </c>
      <c r="E776" s="125">
        <v>1.06</v>
      </c>
    </row>
    <row r="777" spans="1:5">
      <c r="A777" s="122" t="s">
        <v>1533</v>
      </c>
      <c r="B777" s="161">
        <v>1.07</v>
      </c>
      <c r="C777" s="162">
        <v>1.0783934518889526</v>
      </c>
      <c r="D777" s="162">
        <v>1.086786903777905</v>
      </c>
      <c r="E777" s="125">
        <v>1.0900000000000001</v>
      </c>
    </row>
    <row r="778" spans="1:5">
      <c r="A778" s="122" t="s">
        <v>2974</v>
      </c>
      <c r="B778" s="161">
        <v>1.04</v>
      </c>
      <c r="C778" s="162">
        <v>1.0517155187783476</v>
      </c>
      <c r="D778" s="162">
        <v>1.0634310375566951</v>
      </c>
      <c r="E778" s="125">
        <v>1.06</v>
      </c>
    </row>
    <row r="779" spans="1:5">
      <c r="A779" s="122" t="s">
        <v>805</v>
      </c>
      <c r="B779" s="161">
        <v>1.0900000000000001</v>
      </c>
      <c r="C779" s="162">
        <v>1.1040512608025497</v>
      </c>
      <c r="D779" s="162">
        <v>1.1181025216050993</v>
      </c>
      <c r="E779" s="125">
        <v>1.1200000000000001</v>
      </c>
    </row>
    <row r="780" spans="1:5">
      <c r="A780" s="122" t="s">
        <v>1703</v>
      </c>
      <c r="B780" s="161">
        <v>1.1100000000000001</v>
      </c>
      <c r="C780" s="162">
        <v>1.1447548968828003</v>
      </c>
      <c r="D780" s="162">
        <v>1.1795097937656007</v>
      </c>
      <c r="E780" s="125">
        <v>1.18</v>
      </c>
    </row>
    <row r="781" spans="1:5">
      <c r="A781" s="122" t="s">
        <v>1656</v>
      </c>
      <c r="B781" s="161">
        <v>1.1200000000000001</v>
      </c>
      <c r="C781" s="162">
        <v>1.1597252203606114</v>
      </c>
      <c r="D781" s="162">
        <v>1.199450440721223</v>
      </c>
      <c r="E781" s="125">
        <v>1.2</v>
      </c>
    </row>
    <row r="782" spans="1:5">
      <c r="A782" s="122" t="s">
        <v>2901</v>
      </c>
      <c r="B782" s="161">
        <v>1.1000000000000001</v>
      </c>
      <c r="C782" s="162">
        <v>1.1117538393497495</v>
      </c>
      <c r="D782" s="162">
        <v>1.1235076786994989</v>
      </c>
      <c r="E782" s="125">
        <v>1.1200000000000001</v>
      </c>
    </row>
    <row r="783" spans="1:5">
      <c r="A783" s="122" t="s">
        <v>1563</v>
      </c>
      <c r="B783" s="161">
        <v>1.1100000000000001</v>
      </c>
      <c r="C783" s="162">
        <v>1.1468378362216707</v>
      </c>
      <c r="D783" s="162">
        <v>1.1836756724433413</v>
      </c>
      <c r="E783" s="125">
        <v>1.18</v>
      </c>
    </row>
    <row r="784" spans="1:5">
      <c r="A784" s="122" t="s">
        <v>236</v>
      </c>
      <c r="B784" s="161">
        <v>1.0900000000000001</v>
      </c>
      <c r="C784" s="162">
        <v>1.112208776705504</v>
      </c>
      <c r="D784" s="162">
        <v>1.1344175534110079</v>
      </c>
      <c r="E784" s="125">
        <v>1.1299999999999999</v>
      </c>
    </row>
    <row r="785" spans="1:5">
      <c r="A785" s="122" t="s">
        <v>2144</v>
      </c>
      <c r="B785" s="161">
        <v>1.08</v>
      </c>
      <c r="C785" s="162">
        <v>1.1020138392292056</v>
      </c>
      <c r="D785" s="162">
        <v>1.1240276784584111</v>
      </c>
      <c r="E785" s="125">
        <v>1.1200000000000001</v>
      </c>
    </row>
    <row r="786" spans="1:5">
      <c r="A786" s="122" t="s">
        <v>1834</v>
      </c>
      <c r="B786" s="161">
        <v>1.1000000000000001</v>
      </c>
      <c r="C786" s="162">
        <v>1.0982742875149214</v>
      </c>
      <c r="D786" s="162">
        <v>1.0965485750298427</v>
      </c>
      <c r="E786" s="125">
        <v>1.1000000000000001</v>
      </c>
    </row>
    <row r="787" spans="1:5">
      <c r="A787" s="122" t="s">
        <v>1835</v>
      </c>
      <c r="B787" s="161">
        <v>1.05</v>
      </c>
      <c r="C787" s="162">
        <v>1.0488866153755532</v>
      </c>
      <c r="D787" s="162">
        <v>1.0477732307511063</v>
      </c>
      <c r="E787" s="125">
        <v>1.05</v>
      </c>
    </row>
    <row r="788" spans="1:5">
      <c r="A788" s="122" t="s">
        <v>1836</v>
      </c>
      <c r="B788" s="161">
        <v>1.05</v>
      </c>
      <c r="C788" s="162">
        <v>1.0469101089220987</v>
      </c>
      <c r="D788" s="162">
        <v>1.0438202178441973</v>
      </c>
      <c r="E788" s="125">
        <v>1.04</v>
      </c>
    </row>
    <row r="789" spans="1:5">
      <c r="A789" s="122" t="s">
        <v>1837</v>
      </c>
      <c r="B789" s="161">
        <v>1.06</v>
      </c>
      <c r="C789" s="162">
        <v>1.0562689409235277</v>
      </c>
      <c r="D789" s="162">
        <v>1.0525378818470554</v>
      </c>
      <c r="E789" s="125">
        <v>1.05</v>
      </c>
    </row>
    <row r="790" spans="1:5">
      <c r="A790" s="122" t="s">
        <v>1838</v>
      </c>
      <c r="B790" s="161">
        <v>1.05</v>
      </c>
      <c r="C790" s="162">
        <v>1.0374199255776901</v>
      </c>
      <c r="D790" s="162">
        <v>1.0248398511553802</v>
      </c>
      <c r="E790" s="125">
        <v>1.02</v>
      </c>
    </row>
    <row r="791" spans="1:5">
      <c r="A791" s="122" t="s">
        <v>2140</v>
      </c>
      <c r="B791" s="161">
        <v>1.1100000000000001</v>
      </c>
      <c r="C791" s="162">
        <v>1.0879049220862107</v>
      </c>
      <c r="D791" s="162">
        <v>1.0658098441724213</v>
      </c>
      <c r="E791" s="125">
        <v>1.07</v>
      </c>
    </row>
    <row r="792" spans="1:5">
      <c r="A792" s="122" t="s">
        <v>2625</v>
      </c>
      <c r="B792" s="161">
        <v>1.1299999999999999</v>
      </c>
      <c r="C792" s="162">
        <v>1.111288536519401</v>
      </c>
      <c r="D792" s="162">
        <v>1.0925770730388018</v>
      </c>
      <c r="E792" s="125">
        <v>1.0900000000000001</v>
      </c>
    </row>
    <row r="793" spans="1:5">
      <c r="A793" s="122" t="s">
        <v>2614</v>
      </c>
      <c r="B793" s="161">
        <v>1.1000000000000001</v>
      </c>
      <c r="C793" s="162">
        <v>1.093794221288344</v>
      </c>
      <c r="D793" s="162">
        <v>1.087588442576688</v>
      </c>
      <c r="E793" s="125">
        <v>1.0900000000000001</v>
      </c>
    </row>
    <row r="794" spans="1:5">
      <c r="A794" s="122" t="s">
        <v>1477</v>
      </c>
      <c r="B794" s="161">
        <v>1.05</v>
      </c>
      <c r="C794" s="162">
        <v>1.0559684270703855</v>
      </c>
      <c r="D794" s="162">
        <v>1.061936854140771</v>
      </c>
      <c r="E794" s="125">
        <v>1.06</v>
      </c>
    </row>
    <row r="795" spans="1:5">
      <c r="A795" s="122" t="s">
        <v>790</v>
      </c>
      <c r="B795" s="161">
        <v>1.06</v>
      </c>
      <c r="C795" s="162">
        <v>1.0558612063122892</v>
      </c>
      <c r="D795" s="162">
        <v>1.0517224126245786</v>
      </c>
      <c r="E795" s="125">
        <v>1.05</v>
      </c>
    </row>
    <row r="796" spans="1:5">
      <c r="A796" s="122" t="s">
        <v>2917</v>
      </c>
      <c r="B796" s="161">
        <v>1.07</v>
      </c>
      <c r="C796" s="162">
        <v>1.0657716531975128</v>
      </c>
      <c r="D796" s="162">
        <v>1.0615433063950257</v>
      </c>
      <c r="E796" s="125">
        <v>1.06</v>
      </c>
    </row>
    <row r="797" spans="1:5">
      <c r="A797" s="122" t="s">
        <v>791</v>
      </c>
      <c r="B797" s="161">
        <v>1.07</v>
      </c>
      <c r="C797" s="162">
        <v>1.0606546851204117</v>
      </c>
      <c r="D797" s="162">
        <v>1.0513093702408234</v>
      </c>
      <c r="E797" s="125">
        <v>1.05</v>
      </c>
    </row>
    <row r="798" spans="1:5">
      <c r="A798" s="122" t="s">
        <v>1992</v>
      </c>
      <c r="B798" s="161">
        <v>1.07</v>
      </c>
      <c r="C798" s="162">
        <v>1.0779932856433121</v>
      </c>
      <c r="D798" s="162">
        <v>1.0859865712866241</v>
      </c>
      <c r="E798" s="125">
        <v>1.0900000000000001</v>
      </c>
    </row>
    <row r="799" spans="1:5">
      <c r="A799" s="122" t="s">
        <v>1380</v>
      </c>
      <c r="B799" s="161">
        <v>1.05</v>
      </c>
      <c r="C799" s="162">
        <v>1.0509486009454889</v>
      </c>
      <c r="D799" s="162">
        <v>1.0518972018909776</v>
      </c>
      <c r="E799" s="125">
        <v>1.05</v>
      </c>
    </row>
    <row r="800" spans="1:5">
      <c r="A800" s="122" t="s">
        <v>1839</v>
      </c>
      <c r="B800" s="161">
        <v>1.1100000000000001</v>
      </c>
      <c r="C800" s="162">
        <v>1.1266166110309954</v>
      </c>
      <c r="D800" s="162">
        <v>1.1432332220619905</v>
      </c>
      <c r="E800" s="125">
        <v>1.1399999999999999</v>
      </c>
    </row>
    <row r="801" spans="1:5">
      <c r="A801" s="122" t="s">
        <v>227</v>
      </c>
      <c r="B801" s="161">
        <v>1.05</v>
      </c>
      <c r="C801" s="162">
        <v>1.0542026001506146</v>
      </c>
      <c r="D801" s="162">
        <v>1.0584052003012294</v>
      </c>
      <c r="E801" s="125">
        <v>1.06</v>
      </c>
    </row>
    <row r="802" spans="1:5">
      <c r="A802" s="122" t="s">
        <v>625</v>
      </c>
      <c r="B802" s="161">
        <v>1.05</v>
      </c>
      <c r="C802" s="162">
        <v>1.0435543164029166</v>
      </c>
      <c r="D802" s="162">
        <v>1.0371086328058332</v>
      </c>
      <c r="E802" s="125">
        <v>1.04</v>
      </c>
    </row>
    <row r="803" spans="1:5">
      <c r="A803" s="122" t="s">
        <v>2496</v>
      </c>
      <c r="B803" s="161">
        <v>1.04</v>
      </c>
      <c r="C803" s="162">
        <v>1.0339973050745503</v>
      </c>
      <c r="D803" s="162">
        <v>1.0279946101491009</v>
      </c>
      <c r="E803" s="125">
        <v>1.03</v>
      </c>
    </row>
    <row r="804" spans="1:5">
      <c r="A804" s="122" t="s">
        <v>1657</v>
      </c>
      <c r="B804" s="161">
        <v>1.06</v>
      </c>
      <c r="C804" s="162">
        <v>1.0407061416485219</v>
      </c>
      <c r="D804" s="162">
        <v>1.0214122832970436</v>
      </c>
      <c r="E804" s="125">
        <v>1.02</v>
      </c>
    </row>
    <row r="805" spans="1:5">
      <c r="A805" s="122" t="s">
        <v>245</v>
      </c>
      <c r="B805" s="161">
        <v>1.1000000000000001</v>
      </c>
      <c r="C805" s="162">
        <v>1.0741612129987113</v>
      </c>
      <c r="D805" s="162">
        <v>1.0483224259974226</v>
      </c>
      <c r="E805" s="125">
        <v>1.05</v>
      </c>
    </row>
    <row r="806" spans="1:5">
      <c r="A806" s="122" t="s">
        <v>1464</v>
      </c>
      <c r="B806" s="161">
        <v>1.04</v>
      </c>
      <c r="C806" s="162">
        <v>1.0556472056940707</v>
      </c>
      <c r="D806" s="162">
        <v>1.0712944113881411</v>
      </c>
      <c r="E806" s="125">
        <v>1.07</v>
      </c>
    </row>
    <row r="807" spans="1:5">
      <c r="A807" s="122" t="s">
        <v>1465</v>
      </c>
      <c r="B807" s="161">
        <v>1.06</v>
      </c>
      <c r="C807" s="162">
        <v>1.0738951495130959</v>
      </c>
      <c r="D807" s="162">
        <v>1.0877902990261918</v>
      </c>
      <c r="E807" s="125">
        <v>1.0900000000000001</v>
      </c>
    </row>
    <row r="808" spans="1:5">
      <c r="A808" s="122" t="s">
        <v>2883</v>
      </c>
      <c r="B808" s="161">
        <v>1.0900000000000001</v>
      </c>
      <c r="C808" s="162">
        <v>1.0931965366461815</v>
      </c>
      <c r="D808" s="162">
        <v>1.0963930732923632</v>
      </c>
      <c r="E808" s="125">
        <v>1.1000000000000001</v>
      </c>
    </row>
    <row r="809" spans="1:5">
      <c r="A809" s="122" t="s">
        <v>896</v>
      </c>
      <c r="B809" s="161">
        <v>1.05</v>
      </c>
      <c r="C809" s="162">
        <v>1.0539058641842445</v>
      </c>
      <c r="D809" s="162">
        <v>1.0578117283684889</v>
      </c>
      <c r="E809" s="125">
        <v>1.06</v>
      </c>
    </row>
    <row r="810" spans="1:5">
      <c r="A810" s="122" t="s">
        <v>135</v>
      </c>
      <c r="B810" s="161">
        <v>1.05</v>
      </c>
      <c r="C810" s="162">
        <v>1.047850459945169</v>
      </c>
      <c r="D810" s="162">
        <v>1.045700919890338</v>
      </c>
      <c r="E810" s="125">
        <v>1.05</v>
      </c>
    </row>
    <row r="811" spans="1:5">
      <c r="A811" s="122" t="s">
        <v>3051</v>
      </c>
      <c r="B811" s="161">
        <v>1.05</v>
      </c>
      <c r="C811" s="162">
        <v>1.0488407254103547</v>
      </c>
      <c r="D811" s="162">
        <v>1.0476814508207093</v>
      </c>
      <c r="E811" s="125">
        <v>1.05</v>
      </c>
    </row>
    <row r="812" spans="1:5">
      <c r="A812" s="122" t="s">
        <v>2597</v>
      </c>
      <c r="B812" s="161">
        <v>1.05</v>
      </c>
      <c r="C812" s="162">
        <v>1.0561372576424743</v>
      </c>
      <c r="D812" s="162">
        <v>1.0622745152849487</v>
      </c>
      <c r="E812" s="125">
        <v>1.06</v>
      </c>
    </row>
    <row r="813" spans="1:5">
      <c r="A813" s="122" t="s">
        <v>411</v>
      </c>
      <c r="B813" s="161">
        <v>1.04</v>
      </c>
      <c r="C813" s="162">
        <v>1.0415444091984507</v>
      </c>
      <c r="D813" s="162">
        <v>1.0430888183969012</v>
      </c>
      <c r="E813" s="125">
        <v>1.04</v>
      </c>
    </row>
    <row r="814" spans="1:5">
      <c r="A814" s="122" t="s">
        <v>1113</v>
      </c>
      <c r="B814" s="161">
        <v>1.1299999999999999</v>
      </c>
      <c r="C814" s="162">
        <v>1.1055657733584665</v>
      </c>
      <c r="D814" s="162">
        <v>1.0811315467169333</v>
      </c>
      <c r="E814" s="125">
        <v>1.08</v>
      </c>
    </row>
    <row r="815" spans="1:5">
      <c r="A815" s="122" t="s">
        <v>1932</v>
      </c>
      <c r="B815" s="161">
        <v>1.1200000000000001</v>
      </c>
      <c r="C815" s="162">
        <v>1.0723173943146067</v>
      </c>
      <c r="D815" s="162">
        <v>1.0246347886292135</v>
      </c>
      <c r="E815" s="125">
        <v>1.02</v>
      </c>
    </row>
    <row r="816" spans="1:5">
      <c r="A816" s="122" t="s">
        <v>793</v>
      </c>
      <c r="B816" s="161">
        <v>1.07</v>
      </c>
      <c r="C816" s="162">
        <v>1.0662389010920075</v>
      </c>
      <c r="D816" s="162">
        <v>1.0624778021840147</v>
      </c>
      <c r="E816" s="125">
        <v>1.06</v>
      </c>
    </row>
    <row r="817" spans="1:5">
      <c r="A817" s="122" t="s">
        <v>794</v>
      </c>
      <c r="B817" s="161">
        <v>1.08</v>
      </c>
      <c r="C817" s="162">
        <v>1.0790774441641164</v>
      </c>
      <c r="D817" s="162">
        <v>1.078154888328233</v>
      </c>
      <c r="E817" s="125">
        <v>1.08</v>
      </c>
    </row>
    <row r="818" spans="1:5">
      <c r="A818" s="122" t="s">
        <v>795</v>
      </c>
      <c r="B818" s="161">
        <v>1.07</v>
      </c>
      <c r="C818" s="162">
        <v>1.0757112626547396</v>
      </c>
      <c r="D818" s="162">
        <v>1.0814225253094791</v>
      </c>
      <c r="E818" s="125">
        <v>1.08</v>
      </c>
    </row>
    <row r="819" spans="1:5">
      <c r="A819" s="122" t="s">
        <v>1644</v>
      </c>
      <c r="B819" s="161">
        <v>1.08</v>
      </c>
      <c r="C819" s="162">
        <v>1.0664916575340508</v>
      </c>
      <c r="D819" s="162">
        <v>1.0529833150681014</v>
      </c>
      <c r="E819" s="125">
        <v>1.05</v>
      </c>
    </row>
    <row r="820" spans="1:5">
      <c r="A820" s="122" t="s">
        <v>1645</v>
      </c>
      <c r="B820" s="161">
        <v>1.06</v>
      </c>
      <c r="C820" s="162">
        <v>1.0558989098983831</v>
      </c>
      <c r="D820" s="162">
        <v>1.0517978197967661</v>
      </c>
      <c r="E820" s="125">
        <v>1.05</v>
      </c>
    </row>
    <row r="821" spans="1:5">
      <c r="A821" s="122" t="s">
        <v>1646</v>
      </c>
      <c r="B821" s="161">
        <v>1.0900000000000001</v>
      </c>
      <c r="C821" s="162">
        <v>1.0681260237573231</v>
      </c>
      <c r="D821" s="162">
        <v>1.046252047514646</v>
      </c>
      <c r="E821" s="125">
        <v>1.05</v>
      </c>
    </row>
    <row r="822" spans="1:5">
      <c r="A822" s="122" t="s">
        <v>1647</v>
      </c>
      <c r="B822" s="161">
        <v>1.07</v>
      </c>
      <c r="C822" s="162">
        <v>1.0705223373100994</v>
      </c>
      <c r="D822" s="162">
        <v>1.0710446746201987</v>
      </c>
      <c r="E822" s="125">
        <v>1.07</v>
      </c>
    </row>
    <row r="823" spans="1:5">
      <c r="A823" s="122" t="s">
        <v>1648</v>
      </c>
      <c r="B823" s="161">
        <v>1.1000000000000001</v>
      </c>
      <c r="C823" s="162">
        <v>1.0880062987800665</v>
      </c>
      <c r="D823" s="162">
        <v>1.0760125975601331</v>
      </c>
      <c r="E823" s="125">
        <v>1.08</v>
      </c>
    </row>
    <row r="824" spans="1:5">
      <c r="A824" s="122" t="s">
        <v>1649</v>
      </c>
      <c r="B824" s="161">
        <v>1.1299999999999999</v>
      </c>
      <c r="C824" s="162">
        <v>1.0927125642822813</v>
      </c>
      <c r="D824" s="162">
        <v>1.0554251285645626</v>
      </c>
      <c r="E824" s="125">
        <v>1.06</v>
      </c>
    </row>
    <row r="825" spans="1:5">
      <c r="A825" s="122" t="s">
        <v>1885</v>
      </c>
      <c r="B825" s="161">
        <v>1.1299999999999999</v>
      </c>
      <c r="C825" s="162">
        <v>1.1715149342561335</v>
      </c>
      <c r="D825" s="162">
        <v>1.2130298685122674</v>
      </c>
      <c r="E825" s="125">
        <v>1.21</v>
      </c>
    </row>
    <row r="826" spans="1:5">
      <c r="A826" s="122" t="s">
        <v>2056</v>
      </c>
      <c r="B826" s="161">
        <v>1.1000000000000001</v>
      </c>
      <c r="C826" s="162">
        <v>1.1277808701697218</v>
      </c>
      <c r="D826" s="162">
        <v>1.1555617403394436</v>
      </c>
      <c r="E826" s="125">
        <v>1.1599999999999999</v>
      </c>
    </row>
    <row r="827" spans="1:5">
      <c r="A827" s="122" t="s">
        <v>1886</v>
      </c>
      <c r="B827" s="161">
        <v>1.06</v>
      </c>
      <c r="C827" s="162">
        <v>1.0587180676387129</v>
      </c>
      <c r="D827" s="162">
        <v>1.0574361352774257</v>
      </c>
      <c r="E827" s="125">
        <v>1.06</v>
      </c>
    </row>
    <row r="828" spans="1:5">
      <c r="A828" s="122" t="s">
        <v>412</v>
      </c>
      <c r="B828" s="161">
        <v>1.05</v>
      </c>
      <c r="C828" s="162">
        <v>1.0470185421140161</v>
      </c>
      <c r="D828" s="162">
        <v>1.0440370842280322</v>
      </c>
      <c r="E828" s="125">
        <v>1.04</v>
      </c>
    </row>
    <row r="829" spans="1:5">
      <c r="A829" s="122" t="s">
        <v>1350</v>
      </c>
      <c r="B829" s="161">
        <v>1.05</v>
      </c>
      <c r="C829" s="162">
        <v>1.0526440909510582</v>
      </c>
      <c r="D829" s="162">
        <v>1.055288181902116</v>
      </c>
      <c r="E829" s="125">
        <v>1.06</v>
      </c>
    </row>
    <row r="830" spans="1:5">
      <c r="A830" s="122" t="s">
        <v>413</v>
      </c>
      <c r="B830" s="161">
        <v>1.07</v>
      </c>
      <c r="C830" s="162">
        <v>1.0475491389093907</v>
      </c>
      <c r="D830" s="162">
        <v>1.0250982778187816</v>
      </c>
      <c r="E830" s="125">
        <v>1.03</v>
      </c>
    </row>
    <row r="831" spans="1:5">
      <c r="A831" s="122" t="s">
        <v>1887</v>
      </c>
      <c r="B831" s="161">
        <v>1.07</v>
      </c>
      <c r="C831" s="162">
        <v>1.0886889105772664</v>
      </c>
      <c r="D831" s="162">
        <v>1.1073778211545329</v>
      </c>
      <c r="E831" s="125">
        <v>1.1100000000000001</v>
      </c>
    </row>
    <row r="832" spans="1:5">
      <c r="A832" s="122" t="s">
        <v>1888</v>
      </c>
      <c r="B832" s="161">
        <v>1.08</v>
      </c>
      <c r="C832" s="162">
        <v>1.0609733722503905</v>
      </c>
      <c r="D832" s="162">
        <v>1.0419467445007808</v>
      </c>
      <c r="E832" s="125">
        <v>1.04</v>
      </c>
    </row>
    <row r="833" spans="1:5">
      <c r="A833" s="122" t="s">
        <v>1889</v>
      </c>
      <c r="B833" s="161">
        <v>1.1000000000000001</v>
      </c>
      <c r="C833" s="162">
        <v>1.0725262730207872</v>
      </c>
      <c r="D833" s="162">
        <v>1.045052546041574</v>
      </c>
      <c r="E833" s="125">
        <v>1.05</v>
      </c>
    </row>
    <row r="834" spans="1:5">
      <c r="A834" s="122" t="s">
        <v>2830</v>
      </c>
      <c r="B834" s="161">
        <v>1.04</v>
      </c>
      <c r="C834" s="162">
        <v>1.0452385038649243</v>
      </c>
      <c r="D834" s="162">
        <v>1.0504770077298489</v>
      </c>
      <c r="E834" s="125">
        <v>1.05</v>
      </c>
    </row>
    <row r="835" spans="1:5">
      <c r="A835" s="122" t="s">
        <v>2831</v>
      </c>
      <c r="B835" s="161">
        <v>1.04</v>
      </c>
      <c r="C835" s="162">
        <v>1.0489384985976495</v>
      </c>
      <c r="D835" s="162">
        <v>1.0578769971952993</v>
      </c>
      <c r="E835" s="125">
        <v>1.06</v>
      </c>
    </row>
    <row r="836" spans="1:5">
      <c r="A836" s="122" t="s">
        <v>1890</v>
      </c>
      <c r="B836" s="161">
        <v>1.04</v>
      </c>
      <c r="C836" s="162">
        <v>1.0593937350238511</v>
      </c>
      <c r="D836" s="162">
        <v>1.0787874700477023</v>
      </c>
      <c r="E836" s="125">
        <v>1.08</v>
      </c>
    </row>
    <row r="837" spans="1:5">
      <c r="A837" s="122" t="s">
        <v>218</v>
      </c>
      <c r="B837" s="161">
        <v>1.03</v>
      </c>
      <c r="C837" s="162">
        <v>1.0440846989754999</v>
      </c>
      <c r="D837" s="162">
        <v>1.0581693979509996</v>
      </c>
      <c r="E837" s="125">
        <v>1.06</v>
      </c>
    </row>
    <row r="838" spans="1:5">
      <c r="A838" s="122" t="s">
        <v>1891</v>
      </c>
      <c r="B838" s="161">
        <v>1.05</v>
      </c>
      <c r="C838" s="162">
        <v>1.0594626096327953</v>
      </c>
      <c r="D838" s="162">
        <v>1.0689252192655905</v>
      </c>
      <c r="E838" s="125">
        <v>1.07</v>
      </c>
    </row>
    <row r="839" spans="1:5">
      <c r="A839" s="122" t="s">
        <v>1575</v>
      </c>
      <c r="B839" s="161">
        <v>1.04</v>
      </c>
      <c r="C839" s="162">
        <v>1.0472339423423889</v>
      </c>
      <c r="D839" s="162">
        <v>1.0544678846847779</v>
      </c>
      <c r="E839" s="125">
        <v>1.05</v>
      </c>
    </row>
    <row r="840" spans="1:5">
      <c r="A840" s="122" t="s">
        <v>1576</v>
      </c>
      <c r="B840" s="161">
        <v>1.05</v>
      </c>
      <c r="C840" s="162">
        <v>1.0482832241185296</v>
      </c>
      <c r="D840" s="162">
        <v>1.0465664482370591</v>
      </c>
      <c r="E840" s="125">
        <v>1.05</v>
      </c>
    </row>
    <row r="841" spans="1:5">
      <c r="A841" s="122" t="s">
        <v>1577</v>
      </c>
      <c r="B841" s="161">
        <v>1.06</v>
      </c>
      <c r="C841" s="162">
        <v>1.0433335945571471</v>
      </c>
      <c r="D841" s="162">
        <v>1.026667189114294</v>
      </c>
      <c r="E841" s="125">
        <v>1.03</v>
      </c>
    </row>
    <row r="842" spans="1:5">
      <c r="A842" s="122" t="s">
        <v>1832</v>
      </c>
      <c r="B842" s="161">
        <v>1.06</v>
      </c>
      <c r="C842" s="162">
        <v>1.039490538127247</v>
      </c>
      <c r="D842" s="162">
        <v>1.0189810762544937</v>
      </c>
      <c r="E842" s="125">
        <v>1.02</v>
      </c>
    </row>
    <row r="843" spans="1:5">
      <c r="A843" s="122" t="s">
        <v>1833</v>
      </c>
      <c r="B843" s="161">
        <v>1.1000000000000001</v>
      </c>
      <c r="C843" s="162">
        <v>1.1165071835353186</v>
      </c>
      <c r="D843" s="162">
        <v>1.1330143670706372</v>
      </c>
      <c r="E843" s="125">
        <v>1.1299999999999999</v>
      </c>
    </row>
    <row r="844" spans="1:5">
      <c r="A844" s="122" t="s">
        <v>2790</v>
      </c>
      <c r="B844" s="161">
        <v>1.0900000000000001</v>
      </c>
      <c r="C844" s="162">
        <v>1.1152500976124387</v>
      </c>
      <c r="D844" s="162">
        <v>1.1405001952248774</v>
      </c>
      <c r="E844" s="125">
        <v>1.1399999999999999</v>
      </c>
    </row>
    <row r="845" spans="1:5">
      <c r="A845" s="122" t="s">
        <v>1382</v>
      </c>
      <c r="B845" s="161">
        <v>1.1000000000000001</v>
      </c>
      <c r="C845" s="162">
        <v>1.1055076740362568</v>
      </c>
      <c r="D845" s="162">
        <v>1.1110153480725133</v>
      </c>
      <c r="E845" s="125">
        <v>1.1100000000000001</v>
      </c>
    </row>
    <row r="846" spans="1:5">
      <c r="A846" s="122" t="s">
        <v>2791</v>
      </c>
      <c r="B846" s="161">
        <v>1.0900000000000001</v>
      </c>
      <c r="C846" s="162">
        <v>1.1130561613102752</v>
      </c>
      <c r="D846" s="162">
        <v>1.1361123226205501</v>
      </c>
      <c r="E846" s="125">
        <v>1.1399999999999999</v>
      </c>
    </row>
    <row r="847" spans="1:5">
      <c r="A847" s="122" t="s">
        <v>1639</v>
      </c>
      <c r="B847" s="161">
        <v>1.08</v>
      </c>
      <c r="C847" s="162">
        <v>1.0966033146606819</v>
      </c>
      <c r="D847" s="162">
        <v>1.1132066293213638</v>
      </c>
      <c r="E847" s="125">
        <v>1.1100000000000001</v>
      </c>
    </row>
    <row r="848" spans="1:5">
      <c r="A848" s="122" t="s">
        <v>2892</v>
      </c>
      <c r="B848" s="161">
        <v>1.1200000000000001</v>
      </c>
      <c r="C848" s="162">
        <v>1.1160762037757526</v>
      </c>
      <c r="D848" s="162">
        <v>1.112152407551505</v>
      </c>
      <c r="E848" s="125">
        <v>1.1100000000000001</v>
      </c>
    </row>
    <row r="849" spans="1:5">
      <c r="A849" s="122" t="s">
        <v>1591</v>
      </c>
      <c r="B849" s="161">
        <v>1.0900000000000001</v>
      </c>
      <c r="C849" s="162">
        <v>1.0970093108627554</v>
      </c>
      <c r="D849" s="162">
        <v>1.1040186217255106</v>
      </c>
      <c r="E849" s="125">
        <v>1.1000000000000001</v>
      </c>
    </row>
    <row r="850" spans="1:5">
      <c r="A850" s="122" t="s">
        <v>1493</v>
      </c>
      <c r="B850" s="161">
        <v>1.1000000000000001</v>
      </c>
      <c r="C850" s="162">
        <v>1.1074227934550742</v>
      </c>
      <c r="D850" s="162">
        <v>1.1148455869101483</v>
      </c>
      <c r="E850" s="125">
        <v>1.1100000000000001</v>
      </c>
    </row>
    <row r="851" spans="1:5">
      <c r="A851" s="122" t="s">
        <v>219</v>
      </c>
      <c r="B851" s="161">
        <v>1.1000000000000001</v>
      </c>
      <c r="C851" s="162">
        <v>1.1019980468602104</v>
      </c>
      <c r="D851" s="162">
        <v>1.1039960937204205</v>
      </c>
      <c r="E851" s="125">
        <v>1.1000000000000001</v>
      </c>
    </row>
    <row r="852" spans="1:5">
      <c r="A852" s="122" t="s">
        <v>531</v>
      </c>
      <c r="B852" s="161">
        <v>1.02</v>
      </c>
      <c r="C852" s="162">
        <v>1.0451504661894488</v>
      </c>
      <c r="D852" s="162">
        <v>1.0703009323788979</v>
      </c>
      <c r="E852" s="125">
        <v>1.07</v>
      </c>
    </row>
    <row r="853" spans="1:5">
      <c r="A853" s="122" t="s">
        <v>1640</v>
      </c>
      <c r="B853" s="161">
        <v>1.04</v>
      </c>
      <c r="C853" s="162">
        <v>1.0406738769804194</v>
      </c>
      <c r="D853" s="162">
        <v>1.0413477539608385</v>
      </c>
      <c r="E853" s="125">
        <v>1.04</v>
      </c>
    </row>
    <row r="854" spans="1:5">
      <c r="A854" s="122" t="s">
        <v>1641</v>
      </c>
      <c r="B854" s="161">
        <v>1.04</v>
      </c>
      <c r="C854" s="162">
        <v>1.0507205343986039</v>
      </c>
      <c r="D854" s="162">
        <v>1.0614410687972078</v>
      </c>
      <c r="E854" s="125">
        <v>1.06</v>
      </c>
    </row>
    <row r="855" spans="1:5">
      <c r="A855" s="122" t="s">
        <v>1557</v>
      </c>
      <c r="B855" s="161">
        <v>1.05</v>
      </c>
      <c r="C855" s="162">
        <v>1.0559231618074074</v>
      </c>
      <c r="D855" s="162">
        <v>1.061846323614815</v>
      </c>
      <c r="E855" s="125">
        <v>1.06</v>
      </c>
    </row>
    <row r="856" spans="1:5">
      <c r="A856" s="122" t="s">
        <v>1558</v>
      </c>
      <c r="B856" s="161">
        <v>1.08</v>
      </c>
      <c r="C856" s="162">
        <v>1.0646795882270765</v>
      </c>
      <c r="D856" s="162">
        <v>1.049359176454153</v>
      </c>
      <c r="E856" s="125">
        <v>1.05</v>
      </c>
    </row>
    <row r="857" spans="1:5">
      <c r="A857" s="122" t="s">
        <v>1559</v>
      </c>
      <c r="B857" s="161">
        <v>1.1000000000000001</v>
      </c>
      <c r="C857" s="162">
        <v>1.0943279744946244</v>
      </c>
      <c r="D857" s="162">
        <v>1.0886559489892489</v>
      </c>
      <c r="E857" s="125">
        <v>1.0900000000000001</v>
      </c>
    </row>
    <row r="858" spans="1:5">
      <c r="A858" s="122" t="s">
        <v>1662</v>
      </c>
      <c r="B858" s="161">
        <v>1.07</v>
      </c>
      <c r="C858" s="162">
        <v>1.0674164799925683</v>
      </c>
      <c r="D858" s="162">
        <v>1.0648329599851365</v>
      </c>
      <c r="E858" s="125">
        <v>1.06</v>
      </c>
    </row>
    <row r="859" spans="1:5">
      <c r="A859" s="122" t="s">
        <v>1084</v>
      </c>
      <c r="B859" s="161">
        <v>1.05</v>
      </c>
      <c r="C859" s="162">
        <v>1.058883120003123</v>
      </c>
      <c r="D859" s="162">
        <v>1.067766240006246</v>
      </c>
      <c r="E859" s="125">
        <v>1.07</v>
      </c>
    </row>
    <row r="860" spans="1:5">
      <c r="A860" s="122" t="s">
        <v>1085</v>
      </c>
      <c r="B860" s="161">
        <v>1.05</v>
      </c>
      <c r="C860" s="162">
        <v>1.0506552891499528</v>
      </c>
      <c r="D860" s="162">
        <v>1.0513105782999057</v>
      </c>
      <c r="E860" s="125">
        <v>1.05</v>
      </c>
    </row>
    <row r="861" spans="1:5">
      <c r="A861" s="122" t="s">
        <v>1086</v>
      </c>
      <c r="B861" s="161">
        <v>1.05</v>
      </c>
      <c r="C861" s="162">
        <v>1.0589819770056867</v>
      </c>
      <c r="D861" s="162">
        <v>1.0679639540113732</v>
      </c>
      <c r="E861" s="125">
        <v>1.07</v>
      </c>
    </row>
    <row r="862" spans="1:5">
      <c r="A862" s="122" t="s">
        <v>1245</v>
      </c>
      <c r="B862" s="161">
        <v>1.04</v>
      </c>
      <c r="C862" s="162">
        <v>1.0482166981841394</v>
      </c>
      <c r="D862" s="162">
        <v>1.056433396368279</v>
      </c>
      <c r="E862" s="125">
        <v>1.06</v>
      </c>
    </row>
    <row r="863" spans="1:5">
      <c r="A863" s="122" t="s">
        <v>220</v>
      </c>
      <c r="B863" s="161">
        <v>1.05</v>
      </c>
      <c r="C863" s="162">
        <v>1.0520431530350474</v>
      </c>
      <c r="D863" s="162">
        <v>1.0540863060700947</v>
      </c>
      <c r="E863" s="125">
        <v>1.05</v>
      </c>
    </row>
    <row r="864" spans="1:5">
      <c r="A864" s="122" t="s">
        <v>1246</v>
      </c>
      <c r="B864" s="161">
        <v>1.04</v>
      </c>
      <c r="C864" s="162">
        <v>1.0431546102350371</v>
      </c>
      <c r="D864" s="162">
        <v>1.0463092204700741</v>
      </c>
      <c r="E864" s="125">
        <v>1.05</v>
      </c>
    </row>
    <row r="865" spans="1:5">
      <c r="A865" s="122" t="s">
        <v>1247</v>
      </c>
      <c r="B865" s="161">
        <v>1.04</v>
      </c>
      <c r="C865" s="162">
        <v>1.043061676492496</v>
      </c>
      <c r="D865" s="162">
        <v>1.0461233529849923</v>
      </c>
      <c r="E865" s="125">
        <v>1.05</v>
      </c>
    </row>
    <row r="866" spans="1:5">
      <c r="A866" s="122" t="s">
        <v>1407</v>
      </c>
      <c r="B866" s="161">
        <v>1.04</v>
      </c>
      <c r="C866" s="162">
        <v>1.0296466111756228</v>
      </c>
      <c r="D866" s="162">
        <v>1.0192932223512456</v>
      </c>
      <c r="E866" s="125">
        <v>1.02</v>
      </c>
    </row>
    <row r="867" spans="1:5">
      <c r="A867" s="122" t="s">
        <v>1408</v>
      </c>
      <c r="B867" s="161">
        <v>1.0900000000000001</v>
      </c>
      <c r="C867" s="162">
        <v>1.088912626594623</v>
      </c>
      <c r="D867" s="162">
        <v>1.0878252531892456</v>
      </c>
      <c r="E867" s="125">
        <v>1.0900000000000001</v>
      </c>
    </row>
    <row r="868" spans="1:5">
      <c r="A868" s="122" t="s">
        <v>2040</v>
      </c>
      <c r="B868" s="161">
        <v>1.08</v>
      </c>
      <c r="C868" s="162">
        <v>1.084260865385593</v>
      </c>
      <c r="D868" s="162">
        <v>1.0885217307711861</v>
      </c>
      <c r="E868" s="125">
        <v>1.0900000000000001</v>
      </c>
    </row>
    <row r="869" spans="1:5">
      <c r="A869" s="122" t="s">
        <v>304</v>
      </c>
      <c r="B869" s="161">
        <v>1.04</v>
      </c>
      <c r="C869" s="162">
        <v>1.0562116093753371</v>
      </c>
      <c r="D869" s="162">
        <v>1.0724232187506744</v>
      </c>
      <c r="E869" s="125">
        <v>1.07</v>
      </c>
    </row>
    <row r="870" spans="1:5">
      <c r="A870" s="122" t="s">
        <v>1943</v>
      </c>
      <c r="B870" s="161">
        <v>1.04</v>
      </c>
      <c r="C870" s="162">
        <v>1.0608150176695803</v>
      </c>
      <c r="D870" s="162">
        <v>1.0816300353391604</v>
      </c>
      <c r="E870" s="125">
        <v>1.08</v>
      </c>
    </row>
    <row r="871" spans="1:5">
      <c r="A871" s="122" t="s">
        <v>1944</v>
      </c>
      <c r="B871" s="161">
        <v>1.06</v>
      </c>
      <c r="C871" s="162">
        <v>1.081744257095048</v>
      </c>
      <c r="D871" s="162">
        <v>1.1034885141900961</v>
      </c>
      <c r="E871" s="125">
        <v>1.1000000000000001</v>
      </c>
    </row>
    <row r="872" spans="1:5">
      <c r="A872" s="122" t="s">
        <v>1136</v>
      </c>
      <c r="B872" s="161">
        <v>1.04</v>
      </c>
      <c r="C872" s="162">
        <v>1.0559983034013847</v>
      </c>
      <c r="D872" s="162">
        <v>1.0719966068027691</v>
      </c>
      <c r="E872" s="125">
        <v>1.07</v>
      </c>
    </row>
    <row r="873" spans="1:5">
      <c r="A873" s="122" t="s">
        <v>217</v>
      </c>
      <c r="B873" s="161">
        <v>1.1000000000000001</v>
      </c>
      <c r="C873" s="162">
        <v>1.1344094057992848</v>
      </c>
      <c r="D873" s="162">
        <v>1.1688188115985696</v>
      </c>
      <c r="E873" s="125">
        <v>1.17</v>
      </c>
    </row>
    <row r="874" spans="1:5">
      <c r="A874" s="122" t="s">
        <v>1348</v>
      </c>
      <c r="B874" s="161">
        <v>1.07</v>
      </c>
      <c r="C874" s="162">
        <v>1.0924359096188931</v>
      </c>
      <c r="D874" s="162">
        <v>1.1148718192377862</v>
      </c>
      <c r="E874" s="125">
        <v>1.1100000000000001</v>
      </c>
    </row>
    <row r="875" spans="1:5">
      <c r="A875" s="122" t="s">
        <v>1516</v>
      </c>
      <c r="B875" s="161">
        <v>1.07</v>
      </c>
      <c r="C875" s="162">
        <v>1.0891065110371914</v>
      </c>
      <c r="D875" s="162">
        <v>1.1082130220743824</v>
      </c>
      <c r="E875" s="125">
        <v>1.1100000000000001</v>
      </c>
    </row>
    <row r="876" spans="1:5">
      <c r="A876" s="122" t="s">
        <v>1517</v>
      </c>
      <c r="B876" s="161">
        <v>1.04</v>
      </c>
      <c r="C876" s="162">
        <v>1.0595673019633169</v>
      </c>
      <c r="D876" s="162">
        <v>1.0791346039266341</v>
      </c>
      <c r="E876" s="125">
        <v>1.08</v>
      </c>
    </row>
    <row r="877" spans="1:5">
      <c r="A877" s="122" t="s">
        <v>1518</v>
      </c>
      <c r="B877" s="161">
        <v>1.05</v>
      </c>
      <c r="C877" s="162">
        <v>1.0599572867759579</v>
      </c>
      <c r="D877" s="162">
        <v>1.0699145735519155</v>
      </c>
      <c r="E877" s="125">
        <v>1.07</v>
      </c>
    </row>
    <row r="878" spans="1:5">
      <c r="A878" s="122" t="s">
        <v>3050</v>
      </c>
      <c r="B878" s="161">
        <v>1.18</v>
      </c>
      <c r="C878" s="162">
        <v>1.1483637990864826</v>
      </c>
      <c r="D878" s="162">
        <v>1.1167275981729654</v>
      </c>
      <c r="E878" s="125">
        <v>1.1200000000000001</v>
      </c>
    </row>
    <row r="879" spans="1:5">
      <c r="A879" s="122" t="s">
        <v>1945</v>
      </c>
      <c r="B879" s="161">
        <v>1.1200000000000001</v>
      </c>
      <c r="C879" s="162">
        <v>1.1032852629694934</v>
      </c>
      <c r="D879" s="162">
        <v>1.0865705259389866</v>
      </c>
      <c r="E879" s="125">
        <v>1.0900000000000001</v>
      </c>
    </row>
    <row r="880" spans="1:5">
      <c r="A880" s="122" t="s">
        <v>221</v>
      </c>
      <c r="B880" s="161">
        <v>1.2</v>
      </c>
      <c r="C880" s="162">
        <v>1.1606373894243367</v>
      </c>
      <c r="D880" s="162">
        <v>1.1212747788486734</v>
      </c>
      <c r="E880" s="125">
        <v>1.1200000000000001</v>
      </c>
    </row>
    <row r="881" spans="1:5">
      <c r="A881" s="122" t="s">
        <v>1946</v>
      </c>
      <c r="B881" s="161">
        <v>1.07</v>
      </c>
      <c r="C881" s="162">
        <v>1.0679862508798994</v>
      </c>
      <c r="D881" s="162">
        <v>1.0659725017597987</v>
      </c>
      <c r="E881" s="125">
        <v>1.07</v>
      </c>
    </row>
    <row r="882" spans="1:5">
      <c r="A882" s="122" t="s">
        <v>2979</v>
      </c>
      <c r="B882" s="161">
        <v>1.06</v>
      </c>
      <c r="C882" s="162">
        <v>1.0651468076317727</v>
      </c>
      <c r="D882" s="162">
        <v>1.0702936152635454</v>
      </c>
      <c r="E882" s="125">
        <v>1.07</v>
      </c>
    </row>
    <row r="883" spans="1:5">
      <c r="A883" s="122" t="s">
        <v>849</v>
      </c>
      <c r="B883" s="161">
        <v>1.04</v>
      </c>
      <c r="C883" s="162">
        <v>1.0422498008495338</v>
      </c>
      <c r="D883" s="162">
        <v>1.0444996016990675</v>
      </c>
      <c r="E883" s="125">
        <v>1.04</v>
      </c>
    </row>
    <row r="884" spans="1:5">
      <c r="A884" s="122" t="s">
        <v>850</v>
      </c>
      <c r="B884" s="161">
        <v>1.08</v>
      </c>
      <c r="C884" s="162">
        <v>1.0913309559855437</v>
      </c>
      <c r="D884" s="162">
        <v>1.1026619119710872</v>
      </c>
      <c r="E884" s="125">
        <v>1.1000000000000001</v>
      </c>
    </row>
    <row r="885" spans="1:5">
      <c r="A885" s="122" t="s">
        <v>906</v>
      </c>
      <c r="B885" s="161">
        <v>1.06</v>
      </c>
      <c r="C885" s="162">
        <v>1.0460496204345766</v>
      </c>
      <c r="D885" s="162">
        <v>1.0320992408691529</v>
      </c>
      <c r="E885" s="125">
        <v>1.03</v>
      </c>
    </row>
    <row r="886" spans="1:5">
      <c r="A886" s="122" t="s">
        <v>617</v>
      </c>
      <c r="B886" s="161">
        <v>1.08</v>
      </c>
      <c r="C886" s="162">
        <v>1.0621964720612929</v>
      </c>
      <c r="D886" s="162">
        <v>1.0443929441225859</v>
      </c>
      <c r="E886" s="125">
        <v>1.04</v>
      </c>
    </row>
    <row r="887" spans="1:5">
      <c r="A887" s="122" t="s">
        <v>618</v>
      </c>
      <c r="B887" s="161">
        <v>1.07</v>
      </c>
      <c r="C887" s="162">
        <v>1.0463763575794793</v>
      </c>
      <c r="D887" s="162">
        <v>1.0227527151589588</v>
      </c>
      <c r="E887" s="125">
        <v>1.02</v>
      </c>
    </row>
    <row r="888" spans="1:5">
      <c r="A888" s="122" t="s">
        <v>2621</v>
      </c>
      <c r="B888" s="161">
        <v>1.1399999999999999</v>
      </c>
      <c r="C888" s="162">
        <v>1.2009345983310817</v>
      </c>
      <c r="D888" s="162">
        <v>1.2618691966621638</v>
      </c>
      <c r="E888" s="125">
        <v>1.26</v>
      </c>
    </row>
    <row r="889" spans="1:5">
      <c r="A889" s="122" t="s">
        <v>985</v>
      </c>
      <c r="B889" s="161">
        <v>1.1399999999999999</v>
      </c>
      <c r="C889" s="162">
        <v>1.2054280791236054</v>
      </c>
      <c r="D889" s="162">
        <v>1.2708561582472107</v>
      </c>
      <c r="E889" s="125">
        <v>1.27</v>
      </c>
    </row>
    <row r="890" spans="1:5">
      <c r="A890" s="122" t="s">
        <v>2111</v>
      </c>
      <c r="B890" s="161">
        <v>1.1100000000000001</v>
      </c>
      <c r="C890" s="162">
        <v>1.1533862492558362</v>
      </c>
      <c r="D890" s="162">
        <v>1.1967724985116726</v>
      </c>
      <c r="E890" s="125">
        <v>1.2</v>
      </c>
    </row>
    <row r="891" spans="1:5">
      <c r="A891" s="122" t="s">
        <v>2297</v>
      </c>
      <c r="B891" s="161">
        <v>1.1399999999999999</v>
      </c>
      <c r="C891" s="162">
        <v>1.2048362576170839</v>
      </c>
      <c r="D891" s="162">
        <v>1.2696725152341677</v>
      </c>
      <c r="E891" s="125">
        <v>1.27</v>
      </c>
    </row>
    <row r="892" spans="1:5">
      <c r="A892" s="122" t="s">
        <v>2497</v>
      </c>
      <c r="B892" s="161">
        <v>1.1299999999999999</v>
      </c>
      <c r="C892" s="162">
        <v>1.1865954968493662</v>
      </c>
      <c r="D892" s="162">
        <v>1.2431909936987324</v>
      </c>
      <c r="E892" s="125">
        <v>1.24</v>
      </c>
    </row>
    <row r="893" spans="1:5">
      <c r="A893" s="122" t="s">
        <v>57</v>
      </c>
      <c r="B893" s="161">
        <v>1.1299999999999999</v>
      </c>
      <c r="C893" s="162">
        <v>1.1944734721098631</v>
      </c>
      <c r="D893" s="162">
        <v>1.2589469442197265</v>
      </c>
      <c r="E893" s="125">
        <v>1.26</v>
      </c>
    </row>
    <row r="894" spans="1:5">
      <c r="A894" s="122" t="s">
        <v>379</v>
      </c>
      <c r="B894" s="161">
        <v>1.1299999999999999</v>
      </c>
      <c r="C894" s="162">
        <v>1.1902862734705835</v>
      </c>
      <c r="D894" s="162">
        <v>1.2505725469411668</v>
      </c>
      <c r="E894" s="125">
        <v>1.25</v>
      </c>
    </row>
    <row r="895" spans="1:5">
      <c r="A895" s="122" t="s">
        <v>2498</v>
      </c>
      <c r="E895" s="125"/>
    </row>
    <row r="896" spans="1:5">
      <c r="A896" s="122" t="s">
        <v>1986</v>
      </c>
      <c r="B896" s="161">
        <v>1.0900000000000001</v>
      </c>
      <c r="C896" s="162">
        <v>1.1341813255356301</v>
      </c>
      <c r="D896" s="162">
        <v>1.1783626510712601</v>
      </c>
      <c r="E896" s="125">
        <v>1.18</v>
      </c>
    </row>
    <row r="897" spans="1:5">
      <c r="A897" s="122" t="s">
        <v>2759</v>
      </c>
      <c r="B897" s="161">
        <v>1.1200000000000001</v>
      </c>
      <c r="C897" s="162">
        <v>1.1749252549114138</v>
      </c>
      <c r="D897" s="162">
        <v>1.2298505098228276</v>
      </c>
      <c r="E897" s="125">
        <v>1.23</v>
      </c>
    </row>
    <row r="898" spans="1:5">
      <c r="A898" s="122" t="s">
        <v>59</v>
      </c>
      <c r="B898" s="161">
        <v>1.0900000000000001</v>
      </c>
      <c r="C898" s="162">
        <v>1.1384969025597989</v>
      </c>
      <c r="D898" s="162">
        <v>1.1869938051195974</v>
      </c>
      <c r="E898" s="125">
        <v>1.19</v>
      </c>
    </row>
    <row r="899" spans="1:5">
      <c r="A899" s="122" t="s">
        <v>1894</v>
      </c>
      <c r="B899" s="161">
        <v>1.1200000000000001</v>
      </c>
      <c r="C899" s="162">
        <v>1.1626722418661304</v>
      </c>
      <c r="D899" s="162">
        <v>1.2053444837322609</v>
      </c>
      <c r="E899" s="125">
        <v>1.21</v>
      </c>
    </row>
    <row r="900" spans="1:5">
      <c r="A900" s="122" t="s">
        <v>1280</v>
      </c>
      <c r="B900" s="161">
        <v>1.1399999999999999</v>
      </c>
      <c r="C900" s="162">
        <v>1.2006964974682051</v>
      </c>
      <c r="D900" s="162">
        <v>1.2613929949364104</v>
      </c>
      <c r="E900" s="125">
        <v>1.26</v>
      </c>
    </row>
    <row r="901" spans="1:5">
      <c r="A901" s="122" t="s">
        <v>2108</v>
      </c>
      <c r="B901" s="161">
        <v>1.1100000000000001</v>
      </c>
      <c r="C901" s="162">
        <v>1.1529973927372474</v>
      </c>
      <c r="D901" s="162">
        <v>1.1959947854744948</v>
      </c>
      <c r="E901" s="125">
        <v>1.2</v>
      </c>
    </row>
    <row r="902" spans="1:5">
      <c r="A902" s="122" t="s">
        <v>2542</v>
      </c>
      <c r="B902" s="161">
        <v>1.1200000000000001</v>
      </c>
      <c r="C902" s="162">
        <v>1.170073910514603</v>
      </c>
      <c r="D902" s="162">
        <v>1.2201478210292058</v>
      </c>
      <c r="E902" s="125">
        <v>1.22</v>
      </c>
    </row>
    <row r="903" spans="1:5">
      <c r="A903" s="122" t="s">
        <v>2107</v>
      </c>
      <c r="B903" s="161">
        <v>1.1000000000000001</v>
      </c>
      <c r="C903" s="162">
        <v>1.1582037332573401</v>
      </c>
      <c r="D903" s="162">
        <v>1.21640746651468</v>
      </c>
      <c r="E903" s="125">
        <v>1.22</v>
      </c>
    </row>
    <row r="904" spans="1:5">
      <c r="A904" s="122" t="s">
        <v>1347</v>
      </c>
      <c r="B904" s="161">
        <v>1.1100000000000001</v>
      </c>
      <c r="C904" s="162">
        <v>1.1563493294197731</v>
      </c>
      <c r="D904" s="162">
        <v>1.2026986588395461</v>
      </c>
      <c r="E904" s="125">
        <v>1.2</v>
      </c>
    </row>
    <row r="905" spans="1:5">
      <c r="A905" s="122" t="s">
        <v>2543</v>
      </c>
      <c r="B905" s="161">
        <v>1.0900000000000001</v>
      </c>
      <c r="C905" s="162">
        <v>1.1170711213509805</v>
      </c>
      <c r="D905" s="162">
        <v>1.144142242701961</v>
      </c>
      <c r="E905" s="125">
        <v>1.1399999999999999</v>
      </c>
    </row>
    <row r="906" spans="1:5">
      <c r="A906" s="122" t="s">
        <v>2544</v>
      </c>
      <c r="B906" s="161">
        <v>1.04</v>
      </c>
      <c r="C906" s="162">
        <v>1.0543639825457021</v>
      </c>
      <c r="D906" s="162">
        <v>1.0687279650914039</v>
      </c>
      <c r="E906" s="125">
        <v>1.07</v>
      </c>
    </row>
    <row r="907" spans="1:5">
      <c r="A907" s="122" t="s">
        <v>3052</v>
      </c>
      <c r="B907" s="161">
        <v>1.05</v>
      </c>
      <c r="C907" s="162">
        <v>1.0384981442051515</v>
      </c>
      <c r="D907" s="162">
        <v>1.0269962884103032</v>
      </c>
      <c r="E907" s="125">
        <v>1.03</v>
      </c>
    </row>
    <row r="908" spans="1:5">
      <c r="A908" s="122" t="s">
        <v>3053</v>
      </c>
      <c r="B908" s="161">
        <v>1.04</v>
      </c>
      <c r="C908" s="162">
        <v>1.051096123941448</v>
      </c>
      <c r="D908" s="162">
        <v>1.0621922478828958</v>
      </c>
      <c r="E908" s="125">
        <v>1.06</v>
      </c>
    </row>
    <row r="909" spans="1:5">
      <c r="A909" s="122" t="s">
        <v>3054</v>
      </c>
      <c r="B909" s="161">
        <v>1.05</v>
      </c>
      <c r="C909" s="162">
        <v>1.067350668725314</v>
      </c>
      <c r="D909" s="162">
        <v>1.0847013374506282</v>
      </c>
      <c r="E909" s="125">
        <v>1.08</v>
      </c>
    </row>
    <row r="910" spans="1:5">
      <c r="A910" s="122" t="s">
        <v>3055</v>
      </c>
      <c r="B910" s="161">
        <v>1.0900000000000001</v>
      </c>
      <c r="C910" s="162">
        <v>1.0606185518102302</v>
      </c>
      <c r="D910" s="162">
        <v>1.0312371036204602</v>
      </c>
      <c r="E910" s="125">
        <v>1.03</v>
      </c>
    </row>
    <row r="911" spans="1:5">
      <c r="A911" s="122" t="s">
        <v>1335</v>
      </c>
      <c r="B911" s="161">
        <v>1.08</v>
      </c>
      <c r="C911" s="162">
        <v>1.0626697241623493</v>
      </c>
      <c r="D911" s="162">
        <v>1.0453394483246983</v>
      </c>
      <c r="E911" s="125">
        <v>1.05</v>
      </c>
    </row>
    <row r="912" spans="1:5">
      <c r="A912" s="122" t="s">
        <v>2106</v>
      </c>
      <c r="B912" s="161">
        <v>1.07</v>
      </c>
      <c r="C912" s="162">
        <v>1.0486990080927483</v>
      </c>
      <c r="D912" s="162">
        <v>1.0273980161854965</v>
      </c>
      <c r="E912" s="125">
        <v>1.03</v>
      </c>
    </row>
    <row r="913" spans="1:5">
      <c r="A913" s="122" t="s">
        <v>1336</v>
      </c>
      <c r="B913" s="161">
        <v>1.07</v>
      </c>
      <c r="C913" s="162">
        <v>1.0522141099163727</v>
      </c>
      <c r="D913" s="162">
        <v>1.0344282198327452</v>
      </c>
      <c r="E913" s="125">
        <v>1.03</v>
      </c>
    </row>
    <row r="914" spans="1:5">
      <c r="A914" s="122" t="s">
        <v>1783</v>
      </c>
      <c r="B914" s="161">
        <v>1.07</v>
      </c>
      <c r="C914" s="162">
        <v>1.0623384433927519</v>
      </c>
      <c r="D914" s="162">
        <v>1.0546768867855036</v>
      </c>
      <c r="E914" s="125">
        <v>1.05</v>
      </c>
    </row>
    <row r="915" spans="1:5">
      <c r="A915" s="122" t="s">
        <v>1784</v>
      </c>
      <c r="B915" s="161">
        <v>1.0900000000000001</v>
      </c>
      <c r="C915" s="162">
        <v>1.0671206410101943</v>
      </c>
      <c r="D915" s="162">
        <v>1.0442412820203886</v>
      </c>
      <c r="E915" s="125">
        <v>1.04</v>
      </c>
    </row>
    <row r="916" spans="1:5">
      <c r="A916" s="122" t="s">
        <v>1785</v>
      </c>
      <c r="B916" s="161">
        <v>1.08</v>
      </c>
      <c r="C916" s="162">
        <v>1.0836897716608975</v>
      </c>
      <c r="D916" s="162">
        <v>1.0873795433217948</v>
      </c>
      <c r="E916" s="125">
        <v>1.0900000000000001</v>
      </c>
    </row>
    <row r="917" spans="1:5">
      <c r="A917" s="122" t="s">
        <v>2062</v>
      </c>
      <c r="B917" s="161">
        <v>1.05</v>
      </c>
      <c r="C917" s="162">
        <v>1.0514336410258927</v>
      </c>
      <c r="D917" s="162">
        <v>1.0528672820517853</v>
      </c>
      <c r="E917" s="125">
        <v>1.05</v>
      </c>
    </row>
    <row r="918" spans="1:5">
      <c r="A918" s="122" t="s">
        <v>305</v>
      </c>
      <c r="B918" s="161">
        <v>1.04</v>
      </c>
      <c r="C918" s="162">
        <v>1.0489253589296368</v>
      </c>
      <c r="D918" s="162">
        <v>1.0578507178592738</v>
      </c>
      <c r="E918" s="125">
        <v>1.06</v>
      </c>
    </row>
    <row r="919" spans="1:5">
      <c r="A919" s="122" t="s">
        <v>2063</v>
      </c>
      <c r="B919" s="161">
        <v>1.03</v>
      </c>
      <c r="C919" s="162">
        <v>1.0438206907047407</v>
      </c>
      <c r="D919" s="162">
        <v>1.0576413814094812</v>
      </c>
      <c r="E919" s="125">
        <v>1.06</v>
      </c>
    </row>
    <row r="920" spans="1:5">
      <c r="A920" s="122" t="s">
        <v>2797</v>
      </c>
      <c r="B920" s="161">
        <v>1.04</v>
      </c>
      <c r="C920" s="162">
        <v>1.043404139755252</v>
      </c>
      <c r="D920" s="162">
        <v>1.0468082795105038</v>
      </c>
      <c r="E920" s="125">
        <v>1.05</v>
      </c>
    </row>
    <row r="921" spans="1:5">
      <c r="A921" s="122" t="s">
        <v>1488</v>
      </c>
      <c r="B921" s="161">
        <v>1.08</v>
      </c>
      <c r="C921" s="162">
        <v>1.1141323413091841</v>
      </c>
      <c r="D921" s="162">
        <v>1.1482646826183682</v>
      </c>
      <c r="E921" s="125">
        <v>1.1499999999999999</v>
      </c>
    </row>
    <row r="922" spans="1:5">
      <c r="A922" s="122" t="s">
        <v>2785</v>
      </c>
      <c r="B922" s="161">
        <v>1.03</v>
      </c>
      <c r="C922" s="162">
        <v>1.0363538234757228</v>
      </c>
      <c r="D922" s="162">
        <v>1.0427076469514454</v>
      </c>
      <c r="E922" s="125">
        <v>1.04</v>
      </c>
    </row>
    <row r="923" spans="1:5">
      <c r="A923" s="122" t="s">
        <v>374</v>
      </c>
      <c r="B923" s="161">
        <v>1.05</v>
      </c>
      <c r="C923" s="162">
        <v>1.057408986882681</v>
      </c>
      <c r="D923" s="162">
        <v>1.0648179737653618</v>
      </c>
      <c r="E923" s="125">
        <v>1.06</v>
      </c>
    </row>
    <row r="924" spans="1:5">
      <c r="A924" s="122" t="s">
        <v>1482</v>
      </c>
      <c r="B924" s="161">
        <v>1.05</v>
      </c>
      <c r="C924" s="162">
        <v>1.058990309134199</v>
      </c>
      <c r="D924" s="162">
        <v>1.067980618268398</v>
      </c>
      <c r="E924" s="125">
        <v>1.07</v>
      </c>
    </row>
    <row r="925" spans="1:5">
      <c r="A925" s="122" t="s">
        <v>1422</v>
      </c>
      <c r="B925" s="161">
        <v>1.05</v>
      </c>
      <c r="C925" s="162">
        <v>1.0446023865552758</v>
      </c>
      <c r="D925" s="162">
        <v>1.0392047731105516</v>
      </c>
      <c r="E925" s="125">
        <v>1.04</v>
      </c>
    </row>
    <row r="926" spans="1:5">
      <c r="A926" s="122" t="s">
        <v>292</v>
      </c>
      <c r="B926" s="161">
        <v>1.1000000000000001</v>
      </c>
      <c r="C926" s="162">
        <v>1.1860167526551364</v>
      </c>
      <c r="D926" s="162">
        <v>1.2720335053102729</v>
      </c>
      <c r="E926" s="125">
        <v>1.27</v>
      </c>
    </row>
    <row r="927" spans="1:5">
      <c r="A927" s="122" t="s">
        <v>238</v>
      </c>
      <c r="B927" s="161">
        <v>1.1100000000000001</v>
      </c>
      <c r="C927" s="162">
        <v>1.1804568958790562</v>
      </c>
      <c r="D927" s="162">
        <v>1.2509137917581121</v>
      </c>
      <c r="E927" s="125">
        <v>1.25</v>
      </c>
    </row>
    <row r="928" spans="1:5">
      <c r="A928" s="122" t="s">
        <v>293</v>
      </c>
      <c r="B928" s="161">
        <v>1.07</v>
      </c>
      <c r="C928" s="162">
        <v>1.1268792829534349</v>
      </c>
      <c r="D928" s="162">
        <v>1.1837585659068697</v>
      </c>
      <c r="E928" s="125">
        <v>1.18</v>
      </c>
    </row>
    <row r="929" spans="1:5">
      <c r="A929" s="122" t="s">
        <v>294</v>
      </c>
      <c r="B929" s="161">
        <v>1.1000000000000001</v>
      </c>
      <c r="C929" s="162">
        <v>1.1670347412970195</v>
      </c>
      <c r="D929" s="162">
        <v>1.2340694825940386</v>
      </c>
      <c r="E929" s="125">
        <v>1.23</v>
      </c>
    </row>
    <row r="930" spans="1:5">
      <c r="A930" s="122" t="s">
        <v>1295</v>
      </c>
      <c r="B930" s="161">
        <v>1.1100000000000001</v>
      </c>
      <c r="C930" s="162">
        <v>1.1615527054546171</v>
      </c>
      <c r="D930" s="162">
        <v>1.2131054109092341</v>
      </c>
      <c r="E930" s="125">
        <v>1.21</v>
      </c>
    </row>
    <row r="931" spans="1:5">
      <c r="A931" s="122" t="s">
        <v>2804</v>
      </c>
      <c r="B931" s="161">
        <v>1.05</v>
      </c>
      <c r="C931" s="162">
        <v>1.1028333450822252</v>
      </c>
      <c r="D931" s="162">
        <v>1.1556666901644503</v>
      </c>
      <c r="E931" s="125">
        <v>1.1599999999999999</v>
      </c>
    </row>
    <row r="932" spans="1:5">
      <c r="A932" s="122" t="s">
        <v>1496</v>
      </c>
      <c r="B932" s="161">
        <v>1.08</v>
      </c>
      <c r="C932" s="162">
        <v>1.1409835679483415</v>
      </c>
      <c r="D932" s="162">
        <v>1.2019671358966828</v>
      </c>
      <c r="E932" s="125">
        <v>1.2</v>
      </c>
    </row>
    <row r="933" spans="1:5">
      <c r="A933" s="122" t="s">
        <v>1497</v>
      </c>
      <c r="B933" s="161">
        <v>1.04</v>
      </c>
      <c r="C933" s="162">
        <v>1.0408340027358514</v>
      </c>
      <c r="D933" s="162">
        <v>1.0416680054717025</v>
      </c>
      <c r="E933" s="125">
        <v>1.04</v>
      </c>
    </row>
    <row r="934" spans="1:5">
      <c r="A934" s="122" t="s">
        <v>1498</v>
      </c>
      <c r="B934" s="161">
        <v>1.05</v>
      </c>
      <c r="C934" s="162">
        <v>1.0457593482973393</v>
      </c>
      <c r="D934" s="162">
        <v>1.0415186965946783</v>
      </c>
      <c r="E934" s="125">
        <v>1.04</v>
      </c>
    </row>
    <row r="935" spans="1:5">
      <c r="A935" s="122" t="s">
        <v>1499</v>
      </c>
      <c r="B935" s="161">
        <v>1.05</v>
      </c>
      <c r="C935" s="162">
        <v>1.0376392516457962</v>
      </c>
      <c r="D935" s="162">
        <v>1.0252785032915923</v>
      </c>
      <c r="E935" s="125">
        <v>1.03</v>
      </c>
    </row>
    <row r="936" spans="1:5">
      <c r="A936" s="122" t="s">
        <v>1500</v>
      </c>
      <c r="B936" s="161">
        <v>1.05</v>
      </c>
      <c r="C936" s="162">
        <v>1.0379053333668296</v>
      </c>
      <c r="D936" s="162">
        <v>1.0258106667336591</v>
      </c>
      <c r="E936" s="125">
        <v>1.03</v>
      </c>
    </row>
    <row r="937" spans="1:5">
      <c r="A937" s="122" t="s">
        <v>1615</v>
      </c>
      <c r="B937" s="161">
        <v>1.05</v>
      </c>
      <c r="C937" s="162">
        <v>1.0558775938574883</v>
      </c>
      <c r="D937" s="162">
        <v>1.0617551877149762</v>
      </c>
      <c r="E937" s="125">
        <v>1.06</v>
      </c>
    </row>
    <row r="938" spans="1:5">
      <c r="A938" s="122" t="s">
        <v>2051</v>
      </c>
      <c r="B938" s="161">
        <v>1.06</v>
      </c>
      <c r="C938" s="162">
        <v>1.0678566489193666</v>
      </c>
      <c r="D938" s="162">
        <v>1.0757132978387332</v>
      </c>
      <c r="E938" s="125">
        <v>1.08</v>
      </c>
    </row>
    <row r="939" spans="1:5">
      <c r="A939" s="122" t="s">
        <v>2052</v>
      </c>
      <c r="B939" s="161">
        <v>1.04</v>
      </c>
      <c r="C939" s="162">
        <v>1.0534250080264165</v>
      </c>
      <c r="D939" s="162">
        <v>1.0668500160528329</v>
      </c>
      <c r="E939" s="125">
        <v>1.07</v>
      </c>
    </row>
    <row r="940" spans="1:5">
      <c r="A940" s="122" t="s">
        <v>1423</v>
      </c>
      <c r="B940" s="161">
        <v>1.04</v>
      </c>
      <c r="C940" s="162">
        <v>1.0504170930320367</v>
      </c>
      <c r="D940" s="162">
        <v>1.0608341860640733</v>
      </c>
      <c r="E940" s="125">
        <v>1.06</v>
      </c>
    </row>
    <row r="941" spans="1:5">
      <c r="A941" s="122" t="s">
        <v>83</v>
      </c>
      <c r="B941" s="161">
        <v>1.04</v>
      </c>
      <c r="C941" s="162">
        <v>1.0435161012314658</v>
      </c>
      <c r="D941" s="162">
        <v>1.0470322024629313</v>
      </c>
      <c r="E941" s="125">
        <v>1.05</v>
      </c>
    </row>
    <row r="942" spans="1:5">
      <c r="A942" s="122" t="s">
        <v>2053</v>
      </c>
      <c r="B942" s="161">
        <v>1.06</v>
      </c>
      <c r="C942" s="162">
        <v>1.0621977060740444</v>
      </c>
      <c r="D942" s="162">
        <v>1.0643954121480887</v>
      </c>
      <c r="E942" s="125">
        <v>1.06</v>
      </c>
    </row>
    <row r="943" spans="1:5">
      <c r="A943" s="122" t="s">
        <v>2054</v>
      </c>
      <c r="B943" s="161">
        <v>1.06</v>
      </c>
      <c r="C943" s="162">
        <v>1.0776215826104301</v>
      </c>
      <c r="D943" s="162">
        <v>1.0952431652208601</v>
      </c>
      <c r="E943" s="125">
        <v>1.1000000000000001</v>
      </c>
    </row>
    <row r="944" spans="1:5">
      <c r="A944" s="122" t="s">
        <v>1594</v>
      </c>
      <c r="B944" s="161">
        <v>1.05</v>
      </c>
      <c r="C944" s="162">
        <v>1.0601074824149084</v>
      </c>
      <c r="D944" s="162">
        <v>1.0702149648298165</v>
      </c>
      <c r="E944" s="125">
        <v>1.07</v>
      </c>
    </row>
    <row r="945" spans="1:5">
      <c r="A945" s="122" t="s">
        <v>1229</v>
      </c>
      <c r="B945" s="161">
        <v>1.06</v>
      </c>
      <c r="C945" s="162">
        <v>1.0550813193412349</v>
      </c>
      <c r="D945" s="162">
        <v>1.0501626386824698</v>
      </c>
      <c r="E945" s="125">
        <v>1.05</v>
      </c>
    </row>
    <row r="946" spans="1:5">
      <c r="A946" s="122" t="s">
        <v>2127</v>
      </c>
      <c r="B946" s="161">
        <v>1.06</v>
      </c>
      <c r="C946" s="162">
        <v>1.0656325521458401</v>
      </c>
      <c r="D946" s="162">
        <v>1.0712651042916803</v>
      </c>
      <c r="E946" s="125">
        <v>1.07</v>
      </c>
    </row>
    <row r="947" spans="1:5">
      <c r="A947" s="122" t="s">
        <v>1230</v>
      </c>
      <c r="B947" s="161">
        <v>1.06</v>
      </c>
      <c r="C947" s="162">
        <v>1.0654944852203465</v>
      </c>
      <c r="D947" s="162">
        <v>1.070988970440693</v>
      </c>
      <c r="E947" s="125">
        <v>1.07</v>
      </c>
    </row>
    <row r="948" spans="1:5">
      <c r="A948" s="122" t="s">
        <v>1231</v>
      </c>
      <c r="B948" s="161">
        <v>1.06</v>
      </c>
      <c r="C948" s="162">
        <v>1.0642292985650572</v>
      </c>
      <c r="D948" s="162">
        <v>1.0684585971301146</v>
      </c>
      <c r="E948" s="125">
        <v>1.07</v>
      </c>
    </row>
    <row r="949" spans="1:5">
      <c r="A949" s="122" t="s">
        <v>1232</v>
      </c>
      <c r="B949" s="161">
        <v>1.0900000000000001</v>
      </c>
      <c r="C949" s="162">
        <v>1.0738767241997063</v>
      </c>
      <c r="D949" s="162">
        <v>1.0577534483994127</v>
      </c>
      <c r="E949" s="125">
        <v>1.06</v>
      </c>
    </row>
    <row r="950" spans="1:5">
      <c r="A950" s="122" t="s">
        <v>1233</v>
      </c>
      <c r="B950" s="161">
        <v>1.0900000000000001</v>
      </c>
      <c r="C950" s="162">
        <v>1.0737009448782078</v>
      </c>
      <c r="D950" s="162">
        <v>1.0574018897564155</v>
      </c>
      <c r="E950" s="125">
        <v>1.06</v>
      </c>
    </row>
    <row r="951" spans="1:5">
      <c r="A951" s="122" t="s">
        <v>63</v>
      </c>
      <c r="B951" s="161">
        <v>1.08</v>
      </c>
      <c r="C951" s="162">
        <v>1.0644097122130325</v>
      </c>
      <c r="D951" s="162">
        <v>1.0488194244260647</v>
      </c>
      <c r="E951" s="125">
        <v>1.05</v>
      </c>
    </row>
    <row r="952" spans="1:5">
      <c r="A952" s="122" t="s">
        <v>1737</v>
      </c>
      <c r="B952" s="161">
        <v>1.08</v>
      </c>
      <c r="C952" s="162">
        <v>1.0736718217584684</v>
      </c>
      <c r="D952" s="162">
        <v>1.067343643516937</v>
      </c>
      <c r="E952" s="125">
        <v>1.07</v>
      </c>
    </row>
    <row r="953" spans="1:5">
      <c r="A953" s="122" t="s">
        <v>1714</v>
      </c>
      <c r="B953" s="161">
        <v>1.1200000000000001</v>
      </c>
      <c r="C953" s="162">
        <v>1.0975165502766853</v>
      </c>
      <c r="D953" s="162">
        <v>1.0750331005533706</v>
      </c>
      <c r="E953" s="125">
        <v>1.08</v>
      </c>
    </row>
    <row r="954" spans="1:5">
      <c r="A954" s="122" t="s">
        <v>1495</v>
      </c>
      <c r="B954" s="161">
        <v>1.07</v>
      </c>
      <c r="C954" s="162">
        <v>1.0642486089407281</v>
      </c>
      <c r="D954" s="162">
        <v>1.058497217881456</v>
      </c>
      <c r="E954" s="125">
        <v>1.06</v>
      </c>
    </row>
    <row r="955" spans="1:5">
      <c r="A955" s="122" t="s">
        <v>530</v>
      </c>
      <c r="B955" s="161">
        <v>1.1299999999999999</v>
      </c>
      <c r="C955" s="162">
        <v>1.1110432438931648</v>
      </c>
      <c r="D955" s="162">
        <v>1.0920864877863297</v>
      </c>
      <c r="E955" s="125">
        <v>1.0900000000000001</v>
      </c>
    </row>
    <row r="956" spans="1:5">
      <c r="A956" s="122" t="s">
        <v>940</v>
      </c>
      <c r="B956" s="161">
        <v>1.08</v>
      </c>
      <c r="C956" s="162">
        <v>1.0792741452505425</v>
      </c>
      <c r="D956" s="162">
        <v>1.0785482905010852</v>
      </c>
      <c r="E956" s="125">
        <v>1.08</v>
      </c>
    </row>
    <row r="957" spans="1:5">
      <c r="A957" s="122" t="s">
        <v>943</v>
      </c>
      <c r="B957" s="161">
        <v>1.04</v>
      </c>
      <c r="C957" s="162">
        <v>1.0551608849219847</v>
      </c>
      <c r="D957" s="162">
        <v>1.0703217698439693</v>
      </c>
      <c r="E957" s="125">
        <v>1.07</v>
      </c>
    </row>
    <row r="958" spans="1:5">
      <c r="A958" s="122" t="s">
        <v>944</v>
      </c>
      <c r="B958" s="161">
        <v>1.03</v>
      </c>
      <c r="C958" s="162">
        <v>1.0467757791110772</v>
      </c>
      <c r="D958" s="162">
        <v>1.0635515582221546</v>
      </c>
      <c r="E958" s="125">
        <v>1.06</v>
      </c>
    </row>
    <row r="959" spans="1:5">
      <c r="A959" s="122" t="s">
        <v>1726</v>
      </c>
      <c r="B959" s="161">
        <v>1.03</v>
      </c>
      <c r="C959" s="162">
        <v>1.0452222836298555</v>
      </c>
      <c r="D959" s="162">
        <v>1.0604445672597107</v>
      </c>
      <c r="E959" s="125">
        <v>1.06</v>
      </c>
    </row>
    <row r="960" spans="1:5">
      <c r="A960" s="122" t="s">
        <v>2097</v>
      </c>
      <c r="B960" s="161">
        <v>1.03</v>
      </c>
      <c r="C960" s="162">
        <v>1.0402421361669916</v>
      </c>
      <c r="D960" s="162">
        <v>1.0504842723339829</v>
      </c>
      <c r="E960" s="125">
        <v>1.05</v>
      </c>
    </row>
    <row r="961" spans="1:5">
      <c r="A961" s="122" t="s">
        <v>945</v>
      </c>
      <c r="B961" s="161">
        <v>1.04</v>
      </c>
      <c r="C961" s="162">
        <v>1.052862853883489</v>
      </c>
      <c r="D961" s="162">
        <v>1.0657257077669777</v>
      </c>
      <c r="E961" s="125">
        <v>1.07</v>
      </c>
    </row>
    <row r="962" spans="1:5">
      <c r="A962" s="122" t="s">
        <v>946</v>
      </c>
      <c r="B962" s="161">
        <v>1.04</v>
      </c>
      <c r="C962" s="162">
        <v>1.0570474921627917</v>
      </c>
      <c r="D962" s="162">
        <v>1.0740949843255834</v>
      </c>
      <c r="E962" s="125">
        <v>1.07</v>
      </c>
    </row>
    <row r="963" spans="1:5">
      <c r="A963" s="122" t="s">
        <v>1606</v>
      </c>
      <c r="B963" s="161">
        <v>1.03</v>
      </c>
      <c r="C963" s="162">
        <v>1.0409806604165164</v>
      </c>
      <c r="D963" s="162">
        <v>1.0519613208330327</v>
      </c>
      <c r="E963" s="125">
        <v>1.05</v>
      </c>
    </row>
    <row r="964" spans="1:5">
      <c r="A964" s="122" t="s">
        <v>989</v>
      </c>
      <c r="B964" s="161">
        <v>1.07</v>
      </c>
      <c r="C964" s="162">
        <v>1.0865579630186155</v>
      </c>
      <c r="D964" s="162">
        <v>1.1031159260372307</v>
      </c>
      <c r="E964" s="125">
        <v>1.1000000000000001</v>
      </c>
    </row>
    <row r="965" spans="1:5">
      <c r="A965" s="122" t="s">
        <v>372</v>
      </c>
      <c r="B965" s="161">
        <v>1.1000000000000001</v>
      </c>
      <c r="C965" s="162">
        <v>1.1434781059232519</v>
      </c>
      <c r="D965" s="162">
        <v>1.1869562118465038</v>
      </c>
      <c r="E965" s="125">
        <v>1.19</v>
      </c>
    </row>
    <row r="966" spans="1:5">
      <c r="A966" s="122" t="s">
        <v>2992</v>
      </c>
      <c r="B966" s="161">
        <v>1.07</v>
      </c>
      <c r="C966" s="162">
        <v>1.0665741304760663</v>
      </c>
      <c r="D966" s="162">
        <v>1.0631482609521326</v>
      </c>
      <c r="E966" s="125">
        <v>1.06</v>
      </c>
    </row>
    <row r="967" spans="1:5">
      <c r="A967" s="122" t="s">
        <v>1160</v>
      </c>
      <c r="B967" s="161">
        <v>1.06</v>
      </c>
      <c r="C967" s="162">
        <v>1.0522213722040874</v>
      </c>
      <c r="D967" s="162">
        <v>1.0444427444081748</v>
      </c>
      <c r="E967" s="125">
        <v>1.04</v>
      </c>
    </row>
    <row r="968" spans="1:5">
      <c r="A968" s="122" t="s">
        <v>1320</v>
      </c>
      <c r="B968" s="161">
        <v>1.1000000000000001</v>
      </c>
      <c r="C968" s="162">
        <v>1.0791614276427821</v>
      </c>
      <c r="D968" s="162">
        <v>1.0583228552855639</v>
      </c>
      <c r="E968" s="125">
        <v>1.06</v>
      </c>
    </row>
    <row r="969" spans="1:5">
      <c r="A969" s="122" t="s">
        <v>306</v>
      </c>
      <c r="B969" s="161">
        <v>1.1200000000000001</v>
      </c>
      <c r="C969" s="162">
        <v>1.1269033470181498</v>
      </c>
      <c r="D969" s="162">
        <v>1.1338066940362996</v>
      </c>
      <c r="E969" s="125">
        <v>1.1299999999999999</v>
      </c>
    </row>
    <row r="970" spans="1:5">
      <c r="A970" s="122" t="s">
        <v>307</v>
      </c>
      <c r="B970" s="161">
        <v>1.1399999999999999</v>
      </c>
      <c r="C970" s="162">
        <v>1.15835003886348</v>
      </c>
      <c r="D970" s="162">
        <v>1.1767000777269598</v>
      </c>
      <c r="E970" s="125">
        <v>1.18</v>
      </c>
    </row>
    <row r="971" spans="1:5">
      <c r="A971" s="122" t="s">
        <v>693</v>
      </c>
      <c r="B971" s="161">
        <v>1.1299999999999999</v>
      </c>
      <c r="C971" s="162">
        <v>1.1389651492783288</v>
      </c>
      <c r="D971" s="162">
        <v>1.1479302985566577</v>
      </c>
      <c r="E971" s="125">
        <v>1.1499999999999999</v>
      </c>
    </row>
    <row r="972" spans="1:5">
      <c r="A972" s="122" t="s">
        <v>694</v>
      </c>
      <c r="B972" s="161">
        <v>1.1200000000000001</v>
      </c>
      <c r="C972" s="162">
        <v>1.0937126544018847</v>
      </c>
      <c r="D972" s="162">
        <v>1.0674253088037691</v>
      </c>
      <c r="E972" s="125">
        <v>1.07</v>
      </c>
    </row>
    <row r="973" spans="1:5">
      <c r="A973" s="122" t="s">
        <v>695</v>
      </c>
      <c r="B973" s="161">
        <v>1.1000000000000001</v>
      </c>
      <c r="C973" s="162">
        <v>1.0690208112797999</v>
      </c>
      <c r="D973" s="162">
        <v>1.0380416225595994</v>
      </c>
      <c r="E973" s="125">
        <v>1.04</v>
      </c>
    </row>
    <row r="974" spans="1:5">
      <c r="A974" s="122" t="s">
        <v>2669</v>
      </c>
      <c r="B974" s="161">
        <v>1.1200000000000001</v>
      </c>
      <c r="C974" s="162">
        <v>1.1176261637069675</v>
      </c>
      <c r="D974" s="162">
        <v>1.1152523274139348</v>
      </c>
      <c r="E974" s="125">
        <v>1.1200000000000001</v>
      </c>
    </row>
    <row r="975" spans="1:5">
      <c r="A975" s="122" t="s">
        <v>2670</v>
      </c>
      <c r="B975" s="161">
        <v>1.08</v>
      </c>
      <c r="C975" s="162">
        <v>1.0870150220001604</v>
      </c>
      <c r="D975" s="162">
        <v>1.0940300440003208</v>
      </c>
      <c r="E975" s="125">
        <v>1.0900000000000001</v>
      </c>
    </row>
    <row r="976" spans="1:5">
      <c r="A976" s="122" t="s">
        <v>1987</v>
      </c>
      <c r="B976" s="161">
        <v>1.1599999999999999</v>
      </c>
      <c r="C976" s="162">
        <v>1.1787741943533954</v>
      </c>
      <c r="D976" s="162">
        <v>1.1975483887067906</v>
      </c>
      <c r="E976" s="125">
        <v>1.2</v>
      </c>
    </row>
    <row r="977" spans="1:5">
      <c r="A977" s="122" t="s">
        <v>1223</v>
      </c>
      <c r="B977" s="161">
        <v>1.0900000000000001</v>
      </c>
      <c r="C977" s="162">
        <v>1.0690826988643094</v>
      </c>
      <c r="D977" s="162">
        <v>1.0481653977286187</v>
      </c>
      <c r="E977" s="125">
        <v>1.05</v>
      </c>
    </row>
    <row r="978" spans="1:5">
      <c r="A978" s="122" t="s">
        <v>1713</v>
      </c>
      <c r="B978" s="161">
        <v>1.1399999999999999</v>
      </c>
      <c r="C978" s="162">
        <v>1.170585223970432</v>
      </c>
      <c r="D978" s="162">
        <v>1.2011704479408638</v>
      </c>
      <c r="E978" s="125">
        <v>1.2</v>
      </c>
    </row>
    <row r="979" spans="1:5">
      <c r="A979" s="122" t="s">
        <v>1043</v>
      </c>
      <c r="B979" s="161">
        <v>1.07</v>
      </c>
      <c r="C979" s="162">
        <v>1.0712164840536325</v>
      </c>
      <c r="D979" s="162">
        <v>1.0724329681072649</v>
      </c>
      <c r="E979" s="125">
        <v>1.07</v>
      </c>
    </row>
    <row r="980" spans="1:5">
      <c r="A980" s="122" t="s">
        <v>1044</v>
      </c>
      <c r="B980" s="161">
        <v>1.0900000000000001</v>
      </c>
      <c r="C980" s="162">
        <v>1.0887546543460984</v>
      </c>
      <c r="D980" s="162">
        <v>1.0875093086921968</v>
      </c>
      <c r="E980" s="125">
        <v>1.0900000000000001</v>
      </c>
    </row>
    <row r="981" spans="1:5">
      <c r="A981" s="122" t="s">
        <v>1045</v>
      </c>
      <c r="B981" s="161">
        <v>1.0900000000000001</v>
      </c>
      <c r="C981" s="162">
        <v>1.086319713522776</v>
      </c>
      <c r="D981" s="162">
        <v>1.0826394270455519</v>
      </c>
      <c r="E981" s="125">
        <v>1.08</v>
      </c>
    </row>
    <row r="982" spans="1:5">
      <c r="A982" s="122" t="s">
        <v>624</v>
      </c>
      <c r="B982" s="161">
        <v>1.1100000000000001</v>
      </c>
      <c r="C982" s="162">
        <v>1.1108337589079718</v>
      </c>
      <c r="D982" s="162">
        <v>1.1116675178159434</v>
      </c>
      <c r="E982" s="125">
        <v>1.1100000000000001</v>
      </c>
    </row>
    <row r="983" spans="1:5">
      <c r="A983" s="122" t="s">
        <v>1014</v>
      </c>
      <c r="B983" s="161">
        <v>1.1100000000000001</v>
      </c>
      <c r="C983" s="162">
        <v>1.1035792279061929</v>
      </c>
      <c r="D983" s="162">
        <v>1.0971584558123857</v>
      </c>
      <c r="E983" s="125">
        <v>1.1000000000000001</v>
      </c>
    </row>
    <row r="984" spans="1:5">
      <c r="A984" s="122" t="s">
        <v>1015</v>
      </c>
      <c r="B984" s="161">
        <v>1.0900000000000001</v>
      </c>
      <c r="C984" s="162">
        <v>1.0874320560630473</v>
      </c>
      <c r="D984" s="162">
        <v>1.0848641121260947</v>
      </c>
      <c r="E984" s="125">
        <v>1.08</v>
      </c>
    </row>
    <row r="985" spans="1:5">
      <c r="A985" s="122" t="s">
        <v>1016</v>
      </c>
      <c r="B985" s="161">
        <v>1.07</v>
      </c>
      <c r="C985" s="162">
        <v>1.0718056347775211</v>
      </c>
      <c r="D985" s="162">
        <v>1.0736112695550424</v>
      </c>
      <c r="E985" s="125">
        <v>1.07</v>
      </c>
    </row>
    <row r="986" spans="1:5">
      <c r="A986" s="122" t="s">
        <v>1017</v>
      </c>
      <c r="B986" s="161">
        <v>1.06</v>
      </c>
      <c r="C986" s="162">
        <v>1.074124260923617</v>
      </c>
      <c r="D986" s="162">
        <v>1.088248521847234</v>
      </c>
      <c r="E986" s="125">
        <v>1.0900000000000001</v>
      </c>
    </row>
    <row r="987" spans="1:5">
      <c r="A987" s="122" t="s">
        <v>123</v>
      </c>
      <c r="E987" s="125"/>
    </row>
    <row r="988" spans="1:5">
      <c r="A988" s="122" t="s">
        <v>1940</v>
      </c>
      <c r="B988" s="161">
        <v>1.08</v>
      </c>
      <c r="C988" s="162">
        <v>1.0676735506194923</v>
      </c>
      <c r="D988" s="162">
        <v>1.0553471012389846</v>
      </c>
      <c r="E988" s="125">
        <v>1.06</v>
      </c>
    </row>
    <row r="989" spans="1:5">
      <c r="A989" s="122" t="s">
        <v>2648</v>
      </c>
      <c r="B989" s="161">
        <v>1.07</v>
      </c>
      <c r="C989" s="162">
        <v>1.0687612330698606</v>
      </c>
      <c r="D989" s="162">
        <v>1.0675224661397211</v>
      </c>
      <c r="E989" s="125">
        <v>1.07</v>
      </c>
    </row>
    <row r="990" spans="1:5">
      <c r="A990" s="122" t="s">
        <v>996</v>
      </c>
      <c r="B990" s="161">
        <v>1.07</v>
      </c>
      <c r="C990" s="162">
        <v>1.0864022740704438</v>
      </c>
      <c r="D990" s="162">
        <v>1.1028045481408875</v>
      </c>
      <c r="E990" s="125">
        <v>1.1000000000000001</v>
      </c>
    </row>
    <row r="991" spans="1:5">
      <c r="A991" s="122" t="s">
        <v>1424</v>
      </c>
      <c r="B991" s="161">
        <v>1.05</v>
      </c>
      <c r="C991" s="162">
        <v>1.0564236241853155</v>
      </c>
      <c r="D991" s="162">
        <v>1.062847248370631</v>
      </c>
      <c r="E991" s="125">
        <v>1.06</v>
      </c>
    </row>
    <row r="992" spans="1:5">
      <c r="A992" s="122" t="s">
        <v>714</v>
      </c>
      <c r="B992" s="161">
        <v>1.06</v>
      </c>
      <c r="C992" s="162">
        <v>1.0729277650745928</v>
      </c>
      <c r="D992" s="162">
        <v>1.0858555301491855</v>
      </c>
      <c r="E992" s="125">
        <v>1.0900000000000001</v>
      </c>
    </row>
    <row r="993" spans="1:5">
      <c r="A993" s="122" t="s">
        <v>2088</v>
      </c>
      <c r="B993" s="161">
        <v>1.0900000000000001</v>
      </c>
      <c r="C993" s="162">
        <v>1.119042782028802</v>
      </c>
      <c r="D993" s="162">
        <v>1.148085564057604</v>
      </c>
      <c r="E993" s="125">
        <v>1.1499999999999999</v>
      </c>
    </row>
    <row r="994" spans="1:5">
      <c r="A994" s="122" t="s">
        <v>626</v>
      </c>
      <c r="B994" s="161">
        <v>1.05</v>
      </c>
      <c r="C994" s="162">
        <v>1.0579645317920423</v>
      </c>
      <c r="D994" s="162">
        <v>1.0659290635840846</v>
      </c>
      <c r="E994" s="125">
        <v>1.07</v>
      </c>
    </row>
    <row r="995" spans="1:5">
      <c r="A995" s="122" t="s">
        <v>1534</v>
      </c>
      <c r="B995" s="161">
        <v>1.07</v>
      </c>
      <c r="C995" s="162">
        <v>1.0512562881467045</v>
      </c>
      <c r="D995" s="162">
        <v>1.0325125762934089</v>
      </c>
      <c r="E995" s="125">
        <v>1.03</v>
      </c>
    </row>
    <row r="996" spans="1:5">
      <c r="A996" s="122" t="s">
        <v>9</v>
      </c>
      <c r="B996" s="161">
        <v>1.0900000000000001</v>
      </c>
      <c r="C996" s="162">
        <v>1.0813425244631132</v>
      </c>
      <c r="D996" s="162">
        <v>1.0726850489262265</v>
      </c>
      <c r="E996" s="125">
        <v>1.07</v>
      </c>
    </row>
    <row r="997" spans="1:5">
      <c r="A997" s="122" t="s">
        <v>10</v>
      </c>
      <c r="B997" s="161">
        <v>1.07</v>
      </c>
      <c r="C997" s="162">
        <v>1.0579484837605975</v>
      </c>
      <c r="D997" s="162">
        <v>1.0458969675211947</v>
      </c>
      <c r="E997" s="125">
        <v>1.05</v>
      </c>
    </row>
    <row r="998" spans="1:5">
      <c r="A998" s="122" t="s">
        <v>1695</v>
      </c>
      <c r="B998" s="161">
        <v>1.1599999999999999</v>
      </c>
      <c r="C998" s="162">
        <v>1.1066019366568427</v>
      </c>
      <c r="D998" s="162">
        <v>1.0532038733136853</v>
      </c>
      <c r="E998" s="125">
        <v>1.05</v>
      </c>
    </row>
    <row r="999" spans="1:5">
      <c r="A999" s="122" t="s">
        <v>2387</v>
      </c>
      <c r="B999" s="161">
        <v>1.1499999999999999</v>
      </c>
      <c r="C999" s="162">
        <v>1.1173704471743564</v>
      </c>
      <c r="D999" s="162">
        <v>1.0847408943487127</v>
      </c>
      <c r="E999" s="125">
        <v>1.08</v>
      </c>
    </row>
    <row r="1000" spans="1:5">
      <c r="A1000" s="122" t="s">
        <v>465</v>
      </c>
      <c r="B1000" s="161">
        <v>1.17</v>
      </c>
      <c r="C1000" s="162">
        <v>1.1289846511557555</v>
      </c>
      <c r="D1000" s="162">
        <v>1.0879693023115113</v>
      </c>
      <c r="E1000" s="125">
        <v>1.0900000000000001</v>
      </c>
    </row>
    <row r="1001" spans="1:5">
      <c r="A1001" s="122" t="s">
        <v>308</v>
      </c>
      <c r="B1001" s="161">
        <v>1.1399999999999999</v>
      </c>
      <c r="C1001" s="162">
        <v>1.1039040980318884</v>
      </c>
      <c r="D1001" s="162">
        <v>1.0678081960637769</v>
      </c>
      <c r="E1001" s="125">
        <v>1.07</v>
      </c>
    </row>
    <row r="1002" spans="1:5">
      <c r="A1002" s="122" t="s">
        <v>1514</v>
      </c>
      <c r="B1002" s="161">
        <v>1.07</v>
      </c>
      <c r="C1002" s="162">
        <v>1.1011424101913836</v>
      </c>
      <c r="D1002" s="162">
        <v>1.1322848203827671</v>
      </c>
      <c r="E1002" s="125">
        <v>1.1299999999999999</v>
      </c>
    </row>
    <row r="1003" spans="1:5">
      <c r="A1003" s="122" t="s">
        <v>2975</v>
      </c>
      <c r="B1003" s="161">
        <v>1.0900000000000001</v>
      </c>
      <c r="C1003" s="162">
        <v>1.1450302337055136</v>
      </c>
      <c r="D1003" s="162">
        <v>1.2000604674110271</v>
      </c>
      <c r="E1003" s="125">
        <v>1.2</v>
      </c>
    </row>
    <row r="1004" spans="1:5">
      <c r="A1004" s="122" t="s">
        <v>2038</v>
      </c>
      <c r="B1004" s="161">
        <v>1.06</v>
      </c>
      <c r="C1004" s="162">
        <v>1.0911673851670491</v>
      </c>
      <c r="D1004" s="162">
        <v>1.1223347703340982</v>
      </c>
      <c r="E1004" s="125">
        <v>1.1200000000000001</v>
      </c>
    </row>
    <row r="1005" spans="1:5">
      <c r="A1005" s="122" t="s">
        <v>47</v>
      </c>
      <c r="B1005" s="161">
        <v>1.06</v>
      </c>
      <c r="C1005" s="162">
        <v>1.1056969258793048</v>
      </c>
      <c r="D1005" s="162">
        <v>1.1513938517586095</v>
      </c>
      <c r="E1005" s="125">
        <v>1.1499999999999999</v>
      </c>
    </row>
    <row r="1006" spans="1:5">
      <c r="A1006" s="122" t="s">
        <v>11</v>
      </c>
      <c r="B1006" s="161">
        <v>1.06</v>
      </c>
      <c r="C1006" s="162">
        <v>1.0960594861092927</v>
      </c>
      <c r="D1006" s="162">
        <v>1.1321189722185854</v>
      </c>
      <c r="E1006" s="125">
        <v>1.1299999999999999</v>
      </c>
    </row>
    <row r="1007" spans="1:5">
      <c r="A1007" s="122" t="s">
        <v>1990</v>
      </c>
      <c r="B1007" s="161">
        <v>1.06</v>
      </c>
      <c r="C1007" s="162">
        <v>1.1040785732108716</v>
      </c>
      <c r="D1007" s="162">
        <v>1.1481571464217433</v>
      </c>
      <c r="E1007" s="125">
        <v>1.1499999999999999</v>
      </c>
    </row>
    <row r="1008" spans="1:5">
      <c r="A1008" s="122" t="s">
        <v>1485</v>
      </c>
      <c r="B1008" s="161">
        <v>1.1200000000000001</v>
      </c>
      <c r="C1008" s="162">
        <v>1.1957053200993686</v>
      </c>
      <c r="D1008" s="162">
        <v>1.2714106401987368</v>
      </c>
      <c r="E1008" s="125">
        <v>1.27</v>
      </c>
    </row>
    <row r="1009" spans="1:5">
      <c r="A1009" s="122" t="s">
        <v>1738</v>
      </c>
      <c r="B1009" s="161">
        <v>1.08</v>
      </c>
      <c r="C1009" s="162">
        <v>1.120813102903147</v>
      </c>
      <c r="D1009" s="162">
        <v>1.1616262058062938</v>
      </c>
      <c r="E1009" s="125">
        <v>1.1599999999999999</v>
      </c>
    </row>
    <row r="1010" spans="1:5">
      <c r="A1010" s="122" t="s">
        <v>1708</v>
      </c>
      <c r="B1010" s="161">
        <v>1.06</v>
      </c>
      <c r="C1010" s="162">
        <v>1.083126133319378</v>
      </c>
      <c r="D1010" s="162">
        <v>1.106252266638756</v>
      </c>
      <c r="E1010" s="125">
        <v>1.1100000000000001</v>
      </c>
    </row>
    <row r="1011" spans="1:5">
      <c r="A1011" s="122" t="s">
        <v>1988</v>
      </c>
      <c r="B1011" s="161">
        <v>1.1000000000000001</v>
      </c>
      <c r="C1011" s="162">
        <v>1.1737353299990434</v>
      </c>
      <c r="D1011" s="162">
        <v>1.2474706599980867</v>
      </c>
      <c r="E1011" s="125">
        <v>1.25</v>
      </c>
    </row>
    <row r="1012" spans="1:5">
      <c r="A1012" s="122" t="s">
        <v>12</v>
      </c>
      <c r="B1012" s="161">
        <v>1.07</v>
      </c>
      <c r="C1012" s="162">
        <v>1.0777630191872098</v>
      </c>
      <c r="D1012" s="162">
        <v>1.0855260383744196</v>
      </c>
      <c r="E1012" s="125">
        <v>1.0900000000000001</v>
      </c>
    </row>
    <row r="1013" spans="1:5">
      <c r="A1013" s="122" t="s">
        <v>2814</v>
      </c>
      <c r="B1013" s="161">
        <v>1.08</v>
      </c>
      <c r="C1013" s="162">
        <v>1.1341087780600243</v>
      </c>
      <c r="D1013" s="162">
        <v>1.1882175561200488</v>
      </c>
      <c r="E1013" s="125">
        <v>1.19</v>
      </c>
    </row>
    <row r="1014" spans="1:5">
      <c r="A1014" s="122" t="s">
        <v>66</v>
      </c>
      <c r="B1014" s="161">
        <v>1.07</v>
      </c>
      <c r="C1014" s="162">
        <v>1.122496080124056</v>
      </c>
      <c r="D1014" s="162">
        <v>1.1749921602481119</v>
      </c>
      <c r="E1014" s="125">
        <v>1.17</v>
      </c>
    </row>
    <row r="1015" spans="1:5">
      <c r="A1015" s="122" t="s">
        <v>2815</v>
      </c>
      <c r="B1015" s="161">
        <v>1.07</v>
      </c>
      <c r="C1015" s="162">
        <v>1.1052670368136772</v>
      </c>
      <c r="D1015" s="162">
        <v>1.1405340736273544</v>
      </c>
      <c r="E1015" s="125">
        <v>1.1399999999999999</v>
      </c>
    </row>
    <row r="1016" spans="1:5">
      <c r="A1016" s="122" t="s">
        <v>1705</v>
      </c>
      <c r="B1016" s="161">
        <v>1.07</v>
      </c>
      <c r="C1016" s="162">
        <v>1.1035920957644159</v>
      </c>
      <c r="D1016" s="162">
        <v>1.1371841915288319</v>
      </c>
      <c r="E1016" s="125">
        <v>1.1399999999999999</v>
      </c>
    </row>
    <row r="1017" spans="1:5">
      <c r="A1017" s="122" t="s">
        <v>1339</v>
      </c>
      <c r="B1017" s="161">
        <v>1.1299999999999999</v>
      </c>
      <c r="C1017" s="162">
        <v>1.1038423855993673</v>
      </c>
      <c r="D1017" s="162">
        <v>1.0776847711987347</v>
      </c>
      <c r="E1017" s="125">
        <v>1.08</v>
      </c>
    </row>
    <row r="1018" spans="1:5">
      <c r="A1018" s="122" t="s">
        <v>1340</v>
      </c>
      <c r="B1018" s="161">
        <v>1.1000000000000001</v>
      </c>
      <c r="C1018" s="162">
        <v>1.0833813433313</v>
      </c>
      <c r="D1018" s="162">
        <v>1.0667626866625999</v>
      </c>
      <c r="E1018" s="125">
        <v>1.07</v>
      </c>
    </row>
    <row r="1019" spans="1:5">
      <c r="A1019" s="122" t="s">
        <v>224</v>
      </c>
      <c r="B1019" s="161">
        <v>1.1000000000000001</v>
      </c>
      <c r="C1019" s="162">
        <v>1.1046515514557091</v>
      </c>
      <c r="D1019" s="162">
        <v>1.1093031029114184</v>
      </c>
      <c r="E1019" s="125">
        <v>1.1100000000000001</v>
      </c>
    </row>
    <row r="1020" spans="1:5">
      <c r="A1020" s="122" t="s">
        <v>904</v>
      </c>
      <c r="B1020" s="161">
        <v>1.1100000000000001</v>
      </c>
      <c r="C1020" s="162">
        <v>1.1269571186199081</v>
      </c>
      <c r="D1020" s="162">
        <v>1.1439142372398163</v>
      </c>
      <c r="E1020" s="125">
        <v>1.1399999999999999</v>
      </c>
    </row>
    <row r="1021" spans="1:5">
      <c r="A1021" s="122" t="s">
        <v>2491</v>
      </c>
      <c r="B1021" s="161">
        <v>1.1000000000000001</v>
      </c>
      <c r="C1021" s="162">
        <v>1.1250980864936699</v>
      </c>
      <c r="D1021" s="162">
        <v>1.1501961729873398</v>
      </c>
      <c r="E1021" s="125">
        <v>1.1499999999999999</v>
      </c>
    </row>
    <row r="1022" spans="1:5">
      <c r="A1022" s="122" t="s">
        <v>2780</v>
      </c>
      <c r="B1022" s="161">
        <v>1.1000000000000001</v>
      </c>
      <c r="C1022" s="162">
        <v>1.1060524448538573</v>
      </c>
      <c r="D1022" s="162">
        <v>1.1121048897077148</v>
      </c>
      <c r="E1022" s="125">
        <v>1.1100000000000001</v>
      </c>
    </row>
    <row r="1023" spans="1:5">
      <c r="A1023" s="122" t="s">
        <v>2781</v>
      </c>
      <c r="B1023" s="161">
        <v>1.1000000000000001</v>
      </c>
      <c r="C1023" s="162">
        <v>1.1288699759263192</v>
      </c>
      <c r="D1023" s="162">
        <v>1.1577399518526381</v>
      </c>
      <c r="E1023" s="125">
        <v>1.1599999999999999</v>
      </c>
    </row>
    <row r="1024" spans="1:5">
      <c r="A1024" s="122" t="s">
        <v>2302</v>
      </c>
      <c r="B1024" s="161">
        <v>1.1000000000000001</v>
      </c>
      <c r="C1024" s="162">
        <v>1.1168863145516279</v>
      </c>
      <c r="D1024" s="162">
        <v>1.1337726291032559</v>
      </c>
      <c r="E1024" s="125">
        <v>1.1299999999999999</v>
      </c>
    </row>
    <row r="1025" spans="1:5">
      <c r="A1025" s="122" t="s">
        <v>1314</v>
      </c>
      <c r="B1025" s="161">
        <v>1.1000000000000001</v>
      </c>
      <c r="C1025" s="162">
        <v>1.0993074513938956</v>
      </c>
      <c r="D1025" s="162">
        <v>1.0986149027877909</v>
      </c>
      <c r="E1025" s="125">
        <v>1.1000000000000001</v>
      </c>
    </row>
    <row r="1026" spans="1:5">
      <c r="A1026" s="122" t="s">
        <v>2548</v>
      </c>
      <c r="B1026" s="161">
        <v>1.04</v>
      </c>
      <c r="C1026" s="162">
        <v>1.04409793757153</v>
      </c>
      <c r="D1026" s="162">
        <v>1.0481958751430598</v>
      </c>
      <c r="E1026" s="125">
        <v>1.05</v>
      </c>
    </row>
    <row r="1027" spans="1:5">
      <c r="A1027" s="122" t="s">
        <v>2549</v>
      </c>
      <c r="B1027" s="161">
        <v>1.04</v>
      </c>
      <c r="C1027" s="162">
        <v>1.0520919801371735</v>
      </c>
      <c r="D1027" s="162">
        <v>1.0641839602743468</v>
      </c>
      <c r="E1027" s="125">
        <v>1.06</v>
      </c>
    </row>
    <row r="1028" spans="1:5">
      <c r="A1028" s="122" t="s">
        <v>2970</v>
      </c>
      <c r="B1028" s="161">
        <v>1.05</v>
      </c>
      <c r="C1028" s="162">
        <v>1.0543758781541852</v>
      </c>
      <c r="D1028" s="162">
        <v>1.0587517563083706</v>
      </c>
      <c r="E1028" s="125">
        <v>1.06</v>
      </c>
    </row>
    <row r="1029" spans="1:5">
      <c r="A1029" s="122" t="s">
        <v>2971</v>
      </c>
      <c r="B1029" s="161">
        <v>1.04</v>
      </c>
      <c r="C1029" s="162">
        <v>1.0458580475226906</v>
      </c>
      <c r="D1029" s="162">
        <v>1.0517160950453814</v>
      </c>
      <c r="E1029" s="125">
        <v>1.05</v>
      </c>
    </row>
    <row r="1030" spans="1:5">
      <c r="A1030" s="122" t="s">
        <v>705</v>
      </c>
      <c r="B1030" s="161">
        <v>1.05</v>
      </c>
      <c r="C1030" s="162">
        <v>1.0548232860345133</v>
      </c>
      <c r="D1030" s="162">
        <v>1.0596465720690265</v>
      </c>
      <c r="E1030" s="125">
        <v>1.06</v>
      </c>
    </row>
    <row r="1031" spans="1:5">
      <c r="A1031" s="122" t="s">
        <v>777</v>
      </c>
      <c r="B1031" s="161">
        <v>1.04</v>
      </c>
      <c r="C1031" s="162">
        <v>1.053180942945658</v>
      </c>
      <c r="D1031" s="162">
        <v>1.066361885891316</v>
      </c>
      <c r="E1031" s="125">
        <v>1.07</v>
      </c>
    </row>
    <row r="1032" spans="1:5">
      <c r="A1032" s="122" t="s">
        <v>778</v>
      </c>
      <c r="B1032" s="161">
        <v>1.1100000000000001</v>
      </c>
      <c r="C1032" s="162">
        <v>1.0920827048494011</v>
      </c>
      <c r="D1032" s="162">
        <v>1.0741654096988018</v>
      </c>
      <c r="E1032" s="125">
        <v>1.07</v>
      </c>
    </row>
    <row r="1033" spans="1:5">
      <c r="A1033" s="122" t="s">
        <v>1660</v>
      </c>
      <c r="B1033" s="161">
        <v>1.1100000000000001</v>
      </c>
      <c r="C1033" s="162">
        <v>1.0836110717162488</v>
      </c>
      <c r="D1033" s="162">
        <v>1.0572221434324975</v>
      </c>
      <c r="E1033" s="125">
        <v>1.06</v>
      </c>
    </row>
    <row r="1034" spans="1:5">
      <c r="A1034" s="122" t="s">
        <v>1020</v>
      </c>
      <c r="B1034" s="161">
        <v>1.0900000000000001</v>
      </c>
      <c r="C1034" s="162">
        <v>1.0873632057568576</v>
      </c>
      <c r="D1034" s="162">
        <v>1.0847264115137152</v>
      </c>
      <c r="E1034" s="125">
        <v>1.08</v>
      </c>
    </row>
    <row r="1035" spans="1:5">
      <c r="A1035" s="122" t="s">
        <v>1661</v>
      </c>
      <c r="B1035" s="161">
        <v>1.07</v>
      </c>
      <c r="C1035" s="162">
        <v>1.0640403312894833</v>
      </c>
      <c r="D1035" s="162">
        <v>1.0580806625789667</v>
      </c>
      <c r="E1035" s="125">
        <v>1.06</v>
      </c>
    </row>
    <row r="1036" spans="1:5">
      <c r="A1036" s="122" t="s">
        <v>1696</v>
      </c>
      <c r="B1036" s="161">
        <v>1.06</v>
      </c>
      <c r="C1036" s="162">
        <v>1.0626566000441298</v>
      </c>
      <c r="D1036" s="162">
        <v>1.0653132000882595</v>
      </c>
      <c r="E1036" s="125">
        <v>1.07</v>
      </c>
    </row>
    <row r="1037" spans="1:5">
      <c r="A1037" s="122" t="s">
        <v>556</v>
      </c>
      <c r="B1037" s="161">
        <v>1.1200000000000001</v>
      </c>
      <c r="C1037" s="162">
        <v>1.1257745939871435</v>
      </c>
      <c r="D1037" s="162">
        <v>1.1315491879742869</v>
      </c>
      <c r="E1037" s="125">
        <v>1.1299999999999999</v>
      </c>
    </row>
    <row r="1038" spans="1:5">
      <c r="A1038" s="122" t="s">
        <v>2760</v>
      </c>
      <c r="B1038" s="161">
        <v>1.1399999999999999</v>
      </c>
      <c r="C1038" s="162">
        <v>1.1143717443524568</v>
      </c>
      <c r="D1038" s="162">
        <v>1.0887434887049134</v>
      </c>
      <c r="E1038" s="125">
        <v>1.0900000000000001</v>
      </c>
    </row>
    <row r="1039" spans="1:5">
      <c r="A1039" s="122" t="s">
        <v>1901</v>
      </c>
      <c r="B1039" s="161">
        <v>1.0900000000000001</v>
      </c>
      <c r="C1039" s="162">
        <v>1.0710455155266221</v>
      </c>
      <c r="D1039" s="162">
        <v>1.0520910310532441</v>
      </c>
      <c r="E1039" s="125">
        <v>1.05</v>
      </c>
    </row>
  </sheetData>
  <sheetProtection sheet="1" objects="1" scenarios="1"/>
  <phoneticPr fontId="25"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'Report-EDA1718'!D1</f>
        <v>84th/85th Legislative Session</v>
      </c>
    </row>
    <row r="2" spans="1:5">
      <c r="A2" s="1074" t="s">
        <v>3267</v>
      </c>
      <c r="E2" s="98" t="str">
        <f>'Report-EDA1718'!D2</f>
        <v>Release 2</v>
      </c>
    </row>
    <row r="3" spans="1:5">
      <c r="A3" s="89"/>
      <c r="E3" s="82">
        <f>'Report-EDA1718'!D3</f>
        <v>43145</v>
      </c>
    </row>
    <row r="4" spans="1:5" ht="15.75">
      <c r="A4" s="1075" t="s">
        <v>3702</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IFA!L58</f>
        <v>400</v>
      </c>
      <c r="E12" s="1086">
        <f>D12</f>
        <v>400</v>
      </c>
    </row>
    <row r="13" spans="1:5" s="1076" customFormat="1" ht="15">
      <c r="A13" s="1079" t="s">
        <v>2503</v>
      </c>
      <c r="B13" s="1080" t="s">
        <v>7388</v>
      </c>
      <c r="C13" s="1080"/>
      <c r="D13" s="1085">
        <f>'Report-EDA1718'!D18</f>
        <v>0</v>
      </c>
      <c r="E13" s="1085">
        <f>D13</f>
        <v>0</v>
      </c>
    </row>
    <row r="14" spans="1:5" s="1076" customFormat="1" ht="15">
      <c r="A14" s="1079" t="s">
        <v>1024</v>
      </c>
      <c r="B14" s="1080" t="s">
        <v>3378</v>
      </c>
      <c r="C14" s="1080"/>
      <c r="D14" s="1085">
        <f>IFA!L65</f>
        <v>0</v>
      </c>
      <c r="E14" s="1085">
        <f>IFA!N65</f>
        <v>0</v>
      </c>
    </row>
    <row r="15" spans="1:5" s="1076" customFormat="1" ht="15">
      <c r="A15" s="1079" t="s">
        <v>1025</v>
      </c>
      <c r="B15" s="1080" t="s">
        <v>3379</v>
      </c>
      <c r="C15" s="1080"/>
      <c r="D15" s="1183">
        <f>IFA!L67</f>
        <v>0</v>
      </c>
      <c r="E15" s="1183">
        <f>IFA!N67</f>
        <v>0</v>
      </c>
    </row>
    <row r="16" spans="1:5" s="1076" customFormat="1" ht="15">
      <c r="A16" s="1079" t="s">
        <v>1027</v>
      </c>
      <c r="B16" s="1080" t="s">
        <v>3380</v>
      </c>
      <c r="C16" s="1080"/>
      <c r="D16" s="1183">
        <f>IFA!L69</f>
        <v>0</v>
      </c>
      <c r="E16" s="1183">
        <f>IFA!N69</f>
        <v>0</v>
      </c>
    </row>
    <row r="17" spans="1:5" s="1076" customFormat="1" ht="15">
      <c r="A17" s="1079" t="s">
        <v>1028</v>
      </c>
      <c r="B17" s="1080" t="str">
        <f>CONCATENATE("State's Share of $",Weights!I49," per ADA Yield")</f>
        <v>State's Share of $35 per ADA Yield</v>
      </c>
      <c r="C17" s="1080"/>
      <c r="D17" s="1085">
        <f>IFA!L71</f>
        <v>35</v>
      </c>
      <c r="E17" s="1085">
        <f>IFA!N71</f>
        <v>35</v>
      </c>
    </row>
    <row r="18" spans="1:5" s="1076" customFormat="1" ht="15">
      <c r="A18" s="1079" t="s">
        <v>1029</v>
      </c>
      <c r="B18" s="1080" t="s">
        <v>3381</v>
      </c>
      <c r="C18" s="1080"/>
      <c r="D18" s="1184">
        <f>IFA!L73</f>
        <v>1</v>
      </c>
      <c r="E18" s="1184">
        <f>IFA!N73</f>
        <v>1</v>
      </c>
    </row>
    <row r="19" spans="1:5" s="1076" customFormat="1" ht="15">
      <c r="A19" s="1079" t="s">
        <v>139</v>
      </c>
      <c r="B19" s="1080" t="s">
        <v>3382</v>
      </c>
      <c r="C19" s="1080"/>
      <c r="D19" s="1085">
        <f>IFA!L75</f>
        <v>0</v>
      </c>
      <c r="E19" s="1085">
        <f>IFA!N75</f>
        <v>0</v>
      </c>
    </row>
    <row r="20" spans="1:5" s="1076" customFormat="1" ht="15">
      <c r="A20" s="1079" t="s">
        <v>140</v>
      </c>
      <c r="B20" s="1080" t="s">
        <v>3383</v>
      </c>
      <c r="C20" s="1080"/>
      <c r="D20" s="1085">
        <f>IFA!L79</f>
        <v>0</v>
      </c>
      <c r="E20" s="1085">
        <f>IFA!N79</f>
        <v>0</v>
      </c>
    </row>
    <row r="21" spans="1:5" s="1076" customFormat="1" ht="15.75">
      <c r="A21" s="1079" t="s">
        <v>141</v>
      </c>
      <c r="B21" s="1078" t="s">
        <v>3384</v>
      </c>
      <c r="C21" s="1080"/>
      <c r="D21" s="1085">
        <f>IFA!L86</f>
        <v>0</v>
      </c>
      <c r="E21" s="1085">
        <f>IFA!N86</f>
        <v>0</v>
      </c>
    </row>
    <row r="22" spans="1:5" s="1076" customFormat="1" ht="15.75">
      <c r="B22" s="1195" t="s">
        <v>3392</v>
      </c>
      <c r="D22" s="1445" t="s">
        <v>3704</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7101</v>
      </c>
      <c r="E32" s="2026">
        <f>IF(ISNA('DE1'!H89),0,'DE1'!H89)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IFA_Limits!F55</f>
        <v>0</v>
      </c>
      <c r="E37" s="1199">
        <f>IFA_Limits!F56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1076" customFormat="1" ht="15"/>
    <row r="50" s="1076" customFormat="1" ht="15"/>
    <row r="51" s="1076" customFormat="1" ht="15"/>
  </sheetData>
  <sheetProtection sheet="1"/>
  <hyperlinks>
    <hyperlink ref="D22" location="'Report-SOF1718'!A1" display="'Report-SOF1718'!A1"/>
  </hyperlinks>
  <pageMargins left="0.45" right="0.45" top="0.5" bottom="0.5" header="0.3" footer="0.3"/>
  <pageSetup scale="8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7109375" customWidth="1"/>
  </cols>
  <sheetData>
    <row r="1" spans="1:5">
      <c r="A1" s="1074" t="s">
        <v>3593</v>
      </c>
      <c r="E1" s="1773" t="str">
        <f>'Report-IFA1718'!E1</f>
        <v>84th/85th Legislative Session</v>
      </c>
    </row>
    <row r="2" spans="1:5">
      <c r="A2" s="1074" t="s">
        <v>3594</v>
      </c>
      <c r="E2" s="98" t="str">
        <f>'Report-IFA1718'!E2</f>
        <v>Release 2</v>
      </c>
    </row>
    <row r="3" spans="1:5">
      <c r="A3" s="89"/>
      <c r="E3" s="82">
        <f>'Report-IFA1718'!E3</f>
        <v>43145</v>
      </c>
    </row>
    <row r="4" spans="1:5" ht="15.75">
      <c r="A4" s="1075" t="s">
        <v>3703</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SOF'!E84</f>
        <v>0</v>
      </c>
      <c r="D11" s="1080"/>
      <c r="E11" s="1083" t="e">
        <f>'Report-SOF1718'!D67</f>
        <v>#DIV/0!</v>
      </c>
    </row>
    <row r="12" spans="1:5" ht="15">
      <c r="A12" s="1079" t="s">
        <v>2502</v>
      </c>
      <c r="B12" s="1080" t="s">
        <v>3601</v>
      </c>
      <c r="C12" s="1083">
        <f>'Data Entry - SOF'!E85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1445" t="s">
        <v>3704</v>
      </c>
    </row>
    <row r="17" spans="1:5" ht="15.75">
      <c r="A17" s="1076"/>
      <c r="C17" s="1195"/>
      <c r="D17" s="1076"/>
      <c r="E17" s="1373"/>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c r="E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hyperlinks>
    <hyperlink ref="E16" location="'Report-SOF1718'!A1" display="'Report-SOF1718'!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28515625" customWidth="1"/>
    <col min="3" max="3" width="12.85546875" style="1094" customWidth="1"/>
    <col min="4" max="4" width="29.7109375" customWidth="1"/>
    <col min="5" max="5" width="23.140625" bestFit="1" customWidth="1"/>
  </cols>
  <sheetData>
    <row r="1" spans="1:5">
      <c r="A1" s="1074" t="s">
        <v>3411</v>
      </c>
      <c r="B1" s="1074"/>
      <c r="E1" s="1773" t="str">
        <f>'Report-FSF1718'!E1</f>
        <v>84th/85th Legislative Session</v>
      </c>
    </row>
    <row r="2" spans="1:5">
      <c r="A2" s="1074" t="s">
        <v>3412</v>
      </c>
      <c r="B2" s="1074"/>
      <c r="E2" s="98" t="str">
        <f>'Report-FSF1718'!E2</f>
        <v>Release 2</v>
      </c>
    </row>
    <row r="3" spans="1:5">
      <c r="A3" s="89"/>
      <c r="B3" s="89"/>
      <c r="E3" s="82">
        <f>'Report-FSF1718'!E3</f>
        <v>43145</v>
      </c>
    </row>
    <row r="4" spans="1:5" ht="15.75">
      <c r="A4" s="1075" t="s">
        <v>3856</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Weights!J10</f>
        <v>5</v>
      </c>
      <c r="D10" s="1081">
        <f>'Data Entry - SOF'!G20</f>
        <v>0</v>
      </c>
      <c r="E10" s="1086">
        <f>D10*C10</f>
        <v>0</v>
      </c>
    </row>
    <row r="11" spans="1:5" ht="15">
      <c r="A11" s="1079" t="s">
        <v>2502</v>
      </c>
      <c r="B11" s="1080" t="s">
        <v>3187</v>
      </c>
      <c r="C11" s="1096">
        <f>Weights!J11</f>
        <v>3</v>
      </c>
      <c r="D11" s="1081">
        <f>'Data Entry - SOF'!G21</f>
        <v>0</v>
      </c>
      <c r="E11" s="1086">
        <f t="shared" ref="E11:E19" si="0">D11*C11</f>
        <v>0</v>
      </c>
    </row>
    <row r="12" spans="1:5" ht="15">
      <c r="A12" s="1079" t="s">
        <v>2503</v>
      </c>
      <c r="B12" s="1080" t="s">
        <v>3188</v>
      </c>
      <c r="C12" s="1096">
        <f>Weights!J12</f>
        <v>5</v>
      </c>
      <c r="D12" s="1081">
        <f>'Data Entry - SOF'!G22</f>
        <v>0</v>
      </c>
      <c r="E12" s="1086">
        <f t="shared" si="0"/>
        <v>0</v>
      </c>
    </row>
    <row r="13" spans="1:5" ht="15">
      <c r="A13" s="1079" t="s">
        <v>1024</v>
      </c>
      <c r="B13" s="1080" t="s">
        <v>3189</v>
      </c>
      <c r="C13" s="1096">
        <f>Weights!J13</f>
        <v>3</v>
      </c>
      <c r="D13" s="1081">
        <f>'Data Entry - SOF'!G23</f>
        <v>0</v>
      </c>
      <c r="E13" s="1086">
        <f t="shared" si="0"/>
        <v>0</v>
      </c>
    </row>
    <row r="14" spans="1:5" ht="15">
      <c r="A14" s="1113"/>
      <c r="B14" s="1097" t="s">
        <v>3190</v>
      </c>
      <c r="C14" s="1092"/>
      <c r="D14" s="1098"/>
      <c r="E14" s="1101"/>
    </row>
    <row r="15" spans="1:5" ht="15">
      <c r="A15" s="1301" t="s">
        <v>1025</v>
      </c>
      <c r="B15" s="1099" t="s">
        <v>3191</v>
      </c>
      <c r="C15" s="1093">
        <f>Weights!J14</f>
        <v>3</v>
      </c>
      <c r="D15" s="1100">
        <f>'Data Entry - SOF'!G24</f>
        <v>0</v>
      </c>
      <c r="E15" s="1100">
        <f t="shared" si="0"/>
        <v>0</v>
      </c>
    </row>
    <row r="16" spans="1:5" ht="15">
      <c r="A16" s="1079" t="s">
        <v>1027</v>
      </c>
      <c r="B16" s="1080" t="s">
        <v>3192</v>
      </c>
      <c r="C16" s="1096">
        <f>Weights!J15</f>
        <v>2.7</v>
      </c>
      <c r="D16" s="1086">
        <f>'Data Entry - SOF'!G25</f>
        <v>0</v>
      </c>
      <c r="E16" s="1086">
        <f t="shared" si="0"/>
        <v>0</v>
      </c>
    </row>
    <row r="17" spans="1:5" ht="15">
      <c r="A17" s="1079" t="s">
        <v>1028</v>
      </c>
      <c r="B17" s="1080" t="s">
        <v>3193</v>
      </c>
      <c r="C17" s="1096">
        <f>Weights!J16</f>
        <v>2.2999999999999998</v>
      </c>
      <c r="D17" s="1086">
        <f>'Data Entry - SOF'!G26</f>
        <v>0</v>
      </c>
      <c r="E17" s="1086">
        <f t="shared" si="0"/>
        <v>0</v>
      </c>
    </row>
    <row r="18" spans="1:5" ht="15">
      <c r="A18" s="1079" t="s">
        <v>1029</v>
      </c>
      <c r="B18" s="1080" t="s">
        <v>3194</v>
      </c>
      <c r="C18" s="1096">
        <f>Weights!J17</f>
        <v>2.8</v>
      </c>
      <c r="D18" s="1086">
        <f>'Data Entry - SOF'!G27</f>
        <v>0</v>
      </c>
      <c r="E18" s="1086">
        <f t="shared" si="0"/>
        <v>0</v>
      </c>
    </row>
    <row r="19" spans="1:5" ht="15">
      <c r="A19" s="1079" t="s">
        <v>139</v>
      </c>
      <c r="B19" s="1080" t="s">
        <v>3195</v>
      </c>
      <c r="C19" s="1096">
        <f>Weights!J19</f>
        <v>4</v>
      </c>
      <c r="D19" s="1086">
        <f>'Data Entry - SOF'!G29</f>
        <v>0</v>
      </c>
      <c r="E19" s="1086">
        <f t="shared" si="0"/>
        <v>0</v>
      </c>
    </row>
    <row r="20" spans="1:5" ht="15.75">
      <c r="A20" s="1079" t="s">
        <v>140</v>
      </c>
      <c r="B20" s="1080" t="s">
        <v>3201</v>
      </c>
      <c r="C20" s="1096" t="s">
        <v>1994</v>
      </c>
      <c r="D20" s="1086">
        <f>'Calc Data-SB1'!E8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Weights!J18</f>
        <v>1.7</v>
      </c>
      <c r="D22" s="1086">
        <f>'Data Entry - SOF'!G28</f>
        <v>0</v>
      </c>
      <c r="E22" s="1096" t="s">
        <v>1994</v>
      </c>
    </row>
    <row r="23" spans="1:5" ht="15">
      <c r="A23" s="1079" t="s">
        <v>1706</v>
      </c>
      <c r="B23" s="1080" t="s">
        <v>584</v>
      </c>
      <c r="C23" s="1096">
        <f>Weights!J21</f>
        <v>1.1000000000000001</v>
      </c>
      <c r="D23" s="1086">
        <f>'Data Entry - SOF'!G31</f>
        <v>0</v>
      </c>
      <c r="E23" s="1096" t="s">
        <v>1994</v>
      </c>
    </row>
    <row r="24" spans="1:5" s="1076" customFormat="1" ht="15.75">
      <c r="C24" s="1195" t="s">
        <v>3392</v>
      </c>
      <c r="D24" s="1194" t="s">
        <v>3869</v>
      </c>
    </row>
    <row r="25" spans="1:5" s="1076" customFormat="1" ht="15">
      <c r="C25" s="1193"/>
      <c r="D25"/>
    </row>
    <row r="27" spans="1:5" ht="15">
      <c r="A27" s="1102" t="s">
        <v>3585</v>
      </c>
    </row>
  </sheetData>
  <hyperlinks>
    <hyperlink ref="D24" location="'Report-SOF1819'!A1" display="'Report-SOF1819'!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heetViews>
  <sheetFormatPr defaultRowHeight="12.75"/>
  <cols>
    <col min="1" max="1" width="3.85546875" customWidth="1"/>
    <col min="2" max="2" width="83.140625" customWidth="1"/>
    <col min="3" max="3" width="23.140625" customWidth="1"/>
    <col min="4" max="4" width="11.7109375" bestFit="1" customWidth="1"/>
  </cols>
  <sheetData>
    <row r="1" spans="1:3">
      <c r="A1" s="1074" t="s">
        <v>3411</v>
      </c>
      <c r="C1" s="1773" t="str">
        <f>'Report-SpEd1819'!E1</f>
        <v>84th/85th Legislative Session</v>
      </c>
    </row>
    <row r="2" spans="1:3">
      <c r="A2" s="1074" t="s">
        <v>3412</v>
      </c>
      <c r="C2" s="98" t="str">
        <f>'Report-SpEd1819'!E2</f>
        <v>Release 2</v>
      </c>
    </row>
    <row r="3" spans="1:3">
      <c r="A3" s="89"/>
      <c r="C3" s="82">
        <f>'Report-SpEd1819'!E3</f>
        <v>43145</v>
      </c>
    </row>
    <row r="4" spans="1:3" ht="15.75">
      <c r="A4" s="1075" t="s">
        <v>3857</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3910</v>
      </c>
      <c r="C11" s="1085">
        <f>'Data Entry - SOF'!G59</f>
        <v>0</v>
      </c>
    </row>
    <row r="12" spans="1:3" ht="15">
      <c r="A12" s="1095" t="s">
        <v>2502</v>
      </c>
      <c r="B12" s="1080" t="s">
        <v>3916</v>
      </c>
      <c r="C12" s="1085">
        <f>IFA!R79</f>
        <v>0</v>
      </c>
    </row>
    <row r="13" spans="1:3" ht="15">
      <c r="A13" s="1095" t="s">
        <v>2503</v>
      </c>
      <c r="B13" s="1080" t="s">
        <v>3917</v>
      </c>
      <c r="C13" s="1234" t="s">
        <v>3450</v>
      </c>
    </row>
    <row r="14" spans="1:3" ht="15.75">
      <c r="A14" s="1095" t="s">
        <v>1024</v>
      </c>
      <c r="B14" s="1078" t="s">
        <v>3918</v>
      </c>
      <c r="C14" s="1090">
        <f>'Calc Data-SB1'!E47</f>
        <v>0</v>
      </c>
    </row>
    <row r="15" spans="1:3" ht="15">
      <c r="A15" s="1095" t="s">
        <v>1025</v>
      </c>
      <c r="B15" s="1080" t="s">
        <v>3915</v>
      </c>
      <c r="C15" s="1103">
        <f>'Data Entry - SOF'!G58</f>
        <v>0</v>
      </c>
    </row>
    <row r="16" spans="1:3" ht="15">
      <c r="A16" s="1095" t="s">
        <v>1027</v>
      </c>
      <c r="B16" s="1080" t="s">
        <v>3203</v>
      </c>
      <c r="C16" s="1085" t="e">
        <f>'Calc Data-SB1'!E29</f>
        <v>#DIV/0!</v>
      </c>
    </row>
    <row r="17" spans="1:4" ht="15">
      <c r="A17" s="1095" t="s">
        <v>1028</v>
      </c>
      <c r="B17" s="1080" t="s">
        <v>3124</v>
      </c>
      <c r="C17" s="1103">
        <f>'Data Entry - SOF'!C113</f>
        <v>0</v>
      </c>
    </row>
    <row r="18" spans="1:4" ht="15">
      <c r="A18" s="1095" t="s">
        <v>1029</v>
      </c>
      <c r="B18" s="1080" t="s">
        <v>3211</v>
      </c>
      <c r="C18" s="1085" t="e">
        <f>'Calc Data-SB1'!AJ32</f>
        <v>#DIV/0!</v>
      </c>
    </row>
    <row r="19" spans="1:4" ht="15">
      <c r="A19" s="1095" t="s">
        <v>139</v>
      </c>
      <c r="B19" s="1080" t="s">
        <v>3204</v>
      </c>
      <c r="C19" s="1103" t="e">
        <f>'Calc Data-SB1'!E35</f>
        <v>#DIV/0!</v>
      </c>
    </row>
    <row r="20" spans="1:4" ht="15">
      <c r="A20" s="1095" t="s">
        <v>140</v>
      </c>
      <c r="B20" s="1080" t="s">
        <v>3205</v>
      </c>
      <c r="C20" s="1085" t="e">
        <f>'Calc Data-SB1'!E34</f>
        <v>#DIV/0!</v>
      </c>
      <c r="D20" s="1223"/>
    </row>
    <row r="21" spans="1:4" ht="15">
      <c r="A21" s="1095" t="s">
        <v>141</v>
      </c>
      <c r="B21" s="1080" t="s">
        <v>3206</v>
      </c>
      <c r="C21" s="1085" t="e">
        <f>'Calc Data-SB1'!AJ31</f>
        <v>#DIV/0!</v>
      </c>
    </row>
    <row r="22" spans="1:4" ht="15">
      <c r="A22" s="1095" t="s">
        <v>142</v>
      </c>
      <c r="B22" s="1080" t="s">
        <v>3210</v>
      </c>
      <c r="C22" s="1103" t="e">
        <f>'Calc Data-SB1'!AJ33</f>
        <v>#DIV/0!</v>
      </c>
    </row>
    <row r="23" spans="1:4" s="1076" customFormat="1" ht="15.75">
      <c r="B23" s="1195" t="s">
        <v>3392</v>
      </c>
      <c r="C23" s="1194" t="s">
        <v>3869</v>
      </c>
    </row>
    <row r="26" spans="1:4" ht="15.75">
      <c r="B26" s="961" t="s">
        <v>3452</v>
      </c>
    </row>
    <row r="27" spans="1:4" ht="15.75">
      <c r="B27" s="961" t="s">
        <v>3451</v>
      </c>
    </row>
  </sheetData>
  <hyperlinks>
    <hyperlink ref="C23" location="'Report-SOF1819'!A1" display="'Report-SOF1819'!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5703125" customWidth="1"/>
  </cols>
  <sheetData>
    <row r="1" spans="1:4">
      <c r="A1" s="1074" t="s">
        <v>3411</v>
      </c>
      <c r="D1" s="1773" t="str">
        <f>'Report-M&amp;O1819'!C1</f>
        <v>84th/85th Legislative Session</v>
      </c>
    </row>
    <row r="2" spans="1:4">
      <c r="A2" s="1074" t="s">
        <v>3412</v>
      </c>
      <c r="D2" s="98" t="str">
        <f>'Report-M&amp;O1819'!C2</f>
        <v>Release 2</v>
      </c>
    </row>
    <row r="3" spans="1:4">
      <c r="A3" s="89"/>
      <c r="D3" s="82">
        <f>'Report-M&amp;O1819'!C3</f>
        <v>43145</v>
      </c>
    </row>
    <row r="4" spans="1:4" ht="15.75">
      <c r="A4" s="1075" t="s">
        <v>3858</v>
      </c>
    </row>
    <row r="5" spans="1:4" ht="15.75">
      <c r="A5" s="1077">
        <f>'Data Entry - SOF'!B1</f>
        <v>0</v>
      </c>
    </row>
    <row r="6" spans="1:4" ht="15.75">
      <c r="A6" s="1075">
        <f>'Data Entry - SOF'!B2</f>
        <v>0</v>
      </c>
    </row>
    <row r="9" spans="1:4" ht="18">
      <c r="A9" s="880"/>
      <c r="B9" s="1104" t="s">
        <v>1057</v>
      </c>
      <c r="C9" s="1105">
        <f>'Data Entry - SOF'!G109</f>
        <v>0</v>
      </c>
      <c r="D9" s="880"/>
    </row>
    <row r="10" spans="1:4" ht="18">
      <c r="A10" s="880"/>
      <c r="B10" s="1104" t="s">
        <v>3212</v>
      </c>
      <c r="C10" s="1104" t="str">
        <f>'Data Entry - SOF'!G167</f>
        <v>No</v>
      </c>
      <c r="D10" s="880"/>
    </row>
    <row r="11" spans="1:4" ht="18">
      <c r="A11" s="880"/>
      <c r="B11" s="1104" t="s">
        <v>3213</v>
      </c>
      <c r="C11" s="1104" t="str">
        <f>'Data Entry - SOF'!G168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Data-SB1'!AJ19</f>
        <v>0</v>
      </c>
    </row>
    <row r="16" spans="1:4" ht="15">
      <c r="A16" s="1079" t="s">
        <v>2502</v>
      </c>
      <c r="B16" s="1080" t="s">
        <v>3216</v>
      </c>
      <c r="C16" s="1080"/>
      <c r="D16" s="1085">
        <f>'Calc Data-SB1'!AJ20</f>
        <v>0</v>
      </c>
    </row>
    <row r="17" spans="1:4" ht="15">
      <c r="A17" s="1079" t="s">
        <v>2503</v>
      </c>
      <c r="B17" s="1080" t="s">
        <v>3217</v>
      </c>
      <c r="C17" s="1080"/>
      <c r="D17" s="1106" t="str">
        <f>'Calc Data-SB1'!E49</f>
        <v>N/A</v>
      </c>
    </row>
    <row r="18" spans="1:4" ht="15">
      <c r="A18" s="1079" t="s">
        <v>1024</v>
      </c>
      <c r="B18" s="1080" t="s">
        <v>3218</v>
      </c>
      <c r="C18" s="1080"/>
      <c r="D18" s="1206" t="str">
        <f>'Calc Data-SB1'!E50</f>
        <v>N/A</v>
      </c>
    </row>
    <row r="19" spans="1:4" ht="15">
      <c r="A19" s="1079" t="s">
        <v>1025</v>
      </c>
      <c r="B19" s="1080" t="s">
        <v>3219</v>
      </c>
      <c r="C19" s="1080"/>
      <c r="D19" s="1085">
        <f>'Calc Data-SB1'!AJ23</f>
        <v>0</v>
      </c>
    </row>
    <row r="20" spans="1:4" s="1076" customFormat="1" ht="15.75">
      <c r="B20" s="1195" t="s">
        <v>3392</v>
      </c>
      <c r="D20" s="1194" t="s">
        <v>3869</v>
      </c>
    </row>
  </sheetData>
  <hyperlinks>
    <hyperlink ref="D20" location="'Report-SOF1819'!A1" display="'Report-SOF1819'!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'Report-AA1819'!D1</f>
        <v>84th/85th Legislative Session</v>
      </c>
    </row>
    <row r="2" spans="1:4">
      <c r="A2" s="1074" t="s">
        <v>3412</v>
      </c>
      <c r="D2" s="98" t="str">
        <f>'Report-AA1819'!D2</f>
        <v>Release 2</v>
      </c>
    </row>
    <row r="3" spans="1:4">
      <c r="A3" s="89"/>
      <c r="D3" s="82">
        <f>'Report-AA1819'!D3</f>
        <v>43145</v>
      </c>
    </row>
    <row r="4" spans="1:4" ht="15.75">
      <c r="A4" s="1075" t="s">
        <v>3859</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Weights!J4</f>
        <v>1</v>
      </c>
      <c r="C11" s="1086">
        <f>'Calc Data-SB1'!E10</f>
        <v>0</v>
      </c>
      <c r="D11" s="1085">
        <f>'SOF1819-SB1'!H21</f>
        <v>0</v>
      </c>
    </row>
    <row r="12" spans="1:4" s="1076" customFormat="1" ht="15.75">
      <c r="A12" s="1366" t="s">
        <v>3224</v>
      </c>
      <c r="B12" s="1290"/>
      <c r="C12" s="1290"/>
      <c r="D12" s="1291"/>
    </row>
    <row r="13" spans="1:4" s="1076" customFormat="1" ht="15">
      <c r="A13" s="1080" t="s">
        <v>3110</v>
      </c>
      <c r="B13" s="1106" t="s">
        <v>1994</v>
      </c>
      <c r="C13" s="1086">
        <f>'Calc Data-SB1'!E8</f>
        <v>0</v>
      </c>
      <c r="D13" s="1085">
        <f>'SOF1819-SB1'!H22</f>
        <v>0</v>
      </c>
    </row>
    <row r="14" spans="1:4" s="1076" customFormat="1" ht="15">
      <c r="A14" s="1080" t="s">
        <v>3226</v>
      </c>
      <c r="B14" s="1109">
        <f>Weights!J21</f>
        <v>1.1000000000000001</v>
      </c>
      <c r="C14" s="1086">
        <f>'Data Entry - SOF'!G31</f>
        <v>0</v>
      </c>
      <c r="D14" s="1085">
        <f>'SOF1819-SB1'!H24</f>
        <v>0</v>
      </c>
    </row>
    <row r="15" spans="1:4" s="1076" customFormat="1" ht="15">
      <c r="A15" s="1080" t="s">
        <v>3227</v>
      </c>
      <c r="B15" s="1109">
        <f>Weights!J19</f>
        <v>4</v>
      </c>
      <c r="C15" s="1086">
        <f>'Data Entry - SOF'!G29</f>
        <v>0</v>
      </c>
      <c r="D15" s="1085">
        <f>'SOF1819-SB1'!H25</f>
        <v>0</v>
      </c>
    </row>
    <row r="16" spans="1:4" s="1076" customFormat="1" ht="15">
      <c r="A16" s="1080" t="s">
        <v>3194</v>
      </c>
      <c r="B16" s="1109">
        <f>Weights!J17</f>
        <v>2.8</v>
      </c>
      <c r="C16" s="1086">
        <f>'Data Entry - SOF'!G27</f>
        <v>0</v>
      </c>
      <c r="D16" s="1085">
        <f>'SOF1819-SB1'!H26</f>
        <v>0</v>
      </c>
    </row>
    <row r="17" spans="1:4" s="1076" customFormat="1" ht="15">
      <c r="A17" s="1080" t="s">
        <v>3197</v>
      </c>
      <c r="B17" s="1109">
        <f>Weights!J18</f>
        <v>1.7</v>
      </c>
      <c r="C17" s="1086">
        <f>'Data Entry - SOF'!G28</f>
        <v>0</v>
      </c>
      <c r="D17" s="1085">
        <f>'SOF1819-SB1'!H27</f>
        <v>0</v>
      </c>
    </row>
    <row r="18" spans="1:4" s="1076" customFormat="1" ht="15">
      <c r="A18" s="1097" t="s">
        <v>3228</v>
      </c>
      <c r="B18" s="1097"/>
      <c r="C18" s="1097"/>
      <c r="D18" s="1108"/>
    </row>
    <row r="19" spans="1:4" s="1076" customFormat="1" ht="15">
      <c r="A19" s="1099" t="s">
        <v>3229</v>
      </c>
      <c r="B19" s="1111" t="s">
        <v>1994</v>
      </c>
      <c r="C19" s="1111" t="s">
        <v>1994</v>
      </c>
      <c r="D19" s="1110">
        <f>'SOF1819-SB1'!H28</f>
        <v>0</v>
      </c>
    </row>
    <row r="20" spans="1:4" s="1076" customFormat="1" ht="15">
      <c r="A20" s="1080" t="s">
        <v>3230</v>
      </c>
      <c r="B20" s="1106" t="s">
        <v>1994</v>
      </c>
      <c r="C20" s="1106" t="s">
        <v>1994</v>
      </c>
      <c r="D20" s="1085">
        <f>'SOF1819-SB1'!H132</f>
        <v>0</v>
      </c>
    </row>
    <row r="21" spans="1:4" s="1076" customFormat="1" ht="15.75">
      <c r="A21" s="1366" t="s">
        <v>3233</v>
      </c>
      <c r="B21" s="1290"/>
      <c r="C21" s="1290"/>
      <c r="D21" s="1291"/>
    </row>
    <row r="22" spans="1:4" ht="15">
      <c r="A22" s="1080" t="s">
        <v>3234</v>
      </c>
      <c r="B22" s="1112">
        <f>Weights!J23</f>
        <v>1.35</v>
      </c>
      <c r="C22" s="1086">
        <f>'Data Entry - SOF'!G32</f>
        <v>0</v>
      </c>
      <c r="D22" s="1085">
        <f>'SOF1819-SB1'!H29</f>
        <v>0</v>
      </c>
    </row>
    <row r="23" spans="1:4" ht="15">
      <c r="A23" s="1080" t="s">
        <v>3235</v>
      </c>
      <c r="B23" s="1085">
        <f>Weights!J24</f>
        <v>50</v>
      </c>
      <c r="C23" s="1086">
        <f>'Data Entry - SOF'!G33</f>
        <v>0</v>
      </c>
      <c r="D23" s="1085">
        <f>'SOF1819-SB1'!H30</f>
        <v>0</v>
      </c>
    </row>
    <row r="24" spans="1:4" ht="15">
      <c r="A24" s="1080" t="s">
        <v>3236</v>
      </c>
      <c r="B24" s="1106" t="s">
        <v>1994</v>
      </c>
      <c r="C24" s="1106" t="s">
        <v>1994</v>
      </c>
      <c r="D24" s="1085">
        <f>'SOF1819-SB1'!H133</f>
        <v>0</v>
      </c>
    </row>
    <row r="25" spans="1:4" s="1076" customFormat="1" ht="15.75">
      <c r="A25" s="1366" t="s">
        <v>3237</v>
      </c>
      <c r="B25" s="1290"/>
      <c r="C25" s="1290"/>
      <c r="D25" s="1291"/>
    </row>
    <row r="26" spans="1:4" ht="15">
      <c r="A26" s="1080" t="s">
        <v>3238</v>
      </c>
      <c r="B26" s="1112">
        <f>Weights!J28</f>
        <v>0.12</v>
      </c>
      <c r="C26" s="1086">
        <f>'Data Entry - SOF'!G40</f>
        <v>0</v>
      </c>
      <c r="D26" s="1085">
        <f>'SOF1819-SB1'!H33</f>
        <v>0</v>
      </c>
    </row>
    <row r="27" spans="1:4" ht="15">
      <c r="A27" s="1080" t="s">
        <v>3239</v>
      </c>
      <c r="B27" s="1106" t="s">
        <v>1994</v>
      </c>
      <c r="C27" s="1106" t="s">
        <v>1994</v>
      </c>
      <c r="D27" s="1085">
        <f>'SOF1819-SB1'!H34</f>
        <v>0</v>
      </c>
    </row>
    <row r="28" spans="1:4" ht="15">
      <c r="A28" s="1080" t="s">
        <v>3240</v>
      </c>
      <c r="B28" s="1106" t="s">
        <v>1994</v>
      </c>
      <c r="C28" s="1106" t="s">
        <v>1994</v>
      </c>
      <c r="D28" s="1085">
        <f>'SOF1819-SB1'!H134</f>
        <v>0</v>
      </c>
    </row>
    <row r="29" spans="1:4" s="1076" customFormat="1" ht="15.75">
      <c r="A29" s="1366" t="s">
        <v>3241</v>
      </c>
      <c r="B29" s="1290"/>
      <c r="C29" s="1290"/>
      <c r="D29" s="1291"/>
    </row>
    <row r="30" spans="1:4" ht="15">
      <c r="A30" s="1080" t="s">
        <v>3242</v>
      </c>
      <c r="B30" s="1112">
        <f>Weights!J30</f>
        <v>0.2</v>
      </c>
      <c r="C30" s="1086">
        <f>'Data Entry - SOF'!G36</f>
        <v>0</v>
      </c>
      <c r="D30" s="1085">
        <f>'SOF1819-SB1'!H35</f>
        <v>0</v>
      </c>
    </row>
    <row r="31" spans="1:4" ht="15">
      <c r="A31" s="1080" t="s">
        <v>3475</v>
      </c>
      <c r="B31" s="1112">
        <f>Weights!J31</f>
        <v>2.41</v>
      </c>
      <c r="C31" s="1086">
        <f>'Data Entry - SOF'!G37</f>
        <v>0</v>
      </c>
      <c r="D31" s="1085">
        <f>'SOF1819-SB1'!H36</f>
        <v>0</v>
      </c>
    </row>
    <row r="32" spans="1:4" ht="15">
      <c r="A32" s="1080" t="s">
        <v>3476</v>
      </c>
      <c r="B32" s="1106" t="s">
        <v>1994</v>
      </c>
      <c r="C32" s="1106" t="s">
        <v>1994</v>
      </c>
      <c r="D32" s="1085">
        <f>'SOF1819-SB1'!H135</f>
        <v>0</v>
      </c>
    </row>
    <row r="33" spans="1:4" s="1076" customFormat="1" ht="15.75">
      <c r="A33" s="1366" t="s">
        <v>3243</v>
      </c>
      <c r="B33" s="1290"/>
      <c r="C33" s="1290"/>
      <c r="D33" s="1291"/>
    </row>
    <row r="34" spans="1:4" s="1076" customFormat="1" ht="15">
      <c r="A34" s="1080" t="s">
        <v>2792</v>
      </c>
      <c r="B34" s="1085">
        <f>Weights!J33</f>
        <v>275</v>
      </c>
      <c r="C34" s="1086">
        <f>'Data Entry - SOF'!G18</f>
        <v>0</v>
      </c>
      <c r="D34" s="1085">
        <f>'SOF1819-SB1'!H40</f>
        <v>0</v>
      </c>
    </row>
    <row r="35" spans="1:4" s="1076" customFormat="1" ht="15.75">
      <c r="A35" s="1366" t="s">
        <v>3246</v>
      </c>
      <c r="B35" s="1290"/>
      <c r="C35" s="1290"/>
      <c r="D35" s="1291"/>
    </row>
    <row r="36" spans="1:4" s="1076" customFormat="1" ht="15">
      <c r="A36" s="1080" t="s">
        <v>3244</v>
      </c>
      <c r="B36" s="1112">
        <f>Weights!J26</f>
        <v>0.1</v>
      </c>
      <c r="C36" s="1086">
        <f>'Data Entry - SOF'!G39</f>
        <v>0</v>
      </c>
      <c r="D36" s="1085">
        <f>'SOF1819-SB1'!H39</f>
        <v>0</v>
      </c>
    </row>
    <row r="37" spans="1:4" s="1076" customFormat="1" ht="15.75">
      <c r="A37" s="1366" t="s">
        <v>3245</v>
      </c>
      <c r="B37" s="1290"/>
      <c r="C37" s="1290"/>
      <c r="D37" s="1291"/>
    </row>
    <row r="38" spans="1:4" s="1076" customFormat="1" ht="15">
      <c r="A38" s="1080" t="s">
        <v>3247</v>
      </c>
      <c r="B38" s="1112">
        <f>Weights!J37</f>
        <v>0.1</v>
      </c>
      <c r="C38" s="1086">
        <f>'Data Entry - SOF'!G41</f>
        <v>0</v>
      </c>
      <c r="D38" s="1085">
        <f>'SOF1819-SB1'!H41</f>
        <v>0</v>
      </c>
    </row>
    <row r="39" spans="1:4" s="1076" customFormat="1" ht="15.75">
      <c r="C39" s="1195" t="s">
        <v>3393</v>
      </c>
      <c r="D39" s="1194" t="s">
        <v>3869</v>
      </c>
    </row>
    <row r="41" spans="1:4" ht="15">
      <c r="D41" s="1076"/>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c r="D46"/>
    </row>
  </sheetData>
  <hyperlinks>
    <hyperlink ref="D39" location="'Report-SOF1819'!A1" display="'Report-SOF1819'!A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'Report-T1Detail1819'!D1</f>
        <v>84th/85th Legislative Session</v>
      </c>
    </row>
    <row r="2" spans="1:4">
      <c r="A2" s="1074" t="s">
        <v>3412</v>
      </c>
      <c r="C2" s="1074"/>
      <c r="D2" s="98" t="str">
        <f>'Report-T1Detail1819'!D2</f>
        <v>Release 2</v>
      </c>
    </row>
    <row r="3" spans="1:4">
      <c r="A3" s="89"/>
      <c r="C3" s="89"/>
      <c r="D3" s="82">
        <f>'Report-T1Detail1819'!D3</f>
        <v>43145</v>
      </c>
    </row>
    <row r="4" spans="1:4" ht="15.75">
      <c r="A4" s="1075" t="s">
        <v>3860</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Data-SB1'!E25</f>
        <v>#DIV/0!</v>
      </c>
    </row>
    <row r="11" spans="1:4" s="1076" customFormat="1" ht="18">
      <c r="A11" s="1366" t="s">
        <v>3250</v>
      </c>
      <c r="B11" s="1346"/>
      <c r="C11" s="1294"/>
      <c r="D11" s="1291"/>
    </row>
    <row r="12" spans="1:4" s="1076" customFormat="1" ht="15">
      <c r="A12" s="1079" t="s">
        <v>2502</v>
      </c>
      <c r="B12" s="1080" t="s">
        <v>3579</v>
      </c>
      <c r="C12" s="1080"/>
      <c r="D12" s="1085" t="e">
        <f>'Calc Data-SB1'!E34</f>
        <v>#DIV/0!</v>
      </c>
    </row>
    <row r="13" spans="1:4" s="1076" customFormat="1" ht="15">
      <c r="A13" s="1079" t="s">
        <v>2503</v>
      </c>
      <c r="B13" s="1080" t="s">
        <v>3926</v>
      </c>
      <c r="C13" s="1080"/>
      <c r="D13" s="1084" t="e">
        <f>'Calc Data-SB1'!E35</f>
        <v>#DIV/0!</v>
      </c>
    </row>
    <row r="14" spans="1:4" s="1076" customFormat="1" ht="15">
      <c r="A14" s="1079" t="s">
        <v>3592</v>
      </c>
      <c r="B14" s="1080" t="str">
        <f>CONCATENATE("Level 1 Entitlement @ $",Assumptions!G110,"")</f>
        <v>Level 1 Entitlement @ $106.28</v>
      </c>
      <c r="C14" s="1080"/>
      <c r="D14" s="1085" t="e">
        <f>'SOF1819-SB1'!F136</f>
        <v>#DIV/0!</v>
      </c>
    </row>
    <row r="15" spans="1:4" s="1076" customFormat="1" ht="15">
      <c r="A15" s="1079" t="s">
        <v>1025</v>
      </c>
      <c r="B15" s="1080" t="s">
        <v>3927</v>
      </c>
      <c r="C15" s="1080"/>
      <c r="D15" s="1085" t="e">
        <f>'Calc Data-SB1'!E42*-1</f>
        <v>#DIV/0!</v>
      </c>
    </row>
    <row r="16" spans="1:4" s="1076" customFormat="1" ht="15">
      <c r="A16" s="1079" t="s">
        <v>1027</v>
      </c>
      <c r="B16" s="1080" t="str">
        <f>CONCATENATE("GYA ($",Assumptions!G110," * WADA * DTR_1 * 100) - LR")</f>
        <v>GYA ($106.28 * WADA * DTR_1 * 100) - LR</v>
      </c>
      <c r="C16" s="1080"/>
      <c r="D16" s="1085" t="e">
        <f>'SOF1819-SB1'!F52</f>
        <v>#DIV/0!</v>
      </c>
    </row>
    <row r="17" spans="1:4" s="1076" customFormat="1" ht="18">
      <c r="A17" s="1366" t="s">
        <v>3252</v>
      </c>
      <c r="B17" s="1346"/>
      <c r="C17" s="1294"/>
      <c r="D17" s="1291"/>
    </row>
    <row r="18" spans="1:4" s="1076" customFormat="1" ht="15">
      <c r="A18" s="1079" t="s">
        <v>1028</v>
      </c>
      <c r="B18" s="1080" t="s">
        <v>3580</v>
      </c>
      <c r="C18" s="1080"/>
      <c r="D18" s="1085" t="e">
        <f>'Calc Data-SB1'!AJ31</f>
        <v>#DIV/0!</v>
      </c>
    </row>
    <row r="19" spans="1:4" s="1076" customFormat="1" ht="15">
      <c r="A19" s="1079" t="s">
        <v>1029</v>
      </c>
      <c r="B19" s="1080" t="s">
        <v>3928</v>
      </c>
      <c r="C19" s="1080"/>
      <c r="D19" s="1084" t="e">
        <f>'Calc Data-SB1'!AJ29</f>
        <v>#DIV/0!</v>
      </c>
    </row>
    <row r="20" spans="1:4" s="1076" customFormat="1" ht="15">
      <c r="A20" s="1079" t="s">
        <v>139</v>
      </c>
      <c r="B20" s="1080" t="str">
        <f>CONCATENATE("Level 2 Entitlement @ $",Assumptions!G111,"")</f>
        <v>Level 2 Entitlement @ $31.95</v>
      </c>
      <c r="C20" s="1080"/>
      <c r="D20" s="1085" t="e">
        <f>'SOF1819-SB1'!H137</f>
        <v>#DIV/0!</v>
      </c>
    </row>
    <row r="21" spans="1:4" s="1076" customFormat="1" ht="15">
      <c r="A21" s="1079" t="s">
        <v>140</v>
      </c>
      <c r="B21" s="1080" t="s">
        <v>3929</v>
      </c>
      <c r="C21" s="1080"/>
      <c r="D21" s="1085" t="e">
        <f>'Calc Data-SB1'!AJ33*-1</f>
        <v>#DIV/0!</v>
      </c>
    </row>
    <row r="22" spans="1:4" s="1076" customFormat="1" ht="15">
      <c r="A22" s="1079" t="s">
        <v>141</v>
      </c>
      <c r="B22" s="1080" t="str">
        <f>CONCATENATE("GYA ($",Assumptions!G111," * WADA * DTR_1 * 100) - LR")</f>
        <v>GYA ($31.95 * WADA * DTR_1 * 100) - LR</v>
      </c>
      <c r="C22" s="1080"/>
      <c r="D22" s="1085" t="e">
        <f>'SOF1819-SB1'!H53</f>
        <v>#DIV/0!</v>
      </c>
    </row>
    <row r="23" spans="1:4" s="1076" customFormat="1" ht="15.75">
      <c r="A23" s="1079" t="s">
        <v>142</v>
      </c>
      <c r="B23" s="1078" t="s">
        <v>3581</v>
      </c>
      <c r="C23" s="1078"/>
      <c r="D23" s="1090" t="e">
        <f>'SOF1819-SB1'!H54</f>
        <v>#DIV/0!</v>
      </c>
    </row>
    <row r="24" spans="1:4" s="1076" customFormat="1" ht="15.75">
      <c r="B24" s="1195" t="s">
        <v>3392</v>
      </c>
      <c r="D24" s="1194" t="s">
        <v>3869</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c r="D31"/>
    </row>
  </sheetData>
  <hyperlinks>
    <hyperlink ref="D24" location="'Report-SOF1819'!A1" display="'Report-SOF1819'!A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1074" t="s">
        <v>3411</v>
      </c>
      <c r="C1" s="1773" t="str">
        <f>'Report-T2Detail1819'!D1</f>
        <v>84th/85th Legislative Session</v>
      </c>
    </row>
    <row r="2" spans="1:3">
      <c r="A2" s="1074" t="s">
        <v>3412</v>
      </c>
      <c r="C2" s="98" t="str">
        <f>'Report-T2Detail1819'!D2</f>
        <v>Release 2</v>
      </c>
    </row>
    <row r="3" spans="1:3">
      <c r="A3" s="89"/>
      <c r="C3" s="82">
        <f>'Report-T2Detail1819'!D3</f>
        <v>43145</v>
      </c>
    </row>
    <row r="4" spans="1:3" ht="15.75">
      <c r="A4" s="1075" t="s">
        <v>3890</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'ASATR-SB1'!I8</f>
        <v>0</v>
      </c>
    </row>
    <row r="12" spans="1:3" s="1076" customFormat="1" ht="15">
      <c r="A12" s="1079" t="s">
        <v>2502</v>
      </c>
      <c r="B12" s="1080" t="s">
        <v>3891</v>
      </c>
      <c r="C12" s="1086" t="e">
        <f>'Calc Data-SB1'!E25</f>
        <v>#DIV/0!</v>
      </c>
    </row>
    <row r="13" spans="1:3" s="1076" customFormat="1" ht="15">
      <c r="A13" s="1079" t="s">
        <v>2503</v>
      </c>
      <c r="B13" s="1080" t="s">
        <v>3892</v>
      </c>
      <c r="C13" s="1085" t="e">
        <f>'ASATR-SB1'!I50</f>
        <v>#DIV/0!</v>
      </c>
    </row>
    <row r="14" spans="1:3" s="1076" customFormat="1" ht="15">
      <c r="A14" s="1079" t="s">
        <v>1024</v>
      </c>
      <c r="B14" s="1080" t="str">
        <f>CONCATENATE("2018-19 Minimum Increase (Line 2 * $120 * ",Weights!G7,")")</f>
        <v>2018-19 Minimum Increase (Line 2 * $120 * 0.9263)</v>
      </c>
      <c r="C14" s="1085" t="e">
        <f>'ASATR-SB1'!I51</f>
        <v>#DIV/0!</v>
      </c>
    </row>
    <row r="15" spans="1:3" s="1076" customFormat="1" ht="15">
      <c r="A15" s="1079" t="s">
        <v>1025</v>
      </c>
      <c r="B15" s="1080" t="s">
        <v>3255</v>
      </c>
      <c r="C15" s="1085">
        <f>'ASATR-SB1'!I13</f>
        <v>0</v>
      </c>
    </row>
    <row r="16" spans="1:3" s="1076" customFormat="1" ht="15">
      <c r="A16" s="1079" t="s">
        <v>1027</v>
      </c>
      <c r="B16" s="1080" t="s">
        <v>3893</v>
      </c>
      <c r="C16" s="1085" t="e">
        <f>'ASATR-SB1'!I14</f>
        <v>#DIV/0!</v>
      </c>
    </row>
    <row r="17" spans="1:4" s="1076" customFormat="1" ht="15">
      <c r="A17" s="1297"/>
      <c r="B17" s="1290"/>
      <c r="C17" s="1291"/>
    </row>
    <row r="18" spans="1:4" s="1076" customFormat="1" ht="15">
      <c r="A18" s="1079" t="s">
        <v>1028</v>
      </c>
      <c r="B18" s="1080" t="s">
        <v>3258</v>
      </c>
      <c r="C18" s="1085">
        <f>'ASATR-SB1'!I15</f>
        <v>0</v>
      </c>
    </row>
    <row r="19" spans="1:4" s="1076" customFormat="1" ht="15">
      <c r="A19" s="1079" t="s">
        <v>1029</v>
      </c>
      <c r="B19" s="1080" t="s">
        <v>3259</v>
      </c>
      <c r="C19" s="1085">
        <f>'ASATR-SB1'!I16</f>
        <v>0</v>
      </c>
    </row>
    <row r="20" spans="1:4" s="1076" customFormat="1" ht="15">
      <c r="A20" s="1079" t="s">
        <v>139</v>
      </c>
      <c r="B20" s="1080" t="str">
        <f>CONCATENATE("2008-09 Educator Salary Increase ($23.63 * 2008-09 WADA * ",Weights!G7,")")</f>
        <v>2008-09 Educator Salary Increase ($23.63 * 2008-09 WADA * 0.9263)</v>
      </c>
      <c r="C20" s="1085">
        <f>'ASATR-SB1'!I18</f>
        <v>0</v>
      </c>
    </row>
    <row r="21" spans="1:4" s="1076" customFormat="1" ht="15.75">
      <c r="A21" s="1079" t="s">
        <v>140</v>
      </c>
      <c r="B21" s="1078" t="s">
        <v>3894</v>
      </c>
      <c r="C21" s="1085" t="e">
        <f>'ASATR-SB1'!I20</f>
        <v>#DIV/0!</v>
      </c>
    </row>
    <row r="22" spans="1:4" s="1076" customFormat="1" ht="15">
      <c r="A22" s="1297"/>
      <c r="B22" s="1290"/>
      <c r="C22" s="1291"/>
    </row>
    <row r="23" spans="1:4" s="1076" customFormat="1" ht="15">
      <c r="A23" s="1079" t="s">
        <v>141</v>
      </c>
      <c r="B23" s="1080" t="s">
        <v>3895</v>
      </c>
      <c r="C23" s="1085">
        <f>'ASATR-SB1'!I37</f>
        <v>0</v>
      </c>
    </row>
    <row r="24" spans="1:4" s="1076" customFormat="1" ht="15">
      <c r="A24" s="1079" t="s">
        <v>142</v>
      </c>
      <c r="B24" s="1080" t="s">
        <v>3896</v>
      </c>
      <c r="C24" s="1085" t="e">
        <f>'ASATR-SB1'!I38</f>
        <v>#DIV/0!</v>
      </c>
    </row>
    <row r="25" spans="1:4" s="1076" customFormat="1" ht="15">
      <c r="A25" s="1079" t="s">
        <v>1706</v>
      </c>
      <c r="B25" s="1610" t="s">
        <v>3901</v>
      </c>
      <c r="C25" s="1085" t="e">
        <f>'ASATR-SB1'!I39</f>
        <v>#DIV/0!</v>
      </c>
    </row>
    <row r="26" spans="1:4" s="1076" customFormat="1" ht="15">
      <c r="A26" s="1079" t="s">
        <v>6</v>
      </c>
      <c r="B26" s="1080" t="s">
        <v>3897</v>
      </c>
      <c r="C26" s="1085" t="e">
        <f>'ASATR-SB1'!I40</f>
        <v>#DIV/0!</v>
      </c>
    </row>
    <row r="27" spans="1:4" s="1076" customFormat="1" ht="15">
      <c r="A27" s="1297"/>
      <c r="B27" s="1290"/>
      <c r="C27" s="1305"/>
    </row>
    <row r="28" spans="1:4" s="1076" customFormat="1" ht="15.75">
      <c r="A28" s="1113" t="s">
        <v>2551</v>
      </c>
      <c r="B28" s="1097" t="s">
        <v>3448</v>
      </c>
      <c r="C28" s="1114" t="e">
        <f>'ASATR-SB1'!I42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3898</v>
      </c>
      <c r="C31" s="1085" t="e">
        <f>'ASATR-SB1'!I45</f>
        <v>#DIV/0!</v>
      </c>
    </row>
    <row r="32" spans="1:4" s="1076" customFormat="1" ht="15">
      <c r="A32" s="1095" t="s">
        <v>3122</v>
      </c>
      <c r="B32" s="1080" t="s">
        <v>3899</v>
      </c>
      <c r="C32" s="1085" t="e">
        <f>'ASATR-SB1'!I46</f>
        <v>#DIV/0!</v>
      </c>
    </row>
    <row r="33" spans="2:3" s="1076" customFormat="1" ht="15.75">
      <c r="B33" s="1195" t="s">
        <v>3405</v>
      </c>
      <c r="C33" s="1194" t="s">
        <v>3855</v>
      </c>
    </row>
    <row r="34" spans="2:3" s="1076" customFormat="1" ht="15"/>
    <row r="35" spans="2:3" s="1076" customFormat="1" ht="15"/>
    <row r="36" spans="2:3" s="1076" customFormat="1" ht="15"/>
    <row r="37" spans="2:3" s="1076" customFormat="1" ht="15">
      <c r="C37"/>
    </row>
    <row r="38" spans="2:3" s="1076"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'Report-ASATR1819'!C1</f>
        <v>84th/85th Legislative Session</v>
      </c>
    </row>
    <row r="2" spans="1:4" s="1076" customFormat="1" ht="15">
      <c r="A2" s="1074" t="s">
        <v>3412</v>
      </c>
      <c r="D2" s="98" t="str">
        <f>'Report-ASATR1819'!C2</f>
        <v>Release 2</v>
      </c>
    </row>
    <row r="3" spans="1:4" s="1076" customFormat="1" ht="15.75">
      <c r="A3" s="1075"/>
      <c r="D3" s="82">
        <f>'Report-ASATR1819'!C3</f>
        <v>43145</v>
      </c>
    </row>
    <row r="4" spans="1:4" s="1076" customFormat="1" ht="15.75">
      <c r="A4" s="1075" t="s">
        <v>3861</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SOF'!G75</f>
        <v>0</v>
      </c>
    </row>
    <row r="12" spans="1:4" s="1076" customFormat="1" ht="15.75">
      <c r="A12" s="1079" t="s">
        <v>2502</v>
      </c>
      <c r="B12" s="1080" t="s">
        <v>4742</v>
      </c>
      <c r="C12" s="1080"/>
      <c r="D12" s="1233" t="e">
        <f>'HH1819-Calcs'!D26</f>
        <v>#DIV/0!</v>
      </c>
    </row>
    <row r="13" spans="1:4" s="1076" customFormat="1" ht="15">
      <c r="A13" s="1079" t="s">
        <v>2503</v>
      </c>
      <c r="B13" s="1080" t="s">
        <v>3576</v>
      </c>
      <c r="C13" s="1080"/>
      <c r="D13" s="1233">
        <v>0</v>
      </c>
    </row>
    <row r="14" spans="1:4" s="1076" customFormat="1" ht="15.75">
      <c r="A14" s="1079" t="s">
        <v>1024</v>
      </c>
      <c r="B14" s="1610" t="s">
        <v>3900</v>
      </c>
      <c r="C14" s="1080"/>
      <c r="D14" s="1090">
        <v>0</v>
      </c>
    </row>
    <row r="15" spans="1:4" s="1076" customFormat="1" ht="15">
      <c r="A15" s="1079" t="s">
        <v>1025</v>
      </c>
      <c r="B15" s="1080" t="s">
        <v>859</v>
      </c>
      <c r="C15" s="1080"/>
      <c r="D15" s="1085">
        <f>'Data Entry - SOF'!G76</f>
        <v>0</v>
      </c>
    </row>
    <row r="16" spans="1:4" s="1076" customFormat="1" ht="15">
      <c r="A16" s="1079" t="s">
        <v>1027</v>
      </c>
      <c r="B16" s="1080" t="s">
        <v>3397</v>
      </c>
      <c r="C16" s="1080"/>
      <c r="D16" s="1233">
        <f>'Data Entry - SOF'!G78</f>
        <v>0</v>
      </c>
    </row>
    <row r="17" spans="1:5" s="1076" customFormat="1" ht="15">
      <c r="A17" s="1079" t="s">
        <v>1028</v>
      </c>
      <c r="B17" s="1080" t="s">
        <v>3773</v>
      </c>
      <c r="C17" s="1080"/>
      <c r="D17" s="1233">
        <f>'Data Entry - SOF'!G96</f>
        <v>0</v>
      </c>
    </row>
    <row r="18" spans="1:5" s="1076" customFormat="1" ht="15">
      <c r="A18" s="1079" t="s">
        <v>1029</v>
      </c>
      <c r="B18" s="1080" t="s">
        <v>2793</v>
      </c>
      <c r="C18" s="1080"/>
      <c r="D18" s="1085">
        <f>'SOF1819-SB1'!H65</f>
        <v>0</v>
      </c>
    </row>
    <row r="19" spans="1:5" s="1076" customFormat="1" ht="15">
      <c r="A19" s="1079" t="s">
        <v>139</v>
      </c>
      <c r="B19" s="1080" t="s">
        <v>3400</v>
      </c>
      <c r="C19" s="1080"/>
      <c r="D19" s="1233">
        <v>0</v>
      </c>
    </row>
    <row r="20" spans="1:5" s="1076" customFormat="1" ht="15">
      <c r="A20" s="1079" t="s">
        <v>140</v>
      </c>
      <c r="B20" s="1080" t="s">
        <v>3401</v>
      </c>
      <c r="C20" s="1080"/>
      <c r="D20" s="1233">
        <f>'Data Entry - SOF'!G80</f>
        <v>0</v>
      </c>
    </row>
    <row r="21" spans="1:5" s="1076" customFormat="1" ht="15">
      <c r="A21" s="1079" t="s">
        <v>141</v>
      </c>
      <c r="B21" s="1080" t="s">
        <v>3402</v>
      </c>
      <c r="C21" s="1080"/>
      <c r="D21" s="1085" t="e">
        <f>'SOF1819-SB1'!H67</f>
        <v>#DIV/0!</v>
      </c>
    </row>
    <row r="22" spans="1:5" s="1076" customFormat="1" ht="15">
      <c r="A22" s="1079" t="s">
        <v>142</v>
      </c>
      <c r="B22" s="1080" t="s">
        <v>3403</v>
      </c>
      <c r="C22" s="1080"/>
      <c r="D22" s="1085" t="e">
        <f>'SOF1819-SB1'!H66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1080" t="s">
        <v>4426</v>
      </c>
      <c r="C25" s="1080"/>
      <c r="D25" s="1085">
        <v>0</v>
      </c>
      <c r="E25" s="1120" t="s">
        <v>4427</v>
      </c>
    </row>
    <row r="26" spans="1:5" s="1076" customFormat="1" ht="15.75">
      <c r="A26" s="1079" t="s">
        <v>2552</v>
      </c>
      <c r="B26" s="1078" t="s">
        <v>3449</v>
      </c>
      <c r="C26" s="1080"/>
      <c r="D26" s="1090" t="e">
        <f>SUM(D11:D25)</f>
        <v>#DIV/0!</v>
      </c>
    </row>
    <row r="27" spans="1:5" s="1076" customFormat="1" ht="15.75">
      <c r="A27" s="1089"/>
      <c r="B27" s="1195" t="s">
        <v>3392</v>
      </c>
      <c r="D27" s="1194" t="s">
        <v>3869</v>
      </c>
    </row>
    <row r="28" spans="1:5" s="1076" customFormat="1" ht="15">
      <c r="A28" s="1089"/>
    </row>
    <row r="29" spans="1:5" s="1076" customFormat="1" ht="15">
      <c r="A29" s="1089"/>
    </row>
    <row r="30" spans="1:5" s="1076" customFormat="1" ht="15.75">
      <c r="A30" s="1345" t="s">
        <v>4748</v>
      </c>
    </row>
    <row r="31" spans="1:5" s="1076" customFormat="1" ht="15">
      <c r="A31" s="1089"/>
    </row>
    <row r="32" spans="1:5" s="1076" customFormat="1" ht="15">
      <c r="A32" s="1089"/>
    </row>
    <row r="33" spans="1:4" s="1076" customFormat="1" ht="15">
      <c r="A33" s="1089"/>
    </row>
    <row r="34" spans="1:4" s="1076" customFormat="1" ht="15">
      <c r="A34" s="1089"/>
    </row>
    <row r="35" spans="1:4" s="1076" customFormat="1" ht="15">
      <c r="A35" s="1089"/>
    </row>
    <row r="36" spans="1:4" s="1076" customFormat="1" ht="15">
      <c r="A36" s="1089"/>
    </row>
    <row r="37" spans="1:4" s="1076" customFormat="1" ht="15">
      <c r="A37" s="1089"/>
    </row>
    <row r="38" spans="1:4" s="1076" customFormat="1" ht="15">
      <c r="A38" s="1089"/>
    </row>
    <row r="39" spans="1:4" s="1076" customFormat="1" ht="15">
      <c r="A39" s="1089"/>
    </row>
    <row r="40" spans="1:4" s="1076" customFormat="1" ht="15"/>
    <row r="41" spans="1:4" s="1076" customFormat="1" ht="15"/>
    <row r="42" spans="1:4" s="1076" customFormat="1" ht="15"/>
    <row r="43" spans="1:4" s="1076" customFormat="1" ht="15"/>
    <row r="44" spans="1:4" s="1076" customFormat="1" ht="15"/>
    <row r="45" spans="1:4" s="1076" customFormat="1" ht="15"/>
    <row r="46" spans="1:4" s="1076" customFormat="1" ht="15"/>
    <row r="47" spans="1:4" s="1076" customFormat="1" ht="15">
      <c r="D47"/>
    </row>
  </sheetData>
  <hyperlinks>
    <hyperlink ref="B14" location="'Report-ASATR1819'!A1" display="Additional State Aid for Tax Reduction - N/A      (Link to Recapture Report)"/>
    <hyperlink ref="D27" location="'Report-SOF1819'!A1" display="'Report-SOF1819'!A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 sqref="D2"/>
    </sheetView>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3" t="str">
        <f>'Report-Other1819'!D1</f>
        <v>84th/85th Legislative Session</v>
      </c>
    </row>
    <row r="2" spans="1:4">
      <c r="A2" s="1074" t="s">
        <v>3412</v>
      </c>
      <c r="D2" s="98" t="str">
        <f>'Report-Other1819'!D2</f>
        <v>Release 2</v>
      </c>
    </row>
    <row r="3" spans="1:4">
      <c r="A3" s="89"/>
      <c r="D3" s="82">
        <f>'Report-Other1819'!D3</f>
        <v>43145</v>
      </c>
    </row>
    <row r="4" spans="1:4" ht="15.75">
      <c r="A4" s="1075" t="s">
        <v>3862</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3697</v>
      </c>
      <c r="C11" s="1080"/>
      <c r="D11" s="1085">
        <f>'Data Entry - SOF'!C63</f>
        <v>0</v>
      </c>
    </row>
    <row r="12" spans="1:4" s="1076" customFormat="1" ht="15">
      <c r="A12" s="1079" t="s">
        <v>2502</v>
      </c>
      <c r="B12" s="1080" t="s">
        <v>3698</v>
      </c>
      <c r="C12" s="1080"/>
      <c r="D12" s="1085">
        <f>'Report-EDA1617'!D26</f>
        <v>0</v>
      </c>
    </row>
    <row r="13" spans="1:4" s="1076" customFormat="1" ht="15">
      <c r="A13" s="1079" t="s">
        <v>2503</v>
      </c>
      <c r="B13" s="1080" t="s">
        <v>3699</v>
      </c>
      <c r="C13" s="1080"/>
      <c r="D13" s="1085">
        <f>'Report-IFA1617'!D20</f>
        <v>0</v>
      </c>
    </row>
    <row r="14" spans="1:4" s="1076" customFormat="1" ht="15">
      <c r="A14" s="1079" t="s">
        <v>1024</v>
      </c>
      <c r="B14" s="1080" t="s">
        <v>3700</v>
      </c>
      <c r="C14" s="1080"/>
      <c r="D14" s="1085">
        <f>IF(D11-D12-D13&lt;0,0,D11-D12-D13)</f>
        <v>0</v>
      </c>
    </row>
    <row r="15" spans="1:4" s="1076" customFormat="1" ht="15">
      <c r="A15" s="1079" t="s">
        <v>1025</v>
      </c>
      <c r="B15" s="1080" t="s">
        <v>3863</v>
      </c>
      <c r="C15" s="1080"/>
      <c r="D15" s="1085">
        <f>'Data Entry - SOF'!G73</f>
        <v>0</v>
      </c>
    </row>
    <row r="16" spans="1:4" s="1076" customFormat="1" ht="15">
      <c r="A16" s="1079" t="s">
        <v>1027</v>
      </c>
      <c r="B16" s="1080" t="s">
        <v>3864</v>
      </c>
      <c r="C16" s="1080"/>
      <c r="D16" s="1085">
        <f>'Report-IFA1819'!D37</f>
        <v>0</v>
      </c>
    </row>
    <row r="17" spans="1:4" s="1076" customFormat="1" ht="15">
      <c r="A17" s="1079" t="s">
        <v>1028</v>
      </c>
      <c r="B17" s="1080" t="s">
        <v>3865</v>
      </c>
      <c r="C17" s="1080"/>
      <c r="D17" s="1086">
        <f>'Data Entry - SOF'!G17</f>
        <v>0</v>
      </c>
    </row>
    <row r="18" spans="1:4" s="1076" customFormat="1" ht="15">
      <c r="A18" s="1079" t="s">
        <v>1029</v>
      </c>
      <c r="B18" s="1080" t="s">
        <v>7389</v>
      </c>
      <c r="C18" s="1080"/>
      <c r="D18" s="1085">
        <f>'Data Entry - SOF'!G53</f>
        <v>0</v>
      </c>
    </row>
    <row r="19" spans="1:4" s="1076" customFormat="1" ht="15">
      <c r="A19" s="1079" t="s">
        <v>139</v>
      </c>
      <c r="B19" s="1080" t="s">
        <v>7387</v>
      </c>
      <c r="C19" s="1080"/>
      <c r="D19" s="1085">
        <f>'Data Entry - SOF'!C53</f>
        <v>0</v>
      </c>
    </row>
    <row r="20" spans="1:4" s="1076" customFormat="1" ht="15.75">
      <c r="A20" s="1366" t="s">
        <v>3270</v>
      </c>
      <c r="B20" s="1290"/>
      <c r="C20" s="1291"/>
      <c r="D20" s="1313"/>
    </row>
    <row r="21" spans="1:4" s="1076" customFormat="1" ht="15">
      <c r="A21" s="1113" t="s">
        <v>140</v>
      </c>
      <c r="B21" s="1097" t="s">
        <v>3701</v>
      </c>
      <c r="C21" s="1097"/>
      <c r="D21" s="1121">
        <f>'Existing Debt'!K47</f>
        <v>0</v>
      </c>
    </row>
    <row r="22" spans="1:4" s="1076" customFormat="1" ht="15">
      <c r="A22" s="1091"/>
      <c r="B22" s="1099" t="s">
        <v>3271</v>
      </c>
      <c r="C22" s="1099"/>
      <c r="D22" s="1122"/>
    </row>
    <row r="23" spans="1:4" s="1076" customFormat="1" ht="15">
      <c r="A23" s="1079" t="s">
        <v>141</v>
      </c>
      <c r="B23" s="1080" t="str">
        <f>CONCATENATE("2018-19 Rate Needed for All Eligible Debt ((Line 5 - Line 6) / ",Weights!I50," / Line 7 / 100)")</f>
        <v>2018-19 Rate Needed for All Eligible Debt ((Line 5 - Line 6) / 35 / Line 7 / 100)</v>
      </c>
      <c r="C23" s="1080"/>
      <c r="D23" s="1123">
        <f>'Existing Debt'!K51</f>
        <v>0</v>
      </c>
    </row>
    <row r="24" spans="1:4" s="1076" customFormat="1" ht="15">
      <c r="A24" s="1079" t="s">
        <v>142</v>
      </c>
      <c r="B24" s="1080" t="s">
        <v>3866</v>
      </c>
      <c r="C24" s="1080"/>
      <c r="D24" s="1123">
        <f>'Existing Debt'!K55</f>
        <v>0</v>
      </c>
    </row>
    <row r="25" spans="1:4" s="1076" customFormat="1" ht="15">
      <c r="A25" s="1079" t="s">
        <v>1706</v>
      </c>
      <c r="B25" s="1080" t="str">
        <f>CONCATENATE("State/Local Share of EDA ($",Weights!J50," * Line 7 * Line 12 * 100)")</f>
        <v>State/Local Share of EDA ($38 * Line 7 * Line 12 * 100)</v>
      </c>
      <c r="C25" s="1080"/>
      <c r="D25" s="1085">
        <f>'Existing Debt'!K59</f>
        <v>0</v>
      </c>
    </row>
    <row r="26" spans="1:4" s="1076" customFormat="1" ht="15">
      <c r="A26" s="1079" t="s">
        <v>6</v>
      </c>
      <c r="B26" s="1080" t="s">
        <v>3272</v>
      </c>
      <c r="C26" s="1080"/>
      <c r="D26" s="1085">
        <f>'Existing Debt'!K61</f>
        <v>0</v>
      </c>
    </row>
    <row r="27" spans="1:4" s="1076" customFormat="1" ht="15">
      <c r="A27" s="1079" t="s">
        <v>2551</v>
      </c>
      <c r="B27" s="1080" t="s">
        <v>3273</v>
      </c>
      <c r="C27" s="1080"/>
      <c r="D27" s="1085">
        <f>'Existing Debt'!K70</f>
        <v>0</v>
      </c>
    </row>
    <row r="28" spans="1:4" s="1076" customFormat="1" ht="15.75">
      <c r="A28" s="1079" t="s">
        <v>2552</v>
      </c>
      <c r="B28" s="1078" t="s">
        <v>3274</v>
      </c>
      <c r="C28" s="1080"/>
      <c r="D28" s="1090">
        <f>'Existing Debt'!K74</f>
        <v>0</v>
      </c>
    </row>
    <row r="29" spans="1:4" s="1076" customFormat="1" ht="15.75">
      <c r="B29" s="1195" t="s">
        <v>3392</v>
      </c>
      <c r="D29" s="1194" t="s">
        <v>3869</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7102</v>
      </c>
      <c r="D39" s="2026">
        <f>IF(ISNA('DE1'!I89),0,'DE1'!I89)</f>
        <v>0</v>
      </c>
    </row>
    <row r="40" spans="2:4" ht="15.75">
      <c r="B40" s="961"/>
      <c r="C40" s="1076"/>
      <c r="D40" s="1076"/>
    </row>
    <row r="41" spans="2:4" ht="15.75">
      <c r="B41" s="961" t="s">
        <v>7090</v>
      </c>
      <c r="C41" s="1076"/>
      <c r="D41" s="1076"/>
    </row>
    <row r="42" spans="2:4" ht="15.75">
      <c r="B42" s="1315" t="s">
        <v>7312</v>
      </c>
      <c r="C42" s="1076"/>
      <c r="D42" s="1076"/>
    </row>
    <row r="43" spans="2:4" ht="15.75">
      <c r="B43" s="961" t="s">
        <v>7309</v>
      </c>
    </row>
  </sheetData>
  <sheetProtection sheet="1"/>
  <hyperlinks>
    <hyperlink ref="D29" location="'Report-SOF1819'!A1" display="'Report-SOF1819'!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E170"/>
  <sheetViews>
    <sheetView workbookViewId="0">
      <selection activeCell="H1" sqref="H1:H1048576"/>
    </sheetView>
  </sheetViews>
  <sheetFormatPr defaultRowHeight="12.75"/>
  <cols>
    <col min="1" max="1" width="5" customWidth="1"/>
    <col min="2" max="2" width="66.85546875" customWidth="1"/>
    <col min="3" max="3" width="19.7109375" style="3122" customWidth="1"/>
    <col min="4" max="4" width="19.7109375" style="3149" customWidth="1"/>
    <col min="5" max="5" width="19.7109375" style="1546" customWidth="1"/>
    <col min="6" max="6" width="19.7109375" style="3176" customWidth="1"/>
    <col min="7" max="7" width="19.7109375" style="3203" customWidth="1"/>
    <col min="8" max="8" width="19.7109375" style="3230" customWidth="1"/>
    <col min="9" max="9" width="19.7109375" style="3460" customWidth="1"/>
    <col min="10" max="10" width="22.7109375" style="1486" customWidth="1"/>
    <col min="11" max="11" width="19" customWidth="1"/>
    <col min="12" max="12" width="22.7109375" style="636" customWidth="1"/>
    <col min="13" max="13" width="22.7109375" customWidth="1"/>
    <col min="14" max="14" width="18" customWidth="1"/>
    <col min="15" max="15" width="13.28515625" style="177" customWidth="1"/>
    <col min="16" max="17" width="18" hidden="1" customWidth="1"/>
    <col min="18" max="19" width="18" customWidth="1"/>
    <col min="20" max="20" width="18.140625" customWidth="1"/>
    <col min="21" max="21" width="20.7109375" style="224" customWidth="1"/>
    <col min="22" max="22" width="21.140625" customWidth="1"/>
    <col min="23" max="26" width="17.7109375" customWidth="1"/>
    <col min="27" max="27" width="36.5703125" customWidth="1"/>
    <col min="28" max="28" width="19.7109375" customWidth="1"/>
    <col min="29" max="29" width="19.140625" customWidth="1"/>
    <col min="30" max="30" width="19.85546875" customWidth="1"/>
    <col min="31" max="31" width="35.7109375" customWidth="1"/>
    <col min="32" max="32" width="17.140625" customWidth="1"/>
    <col min="33" max="33" width="20.140625" customWidth="1"/>
    <col min="34" max="34" width="18" customWidth="1"/>
    <col min="35" max="35" width="38.28515625" customWidth="1"/>
    <col min="36" max="36" width="17.85546875" customWidth="1"/>
    <col min="37" max="38" width="18.5703125" customWidth="1"/>
    <col min="39" max="39" width="43.5703125" customWidth="1"/>
    <col min="40" max="40" width="21.5703125" customWidth="1"/>
    <col min="41" max="41" width="21.42578125" customWidth="1"/>
    <col min="42" max="42" width="20.5703125" customWidth="1"/>
    <col min="43" max="43" width="41.28515625" customWidth="1"/>
    <col min="44" max="44" width="21.5703125" customWidth="1"/>
    <col min="45" max="45" width="21.42578125" customWidth="1"/>
    <col min="46" max="46" width="20.140625" customWidth="1"/>
    <col min="47" max="47" width="16.5703125" customWidth="1"/>
    <col min="48" max="48" width="41.28515625" style="2574" customWidth="1"/>
    <col min="49" max="49" width="21.5703125" style="2574" customWidth="1"/>
    <col min="50" max="50" width="21.42578125" style="2574" customWidth="1"/>
    <col min="51" max="51" width="20.140625" style="2574" customWidth="1"/>
    <col min="52" max="52" width="16.5703125" style="2574" customWidth="1"/>
    <col min="53" max="53" width="41.28515625" style="4113" customWidth="1"/>
    <col min="54" max="54" width="21.5703125" style="4113" customWidth="1"/>
    <col min="55" max="55" width="21.42578125" style="4113" customWidth="1"/>
    <col min="56" max="56" width="20.140625" style="4113" customWidth="1"/>
    <col min="57" max="57" width="16.5703125" style="3643" customWidth="1"/>
  </cols>
  <sheetData>
    <row r="1" spans="1:55">
      <c r="A1" s="47" t="s">
        <v>1419</v>
      </c>
      <c r="N1" s="98"/>
      <c r="O1" s="207"/>
      <c r="U1"/>
    </row>
    <row r="2" spans="1:55">
      <c r="N2" s="98"/>
      <c r="O2" s="207"/>
      <c r="U2" s="194" t="s">
        <v>7905</v>
      </c>
    </row>
    <row r="3" spans="1:55">
      <c r="A3" s="18" t="s">
        <v>80</v>
      </c>
      <c r="J3" s="1487"/>
      <c r="K3" s="599"/>
      <c r="L3" s="599"/>
      <c r="M3" s="599"/>
      <c r="T3" s="1507" t="s">
        <v>4436</v>
      </c>
      <c r="U3" s="1507" t="s">
        <v>7308</v>
      </c>
      <c r="V3" s="1507" t="s">
        <v>7333</v>
      </c>
    </row>
    <row r="4" spans="1:55">
      <c r="A4" s="24" t="s">
        <v>1450</v>
      </c>
      <c r="B4" s="12"/>
      <c r="C4" s="3257"/>
      <c r="D4" s="3257"/>
      <c r="E4" s="3257"/>
      <c r="F4" s="3257"/>
      <c r="G4" s="3257"/>
      <c r="H4" s="3257"/>
      <c r="I4" s="3461"/>
      <c r="J4" s="1488"/>
      <c r="O4" s="209"/>
      <c r="T4" s="888">
        <f>C18</f>
        <v>2.5000000000000001E-4</v>
      </c>
      <c r="U4" s="888">
        <f>T4</f>
        <v>2.5000000000000001E-4</v>
      </c>
      <c r="V4" s="888">
        <f>U4</f>
        <v>2.5000000000000001E-4</v>
      </c>
    </row>
    <row r="5" spans="1:55">
      <c r="A5" s="34"/>
      <c r="B5" s="35"/>
      <c r="C5" s="3258" t="s">
        <v>3613</v>
      </c>
      <c r="D5" s="3259" t="s">
        <v>3673</v>
      </c>
      <c r="E5" s="3260" t="s">
        <v>3830</v>
      </c>
      <c r="F5" s="3261" t="s">
        <v>3903</v>
      </c>
      <c r="G5" s="3262" t="s">
        <v>4592</v>
      </c>
      <c r="H5" s="3263" t="s">
        <v>7097</v>
      </c>
      <c r="I5" s="3462" t="s">
        <v>7733</v>
      </c>
      <c r="J5" s="1053"/>
      <c r="O5" s="210"/>
      <c r="T5" s="889">
        <f>IF('Data Entry - SOF'!C113&gt;=1.5,Assumptions!G46,Assumptions!G46*('Data Entry - SOF'!C108/1.00005))</f>
        <v>0</v>
      </c>
      <c r="U5" s="889">
        <f>IF('Data Entry - SOF'!C113&gt;=1.5,Assumptions!G46,Assumptions!G46*('Data Entry - SOF'!E108/1.00005))</f>
        <v>0</v>
      </c>
      <c r="V5" s="889">
        <f>IF('Data Entry - SOF'!C113&gt;=1.5,Assumptions!G46,Assumptions!G46*('Data Entry - SOF'!G108/1.00005))</f>
        <v>0</v>
      </c>
    </row>
    <row r="6" spans="1:55">
      <c r="A6" s="34"/>
      <c r="B6" t="s">
        <v>2285</v>
      </c>
      <c r="C6" s="3124">
        <f>'Data Entry - SOF'!C17</f>
        <v>0</v>
      </c>
      <c r="D6" s="3151">
        <f>'Data Entry - SOF'!E17</f>
        <v>0</v>
      </c>
      <c r="E6" s="1552">
        <f>'Data Entry - SOF'!G17</f>
        <v>0</v>
      </c>
      <c r="F6" s="3178">
        <f>'Data Entry - SOF'!I17</f>
        <v>0</v>
      </c>
      <c r="G6" s="3205">
        <f>'Data Entry - SOF'!K17</f>
        <v>0</v>
      </c>
      <c r="H6" s="3232">
        <f>'Data Entry - SOF'!M17</f>
        <v>0</v>
      </c>
      <c r="I6" s="3463">
        <f>'Data Entry - SOF'!O17</f>
        <v>0</v>
      </c>
      <c r="J6" s="1053"/>
      <c r="O6" s="211"/>
      <c r="T6" s="890">
        <f>ROUND(T5*(((C59-1)*Weights!H44)+1),0)</f>
        <v>0</v>
      </c>
      <c r="U6" s="890">
        <f>ROUND(U5*(((C59-1)*Weights!I44)+1),0)</f>
        <v>0</v>
      </c>
      <c r="V6" s="890">
        <f>ROUND(V5*(((D59-1)*Weights!J44)+1),0)</f>
        <v>0</v>
      </c>
    </row>
    <row r="7" spans="1:55">
      <c r="B7" s="99" t="s">
        <v>2109</v>
      </c>
      <c r="C7" s="3124">
        <f t="shared" ref="C7:H7" si="0">C6</f>
        <v>0</v>
      </c>
      <c r="D7" s="3151">
        <f t="shared" si="0"/>
        <v>0</v>
      </c>
      <c r="E7" s="1552">
        <f t="shared" si="0"/>
        <v>0</v>
      </c>
      <c r="F7" s="3178">
        <f t="shared" si="0"/>
        <v>0</v>
      </c>
      <c r="G7" s="3205">
        <f t="shared" si="0"/>
        <v>0</v>
      </c>
      <c r="H7" s="3232">
        <f t="shared" si="0"/>
        <v>0</v>
      </c>
      <c r="I7" s="3463">
        <f>I6</f>
        <v>0</v>
      </c>
      <c r="O7" s="211"/>
      <c r="T7" s="890">
        <f>ROUND(IF(C10&gt;1600,T6,(1+(1600-IF(C10&gt;C11,C10,C11))*T4)*T6),0)</f>
        <v>0</v>
      </c>
      <c r="U7" s="890">
        <f>ROUND(IF(D10&gt;1600,U6,(1+(1600-IF(D10&gt;D11,D10,D11))*U4)*U6),0)</f>
        <v>0</v>
      </c>
      <c r="V7" s="890">
        <f>ROUND(IF(E10&gt;1600,V6,(1+(1600-IF(E10&gt;E11,E10,E11))*V4)*V6),0)</f>
        <v>0</v>
      </c>
    </row>
    <row r="8" spans="1:55">
      <c r="B8" t="s">
        <v>2286</v>
      </c>
      <c r="C8" s="3124">
        <f>SUM('Data Entry - SOF'!C20:C27)+SUM('Data Entry - SOF'!C29:C30)</f>
        <v>0</v>
      </c>
      <c r="D8" s="3151">
        <f>SUM('Data Entry - SOF'!E20:E27)+SUM('Data Entry - SOF'!E29:E30)</f>
        <v>0</v>
      </c>
      <c r="E8" s="1552">
        <f>SUM('Data Entry - SOF'!G20:G27)+SUM('Data Entry - SOF'!G29:G30)</f>
        <v>0</v>
      </c>
      <c r="F8" s="3178">
        <f>SUM('Data Entry - SOF'!I20:I27)+SUM('Data Entry - SOF'!I29:I30)</f>
        <v>0</v>
      </c>
      <c r="G8" s="3205">
        <f>SUM('Data Entry - SOF'!K20:K27)+SUM('Data Entry - SOF'!K29:K30)</f>
        <v>0</v>
      </c>
      <c r="H8" s="3232">
        <f>SUM('Data Entry - SOF'!M20:M27)+SUM('Data Entry - SOF'!M29:M30)</f>
        <v>0</v>
      </c>
      <c r="I8" s="3463">
        <f>SUM('Data Entry - SOF'!O20:O27)+SUM('Data Entry - SOF'!O29:O30)</f>
        <v>0</v>
      </c>
      <c r="J8" s="1053"/>
      <c r="O8" s="211"/>
      <c r="T8" s="883">
        <f>ROUND(IF(OR(C10&gt;4999.999,'Data Entry - SOF'!C109&lt;12),0,(1+((5000-C10)*Weights!H42))*T6),0)</f>
        <v>0</v>
      </c>
      <c r="U8" s="883">
        <f>ROUND(IF(OR(D10&gt;4999.999,'Data Entry - SOF'!E109&lt;12),0,(1+((5000-D10)*Weights!I42))*U6),0)</f>
        <v>0</v>
      </c>
      <c r="V8" s="883">
        <f>ROUND(IF(OR(E10&gt;4999.999,'Data Entry - SOF'!G109&lt;12),0,(1+((5000-D10)*Weights!J42))*V6),0)</f>
        <v>0</v>
      </c>
    </row>
    <row r="9" spans="1:55">
      <c r="B9" t="s">
        <v>2287</v>
      </c>
      <c r="C9" s="3124">
        <f>('Data Entry - SOF'!C20*Weights!H10)+('Data Entry - SOF'!C21*Weights!H11)+('Data Entry - SOF'!C22*Weights!H12)+('Data Entry - SOF'!C23*Weights!H13)+('Data Entry - SOF'!C24*Weights!H14)+('Data Entry - SOF'!C25*Weights!H15)+('Data Entry - SOF'!C26*Weights!H16)</f>
        <v>0</v>
      </c>
      <c r="D9" s="3151">
        <f>('Data Entry - SOF'!E20*Weights!I10)+('Data Entry - SOF'!E21*Weights!I11)+('Data Entry - SOF'!E22*Weights!I12)+('Data Entry - SOF'!E23*Weights!I13)+('Data Entry - SOF'!E24*Weights!I14)+('Data Entry - SOF'!E25*Weights!I15)+('Data Entry - SOF'!E26*Weights!I16)</f>
        <v>0</v>
      </c>
      <c r="E9" s="1552">
        <f>('Data Entry - SOF'!G20*Weights!J10)+('Data Entry - SOF'!G21*Weights!J11)+('Data Entry - SOF'!G22*Weights!J12)+('Data Entry - SOF'!G23*Weights!J13)+('Data Entry - SOF'!G24*Weights!J14)+('Data Entry - SOF'!G25*Weights!J15)+('Data Entry - SOF'!G26*Weights!J16)</f>
        <v>0</v>
      </c>
      <c r="F9" s="3178">
        <f>('Data Entry - SOF'!I20*Weights!K10)+('Data Entry - SOF'!I21*Weights!K11)+('Data Entry - SOF'!I22*Weights!K12)+('Data Entry - SOF'!I23*Weights!K13)+('Data Entry - SOF'!I24*Weights!K14)+('Data Entry - SOF'!I25*Weights!K15)+('Data Entry - SOF'!I26*Weights!K16)</f>
        <v>0</v>
      </c>
      <c r="G9" s="3205">
        <f>('Data Entry - SOF'!K20*Weights!L10)+('Data Entry - SOF'!K21*Weights!L11)+('Data Entry - SOF'!K22*Weights!L12)+('Data Entry - SOF'!K23*Weights!L13)+('Data Entry - SOF'!K24*Weights!L14)+('Data Entry - SOF'!K25*Weights!L15)+('Data Entry - SOF'!K26*Weights!L16)</f>
        <v>0</v>
      </c>
      <c r="H9" s="3232">
        <f>('Data Entry - SOF'!M20*Weights!M10)+('Data Entry - SOF'!M21*Weights!M11)+('Data Entry - SOF'!M22*Weights!M12)+('Data Entry - SOF'!M23*Weights!M13)+('Data Entry - SOF'!M24*Weights!M14)+('Data Entry - SOF'!M25*Weights!M15)+('Data Entry - SOF'!M26*Weights!M16)</f>
        <v>0</v>
      </c>
      <c r="I9" s="3463">
        <f>('Data Entry - SOF'!O20*Weights!N10)+('Data Entry - SOF'!O21*Weights!N11)+('Data Entry - SOF'!O22*Weights!N12)+('Data Entry - SOF'!O23*Weights!N13)+('Data Entry - SOF'!O24*Weights!N14)+('Data Entry - SOF'!O25*Weights!N15)+('Data Entry - SOF'!O26*Weights!N16)</f>
        <v>0</v>
      </c>
      <c r="J9" s="1053"/>
      <c r="O9" s="211"/>
      <c r="T9" s="890">
        <f>IF(AND(T8&gt;=T7,T8&gt;=T6),T8,IF(AND(T7&gt;=T6,T7&gt;=T8),T7,T6))</f>
        <v>0</v>
      </c>
      <c r="U9" s="890">
        <f>IF(AND(U8&gt;=U7,U8&gt;=U6),U8,IF(AND(U7&gt;=U6,U7&gt;=U8),U7,U6))</f>
        <v>0</v>
      </c>
      <c r="V9" s="890">
        <f>IF(AND(V8&gt;=V7,V8&gt;=V6),V8,IF(AND(V7&gt;=V6,V7&gt;=V8),V7,V6))</f>
        <v>0</v>
      </c>
    </row>
    <row r="10" spans="1:55">
      <c r="B10" t="s">
        <v>2288</v>
      </c>
      <c r="C10" s="3124">
        <f>C7-C8-'Data Entry - SOF'!C32</f>
        <v>0</v>
      </c>
      <c r="D10" s="3151">
        <f>D7-D8-'Data Entry - SOF'!E32</f>
        <v>0</v>
      </c>
      <c r="E10" s="1552">
        <f>E7-E8-'Data Entry - SOF'!G32</f>
        <v>0</v>
      </c>
      <c r="F10" s="3178">
        <f>F7-F8-'Data Entry - SOF'!I32</f>
        <v>0</v>
      </c>
      <c r="G10" s="3205">
        <f>G7-G8-'Data Entry - SOF'!K32</f>
        <v>0</v>
      </c>
      <c r="H10" s="3232">
        <f>H7-H8-'Data Entry - SOF'!M32</f>
        <v>0</v>
      </c>
      <c r="I10" s="3463">
        <f>I7-I8-'Data Entry - SOF'!O32</f>
        <v>0</v>
      </c>
      <c r="J10" s="1053"/>
      <c r="O10" s="211"/>
      <c r="T10" s="1508"/>
      <c r="U10" s="1508"/>
      <c r="V10" s="1508"/>
    </row>
    <row r="11" spans="1:55" ht="15.75">
      <c r="B11" t="s">
        <v>2289</v>
      </c>
      <c r="C11" s="3125">
        <f>IF('Data Entry - SOF'!C164=1,'Data Entry - SOF'!C161,IF('Data Entry - SOF'!C165=1,'Data Entry - SOF'!C162,IF('Data Entry - SOF'!C166=1,'Data Entry - SOF'!C163,0)))</f>
        <v>0</v>
      </c>
      <c r="D11" s="3152">
        <f>IF('Data Entry - SOF'!E164=1,'Data Entry - SOF'!E161,IF('Data Entry - SOF'!E165=1,'Data Entry - SOF'!E162,IF('Data Entry - SOF'!E166=1,'Data Entry - SOF'!E163,0)))</f>
        <v>0</v>
      </c>
      <c r="E11" s="1553">
        <f>IF('Data Entry - SOF'!G164=1,'Data Entry - SOF'!G161,IF('Data Entry - SOF'!G165=1,'Data Entry - SOF'!G162,IF('Data Entry - SOF'!G166=1,'Data Entry - SOF'!G163,0)))</f>
        <v>0</v>
      </c>
      <c r="F11" s="3179">
        <f>IF('Data Entry - SOF'!I164=1,'Data Entry - SOF'!I161,IF('Data Entry - SOF'!I165=1,'Data Entry - SOF'!I162,IF('Data Entry - SOF'!I166=1,'Data Entry - SOF'!I163,0)))</f>
        <v>0</v>
      </c>
      <c r="G11" s="3206">
        <f>IF('Data Entry - SOF'!K164=1,'Data Entry - SOF'!K161,IF('Data Entry - SOF'!K165=1,'Data Entry - SOF'!K162,IF('Data Entry - SOF'!K166=1,'Data Entry - SOF'!K163,0)))</f>
        <v>0</v>
      </c>
      <c r="H11" s="3233">
        <f>IF('Data Entry - SOF'!M164=1,'Data Entry - SOF'!M161,IF('Data Entry - SOF'!M165=1,'Data Entry - SOF'!M162,IF('Data Entry - SOF'!M166=1,'Data Entry - SOF'!M163,0)))</f>
        <v>0</v>
      </c>
      <c r="I11" s="3464">
        <f>IF('Data Entry - SOF'!O164=1,'Data Entry - SOF'!O161,IF('Data Entry - SOF'!O165=1,'Data Entry - SOF'!O162,IF('Data Entry - SOF'!O166=1,'Data Entry - SOF'!O163,0)))</f>
        <v>0</v>
      </c>
      <c r="J11" s="1497"/>
      <c r="O11" s="158"/>
      <c r="T11" s="995" t="e">
        <f>ROUND((('SOF1617-HB3646'!F44-'SOF1617-HB3646'!F43-'SOF1617-HB3646'!F42-'SOF1617-HB3646'!F40-'SOF1617-HB3646'!F31-'SOF1617-HB3646'!F32-'SOF1617-HB3646'!F28)-(((T6-T5)*0.5)/T6)*('SOF1617-HB3646'!F44-'SOF1617-HB3646'!F43-'SOF1617-HB3646'!F42-'SOF1617-HB3646'!F40-'SOF1617-HB3646'!F31-'SOF1617-HB3646'!F32-'SOF1617-HB3646'!F28))/T5,3)</f>
        <v>#DIV/0!</v>
      </c>
      <c r="U11" s="995" t="e">
        <f>ROUND((('SOF1718-HB3646'!F44-'SOF1718-HB3646'!F43-'SOF1718-HB3646'!F42-'SOF1718-HB3646'!F40-'SOF1718-HB3646'!F31-'SOF1718-HB3646'!F32-'SOF1718-HB3646'!F28)-(((U6-U5)*0.5)/U6)*('SOF1718-HB3646'!F44-'SOF1718-HB3646'!F43-'SOF1718-HB3646'!F42-'SOF1718-HB3646'!F40-'SOF1718-HB3646'!F31-'SOF1718-HB3646'!F32-'SOF1718-HB3646'!F28))/U5,3)</f>
        <v>#DIV/0!</v>
      </c>
      <c r="V11" s="995" t="e">
        <f>ROUND((('SOF1718-HB3646'!F44-'SOF1718-HB3646'!F43-'SOF1718-HB3646'!F42-'SOF1718-HB3646'!F40-'SOF1718-HB3646'!F31-'SOF1718-HB3646'!F32-'SOF1718-HB3646'!F28)-(((V6-V5)*0.5)/V6)*('SOF1718-HB3646'!F44-'SOF1718-HB3646'!F43-'SOF1718-HB3646'!F42-'SOF1718-HB3646'!F40-'SOF1718-HB3646'!F31-'SOF1718-HB3646'!F32-'SOF1718-HB3646'!F28))/V5,3)</f>
        <v>#DIV/0!</v>
      </c>
    </row>
    <row r="12" spans="1:55">
      <c r="C12" s="3126"/>
      <c r="D12" s="3153"/>
      <c r="E12" s="1554"/>
      <c r="F12" s="3180"/>
      <c r="G12" s="3207"/>
      <c r="H12" s="3234"/>
      <c r="I12" s="3465"/>
      <c r="J12" s="1510" t="s">
        <v>7824</v>
      </c>
      <c r="O12" s="158"/>
      <c r="U12"/>
      <c r="AB12" s="2276" t="s">
        <v>6887</v>
      </c>
      <c r="AC12" s="2277"/>
      <c r="AD12" s="2277"/>
      <c r="AE12" s="2278"/>
    </row>
    <row r="13" spans="1:55" hidden="1">
      <c r="B13" s="99" t="s">
        <v>297</v>
      </c>
      <c r="J13" s="1053"/>
      <c r="U13"/>
    </row>
    <row r="14" spans="1:55" hidden="1">
      <c r="B14" s="99" t="s">
        <v>2363</v>
      </c>
      <c r="J14" s="1053"/>
      <c r="U14"/>
    </row>
    <row r="15" spans="1:55" hidden="1">
      <c r="B15" s="99" t="s">
        <v>860</v>
      </c>
      <c r="J15" s="1053"/>
      <c r="U15"/>
    </row>
    <row r="16" spans="1:55">
      <c r="B16" s="99"/>
      <c r="C16" s="3123" t="s">
        <v>4480</v>
      </c>
      <c r="D16" s="3150" t="s">
        <v>4480</v>
      </c>
      <c r="E16" s="1498" t="s">
        <v>4480</v>
      </c>
      <c r="F16" s="3177" t="s">
        <v>4480</v>
      </c>
      <c r="G16" s="3204" t="s">
        <v>4480</v>
      </c>
      <c r="H16" s="3231" t="s">
        <v>4480</v>
      </c>
      <c r="I16" s="3461" t="s">
        <v>4480</v>
      </c>
      <c r="J16" s="1053" t="s">
        <v>7825</v>
      </c>
      <c r="U16"/>
      <c r="V16" s="170"/>
      <c r="W16" s="2483" t="s">
        <v>3673</v>
      </c>
      <c r="X16" s="130"/>
      <c r="AB16" s="117"/>
      <c r="AC16" s="2299"/>
      <c r="AF16" s="117"/>
      <c r="AG16" s="2299"/>
      <c r="AJ16" s="117"/>
      <c r="AK16" s="2299"/>
      <c r="AL16" s="1844"/>
      <c r="AN16" s="117"/>
      <c r="AO16" s="2299"/>
      <c r="AR16" s="117"/>
      <c r="AS16" s="2299"/>
      <c r="AW16" s="2575"/>
      <c r="AX16" s="2576"/>
      <c r="BB16" s="3744"/>
      <c r="BC16" s="4462"/>
    </row>
    <row r="17" spans="2:56">
      <c r="B17" s="47"/>
      <c r="C17" s="3258" t="str">
        <f>C5</f>
        <v>2016-17</v>
      </c>
      <c r="D17" s="3259" t="s">
        <v>3673</v>
      </c>
      <c r="E17" s="3260" t="s">
        <v>3830</v>
      </c>
      <c r="F17" s="3261" t="s">
        <v>3903</v>
      </c>
      <c r="G17" s="3262" t="s">
        <v>4592</v>
      </c>
      <c r="H17" s="3263" t="str">
        <f>H5</f>
        <v>2021-22</v>
      </c>
      <c r="I17" s="3462" t="str">
        <f>I5</f>
        <v>2022-23</v>
      </c>
      <c r="J17" s="1497" t="s">
        <v>6871</v>
      </c>
      <c r="O17" s="210"/>
      <c r="P17" s="1500" t="s">
        <v>3731</v>
      </c>
      <c r="Q17" s="1500" t="s">
        <v>3734</v>
      </c>
      <c r="U17"/>
      <c r="V17" s="126"/>
      <c r="W17" s="74" t="s">
        <v>7906</v>
      </c>
      <c r="X17" s="118"/>
      <c r="AB17" s="194" t="s">
        <v>3613</v>
      </c>
      <c r="AC17" s="2299"/>
      <c r="AF17" s="194" t="s">
        <v>3673</v>
      </c>
      <c r="AG17" s="2299"/>
      <c r="AJ17" s="194" t="s">
        <v>3830</v>
      </c>
      <c r="AK17" s="2299"/>
      <c r="AL17" s="1843"/>
      <c r="AN17" s="194" t="s">
        <v>3903</v>
      </c>
      <c r="AO17" s="2299"/>
      <c r="AR17" s="194" t="s">
        <v>4592</v>
      </c>
      <c r="AS17" s="2299"/>
      <c r="AW17" s="2577" t="s">
        <v>7097</v>
      </c>
      <c r="AX17" s="2576"/>
      <c r="BB17" s="3745" t="s">
        <v>7733</v>
      </c>
      <c r="BC17" s="4462"/>
    </row>
    <row r="18" spans="2:56">
      <c r="B18" t="s">
        <v>2048</v>
      </c>
      <c r="C18" s="3127">
        <f>IF('Data Entry - SOF'!C110&gt;=300,Weights!H40,Weights!H39)</f>
        <v>2.5000000000000001E-4</v>
      </c>
      <c r="D18" s="3154">
        <f>IF('Data Entry - SOF'!E110&gt;=300,Weights!I40,Weights!I39)</f>
        <v>2.5000000000000001E-4</v>
      </c>
      <c r="E18" s="1555">
        <f>IF('Data Entry - SOF'!G110&gt;=300,Weights!J40,Weights!J39)</f>
        <v>2.7500000000000002E-4</v>
      </c>
      <c r="F18" s="3181">
        <f>IF('Data Entry - SOF'!I110&gt;=300,Weights!K40,Weights!K39)</f>
        <v>2.9999999999999997E-4</v>
      </c>
      <c r="G18" s="3208">
        <f>IF('Data Entry - SOF'!K110&gt;=300,Weights!L40,Weights!L39)</f>
        <v>3.2499999999999999E-4</v>
      </c>
      <c r="H18" s="3235">
        <f>IF('Data Entry - SOF'!M110&gt;=300,Weights!M40,Weights!M39)</f>
        <v>3.5E-4</v>
      </c>
      <c r="I18" s="3466">
        <f>IF('Data Entry - SOF'!O110&gt;=300,Weights!N40,Weights!N39)</f>
        <v>3.7500000000000001E-4</v>
      </c>
      <c r="J18" s="1489">
        <f>IF('Data Entry - SOF'!D110&gt;=300,Weights!J40,Weights!J39)</f>
        <v>2.7500000000000002E-4</v>
      </c>
      <c r="K18" s="1489">
        <f>IF('Data Entry - SOF'!C110&gt;=300,Weights!J40,Weights!J39)</f>
        <v>2.7500000000000002E-4</v>
      </c>
      <c r="O18" s="158"/>
      <c r="P18" s="888" t="e">
        <f>#REF!</f>
        <v>#REF!</v>
      </c>
      <c r="Q18" s="888" t="e">
        <f>P18</f>
        <v>#REF!</v>
      </c>
      <c r="U18"/>
      <c r="V18" s="133"/>
      <c r="W18" s="2484" t="s">
        <v>7826</v>
      </c>
      <c r="X18" s="131"/>
      <c r="AB18" s="194" t="s">
        <v>4483</v>
      </c>
      <c r="AC18" s="2299"/>
      <c r="AF18" s="194" t="s">
        <v>4483</v>
      </c>
      <c r="AG18" s="2299"/>
      <c r="AJ18" s="194" t="s">
        <v>4483</v>
      </c>
      <c r="AK18" s="2299"/>
      <c r="AL18" s="1843"/>
      <c r="AN18" s="194" t="s">
        <v>4483</v>
      </c>
      <c r="AO18" s="2299"/>
      <c r="AR18" s="194" t="s">
        <v>4483</v>
      </c>
      <c r="AS18" s="2299"/>
      <c r="AW18" s="2577" t="s">
        <v>4483</v>
      </c>
      <c r="AX18" s="2576"/>
      <c r="BB18" s="3745" t="s">
        <v>4483</v>
      </c>
      <c r="BC18" s="4462"/>
    </row>
    <row r="19" spans="2:56">
      <c r="B19" t="s">
        <v>2776</v>
      </c>
      <c r="C19" s="3294">
        <f>IF('Data Entry - SOF'!C113&gt;=1.5,Assumptions!G88,Assumptions!G88*('Data Entry - SOF'!C108/1))</f>
        <v>0</v>
      </c>
      <c r="D19" s="3295">
        <f>IF('Data Entry - SOF'!C113&gt;=1.5,Assumptions!G99,Assumptions!G99*('Data Entry - SOF'!E108/1))</f>
        <v>0</v>
      </c>
      <c r="E19" s="3296">
        <f>IF('Data Entry - SOF'!C113&gt;=1.5,Assumptions!G108,Assumptions!G108*('Data Entry - SOF'!G108/1))</f>
        <v>0</v>
      </c>
      <c r="F19" s="3297">
        <f>IF('Data Entry - SOF'!C113&gt;=1.5,Assumptions!G117,Assumptions!G117*('Data Entry - SOF'!I108/1))</f>
        <v>0</v>
      </c>
      <c r="G19" s="3298">
        <f>IF('Data Entry - SOF'!C113&gt;=1.5,Assumptions!G126,Assumptions!G126*('Data Entry - SOF'!K108/1))</f>
        <v>0</v>
      </c>
      <c r="H19" s="3299">
        <f>IF('Data Entry - SOF'!C113&gt;=1.5,Assumptions!G135,Assumptions!G135*('Data Entry - SOF'!M108/1))</f>
        <v>0</v>
      </c>
      <c r="I19" s="3467">
        <f>IF('Data Entry - SOF'!C113&gt;=1.5,Assumptions!G144,Assumptions!G144*('Data Entry - SOF'!O108/1))</f>
        <v>0</v>
      </c>
      <c r="J19" s="1490">
        <f>IF('Data Entry - SOF'!C113&gt;=1.5,Assumptions!G108,Assumptions!G108*('Data Entry - SOF'!C108/1.00005))</f>
        <v>0</v>
      </c>
      <c r="K19" s="1490">
        <f>IF('Data Entry - SOF'!C113&gt;=1.5,Assumptions!G108,Assumptions!G108*('Data Entry - SOF'!C108/1.00005))</f>
        <v>0</v>
      </c>
      <c r="O19" s="158"/>
      <c r="P19" s="889" t="e">
        <f>IF('Data Entry - SOF'!C113&gt;=1.5,Assumptions!G46,Assumptions!G46*('Data Entry - SOF'!#REF!/1.00005))</f>
        <v>#REF!</v>
      </c>
      <c r="Q19" s="889" t="e">
        <f>IF('Data Entry - SOF'!C113&gt;=1.5,Assumptions!G46,Assumptions!G46*('Data Entry - SOF'!#REF!/1.00005))</f>
        <v>#REF!</v>
      </c>
      <c r="U19"/>
      <c r="W19" s="2482">
        <f>IF('Data Entry - SOF'!C113&gt;=1.5,Assumptions!G108,IF(W24&gt;=W25,Assumptions!G108,Assumptions!G108*(('Data Entry - SOF'!C108+(W24/100))/1.00005)))</f>
        <v>0</v>
      </c>
      <c r="AB19" s="1734">
        <f>IF('Data Entry - SOF'!C113&gt;=1.5,Assumptions!G88,IF(AB24&gt;=AB25,Assumptions!G88,Assumptions!G88*(('Data Entry - SOF'!C108+(AB24/100))/1)))</f>
        <v>0</v>
      </c>
      <c r="AC19" s="2299"/>
      <c r="AF19" s="2216">
        <f>IF('Data Entry - SOF'!C113&gt;=1.5,Assumptions!G99,IF(AF24&gt;=AF25,Assumptions!G99,Assumptions!G99*(('Data Entry - SOF'!E108+(AF24/100))/1)))</f>
        <v>0</v>
      </c>
      <c r="AG19" s="2299"/>
      <c r="AJ19" s="1734">
        <f>IF('Data Entry - SOF'!C113&gt;=1.5,Assumptions!G108,IF(AJ24&gt;=AJ25,Assumptions!G108,Assumptions!G108*(('Data Entry - SOF'!G108+(AJ24/100))/1)))</f>
        <v>0</v>
      </c>
      <c r="AK19" s="2299"/>
      <c r="AL19" s="2229"/>
      <c r="AN19" s="1734">
        <f>IF('Data Entry - SOF'!C113&gt;=1.5,Assumptions!G117,IF(AN24&gt;=AN25,Assumptions!G117,Assumptions!G117*(('Data Entry - SOF'!I108+(AN24/100))/1)))</f>
        <v>0</v>
      </c>
      <c r="AO19" s="2299"/>
      <c r="AR19" s="2069">
        <f>IF('Data Entry - SOF'!C113&gt;=1.5,Assumptions!G126,IF(AR24&gt;=AR25,Assumptions!G126,Assumptions!G126*(('Data Entry - SOF'!K108+(AR24/100))/1)))</f>
        <v>0</v>
      </c>
      <c r="AS19" s="2299"/>
      <c r="AT19" s="2047"/>
      <c r="AW19" s="2630">
        <f>IF('Data Entry - SOF'!C113&gt;=1.5,Assumptions!G135,IF(AW24&gt;=AW25,Assumptions!G135,Assumptions!G135*(('Data Entry - SOF'!M108+(AW24/100))/1)))</f>
        <v>0</v>
      </c>
      <c r="AX19" s="2576"/>
      <c r="AY19" s="2579"/>
      <c r="BB19" s="3746">
        <f>IF('Data Entry - SOF'!C113&gt;=1.5,Assumptions!G144,IF(BB24&gt;=BB25,Assumptions!G144,Assumptions!G144*(('Data Entry - SOF'!O108+(BB24/100))/1)))</f>
        <v>0</v>
      </c>
      <c r="BC19" s="4462"/>
      <c r="BD19" s="3747"/>
    </row>
    <row r="20" spans="2:56">
      <c r="B20" t="s">
        <v>1915</v>
      </c>
      <c r="C20" s="3128">
        <f>ROUND(C19*(((C59-1)*Weights!H44)+1),0)</f>
        <v>0</v>
      </c>
      <c r="D20" s="3155">
        <f>ROUND(D19*(((D59-1)*Weights!I44)+1),0)</f>
        <v>0</v>
      </c>
      <c r="E20" s="1556">
        <f>ROUND(E19*(((E59-1)*Weights!J44)+1),0)</f>
        <v>0</v>
      </c>
      <c r="F20" s="3182">
        <f>ROUND(F19*(((F59-1)*Weights!K44)+1),0)</f>
        <v>0</v>
      </c>
      <c r="G20" s="3209">
        <f>ROUND(G19*(((G59-1)*Weights!L44)+1),0)</f>
        <v>0</v>
      </c>
      <c r="H20" s="3236">
        <f>ROUND(H19*(((H59-1)*Weights!M44)+1),0)</f>
        <v>0</v>
      </c>
      <c r="I20" s="3468">
        <f>ROUND(I19*(((I59-1)*Weights!N44)+1),0)</f>
        <v>0</v>
      </c>
      <c r="J20" s="1491">
        <f>ROUND(J19*(((J59-1)*Weights!J44)+1),0)</f>
        <v>0</v>
      </c>
      <c r="K20" s="1491">
        <f>ROUND(K19*(((J59-1)*Weights!J44)+1),0)</f>
        <v>0</v>
      </c>
      <c r="O20" s="212"/>
      <c r="P20" s="890" t="e">
        <f>ROUND(P19*(((#REF!-1)*Weights!E44)+1),0)</f>
        <v>#REF!</v>
      </c>
      <c r="Q20" s="890" t="e">
        <f>ROUND(Q19*(((#REF!-1)*Weights!E44)+1),0)</f>
        <v>#REF!</v>
      </c>
      <c r="U20"/>
      <c r="W20" s="2466">
        <f>ROUND(W19*(((D59-1)*Weights!J44)+1),0)</f>
        <v>0</v>
      </c>
      <c r="AA20" s="49" t="s">
        <v>4509</v>
      </c>
      <c r="AB20" s="1875">
        <f>ROUND(AB19*(((C59-1)*Weights!H44)+1),0)</f>
        <v>0</v>
      </c>
      <c r="AC20" s="2299"/>
      <c r="AE20" s="49" t="s">
        <v>4509</v>
      </c>
      <c r="AF20" s="1953">
        <f>ROUND(AF19*(((D59-1)*Weights!I44)+1),0)</f>
        <v>0</v>
      </c>
      <c r="AG20" s="2299"/>
      <c r="AI20" s="49" t="s">
        <v>4509</v>
      </c>
      <c r="AJ20" s="1908">
        <f>ROUND(AJ19*(((E59-1)*Weights!J44)+1),0)</f>
        <v>0</v>
      </c>
      <c r="AK20" s="2299"/>
      <c r="AL20" s="2230"/>
      <c r="AM20" s="49" t="s">
        <v>4509</v>
      </c>
      <c r="AN20" s="1916">
        <f>ROUND(AN19*(((F59-1)*Weights!K44)+1),0)</f>
        <v>0</v>
      </c>
      <c r="AO20" s="2299"/>
      <c r="AQ20" s="49" t="s">
        <v>4509</v>
      </c>
      <c r="AR20" s="2070">
        <f>ROUND(AR19*(((G59-1)*Weights!L44)+1),0)</f>
        <v>0</v>
      </c>
      <c r="AS20" s="2299"/>
      <c r="AT20" s="2047"/>
      <c r="AV20" s="2580" t="s">
        <v>4509</v>
      </c>
      <c r="AW20" s="2581">
        <f>ROUND(AW19*(((H59-1)*Weights!M44)+1),0)</f>
        <v>0</v>
      </c>
      <c r="AX20" s="2576"/>
      <c r="AY20" s="2579"/>
      <c r="BA20" s="4463" t="s">
        <v>4509</v>
      </c>
      <c r="BB20" s="3748">
        <f>ROUND(BB19*(((I59-1)*Weights!N44)+1),0)</f>
        <v>0</v>
      </c>
      <c r="BC20" s="4462"/>
      <c r="BD20" s="3747"/>
    </row>
    <row r="21" spans="2:56">
      <c r="B21" t="s">
        <v>94</v>
      </c>
      <c r="C21" s="3128">
        <f t="shared" ref="C21:H21" si="1">ROUND(IF(C10&gt;1600,C20,(1+(1600-IF(C10&gt;C11,C10,C11))*C18)*C20),0)</f>
        <v>0</v>
      </c>
      <c r="D21" s="3155">
        <f t="shared" si="1"/>
        <v>0</v>
      </c>
      <c r="E21" s="1556">
        <f t="shared" si="1"/>
        <v>0</v>
      </c>
      <c r="F21" s="3182">
        <f t="shared" si="1"/>
        <v>0</v>
      </c>
      <c r="G21" s="3209">
        <f t="shared" si="1"/>
        <v>0</v>
      </c>
      <c r="H21" s="3236">
        <f t="shared" si="1"/>
        <v>0</v>
      </c>
      <c r="I21" s="3468">
        <f>ROUND(IF(I10&gt;1600,I20,(1+(1600-IF(I10&gt;I11,I10,I11))*I18)*I20),0)</f>
        <v>0</v>
      </c>
      <c r="J21" s="1491">
        <f>ROUND(IF(D10&gt;1600,J20,(1+(1600-IF(D10&gt;D11,D10,D11))*J18)*J20),0)</f>
        <v>0</v>
      </c>
      <c r="K21" s="1491">
        <f>ROUND(IF(D10&gt;1600,K20,(1+(1600-IF(D10&gt;D11,D10,D11))*K18)*K20),0)</f>
        <v>0</v>
      </c>
      <c r="O21" s="212"/>
      <c r="P21" s="890" t="e">
        <f>ROUND(IF(#REF!&gt;1600,P20,(1+(1600-IF(#REF!&gt;#REF!,#REF!,#REF!))*P18)*P20),0)</f>
        <v>#REF!</v>
      </c>
      <c r="Q21" s="890" t="e">
        <f>ROUND(IF(#REF!&gt;1600,Q20,(1+(1600-IF(#REF!&gt;#REF!,#REF!,#REF!))*Q18)*Q20),0)</f>
        <v>#REF!</v>
      </c>
      <c r="U21"/>
      <c r="W21" s="2466">
        <f>ROUND(IF(D10&gt;1600,W20,(1+(1600-IF(D10&gt;D11,D10,D11))*Weights!J39)*W20),0)</f>
        <v>0</v>
      </c>
      <c r="AA21" s="49" t="s">
        <v>3261</v>
      </c>
      <c r="AB21" s="1875">
        <f>ROUND(IF(C10&gt;1600,AB20,(1+(1600-IF(C10&gt;C11,C10,C11))*C18)*AB20),0)</f>
        <v>0</v>
      </c>
      <c r="AC21" s="2299"/>
      <c r="AE21" s="49" t="s">
        <v>3261</v>
      </c>
      <c r="AF21" s="1953">
        <f>ROUND(IF(D10&gt;1600,AF20,(1+(1600-IF(D10&gt;D11,D10,D11))*D18)*AF20),0)</f>
        <v>0</v>
      </c>
      <c r="AG21" s="2299"/>
      <c r="AI21" s="49" t="s">
        <v>3261</v>
      </c>
      <c r="AJ21" s="1908">
        <f>ROUND(IF(E10&gt;1600,AJ20,(1+(1600-IF(E10&gt;E11,E10,E11))*E18)*AJ20),0)</f>
        <v>0</v>
      </c>
      <c r="AK21" s="2299"/>
      <c r="AL21" s="2230"/>
      <c r="AM21" s="49" t="s">
        <v>3261</v>
      </c>
      <c r="AN21" s="1916">
        <f>ROUND(IF(F10&gt;1600,AN20,(1+(1600-IF(F10&gt;F11,F10,F11))*F18)*AN20),0)</f>
        <v>0</v>
      </c>
      <c r="AO21" s="2299"/>
      <c r="AQ21" s="49" t="s">
        <v>3261</v>
      </c>
      <c r="AR21" s="2070">
        <f>ROUND(IF(G10&gt;1600,AR20,(1+(1600-IF(G10&gt;G11,G10,G11))*G18)*AR20),0)</f>
        <v>0</v>
      </c>
      <c r="AS21" s="2299"/>
      <c r="AT21" s="2047"/>
      <c r="AV21" s="2580" t="s">
        <v>3261</v>
      </c>
      <c r="AW21" s="2581">
        <f>ROUND(IF(H10&gt;1600,AW20,(1+(1600-IF(H10&gt;H11,H10,H11))*H18)*AW20),0)</f>
        <v>0</v>
      </c>
      <c r="AX21" s="2576"/>
      <c r="AY21" s="2579"/>
      <c r="BA21" s="4463" t="s">
        <v>3261</v>
      </c>
      <c r="BB21" s="3748">
        <f>ROUND(IF(I10&gt;1600,BB20,(1+(1600-IF(I10&gt;I11,I10,I11))*I18)*BB20),0)</f>
        <v>0</v>
      </c>
      <c r="BC21" s="4462"/>
      <c r="BD21" s="3747"/>
    </row>
    <row r="22" spans="2:56">
      <c r="B22" t="s">
        <v>2169</v>
      </c>
      <c r="C22" s="3128">
        <f>ROUND(IF(OR(C10&gt;4999.999,'Data Entry - SOF'!C109&lt;12),0,(1+((5000-C10)*Weights!H42))*C20),0)</f>
        <v>0</v>
      </c>
      <c r="D22" s="3155">
        <f>ROUND(IF(OR(D10&gt;4999.999,'Data Entry - SOF'!E109&lt;12),0,(1+((5000-D10)*Weights!I42))*D20),0)</f>
        <v>0</v>
      </c>
      <c r="E22" s="1556">
        <f>ROUND(IF(OR(E10&gt;4999.999,'Data Entry - SOF'!G109&lt;12),0,(1+((5000-E10)*Weights!J42))*E20),0)</f>
        <v>0</v>
      </c>
      <c r="F22" s="3182">
        <f>ROUND(IF(OR(F10&gt;4999.999,'Data Entry - SOF'!I109&lt;12),0,(1+((5000-F10)*Weights!K42))*F20),0)</f>
        <v>0</v>
      </c>
      <c r="G22" s="3209">
        <f>ROUND(IF(OR(G10&gt;4999.999,'Data Entry - SOF'!K109&lt;12),0,(1+((5000-G10)*Weights!L42))*G20),0)</f>
        <v>0</v>
      </c>
      <c r="H22" s="3236">
        <f>ROUND(IF(OR(H10&gt;4999.999,'Data Entry - SOF'!M109&lt;12),0,(1+((5000-H10)*Weights!M42))*H20),0)</f>
        <v>0</v>
      </c>
      <c r="I22" s="3468">
        <f>ROUND(IF(OR(I10&gt;4999.999,'Data Entry - SOF'!O109&lt;12),0,(1+((5000-I10)*Weights!N42))*I20),0)</f>
        <v>0</v>
      </c>
      <c r="J22" s="1491">
        <f>ROUND(IF(OR(D10&gt;4999.999,'Data Entry - SOF'!C109&lt;12),0,(1+((5000-D10)*Weights!J42))*J20),0)</f>
        <v>0</v>
      </c>
      <c r="K22" s="1491">
        <f>ROUND(IF(OR(D10&gt;4999.999,'Data Entry - SOF'!C109&lt;12),0,(1+((5000-D10)*Weights!J42))*K20),0)</f>
        <v>0</v>
      </c>
      <c r="O22" s="212"/>
      <c r="P22" s="883" t="e">
        <f>ROUND(IF(OR(#REF!&gt;4999.999,'Data Entry - SOF'!#REF!&lt;12),0,(1+((5000-#REF!)*Weights!E42))*P20),0)</f>
        <v>#REF!</v>
      </c>
      <c r="Q22" s="883" t="e">
        <f>ROUND(IF(OR(#REF!&gt;4999.999,'Data Entry - SOF'!#REF!&lt;12),0,(1+((5000-#REF!)*Weights!E42))*Q20),0)</f>
        <v>#REF!</v>
      </c>
      <c r="U22"/>
      <c r="W22" s="2467">
        <f>ROUND(IF(OR(D10&gt;4999.999,'Data Entry - SOF'!C109&lt;12),0,(1+((5000-D10)*Weights!J42))*W20),0)</f>
        <v>0</v>
      </c>
      <c r="AA22" s="49" t="s">
        <v>3262</v>
      </c>
      <c r="AB22" s="1876">
        <f>ROUND(IF(OR(C10&gt;4999.999,'Data Entry - SOF'!C109&lt;12),0,(1+((5000-C10)*Weights!H42))*AB20),0)</f>
        <v>0</v>
      </c>
      <c r="AC22" s="2299"/>
      <c r="AE22" s="49" t="s">
        <v>3262</v>
      </c>
      <c r="AF22" s="1953">
        <f>ROUND(IF(OR(D10&gt;4999.999,'Data Entry - SOF'!E109&lt;12),0,(1+((5000-D10)*Weights!I42))*AF20),0)</f>
        <v>0</v>
      </c>
      <c r="AG22" s="2299"/>
      <c r="AI22" s="49" t="s">
        <v>3262</v>
      </c>
      <c r="AJ22" s="1909">
        <f>ROUND(IF(OR(E10&gt;4999.999,'Data Entry - SOF'!G109&lt;12),0,(1+((5000-E10)*Weights!J42))*AJ20),0)</f>
        <v>0</v>
      </c>
      <c r="AK22" s="2299"/>
      <c r="AL22" s="2231"/>
      <c r="AM22" s="49" t="s">
        <v>3262</v>
      </c>
      <c r="AN22" s="1917">
        <f>ROUND(IF(OR(F10&gt;4999.999,'Data Entry - SOF'!I109&lt;12),0,(1+((5000-F10)*Weights!K42))*AN20),0)</f>
        <v>0</v>
      </c>
      <c r="AO22" s="2299"/>
      <c r="AQ22" s="49" t="s">
        <v>3262</v>
      </c>
      <c r="AR22" s="2070">
        <f>ROUND(IF(OR(G10&gt;4999.999,'Data Entry - SOF'!K109&lt;12),0,(1+((5000-G10)*Weights!L42))*AR20),0)</f>
        <v>0</v>
      </c>
      <c r="AS22" s="2299"/>
      <c r="AT22" s="2047"/>
      <c r="AV22" s="2580" t="s">
        <v>3262</v>
      </c>
      <c r="AW22" s="2581">
        <f>ROUND(IF(OR(H10&gt;4999.999,'Data Entry - SOF'!M109&lt;12),0,(1+((5000-H10)*Weights!M42))*AW20),0)</f>
        <v>0</v>
      </c>
      <c r="AX22" s="2576"/>
      <c r="AY22" s="2579"/>
      <c r="BA22" s="4463" t="s">
        <v>3262</v>
      </c>
      <c r="BB22" s="3748">
        <f>ROUND(IF(OR(I10&gt;4999.999,'Data Entry - SOF'!O109&lt;12),0,(1+((5000-I10)*Weights!N42))*BB20),0)</f>
        <v>0</v>
      </c>
      <c r="BC22" s="4462"/>
      <c r="BD22" s="3747"/>
    </row>
    <row r="23" spans="2:56">
      <c r="B23" s="3308" t="s">
        <v>1916</v>
      </c>
      <c r="C23" s="3300">
        <f t="shared" ref="C23:H23" si="2">IF(AND(C22&gt;=C21,C22&gt;=C20),C22,IF(AND(C21&gt;=C20,C21&gt;=C22),C21,C20))</f>
        <v>0</v>
      </c>
      <c r="D23" s="3301">
        <f t="shared" si="2"/>
        <v>0</v>
      </c>
      <c r="E23" s="3302">
        <f t="shared" si="2"/>
        <v>0</v>
      </c>
      <c r="F23" s="3303">
        <f t="shared" si="2"/>
        <v>0</v>
      </c>
      <c r="G23" s="3304">
        <f t="shared" si="2"/>
        <v>0</v>
      </c>
      <c r="H23" s="3305">
        <f t="shared" si="2"/>
        <v>0</v>
      </c>
      <c r="I23" s="3469">
        <f>IF(AND(I22&gt;=I21,I22&gt;=I20),I22,IF(AND(I21&gt;=I20,I21&gt;=I22),I21,I20))</f>
        <v>0</v>
      </c>
      <c r="J23" s="1491">
        <f>IF(AND(J22&gt;=J21,J22&gt;=J20),J22,IF(AND(J21&gt;=J20,J21&gt;=J22),J21,J20))</f>
        <v>0</v>
      </c>
      <c r="K23" s="1491">
        <f>IF(AND(K22&gt;=K21,K22&gt;=K20),K22,IF(AND(K21&gt;=K20,K21&gt;=K22),K21,K20))</f>
        <v>0</v>
      </c>
      <c r="O23" s="212"/>
      <c r="P23" s="890" t="e">
        <f>IF(AND(P22&gt;=P21,P22&gt;=P20),P22,IF(AND(P21&gt;=P20,P21&gt;=P22),P21,P20))</f>
        <v>#REF!</v>
      </c>
      <c r="Q23" s="890" t="e">
        <f>IF(AND(Q22&gt;=Q21,Q22&gt;=Q20),Q22,IF(AND(Q21&gt;=Q20,Q21&gt;=Q22),Q21,Q20))</f>
        <v>#REF!</v>
      </c>
      <c r="U23"/>
      <c r="W23" s="2466">
        <f>IF(AND(W22&gt;=W21,W22&gt;=W20),W22,IF(AND(W21&gt;=W20,W21&gt;=W22),W21,W20))</f>
        <v>0</v>
      </c>
      <c r="AA23" s="49" t="s">
        <v>4484</v>
      </c>
      <c r="AB23" s="1875">
        <f>IF(AND(AB22&gt;=AB21,AB22&gt;=AB20),AB22,IF(AND(AB21&gt;=AB20,AB21&gt;=AB22),AB21,AB20))</f>
        <v>0</v>
      </c>
      <c r="AC23" s="2299"/>
      <c r="AE23" s="49" t="s">
        <v>4484</v>
      </c>
      <c r="AF23" s="1953">
        <f>IF(AND(AF22&gt;=AF21,AF22&gt;=AF20),AF22,IF(AND(AF21&gt;=AF20,AF21&gt;=AF22),AF21,AF20))</f>
        <v>0</v>
      </c>
      <c r="AG23" s="2299"/>
      <c r="AI23" s="49" t="s">
        <v>4484</v>
      </c>
      <c r="AJ23" s="1908">
        <f>IF(AND(AJ22&gt;=AJ21,AJ22&gt;=AJ20),AJ22,IF(AND(AJ21&gt;=AJ20,AJ21&gt;=AJ22),AJ21,AJ20))</f>
        <v>0</v>
      </c>
      <c r="AK23" s="2299"/>
      <c r="AL23" s="2230"/>
      <c r="AM23" s="49" t="s">
        <v>4484</v>
      </c>
      <c r="AN23" s="1916">
        <f>IF(AND(AN22&gt;=AN21,AN22&gt;=AN20),AN22,IF(AND(AN21&gt;=AN20,AN21&gt;=AN22),AN21,AN20))</f>
        <v>0</v>
      </c>
      <c r="AO23" s="2299"/>
      <c r="AQ23" s="49" t="s">
        <v>4484</v>
      </c>
      <c r="AR23" s="2070">
        <f>IF(AND(AR22&gt;=AR21,AR22&gt;=AR20),AR22,IF(AND(AR21&gt;=AR20,AR21&gt;=AR22),AR21,AR20))</f>
        <v>0</v>
      </c>
      <c r="AS23" s="2299"/>
      <c r="AT23" s="2047"/>
      <c r="AV23" s="2580" t="s">
        <v>4484</v>
      </c>
      <c r="AW23" s="2581">
        <f>IF(AND(AW22&gt;=AW21,AW22&gt;=AW20),AW22,IF(AND(AW21&gt;=AW20,AW21&gt;=AW22),AW21,AW20))</f>
        <v>0</v>
      </c>
      <c r="AX23" s="2576"/>
      <c r="AY23" s="2579"/>
      <c r="BA23" s="4463" t="s">
        <v>4484</v>
      </c>
      <c r="BB23" s="3748">
        <f>IF(AND(BB22&gt;=BB21,BB22&gt;=BB20),BB22,IF(AND(BB21&gt;=BB20,BB21&gt;=BB22),BB21,BB20))</f>
        <v>0</v>
      </c>
      <c r="BC23" s="4462"/>
      <c r="BD23" s="3747"/>
    </row>
    <row r="24" spans="2:56">
      <c r="C24" s="3258"/>
      <c r="D24" s="3259"/>
      <c r="E24" s="3260"/>
      <c r="F24" s="3261"/>
      <c r="G24" s="3262"/>
      <c r="H24" s="3263"/>
      <c r="I24" s="3462"/>
      <c r="J24" s="1053"/>
      <c r="O24" s="212"/>
      <c r="P24" s="887"/>
      <c r="Q24" s="887"/>
      <c r="U24"/>
      <c r="W24" s="2468">
        <f>Y44</f>
        <v>0</v>
      </c>
      <c r="AA24" s="49" t="s">
        <v>4460</v>
      </c>
      <c r="AB24" s="1841">
        <f>IF('Data Entry - SOF'!C58-'Data Entry - SOF'!C108&gt;0.06,('Data Entry - SOF'!C58-('Data Entry - SOF'!C108+0.06))*100,0)</f>
        <v>0</v>
      </c>
      <c r="AC24" s="2299"/>
      <c r="AE24" s="49" t="s">
        <v>4460</v>
      </c>
      <c r="AF24" s="1841">
        <f>IF('Data Entry - SOF'!E58-'Data Entry - SOF'!E108&gt;0.06,('Data Entry - SOF'!E58-('Data Entry - SOF'!E108+0.06))*100,0)</f>
        <v>0</v>
      </c>
      <c r="AG24" s="2299"/>
      <c r="AI24" s="49" t="s">
        <v>4460</v>
      </c>
      <c r="AJ24" s="1841">
        <f>IF('Data Entry - SOF'!G58-'Data Entry - SOF'!G108&gt;0.06,('Data Entry - SOF'!G58-('Data Entry - SOF'!G108+0.06))*100,0)</f>
        <v>0</v>
      </c>
      <c r="AK24" s="2299"/>
      <c r="AL24" s="2232"/>
      <c r="AM24" s="49" t="s">
        <v>4460</v>
      </c>
      <c r="AN24" s="1841">
        <f>IF('Data Entry - SOF'!I58-'Data Entry - SOF'!I108&gt;0.06,('Data Entry - SOF'!I58-('Data Entry - SOF'!I108+0.06))*100,0)</f>
        <v>0</v>
      </c>
      <c r="AO24" s="2299"/>
      <c r="AQ24" s="49" t="s">
        <v>4460</v>
      </c>
      <c r="AR24" s="1841">
        <f>IF('Data Entry - SOF'!K58-'Data Entry - SOF'!K108&gt;0.06,('Data Entry - SOF'!K58-('Data Entry - SOF'!K108+0.06))*100,0)</f>
        <v>0</v>
      </c>
      <c r="AS24" s="2299"/>
      <c r="AT24" s="2047"/>
      <c r="AV24" s="2580" t="s">
        <v>4460</v>
      </c>
      <c r="AW24" s="2582">
        <f>IF('Data Entry - SOF'!M58-'Data Entry - SOF'!M108&gt;0.06,('Data Entry - SOF'!M58-('Data Entry - SOF'!M108+0.06))*100,0)</f>
        <v>0</v>
      </c>
      <c r="AX24" s="2576"/>
      <c r="AY24" s="2579"/>
      <c r="BA24" s="4463" t="s">
        <v>4460</v>
      </c>
      <c r="BB24" s="4464">
        <f>IF('Data Entry - SOF'!O58-'Data Entry - SOF'!O108&gt;0.06,('Data Entry - SOF'!O58-('Data Entry - SOF'!O108+0.06))*100,0)</f>
        <v>0</v>
      </c>
      <c r="BC24" s="4462"/>
      <c r="BD24" s="3747"/>
    </row>
    <row r="25" spans="2:56" ht="15.75">
      <c r="B25" s="3306" t="s">
        <v>1053</v>
      </c>
      <c r="C25" s="3264" t="e">
        <f>ROUND((('SOF1617-SB1'!F44-'SOF1617-SB1'!F43-'SOF1617-SB1'!F42-'SOF1617-SB1'!F40-'SOF1617-SB1'!F31-'SOF1617-SB1'!F32-'SOF1617-SB1'!F28)-(((C20-C19)*0.5)/C20)*('SOF1617-SB1'!F44-'SOF1617-SB1'!F43-'SOF1617-SB1'!F42-'SOF1617-SB1'!F40-'SOF1617-SB1'!F31-'SOF1617-SB1'!F32-'SOF1617-SB1'!F28))/C19,3)</f>
        <v>#DIV/0!</v>
      </c>
      <c r="D25" s="3265" t="e">
        <f>ROUND((('SOF1718-SB1'!F44-'SOF1718-SB1'!F43-'SOF1718-SB1'!F42-'SOF1718-SB1'!F40-'SOF1718-SB1'!F31-'SOF1718-SB1'!F32-'SOF1718-SB1'!F28)-(((D20-D19)*0.5)/D20)*('SOF1718-SB1'!F44-'SOF1718-SB1'!F43-'SOF1718-SB1'!F42-'SOF1718-SB1'!F40-'SOF1718-SB1'!F31-'SOF1718-SB1'!F32-'SOF1718-SB1'!F28))/D19,3)</f>
        <v>#DIV/0!</v>
      </c>
      <c r="E25" s="3266" t="e">
        <f>ROUND((('SOF1819-SB1'!F44-'SOF1819-SB1'!F43-'SOF1819-SB1'!F42-'SOF1819-SB1'!F40-'SOF1819-SB1'!F31-'SOF1819-SB1'!F32-'SOF1819-SB1'!F28)-(((E20-E19)*0.5)/E20)*('SOF1819-SB1'!F44-'SOF1819-SB1'!F43-'SOF1819-SB1'!F42-'SOF1819-SB1'!F40-'SOF1819-SB1'!F31-'SOF1819-SB1'!F32-'SOF1819-SB1'!F28))/E19,3)</f>
        <v>#DIV/0!</v>
      </c>
      <c r="F25" s="3267" t="e">
        <f>ROUND((('SOF1920-SB1'!F44-'SOF1920-SB1'!F43-'SOF1920-SB1'!F42-'SOF1920-SB1'!F40-'SOF1920-SB1'!F31-'SOF1920-SB1'!F32-'SOF1920-SB1'!F28)-(((F20-F19)*0.5)/F20)*('SOF1920-SB1'!F44-'SOF1920-SB1'!F43-'SOF1920-SB1'!F42-'SOF1920-SB1'!F40-'SOF1920-SB1'!F31-'SOF1920-SB1'!F32-'SOF1920-SB1'!F28))/F19,3)</f>
        <v>#DIV/0!</v>
      </c>
      <c r="G25" s="3268" t="e">
        <f>ROUND((('SOF2021-SB1'!F44-'SOF2021-SB1'!F43-'SOF2021-SB1'!F42-'SOF2021-SB1'!F40-'SOF2021-SB1'!F31-'SOF2021-SB1'!F32-'SOF2021-SB1'!F28)-(((G20-G19)*0.5)/G20)*('SOF2021-SB1'!F44-'SOF2021-SB1'!F43-'SOF2021-SB1'!F42-'SOF2021-SB1'!F40-'SOF2021-SB1'!F31-'SOF2021-SB1'!F32-'SOF2021-SB1'!F28))/G19,3)</f>
        <v>#DIV/0!</v>
      </c>
      <c r="H25" s="3269" t="e">
        <f>ROUND((('SOF2122-SB1'!F44-'SOF2122-SB1'!F43-'SOF2122-SB1'!F42-'SOF2122-SB1'!F40-'SOF2122-SB1'!F31-'SOF2122-SB1'!F32-'SOF2122-SB1'!F28)-(((H20-H19)*0.5)/H20)*('SOF2122-SB1'!F44-'SOF2122-SB1'!F43-'SOF2122-SB1'!F42-'SOF2122-SB1'!F40-'SOF2122-SB1'!F31-'SOF2122-SB1'!F32-'SOF2122-SB1'!F28))/H19,3)</f>
        <v>#DIV/0!</v>
      </c>
      <c r="I25" s="3470" t="e">
        <f>ROUND((('SOF2223-SB1'!F44-'SOF2223-SB1'!F43-'SOF2223-SB1'!F42-'SOF2223-SB1'!F40-'SOF2223-SB1'!F31-'SOF2223-SB1'!F32-'SOF2223-SB1'!F28)-(((I20-I19)*0.5)/I20)*('SOF2223-SB1'!F44-'SOF2223-SB1'!F43-'SOF2223-SB1'!F42-'SOF2223-SB1'!F40-'SOF2223-SB1'!F31-'SOF2223-SB1'!F32-'SOF2223-SB1'!F28))/I19,3)</f>
        <v>#DIV/0!</v>
      </c>
      <c r="J25" s="1053"/>
      <c r="O25" s="213"/>
      <c r="P25" s="995" t="e">
        <f>ROUND(((#REF!-#REF!-#REF!-#REF!-#REF!-#REF!-#REF!)-(((P20-P19)*0.5)/P20)*(#REF!-#REF!-#REF!-#REF!-#REF!-#REF!-#REF!))/P19,3)</f>
        <v>#REF!</v>
      </c>
      <c r="Q25" s="995" t="e">
        <f>ROUND(((#REF!-#REF!-#REF!-#REF!-#REF!-#REF!-#REF!)-(((Q20-Q19)*0.5)/Q20)*(#REF!-#REF!-#REF!-#REF!-#REF!-#REF!-#REF!))/Q19,3)</f>
        <v>#REF!</v>
      </c>
      <c r="U25"/>
      <c r="W25" s="2469">
        <f>Y45</f>
        <v>100</v>
      </c>
      <c r="AA25" s="49" t="s">
        <v>4459</v>
      </c>
      <c r="AB25" s="1879">
        <f>ROUND(IF('Data Entry - SOF'!C108&gt;=1,0,(1 -'Data Entry - SOF'!C108)*100),4)</f>
        <v>100</v>
      </c>
      <c r="AC25" s="2299"/>
      <c r="AE25" s="49" t="s">
        <v>4459</v>
      </c>
      <c r="AF25" s="1954">
        <f>ROUND(IF('Data Entry - SOF'!E108&gt;=1,0,(1 -'Data Entry - SOF'!E108)*100),4)</f>
        <v>100</v>
      </c>
      <c r="AG25" s="2299"/>
      <c r="AI25" s="49" t="s">
        <v>4459</v>
      </c>
      <c r="AJ25" s="1910">
        <f>ROUND(IF('Data Entry - SOF'!G108&gt;=1,0,(1 -'Data Entry - SOF'!G108)*100),4)</f>
        <v>100</v>
      </c>
      <c r="AK25" s="2299"/>
      <c r="AL25" s="2232"/>
      <c r="AM25" s="49" t="s">
        <v>4459</v>
      </c>
      <c r="AN25" s="1918">
        <f>ROUND(IF('Data Entry - SOF'!I108&gt;=1,0,(1 -'Data Entry - SOF'!I108)*100),4)</f>
        <v>100</v>
      </c>
      <c r="AO25" s="2299"/>
      <c r="AQ25" s="49" t="s">
        <v>4459</v>
      </c>
      <c r="AR25" s="2071">
        <f>ROUND(IF('Data Entry - SOF'!K108&gt;=1,0,(1 -'Data Entry - SOF'!K108)*100),4)</f>
        <v>100</v>
      </c>
      <c r="AS25" s="2299"/>
      <c r="AT25" s="2047"/>
      <c r="AV25" s="2580" t="s">
        <v>4459</v>
      </c>
      <c r="AW25" s="2583">
        <f>ROUND(IF('Data Entry - SOF'!M108&gt;=1,0,(1 -'Data Entry - SOF'!M108)*100),4)</f>
        <v>100</v>
      </c>
      <c r="AX25" s="2576"/>
      <c r="AY25" s="2579"/>
      <c r="BA25" s="4463" t="s">
        <v>4459</v>
      </c>
      <c r="BB25" s="3749">
        <f>ROUND(IF('Data Entry - SOF'!O108&gt;=1,0,(1 -'Data Entry - SOF'!O108)*100),4)</f>
        <v>100</v>
      </c>
      <c r="BC25" s="4462"/>
      <c r="BD25" s="3747"/>
    </row>
    <row r="26" spans="2:56" hidden="1">
      <c r="B26" t="s">
        <v>516</v>
      </c>
      <c r="C26" s="3129">
        <f>'Calc Data'!O69</f>
        <v>0</v>
      </c>
      <c r="D26" s="3156">
        <f>'Calc Data'!P69</f>
        <v>0</v>
      </c>
      <c r="E26" s="1558">
        <f>'Calc Data'!Q69</f>
        <v>0</v>
      </c>
      <c r="F26" s="3183">
        <f>'Calc Data'!R69</f>
        <v>0</v>
      </c>
      <c r="G26" s="3210">
        <f>'Calc Data'!S69</f>
        <v>0</v>
      </c>
      <c r="H26" s="3237">
        <f>'Calc Data'!T69</f>
        <v>0</v>
      </c>
      <c r="I26" s="3471">
        <f>'Calc Data'!U69</f>
        <v>0</v>
      </c>
      <c r="J26" s="1053"/>
      <c r="O26" s="213"/>
      <c r="U26"/>
      <c r="W26" s="2470"/>
      <c r="Y26" s="320"/>
      <c r="AA26" s="321"/>
      <c r="AB26" s="1880"/>
      <c r="AC26" s="2299"/>
      <c r="AE26" s="321"/>
      <c r="AF26" s="2379"/>
      <c r="AG26" s="2299"/>
      <c r="AI26" s="321"/>
      <c r="AJ26" s="1911"/>
      <c r="AK26" s="2299"/>
      <c r="AL26" s="2233"/>
      <c r="AM26" s="321"/>
      <c r="AN26" s="1919"/>
      <c r="AO26" s="2299"/>
      <c r="AQ26" s="321"/>
      <c r="AR26" s="2072"/>
      <c r="AS26" s="2299"/>
      <c r="AT26" s="2047"/>
      <c r="AV26" s="2584"/>
      <c r="AW26" s="2585"/>
      <c r="AX26" s="2576"/>
      <c r="AY26" s="2579"/>
      <c r="BA26" s="3750"/>
      <c r="BB26" s="3751"/>
      <c r="BC26" s="4462"/>
      <c r="BD26" s="3747"/>
    </row>
    <row r="27" spans="2:56" hidden="1">
      <c r="B27" t="s">
        <v>847</v>
      </c>
      <c r="C27" s="3130" t="e">
        <f>('Data Entry - SOF'!I59-IFA!#REF!)/('Data Entry - SOF'!#REF!/100)</f>
        <v>#REF!</v>
      </c>
      <c r="D27" s="3157" t="e">
        <f>('Data Entry - SOF'!Q59-IFA!#REF!)/('Data Entry - SOF'!#REF!/100)</f>
        <v>#VALUE!</v>
      </c>
      <c r="E27" s="1559" t="e">
        <f>('Data Entry - SOF'!M59-IFA!#REF!)/('Data Entry - SOF'!#REF!/100)</f>
        <v>#REF!</v>
      </c>
      <c r="F27" s="3184" t="e">
        <f>('Data Entry - SOF'!S59-IFA!#REF!)/('Data Entry - SOF'!#REF!/100)</f>
        <v>#REF!</v>
      </c>
      <c r="G27" s="3211" t="e">
        <f>('Data Entry - SOF'!T59-IFA!H79)/('Data Entry - SOF'!#REF!/100)</f>
        <v>#REF!</v>
      </c>
      <c r="H27" s="3238" t="e">
        <f>('Data Entry - SOF'!U59-IFA!I79)/('Data Entry - SOF'!#REF!/100)</f>
        <v>#REF!</v>
      </c>
      <c r="I27" s="3472" t="e">
        <f>('Data Entry - SOF'!V59-IFA!J79)/('Data Entry - SOF'!#REF!/100)</f>
        <v>#REF!</v>
      </c>
      <c r="J27" s="1053"/>
      <c r="O27" s="214"/>
      <c r="U27"/>
      <c r="W27" s="2470"/>
      <c r="AB27" s="1880"/>
      <c r="AC27" s="2299"/>
      <c r="AF27" s="2379"/>
      <c r="AG27" s="2299"/>
      <c r="AJ27" s="1911"/>
      <c r="AK27" s="2299"/>
      <c r="AL27" s="2233"/>
      <c r="AN27" s="1919"/>
      <c r="AO27" s="2299"/>
      <c r="AR27" s="2072"/>
      <c r="AS27" s="2299"/>
      <c r="AT27" s="2047"/>
      <c r="AW27" s="2585"/>
      <c r="AX27" s="2576"/>
      <c r="AY27" s="2579"/>
      <c r="BB27" s="3751"/>
      <c r="BC27" s="4462"/>
      <c r="BD27" s="3747"/>
    </row>
    <row r="28" spans="2:56">
      <c r="B28" s="47" t="s">
        <v>887</v>
      </c>
      <c r="C28" s="3258"/>
      <c r="D28" s="3259"/>
      <c r="E28" s="3260"/>
      <c r="F28" s="3261"/>
      <c r="G28" s="3262"/>
      <c r="H28" s="3263"/>
      <c r="I28" s="3462"/>
      <c r="J28" s="1053"/>
      <c r="O28" s="158"/>
      <c r="U28"/>
      <c r="W28" s="2469">
        <f t="shared" ref="W28:W33" si="3">Y46</f>
        <v>0</v>
      </c>
      <c r="AA28" s="49" t="s">
        <v>4461</v>
      </c>
      <c r="AB28" s="1879">
        <f>IF(AB24-AB25&lt;=0,0,AB24-AB25)</f>
        <v>0</v>
      </c>
      <c r="AC28" s="2299"/>
      <c r="AE28" s="49" t="s">
        <v>4461</v>
      </c>
      <c r="AF28" s="1954">
        <f>IF(AF24-AF25&lt;=0,0,AF24-AF25)</f>
        <v>0</v>
      </c>
      <c r="AG28" s="2299"/>
      <c r="AI28" s="49" t="s">
        <v>4461</v>
      </c>
      <c r="AJ28" s="1910">
        <f>IF(AJ24-AJ25&lt;=0,0,AJ24-AJ25)</f>
        <v>0</v>
      </c>
      <c r="AK28" s="2299"/>
      <c r="AL28" s="2232"/>
      <c r="AM28" s="49" t="s">
        <v>4461</v>
      </c>
      <c r="AN28" s="1918">
        <f>IF(AN24-AN25&lt;=0,0,AN24-AN25)</f>
        <v>0</v>
      </c>
      <c r="AO28" s="2299"/>
      <c r="AQ28" s="49" t="s">
        <v>4461</v>
      </c>
      <c r="AR28" s="2071">
        <f>IF(AR24-AR25&lt;=0,0,AR24-AR25)</f>
        <v>0</v>
      </c>
      <c r="AS28" s="2299"/>
      <c r="AT28" s="2047"/>
      <c r="AV28" s="2580" t="s">
        <v>4461</v>
      </c>
      <c r="AW28" s="2583">
        <f>IF(AW24-AW25&lt;=0,0,AW24-AW25)</f>
        <v>0</v>
      </c>
      <c r="AX28" s="2576"/>
      <c r="AY28" s="2579"/>
      <c r="BA28" s="4463" t="s">
        <v>4461</v>
      </c>
      <c r="BB28" s="3749">
        <f>IF(BB24-BB25&lt;=0,0,BB24-BB25)</f>
        <v>0</v>
      </c>
      <c r="BC28" s="4462"/>
      <c r="BD28" s="3747"/>
    </row>
    <row r="29" spans="2:56">
      <c r="B29" t="s">
        <v>675</v>
      </c>
      <c r="C29" s="3270" t="e">
        <f>('Data Entry - SOF'!C59-IFA!J79)/('Data Entry - SOF'!C58*100)</f>
        <v>#DIV/0!</v>
      </c>
      <c r="D29" s="3271" t="e">
        <f>('Data Entry - SOF'!E59-IFA!N79)/('Data Entry - SOF'!E58*100)</f>
        <v>#DIV/0!</v>
      </c>
      <c r="E29" s="3272" t="e">
        <f>('Data Entry - SOF'!G59-IFA!R79)/('Data Entry - SOF'!G58*100)</f>
        <v>#DIV/0!</v>
      </c>
      <c r="F29" s="3273" t="e">
        <f>('Data Entry - SOF'!I59-IFA!V79)/('Data Entry - SOF'!I58*100)</f>
        <v>#DIV/0!</v>
      </c>
      <c r="G29" s="3274" t="e">
        <f>('Data Entry - SOF'!K59-IFA!Z79)/('Data Entry - SOF'!K58*100)</f>
        <v>#DIV/0!</v>
      </c>
      <c r="H29" s="3275" t="e">
        <f>('Data Entry - SOF'!M59-IFA!AD79)/('Data Entry - SOF'!M58*100)</f>
        <v>#DIV/0!</v>
      </c>
      <c r="I29" s="3473" t="e">
        <f>('Data Entry - SOF'!O59-IFA!AH79)/('Data Entry - SOF'!O58*100)</f>
        <v>#DIV/0!</v>
      </c>
      <c r="J29" s="1064"/>
      <c r="O29" s="214"/>
      <c r="U29"/>
      <c r="W29" s="2471" t="e">
        <f t="shared" si="3"/>
        <v>#DIV/0!</v>
      </c>
      <c r="AA29" s="49" t="s">
        <v>4462</v>
      </c>
      <c r="AB29" s="1877" t="e">
        <f>ROUND(IF((((AB28*AB35)/'Data Entry - SOF'!C48)*100)&gt;0.17,0.17,((AB28*AB35)/'Data Entry - SOF'!C48)*100),4)</f>
        <v>#DIV/0!</v>
      </c>
      <c r="AC29" s="2299"/>
      <c r="AE29" s="49" t="s">
        <v>4462</v>
      </c>
      <c r="AF29" s="2374" t="e">
        <f>ROUND(IF((((AF28*AF35)/'Data Entry - SOF'!E48)*100)&gt;0.17,0.17,((AF28*AF35)/'Data Entry - SOF'!E48)*100),4)</f>
        <v>#DIV/0!</v>
      </c>
      <c r="AG29" s="2299"/>
      <c r="AI29" s="49" t="s">
        <v>4462</v>
      </c>
      <c r="AJ29" s="1912" t="e">
        <f>ROUND(IF((((AJ28*AJ35)/'Data Entry - SOF'!G48)*100)&gt;0.17,0.17,((AJ28*AJ35)/'Data Entry - SOF'!G48)*100),4)</f>
        <v>#DIV/0!</v>
      </c>
      <c r="AK29" s="2299"/>
      <c r="AL29" s="2234"/>
      <c r="AM29" s="49" t="s">
        <v>4462</v>
      </c>
      <c r="AN29" s="1920" t="e">
        <f>ROUND(IF((((AN28*AN35)/'Data Entry - SOF'!I48)*100)&gt;0.17,0.17,((AN28*AN35)/'Data Entry - SOF'!I48)*100),4)</f>
        <v>#DIV/0!</v>
      </c>
      <c r="AO29" s="2299"/>
      <c r="AQ29" s="49" t="s">
        <v>4462</v>
      </c>
      <c r="AR29" s="2073" t="e">
        <f>ROUND(IF((((AR28*AR35)/'Data Entry - SOF'!K48)*100)&gt;0.17,0.17,((AR28*AR35)/'Data Entry - SOF'!K48)*100),4)</f>
        <v>#DIV/0!</v>
      </c>
      <c r="AS29" s="2299"/>
      <c r="AT29" s="2047"/>
      <c r="AV29" s="2580" t="s">
        <v>4462</v>
      </c>
      <c r="AW29" s="2586" t="e">
        <f>ROUND(IF((((AW28*AW35)/'Data Entry - SOF'!M48)*100)&gt;0.17,0.17,((AW28*AW35)/'Data Entry - SOF'!M48)*100),4)</f>
        <v>#DIV/0!</v>
      </c>
      <c r="AX29" s="2576"/>
      <c r="AY29" s="2579"/>
      <c r="BA29" s="4463" t="s">
        <v>4462</v>
      </c>
      <c r="BB29" s="3752" t="e">
        <f>ROUND(IF((((BB28*BB35)/'Data Entry - SOF'!O48)*100)&gt;0.17,0.17,((BB28*BB35)/'Data Entry - SOF'!O48)*100),4)</f>
        <v>#DIV/0!</v>
      </c>
      <c r="BC29" s="4462"/>
      <c r="BD29" s="3747"/>
    </row>
    <row r="30" spans="2:56">
      <c r="B30" t="s">
        <v>709</v>
      </c>
      <c r="C30" s="3270" t="e">
        <f>C29*IF('Data Entry - SOF'!C58&lt;'Data Entry - SOF'!C108,('Data Entry - SOF'!C58*100),('Data Entry - SOF'!C108*100))</f>
        <v>#DIV/0!</v>
      </c>
      <c r="D30" s="3271" t="e">
        <f>D29*IF('Data Entry - SOF'!E58&lt;'Data Entry - SOF'!E108,('Data Entry - SOF'!E58*100),('Data Entry - SOF'!E108*100))</f>
        <v>#DIV/0!</v>
      </c>
      <c r="E30" s="3272" t="e">
        <f>E29*IF('Data Entry - SOF'!G58&lt;'Data Entry - SOF'!G108,('Data Entry - SOF'!G58*100),('Data Entry - SOF'!G108*100))</f>
        <v>#DIV/0!</v>
      </c>
      <c r="F30" s="3273" t="e">
        <f>F29*IF('Data Entry - SOF'!I58&lt;'Data Entry - SOF'!I108,('Data Entry - SOF'!I58*100),('Data Entry - SOF'!I108*100))</f>
        <v>#DIV/0!</v>
      </c>
      <c r="G30" s="3274" t="e">
        <f>G29*IF('Data Entry - SOF'!K58&lt;'Data Entry - SOF'!K108,('Data Entry - SOF'!K58*100),('Data Entry - SOF'!K108*100))</f>
        <v>#DIV/0!</v>
      </c>
      <c r="H30" s="3275" t="e">
        <f>H29*IF('Data Entry - SOF'!M58&lt;'Data Entry - SOF'!M108,('Data Entry - SOF'!M58*100),('Data Entry - SOF'!M108*100))</f>
        <v>#DIV/0!</v>
      </c>
      <c r="I30" s="3473" t="e">
        <f>I29*IF('Data Entry - SOF'!O58&lt;'Data Entry - SOF'!O108,('Data Entry - SOF'!O58*100),('Data Entry - SOF'!O108*100))</f>
        <v>#DIV/0!</v>
      </c>
      <c r="J30" s="1053"/>
      <c r="O30" s="158"/>
      <c r="U30"/>
      <c r="W30" s="2469">
        <f t="shared" si="3"/>
        <v>0</v>
      </c>
      <c r="AA30" s="49" t="s">
        <v>4463</v>
      </c>
      <c r="AB30" s="1879">
        <f>'Data Entry - SOF'!C108+IF(AB24&lt;AB25,(AB24/100),(AB25/100))</f>
        <v>0</v>
      </c>
      <c r="AC30" s="2299"/>
      <c r="AE30" s="49" t="s">
        <v>4463</v>
      </c>
      <c r="AF30" s="1954">
        <f>'Data Entry - SOF'!E108+IF(AF24&lt;AF25,(AF24/100),(AF25/100))</f>
        <v>0</v>
      </c>
      <c r="AG30" s="2299"/>
      <c r="AI30" s="49" t="s">
        <v>4463</v>
      </c>
      <c r="AJ30" s="1910">
        <f>'Data Entry - SOF'!G108+IF(AJ24&lt;AJ25,(AJ24/100),(AJ25/100))</f>
        <v>0</v>
      </c>
      <c r="AK30" s="2299"/>
      <c r="AL30" s="2232"/>
      <c r="AM30" s="49" t="s">
        <v>4463</v>
      </c>
      <c r="AN30" s="1918">
        <f>'Data Entry - SOF'!I108+IF(AN24&lt;AN25,(AN24/100),(AN25/100))</f>
        <v>0</v>
      </c>
      <c r="AO30" s="2299"/>
      <c r="AQ30" s="49" t="s">
        <v>4463</v>
      </c>
      <c r="AR30" s="2071">
        <f>'Data Entry - SOF'!K108+IF(AR24&lt;AR25,(AR24/100),(AR25/100))</f>
        <v>0</v>
      </c>
      <c r="AS30" s="2299"/>
      <c r="AT30" s="2047"/>
      <c r="AV30" s="2580" t="s">
        <v>4463</v>
      </c>
      <c r="AW30" s="2583">
        <f>'Data Entry - SOF'!M108+IF(AW24&lt;AW25,(AW24/100),(AW25/100))</f>
        <v>0</v>
      </c>
      <c r="AX30" s="2576"/>
      <c r="AY30" s="2579"/>
      <c r="BA30" s="4463" t="s">
        <v>4463</v>
      </c>
      <c r="BB30" s="3749">
        <f>'Data Entry - SOF'!O108+IF(BB24&lt;BB25,(BB24/100),(BB25/100))</f>
        <v>0</v>
      </c>
      <c r="BC30" s="4462"/>
      <c r="BD30" s="3747"/>
    </row>
    <row r="31" spans="2:56">
      <c r="C31" s="3258"/>
      <c r="D31" s="3259"/>
      <c r="E31" s="3260"/>
      <c r="F31" s="3261"/>
      <c r="G31" s="3262"/>
      <c r="H31" s="3263"/>
      <c r="I31" s="3462"/>
      <c r="J31" s="1053"/>
      <c r="O31" s="158"/>
      <c r="U31"/>
      <c r="W31" s="2472" t="e">
        <f t="shared" si="3"/>
        <v>#DIV/0!</v>
      </c>
      <c r="AA31" s="49" t="s">
        <v>4464</v>
      </c>
      <c r="AB31" s="1881" t="e">
        <f>AB28*AB35</f>
        <v>#DIV/0!</v>
      </c>
      <c r="AC31" s="2299"/>
      <c r="AE31" s="49" t="s">
        <v>4464</v>
      </c>
      <c r="AF31" s="1952" t="e">
        <f>AF28*AF35</f>
        <v>#DIV/0!</v>
      </c>
      <c r="AG31" s="2299"/>
      <c r="AI31" s="49" t="s">
        <v>4464</v>
      </c>
      <c r="AJ31" s="1913" t="e">
        <f>AJ28*AJ35</f>
        <v>#DIV/0!</v>
      </c>
      <c r="AK31" s="2299"/>
      <c r="AL31" s="2235"/>
      <c r="AM31" s="49" t="s">
        <v>4464</v>
      </c>
      <c r="AN31" s="1921" t="e">
        <f>AN28*AN35</f>
        <v>#DIV/0!</v>
      </c>
      <c r="AO31" s="2299"/>
      <c r="AQ31" s="49" t="s">
        <v>4464</v>
      </c>
      <c r="AR31" s="2074" t="e">
        <f>AR28*AR35</f>
        <v>#DIV/0!</v>
      </c>
      <c r="AS31" s="2299"/>
      <c r="AT31" s="2047"/>
      <c r="AV31" s="2580" t="s">
        <v>4464</v>
      </c>
      <c r="AW31" s="2587" t="e">
        <f>AW28*AW35</f>
        <v>#DIV/0!</v>
      </c>
      <c r="AX31" s="2576"/>
      <c r="AY31" s="2579"/>
      <c r="BA31" s="4463" t="s">
        <v>4464</v>
      </c>
      <c r="BB31" s="3753" t="e">
        <f>BB28*BB35</f>
        <v>#DIV/0!</v>
      </c>
      <c r="BC31" s="4462"/>
      <c r="BD31" s="3747"/>
    </row>
    <row r="32" spans="2:56">
      <c r="C32" s="3258"/>
      <c r="D32" s="3259"/>
      <c r="E32" s="3260"/>
      <c r="F32" s="3261"/>
      <c r="G32" s="3262"/>
      <c r="H32" s="3263"/>
      <c r="I32" s="3462"/>
      <c r="J32" s="1053"/>
      <c r="O32" s="158"/>
      <c r="U32"/>
      <c r="W32" s="2473" t="e">
        <f t="shared" si="3"/>
        <v>#DIV/0!</v>
      </c>
      <c r="AA32" s="49" t="s">
        <v>4465</v>
      </c>
      <c r="AB32" s="1878" t="e">
        <f>AB35*IF('Data Entry - SOF'!C58&lt;'Calc Data-SB1'!AB30,('Data Entry - SOF'!C58*100),('Calc Data-SB1'!AB30*100))</f>
        <v>#DIV/0!</v>
      </c>
      <c r="AC32" s="2299"/>
      <c r="AE32" s="49" t="s">
        <v>4465</v>
      </c>
      <c r="AF32" s="1952" t="e">
        <f>AF35*IF('Data Entry - SOF'!E58&lt;'Calc Data-SB1'!AF30,('Data Entry - SOF'!E58*100),('Calc Data-SB1'!AF30*100))</f>
        <v>#DIV/0!</v>
      </c>
      <c r="AG32" s="2299"/>
      <c r="AI32" s="49" t="s">
        <v>4465</v>
      </c>
      <c r="AJ32" s="1914" t="e">
        <f>AJ35*IF('Data Entry - SOF'!G58&lt;'Calc Data-SB1'!AJ30,('Data Entry - SOF'!G58*100),('Calc Data-SB1'!AJ30*100))</f>
        <v>#DIV/0!</v>
      </c>
      <c r="AK32" s="2299"/>
      <c r="AL32" s="2229"/>
      <c r="AM32" s="49" t="s">
        <v>4465</v>
      </c>
      <c r="AN32" s="1922" t="e">
        <f>AN35*IF('Data Entry - SOF'!I58&lt;'Calc Data-SB1'!AN30,('Data Entry - SOF'!I58*100),('Calc Data-SB1'!AN30*100))</f>
        <v>#DIV/0!</v>
      </c>
      <c r="AO32" s="2299"/>
      <c r="AQ32" s="49" t="s">
        <v>4465</v>
      </c>
      <c r="AR32" s="2074" t="e">
        <f>AR35*IF('Data Entry - SOF'!K58&lt;'Calc Data-SB1'!AR30,('Data Entry - SOF'!K58*100),('Calc Data-SB1'!AR30*100))</f>
        <v>#DIV/0!</v>
      </c>
      <c r="AS32" s="2299"/>
      <c r="AT32" s="2047"/>
      <c r="AV32" s="2580" t="s">
        <v>4465</v>
      </c>
      <c r="AW32" s="2587" t="e">
        <f>AW35*IF('Data Entry - SOF'!M58&lt;'Calc Data-SB1'!AW30,('Data Entry - SOF'!M58*100),('Calc Data-SB1'!AW30*100))</f>
        <v>#DIV/0!</v>
      </c>
      <c r="AX32" s="2576"/>
      <c r="AY32" s="2579"/>
      <c r="BA32" s="4463" t="s">
        <v>4465</v>
      </c>
      <c r="BB32" s="3753" t="e">
        <f>BB35*IF('Data Entry - SOF'!O58&lt;'Calc Data-SB1'!BB30,('Data Entry - SOF'!O58*100),('Calc Data-SB1'!BB30*100))</f>
        <v>#DIV/0!</v>
      </c>
      <c r="BC32" s="4462"/>
      <c r="BD32" s="3747"/>
    </row>
    <row r="33" spans="2:57">
      <c r="B33" t="s">
        <v>2030</v>
      </c>
      <c r="C33" s="3276">
        <f>IF('Data Entry - SOF'!C58&lt;='Data Entry - SOF'!C108,0,IF('Data Entry - SOF'!C58&gt;'Data Entry - SOF'!C108+0.06,0.06*100,('Data Entry - SOF'!C58-'Data Entry - SOF'!C108)*100))</f>
        <v>0</v>
      </c>
      <c r="D33" s="3277">
        <f>IF('Data Entry - SOF'!E58&lt;='Data Entry - SOF'!E108,0,IF('Data Entry - SOF'!E58&gt;'Data Entry - SOF'!E108+0.06,0.06*100,('Data Entry - SOF'!E58-'Data Entry - SOF'!E108)*100))</f>
        <v>0</v>
      </c>
      <c r="E33" s="3278">
        <f>IF('Data Entry - SOF'!G58&lt;='Data Entry - SOF'!G108,0,IF('Data Entry - SOF'!G58&gt;'Data Entry - SOF'!G108+0.06,0.06*100,('Data Entry - SOF'!G58-'Data Entry - SOF'!G108)*100))</f>
        <v>0</v>
      </c>
      <c r="F33" s="3279">
        <f>IF('Data Entry - SOF'!I58&lt;='Data Entry - SOF'!I108,0,IF('Data Entry - SOF'!I58&gt;'Data Entry - SOF'!I108+0.06,0.06*100,('Data Entry - SOF'!I58-'Data Entry - SOF'!I108)*100))</f>
        <v>0</v>
      </c>
      <c r="G33" s="3280">
        <f>IF('Data Entry - SOF'!K58&lt;='Data Entry - SOF'!K108,0,IF('Data Entry - SOF'!K58&gt;'Data Entry - SOF'!K108+0.06,0.06*100,('Data Entry - SOF'!K58-'Data Entry - SOF'!K108)*100))</f>
        <v>0</v>
      </c>
      <c r="H33" s="3281">
        <f>IF('Data Entry - SOF'!M58&lt;='Data Entry - SOF'!M108,0,IF('Data Entry - SOF'!M58&gt;'Data Entry - SOF'!M108+0.06,0.06*100,('Data Entry - SOF'!M58-'Data Entry - SOF'!M108)*100))</f>
        <v>0</v>
      </c>
      <c r="I33" s="3474">
        <f>IF('Data Entry - SOF'!O58&lt;='Data Entry - SOF'!O108,0,IF('Data Entry - SOF'!O58&gt;'Data Entry - SOF'!O108+0.06,0.06*100,('Data Entry - SOF'!O58-'Data Entry - SOF'!O108)*100))</f>
        <v>0</v>
      </c>
      <c r="J33" s="1053"/>
      <c r="O33" s="158"/>
      <c r="U33"/>
      <c r="W33" s="2472" t="e">
        <f t="shared" si="3"/>
        <v>#DIV/0!</v>
      </c>
      <c r="AA33" s="49" t="s">
        <v>4491</v>
      </c>
      <c r="AB33" s="1881" t="e">
        <f>AB29*('Data Entry - SOF'!C48/100)</f>
        <v>#DIV/0!</v>
      </c>
      <c r="AC33" s="2299"/>
      <c r="AE33" s="49" t="s">
        <v>4491</v>
      </c>
      <c r="AF33" s="1952" t="e">
        <f>AF29*('Data Entry - SOF'!E48/100)</f>
        <v>#DIV/0!</v>
      </c>
      <c r="AG33" s="2299"/>
      <c r="AI33" s="49" t="s">
        <v>4491</v>
      </c>
      <c r="AJ33" s="1913" t="e">
        <f>AJ29*('Data Entry - SOF'!G48/100)</f>
        <v>#DIV/0!</v>
      </c>
      <c r="AK33" s="2299"/>
      <c r="AL33" s="2235"/>
      <c r="AM33" s="49" t="s">
        <v>4491</v>
      </c>
      <c r="AN33" s="1921" t="e">
        <f>AN29*('Data Entry - SOF'!I48/100)</f>
        <v>#DIV/0!</v>
      </c>
      <c r="AO33" s="2299"/>
      <c r="AQ33" s="49" t="s">
        <v>4491</v>
      </c>
      <c r="AR33" s="2074" t="e">
        <f>AR29*('Data Entry - SOF'!K48/100)</f>
        <v>#DIV/0!</v>
      </c>
      <c r="AS33" s="2299"/>
      <c r="AT33" s="2047"/>
      <c r="AV33" s="2580" t="s">
        <v>4491</v>
      </c>
      <c r="AW33" s="2587" t="e">
        <f>AW29*('Data Entry - SOF'!M48/100)</f>
        <v>#DIV/0!</v>
      </c>
      <c r="AX33" s="2576"/>
      <c r="AY33" s="2579"/>
      <c r="BA33" s="4463" t="s">
        <v>4491</v>
      </c>
      <c r="BB33" s="3753" t="e">
        <f>BB29*('Data Entry - SOF'!O48/100)</f>
        <v>#DIV/0!</v>
      </c>
      <c r="BC33" s="4462"/>
      <c r="BD33" s="3747"/>
    </row>
    <row r="34" spans="2:57">
      <c r="B34" t="s">
        <v>2031</v>
      </c>
      <c r="C34" s="3131" t="e">
        <f t="shared" ref="C34:H34" si="4">C33*C29</f>
        <v>#DIV/0!</v>
      </c>
      <c r="D34" s="3158" t="e">
        <f t="shared" si="4"/>
        <v>#DIV/0!</v>
      </c>
      <c r="E34" s="1560" t="e">
        <f t="shared" si="4"/>
        <v>#DIV/0!</v>
      </c>
      <c r="F34" s="3185" t="e">
        <f t="shared" si="4"/>
        <v>#DIV/0!</v>
      </c>
      <c r="G34" s="3212" t="e">
        <f t="shared" si="4"/>
        <v>#DIV/0!</v>
      </c>
      <c r="H34" s="3239" t="e">
        <f t="shared" si="4"/>
        <v>#DIV/0!</v>
      </c>
      <c r="I34" s="3475" t="e">
        <f>I33*I29</f>
        <v>#DIV/0!</v>
      </c>
      <c r="J34" s="1053"/>
      <c r="O34" s="210"/>
      <c r="U34"/>
      <c r="W34" s="998" t="s">
        <v>6878</v>
      </c>
      <c r="X34" s="999"/>
      <c r="Y34" s="1000"/>
      <c r="Z34" s="996"/>
      <c r="AA34" s="1400"/>
      <c r="AB34" s="2282"/>
      <c r="AC34" s="2279" t="s">
        <v>6884</v>
      </c>
      <c r="AD34" s="2292"/>
      <c r="AE34" s="1400"/>
      <c r="AF34" s="2380"/>
      <c r="AG34" s="2279" t="s">
        <v>6884</v>
      </c>
      <c r="AH34" s="2294"/>
      <c r="AI34" s="1467"/>
      <c r="AJ34" s="2286"/>
      <c r="AK34" s="2279" t="s">
        <v>6884</v>
      </c>
      <c r="AL34" s="2295"/>
      <c r="AM34" s="1571"/>
      <c r="AN34" s="2287"/>
      <c r="AO34" s="2279" t="s">
        <v>6884</v>
      </c>
      <c r="AP34" s="2296"/>
      <c r="AQ34" s="1649"/>
      <c r="AR34" s="2288"/>
      <c r="AS34" s="2279" t="s">
        <v>6884</v>
      </c>
      <c r="AT34" s="2297"/>
      <c r="AU34" s="2068"/>
      <c r="AV34" s="2588"/>
      <c r="AW34" s="2589"/>
      <c r="AX34" s="2590" t="s">
        <v>6884</v>
      </c>
      <c r="AY34" s="2591"/>
      <c r="AZ34" s="2588"/>
      <c r="BA34" s="3754"/>
      <c r="BB34" s="3755"/>
      <c r="BC34" s="4465" t="s">
        <v>6884</v>
      </c>
      <c r="BD34" s="4084"/>
      <c r="BE34" s="3754"/>
    </row>
    <row r="35" spans="2:57">
      <c r="B35" s="3306" t="s">
        <v>892</v>
      </c>
      <c r="C35" s="3282" t="e">
        <f>ROUND(((C33*C29)/'Data Entry - SOF'!C48)*100,4)</f>
        <v>#DIV/0!</v>
      </c>
      <c r="D35" s="3283" t="e">
        <f>ROUND(((D33*D29)/'Data Entry - SOF'!E48)*100,4)</f>
        <v>#DIV/0!</v>
      </c>
      <c r="E35" s="3284" t="e">
        <f>ROUND(((E33*E29)/'Data Entry - SOF'!G48)*100,4)</f>
        <v>#DIV/0!</v>
      </c>
      <c r="F35" s="3285" t="e">
        <f>ROUND(((F33*F29)/'Data Entry - SOF'!I48)*100,4)</f>
        <v>#DIV/0!</v>
      </c>
      <c r="G35" s="3286" t="e">
        <f>ROUND(((G33*G29)/'Data Entry - SOF'!K48)*100,4)</f>
        <v>#DIV/0!</v>
      </c>
      <c r="H35" s="3287" t="e">
        <f>ROUND(((H33*H29)/'Data Entry - SOF'!M48)*100,4)</f>
        <v>#DIV/0!</v>
      </c>
      <c r="I35" s="3476" t="e">
        <f>ROUND(((I33*I29)/'Data Entry - SOF'!O48)*100,4)</f>
        <v>#DIV/0!</v>
      </c>
      <c r="J35" s="1053"/>
      <c r="O35" s="210"/>
      <c r="U35"/>
      <c r="W35" s="1001" t="e">
        <f>('Data Entry - SOF'!E59-IFA!N79)/('Data Entry - SOF'!E58*100)</f>
        <v>#DIV/0!</v>
      </c>
      <c r="X35" s="1001" t="e">
        <f>('Data Entry - SOF'!E59-IFA!N79-'Data Entry - SOF'!E61)/('Data Entry - SOF'!E58*100)</f>
        <v>#DIV/0!</v>
      </c>
      <c r="Y35" s="1926" t="s">
        <v>2149</v>
      </c>
      <c r="Z35" s="996"/>
      <c r="AA35" s="2394"/>
      <c r="AB35" s="1882" t="e">
        <f>('Data Entry - SOF'!C59-IFA!J79)/('Data Entry - SOF'!C58*100)</f>
        <v>#DIV/0!</v>
      </c>
      <c r="AC35" s="2283" t="e">
        <f>('Data Entry - SOF'!C59-IFA!J79-'Data Entry - SOF'!C61)/('Data Entry - SOF'!C58*100)</f>
        <v>#DIV/0!</v>
      </c>
      <c r="AD35" s="2291" t="s">
        <v>6885</v>
      </c>
      <c r="AE35" s="1885" t="s">
        <v>2149</v>
      </c>
      <c r="AF35" s="1956" t="e">
        <f>('Data Entry - SOF'!E59-IFA!N79)/('Data Entry - SOF'!E58*100)</f>
        <v>#DIV/0!</v>
      </c>
      <c r="AG35" s="2280" t="e">
        <f>('Data Entry - SOF'!E59-IFA!N79-'Data Entry - SOF'!E61)/('Data Entry - SOF'!E58*100)</f>
        <v>#DIV/0!</v>
      </c>
      <c r="AH35" s="2291" t="s">
        <v>6885</v>
      </c>
      <c r="AI35" s="2227" t="s">
        <v>2149</v>
      </c>
      <c r="AJ35" s="2361" t="e">
        <f>('Data Entry - SOF'!G59-IFA!R79)/('Data Entry - SOF'!G58*100)</f>
        <v>#DIV/0!</v>
      </c>
      <c r="AK35" s="2325" t="e">
        <f>('Data Entry - SOF'!G59-IFA!R79-'Data Entry - SOF'!G61)/('Data Entry - SOF'!G58*100)</f>
        <v>#DIV/0!</v>
      </c>
      <c r="AL35" s="2291" t="s">
        <v>6885</v>
      </c>
      <c r="AM35" s="2382" t="s">
        <v>2149</v>
      </c>
      <c r="AN35" s="2324" t="e">
        <f>('Data Entry - SOF'!I59-IFA!V79)/('Data Entry - SOF'!I58*100)</f>
        <v>#DIV/0!</v>
      </c>
      <c r="AO35" s="2325" t="e">
        <f>('Data Entry - SOF'!I59-IFA!V79-'Data Entry - SOF'!I61)/('Data Entry - SOF'!I58*100)</f>
        <v>#DIV/0!</v>
      </c>
      <c r="AP35" s="2291" t="s">
        <v>6885</v>
      </c>
      <c r="AQ35" s="2383" t="s">
        <v>2149</v>
      </c>
      <c r="AR35" s="2077" t="e">
        <f>('Data Entry - SOF'!K59-IFA!Z79)/('Data Entry - SOF'!K58*100)</f>
        <v>#DIV/0!</v>
      </c>
      <c r="AS35" s="2289" t="e">
        <f>('Data Entry - SOF'!K59-IFA!AA79-'Data Entry - SOF'!K61)/('Data Entry - SOF'!K58*100)</f>
        <v>#DIV/0!</v>
      </c>
      <c r="AT35" s="2291" t="s">
        <v>6885</v>
      </c>
      <c r="AU35" s="2384" t="s">
        <v>2149</v>
      </c>
      <c r="AV35" s="2592"/>
      <c r="AW35" s="2593" t="e">
        <f>('Data Entry - SOF'!M59-IFA!AD79)/('Data Entry - SOF'!M58*100)</f>
        <v>#DIV/0!</v>
      </c>
      <c r="AX35" s="2594" t="e">
        <f>('Data Entry - SOF'!M59-IFA!AF79-'Data Entry - SOF'!M61)/('Data Entry - SOF'!M58*100)</f>
        <v>#DIV/0!</v>
      </c>
      <c r="AY35" s="2595" t="s">
        <v>6885</v>
      </c>
      <c r="AZ35" s="2596" t="s">
        <v>2149</v>
      </c>
      <c r="BA35" s="4113" t="s">
        <v>7926</v>
      </c>
      <c r="BB35" s="4030" t="e">
        <f>('Data Entry - SOF'!O59-IFA!AH79)/('Data Entry - SOF'!O58*100)</f>
        <v>#DIV/0!</v>
      </c>
      <c r="BC35" s="4085" t="e">
        <f>('Data Entry - SOF'!O59-IFA!AK79-'Data Entry - SOF'!O61)/('Data Entry - SOF'!O58*100)</f>
        <v>#DIV/0!</v>
      </c>
      <c r="BD35" s="4088" t="s">
        <v>6885</v>
      </c>
      <c r="BE35" s="3643" t="s">
        <v>2149</v>
      </c>
    </row>
    <row r="36" spans="2:57">
      <c r="B36" t="s">
        <v>1398</v>
      </c>
      <c r="C36" s="3276">
        <f>IF('Data Entry - SOF'!C58-'Data Entry - SOF'!C108&gt;0.06,('Data Entry - SOF'!C58-('Data Entry - SOF'!C108+0.06))*100,0)</f>
        <v>0</v>
      </c>
      <c r="D36" s="3277">
        <f>IF('Data Entry - SOF'!E58-'Data Entry - SOF'!E108&gt;0.06,('Data Entry - SOF'!E58-('Data Entry - SOF'!E108+0.06))*100,0)</f>
        <v>0</v>
      </c>
      <c r="E36" s="3278">
        <f>IF('Data Entry - SOF'!G58-'Data Entry - SOF'!G108&gt;0.06,('Data Entry - SOF'!G58-('Data Entry - SOF'!G108+0.06))*100,0)</f>
        <v>0</v>
      </c>
      <c r="F36" s="3279">
        <f>IF('Data Entry - SOF'!I58-'Data Entry - SOF'!I108&gt;0.06,('Data Entry - SOF'!I58-('Data Entry - SOF'!I108+0.06))*100,0)</f>
        <v>0</v>
      </c>
      <c r="G36" s="3280">
        <f>IF('Data Entry - SOF'!K58-'Data Entry - SOF'!K108&gt;0.06,('Data Entry - SOF'!K58-('Data Entry - SOF'!K108+0.06))*100,0)</f>
        <v>0</v>
      </c>
      <c r="H36" s="3281">
        <f>IF('Data Entry - SOF'!M58-'Data Entry - SOF'!M108&gt;0.06,('Data Entry - SOF'!M58-('Data Entry - SOF'!M108+0.06))*100,0)</f>
        <v>0</v>
      </c>
      <c r="I36" s="3474">
        <f>IF('Data Entry - SOF'!O58-'Data Entry - SOF'!O108&gt;0.06,('Data Entry - SOF'!O58-('Data Entry - SOF'!O108+0.06))*100,0)</f>
        <v>0</v>
      </c>
      <c r="J36" s="1053"/>
      <c r="O36" s="210"/>
      <c r="U36"/>
      <c r="W36" s="1001" t="e">
        <f>W35*IF('Data Entry - SOF'!E58&lt;'Data Entry - SOF'!C108,('Data Entry - SOF'!E58*100),('Data Entry - SOF'!C108*100))</f>
        <v>#DIV/0!</v>
      </c>
      <c r="X36" s="1001" t="e">
        <f>X35*IF('Data Entry - SOF'!E58&lt;'Data Entry - SOF'!C108,('Data Entry - SOF'!E58*100),('Data Entry - SOF'!C108*100))</f>
        <v>#DIV/0!</v>
      </c>
      <c r="Y36" s="1926">
        <f>'Data Entry - SOF'!C108+0.17</f>
        <v>0.17</v>
      </c>
      <c r="Z36" s="996"/>
      <c r="AA36" s="2394"/>
      <c r="AB36" s="1882"/>
      <c r="AC36" s="2284" t="e">
        <f>AC35*IF('Data Entry - SOF'!C58&lt;'Data Entry - SOF'!C108,('Data Entry - SOF'!C58*100),('Data Entry - SOF'!C108*100))</f>
        <v>#DIV/0!</v>
      </c>
      <c r="AD36" s="2293" t="e">
        <f>AC35*IF('Data Entry - SOF'!C58&lt;='Calc Data-SB1'!AB30,('Data Entry - SOF'!C58*100),('Calc Data-SB1'!AB30*100))</f>
        <v>#DIV/0!</v>
      </c>
      <c r="AE36" s="1885">
        <f>'Data Entry - SOF'!C108+0.17</f>
        <v>0.17</v>
      </c>
      <c r="AF36" s="1956"/>
      <c r="AG36" s="2281" t="e">
        <f>AG35*IF('Data Entry - SOF'!E58&lt;'Data Entry - SOF'!E108,('Data Entry - SOF'!E58*100),('Data Entry - SOF'!E108*100))</f>
        <v>#DIV/0!</v>
      </c>
      <c r="AH36" s="2293" t="e">
        <f>AG35*IF('Data Entry - SOF'!E58&lt;='Calc Data-SB1'!AF30,('Data Entry - SOF'!E58*100),('Calc Data-SB1'!AF30*100))</f>
        <v>#DIV/0!</v>
      </c>
      <c r="AI36" s="2227">
        <f>'Data Entry - SOF'!E108+0.17</f>
        <v>0.17</v>
      </c>
      <c r="AJ36" s="2361"/>
      <c r="AK36" s="2326" t="e">
        <f>AK35*IF('Data Entry - SOF'!G58&lt;'Data Entry - SOF'!G108,('Data Entry - SOF'!G58*100),('Data Entry - SOF'!G108*100))</f>
        <v>#DIV/0!</v>
      </c>
      <c r="AL36" s="2327" t="e">
        <f>AK35*IF('Data Entry - SOF'!G58&lt;='Calc Data-SB1'!AJ30,('Data Entry - SOF'!G58*100),('Calc Data-SB1'!AJ30*100))</f>
        <v>#DIV/0!</v>
      </c>
      <c r="AM36" s="2382">
        <f>'Data Entry - SOF'!G108+0.17</f>
        <v>0.17</v>
      </c>
      <c r="AN36" s="2324"/>
      <c r="AO36" s="2326" t="e">
        <f>AO35*IF('Data Entry - SOF'!I58&lt;'Data Entry - SOF'!I108,('Data Entry - SOF'!I58*100),('Data Entry - SOF'!I108*100))</f>
        <v>#DIV/0!</v>
      </c>
      <c r="AP36" s="2327" t="e">
        <f>AO35*IF('Data Entry - SOF'!I58&lt;='Calc Data-SB1'!AN30,('Data Entry - SOF'!I58*100),('Calc Data-SB1'!AN30*100))</f>
        <v>#DIV/0!</v>
      </c>
      <c r="AQ36" s="2383">
        <f>'Data Entry - SOF'!M108+0.17</f>
        <v>0.17</v>
      </c>
      <c r="AR36" s="2077"/>
      <c r="AS36" s="2290" t="e">
        <f>AS35*IF('Data Entry - SOF'!K58&lt;'Data Entry - SOF'!K108,('Data Entry - SOF'!K58*100),('Data Entry - SOF'!K108*100))</f>
        <v>#DIV/0!</v>
      </c>
      <c r="AT36" s="2320" t="e">
        <f>AS35*IF('Data Entry - SOF'!K58&lt;='Calc Data-SB1'!AR30,('Data Entry - SOF'!K58*100),('Calc Data-SB1'!AR30*100))</f>
        <v>#DIV/0!</v>
      </c>
      <c r="AU36" s="2384">
        <f>'Data Entry - SOF'!K108+0.17</f>
        <v>0.17</v>
      </c>
      <c r="AV36" s="2592"/>
      <c r="AW36" s="2593"/>
      <c r="AX36" s="2597" t="e">
        <f>AX35*IF('Data Entry - SOF'!M58&lt;'Data Entry - SOF'!M108,('Data Entry - SOF'!M58*100),('Data Entry - SOF'!M108*100))</f>
        <v>#DIV/0!</v>
      </c>
      <c r="AY36" s="2598" t="e">
        <f>AX35*IF('Data Entry - SOF'!M58&lt;='Calc Data-SB1'!AW30,('Data Entry - SOF'!M58*100),('Calc Data-SB1'!AW30*100))</f>
        <v>#DIV/0!</v>
      </c>
      <c r="AZ36" s="2596">
        <f>'Data Entry - SOF'!M108+0.17</f>
        <v>0.17</v>
      </c>
      <c r="BA36" s="3756"/>
      <c r="BB36" s="4030"/>
      <c r="BC36" s="4086" t="e">
        <f>BC35*IF('Data Entry - SOF'!O58&lt;'Data Entry - SOF'!O108,('Data Entry - SOF'!O58*100),('Data Entry - SOF'!O108*100))</f>
        <v>#DIV/0!</v>
      </c>
      <c r="BD36" s="4087" t="e">
        <f>BC35*IF('Data Entry - SOF'!O58&lt;='Calc Data-SB1'!BB30,('Data Entry - SOF'!O58*100),('Calc Data-SB1'!BB30*100))</f>
        <v>#DIV/0!</v>
      </c>
      <c r="BE36" s="3643">
        <f>'Data Entry - SOF'!O108+0.17</f>
        <v>0.17</v>
      </c>
    </row>
    <row r="37" spans="2:57">
      <c r="B37" t="s">
        <v>1114</v>
      </c>
      <c r="C37" s="3131" t="e">
        <f t="shared" ref="C37:H37" si="5">C36*C29</f>
        <v>#DIV/0!</v>
      </c>
      <c r="D37" s="3158" t="e">
        <f t="shared" si="5"/>
        <v>#DIV/0!</v>
      </c>
      <c r="E37" s="1560" t="e">
        <f t="shared" si="5"/>
        <v>#DIV/0!</v>
      </c>
      <c r="F37" s="3185" t="e">
        <f t="shared" si="5"/>
        <v>#DIV/0!</v>
      </c>
      <c r="G37" s="3212" t="e">
        <f t="shared" si="5"/>
        <v>#DIV/0!</v>
      </c>
      <c r="H37" s="3239" t="e">
        <f t="shared" si="5"/>
        <v>#DIV/0!</v>
      </c>
      <c r="I37" s="3475" t="e">
        <f>I36*I29</f>
        <v>#DIV/0!</v>
      </c>
      <c r="J37" s="1053"/>
      <c r="O37" s="215"/>
      <c r="U37"/>
      <c r="W37" s="1002" t="e">
        <f>(W36/'Data Entry - SOF'!E50)*100</f>
        <v>#DIV/0!</v>
      </c>
      <c r="X37" s="999"/>
      <c r="Y37" s="1926">
        <f>IF('Data Entry - SOF'!C113&lt;=1.5,0,Y36-0.86)</f>
        <v>0</v>
      </c>
      <c r="Z37" s="996"/>
      <c r="AA37" s="2394"/>
      <c r="AB37" s="1883"/>
      <c r="AC37" s="1884"/>
      <c r="AD37" s="1403"/>
      <c r="AE37" s="1885">
        <f>IF('Data Entry - SOF'!C113&lt;=1.5,0,AE36-0.86)</f>
        <v>0</v>
      </c>
      <c r="AF37" s="2381"/>
      <c r="AG37" s="1466"/>
      <c r="AH37" s="1466"/>
      <c r="AI37" s="2227">
        <f>IF('Data Entry - SOF'!C113&lt;=1.5,0,AI36-0.86)</f>
        <v>0</v>
      </c>
      <c r="AJ37" s="2362"/>
      <c r="AK37" s="1570"/>
      <c r="AL37" s="1570"/>
      <c r="AM37" s="2382">
        <f>IF('Data Entry - SOF'!C113&lt;=1.5,0,AM36-0.86)</f>
        <v>0</v>
      </c>
      <c r="AN37" s="2328"/>
      <c r="AO37" s="2329"/>
      <c r="AP37" s="2329"/>
      <c r="AQ37" s="2383">
        <f>IF('Data Entry - SOF'!D113&lt;=1.5,0,AQ36-0.86)</f>
        <v>0</v>
      </c>
      <c r="AR37" s="2078"/>
      <c r="AS37" s="2075"/>
      <c r="AT37" s="2076"/>
      <c r="AU37" s="2384">
        <f>IF('Data Entry - SOF'!C113&lt;=1.5,0,AU36-0.86)</f>
        <v>0</v>
      </c>
      <c r="AV37" s="2592"/>
      <c r="AW37" s="2599"/>
      <c r="AX37" s="2579"/>
      <c r="AY37" s="2600"/>
      <c r="AZ37" s="2596">
        <f>IF('Data Entry - SOF'!C113&lt;=1.5,0,AZ36-0.86)</f>
        <v>0</v>
      </c>
      <c r="BA37" s="3756"/>
      <c r="BC37" s="3747"/>
      <c r="BE37" s="3643">
        <f>IF('Data Entry - SOF'!C113&lt;=1.5,0,BE36-0.86)</f>
        <v>0</v>
      </c>
    </row>
    <row r="38" spans="2:57">
      <c r="B38" s="3306" t="s">
        <v>895</v>
      </c>
      <c r="C38" s="3282" t="e">
        <f>ROUND(((C36*C29)/'Data Entry - SOF'!C48)*100,4)</f>
        <v>#DIV/0!</v>
      </c>
      <c r="D38" s="3283" t="e">
        <f>ROUND(((D36*D29)/'Data Entry - SOF'!E48)*100,4)</f>
        <v>#DIV/0!</v>
      </c>
      <c r="E38" s="3284" t="e">
        <f>ROUND(((E36*E29)/'Data Entry - SOF'!G48)*100,4)</f>
        <v>#DIV/0!</v>
      </c>
      <c r="F38" s="3285" t="e">
        <f>ROUND(((F36*F29)/'Data Entry - SOF'!I48)*100,4)</f>
        <v>#DIV/0!</v>
      </c>
      <c r="G38" s="3286" t="e">
        <f>ROUND(((G36*G29)/'Data Entry - SOF'!K48)*100,4)</f>
        <v>#DIV/0!</v>
      </c>
      <c r="H38" s="3287" t="e">
        <f>ROUND(((H36*H29)/'Data Entry - SOF'!M48)*100,4)</f>
        <v>#DIV/0!</v>
      </c>
      <c r="I38" s="3476" t="e">
        <f>ROUND(((I36*I29)/'Data Entry - SOF'!O48)*100,4)</f>
        <v>#DIV/0!</v>
      </c>
      <c r="J38" s="1053"/>
      <c r="O38" s="215"/>
      <c r="U38"/>
      <c r="W38" s="999">
        <f>IF('Data Entry - SOF'!E58&lt;='Data Entry - SOF'!C108,0,IF('Data Entry - SOF'!E58&gt;'Data Entry - SOF'!C108+0.06,0.06*100,('Data Entry - SOF'!E58-'Data Entry - SOF'!E108)*100))</f>
        <v>0</v>
      </c>
      <c r="X38" s="1003" t="e">
        <f>ROUND(((W38*W35)/'Data Entry - SOF'!E50)*100,4)</f>
        <v>#DIV/0!</v>
      </c>
      <c r="Y38" s="1000"/>
      <c r="Z38" s="996"/>
      <c r="AA38" s="1400"/>
      <c r="AB38" s="1884"/>
      <c r="AC38" s="1404"/>
      <c r="AD38" s="1404"/>
      <c r="AE38" s="1400"/>
      <c r="AF38" s="1472"/>
      <c r="AG38" s="1466"/>
      <c r="AH38" s="1467"/>
      <c r="AI38" s="1467"/>
      <c r="AJ38" s="2363"/>
      <c r="AK38" s="2228"/>
      <c r="AL38" s="2228"/>
      <c r="AM38" s="1571"/>
      <c r="AN38" s="2329"/>
      <c r="AO38" s="2330"/>
      <c r="AP38" s="2330"/>
      <c r="AQ38" s="1649"/>
      <c r="AR38" s="2075"/>
      <c r="AS38" s="2076"/>
      <c r="AT38" s="2076"/>
      <c r="AU38" s="2068"/>
      <c r="AV38" s="2629"/>
      <c r="AW38" s="2579"/>
      <c r="AX38" s="2600"/>
      <c r="AY38" s="2600"/>
      <c r="AZ38" s="2588"/>
      <c r="BB38" s="3747"/>
      <c r="BE38" s="3754"/>
    </row>
    <row r="39" spans="2:57">
      <c r="C39" s="3258"/>
      <c r="D39" s="3259"/>
      <c r="E39" s="3260"/>
      <c r="F39" s="3261"/>
      <c r="G39" s="3262"/>
      <c r="H39" s="3263"/>
      <c r="I39" s="3462"/>
      <c r="J39" s="1053"/>
      <c r="O39" s="214"/>
      <c r="U39"/>
      <c r="W39" s="999">
        <f>IF('Data Entry - SOF'!E58-'Data Entry - SOF'!C108&gt;0.06,('Data Entry - SOF'!E58-('Data Entry - SOF'!C108+0.06))*100,0)</f>
        <v>0</v>
      </c>
      <c r="X39" s="1003" t="e">
        <f>ROUND(IF((((W39*W35)/'Data Entry - SOF'!E50)*100)&gt;X43,X43,((W39*W35)/'Data Entry - SOF'!E50)*100),4)</f>
        <v>#DIV/0!</v>
      </c>
      <c r="Y39" s="999"/>
      <c r="Z39" s="997"/>
      <c r="AA39" s="1401"/>
      <c r="AB39" s="1884"/>
      <c r="AC39" s="1404"/>
      <c r="AD39" s="1403"/>
      <c r="AE39" s="1401"/>
      <c r="AF39" s="1472"/>
      <c r="AG39" s="1466"/>
      <c r="AH39" s="1466"/>
      <c r="AI39" s="1466"/>
      <c r="AJ39" s="2363"/>
      <c r="AK39" s="2228"/>
      <c r="AL39" s="2228"/>
      <c r="AM39" s="1570"/>
      <c r="AN39" s="2329"/>
      <c r="AO39" s="2330"/>
      <c r="AP39" s="2329"/>
      <c r="AQ39" s="1650"/>
      <c r="AR39" s="2075"/>
      <c r="AS39" s="2076"/>
      <c r="AT39" s="2075"/>
      <c r="AU39" s="2066"/>
      <c r="AV39" s="2601"/>
      <c r="AW39" s="2579"/>
      <c r="AX39" s="2600"/>
      <c r="AY39" s="2579"/>
      <c r="AZ39" s="2601"/>
      <c r="BB39" s="3747"/>
      <c r="BD39" s="3747"/>
    </row>
    <row r="40" spans="2:57">
      <c r="C40" s="3258"/>
      <c r="D40" s="3259"/>
      <c r="E40" s="3260"/>
      <c r="F40" s="3261"/>
      <c r="G40" s="3262"/>
      <c r="H40" s="3263"/>
      <c r="I40" s="3462"/>
      <c r="J40" s="1053"/>
      <c r="O40" s="216"/>
      <c r="U40"/>
      <c r="W40" s="522" t="s">
        <v>437</v>
      </c>
      <c r="X40" s="522"/>
      <c r="Y40" s="2474" t="s">
        <v>7827</v>
      </c>
      <c r="Z40" s="997"/>
      <c r="AA40" s="1401"/>
      <c r="AB40" s="1884"/>
      <c r="AC40" s="1404"/>
      <c r="AD40" s="1403"/>
      <c r="AE40" s="1401"/>
      <c r="AF40" s="1472"/>
      <c r="AG40" s="1466"/>
      <c r="AH40" s="1466"/>
      <c r="AI40" s="1466"/>
      <c r="AJ40" s="2363"/>
      <c r="AK40" s="2228"/>
      <c r="AL40" s="1570"/>
      <c r="AM40" s="1570"/>
      <c r="AN40" s="2329"/>
      <c r="AO40" s="2330"/>
      <c r="AP40" s="2329"/>
      <c r="AQ40" s="1650"/>
      <c r="AR40" s="2075"/>
      <c r="AS40" s="2076"/>
      <c r="AT40" s="2075"/>
      <c r="AU40" s="2066"/>
      <c r="AV40" s="2601"/>
      <c r="AW40" s="2579"/>
      <c r="AX40" s="2600"/>
      <c r="AY40" s="2579"/>
      <c r="AZ40" s="2601"/>
      <c r="BB40" s="3747"/>
      <c r="BD40" s="3747"/>
    </row>
    <row r="41" spans="2:57">
      <c r="C41" s="3258"/>
      <c r="D41" s="3259"/>
      <c r="E41" s="3260"/>
      <c r="F41" s="3261"/>
      <c r="G41" s="3262"/>
      <c r="H41" s="3263"/>
      <c r="I41" s="3462"/>
      <c r="J41" s="1053"/>
      <c r="O41" s="217"/>
      <c r="U41"/>
      <c r="W41" s="522" t="s">
        <v>436</v>
      </c>
      <c r="X41" s="1028">
        <f>'Data Entry - SOF'!C108</f>
        <v>0</v>
      </c>
      <c r="Y41" s="2475" t="e">
        <f>IF(FracFunding1718!E24&lt;=0,FracFunding1718!C5,FracFunding1718!D5)</f>
        <v>#DIV/0!</v>
      </c>
      <c r="Z41" s="522"/>
      <c r="AA41" s="1402"/>
      <c r="AB41" s="1884"/>
      <c r="AC41" s="1404"/>
      <c r="AD41" s="1403"/>
      <c r="AE41" s="1402"/>
      <c r="AF41" s="1472"/>
      <c r="AG41" s="1466"/>
      <c r="AH41" s="1466"/>
      <c r="AI41" s="1466"/>
      <c r="AJ41" s="2363"/>
      <c r="AK41" s="2228"/>
      <c r="AL41" s="1570"/>
      <c r="AM41" s="1570"/>
      <c r="AN41" s="2329"/>
      <c r="AO41" s="2330"/>
      <c r="AP41" s="2329"/>
      <c r="AQ41" s="1650"/>
      <c r="AR41" s="2075"/>
      <c r="AS41" s="2076"/>
      <c r="AT41" s="2075"/>
      <c r="AU41" s="2066"/>
      <c r="AV41" s="2601"/>
      <c r="AW41" s="2579"/>
      <c r="AX41" s="2600"/>
      <c r="AY41" s="2579"/>
      <c r="AZ41" s="2601"/>
      <c r="BB41" s="3747"/>
      <c r="BD41" s="3747"/>
    </row>
    <row r="42" spans="2:57">
      <c r="B42" s="3307" t="s">
        <v>893</v>
      </c>
      <c r="C42" s="3288" t="e">
        <f>C35*('Data Entry - SOF'!C48/100)</f>
        <v>#DIV/0!</v>
      </c>
      <c r="D42" s="3289" t="e">
        <f>D35*('Data Entry - SOF'!E48/100)</f>
        <v>#DIV/0!</v>
      </c>
      <c r="E42" s="3290" t="e">
        <f>E35*('Data Entry - SOF'!G48/100)</f>
        <v>#DIV/0!</v>
      </c>
      <c r="F42" s="3291" t="e">
        <f>F35*('Data Entry - SOF'!I48/100)</f>
        <v>#DIV/0!</v>
      </c>
      <c r="G42" s="3292" t="e">
        <f>G35*('Data Entry - SOF'!K48/100)</f>
        <v>#DIV/0!</v>
      </c>
      <c r="H42" s="3293" t="e">
        <f>H35*('Data Entry - SOF'!M48/100)</f>
        <v>#DIV/0!</v>
      </c>
      <c r="I42" s="3477" t="e">
        <f>I35*('Data Entry - SOF'!O48/100)</f>
        <v>#DIV/0!</v>
      </c>
      <c r="J42" s="1053"/>
      <c r="O42" s="202"/>
      <c r="U42"/>
      <c r="W42" s="522" t="s">
        <v>438</v>
      </c>
      <c r="X42" s="1028">
        <f>MIN(1,X41)</f>
        <v>0</v>
      </c>
      <c r="Y42" s="2475" t="e">
        <f>MIN(1,Y41)</f>
        <v>#DIV/0!</v>
      </c>
      <c r="Z42" s="522"/>
      <c r="AA42" s="1402"/>
      <c r="AB42" s="1884"/>
      <c r="AC42" s="1404"/>
      <c r="AD42" s="1403"/>
      <c r="AE42" s="1402"/>
      <c r="AF42" s="1472"/>
      <c r="AG42" s="1466"/>
      <c r="AH42" s="1466"/>
      <c r="AI42" s="1466"/>
      <c r="AJ42" s="2363"/>
      <c r="AK42" s="2228"/>
      <c r="AL42" s="1570"/>
      <c r="AM42" s="1570"/>
      <c r="AN42" s="2329"/>
      <c r="AO42" s="2330"/>
      <c r="AP42" s="2329"/>
      <c r="AQ42" s="1650"/>
      <c r="AR42" s="2075"/>
      <c r="AS42" s="2076"/>
      <c r="AT42" s="2075"/>
      <c r="AU42" s="2066"/>
      <c r="AV42" s="2601"/>
      <c r="AW42" s="2579"/>
      <c r="AX42" s="2600"/>
      <c r="AY42" s="2579"/>
      <c r="AZ42" s="2601"/>
      <c r="BB42" s="3747"/>
      <c r="BD42" s="3747"/>
    </row>
    <row r="43" spans="2:57">
      <c r="B43" s="3307" t="s">
        <v>894</v>
      </c>
      <c r="C43" s="3288" t="e">
        <f>C38*('Data Entry - SOF'!C48/100)</f>
        <v>#DIV/0!</v>
      </c>
      <c r="D43" s="3289" t="e">
        <f>D38*('Data Entry - SOF'!E48/100)</f>
        <v>#DIV/0!</v>
      </c>
      <c r="E43" s="3290" t="e">
        <f>E38*('Data Entry - SOF'!G48/100)</f>
        <v>#DIV/0!</v>
      </c>
      <c r="F43" s="3291" t="e">
        <f>F38*('Data Entry - SOF'!I48/100)</f>
        <v>#DIV/0!</v>
      </c>
      <c r="G43" s="3292" t="e">
        <f>G38*('Data Entry - SOF'!K48/100)</f>
        <v>#DIV/0!</v>
      </c>
      <c r="H43" s="3293" t="e">
        <f>H38*('Data Entry - SOF'!M48/100)</f>
        <v>#DIV/0!</v>
      </c>
      <c r="I43" s="3477" t="e">
        <f>I38*('Data Entry - SOF'!O48/100)</f>
        <v>#DIV/0!</v>
      </c>
      <c r="J43" s="1053"/>
      <c r="O43" s="216"/>
      <c r="U43"/>
      <c r="W43" s="522" t="s">
        <v>439</v>
      </c>
      <c r="X43" s="1028">
        <f>1.17-X42</f>
        <v>1.17</v>
      </c>
      <c r="Y43" s="2475" t="e">
        <f>1.17-Y42</f>
        <v>#DIV/0!</v>
      </c>
      <c r="Z43" s="522"/>
      <c r="AA43" s="1402"/>
      <c r="AB43" s="1884"/>
      <c r="AC43" s="1404"/>
      <c r="AD43" s="1403"/>
      <c r="AE43" s="1402"/>
      <c r="AF43" s="1472"/>
      <c r="AG43" s="1466"/>
      <c r="AH43" s="1466"/>
      <c r="AI43" s="1466"/>
      <c r="AJ43" s="2363"/>
      <c r="AK43" s="2228"/>
      <c r="AL43" s="1570"/>
      <c r="AM43" s="1570"/>
      <c r="AN43" s="2329"/>
      <c r="AO43" s="2330"/>
      <c r="AP43" s="2329"/>
      <c r="AQ43" s="1650"/>
      <c r="AR43" s="2075"/>
      <c r="AS43" s="2076"/>
      <c r="AT43" s="2075"/>
      <c r="AU43" s="2066"/>
      <c r="AV43" s="2601"/>
      <c r="AW43" s="2579"/>
      <c r="AX43" s="2600"/>
      <c r="AY43" s="2579"/>
      <c r="AZ43" s="2601"/>
      <c r="BB43" s="3747"/>
      <c r="BD43" s="3747"/>
    </row>
    <row r="44" spans="2:57">
      <c r="J44" s="1492"/>
      <c r="L44" s="886"/>
      <c r="O44" s="217"/>
      <c r="U44"/>
      <c r="W44" s="177"/>
      <c r="X44" s="49" t="s">
        <v>4460</v>
      </c>
      <c r="Y44" s="2468">
        <f>FracFunding1718!C18</f>
        <v>0</v>
      </c>
      <c r="AA44" s="1402"/>
      <c r="AB44" s="1402"/>
      <c r="AC44" s="1402"/>
      <c r="AD44" s="1402"/>
      <c r="AE44" s="1402"/>
      <c r="AF44" s="1907"/>
      <c r="AG44" s="1907"/>
      <c r="AH44" s="1907"/>
      <c r="AI44" s="1907"/>
      <c r="AJ44" s="1915"/>
      <c r="AK44" s="1915"/>
      <c r="AL44" s="1915"/>
      <c r="AM44" s="1915"/>
      <c r="AN44" s="2332"/>
      <c r="AO44" s="2332"/>
      <c r="AP44" s="2332"/>
      <c r="AQ44" s="1923"/>
      <c r="AR44" s="2075"/>
      <c r="AS44" s="2075"/>
      <c r="AT44" s="2075"/>
      <c r="AU44" s="2067"/>
      <c r="AW44" s="2579"/>
      <c r="AX44" s="2579"/>
      <c r="AY44" s="2579"/>
      <c r="BB44" s="3747"/>
      <c r="BC44" s="3747"/>
      <c r="BD44" s="3747"/>
    </row>
    <row r="45" spans="2:57">
      <c r="J45" s="1492"/>
      <c r="L45" s="886"/>
      <c r="O45" s="202"/>
      <c r="U45"/>
      <c r="W45" s="177"/>
      <c r="X45" s="49" t="s">
        <v>4459</v>
      </c>
      <c r="Y45" s="2469">
        <f>ROUNDDOWN(IF('Data Entry - SOF'!C108&gt;=1,0,(1 -'Data Entry - SOF'!C108)*100),4)</f>
        <v>100</v>
      </c>
      <c r="AA45" s="177"/>
      <c r="AB45" s="2299"/>
      <c r="AC45" s="2299"/>
      <c r="AD45" s="2299"/>
      <c r="AE45" s="177"/>
      <c r="AF45" s="2299"/>
      <c r="AG45" s="2299"/>
      <c r="AH45" s="2299"/>
      <c r="AI45" s="177"/>
      <c r="AJ45" s="2299"/>
      <c r="AK45" s="2299"/>
      <c r="AL45" s="2299"/>
      <c r="AM45" s="177"/>
      <c r="AN45" s="2333"/>
      <c r="AO45" s="2333"/>
      <c r="AP45" s="2333"/>
      <c r="AQ45" s="177"/>
      <c r="AR45" s="2299"/>
      <c r="AS45" s="2299"/>
      <c r="AT45" s="2299"/>
      <c r="AW45" s="2576"/>
      <c r="AX45" s="2576"/>
      <c r="AY45" s="2576"/>
      <c r="BB45" s="4462"/>
      <c r="BC45" s="4462"/>
      <c r="BD45" s="4462"/>
    </row>
    <row r="46" spans="2:57">
      <c r="B46" s="49" t="s">
        <v>3209</v>
      </c>
      <c r="C46" s="3122">
        <v>0</v>
      </c>
      <c r="D46" s="3149">
        <v>0</v>
      </c>
      <c r="E46" s="1546">
        <v>0</v>
      </c>
      <c r="F46" s="3176">
        <v>0</v>
      </c>
      <c r="G46" s="3203">
        <v>0</v>
      </c>
      <c r="H46" s="3230">
        <v>0</v>
      </c>
      <c r="I46" s="3460">
        <v>0</v>
      </c>
      <c r="J46" s="1492"/>
      <c r="L46" s="886"/>
      <c r="O46" s="216"/>
      <c r="U46"/>
      <c r="W46" s="177"/>
      <c r="X46" s="49" t="s">
        <v>4461</v>
      </c>
      <c r="Y46" s="2469">
        <f>IF(Y44-Y45&lt;=0,0,Y44-Y45)</f>
        <v>0</v>
      </c>
      <c r="AA46" s="177"/>
      <c r="AB46" s="2299"/>
      <c r="AC46" s="2299"/>
      <c r="AD46" s="2299"/>
      <c r="AE46" s="177"/>
      <c r="AF46" s="2299"/>
      <c r="AG46" s="2299"/>
      <c r="AH46" s="2299"/>
      <c r="AI46" s="177"/>
      <c r="AJ46" s="2299"/>
      <c r="AK46" s="2299"/>
      <c r="AL46" s="2299"/>
      <c r="AM46" s="177"/>
      <c r="AN46" s="2333"/>
      <c r="AO46" s="2333"/>
      <c r="AP46" s="2333"/>
      <c r="AQ46" s="177"/>
      <c r="AR46" s="2299"/>
      <c r="AS46" s="2299"/>
      <c r="AT46" s="2299"/>
      <c r="AW46" s="2576"/>
      <c r="AX46" s="2576"/>
      <c r="AY46" s="2576"/>
      <c r="BB46" s="4462"/>
      <c r="BC46" s="4462"/>
      <c r="BD46" s="4462"/>
    </row>
    <row r="47" spans="2:57">
      <c r="B47" s="49" t="s">
        <v>3208</v>
      </c>
      <c r="C47" s="3133">
        <f>'Data Entry - SOF'!C59-IFA!J79-C46</f>
        <v>0</v>
      </c>
      <c r="D47" s="3160">
        <f>'Data Entry - SOF'!E59-IFA!N79-D46</f>
        <v>0</v>
      </c>
      <c r="E47" s="1545">
        <f>'Data Entry - SOF'!G59-IFA!R79-E46</f>
        <v>0</v>
      </c>
      <c r="F47" s="3187">
        <f>'Data Entry - SOF'!I59-IFA!V79-F46</f>
        <v>0</v>
      </c>
      <c r="G47" s="3214">
        <f>'Data Entry - SOF'!K59-IFA!Z79-G46</f>
        <v>0</v>
      </c>
      <c r="H47" s="3241">
        <f>'Data Entry - SOF'!M59-IFA!AD79-H46</f>
        <v>0</v>
      </c>
      <c r="I47" s="3478">
        <f>'Data Entry - SOF'!O59-IFA!AH79-I46</f>
        <v>0</v>
      </c>
      <c r="J47" s="1064"/>
      <c r="L47" s="886"/>
      <c r="O47" s="210"/>
      <c r="U47"/>
      <c r="W47" s="177"/>
      <c r="X47" s="49" t="s">
        <v>4462</v>
      </c>
      <c r="Y47" s="2471" t="e">
        <f>ROUND(IF((((Y46*W35)/'Data Entry - SOF'!E48)*100)&gt;Y43,Y43,((Y46*W35)/'Data Entry - SOF'!E48)*100),4)</f>
        <v>#DIV/0!</v>
      </c>
      <c r="AA47" s="177"/>
      <c r="AB47" s="2299"/>
      <c r="AC47" s="2299"/>
      <c r="AD47" s="2299"/>
      <c r="AE47" s="177"/>
      <c r="AF47" s="2299"/>
      <c r="AG47" s="2299"/>
      <c r="AH47" s="2299"/>
      <c r="AI47" s="177"/>
      <c r="AJ47" s="2299"/>
      <c r="AK47" s="2299"/>
      <c r="AL47" s="2299"/>
      <c r="AM47" s="177"/>
      <c r="AN47" s="2333"/>
      <c r="AO47" s="2333"/>
      <c r="AP47" s="2333"/>
      <c r="AQ47" s="177"/>
      <c r="AR47" s="2299"/>
      <c r="AS47" s="2299"/>
      <c r="AT47" s="2299"/>
      <c r="AW47" s="2576"/>
      <c r="AX47" s="2576"/>
      <c r="AY47" s="2576"/>
      <c r="BB47" s="4462"/>
      <c r="BC47" s="4462"/>
      <c r="BD47" s="4462"/>
    </row>
    <row r="48" spans="2:57">
      <c r="J48" s="1492"/>
      <c r="L48" s="886"/>
      <c r="O48" s="210"/>
      <c r="U48"/>
      <c r="X48" s="49" t="s">
        <v>4463</v>
      </c>
      <c r="Y48" s="2469">
        <f>'Data Entry - SOF'!C108+IF(Y44&lt;Y45,(Y44/100),(Y45/100))</f>
        <v>0</v>
      </c>
      <c r="AA48" s="177"/>
      <c r="AB48" s="2299"/>
      <c r="AC48" s="2299"/>
      <c r="AD48" s="2299"/>
      <c r="AE48" s="177"/>
      <c r="AF48" s="2299"/>
      <c r="AG48" s="2299"/>
      <c r="AH48" s="2299"/>
      <c r="AI48" s="177"/>
      <c r="AJ48" s="2299"/>
      <c r="AK48" s="2299"/>
      <c r="AL48" s="2299"/>
      <c r="AM48" s="177"/>
      <c r="AN48" s="2333"/>
      <c r="AO48" s="2333"/>
      <c r="AP48" s="2333"/>
      <c r="AQ48" s="177"/>
      <c r="AR48" s="2299"/>
      <c r="AS48" s="2299"/>
      <c r="AT48" s="2299"/>
      <c r="AW48" s="2576"/>
      <c r="AX48" s="2576"/>
      <c r="AY48" s="2576"/>
      <c r="BB48" s="4462"/>
      <c r="BC48" s="4462"/>
      <c r="BD48" s="4462"/>
    </row>
    <row r="49" spans="1:57">
      <c r="B49" s="49" t="s">
        <v>3261</v>
      </c>
      <c r="C49" s="3123" t="str">
        <f t="shared" ref="C49:H49" si="6">IF(C21=C20,"N/A",C21)</f>
        <v>N/A</v>
      </c>
      <c r="D49" s="3150" t="str">
        <f t="shared" si="6"/>
        <v>N/A</v>
      </c>
      <c r="E49" s="1551" t="str">
        <f t="shared" si="6"/>
        <v>N/A</v>
      </c>
      <c r="F49" s="3177" t="str">
        <f t="shared" si="6"/>
        <v>N/A</v>
      </c>
      <c r="G49" s="3204" t="str">
        <f t="shared" si="6"/>
        <v>N/A</v>
      </c>
      <c r="H49" s="3231" t="str">
        <f t="shared" si="6"/>
        <v>N/A</v>
      </c>
      <c r="I49" s="3461" t="str">
        <f>IF(I21=I20,"N/A",I21)</f>
        <v>N/A</v>
      </c>
      <c r="J49" s="1492"/>
      <c r="L49" s="886"/>
      <c r="O49" s="202"/>
      <c r="U49"/>
      <c r="X49" s="49" t="s">
        <v>4464</v>
      </c>
      <c r="Y49" s="2472" t="e">
        <f>AF28*W35</f>
        <v>#DIV/0!</v>
      </c>
      <c r="AA49" s="177"/>
      <c r="AB49" s="2299"/>
      <c r="AC49" s="2299"/>
      <c r="AD49" s="2299"/>
      <c r="AE49" s="177"/>
      <c r="AF49" s="2299"/>
      <c r="AG49" s="2299"/>
      <c r="AH49" s="2299"/>
      <c r="AI49" s="177"/>
      <c r="AJ49" s="2299"/>
      <c r="AK49" s="2299"/>
      <c r="AL49" s="2299"/>
      <c r="AM49" s="177"/>
      <c r="AN49" s="2333"/>
      <c r="AO49" s="2333"/>
      <c r="AP49" s="2333"/>
      <c r="AQ49" s="177"/>
      <c r="AR49" s="2299"/>
      <c r="AS49" s="2299"/>
      <c r="AT49" s="2299"/>
      <c r="AW49" s="2576"/>
      <c r="AX49" s="2576"/>
      <c r="AY49" s="2576"/>
      <c r="BB49" s="4462"/>
      <c r="BC49" s="4462"/>
      <c r="BD49" s="4462"/>
    </row>
    <row r="50" spans="1:57">
      <c r="B50" s="49" t="s">
        <v>3262</v>
      </c>
      <c r="C50" s="3123" t="str">
        <f t="shared" ref="C50:H50" si="7">IF(C22=0,"N/A",C22)</f>
        <v>N/A</v>
      </c>
      <c r="D50" s="3150" t="str">
        <f t="shared" si="7"/>
        <v>N/A</v>
      </c>
      <c r="E50" s="1551" t="str">
        <f t="shared" si="7"/>
        <v>N/A</v>
      </c>
      <c r="F50" s="3177" t="str">
        <f t="shared" si="7"/>
        <v>N/A</v>
      </c>
      <c r="G50" s="3204" t="str">
        <f t="shared" si="7"/>
        <v>N/A</v>
      </c>
      <c r="H50" s="3231" t="str">
        <f t="shared" si="7"/>
        <v>N/A</v>
      </c>
      <c r="I50" s="3461" t="str">
        <f>IF(I22=0,"N/A",I22)</f>
        <v>N/A</v>
      </c>
      <c r="J50" s="1492"/>
      <c r="L50" s="886"/>
      <c r="O50" s="202"/>
      <c r="U50"/>
      <c r="X50" s="49" t="s">
        <v>4465</v>
      </c>
      <c r="Y50" s="2473" t="e">
        <f>AG35*IF('Data Entry - SOF'!E58&lt;'Calc Data-SB1'!Y48,('Data Entry - SOF'!E58*100),('Calc Data-SB1'!Y48*100))</f>
        <v>#DIV/0!</v>
      </c>
      <c r="AA50" s="177"/>
      <c r="AB50" s="2299"/>
      <c r="AC50" s="2299"/>
      <c r="AD50" s="2299"/>
      <c r="AE50" s="177"/>
      <c r="AF50" s="2299"/>
      <c r="AG50" s="2299"/>
      <c r="AH50" s="2299"/>
      <c r="AI50" s="177"/>
      <c r="AJ50" s="2299"/>
      <c r="AK50" s="2299"/>
      <c r="AL50" s="2299"/>
      <c r="AM50" s="177"/>
      <c r="AN50" s="2333"/>
      <c r="AO50" s="2333"/>
      <c r="AP50" s="2333"/>
      <c r="AQ50" s="177"/>
      <c r="AR50" s="2299"/>
      <c r="AS50" s="2299"/>
      <c r="AT50" s="2299"/>
      <c r="AW50" s="2576"/>
      <c r="AX50" s="2576"/>
      <c r="AY50" s="2576"/>
      <c r="BB50" s="4462"/>
      <c r="BC50" s="4462"/>
      <c r="BD50" s="4462"/>
    </row>
    <row r="51" spans="1:57">
      <c r="J51" s="1492"/>
      <c r="L51" s="886"/>
      <c r="O51" s="202"/>
      <c r="U51"/>
      <c r="X51" s="49" t="s">
        <v>4491</v>
      </c>
      <c r="Y51" s="2472" t="e">
        <f>Y47*('Data Entry - SOF'!E48/100)</f>
        <v>#DIV/0!</v>
      </c>
      <c r="AA51" s="177"/>
      <c r="AB51" s="2299"/>
      <c r="AC51" s="2299"/>
      <c r="AD51" s="2299"/>
      <c r="AE51" s="177"/>
      <c r="AF51" s="2299"/>
      <c r="AG51" s="2299"/>
      <c r="AH51" s="2299"/>
      <c r="AI51" s="177"/>
      <c r="AJ51" s="2299"/>
      <c r="AK51" s="2299"/>
      <c r="AL51" s="2299"/>
      <c r="AM51" s="177"/>
      <c r="AN51" s="2333"/>
      <c r="AO51" s="2333"/>
      <c r="AP51" s="2333"/>
      <c r="AQ51" s="177"/>
      <c r="AR51" s="2299"/>
      <c r="AS51" s="2299"/>
      <c r="AT51" s="2299"/>
      <c r="AW51" s="2576"/>
      <c r="AX51" s="2576"/>
      <c r="AY51" s="2576"/>
      <c r="BB51" s="4462"/>
      <c r="BC51" s="4462"/>
      <c r="BD51" s="4462"/>
    </row>
    <row r="52" spans="1:57">
      <c r="J52" s="1492"/>
      <c r="L52" s="886"/>
      <c r="U52"/>
      <c r="AA52" s="177"/>
      <c r="AB52" s="2299"/>
      <c r="AC52" s="2299"/>
      <c r="AD52" s="2299"/>
      <c r="AE52" s="177"/>
      <c r="AF52" s="2299"/>
      <c r="AG52" s="2299"/>
      <c r="AH52" s="2299"/>
      <c r="AI52" s="177"/>
      <c r="AJ52" s="2299"/>
      <c r="AK52" s="2299"/>
      <c r="AL52" s="2299"/>
      <c r="AM52" s="177"/>
      <c r="AN52" s="2333"/>
      <c r="AO52" s="2333"/>
      <c r="AP52" s="2333"/>
      <c r="AQ52" s="177"/>
      <c r="AR52" s="2299"/>
      <c r="AS52" s="2299"/>
      <c r="AT52" s="2299"/>
      <c r="AW52" s="2576"/>
      <c r="AX52" s="2576"/>
      <c r="AY52" s="2576"/>
      <c r="BB52" s="4462"/>
      <c r="BC52" s="4462"/>
      <c r="BD52" s="4462"/>
    </row>
    <row r="53" spans="1:57">
      <c r="J53" s="1492"/>
      <c r="L53" s="886"/>
      <c r="U53"/>
      <c r="AA53" s="177"/>
      <c r="AB53" s="2299"/>
      <c r="AC53" s="2299"/>
      <c r="AD53" s="2299"/>
      <c r="AE53" s="177"/>
      <c r="AF53" s="2299"/>
      <c r="AG53" s="2299"/>
      <c r="AH53" s="2299"/>
      <c r="AI53" s="177"/>
      <c r="AJ53" s="2299"/>
      <c r="AK53" s="2299"/>
      <c r="AL53" s="2299"/>
      <c r="AM53" s="177"/>
      <c r="AN53" s="2333"/>
      <c r="AO53" s="2333"/>
      <c r="AP53" s="2333"/>
      <c r="AQ53" s="177"/>
      <c r="AR53" s="2299"/>
      <c r="AS53" s="2299"/>
      <c r="AT53" s="2299"/>
      <c r="AW53" s="2576"/>
      <c r="AX53" s="2576"/>
      <c r="AY53" s="2576"/>
      <c r="BB53" s="4462"/>
      <c r="BC53" s="4462"/>
      <c r="BD53" s="4462"/>
    </row>
    <row r="54" spans="1:57">
      <c r="J54" s="1492"/>
      <c r="L54" s="886"/>
      <c r="U54"/>
      <c r="AA54" s="177"/>
      <c r="AB54" s="2299"/>
      <c r="AC54" s="2299"/>
      <c r="AD54" s="2299"/>
      <c r="AE54" s="177"/>
      <c r="AF54" s="2299"/>
      <c r="AG54" s="2299"/>
      <c r="AH54" s="2299"/>
      <c r="AI54" s="177"/>
      <c r="AJ54" s="2299"/>
      <c r="AK54" s="2299"/>
      <c r="AL54" s="2299"/>
      <c r="AM54" s="177"/>
      <c r="AN54" s="2333"/>
      <c r="AO54" s="2333"/>
      <c r="AP54" s="2333"/>
      <c r="AQ54" s="177"/>
      <c r="AR54" s="2299"/>
      <c r="AS54" s="2299"/>
      <c r="AT54" s="2299"/>
      <c r="AW54" s="2576"/>
      <c r="AX54" s="2576"/>
      <c r="AY54" s="2576"/>
      <c r="BB54" s="4462"/>
      <c r="BC54" s="4462"/>
      <c r="BD54" s="4462"/>
    </row>
    <row r="55" spans="1:57">
      <c r="J55" s="1606" t="s">
        <v>7615</v>
      </c>
      <c r="L55" s="886"/>
      <c r="U55"/>
      <c r="AA55" s="177"/>
      <c r="AB55" s="2299"/>
      <c r="AC55" s="2299"/>
      <c r="AD55" s="2299"/>
      <c r="AE55" s="177"/>
      <c r="AF55" s="2299"/>
      <c r="AG55" s="2299"/>
      <c r="AH55" s="2299"/>
      <c r="AI55" s="177"/>
      <c r="AJ55" s="2299"/>
      <c r="AK55" s="2299"/>
      <c r="AL55" s="2299"/>
      <c r="AM55" s="177"/>
      <c r="AN55" s="2333"/>
      <c r="AO55" s="2333"/>
      <c r="AP55" s="2333"/>
      <c r="AQ55" s="177"/>
      <c r="AR55" s="2299"/>
      <c r="AS55" s="2299"/>
      <c r="AT55" s="2299"/>
      <c r="AW55" s="2576"/>
      <c r="AX55" s="2576"/>
      <c r="AY55" s="2576"/>
      <c r="BB55" s="4462"/>
      <c r="BC55" s="4462"/>
      <c r="BD55" s="4462"/>
    </row>
    <row r="56" spans="1:57">
      <c r="C56" s="3134" t="s">
        <v>3614</v>
      </c>
      <c r="D56" s="3161" t="s">
        <v>3831</v>
      </c>
      <c r="E56" s="1549" t="s">
        <v>3832</v>
      </c>
      <c r="F56" s="3188" t="s">
        <v>3905</v>
      </c>
      <c r="G56" s="3215" t="s">
        <v>4606</v>
      </c>
      <c r="H56" s="3242" t="s">
        <v>7708</v>
      </c>
      <c r="I56" s="3479" t="s">
        <v>7913</v>
      </c>
      <c r="J56" s="1493" t="s">
        <v>3614</v>
      </c>
      <c r="U56"/>
      <c r="AA56" s="1375"/>
      <c r="AB56" s="2299"/>
      <c r="AC56" s="2299"/>
      <c r="AD56" s="2299"/>
      <c r="AE56" s="177"/>
      <c r="AF56" s="2299"/>
      <c r="AG56" s="2299"/>
      <c r="AH56" s="2299"/>
      <c r="AI56" s="177"/>
      <c r="AJ56" s="2299"/>
      <c r="AK56" s="2299"/>
      <c r="AL56" s="2299"/>
      <c r="AM56" s="177"/>
      <c r="AN56" s="2333"/>
      <c r="AO56" s="2333"/>
      <c r="AP56" s="2333"/>
      <c r="AQ56" s="177"/>
      <c r="AR56" s="2299"/>
      <c r="AS56" s="2299"/>
      <c r="AT56" s="2299"/>
      <c r="AW56" s="2576"/>
      <c r="AX56" s="2576"/>
      <c r="AY56" s="2576"/>
      <c r="BB56" s="4462"/>
      <c r="BC56" s="4462"/>
      <c r="BD56" s="4462"/>
    </row>
    <row r="57" spans="1:57">
      <c r="B57" s="99" t="s">
        <v>2418</v>
      </c>
      <c r="C57" s="3135">
        <f>IF(AND(C6&lt;2000,C10&gt;1599.999),'Data Entry - SOF'!C112*(1+((2000-'Calc Data-SB1'!C7)*Weights!H45)),0)</f>
        <v>0</v>
      </c>
      <c r="D57" s="3162">
        <f>IF(AND(D6&lt;2000,D10&gt;1599.999),'Data Entry - SOF'!E112*(1+((2000-'Calc Data-SB1'!D7)*Weights!I45)),0)</f>
        <v>0</v>
      </c>
      <c r="E57" s="1562">
        <f>IF(AND(E6&lt;2000,E10&gt;1599.999),'Data Entry - SOF'!G112*(1+((2000-'Calc Data-SB1'!E7)*Weights!J45)),0)</f>
        <v>0</v>
      </c>
      <c r="F57" s="3189">
        <f>IF(AND(F6&lt;2000,F10&gt;1599.999),'Data Entry - SOF'!I112*(1+((2000-'Calc Data-SB1'!F7)*Weights!K45)),0)</f>
        <v>0</v>
      </c>
      <c r="G57" s="3216">
        <f>IF(AND(G6&lt;2000,G10&gt;1599.999),'Data Entry - SOF'!K112*(1+((2000-'Calc Data-SB1'!G7)*Weights!L45)),0)</f>
        <v>0</v>
      </c>
      <c r="H57" s="3243">
        <f>IF(AND(H6&lt;2000,H10&gt;1599.999),'Data Entry - SOF'!M112*(1+((2000-'Calc Data-SB1'!H7)*Weights!M45)),0)</f>
        <v>0</v>
      </c>
      <c r="I57" s="3480">
        <f>IF(AND(I6&lt;2000,I10&gt;1599.999),'Data Entry - SOF'!O112*(1+((2000-'Calc Data-SB1'!I7)*Weights!N45)),0)</f>
        <v>0</v>
      </c>
      <c r="J57" s="2551">
        <f>IF(AND(C6&lt;2000,C10&gt;1599.999),'Data Entry - SOF'!C112*(1+((2000-C7)*Weights!H45)),0)</f>
        <v>0</v>
      </c>
      <c r="P57" s="552" t="e">
        <f>IF(AND(#REF!&lt;2000,#REF!&gt;1599.999),'Data Entry - SOF'!#REF!*(1+((2000-'Calc Data-SB1'!#REF!)*0.00014)),0)</f>
        <v>#REF!</v>
      </c>
      <c r="U57"/>
      <c r="AA57" s="177"/>
      <c r="AB57" s="2299"/>
      <c r="AC57" s="2299"/>
      <c r="AD57" s="2299"/>
      <c r="AE57" s="177"/>
      <c r="AF57" s="2299"/>
      <c r="AG57" s="2299"/>
      <c r="AH57" s="2299"/>
      <c r="AI57" s="177"/>
      <c r="AJ57" s="2299"/>
      <c r="AK57" s="2299"/>
      <c r="AL57" s="2299"/>
      <c r="AM57" s="177"/>
      <c r="AN57" s="2333"/>
      <c r="AO57" s="2333"/>
      <c r="AP57" s="2333"/>
      <c r="AQ57" s="177"/>
      <c r="AR57" s="2299"/>
      <c r="AS57" s="2299"/>
      <c r="AT57" s="2299"/>
      <c r="AW57" s="2576"/>
      <c r="AX57" s="2576"/>
      <c r="AY57" s="2576"/>
      <c r="BB57" s="4462"/>
      <c r="BC57" s="4462"/>
      <c r="BD57" s="4462"/>
    </row>
    <row r="58" spans="1:57">
      <c r="B58" s="99" t="s">
        <v>1109</v>
      </c>
      <c r="C58" s="3136">
        <f>'Data Entry - SOF'!C112</f>
        <v>0</v>
      </c>
      <c r="D58" s="3163">
        <f>'Data Entry - SOF'!E112</f>
        <v>0</v>
      </c>
      <c r="E58" s="1563">
        <f>'Data Entry - SOF'!G112</f>
        <v>0</v>
      </c>
      <c r="F58" s="3190">
        <f>'Data Entry - SOF'!I112</f>
        <v>0</v>
      </c>
      <c r="G58" s="3217">
        <f>'Data Entry - SOF'!K112</f>
        <v>0</v>
      </c>
      <c r="H58" s="3244">
        <f>'Data Entry - SOF'!M112</f>
        <v>0</v>
      </c>
      <c r="I58" s="3481">
        <f>'Data Entry - SOF'!O112</f>
        <v>0</v>
      </c>
      <c r="J58" s="2552">
        <f>'Data Entry - SOF'!C112</f>
        <v>0</v>
      </c>
      <c r="P58" s="553" t="e">
        <f>'Data Entry - SOF'!#REF!</f>
        <v>#REF!</v>
      </c>
      <c r="U58"/>
      <c r="AA58" s="177"/>
      <c r="AB58" s="2299"/>
      <c r="AC58" s="2299"/>
      <c r="AD58" s="2299"/>
      <c r="AE58" s="177"/>
      <c r="AF58" s="2299"/>
      <c r="AG58" s="2299"/>
      <c r="AH58" s="2299"/>
      <c r="AI58" s="177"/>
      <c r="AJ58" s="2299"/>
      <c r="AK58" s="2299"/>
      <c r="AL58" s="2299"/>
      <c r="AM58" s="177"/>
      <c r="AN58" s="2333"/>
      <c r="AO58" s="2333"/>
      <c r="AP58" s="2333"/>
      <c r="AQ58" s="177"/>
      <c r="AR58" s="2299"/>
      <c r="AS58" s="2299"/>
      <c r="AT58" s="2299"/>
      <c r="AW58" s="2576"/>
      <c r="AX58" s="2576"/>
      <c r="AY58" s="2576"/>
      <c r="BB58" s="4462"/>
      <c r="BC58" s="4462"/>
      <c r="BD58" s="4462"/>
    </row>
    <row r="59" spans="1:57">
      <c r="B59" s="99" t="s">
        <v>2593</v>
      </c>
      <c r="C59" s="3134">
        <f t="shared" ref="C59:H59" si="8">IF(C57&gt;C58,C57,C58)</f>
        <v>0</v>
      </c>
      <c r="D59" s="3161">
        <f t="shared" si="8"/>
        <v>0</v>
      </c>
      <c r="E59" s="1549">
        <f t="shared" si="8"/>
        <v>0</v>
      </c>
      <c r="F59" s="3188">
        <f t="shared" si="8"/>
        <v>0</v>
      </c>
      <c r="G59" s="3215">
        <f t="shared" si="8"/>
        <v>0</v>
      </c>
      <c r="H59" s="3242">
        <f t="shared" si="8"/>
        <v>0</v>
      </c>
      <c r="I59" s="3479">
        <f>IF(I57&gt;I58,I57,I58)</f>
        <v>0</v>
      </c>
      <c r="J59" s="2553">
        <f>IF(J57&gt;J58,J57,J58)</f>
        <v>0</v>
      </c>
      <c r="P59" s="531" t="e">
        <f>IF(P57&gt;P58,P57,P58)</f>
        <v>#REF!</v>
      </c>
      <c r="U59"/>
      <c r="AB59" s="2299"/>
      <c r="AC59" s="2299"/>
      <c r="AF59" s="2299"/>
      <c r="AG59" s="2299"/>
      <c r="AJ59" s="2299"/>
      <c r="AK59" s="2299"/>
      <c r="AL59" s="2299"/>
      <c r="AN59" s="2333"/>
      <c r="AO59" s="2333"/>
      <c r="AP59" s="2334"/>
      <c r="AR59" s="2299"/>
      <c r="AS59" s="2299"/>
      <c r="AT59" s="2047"/>
      <c r="AW59" s="2576"/>
      <c r="AX59" s="2576"/>
      <c r="AY59" s="2579"/>
      <c r="BB59" s="4462"/>
      <c r="BC59" s="4462"/>
      <c r="BD59" s="3747"/>
    </row>
    <row r="60" spans="1:57">
      <c r="B60" s="99"/>
      <c r="L60" s="886"/>
      <c r="U60"/>
      <c r="AB60" s="2299"/>
      <c r="AC60" s="2299"/>
      <c r="AF60" s="2299"/>
      <c r="AG60" s="2299"/>
      <c r="AJ60" s="2299"/>
      <c r="AK60" s="2299"/>
      <c r="AL60" s="2299"/>
      <c r="AN60" s="2333"/>
      <c r="AO60" s="2333"/>
      <c r="AP60" s="2334"/>
      <c r="AR60" s="2299"/>
      <c r="AS60" s="2299"/>
      <c r="AT60" s="2047"/>
      <c r="AW60" s="2576"/>
      <c r="AX60" s="2576"/>
      <c r="AY60" s="2579"/>
      <c r="BB60" s="4462"/>
      <c r="BC60" s="4462"/>
      <c r="BD60" s="3747"/>
    </row>
    <row r="61" spans="1:57">
      <c r="A61" s="126"/>
      <c r="B61" s="99"/>
      <c r="C61" s="3126"/>
      <c r="D61" s="3153"/>
      <c r="E61" s="1554"/>
      <c r="F61" s="3180"/>
      <c r="G61" s="3207"/>
      <c r="H61" s="3234"/>
      <c r="I61" s="3465"/>
      <c r="J61" s="1494"/>
      <c r="L61" s="885"/>
      <c r="U61"/>
      <c r="AB61" s="2299"/>
      <c r="AC61" s="2299"/>
      <c r="AF61" s="2299"/>
      <c r="AG61" s="2299"/>
      <c r="AJ61" s="2299"/>
      <c r="AK61" s="2299"/>
      <c r="AL61" s="2299"/>
      <c r="AN61" s="2333"/>
      <c r="AO61" s="2333"/>
      <c r="AP61" s="2334"/>
      <c r="AR61" s="2299"/>
      <c r="AS61" s="2299"/>
      <c r="AT61" s="2047"/>
      <c r="AW61" s="2576"/>
      <c r="AX61" s="2576"/>
      <c r="AY61" s="2579"/>
      <c r="BB61" s="4462"/>
      <c r="BC61" s="4462"/>
      <c r="BD61" s="3747"/>
    </row>
    <row r="62" spans="1:57">
      <c r="A62" s="126"/>
      <c r="B62" s="99" t="s">
        <v>888</v>
      </c>
      <c r="C62" s="3126"/>
      <c r="D62" s="3153"/>
      <c r="E62" s="1554"/>
      <c r="F62" s="3180"/>
      <c r="G62" s="3207"/>
      <c r="H62" s="3234"/>
      <c r="I62" s="3465"/>
      <c r="J62" s="1494"/>
      <c r="L62" s="885"/>
      <c r="U62"/>
      <c r="AB62" s="2299"/>
      <c r="AC62" s="2299"/>
      <c r="AF62" s="2299"/>
      <c r="AG62" s="2299"/>
      <c r="AJ62" s="2299"/>
      <c r="AK62" s="2299"/>
      <c r="AL62" s="2299"/>
      <c r="AN62" s="2333"/>
      <c r="AO62" s="2333"/>
      <c r="AP62" s="2334"/>
      <c r="AR62" s="2299"/>
      <c r="AS62" s="2299"/>
      <c r="AT62" s="2047"/>
      <c r="AW62" s="2576"/>
      <c r="AX62" s="2576"/>
      <c r="AY62" s="2579"/>
      <c r="BB62" s="4462"/>
      <c r="BC62" s="4462"/>
      <c r="BD62" s="3747"/>
    </row>
    <row r="63" spans="1:57" s="374" customFormat="1" ht="23.25">
      <c r="A63" s="370"/>
      <c r="B63" s="1004" t="s">
        <v>1059</v>
      </c>
      <c r="C63" s="3137" t="s">
        <v>3613</v>
      </c>
      <c r="D63" s="3164" t="s">
        <v>3673</v>
      </c>
      <c r="E63" s="1564" t="s">
        <v>3830</v>
      </c>
      <c r="F63" s="3191" t="s">
        <v>3903</v>
      </c>
      <c r="G63" s="3218" t="s">
        <v>4592</v>
      </c>
      <c r="H63" s="3245" t="s">
        <v>7097</v>
      </c>
      <c r="I63" s="3482" t="s">
        <v>7733</v>
      </c>
      <c r="J63" s="1492"/>
      <c r="L63" s="886"/>
      <c r="M63"/>
      <c r="N63"/>
      <c r="O63" s="373"/>
      <c r="P63"/>
      <c r="Q63"/>
      <c r="R63"/>
      <c r="S63"/>
      <c r="T63"/>
      <c r="U63"/>
      <c r="AA63"/>
      <c r="AB63" s="2299"/>
      <c r="AC63" s="2299"/>
      <c r="AF63" s="2299"/>
      <c r="AG63" s="2299"/>
      <c r="AJ63" s="2299"/>
      <c r="AK63" s="2299"/>
      <c r="AL63" s="2299"/>
      <c r="AN63" s="2333"/>
      <c r="AO63" s="2333"/>
      <c r="AP63" s="2335"/>
      <c r="AR63" s="2299"/>
      <c r="AS63" s="2299"/>
      <c r="AT63" s="2079"/>
      <c r="AV63" s="2603"/>
      <c r="AW63" s="2576"/>
      <c r="AX63" s="2576"/>
      <c r="AY63" s="2604"/>
      <c r="AZ63" s="2603"/>
      <c r="BA63" s="4113"/>
      <c r="BB63" s="4462"/>
      <c r="BC63" s="4462"/>
      <c r="BD63" s="4113"/>
      <c r="BE63" s="3643"/>
    </row>
    <row r="64" spans="1:57">
      <c r="B64" s="1005">
        <f>'Data Entry - SOF'!C122</f>
        <v>0</v>
      </c>
      <c r="C64" s="3138">
        <f>'Data Entry - SOF'!C66</f>
        <v>0</v>
      </c>
      <c r="D64" s="3165">
        <f>'Data Entry - SOF'!E66</f>
        <v>0</v>
      </c>
      <c r="E64" s="1565">
        <f>'Data Entry - SOF'!G66</f>
        <v>0</v>
      </c>
      <c r="F64" s="3192">
        <f>'Data Entry - SOF'!I66</f>
        <v>0</v>
      </c>
      <c r="G64" s="3219">
        <f>'Data Entry - SOF'!K66</f>
        <v>0</v>
      </c>
      <c r="H64" s="3246">
        <f>'Data Entry - SOF'!M66</f>
        <v>0</v>
      </c>
      <c r="I64" s="3483">
        <f>'Data Entry - SOF'!O66</f>
        <v>0</v>
      </c>
      <c r="J64" s="1492"/>
      <c r="L64" s="886"/>
      <c r="U64"/>
      <c r="AB64" s="2299"/>
      <c r="AC64" s="2299"/>
      <c r="AF64" s="2299"/>
      <c r="AG64" s="2299"/>
      <c r="AJ64" s="2299"/>
      <c r="AK64" s="2299"/>
      <c r="AL64" s="2299"/>
      <c r="AN64" s="2333"/>
      <c r="AO64" s="2333"/>
      <c r="AP64" s="2334"/>
      <c r="AR64" s="2299"/>
      <c r="AS64" s="2299"/>
      <c r="AT64" s="2047"/>
      <c r="AW64" s="2576"/>
      <c r="AX64" s="2576"/>
      <c r="AY64" s="2579"/>
      <c r="BB64" s="4462"/>
      <c r="BC64" s="4462"/>
      <c r="BD64" s="3747"/>
    </row>
    <row r="65" spans="1:57">
      <c r="B65" s="1005"/>
      <c r="C65" s="3138">
        <f>C64-B64</f>
        <v>0</v>
      </c>
      <c r="D65" s="3165">
        <f>D64-B64</f>
        <v>0</v>
      </c>
      <c r="E65" s="1565">
        <f>E64-B64</f>
        <v>0</v>
      </c>
      <c r="F65" s="3192">
        <f>F64-B64</f>
        <v>0</v>
      </c>
      <c r="G65" s="3219">
        <f>G64-B64</f>
        <v>0</v>
      </c>
      <c r="H65" s="3246">
        <f>H64-C64</f>
        <v>0</v>
      </c>
      <c r="I65" s="3483">
        <f>I64-D64</f>
        <v>0</v>
      </c>
      <c r="J65" s="1492"/>
      <c r="L65" s="886"/>
      <c r="U65"/>
      <c r="Z65" s="49"/>
      <c r="AN65" s="2334"/>
      <c r="AO65" s="2334"/>
      <c r="AP65" s="2334"/>
    </row>
    <row r="66" spans="1:57">
      <c r="B66" s="1006"/>
      <c r="C66" s="3139"/>
      <c r="D66" s="3166"/>
      <c r="E66" s="1566"/>
      <c r="F66" s="3193"/>
      <c r="G66" s="3220"/>
      <c r="H66" s="3247"/>
      <c r="I66" s="3484"/>
      <c r="J66" s="1492"/>
      <c r="L66" s="886"/>
      <c r="U66"/>
      <c r="Z66" s="49"/>
      <c r="AN66" s="2334"/>
      <c r="AO66" s="2334"/>
      <c r="AP66" s="2334"/>
    </row>
    <row r="67" spans="1:57">
      <c r="B67" s="1005"/>
      <c r="C67" s="3139"/>
      <c r="D67" s="3166"/>
      <c r="E67" s="1566"/>
      <c r="F67" s="3193"/>
      <c r="G67" s="3220"/>
      <c r="H67" s="3247"/>
      <c r="I67" s="3484"/>
      <c r="J67" s="1492"/>
      <c r="L67" s="886"/>
      <c r="U67"/>
      <c r="Z67" s="49"/>
      <c r="AN67" s="2334"/>
      <c r="AO67" s="2334"/>
      <c r="AP67" s="2334"/>
    </row>
    <row r="68" spans="1:57">
      <c r="B68" s="1007"/>
      <c r="C68" s="3139"/>
      <c r="D68" s="3166"/>
      <c r="E68" s="1566"/>
      <c r="F68" s="3193"/>
      <c r="G68" s="3220"/>
      <c r="H68" s="3247"/>
      <c r="I68" s="3484"/>
      <c r="J68" s="1492"/>
      <c r="K68" s="886"/>
      <c r="L68" s="886"/>
      <c r="U68"/>
      <c r="Z68" s="49"/>
      <c r="AN68" s="2334"/>
      <c r="AO68" s="2334"/>
      <c r="AP68" s="2334"/>
    </row>
    <row r="69" spans="1:57" s="880" customFormat="1" ht="18">
      <c r="A69" s="879"/>
      <c r="B69" s="1035" t="s">
        <v>1237</v>
      </c>
      <c r="C69" s="3139"/>
      <c r="D69" s="3166"/>
      <c r="E69" s="1566"/>
      <c r="F69" s="3193"/>
      <c r="G69" s="3220"/>
      <c r="H69" s="3247"/>
      <c r="I69" s="3484"/>
      <c r="J69" s="1492"/>
      <c r="K69" s="886"/>
      <c r="L69" s="886"/>
      <c r="O69" s="881"/>
      <c r="U69"/>
      <c r="AA69" s="1104"/>
      <c r="AB69" s="1104" t="s">
        <v>4538</v>
      </c>
      <c r="AC69" s="1870">
        <f>IF('Data Entry - SOF'!C58-'Calc Data-SB1'!AB30&lt;=0,0,'Data Entry - SOF'!C58-'Calc Data-SB1'!AB30)</f>
        <v>0</v>
      </c>
      <c r="AF69" s="1104" t="s">
        <v>4538</v>
      </c>
      <c r="AG69" s="1870">
        <f>IF('Data Entry - SOF'!E58-'Calc Data-SB1'!AF30&lt;=0,0,'Data Entry - SOF'!E58-'Calc Data-SB1'!AF30)</f>
        <v>0</v>
      </c>
      <c r="AJ69" s="1104" t="s">
        <v>4538</v>
      </c>
      <c r="AK69" s="1870">
        <f>IF('Data Entry - SOF'!G58-'Calc Data-SB1'!AJ30&lt;=0,0,'Data Entry - SOF'!G58-'Calc Data-SB1'!AJ30)</f>
        <v>0</v>
      </c>
      <c r="AL69" s="1870"/>
      <c r="AN69" s="2336" t="s">
        <v>4538</v>
      </c>
      <c r="AO69" s="1870">
        <f>IF('Data Entry - SOF'!I58-'Calc Data-SB1'!AN30&lt;=0,0,'Data Entry - SOF'!I58-'Calc Data-SB1'!AN30)</f>
        <v>0</v>
      </c>
      <c r="AP69" s="2337"/>
      <c r="AR69" s="1104" t="s">
        <v>4538</v>
      </c>
      <c r="AS69" s="1870">
        <f>IF('Data Entry - SOF'!K58-'Calc Data-SB1'!AR30&lt;=0,0,'Data Entry - SOF'!K58-'Calc Data-SB1'!AR30)</f>
        <v>0</v>
      </c>
      <c r="AV69" s="2605"/>
      <c r="AW69" s="2606" t="s">
        <v>4538</v>
      </c>
      <c r="AX69" s="2607">
        <f>IF('Data Entry - SOF'!M58-'Calc Data-SB1'!AW30&lt;=0,0,'Data Entry - SOF'!M58-'Calc Data-SB1'!AW30)</f>
        <v>0</v>
      </c>
      <c r="AY69" s="2605"/>
      <c r="AZ69" s="2605"/>
      <c r="BA69" s="4113"/>
      <c r="BB69" s="4113" t="s">
        <v>4538</v>
      </c>
      <c r="BC69" s="4113">
        <f>IF('Data Entry - SOF'!O58-'Calc Data-SB1'!BB30&lt;=0,0,'Data Entry - SOF'!O58-'Calc Data-SB1'!BB30)</f>
        <v>0</v>
      </c>
      <c r="BD69" s="4113"/>
      <c r="BE69" s="3643"/>
    </row>
    <row r="70" spans="1:57">
      <c r="A70" s="126"/>
      <c r="B70" s="1005">
        <f>'Data Entry - SOF'!C123</f>
        <v>0</v>
      </c>
      <c r="C70" s="3138">
        <f>'SOF1617-SB1'!F42</f>
        <v>0</v>
      </c>
      <c r="D70" s="3165">
        <f>'SOF1718-SB1'!F42</f>
        <v>0</v>
      </c>
      <c r="E70" s="1565">
        <f>'SOF1819-SB1'!F42</f>
        <v>0</v>
      </c>
      <c r="F70" s="3192">
        <f>'SOF1920-SB1'!F42</f>
        <v>0</v>
      </c>
      <c r="G70" s="3219">
        <f>'SOF2021-SB1'!F42</f>
        <v>0</v>
      </c>
      <c r="H70" s="3246">
        <f>'SOF2122-SB1'!F42</f>
        <v>0</v>
      </c>
      <c r="I70" s="3483">
        <f>'SOF2223-SB1'!F42</f>
        <v>0</v>
      </c>
      <c r="J70" s="1492"/>
      <c r="K70" s="886"/>
      <c r="L70" s="886"/>
      <c r="U70"/>
      <c r="AB70" s="49" t="s">
        <v>4539</v>
      </c>
      <c r="AC70">
        <f>IF(AC69&gt;0.06,0.06,AC69)</f>
        <v>0</v>
      </c>
      <c r="AF70" s="49" t="s">
        <v>4539</v>
      </c>
      <c r="AG70">
        <f>IF(AG69&gt;0.06,0.06,AG69)</f>
        <v>0</v>
      </c>
      <c r="AJ70" s="49" t="s">
        <v>4539</v>
      </c>
      <c r="AK70">
        <f>IF(AK69&gt;0.06,0.06,AK69)</f>
        <v>0</v>
      </c>
      <c r="AN70" s="2338" t="s">
        <v>4539</v>
      </c>
      <c r="AO70" s="2334">
        <f>IF(AO69&gt;0.06,0.06,AO69)</f>
        <v>0</v>
      </c>
      <c r="AP70" s="2334"/>
      <c r="AR70" s="49" t="s">
        <v>4539</v>
      </c>
      <c r="AS70">
        <f>IF(AS69&gt;0.06,0.06,AS69)</f>
        <v>0</v>
      </c>
      <c r="AW70" s="2580" t="s">
        <v>4539</v>
      </c>
      <c r="AX70" s="2574">
        <f>IF(AX69&gt;0.06,0.06,AX69)</f>
        <v>0</v>
      </c>
      <c r="BB70" s="4463" t="s">
        <v>4539</v>
      </c>
      <c r="BC70" s="4113">
        <f>IF(BC69&gt;0.06,0.06,BC69)</f>
        <v>0</v>
      </c>
    </row>
    <row r="71" spans="1:57">
      <c r="A71" s="126"/>
      <c r="B71" s="1008"/>
      <c r="C71" s="3140">
        <f>C70-B70</f>
        <v>0</v>
      </c>
      <c r="D71" s="3167">
        <f>D70-B70</f>
        <v>0</v>
      </c>
      <c r="E71" s="1567">
        <f>E70-B70</f>
        <v>0</v>
      </c>
      <c r="F71" s="3194">
        <f>F70-B70</f>
        <v>0</v>
      </c>
      <c r="G71" s="3221">
        <f>G70-B70</f>
        <v>0</v>
      </c>
      <c r="H71" s="3248">
        <f>H70-B70</f>
        <v>0</v>
      </c>
      <c r="I71" s="3485">
        <f>I70-B70</f>
        <v>0</v>
      </c>
      <c r="J71" s="1492"/>
      <c r="K71" s="886"/>
      <c r="L71" s="886"/>
      <c r="U71"/>
      <c r="AB71" s="49" t="s">
        <v>4540</v>
      </c>
      <c r="AC71" s="121" t="e">
        <f>AC70*100*AB35</f>
        <v>#DIV/0!</v>
      </c>
      <c r="AF71" s="49" t="s">
        <v>4540</v>
      </c>
      <c r="AG71" s="121" t="e">
        <f>AG70*100*AF35</f>
        <v>#DIV/0!</v>
      </c>
      <c r="AJ71" s="49" t="s">
        <v>4540</v>
      </c>
      <c r="AK71" s="121" t="e">
        <f>AK70*100*AJ35</f>
        <v>#DIV/0!</v>
      </c>
      <c r="AL71" s="121"/>
      <c r="AN71" s="2338" t="s">
        <v>4540</v>
      </c>
      <c r="AO71" s="2339" t="e">
        <f>AO70*100*AN35</f>
        <v>#DIV/0!</v>
      </c>
      <c r="AP71" s="2334"/>
      <c r="AR71" s="49" t="s">
        <v>4540</v>
      </c>
      <c r="AS71" s="121" t="e">
        <f>AS70*100*AR35</f>
        <v>#DIV/0!</v>
      </c>
      <c r="AW71" s="2580" t="s">
        <v>4540</v>
      </c>
      <c r="AX71" s="2608" t="e">
        <f>AX70*100*AW35</f>
        <v>#DIV/0!</v>
      </c>
      <c r="BB71" s="4463" t="s">
        <v>4540</v>
      </c>
      <c r="BC71" s="4113" t="e">
        <f>BC70*100*BB35</f>
        <v>#DIV/0!</v>
      </c>
    </row>
    <row r="72" spans="1:57">
      <c r="A72" s="126"/>
      <c r="B72" s="47" t="s">
        <v>6883</v>
      </c>
      <c r="C72" s="3141" t="s">
        <v>6877</v>
      </c>
      <c r="D72" s="3168" t="s">
        <v>6878</v>
      </c>
      <c r="E72" s="1822" t="s">
        <v>6879</v>
      </c>
      <c r="F72" s="3195" t="s">
        <v>6880</v>
      </c>
      <c r="G72" s="3222" t="s">
        <v>6881</v>
      </c>
      <c r="H72" s="3249" t="s">
        <v>7709</v>
      </c>
      <c r="I72" s="3486" t="s">
        <v>7914</v>
      </c>
      <c r="J72" s="1492"/>
      <c r="K72" s="886"/>
      <c r="L72" s="886"/>
      <c r="U72"/>
      <c r="AB72" s="194"/>
      <c r="AC72" s="2299"/>
      <c r="AF72" s="194"/>
      <c r="AG72" s="2299"/>
      <c r="AJ72" s="194"/>
      <c r="AK72" s="2299"/>
      <c r="AN72" s="2340"/>
      <c r="AO72" s="2333"/>
      <c r="AP72" s="2334"/>
      <c r="AR72" s="194"/>
      <c r="AS72" s="2299"/>
      <c r="AW72" s="2577"/>
      <c r="AX72" s="2576"/>
      <c r="BB72" s="3745"/>
      <c r="BC72" s="4462"/>
    </row>
    <row r="73" spans="1:57">
      <c r="A73" s="126"/>
      <c r="B73" t="s">
        <v>6895</v>
      </c>
      <c r="C73" s="3142">
        <f>MIN('Data Entry - SOF'!C133,'Data Entry - SOF'!C58)</f>
        <v>0</v>
      </c>
      <c r="D73" s="3169">
        <f>MIN('Data Entry - SOF'!C133,'Data Entry - SOF'!E58)</f>
        <v>0</v>
      </c>
      <c r="E73" s="2440">
        <f>MIN('Data Entry - SOF'!C133,'Data Entry - SOF'!G58)</f>
        <v>0</v>
      </c>
      <c r="F73" s="3196">
        <f>MIN('Data Entry - SOF'!C133,'Data Entry - SOF'!I58)</f>
        <v>0</v>
      </c>
      <c r="G73" s="3223">
        <f>MIN('Data Entry - SOF'!C133,'Data Entry - SOF'!K58)</f>
        <v>0</v>
      </c>
      <c r="H73" s="3250">
        <f>MIN('Data Entry - SOF'!C133,'Data Entry - SOF'!M58)</f>
        <v>0</v>
      </c>
      <c r="I73" s="3487">
        <f>MIN('Data Entry - SOF'!C133,'Data Entry - SOF'!O58)</f>
        <v>0</v>
      </c>
      <c r="J73" s="1492"/>
      <c r="K73" s="886"/>
      <c r="L73" s="886"/>
      <c r="U73"/>
      <c r="AA73" s="98" t="s">
        <v>4725</v>
      </c>
      <c r="AB73" s="194" t="s">
        <v>3613</v>
      </c>
      <c r="AC73" s="2300"/>
      <c r="AE73" s="98" t="s">
        <v>4725</v>
      </c>
      <c r="AF73" s="194" t="s">
        <v>3673</v>
      </c>
      <c r="AG73" s="2299"/>
      <c r="AI73" s="98" t="s">
        <v>4725</v>
      </c>
      <c r="AJ73" s="194" t="s">
        <v>3830</v>
      </c>
      <c r="AK73" s="2299"/>
      <c r="AL73" s="2301"/>
      <c r="AM73" s="98" t="s">
        <v>4725</v>
      </c>
      <c r="AN73" s="194" t="s">
        <v>3903</v>
      </c>
      <c r="AO73" s="2333"/>
      <c r="AP73" s="2334"/>
      <c r="AQ73" s="98" t="s">
        <v>4725</v>
      </c>
      <c r="AR73" s="194" t="s">
        <v>4592</v>
      </c>
      <c r="AS73" s="2299"/>
      <c r="AV73" s="2609" t="s">
        <v>4725</v>
      </c>
      <c r="AW73" s="2577" t="s">
        <v>7097</v>
      </c>
      <c r="AX73" s="2576"/>
      <c r="BA73" s="4113" t="s">
        <v>4725</v>
      </c>
      <c r="BB73" s="3745" t="s">
        <v>7733</v>
      </c>
      <c r="BC73" s="4462"/>
    </row>
    <row r="74" spans="1:57">
      <c r="A74" s="126"/>
      <c r="B74" t="s">
        <v>6899</v>
      </c>
      <c r="C74" s="3132" t="e">
        <f>'HH1617-Calcs'!C11</f>
        <v>#DIV/0!</v>
      </c>
      <c r="D74" s="3159" t="e">
        <f>'HH1718-Calcs'!C11</f>
        <v>#DIV/0!</v>
      </c>
      <c r="E74" s="1261" t="e">
        <f>'HH1819-Calcs'!C11</f>
        <v>#DIV/0!</v>
      </c>
      <c r="F74" s="3186" t="e">
        <f>'HH1920-Calcs'!C11</f>
        <v>#DIV/0!</v>
      </c>
      <c r="G74" s="3213" t="e">
        <f>'HH2021-Calcs'!C11</f>
        <v>#DIV/0!</v>
      </c>
      <c r="H74" s="3240" t="e">
        <f>'HH2122-Calcs'!C11</f>
        <v>#DIV/0!</v>
      </c>
      <c r="I74" s="3488" t="e">
        <f>'HH2223-Calcs'!C11</f>
        <v>#DIV/0!</v>
      </c>
      <c r="J74" s="1492"/>
      <c r="K74" s="886"/>
      <c r="L74" s="886"/>
      <c r="U74"/>
      <c r="AA74" s="98" t="s">
        <v>6890</v>
      </c>
      <c r="AB74" s="2341">
        <f>IF('Data Entry - SOF'!C113&gt;=1.5,Assumptions!G88,IF(AB79&gt;=AB80,Assumptions!G88,Assumptions!G88*(('Data Entry - SOF'!C108+(AB79/100))/1)))</f>
        <v>0</v>
      </c>
      <c r="AC74" s="2300"/>
      <c r="AF74" s="2216">
        <f>IF('Data Entry - SOF'!C113&gt;=1.5,Assumptions!G99,IF(AF79&gt;=AF80,Assumptions!G99,Assumptions!G99*(('Data Entry - SOF'!E108+(AF79/100))/1)))</f>
        <v>0</v>
      </c>
      <c r="AG74" s="2299"/>
      <c r="AJ74" s="2341">
        <f>IF('Data Entry - SOF'!C113&gt;=1.5,Assumptions!G108,IF(AJ79&gt;=AJ80,Assumptions!G108,Assumptions!G108*(('Data Entry - SOF'!G108+(AJ79/100))/1)))</f>
        <v>0</v>
      </c>
      <c r="AK74" s="2299"/>
      <c r="AL74" s="2302"/>
      <c r="AN74" s="2341">
        <f>IF('Data Entry - SOF'!C113&gt;=1.5,Assumptions!G117,IF(AN79&gt;=AN80,Assumptions!G117,Assumptions!G117*(('Data Entry - SOF'!I108+(AN79/100))/1)))</f>
        <v>0</v>
      </c>
      <c r="AO74" s="2333"/>
      <c r="AP74" s="2334"/>
      <c r="AR74" s="2069">
        <f>IF('Data Entry - SOF'!C113&gt;=1.5,Assumptions!G126,IF(AR79&gt;=AR80,Assumptions!G126,Assumptions!G126*(('Data Entry - SOF'!K108+(AR79/100))/1)))</f>
        <v>0</v>
      </c>
      <c r="AS74" s="2312"/>
      <c r="AT74" s="2313"/>
      <c r="AW74" s="2578">
        <f>IF('Data Entry - SOF'!C113&gt;=1.5,Assumptions!G135,IF(AW79&gt;=AW80,Assumptions!G135,Assumptions!G135*(('Data Entry - SOF'!M108+(AW79/100))/1)))</f>
        <v>0</v>
      </c>
      <c r="AX74" s="2602"/>
      <c r="AY74" s="2610"/>
      <c r="BB74" s="4459">
        <f>IF('Data Entry - SOF'!C113&gt;=1.5,Assumptions!G144,IF(BB79&gt;=BB80,Assumptions!G144,Assumptions!G144*(('Data Entry - SOF'!O108+(BB79/100))/1)))</f>
        <v>0</v>
      </c>
    </row>
    <row r="75" spans="1:57">
      <c r="A75" s="126"/>
      <c r="B75" t="s">
        <v>6892</v>
      </c>
      <c r="C75" s="3143" t="e">
        <f t="shared" ref="C75:H75" si="9">C74/(C73*100)</f>
        <v>#DIV/0!</v>
      </c>
      <c r="D75" s="3170" t="e">
        <f t="shared" si="9"/>
        <v>#DIV/0!</v>
      </c>
      <c r="E75" s="2275" t="e">
        <f t="shared" si="9"/>
        <v>#DIV/0!</v>
      </c>
      <c r="F75" s="3197" t="e">
        <f t="shared" si="9"/>
        <v>#DIV/0!</v>
      </c>
      <c r="G75" s="3224" t="e">
        <f t="shared" si="9"/>
        <v>#DIV/0!</v>
      </c>
      <c r="H75" s="3251" t="e">
        <f t="shared" si="9"/>
        <v>#DIV/0!</v>
      </c>
      <c r="I75" s="3489" t="e">
        <f>I74/(I73*100)</f>
        <v>#DIV/0!</v>
      </c>
      <c r="J75" s="1492"/>
      <c r="K75" s="886"/>
      <c r="L75" s="886"/>
      <c r="U75"/>
      <c r="AA75" s="49" t="s">
        <v>4509</v>
      </c>
      <c r="AB75" s="2388">
        <f>ROUND(AB74*(((C59-1)*Weights!H44)+1),0)</f>
        <v>0</v>
      </c>
      <c r="AC75" s="2300"/>
      <c r="AE75" s="49" t="s">
        <v>4509</v>
      </c>
      <c r="AF75" s="2371">
        <f>ROUND(AF74*(((D59-1)*Weights!I44)+1),0)</f>
        <v>0</v>
      </c>
      <c r="AG75" s="2299"/>
      <c r="AI75" s="49" t="s">
        <v>4509</v>
      </c>
      <c r="AJ75" s="2365">
        <f>ROUND(AJ74*(((E59-1)*Weights!J44)+1),0)</f>
        <v>0</v>
      </c>
      <c r="AK75" s="2299"/>
      <c r="AL75" s="1930"/>
      <c r="AM75" s="49" t="s">
        <v>4509</v>
      </c>
      <c r="AN75" s="2342">
        <f>ROUND(AN74*(((F59-1)*Weights!K44)+1),0)</f>
        <v>0</v>
      </c>
      <c r="AO75" s="2333"/>
      <c r="AP75" s="2334"/>
      <c r="AQ75" s="49" t="s">
        <v>4509</v>
      </c>
      <c r="AR75" s="2314">
        <f>ROUND(AR74*(((G59-1)*Weights!L44)+1),0)</f>
        <v>0</v>
      </c>
      <c r="AS75" s="2312"/>
      <c r="AT75" s="2313"/>
      <c r="AV75" s="2580" t="s">
        <v>4509</v>
      </c>
      <c r="AW75" s="2611">
        <f>ROUND(AW74*(((H59-1)*Weights!M44)+1),0)</f>
        <v>0</v>
      </c>
      <c r="AX75" s="2602"/>
      <c r="AY75" s="2610"/>
      <c r="BA75" s="4463" t="s">
        <v>4509</v>
      </c>
      <c r="BB75" s="4157">
        <f>ROUND(BB74*(((I59-1)*Weights!N44)+1),0)</f>
        <v>0</v>
      </c>
    </row>
    <row r="76" spans="1:57">
      <c r="A76" s="126"/>
      <c r="B76" t="s">
        <v>709</v>
      </c>
      <c r="C76" s="3143" t="e">
        <f>C75*IF(C73&lt;'Data Entry - SOF'!C108,(C73*100),('Data Entry - SOF'!C108*100))</f>
        <v>#DIV/0!</v>
      </c>
      <c r="D76" s="3170" t="e">
        <f>D75*IF(D73&lt;'Data Entry - SOF'!E108,(D73*100),('Data Entry - SOF'!E108*100))</f>
        <v>#DIV/0!</v>
      </c>
      <c r="E76" s="2275" t="e">
        <f>E75*IF(E73&lt;'Data Entry - SOF'!G108,(E73*100),('Data Entry - SOF'!G108*100))</f>
        <v>#DIV/0!</v>
      </c>
      <c r="F76" s="3197" t="e">
        <f>F75*IF(F73&lt;'Data Entry - SOF'!I108,(F73*100),('Data Entry - SOF'!I108*100))</f>
        <v>#DIV/0!</v>
      </c>
      <c r="G76" s="3224" t="e">
        <f>G75*IF(G73&lt;'Data Entry - SOF'!K108,(G73*100),('Data Entry - SOF'!K108*100))</f>
        <v>#DIV/0!</v>
      </c>
      <c r="H76" s="3251" t="e">
        <f>H75*IF(H73&lt;'Data Entry - SOF'!M108,(H73*100),('Data Entry - SOF'!M108*100))</f>
        <v>#DIV/0!</v>
      </c>
      <c r="I76" s="3489" t="e">
        <f>I75*IF(I73&lt;'Data Entry - SOF'!O108,(I73*100),('Data Entry - SOF'!O108*100))</f>
        <v>#DIV/0!</v>
      </c>
      <c r="J76" s="1492"/>
      <c r="K76" s="886"/>
      <c r="L76" s="886"/>
      <c r="U76"/>
      <c r="AA76" s="49" t="s">
        <v>3261</v>
      </c>
      <c r="AB76" s="2388">
        <f>ROUND(IF(C10&gt;1600,AB75,(1+(1600-IF(C10&gt;C11,C10,C11))*C18)*AB75),0)</f>
        <v>0</v>
      </c>
      <c r="AC76" s="2300"/>
      <c r="AE76" s="49" t="s">
        <v>3261</v>
      </c>
      <c r="AF76" s="2371">
        <f>ROUND(IF(D10&gt;1600,AF75,(1+(1600-IF(D10&gt;D11,D10,D11))*D18)*AF75),0)</f>
        <v>0</v>
      </c>
      <c r="AG76" s="2299"/>
      <c r="AI76" s="49" t="s">
        <v>3261</v>
      </c>
      <c r="AJ76" s="2365">
        <f>ROUND(IF(E10&gt;1600,AJ75,(1+(1600-IF(E10&gt;E11,E10,E11))*E18)*AJ75),0)</f>
        <v>0</v>
      </c>
      <c r="AK76" s="2299"/>
      <c r="AL76" s="1930"/>
      <c r="AM76" s="49" t="s">
        <v>3261</v>
      </c>
      <c r="AN76" s="2342">
        <f>ROUND(IF(F10&gt;1600,AN75,(1+(1600-IF(F10&gt;F11,F10,F11))*F18)*AN75),0)</f>
        <v>0</v>
      </c>
      <c r="AO76" s="2333"/>
      <c r="AP76" s="2334"/>
      <c r="AQ76" s="49" t="s">
        <v>3261</v>
      </c>
      <c r="AR76" s="2314">
        <f>ROUND(IF(G10&gt;1600,AR75,(1+(1600-IF(G10&gt;G11,G10,G11))*G18)*AR75),0)</f>
        <v>0</v>
      </c>
      <c r="AS76" s="2312"/>
      <c r="AT76" s="2313"/>
      <c r="AV76" s="2580" t="s">
        <v>3261</v>
      </c>
      <c r="AW76" s="2611">
        <f>ROUND(IF(H10&gt;1600,AW75,(1+(1600-IF(H10&gt;H11,H10,H11))*H18)*AW75),0)</f>
        <v>0</v>
      </c>
      <c r="AX76" s="2602"/>
      <c r="AY76" s="2610"/>
      <c r="BA76" s="4463" t="s">
        <v>3261</v>
      </c>
      <c r="BB76" s="4157">
        <f>ROUND(IF(I10&gt;1600,BB75,(1+(1600-IF(I10&gt;I11,I10,I11))*I18)*BB75),0)</f>
        <v>0</v>
      </c>
    </row>
    <row r="77" spans="1:57">
      <c r="A77" s="126"/>
      <c r="B77" s="2273" t="s">
        <v>6873</v>
      </c>
      <c r="C77" s="3144" t="e">
        <f>('HH1617-Calcs'!C11-IFA!J79-'Data Entry - SOF'!C61)/(C73*100)</f>
        <v>#DIV/0!</v>
      </c>
      <c r="D77" s="3171" t="e">
        <f>('HH1718-Calcs'!C11-IFA!N79-'Data Entry - SOF'!E61)/(D73*100)</f>
        <v>#DIV/0!</v>
      </c>
      <c r="E77" s="2274" t="e">
        <f>('HH1819-Calcs'!C11-IFA!R79-'Data Entry - SOF'!G61)/(E73*100)</f>
        <v>#DIV/0!</v>
      </c>
      <c r="F77" s="3198" t="e">
        <f>('HH1920-Calcs'!C11-IFA!V79-'Data Entry - SOF'!I61)/(F73*100)</f>
        <v>#DIV/0!</v>
      </c>
      <c r="G77" s="3225" t="e">
        <f>('HH2021-Calcs'!C11-IFA!Z79-'Data Entry - SOF'!K61)/(G73*100)</f>
        <v>#DIV/0!</v>
      </c>
      <c r="H77" s="3252" t="e">
        <f>('HH2122-Calcs'!C11-IFA!AD79-'Data Entry - SOF'!M61)/(H73*100)</f>
        <v>#DIV/0!</v>
      </c>
      <c r="I77" s="3490" t="e">
        <f>('HH2223-Calcs'!C11-IFA!AH79-'Data Entry - SOF'!O61)/(I73*100)</f>
        <v>#DIV/0!</v>
      </c>
      <c r="J77" s="1064"/>
      <c r="K77" s="886"/>
      <c r="L77" s="886"/>
      <c r="U77"/>
      <c r="AA77" s="49" t="s">
        <v>3262</v>
      </c>
      <c r="AB77" s="2388">
        <f>ROUND(IF(OR(C10&gt;4999.999,'Data Entry - SOF'!C109&lt;12),0,(1+((5000-C10)*Weights!H42))*AB75),0)</f>
        <v>0</v>
      </c>
      <c r="AC77" s="2300"/>
      <c r="AE77" s="49" t="s">
        <v>3262</v>
      </c>
      <c r="AF77" s="2371">
        <f>ROUND(IF(OR(D10&gt;4999.999,'Data Entry - SOF'!E109&lt;12),0,(1+((5000-D10)*Weights!I42))*AF75),0)</f>
        <v>0</v>
      </c>
      <c r="AG77" s="2299"/>
      <c r="AI77" s="49" t="s">
        <v>3262</v>
      </c>
      <c r="AJ77" s="2365">
        <f>ROUND(IF(OR(E10&gt;4999.999,'Data Entry - SOF'!G109&lt;12),0,(1+((5000-E10)*Weights!J42))*AJ75),0)</f>
        <v>0</v>
      </c>
      <c r="AK77" s="2299"/>
      <c r="AL77" s="1930"/>
      <c r="AM77" s="49" t="s">
        <v>3262</v>
      </c>
      <c r="AN77" s="2342">
        <f>ROUND(IF(OR(F10&gt;4999.999,'Data Entry - SOF'!I109&lt;12),0,(1+((5000-F10)*Weights!K42))*AN75),0)</f>
        <v>0</v>
      </c>
      <c r="AO77" s="2333"/>
      <c r="AP77" s="2334"/>
      <c r="AQ77" s="49" t="s">
        <v>3262</v>
      </c>
      <c r="AR77" s="2314">
        <f>ROUND(IF(OR(G10&gt;4999.999,'Data Entry - SOF'!K109&lt;12),0,(1+((5000-G10)*Weights!L42))*AR75),0)</f>
        <v>0</v>
      </c>
      <c r="AS77" s="2312"/>
      <c r="AT77" s="2313"/>
      <c r="AV77" s="2580" t="s">
        <v>3262</v>
      </c>
      <c r="AW77" s="2611">
        <f>ROUND(IF(OR(H10&gt;4999.999,'Data Entry - SOF'!M109&lt;12),0,(1+((5000-H10)*Weights!M42))*AW75),0)</f>
        <v>0</v>
      </c>
      <c r="AX77" s="2602"/>
      <c r="AY77" s="2610"/>
      <c r="BA77" s="4463" t="s">
        <v>3262</v>
      </c>
      <c r="BB77" s="4157">
        <f>ROUND(IF(OR(I10&gt;4999.999,'Data Entry - SOF'!O109&lt;12),0,(1+((5000-I10)*Weights!N42))*BB75),0)</f>
        <v>0</v>
      </c>
    </row>
    <row r="78" spans="1:57">
      <c r="A78" s="126"/>
      <c r="B78" s="2273" t="s">
        <v>6874</v>
      </c>
      <c r="C78" s="3144" t="e">
        <f>C77*IF(C73&lt;'Data Entry - SOF'!C108,(C73*100),('Data Entry - SOF'!C108*100))</f>
        <v>#DIV/0!</v>
      </c>
      <c r="D78" s="3171" t="e">
        <f>D77*IF(D73&lt;'Data Entry - SOF'!E108,(D73*100),('Data Entry - SOF'!E108*100))</f>
        <v>#DIV/0!</v>
      </c>
      <c r="E78" s="2274" t="e">
        <f>E77*IF(E73&lt;'Data Entry - SOF'!G108,(E73*100),('Data Entry - SOF'!G108*100))</f>
        <v>#DIV/0!</v>
      </c>
      <c r="F78" s="3198" t="e">
        <f>F77*IF(F73&lt;'Data Entry - SOF'!I108,(F73*100),('Data Entry - SOF'!I108*100))</f>
        <v>#DIV/0!</v>
      </c>
      <c r="G78" s="3225" t="e">
        <f>G77*IF(G73&lt;'Data Entry - SOF'!K108,(G73*100),('Data Entry - SOF'!K108*100))</f>
        <v>#DIV/0!</v>
      </c>
      <c r="H78" s="3252" t="e">
        <f>H77*IF(H73&lt;'Data Entry - SOF'!M108,(H73*100),('Data Entry - SOF'!M108*100))</f>
        <v>#DIV/0!</v>
      </c>
      <c r="I78" s="3490" t="e">
        <f>I77*IF(I73&lt;'Data Entry - SOF'!O108,(I73*100),('Data Entry - SOF'!O108*100))</f>
        <v>#DIV/0!</v>
      </c>
      <c r="J78" s="1492"/>
      <c r="K78" s="886"/>
      <c r="L78" s="886"/>
      <c r="U78"/>
      <c r="AA78" s="49" t="s">
        <v>4484</v>
      </c>
      <c r="AB78" s="2388">
        <f>IF(AND(AB77&gt;=AB76,AB77&gt;=AB75),AB77,IF(AND(AB76&gt;=AB75,AB76&gt;=AB77),AB76,AB75))</f>
        <v>0</v>
      </c>
      <c r="AC78" s="2300"/>
      <c r="AE78" s="49" t="s">
        <v>4484</v>
      </c>
      <c r="AF78" s="2371">
        <f>IF(AND(AF77&gt;=AF76,AF77&gt;=AF75),AF77,IF(AND(AF76&gt;=AF75,AF76&gt;=AF77),AF76,AF75))</f>
        <v>0</v>
      </c>
      <c r="AG78" s="2299"/>
      <c r="AI78" s="49" t="s">
        <v>4484</v>
      </c>
      <c r="AJ78" s="2365">
        <f>IF(AND(AJ77&gt;=AJ76,AJ77&gt;=AJ75),AJ77,IF(AND(AJ76&gt;=AJ75,AJ76&gt;=AJ77),AJ76,AJ75))</f>
        <v>0</v>
      </c>
      <c r="AK78" s="2299"/>
      <c r="AL78" s="1930"/>
      <c r="AM78" s="49" t="s">
        <v>4484</v>
      </c>
      <c r="AN78" s="2342">
        <f>IF(AND(AN77&gt;=AN76,AN77&gt;=AN75),AN77,IF(AND(AN76&gt;=AN75,AN76&gt;=AN77),AN76,AN75))</f>
        <v>0</v>
      </c>
      <c r="AO78" s="2333"/>
      <c r="AP78" s="2334"/>
      <c r="AQ78" s="49" t="s">
        <v>4484</v>
      </c>
      <c r="AR78" s="2314">
        <f>IF(AND(AR77&gt;=AR76,AR77&gt;=AR75),AR77,IF(AND(AR76&gt;=AR75,AR76&gt;=AR77),AR76,AR75))</f>
        <v>0</v>
      </c>
      <c r="AS78" s="2312"/>
      <c r="AT78" s="2313"/>
      <c r="AV78" s="2580" t="s">
        <v>4484</v>
      </c>
      <c r="AW78" s="2611">
        <f>IF(AND(AW77&gt;=AW76,AW77&gt;=AW75),AW77,IF(AND(AW76&gt;=AW75,AW76&gt;=AW77),AW76,AW75))</f>
        <v>0</v>
      </c>
      <c r="AX78" s="2602"/>
      <c r="AY78" s="2610"/>
      <c r="BA78" s="4463" t="s">
        <v>4484</v>
      </c>
      <c r="BB78" s="4157">
        <f>IF(AND(BB77&gt;=BB76,BB77&gt;=BB75),BB77,IF(AND(BB76&gt;=BB75,BB76&gt;=BB77),BB76,BB75))</f>
        <v>0</v>
      </c>
    </row>
    <row r="79" spans="1:57">
      <c r="A79" s="126"/>
      <c r="B79" t="s">
        <v>2030</v>
      </c>
      <c r="C79" s="3145">
        <f>IF(C73&lt;='Data Entry - SOF'!C108,0,IF(C73&gt;'Data Entry - SOF'!C108+0.06,0.06*100,(C73-'Data Entry - SOF'!C108)*100))</f>
        <v>0</v>
      </c>
      <c r="D79" s="3172">
        <f>IF(D73&lt;='Data Entry - SOF'!E108,0,IF(D73&gt;'Data Entry - SOF'!E108+0.06,0.06*100,(D73-'Data Entry - SOF'!E108)*100))</f>
        <v>0</v>
      </c>
      <c r="E79" s="1262">
        <f>IF(E73&lt;='Data Entry - SOF'!G108,0,IF(E73&gt;'Data Entry - SOF'!G108+0.06,0.06*100,(E73-'Data Entry - SOF'!G108)*100))</f>
        <v>0</v>
      </c>
      <c r="F79" s="3199">
        <f>IF(F73&lt;='Data Entry - SOF'!I108,0,IF(F73&gt;'Data Entry - SOF'!I108+0.06,0.06*100,(F73-'Data Entry - SOF'!I108)*100))</f>
        <v>0</v>
      </c>
      <c r="G79" s="3226">
        <f>IF(G73&lt;='Data Entry - SOF'!K108,0,IF(G73&gt;'Data Entry - SOF'!K108+0.06,0.06*100,(G73-'Data Entry - SOF'!K108)*100))</f>
        <v>0</v>
      </c>
      <c r="H79" s="3253">
        <f>IF(H73&lt;='Data Entry - SOF'!M108,0,IF(H73&gt;'Data Entry - SOF'!M108+0.06,0.06*100,(H73-'Data Entry - SOF'!M108)*100))</f>
        <v>0</v>
      </c>
      <c r="I79" s="3491">
        <f>IF(I73&lt;='Data Entry - SOF'!O108,0,IF(I73&gt;'Data Entry - SOF'!O108+0.06,0.06*100,(I73-'Data Entry - SOF'!O108)*100))</f>
        <v>0</v>
      </c>
      <c r="J79" s="1492"/>
      <c r="K79" s="886"/>
      <c r="L79" s="886"/>
      <c r="P79" s="177"/>
      <c r="Q79" s="177"/>
      <c r="R79" s="177"/>
      <c r="U79"/>
      <c r="AA79" s="49" t="s">
        <v>4460</v>
      </c>
      <c r="AB79" s="1841">
        <f>IF(AB81-'Data Entry - SOF'!C108&gt;0.06,(AB81-('Data Entry - SOF'!C108+0.06))*100,0)</f>
        <v>0</v>
      </c>
      <c r="AC79" s="2300"/>
      <c r="AE79" s="49" t="s">
        <v>4460</v>
      </c>
      <c r="AF79" s="1841">
        <f>IF(AF81-'Data Entry - SOF'!E108&gt;0.06,(AF81-('Data Entry - SOF'!E108+0.06))*100,0)</f>
        <v>0</v>
      </c>
      <c r="AG79" s="2299"/>
      <c r="AI79" s="49" t="s">
        <v>4460</v>
      </c>
      <c r="AJ79" s="1841">
        <f>IF(AJ81-'Data Entry - SOF'!G108&gt;0.06,(AJ81-('Data Entry - SOF'!G108+0.06))*100,0)</f>
        <v>0</v>
      </c>
      <c r="AK79" s="2299"/>
      <c r="AL79" s="2303"/>
      <c r="AM79" s="49" t="s">
        <v>4460</v>
      </c>
      <c r="AN79" s="1841">
        <f>IF(AN81-'Data Entry - SOF'!I108&gt;0.06,(AN81-('Data Entry - SOF'!I108+0.06))*100,0)</f>
        <v>0</v>
      </c>
      <c r="AO79" s="2333"/>
      <c r="AP79" s="2334"/>
      <c r="AQ79" s="49" t="s">
        <v>4460</v>
      </c>
      <c r="AR79" s="1841">
        <f>IF(AR81-'Data Entry - SOF'!K108&gt;0.06,(AR81-('Data Entry - SOF'!K108+0.06))*100,0)</f>
        <v>0</v>
      </c>
      <c r="AS79" s="2312"/>
      <c r="AT79" s="2313"/>
      <c r="AV79" s="2580" t="s">
        <v>4460</v>
      </c>
      <c r="AW79" s="2582">
        <f>IF(AW81-'Data Entry - SOF'!M108&gt;0.06,(AW81-('Data Entry - SOF'!M108+0.06))*100,0)</f>
        <v>0</v>
      </c>
      <c r="AX79" s="2602"/>
      <c r="AY79" s="2610"/>
      <c r="BA79" s="4463" t="s">
        <v>4460</v>
      </c>
      <c r="BB79" s="4466">
        <f>IF(BB81-'Data Entry - SOF'!O108&gt;0.06,(BB81-('Data Entry - SOF'!O108+0.06))*100,0)</f>
        <v>0</v>
      </c>
    </row>
    <row r="80" spans="1:57">
      <c r="A80" s="126"/>
      <c r="B80" t="s">
        <v>2031</v>
      </c>
      <c r="C80" s="3132" t="e">
        <f t="shared" ref="C80:H80" si="10">C79*C75</f>
        <v>#DIV/0!</v>
      </c>
      <c r="D80" s="3159" t="e">
        <f t="shared" si="10"/>
        <v>#DIV/0!</v>
      </c>
      <c r="E80" s="1261" t="e">
        <f t="shared" si="10"/>
        <v>#DIV/0!</v>
      </c>
      <c r="F80" s="3186" t="e">
        <f t="shared" si="10"/>
        <v>#DIV/0!</v>
      </c>
      <c r="G80" s="3213" t="e">
        <f t="shared" si="10"/>
        <v>#DIV/0!</v>
      </c>
      <c r="H80" s="3240" t="e">
        <f t="shared" si="10"/>
        <v>#DIV/0!</v>
      </c>
      <c r="I80" s="3488" t="e">
        <f>I79*I75</f>
        <v>#DIV/0!</v>
      </c>
      <c r="J80" s="1492"/>
      <c r="K80" s="886"/>
      <c r="L80" s="886"/>
      <c r="P80" s="177"/>
      <c r="Q80" s="177"/>
      <c r="U80"/>
      <c r="AA80" s="49" t="s">
        <v>4459</v>
      </c>
      <c r="AB80" s="2389">
        <f>ROUNDDOWN(IF('Data Entry - SOF'!C108&gt;=1,0,(1 -'Data Entry - SOF'!C108)*100),4)</f>
        <v>100</v>
      </c>
      <c r="AC80" s="2300"/>
      <c r="AE80" s="49" t="s">
        <v>4459</v>
      </c>
      <c r="AF80" s="2372">
        <f>ROUNDDOWN(IF('Data Entry - SOF'!E108&gt;=1,0,(1 -'Data Entry - SOF'!E108)*100),4)</f>
        <v>100</v>
      </c>
      <c r="AG80" s="2299"/>
      <c r="AI80" s="49" t="s">
        <v>4459</v>
      </c>
      <c r="AJ80" s="2366">
        <f>ROUNDDOWN(IF('Data Entry - SOF'!G108&gt;=1,0,(1 -'Data Entry - SOF'!G108)*100),4)</f>
        <v>100</v>
      </c>
      <c r="AK80" s="2299"/>
      <c r="AL80" s="2304"/>
      <c r="AM80" s="49" t="s">
        <v>4459</v>
      </c>
      <c r="AN80" s="2343">
        <f>ROUNDDOWN(IF('Data Entry - SOF'!I108&gt;=1,0,(1 -'Data Entry - SOF'!I108)*100),4)</f>
        <v>100</v>
      </c>
      <c r="AO80" s="2333"/>
      <c r="AP80" s="2334"/>
      <c r="AQ80" s="49" t="s">
        <v>4459</v>
      </c>
      <c r="AR80" s="2315">
        <f>ROUNDDOWN(IF('Data Entry - SOF'!K108&gt;=1,0,(1 -'Data Entry - SOF'!K108)*100),4)</f>
        <v>100</v>
      </c>
      <c r="AS80" s="2312"/>
      <c r="AT80" s="2313"/>
      <c r="AV80" s="2580" t="s">
        <v>4459</v>
      </c>
      <c r="AW80" s="2612">
        <f>ROUNDDOWN(IF('Data Entry - SOF'!M108&gt;=1,0,(1 -'Data Entry - SOF'!M108)*100),4)</f>
        <v>100</v>
      </c>
      <c r="AX80" s="2602"/>
      <c r="AY80" s="2610"/>
      <c r="BA80" s="4463" t="s">
        <v>4459</v>
      </c>
      <c r="BB80" s="4157">
        <f>ROUNDDOWN(IF('Data Entry - SOF'!O108&gt;=1,0,(1 -'Data Entry - SOF'!O108)*100),4)</f>
        <v>100</v>
      </c>
    </row>
    <row r="81" spans="1:57">
      <c r="A81" s="126"/>
      <c r="B81" s="47" t="s">
        <v>892</v>
      </c>
      <c r="C81" s="3145" t="e">
        <f>ROUND(((C79*C75)/'Data Entry - SOF'!C48)*100,4)</f>
        <v>#DIV/0!</v>
      </c>
      <c r="D81" s="3172" t="e">
        <f>ROUND(((D79*D75)/'Data Entry - SOF'!E48)*100,4)</f>
        <v>#DIV/0!</v>
      </c>
      <c r="E81" s="1262" t="e">
        <f>ROUND(((E79*E75)/'Data Entry - SOF'!G48)*100,4)</f>
        <v>#DIV/0!</v>
      </c>
      <c r="F81" s="3199" t="e">
        <f>ROUND(((F79*F75)/'Data Entry - SOF'!I48)*100,4)</f>
        <v>#DIV/0!</v>
      </c>
      <c r="G81" s="3226" t="e">
        <f>ROUND(((G79*G75)/'Data Entry - SOF'!K48)*100,4)</f>
        <v>#DIV/0!</v>
      </c>
      <c r="H81" s="3253" t="e">
        <f>ROUND(((H79*H75)/'Data Entry - SOF'!M48)*100,4)</f>
        <v>#DIV/0!</v>
      </c>
      <c r="I81" s="3491" t="e">
        <f>ROUND(((I79*I75)/'Data Entry - SOF'!O48)*100,4)</f>
        <v>#DIV/0!</v>
      </c>
      <c r="J81" s="1492"/>
      <c r="K81" s="886"/>
      <c r="L81" s="886"/>
      <c r="P81" s="177"/>
      <c r="Q81" s="177"/>
      <c r="U81"/>
      <c r="AA81" s="321"/>
      <c r="AB81" s="2438">
        <f>MIN('Data Entry - SOF'!C133,'Data Entry - SOF'!C58)</f>
        <v>0</v>
      </c>
      <c r="AC81" s="2437" t="s">
        <v>6891</v>
      </c>
      <c r="AE81" s="321"/>
      <c r="AF81" s="2438">
        <f>MIN('Data Entry - SOF'!C133,'Data Entry - SOF'!E58)</f>
        <v>0</v>
      </c>
      <c r="AG81" s="2437" t="s">
        <v>6891</v>
      </c>
      <c r="AI81" s="321"/>
      <c r="AJ81" s="2438">
        <f>MIN('Data Entry - SOF'!C133,'Data Entry - SOF'!G58)</f>
        <v>0</v>
      </c>
      <c r="AK81" s="2437" t="s">
        <v>6891</v>
      </c>
      <c r="AL81" s="164"/>
      <c r="AM81" s="321"/>
      <c r="AN81" s="2438">
        <f>MIN('Data Entry - SOF'!C133,'Data Entry - SOF'!I58)</f>
        <v>0</v>
      </c>
      <c r="AO81" s="2437" t="s">
        <v>6891</v>
      </c>
      <c r="AP81" s="2334"/>
      <c r="AQ81" s="321"/>
      <c r="AR81" s="2438">
        <f>MIN('Data Entry - SOF'!C133,'Data Entry - SOF'!K58)</f>
        <v>0</v>
      </c>
      <c r="AS81" s="2437" t="s">
        <v>6891</v>
      </c>
      <c r="AT81" s="2313"/>
      <c r="AV81" s="2584"/>
      <c r="AW81" s="2613">
        <f>MIN('Data Entry - SOF'!C133,'Data Entry - SOF'!M58)</f>
        <v>0</v>
      </c>
      <c r="AX81" s="2614" t="s">
        <v>6891</v>
      </c>
      <c r="AY81" s="2610"/>
      <c r="BA81" s="3750"/>
      <c r="BB81" s="4157">
        <f>MIN('Data Entry - SOF'!C133,'Data Entry - SOF'!O58)</f>
        <v>0</v>
      </c>
      <c r="BC81" s="4113" t="s">
        <v>6891</v>
      </c>
    </row>
    <row r="82" spans="1:57">
      <c r="A82" s="126"/>
      <c r="B82" t="s">
        <v>1398</v>
      </c>
      <c r="C82" s="3145">
        <f>IF(C73-'Data Entry - SOF'!C108&gt;0.06,(C73-('Data Entry - SOF'!C108+0.06))*100,0)</f>
        <v>0</v>
      </c>
      <c r="D82" s="3172">
        <f>IF(D73-'Data Entry - SOF'!E108&gt;0.06,(D73-('Data Entry - SOF'!E108+0.06))*100,0)</f>
        <v>0</v>
      </c>
      <c r="E82" s="1262">
        <f>IF(E73-'Data Entry - SOF'!G108&gt;0.06,(E73-('Data Entry - SOF'!G108+0.06))*100,0)</f>
        <v>0</v>
      </c>
      <c r="F82" s="3199">
        <f>IF(F73-'Data Entry - SOF'!I108&gt;0.06,(F73-('Data Entry - SOF'!I108+0.06))*100,0)</f>
        <v>0</v>
      </c>
      <c r="G82" s="3226">
        <f>IF(G73-'Data Entry - SOF'!K108&gt;0.06,(G73-('Data Entry - SOF'!K108+0.06))*100,0)</f>
        <v>0</v>
      </c>
      <c r="H82" s="3253">
        <f>IF(H73-'Data Entry - SOF'!M108&gt;0.06,(H73-('Data Entry - SOF'!M108+0.06))*100,0)</f>
        <v>0</v>
      </c>
      <c r="I82" s="3491">
        <f>IF(I73-'Data Entry - SOF'!O108&gt;0.06,(I73-('Data Entry - SOF'!O108+0.06))*100,0)</f>
        <v>0</v>
      </c>
      <c r="J82" s="1492"/>
      <c r="K82" s="886"/>
      <c r="L82" s="886"/>
      <c r="P82" s="177"/>
      <c r="Q82" s="177"/>
      <c r="U82"/>
      <c r="AB82" s="2390"/>
      <c r="AC82" s="2300"/>
      <c r="AF82" s="2373"/>
      <c r="AG82" s="2299"/>
      <c r="AJ82" s="2367"/>
      <c r="AK82" s="2299"/>
      <c r="AL82" s="164"/>
      <c r="AN82" s="2344"/>
      <c r="AO82" s="2333"/>
      <c r="AP82" s="2334"/>
      <c r="AR82" s="2316"/>
      <c r="AS82" s="2312"/>
      <c r="AT82" s="2313"/>
      <c r="AW82" s="2615"/>
      <c r="AX82" s="2602"/>
      <c r="AY82" s="2610"/>
      <c r="BB82" s="4157"/>
    </row>
    <row r="83" spans="1:57">
      <c r="A83" s="126"/>
      <c r="B83" t="s">
        <v>1114</v>
      </c>
      <c r="C83" s="3132" t="e">
        <f t="shared" ref="C83:H83" si="11">C82*C75</f>
        <v>#DIV/0!</v>
      </c>
      <c r="D83" s="3159" t="e">
        <f t="shared" si="11"/>
        <v>#DIV/0!</v>
      </c>
      <c r="E83" s="1261" t="e">
        <f t="shared" si="11"/>
        <v>#DIV/0!</v>
      </c>
      <c r="F83" s="3186" t="e">
        <f t="shared" si="11"/>
        <v>#DIV/0!</v>
      </c>
      <c r="G83" s="3213" t="e">
        <f t="shared" si="11"/>
        <v>#DIV/0!</v>
      </c>
      <c r="H83" s="3240" t="e">
        <f t="shared" si="11"/>
        <v>#DIV/0!</v>
      </c>
      <c r="I83" s="3488" t="e">
        <f>I82*I75</f>
        <v>#DIV/0!</v>
      </c>
      <c r="J83" s="1492"/>
      <c r="K83" s="886"/>
      <c r="L83" s="886"/>
      <c r="O83" s="163"/>
      <c r="P83" s="163"/>
      <c r="U83"/>
      <c r="AA83" s="49" t="s">
        <v>4461</v>
      </c>
      <c r="AB83" s="2389">
        <f>IF(AB79-AB80&lt;=0,0,AB79-AB80)</f>
        <v>0</v>
      </c>
      <c r="AC83" s="2300"/>
      <c r="AE83" s="49" t="s">
        <v>4461</v>
      </c>
      <c r="AF83" s="2372">
        <f>IF(AF79-AF80&lt;=0,0,AF79-AF80)</f>
        <v>0</v>
      </c>
      <c r="AG83" s="2299"/>
      <c r="AI83" s="49" t="s">
        <v>4461</v>
      </c>
      <c r="AJ83" s="2366">
        <f>IF(AJ79-AJ80&lt;=0,0,AJ79-AJ80)</f>
        <v>0</v>
      </c>
      <c r="AK83" s="2299"/>
      <c r="AL83" s="2304"/>
      <c r="AM83" s="49" t="s">
        <v>4461</v>
      </c>
      <c r="AN83" s="2343">
        <f>IF(AN79-AN80&lt;=0,0,AN79-AN80)</f>
        <v>0</v>
      </c>
      <c r="AO83" s="2333"/>
      <c r="AP83" s="2334"/>
      <c r="AQ83" s="49" t="s">
        <v>4461</v>
      </c>
      <c r="AR83" s="2315">
        <f>IF(AR79-AR80&lt;=0,0,AR79-AR80)</f>
        <v>0</v>
      </c>
      <c r="AS83" s="2312"/>
      <c r="AT83" s="2313"/>
      <c r="AV83" s="2580" t="s">
        <v>4461</v>
      </c>
      <c r="AW83" s="2612">
        <f>IF(AW79-AW80&lt;=0,0,AW79-AW80)</f>
        <v>0</v>
      </c>
      <c r="AX83" s="2602"/>
      <c r="AY83" s="2610"/>
      <c r="BA83" s="4463" t="s">
        <v>4461</v>
      </c>
      <c r="BB83" s="4157">
        <f>IF(BB79-BB80&lt;=0,0,BB79-BB80)</f>
        <v>0</v>
      </c>
    </row>
    <row r="84" spans="1:57">
      <c r="A84" s="126"/>
      <c r="B84" s="47" t="s">
        <v>895</v>
      </c>
      <c r="C84" s="3145" t="e">
        <f>ROUND(((C82*C75)/'Data Entry - SOF'!C48)*100,4)</f>
        <v>#DIV/0!</v>
      </c>
      <c r="D84" s="3172" t="e">
        <f>ROUND(((D82*D75)/'Data Entry - SOF'!E48)*100,4)</f>
        <v>#DIV/0!</v>
      </c>
      <c r="E84" s="1262" t="e">
        <f>ROUND(((E82*E75)/'Data Entry - SOF'!G48)*100,4)</f>
        <v>#DIV/0!</v>
      </c>
      <c r="F84" s="3199" t="e">
        <f>ROUND(((F82*F75)/'Data Entry - SOF'!I48)*100,4)</f>
        <v>#DIV/0!</v>
      </c>
      <c r="G84" s="3226" t="e">
        <f>ROUND(((G82*G75)/'Data Entry - SOF'!K48)*100,4)</f>
        <v>#DIV/0!</v>
      </c>
      <c r="H84" s="3253" t="e">
        <f>ROUND(((H82*H75)/'Data Entry - SOF'!M48)*100,4)</f>
        <v>#DIV/0!</v>
      </c>
      <c r="I84" s="3491" t="e">
        <f>ROUND(((I82*I75)/'Data Entry - SOF'!O48)*100,4)</f>
        <v>#DIV/0!</v>
      </c>
      <c r="J84" s="1492"/>
      <c r="K84" s="886"/>
      <c r="L84" s="886"/>
      <c r="O84" s="163"/>
      <c r="P84" s="163"/>
      <c r="U84"/>
      <c r="AA84" s="49" t="s">
        <v>4462</v>
      </c>
      <c r="AB84" s="2391" t="e">
        <f>ROUND(IF((AB83*AB90)/'Data Entry - SOF'!C48*100&gt;0.17,0.17,(AB83*AB90)/'Data Entry - SOF'!C48*100),4)</f>
        <v>#DIV/0!</v>
      </c>
      <c r="AC84" s="2300"/>
      <c r="AE84" s="49" t="s">
        <v>4462</v>
      </c>
      <c r="AF84" s="2374" t="e">
        <f>ROUND(IF((((AF83*AG35)/'Data Entry - SOF'!E48)*100)&gt;0.17,0.17,((AF83*AG35)/'Data Entry - SOF'!E48)*100),4)</f>
        <v>#DIV/0!</v>
      </c>
      <c r="AG84" s="2299"/>
      <c r="AI84" s="49" t="s">
        <v>4462</v>
      </c>
      <c r="AJ84" s="2368" t="e">
        <f>ROUND(IF((((AJ83*AK35)/'Data Entry - SOF'!G48)*100)&gt;0.17,0.17,((AJ83*AK35)/'Data Entry - SOF'!G48)*100),4)</f>
        <v>#DIV/0!</v>
      </c>
      <c r="AK84" s="2299"/>
      <c r="AL84" s="216"/>
      <c r="AM84" s="49" t="s">
        <v>4462</v>
      </c>
      <c r="AN84" s="2345" t="e">
        <f>ROUND(IF((((AN83*AO35)/'Data Entry - SOF'!I48)*100)&gt;0.17,0.17,((AN83*AO35)/'Data Entry - SOF'!I48)*100),4)</f>
        <v>#DIV/0!</v>
      </c>
      <c r="AO84" s="2333"/>
      <c r="AP84" s="2334"/>
      <c r="AQ84" s="49" t="s">
        <v>4462</v>
      </c>
      <c r="AR84" s="2073" t="e">
        <f>ROUND(IF((((AR83*AS35)/'Data Entry - SOF'!K48)*100)&gt;0.17,0.17,((AR83*AS35)/'Data Entry - SOF'!K48)*100),4)</f>
        <v>#DIV/0!</v>
      </c>
      <c r="AS84" s="2312"/>
      <c r="AT84" s="2313"/>
      <c r="AV84" s="2580" t="s">
        <v>4462</v>
      </c>
      <c r="AW84" s="2586" t="e">
        <f>ROUND(IF((((AW83*AX35)/'Data Entry - SOF'!M48)*100)&gt;0.17,0.17,((AW83*AX35)/'Data Entry - SOF'!M48)*100),4)</f>
        <v>#DIV/0!</v>
      </c>
      <c r="AX84" s="2602"/>
      <c r="AY84" s="2610"/>
      <c r="BA84" s="4463" t="s">
        <v>4462</v>
      </c>
      <c r="BB84" s="4460" t="e">
        <f>ROUND(IF((((BB83*BC35)/'Data Entry - SOF'!O48)*100)&gt;0.17,0.17,((BB83*BC35)/'Data Entry - SOF'!O48)*100),4)</f>
        <v>#DIV/0!</v>
      </c>
    </row>
    <row r="85" spans="1:57">
      <c r="A85" s="126"/>
      <c r="B85" s="47"/>
      <c r="C85" s="3146"/>
      <c r="D85" s="3173"/>
      <c r="E85" s="2272"/>
      <c r="F85" s="3200"/>
      <c r="G85" s="3227"/>
      <c r="H85" s="3254"/>
      <c r="I85" s="3492"/>
      <c r="J85" s="1492"/>
      <c r="K85" s="886"/>
      <c r="L85" s="886"/>
      <c r="O85" s="35"/>
      <c r="U85"/>
      <c r="AA85" s="49" t="s">
        <v>4463</v>
      </c>
      <c r="AB85" s="2141">
        <f>'Data Entry - SOF'!C108+IF(AB79&lt;AB80,(AB79/100),(AB80/100))</f>
        <v>0</v>
      </c>
      <c r="AC85" s="2300"/>
      <c r="AE85" s="49" t="s">
        <v>4463</v>
      </c>
      <c r="AF85" s="1954">
        <f>'Data Entry - SOF'!E108+IF(AF79&lt;AF80,(AF79/100),(AF80/100))</f>
        <v>0</v>
      </c>
      <c r="AG85" s="2299"/>
      <c r="AI85" s="49" t="s">
        <v>4463</v>
      </c>
      <c r="AJ85" s="2369">
        <f>'Data Entry - SOF'!G108+IF(AJ79&lt;AJ80,(AJ79/100),(AJ80/100))</f>
        <v>0</v>
      </c>
      <c r="AK85" s="2299"/>
      <c r="AL85" s="2304"/>
      <c r="AM85" s="49" t="s">
        <v>4463</v>
      </c>
      <c r="AN85" s="2346">
        <f>'Data Entry - SOF'!I108+IF(AN79&lt;AN80,(AN79/100),(AN80/100))</f>
        <v>0</v>
      </c>
      <c r="AO85" s="2333"/>
      <c r="AP85" s="2334"/>
      <c r="AQ85" s="49" t="s">
        <v>4463</v>
      </c>
      <c r="AR85" s="2071">
        <f>'Data Entry - SOF'!K108+IF(AR79&lt;AR80,(AR79/100),(AR80/100))</f>
        <v>0</v>
      </c>
      <c r="AS85" s="2312"/>
      <c r="AT85" s="2313"/>
      <c r="AV85" s="2580" t="s">
        <v>4463</v>
      </c>
      <c r="AW85" s="2583">
        <f>'Data Entry - SOF'!M108+IF(AW79&lt;AW80,(AW79/100),(AW80/100))</f>
        <v>0</v>
      </c>
      <c r="AX85" s="2602"/>
      <c r="AY85" s="2610"/>
      <c r="BA85" s="4463" t="s">
        <v>4463</v>
      </c>
      <c r="BB85" s="4461">
        <f>'Data Entry - SOF'!O108+IF(BB79&lt;BB80,(BB79/100),(BB80/100))</f>
        <v>0</v>
      </c>
    </row>
    <row r="86" spans="1:57">
      <c r="A86" s="126"/>
      <c r="C86" s="3146"/>
      <c r="D86" s="3173"/>
      <c r="E86" s="2272"/>
      <c r="F86" s="3200"/>
      <c r="G86" s="3227"/>
      <c r="H86" s="3254"/>
      <c r="I86" s="3492"/>
      <c r="J86" s="1492"/>
      <c r="K86" s="886"/>
      <c r="L86" s="886"/>
      <c r="U86"/>
      <c r="AA86" s="49" t="s">
        <v>4464</v>
      </c>
      <c r="AB86" s="1842" t="e">
        <f>AB83*AB90</f>
        <v>#DIV/0!</v>
      </c>
      <c r="AC86" s="2300"/>
      <c r="AE86" s="49" t="s">
        <v>4464</v>
      </c>
      <c r="AF86" s="1842" t="e">
        <f>AF83*AF90</f>
        <v>#DIV/0!</v>
      </c>
      <c r="AG86" s="2299"/>
      <c r="AI86" s="49" t="s">
        <v>4464</v>
      </c>
      <c r="AJ86" s="1842" t="e">
        <f>AJ83*AJ90</f>
        <v>#DIV/0!</v>
      </c>
      <c r="AK86" s="2299"/>
      <c r="AL86" s="2302"/>
      <c r="AM86" s="49" t="s">
        <v>4464</v>
      </c>
      <c r="AN86" s="1842" t="e">
        <f>AN83*AN90</f>
        <v>#DIV/0!</v>
      </c>
      <c r="AO86" s="2333"/>
      <c r="AP86" s="2334"/>
      <c r="AQ86" s="49" t="s">
        <v>4464</v>
      </c>
      <c r="AR86" s="1842" t="e">
        <f>AR83*AR90</f>
        <v>#DIV/0!</v>
      </c>
      <c r="AS86" s="2312"/>
      <c r="AT86" s="2313"/>
      <c r="AV86" s="2580" t="s">
        <v>4464</v>
      </c>
      <c r="AW86" s="2616" t="e">
        <f>AW83*AW90</f>
        <v>#DIV/0!</v>
      </c>
      <c r="AX86" s="2602"/>
      <c r="AY86" s="2610"/>
      <c r="BA86" s="4463" t="s">
        <v>4464</v>
      </c>
      <c r="BB86" s="4157" t="e">
        <f>BB83*BB90</f>
        <v>#DIV/0!</v>
      </c>
    </row>
    <row r="87" spans="1:57">
      <c r="A87" s="126"/>
      <c r="C87" s="3146"/>
      <c r="D87" s="3173"/>
      <c r="E87" s="2272"/>
      <c r="F87" s="3200"/>
      <c r="G87" s="3227"/>
      <c r="H87" s="3254"/>
      <c r="I87" s="3492"/>
      <c r="J87" s="1492"/>
      <c r="K87" s="886"/>
      <c r="L87" s="886"/>
      <c r="U87"/>
      <c r="AA87" s="98" t="s">
        <v>4465</v>
      </c>
      <c r="AB87" s="1842" t="e">
        <f>AB90*IF(AB81&lt;='Calc Data-SB1'!AB85,(AB81*100),('Calc Data-SB1'!AB85*100))</f>
        <v>#DIV/0!</v>
      </c>
      <c r="AC87" s="2300"/>
      <c r="AE87" s="98" t="s">
        <v>4465</v>
      </c>
      <c r="AF87" s="1842" t="e">
        <f>AF90*IF(AF81&lt;='Calc Data-SB1'!AF85,(AF81*100),('Calc Data-SB1'!AF85*100))</f>
        <v>#DIV/0!</v>
      </c>
      <c r="AG87" s="2299"/>
      <c r="AI87" s="98" t="s">
        <v>4465</v>
      </c>
      <c r="AJ87" s="1842" t="e">
        <f>AJ90*IF(AJ81&lt;='Calc Data-SB1'!AJ85,(AJ81*100),('Calc Data-SB1'!AJ85*100))</f>
        <v>#DIV/0!</v>
      </c>
      <c r="AK87" s="2299"/>
      <c r="AL87" s="2302"/>
      <c r="AM87" s="98" t="s">
        <v>4465</v>
      </c>
      <c r="AN87" s="1842" t="e">
        <f>AN90*IF(AN81&lt;='Calc Data-SB1'!AN85,(AN81*100),('Calc Data-SB1'!AN85*100))</f>
        <v>#DIV/0!</v>
      </c>
      <c r="AO87" s="2333"/>
      <c r="AP87" s="2334"/>
      <c r="AQ87" s="98" t="s">
        <v>4465</v>
      </c>
      <c r="AR87" s="1842" t="e">
        <f>AR90*IF(AR81&lt;='Calc Data-SB1'!AR85,(AR81*100),('Calc Data-SB1'!AR85*100))</f>
        <v>#DIV/0!</v>
      </c>
      <c r="AS87" s="2312"/>
      <c r="AT87" s="2313"/>
      <c r="AV87" s="2609" t="s">
        <v>4465</v>
      </c>
      <c r="AW87" s="2616" t="e">
        <f>AW90*IF(AW81&lt;='Calc Data-SB1'!AW85,(AW81*100),('Calc Data-SB1'!AW85*100))</f>
        <v>#DIV/0!</v>
      </c>
      <c r="AX87" s="2602"/>
      <c r="AY87" s="2610"/>
      <c r="BA87" s="4113" t="s">
        <v>4465</v>
      </c>
      <c r="BB87" s="4157" t="e">
        <f>BB90*IF(BB81&lt;='Calc Data-SB1'!BB85,(BB81*100),('Calc Data-SB1'!BB85*100))</f>
        <v>#DIV/0!</v>
      </c>
    </row>
    <row r="88" spans="1:57">
      <c r="A88" s="35"/>
      <c r="B88" s="201" t="s">
        <v>893</v>
      </c>
      <c r="C88" s="3132" t="e">
        <f>C81*('Data Entry - SOF'!C48/100)</f>
        <v>#DIV/0!</v>
      </c>
      <c r="D88" s="3159" t="e">
        <f>D81*('Data Entry - SOF'!E48/100)</f>
        <v>#DIV/0!</v>
      </c>
      <c r="E88" s="1261" t="e">
        <f>E81*('Data Entry - SOF'!G48/100)</f>
        <v>#DIV/0!</v>
      </c>
      <c r="F88" s="3186" t="e">
        <f>F81*('Data Entry - SOF'!I48/100)</f>
        <v>#DIV/0!</v>
      </c>
      <c r="G88" s="3213" t="e">
        <f>G81*('Data Entry - SOF'!K48/100)</f>
        <v>#DIV/0!</v>
      </c>
      <c r="H88" s="3240" t="e">
        <f>H81*('Data Entry - SOF'!M48/100)</f>
        <v>#DIV/0!</v>
      </c>
      <c r="I88" s="3488" t="e">
        <f>I81*('Data Entry - SOF'!O48/100)</f>
        <v>#DIV/0!</v>
      </c>
      <c r="J88" s="1492"/>
      <c r="K88" s="886"/>
      <c r="L88" s="886"/>
      <c r="U88"/>
      <c r="AA88" s="49" t="s">
        <v>4491</v>
      </c>
      <c r="AB88" s="2392" t="e">
        <f>AB84*('Data Entry - SOF'!C48/100)</f>
        <v>#DIV/0!</v>
      </c>
      <c r="AC88" s="2300"/>
      <c r="AE88" s="49" t="s">
        <v>4491</v>
      </c>
      <c r="AF88" s="1952" t="e">
        <f>AF84*('Data Entry - SOF'!E48/100)</f>
        <v>#DIV/0!</v>
      </c>
      <c r="AG88" s="2299"/>
      <c r="AI88" s="49" t="s">
        <v>4491</v>
      </c>
      <c r="AJ88" s="2370" t="e">
        <f>AJ84*('Data Entry - SOF'!G48/100)</f>
        <v>#DIV/0!</v>
      </c>
      <c r="AK88" s="2299"/>
      <c r="AL88" s="2302"/>
      <c r="AM88" s="49" t="s">
        <v>4491</v>
      </c>
      <c r="AN88" s="2347" t="e">
        <f>AN84*('Data Entry - SOF'!I48/100)</f>
        <v>#DIV/0!</v>
      </c>
      <c r="AO88" s="2333"/>
      <c r="AP88" s="2334"/>
      <c r="AQ88" s="49" t="s">
        <v>4491</v>
      </c>
      <c r="AR88" s="2074" t="e">
        <f>AR84*('Data Entry - SOF'!K48/100)</f>
        <v>#DIV/0!</v>
      </c>
      <c r="AS88" s="2312"/>
      <c r="AT88" s="2313"/>
      <c r="AV88" s="2580" t="s">
        <v>4491</v>
      </c>
      <c r="AW88" s="2587" t="e">
        <f>AW84*('Data Entry - SOF'!M48/100)</f>
        <v>#DIV/0!</v>
      </c>
      <c r="AX88" s="2602"/>
      <c r="AY88" s="2610"/>
      <c r="BA88" s="4463" t="s">
        <v>4491</v>
      </c>
      <c r="BB88" s="4459" t="e">
        <f>BB84*('Data Entry - SOF'!O48/100)</f>
        <v>#DIV/0!</v>
      </c>
    </row>
    <row r="89" spans="1:57">
      <c r="A89" s="35"/>
      <c r="B89" s="201" t="s">
        <v>894</v>
      </c>
      <c r="C89" s="3132" t="e">
        <f>C84*('Data Entry - SOF'!C48/100)</f>
        <v>#DIV/0!</v>
      </c>
      <c r="D89" s="3159" t="e">
        <f>D84*('Data Entry - SOF'!E48/100)</f>
        <v>#DIV/0!</v>
      </c>
      <c r="E89" s="1261" t="e">
        <f>E84*('Data Entry - SOF'!G48/100)</f>
        <v>#DIV/0!</v>
      </c>
      <c r="F89" s="3186" t="e">
        <f>F84*('Data Entry - SOF'!I48/100)</f>
        <v>#DIV/0!</v>
      </c>
      <c r="G89" s="3213" t="e">
        <f>G84*('Data Entry - SOF'!K48/100)</f>
        <v>#DIV/0!</v>
      </c>
      <c r="H89" s="3240" t="e">
        <f>H84*('Data Entry - SOF'!M48/100)</f>
        <v>#DIV/0!</v>
      </c>
      <c r="I89" s="3488" t="e">
        <f>I84*('Data Entry - SOF'!O48/100)</f>
        <v>#DIV/0!</v>
      </c>
      <c r="J89" s="1492"/>
      <c r="K89" s="886"/>
      <c r="L89" s="886"/>
      <c r="U89"/>
      <c r="Z89" s="207"/>
      <c r="AA89" s="207"/>
      <c r="AB89" s="2385"/>
      <c r="AC89" s="2279" t="s">
        <v>6884</v>
      </c>
      <c r="AD89" s="2298"/>
      <c r="AE89" s="207"/>
      <c r="AF89" s="2375"/>
      <c r="AG89" s="2279" t="s">
        <v>6884</v>
      </c>
      <c r="AH89" s="2298"/>
      <c r="AI89" s="207"/>
      <c r="AJ89" s="2357"/>
      <c r="AK89" s="2279" t="s">
        <v>6884</v>
      </c>
      <c r="AL89" s="2298"/>
      <c r="AM89" s="207"/>
      <c r="AN89" s="2348"/>
      <c r="AO89" s="2279" t="s">
        <v>6884</v>
      </c>
      <c r="AP89" s="2349"/>
      <c r="AQ89" s="207"/>
      <c r="AR89" s="2317"/>
      <c r="AS89" s="2279" t="s">
        <v>6884</v>
      </c>
      <c r="AT89" s="2318"/>
      <c r="AV89" s="2609"/>
      <c r="AW89" s="2617"/>
      <c r="AX89" s="2590" t="s">
        <v>6884</v>
      </c>
      <c r="AY89" s="2618"/>
      <c r="BB89" s="4467"/>
      <c r="BC89" s="4468" t="s">
        <v>6884</v>
      </c>
      <c r="BD89" s="4469"/>
    </row>
    <row r="90" spans="1:57">
      <c r="A90" s="71"/>
      <c r="B90" s="99"/>
      <c r="J90" s="1492"/>
      <c r="K90" s="886"/>
      <c r="L90" s="886"/>
      <c r="M90" s="71"/>
      <c r="N90" s="71"/>
      <c r="O90" s="71"/>
      <c r="U90"/>
      <c r="AB90" s="1874" t="e">
        <f>('HH1617-Calcs'!C11-IFA!J79)/(AB81*100)</f>
        <v>#DIV/0!</v>
      </c>
      <c r="AC90" s="2325" t="e">
        <f>('HH1617-Calcs'!C11-IFA!J79-'Data Entry - SOF'!C61)/(AB81*100)</f>
        <v>#DIV/0!</v>
      </c>
      <c r="AD90" s="2291" t="s">
        <v>6885</v>
      </c>
      <c r="AF90" s="1874" t="e">
        <f>('HH1718-Calcs'!C11-IFA!N79)/(AF81*100)</f>
        <v>#DIV/0!</v>
      </c>
      <c r="AG90" s="2280" t="e">
        <f>('HH1718-Calcs'!C11-IFA!N79-'Data Entry - SOF'!E61)/(AF81*100)</f>
        <v>#DIV/0!</v>
      </c>
      <c r="AH90" s="2291" t="s">
        <v>6885</v>
      </c>
      <c r="AJ90" s="1874" t="e">
        <f>('HH1819-Calcs'!C11-IFA!R79)/(AJ81*100)</f>
        <v>#DIV/0!</v>
      </c>
      <c r="AK90" s="2325" t="e">
        <f>('HH1819-Calcs'!C11-IFA!R79-'Data Entry - SOF'!G61)/(AJ81*100)</f>
        <v>#DIV/0!</v>
      </c>
      <c r="AL90" s="2291" t="s">
        <v>6885</v>
      </c>
      <c r="AN90" s="1874" t="e">
        <f>('HH1920-Calcs'!C11-IFA!V79)/(AN81*100)</f>
        <v>#DIV/0!</v>
      </c>
      <c r="AO90" s="2325" t="e">
        <f>('HH1920-Calcs'!C11-IFA!V79-'Data Entry - SOF'!I61)/(AN81*100)</f>
        <v>#DIV/0!</v>
      </c>
      <c r="AP90" s="2291" t="s">
        <v>6885</v>
      </c>
      <c r="AR90" s="1874" t="e">
        <f>('HH2021-Calcs'!C11-IFA!Z79)/(AR81*100)</f>
        <v>#DIV/0!</v>
      </c>
      <c r="AS90" s="2289" t="e">
        <f>('HH2021-Calcs'!C11-IFA!Z79-'Data Entry - SOF'!K61)/(AR81*100)</f>
        <v>#DIV/0!</v>
      </c>
      <c r="AT90" s="2291" t="s">
        <v>6885</v>
      </c>
      <c r="AW90" s="2619" t="e">
        <f>('HH2122-Calcs'!C11-IFA!AD79)/(AW81*100)</f>
        <v>#DIV/0!</v>
      </c>
      <c r="AX90" s="2594" t="e">
        <f>('HH2122-Calcs'!C11-IFA!AE79-'Data Entry - SOF'!M61)/(AW81*100)</f>
        <v>#DIV/0!</v>
      </c>
      <c r="AY90" s="2595" t="s">
        <v>6885</v>
      </c>
      <c r="BA90" s="4113" t="s">
        <v>7926</v>
      </c>
      <c r="BB90" s="4113" t="e">
        <f>('HH2223-Calcs'!C11-IFA!AH79)/(BB81*100)</f>
        <v>#DIV/0!</v>
      </c>
      <c r="BC90" s="4470" t="e">
        <f>('HH2223-Calcs'!C11-IFA!AJ79-'Data Entry - SOF'!O61)/(BB81*100)</f>
        <v>#DIV/0!</v>
      </c>
      <c r="BD90" s="4471" t="s">
        <v>6885</v>
      </c>
    </row>
    <row r="91" spans="1:57">
      <c r="A91" s="71"/>
      <c r="B91" s="99"/>
      <c r="J91" s="1492"/>
      <c r="K91" s="886"/>
      <c r="L91" s="886"/>
      <c r="M91" s="71"/>
      <c r="N91" s="71"/>
      <c r="O91" s="71"/>
      <c r="R91" s="5"/>
      <c r="U91"/>
      <c r="AB91" s="1874"/>
      <c r="AC91" s="2326" t="e">
        <f>AC90*IF(AB81&lt;'Data Entry - SOF'!C108,(AB81*100),('Data Entry - SOF'!C108*100))</f>
        <v>#DIV/0!</v>
      </c>
      <c r="AD91" s="2327" t="e">
        <f>AC90*IF(AB81&lt;='Calc Data-SB1'!AB85,(AB81*100),('Calc Data-SB1'!AB85*100))</f>
        <v>#DIV/0!</v>
      </c>
      <c r="AF91" s="1951"/>
      <c r="AG91" s="2281" t="e">
        <f>AG90*IF(AF81&lt;'Data Entry - SOF'!E108,(AF81*100),('Data Entry - SOF'!E108*100))</f>
        <v>#DIV/0!</v>
      </c>
      <c r="AH91" s="2293" t="e">
        <f>AG90*IF(AF81&lt;='Calc Data-SB1'!AF85,(AF81*100),('Calc Data-SB1'!AF85*100))</f>
        <v>#DIV/0!</v>
      </c>
      <c r="AJ91" s="1958"/>
      <c r="AK91" s="2326" t="e">
        <f>AK90*IF(AJ81&lt;'Data Entry - SOF'!G108,(AJ81*100),('Data Entry - SOF'!G108*100))</f>
        <v>#DIV/0!</v>
      </c>
      <c r="AL91" s="2327" t="e">
        <f>AK90*IF(AJ81&lt;='Calc Data-SB1'!AJ85,(AJ81*100),('Calc Data-SB1'!AJ85*100))</f>
        <v>#DIV/0!</v>
      </c>
      <c r="AN91" s="2350"/>
      <c r="AO91" s="2326" t="e">
        <f>AO90*IF(AN81&lt;'Data Entry - SOF'!I108,(AN81*100),('Data Entry - SOF'!I108*100))</f>
        <v>#DIV/0!</v>
      </c>
      <c r="AP91" s="2327" t="e">
        <f>AO90*IF(AN81&lt;='Calc Data-SB1'!AN85,(AN81*100),('Calc Data-SB1'!AN85*100))</f>
        <v>#DIV/0!</v>
      </c>
      <c r="AR91" s="2319"/>
      <c r="AS91" s="2290" t="e">
        <f>AS90*IF(AR81&lt;'Data Entry - SOF'!K108,(AR81*100),('Data Entry - SOF'!K108*100))</f>
        <v>#DIV/0!</v>
      </c>
      <c r="AT91" s="2320" t="e">
        <f>AS90*IF(AR81&lt;='Calc Data-SB1'!AR85,(AR81*100),('Calc Data-SB1'!AR85*100))</f>
        <v>#DIV/0!</v>
      </c>
      <c r="AW91" s="2620"/>
      <c r="AX91" s="2597" t="e">
        <f>AX90*IF(AW81&lt;'Data Entry - SOF'!M108,(AW81*100),('Data Entry - SOF'!M108*100))</f>
        <v>#DIV/0!</v>
      </c>
      <c r="AY91" s="2598" t="e">
        <f>AX90*IF(AW81&lt;='Calc Data-SB1'!AW85,(AW81*100),('Calc Data-SB1'!AW85*100))</f>
        <v>#DIV/0!</v>
      </c>
      <c r="BC91" s="4472" t="e">
        <f>BC90*IF(BB81&lt;'Data Entry - SOF'!O108,(BB81*100),('Data Entry - SOF'!O108*100))</f>
        <v>#DIV/0!</v>
      </c>
      <c r="BD91" s="4473" t="e">
        <f>BC90*IF(BB81&lt;='Calc Data-SB1'!BB85,(BB81*100),('Calc Data-SB1'!BB85*100))</f>
        <v>#DIV/0!</v>
      </c>
    </row>
    <row r="92" spans="1:57">
      <c r="A92" s="71"/>
      <c r="B92" s="99"/>
      <c r="J92" s="1492"/>
      <c r="K92" s="886"/>
      <c r="L92" s="886"/>
      <c r="M92" s="71"/>
      <c r="N92" s="71"/>
      <c r="O92" s="71"/>
      <c r="R92" s="5"/>
      <c r="U92"/>
      <c r="AB92" s="1874"/>
      <c r="AC92" s="1402"/>
      <c r="AD92" s="1402"/>
      <c r="AF92" s="1951"/>
      <c r="AG92" s="1907"/>
      <c r="AH92" s="1907"/>
      <c r="AJ92" s="1958"/>
      <c r="AK92" s="1915"/>
      <c r="AL92" s="1915"/>
      <c r="AN92" s="2350"/>
      <c r="AO92" s="2332"/>
      <c r="AP92" s="2332"/>
      <c r="AR92" s="2319"/>
      <c r="AS92" s="2321"/>
      <c r="AT92" s="2321"/>
      <c r="AW92" s="2620"/>
      <c r="AX92" s="2610"/>
      <c r="AY92" s="2610"/>
    </row>
    <row r="93" spans="1:57">
      <c r="A93" s="35"/>
      <c r="B93" s="35"/>
      <c r="C93" s="3126"/>
      <c r="D93" s="3153"/>
      <c r="E93" s="1554"/>
      <c r="F93" s="3180"/>
      <c r="G93" s="3207"/>
      <c r="H93" s="3234"/>
      <c r="I93" s="3465"/>
      <c r="J93" s="1495"/>
      <c r="L93" s="639"/>
      <c r="M93" s="35"/>
      <c r="N93" s="35"/>
      <c r="U93"/>
      <c r="AB93" s="1874"/>
      <c r="AC93" s="1874"/>
      <c r="AD93" s="1874"/>
      <c r="AF93" s="1951"/>
      <c r="AG93" s="1951"/>
      <c r="AH93" s="1951"/>
      <c r="AJ93" s="1958"/>
      <c r="AK93" s="1958"/>
      <c r="AL93" s="1958"/>
      <c r="AN93" s="2350"/>
      <c r="AO93" s="2350"/>
      <c r="AP93" s="2350"/>
      <c r="AR93" s="2319"/>
      <c r="AS93" s="2319"/>
      <c r="AT93" s="2319"/>
      <c r="AW93" s="2620"/>
      <c r="AX93" s="2620"/>
      <c r="AY93" s="2620"/>
    </row>
    <row r="94" spans="1:57">
      <c r="A94" s="35"/>
      <c r="B94" s="35"/>
      <c r="J94" s="1054"/>
      <c r="K94" s="99"/>
      <c r="L94" s="99"/>
      <c r="M94" s="99"/>
      <c r="N94" s="35"/>
      <c r="U94"/>
      <c r="AB94" s="1874"/>
      <c r="AC94" s="1874"/>
      <c r="AD94" s="1874"/>
      <c r="AF94" s="1951"/>
      <c r="AG94" s="1951"/>
      <c r="AH94" s="1951"/>
      <c r="AJ94" s="1958"/>
      <c r="AK94" s="1958"/>
      <c r="AL94" s="1958"/>
      <c r="AN94" s="2350"/>
      <c r="AO94" s="2350"/>
      <c r="AP94" s="2350"/>
      <c r="AR94" s="2319"/>
      <c r="AS94" s="2319"/>
      <c r="AT94" s="2319"/>
      <c r="AW94" s="2620"/>
      <c r="AX94" s="2620"/>
      <c r="AY94" s="2620"/>
    </row>
    <row r="95" spans="1:57" s="224" customFormat="1">
      <c r="A95" s="97"/>
      <c r="B95"/>
      <c r="C95" s="3122"/>
      <c r="D95" s="3149"/>
      <c r="E95" s="1546"/>
      <c r="F95" s="3176"/>
      <c r="G95" s="3203"/>
      <c r="H95" s="3230"/>
      <c r="I95" s="3460"/>
      <c r="J95" s="1054"/>
      <c r="K95" s="99"/>
      <c r="L95" s="99"/>
      <c r="M95" s="99"/>
      <c r="N95"/>
      <c r="O95"/>
      <c r="P95" s="177"/>
      <c r="Q95"/>
      <c r="R95"/>
      <c r="S95" s="702"/>
      <c r="T95" s="765"/>
      <c r="U95"/>
      <c r="V95"/>
      <c r="W95"/>
      <c r="X95"/>
      <c r="Y95"/>
      <c r="Z95"/>
      <c r="AA95"/>
      <c r="AB95" s="1874"/>
      <c r="AC95" s="1874"/>
      <c r="AD95" s="1840"/>
      <c r="AE95"/>
      <c r="AF95" s="1951"/>
      <c r="AG95" s="1951"/>
      <c r="AH95" s="2378"/>
      <c r="AI95"/>
      <c r="AJ95" s="1958"/>
      <c r="AK95" s="1958"/>
      <c r="AL95" s="2360"/>
      <c r="AM95"/>
      <c r="AN95" s="2350"/>
      <c r="AO95" s="2350"/>
      <c r="AP95" s="2329"/>
      <c r="AQ95"/>
      <c r="AR95" s="2319"/>
      <c r="AS95" s="2319"/>
      <c r="AT95" s="2075"/>
      <c r="AV95" s="2574"/>
      <c r="AW95" s="2620"/>
      <c r="AX95" s="2620"/>
      <c r="AY95" s="2579"/>
      <c r="AZ95" s="2621"/>
      <c r="BA95" s="4113"/>
      <c r="BB95" s="4113"/>
      <c r="BC95" s="4113"/>
      <c r="BD95" s="3747"/>
      <c r="BE95" s="3643"/>
    </row>
    <row r="96" spans="1:57" s="224" customFormat="1">
      <c r="A96"/>
      <c r="B96" s="99"/>
      <c r="C96" s="3122"/>
      <c r="D96" s="3149"/>
      <c r="E96" s="1546"/>
      <c r="F96" s="3176"/>
      <c r="G96" s="3203"/>
      <c r="H96" s="3230"/>
      <c r="I96" s="3460"/>
      <c r="J96" s="1054"/>
      <c r="K96" s="99"/>
      <c r="L96" s="99"/>
      <c r="M96" s="99"/>
      <c r="N96"/>
      <c r="O96" s="177"/>
      <c r="P96"/>
      <c r="Q96"/>
      <c r="R96"/>
      <c r="S96"/>
      <c r="T96"/>
      <c r="U96"/>
      <c r="V96"/>
      <c r="W96"/>
      <c r="X96"/>
      <c r="Y96"/>
      <c r="Z96"/>
      <c r="AA96"/>
      <c r="AB96" s="1874"/>
      <c r="AC96" s="1874"/>
      <c r="AD96" s="1840"/>
      <c r="AE96"/>
      <c r="AF96" s="1951"/>
      <c r="AG96" s="1951"/>
      <c r="AH96" s="2378"/>
      <c r="AI96"/>
      <c r="AJ96" s="1958"/>
      <c r="AK96" s="1958"/>
      <c r="AL96" s="2360"/>
      <c r="AM96"/>
      <c r="AN96" s="2350"/>
      <c r="AO96" s="2350"/>
      <c r="AP96" s="2329"/>
      <c r="AQ96"/>
      <c r="AR96" s="2319"/>
      <c r="AS96" s="2319"/>
      <c r="AT96" s="2075"/>
      <c r="AV96" s="2574"/>
      <c r="AW96" s="2620"/>
      <c r="AX96" s="2620"/>
      <c r="AY96" s="2579"/>
      <c r="AZ96" s="2621"/>
      <c r="BA96" s="4113"/>
      <c r="BB96" s="4113"/>
      <c r="BC96" s="4113"/>
      <c r="BD96" s="3747"/>
      <c r="BE96" s="3643"/>
    </row>
    <row r="97" spans="1:57" s="224" customFormat="1">
      <c r="A97" s="97"/>
      <c r="B97" s="99"/>
      <c r="C97" s="3122"/>
      <c r="D97" s="3149"/>
      <c r="E97" s="1546"/>
      <c r="F97" s="3176"/>
      <c r="G97" s="3203"/>
      <c r="H97" s="3230"/>
      <c r="I97" s="3460"/>
      <c r="J97" s="1054"/>
      <c r="K97" s="99"/>
      <c r="L97" s="99"/>
      <c r="M97" s="99"/>
      <c r="N97"/>
      <c r="O97" s="177"/>
      <c r="P97"/>
      <c r="Q97"/>
      <c r="R97"/>
      <c r="S97"/>
      <c r="T97"/>
      <c r="U97"/>
      <c r="V97"/>
      <c r="W97"/>
      <c r="X97"/>
      <c r="Y97"/>
      <c r="Z97"/>
      <c r="AA97"/>
      <c r="AB97" s="1874"/>
      <c r="AC97" s="1874"/>
      <c r="AD97" s="1840"/>
      <c r="AE97"/>
      <c r="AF97" s="1951"/>
      <c r="AG97" s="1951"/>
      <c r="AH97" s="2378"/>
      <c r="AI97"/>
      <c r="AJ97" s="1958"/>
      <c r="AK97" s="1958"/>
      <c r="AL97" s="2360"/>
      <c r="AM97"/>
      <c r="AN97" s="2350"/>
      <c r="AO97" s="2350"/>
      <c r="AP97" s="2329"/>
      <c r="AQ97"/>
      <c r="AR97" s="2319"/>
      <c r="AS97" s="2319"/>
      <c r="AT97" s="2075"/>
      <c r="AV97" s="2574"/>
      <c r="AW97" s="2620"/>
      <c r="AX97" s="2620"/>
      <c r="AY97" s="2579"/>
      <c r="AZ97" s="2621"/>
      <c r="BA97" s="4113"/>
      <c r="BB97" s="4113"/>
      <c r="BC97" s="4113"/>
      <c r="BD97" s="3747"/>
      <c r="BE97" s="3643"/>
    </row>
    <row r="98" spans="1:57" s="224" customFormat="1">
      <c r="A98"/>
      <c r="B98" s="99"/>
      <c r="C98" s="3122"/>
      <c r="D98" s="3149"/>
      <c r="E98" s="1546"/>
      <c r="F98" s="3176"/>
      <c r="G98" s="3203"/>
      <c r="H98" s="3230"/>
      <c r="I98" s="3460"/>
      <c r="J98" s="1054"/>
      <c r="K98" s="99"/>
      <c r="L98" s="99"/>
      <c r="M98" s="99"/>
      <c r="N98"/>
      <c r="O98" s="177"/>
      <c r="P98"/>
      <c r="Q98"/>
      <c r="R98"/>
      <c r="S98"/>
      <c r="T98"/>
      <c r="U98"/>
      <c r="V98"/>
      <c r="W98"/>
      <c r="X98"/>
      <c r="Y98"/>
      <c r="Z98"/>
      <c r="AA98"/>
      <c r="AB98" s="1874"/>
      <c r="AC98" s="1874"/>
      <c r="AD98" s="1840"/>
      <c r="AE98"/>
      <c r="AF98" s="1951"/>
      <c r="AG98" s="1951"/>
      <c r="AH98" s="2378"/>
      <c r="AI98"/>
      <c r="AJ98" s="1958"/>
      <c r="AK98" s="1958"/>
      <c r="AL98" s="2360"/>
      <c r="AM98"/>
      <c r="AN98" s="2350"/>
      <c r="AO98" s="2350"/>
      <c r="AP98" s="2329"/>
      <c r="AQ98"/>
      <c r="AR98" s="2319"/>
      <c r="AS98" s="2319"/>
      <c r="AT98" s="2075"/>
      <c r="AV98" s="2574"/>
      <c r="AW98" s="2620"/>
      <c r="AX98" s="2620"/>
      <c r="AY98" s="2579"/>
      <c r="AZ98" s="2621"/>
      <c r="BA98" s="4113"/>
      <c r="BB98" s="4113"/>
      <c r="BC98" s="4113"/>
      <c r="BD98" s="3747"/>
      <c r="BE98" s="3643"/>
    </row>
    <row r="99" spans="1:57" s="224" customFormat="1">
      <c r="A99"/>
      <c r="B99" s="99"/>
      <c r="C99" s="3122"/>
      <c r="D99" s="3149"/>
      <c r="E99" s="1546"/>
      <c r="F99" s="3176"/>
      <c r="G99" s="3203"/>
      <c r="H99" s="3230"/>
      <c r="I99" s="3460"/>
      <c r="J99" s="1054"/>
      <c r="K99" s="99"/>
      <c r="L99" s="99"/>
      <c r="M99" s="99"/>
      <c r="N99"/>
      <c r="O99" s="177"/>
      <c r="P99"/>
      <c r="Q99"/>
      <c r="R99"/>
      <c r="S99"/>
      <c r="T99"/>
      <c r="U99"/>
      <c r="V99"/>
      <c r="W99"/>
      <c r="X99"/>
      <c r="Y99"/>
      <c r="Z99"/>
      <c r="AA99" s="49" t="s">
        <v>6893</v>
      </c>
      <c r="AB99" s="2218">
        <f>IF(AB81&lt;='Data Entry - SOF'!C108,0,IF(AB81&gt;'Data Entry - SOF'!C108+0.06,0.06*100,(AB81-'Data Entry - SOF'!C108)*100))</f>
        <v>0</v>
      </c>
      <c r="AC99" s="2393"/>
      <c r="AD99" s="2393"/>
      <c r="AE99" s="49" t="s">
        <v>6893</v>
      </c>
      <c r="AF99" s="2218">
        <f>IF(AF81&lt;='Data Entry - SOF'!E108,0,IF(AF81&gt;'Data Entry - SOF'!E108+0.06,0.06*100,(AF81-'Data Entry - SOF'!E108)*100))</f>
        <v>0</v>
      </c>
      <c r="AG99" s="1955"/>
      <c r="AH99" s="1955"/>
      <c r="AI99" s="49" t="s">
        <v>6893</v>
      </c>
      <c r="AJ99" s="2218">
        <f>IF(AJ81&lt;='Data Entry - SOF'!G108,0,IF(AJ81&gt;'Data Entry - SOF'!G108+0.06,0.06*100,(AJ81-'Data Entry - SOF'!G108)*100))</f>
        <v>0</v>
      </c>
      <c r="AK99" s="2364"/>
      <c r="AL99" s="2364"/>
      <c r="AM99" s="49" t="s">
        <v>6893</v>
      </c>
      <c r="AN99" s="2218">
        <f>IF(AN81&lt;='Data Entry - SOF'!I108,0,IF(AN81&gt;'Data Entry - SOF'!I108+0.06,0.06*100,(AN81-'Data Entry - SOF'!I108)*100))</f>
        <v>0</v>
      </c>
      <c r="AO99" s="2331"/>
      <c r="AP99" s="2331"/>
      <c r="AQ99" s="49" t="s">
        <v>6893</v>
      </c>
      <c r="AR99" s="2218">
        <f>IF(AR81&lt;='Data Entry - SOF'!K108,0,IF(AR81&gt;'Data Entry - SOF'!K108+0.06,0.06*100,(AR81-'Data Entry - SOF'!K108)*100))</f>
        <v>0</v>
      </c>
      <c r="AS99" s="2322"/>
      <c r="AT99" s="2322"/>
      <c r="AV99" s="2580" t="s">
        <v>6893</v>
      </c>
      <c r="AW99" s="2622">
        <f>IF(AW81&lt;='Data Entry - SOF'!M108,0,IF(AW81&gt;'Data Entry - SOF'!M108+0.06,0.06*100,(AW81-'Data Entry - SOF'!M108)*100))</f>
        <v>0</v>
      </c>
      <c r="AX99" s="2623"/>
      <c r="AY99" s="2623"/>
      <c r="AZ99" s="2621"/>
      <c r="BA99" s="4463" t="s">
        <v>6893</v>
      </c>
      <c r="BB99" s="4474">
        <f>IF(BB81&lt;='Data Entry - SOF'!O108,0,IF(BB81&gt;'Data Entry - SOF'!O108+0.06,0.06*100,(BB81-'Data Entry - SOF'!O108)*100))</f>
        <v>0</v>
      </c>
      <c r="BC99" s="4113"/>
      <c r="BD99" s="4113"/>
      <c r="BE99" s="3643"/>
    </row>
    <row r="100" spans="1:57" s="224" customFormat="1">
      <c r="A100"/>
      <c r="B100" s="99"/>
      <c r="C100" s="3122"/>
      <c r="D100" s="3149"/>
      <c r="E100" s="1546"/>
      <c r="F100" s="3176"/>
      <c r="G100" s="3203"/>
      <c r="H100" s="3230"/>
      <c r="I100" s="3460"/>
      <c r="J100" s="1054"/>
      <c r="K100" s="99"/>
      <c r="L100" s="99"/>
      <c r="M100" s="99"/>
      <c r="N100"/>
      <c r="O100" s="177"/>
      <c r="P100"/>
      <c r="Q100"/>
      <c r="R100"/>
      <c r="S100"/>
      <c r="T100"/>
      <c r="U100"/>
      <c r="V100"/>
      <c r="W100"/>
      <c r="X100"/>
      <c r="Y100"/>
      <c r="Z100"/>
      <c r="AA100" s="49" t="s">
        <v>6894</v>
      </c>
      <c r="AB100" s="2439" t="e">
        <f>AB99*AB90</f>
        <v>#DIV/0!</v>
      </c>
      <c r="AC100" s="2393"/>
      <c r="AD100" s="2393"/>
      <c r="AE100" s="49" t="s">
        <v>6894</v>
      </c>
      <c r="AF100" s="2439" t="e">
        <f>AF99*AF90</f>
        <v>#DIV/0!</v>
      </c>
      <c r="AG100" s="1955"/>
      <c r="AH100" s="1955"/>
      <c r="AI100" s="49" t="s">
        <v>6894</v>
      </c>
      <c r="AJ100" s="2439" t="e">
        <f>AJ99*AJ90</f>
        <v>#DIV/0!</v>
      </c>
      <c r="AK100" s="2364"/>
      <c r="AL100" s="2364"/>
      <c r="AM100" s="49" t="s">
        <v>6894</v>
      </c>
      <c r="AN100" s="2439" t="e">
        <f>AN99*AN90</f>
        <v>#DIV/0!</v>
      </c>
      <c r="AO100" s="2331"/>
      <c r="AP100" s="2331"/>
      <c r="AQ100" s="49" t="s">
        <v>6894</v>
      </c>
      <c r="AR100" s="2439" t="e">
        <f>AR99*AR90</f>
        <v>#DIV/0!</v>
      </c>
      <c r="AS100" s="2322"/>
      <c r="AT100" s="2322"/>
      <c r="AV100" s="2580" t="s">
        <v>6894</v>
      </c>
      <c r="AW100" s="2624" t="e">
        <f>AW99*AW90</f>
        <v>#DIV/0!</v>
      </c>
      <c r="AX100" s="2623"/>
      <c r="AY100" s="2623"/>
      <c r="AZ100" s="2621"/>
      <c r="BA100" s="4463" t="s">
        <v>6894</v>
      </c>
      <c r="BB100" s="4474" t="e">
        <f>BB99*BB90</f>
        <v>#DIV/0!</v>
      </c>
      <c r="BC100" s="4113"/>
      <c r="BD100" s="4113"/>
      <c r="BE100" s="3643"/>
    </row>
    <row r="101" spans="1:57" s="224" customFormat="1">
      <c r="A101"/>
      <c r="B101" s="99"/>
      <c r="C101" s="3122"/>
      <c r="D101" s="3149"/>
      <c r="E101" s="1546"/>
      <c r="F101" s="3176"/>
      <c r="G101" s="3203"/>
      <c r="H101" s="3230"/>
      <c r="I101" s="3460"/>
      <c r="J101" s="1054"/>
      <c r="K101" s="99"/>
      <c r="L101" s="99"/>
      <c r="M101" s="99"/>
      <c r="N101"/>
      <c r="O101" s="177"/>
      <c r="P101"/>
      <c r="Q101"/>
      <c r="R101"/>
      <c r="S101"/>
      <c r="T101"/>
      <c r="U101"/>
      <c r="V101"/>
      <c r="W101"/>
      <c r="X101"/>
      <c r="Y101"/>
      <c r="Z101"/>
      <c r="AA101"/>
      <c r="AB101" s="2387" t="s">
        <v>4512</v>
      </c>
      <c r="AC101" s="2218" t="e">
        <f>ROUND((AB100/'Data Entry - SOF'!C48)*100,4)</f>
        <v>#DIV/0!</v>
      </c>
      <c r="AD101" s="2393"/>
      <c r="AE101"/>
      <c r="AF101" s="2377" t="s">
        <v>4512</v>
      </c>
      <c r="AG101" s="2218" t="e">
        <f>ROUND((AF100/'Data Entry - SOF'!E48)*100,4)</f>
        <v>#DIV/0!</v>
      </c>
      <c r="AH101" s="1955"/>
      <c r="AI101"/>
      <c r="AJ101" s="2359" t="s">
        <v>4512</v>
      </c>
      <c r="AK101" s="2218" t="e">
        <f>ROUND((AJ100/'Data Entry - SOF'!G48)*100,4)</f>
        <v>#DIV/0!</v>
      </c>
      <c r="AL101" s="2364"/>
      <c r="AM101"/>
      <c r="AN101" s="2352" t="s">
        <v>4512</v>
      </c>
      <c r="AO101" s="2218" t="e">
        <f>ROUND((AN100/'Data Entry - SOF'!I48)*100,4)</f>
        <v>#DIV/0!</v>
      </c>
      <c r="AP101" s="2331"/>
      <c r="AQ101"/>
      <c r="AR101" s="2323" t="s">
        <v>4512</v>
      </c>
      <c r="AS101" s="2218" t="e">
        <f>ROUND((AR100/'Data Entry - SOF'!K48)*100,4)</f>
        <v>#DIV/0!</v>
      </c>
      <c r="AT101" s="2322"/>
      <c r="AV101" s="2574"/>
      <c r="AW101" s="2625" t="s">
        <v>4512</v>
      </c>
      <c r="AX101" s="2622" t="e">
        <f>ROUND((AW100/'Data Entry - SOF'!M48)*100,4)</f>
        <v>#DIV/0!</v>
      </c>
      <c r="AY101" s="2623"/>
      <c r="AZ101" s="2621"/>
      <c r="BA101" s="4113"/>
      <c r="BB101" s="4474" t="s">
        <v>4512</v>
      </c>
      <c r="BC101" s="4474" t="e">
        <f>ROUND((BB100/'Data Entry - SOF'!O48)*100,4)</f>
        <v>#DIV/0!</v>
      </c>
      <c r="BD101" s="4113"/>
      <c r="BE101" s="3643"/>
    </row>
    <row r="102" spans="1:57" s="224" customFormat="1">
      <c r="A102"/>
      <c r="B102" s="99"/>
      <c r="C102" s="3122"/>
      <c r="D102" s="3149"/>
      <c r="E102" s="1546"/>
      <c r="F102" s="3176"/>
      <c r="G102" s="3203"/>
      <c r="H102" s="3230"/>
      <c r="I102" s="3460"/>
      <c r="J102" s="1054"/>
      <c r="K102" s="99"/>
      <c r="L102" s="99"/>
      <c r="M102" s="99"/>
      <c r="N102"/>
      <c r="O102" s="177"/>
      <c r="P102"/>
      <c r="Q102"/>
      <c r="R102"/>
      <c r="S102"/>
      <c r="T102"/>
      <c r="U102"/>
      <c r="V102"/>
      <c r="W102"/>
      <c r="X102"/>
      <c r="Y102"/>
      <c r="Z102"/>
      <c r="AA102"/>
      <c r="AB102" s="2387" t="s">
        <v>4513</v>
      </c>
      <c r="AC102" s="1944" t="e">
        <f>AC101*('Data Entry - SOF'!C48/100)</f>
        <v>#DIV/0!</v>
      </c>
      <c r="AD102" s="2393"/>
      <c r="AE102"/>
      <c r="AF102" s="2377" t="s">
        <v>4513</v>
      </c>
      <c r="AG102" s="1944" t="e">
        <f>AG101*('Data Entry - SOF'!E48/100)</f>
        <v>#DIV/0!</v>
      </c>
      <c r="AH102" s="1955"/>
      <c r="AI102"/>
      <c r="AJ102" s="2359" t="s">
        <v>4513</v>
      </c>
      <c r="AK102" s="1944" t="e">
        <f>AK101*('Data Entry - SOF'!G48/100)</f>
        <v>#DIV/0!</v>
      </c>
      <c r="AL102" s="2364"/>
      <c r="AM102"/>
      <c r="AN102" s="2352" t="s">
        <v>4513</v>
      </c>
      <c r="AO102" s="1944" t="e">
        <f>AO101*('Data Entry - SOF'!I48/100)</f>
        <v>#DIV/0!</v>
      </c>
      <c r="AP102" s="2331"/>
      <c r="AQ102"/>
      <c r="AR102" s="2323" t="s">
        <v>4513</v>
      </c>
      <c r="AS102" s="1944" t="e">
        <f>AS101*('Data Entry - SOF'!K48/100)</f>
        <v>#DIV/0!</v>
      </c>
      <c r="AT102" s="2322"/>
      <c r="AV102" s="2574"/>
      <c r="AW102" s="2625" t="s">
        <v>4513</v>
      </c>
      <c r="AX102" s="2626" t="e">
        <f>AX101*('Data Entry - SOF'!M48/100)</f>
        <v>#DIV/0!</v>
      </c>
      <c r="AY102" s="2623"/>
      <c r="AZ102" s="2621"/>
      <c r="BA102" s="4113"/>
      <c r="BB102" s="4474" t="s">
        <v>4513</v>
      </c>
      <c r="BC102" s="4474" t="e">
        <f>BC101*('Data Entry - SOF'!O48/100)</f>
        <v>#DIV/0!</v>
      </c>
      <c r="BD102" s="4113"/>
      <c r="BE102" s="3643"/>
    </row>
    <row r="103" spans="1:57" s="224" customFormat="1">
      <c r="A103"/>
      <c r="B103" s="99"/>
      <c r="C103" s="3122"/>
      <c r="D103" s="3149"/>
      <c r="E103" s="1546"/>
      <c r="F103" s="3176"/>
      <c r="G103" s="3203"/>
      <c r="H103" s="3230"/>
      <c r="I103" s="3460"/>
      <c r="J103" s="1054"/>
      <c r="K103" s="99"/>
      <c r="L103" s="99"/>
      <c r="M103" s="99"/>
      <c r="N103"/>
      <c r="O103" s="177"/>
      <c r="P103"/>
      <c r="Q103"/>
      <c r="R103"/>
      <c r="S103"/>
      <c r="T103"/>
      <c r="U103"/>
      <c r="V103"/>
      <c r="W103"/>
      <c r="X103"/>
      <c r="Y103"/>
      <c r="Z103"/>
      <c r="AA103"/>
      <c r="AB103" s="2387" t="s">
        <v>4514</v>
      </c>
      <c r="AC103" s="2218" t="e">
        <f>AB84</f>
        <v>#DIV/0!</v>
      </c>
      <c r="AD103" s="2393"/>
      <c r="AE103"/>
      <c r="AF103" s="2377" t="s">
        <v>4514</v>
      </c>
      <c r="AG103" s="2218" t="e">
        <f>AF84</f>
        <v>#DIV/0!</v>
      </c>
      <c r="AH103" s="1955"/>
      <c r="AI103"/>
      <c r="AJ103" s="2359" t="s">
        <v>4514</v>
      </c>
      <c r="AK103" s="2218" t="e">
        <f>AJ84</f>
        <v>#DIV/0!</v>
      </c>
      <c r="AL103" s="2364"/>
      <c r="AM103"/>
      <c r="AN103" s="2352" t="s">
        <v>4514</v>
      </c>
      <c r="AO103" s="2218" t="e">
        <f>AN84</f>
        <v>#DIV/0!</v>
      </c>
      <c r="AP103" s="2331"/>
      <c r="AQ103"/>
      <c r="AR103" s="2323" t="s">
        <v>4514</v>
      </c>
      <c r="AS103" s="2218" t="e">
        <f>AR84</f>
        <v>#DIV/0!</v>
      </c>
      <c r="AT103" s="2322"/>
      <c r="AV103" s="2574"/>
      <c r="AW103" s="2625" t="s">
        <v>4514</v>
      </c>
      <c r="AX103" s="2622" t="e">
        <f>AW84</f>
        <v>#DIV/0!</v>
      </c>
      <c r="AY103" s="2623"/>
      <c r="AZ103" s="2621"/>
      <c r="BA103" s="4113"/>
      <c r="BB103" s="4474" t="s">
        <v>4514</v>
      </c>
      <c r="BC103" s="4474" t="e">
        <f>BB84</f>
        <v>#DIV/0!</v>
      </c>
      <c r="BD103" s="4113"/>
      <c r="BE103" s="3643"/>
    </row>
    <row r="104" spans="1:57" s="224" customFormat="1">
      <c r="A104"/>
      <c r="B104" s="99"/>
      <c r="C104" s="3122"/>
      <c r="D104" s="3149"/>
      <c r="E104" s="1546"/>
      <c r="F104" s="3176"/>
      <c r="G104" s="3203"/>
      <c r="H104" s="3230"/>
      <c r="I104" s="3460"/>
      <c r="J104" s="1054"/>
      <c r="K104" s="99"/>
      <c r="L104" s="99"/>
      <c r="M104" s="99"/>
      <c r="N104"/>
      <c r="O104" s="177"/>
      <c r="P104"/>
      <c r="Q104"/>
      <c r="R104"/>
      <c r="S104"/>
      <c r="T104"/>
      <c r="U104"/>
      <c r="V104"/>
      <c r="W104"/>
      <c r="X104"/>
      <c r="Y104"/>
      <c r="Z104"/>
      <c r="AA104"/>
      <c r="AB104" s="2387" t="s">
        <v>4515</v>
      </c>
      <c r="AC104" s="1944" t="e">
        <f>AB88</f>
        <v>#DIV/0!</v>
      </c>
      <c r="AD104" s="2393"/>
      <c r="AE104"/>
      <c r="AF104" s="2377" t="s">
        <v>4515</v>
      </c>
      <c r="AG104" s="1944" t="e">
        <f>AF88</f>
        <v>#DIV/0!</v>
      </c>
      <c r="AH104" s="1955"/>
      <c r="AI104"/>
      <c r="AJ104" s="2359" t="s">
        <v>4515</v>
      </c>
      <c r="AK104" s="1944" t="e">
        <f>AJ88</f>
        <v>#DIV/0!</v>
      </c>
      <c r="AL104" s="2364"/>
      <c r="AM104"/>
      <c r="AN104" s="2352" t="s">
        <v>4515</v>
      </c>
      <c r="AO104" s="1944" t="e">
        <f>AN88</f>
        <v>#DIV/0!</v>
      </c>
      <c r="AP104" s="2331"/>
      <c r="AQ104"/>
      <c r="AR104" s="2323" t="s">
        <v>4515</v>
      </c>
      <c r="AS104" s="1944" t="e">
        <f>AR88</f>
        <v>#DIV/0!</v>
      </c>
      <c r="AT104" s="2322"/>
      <c r="AV104" s="2574"/>
      <c r="AW104" s="2625" t="s">
        <v>4515</v>
      </c>
      <c r="AX104" s="2626" t="e">
        <f>AW88</f>
        <v>#DIV/0!</v>
      </c>
      <c r="AY104" s="2623"/>
      <c r="AZ104" s="2621"/>
      <c r="BA104" s="4113"/>
      <c r="BB104" s="4474" t="s">
        <v>4515</v>
      </c>
      <c r="BC104" s="4474" t="e">
        <f>BB88</f>
        <v>#DIV/0!</v>
      </c>
      <c r="BD104" s="4113"/>
      <c r="BE104" s="3643"/>
    </row>
    <row r="105" spans="1:57" s="224" customFormat="1">
      <c r="A105"/>
      <c r="B105" s="99"/>
      <c r="C105" s="3122"/>
      <c r="D105" s="3149"/>
      <c r="E105" s="1546"/>
      <c r="F105" s="3176"/>
      <c r="G105" s="3203"/>
      <c r="H105" s="3230"/>
      <c r="I105" s="3460"/>
      <c r="J105" s="1054"/>
      <c r="K105" s="99"/>
      <c r="L105" s="99"/>
      <c r="M105" s="99"/>
      <c r="N105"/>
      <c r="O105" s="177"/>
      <c r="P105"/>
      <c r="Q105"/>
      <c r="R105"/>
      <c r="S105"/>
      <c r="T105"/>
      <c r="U105"/>
      <c r="V105"/>
      <c r="W105"/>
      <c r="X105"/>
      <c r="Y105"/>
      <c r="Z105"/>
      <c r="AA105"/>
      <c r="AB105" s="2386"/>
      <c r="AC105" s="1949"/>
      <c r="AD105" s="1949"/>
      <c r="AE105"/>
      <c r="AF105" s="2376"/>
      <c r="AG105" s="1955"/>
      <c r="AH105" s="1955"/>
      <c r="AI105"/>
      <c r="AJ105" s="2358"/>
      <c r="AK105" s="1963"/>
      <c r="AL105" s="1963"/>
      <c r="AM105"/>
      <c r="AN105" s="2351"/>
      <c r="AO105" s="2331"/>
      <c r="AP105" s="2331"/>
      <c r="AQ105"/>
      <c r="AR105" s="2310"/>
      <c r="AS105" s="2271"/>
      <c r="AT105" s="2271"/>
      <c r="AV105" s="2574"/>
      <c r="AW105" s="2627"/>
      <c r="AX105" s="2628"/>
      <c r="AY105" s="2628"/>
      <c r="AZ105" s="2621"/>
      <c r="BA105" s="4113"/>
      <c r="BB105" s="4113"/>
      <c r="BC105" s="4113"/>
      <c r="BD105" s="4113"/>
      <c r="BE105" s="3643"/>
    </row>
    <row r="106" spans="1:57" s="224" customFormat="1">
      <c r="A106"/>
      <c r="B106" s="99"/>
      <c r="C106" s="3122"/>
      <c r="D106" s="3149"/>
      <c r="E106" s="1546"/>
      <c r="F106" s="3176"/>
      <c r="G106" s="3203"/>
      <c r="H106" s="3230"/>
      <c r="I106" s="3460"/>
      <c r="J106" s="1054"/>
      <c r="K106" s="99"/>
      <c r="L106" s="99"/>
      <c r="M106" s="99"/>
      <c r="N106" s="47"/>
      <c r="O106" s="47"/>
      <c r="P106"/>
      <c r="Q106"/>
      <c r="R106"/>
      <c r="S106"/>
      <c r="T106"/>
      <c r="U106"/>
      <c r="V106"/>
      <c r="W106"/>
      <c r="X106"/>
      <c r="Y106"/>
      <c r="Z106"/>
      <c r="AA106" s="177"/>
      <c r="AB106" s="2299"/>
      <c r="AC106" s="2299"/>
      <c r="AD106" s="2299"/>
      <c r="AE106" s="177"/>
      <c r="AF106" s="2299"/>
      <c r="AG106" s="2299"/>
      <c r="AH106" s="2299"/>
      <c r="AI106" s="177"/>
      <c r="AJ106" s="2299"/>
      <c r="AK106" s="2299"/>
      <c r="AL106" s="2299"/>
      <c r="AM106" s="177"/>
      <c r="AN106" s="2299"/>
      <c r="AO106" s="2299"/>
      <c r="AP106" s="2299"/>
      <c r="AQ106" s="177"/>
      <c r="AR106" s="2299"/>
      <c r="AS106" s="2299"/>
      <c r="AT106" s="2299"/>
      <c r="AU106" s="378"/>
      <c r="AV106" s="2574"/>
      <c r="AW106" s="2576"/>
      <c r="AX106" s="2576"/>
      <c r="AY106" s="2576"/>
      <c r="AZ106" s="2621"/>
      <c r="BA106" s="4113"/>
      <c r="BB106" s="4462"/>
      <c r="BC106" s="4462"/>
      <c r="BD106" s="4462"/>
      <c r="BE106" s="3643"/>
    </row>
    <row r="107" spans="1:57" s="224" customFormat="1">
      <c r="A107"/>
      <c r="B107" s="99"/>
      <c r="C107" s="3122"/>
      <c r="D107" s="3149"/>
      <c r="E107" s="1546"/>
      <c r="F107" s="3176"/>
      <c r="G107" s="3203"/>
      <c r="H107" s="3230"/>
      <c r="I107" s="3460"/>
      <c r="J107" s="1054"/>
      <c r="K107" s="99"/>
      <c r="L107" s="99"/>
      <c r="M107" s="99"/>
      <c r="N107"/>
      <c r="O107" s="177"/>
      <c r="P107"/>
      <c r="Q107"/>
      <c r="R107"/>
      <c r="S107"/>
      <c r="T107"/>
      <c r="U107"/>
      <c r="V107"/>
      <c r="W107"/>
      <c r="X107"/>
      <c r="Y107"/>
      <c r="Z107" s="207"/>
      <c r="AA107" s="177"/>
      <c r="AB107" s="2299"/>
      <c r="AC107" s="2299"/>
      <c r="AD107" s="2299"/>
      <c r="AE107" s="177"/>
      <c r="AF107" s="2299"/>
      <c r="AG107" s="2299"/>
      <c r="AH107" s="2299"/>
      <c r="AI107" s="177"/>
      <c r="AJ107" s="2299"/>
      <c r="AK107" s="2299"/>
      <c r="AL107" s="2299"/>
      <c r="AM107" s="177"/>
      <c r="AN107" s="2299"/>
      <c r="AO107" s="2299"/>
      <c r="AP107" s="2299"/>
      <c r="AQ107" s="177"/>
      <c r="AR107" s="2299"/>
      <c r="AS107" s="2299"/>
      <c r="AT107" s="2299"/>
      <c r="AU107" s="378"/>
      <c r="AV107" s="2574"/>
      <c r="AW107" s="2576"/>
      <c r="AX107" s="2576"/>
      <c r="AY107" s="2576"/>
      <c r="AZ107" s="2621"/>
      <c r="BA107" s="4113"/>
      <c r="BB107" s="4462"/>
      <c r="BC107" s="4462"/>
      <c r="BD107" s="4462"/>
      <c r="BE107" s="3643"/>
    </row>
    <row r="108" spans="1:57" s="224" customFormat="1">
      <c r="A108"/>
      <c r="B108" s="99"/>
      <c r="C108" s="3122"/>
      <c r="D108" s="3149"/>
      <c r="E108" s="1546"/>
      <c r="F108" s="3176"/>
      <c r="G108" s="3203"/>
      <c r="H108" s="3230"/>
      <c r="I108" s="3460"/>
      <c r="J108" s="1054"/>
      <c r="K108" s="99"/>
      <c r="L108" s="99"/>
      <c r="M108" s="99"/>
      <c r="N108"/>
      <c r="O108" s="177"/>
      <c r="P108"/>
      <c r="Q108"/>
      <c r="R108"/>
      <c r="S108"/>
      <c r="T108"/>
      <c r="U108"/>
      <c r="V108"/>
      <c r="W108"/>
      <c r="X108"/>
      <c r="Y108"/>
      <c r="Z108"/>
      <c r="AA108" s="177"/>
      <c r="AB108" s="2299"/>
      <c r="AC108" s="2299"/>
      <c r="AD108" s="2299"/>
      <c r="AE108" s="177"/>
      <c r="AF108" s="2299"/>
      <c r="AG108" s="2299"/>
      <c r="AH108" s="2299"/>
      <c r="AI108" s="177"/>
      <c r="AJ108" s="2299"/>
      <c r="AK108" s="2299"/>
      <c r="AL108" s="2299"/>
      <c r="AM108" s="177"/>
      <c r="AN108" s="2299"/>
      <c r="AO108" s="2299"/>
      <c r="AP108" s="2299"/>
      <c r="AQ108" s="177"/>
      <c r="AR108" s="2299"/>
      <c r="AS108" s="2299"/>
      <c r="AT108" s="2299"/>
      <c r="AU108" s="378"/>
      <c r="AV108" s="2574"/>
      <c r="AW108" s="2576"/>
      <c r="AX108" s="2576"/>
      <c r="AY108" s="2576"/>
      <c r="AZ108" s="2621"/>
      <c r="BA108" s="4113"/>
      <c r="BB108" s="4462"/>
      <c r="BC108" s="4462"/>
      <c r="BD108" s="4462"/>
      <c r="BE108" s="3643"/>
    </row>
    <row r="109" spans="1:57" s="224" customFormat="1">
      <c r="A109"/>
      <c r="B109" s="99"/>
      <c r="C109" s="3122"/>
      <c r="D109" s="3149"/>
      <c r="E109" s="1546"/>
      <c r="F109" s="3176"/>
      <c r="G109" s="3203"/>
      <c r="H109" s="3230"/>
      <c r="I109" s="3460"/>
      <c r="J109" s="1054"/>
      <c r="K109" s="99"/>
      <c r="L109" s="99"/>
      <c r="M109" s="99"/>
      <c r="N109"/>
      <c r="O109" s="177"/>
      <c r="P109"/>
      <c r="Q109"/>
      <c r="R109"/>
      <c r="S109"/>
      <c r="T109"/>
      <c r="U109"/>
      <c r="V109"/>
      <c r="W109"/>
      <c r="X109"/>
      <c r="Y109"/>
      <c r="Z109"/>
      <c r="AA109" s="177"/>
      <c r="AB109" s="2299"/>
      <c r="AC109" s="2299"/>
      <c r="AD109" s="2299"/>
      <c r="AE109" s="177"/>
      <c r="AF109" s="2299"/>
      <c r="AG109" s="2299"/>
      <c r="AH109" s="2299"/>
      <c r="AI109" s="177"/>
      <c r="AJ109" s="2299"/>
      <c r="AK109" s="2299"/>
      <c r="AL109" s="2299"/>
      <c r="AM109" s="177"/>
      <c r="AN109" s="2299"/>
      <c r="AO109" s="2299"/>
      <c r="AP109" s="2299"/>
      <c r="AQ109" s="177"/>
      <c r="AR109" s="2299"/>
      <c r="AS109" s="2299"/>
      <c r="AT109" s="2299"/>
      <c r="AU109" s="378"/>
      <c r="AV109" s="2574"/>
      <c r="AW109" s="2576"/>
      <c r="AX109" s="2576"/>
      <c r="AY109" s="2576"/>
      <c r="AZ109" s="2621"/>
      <c r="BA109" s="4113"/>
      <c r="BB109" s="4462"/>
      <c r="BC109" s="4462"/>
      <c r="BD109" s="4462"/>
      <c r="BE109" s="3643"/>
    </row>
    <row r="110" spans="1:57" s="224" customFormat="1">
      <c r="A110"/>
      <c r="B110" s="98"/>
      <c r="C110" s="3122"/>
      <c r="D110" s="3149"/>
      <c r="E110" s="1546"/>
      <c r="F110" s="3176"/>
      <c r="G110" s="3203"/>
      <c r="H110" s="3230"/>
      <c r="I110" s="3460"/>
      <c r="J110" s="1054"/>
      <c r="K110" s="99"/>
      <c r="L110" s="99"/>
      <c r="M110" s="99"/>
      <c r="N110" s="650"/>
      <c r="O110" s="837"/>
      <c r="P110" s="838"/>
      <c r="Q110" s="839"/>
      <c r="R110" s="840"/>
      <c r="S110" s="841"/>
      <c r="T110" s="842"/>
      <c r="U110"/>
      <c r="V110"/>
      <c r="W110"/>
      <c r="X110"/>
      <c r="Y110"/>
      <c r="Z110"/>
      <c r="AA110" s="177"/>
      <c r="AB110" s="2299"/>
      <c r="AC110" s="2299"/>
      <c r="AD110" s="2299"/>
      <c r="AE110" s="177"/>
      <c r="AF110" s="2299"/>
      <c r="AG110" s="2299"/>
      <c r="AH110" s="2299"/>
      <c r="AI110" s="177"/>
      <c r="AJ110" s="2299"/>
      <c r="AK110" s="2299"/>
      <c r="AL110" s="2299"/>
      <c r="AM110" s="177"/>
      <c r="AN110" s="2299"/>
      <c r="AO110" s="2299"/>
      <c r="AP110" s="2299"/>
      <c r="AQ110" s="177"/>
      <c r="AR110" s="2299"/>
      <c r="AS110" s="2299"/>
      <c r="AT110" s="2299"/>
      <c r="AU110" s="378"/>
      <c r="AV110" s="2574"/>
      <c r="AW110" s="2576"/>
      <c r="AX110" s="2576"/>
      <c r="AY110" s="2576"/>
      <c r="AZ110" s="2621"/>
      <c r="BA110" s="4113"/>
      <c r="BB110" s="4462"/>
      <c r="BC110" s="4462"/>
      <c r="BD110" s="4462"/>
      <c r="BE110" s="3643"/>
    </row>
    <row r="111" spans="1:57" s="224" customFormat="1">
      <c r="A111"/>
      <c r="B111" s="98"/>
      <c r="C111" s="3147"/>
      <c r="D111" s="3174"/>
      <c r="E111" s="1568"/>
      <c r="F111" s="3201"/>
      <c r="G111" s="3228"/>
      <c r="H111" s="3255"/>
      <c r="I111" s="3493"/>
      <c r="J111" s="1496"/>
      <c r="K111" s="378"/>
      <c r="L111" s="993"/>
      <c r="M111" s="994"/>
      <c r="N111" s="650"/>
      <c r="O111" s="837"/>
      <c r="P111" s="838"/>
      <c r="Q111" s="839"/>
      <c r="R111" s="840"/>
      <c r="S111" s="841"/>
      <c r="T111" s="842"/>
      <c r="U111"/>
      <c r="V111"/>
      <c r="W111"/>
      <c r="X111"/>
      <c r="Y111"/>
      <c r="Z111"/>
      <c r="AA111" s="177"/>
      <c r="AB111" s="2299"/>
      <c r="AC111" s="2299"/>
      <c r="AD111" s="2299"/>
      <c r="AE111" s="177"/>
      <c r="AF111" s="2299"/>
      <c r="AG111" s="2299"/>
      <c r="AH111" s="2299"/>
      <c r="AI111" s="177"/>
      <c r="AJ111" s="2299"/>
      <c r="AK111" s="2299"/>
      <c r="AL111" s="2299"/>
      <c r="AM111" s="177"/>
      <c r="AN111" s="2299"/>
      <c r="AO111" s="2299"/>
      <c r="AP111" s="2299"/>
      <c r="AQ111" s="177"/>
      <c r="AR111" s="2299"/>
      <c r="AS111" s="2299"/>
      <c r="AT111" s="2299"/>
      <c r="AU111" s="378"/>
      <c r="AV111" s="2574"/>
      <c r="AW111" s="2576"/>
      <c r="AX111" s="2576"/>
      <c r="AY111" s="2576"/>
      <c r="AZ111" s="2621"/>
      <c r="BA111" s="4113"/>
      <c r="BB111" s="4462"/>
      <c r="BC111" s="4462"/>
      <c r="BD111" s="4462"/>
      <c r="BE111" s="3643"/>
    </row>
    <row r="112" spans="1:57" s="224" customFormat="1">
      <c r="A112"/>
      <c r="B112" s="98"/>
      <c r="C112" s="3147"/>
      <c r="D112" s="3174"/>
      <c r="E112" s="1568"/>
      <c r="F112" s="3201"/>
      <c r="G112" s="3228"/>
      <c r="H112" s="3255"/>
      <c r="I112" s="3493"/>
      <c r="J112" s="1496"/>
      <c r="K112" s="378"/>
      <c r="L112" s="993"/>
      <c r="M112" s="994"/>
      <c r="N112" s="650"/>
      <c r="O112" s="837"/>
      <c r="P112" s="838"/>
      <c r="Q112" s="839"/>
      <c r="R112" s="840"/>
      <c r="S112" s="841"/>
      <c r="T112" s="842"/>
      <c r="U112"/>
      <c r="V112"/>
      <c r="W112"/>
      <c r="X112"/>
      <c r="Y112"/>
      <c r="Z112"/>
      <c r="AA112" s="177"/>
      <c r="AB112" s="2299"/>
      <c r="AC112" s="2299"/>
      <c r="AD112" s="2299"/>
      <c r="AE112" s="177"/>
      <c r="AF112" s="2299"/>
      <c r="AG112" s="2299"/>
      <c r="AH112" s="2299"/>
      <c r="AI112" s="177"/>
      <c r="AJ112" s="2299"/>
      <c r="AK112" s="2299"/>
      <c r="AL112" s="2299"/>
      <c r="AM112" s="177"/>
      <c r="AN112" s="2299"/>
      <c r="AO112" s="2299"/>
      <c r="AP112" s="2299"/>
      <c r="AQ112" s="177"/>
      <c r="AR112" s="2299"/>
      <c r="AS112" s="2299"/>
      <c r="AT112" s="2299"/>
      <c r="AU112" s="378"/>
      <c r="AV112" s="2574"/>
      <c r="AW112" s="2576"/>
      <c r="AX112" s="2576"/>
      <c r="AY112" s="2576"/>
      <c r="AZ112" s="2621"/>
      <c r="BA112" s="4113"/>
      <c r="BB112" s="4462"/>
      <c r="BC112" s="4462"/>
      <c r="BD112" s="4462"/>
      <c r="BE112" s="3643"/>
    </row>
    <row r="113" spans="1:57" s="224" customFormat="1">
      <c r="A113"/>
      <c r="B113" s="98"/>
      <c r="C113" s="3147"/>
      <c r="D113" s="3174"/>
      <c r="E113" s="1568"/>
      <c r="F113" s="3201"/>
      <c r="G113" s="3228"/>
      <c r="H113" s="3255"/>
      <c r="I113" s="3493"/>
      <c r="J113" s="1496"/>
      <c r="K113" s="378"/>
      <c r="L113" s="993"/>
      <c r="M113" s="994"/>
      <c r="N113" s="650"/>
      <c r="O113" s="837"/>
      <c r="P113" s="838"/>
      <c r="Q113" s="839"/>
      <c r="R113" s="840"/>
      <c r="S113" s="841"/>
      <c r="T113" s="842"/>
      <c r="U113"/>
      <c r="V113"/>
      <c r="W113"/>
      <c r="X113"/>
      <c r="Y113"/>
      <c r="Z113"/>
      <c r="AA113" s="177"/>
      <c r="AB113" s="2299"/>
      <c r="AC113" s="2299"/>
      <c r="AD113" s="2299"/>
      <c r="AE113" s="177"/>
      <c r="AF113" s="2299"/>
      <c r="AG113" s="2299"/>
      <c r="AH113" s="2299"/>
      <c r="AI113" s="177"/>
      <c r="AJ113" s="2299"/>
      <c r="AK113" s="2299"/>
      <c r="AL113" s="2299"/>
      <c r="AM113" s="177"/>
      <c r="AN113" s="2299"/>
      <c r="AO113" s="2299"/>
      <c r="AP113" s="2299"/>
      <c r="AQ113" s="177"/>
      <c r="AR113" s="2299"/>
      <c r="AS113" s="2299"/>
      <c r="AT113" s="2299"/>
      <c r="AU113" s="378"/>
      <c r="AV113" s="2574"/>
      <c r="AW113" s="2576"/>
      <c r="AX113" s="2576"/>
      <c r="AY113" s="2576"/>
      <c r="AZ113" s="2621"/>
      <c r="BA113" s="4113"/>
      <c r="BB113" s="4462"/>
      <c r="BC113" s="4462"/>
      <c r="BD113" s="4462"/>
      <c r="BE113" s="3643"/>
    </row>
    <row r="114" spans="1:57" s="224" customFormat="1">
      <c r="A114"/>
      <c r="B114" s="98"/>
      <c r="C114" s="3147"/>
      <c r="D114" s="3174"/>
      <c r="E114" s="1568"/>
      <c r="F114" s="3201"/>
      <c r="G114" s="3228"/>
      <c r="H114" s="3255"/>
      <c r="I114" s="3493"/>
      <c r="J114" s="1496"/>
      <c r="K114" s="378"/>
      <c r="L114" s="993"/>
      <c r="M114" s="994"/>
      <c r="N114" s="650"/>
      <c r="O114" s="837"/>
      <c r="P114" s="838"/>
      <c r="Q114" s="839"/>
      <c r="R114" s="840"/>
      <c r="S114" s="841"/>
      <c r="T114" s="842"/>
      <c r="U114"/>
      <c r="V114"/>
      <c r="W114"/>
      <c r="X114"/>
      <c r="Y114"/>
      <c r="Z114"/>
      <c r="AA114" s="177"/>
      <c r="AB114" s="2299"/>
      <c r="AC114" s="2299"/>
      <c r="AD114" s="2299"/>
      <c r="AE114" s="177"/>
      <c r="AF114" s="2299"/>
      <c r="AG114" s="2299"/>
      <c r="AH114" s="2299"/>
      <c r="AI114" s="177"/>
      <c r="AJ114" s="2299"/>
      <c r="AK114" s="2299"/>
      <c r="AL114" s="2299"/>
      <c r="AM114" s="177"/>
      <c r="AN114" s="2299"/>
      <c r="AO114" s="2299"/>
      <c r="AP114" s="2299"/>
      <c r="AQ114" s="177"/>
      <c r="AR114" s="2299"/>
      <c r="AS114" s="2299"/>
      <c r="AT114" s="2299"/>
      <c r="AU114" s="378"/>
      <c r="AV114" s="2574"/>
      <c r="AW114" s="2576"/>
      <c r="AX114" s="2576"/>
      <c r="AY114" s="2576"/>
      <c r="AZ114" s="2621"/>
      <c r="BA114" s="4113"/>
      <c r="BB114" s="4462"/>
      <c r="BC114" s="4462"/>
      <c r="BD114" s="4462"/>
      <c r="BE114" s="3643"/>
    </row>
    <row r="115" spans="1:57">
      <c r="B115" s="98"/>
      <c r="C115" s="3148"/>
      <c r="D115" s="3175"/>
      <c r="E115" s="1569"/>
      <c r="F115" s="3202"/>
      <c r="G115" s="3229"/>
      <c r="H115" s="3256"/>
      <c r="I115" s="3494"/>
      <c r="J115" s="1053"/>
      <c r="L115"/>
      <c r="O115" s="378"/>
      <c r="P115" s="378"/>
      <c r="Q115" s="378"/>
      <c r="R115" s="378"/>
      <c r="U115"/>
      <c r="AA115" s="177"/>
      <c r="AB115" s="2299"/>
      <c r="AC115" s="2299"/>
      <c r="AD115" s="2299"/>
      <c r="AE115" s="177"/>
      <c r="AF115" s="2299"/>
      <c r="AG115" s="2299"/>
      <c r="AH115" s="2299"/>
      <c r="AI115" s="177"/>
      <c r="AJ115" s="2299"/>
      <c r="AK115" s="2299"/>
      <c r="AL115" s="2299"/>
      <c r="AM115" s="177"/>
      <c r="AN115" s="2299"/>
      <c r="AO115" s="2299"/>
      <c r="AP115" s="2299"/>
      <c r="AQ115" s="177"/>
      <c r="AR115" s="2299"/>
      <c r="AS115" s="2299"/>
      <c r="AT115" s="2299"/>
      <c r="AU115" s="177"/>
      <c r="AW115" s="2576"/>
      <c r="AX115" s="2576"/>
      <c r="AY115" s="2576"/>
      <c r="BB115" s="4462"/>
      <c r="BC115" s="4462"/>
      <c r="BD115" s="4462"/>
    </row>
    <row r="116" spans="1:57">
      <c r="B116" s="98"/>
      <c r="C116" s="3148"/>
      <c r="D116" s="3175"/>
      <c r="E116" s="1569"/>
      <c r="F116" s="3202"/>
      <c r="G116" s="3229"/>
      <c r="H116" s="3256"/>
      <c r="I116" s="3494"/>
      <c r="J116" s="1053"/>
      <c r="L116"/>
      <c r="O116" s="378"/>
      <c r="P116" s="378"/>
      <c r="Q116" s="378"/>
      <c r="R116" s="378"/>
      <c r="U116"/>
      <c r="AA116" s="177"/>
      <c r="AB116" s="2299"/>
      <c r="AC116" s="2299"/>
      <c r="AD116" s="2299"/>
      <c r="AE116" s="177"/>
      <c r="AF116" s="2299"/>
      <c r="AG116" s="2299"/>
      <c r="AH116" s="2299"/>
      <c r="AI116" s="177"/>
      <c r="AJ116" s="2299"/>
      <c r="AK116" s="2299"/>
      <c r="AL116" s="2299"/>
      <c r="AM116" s="177"/>
      <c r="AN116" s="2299"/>
      <c r="AO116" s="2299"/>
      <c r="AP116" s="2299"/>
      <c r="AQ116" s="177"/>
      <c r="AR116" s="2299"/>
      <c r="AS116" s="2299"/>
      <c r="AT116" s="2299"/>
      <c r="AU116" s="177"/>
      <c r="AW116" s="2576"/>
      <c r="AX116" s="2576"/>
      <c r="AY116" s="2576"/>
      <c r="BB116" s="4462"/>
      <c r="BC116" s="4462"/>
      <c r="BD116" s="4462"/>
    </row>
    <row r="117" spans="1:57">
      <c r="B117" s="98"/>
      <c r="C117" s="3148"/>
      <c r="D117" s="3175"/>
      <c r="E117" s="1569"/>
      <c r="F117" s="3202"/>
      <c r="G117" s="3229"/>
      <c r="H117" s="3256"/>
      <c r="I117" s="3494"/>
      <c r="J117" s="1053"/>
      <c r="L117"/>
      <c r="O117" s="378"/>
      <c r="P117" s="378"/>
      <c r="Q117" s="378"/>
      <c r="R117" s="378"/>
      <c r="U117"/>
      <c r="AA117" s="177"/>
      <c r="AB117" s="2299"/>
      <c r="AC117" s="2299"/>
      <c r="AD117" s="2299"/>
      <c r="AE117" s="177"/>
      <c r="AF117" s="2299"/>
      <c r="AG117" s="2299"/>
      <c r="AH117" s="2299"/>
      <c r="AI117" s="177"/>
      <c r="AJ117" s="2299"/>
      <c r="AK117" s="2299"/>
      <c r="AL117" s="2299"/>
      <c r="AM117" s="177"/>
      <c r="AN117" s="2299"/>
      <c r="AO117" s="2299"/>
      <c r="AP117" s="2299"/>
      <c r="AQ117" s="177"/>
      <c r="AR117" s="2299"/>
      <c r="AS117" s="2299"/>
      <c r="AT117" s="2299"/>
      <c r="AU117" s="177"/>
      <c r="AW117" s="2576"/>
      <c r="AX117" s="2576"/>
      <c r="AY117" s="2576"/>
      <c r="BB117" s="4462"/>
      <c r="BC117" s="4462"/>
      <c r="BD117" s="4462"/>
    </row>
    <row r="118" spans="1:57">
      <c r="B118" s="98"/>
      <c r="C118" s="3148"/>
      <c r="D118" s="3175"/>
      <c r="E118" s="1569"/>
      <c r="F118" s="3202"/>
      <c r="G118" s="3229"/>
      <c r="H118" s="3256"/>
      <c r="I118" s="3494"/>
      <c r="J118" s="1053"/>
      <c r="L118"/>
      <c r="O118" s="378"/>
      <c r="P118" s="378"/>
      <c r="Q118" s="378"/>
      <c r="R118" s="378"/>
      <c r="U118"/>
      <c r="AA118" s="177"/>
      <c r="AB118" s="2299"/>
      <c r="AC118" s="2299"/>
      <c r="AD118" s="2299"/>
      <c r="AE118" s="177"/>
      <c r="AF118" s="2299"/>
      <c r="AG118" s="2299"/>
      <c r="AH118" s="2299"/>
      <c r="AI118" s="177"/>
      <c r="AJ118" s="2299"/>
      <c r="AK118" s="2299"/>
      <c r="AL118" s="2299"/>
      <c r="AM118" s="177"/>
      <c r="AN118" s="2299"/>
      <c r="AO118" s="2299"/>
      <c r="AP118" s="2299"/>
      <c r="AQ118" s="177"/>
      <c r="AR118" s="2299"/>
      <c r="AS118" s="2299"/>
      <c r="AT118" s="2299"/>
      <c r="AU118" s="177"/>
      <c r="AW118" s="2576"/>
      <c r="AX118" s="2576"/>
      <c r="AY118" s="2576"/>
      <c r="BB118" s="4462"/>
      <c r="BC118" s="4462"/>
      <c r="BD118" s="4462"/>
    </row>
    <row r="119" spans="1:57">
      <c r="B119" s="98"/>
      <c r="C119" s="3148"/>
      <c r="D119" s="3175"/>
      <c r="E119" s="1569"/>
      <c r="F119" s="3202"/>
      <c r="G119" s="3229"/>
      <c r="H119" s="3256"/>
      <c r="I119" s="3494"/>
      <c r="J119" s="1053"/>
      <c r="L119"/>
      <c r="O119" s="378"/>
      <c r="P119" s="378"/>
      <c r="Q119" s="378"/>
      <c r="R119" s="378"/>
      <c r="U119"/>
      <c r="AA119" s="177"/>
      <c r="AB119" s="2299"/>
      <c r="AC119" s="2299"/>
      <c r="AD119" s="2299"/>
      <c r="AE119" s="177"/>
      <c r="AF119" s="2299"/>
      <c r="AG119" s="2299"/>
      <c r="AH119" s="2299"/>
      <c r="AI119" s="177"/>
      <c r="AJ119" s="2299"/>
      <c r="AK119" s="2299"/>
      <c r="AL119" s="2299"/>
      <c r="AM119" s="177"/>
      <c r="AN119" s="2299"/>
      <c r="AO119" s="2299"/>
      <c r="AP119" s="2299"/>
      <c r="AQ119" s="177"/>
      <c r="AR119" s="2299"/>
      <c r="AS119" s="2299"/>
      <c r="AT119" s="2299"/>
      <c r="AU119" s="177"/>
      <c r="AW119" s="2576"/>
      <c r="AX119" s="2576"/>
      <c r="AY119" s="2576"/>
      <c r="BB119" s="4462"/>
      <c r="BC119" s="4462"/>
      <c r="BD119" s="4462"/>
    </row>
    <row r="120" spans="1:57">
      <c r="B120" s="98"/>
      <c r="C120" s="3148"/>
      <c r="D120" s="3175"/>
      <c r="E120" s="1569"/>
      <c r="F120" s="3202"/>
      <c r="G120" s="3229"/>
      <c r="H120" s="3256"/>
      <c r="I120" s="3494"/>
      <c r="J120" s="1053"/>
      <c r="L120"/>
      <c r="O120" s="378"/>
      <c r="P120" s="378"/>
      <c r="Q120" s="378"/>
      <c r="R120" s="378"/>
      <c r="U120"/>
      <c r="AA120" s="177"/>
      <c r="AB120" s="2299"/>
      <c r="AC120" s="2299"/>
      <c r="AD120" s="2299"/>
      <c r="AE120" s="177"/>
      <c r="AF120" s="2299"/>
      <c r="AG120" s="2299"/>
      <c r="AH120" s="2299"/>
      <c r="AI120" s="177"/>
      <c r="AJ120" s="2299"/>
      <c r="AK120" s="2299"/>
      <c r="AL120" s="2299"/>
      <c r="AM120" s="177"/>
      <c r="AN120" s="2299"/>
      <c r="AO120" s="2299"/>
      <c r="AP120" s="2299"/>
      <c r="AQ120" s="177"/>
      <c r="AR120" s="2299"/>
      <c r="AS120" s="2299"/>
      <c r="AT120" s="2299"/>
      <c r="AU120" s="177"/>
      <c r="AW120" s="2576"/>
      <c r="AX120" s="2576"/>
      <c r="AY120" s="2576"/>
      <c r="BB120" s="4462"/>
      <c r="BC120" s="4462"/>
      <c r="BD120" s="4462"/>
    </row>
    <row r="121" spans="1:57">
      <c r="B121" s="98"/>
      <c r="C121" s="3148"/>
      <c r="D121" s="3175"/>
      <c r="E121" s="1569"/>
      <c r="F121" s="3202"/>
      <c r="G121" s="3229"/>
      <c r="H121" s="3256"/>
      <c r="I121" s="3494"/>
      <c r="J121" s="1053"/>
      <c r="L121"/>
      <c r="O121" s="378"/>
      <c r="P121" s="378"/>
      <c r="Q121" s="378"/>
      <c r="R121" s="378"/>
      <c r="U121"/>
      <c r="AK121" s="177"/>
      <c r="AL121" s="177"/>
    </row>
    <row r="122" spans="1:57">
      <c r="B122" s="98"/>
      <c r="C122" s="3148"/>
      <c r="D122" s="3175"/>
      <c r="E122" s="1569"/>
      <c r="F122" s="3202"/>
      <c r="G122" s="3229"/>
      <c r="H122" s="3256"/>
      <c r="I122" s="3494"/>
      <c r="J122" s="1053"/>
      <c r="L122"/>
      <c r="O122" s="378"/>
      <c r="P122" s="378"/>
      <c r="Q122" s="378"/>
      <c r="R122" s="378"/>
      <c r="U122"/>
      <c r="AK122" s="177"/>
      <c r="AL122" s="177"/>
    </row>
    <row r="123" spans="1:57">
      <c r="B123" s="98"/>
      <c r="C123" s="3148"/>
      <c r="D123" s="3175"/>
      <c r="E123" s="1569"/>
      <c r="F123" s="3202"/>
      <c r="G123" s="3229"/>
      <c r="H123" s="3256"/>
      <c r="I123" s="3494"/>
      <c r="J123" s="1053"/>
      <c r="L123"/>
      <c r="O123" s="378"/>
      <c r="P123" s="378"/>
      <c r="Q123" s="378"/>
      <c r="R123" s="378"/>
      <c r="U123"/>
      <c r="AK123" s="177"/>
      <c r="AL123" s="177"/>
    </row>
    <row r="124" spans="1:57">
      <c r="B124" s="98"/>
      <c r="C124" s="3148"/>
      <c r="D124" s="3175"/>
      <c r="E124" s="1569"/>
      <c r="F124" s="3202"/>
      <c r="G124" s="3229"/>
      <c r="H124" s="3256"/>
      <c r="I124" s="3494"/>
      <c r="J124" s="1053"/>
      <c r="L124"/>
      <c r="O124" s="378"/>
      <c r="P124" s="378"/>
      <c r="Q124" s="378"/>
      <c r="R124" s="378"/>
      <c r="U124"/>
      <c r="AK124" s="177"/>
      <c r="AL124" s="177"/>
    </row>
    <row r="125" spans="1:57">
      <c r="B125" s="98"/>
      <c r="C125" s="3148"/>
      <c r="D125" s="3175"/>
      <c r="E125" s="1569"/>
      <c r="F125" s="3202"/>
      <c r="G125" s="3229"/>
      <c r="H125" s="3256"/>
      <c r="I125" s="3494"/>
      <c r="J125" s="1053"/>
      <c r="L125"/>
      <c r="O125" s="378"/>
      <c r="P125" s="378"/>
      <c r="Q125" s="378"/>
      <c r="R125" s="378"/>
      <c r="U125"/>
      <c r="AK125" s="177"/>
      <c r="AL125" s="177"/>
    </row>
    <row r="126" spans="1:57">
      <c r="B126" s="98"/>
      <c r="C126" s="3148"/>
      <c r="D126" s="3175"/>
      <c r="E126" s="1569"/>
      <c r="F126" s="3202"/>
      <c r="G126" s="3229"/>
      <c r="H126" s="3256"/>
      <c r="I126" s="3494"/>
      <c r="J126" s="1053"/>
      <c r="L126"/>
      <c r="O126" s="378"/>
      <c r="P126" s="378"/>
      <c r="Q126" s="378"/>
      <c r="R126" s="378"/>
      <c r="U126"/>
      <c r="AK126" s="177"/>
      <c r="AL126" s="177"/>
    </row>
    <row r="127" spans="1:57">
      <c r="B127" s="98"/>
      <c r="C127" s="3148"/>
      <c r="D127" s="3175"/>
      <c r="E127" s="1569"/>
      <c r="F127" s="3202"/>
      <c r="G127" s="3229"/>
      <c r="H127" s="3256"/>
      <c r="I127" s="3494"/>
      <c r="J127" s="1053"/>
      <c r="L127"/>
      <c r="O127" s="378"/>
      <c r="P127" s="378"/>
      <c r="Q127" s="378"/>
      <c r="R127" s="378"/>
      <c r="U127"/>
      <c r="AK127" s="177"/>
      <c r="AL127" s="177"/>
    </row>
    <row r="128" spans="1:57">
      <c r="B128" s="98"/>
      <c r="C128" s="3148"/>
      <c r="D128" s="3175"/>
      <c r="E128" s="1569"/>
      <c r="F128" s="3202"/>
      <c r="G128" s="3229"/>
      <c r="H128" s="3256"/>
      <c r="I128" s="3494"/>
    </row>
    <row r="129" spans="2:9">
      <c r="B129" s="98"/>
      <c r="C129" s="3148"/>
      <c r="D129" s="3175"/>
      <c r="E129" s="1569"/>
      <c r="F129" s="3202"/>
      <c r="G129" s="3229"/>
      <c r="H129" s="3256"/>
      <c r="I129" s="3494"/>
    </row>
    <row r="130" spans="2:9">
      <c r="B130" s="98"/>
      <c r="C130" s="3148"/>
      <c r="D130" s="3175"/>
      <c r="E130" s="1569"/>
      <c r="F130" s="3202"/>
      <c r="G130" s="3229"/>
      <c r="H130" s="3256"/>
      <c r="I130" s="3494"/>
    </row>
    <row r="131" spans="2:9">
      <c r="B131" s="98"/>
      <c r="C131" s="3148"/>
      <c r="D131" s="3175"/>
      <c r="E131" s="1569"/>
      <c r="F131" s="3202"/>
      <c r="G131" s="3229"/>
      <c r="H131" s="3256"/>
      <c r="I131" s="3494"/>
    </row>
    <row r="132" spans="2:9">
      <c r="B132" s="98"/>
      <c r="C132" s="3148"/>
      <c r="D132" s="3175"/>
      <c r="E132" s="1569"/>
      <c r="F132" s="3202"/>
      <c r="G132" s="3229"/>
      <c r="H132" s="3256"/>
      <c r="I132" s="3494"/>
    </row>
    <row r="133" spans="2:9">
      <c r="B133" s="98"/>
      <c r="C133" s="3148"/>
      <c r="D133" s="3175"/>
      <c r="E133" s="1569"/>
      <c r="F133" s="3202"/>
      <c r="G133" s="3229"/>
      <c r="H133" s="3256"/>
      <c r="I133" s="3494"/>
    </row>
    <row r="134" spans="2:9">
      <c r="B134" s="98"/>
      <c r="C134" s="3148"/>
      <c r="D134" s="3175"/>
      <c r="E134" s="1569"/>
      <c r="F134" s="3202"/>
      <c r="G134" s="3229"/>
      <c r="H134" s="3256"/>
      <c r="I134" s="3494"/>
    </row>
    <row r="135" spans="2:9">
      <c r="B135" s="98"/>
      <c r="C135" s="3148"/>
      <c r="D135" s="3175"/>
      <c r="E135" s="1569"/>
      <c r="F135" s="3202"/>
      <c r="G135" s="3229"/>
      <c r="H135" s="3256"/>
      <c r="I135" s="3494"/>
    </row>
    <row r="136" spans="2:9">
      <c r="B136" s="98"/>
      <c r="C136" s="3148"/>
      <c r="D136" s="3175"/>
      <c r="E136" s="1569"/>
      <c r="F136" s="3202"/>
      <c r="G136" s="3229"/>
      <c r="H136" s="3256"/>
      <c r="I136" s="3494"/>
    </row>
    <row r="137" spans="2:9">
      <c r="B137" s="98"/>
      <c r="C137" s="3148"/>
      <c r="D137" s="3175"/>
      <c r="E137" s="1569"/>
      <c r="F137" s="3202"/>
      <c r="G137" s="3229"/>
      <c r="H137" s="3256"/>
      <c r="I137" s="3494"/>
    </row>
    <row r="138" spans="2:9">
      <c r="B138" s="98"/>
      <c r="C138" s="3148"/>
      <c r="D138" s="3175"/>
      <c r="E138" s="1569"/>
      <c r="F138" s="3202"/>
      <c r="G138" s="3229"/>
      <c r="H138" s="3256"/>
      <c r="I138" s="3494"/>
    </row>
    <row r="139" spans="2:9">
      <c r="B139" s="98"/>
      <c r="C139" s="3148"/>
      <c r="D139" s="3175"/>
      <c r="E139" s="1569"/>
      <c r="F139" s="3202"/>
      <c r="G139" s="3229"/>
      <c r="H139" s="3256"/>
      <c r="I139" s="3494"/>
    </row>
    <row r="140" spans="2:9">
      <c r="B140" s="98"/>
      <c r="C140" s="3148"/>
      <c r="D140" s="3175"/>
      <c r="E140" s="1569"/>
      <c r="F140" s="3202"/>
      <c r="G140" s="3229"/>
      <c r="H140" s="3256"/>
      <c r="I140" s="3494"/>
    </row>
    <row r="141" spans="2:9">
      <c r="B141" s="98"/>
      <c r="C141" s="3148"/>
      <c r="D141" s="3175"/>
      <c r="E141" s="1569"/>
      <c r="F141" s="3202"/>
      <c r="G141" s="3229"/>
      <c r="H141" s="3256"/>
      <c r="I141" s="3494"/>
    </row>
    <row r="142" spans="2:9">
      <c r="B142" s="98"/>
      <c r="C142" s="3148"/>
      <c r="D142" s="3175"/>
      <c r="E142" s="1569"/>
      <c r="F142" s="3202"/>
      <c r="G142" s="3229"/>
      <c r="H142" s="3256"/>
      <c r="I142" s="3494"/>
    </row>
    <row r="143" spans="2:9">
      <c r="B143" s="98"/>
      <c r="C143" s="3148"/>
      <c r="D143" s="3175"/>
      <c r="E143" s="1569"/>
      <c r="F143" s="3202"/>
      <c r="G143" s="3229"/>
      <c r="H143" s="3256"/>
      <c r="I143" s="3494"/>
    </row>
    <row r="144" spans="2:9">
      <c r="B144" s="98"/>
      <c r="C144" s="3148"/>
      <c r="D144" s="3175"/>
      <c r="E144" s="1569"/>
      <c r="F144" s="3202"/>
      <c r="G144" s="3229"/>
      <c r="H144" s="3256"/>
      <c r="I144" s="3494"/>
    </row>
    <row r="145" spans="2:9">
      <c r="B145" s="98"/>
      <c r="C145" s="3148"/>
      <c r="D145" s="3175"/>
      <c r="E145" s="1569"/>
      <c r="F145" s="3202"/>
      <c r="G145" s="3229"/>
      <c r="H145" s="3256"/>
      <c r="I145" s="3494"/>
    </row>
    <row r="146" spans="2:9">
      <c r="B146" s="98"/>
      <c r="C146" s="3148"/>
      <c r="D146" s="3175"/>
      <c r="E146" s="1569"/>
      <c r="F146" s="3202"/>
      <c r="G146" s="3229"/>
      <c r="H146" s="3256"/>
      <c r="I146" s="3494"/>
    </row>
    <row r="147" spans="2:9">
      <c r="B147" s="98"/>
      <c r="C147" s="3148"/>
      <c r="D147" s="3175"/>
      <c r="E147" s="1569"/>
      <c r="F147" s="3202"/>
      <c r="G147" s="3229"/>
      <c r="H147" s="3256"/>
      <c r="I147" s="3494"/>
    </row>
    <row r="148" spans="2:9">
      <c r="B148" s="98"/>
      <c r="C148" s="3148"/>
      <c r="D148" s="3175"/>
      <c r="E148" s="1569"/>
      <c r="F148" s="3202"/>
      <c r="G148" s="3229"/>
      <c r="H148" s="3256"/>
      <c r="I148" s="3494"/>
    </row>
    <row r="149" spans="2:9">
      <c r="B149" s="98"/>
      <c r="C149" s="3148"/>
      <c r="D149" s="3175"/>
      <c r="E149" s="1569"/>
      <c r="F149" s="3202"/>
      <c r="G149" s="3229"/>
      <c r="H149" s="3256"/>
      <c r="I149" s="3494"/>
    </row>
    <row r="150" spans="2:9">
      <c r="B150" s="98"/>
      <c r="C150" s="3148"/>
      <c r="D150" s="3175"/>
      <c r="E150" s="1569"/>
      <c r="F150" s="3202"/>
      <c r="G150" s="3229"/>
      <c r="H150" s="3256"/>
      <c r="I150" s="3494"/>
    </row>
    <row r="151" spans="2:9">
      <c r="B151" s="98"/>
      <c r="C151" s="3148"/>
      <c r="D151" s="3175"/>
      <c r="E151" s="1569"/>
      <c r="F151" s="3202"/>
      <c r="G151" s="3229"/>
      <c r="H151" s="3256"/>
      <c r="I151" s="3494"/>
    </row>
    <row r="152" spans="2:9">
      <c r="B152" s="98"/>
      <c r="C152" s="3148"/>
      <c r="D152" s="3175"/>
      <c r="E152" s="1569"/>
      <c r="F152" s="3202"/>
      <c r="G152" s="3229"/>
      <c r="H152" s="3256"/>
      <c r="I152" s="3494"/>
    </row>
    <row r="153" spans="2:9">
      <c r="B153" s="98"/>
      <c r="C153" s="3148"/>
      <c r="D153" s="3175"/>
      <c r="E153" s="1569"/>
      <c r="F153" s="3202"/>
      <c r="G153" s="3229"/>
      <c r="H153" s="3256"/>
      <c r="I153" s="3494"/>
    </row>
    <row r="154" spans="2:9">
      <c r="B154" s="98"/>
      <c r="C154" s="3148"/>
      <c r="D154" s="3175"/>
      <c r="E154" s="1569"/>
      <c r="F154" s="3202"/>
      <c r="G154" s="3229"/>
      <c r="H154" s="3256"/>
      <c r="I154" s="3494"/>
    </row>
    <row r="155" spans="2:9">
      <c r="B155" s="98"/>
      <c r="C155" s="3148"/>
      <c r="D155" s="3175"/>
      <c r="E155" s="1569"/>
      <c r="F155" s="3202"/>
      <c r="G155" s="3229"/>
      <c r="H155" s="3256"/>
      <c r="I155" s="3494"/>
    </row>
    <row r="156" spans="2:9">
      <c r="B156" s="98"/>
      <c r="C156" s="3148"/>
      <c r="D156" s="3175"/>
      <c r="E156" s="1569"/>
      <c r="F156" s="3202"/>
      <c r="G156" s="3229"/>
      <c r="H156" s="3256"/>
      <c r="I156" s="3494"/>
    </row>
    <row r="157" spans="2:9">
      <c r="B157" s="98"/>
      <c r="C157" s="3148"/>
      <c r="D157" s="3175"/>
      <c r="E157" s="1569"/>
      <c r="F157" s="3202"/>
      <c r="G157" s="3229"/>
      <c r="H157" s="3256"/>
      <c r="I157" s="3494"/>
    </row>
    <row r="158" spans="2:9">
      <c r="B158" s="98"/>
      <c r="C158" s="3148"/>
      <c r="D158" s="3175"/>
      <c r="E158" s="1569"/>
      <c r="F158" s="3202"/>
      <c r="G158" s="3229"/>
      <c r="H158" s="3256"/>
      <c r="I158" s="3494"/>
    </row>
    <row r="159" spans="2:9">
      <c r="B159" s="98"/>
      <c r="C159" s="3148"/>
      <c r="D159" s="3175"/>
      <c r="E159" s="1569"/>
      <c r="F159" s="3202"/>
      <c r="G159" s="3229"/>
      <c r="H159" s="3256"/>
      <c r="I159" s="3494"/>
    </row>
    <row r="160" spans="2:9">
      <c r="B160" s="98"/>
      <c r="C160" s="3148"/>
      <c r="D160" s="3175"/>
      <c r="E160" s="1569"/>
      <c r="F160" s="3202"/>
      <c r="G160" s="3229"/>
      <c r="H160" s="3256"/>
      <c r="I160" s="3494"/>
    </row>
    <row r="161" spans="2:9">
      <c r="B161" s="98"/>
      <c r="C161" s="3148"/>
      <c r="D161" s="3175"/>
      <c r="E161" s="1569"/>
      <c r="F161" s="3202"/>
      <c r="G161" s="3229"/>
      <c r="H161" s="3256"/>
      <c r="I161" s="3494"/>
    </row>
    <row r="162" spans="2:9">
      <c r="B162" s="98"/>
      <c r="C162" s="3148"/>
      <c r="D162" s="3175"/>
      <c r="E162" s="1569"/>
      <c r="F162" s="3202"/>
      <c r="G162" s="3229"/>
      <c r="H162" s="3256"/>
      <c r="I162" s="3494"/>
    </row>
    <row r="163" spans="2:9">
      <c r="B163" s="98"/>
      <c r="C163" s="3148"/>
      <c r="D163" s="3175"/>
      <c r="E163" s="1569"/>
      <c r="F163" s="3202"/>
      <c r="G163" s="3229"/>
      <c r="H163" s="3256"/>
      <c r="I163" s="3494"/>
    </row>
    <row r="164" spans="2:9">
      <c r="B164" s="98"/>
      <c r="C164" s="3148"/>
      <c r="D164" s="3175"/>
      <c r="E164" s="1569"/>
      <c r="F164" s="3202"/>
      <c r="G164" s="3229"/>
      <c r="H164" s="3256"/>
      <c r="I164" s="3494"/>
    </row>
    <row r="165" spans="2:9">
      <c r="B165" s="98"/>
      <c r="C165" s="3148"/>
      <c r="D165" s="3175"/>
      <c r="E165" s="1569"/>
      <c r="F165" s="3202"/>
      <c r="G165" s="3229"/>
      <c r="H165" s="3256"/>
      <c r="I165" s="3494"/>
    </row>
    <row r="166" spans="2:9">
      <c r="B166" s="98"/>
      <c r="C166" s="3148"/>
      <c r="D166" s="3175"/>
      <c r="E166" s="1569"/>
      <c r="F166" s="3202"/>
      <c r="G166" s="3229"/>
      <c r="H166" s="3256"/>
      <c r="I166" s="3494"/>
    </row>
    <row r="167" spans="2:9">
      <c r="B167" s="98"/>
      <c r="C167" s="3148"/>
      <c r="D167" s="3175"/>
      <c r="E167" s="1569"/>
      <c r="F167" s="3202"/>
      <c r="G167" s="3229"/>
      <c r="H167" s="3256"/>
      <c r="I167" s="3494"/>
    </row>
    <row r="168" spans="2:9">
      <c r="B168" s="98"/>
      <c r="C168" s="3148"/>
      <c r="D168" s="3175"/>
      <c r="E168" s="1569"/>
      <c r="F168" s="3202"/>
      <c r="G168" s="3229"/>
      <c r="H168" s="3256"/>
      <c r="I168" s="3494"/>
    </row>
    <row r="169" spans="2:9">
      <c r="B169" s="98"/>
      <c r="C169" s="3148"/>
      <c r="D169" s="3175"/>
      <c r="E169" s="1569"/>
      <c r="F169" s="3202"/>
      <c r="G169" s="3229"/>
      <c r="H169" s="3256"/>
      <c r="I169" s="3494"/>
    </row>
    <row r="170" spans="2:9">
      <c r="B170" s="98"/>
      <c r="C170" s="3148"/>
      <c r="D170" s="3175"/>
      <c r="E170" s="1569"/>
      <c r="F170" s="3202"/>
      <c r="G170" s="3229"/>
      <c r="H170" s="3256"/>
      <c r="I170" s="3494"/>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'Report-EDA1819'!D1</f>
        <v>84th/85th Legislative Session</v>
      </c>
    </row>
    <row r="2" spans="1:5">
      <c r="A2" s="1074" t="s">
        <v>3267</v>
      </c>
      <c r="E2" s="98" t="str">
        <f>'Report-EDA1819'!D2</f>
        <v>Release 2</v>
      </c>
    </row>
    <row r="3" spans="1:5">
      <c r="A3" s="89"/>
      <c r="E3" s="82">
        <f>'Report-EDA1819'!D3</f>
        <v>43145</v>
      </c>
    </row>
    <row r="4" spans="1:5" ht="15.75">
      <c r="A4" s="1075" t="s">
        <v>3867</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IFA!P58</f>
        <v>400</v>
      </c>
      <c r="E12" s="1086">
        <f>D12</f>
        <v>400</v>
      </c>
    </row>
    <row r="13" spans="1:5" s="1076" customFormat="1" ht="15">
      <c r="A13" s="1079" t="s">
        <v>2503</v>
      </c>
      <c r="B13" s="1080" t="s">
        <v>7389</v>
      </c>
      <c r="C13" s="1080"/>
      <c r="D13" s="1085">
        <f>'Report-EDA1819'!D18</f>
        <v>0</v>
      </c>
      <c r="E13" s="1085">
        <f>D13</f>
        <v>0</v>
      </c>
    </row>
    <row r="14" spans="1:5" s="1076" customFormat="1" ht="15">
      <c r="A14" s="1079" t="s">
        <v>1024</v>
      </c>
      <c r="B14" s="1080" t="s">
        <v>3378</v>
      </c>
      <c r="C14" s="1080"/>
      <c r="D14" s="1085">
        <f>IFA!P65</f>
        <v>0</v>
      </c>
      <c r="E14" s="1085">
        <f>IFA!R65</f>
        <v>0</v>
      </c>
    </row>
    <row r="15" spans="1:5" s="1076" customFormat="1" ht="15">
      <c r="A15" s="1079" t="s">
        <v>1025</v>
      </c>
      <c r="B15" s="1080" t="s">
        <v>3379</v>
      </c>
      <c r="C15" s="1080"/>
      <c r="D15" s="1183">
        <f>IFA!P67</f>
        <v>0</v>
      </c>
      <c r="E15" s="1183">
        <f>IFA!R67</f>
        <v>0</v>
      </c>
    </row>
    <row r="16" spans="1:5" s="1076" customFormat="1" ht="15">
      <c r="A16" s="1079" t="s">
        <v>1027</v>
      </c>
      <c r="B16" s="1080" t="s">
        <v>3380</v>
      </c>
      <c r="C16" s="1080"/>
      <c r="D16" s="1183">
        <f>IFA!P69</f>
        <v>0</v>
      </c>
      <c r="E16" s="1183">
        <f>IFA!R69</f>
        <v>0</v>
      </c>
    </row>
    <row r="17" spans="1:5" s="1076" customFormat="1" ht="15">
      <c r="A17" s="1079" t="s">
        <v>1028</v>
      </c>
      <c r="B17" s="1080" t="str">
        <f>CONCATENATE("State's Share of $",Weights!J49," per ADA Yield")</f>
        <v>State's Share of $35 per ADA Yield</v>
      </c>
      <c r="C17" s="1080"/>
      <c r="D17" s="1085">
        <f>IFA!P71</f>
        <v>35</v>
      </c>
      <c r="E17" s="1085">
        <f>IFA!R71</f>
        <v>35</v>
      </c>
    </row>
    <row r="18" spans="1:5" s="1076" customFormat="1" ht="15">
      <c r="A18" s="1079" t="s">
        <v>1029</v>
      </c>
      <c r="B18" s="1080" t="s">
        <v>3381</v>
      </c>
      <c r="C18" s="1080"/>
      <c r="D18" s="1184">
        <f>IFA!P73</f>
        <v>1</v>
      </c>
      <c r="E18" s="1184">
        <f>IFA!R73</f>
        <v>1</v>
      </c>
    </row>
    <row r="19" spans="1:5" s="1076" customFormat="1" ht="15">
      <c r="A19" s="1079" t="s">
        <v>139</v>
      </c>
      <c r="B19" s="1080" t="s">
        <v>3382</v>
      </c>
      <c r="C19" s="1080"/>
      <c r="D19" s="1085">
        <f>IFA!P75</f>
        <v>0</v>
      </c>
      <c r="E19" s="1085">
        <f>IFA!R75</f>
        <v>0</v>
      </c>
    </row>
    <row r="20" spans="1:5" s="1076" customFormat="1" ht="15">
      <c r="A20" s="1079" t="s">
        <v>140</v>
      </c>
      <c r="B20" s="1080" t="s">
        <v>3383</v>
      </c>
      <c r="C20" s="1080"/>
      <c r="D20" s="1085">
        <f>IFA!P79</f>
        <v>0</v>
      </c>
      <c r="E20" s="1085">
        <f>IFA!R79</f>
        <v>0</v>
      </c>
    </row>
    <row r="21" spans="1:5" s="1076" customFormat="1" ht="15.75">
      <c r="A21" s="1079" t="s">
        <v>141</v>
      </c>
      <c r="B21" s="1078" t="s">
        <v>3384</v>
      </c>
      <c r="C21" s="1080"/>
      <c r="D21" s="1085">
        <f>IFA!P86</f>
        <v>0</v>
      </c>
      <c r="E21" s="1085">
        <f>IFA!R86</f>
        <v>0</v>
      </c>
    </row>
    <row r="22" spans="1:5" s="1076" customFormat="1" ht="15.75">
      <c r="B22" s="1195" t="s">
        <v>3392</v>
      </c>
      <c r="D22" s="1194" t="s">
        <v>3869</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7102</v>
      </c>
      <c r="E32" s="2026">
        <f>IF(ISNA('DE1'!I89),0,'DE1'!I89)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IFA_Limits!H55</f>
        <v>0</v>
      </c>
      <c r="E37" s="1199">
        <f>IFA_Limits!H56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pans="4:4" s="1076" customFormat="1" ht="15"/>
    <row r="50" spans="4:4" s="1076" customFormat="1" ht="15"/>
    <row r="51" spans="4:4" s="1076" customFormat="1" ht="15">
      <c r="D51"/>
    </row>
  </sheetData>
  <sheetProtection sheet="1"/>
  <hyperlinks>
    <hyperlink ref="D22" location="'Report-SOF1819'!A1" display="'Report-SOF1819'!A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2.85546875" customWidth="1"/>
  </cols>
  <sheetData>
    <row r="1" spans="1:5">
      <c r="A1" s="1074" t="s">
        <v>3593</v>
      </c>
      <c r="E1" s="1773" t="str">
        <f>'Report-IFA1819'!E1</f>
        <v>84th/85th Legislative Session</v>
      </c>
    </row>
    <row r="2" spans="1:5">
      <c r="A2" s="1074" t="s">
        <v>3594</v>
      </c>
      <c r="E2" s="98" t="str">
        <f>'Report-IFA1819'!E2</f>
        <v>Release 2</v>
      </c>
    </row>
    <row r="3" spans="1:5">
      <c r="A3" s="89"/>
      <c r="E3" s="82">
        <f>'Report-IFA1819'!E3</f>
        <v>43145</v>
      </c>
    </row>
    <row r="4" spans="1:5" ht="15.75">
      <c r="A4" s="1075" t="s">
        <v>3868</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SOF'!G84</f>
        <v>0</v>
      </c>
      <c r="D11" s="1080"/>
      <c r="E11" s="1083" t="e">
        <f>'Report-SOF1819'!D67</f>
        <v>#DIV/0!</v>
      </c>
    </row>
    <row r="12" spans="1:5" ht="15">
      <c r="A12" s="1079" t="s">
        <v>2502</v>
      </c>
      <c r="B12" s="1080" t="s">
        <v>3601</v>
      </c>
      <c r="C12" s="1083">
        <f>'Data Entry - SOF'!G85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1194" t="s">
        <v>3869</v>
      </c>
    </row>
    <row r="17" spans="1:5" ht="15.75">
      <c r="A17" s="1076"/>
      <c r="C17" s="1195"/>
      <c r="D17" s="1076"/>
      <c r="E17" s="1076"/>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hyperlinks>
    <hyperlink ref="E16" location="'Report-SOF1819'!A1" display="'Report-SOF1819'!A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1"/>
  <sheetViews>
    <sheetView workbookViewId="0">
      <selection activeCell="A2" sqref="A2"/>
    </sheetView>
  </sheetViews>
  <sheetFormatPr defaultRowHeight="12.75"/>
  <cols>
    <col min="1" max="1" width="12.7109375" customWidth="1"/>
    <col min="2" max="2" width="15.42578125" customWidth="1"/>
    <col min="3" max="3" width="18.28515625" customWidth="1"/>
    <col min="4" max="4" width="25.7109375" customWidth="1"/>
    <col min="5" max="5" width="43.28515625" customWidth="1"/>
    <col min="6" max="6" width="24.42578125" customWidth="1"/>
    <col min="7" max="7" width="29" customWidth="1"/>
    <col min="8" max="8" width="28.140625" customWidth="1"/>
    <col min="9" max="9" width="29.28515625" customWidth="1"/>
    <col min="10" max="10" width="38" customWidth="1"/>
    <col min="11" max="11" width="36.7109375" customWidth="1"/>
    <col min="12" max="12" width="23" customWidth="1"/>
    <col min="13" max="13" width="26" customWidth="1"/>
    <col min="14" max="14" width="21.42578125" customWidth="1"/>
    <col min="15" max="15" width="36.42578125" customWidth="1"/>
    <col min="16" max="16" width="20.85546875" customWidth="1"/>
    <col min="17" max="17" width="28.85546875" customWidth="1"/>
    <col min="18" max="18" width="35.5703125" customWidth="1"/>
    <col min="19" max="19" width="27" customWidth="1"/>
    <col min="20" max="20" width="29.140625" customWidth="1"/>
    <col min="21" max="21" width="17.7109375" customWidth="1"/>
    <col min="22" max="22" width="21.28515625" customWidth="1"/>
    <col min="23" max="23" width="27.85546875" customWidth="1"/>
    <col min="24" max="24" width="41.28515625" customWidth="1"/>
    <col min="25" max="25" width="36.7109375" customWidth="1"/>
    <col min="26" max="26" width="24.28515625" customWidth="1"/>
    <col min="27" max="27" width="44.140625" customWidth="1"/>
    <col min="28" max="28" width="58.140625" customWidth="1"/>
    <col min="29" max="29" width="26.140625" customWidth="1"/>
    <col min="30" max="30" width="21.5703125" customWidth="1"/>
    <col min="31" max="31" width="28.140625" customWidth="1"/>
    <col min="32" max="32" width="29.85546875" customWidth="1"/>
    <col min="33" max="33" width="44.5703125" customWidth="1"/>
    <col min="34" max="34" width="12.7109375" customWidth="1"/>
    <col min="35" max="35" width="57.140625" customWidth="1"/>
    <col min="36" max="36" width="23.7109375" customWidth="1"/>
    <col min="37" max="43" width="30.7109375" customWidth="1"/>
    <col min="44" max="44" width="63.28515625" customWidth="1"/>
    <col min="45" max="45" width="34.140625" customWidth="1"/>
    <col min="46" max="46" width="30.7109375" customWidth="1"/>
    <col min="47" max="47" width="49.7109375" customWidth="1"/>
    <col min="48" max="48" width="46.5703125" customWidth="1"/>
    <col min="49" max="51" width="30.7109375" customWidth="1"/>
    <col min="52" max="52" width="48.140625" customWidth="1"/>
    <col min="53" max="53" width="49" customWidth="1"/>
    <col min="54" max="54" width="58.42578125" customWidth="1"/>
    <col min="55" max="55" width="30.7109375" customWidth="1"/>
    <col min="56" max="56" width="53.42578125" customWidth="1"/>
    <col min="57" max="57" width="38.85546875" customWidth="1"/>
    <col min="58" max="58" width="42" customWidth="1"/>
    <col min="59" max="59" width="102.28515625" customWidth="1"/>
    <col min="60" max="60" width="30.7109375" customWidth="1"/>
    <col min="61" max="61" width="55" customWidth="1"/>
    <col min="62" max="62" width="53.28515625" customWidth="1"/>
    <col min="63" max="63" width="54" customWidth="1"/>
    <col min="64" max="67" width="30.7109375" customWidth="1"/>
    <col min="68" max="68" width="12.7109375" customWidth="1"/>
  </cols>
  <sheetData>
    <row r="1" spans="1:63">
      <c r="A1" t="s">
        <v>3776</v>
      </c>
      <c r="B1" t="s">
        <v>3777</v>
      </c>
      <c r="C1" t="s">
        <v>3778</v>
      </c>
      <c r="D1" t="s">
        <v>540</v>
      </c>
      <c r="E1" t="s">
        <v>3339</v>
      </c>
      <c r="F1" t="s">
        <v>3779</v>
      </c>
      <c r="G1" t="s">
        <v>3780</v>
      </c>
      <c r="H1" t="s">
        <v>3781</v>
      </c>
      <c r="I1" t="s">
        <v>3782</v>
      </c>
      <c r="J1" t="s">
        <v>3783</v>
      </c>
      <c r="K1" t="s">
        <v>3784</v>
      </c>
      <c r="L1" t="s">
        <v>3785</v>
      </c>
      <c r="M1" t="s">
        <v>3786</v>
      </c>
      <c r="N1" t="s">
        <v>3787</v>
      </c>
      <c r="O1" t="s">
        <v>3788</v>
      </c>
      <c r="P1" t="s">
        <v>584</v>
      </c>
      <c r="Q1" t="s">
        <v>932</v>
      </c>
      <c r="R1" t="s">
        <v>715</v>
      </c>
      <c r="S1" t="s">
        <v>586</v>
      </c>
      <c r="T1" t="s">
        <v>587</v>
      </c>
      <c r="U1" t="s">
        <v>168</v>
      </c>
      <c r="V1" t="s">
        <v>1055</v>
      </c>
      <c r="W1" t="s">
        <v>1056</v>
      </c>
      <c r="X1" t="s">
        <v>3789</v>
      </c>
      <c r="Y1" t="s">
        <v>3790</v>
      </c>
      <c r="Z1" t="s">
        <v>3791</v>
      </c>
      <c r="AA1" t="s">
        <v>3792</v>
      </c>
      <c r="AB1" t="s">
        <v>3394</v>
      </c>
      <c r="AC1" t="s">
        <v>3456</v>
      </c>
      <c r="AD1" t="s">
        <v>3529</v>
      </c>
      <c r="AE1" t="s">
        <v>3793</v>
      </c>
      <c r="AF1" t="s">
        <v>3794</v>
      </c>
      <c r="AG1" t="s">
        <v>3795</v>
      </c>
      <c r="AH1" t="s">
        <v>3477</v>
      </c>
      <c r="AI1" t="s">
        <v>3796</v>
      </c>
      <c r="AJ1" t="s">
        <v>3797</v>
      </c>
      <c r="AK1" t="s">
        <v>1081</v>
      </c>
      <c r="AL1" t="s">
        <v>3331</v>
      </c>
      <c r="AM1" t="s">
        <v>3332</v>
      </c>
      <c r="AN1" t="s">
        <v>301</v>
      </c>
      <c r="AO1" t="s">
        <v>3798</v>
      </c>
      <c r="AP1" t="s">
        <v>3799</v>
      </c>
      <c r="AQ1" t="s">
        <v>3335</v>
      </c>
      <c r="AR1" t="s">
        <v>3743</v>
      </c>
      <c r="AS1" t="s">
        <v>3395</v>
      </c>
      <c r="AT1" t="s">
        <v>3336</v>
      </c>
      <c r="AU1" t="s">
        <v>3397</v>
      </c>
      <c r="AV1" t="s">
        <v>3398</v>
      </c>
      <c r="AW1" t="s">
        <v>3401</v>
      </c>
      <c r="AX1" t="s">
        <v>3800</v>
      </c>
      <c r="AY1" t="s">
        <v>3801</v>
      </c>
      <c r="AZ1" t="s">
        <v>3802</v>
      </c>
      <c r="BA1" t="s">
        <v>3803</v>
      </c>
      <c r="BB1" t="s">
        <v>3804</v>
      </c>
      <c r="BC1" t="s">
        <v>2396</v>
      </c>
      <c r="BD1" t="s">
        <v>3805</v>
      </c>
      <c r="BE1" t="s">
        <v>3337</v>
      </c>
      <c r="BF1" t="s">
        <v>2800</v>
      </c>
      <c r="BG1" t="s">
        <v>3806</v>
      </c>
      <c r="BH1" t="s">
        <v>868</v>
      </c>
      <c r="BI1" t="s">
        <v>3773</v>
      </c>
      <c r="BJ1" t="s">
        <v>3807</v>
      </c>
      <c r="BK1" t="s">
        <v>3808</v>
      </c>
    </row>
    <row r="11" spans="1:63">
      <c r="A11">
        <v>1</v>
      </c>
      <c r="B11">
        <f>A11+1</f>
        <v>2</v>
      </c>
      <c r="C11">
        <f t="shared" ref="C11:BK11" si="0">B11+1</f>
        <v>3</v>
      </c>
      <c r="D11">
        <f t="shared" si="0"/>
        <v>4</v>
      </c>
      <c r="E11">
        <f t="shared" si="0"/>
        <v>5</v>
      </c>
      <c r="F11">
        <f t="shared" si="0"/>
        <v>6</v>
      </c>
      <c r="G11">
        <f t="shared" si="0"/>
        <v>7</v>
      </c>
      <c r="H11">
        <f t="shared" si="0"/>
        <v>8</v>
      </c>
      <c r="I11">
        <f t="shared" si="0"/>
        <v>9</v>
      </c>
      <c r="J11">
        <f t="shared" si="0"/>
        <v>10</v>
      </c>
      <c r="K11">
        <f t="shared" si="0"/>
        <v>11</v>
      </c>
      <c r="L11">
        <f t="shared" si="0"/>
        <v>12</v>
      </c>
      <c r="M11">
        <f t="shared" si="0"/>
        <v>13</v>
      </c>
      <c r="N11">
        <f t="shared" si="0"/>
        <v>14</v>
      </c>
      <c r="O11">
        <f t="shared" si="0"/>
        <v>15</v>
      </c>
      <c r="P11">
        <f t="shared" si="0"/>
        <v>16</v>
      </c>
      <c r="Q11">
        <f t="shared" si="0"/>
        <v>17</v>
      </c>
      <c r="R11">
        <f t="shared" si="0"/>
        <v>18</v>
      </c>
      <c r="S11">
        <f t="shared" si="0"/>
        <v>19</v>
      </c>
      <c r="T11">
        <f t="shared" si="0"/>
        <v>20</v>
      </c>
      <c r="U11">
        <f t="shared" si="0"/>
        <v>21</v>
      </c>
      <c r="V11">
        <f t="shared" si="0"/>
        <v>22</v>
      </c>
      <c r="W11">
        <f t="shared" si="0"/>
        <v>23</v>
      </c>
      <c r="X11">
        <f t="shared" si="0"/>
        <v>24</v>
      </c>
      <c r="Y11">
        <f t="shared" si="0"/>
        <v>25</v>
      </c>
      <c r="Z11">
        <f t="shared" si="0"/>
        <v>26</v>
      </c>
      <c r="AA11">
        <f t="shared" si="0"/>
        <v>27</v>
      </c>
      <c r="AB11">
        <f t="shared" si="0"/>
        <v>28</v>
      </c>
      <c r="AC11">
        <f t="shared" si="0"/>
        <v>29</v>
      </c>
      <c r="AD11">
        <f t="shared" si="0"/>
        <v>30</v>
      </c>
      <c r="AE11">
        <f t="shared" si="0"/>
        <v>31</v>
      </c>
      <c r="AF11">
        <f t="shared" si="0"/>
        <v>32</v>
      </c>
      <c r="AG11">
        <f t="shared" si="0"/>
        <v>33</v>
      </c>
      <c r="AH11">
        <f t="shared" si="0"/>
        <v>34</v>
      </c>
      <c r="AI11">
        <f t="shared" si="0"/>
        <v>35</v>
      </c>
      <c r="AJ11">
        <f t="shared" si="0"/>
        <v>36</v>
      </c>
      <c r="AK11">
        <f t="shared" si="0"/>
        <v>37</v>
      </c>
      <c r="AL11">
        <f t="shared" si="0"/>
        <v>38</v>
      </c>
      <c r="AM11">
        <f t="shared" si="0"/>
        <v>39</v>
      </c>
      <c r="AN11">
        <f t="shared" si="0"/>
        <v>40</v>
      </c>
      <c r="AO11">
        <f t="shared" si="0"/>
        <v>41</v>
      </c>
      <c r="AP11">
        <f t="shared" si="0"/>
        <v>42</v>
      </c>
      <c r="AQ11">
        <f t="shared" si="0"/>
        <v>43</v>
      </c>
      <c r="AR11">
        <f t="shared" si="0"/>
        <v>44</v>
      </c>
      <c r="AS11">
        <f t="shared" si="0"/>
        <v>45</v>
      </c>
      <c r="AT11">
        <f t="shared" si="0"/>
        <v>46</v>
      </c>
      <c r="AU11">
        <f t="shared" si="0"/>
        <v>47</v>
      </c>
      <c r="AV11">
        <f t="shared" si="0"/>
        <v>48</v>
      </c>
      <c r="AW11">
        <f t="shared" si="0"/>
        <v>49</v>
      </c>
      <c r="AX11">
        <f t="shared" si="0"/>
        <v>50</v>
      </c>
      <c r="AY11">
        <f t="shared" si="0"/>
        <v>51</v>
      </c>
      <c r="AZ11">
        <f t="shared" si="0"/>
        <v>52</v>
      </c>
      <c r="BA11">
        <f t="shared" si="0"/>
        <v>53</v>
      </c>
      <c r="BB11">
        <f t="shared" si="0"/>
        <v>54</v>
      </c>
      <c r="BC11">
        <f t="shared" si="0"/>
        <v>55</v>
      </c>
      <c r="BD11">
        <f t="shared" si="0"/>
        <v>56</v>
      </c>
      <c r="BE11">
        <f t="shared" si="0"/>
        <v>57</v>
      </c>
      <c r="BF11">
        <f t="shared" si="0"/>
        <v>58</v>
      </c>
      <c r="BG11">
        <f t="shared" si="0"/>
        <v>59</v>
      </c>
      <c r="BH11">
        <f t="shared" si="0"/>
        <v>60</v>
      </c>
      <c r="BI11">
        <f t="shared" si="0"/>
        <v>61</v>
      </c>
      <c r="BJ11">
        <f t="shared" si="0"/>
        <v>62</v>
      </c>
      <c r="BK11">
        <f t="shared" si="0"/>
        <v>63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703125" customWidth="1"/>
    <col min="2" max="2" width="36.28515625" customWidth="1"/>
    <col min="3" max="3" width="12.85546875" style="1094" customWidth="1"/>
    <col min="4" max="4" width="29.7109375" customWidth="1"/>
    <col min="5" max="5" width="23.28515625" customWidth="1"/>
  </cols>
  <sheetData>
    <row r="1" spans="1:5">
      <c r="A1" s="1074" t="s">
        <v>3411</v>
      </c>
      <c r="B1" s="1074"/>
      <c r="E1" s="1773" t="str">
        <f>'Report-FSF1819'!E1</f>
        <v>84th/85th Legislative Session</v>
      </c>
    </row>
    <row r="2" spans="1:5">
      <c r="A2" s="1074" t="s">
        <v>3412</v>
      </c>
      <c r="B2" s="1074"/>
      <c r="E2" s="98" t="str">
        <f>'Report-FSF1819'!E2</f>
        <v>Release 2</v>
      </c>
    </row>
    <row r="3" spans="1:5">
      <c r="A3" s="89"/>
      <c r="B3" s="89"/>
      <c r="E3" s="82">
        <f>'Report-FSF1819'!E3</f>
        <v>43145</v>
      </c>
    </row>
    <row r="4" spans="1:5" ht="15.75">
      <c r="A4" s="1075" t="s">
        <v>3908</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Weights!K10</f>
        <v>5</v>
      </c>
      <c r="D10" s="1081">
        <f>'Data Entry - SOF'!I20</f>
        <v>0</v>
      </c>
      <c r="E10" s="1086">
        <f>D10*C10</f>
        <v>0</v>
      </c>
    </row>
    <row r="11" spans="1:5" ht="15">
      <c r="A11" s="1079" t="s">
        <v>2502</v>
      </c>
      <c r="B11" s="1080" t="s">
        <v>3187</v>
      </c>
      <c r="C11" s="1096">
        <f>Weights!K11</f>
        <v>3</v>
      </c>
      <c r="D11" s="1081">
        <f>'Data Entry - SOF'!I21</f>
        <v>0</v>
      </c>
      <c r="E11" s="1086">
        <f t="shared" ref="E11:E19" si="0">D11*C11</f>
        <v>0</v>
      </c>
    </row>
    <row r="12" spans="1:5" ht="15">
      <c r="A12" s="1079" t="s">
        <v>2503</v>
      </c>
      <c r="B12" s="1080" t="s">
        <v>3188</v>
      </c>
      <c r="C12" s="1096">
        <f>Weights!K12</f>
        <v>5</v>
      </c>
      <c r="D12" s="1081">
        <f>'Data Entry - SOF'!I22</f>
        <v>0</v>
      </c>
      <c r="E12" s="1086">
        <f t="shared" si="0"/>
        <v>0</v>
      </c>
    </row>
    <row r="13" spans="1:5" ht="15">
      <c r="A13" s="1079" t="s">
        <v>1024</v>
      </c>
      <c r="B13" s="1080" t="s">
        <v>3189</v>
      </c>
      <c r="C13" s="1096">
        <f>Weights!K13</f>
        <v>3</v>
      </c>
      <c r="D13" s="1081">
        <f>'Data Entry - SOF'!I23</f>
        <v>0</v>
      </c>
      <c r="E13" s="1086">
        <f t="shared" si="0"/>
        <v>0</v>
      </c>
    </row>
    <row r="14" spans="1:5" ht="15">
      <c r="A14" s="1113"/>
      <c r="B14" s="1097" t="s">
        <v>3190</v>
      </c>
      <c r="C14" s="1092"/>
      <c r="D14" s="1098"/>
      <c r="E14" s="1101"/>
    </row>
    <row r="15" spans="1:5" ht="15">
      <c r="A15" s="1301" t="s">
        <v>1025</v>
      </c>
      <c r="B15" s="1099" t="s">
        <v>3191</v>
      </c>
      <c r="C15" s="1093">
        <f>Weights!K14</f>
        <v>3</v>
      </c>
      <c r="D15" s="1100">
        <f>'Data Entry - SOF'!I24</f>
        <v>0</v>
      </c>
      <c r="E15" s="1100">
        <f t="shared" si="0"/>
        <v>0</v>
      </c>
    </row>
    <row r="16" spans="1:5" ht="15">
      <c r="A16" s="1079" t="s">
        <v>1027</v>
      </c>
      <c r="B16" s="1080" t="s">
        <v>3192</v>
      </c>
      <c r="C16" s="1096">
        <f>Weights!K15</f>
        <v>2.7</v>
      </c>
      <c r="D16" s="1086">
        <f>'Data Entry - SOF'!I25</f>
        <v>0</v>
      </c>
      <c r="E16" s="1086">
        <f t="shared" si="0"/>
        <v>0</v>
      </c>
    </row>
    <row r="17" spans="1:5" ht="15">
      <c r="A17" s="1079" t="s">
        <v>1028</v>
      </c>
      <c r="B17" s="1080" t="s">
        <v>3193</v>
      </c>
      <c r="C17" s="1096">
        <f>Weights!K16</f>
        <v>2.2999999999999998</v>
      </c>
      <c r="D17" s="1086">
        <f>'Data Entry - SOF'!I26</f>
        <v>0</v>
      </c>
      <c r="E17" s="1086">
        <f t="shared" si="0"/>
        <v>0</v>
      </c>
    </row>
    <row r="18" spans="1:5" ht="15">
      <c r="A18" s="1079" t="s">
        <v>1029</v>
      </c>
      <c r="B18" s="1080" t="s">
        <v>3194</v>
      </c>
      <c r="C18" s="1096">
        <f>Weights!K17</f>
        <v>2.8</v>
      </c>
      <c r="D18" s="1086">
        <f>'Data Entry - SOF'!I27</f>
        <v>0</v>
      </c>
      <c r="E18" s="1086">
        <f t="shared" si="0"/>
        <v>0</v>
      </c>
    </row>
    <row r="19" spans="1:5" ht="15">
      <c r="A19" s="1079" t="s">
        <v>139</v>
      </c>
      <c r="B19" s="1080" t="s">
        <v>3195</v>
      </c>
      <c r="C19" s="1096">
        <f>Weights!K19</f>
        <v>4</v>
      </c>
      <c r="D19" s="1086">
        <f>'Data Entry - SOF'!I29</f>
        <v>0</v>
      </c>
      <c r="E19" s="1086">
        <f t="shared" si="0"/>
        <v>0</v>
      </c>
    </row>
    <row r="20" spans="1:5" ht="15.75">
      <c r="A20" s="1079" t="s">
        <v>140</v>
      </c>
      <c r="B20" s="1080" t="s">
        <v>3201</v>
      </c>
      <c r="C20" s="1096" t="s">
        <v>1994</v>
      </c>
      <c r="D20" s="1086">
        <f>'Calc Data-SB1'!F8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Weights!K18</f>
        <v>1.7</v>
      </c>
      <c r="D22" s="1086">
        <f>'Data Entry - SOF'!I28</f>
        <v>0</v>
      </c>
      <c r="E22" s="1096" t="s">
        <v>1994</v>
      </c>
    </row>
    <row r="23" spans="1:5" ht="15">
      <c r="A23" s="1079" t="s">
        <v>1706</v>
      </c>
      <c r="B23" s="1080" t="s">
        <v>584</v>
      </c>
      <c r="C23" s="1096">
        <f>Weights!K21</f>
        <v>1.1000000000000001</v>
      </c>
      <c r="D23" s="1086">
        <f>'Data Entry - SOF'!I31</f>
        <v>0</v>
      </c>
      <c r="E23" s="1096" t="s">
        <v>1994</v>
      </c>
    </row>
    <row r="24" spans="1:5" s="1076" customFormat="1" ht="15.75">
      <c r="C24" s="1195" t="s">
        <v>3392</v>
      </c>
      <c r="D24" s="1194" t="s">
        <v>3981</v>
      </c>
    </row>
    <row r="25" spans="1:5" s="1076" customFormat="1" ht="15">
      <c r="C25" s="1193"/>
      <c r="D25"/>
    </row>
    <row r="27" spans="1:5" ht="15">
      <c r="A27" s="1102" t="s">
        <v>3585</v>
      </c>
    </row>
  </sheetData>
  <hyperlinks>
    <hyperlink ref="D24" location="'Report-SOF1920'!A1" display="'Report-SOF1920'!A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heetViews>
  <sheetFormatPr defaultRowHeight="12.75"/>
  <cols>
    <col min="1" max="1" width="3.85546875" customWidth="1"/>
    <col min="2" max="2" width="83.140625" customWidth="1"/>
    <col min="3" max="3" width="24" customWidth="1"/>
  </cols>
  <sheetData>
    <row r="1" spans="1:3">
      <c r="A1" s="1074" t="s">
        <v>3411</v>
      </c>
      <c r="C1" s="1773" t="str">
        <f>'Report-SpEd1920'!E1</f>
        <v>84th/85th Legislative Session</v>
      </c>
    </row>
    <row r="2" spans="1:3">
      <c r="A2" s="1074" t="s">
        <v>3412</v>
      </c>
      <c r="C2" s="98" t="str">
        <f>'Report-SpEd1920'!E2</f>
        <v>Release 2</v>
      </c>
    </row>
    <row r="3" spans="1:3">
      <c r="A3" s="89"/>
      <c r="C3" s="82">
        <f>'Report-SpEd1920'!E3</f>
        <v>43145</v>
      </c>
    </row>
    <row r="4" spans="1:3" ht="15.75">
      <c r="A4" s="1075" t="s">
        <v>3909</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3911</v>
      </c>
      <c r="C11" s="1085">
        <f>'Data Entry - SOF'!I59</f>
        <v>0</v>
      </c>
    </row>
    <row r="12" spans="1:3" ht="15">
      <c r="A12" s="1095" t="s">
        <v>2502</v>
      </c>
      <c r="B12" s="1080" t="s">
        <v>3912</v>
      </c>
      <c r="C12" s="1085">
        <f>IFA!V79</f>
        <v>0</v>
      </c>
    </row>
    <row r="13" spans="1:3" ht="15">
      <c r="A13" s="1095" t="s">
        <v>2503</v>
      </c>
      <c r="B13" s="1080" t="s">
        <v>3913</v>
      </c>
      <c r="C13" s="1234" t="s">
        <v>3450</v>
      </c>
    </row>
    <row r="14" spans="1:3" ht="15.75">
      <c r="A14" s="1095" t="s">
        <v>1024</v>
      </c>
      <c r="B14" s="1078" t="s">
        <v>3914</v>
      </c>
      <c r="C14" s="1090">
        <f>'Calc Data-SB1'!F47</f>
        <v>0</v>
      </c>
    </row>
    <row r="15" spans="1:3" ht="15">
      <c r="A15" s="1095" t="s">
        <v>1025</v>
      </c>
      <c r="B15" s="1080" t="s">
        <v>3915</v>
      </c>
      <c r="C15" s="1103">
        <f>'Data Entry - SOF'!I58</f>
        <v>0</v>
      </c>
    </row>
    <row r="16" spans="1:3" ht="15">
      <c r="A16" s="1095" t="s">
        <v>1027</v>
      </c>
      <c r="B16" s="1080" t="s">
        <v>3203</v>
      </c>
      <c r="C16" s="1085" t="e">
        <f>'Calc Data-SB1'!F29</f>
        <v>#DIV/0!</v>
      </c>
    </row>
    <row r="17" spans="1:3" ht="15">
      <c r="A17" s="1095" t="s">
        <v>1028</v>
      </c>
      <c r="B17" s="1080" t="s">
        <v>3124</v>
      </c>
      <c r="C17" s="1103">
        <f>'Data Entry - SOF'!C113</f>
        <v>0</v>
      </c>
    </row>
    <row r="18" spans="1:3" ht="15">
      <c r="A18" s="1095" t="s">
        <v>1029</v>
      </c>
      <c r="B18" s="1080" t="s">
        <v>3211</v>
      </c>
      <c r="C18" s="1085" t="e">
        <f>'Calc Data-SB1'!AN32</f>
        <v>#DIV/0!</v>
      </c>
    </row>
    <row r="19" spans="1:3" ht="15">
      <c r="A19" s="1095" t="s">
        <v>139</v>
      </c>
      <c r="B19" s="1080" t="s">
        <v>3204</v>
      </c>
      <c r="C19" s="1103" t="e">
        <f>'Calc Data-SB1'!F35</f>
        <v>#DIV/0!</v>
      </c>
    </row>
    <row r="20" spans="1:3" ht="15">
      <c r="A20" s="1095" t="s">
        <v>140</v>
      </c>
      <c r="B20" s="1080" t="s">
        <v>3205</v>
      </c>
      <c r="C20" s="1085" t="e">
        <f>'Calc Data-SB1'!F34</f>
        <v>#DIV/0!</v>
      </c>
    </row>
    <row r="21" spans="1:3" ht="15">
      <c r="A21" s="1095" t="s">
        <v>141</v>
      </c>
      <c r="B21" s="1080" t="s">
        <v>3206</v>
      </c>
      <c r="C21" s="1085" t="e">
        <f>'Calc Data-SB1'!AN31</f>
        <v>#DIV/0!</v>
      </c>
    </row>
    <row r="22" spans="1:3" ht="15">
      <c r="A22" s="1095" t="s">
        <v>142</v>
      </c>
      <c r="B22" s="1080" t="s">
        <v>3210</v>
      </c>
      <c r="C22" s="1103" t="e">
        <f>'Calc Data-SB1'!F38</f>
        <v>#DIV/0!</v>
      </c>
    </row>
    <row r="23" spans="1:3" s="1076" customFormat="1" ht="15.75">
      <c r="B23" s="1195" t="s">
        <v>3392</v>
      </c>
      <c r="C23" s="1194" t="s">
        <v>3981</v>
      </c>
    </row>
    <row r="26" spans="1:3" ht="15.75">
      <c r="B26" s="961" t="s">
        <v>3452</v>
      </c>
    </row>
    <row r="27" spans="1:3" ht="15.75">
      <c r="B27" s="961" t="s">
        <v>3451</v>
      </c>
    </row>
  </sheetData>
  <sheetProtection sheet="1"/>
  <hyperlinks>
    <hyperlink ref="C23" location="'Report-SOF1920'!A1" display="'Report-SOF1920'!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1074" t="s">
        <v>3411</v>
      </c>
      <c r="D1" s="1773" t="str">
        <f>'Report-M&amp;O1920'!C1</f>
        <v>84th/85th Legislative Session</v>
      </c>
    </row>
    <row r="2" spans="1:4">
      <c r="A2" s="1074" t="s">
        <v>3412</v>
      </c>
      <c r="D2" s="98" t="str">
        <f>'Report-M&amp;O1920'!C2</f>
        <v>Release 2</v>
      </c>
    </row>
    <row r="3" spans="1:4">
      <c r="A3" s="89"/>
      <c r="D3" s="82">
        <f>'Report-M&amp;O1920'!C3</f>
        <v>43145</v>
      </c>
    </row>
    <row r="4" spans="1:4" ht="15.75">
      <c r="A4" s="1075" t="s">
        <v>3919</v>
      </c>
    </row>
    <row r="5" spans="1:4" ht="15.75">
      <c r="A5" s="1077">
        <f>'Data Entry - SOF'!B1</f>
        <v>0</v>
      </c>
    </row>
    <row r="6" spans="1:4" ht="15.75">
      <c r="A6" s="1075">
        <f>'Data Entry - SOF'!B2</f>
        <v>0</v>
      </c>
    </row>
    <row r="9" spans="1:4" ht="18">
      <c r="A9" s="880"/>
      <c r="B9" s="1104" t="s">
        <v>1057</v>
      </c>
      <c r="C9" s="1105">
        <f>'Data Entry - SOF'!I109</f>
        <v>0</v>
      </c>
      <c r="D9" s="880"/>
    </row>
    <row r="10" spans="1:4" ht="18">
      <c r="A10" s="880"/>
      <c r="B10" s="1104" t="s">
        <v>3212</v>
      </c>
      <c r="C10" s="1104" t="str">
        <f>'Data Entry - SOF'!I167</f>
        <v>No</v>
      </c>
      <c r="D10" s="880"/>
    </row>
    <row r="11" spans="1:4" ht="18">
      <c r="A11" s="880"/>
      <c r="B11" s="1104" t="s">
        <v>3213</v>
      </c>
      <c r="C11" s="1104" t="str">
        <f>'Data Entry - SOF'!I168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Data-SB1'!AN19</f>
        <v>0</v>
      </c>
    </row>
    <row r="16" spans="1:4" ht="15">
      <c r="A16" s="1079" t="s">
        <v>2502</v>
      </c>
      <c r="B16" s="1080" t="s">
        <v>3216</v>
      </c>
      <c r="C16" s="1080"/>
      <c r="D16" s="1085">
        <f>'Calc Data-SB1'!AN20</f>
        <v>0</v>
      </c>
    </row>
    <row r="17" spans="1:4" ht="15">
      <c r="A17" s="1079" t="s">
        <v>2503</v>
      </c>
      <c r="B17" s="1080" t="s">
        <v>3217</v>
      </c>
      <c r="C17" s="1080"/>
      <c r="D17" s="1106" t="str">
        <f>'Calc Data-SB1'!F49</f>
        <v>N/A</v>
      </c>
    </row>
    <row r="18" spans="1:4" ht="15">
      <c r="A18" s="1079" t="s">
        <v>1024</v>
      </c>
      <c r="B18" s="1080" t="s">
        <v>3218</v>
      </c>
      <c r="C18" s="1080"/>
      <c r="D18" s="1206" t="str">
        <f>'Calc Data-SB1'!F50</f>
        <v>N/A</v>
      </c>
    </row>
    <row r="19" spans="1:4" ht="15">
      <c r="A19" s="1079" t="s">
        <v>1025</v>
      </c>
      <c r="B19" s="1080" t="s">
        <v>3219</v>
      </c>
      <c r="C19" s="1080"/>
      <c r="D19" s="1085">
        <f>'Calc Data-SB1'!AN23</f>
        <v>0</v>
      </c>
    </row>
    <row r="20" spans="1:4" s="1076" customFormat="1" ht="15.75">
      <c r="B20" s="1195" t="s">
        <v>3392</v>
      </c>
      <c r="D20" s="1194" t="s">
        <v>3981</v>
      </c>
    </row>
  </sheetData>
  <sheetProtection sheet="1"/>
  <hyperlinks>
    <hyperlink ref="D20" location="'Report-SOF1920'!A1" display="'Report-SOF1920'!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'Report-AA1920'!D1</f>
        <v>84th/85th Legislative Session</v>
      </c>
    </row>
    <row r="2" spans="1:4">
      <c r="A2" s="1074" t="s">
        <v>3412</v>
      </c>
      <c r="D2" s="98" t="str">
        <f>'Report-AA1920'!D2</f>
        <v>Release 2</v>
      </c>
    </row>
    <row r="3" spans="1:4">
      <c r="A3" s="89"/>
      <c r="D3" s="82">
        <f>'Report-AA1920'!D3</f>
        <v>43145</v>
      </c>
    </row>
    <row r="4" spans="1:4" ht="15.75">
      <c r="A4" s="1075" t="s">
        <v>3920</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Weights!K4</f>
        <v>1</v>
      </c>
      <c r="C11" s="1086">
        <f>'Calc Data-SB1'!F10</f>
        <v>0</v>
      </c>
      <c r="D11" s="1085">
        <f>'SOF1920-SB1'!H21</f>
        <v>0</v>
      </c>
    </row>
    <row r="12" spans="1:4" s="1076" customFormat="1" ht="15.75">
      <c r="A12" s="1366" t="s">
        <v>3224</v>
      </c>
      <c r="B12" s="1290"/>
      <c r="C12" s="1290"/>
      <c r="D12" s="1291"/>
    </row>
    <row r="13" spans="1:4" s="1076" customFormat="1" ht="15">
      <c r="A13" s="1080" t="s">
        <v>3110</v>
      </c>
      <c r="B13" s="1106" t="s">
        <v>1994</v>
      </c>
      <c r="C13" s="1086">
        <f>'Calc Data-SB1'!F8</f>
        <v>0</v>
      </c>
      <c r="D13" s="1085">
        <f>'SOF1920-SB1'!H22</f>
        <v>0</v>
      </c>
    </row>
    <row r="14" spans="1:4" s="1076" customFormat="1" ht="15">
      <c r="A14" s="1080" t="s">
        <v>3226</v>
      </c>
      <c r="B14" s="1109">
        <f>Weights!K21</f>
        <v>1.1000000000000001</v>
      </c>
      <c r="C14" s="1086">
        <f>'Data Entry - SOF'!I31</f>
        <v>0</v>
      </c>
      <c r="D14" s="1085">
        <f>'SOF1920-SB1'!H24</f>
        <v>0</v>
      </c>
    </row>
    <row r="15" spans="1:4" s="1076" customFormat="1" ht="15">
      <c r="A15" s="1080" t="s">
        <v>3227</v>
      </c>
      <c r="B15" s="1109">
        <f>Weights!K19</f>
        <v>4</v>
      </c>
      <c r="C15" s="1086">
        <f>'Data Entry - SOF'!I29</f>
        <v>0</v>
      </c>
      <c r="D15" s="1085">
        <f>'SOF1920-SB1'!H25</f>
        <v>0</v>
      </c>
    </row>
    <row r="16" spans="1:4" s="1076" customFormat="1" ht="15">
      <c r="A16" s="1080" t="s">
        <v>3194</v>
      </c>
      <c r="B16" s="1109">
        <f>Weights!K17</f>
        <v>2.8</v>
      </c>
      <c r="C16" s="1086">
        <f>'Data Entry - SOF'!I27</f>
        <v>0</v>
      </c>
      <c r="D16" s="1085">
        <f>'SOF1920-SB1'!H26</f>
        <v>0</v>
      </c>
    </row>
    <row r="17" spans="1:4" s="1076" customFormat="1" ht="15">
      <c r="A17" s="1080" t="s">
        <v>3197</v>
      </c>
      <c r="B17" s="1109">
        <f>Weights!K18</f>
        <v>1.7</v>
      </c>
      <c r="C17" s="1086">
        <f>'Data Entry - SOF'!I28</f>
        <v>0</v>
      </c>
      <c r="D17" s="1085">
        <f>'SOF1920-SB1'!H27</f>
        <v>0</v>
      </c>
    </row>
    <row r="18" spans="1:4" s="1076" customFormat="1" ht="15">
      <c r="A18" s="1097" t="s">
        <v>3228</v>
      </c>
      <c r="B18" s="1097"/>
      <c r="C18" s="1097"/>
      <c r="D18" s="1108"/>
    </row>
    <row r="19" spans="1:4" s="1076" customFormat="1" ht="15">
      <c r="A19" s="1099" t="s">
        <v>3229</v>
      </c>
      <c r="B19" s="1111" t="s">
        <v>1994</v>
      </c>
      <c r="C19" s="1111" t="s">
        <v>1994</v>
      </c>
      <c r="D19" s="1110">
        <f>'SOF1920-SB1'!H28</f>
        <v>0</v>
      </c>
    </row>
    <row r="20" spans="1:4" s="1076" customFormat="1" ht="15">
      <c r="A20" s="1080" t="s">
        <v>3230</v>
      </c>
      <c r="B20" s="1106" t="s">
        <v>1994</v>
      </c>
      <c r="C20" s="1106" t="s">
        <v>1994</v>
      </c>
      <c r="D20" s="1085">
        <f>'SOF1920-SB1'!H132</f>
        <v>0</v>
      </c>
    </row>
    <row r="21" spans="1:4" s="1076" customFormat="1" ht="15.75">
      <c r="A21" s="1366" t="s">
        <v>3233</v>
      </c>
      <c r="B21" s="1290"/>
      <c r="C21" s="1290"/>
      <c r="D21" s="1291"/>
    </row>
    <row r="22" spans="1:4" ht="15">
      <c r="A22" s="1080" t="s">
        <v>3234</v>
      </c>
      <c r="B22" s="1112">
        <f>Weights!K23</f>
        <v>1.35</v>
      </c>
      <c r="C22" s="1086">
        <f>'Data Entry - SOF'!I32</f>
        <v>0</v>
      </c>
      <c r="D22" s="1085">
        <f>'SOF1920-SB1'!H29</f>
        <v>0</v>
      </c>
    </row>
    <row r="23" spans="1:4" ht="15">
      <c r="A23" s="1080" t="s">
        <v>3235</v>
      </c>
      <c r="B23" s="1085">
        <f>Weights!K24</f>
        <v>50</v>
      </c>
      <c r="C23" s="1086">
        <f>'Data Entry - SOF'!I33</f>
        <v>0</v>
      </c>
      <c r="D23" s="1085">
        <f>'SOF1920-SB1'!H30</f>
        <v>0</v>
      </c>
    </row>
    <row r="24" spans="1:4" ht="15">
      <c r="A24" s="1080" t="s">
        <v>3236</v>
      </c>
      <c r="B24" s="1106" t="s">
        <v>1994</v>
      </c>
      <c r="C24" s="1106" t="s">
        <v>1994</v>
      </c>
      <c r="D24" s="1085">
        <f>'SOF1920-SB1'!H133</f>
        <v>0</v>
      </c>
    </row>
    <row r="25" spans="1:4" s="1076" customFormat="1" ht="15.75">
      <c r="A25" s="1366" t="s">
        <v>3237</v>
      </c>
      <c r="B25" s="1290"/>
      <c r="C25" s="1290"/>
      <c r="D25" s="1291"/>
    </row>
    <row r="26" spans="1:4" ht="15">
      <c r="A26" s="1080" t="s">
        <v>3238</v>
      </c>
      <c r="B26" s="1112">
        <f>Weights!K28</f>
        <v>0.12</v>
      </c>
      <c r="C26" s="1086">
        <f>'Data Entry - SOF'!I40</f>
        <v>0</v>
      </c>
      <c r="D26" s="1085">
        <f>'SOF1920-SB1'!H33</f>
        <v>0</v>
      </c>
    </row>
    <row r="27" spans="1:4" ht="15">
      <c r="A27" s="1080" t="s">
        <v>3239</v>
      </c>
      <c r="B27" s="1106" t="s">
        <v>1994</v>
      </c>
      <c r="C27" s="1106" t="s">
        <v>1994</v>
      </c>
      <c r="D27" s="1085">
        <f>'SOF1920-SB1'!H34</f>
        <v>0</v>
      </c>
    </row>
    <row r="28" spans="1:4" ht="15">
      <c r="A28" s="1080" t="s">
        <v>3240</v>
      </c>
      <c r="B28" s="1106" t="s">
        <v>1994</v>
      </c>
      <c r="C28" s="1106" t="s">
        <v>1994</v>
      </c>
      <c r="D28" s="1085">
        <f>'SOF1920-SB1'!H134</f>
        <v>0</v>
      </c>
    </row>
    <row r="29" spans="1:4" s="1076" customFormat="1" ht="15.75">
      <c r="A29" s="1366" t="s">
        <v>3241</v>
      </c>
      <c r="B29" s="1290"/>
      <c r="C29" s="1290"/>
      <c r="D29" s="1291"/>
    </row>
    <row r="30" spans="1:4" ht="15">
      <c r="A30" s="1080" t="s">
        <v>3242</v>
      </c>
      <c r="B30" s="1112">
        <f>Weights!K30</f>
        <v>0.2</v>
      </c>
      <c r="C30" s="1086">
        <f>'Data Entry - SOF'!I36</f>
        <v>0</v>
      </c>
      <c r="D30" s="1085">
        <f>'SOF1920-SB1'!H35</f>
        <v>0</v>
      </c>
    </row>
    <row r="31" spans="1:4" ht="15">
      <c r="A31" s="1080" t="s">
        <v>3475</v>
      </c>
      <c r="B31" s="1112">
        <f>Weights!K31</f>
        <v>2.41</v>
      </c>
      <c r="C31" s="1086">
        <f>'Data Entry - SOF'!I37</f>
        <v>0</v>
      </c>
      <c r="D31" s="1085">
        <f>'SOF1920-SB1'!H36</f>
        <v>0</v>
      </c>
    </row>
    <row r="32" spans="1:4" ht="15">
      <c r="A32" s="1080" t="s">
        <v>3476</v>
      </c>
      <c r="B32" s="1106" t="s">
        <v>1994</v>
      </c>
      <c r="C32" s="1106" t="s">
        <v>1994</v>
      </c>
      <c r="D32" s="1085">
        <f>'SOF1920-SB1'!H135</f>
        <v>0</v>
      </c>
    </row>
    <row r="33" spans="1:4" s="1076" customFormat="1" ht="15.75">
      <c r="A33" s="1366" t="s">
        <v>3243</v>
      </c>
      <c r="B33" s="1290"/>
      <c r="C33" s="1290"/>
      <c r="D33" s="1291"/>
    </row>
    <row r="34" spans="1:4" s="1076" customFormat="1" ht="15">
      <c r="A34" s="1080" t="s">
        <v>2792</v>
      </c>
      <c r="B34" s="1085">
        <f>Weights!K33</f>
        <v>275</v>
      </c>
      <c r="C34" s="1086">
        <f>'Data Entry - SOF'!I18</f>
        <v>0</v>
      </c>
      <c r="D34" s="1085">
        <f>'SOF1920-SB1'!H40</f>
        <v>0</v>
      </c>
    </row>
    <row r="35" spans="1:4" s="1076" customFormat="1" ht="15.75">
      <c r="A35" s="1366" t="s">
        <v>3246</v>
      </c>
      <c r="B35" s="1290"/>
      <c r="C35" s="1290"/>
      <c r="D35" s="1291"/>
    </row>
    <row r="36" spans="1:4" s="1076" customFormat="1" ht="15">
      <c r="A36" s="1080" t="s">
        <v>3244</v>
      </c>
      <c r="B36" s="1112">
        <f>Weights!K26</f>
        <v>0.1</v>
      </c>
      <c r="C36" s="1086">
        <f>'Data Entry - SOF'!I39</f>
        <v>0</v>
      </c>
      <c r="D36" s="1085">
        <f>'SOF1920-SB1'!H39</f>
        <v>0</v>
      </c>
    </row>
    <row r="37" spans="1:4" s="1076" customFormat="1" ht="15.75">
      <c r="A37" s="1366" t="s">
        <v>3245</v>
      </c>
      <c r="B37" s="1290"/>
      <c r="C37" s="1290"/>
      <c r="D37" s="1291"/>
    </row>
    <row r="38" spans="1:4" s="1076" customFormat="1" ht="15">
      <c r="A38" s="1080" t="s">
        <v>3247</v>
      </c>
      <c r="B38" s="1112">
        <f>Weights!K37</f>
        <v>0.1</v>
      </c>
      <c r="C38" s="1086">
        <f>'Data Entry - SOF'!I41</f>
        <v>0</v>
      </c>
      <c r="D38" s="1085">
        <f>'SOF1920-SB1'!H41</f>
        <v>0</v>
      </c>
    </row>
    <row r="39" spans="1:4" s="1076" customFormat="1" ht="15.75">
      <c r="C39" s="1195" t="s">
        <v>3393</v>
      </c>
      <c r="D39" s="1194" t="s">
        <v>3981</v>
      </c>
    </row>
    <row r="41" spans="1:4" ht="15">
      <c r="D41" s="1076"/>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'Report-T1Detail1920'!D1</f>
        <v>84th/85th Legislative Session</v>
      </c>
    </row>
    <row r="2" spans="1:4">
      <c r="A2" s="1074" t="s">
        <v>3412</v>
      </c>
      <c r="C2" s="1074"/>
      <c r="D2" s="98" t="str">
        <f>'Report-T1Detail1920'!D2</f>
        <v>Release 2</v>
      </c>
    </row>
    <row r="3" spans="1:4">
      <c r="A3" s="89"/>
      <c r="C3" s="89"/>
      <c r="D3" s="82">
        <f>'Report-T1Detail1920'!D3</f>
        <v>43145</v>
      </c>
    </row>
    <row r="4" spans="1:4" ht="15.75">
      <c r="A4" s="1075" t="s">
        <v>3921</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Data-SB1'!F25</f>
        <v>#DIV/0!</v>
      </c>
    </row>
    <row r="11" spans="1:4" s="1076" customFormat="1" ht="18">
      <c r="A11" s="1366" t="s">
        <v>3250</v>
      </c>
      <c r="B11" s="1346"/>
      <c r="C11" s="1294"/>
      <c r="D11" s="1291"/>
    </row>
    <row r="12" spans="1:4" s="1076" customFormat="1" ht="15">
      <c r="A12" s="1079" t="s">
        <v>2502</v>
      </c>
      <c r="B12" s="1080" t="s">
        <v>3579</v>
      </c>
      <c r="C12" s="1080"/>
      <c r="D12" s="1085" t="e">
        <f>'Calc Data-SB1'!F34</f>
        <v>#DIV/0!</v>
      </c>
    </row>
    <row r="13" spans="1:4" s="1076" customFormat="1" ht="15">
      <c r="A13" s="1079" t="s">
        <v>2503</v>
      </c>
      <c r="B13" s="1080" t="s">
        <v>3922</v>
      </c>
      <c r="C13" s="1080"/>
      <c r="D13" s="1084" t="e">
        <f>'Calc Data-SB1'!F35</f>
        <v>#DIV/0!</v>
      </c>
    </row>
    <row r="14" spans="1:4" s="1076" customFormat="1" ht="15">
      <c r="A14" s="1079" t="s">
        <v>3592</v>
      </c>
      <c r="B14" s="1080" t="str">
        <f>CONCATENATE("Level 1 Entitlement @ $",Assumptions!G119,"")</f>
        <v>Level 1 Entitlement @ $106.28</v>
      </c>
      <c r="C14" s="1080"/>
      <c r="D14" s="1085" t="e">
        <f>'SOF1920-SB1'!H136</f>
        <v>#DIV/0!</v>
      </c>
    </row>
    <row r="15" spans="1:4" s="1076" customFormat="1" ht="15">
      <c r="A15" s="1079" t="s">
        <v>1025</v>
      </c>
      <c r="B15" s="1080" t="s">
        <v>3923</v>
      </c>
      <c r="C15" s="1080"/>
      <c r="D15" s="1085" t="e">
        <f>'Calc Data-SB1'!F42*-1</f>
        <v>#DIV/0!</v>
      </c>
    </row>
    <row r="16" spans="1:4" s="1076" customFormat="1" ht="15">
      <c r="A16" s="1079" t="s">
        <v>1027</v>
      </c>
      <c r="B16" s="1080" t="str">
        <f>CONCATENATE("GYA ($",Assumptions!G119," * WADA * DTR_1 * 100) - LR")</f>
        <v>GYA ($106.28 * WADA * DTR_1 * 100) - LR</v>
      </c>
      <c r="C16" s="1080"/>
      <c r="D16" s="1085" t="e">
        <f>'SOF1920-SB1'!H52</f>
        <v>#DIV/0!</v>
      </c>
    </row>
    <row r="17" spans="1:4" s="1076" customFormat="1" ht="18">
      <c r="A17" s="1366" t="s">
        <v>3252</v>
      </c>
      <c r="B17" s="1346"/>
      <c r="C17" s="1294"/>
      <c r="D17" s="1291"/>
    </row>
    <row r="18" spans="1:4" s="1076" customFormat="1" ht="15">
      <c r="A18" s="1079" t="s">
        <v>1028</v>
      </c>
      <c r="B18" s="1080" t="s">
        <v>3580</v>
      </c>
      <c r="C18" s="1080"/>
      <c r="D18" s="1085" t="e">
        <f>'Calc Data-SB1'!AN31</f>
        <v>#DIV/0!</v>
      </c>
    </row>
    <row r="19" spans="1:4" s="1076" customFormat="1" ht="15">
      <c r="A19" s="1079" t="s">
        <v>1029</v>
      </c>
      <c r="B19" s="1080" t="s">
        <v>3924</v>
      </c>
      <c r="C19" s="1080"/>
      <c r="D19" s="1084" t="e">
        <f>'Calc Data-SB1'!AN29</f>
        <v>#DIV/0!</v>
      </c>
    </row>
    <row r="20" spans="1:4" s="1076" customFormat="1" ht="15">
      <c r="A20" s="1079" t="s">
        <v>139</v>
      </c>
      <c r="B20" s="1080" t="str">
        <f>CONCATENATE("Level 2 Entitlement @ $",Assumptions!G120,"")</f>
        <v>Level 2 Entitlement @ $31.95</v>
      </c>
      <c r="C20" s="1080"/>
      <c r="D20" s="1085" t="e">
        <f>'SOF1920-SB1'!H137</f>
        <v>#DIV/0!</v>
      </c>
    </row>
    <row r="21" spans="1:4" s="1076" customFormat="1" ht="15">
      <c r="A21" s="1079" t="s">
        <v>140</v>
      </c>
      <c r="B21" s="1080" t="s">
        <v>3925</v>
      </c>
      <c r="C21" s="1080"/>
      <c r="D21" s="1085" t="e">
        <f>'Calc Data-SB1'!AN33*-1</f>
        <v>#DIV/0!</v>
      </c>
    </row>
    <row r="22" spans="1:4" s="1076" customFormat="1" ht="15">
      <c r="A22" s="1079" t="s">
        <v>141</v>
      </c>
      <c r="B22" s="1080" t="str">
        <f>CONCATENATE("GYA ($",Assumptions!G120," * WADA * DTR_1 * 100) - LR")</f>
        <v>GYA ($31.95 * WADA * DTR_1 * 100) - LR</v>
      </c>
      <c r="C22" s="1080"/>
      <c r="D22" s="1085" t="e">
        <f>'SOF1920-SB1'!H53</f>
        <v>#DIV/0!</v>
      </c>
    </row>
    <row r="23" spans="1:4" s="1076" customFormat="1" ht="15.75">
      <c r="A23" s="1079" t="s">
        <v>142</v>
      </c>
      <c r="B23" s="1078" t="s">
        <v>3581</v>
      </c>
      <c r="C23" s="1078"/>
      <c r="D23" s="1090" t="e">
        <f>'SOF1920-SB1'!H54</f>
        <v>#DIV/0!</v>
      </c>
    </row>
    <row r="24" spans="1:4" s="1076" customFormat="1" ht="15.75">
      <c r="B24" s="1195" t="s">
        <v>3392</v>
      </c>
      <c r="D24" s="1194" t="s">
        <v>3981</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1074" t="s">
        <v>3411</v>
      </c>
      <c r="C1" s="1773" t="str">
        <f>'Report-T2Detail1920'!D1</f>
        <v>84th/85th Legislative Session</v>
      </c>
    </row>
    <row r="2" spans="1:3">
      <c r="A2" s="1074" t="s">
        <v>3412</v>
      </c>
      <c r="C2" s="98" t="str">
        <f>'Report-T2Detail1920'!D2</f>
        <v>Release 2</v>
      </c>
    </row>
    <row r="3" spans="1:3">
      <c r="A3" s="89"/>
      <c r="C3" s="82">
        <f>'Report-T2Detail1920'!D3</f>
        <v>43145</v>
      </c>
    </row>
    <row r="4" spans="1:3" ht="15.75">
      <c r="A4" s="1075" t="s">
        <v>3930</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'ASATR-SB1'!K8</f>
        <v>0</v>
      </c>
    </row>
    <row r="12" spans="1:3" s="1076" customFormat="1" ht="15">
      <c r="A12" s="1079" t="s">
        <v>2502</v>
      </c>
      <c r="B12" s="1080" t="s">
        <v>3931</v>
      </c>
      <c r="C12" s="1086" t="e">
        <f>'Calc Data-SB1'!F25</f>
        <v>#DIV/0!</v>
      </c>
    </row>
    <row r="13" spans="1:3" s="1076" customFormat="1" ht="15">
      <c r="A13" s="1079" t="s">
        <v>2503</v>
      </c>
      <c r="B13" s="1080" t="s">
        <v>3932</v>
      </c>
      <c r="C13" s="1085" t="e">
        <f>'ASATR-SB1'!K50</f>
        <v>#DIV/0!</v>
      </c>
    </row>
    <row r="14" spans="1:3" s="1076" customFormat="1" ht="15">
      <c r="A14" s="1079" t="s">
        <v>1024</v>
      </c>
      <c r="B14" s="1080" t="str">
        <f>CONCATENATE("2019-20 Minimum Increase (Line 2 * $120 * ",Weights!H7,")")</f>
        <v>2019-20 Minimum Increase (Line 2 * $120 * 0.9263)</v>
      </c>
      <c r="C14" s="1085" t="e">
        <f>'ASATR-SB1'!K51</f>
        <v>#DIV/0!</v>
      </c>
    </row>
    <row r="15" spans="1:3" s="1076" customFormat="1" ht="15">
      <c r="A15" s="1079" t="s">
        <v>1025</v>
      </c>
      <c r="B15" s="1080" t="s">
        <v>3255</v>
      </c>
      <c r="C15" s="1085">
        <f>'ASATR-SB1'!K13</f>
        <v>0</v>
      </c>
    </row>
    <row r="16" spans="1:3" s="1076" customFormat="1" ht="15">
      <c r="A16" s="1079" t="s">
        <v>1027</v>
      </c>
      <c r="B16" s="1080" t="s">
        <v>3933</v>
      </c>
      <c r="C16" s="1085" t="e">
        <f>'ASATR-SB1'!K14</f>
        <v>#DIV/0!</v>
      </c>
    </row>
    <row r="17" spans="1:4" s="1076" customFormat="1" ht="15">
      <c r="A17" s="1297"/>
      <c r="B17" s="1290"/>
      <c r="C17" s="1291"/>
    </row>
    <row r="18" spans="1:4" s="1076" customFormat="1" ht="15">
      <c r="A18" s="1079" t="s">
        <v>1028</v>
      </c>
      <c r="B18" s="1080" t="s">
        <v>3258</v>
      </c>
      <c r="C18" s="1085">
        <f>'ASATR-SB1'!K15</f>
        <v>0</v>
      </c>
    </row>
    <row r="19" spans="1:4" s="1076" customFormat="1" ht="15">
      <c r="A19" s="1079" t="s">
        <v>1029</v>
      </c>
      <c r="B19" s="1080" t="s">
        <v>3259</v>
      </c>
      <c r="C19" s="1085">
        <f>'ASATR-SB1'!K16</f>
        <v>0</v>
      </c>
    </row>
    <row r="20" spans="1:4" s="1076" customFormat="1" ht="15">
      <c r="A20" s="1079" t="s">
        <v>139</v>
      </c>
      <c r="B20" s="1080" t="str">
        <f>CONCATENATE("2008-09 Educator Salary Increase ($23.63 * 2008-09 WADA * ",Weights!H7,")")</f>
        <v>2008-09 Educator Salary Increase ($23.63 * 2008-09 WADA * 0.9263)</v>
      </c>
      <c r="C20" s="1085">
        <f>'ASATR-SB1'!K18</f>
        <v>0</v>
      </c>
    </row>
    <row r="21" spans="1:4" s="1076" customFormat="1" ht="15.75">
      <c r="A21" s="1079" t="s">
        <v>140</v>
      </c>
      <c r="B21" s="1078" t="s">
        <v>3934</v>
      </c>
      <c r="C21" s="1085" t="e">
        <f>'ASATR-SB1'!K20</f>
        <v>#DIV/0!</v>
      </c>
    </row>
    <row r="22" spans="1:4" s="1076" customFormat="1" ht="15">
      <c r="A22" s="1297"/>
      <c r="B22" s="1290"/>
      <c r="C22" s="1291"/>
    </row>
    <row r="23" spans="1:4" s="1076" customFormat="1" ht="15">
      <c r="A23" s="1079" t="s">
        <v>141</v>
      </c>
      <c r="B23" s="1080" t="s">
        <v>3935</v>
      </c>
      <c r="C23" s="1085">
        <f>'ASATR-SB1'!K37</f>
        <v>0</v>
      </c>
    </row>
    <row r="24" spans="1:4" s="1076" customFormat="1" ht="15">
      <c r="A24" s="1079" t="s">
        <v>142</v>
      </c>
      <c r="B24" s="1080" t="s">
        <v>3936</v>
      </c>
      <c r="C24" s="1085" t="e">
        <f>'ASATR-SB1'!K38</f>
        <v>#DIV/0!</v>
      </c>
    </row>
    <row r="25" spans="1:4" s="1076" customFormat="1" ht="15">
      <c r="A25" s="1079" t="s">
        <v>1706</v>
      </c>
      <c r="B25" s="1689" t="s">
        <v>3995</v>
      </c>
      <c r="C25" s="1085" t="e">
        <f>'ASATR-SB1'!K39</f>
        <v>#DIV/0!</v>
      </c>
    </row>
    <row r="26" spans="1:4" s="1076" customFormat="1" ht="15">
      <c r="A26" s="1079" t="s">
        <v>6</v>
      </c>
      <c r="B26" s="1080" t="s">
        <v>3937</v>
      </c>
      <c r="C26" s="1085" t="e">
        <f>'ASATR-SB1'!K40</f>
        <v>#DIV/0!</v>
      </c>
    </row>
    <row r="27" spans="1:4" s="1076" customFormat="1" ht="15">
      <c r="A27" s="1297"/>
      <c r="B27" s="1290"/>
      <c r="C27" s="1305"/>
    </row>
    <row r="28" spans="1:4" s="1076" customFormat="1" ht="15.75">
      <c r="A28" s="1113" t="s">
        <v>2551</v>
      </c>
      <c r="B28" s="1097" t="s">
        <v>3448</v>
      </c>
      <c r="C28" s="1090" t="e">
        <f>'ASATR-SB1'!K42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3938</v>
      </c>
      <c r="C31" s="1085" t="e">
        <f>'ASATR-SB1'!K45</f>
        <v>#DIV/0!</v>
      </c>
    </row>
    <row r="32" spans="1:4" s="1076" customFormat="1" ht="15">
      <c r="A32" s="1095" t="s">
        <v>3122</v>
      </c>
      <c r="B32" s="1080" t="s">
        <v>3939</v>
      </c>
      <c r="C32" s="1085" t="e">
        <f>'ASATR-SB1'!K46</f>
        <v>#DIV/0!</v>
      </c>
    </row>
    <row r="33" spans="2:3" s="1076" customFormat="1" ht="15.75">
      <c r="B33" s="1195" t="s">
        <v>3405</v>
      </c>
      <c r="C33" s="1194" t="s">
        <v>3981</v>
      </c>
    </row>
    <row r="34" spans="2:3" s="1076" customFormat="1" ht="15"/>
    <row r="35" spans="2:3" s="1076" customFormat="1" ht="15"/>
    <row r="36" spans="2:3" s="1076" customFormat="1" ht="15"/>
    <row r="37" spans="2:3" s="1076" customFormat="1" ht="15">
      <c r="C37"/>
    </row>
    <row r="38" spans="2:3" s="1076"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'Report-ASATR1920'!C1</f>
        <v>84th/85th Legislative Session</v>
      </c>
    </row>
    <row r="2" spans="1:4" s="1076" customFormat="1" ht="15">
      <c r="A2" s="1074" t="s">
        <v>3412</v>
      </c>
      <c r="D2" s="98" t="str">
        <f>'Report-ASATR1920'!C2</f>
        <v>Release 2</v>
      </c>
    </row>
    <row r="3" spans="1:4" s="1076" customFormat="1" ht="15.75">
      <c r="A3" s="1075"/>
      <c r="D3" s="82">
        <f>'Report-ASATR1920'!C3</f>
        <v>43145</v>
      </c>
    </row>
    <row r="4" spans="1:4" s="1076" customFormat="1" ht="15.75">
      <c r="A4" s="1075" t="s">
        <v>3940</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SOF'!I75</f>
        <v>0</v>
      </c>
    </row>
    <row r="12" spans="1:4" s="1076" customFormat="1" ht="15.75">
      <c r="A12" s="1079" t="s">
        <v>2502</v>
      </c>
      <c r="B12" s="1080" t="s">
        <v>4745</v>
      </c>
      <c r="C12" s="1080"/>
      <c r="D12" s="1233" t="e">
        <f>'HH1920-Calcs'!D26</f>
        <v>#DIV/0!</v>
      </c>
    </row>
    <row r="13" spans="1:4" s="1076" customFormat="1" ht="15">
      <c r="A13" s="1079" t="s">
        <v>2503</v>
      </c>
      <c r="B13" s="1080" t="s">
        <v>3576</v>
      </c>
      <c r="C13" s="1080"/>
      <c r="D13" s="1233">
        <v>0</v>
      </c>
    </row>
    <row r="14" spans="1:4" s="1076" customFormat="1" ht="15.75">
      <c r="A14" s="1079" t="s">
        <v>1024</v>
      </c>
      <c r="B14" s="1689" t="s">
        <v>3994</v>
      </c>
      <c r="C14" s="1080"/>
      <c r="D14" s="1090">
        <v>0</v>
      </c>
    </row>
    <row r="15" spans="1:4" s="1076" customFormat="1" ht="15">
      <c r="A15" s="1079" t="s">
        <v>1025</v>
      </c>
      <c r="B15" s="1080" t="s">
        <v>859</v>
      </c>
      <c r="C15" s="1080"/>
      <c r="D15" s="1085">
        <f>'Data Entry - SOF'!I76</f>
        <v>0</v>
      </c>
    </row>
    <row r="16" spans="1:4" s="1076" customFormat="1" ht="15">
      <c r="A16" s="1079" t="s">
        <v>1027</v>
      </c>
      <c r="B16" s="1080" t="s">
        <v>3397</v>
      </c>
      <c r="C16" s="1080"/>
      <c r="D16" s="1233">
        <f>'Data Entry - SOF'!I78</f>
        <v>0</v>
      </c>
    </row>
    <row r="17" spans="1:5" s="1076" customFormat="1" ht="15">
      <c r="A17" s="1079" t="s">
        <v>1028</v>
      </c>
      <c r="B17" s="1080" t="s">
        <v>3773</v>
      </c>
      <c r="C17" s="1080"/>
      <c r="D17" s="1233">
        <f>'Data Entry - SOF'!I96</f>
        <v>0</v>
      </c>
    </row>
    <row r="18" spans="1:5" s="1076" customFormat="1" ht="15">
      <c r="A18" s="1079" t="s">
        <v>1029</v>
      </c>
      <c r="B18" s="1080" t="s">
        <v>2793</v>
      </c>
      <c r="C18" s="1080"/>
      <c r="D18" s="1085">
        <f>'SOF1920-SB1'!H65</f>
        <v>0</v>
      </c>
    </row>
    <row r="19" spans="1:5" s="1076" customFormat="1" ht="15">
      <c r="A19" s="1079" t="s">
        <v>139</v>
      </c>
      <c r="B19" s="1080" t="s">
        <v>3400</v>
      </c>
      <c r="C19" s="1080"/>
      <c r="D19" s="1233">
        <v>0</v>
      </c>
    </row>
    <row r="20" spans="1:5" s="1076" customFormat="1" ht="15">
      <c r="A20" s="1079" t="s">
        <v>140</v>
      </c>
      <c r="B20" s="1080" t="s">
        <v>3401</v>
      </c>
      <c r="C20" s="1080"/>
      <c r="D20" s="1233">
        <f>'Data Entry - SOF'!I80</f>
        <v>0</v>
      </c>
    </row>
    <row r="21" spans="1:5" s="1076" customFormat="1" ht="15">
      <c r="A21" s="1079" t="s">
        <v>141</v>
      </c>
      <c r="B21" s="1080" t="s">
        <v>3402</v>
      </c>
      <c r="C21" s="1080"/>
      <c r="D21" s="1085" t="e">
        <f>'SOF1920-SB1'!H67</f>
        <v>#DIV/0!</v>
      </c>
    </row>
    <row r="22" spans="1:5" s="1076" customFormat="1" ht="15">
      <c r="A22" s="1079" t="s">
        <v>142</v>
      </c>
      <c r="B22" s="1080" t="s">
        <v>3403</v>
      </c>
      <c r="C22" s="1080"/>
      <c r="D22" s="1085" t="e">
        <f>'SOF1920-SB1'!H66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1080" t="s">
        <v>4426</v>
      </c>
      <c r="C25" s="1080"/>
      <c r="D25" s="1085">
        <v>0</v>
      </c>
      <c r="E25" s="1120" t="s">
        <v>4427</v>
      </c>
    </row>
    <row r="26" spans="1:5" s="1076" customFormat="1" ht="15.75">
      <c r="A26" s="1079" t="s">
        <v>2552</v>
      </c>
      <c r="B26" s="1078" t="s">
        <v>3449</v>
      </c>
      <c r="C26" s="1080"/>
      <c r="D26" s="1090" t="e">
        <f>SUM(D11:D25)</f>
        <v>#DIV/0!</v>
      </c>
    </row>
    <row r="27" spans="1:5" s="1076" customFormat="1" ht="15.75">
      <c r="A27" s="1089"/>
      <c r="B27" s="1195" t="s">
        <v>3392</v>
      </c>
      <c r="D27" s="1194" t="s">
        <v>3981</v>
      </c>
    </row>
    <row r="28" spans="1:5" s="1076" customFormat="1" ht="15">
      <c r="A28" s="1089"/>
    </row>
    <row r="29" spans="1:5" s="1076" customFormat="1" ht="15">
      <c r="A29" s="1089"/>
    </row>
    <row r="30" spans="1:5" s="1076" customFormat="1" ht="15.75">
      <c r="A30" s="1345" t="s">
        <v>4748</v>
      </c>
    </row>
    <row r="31" spans="1:5" s="1076" customFormat="1" ht="15">
      <c r="A31" s="1089"/>
    </row>
    <row r="32" spans="1:5" s="1076" customFormat="1" ht="15">
      <c r="A32" s="1089"/>
    </row>
    <row r="33" spans="1:4" s="1076" customFormat="1" ht="15">
      <c r="A33" s="1089"/>
    </row>
    <row r="34" spans="1:4" s="1076" customFormat="1" ht="15">
      <c r="A34" s="1089"/>
    </row>
    <row r="35" spans="1:4" s="1076" customFormat="1" ht="15">
      <c r="A35" s="1089"/>
    </row>
    <row r="36" spans="1:4" s="1076" customFormat="1" ht="15">
      <c r="A36" s="1089"/>
    </row>
    <row r="37" spans="1:4" s="1076" customFormat="1" ht="15">
      <c r="A37" s="1089"/>
    </row>
    <row r="38" spans="1:4" s="1076" customFormat="1" ht="15">
      <c r="A38" s="1089"/>
    </row>
    <row r="39" spans="1:4" s="1076" customFormat="1" ht="15">
      <c r="A39" s="1089"/>
    </row>
    <row r="40" spans="1:4" s="1076" customFormat="1" ht="15"/>
    <row r="41" spans="1:4" s="1076" customFormat="1" ht="15"/>
    <row r="42" spans="1:4" s="1076" customFormat="1" ht="15"/>
    <row r="43" spans="1:4" s="1076" customFormat="1" ht="15"/>
    <row r="44" spans="1:4" s="1076" customFormat="1" ht="15"/>
    <row r="45" spans="1:4" s="1076" customFormat="1" ht="15"/>
    <row r="46" spans="1:4" s="1076" customFormat="1" ht="15"/>
    <row r="47" spans="1:4" s="1076"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Q14" sqref="Q14"/>
    </sheetView>
  </sheetViews>
  <sheetFormatPr defaultRowHeight="12.75"/>
  <cols>
    <col min="1" max="1" width="47.85546875" customWidth="1"/>
    <col min="2" max="4" width="0" hidden="1" customWidth="1"/>
    <col min="5" max="5" width="3.7109375" customWidth="1"/>
    <col min="6" max="9" width="16" hidden="1" customWidth="1"/>
    <col min="10" max="12" width="17.140625" customWidth="1"/>
    <col min="13" max="13" width="17.140625" style="1448" customWidth="1"/>
    <col min="14" max="16" width="17.140625" style="1546" customWidth="1"/>
    <col min="17" max="17" width="16.7109375" customWidth="1"/>
    <col min="25" max="30" width="15.7109375" hidden="1" customWidth="1"/>
    <col min="31" max="32" width="15.7109375" customWidth="1"/>
    <col min="33" max="33" width="14.7109375" customWidth="1"/>
    <col min="34" max="34" width="16.42578125" customWidth="1"/>
  </cols>
  <sheetData>
    <row r="1" spans="1:34" ht="15.75">
      <c r="A1" s="127" t="s">
        <v>2746</v>
      </c>
      <c r="B1" s="26"/>
      <c r="C1" s="26"/>
      <c r="D1" s="26"/>
      <c r="E1" s="128"/>
      <c r="F1" s="82"/>
      <c r="G1" s="82"/>
      <c r="J1" s="925">
        <f>'Data Entry - SOF'!G1</f>
        <v>0</v>
      </c>
    </row>
    <row r="2" spans="1:34" ht="15.75">
      <c r="A2" s="144"/>
      <c r="B2" s="35"/>
      <c r="C2" s="35"/>
      <c r="D2" s="35"/>
      <c r="E2" s="43"/>
      <c r="F2" s="98"/>
      <c r="G2" s="98"/>
      <c r="J2" s="98">
        <f>'Data Entry - SOF'!G2</f>
        <v>0</v>
      </c>
    </row>
    <row r="3" spans="1:34" ht="15.75">
      <c r="A3" s="144"/>
      <c r="B3" s="35"/>
      <c r="C3" s="35"/>
      <c r="D3" s="35"/>
      <c r="E3" s="43"/>
      <c r="F3" s="82"/>
      <c r="G3" s="82"/>
      <c r="J3" s="82">
        <f>'Data Entry - SOF'!G3</f>
        <v>0</v>
      </c>
    </row>
    <row r="4" spans="1:34" ht="15.75">
      <c r="A4" s="144"/>
      <c r="B4" s="35"/>
      <c r="C4" s="35"/>
      <c r="D4" s="35"/>
      <c r="E4" s="43"/>
    </row>
    <row r="5" spans="1:34" ht="15.75">
      <c r="A5" s="144"/>
      <c r="B5" s="35"/>
      <c r="C5" s="35"/>
      <c r="D5" s="35"/>
      <c r="E5" s="43"/>
    </row>
    <row r="6" spans="1:34">
      <c r="H6" s="117" t="s">
        <v>206</v>
      </c>
    </row>
    <row r="7" spans="1:34">
      <c r="F7" s="536"/>
      <c r="G7" s="536"/>
      <c r="H7" s="600" t="s">
        <v>195</v>
      </c>
      <c r="I7" s="637" t="s">
        <v>197</v>
      </c>
    </row>
    <row r="8" spans="1:34">
      <c r="F8" s="607" t="e">
        <f>IF('Data Entry - SOF'!#REF!=0,0,'Calc Data-SB1'!#REF!/'Data Entry - SOF'!#REF!)</f>
        <v>#REF!</v>
      </c>
      <c r="G8" s="607" t="e">
        <f>IF('Data Entry - SOF'!#REF!=0,0,'Calc Data-SB1'!#REF!/'Data Entry - SOF'!#REF!)</f>
        <v>#REF!</v>
      </c>
      <c r="H8" s="607" t="e">
        <f>IF('Data Entry - SOF'!#REF!=0,0,'Calc Data-SB1'!#REF!/'Data Entry - SOF'!#REF!)</f>
        <v>#REF!</v>
      </c>
      <c r="I8" s="643" t="e">
        <f>IF('Data Entry - SOF'!#REF!=0,0,'Calc Data'!L28/'Data Entry - SOF'!#REF!)</f>
        <v>#REF!</v>
      </c>
    </row>
    <row r="9" spans="1:34">
      <c r="F9" s="607" t="e">
        <f>IF('Data Entry - SOF'!#REF!=0,0,'Data Entry - SOF'!#REF!*F8)</f>
        <v>#REF!</v>
      </c>
      <c r="G9" s="607" t="e">
        <f>IF('Data Entry - SOF'!#REF!=0,0,'Data Entry - SOF'!#REF!*G8)</f>
        <v>#REF!</v>
      </c>
      <c r="H9" s="607" t="e">
        <f>IF('Data Entry - SOF'!#REF!=0,0,'Data Entry - SOF'!#REF!*H8)</f>
        <v>#REF!</v>
      </c>
      <c r="I9" s="643" t="e">
        <f>IF('Data Entry - SOF'!#REF!=0,0,'Data Entry - SOF'!#REF!*I8)</f>
        <v>#REF!</v>
      </c>
    </row>
    <row r="12" spans="1:34">
      <c r="H12" s="117"/>
    </row>
    <row r="13" spans="1:34">
      <c r="F13" s="115" t="s">
        <v>510</v>
      </c>
      <c r="G13" s="619" t="s">
        <v>510</v>
      </c>
      <c r="H13" s="600" t="s">
        <v>1451</v>
      </c>
      <c r="M13"/>
      <c r="N13"/>
      <c r="O13"/>
      <c r="P13"/>
      <c r="Y13" s="190" t="s">
        <v>3730</v>
      </c>
      <c r="Z13" s="190" t="s">
        <v>3739</v>
      </c>
      <c r="AA13" s="190" t="s">
        <v>3730</v>
      </c>
      <c r="AB13" s="190" t="s">
        <v>3739</v>
      </c>
      <c r="AC13" s="190" t="s">
        <v>3730</v>
      </c>
      <c r="AD13" s="190" t="s">
        <v>3739</v>
      </c>
      <c r="AE13" s="190" t="s">
        <v>3730</v>
      </c>
      <c r="AF13" s="190" t="s">
        <v>3739</v>
      </c>
      <c r="AG13" s="190" t="s">
        <v>3730</v>
      </c>
      <c r="AH13" s="190" t="s">
        <v>3730</v>
      </c>
    </row>
    <row r="14" spans="1:34" ht="15.75">
      <c r="A14" s="38" t="s">
        <v>2784</v>
      </c>
      <c r="F14" s="115" t="s">
        <v>195</v>
      </c>
      <c r="G14" s="619" t="s">
        <v>196</v>
      </c>
      <c r="H14" s="600" t="s">
        <v>195</v>
      </c>
      <c r="I14" s="536" t="s">
        <v>2516</v>
      </c>
      <c r="K14" s="1259" t="s">
        <v>3613</v>
      </c>
      <c r="L14" t="s">
        <v>3673</v>
      </c>
      <c r="M14" s="1551" t="s">
        <v>3830</v>
      </c>
      <c r="N14" s="1551" t="s">
        <v>3903</v>
      </c>
      <c r="O14" s="2081" t="s">
        <v>4592</v>
      </c>
      <c r="P14" s="2081" t="s">
        <v>7097</v>
      </c>
      <c r="Q14" s="619" t="s">
        <v>7733</v>
      </c>
      <c r="Y14" s="190" t="s">
        <v>197</v>
      </c>
      <c r="Z14" s="190" t="s">
        <v>197</v>
      </c>
      <c r="AA14" s="190" t="s">
        <v>885</v>
      </c>
      <c r="AB14" s="190" t="s">
        <v>885</v>
      </c>
      <c r="AC14" s="190" t="s">
        <v>3561</v>
      </c>
      <c r="AD14" s="190" t="s">
        <v>3561</v>
      </c>
      <c r="AE14" s="190" t="s">
        <v>3613</v>
      </c>
      <c r="AF14" s="190" t="s">
        <v>3613</v>
      </c>
      <c r="AG14" s="190" t="s">
        <v>3673</v>
      </c>
      <c r="AH14" s="190" t="s">
        <v>3830</v>
      </c>
    </row>
    <row r="15" spans="1:34">
      <c r="A15" t="s">
        <v>848</v>
      </c>
      <c r="F15" s="954" t="e">
        <f>IF('Data Entry - SOF'!#REF!=0,0,'Calc Data-SB1'!#REF!/'Data Entry - SOF'!#REF!)</f>
        <v>#REF!</v>
      </c>
      <c r="G15" s="625" t="e">
        <f>IF('Data Entry - SOF'!#REF!=0,0,'Calc Data-SB1'!#REF!/'Data Entry - SOF'!#REF!)</f>
        <v>#REF!</v>
      </c>
      <c r="H15" s="607" t="e">
        <f>IF('Data Entry - SOF'!#REF!=0,0,'Calc Data-SB1'!#REF!/'Data Entry - SOF'!#REF!)</f>
        <v>#REF!</v>
      </c>
      <c r="I15" s="467" t="e">
        <f>IF('Data Entry - SOF'!#REF!=0,0,'Calc Data-SB1'!#REF!/'Data Entry - SOF'!#REF!)</f>
        <v>#REF!</v>
      </c>
      <c r="K15" s="1260">
        <f>IF('Data Entry - SOF'!C89=0,0,'Calc Data-SB1'!C25/'Data Entry - SOF'!C89)</f>
        <v>0</v>
      </c>
      <c r="L15">
        <f>IF('Data Entry - SOF'!E89=0,0,'Calc Data-SB1'!D25/'Data Entry - SOF'!E89)</f>
        <v>0</v>
      </c>
      <c r="M15" s="1558">
        <f>IF('Data Entry - SOF'!G89=0,0,'Calc Data-SB1'!E25/'Data Entry - SOF'!G89)</f>
        <v>0</v>
      </c>
      <c r="N15" s="1558">
        <f>IF('Data Entry - SOF'!I89=0,0,'Calc Data-SB1'!F25/'Data Entry - SOF'!I89)</f>
        <v>0</v>
      </c>
      <c r="O15" s="2107">
        <f>IF('Data Entry - SOF'!K89=0,0,'Calc Data-SB1'!G25/'Data Entry - SOF'!K89)</f>
        <v>0</v>
      </c>
      <c r="P15" s="2107">
        <f>IF('Data Entry - SOF'!M89=0,0,'Calc Data-SB1'!H25/'Data Entry - SOF'!M89)</f>
        <v>0</v>
      </c>
      <c r="Q15" s="2107">
        <f>IF('Data Entry - SOF'!O89=0,0,'Calc Data-SB1'!I25/'Data Entry - SOF'!O89)</f>
        <v>0</v>
      </c>
      <c r="Y15" s="236" t="e">
        <f>IF('Data Entry - SOF'!#REF!=0,0,'Calc Data-SB1'!P25/'Data Entry - SOF'!#REF!)</f>
        <v>#REF!</v>
      </c>
      <c r="Z15" s="236" t="e">
        <f>IF('Data Entry - SOF'!#REF!=0,0,'Calc Data-SB1'!Q25/'Data Entry - SOF'!#REF!)</f>
        <v>#REF!</v>
      </c>
      <c r="AA15" s="236" t="e">
        <f>IF('Data Entry - SOF'!#REF!=0,0,'Calc Data-SB1'!R25/'Data Entry - SOF'!#REF!)</f>
        <v>#REF!</v>
      </c>
      <c r="AB15" s="236" t="e">
        <f>IF('Data Entry - SOF'!#REF!=0,0,'Calc Data-SB1'!S25/'Data Entry - SOF'!#REF!)</f>
        <v>#REF!</v>
      </c>
      <c r="AC15" s="236" t="e">
        <f>IF('Data Entry - SOF'!#REF!=0,0,'Calc Data-SB1'!#REF!/'Data Entry - SOF'!#REF!)</f>
        <v>#REF!</v>
      </c>
      <c r="AD15" s="236" t="e">
        <f>IF('Data Entry - SOF'!#REF!=0,0,'Calc Data-SB1'!#REF!/'Data Entry - SOF'!#REF!)</f>
        <v>#REF!</v>
      </c>
      <c r="AE15" s="236">
        <f>IF('Data Entry - SOF'!C89=0,0,'Calc Data-SB1'!T11/'Data Entry - SOF'!C89)</f>
        <v>0</v>
      </c>
      <c r="AF15" s="236">
        <f>IF('Data Entry - SOF'!C89=0,0,'Calc Data-SB1'!U11/'Data Entry - SOF'!C89)</f>
        <v>0</v>
      </c>
      <c r="AG15" s="236">
        <f>IF('Data Entry - SOF'!E89=0,0,'Calc Data-SB1'!V11/'Data Entry - SOF'!E89)</f>
        <v>0</v>
      </c>
      <c r="AH15" s="236">
        <f>IF('Data Entry - SOF'!G89=0,0,'Calc Data-SB1'!W11/'Data Entry - SOF'!G89)</f>
        <v>0</v>
      </c>
    </row>
    <row r="16" spans="1:34">
      <c r="A16" t="s">
        <v>1663</v>
      </c>
      <c r="F16" s="954" t="e">
        <f>IF('Data Entry - SOF'!#REF!=0,0,'Data Entry - SOF'!#REF!*F15)</f>
        <v>#REF!</v>
      </c>
      <c r="G16" s="625" t="e">
        <f>IF('Data Entry - SOF'!#REF!=0,0,'Data Entry - SOF'!#REF!*G15)</f>
        <v>#REF!</v>
      </c>
      <c r="H16" s="607" t="e">
        <f>IF('Data Entry - SOF'!#REF!=0,0,'Data Entry - SOF'!#REF!*H15)</f>
        <v>#REF!</v>
      </c>
      <c r="I16" s="467" t="e">
        <f>IF('Data Entry - SOF'!#REF!=0,0,'Data Entry - SOF'!#REF!*I8)</f>
        <v>#REF!</v>
      </c>
      <c r="K16" s="1260">
        <f>IF('Data Entry - SOF'!C90=0,0,'Data Entry - SOF'!C90*K15)</f>
        <v>0</v>
      </c>
      <c r="L16">
        <f>IF('Data Entry - SOF'!E90=0,0,'Data Entry - SOF'!E90*L15)</f>
        <v>0</v>
      </c>
      <c r="M16" s="1558">
        <f>IF('Data Entry - SOF'!G90=0,0,'Data Entry - SOF'!G90*M15)</f>
        <v>0</v>
      </c>
      <c r="N16" s="1558">
        <f>IF('Data Entry - SOF'!I90=0,0,'Data Entry - SOF'!I90*N15)</f>
        <v>0</v>
      </c>
      <c r="O16" s="2107">
        <f>IF('Data Entry - SOF'!K90=0,0,'Data Entry - SOF'!K90*O15)</f>
        <v>0</v>
      </c>
      <c r="P16" s="2107">
        <f>IF('Data Entry - SOF'!M90=0,0,'Data Entry - SOF'!M90*P15)</f>
        <v>0</v>
      </c>
      <c r="Q16" s="2107">
        <f>IF('Data Entry - SOF'!O90=0,0,'Data Entry - SOF'!O90*Q15)</f>
        <v>0</v>
      </c>
      <c r="Y16" s="236" t="e">
        <f>IF('Data Entry - SOF'!#REF!=0,0,'Data Entry - SOF'!#REF!*Y15)</f>
        <v>#REF!</v>
      </c>
      <c r="Z16" s="236" t="e">
        <f>IF('Data Entry - SOF'!#REF!=0,0,'Data Entry - SOF'!#REF!*Z15)</f>
        <v>#REF!</v>
      </c>
      <c r="AA16" s="236" t="e">
        <f>IF('Data Entry - SOF'!#REF!=0,0,'Data Entry - SOF'!#REF!*AA15)</f>
        <v>#REF!</v>
      </c>
      <c r="AB16" s="236" t="e">
        <f>IF('Data Entry - SOF'!#REF!=0,0,'Data Entry - SOF'!#REF!*AB15)</f>
        <v>#REF!</v>
      </c>
      <c r="AC16" s="236" t="e">
        <f>IF('Data Entry - SOF'!#REF!=0,0,'Data Entry - SOF'!#REF!*AC15)</f>
        <v>#REF!</v>
      </c>
      <c r="AD16" s="236" t="e">
        <f>IF('Data Entry - SOF'!#REF!=0,0,'Data Entry - SOF'!#REF!*AD15)</f>
        <v>#REF!</v>
      </c>
      <c r="AE16" s="236">
        <f>IF('Data Entry - SOF'!C90=0,0,'Data Entry - SOF'!C90*AE15)</f>
        <v>0</v>
      </c>
      <c r="AF16" s="236">
        <f>IF('Data Entry - SOF'!C90=0,0,'Data Entry - SOF'!C90*AF15)</f>
        <v>0</v>
      </c>
      <c r="AG16" s="236">
        <f>IF('Data Entry - SOF'!E90=0,0,'Data Entry - SOF'!E90*AG15)</f>
        <v>0</v>
      </c>
      <c r="AH16" s="236">
        <f>IF('Data Entry - SOF'!G90=0,0,'Data Entry - SOF'!G90*AH15)</f>
        <v>0</v>
      </c>
    </row>
    <row r="17" spans="1:34" ht="15.75">
      <c r="A17" s="38" t="s">
        <v>28</v>
      </c>
      <c r="F17" s="954" t="e">
        <f>'Calc Data-SB1'!#REF!-F9</f>
        <v>#REF!</v>
      </c>
      <c r="G17" s="625" t="e">
        <f>'Calc Data-SB1'!#REF!-G9</f>
        <v>#REF!</v>
      </c>
      <c r="H17" s="607" t="e">
        <f>'Calc Data-SB1'!#REF!-H9</f>
        <v>#REF!</v>
      </c>
      <c r="I17" s="467" t="e">
        <f>'Calc Data-SB1'!#REF!-I9</f>
        <v>#REF!</v>
      </c>
      <c r="K17" s="1260" t="e">
        <f>'Calc Data-SB1'!C25-K16</f>
        <v>#DIV/0!</v>
      </c>
      <c r="L17" t="e">
        <f>'Calc Data-SB1'!D25-L16</f>
        <v>#DIV/0!</v>
      </c>
      <c r="M17" s="1558" t="e">
        <f>'Calc Data-SB1'!E25-M16</f>
        <v>#DIV/0!</v>
      </c>
      <c r="N17" s="1558" t="e">
        <f>'Calc Data-SB1'!F25-N16</f>
        <v>#DIV/0!</v>
      </c>
      <c r="O17" s="2107" t="e">
        <f>'Calc Data-SB1'!G25-O16</f>
        <v>#DIV/0!</v>
      </c>
      <c r="P17" s="2107" t="e">
        <f>'Calc Data-SB1'!H25-P16</f>
        <v>#DIV/0!</v>
      </c>
      <c r="Q17" s="2107" t="e">
        <f>'Calc Data-SB1'!I25-Q16</f>
        <v>#DIV/0!</v>
      </c>
      <c r="Y17" s="236" t="e">
        <f>'Calc Data-SB1'!P25-Y16</f>
        <v>#REF!</v>
      </c>
      <c r="Z17" s="236" t="e">
        <f>'Calc Data-SB1'!Q25-Z16</f>
        <v>#REF!</v>
      </c>
      <c r="AA17" s="236" t="e">
        <f>'Calc Data-SB1'!R25-AA16</f>
        <v>#REF!</v>
      </c>
      <c r="AB17" s="236" t="e">
        <f>'Calc Data-SB1'!S25-AB16</f>
        <v>#REF!</v>
      </c>
      <c r="AC17" s="236" t="e">
        <f>'Calc Data-SB1'!#REF!-AC16</f>
        <v>#REF!</v>
      </c>
      <c r="AD17" s="236" t="e">
        <f>'Calc Data-SB1'!#REF!-AD16</f>
        <v>#REF!</v>
      </c>
      <c r="AE17" s="236" t="e">
        <f>'Calc Data-SB1'!T11-AE16</f>
        <v>#DIV/0!</v>
      </c>
      <c r="AF17" s="236" t="e">
        <f>'Calc Data-SB1'!U11-AF16</f>
        <v>#DIV/0!</v>
      </c>
      <c r="AG17" s="236" t="e">
        <f>'Calc Data-SB1'!V11-AG16</f>
        <v>#DIV/0!</v>
      </c>
      <c r="AH17" s="236" t="e">
        <f>'Calc Data-SB1'!V11-AH16</f>
        <v>#DIV/0!</v>
      </c>
    </row>
    <row r="19" spans="1:34">
      <c r="H19" s="926" t="e">
        <f>#REF!</f>
        <v>#REF!</v>
      </c>
      <c r="L19" t="e">
        <f>'SOF1718-SB1'!R44</f>
        <v>#DIV/0!</v>
      </c>
    </row>
    <row r="20" spans="1:34">
      <c r="H20" s="976" t="e">
        <f>H19-H16</f>
        <v>#REF!</v>
      </c>
      <c r="K20" s="98" t="s">
        <v>3101</v>
      </c>
      <c r="L20" t="e">
        <f>L19-K16</f>
        <v>#DIV/0!</v>
      </c>
    </row>
  </sheetData>
  <phoneticPr fontId="0" type="noConversion"/>
  <pageMargins left="0.25" right="0.25" top="0.5" bottom="0.5" header="0.5" footer="0.5"/>
  <pageSetup orientation="landscape" r:id="rId1"/>
  <headerFooter alignWithMargins="0"/>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4" t="str">
        <f>'Report-Other1920'!D1</f>
        <v>84th/85th Legislative Session</v>
      </c>
    </row>
    <row r="2" spans="1:4">
      <c r="A2" s="1074" t="s">
        <v>3412</v>
      </c>
      <c r="D2" s="98" t="str">
        <f>'Report-Other1920'!D2</f>
        <v>Release 2</v>
      </c>
    </row>
    <row r="3" spans="1:4">
      <c r="A3" s="89"/>
      <c r="D3" s="82">
        <f>'Report-Other1920'!D3</f>
        <v>43145</v>
      </c>
    </row>
    <row r="4" spans="1:4" ht="15.75">
      <c r="A4" s="1075" t="s">
        <v>3941</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3942</v>
      </c>
      <c r="C11" s="1080"/>
      <c r="D11" s="1085">
        <f>'Data Entry - SOF'!G63</f>
        <v>0</v>
      </c>
    </row>
    <row r="12" spans="1:4" s="1076" customFormat="1" ht="15">
      <c r="A12" s="1079" t="s">
        <v>2502</v>
      </c>
      <c r="B12" s="1080" t="s">
        <v>3943</v>
      </c>
      <c r="C12" s="1080"/>
      <c r="D12" s="1085">
        <f>'Report-EDA1819'!D26</f>
        <v>0</v>
      </c>
    </row>
    <row r="13" spans="1:4" s="1076" customFormat="1" ht="15">
      <c r="A13" s="1079" t="s">
        <v>2503</v>
      </c>
      <c r="B13" s="1080" t="s">
        <v>3944</v>
      </c>
      <c r="C13" s="1080"/>
      <c r="D13" s="1085">
        <f>'Report-IFA1819'!D20</f>
        <v>0</v>
      </c>
    </row>
    <row r="14" spans="1:4" s="1076" customFormat="1" ht="15">
      <c r="A14" s="1079" t="s">
        <v>1024</v>
      </c>
      <c r="B14" s="1080" t="s">
        <v>3945</v>
      </c>
      <c r="C14" s="1080"/>
      <c r="D14" s="1085">
        <f>IF(D11-D12-D13&lt;0,0,D11-D12-D13)</f>
        <v>0</v>
      </c>
    </row>
    <row r="15" spans="1:4" s="1076" customFormat="1" ht="15">
      <c r="A15" s="1079" t="s">
        <v>1025</v>
      </c>
      <c r="B15" s="1080" t="s">
        <v>3946</v>
      </c>
      <c r="C15" s="1080"/>
      <c r="D15" s="1085">
        <f>'Data Entry - SOF'!I73</f>
        <v>0</v>
      </c>
    </row>
    <row r="16" spans="1:4" s="1076" customFormat="1" ht="15">
      <c r="A16" s="1079" t="s">
        <v>1027</v>
      </c>
      <c r="B16" s="1080" t="s">
        <v>3947</v>
      </c>
      <c r="C16" s="1080"/>
      <c r="D16" s="1085">
        <f>'Report-IFA1920'!D37</f>
        <v>0</v>
      </c>
    </row>
    <row r="17" spans="1:4" s="1076" customFormat="1" ht="15">
      <c r="A17" s="1079" t="s">
        <v>1028</v>
      </c>
      <c r="B17" s="1080" t="s">
        <v>3948</v>
      </c>
      <c r="C17" s="1080"/>
      <c r="D17" s="1086">
        <f>'Data Entry - SOF'!I17</f>
        <v>0</v>
      </c>
    </row>
    <row r="18" spans="1:4" s="1076" customFormat="1" ht="15">
      <c r="A18" s="1079" t="s">
        <v>1029</v>
      </c>
      <c r="B18" s="1080" t="s">
        <v>7390</v>
      </c>
      <c r="C18" s="1080"/>
      <c r="D18" s="1085">
        <f>'Data Entry - SOF'!I53</f>
        <v>0</v>
      </c>
    </row>
    <row r="19" spans="1:4" s="1076" customFormat="1" ht="15">
      <c r="A19" s="1079" t="s">
        <v>139</v>
      </c>
      <c r="B19" s="1080" t="s">
        <v>7389</v>
      </c>
      <c r="C19" s="1080"/>
      <c r="D19" s="1085">
        <f>'Data Entry - SOF'!G53</f>
        <v>0</v>
      </c>
    </row>
    <row r="20" spans="1:4" s="1076" customFormat="1" ht="15.75">
      <c r="A20" s="1366" t="s">
        <v>3270</v>
      </c>
      <c r="B20" s="1290"/>
      <c r="C20" s="1291"/>
      <c r="D20" s="1313"/>
    </row>
    <row r="21" spans="1:4" s="1076" customFormat="1" ht="15">
      <c r="A21" s="1113" t="s">
        <v>140</v>
      </c>
      <c r="B21" s="1097" t="s">
        <v>3949</v>
      </c>
      <c r="C21" s="1097"/>
      <c r="D21" s="1121">
        <f>'Existing Debt'!M47</f>
        <v>0</v>
      </c>
    </row>
    <row r="22" spans="1:4" s="1076" customFormat="1" ht="15">
      <c r="A22" s="1091"/>
      <c r="B22" s="1099" t="s">
        <v>3271</v>
      </c>
      <c r="C22" s="1099"/>
      <c r="D22" s="1122"/>
    </row>
    <row r="23" spans="1:4" s="1076" customFormat="1" ht="15">
      <c r="A23" s="1079" t="s">
        <v>141</v>
      </c>
      <c r="B23" s="1080" t="str">
        <f>CONCATENATE("2019-20 Rate Needed for All Eligible Debt ((Line 5 - Line 6) / ",Weights!K50," / Line 7 / 100)")</f>
        <v>2019-20 Rate Needed for All Eligible Debt ((Line 5 - Line 6) / 38 / Line 7 / 100)</v>
      </c>
      <c r="C23" s="1080"/>
      <c r="D23" s="1123">
        <f>'Existing Debt'!M51</f>
        <v>0</v>
      </c>
    </row>
    <row r="24" spans="1:4" s="1076" customFormat="1" ht="15">
      <c r="A24" s="1079" t="s">
        <v>142</v>
      </c>
      <c r="B24" s="1080" t="s">
        <v>3950</v>
      </c>
      <c r="C24" s="1080"/>
      <c r="D24" s="1123">
        <f>'Existing Debt'!M55</f>
        <v>0</v>
      </c>
    </row>
    <row r="25" spans="1:4" s="1076" customFormat="1" ht="15">
      <c r="A25" s="1079" t="s">
        <v>1706</v>
      </c>
      <c r="B25" s="1080" t="str">
        <f>CONCATENATE("State/Local Share of EDA ($",Weights!K50," * Line 7 * Line 12 * 100)")</f>
        <v>State/Local Share of EDA ($38 * Line 7 * Line 12 * 100)</v>
      </c>
      <c r="C25" s="1080"/>
      <c r="D25" s="1085">
        <f>'Existing Debt'!M59</f>
        <v>0</v>
      </c>
    </row>
    <row r="26" spans="1:4" s="1076" customFormat="1" ht="15">
      <c r="A26" s="1079" t="s">
        <v>6</v>
      </c>
      <c r="B26" s="1080" t="s">
        <v>3272</v>
      </c>
      <c r="C26" s="1080"/>
      <c r="D26" s="1085">
        <f>'Existing Debt'!M61</f>
        <v>0</v>
      </c>
    </row>
    <row r="27" spans="1:4" s="1076" customFormat="1" ht="15">
      <c r="A27" s="1079" t="s">
        <v>2551</v>
      </c>
      <c r="B27" s="1080" t="s">
        <v>3273</v>
      </c>
      <c r="C27" s="1080"/>
      <c r="D27" s="1085">
        <f>'Existing Debt'!M70</f>
        <v>0</v>
      </c>
    </row>
    <row r="28" spans="1:4" s="1076" customFormat="1" ht="15.75">
      <c r="A28" s="1079" t="s">
        <v>2552</v>
      </c>
      <c r="B28" s="1078" t="s">
        <v>3274</v>
      </c>
      <c r="C28" s="1080"/>
      <c r="D28" s="1090">
        <f>'Existing Debt'!M74</f>
        <v>0</v>
      </c>
    </row>
    <row r="29" spans="1:4" s="1076" customFormat="1" ht="15.75">
      <c r="B29" s="1195" t="s">
        <v>3392</v>
      </c>
      <c r="D29" s="1194" t="s">
        <v>3981</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7103</v>
      </c>
      <c r="D39" s="2026">
        <f>IF(ISNA('DE1'!J89),0,'DE1'!J89)</f>
        <v>0</v>
      </c>
    </row>
    <row r="40" spans="2:4" ht="15.75">
      <c r="B40" s="961"/>
      <c r="C40" s="1076"/>
      <c r="D40" s="1076"/>
    </row>
    <row r="41" spans="2:4" ht="15.75">
      <c r="B41" s="961" t="s">
        <v>7090</v>
      </c>
      <c r="C41" s="1076"/>
      <c r="D41" s="1076"/>
    </row>
    <row r="42" spans="2:4" ht="15.75">
      <c r="B42" s="1315" t="s">
        <v>7313</v>
      </c>
      <c r="C42" s="1076"/>
      <c r="D42" s="1076"/>
    </row>
    <row r="43" spans="2:4" ht="15.75">
      <c r="B43" s="961" t="s">
        <v>7309</v>
      </c>
    </row>
  </sheetData>
  <hyperlinks>
    <hyperlink ref="D29" location="'Report-SOF1920'!A1" display="'Report-SOF1920'!A1"/>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D22" sqref="D22"/>
    </sheetView>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'Report-EDA1920'!D1</f>
        <v>84th/85th Legislative Session</v>
      </c>
    </row>
    <row r="2" spans="1:5">
      <c r="A2" s="1074" t="s">
        <v>3267</v>
      </c>
      <c r="E2" s="98" t="str">
        <f>'Report-EDA1920'!D2</f>
        <v>Release 2</v>
      </c>
    </row>
    <row r="3" spans="1:5">
      <c r="A3" s="89"/>
      <c r="E3" s="82">
        <f>'Report-EDA1920'!D3</f>
        <v>43145</v>
      </c>
    </row>
    <row r="4" spans="1:5" ht="15.75">
      <c r="A4" s="1075" t="s">
        <v>3951</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IFA!T58</f>
        <v>400</v>
      </c>
      <c r="E12" s="1086">
        <f>D12</f>
        <v>400</v>
      </c>
    </row>
    <row r="13" spans="1:5" s="1076" customFormat="1" ht="15">
      <c r="A13" s="1079" t="s">
        <v>2503</v>
      </c>
      <c r="B13" s="1080" t="s">
        <v>7390</v>
      </c>
      <c r="C13" s="1080"/>
      <c r="D13" s="1085">
        <f>'Report-EDA1920'!D18</f>
        <v>0</v>
      </c>
      <c r="E13" s="1085">
        <f>D13</f>
        <v>0</v>
      </c>
    </row>
    <row r="14" spans="1:5" s="1076" customFormat="1" ht="15">
      <c r="A14" s="1079" t="s">
        <v>1024</v>
      </c>
      <c r="B14" s="1080" t="s">
        <v>3378</v>
      </c>
      <c r="C14" s="1080"/>
      <c r="D14" s="1085">
        <f>IFA!T65</f>
        <v>0</v>
      </c>
      <c r="E14" s="1085">
        <f>IFA!V65</f>
        <v>0</v>
      </c>
    </row>
    <row r="15" spans="1:5" s="1076" customFormat="1" ht="15">
      <c r="A15" s="1079" t="s">
        <v>1025</v>
      </c>
      <c r="B15" s="1080" t="s">
        <v>3379</v>
      </c>
      <c r="C15" s="1080"/>
      <c r="D15" s="1183">
        <f>IFA!T67</f>
        <v>0</v>
      </c>
      <c r="E15" s="1183">
        <f>IFA!V67</f>
        <v>0</v>
      </c>
    </row>
    <row r="16" spans="1:5" s="1076" customFormat="1" ht="15">
      <c r="A16" s="1079" t="s">
        <v>1027</v>
      </c>
      <c r="B16" s="1080" t="s">
        <v>3380</v>
      </c>
      <c r="C16" s="1080"/>
      <c r="D16" s="1183">
        <f>IFA!T69</f>
        <v>0</v>
      </c>
      <c r="E16" s="1183">
        <f>IFA!V69</f>
        <v>0</v>
      </c>
    </row>
    <row r="17" spans="1:5" s="1076" customFormat="1" ht="15">
      <c r="A17" s="1079" t="s">
        <v>1028</v>
      </c>
      <c r="B17" s="1080" t="str">
        <f>CONCATENATE("State's Share of $",Weights!K49," per ADA Yield")</f>
        <v>State's Share of $35 per ADA Yield</v>
      </c>
      <c r="C17" s="1080"/>
      <c r="D17" s="1085">
        <f>IFA!T71</f>
        <v>35</v>
      </c>
      <c r="E17" s="1085">
        <f>IFA!V71</f>
        <v>35</v>
      </c>
    </row>
    <row r="18" spans="1:5" s="1076" customFormat="1" ht="15">
      <c r="A18" s="1079" t="s">
        <v>1029</v>
      </c>
      <c r="B18" s="1080" t="s">
        <v>3381</v>
      </c>
      <c r="C18" s="1080"/>
      <c r="D18" s="1184">
        <f>IFA!T73</f>
        <v>1</v>
      </c>
      <c r="E18" s="1184">
        <f>IFA!V73</f>
        <v>1</v>
      </c>
    </row>
    <row r="19" spans="1:5" s="1076" customFormat="1" ht="15">
      <c r="A19" s="1079" t="s">
        <v>139</v>
      </c>
      <c r="B19" s="1080" t="s">
        <v>3382</v>
      </c>
      <c r="C19" s="1080"/>
      <c r="D19" s="1085">
        <f>IFA!T75</f>
        <v>0</v>
      </c>
      <c r="E19" s="1085">
        <f>IFA!V75</f>
        <v>0</v>
      </c>
    </row>
    <row r="20" spans="1:5" s="1076" customFormat="1" ht="15">
      <c r="A20" s="1079" t="s">
        <v>140</v>
      </c>
      <c r="B20" s="1080" t="s">
        <v>3383</v>
      </c>
      <c r="C20" s="1080"/>
      <c r="D20" s="1085">
        <f>IFA!T79</f>
        <v>0</v>
      </c>
      <c r="E20" s="1085">
        <f>IFA!V79</f>
        <v>0</v>
      </c>
    </row>
    <row r="21" spans="1:5" s="1076" customFormat="1" ht="15.75">
      <c r="A21" s="1079" t="s">
        <v>141</v>
      </c>
      <c r="B21" s="1078" t="s">
        <v>3384</v>
      </c>
      <c r="C21" s="1080"/>
      <c r="D21" s="1085">
        <f>IFA!T86</f>
        <v>0</v>
      </c>
      <c r="E21" s="1085">
        <f>IFA!V86</f>
        <v>0</v>
      </c>
    </row>
    <row r="22" spans="1:5" s="1076" customFormat="1" ht="15.75">
      <c r="B22" s="1195" t="s">
        <v>3392</v>
      </c>
      <c r="D22" s="1194" t="s">
        <v>3981</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7103</v>
      </c>
      <c r="E32" s="2026">
        <f>IF(ISNA('DE1'!J89),0,'DE1'!J89)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IFA_Limits!J55</f>
        <v>0</v>
      </c>
      <c r="E37" s="1199">
        <f>IFA_Limits!J56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pans="4:4" s="1076" customFormat="1" ht="15"/>
    <row r="50" spans="4:4" s="1076" customFormat="1" ht="15"/>
    <row r="51" spans="4:4" s="1076" customFormat="1" ht="15">
      <c r="D51"/>
    </row>
  </sheetData>
  <sheetProtection sheet="1"/>
  <hyperlinks>
    <hyperlink ref="D22" location="'Report-SOF1920'!A1" display="'Report-SOF1920'!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1074" t="s">
        <v>3593</v>
      </c>
      <c r="E1" s="1773" t="str">
        <f>'Report-IFA1920'!E1</f>
        <v>84th/85th Legislative Session</v>
      </c>
    </row>
    <row r="2" spans="1:5">
      <c r="A2" s="1074" t="s">
        <v>3594</v>
      </c>
      <c r="E2" s="98" t="str">
        <f>'Report-IFA1920'!E2</f>
        <v>Release 2</v>
      </c>
    </row>
    <row r="3" spans="1:5">
      <c r="A3" s="89"/>
      <c r="E3" s="82">
        <f>'Report-IFA1920'!E3</f>
        <v>43145</v>
      </c>
    </row>
    <row r="4" spans="1:5" ht="15.75">
      <c r="A4" s="1075" t="s">
        <v>3952</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SOF'!I84</f>
        <v>0</v>
      </c>
      <c r="D11" s="1080"/>
      <c r="E11" s="1083" t="e">
        <f>'Report-SOF1920'!D67</f>
        <v>#DIV/0!</v>
      </c>
    </row>
    <row r="12" spans="1:5" ht="15">
      <c r="A12" s="1079" t="s">
        <v>2502</v>
      </c>
      <c r="B12" s="1080" t="s">
        <v>3601</v>
      </c>
      <c r="C12" s="1083">
        <f>'Data Entry - SOF'!I85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1194" t="s">
        <v>3981</v>
      </c>
    </row>
    <row r="17" spans="1:5" ht="15.75">
      <c r="A17" s="1076"/>
      <c r="C17" s="1195"/>
      <c r="D17" s="1076"/>
      <c r="E17" s="1076"/>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sheetProtection sheet="1"/>
  <hyperlinks>
    <hyperlink ref="E16" location="'Report-SOF1920'!A1" display="'Report-SOF1920'!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D1" sqref="D1"/>
    </sheetView>
  </sheetViews>
  <sheetFormatPr defaultRowHeight="12.75"/>
  <cols>
    <col min="3" max="3" width="14.28515625" customWidth="1"/>
    <col min="4" max="4" width="15.5703125" customWidth="1"/>
  </cols>
  <sheetData>
    <row r="1" spans="1:4" ht="15">
      <c r="A1" s="1514" t="e">
        <f>CONCATENATE(LEFT(RIGHT(CONCATENATE("000",#REF!),6),3),"-",(RIGHT(RIGHT(CONCATENATE("000",#REF!),6),3)))</f>
        <v>#REF!</v>
      </c>
      <c r="B1" s="1514" t="e">
        <f>CONCATENATE(LEFT(RIGHT(CONCATENATE("000",#REF!),6),3),"-",(RIGHT(RIGHT(CONCATENATE("000",#REF!),6),3)))</f>
        <v>#REF!</v>
      </c>
      <c r="C1" s="1514">
        <v>240901</v>
      </c>
      <c r="D1" s="1514" t="e">
        <f>CONCATENATE(LEFT(RIGHT(CONCATENATE("000",#REF!),6),3),"-",(RIGHT(RIGHT(CONCATENATE("000",#REF!),6),3)))</f>
        <v>#REF!</v>
      </c>
    </row>
    <row r="2" spans="1:4" ht="15">
      <c r="A2" s="1514" t="e">
        <f>CONCATENATE(LEFT(RIGHT(CONCATENATE("000",#REF!),6),3),"-",(RIGHT(RIGHT(CONCATENATE("000",#REF!),6),3)))</f>
        <v>#REF!</v>
      </c>
      <c r="B2" s="1514" t="e">
        <f>CONCATENATE(LEFT(RIGHT(CONCATENATE("000",#REF!),6),3),"-",(RIGHT(RIGHT(CONCATENATE("000",#REF!),6),3)))</f>
        <v>#REF!</v>
      </c>
    </row>
    <row r="3" spans="1:4" ht="15">
      <c r="A3" s="1514" t="e">
        <f>CONCATENATE(LEFT(RIGHT(CONCATENATE("000",#REF!),6),3),"-",(RIGHT(RIGHT(CONCATENATE("000",#REF!),6),3)))</f>
        <v>#REF!</v>
      </c>
      <c r="B3" s="1514" t="e">
        <f>CONCATENATE(LEFT(RIGHT(CONCATENATE("000",#REF!),6),3),"-",(RIGHT(RIGHT(CONCATENATE("000",#REF!),6),3)))</f>
        <v>#REF!</v>
      </c>
    </row>
    <row r="4" spans="1:4" ht="15">
      <c r="A4" s="1514" t="e">
        <f>CONCATENATE(LEFT(RIGHT(CONCATENATE("000",#REF!),6),3),"-",(RIGHT(RIGHT(CONCATENATE("000",#REF!),6),3)))</f>
        <v>#REF!</v>
      </c>
      <c r="B4" s="1514" t="e">
        <f>CONCATENATE(LEFT(RIGHT(CONCATENATE("000",#REF!),6),3),"-",(RIGHT(RIGHT(CONCATENATE("000",#REF!),6),3)))</f>
        <v>#REF!</v>
      </c>
    </row>
    <row r="5" spans="1:4" ht="15">
      <c r="A5" s="1514" t="e">
        <f>CONCATENATE(LEFT(RIGHT(CONCATENATE("000",#REF!),6),3),"-",(RIGHT(RIGHT(CONCATENATE("000",#REF!),6),3)))</f>
        <v>#REF!</v>
      </c>
      <c r="B5" s="1514" t="e">
        <f>CONCATENATE(LEFT(RIGHT(CONCATENATE("000",#REF!),6),3),"-",(RIGHT(RIGHT(CONCATENATE("000",#REF!),6),3)))</f>
        <v>#REF!</v>
      </c>
    </row>
    <row r="6" spans="1:4" ht="15">
      <c r="A6" s="1514" t="e">
        <f>CONCATENATE(LEFT(RIGHT(CONCATENATE("000",#REF!),6),3),"-",(RIGHT(RIGHT(CONCATENATE("000",#REF!),6),3)))</f>
        <v>#REF!</v>
      </c>
      <c r="B6" s="1514" t="e">
        <f>CONCATENATE(LEFT(RIGHT(CONCATENATE("000",#REF!),6),3),"-",(RIGHT(RIGHT(CONCATENATE("000",#REF!),6),3)))</f>
        <v>#REF!</v>
      </c>
    </row>
    <row r="7" spans="1:4" ht="15">
      <c r="A7" s="1514" t="e">
        <f>CONCATENATE(LEFT(RIGHT(CONCATENATE("000",#REF!),6),3),"-",(RIGHT(RIGHT(CONCATENATE("000",#REF!),6),3)))</f>
        <v>#REF!</v>
      </c>
      <c r="B7" s="1514" t="e">
        <f>CONCATENATE(LEFT(RIGHT(CONCATENATE("000",#REF!),6),3),"-",(RIGHT(RIGHT(CONCATENATE("000",#REF!),6),3)))</f>
        <v>#REF!</v>
      </c>
    </row>
    <row r="8" spans="1:4" ht="15">
      <c r="A8" s="1514" t="e">
        <f>CONCATENATE(LEFT(RIGHT(CONCATENATE("000",#REF!),6),3),"-",(RIGHT(RIGHT(CONCATENATE("000",#REF!),6),3)))</f>
        <v>#REF!</v>
      </c>
      <c r="B8" s="1514" t="e">
        <f>CONCATENATE(LEFT(RIGHT(CONCATENATE("000",#REF!),6),3),"-",(RIGHT(RIGHT(CONCATENATE("000",#REF!),6),3)))</f>
        <v>#REF!</v>
      </c>
    </row>
    <row r="9" spans="1:4" ht="15">
      <c r="A9" s="1514" t="e">
        <f>CONCATENATE(LEFT(RIGHT(CONCATENATE("000",#REF!),6),3),"-",(RIGHT(RIGHT(CONCATENATE("000",#REF!),6),3)))</f>
        <v>#REF!</v>
      </c>
      <c r="B9" s="1514" t="e">
        <f>CONCATENATE(LEFT(RIGHT(CONCATENATE("000",#REF!),6),3),"-",(RIGHT(RIGHT(CONCATENATE("000",#REF!),6),3)))</f>
        <v>#REF!</v>
      </c>
    </row>
    <row r="10" spans="1:4" ht="15">
      <c r="A10" s="1514" t="e">
        <f>CONCATENATE(LEFT(RIGHT(CONCATENATE("000",#REF!),6),3),"-",(RIGHT(RIGHT(CONCATENATE("000",#REF!),6),3)))</f>
        <v>#REF!</v>
      </c>
      <c r="B10" s="1514" t="e">
        <f>CONCATENATE(LEFT(RIGHT(CONCATENATE("000",#REF!),6),3),"-",(RIGHT(RIGHT(CONCATENATE("000",#REF!),6),3)))</f>
        <v>#REF!</v>
      </c>
    </row>
    <row r="11" spans="1:4" ht="15">
      <c r="A11" s="1514" t="e">
        <f>CONCATENATE(LEFT(RIGHT(CONCATENATE("000",#REF!),6),3),"-",(RIGHT(RIGHT(CONCATENATE("000",#REF!),6),3)))</f>
        <v>#REF!</v>
      </c>
      <c r="B11" s="1514" t="e">
        <f>CONCATENATE(LEFT(RIGHT(CONCATENATE("000",#REF!),6),3),"-",(RIGHT(RIGHT(CONCATENATE("000",#REF!),6),3)))</f>
        <v>#REF!</v>
      </c>
    </row>
    <row r="12" spans="1:4" ht="15">
      <c r="A12" s="1514" t="e">
        <f>CONCATENATE(LEFT(RIGHT(CONCATENATE("000",#REF!),6),3),"-",(RIGHT(RIGHT(CONCATENATE("000",#REF!),6),3)))</f>
        <v>#REF!</v>
      </c>
      <c r="B12" s="1514" t="e">
        <f>CONCATENATE(LEFT(RIGHT(CONCATENATE("000",#REF!),6),3),"-",(RIGHT(RIGHT(CONCATENATE("000",#REF!),6),3)))</f>
        <v>#REF!</v>
      </c>
    </row>
    <row r="13" spans="1:4" ht="15">
      <c r="A13" s="1514" t="e">
        <f>CONCATENATE(LEFT(RIGHT(CONCATENATE("000",#REF!),6),3),"-",(RIGHT(RIGHT(CONCATENATE("000",#REF!),6),3)))</f>
        <v>#REF!</v>
      </c>
      <c r="B13" s="1514" t="e">
        <f>CONCATENATE(LEFT(RIGHT(CONCATENATE("000",#REF!),6),3),"-",(RIGHT(RIGHT(CONCATENATE("000",#REF!),6),3)))</f>
        <v>#REF!</v>
      </c>
    </row>
    <row r="14" spans="1:4" ht="15">
      <c r="A14" s="1514" t="e">
        <f>CONCATENATE(LEFT(RIGHT(CONCATENATE("000",#REF!),6),3),"-",(RIGHT(RIGHT(CONCATENATE("000",#REF!),6),3)))</f>
        <v>#REF!</v>
      </c>
      <c r="B14" s="1514" t="e">
        <f>CONCATENATE(LEFT(RIGHT(CONCATENATE("000",#REF!),6),3),"-",(RIGHT(RIGHT(CONCATENATE("000",#REF!),6),3)))</f>
        <v>#REF!</v>
      </c>
    </row>
    <row r="15" spans="1:4" ht="15">
      <c r="A15" s="1514" t="e">
        <f>CONCATENATE(LEFT(RIGHT(CONCATENATE("000",#REF!),6),3),"-",(RIGHT(RIGHT(CONCATENATE("000",#REF!),6),3)))</f>
        <v>#REF!</v>
      </c>
      <c r="B15" s="1514" t="e">
        <f>CONCATENATE(LEFT(RIGHT(CONCATENATE("000",#REF!),6),3),"-",(RIGHT(RIGHT(CONCATENATE("000",#REF!),6),3)))</f>
        <v>#REF!</v>
      </c>
    </row>
    <row r="16" spans="1:4" ht="15">
      <c r="A16" s="1514" t="e">
        <f>CONCATENATE(LEFT(RIGHT(CONCATENATE("000",#REF!),6),3),"-",(RIGHT(RIGHT(CONCATENATE("000",#REF!),6),3)))</f>
        <v>#REF!</v>
      </c>
      <c r="B16" s="1514" t="e">
        <f>CONCATENATE(LEFT(RIGHT(CONCATENATE("000",#REF!),6),3),"-",(RIGHT(RIGHT(CONCATENATE("000",#REF!),6),3)))</f>
        <v>#REF!</v>
      </c>
    </row>
    <row r="17" spans="1:2" ht="15">
      <c r="A17" s="1514" t="e">
        <f>CONCATENATE(LEFT(RIGHT(CONCATENATE("000",#REF!),6),3),"-",(RIGHT(RIGHT(CONCATENATE("000",#REF!),6),3)))</f>
        <v>#REF!</v>
      </c>
      <c r="B17" s="1514" t="e">
        <f>CONCATENATE(LEFT(RIGHT(CONCATENATE("000",#REF!),6),3),"-",(RIGHT(RIGHT(CONCATENATE("000",#REF!),6),3)))</f>
        <v>#REF!</v>
      </c>
    </row>
    <row r="18" spans="1:2" ht="15">
      <c r="A18" s="1514" t="e">
        <f>CONCATENATE(LEFT(RIGHT(CONCATENATE("000",#REF!),6),3),"-",(RIGHT(RIGHT(CONCATENATE("000",#REF!),6),3)))</f>
        <v>#REF!</v>
      </c>
      <c r="B18" s="1514" t="e">
        <f>CONCATENATE(LEFT(RIGHT(CONCATENATE("000",#REF!),6),3),"-",(RIGHT(RIGHT(CONCATENATE("000",#REF!),6),3)))</f>
        <v>#REF!</v>
      </c>
    </row>
    <row r="19" spans="1:2" ht="15">
      <c r="A19" s="1514" t="e">
        <f>CONCATENATE(LEFT(RIGHT(CONCATENATE("000",#REF!),6),3),"-",(RIGHT(RIGHT(CONCATENATE("000",#REF!),6),3)))</f>
        <v>#REF!</v>
      </c>
      <c r="B19" s="1514" t="e">
        <f>CONCATENATE(LEFT(RIGHT(CONCATENATE("000",#REF!),6),3),"-",(RIGHT(RIGHT(CONCATENATE("000",#REF!),6),3)))</f>
        <v>#REF!</v>
      </c>
    </row>
    <row r="20" spans="1:2" ht="15">
      <c r="A20" s="1514" t="e">
        <f>CONCATENATE(LEFT(RIGHT(CONCATENATE("000",#REF!),6),3),"-",(RIGHT(RIGHT(CONCATENATE("000",#REF!),6),3)))</f>
        <v>#REF!</v>
      </c>
      <c r="B20" s="1514" t="e">
        <f>CONCATENATE(LEFT(RIGHT(CONCATENATE("000",#REF!),6),3),"-",(RIGHT(RIGHT(CONCATENATE("000",#REF!),6),3)))</f>
        <v>#REF!</v>
      </c>
    </row>
    <row r="21" spans="1:2" ht="15">
      <c r="A21" s="1514" t="e">
        <f>CONCATENATE(LEFT(RIGHT(CONCATENATE("000",#REF!),6),3),"-",(RIGHT(RIGHT(CONCATENATE("000",#REF!),6),3)))</f>
        <v>#REF!</v>
      </c>
      <c r="B21" s="1514" t="e">
        <f>CONCATENATE(LEFT(RIGHT(CONCATENATE("000",#REF!),6),3),"-",(RIGHT(RIGHT(CONCATENATE("000",#REF!),6),3)))</f>
        <v>#REF!</v>
      </c>
    </row>
    <row r="22" spans="1:2" ht="15">
      <c r="A22" s="1514" t="e">
        <f>CONCATENATE(LEFT(RIGHT(CONCATENATE("000",#REF!),6),3),"-",(RIGHT(RIGHT(CONCATENATE("000",#REF!),6),3)))</f>
        <v>#REF!</v>
      </c>
      <c r="B22" s="1514" t="e">
        <f>CONCATENATE(LEFT(RIGHT(CONCATENATE("000",#REF!),6),3),"-",(RIGHT(RIGHT(CONCATENATE("000",#REF!),6),3)))</f>
        <v>#REF!</v>
      </c>
    </row>
    <row r="23" spans="1:2" ht="15">
      <c r="A23" s="1514" t="e">
        <f>CONCATENATE(LEFT(RIGHT(CONCATENATE("000",#REF!),6),3),"-",(RIGHT(RIGHT(CONCATENATE("000",#REF!),6),3)))</f>
        <v>#REF!</v>
      </c>
      <c r="B23" s="1514" t="e">
        <f>CONCATENATE(LEFT(RIGHT(CONCATENATE("000",#REF!),6),3),"-",(RIGHT(RIGHT(CONCATENATE("000",#REF!),6),3)))</f>
        <v>#REF!</v>
      </c>
    </row>
    <row r="24" spans="1:2" ht="15">
      <c r="A24" s="1514" t="e">
        <f>CONCATENATE(LEFT(RIGHT(CONCATENATE("000",#REF!),6),3),"-",(RIGHT(RIGHT(CONCATENATE("000",#REF!),6),3)))</f>
        <v>#REF!</v>
      </c>
      <c r="B24" s="1514" t="e">
        <f>CONCATENATE(LEFT(RIGHT(CONCATENATE("000",#REF!),6),3),"-",(RIGHT(RIGHT(CONCATENATE("000",#REF!),6),3)))</f>
        <v>#REF!</v>
      </c>
    </row>
    <row r="25" spans="1:2" ht="15">
      <c r="A25" s="1514" t="e">
        <f>CONCATENATE(LEFT(RIGHT(CONCATENATE("000",#REF!),6),3),"-",(RIGHT(RIGHT(CONCATENATE("000",#REF!),6),3)))</f>
        <v>#REF!</v>
      </c>
      <c r="B25" s="1514" t="e">
        <f>CONCATENATE(LEFT(RIGHT(CONCATENATE("000",#REF!),6),3),"-",(RIGHT(RIGHT(CONCATENATE("000",#REF!),6),3)))</f>
        <v>#REF!</v>
      </c>
    </row>
    <row r="26" spans="1:2" ht="15">
      <c r="A26" s="1514" t="e">
        <f>CONCATENATE(LEFT(RIGHT(CONCATENATE("000",#REF!),6),3),"-",(RIGHT(RIGHT(CONCATENATE("000",#REF!),6),3)))</f>
        <v>#REF!</v>
      </c>
      <c r="B26" s="1514" t="e">
        <f>CONCATENATE(LEFT(RIGHT(CONCATENATE("000",#REF!),6),3),"-",(RIGHT(RIGHT(CONCATENATE("000",#REF!),6),3)))</f>
        <v>#REF!</v>
      </c>
    </row>
    <row r="27" spans="1:2" ht="15">
      <c r="A27" s="1514" t="e">
        <f>CONCATENATE(LEFT(RIGHT(CONCATENATE("000",#REF!),6),3),"-",(RIGHT(RIGHT(CONCATENATE("000",#REF!),6),3)))</f>
        <v>#REF!</v>
      </c>
      <c r="B27" s="1514" t="e">
        <f>CONCATENATE(LEFT(RIGHT(CONCATENATE("000",#REF!),6),3),"-",(RIGHT(RIGHT(CONCATENATE("000",#REF!),6),3)))</f>
        <v>#REF!</v>
      </c>
    </row>
    <row r="28" spans="1:2" ht="15">
      <c r="A28" s="1514" t="e">
        <f>CONCATENATE(LEFT(RIGHT(CONCATENATE("000",#REF!),6),3),"-",(RIGHT(RIGHT(CONCATENATE("000",#REF!),6),3)))</f>
        <v>#REF!</v>
      </c>
      <c r="B28" s="1514" t="e">
        <f>CONCATENATE(LEFT(RIGHT(CONCATENATE("000",#REF!),6),3),"-",(RIGHT(RIGHT(CONCATENATE("000",#REF!),6),3)))</f>
        <v>#REF!</v>
      </c>
    </row>
    <row r="29" spans="1:2" ht="15">
      <c r="A29" s="1514" t="e">
        <f>CONCATENATE(LEFT(RIGHT(CONCATENATE("000",#REF!),6),3),"-",(RIGHT(RIGHT(CONCATENATE("000",#REF!),6),3)))</f>
        <v>#REF!</v>
      </c>
      <c r="B29" s="1514" t="e">
        <f>CONCATENATE(LEFT(RIGHT(CONCATENATE("000",#REF!),6),3),"-",(RIGHT(RIGHT(CONCATENATE("000",#REF!),6),3)))</f>
        <v>#REF!</v>
      </c>
    </row>
    <row r="30" spans="1:2" ht="15">
      <c r="A30" s="1514" t="e">
        <f>CONCATENATE(LEFT(RIGHT(CONCATENATE("000",#REF!),6),3),"-",(RIGHT(RIGHT(CONCATENATE("000",#REF!),6),3)))</f>
        <v>#REF!</v>
      </c>
      <c r="B30" s="1514" t="e">
        <f>CONCATENATE(LEFT(RIGHT(CONCATENATE("000",#REF!),6),3),"-",(RIGHT(RIGHT(CONCATENATE("000",#REF!),6),3)))</f>
        <v>#REF!</v>
      </c>
    </row>
    <row r="31" spans="1:2" ht="15">
      <c r="A31" s="1514" t="e">
        <f>CONCATENATE(LEFT(RIGHT(CONCATENATE("000",#REF!),6),3),"-",(RIGHT(RIGHT(CONCATENATE("000",#REF!),6),3)))</f>
        <v>#REF!</v>
      </c>
      <c r="B31" s="1514" t="e">
        <f>CONCATENATE(LEFT(RIGHT(CONCATENATE("000",#REF!),6),3),"-",(RIGHT(RIGHT(CONCATENATE("000",#REF!),6),3)))</f>
        <v>#REF!</v>
      </c>
    </row>
    <row r="32" spans="1:2" ht="15">
      <c r="A32" s="1514" t="e">
        <f>CONCATENATE(LEFT(RIGHT(CONCATENATE("000",#REF!),6),3),"-",(RIGHT(RIGHT(CONCATENATE("000",#REF!),6),3)))</f>
        <v>#REF!</v>
      </c>
      <c r="B32" s="1514" t="e">
        <f>CONCATENATE(LEFT(RIGHT(CONCATENATE("000",#REF!),6),3),"-",(RIGHT(RIGHT(CONCATENATE("000",#REF!),6),3)))</f>
        <v>#REF!</v>
      </c>
    </row>
    <row r="33" spans="1:2" ht="15">
      <c r="A33" s="1514" t="e">
        <f>CONCATENATE(LEFT(RIGHT(CONCATENATE("000",#REF!),6),3),"-",(RIGHT(RIGHT(CONCATENATE("000",#REF!),6),3)))</f>
        <v>#REF!</v>
      </c>
      <c r="B33" s="1514" t="e">
        <f>CONCATENATE(LEFT(RIGHT(CONCATENATE("000",#REF!),6),3),"-",(RIGHT(RIGHT(CONCATENATE("000",#REF!),6),3)))</f>
        <v>#REF!</v>
      </c>
    </row>
    <row r="34" spans="1:2" ht="15">
      <c r="A34" s="1514" t="e">
        <f>CONCATENATE(LEFT(RIGHT(CONCATENATE("000",#REF!),6),3),"-",(RIGHT(RIGHT(CONCATENATE("000",#REF!),6),3)))</f>
        <v>#REF!</v>
      </c>
      <c r="B34" s="1514" t="e">
        <f>CONCATENATE(LEFT(RIGHT(CONCATENATE("000",#REF!),6),3),"-",(RIGHT(RIGHT(CONCATENATE("000",#REF!),6),3)))</f>
        <v>#REF!</v>
      </c>
    </row>
    <row r="35" spans="1:2" ht="15">
      <c r="A35" s="1514" t="e">
        <f>CONCATENATE(LEFT(RIGHT(CONCATENATE("000",#REF!),6),3),"-",(RIGHT(RIGHT(CONCATENATE("000",#REF!),6),3)))</f>
        <v>#REF!</v>
      </c>
      <c r="B35" s="1514" t="e">
        <f>CONCATENATE(LEFT(RIGHT(CONCATENATE("000",#REF!),6),3),"-",(RIGHT(RIGHT(CONCATENATE("000",#REF!),6),3)))</f>
        <v>#REF!</v>
      </c>
    </row>
    <row r="36" spans="1:2" ht="15">
      <c r="A36" s="1514" t="e">
        <f>CONCATENATE(LEFT(RIGHT(CONCATENATE("000",#REF!),6),3),"-",(RIGHT(RIGHT(CONCATENATE("000",#REF!),6),3)))</f>
        <v>#REF!</v>
      </c>
      <c r="B36" s="1514" t="e">
        <f>CONCATENATE(LEFT(RIGHT(CONCATENATE("000",#REF!),6),3),"-",(RIGHT(RIGHT(CONCATENATE("000",#REF!),6),3)))</f>
        <v>#REF!</v>
      </c>
    </row>
    <row r="37" spans="1:2" ht="15">
      <c r="A37" s="1514" t="e">
        <f>CONCATENATE(LEFT(RIGHT(CONCATENATE("000",#REF!),6),3),"-",(RIGHT(RIGHT(CONCATENATE("000",#REF!),6),3)))</f>
        <v>#REF!</v>
      </c>
      <c r="B37" s="1514" t="e">
        <f>CONCATENATE(LEFT(RIGHT(CONCATENATE("000",#REF!),6),3),"-",(RIGHT(RIGHT(CONCATENATE("000",#REF!),6),3)))</f>
        <v>#REF!</v>
      </c>
    </row>
    <row r="38" spans="1:2" ht="15">
      <c r="A38" s="1514" t="e">
        <f>CONCATENATE(LEFT(RIGHT(CONCATENATE("000",#REF!),6),3),"-",(RIGHT(RIGHT(CONCATENATE("000",#REF!),6),3)))</f>
        <v>#REF!</v>
      </c>
      <c r="B38" s="1514" t="e">
        <f>CONCATENATE(LEFT(RIGHT(CONCATENATE("000",#REF!),6),3),"-",(RIGHT(RIGHT(CONCATENATE("000",#REF!),6),3)))</f>
        <v>#REF!</v>
      </c>
    </row>
    <row r="39" spans="1:2" ht="15">
      <c r="A39" s="1514" t="e">
        <f>CONCATENATE(LEFT(RIGHT(CONCATENATE("000",#REF!),6),3),"-",(RIGHT(RIGHT(CONCATENATE("000",#REF!),6),3)))</f>
        <v>#REF!</v>
      </c>
      <c r="B39" s="1514" t="e">
        <f>CONCATENATE(LEFT(RIGHT(CONCATENATE("000",#REF!),6),3),"-",(RIGHT(RIGHT(CONCATENATE("000",#REF!),6),3)))</f>
        <v>#REF!</v>
      </c>
    </row>
    <row r="40" spans="1:2" ht="15">
      <c r="A40" s="1514" t="e">
        <f>CONCATENATE(LEFT(RIGHT(CONCATENATE("000",#REF!),6),3),"-",(RIGHT(RIGHT(CONCATENATE("000",#REF!),6),3)))</f>
        <v>#REF!</v>
      </c>
      <c r="B40" s="1514" t="e">
        <f>CONCATENATE(LEFT(RIGHT(CONCATENATE("000",#REF!),6),3),"-",(RIGHT(RIGHT(CONCATENATE("000",#REF!),6),3)))</f>
        <v>#REF!</v>
      </c>
    </row>
    <row r="41" spans="1:2" ht="15">
      <c r="A41" s="1514" t="e">
        <f>CONCATENATE(LEFT(RIGHT(CONCATENATE("000",#REF!),6),3),"-",(RIGHT(RIGHT(CONCATENATE("000",#REF!),6),3)))</f>
        <v>#REF!</v>
      </c>
      <c r="B41" s="1514" t="e">
        <f>CONCATENATE(LEFT(RIGHT(CONCATENATE("000",#REF!),6),3),"-",(RIGHT(RIGHT(CONCATENATE("000",#REF!),6),3)))</f>
        <v>#REF!</v>
      </c>
    </row>
    <row r="42" spans="1:2" ht="15">
      <c r="A42" s="1514" t="e">
        <f>CONCATENATE(LEFT(RIGHT(CONCATENATE("000",#REF!),6),3),"-",(RIGHT(RIGHT(CONCATENATE("000",#REF!),6),3)))</f>
        <v>#REF!</v>
      </c>
      <c r="B42" s="1514" t="e">
        <f>CONCATENATE(LEFT(RIGHT(CONCATENATE("000",#REF!),6),3),"-",(RIGHT(RIGHT(CONCATENATE("000",#REF!),6),3)))</f>
        <v>#REF!</v>
      </c>
    </row>
    <row r="43" spans="1:2" ht="15">
      <c r="A43" s="1514" t="e">
        <f>CONCATENATE(LEFT(RIGHT(CONCATENATE("000",#REF!),6),3),"-",(RIGHT(RIGHT(CONCATENATE("000",#REF!),6),3)))</f>
        <v>#REF!</v>
      </c>
      <c r="B43" s="1514" t="e">
        <f>CONCATENATE(LEFT(RIGHT(CONCATENATE("000",#REF!),6),3),"-",(RIGHT(RIGHT(CONCATENATE("000",#REF!),6),3)))</f>
        <v>#REF!</v>
      </c>
    </row>
    <row r="44" spans="1:2" ht="15">
      <c r="A44" s="1514" t="e">
        <f>CONCATENATE(LEFT(RIGHT(CONCATENATE("000",#REF!),6),3),"-",(RIGHT(RIGHT(CONCATENATE("000",#REF!),6),3)))</f>
        <v>#REF!</v>
      </c>
      <c r="B44" s="1514" t="e">
        <f>CONCATENATE(LEFT(RIGHT(CONCATENATE("000",#REF!),6),3),"-",(RIGHT(RIGHT(CONCATENATE("000",#REF!),6),3)))</f>
        <v>#REF!</v>
      </c>
    </row>
    <row r="45" spans="1:2" ht="15">
      <c r="A45" s="1514" t="e">
        <f>CONCATENATE(LEFT(RIGHT(CONCATENATE("000",#REF!),6),3),"-",(RIGHT(RIGHT(CONCATENATE("000",#REF!),6),3)))</f>
        <v>#REF!</v>
      </c>
      <c r="B45" s="1514" t="e">
        <f>CONCATENATE(LEFT(RIGHT(CONCATENATE("000",#REF!),6),3),"-",(RIGHT(RIGHT(CONCATENATE("000",#REF!),6),3)))</f>
        <v>#REF!</v>
      </c>
    </row>
    <row r="46" spans="1:2" ht="15">
      <c r="A46" s="1514" t="e">
        <f>CONCATENATE(LEFT(RIGHT(CONCATENATE("000",#REF!),6),3),"-",(RIGHT(RIGHT(CONCATENATE("000",#REF!),6),3)))</f>
        <v>#REF!</v>
      </c>
      <c r="B46" s="1514" t="e">
        <f>CONCATENATE(LEFT(RIGHT(CONCATENATE("000",#REF!),6),3),"-",(RIGHT(RIGHT(CONCATENATE("000",#REF!),6),3)))</f>
        <v>#REF!</v>
      </c>
    </row>
    <row r="47" spans="1:2" ht="15">
      <c r="A47" s="1514" t="e">
        <f>CONCATENATE(LEFT(RIGHT(CONCATENATE("000",#REF!),6),3),"-",(RIGHT(RIGHT(CONCATENATE("000",#REF!),6),3)))</f>
        <v>#REF!</v>
      </c>
      <c r="B47" s="1514" t="e">
        <f>CONCATENATE(LEFT(RIGHT(CONCATENATE("000",#REF!),6),3),"-",(RIGHT(RIGHT(CONCATENATE("000",#REF!),6),3)))</f>
        <v>#REF!</v>
      </c>
    </row>
    <row r="48" spans="1:2" ht="15">
      <c r="A48" s="1514" t="e">
        <f>CONCATENATE(LEFT(RIGHT(CONCATENATE("000",#REF!),6),3),"-",(RIGHT(RIGHT(CONCATENATE("000",#REF!),6),3)))</f>
        <v>#REF!</v>
      </c>
      <c r="B48" s="1514" t="e">
        <f>CONCATENATE(LEFT(RIGHT(CONCATENATE("000",#REF!),6),3),"-",(RIGHT(RIGHT(CONCATENATE("000",#REF!),6),3)))</f>
        <v>#REF!</v>
      </c>
    </row>
    <row r="49" spans="1:2" ht="15">
      <c r="A49" s="1514" t="e">
        <f>CONCATENATE(LEFT(RIGHT(CONCATENATE("000",#REF!),6),3),"-",(RIGHT(RIGHT(CONCATENATE("000",#REF!),6),3)))</f>
        <v>#REF!</v>
      </c>
      <c r="B49" s="1514" t="e">
        <f>CONCATENATE(LEFT(RIGHT(CONCATENATE("000",#REF!),6),3),"-",(RIGHT(RIGHT(CONCATENATE("000",#REF!),6),3)))</f>
        <v>#REF!</v>
      </c>
    </row>
    <row r="50" spans="1:2" ht="15">
      <c r="A50" s="1514" t="e">
        <f>CONCATENATE(LEFT(RIGHT(CONCATENATE("000",#REF!),6),3),"-",(RIGHT(RIGHT(CONCATENATE("000",#REF!),6),3)))</f>
        <v>#REF!</v>
      </c>
      <c r="B50" s="1514" t="e">
        <f>CONCATENATE(LEFT(RIGHT(CONCATENATE("000",#REF!),6),3),"-",(RIGHT(RIGHT(CONCATENATE("000",#REF!),6),3)))</f>
        <v>#REF!</v>
      </c>
    </row>
    <row r="51" spans="1:2" ht="15">
      <c r="A51" s="1514" t="e">
        <f>CONCATENATE(LEFT(RIGHT(CONCATENATE("000",#REF!),6),3),"-",(RIGHT(RIGHT(CONCATENATE("000",#REF!),6),3)))</f>
        <v>#REF!</v>
      </c>
      <c r="B51" s="1514" t="e">
        <f>CONCATENATE(LEFT(RIGHT(CONCATENATE("000",#REF!),6),3),"-",(RIGHT(RIGHT(CONCATENATE("000",#REF!),6),3)))</f>
        <v>#REF!</v>
      </c>
    </row>
    <row r="52" spans="1:2" ht="15">
      <c r="A52" s="1514" t="e">
        <f>CONCATENATE(LEFT(RIGHT(CONCATENATE("000",#REF!),6),3),"-",(RIGHT(RIGHT(CONCATENATE("000",#REF!),6),3)))</f>
        <v>#REF!</v>
      </c>
      <c r="B52" s="1514" t="e">
        <f>CONCATENATE(LEFT(RIGHT(CONCATENATE("000",#REF!),6),3),"-",(RIGHT(RIGHT(CONCATENATE("000",#REF!),6),3)))</f>
        <v>#REF!</v>
      </c>
    </row>
    <row r="53" spans="1:2" ht="15">
      <c r="A53" s="1514" t="e">
        <f>CONCATENATE(LEFT(RIGHT(CONCATENATE("000",#REF!),6),3),"-",(RIGHT(RIGHT(CONCATENATE("000",#REF!),6),3)))</f>
        <v>#REF!</v>
      </c>
      <c r="B53" s="1514" t="e">
        <f>CONCATENATE(LEFT(RIGHT(CONCATENATE("000",#REF!),6),3),"-",(RIGHT(RIGHT(CONCATENATE("000",#REF!),6),3)))</f>
        <v>#REF!</v>
      </c>
    </row>
    <row r="54" spans="1:2" ht="15">
      <c r="A54" s="1514" t="e">
        <f>CONCATENATE(LEFT(RIGHT(CONCATENATE("000",#REF!),6),3),"-",(RIGHT(RIGHT(CONCATENATE("000",#REF!),6),3)))</f>
        <v>#REF!</v>
      </c>
      <c r="B54" s="1514" t="e">
        <f>CONCATENATE(LEFT(RIGHT(CONCATENATE("000",#REF!),6),3),"-",(RIGHT(RIGHT(CONCATENATE("000",#REF!),6),3)))</f>
        <v>#REF!</v>
      </c>
    </row>
    <row r="55" spans="1:2" ht="15">
      <c r="A55" s="1514" t="e">
        <f>CONCATENATE(LEFT(RIGHT(CONCATENATE("000",#REF!),6),3),"-",(RIGHT(RIGHT(CONCATENATE("000",#REF!),6),3)))</f>
        <v>#REF!</v>
      </c>
      <c r="B55" s="1514" t="e">
        <f>CONCATENATE(LEFT(RIGHT(CONCATENATE("000",#REF!),6),3),"-",(RIGHT(RIGHT(CONCATENATE("000",#REF!),6),3)))</f>
        <v>#REF!</v>
      </c>
    </row>
    <row r="56" spans="1:2" ht="15">
      <c r="A56" s="1514" t="e">
        <f>CONCATENATE(LEFT(RIGHT(CONCATENATE("000",#REF!),6),3),"-",(RIGHT(RIGHT(CONCATENATE("000",#REF!),6),3)))</f>
        <v>#REF!</v>
      </c>
      <c r="B56" s="1514" t="e">
        <f>CONCATENATE(LEFT(RIGHT(CONCATENATE("000",#REF!),6),3),"-",(RIGHT(RIGHT(CONCATENATE("000",#REF!),6),3)))</f>
        <v>#REF!</v>
      </c>
    </row>
    <row r="57" spans="1:2" ht="15">
      <c r="A57" s="1514" t="e">
        <f>CONCATENATE(LEFT(RIGHT(CONCATENATE("000",#REF!),6),3),"-",(RIGHT(RIGHT(CONCATENATE("000",#REF!),6),3)))</f>
        <v>#REF!</v>
      </c>
      <c r="B57" s="1514" t="e">
        <f>CONCATENATE(LEFT(RIGHT(CONCATENATE("000",#REF!),6),3),"-",(RIGHT(RIGHT(CONCATENATE("000",#REF!),6),3)))</f>
        <v>#REF!</v>
      </c>
    </row>
    <row r="58" spans="1:2" ht="15">
      <c r="A58" s="1514" t="e">
        <f>CONCATENATE(LEFT(RIGHT(CONCATENATE("000",#REF!),6),3),"-",(RIGHT(RIGHT(CONCATENATE("000",#REF!),6),3)))</f>
        <v>#REF!</v>
      </c>
      <c r="B58" s="1514" t="e">
        <f>CONCATENATE(LEFT(RIGHT(CONCATENATE("000",#REF!),6),3),"-",(RIGHT(RIGHT(CONCATENATE("000",#REF!),6),3)))</f>
        <v>#REF!</v>
      </c>
    </row>
    <row r="59" spans="1:2" ht="15">
      <c r="A59" s="1514" t="e">
        <f>CONCATENATE(LEFT(RIGHT(CONCATENATE("000",#REF!),6),3),"-",(RIGHT(RIGHT(CONCATENATE("000",#REF!),6),3)))</f>
        <v>#REF!</v>
      </c>
      <c r="B59" s="1514" t="e">
        <f>CONCATENATE(LEFT(RIGHT(CONCATENATE("000",#REF!),6),3),"-",(RIGHT(RIGHT(CONCATENATE("000",#REF!),6),3)))</f>
        <v>#REF!</v>
      </c>
    </row>
    <row r="60" spans="1:2" ht="15">
      <c r="A60" s="1514" t="e">
        <f>CONCATENATE(LEFT(RIGHT(CONCATENATE("000",#REF!),6),3),"-",(RIGHT(RIGHT(CONCATENATE("000",#REF!),6),3)))</f>
        <v>#REF!</v>
      </c>
      <c r="B60" s="1514" t="e">
        <f>CONCATENATE(LEFT(RIGHT(CONCATENATE("000",#REF!),6),3),"-",(RIGHT(RIGHT(CONCATENATE("000",#REF!),6),3)))</f>
        <v>#REF!</v>
      </c>
    </row>
    <row r="61" spans="1:2" ht="15">
      <c r="A61" s="1514" t="e">
        <f>CONCATENATE(LEFT(RIGHT(CONCATENATE("000",#REF!),6),3),"-",(RIGHT(RIGHT(CONCATENATE("000",#REF!),6),3)))</f>
        <v>#REF!</v>
      </c>
      <c r="B61" s="1514" t="e">
        <f>CONCATENATE(LEFT(RIGHT(CONCATENATE("000",#REF!),6),3),"-",(RIGHT(RIGHT(CONCATENATE("000",#REF!),6),3)))</f>
        <v>#REF!</v>
      </c>
    </row>
    <row r="62" spans="1:2" ht="15">
      <c r="A62" s="1514" t="e">
        <f>CONCATENATE(LEFT(RIGHT(CONCATENATE("000",#REF!),6),3),"-",(RIGHT(RIGHT(CONCATENATE("000",#REF!),6),3)))</f>
        <v>#REF!</v>
      </c>
      <c r="B62" s="1514" t="e">
        <f>CONCATENATE(LEFT(RIGHT(CONCATENATE("000",#REF!),6),3),"-",(RIGHT(RIGHT(CONCATENATE("000",#REF!),6),3)))</f>
        <v>#REF!</v>
      </c>
    </row>
    <row r="63" spans="1:2" ht="15">
      <c r="A63" s="1514" t="e">
        <f>CONCATENATE(LEFT(RIGHT(CONCATENATE("000",#REF!),6),3),"-",(RIGHT(RIGHT(CONCATENATE("000",#REF!),6),3)))</f>
        <v>#REF!</v>
      </c>
      <c r="B63" s="1514" t="e">
        <f>CONCATENATE(LEFT(RIGHT(CONCATENATE("000",#REF!),6),3),"-",(RIGHT(RIGHT(CONCATENATE("000",#REF!),6),3)))</f>
        <v>#REF!</v>
      </c>
    </row>
    <row r="64" spans="1:2" ht="15">
      <c r="A64" s="1514" t="e">
        <f>CONCATENATE(LEFT(RIGHT(CONCATENATE("000",#REF!),6),3),"-",(RIGHT(RIGHT(CONCATENATE("000",#REF!),6),3)))</f>
        <v>#REF!</v>
      </c>
      <c r="B64" s="1514" t="e">
        <f>CONCATENATE(LEFT(RIGHT(CONCATENATE("000",#REF!),6),3),"-",(RIGHT(RIGHT(CONCATENATE("000",#REF!),6),3)))</f>
        <v>#REF!</v>
      </c>
    </row>
    <row r="65" spans="1:2" ht="15">
      <c r="A65" s="1514" t="e">
        <f>CONCATENATE(LEFT(RIGHT(CONCATENATE("000",#REF!),6),3),"-",(RIGHT(RIGHT(CONCATENATE("000",#REF!),6),3)))</f>
        <v>#REF!</v>
      </c>
      <c r="B65" s="1514" t="e">
        <f>CONCATENATE(LEFT(RIGHT(CONCATENATE("000",#REF!),6),3),"-",(RIGHT(RIGHT(CONCATENATE("000",#REF!),6),3)))</f>
        <v>#REF!</v>
      </c>
    </row>
    <row r="66" spans="1:2" ht="15">
      <c r="A66" s="1514" t="e">
        <f>CONCATENATE(LEFT(RIGHT(CONCATENATE("000",#REF!),6),3),"-",(RIGHT(RIGHT(CONCATENATE("000",#REF!),6),3)))</f>
        <v>#REF!</v>
      </c>
      <c r="B66" s="1514" t="e">
        <f>CONCATENATE(LEFT(RIGHT(CONCATENATE("000",#REF!),6),3),"-",(RIGHT(RIGHT(CONCATENATE("000",#REF!),6),3)))</f>
        <v>#REF!</v>
      </c>
    </row>
    <row r="67" spans="1:2" ht="15">
      <c r="A67" s="1514" t="e">
        <f>CONCATENATE(LEFT(RIGHT(CONCATENATE("000",#REF!),6),3),"-",(RIGHT(RIGHT(CONCATENATE("000",#REF!),6),3)))</f>
        <v>#REF!</v>
      </c>
      <c r="B67" s="1514" t="e">
        <f>CONCATENATE(LEFT(RIGHT(CONCATENATE("000",#REF!),6),3),"-",(RIGHT(RIGHT(CONCATENATE("000",#REF!),6),3)))</f>
        <v>#REF!</v>
      </c>
    </row>
    <row r="68" spans="1:2" ht="15">
      <c r="A68" s="1514" t="e">
        <f>CONCATENATE(LEFT(RIGHT(CONCATENATE("000",#REF!),6),3),"-",(RIGHT(RIGHT(CONCATENATE("000",#REF!),6),3)))</f>
        <v>#REF!</v>
      </c>
      <c r="B68" s="1514" t="e">
        <f>CONCATENATE(LEFT(RIGHT(CONCATENATE("000",#REF!),6),3),"-",(RIGHT(RIGHT(CONCATENATE("000",#REF!),6),3)))</f>
        <v>#REF!</v>
      </c>
    </row>
    <row r="69" spans="1:2" ht="15">
      <c r="A69" s="1514" t="e">
        <f>CONCATENATE(LEFT(RIGHT(CONCATENATE("000",#REF!),6),3),"-",(RIGHT(RIGHT(CONCATENATE("000",#REF!),6),3)))</f>
        <v>#REF!</v>
      </c>
      <c r="B69" s="1514" t="e">
        <f>CONCATENATE(LEFT(RIGHT(CONCATENATE("000",#REF!),6),3),"-",(RIGHT(RIGHT(CONCATENATE("000",#REF!),6),3)))</f>
        <v>#REF!</v>
      </c>
    </row>
    <row r="70" spans="1:2" ht="15">
      <c r="A70" s="1514" t="e">
        <f>CONCATENATE(LEFT(RIGHT(CONCATENATE("000",#REF!),6),3),"-",(RIGHT(RIGHT(CONCATENATE("000",#REF!),6),3)))</f>
        <v>#REF!</v>
      </c>
      <c r="B70" s="1514" t="e">
        <f>CONCATENATE(LEFT(RIGHT(CONCATENATE("000",#REF!),6),3),"-",(RIGHT(RIGHT(CONCATENATE("000",#REF!),6),3)))</f>
        <v>#REF!</v>
      </c>
    </row>
    <row r="71" spans="1:2" ht="15">
      <c r="A71" s="1514" t="e">
        <f>CONCATENATE(LEFT(RIGHT(CONCATENATE("000",#REF!),6),3),"-",(RIGHT(RIGHT(CONCATENATE("000",#REF!),6),3)))</f>
        <v>#REF!</v>
      </c>
      <c r="B71" s="1514" t="e">
        <f>CONCATENATE(LEFT(RIGHT(CONCATENATE("000",#REF!),6),3),"-",(RIGHT(RIGHT(CONCATENATE("000",#REF!),6),3)))</f>
        <v>#REF!</v>
      </c>
    </row>
    <row r="72" spans="1:2" ht="15">
      <c r="A72" s="1514" t="e">
        <f>CONCATENATE(LEFT(RIGHT(CONCATENATE("000",#REF!),6),3),"-",(RIGHT(RIGHT(CONCATENATE("000",#REF!),6),3)))</f>
        <v>#REF!</v>
      </c>
      <c r="B72" s="1514" t="e">
        <f>CONCATENATE(LEFT(RIGHT(CONCATENATE("000",#REF!),6),3),"-",(RIGHT(RIGHT(CONCATENATE("000",#REF!),6),3)))</f>
        <v>#REF!</v>
      </c>
    </row>
    <row r="73" spans="1:2" ht="15">
      <c r="A73" s="1514" t="e">
        <f>CONCATENATE(LEFT(RIGHT(CONCATENATE("000",#REF!),6),3),"-",(RIGHT(RIGHT(CONCATENATE("000",#REF!),6),3)))</f>
        <v>#REF!</v>
      </c>
      <c r="B73" s="1514" t="e">
        <f>CONCATENATE(LEFT(RIGHT(CONCATENATE("000",#REF!),6),3),"-",(RIGHT(RIGHT(CONCATENATE("000",#REF!),6),3)))</f>
        <v>#REF!</v>
      </c>
    </row>
    <row r="74" spans="1:2" ht="15">
      <c r="A74" s="1514" t="e">
        <f>CONCATENATE(LEFT(RIGHT(CONCATENATE("000",#REF!),6),3),"-",(RIGHT(RIGHT(CONCATENATE("000",#REF!),6),3)))</f>
        <v>#REF!</v>
      </c>
      <c r="B74" s="1514" t="e">
        <f>CONCATENATE(LEFT(RIGHT(CONCATENATE("000",#REF!),6),3),"-",(RIGHT(RIGHT(CONCATENATE("000",#REF!),6),3)))</f>
        <v>#REF!</v>
      </c>
    </row>
    <row r="75" spans="1:2" ht="15">
      <c r="A75" s="1514" t="e">
        <f>CONCATENATE(LEFT(RIGHT(CONCATENATE("000",#REF!),6),3),"-",(RIGHT(RIGHT(CONCATENATE("000",#REF!),6),3)))</f>
        <v>#REF!</v>
      </c>
      <c r="B75" s="1514" t="e">
        <f>CONCATENATE(LEFT(RIGHT(CONCATENATE("000",#REF!),6),3),"-",(RIGHT(RIGHT(CONCATENATE("000",#REF!),6),3)))</f>
        <v>#REF!</v>
      </c>
    </row>
    <row r="76" spans="1:2" ht="15">
      <c r="A76" s="1514" t="e">
        <f>CONCATENATE(LEFT(RIGHT(CONCATENATE("000",#REF!),6),3),"-",(RIGHT(RIGHT(CONCATENATE("000",#REF!),6),3)))</f>
        <v>#REF!</v>
      </c>
      <c r="B76" s="1514" t="e">
        <f>CONCATENATE(LEFT(RIGHT(CONCATENATE("000",#REF!),6),3),"-",(RIGHT(RIGHT(CONCATENATE("000",#REF!),6),3)))</f>
        <v>#REF!</v>
      </c>
    </row>
    <row r="77" spans="1:2" ht="15">
      <c r="A77" s="1514" t="e">
        <f>CONCATENATE(LEFT(RIGHT(CONCATENATE("000",#REF!),6),3),"-",(RIGHT(RIGHT(CONCATENATE("000",#REF!),6),3)))</f>
        <v>#REF!</v>
      </c>
      <c r="B77" s="1514" t="e">
        <f>CONCATENATE(LEFT(RIGHT(CONCATENATE("000",#REF!),6),3),"-",(RIGHT(RIGHT(CONCATENATE("000",#REF!),6),3)))</f>
        <v>#REF!</v>
      </c>
    </row>
    <row r="78" spans="1:2" ht="15">
      <c r="A78" s="1514" t="e">
        <f>CONCATENATE(LEFT(RIGHT(CONCATENATE("000",#REF!),6),3),"-",(RIGHT(RIGHT(CONCATENATE("000",#REF!),6),3)))</f>
        <v>#REF!</v>
      </c>
      <c r="B78" s="1514" t="e">
        <f>CONCATENATE(LEFT(RIGHT(CONCATENATE("000",#REF!),6),3),"-",(RIGHT(RIGHT(CONCATENATE("000",#REF!),6),3)))</f>
        <v>#REF!</v>
      </c>
    </row>
    <row r="79" spans="1:2" ht="15">
      <c r="A79" s="1514" t="e">
        <f>CONCATENATE(LEFT(RIGHT(CONCATENATE("000",#REF!),6),3),"-",(RIGHT(RIGHT(CONCATENATE("000",#REF!),6),3)))</f>
        <v>#REF!</v>
      </c>
      <c r="B79" s="1514" t="e">
        <f>CONCATENATE(LEFT(RIGHT(CONCATENATE("000",#REF!),6),3),"-",(RIGHT(RIGHT(CONCATENATE("000",#REF!),6),3)))</f>
        <v>#REF!</v>
      </c>
    </row>
    <row r="80" spans="1:2" ht="15">
      <c r="A80" s="1514" t="e">
        <f>CONCATENATE(LEFT(RIGHT(CONCATENATE("000",#REF!),6),3),"-",(RIGHT(RIGHT(CONCATENATE("000",#REF!),6),3)))</f>
        <v>#REF!</v>
      </c>
      <c r="B80" s="1514" t="e">
        <f>CONCATENATE(LEFT(RIGHT(CONCATENATE("000",#REF!),6),3),"-",(RIGHT(RIGHT(CONCATENATE("000",#REF!),6),3)))</f>
        <v>#REF!</v>
      </c>
    </row>
    <row r="81" spans="1:2" ht="15">
      <c r="A81" s="1514" t="e">
        <f>CONCATENATE(LEFT(RIGHT(CONCATENATE("000",#REF!),6),3),"-",(RIGHT(RIGHT(CONCATENATE("000",#REF!),6),3)))</f>
        <v>#REF!</v>
      </c>
      <c r="B81" s="1514" t="e">
        <f>CONCATENATE(LEFT(RIGHT(CONCATENATE("000",#REF!),6),3),"-",(RIGHT(RIGHT(CONCATENATE("000",#REF!),6),3)))</f>
        <v>#REF!</v>
      </c>
    </row>
    <row r="82" spans="1:2" ht="15">
      <c r="A82" s="1514" t="e">
        <f>CONCATENATE(LEFT(RIGHT(CONCATENATE("000",#REF!),6),3),"-",(RIGHT(RIGHT(CONCATENATE("000",#REF!),6),3)))</f>
        <v>#REF!</v>
      </c>
      <c r="B82" s="1514" t="e">
        <f>CONCATENATE(LEFT(RIGHT(CONCATENATE("000",#REF!),6),3),"-",(RIGHT(RIGHT(CONCATENATE("000",#REF!),6),3)))</f>
        <v>#REF!</v>
      </c>
    </row>
    <row r="83" spans="1:2" ht="15">
      <c r="A83" s="1514" t="e">
        <f>CONCATENATE(LEFT(RIGHT(CONCATENATE("000",#REF!),6),3),"-",(RIGHT(RIGHT(CONCATENATE("000",#REF!),6),3)))</f>
        <v>#REF!</v>
      </c>
      <c r="B83" s="1514" t="e">
        <f>CONCATENATE(LEFT(RIGHT(CONCATENATE("000",#REF!),6),3),"-",(RIGHT(RIGHT(CONCATENATE("000",#REF!),6),3)))</f>
        <v>#REF!</v>
      </c>
    </row>
    <row r="84" spans="1:2" ht="15">
      <c r="A84" s="1514" t="e">
        <f>CONCATENATE(LEFT(RIGHT(CONCATENATE("000",#REF!),6),3),"-",(RIGHT(RIGHT(CONCATENATE("000",#REF!),6),3)))</f>
        <v>#REF!</v>
      </c>
      <c r="B84" s="1514" t="e">
        <f>CONCATENATE(LEFT(RIGHT(CONCATENATE("000",#REF!),6),3),"-",(RIGHT(RIGHT(CONCATENATE("000",#REF!),6),3)))</f>
        <v>#REF!</v>
      </c>
    </row>
    <row r="85" spans="1:2" ht="15">
      <c r="B85" s="1514" t="e">
        <f>CONCATENATE(LEFT(RIGHT(CONCATENATE("000",#REF!),6),3),"-",(RIGHT(RIGHT(CONCATENATE("000",#REF!),6),3)))</f>
        <v>#REF!</v>
      </c>
    </row>
    <row r="86" spans="1:2" ht="15">
      <c r="B86" s="1514" t="e">
        <f>CONCATENATE(LEFT(RIGHT(CONCATENATE("000",#REF!),6),3),"-",(RIGHT(RIGHT(CONCATENATE("000",#REF!),6),3)))</f>
        <v>#REF!</v>
      </c>
    </row>
    <row r="87" spans="1:2" ht="15">
      <c r="B87" s="1514" t="e">
        <f>CONCATENATE(LEFT(RIGHT(CONCATENATE("000",#REF!),6),3),"-",(RIGHT(RIGHT(CONCATENATE("000",#REF!),6),3)))</f>
        <v>#REF!</v>
      </c>
    </row>
    <row r="88" spans="1:2" ht="15">
      <c r="B88" s="1514" t="e">
        <f>CONCATENATE(LEFT(RIGHT(CONCATENATE("000",#REF!),6),3),"-",(RIGHT(RIGHT(CONCATENATE("000",#REF!),6),3)))</f>
        <v>#REF!</v>
      </c>
    </row>
    <row r="89" spans="1:2" ht="15">
      <c r="B89" s="1514" t="e">
        <f>CONCATENATE(LEFT(RIGHT(CONCATENATE("000",#REF!),6),3),"-",(RIGHT(RIGHT(CONCATENATE("000",#REF!),6),3)))</f>
        <v>#REF!</v>
      </c>
    </row>
    <row r="90" spans="1:2" ht="15">
      <c r="B90" s="1514" t="e">
        <f>CONCATENATE(LEFT(RIGHT(CONCATENATE("000",#REF!),6),3),"-",(RIGHT(RIGHT(CONCATENATE("000",#REF!),6),3)))</f>
        <v>#REF!</v>
      </c>
    </row>
    <row r="91" spans="1:2" ht="15">
      <c r="B91" s="1514" t="e">
        <f>CONCATENATE(LEFT(RIGHT(CONCATENATE("000",#REF!),6),3),"-",(RIGHT(RIGHT(CONCATENATE("000",#REF!),6),3)))</f>
        <v>#REF!</v>
      </c>
    </row>
    <row r="92" spans="1:2" ht="15">
      <c r="B92" s="1514" t="e">
        <f>CONCATENATE(LEFT(RIGHT(CONCATENATE("000",#REF!),6),3),"-",(RIGHT(RIGHT(CONCATENATE("000",#REF!),6),3)))</f>
        <v>#REF!</v>
      </c>
    </row>
    <row r="93" spans="1:2" ht="15">
      <c r="B93" s="1514" t="e">
        <f>CONCATENATE(LEFT(RIGHT(CONCATENATE("000",#REF!),6),3),"-",(RIGHT(RIGHT(CONCATENATE("000",#REF!),6),3)))</f>
        <v>#REF!</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28515625" customWidth="1"/>
    <col min="3" max="3" width="12.85546875" style="1094" customWidth="1"/>
    <col min="4" max="4" width="29.7109375" customWidth="1"/>
    <col min="5" max="5" width="23.28515625" customWidth="1"/>
  </cols>
  <sheetData>
    <row r="1" spans="1:5">
      <c r="A1" s="1074" t="s">
        <v>3411</v>
      </c>
      <c r="B1" s="1074"/>
      <c r="E1" s="1773" t="str">
        <f>'Report-FSF1920'!E1</f>
        <v>84th/85th Legislative Session</v>
      </c>
    </row>
    <row r="2" spans="1:5">
      <c r="A2" s="1074" t="s">
        <v>3412</v>
      </c>
      <c r="B2" s="1074"/>
      <c r="E2" s="98" t="str">
        <f>'Report-FSF1920'!E2</f>
        <v>Release 2</v>
      </c>
    </row>
    <row r="3" spans="1:5">
      <c r="A3" s="89"/>
      <c r="B3" s="89"/>
      <c r="E3" s="82">
        <f>'Report-FSF1920'!E3</f>
        <v>43145</v>
      </c>
    </row>
    <row r="4" spans="1:5" ht="15.75">
      <c r="A4" s="1075" t="s">
        <v>4624</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Weights!L10</f>
        <v>5</v>
      </c>
      <c r="D10" s="1081">
        <f>'Data Entry - SOF'!K20</f>
        <v>0</v>
      </c>
      <c r="E10" s="1086">
        <f>D10*C10</f>
        <v>0</v>
      </c>
    </row>
    <row r="11" spans="1:5" ht="15">
      <c r="A11" s="1079" t="s">
        <v>2502</v>
      </c>
      <c r="B11" s="1080" t="s">
        <v>3187</v>
      </c>
      <c r="C11" s="1096">
        <f>Weights!L11</f>
        <v>3</v>
      </c>
      <c r="D11" s="1081">
        <f>'Data Entry - SOF'!K21</f>
        <v>0</v>
      </c>
      <c r="E11" s="1086">
        <f t="shared" ref="E11:E19" si="0">D11*C11</f>
        <v>0</v>
      </c>
    </row>
    <row r="12" spans="1:5" ht="15">
      <c r="A12" s="1079" t="s">
        <v>2503</v>
      </c>
      <c r="B12" s="1080" t="s">
        <v>3188</v>
      </c>
      <c r="C12" s="1096">
        <f>Weights!L12</f>
        <v>5</v>
      </c>
      <c r="D12" s="1081">
        <f>'Data Entry - SOF'!K22</f>
        <v>0</v>
      </c>
      <c r="E12" s="1086">
        <f t="shared" si="0"/>
        <v>0</v>
      </c>
    </row>
    <row r="13" spans="1:5" ht="15">
      <c r="A13" s="1079" t="s">
        <v>1024</v>
      </c>
      <c r="B13" s="1080" t="s">
        <v>3189</v>
      </c>
      <c r="C13" s="1096">
        <f>Weights!L13</f>
        <v>3</v>
      </c>
      <c r="D13" s="1081">
        <f>'Data Entry - SOF'!K23</f>
        <v>0</v>
      </c>
      <c r="E13" s="1086">
        <f t="shared" si="0"/>
        <v>0</v>
      </c>
    </row>
    <row r="14" spans="1:5" ht="15">
      <c r="A14" s="1113"/>
      <c r="B14" s="1097" t="s">
        <v>3190</v>
      </c>
      <c r="C14" s="1092"/>
      <c r="D14" s="1098"/>
      <c r="E14" s="1101"/>
    </row>
    <row r="15" spans="1:5" ht="15">
      <c r="A15" s="1301" t="s">
        <v>1025</v>
      </c>
      <c r="B15" s="1099" t="s">
        <v>3191</v>
      </c>
      <c r="C15" s="1093">
        <f>Weights!L14</f>
        <v>3</v>
      </c>
      <c r="D15" s="1100">
        <f>'Data Entry - SOF'!K24</f>
        <v>0</v>
      </c>
      <c r="E15" s="1100">
        <f t="shared" si="0"/>
        <v>0</v>
      </c>
    </row>
    <row r="16" spans="1:5" ht="15">
      <c r="A16" s="1079" t="s">
        <v>1027</v>
      </c>
      <c r="B16" s="1080" t="s">
        <v>3192</v>
      </c>
      <c r="C16" s="1096">
        <f>Weights!L15</f>
        <v>2.7</v>
      </c>
      <c r="D16" s="1086">
        <f>'Data Entry - SOF'!K25</f>
        <v>0</v>
      </c>
      <c r="E16" s="1086">
        <f t="shared" si="0"/>
        <v>0</v>
      </c>
    </row>
    <row r="17" spans="1:5" ht="15">
      <c r="A17" s="1079" t="s">
        <v>1028</v>
      </c>
      <c r="B17" s="1080" t="s">
        <v>3193</v>
      </c>
      <c r="C17" s="1096">
        <f>Weights!L16</f>
        <v>2.2999999999999998</v>
      </c>
      <c r="D17" s="1086">
        <f>'Data Entry - SOF'!K26</f>
        <v>0</v>
      </c>
      <c r="E17" s="1086">
        <f t="shared" si="0"/>
        <v>0</v>
      </c>
    </row>
    <row r="18" spans="1:5" ht="15">
      <c r="A18" s="1079" t="s">
        <v>1029</v>
      </c>
      <c r="B18" s="1080" t="s">
        <v>3194</v>
      </c>
      <c r="C18" s="1096">
        <f>Weights!L17</f>
        <v>2.8</v>
      </c>
      <c r="D18" s="1086">
        <f>'Data Entry - SOF'!K27</f>
        <v>0</v>
      </c>
      <c r="E18" s="1086">
        <f t="shared" si="0"/>
        <v>0</v>
      </c>
    </row>
    <row r="19" spans="1:5" ht="15">
      <c r="A19" s="1079" t="s">
        <v>139</v>
      </c>
      <c r="B19" s="1080" t="s">
        <v>3195</v>
      </c>
      <c r="C19" s="1096">
        <f>Weights!L19</f>
        <v>4</v>
      </c>
      <c r="D19" s="1086">
        <f>'Data Entry - SOF'!K29</f>
        <v>0</v>
      </c>
      <c r="E19" s="1086">
        <f t="shared" si="0"/>
        <v>0</v>
      </c>
    </row>
    <row r="20" spans="1:5" ht="15.75">
      <c r="A20" s="1079" t="s">
        <v>140</v>
      </c>
      <c r="B20" s="1080" t="s">
        <v>3201</v>
      </c>
      <c r="C20" s="1096" t="s">
        <v>1994</v>
      </c>
      <c r="D20" s="1086">
        <f>'Calc Data-SB1'!G8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Weights!L18</f>
        <v>1.7</v>
      </c>
      <c r="D22" s="1086">
        <f>'Data Entry - SOF'!K28</f>
        <v>0</v>
      </c>
      <c r="E22" s="1096" t="s">
        <v>1994</v>
      </c>
    </row>
    <row r="23" spans="1:5" ht="15">
      <c r="A23" s="1079" t="s">
        <v>1706</v>
      </c>
      <c r="B23" s="1080" t="s">
        <v>584</v>
      </c>
      <c r="C23" s="1096">
        <f>Weights!L21</f>
        <v>1.1000000000000001</v>
      </c>
      <c r="D23" s="1086">
        <f>'Data Entry - SOF'!K31</f>
        <v>0</v>
      </c>
      <c r="E23" s="1096" t="s">
        <v>1994</v>
      </c>
    </row>
    <row r="24" spans="1:5" s="1076" customFormat="1" ht="15.75">
      <c r="C24" s="1195" t="s">
        <v>3392</v>
      </c>
      <c r="D24" s="1194" t="s">
        <v>4663</v>
      </c>
    </row>
    <row r="25" spans="1:5" s="1076" customFormat="1" ht="15">
      <c r="C25" s="1193"/>
      <c r="D25"/>
    </row>
    <row r="27" spans="1:5" ht="15">
      <c r="A27" s="1102" t="s">
        <v>3585</v>
      </c>
    </row>
  </sheetData>
  <hyperlinks>
    <hyperlink ref="D24" location="'Report-SOF2021'!A1" display="Report-SOF202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heetViews>
  <sheetFormatPr defaultRowHeight="12.75"/>
  <cols>
    <col min="1" max="1" width="3.85546875" customWidth="1"/>
    <col min="2" max="2" width="83.140625" customWidth="1"/>
    <col min="3" max="3" width="24" customWidth="1"/>
  </cols>
  <sheetData>
    <row r="1" spans="1:3">
      <c r="A1" s="1074" t="s">
        <v>3411</v>
      </c>
      <c r="C1" s="1773" t="str">
        <f>'Report-SpEd1920'!E1</f>
        <v>84th/85th Legislative Session</v>
      </c>
    </row>
    <row r="2" spans="1:3">
      <c r="A2" s="1074" t="s">
        <v>3412</v>
      </c>
      <c r="C2" s="98" t="str">
        <f>'Report-SpEd1920'!E2</f>
        <v>Release 2</v>
      </c>
    </row>
    <row r="3" spans="1:3">
      <c r="A3" s="89"/>
      <c r="C3" s="82">
        <f>'Report-SpEd1920'!E3</f>
        <v>43145</v>
      </c>
    </row>
    <row r="4" spans="1:3" ht="15.75">
      <c r="A4" s="1075" t="s">
        <v>4625</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4626</v>
      </c>
      <c r="C11" s="1085">
        <f>'Data Entry - SOF'!K59</f>
        <v>0</v>
      </c>
    </row>
    <row r="12" spans="1:3" ht="15">
      <c r="A12" s="1095" t="s">
        <v>2502</v>
      </c>
      <c r="B12" s="1080" t="s">
        <v>4627</v>
      </c>
      <c r="C12" s="1085">
        <f>IFA!Z79</f>
        <v>0</v>
      </c>
    </row>
    <row r="13" spans="1:3" ht="15">
      <c r="A13" s="1095" t="s">
        <v>2503</v>
      </c>
      <c r="B13" s="1080" t="s">
        <v>4628</v>
      </c>
      <c r="C13" s="1234" t="s">
        <v>3450</v>
      </c>
    </row>
    <row r="14" spans="1:3" ht="15.75">
      <c r="A14" s="1095" t="s">
        <v>1024</v>
      </c>
      <c r="B14" s="1078" t="s">
        <v>4629</v>
      </c>
      <c r="C14" s="1090">
        <f>'Calc Data-SB1'!G47</f>
        <v>0</v>
      </c>
    </row>
    <row r="15" spans="1:3" ht="15">
      <c r="A15" s="1095" t="s">
        <v>1025</v>
      </c>
      <c r="B15" s="1080" t="s">
        <v>4630</v>
      </c>
      <c r="C15" s="1103">
        <f>'Data Entry - SOF'!K58</f>
        <v>0</v>
      </c>
    </row>
    <row r="16" spans="1:3" ht="15">
      <c r="A16" s="1095" t="s">
        <v>1027</v>
      </c>
      <c r="B16" s="1080" t="s">
        <v>3203</v>
      </c>
      <c r="C16" s="1085" t="e">
        <f>'Calc Data-SB1'!G29</f>
        <v>#DIV/0!</v>
      </c>
    </row>
    <row r="17" spans="1:3" ht="15">
      <c r="A17" s="1095" t="s">
        <v>1028</v>
      </c>
      <c r="B17" s="1080" t="s">
        <v>3124</v>
      </c>
      <c r="C17" s="1103">
        <f>'Data Entry - SOF'!C113</f>
        <v>0</v>
      </c>
    </row>
    <row r="18" spans="1:3" ht="15">
      <c r="A18" s="1095" t="s">
        <v>1029</v>
      </c>
      <c r="B18" s="1080" t="s">
        <v>3211</v>
      </c>
      <c r="C18" s="1085" t="e">
        <f>'Calc Data-SB1'!AR32</f>
        <v>#DIV/0!</v>
      </c>
    </row>
    <row r="19" spans="1:3" ht="15">
      <c r="A19" s="1095" t="s">
        <v>139</v>
      </c>
      <c r="B19" s="1080" t="s">
        <v>3204</v>
      </c>
      <c r="C19" s="1103" t="e">
        <f>'Calc Data-SB1'!G35</f>
        <v>#DIV/0!</v>
      </c>
    </row>
    <row r="20" spans="1:3" ht="15">
      <c r="A20" s="1095" t="s">
        <v>140</v>
      </c>
      <c r="B20" s="1080" t="s">
        <v>3205</v>
      </c>
      <c r="C20" s="1085" t="e">
        <f>'Calc Data-SB1'!G34</f>
        <v>#DIV/0!</v>
      </c>
    </row>
    <row r="21" spans="1:3" ht="15">
      <c r="A21" s="1095" t="s">
        <v>141</v>
      </c>
      <c r="B21" s="1080" t="s">
        <v>3206</v>
      </c>
      <c r="C21" s="1085" t="e">
        <f>'Calc Data-SB1'!AR31</f>
        <v>#DIV/0!</v>
      </c>
    </row>
    <row r="22" spans="1:3" ht="15">
      <c r="A22" s="1095" t="s">
        <v>142</v>
      </c>
      <c r="B22" s="1080" t="s">
        <v>3210</v>
      </c>
      <c r="C22" s="1103" t="e">
        <f>'Calc Data-SB1'!G38</f>
        <v>#DIV/0!</v>
      </c>
    </row>
    <row r="23" spans="1:3" s="1076" customFormat="1" ht="15.75">
      <c r="B23" s="1195" t="s">
        <v>3392</v>
      </c>
      <c r="C23" s="1194" t="s">
        <v>4663</v>
      </c>
    </row>
    <row r="26" spans="1:3" ht="15.75">
      <c r="B26" s="961" t="s">
        <v>3452</v>
      </c>
    </row>
    <row r="27" spans="1:3" ht="15.75">
      <c r="B27" s="961" t="s">
        <v>3451</v>
      </c>
    </row>
  </sheetData>
  <sheetProtection sheet="1"/>
  <hyperlinks>
    <hyperlink ref="C23" location="'Report-SOF2021'!A1" display="Report-SOF202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1074" t="s">
        <v>3411</v>
      </c>
      <c r="D1" s="1773" t="str">
        <f>'Report-M&amp;O1920'!C1</f>
        <v>84th/85th Legislative Session</v>
      </c>
    </row>
    <row r="2" spans="1:4">
      <c r="A2" s="1074" t="s">
        <v>3412</v>
      </c>
      <c r="D2" s="98" t="str">
        <f>'Report-M&amp;O1920'!C2</f>
        <v>Release 2</v>
      </c>
    </row>
    <row r="3" spans="1:4">
      <c r="A3" s="89"/>
      <c r="D3" s="82">
        <f>'Report-M&amp;O1920'!C3</f>
        <v>43145</v>
      </c>
    </row>
    <row r="4" spans="1:4" ht="15.75">
      <c r="A4" s="1075" t="s">
        <v>4631</v>
      </c>
    </row>
    <row r="5" spans="1:4" ht="15.75">
      <c r="A5" s="1077">
        <f>'Data Entry - SOF'!B1</f>
        <v>0</v>
      </c>
    </row>
    <row r="6" spans="1:4" ht="15.75">
      <c r="A6" s="1075">
        <f>'Data Entry - SOF'!B2</f>
        <v>0</v>
      </c>
    </row>
    <row r="9" spans="1:4" ht="18">
      <c r="A9" s="880"/>
      <c r="B9" s="1104" t="s">
        <v>1057</v>
      </c>
      <c r="C9" s="1105">
        <f>'Data Entry - SOF'!K109</f>
        <v>0</v>
      </c>
      <c r="D9" s="880"/>
    </row>
    <row r="10" spans="1:4" ht="18">
      <c r="A10" s="880"/>
      <c r="B10" s="1104" t="s">
        <v>3212</v>
      </c>
      <c r="C10" s="1104" t="str">
        <f>'Data Entry - SOF'!K167</f>
        <v>No</v>
      </c>
      <c r="D10" s="880"/>
    </row>
    <row r="11" spans="1:4" ht="18">
      <c r="A11" s="880"/>
      <c r="B11" s="1104" t="s">
        <v>3213</v>
      </c>
      <c r="C11" s="1104" t="str">
        <f>'Data Entry - SOF'!K168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Data-SB1'!AR19</f>
        <v>0</v>
      </c>
    </row>
    <row r="16" spans="1:4" ht="15">
      <c r="A16" s="1079" t="s">
        <v>2502</v>
      </c>
      <c r="B16" s="1080" t="s">
        <v>3216</v>
      </c>
      <c r="C16" s="1080"/>
      <c r="D16" s="1085">
        <f>'Calc Data-SB1'!AR20</f>
        <v>0</v>
      </c>
    </row>
    <row r="17" spans="1:4" ht="15">
      <c r="A17" s="1079" t="s">
        <v>2503</v>
      </c>
      <c r="B17" s="1080" t="s">
        <v>3217</v>
      </c>
      <c r="C17" s="1080"/>
      <c r="D17" s="1106" t="str">
        <f>'Calc Data-SB1'!G49</f>
        <v>N/A</v>
      </c>
    </row>
    <row r="18" spans="1:4" ht="15">
      <c r="A18" s="1079" t="s">
        <v>1024</v>
      </c>
      <c r="B18" s="1080" t="s">
        <v>3218</v>
      </c>
      <c r="C18" s="1080"/>
      <c r="D18" s="1206" t="str">
        <f>'Calc Data-SB1'!G50</f>
        <v>N/A</v>
      </c>
    </row>
    <row r="19" spans="1:4" ht="15">
      <c r="A19" s="1079" t="s">
        <v>1025</v>
      </c>
      <c r="B19" s="1080" t="s">
        <v>3219</v>
      </c>
      <c r="C19" s="1080"/>
      <c r="D19" s="1085">
        <f>'Calc Data-SB1'!AR23</f>
        <v>0</v>
      </c>
    </row>
    <row r="20" spans="1:4" s="1076" customFormat="1" ht="15.75">
      <c r="B20" s="1195" t="s">
        <v>3392</v>
      </c>
      <c r="D20" s="1194" t="s">
        <v>4663</v>
      </c>
    </row>
  </sheetData>
  <sheetProtection sheet="1"/>
  <hyperlinks>
    <hyperlink ref="D20" location="'Report-SOF2021'!A1" display="Report-SOF202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'Report-AA1920'!D1</f>
        <v>84th/85th Legislative Session</v>
      </c>
    </row>
    <row r="2" spans="1:4">
      <c r="A2" s="1074" t="s">
        <v>3412</v>
      </c>
      <c r="D2" s="98" t="str">
        <f>'Report-AA1920'!D2</f>
        <v>Release 2</v>
      </c>
    </row>
    <row r="3" spans="1:4">
      <c r="A3" s="89"/>
      <c r="D3" s="82">
        <f>'Report-AA1920'!D3</f>
        <v>43145</v>
      </c>
    </row>
    <row r="4" spans="1:4" ht="15.75">
      <c r="A4" s="1075" t="s">
        <v>4632</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Weights!L4</f>
        <v>1</v>
      </c>
      <c r="C11" s="1086">
        <f>'Calc Data-SB1'!G10</f>
        <v>0</v>
      </c>
      <c r="D11" s="1085">
        <f>'SOF2021-SB1'!H21</f>
        <v>0</v>
      </c>
    </row>
    <row r="12" spans="1:4" s="1076" customFormat="1" ht="15.75">
      <c r="A12" s="1366" t="s">
        <v>3224</v>
      </c>
      <c r="B12" s="1290"/>
      <c r="C12" s="1290"/>
      <c r="D12" s="1291"/>
    </row>
    <row r="13" spans="1:4" s="1076" customFormat="1" ht="15">
      <c r="A13" s="1080" t="s">
        <v>3110</v>
      </c>
      <c r="B13" s="1106" t="s">
        <v>1994</v>
      </c>
      <c r="C13" s="1086">
        <f>'Calc Data-SB1'!G8</f>
        <v>0</v>
      </c>
      <c r="D13" s="1085">
        <f>'SOF2021-SB1'!H22</f>
        <v>0</v>
      </c>
    </row>
    <row r="14" spans="1:4" s="1076" customFormat="1" ht="15">
      <c r="A14" s="1080" t="s">
        <v>3226</v>
      </c>
      <c r="B14" s="1109">
        <f>Weights!L21</f>
        <v>1.1000000000000001</v>
      </c>
      <c r="C14" s="1086">
        <f>'Data Entry - SOF'!K31</f>
        <v>0</v>
      </c>
      <c r="D14" s="1085">
        <f>'SOF2021-SB1'!H24</f>
        <v>0</v>
      </c>
    </row>
    <row r="15" spans="1:4" s="1076" customFormat="1" ht="15">
      <c r="A15" s="1080" t="s">
        <v>3227</v>
      </c>
      <c r="B15" s="1109">
        <f>Weights!L19</f>
        <v>4</v>
      </c>
      <c r="C15" s="1086">
        <f>'Data Entry - SOF'!K29</f>
        <v>0</v>
      </c>
      <c r="D15" s="1085">
        <f>'SOF2021-SB1'!H25</f>
        <v>0</v>
      </c>
    </row>
    <row r="16" spans="1:4" s="1076" customFormat="1" ht="15">
      <c r="A16" s="1080" t="s">
        <v>3194</v>
      </c>
      <c r="B16" s="1109">
        <f>Weights!L17</f>
        <v>2.8</v>
      </c>
      <c r="C16" s="1086">
        <f>'Data Entry - SOF'!K27</f>
        <v>0</v>
      </c>
      <c r="D16" s="1085">
        <f>'SOF2021-SB1'!H26</f>
        <v>0</v>
      </c>
    </row>
    <row r="17" spans="1:4" s="1076" customFormat="1" ht="15">
      <c r="A17" s="1080" t="s">
        <v>3197</v>
      </c>
      <c r="B17" s="1109">
        <f>Weights!L18</f>
        <v>1.7</v>
      </c>
      <c r="C17" s="1086">
        <f>'Data Entry - SOF'!K28</f>
        <v>0</v>
      </c>
      <c r="D17" s="1085">
        <f>'SOF2021-SB1'!H27</f>
        <v>0</v>
      </c>
    </row>
    <row r="18" spans="1:4" s="1076" customFormat="1" ht="15">
      <c r="A18" s="1097" t="s">
        <v>3228</v>
      </c>
      <c r="B18" s="1097"/>
      <c r="C18" s="1097"/>
      <c r="D18" s="1108"/>
    </row>
    <row r="19" spans="1:4" s="1076" customFormat="1" ht="15">
      <c r="A19" s="1099" t="s">
        <v>3229</v>
      </c>
      <c r="B19" s="1111" t="s">
        <v>1994</v>
      </c>
      <c r="C19" s="1111" t="s">
        <v>1994</v>
      </c>
      <c r="D19" s="1110">
        <f>'SOF2021-SB1'!H28</f>
        <v>0</v>
      </c>
    </row>
    <row r="20" spans="1:4" s="1076" customFormat="1" ht="15">
      <c r="A20" s="1080" t="s">
        <v>3230</v>
      </c>
      <c r="B20" s="1106" t="s">
        <v>1994</v>
      </c>
      <c r="C20" s="1106" t="s">
        <v>1994</v>
      </c>
      <c r="D20" s="1085">
        <f>'SOF2021-SB1'!H132</f>
        <v>0</v>
      </c>
    </row>
    <row r="21" spans="1:4" s="1076" customFormat="1" ht="15.75">
      <c r="A21" s="1366" t="s">
        <v>3233</v>
      </c>
      <c r="B21" s="1290"/>
      <c r="C21" s="1290"/>
      <c r="D21" s="1291"/>
    </row>
    <row r="22" spans="1:4" ht="15">
      <c r="A22" s="1080" t="s">
        <v>3234</v>
      </c>
      <c r="B22" s="1112">
        <f>Weights!L23</f>
        <v>1.35</v>
      </c>
      <c r="C22" s="1086">
        <f>'Data Entry - SOF'!K32</f>
        <v>0</v>
      </c>
      <c r="D22" s="1085">
        <f>'SOF2021-SB1'!H29</f>
        <v>0</v>
      </c>
    </row>
    <row r="23" spans="1:4" ht="15">
      <c r="A23" s="1080" t="s">
        <v>3235</v>
      </c>
      <c r="B23" s="1085">
        <f>Weights!L24</f>
        <v>50</v>
      </c>
      <c r="C23" s="1086">
        <f>'Data Entry - SOF'!K33</f>
        <v>0</v>
      </c>
      <c r="D23" s="1085">
        <f>'SOF2021-SB1'!H30</f>
        <v>0</v>
      </c>
    </row>
    <row r="24" spans="1:4" ht="15">
      <c r="A24" s="1080" t="s">
        <v>3236</v>
      </c>
      <c r="B24" s="1106" t="s">
        <v>1994</v>
      </c>
      <c r="C24" s="1106" t="s">
        <v>1994</v>
      </c>
      <c r="D24" s="1085">
        <f>'SOF2021-SB1'!H133</f>
        <v>0</v>
      </c>
    </row>
    <row r="25" spans="1:4" s="1076" customFormat="1" ht="15.75">
      <c r="A25" s="1366" t="s">
        <v>3237</v>
      </c>
      <c r="B25" s="1290"/>
      <c r="C25" s="1290"/>
      <c r="D25" s="1291"/>
    </row>
    <row r="26" spans="1:4" ht="15">
      <c r="A26" s="1080" t="s">
        <v>3238</v>
      </c>
      <c r="B26" s="1112">
        <f>Weights!L28</f>
        <v>0.12</v>
      </c>
      <c r="C26" s="1086">
        <f>'Data Entry - SOF'!K40</f>
        <v>0</v>
      </c>
      <c r="D26" s="1085">
        <f>'SOF2021-SB1'!H33</f>
        <v>0</v>
      </c>
    </row>
    <row r="27" spans="1:4" ht="15">
      <c r="A27" s="1080" t="s">
        <v>3239</v>
      </c>
      <c r="B27" s="1106" t="s">
        <v>1994</v>
      </c>
      <c r="C27" s="1106" t="s">
        <v>1994</v>
      </c>
      <c r="D27" s="1085">
        <f>'SOF2021-SB1'!H34</f>
        <v>0</v>
      </c>
    </row>
    <row r="28" spans="1:4" ht="15">
      <c r="A28" s="1080" t="s">
        <v>3240</v>
      </c>
      <c r="B28" s="1106" t="s">
        <v>1994</v>
      </c>
      <c r="C28" s="1106" t="s">
        <v>1994</v>
      </c>
      <c r="D28" s="1085">
        <f>'SOF2021-SB1'!H134</f>
        <v>0</v>
      </c>
    </row>
    <row r="29" spans="1:4" s="1076" customFormat="1" ht="15.75">
      <c r="A29" s="1366" t="s">
        <v>3241</v>
      </c>
      <c r="B29" s="1290"/>
      <c r="C29" s="1290"/>
      <c r="D29" s="1291"/>
    </row>
    <row r="30" spans="1:4" ht="15">
      <c r="A30" s="1080" t="s">
        <v>3242</v>
      </c>
      <c r="B30" s="1112">
        <f>Weights!L30</f>
        <v>0.2</v>
      </c>
      <c r="C30" s="1086">
        <f>'Data Entry - SOF'!K36</f>
        <v>0</v>
      </c>
      <c r="D30" s="1085">
        <f>'SOF2021-SB1'!H35</f>
        <v>0</v>
      </c>
    </row>
    <row r="31" spans="1:4" ht="15">
      <c r="A31" s="1080" t="s">
        <v>3475</v>
      </c>
      <c r="B31" s="1112">
        <f>Weights!L31</f>
        <v>2.41</v>
      </c>
      <c r="C31" s="1086">
        <f>'Data Entry - SOF'!K37</f>
        <v>0</v>
      </c>
      <c r="D31" s="1085">
        <f>'SOF2021-SB1'!H36</f>
        <v>0</v>
      </c>
    </row>
    <row r="32" spans="1:4" ht="15">
      <c r="A32" s="1080" t="s">
        <v>3476</v>
      </c>
      <c r="B32" s="1106" t="s">
        <v>1994</v>
      </c>
      <c r="C32" s="1106" t="s">
        <v>1994</v>
      </c>
      <c r="D32" s="1085">
        <f>'SOF2021-SB1'!H135</f>
        <v>0</v>
      </c>
    </row>
    <row r="33" spans="1:4" s="1076" customFormat="1" ht="15.75">
      <c r="A33" s="1366" t="s">
        <v>3243</v>
      </c>
      <c r="B33" s="1290"/>
      <c r="C33" s="1290"/>
      <c r="D33" s="1291"/>
    </row>
    <row r="34" spans="1:4" s="1076" customFormat="1" ht="15">
      <c r="A34" s="1080" t="s">
        <v>2792</v>
      </c>
      <c r="B34" s="1085">
        <f>Weights!L33</f>
        <v>275</v>
      </c>
      <c r="C34" s="1086">
        <f>'Data Entry - SOF'!K18</f>
        <v>0</v>
      </c>
      <c r="D34" s="1085">
        <f>'SOF2021-SB1'!H40</f>
        <v>0</v>
      </c>
    </row>
    <row r="35" spans="1:4" s="1076" customFormat="1" ht="15.75">
      <c r="A35" s="1366" t="s">
        <v>3246</v>
      </c>
      <c r="B35" s="1290"/>
      <c r="C35" s="1290"/>
      <c r="D35" s="1291"/>
    </row>
    <row r="36" spans="1:4" s="1076" customFormat="1" ht="15">
      <c r="A36" s="1080" t="s">
        <v>3244</v>
      </c>
      <c r="B36" s="1112">
        <f>Weights!L26</f>
        <v>0.1</v>
      </c>
      <c r="C36" s="1086">
        <f>'Data Entry - SOF'!K39</f>
        <v>0</v>
      </c>
      <c r="D36" s="1085">
        <f>'SOF2021-SB1'!H39</f>
        <v>0</v>
      </c>
    </row>
    <row r="37" spans="1:4" s="1076" customFormat="1" ht="15.75">
      <c r="A37" s="1366" t="s">
        <v>3245</v>
      </c>
      <c r="B37" s="1290"/>
      <c r="C37" s="1290"/>
      <c r="D37" s="1291"/>
    </row>
    <row r="38" spans="1:4" s="1076" customFormat="1" ht="15">
      <c r="A38" s="1080" t="s">
        <v>3247</v>
      </c>
      <c r="B38" s="1112">
        <f>Weights!L37</f>
        <v>0.1</v>
      </c>
      <c r="C38" s="1086">
        <f>'Data Entry - SOF'!K41</f>
        <v>0</v>
      </c>
      <c r="D38" s="1085">
        <f>'SOF2021-SB1'!H41</f>
        <v>0</v>
      </c>
    </row>
    <row r="39" spans="1:4" s="1076" customFormat="1" ht="15.75">
      <c r="C39" s="1195" t="s">
        <v>3393</v>
      </c>
      <c r="D39" s="1194" t="s">
        <v>4663</v>
      </c>
    </row>
    <row r="41" spans="1:4" ht="15">
      <c r="D41" s="1076"/>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'Report-T1Detail1920'!D1</f>
        <v>84th/85th Legislative Session</v>
      </c>
    </row>
    <row r="2" spans="1:4">
      <c r="A2" s="1074" t="s">
        <v>3412</v>
      </c>
      <c r="C2" s="1074"/>
      <c r="D2" s="98" t="str">
        <f>'Report-T1Detail1920'!D2</f>
        <v>Release 2</v>
      </c>
    </row>
    <row r="3" spans="1:4">
      <c r="A3" s="89"/>
      <c r="C3" s="89"/>
      <c r="D3" s="82">
        <f>'Report-T1Detail1920'!D3</f>
        <v>43145</v>
      </c>
    </row>
    <row r="4" spans="1:4" ht="15.75">
      <c r="A4" s="1075" t="s">
        <v>4633</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Data-SB1'!G25</f>
        <v>#DIV/0!</v>
      </c>
    </row>
    <row r="11" spans="1:4" s="1076" customFormat="1" ht="18">
      <c r="A11" s="1366" t="s">
        <v>3250</v>
      </c>
      <c r="B11" s="1346"/>
      <c r="C11" s="1294"/>
      <c r="D11" s="1291"/>
    </row>
    <row r="12" spans="1:4" s="1076" customFormat="1" ht="15">
      <c r="A12" s="1079" t="s">
        <v>2502</v>
      </c>
      <c r="B12" s="1080" t="s">
        <v>3579</v>
      </c>
      <c r="C12" s="1080"/>
      <c r="D12" s="1085" t="e">
        <f>'Calc Data-SB1'!G34</f>
        <v>#DIV/0!</v>
      </c>
    </row>
    <row r="13" spans="1:4" s="1076" customFormat="1" ht="15">
      <c r="A13" s="1079" t="s">
        <v>2503</v>
      </c>
      <c r="B13" s="1080" t="s">
        <v>7684</v>
      </c>
      <c r="C13" s="1080"/>
      <c r="D13" s="1084" t="e">
        <f>'Calc Data-SB1'!G35</f>
        <v>#DIV/0!</v>
      </c>
    </row>
    <row r="14" spans="1:4" s="1076" customFormat="1" ht="15">
      <c r="A14" s="1079" t="s">
        <v>3592</v>
      </c>
      <c r="B14" s="1080" t="str">
        <f>CONCATENATE("Level 1 Entitlement @ $",Assumptions!G128,"")</f>
        <v>Level 1 Entitlement @ $106.28</v>
      </c>
      <c r="C14" s="1080"/>
      <c r="D14" s="1085" t="e">
        <f>'SOF2021-SB1'!H136</f>
        <v>#DIV/0!</v>
      </c>
    </row>
    <row r="15" spans="1:4" s="1076" customFormat="1" ht="15">
      <c r="A15" s="1079" t="s">
        <v>1025</v>
      </c>
      <c r="B15" s="1080" t="s">
        <v>4634</v>
      </c>
      <c r="C15" s="1080"/>
      <c r="D15" s="1085" t="e">
        <f>'Calc Data-SB1'!G42*-1</f>
        <v>#DIV/0!</v>
      </c>
    </row>
    <row r="16" spans="1:4" s="1076" customFormat="1" ht="15">
      <c r="A16" s="1079" t="s">
        <v>1027</v>
      </c>
      <c r="B16" s="1080" t="str">
        <f>CONCATENATE("GYA ($",Assumptions!G128," * WADA * DTR_1 * 100) - LR")</f>
        <v>GYA ($106.28 * WADA * DTR_1 * 100) - LR</v>
      </c>
      <c r="C16" s="1080"/>
      <c r="D16" s="1085" t="e">
        <f>'SOF2021-SB1'!H52</f>
        <v>#DIV/0!</v>
      </c>
    </row>
    <row r="17" spans="1:4" s="1076" customFormat="1" ht="18">
      <c r="A17" s="1366" t="s">
        <v>3252</v>
      </c>
      <c r="B17" s="1346"/>
      <c r="C17" s="1294"/>
      <c r="D17" s="1291"/>
    </row>
    <row r="18" spans="1:4" s="1076" customFormat="1" ht="15">
      <c r="A18" s="1079" t="s">
        <v>1028</v>
      </c>
      <c r="B18" s="1080" t="s">
        <v>3580</v>
      </c>
      <c r="C18" s="1080"/>
      <c r="D18" s="1085" t="e">
        <f>'Calc Data-SB1'!AR31</f>
        <v>#DIV/0!</v>
      </c>
    </row>
    <row r="19" spans="1:4" s="1076" customFormat="1" ht="15">
      <c r="A19" s="1079" t="s">
        <v>1029</v>
      </c>
      <c r="B19" s="1080" t="s">
        <v>4635</v>
      </c>
      <c r="C19" s="1080"/>
      <c r="D19" s="1084" t="e">
        <f>'Calc Data-SB1'!AR29</f>
        <v>#DIV/0!</v>
      </c>
    </row>
    <row r="20" spans="1:4" s="1076" customFormat="1" ht="15">
      <c r="A20" s="1079" t="s">
        <v>139</v>
      </c>
      <c r="B20" s="1080" t="str">
        <f>CONCATENATE("Level 2 Entitlement @ $",Assumptions!G129,"")</f>
        <v>Level 2 Entitlement @ $31.95</v>
      </c>
      <c r="C20" s="1080"/>
      <c r="D20" s="1085" t="e">
        <f>'SOF2021-SB1'!H137</f>
        <v>#DIV/0!</v>
      </c>
    </row>
    <row r="21" spans="1:4" s="1076" customFormat="1" ht="15">
      <c r="A21" s="1079" t="s">
        <v>140</v>
      </c>
      <c r="B21" s="1080" t="s">
        <v>4636</v>
      </c>
      <c r="C21" s="1080"/>
      <c r="D21" s="1085" t="e">
        <f>'Calc Data-SB1'!AR33*-1</f>
        <v>#DIV/0!</v>
      </c>
    </row>
    <row r="22" spans="1:4" s="1076" customFormat="1" ht="15">
      <c r="A22" s="1079" t="s">
        <v>141</v>
      </c>
      <c r="B22" s="1080" t="str">
        <f>CONCATENATE("GYA ($",Assumptions!G129," * WADA * DTR_1 * 100) - LR")</f>
        <v>GYA ($31.95 * WADA * DTR_1 * 100) - LR</v>
      </c>
      <c r="C22" s="1080"/>
      <c r="D22" s="1085" t="e">
        <f>'SOF2021-SB1'!H53</f>
        <v>#DIV/0!</v>
      </c>
    </row>
    <row r="23" spans="1:4" s="1076" customFormat="1" ht="15.75">
      <c r="A23" s="1079" t="s">
        <v>142</v>
      </c>
      <c r="B23" s="1078" t="s">
        <v>3581</v>
      </c>
      <c r="C23" s="1078"/>
      <c r="D23" s="1090" t="e">
        <f>'SOF2021-SB1'!H54</f>
        <v>#DIV/0!</v>
      </c>
    </row>
    <row r="24" spans="1:4" s="1076" customFormat="1" ht="15.75">
      <c r="B24" s="1195" t="s">
        <v>3392</v>
      </c>
      <c r="D24" s="3408" t="s">
        <v>4663</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c r="D31"/>
    </row>
  </sheetData>
  <hyperlinks>
    <hyperlink ref="D24" location="'Report-SOF2021'!A1" display="'Report-SOF2021'!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1074" t="s">
        <v>3411</v>
      </c>
      <c r="C1" s="1773" t="str">
        <f>'Report-T2Detail1920'!D1</f>
        <v>84th/85th Legislative Session</v>
      </c>
    </row>
    <row r="2" spans="1:3">
      <c r="A2" s="1074" t="s">
        <v>3412</v>
      </c>
      <c r="C2" s="98" t="str">
        <f>'Report-T2Detail1920'!D2</f>
        <v>Release 2</v>
      </c>
    </row>
    <row r="3" spans="1:3">
      <c r="A3" s="89"/>
      <c r="C3" s="82">
        <f>'Report-T2Detail1920'!D3</f>
        <v>43145</v>
      </c>
    </row>
    <row r="4" spans="1:3" ht="15.75">
      <c r="A4" s="1075" t="s">
        <v>7696</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'ASATR-SB1'!M8</f>
        <v>0</v>
      </c>
    </row>
    <row r="12" spans="1:3" s="1076" customFormat="1" ht="15">
      <c r="A12" s="1079" t="s">
        <v>2502</v>
      </c>
      <c r="B12" s="1080" t="s">
        <v>4637</v>
      </c>
      <c r="C12" s="1086" t="e">
        <f>'Calc Data-SB1'!G25</f>
        <v>#DIV/0!</v>
      </c>
    </row>
    <row r="13" spans="1:3" s="1076" customFormat="1" ht="15">
      <c r="A13" s="1079" t="s">
        <v>2503</v>
      </c>
      <c r="B13" s="1080" t="s">
        <v>4638</v>
      </c>
      <c r="C13" s="1085" t="e">
        <f>'ASATR-SB1'!M50</f>
        <v>#DIV/0!</v>
      </c>
    </row>
    <row r="14" spans="1:3" s="1076" customFormat="1" ht="15">
      <c r="A14" s="1079" t="s">
        <v>1024</v>
      </c>
      <c r="B14" s="1080" t="str">
        <f>CONCATENATE("2020-21 Minimum Increase (Line 2 * $120 * ",Weights!L7,")")</f>
        <v>2020-21 Minimum Increase (Line 2 * $120 * 0.9263)</v>
      </c>
      <c r="C14" s="1085" t="e">
        <f>'ASATR-SB1'!M51</f>
        <v>#DIV/0!</v>
      </c>
    </row>
    <row r="15" spans="1:3" s="1076" customFormat="1" ht="15">
      <c r="A15" s="1079" t="s">
        <v>1025</v>
      </c>
      <c r="B15" s="1080" t="s">
        <v>3255</v>
      </c>
      <c r="C15" s="1085">
        <f>'ASATR-SB1'!M13</f>
        <v>0</v>
      </c>
    </row>
    <row r="16" spans="1:3" s="1076" customFormat="1" ht="15">
      <c r="A16" s="1079" t="s">
        <v>1027</v>
      </c>
      <c r="B16" s="1080" t="s">
        <v>7694</v>
      </c>
      <c r="C16" s="1085" t="e">
        <f>'ASATR-SB1'!M14</f>
        <v>#DIV/0!</v>
      </c>
    </row>
    <row r="17" spans="1:4" s="1076" customFormat="1" ht="15">
      <c r="A17" s="1297"/>
      <c r="B17" s="1290"/>
      <c r="C17" s="1291"/>
    </row>
    <row r="18" spans="1:4" s="1076" customFormat="1" ht="15">
      <c r="A18" s="1079" t="s">
        <v>1028</v>
      </c>
      <c r="B18" s="1080" t="s">
        <v>3258</v>
      </c>
      <c r="C18" s="1085">
        <f>'ASATR-SB1'!M15</f>
        <v>0</v>
      </c>
    </row>
    <row r="19" spans="1:4" s="1076" customFormat="1" ht="15">
      <c r="A19" s="1079" t="s">
        <v>1029</v>
      </c>
      <c r="B19" s="1080" t="s">
        <v>3259</v>
      </c>
      <c r="C19" s="1085">
        <f>'ASATR-SB1'!M16</f>
        <v>0</v>
      </c>
    </row>
    <row r="20" spans="1:4" s="1076" customFormat="1" ht="15">
      <c r="A20" s="1079" t="s">
        <v>139</v>
      </c>
      <c r="B20" s="1080" t="str">
        <f>CONCATENATE("2008-09 Educator Salary Increase ($23.63 * 2008-09 WADA * ",Weights!L7,")")</f>
        <v>2008-09 Educator Salary Increase ($23.63 * 2008-09 WADA * 0.9263)</v>
      </c>
      <c r="C20" s="1085">
        <f>'ASATR-SB1'!M18</f>
        <v>0</v>
      </c>
    </row>
    <row r="21" spans="1:4" s="1076" customFormat="1" ht="15.75">
      <c r="A21" s="1079" t="s">
        <v>140</v>
      </c>
      <c r="B21" s="1078" t="s">
        <v>4639</v>
      </c>
      <c r="C21" s="1085" t="e">
        <f>'ASATR-SB1'!M20</f>
        <v>#DIV/0!</v>
      </c>
    </row>
    <row r="22" spans="1:4" s="1076" customFormat="1" ht="15">
      <c r="A22" s="1297"/>
      <c r="B22" s="1290"/>
      <c r="C22" s="1291"/>
    </row>
    <row r="23" spans="1:4" s="1076" customFormat="1" ht="15">
      <c r="A23" s="1079" t="s">
        <v>141</v>
      </c>
      <c r="B23" s="1080" t="s">
        <v>4640</v>
      </c>
      <c r="C23" s="1085">
        <f>'ASATR-SB1'!M37</f>
        <v>0</v>
      </c>
    </row>
    <row r="24" spans="1:4" s="1076" customFormat="1" ht="15">
      <c r="A24" s="1079" t="s">
        <v>142</v>
      </c>
      <c r="B24" s="1080" t="s">
        <v>4641</v>
      </c>
      <c r="C24" s="1085" t="e">
        <f>'ASATR-SB1'!M38</f>
        <v>#DIV/0!</v>
      </c>
    </row>
    <row r="25" spans="1:4" s="1076" customFormat="1" ht="15">
      <c r="A25" s="1079" t="s">
        <v>1706</v>
      </c>
      <c r="B25" t="s">
        <v>7763</v>
      </c>
      <c r="C25" s="1085" t="e">
        <f>'ASATR-SB1'!M39</f>
        <v>#DIV/0!</v>
      </c>
    </row>
    <row r="26" spans="1:4" s="1076" customFormat="1" ht="15">
      <c r="A26" s="1079" t="s">
        <v>6</v>
      </c>
      <c r="B26" s="1080" t="s">
        <v>4642</v>
      </c>
      <c r="C26" s="1085" t="e">
        <f>'ASATR-SB1'!M40</f>
        <v>#DIV/0!</v>
      </c>
    </row>
    <row r="27" spans="1:4" s="1076" customFormat="1" ht="15">
      <c r="A27" s="1297"/>
      <c r="B27" s="1290"/>
      <c r="C27" s="1305"/>
    </row>
    <row r="28" spans="1:4" s="1076" customFormat="1" ht="15.75">
      <c r="A28" s="1113" t="s">
        <v>2551</v>
      </c>
      <c r="B28" s="1097" t="s">
        <v>3448</v>
      </c>
      <c r="C28" s="1090" t="e">
        <f>'ASATR-SB1'!M42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4643</v>
      </c>
      <c r="C31" s="1085" t="e">
        <f>'ASATR-SB1'!M45</f>
        <v>#DIV/0!</v>
      </c>
    </row>
    <row r="32" spans="1:4" s="1076" customFormat="1" ht="15">
      <c r="A32" s="1095" t="s">
        <v>3122</v>
      </c>
      <c r="B32" s="1080" t="s">
        <v>4644</v>
      </c>
      <c r="C32" s="1085" t="e">
        <f>'ASATR-SB1'!M46</f>
        <v>#DIV/0!</v>
      </c>
    </row>
    <row r="33" spans="2:3" s="1076" customFormat="1" ht="15.75">
      <c r="B33" s="1195" t="s">
        <v>3405</v>
      </c>
      <c r="C33" s="3408" t="s">
        <v>4663</v>
      </c>
    </row>
    <row r="34" spans="2:3" s="1076" customFormat="1" ht="15"/>
    <row r="35" spans="2:3" s="1076" customFormat="1" ht="15"/>
    <row r="36" spans="2:3" s="1076" customFormat="1" ht="15"/>
    <row r="37" spans="2:3" s="1076" customFormat="1" ht="15">
      <c r="C37"/>
    </row>
    <row r="38" spans="2:3" s="1076"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57"/>
  <sheetViews>
    <sheetView workbookViewId="0">
      <selection activeCell="H24" sqref="H24"/>
    </sheetView>
  </sheetViews>
  <sheetFormatPr defaultRowHeight="12.75"/>
  <cols>
    <col min="1" max="1" width="4.7109375" customWidth="1"/>
    <col min="2" max="2" width="9.5703125" customWidth="1"/>
    <col min="5" max="7" width="15.85546875" customWidth="1"/>
    <col min="8" max="8" width="14.7109375" customWidth="1"/>
    <col min="9" max="9" width="17.140625" customWidth="1"/>
  </cols>
  <sheetData>
    <row r="1" spans="1:8">
      <c r="A1" s="23" t="s">
        <v>78</v>
      </c>
      <c r="D1" s="84" t="e">
        <f>'Data Entry - SOF'!#REF!</f>
        <v>#REF!</v>
      </c>
      <c r="H1" s="83" t="s">
        <v>557</v>
      </c>
    </row>
    <row r="2" spans="1:8">
      <c r="A2" s="23" t="s">
        <v>1624</v>
      </c>
      <c r="D2" s="86">
        <f>'Data Entry - SOF'!B2</f>
        <v>0</v>
      </c>
      <c r="H2" s="83">
        <f>'Existing Debt'!N2</f>
        <v>0</v>
      </c>
    </row>
    <row r="3" spans="1:8">
      <c r="A3" s="23" t="s">
        <v>164</v>
      </c>
      <c r="D3" s="88">
        <f ca="1">'Data Entry - SOF'!B3</f>
        <v>43146.631174305556</v>
      </c>
      <c r="H3" s="82">
        <f>'Data Entry - SOF'!C3</f>
        <v>0</v>
      </c>
    </row>
    <row r="5" spans="1:8" ht="15.75">
      <c r="C5" s="38" t="s">
        <v>286</v>
      </c>
    </row>
    <row r="6" spans="1:8" ht="15.75">
      <c r="D6" s="38" t="s">
        <v>2708</v>
      </c>
    </row>
    <row r="7" spans="1:8" ht="15.75">
      <c r="C7" s="38"/>
    </row>
    <row r="8" spans="1:8" ht="15.75">
      <c r="A8" s="47" t="s">
        <v>284</v>
      </c>
      <c r="C8" s="38"/>
    </row>
    <row r="9" spans="1:8" ht="15.75">
      <c r="C9" s="38"/>
    </row>
    <row r="10" spans="1:8" ht="15">
      <c r="B10" t="s">
        <v>127</v>
      </c>
      <c r="C10" s="48" t="s">
        <v>1096</v>
      </c>
    </row>
    <row r="11" spans="1:8" ht="15">
      <c r="B11" s="49" t="s">
        <v>1030</v>
      </c>
      <c r="C11" s="48" t="s">
        <v>2709</v>
      </c>
    </row>
    <row r="12" spans="1:8" ht="15">
      <c r="B12" s="49" t="s">
        <v>285</v>
      </c>
      <c r="C12" s="48" t="s">
        <v>2994</v>
      </c>
    </row>
    <row r="13" spans="1:8" ht="15">
      <c r="B13" s="49" t="s">
        <v>1031</v>
      </c>
      <c r="C13" s="48" t="s">
        <v>564</v>
      </c>
    </row>
    <row r="14" spans="1:8" ht="15.75" thickBot="1">
      <c r="A14" s="50"/>
      <c r="B14" s="51"/>
      <c r="C14" s="52"/>
      <c r="D14" s="50"/>
      <c r="E14" s="50"/>
      <c r="F14" s="50"/>
      <c r="G14" s="50"/>
    </row>
    <row r="15" spans="1:8" ht="16.5" thickTop="1">
      <c r="G15" s="39"/>
    </row>
    <row r="16" spans="1:8" ht="15.75">
      <c r="A16" s="46" t="s">
        <v>1157</v>
      </c>
      <c r="B16" s="26"/>
      <c r="C16" s="12"/>
      <c r="D16" s="26"/>
      <c r="E16" s="26"/>
      <c r="F16" s="12"/>
    </row>
    <row r="17" spans="1:8" ht="15.75">
      <c r="A17" s="38"/>
    </row>
    <row r="18" spans="1:8">
      <c r="A18" s="40" t="s">
        <v>2501</v>
      </c>
      <c r="B18" t="s">
        <v>1860</v>
      </c>
      <c r="G18" s="9" t="e">
        <f>'Data Entry - SOF'!#REF!</f>
        <v>#REF!</v>
      </c>
    </row>
    <row r="19" spans="1:8">
      <c r="A19" s="40"/>
      <c r="G19" s="33"/>
    </row>
    <row r="20" spans="1:8">
      <c r="A20" s="53" t="s">
        <v>2502</v>
      </c>
      <c r="B20" t="s">
        <v>565</v>
      </c>
      <c r="G20" s="9" t="e">
        <f>'Data Entry - SOF'!#REF!</f>
        <v>#REF!</v>
      </c>
    </row>
    <row r="21" spans="1:8">
      <c r="A21" s="40"/>
      <c r="G21" s="33"/>
    </row>
    <row r="22" spans="1:8">
      <c r="A22" s="53" t="s">
        <v>2503</v>
      </c>
      <c r="B22" t="s">
        <v>1480</v>
      </c>
      <c r="G22" s="9" t="e">
        <f>VLOOKUP(D2,#REF!,2,FALSE)</f>
        <v>#REF!</v>
      </c>
      <c r="H22" s="9" t="e">
        <f>VLOOKUP(D2,#REF!,4,FALSE)</f>
        <v>#REF!</v>
      </c>
    </row>
    <row r="23" spans="1:8">
      <c r="A23" s="53"/>
      <c r="G23" s="33"/>
    </row>
    <row r="24" spans="1:8">
      <c r="A24" s="53" t="s">
        <v>1024</v>
      </c>
      <c r="B24" t="s">
        <v>1614</v>
      </c>
      <c r="G24" s="9" t="e">
        <f>VLOOKUP(D2,#REF!,3,FALSE)</f>
        <v>#REF!</v>
      </c>
      <c r="H24" s="9" t="e">
        <f>VLOOKUP(D2,#REF!,3,FALSE)</f>
        <v>#REF!</v>
      </c>
    </row>
    <row r="25" spans="1:8" ht="15.75">
      <c r="A25" s="38"/>
    </row>
    <row r="26" spans="1:8">
      <c r="A26" s="53" t="s">
        <v>1025</v>
      </c>
      <c r="B26" t="s">
        <v>566</v>
      </c>
      <c r="G26" s="10" t="e">
        <f>'Data Entry - SOF'!#REF!</f>
        <v>#REF!</v>
      </c>
    </row>
    <row r="27" spans="1:8">
      <c r="A27" s="40"/>
    </row>
    <row r="28" spans="1:8">
      <c r="A28" s="53" t="s">
        <v>1027</v>
      </c>
      <c r="B28" t="s">
        <v>2582</v>
      </c>
      <c r="G28" s="9" t="e">
        <f>'Data Entry - SOF'!#REF!</f>
        <v>#REF!</v>
      </c>
    </row>
    <row r="29" spans="1:8">
      <c r="A29" s="40"/>
    </row>
    <row r="30" spans="1:8" ht="15.75">
      <c r="A30" s="41" t="s">
        <v>1023</v>
      </c>
    </row>
    <row r="31" spans="1:8">
      <c r="A31" s="40"/>
    </row>
    <row r="32" spans="1:8" ht="15.75">
      <c r="A32" s="42" t="s">
        <v>126</v>
      </c>
      <c r="B32" s="26"/>
      <c r="C32" s="26"/>
      <c r="D32" s="12"/>
      <c r="E32" s="35"/>
      <c r="F32" s="35"/>
    </row>
    <row r="33" spans="1:7" ht="15.75">
      <c r="A33" s="41"/>
    </row>
    <row r="34" spans="1:7">
      <c r="A34" s="69" t="s">
        <v>1028</v>
      </c>
      <c r="B34" t="s">
        <v>2720</v>
      </c>
      <c r="G34" s="93" t="e">
        <f>((G20-G22)/(G28/100))</f>
        <v>#REF!</v>
      </c>
    </row>
    <row r="35" spans="1:7">
      <c r="A35" s="69"/>
      <c r="B35" t="s">
        <v>2058</v>
      </c>
    </row>
    <row r="36" spans="1:7">
      <c r="A36" s="69"/>
    </row>
    <row r="37" spans="1:7">
      <c r="A37" s="53" t="s">
        <v>1029</v>
      </c>
      <c r="B37" t="s">
        <v>1909</v>
      </c>
      <c r="G37" s="44" t="e">
        <f>((G18-G24)/35/G26/100)</f>
        <v>#REF!</v>
      </c>
    </row>
    <row r="38" spans="1:7">
      <c r="A38" s="53"/>
      <c r="B38" t="s">
        <v>696</v>
      </c>
    </row>
    <row r="39" spans="1:7">
      <c r="A39" s="69"/>
    </row>
    <row r="40" spans="1:7">
      <c r="A40" s="53" t="s">
        <v>139</v>
      </c>
      <c r="B40" t="s">
        <v>2707</v>
      </c>
      <c r="G40" s="44" t="e">
        <f>IF(MIN(G34,G37)&gt;0.29,0.29,MIN(G34,G37))</f>
        <v>#REF!</v>
      </c>
    </row>
    <row r="41" spans="1:7">
      <c r="A41" s="40"/>
      <c r="G41" s="61"/>
    </row>
    <row r="42" spans="1:7">
      <c r="A42" s="40"/>
      <c r="G42" s="5"/>
    </row>
    <row r="43" spans="1:7" ht="15.75">
      <c r="A43" s="42" t="s">
        <v>1026</v>
      </c>
      <c r="B43" s="26"/>
      <c r="C43" s="12"/>
      <c r="D43" s="12"/>
      <c r="G43" s="5"/>
    </row>
    <row r="44" spans="1:7">
      <c r="A44" s="40"/>
      <c r="G44" s="5"/>
    </row>
    <row r="45" spans="1:7">
      <c r="A45" s="53" t="s">
        <v>140</v>
      </c>
      <c r="B45" t="s">
        <v>69</v>
      </c>
      <c r="G45" s="11" t="e">
        <f>G26*G40*35*100</f>
        <v>#REF!</v>
      </c>
    </row>
    <row r="46" spans="1:7">
      <c r="A46" s="40"/>
      <c r="G46" s="5"/>
    </row>
    <row r="47" spans="1:7">
      <c r="A47" s="53" t="s">
        <v>141</v>
      </c>
      <c r="B47" s="47" t="s">
        <v>1344</v>
      </c>
      <c r="G47" s="11" t="e">
        <f>G40*(G28/100)</f>
        <v>#REF!</v>
      </c>
    </row>
    <row r="48" spans="1:7">
      <c r="A48" s="53"/>
      <c r="B48" s="47" t="s">
        <v>2805</v>
      </c>
      <c r="G48" s="43"/>
    </row>
    <row r="49" spans="1:7">
      <c r="A49" s="53"/>
      <c r="B49" s="47" t="s">
        <v>3028</v>
      </c>
      <c r="G49" s="43"/>
    </row>
    <row r="50" spans="1:7">
      <c r="A50" s="53"/>
      <c r="G50" s="43"/>
    </row>
    <row r="51" spans="1:7">
      <c r="A51" s="53" t="s">
        <v>142</v>
      </c>
      <c r="B51" s="47" t="s">
        <v>857</v>
      </c>
      <c r="G51" s="65" t="e">
        <f>IF(G47&gt;=G45,0,G45-G47)</f>
        <v>#REF!</v>
      </c>
    </row>
    <row r="52" spans="1:7">
      <c r="A52" s="40"/>
      <c r="B52" s="47" t="s">
        <v>870</v>
      </c>
      <c r="G52" s="45"/>
    </row>
    <row r="53" spans="1:7">
      <c r="A53" s="40"/>
      <c r="B53" s="47" t="s">
        <v>1871</v>
      </c>
      <c r="G53" s="45"/>
    </row>
    <row r="55" spans="1:7">
      <c r="B55" t="s">
        <v>1643</v>
      </c>
    </row>
    <row r="56" spans="1:7">
      <c r="B56" t="s">
        <v>1032</v>
      </c>
    </row>
    <row r="57" spans="1:7">
      <c r="B57" t="s">
        <v>2686</v>
      </c>
    </row>
  </sheetData>
  <phoneticPr fontId="0" type="noConversion"/>
  <pageMargins left="0.75" right="0.75" top="1" bottom="1" header="0.5" footer="0.5"/>
  <pageSetup orientation="portrait" r:id="rId1"/>
  <headerFooter alignWithMargins="0"/>
  <rowBreaks count="1" manualBreakCount="1">
    <brk id="41"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'Report-ASATR1920'!C1</f>
        <v>84th/85th Legislative Session</v>
      </c>
    </row>
    <row r="2" spans="1:4" s="1076" customFormat="1" ht="15">
      <c r="A2" s="1074" t="s">
        <v>3412</v>
      </c>
      <c r="D2" s="98" t="str">
        <f>'Report-ASATR1920'!C2</f>
        <v>Release 2</v>
      </c>
    </row>
    <row r="3" spans="1:4" s="1076" customFormat="1" ht="15.75">
      <c r="A3" s="1075"/>
      <c r="D3" s="82">
        <f>'Report-ASATR1920'!C3</f>
        <v>43145</v>
      </c>
    </row>
    <row r="4" spans="1:4" s="1076" customFormat="1" ht="15.75">
      <c r="A4" s="1075" t="s">
        <v>4645</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SOF'!K75</f>
        <v>0</v>
      </c>
    </row>
    <row r="12" spans="1:4" s="1076" customFormat="1" ht="15.75">
      <c r="A12" s="1079" t="s">
        <v>2502</v>
      </c>
      <c r="B12" s="1080" t="s">
        <v>4747</v>
      </c>
      <c r="C12" s="1080"/>
      <c r="D12" s="1233" t="e">
        <f>'HH2021-Calcs'!D26</f>
        <v>#DIV/0!</v>
      </c>
    </row>
    <row r="13" spans="1:4" s="1076" customFormat="1" ht="15">
      <c r="A13" s="1079" t="s">
        <v>2503</v>
      </c>
      <c r="B13" s="1080" t="s">
        <v>3576</v>
      </c>
      <c r="C13" s="1080"/>
      <c r="D13" s="1233">
        <v>0</v>
      </c>
    </row>
    <row r="14" spans="1:4" s="1076" customFormat="1" ht="15.75">
      <c r="A14" s="1079" t="s">
        <v>1024</v>
      </c>
      <c r="B14" s="1689" t="s">
        <v>7762</v>
      </c>
      <c r="C14" s="1080"/>
      <c r="D14" s="1090">
        <v>0</v>
      </c>
    </row>
    <row r="15" spans="1:4" s="1076" customFormat="1" ht="15">
      <c r="A15" s="1079" t="s">
        <v>1025</v>
      </c>
      <c r="B15" s="1080" t="s">
        <v>859</v>
      </c>
      <c r="C15" s="1080"/>
      <c r="D15" s="1085">
        <f>'Data Entry - SOF'!K76</f>
        <v>0</v>
      </c>
    </row>
    <row r="16" spans="1:4" s="1076" customFormat="1" ht="15">
      <c r="A16" s="1079" t="s">
        <v>1027</v>
      </c>
      <c r="B16" s="1080" t="s">
        <v>3397</v>
      </c>
      <c r="C16" s="1080"/>
      <c r="D16" s="1233">
        <f>'Data Entry - SOF'!K78</f>
        <v>0</v>
      </c>
    </row>
    <row r="17" spans="1:5" s="1076" customFormat="1" ht="15">
      <c r="A17" s="1079" t="s">
        <v>1028</v>
      </c>
      <c r="B17" s="1080" t="s">
        <v>3773</v>
      </c>
      <c r="C17" s="1080"/>
      <c r="D17" s="1233">
        <f>'Data Entry - SOF'!K96</f>
        <v>0</v>
      </c>
    </row>
    <row r="18" spans="1:5" s="1076" customFormat="1" ht="15">
      <c r="A18" s="1079" t="s">
        <v>1029</v>
      </c>
      <c r="B18" s="1080" t="s">
        <v>2793</v>
      </c>
      <c r="C18" s="1080"/>
      <c r="D18" s="1085">
        <f>'SOF2021-SB1'!H65</f>
        <v>0</v>
      </c>
    </row>
    <row r="19" spans="1:5" s="1076" customFormat="1" ht="15">
      <c r="A19" s="1079" t="s">
        <v>139</v>
      </c>
      <c r="B19" s="1080" t="s">
        <v>3400</v>
      </c>
      <c r="C19" s="1080"/>
      <c r="D19" s="1233">
        <v>0</v>
      </c>
    </row>
    <row r="20" spans="1:5" s="1076" customFormat="1" ht="15">
      <c r="A20" s="1079" t="s">
        <v>140</v>
      </c>
      <c r="B20" s="1080" t="s">
        <v>3401</v>
      </c>
      <c r="C20" s="1080"/>
      <c r="D20" s="1233">
        <f>'Data Entry - SOF'!K80</f>
        <v>0</v>
      </c>
    </row>
    <row r="21" spans="1:5" s="1076" customFormat="1" ht="15">
      <c r="A21" s="1079" t="s">
        <v>141</v>
      </c>
      <c r="B21" s="1080" t="s">
        <v>3402</v>
      </c>
      <c r="C21" s="1080"/>
      <c r="D21" s="1085" t="e">
        <f>'SOF2021-SB1'!H67</f>
        <v>#DIV/0!</v>
      </c>
    </row>
    <row r="22" spans="1:5" s="1076" customFormat="1" ht="15">
      <c r="A22" s="1079" t="s">
        <v>142</v>
      </c>
      <c r="B22" s="1080" t="s">
        <v>3403</v>
      </c>
      <c r="C22" s="1080"/>
      <c r="D22" s="1085" t="e">
        <f>'SOF2021-SB1'!H66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1080" t="s">
        <v>4426</v>
      </c>
      <c r="C25" s="1080"/>
      <c r="D25" s="1085">
        <v>0</v>
      </c>
      <c r="E25" s="1120" t="s">
        <v>4427</v>
      </c>
    </row>
    <row r="26" spans="1:5" s="1076" customFormat="1" ht="15.75">
      <c r="A26" s="1079" t="s">
        <v>2552</v>
      </c>
      <c r="B26" s="1078" t="s">
        <v>3449</v>
      </c>
      <c r="C26" s="1080"/>
      <c r="D26" s="1090" t="e">
        <f>SUM(D11:D25)</f>
        <v>#DIV/0!</v>
      </c>
    </row>
    <row r="27" spans="1:5" s="1076" customFormat="1" ht="15.75">
      <c r="A27" s="1089"/>
      <c r="B27" s="1195" t="s">
        <v>3392</v>
      </c>
      <c r="D27" s="3408" t="s">
        <v>4663</v>
      </c>
    </row>
    <row r="28" spans="1:5" s="1076" customFormat="1" ht="15">
      <c r="A28" s="1089"/>
    </row>
    <row r="29" spans="1:5" s="1076" customFormat="1" ht="15">
      <c r="A29" s="1089"/>
    </row>
    <row r="30" spans="1:5" s="1076" customFormat="1" ht="15.75">
      <c r="A30" s="1345" t="s">
        <v>4748</v>
      </c>
    </row>
    <row r="31" spans="1:5" s="1076" customFormat="1" ht="15">
      <c r="A31" s="1089"/>
    </row>
    <row r="32" spans="1:5" s="1076" customFormat="1" ht="15">
      <c r="A32" s="1089"/>
    </row>
    <row r="33" spans="1:4" s="1076" customFormat="1" ht="15">
      <c r="A33" s="1089"/>
    </row>
    <row r="34" spans="1:4" s="1076" customFormat="1" ht="15">
      <c r="A34" s="1089"/>
    </row>
    <row r="35" spans="1:4" s="1076" customFormat="1" ht="15">
      <c r="A35" s="1089"/>
    </row>
    <row r="36" spans="1:4" s="1076" customFormat="1" ht="15">
      <c r="A36" s="1089"/>
    </row>
    <row r="37" spans="1:4" s="1076" customFormat="1" ht="15">
      <c r="A37" s="1089"/>
    </row>
    <row r="38" spans="1:4" s="1076" customFormat="1" ht="15">
      <c r="A38" s="1089"/>
    </row>
    <row r="39" spans="1:4" s="1076" customFormat="1" ht="15">
      <c r="A39" s="1089"/>
    </row>
    <row r="40" spans="1:4" s="1076" customFormat="1" ht="15"/>
    <row r="41" spans="1:4" s="1076" customFormat="1" ht="15"/>
    <row r="42" spans="1:4" s="1076" customFormat="1" ht="15"/>
    <row r="43" spans="1:4" s="1076" customFormat="1" ht="15"/>
    <row r="44" spans="1:4" s="1076" customFormat="1" ht="15"/>
    <row r="45" spans="1:4" s="1076" customFormat="1" ht="15"/>
    <row r="46" spans="1:4" s="1076" customFormat="1" ht="15"/>
    <row r="47" spans="1:4" s="1076"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4" t="str">
        <f>'Report-Other1920'!D1</f>
        <v>84th/85th Legislative Session</v>
      </c>
    </row>
    <row r="2" spans="1:4">
      <c r="A2" s="1074" t="s">
        <v>3412</v>
      </c>
      <c r="D2" s="98" t="str">
        <f>'Report-Other1920'!D2</f>
        <v>Release 2</v>
      </c>
    </row>
    <row r="3" spans="1:4">
      <c r="A3" s="89"/>
      <c r="D3" s="82">
        <f>'Report-Other1920'!D3</f>
        <v>43145</v>
      </c>
    </row>
    <row r="4" spans="1:4" ht="15.75">
      <c r="A4" s="1075" t="s">
        <v>4618</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3942</v>
      </c>
      <c r="C11" s="1080"/>
      <c r="D11" s="1085">
        <f>'Data Entry - SOF'!G63</f>
        <v>0</v>
      </c>
    </row>
    <row r="12" spans="1:4" s="1076" customFormat="1" ht="15">
      <c r="A12" s="1079" t="s">
        <v>2502</v>
      </c>
      <c r="B12" s="1080" t="s">
        <v>3943</v>
      </c>
      <c r="C12" s="1080"/>
      <c r="D12" s="1085">
        <f>'Report-EDA1819'!D26</f>
        <v>0</v>
      </c>
    </row>
    <row r="13" spans="1:4" s="1076" customFormat="1" ht="15">
      <c r="A13" s="1079" t="s">
        <v>2503</v>
      </c>
      <c r="B13" s="1080" t="s">
        <v>3944</v>
      </c>
      <c r="C13" s="1080"/>
      <c r="D13" s="1085">
        <f>'Report-IFA1819'!D20</f>
        <v>0</v>
      </c>
    </row>
    <row r="14" spans="1:4" s="1076" customFormat="1" ht="15">
      <c r="A14" s="1079" t="s">
        <v>1024</v>
      </c>
      <c r="B14" s="1080" t="s">
        <v>3945</v>
      </c>
      <c r="C14" s="1080"/>
      <c r="D14" s="1085">
        <f>IF(D11-D12-D13&lt;0,0,D11-D12-D13)</f>
        <v>0</v>
      </c>
    </row>
    <row r="15" spans="1:4" s="1076" customFormat="1" ht="15">
      <c r="A15" s="1079" t="s">
        <v>1025</v>
      </c>
      <c r="B15" s="1080" t="s">
        <v>4619</v>
      </c>
      <c r="C15" s="1080"/>
      <c r="D15" s="1085">
        <f>'Data Entry - SOF'!K73</f>
        <v>0</v>
      </c>
    </row>
    <row r="16" spans="1:4" s="1076" customFormat="1" ht="15">
      <c r="A16" s="1079" t="s">
        <v>1027</v>
      </c>
      <c r="B16" s="1080" t="s">
        <v>4620</v>
      </c>
      <c r="C16" s="1080"/>
      <c r="D16" s="1197">
        <f>'Report-IFA2021'!D37</f>
        <v>0</v>
      </c>
    </row>
    <row r="17" spans="1:4" s="1076" customFormat="1" ht="15">
      <c r="A17" s="1079" t="s">
        <v>1028</v>
      </c>
      <c r="B17" s="1080" t="s">
        <v>4621</v>
      </c>
      <c r="C17" s="1080"/>
      <c r="D17" s="1086">
        <f>'Data Entry - SOF'!K17</f>
        <v>0</v>
      </c>
    </row>
    <row r="18" spans="1:4" s="1076" customFormat="1" ht="15">
      <c r="A18" s="1079" t="s">
        <v>1029</v>
      </c>
      <c r="B18" s="1080" t="s">
        <v>7391</v>
      </c>
      <c r="C18" s="1080"/>
      <c r="D18" s="1085">
        <f>'Data Entry - SOF'!K53</f>
        <v>0</v>
      </c>
    </row>
    <row r="19" spans="1:4" s="1076" customFormat="1" ht="15">
      <c r="A19" s="1079" t="s">
        <v>139</v>
      </c>
      <c r="B19" s="1080" t="s">
        <v>7389</v>
      </c>
      <c r="C19" s="1080"/>
      <c r="D19" s="1085">
        <f>'Data Entry - SOF'!G53</f>
        <v>0</v>
      </c>
    </row>
    <row r="20" spans="1:4" s="1076" customFormat="1" ht="15.75">
      <c r="A20" s="1366" t="s">
        <v>3270</v>
      </c>
      <c r="B20" s="1290"/>
      <c r="C20" s="1291"/>
      <c r="D20" s="1313"/>
    </row>
    <row r="21" spans="1:4" s="1076" customFormat="1" ht="15">
      <c r="A21" s="1113" t="s">
        <v>140</v>
      </c>
      <c r="B21" s="1097" t="s">
        <v>3949</v>
      </c>
      <c r="C21" s="1097"/>
      <c r="D21" s="2082">
        <f>'Existing Debt'!O47</f>
        <v>0</v>
      </c>
    </row>
    <row r="22" spans="1:4" s="1076" customFormat="1" ht="15">
      <c r="A22" s="1091"/>
      <c r="B22" s="1099" t="s">
        <v>3271</v>
      </c>
      <c r="C22" s="1099"/>
      <c r="D22" s="2083"/>
    </row>
    <row r="23" spans="1:4" s="1076" customFormat="1" ht="15">
      <c r="A23" s="1079" t="s">
        <v>141</v>
      </c>
      <c r="B23" s="1080" t="str">
        <f>CONCATENATE("2020-21 Rate Needed for All Eligible Debt ((Line 5 - Line 6) / ",Weights!L50," / Line 7 / 100)")</f>
        <v>2020-21 Rate Needed for All Eligible Debt ((Line 5 - Line 6) / 38 / Line 7 / 100)</v>
      </c>
      <c r="C23" s="1080"/>
      <c r="D23" s="2084">
        <f>'Existing Debt'!O51</f>
        <v>0</v>
      </c>
    </row>
    <row r="24" spans="1:4" s="1076" customFormat="1" ht="15">
      <c r="A24" s="1079" t="s">
        <v>142</v>
      </c>
      <c r="B24" s="1080" t="s">
        <v>4622</v>
      </c>
      <c r="C24" s="1080"/>
      <c r="D24" s="2084">
        <f>'Existing Debt'!O55</f>
        <v>0</v>
      </c>
    </row>
    <row r="25" spans="1:4" s="1076" customFormat="1" ht="15">
      <c r="A25" s="1079" t="s">
        <v>1706</v>
      </c>
      <c r="B25" s="1080" t="str">
        <f>CONCATENATE("State/Local Share of EDA ($",Weights!K50," * Line 7 * Line 12 * 100)")</f>
        <v>State/Local Share of EDA ($38 * Line 7 * Line 12 * 100)</v>
      </c>
      <c r="C25" s="1080"/>
      <c r="D25" s="1197">
        <f>'Existing Debt'!O59</f>
        <v>0</v>
      </c>
    </row>
    <row r="26" spans="1:4" s="1076" customFormat="1" ht="15">
      <c r="A26" s="1079" t="s">
        <v>6</v>
      </c>
      <c r="B26" s="1080" t="s">
        <v>3272</v>
      </c>
      <c r="C26" s="1080"/>
      <c r="D26" s="1197">
        <f>'Existing Debt'!O61</f>
        <v>0</v>
      </c>
    </row>
    <row r="27" spans="1:4" s="1076" customFormat="1" ht="15">
      <c r="A27" s="1079" t="s">
        <v>2551</v>
      </c>
      <c r="B27" s="1080" t="s">
        <v>3273</v>
      </c>
      <c r="C27" s="1080"/>
      <c r="D27" s="1197">
        <f>'Existing Debt'!O70</f>
        <v>0</v>
      </c>
    </row>
    <row r="28" spans="1:4" s="1076" customFormat="1" ht="15.75">
      <c r="A28" s="1079" t="s">
        <v>2552</v>
      </c>
      <c r="B28" s="1078" t="s">
        <v>3274</v>
      </c>
      <c r="C28" s="1080"/>
      <c r="D28" s="1090">
        <f>'Existing Debt'!O74</f>
        <v>0</v>
      </c>
    </row>
    <row r="29" spans="1:4" s="1076" customFormat="1" ht="15.75">
      <c r="B29" s="1195" t="s">
        <v>3392</v>
      </c>
      <c r="D29" s="1194" t="s">
        <v>4663</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7104</v>
      </c>
      <c r="D39" s="2026">
        <f>IF(ISNA('DE1'!J89),0,'DE1'!K89)</f>
        <v>0</v>
      </c>
    </row>
    <row r="40" spans="2:4" ht="15.75">
      <c r="B40" s="961"/>
      <c r="C40" s="1076"/>
      <c r="D40" s="1076"/>
    </row>
    <row r="41" spans="2:4" ht="15.75">
      <c r="B41" s="961" t="s">
        <v>7090</v>
      </c>
      <c r="C41" s="1076"/>
      <c r="D41" s="1076"/>
    </row>
    <row r="42" spans="2:4" ht="15.75">
      <c r="B42" s="1315" t="s">
        <v>7314</v>
      </c>
      <c r="C42" s="1076"/>
      <c r="D42" s="1076"/>
    </row>
    <row r="43" spans="2:4" ht="15.75">
      <c r="B43" s="961" t="s">
        <v>7309</v>
      </c>
    </row>
  </sheetData>
  <hyperlinks>
    <hyperlink ref="D29" location="'Report-SOF2021'!A1" display="Report-SOF202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'Report-EDA1920'!D1</f>
        <v>84th/85th Legislative Session</v>
      </c>
    </row>
    <row r="2" spans="1:5">
      <c r="A2" s="1074" t="s">
        <v>3267</v>
      </c>
      <c r="E2" s="98" t="str">
        <f>'Report-EDA1920'!D2</f>
        <v>Release 2</v>
      </c>
    </row>
    <row r="3" spans="1:5">
      <c r="A3" s="89"/>
      <c r="E3" s="82">
        <f>'Report-EDA1920'!D3</f>
        <v>43145</v>
      </c>
    </row>
    <row r="4" spans="1:5" ht="15.75">
      <c r="A4" s="1075" t="s">
        <v>4623</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IFA!X58</f>
        <v>400</v>
      </c>
      <c r="E12" s="1086">
        <f>D12</f>
        <v>400</v>
      </c>
    </row>
    <row r="13" spans="1:5" s="1076" customFormat="1" ht="15">
      <c r="A13" s="1079" t="s">
        <v>2503</v>
      </c>
      <c r="B13" s="1080" t="s">
        <v>7391</v>
      </c>
      <c r="C13" s="1080"/>
      <c r="D13" s="1085">
        <f>'Report-EDA2021'!D18</f>
        <v>0</v>
      </c>
      <c r="E13" s="1085">
        <f>D13</f>
        <v>0</v>
      </c>
    </row>
    <row r="14" spans="1:5" s="1076" customFormat="1" ht="15">
      <c r="A14" s="1079" t="s">
        <v>1024</v>
      </c>
      <c r="B14" s="1080" t="s">
        <v>3378</v>
      </c>
      <c r="C14" s="1080"/>
      <c r="D14" s="1085">
        <f>IFA!X65</f>
        <v>0</v>
      </c>
      <c r="E14" s="1085">
        <f>IFA!Z65</f>
        <v>0</v>
      </c>
    </row>
    <row r="15" spans="1:5" s="1076" customFormat="1" ht="15">
      <c r="A15" s="1079" t="s">
        <v>1025</v>
      </c>
      <c r="B15" s="1080" t="s">
        <v>3379</v>
      </c>
      <c r="C15" s="1080"/>
      <c r="D15" s="1183">
        <f>IFA!X67</f>
        <v>0</v>
      </c>
      <c r="E15" s="1183">
        <f>IFA!Z67</f>
        <v>0</v>
      </c>
    </row>
    <row r="16" spans="1:5" s="1076" customFormat="1" ht="15">
      <c r="A16" s="1079" t="s">
        <v>1027</v>
      </c>
      <c r="B16" s="1080" t="s">
        <v>3380</v>
      </c>
      <c r="C16" s="1080"/>
      <c r="D16" s="1183">
        <f>IFA!X69</f>
        <v>0</v>
      </c>
      <c r="E16" s="1183">
        <f>IFA!Z69</f>
        <v>0</v>
      </c>
    </row>
    <row r="17" spans="1:5" s="1076" customFormat="1" ht="15">
      <c r="A17" s="1079" t="s">
        <v>1028</v>
      </c>
      <c r="B17" s="1080" t="str">
        <f>CONCATENATE("State's Share of $",Weights!K49," per ADA Yield")</f>
        <v>State's Share of $35 per ADA Yield</v>
      </c>
      <c r="C17" s="1080"/>
      <c r="D17" s="1085">
        <f>IFA!X71</f>
        <v>35</v>
      </c>
      <c r="E17" s="1085">
        <f>IFA!Z71</f>
        <v>35</v>
      </c>
    </row>
    <row r="18" spans="1:5" s="1076" customFormat="1" ht="15">
      <c r="A18" s="1079" t="s">
        <v>1029</v>
      </c>
      <c r="B18" s="1080" t="s">
        <v>3381</v>
      </c>
      <c r="C18" s="1080"/>
      <c r="D18" s="1184">
        <f>IFA!X73</f>
        <v>1</v>
      </c>
      <c r="E18" s="1184">
        <f>IFA!Z73</f>
        <v>1</v>
      </c>
    </row>
    <row r="19" spans="1:5" s="1076" customFormat="1" ht="15">
      <c r="A19" s="1079" t="s">
        <v>139</v>
      </c>
      <c r="B19" s="1080" t="s">
        <v>3382</v>
      </c>
      <c r="C19" s="1080"/>
      <c r="D19" s="1085">
        <f>IFA!X75</f>
        <v>0</v>
      </c>
      <c r="E19" s="1085">
        <f>IFA!Z75</f>
        <v>0</v>
      </c>
    </row>
    <row r="20" spans="1:5" s="1076" customFormat="1" ht="15">
      <c r="A20" s="1079" t="s">
        <v>140</v>
      </c>
      <c r="B20" s="1080" t="s">
        <v>3383</v>
      </c>
      <c r="C20" s="1080"/>
      <c r="D20" s="1085">
        <f>IFA!X79</f>
        <v>0</v>
      </c>
      <c r="E20" s="1085">
        <f>IFA!Z79</f>
        <v>0</v>
      </c>
    </row>
    <row r="21" spans="1:5" s="1076" customFormat="1" ht="15.75">
      <c r="A21" s="1079" t="s">
        <v>141</v>
      </c>
      <c r="B21" s="1078" t="s">
        <v>3384</v>
      </c>
      <c r="C21" s="1080"/>
      <c r="D21" s="1085">
        <f>IFA!X86</f>
        <v>0</v>
      </c>
      <c r="E21" s="1085">
        <f>IFA!Z86</f>
        <v>0</v>
      </c>
    </row>
    <row r="22" spans="1:5" s="1076" customFormat="1" ht="15.75">
      <c r="B22" s="1195" t="s">
        <v>3392</v>
      </c>
      <c r="D22" s="1194" t="s">
        <v>4663</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7104</v>
      </c>
      <c r="E32" s="2026">
        <f>IF(ISNA('DE1'!K89),0,'DE1'!K89)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IFA_Limits!L55</f>
        <v>0</v>
      </c>
      <c r="E37" s="1199">
        <f>IFA_Limits!L56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pans="4:4" s="1076" customFormat="1" ht="15"/>
    <row r="50" spans="4:4" s="1076" customFormat="1" ht="15"/>
    <row r="51" spans="4:4" s="1076" customFormat="1" ht="15">
      <c r="D51"/>
    </row>
  </sheetData>
  <sheetProtection sheet="1"/>
  <hyperlinks>
    <hyperlink ref="D22" location="'Report-SOF2021'!A1" display="Report-SOF202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1074" t="s">
        <v>3593</v>
      </c>
      <c r="E1" s="1773" t="str">
        <f>'Report-IFA1920'!E1</f>
        <v>84th/85th Legislative Session</v>
      </c>
    </row>
    <row r="2" spans="1:5">
      <c r="A2" s="1074" t="s">
        <v>3594</v>
      </c>
      <c r="E2" s="98" t="str">
        <f>'Report-IFA1920'!E2</f>
        <v>Release 2</v>
      </c>
    </row>
    <row r="3" spans="1:5">
      <c r="A3" s="89"/>
      <c r="E3" s="82">
        <f>'Report-IFA1920'!E3</f>
        <v>43145</v>
      </c>
    </row>
    <row r="4" spans="1:5" ht="15.75">
      <c r="A4" s="1075" t="s">
        <v>4646</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SOF'!K84</f>
        <v>0</v>
      </c>
      <c r="D11" s="1080"/>
      <c r="E11" s="1083" t="e">
        <f>'Report-SOF2021'!D67</f>
        <v>#DIV/0!</v>
      </c>
    </row>
    <row r="12" spans="1:5" ht="15">
      <c r="A12" s="1079" t="s">
        <v>2502</v>
      </c>
      <c r="B12" s="1080" t="s">
        <v>3601</v>
      </c>
      <c r="C12" s="1083">
        <f>'Data Entry - SOF'!K85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1194" t="s">
        <v>4663</v>
      </c>
    </row>
    <row r="17" spans="1:5" ht="15.75">
      <c r="A17" s="1076"/>
      <c r="C17" s="1195"/>
      <c r="D17" s="1076"/>
      <c r="E17" s="1076"/>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sheetProtection sheet="1"/>
  <hyperlinks>
    <hyperlink ref="E16" location="'Report-SOF2021'!A1" display="Report-SOF202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703125" customWidth="1"/>
    <col min="2" max="2" width="36.28515625" customWidth="1"/>
    <col min="3" max="3" width="12.85546875" style="1094" customWidth="1"/>
    <col min="4" max="4" width="29.7109375" customWidth="1"/>
    <col min="5" max="5" width="23.28515625" customWidth="1"/>
  </cols>
  <sheetData>
    <row r="1" spans="1:5">
      <c r="A1" s="1074" t="s">
        <v>3411</v>
      </c>
      <c r="B1" s="1074"/>
      <c r="E1" s="1773" t="str">
        <f>'Report-FSF2021'!E1</f>
        <v>84th/85th Legislative Session</v>
      </c>
    </row>
    <row r="2" spans="1:5">
      <c r="A2" s="1074" t="s">
        <v>3412</v>
      </c>
      <c r="B2" s="1074"/>
      <c r="E2" s="98" t="str">
        <f>'Report-FSF2021'!E2</f>
        <v>Release 2</v>
      </c>
    </row>
    <row r="3" spans="1:5">
      <c r="A3" s="89"/>
      <c r="B3" s="89"/>
      <c r="E3" s="82">
        <f>'Data Entry - SOF'!M3</f>
        <v>0</v>
      </c>
    </row>
    <row r="4" spans="1:5" ht="15.75">
      <c r="A4" s="1075" t="s">
        <v>7670</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Weights!M10</f>
        <v>5</v>
      </c>
      <c r="D10" s="1081">
        <f>'Data Entry - SOF'!M20</f>
        <v>0</v>
      </c>
      <c r="E10" s="1086">
        <f>D10*C10</f>
        <v>0</v>
      </c>
    </row>
    <row r="11" spans="1:5" ht="15">
      <c r="A11" s="1079" t="s">
        <v>2502</v>
      </c>
      <c r="B11" s="1080" t="s">
        <v>3187</v>
      </c>
      <c r="C11" s="1096">
        <f>Weights!M11</f>
        <v>3</v>
      </c>
      <c r="D11" s="1081">
        <f>'Data Entry - SOF'!M21</f>
        <v>0</v>
      </c>
      <c r="E11" s="1086">
        <f t="shared" ref="E11:E19" si="0">D11*C11</f>
        <v>0</v>
      </c>
    </row>
    <row r="12" spans="1:5" ht="15">
      <c r="A12" s="1079" t="s">
        <v>2503</v>
      </c>
      <c r="B12" s="1080" t="s">
        <v>3188</v>
      </c>
      <c r="C12" s="1096">
        <f>Weights!M12</f>
        <v>5</v>
      </c>
      <c r="D12" s="1081">
        <f>'Data Entry - SOF'!M22</f>
        <v>0</v>
      </c>
      <c r="E12" s="1086">
        <f t="shared" si="0"/>
        <v>0</v>
      </c>
    </row>
    <row r="13" spans="1:5" ht="15">
      <c r="A13" s="1079" t="s">
        <v>1024</v>
      </c>
      <c r="B13" s="1080" t="s">
        <v>3189</v>
      </c>
      <c r="C13" s="1096">
        <f>Weights!M13</f>
        <v>3</v>
      </c>
      <c r="D13" s="1081">
        <f>'Data Entry - SOF'!M23</f>
        <v>0</v>
      </c>
      <c r="E13" s="1086">
        <f t="shared" si="0"/>
        <v>0</v>
      </c>
    </row>
    <row r="14" spans="1:5" ht="15">
      <c r="A14" s="1113"/>
      <c r="B14" s="1097" t="s">
        <v>3190</v>
      </c>
      <c r="C14" s="1092"/>
      <c r="D14" s="1098"/>
      <c r="E14" s="1101"/>
    </row>
    <row r="15" spans="1:5" ht="15">
      <c r="A15" s="1301" t="s">
        <v>1025</v>
      </c>
      <c r="B15" s="1099" t="s">
        <v>3191</v>
      </c>
      <c r="C15" s="1093">
        <f>Weights!M14</f>
        <v>3</v>
      </c>
      <c r="D15" s="1100">
        <f>'Data Entry - SOF'!M24</f>
        <v>0</v>
      </c>
      <c r="E15" s="1100">
        <f t="shared" si="0"/>
        <v>0</v>
      </c>
    </row>
    <row r="16" spans="1:5" ht="15">
      <c r="A16" s="1079" t="s">
        <v>1027</v>
      </c>
      <c r="B16" s="1080" t="s">
        <v>3192</v>
      </c>
      <c r="C16" s="1096">
        <f>Weights!M15</f>
        <v>2.7</v>
      </c>
      <c r="D16" s="1086">
        <f>'Data Entry - SOF'!M25</f>
        <v>0</v>
      </c>
      <c r="E16" s="1086">
        <f t="shared" si="0"/>
        <v>0</v>
      </c>
    </row>
    <row r="17" spans="1:5" ht="15">
      <c r="A17" s="1079" t="s">
        <v>1028</v>
      </c>
      <c r="B17" s="1080" t="s">
        <v>3193</v>
      </c>
      <c r="C17" s="1096">
        <f>Weights!M16</f>
        <v>2.2999999999999998</v>
      </c>
      <c r="D17" s="1086">
        <f>'Data Entry - SOF'!M26</f>
        <v>0</v>
      </c>
      <c r="E17" s="1086">
        <f t="shared" si="0"/>
        <v>0</v>
      </c>
    </row>
    <row r="18" spans="1:5" ht="15">
      <c r="A18" s="1079" t="s">
        <v>1029</v>
      </c>
      <c r="B18" s="1080" t="s">
        <v>3194</v>
      </c>
      <c r="C18" s="1096">
        <f>Weights!M17</f>
        <v>2.8</v>
      </c>
      <c r="D18" s="1086">
        <f>'Data Entry - SOF'!M27</f>
        <v>0</v>
      </c>
      <c r="E18" s="1086">
        <f t="shared" si="0"/>
        <v>0</v>
      </c>
    </row>
    <row r="19" spans="1:5" ht="15">
      <c r="A19" s="1079" t="s">
        <v>139</v>
      </c>
      <c r="B19" s="1080" t="s">
        <v>3195</v>
      </c>
      <c r="C19" s="1096">
        <f>Weights!M19</f>
        <v>4</v>
      </c>
      <c r="D19" s="1086">
        <f>'Data Entry - SOF'!M29</f>
        <v>0</v>
      </c>
      <c r="E19" s="1086">
        <f t="shared" si="0"/>
        <v>0</v>
      </c>
    </row>
    <row r="20" spans="1:5" ht="15.75">
      <c r="A20" s="1079" t="s">
        <v>140</v>
      </c>
      <c r="B20" s="1080" t="s">
        <v>3201</v>
      </c>
      <c r="C20" s="1096" t="s">
        <v>1994</v>
      </c>
      <c r="D20" s="1086">
        <f>'Calc Data-SB1'!H8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Weights!M18</f>
        <v>1.7</v>
      </c>
      <c r="D22" s="1086">
        <f>'Data Entry - SOF'!M28</f>
        <v>0</v>
      </c>
      <c r="E22" s="1096" t="s">
        <v>1994</v>
      </c>
    </row>
    <row r="23" spans="1:5" ht="15">
      <c r="A23" s="1079" t="s">
        <v>1706</v>
      </c>
      <c r="B23" s="1080" t="s">
        <v>584</v>
      </c>
      <c r="C23" s="1096">
        <f>Weights!M21</f>
        <v>1.1000000000000001</v>
      </c>
      <c r="D23" s="1086">
        <f>'Data Entry - SOF'!M31</f>
        <v>0</v>
      </c>
      <c r="E23" s="1096" t="s">
        <v>1994</v>
      </c>
    </row>
    <row r="24" spans="1:5" s="1076" customFormat="1" ht="15.75">
      <c r="C24" s="1195" t="s">
        <v>3392</v>
      </c>
      <c r="D24" s="3408" t="s">
        <v>7659</v>
      </c>
    </row>
    <row r="25" spans="1:5" s="1076" customFormat="1" ht="15">
      <c r="C25" s="1193"/>
      <c r="D25"/>
    </row>
    <row r="27" spans="1:5" ht="15">
      <c r="A27" s="1102" t="s">
        <v>3585</v>
      </c>
    </row>
  </sheetData>
  <hyperlinks>
    <hyperlink ref="D24" location="'Report-SOF2122'!A1" display="'Report-SOF2122'!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
    </sheetView>
  </sheetViews>
  <sheetFormatPr defaultRowHeight="12.75"/>
  <cols>
    <col min="1" max="1" width="3.85546875" customWidth="1"/>
    <col min="2" max="2" width="83.140625" customWidth="1"/>
    <col min="3" max="3" width="24" customWidth="1"/>
  </cols>
  <sheetData>
    <row r="1" spans="1:3">
      <c r="A1" s="1074" t="s">
        <v>3411</v>
      </c>
      <c r="C1" s="1773" t="str">
        <f>'Report-SpEd1920'!E1</f>
        <v>84th/85th Legislative Session</v>
      </c>
    </row>
    <row r="2" spans="1:3">
      <c r="A2" s="1074" t="s">
        <v>3412</v>
      </c>
      <c r="C2" s="98" t="str">
        <f>'Report-SpEd1920'!E2</f>
        <v>Release 2</v>
      </c>
    </row>
    <row r="3" spans="1:3">
      <c r="A3" s="89"/>
      <c r="C3" s="82">
        <f>'Report-SpEd1920'!E3</f>
        <v>43145</v>
      </c>
    </row>
    <row r="4" spans="1:3" ht="15.75">
      <c r="A4" s="1075" t="s">
        <v>7671</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7672</v>
      </c>
      <c r="C11" s="1085">
        <f>'Data Entry - SOF'!M59</f>
        <v>0</v>
      </c>
    </row>
    <row r="12" spans="1:3" ht="15">
      <c r="A12" s="1095" t="s">
        <v>2502</v>
      </c>
      <c r="B12" s="1080" t="s">
        <v>7673</v>
      </c>
      <c r="C12" s="1085">
        <f>IFA!Z79</f>
        <v>0</v>
      </c>
    </row>
    <row r="13" spans="1:3" ht="15">
      <c r="A13" s="1095" t="s">
        <v>2503</v>
      </c>
      <c r="B13" s="1080" t="s">
        <v>7674</v>
      </c>
      <c r="C13" s="1234" t="s">
        <v>3450</v>
      </c>
    </row>
    <row r="14" spans="1:3" ht="15.75">
      <c r="A14" s="1095" t="s">
        <v>1024</v>
      </c>
      <c r="B14" s="1078" t="s">
        <v>7675</v>
      </c>
      <c r="C14" s="1090">
        <f>'Calc Data-SB1'!H47</f>
        <v>0</v>
      </c>
    </row>
    <row r="15" spans="1:3" ht="15">
      <c r="A15" s="1095" t="s">
        <v>1025</v>
      </c>
      <c r="B15" s="1080" t="s">
        <v>7676</v>
      </c>
      <c r="C15" s="1103">
        <f>'Data Entry - SOF'!M58</f>
        <v>0</v>
      </c>
    </row>
    <row r="16" spans="1:3" ht="15">
      <c r="A16" s="1095" t="s">
        <v>1027</v>
      </c>
      <c r="B16" s="1080" t="s">
        <v>3203</v>
      </c>
      <c r="C16" s="1085" t="e">
        <f>'Calc Data-SB1'!H29</f>
        <v>#DIV/0!</v>
      </c>
    </row>
    <row r="17" spans="1:3" ht="15">
      <c r="A17" s="1095" t="s">
        <v>1028</v>
      </c>
      <c r="B17" s="1080" t="s">
        <v>3124</v>
      </c>
      <c r="C17" s="1103">
        <f>'Data Entry - SOF'!C113</f>
        <v>0</v>
      </c>
    </row>
    <row r="18" spans="1:3" ht="15">
      <c r="A18" s="1095" t="s">
        <v>1029</v>
      </c>
      <c r="B18" s="1080" t="s">
        <v>3211</v>
      </c>
      <c r="C18" s="1085" t="e">
        <f>'Calc Data-SB1'!AW32</f>
        <v>#DIV/0!</v>
      </c>
    </row>
    <row r="19" spans="1:3" ht="15">
      <c r="A19" s="1095" t="s">
        <v>139</v>
      </c>
      <c r="B19" s="1080" t="s">
        <v>3204</v>
      </c>
      <c r="C19" s="1103" t="e">
        <f>'Calc Data-SB1'!H35</f>
        <v>#DIV/0!</v>
      </c>
    </row>
    <row r="20" spans="1:3" ht="15">
      <c r="A20" s="1095" t="s">
        <v>140</v>
      </c>
      <c r="B20" s="1080" t="s">
        <v>3205</v>
      </c>
      <c r="C20" s="1085" t="e">
        <f>'Calc Data-SB1'!H34</f>
        <v>#DIV/0!</v>
      </c>
    </row>
    <row r="21" spans="1:3" ht="15">
      <c r="A21" s="1095" t="s">
        <v>141</v>
      </c>
      <c r="B21" s="1080" t="s">
        <v>3206</v>
      </c>
      <c r="C21" s="1085" t="e">
        <f>'Calc Data-SB1'!AW31</f>
        <v>#DIV/0!</v>
      </c>
    </row>
    <row r="22" spans="1:3" ht="15">
      <c r="A22" s="1095" t="s">
        <v>142</v>
      </c>
      <c r="B22" s="1080" t="s">
        <v>3210</v>
      </c>
      <c r="C22" s="1103" t="e">
        <f>'Calc Data-SB1'!H38</f>
        <v>#DIV/0!</v>
      </c>
    </row>
    <row r="23" spans="1:3" s="1076" customFormat="1" ht="15.75">
      <c r="B23" s="1195" t="s">
        <v>3392</v>
      </c>
      <c r="C23" s="3408" t="s">
        <v>7659</v>
      </c>
    </row>
    <row r="26" spans="1:3" ht="15.75">
      <c r="B26" s="961" t="s">
        <v>3452</v>
      </c>
    </row>
    <row r="27" spans="1:3" ht="15.75">
      <c r="B27" s="961" t="s">
        <v>3451</v>
      </c>
    </row>
  </sheetData>
  <hyperlinks>
    <hyperlink ref="C23" location="'Report-SOF2122'!A1" display="'Report-SOF2122'!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85546875" customWidth="1"/>
    <col min="3" max="3" width="5.7109375" customWidth="1"/>
    <col min="4" max="4" width="23" customWidth="1"/>
  </cols>
  <sheetData>
    <row r="1" spans="1:4">
      <c r="A1" s="1074" t="s">
        <v>3411</v>
      </c>
      <c r="D1" s="1773" t="str">
        <f>'Report-M&amp;O1920'!C1</f>
        <v>84th/85th Legislative Session</v>
      </c>
    </row>
    <row r="2" spans="1:4">
      <c r="A2" s="1074" t="s">
        <v>3412</v>
      </c>
      <c r="D2" s="98" t="str">
        <f>'Report-M&amp;O1920'!C2</f>
        <v>Release 2</v>
      </c>
    </row>
    <row r="3" spans="1:4">
      <c r="A3" s="89"/>
      <c r="D3" s="82">
        <f>'Report-M&amp;O1920'!C3</f>
        <v>43145</v>
      </c>
    </row>
    <row r="4" spans="1:4" ht="15.75">
      <c r="A4" s="1075" t="s">
        <v>7677</v>
      </c>
    </row>
    <row r="5" spans="1:4" ht="15.75">
      <c r="A5" s="1077">
        <f>'Data Entry - SOF'!B1</f>
        <v>0</v>
      </c>
    </row>
    <row r="6" spans="1:4" ht="15.75">
      <c r="A6" s="1075">
        <f>'Data Entry - SOF'!B2</f>
        <v>0</v>
      </c>
    </row>
    <row r="9" spans="1:4" ht="18">
      <c r="A9" s="880"/>
      <c r="B9" s="1104" t="s">
        <v>1057</v>
      </c>
      <c r="C9" s="1105">
        <f>'Data Entry - SOF'!M109</f>
        <v>0</v>
      </c>
      <c r="D9" s="880"/>
    </row>
    <row r="10" spans="1:4" ht="18">
      <c r="A10" s="880"/>
      <c r="B10" s="1104" t="s">
        <v>3212</v>
      </c>
      <c r="C10" s="1104" t="str">
        <f>'Data Entry - SOF'!M167</f>
        <v>No</v>
      </c>
      <c r="D10" s="880"/>
    </row>
    <row r="11" spans="1:4" ht="18">
      <c r="A11" s="880"/>
      <c r="B11" s="1104" t="s">
        <v>3213</v>
      </c>
      <c r="C11" s="1104" t="str">
        <f>'Data Entry - SOF'!M168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Data-SB1'!AW19</f>
        <v>0</v>
      </c>
    </row>
    <row r="16" spans="1:4" ht="15">
      <c r="A16" s="1079" t="s">
        <v>2502</v>
      </c>
      <c r="B16" s="1080" t="s">
        <v>3216</v>
      </c>
      <c r="C16" s="1080"/>
      <c r="D16" s="1085">
        <f>'Calc Data-SB1'!AW20</f>
        <v>0</v>
      </c>
    </row>
    <row r="17" spans="1:4" ht="15">
      <c r="A17" s="1079" t="s">
        <v>2503</v>
      </c>
      <c r="B17" s="1080" t="s">
        <v>3217</v>
      </c>
      <c r="C17" s="1080"/>
      <c r="D17" s="1106" t="str">
        <f>'Calc Data-SB1'!H49</f>
        <v>N/A</v>
      </c>
    </row>
    <row r="18" spans="1:4" ht="15">
      <c r="A18" s="1079" t="s">
        <v>1024</v>
      </c>
      <c r="B18" s="1080" t="s">
        <v>3218</v>
      </c>
      <c r="C18" s="1080"/>
      <c r="D18" s="1206" t="str">
        <f>'Calc Data-SB1'!H50</f>
        <v>N/A</v>
      </c>
    </row>
    <row r="19" spans="1:4" ht="15">
      <c r="A19" s="1079" t="s">
        <v>1025</v>
      </c>
      <c r="B19" s="1080" t="s">
        <v>3219</v>
      </c>
      <c r="C19" s="1080"/>
      <c r="D19" s="1085">
        <f>'Calc Data-SB1'!AW23</f>
        <v>0</v>
      </c>
    </row>
    <row r="20" spans="1:4" s="1076" customFormat="1" ht="15.75">
      <c r="B20" s="1195" t="s">
        <v>3392</v>
      </c>
      <c r="D20" s="3408" t="s">
        <v>7659</v>
      </c>
    </row>
  </sheetData>
  <hyperlinks>
    <hyperlink ref="D20" location="'Report-SOF2122'!A1" display="'Report-SOF2122'!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'Report-AA1920'!D1</f>
        <v>84th/85th Legislative Session</v>
      </c>
    </row>
    <row r="2" spans="1:4">
      <c r="A2" s="1074" t="s">
        <v>3412</v>
      </c>
      <c r="D2" s="98" t="str">
        <f>'Report-AA1920'!D2</f>
        <v>Release 2</v>
      </c>
    </row>
    <row r="3" spans="1:4">
      <c r="A3" s="89"/>
      <c r="D3" s="82">
        <f>'Report-AA1920'!D3</f>
        <v>43145</v>
      </c>
    </row>
    <row r="4" spans="1:4" ht="15.75">
      <c r="A4" s="1075" t="s">
        <v>7678</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Weights!M4</f>
        <v>1</v>
      </c>
      <c r="C11" s="1086">
        <f>'Calc Data-SB1'!H10</f>
        <v>0</v>
      </c>
      <c r="D11" s="1085">
        <f>'SOF2122-SB1'!H21</f>
        <v>0</v>
      </c>
    </row>
    <row r="12" spans="1:4" s="1076" customFormat="1" ht="15.75">
      <c r="A12" s="1366" t="s">
        <v>3224</v>
      </c>
      <c r="B12" s="1290"/>
      <c r="C12" s="1290"/>
      <c r="D12" s="1291"/>
    </row>
    <row r="13" spans="1:4" s="1076" customFormat="1" ht="15">
      <c r="A13" s="1080" t="s">
        <v>3110</v>
      </c>
      <c r="B13" s="1106" t="s">
        <v>1994</v>
      </c>
      <c r="C13" s="1086">
        <f>'Calc Data-SB1'!H8</f>
        <v>0</v>
      </c>
      <c r="D13" s="1085">
        <f>'SOF2122-SB1'!H22</f>
        <v>0</v>
      </c>
    </row>
    <row r="14" spans="1:4" s="1076" customFormat="1" ht="15">
      <c r="A14" s="1080" t="s">
        <v>3226</v>
      </c>
      <c r="B14" s="1109">
        <f>Weights!M21</f>
        <v>1.1000000000000001</v>
      </c>
      <c r="C14" s="1086">
        <f>'Data Entry - SOF'!M31</f>
        <v>0</v>
      </c>
      <c r="D14" s="1085">
        <f>'SOF2122-SB1'!H24</f>
        <v>0</v>
      </c>
    </row>
    <row r="15" spans="1:4" s="1076" customFormat="1" ht="15">
      <c r="A15" s="1080" t="s">
        <v>3227</v>
      </c>
      <c r="B15" s="1109">
        <f>Weights!M19</f>
        <v>4</v>
      </c>
      <c r="C15" s="1086">
        <f>'Data Entry - SOF'!M29</f>
        <v>0</v>
      </c>
      <c r="D15" s="1085">
        <f>'SOF2122-SB1'!H25</f>
        <v>0</v>
      </c>
    </row>
    <row r="16" spans="1:4" s="1076" customFormat="1" ht="15">
      <c r="A16" s="1080" t="s">
        <v>3194</v>
      </c>
      <c r="B16" s="1109">
        <f>Weights!M17</f>
        <v>2.8</v>
      </c>
      <c r="C16" s="1086">
        <f>'Data Entry - SOF'!M27</f>
        <v>0</v>
      </c>
      <c r="D16" s="1085">
        <f>'SOF2122-SB1'!H26</f>
        <v>0</v>
      </c>
    </row>
    <row r="17" spans="1:4" s="1076" customFormat="1" ht="15">
      <c r="A17" s="1080" t="s">
        <v>3197</v>
      </c>
      <c r="B17" s="1109">
        <f>Weights!M18</f>
        <v>1.7</v>
      </c>
      <c r="C17" s="1086">
        <f>'Data Entry - SOF'!M28</f>
        <v>0</v>
      </c>
      <c r="D17" s="1085">
        <f>'SOF2122-SB1'!H27</f>
        <v>0</v>
      </c>
    </row>
    <row r="18" spans="1:4" s="1076" customFormat="1" ht="15">
      <c r="A18" s="1097" t="s">
        <v>3228</v>
      </c>
      <c r="B18" s="1097"/>
      <c r="C18" s="1097"/>
      <c r="D18" s="1108"/>
    </row>
    <row r="19" spans="1:4" s="1076" customFormat="1" ht="15">
      <c r="A19" s="1099" t="s">
        <v>3229</v>
      </c>
      <c r="B19" s="1111" t="s">
        <v>1994</v>
      </c>
      <c r="C19" s="1111" t="s">
        <v>1994</v>
      </c>
      <c r="D19" s="1110">
        <f>'SOF2122-SB1'!H28</f>
        <v>0</v>
      </c>
    </row>
    <row r="20" spans="1:4" s="1076" customFormat="1" ht="15">
      <c r="A20" s="1080" t="s">
        <v>3230</v>
      </c>
      <c r="B20" s="1106" t="s">
        <v>1994</v>
      </c>
      <c r="C20" s="1106" t="s">
        <v>1994</v>
      </c>
      <c r="D20" s="1085">
        <f>'SOF2122-SB1'!H132</f>
        <v>0</v>
      </c>
    </row>
    <row r="21" spans="1:4" s="1076" customFormat="1" ht="15.75">
      <c r="A21" s="1366" t="s">
        <v>3233</v>
      </c>
      <c r="B21" s="1290"/>
      <c r="C21" s="1290"/>
      <c r="D21" s="1291"/>
    </row>
    <row r="22" spans="1:4" ht="15">
      <c r="A22" s="1080" t="s">
        <v>3234</v>
      </c>
      <c r="B22" s="1112">
        <f>Weights!M23</f>
        <v>1.35</v>
      </c>
      <c r="C22" s="1086">
        <f>'Data Entry - SOF'!M32</f>
        <v>0</v>
      </c>
      <c r="D22" s="1085">
        <f>'SOF2122-SB1'!H29</f>
        <v>0</v>
      </c>
    </row>
    <row r="23" spans="1:4" ht="15">
      <c r="A23" s="1080" t="s">
        <v>3235</v>
      </c>
      <c r="B23" s="1085">
        <f>Weights!M24</f>
        <v>50</v>
      </c>
      <c r="C23" s="1086">
        <f>'Data Entry - SOF'!M33</f>
        <v>0</v>
      </c>
      <c r="D23" s="1085">
        <f>'SOF2122-SB1'!H30</f>
        <v>0</v>
      </c>
    </row>
    <row r="24" spans="1:4" ht="15">
      <c r="A24" s="1080" t="s">
        <v>3236</v>
      </c>
      <c r="B24" s="1106" t="s">
        <v>1994</v>
      </c>
      <c r="C24" s="1106" t="s">
        <v>1994</v>
      </c>
      <c r="D24" s="1085">
        <f>'SOF2122-SB1'!H133</f>
        <v>0</v>
      </c>
    </row>
    <row r="25" spans="1:4" s="1076" customFormat="1" ht="15.75">
      <c r="A25" s="1366" t="s">
        <v>3237</v>
      </c>
      <c r="B25" s="1290"/>
      <c r="C25" s="1290"/>
      <c r="D25" s="1291"/>
    </row>
    <row r="26" spans="1:4" ht="15">
      <c r="A26" s="1080" t="s">
        <v>3238</v>
      </c>
      <c r="B26" s="1112">
        <f>Weights!M28</f>
        <v>0.12</v>
      </c>
      <c r="C26" s="1086">
        <f>'Data Entry - SOF'!M40</f>
        <v>0</v>
      </c>
      <c r="D26" s="1085">
        <f>'SOF2122-SB1'!H33</f>
        <v>0</v>
      </c>
    </row>
    <row r="27" spans="1:4" ht="15">
      <c r="A27" s="1080" t="s">
        <v>3239</v>
      </c>
      <c r="B27" s="1106" t="s">
        <v>1994</v>
      </c>
      <c r="C27" s="1106" t="s">
        <v>1994</v>
      </c>
      <c r="D27" s="1085">
        <f>'SOF2122-SB1'!H34</f>
        <v>0</v>
      </c>
    </row>
    <row r="28" spans="1:4" ht="15">
      <c r="A28" s="1080" t="s">
        <v>3240</v>
      </c>
      <c r="B28" s="1106" t="s">
        <v>1994</v>
      </c>
      <c r="C28" s="1106" t="s">
        <v>1994</v>
      </c>
      <c r="D28" s="1085">
        <f>'SOF2122-SB1'!H134</f>
        <v>0</v>
      </c>
    </row>
    <row r="29" spans="1:4" s="1076" customFormat="1" ht="15.75">
      <c r="A29" s="1366" t="s">
        <v>3241</v>
      </c>
      <c r="B29" s="1290"/>
      <c r="C29" s="1290"/>
      <c r="D29" s="1291"/>
    </row>
    <row r="30" spans="1:4" ht="15">
      <c r="A30" s="1080" t="s">
        <v>3242</v>
      </c>
      <c r="B30" s="1112">
        <f>Weights!M30</f>
        <v>0.2</v>
      </c>
      <c r="C30" s="1086">
        <f>'Data Entry - SOF'!M36</f>
        <v>0</v>
      </c>
      <c r="D30" s="1085">
        <f>'SOF2122-SB1'!H35</f>
        <v>0</v>
      </c>
    </row>
    <row r="31" spans="1:4" ht="15">
      <c r="A31" s="1080" t="s">
        <v>3475</v>
      </c>
      <c r="B31" s="1112">
        <f>Weights!M31</f>
        <v>2.41</v>
      </c>
      <c r="C31" s="1086">
        <f>'Data Entry - SOF'!M37</f>
        <v>0</v>
      </c>
      <c r="D31" s="1085">
        <f>'SOF2122-SB1'!H36</f>
        <v>0</v>
      </c>
    </row>
    <row r="32" spans="1:4" ht="15">
      <c r="A32" s="1080" t="s">
        <v>3476</v>
      </c>
      <c r="B32" s="1106" t="s">
        <v>1994</v>
      </c>
      <c r="C32" s="1106" t="s">
        <v>1994</v>
      </c>
      <c r="D32" s="1085">
        <f>'SOF2122-SB1'!H135</f>
        <v>0</v>
      </c>
    </row>
    <row r="33" spans="1:4" s="1076" customFormat="1" ht="15.75">
      <c r="A33" s="1366" t="s">
        <v>3243</v>
      </c>
      <c r="B33" s="1290"/>
      <c r="C33" s="1290"/>
      <c r="D33" s="1291"/>
    </row>
    <row r="34" spans="1:4" s="1076" customFormat="1" ht="15">
      <c r="A34" s="1080" t="s">
        <v>2792</v>
      </c>
      <c r="B34" s="1085">
        <f>Weights!M33</f>
        <v>275</v>
      </c>
      <c r="C34" s="1086">
        <f>'Data Entry - SOF'!M18</f>
        <v>0</v>
      </c>
      <c r="D34" s="1085">
        <f>'SOF2122-SB1'!H40</f>
        <v>0</v>
      </c>
    </row>
    <row r="35" spans="1:4" s="1076" customFormat="1" ht="15.75">
      <c r="A35" s="1366" t="s">
        <v>3246</v>
      </c>
      <c r="B35" s="1290"/>
      <c r="C35" s="1290"/>
      <c r="D35" s="1291"/>
    </row>
    <row r="36" spans="1:4" s="1076" customFormat="1" ht="15">
      <c r="A36" s="1080" t="s">
        <v>3244</v>
      </c>
      <c r="B36" s="1112">
        <f>Weights!M26</f>
        <v>0.1</v>
      </c>
      <c r="C36" s="1086">
        <f>'Data Entry - SOF'!M39</f>
        <v>0</v>
      </c>
      <c r="D36" s="1085">
        <f>'SOF2122-SB1'!H39</f>
        <v>0</v>
      </c>
    </row>
    <row r="37" spans="1:4" s="1076" customFormat="1" ht="15.75">
      <c r="A37" s="1366" t="s">
        <v>3245</v>
      </c>
      <c r="B37" s="1290"/>
      <c r="C37" s="1290"/>
      <c r="D37" s="1291"/>
    </row>
    <row r="38" spans="1:4" s="1076" customFormat="1" ht="15">
      <c r="A38" s="1080" t="s">
        <v>3247</v>
      </c>
      <c r="B38" s="1112">
        <f>Weights!M37</f>
        <v>0.1</v>
      </c>
      <c r="C38" s="1086">
        <f>'Data Entry - SOF'!M41</f>
        <v>0</v>
      </c>
      <c r="D38" s="1085">
        <f>'SOF2122-SB1'!H41</f>
        <v>0</v>
      </c>
    </row>
    <row r="39" spans="1:4" s="1076" customFormat="1" ht="15.75">
      <c r="C39" s="1195" t="s">
        <v>3393</v>
      </c>
      <c r="D39" s="4106" t="s">
        <v>7994</v>
      </c>
    </row>
    <row r="41" spans="1:4" ht="15">
      <c r="D41" s="1076"/>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c r="D46"/>
    </row>
  </sheetData>
  <hyperlinks>
    <hyperlink ref="D39" location="'Report-SOF2223'!A1" display="'Report-SOF2223'!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'Report-T1Detail1920'!D1</f>
        <v>84th/85th Legislative Session</v>
      </c>
    </row>
    <row r="2" spans="1:4">
      <c r="A2" s="1074" t="s">
        <v>3412</v>
      </c>
      <c r="C2" s="1074"/>
      <c r="D2" s="98" t="str">
        <f>'Report-T1Detail1920'!D2</f>
        <v>Release 2</v>
      </c>
    </row>
    <row r="3" spans="1:4">
      <c r="A3" s="89"/>
      <c r="C3" s="89"/>
      <c r="D3" s="82">
        <f>'Report-T1Detail1920'!D3</f>
        <v>43145</v>
      </c>
    </row>
    <row r="4" spans="1:4" ht="15.75">
      <c r="A4" s="1075" t="s">
        <v>7679</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Data-SB1'!H25</f>
        <v>#DIV/0!</v>
      </c>
    </row>
    <row r="11" spans="1:4" s="1076" customFormat="1" ht="18">
      <c r="A11" s="1366" t="s">
        <v>3250</v>
      </c>
      <c r="B11" s="1346"/>
      <c r="C11" s="1294"/>
      <c r="D11" s="1291"/>
    </row>
    <row r="12" spans="1:4" s="1076" customFormat="1" ht="15">
      <c r="A12" s="1079" t="s">
        <v>2502</v>
      </c>
      <c r="B12" s="1080" t="s">
        <v>3579</v>
      </c>
      <c r="C12" s="1080"/>
      <c r="D12" s="1085" t="e">
        <f>'Calc Data-SB1'!H34</f>
        <v>#DIV/0!</v>
      </c>
    </row>
    <row r="13" spans="1:4" s="1076" customFormat="1" ht="15">
      <c r="A13" s="1079" t="s">
        <v>2503</v>
      </c>
      <c r="B13" s="1080" t="s">
        <v>7680</v>
      </c>
      <c r="C13" s="1080"/>
      <c r="D13" s="1084" t="e">
        <f>'Calc Data-SB1'!H35</f>
        <v>#DIV/0!</v>
      </c>
    </row>
    <row r="14" spans="1:4" s="1076" customFormat="1" ht="15">
      <c r="A14" s="1079" t="s">
        <v>3592</v>
      </c>
      <c r="B14" s="1080" t="str">
        <f>CONCATENATE("Level 1 Entitlement @ $",Assumptions!G137,"")</f>
        <v>Level 1 Entitlement @ $106.28</v>
      </c>
      <c r="C14" s="1080"/>
      <c r="D14" s="1085" t="e">
        <f>'SOF2122-SB1'!H136</f>
        <v>#DIV/0!</v>
      </c>
    </row>
    <row r="15" spans="1:4" s="1076" customFormat="1" ht="15">
      <c r="A15" s="1079" t="s">
        <v>1025</v>
      </c>
      <c r="B15" s="1080" t="s">
        <v>7681</v>
      </c>
      <c r="C15" s="1080"/>
      <c r="D15" s="1085" t="e">
        <f>'Calc Data-SB1'!H42*-1</f>
        <v>#DIV/0!</v>
      </c>
    </row>
    <row r="16" spans="1:4" s="1076" customFormat="1" ht="15">
      <c r="A16" s="1079" t="s">
        <v>1027</v>
      </c>
      <c r="B16" s="1080" t="str">
        <f>CONCATENATE("GYA ($",Assumptions!G137," * WADA * DTR_1 * 100) - LR")</f>
        <v>GYA ($106.28 * WADA * DTR_1 * 100) - LR</v>
      </c>
      <c r="C16" s="1080"/>
      <c r="D16" s="1085" t="e">
        <f>'SOF2122-SB1'!H52</f>
        <v>#DIV/0!</v>
      </c>
    </row>
    <row r="17" spans="1:4" s="1076" customFormat="1" ht="18">
      <c r="A17" s="1366" t="s">
        <v>3252</v>
      </c>
      <c r="B17" s="1346"/>
      <c r="C17" s="1294"/>
      <c r="D17" s="1291"/>
    </row>
    <row r="18" spans="1:4" s="1076" customFormat="1" ht="15">
      <c r="A18" s="1079" t="s">
        <v>1028</v>
      </c>
      <c r="B18" s="1080" t="s">
        <v>3580</v>
      </c>
      <c r="C18" s="1080"/>
      <c r="D18" s="1085" t="e">
        <f>'Calc Data-SB1'!AW31</f>
        <v>#DIV/0!</v>
      </c>
    </row>
    <row r="19" spans="1:4" s="1076" customFormat="1" ht="15">
      <c r="A19" s="1079" t="s">
        <v>1029</v>
      </c>
      <c r="B19" s="1080" t="s">
        <v>7682</v>
      </c>
      <c r="C19" s="1080"/>
      <c r="D19" s="1084" t="e">
        <f>'Calc Data-SB1'!AW29</f>
        <v>#DIV/0!</v>
      </c>
    </row>
    <row r="20" spans="1:4" s="1076" customFormat="1" ht="15">
      <c r="A20" s="1079" t="s">
        <v>139</v>
      </c>
      <c r="B20" s="1080" t="str">
        <f>CONCATENATE("Level 2 Entitlement @ $",Assumptions!G138,"")</f>
        <v>Level 2 Entitlement @ $31.95</v>
      </c>
      <c r="C20" s="1080"/>
      <c r="D20" s="1085" t="e">
        <f>'SOF2122-SB1'!H137</f>
        <v>#DIV/0!</v>
      </c>
    </row>
    <row r="21" spans="1:4" s="1076" customFormat="1" ht="15">
      <c r="A21" s="1079" t="s">
        <v>140</v>
      </c>
      <c r="B21" s="1080" t="s">
        <v>7683</v>
      </c>
      <c r="C21" s="1080"/>
      <c r="D21" s="1085" t="e">
        <f>'Calc Data-SB1'!AW33*-1</f>
        <v>#DIV/0!</v>
      </c>
    </row>
    <row r="22" spans="1:4" s="1076" customFormat="1" ht="15">
      <c r="A22" s="1079" t="s">
        <v>141</v>
      </c>
      <c r="B22" s="1080" t="str">
        <f>CONCATENATE("GYA ($",Assumptions!G138," * WADA * DTR_1 * 100) - LR")</f>
        <v>GYA ($31.95 * WADA * DTR_1 * 100) - LR</v>
      </c>
      <c r="C22" s="1080"/>
      <c r="D22" s="1085" t="e">
        <f>'SOF2122-SB1'!H53</f>
        <v>#DIV/0!</v>
      </c>
    </row>
    <row r="23" spans="1:4" s="1076" customFormat="1" ht="15.75">
      <c r="A23" s="1079" t="s">
        <v>142</v>
      </c>
      <c r="B23" s="1078" t="s">
        <v>3581</v>
      </c>
      <c r="C23" s="1078"/>
      <c r="D23" s="1090" t="e">
        <f>'SOF2122-SB1'!H54</f>
        <v>#DIV/0!</v>
      </c>
    </row>
    <row r="24" spans="1:4" s="1076" customFormat="1" ht="15.75">
      <c r="B24" s="1195" t="s">
        <v>3392</v>
      </c>
      <c r="D24" s="3408" t="s">
        <v>7659</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c r="D31"/>
    </row>
  </sheetData>
  <hyperlinks>
    <hyperlink ref="D24" location="'Report-SOF2122'!A1" display="'Report-SOF2122'!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1074" t="s">
        <v>3411</v>
      </c>
      <c r="C1" s="1773" t="str">
        <f>'Report-T2Detail1920'!D1</f>
        <v>84th/85th Legislative Session</v>
      </c>
    </row>
    <row r="2" spans="1:3">
      <c r="A2" s="1074" t="s">
        <v>3412</v>
      </c>
      <c r="C2" s="98" t="str">
        <f>'Report-T2Detail1920'!D2</f>
        <v>Release 2</v>
      </c>
    </row>
    <row r="3" spans="1:3">
      <c r="A3" s="89"/>
      <c r="C3" s="82">
        <f>'Report-T2Detail1920'!D3</f>
        <v>43145</v>
      </c>
    </row>
    <row r="4" spans="1:3" ht="15.75">
      <c r="A4" s="1075" t="s">
        <v>7685</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'ASATR-SB1'!O8</f>
        <v>0</v>
      </c>
    </row>
    <row r="12" spans="1:3" s="1076" customFormat="1" ht="15">
      <c r="A12" s="1079" t="s">
        <v>2502</v>
      </c>
      <c r="B12" s="1080" t="s">
        <v>7686</v>
      </c>
      <c r="C12" s="1086" t="e">
        <f>'Calc Data-SB1'!H25</f>
        <v>#DIV/0!</v>
      </c>
    </row>
    <row r="13" spans="1:3" s="1076" customFormat="1" ht="15">
      <c r="A13" s="1079" t="s">
        <v>2503</v>
      </c>
      <c r="B13" s="1080" t="s">
        <v>7687</v>
      </c>
      <c r="C13" s="1085" t="e">
        <f>'ASATR-SB1'!O50</f>
        <v>#DIV/0!</v>
      </c>
    </row>
    <row r="14" spans="1:3" s="1076" customFormat="1" ht="15">
      <c r="A14" s="1079" t="s">
        <v>1024</v>
      </c>
      <c r="B14" s="1080" t="str">
        <f>CONCATENATE("2021-22 Minimum Increase (Line 2 * $120 * ",Weights!L7,")")</f>
        <v>2021-22 Minimum Increase (Line 2 * $120 * 0.9263)</v>
      </c>
      <c r="C14" s="1085" t="e">
        <f>'ASATR-SB1'!O51</f>
        <v>#DIV/0!</v>
      </c>
    </row>
    <row r="15" spans="1:3" s="1076" customFormat="1" ht="15">
      <c r="A15" s="1079" t="s">
        <v>1025</v>
      </c>
      <c r="B15" s="1080" t="s">
        <v>3255</v>
      </c>
      <c r="C15" s="1085">
        <f>'ASATR-SB1'!O13</f>
        <v>0</v>
      </c>
    </row>
    <row r="16" spans="1:3" s="1076" customFormat="1" ht="15">
      <c r="A16" s="1079" t="s">
        <v>1027</v>
      </c>
      <c r="B16" s="1080" t="s">
        <v>7695</v>
      </c>
      <c r="C16" s="1085" t="e">
        <f>'ASATR-SB1'!O14</f>
        <v>#DIV/0!</v>
      </c>
    </row>
    <row r="17" spans="1:4" s="1076" customFormat="1" ht="15">
      <c r="A17" s="1297"/>
      <c r="B17" s="1290"/>
      <c r="C17" s="1291"/>
    </row>
    <row r="18" spans="1:4" s="1076" customFormat="1" ht="15">
      <c r="A18" s="1079" t="s">
        <v>1028</v>
      </c>
      <c r="B18" s="1080" t="s">
        <v>3258</v>
      </c>
      <c r="C18" s="1085">
        <f>'ASATR-SB1'!O15</f>
        <v>0</v>
      </c>
    </row>
    <row r="19" spans="1:4" s="1076" customFormat="1" ht="15">
      <c r="A19" s="1079" t="s">
        <v>1029</v>
      </c>
      <c r="B19" s="1080" t="s">
        <v>3259</v>
      </c>
      <c r="C19" s="1085">
        <f>'ASATR-SB1'!O16</f>
        <v>0</v>
      </c>
    </row>
    <row r="20" spans="1:4" s="1076" customFormat="1" ht="15">
      <c r="A20" s="1079" t="s">
        <v>139</v>
      </c>
      <c r="B20" s="1080" t="str">
        <f>CONCATENATE("2008-09 Educator Salary Increase ($23.63 * 2008-09 WADA * ",Weights!L7,")")</f>
        <v>2008-09 Educator Salary Increase ($23.63 * 2008-09 WADA * 0.9263)</v>
      </c>
      <c r="C20" s="1085">
        <f>'ASATR-SB1'!O18</f>
        <v>0</v>
      </c>
    </row>
    <row r="21" spans="1:4" s="1076" customFormat="1" ht="15.75">
      <c r="A21" s="1079" t="s">
        <v>140</v>
      </c>
      <c r="B21" s="1078" t="s">
        <v>7688</v>
      </c>
      <c r="C21" s="1085" t="e">
        <f>'ASATR-SB1'!O20</f>
        <v>#DIV/0!</v>
      </c>
    </row>
    <row r="22" spans="1:4" s="1076" customFormat="1" ht="15">
      <c r="A22" s="1297"/>
      <c r="B22" s="1290"/>
      <c r="C22" s="1291"/>
    </row>
    <row r="23" spans="1:4" s="1076" customFormat="1" ht="15">
      <c r="A23" s="1079" t="s">
        <v>141</v>
      </c>
      <c r="B23" s="1080" t="s">
        <v>7689</v>
      </c>
      <c r="C23" s="1085">
        <f>'ASATR-SB1'!O37</f>
        <v>0</v>
      </c>
    </row>
    <row r="24" spans="1:4" s="1076" customFormat="1" ht="15">
      <c r="A24" s="1079" t="s">
        <v>142</v>
      </c>
      <c r="B24" s="1080" t="s">
        <v>7690</v>
      </c>
      <c r="C24" s="1085" t="e">
        <f>'ASATR-SB1'!O38</f>
        <v>#DIV/0!</v>
      </c>
    </row>
    <row r="25" spans="1:4" s="1076" customFormat="1" ht="15">
      <c r="A25" s="1079" t="s">
        <v>1706</v>
      </c>
      <c r="B25" t="s">
        <v>7764</v>
      </c>
      <c r="C25" s="1085" t="e">
        <f>'ASATR-SB1'!O39</f>
        <v>#DIV/0!</v>
      </c>
    </row>
    <row r="26" spans="1:4" s="1076" customFormat="1" ht="15">
      <c r="A26" s="1079" t="s">
        <v>6</v>
      </c>
      <c r="B26" s="1080" t="s">
        <v>7691</v>
      </c>
      <c r="C26" s="1085" t="e">
        <f>'ASATR-SB1'!O40</f>
        <v>#DIV/0!</v>
      </c>
    </row>
    <row r="27" spans="1:4" s="1076" customFormat="1" ht="15">
      <c r="A27" s="1297"/>
      <c r="B27" s="1290"/>
      <c r="C27" s="1305"/>
    </row>
    <row r="28" spans="1:4" s="1076" customFormat="1" ht="15.75">
      <c r="A28" s="1113" t="s">
        <v>2551</v>
      </c>
      <c r="B28" s="1097" t="s">
        <v>3448</v>
      </c>
      <c r="C28" s="1090" t="e">
        <f>'ASATR-SB1'!O42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7692</v>
      </c>
      <c r="C31" s="1085" t="e">
        <f>'ASATR-SB1'!O45</f>
        <v>#DIV/0!</v>
      </c>
    </row>
    <row r="32" spans="1:4" s="1076" customFormat="1" ht="15">
      <c r="A32" s="1095" t="s">
        <v>3122</v>
      </c>
      <c r="B32" s="1080" t="s">
        <v>7693</v>
      </c>
      <c r="C32" s="1085" t="e">
        <f>'ASATR-SB1'!O46</f>
        <v>#DIV/0!</v>
      </c>
    </row>
    <row r="33" spans="2:3" s="1076" customFormat="1" ht="15.75">
      <c r="B33" s="1195" t="s">
        <v>3405</v>
      </c>
      <c r="C33" s="3408" t="s">
        <v>7659</v>
      </c>
    </row>
    <row r="34" spans="2:3" s="1076" customFormat="1" ht="15"/>
    <row r="35" spans="2:3" s="1076" customFormat="1" ht="15"/>
    <row r="36" spans="2:3" s="1076" customFormat="1" ht="15"/>
    <row r="37" spans="2:3" s="1076" customFormat="1" ht="15">
      <c r="C37"/>
    </row>
    <row r="38" spans="2:3" s="1076"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7"/>
  <sheetViews>
    <sheetView topLeftCell="A944" workbookViewId="0">
      <selection activeCell="E947" sqref="E947"/>
    </sheetView>
  </sheetViews>
  <sheetFormatPr defaultRowHeight="12.75"/>
  <cols>
    <col min="2" max="2" width="23.42578125" customWidth="1"/>
    <col min="3" max="3" width="12.140625" customWidth="1"/>
    <col min="4" max="4" width="16.42578125" customWidth="1"/>
    <col min="5" max="5" width="12.85546875" customWidth="1"/>
    <col min="6" max="6" width="14" customWidth="1"/>
    <col min="7" max="7" width="16" customWidth="1"/>
  </cols>
  <sheetData>
    <row r="1" spans="1:7">
      <c r="A1" s="122" t="s">
        <v>225</v>
      </c>
      <c r="B1" s="406" t="s">
        <v>310</v>
      </c>
      <c r="C1" s="173">
        <v>1.37</v>
      </c>
      <c r="D1" s="173">
        <v>545.14499999999998</v>
      </c>
      <c r="E1" s="173">
        <v>1.5</v>
      </c>
      <c r="F1" s="121">
        <v>0</v>
      </c>
      <c r="G1" s="121">
        <v>96472</v>
      </c>
    </row>
    <row r="2" spans="1:7">
      <c r="A2" s="122" t="s">
        <v>2228</v>
      </c>
      <c r="B2" s="406" t="s">
        <v>311</v>
      </c>
      <c r="C2" s="173">
        <v>1.37</v>
      </c>
      <c r="D2" s="173">
        <v>1177.646</v>
      </c>
      <c r="E2" s="173">
        <v>1.5</v>
      </c>
      <c r="F2" s="121">
        <v>0</v>
      </c>
      <c r="G2" s="121">
        <v>95414</v>
      </c>
    </row>
    <row r="3" spans="1:7">
      <c r="A3" s="122" t="s">
        <v>15</v>
      </c>
      <c r="B3" s="406" t="s">
        <v>312</v>
      </c>
      <c r="C3" s="173">
        <v>1.331</v>
      </c>
      <c r="D3" s="173">
        <v>756.27099999999996</v>
      </c>
      <c r="E3" s="173">
        <v>1.4556</v>
      </c>
      <c r="F3" s="121">
        <v>0</v>
      </c>
      <c r="G3" s="121">
        <v>85023</v>
      </c>
    </row>
    <row r="4" spans="1:7">
      <c r="A4" s="122" t="s">
        <v>16</v>
      </c>
      <c r="B4" s="406" t="s">
        <v>313</v>
      </c>
      <c r="C4" s="173">
        <v>1.37</v>
      </c>
      <c r="D4" s="173">
        <v>315.90199999999999</v>
      </c>
      <c r="E4" s="173">
        <v>1.5</v>
      </c>
      <c r="F4" s="121">
        <v>0</v>
      </c>
      <c r="G4" s="121">
        <v>35410</v>
      </c>
    </row>
    <row r="5" spans="1:7">
      <c r="A5" s="122" t="s">
        <v>17</v>
      </c>
      <c r="B5" s="406" t="s">
        <v>314</v>
      </c>
      <c r="C5" s="173">
        <v>1.37</v>
      </c>
      <c r="D5" s="173">
        <v>3175.69</v>
      </c>
      <c r="E5" s="173">
        <v>1.5</v>
      </c>
      <c r="F5" s="121">
        <v>0</v>
      </c>
      <c r="G5" s="121">
        <v>323261</v>
      </c>
    </row>
    <row r="6" spans="1:7">
      <c r="A6" s="122" t="s">
        <v>1254</v>
      </c>
      <c r="B6" s="406" t="s">
        <v>1355</v>
      </c>
      <c r="C6" s="173">
        <v>1.2250000000000001</v>
      </c>
      <c r="D6" s="173">
        <v>1695.1959999999999</v>
      </c>
      <c r="E6" s="173">
        <v>1.337</v>
      </c>
      <c r="F6" s="121">
        <v>0</v>
      </c>
      <c r="G6" s="121">
        <v>120801</v>
      </c>
    </row>
    <row r="7" spans="1:7">
      <c r="A7" s="122" t="s">
        <v>1255</v>
      </c>
      <c r="B7" s="406" t="s">
        <v>1356</v>
      </c>
      <c r="C7" s="173">
        <v>1.18</v>
      </c>
      <c r="D7" s="173">
        <v>365.23</v>
      </c>
      <c r="E7" s="173">
        <v>1.2871999999999999</v>
      </c>
      <c r="F7" s="121">
        <v>0</v>
      </c>
      <c r="G7" s="121">
        <v>60748</v>
      </c>
    </row>
    <row r="8" spans="1:7">
      <c r="A8" s="122" t="s">
        <v>2102</v>
      </c>
      <c r="B8" s="406" t="s">
        <v>1357</v>
      </c>
      <c r="C8" s="173">
        <v>1.37</v>
      </c>
      <c r="D8" s="173">
        <v>2698.61</v>
      </c>
      <c r="E8" s="173">
        <v>1.5</v>
      </c>
      <c r="F8" s="121">
        <v>0</v>
      </c>
      <c r="G8" s="121">
        <v>107028</v>
      </c>
    </row>
    <row r="9" spans="1:7">
      <c r="A9" s="122" t="s">
        <v>774</v>
      </c>
      <c r="B9" s="406" t="s">
        <v>2733</v>
      </c>
      <c r="C9" s="173">
        <v>1.3124</v>
      </c>
      <c r="D9" s="173">
        <v>2284.5430000000001</v>
      </c>
      <c r="E9" s="173">
        <v>1.4350000000000001</v>
      </c>
      <c r="F9" s="121">
        <v>0</v>
      </c>
      <c r="G9" s="121">
        <v>216188</v>
      </c>
    </row>
    <row r="10" spans="1:7">
      <c r="A10" s="122" t="s">
        <v>1637</v>
      </c>
      <c r="B10" s="406" t="s">
        <v>1358</v>
      </c>
      <c r="C10" s="173">
        <v>1.37</v>
      </c>
      <c r="D10" s="173">
        <v>7859.2759999999998</v>
      </c>
      <c r="E10" s="173">
        <v>1.5</v>
      </c>
      <c r="F10" s="121">
        <v>0</v>
      </c>
      <c r="G10" s="121">
        <v>835880</v>
      </c>
    </row>
    <row r="11" spans="1:7">
      <c r="A11" s="122" t="s">
        <v>1279</v>
      </c>
      <c r="B11" s="406" t="s">
        <v>1438</v>
      </c>
      <c r="C11" s="173">
        <v>1.37</v>
      </c>
      <c r="D11" s="173">
        <v>1563.4739999999999</v>
      </c>
      <c r="E11" s="173">
        <v>1.5</v>
      </c>
      <c r="F11" s="121">
        <v>0</v>
      </c>
      <c r="G11" s="121">
        <v>129730</v>
      </c>
    </row>
    <row r="12" spans="1:7">
      <c r="A12" s="122" t="s">
        <v>369</v>
      </c>
      <c r="B12" s="406" t="s">
        <v>1359</v>
      </c>
      <c r="C12" s="173">
        <v>1.37</v>
      </c>
      <c r="D12" s="173">
        <v>1724.21</v>
      </c>
      <c r="E12" s="173">
        <v>1.5</v>
      </c>
      <c r="F12" s="121">
        <v>0</v>
      </c>
      <c r="G12" s="121">
        <v>108579</v>
      </c>
    </row>
    <row r="13" spans="1:7">
      <c r="A13" s="122" t="s">
        <v>370</v>
      </c>
      <c r="B13" s="406" t="s">
        <v>1360</v>
      </c>
      <c r="C13" s="173">
        <v>1.3181</v>
      </c>
      <c r="D13" s="173">
        <v>435.733</v>
      </c>
      <c r="E13" s="173">
        <v>1.4415</v>
      </c>
      <c r="F13" s="121">
        <v>0</v>
      </c>
      <c r="G13" s="121">
        <v>72906</v>
      </c>
    </row>
    <row r="14" spans="1:7">
      <c r="A14" s="122" t="s">
        <v>371</v>
      </c>
      <c r="B14" s="406" t="s">
        <v>1361</v>
      </c>
      <c r="C14" s="173">
        <v>1.37</v>
      </c>
      <c r="D14" s="173">
        <v>1560.318</v>
      </c>
      <c r="E14" s="173">
        <v>1.5</v>
      </c>
      <c r="F14" s="121">
        <v>0</v>
      </c>
      <c r="G14" s="121">
        <v>139300</v>
      </c>
    </row>
    <row r="15" spans="1:7">
      <c r="A15" s="122" t="s">
        <v>2839</v>
      </c>
      <c r="B15" s="406" t="s">
        <v>1362</v>
      </c>
      <c r="C15" s="173">
        <v>1.3364</v>
      </c>
      <c r="D15" s="173">
        <v>3079.0079999999998</v>
      </c>
      <c r="E15" s="173">
        <v>1.462</v>
      </c>
      <c r="F15" s="121">
        <v>0</v>
      </c>
      <c r="G15" s="121">
        <v>400552</v>
      </c>
    </row>
    <row r="16" spans="1:7">
      <c r="A16" s="122" t="s">
        <v>2840</v>
      </c>
      <c r="B16" s="406" t="s">
        <v>1363</v>
      </c>
      <c r="C16" s="173">
        <v>1.23</v>
      </c>
      <c r="D16" s="173">
        <v>494.988</v>
      </c>
      <c r="E16" s="173">
        <v>1.35</v>
      </c>
      <c r="F16" s="121">
        <v>0</v>
      </c>
      <c r="G16" s="121">
        <v>45961</v>
      </c>
    </row>
    <row r="17" spans="1:7">
      <c r="A17" s="122" t="s">
        <v>2841</v>
      </c>
      <c r="B17" s="406" t="s">
        <v>1364</v>
      </c>
      <c r="C17" s="173">
        <v>1.37</v>
      </c>
      <c r="D17" s="173">
        <v>801.47799999999995</v>
      </c>
      <c r="E17" s="173">
        <v>1.5</v>
      </c>
      <c r="F17" s="121">
        <v>0</v>
      </c>
      <c r="G17" s="121">
        <v>78460</v>
      </c>
    </row>
    <row r="18" spans="1:7">
      <c r="A18" s="122" t="s">
        <v>2219</v>
      </c>
      <c r="B18" s="406" t="s">
        <v>1289</v>
      </c>
      <c r="C18" s="173">
        <v>1.37</v>
      </c>
      <c r="D18" s="173">
        <v>496.23500000000001</v>
      </c>
      <c r="E18" s="173">
        <v>1.5</v>
      </c>
      <c r="F18" s="121">
        <v>0</v>
      </c>
      <c r="G18" s="121">
        <v>57404</v>
      </c>
    </row>
    <row r="19" spans="1:7">
      <c r="A19" s="122" t="s">
        <v>2843</v>
      </c>
      <c r="B19" s="406" t="s">
        <v>1365</v>
      </c>
      <c r="C19" s="173">
        <v>1.2450000000000001</v>
      </c>
      <c r="D19" s="173">
        <v>353.32</v>
      </c>
      <c r="E19" s="173">
        <v>1.36</v>
      </c>
      <c r="F19" s="121">
        <v>0</v>
      </c>
      <c r="G19" s="121">
        <v>74057</v>
      </c>
    </row>
    <row r="20" spans="1:7">
      <c r="A20" s="122" t="s">
        <v>806</v>
      </c>
      <c r="B20" s="406" t="s">
        <v>736</v>
      </c>
      <c r="C20" s="173">
        <v>1.27</v>
      </c>
      <c r="D20" s="173">
        <v>482.49400000000003</v>
      </c>
      <c r="E20" s="173">
        <v>1.39</v>
      </c>
      <c r="F20" s="121">
        <v>0</v>
      </c>
      <c r="G20" s="121">
        <v>38676</v>
      </c>
    </row>
    <row r="21" spans="1:7">
      <c r="A21" s="122" t="s">
        <v>2844</v>
      </c>
      <c r="B21" s="406" t="s">
        <v>1366</v>
      </c>
      <c r="C21" s="173">
        <v>1.37</v>
      </c>
      <c r="D21" s="173">
        <v>1205.809</v>
      </c>
      <c r="E21" s="173">
        <v>1.5</v>
      </c>
      <c r="F21" s="121">
        <v>0</v>
      </c>
      <c r="G21" s="121">
        <v>138461</v>
      </c>
    </row>
    <row r="22" spans="1:7">
      <c r="A22" s="122" t="s">
        <v>2388</v>
      </c>
      <c r="B22" s="406" t="s">
        <v>1367</v>
      </c>
      <c r="C22" s="173">
        <v>1.37</v>
      </c>
      <c r="D22" s="173">
        <v>1443.463</v>
      </c>
      <c r="E22" s="173">
        <v>1.5</v>
      </c>
      <c r="F22" s="121">
        <v>0</v>
      </c>
      <c r="G22" s="121">
        <v>148260</v>
      </c>
    </row>
    <row r="23" spans="1:7">
      <c r="A23" s="122" t="s">
        <v>241</v>
      </c>
      <c r="B23" s="406" t="s">
        <v>1128</v>
      </c>
      <c r="C23" s="173">
        <v>1.37</v>
      </c>
      <c r="D23" s="173">
        <v>3235.0450000000001</v>
      </c>
      <c r="E23" s="173">
        <v>1.5</v>
      </c>
      <c r="F23" s="121">
        <v>0</v>
      </c>
      <c r="G23" s="121">
        <v>312170</v>
      </c>
    </row>
    <row r="24" spans="1:7">
      <c r="A24" s="122" t="s">
        <v>2447</v>
      </c>
      <c r="B24" s="406" t="s">
        <v>1131</v>
      </c>
      <c r="C24" s="173">
        <v>1.37</v>
      </c>
      <c r="D24" s="173">
        <v>1577.9770000000001</v>
      </c>
      <c r="E24" s="173">
        <v>1.5</v>
      </c>
      <c r="F24" s="121">
        <v>0</v>
      </c>
      <c r="G24" s="121">
        <v>129726</v>
      </c>
    </row>
    <row r="25" spans="1:7">
      <c r="A25" s="122" t="s">
        <v>2845</v>
      </c>
      <c r="B25" s="406" t="s">
        <v>1368</v>
      </c>
      <c r="C25" s="173">
        <v>1.37</v>
      </c>
      <c r="D25" s="173">
        <v>2068.5100000000002</v>
      </c>
      <c r="E25" s="173">
        <v>1.5</v>
      </c>
      <c r="F25" s="121">
        <v>0</v>
      </c>
      <c r="G25" s="121">
        <v>265472</v>
      </c>
    </row>
    <row r="26" spans="1:7">
      <c r="A26" s="122" t="s">
        <v>783</v>
      </c>
      <c r="B26" s="406" t="s">
        <v>1369</v>
      </c>
      <c r="C26" s="173">
        <v>1.2636000000000001</v>
      </c>
      <c r="D26" s="173">
        <v>2433.6320000000001</v>
      </c>
      <c r="E26" s="173">
        <v>1.38</v>
      </c>
      <c r="F26" s="121">
        <v>172063</v>
      </c>
      <c r="G26" s="121">
        <v>236606</v>
      </c>
    </row>
    <row r="27" spans="1:7">
      <c r="A27" s="122" t="s">
        <v>784</v>
      </c>
      <c r="B27" s="406" t="s">
        <v>1370</v>
      </c>
      <c r="C27" s="173">
        <v>1.37</v>
      </c>
      <c r="D27" s="173">
        <v>804.745</v>
      </c>
      <c r="E27" s="173">
        <v>1.5</v>
      </c>
      <c r="F27" s="121">
        <v>135333</v>
      </c>
      <c r="G27" s="121">
        <v>130758</v>
      </c>
    </row>
    <row r="28" spans="1:7">
      <c r="A28" s="122" t="s">
        <v>785</v>
      </c>
      <c r="B28" s="406" t="s">
        <v>1371</v>
      </c>
      <c r="C28" s="173">
        <v>1.37</v>
      </c>
      <c r="D28" s="173">
        <v>1389.3140000000001</v>
      </c>
      <c r="E28" s="173">
        <v>1.5</v>
      </c>
      <c r="F28" s="121">
        <v>0</v>
      </c>
      <c r="G28" s="121">
        <v>95358</v>
      </c>
    </row>
    <row r="29" spans="1:7">
      <c r="A29" s="122" t="s">
        <v>216</v>
      </c>
      <c r="B29" s="406" t="s">
        <v>1372</v>
      </c>
      <c r="C29" s="173">
        <v>1.26</v>
      </c>
      <c r="D29" s="173">
        <v>329.48700000000002</v>
      </c>
      <c r="E29" s="173">
        <v>1.38</v>
      </c>
      <c r="F29" s="121">
        <v>0</v>
      </c>
      <c r="G29" s="121">
        <v>52479</v>
      </c>
    </row>
    <row r="30" spans="1:7">
      <c r="A30" s="122" t="s">
        <v>2220</v>
      </c>
      <c r="B30" s="406" t="s">
        <v>2431</v>
      </c>
      <c r="C30" s="173">
        <v>1.32</v>
      </c>
      <c r="D30" s="173">
        <v>2372.5160000000001</v>
      </c>
      <c r="E30" s="173">
        <v>1.44</v>
      </c>
      <c r="F30" s="121">
        <v>0</v>
      </c>
      <c r="G30" s="121">
        <v>330338</v>
      </c>
    </row>
    <row r="31" spans="1:7">
      <c r="A31" s="122" t="s">
        <v>1896</v>
      </c>
      <c r="B31" s="406" t="s">
        <v>2433</v>
      </c>
      <c r="C31" s="173">
        <v>1.37</v>
      </c>
      <c r="D31" s="173">
        <v>7381.1880000000001</v>
      </c>
      <c r="E31" s="173">
        <v>1.5</v>
      </c>
      <c r="F31" s="121">
        <v>16259</v>
      </c>
      <c r="G31" s="121">
        <v>1303977</v>
      </c>
    </row>
    <row r="32" spans="1:7">
      <c r="A32" s="122" t="s">
        <v>876</v>
      </c>
      <c r="B32" s="406" t="s">
        <v>1002</v>
      </c>
      <c r="C32" s="173">
        <v>1.37</v>
      </c>
      <c r="D32" s="173">
        <v>3088.4369999999999</v>
      </c>
      <c r="E32" s="173">
        <v>1.5</v>
      </c>
      <c r="F32" s="121">
        <v>127971</v>
      </c>
      <c r="G32" s="121">
        <v>425679</v>
      </c>
    </row>
    <row r="33" spans="1:7">
      <c r="A33" s="122" t="s">
        <v>2710</v>
      </c>
      <c r="B33" s="406" t="s">
        <v>2202</v>
      </c>
      <c r="C33" s="173">
        <v>1.37</v>
      </c>
      <c r="D33" s="173">
        <v>1709.9059999999999</v>
      </c>
      <c r="E33" s="173">
        <v>1.5</v>
      </c>
      <c r="F33" s="121">
        <v>0</v>
      </c>
      <c r="G33" s="121">
        <v>323568</v>
      </c>
    </row>
    <row r="34" spans="1:7">
      <c r="A34" s="122" t="s">
        <v>2448</v>
      </c>
      <c r="B34" s="406" t="s">
        <v>926</v>
      </c>
      <c r="C34" s="173">
        <v>1.37</v>
      </c>
      <c r="D34" s="173">
        <v>218.50399999999999</v>
      </c>
      <c r="E34" s="173">
        <v>1.5</v>
      </c>
      <c r="F34" s="121">
        <v>0</v>
      </c>
      <c r="G34" s="121">
        <v>25502</v>
      </c>
    </row>
    <row r="35" spans="1:7">
      <c r="A35" s="122" t="s">
        <v>492</v>
      </c>
      <c r="B35" s="406" t="s">
        <v>1373</v>
      </c>
      <c r="C35" s="173">
        <v>1.37</v>
      </c>
      <c r="D35" s="173">
        <v>579.64400000000001</v>
      </c>
      <c r="E35" s="173">
        <v>1.5</v>
      </c>
      <c r="F35" s="121">
        <v>0</v>
      </c>
      <c r="G35" s="121">
        <v>51960</v>
      </c>
    </row>
    <row r="36" spans="1:7">
      <c r="A36" s="122" t="s">
        <v>2711</v>
      </c>
      <c r="B36" s="406" t="s">
        <v>2434</v>
      </c>
      <c r="C36" s="173">
        <v>1.37</v>
      </c>
      <c r="D36" s="173">
        <v>3365.328</v>
      </c>
      <c r="E36" s="173">
        <v>1.5</v>
      </c>
      <c r="F36" s="121">
        <v>0</v>
      </c>
      <c r="G36" s="121">
        <v>173829</v>
      </c>
    </row>
    <row r="37" spans="1:7">
      <c r="A37" s="122" t="s">
        <v>3048</v>
      </c>
      <c r="B37" s="406" t="s">
        <v>1374</v>
      </c>
      <c r="C37" s="173">
        <v>1.1958</v>
      </c>
      <c r="D37" s="173">
        <v>130.09800000000001</v>
      </c>
      <c r="E37" s="173">
        <v>1.3035000000000001</v>
      </c>
      <c r="F37" s="121">
        <v>0</v>
      </c>
      <c r="G37" s="121">
        <v>38693</v>
      </c>
    </row>
    <row r="38" spans="1:7">
      <c r="A38" s="122" t="s">
        <v>3049</v>
      </c>
      <c r="B38" s="406" t="s">
        <v>1375</v>
      </c>
      <c r="C38" s="173">
        <v>1.37</v>
      </c>
      <c r="D38" s="173">
        <v>350.029</v>
      </c>
      <c r="E38" s="173">
        <v>1.5</v>
      </c>
      <c r="F38" s="121">
        <v>0</v>
      </c>
      <c r="G38" s="121">
        <v>54269</v>
      </c>
    </row>
    <row r="39" spans="1:7">
      <c r="A39" s="122" t="s">
        <v>1313</v>
      </c>
      <c r="B39" s="406" t="s">
        <v>2089</v>
      </c>
      <c r="C39" s="173">
        <v>1.37</v>
      </c>
      <c r="D39" s="173">
        <v>711.02700000000004</v>
      </c>
      <c r="E39" s="173">
        <v>1.5</v>
      </c>
      <c r="F39" s="121">
        <v>0</v>
      </c>
      <c r="G39" s="121">
        <v>70784</v>
      </c>
    </row>
    <row r="40" spans="1:7">
      <c r="A40" s="122" t="s">
        <v>2449</v>
      </c>
      <c r="B40" s="406" t="s">
        <v>1376</v>
      </c>
      <c r="C40" s="173">
        <v>1.369</v>
      </c>
      <c r="D40" s="173">
        <v>903.82799999999997</v>
      </c>
      <c r="E40" s="173">
        <v>1.4993000000000001</v>
      </c>
      <c r="F40" s="121">
        <v>0</v>
      </c>
      <c r="G40" s="121">
        <v>62534</v>
      </c>
    </row>
    <row r="41" spans="1:7">
      <c r="A41" s="122" t="s">
        <v>1895</v>
      </c>
      <c r="B41" s="406" t="s">
        <v>2432</v>
      </c>
      <c r="C41" s="173">
        <v>1.37</v>
      </c>
      <c r="D41" s="173">
        <v>393.70600000000002</v>
      </c>
      <c r="E41" s="173">
        <v>1.5</v>
      </c>
      <c r="F41" s="121">
        <v>0</v>
      </c>
      <c r="G41" s="121">
        <v>49766</v>
      </c>
    </row>
    <row r="42" spans="1:7">
      <c r="A42" s="122" t="s">
        <v>1898</v>
      </c>
      <c r="B42" s="406" t="s">
        <v>3079</v>
      </c>
      <c r="C42" s="173">
        <v>1.37</v>
      </c>
      <c r="D42" s="173">
        <v>7053.4679999999998</v>
      </c>
      <c r="E42" s="173">
        <v>1.5</v>
      </c>
      <c r="F42" s="121">
        <v>0</v>
      </c>
      <c r="G42" s="121">
        <v>639490</v>
      </c>
    </row>
    <row r="43" spans="1:7">
      <c r="A43" s="122" t="s">
        <v>198</v>
      </c>
      <c r="B43" s="406" t="s">
        <v>2728</v>
      </c>
      <c r="C43" s="173">
        <v>1.2989999999999999</v>
      </c>
      <c r="D43" s="173">
        <v>497.80200000000002</v>
      </c>
      <c r="E43" s="173">
        <v>1.42</v>
      </c>
      <c r="F43" s="121">
        <v>0</v>
      </c>
      <c r="G43" s="121">
        <v>39294</v>
      </c>
    </row>
    <row r="44" spans="1:7">
      <c r="A44" s="122" t="s">
        <v>60</v>
      </c>
      <c r="B44" s="406" t="s">
        <v>2878</v>
      </c>
      <c r="C44" s="173">
        <v>1.2990999999999999</v>
      </c>
      <c r="D44" s="173">
        <v>31832.368999999999</v>
      </c>
      <c r="E44" s="173">
        <v>1.42</v>
      </c>
      <c r="F44" s="121">
        <v>160734</v>
      </c>
      <c r="G44" s="121">
        <v>1982614</v>
      </c>
    </row>
    <row r="45" spans="1:7">
      <c r="A45" s="122" t="s">
        <v>192</v>
      </c>
      <c r="B45" s="406" t="s">
        <v>1582</v>
      </c>
      <c r="C45" s="173">
        <v>1.347</v>
      </c>
      <c r="D45" s="173">
        <v>791</v>
      </c>
      <c r="E45" s="173">
        <v>1.4750000000000001</v>
      </c>
      <c r="F45" s="121">
        <v>0</v>
      </c>
      <c r="G45" s="121">
        <v>97974</v>
      </c>
    </row>
    <row r="46" spans="1:7">
      <c r="A46" s="122" t="s">
        <v>1487</v>
      </c>
      <c r="B46" s="406" t="s">
        <v>2305</v>
      </c>
      <c r="C46" s="173">
        <v>1.3</v>
      </c>
      <c r="D46" s="173">
        <v>1163.6849999999999</v>
      </c>
      <c r="E46" s="173">
        <v>1.4219999999999999</v>
      </c>
      <c r="F46" s="121">
        <v>0</v>
      </c>
      <c r="G46" s="121">
        <v>157977</v>
      </c>
    </row>
    <row r="47" spans="1:7">
      <c r="A47" s="122" t="s">
        <v>1707</v>
      </c>
      <c r="B47" s="406" t="s">
        <v>658</v>
      </c>
      <c r="C47" s="173">
        <v>1.37</v>
      </c>
      <c r="D47" s="173">
        <v>7586.1880000000001</v>
      </c>
      <c r="E47" s="173">
        <v>1.5</v>
      </c>
      <c r="F47" s="121">
        <v>0</v>
      </c>
      <c r="G47" s="121">
        <v>574544</v>
      </c>
    </row>
    <row r="48" spans="1:7">
      <c r="A48" s="122" t="s">
        <v>1712</v>
      </c>
      <c r="B48" s="406" t="s">
        <v>2640</v>
      </c>
      <c r="C48" s="173">
        <v>1.361</v>
      </c>
      <c r="D48" s="173">
        <v>1166.7080000000001</v>
      </c>
      <c r="E48" s="173">
        <v>1.49</v>
      </c>
      <c r="F48" s="121">
        <v>0</v>
      </c>
      <c r="G48" s="121">
        <v>100187</v>
      </c>
    </row>
    <row r="49" spans="1:7">
      <c r="A49" s="122" t="s">
        <v>463</v>
      </c>
      <c r="B49" s="406" t="s">
        <v>2603</v>
      </c>
      <c r="C49" s="173">
        <v>1.34</v>
      </c>
      <c r="D49" s="173">
        <v>4284.0550000000003</v>
      </c>
      <c r="E49" s="173">
        <v>1.5</v>
      </c>
      <c r="F49" s="121">
        <v>0</v>
      </c>
      <c r="G49" s="121">
        <v>100875</v>
      </c>
    </row>
    <row r="50" spans="1:7">
      <c r="A50" s="122" t="s">
        <v>2125</v>
      </c>
      <c r="B50" s="406" t="s">
        <v>822</v>
      </c>
      <c r="C50" s="173">
        <v>1.37</v>
      </c>
      <c r="D50" s="173">
        <v>13135.353999999999</v>
      </c>
      <c r="E50" s="173">
        <v>1.5</v>
      </c>
      <c r="F50" s="121">
        <v>119525</v>
      </c>
      <c r="G50" s="121">
        <v>401238</v>
      </c>
    </row>
    <row r="51" spans="1:7">
      <c r="A51" s="122" t="s">
        <v>874</v>
      </c>
      <c r="B51" s="406" t="s">
        <v>1000</v>
      </c>
      <c r="C51" s="173">
        <v>1.37</v>
      </c>
      <c r="D51" s="173">
        <v>10946.233</v>
      </c>
      <c r="E51" s="173">
        <v>1.5</v>
      </c>
      <c r="F51" s="121">
        <v>234980</v>
      </c>
      <c r="G51" s="121">
        <v>225071</v>
      </c>
    </row>
    <row r="52" spans="1:7">
      <c r="A52" s="122" t="s">
        <v>1489</v>
      </c>
      <c r="B52" s="406" t="s">
        <v>2308</v>
      </c>
      <c r="C52" s="173">
        <v>1.37</v>
      </c>
      <c r="D52" s="173">
        <v>50958.124000000003</v>
      </c>
      <c r="E52" s="173">
        <v>1.5</v>
      </c>
      <c r="F52" s="121">
        <v>0</v>
      </c>
      <c r="G52" s="121">
        <v>1529641</v>
      </c>
    </row>
    <row r="53" spans="1:7">
      <c r="A53" s="122" t="s">
        <v>1699</v>
      </c>
      <c r="B53" s="406" t="s">
        <v>2206</v>
      </c>
      <c r="C53" s="173">
        <v>1.37</v>
      </c>
      <c r="D53" s="173">
        <v>8813.884</v>
      </c>
      <c r="E53" s="173">
        <v>1.5</v>
      </c>
      <c r="F53" s="121">
        <v>0</v>
      </c>
      <c r="G53" s="121">
        <v>223573</v>
      </c>
    </row>
    <row r="54" spans="1:7">
      <c r="A54" s="122" t="s">
        <v>1316</v>
      </c>
      <c r="B54" s="406" t="s">
        <v>2205</v>
      </c>
      <c r="C54" s="173">
        <v>1.37</v>
      </c>
      <c r="D54" s="173">
        <v>3131.9470000000001</v>
      </c>
      <c r="E54" s="173">
        <v>1.5</v>
      </c>
      <c r="F54" s="121">
        <v>0</v>
      </c>
      <c r="G54" s="121">
        <v>477925</v>
      </c>
    </row>
    <row r="55" spans="1:7">
      <c r="A55" s="122" t="s">
        <v>1587</v>
      </c>
      <c r="B55" s="406" t="s">
        <v>2610</v>
      </c>
      <c r="C55" s="173">
        <v>1.36</v>
      </c>
      <c r="D55" s="173">
        <v>55865.985999999997</v>
      </c>
      <c r="E55" s="173">
        <v>1.5</v>
      </c>
      <c r="F55" s="121">
        <v>867725</v>
      </c>
      <c r="G55" s="121">
        <v>3032287</v>
      </c>
    </row>
    <row r="56" spans="1:7">
      <c r="A56" s="122" t="s">
        <v>871</v>
      </c>
      <c r="B56" s="406" t="s">
        <v>1215</v>
      </c>
      <c r="C56" s="173">
        <v>1.37</v>
      </c>
      <c r="D56" s="173">
        <v>7599.9870000000001</v>
      </c>
      <c r="E56" s="173">
        <v>1.5</v>
      </c>
      <c r="F56" s="121">
        <v>139955</v>
      </c>
      <c r="G56" s="121">
        <v>970979</v>
      </c>
    </row>
    <row r="57" spans="1:7">
      <c r="A57" s="122" t="s">
        <v>807</v>
      </c>
      <c r="B57" s="406" t="s">
        <v>2208</v>
      </c>
      <c r="C57" s="173">
        <v>1.37</v>
      </c>
      <c r="D57" s="173">
        <v>9362.0380000000005</v>
      </c>
      <c r="E57" s="173">
        <v>1.5</v>
      </c>
      <c r="F57" s="121">
        <v>123933</v>
      </c>
      <c r="G57" s="121">
        <v>1183388</v>
      </c>
    </row>
    <row r="58" spans="1:7">
      <c r="A58" s="122" t="s">
        <v>1589</v>
      </c>
      <c r="B58" s="406" t="s">
        <v>2612</v>
      </c>
      <c r="C58" s="173">
        <v>1.33</v>
      </c>
      <c r="D58" s="173">
        <v>73363.899000000005</v>
      </c>
      <c r="E58" s="173">
        <v>1.5</v>
      </c>
      <c r="F58" s="121">
        <v>897813</v>
      </c>
      <c r="G58" s="121">
        <v>5657567</v>
      </c>
    </row>
    <row r="59" spans="1:7">
      <c r="A59" s="122" t="s">
        <v>53</v>
      </c>
      <c r="B59" s="406" t="s">
        <v>448</v>
      </c>
      <c r="C59" s="173">
        <v>1.37</v>
      </c>
      <c r="D59" s="173">
        <v>18035.715</v>
      </c>
      <c r="E59" s="173">
        <v>1.5</v>
      </c>
      <c r="F59" s="121">
        <v>405959</v>
      </c>
      <c r="G59" s="121">
        <v>1666040</v>
      </c>
    </row>
    <row r="60" spans="1:7">
      <c r="A60" s="122" t="s">
        <v>1700</v>
      </c>
      <c r="B60" s="406" t="s">
        <v>2207</v>
      </c>
      <c r="C60" s="173">
        <v>1.37</v>
      </c>
      <c r="D60" s="173">
        <v>4507.3130000000001</v>
      </c>
      <c r="E60" s="173">
        <v>1.5</v>
      </c>
      <c r="F60" s="121">
        <v>54675</v>
      </c>
      <c r="G60" s="121">
        <v>579404</v>
      </c>
    </row>
    <row r="61" spans="1:7">
      <c r="A61" s="122" t="s">
        <v>1377</v>
      </c>
      <c r="B61" s="406" t="s">
        <v>2604</v>
      </c>
      <c r="C61" s="173">
        <v>1.2547999999999999</v>
      </c>
      <c r="D61" s="173">
        <v>651.00099999999998</v>
      </c>
      <c r="E61" s="173">
        <v>1.3701000000000001</v>
      </c>
      <c r="F61" s="121">
        <v>0</v>
      </c>
      <c r="G61" s="121">
        <v>90042</v>
      </c>
    </row>
    <row r="62" spans="1:7">
      <c r="A62" s="122" t="s">
        <v>986</v>
      </c>
      <c r="B62" s="406" t="s">
        <v>902</v>
      </c>
      <c r="C62" s="173">
        <v>1.282</v>
      </c>
      <c r="D62" s="173">
        <v>937.98299999999995</v>
      </c>
      <c r="E62" s="173">
        <v>1.2542</v>
      </c>
      <c r="F62" s="121">
        <v>0</v>
      </c>
      <c r="G62" s="121">
        <v>92700</v>
      </c>
    </row>
    <row r="63" spans="1:7">
      <c r="A63" s="122" t="s">
        <v>1378</v>
      </c>
      <c r="B63" s="406" t="s">
        <v>2605</v>
      </c>
      <c r="C63" s="173">
        <v>1.3168</v>
      </c>
      <c r="D63" s="173">
        <v>156.572</v>
      </c>
      <c r="E63" s="173">
        <v>1.44</v>
      </c>
      <c r="F63" s="121">
        <v>0</v>
      </c>
      <c r="G63" s="121">
        <v>58592</v>
      </c>
    </row>
    <row r="64" spans="1:7">
      <c r="A64" s="122" t="s">
        <v>628</v>
      </c>
      <c r="B64" s="406" t="s">
        <v>1330</v>
      </c>
      <c r="C64" s="173">
        <v>1.3046</v>
      </c>
      <c r="D64" s="173">
        <v>1125.451</v>
      </c>
      <c r="E64" s="173">
        <v>1.4261999999999999</v>
      </c>
      <c r="F64" s="121">
        <v>0</v>
      </c>
      <c r="G64" s="121">
        <v>113287</v>
      </c>
    </row>
    <row r="65" spans="1:7">
      <c r="A65" s="122" t="s">
        <v>1379</v>
      </c>
      <c r="B65" s="406" t="s">
        <v>3081</v>
      </c>
      <c r="C65" s="173">
        <v>1.2291000000000001</v>
      </c>
      <c r="D65" s="173">
        <v>504.36700000000002</v>
      </c>
      <c r="E65" s="173">
        <v>1.2291000000000001</v>
      </c>
      <c r="F65" s="121">
        <v>0</v>
      </c>
      <c r="G65" s="121">
        <v>32793</v>
      </c>
    </row>
    <row r="66" spans="1:7">
      <c r="A66" s="122" t="s">
        <v>1273</v>
      </c>
      <c r="B66" s="406" t="s">
        <v>3082</v>
      </c>
      <c r="C66" s="173">
        <v>1.3433999999999999</v>
      </c>
      <c r="D66" s="173">
        <v>152.696</v>
      </c>
      <c r="E66" s="173">
        <v>1.47</v>
      </c>
      <c r="F66" s="121">
        <v>0</v>
      </c>
      <c r="G66" s="121">
        <v>16110</v>
      </c>
    </row>
    <row r="67" spans="1:7">
      <c r="A67" s="122" t="s">
        <v>1274</v>
      </c>
      <c r="B67" s="406" t="s">
        <v>3083</v>
      </c>
      <c r="C67" s="173">
        <v>1.35</v>
      </c>
      <c r="D67" s="173">
        <v>587.41200000000003</v>
      </c>
      <c r="E67" s="173">
        <v>1.5</v>
      </c>
      <c r="F67" s="121">
        <v>0</v>
      </c>
      <c r="G67" s="121">
        <v>92348</v>
      </c>
    </row>
    <row r="68" spans="1:7">
      <c r="A68" s="122" t="s">
        <v>2174</v>
      </c>
      <c r="B68" s="406" t="s">
        <v>2304</v>
      </c>
      <c r="C68" s="173">
        <v>1.0597000000000001</v>
      </c>
      <c r="D68" s="173">
        <v>225.476</v>
      </c>
      <c r="E68" s="173">
        <v>1.1499999999999999</v>
      </c>
      <c r="F68" s="121">
        <v>0</v>
      </c>
      <c r="G68" s="121">
        <v>0</v>
      </c>
    </row>
    <row r="69" spans="1:7">
      <c r="A69" s="122" t="s">
        <v>1846</v>
      </c>
      <c r="B69" s="406" t="s">
        <v>3084</v>
      </c>
      <c r="C69" s="173">
        <v>1.3069999999999999</v>
      </c>
      <c r="D69" s="173">
        <v>135.31800000000001</v>
      </c>
      <c r="E69" s="173">
        <v>1.4291</v>
      </c>
      <c r="F69" s="121">
        <v>0</v>
      </c>
      <c r="G69" s="121">
        <v>41668</v>
      </c>
    </row>
    <row r="70" spans="1:7">
      <c r="A70" s="122" t="s">
        <v>1847</v>
      </c>
      <c r="B70" s="406" t="s">
        <v>3085</v>
      </c>
      <c r="C70" s="173">
        <v>1.35</v>
      </c>
      <c r="D70" s="173">
        <v>266.93799999999999</v>
      </c>
      <c r="E70" s="173">
        <v>1.48</v>
      </c>
      <c r="F70" s="121">
        <v>0</v>
      </c>
      <c r="G70" s="121">
        <v>58744</v>
      </c>
    </row>
    <row r="71" spans="1:7">
      <c r="A71" s="122" t="s">
        <v>1848</v>
      </c>
      <c r="B71" s="406" t="s">
        <v>3086</v>
      </c>
      <c r="C71" s="173">
        <v>1.33</v>
      </c>
      <c r="D71" s="173">
        <v>93.591999999999999</v>
      </c>
      <c r="E71" s="173">
        <v>1.46</v>
      </c>
      <c r="F71" s="121">
        <v>0</v>
      </c>
      <c r="G71" s="121">
        <v>20891</v>
      </c>
    </row>
    <row r="72" spans="1:7">
      <c r="A72" s="122" t="s">
        <v>997</v>
      </c>
      <c r="B72" s="406" t="s">
        <v>3063</v>
      </c>
      <c r="C72" s="173">
        <v>1.37</v>
      </c>
      <c r="D72" s="173">
        <v>812.20699999999999</v>
      </c>
      <c r="E72" s="173">
        <v>1.5</v>
      </c>
      <c r="F72" s="121">
        <v>0</v>
      </c>
      <c r="G72" s="121">
        <v>0</v>
      </c>
    </row>
    <row r="73" spans="1:7">
      <c r="A73" s="122" t="s">
        <v>808</v>
      </c>
      <c r="B73" s="406" t="s">
        <v>2730</v>
      </c>
      <c r="C73" s="173">
        <v>1.29</v>
      </c>
      <c r="D73" s="173">
        <v>981.18600000000004</v>
      </c>
      <c r="E73" s="173">
        <v>1.41</v>
      </c>
      <c r="F73" s="121">
        <v>0</v>
      </c>
      <c r="G73" s="121">
        <v>0</v>
      </c>
    </row>
    <row r="74" spans="1:7">
      <c r="A74" s="122" t="s">
        <v>2450</v>
      </c>
      <c r="B74" s="406" t="s">
        <v>2361</v>
      </c>
      <c r="C74" s="173">
        <v>1.242</v>
      </c>
      <c r="D74" s="173">
        <v>442.66199999999998</v>
      </c>
      <c r="E74" s="173">
        <v>1.3545</v>
      </c>
      <c r="F74" s="121">
        <v>0</v>
      </c>
      <c r="G74" s="121">
        <v>22118</v>
      </c>
    </row>
    <row r="75" spans="1:7">
      <c r="A75" s="122" t="s">
        <v>3034</v>
      </c>
      <c r="B75" s="406" t="s">
        <v>1578</v>
      </c>
      <c r="C75" s="173">
        <v>1.3317000000000001</v>
      </c>
      <c r="D75" s="173">
        <v>1304.884</v>
      </c>
      <c r="E75" s="173">
        <v>1.4567000000000001</v>
      </c>
      <c r="F75" s="121">
        <v>0</v>
      </c>
      <c r="G75" s="121">
        <v>114388</v>
      </c>
    </row>
    <row r="76" spans="1:7">
      <c r="A76" s="122" t="s">
        <v>1252</v>
      </c>
      <c r="B76" s="406" t="s">
        <v>1579</v>
      </c>
      <c r="C76" s="173">
        <v>1.2561</v>
      </c>
      <c r="D76" s="173">
        <v>1066.759</v>
      </c>
      <c r="E76" s="173">
        <v>1.3714999999999999</v>
      </c>
      <c r="F76" s="121">
        <v>0</v>
      </c>
      <c r="G76" s="121">
        <v>8090</v>
      </c>
    </row>
    <row r="77" spans="1:7">
      <c r="A77" s="122" t="s">
        <v>1253</v>
      </c>
      <c r="B77" s="406" t="s">
        <v>1580</v>
      </c>
      <c r="C77" s="173">
        <v>1.46</v>
      </c>
      <c r="D77" s="173">
        <v>5432.09</v>
      </c>
      <c r="E77" s="173">
        <v>1.5</v>
      </c>
      <c r="F77" s="121">
        <v>0</v>
      </c>
      <c r="G77" s="121">
        <v>47530</v>
      </c>
    </row>
    <row r="78" spans="1:7">
      <c r="A78" s="122" t="s">
        <v>1285</v>
      </c>
      <c r="B78" s="406" t="s">
        <v>2846</v>
      </c>
      <c r="C78" s="173">
        <v>1.3385</v>
      </c>
      <c r="D78" s="173">
        <v>2584.0819999999999</v>
      </c>
      <c r="E78" s="173">
        <v>1.4644999999999999</v>
      </c>
      <c r="F78" s="121">
        <v>0</v>
      </c>
      <c r="G78" s="121">
        <v>22289</v>
      </c>
    </row>
    <row r="79" spans="1:7">
      <c r="A79" s="122" t="s">
        <v>2451</v>
      </c>
      <c r="B79" s="406" t="s">
        <v>295</v>
      </c>
      <c r="C79" s="173">
        <v>1.2130000000000001</v>
      </c>
      <c r="D79" s="173">
        <v>551.06399999999996</v>
      </c>
      <c r="E79" s="173">
        <v>1.3229</v>
      </c>
      <c r="F79" s="121">
        <v>0</v>
      </c>
      <c r="G79" s="121">
        <v>0</v>
      </c>
    </row>
    <row r="80" spans="1:7">
      <c r="A80" s="122" t="s">
        <v>1110</v>
      </c>
      <c r="B80" s="406" t="s">
        <v>320</v>
      </c>
      <c r="C80" s="173">
        <v>1.3069999999999999</v>
      </c>
      <c r="D80" s="173">
        <v>116.235</v>
      </c>
      <c r="E80" s="173">
        <v>1.43</v>
      </c>
      <c r="F80" s="121">
        <v>0</v>
      </c>
      <c r="G80" s="121">
        <v>0</v>
      </c>
    </row>
    <row r="81" spans="1:7">
      <c r="A81" s="122" t="s">
        <v>953</v>
      </c>
      <c r="B81" s="406" t="s">
        <v>2847</v>
      </c>
      <c r="C81" s="173">
        <v>0.89700000000000002</v>
      </c>
      <c r="D81" s="173">
        <v>382.59199999999998</v>
      </c>
      <c r="E81" s="173">
        <v>0.96640000000000004</v>
      </c>
      <c r="F81" s="121">
        <v>0</v>
      </c>
      <c r="G81" s="121">
        <v>0</v>
      </c>
    </row>
    <row r="82" spans="1:7">
      <c r="A82" s="122" t="s">
        <v>1286</v>
      </c>
      <c r="B82" s="406" t="s">
        <v>2848</v>
      </c>
      <c r="C82" s="173">
        <v>1.3419000000000001</v>
      </c>
      <c r="D82" s="173">
        <v>1912.0319999999999</v>
      </c>
      <c r="E82" s="173">
        <v>1.4694</v>
      </c>
      <c r="F82" s="121">
        <v>0</v>
      </c>
      <c r="G82" s="121">
        <v>25081</v>
      </c>
    </row>
    <row r="83" spans="1:7">
      <c r="A83" s="122" t="s">
        <v>1287</v>
      </c>
      <c r="B83" s="406" t="s">
        <v>2732</v>
      </c>
      <c r="C83" s="173">
        <v>1.3340000000000001</v>
      </c>
      <c r="D83" s="173">
        <v>82.659000000000006</v>
      </c>
      <c r="E83" s="173">
        <v>1.46</v>
      </c>
      <c r="F83" s="121">
        <v>0</v>
      </c>
      <c r="G83" s="121">
        <v>0</v>
      </c>
    </row>
    <row r="84" spans="1:7">
      <c r="A84" s="122" t="s">
        <v>954</v>
      </c>
      <c r="B84" s="406" t="s">
        <v>2849</v>
      </c>
      <c r="C84" s="173">
        <v>1.2902</v>
      </c>
      <c r="D84" s="173">
        <v>103.56100000000001</v>
      </c>
      <c r="E84" s="173">
        <v>1.41</v>
      </c>
      <c r="F84" s="121">
        <v>0</v>
      </c>
      <c r="G84" s="121">
        <v>0</v>
      </c>
    </row>
    <row r="85" spans="1:7">
      <c r="A85" s="122" t="s">
        <v>207</v>
      </c>
      <c r="B85" s="406" t="s">
        <v>1202</v>
      </c>
      <c r="C85" s="173">
        <v>1.3177000000000001</v>
      </c>
      <c r="D85" s="173">
        <v>12294.741</v>
      </c>
      <c r="E85" s="173">
        <v>1.4410000000000001</v>
      </c>
      <c r="F85" s="121">
        <v>0</v>
      </c>
      <c r="G85" s="121">
        <v>1320159</v>
      </c>
    </row>
    <row r="86" spans="1:7">
      <c r="A86" s="122" t="s">
        <v>1035</v>
      </c>
      <c r="B86" s="406" t="s">
        <v>2850</v>
      </c>
      <c r="C86" s="173">
        <v>1.2947</v>
      </c>
      <c r="D86" s="173">
        <v>5932.7849999999999</v>
      </c>
      <c r="E86" s="173">
        <v>1.4151</v>
      </c>
      <c r="F86" s="121">
        <v>0</v>
      </c>
      <c r="G86" s="121">
        <v>523941</v>
      </c>
    </row>
    <row r="87" spans="1:7">
      <c r="A87" s="122" t="s">
        <v>809</v>
      </c>
      <c r="B87" s="406" t="s">
        <v>3059</v>
      </c>
      <c r="C87" s="173">
        <v>1.333</v>
      </c>
      <c r="D87" s="173">
        <v>717.17</v>
      </c>
      <c r="E87" s="173">
        <v>1.4582999999999999</v>
      </c>
      <c r="F87" s="121">
        <v>0</v>
      </c>
      <c r="G87" s="121">
        <v>36201</v>
      </c>
    </row>
    <row r="88" spans="1:7">
      <c r="A88" s="122" t="s">
        <v>1321</v>
      </c>
      <c r="B88" s="406" t="s">
        <v>2851</v>
      </c>
      <c r="C88" s="173">
        <v>1.2282</v>
      </c>
      <c r="D88" s="173">
        <v>12226.07</v>
      </c>
      <c r="E88" s="173">
        <v>1.3626</v>
      </c>
      <c r="F88" s="121">
        <v>0</v>
      </c>
      <c r="G88" s="121">
        <v>474052</v>
      </c>
    </row>
    <row r="89" spans="1:7">
      <c r="A89" s="122" t="s">
        <v>1322</v>
      </c>
      <c r="B89" s="406" t="s">
        <v>2852</v>
      </c>
      <c r="C89" s="173">
        <v>1.37</v>
      </c>
      <c r="D89" s="173">
        <v>1959.51</v>
      </c>
      <c r="E89" s="173">
        <v>1.5</v>
      </c>
      <c r="F89" s="121">
        <v>0</v>
      </c>
      <c r="G89" s="121">
        <v>217450</v>
      </c>
    </row>
    <row r="90" spans="1:7">
      <c r="A90" s="122" t="s">
        <v>1616</v>
      </c>
      <c r="B90" s="406" t="s">
        <v>1741</v>
      </c>
      <c r="C90" s="173">
        <v>1.37</v>
      </c>
      <c r="D90" s="173">
        <v>2873.1550000000002</v>
      </c>
      <c r="E90" s="173">
        <v>1.5</v>
      </c>
      <c r="F90" s="121">
        <v>178679</v>
      </c>
      <c r="G90" s="121">
        <v>302526</v>
      </c>
    </row>
    <row r="91" spans="1:7">
      <c r="A91" s="122" t="s">
        <v>235</v>
      </c>
      <c r="B91" s="406" t="s">
        <v>303</v>
      </c>
      <c r="C91" s="173">
        <v>1.37</v>
      </c>
      <c r="D91" s="173">
        <v>14626.93</v>
      </c>
      <c r="E91" s="173">
        <v>1.5</v>
      </c>
      <c r="F91" s="121">
        <v>0</v>
      </c>
      <c r="G91" s="121">
        <v>1566037</v>
      </c>
    </row>
    <row r="92" spans="1:7">
      <c r="A92" s="122" t="s">
        <v>1323</v>
      </c>
      <c r="B92" s="406" t="s">
        <v>2853</v>
      </c>
      <c r="C92" s="173">
        <v>1.2990999999999999</v>
      </c>
      <c r="D92" s="173">
        <v>148.18</v>
      </c>
      <c r="E92" s="173">
        <v>1.42</v>
      </c>
      <c r="F92" s="121">
        <v>0</v>
      </c>
      <c r="G92" s="121">
        <v>32405</v>
      </c>
    </row>
    <row r="93" spans="1:7">
      <c r="A93" s="122" t="s">
        <v>631</v>
      </c>
      <c r="B93" s="406" t="s">
        <v>1334</v>
      </c>
      <c r="C93" s="173">
        <v>1.33</v>
      </c>
      <c r="D93" s="173">
        <v>8205.3719999999994</v>
      </c>
      <c r="E93" s="173">
        <v>1.5</v>
      </c>
      <c r="F93" s="121">
        <v>144358</v>
      </c>
      <c r="G93" s="121">
        <v>417980</v>
      </c>
    </row>
    <row r="94" spans="1:7">
      <c r="A94" s="122" t="s">
        <v>994</v>
      </c>
      <c r="B94" s="406" t="s">
        <v>3032</v>
      </c>
      <c r="C94" s="173">
        <v>1.37</v>
      </c>
      <c r="D94" s="173">
        <v>13486.073</v>
      </c>
      <c r="E94" s="173">
        <v>1.5</v>
      </c>
      <c r="F94" s="121">
        <v>0</v>
      </c>
      <c r="G94" s="121">
        <v>1124495</v>
      </c>
    </row>
    <row r="95" spans="1:7">
      <c r="A95" s="122" t="s">
        <v>2918</v>
      </c>
      <c r="B95" s="406" t="s">
        <v>2854</v>
      </c>
      <c r="C95" s="173">
        <v>1.19</v>
      </c>
      <c r="D95" s="173">
        <v>174.68700000000001</v>
      </c>
      <c r="E95" s="173">
        <v>1.3</v>
      </c>
      <c r="F95" s="121">
        <v>0</v>
      </c>
      <c r="G95" s="121">
        <v>132789</v>
      </c>
    </row>
    <row r="96" spans="1:7">
      <c r="A96" s="122" t="s">
        <v>440</v>
      </c>
      <c r="B96" s="406" t="s">
        <v>2855</v>
      </c>
      <c r="C96" s="173">
        <v>1.37</v>
      </c>
      <c r="D96" s="173">
        <v>939.49400000000003</v>
      </c>
      <c r="E96" s="173">
        <v>1.5</v>
      </c>
      <c r="F96" s="121">
        <v>0</v>
      </c>
      <c r="G96" s="121">
        <v>50831</v>
      </c>
    </row>
    <row r="97" spans="1:7">
      <c r="A97" s="122" t="s">
        <v>441</v>
      </c>
      <c r="B97" s="406" t="s">
        <v>1786</v>
      </c>
      <c r="C97" s="173">
        <v>1.37</v>
      </c>
      <c r="D97" s="173">
        <v>57.533999999999999</v>
      </c>
      <c r="E97" s="173">
        <v>1.5</v>
      </c>
      <c r="F97" s="121">
        <v>0</v>
      </c>
      <c r="G97" s="121">
        <v>0</v>
      </c>
    </row>
    <row r="98" spans="1:7">
      <c r="A98" s="122" t="s">
        <v>442</v>
      </c>
      <c r="B98" s="406" t="s">
        <v>1787</v>
      </c>
      <c r="C98" s="173">
        <v>1.1306</v>
      </c>
      <c r="D98" s="173">
        <v>17.55</v>
      </c>
      <c r="E98" s="173">
        <v>1.23</v>
      </c>
      <c r="F98" s="121">
        <v>0</v>
      </c>
      <c r="G98" s="121">
        <v>2448</v>
      </c>
    </row>
    <row r="99" spans="1:7">
      <c r="A99" s="122" t="s">
        <v>443</v>
      </c>
      <c r="B99" s="406" t="s">
        <v>1788</v>
      </c>
      <c r="C99" s="173">
        <v>1.2459</v>
      </c>
      <c r="D99" s="173">
        <v>201.93100000000001</v>
      </c>
      <c r="E99" s="173">
        <v>1.36</v>
      </c>
      <c r="F99" s="121">
        <v>0</v>
      </c>
      <c r="G99" s="121">
        <v>36891</v>
      </c>
    </row>
    <row r="100" spans="1:7">
      <c r="A100" s="122" t="s">
        <v>745</v>
      </c>
      <c r="B100" s="406" t="s">
        <v>1789</v>
      </c>
      <c r="C100" s="173">
        <v>1.2761</v>
      </c>
      <c r="D100" s="173">
        <v>1485.432</v>
      </c>
      <c r="E100" s="173">
        <v>1.3937999999999999</v>
      </c>
      <c r="F100" s="121">
        <v>0</v>
      </c>
      <c r="G100" s="121">
        <v>110964</v>
      </c>
    </row>
    <row r="101" spans="1:7">
      <c r="A101" s="122" t="s">
        <v>746</v>
      </c>
      <c r="B101" s="406" t="s">
        <v>1790</v>
      </c>
      <c r="C101" s="173">
        <v>1.3048</v>
      </c>
      <c r="D101" s="173">
        <v>1076.7829999999999</v>
      </c>
      <c r="E101" s="173">
        <v>1.4265000000000001</v>
      </c>
      <c r="F101" s="121">
        <v>0</v>
      </c>
      <c r="G101" s="121">
        <v>134090</v>
      </c>
    </row>
    <row r="102" spans="1:7">
      <c r="A102" s="122" t="s">
        <v>747</v>
      </c>
      <c r="B102" s="406" t="s">
        <v>1791</v>
      </c>
      <c r="C102" s="173">
        <v>1.3345</v>
      </c>
      <c r="D102" s="173">
        <v>3259.875</v>
      </c>
      <c r="E102" s="173">
        <v>1.46</v>
      </c>
      <c r="F102" s="121">
        <v>0</v>
      </c>
      <c r="G102" s="121">
        <v>139880</v>
      </c>
    </row>
    <row r="103" spans="1:7">
      <c r="A103" s="122" t="s">
        <v>988</v>
      </c>
      <c r="B103" s="406" t="s">
        <v>1519</v>
      </c>
      <c r="C103" s="173">
        <v>1.37</v>
      </c>
      <c r="D103" s="173">
        <v>227.637</v>
      </c>
      <c r="E103" s="173">
        <v>1.5</v>
      </c>
      <c r="F103" s="121">
        <v>0</v>
      </c>
      <c r="G103" s="121">
        <v>37875</v>
      </c>
    </row>
    <row r="104" spans="1:7">
      <c r="A104" s="122" t="s">
        <v>2893</v>
      </c>
      <c r="B104" s="406" t="s">
        <v>2362</v>
      </c>
      <c r="C104" s="173">
        <v>1.2148000000000001</v>
      </c>
      <c r="D104" s="173">
        <v>253.77099999999999</v>
      </c>
      <c r="E104" s="173">
        <v>1.325</v>
      </c>
      <c r="F104" s="121">
        <v>0</v>
      </c>
      <c r="G104" s="121">
        <v>43513</v>
      </c>
    </row>
    <row r="105" spans="1:7">
      <c r="A105" s="122" t="s">
        <v>1354</v>
      </c>
      <c r="B105" s="406" t="s">
        <v>3074</v>
      </c>
      <c r="C105" s="173">
        <v>1.2592000000000001</v>
      </c>
      <c r="D105" s="173">
        <v>181.179</v>
      </c>
      <c r="E105" s="173">
        <v>1.375</v>
      </c>
      <c r="F105" s="121">
        <v>0</v>
      </c>
      <c r="G105" s="121">
        <v>19275</v>
      </c>
    </row>
    <row r="106" spans="1:7">
      <c r="A106" s="122" t="s">
        <v>810</v>
      </c>
      <c r="B106" s="406" t="s">
        <v>2770</v>
      </c>
      <c r="C106" s="173">
        <v>1.37</v>
      </c>
      <c r="D106" s="173">
        <v>206.68899999999999</v>
      </c>
      <c r="E106" s="173">
        <v>1.5</v>
      </c>
      <c r="F106" s="121">
        <v>0</v>
      </c>
      <c r="G106" s="121">
        <v>23085</v>
      </c>
    </row>
    <row r="107" spans="1:7">
      <c r="A107" s="122" t="s">
        <v>872</v>
      </c>
      <c r="B107" s="406" t="s">
        <v>1214</v>
      </c>
      <c r="C107" s="173">
        <v>1.3280000000000001</v>
      </c>
      <c r="D107" s="173">
        <v>1264.2819999999999</v>
      </c>
      <c r="E107" s="173">
        <v>1.4530000000000001</v>
      </c>
      <c r="F107" s="121">
        <v>0</v>
      </c>
      <c r="G107" s="121">
        <v>66845</v>
      </c>
    </row>
    <row r="108" spans="1:7">
      <c r="A108" s="122" t="s">
        <v>748</v>
      </c>
      <c r="B108" s="406" t="s">
        <v>1792</v>
      </c>
      <c r="C108" s="173">
        <v>1.37</v>
      </c>
      <c r="D108" s="173">
        <v>1790.16</v>
      </c>
      <c r="E108" s="173">
        <v>1.5</v>
      </c>
      <c r="F108" s="121">
        <v>0</v>
      </c>
      <c r="G108" s="121">
        <v>221189</v>
      </c>
    </row>
    <row r="109" spans="1:7">
      <c r="A109" s="122" t="s">
        <v>749</v>
      </c>
      <c r="B109" s="406" t="s">
        <v>1793</v>
      </c>
      <c r="C109" s="173">
        <v>1.36</v>
      </c>
      <c r="D109" s="173">
        <v>582.31100000000004</v>
      </c>
      <c r="E109" s="173">
        <v>1.5</v>
      </c>
      <c r="F109" s="121">
        <v>0</v>
      </c>
      <c r="G109" s="121">
        <v>61160</v>
      </c>
    </row>
    <row r="110" spans="1:7">
      <c r="A110" s="122" t="s">
        <v>750</v>
      </c>
      <c r="B110" s="406" t="s">
        <v>1794</v>
      </c>
      <c r="C110" s="173">
        <v>1.37</v>
      </c>
      <c r="D110" s="173">
        <v>465.99400000000003</v>
      </c>
      <c r="E110" s="173">
        <v>1.5</v>
      </c>
      <c r="F110" s="121">
        <v>0</v>
      </c>
      <c r="G110" s="121">
        <v>69259</v>
      </c>
    </row>
    <row r="111" spans="1:7">
      <c r="A111" s="122" t="s">
        <v>2154</v>
      </c>
      <c r="B111" s="406" t="s">
        <v>1635</v>
      </c>
      <c r="C111" s="173">
        <v>1.3478000000000001</v>
      </c>
      <c r="D111" s="173">
        <v>3026.0189999999998</v>
      </c>
      <c r="E111" s="173">
        <v>1.4750000000000001</v>
      </c>
      <c r="F111" s="121">
        <v>220208</v>
      </c>
      <c r="G111" s="121">
        <v>731604</v>
      </c>
    </row>
    <row r="112" spans="1:7">
      <c r="A112" s="122" t="s">
        <v>380</v>
      </c>
      <c r="B112" s="406" t="s">
        <v>322</v>
      </c>
      <c r="C112" s="173">
        <v>1.341</v>
      </c>
      <c r="D112" s="173">
        <v>3614.9839999999999</v>
      </c>
      <c r="E112" s="173">
        <v>1.49</v>
      </c>
      <c r="F112" s="121">
        <v>0</v>
      </c>
      <c r="G112" s="121">
        <v>431068</v>
      </c>
    </row>
    <row r="113" spans="1:7">
      <c r="A113" s="122" t="s">
        <v>497</v>
      </c>
      <c r="B113" s="406" t="s">
        <v>2546</v>
      </c>
      <c r="C113" s="173">
        <v>1.37</v>
      </c>
      <c r="D113" s="173">
        <v>4198.2359999999999</v>
      </c>
      <c r="E113" s="173">
        <v>1.5</v>
      </c>
      <c r="F113" s="121">
        <v>111613</v>
      </c>
      <c r="G113" s="121">
        <v>625263</v>
      </c>
    </row>
    <row r="114" spans="1:7">
      <c r="A114" s="122" t="s">
        <v>1318</v>
      </c>
      <c r="B114" s="406" t="s">
        <v>948</v>
      </c>
      <c r="C114" s="173">
        <v>1.179</v>
      </c>
      <c r="D114" s="173">
        <v>1465.5530000000001</v>
      </c>
      <c r="E114" s="173">
        <v>1.2849999999999999</v>
      </c>
      <c r="F114" s="121">
        <v>0</v>
      </c>
      <c r="G114" s="121">
        <v>81093</v>
      </c>
    </row>
    <row r="115" spans="1:7">
      <c r="A115" s="122" t="s">
        <v>2631</v>
      </c>
      <c r="B115" s="406" t="s">
        <v>1795</v>
      </c>
      <c r="C115" s="173">
        <v>1.1000000000000001</v>
      </c>
      <c r="D115" s="173">
        <v>192.2</v>
      </c>
      <c r="E115" s="173">
        <v>1.2</v>
      </c>
      <c r="F115" s="121">
        <v>0</v>
      </c>
      <c r="G115" s="121">
        <v>12393</v>
      </c>
    </row>
    <row r="116" spans="1:7">
      <c r="A116" s="122" t="s">
        <v>1535</v>
      </c>
      <c r="B116" s="406" t="s">
        <v>1796</v>
      </c>
      <c r="C116" s="173">
        <v>1.2968999999999999</v>
      </c>
      <c r="D116" s="173">
        <v>3969.694</v>
      </c>
      <c r="E116" s="173">
        <v>1.4176</v>
      </c>
      <c r="F116" s="121">
        <v>0</v>
      </c>
      <c r="G116" s="121">
        <v>339223</v>
      </c>
    </row>
    <row r="117" spans="1:7">
      <c r="A117" s="122" t="s">
        <v>2671</v>
      </c>
      <c r="B117" s="406" t="s">
        <v>1797</v>
      </c>
      <c r="C117" s="173">
        <v>1.1282000000000001</v>
      </c>
      <c r="D117" s="173">
        <v>344.55399999999997</v>
      </c>
      <c r="E117" s="173">
        <v>1.2273000000000001</v>
      </c>
      <c r="F117" s="121">
        <v>0</v>
      </c>
      <c r="G117" s="121">
        <v>66144</v>
      </c>
    </row>
    <row r="118" spans="1:7">
      <c r="A118" s="122" t="s">
        <v>811</v>
      </c>
      <c r="B118" s="406" t="s">
        <v>1332</v>
      </c>
      <c r="C118" s="173">
        <v>1.37</v>
      </c>
      <c r="D118" s="173">
        <v>1396.32</v>
      </c>
      <c r="E118" s="173">
        <v>1.5</v>
      </c>
      <c r="F118" s="121">
        <v>0</v>
      </c>
      <c r="G118" s="121">
        <v>141936</v>
      </c>
    </row>
    <row r="119" spans="1:7">
      <c r="A119" s="122" t="s">
        <v>171</v>
      </c>
      <c r="B119" s="406" t="s">
        <v>1798</v>
      </c>
      <c r="C119" s="173">
        <v>1.2477</v>
      </c>
      <c r="D119" s="173">
        <v>315.02999999999997</v>
      </c>
      <c r="E119" s="173">
        <v>1.3620000000000001</v>
      </c>
      <c r="F119" s="121">
        <v>0</v>
      </c>
      <c r="G119" s="121">
        <v>23959</v>
      </c>
    </row>
    <row r="120" spans="1:7">
      <c r="A120" s="122" t="s">
        <v>2090</v>
      </c>
      <c r="B120" s="406" t="s">
        <v>1799</v>
      </c>
      <c r="C120" s="173">
        <v>1.37</v>
      </c>
      <c r="D120" s="173">
        <v>457.048</v>
      </c>
      <c r="E120" s="173">
        <v>1.5</v>
      </c>
      <c r="F120" s="121">
        <v>0</v>
      </c>
      <c r="G120" s="121">
        <v>66523</v>
      </c>
    </row>
    <row r="121" spans="1:7">
      <c r="A121" s="122" t="s">
        <v>993</v>
      </c>
      <c r="B121" s="406" t="s">
        <v>3031</v>
      </c>
      <c r="C121" s="173">
        <v>1.3156000000000001</v>
      </c>
      <c r="D121" s="173">
        <v>44515.707000000002</v>
      </c>
      <c r="E121" s="173">
        <v>1.4387000000000001</v>
      </c>
      <c r="F121" s="121">
        <v>0</v>
      </c>
      <c r="G121" s="121">
        <v>2120105</v>
      </c>
    </row>
    <row r="122" spans="1:7">
      <c r="A122" s="122" t="s">
        <v>2126</v>
      </c>
      <c r="B122" s="406" t="s">
        <v>501</v>
      </c>
      <c r="C122" s="173">
        <v>1.339</v>
      </c>
      <c r="D122" s="173">
        <v>15602.634</v>
      </c>
      <c r="E122" s="173">
        <v>1.4650000000000001</v>
      </c>
      <c r="F122" s="121">
        <v>178950</v>
      </c>
      <c r="G122" s="121">
        <v>981707</v>
      </c>
    </row>
    <row r="123" spans="1:7">
      <c r="A123" s="122" t="s">
        <v>64</v>
      </c>
      <c r="B123" s="406" t="s">
        <v>2148</v>
      </c>
      <c r="C123" s="173">
        <v>1.2490000000000001</v>
      </c>
      <c r="D123" s="173">
        <v>2894.3919999999998</v>
      </c>
      <c r="E123" s="173">
        <v>1.3640000000000001</v>
      </c>
      <c r="F123" s="121">
        <v>0</v>
      </c>
      <c r="G123" s="121">
        <v>168101</v>
      </c>
    </row>
    <row r="124" spans="1:7">
      <c r="A124" s="122" t="s">
        <v>2606</v>
      </c>
      <c r="B124" s="406" t="s">
        <v>1427</v>
      </c>
      <c r="C124" s="173">
        <v>1.3280000000000001</v>
      </c>
      <c r="D124" s="173">
        <v>7837.71</v>
      </c>
      <c r="E124" s="173">
        <v>1.454</v>
      </c>
      <c r="F124" s="121">
        <v>44863</v>
      </c>
      <c r="G124" s="121">
        <v>1052041</v>
      </c>
    </row>
    <row r="125" spans="1:7">
      <c r="A125" s="122" t="s">
        <v>1892</v>
      </c>
      <c r="B125" s="406" t="s">
        <v>1800</v>
      </c>
      <c r="C125" s="173">
        <v>1.1816</v>
      </c>
      <c r="D125" s="173">
        <v>2361.9899999999998</v>
      </c>
      <c r="E125" s="173">
        <v>1.2875000000000001</v>
      </c>
      <c r="F125" s="121">
        <v>0</v>
      </c>
      <c r="G125" s="121">
        <v>160994</v>
      </c>
    </row>
    <row r="126" spans="1:7">
      <c r="A126" s="122" t="s">
        <v>812</v>
      </c>
      <c r="B126" s="406" t="s">
        <v>3093</v>
      </c>
      <c r="C126" s="173">
        <v>1.34</v>
      </c>
      <c r="D126" s="173">
        <v>2114.8159999999998</v>
      </c>
      <c r="E126" s="173">
        <v>1.47</v>
      </c>
      <c r="F126" s="121">
        <v>0</v>
      </c>
      <c r="G126" s="121">
        <v>228415</v>
      </c>
    </row>
    <row r="127" spans="1:7">
      <c r="A127" s="122" t="s">
        <v>1490</v>
      </c>
      <c r="B127" s="406" t="s">
        <v>2309</v>
      </c>
      <c r="C127" s="173">
        <v>1.32</v>
      </c>
      <c r="D127" s="173">
        <v>9631.0329999999994</v>
      </c>
      <c r="E127" s="173">
        <v>1.4450000000000001</v>
      </c>
      <c r="F127" s="121">
        <v>9613</v>
      </c>
      <c r="G127" s="121">
        <v>846472</v>
      </c>
    </row>
    <row r="128" spans="1:7">
      <c r="A128" s="122" t="s">
        <v>813</v>
      </c>
      <c r="B128" s="406" t="s">
        <v>99</v>
      </c>
      <c r="C128" s="173">
        <v>1.3701000000000001</v>
      </c>
      <c r="D128" s="173">
        <v>559.76599999999996</v>
      </c>
      <c r="E128" s="173">
        <v>1.5</v>
      </c>
      <c r="F128" s="121">
        <v>0</v>
      </c>
      <c r="G128" s="121">
        <v>66562</v>
      </c>
    </row>
    <row r="129" spans="1:7">
      <c r="A129" s="122" t="s">
        <v>534</v>
      </c>
      <c r="B129" s="406" t="s">
        <v>100</v>
      </c>
      <c r="C129" s="173">
        <v>1.33</v>
      </c>
      <c r="D129" s="173">
        <v>1116.127</v>
      </c>
      <c r="E129" s="173">
        <v>1.46</v>
      </c>
      <c r="F129" s="121">
        <v>0</v>
      </c>
      <c r="G129" s="121">
        <v>80732</v>
      </c>
    </row>
    <row r="130" spans="1:7">
      <c r="A130" s="122" t="s">
        <v>1050</v>
      </c>
      <c r="B130" s="406" t="s">
        <v>1801</v>
      </c>
      <c r="C130" s="173">
        <v>1.262</v>
      </c>
      <c r="D130" s="173">
        <v>2266.2849999999999</v>
      </c>
      <c r="E130" s="173">
        <v>1.379</v>
      </c>
      <c r="F130" s="121">
        <v>0</v>
      </c>
      <c r="G130" s="121">
        <v>285727</v>
      </c>
    </row>
    <row r="131" spans="1:7">
      <c r="A131" s="122" t="s">
        <v>1051</v>
      </c>
      <c r="B131" s="406" t="s">
        <v>1802</v>
      </c>
      <c r="C131" s="173">
        <v>1.37</v>
      </c>
      <c r="D131" s="173">
        <v>130.98699999999999</v>
      </c>
      <c r="E131" s="173">
        <v>1.5</v>
      </c>
      <c r="F131" s="121">
        <v>0</v>
      </c>
      <c r="G131" s="121">
        <v>15569</v>
      </c>
    </row>
    <row r="132" spans="1:7">
      <c r="A132" s="122" t="s">
        <v>879</v>
      </c>
      <c r="B132" s="406" t="s">
        <v>2484</v>
      </c>
      <c r="C132" s="173">
        <v>1.363</v>
      </c>
      <c r="D132" s="173">
        <v>665.78099999999995</v>
      </c>
      <c r="E132" s="173">
        <v>1.5</v>
      </c>
      <c r="F132" s="121">
        <v>0</v>
      </c>
      <c r="G132" s="121">
        <v>73229</v>
      </c>
    </row>
    <row r="133" spans="1:7">
      <c r="A133" s="122" t="s">
        <v>2050</v>
      </c>
      <c r="B133" s="406" t="s">
        <v>2485</v>
      </c>
      <c r="C133" s="173">
        <v>1.36</v>
      </c>
      <c r="D133" s="173">
        <v>387.39</v>
      </c>
      <c r="E133" s="173">
        <v>1.49</v>
      </c>
      <c r="F133" s="121">
        <v>0</v>
      </c>
      <c r="G133" s="121">
        <v>23856</v>
      </c>
    </row>
    <row r="134" spans="1:7">
      <c r="A134" s="122" t="s">
        <v>1941</v>
      </c>
      <c r="B134" s="406" t="s">
        <v>2486</v>
      </c>
      <c r="C134" s="173">
        <v>1.3488</v>
      </c>
      <c r="D134" s="173">
        <v>1815.82</v>
      </c>
      <c r="E134" s="173">
        <v>1.476</v>
      </c>
      <c r="F134" s="121">
        <v>0</v>
      </c>
      <c r="G134" s="121">
        <v>252137</v>
      </c>
    </row>
    <row r="135" spans="1:7">
      <c r="A135" s="122" t="s">
        <v>1942</v>
      </c>
      <c r="B135" s="406" t="s">
        <v>2487</v>
      </c>
      <c r="C135" s="173">
        <v>1.37</v>
      </c>
      <c r="D135" s="173">
        <v>147.71</v>
      </c>
      <c r="E135" s="173">
        <v>1.5</v>
      </c>
      <c r="F135" s="121">
        <v>0</v>
      </c>
      <c r="G135" s="121">
        <v>14576</v>
      </c>
    </row>
    <row r="136" spans="1:7">
      <c r="A136" s="122" t="s">
        <v>842</v>
      </c>
      <c r="B136" s="406" t="s">
        <v>2488</v>
      </c>
      <c r="C136" s="173">
        <v>1.34</v>
      </c>
      <c r="D136" s="173">
        <v>893.51700000000005</v>
      </c>
      <c r="E136" s="173">
        <v>1.47</v>
      </c>
      <c r="F136" s="121">
        <v>0</v>
      </c>
      <c r="G136" s="121">
        <v>63064</v>
      </c>
    </row>
    <row r="137" spans="1:7">
      <c r="A137" s="122" t="s">
        <v>843</v>
      </c>
      <c r="B137" s="406" t="s">
        <v>1920</v>
      </c>
      <c r="C137" s="173">
        <v>1.35</v>
      </c>
      <c r="D137" s="173">
        <v>807.68</v>
      </c>
      <c r="E137" s="173">
        <v>1.48</v>
      </c>
      <c r="F137" s="121">
        <v>0</v>
      </c>
      <c r="G137" s="121">
        <v>139651</v>
      </c>
    </row>
    <row r="138" spans="1:7">
      <c r="A138" s="122" t="s">
        <v>2142</v>
      </c>
      <c r="B138" s="406" t="s">
        <v>929</v>
      </c>
      <c r="C138" s="173">
        <v>1.2774000000000001</v>
      </c>
      <c r="D138" s="173">
        <v>405.68400000000003</v>
      </c>
      <c r="E138" s="173">
        <v>1.3955</v>
      </c>
      <c r="F138" s="121">
        <v>0</v>
      </c>
      <c r="G138" s="121">
        <v>23187</v>
      </c>
    </row>
    <row r="139" spans="1:7">
      <c r="A139" s="122" t="s">
        <v>844</v>
      </c>
      <c r="B139" s="406" t="s">
        <v>1921</v>
      </c>
      <c r="C139" s="173">
        <v>1.33</v>
      </c>
      <c r="D139" s="173">
        <v>1024.83</v>
      </c>
      <c r="E139" s="173">
        <v>1.5</v>
      </c>
      <c r="F139" s="121">
        <v>0</v>
      </c>
      <c r="G139" s="121">
        <v>119028</v>
      </c>
    </row>
    <row r="140" spans="1:7">
      <c r="A140" s="122" t="s">
        <v>845</v>
      </c>
      <c r="B140" s="406" t="s">
        <v>1922</v>
      </c>
      <c r="C140" s="173">
        <v>1.2690999999999999</v>
      </c>
      <c r="D140" s="173">
        <v>40.523000000000003</v>
      </c>
      <c r="E140" s="173">
        <v>1.3862000000000001</v>
      </c>
      <c r="F140" s="121">
        <v>0</v>
      </c>
      <c r="G140" s="121">
        <v>36057</v>
      </c>
    </row>
    <row r="141" spans="1:7">
      <c r="A141" s="122" t="s">
        <v>2226</v>
      </c>
      <c r="B141" s="406" t="s">
        <v>1923</v>
      </c>
      <c r="C141" s="173">
        <v>1.5</v>
      </c>
      <c r="D141" s="173">
        <v>235.38399999999999</v>
      </c>
      <c r="E141" s="173">
        <v>1.5</v>
      </c>
      <c r="F141" s="121">
        <v>0</v>
      </c>
      <c r="G141" s="121">
        <v>15364</v>
      </c>
    </row>
    <row r="142" spans="1:7">
      <c r="A142" s="122" t="s">
        <v>2227</v>
      </c>
      <c r="B142" s="406" t="s">
        <v>1924</v>
      </c>
      <c r="C142" s="173">
        <v>1.37</v>
      </c>
      <c r="D142" s="173">
        <v>1047.4770000000001</v>
      </c>
      <c r="E142" s="173">
        <v>1.5</v>
      </c>
      <c r="F142" s="121">
        <v>0</v>
      </c>
      <c r="G142" s="121">
        <v>75132</v>
      </c>
    </row>
    <row r="143" spans="1:7">
      <c r="A143" s="122" t="s">
        <v>2788</v>
      </c>
      <c r="B143" s="406" t="s">
        <v>1925</v>
      </c>
      <c r="C143" s="173">
        <v>1.325</v>
      </c>
      <c r="D143" s="173">
        <v>321.25200000000001</v>
      </c>
      <c r="E143" s="173">
        <v>1.45</v>
      </c>
      <c r="F143" s="121">
        <v>0</v>
      </c>
      <c r="G143" s="121">
        <v>13814</v>
      </c>
    </row>
    <row r="144" spans="1:7">
      <c r="A144" s="122" t="s">
        <v>2904</v>
      </c>
      <c r="B144" s="406" t="s">
        <v>425</v>
      </c>
      <c r="C144" s="173">
        <v>1.3520000000000001</v>
      </c>
      <c r="D144" s="173">
        <v>222.29900000000001</v>
      </c>
      <c r="E144" s="173">
        <v>1.48</v>
      </c>
      <c r="F144" s="121">
        <v>0</v>
      </c>
      <c r="G144" s="121">
        <v>8629</v>
      </c>
    </row>
    <row r="145" spans="1:7">
      <c r="A145" s="122" t="s">
        <v>1840</v>
      </c>
      <c r="B145" s="406" t="s">
        <v>1205</v>
      </c>
      <c r="C145" s="173">
        <v>1.37</v>
      </c>
      <c r="D145" s="173">
        <v>1362.1769999999999</v>
      </c>
      <c r="E145" s="173">
        <v>1.5</v>
      </c>
      <c r="F145" s="121">
        <v>0</v>
      </c>
      <c r="G145" s="121">
        <v>147763</v>
      </c>
    </row>
    <row r="146" spans="1:7">
      <c r="A146" s="122" t="s">
        <v>2789</v>
      </c>
      <c r="B146" s="406" t="s">
        <v>1926</v>
      </c>
      <c r="C146" s="173">
        <v>1.37</v>
      </c>
      <c r="D146" s="173">
        <v>3308.8690000000001</v>
      </c>
      <c r="E146" s="173">
        <v>1.5</v>
      </c>
      <c r="F146" s="121">
        <v>0</v>
      </c>
      <c r="G146" s="121">
        <v>353360</v>
      </c>
    </row>
    <row r="147" spans="1:7">
      <c r="A147" s="122" t="s">
        <v>316</v>
      </c>
      <c r="B147" s="406" t="s">
        <v>2716</v>
      </c>
      <c r="C147" s="173">
        <v>1.2902</v>
      </c>
      <c r="D147" s="173">
        <v>1136.3340000000001</v>
      </c>
      <c r="E147" s="173">
        <v>1.41</v>
      </c>
      <c r="F147" s="121">
        <v>0</v>
      </c>
      <c r="G147" s="121">
        <v>68088</v>
      </c>
    </row>
    <row r="148" spans="1:7">
      <c r="A148" s="122" t="s">
        <v>1658</v>
      </c>
      <c r="B148" s="406" t="s">
        <v>1691</v>
      </c>
      <c r="C148" s="173">
        <v>1.3380000000000001</v>
      </c>
      <c r="D148" s="173">
        <v>603.59900000000005</v>
      </c>
      <c r="E148" s="173">
        <v>1.464</v>
      </c>
      <c r="F148" s="121">
        <v>0</v>
      </c>
      <c r="G148" s="121">
        <v>72612</v>
      </c>
    </row>
    <row r="149" spans="1:7">
      <c r="A149" s="122" t="s">
        <v>50</v>
      </c>
      <c r="B149" s="406" t="s">
        <v>445</v>
      </c>
      <c r="C149" s="173">
        <v>1.33</v>
      </c>
      <c r="D149" s="173">
        <v>4482.7380000000003</v>
      </c>
      <c r="E149" s="173">
        <v>1.4550000000000001</v>
      </c>
      <c r="F149" s="121">
        <v>0</v>
      </c>
      <c r="G149" s="121">
        <v>517397</v>
      </c>
    </row>
    <row r="150" spans="1:7">
      <c r="A150" s="122" t="s">
        <v>1486</v>
      </c>
      <c r="B150" s="406" t="s">
        <v>669</v>
      </c>
      <c r="C150" s="173">
        <v>1.37</v>
      </c>
      <c r="D150" s="173">
        <v>1780.7429999999999</v>
      </c>
      <c r="E150" s="173">
        <v>1.5</v>
      </c>
      <c r="F150" s="121">
        <v>0</v>
      </c>
      <c r="G150" s="121">
        <v>249069</v>
      </c>
    </row>
    <row r="151" spans="1:7">
      <c r="A151" s="122" t="s">
        <v>2907</v>
      </c>
      <c r="B151" s="406" t="s">
        <v>1306</v>
      </c>
      <c r="C151" s="173">
        <v>1.343</v>
      </c>
      <c r="D151" s="173">
        <v>407.27199999999999</v>
      </c>
      <c r="E151" s="173">
        <v>1.5</v>
      </c>
      <c r="F151" s="121">
        <v>0</v>
      </c>
      <c r="G151" s="121">
        <v>66375</v>
      </c>
    </row>
    <row r="152" spans="1:7">
      <c r="A152" s="122" t="s">
        <v>1659</v>
      </c>
      <c r="B152" s="406" t="s">
        <v>30</v>
      </c>
      <c r="C152" s="173">
        <v>1.37</v>
      </c>
      <c r="D152" s="173">
        <v>310.27600000000001</v>
      </c>
      <c r="E152" s="173">
        <v>1.5</v>
      </c>
      <c r="F152" s="121">
        <v>0</v>
      </c>
      <c r="G152" s="121">
        <v>18514</v>
      </c>
    </row>
    <row r="153" spans="1:7">
      <c r="A153" s="122" t="s">
        <v>84</v>
      </c>
      <c r="B153" s="406" t="s">
        <v>2500</v>
      </c>
      <c r="C153" s="173">
        <v>1.37</v>
      </c>
      <c r="D153" s="173">
        <v>1114.0940000000001</v>
      </c>
      <c r="E153" s="173">
        <v>1.5</v>
      </c>
      <c r="F153" s="121">
        <v>0</v>
      </c>
      <c r="G153" s="121">
        <v>39513</v>
      </c>
    </row>
    <row r="154" spans="1:7">
      <c r="A154" s="122" t="s">
        <v>1270</v>
      </c>
      <c r="B154" s="406" t="s">
        <v>31</v>
      </c>
      <c r="C154" s="173">
        <v>1.37</v>
      </c>
      <c r="D154" s="173">
        <v>107.22499999999999</v>
      </c>
      <c r="E154" s="173">
        <v>1.5</v>
      </c>
      <c r="F154" s="121">
        <v>0</v>
      </c>
      <c r="G154" s="121">
        <v>4964</v>
      </c>
    </row>
    <row r="155" spans="1:7">
      <c r="A155" s="122" t="s">
        <v>2482</v>
      </c>
      <c r="B155" s="406" t="s">
        <v>2193</v>
      </c>
      <c r="C155" s="173">
        <v>1.34</v>
      </c>
      <c r="D155" s="173">
        <v>956.31299999999999</v>
      </c>
      <c r="E155" s="173">
        <v>1.47</v>
      </c>
      <c r="F155" s="121">
        <v>0</v>
      </c>
      <c r="G155" s="121">
        <v>116654</v>
      </c>
    </row>
    <row r="156" spans="1:7">
      <c r="A156" s="122" t="s">
        <v>814</v>
      </c>
      <c r="B156" s="406" t="s">
        <v>1124</v>
      </c>
      <c r="C156" s="173">
        <v>1.37</v>
      </c>
      <c r="D156" s="173">
        <v>456.50799999999998</v>
      </c>
      <c r="E156" s="173">
        <v>1.5</v>
      </c>
      <c r="F156" s="121">
        <v>0</v>
      </c>
      <c r="G156" s="121">
        <v>55227</v>
      </c>
    </row>
    <row r="157" spans="1:7">
      <c r="A157" s="122" t="s">
        <v>2483</v>
      </c>
      <c r="B157" s="406" t="s">
        <v>2194</v>
      </c>
      <c r="C157" s="173">
        <v>1.37</v>
      </c>
      <c r="D157" s="173">
        <v>172.44200000000001</v>
      </c>
      <c r="E157" s="173">
        <v>1.5</v>
      </c>
      <c r="F157" s="121">
        <v>0</v>
      </c>
      <c r="G157" s="121">
        <v>17878</v>
      </c>
    </row>
    <row r="158" spans="1:7">
      <c r="A158" s="122" t="s">
        <v>1883</v>
      </c>
      <c r="B158" s="406" t="s">
        <v>2195</v>
      </c>
      <c r="C158" s="173">
        <v>1.37</v>
      </c>
      <c r="D158" s="173">
        <v>136.34700000000001</v>
      </c>
      <c r="E158" s="173">
        <v>1.5</v>
      </c>
      <c r="F158" s="121">
        <v>0</v>
      </c>
      <c r="G158" s="121">
        <v>41222</v>
      </c>
    </row>
    <row r="159" spans="1:7">
      <c r="A159" s="122" t="s">
        <v>1884</v>
      </c>
      <c r="B159" s="406" t="s">
        <v>2468</v>
      </c>
      <c r="C159" s="173">
        <v>1.37</v>
      </c>
      <c r="D159" s="173">
        <v>488.661</v>
      </c>
      <c r="E159" s="173">
        <v>1.5</v>
      </c>
      <c r="F159" s="121">
        <v>0</v>
      </c>
      <c r="G159" s="121">
        <v>26202</v>
      </c>
    </row>
    <row r="160" spans="1:7">
      <c r="A160" s="122" t="s">
        <v>899</v>
      </c>
      <c r="B160" s="406" t="s">
        <v>2469</v>
      </c>
      <c r="C160" s="173">
        <v>1.37</v>
      </c>
      <c r="D160" s="173">
        <v>315.88400000000001</v>
      </c>
      <c r="E160" s="173">
        <v>1.5</v>
      </c>
      <c r="F160" s="121">
        <v>0</v>
      </c>
      <c r="G160" s="121">
        <v>55632</v>
      </c>
    </row>
    <row r="161" spans="1:7">
      <c r="A161" s="122" t="s">
        <v>900</v>
      </c>
      <c r="B161" s="406" t="s">
        <v>2470</v>
      </c>
      <c r="C161" s="173">
        <v>1.3257000000000001</v>
      </c>
      <c r="D161" s="173">
        <v>512.22199999999998</v>
      </c>
      <c r="E161" s="173">
        <v>1.45</v>
      </c>
      <c r="F161" s="121">
        <v>0</v>
      </c>
      <c r="G161" s="121">
        <v>49399</v>
      </c>
    </row>
    <row r="162" spans="1:7">
      <c r="A162" s="122" t="s">
        <v>922</v>
      </c>
      <c r="B162" s="406" t="s">
        <v>2471</v>
      </c>
      <c r="C162" s="173">
        <v>1.37</v>
      </c>
      <c r="D162" s="173">
        <v>262.83300000000003</v>
      </c>
      <c r="E162" s="173">
        <v>1.5</v>
      </c>
      <c r="F162" s="121">
        <v>0</v>
      </c>
      <c r="G162" s="121">
        <v>33167</v>
      </c>
    </row>
    <row r="163" spans="1:7">
      <c r="A163" s="122" t="s">
        <v>630</v>
      </c>
      <c r="B163" s="406" t="s">
        <v>1333</v>
      </c>
      <c r="C163" s="173">
        <v>1.3346</v>
      </c>
      <c r="D163" s="173">
        <v>952.31200000000001</v>
      </c>
      <c r="E163" s="173">
        <v>1.46</v>
      </c>
      <c r="F163" s="121">
        <v>0</v>
      </c>
      <c r="G163" s="121">
        <v>40994</v>
      </c>
    </row>
    <row r="164" spans="1:7">
      <c r="A164" s="122" t="s">
        <v>2712</v>
      </c>
      <c r="B164" s="406" t="s">
        <v>97</v>
      </c>
      <c r="C164" s="173">
        <v>1.37</v>
      </c>
      <c r="D164" s="173">
        <v>261.95400000000001</v>
      </c>
      <c r="E164" s="173">
        <v>1.5</v>
      </c>
      <c r="F164" s="121">
        <v>0</v>
      </c>
      <c r="G164" s="121">
        <v>48694</v>
      </c>
    </row>
    <row r="165" spans="1:7">
      <c r="A165" s="122" t="s">
        <v>923</v>
      </c>
      <c r="B165" s="406" t="s">
        <v>2472</v>
      </c>
      <c r="C165" s="173">
        <v>1.37</v>
      </c>
      <c r="D165" s="173">
        <v>171.94399999999999</v>
      </c>
      <c r="E165" s="173">
        <v>1.5</v>
      </c>
      <c r="F165" s="121">
        <v>0</v>
      </c>
      <c r="G165" s="121">
        <v>68942</v>
      </c>
    </row>
    <row r="166" spans="1:7">
      <c r="A166" s="122" t="s">
        <v>1954</v>
      </c>
      <c r="B166" s="406" t="s">
        <v>2473</v>
      </c>
      <c r="C166" s="173">
        <v>1.3701000000000001</v>
      </c>
      <c r="D166" s="173">
        <v>91.811999999999998</v>
      </c>
      <c r="E166" s="173">
        <v>1.5</v>
      </c>
      <c r="F166" s="121">
        <v>0</v>
      </c>
      <c r="G166" s="121">
        <v>114974</v>
      </c>
    </row>
    <row r="167" spans="1:7">
      <c r="A167" s="122" t="s">
        <v>638</v>
      </c>
      <c r="B167" s="406" t="s">
        <v>2234</v>
      </c>
      <c r="C167" s="173">
        <v>1.37</v>
      </c>
      <c r="D167" s="173">
        <v>15291.954</v>
      </c>
      <c r="E167" s="173">
        <v>1.5</v>
      </c>
      <c r="F167" s="121">
        <v>192321</v>
      </c>
      <c r="G167" s="121">
        <v>501954</v>
      </c>
    </row>
    <row r="168" spans="1:7">
      <c r="A168" s="122" t="s">
        <v>1841</v>
      </c>
      <c r="B168" s="406" t="s">
        <v>1206</v>
      </c>
      <c r="C168" s="173">
        <v>1.3304</v>
      </c>
      <c r="D168" s="173">
        <v>1465.502</v>
      </c>
      <c r="E168" s="173">
        <v>1.4552</v>
      </c>
      <c r="F168" s="121">
        <v>156121</v>
      </c>
      <c r="G168" s="121">
        <v>105951</v>
      </c>
    </row>
    <row r="169" spans="1:7">
      <c r="A169" s="122" t="s">
        <v>2862</v>
      </c>
      <c r="B169" s="406" t="s">
        <v>733</v>
      </c>
      <c r="C169" s="173">
        <v>1.37</v>
      </c>
      <c r="D169" s="173">
        <v>1426.7339999999999</v>
      </c>
      <c r="E169" s="173">
        <v>1.5</v>
      </c>
      <c r="F169" s="121">
        <v>0</v>
      </c>
      <c r="G169" s="121">
        <v>88423</v>
      </c>
    </row>
    <row r="170" spans="1:7">
      <c r="A170" s="122" t="s">
        <v>1900</v>
      </c>
      <c r="B170" s="406" t="s">
        <v>129</v>
      </c>
      <c r="C170" s="173">
        <v>1.3168</v>
      </c>
      <c r="D170" s="173">
        <v>1367.8779999999999</v>
      </c>
      <c r="E170" s="173">
        <v>1.44</v>
      </c>
      <c r="F170" s="121">
        <v>0</v>
      </c>
      <c r="G170" s="121">
        <v>101020</v>
      </c>
    </row>
    <row r="171" spans="1:7">
      <c r="A171" s="122" t="s">
        <v>1605</v>
      </c>
      <c r="B171" s="406" t="s">
        <v>1667</v>
      </c>
      <c r="C171" s="173">
        <v>1.21</v>
      </c>
      <c r="D171" s="173">
        <v>18973.589</v>
      </c>
      <c r="E171" s="173">
        <v>1.32</v>
      </c>
      <c r="F171" s="121">
        <v>697687</v>
      </c>
      <c r="G171" s="121">
        <v>733249</v>
      </c>
    </row>
    <row r="172" spans="1:7">
      <c r="A172" s="122" t="s">
        <v>2895</v>
      </c>
      <c r="B172" s="406" t="s">
        <v>928</v>
      </c>
      <c r="C172" s="173">
        <v>1.37</v>
      </c>
      <c r="D172" s="173">
        <v>18530.576000000001</v>
      </c>
      <c r="E172" s="173">
        <v>1.5</v>
      </c>
      <c r="F172" s="121">
        <v>189208</v>
      </c>
      <c r="G172" s="121">
        <v>1182362</v>
      </c>
    </row>
    <row r="173" spans="1:7">
      <c r="A173" s="122" t="s">
        <v>724</v>
      </c>
      <c r="B173" s="406" t="s">
        <v>2518</v>
      </c>
      <c r="C173" s="173">
        <v>1.37</v>
      </c>
      <c r="D173" s="173">
        <v>767.39499999999998</v>
      </c>
      <c r="E173" s="173">
        <v>1.5</v>
      </c>
      <c r="F173" s="121">
        <v>9342</v>
      </c>
      <c r="G173" s="121">
        <v>48391</v>
      </c>
    </row>
    <row r="174" spans="1:7">
      <c r="A174" s="122" t="s">
        <v>725</v>
      </c>
      <c r="B174" s="406" t="s">
        <v>2519</v>
      </c>
      <c r="C174" s="173">
        <v>1.33</v>
      </c>
      <c r="D174" s="173">
        <v>50159.752999999997</v>
      </c>
      <c r="E174" s="173">
        <v>1.5</v>
      </c>
      <c r="F174" s="121">
        <v>247608</v>
      </c>
      <c r="G174" s="121">
        <v>1645467</v>
      </c>
    </row>
    <row r="175" spans="1:7">
      <c r="A175" s="122" t="s">
        <v>246</v>
      </c>
      <c r="B175" s="406" t="s">
        <v>87</v>
      </c>
      <c r="C175" s="173">
        <v>1.2989999999999999</v>
      </c>
      <c r="D175" s="173">
        <v>2326.973</v>
      </c>
      <c r="E175" s="173">
        <v>1.42</v>
      </c>
      <c r="F175" s="121">
        <v>177254</v>
      </c>
      <c r="G175" s="121">
        <v>176322</v>
      </c>
    </row>
    <row r="176" spans="1:7">
      <c r="A176" s="122" t="s">
        <v>1780</v>
      </c>
      <c r="B176" s="406" t="s">
        <v>89</v>
      </c>
      <c r="C176" s="173">
        <v>1.37</v>
      </c>
      <c r="D176" s="173">
        <v>1745.4369999999999</v>
      </c>
      <c r="E176" s="173">
        <v>1.5</v>
      </c>
      <c r="F176" s="121">
        <v>144521</v>
      </c>
      <c r="G176" s="121">
        <v>154872</v>
      </c>
    </row>
    <row r="177" spans="1:7">
      <c r="A177" s="122" t="s">
        <v>1351</v>
      </c>
      <c r="B177" s="406" t="s">
        <v>1293</v>
      </c>
      <c r="C177" s="173">
        <v>1.37</v>
      </c>
      <c r="D177" s="173">
        <v>8540.4599999999991</v>
      </c>
      <c r="E177" s="173">
        <v>1.5</v>
      </c>
      <c r="F177" s="121">
        <v>150000</v>
      </c>
      <c r="G177" s="121">
        <v>486638</v>
      </c>
    </row>
    <row r="178" spans="1:7">
      <c r="A178" s="122" t="s">
        <v>990</v>
      </c>
      <c r="B178" s="406" t="s">
        <v>1521</v>
      </c>
      <c r="C178" s="173">
        <v>1.37</v>
      </c>
      <c r="D178" s="173">
        <v>603.70699999999999</v>
      </c>
      <c r="E178" s="173">
        <v>1.5</v>
      </c>
      <c r="F178" s="121">
        <v>0</v>
      </c>
      <c r="G178" s="121">
        <v>33472</v>
      </c>
    </row>
    <row r="179" spans="1:7">
      <c r="A179" s="122" t="s">
        <v>1619</v>
      </c>
      <c r="B179" s="406" t="s">
        <v>1744</v>
      </c>
      <c r="C179" s="173">
        <v>1.37</v>
      </c>
      <c r="D179" s="173">
        <v>1353.739</v>
      </c>
      <c r="E179" s="173">
        <v>1.5</v>
      </c>
      <c r="F179" s="121">
        <v>0</v>
      </c>
      <c r="G179" s="121">
        <v>135033</v>
      </c>
    </row>
    <row r="180" spans="1:7">
      <c r="A180" s="122" t="s">
        <v>281</v>
      </c>
      <c r="B180" s="406" t="s">
        <v>2520</v>
      </c>
      <c r="C180" s="173">
        <v>1.37</v>
      </c>
      <c r="D180" s="173">
        <v>1267.346</v>
      </c>
      <c r="E180" s="173">
        <v>1.5</v>
      </c>
      <c r="F180" s="121">
        <v>0</v>
      </c>
      <c r="G180" s="121">
        <v>75024</v>
      </c>
    </row>
    <row r="181" spans="1:7">
      <c r="A181" s="122" t="s">
        <v>282</v>
      </c>
      <c r="B181" s="406" t="s">
        <v>2521</v>
      </c>
      <c r="C181" s="173">
        <v>1.24</v>
      </c>
      <c r="D181" s="173">
        <v>491.303</v>
      </c>
      <c r="E181" s="173">
        <v>1.36</v>
      </c>
      <c r="F181" s="121">
        <v>0</v>
      </c>
      <c r="G181" s="121">
        <v>10672</v>
      </c>
    </row>
    <row r="182" spans="1:7">
      <c r="A182" s="122" t="s">
        <v>642</v>
      </c>
      <c r="B182" s="406" t="s">
        <v>2522</v>
      </c>
      <c r="C182" s="173">
        <v>1.2230000000000001</v>
      </c>
      <c r="D182" s="173">
        <v>116.501</v>
      </c>
      <c r="E182" s="173">
        <v>1.335</v>
      </c>
      <c r="F182" s="121">
        <v>0</v>
      </c>
      <c r="G182" s="121">
        <v>0</v>
      </c>
    </row>
    <row r="183" spans="1:7">
      <c r="A183" s="122" t="s">
        <v>1617</v>
      </c>
      <c r="B183" s="406" t="s">
        <v>1742</v>
      </c>
      <c r="C183" s="173">
        <v>1.2725</v>
      </c>
      <c r="D183" s="173">
        <v>1449.6579999999999</v>
      </c>
      <c r="E183" s="173">
        <v>1.39</v>
      </c>
      <c r="F183" s="121">
        <v>0</v>
      </c>
      <c r="G183" s="121">
        <v>146275</v>
      </c>
    </row>
    <row r="184" spans="1:7">
      <c r="A184" s="122" t="s">
        <v>643</v>
      </c>
      <c r="B184" s="406" t="s">
        <v>2523</v>
      </c>
      <c r="C184" s="173">
        <v>1.3003</v>
      </c>
      <c r="D184" s="173">
        <v>1265.8979999999999</v>
      </c>
      <c r="E184" s="173">
        <v>1.4214</v>
      </c>
      <c r="F184" s="121">
        <v>0</v>
      </c>
      <c r="G184" s="121">
        <v>127276</v>
      </c>
    </row>
    <row r="185" spans="1:7">
      <c r="A185" s="122" t="s">
        <v>34</v>
      </c>
      <c r="B185" s="406" t="s">
        <v>2524</v>
      </c>
      <c r="C185" s="173">
        <v>1.2343999999999999</v>
      </c>
      <c r="D185" s="173">
        <v>567.19899999999996</v>
      </c>
      <c r="E185" s="173">
        <v>1.3471</v>
      </c>
      <c r="F185" s="121">
        <v>0</v>
      </c>
      <c r="G185" s="121">
        <v>60057</v>
      </c>
    </row>
    <row r="186" spans="1:7">
      <c r="A186" s="122" t="s">
        <v>35</v>
      </c>
      <c r="B186" s="406" t="s">
        <v>2525</v>
      </c>
      <c r="C186" s="173">
        <v>1.3425</v>
      </c>
      <c r="D186" s="173">
        <v>6443.27</v>
      </c>
      <c r="E186" s="173">
        <v>1.46</v>
      </c>
      <c r="F186" s="121">
        <v>0</v>
      </c>
      <c r="G186" s="121">
        <v>520881</v>
      </c>
    </row>
    <row r="187" spans="1:7">
      <c r="A187" s="122" t="s">
        <v>1437</v>
      </c>
      <c r="B187" s="406" t="s">
        <v>2526</v>
      </c>
      <c r="C187" s="173">
        <v>1.37</v>
      </c>
      <c r="D187" s="173">
        <v>12654.566000000001</v>
      </c>
      <c r="E187" s="173">
        <v>1.5</v>
      </c>
      <c r="F187" s="121">
        <v>0</v>
      </c>
      <c r="G187" s="121">
        <v>1754986</v>
      </c>
    </row>
    <row r="188" spans="1:7">
      <c r="A188" s="122" t="s">
        <v>2644</v>
      </c>
      <c r="B188" s="406" t="s">
        <v>2527</v>
      </c>
      <c r="C188" s="173">
        <v>1.1299999999999999</v>
      </c>
      <c r="D188" s="173">
        <v>1284.8109999999999</v>
      </c>
      <c r="E188" s="173">
        <v>1.23</v>
      </c>
      <c r="F188" s="121">
        <v>0</v>
      </c>
      <c r="G188" s="121">
        <v>107963</v>
      </c>
    </row>
    <row r="189" spans="1:7">
      <c r="A189" s="122" t="s">
        <v>2763</v>
      </c>
      <c r="B189" s="406" t="s">
        <v>3062</v>
      </c>
      <c r="C189" s="173">
        <v>1.22</v>
      </c>
      <c r="D189" s="173">
        <v>613.52200000000005</v>
      </c>
      <c r="E189" s="173">
        <v>1.3308</v>
      </c>
      <c r="F189" s="121">
        <v>0</v>
      </c>
      <c r="G189" s="121">
        <v>38323</v>
      </c>
    </row>
    <row r="190" spans="1:7">
      <c r="A190" s="122" t="s">
        <v>2672</v>
      </c>
      <c r="B190" s="406" t="s">
        <v>1949</v>
      </c>
      <c r="C190" s="173">
        <v>1.3337000000000001</v>
      </c>
      <c r="D190" s="173">
        <v>198.83099999999999</v>
      </c>
      <c r="E190" s="173">
        <v>1.4592000000000001</v>
      </c>
      <c r="F190" s="121">
        <v>0</v>
      </c>
      <c r="G190" s="121">
        <v>33311</v>
      </c>
    </row>
    <row r="191" spans="1:7">
      <c r="A191" s="122" t="s">
        <v>2645</v>
      </c>
      <c r="B191" s="406" t="s">
        <v>2528</v>
      </c>
      <c r="C191" s="173">
        <v>1.21</v>
      </c>
      <c r="D191" s="173">
        <v>128.596</v>
      </c>
      <c r="E191" s="173">
        <v>1.32</v>
      </c>
      <c r="F191" s="121">
        <v>0</v>
      </c>
      <c r="G191" s="121">
        <v>10857</v>
      </c>
    </row>
    <row r="192" spans="1:7">
      <c r="A192" s="122" t="s">
        <v>2646</v>
      </c>
      <c r="B192" s="406" t="s">
        <v>2529</v>
      </c>
      <c r="C192" s="173">
        <v>1.3628</v>
      </c>
      <c r="D192" s="173">
        <v>283.291</v>
      </c>
      <c r="E192" s="173">
        <v>1.4918</v>
      </c>
      <c r="F192" s="121">
        <v>0</v>
      </c>
      <c r="G192" s="121">
        <v>47425</v>
      </c>
    </row>
    <row r="193" spans="1:7">
      <c r="A193" s="122" t="s">
        <v>331</v>
      </c>
      <c r="B193" s="406" t="s">
        <v>2530</v>
      </c>
      <c r="C193" s="173">
        <v>1.3701000000000001</v>
      </c>
      <c r="D193" s="173">
        <v>133.18700000000001</v>
      </c>
      <c r="E193" s="173">
        <v>1.5</v>
      </c>
      <c r="F193" s="121">
        <v>0</v>
      </c>
      <c r="G193" s="121">
        <v>25655</v>
      </c>
    </row>
    <row r="194" spans="1:7">
      <c r="A194" s="122" t="s">
        <v>1607</v>
      </c>
      <c r="B194" s="406" t="s">
        <v>1669</v>
      </c>
      <c r="C194" s="173">
        <v>1.37</v>
      </c>
      <c r="D194" s="173">
        <v>2764.0079999999998</v>
      </c>
      <c r="E194" s="173">
        <v>1.5</v>
      </c>
      <c r="F194" s="121">
        <v>0</v>
      </c>
      <c r="G194" s="121">
        <v>180090</v>
      </c>
    </row>
    <row r="195" spans="1:7">
      <c r="A195" s="122" t="s">
        <v>332</v>
      </c>
      <c r="B195" s="406" t="s">
        <v>2531</v>
      </c>
      <c r="C195" s="173">
        <v>1.29</v>
      </c>
      <c r="D195" s="173">
        <v>514.476</v>
      </c>
      <c r="E195" s="173">
        <v>1.41</v>
      </c>
      <c r="F195" s="121">
        <v>0</v>
      </c>
      <c r="G195" s="121">
        <v>0</v>
      </c>
    </row>
    <row r="196" spans="1:7">
      <c r="A196" s="122" t="s">
        <v>2863</v>
      </c>
      <c r="B196" s="406" t="s">
        <v>2705</v>
      </c>
      <c r="C196" s="173">
        <v>1.37</v>
      </c>
      <c r="D196" s="173">
        <v>620.70000000000005</v>
      </c>
      <c r="E196" s="173">
        <v>1.5</v>
      </c>
      <c r="F196" s="121">
        <v>0</v>
      </c>
      <c r="G196" s="121">
        <v>84322</v>
      </c>
    </row>
    <row r="197" spans="1:7">
      <c r="A197" s="122" t="s">
        <v>333</v>
      </c>
      <c r="B197" s="406" t="s">
        <v>2532</v>
      </c>
      <c r="C197" s="173">
        <v>1.3346</v>
      </c>
      <c r="D197" s="173">
        <v>1002.077</v>
      </c>
      <c r="E197" s="173">
        <v>1.46</v>
      </c>
      <c r="F197" s="121">
        <v>0</v>
      </c>
      <c r="G197" s="121">
        <v>187978</v>
      </c>
    </row>
    <row r="198" spans="1:7">
      <c r="A198" s="122" t="s">
        <v>334</v>
      </c>
      <c r="B198" s="406" t="s">
        <v>2533</v>
      </c>
      <c r="C198" s="173">
        <v>1.343</v>
      </c>
      <c r="D198" s="173">
        <v>366.58300000000003</v>
      </c>
      <c r="E198" s="173">
        <v>1.47</v>
      </c>
      <c r="F198" s="121">
        <v>0</v>
      </c>
      <c r="G198" s="121">
        <v>51646</v>
      </c>
    </row>
    <row r="199" spans="1:7">
      <c r="A199" s="122" t="s">
        <v>335</v>
      </c>
      <c r="B199" s="406" t="s">
        <v>2534</v>
      </c>
      <c r="C199" s="173">
        <v>1.2589999999999999</v>
      </c>
      <c r="D199" s="173">
        <v>491.64100000000002</v>
      </c>
      <c r="E199" s="173">
        <v>1.375</v>
      </c>
      <c r="F199" s="121">
        <v>0</v>
      </c>
      <c r="G199" s="121">
        <v>13992</v>
      </c>
    </row>
    <row r="200" spans="1:7">
      <c r="A200" s="122" t="s">
        <v>1962</v>
      </c>
      <c r="B200" s="406" t="s">
        <v>2535</v>
      </c>
      <c r="C200" s="173">
        <v>1.37</v>
      </c>
      <c r="D200" s="173">
        <v>70.078999999999994</v>
      </c>
      <c r="E200" s="173">
        <v>1.5</v>
      </c>
      <c r="F200" s="121">
        <v>0</v>
      </c>
      <c r="G200" s="121">
        <v>12925</v>
      </c>
    </row>
    <row r="201" spans="1:7">
      <c r="A201" s="122" t="s">
        <v>1963</v>
      </c>
      <c r="B201" s="406" t="s">
        <v>2536</v>
      </c>
      <c r="C201" s="173">
        <v>1.1660999999999999</v>
      </c>
      <c r="D201" s="173">
        <v>53.462000000000003</v>
      </c>
      <c r="E201" s="173">
        <v>1.27</v>
      </c>
      <c r="F201" s="121">
        <v>0</v>
      </c>
      <c r="G201" s="121">
        <v>26564</v>
      </c>
    </row>
    <row r="202" spans="1:7">
      <c r="A202" s="122" t="s">
        <v>1492</v>
      </c>
      <c r="B202" s="406" t="s">
        <v>2537</v>
      </c>
      <c r="C202" s="173">
        <v>1.28</v>
      </c>
      <c r="D202" s="173">
        <v>289.262</v>
      </c>
      <c r="E202" s="173">
        <v>1.4</v>
      </c>
      <c r="F202" s="121">
        <v>0</v>
      </c>
      <c r="G202" s="121">
        <v>48128</v>
      </c>
    </row>
    <row r="203" spans="1:7">
      <c r="A203" s="122" t="s">
        <v>1267</v>
      </c>
      <c r="B203" s="406" t="s">
        <v>2538</v>
      </c>
      <c r="C203" s="173">
        <v>1.298</v>
      </c>
      <c r="D203" s="173">
        <v>2588.895</v>
      </c>
      <c r="E203" s="173">
        <v>1.419</v>
      </c>
      <c r="F203" s="121">
        <v>0</v>
      </c>
      <c r="G203" s="121">
        <v>274049</v>
      </c>
    </row>
    <row r="204" spans="1:7">
      <c r="A204" s="122" t="s">
        <v>2462</v>
      </c>
      <c r="B204" s="406" t="s">
        <v>290</v>
      </c>
      <c r="C204" s="173">
        <v>1.2371000000000001</v>
      </c>
      <c r="D204" s="173">
        <v>169.083</v>
      </c>
      <c r="E204" s="173">
        <v>1.35</v>
      </c>
      <c r="F204" s="121">
        <v>0</v>
      </c>
      <c r="G204" s="121">
        <v>15457</v>
      </c>
    </row>
    <row r="205" spans="1:7">
      <c r="A205" s="122" t="s">
        <v>1268</v>
      </c>
      <c r="B205" s="406" t="s">
        <v>2539</v>
      </c>
      <c r="C205" s="173">
        <v>1.27</v>
      </c>
      <c r="D205" s="173">
        <v>197.53100000000001</v>
      </c>
      <c r="E205" s="173">
        <v>1.39</v>
      </c>
      <c r="F205" s="121">
        <v>0</v>
      </c>
      <c r="G205" s="121">
        <v>41090</v>
      </c>
    </row>
    <row r="206" spans="1:7">
      <c r="A206" s="122" t="s">
        <v>2752</v>
      </c>
      <c r="B206" s="406" t="s">
        <v>2951</v>
      </c>
      <c r="C206" s="173">
        <v>1.337</v>
      </c>
      <c r="D206" s="173">
        <v>6555.5360000000001</v>
      </c>
      <c r="E206" s="173">
        <v>1.4630000000000001</v>
      </c>
      <c r="F206" s="121">
        <v>0</v>
      </c>
      <c r="G206" s="121">
        <v>479438</v>
      </c>
    </row>
    <row r="207" spans="1:7">
      <c r="A207" s="122" t="s">
        <v>1269</v>
      </c>
      <c r="B207" s="406" t="s">
        <v>2540</v>
      </c>
      <c r="C207" s="173">
        <v>1.3079000000000001</v>
      </c>
      <c r="D207" s="173">
        <v>227.244</v>
      </c>
      <c r="E207" s="173">
        <v>1.43</v>
      </c>
      <c r="F207" s="121">
        <v>0</v>
      </c>
      <c r="G207" s="121">
        <v>41537</v>
      </c>
    </row>
    <row r="208" spans="1:7">
      <c r="A208" s="122" t="s">
        <v>779</v>
      </c>
      <c r="B208" s="406" t="s">
        <v>2541</v>
      </c>
      <c r="C208" s="173">
        <v>1.37</v>
      </c>
      <c r="D208" s="173">
        <v>839.72299999999996</v>
      </c>
      <c r="E208" s="173">
        <v>1.5</v>
      </c>
      <c r="F208" s="121">
        <v>0</v>
      </c>
      <c r="G208" s="121">
        <v>49375</v>
      </c>
    </row>
    <row r="209" spans="1:7">
      <c r="A209" s="122" t="s">
        <v>780</v>
      </c>
      <c r="B209" s="406" t="s">
        <v>737</v>
      </c>
      <c r="C209" s="173">
        <v>1.3701000000000001</v>
      </c>
      <c r="D209" s="173">
        <v>744.20100000000002</v>
      </c>
      <c r="E209" s="173">
        <v>1.5</v>
      </c>
      <c r="F209" s="121">
        <v>0</v>
      </c>
      <c r="G209" s="121">
        <v>53120</v>
      </c>
    </row>
    <row r="210" spans="1:7">
      <c r="A210" s="122" t="s">
        <v>781</v>
      </c>
      <c r="B210" s="406" t="s">
        <v>738</v>
      </c>
      <c r="C210" s="173">
        <v>1.37</v>
      </c>
      <c r="D210" s="173">
        <v>423.49900000000002</v>
      </c>
      <c r="E210" s="173">
        <v>1.5</v>
      </c>
      <c r="F210" s="121">
        <v>0</v>
      </c>
      <c r="G210" s="121">
        <v>20894</v>
      </c>
    </row>
    <row r="211" spans="1:7">
      <c r="A211" s="122" t="s">
        <v>782</v>
      </c>
      <c r="B211" s="406" t="s">
        <v>739</v>
      </c>
      <c r="C211" s="173">
        <v>1.2909999999999999</v>
      </c>
      <c r="D211" s="173">
        <v>330.42500000000001</v>
      </c>
      <c r="E211" s="173">
        <v>1.4505999999999999</v>
      </c>
      <c r="F211" s="121">
        <v>0</v>
      </c>
      <c r="G211" s="121">
        <v>69614</v>
      </c>
    </row>
    <row r="212" spans="1:7">
      <c r="A212" s="122" t="s">
        <v>428</v>
      </c>
      <c r="B212" s="406" t="s">
        <v>740</v>
      </c>
      <c r="C212" s="173">
        <v>1.27</v>
      </c>
      <c r="D212" s="173">
        <v>548.779</v>
      </c>
      <c r="E212" s="173">
        <v>1.39</v>
      </c>
      <c r="F212" s="121">
        <v>1318</v>
      </c>
      <c r="G212" s="121">
        <v>18238</v>
      </c>
    </row>
    <row r="213" spans="1:7">
      <c r="A213" s="122" t="s">
        <v>2928</v>
      </c>
      <c r="B213" s="406" t="s">
        <v>143</v>
      </c>
      <c r="C213" s="173">
        <v>1.37</v>
      </c>
      <c r="D213" s="173">
        <v>555.25800000000004</v>
      </c>
      <c r="E213" s="173">
        <v>1.5</v>
      </c>
      <c r="F213" s="121">
        <v>0</v>
      </c>
      <c r="G213" s="121">
        <v>15429</v>
      </c>
    </row>
    <row r="214" spans="1:7">
      <c r="A214" s="122" t="s">
        <v>2929</v>
      </c>
      <c r="B214" s="406" t="s">
        <v>144</v>
      </c>
      <c r="C214" s="173">
        <v>1.2989999999999999</v>
      </c>
      <c r="D214" s="173">
        <v>1457.223</v>
      </c>
      <c r="E214" s="173">
        <v>1.42</v>
      </c>
      <c r="F214" s="121">
        <v>0</v>
      </c>
      <c r="G214" s="121">
        <v>44366</v>
      </c>
    </row>
    <row r="215" spans="1:7">
      <c r="A215" s="122" t="s">
        <v>2930</v>
      </c>
      <c r="B215" s="406" t="s">
        <v>145</v>
      </c>
      <c r="C215" s="173">
        <v>1.35</v>
      </c>
      <c r="D215" s="173">
        <v>140.256</v>
      </c>
      <c r="E215" s="173">
        <v>1.48</v>
      </c>
      <c r="F215" s="121">
        <v>0</v>
      </c>
      <c r="G215" s="121">
        <v>55993</v>
      </c>
    </row>
    <row r="216" spans="1:7">
      <c r="A216" s="122" t="s">
        <v>1843</v>
      </c>
      <c r="B216" s="406" t="s">
        <v>146</v>
      </c>
      <c r="C216" s="173">
        <v>1.3501000000000001</v>
      </c>
      <c r="D216" s="173">
        <v>24445.350999999999</v>
      </c>
      <c r="E216" s="173">
        <v>1.5</v>
      </c>
      <c r="F216" s="121">
        <v>69446</v>
      </c>
      <c r="G216" s="121">
        <v>0</v>
      </c>
    </row>
    <row r="217" spans="1:7">
      <c r="A217" s="122" t="s">
        <v>421</v>
      </c>
      <c r="B217" s="406" t="s">
        <v>147</v>
      </c>
      <c r="C217" s="173">
        <v>1.37</v>
      </c>
      <c r="D217" s="173">
        <v>7535.3280000000004</v>
      </c>
      <c r="E217" s="173">
        <v>1.5</v>
      </c>
      <c r="F217" s="121">
        <v>280867</v>
      </c>
      <c r="G217" s="121">
        <v>0</v>
      </c>
    </row>
    <row r="218" spans="1:7">
      <c r="A218" s="122" t="s">
        <v>422</v>
      </c>
      <c r="B218" s="406" t="s">
        <v>148</v>
      </c>
      <c r="C218" s="173">
        <v>1.3301000000000001</v>
      </c>
      <c r="D218" s="173">
        <v>147774.29999999999</v>
      </c>
      <c r="E218" s="173">
        <v>1.5</v>
      </c>
      <c r="F218" s="121">
        <v>212175</v>
      </c>
      <c r="G218" s="121">
        <v>0</v>
      </c>
    </row>
    <row r="219" spans="1:7">
      <c r="A219" s="122" t="s">
        <v>423</v>
      </c>
      <c r="B219" s="406" t="s">
        <v>149</v>
      </c>
      <c r="C219" s="173">
        <v>1.37</v>
      </c>
      <c r="D219" s="173">
        <v>7897.5959999999995</v>
      </c>
      <c r="E219" s="173">
        <v>1.5</v>
      </c>
      <c r="F219" s="121">
        <v>0</v>
      </c>
      <c r="G219" s="121">
        <v>0</v>
      </c>
    </row>
    <row r="220" spans="1:7">
      <c r="A220" s="122" t="s">
        <v>424</v>
      </c>
      <c r="B220" s="406" t="s">
        <v>150</v>
      </c>
      <c r="C220" s="173">
        <v>1.37</v>
      </c>
      <c r="D220" s="173">
        <v>11432.147000000001</v>
      </c>
      <c r="E220" s="173">
        <v>1.5</v>
      </c>
      <c r="F220" s="121">
        <v>0</v>
      </c>
      <c r="G220" s="121">
        <v>353647</v>
      </c>
    </row>
    <row r="221" spans="1:7">
      <c r="A221" s="122" t="s">
        <v>2973</v>
      </c>
      <c r="B221" s="406" t="s">
        <v>1672</v>
      </c>
      <c r="C221" s="173">
        <v>1.3315999999999999</v>
      </c>
      <c r="D221" s="173">
        <v>52838.504000000001</v>
      </c>
      <c r="E221" s="173">
        <v>1.4568000000000001</v>
      </c>
      <c r="F221" s="121">
        <v>356963</v>
      </c>
      <c r="G221" s="121">
        <v>3176588</v>
      </c>
    </row>
    <row r="222" spans="1:7">
      <c r="A222" s="122" t="s">
        <v>741</v>
      </c>
      <c r="B222" s="406" t="s">
        <v>975</v>
      </c>
      <c r="C222" s="173">
        <v>1.3611</v>
      </c>
      <c r="D222" s="173">
        <v>22149.814999999999</v>
      </c>
      <c r="E222" s="173">
        <v>1.49</v>
      </c>
      <c r="F222" s="121">
        <v>41500</v>
      </c>
      <c r="G222" s="121">
        <v>528724</v>
      </c>
    </row>
    <row r="223" spans="1:7">
      <c r="A223" s="122" t="s">
        <v>579</v>
      </c>
      <c r="B223" s="406" t="s">
        <v>151</v>
      </c>
      <c r="C223" s="173">
        <v>1.2857000000000001</v>
      </c>
      <c r="D223" s="173">
        <v>6013.8670000000002</v>
      </c>
      <c r="E223" s="173">
        <v>1.45</v>
      </c>
      <c r="F223" s="121">
        <v>0</v>
      </c>
      <c r="G223" s="121">
        <v>0</v>
      </c>
    </row>
    <row r="224" spans="1:7">
      <c r="A224" s="122" t="s">
        <v>48</v>
      </c>
      <c r="B224" s="406" t="s">
        <v>1441</v>
      </c>
      <c r="C224" s="173">
        <v>1.33</v>
      </c>
      <c r="D224" s="173">
        <v>29846.629000000001</v>
      </c>
      <c r="E224" s="173">
        <v>1.5</v>
      </c>
      <c r="F224" s="121">
        <v>0</v>
      </c>
      <c r="G224" s="121">
        <v>0</v>
      </c>
    </row>
    <row r="225" spans="1:7">
      <c r="A225" s="122" t="s">
        <v>2028</v>
      </c>
      <c r="B225" s="406" t="s">
        <v>152</v>
      </c>
      <c r="C225" s="173">
        <v>1.3360000000000001</v>
      </c>
      <c r="D225" s="173">
        <v>5345.8819999999996</v>
      </c>
      <c r="E225" s="173">
        <v>1.4616</v>
      </c>
      <c r="F225" s="121">
        <v>0</v>
      </c>
      <c r="G225" s="121">
        <v>0</v>
      </c>
    </row>
    <row r="226" spans="1:7">
      <c r="A226" s="122" t="s">
        <v>2898</v>
      </c>
      <c r="B226" s="406" t="s">
        <v>2554</v>
      </c>
      <c r="C226" s="173">
        <v>1.3257000000000001</v>
      </c>
      <c r="D226" s="173">
        <v>33560.495999999999</v>
      </c>
      <c r="E226" s="173">
        <v>1.45</v>
      </c>
      <c r="F226" s="121">
        <v>26538</v>
      </c>
      <c r="G226" s="121">
        <v>1025324</v>
      </c>
    </row>
    <row r="227" spans="1:7">
      <c r="A227" s="122" t="s">
        <v>2029</v>
      </c>
      <c r="B227" s="406" t="s">
        <v>3006</v>
      </c>
      <c r="C227" s="173">
        <v>1.3301000000000001</v>
      </c>
      <c r="D227" s="173">
        <v>32323.042000000001</v>
      </c>
      <c r="E227" s="173">
        <v>1.5</v>
      </c>
      <c r="F227" s="121">
        <v>119009</v>
      </c>
      <c r="G227" s="121">
        <v>0</v>
      </c>
    </row>
    <row r="228" spans="1:7">
      <c r="A228" s="122" t="s">
        <v>3087</v>
      </c>
      <c r="B228" s="406" t="s">
        <v>3007</v>
      </c>
      <c r="C228" s="173">
        <v>1.3220000000000001</v>
      </c>
      <c r="D228" s="173">
        <v>514.07100000000003</v>
      </c>
      <c r="E228" s="173">
        <v>1.446</v>
      </c>
      <c r="F228" s="121">
        <v>0</v>
      </c>
      <c r="G228" s="121">
        <v>36951</v>
      </c>
    </row>
    <row r="229" spans="1:7">
      <c r="A229" s="122" t="s">
        <v>277</v>
      </c>
      <c r="B229" s="406" t="s">
        <v>3008</v>
      </c>
      <c r="C229" s="173">
        <v>1.37</v>
      </c>
      <c r="D229" s="173">
        <v>9761.6980000000003</v>
      </c>
      <c r="E229" s="173">
        <v>1.5</v>
      </c>
      <c r="F229" s="121">
        <v>0</v>
      </c>
      <c r="G229" s="121">
        <v>0</v>
      </c>
    </row>
    <row r="230" spans="1:7">
      <c r="A230" s="122" t="s">
        <v>278</v>
      </c>
      <c r="B230" s="406" t="s">
        <v>3060</v>
      </c>
      <c r="C230" s="173">
        <v>1.3168</v>
      </c>
      <c r="D230" s="173">
        <v>163.30099999999999</v>
      </c>
      <c r="E230" s="173">
        <v>1.44</v>
      </c>
      <c r="F230" s="121">
        <v>0</v>
      </c>
      <c r="G230" s="121">
        <v>10269</v>
      </c>
    </row>
    <row r="231" spans="1:7">
      <c r="A231" s="122" t="s">
        <v>279</v>
      </c>
      <c r="B231" s="406" t="s">
        <v>3009</v>
      </c>
      <c r="C231" s="173">
        <v>1.37</v>
      </c>
      <c r="D231" s="173">
        <v>179.596</v>
      </c>
      <c r="E231" s="173">
        <v>1.5</v>
      </c>
      <c r="F231" s="121">
        <v>0</v>
      </c>
      <c r="G231" s="121">
        <v>49437</v>
      </c>
    </row>
    <row r="232" spans="1:7">
      <c r="A232" s="122" t="s">
        <v>280</v>
      </c>
      <c r="B232" s="406" t="s">
        <v>3010</v>
      </c>
      <c r="C232" s="173">
        <v>1.37</v>
      </c>
      <c r="D232" s="173">
        <v>1909.4949999999999</v>
      </c>
      <c r="E232" s="173">
        <v>1.5</v>
      </c>
      <c r="F232" s="121">
        <v>0</v>
      </c>
      <c r="G232" s="121">
        <v>51511</v>
      </c>
    </row>
    <row r="233" spans="1:7">
      <c r="A233" s="122" t="s">
        <v>408</v>
      </c>
      <c r="B233" s="406" t="s">
        <v>3011</v>
      </c>
      <c r="C233" s="173">
        <v>1.37</v>
      </c>
      <c r="D233" s="173">
        <v>197.62100000000001</v>
      </c>
      <c r="E233" s="173">
        <v>1.5</v>
      </c>
      <c r="F233" s="121">
        <v>0</v>
      </c>
      <c r="G233" s="121">
        <v>47731</v>
      </c>
    </row>
    <row r="234" spans="1:7">
      <c r="A234" s="122" t="s">
        <v>2130</v>
      </c>
      <c r="B234" s="406" t="s">
        <v>2723</v>
      </c>
      <c r="C234" s="173">
        <v>1.37</v>
      </c>
      <c r="D234" s="173">
        <v>3728.5610000000001</v>
      </c>
      <c r="E234" s="173">
        <v>1.5</v>
      </c>
      <c r="F234" s="121">
        <v>0</v>
      </c>
      <c r="G234" s="121">
        <v>233886</v>
      </c>
    </row>
    <row r="235" spans="1:7">
      <c r="A235" s="122" t="s">
        <v>1220</v>
      </c>
      <c r="B235" s="406" t="s">
        <v>3012</v>
      </c>
      <c r="C235" s="173">
        <v>0.90510000000000002</v>
      </c>
      <c r="D235" s="173">
        <v>154.23099999999999</v>
      </c>
      <c r="E235" s="173">
        <v>0.97570000000000001</v>
      </c>
      <c r="F235" s="121">
        <v>0</v>
      </c>
      <c r="G235" s="121">
        <v>158007</v>
      </c>
    </row>
    <row r="236" spans="1:7">
      <c r="A236" s="122" t="s">
        <v>1221</v>
      </c>
      <c r="B236" s="406" t="s">
        <v>3013</v>
      </c>
      <c r="C236" s="173">
        <v>1.36</v>
      </c>
      <c r="D236" s="173">
        <v>833.18</v>
      </c>
      <c r="E236" s="173">
        <v>1.49</v>
      </c>
      <c r="F236" s="121">
        <v>0</v>
      </c>
      <c r="G236" s="121">
        <v>113071</v>
      </c>
    </row>
    <row r="237" spans="1:7">
      <c r="A237" s="122" t="s">
        <v>711</v>
      </c>
      <c r="B237" s="406" t="s">
        <v>128</v>
      </c>
      <c r="C237" s="173">
        <v>1.37</v>
      </c>
      <c r="D237" s="173">
        <v>168.923</v>
      </c>
      <c r="E237" s="173">
        <v>1.5</v>
      </c>
      <c r="F237" s="121">
        <v>0</v>
      </c>
      <c r="G237" s="121">
        <v>47728</v>
      </c>
    </row>
    <row r="238" spans="1:7">
      <c r="A238" s="122" t="s">
        <v>1222</v>
      </c>
      <c r="B238" s="406" t="s">
        <v>3014</v>
      </c>
      <c r="C238" s="173">
        <v>1.37</v>
      </c>
      <c r="D238" s="173">
        <v>17112.937999999998</v>
      </c>
      <c r="E238" s="173">
        <v>1.5</v>
      </c>
      <c r="F238" s="121">
        <v>523921</v>
      </c>
      <c r="G238" s="121">
        <v>1481429</v>
      </c>
    </row>
    <row r="239" spans="1:7">
      <c r="A239" s="122" t="s">
        <v>1989</v>
      </c>
      <c r="B239" s="406" t="s">
        <v>2825</v>
      </c>
      <c r="C239" s="173">
        <v>1.33</v>
      </c>
      <c r="D239" s="173">
        <v>45170.712</v>
      </c>
      <c r="E239" s="173">
        <v>1.5</v>
      </c>
      <c r="F239" s="121">
        <v>556696</v>
      </c>
      <c r="G239" s="121">
        <v>2013434</v>
      </c>
    </row>
    <row r="240" spans="1:7">
      <c r="A240" s="122" t="s">
        <v>240</v>
      </c>
      <c r="B240" s="406" t="s">
        <v>1127</v>
      </c>
      <c r="C240" s="173">
        <v>1.37</v>
      </c>
      <c r="D240" s="173">
        <v>1447.269</v>
      </c>
      <c r="E240" s="173">
        <v>1.5</v>
      </c>
      <c r="F240" s="121">
        <v>105292</v>
      </c>
      <c r="G240" s="121">
        <v>182805</v>
      </c>
    </row>
    <row r="241" spans="1:7">
      <c r="A241" s="122" t="s">
        <v>815</v>
      </c>
      <c r="B241" s="406" t="s">
        <v>1905</v>
      </c>
      <c r="C241" s="173">
        <v>1.37</v>
      </c>
      <c r="D241" s="173">
        <v>1288.424</v>
      </c>
      <c r="E241" s="173">
        <v>1.5</v>
      </c>
      <c r="F241" s="121">
        <v>0</v>
      </c>
      <c r="G241" s="121">
        <v>66117</v>
      </c>
    </row>
    <row r="242" spans="1:7">
      <c r="A242" s="122" t="s">
        <v>242</v>
      </c>
      <c r="B242" s="406" t="s">
        <v>1129</v>
      </c>
      <c r="C242" s="173">
        <v>1.37</v>
      </c>
      <c r="D242" s="173">
        <v>941.31200000000001</v>
      </c>
      <c r="E242" s="173">
        <v>1.5</v>
      </c>
      <c r="F242" s="121">
        <v>0</v>
      </c>
      <c r="G242" s="121">
        <v>58241</v>
      </c>
    </row>
    <row r="243" spans="1:7">
      <c r="A243" s="122" t="s">
        <v>1893</v>
      </c>
      <c r="B243" s="406" t="s">
        <v>2426</v>
      </c>
      <c r="C243" s="173">
        <v>1.37</v>
      </c>
      <c r="D243" s="173">
        <v>1272.2929999999999</v>
      </c>
      <c r="E243" s="173">
        <v>1.5</v>
      </c>
      <c r="F243" s="121">
        <v>0</v>
      </c>
      <c r="G243" s="121">
        <v>108604</v>
      </c>
    </row>
    <row r="244" spans="1:7">
      <c r="A244" s="122" t="s">
        <v>532</v>
      </c>
      <c r="B244" s="406" t="s">
        <v>2353</v>
      </c>
      <c r="C244" s="173">
        <v>1.37</v>
      </c>
      <c r="D244" s="173">
        <v>2255.145</v>
      </c>
      <c r="E244" s="173">
        <v>1.5</v>
      </c>
      <c r="F244" s="121">
        <v>0</v>
      </c>
      <c r="G244" s="121">
        <v>145673</v>
      </c>
    </row>
    <row r="245" spans="1:7">
      <c r="A245" s="122" t="s">
        <v>2099</v>
      </c>
      <c r="B245" s="406" t="s">
        <v>3015</v>
      </c>
      <c r="C245" s="173">
        <v>1.3701000000000001</v>
      </c>
      <c r="D245" s="173">
        <v>1554.069</v>
      </c>
      <c r="E245" s="173">
        <v>1.5</v>
      </c>
      <c r="F245" s="121">
        <v>162883</v>
      </c>
      <c r="G245" s="121">
        <v>55635</v>
      </c>
    </row>
    <row r="246" spans="1:7">
      <c r="A246" s="122" t="s">
        <v>1590</v>
      </c>
      <c r="B246" s="406" t="s">
        <v>1425</v>
      </c>
      <c r="C246" s="173">
        <v>1.33</v>
      </c>
      <c r="D246" s="173">
        <v>8345.9699999999993</v>
      </c>
      <c r="E246" s="173">
        <v>1.5</v>
      </c>
      <c r="F246" s="121">
        <v>222292</v>
      </c>
      <c r="G246" s="121">
        <v>1157274</v>
      </c>
    </row>
    <row r="247" spans="1:7">
      <c r="A247" s="122" t="s">
        <v>68</v>
      </c>
      <c r="B247" s="406" t="s">
        <v>2623</v>
      </c>
      <c r="C247" s="173">
        <v>1.37</v>
      </c>
      <c r="D247" s="173">
        <v>3714.0439999999999</v>
      </c>
      <c r="E247" s="173">
        <v>1.5</v>
      </c>
      <c r="F247" s="121">
        <v>0</v>
      </c>
      <c r="G247" s="121">
        <v>150170</v>
      </c>
    </row>
    <row r="248" spans="1:7">
      <c r="A248" s="122" t="s">
        <v>712</v>
      </c>
      <c r="B248" s="406" t="s">
        <v>1764</v>
      </c>
      <c r="C248" s="173">
        <v>1.361</v>
      </c>
      <c r="D248" s="173">
        <v>4308.9840000000004</v>
      </c>
      <c r="E248" s="173">
        <v>1.49</v>
      </c>
      <c r="F248" s="121">
        <v>147921</v>
      </c>
      <c r="G248" s="121">
        <v>273423</v>
      </c>
    </row>
    <row r="249" spans="1:7">
      <c r="A249" s="122" t="s">
        <v>2864</v>
      </c>
      <c r="B249" s="406" t="s">
        <v>461</v>
      </c>
      <c r="C249" s="173">
        <v>1.33</v>
      </c>
      <c r="D249" s="173">
        <v>1801.9169999999999</v>
      </c>
      <c r="E249" s="173">
        <v>1.35</v>
      </c>
      <c r="F249" s="121">
        <v>0</v>
      </c>
      <c r="G249" s="121">
        <v>159340</v>
      </c>
    </row>
    <row r="250" spans="1:7">
      <c r="A250" s="122" t="s">
        <v>2100</v>
      </c>
      <c r="B250" s="406" t="s">
        <v>3016</v>
      </c>
      <c r="C250" s="173">
        <v>1.5</v>
      </c>
      <c r="D250" s="173">
        <v>71.486000000000004</v>
      </c>
      <c r="E250" s="173">
        <v>1.282</v>
      </c>
      <c r="F250" s="121">
        <v>0</v>
      </c>
      <c r="G250" s="121">
        <v>16406</v>
      </c>
    </row>
    <row r="251" spans="1:7">
      <c r="A251" s="122" t="s">
        <v>1352</v>
      </c>
      <c r="B251" s="406" t="s">
        <v>2511</v>
      </c>
      <c r="C251" s="173">
        <v>1.37</v>
      </c>
      <c r="D251" s="173">
        <v>1466.1469999999999</v>
      </c>
      <c r="E251" s="173">
        <v>1.5</v>
      </c>
      <c r="F251" s="121">
        <v>0</v>
      </c>
      <c r="G251" s="121">
        <v>111988</v>
      </c>
    </row>
    <row r="252" spans="1:7">
      <c r="A252" s="122" t="s">
        <v>2101</v>
      </c>
      <c r="B252" s="406" t="s">
        <v>3017</v>
      </c>
      <c r="C252" s="173">
        <v>1.2636000000000001</v>
      </c>
      <c r="D252" s="173">
        <v>635.96199999999999</v>
      </c>
      <c r="E252" s="173">
        <v>1.38</v>
      </c>
      <c r="F252" s="121">
        <v>0</v>
      </c>
      <c r="G252" s="121">
        <v>42211</v>
      </c>
    </row>
    <row r="253" spans="1:7">
      <c r="A253" s="122" t="s">
        <v>796</v>
      </c>
      <c r="B253" s="406" t="s">
        <v>3018</v>
      </c>
      <c r="C253" s="173">
        <v>1.2544</v>
      </c>
      <c r="D253" s="173">
        <v>49.253999999999998</v>
      </c>
      <c r="E253" s="173">
        <v>1.3695999999999999</v>
      </c>
      <c r="F253" s="121">
        <v>0</v>
      </c>
      <c r="G253" s="121">
        <v>9725</v>
      </c>
    </row>
    <row r="254" spans="1:7">
      <c r="A254" s="122" t="s">
        <v>330</v>
      </c>
      <c r="B254" s="406" t="s">
        <v>3019</v>
      </c>
      <c r="C254" s="173">
        <v>1.3701000000000001</v>
      </c>
      <c r="D254" s="173">
        <v>144.09399999999999</v>
      </c>
      <c r="E254" s="173">
        <v>1.5</v>
      </c>
      <c r="F254" s="121">
        <v>0</v>
      </c>
      <c r="G254" s="121">
        <v>29501</v>
      </c>
    </row>
    <row r="255" spans="1:7">
      <c r="A255" s="122" t="s">
        <v>203</v>
      </c>
      <c r="B255" s="406" t="s">
        <v>3020</v>
      </c>
      <c r="C255" s="173">
        <v>1.37</v>
      </c>
      <c r="D255" s="173">
        <v>242.58699999999999</v>
      </c>
      <c r="E255" s="173">
        <v>1.5</v>
      </c>
      <c r="F255" s="121">
        <v>0</v>
      </c>
      <c r="G255" s="121">
        <v>36902</v>
      </c>
    </row>
    <row r="256" spans="1:7">
      <c r="A256" s="122" t="s">
        <v>204</v>
      </c>
      <c r="B256" s="406" t="s">
        <v>3021</v>
      </c>
      <c r="C256" s="173">
        <v>1.37</v>
      </c>
      <c r="D256" s="173">
        <v>123.771</v>
      </c>
      <c r="E256" s="173">
        <v>1.5</v>
      </c>
      <c r="F256" s="121">
        <v>0</v>
      </c>
      <c r="G256" s="121">
        <v>39655</v>
      </c>
    </row>
    <row r="257" spans="1:7">
      <c r="A257" s="122" t="s">
        <v>816</v>
      </c>
      <c r="B257" s="406" t="s">
        <v>730</v>
      </c>
      <c r="C257" s="173">
        <v>1.5</v>
      </c>
      <c r="D257" s="173">
        <v>2224.7280000000001</v>
      </c>
      <c r="E257" s="173">
        <v>1.5</v>
      </c>
      <c r="F257" s="121">
        <v>0</v>
      </c>
      <c r="G257" s="121">
        <v>259158</v>
      </c>
    </row>
    <row r="258" spans="1:7">
      <c r="A258" s="122" t="s">
        <v>3025</v>
      </c>
      <c r="B258" s="406" t="s">
        <v>2235</v>
      </c>
      <c r="C258" s="173">
        <v>1.2583</v>
      </c>
      <c r="D258" s="173">
        <v>478.19600000000003</v>
      </c>
      <c r="E258" s="173">
        <v>1.3740000000000001</v>
      </c>
      <c r="F258" s="121">
        <v>0</v>
      </c>
      <c r="G258" s="121">
        <v>49259</v>
      </c>
    </row>
    <row r="259" spans="1:7">
      <c r="A259" s="122" t="s">
        <v>1753</v>
      </c>
      <c r="B259" s="406" t="s">
        <v>2721</v>
      </c>
      <c r="C259" s="173">
        <v>1.246</v>
      </c>
      <c r="D259" s="173">
        <v>179.82499999999999</v>
      </c>
      <c r="E259" s="173">
        <v>1.36</v>
      </c>
      <c r="F259" s="121">
        <v>0</v>
      </c>
      <c r="G259" s="121">
        <v>53383</v>
      </c>
    </row>
    <row r="260" spans="1:7">
      <c r="A260" s="122" t="s">
        <v>3026</v>
      </c>
      <c r="B260" s="406" t="s">
        <v>2236</v>
      </c>
      <c r="C260" s="173">
        <v>1.37</v>
      </c>
      <c r="D260" s="173">
        <v>47.94</v>
      </c>
      <c r="E260" s="173">
        <v>1.5</v>
      </c>
      <c r="F260" s="121">
        <v>0</v>
      </c>
      <c r="G260" s="121">
        <v>21481</v>
      </c>
    </row>
    <row r="261" spans="1:7">
      <c r="A261" s="122" t="s">
        <v>3027</v>
      </c>
      <c r="B261" s="406" t="s">
        <v>2237</v>
      </c>
      <c r="C261" s="173">
        <v>1.37</v>
      </c>
      <c r="D261" s="173">
        <v>411.09800000000001</v>
      </c>
      <c r="E261" s="173">
        <v>1.5</v>
      </c>
      <c r="F261" s="121">
        <v>0</v>
      </c>
      <c r="G261" s="121">
        <v>34462</v>
      </c>
    </row>
    <row r="262" spans="1:7">
      <c r="A262" s="122" t="s">
        <v>817</v>
      </c>
      <c r="B262" s="406" t="s">
        <v>2310</v>
      </c>
      <c r="C262" s="173">
        <v>1.37</v>
      </c>
      <c r="D262" s="173">
        <v>1333.296</v>
      </c>
      <c r="E262" s="173">
        <v>1.5</v>
      </c>
      <c r="F262" s="121">
        <v>0</v>
      </c>
      <c r="G262" s="121">
        <v>72546</v>
      </c>
    </row>
    <row r="263" spans="1:7">
      <c r="A263" s="122" t="s">
        <v>776</v>
      </c>
      <c r="B263" s="406" t="s">
        <v>2238</v>
      </c>
      <c r="C263" s="173">
        <v>1.37</v>
      </c>
      <c r="D263" s="173">
        <v>798.24300000000005</v>
      </c>
      <c r="E263" s="173">
        <v>1.5</v>
      </c>
      <c r="F263" s="121">
        <v>0</v>
      </c>
      <c r="G263" s="121">
        <v>76466</v>
      </c>
    </row>
    <row r="264" spans="1:7">
      <c r="A264" s="122" t="s">
        <v>2463</v>
      </c>
      <c r="B264" s="406" t="s">
        <v>2465</v>
      </c>
      <c r="C264" s="173">
        <v>1.3168</v>
      </c>
      <c r="D264" s="173">
        <v>793.08900000000006</v>
      </c>
      <c r="E264" s="173">
        <v>1.44</v>
      </c>
      <c r="F264" s="121">
        <v>0</v>
      </c>
      <c r="G264" s="121">
        <v>48386</v>
      </c>
    </row>
    <row r="265" spans="1:7">
      <c r="A265" s="122" t="s">
        <v>2620</v>
      </c>
      <c r="B265" s="406" t="s">
        <v>2239</v>
      </c>
      <c r="C265" s="173">
        <v>1.339</v>
      </c>
      <c r="D265" s="173">
        <v>1079.567</v>
      </c>
      <c r="E265" s="173">
        <v>1.4650000000000001</v>
      </c>
      <c r="F265" s="121">
        <v>0</v>
      </c>
      <c r="G265" s="121">
        <v>73731</v>
      </c>
    </row>
    <row r="266" spans="1:7">
      <c r="A266" s="122" t="s">
        <v>2007</v>
      </c>
      <c r="B266" s="406" t="s">
        <v>2240</v>
      </c>
      <c r="C266" s="173">
        <v>1.3257000000000001</v>
      </c>
      <c r="D266" s="173">
        <v>359.88600000000002</v>
      </c>
      <c r="E266" s="173">
        <v>1.45</v>
      </c>
      <c r="F266" s="121">
        <v>0</v>
      </c>
      <c r="G266" s="121">
        <v>17788</v>
      </c>
    </row>
    <row r="267" spans="1:7">
      <c r="A267" s="122" t="s">
        <v>672</v>
      </c>
      <c r="B267" s="406" t="s">
        <v>2241</v>
      </c>
      <c r="C267" s="173">
        <v>1.37</v>
      </c>
      <c r="D267" s="173">
        <v>424.73899999999998</v>
      </c>
      <c r="E267" s="173">
        <v>1.5</v>
      </c>
      <c r="F267" s="121">
        <v>0</v>
      </c>
      <c r="G267" s="121">
        <v>38868</v>
      </c>
    </row>
    <row r="268" spans="1:7">
      <c r="A268" s="122" t="s">
        <v>1034</v>
      </c>
      <c r="B268" s="406" t="s">
        <v>2242</v>
      </c>
      <c r="C268" s="173">
        <v>1.3149999999999999</v>
      </c>
      <c r="D268" s="173">
        <v>235.119</v>
      </c>
      <c r="E268" s="173">
        <v>1.4390000000000001</v>
      </c>
      <c r="F268" s="121">
        <v>0</v>
      </c>
      <c r="G268" s="121">
        <v>20018</v>
      </c>
    </row>
    <row r="269" spans="1:7">
      <c r="A269" s="122" t="s">
        <v>2442</v>
      </c>
      <c r="B269" s="406" t="s">
        <v>2243</v>
      </c>
      <c r="C269" s="173">
        <v>1.28</v>
      </c>
      <c r="D269" s="173">
        <v>23944.376</v>
      </c>
      <c r="E269" s="173">
        <v>1.4</v>
      </c>
      <c r="F269" s="121">
        <v>0</v>
      </c>
      <c r="G269" s="121">
        <v>1929514</v>
      </c>
    </row>
    <row r="270" spans="1:7">
      <c r="A270" s="122" t="s">
        <v>2976</v>
      </c>
      <c r="B270" s="406" t="s">
        <v>2244</v>
      </c>
      <c r="C270" s="173">
        <v>1.37</v>
      </c>
      <c r="D270" s="173">
        <v>330.15300000000002</v>
      </c>
      <c r="E270" s="173">
        <v>1.5</v>
      </c>
      <c r="F270" s="121">
        <v>0</v>
      </c>
      <c r="G270" s="121">
        <v>60298</v>
      </c>
    </row>
    <row r="271" spans="1:7">
      <c r="A271" s="122" t="s">
        <v>2745</v>
      </c>
      <c r="B271" s="406" t="s">
        <v>2245</v>
      </c>
      <c r="C271" s="173">
        <v>1.37</v>
      </c>
      <c r="D271" s="173">
        <v>304.26100000000002</v>
      </c>
      <c r="E271" s="173">
        <v>1.5</v>
      </c>
      <c r="F271" s="121">
        <v>0</v>
      </c>
      <c r="G271" s="121">
        <v>45741</v>
      </c>
    </row>
    <row r="272" spans="1:7">
      <c r="A272" s="122" t="s">
        <v>274</v>
      </c>
      <c r="B272" s="406" t="s">
        <v>2427</v>
      </c>
      <c r="C272" s="173">
        <v>1.3080000000000001</v>
      </c>
      <c r="D272" s="173">
        <v>210.976</v>
      </c>
      <c r="E272" s="173">
        <v>1.43</v>
      </c>
      <c r="F272" s="121">
        <v>0</v>
      </c>
      <c r="G272" s="121">
        <v>16431</v>
      </c>
    </row>
    <row r="273" spans="1:7">
      <c r="A273" s="122" t="s">
        <v>1585</v>
      </c>
      <c r="B273" s="406" t="s">
        <v>2246</v>
      </c>
      <c r="C273" s="173">
        <v>1.3442000000000001</v>
      </c>
      <c r="D273" s="173">
        <v>5223.92</v>
      </c>
      <c r="E273" s="173">
        <v>1.4709000000000001</v>
      </c>
      <c r="F273" s="121">
        <v>0</v>
      </c>
      <c r="G273" s="121">
        <v>444511</v>
      </c>
    </row>
    <row r="274" spans="1:7">
      <c r="A274" s="122" t="s">
        <v>1586</v>
      </c>
      <c r="B274" s="406" t="s">
        <v>2247</v>
      </c>
      <c r="C274" s="173">
        <v>1.3479000000000001</v>
      </c>
      <c r="D274" s="173">
        <v>2034.404</v>
      </c>
      <c r="E274" s="173">
        <v>1.4750000000000001</v>
      </c>
      <c r="F274" s="121">
        <v>0</v>
      </c>
      <c r="G274" s="121">
        <v>408267</v>
      </c>
    </row>
    <row r="275" spans="1:7">
      <c r="A275" s="122" t="s">
        <v>818</v>
      </c>
      <c r="B275" s="406" t="s">
        <v>1442</v>
      </c>
      <c r="C275" s="173">
        <v>1.37</v>
      </c>
      <c r="D275" s="173">
        <v>621.68100000000004</v>
      </c>
      <c r="E275" s="173">
        <v>1.5</v>
      </c>
      <c r="F275" s="121">
        <v>0</v>
      </c>
      <c r="G275" s="121">
        <v>24248</v>
      </c>
    </row>
    <row r="276" spans="1:7">
      <c r="A276" s="122" t="s">
        <v>1581</v>
      </c>
      <c r="B276" s="406" t="s">
        <v>2248</v>
      </c>
      <c r="C276" s="173">
        <v>1.37</v>
      </c>
      <c r="D276" s="173">
        <v>5851.8239999999996</v>
      </c>
      <c r="E276" s="173">
        <v>1.5</v>
      </c>
      <c r="F276" s="121">
        <v>197808</v>
      </c>
      <c r="G276" s="121">
        <v>537619</v>
      </c>
    </row>
    <row r="277" spans="1:7">
      <c r="A277" s="122" t="s">
        <v>1049</v>
      </c>
      <c r="B277" s="406" t="s">
        <v>2249</v>
      </c>
      <c r="C277" s="173">
        <v>1.37</v>
      </c>
      <c r="D277" s="173">
        <v>200.58799999999999</v>
      </c>
      <c r="E277" s="173">
        <v>1.5</v>
      </c>
      <c r="F277" s="121">
        <v>0</v>
      </c>
      <c r="G277" s="121">
        <v>13182</v>
      </c>
    </row>
    <row r="278" spans="1:7">
      <c r="A278" s="122" t="s">
        <v>275</v>
      </c>
      <c r="B278" s="406" t="s">
        <v>1539</v>
      </c>
      <c r="C278" s="173">
        <v>1.37</v>
      </c>
      <c r="D278" s="173">
        <v>1049.7650000000001</v>
      </c>
      <c r="E278" s="173">
        <v>1.5</v>
      </c>
      <c r="F278" s="121">
        <v>0</v>
      </c>
      <c r="G278" s="121">
        <v>62153</v>
      </c>
    </row>
    <row r="279" spans="1:7">
      <c r="A279" s="122" t="s">
        <v>2382</v>
      </c>
      <c r="B279" s="406" t="s">
        <v>92</v>
      </c>
      <c r="C279" s="173">
        <v>1.37</v>
      </c>
      <c r="D279" s="173">
        <v>4798.3119999999999</v>
      </c>
      <c r="E279" s="173">
        <v>1.5</v>
      </c>
      <c r="F279" s="121">
        <v>0</v>
      </c>
      <c r="G279" s="121">
        <v>331755</v>
      </c>
    </row>
    <row r="280" spans="1:7">
      <c r="A280" s="122" t="s">
        <v>375</v>
      </c>
      <c r="B280" s="406" t="s">
        <v>160</v>
      </c>
      <c r="C280" s="173">
        <v>1.3573</v>
      </c>
      <c r="D280" s="173">
        <v>5871.7629999999999</v>
      </c>
      <c r="E280" s="173">
        <v>1.4858</v>
      </c>
      <c r="F280" s="121">
        <v>0</v>
      </c>
      <c r="G280" s="121">
        <v>513615</v>
      </c>
    </row>
    <row r="281" spans="1:7">
      <c r="A281" s="122" t="s">
        <v>819</v>
      </c>
      <c r="B281" s="406" t="s">
        <v>2269</v>
      </c>
      <c r="C281" s="173">
        <v>1.3480000000000001</v>
      </c>
      <c r="D281" s="173">
        <v>919.85</v>
      </c>
      <c r="E281" s="173">
        <v>1.4570000000000001</v>
      </c>
      <c r="F281" s="121">
        <v>0</v>
      </c>
      <c r="G281" s="121">
        <v>71518</v>
      </c>
    </row>
    <row r="282" spans="1:7">
      <c r="A282" s="122" t="s">
        <v>629</v>
      </c>
      <c r="B282" s="406" t="s">
        <v>1331</v>
      </c>
      <c r="C282" s="173">
        <v>1.3701000000000001</v>
      </c>
      <c r="D282" s="173">
        <v>8758.3870000000006</v>
      </c>
      <c r="E282" s="173">
        <v>1.5</v>
      </c>
      <c r="F282" s="121">
        <v>0</v>
      </c>
      <c r="G282" s="121">
        <v>814131</v>
      </c>
    </row>
    <row r="283" spans="1:7">
      <c r="A283" s="122" t="s">
        <v>2767</v>
      </c>
      <c r="B283" s="406" t="s">
        <v>2250</v>
      </c>
      <c r="C283" s="173">
        <v>1.37</v>
      </c>
      <c r="D283" s="173">
        <v>58781.669000000002</v>
      </c>
      <c r="E283" s="173">
        <v>1.5</v>
      </c>
      <c r="F283" s="121">
        <v>112321</v>
      </c>
      <c r="G283" s="121">
        <v>2603085</v>
      </c>
    </row>
    <row r="284" spans="1:7">
      <c r="A284" s="122" t="s">
        <v>878</v>
      </c>
      <c r="B284" s="406" t="s">
        <v>1004</v>
      </c>
      <c r="C284" s="173">
        <v>1.3701000000000001</v>
      </c>
      <c r="D284" s="173">
        <v>2469.17</v>
      </c>
      <c r="E284" s="173">
        <v>1.5</v>
      </c>
      <c r="F284" s="121">
        <v>0</v>
      </c>
      <c r="G284" s="121">
        <v>54616</v>
      </c>
    </row>
    <row r="285" spans="1:7">
      <c r="A285" s="122" t="s">
        <v>212</v>
      </c>
      <c r="B285" s="406" t="s">
        <v>2311</v>
      </c>
      <c r="C285" s="173">
        <v>1.37</v>
      </c>
      <c r="D285" s="173">
        <v>3523.7869999999998</v>
      </c>
      <c r="E285" s="173">
        <v>1.5</v>
      </c>
      <c r="F285" s="121">
        <v>0</v>
      </c>
      <c r="G285" s="121">
        <v>245219</v>
      </c>
    </row>
    <row r="286" spans="1:7">
      <c r="A286" s="122" t="s">
        <v>1353</v>
      </c>
      <c r="B286" s="406" t="s">
        <v>861</v>
      </c>
      <c r="C286" s="173">
        <v>1.33</v>
      </c>
      <c r="D286" s="173">
        <v>42818.27</v>
      </c>
      <c r="E286" s="173">
        <v>1.5</v>
      </c>
      <c r="F286" s="121">
        <v>0</v>
      </c>
      <c r="G286" s="121">
        <v>1603780</v>
      </c>
    </row>
    <row r="287" spans="1:7">
      <c r="A287" s="122" t="s">
        <v>2401</v>
      </c>
      <c r="B287" s="406" t="s">
        <v>2772</v>
      </c>
      <c r="C287" s="173">
        <v>1.3701000000000001</v>
      </c>
      <c r="D287" s="173">
        <v>724.86400000000003</v>
      </c>
      <c r="E287" s="173">
        <v>1.5</v>
      </c>
      <c r="F287" s="121">
        <v>0</v>
      </c>
      <c r="G287" s="121">
        <v>46454</v>
      </c>
    </row>
    <row r="288" spans="1:7">
      <c r="A288" s="122" t="s">
        <v>2157</v>
      </c>
      <c r="B288" s="406" t="s">
        <v>728</v>
      </c>
      <c r="C288" s="173">
        <v>1.3701000000000001</v>
      </c>
      <c r="D288" s="173">
        <v>4821.4549999999999</v>
      </c>
      <c r="E288" s="173">
        <v>1.5</v>
      </c>
      <c r="F288" s="121">
        <v>155375</v>
      </c>
      <c r="G288" s="121">
        <v>281988</v>
      </c>
    </row>
    <row r="289" spans="1:7">
      <c r="A289" s="122" t="s">
        <v>1710</v>
      </c>
      <c r="B289" s="406" t="s">
        <v>661</v>
      </c>
      <c r="C289" s="173">
        <v>1.3701000000000001</v>
      </c>
      <c r="D289" s="173">
        <v>1148.7819999999999</v>
      </c>
      <c r="E289" s="173">
        <v>1.5</v>
      </c>
      <c r="F289" s="121">
        <v>0</v>
      </c>
      <c r="G289" s="121">
        <v>59372</v>
      </c>
    </row>
    <row r="290" spans="1:7">
      <c r="A290" s="122" t="s">
        <v>1315</v>
      </c>
      <c r="B290" s="406" t="s">
        <v>2204</v>
      </c>
      <c r="C290" s="173">
        <v>1.2444</v>
      </c>
      <c r="D290" s="173">
        <v>34335.074000000001</v>
      </c>
      <c r="E290" s="173">
        <v>1.3583000000000001</v>
      </c>
      <c r="F290" s="121">
        <v>257867</v>
      </c>
      <c r="G290" s="121">
        <v>1481895</v>
      </c>
    </row>
    <row r="291" spans="1:7">
      <c r="A291" s="122" t="s">
        <v>2768</v>
      </c>
      <c r="B291" s="406" t="s">
        <v>2251</v>
      </c>
      <c r="C291" s="173">
        <v>1.157</v>
      </c>
      <c r="D291" s="173">
        <v>59.091999999999999</v>
      </c>
      <c r="E291" s="173">
        <v>1.26</v>
      </c>
      <c r="F291" s="121">
        <v>0</v>
      </c>
      <c r="G291" s="121">
        <v>11988</v>
      </c>
    </row>
    <row r="292" spans="1:7">
      <c r="A292" s="122" t="s">
        <v>2769</v>
      </c>
      <c r="B292" s="406" t="s">
        <v>2252</v>
      </c>
      <c r="C292" s="173">
        <v>1.2290000000000001</v>
      </c>
      <c r="D292" s="173">
        <v>1243.806</v>
      </c>
      <c r="E292" s="173">
        <v>1.3420000000000001</v>
      </c>
      <c r="F292" s="121">
        <v>0</v>
      </c>
      <c r="G292" s="121">
        <v>96701</v>
      </c>
    </row>
    <row r="293" spans="1:7">
      <c r="A293" s="122" t="s">
        <v>1704</v>
      </c>
      <c r="B293" s="406" t="s">
        <v>2214</v>
      </c>
      <c r="C293" s="173">
        <v>1.37</v>
      </c>
      <c r="D293" s="173">
        <v>3281.377</v>
      </c>
      <c r="E293" s="173">
        <v>1.5</v>
      </c>
      <c r="F293" s="121">
        <v>0</v>
      </c>
      <c r="G293" s="121">
        <v>194212</v>
      </c>
    </row>
    <row r="294" spans="1:7">
      <c r="A294" s="122" t="s">
        <v>2091</v>
      </c>
      <c r="B294" s="406" t="s">
        <v>2253</v>
      </c>
      <c r="C294" s="173">
        <v>1.3089999999999999</v>
      </c>
      <c r="D294" s="173">
        <v>74.260000000000005</v>
      </c>
      <c r="E294" s="173">
        <v>1.4307000000000001</v>
      </c>
      <c r="F294" s="121">
        <v>0</v>
      </c>
      <c r="G294" s="121">
        <v>6902</v>
      </c>
    </row>
    <row r="295" spans="1:7">
      <c r="A295" s="122" t="s">
        <v>2092</v>
      </c>
      <c r="B295" s="406" t="s">
        <v>2254</v>
      </c>
      <c r="C295" s="173">
        <v>1.37</v>
      </c>
      <c r="D295" s="173">
        <v>189.09399999999999</v>
      </c>
      <c r="E295" s="173">
        <v>1.5</v>
      </c>
      <c r="F295" s="121">
        <v>0</v>
      </c>
      <c r="G295" s="121">
        <v>21505</v>
      </c>
    </row>
    <row r="296" spans="1:7">
      <c r="A296" s="122" t="s">
        <v>1400</v>
      </c>
      <c r="B296" s="406" t="s">
        <v>2827</v>
      </c>
      <c r="C296" s="173">
        <v>1.3079000000000001</v>
      </c>
      <c r="D296" s="173">
        <v>234.81</v>
      </c>
      <c r="E296" s="173">
        <v>1.42</v>
      </c>
      <c r="F296" s="121">
        <v>0</v>
      </c>
      <c r="G296" s="121">
        <v>44233</v>
      </c>
    </row>
    <row r="297" spans="1:7">
      <c r="A297" s="122" t="s">
        <v>2093</v>
      </c>
      <c r="B297" s="406" t="s">
        <v>2255</v>
      </c>
      <c r="C297" s="173">
        <v>1.2547999999999999</v>
      </c>
      <c r="D297" s="173">
        <v>93.918999999999997</v>
      </c>
      <c r="E297" s="173">
        <v>1.37</v>
      </c>
      <c r="F297" s="121">
        <v>0</v>
      </c>
      <c r="G297" s="121">
        <v>13114</v>
      </c>
    </row>
    <row r="298" spans="1:7">
      <c r="A298" s="122" t="s">
        <v>229</v>
      </c>
      <c r="B298" s="406" t="s">
        <v>2256</v>
      </c>
      <c r="C298" s="173">
        <v>1.3612</v>
      </c>
      <c r="D298" s="173">
        <v>408.75799999999998</v>
      </c>
      <c r="E298" s="173">
        <v>1.49</v>
      </c>
      <c r="F298" s="121">
        <v>0</v>
      </c>
      <c r="G298" s="121">
        <v>24473</v>
      </c>
    </row>
    <row r="299" spans="1:7">
      <c r="A299" s="122" t="s">
        <v>2095</v>
      </c>
      <c r="B299" s="406" t="s">
        <v>2357</v>
      </c>
      <c r="C299" s="173">
        <v>1.2881</v>
      </c>
      <c r="D299" s="173">
        <v>1218.4059999999999</v>
      </c>
      <c r="E299" s="173">
        <v>1.4076</v>
      </c>
      <c r="F299" s="121">
        <v>0</v>
      </c>
      <c r="G299" s="121">
        <v>222496</v>
      </c>
    </row>
    <row r="300" spans="1:7">
      <c r="A300" s="122" t="s">
        <v>2103</v>
      </c>
      <c r="B300" s="406" t="s">
        <v>1508</v>
      </c>
      <c r="C300" s="173">
        <v>1.1299999999999999</v>
      </c>
      <c r="D300" s="173">
        <v>136.01499999999999</v>
      </c>
      <c r="E300" s="173">
        <v>1.23</v>
      </c>
      <c r="F300" s="121">
        <v>0</v>
      </c>
      <c r="G300" s="121">
        <v>0</v>
      </c>
    </row>
    <row r="301" spans="1:7">
      <c r="A301" s="122" t="s">
        <v>230</v>
      </c>
      <c r="B301" s="406" t="s">
        <v>2257</v>
      </c>
      <c r="C301" s="173">
        <v>0.93189999999999995</v>
      </c>
      <c r="D301" s="173">
        <v>840.66399999999999</v>
      </c>
      <c r="E301" s="173">
        <v>1.0054000000000001</v>
      </c>
      <c r="F301" s="121">
        <v>0</v>
      </c>
      <c r="G301" s="121">
        <v>114272</v>
      </c>
    </row>
    <row r="302" spans="1:7">
      <c r="A302" s="122" t="s">
        <v>231</v>
      </c>
      <c r="B302" s="406" t="s">
        <v>1</v>
      </c>
      <c r="C302" s="173">
        <v>1.3701000000000001</v>
      </c>
      <c r="D302" s="173">
        <v>1872.828</v>
      </c>
      <c r="E302" s="173">
        <v>1.5</v>
      </c>
      <c r="F302" s="121">
        <v>0</v>
      </c>
      <c r="G302" s="121">
        <v>165258</v>
      </c>
    </row>
    <row r="303" spans="1:7">
      <c r="A303" s="122" t="s">
        <v>1401</v>
      </c>
      <c r="B303" s="406" t="s">
        <v>2495</v>
      </c>
      <c r="C303" s="173">
        <v>1.37</v>
      </c>
      <c r="D303" s="173">
        <v>270.99900000000002</v>
      </c>
      <c r="E303" s="173">
        <v>1.5</v>
      </c>
      <c r="F303" s="121">
        <v>0</v>
      </c>
      <c r="G303" s="121">
        <v>15046</v>
      </c>
    </row>
    <row r="304" spans="1:7">
      <c r="A304" s="122" t="s">
        <v>820</v>
      </c>
      <c r="B304" s="406" t="s">
        <v>1216</v>
      </c>
      <c r="C304" s="173">
        <v>1.3701000000000001</v>
      </c>
      <c r="D304" s="173">
        <v>258.95</v>
      </c>
      <c r="E304" s="173">
        <v>1.5</v>
      </c>
      <c r="F304" s="121">
        <v>0</v>
      </c>
      <c r="G304" s="121">
        <v>6328</v>
      </c>
    </row>
    <row r="305" spans="1:7">
      <c r="A305" s="122" t="s">
        <v>232</v>
      </c>
      <c r="B305" s="406" t="s">
        <v>2</v>
      </c>
      <c r="C305" s="173">
        <v>1.3</v>
      </c>
      <c r="D305" s="173">
        <v>611.52099999999996</v>
      </c>
      <c r="E305" s="173">
        <v>1.421</v>
      </c>
      <c r="F305" s="121">
        <v>0</v>
      </c>
      <c r="G305" s="121">
        <v>78904</v>
      </c>
    </row>
    <row r="306" spans="1:7">
      <c r="A306" s="122" t="s">
        <v>233</v>
      </c>
      <c r="B306" s="406" t="s">
        <v>3</v>
      </c>
      <c r="C306" s="173">
        <v>1.294</v>
      </c>
      <c r="D306" s="173">
        <v>783.50599999999997</v>
      </c>
      <c r="E306" s="173">
        <v>1.4141999999999999</v>
      </c>
      <c r="F306" s="121">
        <v>0</v>
      </c>
      <c r="G306" s="121">
        <v>40649</v>
      </c>
    </row>
    <row r="307" spans="1:7">
      <c r="A307" s="122" t="s">
        <v>1960</v>
      </c>
      <c r="B307" s="406" t="s">
        <v>4</v>
      </c>
      <c r="C307" s="173">
        <v>1.37</v>
      </c>
      <c r="D307" s="173">
        <v>299.11399999999998</v>
      </c>
      <c r="E307" s="173">
        <v>1.5</v>
      </c>
      <c r="F307" s="121">
        <v>0</v>
      </c>
      <c r="G307" s="121">
        <v>22069</v>
      </c>
    </row>
    <row r="308" spans="1:7">
      <c r="A308" s="122" t="s">
        <v>1961</v>
      </c>
      <c r="B308" s="406" t="s">
        <v>5</v>
      </c>
      <c r="C308" s="173">
        <v>1.27</v>
      </c>
      <c r="D308" s="173">
        <v>518.59299999999996</v>
      </c>
      <c r="E308" s="173">
        <v>1.39</v>
      </c>
      <c r="F308" s="121">
        <v>0</v>
      </c>
      <c r="G308" s="121">
        <v>34808</v>
      </c>
    </row>
    <row r="309" spans="1:7">
      <c r="A309" s="122" t="s">
        <v>1402</v>
      </c>
      <c r="B309" s="406" t="s">
        <v>2306</v>
      </c>
      <c r="C309" s="173">
        <v>1.2969999999999999</v>
      </c>
      <c r="D309" s="173">
        <v>416.39100000000002</v>
      </c>
      <c r="E309" s="173">
        <v>1.4179999999999999</v>
      </c>
      <c r="F309" s="121">
        <v>0</v>
      </c>
      <c r="G309" s="121">
        <v>72920</v>
      </c>
    </row>
    <row r="310" spans="1:7">
      <c r="A310" s="122" t="s">
        <v>2948</v>
      </c>
      <c r="B310" s="406" t="s">
        <v>502</v>
      </c>
      <c r="C310" s="173">
        <v>1.3011999999999999</v>
      </c>
      <c r="D310" s="173">
        <v>555.39800000000002</v>
      </c>
      <c r="E310" s="173">
        <v>1.4224000000000001</v>
      </c>
      <c r="F310" s="121">
        <v>0</v>
      </c>
      <c r="G310" s="121">
        <v>77802</v>
      </c>
    </row>
    <row r="311" spans="1:7">
      <c r="A311" s="122" t="s">
        <v>1911</v>
      </c>
      <c r="B311" s="406" t="s">
        <v>503</v>
      </c>
      <c r="C311" s="173">
        <v>1.37</v>
      </c>
      <c r="D311" s="173">
        <v>1750.4949999999999</v>
      </c>
      <c r="E311" s="173">
        <v>1.5</v>
      </c>
      <c r="F311" s="121">
        <v>0</v>
      </c>
      <c r="G311" s="121">
        <v>176306</v>
      </c>
    </row>
    <row r="312" spans="1:7">
      <c r="A312" s="122" t="s">
        <v>1912</v>
      </c>
      <c r="B312" s="406" t="s">
        <v>504</v>
      </c>
      <c r="C312" s="173">
        <v>1.2946</v>
      </c>
      <c r="D312" s="173">
        <v>700.01099999999997</v>
      </c>
      <c r="E312" s="173">
        <v>1.415</v>
      </c>
      <c r="F312" s="121">
        <v>0</v>
      </c>
      <c r="G312" s="121">
        <v>70825</v>
      </c>
    </row>
    <row r="313" spans="1:7">
      <c r="A313" s="122" t="s">
        <v>1037</v>
      </c>
      <c r="B313" s="406" t="s">
        <v>505</v>
      </c>
      <c r="C313" s="173">
        <v>1.37</v>
      </c>
      <c r="D313" s="173">
        <v>195.10300000000001</v>
      </c>
      <c r="E313" s="173">
        <v>1.5</v>
      </c>
      <c r="F313" s="121">
        <v>0</v>
      </c>
      <c r="G313" s="121">
        <v>0</v>
      </c>
    </row>
    <row r="314" spans="1:7">
      <c r="A314" s="122" t="s">
        <v>73</v>
      </c>
      <c r="B314" s="406" t="s">
        <v>205</v>
      </c>
      <c r="C314" s="173">
        <v>1.37</v>
      </c>
      <c r="D314" s="173">
        <v>226.24600000000001</v>
      </c>
      <c r="E314" s="173">
        <v>1.5</v>
      </c>
      <c r="F314" s="121">
        <v>0</v>
      </c>
      <c r="G314" s="121">
        <v>37313</v>
      </c>
    </row>
    <row r="315" spans="1:7">
      <c r="A315" s="122" t="s">
        <v>853</v>
      </c>
      <c r="B315" s="406" t="s">
        <v>957</v>
      </c>
      <c r="C315" s="173">
        <v>1.37</v>
      </c>
      <c r="D315" s="173">
        <v>284.75900000000001</v>
      </c>
      <c r="E315" s="173">
        <v>1.5</v>
      </c>
      <c r="F315" s="121">
        <v>0</v>
      </c>
      <c r="G315" s="121">
        <v>48846</v>
      </c>
    </row>
    <row r="316" spans="1:7">
      <c r="A316" s="122" t="s">
        <v>2865</v>
      </c>
      <c r="B316" s="406" t="s">
        <v>665</v>
      </c>
      <c r="C316" s="173">
        <v>1.37</v>
      </c>
      <c r="D316" s="173">
        <v>359.05200000000002</v>
      </c>
      <c r="E316" s="173">
        <v>1.5</v>
      </c>
      <c r="F316" s="121">
        <v>0</v>
      </c>
      <c r="G316" s="121">
        <v>25429</v>
      </c>
    </row>
    <row r="317" spans="1:7">
      <c r="A317" s="122" t="s">
        <v>697</v>
      </c>
      <c r="B317" s="406" t="s">
        <v>958</v>
      </c>
      <c r="C317" s="173">
        <v>1.37</v>
      </c>
      <c r="D317" s="173">
        <v>937.76199999999994</v>
      </c>
      <c r="E317" s="173">
        <v>1.5</v>
      </c>
      <c r="F317" s="121">
        <v>0</v>
      </c>
      <c r="G317" s="121">
        <v>135190</v>
      </c>
    </row>
    <row r="318" spans="1:7">
      <c r="A318" s="122" t="s">
        <v>698</v>
      </c>
      <c r="B318" s="406" t="s">
        <v>959</v>
      </c>
      <c r="C318" s="173">
        <v>1.37</v>
      </c>
      <c r="D318" s="173">
        <v>586.20399999999995</v>
      </c>
      <c r="E318" s="173">
        <v>1.5</v>
      </c>
      <c r="F318" s="121">
        <v>0</v>
      </c>
      <c r="G318" s="121">
        <v>37356</v>
      </c>
    </row>
    <row r="319" spans="1:7">
      <c r="A319" s="122" t="s">
        <v>699</v>
      </c>
      <c r="B319" s="406" t="s">
        <v>960</v>
      </c>
      <c r="C319" s="173">
        <v>1.246</v>
      </c>
      <c r="D319" s="173">
        <v>263.41000000000003</v>
      </c>
      <c r="E319" s="173">
        <v>1.36</v>
      </c>
      <c r="F319" s="121">
        <v>0</v>
      </c>
      <c r="G319" s="121">
        <v>27443</v>
      </c>
    </row>
    <row r="320" spans="1:7">
      <c r="A320" s="122" t="s">
        <v>700</v>
      </c>
      <c r="B320" s="406" t="s">
        <v>961</v>
      </c>
      <c r="C320" s="173">
        <v>1.3301000000000001</v>
      </c>
      <c r="D320" s="173">
        <v>18405.253000000001</v>
      </c>
      <c r="E320" s="173">
        <v>1.5</v>
      </c>
      <c r="F320" s="121">
        <v>124629</v>
      </c>
      <c r="G320" s="121">
        <v>1543125</v>
      </c>
    </row>
    <row r="321" spans="1:7">
      <c r="A321" s="122" t="s">
        <v>2906</v>
      </c>
      <c r="B321" s="406" t="s">
        <v>1006</v>
      </c>
      <c r="C321" s="173">
        <v>1.37</v>
      </c>
      <c r="D321" s="173">
        <v>2450.9989999999998</v>
      </c>
      <c r="E321" s="173">
        <v>1.5</v>
      </c>
      <c r="F321" s="121">
        <v>0</v>
      </c>
      <c r="G321" s="121">
        <v>261100</v>
      </c>
    </row>
    <row r="322" spans="1:7">
      <c r="A322" s="122" t="s">
        <v>1602</v>
      </c>
      <c r="B322" s="406" t="s">
        <v>133</v>
      </c>
      <c r="C322" s="173">
        <v>1.33</v>
      </c>
      <c r="D322" s="173">
        <v>62857.959000000003</v>
      </c>
      <c r="E322" s="173">
        <v>1.5</v>
      </c>
      <c r="F322" s="121">
        <v>78972</v>
      </c>
      <c r="G322" s="121">
        <v>3990529</v>
      </c>
    </row>
    <row r="323" spans="1:7">
      <c r="A323" s="122" t="s">
        <v>701</v>
      </c>
      <c r="B323" s="406" t="s">
        <v>962</v>
      </c>
      <c r="C323" s="173">
        <v>1.37</v>
      </c>
      <c r="D323" s="173">
        <v>97.64</v>
      </c>
      <c r="E323" s="173">
        <v>1.5</v>
      </c>
      <c r="F323" s="121">
        <v>0</v>
      </c>
      <c r="G323" s="121">
        <v>40196</v>
      </c>
    </row>
    <row r="324" spans="1:7">
      <c r="A324" s="122" t="s">
        <v>2647</v>
      </c>
      <c r="B324" s="406" t="s">
        <v>963</v>
      </c>
      <c r="C324" s="173">
        <v>1.3612</v>
      </c>
      <c r="D324" s="173">
        <v>2884.194</v>
      </c>
      <c r="E324" s="173">
        <v>1.49</v>
      </c>
      <c r="F324" s="121">
        <v>0</v>
      </c>
      <c r="G324" s="121">
        <v>0</v>
      </c>
    </row>
    <row r="325" spans="1:7">
      <c r="A325" s="122" t="s">
        <v>2290</v>
      </c>
      <c r="B325" s="406" t="s">
        <v>964</v>
      </c>
      <c r="C325" s="173">
        <v>1.2459</v>
      </c>
      <c r="D325" s="173">
        <v>1455.5650000000001</v>
      </c>
      <c r="E325" s="173">
        <v>1.36</v>
      </c>
      <c r="F325" s="121">
        <v>0</v>
      </c>
      <c r="G325" s="121">
        <v>159820</v>
      </c>
    </row>
    <row r="326" spans="1:7">
      <c r="A326" s="122" t="s">
        <v>1478</v>
      </c>
      <c r="B326" s="406" t="s">
        <v>965</v>
      </c>
      <c r="C326" s="173">
        <v>1.3257000000000001</v>
      </c>
      <c r="D326" s="173">
        <v>1660.902</v>
      </c>
      <c r="E326" s="173">
        <v>1.45</v>
      </c>
      <c r="F326" s="121">
        <v>0</v>
      </c>
      <c r="G326" s="121">
        <v>190887</v>
      </c>
    </row>
    <row r="327" spans="1:7">
      <c r="A327" s="122" t="s">
        <v>2192</v>
      </c>
      <c r="B327" s="406" t="s">
        <v>966</v>
      </c>
      <c r="C327" s="173">
        <v>1.37</v>
      </c>
      <c r="D327" s="173">
        <v>1089.818</v>
      </c>
      <c r="E327" s="173">
        <v>1.5</v>
      </c>
      <c r="F327" s="121">
        <v>0</v>
      </c>
      <c r="G327" s="121">
        <v>73000</v>
      </c>
    </row>
    <row r="328" spans="1:7">
      <c r="A328" s="122" t="s">
        <v>2198</v>
      </c>
      <c r="B328" s="406" t="s">
        <v>967</v>
      </c>
      <c r="C328" s="173">
        <v>1.3701000000000001</v>
      </c>
      <c r="D328" s="173">
        <v>426.96499999999997</v>
      </c>
      <c r="E328" s="173">
        <v>1.5</v>
      </c>
      <c r="F328" s="121">
        <v>0</v>
      </c>
      <c r="G328" s="121">
        <v>47359</v>
      </c>
    </row>
    <row r="329" spans="1:7">
      <c r="A329" s="122" t="s">
        <v>2199</v>
      </c>
      <c r="B329" s="406" t="s">
        <v>968</v>
      </c>
      <c r="C329" s="173">
        <v>1.19</v>
      </c>
      <c r="D329" s="173">
        <v>148.119</v>
      </c>
      <c r="E329" s="173">
        <v>1.3</v>
      </c>
      <c r="F329" s="121">
        <v>0</v>
      </c>
      <c r="G329" s="121">
        <v>19908</v>
      </c>
    </row>
    <row r="330" spans="1:7">
      <c r="A330" s="122" t="s">
        <v>1403</v>
      </c>
      <c r="B330" s="406" t="s">
        <v>2494</v>
      </c>
      <c r="C330" s="173">
        <v>1.5</v>
      </c>
      <c r="D330" s="173">
        <v>766.61800000000005</v>
      </c>
      <c r="E330" s="173">
        <v>1.5</v>
      </c>
      <c r="F330" s="121">
        <v>0</v>
      </c>
      <c r="G330" s="121">
        <v>47231</v>
      </c>
    </row>
    <row r="331" spans="1:7">
      <c r="A331" s="122" t="s">
        <v>2866</v>
      </c>
      <c r="B331" s="406" t="s">
        <v>2987</v>
      </c>
      <c r="C331" s="173">
        <v>1.4335</v>
      </c>
      <c r="D331" s="173">
        <v>2153.279</v>
      </c>
      <c r="E331" s="173">
        <v>1.425</v>
      </c>
      <c r="F331" s="121">
        <v>0</v>
      </c>
      <c r="G331" s="121">
        <v>163886</v>
      </c>
    </row>
    <row r="332" spans="1:7">
      <c r="A332" s="122" t="s">
        <v>2200</v>
      </c>
      <c r="B332" s="406" t="s">
        <v>969</v>
      </c>
      <c r="C332" s="173">
        <v>1.1950000000000001</v>
      </c>
      <c r="D332" s="173">
        <v>540.80200000000002</v>
      </c>
      <c r="E332" s="173">
        <v>1.28</v>
      </c>
      <c r="F332" s="121">
        <v>0</v>
      </c>
      <c r="G332" s="121">
        <v>21695</v>
      </c>
    </row>
    <row r="333" spans="1:7">
      <c r="A333" s="122" t="s">
        <v>2420</v>
      </c>
      <c r="B333" s="406" t="s">
        <v>577</v>
      </c>
      <c r="C333" s="173">
        <v>1.0863</v>
      </c>
      <c r="D333" s="173">
        <v>137.358</v>
      </c>
      <c r="E333" s="173">
        <v>1.18</v>
      </c>
      <c r="F333" s="121">
        <v>0</v>
      </c>
      <c r="G333" s="121">
        <v>11390</v>
      </c>
    </row>
    <row r="334" spans="1:7">
      <c r="A334" s="122" t="s">
        <v>2490</v>
      </c>
      <c r="B334" s="406" t="s">
        <v>578</v>
      </c>
      <c r="C334" s="173">
        <v>0.94</v>
      </c>
      <c r="D334" s="173">
        <v>2060.7339999999999</v>
      </c>
      <c r="E334" s="173">
        <v>1.01</v>
      </c>
      <c r="F334" s="121">
        <v>0</v>
      </c>
      <c r="G334" s="121">
        <v>181614</v>
      </c>
    </row>
    <row r="335" spans="1:7">
      <c r="A335" s="122" t="s">
        <v>2270</v>
      </c>
      <c r="B335" s="406" t="s">
        <v>397</v>
      </c>
      <c r="C335" s="173">
        <v>1.37</v>
      </c>
      <c r="D335" s="173">
        <v>6686.4409999999998</v>
      </c>
      <c r="E335" s="173">
        <v>1.5</v>
      </c>
      <c r="F335" s="121">
        <v>0</v>
      </c>
      <c r="G335" s="121">
        <v>678917</v>
      </c>
    </row>
    <row r="336" spans="1:7">
      <c r="A336" s="122" t="s">
        <v>2550</v>
      </c>
      <c r="B336" s="406" t="s">
        <v>398</v>
      </c>
      <c r="C336" s="173">
        <v>1.37</v>
      </c>
      <c r="D336" s="173">
        <v>7990.56</v>
      </c>
      <c r="E336" s="173">
        <v>1.5</v>
      </c>
      <c r="F336" s="121">
        <v>0</v>
      </c>
      <c r="G336" s="121">
        <v>443334</v>
      </c>
    </row>
    <row r="337" spans="1:7">
      <c r="A337" s="122" t="s">
        <v>2132</v>
      </c>
      <c r="B337" s="406" t="s">
        <v>2726</v>
      </c>
      <c r="C337" s="173">
        <v>1.5</v>
      </c>
      <c r="D337" s="173">
        <v>227.76400000000001</v>
      </c>
      <c r="E337" s="173">
        <v>1.5</v>
      </c>
      <c r="F337" s="121">
        <v>0</v>
      </c>
      <c r="G337" s="121">
        <v>16825</v>
      </c>
    </row>
    <row r="338" spans="1:7">
      <c r="A338" s="122" t="s">
        <v>862</v>
      </c>
      <c r="B338" s="406" t="s">
        <v>399</v>
      </c>
      <c r="C338" s="173">
        <v>1.37</v>
      </c>
      <c r="D338" s="173">
        <v>3518.3090000000002</v>
      </c>
      <c r="E338" s="173">
        <v>1.5</v>
      </c>
      <c r="F338" s="121">
        <v>0</v>
      </c>
      <c r="G338" s="121">
        <v>212303</v>
      </c>
    </row>
    <row r="339" spans="1:7">
      <c r="A339" s="122" t="s">
        <v>863</v>
      </c>
      <c r="B339" s="406" t="s">
        <v>400</v>
      </c>
      <c r="C339" s="173">
        <v>1.3701000000000001</v>
      </c>
      <c r="D339" s="173">
        <v>5394.0749999999998</v>
      </c>
      <c r="E339" s="173">
        <v>1.5</v>
      </c>
      <c r="F339" s="121">
        <v>0</v>
      </c>
      <c r="G339" s="121">
        <v>181940</v>
      </c>
    </row>
    <row r="340" spans="1:7">
      <c r="A340" s="122" t="s">
        <v>2817</v>
      </c>
      <c r="B340" s="406" t="s">
        <v>401</v>
      </c>
      <c r="C340" s="173">
        <v>1.3701000000000001</v>
      </c>
      <c r="D340" s="173">
        <v>1108.6569999999999</v>
      </c>
      <c r="E340" s="173">
        <v>1.5</v>
      </c>
      <c r="F340" s="121">
        <v>0</v>
      </c>
      <c r="G340" s="121">
        <v>89446</v>
      </c>
    </row>
    <row r="341" spans="1:7">
      <c r="A341" s="122" t="s">
        <v>533</v>
      </c>
      <c r="B341" s="406" t="s">
        <v>98</v>
      </c>
      <c r="C341" s="173">
        <v>1.325</v>
      </c>
      <c r="D341" s="173">
        <v>4235.6670000000004</v>
      </c>
      <c r="E341" s="173">
        <v>1.45</v>
      </c>
      <c r="F341" s="121">
        <v>0</v>
      </c>
      <c r="G341" s="121">
        <v>410941</v>
      </c>
    </row>
    <row r="342" spans="1:7">
      <c r="A342" s="122" t="s">
        <v>2818</v>
      </c>
      <c r="B342" s="406" t="s">
        <v>402</v>
      </c>
      <c r="C342" s="173">
        <v>1.33</v>
      </c>
      <c r="D342" s="173">
        <v>32824.894999999997</v>
      </c>
      <c r="E342" s="173">
        <v>1.5</v>
      </c>
      <c r="F342" s="121">
        <v>464129</v>
      </c>
      <c r="G342" s="121">
        <v>1794753</v>
      </c>
    </row>
    <row r="343" spans="1:7">
      <c r="A343" s="122" t="s">
        <v>1604</v>
      </c>
      <c r="B343" s="406" t="s">
        <v>1666</v>
      </c>
      <c r="C343" s="173">
        <v>1.37</v>
      </c>
      <c r="D343" s="173">
        <v>5493.7179999999998</v>
      </c>
      <c r="E343" s="173">
        <v>1.5</v>
      </c>
      <c r="F343" s="121">
        <v>0</v>
      </c>
      <c r="G343" s="121">
        <v>327646</v>
      </c>
    </row>
    <row r="344" spans="1:7">
      <c r="A344" s="122" t="s">
        <v>1872</v>
      </c>
      <c r="B344" s="406" t="s">
        <v>403</v>
      </c>
      <c r="C344" s="173">
        <v>1.2473000000000001</v>
      </c>
      <c r="D344" s="173">
        <v>885.88099999999997</v>
      </c>
      <c r="E344" s="173">
        <v>1.3615999999999999</v>
      </c>
      <c r="F344" s="121">
        <v>0</v>
      </c>
      <c r="G344" s="121">
        <v>65525</v>
      </c>
    </row>
    <row r="345" spans="1:7">
      <c r="A345" s="122" t="s">
        <v>1873</v>
      </c>
      <c r="B345" s="406" t="s">
        <v>404</v>
      </c>
      <c r="C345" s="173">
        <v>1.37</v>
      </c>
      <c r="D345" s="173">
        <v>147.13399999999999</v>
      </c>
      <c r="E345" s="173">
        <v>1.5</v>
      </c>
      <c r="F345" s="121">
        <v>0</v>
      </c>
      <c r="G345" s="121">
        <v>15191</v>
      </c>
    </row>
    <row r="346" spans="1:7">
      <c r="A346" s="122" t="s">
        <v>2139</v>
      </c>
      <c r="B346" s="406" t="s">
        <v>405</v>
      </c>
      <c r="C346" s="173">
        <v>1.2324999999999999</v>
      </c>
      <c r="D346" s="173">
        <v>27.606000000000002</v>
      </c>
      <c r="E346" s="173">
        <v>1.39</v>
      </c>
      <c r="F346" s="121">
        <v>0</v>
      </c>
      <c r="G346" s="121">
        <v>0</v>
      </c>
    </row>
    <row r="347" spans="1:7">
      <c r="A347" s="122" t="s">
        <v>1636</v>
      </c>
      <c r="B347" s="406" t="s">
        <v>406</v>
      </c>
      <c r="C347" s="173">
        <v>1.3174999999999999</v>
      </c>
      <c r="D347" s="173">
        <v>2675.9760000000001</v>
      </c>
      <c r="E347" s="173">
        <v>1.4517</v>
      </c>
      <c r="F347" s="121">
        <v>0</v>
      </c>
      <c r="G347" s="121">
        <v>269554</v>
      </c>
    </row>
    <row r="348" spans="1:7">
      <c r="A348" s="122" t="s">
        <v>2474</v>
      </c>
      <c r="B348" s="406" t="s">
        <v>2004</v>
      </c>
      <c r="C348" s="173">
        <v>1.2598</v>
      </c>
      <c r="D348" s="173">
        <v>538.07299999999998</v>
      </c>
      <c r="E348" s="173">
        <v>1.3756999999999999</v>
      </c>
      <c r="F348" s="121">
        <v>0</v>
      </c>
      <c r="G348" s="121">
        <v>116463</v>
      </c>
    </row>
    <row r="349" spans="1:7">
      <c r="A349" s="122" t="s">
        <v>2475</v>
      </c>
      <c r="B349" s="406" t="s">
        <v>2005</v>
      </c>
      <c r="C349" s="173">
        <v>1.3395999999999999</v>
      </c>
      <c r="D349" s="173">
        <v>278.10199999999998</v>
      </c>
      <c r="E349" s="173">
        <v>1.4657</v>
      </c>
      <c r="F349" s="121">
        <v>0</v>
      </c>
      <c r="G349" s="121">
        <v>78282</v>
      </c>
    </row>
    <row r="350" spans="1:7">
      <c r="A350" s="122" t="s">
        <v>2794</v>
      </c>
      <c r="B350" s="406" t="s">
        <v>2006</v>
      </c>
      <c r="C350" s="173">
        <v>1.2725</v>
      </c>
      <c r="D350" s="173">
        <v>1220.4010000000001</v>
      </c>
      <c r="E350" s="173">
        <v>1.39</v>
      </c>
      <c r="F350" s="121">
        <v>0</v>
      </c>
      <c r="G350" s="121">
        <v>180475</v>
      </c>
    </row>
    <row r="351" spans="1:7">
      <c r="A351" s="122" t="s">
        <v>1019</v>
      </c>
      <c r="B351" s="406" t="s">
        <v>973</v>
      </c>
      <c r="C351" s="173">
        <v>1.2313000000000001</v>
      </c>
      <c r="D351" s="173">
        <v>2308.6460000000002</v>
      </c>
      <c r="E351" s="173">
        <v>1.3434999999999999</v>
      </c>
      <c r="F351" s="121">
        <v>0</v>
      </c>
      <c r="G351" s="121">
        <v>247199</v>
      </c>
    </row>
    <row r="352" spans="1:7">
      <c r="A352" s="122" t="s">
        <v>2795</v>
      </c>
      <c r="B352" s="406" t="s">
        <v>1625</v>
      </c>
      <c r="C352" s="173">
        <v>1.222</v>
      </c>
      <c r="D352" s="173">
        <v>938.82100000000003</v>
      </c>
      <c r="E352" s="173">
        <v>1.3331999999999999</v>
      </c>
      <c r="F352" s="121">
        <v>0</v>
      </c>
      <c r="G352" s="121">
        <v>154638</v>
      </c>
    </row>
    <row r="353" spans="1:7">
      <c r="A353" s="122" t="s">
        <v>2796</v>
      </c>
      <c r="B353" s="406" t="s">
        <v>1626</v>
      </c>
      <c r="C353" s="173">
        <v>1.3345</v>
      </c>
      <c r="D353" s="173">
        <v>212.52199999999999</v>
      </c>
      <c r="E353" s="173">
        <v>1.46</v>
      </c>
      <c r="F353" s="121">
        <v>0</v>
      </c>
      <c r="G353" s="121">
        <v>35821</v>
      </c>
    </row>
    <row r="354" spans="1:7">
      <c r="A354" s="122" t="s">
        <v>2118</v>
      </c>
      <c r="B354" s="406" t="s">
        <v>1627</v>
      </c>
      <c r="C354" s="173">
        <v>1.37</v>
      </c>
      <c r="D354" s="173">
        <v>152.31399999999999</v>
      </c>
      <c r="E354" s="173">
        <v>1.5</v>
      </c>
      <c r="F354" s="121">
        <v>0</v>
      </c>
      <c r="G354" s="121">
        <v>15461</v>
      </c>
    </row>
    <row r="355" spans="1:7">
      <c r="A355" s="122" t="s">
        <v>2119</v>
      </c>
      <c r="B355" s="406" t="s">
        <v>1628</v>
      </c>
      <c r="C355" s="173">
        <v>1.37</v>
      </c>
      <c r="D355" s="173">
        <v>201.32300000000001</v>
      </c>
      <c r="E355" s="173">
        <v>1.5</v>
      </c>
      <c r="F355" s="121">
        <v>0</v>
      </c>
      <c r="G355" s="121">
        <v>23148</v>
      </c>
    </row>
    <row r="356" spans="1:7">
      <c r="A356" s="122" t="s">
        <v>2301</v>
      </c>
      <c r="B356" s="406" t="s">
        <v>1540</v>
      </c>
      <c r="C356" s="173">
        <v>1.37</v>
      </c>
      <c r="D356" s="173">
        <v>3062.5619999999999</v>
      </c>
      <c r="E356" s="173">
        <v>1.5</v>
      </c>
      <c r="F356" s="121">
        <v>0</v>
      </c>
      <c r="G356" s="121">
        <v>127358</v>
      </c>
    </row>
    <row r="357" spans="1:7">
      <c r="A357" s="122" t="s">
        <v>2313</v>
      </c>
      <c r="B357" s="406" t="s">
        <v>1629</v>
      </c>
      <c r="C357" s="173">
        <v>1.21</v>
      </c>
      <c r="D357" s="173">
        <v>33.866</v>
      </c>
      <c r="E357" s="173">
        <v>1.32</v>
      </c>
      <c r="F357" s="121">
        <v>0</v>
      </c>
      <c r="G357" s="121">
        <v>10482</v>
      </c>
    </row>
    <row r="358" spans="1:7">
      <c r="A358" s="122" t="s">
        <v>1897</v>
      </c>
      <c r="B358" s="406" t="s">
        <v>1757</v>
      </c>
      <c r="C358" s="173">
        <v>1.43</v>
      </c>
      <c r="D358" s="173">
        <v>730.59400000000005</v>
      </c>
      <c r="E358" s="173">
        <v>1.43</v>
      </c>
      <c r="F358" s="121">
        <v>0</v>
      </c>
      <c r="G358" s="121">
        <v>53724</v>
      </c>
    </row>
    <row r="359" spans="1:7">
      <c r="A359" s="122" t="s">
        <v>1107</v>
      </c>
      <c r="B359" s="406" t="s">
        <v>1630</v>
      </c>
      <c r="C359" s="173">
        <v>1.3280000000000001</v>
      </c>
      <c r="D359" s="173">
        <v>545.98099999999999</v>
      </c>
      <c r="E359" s="173">
        <v>1.4523999999999999</v>
      </c>
      <c r="F359" s="121">
        <v>52438</v>
      </c>
      <c r="G359" s="121">
        <v>17722</v>
      </c>
    </row>
    <row r="360" spans="1:7">
      <c r="A360" s="122" t="s">
        <v>1108</v>
      </c>
      <c r="B360" s="406" t="s">
        <v>1631</v>
      </c>
      <c r="C360" s="173">
        <v>1.36</v>
      </c>
      <c r="D360" s="173">
        <v>4148.1750000000002</v>
      </c>
      <c r="E360" s="173">
        <v>1.49</v>
      </c>
      <c r="F360" s="121">
        <v>0</v>
      </c>
      <c r="G360" s="121">
        <v>229954</v>
      </c>
    </row>
    <row r="361" spans="1:7">
      <c r="A361" s="122" t="s">
        <v>1276</v>
      </c>
      <c r="B361" s="406" t="s">
        <v>2731</v>
      </c>
      <c r="C361" s="173">
        <v>1.3701000000000001</v>
      </c>
      <c r="D361" s="173">
        <v>958.47699999999998</v>
      </c>
      <c r="E361" s="173">
        <v>1.5</v>
      </c>
      <c r="F361" s="121">
        <v>0</v>
      </c>
      <c r="G361" s="121">
        <v>55879</v>
      </c>
    </row>
    <row r="362" spans="1:7">
      <c r="A362" s="122" t="s">
        <v>897</v>
      </c>
      <c r="B362" s="406" t="s">
        <v>1849</v>
      </c>
      <c r="C362" s="173">
        <v>1.37</v>
      </c>
      <c r="D362" s="173">
        <v>5893.9989999999998</v>
      </c>
      <c r="E362" s="173">
        <v>1.5</v>
      </c>
      <c r="F362" s="121">
        <v>0</v>
      </c>
      <c r="G362" s="121">
        <v>278305</v>
      </c>
    </row>
    <row r="363" spans="1:7">
      <c r="A363" s="122" t="s">
        <v>898</v>
      </c>
      <c r="B363" s="406" t="s">
        <v>1850</v>
      </c>
      <c r="C363" s="173">
        <v>1.3226</v>
      </c>
      <c r="D363" s="173">
        <v>162.26400000000001</v>
      </c>
      <c r="E363" s="173">
        <v>1.45</v>
      </c>
      <c r="F363" s="121">
        <v>0</v>
      </c>
      <c r="G363" s="121">
        <v>19120</v>
      </c>
    </row>
    <row r="364" spans="1:7">
      <c r="A364" s="122" t="s">
        <v>1404</v>
      </c>
      <c r="B364" s="406" t="s">
        <v>2706</v>
      </c>
      <c r="C364" s="173">
        <v>1.37</v>
      </c>
      <c r="D364" s="173">
        <v>1320.846</v>
      </c>
      <c r="E364" s="173">
        <v>1.5</v>
      </c>
      <c r="F364" s="121">
        <v>0</v>
      </c>
      <c r="G364" s="121">
        <v>64404</v>
      </c>
    </row>
    <row r="365" spans="1:7">
      <c r="A365" s="122" t="s">
        <v>1405</v>
      </c>
      <c r="B365" s="406" t="s">
        <v>1511</v>
      </c>
      <c r="C365" s="173">
        <v>1.37</v>
      </c>
      <c r="D365" s="173">
        <v>1553.502</v>
      </c>
      <c r="E365" s="173">
        <v>1.5</v>
      </c>
      <c r="F365" s="121">
        <v>0</v>
      </c>
      <c r="G365" s="121">
        <v>132978</v>
      </c>
    </row>
    <row r="366" spans="1:7">
      <c r="A366" s="122" t="s">
        <v>1650</v>
      </c>
      <c r="B366" s="406" t="s">
        <v>1851</v>
      </c>
      <c r="C366" s="173">
        <v>1.46</v>
      </c>
      <c r="D366" s="173">
        <v>752.02300000000002</v>
      </c>
      <c r="E366" s="173">
        <v>1.46</v>
      </c>
      <c r="F366" s="121">
        <v>0</v>
      </c>
      <c r="G366" s="121">
        <v>65354</v>
      </c>
    </row>
    <row r="367" spans="1:7">
      <c r="A367" s="122" t="s">
        <v>243</v>
      </c>
      <c r="B367" s="406" t="s">
        <v>2410</v>
      </c>
      <c r="C367" s="173">
        <v>1.276</v>
      </c>
      <c r="D367" s="173">
        <v>1241.2950000000001</v>
      </c>
      <c r="E367" s="173">
        <v>1.44</v>
      </c>
      <c r="F367" s="121">
        <v>0</v>
      </c>
      <c r="G367" s="121">
        <v>85021</v>
      </c>
    </row>
    <row r="368" spans="1:7">
      <c r="A368" s="122" t="s">
        <v>2977</v>
      </c>
      <c r="B368" s="406" t="s">
        <v>1852</v>
      </c>
      <c r="C368" s="173">
        <v>1.363</v>
      </c>
      <c r="D368" s="173">
        <v>818.95</v>
      </c>
      <c r="E368" s="173">
        <v>1.4954000000000001</v>
      </c>
      <c r="F368" s="121">
        <v>0</v>
      </c>
      <c r="G368" s="121">
        <v>117841</v>
      </c>
    </row>
    <row r="369" spans="1:7">
      <c r="A369" s="122" t="s">
        <v>1483</v>
      </c>
      <c r="B369" s="406" t="s">
        <v>1948</v>
      </c>
      <c r="C369" s="173">
        <v>1.3168</v>
      </c>
      <c r="D369" s="173">
        <v>810.76400000000001</v>
      </c>
      <c r="E369" s="173">
        <v>1.44</v>
      </c>
      <c r="F369" s="121">
        <v>0</v>
      </c>
      <c r="G369" s="121">
        <v>231691</v>
      </c>
    </row>
    <row r="370" spans="1:7">
      <c r="A370" s="122" t="s">
        <v>1461</v>
      </c>
      <c r="B370" s="406" t="s">
        <v>250</v>
      </c>
      <c r="C370" s="173">
        <v>1.2898000000000001</v>
      </c>
      <c r="D370" s="173">
        <v>820.27</v>
      </c>
      <c r="E370" s="173">
        <v>1.4095</v>
      </c>
      <c r="F370" s="121">
        <v>0</v>
      </c>
      <c r="G370" s="121">
        <v>73572</v>
      </c>
    </row>
    <row r="371" spans="1:7">
      <c r="A371" s="122" t="s">
        <v>1462</v>
      </c>
      <c r="B371" s="406" t="s">
        <v>251</v>
      </c>
      <c r="C371" s="173">
        <v>1.3043</v>
      </c>
      <c r="D371" s="173">
        <v>2021.85</v>
      </c>
      <c r="E371" s="173">
        <v>1.4258</v>
      </c>
      <c r="F371" s="121">
        <v>0</v>
      </c>
      <c r="G371" s="121">
        <v>282167</v>
      </c>
    </row>
    <row r="372" spans="1:7">
      <c r="A372" s="122" t="s">
        <v>1463</v>
      </c>
      <c r="B372" s="406" t="s">
        <v>252</v>
      </c>
      <c r="C372" s="173">
        <v>1.37</v>
      </c>
      <c r="D372" s="173">
        <v>3409.23</v>
      </c>
      <c r="E372" s="173">
        <v>1.5</v>
      </c>
      <c r="F372" s="121">
        <v>0</v>
      </c>
      <c r="G372" s="121">
        <v>234121</v>
      </c>
    </row>
    <row r="373" spans="1:7">
      <c r="A373" s="122" t="s">
        <v>498</v>
      </c>
      <c r="B373" s="406" t="s">
        <v>2436</v>
      </c>
      <c r="C373" s="173">
        <v>1.37</v>
      </c>
      <c r="D373" s="173">
        <v>7642.83</v>
      </c>
      <c r="E373" s="173">
        <v>1.5</v>
      </c>
      <c r="F373" s="121">
        <v>0</v>
      </c>
      <c r="G373" s="121">
        <v>596344</v>
      </c>
    </row>
    <row r="374" spans="1:7">
      <c r="A374" s="122" t="s">
        <v>2504</v>
      </c>
      <c r="B374" s="406" t="s">
        <v>253</v>
      </c>
      <c r="C374" s="173">
        <v>1.37</v>
      </c>
      <c r="D374" s="173">
        <v>4338.4629999999997</v>
      </c>
      <c r="E374" s="173">
        <v>1.5</v>
      </c>
      <c r="F374" s="121">
        <v>0</v>
      </c>
      <c r="G374" s="121">
        <v>206822</v>
      </c>
    </row>
    <row r="375" spans="1:7">
      <c r="A375" s="122" t="s">
        <v>3035</v>
      </c>
      <c r="B375" s="406" t="s">
        <v>254</v>
      </c>
      <c r="C375" s="173">
        <v>1.37</v>
      </c>
      <c r="D375" s="173">
        <v>1197.9179999999999</v>
      </c>
      <c r="E375" s="173">
        <v>1.5</v>
      </c>
      <c r="F375" s="121">
        <v>0</v>
      </c>
      <c r="G375" s="121">
        <v>115766</v>
      </c>
    </row>
    <row r="376" spans="1:7">
      <c r="A376" s="122" t="s">
        <v>1702</v>
      </c>
      <c r="B376" s="406" t="s">
        <v>2210</v>
      </c>
      <c r="C376" s="173">
        <v>1.37</v>
      </c>
      <c r="D376" s="173">
        <v>1686.152</v>
      </c>
      <c r="E376" s="173">
        <v>1.5</v>
      </c>
      <c r="F376" s="121">
        <v>0</v>
      </c>
      <c r="G376" s="121">
        <v>37145</v>
      </c>
    </row>
    <row r="377" spans="1:7">
      <c r="A377" s="122" t="s">
        <v>3036</v>
      </c>
      <c r="B377" s="406" t="s">
        <v>255</v>
      </c>
      <c r="C377" s="173">
        <v>1.37</v>
      </c>
      <c r="D377" s="173">
        <v>1287.538</v>
      </c>
      <c r="E377" s="173">
        <v>1.5</v>
      </c>
      <c r="F377" s="121">
        <v>0</v>
      </c>
      <c r="G377" s="121">
        <v>48230</v>
      </c>
    </row>
    <row r="378" spans="1:7">
      <c r="A378" s="122" t="s">
        <v>3037</v>
      </c>
      <c r="B378" s="406" t="s">
        <v>256</v>
      </c>
      <c r="C378" s="173">
        <v>1.37</v>
      </c>
      <c r="D378" s="173">
        <v>556.28200000000004</v>
      </c>
      <c r="E378" s="173">
        <v>1.5</v>
      </c>
      <c r="F378" s="121">
        <v>0</v>
      </c>
      <c r="G378" s="121">
        <v>88281</v>
      </c>
    </row>
    <row r="379" spans="1:7">
      <c r="A379" s="122" t="s">
        <v>3038</v>
      </c>
      <c r="B379" s="406" t="s">
        <v>257</v>
      </c>
      <c r="C379" s="173">
        <v>1.2989999999999999</v>
      </c>
      <c r="D379" s="173">
        <v>465.66699999999997</v>
      </c>
      <c r="E379" s="173">
        <v>1.42</v>
      </c>
      <c r="F379" s="121">
        <v>0</v>
      </c>
      <c r="G379" s="121">
        <v>73129</v>
      </c>
    </row>
    <row r="380" spans="1:7">
      <c r="A380" s="122" t="s">
        <v>3039</v>
      </c>
      <c r="B380" s="406" t="s">
        <v>258</v>
      </c>
      <c r="C380" s="173">
        <v>1.37</v>
      </c>
      <c r="D380" s="173">
        <v>2701.373</v>
      </c>
      <c r="E380" s="173">
        <v>1.5</v>
      </c>
      <c r="F380" s="121">
        <v>0</v>
      </c>
      <c r="G380" s="121">
        <v>330697</v>
      </c>
    </row>
    <row r="381" spans="1:7">
      <c r="A381" s="122" t="s">
        <v>2456</v>
      </c>
      <c r="B381" s="406" t="s">
        <v>259</v>
      </c>
      <c r="C381" s="173">
        <v>1.37</v>
      </c>
      <c r="D381" s="173">
        <v>148.41</v>
      </c>
      <c r="E381" s="173">
        <v>1.5</v>
      </c>
      <c r="F381" s="121">
        <v>0</v>
      </c>
      <c r="G381" s="121">
        <v>0</v>
      </c>
    </row>
    <row r="382" spans="1:7">
      <c r="A382" s="122" t="s">
        <v>537</v>
      </c>
      <c r="B382" s="406" t="s">
        <v>1416</v>
      </c>
      <c r="C382" s="173">
        <v>1.37</v>
      </c>
      <c r="D382" s="173">
        <v>6962.6369999999997</v>
      </c>
      <c r="E382" s="173">
        <v>1.5</v>
      </c>
      <c r="F382" s="121">
        <v>0</v>
      </c>
      <c r="G382" s="121">
        <v>693880</v>
      </c>
    </row>
    <row r="383" spans="1:7">
      <c r="A383" s="122" t="s">
        <v>535</v>
      </c>
      <c r="B383" s="406" t="s">
        <v>1414</v>
      </c>
      <c r="C383" s="173">
        <v>1.37</v>
      </c>
      <c r="D383" s="173">
        <v>8111.134</v>
      </c>
      <c r="E383" s="173">
        <v>1.5</v>
      </c>
      <c r="F383" s="121">
        <v>226796</v>
      </c>
      <c r="G383" s="121">
        <v>549798</v>
      </c>
    </row>
    <row r="384" spans="1:7">
      <c r="A384" s="122" t="s">
        <v>2457</v>
      </c>
      <c r="B384" s="406" t="s">
        <v>260</v>
      </c>
      <c r="C384" s="173">
        <v>1.5</v>
      </c>
      <c r="D384" s="173">
        <v>1382.4349999999999</v>
      </c>
      <c r="E384" s="173">
        <v>1.5</v>
      </c>
      <c r="F384" s="121">
        <v>0</v>
      </c>
      <c r="G384" s="121">
        <v>163782</v>
      </c>
    </row>
    <row r="385" spans="1:7">
      <c r="A385" s="122" t="s">
        <v>381</v>
      </c>
      <c r="B385" s="406" t="s">
        <v>324</v>
      </c>
      <c r="C385" s="173">
        <v>1.37</v>
      </c>
      <c r="D385" s="173">
        <v>1348.3620000000001</v>
      </c>
      <c r="E385" s="173">
        <v>1.5</v>
      </c>
      <c r="F385" s="121">
        <v>0</v>
      </c>
      <c r="G385" s="121">
        <v>183681</v>
      </c>
    </row>
    <row r="386" spans="1:7">
      <c r="A386" s="122" t="s">
        <v>2458</v>
      </c>
      <c r="B386" s="406" t="s">
        <v>261</v>
      </c>
      <c r="C386" s="173">
        <v>1.37</v>
      </c>
      <c r="D386" s="173">
        <v>746.30100000000004</v>
      </c>
      <c r="E386" s="173">
        <v>1.5</v>
      </c>
      <c r="F386" s="121">
        <v>0</v>
      </c>
      <c r="G386" s="121">
        <v>23386</v>
      </c>
    </row>
    <row r="387" spans="1:7">
      <c r="A387" s="122" t="s">
        <v>2459</v>
      </c>
      <c r="B387" s="406" t="s">
        <v>262</v>
      </c>
      <c r="C387" s="173">
        <v>1.37</v>
      </c>
      <c r="D387" s="173">
        <v>136.61600000000001</v>
      </c>
      <c r="E387" s="173">
        <v>1.5</v>
      </c>
      <c r="F387" s="121">
        <v>0</v>
      </c>
      <c r="G387" s="121">
        <v>26293</v>
      </c>
    </row>
    <row r="388" spans="1:7">
      <c r="A388" s="122" t="s">
        <v>547</v>
      </c>
      <c r="B388" s="406" t="s">
        <v>263</v>
      </c>
      <c r="C388" s="173">
        <v>1.37</v>
      </c>
      <c r="D388" s="173">
        <v>571.81299999999999</v>
      </c>
      <c r="E388" s="173">
        <v>1.5</v>
      </c>
      <c r="F388" s="121">
        <v>0</v>
      </c>
      <c r="G388" s="121">
        <v>19215</v>
      </c>
    </row>
    <row r="389" spans="1:7">
      <c r="A389" s="122" t="s">
        <v>2232</v>
      </c>
      <c r="B389" s="406" t="s">
        <v>264</v>
      </c>
      <c r="C389" s="173">
        <v>1.37</v>
      </c>
      <c r="D389" s="173">
        <v>312.77999999999997</v>
      </c>
      <c r="E389" s="173">
        <v>1.5</v>
      </c>
      <c r="F389" s="121">
        <v>0</v>
      </c>
      <c r="G389" s="121">
        <v>25896</v>
      </c>
    </row>
    <row r="390" spans="1:7">
      <c r="A390" s="122" t="s">
        <v>2366</v>
      </c>
      <c r="B390" s="406" t="s">
        <v>265</v>
      </c>
      <c r="C390" s="173">
        <v>1.37</v>
      </c>
      <c r="D390" s="173">
        <v>5596.8159999999998</v>
      </c>
      <c r="E390" s="173">
        <v>1.5</v>
      </c>
      <c r="F390" s="121">
        <v>0</v>
      </c>
      <c r="G390" s="121">
        <v>420792</v>
      </c>
    </row>
    <row r="391" spans="1:7">
      <c r="A391" s="122" t="s">
        <v>2367</v>
      </c>
      <c r="B391" s="406" t="s">
        <v>266</v>
      </c>
      <c r="C391" s="173">
        <v>1.37</v>
      </c>
      <c r="D391" s="173">
        <v>499.952</v>
      </c>
      <c r="E391" s="173">
        <v>1.5</v>
      </c>
      <c r="F391" s="121">
        <v>0</v>
      </c>
      <c r="G391" s="121">
        <v>32603</v>
      </c>
    </row>
    <row r="392" spans="1:7">
      <c r="A392" s="122" t="s">
        <v>169</v>
      </c>
      <c r="B392" s="406" t="s">
        <v>267</v>
      </c>
      <c r="C392" s="173">
        <v>1.26</v>
      </c>
      <c r="D392" s="173">
        <v>242.01</v>
      </c>
      <c r="E392" s="173">
        <v>1.4</v>
      </c>
      <c r="F392" s="121">
        <v>0</v>
      </c>
      <c r="G392" s="121">
        <v>41067</v>
      </c>
    </row>
    <row r="393" spans="1:7">
      <c r="A393" s="122" t="s">
        <v>170</v>
      </c>
      <c r="B393" s="406" t="s">
        <v>268</v>
      </c>
      <c r="C393" s="173">
        <v>1.3080000000000001</v>
      </c>
      <c r="D393" s="173">
        <v>830.048</v>
      </c>
      <c r="E393" s="173">
        <v>1.43</v>
      </c>
      <c r="F393" s="121">
        <v>0</v>
      </c>
      <c r="G393" s="121">
        <v>69594</v>
      </c>
    </row>
    <row r="394" spans="1:7">
      <c r="A394" s="122" t="s">
        <v>2867</v>
      </c>
      <c r="B394" s="406" t="s">
        <v>2724</v>
      </c>
      <c r="C394" s="173">
        <v>1.29</v>
      </c>
      <c r="D394" s="173">
        <v>658.73400000000004</v>
      </c>
      <c r="E394" s="173">
        <v>1.41</v>
      </c>
      <c r="F394" s="121">
        <v>0</v>
      </c>
      <c r="G394" s="121">
        <v>54974</v>
      </c>
    </row>
    <row r="395" spans="1:7">
      <c r="A395" s="122" t="s">
        <v>2674</v>
      </c>
      <c r="B395" s="406" t="s">
        <v>269</v>
      </c>
      <c r="C395" s="173">
        <v>1.33</v>
      </c>
      <c r="D395" s="173">
        <v>387.45</v>
      </c>
      <c r="E395" s="173">
        <v>1.5</v>
      </c>
      <c r="F395" s="121">
        <v>0</v>
      </c>
      <c r="G395" s="121">
        <v>63917</v>
      </c>
    </row>
    <row r="396" spans="1:7">
      <c r="A396" s="122" t="s">
        <v>1281</v>
      </c>
      <c r="B396" s="406" t="s">
        <v>2990</v>
      </c>
      <c r="C396" s="173">
        <v>1.3035000000000001</v>
      </c>
      <c r="D396" s="173">
        <v>91.992999999999995</v>
      </c>
      <c r="E396" s="173">
        <v>1.425</v>
      </c>
      <c r="F396" s="121">
        <v>0</v>
      </c>
      <c r="G396" s="121">
        <v>0</v>
      </c>
    </row>
    <row r="397" spans="1:7">
      <c r="A397" s="122" t="s">
        <v>1282</v>
      </c>
      <c r="B397" s="406" t="s">
        <v>2991</v>
      </c>
      <c r="C397" s="173">
        <v>1.37</v>
      </c>
      <c r="D397" s="173">
        <v>697.053</v>
      </c>
      <c r="E397" s="173">
        <v>1.5</v>
      </c>
      <c r="F397" s="121">
        <v>0</v>
      </c>
      <c r="G397" s="121">
        <v>27050</v>
      </c>
    </row>
    <row r="398" spans="1:7">
      <c r="A398" s="122" t="s">
        <v>2416</v>
      </c>
      <c r="B398" s="406" t="s">
        <v>518</v>
      </c>
      <c r="C398" s="173">
        <v>1.33</v>
      </c>
      <c r="D398" s="173">
        <v>203.76300000000001</v>
      </c>
      <c r="E398" s="173">
        <v>1.45</v>
      </c>
      <c r="F398" s="121">
        <v>0</v>
      </c>
      <c r="G398" s="121">
        <v>29904</v>
      </c>
    </row>
    <row r="399" spans="1:7">
      <c r="A399" s="122" t="s">
        <v>2417</v>
      </c>
      <c r="B399" s="406" t="s">
        <v>519</v>
      </c>
      <c r="C399" s="173">
        <v>1.26</v>
      </c>
      <c r="D399" s="173">
        <v>561.48500000000001</v>
      </c>
      <c r="E399" s="173">
        <v>1.44</v>
      </c>
      <c r="F399" s="121">
        <v>0</v>
      </c>
      <c r="G399" s="121">
        <v>31216</v>
      </c>
    </row>
    <row r="400" spans="1:7">
      <c r="A400" s="122" t="s">
        <v>1158</v>
      </c>
      <c r="B400" s="406" t="s">
        <v>520</v>
      </c>
      <c r="C400" s="173">
        <v>1.339</v>
      </c>
      <c r="D400" s="173">
        <v>1308.894</v>
      </c>
      <c r="E400" s="173">
        <v>1.4650000000000001</v>
      </c>
      <c r="F400" s="121">
        <v>0</v>
      </c>
      <c r="G400" s="121">
        <v>114953</v>
      </c>
    </row>
    <row r="401" spans="1:7">
      <c r="A401" s="122" t="s">
        <v>1312</v>
      </c>
      <c r="B401" s="406" t="s">
        <v>1684</v>
      </c>
      <c r="C401" s="173">
        <v>1.48</v>
      </c>
      <c r="D401" s="173">
        <v>2762.4870000000001</v>
      </c>
      <c r="E401" s="173">
        <v>1.5</v>
      </c>
      <c r="F401" s="121">
        <v>0</v>
      </c>
      <c r="G401" s="121">
        <v>302181</v>
      </c>
    </row>
    <row r="402" spans="1:7">
      <c r="A402" s="122" t="s">
        <v>416</v>
      </c>
      <c r="B402" s="406" t="s">
        <v>521</v>
      </c>
      <c r="C402" s="173">
        <v>1.37</v>
      </c>
      <c r="D402" s="173">
        <v>1961.17</v>
      </c>
      <c r="E402" s="173">
        <v>1.5</v>
      </c>
      <c r="F402" s="121">
        <v>0</v>
      </c>
      <c r="G402" s="121">
        <v>275370</v>
      </c>
    </row>
    <row r="403" spans="1:7">
      <c r="A403" s="122" t="s">
        <v>2608</v>
      </c>
      <c r="B403" s="406" t="s">
        <v>949</v>
      </c>
      <c r="C403" s="173">
        <v>1.3080000000000001</v>
      </c>
      <c r="D403" s="173">
        <v>3370.056</v>
      </c>
      <c r="E403" s="173">
        <v>1.43</v>
      </c>
      <c r="F403" s="121">
        <v>0</v>
      </c>
      <c r="G403" s="121">
        <v>352008</v>
      </c>
    </row>
    <row r="404" spans="1:7">
      <c r="A404" s="122" t="s">
        <v>1346</v>
      </c>
      <c r="B404" s="406" t="s">
        <v>1609</v>
      </c>
      <c r="C404" s="173">
        <v>1.5</v>
      </c>
      <c r="D404" s="173">
        <v>566.30200000000002</v>
      </c>
      <c r="E404" s="173">
        <v>1.5</v>
      </c>
      <c r="F404" s="121">
        <v>0</v>
      </c>
      <c r="G404" s="121">
        <v>104428</v>
      </c>
    </row>
    <row r="405" spans="1:7">
      <c r="A405" s="122" t="s">
        <v>639</v>
      </c>
      <c r="B405" s="406" t="s">
        <v>797</v>
      </c>
      <c r="C405" s="173">
        <v>1.494</v>
      </c>
      <c r="D405" s="173">
        <v>53493.006999999998</v>
      </c>
      <c r="E405" s="173">
        <v>1.64</v>
      </c>
      <c r="F405" s="121">
        <v>434067</v>
      </c>
      <c r="G405" s="121">
        <v>7305887</v>
      </c>
    </row>
    <row r="406" spans="1:7">
      <c r="A406" s="122" t="s">
        <v>222</v>
      </c>
      <c r="B406" s="406" t="s">
        <v>2264</v>
      </c>
      <c r="C406" s="173">
        <v>1.37</v>
      </c>
      <c r="D406" s="173">
        <v>43237.752999999997</v>
      </c>
      <c r="E406" s="173">
        <v>1.5</v>
      </c>
      <c r="F406" s="121">
        <v>215579</v>
      </c>
      <c r="G406" s="121">
        <v>2391712</v>
      </c>
    </row>
    <row r="407" spans="1:7">
      <c r="A407" s="122" t="s">
        <v>2641</v>
      </c>
      <c r="B407" s="406" t="s">
        <v>522</v>
      </c>
      <c r="C407" s="173">
        <v>1.349</v>
      </c>
      <c r="D407" s="173">
        <v>7448.3919999999998</v>
      </c>
      <c r="E407" s="173">
        <v>1.4729000000000001</v>
      </c>
      <c r="F407" s="121">
        <v>203908</v>
      </c>
      <c r="G407" s="121">
        <v>431666</v>
      </c>
    </row>
    <row r="408" spans="1:7">
      <c r="A408" s="122" t="s">
        <v>2758</v>
      </c>
      <c r="B408" s="406" t="s">
        <v>458</v>
      </c>
      <c r="C408" s="173">
        <v>1.37</v>
      </c>
      <c r="D408" s="173">
        <v>4283.3890000000001</v>
      </c>
      <c r="E408" s="173">
        <v>1.5</v>
      </c>
      <c r="F408" s="121">
        <v>0</v>
      </c>
      <c r="G408" s="121">
        <v>702857</v>
      </c>
    </row>
    <row r="409" spans="1:7">
      <c r="A409" s="122" t="s">
        <v>2642</v>
      </c>
      <c r="B409" s="406" t="s">
        <v>523</v>
      </c>
      <c r="C409" s="173">
        <v>1.3540000000000001</v>
      </c>
      <c r="D409" s="173">
        <v>81493.862999999998</v>
      </c>
      <c r="E409" s="173">
        <v>1.5</v>
      </c>
      <c r="F409" s="121">
        <v>1309034</v>
      </c>
      <c r="G409" s="121">
        <v>5353348</v>
      </c>
    </row>
    <row r="410" spans="1:7">
      <c r="A410" s="122" t="s">
        <v>2481</v>
      </c>
      <c r="B410" s="406" t="s">
        <v>524</v>
      </c>
      <c r="C410" s="173">
        <v>1.4587000000000001</v>
      </c>
      <c r="D410" s="173">
        <v>11545.356</v>
      </c>
      <c r="E410" s="173">
        <v>1.6</v>
      </c>
      <c r="F410" s="121">
        <v>0</v>
      </c>
      <c r="G410" s="121">
        <v>497164</v>
      </c>
    </row>
    <row r="411" spans="1:7">
      <c r="A411" s="122" t="s">
        <v>1588</v>
      </c>
      <c r="B411" s="406" t="s">
        <v>2611</v>
      </c>
      <c r="C411" s="173">
        <v>1.3562000000000001</v>
      </c>
      <c r="D411" s="173">
        <v>8532.8629999999994</v>
      </c>
      <c r="E411" s="173">
        <v>1.4843999999999999</v>
      </c>
      <c r="F411" s="121">
        <v>0</v>
      </c>
      <c r="G411" s="121">
        <v>434059</v>
      </c>
    </row>
    <row r="412" spans="1:7">
      <c r="A412" s="122" t="s">
        <v>1608</v>
      </c>
      <c r="B412" s="406" t="s">
        <v>1670</v>
      </c>
      <c r="C412" s="173">
        <v>1.4675</v>
      </c>
      <c r="D412" s="173">
        <v>19609.225999999999</v>
      </c>
      <c r="E412" s="173">
        <v>1.61</v>
      </c>
      <c r="F412" s="121">
        <v>112863</v>
      </c>
      <c r="G412" s="121">
        <v>826548</v>
      </c>
    </row>
    <row r="413" spans="1:7">
      <c r="A413" s="122" t="s">
        <v>2300</v>
      </c>
      <c r="B413" s="406" t="s">
        <v>525</v>
      </c>
      <c r="C413" s="173">
        <v>1.33</v>
      </c>
      <c r="D413" s="173">
        <v>18533.112000000001</v>
      </c>
      <c r="E413" s="173">
        <v>1.5</v>
      </c>
      <c r="F413" s="121">
        <v>0</v>
      </c>
      <c r="G413" s="121">
        <v>1771091</v>
      </c>
    </row>
    <row r="414" spans="1:7">
      <c r="A414" s="122" t="s">
        <v>2921</v>
      </c>
      <c r="B414" s="406" t="s">
        <v>526</v>
      </c>
      <c r="C414" s="173">
        <v>1.3257000000000001</v>
      </c>
      <c r="D414" s="173">
        <v>188257.77</v>
      </c>
      <c r="E414" s="173">
        <v>1.45</v>
      </c>
      <c r="F414" s="121">
        <v>663251</v>
      </c>
      <c r="G414" s="121">
        <v>14659409</v>
      </c>
    </row>
    <row r="415" spans="1:7">
      <c r="A415" s="122" t="s">
        <v>1278</v>
      </c>
      <c r="B415" s="406" t="s">
        <v>2736</v>
      </c>
      <c r="C415" s="173">
        <v>1.37</v>
      </c>
      <c r="D415" s="173">
        <v>27767.81</v>
      </c>
      <c r="E415" s="173">
        <v>1.5</v>
      </c>
      <c r="F415" s="121">
        <v>60488</v>
      </c>
      <c r="G415" s="121">
        <v>2099629</v>
      </c>
    </row>
    <row r="416" spans="1:7">
      <c r="A416" s="122" t="s">
        <v>55</v>
      </c>
      <c r="B416" s="406" t="s">
        <v>450</v>
      </c>
      <c r="C416" s="173">
        <v>1.4850000000000001</v>
      </c>
      <c r="D416" s="173">
        <v>45596.262000000002</v>
      </c>
      <c r="E416" s="173">
        <v>1.63</v>
      </c>
      <c r="F416" s="121">
        <v>616750</v>
      </c>
      <c r="G416" s="121">
        <v>2100058</v>
      </c>
    </row>
    <row r="417" spans="1:7">
      <c r="A417" s="122" t="s">
        <v>62</v>
      </c>
      <c r="B417" s="406" t="s">
        <v>2980</v>
      </c>
      <c r="C417" s="173">
        <v>1.37</v>
      </c>
      <c r="D417" s="173">
        <v>37118.629000000001</v>
      </c>
      <c r="E417" s="173">
        <v>1.5</v>
      </c>
      <c r="F417" s="121">
        <v>190483</v>
      </c>
      <c r="G417" s="121">
        <v>1910206</v>
      </c>
    </row>
    <row r="418" spans="1:7">
      <c r="A418" s="122" t="s">
        <v>2922</v>
      </c>
      <c r="B418" s="406" t="s">
        <v>527</v>
      </c>
      <c r="C418" s="173">
        <v>1.37</v>
      </c>
      <c r="D418" s="173">
        <v>7315.1980000000003</v>
      </c>
      <c r="E418" s="173">
        <v>1.5</v>
      </c>
      <c r="F418" s="121">
        <v>0</v>
      </c>
      <c r="G418" s="121">
        <v>495406</v>
      </c>
    </row>
    <row r="419" spans="1:7">
      <c r="A419" s="122" t="s">
        <v>234</v>
      </c>
      <c r="B419" s="406" t="s">
        <v>302</v>
      </c>
      <c r="C419" s="173">
        <v>1.41</v>
      </c>
      <c r="D419" s="173">
        <v>45530.508999999998</v>
      </c>
      <c r="E419" s="173">
        <v>1.5449999999999999</v>
      </c>
      <c r="F419" s="121">
        <v>0</v>
      </c>
      <c r="G419" s="121">
        <v>1486548</v>
      </c>
    </row>
    <row r="420" spans="1:7">
      <c r="A420" s="122" t="s">
        <v>743</v>
      </c>
      <c r="B420" s="406" t="s">
        <v>528</v>
      </c>
      <c r="C420" s="173">
        <v>1.31</v>
      </c>
      <c r="D420" s="173">
        <v>28988.733</v>
      </c>
      <c r="E420" s="173">
        <v>1.5</v>
      </c>
      <c r="F420" s="121">
        <v>373267</v>
      </c>
      <c r="G420" s="121">
        <v>1817959</v>
      </c>
    </row>
    <row r="421" spans="1:7">
      <c r="A421" s="122" t="s">
        <v>918</v>
      </c>
      <c r="B421" s="406" t="s">
        <v>2505</v>
      </c>
      <c r="C421" s="173">
        <v>1.4365000000000001</v>
      </c>
      <c r="D421" s="173">
        <v>29808.186000000002</v>
      </c>
      <c r="E421" s="173">
        <v>1.575</v>
      </c>
      <c r="F421" s="121">
        <v>0</v>
      </c>
      <c r="G421" s="121">
        <v>1186418</v>
      </c>
    </row>
    <row r="422" spans="1:7">
      <c r="A422" s="122" t="s">
        <v>2221</v>
      </c>
      <c r="B422" s="406" t="s">
        <v>2506</v>
      </c>
      <c r="C422" s="173">
        <v>1.29</v>
      </c>
      <c r="D422" s="173">
        <v>8512.2530000000006</v>
      </c>
      <c r="E422" s="173">
        <v>1.44</v>
      </c>
      <c r="F422" s="121">
        <v>0</v>
      </c>
      <c r="G422" s="121">
        <v>790004</v>
      </c>
    </row>
    <row r="423" spans="1:7">
      <c r="A423" s="122" t="s">
        <v>2222</v>
      </c>
      <c r="B423" s="406" t="s">
        <v>2507</v>
      </c>
      <c r="C423" s="173">
        <v>1.37</v>
      </c>
      <c r="D423" s="173">
        <v>4869.4290000000001</v>
      </c>
      <c r="E423" s="173">
        <v>1.5</v>
      </c>
      <c r="F423" s="121">
        <v>16921</v>
      </c>
      <c r="G423" s="121">
        <v>560734</v>
      </c>
    </row>
    <row r="424" spans="1:7">
      <c r="A424" s="122" t="s">
        <v>979</v>
      </c>
      <c r="B424" s="406" t="s">
        <v>2734</v>
      </c>
      <c r="C424" s="173">
        <v>1.37</v>
      </c>
      <c r="D424" s="173">
        <v>2824.6610000000001</v>
      </c>
      <c r="E424" s="173">
        <v>1.5</v>
      </c>
      <c r="F424" s="121">
        <v>228742</v>
      </c>
      <c r="G424" s="121">
        <v>311168</v>
      </c>
    </row>
    <row r="425" spans="1:7">
      <c r="A425" s="122" t="s">
        <v>2223</v>
      </c>
      <c r="B425" s="406" t="s">
        <v>2508</v>
      </c>
      <c r="C425" s="173">
        <v>1.37</v>
      </c>
      <c r="D425" s="173">
        <v>220.66</v>
      </c>
      <c r="E425" s="173">
        <v>1.5</v>
      </c>
      <c r="F425" s="121">
        <v>0</v>
      </c>
      <c r="G425" s="121">
        <v>57500</v>
      </c>
    </row>
    <row r="426" spans="1:7">
      <c r="A426" s="122" t="s">
        <v>1692</v>
      </c>
      <c r="B426" s="406" t="s">
        <v>2509</v>
      </c>
      <c r="C426" s="173">
        <v>1.37</v>
      </c>
      <c r="D426" s="173">
        <v>5427.9709999999995</v>
      </c>
      <c r="E426" s="173">
        <v>1.5</v>
      </c>
      <c r="F426" s="121">
        <v>0</v>
      </c>
      <c r="G426" s="121">
        <v>666444</v>
      </c>
    </row>
    <row r="427" spans="1:7">
      <c r="A427" s="122" t="s">
        <v>1693</v>
      </c>
      <c r="B427" s="406" t="s">
        <v>2510</v>
      </c>
      <c r="C427" s="173">
        <v>1.37</v>
      </c>
      <c r="D427" s="173">
        <v>713.59299999999996</v>
      </c>
      <c r="E427" s="173">
        <v>1.5</v>
      </c>
      <c r="F427" s="121">
        <v>0</v>
      </c>
      <c r="G427" s="121">
        <v>43406</v>
      </c>
    </row>
    <row r="428" spans="1:7">
      <c r="A428" s="122" t="s">
        <v>1694</v>
      </c>
      <c r="B428" s="406" t="s">
        <v>2368</v>
      </c>
      <c r="C428" s="173">
        <v>1.3460000000000001</v>
      </c>
      <c r="D428" s="173">
        <v>3554.6669999999999</v>
      </c>
      <c r="E428" s="173">
        <v>1.4730000000000001</v>
      </c>
      <c r="F428" s="121">
        <v>0</v>
      </c>
      <c r="G428" s="121">
        <v>481185</v>
      </c>
    </row>
    <row r="429" spans="1:7">
      <c r="A429" s="122" t="s">
        <v>1765</v>
      </c>
      <c r="B429" s="406" t="s">
        <v>2369</v>
      </c>
      <c r="C429" s="173">
        <v>1.3168</v>
      </c>
      <c r="D429" s="173">
        <v>640.62900000000002</v>
      </c>
      <c r="E429" s="173">
        <v>1.44</v>
      </c>
      <c r="F429" s="121">
        <v>0</v>
      </c>
      <c r="G429" s="121">
        <v>66861</v>
      </c>
    </row>
    <row r="430" spans="1:7">
      <c r="A430" s="122" t="s">
        <v>1766</v>
      </c>
      <c r="B430" s="406" t="s">
        <v>182</v>
      </c>
      <c r="C430" s="173">
        <v>1.3129999999999999</v>
      </c>
      <c r="D430" s="173">
        <v>926.798</v>
      </c>
      <c r="E430" s="173">
        <v>1.4359999999999999</v>
      </c>
      <c r="F430" s="121">
        <v>0</v>
      </c>
      <c r="G430" s="121">
        <v>127617</v>
      </c>
    </row>
    <row r="431" spans="1:7">
      <c r="A431" s="122" t="s">
        <v>539</v>
      </c>
      <c r="B431" s="406" t="s">
        <v>183</v>
      </c>
      <c r="C431" s="173">
        <v>1.35</v>
      </c>
      <c r="D431" s="173">
        <v>126.47</v>
      </c>
      <c r="E431" s="173">
        <v>1.4815</v>
      </c>
      <c r="F431" s="121">
        <v>0</v>
      </c>
      <c r="G431" s="121">
        <v>38832</v>
      </c>
    </row>
    <row r="432" spans="1:7">
      <c r="A432" s="122" t="s">
        <v>506</v>
      </c>
      <c r="B432" s="406" t="s">
        <v>184</v>
      </c>
      <c r="C432" s="173">
        <v>1.353</v>
      </c>
      <c r="D432" s="173">
        <v>149.12899999999999</v>
      </c>
      <c r="E432" s="173">
        <v>1.4810000000000001</v>
      </c>
      <c r="F432" s="121">
        <v>0</v>
      </c>
      <c r="G432" s="121">
        <v>27635</v>
      </c>
    </row>
    <row r="433" spans="1:7">
      <c r="A433" s="122" t="s">
        <v>507</v>
      </c>
      <c r="B433" s="406" t="s">
        <v>936</v>
      </c>
      <c r="C433" s="173">
        <v>1.37</v>
      </c>
      <c r="D433" s="173">
        <v>591.91700000000003</v>
      </c>
      <c r="E433" s="173">
        <v>1.5</v>
      </c>
      <c r="F433" s="121">
        <v>0</v>
      </c>
      <c r="G433" s="121">
        <v>41747</v>
      </c>
    </row>
    <row r="434" spans="1:7">
      <c r="A434" s="122" t="s">
        <v>508</v>
      </c>
      <c r="B434" s="406" t="s">
        <v>185</v>
      </c>
      <c r="C434" s="173">
        <v>1.37</v>
      </c>
      <c r="D434" s="173">
        <v>164.61500000000001</v>
      </c>
      <c r="E434" s="173">
        <v>1.5</v>
      </c>
      <c r="F434" s="121">
        <v>0</v>
      </c>
      <c r="G434" s="121">
        <v>21689</v>
      </c>
    </row>
    <row r="435" spans="1:7">
      <c r="A435" s="122" t="s">
        <v>509</v>
      </c>
      <c r="B435" s="406" t="s">
        <v>186</v>
      </c>
      <c r="C435" s="173">
        <v>1.37</v>
      </c>
      <c r="D435" s="173">
        <v>95.058999999999997</v>
      </c>
      <c r="E435" s="173">
        <v>1.5</v>
      </c>
      <c r="F435" s="121">
        <v>0</v>
      </c>
      <c r="G435" s="121">
        <v>23431</v>
      </c>
    </row>
    <row r="436" spans="1:7">
      <c r="A436" s="122" t="s">
        <v>1304</v>
      </c>
      <c r="B436" s="406" t="s">
        <v>187</v>
      </c>
      <c r="C436" s="173">
        <v>1.37</v>
      </c>
      <c r="D436" s="173">
        <v>6553.259</v>
      </c>
      <c r="E436" s="173">
        <v>1.5</v>
      </c>
      <c r="F436" s="121">
        <v>0</v>
      </c>
      <c r="G436" s="121">
        <v>858081</v>
      </c>
    </row>
    <row r="437" spans="1:7">
      <c r="A437" s="122" t="s">
        <v>1678</v>
      </c>
      <c r="B437" s="406" t="s">
        <v>1212</v>
      </c>
      <c r="C437" s="173">
        <v>1.3698999999999999</v>
      </c>
      <c r="D437" s="173">
        <v>3403.4630000000002</v>
      </c>
      <c r="E437" s="173">
        <v>1.5</v>
      </c>
      <c r="F437" s="121">
        <v>0</v>
      </c>
      <c r="G437" s="121">
        <v>342811</v>
      </c>
    </row>
    <row r="438" spans="1:7">
      <c r="A438" s="122" t="s">
        <v>1467</v>
      </c>
      <c r="B438" s="406" t="s">
        <v>188</v>
      </c>
      <c r="C438" s="173">
        <v>1.37</v>
      </c>
      <c r="D438" s="173">
        <v>1847.3910000000001</v>
      </c>
      <c r="E438" s="173">
        <v>1.5</v>
      </c>
      <c r="F438" s="121">
        <v>0</v>
      </c>
      <c r="G438" s="121">
        <v>149150</v>
      </c>
    </row>
    <row r="439" spans="1:7">
      <c r="A439" s="122" t="s">
        <v>2129</v>
      </c>
      <c r="B439" s="406" t="s">
        <v>938</v>
      </c>
      <c r="C439" s="173">
        <v>1.3567</v>
      </c>
      <c r="D439" s="173">
        <v>10020.038</v>
      </c>
      <c r="E439" s="173">
        <v>1.4850000000000001</v>
      </c>
      <c r="F439" s="121">
        <v>90417</v>
      </c>
      <c r="G439" s="121">
        <v>1854128</v>
      </c>
    </row>
    <row r="440" spans="1:7">
      <c r="A440" s="122" t="s">
        <v>1918</v>
      </c>
      <c r="B440" s="406" t="s">
        <v>189</v>
      </c>
      <c r="C440" s="173">
        <v>1.21</v>
      </c>
      <c r="D440" s="173">
        <v>632.47</v>
      </c>
      <c r="E440" s="173">
        <v>1.3197000000000001</v>
      </c>
      <c r="F440" s="121">
        <v>0</v>
      </c>
      <c r="G440" s="121">
        <v>82796</v>
      </c>
    </row>
    <row r="441" spans="1:7">
      <c r="A441" s="122" t="s">
        <v>1919</v>
      </c>
      <c r="B441" s="406" t="s">
        <v>1525</v>
      </c>
      <c r="C441" s="173">
        <v>1.3292999999999999</v>
      </c>
      <c r="D441" s="173">
        <v>3270.0230000000001</v>
      </c>
      <c r="E441" s="173">
        <v>1.454</v>
      </c>
      <c r="F441" s="121">
        <v>0</v>
      </c>
      <c r="G441" s="121">
        <v>0</v>
      </c>
    </row>
    <row r="442" spans="1:7">
      <c r="A442" s="122" t="s">
        <v>2912</v>
      </c>
      <c r="B442" s="406" t="s">
        <v>1526</v>
      </c>
      <c r="C442" s="173">
        <v>1.37</v>
      </c>
      <c r="D442" s="173">
        <v>2586.12</v>
      </c>
      <c r="E442" s="173">
        <v>1.5</v>
      </c>
      <c r="F442" s="121">
        <v>0</v>
      </c>
      <c r="G442" s="121">
        <v>312413</v>
      </c>
    </row>
    <row r="443" spans="1:7">
      <c r="A443" s="122" t="s">
        <v>2879</v>
      </c>
      <c r="B443" s="406" t="s">
        <v>1527</v>
      </c>
      <c r="C443" s="173">
        <v>1.3</v>
      </c>
      <c r="D443" s="173">
        <v>551.67999999999995</v>
      </c>
      <c r="E443" s="173">
        <v>1.421</v>
      </c>
      <c r="F443" s="121">
        <v>0</v>
      </c>
      <c r="G443" s="121">
        <v>54266</v>
      </c>
    </row>
    <row r="444" spans="1:7">
      <c r="A444" s="122" t="s">
        <v>2284</v>
      </c>
      <c r="B444" s="406" t="s">
        <v>1528</v>
      </c>
      <c r="C444" s="173">
        <v>1.3257000000000001</v>
      </c>
      <c r="D444" s="173">
        <v>1495.1659999999999</v>
      </c>
      <c r="E444" s="173">
        <v>1.45</v>
      </c>
      <c r="F444" s="121">
        <v>0</v>
      </c>
      <c r="G444" s="121">
        <v>153393</v>
      </c>
    </row>
    <row r="445" spans="1:7">
      <c r="A445" s="122" t="s">
        <v>71</v>
      </c>
      <c r="B445" s="406" t="s">
        <v>2995</v>
      </c>
      <c r="C445" s="173">
        <v>1.2370000000000001</v>
      </c>
      <c r="D445" s="173">
        <v>1080.5229999999999</v>
      </c>
      <c r="E445" s="173">
        <v>1.2370000000000001</v>
      </c>
      <c r="F445" s="121">
        <v>0</v>
      </c>
      <c r="G445" s="121">
        <v>174584</v>
      </c>
    </row>
    <row r="446" spans="1:7">
      <c r="A446" s="122" t="s">
        <v>1711</v>
      </c>
      <c r="B446" s="406" t="s">
        <v>662</v>
      </c>
      <c r="C446" s="173">
        <v>1.37</v>
      </c>
      <c r="D446" s="173">
        <v>242.16900000000001</v>
      </c>
      <c r="E446" s="173">
        <v>1.5</v>
      </c>
      <c r="F446" s="121">
        <v>0</v>
      </c>
      <c r="G446" s="121">
        <v>0</v>
      </c>
    </row>
    <row r="447" spans="1:7">
      <c r="A447" s="122" t="s">
        <v>980</v>
      </c>
      <c r="B447" s="406" t="s">
        <v>2415</v>
      </c>
      <c r="C447" s="173">
        <v>1.331</v>
      </c>
      <c r="D447" s="173">
        <v>141.251</v>
      </c>
      <c r="E447" s="173">
        <v>1.456</v>
      </c>
      <c r="F447" s="121">
        <v>0</v>
      </c>
      <c r="G447" s="121">
        <v>6728</v>
      </c>
    </row>
    <row r="448" spans="1:7">
      <c r="A448" s="122" t="s">
        <v>72</v>
      </c>
      <c r="B448" s="406" t="s">
        <v>2996</v>
      </c>
      <c r="C448" s="173">
        <v>1.37</v>
      </c>
      <c r="D448" s="173">
        <v>461.86399999999998</v>
      </c>
      <c r="E448" s="173">
        <v>1.5</v>
      </c>
      <c r="F448" s="121">
        <v>0</v>
      </c>
      <c r="G448" s="121">
        <v>61409</v>
      </c>
    </row>
    <row r="449" spans="1:7">
      <c r="A449" s="122" t="s">
        <v>2437</v>
      </c>
      <c r="B449" s="406" t="s">
        <v>2997</v>
      </c>
      <c r="C449" s="173">
        <v>1.37</v>
      </c>
      <c r="D449" s="173">
        <v>11977.564</v>
      </c>
      <c r="E449" s="173">
        <v>1.5</v>
      </c>
      <c r="F449" s="121">
        <v>47138</v>
      </c>
      <c r="G449" s="121">
        <v>826138</v>
      </c>
    </row>
    <row r="450" spans="1:7">
      <c r="A450" s="122" t="s">
        <v>873</v>
      </c>
      <c r="B450" s="406" t="s">
        <v>1217</v>
      </c>
      <c r="C450" s="173">
        <v>1.3453999999999999</v>
      </c>
      <c r="D450" s="173">
        <v>5183.933</v>
      </c>
      <c r="E450" s="173">
        <v>1.4722999999999999</v>
      </c>
      <c r="F450" s="121">
        <v>0</v>
      </c>
      <c r="G450" s="121">
        <v>253960</v>
      </c>
    </row>
    <row r="451" spans="1:7">
      <c r="A451" s="122" t="s">
        <v>875</v>
      </c>
      <c r="B451" s="406" t="s">
        <v>1001</v>
      </c>
      <c r="C451" s="173">
        <v>1.37</v>
      </c>
      <c r="D451" s="173">
        <v>25739.859</v>
      </c>
      <c r="E451" s="173">
        <v>1.5</v>
      </c>
      <c r="F451" s="121">
        <v>0</v>
      </c>
      <c r="G451" s="121">
        <v>2056696</v>
      </c>
    </row>
    <row r="452" spans="1:7">
      <c r="A452" s="122" t="s">
        <v>2131</v>
      </c>
      <c r="B452" s="406" t="s">
        <v>2725</v>
      </c>
      <c r="C452" s="173">
        <v>1.33</v>
      </c>
      <c r="D452" s="173">
        <v>2883.3910000000001</v>
      </c>
      <c r="E452" s="173">
        <v>1.46</v>
      </c>
      <c r="F452" s="121">
        <v>0</v>
      </c>
      <c r="G452" s="121">
        <v>148476</v>
      </c>
    </row>
    <row r="453" spans="1:7">
      <c r="A453" s="122" t="s">
        <v>2894</v>
      </c>
      <c r="B453" s="406" t="s">
        <v>925</v>
      </c>
      <c r="C453" s="173">
        <v>1.37</v>
      </c>
      <c r="D453" s="173">
        <v>22560.1</v>
      </c>
      <c r="E453" s="173">
        <v>1.5</v>
      </c>
      <c r="F453" s="121">
        <v>0</v>
      </c>
      <c r="G453" s="121">
        <v>449787</v>
      </c>
    </row>
    <row r="454" spans="1:7">
      <c r="A454" s="122" t="s">
        <v>2897</v>
      </c>
      <c r="B454" s="406" t="s">
        <v>2553</v>
      </c>
      <c r="C454" s="173">
        <v>1.37</v>
      </c>
      <c r="D454" s="173">
        <v>4890.1379999999999</v>
      </c>
      <c r="E454" s="173">
        <v>1.5</v>
      </c>
      <c r="F454" s="121">
        <v>0</v>
      </c>
      <c r="G454" s="121">
        <v>436144</v>
      </c>
    </row>
    <row r="455" spans="1:7">
      <c r="A455" s="122" t="s">
        <v>2903</v>
      </c>
      <c r="B455" s="406" t="s">
        <v>2560</v>
      </c>
      <c r="C455" s="173">
        <v>1.3373999999999999</v>
      </c>
      <c r="D455" s="173">
        <v>13773.305</v>
      </c>
      <c r="E455" s="173">
        <v>1.46</v>
      </c>
      <c r="F455" s="121">
        <v>0</v>
      </c>
      <c r="G455" s="121">
        <v>540335</v>
      </c>
    </row>
    <row r="456" spans="1:7">
      <c r="A456" s="122" t="s">
        <v>239</v>
      </c>
      <c r="B456" s="406" t="s">
        <v>1126</v>
      </c>
      <c r="C456" s="173">
        <v>1.37</v>
      </c>
      <c r="D456" s="173">
        <v>25797.05</v>
      </c>
      <c r="E456" s="173">
        <v>1.5</v>
      </c>
      <c r="F456" s="121">
        <v>0</v>
      </c>
      <c r="G456" s="121">
        <v>1143731</v>
      </c>
    </row>
    <row r="457" spans="1:7">
      <c r="A457" s="122" t="s">
        <v>1218</v>
      </c>
      <c r="B457" s="406" t="s">
        <v>88</v>
      </c>
      <c r="C457" s="173">
        <v>1.37</v>
      </c>
      <c r="D457" s="173">
        <v>1801.8340000000001</v>
      </c>
      <c r="E457" s="173">
        <v>1.5</v>
      </c>
      <c r="F457" s="121">
        <v>48413</v>
      </c>
      <c r="G457" s="121">
        <v>37500</v>
      </c>
    </row>
    <row r="458" spans="1:7">
      <c r="A458" s="122" t="s">
        <v>1759</v>
      </c>
      <c r="B458" s="406" t="s">
        <v>2998</v>
      </c>
      <c r="C458" s="173">
        <v>1.3478000000000001</v>
      </c>
      <c r="D458" s="173">
        <v>7266.5569999999998</v>
      </c>
      <c r="E458" s="173">
        <v>1.4750000000000001</v>
      </c>
      <c r="F458" s="121">
        <v>291559</v>
      </c>
      <c r="G458" s="121">
        <v>399531</v>
      </c>
    </row>
    <row r="459" spans="1:7">
      <c r="A459" s="122" t="s">
        <v>65</v>
      </c>
      <c r="B459" s="406" t="s">
        <v>2170</v>
      </c>
      <c r="C459" s="173">
        <v>1.37</v>
      </c>
      <c r="D459" s="173">
        <v>22259.673999999999</v>
      </c>
      <c r="E459" s="173">
        <v>1.5</v>
      </c>
      <c r="F459" s="121">
        <v>83112</v>
      </c>
      <c r="G459" s="121">
        <v>2551716</v>
      </c>
    </row>
    <row r="460" spans="1:7">
      <c r="A460" s="122" t="s">
        <v>821</v>
      </c>
      <c r="B460" s="406" t="s">
        <v>162</v>
      </c>
      <c r="C460" s="173">
        <v>1.2778</v>
      </c>
      <c r="D460" s="173">
        <v>14709.602000000001</v>
      </c>
      <c r="E460" s="173">
        <v>1.3959999999999999</v>
      </c>
      <c r="F460" s="121">
        <v>0</v>
      </c>
      <c r="G460" s="121">
        <v>623901</v>
      </c>
    </row>
    <row r="461" spans="1:7">
      <c r="A461" s="122" t="s">
        <v>67</v>
      </c>
      <c r="B461" s="406" t="s">
        <v>2622</v>
      </c>
      <c r="C461" s="173">
        <v>1.3616999999999999</v>
      </c>
      <c r="D461" s="173">
        <v>609.64700000000005</v>
      </c>
      <c r="E461" s="173">
        <v>1.4705999999999999</v>
      </c>
      <c r="F461" s="121">
        <v>0</v>
      </c>
      <c r="G461" s="121">
        <v>39508</v>
      </c>
    </row>
    <row r="462" spans="1:7">
      <c r="A462" s="122" t="s">
        <v>554</v>
      </c>
      <c r="B462" s="406" t="s">
        <v>2561</v>
      </c>
      <c r="C462" s="173">
        <v>1.2813000000000001</v>
      </c>
      <c r="D462" s="173">
        <v>524.70699999999999</v>
      </c>
      <c r="E462" s="173">
        <v>1.4</v>
      </c>
      <c r="F462" s="121">
        <v>0</v>
      </c>
      <c r="G462" s="121">
        <v>39737</v>
      </c>
    </row>
    <row r="463" spans="1:7">
      <c r="A463" s="122" t="s">
        <v>1715</v>
      </c>
      <c r="B463" s="406" t="s">
        <v>2705</v>
      </c>
      <c r="C463" s="173">
        <v>1.3036000000000001</v>
      </c>
      <c r="D463" s="173">
        <v>3582.1579999999999</v>
      </c>
      <c r="E463" s="173">
        <v>1.4251</v>
      </c>
      <c r="F463" s="121">
        <v>0</v>
      </c>
      <c r="G463" s="121">
        <v>241475</v>
      </c>
    </row>
    <row r="464" spans="1:7">
      <c r="A464" s="122" t="s">
        <v>172</v>
      </c>
      <c r="B464" s="406" t="s">
        <v>2464</v>
      </c>
      <c r="C464" s="173">
        <v>1.37</v>
      </c>
      <c r="D464" s="173">
        <v>281.14299999999997</v>
      </c>
      <c r="E464" s="173">
        <v>1.5</v>
      </c>
      <c r="F464" s="121">
        <v>0</v>
      </c>
      <c r="G464" s="121">
        <v>39204</v>
      </c>
    </row>
    <row r="465" spans="1:7">
      <c r="A465" s="122" t="s">
        <v>2869</v>
      </c>
      <c r="B465" s="406" t="s">
        <v>1010</v>
      </c>
      <c r="C465" s="173">
        <v>1.37</v>
      </c>
      <c r="D465" s="173">
        <v>217.52500000000001</v>
      </c>
      <c r="E465" s="173">
        <v>1.5</v>
      </c>
      <c r="F465" s="121">
        <v>0</v>
      </c>
      <c r="G465" s="121">
        <v>22845</v>
      </c>
    </row>
    <row r="466" spans="1:7">
      <c r="A466" s="122" t="s">
        <v>2756</v>
      </c>
      <c r="B466" s="406" t="s">
        <v>742</v>
      </c>
      <c r="C466" s="173">
        <v>1.33</v>
      </c>
      <c r="D466" s="173">
        <v>276.21300000000002</v>
      </c>
      <c r="E466" s="173">
        <v>1.46</v>
      </c>
      <c r="F466" s="121">
        <v>0</v>
      </c>
      <c r="G466" s="121">
        <v>48262</v>
      </c>
    </row>
    <row r="467" spans="1:7">
      <c r="A467" s="122" t="s">
        <v>2133</v>
      </c>
      <c r="B467" s="406" t="s">
        <v>2727</v>
      </c>
      <c r="C467" s="173">
        <v>1.37</v>
      </c>
      <c r="D467" s="173">
        <v>1633.366</v>
      </c>
      <c r="E467" s="173">
        <v>1.5</v>
      </c>
      <c r="F467" s="121">
        <v>0</v>
      </c>
      <c r="G467" s="121">
        <v>150029</v>
      </c>
    </row>
    <row r="468" spans="1:7">
      <c r="A468" s="122" t="s">
        <v>555</v>
      </c>
      <c r="B468" s="406" t="s">
        <v>2732</v>
      </c>
      <c r="C468" s="173">
        <v>1.37</v>
      </c>
      <c r="D468" s="173">
        <v>427.29399999999998</v>
      </c>
      <c r="E468" s="173">
        <v>1.5</v>
      </c>
      <c r="F468" s="121">
        <v>0</v>
      </c>
      <c r="G468" s="121">
        <v>38227</v>
      </c>
    </row>
    <row r="469" spans="1:7">
      <c r="A469" s="122" t="s">
        <v>49</v>
      </c>
      <c r="B469" s="406" t="s">
        <v>444</v>
      </c>
      <c r="C469" s="173">
        <v>1.5</v>
      </c>
      <c r="D469" s="173">
        <v>638.03300000000002</v>
      </c>
      <c r="E469" s="173">
        <v>1.5</v>
      </c>
      <c r="F469" s="121">
        <v>0</v>
      </c>
      <c r="G469" s="121">
        <v>50606</v>
      </c>
    </row>
    <row r="470" spans="1:7">
      <c r="A470" s="122" t="s">
        <v>173</v>
      </c>
      <c r="B470" s="406" t="s">
        <v>2466</v>
      </c>
      <c r="C470" s="173">
        <v>1.3257000000000001</v>
      </c>
      <c r="D470" s="173">
        <v>67.37</v>
      </c>
      <c r="E470" s="173">
        <v>1.45</v>
      </c>
      <c r="F470" s="121">
        <v>0</v>
      </c>
      <c r="G470" s="121">
        <v>13527</v>
      </c>
    </row>
    <row r="471" spans="1:7">
      <c r="A471" s="122" t="s">
        <v>567</v>
      </c>
      <c r="B471" s="406" t="s">
        <v>2562</v>
      </c>
      <c r="C471" s="173">
        <v>1.37</v>
      </c>
      <c r="D471" s="173">
        <v>111.322</v>
      </c>
      <c r="E471" s="173">
        <v>1.5</v>
      </c>
      <c r="F471" s="121">
        <v>0</v>
      </c>
      <c r="G471" s="121">
        <v>34493</v>
      </c>
    </row>
    <row r="472" spans="1:7">
      <c r="A472" s="122" t="s">
        <v>1760</v>
      </c>
      <c r="B472" s="406" t="s">
        <v>2999</v>
      </c>
      <c r="C472" s="173">
        <v>1.3701000000000001</v>
      </c>
      <c r="D472" s="173">
        <v>1470.2449999999999</v>
      </c>
      <c r="E472" s="173">
        <v>1.5</v>
      </c>
      <c r="F472" s="121">
        <v>0</v>
      </c>
      <c r="G472" s="121">
        <v>124713</v>
      </c>
    </row>
    <row r="473" spans="1:7">
      <c r="A473" s="122" t="s">
        <v>568</v>
      </c>
      <c r="B473" s="406" t="s">
        <v>2773</v>
      </c>
      <c r="C473" s="173">
        <v>1.37</v>
      </c>
      <c r="D473" s="173">
        <v>203.661</v>
      </c>
      <c r="E473" s="173">
        <v>1.5</v>
      </c>
      <c r="F473" s="121">
        <v>0</v>
      </c>
      <c r="G473" s="121">
        <v>45031</v>
      </c>
    </row>
    <row r="474" spans="1:7">
      <c r="A474" s="122" t="s">
        <v>1733</v>
      </c>
      <c r="B474" s="406" t="s">
        <v>1522</v>
      </c>
      <c r="C474" s="173">
        <v>1.37</v>
      </c>
      <c r="D474" s="173">
        <v>305.67200000000003</v>
      </c>
      <c r="E474" s="173">
        <v>1.5</v>
      </c>
      <c r="F474" s="121">
        <v>0</v>
      </c>
      <c r="G474" s="121">
        <v>60941</v>
      </c>
    </row>
    <row r="475" spans="1:7">
      <c r="A475" s="122" t="s">
        <v>569</v>
      </c>
      <c r="B475" s="406" t="s">
        <v>2989</v>
      </c>
      <c r="C475" s="173">
        <v>1.37</v>
      </c>
      <c r="D475" s="173">
        <v>182.548</v>
      </c>
      <c r="E475" s="173">
        <v>1.5</v>
      </c>
      <c r="F475" s="121">
        <v>0</v>
      </c>
      <c r="G475" s="121">
        <v>42839</v>
      </c>
    </row>
    <row r="476" spans="1:7">
      <c r="A476" s="122" t="s">
        <v>1761</v>
      </c>
      <c r="B476" s="406" t="s">
        <v>3000</v>
      </c>
      <c r="C476" s="173">
        <v>1.2989999999999999</v>
      </c>
      <c r="D476" s="173">
        <v>353.22800000000001</v>
      </c>
      <c r="E476" s="173">
        <v>1.42</v>
      </c>
      <c r="F476" s="121">
        <v>0</v>
      </c>
      <c r="G476" s="121">
        <v>31411</v>
      </c>
    </row>
    <row r="477" spans="1:7">
      <c r="A477" s="122" t="s">
        <v>1762</v>
      </c>
      <c r="B477" s="406" t="s">
        <v>3001</v>
      </c>
      <c r="C477" s="173">
        <v>1.3523000000000001</v>
      </c>
      <c r="D477" s="173">
        <v>2670.7689999999998</v>
      </c>
      <c r="E477" s="173">
        <v>1.48</v>
      </c>
      <c r="F477" s="121">
        <v>0</v>
      </c>
      <c r="G477" s="121">
        <v>244301</v>
      </c>
    </row>
    <row r="478" spans="1:7">
      <c r="A478" s="122" t="s">
        <v>1410</v>
      </c>
      <c r="B478" s="406" t="s">
        <v>3002</v>
      </c>
      <c r="C478" s="173">
        <v>1.37</v>
      </c>
      <c r="D478" s="173">
        <v>326.226</v>
      </c>
      <c r="E478" s="173">
        <v>1.5</v>
      </c>
      <c r="F478" s="121">
        <v>0</v>
      </c>
      <c r="G478" s="121">
        <v>32223</v>
      </c>
    </row>
    <row r="479" spans="1:7">
      <c r="A479" s="122" t="s">
        <v>2104</v>
      </c>
      <c r="B479" s="406" t="s">
        <v>2203</v>
      </c>
      <c r="C479" s="173">
        <v>1.37</v>
      </c>
      <c r="D479" s="173">
        <v>370.68599999999998</v>
      </c>
      <c r="E479" s="173">
        <v>1.5</v>
      </c>
      <c r="F479" s="121">
        <v>0</v>
      </c>
      <c r="G479" s="121">
        <v>38979</v>
      </c>
    </row>
    <row r="480" spans="1:7">
      <c r="A480" s="122" t="s">
        <v>1411</v>
      </c>
      <c r="B480" s="406" t="s">
        <v>3003</v>
      </c>
      <c r="C480" s="173">
        <v>1.1100000000000001</v>
      </c>
      <c r="D480" s="173">
        <v>500.34399999999999</v>
      </c>
      <c r="E480" s="173">
        <v>1.5</v>
      </c>
      <c r="F480" s="121">
        <v>0</v>
      </c>
      <c r="G480" s="121">
        <v>19232</v>
      </c>
    </row>
    <row r="481" spans="1:7">
      <c r="A481" s="122" t="s">
        <v>1412</v>
      </c>
      <c r="B481" s="406" t="s">
        <v>3004</v>
      </c>
      <c r="C481" s="173">
        <v>1.37</v>
      </c>
      <c r="D481" s="173">
        <v>170.87200000000001</v>
      </c>
      <c r="E481" s="173">
        <v>1.5</v>
      </c>
      <c r="F481" s="121">
        <v>0</v>
      </c>
      <c r="G481" s="121">
        <v>5727</v>
      </c>
    </row>
    <row r="482" spans="1:7">
      <c r="A482" s="122" t="s">
        <v>1413</v>
      </c>
      <c r="B482" s="406" t="s">
        <v>247</v>
      </c>
      <c r="C482" s="173">
        <v>1.286</v>
      </c>
      <c r="D482" s="173">
        <v>6330.8689999999997</v>
      </c>
      <c r="E482" s="173">
        <v>1.45</v>
      </c>
      <c r="F482" s="121">
        <v>0</v>
      </c>
      <c r="G482" s="121">
        <v>789310</v>
      </c>
    </row>
    <row r="483" spans="1:7">
      <c r="A483" s="122" t="s">
        <v>1991</v>
      </c>
      <c r="B483" s="406" t="s">
        <v>1763</v>
      </c>
      <c r="C483" s="173">
        <v>1.37</v>
      </c>
      <c r="D483" s="173">
        <v>261.98200000000003</v>
      </c>
      <c r="E483" s="173">
        <v>1.5</v>
      </c>
      <c r="F483" s="121">
        <v>0</v>
      </c>
      <c r="G483" s="121">
        <v>36297</v>
      </c>
    </row>
    <row r="484" spans="1:7">
      <c r="A484" s="122" t="s">
        <v>1709</v>
      </c>
      <c r="B484" s="406" t="s">
        <v>660</v>
      </c>
      <c r="C484" s="173">
        <v>1.37</v>
      </c>
      <c r="D484" s="173">
        <v>576.05399999999997</v>
      </c>
      <c r="E484" s="173">
        <v>1.5</v>
      </c>
      <c r="F484" s="121">
        <v>0</v>
      </c>
      <c r="G484" s="121">
        <v>61399</v>
      </c>
    </row>
    <row r="485" spans="1:7">
      <c r="A485" s="122" t="s">
        <v>208</v>
      </c>
      <c r="B485" s="406" t="s">
        <v>248</v>
      </c>
      <c r="C485" s="173">
        <v>1.304</v>
      </c>
      <c r="D485" s="173">
        <v>3883.4810000000002</v>
      </c>
      <c r="E485" s="173">
        <v>1.4256</v>
      </c>
      <c r="F485" s="121">
        <v>0</v>
      </c>
      <c r="G485" s="121">
        <v>338058</v>
      </c>
    </row>
    <row r="486" spans="1:7">
      <c r="A486" s="122" t="s">
        <v>1687</v>
      </c>
      <c r="B486" s="406" t="s">
        <v>462</v>
      </c>
      <c r="C486" s="173">
        <v>1.2910999999999999</v>
      </c>
      <c r="D486" s="173">
        <v>381.19799999999998</v>
      </c>
      <c r="E486" s="173">
        <v>1.4112</v>
      </c>
      <c r="F486" s="121">
        <v>3271</v>
      </c>
      <c r="G486" s="121">
        <v>0</v>
      </c>
    </row>
    <row r="487" spans="1:7">
      <c r="A487" s="122" t="s">
        <v>209</v>
      </c>
      <c r="B487" s="406" t="s">
        <v>249</v>
      </c>
      <c r="C487" s="173">
        <v>1.2824</v>
      </c>
      <c r="D487" s="173">
        <v>399.43299999999999</v>
      </c>
      <c r="E487" s="173">
        <v>1.4011</v>
      </c>
      <c r="F487" s="121">
        <v>0</v>
      </c>
      <c r="G487" s="121">
        <v>0</v>
      </c>
    </row>
    <row r="488" spans="1:7">
      <c r="A488" s="122" t="s">
        <v>2217</v>
      </c>
      <c r="B488" s="406" t="s">
        <v>2557</v>
      </c>
      <c r="C488" s="173">
        <v>1.29</v>
      </c>
      <c r="D488" s="173">
        <v>214.06899999999999</v>
      </c>
      <c r="E488" s="173">
        <v>1.41</v>
      </c>
      <c r="F488" s="121">
        <v>0</v>
      </c>
      <c r="G488" s="121">
        <v>24103</v>
      </c>
    </row>
    <row r="489" spans="1:7">
      <c r="A489" s="122" t="s">
        <v>210</v>
      </c>
      <c r="B489" s="406" t="s">
        <v>702</v>
      </c>
      <c r="C489" s="173">
        <v>1.1173</v>
      </c>
      <c r="D489" s="173">
        <v>767.66499999999996</v>
      </c>
      <c r="E489" s="173">
        <v>1.2150000000000001</v>
      </c>
      <c r="F489" s="121">
        <v>0</v>
      </c>
      <c r="G489" s="121">
        <v>101361</v>
      </c>
    </row>
    <row r="490" spans="1:7">
      <c r="A490" s="122" t="s">
        <v>211</v>
      </c>
      <c r="B490" s="406" t="s">
        <v>703</v>
      </c>
      <c r="C490" s="173">
        <v>1.18</v>
      </c>
      <c r="D490" s="173">
        <v>244.93299999999999</v>
      </c>
      <c r="E490" s="173">
        <v>1.29</v>
      </c>
      <c r="F490" s="121">
        <v>0</v>
      </c>
      <c r="G490" s="121">
        <v>44737</v>
      </c>
    </row>
    <row r="491" spans="1:7">
      <c r="A491" s="122" t="s">
        <v>1688</v>
      </c>
      <c r="B491" s="406" t="s">
        <v>2216</v>
      </c>
      <c r="C491" s="173">
        <v>1.2424999999999999</v>
      </c>
      <c r="D491" s="173">
        <v>216.601</v>
      </c>
      <c r="E491" s="173">
        <v>1.3562000000000001</v>
      </c>
      <c r="F491" s="121">
        <v>0</v>
      </c>
      <c r="G491" s="121">
        <v>41892</v>
      </c>
    </row>
    <row r="492" spans="1:7">
      <c r="A492" s="122" t="s">
        <v>1601</v>
      </c>
      <c r="B492" s="406" t="s">
        <v>704</v>
      </c>
      <c r="C492" s="173">
        <v>1.3433999999999999</v>
      </c>
      <c r="D492" s="173">
        <v>1444.78</v>
      </c>
      <c r="E492" s="173">
        <v>1.47</v>
      </c>
      <c r="F492" s="121">
        <v>0</v>
      </c>
      <c r="G492" s="121">
        <v>160380</v>
      </c>
    </row>
    <row r="493" spans="1:7">
      <c r="A493" s="122" t="s">
        <v>1432</v>
      </c>
      <c r="B493" s="406" t="s">
        <v>2480</v>
      </c>
      <c r="C493" s="173">
        <v>1.28</v>
      </c>
      <c r="D493" s="173">
        <v>507.19200000000001</v>
      </c>
      <c r="E493" s="173">
        <v>1.4</v>
      </c>
      <c r="F493" s="121">
        <v>0</v>
      </c>
      <c r="G493" s="121">
        <v>58345</v>
      </c>
    </row>
    <row r="494" spans="1:7">
      <c r="A494" s="122" t="s">
        <v>1104</v>
      </c>
      <c r="B494" s="406" t="s">
        <v>2880</v>
      </c>
      <c r="C494" s="173">
        <v>1.2947</v>
      </c>
      <c r="D494" s="173">
        <v>510.04500000000002</v>
      </c>
      <c r="E494" s="173">
        <v>1.415</v>
      </c>
      <c r="F494" s="121">
        <v>0</v>
      </c>
      <c r="G494" s="121">
        <v>102768</v>
      </c>
    </row>
    <row r="495" spans="1:7">
      <c r="A495" s="122" t="s">
        <v>1105</v>
      </c>
      <c r="B495" s="406" t="s">
        <v>1767</v>
      </c>
      <c r="C495" s="173">
        <v>1.3438000000000001</v>
      </c>
      <c r="D495" s="173">
        <v>414.51299999999998</v>
      </c>
      <c r="E495" s="173">
        <v>1.4703999999999999</v>
      </c>
      <c r="F495" s="121">
        <v>0</v>
      </c>
      <c r="G495" s="121">
        <v>42650</v>
      </c>
    </row>
    <row r="496" spans="1:7">
      <c r="A496" s="122" t="s">
        <v>1011</v>
      </c>
      <c r="B496" s="406" t="s">
        <v>1768</v>
      </c>
      <c r="C496" s="173">
        <v>1.2370000000000001</v>
      </c>
      <c r="D496" s="173">
        <v>330.28699999999998</v>
      </c>
      <c r="E496" s="173">
        <v>1.35</v>
      </c>
      <c r="F496" s="121">
        <v>0</v>
      </c>
      <c r="G496" s="121">
        <v>61371</v>
      </c>
    </row>
    <row r="497" spans="1:7">
      <c r="A497" s="122" t="s">
        <v>2036</v>
      </c>
      <c r="B497" s="406" t="s">
        <v>1769</v>
      </c>
      <c r="C497" s="173">
        <v>1.3701000000000001</v>
      </c>
      <c r="D497" s="173">
        <v>3538.1729999999998</v>
      </c>
      <c r="E497" s="173">
        <v>1.5</v>
      </c>
      <c r="F497" s="121">
        <v>0</v>
      </c>
      <c r="G497" s="121">
        <v>185621</v>
      </c>
    </row>
    <row r="498" spans="1:7">
      <c r="A498" s="122" t="s">
        <v>3076</v>
      </c>
      <c r="B498" s="406" t="s">
        <v>1770</v>
      </c>
      <c r="C498" s="173">
        <v>1.37</v>
      </c>
      <c r="D498" s="173">
        <v>730.13199999999995</v>
      </c>
      <c r="E498" s="173">
        <v>1.5</v>
      </c>
      <c r="F498" s="121">
        <v>0</v>
      </c>
      <c r="G498" s="121">
        <v>94631</v>
      </c>
    </row>
    <row r="499" spans="1:7">
      <c r="A499" s="122" t="s">
        <v>3077</v>
      </c>
      <c r="B499" s="406" t="s">
        <v>1771</v>
      </c>
      <c r="C499" s="173">
        <v>1.37</v>
      </c>
      <c r="D499" s="173">
        <v>662.03800000000001</v>
      </c>
      <c r="E499" s="173">
        <v>1.5</v>
      </c>
      <c r="F499" s="121">
        <v>0</v>
      </c>
      <c r="G499" s="121">
        <v>74247</v>
      </c>
    </row>
    <row r="500" spans="1:7">
      <c r="A500" s="122" t="s">
        <v>1507</v>
      </c>
      <c r="B500" s="406" t="s">
        <v>1772</v>
      </c>
      <c r="C500" s="173">
        <v>1.1040000000000001</v>
      </c>
      <c r="D500" s="173">
        <v>535.42200000000003</v>
      </c>
      <c r="E500" s="173">
        <v>1.2</v>
      </c>
      <c r="F500" s="121">
        <v>0</v>
      </c>
      <c r="G500" s="121">
        <v>109131</v>
      </c>
    </row>
    <row r="501" spans="1:7">
      <c r="A501" s="122" t="s">
        <v>2492</v>
      </c>
      <c r="B501" s="406" t="s">
        <v>1773</v>
      </c>
      <c r="C501" s="173">
        <v>1.37</v>
      </c>
      <c r="D501" s="173">
        <v>148.80699999999999</v>
      </c>
      <c r="E501" s="173">
        <v>1.5</v>
      </c>
      <c r="F501" s="121">
        <v>0</v>
      </c>
      <c r="G501" s="121">
        <v>0</v>
      </c>
    </row>
    <row r="502" spans="1:7">
      <c r="A502" s="122" t="s">
        <v>1271</v>
      </c>
      <c r="B502" s="406" t="s">
        <v>1774</v>
      </c>
      <c r="C502" s="173">
        <v>1.3520000000000001</v>
      </c>
      <c r="D502" s="173">
        <v>104.53</v>
      </c>
      <c r="E502" s="173">
        <v>1.48</v>
      </c>
      <c r="F502" s="121">
        <v>0</v>
      </c>
      <c r="G502" s="121">
        <v>40387</v>
      </c>
    </row>
    <row r="503" spans="1:7">
      <c r="A503" s="122" t="s">
        <v>2155</v>
      </c>
      <c r="B503" s="406" t="s">
        <v>726</v>
      </c>
      <c r="C503" s="173">
        <v>1.3443000000000001</v>
      </c>
      <c r="D503" s="173">
        <v>1181.4000000000001</v>
      </c>
      <c r="E503" s="173">
        <v>1.4710000000000001</v>
      </c>
      <c r="F503" s="121">
        <v>0</v>
      </c>
      <c r="G503" s="121">
        <v>97873</v>
      </c>
    </row>
    <row r="504" spans="1:7">
      <c r="A504" s="122" t="s">
        <v>1272</v>
      </c>
      <c r="B504" s="406" t="s">
        <v>1775</v>
      </c>
      <c r="C504" s="173">
        <v>1.3701000000000001</v>
      </c>
      <c r="D504" s="173">
        <v>474.88</v>
      </c>
      <c r="E504" s="173">
        <v>1.5</v>
      </c>
      <c r="F504" s="121">
        <v>0</v>
      </c>
      <c r="G504" s="121">
        <v>57321</v>
      </c>
    </row>
    <row r="505" spans="1:7">
      <c r="A505" s="122" t="s">
        <v>1618</v>
      </c>
      <c r="B505" s="406" t="s">
        <v>1743</v>
      </c>
      <c r="C505" s="173">
        <v>1.37</v>
      </c>
      <c r="D505" s="173">
        <v>1638.579</v>
      </c>
      <c r="E505" s="173">
        <v>1.5</v>
      </c>
      <c r="F505" s="121">
        <v>0</v>
      </c>
      <c r="G505" s="121">
        <v>144427</v>
      </c>
    </row>
    <row r="506" spans="1:7">
      <c r="A506" s="122" t="s">
        <v>1209</v>
      </c>
      <c r="B506" s="406" t="s">
        <v>1776</v>
      </c>
      <c r="C506" s="173">
        <v>1.37</v>
      </c>
      <c r="D506" s="173">
        <v>4723</v>
      </c>
      <c r="E506" s="173">
        <v>1.5</v>
      </c>
      <c r="F506" s="121">
        <v>0</v>
      </c>
      <c r="G506" s="121">
        <v>285186</v>
      </c>
    </row>
    <row r="507" spans="1:7">
      <c r="A507" s="122" t="s">
        <v>2218</v>
      </c>
      <c r="B507" s="406" t="s">
        <v>2435</v>
      </c>
      <c r="C507" s="173">
        <v>1.3080000000000001</v>
      </c>
      <c r="D507" s="173">
        <v>814.49900000000002</v>
      </c>
      <c r="E507" s="173">
        <v>1.43</v>
      </c>
      <c r="F507" s="121">
        <v>0</v>
      </c>
      <c r="G507" s="121">
        <v>65270</v>
      </c>
    </row>
    <row r="508" spans="1:7">
      <c r="A508" s="122" t="s">
        <v>1781</v>
      </c>
      <c r="B508" s="406" t="s">
        <v>90</v>
      </c>
      <c r="C508" s="173">
        <v>1.3016000000000001</v>
      </c>
      <c r="D508" s="173">
        <v>2469.076</v>
      </c>
      <c r="E508" s="173">
        <v>1.4219999999999999</v>
      </c>
      <c r="F508" s="121">
        <v>0</v>
      </c>
      <c r="G508" s="121">
        <v>293567</v>
      </c>
    </row>
    <row r="509" spans="1:7">
      <c r="A509" s="122" t="s">
        <v>273</v>
      </c>
      <c r="B509" s="406" t="s">
        <v>1292</v>
      </c>
      <c r="C509" s="173">
        <v>1.3119000000000001</v>
      </c>
      <c r="D509" s="173">
        <v>583.20100000000002</v>
      </c>
      <c r="E509" s="173">
        <v>1.4343999999999999</v>
      </c>
      <c r="F509" s="121">
        <v>0</v>
      </c>
      <c r="G509" s="121">
        <v>50428</v>
      </c>
    </row>
    <row r="510" spans="1:7">
      <c r="A510" s="122" t="s">
        <v>1210</v>
      </c>
      <c r="B510" s="406" t="s">
        <v>1777</v>
      </c>
      <c r="C510" s="173">
        <v>1.3041</v>
      </c>
      <c r="D510" s="173">
        <v>321.86900000000003</v>
      </c>
      <c r="E510" s="173">
        <v>1.4257</v>
      </c>
      <c r="F510" s="121">
        <v>0</v>
      </c>
      <c r="G510" s="121">
        <v>32664</v>
      </c>
    </row>
    <row r="511" spans="1:7">
      <c r="A511" s="122" t="s">
        <v>987</v>
      </c>
      <c r="B511" s="406" t="s">
        <v>903</v>
      </c>
      <c r="C511" s="173">
        <v>1.3351999999999999</v>
      </c>
      <c r="D511" s="173">
        <v>549.05899999999997</v>
      </c>
      <c r="E511" s="173">
        <v>1.4607000000000001</v>
      </c>
      <c r="F511" s="121">
        <v>0</v>
      </c>
      <c r="G511" s="121">
        <v>54607</v>
      </c>
    </row>
    <row r="512" spans="1:7">
      <c r="A512" s="122" t="s">
        <v>2105</v>
      </c>
      <c r="B512" s="406" t="s">
        <v>1523</v>
      </c>
      <c r="C512" s="173">
        <v>1.37</v>
      </c>
      <c r="D512" s="173">
        <v>475.21699999999998</v>
      </c>
      <c r="E512" s="173">
        <v>1.5</v>
      </c>
      <c r="F512" s="121">
        <v>0</v>
      </c>
      <c r="G512" s="121">
        <v>12115</v>
      </c>
    </row>
    <row r="513" spans="1:7">
      <c r="A513" s="122" t="s">
        <v>1211</v>
      </c>
      <c r="B513" s="406" t="s">
        <v>1778</v>
      </c>
      <c r="C513" s="173">
        <v>1.37</v>
      </c>
      <c r="D513" s="173">
        <v>2615.9299999999998</v>
      </c>
      <c r="E513" s="173">
        <v>1.5</v>
      </c>
      <c r="F513" s="121">
        <v>0</v>
      </c>
      <c r="G513" s="121">
        <v>129571</v>
      </c>
    </row>
    <row r="514" spans="1:7">
      <c r="A514" s="122" t="s">
        <v>2454</v>
      </c>
      <c r="B514" s="406" t="s">
        <v>2888</v>
      </c>
      <c r="C514" s="173">
        <v>1.2725</v>
      </c>
      <c r="D514" s="173">
        <v>790.03800000000001</v>
      </c>
      <c r="E514" s="173">
        <v>1.39</v>
      </c>
      <c r="F514" s="121">
        <v>0</v>
      </c>
      <c r="G514" s="121">
        <v>73295</v>
      </c>
    </row>
    <row r="515" spans="1:7">
      <c r="A515" s="122" t="s">
        <v>2455</v>
      </c>
      <c r="B515" s="406" t="s">
        <v>2889</v>
      </c>
      <c r="C515" s="173">
        <v>1.2846</v>
      </c>
      <c r="D515" s="173">
        <v>563.99400000000003</v>
      </c>
      <c r="E515" s="173">
        <v>1.4036</v>
      </c>
      <c r="F515" s="121">
        <v>0</v>
      </c>
      <c r="G515" s="121">
        <v>72801</v>
      </c>
    </row>
    <row r="516" spans="1:7">
      <c r="A516" s="122" t="s">
        <v>1428</v>
      </c>
      <c r="B516" s="406" t="s">
        <v>2890</v>
      </c>
      <c r="C516" s="173">
        <v>1.0915999999999999</v>
      </c>
      <c r="D516" s="173">
        <v>92.369</v>
      </c>
      <c r="E516" s="173">
        <v>1.1859999999999999</v>
      </c>
      <c r="F516" s="121">
        <v>0</v>
      </c>
      <c r="G516" s="121">
        <v>9268</v>
      </c>
    </row>
    <row r="517" spans="1:7">
      <c r="A517" s="122" t="s">
        <v>1429</v>
      </c>
      <c r="B517" s="406" t="s">
        <v>2891</v>
      </c>
      <c r="C517" s="173">
        <v>1.37</v>
      </c>
      <c r="D517" s="173">
        <v>346.31599999999997</v>
      </c>
      <c r="E517" s="173">
        <v>1.5</v>
      </c>
      <c r="F517" s="121">
        <v>0</v>
      </c>
      <c r="G517" s="121">
        <v>29728</v>
      </c>
    </row>
    <row r="518" spans="1:7">
      <c r="A518" s="122" t="s">
        <v>1039</v>
      </c>
      <c r="B518" s="406" t="s">
        <v>2821</v>
      </c>
      <c r="C518" s="173">
        <v>1.37</v>
      </c>
      <c r="D518" s="173">
        <v>256.92899999999997</v>
      </c>
      <c r="E518" s="173">
        <v>1.5</v>
      </c>
      <c r="F518" s="121">
        <v>0</v>
      </c>
      <c r="G518" s="121">
        <v>21370</v>
      </c>
    </row>
    <row r="519" spans="1:7">
      <c r="A519" s="122" t="s">
        <v>1040</v>
      </c>
      <c r="B519" s="406" t="s">
        <v>2822</v>
      </c>
      <c r="C519" s="173">
        <v>1.37</v>
      </c>
      <c r="D519" s="173">
        <v>905.50800000000004</v>
      </c>
      <c r="E519" s="173">
        <v>1.5</v>
      </c>
      <c r="F519" s="121">
        <v>0</v>
      </c>
      <c r="G519" s="121">
        <v>81286</v>
      </c>
    </row>
    <row r="520" spans="1:7">
      <c r="A520" s="122" t="s">
        <v>1041</v>
      </c>
      <c r="B520" s="406" t="s">
        <v>2823</v>
      </c>
      <c r="C520" s="173">
        <v>1.37</v>
      </c>
      <c r="D520" s="173">
        <v>370.63799999999998</v>
      </c>
      <c r="E520" s="173">
        <v>1.5</v>
      </c>
      <c r="F520" s="121">
        <v>0</v>
      </c>
      <c r="G520" s="121">
        <v>63568</v>
      </c>
    </row>
    <row r="521" spans="1:7">
      <c r="A521" s="122" t="s">
        <v>1042</v>
      </c>
      <c r="B521" s="406" t="s">
        <v>685</v>
      </c>
      <c r="C521" s="173">
        <v>1.37</v>
      </c>
      <c r="D521" s="173">
        <v>1367.9110000000001</v>
      </c>
      <c r="E521" s="173">
        <v>1.5</v>
      </c>
      <c r="F521" s="121">
        <v>0</v>
      </c>
      <c r="G521" s="121">
        <v>107038</v>
      </c>
    </row>
    <row r="522" spans="1:7">
      <c r="A522" s="122" t="s">
        <v>2972</v>
      </c>
      <c r="B522" s="406" t="s">
        <v>1671</v>
      </c>
      <c r="C522" s="173">
        <v>1.37</v>
      </c>
      <c r="D522" s="173">
        <v>618.66399999999999</v>
      </c>
      <c r="E522" s="173">
        <v>1.5</v>
      </c>
      <c r="F522" s="121">
        <v>0</v>
      </c>
      <c r="G522" s="121">
        <v>62823</v>
      </c>
    </row>
    <row r="523" spans="1:7">
      <c r="A523" s="122" t="s">
        <v>544</v>
      </c>
      <c r="B523" s="406" t="s">
        <v>686</v>
      </c>
      <c r="C523" s="173">
        <v>1.3665</v>
      </c>
      <c r="D523" s="173">
        <v>945.077</v>
      </c>
      <c r="E523" s="173">
        <v>1.4961</v>
      </c>
      <c r="F523" s="121">
        <v>0</v>
      </c>
      <c r="G523" s="121">
        <v>141960</v>
      </c>
    </row>
    <row r="524" spans="1:7">
      <c r="A524" s="122" t="s">
        <v>3042</v>
      </c>
      <c r="B524" s="406" t="s">
        <v>2859</v>
      </c>
      <c r="C524" s="173">
        <v>1.37</v>
      </c>
      <c r="D524" s="173">
        <v>287.37</v>
      </c>
      <c r="E524" s="173">
        <v>1.5</v>
      </c>
      <c r="F524" s="121">
        <v>0</v>
      </c>
      <c r="G524" s="121">
        <v>36748</v>
      </c>
    </row>
    <row r="525" spans="1:7">
      <c r="A525" s="122" t="s">
        <v>995</v>
      </c>
      <c r="B525" s="406" t="s">
        <v>1632</v>
      </c>
      <c r="C525" s="173">
        <v>1.37</v>
      </c>
      <c r="D525" s="173">
        <v>1418.4490000000001</v>
      </c>
      <c r="E525" s="173">
        <v>1.5</v>
      </c>
      <c r="F525" s="121">
        <v>0</v>
      </c>
      <c r="G525" s="121">
        <v>183604</v>
      </c>
    </row>
    <row r="526" spans="1:7">
      <c r="A526" s="122" t="s">
        <v>51</v>
      </c>
      <c r="B526" s="406" t="s">
        <v>446</v>
      </c>
      <c r="C526" s="173">
        <v>1.44</v>
      </c>
      <c r="D526" s="173">
        <v>2746.86</v>
      </c>
      <c r="E526" s="173">
        <v>1.5</v>
      </c>
      <c r="F526" s="121">
        <v>0</v>
      </c>
      <c r="G526" s="121">
        <v>312485</v>
      </c>
    </row>
    <row r="527" spans="1:7">
      <c r="A527" s="122" t="s">
        <v>61</v>
      </c>
      <c r="B527" s="406" t="s">
        <v>2296</v>
      </c>
      <c r="C527" s="173">
        <v>1.37</v>
      </c>
      <c r="D527" s="173">
        <v>1447.528</v>
      </c>
      <c r="E527" s="173">
        <v>1.5</v>
      </c>
      <c r="F527" s="121">
        <v>0</v>
      </c>
      <c r="G527" s="121">
        <v>146175</v>
      </c>
    </row>
    <row r="528" spans="1:7">
      <c r="A528" s="122" t="s">
        <v>3043</v>
      </c>
      <c r="B528" s="406" t="s">
        <v>2860</v>
      </c>
      <c r="C528" s="173">
        <v>1.37</v>
      </c>
      <c r="D528" s="173">
        <v>405.03899999999999</v>
      </c>
      <c r="E528" s="173">
        <v>1.5</v>
      </c>
      <c r="F528" s="121">
        <v>0</v>
      </c>
      <c r="G528" s="121">
        <v>13599</v>
      </c>
    </row>
    <row r="529" spans="1:7">
      <c r="A529" s="122" t="s">
        <v>3044</v>
      </c>
      <c r="B529" s="406" t="s">
        <v>2861</v>
      </c>
      <c r="C529" s="173">
        <v>1.34</v>
      </c>
      <c r="D529" s="173">
        <v>337.04199999999997</v>
      </c>
      <c r="E529" s="173">
        <v>1.47</v>
      </c>
      <c r="F529" s="121">
        <v>0</v>
      </c>
      <c r="G529" s="121">
        <v>22143</v>
      </c>
    </row>
    <row r="530" spans="1:7">
      <c r="A530" s="122" t="s">
        <v>3045</v>
      </c>
      <c r="B530" s="406" t="s">
        <v>2618</v>
      </c>
      <c r="C530" s="173">
        <v>1.1936</v>
      </c>
      <c r="D530" s="173">
        <v>45.436</v>
      </c>
      <c r="E530" s="173">
        <v>1.31</v>
      </c>
      <c r="F530" s="121">
        <v>0</v>
      </c>
      <c r="G530" s="121">
        <v>27010</v>
      </c>
    </row>
    <row r="531" spans="1:7">
      <c r="A531" s="122" t="s">
        <v>2905</v>
      </c>
      <c r="B531" s="406" t="s">
        <v>426</v>
      </c>
      <c r="C531" s="173">
        <v>1.3</v>
      </c>
      <c r="D531" s="173">
        <v>4723.1899999999996</v>
      </c>
      <c r="E531" s="173">
        <v>1.47</v>
      </c>
      <c r="F531" s="121">
        <v>0</v>
      </c>
      <c r="G531" s="121">
        <v>106666</v>
      </c>
    </row>
    <row r="532" spans="1:7">
      <c r="A532" s="122" t="s">
        <v>2615</v>
      </c>
      <c r="B532" s="406" t="s">
        <v>2619</v>
      </c>
      <c r="C532" s="173">
        <v>1.37</v>
      </c>
      <c r="D532" s="173">
        <v>8701.143</v>
      </c>
      <c r="E532" s="173">
        <v>1.5</v>
      </c>
      <c r="F532" s="121">
        <v>0</v>
      </c>
      <c r="G532" s="121">
        <v>412744</v>
      </c>
    </row>
    <row r="533" spans="1:7">
      <c r="A533" s="122" t="s">
        <v>2616</v>
      </c>
      <c r="B533" s="406" t="s">
        <v>3089</v>
      </c>
      <c r="C533" s="173">
        <v>1.37</v>
      </c>
      <c r="D533" s="173">
        <v>4399.3339999999998</v>
      </c>
      <c r="E533" s="173">
        <v>1.5</v>
      </c>
      <c r="F533" s="121">
        <v>0</v>
      </c>
      <c r="G533" s="121">
        <v>168414</v>
      </c>
    </row>
    <row r="534" spans="1:7">
      <c r="A534" s="122" t="s">
        <v>1501</v>
      </c>
      <c r="B534" s="406" t="s">
        <v>3090</v>
      </c>
      <c r="C534" s="173">
        <v>1.3079000000000001</v>
      </c>
      <c r="D534" s="173">
        <v>18138.273000000001</v>
      </c>
      <c r="E534" s="173">
        <v>1.4750000000000001</v>
      </c>
      <c r="F534" s="121">
        <v>0</v>
      </c>
      <c r="G534" s="121">
        <v>1794132</v>
      </c>
    </row>
    <row r="535" spans="1:7">
      <c r="A535" s="122" t="s">
        <v>1502</v>
      </c>
      <c r="B535" s="406" t="s">
        <v>3091</v>
      </c>
      <c r="C535" s="173">
        <v>1.37</v>
      </c>
      <c r="D535" s="173">
        <v>238.392</v>
      </c>
      <c r="E535" s="173">
        <v>1.5</v>
      </c>
      <c r="F535" s="121">
        <v>0</v>
      </c>
      <c r="G535" s="121">
        <v>19547</v>
      </c>
    </row>
    <row r="536" spans="1:7">
      <c r="A536" s="122" t="s">
        <v>1484</v>
      </c>
      <c r="B536" s="406" t="s">
        <v>1950</v>
      </c>
      <c r="C536" s="173">
        <v>1.42</v>
      </c>
      <c r="D536" s="173">
        <v>1711.7929999999999</v>
      </c>
      <c r="E536" s="173">
        <v>1.5</v>
      </c>
      <c r="F536" s="121">
        <v>0</v>
      </c>
      <c r="G536" s="121">
        <v>191178</v>
      </c>
    </row>
    <row r="537" spans="1:7">
      <c r="A537" s="122" t="s">
        <v>1503</v>
      </c>
      <c r="B537" s="406" t="s">
        <v>1956</v>
      </c>
      <c r="C537" s="173">
        <v>1.3701000000000001</v>
      </c>
      <c r="D537" s="173">
        <v>1004.332</v>
      </c>
      <c r="E537" s="173">
        <v>1.5</v>
      </c>
      <c r="F537" s="121">
        <v>0</v>
      </c>
      <c r="G537" s="121">
        <v>68750</v>
      </c>
    </row>
    <row r="538" spans="1:7">
      <c r="A538" s="122" t="s">
        <v>2299</v>
      </c>
      <c r="B538" s="406" t="s">
        <v>799</v>
      </c>
      <c r="C538" s="173">
        <v>1.3464</v>
      </c>
      <c r="D538" s="173">
        <v>5072.0680000000002</v>
      </c>
      <c r="E538" s="173">
        <v>1.4734</v>
      </c>
      <c r="F538" s="121">
        <v>0</v>
      </c>
      <c r="G538" s="121">
        <v>222319</v>
      </c>
    </row>
    <row r="539" spans="1:7">
      <c r="A539" s="122" t="s">
        <v>2652</v>
      </c>
      <c r="B539" s="406" t="s">
        <v>3080</v>
      </c>
      <c r="C539" s="173">
        <v>1.2614000000000001</v>
      </c>
      <c r="D539" s="173">
        <v>566.255</v>
      </c>
      <c r="E539" s="173">
        <v>1.3774999999999999</v>
      </c>
      <c r="F539" s="121">
        <v>0</v>
      </c>
      <c r="G539" s="121">
        <v>78416</v>
      </c>
    </row>
    <row r="540" spans="1:7">
      <c r="A540" s="122" t="s">
        <v>1593</v>
      </c>
      <c r="B540" s="406" t="s">
        <v>1151</v>
      </c>
      <c r="C540" s="173">
        <v>1.3193999999999999</v>
      </c>
      <c r="D540" s="173">
        <v>1563.2090000000001</v>
      </c>
      <c r="E540" s="173">
        <v>1.4429000000000001</v>
      </c>
      <c r="F540" s="121">
        <v>0</v>
      </c>
      <c r="G540" s="121">
        <v>132505</v>
      </c>
    </row>
    <row r="541" spans="1:7">
      <c r="A541" s="122" t="s">
        <v>244</v>
      </c>
      <c r="B541" s="406" t="s">
        <v>2412</v>
      </c>
      <c r="C541" s="173">
        <v>1.37</v>
      </c>
      <c r="D541" s="173">
        <v>787.7</v>
      </c>
      <c r="E541" s="173">
        <v>1.5</v>
      </c>
      <c r="F541" s="121">
        <v>0</v>
      </c>
      <c r="G541" s="121">
        <v>41615</v>
      </c>
    </row>
    <row r="542" spans="1:7">
      <c r="A542" s="122" t="s">
        <v>1504</v>
      </c>
      <c r="B542" s="406" t="s">
        <v>1957</v>
      </c>
      <c r="C542" s="173">
        <v>1.37</v>
      </c>
      <c r="D542" s="173">
        <v>76.644000000000005</v>
      </c>
      <c r="E542" s="173">
        <v>1.5</v>
      </c>
      <c r="F542" s="121">
        <v>0</v>
      </c>
      <c r="G542" s="121">
        <v>8893</v>
      </c>
    </row>
    <row r="543" spans="1:7">
      <c r="A543" s="122" t="s">
        <v>223</v>
      </c>
      <c r="B543" s="406" t="s">
        <v>1201</v>
      </c>
      <c r="C543" s="173">
        <v>1.3479000000000001</v>
      </c>
      <c r="D543" s="173">
        <v>3103.2559999999999</v>
      </c>
      <c r="E543" s="173">
        <v>1.4750000000000001</v>
      </c>
      <c r="F543" s="121">
        <v>0</v>
      </c>
      <c r="G543" s="121">
        <v>377734</v>
      </c>
    </row>
    <row r="544" spans="1:7">
      <c r="A544" s="122" t="s">
        <v>2153</v>
      </c>
      <c r="B544" s="406" t="s">
        <v>1634</v>
      </c>
      <c r="C544" s="173">
        <v>1.37</v>
      </c>
      <c r="D544" s="173">
        <v>7575.87</v>
      </c>
      <c r="E544" s="173">
        <v>1.5</v>
      </c>
      <c r="F544" s="121">
        <v>0</v>
      </c>
      <c r="G544" s="121">
        <v>344893</v>
      </c>
    </row>
    <row r="545" spans="1:7">
      <c r="A545" s="122" t="s">
        <v>627</v>
      </c>
      <c r="B545" s="406" t="s">
        <v>1328</v>
      </c>
      <c r="C545" s="173">
        <v>1.37</v>
      </c>
      <c r="D545" s="173">
        <v>6001.86</v>
      </c>
      <c r="E545" s="173">
        <v>1.5</v>
      </c>
      <c r="F545" s="121">
        <v>0</v>
      </c>
      <c r="G545" s="121">
        <v>374668</v>
      </c>
    </row>
    <row r="546" spans="1:7">
      <c r="A546" s="122" t="s">
        <v>2037</v>
      </c>
      <c r="B546" s="406" t="s">
        <v>977</v>
      </c>
      <c r="C546" s="173">
        <v>1.37</v>
      </c>
      <c r="D546" s="173">
        <v>1062.654</v>
      </c>
      <c r="E546" s="173">
        <v>1.5</v>
      </c>
      <c r="F546" s="121">
        <v>0</v>
      </c>
      <c r="G546" s="121">
        <v>254385</v>
      </c>
    </row>
    <row r="547" spans="1:7">
      <c r="A547" s="122" t="s">
        <v>52</v>
      </c>
      <c r="B547" s="406" t="s">
        <v>447</v>
      </c>
      <c r="C547" s="173">
        <v>1.37</v>
      </c>
      <c r="D547" s="173">
        <v>4226.8729999999996</v>
      </c>
      <c r="E547" s="173">
        <v>1.5</v>
      </c>
      <c r="F547" s="121">
        <v>129821</v>
      </c>
      <c r="G547" s="121">
        <v>381009</v>
      </c>
    </row>
    <row r="548" spans="1:7">
      <c r="A548" s="122" t="s">
        <v>1505</v>
      </c>
      <c r="B548" s="406" t="s">
        <v>2314</v>
      </c>
      <c r="C548" s="173">
        <v>1.37</v>
      </c>
      <c r="D548" s="173">
        <v>762.47</v>
      </c>
      <c r="E548" s="173">
        <v>1.5</v>
      </c>
      <c r="F548" s="121">
        <v>0</v>
      </c>
      <c r="G548" s="121">
        <v>0</v>
      </c>
    </row>
    <row r="549" spans="1:7">
      <c r="A549" s="122" t="s">
        <v>2653</v>
      </c>
      <c r="B549" s="406" t="s">
        <v>3094</v>
      </c>
      <c r="C549" s="173">
        <v>1.37</v>
      </c>
      <c r="D549" s="173">
        <v>850.59100000000001</v>
      </c>
      <c r="E549" s="173">
        <v>1.5</v>
      </c>
      <c r="F549" s="121">
        <v>0</v>
      </c>
      <c r="G549" s="121">
        <v>55293</v>
      </c>
    </row>
    <row r="550" spans="1:7">
      <c r="A550" s="122" t="s">
        <v>283</v>
      </c>
      <c r="B550" s="406" t="s">
        <v>3040</v>
      </c>
      <c r="C550" s="173">
        <v>1.37</v>
      </c>
      <c r="D550" s="173">
        <v>1588.1659999999999</v>
      </c>
      <c r="E550" s="173">
        <v>1.5</v>
      </c>
      <c r="F550" s="121">
        <v>0</v>
      </c>
      <c r="G550" s="121">
        <v>330374</v>
      </c>
    </row>
    <row r="551" spans="1:7">
      <c r="A551" s="122" t="s">
        <v>1435</v>
      </c>
      <c r="B551" s="406" t="s">
        <v>2651</v>
      </c>
      <c r="C551" s="173">
        <v>1.212</v>
      </c>
      <c r="D551" s="173">
        <v>1319</v>
      </c>
      <c r="E551" s="173">
        <v>1.3223</v>
      </c>
      <c r="F551" s="121">
        <v>0</v>
      </c>
      <c r="G551" s="121">
        <v>106040</v>
      </c>
    </row>
    <row r="552" spans="1:7">
      <c r="A552" s="122" t="s">
        <v>2400</v>
      </c>
      <c r="B552" s="406" t="s">
        <v>2771</v>
      </c>
      <c r="C552" s="173">
        <v>1.37</v>
      </c>
      <c r="D552" s="173">
        <v>683.61199999999997</v>
      </c>
      <c r="E552" s="173">
        <v>1.5</v>
      </c>
      <c r="F552" s="121">
        <v>0</v>
      </c>
      <c r="G552" s="121">
        <v>45117</v>
      </c>
    </row>
    <row r="553" spans="1:7">
      <c r="A553" s="122" t="s">
        <v>1506</v>
      </c>
      <c r="B553" s="406" t="s">
        <v>2315</v>
      </c>
      <c r="C553" s="173">
        <v>1.37</v>
      </c>
      <c r="D553" s="173">
        <v>461.40600000000001</v>
      </c>
      <c r="E553" s="173">
        <v>1.5</v>
      </c>
      <c r="F553" s="121">
        <v>0</v>
      </c>
      <c r="G553" s="121">
        <v>13748</v>
      </c>
    </row>
    <row r="554" spans="1:7">
      <c r="A554" s="122" t="s">
        <v>2128</v>
      </c>
      <c r="B554" s="406" t="s">
        <v>937</v>
      </c>
      <c r="C554" s="173">
        <v>1.37</v>
      </c>
      <c r="D554" s="173">
        <v>691.58900000000006</v>
      </c>
      <c r="E554" s="173">
        <v>1.5</v>
      </c>
      <c r="F554" s="121">
        <v>0</v>
      </c>
      <c r="G554" s="121">
        <v>45504</v>
      </c>
    </row>
    <row r="555" spans="1:7">
      <c r="A555" s="122" t="s">
        <v>2870</v>
      </c>
      <c r="B555" s="406" t="s">
        <v>165</v>
      </c>
      <c r="C555" s="173">
        <v>1.37</v>
      </c>
      <c r="D555" s="173">
        <v>117.765</v>
      </c>
      <c r="E555" s="173">
        <v>1.5</v>
      </c>
      <c r="F555" s="121">
        <v>0</v>
      </c>
      <c r="G555" s="121">
        <v>22820</v>
      </c>
    </row>
    <row r="556" spans="1:7">
      <c r="A556" s="122" t="s">
        <v>288</v>
      </c>
      <c r="B556" s="406" t="s">
        <v>2213</v>
      </c>
      <c r="C556" s="173">
        <v>1.37</v>
      </c>
      <c r="D556" s="173">
        <v>625.28499999999997</v>
      </c>
      <c r="E556" s="173">
        <v>1.5</v>
      </c>
      <c r="F556" s="121">
        <v>0</v>
      </c>
      <c r="G556" s="121">
        <v>50301</v>
      </c>
    </row>
    <row r="557" spans="1:7">
      <c r="A557" s="122" t="s">
        <v>54</v>
      </c>
      <c r="B557" s="406" t="s">
        <v>449</v>
      </c>
      <c r="C557" s="173">
        <v>1.2897000000000001</v>
      </c>
      <c r="D557" s="173">
        <v>922.28200000000004</v>
      </c>
      <c r="E557" s="173">
        <v>1.4094</v>
      </c>
      <c r="F557" s="121">
        <v>0</v>
      </c>
      <c r="G557" s="121">
        <v>90239</v>
      </c>
    </row>
    <row r="558" spans="1:7">
      <c r="A558" s="122" t="s">
        <v>2871</v>
      </c>
      <c r="B558" s="406" t="s">
        <v>454</v>
      </c>
      <c r="C558" s="173">
        <v>1.37</v>
      </c>
      <c r="D558" s="173">
        <v>722.90599999999995</v>
      </c>
      <c r="E558" s="173">
        <v>1.5</v>
      </c>
      <c r="F558" s="121">
        <v>0</v>
      </c>
      <c r="G558" s="121">
        <v>41367</v>
      </c>
    </row>
    <row r="559" spans="1:7">
      <c r="A559" s="122" t="s">
        <v>1317</v>
      </c>
      <c r="B559" s="406" t="s">
        <v>2316</v>
      </c>
      <c r="C559" s="173">
        <v>1.37</v>
      </c>
      <c r="D559" s="173">
        <v>276.31400000000002</v>
      </c>
      <c r="E559" s="173">
        <v>1.5</v>
      </c>
      <c r="F559" s="121">
        <v>0</v>
      </c>
      <c r="G559" s="121">
        <v>8630</v>
      </c>
    </row>
    <row r="560" spans="1:7">
      <c r="A560" s="122" t="s">
        <v>1899</v>
      </c>
      <c r="B560" s="406" t="s">
        <v>1005</v>
      </c>
      <c r="C560" s="173">
        <v>1.37</v>
      </c>
      <c r="D560" s="173">
        <v>321.60399999999998</v>
      </c>
      <c r="E560" s="173">
        <v>1.5</v>
      </c>
      <c r="F560" s="121">
        <v>0</v>
      </c>
      <c r="G560" s="121">
        <v>38722</v>
      </c>
    </row>
    <row r="561" spans="1:7">
      <c r="A561" s="122" t="s">
        <v>2757</v>
      </c>
      <c r="B561" s="406" t="s">
        <v>456</v>
      </c>
      <c r="C561" s="173">
        <v>1.37</v>
      </c>
      <c r="D561" s="173">
        <v>1962.057</v>
      </c>
      <c r="E561" s="173">
        <v>1.5</v>
      </c>
      <c r="F561" s="121">
        <v>0</v>
      </c>
      <c r="G561" s="121">
        <v>126115</v>
      </c>
    </row>
    <row r="562" spans="1:7">
      <c r="A562" s="122" t="s">
        <v>1515</v>
      </c>
      <c r="B562" s="406" t="s">
        <v>132</v>
      </c>
      <c r="C562" s="173">
        <v>1.3346</v>
      </c>
      <c r="D562" s="173">
        <v>5039.3670000000002</v>
      </c>
      <c r="E562" s="173">
        <v>1.46</v>
      </c>
      <c r="F562" s="121">
        <v>41079</v>
      </c>
      <c r="G562" s="121">
        <v>319123</v>
      </c>
    </row>
    <row r="563" spans="1:7">
      <c r="A563" s="122" t="s">
        <v>56</v>
      </c>
      <c r="B563" s="406" t="s">
        <v>451</v>
      </c>
      <c r="C563" s="173">
        <v>1.37</v>
      </c>
      <c r="D563" s="173">
        <v>3261.2159999999999</v>
      </c>
      <c r="E563" s="173">
        <v>1.5</v>
      </c>
      <c r="F563" s="121">
        <v>0</v>
      </c>
      <c r="G563" s="121">
        <v>348029</v>
      </c>
    </row>
    <row r="564" spans="1:7">
      <c r="A564" s="122" t="s">
        <v>58</v>
      </c>
      <c r="B564" s="406" t="s">
        <v>453</v>
      </c>
      <c r="C564" s="173">
        <v>1.3701000000000001</v>
      </c>
      <c r="D564" s="173">
        <v>1571.6949999999999</v>
      </c>
      <c r="E564" s="173">
        <v>1.5</v>
      </c>
      <c r="F564" s="121">
        <v>0</v>
      </c>
      <c r="G564" s="121">
        <v>233135</v>
      </c>
    </row>
    <row r="565" spans="1:7">
      <c r="A565" s="122" t="s">
        <v>2923</v>
      </c>
      <c r="B565" s="406" t="s">
        <v>2317</v>
      </c>
      <c r="C565" s="173">
        <v>1.3340000000000001</v>
      </c>
      <c r="D565" s="173">
        <v>3014.232</v>
      </c>
      <c r="E565" s="173">
        <v>1.46</v>
      </c>
      <c r="F565" s="121">
        <v>5150</v>
      </c>
      <c r="G565" s="121">
        <v>339792</v>
      </c>
    </row>
    <row r="566" spans="1:7">
      <c r="A566" s="122" t="s">
        <v>2924</v>
      </c>
      <c r="B566" s="406" t="s">
        <v>2318</v>
      </c>
      <c r="C566" s="173">
        <v>1.37</v>
      </c>
      <c r="D566" s="173">
        <v>4056.5970000000002</v>
      </c>
      <c r="E566" s="173">
        <v>1.5</v>
      </c>
      <c r="F566" s="121">
        <v>0</v>
      </c>
      <c r="G566" s="121">
        <v>504984</v>
      </c>
    </row>
    <row r="567" spans="1:7">
      <c r="A567" s="122" t="s">
        <v>536</v>
      </c>
      <c r="B567" s="406" t="s">
        <v>1415</v>
      </c>
      <c r="C567" s="173">
        <v>1.37</v>
      </c>
      <c r="D567" s="173">
        <v>844.57899999999995</v>
      </c>
      <c r="E567" s="173">
        <v>1.5</v>
      </c>
      <c r="F567" s="121">
        <v>30940</v>
      </c>
      <c r="G567" s="121">
        <v>93650</v>
      </c>
    </row>
    <row r="568" spans="1:7">
      <c r="A568" s="122" t="s">
        <v>2925</v>
      </c>
      <c r="B568" s="406" t="s">
        <v>2319</v>
      </c>
      <c r="C568" s="173">
        <v>1.33</v>
      </c>
      <c r="D568" s="173">
        <v>5727.8059999999996</v>
      </c>
      <c r="E568" s="173">
        <v>1.46</v>
      </c>
      <c r="F568" s="121">
        <v>0</v>
      </c>
      <c r="G568" s="121">
        <v>564269</v>
      </c>
    </row>
    <row r="569" spans="1:7">
      <c r="A569" s="122" t="s">
        <v>1732</v>
      </c>
      <c r="B569" s="406" t="s">
        <v>2320</v>
      </c>
      <c r="C569" s="173">
        <v>1.2450000000000001</v>
      </c>
      <c r="D569" s="173">
        <v>1147.9000000000001</v>
      </c>
      <c r="E569" s="173">
        <v>1.36</v>
      </c>
      <c r="F569" s="121">
        <v>0</v>
      </c>
      <c r="G569" s="121">
        <v>129043</v>
      </c>
    </row>
    <row r="570" spans="1:7">
      <c r="A570" s="122" t="s">
        <v>3088</v>
      </c>
      <c r="B570" s="406" t="s">
        <v>2321</v>
      </c>
      <c r="C570" s="173">
        <v>1.37</v>
      </c>
      <c r="D570" s="173">
        <v>67.159000000000006</v>
      </c>
      <c r="E570" s="173">
        <v>1.5</v>
      </c>
      <c r="F570" s="121">
        <v>0</v>
      </c>
      <c r="G570" s="121">
        <v>0</v>
      </c>
    </row>
    <row r="571" spans="1:7">
      <c r="A571" s="122" t="s">
        <v>2649</v>
      </c>
      <c r="B571" s="406" t="s">
        <v>2322</v>
      </c>
      <c r="C571" s="173">
        <v>1.3257000000000001</v>
      </c>
      <c r="D571" s="173">
        <v>117.30500000000001</v>
      </c>
      <c r="E571" s="173">
        <v>1.45</v>
      </c>
      <c r="F571" s="121">
        <v>0</v>
      </c>
      <c r="G571" s="121">
        <v>26515</v>
      </c>
    </row>
    <row r="572" spans="1:7">
      <c r="A572" s="122" t="s">
        <v>1734</v>
      </c>
      <c r="B572" s="406" t="s">
        <v>734</v>
      </c>
      <c r="C572" s="173">
        <v>1.325</v>
      </c>
      <c r="D572" s="173">
        <v>529.47199999999998</v>
      </c>
      <c r="E572" s="173">
        <v>1.45</v>
      </c>
      <c r="F572" s="121">
        <v>0</v>
      </c>
      <c r="G572" s="121">
        <v>62114</v>
      </c>
    </row>
    <row r="573" spans="1:7">
      <c r="A573" s="122" t="s">
        <v>2913</v>
      </c>
      <c r="B573" s="406" t="s">
        <v>2323</v>
      </c>
      <c r="C573" s="173">
        <v>1.35</v>
      </c>
      <c r="D573" s="173">
        <v>193.172</v>
      </c>
      <c r="E573" s="173">
        <v>1.48</v>
      </c>
      <c r="F573" s="121">
        <v>0</v>
      </c>
      <c r="G573" s="121">
        <v>25566</v>
      </c>
    </row>
    <row r="574" spans="1:7">
      <c r="A574" s="122" t="s">
        <v>2914</v>
      </c>
      <c r="B574" s="406" t="s">
        <v>2324</v>
      </c>
      <c r="C574" s="173">
        <v>1.32</v>
      </c>
      <c r="D574" s="173">
        <v>4459.4539999999997</v>
      </c>
      <c r="E574" s="173">
        <v>1.49</v>
      </c>
      <c r="F574" s="121">
        <v>0</v>
      </c>
      <c r="G574" s="121">
        <v>262889</v>
      </c>
    </row>
    <row r="575" spans="1:7">
      <c r="A575" s="122" t="s">
        <v>529</v>
      </c>
      <c r="B575" s="406" t="s">
        <v>2325</v>
      </c>
      <c r="C575" s="173">
        <v>1.37</v>
      </c>
      <c r="D575" s="173">
        <v>1359.4570000000001</v>
      </c>
      <c r="E575" s="173">
        <v>1.5</v>
      </c>
      <c r="F575" s="121">
        <v>0</v>
      </c>
      <c r="G575" s="121">
        <v>87768</v>
      </c>
    </row>
    <row r="576" spans="1:7">
      <c r="A576" s="122" t="s">
        <v>2601</v>
      </c>
      <c r="B576" s="406" t="s">
        <v>2326</v>
      </c>
      <c r="C576" s="173">
        <v>0.90800000000000003</v>
      </c>
      <c r="D576" s="173">
        <v>17.425999999999998</v>
      </c>
      <c r="E576" s="173">
        <v>0.90800000000000003</v>
      </c>
      <c r="F576" s="121">
        <v>0</v>
      </c>
      <c r="G576" s="121">
        <v>0</v>
      </c>
    </row>
    <row r="577" spans="1:7">
      <c r="A577" s="122" t="s">
        <v>2602</v>
      </c>
      <c r="B577" s="406" t="s">
        <v>2327</v>
      </c>
      <c r="C577" s="173">
        <v>1.21</v>
      </c>
      <c r="D577" s="173">
        <v>666.28499999999997</v>
      </c>
      <c r="E577" s="173">
        <v>1.43</v>
      </c>
      <c r="F577" s="121">
        <v>0</v>
      </c>
      <c r="G577" s="121">
        <v>81204</v>
      </c>
    </row>
    <row r="578" spans="1:7">
      <c r="A578" s="122" t="s">
        <v>1727</v>
      </c>
      <c r="B578" s="406" t="s">
        <v>2328</v>
      </c>
      <c r="C578" s="173">
        <v>1.29</v>
      </c>
      <c r="D578" s="173">
        <v>92.926000000000002</v>
      </c>
      <c r="E578" s="173">
        <v>1.41</v>
      </c>
      <c r="F578" s="121">
        <v>0</v>
      </c>
      <c r="G578" s="121">
        <v>0</v>
      </c>
    </row>
    <row r="579" spans="1:7">
      <c r="A579" s="122" t="s">
        <v>1728</v>
      </c>
      <c r="B579" s="406" t="s">
        <v>2329</v>
      </c>
      <c r="C579" s="173">
        <v>1.19</v>
      </c>
      <c r="D579" s="173">
        <v>594.72799999999995</v>
      </c>
      <c r="E579" s="173">
        <v>1.2975000000000001</v>
      </c>
      <c r="F579" s="121">
        <v>0</v>
      </c>
      <c r="G579" s="121">
        <v>66458</v>
      </c>
    </row>
    <row r="580" spans="1:7">
      <c r="A580" s="122" t="s">
        <v>2872</v>
      </c>
      <c r="B580" s="406" t="s">
        <v>2295</v>
      </c>
      <c r="C580" s="173">
        <v>1.37</v>
      </c>
      <c r="D580" s="173">
        <v>3821.7759999999998</v>
      </c>
      <c r="E580" s="173">
        <v>1.5</v>
      </c>
      <c r="F580" s="121">
        <v>129775</v>
      </c>
      <c r="G580" s="121">
        <v>132625</v>
      </c>
    </row>
    <row r="581" spans="1:7">
      <c r="A581" s="122" t="s">
        <v>429</v>
      </c>
      <c r="B581" s="406" t="s">
        <v>2330</v>
      </c>
      <c r="C581" s="173">
        <v>1.2809999999999999</v>
      </c>
      <c r="D581" s="173">
        <v>532.80499999999995</v>
      </c>
      <c r="E581" s="173">
        <v>1.4</v>
      </c>
      <c r="F581" s="121">
        <v>0</v>
      </c>
      <c r="G581" s="121">
        <v>82323</v>
      </c>
    </row>
    <row r="582" spans="1:7">
      <c r="A582" s="122" t="s">
        <v>430</v>
      </c>
      <c r="B582" s="406" t="s">
        <v>2331</v>
      </c>
      <c r="C582" s="173">
        <v>1.37</v>
      </c>
      <c r="D582" s="173">
        <v>466.17500000000001</v>
      </c>
      <c r="E582" s="173">
        <v>1.5</v>
      </c>
      <c r="F582" s="121">
        <v>0</v>
      </c>
      <c r="G582" s="121">
        <v>18192</v>
      </c>
    </row>
    <row r="583" spans="1:7">
      <c r="A583" s="122" t="s">
        <v>431</v>
      </c>
      <c r="B583" s="406" t="s">
        <v>2332</v>
      </c>
      <c r="C583" s="173">
        <v>1.37</v>
      </c>
      <c r="D583" s="173">
        <v>300.12900000000002</v>
      </c>
      <c r="E583" s="173">
        <v>1.5</v>
      </c>
      <c r="F583" s="121">
        <v>0</v>
      </c>
      <c r="G583" s="121">
        <v>0</v>
      </c>
    </row>
    <row r="584" spans="1:7">
      <c r="A584" s="122" t="s">
        <v>2873</v>
      </c>
      <c r="B584" s="406" t="s">
        <v>1904</v>
      </c>
      <c r="C584" s="173">
        <v>1.37</v>
      </c>
      <c r="D584" s="173">
        <v>270.31599999999997</v>
      </c>
      <c r="E584" s="173">
        <v>1.5</v>
      </c>
      <c r="F584" s="121">
        <v>0</v>
      </c>
      <c r="G584" s="121">
        <v>11960</v>
      </c>
    </row>
    <row r="585" spans="1:7">
      <c r="A585" s="122" t="s">
        <v>270</v>
      </c>
      <c r="B585" s="406" t="s">
        <v>2333</v>
      </c>
      <c r="C585" s="173">
        <v>1.37</v>
      </c>
      <c r="D585" s="173">
        <v>414.52699999999999</v>
      </c>
      <c r="E585" s="173">
        <v>1.5</v>
      </c>
      <c r="F585" s="121">
        <v>0</v>
      </c>
      <c r="G585" s="121">
        <v>37682</v>
      </c>
    </row>
    <row r="586" spans="1:7">
      <c r="A586" s="122" t="s">
        <v>271</v>
      </c>
      <c r="B586" s="406" t="s">
        <v>2334</v>
      </c>
      <c r="C586" s="173">
        <v>1.37</v>
      </c>
      <c r="D586" s="173">
        <v>76.313999999999993</v>
      </c>
      <c r="E586" s="173">
        <v>1.5</v>
      </c>
      <c r="F586" s="121">
        <v>0</v>
      </c>
      <c r="G586" s="121">
        <v>12852</v>
      </c>
    </row>
    <row r="587" spans="1:7">
      <c r="A587" s="122" t="s">
        <v>272</v>
      </c>
      <c r="B587" s="406" t="s">
        <v>2335</v>
      </c>
      <c r="C587" s="173">
        <v>1.37</v>
      </c>
      <c r="D587" s="173">
        <v>829.82100000000003</v>
      </c>
      <c r="E587" s="173">
        <v>1.5</v>
      </c>
      <c r="F587" s="121">
        <v>0</v>
      </c>
      <c r="G587" s="121">
        <v>95546</v>
      </c>
    </row>
    <row r="588" spans="1:7">
      <c r="A588" s="122" t="s">
        <v>2654</v>
      </c>
      <c r="B588" s="406" t="s">
        <v>667</v>
      </c>
      <c r="C588" s="173">
        <v>1.37</v>
      </c>
      <c r="D588" s="173">
        <v>215.87799999999999</v>
      </c>
      <c r="E588" s="173">
        <v>1.5</v>
      </c>
      <c r="F588" s="121">
        <v>0</v>
      </c>
      <c r="G588" s="121">
        <v>20123</v>
      </c>
    </row>
    <row r="589" spans="1:7">
      <c r="A589" s="122" t="s">
        <v>2303</v>
      </c>
      <c r="B589" s="406" t="s">
        <v>226</v>
      </c>
      <c r="C589" s="173">
        <v>1.37</v>
      </c>
      <c r="D589" s="173">
        <v>3590.058</v>
      </c>
      <c r="E589" s="173">
        <v>1.5</v>
      </c>
      <c r="F589" s="121">
        <v>0</v>
      </c>
      <c r="G589" s="121">
        <v>218564</v>
      </c>
    </row>
    <row r="590" spans="1:7">
      <c r="A590" s="122" t="s">
        <v>2370</v>
      </c>
      <c r="B590" s="406" t="s">
        <v>2786</v>
      </c>
      <c r="C590" s="173">
        <v>1.3337000000000001</v>
      </c>
      <c r="D590" s="173">
        <v>3019.9879999999998</v>
      </c>
      <c r="E590" s="173">
        <v>1.4591000000000001</v>
      </c>
      <c r="F590" s="121">
        <v>0</v>
      </c>
      <c r="G590" s="121">
        <v>459109</v>
      </c>
    </row>
    <row r="591" spans="1:7">
      <c r="A591" s="122" t="s">
        <v>2874</v>
      </c>
      <c r="B591" s="406" t="s">
        <v>2411</v>
      </c>
      <c r="C591" s="173">
        <v>1.3433999999999999</v>
      </c>
      <c r="D591" s="173">
        <v>1021.172</v>
      </c>
      <c r="E591" s="173">
        <v>1.47</v>
      </c>
      <c r="F591" s="121">
        <v>40756</v>
      </c>
      <c r="G591" s="121">
        <v>137180</v>
      </c>
    </row>
    <row r="592" spans="1:7">
      <c r="A592" s="122" t="s">
        <v>1754</v>
      </c>
      <c r="B592" s="406" t="s">
        <v>2787</v>
      </c>
      <c r="C592" s="173">
        <v>1.37</v>
      </c>
      <c r="D592" s="173">
        <v>186.21100000000001</v>
      </c>
      <c r="E592" s="173">
        <v>1.5</v>
      </c>
      <c r="F592" s="121">
        <v>0</v>
      </c>
      <c r="G592" s="121">
        <v>23961</v>
      </c>
    </row>
    <row r="593" spans="1:7">
      <c r="A593" s="122" t="s">
        <v>1755</v>
      </c>
      <c r="B593" s="406" t="s">
        <v>1064</v>
      </c>
      <c r="C593" s="173">
        <v>1.2589999999999999</v>
      </c>
      <c r="D593" s="173">
        <v>1374.1289999999999</v>
      </c>
      <c r="E593" s="173">
        <v>1.375</v>
      </c>
      <c r="F593" s="121">
        <v>0</v>
      </c>
      <c r="G593" s="121">
        <v>74389</v>
      </c>
    </row>
    <row r="594" spans="1:7">
      <c r="A594" s="122" t="s">
        <v>1592</v>
      </c>
      <c r="B594" s="406" t="s">
        <v>934</v>
      </c>
      <c r="C594" s="173">
        <v>1.37</v>
      </c>
      <c r="D594" s="173">
        <v>658.72500000000002</v>
      </c>
      <c r="E594" s="173">
        <v>1.5</v>
      </c>
      <c r="F594" s="121">
        <v>0</v>
      </c>
      <c r="G594" s="121">
        <v>39585</v>
      </c>
    </row>
    <row r="595" spans="1:7">
      <c r="A595" s="122" t="s">
        <v>2461</v>
      </c>
      <c r="B595" s="406" t="s">
        <v>1065</v>
      </c>
      <c r="C595" s="173" t="s">
        <v>1066</v>
      </c>
      <c r="D595" s="173">
        <v>105.417</v>
      </c>
      <c r="E595" s="173">
        <v>1.5</v>
      </c>
      <c r="F595" s="121">
        <v>0</v>
      </c>
      <c r="G595" s="121">
        <v>2558</v>
      </c>
    </row>
    <row r="596" spans="1:7">
      <c r="A596" s="122" t="s">
        <v>2584</v>
      </c>
      <c r="B596" s="406" t="s">
        <v>1067</v>
      </c>
      <c r="C596" s="173">
        <v>1.3523000000000001</v>
      </c>
      <c r="D596" s="173">
        <v>362.392</v>
      </c>
      <c r="E596" s="173">
        <v>1.48</v>
      </c>
      <c r="F596" s="121">
        <v>0</v>
      </c>
      <c r="G596" s="121">
        <v>98688</v>
      </c>
    </row>
    <row r="597" spans="1:7">
      <c r="A597" s="122" t="s">
        <v>2585</v>
      </c>
      <c r="B597" s="406" t="s">
        <v>1068</v>
      </c>
      <c r="C597" s="173">
        <v>1.1634</v>
      </c>
      <c r="D597" s="173">
        <v>350.74599999999998</v>
      </c>
      <c r="E597" s="173">
        <v>1.2669999999999999</v>
      </c>
      <c r="F597" s="121">
        <v>0</v>
      </c>
      <c r="G597" s="121">
        <v>58298</v>
      </c>
    </row>
    <row r="598" spans="1:7">
      <c r="A598" s="122" t="s">
        <v>2586</v>
      </c>
      <c r="B598" s="406" t="s">
        <v>1069</v>
      </c>
      <c r="C598" s="173">
        <v>1.3218000000000001</v>
      </c>
      <c r="D598" s="173">
        <v>3127.962</v>
      </c>
      <c r="E598" s="173">
        <v>1.45</v>
      </c>
      <c r="F598" s="121">
        <v>0</v>
      </c>
      <c r="G598" s="121">
        <v>432443</v>
      </c>
    </row>
    <row r="599" spans="1:7">
      <c r="A599" s="122" t="s">
        <v>2587</v>
      </c>
      <c r="B599" s="406" t="s">
        <v>1070</v>
      </c>
      <c r="C599" s="173">
        <v>1.3257000000000001</v>
      </c>
      <c r="D599" s="173">
        <v>293.90499999999997</v>
      </c>
      <c r="E599" s="173">
        <v>1.45</v>
      </c>
      <c r="F599" s="121">
        <v>0</v>
      </c>
      <c r="G599" s="121">
        <v>13625</v>
      </c>
    </row>
    <row r="600" spans="1:7">
      <c r="A600" s="122" t="s">
        <v>2755</v>
      </c>
      <c r="B600" s="406" t="s">
        <v>1258</v>
      </c>
      <c r="C600" s="173">
        <v>1.5</v>
      </c>
      <c r="D600" s="173">
        <v>1123.723</v>
      </c>
      <c r="E600" s="173">
        <v>1.5</v>
      </c>
      <c r="F600" s="121">
        <v>0</v>
      </c>
      <c r="G600" s="121">
        <v>0</v>
      </c>
    </row>
    <row r="601" spans="1:7">
      <c r="A601" s="122" t="s">
        <v>2588</v>
      </c>
      <c r="B601" s="406" t="s">
        <v>1071</v>
      </c>
      <c r="C601" s="173">
        <v>1.2370000000000001</v>
      </c>
      <c r="D601" s="173">
        <v>910.10599999999999</v>
      </c>
      <c r="E601" s="173">
        <v>1.35</v>
      </c>
      <c r="F601" s="121">
        <v>0</v>
      </c>
      <c r="G601" s="121">
        <v>167893</v>
      </c>
    </row>
    <row r="602" spans="1:7">
      <c r="A602" s="122" t="s">
        <v>2589</v>
      </c>
      <c r="B602" s="406" t="s">
        <v>1072</v>
      </c>
      <c r="C602" s="173">
        <v>1.2989999999999999</v>
      </c>
      <c r="D602" s="173">
        <v>298.36200000000002</v>
      </c>
      <c r="E602" s="173">
        <v>1.42</v>
      </c>
      <c r="F602" s="121">
        <v>0</v>
      </c>
      <c r="G602" s="121">
        <v>0</v>
      </c>
    </row>
    <row r="603" spans="1:7">
      <c r="A603" s="122" t="s">
        <v>2590</v>
      </c>
      <c r="B603" s="406" t="s">
        <v>1073</v>
      </c>
      <c r="C603" s="173">
        <v>1.37</v>
      </c>
      <c r="D603" s="173">
        <v>509.762</v>
      </c>
      <c r="E603" s="173">
        <v>1.5</v>
      </c>
      <c r="F603" s="121">
        <v>0</v>
      </c>
      <c r="G603" s="121">
        <v>47741</v>
      </c>
    </row>
    <row r="604" spans="1:7">
      <c r="A604" s="122" t="s">
        <v>2591</v>
      </c>
      <c r="B604" s="406" t="s">
        <v>1074</v>
      </c>
      <c r="C604" s="173">
        <v>1.17</v>
      </c>
      <c r="D604" s="173">
        <v>92.866</v>
      </c>
      <c r="E604" s="173">
        <v>1.28</v>
      </c>
      <c r="F604" s="121">
        <v>0</v>
      </c>
      <c r="G604" s="121">
        <v>13225</v>
      </c>
    </row>
    <row r="605" spans="1:7">
      <c r="A605" s="122" t="s">
        <v>2592</v>
      </c>
      <c r="B605" s="406" t="s">
        <v>1075</v>
      </c>
      <c r="C605" s="173">
        <v>1.3523000000000001</v>
      </c>
      <c r="D605" s="173">
        <v>92.344999999999999</v>
      </c>
      <c r="E605" s="173">
        <v>1.48</v>
      </c>
      <c r="F605" s="121">
        <v>0</v>
      </c>
      <c r="G605" s="121">
        <v>12634</v>
      </c>
    </row>
    <row r="606" spans="1:7">
      <c r="A606" s="122" t="s">
        <v>2981</v>
      </c>
      <c r="B606" s="406" t="s">
        <v>1076</v>
      </c>
      <c r="C606" s="173">
        <v>1.2370000000000001</v>
      </c>
      <c r="D606" s="173">
        <v>72.417000000000002</v>
      </c>
      <c r="E606" s="173">
        <v>1.35</v>
      </c>
      <c r="F606" s="121">
        <v>0</v>
      </c>
      <c r="G606" s="121">
        <v>31359</v>
      </c>
    </row>
    <row r="607" spans="1:7">
      <c r="A607" s="122" t="s">
        <v>2982</v>
      </c>
      <c r="B607" s="406" t="s">
        <v>1077</v>
      </c>
      <c r="C607" s="173">
        <v>1.37</v>
      </c>
      <c r="D607" s="173">
        <v>1699.028</v>
      </c>
      <c r="E607" s="173">
        <v>1.5</v>
      </c>
      <c r="F607" s="121">
        <v>0</v>
      </c>
      <c r="G607" s="121">
        <v>142221</v>
      </c>
    </row>
    <row r="608" spans="1:7">
      <c r="A608" s="122" t="s">
        <v>2983</v>
      </c>
      <c r="B608" s="406" t="s">
        <v>1078</v>
      </c>
      <c r="C608" s="173">
        <v>1.3426</v>
      </c>
      <c r="D608" s="173">
        <v>912.73</v>
      </c>
      <c r="E608" s="173">
        <v>1.4691000000000001</v>
      </c>
      <c r="F608" s="121">
        <v>0</v>
      </c>
      <c r="G608" s="121">
        <v>137150</v>
      </c>
    </row>
    <row r="609" spans="1:7">
      <c r="A609" s="122" t="s">
        <v>2984</v>
      </c>
      <c r="B609" s="406" t="s">
        <v>1079</v>
      </c>
      <c r="C609" s="173">
        <v>1.3560000000000001</v>
      </c>
      <c r="D609" s="173">
        <v>183.63800000000001</v>
      </c>
      <c r="E609" s="173">
        <v>1.4842</v>
      </c>
      <c r="F609" s="121">
        <v>0</v>
      </c>
      <c r="G609" s="121">
        <v>23011</v>
      </c>
    </row>
    <row r="610" spans="1:7">
      <c r="A610" s="122" t="s">
        <v>2985</v>
      </c>
      <c r="B610" s="406" t="s">
        <v>1080</v>
      </c>
      <c r="C610" s="173">
        <v>1.3479000000000001</v>
      </c>
      <c r="D610" s="173">
        <v>735.31299999999999</v>
      </c>
      <c r="E610" s="173">
        <v>1.4750000000000001</v>
      </c>
      <c r="F610" s="121">
        <v>0</v>
      </c>
      <c r="G610" s="121">
        <v>76201</v>
      </c>
    </row>
    <row r="611" spans="1:7">
      <c r="A611" s="122" t="s">
        <v>1561</v>
      </c>
      <c r="B611" s="406" t="s">
        <v>2081</v>
      </c>
      <c r="C611" s="173">
        <v>1.37</v>
      </c>
      <c r="D611" s="173">
        <v>669.40599999999995</v>
      </c>
      <c r="E611" s="173">
        <v>1.5</v>
      </c>
      <c r="F611" s="121">
        <v>0</v>
      </c>
      <c r="G611" s="121">
        <v>130267</v>
      </c>
    </row>
    <row r="612" spans="1:7">
      <c r="A612" s="122" t="s">
        <v>1562</v>
      </c>
      <c r="B612" s="406" t="s">
        <v>2082</v>
      </c>
      <c r="C612" s="173">
        <v>1.37</v>
      </c>
      <c r="D612" s="173">
        <v>506.04599999999999</v>
      </c>
      <c r="E612" s="173">
        <v>1.5</v>
      </c>
      <c r="F612" s="121">
        <v>0</v>
      </c>
      <c r="G612" s="121">
        <v>46690</v>
      </c>
    </row>
    <row r="613" spans="1:7">
      <c r="A613" s="122" t="s">
        <v>2783</v>
      </c>
      <c r="B613" s="406" t="s">
        <v>2083</v>
      </c>
      <c r="C613" s="173">
        <v>1.3701000000000001</v>
      </c>
      <c r="D613" s="173">
        <v>223.78200000000001</v>
      </c>
      <c r="E613" s="173">
        <v>1.5</v>
      </c>
      <c r="F613" s="121">
        <v>0</v>
      </c>
      <c r="G613" s="121">
        <v>64456</v>
      </c>
    </row>
    <row r="614" spans="1:7">
      <c r="A614" s="122" t="s">
        <v>2421</v>
      </c>
      <c r="B614" s="406" t="s">
        <v>2282</v>
      </c>
      <c r="C614" s="173">
        <v>1.1297999999999999</v>
      </c>
      <c r="D614" s="173">
        <v>662.98099999999999</v>
      </c>
      <c r="E614" s="173">
        <v>1.2291000000000001</v>
      </c>
      <c r="F614" s="121">
        <v>0</v>
      </c>
      <c r="G614" s="121">
        <v>135994</v>
      </c>
    </row>
    <row r="615" spans="1:7">
      <c r="A615" s="122" t="s">
        <v>3029</v>
      </c>
      <c r="B615" s="406" t="s">
        <v>1329</v>
      </c>
      <c r="C615" s="173">
        <v>1.31</v>
      </c>
      <c r="D615" s="173">
        <v>3189.9479999999999</v>
      </c>
      <c r="E615" s="173">
        <v>1.44</v>
      </c>
      <c r="F615" s="121">
        <v>0</v>
      </c>
      <c r="G615" s="121">
        <v>401728</v>
      </c>
    </row>
    <row r="616" spans="1:7">
      <c r="A616" s="122" t="s">
        <v>2762</v>
      </c>
      <c r="B616" s="406" t="s">
        <v>3061</v>
      </c>
      <c r="C616" s="173">
        <v>1.37</v>
      </c>
      <c r="D616" s="173">
        <v>4577.9740000000002</v>
      </c>
      <c r="E616" s="173">
        <v>1.5</v>
      </c>
      <c r="F616" s="121">
        <v>0</v>
      </c>
      <c r="G616" s="121">
        <v>661758</v>
      </c>
    </row>
    <row r="617" spans="1:7">
      <c r="A617" s="122" t="s">
        <v>2422</v>
      </c>
      <c r="B617" s="406" t="s">
        <v>2283</v>
      </c>
      <c r="C617" s="173">
        <v>1.264</v>
      </c>
      <c r="D617" s="173">
        <v>136.85900000000001</v>
      </c>
      <c r="E617" s="173">
        <v>1.38</v>
      </c>
      <c r="F617" s="121">
        <v>0</v>
      </c>
      <c r="G617" s="121">
        <v>28543</v>
      </c>
    </row>
    <row r="618" spans="1:7">
      <c r="A618" s="122" t="s">
        <v>2875</v>
      </c>
      <c r="B618" s="406" t="s">
        <v>1951</v>
      </c>
      <c r="C618" s="173">
        <v>1.3327</v>
      </c>
      <c r="D618" s="173">
        <v>1174.6769999999999</v>
      </c>
      <c r="E618" s="173">
        <v>1.4579</v>
      </c>
      <c r="F618" s="121">
        <v>0</v>
      </c>
      <c r="G618" s="121">
        <v>182360</v>
      </c>
    </row>
    <row r="619" spans="1:7">
      <c r="A619" s="122" t="s">
        <v>1277</v>
      </c>
      <c r="B619" s="406" t="s">
        <v>2735</v>
      </c>
      <c r="C619" s="173">
        <v>1.37</v>
      </c>
      <c r="D619" s="173">
        <v>566.12</v>
      </c>
      <c r="E619" s="173">
        <v>1.5</v>
      </c>
      <c r="F619" s="121">
        <v>0</v>
      </c>
      <c r="G619" s="121">
        <v>86259</v>
      </c>
    </row>
    <row r="620" spans="1:7">
      <c r="A620" s="122" t="s">
        <v>2423</v>
      </c>
      <c r="B620" s="406" t="s">
        <v>590</v>
      </c>
      <c r="C620" s="173">
        <v>1.37</v>
      </c>
      <c r="D620" s="173">
        <v>2097.5970000000002</v>
      </c>
      <c r="E620" s="173">
        <v>1.5</v>
      </c>
      <c r="F620" s="121">
        <v>105171</v>
      </c>
      <c r="G620" s="121">
        <v>163972</v>
      </c>
    </row>
    <row r="621" spans="1:7">
      <c r="A621" s="122" t="s">
        <v>2424</v>
      </c>
      <c r="B621" s="406" t="s">
        <v>591</v>
      </c>
      <c r="C621" s="173">
        <v>1.37</v>
      </c>
      <c r="D621" s="173">
        <v>1832.5730000000001</v>
      </c>
      <c r="E621" s="173">
        <v>1.5</v>
      </c>
      <c r="F621" s="121">
        <v>0</v>
      </c>
      <c r="G621" s="121">
        <v>207801</v>
      </c>
    </row>
    <row r="622" spans="1:7">
      <c r="A622" s="122" t="s">
        <v>1093</v>
      </c>
      <c r="B622" s="406" t="s">
        <v>1747</v>
      </c>
      <c r="C622" s="173">
        <v>1.37</v>
      </c>
      <c r="D622" s="173">
        <v>266.98500000000001</v>
      </c>
      <c r="E622" s="173">
        <v>1.5</v>
      </c>
      <c r="F622" s="121">
        <v>0</v>
      </c>
      <c r="G622" s="121">
        <v>17449</v>
      </c>
    </row>
    <row r="623" spans="1:7">
      <c r="A623" s="122" t="s">
        <v>1513</v>
      </c>
      <c r="B623" s="406" t="s">
        <v>592</v>
      </c>
      <c r="C623" s="173">
        <v>1.2592000000000001</v>
      </c>
      <c r="D623" s="173">
        <v>1474.008</v>
      </c>
      <c r="E623" s="173">
        <v>1.375</v>
      </c>
      <c r="F623" s="121">
        <v>0</v>
      </c>
      <c r="G623" s="121">
        <v>182112</v>
      </c>
    </row>
    <row r="624" spans="1:7">
      <c r="A624" s="122" t="s">
        <v>1902</v>
      </c>
      <c r="B624" s="406" t="s">
        <v>593</v>
      </c>
      <c r="C624" s="173">
        <v>1.37</v>
      </c>
      <c r="D624" s="173">
        <v>2092.6759999999999</v>
      </c>
      <c r="E624" s="173">
        <v>1.5</v>
      </c>
      <c r="F624" s="121">
        <v>0</v>
      </c>
      <c r="G624" s="121">
        <v>169857</v>
      </c>
    </row>
    <row r="625" spans="1:7">
      <c r="A625" s="122" t="s">
        <v>1903</v>
      </c>
      <c r="B625" s="406" t="s">
        <v>594</v>
      </c>
      <c r="C625" s="173">
        <v>1.3257000000000001</v>
      </c>
      <c r="D625" s="173">
        <v>343.20499999999998</v>
      </c>
      <c r="E625" s="173">
        <v>1.45</v>
      </c>
      <c r="F625" s="121">
        <v>0</v>
      </c>
      <c r="G625" s="121">
        <v>15568</v>
      </c>
    </row>
    <row r="626" spans="1:7">
      <c r="A626" s="122" t="s">
        <v>2926</v>
      </c>
      <c r="B626" s="406" t="s">
        <v>595</v>
      </c>
      <c r="C626" s="173">
        <v>1.37</v>
      </c>
      <c r="D626" s="173">
        <v>148.65299999999999</v>
      </c>
      <c r="E626" s="173">
        <v>1.5</v>
      </c>
      <c r="F626" s="121">
        <v>0</v>
      </c>
      <c r="G626" s="121">
        <v>19752</v>
      </c>
    </row>
    <row r="627" spans="1:7">
      <c r="A627" s="122" t="s">
        <v>2927</v>
      </c>
      <c r="B627" s="406" t="s">
        <v>596</v>
      </c>
      <c r="C627" s="173">
        <v>1.37</v>
      </c>
      <c r="D627" s="173">
        <v>102.925</v>
      </c>
      <c r="E627" s="173">
        <v>1.5</v>
      </c>
      <c r="F627" s="121">
        <v>0</v>
      </c>
      <c r="G627" s="121">
        <v>18534</v>
      </c>
    </row>
    <row r="628" spans="1:7">
      <c r="A628" s="122" t="s">
        <v>3056</v>
      </c>
      <c r="B628" s="406" t="s">
        <v>597</v>
      </c>
      <c r="C628" s="173">
        <v>1.2835000000000001</v>
      </c>
      <c r="D628" s="173">
        <v>62.314999999999998</v>
      </c>
      <c r="E628" s="173">
        <v>1.4024000000000001</v>
      </c>
      <c r="F628" s="121">
        <v>0</v>
      </c>
      <c r="G628" s="121">
        <v>22657</v>
      </c>
    </row>
    <row r="629" spans="1:7">
      <c r="A629" s="122" t="s">
        <v>947</v>
      </c>
      <c r="B629" s="406" t="s">
        <v>598</v>
      </c>
      <c r="C629" s="173">
        <v>1.3523000000000001</v>
      </c>
      <c r="D629" s="173">
        <v>1092.43</v>
      </c>
      <c r="E629" s="173">
        <v>1.48</v>
      </c>
      <c r="F629" s="121">
        <v>0</v>
      </c>
      <c r="G629" s="121">
        <v>181135</v>
      </c>
    </row>
    <row r="630" spans="1:7">
      <c r="A630" s="122" t="s">
        <v>95</v>
      </c>
      <c r="B630" s="406" t="s">
        <v>599</v>
      </c>
      <c r="C630" s="173">
        <v>1.3211999999999999</v>
      </c>
      <c r="D630" s="173">
        <v>623.79300000000001</v>
      </c>
      <c r="E630" s="173">
        <v>1.4449000000000001</v>
      </c>
      <c r="F630" s="121">
        <v>0</v>
      </c>
      <c r="G630" s="121">
        <v>75309</v>
      </c>
    </row>
    <row r="631" spans="1:7">
      <c r="A631" s="122" t="s">
        <v>96</v>
      </c>
      <c r="B631" s="406" t="s">
        <v>600</v>
      </c>
      <c r="C631" s="173">
        <v>1.3</v>
      </c>
      <c r="D631" s="173">
        <v>1733.5340000000001</v>
      </c>
      <c r="E631" s="173">
        <v>1.4219999999999999</v>
      </c>
      <c r="F631" s="121">
        <v>0</v>
      </c>
      <c r="G631" s="121">
        <v>296130</v>
      </c>
    </row>
    <row r="632" spans="1:7">
      <c r="A632" s="122" t="s">
        <v>2607</v>
      </c>
      <c r="B632" s="406" t="s">
        <v>640</v>
      </c>
      <c r="C632" s="173">
        <v>1.37</v>
      </c>
      <c r="D632" s="173">
        <v>26254.969000000001</v>
      </c>
      <c r="E632" s="173">
        <v>1.5</v>
      </c>
      <c r="F632" s="121">
        <v>0</v>
      </c>
      <c r="G632" s="121">
        <v>1038061</v>
      </c>
    </row>
    <row r="633" spans="1:7">
      <c r="A633" s="122" t="s">
        <v>2764</v>
      </c>
      <c r="B633" s="406" t="s">
        <v>601</v>
      </c>
      <c r="C633" s="173">
        <v>1.37</v>
      </c>
      <c r="D633" s="173">
        <v>699.94399999999996</v>
      </c>
      <c r="E633" s="173">
        <v>1.5</v>
      </c>
      <c r="F633" s="121">
        <v>0</v>
      </c>
      <c r="G633" s="121">
        <v>76975</v>
      </c>
    </row>
    <row r="634" spans="1:7">
      <c r="A634" s="122" t="s">
        <v>2765</v>
      </c>
      <c r="B634" s="406" t="s">
        <v>602</v>
      </c>
      <c r="C634" s="173">
        <v>1.37</v>
      </c>
      <c r="D634" s="173">
        <v>1266.3579999999999</v>
      </c>
      <c r="E634" s="173">
        <v>1.5</v>
      </c>
      <c r="F634" s="121">
        <v>0</v>
      </c>
      <c r="G634" s="121">
        <v>119002</v>
      </c>
    </row>
    <row r="635" spans="1:7">
      <c r="A635" s="122" t="s">
        <v>2414</v>
      </c>
      <c r="B635" s="406" t="s">
        <v>641</v>
      </c>
      <c r="C635" s="173">
        <v>1.2786999999999999</v>
      </c>
      <c r="D635" s="173">
        <v>2575.7139999999999</v>
      </c>
      <c r="E635" s="173">
        <v>1.397</v>
      </c>
      <c r="F635" s="121">
        <v>0</v>
      </c>
      <c r="G635" s="121">
        <v>265950</v>
      </c>
    </row>
    <row r="636" spans="1:7">
      <c r="A636" s="122" t="s">
        <v>1603</v>
      </c>
      <c r="B636" s="406" t="s">
        <v>2627</v>
      </c>
      <c r="C636" s="173">
        <v>1.2911999999999999</v>
      </c>
      <c r="D636" s="173">
        <v>5621.6440000000002</v>
      </c>
      <c r="E636" s="173">
        <v>1.4111</v>
      </c>
      <c r="F636" s="121">
        <v>0</v>
      </c>
      <c r="G636" s="121">
        <v>384953</v>
      </c>
    </row>
    <row r="637" spans="1:7">
      <c r="A637" s="122" t="s">
        <v>2766</v>
      </c>
      <c r="B637" s="406" t="s">
        <v>603</v>
      </c>
      <c r="C637" s="173">
        <v>1.37</v>
      </c>
      <c r="D637" s="173">
        <v>1079.127</v>
      </c>
      <c r="E637" s="173">
        <v>1.5</v>
      </c>
      <c r="F637" s="121">
        <v>0</v>
      </c>
      <c r="G637" s="121">
        <v>171799</v>
      </c>
    </row>
    <row r="638" spans="1:7">
      <c r="A638" s="122" t="s">
        <v>538</v>
      </c>
      <c r="B638" s="406" t="s">
        <v>1417</v>
      </c>
      <c r="C638" s="173">
        <v>1.37</v>
      </c>
      <c r="D638" s="173">
        <v>1244.3150000000001</v>
      </c>
      <c r="E638" s="173">
        <v>1.5</v>
      </c>
      <c r="F638" s="121">
        <v>0</v>
      </c>
      <c r="G638" s="121">
        <v>179350</v>
      </c>
    </row>
    <row r="639" spans="1:7">
      <c r="A639" s="122" t="s">
        <v>775</v>
      </c>
      <c r="B639" s="406" t="s">
        <v>604</v>
      </c>
      <c r="C639" s="173">
        <v>1.3167</v>
      </c>
      <c r="D639" s="173">
        <v>793.46799999999996</v>
      </c>
      <c r="E639" s="173">
        <v>1.44</v>
      </c>
      <c r="F639" s="121">
        <v>0</v>
      </c>
      <c r="G639" s="121">
        <v>41281</v>
      </c>
    </row>
    <row r="640" spans="1:7">
      <c r="A640" s="122" t="s">
        <v>2679</v>
      </c>
      <c r="B640" s="406" t="s">
        <v>605</v>
      </c>
      <c r="C640" s="173">
        <v>1.2813000000000001</v>
      </c>
      <c r="D640" s="173">
        <v>348.49799999999999</v>
      </c>
      <c r="E640" s="173">
        <v>1.4</v>
      </c>
      <c r="F640" s="121">
        <v>0</v>
      </c>
      <c r="G640" s="121">
        <v>33109</v>
      </c>
    </row>
    <row r="641" spans="1:7">
      <c r="A641" s="122" t="s">
        <v>2680</v>
      </c>
      <c r="B641" s="406" t="s">
        <v>606</v>
      </c>
      <c r="C641" s="173">
        <v>1.37</v>
      </c>
      <c r="D641" s="173">
        <v>630.63499999999999</v>
      </c>
      <c r="E641" s="173">
        <v>1.5</v>
      </c>
      <c r="F641" s="121">
        <v>0</v>
      </c>
      <c r="G641" s="121">
        <v>22962</v>
      </c>
    </row>
    <row r="642" spans="1:7">
      <c r="A642" s="122" t="s">
        <v>2681</v>
      </c>
      <c r="B642" s="406" t="s">
        <v>607</v>
      </c>
      <c r="C642" s="173">
        <v>1.37</v>
      </c>
      <c r="D642" s="173">
        <v>187.517</v>
      </c>
      <c r="E642" s="173">
        <v>1.5</v>
      </c>
      <c r="F642" s="121">
        <v>0</v>
      </c>
      <c r="G642" s="121">
        <v>40245</v>
      </c>
    </row>
    <row r="643" spans="1:7">
      <c r="A643" s="122" t="s">
        <v>1651</v>
      </c>
      <c r="B643" s="406" t="s">
        <v>608</v>
      </c>
      <c r="C643" s="173">
        <v>1.37</v>
      </c>
      <c r="D643" s="173">
        <v>161.685</v>
      </c>
      <c r="E643" s="173">
        <v>1.5</v>
      </c>
      <c r="F643" s="121">
        <v>0</v>
      </c>
      <c r="G643" s="121">
        <v>15470</v>
      </c>
    </row>
    <row r="644" spans="1:7">
      <c r="A644" s="122" t="s">
        <v>2389</v>
      </c>
      <c r="B644" s="406" t="s">
        <v>318</v>
      </c>
      <c r="C644" s="173">
        <v>1.37</v>
      </c>
      <c r="D644" s="173">
        <v>2036.126</v>
      </c>
      <c r="E644" s="173">
        <v>1.5</v>
      </c>
      <c r="F644" s="121">
        <v>0</v>
      </c>
      <c r="G644" s="121">
        <v>196059</v>
      </c>
    </row>
    <row r="645" spans="1:7">
      <c r="A645" s="122" t="s">
        <v>1652</v>
      </c>
      <c r="B645" s="406" t="s">
        <v>609</v>
      </c>
      <c r="C645" s="173">
        <v>1.3260000000000001</v>
      </c>
      <c r="D645" s="173">
        <v>320.77999999999997</v>
      </c>
      <c r="E645" s="173">
        <v>1.45</v>
      </c>
      <c r="F645" s="121">
        <v>0</v>
      </c>
      <c r="G645" s="121">
        <v>27229</v>
      </c>
    </row>
    <row r="646" spans="1:7">
      <c r="A646" s="122" t="s">
        <v>418</v>
      </c>
      <c r="B646" s="406" t="s">
        <v>610</v>
      </c>
      <c r="C646" s="173">
        <v>1.2293000000000001</v>
      </c>
      <c r="D646" s="173">
        <v>1267.4649999999999</v>
      </c>
      <c r="E646" s="173">
        <v>1.3411999999999999</v>
      </c>
      <c r="F646" s="121">
        <v>0</v>
      </c>
      <c r="G646" s="121">
        <v>226552</v>
      </c>
    </row>
    <row r="647" spans="1:7">
      <c r="A647" s="122" t="s">
        <v>419</v>
      </c>
      <c r="B647" s="406" t="s">
        <v>611</v>
      </c>
      <c r="C647" s="173">
        <v>1.25</v>
      </c>
      <c r="D647" s="173">
        <v>712.68700000000001</v>
      </c>
      <c r="E647" s="173">
        <v>1.37</v>
      </c>
      <c r="F647" s="121">
        <v>0</v>
      </c>
      <c r="G647" s="121">
        <v>65632</v>
      </c>
    </row>
    <row r="648" spans="1:7">
      <c r="A648" s="122" t="s">
        <v>420</v>
      </c>
      <c r="B648" s="406" t="s">
        <v>612</v>
      </c>
      <c r="C648" s="173">
        <v>1.1499999999999999</v>
      </c>
      <c r="D648" s="173">
        <v>224.47900000000001</v>
      </c>
      <c r="E648" s="173">
        <v>1.26</v>
      </c>
      <c r="F648" s="121">
        <v>0</v>
      </c>
      <c r="G648" s="121">
        <v>41181</v>
      </c>
    </row>
    <row r="649" spans="1:7">
      <c r="A649" s="122" t="s">
        <v>1856</v>
      </c>
      <c r="B649" s="406" t="s">
        <v>613</v>
      </c>
      <c r="C649" s="173">
        <v>1.37</v>
      </c>
      <c r="D649" s="173">
        <v>572.40499999999997</v>
      </c>
      <c r="E649" s="173">
        <v>1.5</v>
      </c>
      <c r="F649" s="121">
        <v>0</v>
      </c>
      <c r="G649" s="121">
        <v>109648</v>
      </c>
    </row>
    <row r="650" spans="1:7">
      <c r="A650" s="122" t="s">
        <v>1857</v>
      </c>
      <c r="B650" s="406" t="s">
        <v>614</v>
      </c>
      <c r="C650" s="173">
        <v>1.37</v>
      </c>
      <c r="D650" s="173">
        <v>3825.5650000000001</v>
      </c>
      <c r="E650" s="173">
        <v>1.5</v>
      </c>
      <c r="F650" s="121">
        <v>0</v>
      </c>
      <c r="G650" s="121">
        <v>198247</v>
      </c>
    </row>
    <row r="651" spans="1:7">
      <c r="A651" s="122" t="s">
        <v>201</v>
      </c>
      <c r="B651" s="406" t="s">
        <v>1964</v>
      </c>
      <c r="C651" s="173">
        <v>1.1787000000000001</v>
      </c>
      <c r="D651" s="173">
        <v>837.05</v>
      </c>
      <c r="E651" s="173">
        <v>1.3249</v>
      </c>
      <c r="F651" s="121">
        <v>0</v>
      </c>
      <c r="G651" s="121">
        <v>133097</v>
      </c>
    </row>
    <row r="652" spans="1:7">
      <c r="A652" s="122" t="s">
        <v>2438</v>
      </c>
      <c r="B652" s="406" t="s">
        <v>1965</v>
      </c>
      <c r="C652" s="173">
        <v>1.28</v>
      </c>
      <c r="D652" s="173">
        <v>52.076999999999998</v>
      </c>
      <c r="E652" s="173">
        <v>1.4</v>
      </c>
      <c r="F652" s="121">
        <v>0</v>
      </c>
      <c r="G652" s="121">
        <v>8784</v>
      </c>
    </row>
    <row r="653" spans="1:7">
      <c r="A653" s="122" t="s">
        <v>2439</v>
      </c>
      <c r="B653" s="406" t="s">
        <v>1966</v>
      </c>
      <c r="C653" s="173">
        <v>1.29</v>
      </c>
      <c r="D653" s="173">
        <v>1524.029</v>
      </c>
      <c r="E653" s="173">
        <v>1.41</v>
      </c>
      <c r="F653" s="121">
        <v>0</v>
      </c>
      <c r="G653" s="121">
        <v>97979</v>
      </c>
    </row>
    <row r="654" spans="1:7">
      <c r="A654" s="122" t="s">
        <v>2440</v>
      </c>
      <c r="B654" s="406" t="s">
        <v>1967</v>
      </c>
      <c r="C654" s="173">
        <v>1.28</v>
      </c>
      <c r="D654" s="173">
        <v>916.02300000000002</v>
      </c>
      <c r="E654" s="173">
        <v>1.4076</v>
      </c>
      <c r="F654" s="121">
        <v>0</v>
      </c>
      <c r="G654" s="121">
        <v>157707</v>
      </c>
    </row>
    <row r="655" spans="1:7">
      <c r="A655" s="122" t="s">
        <v>2057</v>
      </c>
      <c r="B655" s="406" t="s">
        <v>1213</v>
      </c>
      <c r="C655" s="173">
        <v>1.2386999999999999</v>
      </c>
      <c r="D655" s="173">
        <v>12839.931</v>
      </c>
      <c r="E655" s="173">
        <v>1.3519000000000001</v>
      </c>
      <c r="F655" s="121">
        <v>0</v>
      </c>
      <c r="G655" s="121">
        <v>1147898</v>
      </c>
    </row>
    <row r="656" spans="1:7">
      <c r="A656" s="122" t="s">
        <v>992</v>
      </c>
      <c r="B656" s="406" t="s">
        <v>2120</v>
      </c>
      <c r="C656" s="173">
        <v>1.37</v>
      </c>
      <c r="D656" s="173">
        <v>1242.425</v>
      </c>
      <c r="E656" s="173">
        <v>1.5</v>
      </c>
      <c r="F656" s="121">
        <v>0</v>
      </c>
      <c r="G656" s="121">
        <v>137607</v>
      </c>
    </row>
    <row r="657" spans="1:7">
      <c r="A657" s="122" t="s">
        <v>1583</v>
      </c>
      <c r="B657" s="406" t="s">
        <v>1968</v>
      </c>
      <c r="C657" s="173">
        <v>1.37</v>
      </c>
      <c r="D657" s="173">
        <v>177.83799999999999</v>
      </c>
      <c r="E657" s="173">
        <v>1.5</v>
      </c>
      <c r="F657" s="121">
        <v>0</v>
      </c>
      <c r="G657" s="121">
        <v>27322</v>
      </c>
    </row>
    <row r="658" spans="1:7">
      <c r="A658" s="122" t="s">
        <v>2265</v>
      </c>
      <c r="B658" s="406" t="s">
        <v>2547</v>
      </c>
      <c r="C658" s="173">
        <v>1.3612</v>
      </c>
      <c r="D658" s="173">
        <v>107.17100000000001</v>
      </c>
      <c r="E658" s="173">
        <v>1.49</v>
      </c>
      <c r="F658" s="121">
        <v>0</v>
      </c>
      <c r="G658" s="121">
        <v>10600</v>
      </c>
    </row>
    <row r="659" spans="1:7">
      <c r="A659" s="122" t="s">
        <v>1094</v>
      </c>
      <c r="B659" s="406" t="s">
        <v>457</v>
      </c>
      <c r="C659" s="173">
        <v>1.37</v>
      </c>
      <c r="D659" s="173">
        <v>600.30700000000002</v>
      </c>
      <c r="E659" s="173">
        <v>1.5</v>
      </c>
      <c r="F659" s="121">
        <v>0</v>
      </c>
      <c r="G659" s="121">
        <v>55092</v>
      </c>
    </row>
    <row r="660" spans="1:7">
      <c r="A660" s="122" t="s">
        <v>1012</v>
      </c>
      <c r="B660" s="406" t="s">
        <v>2195</v>
      </c>
      <c r="C660" s="173">
        <v>1.2565</v>
      </c>
      <c r="D660" s="173">
        <v>5804.3440000000001</v>
      </c>
      <c r="E660" s="173">
        <v>1.3720000000000001</v>
      </c>
      <c r="F660" s="121">
        <v>0</v>
      </c>
      <c r="G660" s="121">
        <v>389644</v>
      </c>
    </row>
    <row r="661" spans="1:7">
      <c r="A661" s="122" t="s">
        <v>800</v>
      </c>
      <c r="B661" s="406" t="s">
        <v>2172</v>
      </c>
      <c r="C661" s="173">
        <v>1.37</v>
      </c>
      <c r="D661" s="173">
        <v>2376.529</v>
      </c>
      <c r="E661" s="173">
        <v>1.5</v>
      </c>
      <c r="F661" s="121">
        <v>0</v>
      </c>
      <c r="G661" s="121">
        <v>165953</v>
      </c>
    </row>
    <row r="662" spans="1:7">
      <c r="A662" s="122" t="s">
        <v>1095</v>
      </c>
      <c r="B662" s="406" t="s">
        <v>1426</v>
      </c>
      <c r="C662" s="173">
        <v>1.37</v>
      </c>
      <c r="D662" s="173">
        <v>1536.569</v>
      </c>
      <c r="E662" s="173">
        <v>1.5</v>
      </c>
      <c r="F662" s="121">
        <v>2563</v>
      </c>
      <c r="G662" s="121">
        <v>0</v>
      </c>
    </row>
    <row r="663" spans="1:7">
      <c r="A663" s="122" t="s">
        <v>2096</v>
      </c>
      <c r="B663" s="406" t="s">
        <v>2358</v>
      </c>
      <c r="C663" s="173">
        <v>1.2708999999999999</v>
      </c>
      <c r="D663" s="173">
        <v>599.94100000000003</v>
      </c>
      <c r="E663" s="173">
        <v>1.3882000000000001</v>
      </c>
      <c r="F663" s="121">
        <v>0</v>
      </c>
      <c r="G663" s="121">
        <v>31445</v>
      </c>
    </row>
    <row r="664" spans="1:7">
      <c r="A664" s="122" t="s">
        <v>1735</v>
      </c>
      <c r="B664" s="406" t="s">
        <v>927</v>
      </c>
      <c r="C664" s="173">
        <v>1.3611</v>
      </c>
      <c r="D664" s="173">
        <v>1125.796</v>
      </c>
      <c r="E664" s="173">
        <v>1.49</v>
      </c>
      <c r="F664" s="121">
        <v>0</v>
      </c>
      <c r="G664" s="121">
        <v>75056</v>
      </c>
    </row>
    <row r="665" spans="1:7">
      <c r="A665" s="122" t="s">
        <v>134</v>
      </c>
      <c r="B665" s="406" t="s">
        <v>1969</v>
      </c>
      <c r="C665" s="173">
        <v>1.2591000000000001</v>
      </c>
      <c r="D665" s="173">
        <v>733.72400000000005</v>
      </c>
      <c r="E665" s="173">
        <v>1.42</v>
      </c>
      <c r="F665" s="121">
        <v>0</v>
      </c>
      <c r="G665" s="121">
        <v>51179</v>
      </c>
    </row>
    <row r="666" spans="1:7">
      <c r="A666" s="122" t="s">
        <v>2384</v>
      </c>
      <c r="B666" s="406" t="s">
        <v>1958</v>
      </c>
      <c r="C666" s="173">
        <v>1.3701000000000001</v>
      </c>
      <c r="D666" s="173">
        <v>542.96699999999998</v>
      </c>
      <c r="E666" s="173">
        <v>1.5</v>
      </c>
      <c r="F666" s="121">
        <v>0</v>
      </c>
      <c r="G666" s="121">
        <v>30144</v>
      </c>
    </row>
    <row r="667" spans="1:7">
      <c r="A667" s="122" t="s">
        <v>373</v>
      </c>
      <c r="B667" s="406" t="s">
        <v>157</v>
      </c>
      <c r="C667" s="173">
        <v>1.3218000000000001</v>
      </c>
      <c r="D667" s="173">
        <v>14187.09</v>
      </c>
      <c r="E667" s="173">
        <v>1.4456</v>
      </c>
      <c r="F667" s="121">
        <v>0</v>
      </c>
      <c r="G667" s="121">
        <v>509964</v>
      </c>
    </row>
    <row r="668" spans="1:7">
      <c r="A668" s="122" t="s">
        <v>376</v>
      </c>
      <c r="B668" s="406" t="s">
        <v>1610</v>
      </c>
      <c r="C668" s="173">
        <v>1.37</v>
      </c>
      <c r="D668" s="173">
        <v>1438.925</v>
      </c>
      <c r="E668" s="173">
        <v>1.5</v>
      </c>
      <c r="F668" s="121">
        <v>0</v>
      </c>
      <c r="G668" s="121">
        <v>0</v>
      </c>
    </row>
    <row r="669" spans="1:7">
      <c r="A669" s="122" t="s">
        <v>2819</v>
      </c>
      <c r="B669" s="406" t="s">
        <v>1970</v>
      </c>
      <c r="C669" s="173">
        <v>1.37</v>
      </c>
      <c r="D669" s="173">
        <v>724.43200000000002</v>
      </c>
      <c r="E669" s="173">
        <v>1.5</v>
      </c>
      <c r="F669" s="121">
        <v>0</v>
      </c>
      <c r="G669" s="121">
        <v>0</v>
      </c>
    </row>
    <row r="670" spans="1:7">
      <c r="A670" s="122" t="s">
        <v>2820</v>
      </c>
      <c r="B670" s="406" t="s">
        <v>1971</v>
      </c>
      <c r="C670" s="173">
        <v>1.3257000000000001</v>
      </c>
      <c r="D670" s="173">
        <v>842.45699999999999</v>
      </c>
      <c r="E670" s="173">
        <v>1.45</v>
      </c>
      <c r="F670" s="121">
        <v>0</v>
      </c>
      <c r="G670" s="121">
        <v>1246360</v>
      </c>
    </row>
    <row r="671" spans="1:7">
      <c r="A671" s="122" t="s">
        <v>85</v>
      </c>
      <c r="B671" s="406" t="s">
        <v>1325</v>
      </c>
      <c r="C671" s="173">
        <v>1.2887999999999999</v>
      </c>
      <c r="D671" s="173">
        <v>1873.58</v>
      </c>
      <c r="E671" s="173">
        <v>1.4084000000000001</v>
      </c>
      <c r="F671" s="121">
        <v>5171</v>
      </c>
      <c r="G671" s="121">
        <v>0</v>
      </c>
    </row>
    <row r="672" spans="1:7">
      <c r="A672" s="122" t="s">
        <v>2638</v>
      </c>
      <c r="B672" s="406" t="s">
        <v>1745</v>
      </c>
      <c r="C672" s="173">
        <v>1.37</v>
      </c>
      <c r="D672" s="173">
        <v>2508.1970000000001</v>
      </c>
      <c r="E672" s="173">
        <v>1.5</v>
      </c>
      <c r="F672" s="121">
        <v>0</v>
      </c>
      <c r="G672" s="121">
        <v>304577</v>
      </c>
    </row>
    <row r="673" spans="1:7">
      <c r="A673" s="122" t="s">
        <v>190</v>
      </c>
      <c r="B673" s="406" t="s">
        <v>3097</v>
      </c>
      <c r="C673" s="173">
        <v>1.37</v>
      </c>
      <c r="D673" s="173">
        <v>2043.931</v>
      </c>
      <c r="E673" s="173">
        <v>1.5</v>
      </c>
      <c r="F673" s="121">
        <v>0</v>
      </c>
      <c r="G673" s="121">
        <v>106147</v>
      </c>
    </row>
    <row r="674" spans="1:7">
      <c r="A674" s="122" t="s">
        <v>991</v>
      </c>
      <c r="B674" s="406" t="s">
        <v>1524</v>
      </c>
      <c r="C674" s="173">
        <v>1.3346</v>
      </c>
      <c r="D674" s="173">
        <v>434.37900000000002</v>
      </c>
      <c r="E674" s="173">
        <v>1.46</v>
      </c>
      <c r="F674" s="121">
        <v>0</v>
      </c>
      <c r="G674" s="121">
        <v>16032</v>
      </c>
    </row>
    <row r="675" spans="1:7">
      <c r="A675" s="122" t="s">
        <v>2098</v>
      </c>
      <c r="B675" s="406" t="s">
        <v>1972</v>
      </c>
      <c r="C675" s="173">
        <v>1.37</v>
      </c>
      <c r="D675" s="173">
        <v>108.566</v>
      </c>
      <c r="E675" s="173">
        <v>1.5</v>
      </c>
      <c r="F675" s="121">
        <v>0</v>
      </c>
      <c r="G675" s="121">
        <v>0</v>
      </c>
    </row>
    <row r="676" spans="1:7">
      <c r="A676" s="122" t="s">
        <v>287</v>
      </c>
      <c r="B676" s="406" t="s">
        <v>1973</v>
      </c>
      <c r="C676" s="173">
        <v>1.3278000000000001</v>
      </c>
      <c r="D676" s="173">
        <v>138.94900000000001</v>
      </c>
      <c r="E676" s="173">
        <v>1.4523999999999999</v>
      </c>
      <c r="F676" s="121">
        <v>0</v>
      </c>
      <c r="G676" s="121">
        <v>45237</v>
      </c>
    </row>
    <row r="677" spans="1:7">
      <c r="A677" s="122" t="s">
        <v>1782</v>
      </c>
      <c r="B677" s="406" t="s">
        <v>1974</v>
      </c>
      <c r="C677" s="173">
        <v>1.28</v>
      </c>
      <c r="D677" s="173">
        <v>162.55600000000001</v>
      </c>
      <c r="E677" s="173">
        <v>1.4</v>
      </c>
      <c r="F677" s="121">
        <v>0</v>
      </c>
      <c r="G677" s="121">
        <v>82498</v>
      </c>
    </row>
    <row r="678" spans="1:7">
      <c r="A678" s="122" t="s">
        <v>1296</v>
      </c>
      <c r="B678" s="406" t="s">
        <v>3066</v>
      </c>
      <c r="C678" s="173">
        <v>1.3520000000000001</v>
      </c>
      <c r="D678" s="173">
        <v>1785.1869999999999</v>
      </c>
      <c r="E678" s="173">
        <v>1.48</v>
      </c>
      <c r="F678" s="121">
        <v>0</v>
      </c>
      <c r="G678" s="121">
        <v>142332</v>
      </c>
    </row>
    <row r="679" spans="1:7">
      <c r="A679" s="122" t="s">
        <v>2266</v>
      </c>
      <c r="B679" s="406" t="s">
        <v>2493</v>
      </c>
      <c r="C679" s="173">
        <v>1.2990999999999999</v>
      </c>
      <c r="D679" s="173">
        <v>298.21499999999997</v>
      </c>
      <c r="E679" s="173">
        <v>1.42</v>
      </c>
      <c r="F679" s="121">
        <v>0</v>
      </c>
      <c r="G679" s="121">
        <v>24831</v>
      </c>
    </row>
    <row r="680" spans="1:7">
      <c r="A680" s="122" t="s">
        <v>1036</v>
      </c>
      <c r="B680" s="406" t="s">
        <v>2563</v>
      </c>
      <c r="C680" s="173">
        <v>1.34</v>
      </c>
      <c r="D680" s="173">
        <v>1109.0309999999999</v>
      </c>
      <c r="E680" s="173">
        <v>1.4693000000000001</v>
      </c>
      <c r="F680" s="121">
        <v>0</v>
      </c>
      <c r="G680" s="121">
        <v>138280</v>
      </c>
    </row>
    <row r="681" spans="1:7">
      <c r="A681" s="122" t="s">
        <v>199</v>
      </c>
      <c r="B681" s="406" t="s">
        <v>2729</v>
      </c>
      <c r="C681" s="173">
        <v>1.37</v>
      </c>
      <c r="D681" s="173">
        <v>2023.001</v>
      </c>
      <c r="E681" s="173">
        <v>1.5</v>
      </c>
      <c r="F681" s="121">
        <v>0</v>
      </c>
      <c r="G681" s="121">
        <v>198229</v>
      </c>
    </row>
    <row r="682" spans="1:7">
      <c r="A682" s="122" t="s">
        <v>2896</v>
      </c>
      <c r="B682" s="406" t="s">
        <v>931</v>
      </c>
      <c r="C682" s="173">
        <v>1.35</v>
      </c>
      <c r="D682" s="173">
        <v>2783.6849999999999</v>
      </c>
      <c r="E682" s="173">
        <v>1.4775</v>
      </c>
      <c r="F682" s="121">
        <v>107092</v>
      </c>
      <c r="G682" s="121">
        <v>406267</v>
      </c>
    </row>
    <row r="683" spans="1:7">
      <c r="A683" s="122" t="s">
        <v>2978</v>
      </c>
      <c r="B683" s="406" t="s">
        <v>1975</v>
      </c>
      <c r="C683" s="173">
        <v>1.37</v>
      </c>
      <c r="D683" s="173">
        <v>333.541</v>
      </c>
      <c r="E683" s="173">
        <v>1.5</v>
      </c>
      <c r="F683" s="121">
        <v>0</v>
      </c>
      <c r="G683" s="121">
        <v>36533</v>
      </c>
    </row>
    <row r="684" spans="1:7">
      <c r="A684" s="122" t="s">
        <v>2899</v>
      </c>
      <c r="B684" s="406" t="s">
        <v>2555</v>
      </c>
      <c r="C684" s="173">
        <v>1.33</v>
      </c>
      <c r="D684" s="173">
        <v>19037.539000000001</v>
      </c>
      <c r="E684" s="173">
        <v>1.5</v>
      </c>
      <c r="F684" s="121">
        <v>0</v>
      </c>
      <c r="G684" s="121">
        <v>1958650</v>
      </c>
    </row>
    <row r="685" spans="1:7">
      <c r="A685" s="122" t="s">
        <v>1475</v>
      </c>
      <c r="B685" s="406" t="s">
        <v>1976</v>
      </c>
      <c r="C685" s="173">
        <v>1.3696999999999999</v>
      </c>
      <c r="D685" s="173">
        <v>1452.502</v>
      </c>
      <c r="E685" s="173">
        <v>1.4997</v>
      </c>
      <c r="F685" s="121">
        <v>0</v>
      </c>
      <c r="G685" s="121">
        <v>130719</v>
      </c>
    </row>
    <row r="686" spans="1:7">
      <c r="A686" s="122" t="s">
        <v>2156</v>
      </c>
      <c r="B686" s="406" t="s">
        <v>727</v>
      </c>
      <c r="C686" s="173">
        <v>1.29</v>
      </c>
      <c r="D686" s="173">
        <v>1498.877</v>
      </c>
      <c r="E686" s="173">
        <v>1.41</v>
      </c>
      <c r="F686" s="121">
        <v>0</v>
      </c>
      <c r="G686" s="121">
        <v>108564</v>
      </c>
    </row>
    <row r="687" spans="1:7">
      <c r="A687" s="122" t="s">
        <v>1536</v>
      </c>
      <c r="B687" s="406" t="s">
        <v>1977</v>
      </c>
      <c r="C687" s="173">
        <v>1.35</v>
      </c>
      <c r="D687" s="173">
        <v>152.48400000000001</v>
      </c>
      <c r="E687" s="173">
        <v>1.48</v>
      </c>
      <c r="F687" s="121">
        <v>0</v>
      </c>
      <c r="G687" s="121">
        <v>26380</v>
      </c>
    </row>
    <row r="688" spans="1:7">
      <c r="A688" s="122" t="s">
        <v>2900</v>
      </c>
      <c r="B688" s="406" t="s">
        <v>1978</v>
      </c>
      <c r="C688" s="173">
        <v>1.37</v>
      </c>
      <c r="D688" s="173">
        <v>386.74</v>
      </c>
      <c r="E688" s="173">
        <v>1.5</v>
      </c>
      <c r="F688" s="121">
        <v>0</v>
      </c>
      <c r="G688" s="121">
        <v>53406</v>
      </c>
    </row>
    <row r="689" spans="1:7">
      <c r="A689" s="122" t="s">
        <v>2513</v>
      </c>
      <c r="B689" s="406" t="s">
        <v>1979</v>
      </c>
      <c r="C689" s="173">
        <v>1.37</v>
      </c>
      <c r="D689" s="173">
        <v>1798.499</v>
      </c>
      <c r="E689" s="173">
        <v>1.5</v>
      </c>
      <c r="F689" s="121">
        <v>0</v>
      </c>
      <c r="G689" s="121">
        <v>113855</v>
      </c>
    </row>
    <row r="690" spans="1:7">
      <c r="A690" s="122" t="s">
        <v>1046</v>
      </c>
      <c r="B690" s="406" t="s">
        <v>1980</v>
      </c>
      <c r="C690" s="173">
        <v>1.3169999999999999</v>
      </c>
      <c r="D690" s="173">
        <v>499.86599999999999</v>
      </c>
      <c r="E690" s="173">
        <v>1.44</v>
      </c>
      <c r="F690" s="121">
        <v>0</v>
      </c>
      <c r="G690" s="121">
        <v>39933</v>
      </c>
    </row>
    <row r="691" spans="1:7">
      <c r="A691" s="122" t="s">
        <v>409</v>
      </c>
      <c r="B691" s="406" t="s">
        <v>3033</v>
      </c>
      <c r="C691" s="173">
        <v>1.3567</v>
      </c>
      <c r="D691" s="173">
        <v>203.28399999999999</v>
      </c>
      <c r="E691" s="173">
        <v>1.4850000000000001</v>
      </c>
      <c r="F691" s="121">
        <v>0</v>
      </c>
      <c r="G691" s="121">
        <v>9877</v>
      </c>
    </row>
    <row r="692" spans="1:7">
      <c r="A692" s="122" t="s">
        <v>1436</v>
      </c>
      <c r="B692" s="406" t="s">
        <v>972</v>
      </c>
      <c r="C692" s="173">
        <v>1.196</v>
      </c>
      <c r="D692" s="173">
        <v>600.74699999999996</v>
      </c>
      <c r="E692" s="173">
        <v>1.3032999999999999</v>
      </c>
      <c r="F692" s="121">
        <v>0</v>
      </c>
      <c r="G692" s="121">
        <v>60614</v>
      </c>
    </row>
    <row r="693" spans="1:7">
      <c r="A693" s="122" t="s">
        <v>3070</v>
      </c>
      <c r="B693" s="406" t="s">
        <v>1981</v>
      </c>
      <c r="C693" s="173">
        <v>1.2725</v>
      </c>
      <c r="D693" s="173">
        <v>110.77</v>
      </c>
      <c r="E693" s="173">
        <v>1.39</v>
      </c>
      <c r="F693" s="121">
        <v>0</v>
      </c>
      <c r="G693" s="121">
        <v>31711</v>
      </c>
    </row>
    <row r="694" spans="1:7">
      <c r="A694" s="122" t="s">
        <v>3071</v>
      </c>
      <c r="B694" s="406" t="s">
        <v>1982</v>
      </c>
      <c r="C694" s="173">
        <v>1.07</v>
      </c>
      <c r="D694" s="173">
        <v>93.566999999999993</v>
      </c>
      <c r="E694" s="173">
        <v>1.165</v>
      </c>
      <c r="F694" s="121">
        <v>0</v>
      </c>
      <c r="G694" s="121">
        <v>13726</v>
      </c>
    </row>
    <row r="695" spans="1:7">
      <c r="A695" s="122" t="s">
        <v>2267</v>
      </c>
      <c r="B695" s="406" t="s">
        <v>86</v>
      </c>
      <c r="C695" s="173">
        <v>1.17</v>
      </c>
      <c r="D695" s="173">
        <v>100.703</v>
      </c>
      <c r="E695" s="173">
        <v>1.2749999999999999</v>
      </c>
      <c r="F695" s="121">
        <v>0</v>
      </c>
      <c r="G695" s="121">
        <v>7503</v>
      </c>
    </row>
    <row r="696" spans="1:7">
      <c r="A696" s="122" t="s">
        <v>3072</v>
      </c>
      <c r="B696" s="406" t="s">
        <v>1983</v>
      </c>
      <c r="C696" s="173">
        <v>1.37</v>
      </c>
      <c r="D696" s="173">
        <v>945.15599999999995</v>
      </c>
      <c r="E696" s="173">
        <v>1.5</v>
      </c>
      <c r="F696" s="121">
        <v>0</v>
      </c>
      <c r="G696" s="121">
        <v>67642</v>
      </c>
    </row>
    <row r="697" spans="1:7">
      <c r="A697" s="122" t="s">
        <v>3073</v>
      </c>
      <c r="B697" s="406" t="s">
        <v>1984</v>
      </c>
      <c r="C697" s="173">
        <v>1.37</v>
      </c>
      <c r="D697" s="173">
        <v>155.19900000000001</v>
      </c>
      <c r="E697" s="173">
        <v>1.5</v>
      </c>
      <c r="F697" s="121">
        <v>0</v>
      </c>
      <c r="G697" s="121">
        <v>19494</v>
      </c>
    </row>
    <row r="698" spans="1:7">
      <c r="A698" s="122" t="s">
        <v>1676</v>
      </c>
      <c r="B698" s="406" t="s">
        <v>1985</v>
      </c>
      <c r="C698" s="173">
        <v>1.28</v>
      </c>
      <c r="D698" s="173">
        <v>186.096</v>
      </c>
      <c r="E698" s="173">
        <v>1.4</v>
      </c>
      <c r="F698" s="121">
        <v>0</v>
      </c>
      <c r="G698" s="121">
        <v>12252</v>
      </c>
    </row>
    <row r="699" spans="1:7">
      <c r="A699" s="122" t="s">
        <v>1494</v>
      </c>
      <c r="B699" s="406" t="s">
        <v>1542</v>
      </c>
      <c r="C699" s="173">
        <v>1.3520000000000001</v>
      </c>
      <c r="D699" s="173">
        <v>1483.3109999999999</v>
      </c>
      <c r="E699" s="173">
        <v>1.48</v>
      </c>
      <c r="F699" s="121">
        <v>0</v>
      </c>
      <c r="G699" s="121">
        <v>154045</v>
      </c>
    </row>
    <row r="700" spans="1:7">
      <c r="A700" s="122" t="s">
        <v>1612</v>
      </c>
      <c r="B700" s="406" t="s">
        <v>1543</v>
      </c>
      <c r="C700" s="173">
        <v>1.37</v>
      </c>
      <c r="D700" s="173">
        <v>819.07799999999997</v>
      </c>
      <c r="E700" s="173">
        <v>1.5</v>
      </c>
      <c r="F700" s="121">
        <v>0</v>
      </c>
      <c r="G700" s="121">
        <v>49929</v>
      </c>
    </row>
    <row r="701" spans="1:7">
      <c r="A701" s="122" t="s">
        <v>910</v>
      </c>
      <c r="B701" s="406" t="s">
        <v>1544</v>
      </c>
      <c r="C701" s="173">
        <v>1.37</v>
      </c>
      <c r="D701" s="173">
        <v>137.75200000000001</v>
      </c>
      <c r="E701" s="173">
        <v>1.5</v>
      </c>
      <c r="F701" s="121">
        <v>0</v>
      </c>
      <c r="G701" s="121">
        <v>25252</v>
      </c>
    </row>
    <row r="702" spans="1:7">
      <c r="A702" s="122" t="s">
        <v>1685</v>
      </c>
      <c r="B702" s="406" t="s">
        <v>2564</v>
      </c>
      <c r="C702" s="173">
        <v>1.19</v>
      </c>
      <c r="D702" s="173">
        <v>75.307000000000002</v>
      </c>
      <c r="E702" s="173">
        <v>1.3</v>
      </c>
      <c r="F702" s="121">
        <v>0</v>
      </c>
      <c r="G702" s="121">
        <v>3226</v>
      </c>
    </row>
    <row r="703" spans="1:7">
      <c r="A703" s="122" t="s">
        <v>1686</v>
      </c>
      <c r="B703" s="406" t="s">
        <v>2565</v>
      </c>
      <c r="C703" s="173">
        <v>1.37</v>
      </c>
      <c r="D703" s="173">
        <v>122.46599999999999</v>
      </c>
      <c r="E703" s="173">
        <v>1.5</v>
      </c>
      <c r="F703" s="121">
        <v>0</v>
      </c>
      <c r="G703" s="121">
        <v>25122</v>
      </c>
    </row>
    <row r="704" spans="1:7">
      <c r="A704" s="122" t="s">
        <v>1445</v>
      </c>
      <c r="B704" s="406" t="s">
        <v>2566</v>
      </c>
      <c r="C704" s="173">
        <v>1.37</v>
      </c>
      <c r="D704" s="173">
        <v>168.88300000000001</v>
      </c>
      <c r="E704" s="173">
        <v>1.5</v>
      </c>
      <c r="F704" s="121">
        <v>0</v>
      </c>
      <c r="G704" s="121">
        <v>39743</v>
      </c>
    </row>
    <row r="705" spans="1:7">
      <c r="A705" s="122" t="s">
        <v>1724</v>
      </c>
      <c r="B705" s="406" t="s">
        <v>2567</v>
      </c>
      <c r="C705" s="173">
        <v>1.37</v>
      </c>
      <c r="D705" s="173">
        <v>277.30500000000001</v>
      </c>
      <c r="E705" s="173">
        <v>1.5</v>
      </c>
      <c r="F705" s="121">
        <v>0</v>
      </c>
      <c r="G705" s="121">
        <v>0</v>
      </c>
    </row>
    <row r="706" spans="1:7">
      <c r="A706" s="122" t="s">
        <v>2639</v>
      </c>
      <c r="B706" s="406" t="s">
        <v>1746</v>
      </c>
      <c r="C706" s="173">
        <v>1.31</v>
      </c>
      <c r="D706" s="173">
        <v>38484.425000000003</v>
      </c>
      <c r="E706" s="173">
        <v>1.49</v>
      </c>
      <c r="F706" s="121">
        <v>549442</v>
      </c>
      <c r="G706" s="121">
        <v>4659792</v>
      </c>
    </row>
    <row r="707" spans="1:7">
      <c r="A707" s="122" t="s">
        <v>1725</v>
      </c>
      <c r="B707" s="406" t="s">
        <v>2568</v>
      </c>
      <c r="C707" s="173">
        <v>1.3319000000000001</v>
      </c>
      <c r="D707" s="173">
        <v>5047.2610000000004</v>
      </c>
      <c r="E707" s="173">
        <v>1.4570000000000001</v>
      </c>
      <c r="F707" s="121">
        <v>0</v>
      </c>
      <c r="G707" s="121">
        <v>866669</v>
      </c>
    </row>
    <row r="708" spans="1:7">
      <c r="A708" s="122" t="s">
        <v>1349</v>
      </c>
      <c r="B708" s="406" t="s">
        <v>1288</v>
      </c>
      <c r="C708" s="173">
        <v>1.3520000000000001</v>
      </c>
      <c r="D708" s="173">
        <v>4947.7939999999999</v>
      </c>
      <c r="E708" s="173">
        <v>1.48</v>
      </c>
      <c r="F708" s="121">
        <v>1892</v>
      </c>
      <c r="G708" s="121">
        <v>596819</v>
      </c>
    </row>
    <row r="709" spans="1:7">
      <c r="A709" s="122" t="s">
        <v>378</v>
      </c>
      <c r="B709" s="406" t="s">
        <v>319</v>
      </c>
      <c r="C709" s="173">
        <v>1.33</v>
      </c>
      <c r="D709" s="173">
        <v>9405.1479999999992</v>
      </c>
      <c r="E709" s="173">
        <v>1.46</v>
      </c>
      <c r="F709" s="121">
        <v>0</v>
      </c>
      <c r="G709" s="121">
        <v>1365629</v>
      </c>
    </row>
    <row r="710" spans="1:7">
      <c r="A710" s="122" t="s">
        <v>1701</v>
      </c>
      <c r="B710" s="406" t="s">
        <v>2209</v>
      </c>
      <c r="C710" s="173">
        <v>1.37</v>
      </c>
      <c r="D710" s="173">
        <v>2972.739</v>
      </c>
      <c r="E710" s="173">
        <v>1.5</v>
      </c>
      <c r="F710" s="121">
        <v>16921</v>
      </c>
      <c r="G710" s="121">
        <v>357350</v>
      </c>
    </row>
    <row r="711" spans="1:7">
      <c r="A711" s="122" t="s">
        <v>801</v>
      </c>
      <c r="B711" s="406" t="s">
        <v>1305</v>
      </c>
      <c r="C711" s="173">
        <v>1.37</v>
      </c>
      <c r="D711" s="173">
        <v>7364.6009999999997</v>
      </c>
      <c r="E711" s="173">
        <v>1.5</v>
      </c>
      <c r="F711" s="121">
        <v>15771</v>
      </c>
      <c r="G711" s="121">
        <v>902491</v>
      </c>
    </row>
    <row r="712" spans="1:7">
      <c r="A712" s="122" t="s">
        <v>2134</v>
      </c>
      <c r="B712" s="406" t="s">
        <v>2569</v>
      </c>
      <c r="C712" s="173">
        <v>1.3560000000000001</v>
      </c>
      <c r="D712" s="173">
        <v>3801.5239999999999</v>
      </c>
      <c r="E712" s="173">
        <v>1.4841</v>
      </c>
      <c r="F712" s="121">
        <v>0</v>
      </c>
      <c r="G712" s="121">
        <v>147261</v>
      </c>
    </row>
    <row r="713" spans="1:7">
      <c r="A713" s="122" t="s">
        <v>2135</v>
      </c>
      <c r="B713" s="406" t="s">
        <v>2570</v>
      </c>
      <c r="C713" s="173">
        <v>1.3398000000000001</v>
      </c>
      <c r="D713" s="173">
        <v>504.12700000000001</v>
      </c>
      <c r="E713" s="173">
        <v>1.4659</v>
      </c>
      <c r="F713" s="121">
        <v>0</v>
      </c>
      <c r="G713" s="121">
        <v>23367</v>
      </c>
    </row>
    <row r="714" spans="1:7">
      <c r="A714" s="122" t="s">
        <v>2136</v>
      </c>
      <c r="B714" s="406" t="s">
        <v>2571</v>
      </c>
      <c r="C714" s="173">
        <v>1.37</v>
      </c>
      <c r="D714" s="173">
        <v>1369.106</v>
      </c>
      <c r="E714" s="173">
        <v>1.5</v>
      </c>
      <c r="F714" s="121">
        <v>0</v>
      </c>
      <c r="G714" s="121">
        <v>170106</v>
      </c>
    </row>
    <row r="715" spans="1:7">
      <c r="A715" s="122" t="s">
        <v>2137</v>
      </c>
      <c r="B715" s="406" t="s">
        <v>2572</v>
      </c>
      <c r="C715" s="173">
        <v>1.2814000000000001</v>
      </c>
      <c r="D715" s="173">
        <v>906.30799999999999</v>
      </c>
      <c r="E715" s="173">
        <v>1.4</v>
      </c>
      <c r="F715" s="121">
        <v>0</v>
      </c>
      <c r="G715" s="121">
        <v>118493</v>
      </c>
    </row>
    <row r="716" spans="1:7">
      <c r="A716" s="122" t="s">
        <v>2685</v>
      </c>
      <c r="B716" s="406" t="s">
        <v>2573</v>
      </c>
      <c r="C716" s="173">
        <v>1.37</v>
      </c>
      <c r="D716" s="173">
        <v>153.03100000000001</v>
      </c>
      <c r="E716" s="173">
        <v>1.5</v>
      </c>
      <c r="F716" s="121">
        <v>0</v>
      </c>
      <c r="G716" s="121">
        <v>43604</v>
      </c>
    </row>
    <row r="717" spans="1:7">
      <c r="A717" s="122" t="s">
        <v>802</v>
      </c>
      <c r="B717" s="406" t="s">
        <v>1326</v>
      </c>
      <c r="C717" s="173">
        <v>1.37</v>
      </c>
      <c r="D717" s="173">
        <v>318.37299999999999</v>
      </c>
      <c r="E717" s="173">
        <v>1.5</v>
      </c>
      <c r="F717" s="121">
        <v>0</v>
      </c>
      <c r="G717" s="121">
        <v>28423</v>
      </c>
    </row>
    <row r="718" spans="1:7">
      <c r="A718" s="122" t="s">
        <v>570</v>
      </c>
      <c r="B718" s="406" t="s">
        <v>2574</v>
      </c>
      <c r="C718" s="173">
        <v>1.37</v>
      </c>
      <c r="D718" s="173">
        <v>461.36900000000003</v>
      </c>
      <c r="E718" s="173">
        <v>1.5</v>
      </c>
      <c r="F718" s="121">
        <v>0</v>
      </c>
      <c r="G718" s="121">
        <v>59623</v>
      </c>
    </row>
    <row r="719" spans="1:7">
      <c r="A719" s="122" t="s">
        <v>803</v>
      </c>
      <c r="B719" s="406" t="s">
        <v>493</v>
      </c>
      <c r="C719" s="173">
        <v>1.2547999999999999</v>
      </c>
      <c r="D719" s="173">
        <v>638.60500000000002</v>
      </c>
      <c r="E719" s="173">
        <v>1.37</v>
      </c>
      <c r="F719" s="121">
        <v>0</v>
      </c>
      <c r="G719" s="121">
        <v>70186</v>
      </c>
    </row>
    <row r="720" spans="1:7">
      <c r="A720" s="122" t="s">
        <v>571</v>
      </c>
      <c r="B720" s="406" t="s">
        <v>2575</v>
      </c>
      <c r="C720" s="173">
        <v>1.37</v>
      </c>
      <c r="D720" s="173">
        <v>6049.4920000000002</v>
      </c>
      <c r="E720" s="173">
        <v>1.5</v>
      </c>
      <c r="F720" s="121">
        <v>0</v>
      </c>
      <c r="G720" s="121">
        <v>634130</v>
      </c>
    </row>
    <row r="721" spans="1:7">
      <c r="A721" s="122" t="s">
        <v>410</v>
      </c>
      <c r="B721" s="406" t="s">
        <v>1291</v>
      </c>
      <c r="C721" s="173">
        <v>1.3585</v>
      </c>
      <c r="D721" s="173">
        <v>794.26300000000003</v>
      </c>
      <c r="E721" s="173">
        <v>1.4870000000000001</v>
      </c>
      <c r="F721" s="121">
        <v>0</v>
      </c>
      <c r="G721" s="121">
        <v>184087</v>
      </c>
    </row>
    <row r="722" spans="1:7">
      <c r="A722" s="122" t="s">
        <v>572</v>
      </c>
      <c r="B722" s="406" t="s">
        <v>2576</v>
      </c>
      <c r="C722" s="173">
        <v>1.37</v>
      </c>
      <c r="D722" s="173">
        <v>686.32100000000003</v>
      </c>
      <c r="E722" s="173">
        <v>1.5</v>
      </c>
      <c r="F722" s="121">
        <v>0</v>
      </c>
      <c r="G722" s="121">
        <v>44589</v>
      </c>
    </row>
    <row r="723" spans="1:7">
      <c r="A723" s="122" t="s">
        <v>573</v>
      </c>
      <c r="B723" s="406" t="s">
        <v>2577</v>
      </c>
      <c r="C723" s="173">
        <v>1.37</v>
      </c>
      <c r="D723" s="173">
        <v>308.20100000000002</v>
      </c>
      <c r="E723" s="173">
        <v>1.5</v>
      </c>
      <c r="F723" s="121">
        <v>0</v>
      </c>
      <c r="G723" s="121">
        <v>25692</v>
      </c>
    </row>
    <row r="724" spans="1:7">
      <c r="A724" s="122" t="s">
        <v>877</v>
      </c>
      <c r="B724" s="406" t="s">
        <v>1003</v>
      </c>
      <c r="C724" s="173">
        <v>1.325</v>
      </c>
      <c r="D724" s="173">
        <v>139.815</v>
      </c>
      <c r="E724" s="173">
        <v>1.45</v>
      </c>
      <c r="F724" s="121">
        <v>0</v>
      </c>
      <c r="G724" s="121">
        <v>36245</v>
      </c>
    </row>
    <row r="725" spans="1:7">
      <c r="A725" s="122" t="s">
        <v>574</v>
      </c>
      <c r="B725" s="406" t="s">
        <v>2578</v>
      </c>
      <c r="C725" s="173">
        <v>1.37</v>
      </c>
      <c r="D725" s="173">
        <v>333.35700000000003</v>
      </c>
      <c r="E725" s="173">
        <v>1.5</v>
      </c>
      <c r="F725" s="121">
        <v>0</v>
      </c>
      <c r="G725" s="121">
        <v>34023</v>
      </c>
    </row>
    <row r="726" spans="1:7">
      <c r="A726" s="122" t="s">
        <v>575</v>
      </c>
      <c r="B726" s="406" t="s">
        <v>339</v>
      </c>
      <c r="C726" s="173">
        <v>1.37</v>
      </c>
      <c r="D726" s="173">
        <v>832.71799999999996</v>
      </c>
      <c r="E726" s="173">
        <v>1.5</v>
      </c>
      <c r="F726" s="121">
        <v>0</v>
      </c>
      <c r="G726" s="121">
        <v>87055</v>
      </c>
    </row>
    <row r="727" spans="1:7">
      <c r="A727" s="122" t="s">
        <v>2754</v>
      </c>
      <c r="B727" s="406" t="s">
        <v>1257</v>
      </c>
      <c r="C727" s="173">
        <v>1.2906</v>
      </c>
      <c r="D727" s="173">
        <v>5174.4840000000004</v>
      </c>
      <c r="E727" s="173">
        <v>1.4108000000000001</v>
      </c>
      <c r="F727" s="121">
        <v>0</v>
      </c>
      <c r="G727" s="121">
        <v>342981</v>
      </c>
    </row>
    <row r="728" spans="1:7">
      <c r="A728" s="122" t="s">
        <v>2761</v>
      </c>
      <c r="B728" s="406" t="s">
        <v>3060</v>
      </c>
      <c r="C728" s="173">
        <v>1.37</v>
      </c>
      <c r="D728" s="173">
        <v>429.52600000000001</v>
      </c>
      <c r="E728" s="173">
        <v>1.5</v>
      </c>
      <c r="F728" s="121">
        <v>0</v>
      </c>
      <c r="G728" s="121">
        <v>61021</v>
      </c>
    </row>
    <row r="729" spans="1:7">
      <c r="A729" s="122" t="s">
        <v>20</v>
      </c>
      <c r="B729" s="406" t="s">
        <v>340</v>
      </c>
      <c r="C729" s="173">
        <v>1.37</v>
      </c>
      <c r="D729" s="173">
        <v>344.83300000000003</v>
      </c>
      <c r="E729" s="173">
        <v>1.5</v>
      </c>
      <c r="F729" s="121">
        <v>0</v>
      </c>
      <c r="G729" s="121">
        <v>32503</v>
      </c>
    </row>
    <row r="730" spans="1:7">
      <c r="A730" s="122" t="s">
        <v>804</v>
      </c>
      <c r="B730" s="406" t="s">
        <v>2877</v>
      </c>
      <c r="C730" s="173">
        <v>1.246</v>
      </c>
      <c r="D730" s="173">
        <v>648.971</v>
      </c>
      <c r="E730" s="173">
        <v>1.36</v>
      </c>
      <c r="F730" s="121">
        <v>0</v>
      </c>
      <c r="G730" s="121">
        <v>62954</v>
      </c>
    </row>
    <row r="731" spans="1:7">
      <c r="A731" s="122" t="s">
        <v>21</v>
      </c>
      <c r="B731" s="406" t="s">
        <v>341</v>
      </c>
      <c r="C731" s="173">
        <v>1.2166999999999999</v>
      </c>
      <c r="D731" s="173">
        <v>668.11199999999997</v>
      </c>
      <c r="E731" s="173">
        <v>1.327</v>
      </c>
      <c r="F731" s="121">
        <v>0</v>
      </c>
      <c r="G731" s="121">
        <v>66589</v>
      </c>
    </row>
    <row r="732" spans="1:7">
      <c r="A732" s="122" t="s">
        <v>2383</v>
      </c>
      <c r="B732" s="406" t="s">
        <v>93</v>
      </c>
      <c r="C732" s="173">
        <v>1.3186</v>
      </c>
      <c r="D732" s="173">
        <v>639.86599999999999</v>
      </c>
      <c r="E732" s="173">
        <v>1.4419999999999999</v>
      </c>
      <c r="F732" s="121">
        <v>0</v>
      </c>
      <c r="G732" s="121">
        <v>39211</v>
      </c>
    </row>
    <row r="733" spans="1:7">
      <c r="A733" s="122" t="s">
        <v>22</v>
      </c>
      <c r="B733" s="406" t="s">
        <v>342</v>
      </c>
      <c r="C733" s="173">
        <v>1.29</v>
      </c>
      <c r="D733" s="173">
        <v>359.303</v>
      </c>
      <c r="E733" s="173">
        <v>1.41</v>
      </c>
      <c r="F733" s="121">
        <v>0</v>
      </c>
      <c r="G733" s="121">
        <v>109825</v>
      </c>
    </row>
    <row r="734" spans="1:7">
      <c r="A734" s="122" t="s">
        <v>1159</v>
      </c>
      <c r="B734" s="406" t="s">
        <v>2609</v>
      </c>
      <c r="C734" s="173">
        <v>1.3049999999999999</v>
      </c>
      <c r="D734" s="173">
        <v>1143.0999999999999</v>
      </c>
      <c r="E734" s="173">
        <v>1.4265000000000001</v>
      </c>
      <c r="F734" s="121">
        <v>0</v>
      </c>
      <c r="G734" s="121">
        <v>311562</v>
      </c>
    </row>
    <row r="735" spans="1:7">
      <c r="A735" s="122" t="s">
        <v>2268</v>
      </c>
      <c r="B735" s="406" t="s">
        <v>3067</v>
      </c>
      <c r="C735" s="173">
        <v>1.48</v>
      </c>
      <c r="D735" s="173">
        <v>704.19799999999998</v>
      </c>
      <c r="E735" s="173">
        <v>1.48</v>
      </c>
      <c r="F735" s="121">
        <v>0</v>
      </c>
      <c r="G735" s="121">
        <v>61559</v>
      </c>
    </row>
    <row r="736" spans="1:7">
      <c r="A736" s="122" t="s">
        <v>1736</v>
      </c>
      <c r="B736" s="406" t="s">
        <v>664</v>
      </c>
      <c r="C736" s="173">
        <v>1.37</v>
      </c>
      <c r="D736" s="173">
        <v>303.95699999999999</v>
      </c>
      <c r="E736" s="173">
        <v>1.5</v>
      </c>
      <c r="F736" s="121">
        <v>0</v>
      </c>
      <c r="G736" s="121">
        <v>15688</v>
      </c>
    </row>
    <row r="737" spans="1:7">
      <c r="A737" s="122" t="s">
        <v>2145</v>
      </c>
      <c r="B737" s="406" t="s">
        <v>343</v>
      </c>
      <c r="C737" s="173">
        <v>1.37</v>
      </c>
      <c r="D737" s="173">
        <v>2081.0259999999998</v>
      </c>
      <c r="E737" s="173">
        <v>1.5</v>
      </c>
      <c r="F737" s="121">
        <v>0</v>
      </c>
      <c r="G737" s="121">
        <v>87898</v>
      </c>
    </row>
    <row r="738" spans="1:7">
      <c r="A738" s="122" t="s">
        <v>2637</v>
      </c>
      <c r="B738" s="406" t="s">
        <v>344</v>
      </c>
      <c r="C738" s="173">
        <v>1.37</v>
      </c>
      <c r="D738" s="173">
        <v>126.916</v>
      </c>
      <c r="E738" s="173">
        <v>1.5</v>
      </c>
      <c r="F738" s="121">
        <v>0</v>
      </c>
      <c r="G738" s="121">
        <v>47369</v>
      </c>
    </row>
    <row r="739" spans="1:7">
      <c r="A739" s="122" t="s">
        <v>464</v>
      </c>
      <c r="B739" s="406" t="s">
        <v>345</v>
      </c>
      <c r="C739" s="173">
        <v>1.4313</v>
      </c>
      <c r="D739" s="173">
        <v>193.09399999999999</v>
      </c>
      <c r="E739" s="173">
        <v>1.4313</v>
      </c>
      <c r="F739" s="121">
        <v>0</v>
      </c>
      <c r="G739" s="121">
        <v>15166</v>
      </c>
    </row>
    <row r="740" spans="1:7">
      <c r="A740" s="122" t="s">
        <v>2858</v>
      </c>
      <c r="B740" s="406" t="s">
        <v>346</v>
      </c>
      <c r="C740" s="173">
        <v>1.3701000000000001</v>
      </c>
      <c r="D740" s="173">
        <v>325.50299999999999</v>
      </c>
      <c r="E740" s="173">
        <v>1.5</v>
      </c>
      <c r="F740" s="121">
        <v>0</v>
      </c>
      <c r="G740" s="121">
        <v>19462</v>
      </c>
    </row>
    <row r="741" spans="1:7">
      <c r="A741" s="122" t="s">
        <v>1337</v>
      </c>
      <c r="B741" s="406" t="s">
        <v>347</v>
      </c>
      <c r="C741" s="173">
        <v>1.3523000000000001</v>
      </c>
      <c r="D741" s="173">
        <v>1127.6469999999999</v>
      </c>
      <c r="E741" s="173">
        <v>1.48</v>
      </c>
      <c r="F741" s="121">
        <v>0</v>
      </c>
      <c r="G741" s="121">
        <v>101489</v>
      </c>
    </row>
    <row r="742" spans="1:7">
      <c r="A742" s="122" t="s">
        <v>1338</v>
      </c>
      <c r="B742" s="406" t="s">
        <v>348</v>
      </c>
      <c r="C742" s="173">
        <v>1.37</v>
      </c>
      <c r="D742" s="173">
        <v>3673.2730000000001</v>
      </c>
      <c r="E742" s="173">
        <v>1.5</v>
      </c>
      <c r="F742" s="121">
        <v>0</v>
      </c>
      <c r="G742" s="121">
        <v>236886</v>
      </c>
    </row>
    <row r="743" spans="1:7">
      <c r="A743" s="122" t="s">
        <v>2753</v>
      </c>
      <c r="B743" s="406" t="s">
        <v>1256</v>
      </c>
      <c r="C743" s="173">
        <v>1.37</v>
      </c>
      <c r="D743" s="173">
        <v>36167.709000000003</v>
      </c>
      <c r="E743" s="173">
        <v>1.5</v>
      </c>
      <c r="F743" s="121">
        <v>320684</v>
      </c>
      <c r="G743" s="121">
        <v>1700654</v>
      </c>
    </row>
    <row r="744" spans="1:7">
      <c r="A744" s="122" t="s">
        <v>619</v>
      </c>
      <c r="B744" s="406" t="s">
        <v>349</v>
      </c>
      <c r="C744" s="173">
        <v>1.37</v>
      </c>
      <c r="D744" s="173">
        <v>262.387</v>
      </c>
      <c r="E744" s="173">
        <v>1.5</v>
      </c>
      <c r="F744" s="121">
        <v>0</v>
      </c>
      <c r="G744" s="121">
        <v>50986</v>
      </c>
    </row>
    <row r="745" spans="1:7">
      <c r="A745" s="122" t="s">
        <v>632</v>
      </c>
      <c r="B745" s="406" t="s">
        <v>350</v>
      </c>
      <c r="C745" s="173">
        <v>1.1395</v>
      </c>
      <c r="D745" s="173">
        <v>223.80699999999999</v>
      </c>
      <c r="E745" s="173">
        <v>1.24</v>
      </c>
      <c r="F745" s="121">
        <v>0</v>
      </c>
      <c r="G745" s="121">
        <v>35830</v>
      </c>
    </row>
    <row r="746" spans="1:7">
      <c r="A746" s="122" t="s">
        <v>633</v>
      </c>
      <c r="B746" s="406" t="s">
        <v>351</v>
      </c>
      <c r="C746" s="173">
        <v>1.3346</v>
      </c>
      <c r="D746" s="173">
        <v>526.16200000000003</v>
      </c>
      <c r="E746" s="173">
        <v>1.46</v>
      </c>
      <c r="F746" s="121">
        <v>0</v>
      </c>
      <c r="G746" s="121">
        <v>7145</v>
      </c>
    </row>
    <row r="747" spans="1:7">
      <c r="A747" s="122" t="s">
        <v>191</v>
      </c>
      <c r="B747" s="406" t="s">
        <v>3098</v>
      </c>
      <c r="C747" s="173">
        <v>1.37</v>
      </c>
      <c r="D747" s="173">
        <v>3435.9209999999998</v>
      </c>
      <c r="E747" s="173">
        <v>1.5</v>
      </c>
      <c r="F747" s="121">
        <v>0</v>
      </c>
      <c r="G747" s="121">
        <v>76440</v>
      </c>
    </row>
    <row r="748" spans="1:7">
      <c r="A748" s="122" t="s">
        <v>869</v>
      </c>
      <c r="B748" s="406" t="s">
        <v>352</v>
      </c>
      <c r="C748" s="173">
        <v>1.37</v>
      </c>
      <c r="D748" s="173">
        <v>3148.5720000000001</v>
      </c>
      <c r="E748" s="173">
        <v>1.5</v>
      </c>
      <c r="F748" s="121">
        <v>0</v>
      </c>
      <c r="G748" s="121">
        <v>169620</v>
      </c>
    </row>
    <row r="749" spans="1:7">
      <c r="A749" s="122" t="s">
        <v>1087</v>
      </c>
      <c r="B749" s="406" t="s">
        <v>353</v>
      </c>
      <c r="C749" s="173">
        <v>1.37</v>
      </c>
      <c r="D749" s="173">
        <v>814.53200000000004</v>
      </c>
      <c r="E749" s="173">
        <v>1.5</v>
      </c>
      <c r="F749" s="121">
        <v>0</v>
      </c>
      <c r="G749" s="121">
        <v>82278</v>
      </c>
    </row>
    <row r="750" spans="1:7">
      <c r="A750" s="122" t="s">
        <v>2452</v>
      </c>
      <c r="B750" s="406" t="s">
        <v>354</v>
      </c>
      <c r="C750" s="173">
        <v>1.3560000000000001</v>
      </c>
      <c r="D750" s="173">
        <v>4937.7049999999999</v>
      </c>
      <c r="E750" s="173">
        <v>1.4841</v>
      </c>
      <c r="F750" s="121">
        <v>0</v>
      </c>
      <c r="G750" s="121">
        <v>374182</v>
      </c>
    </row>
    <row r="751" spans="1:7">
      <c r="A751" s="122" t="s">
        <v>2453</v>
      </c>
      <c r="B751" s="406" t="s">
        <v>355</v>
      </c>
      <c r="C751" s="173">
        <v>1.37</v>
      </c>
      <c r="D751" s="173">
        <v>1781.4259999999999</v>
      </c>
      <c r="E751" s="173">
        <v>1.5</v>
      </c>
      <c r="F751" s="121">
        <v>0</v>
      </c>
      <c r="G751" s="121">
        <v>49098</v>
      </c>
    </row>
    <row r="752" spans="1:7">
      <c r="A752" s="122" t="s">
        <v>237</v>
      </c>
      <c r="B752" s="406" t="s">
        <v>1123</v>
      </c>
      <c r="C752" s="173">
        <v>1.37</v>
      </c>
      <c r="D752" s="173">
        <v>1938.09</v>
      </c>
      <c r="E752" s="173">
        <v>1.5</v>
      </c>
      <c r="F752" s="121">
        <v>0</v>
      </c>
      <c r="G752" s="121">
        <v>97896</v>
      </c>
    </row>
    <row r="753" spans="1:7">
      <c r="A753" s="122" t="s">
        <v>1097</v>
      </c>
      <c r="B753" s="406" t="s">
        <v>356</v>
      </c>
      <c r="C753" s="173">
        <v>1.28</v>
      </c>
      <c r="D753" s="173">
        <v>275.11</v>
      </c>
      <c r="E753" s="173">
        <v>1.4</v>
      </c>
      <c r="F753" s="121">
        <v>0</v>
      </c>
      <c r="G753" s="121">
        <v>31488</v>
      </c>
    </row>
    <row r="754" spans="1:7">
      <c r="A754" s="122" t="s">
        <v>1098</v>
      </c>
      <c r="B754" s="406" t="s">
        <v>357</v>
      </c>
      <c r="C754" s="173">
        <v>1.325</v>
      </c>
      <c r="D754" s="173">
        <v>124.55800000000001</v>
      </c>
      <c r="E754" s="173">
        <v>1.45</v>
      </c>
      <c r="F754" s="121">
        <v>0</v>
      </c>
      <c r="G754" s="121">
        <v>65631</v>
      </c>
    </row>
    <row r="755" spans="1:7">
      <c r="A755" s="122" t="s">
        <v>1099</v>
      </c>
      <c r="B755" s="406" t="s">
        <v>358</v>
      </c>
      <c r="C755" s="173">
        <v>1.37</v>
      </c>
      <c r="D755" s="173">
        <v>82.820999999999998</v>
      </c>
      <c r="E755" s="173">
        <v>1.5</v>
      </c>
      <c r="F755" s="121">
        <v>0</v>
      </c>
      <c r="G755" s="121">
        <v>16505</v>
      </c>
    </row>
    <row r="756" spans="1:7">
      <c r="A756" s="122" t="s">
        <v>2225</v>
      </c>
      <c r="B756" s="406" t="s">
        <v>2121</v>
      </c>
      <c r="C756" s="173">
        <v>1.37</v>
      </c>
      <c r="D756" s="173">
        <v>2376.87</v>
      </c>
      <c r="E756" s="173">
        <v>1.4985999999999999</v>
      </c>
      <c r="F756" s="121">
        <v>3534</v>
      </c>
      <c r="G756" s="121">
        <v>128477</v>
      </c>
    </row>
    <row r="757" spans="1:7">
      <c r="A757" s="122" t="s">
        <v>1100</v>
      </c>
      <c r="B757" s="406" t="s">
        <v>359</v>
      </c>
      <c r="C757" s="173">
        <v>1.37</v>
      </c>
      <c r="D757" s="173">
        <v>1541.5920000000001</v>
      </c>
      <c r="E757" s="173">
        <v>1.5</v>
      </c>
      <c r="F757" s="121">
        <v>0</v>
      </c>
      <c r="G757" s="121">
        <v>132361</v>
      </c>
    </row>
    <row r="758" spans="1:7">
      <c r="A758" s="122" t="s">
        <v>1101</v>
      </c>
      <c r="B758" s="406" t="s">
        <v>360</v>
      </c>
      <c r="C758" s="173">
        <v>1.3660000000000001</v>
      </c>
      <c r="D758" s="173">
        <v>2508.779</v>
      </c>
      <c r="E758" s="173">
        <v>1.4957</v>
      </c>
      <c r="F758" s="121">
        <v>0</v>
      </c>
      <c r="G758" s="121">
        <v>205756</v>
      </c>
    </row>
    <row r="759" spans="1:7">
      <c r="A759" s="122" t="s">
        <v>1655</v>
      </c>
      <c r="B759" s="406" t="s">
        <v>156</v>
      </c>
      <c r="C759" s="173">
        <v>1.4850000000000001</v>
      </c>
      <c r="D759" s="173">
        <v>4558.6440000000002</v>
      </c>
      <c r="E759" s="173">
        <v>1.5</v>
      </c>
      <c r="F759" s="121">
        <v>0</v>
      </c>
      <c r="G759" s="121">
        <v>410669</v>
      </c>
    </row>
    <row r="760" spans="1:7">
      <c r="A760" s="122" t="s">
        <v>1248</v>
      </c>
      <c r="B760" s="406" t="s">
        <v>361</v>
      </c>
      <c r="C760" s="173">
        <v>1.37</v>
      </c>
      <c r="D760" s="173">
        <v>3451.7190000000001</v>
      </c>
      <c r="E760" s="173">
        <v>1.5</v>
      </c>
      <c r="F760" s="121">
        <v>0</v>
      </c>
      <c r="G760" s="121">
        <v>415345</v>
      </c>
    </row>
    <row r="761" spans="1:7">
      <c r="A761" s="122" t="s">
        <v>1249</v>
      </c>
      <c r="B761" s="406" t="s">
        <v>362</v>
      </c>
      <c r="C761" s="173">
        <v>1.3585</v>
      </c>
      <c r="D761" s="173">
        <v>180.83799999999999</v>
      </c>
      <c r="E761" s="173">
        <v>1.4870000000000001</v>
      </c>
      <c r="F761" s="121">
        <v>0</v>
      </c>
      <c r="G761" s="121">
        <v>21658</v>
      </c>
    </row>
    <row r="762" spans="1:7">
      <c r="A762" s="122" t="s">
        <v>1250</v>
      </c>
      <c r="B762" s="406" t="s">
        <v>363</v>
      </c>
      <c r="C762" s="173">
        <v>1.3089</v>
      </c>
      <c r="D762" s="173">
        <v>308.947</v>
      </c>
      <c r="E762" s="173">
        <v>1.431</v>
      </c>
      <c r="F762" s="121">
        <v>0</v>
      </c>
      <c r="G762" s="121">
        <v>38897</v>
      </c>
    </row>
    <row r="763" spans="1:7">
      <c r="A763" s="122" t="s">
        <v>2902</v>
      </c>
      <c r="B763" s="406" t="s">
        <v>2559</v>
      </c>
      <c r="C763" s="173">
        <v>1.37</v>
      </c>
      <c r="D763" s="173">
        <v>3420.2289999999998</v>
      </c>
      <c r="E763" s="173">
        <v>1.5</v>
      </c>
      <c r="F763" s="121">
        <v>0</v>
      </c>
      <c r="G763" s="121">
        <v>293389</v>
      </c>
    </row>
    <row r="764" spans="1:7">
      <c r="A764" s="122" t="s">
        <v>1529</v>
      </c>
      <c r="B764" s="406" t="s">
        <v>364</v>
      </c>
      <c r="C764" s="173">
        <v>1.37</v>
      </c>
      <c r="D764" s="173">
        <v>463.08800000000002</v>
      </c>
      <c r="E764" s="173">
        <v>1.5</v>
      </c>
      <c r="F764" s="121">
        <v>0</v>
      </c>
      <c r="G764" s="121">
        <v>73631</v>
      </c>
    </row>
    <row r="765" spans="1:7">
      <c r="A765" s="122" t="s">
        <v>1530</v>
      </c>
      <c r="B765" s="406" t="s">
        <v>365</v>
      </c>
      <c r="C765" s="173">
        <v>1.3156000000000001</v>
      </c>
      <c r="D765" s="173">
        <v>171.50700000000001</v>
      </c>
      <c r="E765" s="173">
        <v>1.4386000000000001</v>
      </c>
      <c r="F765" s="121">
        <v>0</v>
      </c>
      <c r="G765" s="121">
        <v>10372</v>
      </c>
    </row>
    <row r="766" spans="1:7">
      <c r="A766" s="122" t="s">
        <v>1531</v>
      </c>
      <c r="B766" s="406" t="s">
        <v>471</v>
      </c>
      <c r="C766" s="173">
        <v>1.3701000000000001</v>
      </c>
      <c r="D766" s="173">
        <v>88.484999999999999</v>
      </c>
      <c r="E766" s="173">
        <v>1.5</v>
      </c>
      <c r="F766" s="121">
        <v>0</v>
      </c>
      <c r="G766" s="121">
        <v>19927</v>
      </c>
    </row>
    <row r="767" spans="1:7">
      <c r="A767" s="122" t="s">
        <v>1532</v>
      </c>
      <c r="B767" s="406" t="s">
        <v>472</v>
      </c>
      <c r="C767" s="173">
        <v>1.29</v>
      </c>
      <c r="D767" s="173">
        <v>486.82</v>
      </c>
      <c r="E767" s="173">
        <v>1.4097</v>
      </c>
      <c r="F767" s="121">
        <v>0</v>
      </c>
      <c r="G767" s="121">
        <v>46817</v>
      </c>
    </row>
    <row r="768" spans="1:7">
      <c r="A768" s="122" t="s">
        <v>1533</v>
      </c>
      <c r="B768" s="406" t="s">
        <v>473</v>
      </c>
      <c r="C768" s="173">
        <v>1.37</v>
      </c>
      <c r="D768" s="173">
        <v>2600.7629999999999</v>
      </c>
      <c r="E768" s="173">
        <v>1.5</v>
      </c>
      <c r="F768" s="121">
        <v>0</v>
      </c>
      <c r="G768" s="121">
        <v>330940</v>
      </c>
    </row>
    <row r="769" spans="1:7">
      <c r="A769" s="122" t="s">
        <v>2974</v>
      </c>
      <c r="B769" s="406" t="s">
        <v>494</v>
      </c>
      <c r="C769" s="173">
        <v>1.1679999999999999</v>
      </c>
      <c r="D769" s="173">
        <v>292.63</v>
      </c>
      <c r="E769" s="173">
        <v>1.1274999999999999</v>
      </c>
      <c r="F769" s="121">
        <v>0</v>
      </c>
      <c r="G769" s="121">
        <v>28138</v>
      </c>
    </row>
    <row r="770" spans="1:7">
      <c r="A770" s="122" t="s">
        <v>805</v>
      </c>
      <c r="B770" s="406" t="s">
        <v>1130</v>
      </c>
      <c r="C770" s="173">
        <v>1.3106</v>
      </c>
      <c r="D770" s="173">
        <v>472.73099999999999</v>
      </c>
      <c r="E770" s="173">
        <v>1.4330000000000001</v>
      </c>
      <c r="F770" s="121">
        <v>0</v>
      </c>
      <c r="G770" s="121">
        <v>50836</v>
      </c>
    </row>
    <row r="771" spans="1:7">
      <c r="A771" s="122" t="s">
        <v>1703</v>
      </c>
      <c r="B771" s="406" t="s">
        <v>2211</v>
      </c>
      <c r="C771" s="173">
        <v>1.37</v>
      </c>
      <c r="D771" s="173">
        <v>3243.0720000000001</v>
      </c>
      <c r="E771" s="173">
        <v>1.5</v>
      </c>
      <c r="F771" s="121">
        <v>0</v>
      </c>
      <c r="G771" s="121">
        <v>338045</v>
      </c>
    </row>
    <row r="772" spans="1:7">
      <c r="A772" s="122" t="s">
        <v>1656</v>
      </c>
      <c r="B772" s="406" t="s">
        <v>161</v>
      </c>
      <c r="C772" s="173">
        <v>1.37</v>
      </c>
      <c r="D772" s="173">
        <v>6688.116</v>
      </c>
      <c r="E772" s="173">
        <v>1.5</v>
      </c>
      <c r="F772" s="121">
        <v>0</v>
      </c>
      <c r="G772" s="121">
        <v>545275</v>
      </c>
    </row>
    <row r="773" spans="1:7">
      <c r="A773" s="122" t="s">
        <v>2901</v>
      </c>
      <c r="B773" s="406" t="s">
        <v>2558</v>
      </c>
      <c r="C773" s="173">
        <v>1.37</v>
      </c>
      <c r="D773" s="173">
        <v>732.87599999999998</v>
      </c>
      <c r="E773" s="173">
        <v>1.5</v>
      </c>
      <c r="F773" s="121">
        <v>0</v>
      </c>
      <c r="G773" s="121">
        <v>60303</v>
      </c>
    </row>
    <row r="774" spans="1:7">
      <c r="A774" s="122" t="s">
        <v>1563</v>
      </c>
      <c r="B774" s="406" t="s">
        <v>474</v>
      </c>
      <c r="C774" s="173">
        <v>1.37</v>
      </c>
      <c r="D774" s="173">
        <v>3801.6610000000001</v>
      </c>
      <c r="E774" s="173">
        <v>1.5</v>
      </c>
      <c r="F774" s="121">
        <v>0</v>
      </c>
      <c r="G774" s="121">
        <v>433878</v>
      </c>
    </row>
    <row r="775" spans="1:7">
      <c r="A775" s="122" t="s">
        <v>236</v>
      </c>
      <c r="B775" s="406" t="s">
        <v>2988</v>
      </c>
      <c r="C775" s="173">
        <v>1.37</v>
      </c>
      <c r="D775" s="173">
        <v>961.64700000000005</v>
      </c>
      <c r="E775" s="173">
        <v>1.5</v>
      </c>
      <c r="F775" s="121">
        <v>0</v>
      </c>
      <c r="G775" s="121">
        <v>63118</v>
      </c>
    </row>
    <row r="776" spans="1:7">
      <c r="A776" s="122" t="s">
        <v>2144</v>
      </c>
      <c r="B776" s="406" t="s">
        <v>2122</v>
      </c>
      <c r="C776" s="173">
        <v>1.37</v>
      </c>
      <c r="D776" s="173">
        <v>681.89300000000003</v>
      </c>
      <c r="E776" s="173">
        <v>1.5</v>
      </c>
      <c r="F776" s="121">
        <v>0</v>
      </c>
      <c r="G776" s="121">
        <v>51111</v>
      </c>
    </row>
    <row r="777" spans="1:7">
      <c r="A777" s="122" t="s">
        <v>1834</v>
      </c>
      <c r="B777" s="406" t="s">
        <v>475</v>
      </c>
      <c r="C777" s="173">
        <v>1.37</v>
      </c>
      <c r="D777" s="173">
        <v>176.11199999999999</v>
      </c>
      <c r="E777" s="173">
        <v>1.5</v>
      </c>
      <c r="F777" s="121">
        <v>0</v>
      </c>
      <c r="G777" s="121">
        <v>22098</v>
      </c>
    </row>
    <row r="778" spans="1:7">
      <c r="A778" s="122" t="s">
        <v>1835</v>
      </c>
      <c r="B778" s="406" t="s">
        <v>476</v>
      </c>
      <c r="C778" s="173">
        <v>1.1927000000000001</v>
      </c>
      <c r="D778" s="173">
        <v>467.51</v>
      </c>
      <c r="E778" s="173">
        <v>1.3</v>
      </c>
      <c r="F778" s="121">
        <v>0</v>
      </c>
      <c r="G778" s="121">
        <v>24872</v>
      </c>
    </row>
    <row r="779" spans="1:7">
      <c r="A779" s="122" t="s">
        <v>1836</v>
      </c>
      <c r="B779" s="406" t="s">
        <v>477</v>
      </c>
      <c r="C779" s="173">
        <v>1.2259</v>
      </c>
      <c r="D779" s="173">
        <v>479.55799999999999</v>
      </c>
      <c r="E779" s="173">
        <v>1.3373999999999999</v>
      </c>
      <c r="F779" s="121">
        <v>0</v>
      </c>
      <c r="G779" s="121">
        <v>38703</v>
      </c>
    </row>
    <row r="780" spans="1:7">
      <c r="A780" s="122" t="s">
        <v>1837</v>
      </c>
      <c r="B780" s="406" t="s">
        <v>478</v>
      </c>
      <c r="C780" s="173">
        <v>1.077</v>
      </c>
      <c r="D780" s="173">
        <v>1157.8630000000001</v>
      </c>
      <c r="E780" s="173">
        <v>1.17</v>
      </c>
      <c r="F780" s="121">
        <v>0</v>
      </c>
      <c r="G780" s="121">
        <v>56892</v>
      </c>
    </row>
    <row r="781" spans="1:7">
      <c r="A781" s="122" t="s">
        <v>1838</v>
      </c>
      <c r="B781" s="406" t="s">
        <v>479</v>
      </c>
      <c r="C781" s="173">
        <v>1.37</v>
      </c>
      <c r="D781" s="173">
        <v>122.309</v>
      </c>
      <c r="E781" s="173">
        <v>1.5</v>
      </c>
      <c r="F781" s="121">
        <v>0</v>
      </c>
      <c r="G781" s="121">
        <v>34881</v>
      </c>
    </row>
    <row r="782" spans="1:7">
      <c r="A782" s="122" t="s">
        <v>2140</v>
      </c>
      <c r="B782" s="406" t="s">
        <v>480</v>
      </c>
      <c r="C782" s="173">
        <v>1.37</v>
      </c>
      <c r="D782" s="173">
        <v>114.98099999999999</v>
      </c>
      <c r="E782" s="173">
        <v>1.5</v>
      </c>
      <c r="F782" s="121">
        <v>0</v>
      </c>
      <c r="G782" s="121">
        <v>15819</v>
      </c>
    </row>
    <row r="783" spans="1:7">
      <c r="A783" s="122" t="s">
        <v>2625</v>
      </c>
      <c r="B783" s="406" t="s">
        <v>481</v>
      </c>
      <c r="C783" s="173">
        <v>1.37</v>
      </c>
      <c r="D783" s="173">
        <v>2047.162</v>
      </c>
      <c r="E783" s="173">
        <v>1.5</v>
      </c>
      <c r="F783" s="121">
        <v>0</v>
      </c>
      <c r="G783" s="121">
        <v>187208</v>
      </c>
    </row>
    <row r="784" spans="1:7">
      <c r="A784" s="122" t="s">
        <v>2614</v>
      </c>
      <c r="B784" s="406" t="s">
        <v>482</v>
      </c>
      <c r="C784" s="173">
        <v>1.37</v>
      </c>
      <c r="D784" s="173">
        <v>524.42999999999995</v>
      </c>
      <c r="E784" s="173">
        <v>1.5</v>
      </c>
      <c r="F784" s="121">
        <v>0</v>
      </c>
      <c r="G784" s="121">
        <v>53760</v>
      </c>
    </row>
    <row r="785" spans="1:7">
      <c r="A785" s="122" t="s">
        <v>1477</v>
      </c>
      <c r="B785" s="406" t="s">
        <v>483</v>
      </c>
      <c r="C785" s="173">
        <v>1.37</v>
      </c>
      <c r="D785" s="173">
        <v>432.36200000000002</v>
      </c>
      <c r="E785" s="173">
        <v>1.5</v>
      </c>
      <c r="F785" s="121">
        <v>0</v>
      </c>
      <c r="G785" s="121">
        <v>89163</v>
      </c>
    </row>
    <row r="786" spans="1:7">
      <c r="A786" s="122" t="s">
        <v>790</v>
      </c>
      <c r="B786" s="406" t="s">
        <v>484</v>
      </c>
      <c r="C786" s="173">
        <v>1.37</v>
      </c>
      <c r="D786" s="173">
        <v>288.41500000000002</v>
      </c>
      <c r="E786" s="173">
        <v>1.5</v>
      </c>
      <c r="F786" s="121">
        <v>0</v>
      </c>
      <c r="G786" s="121">
        <v>19243</v>
      </c>
    </row>
    <row r="787" spans="1:7">
      <c r="A787" s="122" t="s">
        <v>2917</v>
      </c>
      <c r="B787" s="406" t="s">
        <v>485</v>
      </c>
      <c r="C787" s="173">
        <v>1.3478000000000001</v>
      </c>
      <c r="D787" s="173">
        <v>1027.5229999999999</v>
      </c>
      <c r="E787" s="173">
        <v>1.4750000000000001</v>
      </c>
      <c r="F787" s="121">
        <v>0</v>
      </c>
      <c r="G787" s="121">
        <v>179831</v>
      </c>
    </row>
    <row r="788" spans="1:7">
      <c r="A788" s="122" t="s">
        <v>791</v>
      </c>
      <c r="B788" s="406" t="s">
        <v>486</v>
      </c>
      <c r="C788" s="173">
        <v>1.37</v>
      </c>
      <c r="D788" s="173">
        <v>220.60400000000001</v>
      </c>
      <c r="E788" s="173">
        <v>1.5</v>
      </c>
      <c r="F788" s="121">
        <v>0</v>
      </c>
      <c r="G788" s="121">
        <v>23943</v>
      </c>
    </row>
    <row r="789" spans="1:7">
      <c r="A789" s="122" t="s">
        <v>1992</v>
      </c>
      <c r="B789" s="406" t="s">
        <v>2545</v>
      </c>
      <c r="C789" s="173">
        <v>1.3545</v>
      </c>
      <c r="D789" s="173">
        <v>3741.77</v>
      </c>
      <c r="E789" s="173">
        <v>1.4824999999999999</v>
      </c>
      <c r="F789" s="121">
        <v>0</v>
      </c>
      <c r="G789" s="121">
        <v>573769</v>
      </c>
    </row>
    <row r="790" spans="1:7">
      <c r="A790" s="122" t="s">
        <v>1380</v>
      </c>
      <c r="B790" s="406" t="s">
        <v>487</v>
      </c>
      <c r="C790" s="173">
        <v>1.3552</v>
      </c>
      <c r="D790" s="173">
        <v>825.45100000000002</v>
      </c>
      <c r="E790" s="173">
        <v>1.4833000000000001</v>
      </c>
      <c r="F790" s="121">
        <v>0</v>
      </c>
      <c r="G790" s="121">
        <v>96559</v>
      </c>
    </row>
    <row r="791" spans="1:7">
      <c r="A791" s="122" t="s">
        <v>1839</v>
      </c>
      <c r="B791" s="406" t="s">
        <v>1204</v>
      </c>
      <c r="C791" s="173">
        <v>1.33</v>
      </c>
      <c r="D791" s="173">
        <v>27263.460999999999</v>
      </c>
      <c r="E791" s="173">
        <v>1.5</v>
      </c>
      <c r="F791" s="121">
        <v>166104</v>
      </c>
      <c r="G791" s="121">
        <v>1011666</v>
      </c>
    </row>
    <row r="792" spans="1:7">
      <c r="A792" s="122" t="s">
        <v>227</v>
      </c>
      <c r="B792" s="406" t="s">
        <v>3095</v>
      </c>
      <c r="C792" s="173">
        <v>1.37</v>
      </c>
      <c r="D792" s="173">
        <v>1281.174</v>
      </c>
      <c r="E792" s="173">
        <v>1.5</v>
      </c>
      <c r="F792" s="121">
        <v>0</v>
      </c>
      <c r="G792" s="121">
        <v>110472</v>
      </c>
    </row>
    <row r="793" spans="1:7">
      <c r="A793" s="122" t="s">
        <v>625</v>
      </c>
      <c r="B793" s="406" t="s">
        <v>151</v>
      </c>
      <c r="C793" s="173">
        <v>1.3257000000000001</v>
      </c>
      <c r="D793" s="173">
        <v>797.15800000000002</v>
      </c>
      <c r="E793" s="173">
        <v>1.45</v>
      </c>
      <c r="F793" s="121">
        <v>0</v>
      </c>
      <c r="G793" s="121">
        <v>100885</v>
      </c>
    </row>
    <row r="794" spans="1:7">
      <c r="A794" s="122" t="s">
        <v>2496</v>
      </c>
      <c r="B794" s="406" t="s">
        <v>488</v>
      </c>
      <c r="C794" s="173">
        <v>1.345</v>
      </c>
      <c r="D794" s="173">
        <v>849.77599999999995</v>
      </c>
      <c r="E794" s="173">
        <v>1.4717</v>
      </c>
      <c r="F794" s="121">
        <v>38017</v>
      </c>
      <c r="G794" s="121">
        <v>134378</v>
      </c>
    </row>
    <row r="795" spans="1:7">
      <c r="A795" s="122" t="s">
        <v>1657</v>
      </c>
      <c r="B795" s="406" t="s">
        <v>323</v>
      </c>
      <c r="C795" s="173">
        <v>1.37</v>
      </c>
      <c r="D795" s="173">
        <v>407.75700000000001</v>
      </c>
      <c r="E795" s="173">
        <v>1.5</v>
      </c>
      <c r="F795" s="121">
        <v>0</v>
      </c>
      <c r="G795" s="121">
        <v>19442</v>
      </c>
    </row>
    <row r="796" spans="1:7">
      <c r="A796" s="122" t="s">
        <v>245</v>
      </c>
      <c r="B796" s="406" t="s">
        <v>2413</v>
      </c>
      <c r="C796" s="173">
        <v>1.37</v>
      </c>
      <c r="D796" s="173">
        <v>1411.62</v>
      </c>
      <c r="E796" s="173">
        <v>1.5</v>
      </c>
      <c r="F796" s="121">
        <v>0</v>
      </c>
      <c r="G796" s="121">
        <v>48770</v>
      </c>
    </row>
    <row r="797" spans="1:7">
      <c r="A797" s="122" t="s">
        <v>1464</v>
      </c>
      <c r="B797" s="406" t="s">
        <v>489</v>
      </c>
      <c r="C797" s="173">
        <v>1.3079000000000001</v>
      </c>
      <c r="D797" s="173">
        <v>1515.9590000000001</v>
      </c>
      <c r="E797" s="173">
        <v>1.43</v>
      </c>
      <c r="F797" s="121">
        <v>0</v>
      </c>
      <c r="G797" s="121">
        <v>199327</v>
      </c>
    </row>
    <row r="798" spans="1:7">
      <c r="A798" s="122" t="s">
        <v>1465</v>
      </c>
      <c r="B798" s="406" t="s">
        <v>179</v>
      </c>
      <c r="C798" s="173">
        <v>1.3278000000000001</v>
      </c>
      <c r="D798" s="173">
        <v>7663.4110000000001</v>
      </c>
      <c r="E798" s="173">
        <v>1.4975000000000001</v>
      </c>
      <c r="F798" s="121">
        <v>2896</v>
      </c>
      <c r="G798" s="121">
        <v>595807</v>
      </c>
    </row>
    <row r="799" spans="1:7">
      <c r="A799" s="122" t="s">
        <v>2883</v>
      </c>
      <c r="B799" s="406" t="s">
        <v>180</v>
      </c>
      <c r="C799" s="173">
        <v>1.21</v>
      </c>
      <c r="D799" s="173">
        <v>692.40200000000004</v>
      </c>
      <c r="E799" s="173">
        <v>1.33</v>
      </c>
      <c r="F799" s="121">
        <v>0</v>
      </c>
      <c r="G799" s="121">
        <v>66754</v>
      </c>
    </row>
    <row r="800" spans="1:7">
      <c r="A800" s="122" t="s">
        <v>896</v>
      </c>
      <c r="B800" s="406" t="s">
        <v>181</v>
      </c>
      <c r="C800" s="173">
        <v>1.39</v>
      </c>
      <c r="D800" s="173">
        <v>235.81399999999999</v>
      </c>
      <c r="E800" s="173">
        <v>1.39</v>
      </c>
      <c r="F800" s="121">
        <v>0</v>
      </c>
      <c r="G800" s="121">
        <v>31215</v>
      </c>
    </row>
    <row r="801" spans="1:7">
      <c r="A801" s="122" t="s">
        <v>135</v>
      </c>
      <c r="B801" s="406" t="s">
        <v>2428</v>
      </c>
      <c r="C801" s="173">
        <v>1.32</v>
      </c>
      <c r="D801" s="173">
        <v>405.12</v>
      </c>
      <c r="E801" s="173">
        <v>1.44</v>
      </c>
      <c r="F801" s="121">
        <v>0</v>
      </c>
      <c r="G801" s="121">
        <v>47235</v>
      </c>
    </row>
    <row r="802" spans="1:7">
      <c r="A802" s="122" t="s">
        <v>3051</v>
      </c>
      <c r="B802" s="406" t="s">
        <v>3096</v>
      </c>
      <c r="C802" s="173">
        <v>1.173</v>
      </c>
      <c r="D802" s="173">
        <v>685.17899999999997</v>
      </c>
      <c r="E802" s="173">
        <v>1.2778</v>
      </c>
      <c r="F802" s="121">
        <v>0</v>
      </c>
      <c r="G802" s="121">
        <v>103657</v>
      </c>
    </row>
    <row r="803" spans="1:7">
      <c r="A803" s="122" t="s">
        <v>2597</v>
      </c>
      <c r="B803" s="406" t="s">
        <v>1822</v>
      </c>
      <c r="C803" s="173">
        <v>1.1927000000000001</v>
      </c>
      <c r="D803" s="173">
        <v>877.18100000000004</v>
      </c>
      <c r="E803" s="173">
        <v>1.3</v>
      </c>
      <c r="F803" s="121">
        <v>0</v>
      </c>
      <c r="G803" s="121">
        <v>181254</v>
      </c>
    </row>
    <row r="804" spans="1:7">
      <c r="A804" s="122" t="s">
        <v>411</v>
      </c>
      <c r="B804" s="406" t="s">
        <v>3065</v>
      </c>
      <c r="C804" s="173">
        <v>1.2990999999999999</v>
      </c>
      <c r="D804" s="173">
        <v>465.81599999999997</v>
      </c>
      <c r="E804" s="173">
        <v>1.42</v>
      </c>
      <c r="F804" s="121">
        <v>0</v>
      </c>
      <c r="G804" s="121">
        <v>72522</v>
      </c>
    </row>
    <row r="805" spans="1:7">
      <c r="A805" s="122" t="s">
        <v>1113</v>
      </c>
      <c r="B805" s="406" t="s">
        <v>1823</v>
      </c>
      <c r="C805" s="173">
        <v>1.37</v>
      </c>
      <c r="D805" s="173">
        <v>2072.7260000000001</v>
      </c>
      <c r="E805" s="173">
        <v>1.5</v>
      </c>
      <c r="F805" s="121">
        <v>0</v>
      </c>
      <c r="G805" s="121">
        <v>113432</v>
      </c>
    </row>
    <row r="806" spans="1:7">
      <c r="A806" s="122" t="s">
        <v>1932</v>
      </c>
      <c r="B806" s="406" t="s">
        <v>2430</v>
      </c>
      <c r="C806" s="173">
        <v>1.37</v>
      </c>
      <c r="D806" s="173">
        <v>175.47900000000001</v>
      </c>
      <c r="E806" s="173">
        <v>1.5</v>
      </c>
      <c r="F806" s="121">
        <v>0</v>
      </c>
      <c r="G806" s="121">
        <v>8097</v>
      </c>
    </row>
    <row r="807" spans="1:7">
      <c r="A807" s="122" t="s">
        <v>793</v>
      </c>
      <c r="B807" s="406" t="s">
        <v>1824</v>
      </c>
      <c r="C807" s="173">
        <v>1.244</v>
      </c>
      <c r="D807" s="173">
        <v>173.142</v>
      </c>
      <c r="E807" s="173">
        <v>1.3583000000000001</v>
      </c>
      <c r="F807" s="121">
        <v>0</v>
      </c>
      <c r="G807" s="121">
        <v>23751</v>
      </c>
    </row>
    <row r="808" spans="1:7">
      <c r="A808" s="122" t="s">
        <v>794</v>
      </c>
      <c r="B808" s="406" t="s">
        <v>1825</v>
      </c>
      <c r="C808" s="173">
        <v>1.37</v>
      </c>
      <c r="D808" s="173">
        <v>513.654</v>
      </c>
      <c r="E808" s="173">
        <v>1.5</v>
      </c>
      <c r="F808" s="121">
        <v>0</v>
      </c>
      <c r="G808" s="121">
        <v>45717</v>
      </c>
    </row>
    <row r="809" spans="1:7">
      <c r="A809" s="122" t="s">
        <v>795</v>
      </c>
      <c r="B809" s="406" t="s">
        <v>1826</v>
      </c>
      <c r="C809" s="173">
        <v>1.3346</v>
      </c>
      <c r="D809" s="173">
        <v>720.84900000000005</v>
      </c>
      <c r="E809" s="173">
        <v>1.46</v>
      </c>
      <c r="F809" s="121">
        <v>0</v>
      </c>
      <c r="G809" s="121">
        <v>20747</v>
      </c>
    </row>
    <row r="810" spans="1:7">
      <c r="A810" s="122" t="s">
        <v>1644</v>
      </c>
      <c r="B810" s="406" t="s">
        <v>1827</v>
      </c>
      <c r="C810" s="173">
        <v>1.37</v>
      </c>
      <c r="D810" s="173">
        <v>154.80799999999999</v>
      </c>
      <c r="E810" s="173">
        <v>1.5</v>
      </c>
      <c r="F810" s="121">
        <v>0</v>
      </c>
      <c r="G810" s="121">
        <v>61227</v>
      </c>
    </row>
    <row r="811" spans="1:7">
      <c r="A811" s="122" t="s">
        <v>1645</v>
      </c>
      <c r="B811" s="406" t="s">
        <v>1828</v>
      </c>
      <c r="C811" s="173">
        <v>1.37</v>
      </c>
      <c r="D811" s="173">
        <v>432.29700000000003</v>
      </c>
      <c r="E811" s="173">
        <v>1.5</v>
      </c>
      <c r="F811" s="121">
        <v>0</v>
      </c>
      <c r="G811" s="121">
        <v>46069</v>
      </c>
    </row>
    <row r="812" spans="1:7">
      <c r="A812" s="122" t="s">
        <v>1646</v>
      </c>
      <c r="B812" s="406" t="s">
        <v>1829</v>
      </c>
      <c r="C812" s="173">
        <v>1.36</v>
      </c>
      <c r="D812" s="173">
        <v>213.21199999999999</v>
      </c>
      <c r="E812" s="173">
        <v>1.4893000000000001</v>
      </c>
      <c r="F812" s="121">
        <v>0</v>
      </c>
      <c r="G812" s="121">
        <v>15506</v>
      </c>
    </row>
    <row r="813" spans="1:7">
      <c r="A813" s="122" t="s">
        <v>1647</v>
      </c>
      <c r="B813" s="406" t="s">
        <v>1830</v>
      </c>
      <c r="C813" s="173">
        <v>1.198</v>
      </c>
      <c r="D813" s="173">
        <v>949.8</v>
      </c>
      <c r="E813" s="173">
        <v>1.3080000000000001</v>
      </c>
      <c r="F813" s="121">
        <v>0</v>
      </c>
      <c r="G813" s="121">
        <v>165711</v>
      </c>
    </row>
    <row r="814" spans="1:7">
      <c r="A814" s="122" t="s">
        <v>1648</v>
      </c>
      <c r="B814" s="406" t="s">
        <v>1831</v>
      </c>
      <c r="C814" s="173">
        <v>1.37</v>
      </c>
      <c r="D814" s="173">
        <v>1079.991</v>
      </c>
      <c r="E814" s="173">
        <v>1.5</v>
      </c>
      <c r="F814" s="121">
        <v>0</v>
      </c>
      <c r="G814" s="121">
        <v>40644</v>
      </c>
    </row>
    <row r="815" spans="1:7">
      <c r="A815" s="122" t="s">
        <v>1649</v>
      </c>
      <c r="B815" s="406" t="s">
        <v>1102</v>
      </c>
      <c r="C815" s="173">
        <v>1.26</v>
      </c>
      <c r="D815" s="173">
        <v>396.30399999999997</v>
      </c>
      <c r="E815" s="173">
        <v>1.38</v>
      </c>
      <c r="F815" s="121">
        <v>0</v>
      </c>
      <c r="G815" s="121">
        <v>11200</v>
      </c>
    </row>
    <row r="816" spans="1:7">
      <c r="A816" s="122" t="s">
        <v>1885</v>
      </c>
      <c r="B816" s="406" t="s">
        <v>1103</v>
      </c>
      <c r="C816" s="173">
        <v>1.33</v>
      </c>
      <c r="D816" s="173">
        <v>10725.244000000001</v>
      </c>
      <c r="E816" s="173">
        <v>1.5</v>
      </c>
      <c r="F816" s="121">
        <v>244809</v>
      </c>
      <c r="G816" s="121">
        <v>789812</v>
      </c>
    </row>
    <row r="817" spans="1:7">
      <c r="A817" s="122" t="s">
        <v>2056</v>
      </c>
      <c r="B817" s="406" t="s">
        <v>668</v>
      </c>
      <c r="C817" s="173">
        <v>1.2768999999999999</v>
      </c>
      <c r="D817" s="173">
        <v>3106.5</v>
      </c>
      <c r="E817" s="173">
        <v>1.395</v>
      </c>
      <c r="F817" s="121">
        <v>10575</v>
      </c>
      <c r="G817" s="121">
        <v>251492</v>
      </c>
    </row>
    <row r="818" spans="1:7">
      <c r="A818" s="122" t="s">
        <v>1886</v>
      </c>
      <c r="B818" s="406" t="s">
        <v>2166</v>
      </c>
      <c r="C818" s="173">
        <v>1.37</v>
      </c>
      <c r="D818" s="173">
        <v>964.11</v>
      </c>
      <c r="E818" s="173">
        <v>1.5</v>
      </c>
      <c r="F818" s="121">
        <v>0</v>
      </c>
      <c r="G818" s="121">
        <v>69044</v>
      </c>
    </row>
    <row r="819" spans="1:7">
      <c r="A819" s="122" t="s">
        <v>412</v>
      </c>
      <c r="B819" s="406" t="s">
        <v>2556</v>
      </c>
      <c r="C819" s="173">
        <v>1.37</v>
      </c>
      <c r="D819" s="173">
        <v>411.56200000000001</v>
      </c>
      <c r="E819" s="173">
        <v>1.5</v>
      </c>
      <c r="F819" s="121">
        <v>0</v>
      </c>
      <c r="G819" s="121">
        <v>48161</v>
      </c>
    </row>
    <row r="820" spans="1:7">
      <c r="A820" s="122" t="s">
        <v>1350</v>
      </c>
      <c r="B820" s="406" t="s">
        <v>1290</v>
      </c>
      <c r="C820" s="173">
        <v>1.3257000000000001</v>
      </c>
      <c r="D820" s="173">
        <v>620.92999999999995</v>
      </c>
      <c r="E820" s="173">
        <v>1.45</v>
      </c>
      <c r="F820" s="121">
        <v>0</v>
      </c>
      <c r="G820" s="121">
        <v>43197</v>
      </c>
    </row>
    <row r="821" spans="1:7">
      <c r="A821" s="122" t="s">
        <v>413</v>
      </c>
      <c r="B821" s="406" t="s">
        <v>291</v>
      </c>
      <c r="C821" s="173">
        <v>1.3701000000000001</v>
      </c>
      <c r="D821" s="173">
        <v>72.882999999999996</v>
      </c>
      <c r="E821" s="173">
        <v>1.5</v>
      </c>
      <c r="F821" s="121">
        <v>0</v>
      </c>
      <c r="G821" s="121">
        <v>9618</v>
      </c>
    </row>
    <row r="822" spans="1:7">
      <c r="A822" s="122" t="s">
        <v>1887</v>
      </c>
      <c r="B822" s="406" t="s">
        <v>2167</v>
      </c>
      <c r="C822" s="173">
        <v>1.37</v>
      </c>
      <c r="D822" s="173">
        <v>3327.9929999999999</v>
      </c>
      <c r="E822" s="173">
        <v>1.5</v>
      </c>
      <c r="F822" s="121">
        <v>0</v>
      </c>
      <c r="G822" s="121">
        <v>327094</v>
      </c>
    </row>
    <row r="823" spans="1:7">
      <c r="A823" s="122" t="s">
        <v>1888</v>
      </c>
      <c r="B823" s="406" t="s">
        <v>1718</v>
      </c>
      <c r="C823" s="173">
        <v>1.37</v>
      </c>
      <c r="D823" s="173">
        <v>151.608</v>
      </c>
      <c r="E823" s="173">
        <v>1.5</v>
      </c>
      <c r="F823" s="121">
        <v>0</v>
      </c>
      <c r="G823" s="121">
        <v>37276</v>
      </c>
    </row>
    <row r="824" spans="1:7">
      <c r="A824" s="122" t="s">
        <v>1889</v>
      </c>
      <c r="B824" s="406" t="s">
        <v>1719</v>
      </c>
      <c r="C824" s="173">
        <v>1.4787999999999999</v>
      </c>
      <c r="D824" s="173">
        <v>227.57900000000001</v>
      </c>
      <c r="E824" s="173">
        <v>1.6227</v>
      </c>
      <c r="F824" s="121">
        <v>0</v>
      </c>
      <c r="G824" s="121">
        <v>25413</v>
      </c>
    </row>
    <row r="825" spans="1:7">
      <c r="A825" s="122" t="s">
        <v>2830</v>
      </c>
      <c r="B825" s="406" t="s">
        <v>2467</v>
      </c>
      <c r="C825" s="173">
        <v>1.37</v>
      </c>
      <c r="D825" s="173">
        <v>386.17</v>
      </c>
      <c r="E825" s="173">
        <v>1.5</v>
      </c>
      <c r="F825" s="121">
        <v>0</v>
      </c>
      <c r="G825" s="121">
        <v>24794</v>
      </c>
    </row>
    <row r="826" spans="1:7">
      <c r="A826" s="122" t="s">
        <v>2831</v>
      </c>
      <c r="B826" s="406" t="s">
        <v>1538</v>
      </c>
      <c r="C826" s="173">
        <v>1.37</v>
      </c>
      <c r="D826" s="173">
        <v>497.70800000000003</v>
      </c>
      <c r="E826" s="173">
        <v>1.5</v>
      </c>
      <c r="F826" s="121">
        <v>0</v>
      </c>
      <c r="G826" s="121">
        <v>29700</v>
      </c>
    </row>
    <row r="827" spans="1:7">
      <c r="A827" s="122" t="s">
        <v>1890</v>
      </c>
      <c r="B827" s="406" t="s">
        <v>1720</v>
      </c>
      <c r="C827" s="173">
        <v>1.3701000000000001</v>
      </c>
      <c r="D827" s="173">
        <v>1154.259</v>
      </c>
      <c r="E827" s="173">
        <v>1.33</v>
      </c>
      <c r="F827" s="121">
        <v>0</v>
      </c>
      <c r="G827" s="121">
        <v>142069</v>
      </c>
    </row>
    <row r="828" spans="1:7">
      <c r="A828" s="122" t="s">
        <v>218</v>
      </c>
      <c r="B828" s="406" t="s">
        <v>729</v>
      </c>
      <c r="C828" s="173">
        <v>1.37</v>
      </c>
      <c r="D828" s="173">
        <v>524.37800000000004</v>
      </c>
      <c r="E828" s="173">
        <v>1.5</v>
      </c>
      <c r="F828" s="121">
        <v>0</v>
      </c>
      <c r="G828" s="121">
        <v>61359</v>
      </c>
    </row>
    <row r="829" spans="1:7">
      <c r="A829" s="122" t="s">
        <v>1891</v>
      </c>
      <c r="B829" s="406" t="s">
        <v>1721</v>
      </c>
      <c r="C829" s="173">
        <v>1.3701000000000001</v>
      </c>
      <c r="D829" s="173">
        <v>704.10699999999997</v>
      </c>
      <c r="E829" s="173">
        <v>1.5</v>
      </c>
      <c r="F829" s="121">
        <v>0</v>
      </c>
      <c r="G829" s="121">
        <v>127179</v>
      </c>
    </row>
    <row r="830" spans="1:7">
      <c r="A830" s="122" t="s">
        <v>1575</v>
      </c>
      <c r="B830" s="406" t="s">
        <v>1722</v>
      </c>
      <c r="C830" s="173">
        <v>1.266</v>
      </c>
      <c r="D830" s="173">
        <v>892.61300000000006</v>
      </c>
      <c r="E830" s="173">
        <v>1.3827</v>
      </c>
      <c r="F830" s="121">
        <v>0</v>
      </c>
      <c r="G830" s="121">
        <v>119744</v>
      </c>
    </row>
    <row r="831" spans="1:7">
      <c r="A831" s="122" t="s">
        <v>1576</v>
      </c>
      <c r="B831" s="406" t="s">
        <v>1723</v>
      </c>
      <c r="C831" s="173">
        <v>1.2370000000000001</v>
      </c>
      <c r="D831" s="173">
        <v>569.91600000000005</v>
      </c>
      <c r="E831" s="173">
        <v>1.35</v>
      </c>
      <c r="F831" s="121">
        <v>0</v>
      </c>
      <c r="G831" s="121">
        <v>52791</v>
      </c>
    </row>
    <row r="832" spans="1:7">
      <c r="A832" s="122" t="s">
        <v>1577</v>
      </c>
      <c r="B832" s="406" t="s">
        <v>2364</v>
      </c>
      <c r="C832" s="173">
        <v>1.37</v>
      </c>
      <c r="D832" s="173">
        <v>887.80799999999999</v>
      </c>
      <c r="E832" s="173">
        <v>1.5</v>
      </c>
      <c r="F832" s="121">
        <v>0</v>
      </c>
      <c r="G832" s="121">
        <v>147153</v>
      </c>
    </row>
    <row r="833" spans="1:7">
      <c r="A833" s="122" t="s">
        <v>1832</v>
      </c>
      <c r="B833" s="406" t="s">
        <v>2365</v>
      </c>
      <c r="C833" s="173">
        <v>1.37</v>
      </c>
      <c r="D833" s="173">
        <v>420.62599999999998</v>
      </c>
      <c r="E833" s="173">
        <v>1.5</v>
      </c>
      <c r="F833" s="121">
        <v>0</v>
      </c>
      <c r="G833" s="121">
        <v>86544</v>
      </c>
    </row>
    <row r="834" spans="1:7">
      <c r="A834" s="122" t="s">
        <v>1833</v>
      </c>
      <c r="B834" s="406" t="s">
        <v>383</v>
      </c>
      <c r="C834" s="173">
        <v>1.37</v>
      </c>
      <c r="D834" s="173">
        <v>1641.232</v>
      </c>
      <c r="E834" s="173">
        <v>1.47</v>
      </c>
      <c r="F834" s="121">
        <v>0</v>
      </c>
      <c r="G834" s="121">
        <v>505725</v>
      </c>
    </row>
    <row r="835" spans="1:7">
      <c r="A835" s="122" t="s">
        <v>2790</v>
      </c>
      <c r="B835" s="406" t="s">
        <v>384</v>
      </c>
      <c r="C835" s="173">
        <v>1.2989999999999999</v>
      </c>
      <c r="D835" s="173">
        <v>1713.0509999999999</v>
      </c>
      <c r="E835" s="173">
        <v>1.42</v>
      </c>
      <c r="F835" s="121">
        <v>0</v>
      </c>
      <c r="G835" s="121">
        <v>203679</v>
      </c>
    </row>
    <row r="836" spans="1:7">
      <c r="A836" s="122" t="s">
        <v>1382</v>
      </c>
      <c r="B836" s="406" t="s">
        <v>2774</v>
      </c>
      <c r="C836" s="173">
        <v>1.3582000000000001</v>
      </c>
      <c r="D836" s="173">
        <v>1977.3240000000001</v>
      </c>
      <c r="E836" s="173">
        <v>1.4864999999999999</v>
      </c>
      <c r="F836" s="121">
        <v>0</v>
      </c>
      <c r="G836" s="121">
        <v>122394</v>
      </c>
    </row>
    <row r="837" spans="1:7">
      <c r="A837" s="122" t="s">
        <v>2791</v>
      </c>
      <c r="B837" s="406" t="s">
        <v>385</v>
      </c>
      <c r="C837" s="173">
        <v>1.37</v>
      </c>
      <c r="D837" s="173">
        <v>4055.1849999999999</v>
      </c>
      <c r="E837" s="173">
        <v>1.5</v>
      </c>
      <c r="F837" s="121">
        <v>0</v>
      </c>
      <c r="G837" s="121">
        <v>190307</v>
      </c>
    </row>
    <row r="838" spans="1:7">
      <c r="A838" s="122" t="s">
        <v>1639</v>
      </c>
      <c r="B838" s="406" t="s">
        <v>386</v>
      </c>
      <c r="C838" s="173">
        <v>1.37</v>
      </c>
      <c r="D838" s="173">
        <v>2066.94</v>
      </c>
      <c r="E838" s="173">
        <v>1.5</v>
      </c>
      <c r="F838" s="121">
        <v>0</v>
      </c>
      <c r="G838" s="121">
        <v>34078</v>
      </c>
    </row>
    <row r="839" spans="1:7">
      <c r="A839" s="122" t="s">
        <v>2892</v>
      </c>
      <c r="B839" s="406" t="s">
        <v>2360</v>
      </c>
      <c r="C839" s="173">
        <v>1.37</v>
      </c>
      <c r="D839" s="173">
        <v>1790.769</v>
      </c>
      <c r="E839" s="173">
        <v>1.5</v>
      </c>
      <c r="F839" s="121">
        <v>0</v>
      </c>
      <c r="G839" s="121">
        <v>141334</v>
      </c>
    </row>
    <row r="840" spans="1:7">
      <c r="A840" s="122" t="s">
        <v>1591</v>
      </c>
      <c r="B840" s="406" t="s">
        <v>289</v>
      </c>
      <c r="C840" s="173">
        <v>1.37</v>
      </c>
      <c r="D840" s="173">
        <v>1088.1479999999999</v>
      </c>
      <c r="E840" s="173">
        <v>1.5</v>
      </c>
      <c r="F840" s="121">
        <v>0</v>
      </c>
      <c r="G840" s="121">
        <v>103327</v>
      </c>
    </row>
    <row r="841" spans="1:7">
      <c r="A841" s="122" t="s">
        <v>1493</v>
      </c>
      <c r="B841" s="406" t="s">
        <v>296</v>
      </c>
      <c r="C841" s="173">
        <v>1.37</v>
      </c>
      <c r="D841" s="173">
        <v>2005.6030000000001</v>
      </c>
      <c r="E841" s="173">
        <v>1.5</v>
      </c>
      <c r="F841" s="121">
        <v>0</v>
      </c>
      <c r="G841" s="121">
        <v>138004</v>
      </c>
    </row>
    <row r="842" spans="1:7">
      <c r="A842" s="122" t="s">
        <v>219</v>
      </c>
      <c r="B842" s="406" t="s">
        <v>656</v>
      </c>
      <c r="C842" s="173">
        <v>1.37</v>
      </c>
      <c r="D842" s="173">
        <v>1312.076</v>
      </c>
      <c r="E842" s="173">
        <v>1.5</v>
      </c>
      <c r="F842" s="121">
        <v>0</v>
      </c>
      <c r="G842" s="121">
        <v>33874</v>
      </c>
    </row>
    <row r="843" spans="1:7">
      <c r="A843" s="122" t="s">
        <v>531</v>
      </c>
      <c r="B843" s="406" t="s">
        <v>1584</v>
      </c>
      <c r="C843" s="173">
        <v>1.33</v>
      </c>
      <c r="D843" s="173">
        <v>706.89400000000001</v>
      </c>
      <c r="E843" s="173">
        <v>1.46</v>
      </c>
      <c r="F843" s="121">
        <v>0</v>
      </c>
      <c r="G843" s="121">
        <v>60884</v>
      </c>
    </row>
    <row r="844" spans="1:7">
      <c r="A844" s="122" t="s">
        <v>1640</v>
      </c>
      <c r="B844" s="406" t="s">
        <v>387</v>
      </c>
      <c r="C844" s="173">
        <v>1.37</v>
      </c>
      <c r="D844" s="173">
        <v>177.09399999999999</v>
      </c>
      <c r="E844" s="173">
        <v>1.5</v>
      </c>
      <c r="F844" s="121">
        <v>0</v>
      </c>
      <c r="G844" s="121">
        <v>52418</v>
      </c>
    </row>
    <row r="845" spans="1:7">
      <c r="A845" s="122" t="s">
        <v>1641</v>
      </c>
      <c r="B845" s="406" t="s">
        <v>388</v>
      </c>
      <c r="C845" s="173">
        <v>1.37</v>
      </c>
      <c r="D845" s="173">
        <v>127.789</v>
      </c>
      <c r="E845" s="173">
        <v>1.5</v>
      </c>
      <c r="F845" s="121">
        <v>0</v>
      </c>
      <c r="G845" s="121">
        <v>23789</v>
      </c>
    </row>
    <row r="846" spans="1:7">
      <c r="A846" s="122" t="s">
        <v>1557</v>
      </c>
      <c r="B846" s="406" t="s">
        <v>389</v>
      </c>
      <c r="C846" s="173">
        <v>1.37</v>
      </c>
      <c r="D846" s="173">
        <v>552.35599999999999</v>
      </c>
      <c r="E846" s="173">
        <v>1.5</v>
      </c>
      <c r="F846" s="121">
        <v>0</v>
      </c>
      <c r="G846" s="121">
        <v>86174</v>
      </c>
    </row>
    <row r="847" spans="1:7">
      <c r="A847" s="122" t="s">
        <v>1558</v>
      </c>
      <c r="B847" s="406" t="s">
        <v>390</v>
      </c>
      <c r="C847" s="173">
        <v>1.37</v>
      </c>
      <c r="D847" s="173">
        <v>163.714</v>
      </c>
      <c r="E847" s="173">
        <v>1.5</v>
      </c>
      <c r="F847" s="121">
        <v>0</v>
      </c>
      <c r="G847" s="121">
        <v>20611</v>
      </c>
    </row>
    <row r="848" spans="1:7">
      <c r="A848" s="122" t="s">
        <v>1559</v>
      </c>
      <c r="B848" s="406" t="s">
        <v>391</v>
      </c>
      <c r="C848" s="173">
        <v>1.37</v>
      </c>
      <c r="D848" s="173">
        <v>2368.4929999999999</v>
      </c>
      <c r="E848" s="173">
        <v>1.5</v>
      </c>
      <c r="F848" s="121">
        <v>0</v>
      </c>
      <c r="G848" s="121">
        <v>168918</v>
      </c>
    </row>
    <row r="849" spans="1:7">
      <c r="A849" s="122" t="s">
        <v>1662</v>
      </c>
      <c r="B849" s="406" t="s">
        <v>392</v>
      </c>
      <c r="C849" s="173">
        <v>1.37</v>
      </c>
      <c r="D849" s="173">
        <v>238.15799999999999</v>
      </c>
      <c r="E849" s="173">
        <v>1.5</v>
      </c>
      <c r="F849" s="121">
        <v>0</v>
      </c>
      <c r="G849" s="121">
        <v>19988</v>
      </c>
    </row>
    <row r="850" spans="1:7">
      <c r="A850" s="122" t="s">
        <v>1084</v>
      </c>
      <c r="B850" s="406" t="s">
        <v>393</v>
      </c>
      <c r="C850" s="173">
        <v>1.1765000000000001</v>
      </c>
      <c r="D850" s="173">
        <v>541.93499999999995</v>
      </c>
      <c r="E850" s="173">
        <v>1.2817000000000001</v>
      </c>
      <c r="F850" s="121">
        <v>0</v>
      </c>
      <c r="G850" s="121">
        <v>26270</v>
      </c>
    </row>
    <row r="851" spans="1:7">
      <c r="A851" s="122" t="s">
        <v>1085</v>
      </c>
      <c r="B851" s="406" t="s">
        <v>394</v>
      </c>
      <c r="C851" s="173">
        <v>1.3070999999999999</v>
      </c>
      <c r="D851" s="173">
        <v>71.691999999999993</v>
      </c>
      <c r="E851" s="173">
        <v>1.4291</v>
      </c>
      <c r="F851" s="121">
        <v>0</v>
      </c>
      <c r="G851" s="121">
        <v>9148</v>
      </c>
    </row>
    <row r="852" spans="1:7">
      <c r="A852" s="122" t="s">
        <v>1086</v>
      </c>
      <c r="B852" s="406" t="s">
        <v>1995</v>
      </c>
      <c r="C852" s="173">
        <v>1.37</v>
      </c>
      <c r="D852" s="173">
        <v>2259.3969999999999</v>
      </c>
      <c r="E852" s="173">
        <v>1.5</v>
      </c>
      <c r="F852" s="121">
        <v>0</v>
      </c>
      <c r="G852" s="121">
        <v>272837</v>
      </c>
    </row>
    <row r="853" spans="1:7">
      <c r="A853" s="122" t="s">
        <v>1245</v>
      </c>
      <c r="B853" s="406" t="s">
        <v>1996</v>
      </c>
      <c r="C853" s="173">
        <v>1.2813000000000001</v>
      </c>
      <c r="D853" s="173">
        <v>624.81100000000004</v>
      </c>
      <c r="E853" s="173">
        <v>1.4</v>
      </c>
      <c r="F853" s="121">
        <v>0</v>
      </c>
      <c r="G853" s="121">
        <v>108454</v>
      </c>
    </row>
    <row r="854" spans="1:7">
      <c r="A854" s="122" t="s">
        <v>220</v>
      </c>
      <c r="B854" s="406" t="s">
        <v>1418</v>
      </c>
      <c r="C854" s="173">
        <v>1.2172000000000001</v>
      </c>
      <c r="D854" s="173">
        <v>705.93600000000004</v>
      </c>
      <c r="E854" s="173">
        <v>1.3277000000000001</v>
      </c>
      <c r="F854" s="121">
        <v>0</v>
      </c>
      <c r="G854" s="121">
        <v>118425</v>
      </c>
    </row>
    <row r="855" spans="1:7">
      <c r="A855" s="122" t="s">
        <v>1246</v>
      </c>
      <c r="B855" s="406" t="s">
        <v>1997</v>
      </c>
      <c r="C855" s="173">
        <v>1.37</v>
      </c>
      <c r="D855" s="173">
        <v>386.404</v>
      </c>
      <c r="E855" s="173">
        <v>1.5</v>
      </c>
      <c r="F855" s="121">
        <v>0</v>
      </c>
      <c r="G855" s="121">
        <v>41632</v>
      </c>
    </row>
    <row r="856" spans="1:7">
      <c r="A856" s="122" t="s">
        <v>1247</v>
      </c>
      <c r="B856" s="406" t="s">
        <v>1998</v>
      </c>
      <c r="C856" s="173">
        <v>1.37</v>
      </c>
      <c r="D856" s="173">
        <v>543.85500000000002</v>
      </c>
      <c r="E856" s="173">
        <v>1.5</v>
      </c>
      <c r="F856" s="121">
        <v>0</v>
      </c>
      <c r="G856" s="121">
        <v>71630</v>
      </c>
    </row>
    <row r="857" spans="1:7">
      <c r="A857" s="122" t="s">
        <v>1407</v>
      </c>
      <c r="B857" s="406" t="s">
        <v>1999</v>
      </c>
      <c r="C857" s="173">
        <v>1.37</v>
      </c>
      <c r="D857" s="173">
        <v>60.725000000000001</v>
      </c>
      <c r="E857" s="173">
        <v>1.5</v>
      </c>
      <c r="F857" s="121">
        <v>0</v>
      </c>
      <c r="G857" s="121">
        <v>11305</v>
      </c>
    </row>
    <row r="858" spans="1:7">
      <c r="A858" s="122" t="s">
        <v>1408</v>
      </c>
      <c r="B858" s="406" t="s">
        <v>2000</v>
      </c>
      <c r="C858" s="173">
        <v>1.2915000000000001</v>
      </c>
      <c r="D858" s="173">
        <v>121.715</v>
      </c>
      <c r="E858" s="173">
        <v>1.4114</v>
      </c>
      <c r="F858" s="121">
        <v>0</v>
      </c>
      <c r="G858" s="121">
        <v>23422</v>
      </c>
    </row>
    <row r="859" spans="1:7">
      <c r="A859" s="122" t="s">
        <v>2040</v>
      </c>
      <c r="B859" s="406" t="s">
        <v>2271</v>
      </c>
      <c r="C859" s="173">
        <v>1.2990999999999999</v>
      </c>
      <c r="D859" s="173">
        <v>581.36599999999999</v>
      </c>
      <c r="E859" s="173">
        <v>1.42</v>
      </c>
      <c r="F859" s="121">
        <v>0</v>
      </c>
      <c r="G859" s="121">
        <v>66795</v>
      </c>
    </row>
    <row r="860" spans="1:7">
      <c r="A860" s="122" t="s">
        <v>304</v>
      </c>
      <c r="B860" s="406" t="s">
        <v>2425</v>
      </c>
      <c r="C860" s="173">
        <v>1.37</v>
      </c>
      <c r="D860" s="173">
        <v>839.77200000000005</v>
      </c>
      <c r="E860" s="173">
        <v>1.5</v>
      </c>
      <c r="F860" s="121">
        <v>0</v>
      </c>
      <c r="G860" s="121">
        <v>109064</v>
      </c>
    </row>
    <row r="861" spans="1:7">
      <c r="A861" s="122" t="s">
        <v>1943</v>
      </c>
      <c r="B861" s="406" t="s">
        <v>2272</v>
      </c>
      <c r="C861" s="173">
        <v>1.3069999999999999</v>
      </c>
      <c r="D861" s="173">
        <v>1555.577</v>
      </c>
      <c r="E861" s="173">
        <v>1.43</v>
      </c>
      <c r="F861" s="121">
        <v>0</v>
      </c>
      <c r="G861" s="121">
        <v>155521</v>
      </c>
    </row>
    <row r="862" spans="1:7">
      <c r="A862" s="122" t="s">
        <v>1944</v>
      </c>
      <c r="B862" s="406" t="s">
        <v>2273</v>
      </c>
      <c r="C862" s="173">
        <v>1.37</v>
      </c>
      <c r="D862" s="173">
        <v>3171.61</v>
      </c>
      <c r="E862" s="173">
        <v>1.5</v>
      </c>
      <c r="F862" s="121">
        <v>0</v>
      </c>
      <c r="G862" s="121">
        <v>223542</v>
      </c>
    </row>
    <row r="863" spans="1:7">
      <c r="A863" s="122" t="s">
        <v>1136</v>
      </c>
      <c r="B863" s="406" t="s">
        <v>2274</v>
      </c>
      <c r="C863" s="173">
        <v>1.1879999999999999</v>
      </c>
      <c r="D863" s="173">
        <v>961.33600000000001</v>
      </c>
      <c r="E863" s="173">
        <v>1.2949999999999999</v>
      </c>
      <c r="F863" s="121">
        <v>0</v>
      </c>
      <c r="G863" s="121">
        <v>84868</v>
      </c>
    </row>
    <row r="864" spans="1:7">
      <c r="A864" s="122" t="s">
        <v>217</v>
      </c>
      <c r="B864" s="406" t="s">
        <v>2275</v>
      </c>
      <c r="C864" s="173">
        <v>1.3029999999999999</v>
      </c>
      <c r="D864" s="173">
        <v>16639.325000000001</v>
      </c>
      <c r="E864" s="173">
        <v>1.4245000000000001</v>
      </c>
      <c r="F864" s="121">
        <v>0</v>
      </c>
      <c r="G864" s="121">
        <v>989219</v>
      </c>
    </row>
    <row r="865" spans="1:7">
      <c r="A865" s="122" t="s">
        <v>1348</v>
      </c>
      <c r="B865" s="406" t="s">
        <v>1510</v>
      </c>
      <c r="C865" s="173">
        <v>1.37</v>
      </c>
      <c r="D865" s="173">
        <v>4068.518</v>
      </c>
      <c r="E865" s="173">
        <v>1.5</v>
      </c>
      <c r="F865" s="121">
        <v>0</v>
      </c>
      <c r="G865" s="121">
        <v>245341</v>
      </c>
    </row>
    <row r="866" spans="1:7">
      <c r="A866" s="122" t="s">
        <v>1516</v>
      </c>
      <c r="B866" s="406" t="s">
        <v>735</v>
      </c>
      <c r="C866" s="173">
        <v>1.37</v>
      </c>
      <c r="D866" s="173">
        <v>2866.681</v>
      </c>
      <c r="E866" s="173">
        <v>1.5</v>
      </c>
      <c r="F866" s="121">
        <v>0</v>
      </c>
      <c r="G866" s="121">
        <v>425248</v>
      </c>
    </row>
    <row r="867" spans="1:7">
      <c r="A867" s="122" t="s">
        <v>1517</v>
      </c>
      <c r="B867" s="406" t="s">
        <v>2276</v>
      </c>
      <c r="C867" s="173">
        <v>1.37</v>
      </c>
      <c r="D867" s="173">
        <v>900.37300000000005</v>
      </c>
      <c r="E867" s="173">
        <v>1.5</v>
      </c>
      <c r="F867" s="121">
        <v>0</v>
      </c>
      <c r="G867" s="121">
        <v>113303</v>
      </c>
    </row>
    <row r="868" spans="1:7">
      <c r="A868" s="122" t="s">
        <v>1518</v>
      </c>
      <c r="B868" s="406" t="s">
        <v>2277</v>
      </c>
      <c r="C868" s="173">
        <v>1.0578000000000001</v>
      </c>
      <c r="D868" s="173">
        <v>1593.2329999999999</v>
      </c>
      <c r="E868" s="173">
        <v>1.1477999999999999</v>
      </c>
      <c r="F868" s="121">
        <v>0</v>
      </c>
      <c r="G868" s="121">
        <v>150719</v>
      </c>
    </row>
    <row r="869" spans="1:7">
      <c r="A869" s="122" t="s">
        <v>3050</v>
      </c>
      <c r="B869" s="406" t="s">
        <v>3092</v>
      </c>
      <c r="C869" s="173">
        <v>1.37</v>
      </c>
      <c r="D869" s="173">
        <v>9127.4269999999997</v>
      </c>
      <c r="E869" s="173">
        <v>1.5</v>
      </c>
      <c r="F869" s="121">
        <v>238628</v>
      </c>
      <c r="G869" s="121">
        <v>906652</v>
      </c>
    </row>
    <row r="870" spans="1:7">
      <c r="A870" s="122" t="s">
        <v>1945</v>
      </c>
      <c r="B870" s="406" t="s">
        <v>2278</v>
      </c>
      <c r="C870" s="173">
        <v>1.37</v>
      </c>
      <c r="D870" s="173">
        <v>237.386</v>
      </c>
      <c r="E870" s="173">
        <v>1.5</v>
      </c>
      <c r="F870" s="121">
        <v>0</v>
      </c>
      <c r="G870" s="121">
        <v>0</v>
      </c>
    </row>
    <row r="871" spans="1:7">
      <c r="A871" s="122" t="s">
        <v>221</v>
      </c>
      <c r="B871" s="406" t="s">
        <v>663</v>
      </c>
      <c r="C871" s="173">
        <v>1.37</v>
      </c>
      <c r="D871" s="173">
        <v>5911.1009999999997</v>
      </c>
      <c r="E871" s="173">
        <v>1.5</v>
      </c>
      <c r="F871" s="121">
        <v>0</v>
      </c>
      <c r="G871" s="121">
        <v>438790</v>
      </c>
    </row>
    <row r="872" spans="1:7">
      <c r="A872" s="122" t="s">
        <v>1946</v>
      </c>
      <c r="B872" s="406" t="s">
        <v>2279</v>
      </c>
      <c r="C872" s="173">
        <v>1.37</v>
      </c>
      <c r="D872" s="173">
        <v>1510.5809999999999</v>
      </c>
      <c r="E872" s="173">
        <v>1.5</v>
      </c>
      <c r="F872" s="121">
        <v>0</v>
      </c>
      <c r="G872" s="121">
        <v>126786</v>
      </c>
    </row>
    <row r="873" spans="1:7">
      <c r="A873" s="122" t="s">
        <v>2979</v>
      </c>
      <c r="B873" s="406" t="s">
        <v>2931</v>
      </c>
      <c r="C873" s="173">
        <v>1.37</v>
      </c>
      <c r="D873" s="173">
        <v>240.673</v>
      </c>
      <c r="E873" s="173">
        <v>1.5</v>
      </c>
      <c r="F873" s="121">
        <v>0</v>
      </c>
      <c r="G873" s="121">
        <v>0</v>
      </c>
    </row>
    <row r="874" spans="1:7">
      <c r="A874" s="122" t="s">
        <v>849</v>
      </c>
      <c r="B874" s="406" t="s">
        <v>2932</v>
      </c>
      <c r="C874" s="173">
        <v>1.3167</v>
      </c>
      <c r="D874" s="173">
        <v>216.55799999999999</v>
      </c>
      <c r="E874" s="173">
        <v>1.4398</v>
      </c>
      <c r="F874" s="121">
        <v>0</v>
      </c>
      <c r="G874" s="121">
        <v>41202</v>
      </c>
    </row>
    <row r="875" spans="1:7">
      <c r="A875" s="122" t="s">
        <v>850</v>
      </c>
      <c r="B875" s="406" t="s">
        <v>2933</v>
      </c>
      <c r="C875" s="173">
        <v>1.37</v>
      </c>
      <c r="D875" s="173">
        <v>934.66800000000001</v>
      </c>
      <c r="E875" s="173">
        <v>1.5</v>
      </c>
      <c r="F875" s="121">
        <v>0</v>
      </c>
      <c r="G875" s="121">
        <v>77463</v>
      </c>
    </row>
    <row r="876" spans="1:7">
      <c r="A876" s="122" t="s">
        <v>906</v>
      </c>
      <c r="B876" s="406" t="s">
        <v>2934</v>
      </c>
      <c r="C876" s="173">
        <v>1.2589999999999999</v>
      </c>
      <c r="D876" s="173">
        <v>215.12700000000001</v>
      </c>
      <c r="E876" s="173">
        <v>1.3754999999999999</v>
      </c>
      <c r="F876" s="121">
        <v>0</v>
      </c>
      <c r="G876" s="121">
        <v>44832</v>
      </c>
    </row>
    <row r="877" spans="1:7">
      <c r="A877" s="122" t="s">
        <v>617</v>
      </c>
      <c r="B877" s="406" t="s">
        <v>2935</v>
      </c>
      <c r="C877" s="173">
        <v>1.325</v>
      </c>
      <c r="D877" s="173">
        <v>1024.5820000000001</v>
      </c>
      <c r="E877" s="173">
        <v>1.45</v>
      </c>
      <c r="F877" s="121">
        <v>0</v>
      </c>
      <c r="G877" s="121">
        <v>47388</v>
      </c>
    </row>
    <row r="878" spans="1:7">
      <c r="A878" s="122" t="s">
        <v>618</v>
      </c>
      <c r="B878" s="406" t="s">
        <v>2936</v>
      </c>
      <c r="C878" s="173">
        <v>1.37</v>
      </c>
      <c r="D878" s="173">
        <v>225.779</v>
      </c>
      <c r="E878" s="173">
        <v>1.5</v>
      </c>
      <c r="F878" s="121">
        <v>0</v>
      </c>
      <c r="G878" s="121">
        <v>26655</v>
      </c>
    </row>
    <row r="879" spans="1:7">
      <c r="A879" s="122" t="s">
        <v>2621</v>
      </c>
      <c r="B879" s="406" t="s">
        <v>2775</v>
      </c>
      <c r="C879" s="173">
        <v>1.37</v>
      </c>
      <c r="D879" s="173">
        <v>58160.618000000002</v>
      </c>
      <c r="E879" s="173">
        <v>1.5</v>
      </c>
      <c r="F879" s="121">
        <v>14733</v>
      </c>
      <c r="G879" s="121">
        <v>2396766</v>
      </c>
    </row>
    <row r="880" spans="1:7">
      <c r="A880" s="122" t="s">
        <v>985</v>
      </c>
      <c r="B880" s="406" t="s">
        <v>901</v>
      </c>
      <c r="C880" s="173">
        <v>1.339</v>
      </c>
      <c r="D880" s="173">
        <v>20878.427</v>
      </c>
      <c r="E880" s="173">
        <v>1.4650000000000001</v>
      </c>
      <c r="F880" s="121">
        <v>119900</v>
      </c>
      <c r="G880" s="121">
        <v>624757</v>
      </c>
    </row>
    <row r="881" spans="1:7">
      <c r="A881" s="122" t="s">
        <v>2111</v>
      </c>
      <c r="B881" s="406" t="s">
        <v>2937</v>
      </c>
      <c r="C881" s="173">
        <v>1.37</v>
      </c>
      <c r="D881" s="173">
        <v>3967.3919999999998</v>
      </c>
      <c r="E881" s="173">
        <v>1.5</v>
      </c>
      <c r="F881" s="121">
        <v>160183</v>
      </c>
      <c r="G881" s="121">
        <v>192455</v>
      </c>
    </row>
    <row r="882" spans="1:7">
      <c r="A882" s="122" t="s">
        <v>2297</v>
      </c>
      <c r="B882" s="406" t="s">
        <v>1453</v>
      </c>
      <c r="C882" s="173">
        <v>1.37</v>
      </c>
      <c r="D882" s="173">
        <v>73377.686000000002</v>
      </c>
      <c r="E882" s="173">
        <v>1.5</v>
      </c>
      <c r="F882" s="121">
        <v>0</v>
      </c>
      <c r="G882" s="121">
        <v>5072434</v>
      </c>
    </row>
    <row r="883" spans="1:7">
      <c r="A883" s="122" t="s">
        <v>2497</v>
      </c>
      <c r="B883" s="406" t="s">
        <v>1454</v>
      </c>
      <c r="C883" s="173">
        <v>1.3243</v>
      </c>
      <c r="D883" s="173">
        <v>13272.945</v>
      </c>
      <c r="E883" s="173">
        <v>1.4710000000000001</v>
      </c>
      <c r="F883" s="121">
        <v>0</v>
      </c>
      <c r="G883" s="121">
        <v>361221</v>
      </c>
    </row>
    <row r="884" spans="1:7">
      <c r="A884" s="122" t="s">
        <v>57</v>
      </c>
      <c r="B884" s="406" t="s">
        <v>452</v>
      </c>
      <c r="C884" s="173">
        <v>1.3110999999999999</v>
      </c>
      <c r="D884" s="173">
        <v>23790.281999999999</v>
      </c>
      <c r="E884" s="173">
        <v>1.4336</v>
      </c>
      <c r="F884" s="121">
        <v>182721</v>
      </c>
      <c r="G884" s="121">
        <v>854322</v>
      </c>
    </row>
    <row r="885" spans="1:7">
      <c r="A885" s="122" t="s">
        <v>379</v>
      </c>
      <c r="B885" s="406" t="s">
        <v>321</v>
      </c>
      <c r="C885" s="173">
        <v>1.2875000000000001</v>
      </c>
      <c r="D885" s="173">
        <v>24356.260999999999</v>
      </c>
      <c r="E885" s="173">
        <v>1.407</v>
      </c>
      <c r="F885" s="121">
        <v>658975</v>
      </c>
      <c r="G885" s="121">
        <v>1854709</v>
      </c>
    </row>
    <row r="886" spans="1:7">
      <c r="A886" s="122" t="s">
        <v>1986</v>
      </c>
      <c r="B886" s="406" t="s">
        <v>2624</v>
      </c>
      <c r="C886" s="173">
        <v>1.37</v>
      </c>
      <c r="D886" s="173">
        <v>2406.4079999999999</v>
      </c>
      <c r="E886" s="173">
        <v>1.5</v>
      </c>
      <c r="F886" s="121">
        <v>0</v>
      </c>
      <c r="G886" s="121">
        <v>140230</v>
      </c>
    </row>
    <row r="887" spans="1:7">
      <c r="A887" s="122" t="s">
        <v>2759</v>
      </c>
      <c r="B887" s="406" t="s">
        <v>459</v>
      </c>
      <c r="C887" s="173">
        <v>1.37</v>
      </c>
      <c r="D887" s="173">
        <v>12765.285</v>
      </c>
      <c r="E887" s="173">
        <v>1.5</v>
      </c>
      <c r="F887" s="121">
        <v>0</v>
      </c>
      <c r="G887" s="121">
        <v>682134</v>
      </c>
    </row>
    <row r="888" spans="1:7">
      <c r="A888" s="122" t="s">
        <v>59</v>
      </c>
      <c r="B888" s="406" t="s">
        <v>2876</v>
      </c>
      <c r="C888" s="173">
        <v>1.3701000000000001</v>
      </c>
      <c r="D888" s="173">
        <v>2700.7089999999998</v>
      </c>
      <c r="E888" s="173">
        <v>1.5</v>
      </c>
      <c r="F888" s="121">
        <v>0</v>
      </c>
      <c r="G888" s="121">
        <v>166866</v>
      </c>
    </row>
    <row r="889" spans="1:7">
      <c r="A889" s="122" t="s">
        <v>1894</v>
      </c>
      <c r="B889" s="406" t="s">
        <v>2429</v>
      </c>
      <c r="C889" s="173">
        <v>1.37</v>
      </c>
      <c r="D889" s="173">
        <v>5468.95</v>
      </c>
      <c r="E889" s="173">
        <v>1.5</v>
      </c>
      <c r="F889" s="121">
        <v>0</v>
      </c>
      <c r="G889" s="121">
        <v>397161</v>
      </c>
    </row>
    <row r="890" spans="1:7">
      <c r="A890" s="122" t="s">
        <v>1280</v>
      </c>
      <c r="B890" s="406" t="s">
        <v>1439</v>
      </c>
      <c r="C890" s="173">
        <v>1.3441000000000001</v>
      </c>
      <c r="D890" s="173">
        <v>18731.464</v>
      </c>
      <c r="E890" s="173">
        <v>1.4706999999999999</v>
      </c>
      <c r="F890" s="121">
        <v>0</v>
      </c>
      <c r="G890" s="121">
        <v>516657</v>
      </c>
    </row>
    <row r="891" spans="1:7">
      <c r="A891" s="122" t="s">
        <v>2108</v>
      </c>
      <c r="B891" s="406" t="s">
        <v>732</v>
      </c>
      <c r="C891" s="173">
        <v>1.37</v>
      </c>
      <c r="D891" s="173">
        <v>3007.239</v>
      </c>
      <c r="E891" s="173">
        <v>1.5</v>
      </c>
      <c r="F891" s="121">
        <v>0</v>
      </c>
      <c r="G891" s="121">
        <v>44434</v>
      </c>
    </row>
    <row r="892" spans="1:7">
      <c r="A892" s="122" t="s">
        <v>2542</v>
      </c>
      <c r="B892" s="406" t="s">
        <v>1455</v>
      </c>
      <c r="C892" s="173">
        <v>1.1850000000000001</v>
      </c>
      <c r="D892" s="173">
        <v>10280.324000000001</v>
      </c>
      <c r="E892" s="173">
        <v>1.292</v>
      </c>
      <c r="F892" s="121">
        <v>370446</v>
      </c>
      <c r="G892" s="121">
        <v>685820</v>
      </c>
    </row>
    <row r="893" spans="1:7">
      <c r="A893" s="122" t="s">
        <v>2107</v>
      </c>
      <c r="B893" s="406" t="s">
        <v>731</v>
      </c>
      <c r="C893" s="173">
        <v>1.37</v>
      </c>
      <c r="D893" s="173">
        <v>7243.652</v>
      </c>
      <c r="E893" s="173">
        <v>1.5</v>
      </c>
      <c r="F893" s="121">
        <v>0</v>
      </c>
      <c r="G893" s="121">
        <v>0</v>
      </c>
    </row>
    <row r="894" spans="1:7">
      <c r="A894" s="122" t="s">
        <v>1347</v>
      </c>
      <c r="B894" s="406" t="s">
        <v>1509</v>
      </c>
      <c r="C894" s="173">
        <v>1.37</v>
      </c>
      <c r="D894" s="173">
        <v>4758.9080000000004</v>
      </c>
      <c r="E894" s="173">
        <v>1.5</v>
      </c>
      <c r="F894" s="121">
        <v>11488</v>
      </c>
      <c r="G894" s="121">
        <v>211690</v>
      </c>
    </row>
    <row r="895" spans="1:7">
      <c r="A895" s="122" t="s">
        <v>2543</v>
      </c>
      <c r="B895" s="406" t="s">
        <v>1456</v>
      </c>
      <c r="C895" s="173">
        <v>1.37</v>
      </c>
      <c r="D895" s="173">
        <v>15327.460999999999</v>
      </c>
      <c r="E895" s="173">
        <v>1.5</v>
      </c>
      <c r="F895" s="121">
        <v>0</v>
      </c>
      <c r="G895" s="121">
        <v>593636</v>
      </c>
    </row>
    <row r="896" spans="1:7">
      <c r="A896" s="122" t="s">
        <v>2544</v>
      </c>
      <c r="B896" s="406" t="s">
        <v>1457</v>
      </c>
      <c r="C896" s="173">
        <v>1.3204</v>
      </c>
      <c r="D896" s="173">
        <v>1215.9570000000001</v>
      </c>
      <c r="E896" s="173">
        <v>1.4490000000000001</v>
      </c>
      <c r="F896" s="121">
        <v>0</v>
      </c>
      <c r="G896" s="121">
        <v>121211</v>
      </c>
    </row>
    <row r="897" spans="1:7">
      <c r="A897" s="122" t="s">
        <v>3052</v>
      </c>
      <c r="B897" s="406" t="s">
        <v>1458</v>
      </c>
      <c r="C897" s="173">
        <v>1.37</v>
      </c>
      <c r="D897" s="173">
        <v>146.09100000000001</v>
      </c>
      <c r="E897" s="173">
        <v>1.5</v>
      </c>
      <c r="F897" s="121">
        <v>19775</v>
      </c>
      <c r="G897" s="121">
        <v>0</v>
      </c>
    </row>
    <row r="898" spans="1:7">
      <c r="A898" s="122" t="s">
        <v>3053</v>
      </c>
      <c r="B898" s="406" t="s">
        <v>1459</v>
      </c>
      <c r="C898" s="173">
        <v>1.3168</v>
      </c>
      <c r="D898" s="173">
        <v>943.71400000000006</v>
      </c>
      <c r="E898" s="173">
        <v>1.44</v>
      </c>
      <c r="F898" s="121">
        <v>0</v>
      </c>
      <c r="G898" s="121">
        <v>126036</v>
      </c>
    </row>
    <row r="899" spans="1:7">
      <c r="A899" s="122" t="s">
        <v>3054</v>
      </c>
      <c r="B899" s="406" t="s">
        <v>1293</v>
      </c>
      <c r="C899" s="173">
        <v>1.1349</v>
      </c>
      <c r="D899" s="173">
        <v>2851.58</v>
      </c>
      <c r="E899" s="173">
        <v>1.2349000000000001</v>
      </c>
      <c r="F899" s="121">
        <v>0</v>
      </c>
      <c r="G899" s="121">
        <v>233150</v>
      </c>
    </row>
    <row r="900" spans="1:7">
      <c r="A900" s="122" t="s">
        <v>3055</v>
      </c>
      <c r="B900" s="406" t="s">
        <v>1460</v>
      </c>
      <c r="C900" s="173">
        <v>1.2990999999999999</v>
      </c>
      <c r="D900" s="173">
        <v>134.34100000000001</v>
      </c>
      <c r="E900" s="173">
        <v>1.42</v>
      </c>
      <c r="F900" s="121">
        <v>0</v>
      </c>
      <c r="G900" s="121">
        <v>38914</v>
      </c>
    </row>
    <row r="901" spans="1:7">
      <c r="A901" s="122" t="s">
        <v>1335</v>
      </c>
      <c r="B901" s="406" t="s">
        <v>336</v>
      </c>
      <c r="C901" s="173">
        <v>1.37</v>
      </c>
      <c r="D901" s="173">
        <v>1713.972</v>
      </c>
      <c r="E901" s="173">
        <v>1.5</v>
      </c>
      <c r="F901" s="121">
        <v>0</v>
      </c>
      <c r="G901" s="121">
        <v>104447</v>
      </c>
    </row>
    <row r="902" spans="1:7">
      <c r="A902" s="122" t="s">
        <v>2106</v>
      </c>
      <c r="B902" s="406" t="s">
        <v>930</v>
      </c>
      <c r="C902" s="173">
        <v>1.37</v>
      </c>
      <c r="D902" s="173">
        <v>294.947</v>
      </c>
      <c r="E902" s="173">
        <v>1.5</v>
      </c>
      <c r="F902" s="121">
        <v>0</v>
      </c>
      <c r="G902" s="121">
        <v>21175</v>
      </c>
    </row>
    <row r="903" spans="1:7">
      <c r="A903" s="122" t="s">
        <v>1336</v>
      </c>
      <c r="B903" s="406" t="s">
        <v>337</v>
      </c>
      <c r="C903" s="173">
        <v>1.37</v>
      </c>
      <c r="D903" s="173">
        <v>224.43899999999999</v>
      </c>
      <c r="E903" s="173">
        <v>1.5</v>
      </c>
      <c r="F903" s="121">
        <v>0</v>
      </c>
      <c r="G903" s="121">
        <v>27815</v>
      </c>
    </row>
    <row r="904" spans="1:7">
      <c r="A904" s="122" t="s">
        <v>1783</v>
      </c>
      <c r="B904" s="406" t="s">
        <v>706</v>
      </c>
      <c r="C904" s="173">
        <v>1.37</v>
      </c>
      <c r="D904" s="173">
        <v>201.91200000000001</v>
      </c>
      <c r="E904" s="173">
        <v>1.5</v>
      </c>
      <c r="F904" s="121">
        <v>0</v>
      </c>
      <c r="G904" s="121">
        <v>39461</v>
      </c>
    </row>
    <row r="905" spans="1:7">
      <c r="A905" s="122" t="s">
        <v>1784</v>
      </c>
      <c r="B905" s="406" t="s">
        <v>707</v>
      </c>
      <c r="C905" s="173">
        <v>1.37</v>
      </c>
      <c r="D905" s="173">
        <v>104.304</v>
      </c>
      <c r="E905" s="173">
        <v>1.5</v>
      </c>
      <c r="F905" s="121">
        <v>0</v>
      </c>
      <c r="G905" s="121">
        <v>15447</v>
      </c>
    </row>
    <row r="906" spans="1:7">
      <c r="A906" s="122" t="s">
        <v>1785</v>
      </c>
      <c r="B906" s="406" t="s">
        <v>708</v>
      </c>
      <c r="C906" s="173">
        <v>1.37</v>
      </c>
      <c r="D906" s="173">
        <v>4750.585</v>
      </c>
      <c r="E906" s="173">
        <v>1.5</v>
      </c>
      <c r="F906" s="121">
        <v>0</v>
      </c>
      <c r="G906" s="121">
        <v>508087</v>
      </c>
    </row>
    <row r="907" spans="1:7">
      <c r="A907" s="122" t="s">
        <v>2062</v>
      </c>
      <c r="B907" s="406" t="s">
        <v>1868</v>
      </c>
      <c r="C907" s="173">
        <v>1.37</v>
      </c>
      <c r="D907" s="173">
        <v>131.875</v>
      </c>
      <c r="E907" s="173">
        <v>1.5</v>
      </c>
      <c r="F907" s="121">
        <v>0</v>
      </c>
      <c r="G907" s="121">
        <v>9841</v>
      </c>
    </row>
    <row r="908" spans="1:7">
      <c r="A908" s="122" t="s">
        <v>305</v>
      </c>
      <c r="B908" s="406" t="s">
        <v>735</v>
      </c>
      <c r="C908" s="173">
        <v>1.3049999999999999</v>
      </c>
      <c r="D908" s="173">
        <v>810.05799999999999</v>
      </c>
      <c r="E908" s="173">
        <v>1.427</v>
      </c>
      <c r="F908" s="121">
        <v>0</v>
      </c>
      <c r="G908" s="121">
        <v>50223</v>
      </c>
    </row>
    <row r="909" spans="1:7">
      <c r="A909" s="122" t="s">
        <v>2063</v>
      </c>
      <c r="B909" s="406" t="s">
        <v>1869</v>
      </c>
      <c r="C909" s="173">
        <v>1.28</v>
      </c>
      <c r="D909" s="173">
        <v>417.37</v>
      </c>
      <c r="E909" s="173">
        <v>1.4</v>
      </c>
      <c r="F909" s="121">
        <v>0</v>
      </c>
      <c r="G909" s="121">
        <v>23012</v>
      </c>
    </row>
    <row r="910" spans="1:7">
      <c r="A910" s="122" t="s">
        <v>2797</v>
      </c>
      <c r="B910" s="406" t="s">
        <v>2179</v>
      </c>
      <c r="C910" s="173">
        <v>1.37</v>
      </c>
      <c r="D910" s="173">
        <v>370.084</v>
      </c>
      <c r="E910" s="173">
        <v>1.5</v>
      </c>
      <c r="F910" s="121">
        <v>0</v>
      </c>
      <c r="G910" s="121">
        <v>35783</v>
      </c>
    </row>
    <row r="911" spans="1:7">
      <c r="A911" s="122" t="s">
        <v>1488</v>
      </c>
      <c r="B911" s="406" t="s">
        <v>2307</v>
      </c>
      <c r="C911" s="173">
        <v>1.37</v>
      </c>
      <c r="D911" s="173">
        <v>13602.25</v>
      </c>
      <c r="E911" s="173">
        <v>1.5</v>
      </c>
      <c r="F911" s="121">
        <v>2108</v>
      </c>
      <c r="G911" s="121">
        <v>711950</v>
      </c>
    </row>
    <row r="912" spans="1:7">
      <c r="A912" s="122" t="s">
        <v>2785</v>
      </c>
      <c r="B912" s="406" t="s">
        <v>2180</v>
      </c>
      <c r="C912" s="173">
        <v>1.37</v>
      </c>
      <c r="D912" s="173">
        <v>312.79399999999998</v>
      </c>
      <c r="E912" s="173">
        <v>1.5</v>
      </c>
      <c r="F912" s="121">
        <v>0</v>
      </c>
      <c r="G912" s="121">
        <v>34533</v>
      </c>
    </row>
    <row r="913" spans="1:7">
      <c r="A913" s="122" t="s">
        <v>374</v>
      </c>
      <c r="B913" s="406" t="s">
        <v>158</v>
      </c>
      <c r="C913" s="173">
        <v>1.37</v>
      </c>
      <c r="D913" s="173">
        <v>926.48299999999995</v>
      </c>
      <c r="E913" s="173">
        <v>1.5</v>
      </c>
      <c r="F913" s="121">
        <v>0</v>
      </c>
      <c r="G913" s="121">
        <v>417182</v>
      </c>
    </row>
    <row r="914" spans="1:7">
      <c r="A914" s="122" t="s">
        <v>1482</v>
      </c>
      <c r="B914" s="406" t="s">
        <v>1947</v>
      </c>
      <c r="C914" s="173">
        <v>1.37</v>
      </c>
      <c r="D914" s="173">
        <v>1136.3720000000001</v>
      </c>
      <c r="E914" s="173">
        <v>1.5</v>
      </c>
      <c r="F914" s="121">
        <v>0</v>
      </c>
      <c r="G914" s="121">
        <v>141789</v>
      </c>
    </row>
    <row r="915" spans="1:7">
      <c r="A915" s="122" t="s">
        <v>1422</v>
      </c>
      <c r="B915" s="406" t="s">
        <v>3041</v>
      </c>
      <c r="C915" s="173">
        <v>1.37</v>
      </c>
      <c r="D915" s="173">
        <v>274.322</v>
      </c>
      <c r="E915" s="173">
        <v>1.5</v>
      </c>
      <c r="F915" s="121">
        <v>0</v>
      </c>
      <c r="G915" s="121">
        <v>34785</v>
      </c>
    </row>
    <row r="916" spans="1:7">
      <c r="A916" s="122" t="s">
        <v>292</v>
      </c>
      <c r="B916" s="406" t="s">
        <v>2181</v>
      </c>
      <c r="C916" s="173">
        <v>1.37</v>
      </c>
      <c r="D916" s="173">
        <v>73507.316999999995</v>
      </c>
      <c r="E916" s="173">
        <v>1.5</v>
      </c>
      <c r="F916" s="121">
        <v>0</v>
      </c>
      <c r="G916" s="121">
        <v>4087159</v>
      </c>
    </row>
    <row r="917" spans="1:7">
      <c r="A917" s="122" t="s">
        <v>238</v>
      </c>
      <c r="B917" s="406" t="s">
        <v>1125</v>
      </c>
      <c r="C917" s="173">
        <v>1.36</v>
      </c>
      <c r="D917" s="173">
        <v>17617.584999999999</v>
      </c>
      <c r="E917" s="173">
        <v>1.5</v>
      </c>
      <c r="F917" s="121">
        <v>116171</v>
      </c>
      <c r="G917" s="121">
        <v>884701</v>
      </c>
    </row>
    <row r="918" spans="1:7">
      <c r="A918" s="122" t="s">
        <v>293</v>
      </c>
      <c r="B918" s="406" t="s">
        <v>2182</v>
      </c>
      <c r="C918" s="173">
        <v>1.343</v>
      </c>
      <c r="D918" s="173">
        <v>4060.3939999999998</v>
      </c>
      <c r="E918" s="173">
        <v>1.47</v>
      </c>
      <c r="F918" s="121">
        <v>0</v>
      </c>
      <c r="G918" s="121">
        <v>576771</v>
      </c>
    </row>
    <row r="919" spans="1:7">
      <c r="A919" s="122" t="s">
        <v>294</v>
      </c>
      <c r="B919" s="406" t="s">
        <v>2183</v>
      </c>
      <c r="C919" s="173">
        <v>1.37</v>
      </c>
      <c r="D919" s="173">
        <v>6907.2619999999997</v>
      </c>
      <c r="E919" s="173">
        <v>1.5</v>
      </c>
      <c r="F919" s="121">
        <v>0</v>
      </c>
      <c r="G919" s="121">
        <v>304661</v>
      </c>
    </row>
    <row r="920" spans="1:7">
      <c r="A920" s="122" t="s">
        <v>1295</v>
      </c>
      <c r="B920" s="406" t="s">
        <v>3064</v>
      </c>
      <c r="C920" s="173">
        <v>1.37</v>
      </c>
      <c r="D920" s="173">
        <v>7574.5929999999998</v>
      </c>
      <c r="E920" s="173">
        <v>1.5</v>
      </c>
      <c r="F920" s="121">
        <v>0</v>
      </c>
      <c r="G920" s="121">
        <v>965392</v>
      </c>
    </row>
    <row r="921" spans="1:7">
      <c r="A921" s="122" t="s">
        <v>2804</v>
      </c>
      <c r="B921" s="406" t="s">
        <v>2184</v>
      </c>
      <c r="C921" s="173">
        <v>1.37</v>
      </c>
      <c r="D921" s="173">
        <v>1128.317</v>
      </c>
      <c r="E921" s="173">
        <v>1.5</v>
      </c>
      <c r="F921" s="121">
        <v>0</v>
      </c>
      <c r="G921" s="121">
        <v>58382</v>
      </c>
    </row>
    <row r="922" spans="1:7">
      <c r="A922" s="122" t="s">
        <v>1496</v>
      </c>
      <c r="B922" s="406" t="s">
        <v>2185</v>
      </c>
      <c r="C922" s="173">
        <v>1.37</v>
      </c>
      <c r="D922" s="173">
        <v>5064.3190000000004</v>
      </c>
      <c r="E922" s="173">
        <v>1.5</v>
      </c>
      <c r="F922" s="121">
        <v>158779</v>
      </c>
      <c r="G922" s="121">
        <v>396073</v>
      </c>
    </row>
    <row r="923" spans="1:7">
      <c r="A923" s="122" t="s">
        <v>1497</v>
      </c>
      <c r="B923" s="406" t="s">
        <v>2186</v>
      </c>
      <c r="C923" s="173">
        <v>1.3346</v>
      </c>
      <c r="D923" s="173">
        <v>635.16600000000005</v>
      </c>
      <c r="E923" s="173">
        <v>1.46</v>
      </c>
      <c r="F923" s="121">
        <v>0</v>
      </c>
      <c r="G923" s="121">
        <v>101045</v>
      </c>
    </row>
    <row r="924" spans="1:7">
      <c r="A924" s="122" t="s">
        <v>1498</v>
      </c>
      <c r="B924" s="406" t="s">
        <v>2187</v>
      </c>
      <c r="C924" s="173">
        <v>1.37</v>
      </c>
      <c r="D924" s="173">
        <v>1087.183</v>
      </c>
      <c r="E924" s="173">
        <v>1.5</v>
      </c>
      <c r="F924" s="121">
        <v>0</v>
      </c>
      <c r="G924" s="121">
        <v>85135</v>
      </c>
    </row>
    <row r="925" spans="1:7">
      <c r="A925" s="122" t="s">
        <v>1499</v>
      </c>
      <c r="B925" s="406" t="s">
        <v>2081</v>
      </c>
      <c r="C925" s="173">
        <v>1.3523000000000001</v>
      </c>
      <c r="D925" s="173">
        <v>150.55500000000001</v>
      </c>
      <c r="E925" s="173">
        <v>1.48</v>
      </c>
      <c r="F925" s="121">
        <v>0</v>
      </c>
      <c r="G925" s="121">
        <v>39998</v>
      </c>
    </row>
    <row r="926" spans="1:7">
      <c r="A926" s="122" t="s">
        <v>1500</v>
      </c>
      <c r="B926" s="406" t="s">
        <v>2188</v>
      </c>
      <c r="C926" s="173">
        <v>1.3346</v>
      </c>
      <c r="D926" s="173">
        <v>185.38800000000001</v>
      </c>
      <c r="E926" s="173">
        <v>1.46</v>
      </c>
      <c r="F926" s="121">
        <v>0</v>
      </c>
      <c r="G926" s="121">
        <v>23276</v>
      </c>
    </row>
    <row r="927" spans="1:7">
      <c r="A927" s="122" t="s">
        <v>1615</v>
      </c>
      <c r="B927" s="406" t="s">
        <v>1740</v>
      </c>
      <c r="C927" s="173">
        <v>1.37</v>
      </c>
      <c r="D927" s="173">
        <v>519.80499999999995</v>
      </c>
      <c r="E927" s="173">
        <v>1.5</v>
      </c>
      <c r="F927" s="121">
        <v>0</v>
      </c>
      <c r="G927" s="121">
        <v>79387</v>
      </c>
    </row>
    <row r="928" spans="1:7">
      <c r="A928" s="122" t="s">
        <v>2051</v>
      </c>
      <c r="B928" s="406" t="s">
        <v>2189</v>
      </c>
      <c r="C928" s="173">
        <v>1.37</v>
      </c>
      <c r="D928" s="173">
        <v>1269.393</v>
      </c>
      <c r="E928" s="173">
        <v>1.5</v>
      </c>
      <c r="F928" s="121">
        <v>0</v>
      </c>
      <c r="G928" s="121">
        <v>200517</v>
      </c>
    </row>
    <row r="929" spans="1:7">
      <c r="A929" s="122" t="s">
        <v>2052</v>
      </c>
      <c r="B929" s="406" t="s">
        <v>2190</v>
      </c>
      <c r="C929" s="173">
        <v>1.37</v>
      </c>
      <c r="D929" s="173">
        <v>1054.6880000000001</v>
      </c>
      <c r="E929" s="173">
        <v>1.5</v>
      </c>
      <c r="F929" s="121">
        <v>0</v>
      </c>
      <c r="G929" s="121">
        <v>126494</v>
      </c>
    </row>
    <row r="930" spans="1:7">
      <c r="A930" s="122" t="s">
        <v>1423</v>
      </c>
      <c r="B930" s="406" t="s">
        <v>2212</v>
      </c>
      <c r="C930" s="173">
        <v>1.37</v>
      </c>
      <c r="D930" s="173">
        <v>410.52100000000002</v>
      </c>
      <c r="E930" s="173">
        <v>1.5</v>
      </c>
      <c r="F930" s="121">
        <v>0</v>
      </c>
      <c r="G930" s="121">
        <v>55499</v>
      </c>
    </row>
    <row r="931" spans="1:7">
      <c r="A931" s="122" t="s">
        <v>83</v>
      </c>
      <c r="B931" s="406" t="s">
        <v>2499</v>
      </c>
      <c r="C931" s="173">
        <v>1.37</v>
      </c>
      <c r="D931" s="173">
        <v>169.96299999999999</v>
      </c>
      <c r="E931" s="173">
        <v>1.5</v>
      </c>
      <c r="F931" s="121">
        <v>0</v>
      </c>
      <c r="G931" s="121">
        <v>23865</v>
      </c>
    </row>
    <row r="932" spans="1:7">
      <c r="A932" s="122" t="s">
        <v>2053</v>
      </c>
      <c r="B932" s="406" t="s">
        <v>483</v>
      </c>
      <c r="C932" s="173">
        <v>1.37</v>
      </c>
      <c r="D932" s="173">
        <v>667.48800000000006</v>
      </c>
      <c r="E932" s="173">
        <v>1.5</v>
      </c>
      <c r="F932" s="121">
        <v>0</v>
      </c>
      <c r="G932" s="121">
        <v>89350</v>
      </c>
    </row>
    <row r="933" spans="1:7">
      <c r="A933" s="122" t="s">
        <v>2054</v>
      </c>
      <c r="B933" s="406" t="s">
        <v>2191</v>
      </c>
      <c r="C933" s="173">
        <v>1.32</v>
      </c>
      <c r="D933" s="173">
        <v>2105.08</v>
      </c>
      <c r="E933" s="173">
        <v>1.4444999999999999</v>
      </c>
      <c r="F933" s="121">
        <v>0</v>
      </c>
      <c r="G933" s="121">
        <v>282499</v>
      </c>
    </row>
    <row r="934" spans="1:7">
      <c r="A934" s="122" t="s">
        <v>1594</v>
      </c>
      <c r="B934" s="406" t="s">
        <v>1152</v>
      </c>
      <c r="C934" s="173">
        <v>1.37</v>
      </c>
      <c r="D934" s="173">
        <v>789.31600000000003</v>
      </c>
      <c r="E934" s="173">
        <v>1.5</v>
      </c>
      <c r="F934" s="121">
        <v>0</v>
      </c>
      <c r="G934" s="121">
        <v>65221</v>
      </c>
    </row>
    <row r="935" spans="1:7">
      <c r="A935" s="122" t="s">
        <v>1229</v>
      </c>
      <c r="B935" s="406" t="s">
        <v>881</v>
      </c>
      <c r="C935" s="173">
        <v>1.37</v>
      </c>
      <c r="D935" s="173">
        <v>291.863</v>
      </c>
      <c r="E935" s="173">
        <v>1.5</v>
      </c>
      <c r="F935" s="121">
        <v>0</v>
      </c>
      <c r="G935" s="121">
        <v>33815</v>
      </c>
    </row>
    <row r="936" spans="1:7">
      <c r="A936" s="122" t="s">
        <v>2127</v>
      </c>
      <c r="B936" s="406" t="s">
        <v>935</v>
      </c>
      <c r="C936" s="173">
        <v>1.3433999999999999</v>
      </c>
      <c r="D936" s="173">
        <v>932.01199999999994</v>
      </c>
      <c r="E936" s="173">
        <v>1.47</v>
      </c>
      <c r="F936" s="121">
        <v>0</v>
      </c>
      <c r="G936" s="121">
        <v>132118</v>
      </c>
    </row>
    <row r="937" spans="1:7">
      <c r="A937" s="122" t="s">
        <v>1230</v>
      </c>
      <c r="B937" s="406" t="s">
        <v>1729</v>
      </c>
      <c r="C937" s="173">
        <v>1.3340000000000001</v>
      </c>
      <c r="D937" s="173">
        <v>888.26499999999999</v>
      </c>
      <c r="E937" s="173">
        <v>1.46</v>
      </c>
      <c r="F937" s="121">
        <v>0</v>
      </c>
      <c r="G937" s="121">
        <v>61228</v>
      </c>
    </row>
    <row r="938" spans="1:7">
      <c r="A938" s="122" t="s">
        <v>1231</v>
      </c>
      <c r="B938" s="406" t="s">
        <v>882</v>
      </c>
      <c r="C938" s="173">
        <v>1.3211999999999999</v>
      </c>
      <c r="D938" s="173">
        <v>715.91800000000001</v>
      </c>
      <c r="E938" s="173">
        <v>1.4450000000000001</v>
      </c>
      <c r="F938" s="121">
        <v>0</v>
      </c>
      <c r="G938" s="121">
        <v>49947</v>
      </c>
    </row>
    <row r="939" spans="1:7">
      <c r="A939" s="122" t="s">
        <v>1232</v>
      </c>
      <c r="B939" s="406" t="s">
        <v>883</v>
      </c>
      <c r="C939" s="173">
        <v>1.37</v>
      </c>
      <c r="D939" s="173">
        <v>433.35899999999998</v>
      </c>
      <c r="E939" s="173">
        <v>1.5</v>
      </c>
      <c r="F939" s="121">
        <v>0</v>
      </c>
      <c r="G939" s="121">
        <v>5819</v>
      </c>
    </row>
    <row r="940" spans="1:7">
      <c r="A940" s="122" t="s">
        <v>1233</v>
      </c>
      <c r="B940" s="406" t="s">
        <v>884</v>
      </c>
      <c r="C940" s="173">
        <v>1.3384</v>
      </c>
      <c r="D940" s="173">
        <v>204.85599999999999</v>
      </c>
      <c r="E940" s="173">
        <v>1.4643999999999999</v>
      </c>
      <c r="F940" s="121">
        <v>0</v>
      </c>
      <c r="G940" s="121">
        <v>33244</v>
      </c>
    </row>
    <row r="941" spans="1:7">
      <c r="A941" s="122" t="s">
        <v>63</v>
      </c>
      <c r="B941" s="406" t="s">
        <v>2832</v>
      </c>
      <c r="C941" s="173">
        <v>1.21</v>
      </c>
      <c r="D941" s="173">
        <v>256.71199999999999</v>
      </c>
      <c r="E941" s="173">
        <v>1.32</v>
      </c>
      <c r="F941" s="121">
        <v>0</v>
      </c>
      <c r="G941" s="121">
        <v>24647</v>
      </c>
    </row>
    <row r="942" spans="1:7">
      <c r="A942" s="122" t="s">
        <v>1737</v>
      </c>
      <c r="B942" s="406" t="s">
        <v>670</v>
      </c>
      <c r="C942" s="173">
        <v>1.03</v>
      </c>
      <c r="D942" s="173">
        <v>511.19</v>
      </c>
      <c r="E942" s="173">
        <v>1.1218999999999999</v>
      </c>
      <c r="F942" s="121">
        <v>0</v>
      </c>
      <c r="G942" s="121">
        <v>36564</v>
      </c>
    </row>
    <row r="943" spans="1:7">
      <c r="A943" s="122" t="s">
        <v>1714</v>
      </c>
      <c r="B943" s="406" t="s">
        <v>2704</v>
      </c>
      <c r="C943" s="173">
        <v>1.2689999999999999</v>
      </c>
      <c r="D943" s="173">
        <v>4669.18</v>
      </c>
      <c r="E943" s="173">
        <v>1.3872</v>
      </c>
      <c r="F943" s="121">
        <v>0</v>
      </c>
      <c r="G943" s="121">
        <v>0</v>
      </c>
    </row>
    <row r="944" spans="1:7">
      <c r="A944" s="122" t="s">
        <v>1495</v>
      </c>
      <c r="B944" s="406" t="s">
        <v>687</v>
      </c>
      <c r="C944" s="173">
        <v>1.2814000000000001</v>
      </c>
      <c r="D944" s="173">
        <v>180.21199999999999</v>
      </c>
      <c r="E944" s="173">
        <v>1.4</v>
      </c>
      <c r="F944" s="121">
        <v>0</v>
      </c>
      <c r="G944" s="121">
        <v>39476</v>
      </c>
    </row>
    <row r="945" spans="1:7">
      <c r="A945" s="122" t="s">
        <v>530</v>
      </c>
      <c r="B945" s="406" t="s">
        <v>2312</v>
      </c>
      <c r="C945" s="173">
        <v>1.3168</v>
      </c>
      <c r="D945" s="173">
        <v>9651.759</v>
      </c>
      <c r="E945" s="173">
        <v>1.44</v>
      </c>
      <c r="F945" s="121">
        <v>0</v>
      </c>
      <c r="G945" s="121">
        <v>582286</v>
      </c>
    </row>
    <row r="946" spans="1:7">
      <c r="A946" s="122" t="s">
        <v>940</v>
      </c>
      <c r="B946" s="406" t="s">
        <v>688</v>
      </c>
      <c r="C946" s="173">
        <v>1.37</v>
      </c>
      <c r="D946" s="173">
        <v>186.15299999999999</v>
      </c>
      <c r="E946" s="173">
        <v>1.5</v>
      </c>
      <c r="F946" s="121">
        <v>0</v>
      </c>
      <c r="G946" s="121">
        <v>82253</v>
      </c>
    </row>
    <row r="947" spans="1:7">
      <c r="A947" s="122" t="s">
        <v>943</v>
      </c>
      <c r="B947" s="406" t="s">
        <v>1310</v>
      </c>
      <c r="C947" s="173">
        <v>1.3340000000000001</v>
      </c>
      <c r="D947" s="173">
        <v>1799.0239999999999</v>
      </c>
      <c r="E947" s="173">
        <v>1.46</v>
      </c>
      <c r="F947" s="121">
        <v>102929</v>
      </c>
      <c r="G947" s="121">
        <v>246017</v>
      </c>
    </row>
    <row r="948" spans="1:7">
      <c r="A948" s="122" t="s">
        <v>944</v>
      </c>
      <c r="B948" s="406" t="s">
        <v>1000</v>
      </c>
      <c r="C948" s="173">
        <v>1.228</v>
      </c>
      <c r="D948" s="173">
        <v>864.69299999999998</v>
      </c>
      <c r="E948" s="173">
        <v>1.3399000000000001</v>
      </c>
      <c r="F948" s="121">
        <v>0</v>
      </c>
      <c r="G948" s="121">
        <v>71269</v>
      </c>
    </row>
    <row r="949" spans="1:7">
      <c r="A949" s="122" t="s">
        <v>1726</v>
      </c>
      <c r="B949" s="406" t="s">
        <v>976</v>
      </c>
      <c r="C949" s="173">
        <v>1.1715</v>
      </c>
      <c r="D949" s="173">
        <v>1104.671</v>
      </c>
      <c r="E949" s="173">
        <v>1.31</v>
      </c>
      <c r="F949" s="121">
        <v>74058</v>
      </c>
      <c r="G949" s="121">
        <v>101392</v>
      </c>
    </row>
    <row r="950" spans="1:7">
      <c r="A950" s="122" t="s">
        <v>2097</v>
      </c>
      <c r="B950" s="406" t="s">
        <v>2359</v>
      </c>
      <c r="C950" s="173">
        <v>1.3257000000000001</v>
      </c>
      <c r="D950" s="173">
        <v>449.93099999999998</v>
      </c>
      <c r="E950" s="173">
        <v>1.45</v>
      </c>
      <c r="F950" s="121">
        <v>0</v>
      </c>
      <c r="G950" s="121">
        <v>42784</v>
      </c>
    </row>
    <row r="951" spans="1:7">
      <c r="A951" s="122" t="s">
        <v>945</v>
      </c>
      <c r="B951" s="406" t="s">
        <v>1311</v>
      </c>
      <c r="C951" s="173">
        <v>1.37</v>
      </c>
      <c r="D951" s="173">
        <v>2036.365</v>
      </c>
      <c r="E951" s="173">
        <v>1.5</v>
      </c>
      <c r="F951" s="121">
        <v>0</v>
      </c>
      <c r="G951" s="121">
        <v>252867</v>
      </c>
    </row>
    <row r="952" spans="1:7">
      <c r="A952" s="122" t="s">
        <v>946</v>
      </c>
      <c r="B952" s="406" t="s">
        <v>2379</v>
      </c>
      <c r="C952" s="173">
        <v>1.37</v>
      </c>
      <c r="D952" s="173">
        <v>2506.2759999999998</v>
      </c>
      <c r="E952" s="173">
        <v>1.5</v>
      </c>
      <c r="F952" s="121">
        <v>0</v>
      </c>
      <c r="G952" s="121">
        <v>284304</v>
      </c>
    </row>
    <row r="953" spans="1:7">
      <c r="A953" s="122" t="s">
        <v>1606</v>
      </c>
      <c r="B953" s="406" t="s">
        <v>1668</v>
      </c>
      <c r="C953" s="173">
        <v>1.37</v>
      </c>
      <c r="D953" s="173">
        <v>436.77100000000002</v>
      </c>
      <c r="E953" s="173">
        <v>1.5</v>
      </c>
      <c r="F953" s="121">
        <v>0</v>
      </c>
      <c r="G953" s="121">
        <v>24881</v>
      </c>
    </row>
    <row r="954" spans="1:7">
      <c r="A954" s="122" t="s">
        <v>989</v>
      </c>
      <c r="B954" s="406" t="s">
        <v>1520</v>
      </c>
      <c r="C954" s="173">
        <v>1.37</v>
      </c>
      <c r="D954" s="173">
        <v>881.06500000000005</v>
      </c>
      <c r="E954" s="173">
        <v>1.5</v>
      </c>
      <c r="F954" s="121">
        <v>0</v>
      </c>
      <c r="G954" s="121">
        <v>102890</v>
      </c>
    </row>
    <row r="955" spans="1:7">
      <c r="A955" s="122" t="s">
        <v>372</v>
      </c>
      <c r="B955" s="406" t="s">
        <v>155</v>
      </c>
      <c r="C955" s="173">
        <v>1.331</v>
      </c>
      <c r="D955" s="173">
        <v>12722.867</v>
      </c>
      <c r="E955" s="173">
        <v>1.456</v>
      </c>
      <c r="F955" s="121">
        <v>0</v>
      </c>
      <c r="G955" s="121">
        <v>778514</v>
      </c>
    </row>
    <row r="956" spans="1:7">
      <c r="A956" s="122" t="s">
        <v>2992</v>
      </c>
      <c r="B956" s="406" t="s">
        <v>2380</v>
      </c>
      <c r="C956" s="173">
        <v>1.254</v>
      </c>
      <c r="D956" s="173">
        <v>88.370999999999995</v>
      </c>
      <c r="E956" s="173">
        <v>1.37</v>
      </c>
      <c r="F956" s="121">
        <v>0</v>
      </c>
      <c r="G956" s="121">
        <v>0</v>
      </c>
    </row>
    <row r="957" spans="1:7">
      <c r="A957" s="122" t="s">
        <v>1160</v>
      </c>
      <c r="B957" s="406" t="s">
        <v>1307</v>
      </c>
      <c r="C957" s="173">
        <v>1.2414000000000001</v>
      </c>
      <c r="D957" s="173">
        <v>809.06100000000004</v>
      </c>
      <c r="E957" s="173">
        <v>1.4</v>
      </c>
      <c r="F957" s="121">
        <v>0</v>
      </c>
      <c r="G957" s="121">
        <v>77626</v>
      </c>
    </row>
    <row r="958" spans="1:7">
      <c r="A958" s="122" t="s">
        <v>1320</v>
      </c>
      <c r="B958" s="406" t="s">
        <v>106</v>
      </c>
      <c r="C958" s="173">
        <v>1.3567</v>
      </c>
      <c r="D958" s="173">
        <v>6080.9070000000002</v>
      </c>
      <c r="E958" s="173">
        <v>1.4850000000000001</v>
      </c>
      <c r="F958" s="121">
        <v>0</v>
      </c>
      <c r="G958" s="121">
        <v>801707</v>
      </c>
    </row>
    <row r="959" spans="1:7">
      <c r="A959" s="122" t="s">
        <v>306</v>
      </c>
      <c r="B959" s="406" t="s">
        <v>2722</v>
      </c>
      <c r="C959" s="173">
        <v>1.37</v>
      </c>
      <c r="D959" s="173">
        <v>1254.663</v>
      </c>
      <c r="E959" s="173">
        <v>1.5</v>
      </c>
      <c r="F959" s="121">
        <v>0</v>
      </c>
      <c r="G959" s="121">
        <v>97195</v>
      </c>
    </row>
    <row r="960" spans="1:7">
      <c r="A960" s="122" t="s">
        <v>307</v>
      </c>
      <c r="B960" s="406" t="s">
        <v>159</v>
      </c>
      <c r="C960" s="173">
        <v>1.37</v>
      </c>
      <c r="D960" s="173">
        <v>4660.6360000000004</v>
      </c>
      <c r="E960" s="173">
        <v>1.5</v>
      </c>
      <c r="F960" s="121">
        <v>0</v>
      </c>
      <c r="G960" s="121">
        <v>830346</v>
      </c>
    </row>
    <row r="961" spans="1:7">
      <c r="A961" s="122" t="s">
        <v>693</v>
      </c>
      <c r="B961" s="406" t="s">
        <v>107</v>
      </c>
      <c r="C961" s="173">
        <v>1.37</v>
      </c>
      <c r="D961" s="173">
        <v>1648.316</v>
      </c>
      <c r="E961" s="173">
        <v>1.5</v>
      </c>
      <c r="F961" s="121">
        <v>0</v>
      </c>
      <c r="G961" s="121">
        <v>233876</v>
      </c>
    </row>
    <row r="962" spans="1:7">
      <c r="A962" s="122" t="s">
        <v>694</v>
      </c>
      <c r="B962" s="406" t="s">
        <v>999</v>
      </c>
      <c r="C962" s="173">
        <v>1.2809999999999999</v>
      </c>
      <c r="D962" s="173">
        <v>1858.7159999999999</v>
      </c>
      <c r="E962" s="173">
        <v>1.4</v>
      </c>
      <c r="F962" s="121">
        <v>0</v>
      </c>
      <c r="G962" s="121">
        <v>80664</v>
      </c>
    </row>
    <row r="963" spans="1:7">
      <c r="A963" s="122" t="s">
        <v>695</v>
      </c>
      <c r="B963" s="406" t="s">
        <v>1383</v>
      </c>
      <c r="C963" s="173">
        <v>1.3701000000000001</v>
      </c>
      <c r="D963" s="173">
        <v>107.934</v>
      </c>
      <c r="E963" s="173">
        <v>1.5</v>
      </c>
      <c r="F963" s="121">
        <v>0</v>
      </c>
      <c r="G963" s="121">
        <v>10355</v>
      </c>
    </row>
    <row r="964" spans="1:7">
      <c r="A964" s="122" t="s">
        <v>2669</v>
      </c>
      <c r="B964" s="406" t="s">
        <v>1384</v>
      </c>
      <c r="C964" s="173">
        <v>1.3045</v>
      </c>
      <c r="D964" s="173">
        <v>4620.5990000000002</v>
      </c>
      <c r="E964" s="173">
        <v>1.46</v>
      </c>
      <c r="F964" s="121">
        <v>0</v>
      </c>
      <c r="G964" s="121">
        <v>464770</v>
      </c>
    </row>
    <row r="965" spans="1:7">
      <c r="A965" s="122" t="s">
        <v>2670</v>
      </c>
      <c r="B965" s="406" t="s">
        <v>1385</v>
      </c>
      <c r="C965" s="173">
        <v>1.37</v>
      </c>
      <c r="D965" s="173">
        <v>298.75900000000001</v>
      </c>
      <c r="E965" s="173">
        <v>1.5</v>
      </c>
      <c r="F965" s="121">
        <v>0</v>
      </c>
      <c r="G965" s="121">
        <v>49745</v>
      </c>
    </row>
    <row r="966" spans="1:7">
      <c r="A966" s="122" t="s">
        <v>1987</v>
      </c>
      <c r="B966" s="406" t="s">
        <v>2677</v>
      </c>
      <c r="C966" s="173">
        <v>1.2663</v>
      </c>
      <c r="D966" s="173">
        <v>22554.064999999999</v>
      </c>
      <c r="E966" s="173">
        <v>1.3829</v>
      </c>
      <c r="F966" s="121">
        <v>0</v>
      </c>
      <c r="G966" s="121">
        <v>402043</v>
      </c>
    </row>
    <row r="967" spans="1:7">
      <c r="A967" s="122" t="s">
        <v>1713</v>
      </c>
      <c r="B967" s="406" t="s">
        <v>2703</v>
      </c>
      <c r="C967" s="173">
        <v>1.2636000000000001</v>
      </c>
      <c r="D967" s="173">
        <v>33167.021999999997</v>
      </c>
      <c r="E967" s="173">
        <v>1.3798999999999999</v>
      </c>
      <c r="F967" s="121">
        <v>598654</v>
      </c>
      <c r="G967" s="121">
        <v>2364525</v>
      </c>
    </row>
    <row r="968" spans="1:7">
      <c r="A968" s="122" t="s">
        <v>1043</v>
      </c>
      <c r="B968" s="406" t="s">
        <v>1386</v>
      </c>
      <c r="C968" s="173">
        <v>1.0597000000000001</v>
      </c>
      <c r="D968" s="173">
        <v>352.25799999999998</v>
      </c>
      <c r="E968" s="173">
        <v>1.115</v>
      </c>
      <c r="F968" s="121">
        <v>0</v>
      </c>
      <c r="G968" s="121">
        <v>60465</v>
      </c>
    </row>
    <row r="969" spans="1:7">
      <c r="A969" s="122" t="s">
        <v>1044</v>
      </c>
      <c r="B969" s="406" t="s">
        <v>1387</v>
      </c>
      <c r="C969" s="173">
        <v>1.37</v>
      </c>
      <c r="D969" s="173">
        <v>896.02099999999996</v>
      </c>
      <c r="E969" s="173">
        <v>1.5</v>
      </c>
      <c r="F969" s="121">
        <v>0</v>
      </c>
      <c r="G969" s="121">
        <v>145368</v>
      </c>
    </row>
    <row r="970" spans="1:7">
      <c r="A970" s="122" t="s">
        <v>1045</v>
      </c>
      <c r="B970" s="406" t="s">
        <v>1388</v>
      </c>
      <c r="C970" s="173">
        <v>1.36</v>
      </c>
      <c r="D970" s="173">
        <v>863.97500000000002</v>
      </c>
      <c r="E970" s="173">
        <v>1.4886999999999999</v>
      </c>
      <c r="F970" s="121">
        <v>0</v>
      </c>
      <c r="G970" s="121">
        <v>104270</v>
      </c>
    </row>
    <row r="971" spans="1:7">
      <c r="A971" s="122" t="s">
        <v>624</v>
      </c>
      <c r="B971" s="406" t="s">
        <v>1389</v>
      </c>
      <c r="C971" s="173">
        <v>1.2775000000000001</v>
      </c>
      <c r="D971" s="173">
        <v>3232.9360000000001</v>
      </c>
      <c r="E971" s="173">
        <v>1.3956</v>
      </c>
      <c r="F971" s="121">
        <v>0</v>
      </c>
      <c r="G971" s="121">
        <v>325956</v>
      </c>
    </row>
    <row r="972" spans="1:7">
      <c r="A972" s="122" t="s">
        <v>1014</v>
      </c>
      <c r="B972" s="406" t="s">
        <v>1390</v>
      </c>
      <c r="C972" s="173">
        <v>1.3567</v>
      </c>
      <c r="D972" s="173">
        <v>2215.462</v>
      </c>
      <c r="E972" s="173">
        <v>1.4850000000000001</v>
      </c>
      <c r="F972" s="121">
        <v>0</v>
      </c>
      <c r="G972" s="121">
        <v>182177</v>
      </c>
    </row>
    <row r="973" spans="1:7">
      <c r="A973" s="122" t="s">
        <v>1015</v>
      </c>
      <c r="B973" s="406" t="s">
        <v>1391</v>
      </c>
      <c r="C973" s="173">
        <v>1.32</v>
      </c>
      <c r="D973" s="173">
        <v>464.13799999999998</v>
      </c>
      <c r="E973" s="173">
        <v>1.4450000000000001</v>
      </c>
      <c r="F973" s="121">
        <v>0</v>
      </c>
      <c r="G973" s="121">
        <v>60959</v>
      </c>
    </row>
    <row r="974" spans="1:7">
      <c r="A974" s="122" t="s">
        <v>1016</v>
      </c>
      <c r="B974" s="406" t="s">
        <v>1392</v>
      </c>
      <c r="C974" s="173">
        <v>1.35</v>
      </c>
      <c r="D974" s="173">
        <v>309.63099999999997</v>
      </c>
      <c r="E974" s="173">
        <v>1.48</v>
      </c>
      <c r="F974" s="121">
        <v>0</v>
      </c>
      <c r="G974" s="121">
        <v>26230</v>
      </c>
    </row>
    <row r="975" spans="1:7">
      <c r="A975" s="122" t="s">
        <v>1017</v>
      </c>
      <c r="B975" s="406" t="s">
        <v>1393</v>
      </c>
      <c r="C975" s="173">
        <v>1.37</v>
      </c>
      <c r="D975" s="173">
        <v>351.34899999999999</v>
      </c>
      <c r="E975" s="173">
        <v>1.5</v>
      </c>
      <c r="F975" s="121">
        <v>0</v>
      </c>
      <c r="G975" s="121">
        <v>33370</v>
      </c>
    </row>
    <row r="976" spans="1:7">
      <c r="A976" s="122" t="s">
        <v>1940</v>
      </c>
      <c r="B976" s="406" t="s">
        <v>1394</v>
      </c>
      <c r="C976" s="173">
        <v>0.9</v>
      </c>
      <c r="D976" s="173">
        <v>64.739000000000004</v>
      </c>
      <c r="E976" s="173">
        <v>0.97</v>
      </c>
      <c r="F976" s="121">
        <v>0</v>
      </c>
      <c r="G976" s="121">
        <v>21720</v>
      </c>
    </row>
    <row r="977" spans="1:7">
      <c r="A977" s="122" t="s">
        <v>2648</v>
      </c>
      <c r="B977" s="406" t="s">
        <v>1395</v>
      </c>
      <c r="C977" s="173">
        <v>1.0330999999999999</v>
      </c>
      <c r="D977" s="173">
        <v>141.334</v>
      </c>
      <c r="E977" s="173">
        <v>1.1200000000000001</v>
      </c>
      <c r="F977" s="121">
        <v>0</v>
      </c>
      <c r="G977" s="121">
        <v>48593</v>
      </c>
    </row>
    <row r="978" spans="1:7">
      <c r="A978" s="122" t="s">
        <v>996</v>
      </c>
      <c r="B978" s="406" t="s">
        <v>1633</v>
      </c>
      <c r="C978" s="173">
        <v>1.37</v>
      </c>
      <c r="D978" s="173">
        <v>3273.433</v>
      </c>
      <c r="E978" s="173">
        <v>1.5</v>
      </c>
      <c r="F978" s="121">
        <v>0</v>
      </c>
      <c r="G978" s="121">
        <v>199350</v>
      </c>
    </row>
    <row r="979" spans="1:7">
      <c r="A979" s="122" t="s">
        <v>1424</v>
      </c>
      <c r="B979" s="406" t="s">
        <v>1804</v>
      </c>
      <c r="C979" s="173">
        <v>1.37</v>
      </c>
      <c r="D979" s="173">
        <v>562.47299999999996</v>
      </c>
      <c r="E979" s="173">
        <v>1.5</v>
      </c>
      <c r="F979" s="121">
        <v>0</v>
      </c>
      <c r="G979" s="121">
        <v>24719</v>
      </c>
    </row>
    <row r="980" spans="1:7">
      <c r="A980" s="122" t="s">
        <v>714</v>
      </c>
      <c r="B980" s="406" t="s">
        <v>1805</v>
      </c>
      <c r="C980" s="173">
        <v>1.36</v>
      </c>
      <c r="D980" s="173">
        <v>1780.4480000000001</v>
      </c>
      <c r="E980" s="173">
        <v>1.49</v>
      </c>
      <c r="F980" s="121">
        <v>0</v>
      </c>
      <c r="G980" s="121">
        <v>108095</v>
      </c>
    </row>
    <row r="981" spans="1:7">
      <c r="A981" s="122" t="s">
        <v>2088</v>
      </c>
      <c r="B981" s="406" t="s">
        <v>1806</v>
      </c>
      <c r="C981" s="173">
        <v>1.33</v>
      </c>
      <c r="D981" s="173">
        <v>13742.698</v>
      </c>
      <c r="E981" s="173">
        <v>1.5</v>
      </c>
      <c r="F981" s="121">
        <v>0</v>
      </c>
      <c r="G981" s="121">
        <v>676782</v>
      </c>
    </row>
    <row r="982" spans="1:7">
      <c r="A982" s="122" t="s">
        <v>626</v>
      </c>
      <c r="B982" s="406" t="s">
        <v>1327</v>
      </c>
      <c r="C982" s="173">
        <v>1.37</v>
      </c>
      <c r="D982" s="173">
        <v>995.31</v>
      </c>
      <c r="E982" s="173">
        <v>1.5</v>
      </c>
      <c r="F982" s="121">
        <v>0</v>
      </c>
      <c r="G982" s="121">
        <v>16111</v>
      </c>
    </row>
    <row r="983" spans="1:7">
      <c r="A983" s="122" t="s">
        <v>1534</v>
      </c>
      <c r="B983" s="406" t="s">
        <v>1807</v>
      </c>
      <c r="C983" s="173">
        <v>1.37</v>
      </c>
      <c r="D983" s="173">
        <v>110.898</v>
      </c>
      <c r="E983" s="173">
        <v>1.5</v>
      </c>
      <c r="F983" s="121">
        <v>0</v>
      </c>
      <c r="G983" s="121">
        <v>5359</v>
      </c>
    </row>
    <row r="984" spans="1:7">
      <c r="A984" s="122" t="s">
        <v>9</v>
      </c>
      <c r="B984" s="406" t="s">
        <v>1808</v>
      </c>
      <c r="C984" s="173">
        <v>1.37</v>
      </c>
      <c r="D984" s="173">
        <v>2054.4679999999998</v>
      </c>
      <c r="E984" s="173">
        <v>1.5</v>
      </c>
      <c r="F984" s="121">
        <v>0</v>
      </c>
      <c r="G984" s="121">
        <v>106446</v>
      </c>
    </row>
    <row r="985" spans="1:7">
      <c r="A985" s="122" t="s">
        <v>10</v>
      </c>
      <c r="B985" s="406" t="s">
        <v>2612</v>
      </c>
      <c r="C985" s="173">
        <v>1.37</v>
      </c>
      <c r="D985" s="173">
        <v>178.727</v>
      </c>
      <c r="E985" s="173">
        <v>1.5</v>
      </c>
      <c r="F985" s="121">
        <v>0</v>
      </c>
      <c r="G985" s="121">
        <v>18315</v>
      </c>
    </row>
    <row r="986" spans="1:7">
      <c r="A986" s="122" t="s">
        <v>1695</v>
      </c>
      <c r="B986" s="406" t="s">
        <v>2678</v>
      </c>
      <c r="C986" s="173">
        <v>1.37</v>
      </c>
      <c r="D986" s="173">
        <v>296.33199999999999</v>
      </c>
      <c r="E986" s="173">
        <v>1.5</v>
      </c>
      <c r="F986" s="121">
        <v>0</v>
      </c>
      <c r="G986" s="121">
        <v>29716</v>
      </c>
    </row>
    <row r="987" spans="1:7">
      <c r="A987" s="122" t="s">
        <v>2387</v>
      </c>
      <c r="B987" s="406" t="s">
        <v>950</v>
      </c>
      <c r="C987" s="173">
        <v>1.37</v>
      </c>
      <c r="D987" s="173">
        <v>1431.277</v>
      </c>
      <c r="E987" s="173">
        <v>1.5</v>
      </c>
      <c r="F987" s="121">
        <v>0</v>
      </c>
      <c r="G987" s="121">
        <v>152900</v>
      </c>
    </row>
    <row r="988" spans="1:7">
      <c r="A988" s="122" t="s">
        <v>465</v>
      </c>
      <c r="B988" s="406" t="s">
        <v>91</v>
      </c>
      <c r="C988" s="173">
        <v>1.2636000000000001</v>
      </c>
      <c r="D988" s="173">
        <v>2264.607</v>
      </c>
      <c r="E988" s="173">
        <v>1.38</v>
      </c>
      <c r="F988" s="121">
        <v>0</v>
      </c>
      <c r="G988" s="121">
        <v>90828</v>
      </c>
    </row>
    <row r="989" spans="1:7">
      <c r="A989" s="122" t="s">
        <v>308</v>
      </c>
      <c r="B989" s="406" t="s">
        <v>580</v>
      </c>
      <c r="C989" s="173">
        <v>1.37</v>
      </c>
      <c r="D989" s="173">
        <v>266.79199999999997</v>
      </c>
      <c r="E989" s="173">
        <v>1.5</v>
      </c>
      <c r="F989" s="121">
        <v>0</v>
      </c>
      <c r="G989" s="121">
        <v>28228</v>
      </c>
    </row>
    <row r="990" spans="1:7">
      <c r="A990" s="122" t="s">
        <v>1514</v>
      </c>
      <c r="B990" s="406" t="s">
        <v>130</v>
      </c>
      <c r="C990" s="173">
        <v>1.37</v>
      </c>
      <c r="D990" s="173">
        <v>947.85199999999998</v>
      </c>
      <c r="E990" s="173">
        <v>1.5</v>
      </c>
      <c r="F990" s="121">
        <v>0</v>
      </c>
      <c r="G990" s="121">
        <v>109574</v>
      </c>
    </row>
    <row r="991" spans="1:7">
      <c r="A991" s="122" t="s">
        <v>2975</v>
      </c>
      <c r="B991" s="406" t="s">
        <v>2650</v>
      </c>
      <c r="C991" s="173">
        <v>1.37</v>
      </c>
      <c r="D991" s="173">
        <v>8588.8580000000002</v>
      </c>
      <c r="E991" s="173">
        <v>1.5</v>
      </c>
      <c r="F991" s="121">
        <v>0</v>
      </c>
      <c r="G991" s="121">
        <v>908622</v>
      </c>
    </row>
    <row r="992" spans="1:7">
      <c r="A992" s="122" t="s">
        <v>2038</v>
      </c>
      <c r="B992" s="406" t="s">
        <v>1153</v>
      </c>
      <c r="C992" s="173">
        <v>1.3523000000000001</v>
      </c>
      <c r="D992" s="173">
        <v>454.40499999999997</v>
      </c>
      <c r="E992" s="173">
        <v>1.48</v>
      </c>
      <c r="F992" s="121">
        <v>0</v>
      </c>
      <c r="G992" s="121">
        <v>47901</v>
      </c>
    </row>
    <row r="993" spans="1:7">
      <c r="A993" s="122" t="s">
        <v>47</v>
      </c>
      <c r="B993" s="406" t="s">
        <v>1440</v>
      </c>
      <c r="C993" s="173">
        <v>1.36</v>
      </c>
      <c r="D993" s="173">
        <v>2867.5030000000002</v>
      </c>
      <c r="E993" s="173">
        <v>1.49</v>
      </c>
      <c r="F993" s="121">
        <v>0</v>
      </c>
      <c r="G993" s="121">
        <v>198223</v>
      </c>
    </row>
    <row r="994" spans="1:7">
      <c r="A994" s="122" t="s">
        <v>11</v>
      </c>
      <c r="B994" s="406" t="s">
        <v>1809</v>
      </c>
      <c r="C994" s="173">
        <v>1.37</v>
      </c>
      <c r="D994" s="173">
        <v>624.98299999999995</v>
      </c>
      <c r="E994" s="173">
        <v>1.5</v>
      </c>
      <c r="F994" s="121">
        <v>0</v>
      </c>
      <c r="G994" s="121">
        <v>45903</v>
      </c>
    </row>
    <row r="995" spans="1:7">
      <c r="A995" s="122" t="s">
        <v>1990</v>
      </c>
      <c r="B995" s="406" t="s">
        <v>2826</v>
      </c>
      <c r="C995" s="173">
        <v>1.37</v>
      </c>
      <c r="D995" s="173">
        <v>1961.7449999999999</v>
      </c>
      <c r="E995" s="173">
        <v>1.5</v>
      </c>
      <c r="F995" s="121">
        <v>0</v>
      </c>
      <c r="G995" s="121">
        <v>201698</v>
      </c>
    </row>
    <row r="996" spans="1:7">
      <c r="A996" s="122" t="s">
        <v>1485</v>
      </c>
      <c r="B996" s="406" t="s">
        <v>666</v>
      </c>
      <c r="C996" s="173">
        <v>1.337</v>
      </c>
      <c r="D996" s="173">
        <v>35749.97</v>
      </c>
      <c r="E996" s="173">
        <v>1.4967999999999999</v>
      </c>
      <c r="F996" s="121">
        <v>0</v>
      </c>
      <c r="G996" s="121">
        <v>2121770</v>
      </c>
    </row>
    <row r="997" spans="1:7">
      <c r="A997" s="122" t="s">
        <v>1738</v>
      </c>
      <c r="B997" s="406" t="s">
        <v>657</v>
      </c>
      <c r="C997" s="173">
        <v>1.37</v>
      </c>
      <c r="D997" s="173">
        <v>2813.0450000000001</v>
      </c>
      <c r="E997" s="173">
        <v>1.5</v>
      </c>
      <c r="F997" s="121">
        <v>0</v>
      </c>
      <c r="G997" s="121">
        <v>246831</v>
      </c>
    </row>
    <row r="998" spans="1:7">
      <c r="A998" s="122" t="s">
        <v>1708</v>
      </c>
      <c r="B998" s="406" t="s">
        <v>659</v>
      </c>
      <c r="C998" s="173">
        <v>1.37</v>
      </c>
      <c r="D998" s="173">
        <v>529.19500000000005</v>
      </c>
      <c r="E998" s="173">
        <v>1.5</v>
      </c>
      <c r="F998" s="121">
        <v>0</v>
      </c>
      <c r="G998" s="121">
        <v>67025</v>
      </c>
    </row>
    <row r="999" spans="1:7">
      <c r="A999" s="122" t="s">
        <v>1988</v>
      </c>
      <c r="B999" s="406" t="s">
        <v>2824</v>
      </c>
      <c r="C999" s="173">
        <v>1.3248</v>
      </c>
      <c r="D999" s="173">
        <v>20900.86</v>
      </c>
      <c r="E999" s="173">
        <v>1.4490000000000001</v>
      </c>
      <c r="F999" s="121">
        <v>216929</v>
      </c>
      <c r="G999" s="121">
        <v>1459136</v>
      </c>
    </row>
    <row r="1000" spans="1:7">
      <c r="A1000" s="122" t="s">
        <v>12</v>
      </c>
      <c r="B1000" s="406" t="s">
        <v>1810</v>
      </c>
      <c r="C1000" s="173">
        <v>1.37</v>
      </c>
      <c r="D1000" s="173">
        <v>110.209</v>
      </c>
      <c r="E1000" s="173">
        <v>1.5</v>
      </c>
      <c r="F1000" s="121">
        <v>0</v>
      </c>
      <c r="G1000" s="121">
        <v>0</v>
      </c>
    </row>
    <row r="1001" spans="1:7">
      <c r="A1001" s="122" t="s">
        <v>2814</v>
      </c>
      <c r="B1001" s="406" t="s">
        <v>131</v>
      </c>
      <c r="C1001" s="173">
        <v>1.37</v>
      </c>
      <c r="D1001" s="173">
        <v>3402.7939999999999</v>
      </c>
      <c r="E1001" s="173">
        <v>1.5</v>
      </c>
      <c r="F1001" s="121">
        <v>0</v>
      </c>
      <c r="G1001" s="121">
        <v>679556</v>
      </c>
    </row>
    <row r="1002" spans="1:7">
      <c r="A1002" s="122" t="s">
        <v>66</v>
      </c>
      <c r="B1002" s="406" t="s">
        <v>2173</v>
      </c>
      <c r="C1002" s="173">
        <v>1.37</v>
      </c>
      <c r="D1002" s="173">
        <v>2459.8780000000002</v>
      </c>
      <c r="E1002" s="173">
        <v>1.5</v>
      </c>
      <c r="F1002" s="121">
        <v>0</v>
      </c>
      <c r="G1002" s="121">
        <v>305126</v>
      </c>
    </row>
    <row r="1003" spans="1:7">
      <c r="A1003" s="122" t="s">
        <v>2815</v>
      </c>
      <c r="B1003" s="406" t="s">
        <v>1132</v>
      </c>
      <c r="C1003" s="173">
        <v>1.361</v>
      </c>
      <c r="D1003" s="173">
        <v>727.97900000000004</v>
      </c>
      <c r="E1003" s="173">
        <v>1.49</v>
      </c>
      <c r="F1003" s="121">
        <v>0</v>
      </c>
      <c r="G1003" s="121">
        <v>52946</v>
      </c>
    </row>
    <row r="1004" spans="1:7">
      <c r="A1004" s="122" t="s">
        <v>1705</v>
      </c>
      <c r="B1004" s="406" t="s">
        <v>2215</v>
      </c>
      <c r="C1004" s="173">
        <v>1.3520000000000001</v>
      </c>
      <c r="D1004" s="173">
        <v>698.05899999999997</v>
      </c>
      <c r="E1004" s="173">
        <v>1.48</v>
      </c>
      <c r="F1004" s="121">
        <v>0</v>
      </c>
      <c r="G1004" s="121">
        <v>78315</v>
      </c>
    </row>
    <row r="1005" spans="1:7">
      <c r="A1005" s="122" t="s">
        <v>1339</v>
      </c>
      <c r="B1005" s="406" t="s">
        <v>1811</v>
      </c>
      <c r="C1005" s="173">
        <v>1.37</v>
      </c>
      <c r="D1005" s="173">
        <v>1111.423</v>
      </c>
      <c r="E1005" s="173">
        <v>1.5</v>
      </c>
      <c r="F1005" s="121">
        <v>0</v>
      </c>
      <c r="G1005" s="121">
        <v>42491</v>
      </c>
    </row>
    <row r="1006" spans="1:7">
      <c r="A1006" s="122" t="s">
        <v>1340</v>
      </c>
      <c r="B1006" s="406" t="s">
        <v>1812</v>
      </c>
      <c r="C1006" s="173">
        <v>1.37</v>
      </c>
      <c r="D1006" s="173">
        <v>314.12400000000002</v>
      </c>
      <c r="E1006" s="173">
        <v>1.5</v>
      </c>
      <c r="F1006" s="121">
        <v>0</v>
      </c>
      <c r="G1006" s="121">
        <v>29786</v>
      </c>
    </row>
    <row r="1007" spans="1:7">
      <c r="A1007" s="122" t="s">
        <v>224</v>
      </c>
      <c r="B1007" s="406" t="s">
        <v>1203</v>
      </c>
      <c r="C1007" s="173">
        <v>1.3132999999999999</v>
      </c>
      <c r="D1007" s="173">
        <v>686.80499999999995</v>
      </c>
      <c r="E1007" s="173">
        <v>1.4359999999999999</v>
      </c>
      <c r="F1007" s="121">
        <v>0</v>
      </c>
      <c r="G1007" s="121">
        <v>55819</v>
      </c>
    </row>
    <row r="1008" spans="1:7">
      <c r="A1008" s="122" t="s">
        <v>904</v>
      </c>
      <c r="B1008" s="406" t="s">
        <v>1813</v>
      </c>
      <c r="C1008" s="173">
        <v>1.3368</v>
      </c>
      <c r="D1008" s="173">
        <v>969.399</v>
      </c>
      <c r="E1008" s="173">
        <v>1.4625999999999999</v>
      </c>
      <c r="F1008" s="121">
        <v>0</v>
      </c>
      <c r="G1008" s="121">
        <v>117439</v>
      </c>
    </row>
    <row r="1009" spans="1:7">
      <c r="A1009" s="122" t="s">
        <v>2491</v>
      </c>
      <c r="B1009" s="406" t="s">
        <v>1814</v>
      </c>
      <c r="C1009" s="173">
        <v>1.2599</v>
      </c>
      <c r="D1009" s="173">
        <v>2121.335</v>
      </c>
      <c r="E1009" s="173">
        <v>1.37</v>
      </c>
      <c r="F1009" s="121">
        <v>0</v>
      </c>
      <c r="G1009" s="121">
        <v>177162</v>
      </c>
    </row>
    <row r="1010" spans="1:7">
      <c r="A1010" s="122" t="s">
        <v>2780</v>
      </c>
      <c r="B1010" s="406" t="s">
        <v>1815</v>
      </c>
      <c r="C1010" s="173">
        <v>1.3340000000000001</v>
      </c>
      <c r="D1010" s="173">
        <v>630.95100000000002</v>
      </c>
      <c r="E1010" s="173">
        <v>1.46</v>
      </c>
      <c r="F1010" s="121">
        <v>0</v>
      </c>
      <c r="G1010" s="121">
        <v>68135</v>
      </c>
    </row>
    <row r="1011" spans="1:7">
      <c r="A1011" s="122" t="s">
        <v>2781</v>
      </c>
      <c r="B1011" s="406" t="s">
        <v>1816</v>
      </c>
      <c r="C1011" s="173">
        <v>1.3157000000000001</v>
      </c>
      <c r="D1011" s="173">
        <v>2693.03</v>
      </c>
      <c r="E1011" s="173">
        <v>1.45</v>
      </c>
      <c r="F1011" s="121">
        <v>0</v>
      </c>
      <c r="G1011" s="121">
        <v>285299</v>
      </c>
    </row>
    <row r="1012" spans="1:7">
      <c r="A1012" s="122" t="s">
        <v>2302</v>
      </c>
      <c r="B1012" s="406" t="s">
        <v>1541</v>
      </c>
      <c r="C1012" s="173">
        <v>1.37</v>
      </c>
      <c r="D1012" s="173">
        <v>937.37699999999995</v>
      </c>
      <c r="E1012" s="173">
        <v>1.5</v>
      </c>
      <c r="F1012" s="121">
        <v>0</v>
      </c>
      <c r="G1012" s="121">
        <v>91347</v>
      </c>
    </row>
    <row r="1013" spans="1:7">
      <c r="A1013" s="122" t="s">
        <v>1314</v>
      </c>
      <c r="B1013" s="406" t="s">
        <v>2201</v>
      </c>
      <c r="C1013" s="173">
        <v>1.2205999999999999</v>
      </c>
      <c r="D1013" s="173">
        <v>245.554</v>
      </c>
      <c r="E1013" s="173">
        <v>1.3314999999999999</v>
      </c>
      <c r="F1013" s="121">
        <v>0</v>
      </c>
      <c r="G1013" s="121">
        <v>77860</v>
      </c>
    </row>
    <row r="1014" spans="1:7">
      <c r="A1014" s="122" t="s">
        <v>2548</v>
      </c>
      <c r="B1014" s="406" t="s">
        <v>1817</v>
      </c>
      <c r="C1014" s="173">
        <v>1.1893</v>
      </c>
      <c r="D1014" s="173">
        <v>684.75</v>
      </c>
      <c r="E1014" s="173">
        <v>1.2961</v>
      </c>
      <c r="F1014" s="121">
        <v>0</v>
      </c>
      <c r="G1014" s="121">
        <v>74474</v>
      </c>
    </row>
    <row r="1015" spans="1:7">
      <c r="A1015" s="122" t="s">
        <v>2549</v>
      </c>
      <c r="B1015" s="406" t="s">
        <v>1818</v>
      </c>
      <c r="C1015" s="173">
        <v>1.37</v>
      </c>
      <c r="D1015" s="173">
        <v>1501.193</v>
      </c>
      <c r="E1015" s="173">
        <v>1.5</v>
      </c>
      <c r="F1015" s="121">
        <v>0</v>
      </c>
      <c r="G1015" s="121">
        <v>85095</v>
      </c>
    </row>
    <row r="1016" spans="1:7">
      <c r="A1016" s="122" t="s">
        <v>2970</v>
      </c>
      <c r="B1016" s="406" t="s">
        <v>29</v>
      </c>
      <c r="C1016" s="173">
        <v>1.37</v>
      </c>
      <c r="D1016" s="173">
        <v>1065.33</v>
      </c>
      <c r="E1016" s="173">
        <v>1.5</v>
      </c>
      <c r="F1016" s="121">
        <v>0</v>
      </c>
      <c r="G1016" s="121">
        <v>393028</v>
      </c>
    </row>
    <row r="1017" spans="1:7">
      <c r="A1017" s="122" t="s">
        <v>2971</v>
      </c>
      <c r="B1017" s="406" t="s">
        <v>1548</v>
      </c>
      <c r="C1017" s="173">
        <v>1.3088</v>
      </c>
      <c r="D1017" s="173">
        <v>372.709</v>
      </c>
      <c r="E1017" s="173">
        <v>1.431</v>
      </c>
      <c r="F1017" s="121">
        <v>0</v>
      </c>
      <c r="G1017" s="121">
        <v>43458</v>
      </c>
    </row>
    <row r="1018" spans="1:7">
      <c r="A1018" s="122" t="s">
        <v>705</v>
      </c>
      <c r="B1018" s="406" t="s">
        <v>1549</v>
      </c>
      <c r="C1018" s="173">
        <v>1.37</v>
      </c>
      <c r="D1018" s="173">
        <v>769.077</v>
      </c>
      <c r="E1018" s="173">
        <v>1.5</v>
      </c>
      <c r="F1018" s="121">
        <v>0</v>
      </c>
      <c r="G1018" s="121">
        <v>74415</v>
      </c>
    </row>
    <row r="1019" spans="1:7">
      <c r="A1019" s="122" t="s">
        <v>777</v>
      </c>
      <c r="B1019" s="406" t="s">
        <v>1550</v>
      </c>
      <c r="C1019" s="173">
        <v>1.37</v>
      </c>
      <c r="D1019" s="173">
        <v>1290.6289999999999</v>
      </c>
      <c r="E1019" s="173">
        <v>1.5</v>
      </c>
      <c r="F1019" s="121">
        <v>0</v>
      </c>
      <c r="G1019" s="121">
        <v>94818</v>
      </c>
    </row>
    <row r="1020" spans="1:7">
      <c r="A1020" s="122" t="s">
        <v>778</v>
      </c>
      <c r="B1020" s="406" t="s">
        <v>1551</v>
      </c>
      <c r="C1020" s="173">
        <v>1.37</v>
      </c>
      <c r="D1020" s="173">
        <v>1250.5429999999999</v>
      </c>
      <c r="E1020" s="173">
        <v>1.5</v>
      </c>
      <c r="F1020" s="121">
        <v>0</v>
      </c>
      <c r="G1020" s="121">
        <v>72494</v>
      </c>
    </row>
    <row r="1021" spans="1:7">
      <c r="A1021" s="122" t="s">
        <v>1660</v>
      </c>
      <c r="B1021" s="406" t="s">
        <v>1552</v>
      </c>
      <c r="C1021" s="173">
        <v>1.26</v>
      </c>
      <c r="D1021" s="173">
        <v>442.58699999999999</v>
      </c>
      <c r="E1021" s="173">
        <v>1.3785000000000001</v>
      </c>
      <c r="F1021" s="121">
        <v>0</v>
      </c>
      <c r="G1021" s="121">
        <v>44181</v>
      </c>
    </row>
    <row r="1022" spans="1:7">
      <c r="A1022" s="122" t="s">
        <v>1020</v>
      </c>
      <c r="B1022" s="406" t="s">
        <v>974</v>
      </c>
      <c r="C1022" s="173">
        <v>1.3080000000000001</v>
      </c>
      <c r="D1022" s="173">
        <v>2257.634</v>
      </c>
      <c r="E1022" s="173">
        <v>1.43</v>
      </c>
      <c r="F1022" s="121">
        <v>5438</v>
      </c>
      <c r="G1022" s="121">
        <v>153492</v>
      </c>
    </row>
    <row r="1023" spans="1:7">
      <c r="A1023" s="122" t="s">
        <v>1661</v>
      </c>
      <c r="B1023" s="406" t="s">
        <v>1553</v>
      </c>
      <c r="C1023" s="173">
        <v>1.37</v>
      </c>
      <c r="D1023" s="173">
        <v>169.154</v>
      </c>
      <c r="E1023" s="173">
        <v>1.5</v>
      </c>
      <c r="F1023" s="121">
        <v>0</v>
      </c>
      <c r="G1023" s="121">
        <v>12387</v>
      </c>
    </row>
    <row r="1024" spans="1:7">
      <c r="A1024" s="122" t="s">
        <v>1696</v>
      </c>
      <c r="B1024" s="406" t="s">
        <v>933</v>
      </c>
      <c r="C1024" s="173">
        <v>1.37</v>
      </c>
      <c r="D1024" s="173">
        <v>735.327</v>
      </c>
      <c r="E1024" s="173">
        <v>1.5</v>
      </c>
      <c r="F1024" s="121">
        <v>0</v>
      </c>
      <c r="G1024" s="121">
        <v>24230</v>
      </c>
    </row>
    <row r="1025" spans="1:7">
      <c r="A1025" s="122" t="s">
        <v>556</v>
      </c>
      <c r="B1025" s="406" t="s">
        <v>1554</v>
      </c>
      <c r="C1025" s="173">
        <v>1.37</v>
      </c>
      <c r="D1025" s="173">
        <v>2932.5010000000002</v>
      </c>
      <c r="E1025" s="173">
        <v>1.5</v>
      </c>
      <c r="F1025" s="121">
        <v>156702</v>
      </c>
      <c r="G1025" s="121">
        <v>301664</v>
      </c>
    </row>
    <row r="1026" spans="1:7">
      <c r="A1026" s="122" t="s">
        <v>2760</v>
      </c>
      <c r="B1026" s="406" t="s">
        <v>460</v>
      </c>
      <c r="C1026" s="173">
        <v>1.48</v>
      </c>
      <c r="D1026" s="173">
        <v>1867.7940000000001</v>
      </c>
      <c r="E1026" s="173">
        <v>1.48</v>
      </c>
      <c r="F1026" s="121">
        <v>0</v>
      </c>
      <c r="G1026" s="121">
        <v>65504</v>
      </c>
    </row>
    <row r="1027" spans="1:7">
      <c r="A1027" s="122" t="s">
        <v>1901</v>
      </c>
      <c r="B1027" s="406" t="s">
        <v>2171</v>
      </c>
      <c r="C1027" s="173">
        <v>1.37</v>
      </c>
      <c r="D1027" s="173">
        <v>459.84899999999999</v>
      </c>
      <c r="E1027" s="173">
        <v>1.5</v>
      </c>
      <c r="F1027" s="121">
        <v>0</v>
      </c>
      <c r="G1027" s="121">
        <v>22366</v>
      </c>
    </row>
  </sheetData>
  <phoneticPr fontId="25" type="noConversion"/>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'Report-ASATR1920'!C1</f>
        <v>84th/85th Legislative Session</v>
      </c>
    </row>
    <row r="2" spans="1:4" s="1076" customFormat="1" ht="15">
      <c r="A2" s="1074" t="s">
        <v>3412</v>
      </c>
      <c r="D2" s="98" t="str">
        <f>'Report-ASATR1920'!C2</f>
        <v>Release 2</v>
      </c>
    </row>
    <row r="3" spans="1:4" s="1076" customFormat="1" ht="15.75">
      <c r="A3" s="1075"/>
      <c r="D3" s="82">
        <f>'Report-ASATR1920'!C3</f>
        <v>43145</v>
      </c>
    </row>
    <row r="4" spans="1:4" s="1076" customFormat="1" ht="15.75">
      <c r="A4" s="1075" t="s">
        <v>7697</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SOF'!M75</f>
        <v>0</v>
      </c>
    </row>
    <row r="12" spans="1:4" s="1076" customFormat="1" ht="15.75">
      <c r="A12" s="1079" t="s">
        <v>2502</v>
      </c>
      <c r="B12" s="1080" t="s">
        <v>4747</v>
      </c>
      <c r="C12" s="1080"/>
      <c r="D12" s="1233" t="e">
        <f>'HH2122-Calcs'!D26</f>
        <v>#DIV/0!</v>
      </c>
    </row>
    <row r="13" spans="1:4" s="1076" customFormat="1" ht="15">
      <c r="A13" s="1079" t="s">
        <v>2503</v>
      </c>
      <c r="B13" s="1080" t="s">
        <v>3576</v>
      </c>
      <c r="C13" s="1080"/>
      <c r="D13" s="1233">
        <v>0</v>
      </c>
    </row>
    <row r="14" spans="1:4" s="1076" customFormat="1" ht="15.75">
      <c r="A14" s="1079" t="s">
        <v>1024</v>
      </c>
      <c r="B14" s="1689" t="s">
        <v>7762</v>
      </c>
      <c r="C14" s="1080"/>
      <c r="D14" s="1090">
        <v>0</v>
      </c>
    </row>
    <row r="15" spans="1:4" s="1076" customFormat="1" ht="15">
      <c r="A15" s="1079" t="s">
        <v>1025</v>
      </c>
      <c r="B15" s="1080" t="s">
        <v>859</v>
      </c>
      <c r="C15" s="1080"/>
      <c r="D15" s="1085">
        <f>'Data Entry - SOF'!M76</f>
        <v>0</v>
      </c>
    </row>
    <row r="16" spans="1:4" s="1076" customFormat="1" ht="15">
      <c r="A16" s="1079" t="s">
        <v>1027</v>
      </c>
      <c r="B16" s="1080" t="s">
        <v>3397</v>
      </c>
      <c r="C16" s="1080"/>
      <c r="D16" s="1233">
        <f>'Data Entry - SOF'!M78</f>
        <v>0</v>
      </c>
    </row>
    <row r="17" spans="1:5" s="1076" customFormat="1" ht="15">
      <c r="A17" s="1079" t="s">
        <v>1028</v>
      </c>
      <c r="B17" s="1080" t="s">
        <v>3773</v>
      </c>
      <c r="C17" s="1080"/>
      <c r="D17" s="1233">
        <f>'Data Entry - SOF'!M96</f>
        <v>0</v>
      </c>
    </row>
    <row r="18" spans="1:5" s="1076" customFormat="1" ht="15">
      <c r="A18" s="1079" t="s">
        <v>1029</v>
      </c>
      <c r="B18" s="1080" t="s">
        <v>2793</v>
      </c>
      <c r="C18" s="1080"/>
      <c r="D18" s="1085">
        <f>'SOF2122-SB1'!H65</f>
        <v>0</v>
      </c>
    </row>
    <row r="19" spans="1:5" s="1076" customFormat="1" ht="15">
      <c r="A19" s="1079" t="s">
        <v>139</v>
      </c>
      <c r="B19" s="1080" t="s">
        <v>3400</v>
      </c>
      <c r="C19" s="1080"/>
      <c r="D19" s="1233">
        <v>0</v>
      </c>
    </row>
    <row r="20" spans="1:5" s="1076" customFormat="1" ht="15">
      <c r="A20" s="1079" t="s">
        <v>140</v>
      </c>
      <c r="B20" s="1080" t="s">
        <v>3401</v>
      </c>
      <c r="C20" s="1080"/>
      <c r="D20" s="1233">
        <f>'Data Entry - SOF'!M80</f>
        <v>0</v>
      </c>
    </row>
    <row r="21" spans="1:5" s="1076" customFormat="1" ht="15">
      <c r="A21" s="1079" t="s">
        <v>141</v>
      </c>
      <c r="B21" s="1080" t="s">
        <v>3402</v>
      </c>
      <c r="C21" s="1080"/>
      <c r="D21" s="1085" t="e">
        <f>'SOF2122-SB1'!H67</f>
        <v>#DIV/0!</v>
      </c>
    </row>
    <row r="22" spans="1:5" s="1076" customFormat="1" ht="15">
      <c r="A22" s="1079" t="s">
        <v>142</v>
      </c>
      <c r="B22" s="1080" t="s">
        <v>3403</v>
      </c>
      <c r="C22" s="1080"/>
      <c r="D22" s="1085" t="e">
        <f>'SOF2122-SB1'!H66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1080" t="s">
        <v>4426</v>
      </c>
      <c r="C25" s="1080"/>
      <c r="D25" s="1085">
        <v>0</v>
      </c>
      <c r="E25" s="1120" t="s">
        <v>4427</v>
      </c>
    </row>
    <row r="26" spans="1:5" s="1076" customFormat="1" ht="15.75">
      <c r="A26" s="1079" t="s">
        <v>2552</v>
      </c>
      <c r="B26" s="1078" t="s">
        <v>3449</v>
      </c>
      <c r="C26" s="1080"/>
      <c r="D26" s="1090" t="e">
        <f>SUM(D11:D25)</f>
        <v>#DIV/0!</v>
      </c>
    </row>
    <row r="27" spans="1:5" s="1076" customFormat="1" ht="15.75">
      <c r="A27" s="1089"/>
      <c r="B27" s="1195" t="s">
        <v>3392</v>
      </c>
      <c r="D27" s="3408" t="s">
        <v>7659</v>
      </c>
    </row>
    <row r="28" spans="1:5" s="1076" customFormat="1" ht="15">
      <c r="A28" s="1089"/>
    </row>
    <row r="29" spans="1:5" s="1076" customFormat="1" ht="15">
      <c r="A29" s="1089"/>
    </row>
    <row r="30" spans="1:5" s="1076" customFormat="1" ht="15.75">
      <c r="A30" s="1345" t="s">
        <v>4748</v>
      </c>
    </row>
    <row r="31" spans="1:5" s="1076" customFormat="1" ht="15">
      <c r="A31" s="1089"/>
    </row>
    <row r="32" spans="1:5" s="1076" customFormat="1" ht="15">
      <c r="A32" s="1089"/>
    </row>
    <row r="33" spans="1:4" s="1076" customFormat="1" ht="15">
      <c r="A33" s="1089"/>
    </row>
    <row r="34" spans="1:4" s="1076" customFormat="1" ht="15">
      <c r="A34" s="1089"/>
    </row>
    <row r="35" spans="1:4" s="1076" customFormat="1" ht="15">
      <c r="A35" s="1089"/>
    </row>
    <row r="36" spans="1:4" s="1076" customFormat="1" ht="15">
      <c r="A36" s="1089"/>
    </row>
    <row r="37" spans="1:4" s="1076" customFormat="1" ht="15">
      <c r="A37" s="1089"/>
    </row>
    <row r="38" spans="1:4" s="1076" customFormat="1" ht="15">
      <c r="A38" s="1089"/>
    </row>
    <row r="39" spans="1:4" s="1076" customFormat="1" ht="15">
      <c r="A39" s="1089"/>
    </row>
    <row r="40" spans="1:4" s="1076" customFormat="1" ht="15"/>
    <row r="41" spans="1:4" s="1076" customFormat="1" ht="15"/>
    <row r="42" spans="1:4" s="1076" customFormat="1" ht="15"/>
    <row r="43" spans="1:4" s="1076" customFormat="1" ht="15"/>
    <row r="44" spans="1:4" s="1076" customFormat="1" ht="15"/>
    <row r="45" spans="1:4" s="1076" customFormat="1" ht="15"/>
    <row r="46" spans="1:4" s="1076" customFormat="1" ht="15"/>
    <row r="47" spans="1:4" s="1076"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election activeCell="D2" sqref="D2"/>
    </sheetView>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4" t="str">
        <f>'Report-Other1920'!D1</f>
        <v>84th/85th Legislative Session</v>
      </c>
    </row>
    <row r="2" spans="1:4">
      <c r="A2" s="1074" t="s">
        <v>3412</v>
      </c>
      <c r="D2" s="98" t="str">
        <f>'Report-Other1920'!D2</f>
        <v>Release 2</v>
      </c>
    </row>
    <row r="3" spans="1:4">
      <c r="A3" s="89"/>
      <c r="D3" s="82">
        <f>'Report-Other1920'!D3</f>
        <v>43145</v>
      </c>
    </row>
    <row r="4" spans="1:4" ht="15.75">
      <c r="A4" s="1075" t="s">
        <v>7698</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3942</v>
      </c>
      <c r="C11" s="1080"/>
      <c r="D11" s="1085">
        <f>'Data Entry - SOF'!G63</f>
        <v>0</v>
      </c>
    </row>
    <row r="12" spans="1:4" s="1076" customFormat="1" ht="15">
      <c r="A12" s="1079" t="s">
        <v>2502</v>
      </c>
      <c r="B12" s="1080" t="s">
        <v>3943</v>
      </c>
      <c r="C12" s="1080"/>
      <c r="D12" s="1085">
        <f>'Report-EDA1819'!D26</f>
        <v>0</v>
      </c>
    </row>
    <row r="13" spans="1:4" s="1076" customFormat="1" ht="15">
      <c r="A13" s="1079" t="s">
        <v>2503</v>
      </c>
      <c r="B13" s="1080" t="s">
        <v>3944</v>
      </c>
      <c r="C13" s="1080"/>
      <c r="D13" s="1085">
        <f>'Report-IFA1819'!D20</f>
        <v>0</v>
      </c>
    </row>
    <row r="14" spans="1:4" s="1076" customFormat="1" ht="15">
      <c r="A14" s="1079" t="s">
        <v>1024</v>
      </c>
      <c r="B14" s="1080" t="s">
        <v>3945</v>
      </c>
      <c r="C14" s="1080"/>
      <c r="D14" s="1085">
        <f>IF(D11-D12-D13&lt;0,0,D11-D12-D13)</f>
        <v>0</v>
      </c>
    </row>
    <row r="15" spans="1:4" s="1076" customFormat="1" ht="15">
      <c r="A15" s="1079" t="s">
        <v>1025</v>
      </c>
      <c r="B15" s="1080" t="s">
        <v>7699</v>
      </c>
      <c r="C15" s="1080"/>
      <c r="D15" s="1085">
        <f>'Data Entry - SOF'!M73</f>
        <v>0</v>
      </c>
    </row>
    <row r="16" spans="1:4" s="1076" customFormat="1" ht="15">
      <c r="A16" s="1079" t="s">
        <v>1027</v>
      </c>
      <c r="B16" s="1080" t="s">
        <v>7700</v>
      </c>
      <c r="C16" s="1080"/>
      <c r="D16" s="1197">
        <f>'Report-IFA2122'!D37</f>
        <v>0</v>
      </c>
    </row>
    <row r="17" spans="1:4" s="1076" customFormat="1" ht="15">
      <c r="A17" s="1079" t="s">
        <v>1028</v>
      </c>
      <c r="B17" s="1080" t="s">
        <v>7701</v>
      </c>
      <c r="C17" s="1080"/>
      <c r="D17" s="1086">
        <f>'Data Entry - SOF'!M17</f>
        <v>0</v>
      </c>
    </row>
    <row r="18" spans="1:4" s="1076" customFormat="1" ht="15">
      <c r="A18" s="1079" t="s">
        <v>1029</v>
      </c>
      <c r="B18" s="1080" t="s">
        <v>7704</v>
      </c>
      <c r="C18" s="1080"/>
      <c r="D18" s="1085">
        <f>'Data Entry - SOF'!M53</f>
        <v>0</v>
      </c>
    </row>
    <row r="19" spans="1:4" s="1076" customFormat="1" ht="15">
      <c r="A19" s="1079" t="s">
        <v>139</v>
      </c>
      <c r="B19" s="1080" t="s">
        <v>7389</v>
      </c>
      <c r="C19" s="1080"/>
      <c r="D19" s="1085">
        <f>'Data Entry - SOF'!G53</f>
        <v>0</v>
      </c>
    </row>
    <row r="20" spans="1:4" s="1076" customFormat="1" ht="15.75">
      <c r="A20" s="1366" t="s">
        <v>3270</v>
      </c>
      <c r="B20" s="1290"/>
      <c r="C20" s="1291"/>
      <c r="D20" s="1313"/>
    </row>
    <row r="21" spans="1:4" s="1076" customFormat="1" ht="15">
      <c r="A21" s="1113" t="s">
        <v>140</v>
      </c>
      <c r="B21" s="1097" t="s">
        <v>3949</v>
      </c>
      <c r="C21" s="1097"/>
      <c r="D21" s="2082">
        <f>'Existing Debt'!Q47</f>
        <v>0</v>
      </c>
    </row>
    <row r="22" spans="1:4" s="1076" customFormat="1" ht="15">
      <c r="A22" s="1091"/>
      <c r="B22" s="1099" t="s">
        <v>3271</v>
      </c>
      <c r="C22" s="1099"/>
      <c r="D22" s="2083"/>
    </row>
    <row r="23" spans="1:4" s="1076" customFormat="1" ht="15">
      <c r="A23" s="1079" t="s">
        <v>141</v>
      </c>
      <c r="B23" s="1080" t="str">
        <f>CONCATENATE("2021-22 Rate Needed for All Eligible Debt ((Line 5 - Line 6) / ",Weights!M50," / Line 7 / 100)")</f>
        <v>2021-22 Rate Needed for All Eligible Debt ((Line 5 - Line 6) / 38 / Line 7 / 100)</v>
      </c>
      <c r="C23" s="1080"/>
      <c r="D23" s="2084">
        <f>'Existing Debt'!Q51</f>
        <v>0</v>
      </c>
    </row>
    <row r="24" spans="1:4" s="1076" customFormat="1" ht="15">
      <c r="A24" s="1079" t="s">
        <v>142</v>
      </c>
      <c r="B24" s="1080" t="s">
        <v>7702</v>
      </c>
      <c r="C24" s="1080"/>
      <c r="D24" s="2084">
        <f>'Existing Debt'!Q55</f>
        <v>0</v>
      </c>
    </row>
    <row r="25" spans="1:4" s="1076" customFormat="1" ht="15">
      <c r="A25" s="1079" t="s">
        <v>1706</v>
      </c>
      <c r="B25" s="1080" t="str">
        <f>CONCATENATE("State/Local Share of EDA ($",Weights!M50," * Line 7 * Line 12 * 100)")</f>
        <v>State/Local Share of EDA ($38 * Line 7 * Line 12 * 100)</v>
      </c>
      <c r="C25" s="1080"/>
      <c r="D25" s="1197">
        <f>'Existing Debt'!Q59</f>
        <v>0</v>
      </c>
    </row>
    <row r="26" spans="1:4" s="1076" customFormat="1" ht="15">
      <c r="A26" s="1079" t="s">
        <v>6</v>
      </c>
      <c r="B26" s="1080" t="s">
        <v>3272</v>
      </c>
      <c r="C26" s="1080"/>
      <c r="D26" s="1197">
        <f>'Existing Debt'!Q61</f>
        <v>0</v>
      </c>
    </row>
    <row r="27" spans="1:4" s="1076" customFormat="1" ht="15">
      <c r="A27" s="1079" t="s">
        <v>2551</v>
      </c>
      <c r="B27" s="1080" t="s">
        <v>3273</v>
      </c>
      <c r="C27" s="1080"/>
      <c r="D27" s="1197">
        <f>'Existing Debt'!Q70</f>
        <v>0</v>
      </c>
    </row>
    <row r="28" spans="1:4" s="1076" customFormat="1" ht="15.75">
      <c r="A28" s="1079" t="s">
        <v>2552</v>
      </c>
      <c r="B28" s="1078" t="s">
        <v>3274</v>
      </c>
      <c r="C28" s="1080"/>
      <c r="D28" s="1090">
        <f>'Existing Debt'!Q74</f>
        <v>0</v>
      </c>
    </row>
    <row r="29" spans="1:4" s="1076" customFormat="1" ht="15.75">
      <c r="B29" s="1195" t="s">
        <v>3392</v>
      </c>
      <c r="D29" s="3408" t="s">
        <v>7659</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7703</v>
      </c>
      <c r="D39" s="2026">
        <f>IF(ISNA('DE1'!J89),0,'DE1'!K89)</f>
        <v>0</v>
      </c>
    </row>
    <row r="40" spans="2:4" ht="15.75">
      <c r="B40" s="961"/>
      <c r="C40" s="1076"/>
      <c r="D40" s="1076"/>
    </row>
    <row r="41" spans="2:4" ht="15.75">
      <c r="B41" s="961" t="s">
        <v>7090</v>
      </c>
      <c r="C41" s="1076"/>
      <c r="D41" s="1076"/>
    </row>
    <row r="42" spans="2:4" ht="15.75">
      <c r="B42" s="1315" t="s">
        <v>7705</v>
      </c>
      <c r="C42" s="1076"/>
      <c r="D42" s="1076"/>
    </row>
    <row r="43" spans="2:4" ht="15.75">
      <c r="B43" s="961" t="s">
        <v>7309</v>
      </c>
    </row>
  </sheetData>
  <hyperlinks>
    <hyperlink ref="D29" location="'Report-SOF2122'!A1" display="'Report-SOF2122'!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3" sqref="E3"/>
    </sheetView>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'Report-EDA1920'!D1</f>
        <v>84th/85th Legislative Session</v>
      </c>
    </row>
    <row r="2" spans="1:5">
      <c r="A2" s="1074" t="s">
        <v>3267</v>
      </c>
      <c r="E2" s="98" t="str">
        <f>'Report-EDA1920'!D2</f>
        <v>Release 2</v>
      </c>
    </row>
    <row r="3" spans="1:5">
      <c r="A3" s="89"/>
      <c r="E3" s="82">
        <f>'Report-EDA1920'!D3</f>
        <v>43145</v>
      </c>
    </row>
    <row r="4" spans="1:5" ht="15.75">
      <c r="A4" s="1075" t="s">
        <v>7707</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IFA!AB58</f>
        <v>400</v>
      </c>
      <c r="E12" s="1086">
        <f>D12</f>
        <v>400</v>
      </c>
    </row>
    <row r="13" spans="1:5" s="1076" customFormat="1" ht="15">
      <c r="A13" s="1079" t="s">
        <v>2503</v>
      </c>
      <c r="B13" s="1080" t="s">
        <v>7391</v>
      </c>
      <c r="C13" s="1080"/>
      <c r="D13" s="1085">
        <f>'Report-EDA2122'!D18</f>
        <v>0</v>
      </c>
      <c r="E13" s="1085">
        <f>D13</f>
        <v>0</v>
      </c>
    </row>
    <row r="14" spans="1:5" s="1076" customFormat="1" ht="15">
      <c r="A14" s="1079" t="s">
        <v>1024</v>
      </c>
      <c r="B14" s="1080" t="s">
        <v>3378</v>
      </c>
      <c r="C14" s="1080"/>
      <c r="D14" s="1085">
        <f>IFA!AB65</f>
        <v>0</v>
      </c>
      <c r="E14" s="1085">
        <f>IFA!AD65</f>
        <v>0</v>
      </c>
    </row>
    <row r="15" spans="1:5" s="1076" customFormat="1" ht="15">
      <c r="A15" s="1079" t="s">
        <v>1025</v>
      </c>
      <c r="B15" s="1080" t="s">
        <v>3379</v>
      </c>
      <c r="C15" s="1080"/>
      <c r="D15" s="1183">
        <f>IFA!AB67</f>
        <v>0</v>
      </c>
      <c r="E15" s="1183">
        <f>IFA!AD67</f>
        <v>0</v>
      </c>
    </row>
    <row r="16" spans="1:5" s="1076" customFormat="1" ht="15">
      <c r="A16" s="1079" t="s">
        <v>1027</v>
      </c>
      <c r="B16" s="1080" t="s">
        <v>3380</v>
      </c>
      <c r="C16" s="1080"/>
      <c r="D16" s="1183">
        <f>IFA!AB69</f>
        <v>0</v>
      </c>
      <c r="E16" s="1183">
        <f>IFA!AD69</f>
        <v>0</v>
      </c>
    </row>
    <row r="17" spans="1:5" s="1076" customFormat="1" ht="15">
      <c r="A17" s="1079" t="s">
        <v>1028</v>
      </c>
      <c r="B17" s="1080" t="str">
        <f>CONCATENATE("State's Share of $",Weights!K49," per ADA Yield")</f>
        <v>State's Share of $35 per ADA Yield</v>
      </c>
      <c r="C17" s="1080"/>
      <c r="D17" s="1085">
        <f>IFA!AB71</f>
        <v>35</v>
      </c>
      <c r="E17" s="1085">
        <f>IFA!AD71</f>
        <v>35</v>
      </c>
    </row>
    <row r="18" spans="1:5" s="1076" customFormat="1" ht="15">
      <c r="A18" s="1079" t="s">
        <v>1029</v>
      </c>
      <c r="B18" s="1080" t="s">
        <v>3381</v>
      </c>
      <c r="C18" s="1080"/>
      <c r="D18" s="1184">
        <f>IFA!AB73</f>
        <v>1</v>
      </c>
      <c r="E18" s="1184">
        <f>IFA!AD73</f>
        <v>1</v>
      </c>
    </row>
    <row r="19" spans="1:5" s="1076" customFormat="1" ht="15">
      <c r="A19" s="1079" t="s">
        <v>139</v>
      </c>
      <c r="B19" s="1080" t="s">
        <v>3382</v>
      </c>
      <c r="C19" s="1080"/>
      <c r="D19" s="1085">
        <f>IFA!AB75</f>
        <v>0</v>
      </c>
      <c r="E19" s="1085">
        <f>IFA!AD75</f>
        <v>0</v>
      </c>
    </row>
    <row r="20" spans="1:5" s="1076" customFormat="1" ht="15">
      <c r="A20" s="1079" t="s">
        <v>140</v>
      </c>
      <c r="B20" s="1080" t="s">
        <v>3383</v>
      </c>
      <c r="C20" s="1080"/>
      <c r="D20" s="1085">
        <f>IFA!AB79</f>
        <v>0</v>
      </c>
      <c r="E20" s="1085">
        <f>IFA!AD79</f>
        <v>0</v>
      </c>
    </row>
    <row r="21" spans="1:5" s="1076" customFormat="1" ht="15.75">
      <c r="A21" s="1079" t="s">
        <v>141</v>
      </c>
      <c r="B21" s="1078" t="s">
        <v>3384</v>
      </c>
      <c r="C21" s="1080"/>
      <c r="D21" s="1085">
        <f>IFA!AB86</f>
        <v>0</v>
      </c>
      <c r="E21" s="1085">
        <f>IFA!AD86</f>
        <v>0</v>
      </c>
    </row>
    <row r="22" spans="1:5" s="1076" customFormat="1" ht="15.75">
      <c r="B22" s="1195" t="s">
        <v>3392</v>
      </c>
      <c r="D22" s="3408" t="s">
        <v>7659</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795" t="s">
        <v>7703</v>
      </c>
      <c r="E32" s="2026">
        <f>IF(ISNA('DE1'!K89),0,'DE1'!K89)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IFA_Limits!N55</f>
        <v>0</v>
      </c>
      <c r="E37" s="1199">
        <f>IFA_Limits!N56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pans="4:4" s="1076" customFormat="1" ht="15"/>
    <row r="50" spans="4:4" s="1076" customFormat="1" ht="15"/>
    <row r="51" spans="4:4" s="1076" customFormat="1" ht="15">
      <c r="D51"/>
    </row>
  </sheetData>
  <hyperlinks>
    <hyperlink ref="D22" location="'Report-SOF2122'!A1" display="'Report-SOF2122'!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1074" t="s">
        <v>3593</v>
      </c>
      <c r="E1" s="1773" t="str">
        <f>'Report-IFA1920'!E1</f>
        <v>84th/85th Legislative Session</v>
      </c>
    </row>
    <row r="2" spans="1:5">
      <c r="A2" s="1074" t="s">
        <v>3594</v>
      </c>
      <c r="E2" s="98" t="str">
        <f>'Report-IFA1920'!E2</f>
        <v>Release 2</v>
      </c>
    </row>
    <row r="3" spans="1:5">
      <c r="A3" s="89"/>
      <c r="E3" s="82">
        <f>'Report-IFA1920'!E3</f>
        <v>43145</v>
      </c>
    </row>
    <row r="4" spans="1:5" ht="15.75">
      <c r="A4" s="1075" t="s">
        <v>7706</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SOF'!M84</f>
        <v>0</v>
      </c>
      <c r="D11" s="1080"/>
      <c r="E11" s="1083" t="e">
        <f>'Report-SOF2122'!D67</f>
        <v>#DIV/0!</v>
      </c>
    </row>
    <row r="12" spans="1:5" ht="15">
      <c r="A12" s="1079" t="s">
        <v>2502</v>
      </c>
      <c r="B12" s="1080" t="s">
        <v>3601</v>
      </c>
      <c r="C12" s="1083">
        <f>'Data Entry - SOF'!M85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3408" t="s">
        <v>7659</v>
      </c>
    </row>
    <row r="17" spans="1:5" ht="15.75">
      <c r="A17" s="1076"/>
      <c r="C17" s="1195"/>
      <c r="D17" s="1076"/>
      <c r="E17" s="1076"/>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hyperlinks>
    <hyperlink ref="E16" location="'Report-SOF2122'!A1" display="'Report-SOF2122'!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1094" customWidth="1"/>
    <col min="4" max="4" width="29.7109375" customWidth="1"/>
    <col min="5" max="5" width="23.28515625" customWidth="1"/>
  </cols>
  <sheetData>
    <row r="1" spans="1:5">
      <c r="A1" s="1074" t="s">
        <v>3411</v>
      </c>
      <c r="B1" s="1074"/>
      <c r="E1" s="1773" t="str">
        <f>'Data Entry - SOF'!O1</f>
        <v>84th/85th Legislative Session</v>
      </c>
    </row>
    <row r="2" spans="1:5">
      <c r="A2" s="1074" t="s">
        <v>3412</v>
      </c>
      <c r="B2" s="1074"/>
      <c r="E2" s="98" t="str">
        <f>'Data Entry - SOF'!O2</f>
        <v>Release 2</v>
      </c>
    </row>
    <row r="3" spans="1:5">
      <c r="A3" s="89"/>
      <c r="B3" s="89"/>
      <c r="E3" s="82">
        <f>'Data Entry - SOF'!O3</f>
        <v>43145</v>
      </c>
    </row>
    <row r="4" spans="1:5" ht="15.75">
      <c r="A4" s="1075" t="s">
        <v>7942</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Weights!N10</f>
        <v>5</v>
      </c>
      <c r="D10" s="1081">
        <f>'Data Entry - SOF'!O20</f>
        <v>0</v>
      </c>
      <c r="E10" s="1086">
        <f>D10*C10</f>
        <v>0</v>
      </c>
    </row>
    <row r="11" spans="1:5" ht="15">
      <c r="A11" s="1079" t="s">
        <v>2502</v>
      </c>
      <c r="B11" s="1080" t="s">
        <v>3187</v>
      </c>
      <c r="C11" s="1096">
        <f>Weights!N11</f>
        <v>3</v>
      </c>
      <c r="D11" s="1081">
        <f>'Data Entry - SOF'!O21</f>
        <v>0</v>
      </c>
      <c r="E11" s="1086">
        <f t="shared" ref="E11:E19" si="0">D11*C11</f>
        <v>0</v>
      </c>
    </row>
    <row r="12" spans="1:5" ht="15">
      <c r="A12" s="1079" t="s">
        <v>2503</v>
      </c>
      <c r="B12" s="1080" t="s">
        <v>3188</v>
      </c>
      <c r="C12" s="1096">
        <f>Weights!N12</f>
        <v>5</v>
      </c>
      <c r="D12" s="1081">
        <f>'Data Entry - SOF'!O22</f>
        <v>0</v>
      </c>
      <c r="E12" s="1086">
        <f t="shared" si="0"/>
        <v>0</v>
      </c>
    </row>
    <row r="13" spans="1:5" ht="15">
      <c r="A13" s="1079" t="s">
        <v>1024</v>
      </c>
      <c r="B13" s="1080" t="s">
        <v>3189</v>
      </c>
      <c r="C13" s="1096">
        <f>Weights!N13</f>
        <v>3</v>
      </c>
      <c r="D13" s="1081">
        <f>'Data Entry - SOF'!O23</f>
        <v>0</v>
      </c>
      <c r="E13" s="1086">
        <f t="shared" si="0"/>
        <v>0</v>
      </c>
    </row>
    <row r="14" spans="1:5" ht="15">
      <c r="A14" s="1113"/>
      <c r="B14" s="1097" t="s">
        <v>3190</v>
      </c>
      <c r="C14" s="1092"/>
      <c r="D14" s="1098"/>
      <c r="E14" s="1101"/>
    </row>
    <row r="15" spans="1:5" ht="15">
      <c r="A15" s="1301" t="s">
        <v>1025</v>
      </c>
      <c r="B15" s="1099" t="s">
        <v>3191</v>
      </c>
      <c r="C15" s="1093">
        <f>Weights!N14</f>
        <v>3</v>
      </c>
      <c r="D15" s="1100">
        <f>'Data Entry - SOF'!O24</f>
        <v>0</v>
      </c>
      <c r="E15" s="1100">
        <f t="shared" si="0"/>
        <v>0</v>
      </c>
    </row>
    <row r="16" spans="1:5" ht="15">
      <c r="A16" s="1079" t="s">
        <v>1027</v>
      </c>
      <c r="B16" s="1080" t="s">
        <v>3192</v>
      </c>
      <c r="C16" s="1096">
        <f>Weights!N15</f>
        <v>2.7</v>
      </c>
      <c r="D16" s="1086">
        <f>'Data Entry - SOF'!O25</f>
        <v>0</v>
      </c>
      <c r="E16" s="1086">
        <f t="shared" si="0"/>
        <v>0</v>
      </c>
    </row>
    <row r="17" spans="1:5" ht="15">
      <c r="A17" s="1079" t="s">
        <v>1028</v>
      </c>
      <c r="B17" s="1080" t="s">
        <v>3193</v>
      </c>
      <c r="C17" s="1096">
        <f>Weights!N16</f>
        <v>2.2999999999999998</v>
      </c>
      <c r="D17" s="1086">
        <f>'Data Entry - SOF'!O26</f>
        <v>0</v>
      </c>
      <c r="E17" s="1086">
        <f t="shared" si="0"/>
        <v>0</v>
      </c>
    </row>
    <row r="18" spans="1:5" ht="15">
      <c r="A18" s="1079" t="s">
        <v>1029</v>
      </c>
      <c r="B18" s="1080" t="s">
        <v>3194</v>
      </c>
      <c r="C18" s="1096">
        <f>Weights!N17</f>
        <v>2.8</v>
      </c>
      <c r="D18" s="1086">
        <f>'Data Entry - SOF'!O27</f>
        <v>0</v>
      </c>
      <c r="E18" s="1086">
        <f t="shared" si="0"/>
        <v>0</v>
      </c>
    </row>
    <row r="19" spans="1:5" ht="15">
      <c r="A19" s="1079" t="s">
        <v>139</v>
      </c>
      <c r="B19" s="1080" t="s">
        <v>3195</v>
      </c>
      <c r="C19" s="1096">
        <f>Weights!N19</f>
        <v>4</v>
      </c>
      <c r="D19" s="1086">
        <f>'Data Entry - SOF'!O29</f>
        <v>0</v>
      </c>
      <c r="E19" s="1086">
        <f t="shared" si="0"/>
        <v>0</v>
      </c>
    </row>
    <row r="20" spans="1:5" ht="15.75">
      <c r="A20" s="1079" t="s">
        <v>140</v>
      </c>
      <c r="B20" s="1080" t="s">
        <v>3201</v>
      </c>
      <c r="C20" s="1096" t="s">
        <v>1994</v>
      </c>
      <c r="D20" s="1086">
        <f>'Calc Data-SB1'!I8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Weights!N18</f>
        <v>1.7</v>
      </c>
      <c r="D22" s="1086">
        <f>'Data Entry - SOF'!O28</f>
        <v>0</v>
      </c>
      <c r="E22" s="1096" t="s">
        <v>1994</v>
      </c>
    </row>
    <row r="23" spans="1:5" ht="15">
      <c r="A23" s="1079" t="s">
        <v>1706</v>
      </c>
      <c r="B23" s="1080" t="s">
        <v>584</v>
      </c>
      <c r="C23" s="1096">
        <f>Weights!N21</f>
        <v>1.1000000000000001</v>
      </c>
      <c r="D23" s="1086">
        <f>'Data Entry - SOF'!O31</f>
        <v>0</v>
      </c>
      <c r="E23" s="1096" t="s">
        <v>1994</v>
      </c>
    </row>
    <row r="24" spans="1:5" s="1076" customFormat="1" ht="15.75">
      <c r="C24" s="1195" t="s">
        <v>3392</v>
      </c>
      <c r="D24" s="4106" t="s">
        <v>7994</v>
      </c>
    </row>
    <row r="25" spans="1:5" s="1076" customFormat="1" ht="15">
      <c r="C25" s="1193"/>
      <c r="D25"/>
    </row>
    <row r="27" spans="1:5" ht="15">
      <c r="A27" s="1102" t="s">
        <v>3585</v>
      </c>
    </row>
  </sheetData>
  <hyperlinks>
    <hyperlink ref="D24" location="'Report-SOF2223'!A1" display="'Report-SOF2223'!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1074" t="s">
        <v>3411</v>
      </c>
      <c r="C1" s="1773" t="str">
        <f>'Report-SpEd1920'!E1</f>
        <v>84th/85th Legislative Session</v>
      </c>
    </row>
    <row r="2" spans="1:3">
      <c r="A2" s="1074" t="s">
        <v>3412</v>
      </c>
      <c r="C2" s="98" t="str">
        <f>'Report-SpEd1920'!E2</f>
        <v>Release 2</v>
      </c>
    </row>
    <row r="3" spans="1:3">
      <c r="A3" s="89"/>
      <c r="C3" s="82">
        <f>'Report-SpEd1920'!E3</f>
        <v>43145</v>
      </c>
    </row>
    <row r="4" spans="1:3" ht="15.75">
      <c r="A4" s="1075" t="s">
        <v>7943</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7944</v>
      </c>
      <c r="C11" s="1085">
        <f>'Data Entry - SOF'!O59</f>
        <v>0</v>
      </c>
    </row>
    <row r="12" spans="1:3" ht="15">
      <c r="A12" s="1095" t="s">
        <v>2502</v>
      </c>
      <c r="B12" s="1080" t="s">
        <v>7945</v>
      </c>
      <c r="C12" s="1085">
        <f>IFA!Z79</f>
        <v>0</v>
      </c>
    </row>
    <row r="13" spans="1:3" ht="15">
      <c r="A13" s="1095" t="s">
        <v>2503</v>
      </c>
      <c r="B13" s="1080" t="s">
        <v>7946</v>
      </c>
      <c r="C13" s="1234" t="s">
        <v>3450</v>
      </c>
    </row>
    <row r="14" spans="1:3" ht="15.75">
      <c r="A14" s="1095" t="s">
        <v>1024</v>
      </c>
      <c r="B14" s="1078" t="s">
        <v>7947</v>
      </c>
      <c r="C14" s="1090">
        <f>'Calc Data-SB1'!I47</f>
        <v>0</v>
      </c>
    </row>
    <row r="15" spans="1:3" ht="15">
      <c r="A15" s="1095" t="s">
        <v>1025</v>
      </c>
      <c r="B15" s="1080" t="s">
        <v>7918</v>
      </c>
      <c r="C15" s="1103">
        <f>'Data Entry - SOF'!O58</f>
        <v>0</v>
      </c>
    </row>
    <row r="16" spans="1:3" ht="15">
      <c r="A16" s="1095" t="s">
        <v>1027</v>
      </c>
      <c r="B16" s="1080" t="s">
        <v>3203</v>
      </c>
      <c r="C16" s="1085" t="e">
        <f>'Calc Data-SB1'!I29</f>
        <v>#DIV/0!</v>
      </c>
    </row>
    <row r="17" spans="1:3" ht="15">
      <c r="A17" s="1095" t="s">
        <v>1028</v>
      </c>
      <c r="B17" s="1080" t="s">
        <v>3124</v>
      </c>
      <c r="C17" s="1103">
        <f>'Data Entry - SOF'!C113</f>
        <v>0</v>
      </c>
    </row>
    <row r="18" spans="1:3" ht="15">
      <c r="A18" s="1095" t="s">
        <v>1029</v>
      </c>
      <c r="B18" s="1080" t="s">
        <v>3211</v>
      </c>
      <c r="C18" s="1085" t="e">
        <f>'Calc Data-SB1'!BB32</f>
        <v>#DIV/0!</v>
      </c>
    </row>
    <row r="19" spans="1:3" ht="15">
      <c r="A19" s="1095" t="s">
        <v>139</v>
      </c>
      <c r="B19" s="1080" t="s">
        <v>3204</v>
      </c>
      <c r="C19" s="1103" t="e">
        <f>'Calc Data-SB1'!I35</f>
        <v>#DIV/0!</v>
      </c>
    </row>
    <row r="20" spans="1:3" ht="15">
      <c r="A20" s="1095" t="s">
        <v>140</v>
      </c>
      <c r="B20" s="1080" t="s">
        <v>3205</v>
      </c>
      <c r="C20" s="1085" t="e">
        <f>'Calc Data-SB1'!I34</f>
        <v>#DIV/0!</v>
      </c>
    </row>
    <row r="21" spans="1:3" ht="15">
      <c r="A21" s="1095" t="s">
        <v>141</v>
      </c>
      <c r="B21" s="1080" t="s">
        <v>3206</v>
      </c>
      <c r="C21" s="1085" t="e">
        <f>'Calc Data-SB1'!BB31</f>
        <v>#DIV/0!</v>
      </c>
    </row>
    <row r="22" spans="1:3" ht="15">
      <c r="A22" s="1095" t="s">
        <v>142</v>
      </c>
      <c r="B22" s="1080" t="s">
        <v>3210</v>
      </c>
      <c r="C22" s="1103" t="e">
        <f>'Calc Data-SB1'!I38</f>
        <v>#DIV/0!</v>
      </c>
    </row>
    <row r="23" spans="1:3" s="1076" customFormat="1" ht="15.75">
      <c r="B23" s="1195" t="s">
        <v>3392</v>
      </c>
      <c r="C23" s="4106" t="s">
        <v>7994</v>
      </c>
    </row>
    <row r="26" spans="1:3" ht="15.75">
      <c r="B26" s="961" t="s">
        <v>3452</v>
      </c>
    </row>
    <row r="27" spans="1:3" ht="15.75">
      <c r="B27" s="961" t="s">
        <v>3451</v>
      </c>
    </row>
  </sheetData>
  <hyperlinks>
    <hyperlink ref="C23" location="'Report-SOF2223'!A1" display="'Report-SOF2223'!A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7109375" customWidth="1"/>
    <col min="4" max="4" width="23" customWidth="1"/>
  </cols>
  <sheetData>
    <row r="1" spans="1:4">
      <c r="A1" s="1074" t="s">
        <v>3411</v>
      </c>
      <c r="D1" s="1773" t="str">
        <f>'Report-M&amp;O1920'!C1</f>
        <v>84th/85th Legislative Session</v>
      </c>
    </row>
    <row r="2" spans="1:4">
      <c r="A2" s="1074" t="s">
        <v>3412</v>
      </c>
      <c r="D2" s="98" t="str">
        <f>'Report-M&amp;O1920'!C2</f>
        <v>Release 2</v>
      </c>
    </row>
    <row r="3" spans="1:4">
      <c r="A3" s="89"/>
      <c r="D3" s="82">
        <f>'Report-M&amp;O1920'!C3</f>
        <v>43145</v>
      </c>
    </row>
    <row r="4" spans="1:4" ht="15.75">
      <c r="A4" s="1075" t="s">
        <v>7948</v>
      </c>
    </row>
    <row r="5" spans="1:4" ht="15.75">
      <c r="A5" s="1077">
        <f>'Data Entry - SOF'!B1</f>
        <v>0</v>
      </c>
    </row>
    <row r="6" spans="1:4" ht="15.75">
      <c r="A6" s="1075">
        <f>'Data Entry - SOF'!B2</f>
        <v>0</v>
      </c>
    </row>
    <row r="9" spans="1:4" ht="18">
      <c r="A9" s="880"/>
      <c r="B9" s="1104" t="s">
        <v>1057</v>
      </c>
      <c r="C9" s="1105">
        <f>'Data Entry - SOF'!O109</f>
        <v>0</v>
      </c>
      <c r="D9" s="880"/>
    </row>
    <row r="10" spans="1:4" ht="18">
      <c r="A10" s="880"/>
      <c r="B10" s="1104" t="s">
        <v>3212</v>
      </c>
      <c r="C10" s="1104" t="str">
        <f>'Data Entry - SOF'!O167</f>
        <v>No</v>
      </c>
      <c r="D10" s="880"/>
    </row>
    <row r="11" spans="1:4" ht="18">
      <c r="A11" s="880"/>
      <c r="B11" s="1104" t="s">
        <v>3213</v>
      </c>
      <c r="C11" s="1104" t="str">
        <f>'Data Entry - SOF'!O168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f>'Calc Data-SB1'!BB19</f>
        <v>0</v>
      </c>
    </row>
    <row r="16" spans="1:4" ht="15">
      <c r="A16" s="1079" t="s">
        <v>2502</v>
      </c>
      <c r="B16" s="1080" t="s">
        <v>3216</v>
      </c>
      <c r="C16" s="1080"/>
      <c r="D16" s="1085">
        <f>'Calc Data-SB1'!BB20</f>
        <v>0</v>
      </c>
    </row>
    <row r="17" spans="1:4" ht="15">
      <c r="A17" s="1079" t="s">
        <v>2503</v>
      </c>
      <c r="B17" s="1080" t="s">
        <v>3217</v>
      </c>
      <c r="C17" s="1080"/>
      <c r="D17" s="1106" t="str">
        <f>'Calc Data-SB1'!I49</f>
        <v>N/A</v>
      </c>
    </row>
    <row r="18" spans="1:4" ht="15">
      <c r="A18" s="1079" t="s">
        <v>1024</v>
      </c>
      <c r="B18" s="1080" t="s">
        <v>3218</v>
      </c>
      <c r="C18" s="1080"/>
      <c r="D18" s="1206" t="str">
        <f>'Calc Data-SB1'!I50</f>
        <v>N/A</v>
      </c>
    </row>
    <row r="19" spans="1:4" ht="15">
      <c r="A19" s="1079" t="s">
        <v>1025</v>
      </c>
      <c r="B19" s="1080" t="s">
        <v>3219</v>
      </c>
      <c r="C19" s="1080"/>
      <c r="D19" s="1085">
        <f>'Calc Data-SB1'!BB23</f>
        <v>0</v>
      </c>
    </row>
    <row r="20" spans="1:4" s="1076" customFormat="1" ht="15.75">
      <c r="B20" s="1195" t="s">
        <v>3392</v>
      </c>
      <c r="D20" s="4106" t="s">
        <v>7994</v>
      </c>
    </row>
  </sheetData>
  <hyperlinks>
    <hyperlink ref="D20" location="'Report-SOF2223'!A1" display="'Report-SOF2223'!A1"/>
  </hyperlink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'Report-AA1920'!D1</f>
        <v>84th/85th Legislative Session</v>
      </c>
    </row>
    <row r="2" spans="1:4">
      <c r="A2" s="1074" t="s">
        <v>3412</v>
      </c>
      <c r="D2" s="98" t="str">
        <f>'Report-AA1920'!D2</f>
        <v>Release 2</v>
      </c>
    </row>
    <row r="3" spans="1:4">
      <c r="A3" s="89"/>
      <c r="D3" s="82">
        <f>'Report-AA1920'!D3</f>
        <v>43145</v>
      </c>
    </row>
    <row r="4" spans="1:4" ht="15.75">
      <c r="A4" s="1075" t="s">
        <v>7949</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Weights!N4</f>
        <v>1</v>
      </c>
      <c r="C11" s="1086">
        <f>'Calc Data-SB1'!I10</f>
        <v>0</v>
      </c>
      <c r="D11" s="1085">
        <f>'SOF2223-SB1'!H21</f>
        <v>0</v>
      </c>
    </row>
    <row r="12" spans="1:4" s="1076" customFormat="1" ht="15.75">
      <c r="A12" s="1366" t="s">
        <v>3224</v>
      </c>
      <c r="B12" s="1290"/>
      <c r="C12" s="1290"/>
      <c r="D12" s="1291"/>
    </row>
    <row r="13" spans="1:4" s="1076" customFormat="1" ht="15">
      <c r="A13" s="1080" t="s">
        <v>3110</v>
      </c>
      <c r="B13" s="1106" t="s">
        <v>1994</v>
      </c>
      <c r="C13" s="1086">
        <f>'Calc Data-SB1'!I8</f>
        <v>0</v>
      </c>
      <c r="D13" s="1085">
        <f>'SOF2223-SB1'!H22</f>
        <v>0</v>
      </c>
    </row>
    <row r="14" spans="1:4" s="1076" customFormat="1" ht="15">
      <c r="A14" s="1080" t="s">
        <v>3226</v>
      </c>
      <c r="B14" s="1109">
        <f>Weights!N21</f>
        <v>1.1000000000000001</v>
      </c>
      <c r="C14" s="1086">
        <f>'Data Entry - SOF'!O31</f>
        <v>0</v>
      </c>
      <c r="D14" s="1085">
        <f>'SOF2223-SB1'!H24</f>
        <v>0</v>
      </c>
    </row>
    <row r="15" spans="1:4" s="1076" customFormat="1" ht="15">
      <c r="A15" s="1080" t="s">
        <v>3227</v>
      </c>
      <c r="B15" s="1109">
        <f>Weights!N19</f>
        <v>4</v>
      </c>
      <c r="C15" s="1086">
        <f>'Data Entry - SOF'!O29</f>
        <v>0</v>
      </c>
      <c r="D15" s="1085">
        <f>'SOF2223-SB1'!H25</f>
        <v>0</v>
      </c>
    </row>
    <row r="16" spans="1:4" s="1076" customFormat="1" ht="15">
      <c r="A16" s="1080" t="s">
        <v>3194</v>
      </c>
      <c r="B16" s="1109">
        <f>Weights!N17</f>
        <v>2.8</v>
      </c>
      <c r="C16" s="1086">
        <f>'Data Entry - SOF'!O27</f>
        <v>0</v>
      </c>
      <c r="D16" s="1085">
        <f>'SOF2223-SB1'!H26</f>
        <v>0</v>
      </c>
    </row>
    <row r="17" spans="1:4" s="1076" customFormat="1" ht="15">
      <c r="A17" s="1080" t="s">
        <v>3197</v>
      </c>
      <c r="B17" s="1109">
        <f>Weights!N18</f>
        <v>1.7</v>
      </c>
      <c r="C17" s="1086">
        <f>'Data Entry - SOF'!O28</f>
        <v>0</v>
      </c>
      <c r="D17" s="1085">
        <f>'SOF2223-SB1'!H27</f>
        <v>0</v>
      </c>
    </row>
    <row r="18" spans="1:4" s="1076" customFormat="1" ht="15">
      <c r="A18" s="1097" t="s">
        <v>3228</v>
      </c>
      <c r="B18" s="1097"/>
      <c r="C18" s="1097"/>
      <c r="D18" s="1108"/>
    </row>
    <row r="19" spans="1:4" s="1076" customFormat="1" ht="15">
      <c r="A19" s="1099" t="s">
        <v>3229</v>
      </c>
      <c r="B19" s="1111" t="s">
        <v>1994</v>
      </c>
      <c r="C19" s="1111" t="s">
        <v>1994</v>
      </c>
      <c r="D19" s="1110">
        <f>'SOF2223-SB1'!H28</f>
        <v>0</v>
      </c>
    </row>
    <row r="20" spans="1:4" s="1076" customFormat="1" ht="15">
      <c r="A20" s="1080" t="s">
        <v>3230</v>
      </c>
      <c r="B20" s="1106" t="s">
        <v>1994</v>
      </c>
      <c r="C20" s="1106" t="s">
        <v>1994</v>
      </c>
      <c r="D20" s="1085">
        <f>'SOF2223-SB1'!H132</f>
        <v>0</v>
      </c>
    </row>
    <row r="21" spans="1:4" s="1076" customFormat="1" ht="15.75">
      <c r="A21" s="1366" t="s">
        <v>3233</v>
      </c>
      <c r="B21" s="1290"/>
      <c r="C21" s="1290"/>
      <c r="D21" s="1291"/>
    </row>
    <row r="22" spans="1:4" ht="15">
      <c r="A22" s="1080" t="s">
        <v>3234</v>
      </c>
      <c r="B22" s="1112">
        <f>Weights!N23</f>
        <v>1.35</v>
      </c>
      <c r="C22" s="1086">
        <f>'Data Entry - SOF'!O32</f>
        <v>0</v>
      </c>
      <c r="D22" s="1085">
        <f>'SOF2223-SB1'!H29</f>
        <v>0</v>
      </c>
    </row>
    <row r="23" spans="1:4" ht="15">
      <c r="A23" s="1080" t="s">
        <v>3235</v>
      </c>
      <c r="B23" s="1085">
        <f>Weights!N24</f>
        <v>50</v>
      </c>
      <c r="C23" s="1086">
        <f>'Data Entry - SOF'!O33</f>
        <v>0</v>
      </c>
      <c r="D23" s="1085">
        <f>'SOF2223-SB1'!H30</f>
        <v>0</v>
      </c>
    </row>
    <row r="24" spans="1:4" ht="15">
      <c r="A24" s="1080" t="s">
        <v>3236</v>
      </c>
      <c r="B24" s="1106" t="s">
        <v>1994</v>
      </c>
      <c r="C24" s="1106" t="s">
        <v>1994</v>
      </c>
      <c r="D24" s="1085">
        <f>'SOF2223-SB1'!H133</f>
        <v>0</v>
      </c>
    </row>
    <row r="25" spans="1:4" s="1076" customFormat="1" ht="15.75">
      <c r="A25" s="1366" t="s">
        <v>3237</v>
      </c>
      <c r="B25" s="1290"/>
      <c r="C25" s="1290"/>
      <c r="D25" s="1291"/>
    </row>
    <row r="26" spans="1:4" ht="15">
      <c r="A26" s="1080" t="s">
        <v>3238</v>
      </c>
      <c r="B26" s="1112">
        <f>Weights!N28</f>
        <v>0.12</v>
      </c>
      <c r="C26" s="1086">
        <f>'Data Entry - SOF'!O40</f>
        <v>0</v>
      </c>
      <c r="D26" s="1085">
        <f>'SOF2223-SB1'!H33</f>
        <v>0</v>
      </c>
    </row>
    <row r="27" spans="1:4" ht="15">
      <c r="A27" s="1080" t="s">
        <v>3239</v>
      </c>
      <c r="B27" s="1106" t="s">
        <v>1994</v>
      </c>
      <c r="C27" s="1106" t="s">
        <v>1994</v>
      </c>
      <c r="D27" s="1085">
        <f>'SOF2223-SB1'!H34</f>
        <v>0</v>
      </c>
    </row>
    <row r="28" spans="1:4" ht="15">
      <c r="A28" s="1080" t="s">
        <v>3240</v>
      </c>
      <c r="B28" s="1106" t="s">
        <v>1994</v>
      </c>
      <c r="C28" s="1106" t="s">
        <v>1994</v>
      </c>
      <c r="D28" s="1085">
        <f>'SOF2223-SB1'!H134</f>
        <v>0</v>
      </c>
    </row>
    <row r="29" spans="1:4" s="1076" customFormat="1" ht="15.75">
      <c r="A29" s="1366" t="s">
        <v>3241</v>
      </c>
      <c r="B29" s="1290"/>
      <c r="C29" s="1290"/>
      <c r="D29" s="1291"/>
    </row>
    <row r="30" spans="1:4" ht="15">
      <c r="A30" s="1080" t="s">
        <v>3242</v>
      </c>
      <c r="B30" s="1112">
        <f>Weights!N30</f>
        <v>0.2</v>
      </c>
      <c r="C30" s="1086">
        <f>'Data Entry - SOF'!O36</f>
        <v>0</v>
      </c>
      <c r="D30" s="1085">
        <f>'SOF2223-SB1'!H35</f>
        <v>0</v>
      </c>
    </row>
    <row r="31" spans="1:4" ht="15">
      <c r="A31" s="1080" t="s">
        <v>3475</v>
      </c>
      <c r="B31" s="1112">
        <f>Weights!N31</f>
        <v>2.41</v>
      </c>
      <c r="C31" s="1086">
        <f>'Data Entry - SOF'!O37</f>
        <v>0</v>
      </c>
      <c r="D31" s="1085">
        <f>'SOF2223-SB1'!H36</f>
        <v>0</v>
      </c>
    </row>
    <row r="32" spans="1:4" ht="15">
      <c r="A32" s="1080" t="s">
        <v>3476</v>
      </c>
      <c r="B32" s="1106" t="s">
        <v>1994</v>
      </c>
      <c r="C32" s="1106" t="s">
        <v>1994</v>
      </c>
      <c r="D32" s="1085">
        <f>'SOF2223-SB1'!H135</f>
        <v>0</v>
      </c>
    </row>
    <row r="33" spans="1:4" s="1076" customFormat="1" ht="15.75">
      <c r="A33" s="1366" t="s">
        <v>3243</v>
      </c>
      <c r="B33" s="1290"/>
      <c r="C33" s="1290"/>
      <c r="D33" s="1291"/>
    </row>
    <row r="34" spans="1:4" s="1076" customFormat="1" ht="15">
      <c r="A34" s="1080" t="s">
        <v>2792</v>
      </c>
      <c r="B34" s="1085">
        <f>Weights!N33</f>
        <v>275</v>
      </c>
      <c r="C34" s="1086">
        <f>'Data Entry - SOF'!O18</f>
        <v>0</v>
      </c>
      <c r="D34" s="1085">
        <f>'SOF2223-SB1'!H40</f>
        <v>0</v>
      </c>
    </row>
    <row r="35" spans="1:4" s="1076" customFormat="1" ht="15.75">
      <c r="A35" s="1366" t="s">
        <v>3246</v>
      </c>
      <c r="B35" s="1290"/>
      <c r="C35" s="1290"/>
      <c r="D35" s="1291"/>
    </row>
    <row r="36" spans="1:4" s="1076" customFormat="1" ht="15">
      <c r="A36" s="1080" t="s">
        <v>3244</v>
      </c>
      <c r="B36" s="1112">
        <f>Weights!N26</f>
        <v>0.1</v>
      </c>
      <c r="C36" s="1086">
        <f>'Data Entry - SOF'!O39</f>
        <v>0</v>
      </c>
      <c r="D36" s="1085">
        <f>'SOF2223-SB1'!H39</f>
        <v>0</v>
      </c>
    </row>
    <row r="37" spans="1:4" s="1076" customFormat="1" ht="15.75">
      <c r="A37" s="1366" t="s">
        <v>3245</v>
      </c>
      <c r="B37" s="1290"/>
      <c r="C37" s="1290"/>
      <c r="D37" s="1291"/>
    </row>
    <row r="38" spans="1:4" s="1076" customFormat="1" ht="15">
      <c r="A38" s="1080" t="s">
        <v>3247</v>
      </c>
      <c r="B38" s="1112">
        <f>Weights!N37</f>
        <v>0.1</v>
      </c>
      <c r="C38" s="1086">
        <f>'Data Entry - SOF'!O41</f>
        <v>0</v>
      </c>
      <c r="D38" s="1085">
        <f>'SOF2223-SB1'!H41</f>
        <v>0</v>
      </c>
    </row>
    <row r="39" spans="1:4" s="1076" customFormat="1" ht="15.75">
      <c r="C39" s="1195" t="s">
        <v>3393</v>
      </c>
      <c r="D39" s="3408" t="s">
        <v>7659</v>
      </c>
    </row>
    <row r="41" spans="1:4" ht="15">
      <c r="D41" s="1076"/>
    </row>
    <row r="42" spans="1:4" s="1076" customFormat="1" ht="15.75">
      <c r="A42" s="961" t="s">
        <v>3589</v>
      </c>
    </row>
    <row r="43" spans="1:4" s="1076" customFormat="1" ht="15.75">
      <c r="A43" s="961" t="s">
        <v>4734</v>
      </c>
    </row>
    <row r="44" spans="1:4" s="1076" customFormat="1" ht="15.75">
      <c r="A44" s="961"/>
    </row>
    <row r="45" spans="1:4" s="1076" customFormat="1" ht="15"/>
    <row r="46" spans="1:4" s="1076" customFormat="1" ht="15">
      <c r="D46"/>
    </row>
  </sheetData>
  <hyperlinks>
    <hyperlink ref="D39" location="'Report-SOF2122'!A1" display="'Report-SOF2122'!A1"/>
  </hyperlinks>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'Report-T1Detail1920'!D1</f>
        <v>84th/85th Legislative Session</v>
      </c>
    </row>
    <row r="2" spans="1:4">
      <c r="A2" s="1074" t="s">
        <v>3412</v>
      </c>
      <c r="C2" s="1074"/>
      <c r="D2" s="98" t="str">
        <f>'Report-T1Detail1920'!D2</f>
        <v>Release 2</v>
      </c>
    </row>
    <row r="3" spans="1:4">
      <c r="A3" s="89"/>
      <c r="C3" s="89"/>
      <c r="D3" s="82">
        <f>'Report-T1Detail1920'!D3</f>
        <v>43145</v>
      </c>
    </row>
    <row r="4" spans="1:4" ht="15.75">
      <c r="A4" s="1075" t="s">
        <v>7950</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Data-SB1'!I25</f>
        <v>#DIV/0!</v>
      </c>
    </row>
    <row r="11" spans="1:4" s="1076" customFormat="1" ht="18">
      <c r="A11" s="1366" t="s">
        <v>3250</v>
      </c>
      <c r="B11" s="1346"/>
      <c r="C11" s="1294"/>
      <c r="D11" s="1291"/>
    </row>
    <row r="12" spans="1:4" s="1076" customFormat="1" ht="15">
      <c r="A12" s="1079" t="s">
        <v>2502</v>
      </c>
      <c r="B12" s="1080" t="s">
        <v>3579</v>
      </c>
      <c r="C12" s="1080"/>
      <c r="D12" s="1085" t="e">
        <f>'Calc Data-SB1'!I34</f>
        <v>#DIV/0!</v>
      </c>
    </row>
    <row r="13" spans="1:4" s="1076" customFormat="1" ht="15">
      <c r="A13" s="1079" t="s">
        <v>2503</v>
      </c>
      <c r="B13" s="1080" t="s">
        <v>7951</v>
      </c>
      <c r="C13" s="1080"/>
      <c r="D13" s="1084" t="e">
        <f>'Calc Data-SB1'!I35</f>
        <v>#DIV/0!</v>
      </c>
    </row>
    <row r="14" spans="1:4" s="1076" customFormat="1" ht="15">
      <c r="A14" s="1079" t="s">
        <v>3592</v>
      </c>
      <c r="B14" s="1080" t="str">
        <f>CONCATENATE("Level 1 Entitlement @ $",Assumptions!G146,"")</f>
        <v>Level 1 Entitlement @ $106.28</v>
      </c>
      <c r="C14" s="1080"/>
      <c r="D14" s="1085" t="e">
        <f>'SOF2223-SB1'!H136</f>
        <v>#DIV/0!</v>
      </c>
    </row>
    <row r="15" spans="1:4" s="1076" customFormat="1" ht="15">
      <c r="A15" s="1079" t="s">
        <v>1025</v>
      </c>
      <c r="B15" s="1080" t="s">
        <v>7952</v>
      </c>
      <c r="C15" s="1080"/>
      <c r="D15" s="1085" t="e">
        <f>'Calc Data-SB1'!I42*-1</f>
        <v>#DIV/0!</v>
      </c>
    </row>
    <row r="16" spans="1:4" s="1076" customFormat="1" ht="15">
      <c r="A16" s="1079" t="s">
        <v>1027</v>
      </c>
      <c r="B16" s="1080" t="str">
        <f>CONCATENATE("GYA ($",Assumptions!G146," * WADA * DTR_1 * 100) - LR")</f>
        <v>GYA ($106.28 * WADA * DTR_1 * 100) - LR</v>
      </c>
      <c r="C16" s="1080"/>
      <c r="D16" s="1085" t="e">
        <f>'SOF2223-SB1'!H52</f>
        <v>#DIV/0!</v>
      </c>
    </row>
    <row r="17" spans="1:4" s="1076" customFormat="1" ht="18">
      <c r="A17" s="1366" t="s">
        <v>3252</v>
      </c>
      <c r="B17" s="1346"/>
      <c r="C17" s="1294"/>
      <c r="D17" s="1291"/>
    </row>
    <row r="18" spans="1:4" s="1076" customFormat="1" ht="15">
      <c r="A18" s="1079" t="s">
        <v>1028</v>
      </c>
      <c r="B18" s="1080" t="s">
        <v>3580</v>
      </c>
      <c r="C18" s="1080"/>
      <c r="D18" s="1085" t="e">
        <f>'Calc Data-SB1'!BB31</f>
        <v>#DIV/0!</v>
      </c>
    </row>
    <row r="19" spans="1:4" s="1076" customFormat="1" ht="15">
      <c r="A19" s="1079" t="s">
        <v>1029</v>
      </c>
      <c r="B19" s="1080" t="s">
        <v>7953</v>
      </c>
      <c r="C19" s="1080"/>
      <c r="D19" s="1084" t="e">
        <f>'Calc Data-SB1'!BB29</f>
        <v>#DIV/0!</v>
      </c>
    </row>
    <row r="20" spans="1:4" s="1076" customFormat="1" ht="15">
      <c r="A20" s="1079" t="s">
        <v>139</v>
      </c>
      <c r="B20" s="1080" t="str">
        <f>CONCATENATE("Level 2 Entitlement @ $",Assumptions!G147,"")</f>
        <v>Level 2 Entitlement @ $31.95</v>
      </c>
      <c r="C20" s="1080"/>
      <c r="D20" s="1085" t="e">
        <f>'SOF2223-SB1'!H137</f>
        <v>#DIV/0!</v>
      </c>
    </row>
    <row r="21" spans="1:4" s="1076" customFormat="1" ht="15">
      <c r="A21" s="1079" t="s">
        <v>140</v>
      </c>
      <c r="B21" s="1080" t="s">
        <v>7954</v>
      </c>
      <c r="C21" s="1080"/>
      <c r="D21" s="1085" t="e">
        <f>'Calc Data-SB1'!BB33*-1</f>
        <v>#DIV/0!</v>
      </c>
    </row>
    <row r="22" spans="1:4" s="1076" customFormat="1" ht="15">
      <c r="A22" s="1079" t="s">
        <v>141</v>
      </c>
      <c r="B22" s="1080" t="str">
        <f>CONCATENATE("GYA ($",Assumptions!G147," * WADA * DTR_1 * 100) - LR")</f>
        <v>GYA ($31.95 * WADA * DTR_1 * 100) - LR</v>
      </c>
      <c r="C22" s="1080"/>
      <c r="D22" s="1085" t="e">
        <f>'SOF2223-SB1'!H53</f>
        <v>#DIV/0!</v>
      </c>
    </row>
    <row r="23" spans="1:4" s="1076" customFormat="1" ht="15.75">
      <c r="A23" s="1079" t="s">
        <v>142</v>
      </c>
      <c r="B23" s="1078" t="s">
        <v>3581</v>
      </c>
      <c r="C23" s="1078"/>
      <c r="D23" s="1090" t="e">
        <f>'SOF2223-SB1'!H54</f>
        <v>#DIV/0!</v>
      </c>
    </row>
    <row r="24" spans="1:4" s="1076" customFormat="1" ht="15.75">
      <c r="B24" s="1195" t="s">
        <v>3392</v>
      </c>
      <c r="D24" s="4106" t="s">
        <v>7994</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c r="D31"/>
    </row>
  </sheetData>
  <hyperlinks>
    <hyperlink ref="D24" location="'Report-SOF2223'!A1" display="'Report-SOF2223'!A1"/>
  </hyperlink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s>
  <sheetData>
    <row r="1" spans="1:3">
      <c r="A1" s="1074" t="s">
        <v>3411</v>
      </c>
      <c r="C1" s="1773" t="str">
        <f>'Report-T2Detail1920'!D1</f>
        <v>84th/85th Legislative Session</v>
      </c>
    </row>
    <row r="2" spans="1:3">
      <c r="A2" s="1074" t="s">
        <v>3412</v>
      </c>
      <c r="C2" s="98" t="str">
        <f>'Report-T2Detail1920'!D2</f>
        <v>Release 2</v>
      </c>
    </row>
    <row r="3" spans="1:3">
      <c r="A3" s="89"/>
      <c r="C3" s="82">
        <f>'Report-T2Detail1920'!D3</f>
        <v>43145</v>
      </c>
    </row>
    <row r="4" spans="1:3" ht="15.75">
      <c r="A4" s="1075" t="s">
        <v>7955</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'ASATR-SB1'!Q8</f>
        <v>0</v>
      </c>
    </row>
    <row r="12" spans="1:3" s="1076" customFormat="1" ht="15">
      <c r="A12" s="1079" t="s">
        <v>2502</v>
      </c>
      <c r="B12" s="1080" t="s">
        <v>7956</v>
      </c>
      <c r="C12" s="1086" t="e">
        <f>'Calc Data-SB1'!I25</f>
        <v>#DIV/0!</v>
      </c>
    </row>
    <row r="13" spans="1:3" s="1076" customFormat="1" ht="15">
      <c r="A13" s="1079" t="s">
        <v>2503</v>
      </c>
      <c r="B13" s="1080" t="s">
        <v>7957</v>
      </c>
      <c r="C13" s="1085" t="e">
        <f>'ASATR-SB1'!Q50</f>
        <v>#DIV/0!</v>
      </c>
    </row>
    <row r="14" spans="1:3" s="1076" customFormat="1" ht="15">
      <c r="A14" s="1079" t="s">
        <v>1024</v>
      </c>
      <c r="B14" s="1080" t="str">
        <f>CONCATENATE("2022-23 Minimum Increase (Line 2 * $120 * ",Weights!N7,")")</f>
        <v>2022-23 Minimum Increase (Line 2 * $120 * 0.9263)</v>
      </c>
      <c r="C14" s="1085" t="e">
        <f>'ASATR-SB1'!Q51</f>
        <v>#DIV/0!</v>
      </c>
    </row>
    <row r="15" spans="1:3" s="1076" customFormat="1" ht="15">
      <c r="A15" s="1079" t="s">
        <v>1025</v>
      </c>
      <c r="B15" s="1080" t="s">
        <v>3255</v>
      </c>
      <c r="C15" s="1085">
        <f>'ASATR-SB1'!Q13</f>
        <v>0</v>
      </c>
    </row>
    <row r="16" spans="1:3" s="1076" customFormat="1" ht="15">
      <c r="A16" s="1079" t="s">
        <v>1027</v>
      </c>
      <c r="B16" s="1080" t="s">
        <v>7958</v>
      </c>
      <c r="C16" s="1085" t="e">
        <f>'ASATR-SB1'!Q14</f>
        <v>#DIV/0!</v>
      </c>
    </row>
    <row r="17" spans="1:4" s="1076" customFormat="1" ht="15">
      <c r="A17" s="1297"/>
      <c r="B17" s="1290"/>
      <c r="C17" s="1291"/>
    </row>
    <row r="18" spans="1:4" s="1076" customFormat="1" ht="15">
      <c r="A18" s="1079" t="s">
        <v>1028</v>
      </c>
      <c r="B18" s="1080" t="s">
        <v>3258</v>
      </c>
      <c r="C18" s="1085">
        <f>'ASATR-SB1'!Q15</f>
        <v>0</v>
      </c>
    </row>
    <row r="19" spans="1:4" s="1076" customFormat="1" ht="15">
      <c r="A19" s="1079" t="s">
        <v>1029</v>
      </c>
      <c r="B19" s="1080" t="s">
        <v>3259</v>
      </c>
      <c r="C19" s="1085">
        <f>'ASATR-SB1'!Q16</f>
        <v>0</v>
      </c>
    </row>
    <row r="20" spans="1:4" s="1076" customFormat="1" ht="15">
      <c r="A20" s="1079" t="s">
        <v>139</v>
      </c>
      <c r="B20" s="1080" t="str">
        <f>CONCATENATE("2008-09 Educator Salary Increase ($23.63 * 2008-09 WADA * ",Weights!N7,")")</f>
        <v>2008-09 Educator Salary Increase ($23.63 * 2008-09 WADA * 0.9263)</v>
      </c>
      <c r="C20" s="1085">
        <f>'ASATR-SB1'!Q18</f>
        <v>0</v>
      </c>
    </row>
    <row r="21" spans="1:4" s="1076" customFormat="1" ht="15.75">
      <c r="A21" s="1079" t="s">
        <v>140</v>
      </c>
      <c r="B21" s="1078" t="s">
        <v>7959</v>
      </c>
      <c r="C21" s="1085" t="e">
        <f>'ASATR-SB1'!Q20</f>
        <v>#DIV/0!</v>
      </c>
    </row>
    <row r="22" spans="1:4" s="1076" customFormat="1" ht="15">
      <c r="A22" s="1297"/>
      <c r="B22" s="1290"/>
      <c r="C22" s="1291"/>
    </row>
    <row r="23" spans="1:4" s="1076" customFormat="1" ht="15">
      <c r="A23" s="1079" t="s">
        <v>141</v>
      </c>
      <c r="B23" s="1080" t="s">
        <v>7960</v>
      </c>
      <c r="C23" s="1085">
        <f>'ASATR-SB1'!Q37</f>
        <v>0</v>
      </c>
    </row>
    <row r="24" spans="1:4" s="1076" customFormat="1" ht="15">
      <c r="A24" s="1079" t="s">
        <v>142</v>
      </c>
      <c r="B24" s="1080" t="s">
        <v>7961</v>
      </c>
      <c r="C24" s="1085" t="e">
        <f>'ASATR-SB1'!Q38</f>
        <v>#DIV/0!</v>
      </c>
    </row>
    <row r="25" spans="1:4" s="1076" customFormat="1" ht="15">
      <c r="A25" s="1079" t="s">
        <v>1706</v>
      </c>
      <c r="B25" s="4110" t="s">
        <v>8010</v>
      </c>
      <c r="C25" s="1085" t="e">
        <f>'ASATR-SB1'!Q39</f>
        <v>#DIV/0!</v>
      </c>
    </row>
    <row r="26" spans="1:4" s="1076" customFormat="1" ht="15">
      <c r="A26" s="1079" t="s">
        <v>6</v>
      </c>
      <c r="B26" s="1080" t="s">
        <v>7962</v>
      </c>
      <c r="C26" s="1085" t="e">
        <f>'ASATR-SB1'!Q40</f>
        <v>#DIV/0!</v>
      </c>
    </row>
    <row r="27" spans="1:4" s="1076" customFormat="1" ht="15">
      <c r="A27" s="1297"/>
      <c r="B27" s="1290"/>
      <c r="C27" s="1305"/>
    </row>
    <row r="28" spans="1:4" s="1076" customFormat="1" ht="15.75">
      <c r="A28" s="1113" t="s">
        <v>2551</v>
      </c>
      <c r="B28" s="1097" t="s">
        <v>3448</v>
      </c>
      <c r="C28" s="1090" t="e">
        <f>'ASATR-SB1'!Q42</f>
        <v>#DIV/0!</v>
      </c>
      <c r="D28" s="1076" t="s">
        <v>4450</v>
      </c>
    </row>
    <row r="29" spans="1:4" s="1076" customFormat="1" ht="15">
      <c r="A29" s="1091"/>
      <c r="B29" s="1099" t="s">
        <v>3260</v>
      </c>
      <c r="C29" s="1110"/>
    </row>
    <row r="30" spans="1:4" s="1076" customFormat="1" ht="15">
      <c r="A30" s="1297"/>
      <c r="B30" s="1290"/>
      <c r="C30" s="1305"/>
    </row>
    <row r="31" spans="1:4" s="1076" customFormat="1" ht="15">
      <c r="A31" s="1095" t="s">
        <v>2552</v>
      </c>
      <c r="B31" s="1080" t="s">
        <v>7963</v>
      </c>
      <c r="C31" s="1085" t="e">
        <f>'ASATR-SB1'!Q45</f>
        <v>#DIV/0!</v>
      </c>
    </row>
    <row r="32" spans="1:4" s="1076" customFormat="1" ht="15">
      <c r="A32" s="1095" t="s">
        <v>3122</v>
      </c>
      <c r="B32" s="1080" t="s">
        <v>7964</v>
      </c>
      <c r="C32" s="1085" t="e">
        <f>'ASATR-SB1'!Q46</f>
        <v>#DIV/0!</v>
      </c>
    </row>
    <row r="33" spans="2:3" s="1076" customFormat="1" ht="15.75">
      <c r="B33" s="1195" t="s">
        <v>3405</v>
      </c>
      <c r="C33" s="4106" t="s">
        <v>7994</v>
      </c>
    </row>
    <row r="34" spans="2:3" s="1076" customFormat="1" ht="15"/>
    <row r="35" spans="2:3" s="1076" customFormat="1" ht="15"/>
    <row r="36" spans="2:3" s="1076" customFormat="1" ht="15"/>
    <row r="37" spans="2:3" s="1076" customFormat="1" ht="15">
      <c r="C37"/>
    </row>
    <row r="38" spans="2:3" s="1076"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5"/>
  <sheetViews>
    <sheetView topLeftCell="A103" workbookViewId="0">
      <selection activeCell="C114" sqref="C114"/>
    </sheetView>
  </sheetViews>
  <sheetFormatPr defaultRowHeight="12.75"/>
  <cols>
    <col min="1" max="1" width="14.140625" customWidth="1"/>
    <col min="2" max="2" width="32.5703125" customWidth="1"/>
    <col min="3" max="3" width="14.140625" style="173" customWidth="1"/>
    <col min="4" max="4" width="19.42578125" customWidth="1"/>
  </cols>
  <sheetData>
    <row r="1" spans="1:4" ht="15">
      <c r="A1" t="s">
        <v>225</v>
      </c>
      <c r="B1" t="s">
        <v>310</v>
      </c>
      <c r="C1" s="806">
        <v>1.04</v>
      </c>
      <c r="D1" s="121">
        <v>344878227</v>
      </c>
    </row>
    <row r="2" spans="1:4" ht="15">
      <c r="A2" t="s">
        <v>2228</v>
      </c>
      <c r="B2" t="s">
        <v>311</v>
      </c>
      <c r="C2" s="806">
        <v>1.17</v>
      </c>
      <c r="D2" s="121">
        <v>183040768</v>
      </c>
    </row>
    <row r="3" spans="1:4" ht="15">
      <c r="A3" t="s">
        <v>15</v>
      </c>
      <c r="B3" t="s">
        <v>312</v>
      </c>
      <c r="C3" s="806">
        <v>1.04</v>
      </c>
      <c r="D3" s="121">
        <v>275826252</v>
      </c>
    </row>
    <row r="4" spans="1:4" ht="15">
      <c r="A4" t="s">
        <v>16</v>
      </c>
      <c r="B4" t="s">
        <v>313</v>
      </c>
      <c r="C4" s="806">
        <v>1.04</v>
      </c>
      <c r="D4" s="121">
        <v>101798332</v>
      </c>
    </row>
    <row r="5" spans="1:4" ht="15">
      <c r="A5" t="s">
        <v>17</v>
      </c>
      <c r="B5" t="s">
        <v>314</v>
      </c>
      <c r="C5" s="806">
        <v>1.17</v>
      </c>
      <c r="D5" s="121">
        <v>900762557</v>
      </c>
    </row>
    <row r="6" spans="1:4" ht="15">
      <c r="A6" t="s">
        <v>1254</v>
      </c>
      <c r="B6" t="s">
        <v>1355</v>
      </c>
      <c r="C6" s="806">
        <v>1.04</v>
      </c>
      <c r="D6" s="121">
        <v>370734974</v>
      </c>
    </row>
    <row r="7" spans="1:4" ht="15">
      <c r="A7" t="s">
        <v>1255</v>
      </c>
      <c r="B7" t="s">
        <v>1356</v>
      </c>
      <c r="C7" s="806">
        <v>0.93799999999999994</v>
      </c>
      <c r="D7" s="121">
        <v>84699974</v>
      </c>
    </row>
    <row r="8" spans="1:4" ht="15">
      <c r="A8" t="s">
        <v>2102</v>
      </c>
      <c r="B8" t="s">
        <v>1357</v>
      </c>
      <c r="C8" s="806">
        <v>1.06</v>
      </c>
      <c r="D8" s="121">
        <v>3393947392</v>
      </c>
    </row>
    <row r="9" spans="1:4" ht="15">
      <c r="A9" t="s">
        <v>774</v>
      </c>
      <c r="B9" t="s">
        <v>2733</v>
      </c>
      <c r="C9" s="806">
        <v>1.04</v>
      </c>
      <c r="D9" s="121">
        <v>263553164</v>
      </c>
    </row>
    <row r="10" spans="1:4" ht="15">
      <c r="A10" t="s">
        <v>1637</v>
      </c>
      <c r="B10" t="s">
        <v>1358</v>
      </c>
      <c r="C10" s="806">
        <v>1.04</v>
      </c>
      <c r="D10" s="121">
        <v>1919694399</v>
      </c>
    </row>
    <row r="11" spans="1:4" ht="15">
      <c r="A11" t="s">
        <v>1279</v>
      </c>
      <c r="B11" t="s">
        <v>1438</v>
      </c>
      <c r="C11" s="806">
        <v>1.17</v>
      </c>
      <c r="D11" s="121">
        <v>160453982</v>
      </c>
    </row>
    <row r="12" spans="1:4" ht="15">
      <c r="A12" t="s">
        <v>369</v>
      </c>
      <c r="B12" t="s">
        <v>1359</v>
      </c>
      <c r="C12" s="806">
        <v>1.04</v>
      </c>
      <c r="D12" s="121">
        <v>280785432</v>
      </c>
    </row>
    <row r="13" spans="1:4" ht="15">
      <c r="A13" t="s">
        <v>370</v>
      </c>
      <c r="B13" t="s">
        <v>1360</v>
      </c>
      <c r="C13" s="806">
        <v>1.04</v>
      </c>
      <c r="D13" s="121">
        <v>67673093</v>
      </c>
    </row>
    <row r="14" spans="1:4" ht="15">
      <c r="A14" t="s">
        <v>371</v>
      </c>
      <c r="B14" t="s">
        <v>1361</v>
      </c>
      <c r="C14" s="806">
        <v>1.04</v>
      </c>
      <c r="D14" s="121">
        <v>177628049</v>
      </c>
    </row>
    <row r="15" spans="1:4" ht="15">
      <c r="A15" t="s">
        <v>2839</v>
      </c>
      <c r="B15" t="s">
        <v>1362</v>
      </c>
      <c r="C15" s="806">
        <v>1.04</v>
      </c>
      <c r="D15" s="121">
        <v>2266738831</v>
      </c>
    </row>
    <row r="16" spans="1:4" ht="15">
      <c r="A16" t="s">
        <v>2840</v>
      </c>
      <c r="B16" t="s">
        <v>1363</v>
      </c>
      <c r="C16" s="806">
        <v>0.98</v>
      </c>
      <c r="D16" s="121">
        <v>172620749</v>
      </c>
    </row>
    <row r="17" spans="1:4" ht="15">
      <c r="A17" t="s">
        <v>2841</v>
      </c>
      <c r="B17" t="s">
        <v>1364</v>
      </c>
      <c r="C17" s="806">
        <v>1.04</v>
      </c>
      <c r="D17" s="121">
        <v>208170568</v>
      </c>
    </row>
    <row r="18" spans="1:4" ht="15">
      <c r="A18" t="s">
        <v>2219</v>
      </c>
      <c r="B18" t="s">
        <v>1289</v>
      </c>
      <c r="C18" s="806">
        <v>1.17</v>
      </c>
      <c r="D18" s="121">
        <v>55031429</v>
      </c>
    </row>
    <row r="19" spans="1:4" ht="15">
      <c r="A19" t="s">
        <v>2843</v>
      </c>
      <c r="B19" t="s">
        <v>1365</v>
      </c>
      <c r="C19" s="806">
        <v>1.01</v>
      </c>
      <c r="D19" s="121">
        <v>99134965</v>
      </c>
    </row>
    <row r="20" spans="1:4" ht="15">
      <c r="A20" t="s">
        <v>806</v>
      </c>
      <c r="B20" t="s">
        <v>736</v>
      </c>
      <c r="C20" s="806">
        <v>1.04</v>
      </c>
      <c r="D20" s="121">
        <v>85142228</v>
      </c>
    </row>
    <row r="21" spans="1:4" ht="15">
      <c r="A21" t="s">
        <v>2844</v>
      </c>
      <c r="B21" t="s">
        <v>1366</v>
      </c>
      <c r="C21" s="806">
        <v>1.17</v>
      </c>
      <c r="D21" s="121">
        <v>395408009</v>
      </c>
    </row>
    <row r="22" spans="1:4" ht="15">
      <c r="A22" t="s">
        <v>2388</v>
      </c>
      <c r="B22" t="s">
        <v>1367</v>
      </c>
      <c r="C22" s="806">
        <v>1.04</v>
      </c>
      <c r="D22" s="121">
        <v>181357613</v>
      </c>
    </row>
    <row r="23" spans="1:4" ht="15">
      <c r="A23" t="s">
        <v>241</v>
      </c>
      <c r="B23" t="s">
        <v>1128</v>
      </c>
      <c r="C23" s="806">
        <v>1.04</v>
      </c>
      <c r="D23" s="121">
        <v>577844329</v>
      </c>
    </row>
    <row r="24" spans="1:4" ht="15">
      <c r="A24" t="s">
        <v>2447</v>
      </c>
      <c r="B24" t="s">
        <v>1131</v>
      </c>
      <c r="C24" s="806">
        <v>1.04</v>
      </c>
      <c r="D24" s="121">
        <v>152689135</v>
      </c>
    </row>
    <row r="25" spans="1:4" ht="15">
      <c r="A25" t="s">
        <v>2845</v>
      </c>
      <c r="B25" t="s">
        <v>1368</v>
      </c>
      <c r="C25" s="806">
        <v>1.04</v>
      </c>
      <c r="D25" s="121">
        <v>757702443</v>
      </c>
    </row>
    <row r="26" spans="1:4" ht="15">
      <c r="A26" t="s">
        <v>783</v>
      </c>
      <c r="B26" t="s">
        <v>1369</v>
      </c>
      <c r="C26" s="806">
        <v>0.98</v>
      </c>
      <c r="D26" s="121">
        <v>947127105</v>
      </c>
    </row>
    <row r="27" spans="1:4" ht="15">
      <c r="A27" t="s">
        <v>784</v>
      </c>
      <c r="B27" t="s">
        <v>1370</v>
      </c>
      <c r="C27" s="806">
        <v>1.04</v>
      </c>
      <c r="D27" s="121">
        <v>391216651</v>
      </c>
    </row>
    <row r="28" spans="1:4" ht="15">
      <c r="A28" t="s">
        <v>785</v>
      </c>
      <c r="B28" t="s">
        <v>1371</v>
      </c>
      <c r="C28" s="806">
        <v>1.04</v>
      </c>
      <c r="D28" s="121">
        <v>226973481</v>
      </c>
    </row>
    <row r="29" spans="1:4" ht="15">
      <c r="A29" t="s">
        <v>216</v>
      </c>
      <c r="B29" t="s">
        <v>1372</v>
      </c>
      <c r="C29" s="806">
        <v>1</v>
      </c>
      <c r="D29" s="121">
        <v>161784150</v>
      </c>
    </row>
    <row r="30" spans="1:4" ht="15">
      <c r="A30" t="s">
        <v>2220</v>
      </c>
      <c r="B30" t="s">
        <v>2431</v>
      </c>
      <c r="C30" s="806">
        <v>1.04</v>
      </c>
      <c r="D30" s="121">
        <v>976713163</v>
      </c>
    </row>
    <row r="31" spans="1:4" ht="15">
      <c r="A31" t="s">
        <v>1896</v>
      </c>
      <c r="B31" t="s">
        <v>2433</v>
      </c>
      <c r="C31" s="806">
        <v>1.04</v>
      </c>
      <c r="D31" s="121">
        <v>2276376636</v>
      </c>
    </row>
    <row r="32" spans="1:4" ht="15">
      <c r="A32" t="s">
        <v>876</v>
      </c>
      <c r="B32" t="s">
        <v>1002</v>
      </c>
      <c r="C32" s="806">
        <v>1.04</v>
      </c>
      <c r="D32" s="121">
        <v>759804360</v>
      </c>
    </row>
    <row r="33" spans="1:4" ht="15">
      <c r="A33" t="s">
        <v>2710</v>
      </c>
      <c r="B33" t="s">
        <v>2202</v>
      </c>
      <c r="C33" s="806">
        <v>1.04</v>
      </c>
      <c r="D33" s="121">
        <v>467076732</v>
      </c>
    </row>
    <row r="34" spans="1:4" ht="15">
      <c r="A34" t="s">
        <v>2448</v>
      </c>
      <c r="B34" t="s">
        <v>926</v>
      </c>
      <c r="C34" s="806">
        <v>1.04</v>
      </c>
      <c r="D34" s="121">
        <v>58316011</v>
      </c>
    </row>
    <row r="35" spans="1:4" ht="15">
      <c r="A35" t="s">
        <v>492</v>
      </c>
      <c r="B35" t="s">
        <v>1373</v>
      </c>
      <c r="C35" s="806">
        <v>1.04</v>
      </c>
      <c r="D35" s="121">
        <v>137442260</v>
      </c>
    </row>
    <row r="36" spans="1:4" ht="15">
      <c r="A36" t="s">
        <v>2711</v>
      </c>
      <c r="B36" t="s">
        <v>2434</v>
      </c>
      <c r="C36" s="806">
        <v>1.04</v>
      </c>
      <c r="D36" s="121">
        <v>510262347</v>
      </c>
    </row>
    <row r="37" spans="1:4" ht="15">
      <c r="A37" t="s">
        <v>3048</v>
      </c>
      <c r="B37" t="s">
        <v>1374</v>
      </c>
      <c r="C37" s="806">
        <v>0.94</v>
      </c>
      <c r="D37" s="121">
        <v>170715901</v>
      </c>
    </row>
    <row r="38" spans="1:4" ht="15">
      <c r="A38" t="s">
        <v>3049</v>
      </c>
      <c r="B38" t="s">
        <v>1375</v>
      </c>
      <c r="C38" s="806">
        <v>1.04</v>
      </c>
      <c r="D38" s="121">
        <v>138755508</v>
      </c>
    </row>
    <row r="39" spans="1:4" ht="15">
      <c r="A39" t="s">
        <v>1313</v>
      </c>
      <c r="B39" t="s">
        <v>2089</v>
      </c>
      <c r="C39" s="806">
        <v>1.1000000000000001</v>
      </c>
      <c r="D39" s="121">
        <v>109767862</v>
      </c>
    </row>
    <row r="40" spans="1:4" ht="15">
      <c r="A40" t="s">
        <v>2449</v>
      </c>
      <c r="B40" t="s">
        <v>1376</v>
      </c>
      <c r="C40" s="806">
        <v>1.04</v>
      </c>
      <c r="D40" s="121">
        <v>168834172</v>
      </c>
    </row>
    <row r="41" spans="1:4" ht="15">
      <c r="A41" t="s">
        <v>1895</v>
      </c>
      <c r="B41" t="s">
        <v>2432</v>
      </c>
      <c r="C41" s="806">
        <v>1.04</v>
      </c>
      <c r="D41" s="121">
        <v>70288921</v>
      </c>
    </row>
    <row r="42" spans="1:4" ht="15">
      <c r="A42" t="s">
        <v>1898</v>
      </c>
      <c r="B42" t="s">
        <v>3079</v>
      </c>
      <c r="C42" s="806">
        <v>1.17</v>
      </c>
      <c r="D42" s="121">
        <v>1605561970</v>
      </c>
    </row>
    <row r="43" spans="1:4" ht="15">
      <c r="A43" t="s">
        <v>198</v>
      </c>
      <c r="B43" t="s">
        <v>2728</v>
      </c>
      <c r="C43" s="806">
        <v>1.04</v>
      </c>
      <c r="D43" s="121">
        <v>74779060</v>
      </c>
    </row>
    <row r="44" spans="1:4" ht="15">
      <c r="A44" t="s">
        <v>60</v>
      </c>
      <c r="B44" t="s">
        <v>2878</v>
      </c>
      <c r="C44" s="806">
        <v>1.0310999999999999</v>
      </c>
      <c r="D44" s="121">
        <v>5202837903</v>
      </c>
    </row>
    <row r="45" spans="1:4" ht="15">
      <c r="A45" t="s">
        <v>192</v>
      </c>
      <c r="B45" t="s">
        <v>1582</v>
      </c>
      <c r="C45" s="806">
        <v>1.04</v>
      </c>
      <c r="D45" s="121">
        <v>128985393</v>
      </c>
    </row>
    <row r="46" spans="1:4" ht="15">
      <c r="A46" t="s">
        <v>1487</v>
      </c>
      <c r="B46" t="s">
        <v>2305</v>
      </c>
      <c r="C46" s="806">
        <v>1.04</v>
      </c>
      <c r="D46" s="121">
        <v>517882757</v>
      </c>
    </row>
    <row r="47" spans="1:4" ht="15">
      <c r="A47" t="s">
        <v>1707</v>
      </c>
      <c r="B47" t="s">
        <v>658</v>
      </c>
      <c r="C47" s="806">
        <v>1.04</v>
      </c>
      <c r="D47" s="121">
        <v>2450111506</v>
      </c>
    </row>
    <row r="48" spans="1:4" ht="15">
      <c r="A48" t="s">
        <v>1712</v>
      </c>
      <c r="B48" t="s">
        <v>2640</v>
      </c>
      <c r="C48" s="806">
        <v>1.04</v>
      </c>
      <c r="D48" s="121">
        <v>210409829</v>
      </c>
    </row>
    <row r="49" spans="1:4" ht="15">
      <c r="A49" t="s">
        <v>463</v>
      </c>
      <c r="B49" t="s">
        <v>2603</v>
      </c>
      <c r="C49" s="806">
        <v>1.03</v>
      </c>
      <c r="D49" s="121">
        <v>4414736091</v>
      </c>
    </row>
    <row r="50" spans="1:4" ht="15">
      <c r="A50" t="s">
        <v>2125</v>
      </c>
      <c r="B50" t="s">
        <v>822</v>
      </c>
      <c r="C50" s="806">
        <v>1.17</v>
      </c>
      <c r="D50" s="121">
        <v>1197178769</v>
      </c>
    </row>
    <row r="51" spans="1:4" ht="15">
      <c r="A51" t="s">
        <v>874</v>
      </c>
      <c r="B51" t="s">
        <v>1000</v>
      </c>
      <c r="C51" s="806">
        <v>1.17</v>
      </c>
      <c r="D51" s="121">
        <v>882209569</v>
      </c>
    </row>
    <row r="52" spans="1:4" ht="15">
      <c r="A52" t="s">
        <v>1489</v>
      </c>
      <c r="B52" t="s">
        <v>2308</v>
      </c>
      <c r="C52" s="806">
        <v>1.04</v>
      </c>
      <c r="D52" s="121">
        <v>10692743033</v>
      </c>
    </row>
    <row r="53" spans="1:4" ht="15">
      <c r="A53" t="s">
        <v>1699</v>
      </c>
      <c r="B53" t="s">
        <v>2206</v>
      </c>
      <c r="C53" s="806">
        <v>1.04</v>
      </c>
      <c r="D53" s="121">
        <v>1097187360</v>
      </c>
    </row>
    <row r="54" spans="1:4" ht="15">
      <c r="A54" t="s">
        <v>1316</v>
      </c>
      <c r="B54" t="s">
        <v>2205</v>
      </c>
      <c r="C54" s="806">
        <v>1.04</v>
      </c>
      <c r="D54" s="121">
        <v>317294529</v>
      </c>
    </row>
    <row r="55" spans="1:4" ht="15">
      <c r="A55" t="s">
        <v>1587</v>
      </c>
      <c r="B55" t="s">
        <v>2610</v>
      </c>
      <c r="C55" s="806">
        <v>1.04</v>
      </c>
      <c r="D55" s="121">
        <v>25058748432</v>
      </c>
    </row>
    <row r="56" spans="1:4" ht="15">
      <c r="A56" t="s">
        <v>871</v>
      </c>
      <c r="B56" t="s">
        <v>1215</v>
      </c>
      <c r="C56" s="806">
        <v>1.04</v>
      </c>
      <c r="D56" s="121">
        <v>1623894030</v>
      </c>
    </row>
    <row r="57" spans="1:4" ht="15">
      <c r="A57" t="s">
        <v>807</v>
      </c>
      <c r="B57" t="s">
        <v>2208</v>
      </c>
      <c r="C57" s="806">
        <v>1.04</v>
      </c>
      <c r="D57" s="121">
        <v>1400604118</v>
      </c>
    </row>
    <row r="58" spans="1:4" ht="15">
      <c r="A58" t="s">
        <v>1589</v>
      </c>
      <c r="B58" t="s">
        <v>2612</v>
      </c>
      <c r="C58" s="806">
        <v>1.04</v>
      </c>
      <c r="D58" s="121">
        <v>27251725350</v>
      </c>
    </row>
    <row r="59" spans="1:4" ht="15">
      <c r="A59" t="s">
        <v>53</v>
      </c>
      <c r="B59" t="s">
        <v>448</v>
      </c>
      <c r="C59" s="806">
        <v>1.04</v>
      </c>
      <c r="D59" s="121">
        <v>5290848265</v>
      </c>
    </row>
    <row r="60" spans="1:4" ht="15">
      <c r="A60" t="s">
        <v>1700</v>
      </c>
      <c r="B60" t="s">
        <v>2207</v>
      </c>
      <c r="C60" s="806">
        <v>1.04</v>
      </c>
      <c r="D60" s="121">
        <v>470606887</v>
      </c>
    </row>
    <row r="61" spans="1:4" ht="15">
      <c r="A61" t="s">
        <v>1377</v>
      </c>
      <c r="B61" t="s">
        <v>2604</v>
      </c>
      <c r="C61" s="806">
        <v>1.04</v>
      </c>
      <c r="D61" s="121">
        <v>482196279</v>
      </c>
    </row>
    <row r="62" spans="1:4" ht="15">
      <c r="A62" t="s">
        <v>986</v>
      </c>
      <c r="B62" t="s">
        <v>902</v>
      </c>
      <c r="C62" s="806">
        <v>0.99329999999999996</v>
      </c>
      <c r="D62" s="121">
        <v>554781328</v>
      </c>
    </row>
    <row r="63" spans="1:4" ht="15">
      <c r="A63" t="s">
        <v>1378</v>
      </c>
      <c r="B63" t="s">
        <v>2605</v>
      </c>
      <c r="C63" s="806">
        <v>1.04</v>
      </c>
      <c r="D63" s="121">
        <v>685635890</v>
      </c>
    </row>
    <row r="64" spans="1:4" ht="15">
      <c r="A64" t="s">
        <v>628</v>
      </c>
      <c r="B64" t="s">
        <v>1330</v>
      </c>
      <c r="C64" s="806">
        <v>1.03</v>
      </c>
      <c r="D64" s="121">
        <v>412056112</v>
      </c>
    </row>
    <row r="65" spans="1:4" ht="15">
      <c r="A65" t="s">
        <v>1379</v>
      </c>
      <c r="B65" t="s">
        <v>3081</v>
      </c>
      <c r="C65" s="806">
        <v>1.022</v>
      </c>
      <c r="D65" s="121">
        <v>128072868</v>
      </c>
    </row>
    <row r="66" spans="1:4" ht="15">
      <c r="A66" t="s">
        <v>1273</v>
      </c>
      <c r="B66" t="s">
        <v>3082</v>
      </c>
      <c r="C66" s="806">
        <v>1.04</v>
      </c>
      <c r="D66" s="121">
        <v>51312702</v>
      </c>
    </row>
    <row r="67" spans="1:4" ht="15">
      <c r="A67" t="s">
        <v>1274</v>
      </c>
      <c r="B67" t="s">
        <v>3083</v>
      </c>
      <c r="C67" s="806">
        <v>1.04</v>
      </c>
      <c r="D67" s="121">
        <v>168437674</v>
      </c>
    </row>
    <row r="68" spans="1:4" ht="15">
      <c r="A68" t="s">
        <v>2174</v>
      </c>
      <c r="B68" t="s">
        <v>2304</v>
      </c>
      <c r="C68" s="806">
        <v>0.89990000000000003</v>
      </c>
      <c r="D68" s="121">
        <v>62002668</v>
      </c>
    </row>
    <row r="69" spans="1:4" ht="15">
      <c r="A69" t="s">
        <v>1846</v>
      </c>
      <c r="B69" t="s">
        <v>3084</v>
      </c>
      <c r="C69" s="806">
        <v>1.04</v>
      </c>
      <c r="D69" s="121">
        <v>64067431</v>
      </c>
    </row>
    <row r="70" spans="1:4" ht="15">
      <c r="A70" t="s">
        <v>1847</v>
      </c>
      <c r="B70" t="s">
        <v>3085</v>
      </c>
      <c r="C70" s="806">
        <v>1.04</v>
      </c>
      <c r="D70" s="121">
        <v>95289484</v>
      </c>
    </row>
    <row r="71" spans="1:4" ht="15">
      <c r="A71" t="s">
        <v>1848</v>
      </c>
      <c r="B71" t="s">
        <v>3086</v>
      </c>
      <c r="C71" s="806">
        <v>1.04</v>
      </c>
      <c r="D71" s="121">
        <v>57189465</v>
      </c>
    </row>
    <row r="72" spans="1:4" ht="15">
      <c r="A72" t="s">
        <v>997</v>
      </c>
      <c r="B72" t="s">
        <v>3063</v>
      </c>
      <c r="C72" s="806">
        <v>1.17</v>
      </c>
      <c r="D72" s="121">
        <v>139031460</v>
      </c>
    </row>
    <row r="73" spans="1:4" ht="15">
      <c r="A73" t="s">
        <v>808</v>
      </c>
      <c r="B73" t="s">
        <v>2730</v>
      </c>
      <c r="C73" s="806">
        <v>1.04</v>
      </c>
      <c r="D73" s="121">
        <v>119392762</v>
      </c>
    </row>
    <row r="74" spans="1:4" ht="15">
      <c r="A74" t="s">
        <v>2450</v>
      </c>
      <c r="B74" t="s">
        <v>2361</v>
      </c>
      <c r="C74" s="806">
        <v>1.17</v>
      </c>
      <c r="D74" s="121">
        <v>47580818</v>
      </c>
    </row>
    <row r="75" spans="1:4" ht="15">
      <c r="A75" t="s">
        <v>3034</v>
      </c>
      <c r="B75" t="s">
        <v>1578</v>
      </c>
      <c r="C75" s="806">
        <v>1.17</v>
      </c>
      <c r="D75" s="121">
        <v>278001813</v>
      </c>
    </row>
    <row r="76" spans="1:4" ht="15">
      <c r="A76" t="s">
        <v>1252</v>
      </c>
      <c r="B76" t="s">
        <v>1579</v>
      </c>
      <c r="C76" s="806">
        <v>1.17</v>
      </c>
      <c r="D76" s="121">
        <v>169501573</v>
      </c>
    </row>
    <row r="77" spans="1:4" ht="15">
      <c r="A77" t="s">
        <v>1253</v>
      </c>
      <c r="B77" t="s">
        <v>1580</v>
      </c>
      <c r="C77" s="806">
        <v>1.17</v>
      </c>
      <c r="D77" s="121">
        <v>1730906443</v>
      </c>
    </row>
    <row r="78" spans="1:4" ht="15">
      <c r="A78" t="s">
        <v>1285</v>
      </c>
      <c r="B78" t="s">
        <v>2846</v>
      </c>
      <c r="C78" s="806">
        <v>1.17</v>
      </c>
      <c r="D78" s="121">
        <v>455147264</v>
      </c>
    </row>
    <row r="79" spans="1:4" ht="15">
      <c r="A79" t="s">
        <v>2451</v>
      </c>
      <c r="B79" t="s">
        <v>295</v>
      </c>
      <c r="C79" s="806">
        <v>1.0287999999999999</v>
      </c>
      <c r="D79" s="121">
        <v>77200999</v>
      </c>
    </row>
    <row r="80" spans="1:4" ht="15">
      <c r="A80" t="s">
        <v>1110</v>
      </c>
      <c r="B80" t="s">
        <v>320</v>
      </c>
      <c r="C80" s="806">
        <v>1.04</v>
      </c>
      <c r="D80" s="121">
        <v>14776100</v>
      </c>
    </row>
    <row r="81" spans="1:4" ht="15">
      <c r="A81" t="s">
        <v>953</v>
      </c>
      <c r="B81" t="s">
        <v>2847</v>
      </c>
      <c r="C81" s="806">
        <v>0.9</v>
      </c>
      <c r="D81" s="121">
        <v>138448574</v>
      </c>
    </row>
    <row r="82" spans="1:4" ht="15">
      <c r="A82" t="s">
        <v>1286</v>
      </c>
      <c r="B82" t="s">
        <v>2848</v>
      </c>
      <c r="C82" s="806">
        <v>1.0900000000000001</v>
      </c>
      <c r="D82" s="121">
        <v>724228976</v>
      </c>
    </row>
    <row r="83" spans="1:4" ht="15">
      <c r="A83" t="s">
        <v>1287</v>
      </c>
      <c r="B83" t="s">
        <v>2732</v>
      </c>
      <c r="C83" s="806">
        <v>1.04</v>
      </c>
      <c r="D83" s="121">
        <v>16095435</v>
      </c>
    </row>
    <row r="84" spans="1:4" ht="15">
      <c r="A84" t="s">
        <v>954</v>
      </c>
      <c r="B84" t="s">
        <v>2849</v>
      </c>
      <c r="C84" s="806">
        <v>1.04</v>
      </c>
      <c r="D84" s="121">
        <v>25227571</v>
      </c>
    </row>
    <row r="85" spans="1:4" ht="15">
      <c r="A85" t="s">
        <v>207</v>
      </c>
      <c r="B85" t="s">
        <v>1202</v>
      </c>
      <c r="C85" s="806">
        <v>1.04</v>
      </c>
      <c r="D85" s="121">
        <v>2789084980</v>
      </c>
    </row>
    <row r="86" spans="1:4" ht="15">
      <c r="A86" t="s">
        <v>1035</v>
      </c>
      <c r="B86" t="s">
        <v>2850</v>
      </c>
      <c r="C86" s="806">
        <v>1.04</v>
      </c>
      <c r="D86" s="121">
        <v>2511879939</v>
      </c>
    </row>
    <row r="87" spans="1:4" ht="15">
      <c r="A87" t="s">
        <v>809</v>
      </c>
      <c r="B87" t="s">
        <v>3059</v>
      </c>
      <c r="C87" s="806">
        <v>1.04</v>
      </c>
      <c r="D87" s="121">
        <v>158894603</v>
      </c>
    </row>
    <row r="88" spans="1:4" ht="15">
      <c r="A88" t="s">
        <v>1321</v>
      </c>
      <c r="B88" t="s">
        <v>2851</v>
      </c>
      <c r="C88" s="806">
        <v>1.01</v>
      </c>
      <c r="D88" s="121">
        <v>7028634730</v>
      </c>
    </row>
    <row r="89" spans="1:4" ht="15">
      <c r="A89" t="s">
        <v>1322</v>
      </c>
      <c r="B89" t="s">
        <v>2852</v>
      </c>
      <c r="C89" s="806">
        <v>1.04</v>
      </c>
      <c r="D89" s="121">
        <v>1562450863</v>
      </c>
    </row>
    <row r="90" spans="1:4" ht="15">
      <c r="A90" t="s">
        <v>1616</v>
      </c>
      <c r="B90" t="s">
        <v>1741</v>
      </c>
      <c r="C90" s="806">
        <v>1.04</v>
      </c>
      <c r="D90" s="121">
        <v>733960501</v>
      </c>
    </row>
    <row r="91" spans="1:4" ht="15">
      <c r="A91" t="s">
        <v>235</v>
      </c>
      <c r="B91" t="s">
        <v>303</v>
      </c>
      <c r="C91" s="806">
        <v>1.04</v>
      </c>
      <c r="D91" s="121">
        <v>5286267824</v>
      </c>
    </row>
    <row r="92" spans="1:4" ht="15">
      <c r="A92" t="s">
        <v>1323</v>
      </c>
      <c r="B92" t="s">
        <v>2853</v>
      </c>
      <c r="C92" s="806">
        <v>1.17</v>
      </c>
      <c r="D92" s="121">
        <v>41268967</v>
      </c>
    </row>
    <row r="93" spans="1:4" ht="15">
      <c r="A93" t="s">
        <v>631</v>
      </c>
      <c r="B93" t="s">
        <v>1334</v>
      </c>
      <c r="C93" s="806">
        <v>1</v>
      </c>
      <c r="D93" s="121">
        <v>4898584003</v>
      </c>
    </row>
    <row r="94" spans="1:4" ht="15">
      <c r="A94" t="s">
        <v>994</v>
      </c>
      <c r="B94" t="s">
        <v>3032</v>
      </c>
      <c r="C94" s="806">
        <v>1.04</v>
      </c>
      <c r="D94" s="121">
        <v>3946604312</v>
      </c>
    </row>
    <row r="95" spans="1:4" ht="15">
      <c r="A95" t="s">
        <v>2918</v>
      </c>
      <c r="B95" t="s">
        <v>2854</v>
      </c>
      <c r="C95" s="806">
        <v>1.04</v>
      </c>
      <c r="D95" s="121">
        <v>62356963</v>
      </c>
    </row>
    <row r="96" spans="1:4" ht="15">
      <c r="A96" t="s">
        <v>440</v>
      </c>
      <c r="B96" t="s">
        <v>2855</v>
      </c>
      <c r="C96" s="806">
        <v>1.17</v>
      </c>
      <c r="D96" s="121">
        <v>318631926</v>
      </c>
    </row>
    <row r="97" spans="1:4" ht="15">
      <c r="A97" t="s">
        <v>441</v>
      </c>
      <c r="B97" t="s">
        <v>1786</v>
      </c>
      <c r="C97" s="806">
        <v>1.17</v>
      </c>
      <c r="D97" s="121">
        <v>52463150</v>
      </c>
    </row>
    <row r="98" spans="1:4" ht="15">
      <c r="A98" t="s">
        <v>442</v>
      </c>
      <c r="B98" t="s">
        <v>1787</v>
      </c>
      <c r="C98" s="806">
        <v>1.04</v>
      </c>
      <c r="D98" s="121">
        <v>6285013</v>
      </c>
    </row>
    <row r="99" spans="1:4" ht="15">
      <c r="A99" t="s">
        <v>443</v>
      </c>
      <c r="B99" t="s">
        <v>1788</v>
      </c>
      <c r="C99" s="806">
        <v>1.04</v>
      </c>
      <c r="D99" s="121">
        <v>49960366</v>
      </c>
    </row>
    <row r="100" spans="1:4" ht="15">
      <c r="A100" t="s">
        <v>745</v>
      </c>
      <c r="B100" t="s">
        <v>1789</v>
      </c>
      <c r="C100" s="806">
        <v>1.04</v>
      </c>
      <c r="D100" s="121">
        <v>914132169</v>
      </c>
    </row>
    <row r="101" spans="1:4" ht="15">
      <c r="A101" t="s">
        <v>746</v>
      </c>
      <c r="B101" t="s">
        <v>1790</v>
      </c>
      <c r="C101" s="806">
        <v>1.04</v>
      </c>
      <c r="D101" s="121">
        <v>212189743</v>
      </c>
    </row>
    <row r="102" spans="1:4" ht="15">
      <c r="A102" t="s">
        <v>747</v>
      </c>
      <c r="B102" t="s">
        <v>1791</v>
      </c>
      <c r="C102" s="806">
        <v>1.04</v>
      </c>
      <c r="D102" s="121">
        <v>978222708</v>
      </c>
    </row>
    <row r="103" spans="1:4" ht="15">
      <c r="A103" t="s">
        <v>988</v>
      </c>
      <c r="B103" t="s">
        <v>1519</v>
      </c>
      <c r="C103" s="806">
        <v>1.04</v>
      </c>
      <c r="D103" s="121">
        <v>33357878</v>
      </c>
    </row>
    <row r="104" spans="1:4" ht="15">
      <c r="A104" t="s">
        <v>2893</v>
      </c>
      <c r="B104" t="s">
        <v>2362</v>
      </c>
      <c r="C104" s="806">
        <v>1.04</v>
      </c>
      <c r="D104" s="121">
        <v>108928577</v>
      </c>
    </row>
    <row r="105" spans="1:4" ht="15">
      <c r="A105" t="s">
        <v>1354</v>
      </c>
      <c r="B105" t="s">
        <v>3074</v>
      </c>
      <c r="C105" s="806">
        <v>1.04</v>
      </c>
      <c r="D105" s="121">
        <v>29318640</v>
      </c>
    </row>
    <row r="106" spans="1:4" ht="15">
      <c r="A106" t="s">
        <v>810</v>
      </c>
      <c r="B106" t="s">
        <v>2770</v>
      </c>
      <c r="C106" s="806">
        <v>1.04</v>
      </c>
      <c r="D106" s="121">
        <v>41339883</v>
      </c>
    </row>
    <row r="107" spans="1:4" ht="15">
      <c r="A107" t="s">
        <v>872</v>
      </c>
      <c r="B107" t="s">
        <v>1214</v>
      </c>
      <c r="C107" s="806">
        <v>1.04</v>
      </c>
      <c r="D107" s="121">
        <v>200420889</v>
      </c>
    </row>
    <row r="108" spans="1:4" ht="15">
      <c r="A108" t="s">
        <v>748</v>
      </c>
      <c r="B108" t="s">
        <v>1792</v>
      </c>
      <c r="C108" s="806">
        <v>1.04</v>
      </c>
      <c r="D108" s="121">
        <v>613958980</v>
      </c>
    </row>
    <row r="109" spans="1:4" ht="15">
      <c r="A109" t="s">
        <v>749</v>
      </c>
      <c r="B109" t="s">
        <v>1793</v>
      </c>
      <c r="C109" s="806">
        <v>1.04</v>
      </c>
      <c r="D109" s="121">
        <v>187284883</v>
      </c>
    </row>
    <row r="110" spans="1:4" ht="15">
      <c r="A110" t="s">
        <v>750</v>
      </c>
      <c r="B110" t="s">
        <v>1794</v>
      </c>
      <c r="C110" s="806">
        <v>1.04</v>
      </c>
      <c r="D110" s="121">
        <v>143681554</v>
      </c>
    </row>
    <row r="111" spans="1:4" ht="15">
      <c r="A111" t="s">
        <v>2154</v>
      </c>
      <c r="B111" t="s">
        <v>154</v>
      </c>
      <c r="C111" s="806">
        <v>1.04</v>
      </c>
      <c r="D111" s="121">
        <v>1357894705</v>
      </c>
    </row>
    <row r="112" spans="1:4" ht="15">
      <c r="A112" t="s">
        <v>380</v>
      </c>
      <c r="B112" t="s">
        <v>322</v>
      </c>
      <c r="C112" s="806">
        <v>1.04</v>
      </c>
      <c r="D112" s="121">
        <v>2234831615</v>
      </c>
    </row>
    <row r="113" spans="1:4" ht="15">
      <c r="A113" t="s">
        <v>497</v>
      </c>
      <c r="B113" t="s">
        <v>2546</v>
      </c>
      <c r="C113" s="806">
        <v>1.04</v>
      </c>
      <c r="D113" s="121">
        <v>761543927</v>
      </c>
    </row>
    <row r="114" spans="1:4" ht="15">
      <c r="A114" t="s">
        <v>1318</v>
      </c>
      <c r="B114" t="s">
        <v>948</v>
      </c>
      <c r="C114" s="806">
        <v>1.0389999999999999</v>
      </c>
      <c r="D114" s="121">
        <v>283392555</v>
      </c>
    </row>
    <row r="115" spans="1:4" ht="15">
      <c r="A115" t="s">
        <v>2631</v>
      </c>
      <c r="B115" t="s">
        <v>1795</v>
      </c>
      <c r="C115" s="806">
        <v>0.94</v>
      </c>
      <c r="D115" s="121">
        <v>93076404</v>
      </c>
    </row>
    <row r="116" spans="1:4" ht="15">
      <c r="A116" t="s">
        <v>1535</v>
      </c>
      <c r="B116" t="s">
        <v>1177</v>
      </c>
      <c r="C116" s="806">
        <v>1.0266999999999999</v>
      </c>
      <c r="D116" s="121">
        <v>4008427761</v>
      </c>
    </row>
    <row r="117" spans="1:4" ht="15">
      <c r="A117" t="s">
        <v>2671</v>
      </c>
      <c r="B117" t="s">
        <v>1797</v>
      </c>
      <c r="C117" s="806">
        <v>0.91</v>
      </c>
      <c r="D117" s="121">
        <v>80765141</v>
      </c>
    </row>
    <row r="118" spans="1:4" ht="15">
      <c r="A118" t="s">
        <v>811</v>
      </c>
      <c r="B118" t="s">
        <v>38</v>
      </c>
      <c r="C118" s="806">
        <v>1.04</v>
      </c>
      <c r="D118" s="121">
        <v>305249807</v>
      </c>
    </row>
    <row r="119" spans="1:4" ht="15">
      <c r="A119" t="s">
        <v>171</v>
      </c>
      <c r="B119" t="s">
        <v>1798</v>
      </c>
      <c r="C119" s="806">
        <v>1.17</v>
      </c>
      <c r="D119" s="121">
        <v>89632172</v>
      </c>
    </row>
    <row r="120" spans="1:4" ht="15">
      <c r="A120" t="s">
        <v>2090</v>
      </c>
      <c r="B120" t="s">
        <v>1799</v>
      </c>
      <c r="C120" s="806">
        <v>1.17</v>
      </c>
      <c r="D120" s="121">
        <v>166451915</v>
      </c>
    </row>
    <row r="121" spans="1:4" ht="15">
      <c r="A121" t="s">
        <v>993</v>
      </c>
      <c r="B121" t="s">
        <v>3031</v>
      </c>
      <c r="C121" s="806">
        <v>1.0190999999999999</v>
      </c>
      <c r="D121" s="121">
        <v>4665566263</v>
      </c>
    </row>
    <row r="122" spans="1:4" ht="15">
      <c r="A122" t="s">
        <v>2126</v>
      </c>
      <c r="B122" t="s">
        <v>41</v>
      </c>
      <c r="C122" s="806">
        <v>1.04</v>
      </c>
      <c r="D122" s="121">
        <v>2838242010</v>
      </c>
    </row>
    <row r="123" spans="1:4" ht="15">
      <c r="A123" t="s">
        <v>64</v>
      </c>
      <c r="B123" t="s">
        <v>2148</v>
      </c>
      <c r="C123" s="806">
        <v>1.04</v>
      </c>
      <c r="D123" s="121">
        <v>312294033</v>
      </c>
    </row>
    <row r="124" spans="1:4" ht="15">
      <c r="A124" t="s">
        <v>2606</v>
      </c>
      <c r="B124" t="s">
        <v>43</v>
      </c>
      <c r="C124" s="806">
        <v>1.04</v>
      </c>
      <c r="D124" s="121">
        <v>1066565485</v>
      </c>
    </row>
    <row r="125" spans="1:4" ht="15">
      <c r="A125" t="s">
        <v>1892</v>
      </c>
      <c r="B125" t="s">
        <v>1800</v>
      </c>
      <c r="C125" s="806">
        <v>0.95720000000000005</v>
      </c>
      <c r="D125" s="121">
        <v>3092027239</v>
      </c>
    </row>
    <row r="126" spans="1:4" ht="15">
      <c r="A126" t="s">
        <v>812</v>
      </c>
      <c r="B126" t="s">
        <v>3093</v>
      </c>
      <c r="C126" s="806">
        <v>1.04</v>
      </c>
      <c r="D126" s="121">
        <v>183178036</v>
      </c>
    </row>
    <row r="127" spans="1:4" ht="15">
      <c r="A127" t="s">
        <v>1490</v>
      </c>
      <c r="B127" t="s">
        <v>46</v>
      </c>
      <c r="C127" s="806">
        <v>1.04</v>
      </c>
      <c r="D127" s="121">
        <v>721958873</v>
      </c>
    </row>
    <row r="128" spans="1:4" ht="15">
      <c r="A128" t="s">
        <v>813</v>
      </c>
      <c r="B128" t="s">
        <v>99</v>
      </c>
      <c r="C128" s="806">
        <v>1.04</v>
      </c>
      <c r="D128" s="121">
        <v>37398581</v>
      </c>
    </row>
    <row r="129" spans="1:4" ht="15">
      <c r="A129" t="s">
        <v>534</v>
      </c>
      <c r="B129" t="s">
        <v>100</v>
      </c>
      <c r="C129" s="806">
        <v>1.04</v>
      </c>
      <c r="D129" s="121">
        <v>60317948</v>
      </c>
    </row>
    <row r="130" spans="1:4" ht="15">
      <c r="A130" t="s">
        <v>1050</v>
      </c>
      <c r="B130" t="s">
        <v>1801</v>
      </c>
      <c r="C130" s="806">
        <v>1.04</v>
      </c>
      <c r="D130" s="121">
        <v>603914033</v>
      </c>
    </row>
    <row r="131" spans="1:4" ht="15">
      <c r="A131" t="s">
        <v>1051</v>
      </c>
      <c r="B131" t="s">
        <v>1802</v>
      </c>
      <c r="C131" s="806">
        <v>1.04</v>
      </c>
      <c r="D131" s="121">
        <v>65197100</v>
      </c>
    </row>
    <row r="132" spans="1:4" ht="15">
      <c r="A132" t="s">
        <v>879</v>
      </c>
      <c r="B132" t="s">
        <v>2484</v>
      </c>
      <c r="C132" s="806">
        <v>1.04</v>
      </c>
      <c r="D132" s="121">
        <v>375496903</v>
      </c>
    </row>
    <row r="133" spans="1:4" ht="15">
      <c r="A133" t="s">
        <v>2050</v>
      </c>
      <c r="B133" t="s">
        <v>2485</v>
      </c>
      <c r="C133" s="806">
        <v>1.04</v>
      </c>
      <c r="D133" s="121">
        <v>374024986</v>
      </c>
    </row>
    <row r="134" spans="1:4" ht="15">
      <c r="A134" t="s">
        <v>1941</v>
      </c>
      <c r="B134" t="s">
        <v>2486</v>
      </c>
      <c r="C134" s="806">
        <v>1.04</v>
      </c>
      <c r="D134" s="121">
        <v>379172062</v>
      </c>
    </row>
    <row r="135" spans="1:4" ht="15">
      <c r="A135" t="s">
        <v>1942</v>
      </c>
      <c r="B135" t="s">
        <v>2487</v>
      </c>
      <c r="C135" s="806">
        <v>1.04</v>
      </c>
      <c r="D135" s="121">
        <v>48137978</v>
      </c>
    </row>
    <row r="136" spans="1:4" ht="15">
      <c r="A136" t="s">
        <v>842</v>
      </c>
      <c r="B136" t="s">
        <v>2488</v>
      </c>
      <c r="C136" s="806">
        <v>1.1299999999999999</v>
      </c>
      <c r="D136" s="121">
        <v>337747797</v>
      </c>
    </row>
    <row r="137" spans="1:4" ht="15">
      <c r="A137" t="s">
        <v>843</v>
      </c>
      <c r="B137" t="s">
        <v>1178</v>
      </c>
      <c r="C137" s="806">
        <v>1.17</v>
      </c>
      <c r="D137" s="121">
        <v>177042949</v>
      </c>
    </row>
    <row r="138" spans="1:4" ht="15">
      <c r="A138" t="s">
        <v>2142</v>
      </c>
      <c r="B138" t="s">
        <v>929</v>
      </c>
      <c r="C138" s="806">
        <v>1.0401</v>
      </c>
      <c r="D138" s="121">
        <v>26863313</v>
      </c>
    </row>
    <row r="139" spans="1:4" ht="15">
      <c r="A139" t="s">
        <v>844</v>
      </c>
      <c r="B139" t="s">
        <v>1921</v>
      </c>
      <c r="C139" s="806">
        <v>1.04</v>
      </c>
      <c r="D139" s="121">
        <v>338487571</v>
      </c>
    </row>
    <row r="140" spans="1:4" ht="15">
      <c r="A140" t="s">
        <v>2226</v>
      </c>
      <c r="B140" t="s">
        <v>1923</v>
      </c>
      <c r="C140" s="806">
        <v>1.17</v>
      </c>
      <c r="D140" s="121">
        <v>30756931</v>
      </c>
    </row>
    <row r="141" spans="1:4" ht="15">
      <c r="A141" t="s">
        <v>2227</v>
      </c>
      <c r="B141" t="s">
        <v>1924</v>
      </c>
      <c r="C141" s="806">
        <v>1.04</v>
      </c>
      <c r="D141" s="121">
        <v>183679020</v>
      </c>
    </row>
    <row r="142" spans="1:4" ht="15">
      <c r="A142" t="s">
        <v>2788</v>
      </c>
      <c r="B142" t="s">
        <v>1925</v>
      </c>
      <c r="C142" s="806">
        <v>1.04</v>
      </c>
      <c r="D142" s="121">
        <v>57535050</v>
      </c>
    </row>
    <row r="143" spans="1:4" ht="15">
      <c r="A143" t="s">
        <v>2904</v>
      </c>
      <c r="B143" t="s">
        <v>425</v>
      </c>
      <c r="C143" s="806">
        <v>1.17</v>
      </c>
      <c r="D143" s="121">
        <v>25632408</v>
      </c>
    </row>
    <row r="144" spans="1:4" ht="15">
      <c r="A144" t="s">
        <v>1840</v>
      </c>
      <c r="B144" t="s">
        <v>1205</v>
      </c>
      <c r="C144" s="806">
        <v>1.04</v>
      </c>
      <c r="D144" s="121">
        <v>289331836</v>
      </c>
    </row>
    <row r="145" spans="1:4" ht="15">
      <c r="A145" t="s">
        <v>2789</v>
      </c>
      <c r="B145" t="s">
        <v>1926</v>
      </c>
      <c r="C145" s="806">
        <v>1.0601</v>
      </c>
      <c r="D145" s="121">
        <v>3002648603</v>
      </c>
    </row>
    <row r="146" spans="1:4" ht="15">
      <c r="A146" t="s">
        <v>316</v>
      </c>
      <c r="B146" t="s">
        <v>2716</v>
      </c>
      <c r="C146" s="806">
        <v>1.04</v>
      </c>
      <c r="D146" s="121">
        <v>252755490</v>
      </c>
    </row>
    <row r="147" spans="1:4" ht="15">
      <c r="A147" t="s">
        <v>1658</v>
      </c>
      <c r="B147" t="s">
        <v>1691</v>
      </c>
      <c r="C147" s="806">
        <v>1.04</v>
      </c>
      <c r="D147" s="121">
        <v>126294248</v>
      </c>
    </row>
    <row r="148" spans="1:4" ht="15">
      <c r="A148" t="s">
        <v>50</v>
      </c>
      <c r="B148" t="s">
        <v>445</v>
      </c>
      <c r="C148" s="806">
        <v>1.04</v>
      </c>
      <c r="D148" s="121">
        <v>839330771</v>
      </c>
    </row>
    <row r="149" spans="1:4" ht="15">
      <c r="A149" t="s">
        <v>1486</v>
      </c>
      <c r="B149" t="s">
        <v>669</v>
      </c>
      <c r="C149" s="806">
        <v>1.04</v>
      </c>
      <c r="D149" s="121">
        <v>322884658</v>
      </c>
    </row>
    <row r="150" spans="1:4" ht="15">
      <c r="A150" t="s">
        <v>2907</v>
      </c>
      <c r="B150" t="s">
        <v>1306</v>
      </c>
      <c r="C150" s="806">
        <v>1.04</v>
      </c>
      <c r="D150" s="121">
        <v>35830175</v>
      </c>
    </row>
    <row r="151" spans="1:4" ht="15">
      <c r="A151" t="s">
        <v>1659</v>
      </c>
      <c r="B151" t="s">
        <v>30</v>
      </c>
      <c r="C151" s="806">
        <v>1.04</v>
      </c>
      <c r="D151" s="121">
        <v>44241815</v>
      </c>
    </row>
    <row r="152" spans="1:4" ht="15">
      <c r="A152" t="s">
        <v>84</v>
      </c>
      <c r="B152" t="s">
        <v>2500</v>
      </c>
      <c r="C152" s="806">
        <v>1.04</v>
      </c>
      <c r="D152" s="121">
        <v>168331310</v>
      </c>
    </row>
    <row r="153" spans="1:4" ht="15">
      <c r="A153" t="s">
        <v>1270</v>
      </c>
      <c r="B153" t="s">
        <v>31</v>
      </c>
      <c r="C153" s="806">
        <v>1.17</v>
      </c>
      <c r="D153" s="121">
        <v>20587958</v>
      </c>
    </row>
    <row r="154" spans="1:4" ht="15">
      <c r="A154" t="s">
        <v>2482</v>
      </c>
      <c r="B154" t="s">
        <v>2193</v>
      </c>
      <c r="C154" s="806">
        <v>1.04</v>
      </c>
      <c r="D154" s="121">
        <v>298622522</v>
      </c>
    </row>
    <row r="155" spans="1:4" ht="15">
      <c r="A155" t="s">
        <v>814</v>
      </c>
      <c r="B155" t="s">
        <v>1124</v>
      </c>
      <c r="C155" s="806">
        <v>1.04</v>
      </c>
      <c r="D155" s="121">
        <v>79735528</v>
      </c>
    </row>
    <row r="156" spans="1:4" ht="15">
      <c r="A156" t="s">
        <v>2483</v>
      </c>
      <c r="B156" t="s">
        <v>2194</v>
      </c>
      <c r="C156" s="806">
        <v>1.04</v>
      </c>
      <c r="D156" s="121">
        <v>39144629</v>
      </c>
    </row>
    <row r="157" spans="1:4" ht="15">
      <c r="A157" t="s">
        <v>1883</v>
      </c>
      <c r="B157" t="s">
        <v>2195</v>
      </c>
      <c r="C157" s="806">
        <v>1.04</v>
      </c>
      <c r="D157" s="121">
        <v>70038739</v>
      </c>
    </row>
    <row r="158" spans="1:4" ht="15">
      <c r="A158" t="s">
        <v>1884</v>
      </c>
      <c r="B158" t="s">
        <v>2468</v>
      </c>
      <c r="C158" s="806">
        <v>1.04</v>
      </c>
      <c r="D158" s="121">
        <v>58738084</v>
      </c>
    </row>
    <row r="159" spans="1:4" ht="15">
      <c r="A159" t="s">
        <v>899</v>
      </c>
      <c r="B159" t="s">
        <v>1179</v>
      </c>
      <c r="C159" s="806">
        <v>1.04</v>
      </c>
      <c r="D159" s="121">
        <v>664796300</v>
      </c>
    </row>
    <row r="160" spans="1:4" ht="15">
      <c r="A160" t="s">
        <v>900</v>
      </c>
      <c r="B160" t="s">
        <v>2470</v>
      </c>
      <c r="C160" s="806">
        <v>1.04</v>
      </c>
      <c r="D160" s="121">
        <v>76914700</v>
      </c>
    </row>
    <row r="161" spans="1:4" ht="15">
      <c r="A161" t="s">
        <v>922</v>
      </c>
      <c r="B161" t="s">
        <v>2471</v>
      </c>
      <c r="C161" s="806">
        <v>1.04</v>
      </c>
      <c r="D161" s="121">
        <v>156381899</v>
      </c>
    </row>
    <row r="162" spans="1:4" ht="15">
      <c r="A162" t="s">
        <v>630</v>
      </c>
      <c r="B162" t="s">
        <v>1333</v>
      </c>
      <c r="C162" s="806">
        <v>1.04</v>
      </c>
      <c r="D162" s="121">
        <v>101461334</v>
      </c>
    </row>
    <row r="163" spans="1:4" ht="15">
      <c r="A163" t="s">
        <v>2712</v>
      </c>
      <c r="B163" t="s">
        <v>97</v>
      </c>
      <c r="C163" s="806">
        <v>1.04</v>
      </c>
      <c r="D163" s="121">
        <v>50864621</v>
      </c>
    </row>
    <row r="164" spans="1:4" ht="15">
      <c r="A164" t="s">
        <v>923</v>
      </c>
      <c r="B164" t="s">
        <v>1180</v>
      </c>
      <c r="C164" s="806">
        <v>1.04</v>
      </c>
      <c r="D164" s="121">
        <v>64744601</v>
      </c>
    </row>
    <row r="165" spans="1:4" ht="15">
      <c r="A165" t="s">
        <v>1954</v>
      </c>
      <c r="B165" t="s">
        <v>2473</v>
      </c>
      <c r="C165" s="806">
        <v>1.04</v>
      </c>
      <c r="D165" s="121">
        <v>38602063</v>
      </c>
    </row>
    <row r="166" spans="1:4" ht="15">
      <c r="A166" t="s">
        <v>638</v>
      </c>
      <c r="B166" t="s">
        <v>2234</v>
      </c>
      <c r="C166" s="806">
        <v>1.04</v>
      </c>
      <c r="D166" s="121">
        <v>6132400919</v>
      </c>
    </row>
    <row r="167" spans="1:4" ht="15">
      <c r="A167" t="s">
        <v>1841</v>
      </c>
      <c r="B167" t="s">
        <v>1206</v>
      </c>
      <c r="C167" s="806">
        <v>1.04</v>
      </c>
      <c r="D167" s="121">
        <v>483177652</v>
      </c>
    </row>
    <row r="168" spans="1:4" ht="15">
      <c r="A168" t="s">
        <v>2862</v>
      </c>
      <c r="B168" t="s">
        <v>733</v>
      </c>
      <c r="C168" s="806">
        <v>1.04</v>
      </c>
      <c r="D168" s="121">
        <v>574113307</v>
      </c>
    </row>
    <row r="169" spans="1:4" ht="15">
      <c r="A169" t="s">
        <v>1900</v>
      </c>
      <c r="B169" t="s">
        <v>129</v>
      </c>
      <c r="C169" s="806">
        <v>1.04</v>
      </c>
      <c r="D169" s="121">
        <v>300660670</v>
      </c>
    </row>
    <row r="170" spans="1:4" ht="15">
      <c r="A170" t="s">
        <v>1605</v>
      </c>
      <c r="B170" t="s">
        <v>1667</v>
      </c>
      <c r="C170" s="806">
        <v>1</v>
      </c>
      <c r="D170" s="121">
        <v>13838064635</v>
      </c>
    </row>
    <row r="171" spans="1:4" ht="15">
      <c r="A171" t="s">
        <v>2895</v>
      </c>
      <c r="B171" t="s">
        <v>928</v>
      </c>
      <c r="C171" s="806">
        <v>1.04</v>
      </c>
      <c r="D171" s="121">
        <v>8349721097</v>
      </c>
    </row>
    <row r="172" spans="1:4" ht="15">
      <c r="A172" t="s">
        <v>724</v>
      </c>
      <c r="B172" t="s">
        <v>2518</v>
      </c>
      <c r="C172" s="806">
        <v>1.04</v>
      </c>
      <c r="D172" s="121">
        <v>386539791</v>
      </c>
    </row>
    <row r="173" spans="1:4" ht="15">
      <c r="A173" t="s">
        <v>725</v>
      </c>
      <c r="B173" t="s">
        <v>2519</v>
      </c>
      <c r="C173" s="806">
        <v>1.04</v>
      </c>
      <c r="D173" s="121">
        <v>32145126921</v>
      </c>
    </row>
    <row r="174" spans="1:4" ht="15">
      <c r="A174" t="s">
        <v>246</v>
      </c>
      <c r="B174" t="s">
        <v>87</v>
      </c>
      <c r="C174" s="806">
        <v>1.04</v>
      </c>
      <c r="D174" s="121">
        <v>473273525</v>
      </c>
    </row>
    <row r="175" spans="1:4" ht="15">
      <c r="A175" t="s">
        <v>1780</v>
      </c>
      <c r="B175" t="s">
        <v>89</v>
      </c>
      <c r="C175" s="806">
        <v>1.17</v>
      </c>
      <c r="D175" s="121">
        <v>1360309165</v>
      </c>
    </row>
    <row r="176" spans="1:4" ht="15">
      <c r="A176" t="s">
        <v>1351</v>
      </c>
      <c r="B176" t="s">
        <v>1293</v>
      </c>
      <c r="C176" s="806">
        <v>1.17</v>
      </c>
      <c r="D176" s="121">
        <v>2794355919</v>
      </c>
    </row>
    <row r="177" spans="1:4" ht="15">
      <c r="A177" t="s">
        <v>990</v>
      </c>
      <c r="B177" t="s">
        <v>1521</v>
      </c>
      <c r="C177" s="806">
        <v>1.17</v>
      </c>
      <c r="D177" s="121">
        <v>116619474</v>
      </c>
    </row>
    <row r="178" spans="1:4" ht="15">
      <c r="A178" t="s">
        <v>1619</v>
      </c>
      <c r="B178" t="s">
        <v>1744</v>
      </c>
      <c r="C178" s="806">
        <v>1.04</v>
      </c>
      <c r="D178" s="121">
        <v>409340030</v>
      </c>
    </row>
    <row r="179" spans="1:4" ht="15">
      <c r="A179" t="s">
        <v>281</v>
      </c>
      <c r="B179" t="s">
        <v>2520</v>
      </c>
      <c r="C179" s="806">
        <v>1.04</v>
      </c>
      <c r="D179" s="121">
        <v>1319661918</v>
      </c>
    </row>
    <row r="180" spans="1:4" ht="15">
      <c r="A180" t="s">
        <v>282</v>
      </c>
      <c r="B180" t="s">
        <v>2521</v>
      </c>
      <c r="C180" s="806">
        <v>1.02</v>
      </c>
      <c r="D180" s="121">
        <v>79695410</v>
      </c>
    </row>
    <row r="181" spans="1:4" ht="15">
      <c r="A181" t="s">
        <v>642</v>
      </c>
      <c r="B181" t="s">
        <v>2522</v>
      </c>
      <c r="C181" s="806">
        <v>1.04</v>
      </c>
      <c r="D181" s="121">
        <v>36436407</v>
      </c>
    </row>
    <row r="182" spans="1:4" ht="15">
      <c r="A182" t="s">
        <v>1617</v>
      </c>
      <c r="B182" t="s">
        <v>1742</v>
      </c>
      <c r="C182" s="806">
        <v>1.02</v>
      </c>
      <c r="D182" s="121">
        <v>629550902</v>
      </c>
    </row>
    <row r="183" spans="1:4" ht="15">
      <c r="A183" t="s">
        <v>643</v>
      </c>
      <c r="B183" t="s">
        <v>1181</v>
      </c>
      <c r="C183" s="806">
        <v>1.04</v>
      </c>
      <c r="D183" s="121">
        <v>603976342</v>
      </c>
    </row>
    <row r="184" spans="1:4" ht="15">
      <c r="A184" t="s">
        <v>34</v>
      </c>
      <c r="B184" t="s">
        <v>2524</v>
      </c>
      <c r="C184" s="806">
        <v>1.04</v>
      </c>
      <c r="D184" s="121">
        <v>233044246</v>
      </c>
    </row>
    <row r="185" spans="1:4" ht="15">
      <c r="A185" t="s">
        <v>35</v>
      </c>
      <c r="B185" t="s">
        <v>2525</v>
      </c>
      <c r="C185" s="806">
        <v>1.0133000000000001</v>
      </c>
      <c r="D185" s="121">
        <v>2478933089</v>
      </c>
    </row>
    <row r="186" spans="1:4" ht="15">
      <c r="A186" t="s">
        <v>1437</v>
      </c>
      <c r="B186" t="s">
        <v>2526</v>
      </c>
      <c r="C186" s="806">
        <v>1.04</v>
      </c>
      <c r="D186" s="121">
        <v>8314388556</v>
      </c>
    </row>
    <row r="187" spans="1:4" ht="15">
      <c r="A187" t="s">
        <v>2644</v>
      </c>
      <c r="B187" t="s">
        <v>2527</v>
      </c>
      <c r="C187" s="806">
        <v>0.9</v>
      </c>
      <c r="D187" s="121">
        <v>245302346</v>
      </c>
    </row>
    <row r="188" spans="1:4" ht="15">
      <c r="A188" t="s">
        <v>2763</v>
      </c>
      <c r="B188" t="s">
        <v>3062</v>
      </c>
      <c r="C188" s="806">
        <v>0.96299999999999997</v>
      </c>
      <c r="D188" s="121">
        <v>139707697</v>
      </c>
    </row>
    <row r="189" spans="1:4" ht="15">
      <c r="A189" t="s">
        <v>2672</v>
      </c>
      <c r="B189" t="s">
        <v>1949</v>
      </c>
      <c r="C189" s="806">
        <v>1.04</v>
      </c>
      <c r="D189" s="121">
        <v>38919427</v>
      </c>
    </row>
    <row r="190" spans="1:4" ht="15">
      <c r="A190" t="s">
        <v>2645</v>
      </c>
      <c r="B190" t="s">
        <v>2528</v>
      </c>
      <c r="C190" s="806">
        <v>1.04</v>
      </c>
      <c r="D190" s="121">
        <v>18596848</v>
      </c>
    </row>
    <row r="191" spans="1:4" ht="15">
      <c r="A191" t="s">
        <v>2646</v>
      </c>
      <c r="B191" t="s">
        <v>1182</v>
      </c>
      <c r="C191" s="806">
        <v>1.04</v>
      </c>
      <c r="D191" s="121">
        <v>140196864</v>
      </c>
    </row>
    <row r="192" spans="1:4" ht="15">
      <c r="A192" t="s">
        <v>331</v>
      </c>
      <c r="B192" t="s">
        <v>2530</v>
      </c>
      <c r="C192" s="806">
        <v>1.04</v>
      </c>
      <c r="D192" s="121">
        <v>61393889</v>
      </c>
    </row>
    <row r="193" spans="1:4" ht="15">
      <c r="A193" t="s">
        <v>1607</v>
      </c>
      <c r="B193" t="s">
        <v>1669</v>
      </c>
      <c r="C193" s="806">
        <v>1.04</v>
      </c>
      <c r="D193" s="121">
        <v>781580042</v>
      </c>
    </row>
    <row r="194" spans="1:4" ht="15">
      <c r="A194" t="s">
        <v>332</v>
      </c>
      <c r="B194" t="s">
        <v>2531</v>
      </c>
      <c r="C194" s="806">
        <v>1.04</v>
      </c>
      <c r="D194" s="121">
        <v>233055630</v>
      </c>
    </row>
    <row r="195" spans="1:4" ht="15">
      <c r="A195" t="s">
        <v>2863</v>
      </c>
      <c r="B195" t="s">
        <v>2705</v>
      </c>
      <c r="C195" s="806">
        <v>1.04</v>
      </c>
      <c r="D195" s="121">
        <v>159509894</v>
      </c>
    </row>
    <row r="196" spans="1:4" ht="15">
      <c r="A196" t="s">
        <v>333</v>
      </c>
      <c r="B196" t="s">
        <v>2532</v>
      </c>
      <c r="C196" s="806">
        <v>1.04</v>
      </c>
      <c r="D196" s="121">
        <v>495725170</v>
      </c>
    </row>
    <row r="197" spans="1:4" ht="15">
      <c r="A197" t="s">
        <v>334</v>
      </c>
      <c r="B197" t="s">
        <v>2533</v>
      </c>
      <c r="C197" s="806">
        <v>1.04</v>
      </c>
      <c r="D197" s="121">
        <v>87501438</v>
      </c>
    </row>
    <row r="198" spans="1:4" ht="15">
      <c r="A198" t="s">
        <v>335</v>
      </c>
      <c r="B198" t="s">
        <v>2534</v>
      </c>
      <c r="C198" s="806">
        <v>1.04</v>
      </c>
      <c r="D198" s="121">
        <v>167338060</v>
      </c>
    </row>
    <row r="199" spans="1:4" ht="15">
      <c r="A199" t="s">
        <v>1962</v>
      </c>
      <c r="B199" t="s">
        <v>2535</v>
      </c>
      <c r="C199" s="806">
        <v>1.04</v>
      </c>
      <c r="D199" s="121">
        <v>19799519</v>
      </c>
    </row>
    <row r="200" spans="1:4" ht="15">
      <c r="A200" t="s">
        <v>1963</v>
      </c>
      <c r="B200" t="s">
        <v>2536</v>
      </c>
      <c r="C200" s="806">
        <v>0.96240000000000003</v>
      </c>
      <c r="D200" s="121">
        <v>93764539</v>
      </c>
    </row>
    <row r="201" spans="1:4" ht="15">
      <c r="A201" t="s">
        <v>1492</v>
      </c>
      <c r="B201" t="s">
        <v>2537</v>
      </c>
      <c r="C201" s="806">
        <v>1.04</v>
      </c>
      <c r="D201" s="121">
        <v>69820397</v>
      </c>
    </row>
    <row r="202" spans="1:4" ht="15">
      <c r="A202" t="s">
        <v>1267</v>
      </c>
      <c r="B202" t="s">
        <v>2538</v>
      </c>
      <c r="C202" s="806">
        <v>1.04</v>
      </c>
      <c r="D202" s="121">
        <v>515905016</v>
      </c>
    </row>
    <row r="203" spans="1:4" ht="15">
      <c r="A203" t="s">
        <v>2462</v>
      </c>
      <c r="B203" t="s">
        <v>290</v>
      </c>
      <c r="C203" s="806">
        <v>1.04</v>
      </c>
      <c r="D203" s="121">
        <v>31998514</v>
      </c>
    </row>
    <row r="204" spans="1:4" ht="15">
      <c r="A204" t="s">
        <v>1268</v>
      </c>
      <c r="B204" t="s">
        <v>2539</v>
      </c>
      <c r="C204" s="806">
        <v>1.04</v>
      </c>
      <c r="D204" s="121">
        <v>49769411</v>
      </c>
    </row>
    <row r="205" spans="1:4" ht="15">
      <c r="A205" t="s">
        <v>2752</v>
      </c>
      <c r="B205" t="s">
        <v>2951</v>
      </c>
      <c r="C205" s="806">
        <v>1.04</v>
      </c>
      <c r="D205" s="121">
        <v>1082346607</v>
      </c>
    </row>
    <row r="206" spans="1:4" ht="15">
      <c r="A206" t="s">
        <v>1269</v>
      </c>
      <c r="B206" t="s">
        <v>2540</v>
      </c>
      <c r="C206" s="806">
        <v>1.04</v>
      </c>
      <c r="D206" s="121">
        <v>123236495</v>
      </c>
    </row>
    <row r="207" spans="1:4" ht="15">
      <c r="A207" t="s">
        <v>779</v>
      </c>
      <c r="B207" t="s">
        <v>2541</v>
      </c>
      <c r="C207" s="806">
        <v>1.04</v>
      </c>
      <c r="D207" s="121">
        <v>1836907950</v>
      </c>
    </row>
    <row r="208" spans="1:4" ht="15">
      <c r="A208" t="s">
        <v>780</v>
      </c>
      <c r="B208" t="s">
        <v>1183</v>
      </c>
      <c r="C208" s="806">
        <v>1.04</v>
      </c>
      <c r="D208" s="121">
        <v>1997215290</v>
      </c>
    </row>
    <row r="209" spans="1:4" ht="15">
      <c r="A209" t="s">
        <v>781</v>
      </c>
      <c r="B209" t="s">
        <v>1184</v>
      </c>
      <c r="C209" s="806">
        <v>1.04</v>
      </c>
      <c r="D209" s="121">
        <v>61576723</v>
      </c>
    </row>
    <row r="210" spans="1:4" ht="15">
      <c r="A210" t="s">
        <v>782</v>
      </c>
      <c r="B210" t="s">
        <v>739</v>
      </c>
      <c r="C210" s="806">
        <v>1.0106999999999999</v>
      </c>
      <c r="D210" s="121">
        <v>90719550</v>
      </c>
    </row>
    <row r="211" spans="1:4" ht="15">
      <c r="A211" t="s">
        <v>428</v>
      </c>
      <c r="B211" t="s">
        <v>740</v>
      </c>
      <c r="C211" s="806">
        <v>1.04</v>
      </c>
      <c r="D211" s="121">
        <v>85802067</v>
      </c>
    </row>
    <row r="212" spans="1:4" ht="15">
      <c r="A212" t="s">
        <v>2928</v>
      </c>
      <c r="B212" t="s">
        <v>143</v>
      </c>
      <c r="C212" s="806">
        <v>1.04</v>
      </c>
      <c r="D212" s="121">
        <v>286144290</v>
      </c>
    </row>
    <row r="213" spans="1:4" ht="15">
      <c r="A213" t="s">
        <v>2929</v>
      </c>
      <c r="B213" t="s">
        <v>144</v>
      </c>
      <c r="C213" s="806">
        <v>1.04</v>
      </c>
      <c r="D213" s="121">
        <v>487824860</v>
      </c>
    </row>
    <row r="214" spans="1:4" ht="15">
      <c r="A214" t="s">
        <v>2930</v>
      </c>
      <c r="B214" t="s">
        <v>145</v>
      </c>
      <c r="C214" s="806">
        <v>1.17</v>
      </c>
      <c r="D214" s="121">
        <v>81227860</v>
      </c>
    </row>
    <row r="215" spans="1:4" ht="15">
      <c r="A215" t="s">
        <v>1843</v>
      </c>
      <c r="B215" t="s">
        <v>146</v>
      </c>
      <c r="C215" s="806">
        <v>1.04</v>
      </c>
      <c r="D215" s="121">
        <v>13935492841</v>
      </c>
    </row>
    <row r="216" spans="1:4" ht="15">
      <c r="A216" t="s">
        <v>421</v>
      </c>
      <c r="B216" t="s">
        <v>147</v>
      </c>
      <c r="C216" s="806">
        <v>1.04</v>
      </c>
      <c r="D216" s="121">
        <v>2847610979</v>
      </c>
    </row>
    <row r="217" spans="1:4" ht="15">
      <c r="A217" t="s">
        <v>422</v>
      </c>
      <c r="B217" t="s">
        <v>148</v>
      </c>
      <c r="C217" s="806">
        <v>1.04</v>
      </c>
      <c r="D217" s="121">
        <v>77450120650</v>
      </c>
    </row>
    <row r="218" spans="1:4" ht="15">
      <c r="A218" t="s">
        <v>423</v>
      </c>
      <c r="B218" t="s">
        <v>149</v>
      </c>
      <c r="C218" s="806">
        <v>1.04</v>
      </c>
      <c r="D218" s="121">
        <v>2357468357</v>
      </c>
    </row>
    <row r="219" spans="1:4" ht="15">
      <c r="A219" t="s">
        <v>424</v>
      </c>
      <c r="B219" t="s">
        <v>150</v>
      </c>
      <c r="C219" s="806">
        <v>1.04</v>
      </c>
      <c r="D219" s="121">
        <v>3495429274</v>
      </c>
    </row>
    <row r="220" spans="1:4" ht="15">
      <c r="A220" t="s">
        <v>2973</v>
      </c>
      <c r="B220" t="s">
        <v>1672</v>
      </c>
      <c r="C220" s="806">
        <v>1.04</v>
      </c>
      <c r="D220" s="121">
        <v>13645081708</v>
      </c>
    </row>
    <row r="221" spans="1:4" ht="15">
      <c r="A221" t="s">
        <v>741</v>
      </c>
      <c r="B221" t="s">
        <v>975</v>
      </c>
      <c r="C221" s="806">
        <v>1.04</v>
      </c>
      <c r="D221" s="121">
        <v>4531963502</v>
      </c>
    </row>
    <row r="222" spans="1:4" ht="15">
      <c r="A222" t="s">
        <v>579</v>
      </c>
      <c r="B222" t="s">
        <v>151</v>
      </c>
      <c r="C222" s="806">
        <v>0.995</v>
      </c>
      <c r="D222" s="121">
        <v>11353503104</v>
      </c>
    </row>
    <row r="223" spans="1:4" ht="15">
      <c r="A223" t="s">
        <v>48</v>
      </c>
      <c r="B223" t="s">
        <v>1441</v>
      </c>
      <c r="C223" s="806">
        <v>1.02</v>
      </c>
      <c r="D223" s="121">
        <v>9315564755</v>
      </c>
    </row>
    <row r="224" spans="1:4" ht="15">
      <c r="A224" t="s">
        <v>2028</v>
      </c>
      <c r="B224" t="s">
        <v>152</v>
      </c>
      <c r="C224" s="806">
        <v>1.0347</v>
      </c>
      <c r="D224" s="121">
        <v>1661997964</v>
      </c>
    </row>
    <row r="225" spans="1:4" ht="15">
      <c r="A225" t="s">
        <v>2898</v>
      </c>
      <c r="B225" t="s">
        <v>2554</v>
      </c>
      <c r="C225" s="806">
        <v>1.04</v>
      </c>
      <c r="D225" s="121">
        <v>6593029177</v>
      </c>
    </row>
    <row r="226" spans="1:4" ht="15">
      <c r="A226" t="s">
        <v>2029</v>
      </c>
      <c r="B226" t="s">
        <v>3006</v>
      </c>
      <c r="C226" s="806">
        <v>1.04</v>
      </c>
      <c r="D226" s="121">
        <v>17237801052</v>
      </c>
    </row>
    <row r="227" spans="1:4" ht="15">
      <c r="A227" t="s">
        <v>3087</v>
      </c>
      <c r="B227" t="s">
        <v>3007</v>
      </c>
      <c r="C227" s="806">
        <v>1.024</v>
      </c>
      <c r="D227" s="121">
        <v>562134345</v>
      </c>
    </row>
    <row r="228" spans="1:4" ht="15">
      <c r="A228" t="s">
        <v>277</v>
      </c>
      <c r="B228" t="s">
        <v>3008</v>
      </c>
      <c r="C228" s="806">
        <v>1.04</v>
      </c>
      <c r="D228" s="121">
        <v>7130941583</v>
      </c>
    </row>
    <row r="229" spans="1:4" ht="15">
      <c r="A229" t="s">
        <v>278</v>
      </c>
      <c r="B229" t="s">
        <v>3060</v>
      </c>
      <c r="C229" s="806">
        <v>1.04</v>
      </c>
      <c r="D229" s="121">
        <v>211472257</v>
      </c>
    </row>
    <row r="230" spans="1:4" ht="15">
      <c r="A230" t="s">
        <v>279</v>
      </c>
      <c r="B230" t="s">
        <v>3009</v>
      </c>
      <c r="C230" s="806">
        <v>1.04</v>
      </c>
      <c r="D230" s="121">
        <v>338929823</v>
      </c>
    </row>
    <row r="231" spans="1:4" ht="15">
      <c r="A231" t="s">
        <v>280</v>
      </c>
      <c r="B231" t="s">
        <v>3010</v>
      </c>
      <c r="C231" s="806">
        <v>1.17</v>
      </c>
      <c r="D231" s="121">
        <v>359488835</v>
      </c>
    </row>
    <row r="232" spans="1:4" ht="15">
      <c r="A232" t="s">
        <v>408</v>
      </c>
      <c r="B232" t="s">
        <v>3011</v>
      </c>
      <c r="C232" s="806">
        <v>1.04</v>
      </c>
      <c r="D232" s="121">
        <v>168482128</v>
      </c>
    </row>
    <row r="233" spans="1:4" ht="15">
      <c r="A233" t="s">
        <v>2130</v>
      </c>
      <c r="B233" t="s">
        <v>2723</v>
      </c>
      <c r="C233" s="806">
        <v>1.04</v>
      </c>
      <c r="D233" s="121">
        <v>730880701</v>
      </c>
    </row>
    <row r="234" spans="1:4" ht="15">
      <c r="A234" t="s">
        <v>1220</v>
      </c>
      <c r="B234" t="s">
        <v>3012</v>
      </c>
      <c r="C234" s="806">
        <v>0.72499999999999998</v>
      </c>
      <c r="D234" s="121">
        <v>31088639</v>
      </c>
    </row>
    <row r="235" spans="1:4" ht="15">
      <c r="A235" t="s">
        <v>1221</v>
      </c>
      <c r="B235" t="s">
        <v>3013</v>
      </c>
      <c r="C235" s="806">
        <v>1.17</v>
      </c>
      <c r="D235" s="121">
        <v>142319614</v>
      </c>
    </row>
    <row r="236" spans="1:4" ht="15">
      <c r="A236" t="s">
        <v>711</v>
      </c>
      <c r="B236" t="s">
        <v>128</v>
      </c>
      <c r="C236" s="806">
        <v>1.04</v>
      </c>
      <c r="D236" s="121">
        <v>45510997</v>
      </c>
    </row>
    <row r="237" spans="1:4" ht="15">
      <c r="A237" t="s">
        <v>1222</v>
      </c>
      <c r="B237" t="s">
        <v>3014</v>
      </c>
      <c r="C237" s="806">
        <v>1.04</v>
      </c>
      <c r="D237" s="121">
        <v>8743771000</v>
      </c>
    </row>
    <row r="238" spans="1:4" ht="15">
      <c r="A238" t="s">
        <v>1989</v>
      </c>
      <c r="B238" t="s">
        <v>2825</v>
      </c>
      <c r="C238" s="806">
        <v>1.04</v>
      </c>
      <c r="D238" s="121">
        <v>21575056616</v>
      </c>
    </row>
    <row r="239" spans="1:4" ht="15">
      <c r="A239" t="s">
        <v>240</v>
      </c>
      <c r="B239" t="s">
        <v>1127</v>
      </c>
      <c r="C239" s="806">
        <v>1.17</v>
      </c>
      <c r="D239" s="121">
        <v>470829209</v>
      </c>
    </row>
    <row r="240" spans="1:4" ht="15">
      <c r="A240" t="s">
        <v>815</v>
      </c>
      <c r="B240" t="s">
        <v>1905</v>
      </c>
      <c r="C240" s="806">
        <v>1.04</v>
      </c>
      <c r="D240" s="121">
        <v>718210686</v>
      </c>
    </row>
    <row r="241" spans="1:4" ht="15">
      <c r="A241" t="s">
        <v>242</v>
      </c>
      <c r="B241" t="s">
        <v>1129</v>
      </c>
      <c r="C241" s="806">
        <v>1.04</v>
      </c>
      <c r="D241" s="121">
        <v>819884828</v>
      </c>
    </row>
    <row r="242" spans="1:4" ht="15">
      <c r="A242" t="s">
        <v>1893</v>
      </c>
      <c r="B242" t="s">
        <v>2426</v>
      </c>
      <c r="C242" s="806">
        <v>1.04</v>
      </c>
      <c r="D242" s="121">
        <v>498515820</v>
      </c>
    </row>
    <row r="243" spans="1:4" ht="15">
      <c r="A243" t="s">
        <v>532</v>
      </c>
      <c r="B243" t="s">
        <v>2353</v>
      </c>
      <c r="C243" s="806">
        <v>1.04</v>
      </c>
      <c r="D243" s="121">
        <v>656001419</v>
      </c>
    </row>
    <row r="244" spans="1:4" ht="15">
      <c r="A244" t="s">
        <v>2099</v>
      </c>
      <c r="B244" t="s">
        <v>3015</v>
      </c>
      <c r="C244" s="806">
        <v>1.04</v>
      </c>
      <c r="D244" s="121">
        <v>878984723</v>
      </c>
    </row>
    <row r="245" spans="1:4" ht="15">
      <c r="A245" t="s">
        <v>1590</v>
      </c>
      <c r="B245" t="s">
        <v>1425</v>
      </c>
      <c r="C245" s="806">
        <v>1</v>
      </c>
      <c r="D245" s="121">
        <v>8316129498</v>
      </c>
    </row>
    <row r="246" spans="1:4" ht="15">
      <c r="A246" t="s">
        <v>68</v>
      </c>
      <c r="B246" t="s">
        <v>2623</v>
      </c>
      <c r="C246" s="806">
        <v>1.17</v>
      </c>
      <c r="D246" s="121">
        <v>1197135531</v>
      </c>
    </row>
    <row r="247" spans="1:4" ht="15">
      <c r="A247" t="s">
        <v>712</v>
      </c>
      <c r="B247" t="s">
        <v>1764</v>
      </c>
      <c r="C247" s="806">
        <v>1.04</v>
      </c>
      <c r="D247" s="121">
        <v>1439673984</v>
      </c>
    </row>
    <row r="248" spans="1:4" ht="15">
      <c r="A248" t="s">
        <v>2864</v>
      </c>
      <c r="B248" t="s">
        <v>461</v>
      </c>
      <c r="C248" s="806">
        <v>1.1324000000000001</v>
      </c>
      <c r="D248" s="121">
        <v>375916586</v>
      </c>
    </row>
    <row r="249" spans="1:4" ht="15">
      <c r="A249" t="s">
        <v>2100</v>
      </c>
      <c r="B249" t="s">
        <v>3016</v>
      </c>
      <c r="C249" s="806">
        <v>1.1558999999999999</v>
      </c>
      <c r="D249" s="121">
        <v>70874001</v>
      </c>
    </row>
    <row r="250" spans="1:4" ht="15">
      <c r="A250" t="s">
        <v>1352</v>
      </c>
      <c r="B250" t="s">
        <v>2511</v>
      </c>
      <c r="C250" s="806">
        <v>1.04</v>
      </c>
      <c r="D250" s="121">
        <v>332258250</v>
      </c>
    </row>
    <row r="251" spans="1:4" ht="15">
      <c r="A251" t="s">
        <v>2101</v>
      </c>
      <c r="B251" t="s">
        <v>3017</v>
      </c>
      <c r="C251" s="806">
        <v>1.04</v>
      </c>
      <c r="D251" s="121">
        <v>117954507</v>
      </c>
    </row>
    <row r="252" spans="1:4" ht="15">
      <c r="A252" t="s">
        <v>796</v>
      </c>
      <c r="B252" t="s">
        <v>3018</v>
      </c>
      <c r="C252" s="806">
        <v>1.04</v>
      </c>
      <c r="D252" s="121">
        <v>20158562</v>
      </c>
    </row>
    <row r="253" spans="1:4" ht="15">
      <c r="A253" t="s">
        <v>330</v>
      </c>
      <c r="B253" t="s">
        <v>3019</v>
      </c>
      <c r="C253" s="806">
        <v>1.04</v>
      </c>
      <c r="D253" s="121">
        <v>71325270</v>
      </c>
    </row>
    <row r="254" spans="1:4" ht="15">
      <c r="A254" t="s">
        <v>203</v>
      </c>
      <c r="B254" t="s">
        <v>3020</v>
      </c>
      <c r="C254" s="806">
        <v>1.04</v>
      </c>
      <c r="D254" s="121">
        <v>239386322</v>
      </c>
    </row>
    <row r="255" spans="1:4" ht="15">
      <c r="A255" t="s">
        <v>204</v>
      </c>
      <c r="B255" t="s">
        <v>3021</v>
      </c>
      <c r="C255" s="806">
        <v>1.04</v>
      </c>
      <c r="D255" s="121">
        <v>22497998</v>
      </c>
    </row>
    <row r="256" spans="1:4" ht="15">
      <c r="A256" t="s">
        <v>816</v>
      </c>
      <c r="B256" t="s">
        <v>37</v>
      </c>
      <c r="C256" s="806">
        <v>1.17</v>
      </c>
      <c r="D256" s="121">
        <v>451189803</v>
      </c>
    </row>
    <row r="257" spans="1:4" ht="15">
      <c r="A257" t="s">
        <v>3025</v>
      </c>
      <c r="B257" t="s">
        <v>2235</v>
      </c>
      <c r="C257" s="806">
        <v>1.04</v>
      </c>
      <c r="D257" s="121">
        <v>113243436</v>
      </c>
    </row>
    <row r="258" spans="1:4" ht="15">
      <c r="A258" t="s">
        <v>1753</v>
      </c>
      <c r="B258" t="s">
        <v>2721</v>
      </c>
      <c r="C258" s="806">
        <v>1.04</v>
      </c>
      <c r="D258" s="121">
        <v>36026956</v>
      </c>
    </row>
    <row r="259" spans="1:4" ht="15">
      <c r="A259" t="s">
        <v>3026</v>
      </c>
      <c r="B259" t="s">
        <v>2236</v>
      </c>
      <c r="C259" s="806">
        <v>1.04</v>
      </c>
      <c r="D259" s="121">
        <v>25898038</v>
      </c>
    </row>
    <row r="260" spans="1:4" ht="15">
      <c r="A260" t="s">
        <v>3027</v>
      </c>
      <c r="B260" t="s">
        <v>2237</v>
      </c>
      <c r="C260" s="806">
        <v>1.04</v>
      </c>
      <c r="D260" s="121">
        <v>296533489</v>
      </c>
    </row>
    <row r="261" spans="1:4" ht="15">
      <c r="A261" t="s">
        <v>817</v>
      </c>
      <c r="B261" t="s">
        <v>2310</v>
      </c>
      <c r="C261" s="806">
        <v>1.04</v>
      </c>
      <c r="D261" s="121">
        <v>122210962</v>
      </c>
    </row>
    <row r="262" spans="1:4" ht="15">
      <c r="A262" t="s">
        <v>776</v>
      </c>
      <c r="B262" t="s">
        <v>2238</v>
      </c>
      <c r="C262" s="806">
        <v>1.04</v>
      </c>
      <c r="D262" s="121">
        <v>337812510</v>
      </c>
    </row>
    <row r="263" spans="1:4" ht="15">
      <c r="A263" t="s">
        <v>2463</v>
      </c>
      <c r="B263" t="s">
        <v>2465</v>
      </c>
      <c r="C263" s="806">
        <v>1.0337000000000001</v>
      </c>
      <c r="D263" s="121">
        <v>385252830</v>
      </c>
    </row>
    <row r="264" spans="1:4" ht="15">
      <c r="A264" t="s">
        <v>2620</v>
      </c>
      <c r="B264" t="s">
        <v>2239</v>
      </c>
      <c r="C264" s="806">
        <v>1.0367</v>
      </c>
      <c r="D264" s="121">
        <v>303655327</v>
      </c>
    </row>
    <row r="265" spans="1:4" ht="15">
      <c r="A265" t="s">
        <v>2007</v>
      </c>
      <c r="B265" t="s">
        <v>2240</v>
      </c>
      <c r="C265" s="806">
        <v>1.04</v>
      </c>
      <c r="D265" s="121">
        <v>48571470</v>
      </c>
    </row>
    <row r="266" spans="1:4" ht="15">
      <c r="A266" t="s">
        <v>672</v>
      </c>
      <c r="B266" t="s">
        <v>2241</v>
      </c>
      <c r="C266" s="806">
        <v>1.04</v>
      </c>
      <c r="D266" s="121">
        <v>76107365</v>
      </c>
    </row>
    <row r="267" spans="1:4" ht="15">
      <c r="A267" t="s">
        <v>1034</v>
      </c>
      <c r="B267" t="s">
        <v>2242</v>
      </c>
      <c r="C267" s="806">
        <v>1.17</v>
      </c>
      <c r="D267" s="121">
        <v>32190330</v>
      </c>
    </row>
    <row r="268" spans="1:4" ht="15">
      <c r="A268" t="s">
        <v>2442</v>
      </c>
      <c r="B268" t="s">
        <v>2243</v>
      </c>
      <c r="C268" s="806">
        <v>1.04</v>
      </c>
      <c r="D268" s="121">
        <v>7838453735</v>
      </c>
    </row>
    <row r="269" spans="1:4" ht="15">
      <c r="A269" t="s">
        <v>2976</v>
      </c>
      <c r="B269" t="s">
        <v>2244</v>
      </c>
      <c r="C269" s="806">
        <v>1.04</v>
      </c>
      <c r="D269" s="121">
        <v>294858094</v>
      </c>
    </row>
    <row r="270" spans="1:4" ht="15">
      <c r="A270" t="s">
        <v>2745</v>
      </c>
      <c r="B270" t="s">
        <v>2245</v>
      </c>
      <c r="C270" s="806">
        <v>1.04</v>
      </c>
      <c r="D270" s="121">
        <v>153268182</v>
      </c>
    </row>
    <row r="271" spans="1:4" ht="15">
      <c r="A271" t="s">
        <v>274</v>
      </c>
      <c r="B271" t="s">
        <v>2427</v>
      </c>
      <c r="C271" s="806">
        <v>1.17</v>
      </c>
      <c r="D271" s="121">
        <v>31249784</v>
      </c>
    </row>
    <row r="272" spans="1:4" ht="15">
      <c r="A272" t="s">
        <v>1585</v>
      </c>
      <c r="B272" t="s">
        <v>2246</v>
      </c>
      <c r="C272" s="806">
        <v>1.04</v>
      </c>
      <c r="D272" s="121">
        <v>1564068220</v>
      </c>
    </row>
    <row r="273" spans="1:4" ht="15">
      <c r="A273" t="s">
        <v>1586</v>
      </c>
      <c r="B273" t="s">
        <v>2247</v>
      </c>
      <c r="C273" s="806">
        <v>1.04</v>
      </c>
      <c r="D273" s="121">
        <v>297085422</v>
      </c>
    </row>
    <row r="274" spans="1:4" ht="15">
      <c r="A274" t="s">
        <v>818</v>
      </c>
      <c r="B274" t="s">
        <v>1442</v>
      </c>
      <c r="C274" s="806">
        <v>1.17</v>
      </c>
      <c r="D274" s="121">
        <v>93650836</v>
      </c>
    </row>
    <row r="275" spans="1:4" ht="15">
      <c r="A275" t="s">
        <v>1581</v>
      </c>
      <c r="B275" t="s">
        <v>2248</v>
      </c>
      <c r="C275" s="806">
        <v>1.04</v>
      </c>
      <c r="D275" s="121">
        <v>2288032311</v>
      </c>
    </row>
    <row r="276" spans="1:4" ht="15">
      <c r="A276" t="s">
        <v>1049</v>
      </c>
      <c r="B276" t="s">
        <v>2249</v>
      </c>
      <c r="C276" s="806">
        <v>1.04</v>
      </c>
      <c r="D276" s="121">
        <v>50829364</v>
      </c>
    </row>
    <row r="277" spans="1:4" ht="15">
      <c r="A277" t="s">
        <v>275</v>
      </c>
      <c r="B277" t="s">
        <v>1539</v>
      </c>
      <c r="C277" s="806">
        <v>1.17</v>
      </c>
      <c r="D277" s="121">
        <v>210375235</v>
      </c>
    </row>
    <row r="278" spans="1:4" ht="15">
      <c r="A278" t="s">
        <v>2382</v>
      </c>
      <c r="B278" t="s">
        <v>92</v>
      </c>
      <c r="C278" s="806">
        <v>1.17</v>
      </c>
      <c r="D278" s="121">
        <v>1125695479</v>
      </c>
    </row>
    <row r="279" spans="1:4" ht="15">
      <c r="A279" t="s">
        <v>375</v>
      </c>
      <c r="B279" t="s">
        <v>160</v>
      </c>
      <c r="C279" s="806">
        <v>1.04</v>
      </c>
      <c r="D279" s="121">
        <v>2481970094</v>
      </c>
    </row>
    <row r="280" spans="1:4" ht="15">
      <c r="A280" t="s">
        <v>819</v>
      </c>
      <c r="B280" t="s">
        <v>2269</v>
      </c>
      <c r="C280" s="806">
        <v>1.04</v>
      </c>
      <c r="D280" s="121">
        <v>185479257</v>
      </c>
    </row>
    <row r="281" spans="1:4" ht="15">
      <c r="A281" t="s">
        <v>629</v>
      </c>
      <c r="B281" t="s">
        <v>1331</v>
      </c>
      <c r="C281" s="806">
        <v>1.04</v>
      </c>
      <c r="D281" s="121">
        <v>792354413</v>
      </c>
    </row>
    <row r="282" spans="1:4" ht="15">
      <c r="A282" t="s">
        <v>2767</v>
      </c>
      <c r="B282" t="s">
        <v>2250</v>
      </c>
      <c r="C282" s="806">
        <v>1.04</v>
      </c>
      <c r="D282" s="121">
        <v>13240270839</v>
      </c>
    </row>
    <row r="283" spans="1:4" ht="15">
      <c r="A283" t="s">
        <v>878</v>
      </c>
      <c r="B283" t="s">
        <v>1004</v>
      </c>
      <c r="C283" s="806">
        <v>1.04</v>
      </c>
      <c r="D283" s="121">
        <v>123203348</v>
      </c>
    </row>
    <row r="284" spans="1:4" ht="15">
      <c r="A284" t="s">
        <v>212</v>
      </c>
      <c r="B284" t="s">
        <v>2311</v>
      </c>
      <c r="C284" s="806">
        <v>1.04</v>
      </c>
      <c r="D284" s="121">
        <v>127477179</v>
      </c>
    </row>
    <row r="285" spans="1:4" ht="15">
      <c r="A285" t="s">
        <v>1353</v>
      </c>
      <c r="B285" t="s">
        <v>861</v>
      </c>
      <c r="C285" s="806">
        <v>1.17</v>
      </c>
      <c r="D285" s="121">
        <v>5825488264</v>
      </c>
    </row>
    <row r="286" spans="1:4" ht="15">
      <c r="A286" t="s">
        <v>2401</v>
      </c>
      <c r="B286" t="s">
        <v>153</v>
      </c>
      <c r="C286" s="806">
        <v>1.04</v>
      </c>
      <c r="D286" s="121">
        <v>118068533</v>
      </c>
    </row>
    <row r="287" spans="1:4" ht="15">
      <c r="A287" t="s">
        <v>2157</v>
      </c>
      <c r="B287" t="s">
        <v>728</v>
      </c>
      <c r="C287" s="806">
        <v>1.04</v>
      </c>
      <c r="D287" s="121">
        <v>1028898152</v>
      </c>
    </row>
    <row r="288" spans="1:4" ht="15">
      <c r="A288" t="s">
        <v>1710</v>
      </c>
      <c r="B288" t="s">
        <v>661</v>
      </c>
      <c r="C288" s="806">
        <v>1.0900000000000001</v>
      </c>
      <c r="D288" s="121">
        <v>47239246</v>
      </c>
    </row>
    <row r="289" spans="1:4" ht="15">
      <c r="A289" t="s">
        <v>1315</v>
      </c>
      <c r="B289" t="s">
        <v>2204</v>
      </c>
      <c r="C289" s="806">
        <v>0.96550000000000002</v>
      </c>
      <c r="D289" s="121">
        <v>5852365910</v>
      </c>
    </row>
    <row r="290" spans="1:4" ht="15">
      <c r="A290" t="s">
        <v>2768</v>
      </c>
      <c r="B290" t="s">
        <v>2251</v>
      </c>
      <c r="C290" s="806">
        <v>1.04</v>
      </c>
      <c r="D290" s="121">
        <v>33868390</v>
      </c>
    </row>
    <row r="291" spans="1:4" ht="15">
      <c r="A291" t="s">
        <v>2769</v>
      </c>
      <c r="B291" t="s">
        <v>2252</v>
      </c>
      <c r="C291" s="806">
        <v>1.04</v>
      </c>
      <c r="D291" s="121">
        <v>255092689</v>
      </c>
    </row>
    <row r="292" spans="1:4" ht="15">
      <c r="A292" t="s">
        <v>1704</v>
      </c>
      <c r="B292" t="s">
        <v>2214</v>
      </c>
      <c r="C292" s="806">
        <v>1.04</v>
      </c>
      <c r="D292" s="121">
        <v>1154074431</v>
      </c>
    </row>
    <row r="293" spans="1:4" ht="15">
      <c r="A293" t="s">
        <v>2091</v>
      </c>
      <c r="B293" t="s">
        <v>2253</v>
      </c>
      <c r="C293" s="806">
        <v>1.04</v>
      </c>
      <c r="D293" s="121">
        <v>112673424</v>
      </c>
    </row>
    <row r="294" spans="1:4" ht="15">
      <c r="A294" t="s">
        <v>2092</v>
      </c>
      <c r="B294" t="s">
        <v>2254</v>
      </c>
      <c r="C294" s="806">
        <v>1.04</v>
      </c>
      <c r="D294" s="121">
        <v>97596012</v>
      </c>
    </row>
    <row r="295" spans="1:4" ht="15">
      <c r="A295" t="s">
        <v>1400</v>
      </c>
      <c r="B295" t="s">
        <v>2827</v>
      </c>
      <c r="C295" s="806">
        <v>1.04</v>
      </c>
      <c r="D295" s="121">
        <v>64294101</v>
      </c>
    </row>
    <row r="296" spans="1:4" ht="15">
      <c r="A296" t="s">
        <v>2093</v>
      </c>
      <c r="B296" t="s">
        <v>2255</v>
      </c>
      <c r="C296" s="806">
        <v>1.04</v>
      </c>
      <c r="D296" s="121">
        <v>56436946</v>
      </c>
    </row>
    <row r="297" spans="1:4" ht="15">
      <c r="A297" t="s">
        <v>229</v>
      </c>
      <c r="B297" t="s">
        <v>1185</v>
      </c>
      <c r="C297" s="806">
        <v>1.04</v>
      </c>
      <c r="D297" s="121">
        <v>48552810</v>
      </c>
    </row>
    <row r="298" spans="1:4" ht="15">
      <c r="A298" t="s">
        <v>2095</v>
      </c>
      <c r="B298" t="s">
        <v>2357</v>
      </c>
      <c r="C298" s="806">
        <v>1.04</v>
      </c>
      <c r="D298" s="121">
        <v>173153116</v>
      </c>
    </row>
    <row r="299" spans="1:4" ht="15">
      <c r="A299" t="s">
        <v>2103</v>
      </c>
      <c r="B299" t="s">
        <v>1508</v>
      </c>
      <c r="C299" s="806">
        <v>0.9</v>
      </c>
      <c r="D299" s="121">
        <v>16886869</v>
      </c>
    </row>
    <row r="300" spans="1:4" ht="15">
      <c r="A300" t="s">
        <v>230</v>
      </c>
      <c r="B300" t="s">
        <v>2257</v>
      </c>
      <c r="C300" s="806">
        <v>0.82040000000000002</v>
      </c>
      <c r="D300" s="121">
        <v>112099075</v>
      </c>
    </row>
    <row r="301" spans="1:4" ht="15">
      <c r="A301" t="s">
        <v>231</v>
      </c>
      <c r="B301" t="s">
        <v>1</v>
      </c>
      <c r="C301" s="806">
        <v>1.04</v>
      </c>
      <c r="D301" s="121">
        <v>447280068</v>
      </c>
    </row>
    <row r="302" spans="1:4" ht="15">
      <c r="A302" t="s">
        <v>1401</v>
      </c>
      <c r="B302" t="s">
        <v>2495</v>
      </c>
      <c r="C302" s="806">
        <v>1.04</v>
      </c>
      <c r="D302" s="121">
        <v>31111667</v>
      </c>
    </row>
    <row r="303" spans="1:4" ht="15">
      <c r="A303" t="s">
        <v>820</v>
      </c>
      <c r="B303" t="s">
        <v>1216</v>
      </c>
      <c r="C303" s="806">
        <v>1.04</v>
      </c>
      <c r="D303" s="121">
        <v>28800760</v>
      </c>
    </row>
    <row r="304" spans="1:4" ht="15">
      <c r="A304" t="s">
        <v>232</v>
      </c>
      <c r="B304" t="s">
        <v>2</v>
      </c>
      <c r="C304" s="806">
        <v>1.0273000000000001</v>
      </c>
      <c r="D304" s="121">
        <v>112171330</v>
      </c>
    </row>
    <row r="305" spans="1:4" ht="15">
      <c r="A305" t="s">
        <v>233</v>
      </c>
      <c r="B305" t="s">
        <v>3</v>
      </c>
      <c r="C305" s="806">
        <v>1.17</v>
      </c>
      <c r="D305" s="121">
        <v>111346876</v>
      </c>
    </row>
    <row r="306" spans="1:4" ht="15">
      <c r="A306" t="s">
        <v>1960</v>
      </c>
      <c r="B306" t="s">
        <v>4</v>
      </c>
      <c r="C306" s="806">
        <v>1.04</v>
      </c>
      <c r="D306" s="121">
        <v>81127783</v>
      </c>
    </row>
    <row r="307" spans="1:4" ht="15">
      <c r="A307" t="s">
        <v>1961</v>
      </c>
      <c r="B307" t="s">
        <v>5</v>
      </c>
      <c r="C307" s="806">
        <v>1.04</v>
      </c>
      <c r="D307" s="121">
        <v>116704900</v>
      </c>
    </row>
    <row r="308" spans="1:4" ht="15">
      <c r="A308" t="s">
        <v>1402</v>
      </c>
      <c r="B308" t="s">
        <v>2306</v>
      </c>
      <c r="C308" s="806">
        <v>1.17</v>
      </c>
      <c r="D308" s="121">
        <v>70196481</v>
      </c>
    </row>
    <row r="309" spans="1:4" ht="15">
      <c r="A309" t="s">
        <v>2948</v>
      </c>
      <c r="B309" t="s">
        <v>502</v>
      </c>
      <c r="C309" s="806">
        <v>1.17</v>
      </c>
      <c r="D309" s="121">
        <v>210608636</v>
      </c>
    </row>
    <row r="310" spans="1:4" ht="15">
      <c r="A310" t="s">
        <v>1911</v>
      </c>
      <c r="B310" t="s">
        <v>503</v>
      </c>
      <c r="C310" s="806">
        <v>1.04</v>
      </c>
      <c r="D310" s="121">
        <v>872825224</v>
      </c>
    </row>
    <row r="311" spans="1:4" ht="15">
      <c r="A311" t="s">
        <v>1912</v>
      </c>
      <c r="B311" t="s">
        <v>504</v>
      </c>
      <c r="C311" s="806">
        <v>1.04</v>
      </c>
      <c r="D311" s="121">
        <v>295620679</v>
      </c>
    </row>
    <row r="312" spans="1:4" ht="15">
      <c r="A312" t="s">
        <v>1037</v>
      </c>
      <c r="B312" t="s">
        <v>505</v>
      </c>
      <c r="C312" s="806">
        <v>1.04</v>
      </c>
      <c r="D312" s="121">
        <v>161414388</v>
      </c>
    </row>
    <row r="313" spans="1:4" ht="15">
      <c r="A313" t="s">
        <v>73</v>
      </c>
      <c r="B313" t="s">
        <v>205</v>
      </c>
      <c r="C313" s="806">
        <v>1.04</v>
      </c>
      <c r="D313" s="121">
        <v>317211712</v>
      </c>
    </row>
    <row r="314" spans="1:4" ht="15">
      <c r="A314" t="s">
        <v>853</v>
      </c>
      <c r="B314" t="s">
        <v>1186</v>
      </c>
      <c r="C314" s="806">
        <v>1.04</v>
      </c>
      <c r="D314" s="121">
        <v>59268799</v>
      </c>
    </row>
    <row r="315" spans="1:4" ht="15">
      <c r="A315" t="s">
        <v>2865</v>
      </c>
      <c r="B315" t="s">
        <v>665</v>
      </c>
      <c r="C315" s="806">
        <v>1.04</v>
      </c>
      <c r="D315" s="121">
        <v>60579685</v>
      </c>
    </row>
    <row r="316" spans="1:4" ht="15">
      <c r="A316" t="s">
        <v>697</v>
      </c>
      <c r="B316" t="s">
        <v>958</v>
      </c>
      <c r="C316" s="806">
        <v>1.04</v>
      </c>
      <c r="D316" s="121">
        <v>129900203</v>
      </c>
    </row>
    <row r="317" spans="1:4" ht="15">
      <c r="A317" t="s">
        <v>698</v>
      </c>
      <c r="B317" t="s">
        <v>959</v>
      </c>
      <c r="C317" s="806">
        <v>1.1399999999999999</v>
      </c>
      <c r="D317" s="121">
        <v>80107712</v>
      </c>
    </row>
    <row r="318" spans="1:4" ht="15">
      <c r="A318" t="s">
        <v>699</v>
      </c>
      <c r="B318" t="s">
        <v>960</v>
      </c>
      <c r="C318" s="806">
        <v>1.17</v>
      </c>
      <c r="D318" s="121">
        <v>70993879</v>
      </c>
    </row>
    <row r="319" spans="1:4" ht="15">
      <c r="A319" t="s">
        <v>700</v>
      </c>
      <c r="B319" t="s">
        <v>1187</v>
      </c>
      <c r="C319" s="806">
        <v>1.02</v>
      </c>
      <c r="D319" s="121">
        <v>8455104561</v>
      </c>
    </row>
    <row r="320" spans="1:4" ht="15">
      <c r="A320" t="s">
        <v>2906</v>
      </c>
      <c r="B320" t="s">
        <v>1006</v>
      </c>
      <c r="C320" s="806">
        <v>1.04</v>
      </c>
      <c r="D320" s="121">
        <v>518239172</v>
      </c>
    </row>
    <row r="321" spans="1:4" ht="15">
      <c r="A321" t="s">
        <v>1602</v>
      </c>
      <c r="B321" t="s">
        <v>133</v>
      </c>
      <c r="C321" s="806">
        <v>1.04</v>
      </c>
      <c r="D321" s="121">
        <v>20042067120</v>
      </c>
    </row>
    <row r="322" spans="1:4" ht="15">
      <c r="A322" t="s">
        <v>701</v>
      </c>
      <c r="B322" t="s">
        <v>962</v>
      </c>
      <c r="C322" s="806">
        <v>1.04</v>
      </c>
      <c r="D322" s="121">
        <v>42114436</v>
      </c>
    </row>
    <row r="323" spans="1:4" ht="15">
      <c r="A323" t="s">
        <v>2647</v>
      </c>
      <c r="B323" t="s">
        <v>1188</v>
      </c>
      <c r="C323" s="806">
        <v>1.04</v>
      </c>
      <c r="D323" s="121">
        <v>1862676273</v>
      </c>
    </row>
    <row r="324" spans="1:4" ht="15">
      <c r="A324" t="s">
        <v>2290</v>
      </c>
      <c r="B324" t="s">
        <v>964</v>
      </c>
      <c r="C324" s="806">
        <v>0.99019999999999997</v>
      </c>
      <c r="D324" s="121">
        <v>798703788</v>
      </c>
    </row>
    <row r="325" spans="1:4" ht="15">
      <c r="A325" t="s">
        <v>1478</v>
      </c>
      <c r="B325" t="s">
        <v>965</v>
      </c>
      <c r="C325" s="806">
        <v>1.04</v>
      </c>
      <c r="D325" s="121">
        <v>2210577117</v>
      </c>
    </row>
    <row r="326" spans="1:4" ht="15">
      <c r="A326" t="s">
        <v>2192</v>
      </c>
      <c r="B326" t="s">
        <v>966</v>
      </c>
      <c r="C326" s="806">
        <v>1.04</v>
      </c>
      <c r="D326" s="121">
        <v>1587046935</v>
      </c>
    </row>
    <row r="327" spans="1:4" ht="15">
      <c r="A327" t="s">
        <v>2198</v>
      </c>
      <c r="B327" t="s">
        <v>967</v>
      </c>
      <c r="C327" s="806">
        <v>1.04</v>
      </c>
      <c r="D327" s="121">
        <v>121885891</v>
      </c>
    </row>
    <row r="328" spans="1:4" ht="15">
      <c r="A328" t="s">
        <v>2199</v>
      </c>
      <c r="B328" t="s">
        <v>968</v>
      </c>
      <c r="C328" s="806">
        <v>0.94489999999999996</v>
      </c>
      <c r="D328" s="121">
        <v>474122478</v>
      </c>
    </row>
    <row r="329" spans="1:4" ht="15">
      <c r="A329" t="s">
        <v>1403</v>
      </c>
      <c r="B329" t="s">
        <v>2494</v>
      </c>
      <c r="C329" s="806">
        <v>1.1631</v>
      </c>
      <c r="D329" s="121">
        <v>108577292</v>
      </c>
    </row>
    <row r="330" spans="1:4" ht="15">
      <c r="A330" t="s">
        <v>2866</v>
      </c>
      <c r="B330" t="s">
        <v>2987</v>
      </c>
      <c r="C330" s="806">
        <v>1.17</v>
      </c>
      <c r="D330" s="121">
        <v>310210175</v>
      </c>
    </row>
    <row r="331" spans="1:4" ht="15">
      <c r="A331" t="s">
        <v>2200</v>
      </c>
      <c r="B331" t="s">
        <v>969</v>
      </c>
      <c r="C331" s="806">
        <v>1</v>
      </c>
      <c r="D331" s="121">
        <v>198937753</v>
      </c>
    </row>
    <row r="332" spans="1:4" ht="15">
      <c r="A332" t="s">
        <v>2420</v>
      </c>
      <c r="B332" t="s">
        <v>577</v>
      </c>
      <c r="C332" s="806">
        <v>0.86</v>
      </c>
      <c r="D332" s="121">
        <v>427085562</v>
      </c>
    </row>
    <row r="333" spans="1:4" ht="15">
      <c r="A333" t="s">
        <v>2490</v>
      </c>
      <c r="B333" t="s">
        <v>578</v>
      </c>
      <c r="C333" s="806">
        <v>0.74</v>
      </c>
      <c r="D333" s="121">
        <v>3954652182</v>
      </c>
    </row>
    <row r="334" spans="1:4" ht="15">
      <c r="A334" t="s">
        <v>2270</v>
      </c>
      <c r="B334" t="s">
        <v>397</v>
      </c>
      <c r="C334" s="806">
        <v>1.04</v>
      </c>
      <c r="D334" s="121">
        <v>2159806022</v>
      </c>
    </row>
    <row r="335" spans="1:4" ht="15">
      <c r="A335" t="s">
        <v>2550</v>
      </c>
      <c r="B335" t="s">
        <v>398</v>
      </c>
      <c r="C335" s="806">
        <v>1.04</v>
      </c>
      <c r="D335" s="121">
        <v>4644788842</v>
      </c>
    </row>
    <row r="336" spans="1:4" ht="15">
      <c r="A336" t="s">
        <v>2132</v>
      </c>
      <c r="B336" t="s">
        <v>2726</v>
      </c>
      <c r="C336" s="806">
        <v>1.17</v>
      </c>
      <c r="D336" s="121">
        <v>122599491</v>
      </c>
    </row>
    <row r="337" spans="1:4" ht="15">
      <c r="A337" t="s">
        <v>862</v>
      </c>
      <c r="B337" t="s">
        <v>399</v>
      </c>
      <c r="C337" s="806">
        <v>1.04</v>
      </c>
      <c r="D337" s="121">
        <v>1466538126</v>
      </c>
    </row>
    <row r="338" spans="1:4" ht="15">
      <c r="A338" t="s">
        <v>863</v>
      </c>
      <c r="B338" t="s">
        <v>400</v>
      </c>
      <c r="C338" s="806">
        <v>1.04</v>
      </c>
      <c r="D338" s="121">
        <v>4184197438</v>
      </c>
    </row>
    <row r="339" spans="1:4" ht="15">
      <c r="A339" t="s">
        <v>2817</v>
      </c>
      <c r="B339" t="s">
        <v>401</v>
      </c>
      <c r="C339" s="806">
        <v>1.04</v>
      </c>
      <c r="D339" s="121">
        <v>487548512</v>
      </c>
    </row>
    <row r="340" spans="1:4" ht="15">
      <c r="A340" t="s">
        <v>533</v>
      </c>
      <c r="B340" t="s">
        <v>98</v>
      </c>
      <c r="C340" s="806">
        <v>1.04</v>
      </c>
      <c r="D340" s="121">
        <v>892691152</v>
      </c>
    </row>
    <row r="341" spans="1:4" ht="15">
      <c r="A341" t="s">
        <v>2818</v>
      </c>
      <c r="B341" t="s">
        <v>402</v>
      </c>
      <c r="C341" s="806">
        <v>1.04</v>
      </c>
      <c r="D341" s="121">
        <v>13831443953</v>
      </c>
    </row>
    <row r="342" spans="1:4" ht="15">
      <c r="A342" t="s">
        <v>1604</v>
      </c>
      <c r="B342" t="s">
        <v>1666</v>
      </c>
      <c r="C342" s="806">
        <v>1.04</v>
      </c>
      <c r="D342" s="121">
        <v>1915729430</v>
      </c>
    </row>
    <row r="343" spans="1:4" ht="15">
      <c r="A343" t="s">
        <v>1872</v>
      </c>
      <c r="B343" t="s">
        <v>403</v>
      </c>
      <c r="C343" s="806">
        <v>1.0012000000000001</v>
      </c>
      <c r="D343" s="121">
        <v>632426270</v>
      </c>
    </row>
    <row r="344" spans="1:4" ht="15">
      <c r="A344" t="s">
        <v>1873</v>
      </c>
      <c r="B344" t="s">
        <v>404</v>
      </c>
      <c r="C344" s="806">
        <v>1.04</v>
      </c>
      <c r="D344" s="121">
        <v>57412980</v>
      </c>
    </row>
    <row r="345" spans="1:4" ht="15">
      <c r="A345" t="s">
        <v>2139</v>
      </c>
      <c r="B345" t="s">
        <v>1189</v>
      </c>
      <c r="C345" s="806">
        <v>0.92669999999999997</v>
      </c>
      <c r="D345" s="121">
        <v>26047450</v>
      </c>
    </row>
    <row r="346" spans="1:4" ht="15">
      <c r="A346" t="s">
        <v>1636</v>
      </c>
      <c r="B346" t="s">
        <v>406</v>
      </c>
      <c r="C346" s="806">
        <v>1.04</v>
      </c>
      <c r="D346" s="121">
        <v>1951190625</v>
      </c>
    </row>
    <row r="347" spans="1:4" ht="15">
      <c r="A347" t="s">
        <v>2474</v>
      </c>
      <c r="B347" t="s">
        <v>2004</v>
      </c>
      <c r="C347" s="806">
        <v>1.04</v>
      </c>
      <c r="D347" s="121">
        <v>266026899</v>
      </c>
    </row>
    <row r="348" spans="1:4" ht="15">
      <c r="A348" t="s">
        <v>2475</v>
      </c>
      <c r="B348" t="s">
        <v>2005</v>
      </c>
      <c r="C348" s="806">
        <v>1.0401</v>
      </c>
      <c r="D348" s="121">
        <v>787841595</v>
      </c>
    </row>
    <row r="349" spans="1:4" ht="15">
      <c r="A349" t="s">
        <v>2794</v>
      </c>
      <c r="B349" t="s">
        <v>2006</v>
      </c>
      <c r="C349" s="806">
        <v>1.0149999999999999</v>
      </c>
      <c r="D349" s="121">
        <v>1098476740</v>
      </c>
    </row>
    <row r="350" spans="1:4" ht="15">
      <c r="A350" t="s">
        <v>1019</v>
      </c>
      <c r="B350" t="s">
        <v>973</v>
      </c>
      <c r="C350" s="806">
        <v>1.0149999999999999</v>
      </c>
      <c r="D350" s="121">
        <v>501318054</v>
      </c>
    </row>
    <row r="351" spans="1:4" ht="15">
      <c r="A351" t="s">
        <v>2795</v>
      </c>
      <c r="B351" t="s">
        <v>1190</v>
      </c>
      <c r="C351" s="806">
        <v>1.0305</v>
      </c>
      <c r="D351" s="121">
        <v>156288281</v>
      </c>
    </row>
    <row r="352" spans="1:4" ht="15">
      <c r="A352" t="s">
        <v>2796</v>
      </c>
      <c r="B352" t="s">
        <v>1626</v>
      </c>
      <c r="C352" s="806">
        <v>1.04</v>
      </c>
      <c r="D352" s="121">
        <v>104648944</v>
      </c>
    </row>
    <row r="353" spans="1:4" ht="15">
      <c r="A353" t="s">
        <v>2118</v>
      </c>
      <c r="B353" t="s">
        <v>1627</v>
      </c>
      <c r="C353" s="806">
        <v>1.04</v>
      </c>
      <c r="D353" s="121">
        <v>125199008</v>
      </c>
    </row>
    <row r="354" spans="1:4" ht="15">
      <c r="A354" t="s">
        <v>2119</v>
      </c>
      <c r="B354" t="s">
        <v>1628</v>
      </c>
      <c r="C354" s="806">
        <v>1.04</v>
      </c>
      <c r="D354" s="121">
        <v>141872335</v>
      </c>
    </row>
    <row r="355" spans="1:4" ht="15">
      <c r="A355" t="s">
        <v>2301</v>
      </c>
      <c r="B355" t="s">
        <v>1540</v>
      </c>
      <c r="C355" s="806">
        <v>1.04</v>
      </c>
      <c r="D355" s="121">
        <v>992195628</v>
      </c>
    </row>
    <row r="356" spans="1:4" ht="15">
      <c r="A356" t="s">
        <v>2313</v>
      </c>
      <c r="B356" t="s">
        <v>1629</v>
      </c>
      <c r="C356" s="806">
        <v>0.96850000000000003</v>
      </c>
      <c r="D356" s="121">
        <v>107819976</v>
      </c>
    </row>
    <row r="357" spans="1:4" ht="15">
      <c r="A357" t="s">
        <v>1897</v>
      </c>
      <c r="B357" t="s">
        <v>1757</v>
      </c>
      <c r="C357" s="806">
        <v>1.17</v>
      </c>
      <c r="D357" s="121">
        <v>126857056</v>
      </c>
    </row>
    <row r="358" spans="1:4" ht="15">
      <c r="A358" t="s">
        <v>1107</v>
      </c>
      <c r="B358" t="s">
        <v>1630</v>
      </c>
      <c r="C358" s="806">
        <v>1.17</v>
      </c>
      <c r="D358" s="121">
        <v>113861260</v>
      </c>
    </row>
    <row r="359" spans="1:4" ht="15">
      <c r="A359" t="s">
        <v>1108</v>
      </c>
      <c r="B359" t="s">
        <v>1631</v>
      </c>
      <c r="C359" s="806">
        <v>1.17</v>
      </c>
      <c r="D359" s="121">
        <v>1094564705</v>
      </c>
    </row>
    <row r="360" spans="1:4" ht="15">
      <c r="A360" t="s">
        <v>1276</v>
      </c>
      <c r="B360" t="s">
        <v>2731</v>
      </c>
      <c r="C360" s="806">
        <v>1.04</v>
      </c>
      <c r="D360" s="121">
        <v>176807734</v>
      </c>
    </row>
    <row r="361" spans="1:4" ht="15">
      <c r="A361" t="s">
        <v>897</v>
      </c>
      <c r="B361" t="s">
        <v>1849</v>
      </c>
      <c r="C361" s="806">
        <v>1.04</v>
      </c>
      <c r="D361" s="121">
        <v>2046522874</v>
      </c>
    </row>
    <row r="362" spans="1:4" ht="15">
      <c r="A362" t="s">
        <v>898</v>
      </c>
      <c r="B362" t="s">
        <v>1850</v>
      </c>
      <c r="C362" s="806">
        <v>1.04</v>
      </c>
      <c r="D362" s="121">
        <v>64434088</v>
      </c>
    </row>
    <row r="363" spans="1:4" ht="15">
      <c r="A363" t="s">
        <v>1404</v>
      </c>
      <c r="B363" t="s">
        <v>2706</v>
      </c>
      <c r="C363" s="806">
        <v>1.1200000000000001</v>
      </c>
      <c r="D363" s="121">
        <v>349569638</v>
      </c>
    </row>
    <row r="364" spans="1:4" ht="15">
      <c r="A364" t="s">
        <v>1405</v>
      </c>
      <c r="B364" t="s">
        <v>1511</v>
      </c>
      <c r="C364" s="806">
        <v>1.17</v>
      </c>
      <c r="D364" s="121">
        <v>366731900</v>
      </c>
    </row>
    <row r="365" spans="1:4" ht="15">
      <c r="A365" t="s">
        <v>1650</v>
      </c>
      <c r="B365" t="s">
        <v>1851</v>
      </c>
      <c r="C365" s="806">
        <v>1.1399999999999999</v>
      </c>
      <c r="D365" s="121">
        <v>132737780</v>
      </c>
    </row>
    <row r="366" spans="1:4" ht="15">
      <c r="A366" t="s">
        <v>243</v>
      </c>
      <c r="B366" t="s">
        <v>2410</v>
      </c>
      <c r="C366" s="806">
        <v>1.04</v>
      </c>
      <c r="D366" s="121">
        <v>583213479</v>
      </c>
    </row>
    <row r="367" spans="1:4" ht="15">
      <c r="A367" t="s">
        <v>2977</v>
      </c>
      <c r="B367" t="s">
        <v>1191</v>
      </c>
      <c r="C367" s="806">
        <v>1.04</v>
      </c>
      <c r="D367" s="121">
        <v>317729821</v>
      </c>
    </row>
    <row r="368" spans="1:4" ht="15">
      <c r="A368" t="s">
        <v>1483</v>
      </c>
      <c r="B368" t="s">
        <v>1948</v>
      </c>
      <c r="C368" s="806">
        <v>1.04</v>
      </c>
      <c r="D368" s="121">
        <v>158702357</v>
      </c>
    </row>
    <row r="369" spans="1:4" ht="15">
      <c r="A369" t="s">
        <v>1461</v>
      </c>
      <c r="B369" t="s">
        <v>250</v>
      </c>
      <c r="C369" s="806">
        <v>1.04</v>
      </c>
      <c r="D369" s="121">
        <v>130313608</v>
      </c>
    </row>
    <row r="370" spans="1:4" ht="15">
      <c r="A370" t="s">
        <v>1462</v>
      </c>
      <c r="B370" t="s">
        <v>251</v>
      </c>
      <c r="C370" s="806">
        <v>1.04</v>
      </c>
      <c r="D370" s="121">
        <v>507544714</v>
      </c>
    </row>
    <row r="371" spans="1:4" ht="15">
      <c r="A371" t="s">
        <v>1463</v>
      </c>
      <c r="B371" t="s">
        <v>252</v>
      </c>
      <c r="C371" s="806">
        <v>1.04</v>
      </c>
      <c r="D371" s="121">
        <v>1285983345</v>
      </c>
    </row>
    <row r="372" spans="1:4" ht="15">
      <c r="A372" t="s">
        <v>498</v>
      </c>
      <c r="B372" t="s">
        <v>2436</v>
      </c>
      <c r="C372" s="806">
        <v>1.04</v>
      </c>
      <c r="D372" s="121">
        <v>3317976580</v>
      </c>
    </row>
    <row r="373" spans="1:4" ht="15">
      <c r="A373" t="s">
        <v>2504</v>
      </c>
      <c r="B373" t="s">
        <v>253</v>
      </c>
      <c r="C373" s="806">
        <v>1.17</v>
      </c>
      <c r="D373" s="121">
        <v>1522913941</v>
      </c>
    </row>
    <row r="374" spans="1:4" ht="15">
      <c r="A374" t="s">
        <v>3035</v>
      </c>
      <c r="B374" t="s">
        <v>254</v>
      </c>
      <c r="C374" s="806">
        <v>1.04</v>
      </c>
      <c r="D374" s="121">
        <v>296834542</v>
      </c>
    </row>
    <row r="375" spans="1:4" ht="15">
      <c r="A375" t="s">
        <v>1702</v>
      </c>
      <c r="B375" t="s">
        <v>2210</v>
      </c>
      <c r="C375" s="806">
        <v>1.04</v>
      </c>
      <c r="D375" s="121">
        <v>379805799</v>
      </c>
    </row>
    <row r="376" spans="1:4" ht="15">
      <c r="A376" t="s">
        <v>3036</v>
      </c>
      <c r="B376" t="s">
        <v>255</v>
      </c>
      <c r="C376" s="806">
        <v>1.17</v>
      </c>
      <c r="D376" s="121">
        <v>321655842</v>
      </c>
    </row>
    <row r="377" spans="1:4" ht="15">
      <c r="A377" t="s">
        <v>3037</v>
      </c>
      <c r="B377" t="s">
        <v>1192</v>
      </c>
      <c r="C377" s="806">
        <v>1.04</v>
      </c>
      <c r="D377" s="121">
        <v>382369483</v>
      </c>
    </row>
    <row r="378" spans="1:4" ht="15">
      <c r="A378" t="s">
        <v>3038</v>
      </c>
      <c r="B378" t="s">
        <v>257</v>
      </c>
      <c r="C378" s="806">
        <v>1.04</v>
      </c>
      <c r="D378" s="121">
        <v>109260984</v>
      </c>
    </row>
    <row r="379" spans="1:4" ht="15">
      <c r="A379" t="s">
        <v>3039</v>
      </c>
      <c r="B379" t="s">
        <v>258</v>
      </c>
      <c r="C379" s="806">
        <v>1.04</v>
      </c>
      <c r="D379" s="121">
        <v>993228569</v>
      </c>
    </row>
    <row r="380" spans="1:4" ht="15">
      <c r="A380" t="s">
        <v>2456</v>
      </c>
      <c r="B380" t="s">
        <v>259</v>
      </c>
      <c r="C380" s="806">
        <v>1.04</v>
      </c>
      <c r="D380" s="121">
        <v>100363483</v>
      </c>
    </row>
    <row r="381" spans="1:4" ht="15">
      <c r="A381" t="s">
        <v>537</v>
      </c>
      <c r="B381" t="s">
        <v>1416</v>
      </c>
      <c r="C381" s="806">
        <v>1.04</v>
      </c>
      <c r="D381" s="121">
        <v>2190641419</v>
      </c>
    </row>
    <row r="382" spans="1:4" ht="15">
      <c r="A382" t="s">
        <v>535</v>
      </c>
      <c r="B382" t="s">
        <v>1414</v>
      </c>
      <c r="C382" s="806">
        <v>1.04</v>
      </c>
      <c r="D382" s="121">
        <v>2864729675</v>
      </c>
    </row>
    <row r="383" spans="1:4" ht="15">
      <c r="A383" t="s">
        <v>2457</v>
      </c>
      <c r="B383" t="s">
        <v>260</v>
      </c>
      <c r="C383" s="806">
        <v>1.1200000000000001</v>
      </c>
      <c r="D383" s="121">
        <v>461370613</v>
      </c>
    </row>
    <row r="384" spans="1:4" ht="15">
      <c r="A384" t="s">
        <v>381</v>
      </c>
      <c r="B384" t="s">
        <v>324</v>
      </c>
      <c r="C384" s="806">
        <v>1.08</v>
      </c>
      <c r="D384" s="121">
        <v>414379815</v>
      </c>
    </row>
    <row r="385" spans="1:4" ht="15">
      <c r="A385" t="s">
        <v>2458</v>
      </c>
      <c r="B385" t="s">
        <v>261</v>
      </c>
      <c r="C385" s="806">
        <v>1.17</v>
      </c>
      <c r="D385" s="121">
        <v>360004208</v>
      </c>
    </row>
    <row r="386" spans="1:4" ht="15">
      <c r="A386" t="s">
        <v>2459</v>
      </c>
      <c r="B386" t="s">
        <v>262</v>
      </c>
      <c r="C386" s="806">
        <v>1.17</v>
      </c>
      <c r="D386" s="121">
        <v>28865849</v>
      </c>
    </row>
    <row r="387" spans="1:4" ht="15">
      <c r="A387" t="s">
        <v>547</v>
      </c>
      <c r="B387" t="s">
        <v>263</v>
      </c>
      <c r="C387" s="806">
        <v>1.04</v>
      </c>
      <c r="D387" s="121">
        <v>64899351</v>
      </c>
    </row>
    <row r="388" spans="1:4" ht="15">
      <c r="A388" t="s">
        <v>2232</v>
      </c>
      <c r="B388" t="s">
        <v>264</v>
      </c>
      <c r="C388" s="806">
        <v>1.17</v>
      </c>
      <c r="D388" s="121">
        <v>46310974</v>
      </c>
    </row>
    <row r="389" spans="1:4" ht="15">
      <c r="A389" t="s">
        <v>2366</v>
      </c>
      <c r="B389" t="s">
        <v>265</v>
      </c>
      <c r="C389" s="806">
        <v>1.04</v>
      </c>
      <c r="D389" s="121">
        <v>992327876</v>
      </c>
    </row>
    <row r="390" spans="1:4" ht="15">
      <c r="A390" t="s">
        <v>2367</v>
      </c>
      <c r="B390" t="s">
        <v>266</v>
      </c>
      <c r="C390" s="806">
        <v>1.04</v>
      </c>
      <c r="D390" s="121">
        <v>110092931</v>
      </c>
    </row>
    <row r="391" spans="1:4" ht="15">
      <c r="A391" t="s">
        <v>169</v>
      </c>
      <c r="B391" t="s">
        <v>267</v>
      </c>
      <c r="C391" s="806">
        <v>1.04</v>
      </c>
      <c r="D391" s="121">
        <v>39025460</v>
      </c>
    </row>
    <row r="392" spans="1:4" ht="15">
      <c r="A392" t="s">
        <v>170</v>
      </c>
      <c r="B392" t="s">
        <v>1193</v>
      </c>
      <c r="C392" s="806">
        <v>1.04</v>
      </c>
      <c r="D392" s="121">
        <v>233715655</v>
      </c>
    </row>
    <row r="393" spans="1:4" ht="15">
      <c r="A393" t="s">
        <v>2867</v>
      </c>
      <c r="B393" t="s">
        <v>2724</v>
      </c>
      <c r="C393" s="806">
        <v>1.17</v>
      </c>
      <c r="D393" s="121">
        <v>130667091</v>
      </c>
    </row>
    <row r="394" spans="1:4" ht="15">
      <c r="A394" t="s">
        <v>2674</v>
      </c>
      <c r="B394" t="s">
        <v>269</v>
      </c>
      <c r="C394" s="806">
        <v>1.04</v>
      </c>
      <c r="D394" s="121">
        <v>435571265</v>
      </c>
    </row>
    <row r="395" spans="1:4" ht="15">
      <c r="A395" t="s">
        <v>1281</v>
      </c>
      <c r="B395" t="s">
        <v>1194</v>
      </c>
      <c r="C395" s="806">
        <v>1.04</v>
      </c>
      <c r="D395" s="121">
        <v>179055996</v>
      </c>
    </row>
    <row r="396" spans="1:4" ht="15">
      <c r="A396" t="s">
        <v>1282</v>
      </c>
      <c r="B396" t="s">
        <v>2991</v>
      </c>
      <c r="C396" s="806">
        <v>1.04</v>
      </c>
      <c r="D396" s="121">
        <v>365152792</v>
      </c>
    </row>
    <row r="397" spans="1:4" ht="15">
      <c r="A397" t="s">
        <v>2416</v>
      </c>
      <c r="B397" t="s">
        <v>518</v>
      </c>
      <c r="C397" s="806">
        <v>1.04</v>
      </c>
      <c r="D397" s="121">
        <v>104965880</v>
      </c>
    </row>
    <row r="398" spans="1:4" ht="15">
      <c r="A398" t="s">
        <v>2417</v>
      </c>
      <c r="B398" t="s">
        <v>519</v>
      </c>
      <c r="C398" s="806">
        <v>1.04</v>
      </c>
      <c r="D398" s="121">
        <v>204588800</v>
      </c>
    </row>
    <row r="399" spans="1:4" ht="15">
      <c r="A399" t="s">
        <v>1158</v>
      </c>
      <c r="B399" t="s">
        <v>520</v>
      </c>
      <c r="C399" s="806">
        <v>1.04</v>
      </c>
      <c r="D399" s="121">
        <v>249579983</v>
      </c>
    </row>
    <row r="400" spans="1:4" ht="15">
      <c r="A400" t="s">
        <v>1312</v>
      </c>
      <c r="B400" t="s">
        <v>1684</v>
      </c>
      <c r="C400" s="806">
        <v>1.17</v>
      </c>
      <c r="D400" s="121">
        <v>574670636</v>
      </c>
    </row>
    <row r="401" spans="1:4" ht="15">
      <c r="A401" t="s">
        <v>416</v>
      </c>
      <c r="B401" t="s">
        <v>521</v>
      </c>
      <c r="C401" s="806">
        <v>1.04</v>
      </c>
      <c r="D401" s="121">
        <v>864729718</v>
      </c>
    </row>
    <row r="402" spans="1:4" ht="15">
      <c r="A402" t="s">
        <v>2608</v>
      </c>
      <c r="B402" t="s">
        <v>949</v>
      </c>
      <c r="C402" s="806">
        <v>1.04</v>
      </c>
      <c r="D402" s="121">
        <v>684698706</v>
      </c>
    </row>
    <row r="403" spans="1:4" ht="15">
      <c r="A403" t="s">
        <v>1346</v>
      </c>
      <c r="B403" t="s">
        <v>328</v>
      </c>
      <c r="C403" s="806">
        <v>1.04</v>
      </c>
      <c r="D403" s="121">
        <v>132283295</v>
      </c>
    </row>
    <row r="404" spans="1:4" ht="15">
      <c r="A404" t="s">
        <v>639</v>
      </c>
      <c r="B404" t="s">
        <v>797</v>
      </c>
      <c r="C404" s="806">
        <v>1.1333</v>
      </c>
      <c r="D404" s="121">
        <v>12226722033</v>
      </c>
    </row>
    <row r="405" spans="1:4" ht="15">
      <c r="A405" t="s">
        <v>222</v>
      </c>
      <c r="B405" t="s">
        <v>2264</v>
      </c>
      <c r="C405" s="806">
        <v>1.125</v>
      </c>
      <c r="D405" s="121">
        <v>11011148289</v>
      </c>
    </row>
    <row r="406" spans="1:4" ht="15">
      <c r="A406" t="s">
        <v>2641</v>
      </c>
      <c r="B406" t="s">
        <v>522</v>
      </c>
      <c r="C406" s="806">
        <v>1.0219</v>
      </c>
      <c r="D406" s="121">
        <v>2275742387</v>
      </c>
    </row>
    <row r="407" spans="1:4" ht="15">
      <c r="A407" t="s">
        <v>2758</v>
      </c>
      <c r="B407" t="s">
        <v>458</v>
      </c>
      <c r="C407" s="806">
        <v>1.04</v>
      </c>
      <c r="D407" s="121">
        <v>1084497168</v>
      </c>
    </row>
    <row r="408" spans="1:4" ht="15">
      <c r="A408" t="s">
        <v>2642</v>
      </c>
      <c r="B408" t="s">
        <v>523</v>
      </c>
      <c r="C408" s="806">
        <v>1.04</v>
      </c>
      <c r="D408" s="121">
        <v>31015872693</v>
      </c>
    </row>
    <row r="409" spans="1:4" ht="15">
      <c r="A409" t="s">
        <v>2481</v>
      </c>
      <c r="B409" t="s">
        <v>524</v>
      </c>
      <c r="C409" s="806">
        <v>1.1067</v>
      </c>
      <c r="D409" s="121">
        <v>8047970487</v>
      </c>
    </row>
    <row r="410" spans="1:4" ht="15">
      <c r="A410" t="s">
        <v>1588</v>
      </c>
      <c r="B410" t="s">
        <v>2611</v>
      </c>
      <c r="C410" s="806">
        <v>1.17</v>
      </c>
      <c r="D410" s="121">
        <v>1566122762</v>
      </c>
    </row>
    <row r="411" spans="1:4" ht="15">
      <c r="A411" t="s">
        <v>1608</v>
      </c>
      <c r="B411" t="s">
        <v>1670</v>
      </c>
      <c r="C411" s="806">
        <v>1.1834</v>
      </c>
      <c r="D411" s="121">
        <v>5031903668</v>
      </c>
    </row>
    <row r="412" spans="1:4" ht="15">
      <c r="A412" t="s">
        <v>2300</v>
      </c>
      <c r="B412" t="s">
        <v>525</v>
      </c>
      <c r="C412" s="806">
        <v>1.04</v>
      </c>
      <c r="D412" s="121">
        <v>9267509475</v>
      </c>
    </row>
    <row r="413" spans="1:4" ht="15">
      <c r="A413" t="s">
        <v>2921</v>
      </c>
      <c r="B413" t="s">
        <v>526</v>
      </c>
      <c r="C413" s="806">
        <v>1.0066999999999999</v>
      </c>
      <c r="D413" s="121">
        <v>96222302871</v>
      </c>
    </row>
    <row r="414" spans="1:4" ht="15">
      <c r="A414" t="s">
        <v>1278</v>
      </c>
      <c r="B414" t="s">
        <v>2736</v>
      </c>
      <c r="C414" s="806">
        <v>1.17</v>
      </c>
      <c r="D414" s="121">
        <v>8868746218</v>
      </c>
    </row>
    <row r="415" spans="1:4" ht="15">
      <c r="A415" t="s">
        <v>55</v>
      </c>
      <c r="B415" t="s">
        <v>450</v>
      </c>
      <c r="C415" s="806">
        <v>1.1266</v>
      </c>
      <c r="D415" s="121">
        <v>15654942784</v>
      </c>
    </row>
    <row r="416" spans="1:4" ht="15">
      <c r="A416" t="s">
        <v>62</v>
      </c>
      <c r="B416" t="s">
        <v>2980</v>
      </c>
      <c r="C416" s="806">
        <v>1.04</v>
      </c>
      <c r="D416" s="121">
        <v>11552402677</v>
      </c>
    </row>
    <row r="417" spans="1:4" ht="15">
      <c r="A417" t="s">
        <v>2922</v>
      </c>
      <c r="B417" t="s">
        <v>527</v>
      </c>
      <c r="C417" s="806">
        <v>1.04</v>
      </c>
      <c r="D417" s="121">
        <v>5701956302</v>
      </c>
    </row>
    <row r="418" spans="1:4" ht="15">
      <c r="A418" t="s">
        <v>234</v>
      </c>
      <c r="B418" t="s">
        <v>302</v>
      </c>
      <c r="C418" s="806">
        <v>1.07</v>
      </c>
      <c r="D418" s="121">
        <v>9922013194</v>
      </c>
    </row>
    <row r="419" spans="1:4" ht="15">
      <c r="A419" t="s">
        <v>743</v>
      </c>
      <c r="B419" t="s">
        <v>528</v>
      </c>
      <c r="C419" s="806">
        <v>1.04</v>
      </c>
      <c r="D419" s="121">
        <v>7685407632</v>
      </c>
    </row>
    <row r="420" spans="1:4" ht="15">
      <c r="A420" t="s">
        <v>918</v>
      </c>
      <c r="B420" t="s">
        <v>2505</v>
      </c>
      <c r="C420" s="806">
        <v>1.0900000000000001</v>
      </c>
      <c r="D420" s="121">
        <v>16894509877</v>
      </c>
    </row>
    <row r="421" spans="1:4" ht="15">
      <c r="A421" t="s">
        <v>2221</v>
      </c>
      <c r="B421" t="s">
        <v>2506</v>
      </c>
      <c r="C421" s="806">
        <v>1.01</v>
      </c>
      <c r="D421" s="121">
        <v>4147331659</v>
      </c>
    </row>
    <row r="422" spans="1:4" ht="15">
      <c r="A422" t="s">
        <v>2222</v>
      </c>
      <c r="B422" t="s">
        <v>2507</v>
      </c>
      <c r="C422" s="806">
        <v>1.04</v>
      </c>
      <c r="D422" s="121">
        <v>3329910645</v>
      </c>
    </row>
    <row r="423" spans="1:4" ht="15">
      <c r="A423" t="s">
        <v>979</v>
      </c>
      <c r="B423" t="s">
        <v>2734</v>
      </c>
      <c r="C423" s="806">
        <v>1.04</v>
      </c>
      <c r="D423" s="121">
        <v>723143714</v>
      </c>
    </row>
    <row r="424" spans="1:4" ht="15">
      <c r="A424" t="s">
        <v>2223</v>
      </c>
      <c r="B424" t="s">
        <v>2508</v>
      </c>
      <c r="C424" s="806">
        <v>1.04</v>
      </c>
      <c r="D424" s="121">
        <v>158435945</v>
      </c>
    </row>
    <row r="425" spans="1:4" ht="15">
      <c r="A425" t="s">
        <v>1692</v>
      </c>
      <c r="B425" t="s">
        <v>2509</v>
      </c>
      <c r="C425" s="806">
        <v>1.04</v>
      </c>
      <c r="D425" s="121">
        <v>2565430343</v>
      </c>
    </row>
    <row r="426" spans="1:4" ht="15">
      <c r="A426" t="s">
        <v>1693</v>
      </c>
      <c r="B426" t="s">
        <v>2510</v>
      </c>
      <c r="C426" s="806">
        <v>1.04</v>
      </c>
      <c r="D426" s="121">
        <v>371824587</v>
      </c>
    </row>
    <row r="427" spans="1:4" ht="15">
      <c r="A427" t="s">
        <v>1694</v>
      </c>
      <c r="B427" t="s">
        <v>2368</v>
      </c>
      <c r="C427" s="806">
        <v>1.02</v>
      </c>
      <c r="D427" s="121">
        <v>2537643180</v>
      </c>
    </row>
    <row r="428" spans="1:4" ht="15">
      <c r="A428" t="s">
        <v>1765</v>
      </c>
      <c r="B428" t="s">
        <v>2369</v>
      </c>
      <c r="C428" s="806">
        <v>1.17</v>
      </c>
      <c r="D428" s="121">
        <v>155061270</v>
      </c>
    </row>
    <row r="429" spans="1:4" ht="15">
      <c r="A429" t="s">
        <v>1766</v>
      </c>
      <c r="B429" t="s">
        <v>182</v>
      </c>
      <c r="C429" s="806">
        <v>1.0361</v>
      </c>
      <c r="D429" s="121">
        <v>445177979</v>
      </c>
    </row>
    <row r="430" spans="1:4" ht="15">
      <c r="A430" t="s">
        <v>539</v>
      </c>
      <c r="B430" t="s">
        <v>183</v>
      </c>
      <c r="C430" s="806">
        <v>1.04</v>
      </c>
      <c r="D430" s="121">
        <v>130418154</v>
      </c>
    </row>
    <row r="431" spans="1:4" ht="15">
      <c r="A431" t="s">
        <v>506</v>
      </c>
      <c r="B431" t="s">
        <v>184</v>
      </c>
      <c r="C431" s="806">
        <v>1.04</v>
      </c>
      <c r="D431" s="121">
        <v>93364477</v>
      </c>
    </row>
    <row r="432" spans="1:4" ht="15">
      <c r="A432" t="s">
        <v>507</v>
      </c>
      <c r="B432" t="s">
        <v>936</v>
      </c>
      <c r="C432" s="806">
        <v>1.17</v>
      </c>
      <c r="D432" s="121">
        <v>119032305</v>
      </c>
    </row>
    <row r="433" spans="1:4" ht="15">
      <c r="A433" t="s">
        <v>508</v>
      </c>
      <c r="B433" t="s">
        <v>185</v>
      </c>
      <c r="C433" s="806">
        <v>1.17</v>
      </c>
      <c r="D433" s="121">
        <v>27927224</v>
      </c>
    </row>
    <row r="434" spans="1:4" ht="15">
      <c r="A434" t="s">
        <v>509</v>
      </c>
      <c r="B434" t="s">
        <v>186</v>
      </c>
      <c r="C434" s="806">
        <v>1.17</v>
      </c>
      <c r="D434" s="121">
        <v>36175054</v>
      </c>
    </row>
    <row r="435" spans="1:4" ht="15">
      <c r="A435" t="s">
        <v>1304</v>
      </c>
      <c r="B435" t="s">
        <v>1195</v>
      </c>
      <c r="C435" s="806">
        <v>1.04</v>
      </c>
      <c r="D435" s="121">
        <v>2988192900</v>
      </c>
    </row>
    <row r="436" spans="1:4" ht="15">
      <c r="A436" t="s">
        <v>1678</v>
      </c>
      <c r="B436" t="s">
        <v>1212</v>
      </c>
      <c r="C436" s="806">
        <v>1.04</v>
      </c>
      <c r="D436" s="121">
        <v>2072454083</v>
      </c>
    </row>
    <row r="437" spans="1:4" ht="15">
      <c r="A437" t="s">
        <v>1467</v>
      </c>
      <c r="B437" t="s">
        <v>188</v>
      </c>
      <c r="C437" s="806">
        <v>1.04</v>
      </c>
      <c r="D437" s="121">
        <v>1241574730</v>
      </c>
    </row>
    <row r="438" spans="1:4" ht="15">
      <c r="A438" t="s">
        <v>2129</v>
      </c>
      <c r="B438" t="s">
        <v>42</v>
      </c>
      <c r="C438" s="806">
        <v>1.04</v>
      </c>
      <c r="D438" s="121">
        <v>3062984314</v>
      </c>
    </row>
    <row r="439" spans="1:4" ht="15">
      <c r="A439" t="s">
        <v>1918</v>
      </c>
      <c r="B439" t="s">
        <v>189</v>
      </c>
      <c r="C439" s="806">
        <v>0.94</v>
      </c>
      <c r="D439" s="121">
        <v>1267756981</v>
      </c>
    </row>
    <row r="440" spans="1:4" ht="15">
      <c r="A440" t="s">
        <v>1919</v>
      </c>
      <c r="B440" t="s">
        <v>1525</v>
      </c>
      <c r="C440" s="806">
        <v>1.0373000000000001</v>
      </c>
      <c r="D440" s="121">
        <v>994917012</v>
      </c>
    </row>
    <row r="441" spans="1:4" ht="15">
      <c r="A441" t="s">
        <v>2912</v>
      </c>
      <c r="B441" t="s">
        <v>1526</v>
      </c>
      <c r="C441" s="806">
        <v>1.04</v>
      </c>
      <c r="D441" s="121">
        <v>593390424</v>
      </c>
    </row>
    <row r="442" spans="1:4" ht="15">
      <c r="A442" t="s">
        <v>2879</v>
      </c>
      <c r="B442" t="s">
        <v>1527</v>
      </c>
      <c r="C442" s="806">
        <v>1.04</v>
      </c>
      <c r="D442" s="121">
        <v>259015301</v>
      </c>
    </row>
    <row r="443" spans="1:4" ht="15">
      <c r="A443" t="s">
        <v>2284</v>
      </c>
      <c r="B443" t="s">
        <v>1528</v>
      </c>
      <c r="C443" s="806">
        <v>1.04</v>
      </c>
      <c r="D443" s="121">
        <v>437968189</v>
      </c>
    </row>
    <row r="444" spans="1:4" ht="15">
      <c r="A444" t="s">
        <v>71</v>
      </c>
      <c r="B444" t="s">
        <v>2995</v>
      </c>
      <c r="C444" s="806">
        <v>0.98</v>
      </c>
      <c r="D444" s="121">
        <v>834321509</v>
      </c>
    </row>
    <row r="445" spans="1:4" ht="15">
      <c r="A445" t="s">
        <v>1711</v>
      </c>
      <c r="B445" t="s">
        <v>662</v>
      </c>
      <c r="C445" s="806">
        <v>1.04</v>
      </c>
      <c r="D445" s="121">
        <v>36276528</v>
      </c>
    </row>
    <row r="446" spans="1:4" ht="15">
      <c r="A446" t="s">
        <v>980</v>
      </c>
      <c r="B446" t="s">
        <v>2415</v>
      </c>
      <c r="C446" s="806">
        <v>1.04</v>
      </c>
      <c r="D446" s="121">
        <v>38480163</v>
      </c>
    </row>
    <row r="447" spans="1:4" ht="15">
      <c r="A447" t="s">
        <v>72</v>
      </c>
      <c r="B447" t="s">
        <v>2996</v>
      </c>
      <c r="C447" s="806">
        <v>1.04</v>
      </c>
      <c r="D447" s="121">
        <v>411063348</v>
      </c>
    </row>
    <row r="448" spans="1:4" ht="15">
      <c r="A448" t="s">
        <v>2437</v>
      </c>
      <c r="B448" t="s">
        <v>39</v>
      </c>
      <c r="C448" s="806">
        <v>1.04</v>
      </c>
      <c r="D448" s="121">
        <v>790299727</v>
      </c>
    </row>
    <row r="449" spans="1:4" ht="15">
      <c r="A449" t="s">
        <v>873</v>
      </c>
      <c r="B449" t="s">
        <v>1217</v>
      </c>
      <c r="C449" s="806">
        <v>1.04</v>
      </c>
      <c r="D449" s="121">
        <v>210875854</v>
      </c>
    </row>
    <row r="450" spans="1:4" ht="15">
      <c r="A450" t="s">
        <v>875</v>
      </c>
      <c r="B450" t="s">
        <v>40</v>
      </c>
      <c r="C450" s="806">
        <v>1.04</v>
      </c>
      <c r="D450" s="121">
        <v>4885084197</v>
      </c>
    </row>
    <row r="451" spans="1:4" ht="15">
      <c r="A451" t="s">
        <v>2131</v>
      </c>
      <c r="B451" t="s">
        <v>2725</v>
      </c>
      <c r="C451" s="806">
        <v>1.04</v>
      </c>
      <c r="D451" s="121">
        <v>372147094</v>
      </c>
    </row>
    <row r="452" spans="1:4" ht="15">
      <c r="A452" t="s">
        <v>2894</v>
      </c>
      <c r="B452" t="s">
        <v>925</v>
      </c>
      <c r="C452" s="806">
        <v>1.04</v>
      </c>
      <c r="D452" s="121">
        <v>5762475693</v>
      </c>
    </row>
    <row r="453" spans="1:4" ht="15">
      <c r="A453" t="s">
        <v>2897</v>
      </c>
      <c r="B453" t="s">
        <v>2553</v>
      </c>
      <c r="C453" s="806">
        <v>1.04</v>
      </c>
      <c r="D453" s="121">
        <v>325051436</v>
      </c>
    </row>
    <row r="454" spans="1:4" ht="15">
      <c r="A454" t="s">
        <v>2903</v>
      </c>
      <c r="B454" t="s">
        <v>45</v>
      </c>
      <c r="C454" s="806">
        <v>1.04</v>
      </c>
      <c r="D454" s="121">
        <v>1479849416</v>
      </c>
    </row>
    <row r="455" spans="1:4" ht="15">
      <c r="A455" t="s">
        <v>239</v>
      </c>
      <c r="B455" t="s">
        <v>1126</v>
      </c>
      <c r="C455" s="806">
        <v>1.04</v>
      </c>
      <c r="D455" s="121">
        <v>2857158740</v>
      </c>
    </row>
    <row r="456" spans="1:4" ht="15">
      <c r="A456" t="s">
        <v>1218</v>
      </c>
      <c r="B456" t="s">
        <v>88</v>
      </c>
      <c r="C456" s="806">
        <v>1.04</v>
      </c>
      <c r="D456" s="121">
        <v>95836815</v>
      </c>
    </row>
    <row r="457" spans="1:4" ht="15">
      <c r="A457" t="s">
        <v>1759</v>
      </c>
      <c r="B457" t="s">
        <v>2998</v>
      </c>
      <c r="C457" s="806">
        <v>1.04</v>
      </c>
      <c r="D457" s="121">
        <v>2308935960</v>
      </c>
    </row>
    <row r="458" spans="1:4" ht="15">
      <c r="A458" t="s">
        <v>65</v>
      </c>
      <c r="B458" t="s">
        <v>2170</v>
      </c>
      <c r="C458" s="806">
        <v>1.04</v>
      </c>
      <c r="D458" s="121">
        <v>1826220308</v>
      </c>
    </row>
    <row r="459" spans="1:4" ht="15">
      <c r="A459" t="s">
        <v>821</v>
      </c>
      <c r="B459" t="s">
        <v>162</v>
      </c>
      <c r="C459" s="806">
        <v>1.0106999999999999</v>
      </c>
      <c r="D459" s="121">
        <v>1461515234</v>
      </c>
    </row>
    <row r="460" spans="1:4" ht="15">
      <c r="A460" t="s">
        <v>67</v>
      </c>
      <c r="B460" t="s">
        <v>2622</v>
      </c>
      <c r="C460" s="806">
        <v>1.0338000000000001</v>
      </c>
      <c r="D460" s="121">
        <v>71029045</v>
      </c>
    </row>
    <row r="461" spans="1:4" ht="15">
      <c r="A461" t="s">
        <v>554</v>
      </c>
      <c r="B461" t="s">
        <v>2561</v>
      </c>
      <c r="C461" s="806">
        <v>1.04</v>
      </c>
      <c r="D461" s="121">
        <v>46297225</v>
      </c>
    </row>
    <row r="462" spans="1:4" ht="15">
      <c r="A462" t="s">
        <v>1715</v>
      </c>
      <c r="B462" t="s">
        <v>2705</v>
      </c>
      <c r="C462" s="806">
        <v>1.04</v>
      </c>
      <c r="D462" s="121">
        <v>357339442</v>
      </c>
    </row>
    <row r="463" spans="1:4" ht="15">
      <c r="A463" t="s">
        <v>172</v>
      </c>
      <c r="B463" t="s">
        <v>2464</v>
      </c>
      <c r="C463" s="806">
        <v>1.1114999999999999</v>
      </c>
      <c r="D463" s="121">
        <v>45214207</v>
      </c>
    </row>
    <row r="464" spans="1:4" ht="15">
      <c r="A464" t="s">
        <v>2869</v>
      </c>
      <c r="B464" t="s">
        <v>1010</v>
      </c>
      <c r="C464" s="806">
        <v>1.17</v>
      </c>
      <c r="D464" s="121">
        <v>35730475</v>
      </c>
    </row>
    <row r="465" spans="1:4" ht="15">
      <c r="A465" t="s">
        <v>2756</v>
      </c>
      <c r="B465" t="s">
        <v>742</v>
      </c>
      <c r="C465" s="806">
        <v>1.04</v>
      </c>
      <c r="D465" s="121">
        <v>47806311</v>
      </c>
    </row>
    <row r="466" spans="1:4" ht="15">
      <c r="A466" t="s">
        <v>2133</v>
      </c>
      <c r="B466" t="s">
        <v>2727</v>
      </c>
      <c r="C466" s="806">
        <v>1.1499999999999999</v>
      </c>
      <c r="D466" s="121">
        <v>438339940</v>
      </c>
    </row>
    <row r="467" spans="1:4" ht="15">
      <c r="A467" t="s">
        <v>555</v>
      </c>
      <c r="B467" t="s">
        <v>2732</v>
      </c>
      <c r="C467" s="806">
        <v>1.04</v>
      </c>
      <c r="D467" s="121">
        <v>57985064</v>
      </c>
    </row>
    <row r="468" spans="1:4" ht="15">
      <c r="A468" t="s">
        <v>49</v>
      </c>
      <c r="B468" t="s">
        <v>444</v>
      </c>
      <c r="C468" s="806">
        <v>1.17</v>
      </c>
      <c r="D468" s="121">
        <v>136833672</v>
      </c>
    </row>
    <row r="469" spans="1:4" ht="15">
      <c r="A469" t="s">
        <v>173</v>
      </c>
      <c r="B469" t="s">
        <v>2466</v>
      </c>
      <c r="C469" s="806">
        <v>1.04</v>
      </c>
      <c r="D469" s="121">
        <v>21306126</v>
      </c>
    </row>
    <row r="470" spans="1:4" ht="15">
      <c r="A470" t="s">
        <v>567</v>
      </c>
      <c r="B470" t="s">
        <v>2562</v>
      </c>
      <c r="C470" s="806">
        <v>1.17</v>
      </c>
      <c r="D470" s="121">
        <v>20565047</v>
      </c>
    </row>
    <row r="471" spans="1:4" ht="15">
      <c r="A471" t="s">
        <v>1760</v>
      </c>
      <c r="B471" t="s">
        <v>2999</v>
      </c>
      <c r="C471" s="806">
        <v>1.04</v>
      </c>
      <c r="D471" s="121">
        <v>479156869</v>
      </c>
    </row>
    <row r="472" spans="1:4" ht="15">
      <c r="A472" t="s">
        <v>568</v>
      </c>
      <c r="B472" t="s">
        <v>2773</v>
      </c>
      <c r="C472" s="806">
        <v>1.17</v>
      </c>
      <c r="D472" s="121">
        <v>46931387</v>
      </c>
    </row>
    <row r="473" spans="1:4" ht="15">
      <c r="A473" t="s">
        <v>1733</v>
      </c>
      <c r="B473" t="s">
        <v>1522</v>
      </c>
      <c r="C473" s="806">
        <v>1.17</v>
      </c>
      <c r="D473" s="121">
        <v>74996439</v>
      </c>
    </row>
    <row r="474" spans="1:4" ht="15">
      <c r="A474" t="s">
        <v>569</v>
      </c>
      <c r="B474" t="s">
        <v>2989</v>
      </c>
      <c r="C474" s="806">
        <v>1.17</v>
      </c>
      <c r="D474" s="121">
        <v>19389699</v>
      </c>
    </row>
    <row r="475" spans="1:4" ht="15">
      <c r="A475" t="s">
        <v>1761</v>
      </c>
      <c r="B475" t="s">
        <v>3000</v>
      </c>
      <c r="C475" s="806">
        <v>1.04</v>
      </c>
      <c r="D475" s="121">
        <v>94608502</v>
      </c>
    </row>
    <row r="476" spans="1:4" ht="15">
      <c r="A476" t="s">
        <v>1762</v>
      </c>
      <c r="B476" t="s">
        <v>3001</v>
      </c>
      <c r="C476" s="806">
        <v>1.04</v>
      </c>
      <c r="D476" s="121">
        <v>1292067556</v>
      </c>
    </row>
    <row r="477" spans="1:4" ht="15">
      <c r="A477" t="s">
        <v>1410</v>
      </c>
      <c r="B477" t="s">
        <v>3002</v>
      </c>
      <c r="C477" s="806">
        <v>1.04</v>
      </c>
      <c r="D477" s="121">
        <v>63384531</v>
      </c>
    </row>
    <row r="478" spans="1:4" ht="15">
      <c r="A478" t="s">
        <v>2104</v>
      </c>
      <c r="B478" t="s">
        <v>2203</v>
      </c>
      <c r="C478" s="806">
        <v>1.17</v>
      </c>
      <c r="D478" s="121">
        <v>85841604</v>
      </c>
    </row>
    <row r="479" spans="1:4" ht="15">
      <c r="A479" t="s">
        <v>1411</v>
      </c>
      <c r="B479" t="s">
        <v>3003</v>
      </c>
      <c r="C479" s="806">
        <v>1</v>
      </c>
      <c r="D479" s="121">
        <v>1278384675</v>
      </c>
    </row>
    <row r="480" spans="1:4" ht="15">
      <c r="A480" t="s">
        <v>1412</v>
      </c>
      <c r="B480" t="s">
        <v>3004</v>
      </c>
      <c r="C480" s="806">
        <v>1.17</v>
      </c>
      <c r="D480" s="121">
        <v>66583302</v>
      </c>
    </row>
    <row r="481" spans="1:4" ht="15">
      <c r="A481" t="s">
        <v>1413</v>
      </c>
      <c r="B481" t="s">
        <v>247</v>
      </c>
      <c r="C481" s="806">
        <v>1.04</v>
      </c>
      <c r="D481" s="121">
        <v>3473213274</v>
      </c>
    </row>
    <row r="482" spans="1:4" ht="15">
      <c r="A482" t="s">
        <v>1991</v>
      </c>
      <c r="B482" t="s">
        <v>1763</v>
      </c>
      <c r="C482" s="806">
        <v>1.17</v>
      </c>
      <c r="D482" s="121">
        <v>92836700</v>
      </c>
    </row>
    <row r="483" spans="1:4" ht="15">
      <c r="A483" t="s">
        <v>1709</v>
      </c>
      <c r="B483" t="s">
        <v>660</v>
      </c>
      <c r="C483" s="806">
        <v>1.04</v>
      </c>
      <c r="D483" s="121">
        <v>141295272</v>
      </c>
    </row>
    <row r="484" spans="1:4" ht="15">
      <c r="A484" t="s">
        <v>208</v>
      </c>
      <c r="B484" t="s">
        <v>248</v>
      </c>
      <c r="C484" s="806">
        <v>1.04</v>
      </c>
      <c r="D484" s="121">
        <v>1019897576</v>
      </c>
    </row>
    <row r="485" spans="1:4" ht="15">
      <c r="A485" t="s">
        <v>1687</v>
      </c>
      <c r="B485" t="s">
        <v>462</v>
      </c>
      <c r="C485" s="806">
        <v>1.04</v>
      </c>
      <c r="D485" s="121">
        <v>55687420</v>
      </c>
    </row>
    <row r="486" spans="1:4" ht="15">
      <c r="A486" t="s">
        <v>209</v>
      </c>
      <c r="B486" t="s">
        <v>249</v>
      </c>
      <c r="C486" s="806">
        <v>1.03</v>
      </c>
      <c r="D486" s="121">
        <v>74633542</v>
      </c>
    </row>
    <row r="487" spans="1:4" ht="15">
      <c r="A487" t="s">
        <v>2217</v>
      </c>
      <c r="B487" t="s">
        <v>2557</v>
      </c>
      <c r="C487" s="806">
        <v>1.17</v>
      </c>
      <c r="D487" s="121">
        <v>42979510</v>
      </c>
    </row>
    <row r="488" spans="1:4" ht="15">
      <c r="A488" t="s">
        <v>210</v>
      </c>
      <c r="B488" t="s">
        <v>702</v>
      </c>
      <c r="C488" s="806">
        <v>1.04</v>
      </c>
      <c r="D488" s="121">
        <v>126717373</v>
      </c>
    </row>
    <row r="489" spans="1:4" ht="15">
      <c r="A489" t="s">
        <v>211</v>
      </c>
      <c r="B489" t="s">
        <v>703</v>
      </c>
      <c r="C489" s="806">
        <v>1.0405</v>
      </c>
      <c r="D489" s="121">
        <v>40481273</v>
      </c>
    </row>
    <row r="490" spans="1:4" ht="15">
      <c r="A490" t="s">
        <v>1688</v>
      </c>
      <c r="B490" t="s">
        <v>2216</v>
      </c>
      <c r="C490" s="806">
        <v>1.04</v>
      </c>
      <c r="D490" s="121">
        <v>50297835</v>
      </c>
    </row>
    <row r="491" spans="1:4" ht="15">
      <c r="A491" t="s">
        <v>1601</v>
      </c>
      <c r="B491" t="s">
        <v>704</v>
      </c>
      <c r="C491" s="806">
        <v>1.04</v>
      </c>
      <c r="D491" s="121">
        <v>325163500</v>
      </c>
    </row>
    <row r="492" spans="1:4" ht="15">
      <c r="A492" t="s">
        <v>1432</v>
      </c>
      <c r="B492" t="s">
        <v>2480</v>
      </c>
      <c r="C492" s="806">
        <v>1.04</v>
      </c>
      <c r="D492" s="121">
        <v>235820501</v>
      </c>
    </row>
    <row r="493" spans="1:4" ht="15">
      <c r="A493" t="s">
        <v>1104</v>
      </c>
      <c r="B493" t="s">
        <v>2880</v>
      </c>
      <c r="C493" s="806">
        <v>1.04</v>
      </c>
      <c r="D493" s="121">
        <v>182155658</v>
      </c>
    </row>
    <row r="494" spans="1:4" ht="15">
      <c r="A494" t="s">
        <v>1105</v>
      </c>
      <c r="B494" t="s">
        <v>1767</v>
      </c>
      <c r="C494" s="806">
        <v>1.04</v>
      </c>
      <c r="D494" s="121">
        <v>117910397</v>
      </c>
    </row>
    <row r="495" spans="1:4" ht="15">
      <c r="A495" t="s">
        <v>1011</v>
      </c>
      <c r="B495" t="s">
        <v>1768</v>
      </c>
      <c r="C495" s="806">
        <v>1.04</v>
      </c>
      <c r="D495" s="121">
        <v>147957954</v>
      </c>
    </row>
    <row r="496" spans="1:4" ht="15">
      <c r="A496" t="s">
        <v>2036</v>
      </c>
      <c r="B496" t="s">
        <v>1769</v>
      </c>
      <c r="C496" s="806">
        <v>1.04</v>
      </c>
      <c r="D496" s="121">
        <v>1104545202</v>
      </c>
    </row>
    <row r="497" spans="1:4" ht="15">
      <c r="A497" t="s">
        <v>3076</v>
      </c>
      <c r="B497" t="s">
        <v>1770</v>
      </c>
      <c r="C497" s="806">
        <v>1.04</v>
      </c>
      <c r="D497" s="121">
        <v>306630251</v>
      </c>
    </row>
    <row r="498" spans="1:4" ht="15">
      <c r="A498" t="s">
        <v>3077</v>
      </c>
      <c r="B498" t="s">
        <v>1771</v>
      </c>
      <c r="C498" s="806">
        <v>1.04</v>
      </c>
      <c r="D498" s="121">
        <v>395798180</v>
      </c>
    </row>
    <row r="499" spans="1:4" ht="15">
      <c r="A499" t="s">
        <v>1507</v>
      </c>
      <c r="B499" t="s">
        <v>1772</v>
      </c>
      <c r="C499" s="806">
        <v>0.92730000000000001</v>
      </c>
      <c r="D499" s="121">
        <v>142447766</v>
      </c>
    </row>
    <row r="500" spans="1:4" ht="15">
      <c r="A500" t="s">
        <v>2492</v>
      </c>
      <c r="B500" t="s">
        <v>1773</v>
      </c>
      <c r="C500" s="806">
        <v>1.04</v>
      </c>
      <c r="D500" s="121">
        <v>64219710</v>
      </c>
    </row>
    <row r="501" spans="1:4" ht="15">
      <c r="A501" t="s">
        <v>1271</v>
      </c>
      <c r="B501" t="s">
        <v>1774</v>
      </c>
      <c r="C501" s="806">
        <v>1.0269999999999999</v>
      </c>
      <c r="D501" s="121">
        <v>53618917</v>
      </c>
    </row>
    <row r="502" spans="1:4" ht="15">
      <c r="A502" t="s">
        <v>2155</v>
      </c>
      <c r="B502" t="s">
        <v>726</v>
      </c>
      <c r="C502" s="806">
        <v>1.04</v>
      </c>
      <c r="D502" s="121">
        <v>289142332</v>
      </c>
    </row>
    <row r="503" spans="1:4" ht="15">
      <c r="A503" t="s">
        <v>1272</v>
      </c>
      <c r="B503" t="s">
        <v>1775</v>
      </c>
      <c r="C503" s="806">
        <v>1.04</v>
      </c>
      <c r="D503" s="121">
        <v>67370273</v>
      </c>
    </row>
    <row r="504" spans="1:4" ht="15">
      <c r="A504" t="s">
        <v>1618</v>
      </c>
      <c r="B504" t="s">
        <v>1743</v>
      </c>
      <c r="C504" s="806">
        <v>1.04</v>
      </c>
      <c r="D504" s="121">
        <v>427129301</v>
      </c>
    </row>
    <row r="505" spans="1:4" ht="15">
      <c r="A505" t="s">
        <v>1209</v>
      </c>
      <c r="B505" t="s">
        <v>1776</v>
      </c>
      <c r="C505" s="806">
        <v>1.04</v>
      </c>
      <c r="D505" s="121">
        <v>1320060565</v>
      </c>
    </row>
    <row r="506" spans="1:4" ht="15">
      <c r="A506" t="s">
        <v>2218</v>
      </c>
      <c r="B506" t="s">
        <v>2435</v>
      </c>
      <c r="C506" s="806">
        <v>1.0389999999999999</v>
      </c>
      <c r="D506" s="121">
        <v>196298287</v>
      </c>
    </row>
    <row r="507" spans="1:4" ht="15">
      <c r="A507" t="s">
        <v>1781</v>
      </c>
      <c r="B507" t="s">
        <v>90</v>
      </c>
      <c r="C507" s="806">
        <v>1.04</v>
      </c>
      <c r="D507" s="121">
        <v>557456826</v>
      </c>
    </row>
    <row r="508" spans="1:4" ht="15">
      <c r="A508" t="s">
        <v>273</v>
      </c>
      <c r="B508" t="s">
        <v>1292</v>
      </c>
      <c r="C508" s="806">
        <v>1.1259999999999999</v>
      </c>
      <c r="D508" s="121">
        <v>77253057</v>
      </c>
    </row>
    <row r="509" spans="1:4" ht="15">
      <c r="A509" t="s">
        <v>1210</v>
      </c>
      <c r="B509" t="s">
        <v>1777</v>
      </c>
      <c r="C509" s="806">
        <v>1.04</v>
      </c>
      <c r="D509" s="121">
        <v>60505884</v>
      </c>
    </row>
    <row r="510" spans="1:4" ht="15">
      <c r="A510" t="s">
        <v>987</v>
      </c>
      <c r="B510" t="s">
        <v>903</v>
      </c>
      <c r="C510" s="806">
        <v>1.04</v>
      </c>
      <c r="D510" s="121">
        <v>104864407</v>
      </c>
    </row>
    <row r="511" spans="1:4" ht="15">
      <c r="A511" t="s">
        <v>2105</v>
      </c>
      <c r="B511" t="s">
        <v>1523</v>
      </c>
      <c r="C511" s="806">
        <v>1.17</v>
      </c>
      <c r="D511" s="121">
        <v>14799636</v>
      </c>
    </row>
    <row r="512" spans="1:4" ht="15">
      <c r="A512" t="s">
        <v>1211</v>
      </c>
      <c r="B512" t="s">
        <v>1778</v>
      </c>
      <c r="C512" s="806">
        <v>1.04</v>
      </c>
      <c r="D512" s="121">
        <v>484782173</v>
      </c>
    </row>
    <row r="513" spans="1:4" ht="15">
      <c r="A513" t="s">
        <v>2454</v>
      </c>
      <c r="B513" t="s">
        <v>1196</v>
      </c>
      <c r="C513" s="806">
        <v>1.04</v>
      </c>
      <c r="D513" s="121">
        <v>152226326</v>
      </c>
    </row>
    <row r="514" spans="1:4" ht="15">
      <c r="A514" t="s">
        <v>2455</v>
      </c>
      <c r="B514" t="s">
        <v>1197</v>
      </c>
      <c r="C514" s="806">
        <v>1.034</v>
      </c>
      <c r="D514" s="121">
        <v>1496827872</v>
      </c>
    </row>
    <row r="515" spans="1:4" ht="15">
      <c r="A515" t="s">
        <v>1428</v>
      </c>
      <c r="B515" t="s">
        <v>2890</v>
      </c>
      <c r="C515" s="806">
        <v>1.04</v>
      </c>
      <c r="D515" s="121">
        <v>33016966</v>
      </c>
    </row>
    <row r="516" spans="1:4" ht="15">
      <c r="A516" t="s">
        <v>1429</v>
      </c>
      <c r="B516" t="s">
        <v>1198</v>
      </c>
      <c r="C516" s="806">
        <v>1.04</v>
      </c>
      <c r="D516" s="121">
        <v>483815978</v>
      </c>
    </row>
    <row r="517" spans="1:4" ht="15">
      <c r="A517" t="s">
        <v>1039</v>
      </c>
      <c r="B517" t="s">
        <v>2821</v>
      </c>
      <c r="C517" s="806">
        <v>1.04</v>
      </c>
      <c r="D517" s="121">
        <v>106828859</v>
      </c>
    </row>
    <row r="518" spans="1:4" ht="15">
      <c r="A518" t="s">
        <v>1040</v>
      </c>
      <c r="B518" t="s">
        <v>2822</v>
      </c>
      <c r="C518" s="806">
        <v>1.04</v>
      </c>
      <c r="D518" s="121">
        <v>598524211</v>
      </c>
    </row>
    <row r="519" spans="1:4" ht="15">
      <c r="A519" t="s">
        <v>1041</v>
      </c>
      <c r="B519" t="s">
        <v>1199</v>
      </c>
      <c r="C519" s="806">
        <v>1.04</v>
      </c>
      <c r="D519" s="121">
        <v>143876334</v>
      </c>
    </row>
    <row r="520" spans="1:4" ht="15">
      <c r="A520" t="s">
        <v>1042</v>
      </c>
      <c r="B520" t="s">
        <v>685</v>
      </c>
      <c r="C520" s="806">
        <v>1.04</v>
      </c>
      <c r="D520" s="121">
        <v>422482110</v>
      </c>
    </row>
    <row r="521" spans="1:4" ht="15">
      <c r="A521" t="s">
        <v>2972</v>
      </c>
      <c r="B521" t="s">
        <v>1671</v>
      </c>
      <c r="C521" s="806">
        <v>1.04</v>
      </c>
      <c r="D521" s="121">
        <v>139145386</v>
      </c>
    </row>
    <row r="522" spans="1:4" ht="15">
      <c r="A522" t="s">
        <v>544</v>
      </c>
      <c r="B522" t="s">
        <v>686</v>
      </c>
      <c r="C522" s="806">
        <v>1.04</v>
      </c>
      <c r="D522" s="121">
        <v>553704904</v>
      </c>
    </row>
    <row r="523" spans="1:4" ht="15">
      <c r="A523" t="s">
        <v>3042</v>
      </c>
      <c r="B523" t="s">
        <v>2859</v>
      </c>
      <c r="C523" s="806">
        <v>1.04</v>
      </c>
      <c r="D523" s="121">
        <v>146199838</v>
      </c>
    </row>
    <row r="524" spans="1:4" ht="15">
      <c r="A524" t="s">
        <v>995</v>
      </c>
      <c r="B524" t="s">
        <v>1632</v>
      </c>
      <c r="C524" s="806">
        <v>1.04</v>
      </c>
      <c r="D524" s="121">
        <v>212191561</v>
      </c>
    </row>
    <row r="525" spans="1:4" ht="15">
      <c r="A525" t="s">
        <v>51</v>
      </c>
      <c r="B525" t="s">
        <v>446</v>
      </c>
      <c r="C525" s="806">
        <v>1.17</v>
      </c>
      <c r="D525" s="121">
        <v>584685528</v>
      </c>
    </row>
    <row r="526" spans="1:4" ht="15">
      <c r="A526" t="s">
        <v>61</v>
      </c>
      <c r="B526" t="s">
        <v>2296</v>
      </c>
      <c r="C526" s="806">
        <v>1.04</v>
      </c>
      <c r="D526" s="121">
        <v>150734636</v>
      </c>
    </row>
    <row r="527" spans="1:4" ht="15">
      <c r="A527" t="s">
        <v>3043</v>
      </c>
      <c r="B527" t="s">
        <v>2860</v>
      </c>
      <c r="C527" s="806">
        <v>1.04</v>
      </c>
      <c r="D527" s="121">
        <v>390652187</v>
      </c>
    </row>
    <row r="528" spans="1:4" ht="15">
      <c r="A528" t="s">
        <v>3044</v>
      </c>
      <c r="B528" t="s">
        <v>2861</v>
      </c>
      <c r="C528" s="806">
        <v>1.04</v>
      </c>
      <c r="D528" s="121">
        <v>145814229</v>
      </c>
    </row>
    <row r="529" spans="1:4" ht="15">
      <c r="A529" t="s">
        <v>3045</v>
      </c>
      <c r="B529" t="s">
        <v>2618</v>
      </c>
      <c r="C529" s="806">
        <v>0.91</v>
      </c>
      <c r="D529" s="121">
        <v>32842700</v>
      </c>
    </row>
    <row r="530" spans="1:4" ht="15">
      <c r="A530" t="s">
        <v>2905</v>
      </c>
      <c r="B530" t="s">
        <v>426</v>
      </c>
      <c r="C530" s="806">
        <v>1.04</v>
      </c>
      <c r="D530" s="121">
        <v>1542435179</v>
      </c>
    </row>
    <row r="531" spans="1:4" ht="15">
      <c r="A531" t="s">
        <v>2615</v>
      </c>
      <c r="B531" t="s">
        <v>2619</v>
      </c>
      <c r="C531" s="806">
        <v>1.04</v>
      </c>
      <c r="D531" s="121">
        <v>4215765371</v>
      </c>
    </row>
    <row r="532" spans="1:4" ht="15">
      <c r="A532" t="s">
        <v>2616</v>
      </c>
      <c r="B532" t="s">
        <v>3089</v>
      </c>
      <c r="C532" s="806">
        <v>1.04</v>
      </c>
      <c r="D532" s="121">
        <v>3082350313</v>
      </c>
    </row>
    <row r="533" spans="1:4" ht="15">
      <c r="A533" t="s">
        <v>1501</v>
      </c>
      <c r="B533" t="s">
        <v>3090</v>
      </c>
      <c r="C533" s="806">
        <v>1.04</v>
      </c>
      <c r="D533" s="121">
        <v>8300301778</v>
      </c>
    </row>
    <row r="534" spans="1:4" ht="15">
      <c r="A534" t="s">
        <v>1502</v>
      </c>
      <c r="B534" t="s">
        <v>3091</v>
      </c>
      <c r="C534" s="806">
        <v>1.04</v>
      </c>
      <c r="D534" s="121">
        <v>515016589</v>
      </c>
    </row>
    <row r="535" spans="1:4" ht="15">
      <c r="A535" t="s">
        <v>1484</v>
      </c>
      <c r="B535" t="s">
        <v>1950</v>
      </c>
      <c r="C535" s="806">
        <v>1.17</v>
      </c>
      <c r="D535" s="121">
        <v>575860910</v>
      </c>
    </row>
    <row r="536" spans="1:4" ht="15">
      <c r="A536" t="s">
        <v>1503</v>
      </c>
      <c r="B536" t="s">
        <v>1956</v>
      </c>
      <c r="C536" s="806">
        <v>1.04</v>
      </c>
      <c r="D536" s="121">
        <v>460821722</v>
      </c>
    </row>
    <row r="537" spans="1:4" ht="15">
      <c r="A537" t="s">
        <v>2299</v>
      </c>
      <c r="B537" t="s">
        <v>799</v>
      </c>
      <c r="C537" s="806">
        <v>1.04</v>
      </c>
      <c r="D537" s="121">
        <v>941739378</v>
      </c>
    </row>
    <row r="538" spans="1:4" ht="15">
      <c r="A538" t="s">
        <v>2652</v>
      </c>
      <c r="B538" t="s">
        <v>3080</v>
      </c>
      <c r="C538" s="806">
        <v>1.04</v>
      </c>
      <c r="D538" s="121">
        <v>53620464</v>
      </c>
    </row>
    <row r="539" spans="1:4" ht="15">
      <c r="A539" t="s">
        <v>1593</v>
      </c>
      <c r="B539" t="s">
        <v>1151</v>
      </c>
      <c r="C539" s="806">
        <v>1.04</v>
      </c>
      <c r="D539" s="121">
        <v>146357182</v>
      </c>
    </row>
    <row r="540" spans="1:4" ht="15">
      <c r="A540" t="s">
        <v>244</v>
      </c>
      <c r="B540" t="s">
        <v>2412</v>
      </c>
      <c r="C540" s="806">
        <v>1.04</v>
      </c>
      <c r="D540" s="121">
        <v>123860250</v>
      </c>
    </row>
    <row r="541" spans="1:4" ht="15">
      <c r="A541" t="s">
        <v>1504</v>
      </c>
      <c r="B541" t="s">
        <v>1957</v>
      </c>
      <c r="C541" s="806">
        <v>1.04</v>
      </c>
      <c r="D541" s="121">
        <v>32839560</v>
      </c>
    </row>
    <row r="542" spans="1:4" ht="15">
      <c r="A542" t="s">
        <v>223</v>
      </c>
      <c r="B542" t="s">
        <v>1201</v>
      </c>
      <c r="C542" s="806">
        <v>1.04</v>
      </c>
      <c r="D542" s="121">
        <v>858059294</v>
      </c>
    </row>
    <row r="543" spans="1:4" ht="15">
      <c r="A543" t="s">
        <v>2153</v>
      </c>
      <c r="B543" t="s">
        <v>1634</v>
      </c>
      <c r="C543" s="806">
        <v>1.04</v>
      </c>
      <c r="D543" s="121">
        <v>2424060618</v>
      </c>
    </row>
    <row r="544" spans="1:4" ht="15">
      <c r="A544" t="s">
        <v>627</v>
      </c>
      <c r="B544" t="s">
        <v>1328</v>
      </c>
      <c r="C544" s="806">
        <v>1.04</v>
      </c>
      <c r="D544" s="121">
        <v>2352389073</v>
      </c>
    </row>
    <row r="545" spans="1:4" ht="15">
      <c r="A545" t="s">
        <v>2037</v>
      </c>
      <c r="B545" t="s">
        <v>977</v>
      </c>
      <c r="C545" s="806">
        <v>1.04</v>
      </c>
      <c r="D545" s="121">
        <v>261908892</v>
      </c>
    </row>
    <row r="546" spans="1:4" ht="15">
      <c r="A546" t="s">
        <v>52</v>
      </c>
      <c r="B546" t="s">
        <v>447</v>
      </c>
      <c r="C546" s="806">
        <v>1.17</v>
      </c>
      <c r="D546" s="121">
        <v>995074066</v>
      </c>
    </row>
    <row r="547" spans="1:4" ht="15">
      <c r="A547" t="s">
        <v>1505</v>
      </c>
      <c r="B547" t="s">
        <v>2314</v>
      </c>
      <c r="C547" s="806">
        <v>1.04</v>
      </c>
      <c r="D547" s="121">
        <v>134206167</v>
      </c>
    </row>
    <row r="548" spans="1:4" ht="15">
      <c r="A548" t="s">
        <v>2653</v>
      </c>
      <c r="B548" t="s">
        <v>3094</v>
      </c>
      <c r="C548" s="806">
        <v>1.04</v>
      </c>
      <c r="D548" s="121">
        <v>188687501</v>
      </c>
    </row>
    <row r="549" spans="1:4" ht="15">
      <c r="A549" t="s">
        <v>283</v>
      </c>
      <c r="B549" t="s">
        <v>3040</v>
      </c>
      <c r="C549" s="806">
        <v>1.04</v>
      </c>
      <c r="D549" s="121">
        <v>253646875</v>
      </c>
    </row>
    <row r="550" spans="1:4" ht="15">
      <c r="A550" t="s">
        <v>1435</v>
      </c>
      <c r="B550" t="s">
        <v>2651</v>
      </c>
      <c r="C550" s="806">
        <v>0.92149999999999999</v>
      </c>
      <c r="D550" s="121">
        <v>729790992</v>
      </c>
    </row>
    <row r="551" spans="1:4" ht="15">
      <c r="A551" t="s">
        <v>2400</v>
      </c>
      <c r="B551" t="s">
        <v>2771</v>
      </c>
      <c r="C551" s="806">
        <v>1.04</v>
      </c>
      <c r="D551" s="121">
        <v>96672828</v>
      </c>
    </row>
    <row r="552" spans="1:4" ht="15">
      <c r="A552" t="s">
        <v>1506</v>
      </c>
      <c r="B552" t="s">
        <v>2315</v>
      </c>
      <c r="C552" s="806">
        <v>1.17</v>
      </c>
      <c r="D552" s="121">
        <v>82385906</v>
      </c>
    </row>
    <row r="553" spans="1:4" ht="15">
      <c r="A553" t="s">
        <v>2128</v>
      </c>
      <c r="B553" t="s">
        <v>937</v>
      </c>
      <c r="C553" s="806">
        <v>1.04</v>
      </c>
      <c r="D553" s="121">
        <v>67770381</v>
      </c>
    </row>
    <row r="554" spans="1:4" ht="15">
      <c r="A554" t="s">
        <v>2870</v>
      </c>
      <c r="B554" t="s">
        <v>165</v>
      </c>
      <c r="C554" s="806">
        <v>1.17</v>
      </c>
      <c r="D554" s="121">
        <v>46800480</v>
      </c>
    </row>
    <row r="555" spans="1:4" ht="15">
      <c r="A555" t="s">
        <v>288</v>
      </c>
      <c r="B555" t="s">
        <v>2213</v>
      </c>
      <c r="C555" s="806">
        <v>1.17</v>
      </c>
      <c r="D555" s="121">
        <v>68009445</v>
      </c>
    </row>
    <row r="556" spans="1:4" ht="15">
      <c r="A556" t="s">
        <v>54</v>
      </c>
      <c r="B556" t="s">
        <v>449</v>
      </c>
      <c r="C556" s="806">
        <v>1.04</v>
      </c>
      <c r="D556" s="121">
        <v>201364978</v>
      </c>
    </row>
    <row r="557" spans="1:4" ht="15">
      <c r="A557" t="s">
        <v>2871</v>
      </c>
      <c r="B557" t="s">
        <v>454</v>
      </c>
      <c r="C557" s="806">
        <v>1.04</v>
      </c>
      <c r="D557" s="121">
        <v>108291986</v>
      </c>
    </row>
    <row r="558" spans="1:4" ht="15">
      <c r="A558" t="s">
        <v>1317</v>
      </c>
      <c r="B558" t="s">
        <v>2316</v>
      </c>
      <c r="C558" s="806">
        <v>1.04</v>
      </c>
      <c r="D558" s="121">
        <v>55729241</v>
      </c>
    </row>
    <row r="559" spans="1:4" ht="15">
      <c r="A559" t="s">
        <v>1899</v>
      </c>
      <c r="B559" t="s">
        <v>1005</v>
      </c>
      <c r="C559" s="806">
        <v>1.04</v>
      </c>
      <c r="D559" s="121">
        <v>56887137</v>
      </c>
    </row>
    <row r="560" spans="1:4" ht="15">
      <c r="A560" t="s">
        <v>2757</v>
      </c>
      <c r="B560" t="s">
        <v>456</v>
      </c>
      <c r="C560" s="806">
        <v>1.04</v>
      </c>
      <c r="D560" s="121">
        <v>459544350</v>
      </c>
    </row>
    <row r="561" spans="1:4" ht="15">
      <c r="A561" t="s">
        <v>1515</v>
      </c>
      <c r="B561" t="s">
        <v>132</v>
      </c>
      <c r="C561" s="806">
        <v>1.04</v>
      </c>
      <c r="D561" s="121">
        <v>2197244001</v>
      </c>
    </row>
    <row r="562" spans="1:4" ht="15">
      <c r="A562" t="s">
        <v>56</v>
      </c>
      <c r="B562" t="s">
        <v>451</v>
      </c>
      <c r="C562" s="806">
        <v>1.04</v>
      </c>
      <c r="D562" s="121">
        <v>618604563</v>
      </c>
    </row>
    <row r="563" spans="1:4" ht="15">
      <c r="A563" t="s">
        <v>58</v>
      </c>
      <c r="B563" t="s">
        <v>453</v>
      </c>
      <c r="C563" s="806">
        <v>1.04</v>
      </c>
      <c r="D563" s="121">
        <v>313524955</v>
      </c>
    </row>
    <row r="564" spans="1:4" ht="15">
      <c r="A564" t="s">
        <v>2923</v>
      </c>
      <c r="B564" t="s">
        <v>2317</v>
      </c>
      <c r="C564" s="806">
        <v>1.04</v>
      </c>
      <c r="D564" s="121">
        <v>874735515</v>
      </c>
    </row>
    <row r="565" spans="1:4" ht="15">
      <c r="A565" t="s">
        <v>2924</v>
      </c>
      <c r="B565" t="s">
        <v>2318</v>
      </c>
      <c r="C565" s="806">
        <v>1.04</v>
      </c>
      <c r="D565" s="121">
        <v>1341679877</v>
      </c>
    </row>
    <row r="566" spans="1:4" ht="15">
      <c r="A566" t="s">
        <v>536</v>
      </c>
      <c r="B566" t="s">
        <v>1415</v>
      </c>
      <c r="C566" s="806">
        <v>1.04</v>
      </c>
      <c r="D566" s="121">
        <v>153970118</v>
      </c>
    </row>
    <row r="567" spans="1:4" ht="15">
      <c r="A567" t="s">
        <v>2925</v>
      </c>
      <c r="B567" t="s">
        <v>2319</v>
      </c>
      <c r="C567" s="806">
        <v>1.04</v>
      </c>
      <c r="D567" s="121">
        <v>3597251222</v>
      </c>
    </row>
    <row r="568" spans="1:4" ht="15">
      <c r="A568" t="s">
        <v>1732</v>
      </c>
      <c r="B568" t="s">
        <v>2320</v>
      </c>
      <c r="C568" s="806">
        <v>0.98499999999999999</v>
      </c>
      <c r="D568" s="121">
        <v>545032402</v>
      </c>
    </row>
    <row r="569" spans="1:4" ht="15">
      <c r="A569" t="s">
        <v>3088</v>
      </c>
      <c r="B569" t="s">
        <v>2321</v>
      </c>
      <c r="C569" s="806">
        <v>1.06</v>
      </c>
      <c r="D569" s="121">
        <v>478639475</v>
      </c>
    </row>
    <row r="570" spans="1:4" ht="15">
      <c r="A570" t="s">
        <v>2649</v>
      </c>
      <c r="B570" t="s">
        <v>2322</v>
      </c>
      <c r="C570" s="806">
        <v>1.0266999999999999</v>
      </c>
      <c r="D570" s="121">
        <v>524773132</v>
      </c>
    </row>
    <row r="571" spans="1:4" ht="15">
      <c r="A571" t="s">
        <v>1734</v>
      </c>
      <c r="B571" t="s">
        <v>734</v>
      </c>
      <c r="C571" s="806">
        <v>1.04</v>
      </c>
      <c r="D571" s="121">
        <v>177372416</v>
      </c>
    </row>
    <row r="572" spans="1:4" ht="15">
      <c r="A572" t="s">
        <v>2913</v>
      </c>
      <c r="B572" t="s">
        <v>2323</v>
      </c>
      <c r="C572" s="806">
        <v>1.04</v>
      </c>
      <c r="D572" s="121">
        <v>246166065</v>
      </c>
    </row>
    <row r="573" spans="1:4" ht="15">
      <c r="A573" t="s">
        <v>2914</v>
      </c>
      <c r="B573" t="s">
        <v>2324</v>
      </c>
      <c r="C573" s="806">
        <v>1.03</v>
      </c>
      <c r="D573" s="121">
        <v>1927453253</v>
      </c>
    </row>
    <row r="574" spans="1:4" ht="15">
      <c r="A574" t="s">
        <v>529</v>
      </c>
      <c r="B574" t="s">
        <v>2325</v>
      </c>
      <c r="C574" s="806">
        <v>1.04</v>
      </c>
      <c r="D574" s="121">
        <v>364456017</v>
      </c>
    </row>
    <row r="575" spans="1:4" ht="15">
      <c r="A575" t="s">
        <v>2601</v>
      </c>
      <c r="B575" t="s">
        <v>2326</v>
      </c>
      <c r="C575" s="806">
        <v>0.77149999999999996</v>
      </c>
      <c r="D575" s="121">
        <v>47338495</v>
      </c>
    </row>
    <row r="576" spans="1:4" ht="15">
      <c r="A576" t="s">
        <v>2602</v>
      </c>
      <c r="B576" t="s">
        <v>2327</v>
      </c>
      <c r="C576" s="806">
        <v>0.95</v>
      </c>
      <c r="D576" s="121">
        <v>263706230</v>
      </c>
    </row>
    <row r="577" spans="1:4" ht="15">
      <c r="A577" t="s">
        <v>1727</v>
      </c>
      <c r="B577" t="s">
        <v>2328</v>
      </c>
      <c r="C577" s="806">
        <v>1.01</v>
      </c>
      <c r="D577" s="121">
        <v>272862898</v>
      </c>
    </row>
    <row r="578" spans="1:4" ht="15">
      <c r="A578" t="s">
        <v>1728</v>
      </c>
      <c r="B578" t="s">
        <v>2329</v>
      </c>
      <c r="C578" s="806">
        <v>1.04</v>
      </c>
      <c r="D578" s="121">
        <v>143085069</v>
      </c>
    </row>
    <row r="579" spans="1:4" ht="15">
      <c r="A579" t="s">
        <v>2872</v>
      </c>
      <c r="B579" t="s">
        <v>2295</v>
      </c>
      <c r="C579" s="806">
        <v>1.04</v>
      </c>
      <c r="D579" s="121">
        <v>698692656</v>
      </c>
    </row>
    <row r="580" spans="1:4" ht="15">
      <c r="A580" t="s">
        <v>429</v>
      </c>
      <c r="B580" t="s">
        <v>2330</v>
      </c>
      <c r="C580" s="806">
        <v>1.17</v>
      </c>
      <c r="D580" s="121">
        <v>128382542</v>
      </c>
    </row>
    <row r="581" spans="1:4" ht="15">
      <c r="A581" t="s">
        <v>430</v>
      </c>
      <c r="B581" t="s">
        <v>2331</v>
      </c>
      <c r="C581" s="806">
        <v>1.04</v>
      </c>
      <c r="D581" s="121">
        <v>249758589</v>
      </c>
    </row>
    <row r="582" spans="1:4" ht="15">
      <c r="A582" t="s">
        <v>431</v>
      </c>
      <c r="B582" t="s">
        <v>2332</v>
      </c>
      <c r="C582" s="806">
        <v>1.04</v>
      </c>
      <c r="D582" s="121">
        <v>205372862</v>
      </c>
    </row>
    <row r="583" spans="1:4" ht="15">
      <c r="A583" t="s">
        <v>2873</v>
      </c>
      <c r="B583" t="s">
        <v>1200</v>
      </c>
      <c r="C583" s="806">
        <v>1.17</v>
      </c>
      <c r="D583" s="121">
        <v>64003348</v>
      </c>
    </row>
    <row r="584" spans="1:4" ht="15">
      <c r="A584" t="s">
        <v>270</v>
      </c>
      <c r="B584" t="s">
        <v>2333</v>
      </c>
      <c r="C584" s="806">
        <v>1.17</v>
      </c>
      <c r="D584" s="121">
        <v>44768907</v>
      </c>
    </row>
    <row r="585" spans="1:4" ht="15">
      <c r="A585" t="s">
        <v>271</v>
      </c>
      <c r="B585" t="s">
        <v>2334</v>
      </c>
      <c r="C585" s="806">
        <v>1.17</v>
      </c>
      <c r="D585" s="121">
        <v>24035957</v>
      </c>
    </row>
    <row r="586" spans="1:4" ht="15">
      <c r="A586" t="s">
        <v>272</v>
      </c>
      <c r="B586" t="s">
        <v>2335</v>
      </c>
      <c r="C586" s="806">
        <v>1.04</v>
      </c>
      <c r="D586" s="121">
        <v>543854954</v>
      </c>
    </row>
    <row r="587" spans="1:4" ht="15">
      <c r="A587" t="s">
        <v>2654</v>
      </c>
      <c r="B587" t="s">
        <v>667</v>
      </c>
      <c r="C587" s="806">
        <v>1.04</v>
      </c>
      <c r="D587" s="121">
        <v>30465152</v>
      </c>
    </row>
    <row r="588" spans="1:4" ht="15">
      <c r="A588" t="s">
        <v>2303</v>
      </c>
      <c r="B588" t="s">
        <v>226</v>
      </c>
      <c r="C588" s="806">
        <v>1.04</v>
      </c>
      <c r="D588" s="121">
        <v>620345997</v>
      </c>
    </row>
    <row r="589" spans="1:4" ht="15">
      <c r="A589" t="s">
        <v>2370</v>
      </c>
      <c r="B589" t="s">
        <v>2786</v>
      </c>
      <c r="C589" s="806">
        <v>1.04</v>
      </c>
      <c r="D589" s="121">
        <v>749466972</v>
      </c>
    </row>
    <row r="590" spans="1:4" ht="15">
      <c r="A590" t="s">
        <v>2874</v>
      </c>
      <c r="B590" t="s">
        <v>2411</v>
      </c>
      <c r="C590" s="806">
        <v>1.04</v>
      </c>
      <c r="D590" s="121">
        <v>119098003</v>
      </c>
    </row>
    <row r="591" spans="1:4" ht="15">
      <c r="A591" t="s">
        <v>1754</v>
      </c>
      <c r="B591" t="s">
        <v>2787</v>
      </c>
      <c r="C591" s="806">
        <v>1.04</v>
      </c>
      <c r="D591" s="121">
        <v>36130237</v>
      </c>
    </row>
    <row r="592" spans="1:4" ht="15">
      <c r="A592" t="s">
        <v>1755</v>
      </c>
      <c r="B592" t="s">
        <v>1064</v>
      </c>
      <c r="C592" s="806">
        <v>1.04</v>
      </c>
      <c r="D592" s="121">
        <v>192111513</v>
      </c>
    </row>
    <row r="593" spans="1:4" ht="15">
      <c r="A593" t="s">
        <v>1592</v>
      </c>
      <c r="B593" t="s">
        <v>934</v>
      </c>
      <c r="C593" s="806">
        <v>1.04</v>
      </c>
      <c r="D593" s="121">
        <v>97051243</v>
      </c>
    </row>
    <row r="594" spans="1:4" ht="15">
      <c r="A594" t="s">
        <v>2584</v>
      </c>
      <c r="B594" t="s">
        <v>1067</v>
      </c>
      <c r="C594" s="806">
        <v>1.0401</v>
      </c>
      <c r="D594" s="121">
        <v>54287733</v>
      </c>
    </row>
    <row r="595" spans="1:4" ht="15">
      <c r="A595" t="s">
        <v>2585</v>
      </c>
      <c r="B595" t="s">
        <v>1068</v>
      </c>
      <c r="C595" s="806">
        <v>0.94599999999999995</v>
      </c>
      <c r="D595" s="121">
        <v>367138042</v>
      </c>
    </row>
    <row r="596" spans="1:4" ht="15">
      <c r="A596" t="s">
        <v>2586</v>
      </c>
      <c r="B596" t="s">
        <v>1069</v>
      </c>
      <c r="C596" s="806">
        <v>1.04</v>
      </c>
      <c r="D596" s="121">
        <v>842582792</v>
      </c>
    </row>
    <row r="597" spans="1:4" ht="15">
      <c r="A597" t="s">
        <v>2587</v>
      </c>
      <c r="B597" t="s">
        <v>1070</v>
      </c>
      <c r="C597" s="806">
        <v>1.04</v>
      </c>
      <c r="D597" s="121">
        <v>72120397</v>
      </c>
    </row>
    <row r="598" spans="1:4" ht="15">
      <c r="A598" t="s">
        <v>2755</v>
      </c>
      <c r="B598" t="s">
        <v>1258</v>
      </c>
      <c r="C598" s="806">
        <v>1.17</v>
      </c>
      <c r="D598" s="121">
        <v>423975294</v>
      </c>
    </row>
    <row r="599" spans="1:4" ht="15">
      <c r="A599" t="s">
        <v>2588</v>
      </c>
      <c r="B599" t="s">
        <v>1071</v>
      </c>
      <c r="C599" s="806">
        <v>0.98170000000000002</v>
      </c>
      <c r="D599" s="121">
        <v>746748677</v>
      </c>
    </row>
    <row r="600" spans="1:4" ht="15">
      <c r="A600" t="s">
        <v>2589</v>
      </c>
      <c r="B600" t="s">
        <v>1072</v>
      </c>
      <c r="C600" s="806">
        <v>1.04</v>
      </c>
      <c r="D600" s="121">
        <v>71065306</v>
      </c>
    </row>
    <row r="601" spans="1:4" ht="15">
      <c r="A601" t="s">
        <v>2590</v>
      </c>
      <c r="B601" t="s">
        <v>1073</v>
      </c>
      <c r="C601" s="806">
        <v>1.04</v>
      </c>
      <c r="D601" s="121">
        <v>179542453</v>
      </c>
    </row>
    <row r="602" spans="1:4" ht="15">
      <c r="A602" t="s">
        <v>2591</v>
      </c>
      <c r="B602" t="s">
        <v>1074</v>
      </c>
      <c r="C602" s="806">
        <v>0.94</v>
      </c>
      <c r="D602" s="121">
        <v>62123208</v>
      </c>
    </row>
    <row r="603" spans="1:4" ht="15">
      <c r="A603" t="s">
        <v>2592</v>
      </c>
      <c r="B603" t="s">
        <v>1075</v>
      </c>
      <c r="C603" s="806">
        <v>1.04</v>
      </c>
      <c r="D603" s="121">
        <v>37106681</v>
      </c>
    </row>
    <row r="604" spans="1:4" ht="15">
      <c r="A604" t="s">
        <v>2981</v>
      </c>
      <c r="B604" t="s">
        <v>1076</v>
      </c>
      <c r="C604" s="806">
        <v>0.97070000000000001</v>
      </c>
      <c r="D604" s="121">
        <v>166530658</v>
      </c>
    </row>
    <row r="605" spans="1:4" ht="15">
      <c r="A605" t="s">
        <v>2982</v>
      </c>
      <c r="B605" t="s">
        <v>1077</v>
      </c>
      <c r="C605" s="806">
        <v>1.04</v>
      </c>
      <c r="D605" s="121">
        <v>693836573</v>
      </c>
    </row>
    <row r="606" spans="1:4" ht="15">
      <c r="A606" t="s">
        <v>2983</v>
      </c>
      <c r="B606" t="s">
        <v>1078</v>
      </c>
      <c r="C606" s="806">
        <v>1.04</v>
      </c>
      <c r="D606" s="121">
        <v>278936490</v>
      </c>
    </row>
    <row r="607" spans="1:4" ht="15">
      <c r="A607" t="s">
        <v>2984</v>
      </c>
      <c r="B607" t="s">
        <v>1079</v>
      </c>
      <c r="C607" s="806">
        <v>1.04</v>
      </c>
      <c r="D607" s="121">
        <v>152322774</v>
      </c>
    </row>
    <row r="608" spans="1:4" ht="15">
      <c r="A608" t="s">
        <v>2985</v>
      </c>
      <c r="B608" t="s">
        <v>1080</v>
      </c>
      <c r="C608" s="806">
        <v>1.04</v>
      </c>
      <c r="D608" s="121">
        <v>381237415</v>
      </c>
    </row>
    <row r="609" spans="1:4" ht="15">
      <c r="A609" t="s">
        <v>1561</v>
      </c>
      <c r="B609" t="s">
        <v>2081</v>
      </c>
      <c r="C609" s="806">
        <v>1.04</v>
      </c>
      <c r="D609" s="121">
        <v>235238232</v>
      </c>
    </row>
    <row r="610" spans="1:4" ht="15">
      <c r="A610" t="s">
        <v>1562</v>
      </c>
      <c r="B610" t="s">
        <v>2082</v>
      </c>
      <c r="C610" s="806">
        <v>1.04</v>
      </c>
      <c r="D610" s="121">
        <v>176050539</v>
      </c>
    </row>
    <row r="611" spans="1:4" ht="15">
      <c r="A611" t="s">
        <v>2783</v>
      </c>
      <c r="B611" t="s">
        <v>2083</v>
      </c>
      <c r="C611" s="806">
        <v>1.04</v>
      </c>
      <c r="D611" s="121">
        <v>137948430</v>
      </c>
    </row>
    <row r="612" spans="1:4" ht="15">
      <c r="A612" t="s">
        <v>2421</v>
      </c>
      <c r="B612" t="s">
        <v>2282</v>
      </c>
      <c r="C612" s="806">
        <v>0.87929999999999997</v>
      </c>
      <c r="D612" s="121">
        <v>1029885850</v>
      </c>
    </row>
    <row r="613" spans="1:4" ht="15">
      <c r="A613" t="s">
        <v>3029</v>
      </c>
      <c r="B613" t="s">
        <v>1329</v>
      </c>
      <c r="C613" s="806">
        <v>1.04</v>
      </c>
      <c r="D613" s="121">
        <v>596739896</v>
      </c>
    </row>
    <row r="614" spans="1:4" ht="15">
      <c r="A614" t="s">
        <v>2762</v>
      </c>
      <c r="B614" t="s">
        <v>3061</v>
      </c>
      <c r="C614" s="806">
        <v>1.04</v>
      </c>
      <c r="D614" s="121">
        <v>1182744614</v>
      </c>
    </row>
    <row r="615" spans="1:4" ht="15">
      <c r="A615" t="s">
        <v>2422</v>
      </c>
      <c r="B615" t="s">
        <v>2283</v>
      </c>
      <c r="C615" s="806">
        <v>0.96</v>
      </c>
      <c r="D615" s="121">
        <v>556570765</v>
      </c>
    </row>
    <row r="616" spans="1:4" ht="15">
      <c r="A616" t="s">
        <v>2875</v>
      </c>
      <c r="B616" t="s">
        <v>1951</v>
      </c>
      <c r="C616" s="806">
        <v>1.04</v>
      </c>
      <c r="D616" s="121">
        <v>267577552</v>
      </c>
    </row>
    <row r="617" spans="1:4" ht="15">
      <c r="A617" t="s">
        <v>1277</v>
      </c>
      <c r="B617" t="s">
        <v>2735</v>
      </c>
      <c r="C617" s="806">
        <v>1.17</v>
      </c>
      <c r="D617" s="121">
        <v>224930580</v>
      </c>
    </row>
    <row r="618" spans="1:4" ht="15">
      <c r="A618" t="s">
        <v>2423</v>
      </c>
      <c r="B618" t="s">
        <v>590</v>
      </c>
      <c r="C618" s="806">
        <v>1.04</v>
      </c>
      <c r="D618" s="121">
        <v>765039283</v>
      </c>
    </row>
    <row r="619" spans="1:4" ht="15">
      <c r="A619" t="s">
        <v>2424</v>
      </c>
      <c r="B619" t="s">
        <v>591</v>
      </c>
      <c r="C619" s="806">
        <v>1.04</v>
      </c>
      <c r="D619" s="121">
        <v>308758569</v>
      </c>
    </row>
    <row r="620" spans="1:4" ht="15">
      <c r="A620" t="s">
        <v>1093</v>
      </c>
      <c r="B620" t="s">
        <v>1747</v>
      </c>
      <c r="C620" s="806">
        <v>1.04</v>
      </c>
      <c r="D620" s="121">
        <v>28560232</v>
      </c>
    </row>
    <row r="621" spans="1:4" ht="15">
      <c r="A621" t="s">
        <v>1513</v>
      </c>
      <c r="B621" t="s">
        <v>592</v>
      </c>
      <c r="C621" s="806">
        <v>1.01</v>
      </c>
      <c r="D621" s="121">
        <v>1983061732</v>
      </c>
    </row>
    <row r="622" spans="1:4" ht="15">
      <c r="A622" t="s">
        <v>1902</v>
      </c>
      <c r="B622" t="s">
        <v>593</v>
      </c>
      <c r="C622" s="806">
        <v>1.04</v>
      </c>
      <c r="D622" s="121">
        <v>331687066</v>
      </c>
    </row>
    <row r="623" spans="1:4" ht="15">
      <c r="A623" t="s">
        <v>1903</v>
      </c>
      <c r="B623" t="s">
        <v>594</v>
      </c>
      <c r="C623" s="806">
        <v>1.1200000000000001</v>
      </c>
      <c r="D623" s="121">
        <v>208487193</v>
      </c>
    </row>
    <row r="624" spans="1:4" ht="15">
      <c r="A624" t="s">
        <v>2926</v>
      </c>
      <c r="B624" t="s">
        <v>595</v>
      </c>
      <c r="C624" s="806">
        <v>1.04</v>
      </c>
      <c r="D624" s="121">
        <v>238291508</v>
      </c>
    </row>
    <row r="625" spans="1:4" ht="15">
      <c r="A625" t="s">
        <v>2927</v>
      </c>
      <c r="B625" t="s">
        <v>596</v>
      </c>
      <c r="C625" s="806">
        <v>1.04</v>
      </c>
      <c r="D625" s="121">
        <v>226283223</v>
      </c>
    </row>
    <row r="626" spans="1:4" ht="15">
      <c r="A626" t="s">
        <v>3056</v>
      </c>
      <c r="B626" t="s">
        <v>597</v>
      </c>
      <c r="C626" s="806">
        <v>1.04</v>
      </c>
      <c r="D626" s="121">
        <v>197767108</v>
      </c>
    </row>
    <row r="627" spans="1:4" ht="15">
      <c r="A627" t="s">
        <v>947</v>
      </c>
      <c r="B627" t="s">
        <v>598</v>
      </c>
      <c r="C627" s="806">
        <v>1.04</v>
      </c>
      <c r="D627" s="121">
        <v>455804128</v>
      </c>
    </row>
    <row r="628" spans="1:4" ht="15">
      <c r="A628" t="s">
        <v>95</v>
      </c>
      <c r="B628" t="s">
        <v>599</v>
      </c>
      <c r="C628" s="806">
        <v>1.04</v>
      </c>
      <c r="D628" s="121">
        <v>487701658</v>
      </c>
    </row>
    <row r="629" spans="1:4" ht="15">
      <c r="A629" t="s">
        <v>96</v>
      </c>
      <c r="B629" t="s">
        <v>600</v>
      </c>
      <c r="C629" s="806">
        <v>1.04</v>
      </c>
      <c r="D629" s="121">
        <v>2349796436</v>
      </c>
    </row>
    <row r="630" spans="1:4" ht="15">
      <c r="A630" t="s">
        <v>2607</v>
      </c>
      <c r="B630" t="s">
        <v>640</v>
      </c>
      <c r="C630" s="806">
        <v>1.04</v>
      </c>
      <c r="D630" s="121">
        <v>7953239386</v>
      </c>
    </row>
    <row r="631" spans="1:4" ht="15">
      <c r="A631" t="s">
        <v>2764</v>
      </c>
      <c r="B631" t="s">
        <v>601</v>
      </c>
      <c r="C631" s="806">
        <v>1.17</v>
      </c>
      <c r="D631" s="121">
        <v>160120691</v>
      </c>
    </row>
    <row r="632" spans="1:4" ht="15">
      <c r="A632" t="s">
        <v>2765</v>
      </c>
      <c r="B632" t="s">
        <v>602</v>
      </c>
      <c r="C632" s="806">
        <v>1.17</v>
      </c>
      <c r="D632" s="121">
        <v>245068828</v>
      </c>
    </row>
    <row r="633" spans="1:4" ht="15">
      <c r="A633" t="s">
        <v>2414</v>
      </c>
      <c r="B633" t="s">
        <v>641</v>
      </c>
      <c r="C633" s="806">
        <v>1.04</v>
      </c>
      <c r="D633" s="121">
        <v>1089550944</v>
      </c>
    </row>
    <row r="634" spans="1:4" ht="15">
      <c r="A634" t="s">
        <v>1603</v>
      </c>
      <c r="B634" t="s">
        <v>2627</v>
      </c>
      <c r="C634" s="806">
        <v>1.04</v>
      </c>
      <c r="D634" s="121">
        <v>1940985542</v>
      </c>
    </row>
    <row r="635" spans="1:4" ht="15">
      <c r="A635" t="s">
        <v>2766</v>
      </c>
      <c r="B635" t="s">
        <v>603</v>
      </c>
      <c r="C635" s="806">
        <v>1.06</v>
      </c>
      <c r="D635" s="121">
        <v>190150818</v>
      </c>
    </row>
    <row r="636" spans="1:4" ht="15">
      <c r="A636" t="s">
        <v>538</v>
      </c>
      <c r="B636" t="s">
        <v>1417</v>
      </c>
      <c r="C636" s="806">
        <v>1.17</v>
      </c>
      <c r="D636" s="121">
        <v>182771925</v>
      </c>
    </row>
    <row r="637" spans="1:4" ht="15">
      <c r="A637" t="s">
        <v>775</v>
      </c>
      <c r="B637" t="s">
        <v>604</v>
      </c>
      <c r="C637" s="806">
        <v>1.17</v>
      </c>
      <c r="D637" s="121">
        <v>181651062</v>
      </c>
    </row>
    <row r="638" spans="1:4" ht="15">
      <c r="A638" t="s">
        <v>2679</v>
      </c>
      <c r="B638" t="s">
        <v>3022</v>
      </c>
      <c r="C638" s="806">
        <v>1.04</v>
      </c>
      <c r="D638" s="121">
        <v>89560930</v>
      </c>
    </row>
    <row r="639" spans="1:4" ht="15">
      <c r="A639" t="s">
        <v>2680</v>
      </c>
      <c r="B639" t="s">
        <v>606</v>
      </c>
      <c r="C639" s="806">
        <v>1.04</v>
      </c>
      <c r="D639" s="121">
        <v>94903716</v>
      </c>
    </row>
    <row r="640" spans="1:4" ht="15">
      <c r="A640" t="s">
        <v>2681</v>
      </c>
      <c r="B640" t="s">
        <v>607</v>
      </c>
      <c r="C640" s="806">
        <v>1.17</v>
      </c>
      <c r="D640" s="121">
        <v>40916313</v>
      </c>
    </row>
    <row r="641" spans="1:4" ht="15">
      <c r="A641" t="s">
        <v>1651</v>
      </c>
      <c r="B641" t="s">
        <v>608</v>
      </c>
      <c r="C641" s="806">
        <v>1.17</v>
      </c>
      <c r="D641" s="121">
        <v>37832805</v>
      </c>
    </row>
    <row r="642" spans="1:4" ht="15">
      <c r="A642" t="s">
        <v>2389</v>
      </c>
      <c r="B642" t="s">
        <v>44</v>
      </c>
      <c r="C642" s="806">
        <v>1.04</v>
      </c>
      <c r="D642" s="121">
        <v>415276759</v>
      </c>
    </row>
    <row r="643" spans="1:4" ht="15">
      <c r="A643" t="s">
        <v>1652</v>
      </c>
      <c r="B643" t="s">
        <v>609</v>
      </c>
      <c r="C643" s="806">
        <v>1.04</v>
      </c>
      <c r="D643" s="121">
        <v>113012173</v>
      </c>
    </row>
    <row r="644" spans="1:4" ht="15">
      <c r="A644" t="s">
        <v>418</v>
      </c>
      <c r="B644" t="s">
        <v>610</v>
      </c>
      <c r="C644" s="806">
        <v>1.02</v>
      </c>
      <c r="D644" s="121">
        <v>554317589</v>
      </c>
    </row>
    <row r="645" spans="1:4" ht="15">
      <c r="A645" t="s">
        <v>419</v>
      </c>
      <c r="B645" t="s">
        <v>611</v>
      </c>
      <c r="C645" s="806">
        <v>0.97</v>
      </c>
      <c r="D645" s="121">
        <v>409231548</v>
      </c>
    </row>
    <row r="646" spans="1:4" ht="15">
      <c r="A646" t="s">
        <v>420</v>
      </c>
      <c r="B646" t="s">
        <v>612</v>
      </c>
      <c r="C646" s="806">
        <v>0.9</v>
      </c>
      <c r="D646" s="121">
        <v>405059247</v>
      </c>
    </row>
    <row r="647" spans="1:4" ht="15">
      <c r="A647" t="s">
        <v>1856</v>
      </c>
      <c r="B647" t="s">
        <v>613</v>
      </c>
      <c r="C647" s="806">
        <v>1.1375</v>
      </c>
      <c r="D647" s="121">
        <v>205310137</v>
      </c>
    </row>
    <row r="648" spans="1:4" ht="15">
      <c r="A648" t="s">
        <v>1857</v>
      </c>
      <c r="B648" t="s">
        <v>614</v>
      </c>
      <c r="C648" s="806">
        <v>1.1637999999999999</v>
      </c>
      <c r="D648" s="121">
        <v>979714660</v>
      </c>
    </row>
    <row r="649" spans="1:4" ht="15">
      <c r="A649" t="s">
        <v>201</v>
      </c>
      <c r="B649" t="s">
        <v>1964</v>
      </c>
      <c r="C649" s="806">
        <v>0.97470000000000001</v>
      </c>
      <c r="D649" s="121">
        <v>547114901</v>
      </c>
    </row>
    <row r="650" spans="1:4" ht="15">
      <c r="A650" t="s">
        <v>2438</v>
      </c>
      <c r="B650" t="s">
        <v>1965</v>
      </c>
      <c r="C650" s="806">
        <v>0.97330000000000005</v>
      </c>
      <c r="D650" s="121">
        <v>219230823</v>
      </c>
    </row>
    <row r="651" spans="1:4" ht="15">
      <c r="A651" t="s">
        <v>2439</v>
      </c>
      <c r="B651" t="s">
        <v>1966</v>
      </c>
      <c r="C651" s="806">
        <v>1</v>
      </c>
      <c r="D651" s="121">
        <v>1407943378</v>
      </c>
    </row>
    <row r="652" spans="1:4" ht="15">
      <c r="A652" t="s">
        <v>2440</v>
      </c>
      <c r="B652" t="s">
        <v>1967</v>
      </c>
      <c r="C652" s="806">
        <v>0.9819</v>
      </c>
      <c r="D652" s="121">
        <v>457633238</v>
      </c>
    </row>
    <row r="653" spans="1:4" ht="15">
      <c r="A653" t="s">
        <v>2057</v>
      </c>
      <c r="B653" t="s">
        <v>1213</v>
      </c>
      <c r="C653" s="806">
        <v>1.04</v>
      </c>
      <c r="D653" s="121">
        <v>1421891984</v>
      </c>
    </row>
    <row r="654" spans="1:4" ht="15">
      <c r="A654" t="s">
        <v>992</v>
      </c>
      <c r="B654" t="s">
        <v>2120</v>
      </c>
      <c r="C654" s="806">
        <v>1.04</v>
      </c>
      <c r="D654" s="121">
        <v>263789085</v>
      </c>
    </row>
    <row r="655" spans="1:4" ht="15">
      <c r="A655" t="s">
        <v>1583</v>
      </c>
      <c r="B655" t="s">
        <v>1968</v>
      </c>
      <c r="C655" s="806">
        <v>1.04</v>
      </c>
      <c r="D655" s="121">
        <v>37481867</v>
      </c>
    </row>
    <row r="656" spans="1:4" ht="15">
      <c r="A656" t="s">
        <v>2265</v>
      </c>
      <c r="B656" t="s">
        <v>2547</v>
      </c>
      <c r="C656" s="806">
        <v>1.04</v>
      </c>
      <c r="D656" s="121">
        <v>17865806</v>
      </c>
    </row>
    <row r="657" spans="1:4" ht="15">
      <c r="A657" t="s">
        <v>1094</v>
      </c>
      <c r="B657" t="s">
        <v>457</v>
      </c>
      <c r="C657" s="806">
        <v>1.04</v>
      </c>
      <c r="D657" s="121">
        <v>117448426</v>
      </c>
    </row>
    <row r="658" spans="1:4" ht="15">
      <c r="A658" t="s">
        <v>1012</v>
      </c>
      <c r="B658" t="s">
        <v>2195</v>
      </c>
      <c r="C658" s="806">
        <v>1.04</v>
      </c>
      <c r="D658" s="121">
        <v>2898459947</v>
      </c>
    </row>
    <row r="659" spans="1:4" ht="15">
      <c r="A659" t="s">
        <v>800</v>
      </c>
      <c r="B659" t="s">
        <v>2172</v>
      </c>
      <c r="C659" s="806">
        <v>1.04</v>
      </c>
      <c r="D659" s="121">
        <v>487688454</v>
      </c>
    </row>
    <row r="660" spans="1:4" ht="15">
      <c r="A660" t="s">
        <v>1095</v>
      </c>
      <c r="B660" t="s">
        <v>1426</v>
      </c>
      <c r="C660" s="806">
        <v>1.04</v>
      </c>
      <c r="D660" s="121">
        <v>316097995</v>
      </c>
    </row>
    <row r="661" spans="1:4" ht="15">
      <c r="A661" t="s">
        <v>2096</v>
      </c>
      <c r="B661" t="s">
        <v>2358</v>
      </c>
      <c r="C661" s="806">
        <v>1.04</v>
      </c>
      <c r="D661" s="121">
        <v>73601636</v>
      </c>
    </row>
    <row r="662" spans="1:4" ht="15">
      <c r="A662" t="s">
        <v>1735</v>
      </c>
      <c r="B662" t="s">
        <v>927</v>
      </c>
      <c r="C662" s="806">
        <v>1.04</v>
      </c>
      <c r="D662" s="121">
        <v>250951487</v>
      </c>
    </row>
    <row r="663" spans="1:4" ht="15">
      <c r="A663" t="s">
        <v>134</v>
      </c>
      <c r="B663" t="s">
        <v>1969</v>
      </c>
      <c r="C663" s="806">
        <v>0.98670000000000002</v>
      </c>
      <c r="D663" s="121">
        <v>117314018</v>
      </c>
    </row>
    <row r="664" spans="1:4" ht="15">
      <c r="A664" t="s">
        <v>2384</v>
      </c>
      <c r="B664" t="s">
        <v>1958</v>
      </c>
      <c r="C664" s="806">
        <v>1.04</v>
      </c>
      <c r="D664" s="121">
        <v>82618102</v>
      </c>
    </row>
    <row r="665" spans="1:4" ht="15">
      <c r="A665" t="s">
        <v>373</v>
      </c>
      <c r="B665" t="s">
        <v>157</v>
      </c>
      <c r="C665" s="806">
        <v>1.04</v>
      </c>
      <c r="D665" s="121">
        <v>3364313010</v>
      </c>
    </row>
    <row r="666" spans="1:4" ht="15">
      <c r="A666" t="s">
        <v>376</v>
      </c>
      <c r="B666" t="s">
        <v>1610</v>
      </c>
      <c r="C666" s="806">
        <v>1.04</v>
      </c>
      <c r="D666" s="121">
        <v>269162569</v>
      </c>
    </row>
    <row r="667" spans="1:4" ht="15">
      <c r="A667" t="s">
        <v>2819</v>
      </c>
      <c r="B667" t="s">
        <v>1970</v>
      </c>
      <c r="C667" s="806">
        <v>1.17</v>
      </c>
      <c r="D667" s="121">
        <v>81513552</v>
      </c>
    </row>
    <row r="668" spans="1:4" ht="15">
      <c r="A668" t="s">
        <v>2820</v>
      </c>
      <c r="B668" t="s">
        <v>1971</v>
      </c>
      <c r="C668" s="806">
        <v>1.17</v>
      </c>
      <c r="D668" s="121">
        <v>122078282</v>
      </c>
    </row>
    <row r="669" spans="1:4" ht="15">
      <c r="A669" t="s">
        <v>85</v>
      </c>
      <c r="B669" t="s">
        <v>1325</v>
      </c>
      <c r="C669" s="806">
        <v>1.04</v>
      </c>
      <c r="D669" s="121">
        <v>454257411</v>
      </c>
    </row>
    <row r="670" spans="1:4" ht="15">
      <c r="A670" t="s">
        <v>2638</v>
      </c>
      <c r="B670" t="s">
        <v>1745</v>
      </c>
      <c r="C670" s="806">
        <v>1.04</v>
      </c>
      <c r="D670" s="121">
        <v>468295450</v>
      </c>
    </row>
    <row r="671" spans="1:4" ht="15">
      <c r="A671" t="s">
        <v>190</v>
      </c>
      <c r="B671" t="s">
        <v>3097</v>
      </c>
      <c r="C671" s="806">
        <v>1.04</v>
      </c>
      <c r="D671" s="121">
        <v>388937381</v>
      </c>
    </row>
    <row r="672" spans="1:4" ht="15">
      <c r="A672" t="s">
        <v>991</v>
      </c>
      <c r="B672" t="s">
        <v>1524</v>
      </c>
      <c r="C672" s="806">
        <v>1.17</v>
      </c>
      <c r="D672" s="121">
        <v>103103002</v>
      </c>
    </row>
    <row r="673" spans="1:4" ht="15">
      <c r="A673" t="s">
        <v>2098</v>
      </c>
      <c r="B673" t="s">
        <v>1972</v>
      </c>
      <c r="C673" s="806">
        <v>1.04</v>
      </c>
      <c r="D673" s="121">
        <v>68511163</v>
      </c>
    </row>
    <row r="674" spans="1:4" ht="15">
      <c r="A674" t="s">
        <v>287</v>
      </c>
      <c r="B674" t="s">
        <v>1973</v>
      </c>
      <c r="C674" s="806">
        <v>1.04</v>
      </c>
      <c r="D674" s="121">
        <v>30055630</v>
      </c>
    </row>
    <row r="675" spans="1:4" ht="15">
      <c r="A675" t="s">
        <v>1782</v>
      </c>
      <c r="B675" t="s">
        <v>1974</v>
      </c>
      <c r="C675" s="806">
        <v>0.97330000000000005</v>
      </c>
      <c r="D675" s="121">
        <v>404393122</v>
      </c>
    </row>
    <row r="676" spans="1:4" ht="15">
      <c r="A676" t="s">
        <v>1296</v>
      </c>
      <c r="B676" t="s">
        <v>3066</v>
      </c>
      <c r="C676" s="806">
        <v>1.17</v>
      </c>
      <c r="D676" s="121">
        <v>251646201</v>
      </c>
    </row>
    <row r="677" spans="1:4" ht="15">
      <c r="A677" t="s">
        <v>2266</v>
      </c>
      <c r="B677" t="s">
        <v>3023</v>
      </c>
      <c r="C677" s="806">
        <v>1.04</v>
      </c>
      <c r="D677" s="121">
        <v>76377038</v>
      </c>
    </row>
    <row r="678" spans="1:4" ht="15">
      <c r="A678" t="s">
        <v>1036</v>
      </c>
      <c r="B678" t="s">
        <v>2563</v>
      </c>
      <c r="C678" s="806">
        <v>1.0189999999999999</v>
      </c>
      <c r="D678" s="121">
        <v>119118782</v>
      </c>
    </row>
    <row r="679" spans="1:4" ht="15">
      <c r="A679" t="s">
        <v>199</v>
      </c>
      <c r="B679" t="s">
        <v>2729</v>
      </c>
      <c r="C679" s="806">
        <v>1.04</v>
      </c>
      <c r="D679" s="121">
        <v>363391617</v>
      </c>
    </row>
    <row r="680" spans="1:4" ht="15">
      <c r="A680" t="s">
        <v>2896</v>
      </c>
      <c r="B680" t="s">
        <v>931</v>
      </c>
      <c r="C680" s="806">
        <v>1.04</v>
      </c>
      <c r="D680" s="121">
        <v>771815036</v>
      </c>
    </row>
    <row r="681" spans="1:4" ht="15">
      <c r="A681" t="s">
        <v>2978</v>
      </c>
      <c r="B681" t="s">
        <v>1975</v>
      </c>
      <c r="C681" s="806">
        <v>1.04</v>
      </c>
      <c r="D681" s="121">
        <v>102930545</v>
      </c>
    </row>
    <row r="682" spans="1:4" ht="15">
      <c r="A682" t="s">
        <v>2899</v>
      </c>
      <c r="B682" t="s">
        <v>2555</v>
      </c>
      <c r="C682" s="806">
        <v>1.04</v>
      </c>
      <c r="D682" s="121">
        <v>8048998717</v>
      </c>
    </row>
    <row r="683" spans="1:4" ht="15">
      <c r="A683" t="s">
        <v>1475</v>
      </c>
      <c r="B683" t="s">
        <v>1976</v>
      </c>
      <c r="C683" s="806">
        <v>1.17</v>
      </c>
      <c r="D683" s="121">
        <v>542583104</v>
      </c>
    </row>
    <row r="684" spans="1:4" ht="15">
      <c r="A684" t="s">
        <v>2156</v>
      </c>
      <c r="B684" t="s">
        <v>727</v>
      </c>
      <c r="C684" s="806">
        <v>1.04</v>
      </c>
      <c r="D684" s="121">
        <v>257812747</v>
      </c>
    </row>
    <row r="685" spans="1:4" ht="15">
      <c r="A685" t="s">
        <v>1536</v>
      </c>
      <c r="B685" t="s">
        <v>1977</v>
      </c>
      <c r="C685" s="806">
        <v>1.04</v>
      </c>
      <c r="D685" s="121">
        <v>74473805</v>
      </c>
    </row>
    <row r="686" spans="1:4" ht="15">
      <c r="A686" t="s">
        <v>2900</v>
      </c>
      <c r="B686" t="s">
        <v>1978</v>
      </c>
      <c r="C686" s="806">
        <v>1.04</v>
      </c>
      <c r="D686" s="121">
        <v>70071645</v>
      </c>
    </row>
    <row r="687" spans="1:4" ht="15">
      <c r="A687" t="s">
        <v>2513</v>
      </c>
      <c r="B687" t="s">
        <v>1979</v>
      </c>
      <c r="C687" s="806">
        <v>1.04</v>
      </c>
      <c r="D687" s="121">
        <v>724853160</v>
      </c>
    </row>
    <row r="688" spans="1:4" ht="15">
      <c r="A688" t="s">
        <v>1046</v>
      </c>
      <c r="B688" t="s">
        <v>1980</v>
      </c>
      <c r="C688" s="806">
        <v>1.17</v>
      </c>
      <c r="D688" s="121">
        <v>99908055</v>
      </c>
    </row>
    <row r="689" spans="1:4" ht="15">
      <c r="A689" t="s">
        <v>409</v>
      </c>
      <c r="B689" t="s">
        <v>3033</v>
      </c>
      <c r="C689" s="806">
        <v>1.04</v>
      </c>
      <c r="D689" s="121">
        <v>26519442</v>
      </c>
    </row>
    <row r="690" spans="1:4" ht="15">
      <c r="A690" t="s">
        <v>1436</v>
      </c>
      <c r="B690" t="s">
        <v>972</v>
      </c>
      <c r="C690" s="806">
        <v>1.04</v>
      </c>
      <c r="D690" s="121">
        <v>129322343</v>
      </c>
    </row>
    <row r="691" spans="1:4" ht="15">
      <c r="A691" t="s">
        <v>3070</v>
      </c>
      <c r="B691" t="s">
        <v>1981</v>
      </c>
      <c r="C691" s="806">
        <v>1.0097</v>
      </c>
      <c r="D691" s="121">
        <v>47003703</v>
      </c>
    </row>
    <row r="692" spans="1:4" ht="15">
      <c r="A692" t="s">
        <v>3071</v>
      </c>
      <c r="B692" t="s">
        <v>1982</v>
      </c>
      <c r="C692" s="806">
        <v>0.98550000000000004</v>
      </c>
      <c r="D692" s="121">
        <v>21250307</v>
      </c>
    </row>
    <row r="693" spans="1:4" ht="15">
      <c r="A693" t="s">
        <v>2267</v>
      </c>
      <c r="B693" t="s">
        <v>86</v>
      </c>
      <c r="C693" s="806">
        <v>1.04</v>
      </c>
      <c r="D693" s="121">
        <v>16185710</v>
      </c>
    </row>
    <row r="694" spans="1:4" ht="15">
      <c r="A694" t="s">
        <v>3072</v>
      </c>
      <c r="B694" t="s">
        <v>1983</v>
      </c>
      <c r="C694" s="806">
        <v>1.17</v>
      </c>
      <c r="D694" s="121">
        <v>238227057</v>
      </c>
    </row>
    <row r="695" spans="1:4" ht="15">
      <c r="A695" t="s">
        <v>3073</v>
      </c>
      <c r="B695" t="s">
        <v>1984</v>
      </c>
      <c r="C695" s="806">
        <v>1.17</v>
      </c>
      <c r="D695" s="121">
        <v>27899980</v>
      </c>
    </row>
    <row r="696" spans="1:4" ht="15">
      <c r="A696" t="s">
        <v>1676</v>
      </c>
      <c r="B696" t="s">
        <v>1985</v>
      </c>
      <c r="C696" s="806">
        <v>1</v>
      </c>
      <c r="D696" s="121">
        <v>319811540</v>
      </c>
    </row>
    <row r="697" spans="1:4" ht="15">
      <c r="A697" t="s">
        <v>1494</v>
      </c>
      <c r="B697" t="s">
        <v>1542</v>
      </c>
      <c r="C697" s="806">
        <v>1.04</v>
      </c>
      <c r="D697" s="121">
        <v>471762720</v>
      </c>
    </row>
    <row r="698" spans="1:4" ht="15">
      <c r="A698" t="s">
        <v>1612</v>
      </c>
      <c r="B698" t="s">
        <v>1543</v>
      </c>
      <c r="C698" s="806">
        <v>1.04</v>
      </c>
      <c r="D698" s="121">
        <v>158059075</v>
      </c>
    </row>
    <row r="699" spans="1:4" ht="15">
      <c r="A699" t="s">
        <v>910</v>
      </c>
      <c r="B699" t="s">
        <v>1544</v>
      </c>
      <c r="C699" s="806">
        <v>1.04</v>
      </c>
      <c r="D699" s="121">
        <v>55585911</v>
      </c>
    </row>
    <row r="700" spans="1:4" ht="15">
      <c r="A700" t="s">
        <v>1685</v>
      </c>
      <c r="B700" t="s">
        <v>2564</v>
      </c>
      <c r="C700" s="806">
        <v>1.04</v>
      </c>
      <c r="D700" s="121">
        <v>23526774</v>
      </c>
    </row>
    <row r="701" spans="1:4" ht="15">
      <c r="A701" t="s">
        <v>1686</v>
      </c>
      <c r="B701" t="s">
        <v>2565</v>
      </c>
      <c r="C701" s="806">
        <v>1.04</v>
      </c>
      <c r="D701" s="121">
        <v>104741061</v>
      </c>
    </row>
    <row r="702" spans="1:4" ht="15">
      <c r="A702" t="s">
        <v>1445</v>
      </c>
      <c r="B702" t="s">
        <v>2566</v>
      </c>
      <c r="C702" s="806">
        <v>1.04</v>
      </c>
      <c r="D702" s="121">
        <v>48264216</v>
      </c>
    </row>
    <row r="703" spans="1:4" ht="15">
      <c r="A703" t="s">
        <v>1724</v>
      </c>
      <c r="B703" t="s">
        <v>2567</v>
      </c>
      <c r="C703" s="806">
        <v>1.17</v>
      </c>
      <c r="D703" s="121">
        <v>110034202</v>
      </c>
    </row>
    <row r="704" spans="1:4" ht="15">
      <c r="A704" t="s">
        <v>2639</v>
      </c>
      <c r="B704" t="s">
        <v>1746</v>
      </c>
      <c r="C704" s="806">
        <v>1.04</v>
      </c>
      <c r="D704" s="121">
        <v>16373080274</v>
      </c>
    </row>
    <row r="705" spans="1:4" ht="15">
      <c r="A705" t="s">
        <v>1725</v>
      </c>
      <c r="B705" t="s">
        <v>2568</v>
      </c>
      <c r="C705" s="806">
        <v>1.04</v>
      </c>
      <c r="D705" s="121">
        <v>2847396257</v>
      </c>
    </row>
    <row r="706" spans="1:4" ht="15">
      <c r="A706" t="s">
        <v>1349</v>
      </c>
      <c r="B706" t="s">
        <v>1288</v>
      </c>
      <c r="C706" s="806">
        <v>1.04</v>
      </c>
      <c r="D706" s="121">
        <v>1680060319</v>
      </c>
    </row>
    <row r="707" spans="1:4" ht="15">
      <c r="A707" t="s">
        <v>378</v>
      </c>
      <c r="B707" t="s">
        <v>319</v>
      </c>
      <c r="C707" s="806">
        <v>1.04</v>
      </c>
      <c r="D707" s="121">
        <v>2672954570</v>
      </c>
    </row>
    <row r="708" spans="1:4" ht="15">
      <c r="A708" t="s">
        <v>1701</v>
      </c>
      <c r="B708" t="s">
        <v>2209</v>
      </c>
      <c r="C708" s="806">
        <v>1.04</v>
      </c>
      <c r="D708" s="121">
        <v>299070603</v>
      </c>
    </row>
    <row r="709" spans="1:4" ht="15">
      <c r="A709" t="s">
        <v>801</v>
      </c>
      <c r="B709" t="s">
        <v>1305</v>
      </c>
      <c r="C709" s="806">
        <v>1.04</v>
      </c>
      <c r="D709" s="121">
        <v>1600307303</v>
      </c>
    </row>
    <row r="710" spans="1:4" ht="15">
      <c r="A710" t="s">
        <v>2134</v>
      </c>
      <c r="B710" t="s">
        <v>2569</v>
      </c>
      <c r="C710" s="806">
        <v>1.04</v>
      </c>
      <c r="D710" s="121">
        <v>1876393541</v>
      </c>
    </row>
    <row r="711" spans="1:4" ht="15">
      <c r="A711" t="s">
        <v>2135</v>
      </c>
      <c r="B711" t="s">
        <v>2570</v>
      </c>
      <c r="C711" s="806">
        <v>1.04</v>
      </c>
      <c r="D711" s="121">
        <v>323381068</v>
      </c>
    </row>
    <row r="712" spans="1:4" ht="15">
      <c r="A712" t="s">
        <v>2136</v>
      </c>
      <c r="B712" t="s">
        <v>2571</v>
      </c>
      <c r="C712" s="806">
        <v>1.04</v>
      </c>
      <c r="D712" s="121">
        <v>805687053</v>
      </c>
    </row>
    <row r="713" spans="1:4" ht="15">
      <c r="A713" t="s">
        <v>2137</v>
      </c>
      <c r="B713" t="s">
        <v>3024</v>
      </c>
      <c r="C713" s="806">
        <v>1.04</v>
      </c>
      <c r="D713" s="121">
        <v>173155471</v>
      </c>
    </row>
    <row r="714" spans="1:4" ht="15">
      <c r="A714" t="s">
        <v>2685</v>
      </c>
      <c r="B714" t="s">
        <v>2573</v>
      </c>
      <c r="C714" s="806">
        <v>1.17</v>
      </c>
      <c r="D714" s="121">
        <v>70348106</v>
      </c>
    </row>
    <row r="715" spans="1:4" ht="15">
      <c r="A715" t="s">
        <v>802</v>
      </c>
      <c r="B715" t="s">
        <v>1326</v>
      </c>
      <c r="C715" s="806">
        <v>1.04</v>
      </c>
      <c r="D715" s="121">
        <v>42059710</v>
      </c>
    </row>
    <row r="716" spans="1:4" ht="15">
      <c r="A716" t="s">
        <v>570</v>
      </c>
      <c r="B716" t="s">
        <v>2574</v>
      </c>
      <c r="C716" s="806">
        <v>1.04</v>
      </c>
      <c r="D716" s="121">
        <v>405546970</v>
      </c>
    </row>
    <row r="717" spans="1:4" ht="15">
      <c r="A717" t="s">
        <v>803</v>
      </c>
      <c r="B717" t="s">
        <v>493</v>
      </c>
      <c r="C717" s="806">
        <v>1.022</v>
      </c>
      <c r="D717" s="121">
        <v>243549985</v>
      </c>
    </row>
    <row r="718" spans="1:4" ht="15">
      <c r="A718" t="s">
        <v>571</v>
      </c>
      <c r="B718" t="s">
        <v>2575</v>
      </c>
      <c r="C718" s="806">
        <v>1.17</v>
      </c>
      <c r="D718" s="121">
        <v>1633183290</v>
      </c>
    </row>
    <row r="719" spans="1:4" ht="15">
      <c r="A719" t="s">
        <v>410</v>
      </c>
      <c r="B719" t="s">
        <v>1291</v>
      </c>
      <c r="C719" s="806">
        <v>1.04</v>
      </c>
      <c r="D719" s="121">
        <v>110743897</v>
      </c>
    </row>
    <row r="720" spans="1:4" ht="15">
      <c r="A720" t="s">
        <v>572</v>
      </c>
      <c r="B720" t="s">
        <v>2576</v>
      </c>
      <c r="C720" s="806">
        <v>1.04</v>
      </c>
      <c r="D720" s="121">
        <v>98124202</v>
      </c>
    </row>
    <row r="721" spans="1:4" ht="15">
      <c r="A721" t="s">
        <v>573</v>
      </c>
      <c r="B721" t="s">
        <v>2577</v>
      </c>
      <c r="C721" s="806">
        <v>1.04</v>
      </c>
      <c r="D721" s="121">
        <v>50717776</v>
      </c>
    </row>
    <row r="722" spans="1:4" ht="15">
      <c r="A722" t="s">
        <v>877</v>
      </c>
      <c r="B722" t="s">
        <v>1003</v>
      </c>
      <c r="C722" s="806">
        <v>1.17</v>
      </c>
      <c r="D722" s="121">
        <v>40023944</v>
      </c>
    </row>
    <row r="723" spans="1:4" ht="15">
      <c r="A723" t="s">
        <v>574</v>
      </c>
      <c r="B723" t="s">
        <v>2578</v>
      </c>
      <c r="C723" s="806">
        <v>1.04</v>
      </c>
      <c r="D723" s="121">
        <v>179784831</v>
      </c>
    </row>
    <row r="724" spans="1:4" ht="15">
      <c r="A724" t="s">
        <v>575</v>
      </c>
      <c r="B724" t="s">
        <v>339</v>
      </c>
      <c r="C724" s="806">
        <v>1.04</v>
      </c>
      <c r="D724" s="121">
        <v>108502870</v>
      </c>
    </row>
    <row r="725" spans="1:4" ht="15">
      <c r="A725" t="s">
        <v>2754</v>
      </c>
      <c r="B725" t="s">
        <v>1257</v>
      </c>
      <c r="C725" s="806">
        <v>1.04</v>
      </c>
      <c r="D725" s="121">
        <v>1248049486</v>
      </c>
    </row>
    <row r="726" spans="1:4" ht="15">
      <c r="A726" t="s">
        <v>2761</v>
      </c>
      <c r="B726" t="s">
        <v>3060</v>
      </c>
      <c r="C726" s="806">
        <v>1.04</v>
      </c>
      <c r="D726" s="121">
        <v>80165639</v>
      </c>
    </row>
    <row r="727" spans="1:4" ht="15">
      <c r="A727" t="s">
        <v>20</v>
      </c>
      <c r="B727" t="s">
        <v>340</v>
      </c>
      <c r="C727" s="806">
        <v>1.17</v>
      </c>
      <c r="D727" s="121">
        <v>58048196</v>
      </c>
    </row>
    <row r="728" spans="1:4" ht="15">
      <c r="A728" t="s">
        <v>804</v>
      </c>
      <c r="B728" t="s">
        <v>2877</v>
      </c>
      <c r="C728" s="806">
        <v>1.04</v>
      </c>
      <c r="D728" s="121">
        <v>179368043</v>
      </c>
    </row>
    <row r="729" spans="1:4" ht="15">
      <c r="A729" t="s">
        <v>21</v>
      </c>
      <c r="B729" t="s">
        <v>341</v>
      </c>
      <c r="C729" s="806">
        <v>1.0125999999999999</v>
      </c>
      <c r="D729" s="121">
        <v>301191818</v>
      </c>
    </row>
    <row r="730" spans="1:4" ht="15">
      <c r="A730" t="s">
        <v>2383</v>
      </c>
      <c r="B730" t="s">
        <v>93</v>
      </c>
      <c r="C730" s="806">
        <v>1.04</v>
      </c>
      <c r="D730" s="121">
        <v>72292156</v>
      </c>
    </row>
    <row r="731" spans="1:4" ht="15">
      <c r="A731" t="s">
        <v>22</v>
      </c>
      <c r="B731" t="s">
        <v>342</v>
      </c>
      <c r="C731" s="806">
        <v>1.04</v>
      </c>
      <c r="D731" s="121">
        <v>139204889</v>
      </c>
    </row>
    <row r="732" spans="1:4" ht="15">
      <c r="A732" t="s">
        <v>1159</v>
      </c>
      <c r="B732" t="s">
        <v>2609</v>
      </c>
      <c r="C732" s="806">
        <v>0.99119999999999997</v>
      </c>
      <c r="D732" s="121">
        <v>210961142</v>
      </c>
    </row>
    <row r="733" spans="1:4" ht="15">
      <c r="A733" t="s">
        <v>2268</v>
      </c>
      <c r="B733" t="s">
        <v>3067</v>
      </c>
      <c r="C733" s="806">
        <v>1.04</v>
      </c>
      <c r="D733" s="121">
        <v>380563429</v>
      </c>
    </row>
    <row r="734" spans="1:4" ht="15">
      <c r="A734" t="s">
        <v>1736</v>
      </c>
      <c r="B734" t="s">
        <v>664</v>
      </c>
      <c r="C734" s="806">
        <v>1.17</v>
      </c>
      <c r="D734" s="121">
        <v>65991324</v>
      </c>
    </row>
    <row r="735" spans="1:4" ht="15">
      <c r="A735" t="s">
        <v>2145</v>
      </c>
      <c r="B735" t="s">
        <v>343</v>
      </c>
      <c r="C735" s="806">
        <v>1.04</v>
      </c>
      <c r="D735" s="121">
        <v>436899892</v>
      </c>
    </row>
    <row r="736" spans="1:4" ht="15">
      <c r="A736" t="s">
        <v>2637</v>
      </c>
      <c r="B736" t="s">
        <v>2657</v>
      </c>
      <c r="C736" s="806">
        <v>1.04</v>
      </c>
      <c r="D736" s="121">
        <v>843549532</v>
      </c>
    </row>
    <row r="737" spans="1:4" ht="15">
      <c r="A737" t="s">
        <v>464</v>
      </c>
      <c r="B737" t="s">
        <v>345</v>
      </c>
      <c r="C737" s="806">
        <v>1.1599999999999999</v>
      </c>
      <c r="D737" s="121">
        <v>163707036</v>
      </c>
    </row>
    <row r="738" spans="1:4" ht="15">
      <c r="A738" t="s">
        <v>2858</v>
      </c>
      <c r="B738" t="s">
        <v>346</v>
      </c>
      <c r="C738" s="806">
        <v>1.17</v>
      </c>
      <c r="D738" s="121">
        <v>104652241</v>
      </c>
    </row>
    <row r="739" spans="1:4" ht="15">
      <c r="A739" t="s">
        <v>1337</v>
      </c>
      <c r="B739" t="s">
        <v>2658</v>
      </c>
      <c r="C739" s="806">
        <v>1.0391999999999999</v>
      </c>
      <c r="D739" s="121">
        <v>470612236</v>
      </c>
    </row>
    <row r="740" spans="1:4" ht="15">
      <c r="A740" t="s">
        <v>1338</v>
      </c>
      <c r="B740" t="s">
        <v>348</v>
      </c>
      <c r="C740" s="806">
        <v>1.04</v>
      </c>
      <c r="D740" s="121">
        <v>1155765747</v>
      </c>
    </row>
    <row r="741" spans="1:4" ht="15">
      <c r="A741" t="s">
        <v>2753</v>
      </c>
      <c r="B741" t="s">
        <v>1256</v>
      </c>
      <c r="C741" s="806">
        <v>1.06</v>
      </c>
      <c r="D741" s="121">
        <v>9707188759</v>
      </c>
    </row>
    <row r="742" spans="1:4" ht="15">
      <c r="A742" t="s">
        <v>619</v>
      </c>
      <c r="B742" t="s">
        <v>349</v>
      </c>
      <c r="C742" s="806">
        <v>1.04</v>
      </c>
      <c r="D742" s="121">
        <v>118223476</v>
      </c>
    </row>
    <row r="743" spans="1:4" ht="15">
      <c r="A743" t="s">
        <v>632</v>
      </c>
      <c r="B743" t="s">
        <v>350</v>
      </c>
      <c r="C743" s="806">
        <v>0.88</v>
      </c>
      <c r="D743" s="121">
        <v>205215027</v>
      </c>
    </row>
    <row r="744" spans="1:4" ht="15">
      <c r="A744" t="s">
        <v>633</v>
      </c>
      <c r="B744" t="s">
        <v>351</v>
      </c>
      <c r="C744" s="806">
        <v>1.0133000000000001</v>
      </c>
      <c r="D744" s="121">
        <v>1693505678</v>
      </c>
    </row>
    <row r="745" spans="1:4" ht="15">
      <c r="A745" t="s">
        <v>191</v>
      </c>
      <c r="B745" t="s">
        <v>3098</v>
      </c>
      <c r="C745" s="806">
        <v>1.04</v>
      </c>
      <c r="D745" s="121">
        <v>276227370</v>
      </c>
    </row>
    <row r="746" spans="1:4" ht="15">
      <c r="A746" t="s">
        <v>869</v>
      </c>
      <c r="B746" t="s">
        <v>352</v>
      </c>
      <c r="C746" s="806">
        <v>1.04</v>
      </c>
      <c r="D746" s="121">
        <v>1320814899</v>
      </c>
    </row>
    <row r="747" spans="1:4" ht="15">
      <c r="A747" t="s">
        <v>1087</v>
      </c>
      <c r="B747" t="s">
        <v>353</v>
      </c>
      <c r="C747" s="806">
        <v>1.04</v>
      </c>
      <c r="D747" s="121">
        <v>196340220</v>
      </c>
    </row>
    <row r="748" spans="1:4" ht="15">
      <c r="A748" t="s">
        <v>2452</v>
      </c>
      <c r="B748" t="s">
        <v>354</v>
      </c>
      <c r="C748" s="806">
        <v>1.04</v>
      </c>
      <c r="D748" s="121">
        <v>2006404665</v>
      </c>
    </row>
    <row r="749" spans="1:4" ht="15">
      <c r="A749" t="s">
        <v>2453</v>
      </c>
      <c r="B749" t="s">
        <v>355</v>
      </c>
      <c r="C749" s="806">
        <v>1.04</v>
      </c>
      <c r="D749" s="121">
        <v>494205548</v>
      </c>
    </row>
    <row r="750" spans="1:4" ht="15">
      <c r="A750" t="s">
        <v>237</v>
      </c>
      <c r="B750" t="s">
        <v>1123</v>
      </c>
      <c r="C750" s="806">
        <v>1.04</v>
      </c>
      <c r="D750" s="121">
        <v>761863644</v>
      </c>
    </row>
    <row r="751" spans="1:4" ht="15">
      <c r="A751" t="s">
        <v>1097</v>
      </c>
      <c r="B751" t="s">
        <v>356</v>
      </c>
      <c r="C751" s="806">
        <v>1.04</v>
      </c>
      <c r="D751" s="121">
        <v>102491729</v>
      </c>
    </row>
    <row r="752" spans="1:4" ht="15">
      <c r="A752" t="s">
        <v>1098</v>
      </c>
      <c r="B752" t="s">
        <v>357</v>
      </c>
      <c r="C752" s="806">
        <v>1.04</v>
      </c>
      <c r="D752" s="121">
        <v>36200633</v>
      </c>
    </row>
    <row r="753" spans="1:4" ht="15">
      <c r="A753" t="s">
        <v>1099</v>
      </c>
      <c r="B753" t="s">
        <v>358</v>
      </c>
      <c r="C753" s="806">
        <v>1.04</v>
      </c>
      <c r="D753" s="121">
        <v>34687390</v>
      </c>
    </row>
    <row r="754" spans="1:4" ht="15">
      <c r="A754" t="s">
        <v>2225</v>
      </c>
      <c r="B754" t="s">
        <v>2121</v>
      </c>
      <c r="C754" s="806">
        <v>1.04</v>
      </c>
      <c r="D754" s="121">
        <v>694676051</v>
      </c>
    </row>
    <row r="755" spans="1:4" ht="15">
      <c r="A755" t="s">
        <v>1100</v>
      </c>
      <c r="B755" t="s">
        <v>359</v>
      </c>
      <c r="C755" s="806">
        <v>1.04</v>
      </c>
      <c r="D755" s="121">
        <v>326851855</v>
      </c>
    </row>
    <row r="756" spans="1:4" ht="15">
      <c r="A756" t="s">
        <v>1101</v>
      </c>
      <c r="B756" t="s">
        <v>2659</v>
      </c>
      <c r="C756" s="806">
        <v>1.04</v>
      </c>
      <c r="D756" s="121">
        <v>1500178004</v>
      </c>
    </row>
    <row r="757" spans="1:4" ht="15">
      <c r="A757" t="s">
        <v>1655</v>
      </c>
      <c r="B757" t="s">
        <v>156</v>
      </c>
      <c r="C757" s="806">
        <v>1.125</v>
      </c>
      <c r="D757" s="121">
        <v>649753846</v>
      </c>
    </row>
    <row r="758" spans="1:4" ht="15">
      <c r="A758" t="s">
        <v>1248</v>
      </c>
      <c r="B758" t="s">
        <v>361</v>
      </c>
      <c r="C758" s="806">
        <v>1.04</v>
      </c>
      <c r="D758" s="121">
        <v>751884368</v>
      </c>
    </row>
    <row r="759" spans="1:4" ht="15">
      <c r="A759" t="s">
        <v>1249</v>
      </c>
      <c r="B759" t="s">
        <v>362</v>
      </c>
      <c r="C759" s="806">
        <v>1.04</v>
      </c>
      <c r="D759" s="121">
        <v>92276284</v>
      </c>
    </row>
    <row r="760" spans="1:4" ht="15">
      <c r="A760" t="s">
        <v>1250</v>
      </c>
      <c r="B760" t="s">
        <v>363</v>
      </c>
      <c r="C760" s="806">
        <v>1.04</v>
      </c>
      <c r="D760" s="121">
        <v>476058528</v>
      </c>
    </row>
    <row r="761" spans="1:4" ht="15">
      <c r="A761" t="s">
        <v>2902</v>
      </c>
      <c r="B761" t="s">
        <v>2559</v>
      </c>
      <c r="C761" s="806">
        <v>1.04</v>
      </c>
      <c r="D761" s="121">
        <v>609522591</v>
      </c>
    </row>
    <row r="762" spans="1:4" ht="15">
      <c r="A762" t="s">
        <v>1529</v>
      </c>
      <c r="B762" t="s">
        <v>364</v>
      </c>
      <c r="C762" s="806">
        <v>1.04</v>
      </c>
      <c r="D762" s="121">
        <v>209509565</v>
      </c>
    </row>
    <row r="763" spans="1:4" ht="15">
      <c r="A763" t="s">
        <v>1530</v>
      </c>
      <c r="B763" t="s">
        <v>365</v>
      </c>
      <c r="C763" s="806">
        <v>1.04</v>
      </c>
      <c r="D763" s="121">
        <v>70411377</v>
      </c>
    </row>
    <row r="764" spans="1:4" ht="15">
      <c r="A764" t="s">
        <v>1531</v>
      </c>
      <c r="B764" t="s">
        <v>471</v>
      </c>
      <c r="C764" s="806">
        <v>1.04</v>
      </c>
      <c r="D764" s="121">
        <v>352759940</v>
      </c>
    </row>
    <row r="765" spans="1:4" ht="15">
      <c r="A765" t="s">
        <v>1532</v>
      </c>
      <c r="B765" t="s">
        <v>472</v>
      </c>
      <c r="C765" s="806">
        <v>0.77210000000000001</v>
      </c>
      <c r="D765" s="121">
        <v>705817319</v>
      </c>
    </row>
    <row r="766" spans="1:4" ht="15">
      <c r="A766" t="s">
        <v>1533</v>
      </c>
      <c r="B766" t="s">
        <v>473</v>
      </c>
      <c r="C766" s="806">
        <v>0.92100000000000004</v>
      </c>
      <c r="D766" s="121">
        <v>3108554351</v>
      </c>
    </row>
    <row r="767" spans="1:4" ht="15">
      <c r="A767" t="s">
        <v>2974</v>
      </c>
      <c r="B767" t="s">
        <v>494</v>
      </c>
      <c r="C767" s="806">
        <v>0.99629999999999996</v>
      </c>
      <c r="D767" s="121">
        <v>235254880</v>
      </c>
    </row>
    <row r="768" spans="1:4" ht="15">
      <c r="A768" t="s">
        <v>805</v>
      </c>
      <c r="B768" t="s">
        <v>1130</v>
      </c>
      <c r="C768" s="806">
        <v>1.04</v>
      </c>
      <c r="D768" s="121">
        <v>142132741</v>
      </c>
    </row>
    <row r="769" spans="1:4" ht="15">
      <c r="A769" t="s">
        <v>1703</v>
      </c>
      <c r="B769" t="s">
        <v>2211</v>
      </c>
      <c r="C769" s="806">
        <v>1.04</v>
      </c>
      <c r="D769" s="121">
        <v>744459095</v>
      </c>
    </row>
    <row r="770" spans="1:4" ht="15">
      <c r="A770" t="s">
        <v>1656</v>
      </c>
      <c r="B770" t="s">
        <v>161</v>
      </c>
      <c r="C770" s="806">
        <v>1.04</v>
      </c>
      <c r="D770" s="121">
        <v>2788389874</v>
      </c>
    </row>
    <row r="771" spans="1:4" ht="15">
      <c r="A771" t="s">
        <v>2901</v>
      </c>
      <c r="B771" t="s">
        <v>2558</v>
      </c>
      <c r="C771" s="806">
        <v>1.04</v>
      </c>
      <c r="D771" s="121">
        <v>232429839</v>
      </c>
    </row>
    <row r="772" spans="1:4" ht="15">
      <c r="A772" t="s">
        <v>1563</v>
      </c>
      <c r="B772" t="s">
        <v>474</v>
      </c>
      <c r="C772" s="806">
        <v>1.04</v>
      </c>
      <c r="D772" s="121">
        <v>1887808995</v>
      </c>
    </row>
    <row r="773" spans="1:4" ht="15">
      <c r="A773" t="s">
        <v>236</v>
      </c>
      <c r="B773" t="s">
        <v>2988</v>
      </c>
      <c r="C773" s="806">
        <v>1.04</v>
      </c>
      <c r="D773" s="121">
        <v>223974799</v>
      </c>
    </row>
    <row r="774" spans="1:4" ht="15">
      <c r="A774" t="s">
        <v>2144</v>
      </c>
      <c r="B774" t="s">
        <v>2122</v>
      </c>
      <c r="C774" s="806">
        <v>1.04</v>
      </c>
      <c r="D774" s="121">
        <v>294009201</v>
      </c>
    </row>
    <row r="775" spans="1:4" ht="15">
      <c r="A775" t="s">
        <v>1834</v>
      </c>
      <c r="B775" t="s">
        <v>475</v>
      </c>
      <c r="C775" s="806">
        <v>1.04</v>
      </c>
      <c r="D775" s="121">
        <v>184262574</v>
      </c>
    </row>
    <row r="776" spans="1:4" ht="15">
      <c r="A776" t="s">
        <v>1835</v>
      </c>
      <c r="B776" t="s">
        <v>476</v>
      </c>
      <c r="C776" s="806">
        <v>1.0165999999999999</v>
      </c>
      <c r="D776" s="121">
        <v>65409434</v>
      </c>
    </row>
    <row r="777" spans="1:4" ht="15">
      <c r="A777" t="s">
        <v>1836</v>
      </c>
      <c r="B777" t="s">
        <v>477</v>
      </c>
      <c r="C777" s="806">
        <v>1.04</v>
      </c>
      <c r="D777" s="121">
        <v>103300420</v>
      </c>
    </row>
    <row r="778" spans="1:4" ht="15">
      <c r="A778" t="s">
        <v>1837</v>
      </c>
      <c r="B778" t="s">
        <v>478</v>
      </c>
      <c r="C778" s="806">
        <v>0.85</v>
      </c>
      <c r="D778" s="121">
        <v>274718484</v>
      </c>
    </row>
    <row r="779" spans="1:4" ht="15">
      <c r="A779" t="s">
        <v>1838</v>
      </c>
      <c r="B779" t="s">
        <v>479</v>
      </c>
      <c r="C779" s="806">
        <v>1.17</v>
      </c>
      <c r="D779" s="121">
        <v>51101537</v>
      </c>
    </row>
    <row r="780" spans="1:4" ht="15">
      <c r="A780" t="s">
        <v>2140</v>
      </c>
      <c r="B780" t="s">
        <v>480</v>
      </c>
      <c r="C780" s="806">
        <v>1.04</v>
      </c>
      <c r="D780" s="121">
        <v>240815533</v>
      </c>
    </row>
    <row r="781" spans="1:4" ht="15">
      <c r="A781" t="s">
        <v>2625</v>
      </c>
      <c r="B781" t="s">
        <v>2660</v>
      </c>
      <c r="C781" s="806">
        <v>1.04</v>
      </c>
      <c r="D781" s="121">
        <v>1665988879</v>
      </c>
    </row>
    <row r="782" spans="1:4" ht="15">
      <c r="A782" t="s">
        <v>2614</v>
      </c>
      <c r="B782" t="s">
        <v>482</v>
      </c>
      <c r="C782" s="806">
        <v>1.04</v>
      </c>
      <c r="D782" s="121">
        <v>1327722435</v>
      </c>
    </row>
    <row r="783" spans="1:4" ht="15">
      <c r="A783" t="s">
        <v>1477</v>
      </c>
      <c r="B783" t="s">
        <v>483</v>
      </c>
      <c r="C783" s="806">
        <v>1.04</v>
      </c>
      <c r="D783" s="121">
        <v>295499481</v>
      </c>
    </row>
    <row r="784" spans="1:4" ht="15">
      <c r="A784" t="s">
        <v>790</v>
      </c>
      <c r="B784" t="s">
        <v>484</v>
      </c>
      <c r="C784" s="806">
        <v>1.04</v>
      </c>
      <c r="D784" s="121">
        <v>85197359</v>
      </c>
    </row>
    <row r="785" spans="1:4" ht="15">
      <c r="A785" t="s">
        <v>2917</v>
      </c>
      <c r="B785" t="s">
        <v>485</v>
      </c>
      <c r="C785" s="806">
        <v>1.04</v>
      </c>
      <c r="D785" s="121">
        <v>211436959</v>
      </c>
    </row>
    <row r="786" spans="1:4" ht="15">
      <c r="A786" t="s">
        <v>791</v>
      </c>
      <c r="B786" t="s">
        <v>486</v>
      </c>
      <c r="C786" s="806">
        <v>1.04</v>
      </c>
      <c r="D786" s="121">
        <v>97238527</v>
      </c>
    </row>
    <row r="787" spans="1:4" ht="15">
      <c r="A787" t="s">
        <v>1992</v>
      </c>
      <c r="B787" t="s">
        <v>2545</v>
      </c>
      <c r="C787" s="806">
        <v>1.04</v>
      </c>
      <c r="D787" s="121">
        <v>961817012</v>
      </c>
    </row>
    <row r="788" spans="1:4" ht="15">
      <c r="A788" t="s">
        <v>1380</v>
      </c>
      <c r="B788" t="s">
        <v>487</v>
      </c>
      <c r="C788" s="806">
        <v>1.04</v>
      </c>
      <c r="D788" s="121">
        <v>275009484</v>
      </c>
    </row>
    <row r="789" spans="1:4" ht="15">
      <c r="A789" t="s">
        <v>1839</v>
      </c>
      <c r="B789" t="s">
        <v>1204</v>
      </c>
      <c r="C789" s="806">
        <v>1.08</v>
      </c>
      <c r="D789" s="121">
        <v>6663189259</v>
      </c>
    </row>
    <row r="790" spans="1:4" ht="15">
      <c r="A790" t="s">
        <v>227</v>
      </c>
      <c r="B790" t="s">
        <v>3095</v>
      </c>
      <c r="C790" s="806">
        <v>1.04</v>
      </c>
      <c r="D790" s="121">
        <v>216977597</v>
      </c>
    </row>
    <row r="791" spans="1:4" ht="15">
      <c r="A791" t="s">
        <v>625</v>
      </c>
      <c r="B791" t="s">
        <v>151</v>
      </c>
      <c r="C791" s="806">
        <v>1.04</v>
      </c>
      <c r="D791" s="121">
        <v>826952994</v>
      </c>
    </row>
    <row r="792" spans="1:4" ht="15">
      <c r="A792" t="s">
        <v>2496</v>
      </c>
      <c r="B792" t="s">
        <v>488</v>
      </c>
      <c r="C792" s="806">
        <v>1.04</v>
      </c>
      <c r="D792" s="121">
        <v>749918398</v>
      </c>
    </row>
    <row r="793" spans="1:4" ht="15">
      <c r="A793" t="s">
        <v>1657</v>
      </c>
      <c r="B793" t="s">
        <v>323</v>
      </c>
      <c r="C793" s="806">
        <v>1.04</v>
      </c>
      <c r="D793" s="121">
        <v>121375955</v>
      </c>
    </row>
    <row r="794" spans="1:4" ht="15">
      <c r="A794" t="s">
        <v>245</v>
      </c>
      <c r="B794" t="s">
        <v>2413</v>
      </c>
      <c r="C794" s="806">
        <v>1.17</v>
      </c>
      <c r="D794" s="121">
        <v>81329359</v>
      </c>
    </row>
    <row r="795" spans="1:4" ht="15">
      <c r="A795" t="s">
        <v>1464</v>
      </c>
      <c r="B795" t="s">
        <v>489</v>
      </c>
      <c r="C795" s="806">
        <v>1.04</v>
      </c>
      <c r="D795" s="121">
        <v>431200621</v>
      </c>
    </row>
    <row r="796" spans="1:4" ht="15">
      <c r="A796" t="s">
        <v>1465</v>
      </c>
      <c r="B796" t="s">
        <v>2661</v>
      </c>
      <c r="C796" s="806">
        <v>1.04</v>
      </c>
      <c r="D796" s="121">
        <v>2498043242</v>
      </c>
    </row>
    <row r="797" spans="1:4" ht="15">
      <c r="A797" t="s">
        <v>2883</v>
      </c>
      <c r="B797" t="s">
        <v>180</v>
      </c>
      <c r="C797" s="806">
        <v>0.92600000000000005</v>
      </c>
      <c r="D797" s="121">
        <v>1354050411</v>
      </c>
    </row>
    <row r="798" spans="1:4" ht="15">
      <c r="A798" t="s">
        <v>896</v>
      </c>
      <c r="B798" t="s">
        <v>181</v>
      </c>
      <c r="C798" s="806">
        <v>1.04</v>
      </c>
      <c r="D798" s="121">
        <v>201423214</v>
      </c>
    </row>
    <row r="799" spans="1:4" ht="15">
      <c r="A799" t="s">
        <v>135</v>
      </c>
      <c r="B799" t="s">
        <v>2428</v>
      </c>
      <c r="C799" s="806">
        <v>1.04</v>
      </c>
      <c r="D799" s="121">
        <v>40579525</v>
      </c>
    </row>
    <row r="800" spans="1:4" ht="15">
      <c r="A800" t="s">
        <v>3051</v>
      </c>
      <c r="B800" t="s">
        <v>3096</v>
      </c>
      <c r="C800" s="806">
        <v>1.04</v>
      </c>
      <c r="D800" s="121">
        <v>142792392</v>
      </c>
    </row>
    <row r="801" spans="1:4" ht="15">
      <c r="A801" t="s">
        <v>2597</v>
      </c>
      <c r="B801" t="s">
        <v>1822</v>
      </c>
      <c r="C801" s="806">
        <v>1.04</v>
      </c>
      <c r="D801" s="121">
        <v>178511797</v>
      </c>
    </row>
    <row r="802" spans="1:4" ht="15">
      <c r="A802" t="s">
        <v>411</v>
      </c>
      <c r="B802" t="s">
        <v>3065</v>
      </c>
      <c r="C802" s="806">
        <v>1.17</v>
      </c>
      <c r="D802" s="121">
        <v>52136499</v>
      </c>
    </row>
    <row r="803" spans="1:4" ht="15">
      <c r="A803" t="s">
        <v>1113</v>
      </c>
      <c r="B803" t="s">
        <v>1823</v>
      </c>
      <c r="C803" s="806">
        <v>1.04</v>
      </c>
      <c r="D803" s="121">
        <v>809987322</v>
      </c>
    </row>
    <row r="804" spans="1:4" ht="15">
      <c r="A804" t="s">
        <v>1932</v>
      </c>
      <c r="B804" t="s">
        <v>2430</v>
      </c>
      <c r="C804" s="806">
        <v>1.04</v>
      </c>
      <c r="D804" s="121">
        <v>32692777</v>
      </c>
    </row>
    <row r="805" spans="1:4" ht="15">
      <c r="A805" t="s">
        <v>793</v>
      </c>
      <c r="B805" t="s">
        <v>1824</v>
      </c>
      <c r="C805" s="806">
        <v>0.99039999999999995</v>
      </c>
      <c r="D805" s="121">
        <v>404583951</v>
      </c>
    </row>
    <row r="806" spans="1:4" ht="15">
      <c r="A806" t="s">
        <v>794</v>
      </c>
      <c r="B806" t="s">
        <v>1825</v>
      </c>
      <c r="C806" s="806">
        <v>1.04</v>
      </c>
      <c r="D806" s="121">
        <v>113205141</v>
      </c>
    </row>
    <row r="807" spans="1:4" ht="15">
      <c r="A807" t="s">
        <v>795</v>
      </c>
      <c r="B807" t="s">
        <v>1826</v>
      </c>
      <c r="C807" s="806">
        <v>1.04</v>
      </c>
      <c r="D807" s="121">
        <v>480208870</v>
      </c>
    </row>
    <row r="808" spans="1:4" ht="15">
      <c r="A808" t="s">
        <v>1644</v>
      </c>
      <c r="B808" t="s">
        <v>1827</v>
      </c>
      <c r="C808" s="806">
        <v>1.04</v>
      </c>
      <c r="D808" s="121">
        <v>677647345</v>
      </c>
    </row>
    <row r="809" spans="1:4" ht="15">
      <c r="A809" t="s">
        <v>1645</v>
      </c>
      <c r="B809" t="s">
        <v>1828</v>
      </c>
      <c r="C809" s="806">
        <v>1.04</v>
      </c>
      <c r="D809" s="121">
        <v>526041922</v>
      </c>
    </row>
    <row r="810" spans="1:4" ht="15">
      <c r="A810" t="s">
        <v>1646</v>
      </c>
      <c r="B810" t="s">
        <v>1829</v>
      </c>
      <c r="C810" s="806">
        <v>1.03</v>
      </c>
      <c r="D810" s="121">
        <v>47986824</v>
      </c>
    </row>
    <row r="811" spans="1:4" ht="15">
      <c r="A811" t="s">
        <v>1647</v>
      </c>
      <c r="B811" t="s">
        <v>1830</v>
      </c>
      <c r="C811" s="806">
        <v>0.93200000000000005</v>
      </c>
      <c r="D811" s="121">
        <v>1388630998</v>
      </c>
    </row>
    <row r="812" spans="1:4" ht="15">
      <c r="A812" t="s">
        <v>1648</v>
      </c>
      <c r="B812" t="s">
        <v>1831</v>
      </c>
      <c r="C812" s="806">
        <v>1.04</v>
      </c>
      <c r="D812" s="121">
        <v>282244574</v>
      </c>
    </row>
    <row r="813" spans="1:4" ht="15">
      <c r="A813" t="s">
        <v>1649</v>
      </c>
      <c r="B813" t="s">
        <v>1102</v>
      </c>
      <c r="C813" s="806">
        <v>1.04</v>
      </c>
      <c r="D813" s="121">
        <v>62422845</v>
      </c>
    </row>
    <row r="814" spans="1:4" ht="15">
      <c r="A814" t="s">
        <v>1885</v>
      </c>
      <c r="B814" t="s">
        <v>1103</v>
      </c>
      <c r="C814" s="806">
        <v>1.04</v>
      </c>
      <c r="D814" s="121">
        <v>5203356036</v>
      </c>
    </row>
    <row r="815" spans="1:4" ht="15">
      <c r="A815" t="s">
        <v>2056</v>
      </c>
      <c r="B815" t="s">
        <v>668</v>
      </c>
      <c r="C815" s="806">
        <v>1.04</v>
      </c>
      <c r="D815" s="121">
        <v>908002935</v>
      </c>
    </row>
    <row r="816" spans="1:4" ht="15">
      <c r="A816" t="s">
        <v>1886</v>
      </c>
      <c r="B816" t="s">
        <v>2166</v>
      </c>
      <c r="C816" s="806">
        <v>1.17</v>
      </c>
      <c r="D816" s="121">
        <v>193270931</v>
      </c>
    </row>
    <row r="817" spans="1:4" ht="15">
      <c r="A817" t="s">
        <v>412</v>
      </c>
      <c r="B817" t="s">
        <v>2556</v>
      </c>
      <c r="C817" s="806">
        <v>1.17</v>
      </c>
      <c r="D817" s="121">
        <v>51190331</v>
      </c>
    </row>
    <row r="818" spans="1:4" ht="15">
      <c r="A818" t="s">
        <v>1350</v>
      </c>
      <c r="B818" t="s">
        <v>2662</v>
      </c>
      <c r="C818" s="806">
        <v>1.04</v>
      </c>
      <c r="D818" s="121">
        <v>165722631</v>
      </c>
    </row>
    <row r="819" spans="1:4" ht="15">
      <c r="A819" t="s">
        <v>413</v>
      </c>
      <c r="B819" t="s">
        <v>291</v>
      </c>
      <c r="C819" s="806">
        <v>1.17</v>
      </c>
      <c r="D819" s="121">
        <v>4140935</v>
      </c>
    </row>
    <row r="820" spans="1:4" ht="15">
      <c r="A820" t="s">
        <v>1887</v>
      </c>
      <c r="B820" t="s">
        <v>2167</v>
      </c>
      <c r="C820" s="806">
        <v>1.04</v>
      </c>
      <c r="D820" s="121">
        <v>1535826790</v>
      </c>
    </row>
    <row r="821" spans="1:4" ht="15">
      <c r="A821" t="s">
        <v>1888</v>
      </c>
      <c r="B821" t="s">
        <v>1718</v>
      </c>
      <c r="C821" s="806">
        <v>1.04</v>
      </c>
      <c r="D821" s="121">
        <v>78866805</v>
      </c>
    </row>
    <row r="822" spans="1:4" ht="15">
      <c r="A822" t="s">
        <v>1889</v>
      </c>
      <c r="B822" t="s">
        <v>1719</v>
      </c>
      <c r="C822" s="806">
        <v>1.2518</v>
      </c>
      <c r="D822" s="121">
        <v>36544839</v>
      </c>
    </row>
    <row r="823" spans="1:4" ht="15">
      <c r="A823" t="s">
        <v>2830</v>
      </c>
      <c r="B823" t="s">
        <v>2467</v>
      </c>
      <c r="C823" s="806">
        <v>1.04</v>
      </c>
      <c r="D823" s="121">
        <v>51595984</v>
      </c>
    </row>
    <row r="824" spans="1:4" ht="15">
      <c r="A824" t="s">
        <v>2831</v>
      </c>
      <c r="B824" t="s">
        <v>1538</v>
      </c>
      <c r="C824" s="806">
        <v>1.04</v>
      </c>
      <c r="D824" s="121">
        <v>61991706</v>
      </c>
    </row>
    <row r="825" spans="1:4" ht="15">
      <c r="A825" t="s">
        <v>1890</v>
      </c>
      <c r="B825" t="s">
        <v>1720</v>
      </c>
      <c r="C825" s="806">
        <v>0.74</v>
      </c>
      <c r="D825" s="121">
        <v>1856532138</v>
      </c>
    </row>
    <row r="826" spans="1:4" ht="15">
      <c r="A826" t="s">
        <v>218</v>
      </c>
      <c r="B826" t="s">
        <v>729</v>
      </c>
      <c r="C826" s="806">
        <v>1.17</v>
      </c>
      <c r="D826" s="121">
        <v>88798423</v>
      </c>
    </row>
    <row r="827" spans="1:4" ht="15">
      <c r="A827" t="s">
        <v>1891</v>
      </c>
      <c r="B827" t="s">
        <v>1721</v>
      </c>
      <c r="C827" s="806">
        <v>1.04</v>
      </c>
      <c r="D827" s="121">
        <v>410248759</v>
      </c>
    </row>
    <row r="828" spans="1:4" ht="15">
      <c r="A828" t="s">
        <v>1575</v>
      </c>
      <c r="B828" t="s">
        <v>1722</v>
      </c>
      <c r="C828" s="806">
        <v>1.0374000000000001</v>
      </c>
      <c r="D828" s="121">
        <v>273568627</v>
      </c>
    </row>
    <row r="829" spans="1:4" ht="15">
      <c r="A829" t="s">
        <v>1576</v>
      </c>
      <c r="B829" t="s">
        <v>1723</v>
      </c>
      <c r="C829" s="806">
        <v>1.036</v>
      </c>
      <c r="D829" s="121">
        <v>92643023</v>
      </c>
    </row>
    <row r="830" spans="1:4" ht="15">
      <c r="A830" t="s">
        <v>1577</v>
      </c>
      <c r="B830" t="s">
        <v>2364</v>
      </c>
      <c r="C830" s="806">
        <v>1.04</v>
      </c>
      <c r="D830" s="121">
        <v>127358786</v>
      </c>
    </row>
    <row r="831" spans="1:4" ht="15">
      <c r="A831" t="s">
        <v>1832</v>
      </c>
      <c r="B831" t="s">
        <v>2365</v>
      </c>
      <c r="C831" s="806">
        <v>1.04</v>
      </c>
      <c r="D831" s="121">
        <v>63916302</v>
      </c>
    </row>
    <row r="832" spans="1:4" ht="15">
      <c r="A832" t="s">
        <v>1833</v>
      </c>
      <c r="B832" t="s">
        <v>2663</v>
      </c>
      <c r="C832" s="806">
        <v>1.04</v>
      </c>
      <c r="D832" s="121">
        <v>654753477</v>
      </c>
    </row>
    <row r="833" spans="1:4" ht="15">
      <c r="A833" t="s">
        <v>2790</v>
      </c>
      <c r="B833" t="s">
        <v>384</v>
      </c>
      <c r="C833" s="806">
        <v>1.02</v>
      </c>
      <c r="D833" s="121">
        <v>240466996</v>
      </c>
    </row>
    <row r="834" spans="1:4" ht="15">
      <c r="A834" t="s">
        <v>1382</v>
      </c>
      <c r="B834" t="s">
        <v>2774</v>
      </c>
      <c r="C834" s="806">
        <v>1.0313000000000001</v>
      </c>
      <c r="D834" s="121">
        <v>624603988</v>
      </c>
    </row>
    <row r="835" spans="1:4" ht="15">
      <c r="A835" t="s">
        <v>2791</v>
      </c>
      <c r="B835" t="s">
        <v>385</v>
      </c>
      <c r="C835" s="806">
        <v>1.17</v>
      </c>
      <c r="D835" s="121">
        <v>1038045593</v>
      </c>
    </row>
    <row r="836" spans="1:4" ht="15">
      <c r="A836" t="s">
        <v>1639</v>
      </c>
      <c r="B836" t="s">
        <v>386</v>
      </c>
      <c r="C836" s="806">
        <v>1.04</v>
      </c>
      <c r="D836" s="121">
        <v>1109817910</v>
      </c>
    </row>
    <row r="837" spans="1:4" ht="15">
      <c r="A837" t="s">
        <v>2892</v>
      </c>
      <c r="B837" t="s">
        <v>2360</v>
      </c>
      <c r="C837" s="806">
        <v>1.17</v>
      </c>
      <c r="D837" s="121">
        <v>223699407</v>
      </c>
    </row>
    <row r="838" spans="1:4" ht="15">
      <c r="A838" t="s">
        <v>1591</v>
      </c>
      <c r="B838" t="s">
        <v>289</v>
      </c>
      <c r="C838" s="806">
        <v>1.17</v>
      </c>
      <c r="D838" s="121">
        <v>201582180</v>
      </c>
    </row>
    <row r="839" spans="1:4" ht="15">
      <c r="A839" t="s">
        <v>1493</v>
      </c>
      <c r="B839" t="s">
        <v>296</v>
      </c>
      <c r="C839" s="806">
        <v>1.17</v>
      </c>
      <c r="D839" s="121">
        <v>301603452</v>
      </c>
    </row>
    <row r="840" spans="1:4" ht="15">
      <c r="A840" t="s">
        <v>219</v>
      </c>
      <c r="B840" t="s">
        <v>656</v>
      </c>
      <c r="C840" s="806">
        <v>1.17</v>
      </c>
      <c r="D840" s="121">
        <v>246881388</v>
      </c>
    </row>
    <row r="841" spans="1:4" ht="15">
      <c r="A841" t="s">
        <v>531</v>
      </c>
      <c r="B841" t="s">
        <v>1584</v>
      </c>
      <c r="C841" s="806">
        <v>1.04</v>
      </c>
      <c r="D841" s="121">
        <v>149502952</v>
      </c>
    </row>
    <row r="842" spans="1:4" ht="15">
      <c r="A842" t="s">
        <v>1640</v>
      </c>
      <c r="B842" t="s">
        <v>387</v>
      </c>
      <c r="C842" s="806">
        <v>1.17</v>
      </c>
      <c r="D842" s="121">
        <v>46871990</v>
      </c>
    </row>
    <row r="843" spans="1:4" ht="15">
      <c r="A843" t="s">
        <v>1641</v>
      </c>
      <c r="B843" t="s">
        <v>388</v>
      </c>
      <c r="C843" s="806">
        <v>1.04</v>
      </c>
      <c r="D843" s="121">
        <v>35084653</v>
      </c>
    </row>
    <row r="844" spans="1:4" ht="15">
      <c r="A844" t="s">
        <v>1557</v>
      </c>
      <c r="B844" t="s">
        <v>389</v>
      </c>
      <c r="C844" s="806">
        <v>1.17</v>
      </c>
      <c r="D844" s="121">
        <v>355939612</v>
      </c>
    </row>
    <row r="845" spans="1:4" ht="15">
      <c r="A845" t="s">
        <v>1558</v>
      </c>
      <c r="B845" t="s">
        <v>390</v>
      </c>
      <c r="C845" s="806">
        <v>1.04</v>
      </c>
      <c r="D845" s="121">
        <v>53593965</v>
      </c>
    </row>
    <row r="846" spans="1:4" ht="15">
      <c r="A846" t="s">
        <v>1559</v>
      </c>
      <c r="B846" t="s">
        <v>391</v>
      </c>
      <c r="C846" s="806">
        <v>1.04</v>
      </c>
      <c r="D846" s="121">
        <v>2322434798</v>
      </c>
    </row>
    <row r="847" spans="1:4" ht="15">
      <c r="A847" t="s">
        <v>1662</v>
      </c>
      <c r="B847" t="s">
        <v>392</v>
      </c>
      <c r="C847" s="806">
        <v>1.04</v>
      </c>
      <c r="D847" s="121">
        <v>187933005</v>
      </c>
    </row>
    <row r="848" spans="1:4" ht="15">
      <c r="A848" t="s">
        <v>1084</v>
      </c>
      <c r="B848" t="s">
        <v>393</v>
      </c>
      <c r="C848" s="806">
        <v>1.0305</v>
      </c>
      <c r="D848" s="121">
        <v>221443131</v>
      </c>
    </row>
    <row r="849" spans="1:4" ht="15">
      <c r="A849" t="s">
        <v>1085</v>
      </c>
      <c r="B849" t="s">
        <v>394</v>
      </c>
      <c r="C849" s="806">
        <v>1.04</v>
      </c>
      <c r="D849" s="121">
        <v>48083539</v>
      </c>
    </row>
    <row r="850" spans="1:4" ht="15">
      <c r="A850" t="s">
        <v>1086</v>
      </c>
      <c r="B850" t="s">
        <v>1995</v>
      </c>
      <c r="C850" s="806">
        <v>1.04</v>
      </c>
      <c r="D850" s="121">
        <v>371810039</v>
      </c>
    </row>
    <row r="851" spans="1:4" ht="15">
      <c r="A851" t="s">
        <v>1245</v>
      </c>
      <c r="B851" t="s">
        <v>1996</v>
      </c>
      <c r="C851" s="806">
        <v>1.04</v>
      </c>
      <c r="D851" s="121">
        <v>239628814</v>
      </c>
    </row>
    <row r="852" spans="1:4" ht="15">
      <c r="A852" t="s">
        <v>220</v>
      </c>
      <c r="B852" t="s">
        <v>1418</v>
      </c>
      <c r="C852" s="806">
        <v>1.1100000000000001</v>
      </c>
      <c r="D852" s="121">
        <v>196498788</v>
      </c>
    </row>
    <row r="853" spans="1:4" ht="15">
      <c r="A853" t="s">
        <v>1246</v>
      </c>
      <c r="B853" t="s">
        <v>1997</v>
      </c>
      <c r="C853" s="806">
        <v>1.04</v>
      </c>
      <c r="D853" s="121">
        <v>67976863</v>
      </c>
    </row>
    <row r="854" spans="1:4" ht="15">
      <c r="A854" t="s">
        <v>1247</v>
      </c>
      <c r="B854" t="s">
        <v>1998</v>
      </c>
      <c r="C854" s="806">
        <v>1.17</v>
      </c>
      <c r="D854" s="121">
        <v>147914524</v>
      </c>
    </row>
    <row r="855" spans="1:4" ht="15">
      <c r="A855" t="s">
        <v>1407</v>
      </c>
      <c r="B855" t="s">
        <v>1999</v>
      </c>
      <c r="C855" s="806">
        <v>1.17</v>
      </c>
      <c r="D855" s="121">
        <v>12859987</v>
      </c>
    </row>
    <row r="856" spans="1:4" ht="15">
      <c r="A856" t="s">
        <v>1408</v>
      </c>
      <c r="B856" t="s">
        <v>2000</v>
      </c>
      <c r="C856" s="806">
        <v>1.04</v>
      </c>
      <c r="D856" s="121">
        <v>158571441</v>
      </c>
    </row>
    <row r="857" spans="1:4" ht="15">
      <c r="A857" t="s">
        <v>2040</v>
      </c>
      <c r="B857" t="s">
        <v>2271</v>
      </c>
      <c r="C857" s="806">
        <v>1.04</v>
      </c>
      <c r="D857" s="121">
        <v>384570197</v>
      </c>
    </row>
    <row r="858" spans="1:4" ht="15">
      <c r="A858" t="s">
        <v>304</v>
      </c>
      <c r="B858" t="s">
        <v>2425</v>
      </c>
      <c r="C858" s="806">
        <v>1.04</v>
      </c>
      <c r="D858" s="121">
        <v>441422988</v>
      </c>
    </row>
    <row r="859" spans="1:4" ht="15">
      <c r="A859" t="s">
        <v>1943</v>
      </c>
      <c r="B859" t="s">
        <v>2272</v>
      </c>
      <c r="C859" s="806">
        <v>1.04</v>
      </c>
      <c r="D859" s="121">
        <v>610249106</v>
      </c>
    </row>
    <row r="860" spans="1:4" ht="15">
      <c r="A860" t="s">
        <v>1944</v>
      </c>
      <c r="B860" t="s">
        <v>2273</v>
      </c>
      <c r="C860" s="806">
        <v>1.06</v>
      </c>
      <c r="D860" s="121">
        <v>981954025</v>
      </c>
    </row>
    <row r="861" spans="1:4" ht="15">
      <c r="A861" t="s">
        <v>1136</v>
      </c>
      <c r="B861" t="s">
        <v>2274</v>
      </c>
      <c r="C861" s="806">
        <v>0.98299999999999998</v>
      </c>
      <c r="D861" s="121">
        <v>417142689</v>
      </c>
    </row>
    <row r="862" spans="1:4" ht="15">
      <c r="A862" t="s">
        <v>217</v>
      </c>
      <c r="B862" t="s">
        <v>2275</v>
      </c>
      <c r="C862" s="806">
        <v>1.0246999999999999</v>
      </c>
      <c r="D862" s="121">
        <v>6537871909</v>
      </c>
    </row>
    <row r="863" spans="1:4" ht="15">
      <c r="A863" t="s">
        <v>1348</v>
      </c>
      <c r="B863" t="s">
        <v>1510</v>
      </c>
      <c r="C863" s="806">
        <v>1.04</v>
      </c>
      <c r="D863" s="121">
        <v>1444266293</v>
      </c>
    </row>
    <row r="864" spans="1:4" ht="15">
      <c r="A864" t="s">
        <v>1516</v>
      </c>
      <c r="B864" t="s">
        <v>735</v>
      </c>
      <c r="C864" s="806">
        <v>1.08</v>
      </c>
      <c r="D864" s="121">
        <v>927882312</v>
      </c>
    </row>
    <row r="865" spans="1:4" ht="15">
      <c r="A865" t="s">
        <v>1517</v>
      </c>
      <c r="B865" t="s">
        <v>2276</v>
      </c>
      <c r="C865" s="806">
        <v>1.04</v>
      </c>
      <c r="D865" s="121">
        <v>311557714</v>
      </c>
    </row>
    <row r="866" spans="1:4" ht="15">
      <c r="A866" t="s">
        <v>1518</v>
      </c>
      <c r="B866" t="s">
        <v>2277</v>
      </c>
      <c r="C866" s="806">
        <v>0.82520000000000004</v>
      </c>
      <c r="D866" s="121">
        <v>2797170195</v>
      </c>
    </row>
    <row r="867" spans="1:4" ht="15">
      <c r="A867" t="s">
        <v>3050</v>
      </c>
      <c r="B867" t="s">
        <v>3092</v>
      </c>
      <c r="C867" s="806">
        <v>1.17</v>
      </c>
      <c r="D867" s="121">
        <v>1008733587</v>
      </c>
    </row>
    <row r="868" spans="1:4" ht="15">
      <c r="A868" t="s">
        <v>1945</v>
      </c>
      <c r="B868" t="s">
        <v>2278</v>
      </c>
      <c r="C868" s="806">
        <v>1.04</v>
      </c>
      <c r="D868" s="121">
        <v>281287196</v>
      </c>
    </row>
    <row r="869" spans="1:4" ht="15">
      <c r="A869" t="s">
        <v>221</v>
      </c>
      <c r="B869" t="s">
        <v>663</v>
      </c>
      <c r="C869" s="806">
        <v>1.17</v>
      </c>
      <c r="D869" s="121">
        <v>438040958</v>
      </c>
    </row>
    <row r="870" spans="1:4" ht="15">
      <c r="A870" t="s">
        <v>1946</v>
      </c>
      <c r="B870" t="s">
        <v>2279</v>
      </c>
      <c r="C870" s="806">
        <v>1.04</v>
      </c>
      <c r="D870" s="121">
        <v>597725894</v>
      </c>
    </row>
    <row r="871" spans="1:4" ht="15">
      <c r="A871" t="s">
        <v>2979</v>
      </c>
      <c r="B871" t="s">
        <v>2931</v>
      </c>
      <c r="C871" s="806">
        <v>1.04</v>
      </c>
      <c r="D871" s="121">
        <v>569167458</v>
      </c>
    </row>
    <row r="872" spans="1:4" ht="15">
      <c r="A872" t="s">
        <v>849</v>
      </c>
      <c r="B872" t="s">
        <v>2932</v>
      </c>
      <c r="C872" s="806">
        <v>1.04</v>
      </c>
      <c r="D872" s="121">
        <v>150382465</v>
      </c>
    </row>
    <row r="873" spans="1:4" ht="15">
      <c r="A873" t="s">
        <v>850</v>
      </c>
      <c r="B873" t="s">
        <v>2933</v>
      </c>
      <c r="C873" s="806">
        <v>1.04</v>
      </c>
      <c r="D873" s="121">
        <v>1410650299</v>
      </c>
    </row>
    <row r="874" spans="1:4" ht="15">
      <c r="A874" t="s">
        <v>906</v>
      </c>
      <c r="B874" t="s">
        <v>2934</v>
      </c>
      <c r="C874" s="806">
        <v>1.04</v>
      </c>
      <c r="D874" s="121">
        <v>59718965</v>
      </c>
    </row>
    <row r="875" spans="1:4" ht="15">
      <c r="A875" t="s">
        <v>617</v>
      </c>
      <c r="B875" t="s">
        <v>2935</v>
      </c>
      <c r="C875" s="806">
        <v>1.1599999999999999</v>
      </c>
      <c r="D875" s="121">
        <v>132171157</v>
      </c>
    </row>
    <row r="876" spans="1:4" ht="15">
      <c r="A876" t="s">
        <v>618</v>
      </c>
      <c r="B876" t="s">
        <v>2936</v>
      </c>
      <c r="C876" s="806">
        <v>1.17</v>
      </c>
      <c r="D876" s="121">
        <v>49261282</v>
      </c>
    </row>
    <row r="877" spans="1:4" ht="15">
      <c r="A877" t="s">
        <v>2621</v>
      </c>
      <c r="B877" t="s">
        <v>2775</v>
      </c>
      <c r="C877" s="806">
        <v>1.04</v>
      </c>
      <c r="D877" s="121">
        <v>19653292823</v>
      </c>
    </row>
    <row r="878" spans="1:4" ht="15">
      <c r="A878" t="s">
        <v>985</v>
      </c>
      <c r="B878" t="s">
        <v>901</v>
      </c>
      <c r="C878" s="806">
        <v>1.04</v>
      </c>
      <c r="D878" s="121">
        <v>6845303942</v>
      </c>
    </row>
    <row r="879" spans="1:4" ht="15">
      <c r="A879" t="s">
        <v>2111</v>
      </c>
      <c r="B879" t="s">
        <v>2937</v>
      </c>
      <c r="C879" s="806">
        <v>1.04</v>
      </c>
      <c r="D879" s="121">
        <v>992309654</v>
      </c>
    </row>
    <row r="880" spans="1:4" ht="15">
      <c r="A880" t="s">
        <v>2297</v>
      </c>
      <c r="B880" t="s">
        <v>1453</v>
      </c>
      <c r="C880" s="806">
        <v>1.04</v>
      </c>
      <c r="D880" s="121">
        <v>22791455991</v>
      </c>
    </row>
    <row r="881" spans="1:4" ht="15">
      <c r="A881" t="s">
        <v>2497</v>
      </c>
      <c r="B881" t="s">
        <v>1454</v>
      </c>
      <c r="C881" s="806">
        <v>1.04</v>
      </c>
      <c r="D881" s="121">
        <v>9155111126</v>
      </c>
    </row>
    <row r="882" spans="1:4" ht="15">
      <c r="A882" t="s">
        <v>57</v>
      </c>
      <c r="B882" t="s">
        <v>452</v>
      </c>
      <c r="C882" s="806">
        <v>1.04</v>
      </c>
      <c r="D882" s="121">
        <v>9310432276</v>
      </c>
    </row>
    <row r="883" spans="1:4" ht="15">
      <c r="A883" t="s">
        <v>379</v>
      </c>
      <c r="B883" t="s">
        <v>321</v>
      </c>
      <c r="C883" s="806">
        <v>1.04</v>
      </c>
      <c r="D883" s="121">
        <v>7750749043</v>
      </c>
    </row>
    <row r="884" spans="1:4" ht="15">
      <c r="A884" t="s">
        <v>1986</v>
      </c>
      <c r="B884" t="s">
        <v>2624</v>
      </c>
      <c r="C884" s="806">
        <v>1.17</v>
      </c>
      <c r="D884" s="121">
        <v>732371515</v>
      </c>
    </row>
    <row r="885" spans="1:4" ht="15">
      <c r="A885" t="s">
        <v>2759</v>
      </c>
      <c r="B885" t="s">
        <v>459</v>
      </c>
      <c r="C885" s="806">
        <v>1.04</v>
      </c>
      <c r="D885" s="121">
        <v>4498759618</v>
      </c>
    </row>
    <row r="886" spans="1:4" ht="15">
      <c r="A886" t="s">
        <v>59</v>
      </c>
      <c r="B886" t="s">
        <v>2876</v>
      </c>
      <c r="C886" s="806">
        <v>1.17</v>
      </c>
      <c r="D886" s="121">
        <v>909769771</v>
      </c>
    </row>
    <row r="887" spans="1:4" ht="15">
      <c r="A887" t="s">
        <v>1894</v>
      </c>
      <c r="B887" t="s">
        <v>2429</v>
      </c>
      <c r="C887" s="806">
        <v>1.04</v>
      </c>
      <c r="D887" s="121">
        <v>1873492252</v>
      </c>
    </row>
    <row r="888" spans="1:4" ht="15">
      <c r="A888" t="s">
        <v>1280</v>
      </c>
      <c r="B888" t="s">
        <v>1439</v>
      </c>
      <c r="C888" s="806">
        <v>1.04</v>
      </c>
      <c r="D888" s="121">
        <v>8152432511</v>
      </c>
    </row>
    <row r="889" spans="1:4" ht="15">
      <c r="A889" t="s">
        <v>2108</v>
      </c>
      <c r="B889" t="s">
        <v>732</v>
      </c>
      <c r="C889" s="806">
        <v>1.04</v>
      </c>
      <c r="D889" s="121">
        <v>452944113</v>
      </c>
    </row>
    <row r="890" spans="1:4" ht="15">
      <c r="A890" t="s">
        <v>2542</v>
      </c>
      <c r="B890" t="s">
        <v>1455</v>
      </c>
      <c r="C890" s="806">
        <v>0.99580000000000002</v>
      </c>
      <c r="D890" s="121">
        <v>5530684602</v>
      </c>
    </row>
    <row r="891" spans="1:4" ht="15">
      <c r="A891" t="s">
        <v>2107</v>
      </c>
      <c r="B891" t="s">
        <v>731</v>
      </c>
      <c r="C891" s="806">
        <v>1.04</v>
      </c>
      <c r="D891" s="121">
        <v>4562177968</v>
      </c>
    </row>
    <row r="892" spans="1:4" ht="15">
      <c r="A892" t="s">
        <v>1347</v>
      </c>
      <c r="B892" t="s">
        <v>1509</v>
      </c>
      <c r="C892" s="806">
        <v>1.04</v>
      </c>
      <c r="D892" s="121">
        <v>1293234329</v>
      </c>
    </row>
    <row r="893" spans="1:4" ht="15">
      <c r="A893" t="s">
        <v>2543</v>
      </c>
      <c r="B893" t="s">
        <v>1456</v>
      </c>
      <c r="C893" s="806">
        <v>1.04</v>
      </c>
      <c r="D893" s="121">
        <v>3464897149</v>
      </c>
    </row>
    <row r="894" spans="1:4" ht="15">
      <c r="A894" t="s">
        <v>2544</v>
      </c>
      <c r="B894" t="s">
        <v>1457</v>
      </c>
      <c r="C894" s="806">
        <v>1.04</v>
      </c>
      <c r="D894" s="121">
        <v>357435289</v>
      </c>
    </row>
    <row r="895" spans="1:4" ht="15">
      <c r="A895" t="s">
        <v>3052</v>
      </c>
      <c r="B895" t="s">
        <v>1458</v>
      </c>
      <c r="C895" s="806">
        <v>1.17</v>
      </c>
      <c r="D895" s="121">
        <v>95436002</v>
      </c>
    </row>
    <row r="896" spans="1:4" ht="15">
      <c r="A896" t="s">
        <v>3053</v>
      </c>
      <c r="B896" t="s">
        <v>2664</v>
      </c>
      <c r="C896" s="806">
        <v>1.04</v>
      </c>
      <c r="D896" s="121">
        <v>462621853</v>
      </c>
    </row>
    <row r="897" spans="1:4" ht="15">
      <c r="A897" t="s">
        <v>3054</v>
      </c>
      <c r="B897" t="s">
        <v>1293</v>
      </c>
      <c r="C897" s="806">
        <v>1.04</v>
      </c>
      <c r="D897" s="121">
        <v>1056806632</v>
      </c>
    </row>
    <row r="898" spans="1:4" ht="15">
      <c r="A898" t="s">
        <v>3055</v>
      </c>
      <c r="B898" t="s">
        <v>1460</v>
      </c>
      <c r="C898" s="806">
        <v>1.04</v>
      </c>
      <c r="D898" s="121">
        <v>923407125</v>
      </c>
    </row>
    <row r="899" spans="1:4" ht="15">
      <c r="A899" t="s">
        <v>1335</v>
      </c>
      <c r="B899" t="s">
        <v>336</v>
      </c>
      <c r="C899" s="806">
        <v>1.17</v>
      </c>
      <c r="D899" s="121">
        <v>601185716</v>
      </c>
    </row>
    <row r="900" spans="1:4" ht="15">
      <c r="A900" t="s">
        <v>2106</v>
      </c>
      <c r="B900" t="s">
        <v>930</v>
      </c>
      <c r="C900" s="806">
        <v>1.17</v>
      </c>
      <c r="D900" s="121">
        <v>61711232</v>
      </c>
    </row>
    <row r="901" spans="1:4" ht="15">
      <c r="A901" t="s">
        <v>1336</v>
      </c>
      <c r="B901" t="s">
        <v>2665</v>
      </c>
      <c r="C901" s="806">
        <v>1.1200000000000001</v>
      </c>
      <c r="D901" s="121">
        <v>134129211</v>
      </c>
    </row>
    <row r="902" spans="1:4" ht="15">
      <c r="A902" t="s">
        <v>1783</v>
      </c>
      <c r="B902" t="s">
        <v>706</v>
      </c>
      <c r="C902" s="806">
        <v>1.04</v>
      </c>
      <c r="D902" s="121">
        <v>107772045</v>
      </c>
    </row>
    <row r="903" spans="1:4" ht="15">
      <c r="A903" t="s">
        <v>1784</v>
      </c>
      <c r="B903" t="s">
        <v>707</v>
      </c>
      <c r="C903" s="806">
        <v>1.17</v>
      </c>
      <c r="D903" s="121">
        <v>30997028</v>
      </c>
    </row>
    <row r="904" spans="1:4" ht="15">
      <c r="A904" t="s">
        <v>1785</v>
      </c>
      <c r="B904" t="s">
        <v>708</v>
      </c>
      <c r="C904" s="806">
        <v>1.04</v>
      </c>
      <c r="D904" s="121">
        <v>2030904358</v>
      </c>
    </row>
    <row r="905" spans="1:4" ht="15">
      <c r="A905" t="s">
        <v>2062</v>
      </c>
      <c r="B905" t="s">
        <v>1868</v>
      </c>
      <c r="C905" s="806">
        <v>1.04</v>
      </c>
      <c r="D905" s="121">
        <v>45813897</v>
      </c>
    </row>
    <row r="906" spans="1:4" ht="15">
      <c r="A906" t="s">
        <v>305</v>
      </c>
      <c r="B906" t="s">
        <v>735</v>
      </c>
      <c r="C906" s="806">
        <v>1.04</v>
      </c>
      <c r="D906" s="121">
        <v>88107890</v>
      </c>
    </row>
    <row r="907" spans="1:4" ht="15">
      <c r="A907" t="s">
        <v>2063</v>
      </c>
      <c r="B907" t="s">
        <v>1869</v>
      </c>
      <c r="C907" s="806">
        <v>1.04</v>
      </c>
      <c r="D907" s="121">
        <v>107621701</v>
      </c>
    </row>
    <row r="908" spans="1:4" ht="15">
      <c r="A908" t="s">
        <v>2797</v>
      </c>
      <c r="B908" t="s">
        <v>2179</v>
      </c>
      <c r="C908" s="806">
        <v>1.17</v>
      </c>
      <c r="D908" s="121">
        <v>118861950</v>
      </c>
    </row>
    <row r="909" spans="1:4" ht="15">
      <c r="A909" t="s">
        <v>1488</v>
      </c>
      <c r="B909" t="s">
        <v>2307</v>
      </c>
      <c r="C909" s="806">
        <v>1.04</v>
      </c>
      <c r="D909" s="121">
        <v>2955169446</v>
      </c>
    </row>
    <row r="910" spans="1:4" ht="15">
      <c r="A910" t="s">
        <v>2785</v>
      </c>
      <c r="B910" t="s">
        <v>2180</v>
      </c>
      <c r="C910" s="806">
        <v>1.04</v>
      </c>
      <c r="D910" s="121">
        <v>109733207</v>
      </c>
    </row>
    <row r="911" spans="1:4" ht="15">
      <c r="A911" t="s">
        <v>374</v>
      </c>
      <c r="B911" t="s">
        <v>158</v>
      </c>
      <c r="C911" s="806">
        <v>1.04</v>
      </c>
      <c r="D911" s="121">
        <v>174037527</v>
      </c>
    </row>
    <row r="912" spans="1:4" ht="15">
      <c r="A912" t="s">
        <v>1482</v>
      </c>
      <c r="B912" t="s">
        <v>1947</v>
      </c>
      <c r="C912" s="806">
        <v>1.17</v>
      </c>
      <c r="D912" s="121">
        <v>109811145</v>
      </c>
    </row>
    <row r="913" spans="1:4" ht="15">
      <c r="A913" t="s">
        <v>1422</v>
      </c>
      <c r="B913" t="s">
        <v>3041</v>
      </c>
      <c r="C913" s="806">
        <v>1.17</v>
      </c>
      <c r="D913" s="121">
        <v>64454518</v>
      </c>
    </row>
    <row r="914" spans="1:4" ht="15">
      <c r="A914" t="s">
        <v>292</v>
      </c>
      <c r="B914" t="s">
        <v>2181</v>
      </c>
      <c r="C914" s="806">
        <v>1.079</v>
      </c>
      <c r="D914" s="121">
        <v>53030915597</v>
      </c>
    </row>
    <row r="915" spans="1:4" ht="15">
      <c r="A915" t="s">
        <v>238</v>
      </c>
      <c r="B915" t="s">
        <v>1125</v>
      </c>
      <c r="C915" s="806">
        <v>1.04</v>
      </c>
      <c r="D915" s="121">
        <v>6599540933</v>
      </c>
    </row>
    <row r="916" spans="1:4" ht="15">
      <c r="A916" t="s">
        <v>293</v>
      </c>
      <c r="B916" t="s">
        <v>2182</v>
      </c>
      <c r="C916" s="806">
        <v>1.04</v>
      </c>
      <c r="D916" s="121">
        <v>2394691977</v>
      </c>
    </row>
    <row r="917" spans="1:4" ht="15">
      <c r="A917" t="s">
        <v>294</v>
      </c>
      <c r="B917" t="s">
        <v>2183</v>
      </c>
      <c r="C917" s="806">
        <v>1.04</v>
      </c>
      <c r="D917" s="121">
        <v>8442526790</v>
      </c>
    </row>
    <row r="918" spans="1:4" ht="15">
      <c r="A918" t="s">
        <v>1295</v>
      </c>
      <c r="B918" t="s">
        <v>3064</v>
      </c>
      <c r="C918" s="806">
        <v>1.04</v>
      </c>
      <c r="D918" s="121">
        <v>3000015753</v>
      </c>
    </row>
    <row r="919" spans="1:4" ht="15">
      <c r="A919" t="s">
        <v>2804</v>
      </c>
      <c r="B919" t="s">
        <v>2184</v>
      </c>
      <c r="C919" s="806">
        <v>1.04</v>
      </c>
      <c r="D919" s="121">
        <v>1191928398</v>
      </c>
    </row>
    <row r="920" spans="1:4" ht="15">
      <c r="A920" t="s">
        <v>1496</v>
      </c>
      <c r="B920" t="s">
        <v>2185</v>
      </c>
      <c r="C920" s="806">
        <v>1.04</v>
      </c>
      <c r="D920" s="121">
        <v>5703273314</v>
      </c>
    </row>
    <row r="921" spans="1:4" ht="15">
      <c r="A921" t="s">
        <v>1497</v>
      </c>
      <c r="B921" t="s">
        <v>2186</v>
      </c>
      <c r="C921" s="806">
        <v>1.04</v>
      </c>
      <c r="D921" s="121">
        <v>131008407</v>
      </c>
    </row>
    <row r="922" spans="1:4" ht="15">
      <c r="A922" t="s">
        <v>1498</v>
      </c>
      <c r="B922" t="s">
        <v>2187</v>
      </c>
      <c r="C922" s="806">
        <v>1.04</v>
      </c>
      <c r="D922" s="121">
        <v>220201883</v>
      </c>
    </row>
    <row r="923" spans="1:4" ht="15">
      <c r="A923" t="s">
        <v>1499</v>
      </c>
      <c r="B923" t="s">
        <v>2081</v>
      </c>
      <c r="C923" s="806">
        <v>1.04</v>
      </c>
      <c r="D923" s="121">
        <v>24769667</v>
      </c>
    </row>
    <row r="924" spans="1:4" ht="15">
      <c r="A924" t="s">
        <v>1500</v>
      </c>
      <c r="B924" t="s">
        <v>2188</v>
      </c>
      <c r="C924" s="806">
        <v>1.04</v>
      </c>
      <c r="D924" s="121">
        <v>21937167</v>
      </c>
    </row>
    <row r="925" spans="1:4" ht="15">
      <c r="A925" t="s">
        <v>1615</v>
      </c>
      <c r="B925" t="s">
        <v>1740</v>
      </c>
      <c r="C925" s="806">
        <v>1.04</v>
      </c>
      <c r="D925" s="121">
        <v>92245895</v>
      </c>
    </row>
    <row r="926" spans="1:4" ht="15">
      <c r="A926" t="s">
        <v>2051</v>
      </c>
      <c r="B926" t="s">
        <v>2189</v>
      </c>
      <c r="C926" s="806">
        <v>1.04</v>
      </c>
      <c r="D926" s="121">
        <v>731407158</v>
      </c>
    </row>
    <row r="927" spans="1:4" ht="15">
      <c r="A927" t="s">
        <v>2052</v>
      </c>
      <c r="B927" t="s">
        <v>2190</v>
      </c>
      <c r="C927" s="806">
        <v>1.04</v>
      </c>
      <c r="D927" s="121">
        <v>202013744</v>
      </c>
    </row>
    <row r="928" spans="1:4" ht="15">
      <c r="A928" t="s">
        <v>1423</v>
      </c>
      <c r="B928" t="s">
        <v>2212</v>
      </c>
      <c r="C928" s="806">
        <v>1.04</v>
      </c>
      <c r="D928" s="121">
        <v>51948629</v>
      </c>
    </row>
    <row r="929" spans="1:4" ht="15">
      <c r="A929" t="s">
        <v>83</v>
      </c>
      <c r="B929" t="s">
        <v>2499</v>
      </c>
      <c r="C929" s="806">
        <v>1.04</v>
      </c>
      <c r="D929" s="121">
        <v>50000469</v>
      </c>
    </row>
    <row r="930" spans="1:4" ht="15">
      <c r="A930" t="s">
        <v>2053</v>
      </c>
      <c r="B930" t="s">
        <v>483</v>
      </c>
      <c r="C930" s="806">
        <v>1.04</v>
      </c>
      <c r="D930" s="121">
        <v>157304509</v>
      </c>
    </row>
    <row r="931" spans="1:4" ht="15">
      <c r="A931" t="s">
        <v>2054</v>
      </c>
      <c r="B931" t="s">
        <v>2191</v>
      </c>
      <c r="C931" s="806">
        <v>1.04</v>
      </c>
      <c r="D931" s="121">
        <v>853444223</v>
      </c>
    </row>
    <row r="932" spans="1:4" ht="15">
      <c r="A932" t="s">
        <v>1594</v>
      </c>
      <c r="B932" t="s">
        <v>1152</v>
      </c>
      <c r="C932" s="806">
        <v>1.04</v>
      </c>
      <c r="D932" s="121">
        <v>124904338</v>
      </c>
    </row>
    <row r="933" spans="1:4" ht="15">
      <c r="A933" t="s">
        <v>1229</v>
      </c>
      <c r="B933" t="s">
        <v>881</v>
      </c>
      <c r="C933" s="806">
        <v>1.04</v>
      </c>
      <c r="D933" s="121">
        <v>82525711</v>
      </c>
    </row>
    <row r="934" spans="1:4" ht="15">
      <c r="A934" t="s">
        <v>2127</v>
      </c>
      <c r="B934" t="s">
        <v>935</v>
      </c>
      <c r="C934" s="806">
        <v>1.0401</v>
      </c>
      <c r="D934" s="121">
        <v>360528158</v>
      </c>
    </row>
    <row r="935" spans="1:4" ht="15">
      <c r="A935" t="s">
        <v>1230</v>
      </c>
      <c r="B935" t="s">
        <v>1729</v>
      </c>
      <c r="C935" s="806">
        <v>1.04</v>
      </c>
      <c r="D935" s="121">
        <v>130779588</v>
      </c>
    </row>
    <row r="936" spans="1:4" ht="15">
      <c r="A936" t="s">
        <v>1231</v>
      </c>
      <c r="B936" t="s">
        <v>882</v>
      </c>
      <c r="C936" s="806">
        <v>1.17</v>
      </c>
      <c r="D936" s="121">
        <v>207190956</v>
      </c>
    </row>
    <row r="937" spans="1:4" ht="15">
      <c r="A937" t="s">
        <v>1232</v>
      </c>
      <c r="B937" t="s">
        <v>883</v>
      </c>
      <c r="C937" s="806">
        <v>1.04</v>
      </c>
      <c r="D937" s="121">
        <v>1417443745</v>
      </c>
    </row>
    <row r="938" spans="1:4" ht="15">
      <c r="A938" t="s">
        <v>1233</v>
      </c>
      <c r="B938" t="s">
        <v>884</v>
      </c>
      <c r="C938" s="806">
        <v>1.04</v>
      </c>
      <c r="D938" s="121">
        <v>1404336172</v>
      </c>
    </row>
    <row r="939" spans="1:4" ht="15">
      <c r="A939" t="s">
        <v>63</v>
      </c>
      <c r="B939" t="s">
        <v>2832</v>
      </c>
      <c r="C939" s="806">
        <v>1.04</v>
      </c>
      <c r="D939" s="121">
        <v>43619688</v>
      </c>
    </row>
    <row r="940" spans="1:4" ht="15">
      <c r="A940" t="s">
        <v>1737</v>
      </c>
      <c r="B940" t="s">
        <v>670</v>
      </c>
      <c r="C940" s="806">
        <v>0.82199999999999995</v>
      </c>
      <c r="D940" s="121">
        <v>158315248</v>
      </c>
    </row>
    <row r="941" spans="1:4" ht="15">
      <c r="A941" t="s">
        <v>1714</v>
      </c>
      <c r="B941" t="s">
        <v>327</v>
      </c>
      <c r="C941" s="806">
        <v>1.04</v>
      </c>
      <c r="D941" s="121">
        <v>719187765</v>
      </c>
    </row>
    <row r="942" spans="1:4" ht="15">
      <c r="A942" t="s">
        <v>1495</v>
      </c>
      <c r="B942" t="s">
        <v>687</v>
      </c>
      <c r="C942" s="806">
        <v>1.04</v>
      </c>
      <c r="D942" s="121">
        <v>135996949</v>
      </c>
    </row>
    <row r="943" spans="1:4" ht="15">
      <c r="A943" t="s">
        <v>530</v>
      </c>
      <c r="B943" t="s">
        <v>2460</v>
      </c>
      <c r="C943" s="806">
        <v>1.04</v>
      </c>
      <c r="D943" s="121">
        <v>1199871228</v>
      </c>
    </row>
    <row r="944" spans="1:4" ht="15">
      <c r="A944" t="s">
        <v>940</v>
      </c>
      <c r="B944" t="s">
        <v>688</v>
      </c>
      <c r="C944" s="806">
        <v>1.04</v>
      </c>
      <c r="D944" s="121">
        <v>162207173</v>
      </c>
    </row>
    <row r="945" spans="1:4" ht="15">
      <c r="A945" t="s">
        <v>943</v>
      </c>
      <c r="B945" t="s">
        <v>1310</v>
      </c>
      <c r="C945" s="806">
        <v>1.04</v>
      </c>
      <c r="D945" s="121">
        <v>541956306</v>
      </c>
    </row>
    <row r="946" spans="1:4" ht="15">
      <c r="A946" t="s">
        <v>944</v>
      </c>
      <c r="B946" t="s">
        <v>1000</v>
      </c>
      <c r="C946" s="806">
        <v>1</v>
      </c>
      <c r="D946" s="121">
        <v>190050947</v>
      </c>
    </row>
    <row r="947" spans="1:4" ht="15">
      <c r="A947" t="s">
        <v>1726</v>
      </c>
      <c r="B947" t="s">
        <v>976</v>
      </c>
      <c r="C947" s="806">
        <v>0.94340000000000002</v>
      </c>
      <c r="D947" s="121">
        <v>207287243</v>
      </c>
    </row>
    <row r="948" spans="1:4" ht="15">
      <c r="A948" t="s">
        <v>2097</v>
      </c>
      <c r="B948" t="s">
        <v>2359</v>
      </c>
      <c r="C948" s="806">
        <v>1.04</v>
      </c>
      <c r="D948" s="121">
        <v>81582464</v>
      </c>
    </row>
    <row r="949" spans="1:4" ht="15">
      <c r="A949" t="s">
        <v>945</v>
      </c>
      <c r="B949" t="s">
        <v>1311</v>
      </c>
      <c r="C949" s="806">
        <v>1.17</v>
      </c>
      <c r="D949" s="121">
        <v>512121453</v>
      </c>
    </row>
    <row r="950" spans="1:4" ht="15">
      <c r="A950" t="s">
        <v>946</v>
      </c>
      <c r="B950" t="s">
        <v>2379</v>
      </c>
      <c r="C950" s="806">
        <v>1.04</v>
      </c>
      <c r="D950" s="121">
        <v>460756993</v>
      </c>
    </row>
    <row r="951" spans="1:4" ht="15">
      <c r="A951" t="s">
        <v>1606</v>
      </c>
      <c r="B951" t="s">
        <v>1668</v>
      </c>
      <c r="C951" s="806">
        <v>1.04</v>
      </c>
      <c r="D951" s="121">
        <v>57042787</v>
      </c>
    </row>
    <row r="952" spans="1:4" ht="15">
      <c r="A952" t="s">
        <v>989</v>
      </c>
      <c r="B952" t="s">
        <v>1520</v>
      </c>
      <c r="C952" s="806">
        <v>1.04</v>
      </c>
      <c r="D952" s="121">
        <v>130388743</v>
      </c>
    </row>
    <row r="953" spans="1:4" ht="15">
      <c r="A953" t="s">
        <v>372</v>
      </c>
      <c r="B953" t="s">
        <v>155</v>
      </c>
      <c r="C953" s="806">
        <v>1.03</v>
      </c>
      <c r="D953" s="121">
        <v>3877255823</v>
      </c>
    </row>
    <row r="954" spans="1:4" ht="15">
      <c r="A954" t="s">
        <v>2992</v>
      </c>
      <c r="B954" t="s">
        <v>2380</v>
      </c>
      <c r="C954" s="806">
        <v>0.97</v>
      </c>
      <c r="D954" s="121">
        <v>164911259</v>
      </c>
    </row>
    <row r="955" spans="1:4" ht="15">
      <c r="A955" t="s">
        <v>1160</v>
      </c>
      <c r="B955" t="s">
        <v>1307</v>
      </c>
      <c r="C955" s="806">
        <v>1.0233000000000001</v>
      </c>
      <c r="D955" s="121">
        <v>172995061</v>
      </c>
    </row>
    <row r="956" spans="1:4" ht="15">
      <c r="A956" t="s">
        <v>1320</v>
      </c>
      <c r="B956" t="s">
        <v>106</v>
      </c>
      <c r="C956" s="806">
        <v>1.04</v>
      </c>
      <c r="D956" s="121">
        <v>1516964605</v>
      </c>
    </row>
    <row r="957" spans="1:4" ht="15">
      <c r="A957" t="s">
        <v>306</v>
      </c>
      <c r="B957" t="s">
        <v>2722</v>
      </c>
      <c r="C957" s="806">
        <v>1.04</v>
      </c>
      <c r="D957" s="121">
        <v>374479962</v>
      </c>
    </row>
    <row r="958" spans="1:4" ht="15">
      <c r="A958" t="s">
        <v>307</v>
      </c>
      <c r="B958" t="s">
        <v>159</v>
      </c>
      <c r="C958" s="806">
        <v>1.04</v>
      </c>
      <c r="D958" s="121">
        <v>1359065678</v>
      </c>
    </row>
    <row r="959" spans="1:4" ht="15">
      <c r="A959" t="s">
        <v>693</v>
      </c>
      <c r="B959" t="s">
        <v>107</v>
      </c>
      <c r="C959" s="806">
        <v>1.04</v>
      </c>
      <c r="D959" s="121">
        <v>598941190</v>
      </c>
    </row>
    <row r="960" spans="1:4" ht="15">
      <c r="A960" t="s">
        <v>694</v>
      </c>
      <c r="B960" t="s">
        <v>999</v>
      </c>
      <c r="C960" s="806">
        <v>1.04</v>
      </c>
      <c r="D960" s="121">
        <v>1237557770</v>
      </c>
    </row>
    <row r="961" spans="1:4" ht="15">
      <c r="A961" t="s">
        <v>695</v>
      </c>
      <c r="B961" t="s">
        <v>1383</v>
      </c>
      <c r="C961" s="806">
        <v>1.04</v>
      </c>
      <c r="D961" s="121">
        <v>162606110</v>
      </c>
    </row>
    <row r="962" spans="1:4" ht="15">
      <c r="A962" t="s">
        <v>2669</v>
      </c>
      <c r="B962" t="s">
        <v>1384</v>
      </c>
      <c r="C962" s="806">
        <v>0.96340000000000003</v>
      </c>
      <c r="D962" s="121">
        <v>1765735428</v>
      </c>
    </row>
    <row r="963" spans="1:4" ht="15">
      <c r="A963" t="s">
        <v>2670</v>
      </c>
      <c r="B963" t="s">
        <v>1385</v>
      </c>
      <c r="C963" s="806">
        <v>1.01</v>
      </c>
      <c r="D963" s="121">
        <v>288806593</v>
      </c>
    </row>
    <row r="964" spans="1:4" ht="15">
      <c r="A964" t="s">
        <v>1987</v>
      </c>
      <c r="B964" t="s">
        <v>2677</v>
      </c>
      <c r="C964" s="806">
        <v>1.04</v>
      </c>
      <c r="D964" s="121">
        <v>2033691119</v>
      </c>
    </row>
    <row r="965" spans="1:4" ht="15">
      <c r="A965" t="s">
        <v>1713</v>
      </c>
      <c r="B965" t="s">
        <v>2703</v>
      </c>
      <c r="C965" s="806">
        <v>1.03</v>
      </c>
      <c r="D965" s="121">
        <v>8434606581</v>
      </c>
    </row>
    <row r="966" spans="1:4" ht="15">
      <c r="A966" t="s">
        <v>1043</v>
      </c>
      <c r="B966" t="s">
        <v>2666</v>
      </c>
      <c r="C966" s="806">
        <v>0.82030000000000003</v>
      </c>
      <c r="D966" s="121">
        <v>1549774108</v>
      </c>
    </row>
    <row r="967" spans="1:4" ht="15">
      <c r="A967" t="s">
        <v>1044</v>
      </c>
      <c r="B967" t="s">
        <v>1387</v>
      </c>
      <c r="C967" s="806">
        <v>1.04</v>
      </c>
      <c r="D967" s="121">
        <v>168362128</v>
      </c>
    </row>
    <row r="968" spans="1:4" ht="15">
      <c r="A968" t="s">
        <v>1045</v>
      </c>
      <c r="B968" t="s">
        <v>1388</v>
      </c>
      <c r="C968" s="806">
        <v>1.17</v>
      </c>
      <c r="D968" s="121">
        <v>258851784</v>
      </c>
    </row>
    <row r="969" spans="1:4" ht="15">
      <c r="A969" t="s">
        <v>624</v>
      </c>
      <c r="B969" t="s">
        <v>1389</v>
      </c>
      <c r="C969" s="806">
        <v>1.04</v>
      </c>
      <c r="D969" s="121">
        <v>1069206662</v>
      </c>
    </row>
    <row r="970" spans="1:4" ht="15">
      <c r="A970" t="s">
        <v>1014</v>
      </c>
      <c r="B970" t="s">
        <v>1390</v>
      </c>
      <c r="C970" s="806">
        <v>1.04</v>
      </c>
      <c r="D970" s="121">
        <v>660134851</v>
      </c>
    </row>
    <row r="971" spans="1:4" ht="15">
      <c r="A971" t="s">
        <v>1015</v>
      </c>
      <c r="B971" t="s">
        <v>1391</v>
      </c>
      <c r="C971" s="806">
        <v>1.04</v>
      </c>
      <c r="D971" s="121">
        <v>155207202</v>
      </c>
    </row>
    <row r="972" spans="1:4" ht="15">
      <c r="A972" t="s">
        <v>1016</v>
      </c>
      <c r="B972" t="s">
        <v>1392</v>
      </c>
      <c r="C972" s="806">
        <v>1.04</v>
      </c>
      <c r="D972" s="121">
        <v>137960346</v>
      </c>
    </row>
    <row r="973" spans="1:4" ht="15">
      <c r="A973" t="s">
        <v>1017</v>
      </c>
      <c r="B973" t="s">
        <v>1393</v>
      </c>
      <c r="C973" s="806">
        <v>1.04</v>
      </c>
      <c r="D973" s="121">
        <v>188650433</v>
      </c>
    </row>
    <row r="974" spans="1:4" ht="15">
      <c r="A974" t="s">
        <v>1940</v>
      </c>
      <c r="B974" t="s">
        <v>1394</v>
      </c>
      <c r="C974" s="806">
        <v>0.70440000000000003</v>
      </c>
      <c r="D974" s="121">
        <v>437748939</v>
      </c>
    </row>
    <row r="975" spans="1:4" ht="15">
      <c r="A975" t="s">
        <v>2648</v>
      </c>
      <c r="B975" t="s">
        <v>1395</v>
      </c>
      <c r="C975" s="806">
        <v>0.80669999999999997</v>
      </c>
      <c r="D975" s="121">
        <v>1337015214</v>
      </c>
    </row>
    <row r="976" spans="1:4" ht="15">
      <c r="A976" t="s">
        <v>996</v>
      </c>
      <c r="B976" t="s">
        <v>1633</v>
      </c>
      <c r="C976" s="806">
        <v>1.17</v>
      </c>
      <c r="D976" s="121">
        <v>712422707</v>
      </c>
    </row>
    <row r="977" spans="1:4" ht="15">
      <c r="A977" t="s">
        <v>1424</v>
      </c>
      <c r="B977" t="s">
        <v>1804</v>
      </c>
      <c r="C977" s="806">
        <v>1.04</v>
      </c>
      <c r="D977" s="121">
        <v>185191665</v>
      </c>
    </row>
    <row r="978" spans="1:4" ht="15">
      <c r="A978" t="s">
        <v>714</v>
      </c>
      <c r="B978" t="s">
        <v>2667</v>
      </c>
      <c r="C978" s="806">
        <v>1.04</v>
      </c>
      <c r="D978" s="121">
        <v>477446469</v>
      </c>
    </row>
    <row r="979" spans="1:4" ht="15">
      <c r="A979" t="s">
        <v>2088</v>
      </c>
      <c r="B979" t="s">
        <v>1806</v>
      </c>
      <c r="C979" s="806">
        <v>1.04</v>
      </c>
      <c r="D979" s="121">
        <v>3823482439</v>
      </c>
    </row>
    <row r="980" spans="1:4" ht="15">
      <c r="A980" t="s">
        <v>626</v>
      </c>
      <c r="B980" t="s">
        <v>1327</v>
      </c>
      <c r="C980" s="806">
        <v>1.04</v>
      </c>
      <c r="D980" s="121">
        <v>162306416</v>
      </c>
    </row>
    <row r="981" spans="1:4" ht="15">
      <c r="A981" t="s">
        <v>1534</v>
      </c>
      <c r="B981" t="s">
        <v>1807</v>
      </c>
      <c r="C981" s="806">
        <v>1.04</v>
      </c>
      <c r="D981" s="121">
        <v>45035632</v>
      </c>
    </row>
    <row r="982" spans="1:4" ht="15">
      <c r="A982" t="s">
        <v>9</v>
      </c>
      <c r="B982" t="s">
        <v>1808</v>
      </c>
      <c r="C982" s="806">
        <v>1.04</v>
      </c>
      <c r="D982" s="121">
        <v>802228025</v>
      </c>
    </row>
    <row r="983" spans="1:4" ht="15">
      <c r="A983" t="s">
        <v>10</v>
      </c>
      <c r="B983" t="s">
        <v>2612</v>
      </c>
      <c r="C983" s="806">
        <v>1.04</v>
      </c>
      <c r="D983" s="121">
        <v>21086958</v>
      </c>
    </row>
    <row r="984" spans="1:4" ht="15">
      <c r="A984" t="s">
        <v>1695</v>
      </c>
      <c r="B984" t="s">
        <v>2678</v>
      </c>
      <c r="C984" s="806">
        <v>1.04</v>
      </c>
      <c r="D984" s="121">
        <v>40199864</v>
      </c>
    </row>
    <row r="985" spans="1:4" ht="15">
      <c r="A985" t="s">
        <v>2387</v>
      </c>
      <c r="B985" t="s">
        <v>950</v>
      </c>
      <c r="C985" s="806">
        <v>1.04</v>
      </c>
      <c r="D985" s="121">
        <v>167358834</v>
      </c>
    </row>
    <row r="986" spans="1:4" ht="15">
      <c r="A986" t="s">
        <v>465</v>
      </c>
      <c r="B986" t="s">
        <v>91</v>
      </c>
      <c r="C986" s="806">
        <v>1.04</v>
      </c>
      <c r="D986" s="121">
        <v>342822406</v>
      </c>
    </row>
    <row r="987" spans="1:4" ht="15">
      <c r="A987" t="s">
        <v>308</v>
      </c>
      <c r="B987" t="s">
        <v>580</v>
      </c>
      <c r="C987" s="806">
        <v>1.04</v>
      </c>
      <c r="D987" s="121">
        <v>57414537</v>
      </c>
    </row>
    <row r="988" spans="1:4" ht="15">
      <c r="A988" t="s">
        <v>1514</v>
      </c>
      <c r="B988" t="s">
        <v>130</v>
      </c>
      <c r="C988" s="806">
        <v>1.04</v>
      </c>
      <c r="D988" s="121">
        <v>215973767</v>
      </c>
    </row>
    <row r="989" spans="1:4" ht="15">
      <c r="A989" t="s">
        <v>2975</v>
      </c>
      <c r="B989" t="s">
        <v>2650</v>
      </c>
      <c r="C989" s="806">
        <v>1.04</v>
      </c>
      <c r="D989" s="121">
        <v>4512696679</v>
      </c>
    </row>
    <row r="990" spans="1:4" ht="15">
      <c r="A990" t="s">
        <v>2038</v>
      </c>
      <c r="B990" t="s">
        <v>1153</v>
      </c>
      <c r="C990" s="806">
        <v>1.04</v>
      </c>
      <c r="D990" s="121">
        <v>91086982</v>
      </c>
    </row>
    <row r="991" spans="1:4" ht="15">
      <c r="A991" t="s">
        <v>47</v>
      </c>
      <c r="B991" t="s">
        <v>1440</v>
      </c>
      <c r="C991" s="806">
        <v>1.04</v>
      </c>
      <c r="D991" s="121">
        <v>1188911912</v>
      </c>
    </row>
    <row r="992" spans="1:4" ht="15">
      <c r="A992" t="s">
        <v>11</v>
      </c>
      <c r="B992" t="s">
        <v>1809</v>
      </c>
      <c r="C992" s="806">
        <v>1.04</v>
      </c>
      <c r="D992" s="121">
        <v>527274139</v>
      </c>
    </row>
    <row r="993" spans="1:4" ht="15">
      <c r="A993" t="s">
        <v>1990</v>
      </c>
      <c r="B993" t="s">
        <v>2826</v>
      </c>
      <c r="C993" s="806">
        <v>1.04</v>
      </c>
      <c r="D993" s="121">
        <v>824843304</v>
      </c>
    </row>
    <row r="994" spans="1:4" ht="15">
      <c r="A994" t="s">
        <v>1485</v>
      </c>
      <c r="B994" t="s">
        <v>666</v>
      </c>
      <c r="C994" s="806">
        <v>1.0169999999999999</v>
      </c>
      <c r="D994" s="121">
        <v>18729055347</v>
      </c>
    </row>
    <row r="995" spans="1:4" ht="15">
      <c r="A995" t="s">
        <v>1738</v>
      </c>
      <c r="B995" t="s">
        <v>657</v>
      </c>
      <c r="C995" s="806">
        <v>1.04</v>
      </c>
      <c r="D995" s="121">
        <v>752956539</v>
      </c>
    </row>
    <row r="996" spans="1:4" ht="15">
      <c r="A996" t="s">
        <v>1708</v>
      </c>
      <c r="B996" t="s">
        <v>659</v>
      </c>
      <c r="C996" s="806">
        <v>1.04</v>
      </c>
      <c r="D996" s="121">
        <v>135476319</v>
      </c>
    </row>
    <row r="997" spans="1:4" ht="15">
      <c r="A997" t="s">
        <v>1988</v>
      </c>
      <c r="B997" t="s">
        <v>2824</v>
      </c>
      <c r="C997" s="806">
        <v>1.04</v>
      </c>
      <c r="D997" s="121">
        <v>11049255518</v>
      </c>
    </row>
    <row r="998" spans="1:4" ht="15">
      <c r="A998" t="s">
        <v>12</v>
      </c>
      <c r="B998" t="s">
        <v>1810</v>
      </c>
      <c r="C998" s="806">
        <v>1.04</v>
      </c>
      <c r="D998" s="121">
        <v>49860455</v>
      </c>
    </row>
    <row r="999" spans="1:4" ht="15">
      <c r="A999" t="s">
        <v>2814</v>
      </c>
      <c r="B999" t="s">
        <v>131</v>
      </c>
      <c r="C999" s="806">
        <v>1.04</v>
      </c>
      <c r="D999" s="121">
        <v>816404917</v>
      </c>
    </row>
    <row r="1000" spans="1:4" ht="15">
      <c r="A1000" t="s">
        <v>66</v>
      </c>
      <c r="B1000" t="s">
        <v>2173</v>
      </c>
      <c r="C1000" s="806">
        <v>1.04</v>
      </c>
      <c r="D1000" s="121">
        <v>545686509</v>
      </c>
    </row>
    <row r="1001" spans="1:4" ht="15">
      <c r="A1001" t="s">
        <v>2815</v>
      </c>
      <c r="B1001" t="s">
        <v>1132</v>
      </c>
      <c r="C1001" s="806">
        <v>1.04</v>
      </c>
      <c r="D1001" s="121">
        <v>139495523</v>
      </c>
    </row>
    <row r="1002" spans="1:4" ht="15">
      <c r="A1002" t="s">
        <v>1705</v>
      </c>
      <c r="B1002" t="s">
        <v>2215</v>
      </c>
      <c r="C1002" s="806">
        <v>1.04</v>
      </c>
      <c r="D1002" s="121">
        <v>139131818</v>
      </c>
    </row>
    <row r="1003" spans="1:4" ht="15">
      <c r="A1003" t="s">
        <v>1339</v>
      </c>
      <c r="B1003" t="s">
        <v>1811</v>
      </c>
      <c r="C1003" s="806">
        <v>1.04</v>
      </c>
      <c r="D1003" s="121">
        <v>671048661</v>
      </c>
    </row>
    <row r="1004" spans="1:4" ht="15">
      <c r="A1004" t="s">
        <v>1340</v>
      </c>
      <c r="B1004" t="s">
        <v>1812</v>
      </c>
      <c r="C1004" s="806">
        <v>1.04</v>
      </c>
      <c r="D1004" s="121">
        <v>1208401494</v>
      </c>
    </row>
    <row r="1005" spans="1:4" ht="15">
      <c r="A1005" t="s">
        <v>224</v>
      </c>
      <c r="B1005" t="s">
        <v>1203</v>
      </c>
      <c r="C1005" s="806">
        <v>1.17</v>
      </c>
      <c r="D1005" s="121">
        <v>212630923</v>
      </c>
    </row>
    <row r="1006" spans="1:4" ht="15">
      <c r="A1006" t="s">
        <v>904</v>
      </c>
      <c r="B1006" t="s">
        <v>1813</v>
      </c>
      <c r="C1006" s="806">
        <v>1.04</v>
      </c>
      <c r="D1006" s="121">
        <v>602795022</v>
      </c>
    </row>
    <row r="1007" spans="1:4" ht="15">
      <c r="A1007" t="s">
        <v>2491</v>
      </c>
      <c r="B1007" t="s">
        <v>1814</v>
      </c>
      <c r="C1007" s="806">
        <v>1.04</v>
      </c>
      <c r="D1007" s="121">
        <v>1119887284</v>
      </c>
    </row>
    <row r="1008" spans="1:4" ht="15">
      <c r="A1008" t="s">
        <v>2780</v>
      </c>
      <c r="B1008" t="s">
        <v>1815</v>
      </c>
      <c r="C1008" s="806">
        <v>1.04</v>
      </c>
      <c r="D1008" s="121">
        <v>455726490</v>
      </c>
    </row>
    <row r="1009" spans="1:4" ht="15">
      <c r="A1009" t="s">
        <v>2781</v>
      </c>
      <c r="B1009" t="s">
        <v>1816</v>
      </c>
      <c r="C1009" s="806">
        <v>1.04</v>
      </c>
      <c r="D1009" s="121">
        <v>1703150539</v>
      </c>
    </row>
    <row r="1010" spans="1:4" ht="15">
      <c r="A1010" t="s">
        <v>2302</v>
      </c>
      <c r="B1010" t="s">
        <v>1541</v>
      </c>
      <c r="C1010" s="806">
        <v>1.04</v>
      </c>
      <c r="D1010" s="121">
        <v>264441029</v>
      </c>
    </row>
    <row r="1011" spans="1:4" ht="15">
      <c r="A1011" t="s">
        <v>1314</v>
      </c>
      <c r="B1011" t="s">
        <v>2201</v>
      </c>
      <c r="C1011" s="806">
        <v>1.04</v>
      </c>
      <c r="D1011" s="121">
        <v>170339546</v>
      </c>
    </row>
    <row r="1012" spans="1:4" ht="15">
      <c r="A1012" t="s">
        <v>2548</v>
      </c>
      <c r="B1012" t="s">
        <v>1817</v>
      </c>
      <c r="C1012" s="806">
        <v>1</v>
      </c>
      <c r="D1012" s="121">
        <v>610420134</v>
      </c>
    </row>
    <row r="1013" spans="1:4" ht="15">
      <c r="A1013" t="s">
        <v>2549</v>
      </c>
      <c r="B1013" t="s">
        <v>1818</v>
      </c>
      <c r="C1013" s="806">
        <v>1.17</v>
      </c>
      <c r="D1013" s="121">
        <v>406705198</v>
      </c>
    </row>
    <row r="1014" spans="1:4" ht="15">
      <c r="A1014" t="s">
        <v>2970</v>
      </c>
      <c r="B1014" t="s">
        <v>29</v>
      </c>
      <c r="C1014" s="806">
        <v>1.04</v>
      </c>
      <c r="D1014" s="121">
        <v>388400599</v>
      </c>
    </row>
    <row r="1015" spans="1:4" ht="15">
      <c r="A1015" t="s">
        <v>2971</v>
      </c>
      <c r="B1015" t="s">
        <v>1548</v>
      </c>
      <c r="C1015" s="806">
        <v>1.06</v>
      </c>
      <c r="D1015" s="121">
        <v>233837414</v>
      </c>
    </row>
    <row r="1016" spans="1:4" ht="15">
      <c r="A1016" t="s">
        <v>705</v>
      </c>
      <c r="B1016" t="s">
        <v>1549</v>
      </c>
      <c r="C1016" s="806">
        <v>1.04</v>
      </c>
      <c r="D1016" s="121">
        <v>204567235</v>
      </c>
    </row>
    <row r="1017" spans="1:4" ht="15">
      <c r="A1017" t="s">
        <v>777</v>
      </c>
      <c r="B1017" t="s">
        <v>1550</v>
      </c>
      <c r="C1017" s="806">
        <v>1.17</v>
      </c>
      <c r="D1017" s="121">
        <v>386612238</v>
      </c>
    </row>
    <row r="1018" spans="1:4" ht="15">
      <c r="A1018" t="s">
        <v>778</v>
      </c>
      <c r="B1018" t="s">
        <v>1551</v>
      </c>
      <c r="C1018" s="806">
        <v>1.04</v>
      </c>
      <c r="D1018" s="121">
        <v>2509484031</v>
      </c>
    </row>
    <row r="1019" spans="1:4" ht="15">
      <c r="A1019" t="s">
        <v>1660</v>
      </c>
      <c r="B1019" t="s">
        <v>1552</v>
      </c>
      <c r="C1019" s="806">
        <v>0.97789999999999999</v>
      </c>
      <c r="D1019" s="121">
        <v>790115097</v>
      </c>
    </row>
    <row r="1020" spans="1:4" ht="15">
      <c r="A1020" t="s">
        <v>1020</v>
      </c>
      <c r="B1020" t="s">
        <v>974</v>
      </c>
      <c r="C1020" s="806">
        <v>1.04</v>
      </c>
      <c r="D1020" s="121">
        <v>577294098</v>
      </c>
    </row>
    <row r="1021" spans="1:4" ht="15">
      <c r="A1021" t="s">
        <v>1661</v>
      </c>
      <c r="B1021" t="s">
        <v>1553</v>
      </c>
      <c r="C1021" s="806">
        <v>1.17</v>
      </c>
      <c r="D1021" s="121">
        <v>43343496</v>
      </c>
    </row>
    <row r="1022" spans="1:4" ht="15">
      <c r="A1022" t="s">
        <v>1696</v>
      </c>
      <c r="B1022" t="s">
        <v>933</v>
      </c>
      <c r="C1022" s="806">
        <v>1.17</v>
      </c>
      <c r="D1022" s="121">
        <v>161157866</v>
      </c>
    </row>
    <row r="1023" spans="1:4" ht="15">
      <c r="A1023" t="s">
        <v>556</v>
      </c>
      <c r="B1023" t="s">
        <v>1554</v>
      </c>
      <c r="C1023" s="806">
        <v>1.04</v>
      </c>
      <c r="D1023" s="121">
        <v>3156456653</v>
      </c>
    </row>
    <row r="1024" spans="1:4" ht="15">
      <c r="A1024" t="s">
        <v>2760</v>
      </c>
      <c r="B1024" t="s">
        <v>460</v>
      </c>
      <c r="C1024" s="806">
        <v>1.17</v>
      </c>
      <c r="D1024" s="121">
        <v>240725821</v>
      </c>
    </row>
    <row r="1025" spans="1:4" ht="15">
      <c r="A1025" t="s">
        <v>1901</v>
      </c>
      <c r="B1025" t="s">
        <v>2171</v>
      </c>
      <c r="C1025" s="806">
        <v>1.17</v>
      </c>
      <c r="D1025" s="121">
        <v>39253662</v>
      </c>
    </row>
  </sheetData>
  <phoneticPr fontId="25"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1076" customFormat="1" ht="15">
      <c r="A1" s="1074" t="s">
        <v>3411</v>
      </c>
      <c r="D1" s="1773" t="str">
        <f>'Report-ASATR1920'!C1</f>
        <v>84th/85th Legislative Session</v>
      </c>
    </row>
    <row r="2" spans="1:4" s="1076" customFormat="1" ht="15">
      <c r="A2" s="1074" t="s">
        <v>3412</v>
      </c>
      <c r="D2" s="98" t="str">
        <f>'Report-ASATR1920'!C2</f>
        <v>Release 2</v>
      </c>
    </row>
    <row r="3" spans="1:4" s="1076" customFormat="1" ht="15.75">
      <c r="A3" s="1075"/>
      <c r="D3" s="82">
        <f>'Report-ASATR1920'!C3</f>
        <v>43145</v>
      </c>
    </row>
    <row r="4" spans="1:4" s="1076" customFormat="1" ht="15.75">
      <c r="A4" s="1075" t="s">
        <v>7965</v>
      </c>
    </row>
    <row r="5" spans="1:4" s="1076" customFormat="1" ht="15.75">
      <c r="A5" s="1077">
        <f>'Data Entry - SOF'!B1</f>
        <v>0</v>
      </c>
    </row>
    <row r="6" spans="1:4" s="1076" customFormat="1" ht="15.75">
      <c r="A6" s="1075">
        <f>'Data Entry - SOF'!B2</f>
        <v>0</v>
      </c>
    </row>
    <row r="7" spans="1:4" s="1076" customFormat="1" ht="15.75">
      <c r="A7" s="1075"/>
    </row>
    <row r="8" spans="1:4" s="1076" customFormat="1" ht="15"/>
    <row r="9" spans="1:4" s="880" customFormat="1" ht="18">
      <c r="A9" s="1270"/>
      <c r="B9" s="1271"/>
      <c r="C9" s="1272"/>
      <c r="D9" s="1279" t="s">
        <v>3220</v>
      </c>
    </row>
    <row r="10" spans="1:4" s="1198" customFormat="1" ht="18">
      <c r="A10" s="1307" t="s">
        <v>3404</v>
      </c>
      <c r="B10" s="1274"/>
      <c r="C10" s="1275"/>
      <c r="D10" s="1284" t="s">
        <v>3207</v>
      </c>
    </row>
    <row r="11" spans="1:4" s="1076" customFormat="1" ht="15">
      <c r="A11" s="1079" t="s">
        <v>2501</v>
      </c>
      <c r="B11" s="1080" t="s">
        <v>3395</v>
      </c>
      <c r="C11" s="1080"/>
      <c r="D11" s="1233">
        <f>'Data Entry - SOF'!O75</f>
        <v>0</v>
      </c>
    </row>
    <row r="12" spans="1:4" s="1076" customFormat="1" ht="15.75">
      <c r="A12" s="1079" t="s">
        <v>2502</v>
      </c>
      <c r="B12" s="1080" t="s">
        <v>7966</v>
      </c>
      <c r="C12" s="1080"/>
      <c r="D12" s="1233" t="e">
        <f>'HH2223-Calcs'!D26</f>
        <v>#DIV/0!</v>
      </c>
    </row>
    <row r="13" spans="1:4" s="1076" customFormat="1" ht="15">
      <c r="A13" s="1079" t="s">
        <v>2503</v>
      </c>
      <c r="B13" s="1080" t="s">
        <v>3576</v>
      </c>
      <c r="C13" s="1080"/>
      <c r="D13" s="1233">
        <v>0</v>
      </c>
    </row>
    <row r="14" spans="1:4" s="1076" customFormat="1" ht="15.75">
      <c r="A14" s="1079" t="s">
        <v>1024</v>
      </c>
      <c r="B14" s="1689" t="s">
        <v>8002</v>
      </c>
      <c r="C14" s="1080"/>
      <c r="D14" s="1090">
        <v>0</v>
      </c>
    </row>
    <row r="15" spans="1:4" s="1076" customFormat="1" ht="15">
      <c r="A15" s="1079" t="s">
        <v>1025</v>
      </c>
      <c r="B15" s="1080" t="s">
        <v>859</v>
      </c>
      <c r="C15" s="1080"/>
      <c r="D15" s="1085">
        <f>'Data Entry - SOF'!O76</f>
        <v>0</v>
      </c>
    </row>
    <row r="16" spans="1:4" s="1076" customFormat="1" ht="15">
      <c r="A16" s="1079" t="s">
        <v>1027</v>
      </c>
      <c r="B16" s="1080" t="s">
        <v>3397</v>
      </c>
      <c r="C16" s="1080"/>
      <c r="D16" s="1233">
        <f>'Data Entry - SOF'!O78</f>
        <v>0</v>
      </c>
    </row>
    <row r="17" spans="1:5" s="1076" customFormat="1" ht="15">
      <c r="A17" s="1079" t="s">
        <v>1028</v>
      </c>
      <c r="B17" s="1080" t="s">
        <v>3773</v>
      </c>
      <c r="C17" s="1080"/>
      <c r="D17" s="1233">
        <f>'Data Entry - SOF'!O96</f>
        <v>0</v>
      </c>
    </row>
    <row r="18" spans="1:5" s="1076" customFormat="1" ht="15">
      <c r="A18" s="1079" t="s">
        <v>1029</v>
      </c>
      <c r="B18" s="1080" t="s">
        <v>2793</v>
      </c>
      <c r="C18" s="1080"/>
      <c r="D18" s="1085">
        <f>'SOF2223-SB1'!H65</f>
        <v>0</v>
      </c>
    </row>
    <row r="19" spans="1:5" s="1076" customFormat="1" ht="15">
      <c r="A19" s="1079" t="s">
        <v>139</v>
      </c>
      <c r="B19" s="1080" t="s">
        <v>3400</v>
      </c>
      <c r="C19" s="1080"/>
      <c r="D19" s="1233">
        <v>0</v>
      </c>
    </row>
    <row r="20" spans="1:5" s="1076" customFormat="1" ht="15">
      <c r="A20" s="1079" t="s">
        <v>140</v>
      </c>
      <c r="B20" s="1080" t="s">
        <v>3401</v>
      </c>
      <c r="C20" s="1080"/>
      <c r="D20" s="1233">
        <f>'Data Entry - SOF'!O80</f>
        <v>0</v>
      </c>
    </row>
    <row r="21" spans="1:5" s="1076" customFormat="1" ht="15">
      <c r="A21" s="1079" t="s">
        <v>141</v>
      </c>
      <c r="B21" s="1080" t="s">
        <v>3402</v>
      </c>
      <c r="C21" s="1080"/>
      <c r="D21" s="1085" t="e">
        <f>'SOF2223-SB1'!H67</f>
        <v>#DIV/0!</v>
      </c>
    </row>
    <row r="22" spans="1:5" s="1076" customFormat="1" ht="15">
      <c r="A22" s="1079" t="s">
        <v>142</v>
      </c>
      <c r="B22" s="1080" t="s">
        <v>3403</v>
      </c>
      <c r="C22" s="1080"/>
      <c r="D22" s="1085" t="e">
        <f>'SOF2223-SB1'!H66</f>
        <v>#DIV/0!</v>
      </c>
    </row>
    <row r="23" spans="1:5" s="1076" customFormat="1" ht="15">
      <c r="A23" s="1079" t="s">
        <v>1706</v>
      </c>
      <c r="B23" s="1080" t="s">
        <v>3577</v>
      </c>
      <c r="C23" s="1080"/>
      <c r="D23" s="1085">
        <v>0</v>
      </c>
    </row>
    <row r="24" spans="1:5" s="1076" customFormat="1" ht="15">
      <c r="A24" s="1079" t="s">
        <v>6</v>
      </c>
      <c r="B24" s="1080" t="s">
        <v>3578</v>
      </c>
      <c r="C24" s="1080"/>
      <c r="D24" s="1085">
        <v>0</v>
      </c>
    </row>
    <row r="25" spans="1:5" s="1076" customFormat="1" ht="15">
      <c r="A25" s="1079" t="s">
        <v>2551</v>
      </c>
      <c r="B25" s="1080" t="s">
        <v>4426</v>
      </c>
      <c r="C25" s="1080"/>
      <c r="D25" s="1085">
        <v>0</v>
      </c>
      <c r="E25" s="1120"/>
    </row>
    <row r="26" spans="1:5" s="1076" customFormat="1" ht="15.75">
      <c r="A26" s="1079" t="s">
        <v>2552</v>
      </c>
      <c r="B26" s="1078" t="s">
        <v>3449</v>
      </c>
      <c r="C26" s="1080"/>
      <c r="D26" s="1090" t="e">
        <f>SUM(D11:D25)</f>
        <v>#DIV/0!</v>
      </c>
    </row>
    <row r="27" spans="1:5" s="1076" customFormat="1" ht="15.75">
      <c r="A27" s="1089"/>
      <c r="B27" s="1195" t="s">
        <v>3392</v>
      </c>
      <c r="D27" s="4106" t="s">
        <v>7994</v>
      </c>
    </row>
    <row r="28" spans="1:5" s="1076" customFormat="1" ht="15">
      <c r="A28" s="1089"/>
    </row>
    <row r="29" spans="1:5" s="1076" customFormat="1" ht="15">
      <c r="A29" s="1089"/>
    </row>
    <row r="30" spans="1:5" s="1076" customFormat="1" ht="15.75">
      <c r="A30" s="1345" t="s">
        <v>4748</v>
      </c>
    </row>
    <row r="31" spans="1:5" s="1076" customFormat="1" ht="15">
      <c r="A31" s="1089"/>
    </row>
    <row r="32" spans="1:5" s="1076" customFormat="1" ht="15">
      <c r="A32" s="1089"/>
    </row>
    <row r="33" spans="1:4" s="1076" customFormat="1" ht="15">
      <c r="A33" s="1089"/>
    </row>
    <row r="34" spans="1:4" s="1076" customFormat="1" ht="15">
      <c r="A34" s="1089"/>
    </row>
    <row r="35" spans="1:4" s="1076" customFormat="1" ht="15">
      <c r="A35" s="1089"/>
    </row>
    <row r="36" spans="1:4" s="1076" customFormat="1" ht="15">
      <c r="A36" s="1089"/>
    </row>
    <row r="37" spans="1:4" s="1076" customFormat="1" ht="15">
      <c r="A37" s="1089"/>
    </row>
    <row r="38" spans="1:4" s="1076" customFormat="1" ht="15">
      <c r="A38" s="1089"/>
    </row>
    <row r="39" spans="1:4" s="1076" customFormat="1" ht="15">
      <c r="A39" s="1089"/>
    </row>
    <row r="40" spans="1:4" s="1076" customFormat="1" ht="15"/>
    <row r="41" spans="1:4" s="1076" customFormat="1" ht="15"/>
    <row r="42" spans="1:4" s="1076" customFormat="1" ht="15"/>
    <row r="43" spans="1:4" s="1076" customFormat="1" ht="15"/>
    <row r="44" spans="1:4" s="1076" customFormat="1" ht="15"/>
    <row r="45" spans="1:4" s="1076" customFormat="1" ht="15"/>
    <row r="46" spans="1:4" s="1076" customFormat="1" ht="15"/>
    <row r="47" spans="1:4" s="1076"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4" t="str">
        <f>'Report-Other1920'!D1</f>
        <v>84th/85th Legislative Session</v>
      </c>
    </row>
    <row r="2" spans="1:4">
      <c r="A2" s="1074" t="s">
        <v>3412</v>
      </c>
      <c r="D2" s="98" t="str">
        <f>'Report-Other1920'!D2</f>
        <v>Release 2</v>
      </c>
    </row>
    <row r="3" spans="1:4">
      <c r="A3" s="89"/>
      <c r="D3" s="82">
        <f>'Report-Other1920'!D3</f>
        <v>43145</v>
      </c>
    </row>
    <row r="4" spans="1:4" ht="15.75">
      <c r="A4" s="1075" t="s">
        <v>7967</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4666</v>
      </c>
      <c r="C11" s="1080"/>
      <c r="D11" s="1085">
        <f>'Data Entry - SOF'!K63</f>
        <v>0</v>
      </c>
    </row>
    <row r="12" spans="1:4" s="1076" customFormat="1" ht="15">
      <c r="A12" s="1079" t="s">
        <v>2502</v>
      </c>
      <c r="B12" s="1080" t="s">
        <v>7968</v>
      </c>
      <c r="C12" s="1080"/>
      <c r="D12" s="1085">
        <f>'Report-EDA2021'!D26</f>
        <v>0</v>
      </c>
    </row>
    <row r="13" spans="1:4" s="1076" customFormat="1" ht="15">
      <c r="A13" s="1079" t="s">
        <v>2503</v>
      </c>
      <c r="B13" s="1080" t="s">
        <v>7969</v>
      </c>
      <c r="C13" s="1080"/>
      <c r="D13" s="1085">
        <f>'Report-IFA2021'!D20</f>
        <v>0</v>
      </c>
    </row>
    <row r="14" spans="1:4" s="1076" customFormat="1" ht="15">
      <c r="A14" s="1079" t="s">
        <v>1024</v>
      </c>
      <c r="B14" s="1080" t="s">
        <v>7970</v>
      </c>
      <c r="C14" s="1080"/>
      <c r="D14" s="1085">
        <f>IF(D11-D12-D13&lt;0,0,D11-D12-D13)</f>
        <v>0</v>
      </c>
    </row>
    <row r="15" spans="1:4" s="1076" customFormat="1" ht="15">
      <c r="A15" s="1079" t="s">
        <v>1025</v>
      </c>
      <c r="B15" s="1080" t="s">
        <v>7971</v>
      </c>
      <c r="C15" s="1080"/>
      <c r="D15" s="1085">
        <f>'Data Entry - SOF'!O73</f>
        <v>0</v>
      </c>
    </row>
    <row r="16" spans="1:4" s="1076" customFormat="1" ht="15">
      <c r="A16" s="1079" t="s">
        <v>1027</v>
      </c>
      <c r="B16" s="1080" t="s">
        <v>7972</v>
      </c>
      <c r="C16" s="1080"/>
      <c r="D16" s="1197">
        <f>'Report-IFA2223'!D37</f>
        <v>0</v>
      </c>
    </row>
    <row r="17" spans="1:4" s="1076" customFormat="1" ht="15">
      <c r="A17" s="1079" t="s">
        <v>1028</v>
      </c>
      <c r="B17" s="1080" t="s">
        <v>7973</v>
      </c>
      <c r="C17" s="1080"/>
      <c r="D17" s="1086">
        <f>'Data Entry - SOF'!O17</f>
        <v>0</v>
      </c>
    </row>
    <row r="18" spans="1:4" s="1076" customFormat="1" ht="15">
      <c r="A18" s="1079" t="s">
        <v>1029</v>
      </c>
      <c r="B18" s="1080" t="s">
        <v>7974</v>
      </c>
      <c r="C18" s="1080"/>
      <c r="D18" s="1085">
        <f>'Data Entry - SOF'!O53</f>
        <v>0</v>
      </c>
    </row>
    <row r="19" spans="1:4" s="1076" customFormat="1" ht="15">
      <c r="A19" s="1079" t="s">
        <v>139</v>
      </c>
      <c r="B19" s="1080" t="s">
        <v>7391</v>
      </c>
      <c r="C19" s="1080"/>
      <c r="D19" s="1085">
        <f>'Data Entry - SOF'!I53</f>
        <v>0</v>
      </c>
    </row>
    <row r="20" spans="1:4" s="1076" customFormat="1" ht="15.75">
      <c r="A20" s="1366" t="s">
        <v>3270</v>
      </c>
      <c r="B20" s="1290"/>
      <c r="C20" s="1291"/>
      <c r="D20" s="1313"/>
    </row>
    <row r="21" spans="1:4" s="1076" customFormat="1" ht="15">
      <c r="A21" s="1113" t="s">
        <v>140</v>
      </c>
      <c r="B21" s="1097" t="s">
        <v>7975</v>
      </c>
      <c r="C21" s="1097"/>
      <c r="D21" s="2082">
        <f>'Existing Debt'!S47</f>
        <v>0</v>
      </c>
    </row>
    <row r="22" spans="1:4" s="1076" customFormat="1" ht="15">
      <c r="A22" s="1091"/>
      <c r="B22" s="1099" t="s">
        <v>3271</v>
      </c>
      <c r="C22" s="1099"/>
      <c r="D22" s="2083"/>
    </row>
    <row r="23" spans="1:4" s="1076" customFormat="1" ht="15">
      <c r="A23" s="1079" t="s">
        <v>141</v>
      </c>
      <c r="B23" s="1080" t="str">
        <f>CONCATENATE("2022-23 Rate Needed for All Eligible Debt ((Line 5 - Line 6) / ",Weights!N50," / Line 7 / 100)")</f>
        <v>2022-23 Rate Needed for All Eligible Debt ((Line 5 - Line 6) / 38 / Line 7 / 100)</v>
      </c>
      <c r="C23" s="1080"/>
      <c r="D23" s="2084">
        <f>'Existing Debt'!S51</f>
        <v>0</v>
      </c>
    </row>
    <row r="24" spans="1:4" s="1076" customFormat="1" ht="15">
      <c r="A24" s="1079" t="s">
        <v>142</v>
      </c>
      <c r="B24" s="1080" t="s">
        <v>7976</v>
      </c>
      <c r="C24" s="1080"/>
      <c r="D24" s="2084">
        <f>'Existing Debt'!S55</f>
        <v>0</v>
      </c>
    </row>
    <row r="25" spans="1:4" s="1076" customFormat="1" ht="15">
      <c r="A25" s="1079" t="s">
        <v>1706</v>
      </c>
      <c r="B25" s="1080" t="str">
        <f>CONCATENATE("State/Local Share of EDA ($",Weights!N50," * Line 7 * Line 12 * 100)")</f>
        <v>State/Local Share of EDA ($38 * Line 7 * Line 12 * 100)</v>
      </c>
      <c r="C25" s="1080"/>
      <c r="D25" s="1197">
        <f>'Existing Debt'!S59</f>
        <v>0</v>
      </c>
    </row>
    <row r="26" spans="1:4" s="1076" customFormat="1" ht="15">
      <c r="A26" s="1079" t="s">
        <v>6</v>
      </c>
      <c r="B26" s="1080" t="s">
        <v>3272</v>
      </c>
      <c r="C26" s="1080"/>
      <c r="D26" s="1197">
        <f>'Existing Debt'!S61</f>
        <v>0</v>
      </c>
    </row>
    <row r="27" spans="1:4" s="1076" customFormat="1" ht="15">
      <c r="A27" s="1079" t="s">
        <v>2551</v>
      </c>
      <c r="B27" s="1080" t="s">
        <v>3273</v>
      </c>
      <c r="C27" s="1080"/>
      <c r="D27" s="1197">
        <f>'Existing Debt'!S70</f>
        <v>0</v>
      </c>
    </row>
    <row r="28" spans="1:4" s="1076" customFormat="1" ht="15.75">
      <c r="A28" s="1079" t="s">
        <v>2552</v>
      </c>
      <c r="B28" s="1078" t="s">
        <v>3274</v>
      </c>
      <c r="C28" s="1080"/>
      <c r="D28" s="1090">
        <f>'Existing Debt'!S74</f>
        <v>0</v>
      </c>
    </row>
    <row r="29" spans="1:4" s="1076" customFormat="1" ht="15.75">
      <c r="B29" s="1195" t="s">
        <v>3392</v>
      </c>
      <c r="D29" s="4106" t="s">
        <v>7994</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32" t="s">
        <v>7977</v>
      </c>
      <c r="D39" s="2026">
        <f>IF(ISNA('DE1'!J89),0,'DE1'!K89)</f>
        <v>0</v>
      </c>
    </row>
    <row r="40" spans="2:4" ht="15.75">
      <c r="B40" s="961"/>
      <c r="C40" s="1076"/>
      <c r="D40" s="1076"/>
    </row>
    <row r="41" spans="2:4" ht="15.75">
      <c r="B41" s="961" t="s">
        <v>7090</v>
      </c>
      <c r="C41" s="1076"/>
      <c r="D41" s="1076"/>
    </row>
    <row r="42" spans="2:4" ht="15.75">
      <c r="B42" s="1315" t="s">
        <v>7705</v>
      </c>
      <c r="C42" s="1076"/>
      <c r="D42" s="1076"/>
    </row>
    <row r="43" spans="2:4" ht="15.75">
      <c r="B43" s="961" t="s">
        <v>7309</v>
      </c>
    </row>
  </sheetData>
  <hyperlinks>
    <hyperlink ref="D29" location="'Report-SOF2223'!A1" display="'Report-SOF2223'!A1"/>
  </hyperlink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election activeCell="D22" sqref="D22"/>
    </sheetView>
  </sheetViews>
  <sheetFormatPr defaultRowHeight="12.75"/>
  <cols>
    <col min="1" max="1" width="5.42578125" customWidth="1"/>
    <col min="2" max="2" width="61.85546875" customWidth="1"/>
    <col min="3" max="3" width="5.7109375" customWidth="1"/>
    <col min="4" max="5" width="22.5703125" customWidth="1"/>
  </cols>
  <sheetData>
    <row r="1" spans="1:5">
      <c r="A1" s="1074" t="s">
        <v>3410</v>
      </c>
      <c r="E1" s="1773" t="str">
        <f>'Report-EDA1920'!D1</f>
        <v>84th/85th Legislative Session</v>
      </c>
    </row>
    <row r="2" spans="1:5">
      <c r="A2" s="1074" t="s">
        <v>3267</v>
      </c>
      <c r="E2" s="98" t="str">
        <f>'Report-EDA1920'!D2</f>
        <v>Release 2</v>
      </c>
    </row>
    <row r="3" spans="1:5">
      <c r="A3" s="89"/>
      <c r="E3" s="82">
        <f>'Report-EDA1920'!D3</f>
        <v>43145</v>
      </c>
    </row>
    <row r="4" spans="1:5" ht="15.75">
      <c r="A4" s="1075" t="s">
        <v>7978</v>
      </c>
    </row>
    <row r="5" spans="1:5" ht="15.75">
      <c r="A5" s="1077">
        <f>'Data Entry - SOF'!B1</f>
        <v>0</v>
      </c>
    </row>
    <row r="6" spans="1:5" ht="15.75">
      <c r="A6" s="1075">
        <f>'Data Entry - SOF'!B2</f>
        <v>0</v>
      </c>
    </row>
    <row r="9" spans="1:5" s="880" customFormat="1" ht="18">
      <c r="A9" s="1314" t="s">
        <v>3583</v>
      </c>
      <c r="B9" s="1308"/>
      <c r="C9" s="1308"/>
      <c r="D9" s="1279" t="s">
        <v>3375</v>
      </c>
      <c r="E9" s="1363" t="s">
        <v>3375</v>
      </c>
    </row>
    <row r="10" spans="1:5" s="1076" customFormat="1" ht="18">
      <c r="A10" s="1312" t="s">
        <v>3268</v>
      </c>
      <c r="B10" s="1310"/>
      <c r="C10" s="1310"/>
      <c r="D10" s="1280" t="s">
        <v>1934</v>
      </c>
      <c r="E10" s="1284" t="s">
        <v>1935</v>
      </c>
    </row>
    <row r="11" spans="1:5" s="1076" customFormat="1" ht="15">
      <c r="A11" s="1079" t="s">
        <v>2501</v>
      </c>
      <c r="B11" s="1080" t="s">
        <v>3376</v>
      </c>
      <c r="C11" s="1080"/>
      <c r="D11" s="1085">
        <f>D37</f>
        <v>0</v>
      </c>
      <c r="E11" s="1085">
        <f>E37</f>
        <v>0</v>
      </c>
    </row>
    <row r="12" spans="1:5" s="1076" customFormat="1" ht="15">
      <c r="A12" s="1079" t="s">
        <v>2502</v>
      </c>
      <c r="B12" s="1080" t="s">
        <v>3377</v>
      </c>
      <c r="C12" s="1080"/>
      <c r="D12" s="1086">
        <f>IFA!AF58</f>
        <v>400</v>
      </c>
      <c r="E12" s="1086">
        <f>D12</f>
        <v>400</v>
      </c>
    </row>
    <row r="13" spans="1:5" s="1076" customFormat="1" ht="15">
      <c r="A13" s="1079" t="s">
        <v>2503</v>
      </c>
      <c r="B13" s="1080" t="s">
        <v>7974</v>
      </c>
      <c r="C13" s="1080"/>
      <c r="D13" s="1085">
        <f>'Report-EDA2223'!D18</f>
        <v>0</v>
      </c>
      <c r="E13" s="1085">
        <f>D13</f>
        <v>0</v>
      </c>
    </row>
    <row r="14" spans="1:5" s="1076" customFormat="1" ht="15">
      <c r="A14" s="1079" t="s">
        <v>1024</v>
      </c>
      <c r="B14" s="1080" t="s">
        <v>3378</v>
      </c>
      <c r="C14" s="1080"/>
      <c r="D14" s="1085">
        <f>IFA!AF65</f>
        <v>0</v>
      </c>
      <c r="E14" s="1085">
        <f>IFA!AH65</f>
        <v>0</v>
      </c>
    </row>
    <row r="15" spans="1:5" s="1076" customFormat="1" ht="15">
      <c r="A15" s="1079" t="s">
        <v>1025</v>
      </c>
      <c r="B15" s="1080" t="s">
        <v>3379</v>
      </c>
      <c r="C15" s="1080"/>
      <c r="D15" s="1183">
        <f>IFA!AF67</f>
        <v>0</v>
      </c>
      <c r="E15" s="1183">
        <f>IFA!AH67</f>
        <v>0</v>
      </c>
    </row>
    <row r="16" spans="1:5" s="1076" customFormat="1" ht="15">
      <c r="A16" s="1079" t="s">
        <v>1027</v>
      </c>
      <c r="B16" s="1080" t="s">
        <v>3380</v>
      </c>
      <c r="C16" s="1080"/>
      <c r="D16" s="1183">
        <f>IFA!AF69</f>
        <v>0</v>
      </c>
      <c r="E16" s="1183">
        <f>IFA!AH69</f>
        <v>0</v>
      </c>
    </row>
    <row r="17" spans="1:5" s="1076" customFormat="1" ht="15">
      <c r="A17" s="1079" t="s">
        <v>1028</v>
      </c>
      <c r="B17" s="1080" t="str">
        <f>CONCATENATE("State's Share of $",Weights!K49," per ADA Yield")</f>
        <v>State's Share of $35 per ADA Yield</v>
      </c>
      <c r="C17" s="1080"/>
      <c r="D17" s="1085">
        <f>IFA!AF71</f>
        <v>35</v>
      </c>
      <c r="E17" s="1085">
        <f>IFA!AH71</f>
        <v>35</v>
      </c>
    </row>
    <row r="18" spans="1:5" s="1076" customFormat="1" ht="15">
      <c r="A18" s="1079" t="s">
        <v>1029</v>
      </c>
      <c r="B18" s="1080" t="s">
        <v>3381</v>
      </c>
      <c r="C18" s="1080"/>
      <c r="D18" s="1184">
        <f>IFA!AF73</f>
        <v>1</v>
      </c>
      <c r="E18" s="1184">
        <f>IFA!AH73</f>
        <v>1</v>
      </c>
    </row>
    <row r="19" spans="1:5" s="1076" customFormat="1" ht="15">
      <c r="A19" s="1079" t="s">
        <v>139</v>
      </c>
      <c r="B19" s="1080" t="s">
        <v>3382</v>
      </c>
      <c r="C19" s="1080"/>
      <c r="D19" s="1085">
        <f>IFA!AF75</f>
        <v>0</v>
      </c>
      <c r="E19" s="1085">
        <f>IFA!AH75</f>
        <v>0</v>
      </c>
    </row>
    <row r="20" spans="1:5" s="1076" customFormat="1" ht="15">
      <c r="A20" s="1079" t="s">
        <v>140</v>
      </c>
      <c r="B20" s="1080" t="s">
        <v>3383</v>
      </c>
      <c r="C20" s="1080"/>
      <c r="D20" s="1085">
        <f>IFA!AF79</f>
        <v>0</v>
      </c>
      <c r="E20" s="1085">
        <f>IFA!AH79</f>
        <v>0</v>
      </c>
    </row>
    <row r="21" spans="1:5" s="1076" customFormat="1" ht="15.75">
      <c r="A21" s="1079" t="s">
        <v>141</v>
      </c>
      <c r="B21" s="1078" t="s">
        <v>3384</v>
      </c>
      <c r="C21" s="1080"/>
      <c r="D21" s="1085">
        <f>IFA!AF86</f>
        <v>0</v>
      </c>
      <c r="E21" s="1085">
        <f>IFA!AH86</f>
        <v>0</v>
      </c>
    </row>
    <row r="22" spans="1:5" s="1076" customFormat="1" ht="15.75">
      <c r="B22" s="1195" t="s">
        <v>3392</v>
      </c>
      <c r="D22" s="4106" t="s">
        <v>7994</v>
      </c>
    </row>
    <row r="23" spans="1:5" s="1076" customFormat="1" ht="15"/>
    <row r="24" spans="1:5" s="1076" customFormat="1" ht="15.75">
      <c r="B24" s="961" t="s">
        <v>3346</v>
      </c>
    </row>
    <row r="25" spans="1:5" s="1076" customFormat="1" ht="15">
      <c r="B25" s="1076" t="s">
        <v>3388</v>
      </c>
    </row>
    <row r="26" spans="1:5" s="1076" customFormat="1" ht="15.75">
      <c r="B26" s="1076" t="s">
        <v>6875</v>
      </c>
    </row>
    <row r="27" spans="1:5" s="1076" customFormat="1" ht="15.75">
      <c r="B27" s="1120" t="s">
        <v>6876</v>
      </c>
    </row>
    <row r="28" spans="1:5" s="1076" customFormat="1" ht="15"/>
    <row r="29" spans="1:5" s="1076" customFormat="1" ht="15.75">
      <c r="B29" s="961" t="s">
        <v>4598</v>
      </c>
    </row>
    <row r="30" spans="1:5" s="1076" customFormat="1" ht="15.75">
      <c r="B30" s="1315" t="s">
        <v>4600</v>
      </c>
    </row>
    <row r="31" spans="1:5" s="1076" customFormat="1" ht="15.75">
      <c r="B31" s="961" t="s">
        <v>4599</v>
      </c>
    </row>
    <row r="32" spans="1:5" s="1076" customFormat="1" ht="15.75">
      <c r="B32" s="132" t="s">
        <v>7977</v>
      </c>
      <c r="E32" s="2026">
        <f>IF(ISNA('DE1'!K89),0,'DE1'!K89)</f>
        <v>0</v>
      </c>
    </row>
    <row r="33" spans="2:5" s="1076" customFormat="1" ht="15.75">
      <c r="B33" s="961"/>
    </row>
    <row r="34" spans="2:5" s="1076" customFormat="1" ht="15"/>
    <row r="35" spans="2:5" s="1076" customFormat="1" ht="15.75">
      <c r="D35" s="1205" t="s">
        <v>1934</v>
      </c>
      <c r="E35" s="1205" t="s">
        <v>1935</v>
      </c>
    </row>
    <row r="36" spans="2:5" s="1076" customFormat="1" ht="15.75">
      <c r="D36" s="1205" t="s">
        <v>3481</v>
      </c>
      <c r="E36" s="1205" t="s">
        <v>3481</v>
      </c>
    </row>
    <row r="37" spans="2:5" s="1076" customFormat="1" ht="15">
      <c r="B37" s="1186" t="s">
        <v>2810</v>
      </c>
      <c r="D37" s="1199">
        <f>IFA_Limits!N55</f>
        <v>0</v>
      </c>
      <c r="E37" s="1199">
        <f>IFA_Limits!N56</f>
        <v>0</v>
      </c>
    </row>
    <row r="38" spans="2:5" s="1076" customFormat="1" ht="15"/>
    <row r="39" spans="2:5" s="1076" customFormat="1" ht="15"/>
    <row r="40" spans="2:5" s="1076" customFormat="1" ht="15"/>
    <row r="41" spans="2:5" s="1076" customFormat="1" ht="15"/>
    <row r="42" spans="2:5" s="1076" customFormat="1" ht="15"/>
    <row r="43" spans="2:5" s="1076" customFormat="1" ht="15"/>
    <row r="44" spans="2:5" s="1076" customFormat="1" ht="15"/>
    <row r="45" spans="2:5" s="1076" customFormat="1" ht="15"/>
    <row r="46" spans="2:5" s="1076" customFormat="1" ht="15"/>
    <row r="47" spans="2:5" s="1076" customFormat="1" ht="15"/>
    <row r="48" spans="2:5" s="1076" customFormat="1" ht="15"/>
    <row r="49" spans="4:4" s="1076" customFormat="1" ht="15"/>
    <row r="50" spans="4:4" s="1076" customFormat="1" ht="15"/>
    <row r="51" spans="4:4" s="1076" customFormat="1" ht="15">
      <c r="D51"/>
    </row>
  </sheetData>
  <hyperlinks>
    <hyperlink ref="D22" location="'Report-SOF2223'!A1" display="'Report-SOF2223'!A1"/>
  </hyperlink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1074" t="s">
        <v>3593</v>
      </c>
      <c r="E1" s="1773" t="str">
        <f>'Report-IFA1920'!E1</f>
        <v>84th/85th Legislative Session</v>
      </c>
    </row>
    <row r="2" spans="1:5">
      <c r="A2" s="1074" t="s">
        <v>3594</v>
      </c>
      <c r="E2" s="98" t="str">
        <f>'Report-IFA1920'!E2</f>
        <v>Release 2</v>
      </c>
    </row>
    <row r="3" spans="1:5">
      <c r="A3" s="89"/>
      <c r="E3" s="82">
        <f>'Report-IFA1920'!E3</f>
        <v>43145</v>
      </c>
    </row>
    <row r="4" spans="1:5" ht="15.75">
      <c r="A4" s="1075" t="s">
        <v>7979</v>
      </c>
    </row>
    <row r="5" spans="1:5" ht="15.75">
      <c r="A5" s="1077">
        <f>'Data Entry - SOF'!B1</f>
        <v>0</v>
      </c>
    </row>
    <row r="6" spans="1:5" ht="15.75">
      <c r="A6" s="1075">
        <f>'Data Entry - SOF'!B2</f>
        <v>0</v>
      </c>
    </row>
    <row r="8" spans="1:5" ht="18">
      <c r="A8" s="1360" t="s">
        <v>3596</v>
      </c>
      <c r="B8" s="1361"/>
      <c r="C8" s="1279" t="s">
        <v>2375</v>
      </c>
      <c r="D8" s="1362"/>
      <c r="E8" s="1363" t="s">
        <v>3598</v>
      </c>
    </row>
    <row r="9" spans="1:5" ht="18">
      <c r="A9" s="1302" t="s">
        <v>3595</v>
      </c>
      <c r="B9" s="1364"/>
      <c r="C9" s="1280" t="s">
        <v>3597</v>
      </c>
      <c r="D9" s="1365"/>
      <c r="E9" s="1284" t="s">
        <v>3599</v>
      </c>
    </row>
    <row r="10" spans="1:5" ht="15.75">
      <c r="A10" s="1366" t="s">
        <v>3604</v>
      </c>
      <c r="B10" s="1367"/>
      <c r="C10" s="1367"/>
      <c r="D10" s="1367"/>
      <c r="E10" s="1368"/>
    </row>
    <row r="11" spans="1:5" ht="15">
      <c r="A11" s="1079" t="s">
        <v>2501</v>
      </c>
      <c r="B11" s="1080" t="s">
        <v>3600</v>
      </c>
      <c r="C11" s="1083">
        <f>'Data Entry - SOF'!O84</f>
        <v>0</v>
      </c>
      <c r="D11" s="1080"/>
      <c r="E11" s="1083" t="e">
        <f>'Report-SOF2223'!D67</f>
        <v>#DIV/0!</v>
      </c>
    </row>
    <row r="12" spans="1:5" ht="15">
      <c r="A12" s="1079" t="s">
        <v>2502</v>
      </c>
      <c r="B12" s="1080" t="s">
        <v>3601</v>
      </c>
      <c r="C12" s="1083">
        <f>'Data Entry - SOF'!O85</f>
        <v>0</v>
      </c>
      <c r="D12" s="1080"/>
      <c r="E12" s="1083">
        <f>C12</f>
        <v>0</v>
      </c>
    </row>
    <row r="13" spans="1:5" ht="15">
      <c r="A13" s="1079" t="s">
        <v>2503</v>
      </c>
      <c r="B13" s="1080" t="s">
        <v>3602</v>
      </c>
      <c r="C13" s="1083">
        <f>C11+C12</f>
        <v>0</v>
      </c>
      <c r="D13" s="1080"/>
      <c r="E13" s="1083" t="e">
        <f>E11+E12</f>
        <v>#DIV/0!</v>
      </c>
    </row>
    <row r="14" spans="1:5" ht="15">
      <c r="A14" s="1076"/>
      <c r="B14" s="1076"/>
      <c r="C14" s="1076"/>
      <c r="D14" s="1076"/>
      <c r="E14" s="1371"/>
    </row>
    <row r="15" spans="1:5" ht="18">
      <c r="A15" s="1076"/>
      <c r="B15" s="1369" t="s">
        <v>3605</v>
      </c>
      <c r="C15" s="1226"/>
      <c r="D15" s="1226"/>
      <c r="E15" s="1372" t="e">
        <f>E13-C13</f>
        <v>#DIV/0!</v>
      </c>
    </row>
    <row r="16" spans="1:5" ht="15.75">
      <c r="A16" s="1076"/>
      <c r="C16" s="1195" t="s">
        <v>3392</v>
      </c>
      <c r="D16" s="1076"/>
      <c r="E16" s="4106" t="s">
        <v>7994</v>
      </c>
    </row>
    <row r="17" spans="1:5" ht="15.75">
      <c r="A17" s="1076"/>
      <c r="C17" s="1195"/>
      <c r="D17" s="1076"/>
      <c r="E17" s="1076"/>
    </row>
    <row r="18" spans="1:5" ht="15">
      <c r="A18" s="1076"/>
      <c r="B18" s="1076"/>
      <c r="C18" s="1076"/>
      <c r="D18" s="1076"/>
      <c r="E18" s="1076"/>
    </row>
    <row r="19" spans="1:5" ht="15.75">
      <c r="A19" s="1076"/>
      <c r="B19" s="961" t="s">
        <v>3603</v>
      </c>
      <c r="C19" s="1076"/>
      <c r="D19" s="1076"/>
      <c r="E19" s="1076"/>
    </row>
    <row r="20" spans="1:5" ht="15.75">
      <c r="A20" s="1076"/>
      <c r="B20" s="961" t="s">
        <v>3608</v>
      </c>
      <c r="C20" s="1076"/>
      <c r="D20" s="1076"/>
      <c r="E20" s="1076"/>
    </row>
    <row r="21" spans="1:5" ht="15.75">
      <c r="A21" s="1076"/>
      <c r="B21" s="961" t="s">
        <v>3609</v>
      </c>
      <c r="C21" s="1076"/>
      <c r="D21" s="1076"/>
    </row>
    <row r="22" spans="1:5" ht="15.75">
      <c r="A22" s="1076"/>
      <c r="B22" s="961" t="s">
        <v>3610</v>
      </c>
    </row>
    <row r="23" spans="1:5" ht="15.75">
      <c r="A23" s="1076"/>
      <c r="B23" s="961"/>
    </row>
    <row r="24" spans="1:5" ht="15.75">
      <c r="A24" s="1076"/>
      <c r="B24" s="961" t="s">
        <v>3606</v>
      </c>
    </row>
    <row r="25" spans="1:5" ht="15.75">
      <c r="A25" s="1076"/>
      <c r="B25" s="961" t="s">
        <v>3607</v>
      </c>
    </row>
    <row r="26" spans="1:5" ht="15">
      <c r="A26" s="1076"/>
    </row>
    <row r="27" spans="1:5" ht="15">
      <c r="A27" s="1076"/>
    </row>
    <row r="28" spans="1:5" ht="15">
      <c r="A28" s="1076"/>
    </row>
    <row r="29" spans="1:5" ht="15">
      <c r="A29" s="1076"/>
    </row>
    <row r="30" spans="1:5" ht="15">
      <c r="A30" s="1076"/>
    </row>
  </sheetData>
  <hyperlinks>
    <hyperlink ref="E16" location="'Report-SOF2223'!A1" display="'Report-SOF2223'!A1"/>
  </hyperlink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4"/>
  <sheetViews>
    <sheetView workbookViewId="0">
      <selection activeCell="A4" sqref="A4"/>
    </sheetView>
  </sheetViews>
  <sheetFormatPr defaultRowHeight="12.75"/>
  <cols>
    <col min="2" max="2" width="13.85546875" customWidth="1"/>
    <col min="3" max="3" width="19.42578125" style="2267" hidden="1" customWidth="1"/>
    <col min="4" max="4" width="19.42578125" style="121" customWidth="1"/>
    <col min="5" max="6" width="19.42578125" customWidth="1"/>
    <col min="7" max="7" width="19.42578125" style="2267" hidden="1" customWidth="1"/>
    <col min="8" max="8" width="19.42578125" style="121" customWidth="1"/>
    <col min="9" max="9" width="19.42578125" style="1223" customWidth="1"/>
    <col min="10" max="10" width="19.42578125" customWidth="1"/>
    <col min="11" max="11" width="19.42578125" style="2267" hidden="1" customWidth="1"/>
    <col min="12" max="12" width="19.42578125" style="121" customWidth="1"/>
    <col min="13" max="14" width="19.42578125" customWidth="1"/>
    <col min="15" max="15" width="19.42578125" style="2267" hidden="1" customWidth="1"/>
    <col min="16" max="16" width="19.42578125" style="121" customWidth="1"/>
    <col min="17" max="17" width="19.42578125" style="1223" customWidth="1"/>
    <col min="18" max="18" width="19.42578125" customWidth="1"/>
    <col min="19" max="19" width="19.42578125" style="2267" hidden="1" customWidth="1"/>
    <col min="20" max="20" width="19.42578125" style="121" customWidth="1"/>
    <col min="21" max="21" width="19.42578125" style="1223" customWidth="1"/>
    <col min="22" max="22" width="19.42578125" customWidth="1"/>
    <col min="23" max="23" width="19.42578125" style="2267" hidden="1" customWidth="1"/>
    <col min="24" max="30" width="19.42578125" customWidth="1"/>
  </cols>
  <sheetData>
    <row r="1" spans="1:27" s="824" customFormat="1">
      <c r="B1" s="308" t="s">
        <v>4588</v>
      </c>
      <c r="C1" s="1482"/>
      <c r="D1" s="308" t="s">
        <v>4590</v>
      </c>
      <c r="E1" s="2451"/>
      <c r="F1" s="308" t="s">
        <v>7091</v>
      </c>
      <c r="G1" s="1482"/>
      <c r="H1" s="308" t="s">
        <v>4590</v>
      </c>
      <c r="I1"/>
      <c r="J1" s="308" t="s">
        <v>7091</v>
      </c>
      <c r="K1" s="1482"/>
      <c r="L1" s="308" t="s">
        <v>4590</v>
      </c>
      <c r="M1" s="2451"/>
      <c r="N1" s="308" t="s">
        <v>7091</v>
      </c>
      <c r="O1" s="1482"/>
      <c r="P1" s="308" t="s">
        <v>4590</v>
      </c>
      <c r="Q1"/>
      <c r="R1" s="308" t="s">
        <v>7091</v>
      </c>
      <c r="S1" s="1482"/>
      <c r="T1" s="308" t="s">
        <v>4590</v>
      </c>
      <c r="U1"/>
      <c r="V1" s="308" t="s">
        <v>7091</v>
      </c>
      <c r="W1" s="1482"/>
      <c r="X1" s="308" t="s">
        <v>4590</v>
      </c>
      <c r="Y1" s="2451"/>
      <c r="Z1" s="308" t="s">
        <v>7091</v>
      </c>
      <c r="AA1" s="308" t="s">
        <v>4590</v>
      </c>
    </row>
    <row r="2" spans="1:27" s="824" customFormat="1">
      <c r="B2" s="308" t="s">
        <v>3613</v>
      </c>
      <c r="C2" s="1482" t="s">
        <v>7098</v>
      </c>
      <c r="D2" s="308" t="s">
        <v>3613</v>
      </c>
      <c r="E2" s="308" t="s">
        <v>4588</v>
      </c>
      <c r="F2" s="308" t="s">
        <v>7092</v>
      </c>
      <c r="G2" s="1482" t="s">
        <v>7098</v>
      </c>
      <c r="H2" s="308" t="s">
        <v>3673</v>
      </c>
      <c r="I2" s="1501" t="s">
        <v>4588</v>
      </c>
      <c r="J2" s="308" t="s">
        <v>7092</v>
      </c>
      <c r="K2" s="1482" t="s">
        <v>7098</v>
      </c>
      <c r="L2" s="308" t="s">
        <v>3830</v>
      </c>
      <c r="M2" s="308" t="s">
        <v>4588</v>
      </c>
      <c r="N2" s="308" t="s">
        <v>7092</v>
      </c>
      <c r="O2" s="1482" t="s">
        <v>7098</v>
      </c>
      <c r="P2" s="308" t="s">
        <v>3903</v>
      </c>
      <c r="Q2" s="1501" t="s">
        <v>4588</v>
      </c>
      <c r="R2" s="308" t="s">
        <v>7092</v>
      </c>
      <c r="S2" s="1482" t="s">
        <v>7098</v>
      </c>
      <c r="T2" s="308" t="s">
        <v>4592</v>
      </c>
      <c r="U2" s="1501" t="s">
        <v>4588</v>
      </c>
      <c r="V2" s="308" t="s">
        <v>7092</v>
      </c>
      <c r="W2" s="1482" t="s">
        <v>7098</v>
      </c>
      <c r="X2" s="308" t="s">
        <v>7097</v>
      </c>
      <c r="Y2" s="308" t="s">
        <v>4588</v>
      </c>
      <c r="Z2" s="308" t="s">
        <v>7092</v>
      </c>
      <c r="AA2" s="308" t="s">
        <v>7733</v>
      </c>
    </row>
    <row r="3" spans="1:27">
      <c r="B3" s="308" t="s">
        <v>4589</v>
      </c>
      <c r="C3" s="1482" t="s">
        <v>7099</v>
      </c>
      <c r="D3" s="308" t="s">
        <v>4591</v>
      </c>
      <c r="E3" s="308" t="s">
        <v>3673</v>
      </c>
      <c r="F3" s="308" t="s">
        <v>7093</v>
      </c>
      <c r="G3" s="1482" t="s">
        <v>7099</v>
      </c>
      <c r="H3" s="308" t="s">
        <v>4591</v>
      </c>
      <c r="I3" s="1501" t="s">
        <v>3830</v>
      </c>
      <c r="J3" s="308" t="s">
        <v>7094</v>
      </c>
      <c r="K3" s="1482" t="s">
        <v>7099</v>
      </c>
      <c r="L3" s="308" t="s">
        <v>4591</v>
      </c>
      <c r="M3" s="308" t="s">
        <v>3903</v>
      </c>
      <c r="N3" s="308" t="s">
        <v>7095</v>
      </c>
      <c r="O3" s="1482" t="s">
        <v>7099</v>
      </c>
      <c r="P3" s="308" t="s">
        <v>4591</v>
      </c>
      <c r="Q3" s="1501" t="s">
        <v>4592</v>
      </c>
      <c r="R3" s="308" t="s">
        <v>7096</v>
      </c>
      <c r="S3" s="1482" t="s">
        <v>7099</v>
      </c>
      <c r="T3" s="308" t="s">
        <v>4591</v>
      </c>
      <c r="U3" s="1501" t="s">
        <v>7097</v>
      </c>
      <c r="V3" s="308" t="s">
        <v>7732</v>
      </c>
      <c r="W3" s="1482" t="s">
        <v>7099</v>
      </c>
      <c r="X3" s="308" t="s">
        <v>4591</v>
      </c>
      <c r="Y3" s="308" t="s">
        <v>7733</v>
      </c>
      <c r="Z3" s="308" t="s">
        <v>8013</v>
      </c>
      <c r="AA3" s="308" t="s">
        <v>4591</v>
      </c>
    </row>
    <row r="4" spans="1:27" ht="15.75">
      <c r="A4" s="1076" t="s">
        <v>225</v>
      </c>
      <c r="B4">
        <v>2037158</v>
      </c>
      <c r="C4" s="2452" t="e">
        <f>#REF!+#REF!</f>
        <v>#REF!</v>
      </c>
      <c r="D4" s="2449">
        <f>IF(A4='Data Entry - SOF'!B$2,'Data Entry - SOF'!C$64,0)</f>
        <v>0</v>
      </c>
      <c r="E4" s="2450">
        <f>IF(B4-D4&lt;0,0,B4-D4)</f>
        <v>2037158</v>
      </c>
      <c r="F4" s="2212" t="e">
        <f>IF('Report-M&amp;O1718'!C$18-'Report-SOF1718'!D$55&lt;=0,0,'Report-M&amp;O1718'!C$18-'Report-SOF1718'!D$55)</f>
        <v>#DIV/0!</v>
      </c>
      <c r="G4" s="2452" t="e">
        <f>E4+F4</f>
        <v>#DIV/0!</v>
      </c>
      <c r="H4" s="2449">
        <f>IF(A4='Data Entry - SOF'!B$2,'Data Entry - SOF'!E$64,0)</f>
        <v>0</v>
      </c>
      <c r="I4" t="e">
        <f>IF(E4+F4-H4&lt;=0,0,E4+F4-H4)</f>
        <v>#DIV/0!</v>
      </c>
      <c r="J4" s="2212" t="e">
        <f>IF('Report-M&amp;O1819'!C$18-'Report-SOF1819'!D$55&lt;=0,0,'Report-M&amp;O1819'!C$18-'Report-SOF1819'!D$55)</f>
        <v>#DIV/0!</v>
      </c>
      <c r="K4" s="2452" t="e">
        <f>I4+J4</f>
        <v>#DIV/0!</v>
      </c>
      <c r="L4" s="2449">
        <f>IF(A4='Data Entry - SOF'!B$2,'Data Entry - SOF'!G$64,0)</f>
        <v>0</v>
      </c>
      <c r="M4" s="2450" t="e">
        <f>IF(I4+J4-L4&lt;=0,0,I4+J4-L4)</f>
        <v>#DIV/0!</v>
      </c>
      <c r="N4" s="2212" t="e">
        <f>IF('Report-M&amp;O1920'!C$18-'Report-SOF1920'!D$55&lt;=0,0,'Report-M&amp;O1920'!C$18-'Report-SOF1920'!D$55)</f>
        <v>#DIV/0!</v>
      </c>
      <c r="O4" s="2452" t="e">
        <f>M4+N4</f>
        <v>#DIV/0!</v>
      </c>
      <c r="P4" s="2449">
        <f>IF(A4='Data Entry - SOF'!B$2,'Data Entry - SOF'!I$64,0)</f>
        <v>0</v>
      </c>
      <c r="Q4" s="1687" t="e">
        <f>IF(M4+N4-P4&lt;=0,0,M4+N4-P4)</f>
        <v>#DIV/0!</v>
      </c>
      <c r="R4" s="2212" t="e">
        <f>IF('Report-M&amp;O2021'!C$18-'Report-SOF2021'!D$55&lt;=0,0,'Report-M&amp;O2021'!C$18-'Report-SOF2021'!D$55)</f>
        <v>#DIV/0!</v>
      </c>
      <c r="S4" s="2452" t="e">
        <f>Q4+R4</f>
        <v>#DIV/0!</v>
      </c>
      <c r="T4" s="1708">
        <f>IF(A4='Data Entry - SOF'!B$2,'Data Entry - SOF'!K$64,0)</f>
        <v>0</v>
      </c>
      <c r="U4" s="1687" t="e">
        <f>IF(Q4+R4-T4&lt;=0,0,Q4+R4-T4)</f>
        <v>#DIV/0!</v>
      </c>
      <c r="V4" s="2212" t="e">
        <f>IF('Report-M&amp;O2122'!C$18-'Report-SOF2122'!D$55&lt;=0,0,'Report-M&amp;O2122'!C$18-'Report-SOF2122'!D$55)</f>
        <v>#DIV/0!</v>
      </c>
      <c r="W4" s="2452" t="e">
        <f>U4+V4</f>
        <v>#DIV/0!</v>
      </c>
      <c r="X4" s="1708">
        <f>IF(A4='Data Entry - SOF'!B$2,'Data Entry - SOF'!M$64,0)</f>
        <v>0</v>
      </c>
      <c r="Y4" s="1371" t="e">
        <f>IF(U4+V4-X4&lt;=0,0,U4+V4-X4)</f>
        <v>#DIV/0!</v>
      </c>
      <c r="Z4" s="2212" t="e">
        <f>IF('Report-M&amp;O2223'!C$18-'Report-SOF2223'!D$55&lt;=0,0,'Report-M&amp;O2223'!C$18-'Report-SOF2223'!D$55)</f>
        <v>#DIV/0!</v>
      </c>
      <c r="AA4" s="1708">
        <f>IF(A4='Data Entry - SOF'!B$2,'Data Entry - SOF'!O$64,0)</f>
        <v>0</v>
      </c>
    </row>
    <row r="5" spans="1:27" ht="15.75">
      <c r="A5" s="1076" t="s">
        <v>2228</v>
      </c>
      <c r="B5">
        <v>1639899</v>
      </c>
      <c r="C5" s="2452" t="e">
        <f>#REF!+#REF!</f>
        <v>#REF!</v>
      </c>
      <c r="D5" s="2449">
        <f>IF(A5='Data Entry - SOF'!B$2,'Data Entry - SOF'!C$64,0)</f>
        <v>0</v>
      </c>
      <c r="E5" s="2450">
        <f t="shared" ref="E5:E68" si="0">IF(B5-D5&lt;0,0,B5-D5)</f>
        <v>1639899</v>
      </c>
      <c r="F5" s="2212" t="e">
        <f>IF('Report-M&amp;O1718'!C$18-'Report-SOF1718'!D$55&lt;=0,0,'Report-M&amp;O1718'!C$18-'Report-SOF1718'!D$55)</f>
        <v>#DIV/0!</v>
      </c>
      <c r="G5" s="2452" t="e">
        <f t="shared" ref="G5:G68" si="1">E5+F5</f>
        <v>#DIV/0!</v>
      </c>
      <c r="H5" s="2449">
        <f>IF(A5='Data Entry - SOF'!B$2,'Data Entry - SOF'!E$64,0)</f>
        <v>0</v>
      </c>
      <c r="I5" s="1687">
        <f t="shared" ref="I5:I68" si="2">E5-H5</f>
        <v>1639899</v>
      </c>
      <c r="J5" s="2212" t="e">
        <f>IF('Report-M&amp;O1819'!C$18-'Report-SOF1819'!D$55&lt;=0,0,'Report-M&amp;O1819'!C$18-'Report-SOF1819'!D$55)</f>
        <v>#DIV/0!</v>
      </c>
      <c r="K5" s="2452" t="e">
        <f t="shared" ref="K5:K68" si="3">I5+J5</f>
        <v>#DIV/0!</v>
      </c>
      <c r="L5" s="2449">
        <f>IF(A5='Data Entry - SOF'!B$2,'Data Entry - SOF'!G$64,0)</f>
        <v>0</v>
      </c>
      <c r="M5" s="1371">
        <f t="shared" ref="M5:M68" si="4">I5-L5</f>
        <v>1639899</v>
      </c>
      <c r="N5" s="2212" t="e">
        <f>IF('Report-M&amp;O1920'!C$18-'Report-SOF1920'!D$55&lt;=0,0,'Report-M&amp;O1920'!C$18-'Report-SOF1920'!D$55)</f>
        <v>#DIV/0!</v>
      </c>
      <c r="O5" s="2452" t="e">
        <f t="shared" ref="O5:O68" si="5">M5+N5</f>
        <v>#DIV/0!</v>
      </c>
      <c r="P5" s="2449">
        <f>IF(A5='Data Entry - SOF'!B$2,'Data Entry - SOF'!I$64,0)</f>
        <v>0</v>
      </c>
      <c r="Q5" s="1687">
        <f t="shared" ref="Q5:Q67" si="6">M5-P5</f>
        <v>1639899</v>
      </c>
      <c r="R5" s="2212" t="e">
        <f>IF('Report-M&amp;O2021'!C$18-'Report-SOF2021'!D$55&lt;=0,0,'Report-M&amp;O2021'!C$18-'Report-SOF2021'!D$55)</f>
        <v>#DIV/0!</v>
      </c>
      <c r="S5" s="2452" t="e">
        <f t="shared" ref="S5:S68" si="7">Q5+R5</f>
        <v>#DIV/0!</v>
      </c>
      <c r="T5" s="1708">
        <f>IF(A5='Data Entry - SOF'!B$2,'Data Entry - SOF'!K$64,0)</f>
        <v>0</v>
      </c>
      <c r="U5" s="1687">
        <f t="shared" ref="U5:U67" si="8">Q5-T5</f>
        <v>1639899</v>
      </c>
      <c r="V5" s="2212" t="e">
        <f>IF('Report-M&amp;O2122'!C$18-'Report-SOF2122'!D$55&lt;=0,0,'Report-M&amp;O2122'!C$18-'Report-SOF2122'!D$55)</f>
        <v>#DIV/0!</v>
      </c>
      <c r="W5" s="2452" t="e">
        <f t="shared" ref="W5:W68" si="9">U5+V5</f>
        <v>#DIV/0!</v>
      </c>
      <c r="X5" s="1708">
        <f>IF(A5='Data Entry - SOF'!B$2,'Data Entry - SOF'!M$64,0)</f>
        <v>0</v>
      </c>
      <c r="Y5" s="1371" t="e">
        <f t="shared" ref="Y5:Y68" si="10">IF(U5+V5-X5&lt;=0,0,U5+V5-X5)</f>
        <v>#DIV/0!</v>
      </c>
      <c r="Z5" s="2212" t="e">
        <f>IF('Report-M&amp;O2223'!C$18-'Report-SOF2223'!D$55&lt;=0,0,'Report-M&amp;O2223'!C$18-'Report-SOF2223'!D$55)</f>
        <v>#DIV/0!</v>
      </c>
      <c r="AA5" s="1708">
        <f>IF(A5='Data Entry - SOF'!B$2,'Data Entry - SOF'!O$64,0)</f>
        <v>0</v>
      </c>
    </row>
    <row r="6" spans="1:27" ht="15.75">
      <c r="A6" s="1076" t="s">
        <v>15</v>
      </c>
      <c r="B6">
        <v>2551405</v>
      </c>
      <c r="C6" s="2452" t="e">
        <f>#REF!+#REF!</f>
        <v>#REF!</v>
      </c>
      <c r="D6" s="2449">
        <f>IF(A6='Data Entry - SOF'!B$2,'Data Entry - SOF'!C$64,0)</f>
        <v>0</v>
      </c>
      <c r="E6" s="2450">
        <f t="shared" si="0"/>
        <v>2551405</v>
      </c>
      <c r="F6" s="2212" t="e">
        <f>IF('Report-M&amp;O1718'!C$18-'Report-SOF1718'!D$55&lt;=0,0,'Report-M&amp;O1718'!C$18-'Report-SOF1718'!D$55)</f>
        <v>#DIV/0!</v>
      </c>
      <c r="G6" s="2452" t="e">
        <f t="shared" si="1"/>
        <v>#DIV/0!</v>
      </c>
      <c r="H6" s="2449">
        <f>IF(A6='Data Entry - SOF'!B$2,'Data Entry - SOF'!E$64,0)</f>
        <v>0</v>
      </c>
      <c r="I6" s="1687">
        <f t="shared" si="2"/>
        <v>2551405</v>
      </c>
      <c r="J6" s="2212" t="e">
        <f>IF('Report-M&amp;O1819'!C$18-'Report-SOF1819'!D$55&lt;=0,0,'Report-M&amp;O1819'!C$18-'Report-SOF1819'!D$55)</f>
        <v>#DIV/0!</v>
      </c>
      <c r="K6" s="2452" t="e">
        <f t="shared" si="3"/>
        <v>#DIV/0!</v>
      </c>
      <c r="L6" s="2449">
        <f>IF(A6='Data Entry - SOF'!B$2,'Data Entry - SOF'!G$64,0)</f>
        <v>0</v>
      </c>
      <c r="M6" s="1371">
        <f t="shared" si="4"/>
        <v>2551405</v>
      </c>
      <c r="N6" s="2212" t="e">
        <f>IF('Report-M&amp;O1920'!C$18-'Report-SOF1920'!D$55&lt;=0,0,'Report-M&amp;O1920'!C$18-'Report-SOF1920'!D$55)</f>
        <v>#DIV/0!</v>
      </c>
      <c r="O6" s="2452" t="e">
        <f t="shared" si="5"/>
        <v>#DIV/0!</v>
      </c>
      <c r="P6" s="2449">
        <f>IF(A6='Data Entry - SOF'!B$2,'Data Entry - SOF'!I$64,0)</f>
        <v>0</v>
      </c>
      <c r="Q6" s="1687">
        <f t="shared" si="6"/>
        <v>2551405</v>
      </c>
      <c r="R6" s="2212" t="e">
        <f>IF('Report-M&amp;O2021'!C$18-'Report-SOF2021'!D$55&lt;=0,0,'Report-M&amp;O2021'!C$18-'Report-SOF2021'!D$55)</f>
        <v>#DIV/0!</v>
      </c>
      <c r="S6" s="2452" t="e">
        <f t="shared" si="7"/>
        <v>#DIV/0!</v>
      </c>
      <c r="T6" s="1708">
        <f>IF(A6='Data Entry - SOF'!B$2,'Data Entry - SOF'!K$64,0)</f>
        <v>0</v>
      </c>
      <c r="U6" s="1687">
        <f t="shared" si="8"/>
        <v>2551405</v>
      </c>
      <c r="V6" s="2212" t="e">
        <f>IF('Report-M&amp;O2122'!C$18-'Report-SOF2122'!D$55&lt;=0,0,'Report-M&amp;O2122'!C$18-'Report-SOF2122'!D$55)</f>
        <v>#DIV/0!</v>
      </c>
      <c r="W6" s="2452" t="e">
        <f t="shared" si="9"/>
        <v>#DIV/0!</v>
      </c>
      <c r="X6" s="1708">
        <f>IF(A6='Data Entry - SOF'!B$2,'Data Entry - SOF'!M$64,0)</f>
        <v>0</v>
      </c>
      <c r="Y6" s="1371" t="e">
        <f t="shared" si="10"/>
        <v>#DIV/0!</v>
      </c>
      <c r="Z6" s="2212" t="e">
        <f>IF('Report-M&amp;O2223'!C$18-'Report-SOF2223'!D$55&lt;=0,0,'Report-M&amp;O2223'!C$18-'Report-SOF2223'!D$55)</f>
        <v>#DIV/0!</v>
      </c>
      <c r="AA6" s="1708">
        <f>IF(A6='Data Entry - SOF'!B$2,'Data Entry - SOF'!O$64,0)</f>
        <v>0</v>
      </c>
    </row>
    <row r="7" spans="1:27" ht="15.75">
      <c r="A7" s="1076" t="s">
        <v>16</v>
      </c>
      <c r="B7">
        <v>1159066</v>
      </c>
      <c r="C7" s="2452" t="e">
        <f>#REF!+#REF!</f>
        <v>#REF!</v>
      </c>
      <c r="D7" s="2449">
        <f>IF(A7='Data Entry - SOF'!B$2,'Data Entry - SOF'!C$64,0)</f>
        <v>0</v>
      </c>
      <c r="E7" s="2450">
        <f t="shared" si="0"/>
        <v>1159066</v>
      </c>
      <c r="F7" s="2212" t="e">
        <f>IF('Report-M&amp;O1718'!C$18-'Report-SOF1718'!D$55&lt;=0,0,'Report-M&amp;O1718'!C$18-'Report-SOF1718'!D$55)</f>
        <v>#DIV/0!</v>
      </c>
      <c r="G7" s="2452" t="e">
        <f t="shared" si="1"/>
        <v>#DIV/0!</v>
      </c>
      <c r="H7" s="2449">
        <f>IF(A7='Data Entry - SOF'!B$2,'Data Entry - SOF'!E$64,0)</f>
        <v>0</v>
      </c>
      <c r="I7" s="1687">
        <f t="shared" si="2"/>
        <v>1159066</v>
      </c>
      <c r="J7" s="2212" t="e">
        <f>IF('Report-M&amp;O1819'!C$18-'Report-SOF1819'!D$55&lt;=0,0,'Report-M&amp;O1819'!C$18-'Report-SOF1819'!D$55)</f>
        <v>#DIV/0!</v>
      </c>
      <c r="K7" s="2452" t="e">
        <f t="shared" si="3"/>
        <v>#DIV/0!</v>
      </c>
      <c r="L7" s="2449">
        <f>IF(A7='Data Entry - SOF'!B$2,'Data Entry - SOF'!G$64,0)</f>
        <v>0</v>
      </c>
      <c r="M7" s="1371">
        <f t="shared" si="4"/>
        <v>1159066</v>
      </c>
      <c r="N7" s="2212" t="e">
        <f>IF('Report-M&amp;O1920'!C$18-'Report-SOF1920'!D$55&lt;=0,0,'Report-M&amp;O1920'!C$18-'Report-SOF1920'!D$55)</f>
        <v>#DIV/0!</v>
      </c>
      <c r="O7" s="2452" t="e">
        <f t="shared" si="5"/>
        <v>#DIV/0!</v>
      </c>
      <c r="P7" s="2449">
        <f>IF(A7='Data Entry - SOF'!B$2,'Data Entry - SOF'!I$64,0)</f>
        <v>0</v>
      </c>
      <c r="Q7" s="1687">
        <f t="shared" si="6"/>
        <v>1159066</v>
      </c>
      <c r="R7" s="2212" t="e">
        <f>IF('Report-M&amp;O2021'!C$18-'Report-SOF2021'!D$55&lt;=0,0,'Report-M&amp;O2021'!C$18-'Report-SOF2021'!D$55)</f>
        <v>#DIV/0!</v>
      </c>
      <c r="S7" s="2452" t="e">
        <f t="shared" si="7"/>
        <v>#DIV/0!</v>
      </c>
      <c r="T7" s="1708">
        <f>IF(A7='Data Entry - SOF'!B$2,'Data Entry - SOF'!K$64,0)</f>
        <v>0</v>
      </c>
      <c r="U7" s="1687">
        <f t="shared" si="8"/>
        <v>1159066</v>
      </c>
      <c r="V7" s="2212" t="e">
        <f>IF('Report-M&amp;O2122'!C$18-'Report-SOF2122'!D$55&lt;=0,0,'Report-M&amp;O2122'!C$18-'Report-SOF2122'!D$55)</f>
        <v>#DIV/0!</v>
      </c>
      <c r="W7" s="2452" t="e">
        <f t="shared" si="9"/>
        <v>#DIV/0!</v>
      </c>
      <c r="X7" s="1708">
        <f>IF(A7='Data Entry - SOF'!B$2,'Data Entry - SOF'!M$64,0)</f>
        <v>0</v>
      </c>
      <c r="Y7" s="1371" t="e">
        <f t="shared" si="10"/>
        <v>#DIV/0!</v>
      </c>
      <c r="Z7" s="2212" t="e">
        <f>IF('Report-M&amp;O2223'!C$18-'Report-SOF2223'!D$55&lt;=0,0,'Report-M&amp;O2223'!C$18-'Report-SOF2223'!D$55)</f>
        <v>#DIV/0!</v>
      </c>
      <c r="AA7" s="1708">
        <f>IF(A7='Data Entry - SOF'!B$2,'Data Entry - SOF'!O$64,0)</f>
        <v>0</v>
      </c>
    </row>
    <row r="8" spans="1:27" ht="15.75">
      <c r="A8" s="1076" t="s">
        <v>17</v>
      </c>
      <c r="B8">
        <v>10239894</v>
      </c>
      <c r="C8" s="2452" t="e">
        <f>#REF!+#REF!</f>
        <v>#REF!</v>
      </c>
      <c r="D8" s="2449">
        <f>IF(A8='Data Entry - SOF'!B$2,'Data Entry - SOF'!C$64,0)</f>
        <v>0</v>
      </c>
      <c r="E8" s="2450">
        <f t="shared" si="0"/>
        <v>10239894</v>
      </c>
      <c r="F8" s="2212" t="e">
        <f>IF('Report-M&amp;O1718'!C$18-'Report-SOF1718'!D$55&lt;=0,0,'Report-M&amp;O1718'!C$18-'Report-SOF1718'!D$55)</f>
        <v>#DIV/0!</v>
      </c>
      <c r="G8" s="2452" t="e">
        <f t="shared" si="1"/>
        <v>#DIV/0!</v>
      </c>
      <c r="H8" s="2449">
        <f>IF(A8='Data Entry - SOF'!B$2,'Data Entry - SOF'!E$64,0)</f>
        <v>0</v>
      </c>
      <c r="I8" s="1687">
        <f t="shared" si="2"/>
        <v>10239894</v>
      </c>
      <c r="J8" s="2212" t="e">
        <f>IF('Report-M&amp;O1819'!C$18-'Report-SOF1819'!D$55&lt;=0,0,'Report-M&amp;O1819'!C$18-'Report-SOF1819'!D$55)</f>
        <v>#DIV/0!</v>
      </c>
      <c r="K8" s="2452" t="e">
        <f t="shared" si="3"/>
        <v>#DIV/0!</v>
      </c>
      <c r="L8" s="2449">
        <f>IF(A8='Data Entry - SOF'!B$2,'Data Entry - SOF'!G$64,0)</f>
        <v>0</v>
      </c>
      <c r="M8" s="1371">
        <f t="shared" si="4"/>
        <v>10239894</v>
      </c>
      <c r="N8" s="2212" t="e">
        <f>IF('Report-M&amp;O1920'!C$18-'Report-SOF1920'!D$55&lt;=0,0,'Report-M&amp;O1920'!C$18-'Report-SOF1920'!D$55)</f>
        <v>#DIV/0!</v>
      </c>
      <c r="O8" s="2452" t="e">
        <f t="shared" si="5"/>
        <v>#DIV/0!</v>
      </c>
      <c r="P8" s="2449">
        <f>IF(A8='Data Entry - SOF'!B$2,'Data Entry - SOF'!I$64,0)</f>
        <v>0</v>
      </c>
      <c r="Q8" s="1687">
        <f t="shared" si="6"/>
        <v>10239894</v>
      </c>
      <c r="R8" s="2212" t="e">
        <f>IF('Report-M&amp;O2021'!C$18-'Report-SOF2021'!D$55&lt;=0,0,'Report-M&amp;O2021'!C$18-'Report-SOF2021'!D$55)</f>
        <v>#DIV/0!</v>
      </c>
      <c r="S8" s="2452" t="e">
        <f t="shared" si="7"/>
        <v>#DIV/0!</v>
      </c>
      <c r="T8" s="1708">
        <f>IF(A8='Data Entry - SOF'!B$2,'Data Entry - SOF'!K$64,0)</f>
        <v>0</v>
      </c>
      <c r="U8" s="1687">
        <f t="shared" si="8"/>
        <v>10239894</v>
      </c>
      <c r="V8" s="2212" t="e">
        <f>IF('Report-M&amp;O2122'!C$18-'Report-SOF2122'!D$55&lt;=0,0,'Report-M&amp;O2122'!C$18-'Report-SOF2122'!D$55)</f>
        <v>#DIV/0!</v>
      </c>
      <c r="W8" s="2452" t="e">
        <f t="shared" si="9"/>
        <v>#DIV/0!</v>
      </c>
      <c r="X8" s="1708">
        <f>IF(A8='Data Entry - SOF'!B$2,'Data Entry - SOF'!M$64,0)</f>
        <v>0</v>
      </c>
      <c r="Y8" s="1371" t="e">
        <f t="shared" si="10"/>
        <v>#DIV/0!</v>
      </c>
      <c r="Z8" s="2212" t="e">
        <f>IF('Report-M&amp;O2223'!C$18-'Report-SOF2223'!D$55&lt;=0,0,'Report-M&amp;O2223'!C$18-'Report-SOF2223'!D$55)</f>
        <v>#DIV/0!</v>
      </c>
      <c r="AA8" s="1708">
        <f>IF(A8='Data Entry - SOF'!B$2,'Data Entry - SOF'!O$64,0)</f>
        <v>0</v>
      </c>
    </row>
    <row r="9" spans="1:27" ht="15.75">
      <c r="A9" s="1076" t="s">
        <v>1254</v>
      </c>
      <c r="B9">
        <v>2117615</v>
      </c>
      <c r="C9" s="2452" t="e">
        <f>#REF!+#REF!</f>
        <v>#REF!</v>
      </c>
      <c r="D9" s="2449">
        <f>IF(A9='Data Entry - SOF'!B$2,'Data Entry - SOF'!C$64,0)</f>
        <v>0</v>
      </c>
      <c r="E9" s="2450">
        <f t="shared" si="0"/>
        <v>2117615</v>
      </c>
      <c r="F9" s="2212" t="e">
        <f>IF('Report-M&amp;O1718'!C$18-'Report-SOF1718'!D$55&lt;=0,0,'Report-M&amp;O1718'!C$18-'Report-SOF1718'!D$55)</f>
        <v>#DIV/0!</v>
      </c>
      <c r="G9" s="2452" t="e">
        <f t="shared" si="1"/>
        <v>#DIV/0!</v>
      </c>
      <c r="H9" s="2449">
        <f>IF(A9='Data Entry - SOF'!B$2,'Data Entry - SOF'!E$64,0)</f>
        <v>0</v>
      </c>
      <c r="I9" s="1687">
        <f t="shared" si="2"/>
        <v>2117615</v>
      </c>
      <c r="J9" s="2212" t="e">
        <f>IF('Report-M&amp;O1819'!C$18-'Report-SOF1819'!D$55&lt;=0,0,'Report-M&amp;O1819'!C$18-'Report-SOF1819'!D$55)</f>
        <v>#DIV/0!</v>
      </c>
      <c r="K9" s="2452" t="e">
        <f t="shared" si="3"/>
        <v>#DIV/0!</v>
      </c>
      <c r="L9" s="2449">
        <f>IF(A9='Data Entry - SOF'!B$2,'Data Entry - SOF'!G$64,0)</f>
        <v>0</v>
      </c>
      <c r="M9" s="1371">
        <f t="shared" si="4"/>
        <v>2117615</v>
      </c>
      <c r="N9" s="2212" t="e">
        <f>IF('Report-M&amp;O1920'!C$18-'Report-SOF1920'!D$55&lt;=0,0,'Report-M&amp;O1920'!C$18-'Report-SOF1920'!D$55)</f>
        <v>#DIV/0!</v>
      </c>
      <c r="O9" s="2452" t="e">
        <f t="shared" si="5"/>
        <v>#DIV/0!</v>
      </c>
      <c r="P9" s="2449">
        <f>IF(A9='Data Entry - SOF'!B$2,'Data Entry - SOF'!I$64,0)</f>
        <v>0</v>
      </c>
      <c r="Q9" s="1687">
        <f t="shared" si="6"/>
        <v>2117615</v>
      </c>
      <c r="R9" s="2212" t="e">
        <f>IF('Report-M&amp;O2021'!C$18-'Report-SOF2021'!D$55&lt;=0,0,'Report-M&amp;O2021'!C$18-'Report-SOF2021'!D$55)</f>
        <v>#DIV/0!</v>
      </c>
      <c r="S9" s="2452" t="e">
        <f t="shared" si="7"/>
        <v>#DIV/0!</v>
      </c>
      <c r="T9" s="1708">
        <f>IF(A9='Data Entry - SOF'!B$2,'Data Entry - SOF'!K$64,0)</f>
        <v>0</v>
      </c>
      <c r="U9" s="1687">
        <f t="shared" si="8"/>
        <v>2117615</v>
      </c>
      <c r="V9" s="2212" t="e">
        <f>IF('Report-M&amp;O2122'!C$18-'Report-SOF2122'!D$55&lt;=0,0,'Report-M&amp;O2122'!C$18-'Report-SOF2122'!D$55)</f>
        <v>#DIV/0!</v>
      </c>
      <c r="W9" s="2452" t="e">
        <f t="shared" si="9"/>
        <v>#DIV/0!</v>
      </c>
      <c r="X9" s="1708">
        <f>IF(A9='Data Entry - SOF'!B$2,'Data Entry - SOF'!M$64,0)</f>
        <v>0</v>
      </c>
      <c r="Y9" s="1371" t="e">
        <f t="shared" si="10"/>
        <v>#DIV/0!</v>
      </c>
      <c r="Z9" s="2212" t="e">
        <f>IF('Report-M&amp;O2223'!C$18-'Report-SOF2223'!D$55&lt;=0,0,'Report-M&amp;O2223'!C$18-'Report-SOF2223'!D$55)</f>
        <v>#DIV/0!</v>
      </c>
      <c r="AA9" s="1708">
        <f>IF(A9='Data Entry - SOF'!B$2,'Data Entry - SOF'!O$64,0)</f>
        <v>0</v>
      </c>
    </row>
    <row r="10" spans="1:27" ht="15.75">
      <c r="A10" s="1076" t="s">
        <v>1255</v>
      </c>
      <c r="B10">
        <v>362135</v>
      </c>
      <c r="C10" s="2452" t="e">
        <f>#REF!+#REF!</f>
        <v>#REF!</v>
      </c>
      <c r="D10" s="2449">
        <f>IF(A10='Data Entry - SOF'!B$2,'Data Entry - SOF'!C$64,0)</f>
        <v>0</v>
      </c>
      <c r="E10" s="2450">
        <f t="shared" si="0"/>
        <v>362135</v>
      </c>
      <c r="F10" s="2212" t="e">
        <f>IF('Report-M&amp;O1718'!C$18-'Report-SOF1718'!D$55&lt;=0,0,'Report-M&amp;O1718'!C$18-'Report-SOF1718'!D$55)</f>
        <v>#DIV/0!</v>
      </c>
      <c r="G10" s="2452" t="e">
        <f t="shared" si="1"/>
        <v>#DIV/0!</v>
      </c>
      <c r="H10" s="2449">
        <f>IF(A10='Data Entry - SOF'!B$2,'Data Entry - SOF'!E$64,0)</f>
        <v>0</v>
      </c>
      <c r="I10" s="1687">
        <f t="shared" si="2"/>
        <v>362135</v>
      </c>
      <c r="J10" s="2212" t="e">
        <f>IF('Report-M&amp;O1819'!C$18-'Report-SOF1819'!D$55&lt;=0,0,'Report-M&amp;O1819'!C$18-'Report-SOF1819'!D$55)</f>
        <v>#DIV/0!</v>
      </c>
      <c r="K10" s="2452" t="e">
        <f t="shared" si="3"/>
        <v>#DIV/0!</v>
      </c>
      <c r="L10" s="2449">
        <f>IF(A10='Data Entry - SOF'!B$2,'Data Entry - SOF'!G$64,0)</f>
        <v>0</v>
      </c>
      <c r="M10" s="1371">
        <f t="shared" si="4"/>
        <v>362135</v>
      </c>
      <c r="N10" s="2212" t="e">
        <f>IF('Report-M&amp;O1920'!C$18-'Report-SOF1920'!D$55&lt;=0,0,'Report-M&amp;O1920'!C$18-'Report-SOF1920'!D$55)</f>
        <v>#DIV/0!</v>
      </c>
      <c r="O10" s="2452" t="e">
        <f t="shared" si="5"/>
        <v>#DIV/0!</v>
      </c>
      <c r="P10" s="2449">
        <f>IF(A10='Data Entry - SOF'!B$2,'Data Entry - SOF'!I$64,0)</f>
        <v>0</v>
      </c>
      <c r="Q10" s="1687">
        <f t="shared" si="6"/>
        <v>362135</v>
      </c>
      <c r="R10" s="2212" t="e">
        <f>IF('Report-M&amp;O2021'!C$18-'Report-SOF2021'!D$55&lt;=0,0,'Report-M&amp;O2021'!C$18-'Report-SOF2021'!D$55)</f>
        <v>#DIV/0!</v>
      </c>
      <c r="S10" s="2452" t="e">
        <f t="shared" si="7"/>
        <v>#DIV/0!</v>
      </c>
      <c r="T10" s="1708">
        <f>IF(A10='Data Entry - SOF'!B$2,'Data Entry - SOF'!K$64,0)</f>
        <v>0</v>
      </c>
      <c r="U10" s="1687">
        <f t="shared" si="8"/>
        <v>362135</v>
      </c>
      <c r="V10" s="2212" t="e">
        <f>IF('Report-M&amp;O2122'!C$18-'Report-SOF2122'!D$55&lt;=0,0,'Report-M&amp;O2122'!C$18-'Report-SOF2122'!D$55)</f>
        <v>#DIV/0!</v>
      </c>
      <c r="W10" s="2452" t="e">
        <f t="shared" si="9"/>
        <v>#DIV/0!</v>
      </c>
      <c r="X10" s="1708">
        <f>IF(A10='Data Entry - SOF'!B$2,'Data Entry - SOF'!M$64,0)</f>
        <v>0</v>
      </c>
      <c r="Y10" s="1371" t="e">
        <f t="shared" si="10"/>
        <v>#DIV/0!</v>
      </c>
      <c r="Z10" s="2212" t="e">
        <f>IF('Report-M&amp;O2223'!C$18-'Report-SOF2223'!D$55&lt;=0,0,'Report-M&amp;O2223'!C$18-'Report-SOF2223'!D$55)</f>
        <v>#DIV/0!</v>
      </c>
      <c r="AA10" s="1708">
        <f>IF(A10='Data Entry - SOF'!B$2,'Data Entry - SOF'!O$64,0)</f>
        <v>0</v>
      </c>
    </row>
    <row r="11" spans="1:27" ht="15.75">
      <c r="A11" s="1076" t="s">
        <v>2102</v>
      </c>
      <c r="B11">
        <v>49018271</v>
      </c>
      <c r="C11" s="2452" t="e">
        <f>#REF!+#REF!</f>
        <v>#REF!</v>
      </c>
      <c r="D11" s="2449">
        <f>IF(A11='Data Entry - SOF'!B$2,'Data Entry - SOF'!C$64,0)</f>
        <v>0</v>
      </c>
      <c r="E11" s="2450">
        <f t="shared" si="0"/>
        <v>49018271</v>
      </c>
      <c r="F11" s="2212" t="e">
        <f>IF('Report-M&amp;O1718'!C$18-'Report-SOF1718'!D$55&lt;=0,0,'Report-M&amp;O1718'!C$18-'Report-SOF1718'!D$55)</f>
        <v>#DIV/0!</v>
      </c>
      <c r="G11" s="2452" t="e">
        <f t="shared" si="1"/>
        <v>#DIV/0!</v>
      </c>
      <c r="H11" s="2449">
        <f>IF(A11='Data Entry - SOF'!B$2,'Data Entry - SOF'!E$64,0)</f>
        <v>0</v>
      </c>
      <c r="I11" s="1687">
        <f t="shared" si="2"/>
        <v>49018271</v>
      </c>
      <c r="J11" s="2212" t="e">
        <f>IF('Report-M&amp;O1819'!C$18-'Report-SOF1819'!D$55&lt;=0,0,'Report-M&amp;O1819'!C$18-'Report-SOF1819'!D$55)</f>
        <v>#DIV/0!</v>
      </c>
      <c r="K11" s="2452" t="e">
        <f t="shared" si="3"/>
        <v>#DIV/0!</v>
      </c>
      <c r="L11" s="2449">
        <f>IF(A11='Data Entry - SOF'!B$2,'Data Entry - SOF'!G$64,0)</f>
        <v>0</v>
      </c>
      <c r="M11" s="1371">
        <f t="shared" si="4"/>
        <v>49018271</v>
      </c>
      <c r="N11" s="2212" t="e">
        <f>IF('Report-M&amp;O1920'!C$18-'Report-SOF1920'!D$55&lt;=0,0,'Report-M&amp;O1920'!C$18-'Report-SOF1920'!D$55)</f>
        <v>#DIV/0!</v>
      </c>
      <c r="O11" s="2452" t="e">
        <f t="shared" si="5"/>
        <v>#DIV/0!</v>
      </c>
      <c r="P11" s="2449">
        <f>IF(A11='Data Entry - SOF'!B$2,'Data Entry - SOF'!I$64,0)</f>
        <v>0</v>
      </c>
      <c r="Q11" s="1687">
        <f t="shared" si="6"/>
        <v>49018271</v>
      </c>
      <c r="R11" s="2212" t="e">
        <f>IF('Report-M&amp;O2021'!C$18-'Report-SOF2021'!D$55&lt;=0,0,'Report-M&amp;O2021'!C$18-'Report-SOF2021'!D$55)</f>
        <v>#DIV/0!</v>
      </c>
      <c r="S11" s="2452" t="e">
        <f t="shared" si="7"/>
        <v>#DIV/0!</v>
      </c>
      <c r="T11" s="1708">
        <f>IF(A11='Data Entry - SOF'!B$2,'Data Entry - SOF'!K$64,0)</f>
        <v>0</v>
      </c>
      <c r="U11" s="1687">
        <f t="shared" si="8"/>
        <v>49018271</v>
      </c>
      <c r="V11" s="2212" t="e">
        <f>IF('Report-M&amp;O2122'!C$18-'Report-SOF2122'!D$55&lt;=0,0,'Report-M&amp;O2122'!C$18-'Report-SOF2122'!D$55)</f>
        <v>#DIV/0!</v>
      </c>
      <c r="W11" s="2452" t="e">
        <f t="shared" si="9"/>
        <v>#DIV/0!</v>
      </c>
      <c r="X11" s="1708">
        <f>IF(A11='Data Entry - SOF'!B$2,'Data Entry - SOF'!M$64,0)</f>
        <v>0</v>
      </c>
      <c r="Y11" s="1371" t="e">
        <f t="shared" si="10"/>
        <v>#DIV/0!</v>
      </c>
      <c r="Z11" s="2212" t="e">
        <f>IF('Report-M&amp;O2223'!C$18-'Report-SOF2223'!D$55&lt;=0,0,'Report-M&amp;O2223'!C$18-'Report-SOF2223'!D$55)</f>
        <v>#DIV/0!</v>
      </c>
      <c r="AA11" s="1708">
        <f>IF(A11='Data Entry - SOF'!B$2,'Data Entry - SOF'!O$64,0)</f>
        <v>0</v>
      </c>
    </row>
    <row r="12" spans="1:27" ht="15.75">
      <c r="A12" s="1076" t="s">
        <v>774</v>
      </c>
      <c r="B12">
        <v>53021</v>
      </c>
      <c r="C12" s="2452" t="e">
        <f>#REF!+#REF!</f>
        <v>#REF!</v>
      </c>
      <c r="D12" s="2449">
        <f>IF(A12='Data Entry - SOF'!B$2,'Data Entry - SOF'!C$64,0)</f>
        <v>0</v>
      </c>
      <c r="E12" s="2450">
        <f t="shared" si="0"/>
        <v>53021</v>
      </c>
      <c r="F12" s="2212" t="e">
        <f>IF('Report-M&amp;O1718'!C$18-'Report-SOF1718'!D$55&lt;=0,0,'Report-M&amp;O1718'!C$18-'Report-SOF1718'!D$55)</f>
        <v>#DIV/0!</v>
      </c>
      <c r="G12" s="2452" t="e">
        <f t="shared" si="1"/>
        <v>#DIV/0!</v>
      </c>
      <c r="H12" s="2449">
        <f>IF(A12='Data Entry - SOF'!B$2,'Data Entry - SOF'!E$64,0)</f>
        <v>0</v>
      </c>
      <c r="I12" s="1687">
        <f t="shared" si="2"/>
        <v>53021</v>
      </c>
      <c r="J12" s="2212" t="e">
        <f>IF('Report-M&amp;O1819'!C$18-'Report-SOF1819'!D$55&lt;=0,0,'Report-M&amp;O1819'!C$18-'Report-SOF1819'!D$55)</f>
        <v>#DIV/0!</v>
      </c>
      <c r="K12" s="2452" t="e">
        <f t="shared" si="3"/>
        <v>#DIV/0!</v>
      </c>
      <c r="L12" s="2449">
        <f>IF(A12='Data Entry - SOF'!B$2,'Data Entry - SOF'!G$64,0)</f>
        <v>0</v>
      </c>
      <c r="M12" s="1371">
        <f t="shared" si="4"/>
        <v>53021</v>
      </c>
      <c r="N12" s="2212" t="e">
        <f>IF('Report-M&amp;O1920'!C$18-'Report-SOF1920'!D$55&lt;=0,0,'Report-M&amp;O1920'!C$18-'Report-SOF1920'!D$55)</f>
        <v>#DIV/0!</v>
      </c>
      <c r="O12" s="2452" t="e">
        <f t="shared" si="5"/>
        <v>#DIV/0!</v>
      </c>
      <c r="P12" s="2449">
        <f>IF(A12='Data Entry - SOF'!B$2,'Data Entry - SOF'!I$64,0)</f>
        <v>0</v>
      </c>
      <c r="Q12" s="1687">
        <f t="shared" si="6"/>
        <v>53021</v>
      </c>
      <c r="R12" s="2212" t="e">
        <f>IF('Report-M&amp;O2021'!C$18-'Report-SOF2021'!D$55&lt;=0,0,'Report-M&amp;O2021'!C$18-'Report-SOF2021'!D$55)</f>
        <v>#DIV/0!</v>
      </c>
      <c r="S12" s="2452" t="e">
        <f t="shared" si="7"/>
        <v>#DIV/0!</v>
      </c>
      <c r="T12" s="1708">
        <f>IF(A12='Data Entry - SOF'!B$2,'Data Entry - SOF'!K$64,0)</f>
        <v>0</v>
      </c>
      <c r="U12" s="1687">
        <f t="shared" si="8"/>
        <v>53021</v>
      </c>
      <c r="V12" s="2212" t="e">
        <f>IF('Report-M&amp;O2122'!C$18-'Report-SOF2122'!D$55&lt;=0,0,'Report-M&amp;O2122'!C$18-'Report-SOF2122'!D$55)</f>
        <v>#DIV/0!</v>
      </c>
      <c r="W12" s="2452" t="e">
        <f t="shared" si="9"/>
        <v>#DIV/0!</v>
      </c>
      <c r="X12" s="1708">
        <f>IF(A12='Data Entry - SOF'!B$2,'Data Entry - SOF'!M$64,0)</f>
        <v>0</v>
      </c>
      <c r="Y12" s="1371" t="e">
        <f t="shared" si="10"/>
        <v>#DIV/0!</v>
      </c>
      <c r="Z12" s="2212" t="e">
        <f>IF('Report-M&amp;O2223'!C$18-'Report-SOF2223'!D$55&lt;=0,0,'Report-M&amp;O2223'!C$18-'Report-SOF2223'!D$55)</f>
        <v>#DIV/0!</v>
      </c>
      <c r="AA12" s="1708">
        <f>IF(A12='Data Entry - SOF'!B$2,'Data Entry - SOF'!O$64,0)</f>
        <v>0</v>
      </c>
    </row>
    <row r="13" spans="1:27" ht="15.75">
      <c r="A13" s="1076" t="s">
        <v>1637</v>
      </c>
      <c r="B13">
        <v>9005259</v>
      </c>
      <c r="C13" s="2452" t="e">
        <f>#REF!+#REF!</f>
        <v>#REF!</v>
      </c>
      <c r="D13" s="2449">
        <f>IF(A13='Data Entry - SOF'!B$2,'Data Entry - SOF'!C$64,0)</f>
        <v>0</v>
      </c>
      <c r="E13" s="2450">
        <f t="shared" si="0"/>
        <v>9005259</v>
      </c>
      <c r="F13" s="2212" t="e">
        <f>IF('Report-M&amp;O1718'!C$18-'Report-SOF1718'!D$55&lt;=0,0,'Report-M&amp;O1718'!C$18-'Report-SOF1718'!D$55)</f>
        <v>#DIV/0!</v>
      </c>
      <c r="G13" s="2452" t="e">
        <f t="shared" si="1"/>
        <v>#DIV/0!</v>
      </c>
      <c r="H13" s="2449">
        <f>IF(A13='Data Entry - SOF'!B$2,'Data Entry - SOF'!E$64,0)</f>
        <v>0</v>
      </c>
      <c r="I13" s="1687">
        <f t="shared" si="2"/>
        <v>9005259</v>
      </c>
      <c r="J13" s="2212" t="e">
        <f>IF('Report-M&amp;O1819'!C$18-'Report-SOF1819'!D$55&lt;=0,0,'Report-M&amp;O1819'!C$18-'Report-SOF1819'!D$55)</f>
        <v>#DIV/0!</v>
      </c>
      <c r="K13" s="2452" t="e">
        <f t="shared" si="3"/>
        <v>#DIV/0!</v>
      </c>
      <c r="L13" s="2449">
        <f>IF(A13='Data Entry - SOF'!B$2,'Data Entry - SOF'!G$64,0)</f>
        <v>0</v>
      </c>
      <c r="M13" s="1371">
        <f t="shared" si="4"/>
        <v>9005259</v>
      </c>
      <c r="N13" s="2212" t="e">
        <f>IF('Report-M&amp;O1920'!C$18-'Report-SOF1920'!D$55&lt;=0,0,'Report-M&amp;O1920'!C$18-'Report-SOF1920'!D$55)</f>
        <v>#DIV/0!</v>
      </c>
      <c r="O13" s="2452" t="e">
        <f t="shared" si="5"/>
        <v>#DIV/0!</v>
      </c>
      <c r="P13" s="2449">
        <f>IF(A13='Data Entry - SOF'!B$2,'Data Entry - SOF'!I$64,0)</f>
        <v>0</v>
      </c>
      <c r="Q13" s="1687">
        <f t="shared" si="6"/>
        <v>9005259</v>
      </c>
      <c r="R13" s="2212" t="e">
        <f>IF('Report-M&amp;O2021'!C$18-'Report-SOF2021'!D$55&lt;=0,0,'Report-M&amp;O2021'!C$18-'Report-SOF2021'!D$55)</f>
        <v>#DIV/0!</v>
      </c>
      <c r="S13" s="2452" t="e">
        <f t="shared" si="7"/>
        <v>#DIV/0!</v>
      </c>
      <c r="T13" s="1708">
        <f>IF(A13='Data Entry - SOF'!B$2,'Data Entry - SOF'!K$64,0)</f>
        <v>0</v>
      </c>
      <c r="U13" s="1687">
        <f t="shared" si="8"/>
        <v>9005259</v>
      </c>
      <c r="V13" s="2212" t="e">
        <f>IF('Report-M&amp;O2122'!C$18-'Report-SOF2122'!D$55&lt;=0,0,'Report-M&amp;O2122'!C$18-'Report-SOF2122'!D$55)</f>
        <v>#DIV/0!</v>
      </c>
      <c r="W13" s="2452" t="e">
        <f t="shared" si="9"/>
        <v>#DIV/0!</v>
      </c>
      <c r="X13" s="1708">
        <f>IF(A13='Data Entry - SOF'!B$2,'Data Entry - SOF'!M$64,0)</f>
        <v>0</v>
      </c>
      <c r="Y13" s="1371" t="e">
        <f t="shared" si="10"/>
        <v>#DIV/0!</v>
      </c>
      <c r="Z13" s="2212" t="e">
        <f>IF('Report-M&amp;O2223'!C$18-'Report-SOF2223'!D$55&lt;=0,0,'Report-M&amp;O2223'!C$18-'Report-SOF2223'!D$55)</f>
        <v>#DIV/0!</v>
      </c>
      <c r="AA13" s="1708">
        <f>IF(A13='Data Entry - SOF'!B$2,'Data Entry - SOF'!O$64,0)</f>
        <v>0</v>
      </c>
    </row>
    <row r="14" spans="1:27" ht="15.75">
      <c r="A14" s="1076" t="s">
        <v>1279</v>
      </c>
      <c r="B14">
        <v>692243</v>
      </c>
      <c r="C14" s="2452" t="e">
        <f>#REF!+#REF!</f>
        <v>#REF!</v>
      </c>
      <c r="D14" s="2449">
        <f>IF(A14='Data Entry - SOF'!B$2,'Data Entry - SOF'!C$64,0)</f>
        <v>0</v>
      </c>
      <c r="E14" s="2450">
        <f t="shared" si="0"/>
        <v>692243</v>
      </c>
      <c r="F14" s="2212" t="e">
        <f>IF('Report-M&amp;O1718'!C$18-'Report-SOF1718'!D$55&lt;=0,0,'Report-M&amp;O1718'!C$18-'Report-SOF1718'!D$55)</f>
        <v>#DIV/0!</v>
      </c>
      <c r="G14" s="2452" t="e">
        <f t="shared" si="1"/>
        <v>#DIV/0!</v>
      </c>
      <c r="H14" s="2449">
        <f>IF(A14='Data Entry - SOF'!B$2,'Data Entry - SOF'!E$64,0)</f>
        <v>0</v>
      </c>
      <c r="I14" s="1687">
        <f t="shared" si="2"/>
        <v>692243</v>
      </c>
      <c r="J14" s="2212" t="e">
        <f>IF('Report-M&amp;O1819'!C$18-'Report-SOF1819'!D$55&lt;=0,0,'Report-M&amp;O1819'!C$18-'Report-SOF1819'!D$55)</f>
        <v>#DIV/0!</v>
      </c>
      <c r="K14" s="2452" t="e">
        <f t="shared" si="3"/>
        <v>#DIV/0!</v>
      </c>
      <c r="L14" s="2449">
        <f>IF(A14='Data Entry - SOF'!B$2,'Data Entry - SOF'!G$64,0)</f>
        <v>0</v>
      </c>
      <c r="M14" s="1371">
        <f t="shared" si="4"/>
        <v>692243</v>
      </c>
      <c r="N14" s="2212" t="e">
        <f>IF('Report-M&amp;O1920'!C$18-'Report-SOF1920'!D$55&lt;=0,0,'Report-M&amp;O1920'!C$18-'Report-SOF1920'!D$55)</f>
        <v>#DIV/0!</v>
      </c>
      <c r="O14" s="2452" t="e">
        <f t="shared" si="5"/>
        <v>#DIV/0!</v>
      </c>
      <c r="P14" s="2449">
        <f>IF(A14='Data Entry - SOF'!B$2,'Data Entry - SOF'!I$64,0)</f>
        <v>0</v>
      </c>
      <c r="Q14" s="1687">
        <f t="shared" si="6"/>
        <v>692243</v>
      </c>
      <c r="R14" s="2212" t="e">
        <f>IF('Report-M&amp;O2021'!C$18-'Report-SOF2021'!D$55&lt;=0,0,'Report-M&amp;O2021'!C$18-'Report-SOF2021'!D$55)</f>
        <v>#DIV/0!</v>
      </c>
      <c r="S14" s="2452" t="e">
        <f t="shared" si="7"/>
        <v>#DIV/0!</v>
      </c>
      <c r="T14" s="1708">
        <f>IF(A14='Data Entry - SOF'!B$2,'Data Entry - SOF'!K$64,0)</f>
        <v>0</v>
      </c>
      <c r="U14" s="1687">
        <f t="shared" si="8"/>
        <v>692243</v>
      </c>
      <c r="V14" s="2212" t="e">
        <f>IF('Report-M&amp;O2122'!C$18-'Report-SOF2122'!D$55&lt;=0,0,'Report-M&amp;O2122'!C$18-'Report-SOF2122'!D$55)</f>
        <v>#DIV/0!</v>
      </c>
      <c r="W14" s="2452" t="e">
        <f t="shared" si="9"/>
        <v>#DIV/0!</v>
      </c>
      <c r="X14" s="1708">
        <f>IF(A14='Data Entry - SOF'!B$2,'Data Entry - SOF'!M$64,0)</f>
        <v>0</v>
      </c>
      <c r="Y14" s="1371" t="e">
        <f t="shared" si="10"/>
        <v>#DIV/0!</v>
      </c>
      <c r="Z14" s="2212" t="e">
        <f>IF('Report-M&amp;O2223'!C$18-'Report-SOF2223'!D$55&lt;=0,0,'Report-M&amp;O2223'!C$18-'Report-SOF2223'!D$55)</f>
        <v>#DIV/0!</v>
      </c>
      <c r="AA14" s="1708">
        <f>IF(A14='Data Entry - SOF'!B$2,'Data Entry - SOF'!O$64,0)</f>
        <v>0</v>
      </c>
    </row>
    <row r="15" spans="1:27" ht="15.75">
      <c r="A15" s="1076" t="s">
        <v>369</v>
      </c>
      <c r="B15">
        <v>0</v>
      </c>
      <c r="C15" s="2452" t="e">
        <f>#REF!+#REF!</f>
        <v>#REF!</v>
      </c>
      <c r="D15" s="2449">
        <f>IF(A15='Data Entry - SOF'!B$2,'Data Entry - SOF'!C$64,0)</f>
        <v>0</v>
      </c>
      <c r="E15" s="2450">
        <f t="shared" si="0"/>
        <v>0</v>
      </c>
      <c r="F15" s="2212" t="e">
        <f>IF('Report-M&amp;O1718'!C$18-'Report-SOF1718'!D$55&lt;=0,0,'Report-M&amp;O1718'!C$18-'Report-SOF1718'!D$55)</f>
        <v>#DIV/0!</v>
      </c>
      <c r="G15" s="2452" t="e">
        <f t="shared" si="1"/>
        <v>#DIV/0!</v>
      </c>
      <c r="H15" s="2449">
        <f>IF(A15='Data Entry - SOF'!B$2,'Data Entry - SOF'!E$64,0)</f>
        <v>0</v>
      </c>
      <c r="I15" s="1687">
        <f t="shared" si="2"/>
        <v>0</v>
      </c>
      <c r="J15" s="2212" t="e">
        <f>IF('Report-M&amp;O1819'!C$18-'Report-SOF1819'!D$55&lt;=0,0,'Report-M&amp;O1819'!C$18-'Report-SOF1819'!D$55)</f>
        <v>#DIV/0!</v>
      </c>
      <c r="K15" s="2452" t="e">
        <f t="shared" si="3"/>
        <v>#DIV/0!</v>
      </c>
      <c r="L15" s="2449">
        <f>IF(A15='Data Entry - SOF'!B$2,'Data Entry - SOF'!G$64,0)</f>
        <v>0</v>
      </c>
      <c r="M15" s="1371">
        <f t="shared" si="4"/>
        <v>0</v>
      </c>
      <c r="N15" s="2212" t="e">
        <f>IF('Report-M&amp;O1920'!C$18-'Report-SOF1920'!D$55&lt;=0,0,'Report-M&amp;O1920'!C$18-'Report-SOF1920'!D$55)</f>
        <v>#DIV/0!</v>
      </c>
      <c r="O15" s="2452" t="e">
        <f t="shared" si="5"/>
        <v>#DIV/0!</v>
      </c>
      <c r="P15" s="2449">
        <f>IF(A15='Data Entry - SOF'!B$2,'Data Entry - SOF'!I$64,0)</f>
        <v>0</v>
      </c>
      <c r="Q15" s="1687">
        <f t="shared" si="6"/>
        <v>0</v>
      </c>
      <c r="R15" s="2212" t="e">
        <f>IF('Report-M&amp;O2021'!C$18-'Report-SOF2021'!D$55&lt;=0,0,'Report-M&amp;O2021'!C$18-'Report-SOF2021'!D$55)</f>
        <v>#DIV/0!</v>
      </c>
      <c r="S15" s="2452" t="e">
        <f t="shared" si="7"/>
        <v>#DIV/0!</v>
      </c>
      <c r="T15" s="1708">
        <f>IF(A15='Data Entry - SOF'!B$2,'Data Entry - SOF'!K$64,0)</f>
        <v>0</v>
      </c>
      <c r="U15" s="1687">
        <f t="shared" si="8"/>
        <v>0</v>
      </c>
      <c r="V15" s="2212" t="e">
        <f>IF('Report-M&amp;O2122'!C$18-'Report-SOF2122'!D$55&lt;=0,0,'Report-M&amp;O2122'!C$18-'Report-SOF2122'!D$55)</f>
        <v>#DIV/0!</v>
      </c>
      <c r="W15" s="2452" t="e">
        <f t="shared" si="9"/>
        <v>#DIV/0!</v>
      </c>
      <c r="X15" s="1708">
        <f>IF(A15='Data Entry - SOF'!B$2,'Data Entry - SOF'!M$64,0)</f>
        <v>0</v>
      </c>
      <c r="Y15" s="1371" t="e">
        <f t="shared" si="10"/>
        <v>#DIV/0!</v>
      </c>
      <c r="Z15" s="2212" t="e">
        <f>IF('Report-M&amp;O2223'!C$18-'Report-SOF2223'!D$55&lt;=0,0,'Report-M&amp;O2223'!C$18-'Report-SOF2223'!D$55)</f>
        <v>#DIV/0!</v>
      </c>
      <c r="AA15" s="1708">
        <f>IF(A15='Data Entry - SOF'!B$2,'Data Entry - SOF'!O$64,0)</f>
        <v>0</v>
      </c>
    </row>
    <row r="16" spans="1:27" ht="15.75">
      <c r="A16" s="1076" t="s">
        <v>370</v>
      </c>
      <c r="B16">
        <v>692165</v>
      </c>
      <c r="C16" s="2452" t="e">
        <f>#REF!+#REF!</f>
        <v>#REF!</v>
      </c>
      <c r="D16" s="2449">
        <f>IF(A16='Data Entry - SOF'!B$2,'Data Entry - SOF'!C$64,0)</f>
        <v>0</v>
      </c>
      <c r="E16" s="2450">
        <f t="shared" si="0"/>
        <v>692165</v>
      </c>
      <c r="F16" s="2212" t="e">
        <f>IF('Report-M&amp;O1718'!C$18-'Report-SOF1718'!D$55&lt;=0,0,'Report-M&amp;O1718'!C$18-'Report-SOF1718'!D$55)</f>
        <v>#DIV/0!</v>
      </c>
      <c r="G16" s="2452" t="e">
        <f t="shared" si="1"/>
        <v>#DIV/0!</v>
      </c>
      <c r="H16" s="2449">
        <f>IF(A16='Data Entry - SOF'!B$2,'Data Entry - SOF'!E$64,0)</f>
        <v>0</v>
      </c>
      <c r="I16" s="1687">
        <f t="shared" si="2"/>
        <v>692165</v>
      </c>
      <c r="J16" s="2212" t="e">
        <f>IF('Report-M&amp;O1819'!C$18-'Report-SOF1819'!D$55&lt;=0,0,'Report-M&amp;O1819'!C$18-'Report-SOF1819'!D$55)</f>
        <v>#DIV/0!</v>
      </c>
      <c r="K16" s="2452" t="e">
        <f t="shared" si="3"/>
        <v>#DIV/0!</v>
      </c>
      <c r="L16" s="2449">
        <f>IF(A16='Data Entry - SOF'!B$2,'Data Entry - SOF'!G$64,0)</f>
        <v>0</v>
      </c>
      <c r="M16" s="1371">
        <f t="shared" si="4"/>
        <v>692165</v>
      </c>
      <c r="N16" s="2212" t="e">
        <f>IF('Report-M&amp;O1920'!C$18-'Report-SOF1920'!D$55&lt;=0,0,'Report-M&amp;O1920'!C$18-'Report-SOF1920'!D$55)</f>
        <v>#DIV/0!</v>
      </c>
      <c r="O16" s="2452" t="e">
        <f t="shared" si="5"/>
        <v>#DIV/0!</v>
      </c>
      <c r="P16" s="2449">
        <f>IF(A16='Data Entry - SOF'!B$2,'Data Entry - SOF'!I$64,0)</f>
        <v>0</v>
      </c>
      <c r="Q16" s="1687">
        <f t="shared" si="6"/>
        <v>692165</v>
      </c>
      <c r="R16" s="2212" t="e">
        <f>IF('Report-M&amp;O2021'!C$18-'Report-SOF2021'!D$55&lt;=0,0,'Report-M&amp;O2021'!C$18-'Report-SOF2021'!D$55)</f>
        <v>#DIV/0!</v>
      </c>
      <c r="S16" s="2452" t="e">
        <f t="shared" si="7"/>
        <v>#DIV/0!</v>
      </c>
      <c r="T16" s="1708">
        <f>IF(A16='Data Entry - SOF'!B$2,'Data Entry - SOF'!K$64,0)</f>
        <v>0</v>
      </c>
      <c r="U16" s="1687">
        <f t="shared" si="8"/>
        <v>692165</v>
      </c>
      <c r="V16" s="2212" t="e">
        <f>IF('Report-M&amp;O2122'!C$18-'Report-SOF2122'!D$55&lt;=0,0,'Report-M&amp;O2122'!C$18-'Report-SOF2122'!D$55)</f>
        <v>#DIV/0!</v>
      </c>
      <c r="W16" s="2452" t="e">
        <f t="shared" si="9"/>
        <v>#DIV/0!</v>
      </c>
      <c r="X16" s="1708">
        <f>IF(A16='Data Entry - SOF'!B$2,'Data Entry - SOF'!M$64,0)</f>
        <v>0</v>
      </c>
      <c r="Y16" s="1371" t="e">
        <f t="shared" si="10"/>
        <v>#DIV/0!</v>
      </c>
      <c r="Z16" s="2212" t="e">
        <f>IF('Report-M&amp;O2223'!C$18-'Report-SOF2223'!D$55&lt;=0,0,'Report-M&amp;O2223'!C$18-'Report-SOF2223'!D$55)</f>
        <v>#DIV/0!</v>
      </c>
      <c r="AA16" s="1708">
        <f>IF(A16='Data Entry - SOF'!B$2,'Data Entry - SOF'!O$64,0)</f>
        <v>0</v>
      </c>
    </row>
    <row r="17" spans="1:27" ht="15.75">
      <c r="A17" s="1076" t="s">
        <v>371</v>
      </c>
      <c r="B17">
        <v>1083160</v>
      </c>
      <c r="C17" s="2452" t="e">
        <f>#REF!+#REF!</f>
        <v>#REF!</v>
      </c>
      <c r="D17" s="2449">
        <f>IF(A17='Data Entry - SOF'!B$2,'Data Entry - SOF'!C$64,0)</f>
        <v>0</v>
      </c>
      <c r="E17" s="2450">
        <f t="shared" si="0"/>
        <v>1083160</v>
      </c>
      <c r="F17" s="2212" t="e">
        <f>IF('Report-M&amp;O1718'!C$18-'Report-SOF1718'!D$55&lt;=0,0,'Report-M&amp;O1718'!C$18-'Report-SOF1718'!D$55)</f>
        <v>#DIV/0!</v>
      </c>
      <c r="G17" s="2452" t="e">
        <f t="shared" si="1"/>
        <v>#DIV/0!</v>
      </c>
      <c r="H17" s="2449">
        <f>IF(A17='Data Entry - SOF'!B$2,'Data Entry - SOF'!E$64,0)</f>
        <v>0</v>
      </c>
      <c r="I17" s="1687">
        <f t="shared" si="2"/>
        <v>1083160</v>
      </c>
      <c r="J17" s="2212" t="e">
        <f>IF('Report-M&amp;O1819'!C$18-'Report-SOF1819'!D$55&lt;=0,0,'Report-M&amp;O1819'!C$18-'Report-SOF1819'!D$55)</f>
        <v>#DIV/0!</v>
      </c>
      <c r="K17" s="2452" t="e">
        <f t="shared" si="3"/>
        <v>#DIV/0!</v>
      </c>
      <c r="L17" s="2449">
        <f>IF(A17='Data Entry - SOF'!B$2,'Data Entry - SOF'!G$64,0)</f>
        <v>0</v>
      </c>
      <c r="M17" s="1371">
        <f t="shared" si="4"/>
        <v>1083160</v>
      </c>
      <c r="N17" s="2212" t="e">
        <f>IF('Report-M&amp;O1920'!C$18-'Report-SOF1920'!D$55&lt;=0,0,'Report-M&amp;O1920'!C$18-'Report-SOF1920'!D$55)</f>
        <v>#DIV/0!</v>
      </c>
      <c r="O17" s="2452" t="e">
        <f t="shared" si="5"/>
        <v>#DIV/0!</v>
      </c>
      <c r="P17" s="2449">
        <f>IF(A17='Data Entry - SOF'!B$2,'Data Entry - SOF'!I$64,0)</f>
        <v>0</v>
      </c>
      <c r="Q17" s="1687">
        <f t="shared" si="6"/>
        <v>1083160</v>
      </c>
      <c r="R17" s="2212" t="e">
        <f>IF('Report-M&amp;O2021'!C$18-'Report-SOF2021'!D$55&lt;=0,0,'Report-M&amp;O2021'!C$18-'Report-SOF2021'!D$55)</f>
        <v>#DIV/0!</v>
      </c>
      <c r="S17" s="2452" t="e">
        <f t="shared" si="7"/>
        <v>#DIV/0!</v>
      </c>
      <c r="T17" s="1708">
        <f>IF(A17='Data Entry - SOF'!B$2,'Data Entry - SOF'!K$64,0)</f>
        <v>0</v>
      </c>
      <c r="U17" s="1687">
        <f t="shared" si="8"/>
        <v>1083160</v>
      </c>
      <c r="V17" s="2212" t="e">
        <f>IF('Report-M&amp;O2122'!C$18-'Report-SOF2122'!D$55&lt;=0,0,'Report-M&amp;O2122'!C$18-'Report-SOF2122'!D$55)</f>
        <v>#DIV/0!</v>
      </c>
      <c r="W17" s="2452" t="e">
        <f t="shared" si="9"/>
        <v>#DIV/0!</v>
      </c>
      <c r="X17" s="1708">
        <f>IF(A17='Data Entry - SOF'!B$2,'Data Entry - SOF'!M$64,0)</f>
        <v>0</v>
      </c>
      <c r="Y17" s="1371" t="e">
        <f t="shared" si="10"/>
        <v>#DIV/0!</v>
      </c>
      <c r="Z17" s="2212" t="e">
        <f>IF('Report-M&amp;O2223'!C$18-'Report-SOF2223'!D$55&lt;=0,0,'Report-M&amp;O2223'!C$18-'Report-SOF2223'!D$55)</f>
        <v>#DIV/0!</v>
      </c>
      <c r="AA17" s="1708">
        <f>IF(A17='Data Entry - SOF'!B$2,'Data Entry - SOF'!O$64,0)</f>
        <v>0</v>
      </c>
    </row>
    <row r="18" spans="1:27" ht="15.75">
      <c r="A18" s="1076" t="s">
        <v>2839</v>
      </c>
      <c r="B18">
        <v>22443668</v>
      </c>
      <c r="C18" s="2452" t="e">
        <f>#REF!+#REF!</f>
        <v>#REF!</v>
      </c>
      <c r="D18" s="2449">
        <f>IF(A18='Data Entry - SOF'!B$2,'Data Entry - SOF'!C$64,0)</f>
        <v>0</v>
      </c>
      <c r="E18" s="2450">
        <f t="shared" si="0"/>
        <v>22443668</v>
      </c>
      <c r="F18" s="2212" t="e">
        <f>IF('Report-M&amp;O1718'!C$18-'Report-SOF1718'!D$55&lt;=0,0,'Report-M&amp;O1718'!C$18-'Report-SOF1718'!D$55)</f>
        <v>#DIV/0!</v>
      </c>
      <c r="G18" s="2452" t="e">
        <f t="shared" si="1"/>
        <v>#DIV/0!</v>
      </c>
      <c r="H18" s="2449">
        <f>IF(A18='Data Entry - SOF'!B$2,'Data Entry - SOF'!E$64,0)</f>
        <v>0</v>
      </c>
      <c r="I18" s="1687">
        <f t="shared" si="2"/>
        <v>22443668</v>
      </c>
      <c r="J18" s="2212" t="e">
        <f>IF('Report-M&amp;O1819'!C$18-'Report-SOF1819'!D$55&lt;=0,0,'Report-M&amp;O1819'!C$18-'Report-SOF1819'!D$55)</f>
        <v>#DIV/0!</v>
      </c>
      <c r="K18" s="2452" t="e">
        <f t="shared" si="3"/>
        <v>#DIV/0!</v>
      </c>
      <c r="L18" s="2449">
        <f>IF(A18='Data Entry - SOF'!B$2,'Data Entry - SOF'!G$64,0)</f>
        <v>0</v>
      </c>
      <c r="M18" s="1371">
        <f t="shared" si="4"/>
        <v>22443668</v>
      </c>
      <c r="N18" s="2212" t="e">
        <f>IF('Report-M&amp;O1920'!C$18-'Report-SOF1920'!D$55&lt;=0,0,'Report-M&amp;O1920'!C$18-'Report-SOF1920'!D$55)</f>
        <v>#DIV/0!</v>
      </c>
      <c r="O18" s="2452" t="e">
        <f t="shared" si="5"/>
        <v>#DIV/0!</v>
      </c>
      <c r="P18" s="2449">
        <f>IF(A18='Data Entry - SOF'!B$2,'Data Entry - SOF'!I$64,0)</f>
        <v>0</v>
      </c>
      <c r="Q18" s="1687">
        <f t="shared" si="6"/>
        <v>22443668</v>
      </c>
      <c r="R18" s="2212" t="e">
        <f>IF('Report-M&amp;O2021'!C$18-'Report-SOF2021'!D$55&lt;=0,0,'Report-M&amp;O2021'!C$18-'Report-SOF2021'!D$55)</f>
        <v>#DIV/0!</v>
      </c>
      <c r="S18" s="2452" t="e">
        <f t="shared" si="7"/>
        <v>#DIV/0!</v>
      </c>
      <c r="T18" s="1708">
        <f>IF(A18='Data Entry - SOF'!B$2,'Data Entry - SOF'!K$64,0)</f>
        <v>0</v>
      </c>
      <c r="U18" s="1687">
        <f t="shared" si="8"/>
        <v>22443668</v>
      </c>
      <c r="V18" s="2212" t="e">
        <f>IF('Report-M&amp;O2122'!C$18-'Report-SOF2122'!D$55&lt;=0,0,'Report-M&amp;O2122'!C$18-'Report-SOF2122'!D$55)</f>
        <v>#DIV/0!</v>
      </c>
      <c r="W18" s="2452" t="e">
        <f t="shared" si="9"/>
        <v>#DIV/0!</v>
      </c>
      <c r="X18" s="1708">
        <f>IF(A18='Data Entry - SOF'!B$2,'Data Entry - SOF'!M$64,0)</f>
        <v>0</v>
      </c>
      <c r="Y18" s="1371" t="e">
        <f t="shared" si="10"/>
        <v>#DIV/0!</v>
      </c>
      <c r="Z18" s="2212" t="e">
        <f>IF('Report-M&amp;O2223'!C$18-'Report-SOF2223'!D$55&lt;=0,0,'Report-M&amp;O2223'!C$18-'Report-SOF2223'!D$55)</f>
        <v>#DIV/0!</v>
      </c>
      <c r="AA18" s="1708">
        <f>IF(A18='Data Entry - SOF'!B$2,'Data Entry - SOF'!O$64,0)</f>
        <v>0</v>
      </c>
    </row>
    <row r="19" spans="1:27" ht="15.75">
      <c r="A19" s="1076" t="s">
        <v>2840</v>
      </c>
      <c r="B19">
        <v>5581804</v>
      </c>
      <c r="C19" s="2452" t="e">
        <f>#REF!+#REF!</f>
        <v>#REF!</v>
      </c>
      <c r="D19" s="2449">
        <f>IF(A19='Data Entry - SOF'!B$2,'Data Entry - SOF'!C$64,0)</f>
        <v>0</v>
      </c>
      <c r="E19" s="2450">
        <f t="shared" si="0"/>
        <v>5581804</v>
      </c>
      <c r="F19" s="2212" t="e">
        <f>IF('Report-M&amp;O1718'!C$18-'Report-SOF1718'!D$55&lt;=0,0,'Report-M&amp;O1718'!C$18-'Report-SOF1718'!D$55)</f>
        <v>#DIV/0!</v>
      </c>
      <c r="G19" s="2452" t="e">
        <f t="shared" si="1"/>
        <v>#DIV/0!</v>
      </c>
      <c r="H19" s="2449">
        <f>IF(A19='Data Entry - SOF'!B$2,'Data Entry - SOF'!E$64,0)</f>
        <v>0</v>
      </c>
      <c r="I19" s="1687">
        <f t="shared" si="2"/>
        <v>5581804</v>
      </c>
      <c r="J19" s="2212" t="e">
        <f>IF('Report-M&amp;O1819'!C$18-'Report-SOF1819'!D$55&lt;=0,0,'Report-M&amp;O1819'!C$18-'Report-SOF1819'!D$55)</f>
        <v>#DIV/0!</v>
      </c>
      <c r="K19" s="2452" t="e">
        <f t="shared" si="3"/>
        <v>#DIV/0!</v>
      </c>
      <c r="L19" s="2449">
        <f>IF(A19='Data Entry - SOF'!B$2,'Data Entry - SOF'!G$64,0)</f>
        <v>0</v>
      </c>
      <c r="M19" s="1371">
        <f t="shared" si="4"/>
        <v>5581804</v>
      </c>
      <c r="N19" s="2212" t="e">
        <f>IF('Report-M&amp;O1920'!C$18-'Report-SOF1920'!D$55&lt;=0,0,'Report-M&amp;O1920'!C$18-'Report-SOF1920'!D$55)</f>
        <v>#DIV/0!</v>
      </c>
      <c r="O19" s="2452" t="e">
        <f t="shared" si="5"/>
        <v>#DIV/0!</v>
      </c>
      <c r="P19" s="2449">
        <f>IF(A19='Data Entry - SOF'!B$2,'Data Entry - SOF'!I$64,0)</f>
        <v>0</v>
      </c>
      <c r="Q19" s="1687">
        <f t="shared" si="6"/>
        <v>5581804</v>
      </c>
      <c r="R19" s="2212" t="e">
        <f>IF('Report-M&amp;O2021'!C$18-'Report-SOF2021'!D$55&lt;=0,0,'Report-M&amp;O2021'!C$18-'Report-SOF2021'!D$55)</f>
        <v>#DIV/0!</v>
      </c>
      <c r="S19" s="2452" t="e">
        <f t="shared" si="7"/>
        <v>#DIV/0!</v>
      </c>
      <c r="T19" s="1708">
        <f>IF(A19='Data Entry - SOF'!B$2,'Data Entry - SOF'!K$64,0)</f>
        <v>0</v>
      </c>
      <c r="U19" s="1687">
        <f t="shared" si="8"/>
        <v>5581804</v>
      </c>
      <c r="V19" s="2212" t="e">
        <f>IF('Report-M&amp;O2122'!C$18-'Report-SOF2122'!D$55&lt;=0,0,'Report-M&amp;O2122'!C$18-'Report-SOF2122'!D$55)</f>
        <v>#DIV/0!</v>
      </c>
      <c r="W19" s="2452" t="e">
        <f t="shared" si="9"/>
        <v>#DIV/0!</v>
      </c>
      <c r="X19" s="1708">
        <f>IF(A19='Data Entry - SOF'!B$2,'Data Entry - SOF'!M$64,0)</f>
        <v>0</v>
      </c>
      <c r="Y19" s="1371" t="e">
        <f t="shared" si="10"/>
        <v>#DIV/0!</v>
      </c>
      <c r="Z19" s="2212" t="e">
        <f>IF('Report-M&amp;O2223'!C$18-'Report-SOF2223'!D$55&lt;=0,0,'Report-M&amp;O2223'!C$18-'Report-SOF2223'!D$55)</f>
        <v>#DIV/0!</v>
      </c>
      <c r="AA19" s="1708">
        <f>IF(A19='Data Entry - SOF'!B$2,'Data Entry - SOF'!O$64,0)</f>
        <v>0</v>
      </c>
    </row>
    <row r="20" spans="1:27" ht="15.75">
      <c r="A20" s="1076" t="s">
        <v>2841</v>
      </c>
      <c r="B20">
        <v>5219009</v>
      </c>
      <c r="C20" s="2452" t="e">
        <f>#REF!+#REF!</f>
        <v>#REF!</v>
      </c>
      <c r="D20" s="2449">
        <f>IF(A20='Data Entry - SOF'!B$2,'Data Entry - SOF'!C$64,0)</f>
        <v>0</v>
      </c>
      <c r="E20" s="2450">
        <f t="shared" si="0"/>
        <v>5219009</v>
      </c>
      <c r="F20" s="2212" t="e">
        <f>IF('Report-M&amp;O1718'!C$18-'Report-SOF1718'!D$55&lt;=0,0,'Report-M&amp;O1718'!C$18-'Report-SOF1718'!D$55)</f>
        <v>#DIV/0!</v>
      </c>
      <c r="G20" s="2452" t="e">
        <f t="shared" si="1"/>
        <v>#DIV/0!</v>
      </c>
      <c r="H20" s="2449">
        <f>IF(A20='Data Entry - SOF'!B$2,'Data Entry - SOF'!E$64,0)</f>
        <v>0</v>
      </c>
      <c r="I20" s="1687">
        <f t="shared" si="2"/>
        <v>5219009</v>
      </c>
      <c r="J20" s="2212" t="e">
        <f>IF('Report-M&amp;O1819'!C$18-'Report-SOF1819'!D$55&lt;=0,0,'Report-M&amp;O1819'!C$18-'Report-SOF1819'!D$55)</f>
        <v>#DIV/0!</v>
      </c>
      <c r="K20" s="2452" t="e">
        <f t="shared" si="3"/>
        <v>#DIV/0!</v>
      </c>
      <c r="L20" s="2449">
        <f>IF(A20='Data Entry - SOF'!B$2,'Data Entry - SOF'!G$64,0)</f>
        <v>0</v>
      </c>
      <c r="M20" s="1371">
        <f t="shared" si="4"/>
        <v>5219009</v>
      </c>
      <c r="N20" s="2212" t="e">
        <f>IF('Report-M&amp;O1920'!C$18-'Report-SOF1920'!D$55&lt;=0,0,'Report-M&amp;O1920'!C$18-'Report-SOF1920'!D$55)</f>
        <v>#DIV/0!</v>
      </c>
      <c r="O20" s="2452" t="e">
        <f t="shared" si="5"/>
        <v>#DIV/0!</v>
      </c>
      <c r="P20" s="2449">
        <f>IF(A20='Data Entry - SOF'!B$2,'Data Entry - SOF'!I$64,0)</f>
        <v>0</v>
      </c>
      <c r="Q20" s="1687">
        <f t="shared" si="6"/>
        <v>5219009</v>
      </c>
      <c r="R20" s="2212" t="e">
        <f>IF('Report-M&amp;O2021'!C$18-'Report-SOF2021'!D$55&lt;=0,0,'Report-M&amp;O2021'!C$18-'Report-SOF2021'!D$55)</f>
        <v>#DIV/0!</v>
      </c>
      <c r="S20" s="2452" t="e">
        <f t="shared" si="7"/>
        <v>#DIV/0!</v>
      </c>
      <c r="T20" s="1708">
        <f>IF(A20='Data Entry - SOF'!B$2,'Data Entry - SOF'!K$64,0)</f>
        <v>0</v>
      </c>
      <c r="U20" s="1687">
        <f t="shared" si="8"/>
        <v>5219009</v>
      </c>
      <c r="V20" s="2212" t="e">
        <f>IF('Report-M&amp;O2122'!C$18-'Report-SOF2122'!D$55&lt;=0,0,'Report-M&amp;O2122'!C$18-'Report-SOF2122'!D$55)</f>
        <v>#DIV/0!</v>
      </c>
      <c r="W20" s="2452" t="e">
        <f t="shared" si="9"/>
        <v>#DIV/0!</v>
      </c>
      <c r="X20" s="1708">
        <f>IF(A20='Data Entry - SOF'!B$2,'Data Entry - SOF'!M$64,0)</f>
        <v>0</v>
      </c>
      <c r="Y20" s="1371" t="e">
        <f t="shared" si="10"/>
        <v>#DIV/0!</v>
      </c>
      <c r="Z20" s="2212" t="e">
        <f>IF('Report-M&amp;O2223'!C$18-'Report-SOF2223'!D$55&lt;=0,0,'Report-M&amp;O2223'!C$18-'Report-SOF2223'!D$55)</f>
        <v>#DIV/0!</v>
      </c>
      <c r="AA20" s="1708">
        <f>IF(A20='Data Entry - SOF'!B$2,'Data Entry - SOF'!O$64,0)</f>
        <v>0</v>
      </c>
    </row>
    <row r="21" spans="1:27" ht="15.75">
      <c r="A21" s="1076" t="s">
        <v>2219</v>
      </c>
      <c r="B21">
        <v>1128890</v>
      </c>
      <c r="C21" s="2452" t="e">
        <f>#REF!+#REF!</f>
        <v>#REF!</v>
      </c>
      <c r="D21" s="2449">
        <f>IF(A21='Data Entry - SOF'!B$2,'Data Entry - SOF'!C$64,0)</f>
        <v>0</v>
      </c>
      <c r="E21" s="2450">
        <f t="shared" si="0"/>
        <v>1128890</v>
      </c>
      <c r="F21" s="2212" t="e">
        <f>IF('Report-M&amp;O1718'!C$18-'Report-SOF1718'!D$55&lt;=0,0,'Report-M&amp;O1718'!C$18-'Report-SOF1718'!D$55)</f>
        <v>#DIV/0!</v>
      </c>
      <c r="G21" s="2452" t="e">
        <f t="shared" si="1"/>
        <v>#DIV/0!</v>
      </c>
      <c r="H21" s="2449">
        <f>IF(A21='Data Entry - SOF'!B$2,'Data Entry - SOF'!E$64,0)</f>
        <v>0</v>
      </c>
      <c r="I21" s="1687">
        <f t="shared" si="2"/>
        <v>1128890</v>
      </c>
      <c r="J21" s="2212" t="e">
        <f>IF('Report-M&amp;O1819'!C$18-'Report-SOF1819'!D$55&lt;=0,0,'Report-M&amp;O1819'!C$18-'Report-SOF1819'!D$55)</f>
        <v>#DIV/0!</v>
      </c>
      <c r="K21" s="2452" t="e">
        <f t="shared" si="3"/>
        <v>#DIV/0!</v>
      </c>
      <c r="L21" s="2449">
        <f>IF(A21='Data Entry - SOF'!B$2,'Data Entry - SOF'!G$64,0)</f>
        <v>0</v>
      </c>
      <c r="M21" s="1371">
        <f t="shared" si="4"/>
        <v>1128890</v>
      </c>
      <c r="N21" s="2212" t="e">
        <f>IF('Report-M&amp;O1920'!C$18-'Report-SOF1920'!D$55&lt;=0,0,'Report-M&amp;O1920'!C$18-'Report-SOF1920'!D$55)</f>
        <v>#DIV/0!</v>
      </c>
      <c r="O21" s="2452" t="e">
        <f t="shared" si="5"/>
        <v>#DIV/0!</v>
      </c>
      <c r="P21" s="2449">
        <f>IF(A21='Data Entry - SOF'!B$2,'Data Entry - SOF'!I$64,0)</f>
        <v>0</v>
      </c>
      <c r="Q21" s="1687">
        <f t="shared" si="6"/>
        <v>1128890</v>
      </c>
      <c r="R21" s="2212" t="e">
        <f>IF('Report-M&amp;O2021'!C$18-'Report-SOF2021'!D$55&lt;=0,0,'Report-M&amp;O2021'!C$18-'Report-SOF2021'!D$55)</f>
        <v>#DIV/0!</v>
      </c>
      <c r="S21" s="2452" t="e">
        <f t="shared" si="7"/>
        <v>#DIV/0!</v>
      </c>
      <c r="T21" s="1708">
        <f>IF(A21='Data Entry - SOF'!B$2,'Data Entry - SOF'!K$64,0)</f>
        <v>0</v>
      </c>
      <c r="U21" s="1687">
        <f t="shared" si="8"/>
        <v>1128890</v>
      </c>
      <c r="V21" s="2212" t="e">
        <f>IF('Report-M&amp;O2122'!C$18-'Report-SOF2122'!D$55&lt;=0,0,'Report-M&amp;O2122'!C$18-'Report-SOF2122'!D$55)</f>
        <v>#DIV/0!</v>
      </c>
      <c r="W21" s="2452" t="e">
        <f t="shared" si="9"/>
        <v>#DIV/0!</v>
      </c>
      <c r="X21" s="1708">
        <f>IF(A21='Data Entry - SOF'!B$2,'Data Entry - SOF'!M$64,0)</f>
        <v>0</v>
      </c>
      <c r="Y21" s="1371" t="e">
        <f t="shared" si="10"/>
        <v>#DIV/0!</v>
      </c>
      <c r="Z21" s="2212" t="e">
        <f>IF('Report-M&amp;O2223'!C$18-'Report-SOF2223'!D$55&lt;=0,0,'Report-M&amp;O2223'!C$18-'Report-SOF2223'!D$55)</f>
        <v>#DIV/0!</v>
      </c>
      <c r="AA21" s="1708">
        <f>IF(A21='Data Entry - SOF'!B$2,'Data Entry - SOF'!O$64,0)</f>
        <v>0</v>
      </c>
    </row>
    <row r="22" spans="1:27" ht="15.75">
      <c r="A22" s="1076" t="s">
        <v>2843</v>
      </c>
      <c r="B22">
        <v>1389627</v>
      </c>
      <c r="C22" s="2452" t="e">
        <f>#REF!+#REF!</f>
        <v>#REF!</v>
      </c>
      <c r="D22" s="2449">
        <f>IF(A22='Data Entry - SOF'!B$2,'Data Entry - SOF'!C$64,0)</f>
        <v>0</v>
      </c>
      <c r="E22" s="2450">
        <f t="shared" si="0"/>
        <v>1389627</v>
      </c>
      <c r="F22" s="2212" t="e">
        <f>IF('Report-M&amp;O1718'!C$18-'Report-SOF1718'!D$55&lt;=0,0,'Report-M&amp;O1718'!C$18-'Report-SOF1718'!D$55)</f>
        <v>#DIV/0!</v>
      </c>
      <c r="G22" s="2452" t="e">
        <f t="shared" si="1"/>
        <v>#DIV/0!</v>
      </c>
      <c r="H22" s="2449">
        <f>IF(A22='Data Entry - SOF'!B$2,'Data Entry - SOF'!E$64,0)</f>
        <v>0</v>
      </c>
      <c r="I22" s="1687">
        <f t="shared" si="2"/>
        <v>1389627</v>
      </c>
      <c r="J22" s="2212" t="e">
        <f>IF('Report-M&amp;O1819'!C$18-'Report-SOF1819'!D$55&lt;=0,0,'Report-M&amp;O1819'!C$18-'Report-SOF1819'!D$55)</f>
        <v>#DIV/0!</v>
      </c>
      <c r="K22" s="2452" t="e">
        <f t="shared" si="3"/>
        <v>#DIV/0!</v>
      </c>
      <c r="L22" s="2449">
        <f>IF(A22='Data Entry - SOF'!B$2,'Data Entry - SOF'!G$64,0)</f>
        <v>0</v>
      </c>
      <c r="M22" s="1371">
        <f t="shared" si="4"/>
        <v>1389627</v>
      </c>
      <c r="N22" s="2212" t="e">
        <f>IF('Report-M&amp;O1920'!C$18-'Report-SOF1920'!D$55&lt;=0,0,'Report-M&amp;O1920'!C$18-'Report-SOF1920'!D$55)</f>
        <v>#DIV/0!</v>
      </c>
      <c r="O22" s="2452" t="e">
        <f t="shared" si="5"/>
        <v>#DIV/0!</v>
      </c>
      <c r="P22" s="2449">
        <f>IF(A22='Data Entry - SOF'!B$2,'Data Entry - SOF'!I$64,0)</f>
        <v>0</v>
      </c>
      <c r="Q22" s="1687">
        <f t="shared" si="6"/>
        <v>1389627</v>
      </c>
      <c r="R22" s="2212" t="e">
        <f>IF('Report-M&amp;O2021'!C$18-'Report-SOF2021'!D$55&lt;=0,0,'Report-M&amp;O2021'!C$18-'Report-SOF2021'!D$55)</f>
        <v>#DIV/0!</v>
      </c>
      <c r="S22" s="2452" t="e">
        <f t="shared" si="7"/>
        <v>#DIV/0!</v>
      </c>
      <c r="T22" s="1708">
        <f>IF(A22='Data Entry - SOF'!B$2,'Data Entry - SOF'!K$64,0)</f>
        <v>0</v>
      </c>
      <c r="U22" s="1687">
        <f t="shared" si="8"/>
        <v>1389627</v>
      </c>
      <c r="V22" s="2212" t="e">
        <f>IF('Report-M&amp;O2122'!C$18-'Report-SOF2122'!D$55&lt;=0,0,'Report-M&amp;O2122'!C$18-'Report-SOF2122'!D$55)</f>
        <v>#DIV/0!</v>
      </c>
      <c r="W22" s="2452" t="e">
        <f t="shared" si="9"/>
        <v>#DIV/0!</v>
      </c>
      <c r="X22" s="1708">
        <f>IF(A22='Data Entry - SOF'!B$2,'Data Entry - SOF'!M$64,0)</f>
        <v>0</v>
      </c>
      <c r="Y22" s="1371" t="e">
        <f t="shared" si="10"/>
        <v>#DIV/0!</v>
      </c>
      <c r="Z22" s="2212" t="e">
        <f>IF('Report-M&amp;O2223'!C$18-'Report-SOF2223'!D$55&lt;=0,0,'Report-M&amp;O2223'!C$18-'Report-SOF2223'!D$55)</f>
        <v>#DIV/0!</v>
      </c>
      <c r="AA22" s="1708">
        <f>IF(A22='Data Entry - SOF'!B$2,'Data Entry - SOF'!O$64,0)</f>
        <v>0</v>
      </c>
    </row>
    <row r="23" spans="1:27" ht="15.75">
      <c r="A23" s="1076" t="s">
        <v>806</v>
      </c>
      <c r="B23">
        <v>2346172</v>
      </c>
      <c r="C23" s="2452" t="e">
        <f>#REF!+#REF!</f>
        <v>#REF!</v>
      </c>
      <c r="D23" s="2449">
        <f>IF(A23='Data Entry - SOF'!B$2,'Data Entry - SOF'!C$64,0)</f>
        <v>0</v>
      </c>
      <c r="E23" s="2450">
        <f t="shared" si="0"/>
        <v>2346172</v>
      </c>
      <c r="F23" s="2212" t="e">
        <f>IF('Report-M&amp;O1718'!C$18-'Report-SOF1718'!D$55&lt;=0,0,'Report-M&amp;O1718'!C$18-'Report-SOF1718'!D$55)</f>
        <v>#DIV/0!</v>
      </c>
      <c r="G23" s="2452" t="e">
        <f t="shared" si="1"/>
        <v>#DIV/0!</v>
      </c>
      <c r="H23" s="2449">
        <f>IF(A23='Data Entry - SOF'!B$2,'Data Entry - SOF'!E$64,0)</f>
        <v>0</v>
      </c>
      <c r="I23" s="1687">
        <f t="shared" si="2"/>
        <v>2346172</v>
      </c>
      <c r="J23" s="2212" t="e">
        <f>IF('Report-M&amp;O1819'!C$18-'Report-SOF1819'!D$55&lt;=0,0,'Report-M&amp;O1819'!C$18-'Report-SOF1819'!D$55)</f>
        <v>#DIV/0!</v>
      </c>
      <c r="K23" s="2452" t="e">
        <f t="shared" si="3"/>
        <v>#DIV/0!</v>
      </c>
      <c r="L23" s="2449">
        <f>IF(A23='Data Entry - SOF'!B$2,'Data Entry - SOF'!G$64,0)</f>
        <v>0</v>
      </c>
      <c r="M23" s="1371">
        <f t="shared" si="4"/>
        <v>2346172</v>
      </c>
      <c r="N23" s="2212" t="e">
        <f>IF('Report-M&amp;O1920'!C$18-'Report-SOF1920'!D$55&lt;=0,0,'Report-M&amp;O1920'!C$18-'Report-SOF1920'!D$55)</f>
        <v>#DIV/0!</v>
      </c>
      <c r="O23" s="2452" t="e">
        <f t="shared" si="5"/>
        <v>#DIV/0!</v>
      </c>
      <c r="P23" s="2449">
        <f>IF(A23='Data Entry - SOF'!B$2,'Data Entry - SOF'!I$64,0)</f>
        <v>0</v>
      </c>
      <c r="Q23" s="1687">
        <f t="shared" si="6"/>
        <v>2346172</v>
      </c>
      <c r="R23" s="2212" t="e">
        <f>IF('Report-M&amp;O2021'!C$18-'Report-SOF2021'!D$55&lt;=0,0,'Report-M&amp;O2021'!C$18-'Report-SOF2021'!D$55)</f>
        <v>#DIV/0!</v>
      </c>
      <c r="S23" s="2452" t="e">
        <f t="shared" si="7"/>
        <v>#DIV/0!</v>
      </c>
      <c r="T23" s="1708">
        <f>IF(A23='Data Entry - SOF'!B$2,'Data Entry - SOF'!K$64,0)</f>
        <v>0</v>
      </c>
      <c r="U23" s="1687">
        <f t="shared" si="8"/>
        <v>2346172</v>
      </c>
      <c r="V23" s="2212" t="e">
        <f>IF('Report-M&amp;O2122'!C$18-'Report-SOF2122'!D$55&lt;=0,0,'Report-M&amp;O2122'!C$18-'Report-SOF2122'!D$55)</f>
        <v>#DIV/0!</v>
      </c>
      <c r="W23" s="2452" t="e">
        <f t="shared" si="9"/>
        <v>#DIV/0!</v>
      </c>
      <c r="X23" s="1708">
        <f>IF(A23='Data Entry - SOF'!B$2,'Data Entry - SOF'!M$64,0)</f>
        <v>0</v>
      </c>
      <c r="Y23" s="1371" t="e">
        <f t="shared" si="10"/>
        <v>#DIV/0!</v>
      </c>
      <c r="Z23" s="2212" t="e">
        <f>IF('Report-M&amp;O2223'!C$18-'Report-SOF2223'!D$55&lt;=0,0,'Report-M&amp;O2223'!C$18-'Report-SOF2223'!D$55)</f>
        <v>#DIV/0!</v>
      </c>
      <c r="AA23" s="1708">
        <f>IF(A23='Data Entry - SOF'!B$2,'Data Entry - SOF'!O$64,0)</f>
        <v>0</v>
      </c>
    </row>
    <row r="24" spans="1:27" ht="15.75">
      <c r="A24" s="1076" t="s">
        <v>2844</v>
      </c>
      <c r="B24">
        <v>7266398</v>
      </c>
      <c r="C24" s="2452" t="e">
        <f>#REF!+#REF!</f>
        <v>#REF!</v>
      </c>
      <c r="D24" s="2449">
        <f>IF(A24='Data Entry - SOF'!B$2,'Data Entry - SOF'!C$64,0)</f>
        <v>0</v>
      </c>
      <c r="E24" s="2450">
        <f t="shared" si="0"/>
        <v>7266398</v>
      </c>
      <c r="F24" s="2212" t="e">
        <f>IF('Report-M&amp;O1718'!C$18-'Report-SOF1718'!D$55&lt;=0,0,'Report-M&amp;O1718'!C$18-'Report-SOF1718'!D$55)</f>
        <v>#DIV/0!</v>
      </c>
      <c r="G24" s="2452" t="e">
        <f t="shared" si="1"/>
        <v>#DIV/0!</v>
      </c>
      <c r="H24" s="2449">
        <f>IF(A24='Data Entry - SOF'!B$2,'Data Entry - SOF'!E$64,0)</f>
        <v>0</v>
      </c>
      <c r="I24" s="1687">
        <f t="shared" si="2"/>
        <v>7266398</v>
      </c>
      <c r="J24" s="2212" t="e">
        <f>IF('Report-M&amp;O1819'!C$18-'Report-SOF1819'!D$55&lt;=0,0,'Report-M&amp;O1819'!C$18-'Report-SOF1819'!D$55)</f>
        <v>#DIV/0!</v>
      </c>
      <c r="K24" s="2452" t="e">
        <f t="shared" si="3"/>
        <v>#DIV/0!</v>
      </c>
      <c r="L24" s="2449">
        <f>IF(A24='Data Entry - SOF'!B$2,'Data Entry - SOF'!G$64,0)</f>
        <v>0</v>
      </c>
      <c r="M24" s="1371">
        <f t="shared" si="4"/>
        <v>7266398</v>
      </c>
      <c r="N24" s="2212" t="e">
        <f>IF('Report-M&amp;O1920'!C$18-'Report-SOF1920'!D$55&lt;=0,0,'Report-M&amp;O1920'!C$18-'Report-SOF1920'!D$55)</f>
        <v>#DIV/0!</v>
      </c>
      <c r="O24" s="2452" t="e">
        <f t="shared" si="5"/>
        <v>#DIV/0!</v>
      </c>
      <c r="P24" s="2449">
        <f>IF(A24='Data Entry - SOF'!B$2,'Data Entry - SOF'!I$64,0)</f>
        <v>0</v>
      </c>
      <c r="Q24" s="1687">
        <f t="shared" si="6"/>
        <v>7266398</v>
      </c>
      <c r="R24" s="2212" t="e">
        <f>IF('Report-M&amp;O2021'!C$18-'Report-SOF2021'!D$55&lt;=0,0,'Report-M&amp;O2021'!C$18-'Report-SOF2021'!D$55)</f>
        <v>#DIV/0!</v>
      </c>
      <c r="S24" s="2452" t="e">
        <f t="shared" si="7"/>
        <v>#DIV/0!</v>
      </c>
      <c r="T24" s="1708">
        <f>IF(A24='Data Entry - SOF'!B$2,'Data Entry - SOF'!K$64,0)</f>
        <v>0</v>
      </c>
      <c r="U24" s="1687">
        <f t="shared" si="8"/>
        <v>7266398</v>
      </c>
      <c r="V24" s="2212" t="e">
        <f>IF('Report-M&amp;O2122'!C$18-'Report-SOF2122'!D$55&lt;=0,0,'Report-M&amp;O2122'!C$18-'Report-SOF2122'!D$55)</f>
        <v>#DIV/0!</v>
      </c>
      <c r="W24" s="2452" t="e">
        <f t="shared" si="9"/>
        <v>#DIV/0!</v>
      </c>
      <c r="X24" s="1708">
        <f>IF(A24='Data Entry - SOF'!B$2,'Data Entry - SOF'!M$64,0)</f>
        <v>0</v>
      </c>
      <c r="Y24" s="1371" t="e">
        <f t="shared" si="10"/>
        <v>#DIV/0!</v>
      </c>
      <c r="Z24" s="2212" t="e">
        <f>IF('Report-M&amp;O2223'!C$18-'Report-SOF2223'!D$55&lt;=0,0,'Report-M&amp;O2223'!C$18-'Report-SOF2223'!D$55)</f>
        <v>#DIV/0!</v>
      </c>
      <c r="AA24" s="1708">
        <f>IF(A24='Data Entry - SOF'!B$2,'Data Entry - SOF'!O$64,0)</f>
        <v>0</v>
      </c>
    </row>
    <row r="25" spans="1:27" ht="15.75">
      <c r="A25" s="1076" t="s">
        <v>2388</v>
      </c>
      <c r="B25">
        <v>2287604</v>
      </c>
      <c r="C25" s="2452" t="e">
        <f>#REF!+#REF!</f>
        <v>#REF!</v>
      </c>
      <c r="D25" s="2449">
        <f>IF(A25='Data Entry - SOF'!B$2,'Data Entry - SOF'!C$64,0)</f>
        <v>0</v>
      </c>
      <c r="E25" s="2450">
        <f t="shared" si="0"/>
        <v>2287604</v>
      </c>
      <c r="F25" s="2212" t="e">
        <f>IF('Report-M&amp;O1718'!C$18-'Report-SOF1718'!D$55&lt;=0,0,'Report-M&amp;O1718'!C$18-'Report-SOF1718'!D$55)</f>
        <v>#DIV/0!</v>
      </c>
      <c r="G25" s="2452" t="e">
        <f t="shared" si="1"/>
        <v>#DIV/0!</v>
      </c>
      <c r="H25" s="2449">
        <f>IF(A25='Data Entry - SOF'!B$2,'Data Entry - SOF'!E$64,0)</f>
        <v>0</v>
      </c>
      <c r="I25" s="1687">
        <f t="shared" si="2"/>
        <v>2287604</v>
      </c>
      <c r="J25" s="2212" t="e">
        <f>IF('Report-M&amp;O1819'!C$18-'Report-SOF1819'!D$55&lt;=0,0,'Report-M&amp;O1819'!C$18-'Report-SOF1819'!D$55)</f>
        <v>#DIV/0!</v>
      </c>
      <c r="K25" s="2452" t="e">
        <f t="shared" si="3"/>
        <v>#DIV/0!</v>
      </c>
      <c r="L25" s="2449">
        <f>IF(A25='Data Entry - SOF'!B$2,'Data Entry - SOF'!G$64,0)</f>
        <v>0</v>
      </c>
      <c r="M25" s="1371">
        <f t="shared" si="4"/>
        <v>2287604</v>
      </c>
      <c r="N25" s="2212" t="e">
        <f>IF('Report-M&amp;O1920'!C$18-'Report-SOF1920'!D$55&lt;=0,0,'Report-M&amp;O1920'!C$18-'Report-SOF1920'!D$55)</f>
        <v>#DIV/0!</v>
      </c>
      <c r="O25" s="2452" t="e">
        <f t="shared" si="5"/>
        <v>#DIV/0!</v>
      </c>
      <c r="P25" s="2449">
        <f>IF(A25='Data Entry - SOF'!B$2,'Data Entry - SOF'!I$64,0)</f>
        <v>0</v>
      </c>
      <c r="Q25" s="1687">
        <f t="shared" si="6"/>
        <v>2287604</v>
      </c>
      <c r="R25" s="2212" t="e">
        <f>IF('Report-M&amp;O2021'!C$18-'Report-SOF2021'!D$55&lt;=0,0,'Report-M&amp;O2021'!C$18-'Report-SOF2021'!D$55)</f>
        <v>#DIV/0!</v>
      </c>
      <c r="S25" s="2452" t="e">
        <f t="shared" si="7"/>
        <v>#DIV/0!</v>
      </c>
      <c r="T25" s="1708">
        <f>IF(A25='Data Entry - SOF'!B$2,'Data Entry - SOF'!K$64,0)</f>
        <v>0</v>
      </c>
      <c r="U25" s="1687">
        <f t="shared" si="8"/>
        <v>2287604</v>
      </c>
      <c r="V25" s="2212" t="e">
        <f>IF('Report-M&amp;O2122'!C$18-'Report-SOF2122'!D$55&lt;=0,0,'Report-M&amp;O2122'!C$18-'Report-SOF2122'!D$55)</f>
        <v>#DIV/0!</v>
      </c>
      <c r="W25" s="2452" t="e">
        <f t="shared" si="9"/>
        <v>#DIV/0!</v>
      </c>
      <c r="X25" s="1708">
        <f>IF(A25='Data Entry - SOF'!B$2,'Data Entry - SOF'!M$64,0)</f>
        <v>0</v>
      </c>
      <c r="Y25" s="1371" t="e">
        <f t="shared" si="10"/>
        <v>#DIV/0!</v>
      </c>
      <c r="Z25" s="2212" t="e">
        <f>IF('Report-M&amp;O2223'!C$18-'Report-SOF2223'!D$55&lt;=0,0,'Report-M&amp;O2223'!C$18-'Report-SOF2223'!D$55)</f>
        <v>#DIV/0!</v>
      </c>
      <c r="AA25" s="1708">
        <f>IF(A25='Data Entry - SOF'!B$2,'Data Entry - SOF'!O$64,0)</f>
        <v>0</v>
      </c>
    </row>
    <row r="26" spans="1:27" ht="15.75">
      <c r="A26" s="1076" t="s">
        <v>241</v>
      </c>
      <c r="B26">
        <v>31557164</v>
      </c>
      <c r="C26" s="2452" t="e">
        <f>#REF!+#REF!</f>
        <v>#REF!</v>
      </c>
      <c r="D26" s="2449">
        <f>IF(A26='Data Entry - SOF'!B$2,'Data Entry - SOF'!C$64,0)</f>
        <v>0</v>
      </c>
      <c r="E26" s="2450">
        <f t="shared" si="0"/>
        <v>31557164</v>
      </c>
      <c r="F26" s="2212" t="e">
        <f>IF('Report-M&amp;O1718'!C$18-'Report-SOF1718'!D$55&lt;=0,0,'Report-M&amp;O1718'!C$18-'Report-SOF1718'!D$55)</f>
        <v>#DIV/0!</v>
      </c>
      <c r="G26" s="2452" t="e">
        <f t="shared" si="1"/>
        <v>#DIV/0!</v>
      </c>
      <c r="H26" s="2449">
        <f>IF(A26='Data Entry - SOF'!B$2,'Data Entry - SOF'!E$64,0)</f>
        <v>0</v>
      </c>
      <c r="I26" s="1687">
        <f t="shared" si="2"/>
        <v>31557164</v>
      </c>
      <c r="J26" s="2212" t="e">
        <f>IF('Report-M&amp;O1819'!C$18-'Report-SOF1819'!D$55&lt;=0,0,'Report-M&amp;O1819'!C$18-'Report-SOF1819'!D$55)</f>
        <v>#DIV/0!</v>
      </c>
      <c r="K26" s="2452" t="e">
        <f t="shared" si="3"/>
        <v>#DIV/0!</v>
      </c>
      <c r="L26" s="2449">
        <f>IF(A26='Data Entry - SOF'!B$2,'Data Entry - SOF'!G$64,0)</f>
        <v>0</v>
      </c>
      <c r="M26" s="1371">
        <f t="shared" si="4"/>
        <v>31557164</v>
      </c>
      <c r="N26" s="2212" t="e">
        <f>IF('Report-M&amp;O1920'!C$18-'Report-SOF1920'!D$55&lt;=0,0,'Report-M&amp;O1920'!C$18-'Report-SOF1920'!D$55)</f>
        <v>#DIV/0!</v>
      </c>
      <c r="O26" s="2452" t="e">
        <f t="shared" si="5"/>
        <v>#DIV/0!</v>
      </c>
      <c r="P26" s="2449">
        <f>IF(A26='Data Entry - SOF'!B$2,'Data Entry - SOF'!I$64,0)</f>
        <v>0</v>
      </c>
      <c r="Q26" s="1687">
        <f t="shared" si="6"/>
        <v>31557164</v>
      </c>
      <c r="R26" s="2212" t="e">
        <f>IF('Report-M&amp;O2021'!C$18-'Report-SOF2021'!D$55&lt;=0,0,'Report-M&amp;O2021'!C$18-'Report-SOF2021'!D$55)</f>
        <v>#DIV/0!</v>
      </c>
      <c r="S26" s="2452" t="e">
        <f t="shared" si="7"/>
        <v>#DIV/0!</v>
      </c>
      <c r="T26" s="1708">
        <f>IF(A26='Data Entry - SOF'!B$2,'Data Entry - SOF'!K$64,0)</f>
        <v>0</v>
      </c>
      <c r="U26" s="1687">
        <f t="shared" si="8"/>
        <v>31557164</v>
      </c>
      <c r="V26" s="2212" t="e">
        <f>IF('Report-M&amp;O2122'!C$18-'Report-SOF2122'!D$55&lt;=0,0,'Report-M&amp;O2122'!C$18-'Report-SOF2122'!D$55)</f>
        <v>#DIV/0!</v>
      </c>
      <c r="W26" s="2452" t="e">
        <f t="shared" si="9"/>
        <v>#DIV/0!</v>
      </c>
      <c r="X26" s="1708">
        <f>IF(A26='Data Entry - SOF'!B$2,'Data Entry - SOF'!M$64,0)</f>
        <v>0</v>
      </c>
      <c r="Y26" s="1371" t="e">
        <f t="shared" si="10"/>
        <v>#DIV/0!</v>
      </c>
      <c r="Z26" s="2212" t="e">
        <f>IF('Report-M&amp;O2223'!C$18-'Report-SOF2223'!D$55&lt;=0,0,'Report-M&amp;O2223'!C$18-'Report-SOF2223'!D$55)</f>
        <v>#DIV/0!</v>
      </c>
      <c r="AA26" s="1708">
        <f>IF(A26='Data Entry - SOF'!B$2,'Data Entry - SOF'!O$64,0)</f>
        <v>0</v>
      </c>
    </row>
    <row r="27" spans="1:27" ht="15.75">
      <c r="A27" s="1076" t="s">
        <v>2447</v>
      </c>
      <c r="B27">
        <v>798293</v>
      </c>
      <c r="C27" s="2452" t="e">
        <f>#REF!+#REF!</f>
        <v>#REF!</v>
      </c>
      <c r="D27" s="2449">
        <f>IF(A27='Data Entry - SOF'!B$2,'Data Entry - SOF'!C$64,0)</f>
        <v>0</v>
      </c>
      <c r="E27" s="2450">
        <f t="shared" si="0"/>
        <v>798293</v>
      </c>
      <c r="F27" s="2212" t="e">
        <f>IF('Report-M&amp;O1718'!C$18-'Report-SOF1718'!D$55&lt;=0,0,'Report-M&amp;O1718'!C$18-'Report-SOF1718'!D$55)</f>
        <v>#DIV/0!</v>
      </c>
      <c r="G27" s="2452" t="e">
        <f t="shared" si="1"/>
        <v>#DIV/0!</v>
      </c>
      <c r="H27" s="2449">
        <f>IF(A27='Data Entry - SOF'!B$2,'Data Entry - SOF'!E$64,0)</f>
        <v>0</v>
      </c>
      <c r="I27" s="1687">
        <f t="shared" si="2"/>
        <v>798293</v>
      </c>
      <c r="J27" s="2212" t="e">
        <f>IF('Report-M&amp;O1819'!C$18-'Report-SOF1819'!D$55&lt;=0,0,'Report-M&amp;O1819'!C$18-'Report-SOF1819'!D$55)</f>
        <v>#DIV/0!</v>
      </c>
      <c r="K27" s="2452" t="e">
        <f t="shared" si="3"/>
        <v>#DIV/0!</v>
      </c>
      <c r="L27" s="2449">
        <f>IF(A27='Data Entry - SOF'!B$2,'Data Entry - SOF'!G$64,0)</f>
        <v>0</v>
      </c>
      <c r="M27" s="1371">
        <f t="shared" si="4"/>
        <v>798293</v>
      </c>
      <c r="N27" s="2212" t="e">
        <f>IF('Report-M&amp;O1920'!C$18-'Report-SOF1920'!D$55&lt;=0,0,'Report-M&amp;O1920'!C$18-'Report-SOF1920'!D$55)</f>
        <v>#DIV/0!</v>
      </c>
      <c r="O27" s="2452" t="e">
        <f t="shared" si="5"/>
        <v>#DIV/0!</v>
      </c>
      <c r="P27" s="2449">
        <f>IF(A27='Data Entry - SOF'!B$2,'Data Entry - SOF'!I$64,0)</f>
        <v>0</v>
      </c>
      <c r="Q27" s="1687">
        <f t="shared" si="6"/>
        <v>798293</v>
      </c>
      <c r="R27" s="2212" t="e">
        <f>IF('Report-M&amp;O2021'!C$18-'Report-SOF2021'!D$55&lt;=0,0,'Report-M&amp;O2021'!C$18-'Report-SOF2021'!D$55)</f>
        <v>#DIV/0!</v>
      </c>
      <c r="S27" s="2452" t="e">
        <f t="shared" si="7"/>
        <v>#DIV/0!</v>
      </c>
      <c r="T27" s="1708">
        <f>IF(A27='Data Entry - SOF'!B$2,'Data Entry - SOF'!K$64,0)</f>
        <v>0</v>
      </c>
      <c r="U27" s="1687">
        <f t="shared" si="8"/>
        <v>798293</v>
      </c>
      <c r="V27" s="2212" t="e">
        <f>IF('Report-M&amp;O2122'!C$18-'Report-SOF2122'!D$55&lt;=0,0,'Report-M&amp;O2122'!C$18-'Report-SOF2122'!D$55)</f>
        <v>#DIV/0!</v>
      </c>
      <c r="W27" s="2452" t="e">
        <f t="shared" si="9"/>
        <v>#DIV/0!</v>
      </c>
      <c r="X27" s="1708">
        <f>IF(A27='Data Entry - SOF'!B$2,'Data Entry - SOF'!M$64,0)</f>
        <v>0</v>
      </c>
      <c r="Y27" s="1371" t="e">
        <f t="shared" si="10"/>
        <v>#DIV/0!</v>
      </c>
      <c r="Z27" s="2212" t="e">
        <f>IF('Report-M&amp;O2223'!C$18-'Report-SOF2223'!D$55&lt;=0,0,'Report-M&amp;O2223'!C$18-'Report-SOF2223'!D$55)</f>
        <v>#DIV/0!</v>
      </c>
      <c r="AA27" s="1708">
        <f>IF(A27='Data Entry - SOF'!B$2,'Data Entry - SOF'!O$64,0)</f>
        <v>0</v>
      </c>
    </row>
    <row r="28" spans="1:27" ht="15.75">
      <c r="A28" s="1076" t="s">
        <v>2845</v>
      </c>
      <c r="B28">
        <v>8664177</v>
      </c>
      <c r="C28" s="2452" t="e">
        <f>#REF!+#REF!</f>
        <v>#REF!</v>
      </c>
      <c r="D28" s="2449">
        <f>IF(A28='Data Entry - SOF'!B$2,'Data Entry - SOF'!C$64,0)</f>
        <v>0</v>
      </c>
      <c r="E28" s="2450">
        <f t="shared" si="0"/>
        <v>8664177</v>
      </c>
      <c r="F28" s="2212" t="e">
        <f>IF('Report-M&amp;O1718'!C$18-'Report-SOF1718'!D$55&lt;=0,0,'Report-M&amp;O1718'!C$18-'Report-SOF1718'!D$55)</f>
        <v>#DIV/0!</v>
      </c>
      <c r="G28" s="2452" t="e">
        <f t="shared" si="1"/>
        <v>#DIV/0!</v>
      </c>
      <c r="H28" s="2449">
        <f>IF(A28='Data Entry - SOF'!B$2,'Data Entry - SOF'!E$64,0)</f>
        <v>0</v>
      </c>
      <c r="I28" s="1687">
        <f t="shared" si="2"/>
        <v>8664177</v>
      </c>
      <c r="J28" s="2212" t="e">
        <f>IF('Report-M&amp;O1819'!C$18-'Report-SOF1819'!D$55&lt;=0,0,'Report-M&amp;O1819'!C$18-'Report-SOF1819'!D$55)</f>
        <v>#DIV/0!</v>
      </c>
      <c r="K28" s="2452" t="e">
        <f t="shared" si="3"/>
        <v>#DIV/0!</v>
      </c>
      <c r="L28" s="2449">
        <f>IF(A28='Data Entry - SOF'!B$2,'Data Entry - SOF'!G$64,0)</f>
        <v>0</v>
      </c>
      <c r="M28" s="1371">
        <f t="shared" si="4"/>
        <v>8664177</v>
      </c>
      <c r="N28" s="2212" t="e">
        <f>IF('Report-M&amp;O1920'!C$18-'Report-SOF1920'!D$55&lt;=0,0,'Report-M&amp;O1920'!C$18-'Report-SOF1920'!D$55)</f>
        <v>#DIV/0!</v>
      </c>
      <c r="O28" s="2452" t="e">
        <f t="shared" si="5"/>
        <v>#DIV/0!</v>
      </c>
      <c r="P28" s="2449">
        <f>IF(A28='Data Entry - SOF'!B$2,'Data Entry - SOF'!I$64,0)</f>
        <v>0</v>
      </c>
      <c r="Q28" s="1687">
        <f t="shared" si="6"/>
        <v>8664177</v>
      </c>
      <c r="R28" s="2212" t="e">
        <f>IF('Report-M&amp;O2021'!C$18-'Report-SOF2021'!D$55&lt;=0,0,'Report-M&amp;O2021'!C$18-'Report-SOF2021'!D$55)</f>
        <v>#DIV/0!</v>
      </c>
      <c r="S28" s="2452" t="e">
        <f t="shared" si="7"/>
        <v>#DIV/0!</v>
      </c>
      <c r="T28" s="1708">
        <f>IF(A28='Data Entry - SOF'!B$2,'Data Entry - SOF'!K$64,0)</f>
        <v>0</v>
      </c>
      <c r="U28" s="1687">
        <f t="shared" si="8"/>
        <v>8664177</v>
      </c>
      <c r="V28" s="2212" t="e">
        <f>IF('Report-M&amp;O2122'!C$18-'Report-SOF2122'!D$55&lt;=0,0,'Report-M&amp;O2122'!C$18-'Report-SOF2122'!D$55)</f>
        <v>#DIV/0!</v>
      </c>
      <c r="W28" s="2452" t="e">
        <f t="shared" si="9"/>
        <v>#DIV/0!</v>
      </c>
      <c r="X28" s="1708">
        <f>IF(A28='Data Entry - SOF'!B$2,'Data Entry - SOF'!M$64,0)</f>
        <v>0</v>
      </c>
      <c r="Y28" s="1371" t="e">
        <f t="shared" si="10"/>
        <v>#DIV/0!</v>
      </c>
      <c r="Z28" s="2212" t="e">
        <f>IF('Report-M&amp;O2223'!C$18-'Report-SOF2223'!D$55&lt;=0,0,'Report-M&amp;O2223'!C$18-'Report-SOF2223'!D$55)</f>
        <v>#DIV/0!</v>
      </c>
      <c r="AA28" s="1708">
        <f>IF(A28='Data Entry - SOF'!B$2,'Data Entry - SOF'!O$64,0)</f>
        <v>0</v>
      </c>
    </row>
    <row r="29" spans="1:27" ht="15.75">
      <c r="A29" s="1076" t="s">
        <v>783</v>
      </c>
      <c r="B29">
        <v>6345532</v>
      </c>
      <c r="C29" s="2452" t="e">
        <f>#REF!+#REF!</f>
        <v>#REF!</v>
      </c>
      <c r="D29" s="2449">
        <f>IF(A29='Data Entry - SOF'!B$2,'Data Entry - SOF'!C$64,0)</f>
        <v>0</v>
      </c>
      <c r="E29" s="2450">
        <f t="shared" si="0"/>
        <v>6345532</v>
      </c>
      <c r="F29" s="2212" t="e">
        <f>IF('Report-M&amp;O1718'!C$18-'Report-SOF1718'!D$55&lt;=0,0,'Report-M&amp;O1718'!C$18-'Report-SOF1718'!D$55)</f>
        <v>#DIV/0!</v>
      </c>
      <c r="G29" s="2452" t="e">
        <f t="shared" si="1"/>
        <v>#DIV/0!</v>
      </c>
      <c r="H29" s="2449">
        <f>IF(A29='Data Entry - SOF'!B$2,'Data Entry - SOF'!E$64,0)</f>
        <v>0</v>
      </c>
      <c r="I29" s="1687">
        <f t="shared" si="2"/>
        <v>6345532</v>
      </c>
      <c r="J29" s="2212" t="e">
        <f>IF('Report-M&amp;O1819'!C$18-'Report-SOF1819'!D$55&lt;=0,0,'Report-M&amp;O1819'!C$18-'Report-SOF1819'!D$55)</f>
        <v>#DIV/0!</v>
      </c>
      <c r="K29" s="2452" t="e">
        <f t="shared" si="3"/>
        <v>#DIV/0!</v>
      </c>
      <c r="L29" s="2449">
        <f>IF(A29='Data Entry - SOF'!B$2,'Data Entry - SOF'!G$64,0)</f>
        <v>0</v>
      </c>
      <c r="M29" s="1371">
        <f t="shared" si="4"/>
        <v>6345532</v>
      </c>
      <c r="N29" s="2212" t="e">
        <f>IF('Report-M&amp;O1920'!C$18-'Report-SOF1920'!D$55&lt;=0,0,'Report-M&amp;O1920'!C$18-'Report-SOF1920'!D$55)</f>
        <v>#DIV/0!</v>
      </c>
      <c r="O29" s="2452" t="e">
        <f t="shared" si="5"/>
        <v>#DIV/0!</v>
      </c>
      <c r="P29" s="2449">
        <f>IF(A29='Data Entry - SOF'!B$2,'Data Entry - SOF'!I$64,0)</f>
        <v>0</v>
      </c>
      <c r="Q29" s="1687">
        <f t="shared" si="6"/>
        <v>6345532</v>
      </c>
      <c r="R29" s="2212" t="e">
        <f>IF('Report-M&amp;O2021'!C$18-'Report-SOF2021'!D$55&lt;=0,0,'Report-M&amp;O2021'!C$18-'Report-SOF2021'!D$55)</f>
        <v>#DIV/0!</v>
      </c>
      <c r="S29" s="2452" t="e">
        <f t="shared" si="7"/>
        <v>#DIV/0!</v>
      </c>
      <c r="T29" s="1708">
        <f>IF(A29='Data Entry - SOF'!B$2,'Data Entry - SOF'!K$64,0)</f>
        <v>0</v>
      </c>
      <c r="U29" s="1687">
        <f t="shared" si="8"/>
        <v>6345532</v>
      </c>
      <c r="V29" s="2212" t="e">
        <f>IF('Report-M&amp;O2122'!C$18-'Report-SOF2122'!D$55&lt;=0,0,'Report-M&amp;O2122'!C$18-'Report-SOF2122'!D$55)</f>
        <v>#DIV/0!</v>
      </c>
      <c r="W29" s="2452" t="e">
        <f t="shared" si="9"/>
        <v>#DIV/0!</v>
      </c>
      <c r="X29" s="1708">
        <f>IF(A29='Data Entry - SOF'!B$2,'Data Entry - SOF'!M$64,0)</f>
        <v>0</v>
      </c>
      <c r="Y29" s="1371" t="e">
        <f t="shared" si="10"/>
        <v>#DIV/0!</v>
      </c>
      <c r="Z29" s="2212" t="e">
        <f>IF('Report-M&amp;O2223'!C$18-'Report-SOF2223'!D$55&lt;=0,0,'Report-M&amp;O2223'!C$18-'Report-SOF2223'!D$55)</f>
        <v>#DIV/0!</v>
      </c>
      <c r="AA29" s="1708">
        <f>IF(A29='Data Entry - SOF'!B$2,'Data Entry - SOF'!O$64,0)</f>
        <v>0</v>
      </c>
    </row>
    <row r="30" spans="1:27" ht="15.75">
      <c r="A30" s="1076" t="s">
        <v>784</v>
      </c>
      <c r="B30">
        <v>5755979</v>
      </c>
      <c r="C30" s="2452" t="e">
        <f>#REF!+#REF!</f>
        <v>#REF!</v>
      </c>
      <c r="D30" s="2449">
        <f>IF(A30='Data Entry - SOF'!B$2,'Data Entry - SOF'!C$64,0)</f>
        <v>0</v>
      </c>
      <c r="E30" s="2450">
        <f t="shared" si="0"/>
        <v>5755979</v>
      </c>
      <c r="F30" s="2212" t="e">
        <f>IF('Report-M&amp;O1718'!C$18-'Report-SOF1718'!D$55&lt;=0,0,'Report-M&amp;O1718'!C$18-'Report-SOF1718'!D$55)</f>
        <v>#DIV/0!</v>
      </c>
      <c r="G30" s="2452" t="e">
        <f t="shared" si="1"/>
        <v>#DIV/0!</v>
      </c>
      <c r="H30" s="2449">
        <f>IF(A30='Data Entry - SOF'!B$2,'Data Entry - SOF'!E$64,0)</f>
        <v>0</v>
      </c>
      <c r="I30" s="1687">
        <f t="shared" si="2"/>
        <v>5755979</v>
      </c>
      <c r="J30" s="2212" t="e">
        <f>IF('Report-M&amp;O1819'!C$18-'Report-SOF1819'!D$55&lt;=0,0,'Report-M&amp;O1819'!C$18-'Report-SOF1819'!D$55)</f>
        <v>#DIV/0!</v>
      </c>
      <c r="K30" s="2452" t="e">
        <f t="shared" si="3"/>
        <v>#DIV/0!</v>
      </c>
      <c r="L30" s="2449">
        <f>IF(A30='Data Entry - SOF'!B$2,'Data Entry - SOF'!G$64,0)</f>
        <v>0</v>
      </c>
      <c r="M30" s="1371">
        <f t="shared" si="4"/>
        <v>5755979</v>
      </c>
      <c r="N30" s="2212" t="e">
        <f>IF('Report-M&amp;O1920'!C$18-'Report-SOF1920'!D$55&lt;=0,0,'Report-M&amp;O1920'!C$18-'Report-SOF1920'!D$55)</f>
        <v>#DIV/0!</v>
      </c>
      <c r="O30" s="2452" t="e">
        <f t="shared" si="5"/>
        <v>#DIV/0!</v>
      </c>
      <c r="P30" s="2449">
        <f>IF(A30='Data Entry - SOF'!B$2,'Data Entry - SOF'!I$64,0)</f>
        <v>0</v>
      </c>
      <c r="Q30" s="1687">
        <f t="shared" si="6"/>
        <v>5755979</v>
      </c>
      <c r="R30" s="2212" t="e">
        <f>IF('Report-M&amp;O2021'!C$18-'Report-SOF2021'!D$55&lt;=0,0,'Report-M&amp;O2021'!C$18-'Report-SOF2021'!D$55)</f>
        <v>#DIV/0!</v>
      </c>
      <c r="S30" s="2452" t="e">
        <f t="shared" si="7"/>
        <v>#DIV/0!</v>
      </c>
      <c r="T30" s="1708">
        <f>IF(A30='Data Entry - SOF'!B$2,'Data Entry - SOF'!K$64,0)</f>
        <v>0</v>
      </c>
      <c r="U30" s="1687">
        <f t="shared" si="8"/>
        <v>5755979</v>
      </c>
      <c r="V30" s="2212" t="e">
        <f>IF('Report-M&amp;O2122'!C$18-'Report-SOF2122'!D$55&lt;=0,0,'Report-M&amp;O2122'!C$18-'Report-SOF2122'!D$55)</f>
        <v>#DIV/0!</v>
      </c>
      <c r="W30" s="2452" t="e">
        <f t="shared" si="9"/>
        <v>#DIV/0!</v>
      </c>
      <c r="X30" s="1708">
        <f>IF(A30='Data Entry - SOF'!B$2,'Data Entry - SOF'!M$64,0)</f>
        <v>0</v>
      </c>
      <c r="Y30" s="1371" t="e">
        <f t="shared" si="10"/>
        <v>#DIV/0!</v>
      </c>
      <c r="Z30" s="2212" t="e">
        <f>IF('Report-M&amp;O2223'!C$18-'Report-SOF2223'!D$55&lt;=0,0,'Report-M&amp;O2223'!C$18-'Report-SOF2223'!D$55)</f>
        <v>#DIV/0!</v>
      </c>
      <c r="AA30" s="1708">
        <f>IF(A30='Data Entry - SOF'!B$2,'Data Entry - SOF'!O$64,0)</f>
        <v>0</v>
      </c>
    </row>
    <row r="31" spans="1:27" ht="15.75">
      <c r="A31" s="1076" t="s">
        <v>785</v>
      </c>
      <c r="B31">
        <v>3654988</v>
      </c>
      <c r="C31" s="2452" t="e">
        <f>#REF!+#REF!</f>
        <v>#REF!</v>
      </c>
      <c r="D31" s="2449">
        <f>IF(A31='Data Entry - SOF'!B$2,'Data Entry - SOF'!C$64,0)</f>
        <v>0</v>
      </c>
      <c r="E31" s="2450">
        <f t="shared" si="0"/>
        <v>3654988</v>
      </c>
      <c r="F31" s="2212" t="e">
        <f>IF('Report-M&amp;O1718'!C$18-'Report-SOF1718'!D$55&lt;=0,0,'Report-M&amp;O1718'!C$18-'Report-SOF1718'!D$55)</f>
        <v>#DIV/0!</v>
      </c>
      <c r="G31" s="2452" t="e">
        <f t="shared" si="1"/>
        <v>#DIV/0!</v>
      </c>
      <c r="H31" s="2449">
        <f>IF(A31='Data Entry - SOF'!B$2,'Data Entry - SOF'!E$64,0)</f>
        <v>0</v>
      </c>
      <c r="I31" s="1687">
        <f t="shared" si="2"/>
        <v>3654988</v>
      </c>
      <c r="J31" s="2212" t="e">
        <f>IF('Report-M&amp;O1819'!C$18-'Report-SOF1819'!D$55&lt;=0,0,'Report-M&amp;O1819'!C$18-'Report-SOF1819'!D$55)</f>
        <v>#DIV/0!</v>
      </c>
      <c r="K31" s="2452" t="e">
        <f t="shared" si="3"/>
        <v>#DIV/0!</v>
      </c>
      <c r="L31" s="2449">
        <f>IF(A31='Data Entry - SOF'!B$2,'Data Entry - SOF'!G$64,0)</f>
        <v>0</v>
      </c>
      <c r="M31" s="1371">
        <f t="shared" si="4"/>
        <v>3654988</v>
      </c>
      <c r="N31" s="2212" t="e">
        <f>IF('Report-M&amp;O1920'!C$18-'Report-SOF1920'!D$55&lt;=0,0,'Report-M&amp;O1920'!C$18-'Report-SOF1920'!D$55)</f>
        <v>#DIV/0!</v>
      </c>
      <c r="O31" s="2452" t="e">
        <f t="shared" si="5"/>
        <v>#DIV/0!</v>
      </c>
      <c r="P31" s="2449">
        <f>IF(A31='Data Entry - SOF'!B$2,'Data Entry - SOF'!I$64,0)</f>
        <v>0</v>
      </c>
      <c r="Q31" s="1687">
        <f t="shared" si="6"/>
        <v>3654988</v>
      </c>
      <c r="R31" s="2212" t="e">
        <f>IF('Report-M&amp;O2021'!C$18-'Report-SOF2021'!D$55&lt;=0,0,'Report-M&amp;O2021'!C$18-'Report-SOF2021'!D$55)</f>
        <v>#DIV/0!</v>
      </c>
      <c r="S31" s="2452" t="e">
        <f t="shared" si="7"/>
        <v>#DIV/0!</v>
      </c>
      <c r="T31" s="1708">
        <f>IF(A31='Data Entry - SOF'!B$2,'Data Entry - SOF'!K$64,0)</f>
        <v>0</v>
      </c>
      <c r="U31" s="1687">
        <f t="shared" si="8"/>
        <v>3654988</v>
      </c>
      <c r="V31" s="2212" t="e">
        <f>IF('Report-M&amp;O2122'!C$18-'Report-SOF2122'!D$55&lt;=0,0,'Report-M&amp;O2122'!C$18-'Report-SOF2122'!D$55)</f>
        <v>#DIV/0!</v>
      </c>
      <c r="W31" s="2452" t="e">
        <f t="shared" si="9"/>
        <v>#DIV/0!</v>
      </c>
      <c r="X31" s="1708">
        <f>IF(A31='Data Entry - SOF'!B$2,'Data Entry - SOF'!M$64,0)</f>
        <v>0</v>
      </c>
      <c r="Y31" s="1371" t="e">
        <f t="shared" si="10"/>
        <v>#DIV/0!</v>
      </c>
      <c r="Z31" s="2212" t="e">
        <f>IF('Report-M&amp;O2223'!C$18-'Report-SOF2223'!D$55&lt;=0,0,'Report-M&amp;O2223'!C$18-'Report-SOF2223'!D$55)</f>
        <v>#DIV/0!</v>
      </c>
      <c r="AA31" s="1708">
        <f>IF(A31='Data Entry - SOF'!B$2,'Data Entry - SOF'!O$64,0)</f>
        <v>0</v>
      </c>
    </row>
    <row r="32" spans="1:27" ht="15.75">
      <c r="A32" s="1076" t="s">
        <v>216</v>
      </c>
      <c r="B32">
        <v>641103</v>
      </c>
      <c r="C32" s="2452" t="e">
        <f>#REF!+#REF!</f>
        <v>#REF!</v>
      </c>
      <c r="D32" s="2449">
        <f>IF(A32='Data Entry - SOF'!B$2,'Data Entry - SOF'!C$64,0)</f>
        <v>0</v>
      </c>
      <c r="E32" s="2450">
        <f t="shared" si="0"/>
        <v>641103</v>
      </c>
      <c r="F32" s="2212" t="e">
        <f>IF('Report-M&amp;O1718'!C$18-'Report-SOF1718'!D$55&lt;=0,0,'Report-M&amp;O1718'!C$18-'Report-SOF1718'!D$55)</f>
        <v>#DIV/0!</v>
      </c>
      <c r="G32" s="2452" t="e">
        <f t="shared" si="1"/>
        <v>#DIV/0!</v>
      </c>
      <c r="H32" s="2449">
        <f>IF(A32='Data Entry - SOF'!B$2,'Data Entry - SOF'!E$64,0)</f>
        <v>0</v>
      </c>
      <c r="I32" s="1687">
        <f t="shared" si="2"/>
        <v>641103</v>
      </c>
      <c r="J32" s="2212" t="e">
        <f>IF('Report-M&amp;O1819'!C$18-'Report-SOF1819'!D$55&lt;=0,0,'Report-M&amp;O1819'!C$18-'Report-SOF1819'!D$55)</f>
        <v>#DIV/0!</v>
      </c>
      <c r="K32" s="2452" t="e">
        <f t="shared" si="3"/>
        <v>#DIV/0!</v>
      </c>
      <c r="L32" s="2449">
        <f>IF(A32='Data Entry - SOF'!B$2,'Data Entry - SOF'!G$64,0)</f>
        <v>0</v>
      </c>
      <c r="M32" s="1371">
        <f t="shared" si="4"/>
        <v>641103</v>
      </c>
      <c r="N32" s="2212" t="e">
        <f>IF('Report-M&amp;O1920'!C$18-'Report-SOF1920'!D$55&lt;=0,0,'Report-M&amp;O1920'!C$18-'Report-SOF1920'!D$55)</f>
        <v>#DIV/0!</v>
      </c>
      <c r="O32" s="2452" t="e">
        <f t="shared" si="5"/>
        <v>#DIV/0!</v>
      </c>
      <c r="P32" s="2449">
        <f>IF(A32='Data Entry - SOF'!B$2,'Data Entry - SOF'!I$64,0)</f>
        <v>0</v>
      </c>
      <c r="Q32" s="1687">
        <f t="shared" si="6"/>
        <v>641103</v>
      </c>
      <c r="R32" s="2212" t="e">
        <f>IF('Report-M&amp;O2021'!C$18-'Report-SOF2021'!D$55&lt;=0,0,'Report-M&amp;O2021'!C$18-'Report-SOF2021'!D$55)</f>
        <v>#DIV/0!</v>
      </c>
      <c r="S32" s="2452" t="e">
        <f t="shared" si="7"/>
        <v>#DIV/0!</v>
      </c>
      <c r="T32" s="1708">
        <f>IF(A32='Data Entry - SOF'!B$2,'Data Entry - SOF'!K$64,0)</f>
        <v>0</v>
      </c>
      <c r="U32" s="1687">
        <f t="shared" si="8"/>
        <v>641103</v>
      </c>
      <c r="V32" s="2212" t="e">
        <f>IF('Report-M&amp;O2122'!C$18-'Report-SOF2122'!D$55&lt;=0,0,'Report-M&amp;O2122'!C$18-'Report-SOF2122'!D$55)</f>
        <v>#DIV/0!</v>
      </c>
      <c r="W32" s="2452" t="e">
        <f t="shared" si="9"/>
        <v>#DIV/0!</v>
      </c>
      <c r="X32" s="1708">
        <f>IF(A32='Data Entry - SOF'!B$2,'Data Entry - SOF'!M$64,0)</f>
        <v>0</v>
      </c>
      <c r="Y32" s="1371" t="e">
        <f t="shared" si="10"/>
        <v>#DIV/0!</v>
      </c>
      <c r="Z32" s="2212" t="e">
        <f>IF('Report-M&amp;O2223'!C$18-'Report-SOF2223'!D$55&lt;=0,0,'Report-M&amp;O2223'!C$18-'Report-SOF2223'!D$55)</f>
        <v>#DIV/0!</v>
      </c>
      <c r="AA32" s="1708">
        <f>IF(A32='Data Entry - SOF'!B$2,'Data Entry - SOF'!O$64,0)</f>
        <v>0</v>
      </c>
    </row>
    <row r="33" spans="1:27" ht="15.75">
      <c r="A33" s="1076" t="s">
        <v>2220</v>
      </c>
      <c r="B33">
        <v>7079303</v>
      </c>
      <c r="C33" s="2452" t="e">
        <f>#REF!+#REF!</f>
        <v>#REF!</v>
      </c>
      <c r="D33" s="2449">
        <f>IF(A33='Data Entry - SOF'!B$2,'Data Entry - SOF'!C$64,0)</f>
        <v>0</v>
      </c>
      <c r="E33" s="2450">
        <f t="shared" si="0"/>
        <v>7079303</v>
      </c>
      <c r="F33" s="2212" t="e">
        <f>IF('Report-M&amp;O1718'!C$18-'Report-SOF1718'!D$55&lt;=0,0,'Report-M&amp;O1718'!C$18-'Report-SOF1718'!D$55)</f>
        <v>#DIV/0!</v>
      </c>
      <c r="G33" s="2452" t="e">
        <f t="shared" si="1"/>
        <v>#DIV/0!</v>
      </c>
      <c r="H33" s="2449">
        <f>IF(A33='Data Entry - SOF'!B$2,'Data Entry - SOF'!E$64,0)</f>
        <v>0</v>
      </c>
      <c r="I33" s="1687">
        <f t="shared" si="2"/>
        <v>7079303</v>
      </c>
      <c r="J33" s="2212" t="e">
        <f>IF('Report-M&amp;O1819'!C$18-'Report-SOF1819'!D$55&lt;=0,0,'Report-M&amp;O1819'!C$18-'Report-SOF1819'!D$55)</f>
        <v>#DIV/0!</v>
      </c>
      <c r="K33" s="2452" t="e">
        <f t="shared" si="3"/>
        <v>#DIV/0!</v>
      </c>
      <c r="L33" s="2449">
        <f>IF(A33='Data Entry - SOF'!B$2,'Data Entry - SOF'!G$64,0)</f>
        <v>0</v>
      </c>
      <c r="M33" s="1371">
        <f t="shared" si="4"/>
        <v>7079303</v>
      </c>
      <c r="N33" s="2212" t="e">
        <f>IF('Report-M&amp;O1920'!C$18-'Report-SOF1920'!D$55&lt;=0,0,'Report-M&amp;O1920'!C$18-'Report-SOF1920'!D$55)</f>
        <v>#DIV/0!</v>
      </c>
      <c r="O33" s="2452" t="e">
        <f t="shared" si="5"/>
        <v>#DIV/0!</v>
      </c>
      <c r="P33" s="2449">
        <f>IF(A33='Data Entry - SOF'!B$2,'Data Entry - SOF'!I$64,0)</f>
        <v>0</v>
      </c>
      <c r="Q33" s="1687">
        <f t="shared" si="6"/>
        <v>7079303</v>
      </c>
      <c r="R33" s="2212" t="e">
        <f>IF('Report-M&amp;O2021'!C$18-'Report-SOF2021'!D$55&lt;=0,0,'Report-M&amp;O2021'!C$18-'Report-SOF2021'!D$55)</f>
        <v>#DIV/0!</v>
      </c>
      <c r="S33" s="2452" t="e">
        <f t="shared" si="7"/>
        <v>#DIV/0!</v>
      </c>
      <c r="T33" s="1708">
        <f>IF(A33='Data Entry - SOF'!B$2,'Data Entry - SOF'!K$64,0)</f>
        <v>0</v>
      </c>
      <c r="U33" s="1687">
        <f t="shared" si="8"/>
        <v>7079303</v>
      </c>
      <c r="V33" s="2212" t="e">
        <f>IF('Report-M&amp;O2122'!C$18-'Report-SOF2122'!D$55&lt;=0,0,'Report-M&amp;O2122'!C$18-'Report-SOF2122'!D$55)</f>
        <v>#DIV/0!</v>
      </c>
      <c r="W33" s="2452" t="e">
        <f t="shared" si="9"/>
        <v>#DIV/0!</v>
      </c>
      <c r="X33" s="1708">
        <f>IF(A33='Data Entry - SOF'!B$2,'Data Entry - SOF'!M$64,0)</f>
        <v>0</v>
      </c>
      <c r="Y33" s="1371" t="e">
        <f t="shared" si="10"/>
        <v>#DIV/0!</v>
      </c>
      <c r="Z33" s="2212" t="e">
        <f>IF('Report-M&amp;O2223'!C$18-'Report-SOF2223'!D$55&lt;=0,0,'Report-M&amp;O2223'!C$18-'Report-SOF2223'!D$55)</f>
        <v>#DIV/0!</v>
      </c>
      <c r="AA33" s="1708">
        <f>IF(A33='Data Entry - SOF'!B$2,'Data Entry - SOF'!O$64,0)</f>
        <v>0</v>
      </c>
    </row>
    <row r="34" spans="1:27" ht="15.75">
      <c r="A34" s="1076" t="s">
        <v>1896</v>
      </c>
      <c r="B34">
        <v>39403507</v>
      </c>
      <c r="C34" s="2452" t="e">
        <f>#REF!+#REF!</f>
        <v>#REF!</v>
      </c>
      <c r="D34" s="2449">
        <f>IF(A34='Data Entry - SOF'!B$2,'Data Entry - SOF'!C$64,0)</f>
        <v>0</v>
      </c>
      <c r="E34" s="2450">
        <f t="shared" si="0"/>
        <v>39403507</v>
      </c>
      <c r="F34" s="2212" t="e">
        <f>IF('Report-M&amp;O1718'!C$18-'Report-SOF1718'!D$55&lt;=0,0,'Report-M&amp;O1718'!C$18-'Report-SOF1718'!D$55)</f>
        <v>#DIV/0!</v>
      </c>
      <c r="G34" s="2452" t="e">
        <f t="shared" si="1"/>
        <v>#DIV/0!</v>
      </c>
      <c r="H34" s="2449">
        <f>IF(A34='Data Entry - SOF'!B$2,'Data Entry - SOF'!E$64,0)</f>
        <v>0</v>
      </c>
      <c r="I34" s="1687">
        <f t="shared" si="2"/>
        <v>39403507</v>
      </c>
      <c r="J34" s="2212" t="e">
        <f>IF('Report-M&amp;O1819'!C$18-'Report-SOF1819'!D$55&lt;=0,0,'Report-M&amp;O1819'!C$18-'Report-SOF1819'!D$55)</f>
        <v>#DIV/0!</v>
      </c>
      <c r="K34" s="2452" t="e">
        <f t="shared" si="3"/>
        <v>#DIV/0!</v>
      </c>
      <c r="L34" s="2449">
        <f>IF(A34='Data Entry - SOF'!B$2,'Data Entry - SOF'!G$64,0)</f>
        <v>0</v>
      </c>
      <c r="M34" s="1371">
        <f t="shared" si="4"/>
        <v>39403507</v>
      </c>
      <c r="N34" s="2212" t="e">
        <f>IF('Report-M&amp;O1920'!C$18-'Report-SOF1920'!D$55&lt;=0,0,'Report-M&amp;O1920'!C$18-'Report-SOF1920'!D$55)</f>
        <v>#DIV/0!</v>
      </c>
      <c r="O34" s="2452" t="e">
        <f t="shared" si="5"/>
        <v>#DIV/0!</v>
      </c>
      <c r="P34" s="2449">
        <f>IF(A34='Data Entry - SOF'!B$2,'Data Entry - SOF'!I$64,0)</f>
        <v>0</v>
      </c>
      <c r="Q34" s="1687">
        <f t="shared" si="6"/>
        <v>39403507</v>
      </c>
      <c r="R34" s="2212" t="e">
        <f>IF('Report-M&amp;O2021'!C$18-'Report-SOF2021'!D$55&lt;=0,0,'Report-M&amp;O2021'!C$18-'Report-SOF2021'!D$55)</f>
        <v>#DIV/0!</v>
      </c>
      <c r="S34" s="2452" t="e">
        <f t="shared" si="7"/>
        <v>#DIV/0!</v>
      </c>
      <c r="T34" s="1708">
        <f>IF(A34='Data Entry - SOF'!B$2,'Data Entry - SOF'!K$64,0)</f>
        <v>0</v>
      </c>
      <c r="U34" s="1687">
        <f t="shared" si="8"/>
        <v>39403507</v>
      </c>
      <c r="V34" s="2212" t="e">
        <f>IF('Report-M&amp;O2122'!C$18-'Report-SOF2122'!D$55&lt;=0,0,'Report-M&amp;O2122'!C$18-'Report-SOF2122'!D$55)</f>
        <v>#DIV/0!</v>
      </c>
      <c r="W34" s="2452" t="e">
        <f t="shared" si="9"/>
        <v>#DIV/0!</v>
      </c>
      <c r="X34" s="1708">
        <f>IF(A34='Data Entry - SOF'!B$2,'Data Entry - SOF'!M$64,0)</f>
        <v>0</v>
      </c>
      <c r="Y34" s="1371" t="e">
        <f t="shared" si="10"/>
        <v>#DIV/0!</v>
      </c>
      <c r="Z34" s="2212" t="e">
        <f>IF('Report-M&amp;O2223'!C$18-'Report-SOF2223'!D$55&lt;=0,0,'Report-M&amp;O2223'!C$18-'Report-SOF2223'!D$55)</f>
        <v>#DIV/0!</v>
      </c>
      <c r="AA34" s="1708">
        <f>IF(A34='Data Entry - SOF'!B$2,'Data Entry - SOF'!O$64,0)</f>
        <v>0</v>
      </c>
    </row>
    <row r="35" spans="1:27" ht="15.75">
      <c r="A35" s="1076" t="s">
        <v>876</v>
      </c>
      <c r="B35">
        <v>13139909</v>
      </c>
      <c r="C35" s="2452" t="e">
        <f>#REF!+#REF!</f>
        <v>#REF!</v>
      </c>
      <c r="D35" s="2449">
        <f>IF(A35='Data Entry - SOF'!B$2,'Data Entry - SOF'!C$64,0)</f>
        <v>0</v>
      </c>
      <c r="E35" s="2450">
        <f t="shared" si="0"/>
        <v>13139909</v>
      </c>
      <c r="F35" s="2212" t="e">
        <f>IF('Report-M&amp;O1718'!C$18-'Report-SOF1718'!D$55&lt;=0,0,'Report-M&amp;O1718'!C$18-'Report-SOF1718'!D$55)</f>
        <v>#DIV/0!</v>
      </c>
      <c r="G35" s="2452" t="e">
        <f t="shared" si="1"/>
        <v>#DIV/0!</v>
      </c>
      <c r="H35" s="2449">
        <f>IF(A35='Data Entry - SOF'!B$2,'Data Entry - SOF'!E$64,0)</f>
        <v>0</v>
      </c>
      <c r="I35" s="1687">
        <f t="shared" si="2"/>
        <v>13139909</v>
      </c>
      <c r="J35" s="2212" t="e">
        <f>IF('Report-M&amp;O1819'!C$18-'Report-SOF1819'!D$55&lt;=0,0,'Report-M&amp;O1819'!C$18-'Report-SOF1819'!D$55)</f>
        <v>#DIV/0!</v>
      </c>
      <c r="K35" s="2452" t="e">
        <f t="shared" si="3"/>
        <v>#DIV/0!</v>
      </c>
      <c r="L35" s="2449">
        <f>IF(A35='Data Entry - SOF'!B$2,'Data Entry - SOF'!G$64,0)</f>
        <v>0</v>
      </c>
      <c r="M35" s="1371">
        <f t="shared" si="4"/>
        <v>13139909</v>
      </c>
      <c r="N35" s="2212" t="e">
        <f>IF('Report-M&amp;O1920'!C$18-'Report-SOF1920'!D$55&lt;=0,0,'Report-M&amp;O1920'!C$18-'Report-SOF1920'!D$55)</f>
        <v>#DIV/0!</v>
      </c>
      <c r="O35" s="2452" t="e">
        <f t="shared" si="5"/>
        <v>#DIV/0!</v>
      </c>
      <c r="P35" s="2449">
        <f>IF(A35='Data Entry - SOF'!B$2,'Data Entry - SOF'!I$64,0)</f>
        <v>0</v>
      </c>
      <c r="Q35" s="1687">
        <f t="shared" si="6"/>
        <v>13139909</v>
      </c>
      <c r="R35" s="2212" t="e">
        <f>IF('Report-M&amp;O2021'!C$18-'Report-SOF2021'!D$55&lt;=0,0,'Report-M&amp;O2021'!C$18-'Report-SOF2021'!D$55)</f>
        <v>#DIV/0!</v>
      </c>
      <c r="S35" s="2452" t="e">
        <f t="shared" si="7"/>
        <v>#DIV/0!</v>
      </c>
      <c r="T35" s="1708">
        <f>IF(A35='Data Entry - SOF'!B$2,'Data Entry - SOF'!K$64,0)</f>
        <v>0</v>
      </c>
      <c r="U35" s="1687">
        <f t="shared" si="8"/>
        <v>13139909</v>
      </c>
      <c r="V35" s="2212" t="e">
        <f>IF('Report-M&amp;O2122'!C$18-'Report-SOF2122'!D$55&lt;=0,0,'Report-M&amp;O2122'!C$18-'Report-SOF2122'!D$55)</f>
        <v>#DIV/0!</v>
      </c>
      <c r="W35" s="2452" t="e">
        <f t="shared" si="9"/>
        <v>#DIV/0!</v>
      </c>
      <c r="X35" s="1708">
        <f>IF(A35='Data Entry - SOF'!B$2,'Data Entry - SOF'!M$64,0)</f>
        <v>0</v>
      </c>
      <c r="Y35" s="1371" t="e">
        <f t="shared" si="10"/>
        <v>#DIV/0!</v>
      </c>
      <c r="Z35" s="2212" t="e">
        <f>IF('Report-M&amp;O2223'!C$18-'Report-SOF2223'!D$55&lt;=0,0,'Report-M&amp;O2223'!C$18-'Report-SOF2223'!D$55)</f>
        <v>#DIV/0!</v>
      </c>
      <c r="AA35" s="1708">
        <f>IF(A35='Data Entry - SOF'!B$2,'Data Entry - SOF'!O$64,0)</f>
        <v>0</v>
      </c>
    </row>
    <row r="36" spans="1:27" ht="15.75">
      <c r="A36" s="1076" t="s">
        <v>2710</v>
      </c>
      <c r="B36">
        <v>5619046</v>
      </c>
      <c r="C36" s="2452" t="e">
        <f>#REF!+#REF!</f>
        <v>#REF!</v>
      </c>
      <c r="D36" s="2449">
        <f>IF(A36='Data Entry - SOF'!B$2,'Data Entry - SOF'!C$64,0)</f>
        <v>0</v>
      </c>
      <c r="E36" s="2450">
        <f t="shared" si="0"/>
        <v>5619046</v>
      </c>
      <c r="F36" s="2212" t="e">
        <f>IF('Report-M&amp;O1718'!C$18-'Report-SOF1718'!D$55&lt;=0,0,'Report-M&amp;O1718'!C$18-'Report-SOF1718'!D$55)</f>
        <v>#DIV/0!</v>
      </c>
      <c r="G36" s="2452" t="e">
        <f t="shared" si="1"/>
        <v>#DIV/0!</v>
      </c>
      <c r="H36" s="2449">
        <f>IF(A36='Data Entry - SOF'!B$2,'Data Entry - SOF'!E$64,0)</f>
        <v>0</v>
      </c>
      <c r="I36" s="1687">
        <f t="shared" si="2"/>
        <v>5619046</v>
      </c>
      <c r="J36" s="2212" t="e">
        <f>IF('Report-M&amp;O1819'!C$18-'Report-SOF1819'!D$55&lt;=0,0,'Report-M&amp;O1819'!C$18-'Report-SOF1819'!D$55)</f>
        <v>#DIV/0!</v>
      </c>
      <c r="K36" s="2452" t="e">
        <f t="shared" si="3"/>
        <v>#DIV/0!</v>
      </c>
      <c r="L36" s="2449">
        <f>IF(A36='Data Entry - SOF'!B$2,'Data Entry - SOF'!G$64,0)</f>
        <v>0</v>
      </c>
      <c r="M36" s="1371">
        <f t="shared" si="4"/>
        <v>5619046</v>
      </c>
      <c r="N36" s="2212" t="e">
        <f>IF('Report-M&amp;O1920'!C$18-'Report-SOF1920'!D$55&lt;=0,0,'Report-M&amp;O1920'!C$18-'Report-SOF1920'!D$55)</f>
        <v>#DIV/0!</v>
      </c>
      <c r="O36" s="2452" t="e">
        <f t="shared" si="5"/>
        <v>#DIV/0!</v>
      </c>
      <c r="P36" s="2449">
        <f>IF(A36='Data Entry - SOF'!B$2,'Data Entry - SOF'!I$64,0)</f>
        <v>0</v>
      </c>
      <c r="Q36" s="1687">
        <f t="shared" si="6"/>
        <v>5619046</v>
      </c>
      <c r="R36" s="2212" t="e">
        <f>IF('Report-M&amp;O2021'!C$18-'Report-SOF2021'!D$55&lt;=0,0,'Report-M&amp;O2021'!C$18-'Report-SOF2021'!D$55)</f>
        <v>#DIV/0!</v>
      </c>
      <c r="S36" s="2452" t="e">
        <f t="shared" si="7"/>
        <v>#DIV/0!</v>
      </c>
      <c r="T36" s="1708">
        <f>IF(A36='Data Entry - SOF'!B$2,'Data Entry - SOF'!K$64,0)</f>
        <v>0</v>
      </c>
      <c r="U36" s="1687">
        <f t="shared" si="8"/>
        <v>5619046</v>
      </c>
      <c r="V36" s="2212" t="e">
        <f>IF('Report-M&amp;O2122'!C$18-'Report-SOF2122'!D$55&lt;=0,0,'Report-M&amp;O2122'!C$18-'Report-SOF2122'!D$55)</f>
        <v>#DIV/0!</v>
      </c>
      <c r="W36" s="2452" t="e">
        <f t="shared" si="9"/>
        <v>#DIV/0!</v>
      </c>
      <c r="X36" s="1708">
        <f>IF(A36='Data Entry - SOF'!B$2,'Data Entry - SOF'!M$64,0)</f>
        <v>0</v>
      </c>
      <c r="Y36" s="1371" t="e">
        <f t="shared" si="10"/>
        <v>#DIV/0!</v>
      </c>
      <c r="Z36" s="2212" t="e">
        <f>IF('Report-M&amp;O2223'!C$18-'Report-SOF2223'!D$55&lt;=0,0,'Report-M&amp;O2223'!C$18-'Report-SOF2223'!D$55)</f>
        <v>#DIV/0!</v>
      </c>
      <c r="AA36" s="1708">
        <f>IF(A36='Data Entry - SOF'!B$2,'Data Entry - SOF'!O$64,0)</f>
        <v>0</v>
      </c>
    </row>
    <row r="37" spans="1:27" ht="15.75">
      <c r="A37" s="1076" t="s">
        <v>2448</v>
      </c>
      <c r="B37">
        <v>963659</v>
      </c>
      <c r="C37" s="2452" t="e">
        <f>#REF!+#REF!</f>
        <v>#REF!</v>
      </c>
      <c r="D37" s="2449">
        <f>IF(A37='Data Entry - SOF'!B$2,'Data Entry - SOF'!C$64,0)</f>
        <v>0</v>
      </c>
      <c r="E37" s="2450">
        <f t="shared" si="0"/>
        <v>963659</v>
      </c>
      <c r="F37" s="2212" t="e">
        <f>IF('Report-M&amp;O1718'!C$18-'Report-SOF1718'!D$55&lt;=0,0,'Report-M&amp;O1718'!C$18-'Report-SOF1718'!D$55)</f>
        <v>#DIV/0!</v>
      </c>
      <c r="G37" s="2452" t="e">
        <f t="shared" si="1"/>
        <v>#DIV/0!</v>
      </c>
      <c r="H37" s="2449">
        <f>IF(A37='Data Entry - SOF'!B$2,'Data Entry - SOF'!E$64,0)</f>
        <v>0</v>
      </c>
      <c r="I37" s="1687">
        <f t="shared" si="2"/>
        <v>963659</v>
      </c>
      <c r="J37" s="2212" t="e">
        <f>IF('Report-M&amp;O1819'!C$18-'Report-SOF1819'!D$55&lt;=0,0,'Report-M&amp;O1819'!C$18-'Report-SOF1819'!D$55)</f>
        <v>#DIV/0!</v>
      </c>
      <c r="K37" s="2452" t="e">
        <f t="shared" si="3"/>
        <v>#DIV/0!</v>
      </c>
      <c r="L37" s="2449">
        <f>IF(A37='Data Entry - SOF'!B$2,'Data Entry - SOF'!G$64,0)</f>
        <v>0</v>
      </c>
      <c r="M37" s="1371">
        <f t="shared" si="4"/>
        <v>963659</v>
      </c>
      <c r="N37" s="2212" t="e">
        <f>IF('Report-M&amp;O1920'!C$18-'Report-SOF1920'!D$55&lt;=0,0,'Report-M&amp;O1920'!C$18-'Report-SOF1920'!D$55)</f>
        <v>#DIV/0!</v>
      </c>
      <c r="O37" s="2452" t="e">
        <f t="shared" si="5"/>
        <v>#DIV/0!</v>
      </c>
      <c r="P37" s="2449">
        <f>IF(A37='Data Entry - SOF'!B$2,'Data Entry - SOF'!I$64,0)</f>
        <v>0</v>
      </c>
      <c r="Q37" s="1687">
        <f t="shared" si="6"/>
        <v>963659</v>
      </c>
      <c r="R37" s="2212" t="e">
        <f>IF('Report-M&amp;O2021'!C$18-'Report-SOF2021'!D$55&lt;=0,0,'Report-M&amp;O2021'!C$18-'Report-SOF2021'!D$55)</f>
        <v>#DIV/0!</v>
      </c>
      <c r="S37" s="2452" t="e">
        <f t="shared" si="7"/>
        <v>#DIV/0!</v>
      </c>
      <c r="T37" s="1708">
        <f>IF(A37='Data Entry - SOF'!B$2,'Data Entry - SOF'!K$64,0)</f>
        <v>0</v>
      </c>
      <c r="U37" s="1687">
        <f t="shared" si="8"/>
        <v>963659</v>
      </c>
      <c r="V37" s="2212" t="e">
        <f>IF('Report-M&amp;O2122'!C$18-'Report-SOF2122'!D$55&lt;=0,0,'Report-M&amp;O2122'!C$18-'Report-SOF2122'!D$55)</f>
        <v>#DIV/0!</v>
      </c>
      <c r="W37" s="2452" t="e">
        <f t="shared" si="9"/>
        <v>#DIV/0!</v>
      </c>
      <c r="X37" s="1708">
        <f>IF(A37='Data Entry - SOF'!B$2,'Data Entry - SOF'!M$64,0)</f>
        <v>0</v>
      </c>
      <c r="Y37" s="1371" t="e">
        <f t="shared" si="10"/>
        <v>#DIV/0!</v>
      </c>
      <c r="Z37" s="2212" t="e">
        <f>IF('Report-M&amp;O2223'!C$18-'Report-SOF2223'!D$55&lt;=0,0,'Report-M&amp;O2223'!C$18-'Report-SOF2223'!D$55)</f>
        <v>#DIV/0!</v>
      </c>
      <c r="AA37" s="1708">
        <f>IF(A37='Data Entry - SOF'!B$2,'Data Entry - SOF'!O$64,0)</f>
        <v>0</v>
      </c>
    </row>
    <row r="38" spans="1:27" ht="15.75">
      <c r="A38" s="1076" t="s">
        <v>492</v>
      </c>
      <c r="B38">
        <v>3312846</v>
      </c>
      <c r="C38" s="2452" t="e">
        <f>#REF!+#REF!</f>
        <v>#REF!</v>
      </c>
      <c r="D38" s="2449">
        <f>IF(A38='Data Entry - SOF'!B$2,'Data Entry - SOF'!C$64,0)</f>
        <v>0</v>
      </c>
      <c r="E38" s="2450">
        <f t="shared" si="0"/>
        <v>3312846</v>
      </c>
      <c r="F38" s="2212" t="e">
        <f>IF('Report-M&amp;O1718'!C$18-'Report-SOF1718'!D$55&lt;=0,0,'Report-M&amp;O1718'!C$18-'Report-SOF1718'!D$55)</f>
        <v>#DIV/0!</v>
      </c>
      <c r="G38" s="2452" t="e">
        <f t="shared" si="1"/>
        <v>#DIV/0!</v>
      </c>
      <c r="H38" s="2449">
        <f>IF(A38='Data Entry - SOF'!B$2,'Data Entry - SOF'!E$64,0)</f>
        <v>0</v>
      </c>
      <c r="I38" s="1687">
        <f t="shared" si="2"/>
        <v>3312846</v>
      </c>
      <c r="J38" s="2212" t="e">
        <f>IF('Report-M&amp;O1819'!C$18-'Report-SOF1819'!D$55&lt;=0,0,'Report-M&amp;O1819'!C$18-'Report-SOF1819'!D$55)</f>
        <v>#DIV/0!</v>
      </c>
      <c r="K38" s="2452" t="e">
        <f t="shared" si="3"/>
        <v>#DIV/0!</v>
      </c>
      <c r="L38" s="2449">
        <f>IF(A38='Data Entry - SOF'!B$2,'Data Entry - SOF'!G$64,0)</f>
        <v>0</v>
      </c>
      <c r="M38" s="1371">
        <f t="shared" si="4"/>
        <v>3312846</v>
      </c>
      <c r="N38" s="2212" t="e">
        <f>IF('Report-M&amp;O1920'!C$18-'Report-SOF1920'!D$55&lt;=0,0,'Report-M&amp;O1920'!C$18-'Report-SOF1920'!D$55)</f>
        <v>#DIV/0!</v>
      </c>
      <c r="O38" s="2452" t="e">
        <f t="shared" si="5"/>
        <v>#DIV/0!</v>
      </c>
      <c r="P38" s="2449">
        <f>IF(A38='Data Entry - SOF'!B$2,'Data Entry - SOF'!I$64,0)</f>
        <v>0</v>
      </c>
      <c r="Q38" s="1687">
        <f t="shared" si="6"/>
        <v>3312846</v>
      </c>
      <c r="R38" s="2212" t="e">
        <f>IF('Report-M&amp;O2021'!C$18-'Report-SOF2021'!D$55&lt;=0,0,'Report-M&amp;O2021'!C$18-'Report-SOF2021'!D$55)</f>
        <v>#DIV/0!</v>
      </c>
      <c r="S38" s="2452" t="e">
        <f t="shared" si="7"/>
        <v>#DIV/0!</v>
      </c>
      <c r="T38" s="1708">
        <f>IF(A38='Data Entry - SOF'!B$2,'Data Entry - SOF'!K$64,0)</f>
        <v>0</v>
      </c>
      <c r="U38" s="1687">
        <f t="shared" si="8"/>
        <v>3312846</v>
      </c>
      <c r="V38" s="2212" t="e">
        <f>IF('Report-M&amp;O2122'!C$18-'Report-SOF2122'!D$55&lt;=0,0,'Report-M&amp;O2122'!C$18-'Report-SOF2122'!D$55)</f>
        <v>#DIV/0!</v>
      </c>
      <c r="W38" s="2452" t="e">
        <f t="shared" si="9"/>
        <v>#DIV/0!</v>
      </c>
      <c r="X38" s="1708">
        <f>IF(A38='Data Entry - SOF'!B$2,'Data Entry - SOF'!M$64,0)</f>
        <v>0</v>
      </c>
      <c r="Y38" s="1371" t="e">
        <f t="shared" si="10"/>
        <v>#DIV/0!</v>
      </c>
      <c r="Z38" s="2212" t="e">
        <f>IF('Report-M&amp;O2223'!C$18-'Report-SOF2223'!D$55&lt;=0,0,'Report-M&amp;O2223'!C$18-'Report-SOF2223'!D$55)</f>
        <v>#DIV/0!</v>
      </c>
      <c r="AA38" s="1708">
        <f>IF(A38='Data Entry - SOF'!B$2,'Data Entry - SOF'!O$64,0)</f>
        <v>0</v>
      </c>
    </row>
    <row r="39" spans="1:27" ht="15.75">
      <c r="A39" s="1076" t="s">
        <v>2711</v>
      </c>
      <c r="B39">
        <v>2822090</v>
      </c>
      <c r="C39" s="2452" t="e">
        <f>#REF!+#REF!</f>
        <v>#REF!</v>
      </c>
      <c r="D39" s="2449">
        <f>IF(A39='Data Entry - SOF'!B$2,'Data Entry - SOF'!C$64,0)</f>
        <v>0</v>
      </c>
      <c r="E39" s="2450">
        <f t="shared" si="0"/>
        <v>2822090</v>
      </c>
      <c r="F39" s="2212" t="e">
        <f>IF('Report-M&amp;O1718'!C$18-'Report-SOF1718'!D$55&lt;=0,0,'Report-M&amp;O1718'!C$18-'Report-SOF1718'!D$55)</f>
        <v>#DIV/0!</v>
      </c>
      <c r="G39" s="2452" t="e">
        <f t="shared" si="1"/>
        <v>#DIV/0!</v>
      </c>
      <c r="H39" s="2449">
        <f>IF(A39='Data Entry - SOF'!B$2,'Data Entry - SOF'!E$64,0)</f>
        <v>0</v>
      </c>
      <c r="I39" s="1687">
        <f t="shared" si="2"/>
        <v>2822090</v>
      </c>
      <c r="J39" s="2212" t="e">
        <f>IF('Report-M&amp;O1819'!C$18-'Report-SOF1819'!D$55&lt;=0,0,'Report-M&amp;O1819'!C$18-'Report-SOF1819'!D$55)</f>
        <v>#DIV/0!</v>
      </c>
      <c r="K39" s="2452" t="e">
        <f t="shared" si="3"/>
        <v>#DIV/0!</v>
      </c>
      <c r="L39" s="2449">
        <f>IF(A39='Data Entry - SOF'!B$2,'Data Entry - SOF'!G$64,0)</f>
        <v>0</v>
      </c>
      <c r="M39" s="1371">
        <f t="shared" si="4"/>
        <v>2822090</v>
      </c>
      <c r="N39" s="2212" t="e">
        <f>IF('Report-M&amp;O1920'!C$18-'Report-SOF1920'!D$55&lt;=0,0,'Report-M&amp;O1920'!C$18-'Report-SOF1920'!D$55)</f>
        <v>#DIV/0!</v>
      </c>
      <c r="O39" s="2452" t="e">
        <f t="shared" si="5"/>
        <v>#DIV/0!</v>
      </c>
      <c r="P39" s="2449">
        <f>IF(A39='Data Entry - SOF'!B$2,'Data Entry - SOF'!I$64,0)</f>
        <v>0</v>
      </c>
      <c r="Q39" s="1687">
        <f t="shared" si="6"/>
        <v>2822090</v>
      </c>
      <c r="R39" s="2212" t="e">
        <f>IF('Report-M&amp;O2021'!C$18-'Report-SOF2021'!D$55&lt;=0,0,'Report-M&amp;O2021'!C$18-'Report-SOF2021'!D$55)</f>
        <v>#DIV/0!</v>
      </c>
      <c r="S39" s="2452" t="e">
        <f t="shared" si="7"/>
        <v>#DIV/0!</v>
      </c>
      <c r="T39" s="1708">
        <f>IF(A39='Data Entry - SOF'!B$2,'Data Entry - SOF'!K$64,0)</f>
        <v>0</v>
      </c>
      <c r="U39" s="1687">
        <f t="shared" si="8"/>
        <v>2822090</v>
      </c>
      <c r="V39" s="2212" t="e">
        <f>IF('Report-M&amp;O2122'!C$18-'Report-SOF2122'!D$55&lt;=0,0,'Report-M&amp;O2122'!C$18-'Report-SOF2122'!D$55)</f>
        <v>#DIV/0!</v>
      </c>
      <c r="W39" s="2452" t="e">
        <f t="shared" si="9"/>
        <v>#DIV/0!</v>
      </c>
      <c r="X39" s="1708">
        <f>IF(A39='Data Entry - SOF'!B$2,'Data Entry - SOF'!M$64,0)</f>
        <v>0</v>
      </c>
      <c r="Y39" s="1371" t="e">
        <f t="shared" si="10"/>
        <v>#DIV/0!</v>
      </c>
      <c r="Z39" s="2212" t="e">
        <f>IF('Report-M&amp;O2223'!C$18-'Report-SOF2223'!D$55&lt;=0,0,'Report-M&amp;O2223'!C$18-'Report-SOF2223'!D$55)</f>
        <v>#DIV/0!</v>
      </c>
      <c r="AA39" s="1708">
        <f>IF(A39='Data Entry - SOF'!B$2,'Data Entry - SOF'!O$64,0)</f>
        <v>0</v>
      </c>
    </row>
    <row r="40" spans="1:27" ht="15.75">
      <c r="A40" s="1076" t="s">
        <v>3048</v>
      </c>
      <c r="B40">
        <v>5985088.9114896702</v>
      </c>
      <c r="C40" s="2452" t="e">
        <f>#REF!+#REF!</f>
        <v>#REF!</v>
      </c>
      <c r="D40" s="2449">
        <f>IF(A40='Data Entry - SOF'!B$2,'Data Entry - SOF'!C$64,0)</f>
        <v>0</v>
      </c>
      <c r="E40" s="2450">
        <f t="shared" si="0"/>
        <v>5985088.9114896702</v>
      </c>
      <c r="F40" s="2212" t="e">
        <f>IF('Report-M&amp;O1718'!C$18-'Report-SOF1718'!D$55&lt;=0,0,'Report-M&amp;O1718'!C$18-'Report-SOF1718'!D$55)</f>
        <v>#DIV/0!</v>
      </c>
      <c r="G40" s="2452" t="e">
        <f t="shared" si="1"/>
        <v>#DIV/0!</v>
      </c>
      <c r="H40" s="2449">
        <f>IF(A40='Data Entry - SOF'!B$2,'Data Entry - SOF'!E$64,0)</f>
        <v>0</v>
      </c>
      <c r="I40" s="1687">
        <f t="shared" si="2"/>
        <v>5985088.9114896702</v>
      </c>
      <c r="J40" s="2212" t="e">
        <f>IF('Report-M&amp;O1819'!C$18-'Report-SOF1819'!D$55&lt;=0,0,'Report-M&amp;O1819'!C$18-'Report-SOF1819'!D$55)</f>
        <v>#DIV/0!</v>
      </c>
      <c r="K40" s="2452" t="e">
        <f t="shared" si="3"/>
        <v>#DIV/0!</v>
      </c>
      <c r="L40" s="2449">
        <f>IF(A40='Data Entry - SOF'!B$2,'Data Entry - SOF'!G$64,0)</f>
        <v>0</v>
      </c>
      <c r="M40" s="1371">
        <f t="shared" si="4"/>
        <v>5985088.9114896702</v>
      </c>
      <c r="N40" s="2212" t="e">
        <f>IF('Report-M&amp;O1920'!C$18-'Report-SOF1920'!D$55&lt;=0,0,'Report-M&amp;O1920'!C$18-'Report-SOF1920'!D$55)</f>
        <v>#DIV/0!</v>
      </c>
      <c r="O40" s="2452" t="e">
        <f t="shared" si="5"/>
        <v>#DIV/0!</v>
      </c>
      <c r="P40" s="2449">
        <f>IF(A40='Data Entry - SOF'!B$2,'Data Entry - SOF'!I$64,0)</f>
        <v>0</v>
      </c>
      <c r="Q40" s="1687">
        <f t="shared" si="6"/>
        <v>5985088.9114896702</v>
      </c>
      <c r="R40" s="2212" t="e">
        <f>IF('Report-M&amp;O2021'!C$18-'Report-SOF2021'!D$55&lt;=0,0,'Report-M&amp;O2021'!C$18-'Report-SOF2021'!D$55)</f>
        <v>#DIV/0!</v>
      </c>
      <c r="S40" s="2452" t="e">
        <f t="shared" si="7"/>
        <v>#DIV/0!</v>
      </c>
      <c r="T40" s="1708">
        <f>IF(A40='Data Entry - SOF'!B$2,'Data Entry - SOF'!K$64,0)</f>
        <v>0</v>
      </c>
      <c r="U40" s="1687">
        <f t="shared" si="8"/>
        <v>5985088.9114896702</v>
      </c>
      <c r="V40" s="2212" t="e">
        <f>IF('Report-M&amp;O2122'!C$18-'Report-SOF2122'!D$55&lt;=0,0,'Report-M&amp;O2122'!C$18-'Report-SOF2122'!D$55)</f>
        <v>#DIV/0!</v>
      </c>
      <c r="W40" s="2452" t="e">
        <f t="shared" si="9"/>
        <v>#DIV/0!</v>
      </c>
      <c r="X40" s="1708">
        <f>IF(A40='Data Entry - SOF'!B$2,'Data Entry - SOF'!M$64,0)</f>
        <v>0</v>
      </c>
      <c r="Y40" s="1371" t="e">
        <f t="shared" si="10"/>
        <v>#DIV/0!</v>
      </c>
      <c r="Z40" s="2212" t="e">
        <f>IF('Report-M&amp;O2223'!C$18-'Report-SOF2223'!D$55&lt;=0,0,'Report-M&amp;O2223'!C$18-'Report-SOF2223'!D$55)</f>
        <v>#DIV/0!</v>
      </c>
      <c r="AA40" s="1708">
        <f>IF(A40='Data Entry - SOF'!B$2,'Data Entry - SOF'!O$64,0)</f>
        <v>0</v>
      </c>
    </row>
    <row r="41" spans="1:27" ht="15.75">
      <c r="A41" s="1076" t="s">
        <v>3049</v>
      </c>
      <c r="B41">
        <v>6343422</v>
      </c>
      <c r="C41" s="2452" t="e">
        <f>#REF!+#REF!</f>
        <v>#REF!</v>
      </c>
      <c r="D41" s="2449">
        <f>IF(A41='Data Entry - SOF'!B$2,'Data Entry - SOF'!C$64,0)</f>
        <v>0</v>
      </c>
      <c r="E41" s="2450">
        <f t="shared" si="0"/>
        <v>6343422</v>
      </c>
      <c r="F41" s="2212" t="e">
        <f>IF('Report-M&amp;O1718'!C$18-'Report-SOF1718'!D$55&lt;=0,0,'Report-M&amp;O1718'!C$18-'Report-SOF1718'!D$55)</f>
        <v>#DIV/0!</v>
      </c>
      <c r="G41" s="2452" t="e">
        <f t="shared" si="1"/>
        <v>#DIV/0!</v>
      </c>
      <c r="H41" s="2449">
        <f>IF(A41='Data Entry - SOF'!B$2,'Data Entry - SOF'!E$64,0)</f>
        <v>0</v>
      </c>
      <c r="I41" s="1687">
        <f t="shared" si="2"/>
        <v>6343422</v>
      </c>
      <c r="J41" s="2212" t="e">
        <f>IF('Report-M&amp;O1819'!C$18-'Report-SOF1819'!D$55&lt;=0,0,'Report-M&amp;O1819'!C$18-'Report-SOF1819'!D$55)</f>
        <v>#DIV/0!</v>
      </c>
      <c r="K41" s="2452" t="e">
        <f t="shared" si="3"/>
        <v>#DIV/0!</v>
      </c>
      <c r="L41" s="2449">
        <f>IF(A41='Data Entry - SOF'!B$2,'Data Entry - SOF'!G$64,0)</f>
        <v>0</v>
      </c>
      <c r="M41" s="1371">
        <f t="shared" si="4"/>
        <v>6343422</v>
      </c>
      <c r="N41" s="2212" t="e">
        <f>IF('Report-M&amp;O1920'!C$18-'Report-SOF1920'!D$55&lt;=0,0,'Report-M&amp;O1920'!C$18-'Report-SOF1920'!D$55)</f>
        <v>#DIV/0!</v>
      </c>
      <c r="O41" s="2452" t="e">
        <f t="shared" si="5"/>
        <v>#DIV/0!</v>
      </c>
      <c r="P41" s="2449">
        <f>IF(A41='Data Entry - SOF'!B$2,'Data Entry - SOF'!I$64,0)</f>
        <v>0</v>
      </c>
      <c r="Q41" s="1687">
        <f t="shared" si="6"/>
        <v>6343422</v>
      </c>
      <c r="R41" s="2212" t="e">
        <f>IF('Report-M&amp;O2021'!C$18-'Report-SOF2021'!D$55&lt;=0,0,'Report-M&amp;O2021'!C$18-'Report-SOF2021'!D$55)</f>
        <v>#DIV/0!</v>
      </c>
      <c r="S41" s="2452" t="e">
        <f t="shared" si="7"/>
        <v>#DIV/0!</v>
      </c>
      <c r="T41" s="1708">
        <f>IF(A41='Data Entry - SOF'!B$2,'Data Entry - SOF'!K$64,0)</f>
        <v>0</v>
      </c>
      <c r="U41" s="1687">
        <f t="shared" si="8"/>
        <v>6343422</v>
      </c>
      <c r="V41" s="2212" t="e">
        <f>IF('Report-M&amp;O2122'!C$18-'Report-SOF2122'!D$55&lt;=0,0,'Report-M&amp;O2122'!C$18-'Report-SOF2122'!D$55)</f>
        <v>#DIV/0!</v>
      </c>
      <c r="W41" s="2452" t="e">
        <f t="shared" si="9"/>
        <v>#DIV/0!</v>
      </c>
      <c r="X41" s="1708">
        <f>IF(A41='Data Entry - SOF'!B$2,'Data Entry - SOF'!M$64,0)</f>
        <v>0</v>
      </c>
      <c r="Y41" s="1371" t="e">
        <f t="shared" si="10"/>
        <v>#DIV/0!</v>
      </c>
      <c r="Z41" s="2212" t="e">
        <f>IF('Report-M&amp;O2223'!C$18-'Report-SOF2223'!D$55&lt;=0,0,'Report-M&amp;O2223'!C$18-'Report-SOF2223'!D$55)</f>
        <v>#DIV/0!</v>
      </c>
      <c r="AA41" s="1708">
        <f>IF(A41='Data Entry - SOF'!B$2,'Data Entry - SOF'!O$64,0)</f>
        <v>0</v>
      </c>
    </row>
    <row r="42" spans="1:27" ht="15.75">
      <c r="A42" s="1076" t="s">
        <v>1313</v>
      </c>
      <c r="B42">
        <v>2484106</v>
      </c>
      <c r="C42" s="2452" t="e">
        <f>#REF!+#REF!</f>
        <v>#REF!</v>
      </c>
      <c r="D42" s="2449">
        <f>IF(A42='Data Entry - SOF'!B$2,'Data Entry - SOF'!C$64,0)</f>
        <v>0</v>
      </c>
      <c r="E42" s="2450">
        <f t="shared" si="0"/>
        <v>2484106</v>
      </c>
      <c r="F42" s="2212" t="e">
        <f>IF('Report-M&amp;O1718'!C$18-'Report-SOF1718'!D$55&lt;=0,0,'Report-M&amp;O1718'!C$18-'Report-SOF1718'!D$55)</f>
        <v>#DIV/0!</v>
      </c>
      <c r="G42" s="2452" t="e">
        <f t="shared" si="1"/>
        <v>#DIV/0!</v>
      </c>
      <c r="H42" s="2449">
        <f>IF(A42='Data Entry - SOF'!B$2,'Data Entry - SOF'!E$64,0)</f>
        <v>0</v>
      </c>
      <c r="I42" s="1687">
        <f t="shared" si="2"/>
        <v>2484106</v>
      </c>
      <c r="J42" s="2212" t="e">
        <f>IF('Report-M&amp;O1819'!C$18-'Report-SOF1819'!D$55&lt;=0,0,'Report-M&amp;O1819'!C$18-'Report-SOF1819'!D$55)</f>
        <v>#DIV/0!</v>
      </c>
      <c r="K42" s="2452" t="e">
        <f t="shared" si="3"/>
        <v>#DIV/0!</v>
      </c>
      <c r="L42" s="2449">
        <f>IF(A42='Data Entry - SOF'!B$2,'Data Entry - SOF'!G$64,0)</f>
        <v>0</v>
      </c>
      <c r="M42" s="1371">
        <f t="shared" si="4"/>
        <v>2484106</v>
      </c>
      <c r="N42" s="2212" t="e">
        <f>IF('Report-M&amp;O1920'!C$18-'Report-SOF1920'!D$55&lt;=0,0,'Report-M&amp;O1920'!C$18-'Report-SOF1920'!D$55)</f>
        <v>#DIV/0!</v>
      </c>
      <c r="O42" s="2452" t="e">
        <f t="shared" si="5"/>
        <v>#DIV/0!</v>
      </c>
      <c r="P42" s="2449">
        <f>IF(A42='Data Entry - SOF'!B$2,'Data Entry - SOF'!I$64,0)</f>
        <v>0</v>
      </c>
      <c r="Q42" s="1687">
        <f t="shared" si="6"/>
        <v>2484106</v>
      </c>
      <c r="R42" s="2212" t="e">
        <f>IF('Report-M&amp;O2021'!C$18-'Report-SOF2021'!D$55&lt;=0,0,'Report-M&amp;O2021'!C$18-'Report-SOF2021'!D$55)</f>
        <v>#DIV/0!</v>
      </c>
      <c r="S42" s="2452" t="e">
        <f t="shared" si="7"/>
        <v>#DIV/0!</v>
      </c>
      <c r="T42" s="1708">
        <f>IF(A42='Data Entry - SOF'!B$2,'Data Entry - SOF'!K$64,0)</f>
        <v>0</v>
      </c>
      <c r="U42" s="1687">
        <f t="shared" si="8"/>
        <v>2484106</v>
      </c>
      <c r="V42" s="2212" t="e">
        <f>IF('Report-M&amp;O2122'!C$18-'Report-SOF2122'!D$55&lt;=0,0,'Report-M&amp;O2122'!C$18-'Report-SOF2122'!D$55)</f>
        <v>#DIV/0!</v>
      </c>
      <c r="W42" s="2452" t="e">
        <f t="shared" si="9"/>
        <v>#DIV/0!</v>
      </c>
      <c r="X42" s="1708">
        <f>IF(A42='Data Entry - SOF'!B$2,'Data Entry - SOF'!M$64,0)</f>
        <v>0</v>
      </c>
      <c r="Y42" s="1371" t="e">
        <f t="shared" si="10"/>
        <v>#DIV/0!</v>
      </c>
      <c r="Z42" s="2212" t="e">
        <f>IF('Report-M&amp;O2223'!C$18-'Report-SOF2223'!D$55&lt;=0,0,'Report-M&amp;O2223'!C$18-'Report-SOF2223'!D$55)</f>
        <v>#DIV/0!</v>
      </c>
      <c r="AA42" s="1708">
        <f>IF(A42='Data Entry - SOF'!B$2,'Data Entry - SOF'!O$64,0)</f>
        <v>0</v>
      </c>
    </row>
    <row r="43" spans="1:27" ht="15.75">
      <c r="A43" s="1076" t="s">
        <v>2449</v>
      </c>
      <c r="B43">
        <v>5351624</v>
      </c>
      <c r="C43" s="2452" t="e">
        <f>#REF!+#REF!</f>
        <v>#REF!</v>
      </c>
      <c r="D43" s="2449">
        <f>IF(A43='Data Entry - SOF'!B$2,'Data Entry - SOF'!C$64,0)</f>
        <v>0</v>
      </c>
      <c r="E43" s="2450">
        <f t="shared" si="0"/>
        <v>5351624</v>
      </c>
      <c r="F43" s="2212" t="e">
        <f>IF('Report-M&amp;O1718'!C$18-'Report-SOF1718'!D$55&lt;=0,0,'Report-M&amp;O1718'!C$18-'Report-SOF1718'!D$55)</f>
        <v>#DIV/0!</v>
      </c>
      <c r="G43" s="2452" t="e">
        <f t="shared" si="1"/>
        <v>#DIV/0!</v>
      </c>
      <c r="H43" s="2449">
        <f>IF(A43='Data Entry - SOF'!B$2,'Data Entry - SOF'!E$64,0)</f>
        <v>0</v>
      </c>
      <c r="I43" s="1687">
        <f t="shared" si="2"/>
        <v>5351624</v>
      </c>
      <c r="J43" s="2212" t="e">
        <f>IF('Report-M&amp;O1819'!C$18-'Report-SOF1819'!D$55&lt;=0,0,'Report-M&amp;O1819'!C$18-'Report-SOF1819'!D$55)</f>
        <v>#DIV/0!</v>
      </c>
      <c r="K43" s="2452" t="e">
        <f t="shared" si="3"/>
        <v>#DIV/0!</v>
      </c>
      <c r="L43" s="2449">
        <f>IF(A43='Data Entry - SOF'!B$2,'Data Entry - SOF'!G$64,0)</f>
        <v>0</v>
      </c>
      <c r="M43" s="1371">
        <f t="shared" si="4"/>
        <v>5351624</v>
      </c>
      <c r="N43" s="2212" t="e">
        <f>IF('Report-M&amp;O1920'!C$18-'Report-SOF1920'!D$55&lt;=0,0,'Report-M&amp;O1920'!C$18-'Report-SOF1920'!D$55)</f>
        <v>#DIV/0!</v>
      </c>
      <c r="O43" s="2452" t="e">
        <f t="shared" si="5"/>
        <v>#DIV/0!</v>
      </c>
      <c r="P43" s="2449">
        <f>IF(A43='Data Entry - SOF'!B$2,'Data Entry - SOF'!I$64,0)</f>
        <v>0</v>
      </c>
      <c r="Q43" s="1687">
        <f t="shared" si="6"/>
        <v>5351624</v>
      </c>
      <c r="R43" s="2212" t="e">
        <f>IF('Report-M&amp;O2021'!C$18-'Report-SOF2021'!D$55&lt;=0,0,'Report-M&amp;O2021'!C$18-'Report-SOF2021'!D$55)</f>
        <v>#DIV/0!</v>
      </c>
      <c r="S43" s="2452" t="e">
        <f t="shared" si="7"/>
        <v>#DIV/0!</v>
      </c>
      <c r="T43" s="1708">
        <f>IF(A43='Data Entry - SOF'!B$2,'Data Entry - SOF'!K$64,0)</f>
        <v>0</v>
      </c>
      <c r="U43" s="1687">
        <f t="shared" si="8"/>
        <v>5351624</v>
      </c>
      <c r="V43" s="2212" t="e">
        <f>IF('Report-M&amp;O2122'!C$18-'Report-SOF2122'!D$55&lt;=0,0,'Report-M&amp;O2122'!C$18-'Report-SOF2122'!D$55)</f>
        <v>#DIV/0!</v>
      </c>
      <c r="W43" s="2452" t="e">
        <f t="shared" si="9"/>
        <v>#DIV/0!</v>
      </c>
      <c r="X43" s="1708">
        <f>IF(A43='Data Entry - SOF'!B$2,'Data Entry - SOF'!M$64,0)</f>
        <v>0</v>
      </c>
      <c r="Y43" s="1371" t="e">
        <f t="shared" si="10"/>
        <v>#DIV/0!</v>
      </c>
      <c r="Z43" s="2212" t="e">
        <f>IF('Report-M&amp;O2223'!C$18-'Report-SOF2223'!D$55&lt;=0,0,'Report-M&amp;O2223'!C$18-'Report-SOF2223'!D$55)</f>
        <v>#DIV/0!</v>
      </c>
      <c r="AA43" s="1708">
        <f>IF(A43='Data Entry - SOF'!B$2,'Data Entry - SOF'!O$64,0)</f>
        <v>0</v>
      </c>
    </row>
    <row r="44" spans="1:27" ht="15.75">
      <c r="A44" s="1076" t="s">
        <v>1895</v>
      </c>
      <c r="B44">
        <v>370497</v>
      </c>
      <c r="C44" s="2452" t="e">
        <f>#REF!+#REF!</f>
        <v>#REF!</v>
      </c>
      <c r="D44" s="2449">
        <f>IF(A44='Data Entry - SOF'!B$2,'Data Entry - SOF'!C$64,0)</f>
        <v>0</v>
      </c>
      <c r="E44" s="2450">
        <f t="shared" si="0"/>
        <v>370497</v>
      </c>
      <c r="F44" s="2212" t="e">
        <f>IF('Report-M&amp;O1718'!C$18-'Report-SOF1718'!D$55&lt;=0,0,'Report-M&amp;O1718'!C$18-'Report-SOF1718'!D$55)</f>
        <v>#DIV/0!</v>
      </c>
      <c r="G44" s="2452" t="e">
        <f t="shared" si="1"/>
        <v>#DIV/0!</v>
      </c>
      <c r="H44" s="2449">
        <f>IF(A44='Data Entry - SOF'!B$2,'Data Entry - SOF'!E$64,0)</f>
        <v>0</v>
      </c>
      <c r="I44" s="1687">
        <f t="shared" si="2"/>
        <v>370497</v>
      </c>
      <c r="J44" s="2212" t="e">
        <f>IF('Report-M&amp;O1819'!C$18-'Report-SOF1819'!D$55&lt;=0,0,'Report-M&amp;O1819'!C$18-'Report-SOF1819'!D$55)</f>
        <v>#DIV/0!</v>
      </c>
      <c r="K44" s="2452" t="e">
        <f t="shared" si="3"/>
        <v>#DIV/0!</v>
      </c>
      <c r="L44" s="2449">
        <f>IF(A44='Data Entry - SOF'!B$2,'Data Entry - SOF'!G$64,0)</f>
        <v>0</v>
      </c>
      <c r="M44" s="1371">
        <f t="shared" si="4"/>
        <v>370497</v>
      </c>
      <c r="N44" s="2212" t="e">
        <f>IF('Report-M&amp;O1920'!C$18-'Report-SOF1920'!D$55&lt;=0,0,'Report-M&amp;O1920'!C$18-'Report-SOF1920'!D$55)</f>
        <v>#DIV/0!</v>
      </c>
      <c r="O44" s="2452" t="e">
        <f t="shared" si="5"/>
        <v>#DIV/0!</v>
      </c>
      <c r="P44" s="2449">
        <f>IF(A44='Data Entry - SOF'!B$2,'Data Entry - SOF'!I$64,0)</f>
        <v>0</v>
      </c>
      <c r="Q44" s="1687">
        <f t="shared" si="6"/>
        <v>370497</v>
      </c>
      <c r="R44" s="2212" t="e">
        <f>IF('Report-M&amp;O2021'!C$18-'Report-SOF2021'!D$55&lt;=0,0,'Report-M&amp;O2021'!C$18-'Report-SOF2021'!D$55)</f>
        <v>#DIV/0!</v>
      </c>
      <c r="S44" s="2452" t="e">
        <f t="shared" si="7"/>
        <v>#DIV/0!</v>
      </c>
      <c r="T44" s="1708">
        <f>IF(A44='Data Entry - SOF'!B$2,'Data Entry - SOF'!K$64,0)</f>
        <v>0</v>
      </c>
      <c r="U44" s="1687">
        <f t="shared" si="8"/>
        <v>370497</v>
      </c>
      <c r="V44" s="2212" t="e">
        <f>IF('Report-M&amp;O2122'!C$18-'Report-SOF2122'!D$55&lt;=0,0,'Report-M&amp;O2122'!C$18-'Report-SOF2122'!D$55)</f>
        <v>#DIV/0!</v>
      </c>
      <c r="W44" s="2452" t="e">
        <f t="shared" si="9"/>
        <v>#DIV/0!</v>
      </c>
      <c r="X44" s="1708">
        <f>IF(A44='Data Entry - SOF'!B$2,'Data Entry - SOF'!M$64,0)</f>
        <v>0</v>
      </c>
      <c r="Y44" s="1371" t="e">
        <f t="shared" si="10"/>
        <v>#DIV/0!</v>
      </c>
      <c r="Z44" s="2212" t="e">
        <f>IF('Report-M&amp;O2223'!C$18-'Report-SOF2223'!D$55&lt;=0,0,'Report-M&amp;O2223'!C$18-'Report-SOF2223'!D$55)</f>
        <v>#DIV/0!</v>
      </c>
      <c r="AA44" s="1708">
        <f>IF(A44='Data Entry - SOF'!B$2,'Data Entry - SOF'!O$64,0)</f>
        <v>0</v>
      </c>
    </row>
    <row r="45" spans="1:27" ht="15.75">
      <c r="A45" s="1076" t="s">
        <v>1898</v>
      </c>
      <c r="B45">
        <v>27044845</v>
      </c>
      <c r="C45" s="2452" t="e">
        <f>#REF!+#REF!</f>
        <v>#REF!</v>
      </c>
      <c r="D45" s="2449">
        <f>IF(A45='Data Entry - SOF'!B$2,'Data Entry - SOF'!C$64,0)</f>
        <v>0</v>
      </c>
      <c r="E45" s="2450">
        <f t="shared" si="0"/>
        <v>27044845</v>
      </c>
      <c r="F45" s="2212" t="e">
        <f>IF('Report-M&amp;O1718'!C$18-'Report-SOF1718'!D$55&lt;=0,0,'Report-M&amp;O1718'!C$18-'Report-SOF1718'!D$55)</f>
        <v>#DIV/0!</v>
      </c>
      <c r="G45" s="2452" t="e">
        <f t="shared" si="1"/>
        <v>#DIV/0!</v>
      </c>
      <c r="H45" s="2449">
        <f>IF(A45='Data Entry - SOF'!B$2,'Data Entry - SOF'!E$64,0)</f>
        <v>0</v>
      </c>
      <c r="I45" s="1687">
        <f t="shared" si="2"/>
        <v>27044845</v>
      </c>
      <c r="J45" s="2212" t="e">
        <f>IF('Report-M&amp;O1819'!C$18-'Report-SOF1819'!D$55&lt;=0,0,'Report-M&amp;O1819'!C$18-'Report-SOF1819'!D$55)</f>
        <v>#DIV/0!</v>
      </c>
      <c r="K45" s="2452" t="e">
        <f t="shared" si="3"/>
        <v>#DIV/0!</v>
      </c>
      <c r="L45" s="2449">
        <f>IF(A45='Data Entry - SOF'!B$2,'Data Entry - SOF'!G$64,0)</f>
        <v>0</v>
      </c>
      <c r="M45" s="1371">
        <f t="shared" si="4"/>
        <v>27044845</v>
      </c>
      <c r="N45" s="2212" t="e">
        <f>IF('Report-M&amp;O1920'!C$18-'Report-SOF1920'!D$55&lt;=0,0,'Report-M&amp;O1920'!C$18-'Report-SOF1920'!D$55)</f>
        <v>#DIV/0!</v>
      </c>
      <c r="O45" s="2452" t="e">
        <f t="shared" si="5"/>
        <v>#DIV/0!</v>
      </c>
      <c r="P45" s="2449">
        <f>IF(A45='Data Entry - SOF'!B$2,'Data Entry - SOF'!I$64,0)</f>
        <v>0</v>
      </c>
      <c r="Q45" s="1687">
        <f t="shared" si="6"/>
        <v>27044845</v>
      </c>
      <c r="R45" s="2212" t="e">
        <f>IF('Report-M&amp;O2021'!C$18-'Report-SOF2021'!D$55&lt;=0,0,'Report-M&amp;O2021'!C$18-'Report-SOF2021'!D$55)</f>
        <v>#DIV/0!</v>
      </c>
      <c r="S45" s="2452" t="e">
        <f t="shared" si="7"/>
        <v>#DIV/0!</v>
      </c>
      <c r="T45" s="1708">
        <f>IF(A45='Data Entry - SOF'!B$2,'Data Entry - SOF'!K$64,0)</f>
        <v>0</v>
      </c>
      <c r="U45" s="1687">
        <f t="shared" si="8"/>
        <v>27044845</v>
      </c>
      <c r="V45" s="2212" t="e">
        <f>IF('Report-M&amp;O2122'!C$18-'Report-SOF2122'!D$55&lt;=0,0,'Report-M&amp;O2122'!C$18-'Report-SOF2122'!D$55)</f>
        <v>#DIV/0!</v>
      </c>
      <c r="W45" s="2452" t="e">
        <f t="shared" si="9"/>
        <v>#DIV/0!</v>
      </c>
      <c r="X45" s="1708">
        <f>IF(A45='Data Entry - SOF'!B$2,'Data Entry - SOF'!M$64,0)</f>
        <v>0</v>
      </c>
      <c r="Y45" s="1371" t="e">
        <f t="shared" si="10"/>
        <v>#DIV/0!</v>
      </c>
      <c r="Z45" s="2212" t="e">
        <f>IF('Report-M&amp;O2223'!C$18-'Report-SOF2223'!D$55&lt;=0,0,'Report-M&amp;O2223'!C$18-'Report-SOF2223'!D$55)</f>
        <v>#DIV/0!</v>
      </c>
      <c r="AA45" s="1708">
        <f>IF(A45='Data Entry - SOF'!B$2,'Data Entry - SOF'!O$64,0)</f>
        <v>0</v>
      </c>
    </row>
    <row r="46" spans="1:27" ht="15.75">
      <c r="A46" s="1076" t="s">
        <v>198</v>
      </c>
      <c r="B46">
        <v>618317</v>
      </c>
      <c r="C46" s="2452" t="e">
        <f>#REF!+#REF!</f>
        <v>#REF!</v>
      </c>
      <c r="D46" s="2449">
        <f>IF(A46='Data Entry - SOF'!B$2,'Data Entry - SOF'!C$64,0)</f>
        <v>0</v>
      </c>
      <c r="E46" s="2450">
        <f t="shared" si="0"/>
        <v>618317</v>
      </c>
      <c r="F46" s="2212" t="e">
        <f>IF('Report-M&amp;O1718'!C$18-'Report-SOF1718'!D$55&lt;=0,0,'Report-M&amp;O1718'!C$18-'Report-SOF1718'!D$55)</f>
        <v>#DIV/0!</v>
      </c>
      <c r="G46" s="2452" t="e">
        <f t="shared" si="1"/>
        <v>#DIV/0!</v>
      </c>
      <c r="H46" s="2449">
        <f>IF(A46='Data Entry - SOF'!B$2,'Data Entry - SOF'!E$64,0)</f>
        <v>0</v>
      </c>
      <c r="I46" s="1687">
        <f t="shared" si="2"/>
        <v>618317</v>
      </c>
      <c r="J46" s="2212" t="e">
        <f>IF('Report-M&amp;O1819'!C$18-'Report-SOF1819'!D$55&lt;=0,0,'Report-M&amp;O1819'!C$18-'Report-SOF1819'!D$55)</f>
        <v>#DIV/0!</v>
      </c>
      <c r="K46" s="2452" t="e">
        <f t="shared" si="3"/>
        <v>#DIV/0!</v>
      </c>
      <c r="L46" s="2449">
        <f>IF(A46='Data Entry - SOF'!B$2,'Data Entry - SOF'!G$64,0)</f>
        <v>0</v>
      </c>
      <c r="M46" s="1371">
        <f t="shared" si="4"/>
        <v>618317</v>
      </c>
      <c r="N46" s="2212" t="e">
        <f>IF('Report-M&amp;O1920'!C$18-'Report-SOF1920'!D$55&lt;=0,0,'Report-M&amp;O1920'!C$18-'Report-SOF1920'!D$55)</f>
        <v>#DIV/0!</v>
      </c>
      <c r="O46" s="2452" t="e">
        <f t="shared" si="5"/>
        <v>#DIV/0!</v>
      </c>
      <c r="P46" s="2449">
        <f>IF(A46='Data Entry - SOF'!B$2,'Data Entry - SOF'!I$64,0)</f>
        <v>0</v>
      </c>
      <c r="Q46" s="1687">
        <f t="shared" si="6"/>
        <v>618317</v>
      </c>
      <c r="R46" s="2212" t="e">
        <f>IF('Report-M&amp;O2021'!C$18-'Report-SOF2021'!D$55&lt;=0,0,'Report-M&amp;O2021'!C$18-'Report-SOF2021'!D$55)</f>
        <v>#DIV/0!</v>
      </c>
      <c r="S46" s="2452" t="e">
        <f t="shared" si="7"/>
        <v>#DIV/0!</v>
      </c>
      <c r="T46" s="1708">
        <f>IF(A46='Data Entry - SOF'!B$2,'Data Entry - SOF'!K$64,0)</f>
        <v>0</v>
      </c>
      <c r="U46" s="1687">
        <f t="shared" si="8"/>
        <v>618317</v>
      </c>
      <c r="V46" s="2212" t="e">
        <f>IF('Report-M&amp;O2122'!C$18-'Report-SOF2122'!D$55&lt;=0,0,'Report-M&amp;O2122'!C$18-'Report-SOF2122'!D$55)</f>
        <v>#DIV/0!</v>
      </c>
      <c r="W46" s="2452" t="e">
        <f t="shared" si="9"/>
        <v>#DIV/0!</v>
      </c>
      <c r="X46" s="1708">
        <f>IF(A46='Data Entry - SOF'!B$2,'Data Entry - SOF'!M$64,0)</f>
        <v>0</v>
      </c>
      <c r="Y46" s="1371" t="e">
        <f t="shared" si="10"/>
        <v>#DIV/0!</v>
      </c>
      <c r="Z46" s="2212" t="e">
        <f>IF('Report-M&amp;O2223'!C$18-'Report-SOF2223'!D$55&lt;=0,0,'Report-M&amp;O2223'!C$18-'Report-SOF2223'!D$55)</f>
        <v>#DIV/0!</v>
      </c>
      <c r="AA46" s="1708">
        <f>IF(A46='Data Entry - SOF'!B$2,'Data Entry - SOF'!O$64,0)</f>
        <v>0</v>
      </c>
    </row>
    <row r="47" spans="1:27" ht="15.75">
      <c r="A47" s="1076" t="s">
        <v>60</v>
      </c>
      <c r="B47">
        <v>23926684</v>
      </c>
      <c r="C47" s="2452" t="e">
        <f>#REF!+#REF!</f>
        <v>#REF!</v>
      </c>
      <c r="D47" s="2449">
        <f>IF(A47='Data Entry - SOF'!B$2,'Data Entry - SOF'!C$64,0)</f>
        <v>0</v>
      </c>
      <c r="E47" s="2450">
        <f t="shared" si="0"/>
        <v>23926684</v>
      </c>
      <c r="F47" s="2212" t="e">
        <f>IF('Report-M&amp;O1718'!C$18-'Report-SOF1718'!D$55&lt;=0,0,'Report-M&amp;O1718'!C$18-'Report-SOF1718'!D$55)</f>
        <v>#DIV/0!</v>
      </c>
      <c r="G47" s="2452" t="e">
        <f t="shared" si="1"/>
        <v>#DIV/0!</v>
      </c>
      <c r="H47" s="2449">
        <f>IF(A47='Data Entry - SOF'!B$2,'Data Entry - SOF'!E$64,0)</f>
        <v>0</v>
      </c>
      <c r="I47" s="1687">
        <f t="shared" si="2"/>
        <v>23926684</v>
      </c>
      <c r="J47" s="2212" t="e">
        <f>IF('Report-M&amp;O1819'!C$18-'Report-SOF1819'!D$55&lt;=0,0,'Report-M&amp;O1819'!C$18-'Report-SOF1819'!D$55)</f>
        <v>#DIV/0!</v>
      </c>
      <c r="K47" s="2452" t="e">
        <f t="shared" si="3"/>
        <v>#DIV/0!</v>
      </c>
      <c r="L47" s="2449">
        <f>IF(A47='Data Entry - SOF'!B$2,'Data Entry - SOF'!G$64,0)</f>
        <v>0</v>
      </c>
      <c r="M47" s="1371">
        <f t="shared" si="4"/>
        <v>23926684</v>
      </c>
      <c r="N47" s="2212" t="e">
        <f>IF('Report-M&amp;O1920'!C$18-'Report-SOF1920'!D$55&lt;=0,0,'Report-M&amp;O1920'!C$18-'Report-SOF1920'!D$55)</f>
        <v>#DIV/0!</v>
      </c>
      <c r="O47" s="2452" t="e">
        <f t="shared" si="5"/>
        <v>#DIV/0!</v>
      </c>
      <c r="P47" s="2449">
        <f>IF(A47='Data Entry - SOF'!B$2,'Data Entry - SOF'!I$64,0)</f>
        <v>0</v>
      </c>
      <c r="Q47" s="1687">
        <f t="shared" si="6"/>
        <v>23926684</v>
      </c>
      <c r="R47" s="2212" t="e">
        <f>IF('Report-M&amp;O2021'!C$18-'Report-SOF2021'!D$55&lt;=0,0,'Report-M&amp;O2021'!C$18-'Report-SOF2021'!D$55)</f>
        <v>#DIV/0!</v>
      </c>
      <c r="S47" s="2452" t="e">
        <f t="shared" si="7"/>
        <v>#DIV/0!</v>
      </c>
      <c r="T47" s="1708">
        <f>IF(A47='Data Entry - SOF'!B$2,'Data Entry - SOF'!K$64,0)</f>
        <v>0</v>
      </c>
      <c r="U47" s="1687">
        <f t="shared" si="8"/>
        <v>23926684</v>
      </c>
      <c r="V47" s="2212" t="e">
        <f>IF('Report-M&amp;O2122'!C$18-'Report-SOF2122'!D$55&lt;=0,0,'Report-M&amp;O2122'!C$18-'Report-SOF2122'!D$55)</f>
        <v>#DIV/0!</v>
      </c>
      <c r="W47" s="2452" t="e">
        <f t="shared" si="9"/>
        <v>#DIV/0!</v>
      </c>
      <c r="X47" s="1708">
        <f>IF(A47='Data Entry - SOF'!B$2,'Data Entry - SOF'!M$64,0)</f>
        <v>0</v>
      </c>
      <c r="Y47" s="1371" t="e">
        <f t="shared" si="10"/>
        <v>#DIV/0!</v>
      </c>
      <c r="Z47" s="2212" t="e">
        <f>IF('Report-M&amp;O2223'!C$18-'Report-SOF2223'!D$55&lt;=0,0,'Report-M&amp;O2223'!C$18-'Report-SOF2223'!D$55)</f>
        <v>#DIV/0!</v>
      </c>
      <c r="AA47" s="1708">
        <f>IF(A47='Data Entry - SOF'!B$2,'Data Entry - SOF'!O$64,0)</f>
        <v>0</v>
      </c>
    </row>
    <row r="48" spans="1:27" ht="15.75">
      <c r="A48" s="1076" t="s">
        <v>192</v>
      </c>
      <c r="B48">
        <v>2147422</v>
      </c>
      <c r="C48" s="2452" t="e">
        <f>#REF!+#REF!</f>
        <v>#REF!</v>
      </c>
      <c r="D48" s="2449">
        <f>IF(A48='Data Entry - SOF'!B$2,'Data Entry - SOF'!C$64,0)</f>
        <v>0</v>
      </c>
      <c r="E48" s="2450">
        <f t="shared" si="0"/>
        <v>2147422</v>
      </c>
      <c r="F48" s="2212" t="e">
        <f>IF('Report-M&amp;O1718'!C$18-'Report-SOF1718'!D$55&lt;=0,0,'Report-M&amp;O1718'!C$18-'Report-SOF1718'!D$55)</f>
        <v>#DIV/0!</v>
      </c>
      <c r="G48" s="2452" t="e">
        <f t="shared" si="1"/>
        <v>#DIV/0!</v>
      </c>
      <c r="H48" s="2449">
        <f>IF(A48='Data Entry - SOF'!B$2,'Data Entry - SOF'!E$64,0)</f>
        <v>0</v>
      </c>
      <c r="I48" s="1687">
        <f t="shared" si="2"/>
        <v>2147422</v>
      </c>
      <c r="J48" s="2212" t="e">
        <f>IF('Report-M&amp;O1819'!C$18-'Report-SOF1819'!D$55&lt;=0,0,'Report-M&amp;O1819'!C$18-'Report-SOF1819'!D$55)</f>
        <v>#DIV/0!</v>
      </c>
      <c r="K48" s="2452" t="e">
        <f t="shared" si="3"/>
        <v>#DIV/0!</v>
      </c>
      <c r="L48" s="2449">
        <f>IF(A48='Data Entry - SOF'!B$2,'Data Entry - SOF'!G$64,0)</f>
        <v>0</v>
      </c>
      <c r="M48" s="1371">
        <f t="shared" si="4"/>
        <v>2147422</v>
      </c>
      <c r="N48" s="2212" t="e">
        <f>IF('Report-M&amp;O1920'!C$18-'Report-SOF1920'!D$55&lt;=0,0,'Report-M&amp;O1920'!C$18-'Report-SOF1920'!D$55)</f>
        <v>#DIV/0!</v>
      </c>
      <c r="O48" s="2452" t="e">
        <f t="shared" si="5"/>
        <v>#DIV/0!</v>
      </c>
      <c r="P48" s="2449">
        <f>IF(A48='Data Entry - SOF'!B$2,'Data Entry - SOF'!I$64,0)</f>
        <v>0</v>
      </c>
      <c r="Q48" s="1687">
        <f t="shared" si="6"/>
        <v>2147422</v>
      </c>
      <c r="R48" s="2212" t="e">
        <f>IF('Report-M&amp;O2021'!C$18-'Report-SOF2021'!D$55&lt;=0,0,'Report-M&amp;O2021'!C$18-'Report-SOF2021'!D$55)</f>
        <v>#DIV/0!</v>
      </c>
      <c r="S48" s="2452" t="e">
        <f t="shared" si="7"/>
        <v>#DIV/0!</v>
      </c>
      <c r="T48" s="1708">
        <f>IF(A48='Data Entry - SOF'!B$2,'Data Entry - SOF'!K$64,0)</f>
        <v>0</v>
      </c>
      <c r="U48" s="1687">
        <f t="shared" si="8"/>
        <v>2147422</v>
      </c>
      <c r="V48" s="2212" t="e">
        <f>IF('Report-M&amp;O2122'!C$18-'Report-SOF2122'!D$55&lt;=0,0,'Report-M&amp;O2122'!C$18-'Report-SOF2122'!D$55)</f>
        <v>#DIV/0!</v>
      </c>
      <c r="W48" s="2452" t="e">
        <f t="shared" si="9"/>
        <v>#DIV/0!</v>
      </c>
      <c r="X48" s="1708">
        <f>IF(A48='Data Entry - SOF'!B$2,'Data Entry - SOF'!M$64,0)</f>
        <v>0</v>
      </c>
      <c r="Y48" s="1371" t="e">
        <f t="shared" si="10"/>
        <v>#DIV/0!</v>
      </c>
      <c r="Z48" s="2212" t="e">
        <f>IF('Report-M&amp;O2223'!C$18-'Report-SOF2223'!D$55&lt;=0,0,'Report-M&amp;O2223'!C$18-'Report-SOF2223'!D$55)</f>
        <v>#DIV/0!</v>
      </c>
      <c r="AA48" s="1708">
        <f>IF(A48='Data Entry - SOF'!B$2,'Data Entry - SOF'!O$64,0)</f>
        <v>0</v>
      </c>
    </row>
    <row r="49" spans="1:27" ht="15.75">
      <c r="A49" s="1076" t="s">
        <v>1487</v>
      </c>
      <c r="B49">
        <v>4991124</v>
      </c>
      <c r="C49" s="2452" t="e">
        <f>#REF!+#REF!</f>
        <v>#REF!</v>
      </c>
      <c r="D49" s="2449">
        <f>IF(A49='Data Entry - SOF'!B$2,'Data Entry - SOF'!C$64,0)</f>
        <v>0</v>
      </c>
      <c r="E49" s="2450">
        <f t="shared" si="0"/>
        <v>4991124</v>
      </c>
      <c r="F49" s="2212" t="e">
        <f>IF('Report-M&amp;O1718'!C$18-'Report-SOF1718'!D$55&lt;=0,0,'Report-M&amp;O1718'!C$18-'Report-SOF1718'!D$55)</f>
        <v>#DIV/0!</v>
      </c>
      <c r="G49" s="2452" t="e">
        <f t="shared" si="1"/>
        <v>#DIV/0!</v>
      </c>
      <c r="H49" s="2449">
        <f>IF(A49='Data Entry - SOF'!B$2,'Data Entry - SOF'!E$64,0)</f>
        <v>0</v>
      </c>
      <c r="I49" s="1687">
        <f t="shared" si="2"/>
        <v>4991124</v>
      </c>
      <c r="J49" s="2212" t="e">
        <f>IF('Report-M&amp;O1819'!C$18-'Report-SOF1819'!D$55&lt;=0,0,'Report-M&amp;O1819'!C$18-'Report-SOF1819'!D$55)</f>
        <v>#DIV/0!</v>
      </c>
      <c r="K49" s="2452" t="e">
        <f t="shared" si="3"/>
        <v>#DIV/0!</v>
      </c>
      <c r="L49" s="2449">
        <f>IF(A49='Data Entry - SOF'!B$2,'Data Entry - SOF'!G$64,0)</f>
        <v>0</v>
      </c>
      <c r="M49" s="1371">
        <f t="shared" si="4"/>
        <v>4991124</v>
      </c>
      <c r="N49" s="2212" t="e">
        <f>IF('Report-M&amp;O1920'!C$18-'Report-SOF1920'!D$55&lt;=0,0,'Report-M&amp;O1920'!C$18-'Report-SOF1920'!D$55)</f>
        <v>#DIV/0!</v>
      </c>
      <c r="O49" s="2452" t="e">
        <f t="shared" si="5"/>
        <v>#DIV/0!</v>
      </c>
      <c r="P49" s="2449">
        <f>IF(A49='Data Entry - SOF'!B$2,'Data Entry - SOF'!I$64,0)</f>
        <v>0</v>
      </c>
      <c r="Q49" s="1687">
        <f t="shared" si="6"/>
        <v>4991124</v>
      </c>
      <c r="R49" s="2212" t="e">
        <f>IF('Report-M&amp;O2021'!C$18-'Report-SOF2021'!D$55&lt;=0,0,'Report-M&amp;O2021'!C$18-'Report-SOF2021'!D$55)</f>
        <v>#DIV/0!</v>
      </c>
      <c r="S49" s="2452" t="e">
        <f t="shared" si="7"/>
        <v>#DIV/0!</v>
      </c>
      <c r="T49" s="1708">
        <f>IF(A49='Data Entry - SOF'!B$2,'Data Entry - SOF'!K$64,0)</f>
        <v>0</v>
      </c>
      <c r="U49" s="1687">
        <f t="shared" si="8"/>
        <v>4991124</v>
      </c>
      <c r="V49" s="2212" t="e">
        <f>IF('Report-M&amp;O2122'!C$18-'Report-SOF2122'!D$55&lt;=0,0,'Report-M&amp;O2122'!C$18-'Report-SOF2122'!D$55)</f>
        <v>#DIV/0!</v>
      </c>
      <c r="W49" s="2452" t="e">
        <f t="shared" si="9"/>
        <v>#DIV/0!</v>
      </c>
      <c r="X49" s="1708">
        <f>IF(A49='Data Entry - SOF'!B$2,'Data Entry - SOF'!M$64,0)</f>
        <v>0</v>
      </c>
      <c r="Y49" s="1371" t="e">
        <f t="shared" si="10"/>
        <v>#DIV/0!</v>
      </c>
      <c r="Z49" s="2212" t="e">
        <f>IF('Report-M&amp;O2223'!C$18-'Report-SOF2223'!D$55&lt;=0,0,'Report-M&amp;O2223'!C$18-'Report-SOF2223'!D$55)</f>
        <v>#DIV/0!</v>
      </c>
      <c r="AA49" s="1708">
        <f>IF(A49='Data Entry - SOF'!B$2,'Data Entry - SOF'!O$64,0)</f>
        <v>0</v>
      </c>
    </row>
    <row r="50" spans="1:27" ht="15.75">
      <c r="A50" s="1076" t="s">
        <v>1707</v>
      </c>
      <c r="B50">
        <v>32786512</v>
      </c>
      <c r="C50" s="2452" t="e">
        <f>#REF!+#REF!</f>
        <v>#REF!</v>
      </c>
      <c r="D50" s="2449">
        <f>IF(A50='Data Entry - SOF'!B$2,'Data Entry - SOF'!C$64,0)</f>
        <v>0</v>
      </c>
      <c r="E50" s="2450">
        <f t="shared" si="0"/>
        <v>32786512</v>
      </c>
      <c r="F50" s="2212" t="e">
        <f>IF('Report-M&amp;O1718'!C$18-'Report-SOF1718'!D$55&lt;=0,0,'Report-M&amp;O1718'!C$18-'Report-SOF1718'!D$55)</f>
        <v>#DIV/0!</v>
      </c>
      <c r="G50" s="2452" t="e">
        <f t="shared" si="1"/>
        <v>#DIV/0!</v>
      </c>
      <c r="H50" s="2449">
        <f>IF(A50='Data Entry - SOF'!B$2,'Data Entry - SOF'!E$64,0)</f>
        <v>0</v>
      </c>
      <c r="I50" s="1687">
        <f t="shared" si="2"/>
        <v>32786512</v>
      </c>
      <c r="J50" s="2212" t="e">
        <f>IF('Report-M&amp;O1819'!C$18-'Report-SOF1819'!D$55&lt;=0,0,'Report-M&amp;O1819'!C$18-'Report-SOF1819'!D$55)</f>
        <v>#DIV/0!</v>
      </c>
      <c r="K50" s="2452" t="e">
        <f t="shared" si="3"/>
        <v>#DIV/0!</v>
      </c>
      <c r="L50" s="2449">
        <f>IF(A50='Data Entry - SOF'!B$2,'Data Entry - SOF'!G$64,0)</f>
        <v>0</v>
      </c>
      <c r="M50" s="1371">
        <f t="shared" si="4"/>
        <v>32786512</v>
      </c>
      <c r="N50" s="2212" t="e">
        <f>IF('Report-M&amp;O1920'!C$18-'Report-SOF1920'!D$55&lt;=0,0,'Report-M&amp;O1920'!C$18-'Report-SOF1920'!D$55)</f>
        <v>#DIV/0!</v>
      </c>
      <c r="O50" s="2452" t="e">
        <f t="shared" si="5"/>
        <v>#DIV/0!</v>
      </c>
      <c r="P50" s="2449">
        <f>IF(A50='Data Entry - SOF'!B$2,'Data Entry - SOF'!I$64,0)</f>
        <v>0</v>
      </c>
      <c r="Q50" s="1687">
        <f t="shared" si="6"/>
        <v>32786512</v>
      </c>
      <c r="R50" s="2212" t="e">
        <f>IF('Report-M&amp;O2021'!C$18-'Report-SOF2021'!D$55&lt;=0,0,'Report-M&amp;O2021'!C$18-'Report-SOF2021'!D$55)</f>
        <v>#DIV/0!</v>
      </c>
      <c r="S50" s="2452" t="e">
        <f t="shared" si="7"/>
        <v>#DIV/0!</v>
      </c>
      <c r="T50" s="1708">
        <f>IF(A50='Data Entry - SOF'!B$2,'Data Entry - SOF'!K$64,0)</f>
        <v>0</v>
      </c>
      <c r="U50" s="1687">
        <f t="shared" si="8"/>
        <v>32786512</v>
      </c>
      <c r="V50" s="2212" t="e">
        <f>IF('Report-M&amp;O2122'!C$18-'Report-SOF2122'!D$55&lt;=0,0,'Report-M&amp;O2122'!C$18-'Report-SOF2122'!D$55)</f>
        <v>#DIV/0!</v>
      </c>
      <c r="W50" s="2452" t="e">
        <f t="shared" si="9"/>
        <v>#DIV/0!</v>
      </c>
      <c r="X50" s="1708">
        <f>IF(A50='Data Entry - SOF'!B$2,'Data Entry - SOF'!M$64,0)</f>
        <v>0</v>
      </c>
      <c r="Y50" s="1371" t="e">
        <f t="shared" si="10"/>
        <v>#DIV/0!</v>
      </c>
      <c r="Z50" s="2212" t="e">
        <f>IF('Report-M&amp;O2223'!C$18-'Report-SOF2223'!D$55&lt;=0,0,'Report-M&amp;O2223'!C$18-'Report-SOF2223'!D$55)</f>
        <v>#DIV/0!</v>
      </c>
      <c r="AA50" s="1708">
        <f>IF(A50='Data Entry - SOF'!B$2,'Data Entry - SOF'!O$64,0)</f>
        <v>0</v>
      </c>
    </row>
    <row r="51" spans="1:27" ht="15.75">
      <c r="A51" s="1076" t="s">
        <v>1712</v>
      </c>
      <c r="B51">
        <v>2395598</v>
      </c>
      <c r="C51" s="2452" t="e">
        <f>#REF!+#REF!</f>
        <v>#REF!</v>
      </c>
      <c r="D51" s="2449">
        <f>IF(A51='Data Entry - SOF'!B$2,'Data Entry - SOF'!C$64,0)</f>
        <v>0</v>
      </c>
      <c r="E51" s="2450">
        <f t="shared" si="0"/>
        <v>2395598</v>
      </c>
      <c r="F51" s="2212" t="e">
        <f>IF('Report-M&amp;O1718'!C$18-'Report-SOF1718'!D$55&lt;=0,0,'Report-M&amp;O1718'!C$18-'Report-SOF1718'!D$55)</f>
        <v>#DIV/0!</v>
      </c>
      <c r="G51" s="2452" t="e">
        <f t="shared" si="1"/>
        <v>#DIV/0!</v>
      </c>
      <c r="H51" s="2449">
        <f>IF(A51='Data Entry - SOF'!B$2,'Data Entry - SOF'!E$64,0)</f>
        <v>0</v>
      </c>
      <c r="I51" s="1687">
        <f t="shared" si="2"/>
        <v>2395598</v>
      </c>
      <c r="J51" s="2212" t="e">
        <f>IF('Report-M&amp;O1819'!C$18-'Report-SOF1819'!D$55&lt;=0,0,'Report-M&amp;O1819'!C$18-'Report-SOF1819'!D$55)</f>
        <v>#DIV/0!</v>
      </c>
      <c r="K51" s="2452" t="e">
        <f t="shared" si="3"/>
        <v>#DIV/0!</v>
      </c>
      <c r="L51" s="2449">
        <f>IF(A51='Data Entry - SOF'!B$2,'Data Entry - SOF'!G$64,0)</f>
        <v>0</v>
      </c>
      <c r="M51" s="1371">
        <f t="shared" si="4"/>
        <v>2395598</v>
      </c>
      <c r="N51" s="2212" t="e">
        <f>IF('Report-M&amp;O1920'!C$18-'Report-SOF1920'!D$55&lt;=0,0,'Report-M&amp;O1920'!C$18-'Report-SOF1920'!D$55)</f>
        <v>#DIV/0!</v>
      </c>
      <c r="O51" s="2452" t="e">
        <f t="shared" si="5"/>
        <v>#DIV/0!</v>
      </c>
      <c r="P51" s="2449">
        <f>IF(A51='Data Entry - SOF'!B$2,'Data Entry - SOF'!I$64,0)</f>
        <v>0</v>
      </c>
      <c r="Q51" s="1687">
        <f t="shared" si="6"/>
        <v>2395598</v>
      </c>
      <c r="R51" s="2212" t="e">
        <f>IF('Report-M&amp;O2021'!C$18-'Report-SOF2021'!D$55&lt;=0,0,'Report-M&amp;O2021'!C$18-'Report-SOF2021'!D$55)</f>
        <v>#DIV/0!</v>
      </c>
      <c r="S51" s="2452" t="e">
        <f t="shared" si="7"/>
        <v>#DIV/0!</v>
      </c>
      <c r="T51" s="1708">
        <f>IF(A51='Data Entry - SOF'!B$2,'Data Entry - SOF'!K$64,0)</f>
        <v>0</v>
      </c>
      <c r="U51" s="1687">
        <f t="shared" si="8"/>
        <v>2395598</v>
      </c>
      <c r="V51" s="2212" t="e">
        <f>IF('Report-M&amp;O2122'!C$18-'Report-SOF2122'!D$55&lt;=0,0,'Report-M&amp;O2122'!C$18-'Report-SOF2122'!D$55)</f>
        <v>#DIV/0!</v>
      </c>
      <c r="W51" s="2452" t="e">
        <f t="shared" si="9"/>
        <v>#DIV/0!</v>
      </c>
      <c r="X51" s="1708">
        <f>IF(A51='Data Entry - SOF'!B$2,'Data Entry - SOF'!M$64,0)</f>
        <v>0</v>
      </c>
      <c r="Y51" s="1371" t="e">
        <f t="shared" si="10"/>
        <v>#DIV/0!</v>
      </c>
      <c r="Z51" s="2212" t="e">
        <f>IF('Report-M&amp;O2223'!C$18-'Report-SOF2223'!D$55&lt;=0,0,'Report-M&amp;O2223'!C$18-'Report-SOF2223'!D$55)</f>
        <v>#DIV/0!</v>
      </c>
      <c r="AA51" s="1708">
        <f>IF(A51='Data Entry - SOF'!B$2,'Data Entry - SOF'!O$64,0)</f>
        <v>0</v>
      </c>
    </row>
    <row r="52" spans="1:27" ht="15.75">
      <c r="A52" s="1076" t="s">
        <v>463</v>
      </c>
      <c r="B52">
        <v>54604255</v>
      </c>
      <c r="C52" s="2452" t="e">
        <f>#REF!+#REF!</f>
        <v>#REF!</v>
      </c>
      <c r="D52" s="2449">
        <f>IF(A52='Data Entry - SOF'!B$2,'Data Entry - SOF'!C$64,0)</f>
        <v>0</v>
      </c>
      <c r="E52" s="2450">
        <f t="shared" si="0"/>
        <v>54604255</v>
      </c>
      <c r="F52" s="2212" t="e">
        <f>IF('Report-M&amp;O1718'!C$18-'Report-SOF1718'!D$55&lt;=0,0,'Report-M&amp;O1718'!C$18-'Report-SOF1718'!D$55)</f>
        <v>#DIV/0!</v>
      </c>
      <c r="G52" s="2452" t="e">
        <f t="shared" si="1"/>
        <v>#DIV/0!</v>
      </c>
      <c r="H52" s="2449">
        <f>IF(A52='Data Entry - SOF'!B$2,'Data Entry - SOF'!E$64,0)</f>
        <v>0</v>
      </c>
      <c r="I52" s="1687">
        <f t="shared" si="2"/>
        <v>54604255</v>
      </c>
      <c r="J52" s="2212" t="e">
        <f>IF('Report-M&amp;O1819'!C$18-'Report-SOF1819'!D$55&lt;=0,0,'Report-M&amp;O1819'!C$18-'Report-SOF1819'!D$55)</f>
        <v>#DIV/0!</v>
      </c>
      <c r="K52" s="2452" t="e">
        <f t="shared" si="3"/>
        <v>#DIV/0!</v>
      </c>
      <c r="L52" s="2449">
        <f>IF(A52='Data Entry - SOF'!B$2,'Data Entry - SOF'!G$64,0)</f>
        <v>0</v>
      </c>
      <c r="M52" s="1371">
        <f t="shared" si="4"/>
        <v>54604255</v>
      </c>
      <c r="N52" s="2212" t="e">
        <f>IF('Report-M&amp;O1920'!C$18-'Report-SOF1920'!D$55&lt;=0,0,'Report-M&amp;O1920'!C$18-'Report-SOF1920'!D$55)</f>
        <v>#DIV/0!</v>
      </c>
      <c r="O52" s="2452" t="e">
        <f t="shared" si="5"/>
        <v>#DIV/0!</v>
      </c>
      <c r="P52" s="2449">
        <f>IF(A52='Data Entry - SOF'!B$2,'Data Entry - SOF'!I$64,0)</f>
        <v>0</v>
      </c>
      <c r="Q52" s="1687">
        <f t="shared" si="6"/>
        <v>54604255</v>
      </c>
      <c r="R52" s="2212" t="e">
        <f>IF('Report-M&amp;O2021'!C$18-'Report-SOF2021'!D$55&lt;=0,0,'Report-M&amp;O2021'!C$18-'Report-SOF2021'!D$55)</f>
        <v>#DIV/0!</v>
      </c>
      <c r="S52" s="2452" t="e">
        <f t="shared" si="7"/>
        <v>#DIV/0!</v>
      </c>
      <c r="T52" s="1708">
        <f>IF(A52='Data Entry - SOF'!B$2,'Data Entry - SOF'!K$64,0)</f>
        <v>0</v>
      </c>
      <c r="U52" s="1687">
        <f t="shared" si="8"/>
        <v>54604255</v>
      </c>
      <c r="V52" s="2212" t="e">
        <f>IF('Report-M&amp;O2122'!C$18-'Report-SOF2122'!D$55&lt;=0,0,'Report-M&amp;O2122'!C$18-'Report-SOF2122'!D$55)</f>
        <v>#DIV/0!</v>
      </c>
      <c r="W52" s="2452" t="e">
        <f t="shared" si="9"/>
        <v>#DIV/0!</v>
      </c>
      <c r="X52" s="1708">
        <f>IF(A52='Data Entry - SOF'!B$2,'Data Entry - SOF'!M$64,0)</f>
        <v>0</v>
      </c>
      <c r="Y52" s="1371" t="e">
        <f t="shared" si="10"/>
        <v>#DIV/0!</v>
      </c>
      <c r="Z52" s="2212" t="e">
        <f>IF('Report-M&amp;O2223'!C$18-'Report-SOF2223'!D$55&lt;=0,0,'Report-M&amp;O2223'!C$18-'Report-SOF2223'!D$55)</f>
        <v>#DIV/0!</v>
      </c>
      <c r="AA52" s="1708">
        <f>IF(A52='Data Entry - SOF'!B$2,'Data Entry - SOF'!O$64,0)</f>
        <v>0</v>
      </c>
    </row>
    <row r="53" spans="1:27" ht="15.75">
      <c r="A53" s="1076" t="s">
        <v>2125</v>
      </c>
      <c r="B53">
        <v>8200546</v>
      </c>
      <c r="C53" s="2452" t="e">
        <f>#REF!+#REF!</f>
        <v>#REF!</v>
      </c>
      <c r="D53" s="2449">
        <f>IF(A53='Data Entry - SOF'!B$2,'Data Entry - SOF'!C$64,0)</f>
        <v>0</v>
      </c>
      <c r="E53" s="2450">
        <f t="shared" si="0"/>
        <v>8200546</v>
      </c>
      <c r="F53" s="2212" t="e">
        <f>IF('Report-M&amp;O1718'!C$18-'Report-SOF1718'!D$55&lt;=0,0,'Report-M&amp;O1718'!C$18-'Report-SOF1718'!D$55)</f>
        <v>#DIV/0!</v>
      </c>
      <c r="G53" s="2452" t="e">
        <f t="shared" si="1"/>
        <v>#DIV/0!</v>
      </c>
      <c r="H53" s="2449">
        <f>IF(A53='Data Entry - SOF'!B$2,'Data Entry - SOF'!E$64,0)</f>
        <v>0</v>
      </c>
      <c r="I53" s="1687">
        <f t="shared" si="2"/>
        <v>8200546</v>
      </c>
      <c r="J53" s="2212" t="e">
        <f>IF('Report-M&amp;O1819'!C$18-'Report-SOF1819'!D$55&lt;=0,0,'Report-M&amp;O1819'!C$18-'Report-SOF1819'!D$55)</f>
        <v>#DIV/0!</v>
      </c>
      <c r="K53" s="2452" t="e">
        <f t="shared" si="3"/>
        <v>#DIV/0!</v>
      </c>
      <c r="L53" s="2449">
        <f>IF(A53='Data Entry - SOF'!B$2,'Data Entry - SOF'!G$64,0)</f>
        <v>0</v>
      </c>
      <c r="M53" s="1371">
        <f t="shared" si="4"/>
        <v>8200546</v>
      </c>
      <c r="N53" s="2212" t="e">
        <f>IF('Report-M&amp;O1920'!C$18-'Report-SOF1920'!D$55&lt;=0,0,'Report-M&amp;O1920'!C$18-'Report-SOF1920'!D$55)</f>
        <v>#DIV/0!</v>
      </c>
      <c r="O53" s="2452" t="e">
        <f t="shared" si="5"/>
        <v>#DIV/0!</v>
      </c>
      <c r="P53" s="2449">
        <f>IF(A53='Data Entry - SOF'!B$2,'Data Entry - SOF'!I$64,0)</f>
        <v>0</v>
      </c>
      <c r="Q53" s="1687">
        <f t="shared" si="6"/>
        <v>8200546</v>
      </c>
      <c r="R53" s="2212" t="e">
        <f>IF('Report-M&amp;O2021'!C$18-'Report-SOF2021'!D$55&lt;=0,0,'Report-M&amp;O2021'!C$18-'Report-SOF2021'!D$55)</f>
        <v>#DIV/0!</v>
      </c>
      <c r="S53" s="2452" t="e">
        <f t="shared" si="7"/>
        <v>#DIV/0!</v>
      </c>
      <c r="T53" s="1708">
        <f>IF(A53='Data Entry - SOF'!B$2,'Data Entry - SOF'!K$64,0)</f>
        <v>0</v>
      </c>
      <c r="U53" s="1687">
        <f t="shared" si="8"/>
        <v>8200546</v>
      </c>
      <c r="V53" s="2212" t="e">
        <f>IF('Report-M&amp;O2122'!C$18-'Report-SOF2122'!D$55&lt;=0,0,'Report-M&amp;O2122'!C$18-'Report-SOF2122'!D$55)</f>
        <v>#DIV/0!</v>
      </c>
      <c r="W53" s="2452" t="e">
        <f t="shared" si="9"/>
        <v>#DIV/0!</v>
      </c>
      <c r="X53" s="1708">
        <f>IF(A53='Data Entry - SOF'!B$2,'Data Entry - SOF'!M$64,0)</f>
        <v>0</v>
      </c>
      <c r="Y53" s="1371" t="e">
        <f t="shared" si="10"/>
        <v>#DIV/0!</v>
      </c>
      <c r="Z53" s="2212" t="e">
        <f>IF('Report-M&amp;O2223'!C$18-'Report-SOF2223'!D$55&lt;=0,0,'Report-M&amp;O2223'!C$18-'Report-SOF2223'!D$55)</f>
        <v>#DIV/0!</v>
      </c>
      <c r="AA53" s="1708">
        <f>IF(A53='Data Entry - SOF'!B$2,'Data Entry - SOF'!O$64,0)</f>
        <v>0</v>
      </c>
    </row>
    <row r="54" spans="1:27" ht="15.75">
      <c r="A54" s="1076" t="s">
        <v>874</v>
      </c>
      <c r="B54">
        <v>6738140</v>
      </c>
      <c r="C54" s="2452" t="e">
        <f>#REF!+#REF!</f>
        <v>#REF!</v>
      </c>
      <c r="D54" s="2449">
        <f>IF(A54='Data Entry - SOF'!B$2,'Data Entry - SOF'!C$64,0)</f>
        <v>0</v>
      </c>
      <c r="E54" s="2450">
        <f t="shared" si="0"/>
        <v>6738140</v>
      </c>
      <c r="F54" s="2212" t="e">
        <f>IF('Report-M&amp;O1718'!C$18-'Report-SOF1718'!D$55&lt;=0,0,'Report-M&amp;O1718'!C$18-'Report-SOF1718'!D$55)</f>
        <v>#DIV/0!</v>
      </c>
      <c r="G54" s="2452" t="e">
        <f t="shared" si="1"/>
        <v>#DIV/0!</v>
      </c>
      <c r="H54" s="2449">
        <f>IF(A54='Data Entry - SOF'!B$2,'Data Entry - SOF'!E$64,0)</f>
        <v>0</v>
      </c>
      <c r="I54" s="1687">
        <f t="shared" si="2"/>
        <v>6738140</v>
      </c>
      <c r="J54" s="2212" t="e">
        <f>IF('Report-M&amp;O1819'!C$18-'Report-SOF1819'!D$55&lt;=0,0,'Report-M&amp;O1819'!C$18-'Report-SOF1819'!D$55)</f>
        <v>#DIV/0!</v>
      </c>
      <c r="K54" s="2452" t="e">
        <f t="shared" si="3"/>
        <v>#DIV/0!</v>
      </c>
      <c r="L54" s="2449">
        <f>IF(A54='Data Entry - SOF'!B$2,'Data Entry - SOF'!G$64,0)</f>
        <v>0</v>
      </c>
      <c r="M54" s="1371">
        <f t="shared" si="4"/>
        <v>6738140</v>
      </c>
      <c r="N54" s="2212" t="e">
        <f>IF('Report-M&amp;O1920'!C$18-'Report-SOF1920'!D$55&lt;=0,0,'Report-M&amp;O1920'!C$18-'Report-SOF1920'!D$55)</f>
        <v>#DIV/0!</v>
      </c>
      <c r="O54" s="2452" t="e">
        <f t="shared" si="5"/>
        <v>#DIV/0!</v>
      </c>
      <c r="P54" s="2449">
        <f>IF(A54='Data Entry - SOF'!B$2,'Data Entry - SOF'!I$64,0)</f>
        <v>0</v>
      </c>
      <c r="Q54" s="1687">
        <f t="shared" si="6"/>
        <v>6738140</v>
      </c>
      <c r="R54" s="2212" t="e">
        <f>IF('Report-M&amp;O2021'!C$18-'Report-SOF2021'!D$55&lt;=0,0,'Report-M&amp;O2021'!C$18-'Report-SOF2021'!D$55)</f>
        <v>#DIV/0!</v>
      </c>
      <c r="S54" s="2452" t="e">
        <f t="shared" si="7"/>
        <v>#DIV/0!</v>
      </c>
      <c r="T54" s="1708">
        <f>IF(A54='Data Entry - SOF'!B$2,'Data Entry - SOF'!K$64,0)</f>
        <v>0</v>
      </c>
      <c r="U54" s="1687">
        <f t="shared" si="8"/>
        <v>6738140</v>
      </c>
      <c r="V54" s="2212" t="e">
        <f>IF('Report-M&amp;O2122'!C$18-'Report-SOF2122'!D$55&lt;=0,0,'Report-M&amp;O2122'!C$18-'Report-SOF2122'!D$55)</f>
        <v>#DIV/0!</v>
      </c>
      <c r="W54" s="2452" t="e">
        <f t="shared" si="9"/>
        <v>#DIV/0!</v>
      </c>
      <c r="X54" s="1708">
        <f>IF(A54='Data Entry - SOF'!B$2,'Data Entry - SOF'!M$64,0)</f>
        <v>0</v>
      </c>
      <c r="Y54" s="1371" t="e">
        <f t="shared" si="10"/>
        <v>#DIV/0!</v>
      </c>
      <c r="Z54" s="2212" t="e">
        <f>IF('Report-M&amp;O2223'!C$18-'Report-SOF2223'!D$55&lt;=0,0,'Report-M&amp;O2223'!C$18-'Report-SOF2223'!D$55)</f>
        <v>#DIV/0!</v>
      </c>
      <c r="AA54" s="1708">
        <f>IF(A54='Data Entry - SOF'!B$2,'Data Entry - SOF'!O$64,0)</f>
        <v>0</v>
      </c>
    </row>
    <row r="55" spans="1:27" ht="15.75">
      <c r="A55" s="1076" t="s">
        <v>1489</v>
      </c>
      <c r="B55">
        <v>103500663</v>
      </c>
      <c r="C55" s="2452" t="e">
        <f>#REF!+#REF!</f>
        <v>#REF!</v>
      </c>
      <c r="D55" s="2449">
        <f>IF(A55='Data Entry - SOF'!B$2,'Data Entry - SOF'!C$64,0)</f>
        <v>0</v>
      </c>
      <c r="E55" s="2450">
        <f t="shared" si="0"/>
        <v>103500663</v>
      </c>
      <c r="F55" s="2212" t="e">
        <f>IF('Report-M&amp;O1718'!C$18-'Report-SOF1718'!D$55&lt;=0,0,'Report-M&amp;O1718'!C$18-'Report-SOF1718'!D$55)</f>
        <v>#DIV/0!</v>
      </c>
      <c r="G55" s="2452" t="e">
        <f t="shared" si="1"/>
        <v>#DIV/0!</v>
      </c>
      <c r="H55" s="2449">
        <f>IF(A55='Data Entry - SOF'!B$2,'Data Entry - SOF'!E$64,0)</f>
        <v>0</v>
      </c>
      <c r="I55" s="1687">
        <f t="shared" si="2"/>
        <v>103500663</v>
      </c>
      <c r="J55" s="2212" t="e">
        <f>IF('Report-M&amp;O1819'!C$18-'Report-SOF1819'!D$55&lt;=0,0,'Report-M&amp;O1819'!C$18-'Report-SOF1819'!D$55)</f>
        <v>#DIV/0!</v>
      </c>
      <c r="K55" s="2452" t="e">
        <f t="shared" si="3"/>
        <v>#DIV/0!</v>
      </c>
      <c r="L55" s="2449">
        <f>IF(A55='Data Entry - SOF'!B$2,'Data Entry - SOF'!G$64,0)</f>
        <v>0</v>
      </c>
      <c r="M55" s="1371">
        <f t="shared" si="4"/>
        <v>103500663</v>
      </c>
      <c r="N55" s="2212" t="e">
        <f>IF('Report-M&amp;O1920'!C$18-'Report-SOF1920'!D$55&lt;=0,0,'Report-M&amp;O1920'!C$18-'Report-SOF1920'!D$55)</f>
        <v>#DIV/0!</v>
      </c>
      <c r="O55" s="2452" t="e">
        <f t="shared" si="5"/>
        <v>#DIV/0!</v>
      </c>
      <c r="P55" s="2449">
        <f>IF(A55='Data Entry - SOF'!B$2,'Data Entry - SOF'!I$64,0)</f>
        <v>0</v>
      </c>
      <c r="Q55" s="1687">
        <f t="shared" si="6"/>
        <v>103500663</v>
      </c>
      <c r="R55" s="2212" t="e">
        <f>IF('Report-M&amp;O2021'!C$18-'Report-SOF2021'!D$55&lt;=0,0,'Report-M&amp;O2021'!C$18-'Report-SOF2021'!D$55)</f>
        <v>#DIV/0!</v>
      </c>
      <c r="S55" s="2452" t="e">
        <f t="shared" si="7"/>
        <v>#DIV/0!</v>
      </c>
      <c r="T55" s="1708">
        <f>IF(A55='Data Entry - SOF'!B$2,'Data Entry - SOF'!K$64,0)</f>
        <v>0</v>
      </c>
      <c r="U55" s="1687">
        <f t="shared" si="8"/>
        <v>103500663</v>
      </c>
      <c r="V55" s="2212" t="e">
        <f>IF('Report-M&amp;O2122'!C$18-'Report-SOF2122'!D$55&lt;=0,0,'Report-M&amp;O2122'!C$18-'Report-SOF2122'!D$55)</f>
        <v>#DIV/0!</v>
      </c>
      <c r="W55" s="2452" t="e">
        <f t="shared" si="9"/>
        <v>#DIV/0!</v>
      </c>
      <c r="X55" s="1708">
        <f>IF(A55='Data Entry - SOF'!B$2,'Data Entry - SOF'!M$64,0)</f>
        <v>0</v>
      </c>
      <c r="Y55" s="1371" t="e">
        <f t="shared" si="10"/>
        <v>#DIV/0!</v>
      </c>
      <c r="Z55" s="2212" t="e">
        <f>IF('Report-M&amp;O2223'!C$18-'Report-SOF2223'!D$55&lt;=0,0,'Report-M&amp;O2223'!C$18-'Report-SOF2223'!D$55)</f>
        <v>#DIV/0!</v>
      </c>
      <c r="AA55" s="1708">
        <f>IF(A55='Data Entry - SOF'!B$2,'Data Entry - SOF'!O$64,0)</f>
        <v>0</v>
      </c>
    </row>
    <row r="56" spans="1:27" ht="15.75">
      <c r="A56" s="1076" t="s">
        <v>1699</v>
      </c>
      <c r="B56">
        <v>15019035</v>
      </c>
      <c r="C56" s="2452" t="e">
        <f>#REF!+#REF!</f>
        <v>#REF!</v>
      </c>
      <c r="D56" s="2449">
        <f>IF(A56='Data Entry - SOF'!B$2,'Data Entry - SOF'!C$64,0)</f>
        <v>0</v>
      </c>
      <c r="E56" s="2450">
        <f t="shared" si="0"/>
        <v>15019035</v>
      </c>
      <c r="F56" s="2212" t="e">
        <f>IF('Report-M&amp;O1718'!C$18-'Report-SOF1718'!D$55&lt;=0,0,'Report-M&amp;O1718'!C$18-'Report-SOF1718'!D$55)</f>
        <v>#DIV/0!</v>
      </c>
      <c r="G56" s="2452" t="e">
        <f t="shared" si="1"/>
        <v>#DIV/0!</v>
      </c>
      <c r="H56" s="2449">
        <f>IF(A56='Data Entry - SOF'!B$2,'Data Entry - SOF'!E$64,0)</f>
        <v>0</v>
      </c>
      <c r="I56" s="1687">
        <f t="shared" si="2"/>
        <v>15019035</v>
      </c>
      <c r="J56" s="2212" t="e">
        <f>IF('Report-M&amp;O1819'!C$18-'Report-SOF1819'!D$55&lt;=0,0,'Report-M&amp;O1819'!C$18-'Report-SOF1819'!D$55)</f>
        <v>#DIV/0!</v>
      </c>
      <c r="K56" s="2452" t="e">
        <f t="shared" si="3"/>
        <v>#DIV/0!</v>
      </c>
      <c r="L56" s="2449">
        <f>IF(A56='Data Entry - SOF'!B$2,'Data Entry - SOF'!G$64,0)</f>
        <v>0</v>
      </c>
      <c r="M56" s="1371">
        <f t="shared" si="4"/>
        <v>15019035</v>
      </c>
      <c r="N56" s="2212" t="e">
        <f>IF('Report-M&amp;O1920'!C$18-'Report-SOF1920'!D$55&lt;=0,0,'Report-M&amp;O1920'!C$18-'Report-SOF1920'!D$55)</f>
        <v>#DIV/0!</v>
      </c>
      <c r="O56" s="2452" t="e">
        <f t="shared" si="5"/>
        <v>#DIV/0!</v>
      </c>
      <c r="P56" s="2449">
        <f>IF(A56='Data Entry - SOF'!B$2,'Data Entry - SOF'!I$64,0)</f>
        <v>0</v>
      </c>
      <c r="Q56" s="1687">
        <f t="shared" si="6"/>
        <v>15019035</v>
      </c>
      <c r="R56" s="2212" t="e">
        <f>IF('Report-M&amp;O2021'!C$18-'Report-SOF2021'!D$55&lt;=0,0,'Report-M&amp;O2021'!C$18-'Report-SOF2021'!D$55)</f>
        <v>#DIV/0!</v>
      </c>
      <c r="S56" s="2452" t="e">
        <f t="shared" si="7"/>
        <v>#DIV/0!</v>
      </c>
      <c r="T56" s="1708">
        <f>IF(A56='Data Entry - SOF'!B$2,'Data Entry - SOF'!K$64,0)</f>
        <v>0</v>
      </c>
      <c r="U56" s="1687">
        <f t="shared" si="8"/>
        <v>15019035</v>
      </c>
      <c r="V56" s="2212" t="e">
        <f>IF('Report-M&amp;O2122'!C$18-'Report-SOF2122'!D$55&lt;=0,0,'Report-M&amp;O2122'!C$18-'Report-SOF2122'!D$55)</f>
        <v>#DIV/0!</v>
      </c>
      <c r="W56" s="2452" t="e">
        <f t="shared" si="9"/>
        <v>#DIV/0!</v>
      </c>
      <c r="X56" s="1708">
        <f>IF(A56='Data Entry - SOF'!B$2,'Data Entry - SOF'!M$64,0)</f>
        <v>0</v>
      </c>
      <c r="Y56" s="1371" t="e">
        <f t="shared" si="10"/>
        <v>#DIV/0!</v>
      </c>
      <c r="Z56" s="2212" t="e">
        <f>IF('Report-M&amp;O2223'!C$18-'Report-SOF2223'!D$55&lt;=0,0,'Report-M&amp;O2223'!C$18-'Report-SOF2223'!D$55)</f>
        <v>#DIV/0!</v>
      </c>
      <c r="AA56" s="1708">
        <f>IF(A56='Data Entry - SOF'!B$2,'Data Entry - SOF'!O$64,0)</f>
        <v>0</v>
      </c>
    </row>
    <row r="57" spans="1:27" ht="15.75">
      <c r="A57" s="1076" t="s">
        <v>1316</v>
      </c>
      <c r="B57">
        <v>1255655</v>
      </c>
      <c r="C57" s="2452" t="e">
        <f>#REF!+#REF!</f>
        <v>#REF!</v>
      </c>
      <c r="D57" s="2449">
        <f>IF(A57='Data Entry - SOF'!B$2,'Data Entry - SOF'!C$64,0)</f>
        <v>0</v>
      </c>
      <c r="E57" s="2450">
        <f t="shared" si="0"/>
        <v>1255655</v>
      </c>
      <c r="F57" s="2212" t="e">
        <f>IF('Report-M&amp;O1718'!C$18-'Report-SOF1718'!D$55&lt;=0,0,'Report-M&amp;O1718'!C$18-'Report-SOF1718'!D$55)</f>
        <v>#DIV/0!</v>
      </c>
      <c r="G57" s="2452" t="e">
        <f t="shared" si="1"/>
        <v>#DIV/0!</v>
      </c>
      <c r="H57" s="2449">
        <f>IF(A57='Data Entry - SOF'!B$2,'Data Entry - SOF'!E$64,0)</f>
        <v>0</v>
      </c>
      <c r="I57" s="1687">
        <f t="shared" si="2"/>
        <v>1255655</v>
      </c>
      <c r="J57" s="2212" t="e">
        <f>IF('Report-M&amp;O1819'!C$18-'Report-SOF1819'!D$55&lt;=0,0,'Report-M&amp;O1819'!C$18-'Report-SOF1819'!D$55)</f>
        <v>#DIV/0!</v>
      </c>
      <c r="K57" s="2452" t="e">
        <f t="shared" si="3"/>
        <v>#DIV/0!</v>
      </c>
      <c r="L57" s="2449">
        <f>IF(A57='Data Entry - SOF'!B$2,'Data Entry - SOF'!G$64,0)</f>
        <v>0</v>
      </c>
      <c r="M57" s="1371">
        <f t="shared" si="4"/>
        <v>1255655</v>
      </c>
      <c r="N57" s="2212" t="e">
        <f>IF('Report-M&amp;O1920'!C$18-'Report-SOF1920'!D$55&lt;=0,0,'Report-M&amp;O1920'!C$18-'Report-SOF1920'!D$55)</f>
        <v>#DIV/0!</v>
      </c>
      <c r="O57" s="2452" t="e">
        <f t="shared" si="5"/>
        <v>#DIV/0!</v>
      </c>
      <c r="P57" s="2449">
        <f>IF(A57='Data Entry - SOF'!B$2,'Data Entry - SOF'!I$64,0)</f>
        <v>0</v>
      </c>
      <c r="Q57" s="1687">
        <f t="shared" si="6"/>
        <v>1255655</v>
      </c>
      <c r="R57" s="2212" t="e">
        <f>IF('Report-M&amp;O2021'!C$18-'Report-SOF2021'!D$55&lt;=0,0,'Report-M&amp;O2021'!C$18-'Report-SOF2021'!D$55)</f>
        <v>#DIV/0!</v>
      </c>
      <c r="S57" s="2452" t="e">
        <f t="shared" si="7"/>
        <v>#DIV/0!</v>
      </c>
      <c r="T57" s="1708">
        <f>IF(A57='Data Entry - SOF'!B$2,'Data Entry - SOF'!K$64,0)</f>
        <v>0</v>
      </c>
      <c r="U57" s="1687">
        <f t="shared" si="8"/>
        <v>1255655</v>
      </c>
      <c r="V57" s="2212" t="e">
        <f>IF('Report-M&amp;O2122'!C$18-'Report-SOF2122'!D$55&lt;=0,0,'Report-M&amp;O2122'!C$18-'Report-SOF2122'!D$55)</f>
        <v>#DIV/0!</v>
      </c>
      <c r="W57" s="2452" t="e">
        <f t="shared" si="9"/>
        <v>#DIV/0!</v>
      </c>
      <c r="X57" s="1708">
        <f>IF(A57='Data Entry - SOF'!B$2,'Data Entry - SOF'!M$64,0)</f>
        <v>0</v>
      </c>
      <c r="Y57" s="1371" t="e">
        <f t="shared" si="10"/>
        <v>#DIV/0!</v>
      </c>
      <c r="Z57" s="2212" t="e">
        <f>IF('Report-M&amp;O2223'!C$18-'Report-SOF2223'!D$55&lt;=0,0,'Report-M&amp;O2223'!C$18-'Report-SOF2223'!D$55)</f>
        <v>#DIV/0!</v>
      </c>
      <c r="AA57" s="1708">
        <f>IF(A57='Data Entry - SOF'!B$2,'Data Entry - SOF'!O$64,0)</f>
        <v>0</v>
      </c>
    </row>
    <row r="58" spans="1:27" ht="15.75">
      <c r="A58" s="1076" t="s">
        <v>1587</v>
      </c>
      <c r="B58">
        <v>621608549</v>
      </c>
      <c r="C58" s="2452" t="e">
        <f>#REF!+#REF!</f>
        <v>#REF!</v>
      </c>
      <c r="D58" s="2449">
        <f>IF(A58='Data Entry - SOF'!B$2,'Data Entry - SOF'!C$64,0)</f>
        <v>0</v>
      </c>
      <c r="E58" s="2450">
        <f t="shared" si="0"/>
        <v>621608549</v>
      </c>
      <c r="F58" s="2212" t="e">
        <f>IF('Report-M&amp;O1718'!C$18-'Report-SOF1718'!D$55&lt;=0,0,'Report-M&amp;O1718'!C$18-'Report-SOF1718'!D$55)</f>
        <v>#DIV/0!</v>
      </c>
      <c r="G58" s="2452" t="e">
        <f t="shared" si="1"/>
        <v>#DIV/0!</v>
      </c>
      <c r="H58" s="2449">
        <f>IF(A58='Data Entry - SOF'!B$2,'Data Entry - SOF'!E$64,0)</f>
        <v>0</v>
      </c>
      <c r="I58" s="1687">
        <f t="shared" si="2"/>
        <v>621608549</v>
      </c>
      <c r="J58" s="2212" t="e">
        <f>IF('Report-M&amp;O1819'!C$18-'Report-SOF1819'!D$55&lt;=0,0,'Report-M&amp;O1819'!C$18-'Report-SOF1819'!D$55)</f>
        <v>#DIV/0!</v>
      </c>
      <c r="K58" s="2452" t="e">
        <f t="shared" si="3"/>
        <v>#DIV/0!</v>
      </c>
      <c r="L58" s="2449">
        <f>IF(A58='Data Entry - SOF'!B$2,'Data Entry - SOF'!G$64,0)</f>
        <v>0</v>
      </c>
      <c r="M58" s="1371">
        <f t="shared" si="4"/>
        <v>621608549</v>
      </c>
      <c r="N58" s="2212" t="e">
        <f>IF('Report-M&amp;O1920'!C$18-'Report-SOF1920'!D$55&lt;=0,0,'Report-M&amp;O1920'!C$18-'Report-SOF1920'!D$55)</f>
        <v>#DIV/0!</v>
      </c>
      <c r="O58" s="2452" t="e">
        <f t="shared" si="5"/>
        <v>#DIV/0!</v>
      </c>
      <c r="P58" s="2449">
        <f>IF(A58='Data Entry - SOF'!B$2,'Data Entry - SOF'!I$64,0)</f>
        <v>0</v>
      </c>
      <c r="Q58" s="1687">
        <f t="shared" si="6"/>
        <v>621608549</v>
      </c>
      <c r="R58" s="2212" t="e">
        <f>IF('Report-M&amp;O2021'!C$18-'Report-SOF2021'!D$55&lt;=0,0,'Report-M&amp;O2021'!C$18-'Report-SOF2021'!D$55)</f>
        <v>#DIV/0!</v>
      </c>
      <c r="S58" s="2452" t="e">
        <f t="shared" si="7"/>
        <v>#DIV/0!</v>
      </c>
      <c r="T58" s="1708">
        <f>IF(A58='Data Entry - SOF'!B$2,'Data Entry - SOF'!K$64,0)</f>
        <v>0</v>
      </c>
      <c r="U58" s="1687">
        <f t="shared" si="8"/>
        <v>621608549</v>
      </c>
      <c r="V58" s="2212" t="e">
        <f>IF('Report-M&amp;O2122'!C$18-'Report-SOF2122'!D$55&lt;=0,0,'Report-M&amp;O2122'!C$18-'Report-SOF2122'!D$55)</f>
        <v>#DIV/0!</v>
      </c>
      <c r="W58" s="2452" t="e">
        <f t="shared" si="9"/>
        <v>#DIV/0!</v>
      </c>
      <c r="X58" s="1708">
        <f>IF(A58='Data Entry - SOF'!B$2,'Data Entry - SOF'!M$64,0)</f>
        <v>0</v>
      </c>
      <c r="Y58" s="1371" t="e">
        <f t="shared" si="10"/>
        <v>#DIV/0!</v>
      </c>
      <c r="Z58" s="2212" t="e">
        <f>IF('Report-M&amp;O2223'!C$18-'Report-SOF2223'!D$55&lt;=0,0,'Report-M&amp;O2223'!C$18-'Report-SOF2223'!D$55)</f>
        <v>#DIV/0!</v>
      </c>
      <c r="AA58" s="1708">
        <f>IF(A58='Data Entry - SOF'!B$2,'Data Entry - SOF'!O$64,0)</f>
        <v>0</v>
      </c>
    </row>
    <row r="59" spans="1:27" ht="15.75">
      <c r="A59" s="1076" t="s">
        <v>871</v>
      </c>
      <c r="B59">
        <v>26511309</v>
      </c>
      <c r="C59" s="2452" t="e">
        <f>#REF!+#REF!</f>
        <v>#REF!</v>
      </c>
      <c r="D59" s="2449">
        <f>IF(A59='Data Entry - SOF'!B$2,'Data Entry - SOF'!C$64,0)</f>
        <v>0</v>
      </c>
      <c r="E59" s="2450">
        <f t="shared" si="0"/>
        <v>26511309</v>
      </c>
      <c r="F59" s="2212" t="e">
        <f>IF('Report-M&amp;O1718'!C$18-'Report-SOF1718'!D$55&lt;=0,0,'Report-M&amp;O1718'!C$18-'Report-SOF1718'!D$55)</f>
        <v>#DIV/0!</v>
      </c>
      <c r="G59" s="2452" t="e">
        <f t="shared" si="1"/>
        <v>#DIV/0!</v>
      </c>
      <c r="H59" s="2449">
        <f>IF(A59='Data Entry - SOF'!B$2,'Data Entry - SOF'!E$64,0)</f>
        <v>0</v>
      </c>
      <c r="I59" s="1687">
        <f t="shared" si="2"/>
        <v>26511309</v>
      </c>
      <c r="J59" s="2212" t="e">
        <f>IF('Report-M&amp;O1819'!C$18-'Report-SOF1819'!D$55&lt;=0,0,'Report-M&amp;O1819'!C$18-'Report-SOF1819'!D$55)</f>
        <v>#DIV/0!</v>
      </c>
      <c r="K59" s="2452" t="e">
        <f t="shared" si="3"/>
        <v>#DIV/0!</v>
      </c>
      <c r="L59" s="2449">
        <f>IF(A59='Data Entry - SOF'!B$2,'Data Entry - SOF'!G$64,0)</f>
        <v>0</v>
      </c>
      <c r="M59" s="1371">
        <f t="shared" si="4"/>
        <v>26511309</v>
      </c>
      <c r="N59" s="2212" t="e">
        <f>IF('Report-M&amp;O1920'!C$18-'Report-SOF1920'!D$55&lt;=0,0,'Report-M&amp;O1920'!C$18-'Report-SOF1920'!D$55)</f>
        <v>#DIV/0!</v>
      </c>
      <c r="O59" s="2452" t="e">
        <f t="shared" si="5"/>
        <v>#DIV/0!</v>
      </c>
      <c r="P59" s="2449">
        <f>IF(A59='Data Entry - SOF'!B$2,'Data Entry - SOF'!I$64,0)</f>
        <v>0</v>
      </c>
      <c r="Q59" s="1687">
        <f t="shared" si="6"/>
        <v>26511309</v>
      </c>
      <c r="R59" s="2212" t="e">
        <f>IF('Report-M&amp;O2021'!C$18-'Report-SOF2021'!D$55&lt;=0,0,'Report-M&amp;O2021'!C$18-'Report-SOF2021'!D$55)</f>
        <v>#DIV/0!</v>
      </c>
      <c r="S59" s="2452" t="e">
        <f t="shared" si="7"/>
        <v>#DIV/0!</v>
      </c>
      <c r="T59" s="1708">
        <f>IF(A59='Data Entry - SOF'!B$2,'Data Entry - SOF'!K$64,0)</f>
        <v>0</v>
      </c>
      <c r="U59" s="1687">
        <f t="shared" si="8"/>
        <v>26511309</v>
      </c>
      <c r="V59" s="2212" t="e">
        <f>IF('Report-M&amp;O2122'!C$18-'Report-SOF2122'!D$55&lt;=0,0,'Report-M&amp;O2122'!C$18-'Report-SOF2122'!D$55)</f>
        <v>#DIV/0!</v>
      </c>
      <c r="W59" s="2452" t="e">
        <f t="shared" si="9"/>
        <v>#DIV/0!</v>
      </c>
      <c r="X59" s="1708">
        <f>IF(A59='Data Entry - SOF'!B$2,'Data Entry - SOF'!M$64,0)</f>
        <v>0</v>
      </c>
      <c r="Y59" s="1371" t="e">
        <f t="shared" si="10"/>
        <v>#DIV/0!</v>
      </c>
      <c r="Z59" s="2212" t="e">
        <f>IF('Report-M&amp;O2223'!C$18-'Report-SOF2223'!D$55&lt;=0,0,'Report-M&amp;O2223'!C$18-'Report-SOF2223'!D$55)</f>
        <v>#DIV/0!</v>
      </c>
      <c r="AA59" s="1708">
        <f>IF(A59='Data Entry - SOF'!B$2,'Data Entry - SOF'!O$64,0)</f>
        <v>0</v>
      </c>
    </row>
    <row r="60" spans="1:27" ht="15.75">
      <c r="A60" s="1076" t="s">
        <v>807</v>
      </c>
      <c r="B60">
        <v>32119967</v>
      </c>
      <c r="C60" s="2452" t="e">
        <f>#REF!+#REF!</f>
        <v>#REF!</v>
      </c>
      <c r="D60" s="2449">
        <f>IF(A60='Data Entry - SOF'!B$2,'Data Entry - SOF'!C$64,0)</f>
        <v>0</v>
      </c>
      <c r="E60" s="2450">
        <f t="shared" si="0"/>
        <v>32119967</v>
      </c>
      <c r="F60" s="2212" t="e">
        <f>IF('Report-M&amp;O1718'!C$18-'Report-SOF1718'!D$55&lt;=0,0,'Report-M&amp;O1718'!C$18-'Report-SOF1718'!D$55)</f>
        <v>#DIV/0!</v>
      </c>
      <c r="G60" s="2452" t="e">
        <f t="shared" si="1"/>
        <v>#DIV/0!</v>
      </c>
      <c r="H60" s="2449">
        <f>IF(A60='Data Entry - SOF'!B$2,'Data Entry - SOF'!E$64,0)</f>
        <v>0</v>
      </c>
      <c r="I60" s="1687">
        <f t="shared" si="2"/>
        <v>32119967</v>
      </c>
      <c r="J60" s="2212" t="e">
        <f>IF('Report-M&amp;O1819'!C$18-'Report-SOF1819'!D$55&lt;=0,0,'Report-M&amp;O1819'!C$18-'Report-SOF1819'!D$55)</f>
        <v>#DIV/0!</v>
      </c>
      <c r="K60" s="2452" t="e">
        <f t="shared" si="3"/>
        <v>#DIV/0!</v>
      </c>
      <c r="L60" s="2449">
        <f>IF(A60='Data Entry - SOF'!B$2,'Data Entry - SOF'!G$64,0)</f>
        <v>0</v>
      </c>
      <c r="M60" s="1371">
        <f t="shared" si="4"/>
        <v>32119967</v>
      </c>
      <c r="N60" s="2212" t="e">
        <f>IF('Report-M&amp;O1920'!C$18-'Report-SOF1920'!D$55&lt;=0,0,'Report-M&amp;O1920'!C$18-'Report-SOF1920'!D$55)</f>
        <v>#DIV/0!</v>
      </c>
      <c r="O60" s="2452" t="e">
        <f t="shared" si="5"/>
        <v>#DIV/0!</v>
      </c>
      <c r="P60" s="2449">
        <f>IF(A60='Data Entry - SOF'!B$2,'Data Entry - SOF'!I$64,0)</f>
        <v>0</v>
      </c>
      <c r="Q60" s="1687">
        <f t="shared" si="6"/>
        <v>32119967</v>
      </c>
      <c r="R60" s="2212" t="e">
        <f>IF('Report-M&amp;O2021'!C$18-'Report-SOF2021'!D$55&lt;=0,0,'Report-M&amp;O2021'!C$18-'Report-SOF2021'!D$55)</f>
        <v>#DIV/0!</v>
      </c>
      <c r="S60" s="2452" t="e">
        <f t="shared" si="7"/>
        <v>#DIV/0!</v>
      </c>
      <c r="T60" s="1708">
        <f>IF(A60='Data Entry - SOF'!B$2,'Data Entry - SOF'!K$64,0)</f>
        <v>0</v>
      </c>
      <c r="U60" s="1687">
        <f t="shared" si="8"/>
        <v>32119967</v>
      </c>
      <c r="V60" s="2212" t="e">
        <f>IF('Report-M&amp;O2122'!C$18-'Report-SOF2122'!D$55&lt;=0,0,'Report-M&amp;O2122'!C$18-'Report-SOF2122'!D$55)</f>
        <v>#DIV/0!</v>
      </c>
      <c r="W60" s="2452" t="e">
        <f t="shared" si="9"/>
        <v>#DIV/0!</v>
      </c>
      <c r="X60" s="1708">
        <f>IF(A60='Data Entry - SOF'!B$2,'Data Entry - SOF'!M$64,0)</f>
        <v>0</v>
      </c>
      <c r="Y60" s="1371" t="e">
        <f t="shared" si="10"/>
        <v>#DIV/0!</v>
      </c>
      <c r="Z60" s="2212" t="e">
        <f>IF('Report-M&amp;O2223'!C$18-'Report-SOF2223'!D$55&lt;=0,0,'Report-M&amp;O2223'!C$18-'Report-SOF2223'!D$55)</f>
        <v>#DIV/0!</v>
      </c>
      <c r="AA60" s="1708">
        <f>IF(A60='Data Entry - SOF'!B$2,'Data Entry - SOF'!O$64,0)</f>
        <v>0</v>
      </c>
    </row>
    <row r="61" spans="1:27" ht="15.75">
      <c r="A61" s="1076" t="s">
        <v>1589</v>
      </c>
      <c r="B61">
        <v>534001342</v>
      </c>
      <c r="C61" s="2452" t="e">
        <f>#REF!+#REF!</f>
        <v>#REF!</v>
      </c>
      <c r="D61" s="2449">
        <f>IF(A61='Data Entry - SOF'!B$2,'Data Entry - SOF'!C$64,0)</f>
        <v>0</v>
      </c>
      <c r="E61" s="2450">
        <f t="shared" si="0"/>
        <v>534001342</v>
      </c>
      <c r="F61" s="2212" t="e">
        <f>IF('Report-M&amp;O1718'!C$18-'Report-SOF1718'!D$55&lt;=0,0,'Report-M&amp;O1718'!C$18-'Report-SOF1718'!D$55)</f>
        <v>#DIV/0!</v>
      </c>
      <c r="G61" s="2452" t="e">
        <f t="shared" si="1"/>
        <v>#DIV/0!</v>
      </c>
      <c r="H61" s="2449">
        <f>IF(A61='Data Entry - SOF'!B$2,'Data Entry - SOF'!E$64,0)</f>
        <v>0</v>
      </c>
      <c r="I61" s="1687">
        <f t="shared" si="2"/>
        <v>534001342</v>
      </c>
      <c r="J61" s="2212" t="e">
        <f>IF('Report-M&amp;O1819'!C$18-'Report-SOF1819'!D$55&lt;=0,0,'Report-M&amp;O1819'!C$18-'Report-SOF1819'!D$55)</f>
        <v>#DIV/0!</v>
      </c>
      <c r="K61" s="2452" t="e">
        <f t="shared" si="3"/>
        <v>#DIV/0!</v>
      </c>
      <c r="L61" s="2449">
        <f>IF(A61='Data Entry - SOF'!B$2,'Data Entry - SOF'!G$64,0)</f>
        <v>0</v>
      </c>
      <c r="M61" s="1371">
        <f t="shared" si="4"/>
        <v>534001342</v>
      </c>
      <c r="N61" s="2212" t="e">
        <f>IF('Report-M&amp;O1920'!C$18-'Report-SOF1920'!D$55&lt;=0,0,'Report-M&amp;O1920'!C$18-'Report-SOF1920'!D$55)</f>
        <v>#DIV/0!</v>
      </c>
      <c r="O61" s="2452" t="e">
        <f t="shared" si="5"/>
        <v>#DIV/0!</v>
      </c>
      <c r="P61" s="2449">
        <f>IF(A61='Data Entry - SOF'!B$2,'Data Entry - SOF'!I$64,0)</f>
        <v>0</v>
      </c>
      <c r="Q61" s="1687">
        <f t="shared" si="6"/>
        <v>534001342</v>
      </c>
      <c r="R61" s="2212" t="e">
        <f>IF('Report-M&amp;O2021'!C$18-'Report-SOF2021'!D$55&lt;=0,0,'Report-M&amp;O2021'!C$18-'Report-SOF2021'!D$55)</f>
        <v>#DIV/0!</v>
      </c>
      <c r="S61" s="2452" t="e">
        <f t="shared" si="7"/>
        <v>#DIV/0!</v>
      </c>
      <c r="T61" s="1708">
        <f>IF(A61='Data Entry - SOF'!B$2,'Data Entry - SOF'!K$64,0)</f>
        <v>0</v>
      </c>
      <c r="U61" s="1687">
        <f t="shared" si="8"/>
        <v>534001342</v>
      </c>
      <c r="V61" s="2212" t="e">
        <f>IF('Report-M&amp;O2122'!C$18-'Report-SOF2122'!D$55&lt;=0,0,'Report-M&amp;O2122'!C$18-'Report-SOF2122'!D$55)</f>
        <v>#DIV/0!</v>
      </c>
      <c r="W61" s="2452" t="e">
        <f t="shared" si="9"/>
        <v>#DIV/0!</v>
      </c>
      <c r="X61" s="1708">
        <f>IF(A61='Data Entry - SOF'!B$2,'Data Entry - SOF'!M$64,0)</f>
        <v>0</v>
      </c>
      <c r="Y61" s="1371" t="e">
        <f t="shared" si="10"/>
        <v>#DIV/0!</v>
      </c>
      <c r="Z61" s="2212" t="e">
        <f>IF('Report-M&amp;O2223'!C$18-'Report-SOF2223'!D$55&lt;=0,0,'Report-M&amp;O2223'!C$18-'Report-SOF2223'!D$55)</f>
        <v>#DIV/0!</v>
      </c>
      <c r="AA61" s="1708">
        <f>IF(A61='Data Entry - SOF'!B$2,'Data Entry - SOF'!O$64,0)</f>
        <v>0</v>
      </c>
    </row>
    <row r="62" spans="1:27" ht="15.75">
      <c r="A62" s="1076" t="s">
        <v>53</v>
      </c>
      <c r="B62">
        <v>80345072</v>
      </c>
      <c r="C62" s="2452" t="e">
        <f>#REF!+#REF!</f>
        <v>#REF!</v>
      </c>
      <c r="D62" s="2449">
        <f>IF(A62='Data Entry - SOF'!B$2,'Data Entry - SOF'!C$64,0)</f>
        <v>0</v>
      </c>
      <c r="E62" s="2450">
        <f t="shared" si="0"/>
        <v>80345072</v>
      </c>
      <c r="F62" s="2212" t="e">
        <f>IF('Report-M&amp;O1718'!C$18-'Report-SOF1718'!D$55&lt;=0,0,'Report-M&amp;O1718'!C$18-'Report-SOF1718'!D$55)</f>
        <v>#DIV/0!</v>
      </c>
      <c r="G62" s="2452" t="e">
        <f t="shared" si="1"/>
        <v>#DIV/0!</v>
      </c>
      <c r="H62" s="2449">
        <f>IF(A62='Data Entry - SOF'!B$2,'Data Entry - SOF'!E$64,0)</f>
        <v>0</v>
      </c>
      <c r="I62" s="1687">
        <f t="shared" si="2"/>
        <v>80345072</v>
      </c>
      <c r="J62" s="2212" t="e">
        <f>IF('Report-M&amp;O1819'!C$18-'Report-SOF1819'!D$55&lt;=0,0,'Report-M&amp;O1819'!C$18-'Report-SOF1819'!D$55)</f>
        <v>#DIV/0!</v>
      </c>
      <c r="K62" s="2452" t="e">
        <f t="shared" si="3"/>
        <v>#DIV/0!</v>
      </c>
      <c r="L62" s="2449">
        <f>IF(A62='Data Entry - SOF'!B$2,'Data Entry - SOF'!G$64,0)</f>
        <v>0</v>
      </c>
      <c r="M62" s="1371">
        <f t="shared" si="4"/>
        <v>80345072</v>
      </c>
      <c r="N62" s="2212" t="e">
        <f>IF('Report-M&amp;O1920'!C$18-'Report-SOF1920'!D$55&lt;=0,0,'Report-M&amp;O1920'!C$18-'Report-SOF1920'!D$55)</f>
        <v>#DIV/0!</v>
      </c>
      <c r="O62" s="2452" t="e">
        <f t="shared" si="5"/>
        <v>#DIV/0!</v>
      </c>
      <c r="P62" s="2449">
        <f>IF(A62='Data Entry - SOF'!B$2,'Data Entry - SOF'!I$64,0)</f>
        <v>0</v>
      </c>
      <c r="Q62" s="1687">
        <f t="shared" si="6"/>
        <v>80345072</v>
      </c>
      <c r="R62" s="2212" t="e">
        <f>IF('Report-M&amp;O2021'!C$18-'Report-SOF2021'!D$55&lt;=0,0,'Report-M&amp;O2021'!C$18-'Report-SOF2021'!D$55)</f>
        <v>#DIV/0!</v>
      </c>
      <c r="S62" s="2452" t="e">
        <f t="shared" si="7"/>
        <v>#DIV/0!</v>
      </c>
      <c r="T62" s="1708">
        <f>IF(A62='Data Entry - SOF'!B$2,'Data Entry - SOF'!K$64,0)</f>
        <v>0</v>
      </c>
      <c r="U62" s="1687">
        <f t="shared" si="8"/>
        <v>80345072</v>
      </c>
      <c r="V62" s="2212" t="e">
        <f>IF('Report-M&amp;O2122'!C$18-'Report-SOF2122'!D$55&lt;=0,0,'Report-M&amp;O2122'!C$18-'Report-SOF2122'!D$55)</f>
        <v>#DIV/0!</v>
      </c>
      <c r="W62" s="2452" t="e">
        <f t="shared" si="9"/>
        <v>#DIV/0!</v>
      </c>
      <c r="X62" s="1708">
        <f>IF(A62='Data Entry - SOF'!B$2,'Data Entry - SOF'!M$64,0)</f>
        <v>0</v>
      </c>
      <c r="Y62" s="1371" t="e">
        <f t="shared" si="10"/>
        <v>#DIV/0!</v>
      </c>
      <c r="Z62" s="2212" t="e">
        <f>IF('Report-M&amp;O2223'!C$18-'Report-SOF2223'!D$55&lt;=0,0,'Report-M&amp;O2223'!C$18-'Report-SOF2223'!D$55)</f>
        <v>#DIV/0!</v>
      </c>
      <c r="AA62" s="1708">
        <f>IF(A62='Data Entry - SOF'!B$2,'Data Entry - SOF'!O$64,0)</f>
        <v>0</v>
      </c>
    </row>
    <row r="63" spans="1:27" ht="15.75">
      <c r="A63" s="1076" t="s">
        <v>1700</v>
      </c>
      <c r="B63">
        <v>12823034</v>
      </c>
      <c r="C63" s="2452" t="e">
        <f>#REF!+#REF!</f>
        <v>#REF!</v>
      </c>
      <c r="D63" s="2449">
        <f>IF(A63='Data Entry - SOF'!B$2,'Data Entry - SOF'!C$64,0)</f>
        <v>0</v>
      </c>
      <c r="E63" s="2450">
        <f t="shared" si="0"/>
        <v>12823034</v>
      </c>
      <c r="F63" s="2212" t="e">
        <f>IF('Report-M&amp;O1718'!C$18-'Report-SOF1718'!D$55&lt;=0,0,'Report-M&amp;O1718'!C$18-'Report-SOF1718'!D$55)</f>
        <v>#DIV/0!</v>
      </c>
      <c r="G63" s="2452" t="e">
        <f t="shared" si="1"/>
        <v>#DIV/0!</v>
      </c>
      <c r="H63" s="2449">
        <f>IF(A63='Data Entry - SOF'!B$2,'Data Entry - SOF'!E$64,0)</f>
        <v>0</v>
      </c>
      <c r="I63" s="1687">
        <f t="shared" si="2"/>
        <v>12823034</v>
      </c>
      <c r="J63" s="2212" t="e">
        <f>IF('Report-M&amp;O1819'!C$18-'Report-SOF1819'!D$55&lt;=0,0,'Report-M&amp;O1819'!C$18-'Report-SOF1819'!D$55)</f>
        <v>#DIV/0!</v>
      </c>
      <c r="K63" s="2452" t="e">
        <f t="shared" si="3"/>
        <v>#DIV/0!</v>
      </c>
      <c r="L63" s="2449">
        <f>IF(A63='Data Entry - SOF'!B$2,'Data Entry - SOF'!G$64,0)</f>
        <v>0</v>
      </c>
      <c r="M63" s="1371">
        <f t="shared" si="4"/>
        <v>12823034</v>
      </c>
      <c r="N63" s="2212" t="e">
        <f>IF('Report-M&amp;O1920'!C$18-'Report-SOF1920'!D$55&lt;=0,0,'Report-M&amp;O1920'!C$18-'Report-SOF1920'!D$55)</f>
        <v>#DIV/0!</v>
      </c>
      <c r="O63" s="2452" t="e">
        <f t="shared" si="5"/>
        <v>#DIV/0!</v>
      </c>
      <c r="P63" s="2449">
        <f>IF(A63='Data Entry - SOF'!B$2,'Data Entry - SOF'!I$64,0)</f>
        <v>0</v>
      </c>
      <c r="Q63" s="1687">
        <f t="shared" si="6"/>
        <v>12823034</v>
      </c>
      <c r="R63" s="2212" t="e">
        <f>IF('Report-M&amp;O2021'!C$18-'Report-SOF2021'!D$55&lt;=0,0,'Report-M&amp;O2021'!C$18-'Report-SOF2021'!D$55)</f>
        <v>#DIV/0!</v>
      </c>
      <c r="S63" s="2452" t="e">
        <f t="shared" si="7"/>
        <v>#DIV/0!</v>
      </c>
      <c r="T63" s="1708">
        <f>IF(A63='Data Entry - SOF'!B$2,'Data Entry - SOF'!K$64,0)</f>
        <v>0</v>
      </c>
      <c r="U63" s="1687">
        <f t="shared" si="8"/>
        <v>12823034</v>
      </c>
      <c r="V63" s="2212" t="e">
        <f>IF('Report-M&amp;O2122'!C$18-'Report-SOF2122'!D$55&lt;=0,0,'Report-M&amp;O2122'!C$18-'Report-SOF2122'!D$55)</f>
        <v>#DIV/0!</v>
      </c>
      <c r="W63" s="2452" t="e">
        <f t="shared" si="9"/>
        <v>#DIV/0!</v>
      </c>
      <c r="X63" s="1708">
        <f>IF(A63='Data Entry - SOF'!B$2,'Data Entry - SOF'!M$64,0)</f>
        <v>0</v>
      </c>
      <c r="Y63" s="1371" t="e">
        <f t="shared" si="10"/>
        <v>#DIV/0!</v>
      </c>
      <c r="Z63" s="2212" t="e">
        <f>IF('Report-M&amp;O2223'!C$18-'Report-SOF2223'!D$55&lt;=0,0,'Report-M&amp;O2223'!C$18-'Report-SOF2223'!D$55)</f>
        <v>#DIV/0!</v>
      </c>
      <c r="AA63" s="1708">
        <f>IF(A63='Data Entry - SOF'!B$2,'Data Entry - SOF'!O$64,0)</f>
        <v>0</v>
      </c>
    </row>
    <row r="64" spans="1:27" ht="15.75">
      <c r="A64" s="1076" t="s">
        <v>1377</v>
      </c>
      <c r="B64">
        <v>3736390</v>
      </c>
      <c r="C64" s="2452" t="e">
        <f>#REF!+#REF!</f>
        <v>#REF!</v>
      </c>
      <c r="D64" s="2449">
        <f>IF(A64='Data Entry - SOF'!B$2,'Data Entry - SOF'!C$64,0)</f>
        <v>0</v>
      </c>
      <c r="E64" s="2450">
        <f t="shared" si="0"/>
        <v>3736390</v>
      </c>
      <c r="F64" s="2212" t="e">
        <f>IF('Report-M&amp;O1718'!C$18-'Report-SOF1718'!D$55&lt;=0,0,'Report-M&amp;O1718'!C$18-'Report-SOF1718'!D$55)</f>
        <v>#DIV/0!</v>
      </c>
      <c r="G64" s="2452" t="e">
        <f t="shared" si="1"/>
        <v>#DIV/0!</v>
      </c>
      <c r="H64" s="2449">
        <f>IF(A64='Data Entry - SOF'!B$2,'Data Entry - SOF'!E$64,0)</f>
        <v>0</v>
      </c>
      <c r="I64" s="1687">
        <f t="shared" si="2"/>
        <v>3736390</v>
      </c>
      <c r="J64" s="2212" t="e">
        <f>IF('Report-M&amp;O1819'!C$18-'Report-SOF1819'!D$55&lt;=0,0,'Report-M&amp;O1819'!C$18-'Report-SOF1819'!D$55)</f>
        <v>#DIV/0!</v>
      </c>
      <c r="K64" s="2452" t="e">
        <f t="shared" si="3"/>
        <v>#DIV/0!</v>
      </c>
      <c r="L64" s="2449">
        <f>IF(A64='Data Entry - SOF'!B$2,'Data Entry - SOF'!G$64,0)</f>
        <v>0</v>
      </c>
      <c r="M64" s="1371">
        <f t="shared" si="4"/>
        <v>3736390</v>
      </c>
      <c r="N64" s="2212" t="e">
        <f>IF('Report-M&amp;O1920'!C$18-'Report-SOF1920'!D$55&lt;=0,0,'Report-M&amp;O1920'!C$18-'Report-SOF1920'!D$55)</f>
        <v>#DIV/0!</v>
      </c>
      <c r="O64" s="2452" t="e">
        <f t="shared" si="5"/>
        <v>#DIV/0!</v>
      </c>
      <c r="P64" s="2449">
        <f>IF(A64='Data Entry - SOF'!B$2,'Data Entry - SOF'!I$64,0)</f>
        <v>0</v>
      </c>
      <c r="Q64" s="1687">
        <f t="shared" si="6"/>
        <v>3736390</v>
      </c>
      <c r="R64" s="2212" t="e">
        <f>IF('Report-M&amp;O2021'!C$18-'Report-SOF2021'!D$55&lt;=0,0,'Report-M&amp;O2021'!C$18-'Report-SOF2021'!D$55)</f>
        <v>#DIV/0!</v>
      </c>
      <c r="S64" s="2452" t="e">
        <f t="shared" si="7"/>
        <v>#DIV/0!</v>
      </c>
      <c r="T64" s="1708">
        <f>IF(A64='Data Entry - SOF'!B$2,'Data Entry - SOF'!K$64,0)</f>
        <v>0</v>
      </c>
      <c r="U64" s="1687">
        <f t="shared" si="8"/>
        <v>3736390</v>
      </c>
      <c r="V64" s="2212" t="e">
        <f>IF('Report-M&amp;O2122'!C$18-'Report-SOF2122'!D$55&lt;=0,0,'Report-M&amp;O2122'!C$18-'Report-SOF2122'!D$55)</f>
        <v>#DIV/0!</v>
      </c>
      <c r="W64" s="2452" t="e">
        <f t="shared" si="9"/>
        <v>#DIV/0!</v>
      </c>
      <c r="X64" s="1708">
        <f>IF(A64='Data Entry - SOF'!B$2,'Data Entry - SOF'!M$64,0)</f>
        <v>0</v>
      </c>
      <c r="Y64" s="1371" t="e">
        <f t="shared" si="10"/>
        <v>#DIV/0!</v>
      </c>
      <c r="Z64" s="2212" t="e">
        <f>IF('Report-M&amp;O2223'!C$18-'Report-SOF2223'!D$55&lt;=0,0,'Report-M&amp;O2223'!C$18-'Report-SOF2223'!D$55)</f>
        <v>#DIV/0!</v>
      </c>
      <c r="AA64" s="1708">
        <f>IF(A64='Data Entry - SOF'!B$2,'Data Entry - SOF'!O$64,0)</f>
        <v>0</v>
      </c>
    </row>
    <row r="65" spans="1:27" ht="15.75">
      <c r="A65" s="1076" t="s">
        <v>986</v>
      </c>
      <c r="B65">
        <v>5126679</v>
      </c>
      <c r="C65" s="2452" t="e">
        <f>#REF!+#REF!</f>
        <v>#REF!</v>
      </c>
      <c r="D65" s="2449">
        <f>IF(A65='Data Entry - SOF'!B$2,'Data Entry - SOF'!C$64,0)</f>
        <v>0</v>
      </c>
      <c r="E65" s="2450">
        <f t="shared" si="0"/>
        <v>5126679</v>
      </c>
      <c r="F65" s="2212" t="e">
        <f>IF('Report-M&amp;O1718'!C$18-'Report-SOF1718'!D$55&lt;=0,0,'Report-M&amp;O1718'!C$18-'Report-SOF1718'!D$55)</f>
        <v>#DIV/0!</v>
      </c>
      <c r="G65" s="2452" t="e">
        <f t="shared" si="1"/>
        <v>#DIV/0!</v>
      </c>
      <c r="H65" s="2449">
        <f>IF(A65='Data Entry - SOF'!B$2,'Data Entry - SOF'!E$64,0)</f>
        <v>0</v>
      </c>
      <c r="I65" s="1687">
        <f t="shared" si="2"/>
        <v>5126679</v>
      </c>
      <c r="J65" s="2212" t="e">
        <f>IF('Report-M&amp;O1819'!C$18-'Report-SOF1819'!D$55&lt;=0,0,'Report-M&amp;O1819'!C$18-'Report-SOF1819'!D$55)</f>
        <v>#DIV/0!</v>
      </c>
      <c r="K65" s="2452" t="e">
        <f t="shared" si="3"/>
        <v>#DIV/0!</v>
      </c>
      <c r="L65" s="2449">
        <f>IF(A65='Data Entry - SOF'!B$2,'Data Entry - SOF'!G$64,0)</f>
        <v>0</v>
      </c>
      <c r="M65" s="1371">
        <f t="shared" si="4"/>
        <v>5126679</v>
      </c>
      <c r="N65" s="2212" t="e">
        <f>IF('Report-M&amp;O1920'!C$18-'Report-SOF1920'!D$55&lt;=0,0,'Report-M&amp;O1920'!C$18-'Report-SOF1920'!D$55)</f>
        <v>#DIV/0!</v>
      </c>
      <c r="O65" s="2452" t="e">
        <f t="shared" si="5"/>
        <v>#DIV/0!</v>
      </c>
      <c r="P65" s="2449">
        <f>IF(A65='Data Entry - SOF'!B$2,'Data Entry - SOF'!I$64,0)</f>
        <v>0</v>
      </c>
      <c r="Q65" s="1687">
        <f t="shared" si="6"/>
        <v>5126679</v>
      </c>
      <c r="R65" s="2212" t="e">
        <f>IF('Report-M&amp;O2021'!C$18-'Report-SOF2021'!D$55&lt;=0,0,'Report-M&amp;O2021'!C$18-'Report-SOF2021'!D$55)</f>
        <v>#DIV/0!</v>
      </c>
      <c r="S65" s="2452" t="e">
        <f t="shared" si="7"/>
        <v>#DIV/0!</v>
      </c>
      <c r="T65" s="1708">
        <f>IF(A65='Data Entry - SOF'!B$2,'Data Entry - SOF'!K$64,0)</f>
        <v>0</v>
      </c>
      <c r="U65" s="1687">
        <f t="shared" si="8"/>
        <v>5126679</v>
      </c>
      <c r="V65" s="2212" t="e">
        <f>IF('Report-M&amp;O2122'!C$18-'Report-SOF2122'!D$55&lt;=0,0,'Report-M&amp;O2122'!C$18-'Report-SOF2122'!D$55)</f>
        <v>#DIV/0!</v>
      </c>
      <c r="W65" s="2452" t="e">
        <f t="shared" si="9"/>
        <v>#DIV/0!</v>
      </c>
      <c r="X65" s="1708">
        <f>IF(A65='Data Entry - SOF'!B$2,'Data Entry - SOF'!M$64,0)</f>
        <v>0</v>
      </c>
      <c r="Y65" s="1371" t="e">
        <f t="shared" si="10"/>
        <v>#DIV/0!</v>
      </c>
      <c r="Z65" s="2212" t="e">
        <f>IF('Report-M&amp;O2223'!C$18-'Report-SOF2223'!D$55&lt;=0,0,'Report-M&amp;O2223'!C$18-'Report-SOF2223'!D$55)</f>
        <v>#DIV/0!</v>
      </c>
      <c r="AA65" s="1708">
        <f>IF(A65='Data Entry - SOF'!B$2,'Data Entry - SOF'!O$64,0)</f>
        <v>0</v>
      </c>
    </row>
    <row r="66" spans="1:27" ht="15.75">
      <c r="A66" s="1076" t="s">
        <v>1378</v>
      </c>
      <c r="B66">
        <v>22468145</v>
      </c>
      <c r="C66" s="2452" t="e">
        <f>#REF!+#REF!</f>
        <v>#REF!</v>
      </c>
      <c r="D66" s="2449">
        <f>IF(A66='Data Entry - SOF'!B$2,'Data Entry - SOF'!C$64,0)</f>
        <v>0</v>
      </c>
      <c r="E66" s="2450">
        <f t="shared" si="0"/>
        <v>22468145</v>
      </c>
      <c r="F66" s="2212" t="e">
        <f>IF('Report-M&amp;O1718'!C$18-'Report-SOF1718'!D$55&lt;=0,0,'Report-M&amp;O1718'!C$18-'Report-SOF1718'!D$55)</f>
        <v>#DIV/0!</v>
      </c>
      <c r="G66" s="2452" t="e">
        <f t="shared" si="1"/>
        <v>#DIV/0!</v>
      </c>
      <c r="H66" s="2449">
        <f>IF(A66='Data Entry - SOF'!B$2,'Data Entry - SOF'!E$64,0)</f>
        <v>0</v>
      </c>
      <c r="I66" s="1687">
        <f t="shared" si="2"/>
        <v>22468145</v>
      </c>
      <c r="J66" s="2212" t="e">
        <f>IF('Report-M&amp;O1819'!C$18-'Report-SOF1819'!D$55&lt;=0,0,'Report-M&amp;O1819'!C$18-'Report-SOF1819'!D$55)</f>
        <v>#DIV/0!</v>
      </c>
      <c r="K66" s="2452" t="e">
        <f t="shared" si="3"/>
        <v>#DIV/0!</v>
      </c>
      <c r="L66" s="2449">
        <f>IF(A66='Data Entry - SOF'!B$2,'Data Entry - SOF'!G$64,0)</f>
        <v>0</v>
      </c>
      <c r="M66" s="1371">
        <f t="shared" si="4"/>
        <v>22468145</v>
      </c>
      <c r="N66" s="2212" t="e">
        <f>IF('Report-M&amp;O1920'!C$18-'Report-SOF1920'!D$55&lt;=0,0,'Report-M&amp;O1920'!C$18-'Report-SOF1920'!D$55)</f>
        <v>#DIV/0!</v>
      </c>
      <c r="O66" s="2452" t="e">
        <f t="shared" si="5"/>
        <v>#DIV/0!</v>
      </c>
      <c r="P66" s="2449">
        <f>IF(A66='Data Entry - SOF'!B$2,'Data Entry - SOF'!I$64,0)</f>
        <v>0</v>
      </c>
      <c r="Q66" s="1687">
        <f t="shared" si="6"/>
        <v>22468145</v>
      </c>
      <c r="R66" s="2212" t="e">
        <f>IF('Report-M&amp;O2021'!C$18-'Report-SOF2021'!D$55&lt;=0,0,'Report-M&amp;O2021'!C$18-'Report-SOF2021'!D$55)</f>
        <v>#DIV/0!</v>
      </c>
      <c r="S66" s="2452" t="e">
        <f t="shared" si="7"/>
        <v>#DIV/0!</v>
      </c>
      <c r="T66" s="1708">
        <f>IF(A66='Data Entry - SOF'!B$2,'Data Entry - SOF'!K$64,0)</f>
        <v>0</v>
      </c>
      <c r="U66" s="1687">
        <f t="shared" si="8"/>
        <v>22468145</v>
      </c>
      <c r="V66" s="2212" t="e">
        <f>IF('Report-M&amp;O2122'!C$18-'Report-SOF2122'!D$55&lt;=0,0,'Report-M&amp;O2122'!C$18-'Report-SOF2122'!D$55)</f>
        <v>#DIV/0!</v>
      </c>
      <c r="W66" s="2452" t="e">
        <f t="shared" si="9"/>
        <v>#DIV/0!</v>
      </c>
      <c r="X66" s="1708">
        <f>IF(A66='Data Entry - SOF'!B$2,'Data Entry - SOF'!M$64,0)</f>
        <v>0</v>
      </c>
      <c r="Y66" s="1371" t="e">
        <f t="shared" si="10"/>
        <v>#DIV/0!</v>
      </c>
      <c r="Z66" s="2212" t="e">
        <f>IF('Report-M&amp;O2223'!C$18-'Report-SOF2223'!D$55&lt;=0,0,'Report-M&amp;O2223'!C$18-'Report-SOF2223'!D$55)</f>
        <v>#DIV/0!</v>
      </c>
      <c r="AA66" s="1708">
        <f>IF(A66='Data Entry - SOF'!B$2,'Data Entry - SOF'!O$64,0)</f>
        <v>0</v>
      </c>
    </row>
    <row r="67" spans="1:27" ht="15.75">
      <c r="A67" s="1076" t="s">
        <v>628</v>
      </c>
      <c r="B67">
        <v>6275552</v>
      </c>
      <c r="C67" s="2452" t="e">
        <f>#REF!+#REF!</f>
        <v>#REF!</v>
      </c>
      <c r="D67" s="2449">
        <f>IF(A67='Data Entry - SOF'!B$2,'Data Entry - SOF'!C$64,0)</f>
        <v>0</v>
      </c>
      <c r="E67" s="2450">
        <f t="shared" si="0"/>
        <v>6275552</v>
      </c>
      <c r="F67" s="2212" t="e">
        <f>IF('Report-M&amp;O1718'!C$18-'Report-SOF1718'!D$55&lt;=0,0,'Report-M&amp;O1718'!C$18-'Report-SOF1718'!D$55)</f>
        <v>#DIV/0!</v>
      </c>
      <c r="G67" s="2452" t="e">
        <f t="shared" si="1"/>
        <v>#DIV/0!</v>
      </c>
      <c r="H67" s="2449">
        <f>IF(A67='Data Entry - SOF'!B$2,'Data Entry - SOF'!E$64,0)</f>
        <v>0</v>
      </c>
      <c r="I67" s="1687">
        <f t="shared" si="2"/>
        <v>6275552</v>
      </c>
      <c r="J67" s="2212" t="e">
        <f>IF('Report-M&amp;O1819'!C$18-'Report-SOF1819'!D$55&lt;=0,0,'Report-M&amp;O1819'!C$18-'Report-SOF1819'!D$55)</f>
        <v>#DIV/0!</v>
      </c>
      <c r="K67" s="2452" t="e">
        <f t="shared" si="3"/>
        <v>#DIV/0!</v>
      </c>
      <c r="L67" s="2449">
        <f>IF(A67='Data Entry - SOF'!B$2,'Data Entry - SOF'!G$64,0)</f>
        <v>0</v>
      </c>
      <c r="M67" s="1371">
        <f t="shared" si="4"/>
        <v>6275552</v>
      </c>
      <c r="N67" s="2212" t="e">
        <f>IF('Report-M&amp;O1920'!C$18-'Report-SOF1920'!D$55&lt;=0,0,'Report-M&amp;O1920'!C$18-'Report-SOF1920'!D$55)</f>
        <v>#DIV/0!</v>
      </c>
      <c r="O67" s="2452" t="e">
        <f t="shared" si="5"/>
        <v>#DIV/0!</v>
      </c>
      <c r="P67" s="2449">
        <f>IF(A67='Data Entry - SOF'!B$2,'Data Entry - SOF'!I$64,0)</f>
        <v>0</v>
      </c>
      <c r="Q67" s="1687">
        <f t="shared" si="6"/>
        <v>6275552</v>
      </c>
      <c r="R67" s="2212" t="e">
        <f>IF('Report-M&amp;O2021'!C$18-'Report-SOF2021'!D$55&lt;=0,0,'Report-M&amp;O2021'!C$18-'Report-SOF2021'!D$55)</f>
        <v>#DIV/0!</v>
      </c>
      <c r="S67" s="2452" t="e">
        <f t="shared" si="7"/>
        <v>#DIV/0!</v>
      </c>
      <c r="T67" s="1708">
        <f>IF(A67='Data Entry - SOF'!B$2,'Data Entry - SOF'!K$64,0)</f>
        <v>0</v>
      </c>
      <c r="U67" s="1687">
        <f t="shared" si="8"/>
        <v>6275552</v>
      </c>
      <c r="V67" s="2212" t="e">
        <f>IF('Report-M&amp;O2122'!C$18-'Report-SOF2122'!D$55&lt;=0,0,'Report-M&amp;O2122'!C$18-'Report-SOF2122'!D$55)</f>
        <v>#DIV/0!</v>
      </c>
      <c r="W67" s="2452" t="e">
        <f t="shared" si="9"/>
        <v>#DIV/0!</v>
      </c>
      <c r="X67" s="1708">
        <f>IF(A67='Data Entry - SOF'!B$2,'Data Entry - SOF'!M$64,0)</f>
        <v>0</v>
      </c>
      <c r="Y67" s="1371" t="e">
        <f t="shared" si="10"/>
        <v>#DIV/0!</v>
      </c>
      <c r="Z67" s="2212" t="e">
        <f>IF('Report-M&amp;O2223'!C$18-'Report-SOF2223'!D$55&lt;=0,0,'Report-M&amp;O2223'!C$18-'Report-SOF2223'!D$55)</f>
        <v>#DIV/0!</v>
      </c>
      <c r="AA67" s="1708">
        <f>IF(A67='Data Entry - SOF'!B$2,'Data Entry - SOF'!O$64,0)</f>
        <v>0</v>
      </c>
    </row>
    <row r="68" spans="1:27" ht="15.75">
      <c r="A68" s="1076" t="s">
        <v>1379</v>
      </c>
      <c r="B68">
        <v>1396921</v>
      </c>
      <c r="C68" s="2452" t="e">
        <f>#REF!+#REF!</f>
        <v>#REF!</v>
      </c>
      <c r="D68" s="2449">
        <f>IF(A68='Data Entry - SOF'!B$2,'Data Entry - SOF'!C$64,0)</f>
        <v>0</v>
      </c>
      <c r="E68" s="2450">
        <f t="shared" si="0"/>
        <v>1396921</v>
      </c>
      <c r="F68" s="2212" t="e">
        <f>IF('Report-M&amp;O1718'!C$18-'Report-SOF1718'!D$55&lt;=0,0,'Report-M&amp;O1718'!C$18-'Report-SOF1718'!D$55)</f>
        <v>#DIV/0!</v>
      </c>
      <c r="G68" s="2452" t="e">
        <f t="shared" si="1"/>
        <v>#DIV/0!</v>
      </c>
      <c r="H68" s="2449">
        <f>IF(A68='Data Entry - SOF'!B$2,'Data Entry - SOF'!E$64,0)</f>
        <v>0</v>
      </c>
      <c r="I68" s="1687">
        <f t="shared" si="2"/>
        <v>1396921</v>
      </c>
      <c r="J68" s="2212" t="e">
        <f>IF('Report-M&amp;O1819'!C$18-'Report-SOF1819'!D$55&lt;=0,0,'Report-M&amp;O1819'!C$18-'Report-SOF1819'!D$55)</f>
        <v>#DIV/0!</v>
      </c>
      <c r="K68" s="2452" t="e">
        <f t="shared" si="3"/>
        <v>#DIV/0!</v>
      </c>
      <c r="L68" s="2449">
        <f>IF(A68='Data Entry - SOF'!B$2,'Data Entry - SOF'!G$64,0)</f>
        <v>0</v>
      </c>
      <c r="M68" s="1371">
        <f t="shared" si="4"/>
        <v>1396921</v>
      </c>
      <c r="N68" s="2212" t="e">
        <f>IF('Report-M&amp;O1920'!C$18-'Report-SOF1920'!D$55&lt;=0,0,'Report-M&amp;O1920'!C$18-'Report-SOF1920'!D$55)</f>
        <v>#DIV/0!</v>
      </c>
      <c r="O68" s="2452" t="e">
        <f t="shared" si="5"/>
        <v>#DIV/0!</v>
      </c>
      <c r="P68" s="2449">
        <f>IF(A68='Data Entry - SOF'!B$2,'Data Entry - SOF'!I$64,0)</f>
        <v>0</v>
      </c>
      <c r="Q68" s="1687">
        <f>M68-P68</f>
        <v>1396921</v>
      </c>
      <c r="R68" s="2212" t="e">
        <f>IF('Report-M&amp;O2021'!C$18-'Report-SOF2021'!D$55&lt;=0,0,'Report-M&amp;O2021'!C$18-'Report-SOF2021'!D$55)</f>
        <v>#DIV/0!</v>
      </c>
      <c r="S68" s="2452" t="e">
        <f t="shared" si="7"/>
        <v>#DIV/0!</v>
      </c>
      <c r="T68" s="1708">
        <f>IF(A68='Data Entry - SOF'!B$2,'Data Entry - SOF'!K$64,0)</f>
        <v>0</v>
      </c>
      <c r="U68" s="1687">
        <f t="shared" ref="U68:U83" si="11">Q68-T68</f>
        <v>1396921</v>
      </c>
      <c r="V68" s="2212" t="e">
        <f>IF('Report-M&amp;O2122'!C$18-'Report-SOF2122'!D$55&lt;=0,0,'Report-M&amp;O2122'!C$18-'Report-SOF2122'!D$55)</f>
        <v>#DIV/0!</v>
      </c>
      <c r="W68" s="2452" t="e">
        <f t="shared" si="9"/>
        <v>#DIV/0!</v>
      </c>
      <c r="X68" s="1708">
        <f>IF(A68='Data Entry - SOF'!B$2,'Data Entry - SOF'!M$64,0)</f>
        <v>0</v>
      </c>
      <c r="Y68" s="1371" t="e">
        <f t="shared" si="10"/>
        <v>#DIV/0!</v>
      </c>
      <c r="Z68" s="2212" t="e">
        <f>IF('Report-M&amp;O2223'!C$18-'Report-SOF2223'!D$55&lt;=0,0,'Report-M&amp;O2223'!C$18-'Report-SOF2223'!D$55)</f>
        <v>#DIV/0!</v>
      </c>
      <c r="AA68" s="1708">
        <f>IF(A68='Data Entry - SOF'!B$2,'Data Entry - SOF'!O$64,0)</f>
        <v>0</v>
      </c>
    </row>
    <row r="69" spans="1:27" ht="15.75">
      <c r="A69" s="1076" t="s">
        <v>1273</v>
      </c>
      <c r="B69">
        <v>164659</v>
      </c>
      <c r="C69" s="2452" t="e">
        <f>#REF!+#REF!</f>
        <v>#REF!</v>
      </c>
      <c r="D69" s="2449">
        <f>IF(A69='Data Entry - SOF'!B$2,'Data Entry - SOF'!C$64,0)</f>
        <v>0</v>
      </c>
      <c r="E69" s="2450">
        <f t="shared" ref="E69:E132" si="12">IF(B69-D69&lt;0,0,B69-D69)</f>
        <v>164659</v>
      </c>
      <c r="F69" s="2212" t="e">
        <f>IF('Report-M&amp;O1718'!C$18-'Report-SOF1718'!D$55&lt;=0,0,'Report-M&amp;O1718'!C$18-'Report-SOF1718'!D$55)</f>
        <v>#DIV/0!</v>
      </c>
      <c r="G69" s="2452" t="e">
        <f t="shared" ref="G69:G132" si="13">E69+F69</f>
        <v>#DIV/0!</v>
      </c>
      <c r="H69" s="2449">
        <f>IF(A69='Data Entry - SOF'!B$2,'Data Entry - SOF'!E$64,0)</f>
        <v>0</v>
      </c>
      <c r="I69" s="1687">
        <f t="shared" ref="I69:I132" si="14">E69-H69</f>
        <v>164659</v>
      </c>
      <c r="J69" s="2212" t="e">
        <f>IF('Report-M&amp;O1819'!C$18-'Report-SOF1819'!D$55&lt;=0,0,'Report-M&amp;O1819'!C$18-'Report-SOF1819'!D$55)</f>
        <v>#DIV/0!</v>
      </c>
      <c r="K69" s="2452" t="e">
        <f t="shared" ref="K69:K132" si="15">I69+J69</f>
        <v>#DIV/0!</v>
      </c>
      <c r="L69" s="2449">
        <f>IF(A69='Data Entry - SOF'!B$2,'Data Entry - SOF'!G$64,0)</f>
        <v>0</v>
      </c>
      <c r="M69" s="1371">
        <f t="shared" ref="M69:M132" si="16">I69-L69</f>
        <v>164659</v>
      </c>
      <c r="N69" s="2212" t="e">
        <f>IF('Report-M&amp;O1920'!C$18-'Report-SOF1920'!D$55&lt;=0,0,'Report-M&amp;O1920'!C$18-'Report-SOF1920'!D$55)</f>
        <v>#DIV/0!</v>
      </c>
      <c r="O69" s="2452" t="e">
        <f t="shared" ref="O69:O132" si="17">M69+N69</f>
        <v>#DIV/0!</v>
      </c>
      <c r="P69" s="2449">
        <f>IF(A69='Data Entry - SOF'!B$2,'Data Entry - SOF'!I$64,0)</f>
        <v>0</v>
      </c>
      <c r="Q69" s="1687">
        <f t="shared" ref="Q69:Q131" si="18">M69-P69</f>
        <v>164659</v>
      </c>
      <c r="R69" s="2212" t="e">
        <f>IF('Report-M&amp;O2021'!C$18-'Report-SOF2021'!D$55&lt;=0,0,'Report-M&amp;O2021'!C$18-'Report-SOF2021'!D$55)</f>
        <v>#DIV/0!</v>
      </c>
      <c r="S69" s="2452" t="e">
        <f t="shared" ref="S69:S132" si="19">Q69+R69</f>
        <v>#DIV/0!</v>
      </c>
      <c r="T69" s="1708">
        <f>IF(A69='Data Entry - SOF'!B$2,'Data Entry - SOF'!K$64,0)</f>
        <v>0</v>
      </c>
      <c r="U69" s="1687">
        <f t="shared" si="11"/>
        <v>164659</v>
      </c>
      <c r="V69" s="2212" t="e">
        <f>IF('Report-M&amp;O2122'!C$18-'Report-SOF2122'!D$55&lt;=0,0,'Report-M&amp;O2122'!C$18-'Report-SOF2122'!D$55)</f>
        <v>#DIV/0!</v>
      </c>
      <c r="W69" s="2452" t="e">
        <f t="shared" ref="W69:W132" si="20">U69+V69</f>
        <v>#DIV/0!</v>
      </c>
      <c r="X69" s="1708">
        <f>IF(A69='Data Entry - SOF'!B$2,'Data Entry - SOF'!M$64,0)</f>
        <v>0</v>
      </c>
      <c r="Y69" s="1371" t="e">
        <f t="shared" ref="Y69:Y132" si="21">IF(U69+V69-X69&lt;=0,0,U69+V69-X69)</f>
        <v>#DIV/0!</v>
      </c>
      <c r="Z69" s="2212" t="e">
        <f>IF('Report-M&amp;O2223'!C$18-'Report-SOF2223'!D$55&lt;=0,0,'Report-M&amp;O2223'!C$18-'Report-SOF2223'!D$55)</f>
        <v>#DIV/0!</v>
      </c>
      <c r="AA69" s="1708">
        <f>IF(A69='Data Entry - SOF'!B$2,'Data Entry - SOF'!O$64,0)</f>
        <v>0</v>
      </c>
    </row>
    <row r="70" spans="1:27" ht="15.75">
      <c r="A70" s="1076" t="s">
        <v>1274</v>
      </c>
      <c r="B70">
        <v>2008349</v>
      </c>
      <c r="C70" s="2452" t="e">
        <f>#REF!+#REF!</f>
        <v>#REF!</v>
      </c>
      <c r="D70" s="2449">
        <f>IF(A70='Data Entry - SOF'!B$2,'Data Entry - SOF'!C$64,0)</f>
        <v>0</v>
      </c>
      <c r="E70" s="2450">
        <f t="shared" si="12"/>
        <v>2008349</v>
      </c>
      <c r="F70" s="2212" t="e">
        <f>IF('Report-M&amp;O1718'!C$18-'Report-SOF1718'!D$55&lt;=0,0,'Report-M&amp;O1718'!C$18-'Report-SOF1718'!D$55)</f>
        <v>#DIV/0!</v>
      </c>
      <c r="G70" s="2452" t="e">
        <f t="shared" si="13"/>
        <v>#DIV/0!</v>
      </c>
      <c r="H70" s="2449">
        <f>IF(A70='Data Entry - SOF'!B$2,'Data Entry - SOF'!E$64,0)</f>
        <v>0</v>
      </c>
      <c r="I70" s="1687">
        <f t="shared" si="14"/>
        <v>2008349</v>
      </c>
      <c r="J70" s="2212" t="e">
        <f>IF('Report-M&amp;O1819'!C$18-'Report-SOF1819'!D$55&lt;=0,0,'Report-M&amp;O1819'!C$18-'Report-SOF1819'!D$55)</f>
        <v>#DIV/0!</v>
      </c>
      <c r="K70" s="2452" t="e">
        <f t="shared" si="15"/>
        <v>#DIV/0!</v>
      </c>
      <c r="L70" s="2449">
        <f>IF(A70='Data Entry - SOF'!B$2,'Data Entry - SOF'!G$64,0)</f>
        <v>0</v>
      </c>
      <c r="M70" s="1371">
        <f t="shared" si="16"/>
        <v>2008349</v>
      </c>
      <c r="N70" s="2212" t="e">
        <f>IF('Report-M&amp;O1920'!C$18-'Report-SOF1920'!D$55&lt;=0,0,'Report-M&amp;O1920'!C$18-'Report-SOF1920'!D$55)</f>
        <v>#DIV/0!</v>
      </c>
      <c r="O70" s="2452" t="e">
        <f t="shared" si="17"/>
        <v>#DIV/0!</v>
      </c>
      <c r="P70" s="2449">
        <f>IF(A70='Data Entry - SOF'!B$2,'Data Entry - SOF'!I$64,0)</f>
        <v>0</v>
      </c>
      <c r="Q70" s="1687">
        <f t="shared" si="18"/>
        <v>2008349</v>
      </c>
      <c r="R70" s="2212" t="e">
        <f>IF('Report-M&amp;O2021'!C$18-'Report-SOF2021'!D$55&lt;=0,0,'Report-M&amp;O2021'!C$18-'Report-SOF2021'!D$55)</f>
        <v>#DIV/0!</v>
      </c>
      <c r="S70" s="2452" t="e">
        <f t="shared" si="19"/>
        <v>#DIV/0!</v>
      </c>
      <c r="T70" s="1708">
        <f>IF(A70='Data Entry - SOF'!B$2,'Data Entry - SOF'!K$64,0)</f>
        <v>0</v>
      </c>
      <c r="U70" s="1687">
        <f t="shared" si="11"/>
        <v>2008349</v>
      </c>
      <c r="V70" s="2212" t="e">
        <f>IF('Report-M&amp;O2122'!C$18-'Report-SOF2122'!D$55&lt;=0,0,'Report-M&amp;O2122'!C$18-'Report-SOF2122'!D$55)</f>
        <v>#DIV/0!</v>
      </c>
      <c r="W70" s="2452" t="e">
        <f t="shared" si="20"/>
        <v>#DIV/0!</v>
      </c>
      <c r="X70" s="1708">
        <f>IF(A70='Data Entry - SOF'!B$2,'Data Entry - SOF'!M$64,0)</f>
        <v>0</v>
      </c>
      <c r="Y70" s="1371" t="e">
        <f t="shared" si="21"/>
        <v>#DIV/0!</v>
      </c>
      <c r="Z70" s="2212" t="e">
        <f>IF('Report-M&amp;O2223'!C$18-'Report-SOF2223'!D$55&lt;=0,0,'Report-M&amp;O2223'!C$18-'Report-SOF2223'!D$55)</f>
        <v>#DIV/0!</v>
      </c>
      <c r="AA70" s="1708">
        <f>IF(A70='Data Entry - SOF'!B$2,'Data Entry - SOF'!O$64,0)</f>
        <v>0</v>
      </c>
    </row>
    <row r="71" spans="1:27" ht="15.75">
      <c r="A71" s="1076" t="s">
        <v>2174</v>
      </c>
      <c r="B71">
        <v>66560</v>
      </c>
      <c r="C71" s="2452" t="e">
        <f>#REF!+#REF!</f>
        <v>#REF!</v>
      </c>
      <c r="D71" s="2449">
        <f>IF(A71='Data Entry - SOF'!B$2,'Data Entry - SOF'!C$64,0)</f>
        <v>0</v>
      </c>
      <c r="E71" s="2450">
        <f t="shared" si="12"/>
        <v>66560</v>
      </c>
      <c r="F71" s="2212" t="e">
        <f>IF('Report-M&amp;O1718'!C$18-'Report-SOF1718'!D$55&lt;=0,0,'Report-M&amp;O1718'!C$18-'Report-SOF1718'!D$55)</f>
        <v>#DIV/0!</v>
      </c>
      <c r="G71" s="2452" t="e">
        <f t="shared" si="13"/>
        <v>#DIV/0!</v>
      </c>
      <c r="H71" s="2449">
        <f>IF(A71='Data Entry - SOF'!B$2,'Data Entry - SOF'!E$64,0)</f>
        <v>0</v>
      </c>
      <c r="I71" s="1687">
        <f t="shared" si="14"/>
        <v>66560</v>
      </c>
      <c r="J71" s="2212" t="e">
        <f>IF('Report-M&amp;O1819'!C$18-'Report-SOF1819'!D$55&lt;=0,0,'Report-M&amp;O1819'!C$18-'Report-SOF1819'!D$55)</f>
        <v>#DIV/0!</v>
      </c>
      <c r="K71" s="2452" t="e">
        <f t="shared" si="15"/>
        <v>#DIV/0!</v>
      </c>
      <c r="L71" s="2449">
        <f>IF(A71='Data Entry - SOF'!B$2,'Data Entry - SOF'!G$64,0)</f>
        <v>0</v>
      </c>
      <c r="M71" s="1371">
        <f t="shared" si="16"/>
        <v>66560</v>
      </c>
      <c r="N71" s="2212" t="e">
        <f>IF('Report-M&amp;O1920'!C$18-'Report-SOF1920'!D$55&lt;=0,0,'Report-M&amp;O1920'!C$18-'Report-SOF1920'!D$55)</f>
        <v>#DIV/0!</v>
      </c>
      <c r="O71" s="2452" t="e">
        <f t="shared" si="17"/>
        <v>#DIV/0!</v>
      </c>
      <c r="P71" s="2449">
        <f>IF(A71='Data Entry - SOF'!B$2,'Data Entry - SOF'!I$64,0)</f>
        <v>0</v>
      </c>
      <c r="Q71" s="1687">
        <f t="shared" si="18"/>
        <v>66560</v>
      </c>
      <c r="R71" s="2212" t="e">
        <f>IF('Report-M&amp;O2021'!C$18-'Report-SOF2021'!D$55&lt;=0,0,'Report-M&amp;O2021'!C$18-'Report-SOF2021'!D$55)</f>
        <v>#DIV/0!</v>
      </c>
      <c r="S71" s="2452" t="e">
        <f t="shared" si="19"/>
        <v>#DIV/0!</v>
      </c>
      <c r="T71" s="1708">
        <f>IF(A71='Data Entry - SOF'!B$2,'Data Entry - SOF'!K$64,0)</f>
        <v>0</v>
      </c>
      <c r="U71" s="1687">
        <f t="shared" si="11"/>
        <v>66560</v>
      </c>
      <c r="V71" s="2212" t="e">
        <f>IF('Report-M&amp;O2122'!C$18-'Report-SOF2122'!D$55&lt;=0,0,'Report-M&amp;O2122'!C$18-'Report-SOF2122'!D$55)</f>
        <v>#DIV/0!</v>
      </c>
      <c r="W71" s="2452" t="e">
        <f t="shared" si="20"/>
        <v>#DIV/0!</v>
      </c>
      <c r="X71" s="1708">
        <f>IF(A71='Data Entry - SOF'!B$2,'Data Entry - SOF'!M$64,0)</f>
        <v>0</v>
      </c>
      <c r="Y71" s="1371" t="e">
        <f t="shared" si="21"/>
        <v>#DIV/0!</v>
      </c>
      <c r="Z71" s="2212" t="e">
        <f>IF('Report-M&amp;O2223'!C$18-'Report-SOF2223'!D$55&lt;=0,0,'Report-M&amp;O2223'!C$18-'Report-SOF2223'!D$55)</f>
        <v>#DIV/0!</v>
      </c>
      <c r="AA71" s="1708">
        <f>IF(A71='Data Entry - SOF'!B$2,'Data Entry - SOF'!O$64,0)</f>
        <v>0</v>
      </c>
    </row>
    <row r="72" spans="1:27" ht="15.75">
      <c r="A72" s="1076" t="s">
        <v>1846</v>
      </c>
      <c r="B72">
        <v>1196956</v>
      </c>
      <c r="C72" s="2452" t="e">
        <f>#REF!+#REF!</f>
        <v>#REF!</v>
      </c>
      <c r="D72" s="2449">
        <f>IF(A72='Data Entry - SOF'!B$2,'Data Entry - SOF'!C$64,0)</f>
        <v>0</v>
      </c>
      <c r="E72" s="2450">
        <f t="shared" si="12"/>
        <v>1196956</v>
      </c>
      <c r="F72" s="2212" t="e">
        <f>IF('Report-M&amp;O1718'!C$18-'Report-SOF1718'!D$55&lt;=0,0,'Report-M&amp;O1718'!C$18-'Report-SOF1718'!D$55)</f>
        <v>#DIV/0!</v>
      </c>
      <c r="G72" s="2452" t="e">
        <f t="shared" si="13"/>
        <v>#DIV/0!</v>
      </c>
      <c r="H72" s="2449">
        <f>IF(A72='Data Entry - SOF'!B$2,'Data Entry - SOF'!E$64,0)</f>
        <v>0</v>
      </c>
      <c r="I72" s="1687">
        <f t="shared" si="14"/>
        <v>1196956</v>
      </c>
      <c r="J72" s="2212" t="e">
        <f>IF('Report-M&amp;O1819'!C$18-'Report-SOF1819'!D$55&lt;=0,0,'Report-M&amp;O1819'!C$18-'Report-SOF1819'!D$55)</f>
        <v>#DIV/0!</v>
      </c>
      <c r="K72" s="2452" t="e">
        <f t="shared" si="15"/>
        <v>#DIV/0!</v>
      </c>
      <c r="L72" s="2449">
        <f>IF(A72='Data Entry - SOF'!B$2,'Data Entry - SOF'!G$64,0)</f>
        <v>0</v>
      </c>
      <c r="M72" s="1371">
        <f t="shared" si="16"/>
        <v>1196956</v>
      </c>
      <c r="N72" s="2212" t="e">
        <f>IF('Report-M&amp;O1920'!C$18-'Report-SOF1920'!D$55&lt;=0,0,'Report-M&amp;O1920'!C$18-'Report-SOF1920'!D$55)</f>
        <v>#DIV/0!</v>
      </c>
      <c r="O72" s="2452" t="e">
        <f t="shared" si="17"/>
        <v>#DIV/0!</v>
      </c>
      <c r="P72" s="2449">
        <f>IF(A72='Data Entry - SOF'!B$2,'Data Entry - SOF'!I$64,0)</f>
        <v>0</v>
      </c>
      <c r="Q72" s="1687">
        <f t="shared" si="18"/>
        <v>1196956</v>
      </c>
      <c r="R72" s="2212" t="e">
        <f>IF('Report-M&amp;O2021'!C$18-'Report-SOF2021'!D$55&lt;=0,0,'Report-M&amp;O2021'!C$18-'Report-SOF2021'!D$55)</f>
        <v>#DIV/0!</v>
      </c>
      <c r="S72" s="2452" t="e">
        <f t="shared" si="19"/>
        <v>#DIV/0!</v>
      </c>
      <c r="T72" s="1708">
        <f>IF(A72='Data Entry - SOF'!B$2,'Data Entry - SOF'!K$64,0)</f>
        <v>0</v>
      </c>
      <c r="U72" s="1687">
        <f t="shared" si="11"/>
        <v>1196956</v>
      </c>
      <c r="V72" s="2212" t="e">
        <f>IF('Report-M&amp;O2122'!C$18-'Report-SOF2122'!D$55&lt;=0,0,'Report-M&amp;O2122'!C$18-'Report-SOF2122'!D$55)</f>
        <v>#DIV/0!</v>
      </c>
      <c r="W72" s="2452" t="e">
        <f t="shared" si="20"/>
        <v>#DIV/0!</v>
      </c>
      <c r="X72" s="1708">
        <f>IF(A72='Data Entry - SOF'!B$2,'Data Entry - SOF'!M$64,0)</f>
        <v>0</v>
      </c>
      <c r="Y72" s="1371" t="e">
        <f t="shared" si="21"/>
        <v>#DIV/0!</v>
      </c>
      <c r="Z72" s="2212" t="e">
        <f>IF('Report-M&amp;O2223'!C$18-'Report-SOF2223'!D$55&lt;=0,0,'Report-M&amp;O2223'!C$18-'Report-SOF2223'!D$55)</f>
        <v>#DIV/0!</v>
      </c>
      <c r="AA72" s="1708">
        <f>IF(A72='Data Entry - SOF'!B$2,'Data Entry - SOF'!O$64,0)</f>
        <v>0</v>
      </c>
    </row>
    <row r="73" spans="1:27" ht="15.75">
      <c r="A73" s="1076" t="s">
        <v>1847</v>
      </c>
      <c r="B73">
        <v>656334</v>
      </c>
      <c r="C73" s="2452" t="e">
        <f>#REF!+#REF!</f>
        <v>#REF!</v>
      </c>
      <c r="D73" s="2449">
        <f>IF(A73='Data Entry - SOF'!B$2,'Data Entry - SOF'!C$64,0)</f>
        <v>0</v>
      </c>
      <c r="E73" s="2450">
        <f t="shared" si="12"/>
        <v>656334</v>
      </c>
      <c r="F73" s="2212" t="e">
        <f>IF('Report-M&amp;O1718'!C$18-'Report-SOF1718'!D$55&lt;=0,0,'Report-M&amp;O1718'!C$18-'Report-SOF1718'!D$55)</f>
        <v>#DIV/0!</v>
      </c>
      <c r="G73" s="2452" t="e">
        <f t="shared" si="13"/>
        <v>#DIV/0!</v>
      </c>
      <c r="H73" s="2449">
        <f>IF(A73='Data Entry - SOF'!B$2,'Data Entry - SOF'!E$64,0)</f>
        <v>0</v>
      </c>
      <c r="I73" s="1687">
        <f t="shared" si="14"/>
        <v>656334</v>
      </c>
      <c r="J73" s="2212" t="e">
        <f>IF('Report-M&amp;O1819'!C$18-'Report-SOF1819'!D$55&lt;=0,0,'Report-M&amp;O1819'!C$18-'Report-SOF1819'!D$55)</f>
        <v>#DIV/0!</v>
      </c>
      <c r="K73" s="2452" t="e">
        <f t="shared" si="15"/>
        <v>#DIV/0!</v>
      </c>
      <c r="L73" s="2449">
        <f>IF(A73='Data Entry - SOF'!B$2,'Data Entry - SOF'!G$64,0)</f>
        <v>0</v>
      </c>
      <c r="M73" s="1371">
        <f t="shared" si="16"/>
        <v>656334</v>
      </c>
      <c r="N73" s="2212" t="e">
        <f>IF('Report-M&amp;O1920'!C$18-'Report-SOF1920'!D$55&lt;=0,0,'Report-M&amp;O1920'!C$18-'Report-SOF1920'!D$55)</f>
        <v>#DIV/0!</v>
      </c>
      <c r="O73" s="2452" t="e">
        <f t="shared" si="17"/>
        <v>#DIV/0!</v>
      </c>
      <c r="P73" s="2449">
        <f>IF(A73='Data Entry - SOF'!B$2,'Data Entry - SOF'!I$64,0)</f>
        <v>0</v>
      </c>
      <c r="Q73" s="1687">
        <f t="shared" si="18"/>
        <v>656334</v>
      </c>
      <c r="R73" s="2212" t="e">
        <f>IF('Report-M&amp;O2021'!C$18-'Report-SOF2021'!D$55&lt;=0,0,'Report-M&amp;O2021'!C$18-'Report-SOF2021'!D$55)</f>
        <v>#DIV/0!</v>
      </c>
      <c r="S73" s="2452" t="e">
        <f t="shared" si="19"/>
        <v>#DIV/0!</v>
      </c>
      <c r="T73" s="1708">
        <f>IF(A73='Data Entry - SOF'!B$2,'Data Entry - SOF'!K$64,0)</f>
        <v>0</v>
      </c>
      <c r="U73" s="1687">
        <f t="shared" si="11"/>
        <v>656334</v>
      </c>
      <c r="V73" s="2212" t="e">
        <f>IF('Report-M&amp;O2122'!C$18-'Report-SOF2122'!D$55&lt;=0,0,'Report-M&amp;O2122'!C$18-'Report-SOF2122'!D$55)</f>
        <v>#DIV/0!</v>
      </c>
      <c r="W73" s="2452" t="e">
        <f t="shared" si="20"/>
        <v>#DIV/0!</v>
      </c>
      <c r="X73" s="1708">
        <f>IF(A73='Data Entry - SOF'!B$2,'Data Entry - SOF'!M$64,0)</f>
        <v>0</v>
      </c>
      <c r="Y73" s="1371" t="e">
        <f t="shared" si="21"/>
        <v>#DIV/0!</v>
      </c>
      <c r="Z73" s="2212" t="e">
        <f>IF('Report-M&amp;O2223'!C$18-'Report-SOF2223'!D$55&lt;=0,0,'Report-M&amp;O2223'!C$18-'Report-SOF2223'!D$55)</f>
        <v>#DIV/0!</v>
      </c>
      <c r="AA73" s="1708">
        <f>IF(A73='Data Entry - SOF'!B$2,'Data Entry - SOF'!O$64,0)</f>
        <v>0</v>
      </c>
    </row>
    <row r="74" spans="1:27" ht="15.75">
      <c r="A74" s="1076" t="s">
        <v>1848</v>
      </c>
      <c r="B74">
        <v>266027</v>
      </c>
      <c r="C74" s="2452" t="e">
        <f>#REF!+#REF!</f>
        <v>#REF!</v>
      </c>
      <c r="D74" s="2449">
        <f>IF(A74='Data Entry - SOF'!B$2,'Data Entry - SOF'!C$64,0)</f>
        <v>0</v>
      </c>
      <c r="E74" s="2450">
        <f t="shared" si="12"/>
        <v>266027</v>
      </c>
      <c r="F74" s="2212" t="e">
        <f>IF('Report-M&amp;O1718'!C$18-'Report-SOF1718'!D$55&lt;=0,0,'Report-M&amp;O1718'!C$18-'Report-SOF1718'!D$55)</f>
        <v>#DIV/0!</v>
      </c>
      <c r="G74" s="2452" t="e">
        <f t="shared" si="13"/>
        <v>#DIV/0!</v>
      </c>
      <c r="H74" s="2449">
        <f>IF(A74='Data Entry - SOF'!B$2,'Data Entry - SOF'!E$64,0)</f>
        <v>0</v>
      </c>
      <c r="I74" s="1687">
        <f t="shared" si="14"/>
        <v>266027</v>
      </c>
      <c r="J74" s="2212" t="e">
        <f>IF('Report-M&amp;O1819'!C$18-'Report-SOF1819'!D$55&lt;=0,0,'Report-M&amp;O1819'!C$18-'Report-SOF1819'!D$55)</f>
        <v>#DIV/0!</v>
      </c>
      <c r="K74" s="2452" t="e">
        <f t="shared" si="15"/>
        <v>#DIV/0!</v>
      </c>
      <c r="L74" s="2449">
        <f>IF(A74='Data Entry - SOF'!B$2,'Data Entry - SOF'!G$64,0)</f>
        <v>0</v>
      </c>
      <c r="M74" s="1371">
        <f t="shared" si="16"/>
        <v>266027</v>
      </c>
      <c r="N74" s="2212" t="e">
        <f>IF('Report-M&amp;O1920'!C$18-'Report-SOF1920'!D$55&lt;=0,0,'Report-M&amp;O1920'!C$18-'Report-SOF1920'!D$55)</f>
        <v>#DIV/0!</v>
      </c>
      <c r="O74" s="2452" t="e">
        <f t="shared" si="17"/>
        <v>#DIV/0!</v>
      </c>
      <c r="P74" s="2449">
        <f>IF(A74='Data Entry - SOF'!B$2,'Data Entry - SOF'!I$64,0)</f>
        <v>0</v>
      </c>
      <c r="Q74" s="1687">
        <f t="shared" si="18"/>
        <v>266027</v>
      </c>
      <c r="R74" s="2212" t="e">
        <f>IF('Report-M&amp;O2021'!C$18-'Report-SOF2021'!D$55&lt;=0,0,'Report-M&amp;O2021'!C$18-'Report-SOF2021'!D$55)</f>
        <v>#DIV/0!</v>
      </c>
      <c r="S74" s="2452" t="e">
        <f t="shared" si="19"/>
        <v>#DIV/0!</v>
      </c>
      <c r="T74" s="1708">
        <f>IF(A74='Data Entry - SOF'!B$2,'Data Entry - SOF'!K$64,0)</f>
        <v>0</v>
      </c>
      <c r="U74" s="1687">
        <f t="shared" si="11"/>
        <v>266027</v>
      </c>
      <c r="V74" s="2212" t="e">
        <f>IF('Report-M&amp;O2122'!C$18-'Report-SOF2122'!D$55&lt;=0,0,'Report-M&amp;O2122'!C$18-'Report-SOF2122'!D$55)</f>
        <v>#DIV/0!</v>
      </c>
      <c r="W74" s="2452" t="e">
        <f t="shared" si="20"/>
        <v>#DIV/0!</v>
      </c>
      <c r="X74" s="1708">
        <f>IF(A74='Data Entry - SOF'!B$2,'Data Entry - SOF'!M$64,0)</f>
        <v>0</v>
      </c>
      <c r="Y74" s="1371" t="e">
        <f t="shared" si="21"/>
        <v>#DIV/0!</v>
      </c>
      <c r="Z74" s="2212" t="e">
        <f>IF('Report-M&amp;O2223'!C$18-'Report-SOF2223'!D$55&lt;=0,0,'Report-M&amp;O2223'!C$18-'Report-SOF2223'!D$55)</f>
        <v>#DIV/0!</v>
      </c>
      <c r="AA74" s="1708">
        <f>IF(A74='Data Entry - SOF'!B$2,'Data Entry - SOF'!O$64,0)</f>
        <v>0</v>
      </c>
    </row>
    <row r="75" spans="1:27" ht="15.75">
      <c r="A75" s="1076" t="s">
        <v>997</v>
      </c>
      <c r="B75">
        <v>429901</v>
      </c>
      <c r="C75" s="2452" t="e">
        <f>#REF!+#REF!</f>
        <v>#REF!</v>
      </c>
      <c r="D75" s="2449">
        <f>IF(A75='Data Entry - SOF'!B$2,'Data Entry - SOF'!C$64,0)</f>
        <v>0</v>
      </c>
      <c r="E75" s="2450">
        <f t="shared" si="12"/>
        <v>429901</v>
      </c>
      <c r="F75" s="2212" t="e">
        <f>IF('Report-M&amp;O1718'!C$18-'Report-SOF1718'!D$55&lt;=0,0,'Report-M&amp;O1718'!C$18-'Report-SOF1718'!D$55)</f>
        <v>#DIV/0!</v>
      </c>
      <c r="G75" s="2452" t="e">
        <f t="shared" si="13"/>
        <v>#DIV/0!</v>
      </c>
      <c r="H75" s="2449">
        <f>IF(A75='Data Entry - SOF'!B$2,'Data Entry - SOF'!E$64,0)</f>
        <v>0</v>
      </c>
      <c r="I75" s="1687">
        <f t="shared" si="14"/>
        <v>429901</v>
      </c>
      <c r="J75" s="2212" t="e">
        <f>IF('Report-M&amp;O1819'!C$18-'Report-SOF1819'!D$55&lt;=0,0,'Report-M&amp;O1819'!C$18-'Report-SOF1819'!D$55)</f>
        <v>#DIV/0!</v>
      </c>
      <c r="K75" s="2452" t="e">
        <f t="shared" si="15"/>
        <v>#DIV/0!</v>
      </c>
      <c r="L75" s="2449">
        <f>IF(A75='Data Entry - SOF'!B$2,'Data Entry - SOF'!G$64,0)</f>
        <v>0</v>
      </c>
      <c r="M75" s="1371">
        <f t="shared" si="16"/>
        <v>429901</v>
      </c>
      <c r="N75" s="2212" t="e">
        <f>IF('Report-M&amp;O1920'!C$18-'Report-SOF1920'!D$55&lt;=0,0,'Report-M&amp;O1920'!C$18-'Report-SOF1920'!D$55)</f>
        <v>#DIV/0!</v>
      </c>
      <c r="O75" s="2452" t="e">
        <f t="shared" si="17"/>
        <v>#DIV/0!</v>
      </c>
      <c r="P75" s="2449">
        <f>IF(A75='Data Entry - SOF'!B$2,'Data Entry - SOF'!I$64,0)</f>
        <v>0</v>
      </c>
      <c r="Q75" s="1687">
        <f t="shared" si="18"/>
        <v>429901</v>
      </c>
      <c r="R75" s="2212" t="e">
        <f>IF('Report-M&amp;O2021'!C$18-'Report-SOF2021'!D$55&lt;=0,0,'Report-M&amp;O2021'!C$18-'Report-SOF2021'!D$55)</f>
        <v>#DIV/0!</v>
      </c>
      <c r="S75" s="2452" t="e">
        <f t="shared" si="19"/>
        <v>#DIV/0!</v>
      </c>
      <c r="T75" s="1708">
        <f>IF(A75='Data Entry - SOF'!B$2,'Data Entry - SOF'!K$64,0)</f>
        <v>0</v>
      </c>
      <c r="U75" s="1687">
        <f t="shared" si="11"/>
        <v>429901</v>
      </c>
      <c r="V75" s="2212" t="e">
        <f>IF('Report-M&amp;O2122'!C$18-'Report-SOF2122'!D$55&lt;=0,0,'Report-M&amp;O2122'!C$18-'Report-SOF2122'!D$55)</f>
        <v>#DIV/0!</v>
      </c>
      <c r="W75" s="2452" t="e">
        <f t="shared" si="20"/>
        <v>#DIV/0!</v>
      </c>
      <c r="X75" s="1708">
        <f>IF(A75='Data Entry - SOF'!B$2,'Data Entry - SOF'!M$64,0)</f>
        <v>0</v>
      </c>
      <c r="Y75" s="1371" t="e">
        <f t="shared" si="21"/>
        <v>#DIV/0!</v>
      </c>
      <c r="Z75" s="2212" t="e">
        <f>IF('Report-M&amp;O2223'!C$18-'Report-SOF2223'!D$55&lt;=0,0,'Report-M&amp;O2223'!C$18-'Report-SOF2223'!D$55)</f>
        <v>#DIV/0!</v>
      </c>
      <c r="AA75" s="1708">
        <f>IF(A75='Data Entry - SOF'!B$2,'Data Entry - SOF'!O$64,0)</f>
        <v>0</v>
      </c>
    </row>
    <row r="76" spans="1:27" ht="15.75">
      <c r="A76" s="1076" t="s">
        <v>808</v>
      </c>
      <c r="B76">
        <v>566402</v>
      </c>
      <c r="C76" s="2452" t="e">
        <f>#REF!+#REF!</f>
        <v>#REF!</v>
      </c>
      <c r="D76" s="2449">
        <f>IF(A76='Data Entry - SOF'!B$2,'Data Entry - SOF'!C$64,0)</f>
        <v>0</v>
      </c>
      <c r="E76" s="2450">
        <f t="shared" si="12"/>
        <v>566402</v>
      </c>
      <c r="F76" s="2212" t="e">
        <f>IF('Report-M&amp;O1718'!C$18-'Report-SOF1718'!D$55&lt;=0,0,'Report-M&amp;O1718'!C$18-'Report-SOF1718'!D$55)</f>
        <v>#DIV/0!</v>
      </c>
      <c r="G76" s="2452" t="e">
        <f t="shared" si="13"/>
        <v>#DIV/0!</v>
      </c>
      <c r="H76" s="2449">
        <f>IF(A76='Data Entry - SOF'!B$2,'Data Entry - SOF'!E$64,0)</f>
        <v>0</v>
      </c>
      <c r="I76" s="1687">
        <f t="shared" si="14"/>
        <v>566402</v>
      </c>
      <c r="J76" s="2212" t="e">
        <f>IF('Report-M&amp;O1819'!C$18-'Report-SOF1819'!D$55&lt;=0,0,'Report-M&amp;O1819'!C$18-'Report-SOF1819'!D$55)</f>
        <v>#DIV/0!</v>
      </c>
      <c r="K76" s="2452" t="e">
        <f t="shared" si="15"/>
        <v>#DIV/0!</v>
      </c>
      <c r="L76" s="2449">
        <f>IF(A76='Data Entry - SOF'!B$2,'Data Entry - SOF'!G$64,0)</f>
        <v>0</v>
      </c>
      <c r="M76" s="1371">
        <f t="shared" si="16"/>
        <v>566402</v>
      </c>
      <c r="N76" s="2212" t="e">
        <f>IF('Report-M&amp;O1920'!C$18-'Report-SOF1920'!D$55&lt;=0,0,'Report-M&amp;O1920'!C$18-'Report-SOF1920'!D$55)</f>
        <v>#DIV/0!</v>
      </c>
      <c r="O76" s="2452" t="e">
        <f t="shared" si="17"/>
        <v>#DIV/0!</v>
      </c>
      <c r="P76" s="2449">
        <f>IF(A76='Data Entry - SOF'!B$2,'Data Entry - SOF'!I$64,0)</f>
        <v>0</v>
      </c>
      <c r="Q76" s="1687">
        <f t="shared" si="18"/>
        <v>566402</v>
      </c>
      <c r="R76" s="2212" t="e">
        <f>IF('Report-M&amp;O2021'!C$18-'Report-SOF2021'!D$55&lt;=0,0,'Report-M&amp;O2021'!C$18-'Report-SOF2021'!D$55)</f>
        <v>#DIV/0!</v>
      </c>
      <c r="S76" s="2452" t="e">
        <f t="shared" si="19"/>
        <v>#DIV/0!</v>
      </c>
      <c r="T76" s="1708">
        <f>IF(A76='Data Entry - SOF'!B$2,'Data Entry - SOF'!K$64,0)</f>
        <v>0</v>
      </c>
      <c r="U76" s="1687">
        <f t="shared" si="11"/>
        <v>566402</v>
      </c>
      <c r="V76" s="2212" t="e">
        <f>IF('Report-M&amp;O2122'!C$18-'Report-SOF2122'!D$55&lt;=0,0,'Report-M&amp;O2122'!C$18-'Report-SOF2122'!D$55)</f>
        <v>#DIV/0!</v>
      </c>
      <c r="W76" s="2452" t="e">
        <f t="shared" si="20"/>
        <v>#DIV/0!</v>
      </c>
      <c r="X76" s="1708">
        <f>IF(A76='Data Entry - SOF'!B$2,'Data Entry - SOF'!M$64,0)</f>
        <v>0</v>
      </c>
      <c r="Y76" s="1371" t="e">
        <f t="shared" si="21"/>
        <v>#DIV/0!</v>
      </c>
      <c r="Z76" s="2212" t="e">
        <f>IF('Report-M&amp;O2223'!C$18-'Report-SOF2223'!D$55&lt;=0,0,'Report-M&amp;O2223'!C$18-'Report-SOF2223'!D$55)</f>
        <v>#DIV/0!</v>
      </c>
      <c r="AA76" s="1708">
        <f>IF(A76='Data Entry - SOF'!B$2,'Data Entry - SOF'!O$64,0)</f>
        <v>0</v>
      </c>
    </row>
    <row r="77" spans="1:27" ht="15.75">
      <c r="A77" s="1076" t="s">
        <v>2450</v>
      </c>
      <c r="B77">
        <v>257919</v>
      </c>
      <c r="C77" s="2452" t="e">
        <f>#REF!+#REF!</f>
        <v>#REF!</v>
      </c>
      <c r="D77" s="2449">
        <f>IF(A77='Data Entry - SOF'!B$2,'Data Entry - SOF'!C$64,0)</f>
        <v>0</v>
      </c>
      <c r="E77" s="2450">
        <f t="shared" si="12"/>
        <v>257919</v>
      </c>
      <c r="F77" s="2212" t="e">
        <f>IF('Report-M&amp;O1718'!C$18-'Report-SOF1718'!D$55&lt;=0,0,'Report-M&amp;O1718'!C$18-'Report-SOF1718'!D$55)</f>
        <v>#DIV/0!</v>
      </c>
      <c r="G77" s="2452" t="e">
        <f t="shared" si="13"/>
        <v>#DIV/0!</v>
      </c>
      <c r="H77" s="2449">
        <f>IF(A77='Data Entry - SOF'!B$2,'Data Entry - SOF'!E$64,0)</f>
        <v>0</v>
      </c>
      <c r="I77" s="1687">
        <f t="shared" si="14"/>
        <v>257919</v>
      </c>
      <c r="J77" s="2212" t="e">
        <f>IF('Report-M&amp;O1819'!C$18-'Report-SOF1819'!D$55&lt;=0,0,'Report-M&amp;O1819'!C$18-'Report-SOF1819'!D$55)</f>
        <v>#DIV/0!</v>
      </c>
      <c r="K77" s="2452" t="e">
        <f t="shared" si="15"/>
        <v>#DIV/0!</v>
      </c>
      <c r="L77" s="2449">
        <f>IF(A77='Data Entry - SOF'!B$2,'Data Entry - SOF'!G$64,0)</f>
        <v>0</v>
      </c>
      <c r="M77" s="1371">
        <f t="shared" si="16"/>
        <v>257919</v>
      </c>
      <c r="N77" s="2212" t="e">
        <f>IF('Report-M&amp;O1920'!C$18-'Report-SOF1920'!D$55&lt;=0,0,'Report-M&amp;O1920'!C$18-'Report-SOF1920'!D$55)</f>
        <v>#DIV/0!</v>
      </c>
      <c r="O77" s="2452" t="e">
        <f t="shared" si="17"/>
        <v>#DIV/0!</v>
      </c>
      <c r="P77" s="2449">
        <f>IF(A77='Data Entry - SOF'!B$2,'Data Entry - SOF'!I$64,0)</f>
        <v>0</v>
      </c>
      <c r="Q77" s="1687">
        <f t="shared" si="18"/>
        <v>257919</v>
      </c>
      <c r="R77" s="2212" t="e">
        <f>IF('Report-M&amp;O2021'!C$18-'Report-SOF2021'!D$55&lt;=0,0,'Report-M&amp;O2021'!C$18-'Report-SOF2021'!D$55)</f>
        <v>#DIV/0!</v>
      </c>
      <c r="S77" s="2452" t="e">
        <f t="shared" si="19"/>
        <v>#DIV/0!</v>
      </c>
      <c r="T77" s="1708">
        <f>IF(A77='Data Entry - SOF'!B$2,'Data Entry - SOF'!K$64,0)</f>
        <v>0</v>
      </c>
      <c r="U77" s="1687">
        <f t="shared" si="11"/>
        <v>257919</v>
      </c>
      <c r="V77" s="2212" t="e">
        <f>IF('Report-M&amp;O2122'!C$18-'Report-SOF2122'!D$55&lt;=0,0,'Report-M&amp;O2122'!C$18-'Report-SOF2122'!D$55)</f>
        <v>#DIV/0!</v>
      </c>
      <c r="W77" s="2452" t="e">
        <f t="shared" si="20"/>
        <v>#DIV/0!</v>
      </c>
      <c r="X77" s="1708">
        <f>IF(A77='Data Entry - SOF'!B$2,'Data Entry - SOF'!M$64,0)</f>
        <v>0</v>
      </c>
      <c r="Y77" s="1371" t="e">
        <f t="shared" si="21"/>
        <v>#DIV/0!</v>
      </c>
      <c r="Z77" s="2212" t="e">
        <f>IF('Report-M&amp;O2223'!C$18-'Report-SOF2223'!D$55&lt;=0,0,'Report-M&amp;O2223'!C$18-'Report-SOF2223'!D$55)</f>
        <v>#DIV/0!</v>
      </c>
      <c r="AA77" s="1708">
        <f>IF(A77='Data Entry - SOF'!B$2,'Data Entry - SOF'!O$64,0)</f>
        <v>0</v>
      </c>
    </row>
    <row r="78" spans="1:27" ht="15.75">
      <c r="A78" s="1076" t="s">
        <v>3034</v>
      </c>
      <c r="B78">
        <v>2570789</v>
      </c>
      <c r="C78" s="2452" t="e">
        <f>#REF!+#REF!</f>
        <v>#REF!</v>
      </c>
      <c r="D78" s="2449">
        <f>IF(A78='Data Entry - SOF'!B$2,'Data Entry - SOF'!C$64,0)</f>
        <v>0</v>
      </c>
      <c r="E78" s="2450">
        <f t="shared" si="12"/>
        <v>2570789</v>
      </c>
      <c r="F78" s="2212" t="e">
        <f>IF('Report-M&amp;O1718'!C$18-'Report-SOF1718'!D$55&lt;=0,0,'Report-M&amp;O1718'!C$18-'Report-SOF1718'!D$55)</f>
        <v>#DIV/0!</v>
      </c>
      <c r="G78" s="2452" t="e">
        <f t="shared" si="13"/>
        <v>#DIV/0!</v>
      </c>
      <c r="H78" s="2449">
        <f>IF(A78='Data Entry - SOF'!B$2,'Data Entry - SOF'!E$64,0)</f>
        <v>0</v>
      </c>
      <c r="I78" s="1687">
        <f t="shared" si="14"/>
        <v>2570789</v>
      </c>
      <c r="J78" s="2212" t="e">
        <f>IF('Report-M&amp;O1819'!C$18-'Report-SOF1819'!D$55&lt;=0,0,'Report-M&amp;O1819'!C$18-'Report-SOF1819'!D$55)</f>
        <v>#DIV/0!</v>
      </c>
      <c r="K78" s="2452" t="e">
        <f t="shared" si="15"/>
        <v>#DIV/0!</v>
      </c>
      <c r="L78" s="2449">
        <f>IF(A78='Data Entry - SOF'!B$2,'Data Entry - SOF'!G$64,0)</f>
        <v>0</v>
      </c>
      <c r="M78" s="1371">
        <f t="shared" si="16"/>
        <v>2570789</v>
      </c>
      <c r="N78" s="2212" t="e">
        <f>IF('Report-M&amp;O1920'!C$18-'Report-SOF1920'!D$55&lt;=0,0,'Report-M&amp;O1920'!C$18-'Report-SOF1920'!D$55)</f>
        <v>#DIV/0!</v>
      </c>
      <c r="O78" s="2452" t="e">
        <f t="shared" si="17"/>
        <v>#DIV/0!</v>
      </c>
      <c r="P78" s="2449">
        <f>IF(A78='Data Entry - SOF'!B$2,'Data Entry - SOF'!I$64,0)</f>
        <v>0</v>
      </c>
      <c r="Q78" s="1687">
        <f t="shared" si="18"/>
        <v>2570789</v>
      </c>
      <c r="R78" s="2212" t="e">
        <f>IF('Report-M&amp;O2021'!C$18-'Report-SOF2021'!D$55&lt;=0,0,'Report-M&amp;O2021'!C$18-'Report-SOF2021'!D$55)</f>
        <v>#DIV/0!</v>
      </c>
      <c r="S78" s="2452" t="e">
        <f t="shared" si="19"/>
        <v>#DIV/0!</v>
      </c>
      <c r="T78" s="1708">
        <f>IF(A78='Data Entry - SOF'!B$2,'Data Entry - SOF'!K$64,0)</f>
        <v>0</v>
      </c>
      <c r="U78" s="1687">
        <f t="shared" si="11"/>
        <v>2570789</v>
      </c>
      <c r="V78" s="2212" t="e">
        <f>IF('Report-M&amp;O2122'!C$18-'Report-SOF2122'!D$55&lt;=0,0,'Report-M&amp;O2122'!C$18-'Report-SOF2122'!D$55)</f>
        <v>#DIV/0!</v>
      </c>
      <c r="W78" s="2452" t="e">
        <f t="shared" si="20"/>
        <v>#DIV/0!</v>
      </c>
      <c r="X78" s="1708">
        <f>IF(A78='Data Entry - SOF'!B$2,'Data Entry - SOF'!M$64,0)</f>
        <v>0</v>
      </c>
      <c r="Y78" s="1371" t="e">
        <f t="shared" si="21"/>
        <v>#DIV/0!</v>
      </c>
      <c r="Z78" s="2212" t="e">
        <f>IF('Report-M&amp;O2223'!C$18-'Report-SOF2223'!D$55&lt;=0,0,'Report-M&amp;O2223'!C$18-'Report-SOF2223'!D$55)</f>
        <v>#DIV/0!</v>
      </c>
      <c r="AA78" s="1708">
        <f>IF(A78='Data Entry - SOF'!B$2,'Data Entry - SOF'!O$64,0)</f>
        <v>0</v>
      </c>
    </row>
    <row r="79" spans="1:27" ht="15.75">
      <c r="A79" s="1076" t="s">
        <v>1252</v>
      </c>
      <c r="B79">
        <v>856353</v>
      </c>
      <c r="C79" s="2452" t="e">
        <f>#REF!+#REF!</f>
        <v>#REF!</v>
      </c>
      <c r="D79" s="2449">
        <f>IF(A79='Data Entry - SOF'!B$2,'Data Entry - SOF'!C$64,0)</f>
        <v>0</v>
      </c>
      <c r="E79" s="2450">
        <f t="shared" si="12"/>
        <v>856353</v>
      </c>
      <c r="F79" s="2212" t="e">
        <f>IF('Report-M&amp;O1718'!C$18-'Report-SOF1718'!D$55&lt;=0,0,'Report-M&amp;O1718'!C$18-'Report-SOF1718'!D$55)</f>
        <v>#DIV/0!</v>
      </c>
      <c r="G79" s="2452" t="e">
        <f t="shared" si="13"/>
        <v>#DIV/0!</v>
      </c>
      <c r="H79" s="2449">
        <f>IF(A79='Data Entry - SOF'!B$2,'Data Entry - SOF'!E$64,0)</f>
        <v>0</v>
      </c>
      <c r="I79" s="1687">
        <f t="shared" si="14"/>
        <v>856353</v>
      </c>
      <c r="J79" s="2212" t="e">
        <f>IF('Report-M&amp;O1819'!C$18-'Report-SOF1819'!D$55&lt;=0,0,'Report-M&amp;O1819'!C$18-'Report-SOF1819'!D$55)</f>
        <v>#DIV/0!</v>
      </c>
      <c r="K79" s="2452" t="e">
        <f t="shared" si="15"/>
        <v>#DIV/0!</v>
      </c>
      <c r="L79" s="2449">
        <f>IF(A79='Data Entry - SOF'!B$2,'Data Entry - SOF'!G$64,0)</f>
        <v>0</v>
      </c>
      <c r="M79" s="1371">
        <f t="shared" si="16"/>
        <v>856353</v>
      </c>
      <c r="N79" s="2212" t="e">
        <f>IF('Report-M&amp;O1920'!C$18-'Report-SOF1920'!D$55&lt;=0,0,'Report-M&amp;O1920'!C$18-'Report-SOF1920'!D$55)</f>
        <v>#DIV/0!</v>
      </c>
      <c r="O79" s="2452" t="e">
        <f t="shared" si="17"/>
        <v>#DIV/0!</v>
      </c>
      <c r="P79" s="2449">
        <f>IF(A79='Data Entry - SOF'!B$2,'Data Entry - SOF'!I$64,0)</f>
        <v>0</v>
      </c>
      <c r="Q79" s="1687">
        <f t="shared" si="18"/>
        <v>856353</v>
      </c>
      <c r="R79" s="2212" t="e">
        <f>IF('Report-M&amp;O2021'!C$18-'Report-SOF2021'!D$55&lt;=0,0,'Report-M&amp;O2021'!C$18-'Report-SOF2021'!D$55)</f>
        <v>#DIV/0!</v>
      </c>
      <c r="S79" s="2452" t="e">
        <f t="shared" si="19"/>
        <v>#DIV/0!</v>
      </c>
      <c r="T79" s="1708">
        <f>IF(A79='Data Entry - SOF'!B$2,'Data Entry - SOF'!K$64,0)</f>
        <v>0</v>
      </c>
      <c r="U79" s="1687">
        <f t="shared" si="11"/>
        <v>856353</v>
      </c>
      <c r="V79" s="2212" t="e">
        <f>IF('Report-M&amp;O2122'!C$18-'Report-SOF2122'!D$55&lt;=0,0,'Report-M&amp;O2122'!C$18-'Report-SOF2122'!D$55)</f>
        <v>#DIV/0!</v>
      </c>
      <c r="W79" s="2452" t="e">
        <f t="shared" si="20"/>
        <v>#DIV/0!</v>
      </c>
      <c r="X79" s="1708">
        <f>IF(A79='Data Entry - SOF'!B$2,'Data Entry - SOF'!M$64,0)</f>
        <v>0</v>
      </c>
      <c r="Y79" s="1371" t="e">
        <f t="shared" si="21"/>
        <v>#DIV/0!</v>
      </c>
      <c r="Z79" s="2212" t="e">
        <f>IF('Report-M&amp;O2223'!C$18-'Report-SOF2223'!D$55&lt;=0,0,'Report-M&amp;O2223'!C$18-'Report-SOF2223'!D$55)</f>
        <v>#DIV/0!</v>
      </c>
      <c r="AA79" s="1708">
        <f>IF(A79='Data Entry - SOF'!B$2,'Data Entry - SOF'!O$64,0)</f>
        <v>0</v>
      </c>
    </row>
    <row r="80" spans="1:27" ht="15.75">
      <c r="A80" s="1076" t="s">
        <v>1253</v>
      </c>
      <c r="B80">
        <v>22781540</v>
      </c>
      <c r="C80" s="2452" t="e">
        <f>#REF!+#REF!</f>
        <v>#REF!</v>
      </c>
      <c r="D80" s="2449">
        <f>IF(A80='Data Entry - SOF'!B$2,'Data Entry - SOF'!C$64,0)</f>
        <v>0</v>
      </c>
      <c r="E80" s="2450">
        <f t="shared" si="12"/>
        <v>22781540</v>
      </c>
      <c r="F80" s="2212" t="e">
        <f>IF('Report-M&amp;O1718'!C$18-'Report-SOF1718'!D$55&lt;=0,0,'Report-M&amp;O1718'!C$18-'Report-SOF1718'!D$55)</f>
        <v>#DIV/0!</v>
      </c>
      <c r="G80" s="2452" t="e">
        <f t="shared" si="13"/>
        <v>#DIV/0!</v>
      </c>
      <c r="H80" s="2449">
        <f>IF(A80='Data Entry - SOF'!B$2,'Data Entry - SOF'!E$64,0)</f>
        <v>0</v>
      </c>
      <c r="I80" s="1687">
        <f t="shared" si="14"/>
        <v>22781540</v>
      </c>
      <c r="J80" s="2212" t="e">
        <f>IF('Report-M&amp;O1819'!C$18-'Report-SOF1819'!D$55&lt;=0,0,'Report-M&amp;O1819'!C$18-'Report-SOF1819'!D$55)</f>
        <v>#DIV/0!</v>
      </c>
      <c r="K80" s="2452" t="e">
        <f t="shared" si="15"/>
        <v>#DIV/0!</v>
      </c>
      <c r="L80" s="2449">
        <f>IF(A80='Data Entry - SOF'!B$2,'Data Entry - SOF'!G$64,0)</f>
        <v>0</v>
      </c>
      <c r="M80" s="1371">
        <f t="shared" si="16"/>
        <v>22781540</v>
      </c>
      <c r="N80" s="2212" t="e">
        <f>IF('Report-M&amp;O1920'!C$18-'Report-SOF1920'!D$55&lt;=0,0,'Report-M&amp;O1920'!C$18-'Report-SOF1920'!D$55)</f>
        <v>#DIV/0!</v>
      </c>
      <c r="O80" s="2452" t="e">
        <f t="shared" si="17"/>
        <v>#DIV/0!</v>
      </c>
      <c r="P80" s="2449">
        <f>IF(A80='Data Entry - SOF'!B$2,'Data Entry - SOF'!I$64,0)</f>
        <v>0</v>
      </c>
      <c r="Q80" s="1687">
        <f t="shared" si="18"/>
        <v>22781540</v>
      </c>
      <c r="R80" s="2212" t="e">
        <f>IF('Report-M&amp;O2021'!C$18-'Report-SOF2021'!D$55&lt;=0,0,'Report-M&amp;O2021'!C$18-'Report-SOF2021'!D$55)</f>
        <v>#DIV/0!</v>
      </c>
      <c r="S80" s="2452" t="e">
        <f t="shared" si="19"/>
        <v>#DIV/0!</v>
      </c>
      <c r="T80" s="1708">
        <f>IF(A80='Data Entry - SOF'!B$2,'Data Entry - SOF'!K$64,0)</f>
        <v>0</v>
      </c>
      <c r="U80" s="1687">
        <f t="shared" si="11"/>
        <v>22781540</v>
      </c>
      <c r="V80" s="2212" t="e">
        <f>IF('Report-M&amp;O2122'!C$18-'Report-SOF2122'!D$55&lt;=0,0,'Report-M&amp;O2122'!C$18-'Report-SOF2122'!D$55)</f>
        <v>#DIV/0!</v>
      </c>
      <c r="W80" s="2452" t="e">
        <f t="shared" si="20"/>
        <v>#DIV/0!</v>
      </c>
      <c r="X80" s="1708">
        <f>IF(A80='Data Entry - SOF'!B$2,'Data Entry - SOF'!M$64,0)</f>
        <v>0</v>
      </c>
      <c r="Y80" s="1371" t="e">
        <f t="shared" si="21"/>
        <v>#DIV/0!</v>
      </c>
      <c r="Z80" s="2212" t="e">
        <f>IF('Report-M&amp;O2223'!C$18-'Report-SOF2223'!D$55&lt;=0,0,'Report-M&amp;O2223'!C$18-'Report-SOF2223'!D$55)</f>
        <v>#DIV/0!</v>
      </c>
      <c r="AA80" s="1708">
        <f>IF(A80='Data Entry - SOF'!B$2,'Data Entry - SOF'!O$64,0)</f>
        <v>0</v>
      </c>
    </row>
    <row r="81" spans="1:27" ht="15.75">
      <c r="A81" s="1076" t="s">
        <v>1285</v>
      </c>
      <c r="B81">
        <v>5975068</v>
      </c>
      <c r="C81" s="2452" t="e">
        <f>#REF!+#REF!</f>
        <v>#REF!</v>
      </c>
      <c r="D81" s="2449">
        <f>IF(A81='Data Entry - SOF'!B$2,'Data Entry - SOF'!C$64,0)</f>
        <v>0</v>
      </c>
      <c r="E81" s="2450">
        <f t="shared" si="12"/>
        <v>5975068</v>
      </c>
      <c r="F81" s="2212" t="e">
        <f>IF('Report-M&amp;O1718'!C$18-'Report-SOF1718'!D$55&lt;=0,0,'Report-M&amp;O1718'!C$18-'Report-SOF1718'!D$55)</f>
        <v>#DIV/0!</v>
      </c>
      <c r="G81" s="2452" t="e">
        <f t="shared" si="13"/>
        <v>#DIV/0!</v>
      </c>
      <c r="H81" s="2449">
        <f>IF(A81='Data Entry - SOF'!B$2,'Data Entry - SOF'!E$64,0)</f>
        <v>0</v>
      </c>
      <c r="I81" s="1687">
        <f t="shared" si="14"/>
        <v>5975068</v>
      </c>
      <c r="J81" s="2212" t="e">
        <f>IF('Report-M&amp;O1819'!C$18-'Report-SOF1819'!D$55&lt;=0,0,'Report-M&amp;O1819'!C$18-'Report-SOF1819'!D$55)</f>
        <v>#DIV/0!</v>
      </c>
      <c r="K81" s="2452" t="e">
        <f t="shared" si="15"/>
        <v>#DIV/0!</v>
      </c>
      <c r="L81" s="2449">
        <f>IF(A81='Data Entry - SOF'!B$2,'Data Entry - SOF'!G$64,0)</f>
        <v>0</v>
      </c>
      <c r="M81" s="1371">
        <f t="shared" si="16"/>
        <v>5975068</v>
      </c>
      <c r="N81" s="2212" t="e">
        <f>IF('Report-M&amp;O1920'!C$18-'Report-SOF1920'!D$55&lt;=0,0,'Report-M&amp;O1920'!C$18-'Report-SOF1920'!D$55)</f>
        <v>#DIV/0!</v>
      </c>
      <c r="O81" s="2452" t="e">
        <f t="shared" si="17"/>
        <v>#DIV/0!</v>
      </c>
      <c r="P81" s="2449">
        <f>IF(A81='Data Entry - SOF'!B$2,'Data Entry - SOF'!I$64,0)</f>
        <v>0</v>
      </c>
      <c r="Q81" s="1687">
        <f t="shared" si="18"/>
        <v>5975068</v>
      </c>
      <c r="R81" s="2212" t="e">
        <f>IF('Report-M&amp;O2021'!C$18-'Report-SOF2021'!D$55&lt;=0,0,'Report-M&amp;O2021'!C$18-'Report-SOF2021'!D$55)</f>
        <v>#DIV/0!</v>
      </c>
      <c r="S81" s="2452" t="e">
        <f t="shared" si="19"/>
        <v>#DIV/0!</v>
      </c>
      <c r="T81" s="1708">
        <f>IF(A81='Data Entry - SOF'!B$2,'Data Entry - SOF'!K$64,0)</f>
        <v>0</v>
      </c>
      <c r="U81" s="1687">
        <f t="shared" si="11"/>
        <v>5975068</v>
      </c>
      <c r="V81" s="2212" t="e">
        <f>IF('Report-M&amp;O2122'!C$18-'Report-SOF2122'!D$55&lt;=0,0,'Report-M&amp;O2122'!C$18-'Report-SOF2122'!D$55)</f>
        <v>#DIV/0!</v>
      </c>
      <c r="W81" s="2452" t="e">
        <f t="shared" si="20"/>
        <v>#DIV/0!</v>
      </c>
      <c r="X81" s="1708">
        <f>IF(A81='Data Entry - SOF'!B$2,'Data Entry - SOF'!M$64,0)</f>
        <v>0</v>
      </c>
      <c r="Y81" s="1371" t="e">
        <f t="shared" si="21"/>
        <v>#DIV/0!</v>
      </c>
      <c r="Z81" s="2212" t="e">
        <f>IF('Report-M&amp;O2223'!C$18-'Report-SOF2223'!D$55&lt;=0,0,'Report-M&amp;O2223'!C$18-'Report-SOF2223'!D$55)</f>
        <v>#DIV/0!</v>
      </c>
      <c r="AA81" s="1708">
        <f>IF(A81='Data Entry - SOF'!B$2,'Data Entry - SOF'!O$64,0)</f>
        <v>0</v>
      </c>
    </row>
    <row r="82" spans="1:27" ht="15.75">
      <c r="A82" s="1076" t="s">
        <v>2451</v>
      </c>
      <c r="B82">
        <v>254138</v>
      </c>
      <c r="C82" s="2452" t="e">
        <f>#REF!+#REF!</f>
        <v>#REF!</v>
      </c>
      <c r="D82" s="2449">
        <f>IF(A82='Data Entry - SOF'!B$2,'Data Entry - SOF'!C$64,0)</f>
        <v>0</v>
      </c>
      <c r="E82" s="2450">
        <f t="shared" si="12"/>
        <v>254138</v>
      </c>
      <c r="F82" s="2212" t="e">
        <f>IF('Report-M&amp;O1718'!C$18-'Report-SOF1718'!D$55&lt;=0,0,'Report-M&amp;O1718'!C$18-'Report-SOF1718'!D$55)</f>
        <v>#DIV/0!</v>
      </c>
      <c r="G82" s="2452" t="e">
        <f t="shared" si="13"/>
        <v>#DIV/0!</v>
      </c>
      <c r="H82" s="2449">
        <f>IF(A82='Data Entry - SOF'!B$2,'Data Entry - SOF'!E$64,0)</f>
        <v>0</v>
      </c>
      <c r="I82" s="1687">
        <f t="shared" si="14"/>
        <v>254138</v>
      </c>
      <c r="J82" s="2212" t="e">
        <f>IF('Report-M&amp;O1819'!C$18-'Report-SOF1819'!D$55&lt;=0,0,'Report-M&amp;O1819'!C$18-'Report-SOF1819'!D$55)</f>
        <v>#DIV/0!</v>
      </c>
      <c r="K82" s="2452" t="e">
        <f t="shared" si="15"/>
        <v>#DIV/0!</v>
      </c>
      <c r="L82" s="2449">
        <f>IF(A82='Data Entry - SOF'!B$2,'Data Entry - SOF'!G$64,0)</f>
        <v>0</v>
      </c>
      <c r="M82" s="1371">
        <f t="shared" si="16"/>
        <v>254138</v>
      </c>
      <c r="N82" s="2212" t="e">
        <f>IF('Report-M&amp;O1920'!C$18-'Report-SOF1920'!D$55&lt;=0,0,'Report-M&amp;O1920'!C$18-'Report-SOF1920'!D$55)</f>
        <v>#DIV/0!</v>
      </c>
      <c r="O82" s="2452" t="e">
        <f t="shared" si="17"/>
        <v>#DIV/0!</v>
      </c>
      <c r="P82" s="2449">
        <f>IF(A82='Data Entry - SOF'!B$2,'Data Entry - SOF'!I$64,0)</f>
        <v>0</v>
      </c>
      <c r="Q82" s="1687">
        <f t="shared" si="18"/>
        <v>254138</v>
      </c>
      <c r="R82" s="2212" t="e">
        <f>IF('Report-M&amp;O2021'!C$18-'Report-SOF2021'!D$55&lt;=0,0,'Report-M&amp;O2021'!C$18-'Report-SOF2021'!D$55)</f>
        <v>#DIV/0!</v>
      </c>
      <c r="S82" s="2452" t="e">
        <f t="shared" si="19"/>
        <v>#DIV/0!</v>
      </c>
      <c r="T82" s="1708">
        <f>IF(A82='Data Entry - SOF'!B$2,'Data Entry - SOF'!K$64,0)</f>
        <v>0</v>
      </c>
      <c r="U82" s="1687">
        <f t="shared" si="11"/>
        <v>254138</v>
      </c>
      <c r="V82" s="2212" t="e">
        <f>IF('Report-M&amp;O2122'!C$18-'Report-SOF2122'!D$55&lt;=0,0,'Report-M&amp;O2122'!C$18-'Report-SOF2122'!D$55)</f>
        <v>#DIV/0!</v>
      </c>
      <c r="W82" s="2452" t="e">
        <f t="shared" si="20"/>
        <v>#DIV/0!</v>
      </c>
      <c r="X82" s="1708">
        <f>IF(A82='Data Entry - SOF'!B$2,'Data Entry - SOF'!M$64,0)</f>
        <v>0</v>
      </c>
      <c r="Y82" s="1371" t="e">
        <f t="shared" si="21"/>
        <v>#DIV/0!</v>
      </c>
      <c r="Z82" s="2212" t="e">
        <f>IF('Report-M&amp;O2223'!C$18-'Report-SOF2223'!D$55&lt;=0,0,'Report-M&amp;O2223'!C$18-'Report-SOF2223'!D$55)</f>
        <v>#DIV/0!</v>
      </c>
      <c r="AA82" s="1708">
        <f>IF(A82='Data Entry - SOF'!B$2,'Data Entry - SOF'!O$64,0)</f>
        <v>0</v>
      </c>
    </row>
    <row r="83" spans="1:27" ht="15.75">
      <c r="A83" s="1076" t="s">
        <v>1110</v>
      </c>
      <c r="B83">
        <v>62313</v>
      </c>
      <c r="C83" s="2452" t="e">
        <f>#REF!+#REF!</f>
        <v>#REF!</v>
      </c>
      <c r="D83" s="2449">
        <f>IF(A83='Data Entry - SOF'!B$2,'Data Entry - SOF'!C$64,0)</f>
        <v>0</v>
      </c>
      <c r="E83" s="2450">
        <f t="shared" si="12"/>
        <v>62313</v>
      </c>
      <c r="F83" s="2212" t="e">
        <f>IF('Report-M&amp;O1718'!C$18-'Report-SOF1718'!D$55&lt;=0,0,'Report-M&amp;O1718'!C$18-'Report-SOF1718'!D$55)</f>
        <v>#DIV/0!</v>
      </c>
      <c r="G83" s="2452" t="e">
        <f t="shared" si="13"/>
        <v>#DIV/0!</v>
      </c>
      <c r="H83" s="2449">
        <f>IF(A83='Data Entry - SOF'!B$2,'Data Entry - SOF'!E$64,0)</f>
        <v>0</v>
      </c>
      <c r="I83" s="1687">
        <f t="shared" si="14"/>
        <v>62313</v>
      </c>
      <c r="J83" s="2212" t="e">
        <f>IF('Report-M&amp;O1819'!C$18-'Report-SOF1819'!D$55&lt;=0,0,'Report-M&amp;O1819'!C$18-'Report-SOF1819'!D$55)</f>
        <v>#DIV/0!</v>
      </c>
      <c r="K83" s="2452" t="e">
        <f t="shared" si="15"/>
        <v>#DIV/0!</v>
      </c>
      <c r="L83" s="2449">
        <f>IF(A83='Data Entry - SOF'!B$2,'Data Entry - SOF'!G$64,0)</f>
        <v>0</v>
      </c>
      <c r="M83" s="1371">
        <f t="shared" si="16"/>
        <v>62313</v>
      </c>
      <c r="N83" s="2212" t="e">
        <f>IF('Report-M&amp;O1920'!C$18-'Report-SOF1920'!D$55&lt;=0,0,'Report-M&amp;O1920'!C$18-'Report-SOF1920'!D$55)</f>
        <v>#DIV/0!</v>
      </c>
      <c r="O83" s="2452" t="e">
        <f t="shared" si="17"/>
        <v>#DIV/0!</v>
      </c>
      <c r="P83" s="2449">
        <f>IF(A83='Data Entry - SOF'!B$2,'Data Entry - SOF'!I$64,0)</f>
        <v>0</v>
      </c>
      <c r="Q83" s="1687">
        <f t="shared" si="18"/>
        <v>62313</v>
      </c>
      <c r="R83" s="2212" t="e">
        <f>IF('Report-M&amp;O2021'!C$18-'Report-SOF2021'!D$55&lt;=0,0,'Report-M&amp;O2021'!C$18-'Report-SOF2021'!D$55)</f>
        <v>#DIV/0!</v>
      </c>
      <c r="S83" s="2452" t="e">
        <f t="shared" si="19"/>
        <v>#DIV/0!</v>
      </c>
      <c r="T83" s="1708">
        <f>IF(A83='Data Entry - SOF'!B$2,'Data Entry - SOF'!K$64,0)</f>
        <v>0</v>
      </c>
      <c r="U83" s="1687">
        <f t="shared" si="11"/>
        <v>62313</v>
      </c>
      <c r="V83" s="2212" t="e">
        <f>IF('Report-M&amp;O2122'!C$18-'Report-SOF2122'!D$55&lt;=0,0,'Report-M&amp;O2122'!C$18-'Report-SOF2122'!D$55)</f>
        <v>#DIV/0!</v>
      </c>
      <c r="W83" s="2452" t="e">
        <f t="shared" si="20"/>
        <v>#DIV/0!</v>
      </c>
      <c r="X83" s="1708">
        <f>IF(A83='Data Entry - SOF'!B$2,'Data Entry - SOF'!M$64,0)</f>
        <v>0</v>
      </c>
      <c r="Y83" s="1371" t="e">
        <f t="shared" si="21"/>
        <v>#DIV/0!</v>
      </c>
      <c r="Z83" s="2212" t="e">
        <f>IF('Report-M&amp;O2223'!C$18-'Report-SOF2223'!D$55&lt;=0,0,'Report-M&amp;O2223'!C$18-'Report-SOF2223'!D$55)</f>
        <v>#DIV/0!</v>
      </c>
      <c r="AA83" s="1708">
        <f>IF(A83='Data Entry - SOF'!B$2,'Data Entry - SOF'!O$64,0)</f>
        <v>0</v>
      </c>
    </row>
    <row r="84" spans="1:27" ht="15.75">
      <c r="A84" s="1076" t="s">
        <v>953</v>
      </c>
      <c r="B84">
        <v>851091</v>
      </c>
      <c r="C84" s="2452" t="e">
        <f>#REF!+#REF!</f>
        <v>#REF!</v>
      </c>
      <c r="D84" s="2449">
        <f>IF(A84='Data Entry - SOF'!B$2,'Data Entry - SOF'!C$64,0)</f>
        <v>0</v>
      </c>
      <c r="E84" s="2450">
        <f t="shared" si="12"/>
        <v>851091</v>
      </c>
      <c r="F84" s="2212" t="e">
        <f>IF('Report-M&amp;O1718'!C$18-'Report-SOF1718'!D$55&lt;=0,0,'Report-M&amp;O1718'!C$18-'Report-SOF1718'!D$55)</f>
        <v>#DIV/0!</v>
      </c>
      <c r="G84" s="2452" t="e">
        <f t="shared" si="13"/>
        <v>#DIV/0!</v>
      </c>
      <c r="H84" s="2449">
        <f>IF(A84='Data Entry - SOF'!B$2,'Data Entry - SOF'!E$64,0)</f>
        <v>0</v>
      </c>
      <c r="I84" s="1687">
        <f t="shared" si="14"/>
        <v>851091</v>
      </c>
      <c r="J84" s="2212" t="e">
        <f>IF('Report-M&amp;O1819'!C$18-'Report-SOF1819'!D$55&lt;=0,0,'Report-M&amp;O1819'!C$18-'Report-SOF1819'!D$55)</f>
        <v>#DIV/0!</v>
      </c>
      <c r="K84" s="2452" t="e">
        <f t="shared" si="15"/>
        <v>#DIV/0!</v>
      </c>
      <c r="L84" s="2449">
        <f>IF(A84='Data Entry - SOF'!B$2,'Data Entry - SOF'!G$64,0)</f>
        <v>0</v>
      </c>
      <c r="M84" s="1371">
        <f t="shared" si="16"/>
        <v>851091</v>
      </c>
      <c r="N84" s="2212" t="e">
        <f>IF('Report-M&amp;O1920'!C$18-'Report-SOF1920'!D$55&lt;=0,0,'Report-M&amp;O1920'!C$18-'Report-SOF1920'!D$55)</f>
        <v>#DIV/0!</v>
      </c>
      <c r="O84" s="2452" t="e">
        <f t="shared" si="17"/>
        <v>#DIV/0!</v>
      </c>
      <c r="P84" s="2449">
        <f>IF(A84='Data Entry - SOF'!B$2,'Data Entry - SOF'!I$64,0)</f>
        <v>0</v>
      </c>
      <c r="Q84" s="1687">
        <f t="shared" si="18"/>
        <v>851091</v>
      </c>
      <c r="R84" s="2212" t="e">
        <f>IF('Report-M&amp;O2021'!C$18-'Report-SOF2021'!D$55&lt;=0,0,'Report-M&amp;O2021'!C$18-'Report-SOF2021'!D$55)</f>
        <v>#DIV/0!</v>
      </c>
      <c r="S84" s="2452" t="e">
        <f t="shared" si="19"/>
        <v>#DIV/0!</v>
      </c>
      <c r="T84" s="1708">
        <f>IF(A84='Data Entry - SOF'!B$2,'Data Entry - SOF'!K$64,0)</f>
        <v>0</v>
      </c>
      <c r="U84" s="1687">
        <f t="shared" ref="U84:U131" si="22">Q84-T84</f>
        <v>851091</v>
      </c>
      <c r="V84" s="2212" t="e">
        <f>IF('Report-M&amp;O2122'!C$18-'Report-SOF2122'!D$55&lt;=0,0,'Report-M&amp;O2122'!C$18-'Report-SOF2122'!D$55)</f>
        <v>#DIV/0!</v>
      </c>
      <c r="W84" s="2452" t="e">
        <f t="shared" si="20"/>
        <v>#DIV/0!</v>
      </c>
      <c r="X84" s="1708">
        <f>IF(A84='Data Entry - SOF'!B$2,'Data Entry - SOF'!M$64,0)</f>
        <v>0</v>
      </c>
      <c r="Y84" s="1371" t="e">
        <f t="shared" si="21"/>
        <v>#DIV/0!</v>
      </c>
      <c r="Z84" s="2212" t="e">
        <f>IF('Report-M&amp;O2223'!C$18-'Report-SOF2223'!D$55&lt;=0,0,'Report-M&amp;O2223'!C$18-'Report-SOF2223'!D$55)</f>
        <v>#DIV/0!</v>
      </c>
      <c r="AA84" s="1708">
        <f>IF(A84='Data Entry - SOF'!B$2,'Data Entry - SOF'!O$64,0)</f>
        <v>0</v>
      </c>
    </row>
    <row r="85" spans="1:27" ht="15.75">
      <c r="A85" s="1076" t="s">
        <v>1286</v>
      </c>
      <c r="B85">
        <v>14362213</v>
      </c>
      <c r="C85" s="2452" t="e">
        <f>#REF!+#REF!</f>
        <v>#REF!</v>
      </c>
      <c r="D85" s="2449">
        <f>IF(A85='Data Entry - SOF'!B$2,'Data Entry - SOF'!C$64,0)</f>
        <v>0</v>
      </c>
      <c r="E85" s="2450">
        <f t="shared" si="12"/>
        <v>14362213</v>
      </c>
      <c r="F85" s="2212" t="e">
        <f>IF('Report-M&amp;O1718'!C$18-'Report-SOF1718'!D$55&lt;=0,0,'Report-M&amp;O1718'!C$18-'Report-SOF1718'!D$55)</f>
        <v>#DIV/0!</v>
      </c>
      <c r="G85" s="2452" t="e">
        <f t="shared" si="13"/>
        <v>#DIV/0!</v>
      </c>
      <c r="H85" s="2449">
        <f>IF(A85='Data Entry - SOF'!B$2,'Data Entry - SOF'!E$64,0)</f>
        <v>0</v>
      </c>
      <c r="I85" s="1687">
        <f t="shared" si="14"/>
        <v>14362213</v>
      </c>
      <c r="J85" s="2212" t="e">
        <f>IF('Report-M&amp;O1819'!C$18-'Report-SOF1819'!D$55&lt;=0,0,'Report-M&amp;O1819'!C$18-'Report-SOF1819'!D$55)</f>
        <v>#DIV/0!</v>
      </c>
      <c r="K85" s="2452" t="e">
        <f t="shared" si="15"/>
        <v>#DIV/0!</v>
      </c>
      <c r="L85" s="2449">
        <f>IF(A85='Data Entry - SOF'!B$2,'Data Entry - SOF'!G$64,0)</f>
        <v>0</v>
      </c>
      <c r="M85" s="1371">
        <f t="shared" si="16"/>
        <v>14362213</v>
      </c>
      <c r="N85" s="2212" t="e">
        <f>IF('Report-M&amp;O1920'!C$18-'Report-SOF1920'!D$55&lt;=0,0,'Report-M&amp;O1920'!C$18-'Report-SOF1920'!D$55)</f>
        <v>#DIV/0!</v>
      </c>
      <c r="O85" s="2452" t="e">
        <f t="shared" si="17"/>
        <v>#DIV/0!</v>
      </c>
      <c r="P85" s="2449">
        <f>IF(A85='Data Entry - SOF'!B$2,'Data Entry - SOF'!I$64,0)</f>
        <v>0</v>
      </c>
      <c r="Q85" s="1687">
        <f t="shared" si="18"/>
        <v>14362213</v>
      </c>
      <c r="R85" s="2212" t="e">
        <f>IF('Report-M&amp;O2021'!C$18-'Report-SOF2021'!D$55&lt;=0,0,'Report-M&amp;O2021'!C$18-'Report-SOF2021'!D$55)</f>
        <v>#DIV/0!</v>
      </c>
      <c r="S85" s="2452" t="e">
        <f t="shared" si="19"/>
        <v>#DIV/0!</v>
      </c>
      <c r="T85" s="1708">
        <f>IF(A85='Data Entry - SOF'!B$2,'Data Entry - SOF'!K$64,0)</f>
        <v>0</v>
      </c>
      <c r="U85" s="1687">
        <f t="shared" si="22"/>
        <v>14362213</v>
      </c>
      <c r="V85" s="2212" t="e">
        <f>IF('Report-M&amp;O2122'!C$18-'Report-SOF2122'!D$55&lt;=0,0,'Report-M&amp;O2122'!C$18-'Report-SOF2122'!D$55)</f>
        <v>#DIV/0!</v>
      </c>
      <c r="W85" s="2452" t="e">
        <f t="shared" si="20"/>
        <v>#DIV/0!</v>
      </c>
      <c r="X85" s="1708">
        <f>IF(A85='Data Entry - SOF'!B$2,'Data Entry - SOF'!M$64,0)</f>
        <v>0</v>
      </c>
      <c r="Y85" s="1371" t="e">
        <f t="shared" si="21"/>
        <v>#DIV/0!</v>
      </c>
      <c r="Z85" s="2212" t="e">
        <f>IF('Report-M&amp;O2223'!C$18-'Report-SOF2223'!D$55&lt;=0,0,'Report-M&amp;O2223'!C$18-'Report-SOF2223'!D$55)</f>
        <v>#DIV/0!</v>
      </c>
      <c r="AA85" s="1708">
        <f>IF(A85='Data Entry - SOF'!B$2,'Data Entry - SOF'!O$64,0)</f>
        <v>0</v>
      </c>
    </row>
    <row r="86" spans="1:27" ht="15.75">
      <c r="A86" s="1076" t="s">
        <v>1287</v>
      </c>
      <c r="B86">
        <v>93527</v>
      </c>
      <c r="C86" s="2452" t="e">
        <f>#REF!+#REF!</f>
        <v>#REF!</v>
      </c>
      <c r="D86" s="2449">
        <f>IF(A86='Data Entry - SOF'!B$2,'Data Entry - SOF'!C$64,0)</f>
        <v>0</v>
      </c>
      <c r="E86" s="2450">
        <f t="shared" si="12"/>
        <v>93527</v>
      </c>
      <c r="F86" s="2212" t="e">
        <f>IF('Report-M&amp;O1718'!C$18-'Report-SOF1718'!D$55&lt;=0,0,'Report-M&amp;O1718'!C$18-'Report-SOF1718'!D$55)</f>
        <v>#DIV/0!</v>
      </c>
      <c r="G86" s="2452" t="e">
        <f t="shared" si="13"/>
        <v>#DIV/0!</v>
      </c>
      <c r="H86" s="2449">
        <f>IF(A86='Data Entry - SOF'!B$2,'Data Entry - SOF'!E$64,0)</f>
        <v>0</v>
      </c>
      <c r="I86" s="1687">
        <f t="shared" si="14"/>
        <v>93527</v>
      </c>
      <c r="J86" s="2212" t="e">
        <f>IF('Report-M&amp;O1819'!C$18-'Report-SOF1819'!D$55&lt;=0,0,'Report-M&amp;O1819'!C$18-'Report-SOF1819'!D$55)</f>
        <v>#DIV/0!</v>
      </c>
      <c r="K86" s="2452" t="e">
        <f t="shared" si="15"/>
        <v>#DIV/0!</v>
      </c>
      <c r="L86" s="2449">
        <f>IF(A86='Data Entry - SOF'!B$2,'Data Entry - SOF'!G$64,0)</f>
        <v>0</v>
      </c>
      <c r="M86" s="1371">
        <f t="shared" si="16"/>
        <v>93527</v>
      </c>
      <c r="N86" s="2212" t="e">
        <f>IF('Report-M&amp;O1920'!C$18-'Report-SOF1920'!D$55&lt;=0,0,'Report-M&amp;O1920'!C$18-'Report-SOF1920'!D$55)</f>
        <v>#DIV/0!</v>
      </c>
      <c r="O86" s="2452" t="e">
        <f t="shared" si="17"/>
        <v>#DIV/0!</v>
      </c>
      <c r="P86" s="2449">
        <f>IF(A86='Data Entry - SOF'!B$2,'Data Entry - SOF'!I$64,0)</f>
        <v>0</v>
      </c>
      <c r="Q86" s="1687">
        <f t="shared" si="18"/>
        <v>93527</v>
      </c>
      <c r="R86" s="2212" t="e">
        <f>IF('Report-M&amp;O2021'!C$18-'Report-SOF2021'!D$55&lt;=0,0,'Report-M&amp;O2021'!C$18-'Report-SOF2021'!D$55)</f>
        <v>#DIV/0!</v>
      </c>
      <c r="S86" s="2452" t="e">
        <f t="shared" si="19"/>
        <v>#DIV/0!</v>
      </c>
      <c r="T86" s="1708">
        <f>IF(A86='Data Entry - SOF'!B$2,'Data Entry - SOF'!K$64,0)</f>
        <v>0</v>
      </c>
      <c r="U86" s="1687">
        <f t="shared" si="22"/>
        <v>93527</v>
      </c>
      <c r="V86" s="2212" t="e">
        <f>IF('Report-M&amp;O2122'!C$18-'Report-SOF2122'!D$55&lt;=0,0,'Report-M&amp;O2122'!C$18-'Report-SOF2122'!D$55)</f>
        <v>#DIV/0!</v>
      </c>
      <c r="W86" s="2452" t="e">
        <f t="shared" si="20"/>
        <v>#DIV/0!</v>
      </c>
      <c r="X86" s="1708">
        <f>IF(A86='Data Entry - SOF'!B$2,'Data Entry - SOF'!M$64,0)</f>
        <v>0</v>
      </c>
      <c r="Y86" s="1371" t="e">
        <f t="shared" si="21"/>
        <v>#DIV/0!</v>
      </c>
      <c r="Z86" s="2212" t="e">
        <f>IF('Report-M&amp;O2223'!C$18-'Report-SOF2223'!D$55&lt;=0,0,'Report-M&amp;O2223'!C$18-'Report-SOF2223'!D$55)</f>
        <v>#DIV/0!</v>
      </c>
      <c r="AA86" s="1708">
        <f>IF(A86='Data Entry - SOF'!B$2,'Data Entry - SOF'!O$64,0)</f>
        <v>0</v>
      </c>
    </row>
    <row r="87" spans="1:27" ht="15.75">
      <c r="A87" s="1076" t="s">
        <v>954</v>
      </c>
      <c r="B87">
        <v>270251</v>
      </c>
      <c r="C87" s="2452" t="e">
        <f>#REF!+#REF!</f>
        <v>#REF!</v>
      </c>
      <c r="D87" s="2449">
        <f>IF(A87='Data Entry - SOF'!B$2,'Data Entry - SOF'!C$64,0)</f>
        <v>0</v>
      </c>
      <c r="E87" s="2450">
        <f t="shared" si="12"/>
        <v>270251</v>
      </c>
      <c r="F87" s="2212" t="e">
        <f>IF('Report-M&amp;O1718'!C$18-'Report-SOF1718'!D$55&lt;=0,0,'Report-M&amp;O1718'!C$18-'Report-SOF1718'!D$55)</f>
        <v>#DIV/0!</v>
      </c>
      <c r="G87" s="2452" t="e">
        <f t="shared" si="13"/>
        <v>#DIV/0!</v>
      </c>
      <c r="H87" s="2449">
        <f>IF(A87='Data Entry - SOF'!B$2,'Data Entry - SOF'!E$64,0)</f>
        <v>0</v>
      </c>
      <c r="I87" s="1687">
        <f t="shared" si="14"/>
        <v>270251</v>
      </c>
      <c r="J87" s="2212" t="e">
        <f>IF('Report-M&amp;O1819'!C$18-'Report-SOF1819'!D$55&lt;=0,0,'Report-M&amp;O1819'!C$18-'Report-SOF1819'!D$55)</f>
        <v>#DIV/0!</v>
      </c>
      <c r="K87" s="2452" t="e">
        <f t="shared" si="15"/>
        <v>#DIV/0!</v>
      </c>
      <c r="L87" s="2449">
        <f>IF(A87='Data Entry - SOF'!B$2,'Data Entry - SOF'!G$64,0)</f>
        <v>0</v>
      </c>
      <c r="M87" s="1371">
        <f t="shared" si="16"/>
        <v>270251</v>
      </c>
      <c r="N87" s="2212" t="e">
        <f>IF('Report-M&amp;O1920'!C$18-'Report-SOF1920'!D$55&lt;=0,0,'Report-M&amp;O1920'!C$18-'Report-SOF1920'!D$55)</f>
        <v>#DIV/0!</v>
      </c>
      <c r="O87" s="2452" t="e">
        <f t="shared" si="17"/>
        <v>#DIV/0!</v>
      </c>
      <c r="P87" s="2449">
        <f>IF(A87='Data Entry - SOF'!B$2,'Data Entry - SOF'!I$64,0)</f>
        <v>0</v>
      </c>
      <c r="Q87" s="1687">
        <f t="shared" si="18"/>
        <v>270251</v>
      </c>
      <c r="R87" s="2212" t="e">
        <f>IF('Report-M&amp;O2021'!C$18-'Report-SOF2021'!D$55&lt;=0,0,'Report-M&amp;O2021'!C$18-'Report-SOF2021'!D$55)</f>
        <v>#DIV/0!</v>
      </c>
      <c r="S87" s="2452" t="e">
        <f t="shared" si="19"/>
        <v>#DIV/0!</v>
      </c>
      <c r="T87" s="1708">
        <f>IF(A87='Data Entry - SOF'!B$2,'Data Entry - SOF'!K$64,0)</f>
        <v>0</v>
      </c>
      <c r="U87" s="1687">
        <f t="shared" si="22"/>
        <v>270251</v>
      </c>
      <c r="V87" s="2212" t="e">
        <f>IF('Report-M&amp;O2122'!C$18-'Report-SOF2122'!D$55&lt;=0,0,'Report-M&amp;O2122'!C$18-'Report-SOF2122'!D$55)</f>
        <v>#DIV/0!</v>
      </c>
      <c r="W87" s="2452" t="e">
        <f t="shared" si="20"/>
        <v>#DIV/0!</v>
      </c>
      <c r="X87" s="1708">
        <f>IF(A87='Data Entry - SOF'!B$2,'Data Entry - SOF'!M$64,0)</f>
        <v>0</v>
      </c>
      <c r="Y87" s="1371" t="e">
        <f t="shared" si="21"/>
        <v>#DIV/0!</v>
      </c>
      <c r="Z87" s="2212" t="e">
        <f>IF('Report-M&amp;O2223'!C$18-'Report-SOF2223'!D$55&lt;=0,0,'Report-M&amp;O2223'!C$18-'Report-SOF2223'!D$55)</f>
        <v>#DIV/0!</v>
      </c>
      <c r="AA87" s="1708">
        <f>IF(A87='Data Entry - SOF'!B$2,'Data Entry - SOF'!O$64,0)</f>
        <v>0</v>
      </c>
    </row>
    <row r="88" spans="1:27" ht="15.75">
      <c r="A88" s="1076" t="s">
        <v>207</v>
      </c>
      <c r="B88">
        <v>109214527</v>
      </c>
      <c r="C88" s="2452" t="e">
        <f>#REF!+#REF!</f>
        <v>#REF!</v>
      </c>
      <c r="D88" s="2449">
        <f>IF(A88='Data Entry - SOF'!B$2,'Data Entry - SOF'!C$64,0)</f>
        <v>0</v>
      </c>
      <c r="E88" s="2450">
        <f t="shared" si="12"/>
        <v>109214527</v>
      </c>
      <c r="F88" s="2212" t="e">
        <f>IF('Report-M&amp;O1718'!C$18-'Report-SOF1718'!D$55&lt;=0,0,'Report-M&amp;O1718'!C$18-'Report-SOF1718'!D$55)</f>
        <v>#DIV/0!</v>
      </c>
      <c r="G88" s="2452" t="e">
        <f t="shared" si="13"/>
        <v>#DIV/0!</v>
      </c>
      <c r="H88" s="2449">
        <f>IF(A88='Data Entry - SOF'!B$2,'Data Entry - SOF'!E$64,0)</f>
        <v>0</v>
      </c>
      <c r="I88" s="1687">
        <f t="shared" si="14"/>
        <v>109214527</v>
      </c>
      <c r="J88" s="2212" t="e">
        <f>IF('Report-M&amp;O1819'!C$18-'Report-SOF1819'!D$55&lt;=0,0,'Report-M&amp;O1819'!C$18-'Report-SOF1819'!D$55)</f>
        <v>#DIV/0!</v>
      </c>
      <c r="K88" s="2452" t="e">
        <f t="shared" si="15"/>
        <v>#DIV/0!</v>
      </c>
      <c r="L88" s="2449">
        <f>IF(A88='Data Entry - SOF'!B$2,'Data Entry - SOF'!G$64,0)</f>
        <v>0</v>
      </c>
      <c r="M88" s="1371">
        <f t="shared" si="16"/>
        <v>109214527</v>
      </c>
      <c r="N88" s="2212" t="e">
        <f>IF('Report-M&amp;O1920'!C$18-'Report-SOF1920'!D$55&lt;=0,0,'Report-M&amp;O1920'!C$18-'Report-SOF1920'!D$55)</f>
        <v>#DIV/0!</v>
      </c>
      <c r="O88" s="2452" t="e">
        <f t="shared" si="17"/>
        <v>#DIV/0!</v>
      </c>
      <c r="P88" s="2449">
        <f>IF(A88='Data Entry - SOF'!B$2,'Data Entry - SOF'!I$64,0)</f>
        <v>0</v>
      </c>
      <c r="Q88" s="1687">
        <f t="shared" si="18"/>
        <v>109214527</v>
      </c>
      <c r="R88" s="2212" t="e">
        <f>IF('Report-M&amp;O2021'!C$18-'Report-SOF2021'!D$55&lt;=0,0,'Report-M&amp;O2021'!C$18-'Report-SOF2021'!D$55)</f>
        <v>#DIV/0!</v>
      </c>
      <c r="S88" s="2452" t="e">
        <f t="shared" si="19"/>
        <v>#DIV/0!</v>
      </c>
      <c r="T88" s="1708">
        <f>IF(A88='Data Entry - SOF'!B$2,'Data Entry - SOF'!K$64,0)</f>
        <v>0</v>
      </c>
      <c r="U88" s="1687">
        <f t="shared" si="22"/>
        <v>109214527</v>
      </c>
      <c r="V88" s="2212" t="e">
        <f>IF('Report-M&amp;O2122'!C$18-'Report-SOF2122'!D$55&lt;=0,0,'Report-M&amp;O2122'!C$18-'Report-SOF2122'!D$55)</f>
        <v>#DIV/0!</v>
      </c>
      <c r="W88" s="2452" t="e">
        <f t="shared" si="20"/>
        <v>#DIV/0!</v>
      </c>
      <c r="X88" s="1708">
        <f>IF(A88='Data Entry - SOF'!B$2,'Data Entry - SOF'!M$64,0)</f>
        <v>0</v>
      </c>
      <c r="Y88" s="1371" t="e">
        <f t="shared" si="21"/>
        <v>#DIV/0!</v>
      </c>
      <c r="Z88" s="2212" t="e">
        <f>IF('Report-M&amp;O2223'!C$18-'Report-SOF2223'!D$55&lt;=0,0,'Report-M&amp;O2223'!C$18-'Report-SOF2223'!D$55)</f>
        <v>#DIV/0!</v>
      </c>
      <c r="AA88" s="1708">
        <f>IF(A88='Data Entry - SOF'!B$2,'Data Entry - SOF'!O$64,0)</f>
        <v>0</v>
      </c>
    </row>
    <row r="89" spans="1:27" ht="15.75">
      <c r="A89" s="1076" t="s">
        <v>1035</v>
      </c>
      <c r="B89">
        <v>42540247</v>
      </c>
      <c r="C89" s="2452" t="e">
        <f>#REF!+#REF!</f>
        <v>#REF!</v>
      </c>
      <c r="D89" s="2449">
        <f>IF(A89='Data Entry - SOF'!B$2,'Data Entry - SOF'!C$64,0)</f>
        <v>0</v>
      </c>
      <c r="E89" s="2450">
        <f t="shared" si="12"/>
        <v>42540247</v>
      </c>
      <c r="F89" s="2212" t="e">
        <f>IF('Report-M&amp;O1718'!C$18-'Report-SOF1718'!D$55&lt;=0,0,'Report-M&amp;O1718'!C$18-'Report-SOF1718'!D$55)</f>
        <v>#DIV/0!</v>
      </c>
      <c r="G89" s="2452" t="e">
        <f t="shared" si="13"/>
        <v>#DIV/0!</v>
      </c>
      <c r="H89" s="2449">
        <f>IF(A89='Data Entry - SOF'!B$2,'Data Entry - SOF'!E$64,0)</f>
        <v>0</v>
      </c>
      <c r="I89" s="1687">
        <f t="shared" si="14"/>
        <v>42540247</v>
      </c>
      <c r="J89" s="2212" t="e">
        <f>IF('Report-M&amp;O1819'!C$18-'Report-SOF1819'!D$55&lt;=0,0,'Report-M&amp;O1819'!C$18-'Report-SOF1819'!D$55)</f>
        <v>#DIV/0!</v>
      </c>
      <c r="K89" s="2452" t="e">
        <f t="shared" si="15"/>
        <v>#DIV/0!</v>
      </c>
      <c r="L89" s="2449">
        <f>IF(A89='Data Entry - SOF'!B$2,'Data Entry - SOF'!G$64,0)</f>
        <v>0</v>
      </c>
      <c r="M89" s="1371">
        <f t="shared" si="16"/>
        <v>42540247</v>
      </c>
      <c r="N89" s="2212" t="e">
        <f>IF('Report-M&amp;O1920'!C$18-'Report-SOF1920'!D$55&lt;=0,0,'Report-M&amp;O1920'!C$18-'Report-SOF1920'!D$55)</f>
        <v>#DIV/0!</v>
      </c>
      <c r="O89" s="2452" t="e">
        <f t="shared" si="17"/>
        <v>#DIV/0!</v>
      </c>
      <c r="P89" s="2449">
        <f>IF(A89='Data Entry - SOF'!B$2,'Data Entry - SOF'!I$64,0)</f>
        <v>0</v>
      </c>
      <c r="Q89" s="1687">
        <f t="shared" si="18"/>
        <v>42540247</v>
      </c>
      <c r="R89" s="2212" t="e">
        <f>IF('Report-M&amp;O2021'!C$18-'Report-SOF2021'!D$55&lt;=0,0,'Report-M&amp;O2021'!C$18-'Report-SOF2021'!D$55)</f>
        <v>#DIV/0!</v>
      </c>
      <c r="S89" s="2452" t="e">
        <f t="shared" si="19"/>
        <v>#DIV/0!</v>
      </c>
      <c r="T89" s="1708">
        <f>IF(A89='Data Entry - SOF'!B$2,'Data Entry - SOF'!K$64,0)</f>
        <v>0</v>
      </c>
      <c r="U89" s="1687">
        <f t="shared" si="22"/>
        <v>42540247</v>
      </c>
      <c r="V89" s="2212" t="e">
        <f>IF('Report-M&amp;O2122'!C$18-'Report-SOF2122'!D$55&lt;=0,0,'Report-M&amp;O2122'!C$18-'Report-SOF2122'!D$55)</f>
        <v>#DIV/0!</v>
      </c>
      <c r="W89" s="2452" t="e">
        <f t="shared" si="20"/>
        <v>#DIV/0!</v>
      </c>
      <c r="X89" s="1708">
        <f>IF(A89='Data Entry - SOF'!B$2,'Data Entry - SOF'!M$64,0)</f>
        <v>0</v>
      </c>
      <c r="Y89" s="1371" t="e">
        <f t="shared" si="21"/>
        <v>#DIV/0!</v>
      </c>
      <c r="Z89" s="2212" t="e">
        <f>IF('Report-M&amp;O2223'!C$18-'Report-SOF2223'!D$55&lt;=0,0,'Report-M&amp;O2223'!C$18-'Report-SOF2223'!D$55)</f>
        <v>#DIV/0!</v>
      </c>
      <c r="AA89" s="1708">
        <f>IF(A89='Data Entry - SOF'!B$2,'Data Entry - SOF'!O$64,0)</f>
        <v>0</v>
      </c>
    </row>
    <row r="90" spans="1:27" ht="15.75">
      <c r="A90" s="1076" t="s">
        <v>809</v>
      </c>
      <c r="B90">
        <v>1228035</v>
      </c>
      <c r="C90" s="2452" t="e">
        <f>#REF!+#REF!</f>
        <v>#REF!</v>
      </c>
      <c r="D90" s="2449">
        <f>IF(A90='Data Entry - SOF'!B$2,'Data Entry - SOF'!C$64,0)</f>
        <v>0</v>
      </c>
      <c r="E90" s="2450">
        <f t="shared" si="12"/>
        <v>1228035</v>
      </c>
      <c r="F90" s="2212" t="e">
        <f>IF('Report-M&amp;O1718'!C$18-'Report-SOF1718'!D$55&lt;=0,0,'Report-M&amp;O1718'!C$18-'Report-SOF1718'!D$55)</f>
        <v>#DIV/0!</v>
      </c>
      <c r="G90" s="2452" t="e">
        <f t="shared" si="13"/>
        <v>#DIV/0!</v>
      </c>
      <c r="H90" s="2449">
        <f>IF(A90='Data Entry - SOF'!B$2,'Data Entry - SOF'!E$64,0)</f>
        <v>0</v>
      </c>
      <c r="I90" s="1687">
        <f t="shared" si="14"/>
        <v>1228035</v>
      </c>
      <c r="J90" s="2212" t="e">
        <f>IF('Report-M&amp;O1819'!C$18-'Report-SOF1819'!D$55&lt;=0,0,'Report-M&amp;O1819'!C$18-'Report-SOF1819'!D$55)</f>
        <v>#DIV/0!</v>
      </c>
      <c r="K90" s="2452" t="e">
        <f t="shared" si="15"/>
        <v>#DIV/0!</v>
      </c>
      <c r="L90" s="2449">
        <f>IF(A90='Data Entry - SOF'!B$2,'Data Entry - SOF'!G$64,0)</f>
        <v>0</v>
      </c>
      <c r="M90" s="1371">
        <f t="shared" si="16"/>
        <v>1228035</v>
      </c>
      <c r="N90" s="2212" t="e">
        <f>IF('Report-M&amp;O1920'!C$18-'Report-SOF1920'!D$55&lt;=0,0,'Report-M&amp;O1920'!C$18-'Report-SOF1920'!D$55)</f>
        <v>#DIV/0!</v>
      </c>
      <c r="O90" s="2452" t="e">
        <f t="shared" si="17"/>
        <v>#DIV/0!</v>
      </c>
      <c r="P90" s="2449">
        <f>IF(A90='Data Entry - SOF'!B$2,'Data Entry - SOF'!I$64,0)</f>
        <v>0</v>
      </c>
      <c r="Q90" s="1687">
        <f t="shared" si="18"/>
        <v>1228035</v>
      </c>
      <c r="R90" s="2212" t="e">
        <f>IF('Report-M&amp;O2021'!C$18-'Report-SOF2021'!D$55&lt;=0,0,'Report-M&amp;O2021'!C$18-'Report-SOF2021'!D$55)</f>
        <v>#DIV/0!</v>
      </c>
      <c r="S90" s="2452" t="e">
        <f t="shared" si="19"/>
        <v>#DIV/0!</v>
      </c>
      <c r="T90" s="1708">
        <f>IF(A90='Data Entry - SOF'!B$2,'Data Entry - SOF'!K$64,0)</f>
        <v>0</v>
      </c>
      <c r="U90" s="1687">
        <f t="shared" si="22"/>
        <v>1228035</v>
      </c>
      <c r="V90" s="2212" t="e">
        <f>IF('Report-M&amp;O2122'!C$18-'Report-SOF2122'!D$55&lt;=0,0,'Report-M&amp;O2122'!C$18-'Report-SOF2122'!D$55)</f>
        <v>#DIV/0!</v>
      </c>
      <c r="W90" s="2452" t="e">
        <f t="shared" si="20"/>
        <v>#DIV/0!</v>
      </c>
      <c r="X90" s="1708">
        <f>IF(A90='Data Entry - SOF'!B$2,'Data Entry - SOF'!M$64,0)</f>
        <v>0</v>
      </c>
      <c r="Y90" s="1371" t="e">
        <f t="shared" si="21"/>
        <v>#DIV/0!</v>
      </c>
      <c r="Z90" s="2212" t="e">
        <f>IF('Report-M&amp;O2223'!C$18-'Report-SOF2223'!D$55&lt;=0,0,'Report-M&amp;O2223'!C$18-'Report-SOF2223'!D$55)</f>
        <v>#DIV/0!</v>
      </c>
      <c r="AA90" s="1708">
        <f>IF(A90='Data Entry - SOF'!B$2,'Data Entry - SOF'!O$64,0)</f>
        <v>0</v>
      </c>
    </row>
    <row r="91" spans="1:27" ht="15.75">
      <c r="A91" s="1076" t="s">
        <v>1321</v>
      </c>
      <c r="B91">
        <v>80400171.197067097</v>
      </c>
      <c r="C91" s="2452" t="e">
        <f>#REF!+#REF!</f>
        <v>#REF!</v>
      </c>
      <c r="D91" s="2449">
        <f>IF(A91='Data Entry - SOF'!B$2,'Data Entry - SOF'!C$64,0)</f>
        <v>0</v>
      </c>
      <c r="E91" s="2450">
        <f t="shared" si="12"/>
        <v>80400171.197067097</v>
      </c>
      <c r="F91" s="2212" t="e">
        <f>IF('Report-M&amp;O1718'!C$18-'Report-SOF1718'!D$55&lt;=0,0,'Report-M&amp;O1718'!C$18-'Report-SOF1718'!D$55)</f>
        <v>#DIV/0!</v>
      </c>
      <c r="G91" s="2452" t="e">
        <f t="shared" si="13"/>
        <v>#DIV/0!</v>
      </c>
      <c r="H91" s="2449">
        <f>IF(A91='Data Entry - SOF'!B$2,'Data Entry - SOF'!E$64,0)</f>
        <v>0</v>
      </c>
      <c r="I91" s="1687">
        <f t="shared" si="14"/>
        <v>80400171.197067097</v>
      </c>
      <c r="J91" s="2212" t="e">
        <f>IF('Report-M&amp;O1819'!C$18-'Report-SOF1819'!D$55&lt;=0,0,'Report-M&amp;O1819'!C$18-'Report-SOF1819'!D$55)</f>
        <v>#DIV/0!</v>
      </c>
      <c r="K91" s="2452" t="e">
        <f t="shared" si="15"/>
        <v>#DIV/0!</v>
      </c>
      <c r="L91" s="2449">
        <f>IF(A91='Data Entry - SOF'!B$2,'Data Entry - SOF'!G$64,0)</f>
        <v>0</v>
      </c>
      <c r="M91" s="1371">
        <f t="shared" si="16"/>
        <v>80400171.197067097</v>
      </c>
      <c r="N91" s="2212" t="e">
        <f>IF('Report-M&amp;O1920'!C$18-'Report-SOF1920'!D$55&lt;=0,0,'Report-M&amp;O1920'!C$18-'Report-SOF1920'!D$55)</f>
        <v>#DIV/0!</v>
      </c>
      <c r="O91" s="2452" t="e">
        <f t="shared" si="17"/>
        <v>#DIV/0!</v>
      </c>
      <c r="P91" s="2449">
        <f>IF(A91='Data Entry - SOF'!B$2,'Data Entry - SOF'!I$64,0)</f>
        <v>0</v>
      </c>
      <c r="Q91" s="1687">
        <f t="shared" si="18"/>
        <v>80400171.197067097</v>
      </c>
      <c r="R91" s="2212" t="e">
        <f>IF('Report-M&amp;O2021'!C$18-'Report-SOF2021'!D$55&lt;=0,0,'Report-M&amp;O2021'!C$18-'Report-SOF2021'!D$55)</f>
        <v>#DIV/0!</v>
      </c>
      <c r="S91" s="2452" t="e">
        <f t="shared" si="19"/>
        <v>#DIV/0!</v>
      </c>
      <c r="T91" s="1708">
        <f>IF(A91='Data Entry - SOF'!B$2,'Data Entry - SOF'!K$64,0)</f>
        <v>0</v>
      </c>
      <c r="U91" s="1687">
        <f t="shared" si="22"/>
        <v>80400171.197067097</v>
      </c>
      <c r="V91" s="2212" t="e">
        <f>IF('Report-M&amp;O2122'!C$18-'Report-SOF2122'!D$55&lt;=0,0,'Report-M&amp;O2122'!C$18-'Report-SOF2122'!D$55)</f>
        <v>#DIV/0!</v>
      </c>
      <c r="W91" s="2452" t="e">
        <f t="shared" si="20"/>
        <v>#DIV/0!</v>
      </c>
      <c r="X91" s="1708">
        <f>IF(A91='Data Entry - SOF'!B$2,'Data Entry - SOF'!M$64,0)</f>
        <v>0</v>
      </c>
      <c r="Y91" s="1371" t="e">
        <f t="shared" si="21"/>
        <v>#DIV/0!</v>
      </c>
      <c r="Z91" s="2212" t="e">
        <f>IF('Report-M&amp;O2223'!C$18-'Report-SOF2223'!D$55&lt;=0,0,'Report-M&amp;O2223'!C$18-'Report-SOF2223'!D$55)</f>
        <v>#DIV/0!</v>
      </c>
      <c r="AA91" s="1708">
        <f>IF(A91='Data Entry - SOF'!B$2,'Data Entry - SOF'!O$64,0)</f>
        <v>0</v>
      </c>
    </row>
    <row r="92" spans="1:27" ht="15.75">
      <c r="A92" s="1076" t="s">
        <v>1322</v>
      </c>
      <c r="B92">
        <v>23027430.924231801</v>
      </c>
      <c r="C92" s="2452" t="e">
        <f>#REF!+#REF!</f>
        <v>#REF!</v>
      </c>
      <c r="D92" s="2449">
        <f>IF(A92='Data Entry - SOF'!B$2,'Data Entry - SOF'!C$64,0)</f>
        <v>0</v>
      </c>
      <c r="E92" s="2450">
        <f t="shared" si="12"/>
        <v>23027430.924231801</v>
      </c>
      <c r="F92" s="2212" t="e">
        <f>IF('Report-M&amp;O1718'!C$18-'Report-SOF1718'!D$55&lt;=0,0,'Report-M&amp;O1718'!C$18-'Report-SOF1718'!D$55)</f>
        <v>#DIV/0!</v>
      </c>
      <c r="G92" s="2452" t="e">
        <f t="shared" si="13"/>
        <v>#DIV/0!</v>
      </c>
      <c r="H92" s="2449">
        <f>IF(A92='Data Entry - SOF'!B$2,'Data Entry - SOF'!E$64,0)</f>
        <v>0</v>
      </c>
      <c r="I92" s="1687">
        <f t="shared" si="14"/>
        <v>23027430.924231801</v>
      </c>
      <c r="J92" s="2212" t="e">
        <f>IF('Report-M&amp;O1819'!C$18-'Report-SOF1819'!D$55&lt;=0,0,'Report-M&amp;O1819'!C$18-'Report-SOF1819'!D$55)</f>
        <v>#DIV/0!</v>
      </c>
      <c r="K92" s="2452" t="e">
        <f t="shared" si="15"/>
        <v>#DIV/0!</v>
      </c>
      <c r="L92" s="2449">
        <f>IF(A92='Data Entry - SOF'!B$2,'Data Entry - SOF'!G$64,0)</f>
        <v>0</v>
      </c>
      <c r="M92" s="1371">
        <f t="shared" si="16"/>
        <v>23027430.924231801</v>
      </c>
      <c r="N92" s="2212" t="e">
        <f>IF('Report-M&amp;O1920'!C$18-'Report-SOF1920'!D$55&lt;=0,0,'Report-M&amp;O1920'!C$18-'Report-SOF1920'!D$55)</f>
        <v>#DIV/0!</v>
      </c>
      <c r="O92" s="2452" t="e">
        <f t="shared" si="17"/>
        <v>#DIV/0!</v>
      </c>
      <c r="P92" s="2449">
        <f>IF(A92='Data Entry - SOF'!B$2,'Data Entry - SOF'!I$64,0)</f>
        <v>0</v>
      </c>
      <c r="Q92" s="1687">
        <f t="shared" si="18"/>
        <v>23027430.924231801</v>
      </c>
      <c r="R92" s="2212" t="e">
        <f>IF('Report-M&amp;O2021'!C$18-'Report-SOF2021'!D$55&lt;=0,0,'Report-M&amp;O2021'!C$18-'Report-SOF2021'!D$55)</f>
        <v>#DIV/0!</v>
      </c>
      <c r="S92" s="2452" t="e">
        <f t="shared" si="19"/>
        <v>#DIV/0!</v>
      </c>
      <c r="T92" s="1708">
        <f>IF(A92='Data Entry - SOF'!B$2,'Data Entry - SOF'!K$64,0)</f>
        <v>0</v>
      </c>
      <c r="U92" s="1687">
        <f t="shared" si="22"/>
        <v>23027430.924231801</v>
      </c>
      <c r="V92" s="2212" t="e">
        <f>IF('Report-M&amp;O2122'!C$18-'Report-SOF2122'!D$55&lt;=0,0,'Report-M&amp;O2122'!C$18-'Report-SOF2122'!D$55)</f>
        <v>#DIV/0!</v>
      </c>
      <c r="W92" s="2452" t="e">
        <f t="shared" si="20"/>
        <v>#DIV/0!</v>
      </c>
      <c r="X92" s="1708">
        <f>IF(A92='Data Entry - SOF'!B$2,'Data Entry - SOF'!M$64,0)</f>
        <v>0</v>
      </c>
      <c r="Y92" s="1371" t="e">
        <f t="shared" si="21"/>
        <v>#DIV/0!</v>
      </c>
      <c r="Z92" s="2212" t="e">
        <f>IF('Report-M&amp;O2223'!C$18-'Report-SOF2223'!D$55&lt;=0,0,'Report-M&amp;O2223'!C$18-'Report-SOF2223'!D$55)</f>
        <v>#DIV/0!</v>
      </c>
      <c r="AA92" s="1708">
        <f>IF(A92='Data Entry - SOF'!B$2,'Data Entry - SOF'!O$64,0)</f>
        <v>0</v>
      </c>
    </row>
    <row r="93" spans="1:27" ht="15.75">
      <c r="A93" s="1076" t="s">
        <v>1616</v>
      </c>
      <c r="B93">
        <v>10495162</v>
      </c>
      <c r="C93" s="2452" t="e">
        <f>#REF!+#REF!</f>
        <v>#REF!</v>
      </c>
      <c r="D93" s="2449">
        <f>IF(A93='Data Entry - SOF'!B$2,'Data Entry - SOF'!C$64,0)</f>
        <v>0</v>
      </c>
      <c r="E93" s="2450">
        <f t="shared" si="12"/>
        <v>10495162</v>
      </c>
      <c r="F93" s="2212" t="e">
        <f>IF('Report-M&amp;O1718'!C$18-'Report-SOF1718'!D$55&lt;=0,0,'Report-M&amp;O1718'!C$18-'Report-SOF1718'!D$55)</f>
        <v>#DIV/0!</v>
      </c>
      <c r="G93" s="2452" t="e">
        <f t="shared" si="13"/>
        <v>#DIV/0!</v>
      </c>
      <c r="H93" s="2449">
        <f>IF(A93='Data Entry - SOF'!B$2,'Data Entry - SOF'!E$64,0)</f>
        <v>0</v>
      </c>
      <c r="I93" s="1687">
        <f t="shared" si="14"/>
        <v>10495162</v>
      </c>
      <c r="J93" s="2212" t="e">
        <f>IF('Report-M&amp;O1819'!C$18-'Report-SOF1819'!D$55&lt;=0,0,'Report-M&amp;O1819'!C$18-'Report-SOF1819'!D$55)</f>
        <v>#DIV/0!</v>
      </c>
      <c r="K93" s="2452" t="e">
        <f t="shared" si="15"/>
        <v>#DIV/0!</v>
      </c>
      <c r="L93" s="2449">
        <f>IF(A93='Data Entry - SOF'!B$2,'Data Entry - SOF'!G$64,0)</f>
        <v>0</v>
      </c>
      <c r="M93" s="1371">
        <f t="shared" si="16"/>
        <v>10495162</v>
      </c>
      <c r="N93" s="2212" t="e">
        <f>IF('Report-M&amp;O1920'!C$18-'Report-SOF1920'!D$55&lt;=0,0,'Report-M&amp;O1920'!C$18-'Report-SOF1920'!D$55)</f>
        <v>#DIV/0!</v>
      </c>
      <c r="O93" s="2452" t="e">
        <f t="shared" si="17"/>
        <v>#DIV/0!</v>
      </c>
      <c r="P93" s="2449">
        <f>IF(A93='Data Entry - SOF'!B$2,'Data Entry - SOF'!I$64,0)</f>
        <v>0</v>
      </c>
      <c r="Q93" s="1687">
        <f t="shared" si="18"/>
        <v>10495162</v>
      </c>
      <c r="R93" s="2212" t="e">
        <f>IF('Report-M&amp;O2021'!C$18-'Report-SOF2021'!D$55&lt;=0,0,'Report-M&amp;O2021'!C$18-'Report-SOF2021'!D$55)</f>
        <v>#DIV/0!</v>
      </c>
      <c r="S93" s="2452" t="e">
        <f t="shared" si="19"/>
        <v>#DIV/0!</v>
      </c>
      <c r="T93" s="1708">
        <f>IF(A93='Data Entry - SOF'!B$2,'Data Entry - SOF'!K$64,0)</f>
        <v>0</v>
      </c>
      <c r="U93" s="1687">
        <f t="shared" si="22"/>
        <v>10495162</v>
      </c>
      <c r="V93" s="2212" t="e">
        <f>IF('Report-M&amp;O2122'!C$18-'Report-SOF2122'!D$55&lt;=0,0,'Report-M&amp;O2122'!C$18-'Report-SOF2122'!D$55)</f>
        <v>#DIV/0!</v>
      </c>
      <c r="W93" s="2452" t="e">
        <f t="shared" si="20"/>
        <v>#DIV/0!</v>
      </c>
      <c r="X93" s="1708">
        <f>IF(A93='Data Entry - SOF'!B$2,'Data Entry - SOF'!M$64,0)</f>
        <v>0</v>
      </c>
      <c r="Y93" s="1371" t="e">
        <f t="shared" si="21"/>
        <v>#DIV/0!</v>
      </c>
      <c r="Z93" s="2212" t="e">
        <f>IF('Report-M&amp;O2223'!C$18-'Report-SOF2223'!D$55&lt;=0,0,'Report-M&amp;O2223'!C$18-'Report-SOF2223'!D$55)</f>
        <v>#DIV/0!</v>
      </c>
      <c r="AA93" s="1708">
        <f>IF(A93='Data Entry - SOF'!B$2,'Data Entry - SOF'!O$64,0)</f>
        <v>0</v>
      </c>
    </row>
    <row r="94" spans="1:27" ht="15.75">
      <c r="A94" s="1076" t="s">
        <v>235</v>
      </c>
      <c r="B94">
        <v>119855698</v>
      </c>
      <c r="C94" s="2452" t="e">
        <f>#REF!+#REF!</f>
        <v>#REF!</v>
      </c>
      <c r="D94" s="2449">
        <f>IF(A94='Data Entry - SOF'!B$2,'Data Entry - SOF'!C$64,0)</f>
        <v>0</v>
      </c>
      <c r="E94" s="2450">
        <f t="shared" si="12"/>
        <v>119855698</v>
      </c>
      <c r="F94" s="2212" t="e">
        <f>IF('Report-M&amp;O1718'!C$18-'Report-SOF1718'!D$55&lt;=0,0,'Report-M&amp;O1718'!C$18-'Report-SOF1718'!D$55)</f>
        <v>#DIV/0!</v>
      </c>
      <c r="G94" s="2452" t="e">
        <f t="shared" si="13"/>
        <v>#DIV/0!</v>
      </c>
      <c r="H94" s="2449">
        <f>IF(A94='Data Entry - SOF'!B$2,'Data Entry - SOF'!E$64,0)</f>
        <v>0</v>
      </c>
      <c r="I94" s="1687">
        <f t="shared" si="14"/>
        <v>119855698</v>
      </c>
      <c r="J94" s="2212" t="e">
        <f>IF('Report-M&amp;O1819'!C$18-'Report-SOF1819'!D$55&lt;=0,0,'Report-M&amp;O1819'!C$18-'Report-SOF1819'!D$55)</f>
        <v>#DIV/0!</v>
      </c>
      <c r="K94" s="2452" t="e">
        <f t="shared" si="15"/>
        <v>#DIV/0!</v>
      </c>
      <c r="L94" s="2449">
        <f>IF(A94='Data Entry - SOF'!B$2,'Data Entry - SOF'!G$64,0)</f>
        <v>0</v>
      </c>
      <c r="M94" s="1371">
        <f t="shared" si="16"/>
        <v>119855698</v>
      </c>
      <c r="N94" s="2212" t="e">
        <f>IF('Report-M&amp;O1920'!C$18-'Report-SOF1920'!D$55&lt;=0,0,'Report-M&amp;O1920'!C$18-'Report-SOF1920'!D$55)</f>
        <v>#DIV/0!</v>
      </c>
      <c r="O94" s="2452" t="e">
        <f t="shared" si="17"/>
        <v>#DIV/0!</v>
      </c>
      <c r="P94" s="2449">
        <f>IF(A94='Data Entry - SOF'!B$2,'Data Entry - SOF'!I$64,0)</f>
        <v>0</v>
      </c>
      <c r="Q94" s="1687">
        <f t="shared" si="18"/>
        <v>119855698</v>
      </c>
      <c r="R94" s="2212" t="e">
        <f>IF('Report-M&amp;O2021'!C$18-'Report-SOF2021'!D$55&lt;=0,0,'Report-M&amp;O2021'!C$18-'Report-SOF2021'!D$55)</f>
        <v>#DIV/0!</v>
      </c>
      <c r="S94" s="2452" t="e">
        <f t="shared" si="19"/>
        <v>#DIV/0!</v>
      </c>
      <c r="T94" s="1708">
        <f>IF(A94='Data Entry - SOF'!B$2,'Data Entry - SOF'!K$64,0)</f>
        <v>0</v>
      </c>
      <c r="U94" s="1687">
        <f t="shared" si="22"/>
        <v>119855698</v>
      </c>
      <c r="V94" s="2212" t="e">
        <f>IF('Report-M&amp;O2122'!C$18-'Report-SOF2122'!D$55&lt;=0,0,'Report-M&amp;O2122'!C$18-'Report-SOF2122'!D$55)</f>
        <v>#DIV/0!</v>
      </c>
      <c r="W94" s="2452" t="e">
        <f t="shared" si="20"/>
        <v>#DIV/0!</v>
      </c>
      <c r="X94" s="1708">
        <f>IF(A94='Data Entry - SOF'!B$2,'Data Entry - SOF'!M$64,0)</f>
        <v>0</v>
      </c>
      <c r="Y94" s="1371" t="e">
        <f t="shared" si="21"/>
        <v>#DIV/0!</v>
      </c>
      <c r="Z94" s="2212" t="e">
        <f>IF('Report-M&amp;O2223'!C$18-'Report-SOF2223'!D$55&lt;=0,0,'Report-M&amp;O2223'!C$18-'Report-SOF2223'!D$55)</f>
        <v>#DIV/0!</v>
      </c>
      <c r="AA94" s="1708">
        <f>IF(A94='Data Entry - SOF'!B$2,'Data Entry - SOF'!O$64,0)</f>
        <v>0</v>
      </c>
    </row>
    <row r="95" spans="1:27" ht="15.75">
      <c r="A95" s="1076" t="s">
        <v>1323</v>
      </c>
      <c r="B95">
        <v>308247</v>
      </c>
      <c r="C95" s="2452" t="e">
        <f>#REF!+#REF!</f>
        <v>#REF!</v>
      </c>
      <c r="D95" s="2449">
        <f>IF(A95='Data Entry - SOF'!B$2,'Data Entry - SOF'!C$64,0)</f>
        <v>0</v>
      </c>
      <c r="E95" s="2450">
        <f t="shared" si="12"/>
        <v>308247</v>
      </c>
      <c r="F95" s="2212" t="e">
        <f>IF('Report-M&amp;O1718'!C$18-'Report-SOF1718'!D$55&lt;=0,0,'Report-M&amp;O1718'!C$18-'Report-SOF1718'!D$55)</f>
        <v>#DIV/0!</v>
      </c>
      <c r="G95" s="2452" t="e">
        <f t="shared" si="13"/>
        <v>#DIV/0!</v>
      </c>
      <c r="H95" s="2449">
        <f>IF(A95='Data Entry - SOF'!B$2,'Data Entry - SOF'!E$64,0)</f>
        <v>0</v>
      </c>
      <c r="I95" s="1687">
        <f t="shared" si="14"/>
        <v>308247</v>
      </c>
      <c r="J95" s="2212" t="e">
        <f>IF('Report-M&amp;O1819'!C$18-'Report-SOF1819'!D$55&lt;=0,0,'Report-M&amp;O1819'!C$18-'Report-SOF1819'!D$55)</f>
        <v>#DIV/0!</v>
      </c>
      <c r="K95" s="2452" t="e">
        <f t="shared" si="15"/>
        <v>#DIV/0!</v>
      </c>
      <c r="L95" s="2449">
        <f>IF(A95='Data Entry - SOF'!B$2,'Data Entry - SOF'!G$64,0)</f>
        <v>0</v>
      </c>
      <c r="M95" s="1371">
        <f t="shared" si="16"/>
        <v>308247</v>
      </c>
      <c r="N95" s="2212" t="e">
        <f>IF('Report-M&amp;O1920'!C$18-'Report-SOF1920'!D$55&lt;=0,0,'Report-M&amp;O1920'!C$18-'Report-SOF1920'!D$55)</f>
        <v>#DIV/0!</v>
      </c>
      <c r="O95" s="2452" t="e">
        <f t="shared" si="17"/>
        <v>#DIV/0!</v>
      </c>
      <c r="P95" s="2449">
        <f>IF(A95='Data Entry - SOF'!B$2,'Data Entry - SOF'!I$64,0)</f>
        <v>0</v>
      </c>
      <c r="Q95" s="1687">
        <f t="shared" si="18"/>
        <v>308247</v>
      </c>
      <c r="R95" s="2212" t="e">
        <f>IF('Report-M&amp;O2021'!C$18-'Report-SOF2021'!D$55&lt;=0,0,'Report-M&amp;O2021'!C$18-'Report-SOF2021'!D$55)</f>
        <v>#DIV/0!</v>
      </c>
      <c r="S95" s="2452" t="e">
        <f t="shared" si="19"/>
        <v>#DIV/0!</v>
      </c>
      <c r="T95" s="1708">
        <f>IF(A95='Data Entry - SOF'!B$2,'Data Entry - SOF'!K$64,0)</f>
        <v>0</v>
      </c>
      <c r="U95" s="1687">
        <f t="shared" si="22"/>
        <v>308247</v>
      </c>
      <c r="V95" s="2212" t="e">
        <f>IF('Report-M&amp;O2122'!C$18-'Report-SOF2122'!D$55&lt;=0,0,'Report-M&amp;O2122'!C$18-'Report-SOF2122'!D$55)</f>
        <v>#DIV/0!</v>
      </c>
      <c r="W95" s="2452" t="e">
        <f t="shared" si="20"/>
        <v>#DIV/0!</v>
      </c>
      <c r="X95" s="1708">
        <f>IF(A95='Data Entry - SOF'!B$2,'Data Entry - SOF'!M$64,0)</f>
        <v>0</v>
      </c>
      <c r="Y95" s="1371" t="e">
        <f t="shared" si="21"/>
        <v>#DIV/0!</v>
      </c>
      <c r="Z95" s="2212" t="e">
        <f>IF('Report-M&amp;O2223'!C$18-'Report-SOF2223'!D$55&lt;=0,0,'Report-M&amp;O2223'!C$18-'Report-SOF2223'!D$55)</f>
        <v>#DIV/0!</v>
      </c>
      <c r="AA95" s="1708">
        <f>IF(A95='Data Entry - SOF'!B$2,'Data Entry - SOF'!O$64,0)</f>
        <v>0</v>
      </c>
    </row>
    <row r="96" spans="1:27" ht="15.75">
      <c r="A96" s="1076" t="s">
        <v>631</v>
      </c>
      <c r="B96">
        <v>131423123</v>
      </c>
      <c r="C96" s="2452" t="e">
        <f>#REF!+#REF!</f>
        <v>#REF!</v>
      </c>
      <c r="D96" s="2449">
        <f>IF(A96='Data Entry - SOF'!B$2,'Data Entry - SOF'!C$64,0)</f>
        <v>0</v>
      </c>
      <c r="E96" s="2450">
        <f t="shared" si="12"/>
        <v>131423123</v>
      </c>
      <c r="F96" s="2212" t="e">
        <f>IF('Report-M&amp;O1718'!C$18-'Report-SOF1718'!D$55&lt;=0,0,'Report-M&amp;O1718'!C$18-'Report-SOF1718'!D$55)</f>
        <v>#DIV/0!</v>
      </c>
      <c r="G96" s="2452" t="e">
        <f t="shared" si="13"/>
        <v>#DIV/0!</v>
      </c>
      <c r="H96" s="2449">
        <f>IF(A96='Data Entry - SOF'!B$2,'Data Entry - SOF'!E$64,0)</f>
        <v>0</v>
      </c>
      <c r="I96" s="1687">
        <f t="shared" si="14"/>
        <v>131423123</v>
      </c>
      <c r="J96" s="2212" t="e">
        <f>IF('Report-M&amp;O1819'!C$18-'Report-SOF1819'!D$55&lt;=0,0,'Report-M&amp;O1819'!C$18-'Report-SOF1819'!D$55)</f>
        <v>#DIV/0!</v>
      </c>
      <c r="K96" s="2452" t="e">
        <f t="shared" si="15"/>
        <v>#DIV/0!</v>
      </c>
      <c r="L96" s="2449">
        <f>IF(A96='Data Entry - SOF'!B$2,'Data Entry - SOF'!G$64,0)</f>
        <v>0</v>
      </c>
      <c r="M96" s="1371">
        <f t="shared" si="16"/>
        <v>131423123</v>
      </c>
      <c r="N96" s="2212" t="e">
        <f>IF('Report-M&amp;O1920'!C$18-'Report-SOF1920'!D$55&lt;=0,0,'Report-M&amp;O1920'!C$18-'Report-SOF1920'!D$55)</f>
        <v>#DIV/0!</v>
      </c>
      <c r="O96" s="2452" t="e">
        <f t="shared" si="17"/>
        <v>#DIV/0!</v>
      </c>
      <c r="P96" s="2449">
        <f>IF(A96='Data Entry - SOF'!B$2,'Data Entry - SOF'!I$64,0)</f>
        <v>0</v>
      </c>
      <c r="Q96" s="1687">
        <f t="shared" si="18"/>
        <v>131423123</v>
      </c>
      <c r="R96" s="2212" t="e">
        <f>IF('Report-M&amp;O2021'!C$18-'Report-SOF2021'!D$55&lt;=0,0,'Report-M&amp;O2021'!C$18-'Report-SOF2021'!D$55)</f>
        <v>#DIV/0!</v>
      </c>
      <c r="S96" s="2452" t="e">
        <f t="shared" si="19"/>
        <v>#DIV/0!</v>
      </c>
      <c r="T96" s="1708">
        <f>IF(A96='Data Entry - SOF'!B$2,'Data Entry - SOF'!K$64,0)</f>
        <v>0</v>
      </c>
      <c r="U96" s="1687">
        <f t="shared" si="22"/>
        <v>131423123</v>
      </c>
      <c r="V96" s="2212" t="e">
        <f>IF('Report-M&amp;O2122'!C$18-'Report-SOF2122'!D$55&lt;=0,0,'Report-M&amp;O2122'!C$18-'Report-SOF2122'!D$55)</f>
        <v>#DIV/0!</v>
      </c>
      <c r="W96" s="2452" t="e">
        <f t="shared" si="20"/>
        <v>#DIV/0!</v>
      </c>
      <c r="X96" s="1708">
        <f>IF(A96='Data Entry - SOF'!B$2,'Data Entry - SOF'!M$64,0)</f>
        <v>0</v>
      </c>
      <c r="Y96" s="1371" t="e">
        <f t="shared" si="21"/>
        <v>#DIV/0!</v>
      </c>
      <c r="Z96" s="2212" t="e">
        <f>IF('Report-M&amp;O2223'!C$18-'Report-SOF2223'!D$55&lt;=0,0,'Report-M&amp;O2223'!C$18-'Report-SOF2223'!D$55)</f>
        <v>#DIV/0!</v>
      </c>
      <c r="AA96" s="1708">
        <f>IF(A96='Data Entry - SOF'!B$2,'Data Entry - SOF'!O$64,0)</f>
        <v>0</v>
      </c>
    </row>
    <row r="97" spans="1:27" ht="15.75">
      <c r="A97" s="1076" t="s">
        <v>994</v>
      </c>
      <c r="B97">
        <v>63676532</v>
      </c>
      <c r="C97" s="2452" t="e">
        <f>#REF!+#REF!</f>
        <v>#REF!</v>
      </c>
      <c r="D97" s="2449">
        <f>IF(A97='Data Entry - SOF'!B$2,'Data Entry - SOF'!C$64,0)</f>
        <v>0</v>
      </c>
      <c r="E97" s="2450">
        <f t="shared" si="12"/>
        <v>63676532</v>
      </c>
      <c r="F97" s="2212" t="e">
        <f>IF('Report-M&amp;O1718'!C$18-'Report-SOF1718'!D$55&lt;=0,0,'Report-M&amp;O1718'!C$18-'Report-SOF1718'!D$55)</f>
        <v>#DIV/0!</v>
      </c>
      <c r="G97" s="2452" t="e">
        <f t="shared" si="13"/>
        <v>#DIV/0!</v>
      </c>
      <c r="H97" s="2449">
        <f>IF(A97='Data Entry - SOF'!B$2,'Data Entry - SOF'!E$64,0)</f>
        <v>0</v>
      </c>
      <c r="I97" s="1687">
        <f t="shared" si="14"/>
        <v>63676532</v>
      </c>
      <c r="J97" s="2212" t="e">
        <f>IF('Report-M&amp;O1819'!C$18-'Report-SOF1819'!D$55&lt;=0,0,'Report-M&amp;O1819'!C$18-'Report-SOF1819'!D$55)</f>
        <v>#DIV/0!</v>
      </c>
      <c r="K97" s="2452" t="e">
        <f t="shared" si="15"/>
        <v>#DIV/0!</v>
      </c>
      <c r="L97" s="2449">
        <f>IF(A97='Data Entry - SOF'!B$2,'Data Entry - SOF'!G$64,0)</f>
        <v>0</v>
      </c>
      <c r="M97" s="1371">
        <f t="shared" si="16"/>
        <v>63676532</v>
      </c>
      <c r="N97" s="2212" t="e">
        <f>IF('Report-M&amp;O1920'!C$18-'Report-SOF1920'!D$55&lt;=0,0,'Report-M&amp;O1920'!C$18-'Report-SOF1920'!D$55)</f>
        <v>#DIV/0!</v>
      </c>
      <c r="O97" s="2452" t="e">
        <f t="shared" si="17"/>
        <v>#DIV/0!</v>
      </c>
      <c r="P97" s="2449">
        <f>IF(A97='Data Entry - SOF'!B$2,'Data Entry - SOF'!I$64,0)</f>
        <v>0</v>
      </c>
      <c r="Q97" s="1687">
        <f t="shared" si="18"/>
        <v>63676532</v>
      </c>
      <c r="R97" s="2212" t="e">
        <f>IF('Report-M&amp;O2021'!C$18-'Report-SOF2021'!D$55&lt;=0,0,'Report-M&amp;O2021'!C$18-'Report-SOF2021'!D$55)</f>
        <v>#DIV/0!</v>
      </c>
      <c r="S97" s="2452" t="e">
        <f t="shared" si="19"/>
        <v>#DIV/0!</v>
      </c>
      <c r="T97" s="1708">
        <f>IF(A97='Data Entry - SOF'!B$2,'Data Entry - SOF'!K$64,0)</f>
        <v>0</v>
      </c>
      <c r="U97" s="1687">
        <f t="shared" si="22"/>
        <v>63676532</v>
      </c>
      <c r="V97" s="2212" t="e">
        <f>IF('Report-M&amp;O2122'!C$18-'Report-SOF2122'!D$55&lt;=0,0,'Report-M&amp;O2122'!C$18-'Report-SOF2122'!D$55)</f>
        <v>#DIV/0!</v>
      </c>
      <c r="W97" s="2452" t="e">
        <f t="shared" si="20"/>
        <v>#DIV/0!</v>
      </c>
      <c r="X97" s="1708">
        <f>IF(A97='Data Entry - SOF'!B$2,'Data Entry - SOF'!M$64,0)</f>
        <v>0</v>
      </c>
      <c r="Y97" s="1371" t="e">
        <f t="shared" si="21"/>
        <v>#DIV/0!</v>
      </c>
      <c r="Z97" s="2212" t="e">
        <f>IF('Report-M&amp;O2223'!C$18-'Report-SOF2223'!D$55&lt;=0,0,'Report-M&amp;O2223'!C$18-'Report-SOF2223'!D$55)</f>
        <v>#DIV/0!</v>
      </c>
      <c r="AA97" s="1708">
        <f>IF(A97='Data Entry - SOF'!B$2,'Data Entry - SOF'!O$64,0)</f>
        <v>0</v>
      </c>
    </row>
    <row r="98" spans="1:27" ht="15.75">
      <c r="A98" s="1076" t="s">
        <v>2918</v>
      </c>
      <c r="B98">
        <v>436960</v>
      </c>
      <c r="C98" s="2452" t="e">
        <f>#REF!+#REF!</f>
        <v>#REF!</v>
      </c>
      <c r="D98" s="2449">
        <f>IF(A98='Data Entry - SOF'!B$2,'Data Entry - SOF'!C$64,0)</f>
        <v>0</v>
      </c>
      <c r="E98" s="2450">
        <f t="shared" si="12"/>
        <v>436960</v>
      </c>
      <c r="F98" s="2212" t="e">
        <f>IF('Report-M&amp;O1718'!C$18-'Report-SOF1718'!D$55&lt;=0,0,'Report-M&amp;O1718'!C$18-'Report-SOF1718'!D$55)</f>
        <v>#DIV/0!</v>
      </c>
      <c r="G98" s="2452" t="e">
        <f t="shared" si="13"/>
        <v>#DIV/0!</v>
      </c>
      <c r="H98" s="2449">
        <f>IF(A98='Data Entry - SOF'!B$2,'Data Entry - SOF'!E$64,0)</f>
        <v>0</v>
      </c>
      <c r="I98" s="1687">
        <f t="shared" si="14"/>
        <v>436960</v>
      </c>
      <c r="J98" s="2212" t="e">
        <f>IF('Report-M&amp;O1819'!C$18-'Report-SOF1819'!D$55&lt;=0,0,'Report-M&amp;O1819'!C$18-'Report-SOF1819'!D$55)</f>
        <v>#DIV/0!</v>
      </c>
      <c r="K98" s="2452" t="e">
        <f t="shared" si="15"/>
        <v>#DIV/0!</v>
      </c>
      <c r="L98" s="2449">
        <f>IF(A98='Data Entry - SOF'!B$2,'Data Entry - SOF'!G$64,0)</f>
        <v>0</v>
      </c>
      <c r="M98" s="1371">
        <f t="shared" si="16"/>
        <v>436960</v>
      </c>
      <c r="N98" s="2212" t="e">
        <f>IF('Report-M&amp;O1920'!C$18-'Report-SOF1920'!D$55&lt;=0,0,'Report-M&amp;O1920'!C$18-'Report-SOF1920'!D$55)</f>
        <v>#DIV/0!</v>
      </c>
      <c r="O98" s="2452" t="e">
        <f t="shared" si="17"/>
        <v>#DIV/0!</v>
      </c>
      <c r="P98" s="2449">
        <f>IF(A98='Data Entry - SOF'!B$2,'Data Entry - SOF'!I$64,0)</f>
        <v>0</v>
      </c>
      <c r="Q98" s="1687">
        <f t="shared" si="18"/>
        <v>436960</v>
      </c>
      <c r="R98" s="2212" t="e">
        <f>IF('Report-M&amp;O2021'!C$18-'Report-SOF2021'!D$55&lt;=0,0,'Report-M&amp;O2021'!C$18-'Report-SOF2021'!D$55)</f>
        <v>#DIV/0!</v>
      </c>
      <c r="S98" s="2452" t="e">
        <f t="shared" si="19"/>
        <v>#DIV/0!</v>
      </c>
      <c r="T98" s="1708">
        <f>IF(A98='Data Entry - SOF'!B$2,'Data Entry - SOF'!K$64,0)</f>
        <v>0</v>
      </c>
      <c r="U98" s="1687">
        <f t="shared" si="22"/>
        <v>436960</v>
      </c>
      <c r="V98" s="2212" t="e">
        <f>IF('Report-M&amp;O2122'!C$18-'Report-SOF2122'!D$55&lt;=0,0,'Report-M&amp;O2122'!C$18-'Report-SOF2122'!D$55)</f>
        <v>#DIV/0!</v>
      </c>
      <c r="W98" s="2452" t="e">
        <f t="shared" si="20"/>
        <v>#DIV/0!</v>
      </c>
      <c r="X98" s="1708">
        <f>IF(A98='Data Entry - SOF'!B$2,'Data Entry - SOF'!M$64,0)</f>
        <v>0</v>
      </c>
      <c r="Y98" s="1371" t="e">
        <f t="shared" si="21"/>
        <v>#DIV/0!</v>
      </c>
      <c r="Z98" s="2212" t="e">
        <f>IF('Report-M&amp;O2223'!C$18-'Report-SOF2223'!D$55&lt;=0,0,'Report-M&amp;O2223'!C$18-'Report-SOF2223'!D$55)</f>
        <v>#DIV/0!</v>
      </c>
      <c r="AA98" s="1708">
        <f>IF(A98='Data Entry - SOF'!B$2,'Data Entry - SOF'!O$64,0)</f>
        <v>0</v>
      </c>
    </row>
    <row r="99" spans="1:27" ht="15.75">
      <c r="A99" s="1076" t="s">
        <v>440</v>
      </c>
      <c r="B99">
        <v>1665275</v>
      </c>
      <c r="C99" s="2452" t="e">
        <f>#REF!+#REF!</f>
        <v>#REF!</v>
      </c>
      <c r="D99" s="2449">
        <f>IF(A99='Data Entry - SOF'!B$2,'Data Entry - SOF'!C$64,0)</f>
        <v>0</v>
      </c>
      <c r="E99" s="2450">
        <f t="shared" si="12"/>
        <v>1665275</v>
      </c>
      <c r="F99" s="2212" t="e">
        <f>IF('Report-M&amp;O1718'!C$18-'Report-SOF1718'!D$55&lt;=0,0,'Report-M&amp;O1718'!C$18-'Report-SOF1718'!D$55)</f>
        <v>#DIV/0!</v>
      </c>
      <c r="G99" s="2452" t="e">
        <f t="shared" si="13"/>
        <v>#DIV/0!</v>
      </c>
      <c r="H99" s="2449">
        <f>IF(A99='Data Entry - SOF'!B$2,'Data Entry - SOF'!E$64,0)</f>
        <v>0</v>
      </c>
      <c r="I99" s="1687">
        <f t="shared" si="14"/>
        <v>1665275</v>
      </c>
      <c r="J99" s="2212" t="e">
        <f>IF('Report-M&amp;O1819'!C$18-'Report-SOF1819'!D$55&lt;=0,0,'Report-M&amp;O1819'!C$18-'Report-SOF1819'!D$55)</f>
        <v>#DIV/0!</v>
      </c>
      <c r="K99" s="2452" t="e">
        <f t="shared" si="15"/>
        <v>#DIV/0!</v>
      </c>
      <c r="L99" s="2449">
        <f>IF(A99='Data Entry - SOF'!B$2,'Data Entry - SOF'!G$64,0)</f>
        <v>0</v>
      </c>
      <c r="M99" s="1371">
        <f t="shared" si="16"/>
        <v>1665275</v>
      </c>
      <c r="N99" s="2212" t="e">
        <f>IF('Report-M&amp;O1920'!C$18-'Report-SOF1920'!D$55&lt;=0,0,'Report-M&amp;O1920'!C$18-'Report-SOF1920'!D$55)</f>
        <v>#DIV/0!</v>
      </c>
      <c r="O99" s="2452" t="e">
        <f t="shared" si="17"/>
        <v>#DIV/0!</v>
      </c>
      <c r="P99" s="2449">
        <f>IF(A99='Data Entry - SOF'!B$2,'Data Entry - SOF'!I$64,0)</f>
        <v>0</v>
      </c>
      <c r="Q99" s="1687">
        <f t="shared" si="18"/>
        <v>1665275</v>
      </c>
      <c r="R99" s="2212" t="e">
        <f>IF('Report-M&amp;O2021'!C$18-'Report-SOF2021'!D$55&lt;=0,0,'Report-M&amp;O2021'!C$18-'Report-SOF2021'!D$55)</f>
        <v>#DIV/0!</v>
      </c>
      <c r="S99" s="2452" t="e">
        <f t="shared" si="19"/>
        <v>#DIV/0!</v>
      </c>
      <c r="T99" s="1708">
        <f>IF(A99='Data Entry - SOF'!B$2,'Data Entry - SOF'!K$64,0)</f>
        <v>0</v>
      </c>
      <c r="U99" s="1687">
        <f t="shared" si="22"/>
        <v>1665275</v>
      </c>
      <c r="V99" s="2212" t="e">
        <f>IF('Report-M&amp;O2122'!C$18-'Report-SOF2122'!D$55&lt;=0,0,'Report-M&amp;O2122'!C$18-'Report-SOF2122'!D$55)</f>
        <v>#DIV/0!</v>
      </c>
      <c r="W99" s="2452" t="e">
        <f t="shared" si="20"/>
        <v>#DIV/0!</v>
      </c>
      <c r="X99" s="1708">
        <f>IF(A99='Data Entry - SOF'!B$2,'Data Entry - SOF'!M$64,0)</f>
        <v>0</v>
      </c>
      <c r="Y99" s="1371" t="e">
        <f t="shared" si="21"/>
        <v>#DIV/0!</v>
      </c>
      <c r="Z99" s="2212" t="e">
        <f>IF('Report-M&amp;O2223'!C$18-'Report-SOF2223'!D$55&lt;=0,0,'Report-M&amp;O2223'!C$18-'Report-SOF2223'!D$55)</f>
        <v>#DIV/0!</v>
      </c>
      <c r="AA99" s="1708">
        <f>IF(A99='Data Entry - SOF'!B$2,'Data Entry - SOF'!O$64,0)</f>
        <v>0</v>
      </c>
    </row>
    <row r="100" spans="1:27" ht="15.75">
      <c r="A100" s="1076" t="s">
        <v>441</v>
      </c>
      <c r="B100">
        <v>543859</v>
      </c>
      <c r="C100" s="2452" t="e">
        <f>#REF!+#REF!</f>
        <v>#REF!</v>
      </c>
      <c r="D100" s="2449">
        <f>IF(A100='Data Entry - SOF'!B$2,'Data Entry - SOF'!C$64,0)</f>
        <v>0</v>
      </c>
      <c r="E100" s="2450">
        <f t="shared" si="12"/>
        <v>543859</v>
      </c>
      <c r="F100" s="2212" t="e">
        <f>IF('Report-M&amp;O1718'!C$18-'Report-SOF1718'!D$55&lt;=0,0,'Report-M&amp;O1718'!C$18-'Report-SOF1718'!D$55)</f>
        <v>#DIV/0!</v>
      </c>
      <c r="G100" s="2452" t="e">
        <f t="shared" si="13"/>
        <v>#DIV/0!</v>
      </c>
      <c r="H100" s="2449">
        <f>IF(A100='Data Entry - SOF'!B$2,'Data Entry - SOF'!E$64,0)</f>
        <v>0</v>
      </c>
      <c r="I100" s="1687">
        <f t="shared" si="14"/>
        <v>543859</v>
      </c>
      <c r="J100" s="2212" t="e">
        <f>IF('Report-M&amp;O1819'!C$18-'Report-SOF1819'!D$55&lt;=0,0,'Report-M&amp;O1819'!C$18-'Report-SOF1819'!D$55)</f>
        <v>#DIV/0!</v>
      </c>
      <c r="K100" s="2452" t="e">
        <f t="shared" si="15"/>
        <v>#DIV/0!</v>
      </c>
      <c r="L100" s="2449">
        <f>IF(A100='Data Entry - SOF'!B$2,'Data Entry - SOF'!G$64,0)</f>
        <v>0</v>
      </c>
      <c r="M100" s="1371">
        <f t="shared" si="16"/>
        <v>543859</v>
      </c>
      <c r="N100" s="2212" t="e">
        <f>IF('Report-M&amp;O1920'!C$18-'Report-SOF1920'!D$55&lt;=0,0,'Report-M&amp;O1920'!C$18-'Report-SOF1920'!D$55)</f>
        <v>#DIV/0!</v>
      </c>
      <c r="O100" s="2452" t="e">
        <f t="shared" si="17"/>
        <v>#DIV/0!</v>
      </c>
      <c r="P100" s="2449">
        <f>IF(A100='Data Entry - SOF'!B$2,'Data Entry - SOF'!I$64,0)</f>
        <v>0</v>
      </c>
      <c r="Q100" s="1687">
        <f t="shared" si="18"/>
        <v>543859</v>
      </c>
      <c r="R100" s="2212" t="e">
        <f>IF('Report-M&amp;O2021'!C$18-'Report-SOF2021'!D$55&lt;=0,0,'Report-M&amp;O2021'!C$18-'Report-SOF2021'!D$55)</f>
        <v>#DIV/0!</v>
      </c>
      <c r="S100" s="2452" t="e">
        <f t="shared" si="19"/>
        <v>#DIV/0!</v>
      </c>
      <c r="T100" s="1708">
        <f>IF(A100='Data Entry - SOF'!B$2,'Data Entry - SOF'!K$64,0)</f>
        <v>0</v>
      </c>
      <c r="U100" s="1687">
        <f t="shared" si="22"/>
        <v>543859</v>
      </c>
      <c r="V100" s="2212" t="e">
        <f>IF('Report-M&amp;O2122'!C$18-'Report-SOF2122'!D$55&lt;=0,0,'Report-M&amp;O2122'!C$18-'Report-SOF2122'!D$55)</f>
        <v>#DIV/0!</v>
      </c>
      <c r="W100" s="2452" t="e">
        <f t="shared" si="20"/>
        <v>#DIV/0!</v>
      </c>
      <c r="X100" s="1708">
        <f>IF(A100='Data Entry - SOF'!B$2,'Data Entry - SOF'!M$64,0)</f>
        <v>0</v>
      </c>
      <c r="Y100" s="1371" t="e">
        <f t="shared" si="21"/>
        <v>#DIV/0!</v>
      </c>
      <c r="Z100" s="2212" t="e">
        <f>IF('Report-M&amp;O2223'!C$18-'Report-SOF2223'!D$55&lt;=0,0,'Report-M&amp;O2223'!C$18-'Report-SOF2223'!D$55)</f>
        <v>#DIV/0!</v>
      </c>
      <c r="AA100" s="1708">
        <f>IF(A100='Data Entry - SOF'!B$2,'Data Entry - SOF'!O$64,0)</f>
        <v>0</v>
      </c>
    </row>
    <row r="101" spans="1:27" ht="15.75">
      <c r="A101" s="1076" t="s">
        <v>442</v>
      </c>
      <c r="B101">
        <v>29006</v>
      </c>
      <c r="C101" s="2452" t="e">
        <f>#REF!+#REF!</f>
        <v>#REF!</v>
      </c>
      <c r="D101" s="2449">
        <f>IF(A101='Data Entry - SOF'!B$2,'Data Entry - SOF'!C$64,0)</f>
        <v>0</v>
      </c>
      <c r="E101" s="2450">
        <f t="shared" si="12"/>
        <v>29006</v>
      </c>
      <c r="F101" s="2212" t="e">
        <f>IF('Report-M&amp;O1718'!C$18-'Report-SOF1718'!D$55&lt;=0,0,'Report-M&amp;O1718'!C$18-'Report-SOF1718'!D$55)</f>
        <v>#DIV/0!</v>
      </c>
      <c r="G101" s="2452" t="e">
        <f t="shared" si="13"/>
        <v>#DIV/0!</v>
      </c>
      <c r="H101" s="2449">
        <f>IF(A101='Data Entry - SOF'!B$2,'Data Entry - SOF'!E$64,0)</f>
        <v>0</v>
      </c>
      <c r="I101" s="1687">
        <f t="shared" si="14"/>
        <v>29006</v>
      </c>
      <c r="J101" s="2212" t="e">
        <f>IF('Report-M&amp;O1819'!C$18-'Report-SOF1819'!D$55&lt;=0,0,'Report-M&amp;O1819'!C$18-'Report-SOF1819'!D$55)</f>
        <v>#DIV/0!</v>
      </c>
      <c r="K101" s="2452" t="e">
        <f t="shared" si="15"/>
        <v>#DIV/0!</v>
      </c>
      <c r="L101" s="2449">
        <f>IF(A101='Data Entry - SOF'!B$2,'Data Entry - SOF'!G$64,0)</f>
        <v>0</v>
      </c>
      <c r="M101" s="1371">
        <f t="shared" si="16"/>
        <v>29006</v>
      </c>
      <c r="N101" s="2212" t="e">
        <f>IF('Report-M&amp;O1920'!C$18-'Report-SOF1920'!D$55&lt;=0,0,'Report-M&amp;O1920'!C$18-'Report-SOF1920'!D$55)</f>
        <v>#DIV/0!</v>
      </c>
      <c r="O101" s="2452" t="e">
        <f t="shared" si="17"/>
        <v>#DIV/0!</v>
      </c>
      <c r="P101" s="2449">
        <f>IF(A101='Data Entry - SOF'!B$2,'Data Entry - SOF'!I$64,0)</f>
        <v>0</v>
      </c>
      <c r="Q101" s="1687">
        <f t="shared" si="18"/>
        <v>29006</v>
      </c>
      <c r="R101" s="2212" t="e">
        <f>IF('Report-M&amp;O2021'!C$18-'Report-SOF2021'!D$55&lt;=0,0,'Report-M&amp;O2021'!C$18-'Report-SOF2021'!D$55)</f>
        <v>#DIV/0!</v>
      </c>
      <c r="S101" s="2452" t="e">
        <f t="shared" si="19"/>
        <v>#DIV/0!</v>
      </c>
      <c r="T101" s="1708">
        <f>IF(A101='Data Entry - SOF'!B$2,'Data Entry - SOF'!K$64,0)</f>
        <v>0</v>
      </c>
      <c r="U101" s="1687">
        <f t="shared" si="22"/>
        <v>29006</v>
      </c>
      <c r="V101" s="2212" t="e">
        <f>IF('Report-M&amp;O2122'!C$18-'Report-SOF2122'!D$55&lt;=0,0,'Report-M&amp;O2122'!C$18-'Report-SOF2122'!D$55)</f>
        <v>#DIV/0!</v>
      </c>
      <c r="W101" s="2452" t="e">
        <f t="shared" si="20"/>
        <v>#DIV/0!</v>
      </c>
      <c r="X101" s="1708">
        <f>IF(A101='Data Entry - SOF'!B$2,'Data Entry - SOF'!M$64,0)</f>
        <v>0</v>
      </c>
      <c r="Y101" s="1371" t="e">
        <f t="shared" si="21"/>
        <v>#DIV/0!</v>
      </c>
      <c r="Z101" s="2212" t="e">
        <f>IF('Report-M&amp;O2223'!C$18-'Report-SOF2223'!D$55&lt;=0,0,'Report-M&amp;O2223'!C$18-'Report-SOF2223'!D$55)</f>
        <v>#DIV/0!</v>
      </c>
      <c r="AA101" s="1708">
        <f>IF(A101='Data Entry - SOF'!B$2,'Data Entry - SOF'!O$64,0)</f>
        <v>0</v>
      </c>
    </row>
    <row r="102" spans="1:27" ht="15.75">
      <c r="A102" s="1076" t="s">
        <v>443</v>
      </c>
      <c r="B102">
        <v>4102128</v>
      </c>
      <c r="C102" s="2452" t="e">
        <f>#REF!+#REF!</f>
        <v>#REF!</v>
      </c>
      <c r="D102" s="2449">
        <f>IF(A102='Data Entry - SOF'!B$2,'Data Entry - SOF'!C$64,0)</f>
        <v>0</v>
      </c>
      <c r="E102" s="2450">
        <f t="shared" si="12"/>
        <v>4102128</v>
      </c>
      <c r="F102" s="2212" t="e">
        <f>IF('Report-M&amp;O1718'!C$18-'Report-SOF1718'!D$55&lt;=0,0,'Report-M&amp;O1718'!C$18-'Report-SOF1718'!D$55)</f>
        <v>#DIV/0!</v>
      </c>
      <c r="G102" s="2452" t="e">
        <f t="shared" si="13"/>
        <v>#DIV/0!</v>
      </c>
      <c r="H102" s="2449">
        <f>IF(A102='Data Entry - SOF'!B$2,'Data Entry - SOF'!E$64,0)</f>
        <v>0</v>
      </c>
      <c r="I102" s="1687">
        <f t="shared" si="14"/>
        <v>4102128</v>
      </c>
      <c r="J102" s="2212" t="e">
        <f>IF('Report-M&amp;O1819'!C$18-'Report-SOF1819'!D$55&lt;=0,0,'Report-M&amp;O1819'!C$18-'Report-SOF1819'!D$55)</f>
        <v>#DIV/0!</v>
      </c>
      <c r="K102" s="2452" t="e">
        <f t="shared" si="15"/>
        <v>#DIV/0!</v>
      </c>
      <c r="L102" s="2449">
        <f>IF(A102='Data Entry - SOF'!B$2,'Data Entry - SOF'!G$64,0)</f>
        <v>0</v>
      </c>
      <c r="M102" s="1371">
        <f t="shared" si="16"/>
        <v>4102128</v>
      </c>
      <c r="N102" s="2212" t="e">
        <f>IF('Report-M&amp;O1920'!C$18-'Report-SOF1920'!D$55&lt;=0,0,'Report-M&amp;O1920'!C$18-'Report-SOF1920'!D$55)</f>
        <v>#DIV/0!</v>
      </c>
      <c r="O102" s="2452" t="e">
        <f t="shared" si="17"/>
        <v>#DIV/0!</v>
      </c>
      <c r="P102" s="2449">
        <f>IF(A102='Data Entry - SOF'!B$2,'Data Entry - SOF'!I$64,0)</f>
        <v>0</v>
      </c>
      <c r="Q102" s="1687">
        <f t="shared" si="18"/>
        <v>4102128</v>
      </c>
      <c r="R102" s="2212" t="e">
        <f>IF('Report-M&amp;O2021'!C$18-'Report-SOF2021'!D$55&lt;=0,0,'Report-M&amp;O2021'!C$18-'Report-SOF2021'!D$55)</f>
        <v>#DIV/0!</v>
      </c>
      <c r="S102" s="2452" t="e">
        <f t="shared" si="19"/>
        <v>#DIV/0!</v>
      </c>
      <c r="T102" s="1708">
        <f>IF(A102='Data Entry - SOF'!B$2,'Data Entry - SOF'!K$64,0)</f>
        <v>0</v>
      </c>
      <c r="U102" s="1687">
        <f t="shared" si="22"/>
        <v>4102128</v>
      </c>
      <c r="V102" s="2212" t="e">
        <f>IF('Report-M&amp;O2122'!C$18-'Report-SOF2122'!D$55&lt;=0,0,'Report-M&amp;O2122'!C$18-'Report-SOF2122'!D$55)</f>
        <v>#DIV/0!</v>
      </c>
      <c r="W102" s="2452" t="e">
        <f t="shared" si="20"/>
        <v>#DIV/0!</v>
      </c>
      <c r="X102" s="1708">
        <f>IF(A102='Data Entry - SOF'!B$2,'Data Entry - SOF'!M$64,0)</f>
        <v>0</v>
      </c>
      <c r="Y102" s="1371" t="e">
        <f t="shared" si="21"/>
        <v>#DIV/0!</v>
      </c>
      <c r="Z102" s="2212" t="e">
        <f>IF('Report-M&amp;O2223'!C$18-'Report-SOF2223'!D$55&lt;=0,0,'Report-M&amp;O2223'!C$18-'Report-SOF2223'!D$55)</f>
        <v>#DIV/0!</v>
      </c>
      <c r="AA102" s="1708">
        <f>IF(A102='Data Entry - SOF'!B$2,'Data Entry - SOF'!O$64,0)</f>
        <v>0</v>
      </c>
    </row>
    <row r="103" spans="1:27" ht="15.75">
      <c r="A103" s="1076" t="s">
        <v>745</v>
      </c>
      <c r="B103">
        <v>14141564</v>
      </c>
      <c r="C103" s="2452" t="e">
        <f>#REF!+#REF!</f>
        <v>#REF!</v>
      </c>
      <c r="D103" s="2449">
        <f>IF(A103='Data Entry - SOF'!B$2,'Data Entry - SOF'!C$64,0)</f>
        <v>0</v>
      </c>
      <c r="E103" s="2450">
        <f t="shared" si="12"/>
        <v>14141564</v>
      </c>
      <c r="F103" s="2212" t="e">
        <f>IF('Report-M&amp;O1718'!C$18-'Report-SOF1718'!D$55&lt;=0,0,'Report-M&amp;O1718'!C$18-'Report-SOF1718'!D$55)</f>
        <v>#DIV/0!</v>
      </c>
      <c r="G103" s="2452" t="e">
        <f t="shared" si="13"/>
        <v>#DIV/0!</v>
      </c>
      <c r="H103" s="2449">
        <f>IF(A103='Data Entry - SOF'!B$2,'Data Entry - SOF'!E$64,0)</f>
        <v>0</v>
      </c>
      <c r="I103" s="1687">
        <f t="shared" si="14"/>
        <v>14141564</v>
      </c>
      <c r="J103" s="2212" t="e">
        <f>IF('Report-M&amp;O1819'!C$18-'Report-SOF1819'!D$55&lt;=0,0,'Report-M&amp;O1819'!C$18-'Report-SOF1819'!D$55)</f>
        <v>#DIV/0!</v>
      </c>
      <c r="K103" s="2452" t="e">
        <f t="shared" si="15"/>
        <v>#DIV/0!</v>
      </c>
      <c r="L103" s="2449">
        <f>IF(A103='Data Entry - SOF'!B$2,'Data Entry - SOF'!G$64,0)</f>
        <v>0</v>
      </c>
      <c r="M103" s="1371">
        <f t="shared" si="16"/>
        <v>14141564</v>
      </c>
      <c r="N103" s="2212" t="e">
        <f>IF('Report-M&amp;O1920'!C$18-'Report-SOF1920'!D$55&lt;=0,0,'Report-M&amp;O1920'!C$18-'Report-SOF1920'!D$55)</f>
        <v>#DIV/0!</v>
      </c>
      <c r="O103" s="2452" t="e">
        <f t="shared" si="17"/>
        <v>#DIV/0!</v>
      </c>
      <c r="P103" s="2449">
        <f>IF(A103='Data Entry - SOF'!B$2,'Data Entry - SOF'!I$64,0)</f>
        <v>0</v>
      </c>
      <c r="Q103" s="1687">
        <f t="shared" si="18"/>
        <v>14141564</v>
      </c>
      <c r="R103" s="2212" t="e">
        <f>IF('Report-M&amp;O2021'!C$18-'Report-SOF2021'!D$55&lt;=0,0,'Report-M&amp;O2021'!C$18-'Report-SOF2021'!D$55)</f>
        <v>#DIV/0!</v>
      </c>
      <c r="S103" s="2452" t="e">
        <f t="shared" si="19"/>
        <v>#DIV/0!</v>
      </c>
      <c r="T103" s="1708">
        <f>IF(A103='Data Entry - SOF'!B$2,'Data Entry - SOF'!K$64,0)</f>
        <v>0</v>
      </c>
      <c r="U103" s="1687">
        <f t="shared" si="22"/>
        <v>14141564</v>
      </c>
      <c r="V103" s="2212" t="e">
        <f>IF('Report-M&amp;O2122'!C$18-'Report-SOF2122'!D$55&lt;=0,0,'Report-M&amp;O2122'!C$18-'Report-SOF2122'!D$55)</f>
        <v>#DIV/0!</v>
      </c>
      <c r="W103" s="2452" t="e">
        <f t="shared" si="20"/>
        <v>#DIV/0!</v>
      </c>
      <c r="X103" s="1708">
        <f>IF(A103='Data Entry - SOF'!B$2,'Data Entry - SOF'!M$64,0)</f>
        <v>0</v>
      </c>
      <c r="Y103" s="1371" t="e">
        <f t="shared" si="21"/>
        <v>#DIV/0!</v>
      </c>
      <c r="Z103" s="2212" t="e">
        <f>IF('Report-M&amp;O2223'!C$18-'Report-SOF2223'!D$55&lt;=0,0,'Report-M&amp;O2223'!C$18-'Report-SOF2223'!D$55)</f>
        <v>#DIV/0!</v>
      </c>
      <c r="AA103" s="1708">
        <f>IF(A103='Data Entry - SOF'!B$2,'Data Entry - SOF'!O$64,0)</f>
        <v>0</v>
      </c>
    </row>
    <row r="104" spans="1:27" ht="15.75">
      <c r="A104" s="1076" t="s">
        <v>746</v>
      </c>
      <c r="B104">
        <v>1717948</v>
      </c>
      <c r="C104" s="2452" t="e">
        <f>#REF!+#REF!</f>
        <v>#REF!</v>
      </c>
      <c r="D104" s="2449">
        <f>IF(A104='Data Entry - SOF'!B$2,'Data Entry - SOF'!C$64,0)</f>
        <v>0</v>
      </c>
      <c r="E104" s="2450">
        <f t="shared" si="12"/>
        <v>1717948</v>
      </c>
      <c r="F104" s="2212" t="e">
        <f>IF('Report-M&amp;O1718'!C$18-'Report-SOF1718'!D$55&lt;=0,0,'Report-M&amp;O1718'!C$18-'Report-SOF1718'!D$55)</f>
        <v>#DIV/0!</v>
      </c>
      <c r="G104" s="2452" t="e">
        <f t="shared" si="13"/>
        <v>#DIV/0!</v>
      </c>
      <c r="H104" s="2449">
        <f>IF(A104='Data Entry - SOF'!B$2,'Data Entry - SOF'!E$64,0)</f>
        <v>0</v>
      </c>
      <c r="I104" s="1687">
        <f t="shared" si="14"/>
        <v>1717948</v>
      </c>
      <c r="J104" s="2212" t="e">
        <f>IF('Report-M&amp;O1819'!C$18-'Report-SOF1819'!D$55&lt;=0,0,'Report-M&amp;O1819'!C$18-'Report-SOF1819'!D$55)</f>
        <v>#DIV/0!</v>
      </c>
      <c r="K104" s="2452" t="e">
        <f t="shared" si="15"/>
        <v>#DIV/0!</v>
      </c>
      <c r="L104" s="2449">
        <f>IF(A104='Data Entry - SOF'!B$2,'Data Entry - SOF'!G$64,0)</f>
        <v>0</v>
      </c>
      <c r="M104" s="1371">
        <f t="shared" si="16"/>
        <v>1717948</v>
      </c>
      <c r="N104" s="2212" t="e">
        <f>IF('Report-M&amp;O1920'!C$18-'Report-SOF1920'!D$55&lt;=0,0,'Report-M&amp;O1920'!C$18-'Report-SOF1920'!D$55)</f>
        <v>#DIV/0!</v>
      </c>
      <c r="O104" s="2452" t="e">
        <f t="shared" si="17"/>
        <v>#DIV/0!</v>
      </c>
      <c r="P104" s="2449">
        <f>IF(A104='Data Entry - SOF'!B$2,'Data Entry - SOF'!I$64,0)</f>
        <v>0</v>
      </c>
      <c r="Q104" s="1687">
        <f t="shared" si="18"/>
        <v>1717948</v>
      </c>
      <c r="R104" s="2212" t="e">
        <f>IF('Report-M&amp;O2021'!C$18-'Report-SOF2021'!D$55&lt;=0,0,'Report-M&amp;O2021'!C$18-'Report-SOF2021'!D$55)</f>
        <v>#DIV/0!</v>
      </c>
      <c r="S104" s="2452" t="e">
        <f t="shared" si="19"/>
        <v>#DIV/0!</v>
      </c>
      <c r="T104" s="1708">
        <f>IF(A104='Data Entry - SOF'!B$2,'Data Entry - SOF'!K$64,0)</f>
        <v>0</v>
      </c>
      <c r="U104" s="1687">
        <f t="shared" si="22"/>
        <v>1717948</v>
      </c>
      <c r="V104" s="2212" t="e">
        <f>IF('Report-M&amp;O2122'!C$18-'Report-SOF2122'!D$55&lt;=0,0,'Report-M&amp;O2122'!C$18-'Report-SOF2122'!D$55)</f>
        <v>#DIV/0!</v>
      </c>
      <c r="W104" s="2452" t="e">
        <f t="shared" si="20"/>
        <v>#DIV/0!</v>
      </c>
      <c r="X104" s="1708">
        <f>IF(A104='Data Entry - SOF'!B$2,'Data Entry - SOF'!M$64,0)</f>
        <v>0</v>
      </c>
      <c r="Y104" s="1371" t="e">
        <f t="shared" si="21"/>
        <v>#DIV/0!</v>
      </c>
      <c r="Z104" s="2212" t="e">
        <f>IF('Report-M&amp;O2223'!C$18-'Report-SOF2223'!D$55&lt;=0,0,'Report-M&amp;O2223'!C$18-'Report-SOF2223'!D$55)</f>
        <v>#DIV/0!</v>
      </c>
      <c r="AA104" s="1708">
        <f>IF(A104='Data Entry - SOF'!B$2,'Data Entry - SOF'!O$64,0)</f>
        <v>0</v>
      </c>
    </row>
    <row r="105" spans="1:27" ht="15.75">
      <c r="A105" s="1076" t="s">
        <v>747</v>
      </c>
      <c r="B105">
        <v>9325510</v>
      </c>
      <c r="C105" s="2452" t="e">
        <f>#REF!+#REF!</f>
        <v>#REF!</v>
      </c>
      <c r="D105" s="2449">
        <f>IF(A105='Data Entry - SOF'!B$2,'Data Entry - SOF'!C$64,0)</f>
        <v>0</v>
      </c>
      <c r="E105" s="2450">
        <f t="shared" si="12"/>
        <v>9325510</v>
      </c>
      <c r="F105" s="2212" t="e">
        <f>IF('Report-M&amp;O1718'!C$18-'Report-SOF1718'!D$55&lt;=0,0,'Report-M&amp;O1718'!C$18-'Report-SOF1718'!D$55)</f>
        <v>#DIV/0!</v>
      </c>
      <c r="G105" s="2452" t="e">
        <f t="shared" si="13"/>
        <v>#DIV/0!</v>
      </c>
      <c r="H105" s="2449">
        <f>IF(A105='Data Entry - SOF'!B$2,'Data Entry - SOF'!E$64,0)</f>
        <v>0</v>
      </c>
      <c r="I105" s="1687">
        <f t="shared" si="14"/>
        <v>9325510</v>
      </c>
      <c r="J105" s="2212" t="e">
        <f>IF('Report-M&amp;O1819'!C$18-'Report-SOF1819'!D$55&lt;=0,0,'Report-M&amp;O1819'!C$18-'Report-SOF1819'!D$55)</f>
        <v>#DIV/0!</v>
      </c>
      <c r="K105" s="2452" t="e">
        <f t="shared" si="15"/>
        <v>#DIV/0!</v>
      </c>
      <c r="L105" s="2449">
        <f>IF(A105='Data Entry - SOF'!B$2,'Data Entry - SOF'!G$64,0)</f>
        <v>0</v>
      </c>
      <c r="M105" s="1371">
        <f t="shared" si="16"/>
        <v>9325510</v>
      </c>
      <c r="N105" s="2212" t="e">
        <f>IF('Report-M&amp;O1920'!C$18-'Report-SOF1920'!D$55&lt;=0,0,'Report-M&amp;O1920'!C$18-'Report-SOF1920'!D$55)</f>
        <v>#DIV/0!</v>
      </c>
      <c r="O105" s="2452" t="e">
        <f t="shared" si="17"/>
        <v>#DIV/0!</v>
      </c>
      <c r="P105" s="2449">
        <f>IF(A105='Data Entry - SOF'!B$2,'Data Entry - SOF'!I$64,0)</f>
        <v>0</v>
      </c>
      <c r="Q105" s="1687">
        <f t="shared" si="18"/>
        <v>9325510</v>
      </c>
      <c r="R105" s="2212" t="e">
        <f>IF('Report-M&amp;O2021'!C$18-'Report-SOF2021'!D$55&lt;=0,0,'Report-M&amp;O2021'!C$18-'Report-SOF2021'!D$55)</f>
        <v>#DIV/0!</v>
      </c>
      <c r="S105" s="2452" t="e">
        <f t="shared" si="19"/>
        <v>#DIV/0!</v>
      </c>
      <c r="T105" s="1708">
        <f>IF(A105='Data Entry - SOF'!B$2,'Data Entry - SOF'!K$64,0)</f>
        <v>0</v>
      </c>
      <c r="U105" s="1687">
        <f t="shared" si="22"/>
        <v>9325510</v>
      </c>
      <c r="V105" s="2212" t="e">
        <f>IF('Report-M&amp;O2122'!C$18-'Report-SOF2122'!D$55&lt;=0,0,'Report-M&amp;O2122'!C$18-'Report-SOF2122'!D$55)</f>
        <v>#DIV/0!</v>
      </c>
      <c r="W105" s="2452" t="e">
        <f t="shared" si="20"/>
        <v>#DIV/0!</v>
      </c>
      <c r="X105" s="1708">
        <f>IF(A105='Data Entry - SOF'!B$2,'Data Entry - SOF'!M$64,0)</f>
        <v>0</v>
      </c>
      <c r="Y105" s="1371" t="e">
        <f t="shared" si="21"/>
        <v>#DIV/0!</v>
      </c>
      <c r="Z105" s="2212" t="e">
        <f>IF('Report-M&amp;O2223'!C$18-'Report-SOF2223'!D$55&lt;=0,0,'Report-M&amp;O2223'!C$18-'Report-SOF2223'!D$55)</f>
        <v>#DIV/0!</v>
      </c>
      <c r="AA105" s="1708">
        <f>IF(A105='Data Entry - SOF'!B$2,'Data Entry - SOF'!O$64,0)</f>
        <v>0</v>
      </c>
    </row>
    <row r="106" spans="1:27" ht="15.75">
      <c r="A106" s="1076" t="s">
        <v>988</v>
      </c>
      <c r="B106">
        <v>312553</v>
      </c>
      <c r="C106" s="2452" t="e">
        <f>#REF!+#REF!</f>
        <v>#REF!</v>
      </c>
      <c r="D106" s="2449">
        <f>IF(A106='Data Entry - SOF'!B$2,'Data Entry - SOF'!C$64,0)</f>
        <v>0</v>
      </c>
      <c r="E106" s="2450">
        <f t="shared" si="12"/>
        <v>312553</v>
      </c>
      <c r="F106" s="2212" t="e">
        <f>IF('Report-M&amp;O1718'!C$18-'Report-SOF1718'!D$55&lt;=0,0,'Report-M&amp;O1718'!C$18-'Report-SOF1718'!D$55)</f>
        <v>#DIV/0!</v>
      </c>
      <c r="G106" s="2452" t="e">
        <f t="shared" si="13"/>
        <v>#DIV/0!</v>
      </c>
      <c r="H106" s="2449">
        <f>IF(A106='Data Entry - SOF'!B$2,'Data Entry - SOF'!E$64,0)</f>
        <v>0</v>
      </c>
      <c r="I106" s="1687">
        <f t="shared" si="14"/>
        <v>312553</v>
      </c>
      <c r="J106" s="2212" t="e">
        <f>IF('Report-M&amp;O1819'!C$18-'Report-SOF1819'!D$55&lt;=0,0,'Report-M&amp;O1819'!C$18-'Report-SOF1819'!D$55)</f>
        <v>#DIV/0!</v>
      </c>
      <c r="K106" s="2452" t="e">
        <f t="shared" si="15"/>
        <v>#DIV/0!</v>
      </c>
      <c r="L106" s="2449">
        <f>IF(A106='Data Entry - SOF'!B$2,'Data Entry - SOF'!G$64,0)</f>
        <v>0</v>
      </c>
      <c r="M106" s="1371">
        <f t="shared" si="16"/>
        <v>312553</v>
      </c>
      <c r="N106" s="2212" t="e">
        <f>IF('Report-M&amp;O1920'!C$18-'Report-SOF1920'!D$55&lt;=0,0,'Report-M&amp;O1920'!C$18-'Report-SOF1920'!D$55)</f>
        <v>#DIV/0!</v>
      </c>
      <c r="O106" s="2452" t="e">
        <f t="shared" si="17"/>
        <v>#DIV/0!</v>
      </c>
      <c r="P106" s="2449">
        <f>IF(A106='Data Entry - SOF'!B$2,'Data Entry - SOF'!I$64,0)</f>
        <v>0</v>
      </c>
      <c r="Q106" s="1687">
        <f t="shared" si="18"/>
        <v>312553</v>
      </c>
      <c r="R106" s="2212" t="e">
        <f>IF('Report-M&amp;O2021'!C$18-'Report-SOF2021'!D$55&lt;=0,0,'Report-M&amp;O2021'!C$18-'Report-SOF2021'!D$55)</f>
        <v>#DIV/0!</v>
      </c>
      <c r="S106" s="2452" t="e">
        <f t="shared" si="19"/>
        <v>#DIV/0!</v>
      </c>
      <c r="T106" s="1708">
        <f>IF(A106='Data Entry - SOF'!B$2,'Data Entry - SOF'!K$64,0)</f>
        <v>0</v>
      </c>
      <c r="U106" s="1687">
        <f t="shared" si="22"/>
        <v>312553</v>
      </c>
      <c r="V106" s="2212" t="e">
        <f>IF('Report-M&amp;O2122'!C$18-'Report-SOF2122'!D$55&lt;=0,0,'Report-M&amp;O2122'!C$18-'Report-SOF2122'!D$55)</f>
        <v>#DIV/0!</v>
      </c>
      <c r="W106" s="2452" t="e">
        <f t="shared" si="20"/>
        <v>#DIV/0!</v>
      </c>
      <c r="X106" s="1708">
        <f>IF(A106='Data Entry - SOF'!B$2,'Data Entry - SOF'!M$64,0)</f>
        <v>0</v>
      </c>
      <c r="Y106" s="1371" t="e">
        <f t="shared" si="21"/>
        <v>#DIV/0!</v>
      </c>
      <c r="Z106" s="2212" t="e">
        <f>IF('Report-M&amp;O2223'!C$18-'Report-SOF2223'!D$55&lt;=0,0,'Report-M&amp;O2223'!C$18-'Report-SOF2223'!D$55)</f>
        <v>#DIV/0!</v>
      </c>
      <c r="AA106" s="1708">
        <f>IF(A106='Data Entry - SOF'!B$2,'Data Entry - SOF'!O$64,0)</f>
        <v>0</v>
      </c>
    </row>
    <row r="107" spans="1:27" ht="15.75">
      <c r="A107" s="1076" t="s">
        <v>2893</v>
      </c>
      <c r="B107">
        <v>1292939</v>
      </c>
      <c r="C107" s="2452" t="e">
        <f>#REF!+#REF!</f>
        <v>#REF!</v>
      </c>
      <c r="D107" s="2449">
        <f>IF(A107='Data Entry - SOF'!B$2,'Data Entry - SOF'!C$64,0)</f>
        <v>0</v>
      </c>
      <c r="E107" s="2450">
        <f t="shared" si="12"/>
        <v>1292939</v>
      </c>
      <c r="F107" s="2212" t="e">
        <f>IF('Report-M&amp;O1718'!C$18-'Report-SOF1718'!D$55&lt;=0,0,'Report-M&amp;O1718'!C$18-'Report-SOF1718'!D$55)</f>
        <v>#DIV/0!</v>
      </c>
      <c r="G107" s="2452" t="e">
        <f t="shared" si="13"/>
        <v>#DIV/0!</v>
      </c>
      <c r="H107" s="2449">
        <f>IF(A107='Data Entry - SOF'!B$2,'Data Entry - SOF'!E$64,0)</f>
        <v>0</v>
      </c>
      <c r="I107" s="1687">
        <f t="shared" si="14"/>
        <v>1292939</v>
      </c>
      <c r="J107" s="2212" t="e">
        <f>IF('Report-M&amp;O1819'!C$18-'Report-SOF1819'!D$55&lt;=0,0,'Report-M&amp;O1819'!C$18-'Report-SOF1819'!D$55)</f>
        <v>#DIV/0!</v>
      </c>
      <c r="K107" s="2452" t="e">
        <f t="shared" si="15"/>
        <v>#DIV/0!</v>
      </c>
      <c r="L107" s="2449">
        <f>IF(A107='Data Entry - SOF'!B$2,'Data Entry - SOF'!G$64,0)</f>
        <v>0</v>
      </c>
      <c r="M107" s="1371">
        <f t="shared" si="16"/>
        <v>1292939</v>
      </c>
      <c r="N107" s="2212" t="e">
        <f>IF('Report-M&amp;O1920'!C$18-'Report-SOF1920'!D$55&lt;=0,0,'Report-M&amp;O1920'!C$18-'Report-SOF1920'!D$55)</f>
        <v>#DIV/0!</v>
      </c>
      <c r="O107" s="2452" t="e">
        <f t="shared" si="17"/>
        <v>#DIV/0!</v>
      </c>
      <c r="P107" s="2449">
        <f>IF(A107='Data Entry - SOF'!B$2,'Data Entry - SOF'!I$64,0)</f>
        <v>0</v>
      </c>
      <c r="Q107" s="1687">
        <f t="shared" si="18"/>
        <v>1292939</v>
      </c>
      <c r="R107" s="2212" t="e">
        <f>IF('Report-M&amp;O2021'!C$18-'Report-SOF2021'!D$55&lt;=0,0,'Report-M&amp;O2021'!C$18-'Report-SOF2021'!D$55)</f>
        <v>#DIV/0!</v>
      </c>
      <c r="S107" s="2452" t="e">
        <f t="shared" si="19"/>
        <v>#DIV/0!</v>
      </c>
      <c r="T107" s="1708">
        <f>IF(A107='Data Entry - SOF'!B$2,'Data Entry - SOF'!K$64,0)</f>
        <v>0</v>
      </c>
      <c r="U107" s="1687">
        <f t="shared" si="22"/>
        <v>1292939</v>
      </c>
      <c r="V107" s="2212" t="e">
        <f>IF('Report-M&amp;O2122'!C$18-'Report-SOF2122'!D$55&lt;=0,0,'Report-M&amp;O2122'!C$18-'Report-SOF2122'!D$55)</f>
        <v>#DIV/0!</v>
      </c>
      <c r="W107" s="2452" t="e">
        <f t="shared" si="20"/>
        <v>#DIV/0!</v>
      </c>
      <c r="X107" s="1708">
        <f>IF(A107='Data Entry - SOF'!B$2,'Data Entry - SOF'!M$64,0)</f>
        <v>0</v>
      </c>
      <c r="Y107" s="1371" t="e">
        <f t="shared" si="21"/>
        <v>#DIV/0!</v>
      </c>
      <c r="Z107" s="2212" t="e">
        <f>IF('Report-M&amp;O2223'!C$18-'Report-SOF2223'!D$55&lt;=0,0,'Report-M&amp;O2223'!C$18-'Report-SOF2223'!D$55)</f>
        <v>#DIV/0!</v>
      </c>
      <c r="AA107" s="1708">
        <f>IF(A107='Data Entry - SOF'!B$2,'Data Entry - SOF'!O$64,0)</f>
        <v>0</v>
      </c>
    </row>
    <row r="108" spans="1:27" ht="15.75">
      <c r="A108" s="1076" t="s">
        <v>1354</v>
      </c>
      <c r="B108">
        <v>437585</v>
      </c>
      <c r="C108" s="2452" t="e">
        <f>#REF!+#REF!</f>
        <v>#REF!</v>
      </c>
      <c r="D108" s="2449">
        <f>IF(A108='Data Entry - SOF'!B$2,'Data Entry - SOF'!C$64,0)</f>
        <v>0</v>
      </c>
      <c r="E108" s="2450">
        <f t="shared" si="12"/>
        <v>437585</v>
      </c>
      <c r="F108" s="2212" t="e">
        <f>IF('Report-M&amp;O1718'!C$18-'Report-SOF1718'!D$55&lt;=0,0,'Report-M&amp;O1718'!C$18-'Report-SOF1718'!D$55)</f>
        <v>#DIV/0!</v>
      </c>
      <c r="G108" s="2452" t="e">
        <f t="shared" si="13"/>
        <v>#DIV/0!</v>
      </c>
      <c r="H108" s="2449">
        <f>IF(A108='Data Entry - SOF'!B$2,'Data Entry - SOF'!E$64,0)</f>
        <v>0</v>
      </c>
      <c r="I108" s="1687">
        <f t="shared" si="14"/>
        <v>437585</v>
      </c>
      <c r="J108" s="2212" t="e">
        <f>IF('Report-M&amp;O1819'!C$18-'Report-SOF1819'!D$55&lt;=0,0,'Report-M&amp;O1819'!C$18-'Report-SOF1819'!D$55)</f>
        <v>#DIV/0!</v>
      </c>
      <c r="K108" s="2452" t="e">
        <f t="shared" si="15"/>
        <v>#DIV/0!</v>
      </c>
      <c r="L108" s="2449">
        <f>IF(A108='Data Entry - SOF'!B$2,'Data Entry - SOF'!G$64,0)</f>
        <v>0</v>
      </c>
      <c r="M108" s="1371">
        <f t="shared" si="16"/>
        <v>437585</v>
      </c>
      <c r="N108" s="2212" t="e">
        <f>IF('Report-M&amp;O1920'!C$18-'Report-SOF1920'!D$55&lt;=0,0,'Report-M&amp;O1920'!C$18-'Report-SOF1920'!D$55)</f>
        <v>#DIV/0!</v>
      </c>
      <c r="O108" s="2452" t="e">
        <f t="shared" si="17"/>
        <v>#DIV/0!</v>
      </c>
      <c r="P108" s="2449">
        <f>IF(A108='Data Entry - SOF'!B$2,'Data Entry - SOF'!I$64,0)</f>
        <v>0</v>
      </c>
      <c r="Q108" s="1687">
        <f t="shared" si="18"/>
        <v>437585</v>
      </c>
      <c r="R108" s="2212" t="e">
        <f>IF('Report-M&amp;O2021'!C$18-'Report-SOF2021'!D$55&lt;=0,0,'Report-M&amp;O2021'!C$18-'Report-SOF2021'!D$55)</f>
        <v>#DIV/0!</v>
      </c>
      <c r="S108" s="2452" t="e">
        <f t="shared" si="19"/>
        <v>#DIV/0!</v>
      </c>
      <c r="T108" s="1708">
        <f>IF(A108='Data Entry - SOF'!B$2,'Data Entry - SOF'!K$64,0)</f>
        <v>0</v>
      </c>
      <c r="U108" s="1687">
        <f t="shared" si="22"/>
        <v>437585</v>
      </c>
      <c r="V108" s="2212" t="e">
        <f>IF('Report-M&amp;O2122'!C$18-'Report-SOF2122'!D$55&lt;=0,0,'Report-M&amp;O2122'!C$18-'Report-SOF2122'!D$55)</f>
        <v>#DIV/0!</v>
      </c>
      <c r="W108" s="2452" t="e">
        <f t="shared" si="20"/>
        <v>#DIV/0!</v>
      </c>
      <c r="X108" s="1708">
        <f>IF(A108='Data Entry - SOF'!B$2,'Data Entry - SOF'!M$64,0)</f>
        <v>0</v>
      </c>
      <c r="Y108" s="1371" t="e">
        <f t="shared" si="21"/>
        <v>#DIV/0!</v>
      </c>
      <c r="Z108" s="2212" t="e">
        <f>IF('Report-M&amp;O2223'!C$18-'Report-SOF2223'!D$55&lt;=0,0,'Report-M&amp;O2223'!C$18-'Report-SOF2223'!D$55)</f>
        <v>#DIV/0!</v>
      </c>
      <c r="AA108" s="1708">
        <f>IF(A108='Data Entry - SOF'!B$2,'Data Entry - SOF'!O$64,0)</f>
        <v>0</v>
      </c>
    </row>
    <row r="109" spans="1:27" ht="15.75">
      <c r="A109" s="1076" t="s">
        <v>810</v>
      </c>
      <c r="B109">
        <v>778293</v>
      </c>
      <c r="C109" s="2452" t="e">
        <f>#REF!+#REF!</f>
        <v>#REF!</v>
      </c>
      <c r="D109" s="2449">
        <f>IF(A109='Data Entry - SOF'!B$2,'Data Entry - SOF'!C$64,0)</f>
        <v>0</v>
      </c>
      <c r="E109" s="2450">
        <f t="shared" si="12"/>
        <v>778293</v>
      </c>
      <c r="F109" s="2212" t="e">
        <f>IF('Report-M&amp;O1718'!C$18-'Report-SOF1718'!D$55&lt;=0,0,'Report-M&amp;O1718'!C$18-'Report-SOF1718'!D$55)</f>
        <v>#DIV/0!</v>
      </c>
      <c r="G109" s="2452" t="e">
        <f t="shared" si="13"/>
        <v>#DIV/0!</v>
      </c>
      <c r="H109" s="2449">
        <f>IF(A109='Data Entry - SOF'!B$2,'Data Entry - SOF'!E$64,0)</f>
        <v>0</v>
      </c>
      <c r="I109" s="1687">
        <f t="shared" si="14"/>
        <v>778293</v>
      </c>
      <c r="J109" s="2212" t="e">
        <f>IF('Report-M&amp;O1819'!C$18-'Report-SOF1819'!D$55&lt;=0,0,'Report-M&amp;O1819'!C$18-'Report-SOF1819'!D$55)</f>
        <v>#DIV/0!</v>
      </c>
      <c r="K109" s="2452" t="e">
        <f t="shared" si="15"/>
        <v>#DIV/0!</v>
      </c>
      <c r="L109" s="2449">
        <f>IF(A109='Data Entry - SOF'!B$2,'Data Entry - SOF'!G$64,0)</f>
        <v>0</v>
      </c>
      <c r="M109" s="1371">
        <f t="shared" si="16"/>
        <v>778293</v>
      </c>
      <c r="N109" s="2212" t="e">
        <f>IF('Report-M&amp;O1920'!C$18-'Report-SOF1920'!D$55&lt;=0,0,'Report-M&amp;O1920'!C$18-'Report-SOF1920'!D$55)</f>
        <v>#DIV/0!</v>
      </c>
      <c r="O109" s="2452" t="e">
        <f t="shared" si="17"/>
        <v>#DIV/0!</v>
      </c>
      <c r="P109" s="2449">
        <f>IF(A109='Data Entry - SOF'!B$2,'Data Entry - SOF'!I$64,0)</f>
        <v>0</v>
      </c>
      <c r="Q109" s="1687">
        <f t="shared" si="18"/>
        <v>778293</v>
      </c>
      <c r="R109" s="2212" t="e">
        <f>IF('Report-M&amp;O2021'!C$18-'Report-SOF2021'!D$55&lt;=0,0,'Report-M&amp;O2021'!C$18-'Report-SOF2021'!D$55)</f>
        <v>#DIV/0!</v>
      </c>
      <c r="S109" s="2452" t="e">
        <f t="shared" si="19"/>
        <v>#DIV/0!</v>
      </c>
      <c r="T109" s="1708">
        <f>IF(A109='Data Entry - SOF'!B$2,'Data Entry - SOF'!K$64,0)</f>
        <v>0</v>
      </c>
      <c r="U109" s="1687">
        <f t="shared" si="22"/>
        <v>778293</v>
      </c>
      <c r="V109" s="2212" t="e">
        <f>IF('Report-M&amp;O2122'!C$18-'Report-SOF2122'!D$55&lt;=0,0,'Report-M&amp;O2122'!C$18-'Report-SOF2122'!D$55)</f>
        <v>#DIV/0!</v>
      </c>
      <c r="W109" s="2452" t="e">
        <f t="shared" si="20"/>
        <v>#DIV/0!</v>
      </c>
      <c r="X109" s="1708">
        <f>IF(A109='Data Entry - SOF'!B$2,'Data Entry - SOF'!M$64,0)</f>
        <v>0</v>
      </c>
      <c r="Y109" s="1371" t="e">
        <f t="shared" si="21"/>
        <v>#DIV/0!</v>
      </c>
      <c r="Z109" s="2212" t="e">
        <f>IF('Report-M&amp;O2223'!C$18-'Report-SOF2223'!D$55&lt;=0,0,'Report-M&amp;O2223'!C$18-'Report-SOF2223'!D$55)</f>
        <v>#DIV/0!</v>
      </c>
      <c r="AA109" s="1708">
        <f>IF(A109='Data Entry - SOF'!B$2,'Data Entry - SOF'!O$64,0)</f>
        <v>0</v>
      </c>
    </row>
    <row r="110" spans="1:27" ht="15.75">
      <c r="A110" s="1076" t="s">
        <v>872</v>
      </c>
      <c r="B110">
        <v>864216</v>
      </c>
      <c r="C110" s="2452" t="e">
        <f>#REF!+#REF!</f>
        <v>#REF!</v>
      </c>
      <c r="D110" s="2449">
        <f>IF(A110='Data Entry - SOF'!B$2,'Data Entry - SOF'!C$64,0)</f>
        <v>0</v>
      </c>
      <c r="E110" s="2450">
        <f t="shared" si="12"/>
        <v>864216</v>
      </c>
      <c r="F110" s="2212" t="e">
        <f>IF('Report-M&amp;O1718'!C$18-'Report-SOF1718'!D$55&lt;=0,0,'Report-M&amp;O1718'!C$18-'Report-SOF1718'!D$55)</f>
        <v>#DIV/0!</v>
      </c>
      <c r="G110" s="2452" t="e">
        <f t="shared" si="13"/>
        <v>#DIV/0!</v>
      </c>
      <c r="H110" s="2449">
        <f>IF(A110='Data Entry - SOF'!B$2,'Data Entry - SOF'!E$64,0)</f>
        <v>0</v>
      </c>
      <c r="I110" s="1687">
        <f t="shared" si="14"/>
        <v>864216</v>
      </c>
      <c r="J110" s="2212" t="e">
        <f>IF('Report-M&amp;O1819'!C$18-'Report-SOF1819'!D$55&lt;=0,0,'Report-M&amp;O1819'!C$18-'Report-SOF1819'!D$55)</f>
        <v>#DIV/0!</v>
      </c>
      <c r="K110" s="2452" t="e">
        <f t="shared" si="15"/>
        <v>#DIV/0!</v>
      </c>
      <c r="L110" s="2449">
        <f>IF(A110='Data Entry - SOF'!B$2,'Data Entry - SOF'!G$64,0)</f>
        <v>0</v>
      </c>
      <c r="M110" s="1371">
        <f t="shared" si="16"/>
        <v>864216</v>
      </c>
      <c r="N110" s="2212" t="e">
        <f>IF('Report-M&amp;O1920'!C$18-'Report-SOF1920'!D$55&lt;=0,0,'Report-M&amp;O1920'!C$18-'Report-SOF1920'!D$55)</f>
        <v>#DIV/0!</v>
      </c>
      <c r="O110" s="2452" t="e">
        <f t="shared" si="17"/>
        <v>#DIV/0!</v>
      </c>
      <c r="P110" s="2449">
        <f>IF(A110='Data Entry - SOF'!B$2,'Data Entry - SOF'!I$64,0)</f>
        <v>0</v>
      </c>
      <c r="Q110" s="1687">
        <f t="shared" si="18"/>
        <v>864216</v>
      </c>
      <c r="R110" s="2212" t="e">
        <f>IF('Report-M&amp;O2021'!C$18-'Report-SOF2021'!D$55&lt;=0,0,'Report-M&amp;O2021'!C$18-'Report-SOF2021'!D$55)</f>
        <v>#DIV/0!</v>
      </c>
      <c r="S110" s="2452" t="e">
        <f t="shared" si="19"/>
        <v>#DIV/0!</v>
      </c>
      <c r="T110" s="1708">
        <f>IF(A110='Data Entry - SOF'!B$2,'Data Entry - SOF'!K$64,0)</f>
        <v>0</v>
      </c>
      <c r="U110" s="1687">
        <f t="shared" si="22"/>
        <v>864216</v>
      </c>
      <c r="V110" s="2212" t="e">
        <f>IF('Report-M&amp;O2122'!C$18-'Report-SOF2122'!D$55&lt;=0,0,'Report-M&amp;O2122'!C$18-'Report-SOF2122'!D$55)</f>
        <v>#DIV/0!</v>
      </c>
      <c r="W110" s="2452" t="e">
        <f t="shared" si="20"/>
        <v>#DIV/0!</v>
      </c>
      <c r="X110" s="1708">
        <f>IF(A110='Data Entry - SOF'!B$2,'Data Entry - SOF'!M$64,0)</f>
        <v>0</v>
      </c>
      <c r="Y110" s="1371" t="e">
        <f t="shared" si="21"/>
        <v>#DIV/0!</v>
      </c>
      <c r="Z110" s="2212" t="e">
        <f>IF('Report-M&amp;O2223'!C$18-'Report-SOF2223'!D$55&lt;=0,0,'Report-M&amp;O2223'!C$18-'Report-SOF2223'!D$55)</f>
        <v>#DIV/0!</v>
      </c>
      <c r="AA110" s="1708">
        <f>IF(A110='Data Entry - SOF'!B$2,'Data Entry - SOF'!O$64,0)</f>
        <v>0</v>
      </c>
    </row>
    <row r="111" spans="1:27" ht="15.75">
      <c r="A111" s="1076" t="s">
        <v>748</v>
      </c>
      <c r="B111">
        <v>6529408</v>
      </c>
      <c r="C111" s="2452" t="e">
        <f>#REF!+#REF!</f>
        <v>#REF!</v>
      </c>
      <c r="D111" s="2449">
        <f>IF(A111='Data Entry - SOF'!B$2,'Data Entry - SOF'!C$64,0)</f>
        <v>0</v>
      </c>
      <c r="E111" s="2450">
        <f t="shared" si="12"/>
        <v>6529408</v>
      </c>
      <c r="F111" s="2212" t="e">
        <f>IF('Report-M&amp;O1718'!C$18-'Report-SOF1718'!D$55&lt;=0,0,'Report-M&amp;O1718'!C$18-'Report-SOF1718'!D$55)</f>
        <v>#DIV/0!</v>
      </c>
      <c r="G111" s="2452" t="e">
        <f t="shared" si="13"/>
        <v>#DIV/0!</v>
      </c>
      <c r="H111" s="2449">
        <f>IF(A111='Data Entry - SOF'!B$2,'Data Entry - SOF'!E$64,0)</f>
        <v>0</v>
      </c>
      <c r="I111" s="1687">
        <f t="shared" si="14"/>
        <v>6529408</v>
      </c>
      <c r="J111" s="2212" t="e">
        <f>IF('Report-M&amp;O1819'!C$18-'Report-SOF1819'!D$55&lt;=0,0,'Report-M&amp;O1819'!C$18-'Report-SOF1819'!D$55)</f>
        <v>#DIV/0!</v>
      </c>
      <c r="K111" s="2452" t="e">
        <f t="shared" si="15"/>
        <v>#DIV/0!</v>
      </c>
      <c r="L111" s="2449">
        <f>IF(A111='Data Entry - SOF'!B$2,'Data Entry - SOF'!G$64,0)</f>
        <v>0</v>
      </c>
      <c r="M111" s="1371">
        <f t="shared" si="16"/>
        <v>6529408</v>
      </c>
      <c r="N111" s="2212" t="e">
        <f>IF('Report-M&amp;O1920'!C$18-'Report-SOF1920'!D$55&lt;=0,0,'Report-M&amp;O1920'!C$18-'Report-SOF1920'!D$55)</f>
        <v>#DIV/0!</v>
      </c>
      <c r="O111" s="2452" t="e">
        <f t="shared" si="17"/>
        <v>#DIV/0!</v>
      </c>
      <c r="P111" s="2449">
        <f>IF(A111='Data Entry - SOF'!B$2,'Data Entry - SOF'!I$64,0)</f>
        <v>0</v>
      </c>
      <c r="Q111" s="1687">
        <f t="shared" si="18"/>
        <v>6529408</v>
      </c>
      <c r="R111" s="2212" t="e">
        <f>IF('Report-M&amp;O2021'!C$18-'Report-SOF2021'!D$55&lt;=0,0,'Report-M&amp;O2021'!C$18-'Report-SOF2021'!D$55)</f>
        <v>#DIV/0!</v>
      </c>
      <c r="S111" s="2452" t="e">
        <f t="shared" si="19"/>
        <v>#DIV/0!</v>
      </c>
      <c r="T111" s="1708">
        <f>IF(A111='Data Entry - SOF'!B$2,'Data Entry - SOF'!K$64,0)</f>
        <v>0</v>
      </c>
      <c r="U111" s="1687">
        <f t="shared" si="22"/>
        <v>6529408</v>
      </c>
      <c r="V111" s="2212" t="e">
        <f>IF('Report-M&amp;O2122'!C$18-'Report-SOF2122'!D$55&lt;=0,0,'Report-M&amp;O2122'!C$18-'Report-SOF2122'!D$55)</f>
        <v>#DIV/0!</v>
      </c>
      <c r="W111" s="2452" t="e">
        <f t="shared" si="20"/>
        <v>#DIV/0!</v>
      </c>
      <c r="X111" s="1708">
        <f>IF(A111='Data Entry - SOF'!B$2,'Data Entry - SOF'!M$64,0)</f>
        <v>0</v>
      </c>
      <c r="Y111" s="1371" t="e">
        <f t="shared" si="21"/>
        <v>#DIV/0!</v>
      </c>
      <c r="Z111" s="2212" t="e">
        <f>IF('Report-M&amp;O2223'!C$18-'Report-SOF2223'!D$55&lt;=0,0,'Report-M&amp;O2223'!C$18-'Report-SOF2223'!D$55)</f>
        <v>#DIV/0!</v>
      </c>
      <c r="AA111" s="1708">
        <f>IF(A111='Data Entry - SOF'!B$2,'Data Entry - SOF'!O$64,0)</f>
        <v>0</v>
      </c>
    </row>
    <row r="112" spans="1:27" ht="15.75">
      <c r="A112" s="1076" t="s">
        <v>749</v>
      </c>
      <c r="B112">
        <v>2668284</v>
      </c>
      <c r="C112" s="2452" t="e">
        <f>#REF!+#REF!</f>
        <v>#REF!</v>
      </c>
      <c r="D112" s="2449">
        <f>IF(A112='Data Entry - SOF'!B$2,'Data Entry - SOF'!C$64,0)</f>
        <v>0</v>
      </c>
      <c r="E112" s="2450">
        <f t="shared" si="12"/>
        <v>2668284</v>
      </c>
      <c r="F112" s="2212" t="e">
        <f>IF('Report-M&amp;O1718'!C$18-'Report-SOF1718'!D$55&lt;=0,0,'Report-M&amp;O1718'!C$18-'Report-SOF1718'!D$55)</f>
        <v>#DIV/0!</v>
      </c>
      <c r="G112" s="2452" t="e">
        <f t="shared" si="13"/>
        <v>#DIV/0!</v>
      </c>
      <c r="H112" s="2449">
        <f>IF(A112='Data Entry - SOF'!B$2,'Data Entry - SOF'!E$64,0)</f>
        <v>0</v>
      </c>
      <c r="I112" s="1687">
        <f t="shared" si="14"/>
        <v>2668284</v>
      </c>
      <c r="J112" s="2212" t="e">
        <f>IF('Report-M&amp;O1819'!C$18-'Report-SOF1819'!D$55&lt;=0,0,'Report-M&amp;O1819'!C$18-'Report-SOF1819'!D$55)</f>
        <v>#DIV/0!</v>
      </c>
      <c r="K112" s="2452" t="e">
        <f t="shared" si="15"/>
        <v>#DIV/0!</v>
      </c>
      <c r="L112" s="2449">
        <f>IF(A112='Data Entry - SOF'!B$2,'Data Entry - SOF'!G$64,0)</f>
        <v>0</v>
      </c>
      <c r="M112" s="1371">
        <f t="shared" si="16"/>
        <v>2668284</v>
      </c>
      <c r="N112" s="2212" t="e">
        <f>IF('Report-M&amp;O1920'!C$18-'Report-SOF1920'!D$55&lt;=0,0,'Report-M&amp;O1920'!C$18-'Report-SOF1920'!D$55)</f>
        <v>#DIV/0!</v>
      </c>
      <c r="O112" s="2452" t="e">
        <f t="shared" si="17"/>
        <v>#DIV/0!</v>
      </c>
      <c r="P112" s="2449">
        <f>IF(A112='Data Entry - SOF'!B$2,'Data Entry - SOF'!I$64,0)</f>
        <v>0</v>
      </c>
      <c r="Q112" s="1687">
        <f t="shared" si="18"/>
        <v>2668284</v>
      </c>
      <c r="R112" s="2212" t="e">
        <f>IF('Report-M&amp;O2021'!C$18-'Report-SOF2021'!D$55&lt;=0,0,'Report-M&amp;O2021'!C$18-'Report-SOF2021'!D$55)</f>
        <v>#DIV/0!</v>
      </c>
      <c r="S112" s="2452" t="e">
        <f t="shared" si="19"/>
        <v>#DIV/0!</v>
      </c>
      <c r="T112" s="1708">
        <f>IF(A112='Data Entry - SOF'!B$2,'Data Entry - SOF'!K$64,0)</f>
        <v>0</v>
      </c>
      <c r="U112" s="1687">
        <f t="shared" si="22"/>
        <v>2668284</v>
      </c>
      <c r="V112" s="2212" t="e">
        <f>IF('Report-M&amp;O2122'!C$18-'Report-SOF2122'!D$55&lt;=0,0,'Report-M&amp;O2122'!C$18-'Report-SOF2122'!D$55)</f>
        <v>#DIV/0!</v>
      </c>
      <c r="W112" s="2452" t="e">
        <f t="shared" si="20"/>
        <v>#DIV/0!</v>
      </c>
      <c r="X112" s="1708">
        <f>IF(A112='Data Entry - SOF'!B$2,'Data Entry - SOF'!M$64,0)</f>
        <v>0</v>
      </c>
      <c r="Y112" s="1371" t="e">
        <f t="shared" si="21"/>
        <v>#DIV/0!</v>
      </c>
      <c r="Z112" s="2212" t="e">
        <f>IF('Report-M&amp;O2223'!C$18-'Report-SOF2223'!D$55&lt;=0,0,'Report-M&amp;O2223'!C$18-'Report-SOF2223'!D$55)</f>
        <v>#DIV/0!</v>
      </c>
      <c r="AA112" s="1708">
        <f>IF(A112='Data Entry - SOF'!B$2,'Data Entry - SOF'!O$64,0)</f>
        <v>0</v>
      </c>
    </row>
    <row r="113" spans="1:27" ht="15.75">
      <c r="A113" s="1076" t="s">
        <v>750</v>
      </c>
      <c r="B113">
        <v>3093499</v>
      </c>
      <c r="C113" s="2452" t="e">
        <f>#REF!+#REF!</f>
        <v>#REF!</v>
      </c>
      <c r="D113" s="2449">
        <f>IF(A113='Data Entry - SOF'!B$2,'Data Entry - SOF'!C$64,0)</f>
        <v>0</v>
      </c>
      <c r="E113" s="2450">
        <f t="shared" si="12"/>
        <v>3093499</v>
      </c>
      <c r="F113" s="2212" t="e">
        <f>IF('Report-M&amp;O1718'!C$18-'Report-SOF1718'!D$55&lt;=0,0,'Report-M&amp;O1718'!C$18-'Report-SOF1718'!D$55)</f>
        <v>#DIV/0!</v>
      </c>
      <c r="G113" s="2452" t="e">
        <f t="shared" si="13"/>
        <v>#DIV/0!</v>
      </c>
      <c r="H113" s="2449">
        <f>IF(A113='Data Entry - SOF'!B$2,'Data Entry - SOF'!E$64,0)</f>
        <v>0</v>
      </c>
      <c r="I113" s="1687">
        <f t="shared" si="14"/>
        <v>3093499</v>
      </c>
      <c r="J113" s="2212" t="e">
        <f>IF('Report-M&amp;O1819'!C$18-'Report-SOF1819'!D$55&lt;=0,0,'Report-M&amp;O1819'!C$18-'Report-SOF1819'!D$55)</f>
        <v>#DIV/0!</v>
      </c>
      <c r="K113" s="2452" t="e">
        <f t="shared" si="15"/>
        <v>#DIV/0!</v>
      </c>
      <c r="L113" s="2449">
        <f>IF(A113='Data Entry - SOF'!B$2,'Data Entry - SOF'!G$64,0)</f>
        <v>0</v>
      </c>
      <c r="M113" s="1371">
        <f t="shared" si="16"/>
        <v>3093499</v>
      </c>
      <c r="N113" s="2212" t="e">
        <f>IF('Report-M&amp;O1920'!C$18-'Report-SOF1920'!D$55&lt;=0,0,'Report-M&amp;O1920'!C$18-'Report-SOF1920'!D$55)</f>
        <v>#DIV/0!</v>
      </c>
      <c r="O113" s="2452" t="e">
        <f t="shared" si="17"/>
        <v>#DIV/0!</v>
      </c>
      <c r="P113" s="2449">
        <f>IF(A113='Data Entry - SOF'!B$2,'Data Entry - SOF'!I$64,0)</f>
        <v>0</v>
      </c>
      <c r="Q113" s="1687">
        <f t="shared" si="18"/>
        <v>3093499</v>
      </c>
      <c r="R113" s="2212" t="e">
        <f>IF('Report-M&amp;O2021'!C$18-'Report-SOF2021'!D$55&lt;=0,0,'Report-M&amp;O2021'!C$18-'Report-SOF2021'!D$55)</f>
        <v>#DIV/0!</v>
      </c>
      <c r="S113" s="2452" t="e">
        <f t="shared" si="19"/>
        <v>#DIV/0!</v>
      </c>
      <c r="T113" s="1708">
        <f>IF(A113='Data Entry - SOF'!B$2,'Data Entry - SOF'!K$64,0)</f>
        <v>0</v>
      </c>
      <c r="U113" s="1687">
        <f t="shared" si="22"/>
        <v>3093499</v>
      </c>
      <c r="V113" s="2212" t="e">
        <f>IF('Report-M&amp;O2122'!C$18-'Report-SOF2122'!D$55&lt;=0,0,'Report-M&amp;O2122'!C$18-'Report-SOF2122'!D$55)</f>
        <v>#DIV/0!</v>
      </c>
      <c r="W113" s="2452" t="e">
        <f t="shared" si="20"/>
        <v>#DIV/0!</v>
      </c>
      <c r="X113" s="1708">
        <f>IF(A113='Data Entry - SOF'!B$2,'Data Entry - SOF'!M$64,0)</f>
        <v>0</v>
      </c>
      <c r="Y113" s="1371" t="e">
        <f t="shared" si="21"/>
        <v>#DIV/0!</v>
      </c>
      <c r="Z113" s="2212" t="e">
        <f>IF('Report-M&amp;O2223'!C$18-'Report-SOF2223'!D$55&lt;=0,0,'Report-M&amp;O2223'!C$18-'Report-SOF2223'!D$55)</f>
        <v>#DIV/0!</v>
      </c>
      <c r="AA113" s="1708">
        <f>IF(A113='Data Entry - SOF'!B$2,'Data Entry - SOF'!O$64,0)</f>
        <v>0</v>
      </c>
    </row>
    <row r="114" spans="1:27" ht="15.75">
      <c r="A114" s="1076" t="s">
        <v>2154</v>
      </c>
      <c r="B114">
        <v>23350298</v>
      </c>
      <c r="C114" s="2452" t="e">
        <f>#REF!+#REF!</f>
        <v>#REF!</v>
      </c>
      <c r="D114" s="2449">
        <f>IF(A114='Data Entry - SOF'!B$2,'Data Entry - SOF'!C$64,0)</f>
        <v>0</v>
      </c>
      <c r="E114" s="2450">
        <f t="shared" si="12"/>
        <v>23350298</v>
      </c>
      <c r="F114" s="2212" t="e">
        <f>IF('Report-M&amp;O1718'!C$18-'Report-SOF1718'!D$55&lt;=0,0,'Report-M&amp;O1718'!C$18-'Report-SOF1718'!D$55)</f>
        <v>#DIV/0!</v>
      </c>
      <c r="G114" s="2452" t="e">
        <f t="shared" si="13"/>
        <v>#DIV/0!</v>
      </c>
      <c r="H114" s="2449">
        <f>IF(A114='Data Entry - SOF'!B$2,'Data Entry - SOF'!E$64,0)</f>
        <v>0</v>
      </c>
      <c r="I114" s="1687">
        <f t="shared" si="14"/>
        <v>23350298</v>
      </c>
      <c r="J114" s="2212" t="e">
        <f>IF('Report-M&amp;O1819'!C$18-'Report-SOF1819'!D$55&lt;=0,0,'Report-M&amp;O1819'!C$18-'Report-SOF1819'!D$55)</f>
        <v>#DIV/0!</v>
      </c>
      <c r="K114" s="2452" t="e">
        <f t="shared" si="15"/>
        <v>#DIV/0!</v>
      </c>
      <c r="L114" s="2449">
        <f>IF(A114='Data Entry - SOF'!B$2,'Data Entry - SOF'!G$64,0)</f>
        <v>0</v>
      </c>
      <c r="M114" s="1371">
        <f t="shared" si="16"/>
        <v>23350298</v>
      </c>
      <c r="N114" s="2212" t="e">
        <f>IF('Report-M&amp;O1920'!C$18-'Report-SOF1920'!D$55&lt;=0,0,'Report-M&amp;O1920'!C$18-'Report-SOF1920'!D$55)</f>
        <v>#DIV/0!</v>
      </c>
      <c r="O114" s="2452" t="e">
        <f t="shared" si="17"/>
        <v>#DIV/0!</v>
      </c>
      <c r="P114" s="2449">
        <f>IF(A114='Data Entry - SOF'!B$2,'Data Entry - SOF'!I$64,0)</f>
        <v>0</v>
      </c>
      <c r="Q114" s="1687">
        <f t="shared" si="18"/>
        <v>23350298</v>
      </c>
      <c r="R114" s="2212" t="e">
        <f>IF('Report-M&amp;O2021'!C$18-'Report-SOF2021'!D$55&lt;=0,0,'Report-M&amp;O2021'!C$18-'Report-SOF2021'!D$55)</f>
        <v>#DIV/0!</v>
      </c>
      <c r="S114" s="2452" t="e">
        <f t="shared" si="19"/>
        <v>#DIV/0!</v>
      </c>
      <c r="T114" s="1708">
        <f>IF(A114='Data Entry - SOF'!B$2,'Data Entry - SOF'!K$64,0)</f>
        <v>0</v>
      </c>
      <c r="U114" s="1687">
        <f t="shared" si="22"/>
        <v>23350298</v>
      </c>
      <c r="V114" s="2212" t="e">
        <f>IF('Report-M&amp;O2122'!C$18-'Report-SOF2122'!D$55&lt;=0,0,'Report-M&amp;O2122'!C$18-'Report-SOF2122'!D$55)</f>
        <v>#DIV/0!</v>
      </c>
      <c r="W114" s="2452" t="e">
        <f t="shared" si="20"/>
        <v>#DIV/0!</v>
      </c>
      <c r="X114" s="1708">
        <f>IF(A114='Data Entry - SOF'!B$2,'Data Entry - SOF'!M$64,0)</f>
        <v>0</v>
      </c>
      <c r="Y114" s="1371" t="e">
        <f t="shared" si="21"/>
        <v>#DIV/0!</v>
      </c>
      <c r="Z114" s="2212" t="e">
        <f>IF('Report-M&amp;O2223'!C$18-'Report-SOF2223'!D$55&lt;=0,0,'Report-M&amp;O2223'!C$18-'Report-SOF2223'!D$55)</f>
        <v>#DIV/0!</v>
      </c>
      <c r="AA114" s="1708">
        <f>IF(A114='Data Entry - SOF'!B$2,'Data Entry - SOF'!O$64,0)</f>
        <v>0</v>
      </c>
    </row>
    <row r="115" spans="1:27" ht="15.75">
      <c r="A115" s="1076" t="s">
        <v>380</v>
      </c>
      <c r="B115">
        <v>42018446</v>
      </c>
      <c r="C115" s="2452" t="e">
        <f>#REF!+#REF!</f>
        <v>#REF!</v>
      </c>
      <c r="D115" s="2449">
        <f>IF(A115='Data Entry - SOF'!B$2,'Data Entry - SOF'!C$64,0)</f>
        <v>0</v>
      </c>
      <c r="E115" s="2450">
        <f t="shared" si="12"/>
        <v>42018446</v>
      </c>
      <c r="F115" s="2212" t="e">
        <f>IF('Report-M&amp;O1718'!C$18-'Report-SOF1718'!D$55&lt;=0,0,'Report-M&amp;O1718'!C$18-'Report-SOF1718'!D$55)</f>
        <v>#DIV/0!</v>
      </c>
      <c r="G115" s="2452" t="e">
        <f t="shared" si="13"/>
        <v>#DIV/0!</v>
      </c>
      <c r="H115" s="2449">
        <f>IF(A115='Data Entry - SOF'!B$2,'Data Entry - SOF'!E$64,0)</f>
        <v>0</v>
      </c>
      <c r="I115" s="1687">
        <f t="shared" si="14"/>
        <v>42018446</v>
      </c>
      <c r="J115" s="2212" t="e">
        <f>IF('Report-M&amp;O1819'!C$18-'Report-SOF1819'!D$55&lt;=0,0,'Report-M&amp;O1819'!C$18-'Report-SOF1819'!D$55)</f>
        <v>#DIV/0!</v>
      </c>
      <c r="K115" s="2452" t="e">
        <f t="shared" si="15"/>
        <v>#DIV/0!</v>
      </c>
      <c r="L115" s="2449">
        <f>IF(A115='Data Entry - SOF'!B$2,'Data Entry - SOF'!G$64,0)</f>
        <v>0</v>
      </c>
      <c r="M115" s="1371">
        <f t="shared" si="16"/>
        <v>42018446</v>
      </c>
      <c r="N115" s="2212" t="e">
        <f>IF('Report-M&amp;O1920'!C$18-'Report-SOF1920'!D$55&lt;=0,0,'Report-M&amp;O1920'!C$18-'Report-SOF1920'!D$55)</f>
        <v>#DIV/0!</v>
      </c>
      <c r="O115" s="2452" t="e">
        <f t="shared" si="17"/>
        <v>#DIV/0!</v>
      </c>
      <c r="P115" s="2449">
        <f>IF(A115='Data Entry - SOF'!B$2,'Data Entry - SOF'!I$64,0)</f>
        <v>0</v>
      </c>
      <c r="Q115" s="1687">
        <f t="shared" si="18"/>
        <v>42018446</v>
      </c>
      <c r="R115" s="2212" t="e">
        <f>IF('Report-M&amp;O2021'!C$18-'Report-SOF2021'!D$55&lt;=0,0,'Report-M&amp;O2021'!C$18-'Report-SOF2021'!D$55)</f>
        <v>#DIV/0!</v>
      </c>
      <c r="S115" s="2452" t="e">
        <f t="shared" si="19"/>
        <v>#DIV/0!</v>
      </c>
      <c r="T115" s="1708">
        <f>IF(A115='Data Entry - SOF'!B$2,'Data Entry - SOF'!K$64,0)</f>
        <v>0</v>
      </c>
      <c r="U115" s="1687">
        <f t="shared" si="22"/>
        <v>42018446</v>
      </c>
      <c r="V115" s="2212" t="e">
        <f>IF('Report-M&amp;O2122'!C$18-'Report-SOF2122'!D$55&lt;=0,0,'Report-M&amp;O2122'!C$18-'Report-SOF2122'!D$55)</f>
        <v>#DIV/0!</v>
      </c>
      <c r="W115" s="2452" t="e">
        <f t="shared" si="20"/>
        <v>#DIV/0!</v>
      </c>
      <c r="X115" s="1708">
        <f>IF(A115='Data Entry - SOF'!B$2,'Data Entry - SOF'!M$64,0)</f>
        <v>0</v>
      </c>
      <c r="Y115" s="1371" t="e">
        <f t="shared" si="21"/>
        <v>#DIV/0!</v>
      </c>
      <c r="Z115" s="2212" t="e">
        <f>IF('Report-M&amp;O2223'!C$18-'Report-SOF2223'!D$55&lt;=0,0,'Report-M&amp;O2223'!C$18-'Report-SOF2223'!D$55)</f>
        <v>#DIV/0!</v>
      </c>
      <c r="AA115" s="1708">
        <f>IF(A115='Data Entry - SOF'!B$2,'Data Entry - SOF'!O$64,0)</f>
        <v>0</v>
      </c>
    </row>
    <row r="116" spans="1:27" ht="15.75">
      <c r="A116" s="1076" t="s">
        <v>497</v>
      </c>
      <c r="B116">
        <v>7445643</v>
      </c>
      <c r="C116" s="2452" t="e">
        <f>#REF!+#REF!</f>
        <v>#REF!</v>
      </c>
      <c r="D116" s="2449">
        <f>IF(A116='Data Entry - SOF'!B$2,'Data Entry - SOF'!C$64,0)</f>
        <v>0</v>
      </c>
      <c r="E116" s="2450">
        <f t="shared" si="12"/>
        <v>7445643</v>
      </c>
      <c r="F116" s="2212" t="e">
        <f>IF('Report-M&amp;O1718'!C$18-'Report-SOF1718'!D$55&lt;=0,0,'Report-M&amp;O1718'!C$18-'Report-SOF1718'!D$55)</f>
        <v>#DIV/0!</v>
      </c>
      <c r="G116" s="2452" t="e">
        <f t="shared" si="13"/>
        <v>#DIV/0!</v>
      </c>
      <c r="H116" s="2449">
        <f>IF(A116='Data Entry - SOF'!B$2,'Data Entry - SOF'!E$64,0)</f>
        <v>0</v>
      </c>
      <c r="I116" s="1687">
        <f t="shared" si="14"/>
        <v>7445643</v>
      </c>
      <c r="J116" s="2212" t="e">
        <f>IF('Report-M&amp;O1819'!C$18-'Report-SOF1819'!D$55&lt;=0,0,'Report-M&amp;O1819'!C$18-'Report-SOF1819'!D$55)</f>
        <v>#DIV/0!</v>
      </c>
      <c r="K116" s="2452" t="e">
        <f t="shared" si="15"/>
        <v>#DIV/0!</v>
      </c>
      <c r="L116" s="2449">
        <f>IF(A116='Data Entry - SOF'!B$2,'Data Entry - SOF'!G$64,0)</f>
        <v>0</v>
      </c>
      <c r="M116" s="1371">
        <f t="shared" si="16"/>
        <v>7445643</v>
      </c>
      <c r="N116" s="2212" t="e">
        <f>IF('Report-M&amp;O1920'!C$18-'Report-SOF1920'!D$55&lt;=0,0,'Report-M&amp;O1920'!C$18-'Report-SOF1920'!D$55)</f>
        <v>#DIV/0!</v>
      </c>
      <c r="O116" s="2452" t="e">
        <f t="shared" si="17"/>
        <v>#DIV/0!</v>
      </c>
      <c r="P116" s="2449">
        <f>IF(A116='Data Entry - SOF'!B$2,'Data Entry - SOF'!I$64,0)</f>
        <v>0</v>
      </c>
      <c r="Q116" s="1687">
        <f t="shared" si="18"/>
        <v>7445643</v>
      </c>
      <c r="R116" s="2212" t="e">
        <f>IF('Report-M&amp;O2021'!C$18-'Report-SOF2021'!D$55&lt;=0,0,'Report-M&amp;O2021'!C$18-'Report-SOF2021'!D$55)</f>
        <v>#DIV/0!</v>
      </c>
      <c r="S116" s="2452" t="e">
        <f t="shared" si="19"/>
        <v>#DIV/0!</v>
      </c>
      <c r="T116" s="1708">
        <f>IF(A116='Data Entry - SOF'!B$2,'Data Entry - SOF'!K$64,0)</f>
        <v>0</v>
      </c>
      <c r="U116" s="1687">
        <f t="shared" si="22"/>
        <v>7445643</v>
      </c>
      <c r="V116" s="2212" t="e">
        <f>IF('Report-M&amp;O2122'!C$18-'Report-SOF2122'!D$55&lt;=0,0,'Report-M&amp;O2122'!C$18-'Report-SOF2122'!D$55)</f>
        <v>#DIV/0!</v>
      </c>
      <c r="W116" s="2452" t="e">
        <f t="shared" si="20"/>
        <v>#DIV/0!</v>
      </c>
      <c r="X116" s="1708">
        <f>IF(A116='Data Entry - SOF'!B$2,'Data Entry - SOF'!M$64,0)</f>
        <v>0</v>
      </c>
      <c r="Y116" s="1371" t="e">
        <f t="shared" si="21"/>
        <v>#DIV/0!</v>
      </c>
      <c r="Z116" s="2212" t="e">
        <f>IF('Report-M&amp;O2223'!C$18-'Report-SOF2223'!D$55&lt;=0,0,'Report-M&amp;O2223'!C$18-'Report-SOF2223'!D$55)</f>
        <v>#DIV/0!</v>
      </c>
      <c r="AA116" s="1708">
        <f>IF(A116='Data Entry - SOF'!B$2,'Data Entry - SOF'!O$64,0)</f>
        <v>0</v>
      </c>
    </row>
    <row r="117" spans="1:27" ht="15.75">
      <c r="A117" s="1076" t="s">
        <v>1318</v>
      </c>
      <c r="B117">
        <v>1098370</v>
      </c>
      <c r="C117" s="2452" t="e">
        <f>#REF!+#REF!</f>
        <v>#REF!</v>
      </c>
      <c r="D117" s="2449">
        <f>IF(A117='Data Entry - SOF'!B$2,'Data Entry - SOF'!C$64,0)</f>
        <v>0</v>
      </c>
      <c r="E117" s="2450">
        <f t="shared" si="12"/>
        <v>1098370</v>
      </c>
      <c r="F117" s="2212" t="e">
        <f>IF('Report-M&amp;O1718'!C$18-'Report-SOF1718'!D$55&lt;=0,0,'Report-M&amp;O1718'!C$18-'Report-SOF1718'!D$55)</f>
        <v>#DIV/0!</v>
      </c>
      <c r="G117" s="2452" t="e">
        <f t="shared" si="13"/>
        <v>#DIV/0!</v>
      </c>
      <c r="H117" s="2449">
        <f>IF(A117='Data Entry - SOF'!B$2,'Data Entry - SOF'!E$64,0)</f>
        <v>0</v>
      </c>
      <c r="I117" s="1687">
        <f t="shared" si="14"/>
        <v>1098370</v>
      </c>
      <c r="J117" s="2212" t="e">
        <f>IF('Report-M&amp;O1819'!C$18-'Report-SOF1819'!D$55&lt;=0,0,'Report-M&amp;O1819'!C$18-'Report-SOF1819'!D$55)</f>
        <v>#DIV/0!</v>
      </c>
      <c r="K117" s="2452" t="e">
        <f t="shared" si="15"/>
        <v>#DIV/0!</v>
      </c>
      <c r="L117" s="2449">
        <f>IF(A117='Data Entry - SOF'!B$2,'Data Entry - SOF'!G$64,0)</f>
        <v>0</v>
      </c>
      <c r="M117" s="1371">
        <f t="shared" si="16"/>
        <v>1098370</v>
      </c>
      <c r="N117" s="2212" t="e">
        <f>IF('Report-M&amp;O1920'!C$18-'Report-SOF1920'!D$55&lt;=0,0,'Report-M&amp;O1920'!C$18-'Report-SOF1920'!D$55)</f>
        <v>#DIV/0!</v>
      </c>
      <c r="O117" s="2452" t="e">
        <f t="shared" si="17"/>
        <v>#DIV/0!</v>
      </c>
      <c r="P117" s="2449">
        <f>IF(A117='Data Entry - SOF'!B$2,'Data Entry - SOF'!I$64,0)</f>
        <v>0</v>
      </c>
      <c r="Q117" s="1687">
        <f t="shared" si="18"/>
        <v>1098370</v>
      </c>
      <c r="R117" s="2212" t="e">
        <f>IF('Report-M&amp;O2021'!C$18-'Report-SOF2021'!D$55&lt;=0,0,'Report-M&amp;O2021'!C$18-'Report-SOF2021'!D$55)</f>
        <v>#DIV/0!</v>
      </c>
      <c r="S117" s="2452" t="e">
        <f t="shared" si="19"/>
        <v>#DIV/0!</v>
      </c>
      <c r="T117" s="1708">
        <f>IF(A117='Data Entry - SOF'!B$2,'Data Entry - SOF'!K$64,0)</f>
        <v>0</v>
      </c>
      <c r="U117" s="1687">
        <f t="shared" si="22"/>
        <v>1098370</v>
      </c>
      <c r="V117" s="2212" t="e">
        <f>IF('Report-M&amp;O2122'!C$18-'Report-SOF2122'!D$55&lt;=0,0,'Report-M&amp;O2122'!C$18-'Report-SOF2122'!D$55)</f>
        <v>#DIV/0!</v>
      </c>
      <c r="W117" s="2452" t="e">
        <f t="shared" si="20"/>
        <v>#DIV/0!</v>
      </c>
      <c r="X117" s="1708">
        <f>IF(A117='Data Entry - SOF'!B$2,'Data Entry - SOF'!M$64,0)</f>
        <v>0</v>
      </c>
      <c r="Y117" s="1371" t="e">
        <f t="shared" si="21"/>
        <v>#DIV/0!</v>
      </c>
      <c r="Z117" s="2212" t="e">
        <f>IF('Report-M&amp;O2223'!C$18-'Report-SOF2223'!D$55&lt;=0,0,'Report-M&amp;O2223'!C$18-'Report-SOF2223'!D$55)</f>
        <v>#DIV/0!</v>
      </c>
      <c r="AA117" s="1708">
        <f>IF(A117='Data Entry - SOF'!B$2,'Data Entry - SOF'!O$64,0)</f>
        <v>0</v>
      </c>
    </row>
    <row r="118" spans="1:27" ht="15.75">
      <c r="A118" s="1076" t="s">
        <v>2631</v>
      </c>
      <c r="B118">
        <v>437865.23911678902</v>
      </c>
      <c r="C118" s="2452" t="e">
        <f>#REF!+#REF!</f>
        <v>#REF!</v>
      </c>
      <c r="D118" s="2449">
        <f>IF(A118='Data Entry - SOF'!B$2,'Data Entry - SOF'!C$64,0)</f>
        <v>0</v>
      </c>
      <c r="E118" s="2450">
        <f t="shared" si="12"/>
        <v>437865.23911678902</v>
      </c>
      <c r="F118" s="2212" t="e">
        <f>IF('Report-M&amp;O1718'!C$18-'Report-SOF1718'!D$55&lt;=0,0,'Report-M&amp;O1718'!C$18-'Report-SOF1718'!D$55)</f>
        <v>#DIV/0!</v>
      </c>
      <c r="G118" s="2452" t="e">
        <f t="shared" si="13"/>
        <v>#DIV/0!</v>
      </c>
      <c r="H118" s="2449">
        <f>IF(A118='Data Entry - SOF'!B$2,'Data Entry - SOF'!E$64,0)</f>
        <v>0</v>
      </c>
      <c r="I118" s="1687">
        <f t="shared" si="14"/>
        <v>437865.23911678902</v>
      </c>
      <c r="J118" s="2212" t="e">
        <f>IF('Report-M&amp;O1819'!C$18-'Report-SOF1819'!D$55&lt;=0,0,'Report-M&amp;O1819'!C$18-'Report-SOF1819'!D$55)</f>
        <v>#DIV/0!</v>
      </c>
      <c r="K118" s="2452" t="e">
        <f t="shared" si="15"/>
        <v>#DIV/0!</v>
      </c>
      <c r="L118" s="2449">
        <f>IF(A118='Data Entry - SOF'!B$2,'Data Entry - SOF'!G$64,0)</f>
        <v>0</v>
      </c>
      <c r="M118" s="1371">
        <f t="shared" si="16"/>
        <v>437865.23911678902</v>
      </c>
      <c r="N118" s="2212" t="e">
        <f>IF('Report-M&amp;O1920'!C$18-'Report-SOF1920'!D$55&lt;=0,0,'Report-M&amp;O1920'!C$18-'Report-SOF1920'!D$55)</f>
        <v>#DIV/0!</v>
      </c>
      <c r="O118" s="2452" t="e">
        <f t="shared" si="17"/>
        <v>#DIV/0!</v>
      </c>
      <c r="P118" s="2449">
        <f>IF(A118='Data Entry - SOF'!B$2,'Data Entry - SOF'!I$64,0)</f>
        <v>0</v>
      </c>
      <c r="Q118" s="1687">
        <f t="shared" si="18"/>
        <v>437865.23911678902</v>
      </c>
      <c r="R118" s="2212" t="e">
        <f>IF('Report-M&amp;O2021'!C$18-'Report-SOF2021'!D$55&lt;=0,0,'Report-M&amp;O2021'!C$18-'Report-SOF2021'!D$55)</f>
        <v>#DIV/0!</v>
      </c>
      <c r="S118" s="2452" t="e">
        <f t="shared" si="19"/>
        <v>#DIV/0!</v>
      </c>
      <c r="T118" s="1708">
        <f>IF(A118='Data Entry - SOF'!B$2,'Data Entry - SOF'!K$64,0)</f>
        <v>0</v>
      </c>
      <c r="U118" s="1687">
        <f t="shared" si="22"/>
        <v>437865.23911678902</v>
      </c>
      <c r="V118" s="2212" t="e">
        <f>IF('Report-M&amp;O2122'!C$18-'Report-SOF2122'!D$55&lt;=0,0,'Report-M&amp;O2122'!C$18-'Report-SOF2122'!D$55)</f>
        <v>#DIV/0!</v>
      </c>
      <c r="W118" s="2452" t="e">
        <f t="shared" si="20"/>
        <v>#DIV/0!</v>
      </c>
      <c r="X118" s="1708">
        <f>IF(A118='Data Entry - SOF'!B$2,'Data Entry - SOF'!M$64,0)</f>
        <v>0</v>
      </c>
      <c r="Y118" s="1371" t="e">
        <f t="shared" si="21"/>
        <v>#DIV/0!</v>
      </c>
      <c r="Z118" s="2212" t="e">
        <f>IF('Report-M&amp;O2223'!C$18-'Report-SOF2223'!D$55&lt;=0,0,'Report-M&amp;O2223'!C$18-'Report-SOF2223'!D$55)</f>
        <v>#DIV/0!</v>
      </c>
      <c r="AA118" s="1708">
        <f>IF(A118='Data Entry - SOF'!B$2,'Data Entry - SOF'!O$64,0)</f>
        <v>0</v>
      </c>
    </row>
    <row r="119" spans="1:27" ht="15.75">
      <c r="A119" s="1076" t="s">
        <v>1535</v>
      </c>
      <c r="B119">
        <v>45801791</v>
      </c>
      <c r="C119" s="2452" t="e">
        <f>#REF!+#REF!</f>
        <v>#REF!</v>
      </c>
      <c r="D119" s="2449">
        <f>IF(A119='Data Entry - SOF'!B$2,'Data Entry - SOF'!C$64,0)</f>
        <v>0</v>
      </c>
      <c r="E119" s="2450">
        <f t="shared" si="12"/>
        <v>45801791</v>
      </c>
      <c r="F119" s="2212" t="e">
        <f>IF('Report-M&amp;O1718'!C$18-'Report-SOF1718'!D$55&lt;=0,0,'Report-M&amp;O1718'!C$18-'Report-SOF1718'!D$55)</f>
        <v>#DIV/0!</v>
      </c>
      <c r="G119" s="2452" t="e">
        <f t="shared" si="13"/>
        <v>#DIV/0!</v>
      </c>
      <c r="H119" s="2449">
        <f>IF(A119='Data Entry - SOF'!B$2,'Data Entry - SOF'!E$64,0)</f>
        <v>0</v>
      </c>
      <c r="I119" s="1687">
        <f t="shared" si="14"/>
        <v>45801791</v>
      </c>
      <c r="J119" s="2212" t="e">
        <f>IF('Report-M&amp;O1819'!C$18-'Report-SOF1819'!D$55&lt;=0,0,'Report-M&amp;O1819'!C$18-'Report-SOF1819'!D$55)</f>
        <v>#DIV/0!</v>
      </c>
      <c r="K119" s="2452" t="e">
        <f t="shared" si="15"/>
        <v>#DIV/0!</v>
      </c>
      <c r="L119" s="2449">
        <f>IF(A119='Data Entry - SOF'!B$2,'Data Entry - SOF'!G$64,0)</f>
        <v>0</v>
      </c>
      <c r="M119" s="1371">
        <f t="shared" si="16"/>
        <v>45801791</v>
      </c>
      <c r="N119" s="2212" t="e">
        <f>IF('Report-M&amp;O1920'!C$18-'Report-SOF1920'!D$55&lt;=0,0,'Report-M&amp;O1920'!C$18-'Report-SOF1920'!D$55)</f>
        <v>#DIV/0!</v>
      </c>
      <c r="O119" s="2452" t="e">
        <f t="shared" si="17"/>
        <v>#DIV/0!</v>
      </c>
      <c r="P119" s="2449">
        <f>IF(A119='Data Entry - SOF'!B$2,'Data Entry - SOF'!I$64,0)</f>
        <v>0</v>
      </c>
      <c r="Q119" s="1687">
        <f t="shared" si="18"/>
        <v>45801791</v>
      </c>
      <c r="R119" s="2212" t="e">
        <f>IF('Report-M&amp;O2021'!C$18-'Report-SOF2021'!D$55&lt;=0,0,'Report-M&amp;O2021'!C$18-'Report-SOF2021'!D$55)</f>
        <v>#DIV/0!</v>
      </c>
      <c r="S119" s="2452" t="e">
        <f t="shared" si="19"/>
        <v>#DIV/0!</v>
      </c>
      <c r="T119" s="1708">
        <f>IF(A119='Data Entry - SOF'!B$2,'Data Entry - SOF'!K$64,0)</f>
        <v>0</v>
      </c>
      <c r="U119" s="1687">
        <f t="shared" si="22"/>
        <v>45801791</v>
      </c>
      <c r="V119" s="2212" t="e">
        <f>IF('Report-M&amp;O2122'!C$18-'Report-SOF2122'!D$55&lt;=0,0,'Report-M&amp;O2122'!C$18-'Report-SOF2122'!D$55)</f>
        <v>#DIV/0!</v>
      </c>
      <c r="W119" s="2452" t="e">
        <f t="shared" si="20"/>
        <v>#DIV/0!</v>
      </c>
      <c r="X119" s="1708">
        <f>IF(A119='Data Entry - SOF'!B$2,'Data Entry - SOF'!M$64,0)</f>
        <v>0</v>
      </c>
      <c r="Y119" s="1371" t="e">
        <f t="shared" si="21"/>
        <v>#DIV/0!</v>
      </c>
      <c r="Z119" s="2212" t="e">
        <f>IF('Report-M&amp;O2223'!C$18-'Report-SOF2223'!D$55&lt;=0,0,'Report-M&amp;O2223'!C$18-'Report-SOF2223'!D$55)</f>
        <v>#DIV/0!</v>
      </c>
      <c r="AA119" s="1708">
        <f>IF(A119='Data Entry - SOF'!B$2,'Data Entry - SOF'!O$64,0)</f>
        <v>0</v>
      </c>
    </row>
    <row r="120" spans="1:27" ht="15.75">
      <c r="A120" s="1076" t="s">
        <v>2671</v>
      </c>
      <c r="B120">
        <v>387245</v>
      </c>
      <c r="C120" s="2452" t="e">
        <f>#REF!+#REF!</f>
        <v>#REF!</v>
      </c>
      <c r="D120" s="2449">
        <f>IF(A120='Data Entry - SOF'!B$2,'Data Entry - SOF'!C$64,0)</f>
        <v>0</v>
      </c>
      <c r="E120" s="2450">
        <f t="shared" si="12"/>
        <v>387245</v>
      </c>
      <c r="F120" s="2212" t="e">
        <f>IF('Report-M&amp;O1718'!C$18-'Report-SOF1718'!D$55&lt;=0,0,'Report-M&amp;O1718'!C$18-'Report-SOF1718'!D$55)</f>
        <v>#DIV/0!</v>
      </c>
      <c r="G120" s="2452" t="e">
        <f t="shared" si="13"/>
        <v>#DIV/0!</v>
      </c>
      <c r="H120" s="2449">
        <f>IF(A120='Data Entry - SOF'!B$2,'Data Entry - SOF'!E$64,0)</f>
        <v>0</v>
      </c>
      <c r="I120" s="1687">
        <f t="shared" si="14"/>
        <v>387245</v>
      </c>
      <c r="J120" s="2212" t="e">
        <f>IF('Report-M&amp;O1819'!C$18-'Report-SOF1819'!D$55&lt;=0,0,'Report-M&amp;O1819'!C$18-'Report-SOF1819'!D$55)</f>
        <v>#DIV/0!</v>
      </c>
      <c r="K120" s="2452" t="e">
        <f t="shared" si="15"/>
        <v>#DIV/0!</v>
      </c>
      <c r="L120" s="2449">
        <f>IF(A120='Data Entry - SOF'!B$2,'Data Entry - SOF'!G$64,0)</f>
        <v>0</v>
      </c>
      <c r="M120" s="1371">
        <f t="shared" si="16"/>
        <v>387245</v>
      </c>
      <c r="N120" s="2212" t="e">
        <f>IF('Report-M&amp;O1920'!C$18-'Report-SOF1920'!D$55&lt;=0,0,'Report-M&amp;O1920'!C$18-'Report-SOF1920'!D$55)</f>
        <v>#DIV/0!</v>
      </c>
      <c r="O120" s="2452" t="e">
        <f t="shared" si="17"/>
        <v>#DIV/0!</v>
      </c>
      <c r="P120" s="2449">
        <f>IF(A120='Data Entry - SOF'!B$2,'Data Entry - SOF'!I$64,0)</f>
        <v>0</v>
      </c>
      <c r="Q120" s="1687">
        <f t="shared" si="18"/>
        <v>387245</v>
      </c>
      <c r="R120" s="2212" t="e">
        <f>IF('Report-M&amp;O2021'!C$18-'Report-SOF2021'!D$55&lt;=0,0,'Report-M&amp;O2021'!C$18-'Report-SOF2021'!D$55)</f>
        <v>#DIV/0!</v>
      </c>
      <c r="S120" s="2452" t="e">
        <f t="shared" si="19"/>
        <v>#DIV/0!</v>
      </c>
      <c r="T120" s="1708">
        <f>IF(A120='Data Entry - SOF'!B$2,'Data Entry - SOF'!K$64,0)</f>
        <v>0</v>
      </c>
      <c r="U120" s="1687">
        <f t="shared" si="22"/>
        <v>387245</v>
      </c>
      <c r="V120" s="2212" t="e">
        <f>IF('Report-M&amp;O2122'!C$18-'Report-SOF2122'!D$55&lt;=0,0,'Report-M&amp;O2122'!C$18-'Report-SOF2122'!D$55)</f>
        <v>#DIV/0!</v>
      </c>
      <c r="W120" s="2452" t="e">
        <f t="shared" si="20"/>
        <v>#DIV/0!</v>
      </c>
      <c r="X120" s="1708">
        <f>IF(A120='Data Entry - SOF'!B$2,'Data Entry - SOF'!M$64,0)</f>
        <v>0</v>
      </c>
      <c r="Y120" s="1371" t="e">
        <f t="shared" si="21"/>
        <v>#DIV/0!</v>
      </c>
      <c r="Z120" s="2212" t="e">
        <f>IF('Report-M&amp;O2223'!C$18-'Report-SOF2223'!D$55&lt;=0,0,'Report-M&amp;O2223'!C$18-'Report-SOF2223'!D$55)</f>
        <v>#DIV/0!</v>
      </c>
      <c r="AA120" s="1708">
        <f>IF(A120='Data Entry - SOF'!B$2,'Data Entry - SOF'!O$64,0)</f>
        <v>0</v>
      </c>
    </row>
    <row r="121" spans="1:27" ht="15.75">
      <c r="A121" s="1076" t="s">
        <v>811</v>
      </c>
      <c r="B121">
        <v>9007766</v>
      </c>
      <c r="C121" s="2452" t="e">
        <f>#REF!+#REF!</f>
        <v>#REF!</v>
      </c>
      <c r="D121" s="2449">
        <f>IF(A121='Data Entry - SOF'!B$2,'Data Entry - SOF'!C$64,0)</f>
        <v>0</v>
      </c>
      <c r="E121" s="2450">
        <f t="shared" si="12"/>
        <v>9007766</v>
      </c>
      <c r="F121" s="2212" t="e">
        <f>IF('Report-M&amp;O1718'!C$18-'Report-SOF1718'!D$55&lt;=0,0,'Report-M&amp;O1718'!C$18-'Report-SOF1718'!D$55)</f>
        <v>#DIV/0!</v>
      </c>
      <c r="G121" s="2452" t="e">
        <f t="shared" si="13"/>
        <v>#DIV/0!</v>
      </c>
      <c r="H121" s="2449">
        <f>IF(A121='Data Entry - SOF'!B$2,'Data Entry - SOF'!E$64,0)</f>
        <v>0</v>
      </c>
      <c r="I121" s="1687">
        <f t="shared" si="14"/>
        <v>9007766</v>
      </c>
      <c r="J121" s="2212" t="e">
        <f>IF('Report-M&amp;O1819'!C$18-'Report-SOF1819'!D$55&lt;=0,0,'Report-M&amp;O1819'!C$18-'Report-SOF1819'!D$55)</f>
        <v>#DIV/0!</v>
      </c>
      <c r="K121" s="2452" t="e">
        <f t="shared" si="15"/>
        <v>#DIV/0!</v>
      </c>
      <c r="L121" s="2449">
        <f>IF(A121='Data Entry - SOF'!B$2,'Data Entry - SOF'!G$64,0)</f>
        <v>0</v>
      </c>
      <c r="M121" s="1371">
        <f t="shared" si="16"/>
        <v>9007766</v>
      </c>
      <c r="N121" s="2212" t="e">
        <f>IF('Report-M&amp;O1920'!C$18-'Report-SOF1920'!D$55&lt;=0,0,'Report-M&amp;O1920'!C$18-'Report-SOF1920'!D$55)</f>
        <v>#DIV/0!</v>
      </c>
      <c r="O121" s="2452" t="e">
        <f t="shared" si="17"/>
        <v>#DIV/0!</v>
      </c>
      <c r="P121" s="2449">
        <f>IF(A121='Data Entry - SOF'!B$2,'Data Entry - SOF'!I$64,0)</f>
        <v>0</v>
      </c>
      <c r="Q121" s="1687">
        <f t="shared" si="18"/>
        <v>9007766</v>
      </c>
      <c r="R121" s="2212" t="e">
        <f>IF('Report-M&amp;O2021'!C$18-'Report-SOF2021'!D$55&lt;=0,0,'Report-M&amp;O2021'!C$18-'Report-SOF2021'!D$55)</f>
        <v>#DIV/0!</v>
      </c>
      <c r="S121" s="2452" t="e">
        <f t="shared" si="19"/>
        <v>#DIV/0!</v>
      </c>
      <c r="T121" s="1708">
        <f>IF(A121='Data Entry - SOF'!B$2,'Data Entry - SOF'!K$64,0)</f>
        <v>0</v>
      </c>
      <c r="U121" s="1687">
        <f t="shared" si="22"/>
        <v>9007766</v>
      </c>
      <c r="V121" s="2212" t="e">
        <f>IF('Report-M&amp;O2122'!C$18-'Report-SOF2122'!D$55&lt;=0,0,'Report-M&amp;O2122'!C$18-'Report-SOF2122'!D$55)</f>
        <v>#DIV/0!</v>
      </c>
      <c r="W121" s="2452" t="e">
        <f t="shared" si="20"/>
        <v>#DIV/0!</v>
      </c>
      <c r="X121" s="1708">
        <f>IF(A121='Data Entry - SOF'!B$2,'Data Entry - SOF'!M$64,0)</f>
        <v>0</v>
      </c>
      <c r="Y121" s="1371" t="e">
        <f t="shared" si="21"/>
        <v>#DIV/0!</v>
      </c>
      <c r="Z121" s="2212" t="e">
        <f>IF('Report-M&amp;O2223'!C$18-'Report-SOF2223'!D$55&lt;=0,0,'Report-M&amp;O2223'!C$18-'Report-SOF2223'!D$55)</f>
        <v>#DIV/0!</v>
      </c>
      <c r="AA121" s="1708">
        <f>IF(A121='Data Entry - SOF'!B$2,'Data Entry - SOF'!O$64,0)</f>
        <v>0</v>
      </c>
    </row>
    <row r="122" spans="1:27" ht="15.75">
      <c r="A122" s="1076" t="s">
        <v>171</v>
      </c>
      <c r="B122">
        <v>1839957</v>
      </c>
      <c r="C122" s="2452" t="e">
        <f>#REF!+#REF!</f>
        <v>#REF!</v>
      </c>
      <c r="D122" s="2449">
        <f>IF(A122='Data Entry - SOF'!B$2,'Data Entry - SOF'!C$64,0)</f>
        <v>0</v>
      </c>
      <c r="E122" s="2450">
        <f t="shared" si="12"/>
        <v>1839957</v>
      </c>
      <c r="F122" s="2212" t="e">
        <f>IF('Report-M&amp;O1718'!C$18-'Report-SOF1718'!D$55&lt;=0,0,'Report-M&amp;O1718'!C$18-'Report-SOF1718'!D$55)</f>
        <v>#DIV/0!</v>
      </c>
      <c r="G122" s="2452" t="e">
        <f t="shared" si="13"/>
        <v>#DIV/0!</v>
      </c>
      <c r="H122" s="2449">
        <f>IF(A122='Data Entry - SOF'!B$2,'Data Entry - SOF'!E$64,0)</f>
        <v>0</v>
      </c>
      <c r="I122" s="1687">
        <f t="shared" si="14"/>
        <v>1839957</v>
      </c>
      <c r="J122" s="2212" t="e">
        <f>IF('Report-M&amp;O1819'!C$18-'Report-SOF1819'!D$55&lt;=0,0,'Report-M&amp;O1819'!C$18-'Report-SOF1819'!D$55)</f>
        <v>#DIV/0!</v>
      </c>
      <c r="K122" s="2452" t="e">
        <f t="shared" si="15"/>
        <v>#DIV/0!</v>
      </c>
      <c r="L122" s="2449">
        <f>IF(A122='Data Entry - SOF'!B$2,'Data Entry - SOF'!G$64,0)</f>
        <v>0</v>
      </c>
      <c r="M122" s="1371">
        <f t="shared" si="16"/>
        <v>1839957</v>
      </c>
      <c r="N122" s="2212" t="e">
        <f>IF('Report-M&amp;O1920'!C$18-'Report-SOF1920'!D$55&lt;=0,0,'Report-M&amp;O1920'!C$18-'Report-SOF1920'!D$55)</f>
        <v>#DIV/0!</v>
      </c>
      <c r="O122" s="2452" t="e">
        <f t="shared" si="17"/>
        <v>#DIV/0!</v>
      </c>
      <c r="P122" s="2449">
        <f>IF(A122='Data Entry - SOF'!B$2,'Data Entry - SOF'!I$64,0)</f>
        <v>0</v>
      </c>
      <c r="Q122" s="1687">
        <f t="shared" si="18"/>
        <v>1839957</v>
      </c>
      <c r="R122" s="2212" t="e">
        <f>IF('Report-M&amp;O2021'!C$18-'Report-SOF2021'!D$55&lt;=0,0,'Report-M&amp;O2021'!C$18-'Report-SOF2021'!D$55)</f>
        <v>#DIV/0!</v>
      </c>
      <c r="S122" s="2452" t="e">
        <f t="shared" si="19"/>
        <v>#DIV/0!</v>
      </c>
      <c r="T122" s="1708">
        <f>IF(A122='Data Entry - SOF'!B$2,'Data Entry - SOF'!K$64,0)</f>
        <v>0</v>
      </c>
      <c r="U122" s="1687">
        <f t="shared" si="22"/>
        <v>1839957</v>
      </c>
      <c r="V122" s="2212" t="e">
        <f>IF('Report-M&amp;O2122'!C$18-'Report-SOF2122'!D$55&lt;=0,0,'Report-M&amp;O2122'!C$18-'Report-SOF2122'!D$55)</f>
        <v>#DIV/0!</v>
      </c>
      <c r="W122" s="2452" t="e">
        <f t="shared" si="20"/>
        <v>#DIV/0!</v>
      </c>
      <c r="X122" s="1708">
        <f>IF(A122='Data Entry - SOF'!B$2,'Data Entry - SOF'!M$64,0)</f>
        <v>0</v>
      </c>
      <c r="Y122" s="1371" t="e">
        <f t="shared" si="21"/>
        <v>#DIV/0!</v>
      </c>
      <c r="Z122" s="2212" t="e">
        <f>IF('Report-M&amp;O2223'!C$18-'Report-SOF2223'!D$55&lt;=0,0,'Report-M&amp;O2223'!C$18-'Report-SOF2223'!D$55)</f>
        <v>#DIV/0!</v>
      </c>
      <c r="AA122" s="1708">
        <f>IF(A122='Data Entry - SOF'!B$2,'Data Entry - SOF'!O$64,0)</f>
        <v>0</v>
      </c>
    </row>
    <row r="123" spans="1:27" ht="15.75">
      <c r="A123" s="1076" t="s">
        <v>2090</v>
      </c>
      <c r="B123">
        <v>2434390</v>
      </c>
      <c r="C123" s="2452" t="e">
        <f>#REF!+#REF!</f>
        <v>#REF!</v>
      </c>
      <c r="D123" s="2449">
        <f>IF(A123='Data Entry - SOF'!B$2,'Data Entry - SOF'!C$64,0)</f>
        <v>0</v>
      </c>
      <c r="E123" s="2450">
        <f t="shared" si="12"/>
        <v>2434390</v>
      </c>
      <c r="F123" s="2212" t="e">
        <f>IF('Report-M&amp;O1718'!C$18-'Report-SOF1718'!D$55&lt;=0,0,'Report-M&amp;O1718'!C$18-'Report-SOF1718'!D$55)</f>
        <v>#DIV/0!</v>
      </c>
      <c r="G123" s="2452" t="e">
        <f t="shared" si="13"/>
        <v>#DIV/0!</v>
      </c>
      <c r="H123" s="2449">
        <f>IF(A123='Data Entry - SOF'!B$2,'Data Entry - SOF'!E$64,0)</f>
        <v>0</v>
      </c>
      <c r="I123" s="1687">
        <f t="shared" si="14"/>
        <v>2434390</v>
      </c>
      <c r="J123" s="2212" t="e">
        <f>IF('Report-M&amp;O1819'!C$18-'Report-SOF1819'!D$55&lt;=0,0,'Report-M&amp;O1819'!C$18-'Report-SOF1819'!D$55)</f>
        <v>#DIV/0!</v>
      </c>
      <c r="K123" s="2452" t="e">
        <f t="shared" si="15"/>
        <v>#DIV/0!</v>
      </c>
      <c r="L123" s="2449">
        <f>IF(A123='Data Entry - SOF'!B$2,'Data Entry - SOF'!G$64,0)</f>
        <v>0</v>
      </c>
      <c r="M123" s="1371">
        <f t="shared" si="16"/>
        <v>2434390</v>
      </c>
      <c r="N123" s="2212" t="e">
        <f>IF('Report-M&amp;O1920'!C$18-'Report-SOF1920'!D$55&lt;=0,0,'Report-M&amp;O1920'!C$18-'Report-SOF1920'!D$55)</f>
        <v>#DIV/0!</v>
      </c>
      <c r="O123" s="2452" t="e">
        <f t="shared" si="17"/>
        <v>#DIV/0!</v>
      </c>
      <c r="P123" s="2449">
        <f>IF(A123='Data Entry - SOF'!B$2,'Data Entry - SOF'!I$64,0)</f>
        <v>0</v>
      </c>
      <c r="Q123" s="1687">
        <f t="shared" si="18"/>
        <v>2434390</v>
      </c>
      <c r="R123" s="2212" t="e">
        <f>IF('Report-M&amp;O2021'!C$18-'Report-SOF2021'!D$55&lt;=0,0,'Report-M&amp;O2021'!C$18-'Report-SOF2021'!D$55)</f>
        <v>#DIV/0!</v>
      </c>
      <c r="S123" s="2452" t="e">
        <f t="shared" si="19"/>
        <v>#DIV/0!</v>
      </c>
      <c r="T123" s="1708">
        <f>IF(A123='Data Entry - SOF'!B$2,'Data Entry - SOF'!K$64,0)</f>
        <v>0</v>
      </c>
      <c r="U123" s="1687">
        <f t="shared" si="22"/>
        <v>2434390</v>
      </c>
      <c r="V123" s="2212" t="e">
        <f>IF('Report-M&amp;O2122'!C$18-'Report-SOF2122'!D$55&lt;=0,0,'Report-M&amp;O2122'!C$18-'Report-SOF2122'!D$55)</f>
        <v>#DIV/0!</v>
      </c>
      <c r="W123" s="2452" t="e">
        <f t="shared" si="20"/>
        <v>#DIV/0!</v>
      </c>
      <c r="X123" s="1708">
        <f>IF(A123='Data Entry - SOF'!B$2,'Data Entry - SOF'!M$64,0)</f>
        <v>0</v>
      </c>
      <c r="Y123" s="1371" t="e">
        <f t="shared" si="21"/>
        <v>#DIV/0!</v>
      </c>
      <c r="Z123" s="2212" t="e">
        <f>IF('Report-M&amp;O2223'!C$18-'Report-SOF2223'!D$55&lt;=0,0,'Report-M&amp;O2223'!C$18-'Report-SOF2223'!D$55)</f>
        <v>#DIV/0!</v>
      </c>
      <c r="AA123" s="1708">
        <f>IF(A123='Data Entry - SOF'!B$2,'Data Entry - SOF'!O$64,0)</f>
        <v>0</v>
      </c>
    </row>
    <row r="124" spans="1:27" ht="15.75">
      <c r="A124" s="1076" t="s">
        <v>993</v>
      </c>
      <c r="B124">
        <v>0</v>
      </c>
      <c r="C124" s="2452" t="e">
        <f>#REF!+#REF!</f>
        <v>#REF!</v>
      </c>
      <c r="D124" s="2449">
        <f>IF(A124='Data Entry - SOF'!B$2,'Data Entry - SOF'!C$64,0)</f>
        <v>0</v>
      </c>
      <c r="E124" s="2450">
        <f t="shared" si="12"/>
        <v>0</v>
      </c>
      <c r="F124" s="2212" t="e">
        <f>IF('Report-M&amp;O1718'!C$18-'Report-SOF1718'!D$55&lt;=0,0,'Report-M&amp;O1718'!C$18-'Report-SOF1718'!D$55)</f>
        <v>#DIV/0!</v>
      </c>
      <c r="G124" s="2452" t="e">
        <f t="shared" si="13"/>
        <v>#DIV/0!</v>
      </c>
      <c r="H124" s="2449">
        <f>IF(A124='Data Entry - SOF'!B$2,'Data Entry - SOF'!E$64,0)</f>
        <v>0</v>
      </c>
      <c r="I124" s="1687">
        <f t="shared" si="14"/>
        <v>0</v>
      </c>
      <c r="J124" s="2212" t="e">
        <f>IF('Report-M&amp;O1819'!C$18-'Report-SOF1819'!D$55&lt;=0,0,'Report-M&amp;O1819'!C$18-'Report-SOF1819'!D$55)</f>
        <v>#DIV/0!</v>
      </c>
      <c r="K124" s="2452" t="e">
        <f t="shared" si="15"/>
        <v>#DIV/0!</v>
      </c>
      <c r="L124" s="2449">
        <f>IF(A124='Data Entry - SOF'!B$2,'Data Entry - SOF'!G$64,0)</f>
        <v>0</v>
      </c>
      <c r="M124" s="1371">
        <f t="shared" si="16"/>
        <v>0</v>
      </c>
      <c r="N124" s="2212" t="e">
        <f>IF('Report-M&amp;O1920'!C$18-'Report-SOF1920'!D$55&lt;=0,0,'Report-M&amp;O1920'!C$18-'Report-SOF1920'!D$55)</f>
        <v>#DIV/0!</v>
      </c>
      <c r="O124" s="2452" t="e">
        <f t="shared" si="17"/>
        <v>#DIV/0!</v>
      </c>
      <c r="P124" s="2449">
        <f>IF(A124='Data Entry - SOF'!B$2,'Data Entry - SOF'!I$64,0)</f>
        <v>0</v>
      </c>
      <c r="Q124" s="1687">
        <f t="shared" si="18"/>
        <v>0</v>
      </c>
      <c r="R124" s="2212" t="e">
        <f>IF('Report-M&amp;O2021'!C$18-'Report-SOF2021'!D$55&lt;=0,0,'Report-M&amp;O2021'!C$18-'Report-SOF2021'!D$55)</f>
        <v>#DIV/0!</v>
      </c>
      <c r="S124" s="2452" t="e">
        <f t="shared" si="19"/>
        <v>#DIV/0!</v>
      </c>
      <c r="T124" s="1708">
        <f>IF(A124='Data Entry - SOF'!B$2,'Data Entry - SOF'!K$64,0)</f>
        <v>0</v>
      </c>
      <c r="U124" s="1687">
        <f t="shared" si="22"/>
        <v>0</v>
      </c>
      <c r="V124" s="2212" t="e">
        <f>IF('Report-M&amp;O2122'!C$18-'Report-SOF2122'!D$55&lt;=0,0,'Report-M&amp;O2122'!C$18-'Report-SOF2122'!D$55)</f>
        <v>#DIV/0!</v>
      </c>
      <c r="W124" s="2452" t="e">
        <f t="shared" si="20"/>
        <v>#DIV/0!</v>
      </c>
      <c r="X124" s="1708">
        <f>IF(A124='Data Entry - SOF'!B$2,'Data Entry - SOF'!M$64,0)</f>
        <v>0</v>
      </c>
      <c r="Y124" s="1371" t="e">
        <f t="shared" si="21"/>
        <v>#DIV/0!</v>
      </c>
      <c r="Z124" s="2212" t="e">
        <f>IF('Report-M&amp;O2223'!C$18-'Report-SOF2223'!D$55&lt;=0,0,'Report-M&amp;O2223'!C$18-'Report-SOF2223'!D$55)</f>
        <v>#DIV/0!</v>
      </c>
      <c r="AA124" s="1708">
        <f>IF(A124='Data Entry - SOF'!B$2,'Data Entry - SOF'!O$64,0)</f>
        <v>0</v>
      </c>
    </row>
    <row r="125" spans="1:27" ht="15.75">
      <c r="A125" s="1076" t="s">
        <v>2126</v>
      </c>
      <c r="B125">
        <v>6276230</v>
      </c>
      <c r="C125" s="2452" t="e">
        <f>#REF!+#REF!</f>
        <v>#REF!</v>
      </c>
      <c r="D125" s="2449">
        <f>IF(A125='Data Entry - SOF'!B$2,'Data Entry - SOF'!C$64,0)</f>
        <v>0</v>
      </c>
      <c r="E125" s="2450">
        <f t="shared" si="12"/>
        <v>6276230</v>
      </c>
      <c r="F125" s="2212" t="e">
        <f>IF('Report-M&amp;O1718'!C$18-'Report-SOF1718'!D$55&lt;=0,0,'Report-M&amp;O1718'!C$18-'Report-SOF1718'!D$55)</f>
        <v>#DIV/0!</v>
      </c>
      <c r="G125" s="2452" t="e">
        <f t="shared" si="13"/>
        <v>#DIV/0!</v>
      </c>
      <c r="H125" s="2449">
        <f>IF(A125='Data Entry - SOF'!B$2,'Data Entry - SOF'!E$64,0)</f>
        <v>0</v>
      </c>
      <c r="I125" s="1687">
        <f t="shared" si="14"/>
        <v>6276230</v>
      </c>
      <c r="J125" s="2212" t="e">
        <f>IF('Report-M&amp;O1819'!C$18-'Report-SOF1819'!D$55&lt;=0,0,'Report-M&amp;O1819'!C$18-'Report-SOF1819'!D$55)</f>
        <v>#DIV/0!</v>
      </c>
      <c r="K125" s="2452" t="e">
        <f t="shared" si="15"/>
        <v>#DIV/0!</v>
      </c>
      <c r="L125" s="2449">
        <f>IF(A125='Data Entry - SOF'!B$2,'Data Entry - SOF'!G$64,0)</f>
        <v>0</v>
      </c>
      <c r="M125" s="1371">
        <f t="shared" si="16"/>
        <v>6276230</v>
      </c>
      <c r="N125" s="2212" t="e">
        <f>IF('Report-M&amp;O1920'!C$18-'Report-SOF1920'!D$55&lt;=0,0,'Report-M&amp;O1920'!C$18-'Report-SOF1920'!D$55)</f>
        <v>#DIV/0!</v>
      </c>
      <c r="O125" s="2452" t="e">
        <f t="shared" si="17"/>
        <v>#DIV/0!</v>
      </c>
      <c r="P125" s="2449">
        <f>IF(A125='Data Entry - SOF'!B$2,'Data Entry - SOF'!I$64,0)</f>
        <v>0</v>
      </c>
      <c r="Q125" s="1687">
        <f t="shared" si="18"/>
        <v>6276230</v>
      </c>
      <c r="R125" s="2212" t="e">
        <f>IF('Report-M&amp;O2021'!C$18-'Report-SOF2021'!D$55&lt;=0,0,'Report-M&amp;O2021'!C$18-'Report-SOF2021'!D$55)</f>
        <v>#DIV/0!</v>
      </c>
      <c r="S125" s="2452" t="e">
        <f t="shared" si="19"/>
        <v>#DIV/0!</v>
      </c>
      <c r="T125" s="1708">
        <f>IF(A125='Data Entry - SOF'!B$2,'Data Entry - SOF'!K$64,0)</f>
        <v>0</v>
      </c>
      <c r="U125" s="1687">
        <f t="shared" si="22"/>
        <v>6276230</v>
      </c>
      <c r="V125" s="2212" t="e">
        <f>IF('Report-M&amp;O2122'!C$18-'Report-SOF2122'!D$55&lt;=0,0,'Report-M&amp;O2122'!C$18-'Report-SOF2122'!D$55)</f>
        <v>#DIV/0!</v>
      </c>
      <c r="W125" s="2452" t="e">
        <f t="shared" si="20"/>
        <v>#DIV/0!</v>
      </c>
      <c r="X125" s="1708">
        <f>IF(A125='Data Entry - SOF'!B$2,'Data Entry - SOF'!M$64,0)</f>
        <v>0</v>
      </c>
      <c r="Y125" s="1371" t="e">
        <f t="shared" si="21"/>
        <v>#DIV/0!</v>
      </c>
      <c r="Z125" s="2212" t="e">
        <f>IF('Report-M&amp;O2223'!C$18-'Report-SOF2223'!D$55&lt;=0,0,'Report-M&amp;O2223'!C$18-'Report-SOF2223'!D$55)</f>
        <v>#DIV/0!</v>
      </c>
      <c r="AA125" s="1708">
        <f>IF(A125='Data Entry - SOF'!B$2,'Data Entry - SOF'!O$64,0)</f>
        <v>0</v>
      </c>
    </row>
    <row r="126" spans="1:27" ht="15.75">
      <c r="A126" s="1076" t="s">
        <v>64</v>
      </c>
      <c r="B126">
        <v>0</v>
      </c>
      <c r="C126" s="2452" t="e">
        <f>#REF!+#REF!</f>
        <v>#REF!</v>
      </c>
      <c r="D126" s="2449">
        <f>IF(A126='Data Entry - SOF'!B$2,'Data Entry - SOF'!C$64,0)</f>
        <v>0</v>
      </c>
      <c r="E126" s="2450">
        <f t="shared" si="12"/>
        <v>0</v>
      </c>
      <c r="F126" s="2212" t="e">
        <f>IF('Report-M&amp;O1718'!C$18-'Report-SOF1718'!D$55&lt;=0,0,'Report-M&amp;O1718'!C$18-'Report-SOF1718'!D$55)</f>
        <v>#DIV/0!</v>
      </c>
      <c r="G126" s="2452" t="e">
        <f t="shared" si="13"/>
        <v>#DIV/0!</v>
      </c>
      <c r="H126" s="2449">
        <f>IF(A126='Data Entry - SOF'!B$2,'Data Entry - SOF'!E$64,0)</f>
        <v>0</v>
      </c>
      <c r="I126" s="1687">
        <f t="shared" si="14"/>
        <v>0</v>
      </c>
      <c r="J126" s="2212" t="e">
        <f>IF('Report-M&amp;O1819'!C$18-'Report-SOF1819'!D$55&lt;=0,0,'Report-M&amp;O1819'!C$18-'Report-SOF1819'!D$55)</f>
        <v>#DIV/0!</v>
      </c>
      <c r="K126" s="2452" t="e">
        <f t="shared" si="15"/>
        <v>#DIV/0!</v>
      </c>
      <c r="L126" s="2449">
        <f>IF(A126='Data Entry - SOF'!B$2,'Data Entry - SOF'!G$64,0)</f>
        <v>0</v>
      </c>
      <c r="M126" s="1371">
        <f t="shared" si="16"/>
        <v>0</v>
      </c>
      <c r="N126" s="2212" t="e">
        <f>IF('Report-M&amp;O1920'!C$18-'Report-SOF1920'!D$55&lt;=0,0,'Report-M&amp;O1920'!C$18-'Report-SOF1920'!D$55)</f>
        <v>#DIV/0!</v>
      </c>
      <c r="O126" s="2452" t="e">
        <f t="shared" si="17"/>
        <v>#DIV/0!</v>
      </c>
      <c r="P126" s="2449">
        <f>IF(A126='Data Entry - SOF'!B$2,'Data Entry - SOF'!I$64,0)</f>
        <v>0</v>
      </c>
      <c r="Q126" s="1687">
        <f t="shared" si="18"/>
        <v>0</v>
      </c>
      <c r="R126" s="2212" t="e">
        <f>IF('Report-M&amp;O2021'!C$18-'Report-SOF2021'!D$55&lt;=0,0,'Report-M&amp;O2021'!C$18-'Report-SOF2021'!D$55)</f>
        <v>#DIV/0!</v>
      </c>
      <c r="S126" s="2452" t="e">
        <f t="shared" si="19"/>
        <v>#DIV/0!</v>
      </c>
      <c r="T126" s="1708">
        <f>IF(A126='Data Entry - SOF'!B$2,'Data Entry - SOF'!K$64,0)</f>
        <v>0</v>
      </c>
      <c r="U126" s="1687">
        <f t="shared" si="22"/>
        <v>0</v>
      </c>
      <c r="V126" s="2212" t="e">
        <f>IF('Report-M&amp;O2122'!C$18-'Report-SOF2122'!D$55&lt;=0,0,'Report-M&amp;O2122'!C$18-'Report-SOF2122'!D$55)</f>
        <v>#DIV/0!</v>
      </c>
      <c r="W126" s="2452" t="e">
        <f t="shared" si="20"/>
        <v>#DIV/0!</v>
      </c>
      <c r="X126" s="1708">
        <f>IF(A126='Data Entry - SOF'!B$2,'Data Entry - SOF'!M$64,0)</f>
        <v>0</v>
      </c>
      <c r="Y126" s="1371" t="e">
        <f t="shared" si="21"/>
        <v>#DIV/0!</v>
      </c>
      <c r="Z126" s="2212" t="e">
        <f>IF('Report-M&amp;O2223'!C$18-'Report-SOF2223'!D$55&lt;=0,0,'Report-M&amp;O2223'!C$18-'Report-SOF2223'!D$55)</f>
        <v>#DIV/0!</v>
      </c>
      <c r="AA126" s="1708">
        <f>IF(A126='Data Entry - SOF'!B$2,'Data Entry - SOF'!O$64,0)</f>
        <v>0</v>
      </c>
    </row>
    <row r="127" spans="1:27" ht="15.75">
      <c r="A127" s="1076" t="s">
        <v>2606</v>
      </c>
      <c r="B127">
        <v>0</v>
      </c>
      <c r="C127" s="2452" t="e">
        <f>#REF!+#REF!</f>
        <v>#REF!</v>
      </c>
      <c r="D127" s="2449">
        <f>IF(A127='Data Entry - SOF'!B$2,'Data Entry - SOF'!C$64,0)</f>
        <v>0</v>
      </c>
      <c r="E127" s="2450">
        <f t="shared" si="12"/>
        <v>0</v>
      </c>
      <c r="F127" s="2212" t="e">
        <f>IF('Report-M&amp;O1718'!C$18-'Report-SOF1718'!D$55&lt;=0,0,'Report-M&amp;O1718'!C$18-'Report-SOF1718'!D$55)</f>
        <v>#DIV/0!</v>
      </c>
      <c r="G127" s="2452" t="e">
        <f t="shared" si="13"/>
        <v>#DIV/0!</v>
      </c>
      <c r="H127" s="2449">
        <f>IF(A127='Data Entry - SOF'!B$2,'Data Entry - SOF'!E$64,0)</f>
        <v>0</v>
      </c>
      <c r="I127" s="1687">
        <f t="shared" si="14"/>
        <v>0</v>
      </c>
      <c r="J127" s="2212" t="e">
        <f>IF('Report-M&amp;O1819'!C$18-'Report-SOF1819'!D$55&lt;=0,0,'Report-M&amp;O1819'!C$18-'Report-SOF1819'!D$55)</f>
        <v>#DIV/0!</v>
      </c>
      <c r="K127" s="2452" t="e">
        <f t="shared" si="15"/>
        <v>#DIV/0!</v>
      </c>
      <c r="L127" s="2449">
        <f>IF(A127='Data Entry - SOF'!B$2,'Data Entry - SOF'!G$64,0)</f>
        <v>0</v>
      </c>
      <c r="M127" s="1371">
        <f t="shared" si="16"/>
        <v>0</v>
      </c>
      <c r="N127" s="2212" t="e">
        <f>IF('Report-M&amp;O1920'!C$18-'Report-SOF1920'!D$55&lt;=0,0,'Report-M&amp;O1920'!C$18-'Report-SOF1920'!D$55)</f>
        <v>#DIV/0!</v>
      </c>
      <c r="O127" s="2452" t="e">
        <f t="shared" si="17"/>
        <v>#DIV/0!</v>
      </c>
      <c r="P127" s="2449">
        <f>IF(A127='Data Entry - SOF'!B$2,'Data Entry - SOF'!I$64,0)</f>
        <v>0</v>
      </c>
      <c r="Q127" s="1687">
        <f t="shared" si="18"/>
        <v>0</v>
      </c>
      <c r="R127" s="2212" t="e">
        <f>IF('Report-M&amp;O2021'!C$18-'Report-SOF2021'!D$55&lt;=0,0,'Report-M&amp;O2021'!C$18-'Report-SOF2021'!D$55)</f>
        <v>#DIV/0!</v>
      </c>
      <c r="S127" s="2452" t="e">
        <f t="shared" si="19"/>
        <v>#DIV/0!</v>
      </c>
      <c r="T127" s="1708">
        <f>IF(A127='Data Entry - SOF'!B$2,'Data Entry - SOF'!K$64,0)</f>
        <v>0</v>
      </c>
      <c r="U127" s="1687">
        <f t="shared" si="22"/>
        <v>0</v>
      </c>
      <c r="V127" s="2212" t="e">
        <f>IF('Report-M&amp;O2122'!C$18-'Report-SOF2122'!D$55&lt;=0,0,'Report-M&amp;O2122'!C$18-'Report-SOF2122'!D$55)</f>
        <v>#DIV/0!</v>
      </c>
      <c r="W127" s="2452" t="e">
        <f t="shared" si="20"/>
        <v>#DIV/0!</v>
      </c>
      <c r="X127" s="1708">
        <f>IF(A127='Data Entry - SOF'!B$2,'Data Entry - SOF'!M$64,0)</f>
        <v>0</v>
      </c>
      <c r="Y127" s="1371" t="e">
        <f t="shared" si="21"/>
        <v>#DIV/0!</v>
      </c>
      <c r="Z127" s="2212" t="e">
        <f>IF('Report-M&amp;O2223'!C$18-'Report-SOF2223'!D$55&lt;=0,0,'Report-M&amp;O2223'!C$18-'Report-SOF2223'!D$55)</f>
        <v>#DIV/0!</v>
      </c>
      <c r="AA127" s="1708">
        <f>IF(A127='Data Entry - SOF'!B$2,'Data Entry - SOF'!O$64,0)</f>
        <v>0</v>
      </c>
    </row>
    <row r="128" spans="1:27" ht="15.75">
      <c r="A128" s="1076" t="s">
        <v>1892</v>
      </c>
      <c r="B128">
        <v>25845476</v>
      </c>
      <c r="C128" s="2452" t="e">
        <f>#REF!+#REF!</f>
        <v>#REF!</v>
      </c>
      <c r="D128" s="2449">
        <f>IF(A128='Data Entry - SOF'!B$2,'Data Entry - SOF'!C$64,0)</f>
        <v>0</v>
      </c>
      <c r="E128" s="2450">
        <f t="shared" si="12"/>
        <v>25845476</v>
      </c>
      <c r="F128" s="2212" t="e">
        <f>IF('Report-M&amp;O1718'!C$18-'Report-SOF1718'!D$55&lt;=0,0,'Report-M&amp;O1718'!C$18-'Report-SOF1718'!D$55)</f>
        <v>#DIV/0!</v>
      </c>
      <c r="G128" s="2452" t="e">
        <f t="shared" si="13"/>
        <v>#DIV/0!</v>
      </c>
      <c r="H128" s="2449">
        <f>IF(A128='Data Entry - SOF'!B$2,'Data Entry - SOF'!E$64,0)</f>
        <v>0</v>
      </c>
      <c r="I128" s="1687">
        <f t="shared" si="14"/>
        <v>25845476</v>
      </c>
      <c r="J128" s="2212" t="e">
        <f>IF('Report-M&amp;O1819'!C$18-'Report-SOF1819'!D$55&lt;=0,0,'Report-M&amp;O1819'!C$18-'Report-SOF1819'!D$55)</f>
        <v>#DIV/0!</v>
      </c>
      <c r="K128" s="2452" t="e">
        <f t="shared" si="15"/>
        <v>#DIV/0!</v>
      </c>
      <c r="L128" s="2449">
        <f>IF(A128='Data Entry - SOF'!B$2,'Data Entry - SOF'!G$64,0)</f>
        <v>0</v>
      </c>
      <c r="M128" s="1371">
        <f t="shared" si="16"/>
        <v>25845476</v>
      </c>
      <c r="N128" s="2212" t="e">
        <f>IF('Report-M&amp;O1920'!C$18-'Report-SOF1920'!D$55&lt;=0,0,'Report-M&amp;O1920'!C$18-'Report-SOF1920'!D$55)</f>
        <v>#DIV/0!</v>
      </c>
      <c r="O128" s="2452" t="e">
        <f t="shared" si="17"/>
        <v>#DIV/0!</v>
      </c>
      <c r="P128" s="2449">
        <f>IF(A128='Data Entry - SOF'!B$2,'Data Entry - SOF'!I$64,0)</f>
        <v>0</v>
      </c>
      <c r="Q128" s="1687">
        <f t="shared" si="18"/>
        <v>25845476</v>
      </c>
      <c r="R128" s="2212" t="e">
        <f>IF('Report-M&amp;O2021'!C$18-'Report-SOF2021'!D$55&lt;=0,0,'Report-M&amp;O2021'!C$18-'Report-SOF2021'!D$55)</f>
        <v>#DIV/0!</v>
      </c>
      <c r="S128" s="2452" t="e">
        <f t="shared" si="19"/>
        <v>#DIV/0!</v>
      </c>
      <c r="T128" s="1708">
        <f>IF(A128='Data Entry - SOF'!B$2,'Data Entry - SOF'!K$64,0)</f>
        <v>0</v>
      </c>
      <c r="U128" s="1687">
        <f t="shared" si="22"/>
        <v>25845476</v>
      </c>
      <c r="V128" s="2212" t="e">
        <f>IF('Report-M&amp;O2122'!C$18-'Report-SOF2122'!D$55&lt;=0,0,'Report-M&amp;O2122'!C$18-'Report-SOF2122'!D$55)</f>
        <v>#DIV/0!</v>
      </c>
      <c r="W128" s="2452" t="e">
        <f t="shared" si="20"/>
        <v>#DIV/0!</v>
      </c>
      <c r="X128" s="1708">
        <f>IF(A128='Data Entry - SOF'!B$2,'Data Entry - SOF'!M$64,0)</f>
        <v>0</v>
      </c>
      <c r="Y128" s="1371" t="e">
        <f t="shared" si="21"/>
        <v>#DIV/0!</v>
      </c>
      <c r="Z128" s="2212" t="e">
        <f>IF('Report-M&amp;O2223'!C$18-'Report-SOF2223'!D$55&lt;=0,0,'Report-M&amp;O2223'!C$18-'Report-SOF2223'!D$55)</f>
        <v>#DIV/0!</v>
      </c>
      <c r="AA128" s="1708">
        <f>IF(A128='Data Entry - SOF'!B$2,'Data Entry - SOF'!O$64,0)</f>
        <v>0</v>
      </c>
    </row>
    <row r="129" spans="1:27" ht="15.75">
      <c r="A129" s="1076" t="s">
        <v>812</v>
      </c>
      <c r="B129">
        <v>302117</v>
      </c>
      <c r="C129" s="2452" t="e">
        <f>#REF!+#REF!</f>
        <v>#REF!</v>
      </c>
      <c r="D129" s="2449">
        <f>IF(A129='Data Entry - SOF'!B$2,'Data Entry - SOF'!C$64,0)</f>
        <v>0</v>
      </c>
      <c r="E129" s="2450">
        <f t="shared" si="12"/>
        <v>302117</v>
      </c>
      <c r="F129" s="2212" t="e">
        <f>IF('Report-M&amp;O1718'!C$18-'Report-SOF1718'!D$55&lt;=0,0,'Report-M&amp;O1718'!C$18-'Report-SOF1718'!D$55)</f>
        <v>#DIV/0!</v>
      </c>
      <c r="G129" s="2452" t="e">
        <f t="shared" si="13"/>
        <v>#DIV/0!</v>
      </c>
      <c r="H129" s="2449">
        <f>IF(A129='Data Entry - SOF'!B$2,'Data Entry - SOF'!E$64,0)</f>
        <v>0</v>
      </c>
      <c r="I129" s="1687">
        <f t="shared" si="14"/>
        <v>302117</v>
      </c>
      <c r="J129" s="2212" t="e">
        <f>IF('Report-M&amp;O1819'!C$18-'Report-SOF1819'!D$55&lt;=0,0,'Report-M&amp;O1819'!C$18-'Report-SOF1819'!D$55)</f>
        <v>#DIV/0!</v>
      </c>
      <c r="K129" s="2452" t="e">
        <f t="shared" si="15"/>
        <v>#DIV/0!</v>
      </c>
      <c r="L129" s="2449">
        <f>IF(A129='Data Entry - SOF'!B$2,'Data Entry - SOF'!G$64,0)</f>
        <v>0</v>
      </c>
      <c r="M129" s="1371">
        <f t="shared" si="16"/>
        <v>302117</v>
      </c>
      <c r="N129" s="2212" t="e">
        <f>IF('Report-M&amp;O1920'!C$18-'Report-SOF1920'!D$55&lt;=0,0,'Report-M&amp;O1920'!C$18-'Report-SOF1920'!D$55)</f>
        <v>#DIV/0!</v>
      </c>
      <c r="O129" s="2452" t="e">
        <f t="shared" si="17"/>
        <v>#DIV/0!</v>
      </c>
      <c r="P129" s="2449">
        <f>IF(A129='Data Entry - SOF'!B$2,'Data Entry - SOF'!I$64,0)</f>
        <v>0</v>
      </c>
      <c r="Q129" s="1687">
        <f t="shared" si="18"/>
        <v>302117</v>
      </c>
      <c r="R129" s="2212" t="e">
        <f>IF('Report-M&amp;O2021'!C$18-'Report-SOF2021'!D$55&lt;=0,0,'Report-M&amp;O2021'!C$18-'Report-SOF2021'!D$55)</f>
        <v>#DIV/0!</v>
      </c>
      <c r="S129" s="2452" t="e">
        <f t="shared" si="19"/>
        <v>#DIV/0!</v>
      </c>
      <c r="T129" s="1708">
        <f>IF(A129='Data Entry - SOF'!B$2,'Data Entry - SOF'!K$64,0)</f>
        <v>0</v>
      </c>
      <c r="U129" s="1687">
        <f t="shared" si="22"/>
        <v>302117</v>
      </c>
      <c r="V129" s="2212" t="e">
        <f>IF('Report-M&amp;O2122'!C$18-'Report-SOF2122'!D$55&lt;=0,0,'Report-M&amp;O2122'!C$18-'Report-SOF2122'!D$55)</f>
        <v>#DIV/0!</v>
      </c>
      <c r="W129" s="2452" t="e">
        <f t="shared" si="20"/>
        <v>#DIV/0!</v>
      </c>
      <c r="X129" s="1708">
        <f>IF(A129='Data Entry - SOF'!B$2,'Data Entry - SOF'!M$64,0)</f>
        <v>0</v>
      </c>
      <c r="Y129" s="1371" t="e">
        <f t="shared" si="21"/>
        <v>#DIV/0!</v>
      </c>
      <c r="Z129" s="2212" t="e">
        <f>IF('Report-M&amp;O2223'!C$18-'Report-SOF2223'!D$55&lt;=0,0,'Report-M&amp;O2223'!C$18-'Report-SOF2223'!D$55)</f>
        <v>#DIV/0!</v>
      </c>
      <c r="AA129" s="1708">
        <f>IF(A129='Data Entry - SOF'!B$2,'Data Entry - SOF'!O$64,0)</f>
        <v>0</v>
      </c>
    </row>
    <row r="130" spans="1:27" ht="15.75">
      <c r="A130" s="1076" t="s">
        <v>1490</v>
      </c>
      <c r="B130">
        <v>0</v>
      </c>
      <c r="C130" s="2452" t="e">
        <f>#REF!+#REF!</f>
        <v>#REF!</v>
      </c>
      <c r="D130" s="2449">
        <f>IF(A130='Data Entry - SOF'!B$2,'Data Entry - SOF'!C$64,0)</f>
        <v>0</v>
      </c>
      <c r="E130" s="2450">
        <f t="shared" si="12"/>
        <v>0</v>
      </c>
      <c r="F130" s="2212" t="e">
        <f>IF('Report-M&amp;O1718'!C$18-'Report-SOF1718'!D$55&lt;=0,0,'Report-M&amp;O1718'!C$18-'Report-SOF1718'!D$55)</f>
        <v>#DIV/0!</v>
      </c>
      <c r="G130" s="2452" t="e">
        <f t="shared" si="13"/>
        <v>#DIV/0!</v>
      </c>
      <c r="H130" s="2449">
        <f>IF(A130='Data Entry - SOF'!B$2,'Data Entry - SOF'!E$64,0)</f>
        <v>0</v>
      </c>
      <c r="I130" s="1687">
        <f t="shared" si="14"/>
        <v>0</v>
      </c>
      <c r="J130" s="2212" t="e">
        <f>IF('Report-M&amp;O1819'!C$18-'Report-SOF1819'!D$55&lt;=0,0,'Report-M&amp;O1819'!C$18-'Report-SOF1819'!D$55)</f>
        <v>#DIV/0!</v>
      </c>
      <c r="K130" s="2452" t="e">
        <f t="shared" si="15"/>
        <v>#DIV/0!</v>
      </c>
      <c r="L130" s="2449">
        <f>IF(A130='Data Entry - SOF'!B$2,'Data Entry - SOF'!G$64,0)</f>
        <v>0</v>
      </c>
      <c r="M130" s="1371">
        <f t="shared" si="16"/>
        <v>0</v>
      </c>
      <c r="N130" s="2212" t="e">
        <f>IF('Report-M&amp;O1920'!C$18-'Report-SOF1920'!D$55&lt;=0,0,'Report-M&amp;O1920'!C$18-'Report-SOF1920'!D$55)</f>
        <v>#DIV/0!</v>
      </c>
      <c r="O130" s="2452" t="e">
        <f t="shared" si="17"/>
        <v>#DIV/0!</v>
      </c>
      <c r="P130" s="2449">
        <f>IF(A130='Data Entry - SOF'!B$2,'Data Entry - SOF'!I$64,0)</f>
        <v>0</v>
      </c>
      <c r="Q130" s="1687">
        <f t="shared" si="18"/>
        <v>0</v>
      </c>
      <c r="R130" s="2212" t="e">
        <f>IF('Report-M&amp;O2021'!C$18-'Report-SOF2021'!D$55&lt;=0,0,'Report-M&amp;O2021'!C$18-'Report-SOF2021'!D$55)</f>
        <v>#DIV/0!</v>
      </c>
      <c r="S130" s="2452" t="e">
        <f t="shared" si="19"/>
        <v>#DIV/0!</v>
      </c>
      <c r="T130" s="1708">
        <f>IF(A130='Data Entry - SOF'!B$2,'Data Entry - SOF'!K$64,0)</f>
        <v>0</v>
      </c>
      <c r="U130" s="1687">
        <f t="shared" si="22"/>
        <v>0</v>
      </c>
      <c r="V130" s="2212" t="e">
        <f>IF('Report-M&amp;O2122'!C$18-'Report-SOF2122'!D$55&lt;=0,0,'Report-M&amp;O2122'!C$18-'Report-SOF2122'!D$55)</f>
        <v>#DIV/0!</v>
      </c>
      <c r="W130" s="2452" t="e">
        <f t="shared" si="20"/>
        <v>#DIV/0!</v>
      </c>
      <c r="X130" s="1708">
        <f>IF(A130='Data Entry - SOF'!B$2,'Data Entry - SOF'!M$64,0)</f>
        <v>0</v>
      </c>
      <c r="Y130" s="1371" t="e">
        <f t="shared" si="21"/>
        <v>#DIV/0!</v>
      </c>
      <c r="Z130" s="2212" t="e">
        <f>IF('Report-M&amp;O2223'!C$18-'Report-SOF2223'!D$55&lt;=0,0,'Report-M&amp;O2223'!C$18-'Report-SOF2223'!D$55)</f>
        <v>#DIV/0!</v>
      </c>
      <c r="AA130" s="1708">
        <f>IF(A130='Data Entry - SOF'!B$2,'Data Entry - SOF'!O$64,0)</f>
        <v>0</v>
      </c>
    </row>
    <row r="131" spans="1:27" ht="15.75">
      <c r="A131" s="1076" t="s">
        <v>813</v>
      </c>
      <c r="B131">
        <v>656775</v>
      </c>
      <c r="C131" s="2452" t="e">
        <f>#REF!+#REF!</f>
        <v>#REF!</v>
      </c>
      <c r="D131" s="2449">
        <f>IF(A131='Data Entry - SOF'!B$2,'Data Entry - SOF'!C$64,0)</f>
        <v>0</v>
      </c>
      <c r="E131" s="2450">
        <f t="shared" si="12"/>
        <v>656775</v>
      </c>
      <c r="F131" s="2212" t="e">
        <f>IF('Report-M&amp;O1718'!C$18-'Report-SOF1718'!D$55&lt;=0,0,'Report-M&amp;O1718'!C$18-'Report-SOF1718'!D$55)</f>
        <v>#DIV/0!</v>
      </c>
      <c r="G131" s="2452" t="e">
        <f t="shared" si="13"/>
        <v>#DIV/0!</v>
      </c>
      <c r="H131" s="2449">
        <f>IF(A131='Data Entry - SOF'!B$2,'Data Entry - SOF'!E$64,0)</f>
        <v>0</v>
      </c>
      <c r="I131" s="1687">
        <f t="shared" si="14"/>
        <v>656775</v>
      </c>
      <c r="J131" s="2212" t="e">
        <f>IF('Report-M&amp;O1819'!C$18-'Report-SOF1819'!D$55&lt;=0,0,'Report-M&amp;O1819'!C$18-'Report-SOF1819'!D$55)</f>
        <v>#DIV/0!</v>
      </c>
      <c r="K131" s="2452" t="e">
        <f t="shared" si="15"/>
        <v>#DIV/0!</v>
      </c>
      <c r="L131" s="2449">
        <f>IF(A131='Data Entry - SOF'!B$2,'Data Entry - SOF'!G$64,0)</f>
        <v>0</v>
      </c>
      <c r="M131" s="1371">
        <f t="shared" si="16"/>
        <v>656775</v>
      </c>
      <c r="N131" s="2212" t="e">
        <f>IF('Report-M&amp;O1920'!C$18-'Report-SOF1920'!D$55&lt;=0,0,'Report-M&amp;O1920'!C$18-'Report-SOF1920'!D$55)</f>
        <v>#DIV/0!</v>
      </c>
      <c r="O131" s="2452" t="e">
        <f t="shared" si="17"/>
        <v>#DIV/0!</v>
      </c>
      <c r="P131" s="2449">
        <f>IF(A131='Data Entry - SOF'!B$2,'Data Entry - SOF'!I$64,0)</f>
        <v>0</v>
      </c>
      <c r="Q131" s="1687">
        <f t="shared" si="18"/>
        <v>656775</v>
      </c>
      <c r="R131" s="2212" t="e">
        <f>IF('Report-M&amp;O2021'!C$18-'Report-SOF2021'!D$55&lt;=0,0,'Report-M&amp;O2021'!C$18-'Report-SOF2021'!D$55)</f>
        <v>#DIV/0!</v>
      </c>
      <c r="S131" s="2452" t="e">
        <f t="shared" si="19"/>
        <v>#DIV/0!</v>
      </c>
      <c r="T131" s="1708">
        <f>IF(A131='Data Entry - SOF'!B$2,'Data Entry - SOF'!K$64,0)</f>
        <v>0</v>
      </c>
      <c r="U131" s="1687">
        <f t="shared" si="22"/>
        <v>656775</v>
      </c>
      <c r="V131" s="2212" t="e">
        <f>IF('Report-M&amp;O2122'!C$18-'Report-SOF2122'!D$55&lt;=0,0,'Report-M&amp;O2122'!C$18-'Report-SOF2122'!D$55)</f>
        <v>#DIV/0!</v>
      </c>
      <c r="W131" s="2452" t="e">
        <f t="shared" si="20"/>
        <v>#DIV/0!</v>
      </c>
      <c r="X131" s="1708">
        <f>IF(A131='Data Entry - SOF'!B$2,'Data Entry - SOF'!M$64,0)</f>
        <v>0</v>
      </c>
      <c r="Y131" s="1371" t="e">
        <f t="shared" si="21"/>
        <v>#DIV/0!</v>
      </c>
      <c r="Z131" s="2212" t="e">
        <f>IF('Report-M&amp;O2223'!C$18-'Report-SOF2223'!D$55&lt;=0,0,'Report-M&amp;O2223'!C$18-'Report-SOF2223'!D$55)</f>
        <v>#DIV/0!</v>
      </c>
      <c r="AA131" s="1708">
        <f>IF(A131='Data Entry - SOF'!B$2,'Data Entry - SOF'!O$64,0)</f>
        <v>0</v>
      </c>
    </row>
    <row r="132" spans="1:27" ht="15.75">
      <c r="A132" s="1076" t="s">
        <v>534</v>
      </c>
      <c r="B132">
        <v>0</v>
      </c>
      <c r="C132" s="2452" t="e">
        <f>#REF!+#REF!</f>
        <v>#REF!</v>
      </c>
      <c r="D132" s="2449">
        <f>IF(A132='Data Entry - SOF'!B$2,'Data Entry - SOF'!C$64,0)</f>
        <v>0</v>
      </c>
      <c r="E132" s="2450">
        <f t="shared" si="12"/>
        <v>0</v>
      </c>
      <c r="F132" s="2212" t="e">
        <f>IF('Report-M&amp;O1718'!C$18-'Report-SOF1718'!D$55&lt;=0,0,'Report-M&amp;O1718'!C$18-'Report-SOF1718'!D$55)</f>
        <v>#DIV/0!</v>
      </c>
      <c r="G132" s="2452" t="e">
        <f t="shared" si="13"/>
        <v>#DIV/0!</v>
      </c>
      <c r="H132" s="2449">
        <f>IF(A132='Data Entry - SOF'!B$2,'Data Entry - SOF'!E$64,0)</f>
        <v>0</v>
      </c>
      <c r="I132" s="1687">
        <f t="shared" si="14"/>
        <v>0</v>
      </c>
      <c r="J132" s="2212" t="e">
        <f>IF('Report-M&amp;O1819'!C$18-'Report-SOF1819'!D$55&lt;=0,0,'Report-M&amp;O1819'!C$18-'Report-SOF1819'!D$55)</f>
        <v>#DIV/0!</v>
      </c>
      <c r="K132" s="2452" t="e">
        <f t="shared" si="15"/>
        <v>#DIV/0!</v>
      </c>
      <c r="L132" s="2449">
        <f>IF(A132='Data Entry - SOF'!B$2,'Data Entry - SOF'!G$64,0)</f>
        <v>0</v>
      </c>
      <c r="M132" s="1371">
        <f t="shared" si="16"/>
        <v>0</v>
      </c>
      <c r="N132" s="2212" t="e">
        <f>IF('Report-M&amp;O1920'!C$18-'Report-SOF1920'!D$55&lt;=0,0,'Report-M&amp;O1920'!C$18-'Report-SOF1920'!D$55)</f>
        <v>#DIV/0!</v>
      </c>
      <c r="O132" s="2452" t="e">
        <f t="shared" si="17"/>
        <v>#DIV/0!</v>
      </c>
      <c r="P132" s="2449">
        <f>IF(A132='Data Entry - SOF'!B$2,'Data Entry - SOF'!I$64,0)</f>
        <v>0</v>
      </c>
      <c r="Q132" s="1687">
        <f>M132-P132</f>
        <v>0</v>
      </c>
      <c r="R132" s="2212" t="e">
        <f>IF('Report-M&amp;O2021'!C$18-'Report-SOF2021'!D$55&lt;=0,0,'Report-M&amp;O2021'!C$18-'Report-SOF2021'!D$55)</f>
        <v>#DIV/0!</v>
      </c>
      <c r="S132" s="2452" t="e">
        <f t="shared" si="19"/>
        <v>#DIV/0!</v>
      </c>
      <c r="T132" s="1708">
        <f>IF(A132='Data Entry - SOF'!B$2,'Data Entry - SOF'!K$64,0)</f>
        <v>0</v>
      </c>
      <c r="U132" s="1687">
        <f t="shared" ref="U132:U146" si="23">Q132-T132</f>
        <v>0</v>
      </c>
      <c r="V132" s="2212" t="e">
        <f>IF('Report-M&amp;O2122'!C$18-'Report-SOF2122'!D$55&lt;=0,0,'Report-M&amp;O2122'!C$18-'Report-SOF2122'!D$55)</f>
        <v>#DIV/0!</v>
      </c>
      <c r="W132" s="2452" t="e">
        <f t="shared" si="20"/>
        <v>#DIV/0!</v>
      </c>
      <c r="X132" s="1708">
        <f>IF(A132='Data Entry - SOF'!B$2,'Data Entry - SOF'!M$64,0)</f>
        <v>0</v>
      </c>
      <c r="Y132" s="1371" t="e">
        <f t="shared" si="21"/>
        <v>#DIV/0!</v>
      </c>
      <c r="Z132" s="2212" t="e">
        <f>IF('Report-M&amp;O2223'!C$18-'Report-SOF2223'!D$55&lt;=0,0,'Report-M&amp;O2223'!C$18-'Report-SOF2223'!D$55)</f>
        <v>#DIV/0!</v>
      </c>
      <c r="AA132" s="1708">
        <f>IF(A132='Data Entry - SOF'!B$2,'Data Entry - SOF'!O$64,0)</f>
        <v>0</v>
      </c>
    </row>
    <row r="133" spans="1:27" ht="15.75">
      <c r="A133" s="1076" t="s">
        <v>1050</v>
      </c>
      <c r="B133">
        <v>4186841</v>
      </c>
      <c r="C133" s="2452" t="e">
        <f>#REF!+#REF!</f>
        <v>#REF!</v>
      </c>
      <c r="D133" s="2449">
        <f>IF(A133='Data Entry - SOF'!B$2,'Data Entry - SOF'!C$64,0)</f>
        <v>0</v>
      </c>
      <c r="E133" s="2450">
        <f t="shared" ref="E133:E196" si="24">IF(B133-D133&lt;0,0,B133-D133)</f>
        <v>4186841</v>
      </c>
      <c r="F133" s="2212" t="e">
        <f>IF('Report-M&amp;O1718'!C$18-'Report-SOF1718'!D$55&lt;=0,0,'Report-M&amp;O1718'!C$18-'Report-SOF1718'!D$55)</f>
        <v>#DIV/0!</v>
      </c>
      <c r="G133" s="2452" t="e">
        <f t="shared" ref="G133:G196" si="25">E133+F133</f>
        <v>#DIV/0!</v>
      </c>
      <c r="H133" s="2449">
        <f>IF(A133='Data Entry - SOF'!B$2,'Data Entry - SOF'!E$64,0)</f>
        <v>0</v>
      </c>
      <c r="I133" s="1687">
        <f t="shared" ref="I133:I196" si="26">E133-H133</f>
        <v>4186841</v>
      </c>
      <c r="J133" s="2212" t="e">
        <f>IF('Report-M&amp;O1819'!C$18-'Report-SOF1819'!D$55&lt;=0,0,'Report-M&amp;O1819'!C$18-'Report-SOF1819'!D$55)</f>
        <v>#DIV/0!</v>
      </c>
      <c r="K133" s="2452" t="e">
        <f t="shared" ref="K133:K196" si="27">I133+J133</f>
        <v>#DIV/0!</v>
      </c>
      <c r="L133" s="2449">
        <f>IF(A133='Data Entry - SOF'!B$2,'Data Entry - SOF'!G$64,0)</f>
        <v>0</v>
      </c>
      <c r="M133" s="1371">
        <f t="shared" ref="M133:M196" si="28">I133-L133</f>
        <v>4186841</v>
      </c>
      <c r="N133" s="2212" t="e">
        <f>IF('Report-M&amp;O1920'!C$18-'Report-SOF1920'!D$55&lt;=0,0,'Report-M&amp;O1920'!C$18-'Report-SOF1920'!D$55)</f>
        <v>#DIV/0!</v>
      </c>
      <c r="O133" s="2452" t="e">
        <f t="shared" ref="O133:O196" si="29">M133+N133</f>
        <v>#DIV/0!</v>
      </c>
      <c r="P133" s="2449">
        <f>IF(A133='Data Entry - SOF'!B$2,'Data Entry - SOF'!I$64,0)</f>
        <v>0</v>
      </c>
      <c r="Q133" s="1687">
        <f t="shared" ref="Q133:Q191" si="30">M133-P133</f>
        <v>4186841</v>
      </c>
      <c r="R133" s="2212" t="e">
        <f>IF('Report-M&amp;O2021'!C$18-'Report-SOF2021'!D$55&lt;=0,0,'Report-M&amp;O2021'!C$18-'Report-SOF2021'!D$55)</f>
        <v>#DIV/0!</v>
      </c>
      <c r="S133" s="2452" t="e">
        <f t="shared" ref="S133:S196" si="31">Q133+R133</f>
        <v>#DIV/0!</v>
      </c>
      <c r="T133" s="1708">
        <f>IF(A133='Data Entry - SOF'!B$2,'Data Entry - SOF'!K$64,0)</f>
        <v>0</v>
      </c>
      <c r="U133" s="1687">
        <f t="shared" si="23"/>
        <v>4186841</v>
      </c>
      <c r="V133" s="2212" t="e">
        <f>IF('Report-M&amp;O2122'!C$18-'Report-SOF2122'!D$55&lt;=0,0,'Report-M&amp;O2122'!C$18-'Report-SOF2122'!D$55)</f>
        <v>#DIV/0!</v>
      </c>
      <c r="W133" s="2452" t="e">
        <f t="shared" ref="W133:W196" si="32">U133+V133</f>
        <v>#DIV/0!</v>
      </c>
      <c r="X133" s="1708">
        <f>IF(A133='Data Entry - SOF'!B$2,'Data Entry - SOF'!M$64,0)</f>
        <v>0</v>
      </c>
      <c r="Y133" s="1371" t="e">
        <f t="shared" ref="Y133:Y196" si="33">IF(U133+V133-X133&lt;=0,0,U133+V133-X133)</f>
        <v>#DIV/0!</v>
      </c>
      <c r="Z133" s="2212" t="e">
        <f>IF('Report-M&amp;O2223'!C$18-'Report-SOF2223'!D$55&lt;=0,0,'Report-M&amp;O2223'!C$18-'Report-SOF2223'!D$55)</f>
        <v>#DIV/0!</v>
      </c>
      <c r="AA133" s="1708">
        <f>IF(A133='Data Entry - SOF'!B$2,'Data Entry - SOF'!O$64,0)</f>
        <v>0</v>
      </c>
    </row>
    <row r="134" spans="1:27" ht="15.75">
      <c r="A134" s="1076" t="s">
        <v>1051</v>
      </c>
      <c r="B134">
        <v>4609373</v>
      </c>
      <c r="C134" s="2452" t="e">
        <f>#REF!+#REF!</f>
        <v>#REF!</v>
      </c>
      <c r="D134" s="2449">
        <f>IF(A134='Data Entry - SOF'!B$2,'Data Entry - SOF'!C$64,0)</f>
        <v>0</v>
      </c>
      <c r="E134" s="2450">
        <f t="shared" si="24"/>
        <v>4609373</v>
      </c>
      <c r="F134" s="2212" t="e">
        <f>IF('Report-M&amp;O1718'!C$18-'Report-SOF1718'!D$55&lt;=0,0,'Report-M&amp;O1718'!C$18-'Report-SOF1718'!D$55)</f>
        <v>#DIV/0!</v>
      </c>
      <c r="G134" s="2452" t="e">
        <f t="shared" si="25"/>
        <v>#DIV/0!</v>
      </c>
      <c r="H134" s="2449">
        <f>IF(A134='Data Entry - SOF'!B$2,'Data Entry - SOF'!E$64,0)</f>
        <v>0</v>
      </c>
      <c r="I134" s="1687">
        <f t="shared" si="26"/>
        <v>4609373</v>
      </c>
      <c r="J134" s="2212" t="e">
        <f>IF('Report-M&amp;O1819'!C$18-'Report-SOF1819'!D$55&lt;=0,0,'Report-M&amp;O1819'!C$18-'Report-SOF1819'!D$55)</f>
        <v>#DIV/0!</v>
      </c>
      <c r="K134" s="2452" t="e">
        <f t="shared" si="27"/>
        <v>#DIV/0!</v>
      </c>
      <c r="L134" s="2449">
        <f>IF(A134='Data Entry - SOF'!B$2,'Data Entry - SOF'!G$64,0)</f>
        <v>0</v>
      </c>
      <c r="M134" s="1371">
        <f t="shared" si="28"/>
        <v>4609373</v>
      </c>
      <c r="N134" s="2212" t="e">
        <f>IF('Report-M&amp;O1920'!C$18-'Report-SOF1920'!D$55&lt;=0,0,'Report-M&amp;O1920'!C$18-'Report-SOF1920'!D$55)</f>
        <v>#DIV/0!</v>
      </c>
      <c r="O134" s="2452" t="e">
        <f t="shared" si="29"/>
        <v>#DIV/0!</v>
      </c>
      <c r="P134" s="2449">
        <f>IF(A134='Data Entry - SOF'!B$2,'Data Entry - SOF'!I$64,0)</f>
        <v>0</v>
      </c>
      <c r="Q134" s="1687">
        <f t="shared" si="30"/>
        <v>4609373</v>
      </c>
      <c r="R134" s="2212" t="e">
        <f>IF('Report-M&amp;O2021'!C$18-'Report-SOF2021'!D$55&lt;=0,0,'Report-M&amp;O2021'!C$18-'Report-SOF2021'!D$55)</f>
        <v>#DIV/0!</v>
      </c>
      <c r="S134" s="2452" t="e">
        <f t="shared" si="31"/>
        <v>#DIV/0!</v>
      </c>
      <c r="T134" s="1708">
        <f>IF(A134='Data Entry - SOF'!B$2,'Data Entry - SOF'!K$64,0)</f>
        <v>0</v>
      </c>
      <c r="U134" s="1687">
        <f t="shared" si="23"/>
        <v>4609373</v>
      </c>
      <c r="V134" s="2212" t="e">
        <f>IF('Report-M&amp;O2122'!C$18-'Report-SOF2122'!D$55&lt;=0,0,'Report-M&amp;O2122'!C$18-'Report-SOF2122'!D$55)</f>
        <v>#DIV/0!</v>
      </c>
      <c r="W134" s="2452" t="e">
        <f t="shared" si="32"/>
        <v>#DIV/0!</v>
      </c>
      <c r="X134" s="1708">
        <f>IF(A134='Data Entry - SOF'!B$2,'Data Entry - SOF'!M$64,0)</f>
        <v>0</v>
      </c>
      <c r="Y134" s="1371" t="e">
        <f t="shared" si="33"/>
        <v>#DIV/0!</v>
      </c>
      <c r="Z134" s="2212" t="e">
        <f>IF('Report-M&amp;O2223'!C$18-'Report-SOF2223'!D$55&lt;=0,0,'Report-M&amp;O2223'!C$18-'Report-SOF2223'!D$55)</f>
        <v>#DIV/0!</v>
      </c>
      <c r="AA134" s="1708">
        <f>IF(A134='Data Entry - SOF'!B$2,'Data Entry - SOF'!O$64,0)</f>
        <v>0</v>
      </c>
    </row>
    <row r="135" spans="1:27" ht="15.75">
      <c r="A135" s="1076" t="s">
        <v>879</v>
      </c>
      <c r="B135">
        <v>26152810.2505631</v>
      </c>
      <c r="C135" s="2452" t="e">
        <f>#REF!+#REF!</f>
        <v>#REF!</v>
      </c>
      <c r="D135" s="2449">
        <f>IF(A135='Data Entry - SOF'!B$2,'Data Entry - SOF'!C$64,0)</f>
        <v>0</v>
      </c>
      <c r="E135" s="2450">
        <f t="shared" si="24"/>
        <v>26152810.2505631</v>
      </c>
      <c r="F135" s="2212" t="e">
        <f>IF('Report-M&amp;O1718'!C$18-'Report-SOF1718'!D$55&lt;=0,0,'Report-M&amp;O1718'!C$18-'Report-SOF1718'!D$55)</f>
        <v>#DIV/0!</v>
      </c>
      <c r="G135" s="2452" t="e">
        <f t="shared" si="25"/>
        <v>#DIV/0!</v>
      </c>
      <c r="H135" s="2449">
        <f>IF(A135='Data Entry - SOF'!B$2,'Data Entry - SOF'!E$64,0)</f>
        <v>0</v>
      </c>
      <c r="I135" s="1687">
        <f t="shared" si="26"/>
        <v>26152810.2505631</v>
      </c>
      <c r="J135" s="2212" t="e">
        <f>IF('Report-M&amp;O1819'!C$18-'Report-SOF1819'!D$55&lt;=0,0,'Report-M&amp;O1819'!C$18-'Report-SOF1819'!D$55)</f>
        <v>#DIV/0!</v>
      </c>
      <c r="K135" s="2452" t="e">
        <f t="shared" si="27"/>
        <v>#DIV/0!</v>
      </c>
      <c r="L135" s="2449">
        <f>IF(A135='Data Entry - SOF'!B$2,'Data Entry - SOF'!G$64,0)</f>
        <v>0</v>
      </c>
      <c r="M135" s="1371">
        <f t="shared" si="28"/>
        <v>26152810.2505631</v>
      </c>
      <c r="N135" s="2212" t="e">
        <f>IF('Report-M&amp;O1920'!C$18-'Report-SOF1920'!D$55&lt;=0,0,'Report-M&amp;O1920'!C$18-'Report-SOF1920'!D$55)</f>
        <v>#DIV/0!</v>
      </c>
      <c r="O135" s="2452" t="e">
        <f t="shared" si="29"/>
        <v>#DIV/0!</v>
      </c>
      <c r="P135" s="2449">
        <f>IF(A135='Data Entry - SOF'!B$2,'Data Entry - SOF'!I$64,0)</f>
        <v>0</v>
      </c>
      <c r="Q135" s="1687">
        <f t="shared" si="30"/>
        <v>26152810.2505631</v>
      </c>
      <c r="R135" s="2212" t="e">
        <f>IF('Report-M&amp;O2021'!C$18-'Report-SOF2021'!D$55&lt;=0,0,'Report-M&amp;O2021'!C$18-'Report-SOF2021'!D$55)</f>
        <v>#DIV/0!</v>
      </c>
      <c r="S135" s="2452" t="e">
        <f t="shared" si="31"/>
        <v>#DIV/0!</v>
      </c>
      <c r="T135" s="1708">
        <f>IF(A135='Data Entry - SOF'!B$2,'Data Entry - SOF'!K$64,0)</f>
        <v>0</v>
      </c>
      <c r="U135" s="1687">
        <f t="shared" si="23"/>
        <v>26152810.2505631</v>
      </c>
      <c r="V135" s="2212" t="e">
        <f>IF('Report-M&amp;O2122'!C$18-'Report-SOF2122'!D$55&lt;=0,0,'Report-M&amp;O2122'!C$18-'Report-SOF2122'!D$55)</f>
        <v>#DIV/0!</v>
      </c>
      <c r="W135" s="2452" t="e">
        <f t="shared" si="32"/>
        <v>#DIV/0!</v>
      </c>
      <c r="X135" s="1708">
        <f>IF(A135='Data Entry - SOF'!B$2,'Data Entry - SOF'!M$64,0)</f>
        <v>0</v>
      </c>
      <c r="Y135" s="1371" t="e">
        <f t="shared" si="33"/>
        <v>#DIV/0!</v>
      </c>
      <c r="Z135" s="2212" t="e">
        <f>IF('Report-M&amp;O2223'!C$18-'Report-SOF2223'!D$55&lt;=0,0,'Report-M&amp;O2223'!C$18-'Report-SOF2223'!D$55)</f>
        <v>#DIV/0!</v>
      </c>
      <c r="AA135" s="1708">
        <f>IF(A135='Data Entry - SOF'!B$2,'Data Entry - SOF'!O$64,0)</f>
        <v>0</v>
      </c>
    </row>
    <row r="136" spans="1:27" ht="15.75">
      <c r="A136" s="1076" t="s">
        <v>2050</v>
      </c>
      <c r="B136">
        <v>7933629.1707763504</v>
      </c>
      <c r="C136" s="2452" t="e">
        <f>#REF!+#REF!</f>
        <v>#REF!</v>
      </c>
      <c r="D136" s="2449">
        <f>IF(A136='Data Entry - SOF'!B$2,'Data Entry - SOF'!C$64,0)</f>
        <v>0</v>
      </c>
      <c r="E136" s="2450">
        <f t="shared" si="24"/>
        <v>7933629.1707763504</v>
      </c>
      <c r="F136" s="2212" t="e">
        <f>IF('Report-M&amp;O1718'!C$18-'Report-SOF1718'!D$55&lt;=0,0,'Report-M&amp;O1718'!C$18-'Report-SOF1718'!D$55)</f>
        <v>#DIV/0!</v>
      </c>
      <c r="G136" s="2452" t="e">
        <f t="shared" si="25"/>
        <v>#DIV/0!</v>
      </c>
      <c r="H136" s="2449">
        <f>IF(A136='Data Entry - SOF'!B$2,'Data Entry - SOF'!E$64,0)</f>
        <v>0</v>
      </c>
      <c r="I136" s="1687">
        <f t="shared" si="26"/>
        <v>7933629.1707763504</v>
      </c>
      <c r="J136" s="2212" t="e">
        <f>IF('Report-M&amp;O1819'!C$18-'Report-SOF1819'!D$55&lt;=0,0,'Report-M&amp;O1819'!C$18-'Report-SOF1819'!D$55)</f>
        <v>#DIV/0!</v>
      </c>
      <c r="K136" s="2452" t="e">
        <f t="shared" si="27"/>
        <v>#DIV/0!</v>
      </c>
      <c r="L136" s="2449">
        <f>IF(A136='Data Entry - SOF'!B$2,'Data Entry - SOF'!G$64,0)</f>
        <v>0</v>
      </c>
      <c r="M136" s="1371">
        <f t="shared" si="28"/>
        <v>7933629.1707763504</v>
      </c>
      <c r="N136" s="2212" t="e">
        <f>IF('Report-M&amp;O1920'!C$18-'Report-SOF1920'!D$55&lt;=0,0,'Report-M&amp;O1920'!C$18-'Report-SOF1920'!D$55)</f>
        <v>#DIV/0!</v>
      </c>
      <c r="O136" s="2452" t="e">
        <f t="shared" si="29"/>
        <v>#DIV/0!</v>
      </c>
      <c r="P136" s="2449">
        <f>IF(A136='Data Entry - SOF'!B$2,'Data Entry - SOF'!I$64,0)</f>
        <v>0</v>
      </c>
      <c r="Q136" s="1687">
        <f t="shared" si="30"/>
        <v>7933629.1707763504</v>
      </c>
      <c r="R136" s="2212" t="e">
        <f>IF('Report-M&amp;O2021'!C$18-'Report-SOF2021'!D$55&lt;=0,0,'Report-M&amp;O2021'!C$18-'Report-SOF2021'!D$55)</f>
        <v>#DIV/0!</v>
      </c>
      <c r="S136" s="2452" t="e">
        <f t="shared" si="31"/>
        <v>#DIV/0!</v>
      </c>
      <c r="T136" s="1708">
        <f>IF(A136='Data Entry - SOF'!B$2,'Data Entry - SOF'!K$64,0)</f>
        <v>0</v>
      </c>
      <c r="U136" s="1687">
        <f t="shared" si="23"/>
        <v>7933629.1707763504</v>
      </c>
      <c r="V136" s="2212" t="e">
        <f>IF('Report-M&amp;O2122'!C$18-'Report-SOF2122'!D$55&lt;=0,0,'Report-M&amp;O2122'!C$18-'Report-SOF2122'!D$55)</f>
        <v>#DIV/0!</v>
      </c>
      <c r="W136" s="2452" t="e">
        <f t="shared" si="32"/>
        <v>#DIV/0!</v>
      </c>
      <c r="X136" s="1708">
        <f>IF(A136='Data Entry - SOF'!B$2,'Data Entry - SOF'!M$64,0)</f>
        <v>0</v>
      </c>
      <c r="Y136" s="1371" t="e">
        <f t="shared" si="33"/>
        <v>#DIV/0!</v>
      </c>
      <c r="Z136" s="2212" t="e">
        <f>IF('Report-M&amp;O2223'!C$18-'Report-SOF2223'!D$55&lt;=0,0,'Report-M&amp;O2223'!C$18-'Report-SOF2223'!D$55)</f>
        <v>#DIV/0!</v>
      </c>
      <c r="AA136" s="1708">
        <f>IF(A136='Data Entry - SOF'!B$2,'Data Entry - SOF'!O$64,0)</f>
        <v>0</v>
      </c>
    </row>
    <row r="137" spans="1:27" ht="15.75">
      <c r="A137" s="1076" t="s">
        <v>1941</v>
      </c>
      <c r="B137">
        <v>2389645</v>
      </c>
      <c r="C137" s="2452" t="e">
        <f>#REF!+#REF!</f>
        <v>#REF!</v>
      </c>
      <c r="D137" s="2449">
        <f>IF(A137='Data Entry - SOF'!B$2,'Data Entry - SOF'!C$64,0)</f>
        <v>0</v>
      </c>
      <c r="E137" s="2450">
        <f t="shared" si="24"/>
        <v>2389645</v>
      </c>
      <c r="F137" s="2212" t="e">
        <f>IF('Report-M&amp;O1718'!C$18-'Report-SOF1718'!D$55&lt;=0,0,'Report-M&amp;O1718'!C$18-'Report-SOF1718'!D$55)</f>
        <v>#DIV/0!</v>
      </c>
      <c r="G137" s="2452" t="e">
        <f t="shared" si="25"/>
        <v>#DIV/0!</v>
      </c>
      <c r="H137" s="2449">
        <f>IF(A137='Data Entry - SOF'!B$2,'Data Entry - SOF'!E$64,0)</f>
        <v>0</v>
      </c>
      <c r="I137" s="1687">
        <f t="shared" si="26"/>
        <v>2389645</v>
      </c>
      <c r="J137" s="2212" t="e">
        <f>IF('Report-M&amp;O1819'!C$18-'Report-SOF1819'!D$55&lt;=0,0,'Report-M&amp;O1819'!C$18-'Report-SOF1819'!D$55)</f>
        <v>#DIV/0!</v>
      </c>
      <c r="K137" s="2452" t="e">
        <f t="shared" si="27"/>
        <v>#DIV/0!</v>
      </c>
      <c r="L137" s="2449">
        <f>IF(A137='Data Entry - SOF'!B$2,'Data Entry - SOF'!G$64,0)</f>
        <v>0</v>
      </c>
      <c r="M137" s="1371">
        <f t="shared" si="28"/>
        <v>2389645</v>
      </c>
      <c r="N137" s="2212" t="e">
        <f>IF('Report-M&amp;O1920'!C$18-'Report-SOF1920'!D$55&lt;=0,0,'Report-M&amp;O1920'!C$18-'Report-SOF1920'!D$55)</f>
        <v>#DIV/0!</v>
      </c>
      <c r="O137" s="2452" t="e">
        <f t="shared" si="29"/>
        <v>#DIV/0!</v>
      </c>
      <c r="P137" s="2449">
        <f>IF(A137='Data Entry - SOF'!B$2,'Data Entry - SOF'!I$64,0)</f>
        <v>0</v>
      </c>
      <c r="Q137" s="1687">
        <f t="shared" si="30"/>
        <v>2389645</v>
      </c>
      <c r="R137" s="2212" t="e">
        <f>IF('Report-M&amp;O2021'!C$18-'Report-SOF2021'!D$55&lt;=0,0,'Report-M&amp;O2021'!C$18-'Report-SOF2021'!D$55)</f>
        <v>#DIV/0!</v>
      </c>
      <c r="S137" s="2452" t="e">
        <f t="shared" si="31"/>
        <v>#DIV/0!</v>
      </c>
      <c r="T137" s="1708">
        <f>IF(A137='Data Entry - SOF'!B$2,'Data Entry - SOF'!K$64,0)</f>
        <v>0</v>
      </c>
      <c r="U137" s="1687">
        <f t="shared" si="23"/>
        <v>2389645</v>
      </c>
      <c r="V137" s="2212" t="e">
        <f>IF('Report-M&amp;O2122'!C$18-'Report-SOF2122'!D$55&lt;=0,0,'Report-M&amp;O2122'!C$18-'Report-SOF2122'!D$55)</f>
        <v>#DIV/0!</v>
      </c>
      <c r="W137" s="2452" t="e">
        <f t="shared" si="32"/>
        <v>#DIV/0!</v>
      </c>
      <c r="X137" s="1708">
        <f>IF(A137='Data Entry - SOF'!B$2,'Data Entry - SOF'!M$64,0)</f>
        <v>0</v>
      </c>
      <c r="Y137" s="1371" t="e">
        <f t="shared" si="33"/>
        <v>#DIV/0!</v>
      </c>
      <c r="Z137" s="2212" t="e">
        <f>IF('Report-M&amp;O2223'!C$18-'Report-SOF2223'!D$55&lt;=0,0,'Report-M&amp;O2223'!C$18-'Report-SOF2223'!D$55)</f>
        <v>#DIV/0!</v>
      </c>
      <c r="AA137" s="1708">
        <f>IF(A137='Data Entry - SOF'!B$2,'Data Entry - SOF'!O$64,0)</f>
        <v>0</v>
      </c>
    </row>
    <row r="138" spans="1:27" ht="15.75">
      <c r="A138" s="1076" t="s">
        <v>1942</v>
      </c>
      <c r="B138">
        <v>269564</v>
      </c>
      <c r="C138" s="2452" t="e">
        <f>#REF!+#REF!</f>
        <v>#REF!</v>
      </c>
      <c r="D138" s="2449">
        <f>IF(A138='Data Entry - SOF'!B$2,'Data Entry - SOF'!C$64,0)</f>
        <v>0</v>
      </c>
      <c r="E138" s="2450">
        <f t="shared" si="24"/>
        <v>269564</v>
      </c>
      <c r="F138" s="2212" t="e">
        <f>IF('Report-M&amp;O1718'!C$18-'Report-SOF1718'!D$55&lt;=0,0,'Report-M&amp;O1718'!C$18-'Report-SOF1718'!D$55)</f>
        <v>#DIV/0!</v>
      </c>
      <c r="G138" s="2452" t="e">
        <f t="shared" si="25"/>
        <v>#DIV/0!</v>
      </c>
      <c r="H138" s="2449">
        <f>IF(A138='Data Entry - SOF'!B$2,'Data Entry - SOF'!E$64,0)</f>
        <v>0</v>
      </c>
      <c r="I138" s="1687">
        <f t="shared" si="26"/>
        <v>269564</v>
      </c>
      <c r="J138" s="2212" t="e">
        <f>IF('Report-M&amp;O1819'!C$18-'Report-SOF1819'!D$55&lt;=0,0,'Report-M&amp;O1819'!C$18-'Report-SOF1819'!D$55)</f>
        <v>#DIV/0!</v>
      </c>
      <c r="K138" s="2452" t="e">
        <f t="shared" si="27"/>
        <v>#DIV/0!</v>
      </c>
      <c r="L138" s="2449">
        <f>IF(A138='Data Entry - SOF'!B$2,'Data Entry - SOF'!G$64,0)</f>
        <v>0</v>
      </c>
      <c r="M138" s="1371">
        <f t="shared" si="28"/>
        <v>269564</v>
      </c>
      <c r="N138" s="2212" t="e">
        <f>IF('Report-M&amp;O1920'!C$18-'Report-SOF1920'!D$55&lt;=0,0,'Report-M&amp;O1920'!C$18-'Report-SOF1920'!D$55)</f>
        <v>#DIV/0!</v>
      </c>
      <c r="O138" s="2452" t="e">
        <f t="shared" si="29"/>
        <v>#DIV/0!</v>
      </c>
      <c r="P138" s="2449">
        <f>IF(A138='Data Entry - SOF'!B$2,'Data Entry - SOF'!I$64,0)</f>
        <v>0</v>
      </c>
      <c r="Q138" s="1687">
        <f t="shared" si="30"/>
        <v>269564</v>
      </c>
      <c r="R138" s="2212" t="e">
        <f>IF('Report-M&amp;O2021'!C$18-'Report-SOF2021'!D$55&lt;=0,0,'Report-M&amp;O2021'!C$18-'Report-SOF2021'!D$55)</f>
        <v>#DIV/0!</v>
      </c>
      <c r="S138" s="2452" t="e">
        <f t="shared" si="31"/>
        <v>#DIV/0!</v>
      </c>
      <c r="T138" s="1708">
        <f>IF(A138='Data Entry - SOF'!B$2,'Data Entry - SOF'!K$64,0)</f>
        <v>0</v>
      </c>
      <c r="U138" s="1687">
        <f t="shared" si="23"/>
        <v>269564</v>
      </c>
      <c r="V138" s="2212" t="e">
        <f>IF('Report-M&amp;O2122'!C$18-'Report-SOF2122'!D$55&lt;=0,0,'Report-M&amp;O2122'!C$18-'Report-SOF2122'!D$55)</f>
        <v>#DIV/0!</v>
      </c>
      <c r="W138" s="2452" t="e">
        <f t="shared" si="32"/>
        <v>#DIV/0!</v>
      </c>
      <c r="X138" s="1708">
        <f>IF(A138='Data Entry - SOF'!B$2,'Data Entry - SOF'!M$64,0)</f>
        <v>0</v>
      </c>
      <c r="Y138" s="1371" t="e">
        <f t="shared" si="33"/>
        <v>#DIV/0!</v>
      </c>
      <c r="Z138" s="2212" t="e">
        <f>IF('Report-M&amp;O2223'!C$18-'Report-SOF2223'!D$55&lt;=0,0,'Report-M&amp;O2223'!C$18-'Report-SOF2223'!D$55)</f>
        <v>#DIV/0!</v>
      </c>
      <c r="AA138" s="1708">
        <f>IF(A138='Data Entry - SOF'!B$2,'Data Entry - SOF'!O$64,0)</f>
        <v>0</v>
      </c>
    </row>
    <row r="139" spans="1:27" ht="15.75">
      <c r="A139" s="1076" t="s">
        <v>842</v>
      </c>
      <c r="B139">
        <v>2536495</v>
      </c>
      <c r="C139" s="2452" t="e">
        <f>#REF!+#REF!</f>
        <v>#REF!</v>
      </c>
      <c r="D139" s="2449">
        <f>IF(A139='Data Entry - SOF'!B$2,'Data Entry - SOF'!C$64,0)</f>
        <v>0</v>
      </c>
      <c r="E139" s="2450">
        <f t="shared" si="24"/>
        <v>2536495</v>
      </c>
      <c r="F139" s="2212" t="e">
        <f>IF('Report-M&amp;O1718'!C$18-'Report-SOF1718'!D$55&lt;=0,0,'Report-M&amp;O1718'!C$18-'Report-SOF1718'!D$55)</f>
        <v>#DIV/0!</v>
      </c>
      <c r="G139" s="2452" t="e">
        <f t="shared" si="25"/>
        <v>#DIV/0!</v>
      </c>
      <c r="H139" s="2449">
        <f>IF(A139='Data Entry - SOF'!B$2,'Data Entry - SOF'!E$64,0)</f>
        <v>0</v>
      </c>
      <c r="I139" s="1687">
        <f t="shared" si="26"/>
        <v>2536495</v>
      </c>
      <c r="J139" s="2212" t="e">
        <f>IF('Report-M&amp;O1819'!C$18-'Report-SOF1819'!D$55&lt;=0,0,'Report-M&amp;O1819'!C$18-'Report-SOF1819'!D$55)</f>
        <v>#DIV/0!</v>
      </c>
      <c r="K139" s="2452" t="e">
        <f t="shared" si="27"/>
        <v>#DIV/0!</v>
      </c>
      <c r="L139" s="2449">
        <f>IF(A139='Data Entry - SOF'!B$2,'Data Entry - SOF'!G$64,0)</f>
        <v>0</v>
      </c>
      <c r="M139" s="1371">
        <f t="shared" si="28"/>
        <v>2536495</v>
      </c>
      <c r="N139" s="2212" t="e">
        <f>IF('Report-M&amp;O1920'!C$18-'Report-SOF1920'!D$55&lt;=0,0,'Report-M&amp;O1920'!C$18-'Report-SOF1920'!D$55)</f>
        <v>#DIV/0!</v>
      </c>
      <c r="O139" s="2452" t="e">
        <f t="shared" si="29"/>
        <v>#DIV/0!</v>
      </c>
      <c r="P139" s="2449">
        <f>IF(A139='Data Entry - SOF'!B$2,'Data Entry - SOF'!I$64,0)</f>
        <v>0</v>
      </c>
      <c r="Q139" s="1687">
        <f t="shared" si="30"/>
        <v>2536495</v>
      </c>
      <c r="R139" s="2212" t="e">
        <f>IF('Report-M&amp;O2021'!C$18-'Report-SOF2021'!D$55&lt;=0,0,'Report-M&amp;O2021'!C$18-'Report-SOF2021'!D$55)</f>
        <v>#DIV/0!</v>
      </c>
      <c r="S139" s="2452" t="e">
        <f t="shared" si="31"/>
        <v>#DIV/0!</v>
      </c>
      <c r="T139" s="1708">
        <f>IF(A139='Data Entry - SOF'!B$2,'Data Entry - SOF'!K$64,0)</f>
        <v>0</v>
      </c>
      <c r="U139" s="1687">
        <f t="shared" si="23"/>
        <v>2536495</v>
      </c>
      <c r="V139" s="2212" t="e">
        <f>IF('Report-M&amp;O2122'!C$18-'Report-SOF2122'!D$55&lt;=0,0,'Report-M&amp;O2122'!C$18-'Report-SOF2122'!D$55)</f>
        <v>#DIV/0!</v>
      </c>
      <c r="W139" s="2452" t="e">
        <f t="shared" si="32"/>
        <v>#DIV/0!</v>
      </c>
      <c r="X139" s="1708">
        <f>IF(A139='Data Entry - SOF'!B$2,'Data Entry - SOF'!M$64,0)</f>
        <v>0</v>
      </c>
      <c r="Y139" s="1371" t="e">
        <f t="shared" si="33"/>
        <v>#DIV/0!</v>
      </c>
      <c r="Z139" s="2212" t="e">
        <f>IF('Report-M&amp;O2223'!C$18-'Report-SOF2223'!D$55&lt;=0,0,'Report-M&amp;O2223'!C$18-'Report-SOF2223'!D$55)</f>
        <v>#DIV/0!</v>
      </c>
      <c r="AA139" s="1708">
        <f>IF(A139='Data Entry - SOF'!B$2,'Data Entry - SOF'!O$64,0)</f>
        <v>0</v>
      </c>
    </row>
    <row r="140" spans="1:27" ht="15.75">
      <c r="A140" s="1076" t="s">
        <v>843</v>
      </c>
      <c r="B140">
        <v>551010</v>
      </c>
      <c r="C140" s="2452" t="e">
        <f>#REF!+#REF!</f>
        <v>#REF!</v>
      </c>
      <c r="D140" s="2449">
        <f>IF(A140='Data Entry - SOF'!B$2,'Data Entry - SOF'!C$64,0)</f>
        <v>0</v>
      </c>
      <c r="E140" s="2450">
        <f t="shared" si="24"/>
        <v>551010</v>
      </c>
      <c r="F140" s="2212" t="e">
        <f>IF('Report-M&amp;O1718'!C$18-'Report-SOF1718'!D$55&lt;=0,0,'Report-M&amp;O1718'!C$18-'Report-SOF1718'!D$55)</f>
        <v>#DIV/0!</v>
      </c>
      <c r="G140" s="2452" t="e">
        <f t="shared" si="25"/>
        <v>#DIV/0!</v>
      </c>
      <c r="H140" s="2449">
        <f>IF(A140='Data Entry - SOF'!B$2,'Data Entry - SOF'!E$64,0)</f>
        <v>0</v>
      </c>
      <c r="I140" s="1687">
        <f t="shared" si="26"/>
        <v>551010</v>
      </c>
      <c r="J140" s="2212" t="e">
        <f>IF('Report-M&amp;O1819'!C$18-'Report-SOF1819'!D$55&lt;=0,0,'Report-M&amp;O1819'!C$18-'Report-SOF1819'!D$55)</f>
        <v>#DIV/0!</v>
      </c>
      <c r="K140" s="2452" t="e">
        <f t="shared" si="27"/>
        <v>#DIV/0!</v>
      </c>
      <c r="L140" s="2449">
        <f>IF(A140='Data Entry - SOF'!B$2,'Data Entry - SOF'!G$64,0)</f>
        <v>0</v>
      </c>
      <c r="M140" s="1371">
        <f t="shared" si="28"/>
        <v>551010</v>
      </c>
      <c r="N140" s="2212" t="e">
        <f>IF('Report-M&amp;O1920'!C$18-'Report-SOF1920'!D$55&lt;=0,0,'Report-M&amp;O1920'!C$18-'Report-SOF1920'!D$55)</f>
        <v>#DIV/0!</v>
      </c>
      <c r="O140" s="2452" t="e">
        <f t="shared" si="29"/>
        <v>#DIV/0!</v>
      </c>
      <c r="P140" s="2449">
        <f>IF(A140='Data Entry - SOF'!B$2,'Data Entry - SOF'!I$64,0)</f>
        <v>0</v>
      </c>
      <c r="Q140" s="1687">
        <f t="shared" si="30"/>
        <v>551010</v>
      </c>
      <c r="R140" s="2212" t="e">
        <f>IF('Report-M&amp;O2021'!C$18-'Report-SOF2021'!D$55&lt;=0,0,'Report-M&amp;O2021'!C$18-'Report-SOF2021'!D$55)</f>
        <v>#DIV/0!</v>
      </c>
      <c r="S140" s="2452" t="e">
        <f t="shared" si="31"/>
        <v>#DIV/0!</v>
      </c>
      <c r="T140" s="1708">
        <f>IF(A140='Data Entry - SOF'!B$2,'Data Entry - SOF'!K$64,0)</f>
        <v>0</v>
      </c>
      <c r="U140" s="1687">
        <f t="shared" si="23"/>
        <v>551010</v>
      </c>
      <c r="V140" s="2212" t="e">
        <f>IF('Report-M&amp;O2122'!C$18-'Report-SOF2122'!D$55&lt;=0,0,'Report-M&amp;O2122'!C$18-'Report-SOF2122'!D$55)</f>
        <v>#DIV/0!</v>
      </c>
      <c r="W140" s="2452" t="e">
        <f t="shared" si="32"/>
        <v>#DIV/0!</v>
      </c>
      <c r="X140" s="1708">
        <f>IF(A140='Data Entry - SOF'!B$2,'Data Entry - SOF'!M$64,0)</f>
        <v>0</v>
      </c>
      <c r="Y140" s="1371" t="e">
        <f t="shared" si="33"/>
        <v>#DIV/0!</v>
      </c>
      <c r="Z140" s="2212" t="e">
        <f>IF('Report-M&amp;O2223'!C$18-'Report-SOF2223'!D$55&lt;=0,0,'Report-M&amp;O2223'!C$18-'Report-SOF2223'!D$55)</f>
        <v>#DIV/0!</v>
      </c>
      <c r="AA140" s="1708">
        <f>IF(A140='Data Entry - SOF'!B$2,'Data Entry - SOF'!O$64,0)</f>
        <v>0</v>
      </c>
    </row>
    <row r="141" spans="1:27" ht="15.75">
      <c r="A141" s="1076" t="s">
        <v>2142</v>
      </c>
      <c r="B141">
        <v>99702</v>
      </c>
      <c r="C141" s="2452" t="e">
        <f>#REF!+#REF!</f>
        <v>#REF!</v>
      </c>
      <c r="D141" s="2449">
        <f>IF(A141='Data Entry - SOF'!B$2,'Data Entry - SOF'!C$64,0)</f>
        <v>0</v>
      </c>
      <c r="E141" s="2450">
        <f t="shared" si="24"/>
        <v>99702</v>
      </c>
      <c r="F141" s="2212" t="e">
        <f>IF('Report-M&amp;O1718'!C$18-'Report-SOF1718'!D$55&lt;=0,0,'Report-M&amp;O1718'!C$18-'Report-SOF1718'!D$55)</f>
        <v>#DIV/0!</v>
      </c>
      <c r="G141" s="2452" t="e">
        <f t="shared" si="25"/>
        <v>#DIV/0!</v>
      </c>
      <c r="H141" s="2449">
        <f>IF(A141='Data Entry - SOF'!B$2,'Data Entry - SOF'!E$64,0)</f>
        <v>0</v>
      </c>
      <c r="I141" s="1687">
        <f t="shared" si="26"/>
        <v>99702</v>
      </c>
      <c r="J141" s="2212" t="e">
        <f>IF('Report-M&amp;O1819'!C$18-'Report-SOF1819'!D$55&lt;=0,0,'Report-M&amp;O1819'!C$18-'Report-SOF1819'!D$55)</f>
        <v>#DIV/0!</v>
      </c>
      <c r="K141" s="2452" t="e">
        <f t="shared" si="27"/>
        <v>#DIV/0!</v>
      </c>
      <c r="L141" s="2449">
        <f>IF(A141='Data Entry - SOF'!B$2,'Data Entry - SOF'!G$64,0)</f>
        <v>0</v>
      </c>
      <c r="M141" s="1371">
        <f t="shared" si="28"/>
        <v>99702</v>
      </c>
      <c r="N141" s="2212" t="e">
        <f>IF('Report-M&amp;O1920'!C$18-'Report-SOF1920'!D$55&lt;=0,0,'Report-M&amp;O1920'!C$18-'Report-SOF1920'!D$55)</f>
        <v>#DIV/0!</v>
      </c>
      <c r="O141" s="2452" t="e">
        <f t="shared" si="29"/>
        <v>#DIV/0!</v>
      </c>
      <c r="P141" s="2449">
        <f>IF(A141='Data Entry - SOF'!B$2,'Data Entry - SOF'!I$64,0)</f>
        <v>0</v>
      </c>
      <c r="Q141" s="1687">
        <f t="shared" si="30"/>
        <v>99702</v>
      </c>
      <c r="R141" s="2212" t="e">
        <f>IF('Report-M&amp;O2021'!C$18-'Report-SOF2021'!D$55&lt;=0,0,'Report-M&amp;O2021'!C$18-'Report-SOF2021'!D$55)</f>
        <v>#DIV/0!</v>
      </c>
      <c r="S141" s="2452" t="e">
        <f t="shared" si="31"/>
        <v>#DIV/0!</v>
      </c>
      <c r="T141" s="1708">
        <f>IF(A141='Data Entry - SOF'!B$2,'Data Entry - SOF'!K$64,0)</f>
        <v>0</v>
      </c>
      <c r="U141" s="1687">
        <f t="shared" si="23"/>
        <v>99702</v>
      </c>
      <c r="V141" s="2212" t="e">
        <f>IF('Report-M&amp;O2122'!C$18-'Report-SOF2122'!D$55&lt;=0,0,'Report-M&amp;O2122'!C$18-'Report-SOF2122'!D$55)</f>
        <v>#DIV/0!</v>
      </c>
      <c r="W141" s="2452" t="e">
        <f t="shared" si="32"/>
        <v>#DIV/0!</v>
      </c>
      <c r="X141" s="1708">
        <f>IF(A141='Data Entry - SOF'!B$2,'Data Entry - SOF'!M$64,0)</f>
        <v>0</v>
      </c>
      <c r="Y141" s="1371" t="e">
        <f t="shared" si="33"/>
        <v>#DIV/0!</v>
      </c>
      <c r="Z141" s="2212" t="e">
        <f>IF('Report-M&amp;O2223'!C$18-'Report-SOF2223'!D$55&lt;=0,0,'Report-M&amp;O2223'!C$18-'Report-SOF2223'!D$55)</f>
        <v>#DIV/0!</v>
      </c>
      <c r="AA141" s="1708">
        <f>IF(A141='Data Entry - SOF'!B$2,'Data Entry - SOF'!O$64,0)</f>
        <v>0</v>
      </c>
    </row>
    <row r="142" spans="1:27" ht="15.75">
      <c r="A142" s="1076" t="s">
        <v>844</v>
      </c>
      <c r="B142">
        <v>2148242</v>
      </c>
      <c r="C142" s="2452" t="e">
        <f>#REF!+#REF!</f>
        <v>#REF!</v>
      </c>
      <c r="D142" s="2449">
        <f>IF(A142='Data Entry - SOF'!B$2,'Data Entry - SOF'!C$64,0)</f>
        <v>0</v>
      </c>
      <c r="E142" s="2450">
        <f t="shared" si="24"/>
        <v>2148242</v>
      </c>
      <c r="F142" s="2212" t="e">
        <f>IF('Report-M&amp;O1718'!C$18-'Report-SOF1718'!D$55&lt;=0,0,'Report-M&amp;O1718'!C$18-'Report-SOF1718'!D$55)</f>
        <v>#DIV/0!</v>
      </c>
      <c r="G142" s="2452" t="e">
        <f t="shared" si="25"/>
        <v>#DIV/0!</v>
      </c>
      <c r="H142" s="2449">
        <f>IF(A142='Data Entry - SOF'!B$2,'Data Entry - SOF'!E$64,0)</f>
        <v>0</v>
      </c>
      <c r="I142" s="1687">
        <f t="shared" si="26"/>
        <v>2148242</v>
      </c>
      <c r="J142" s="2212" t="e">
        <f>IF('Report-M&amp;O1819'!C$18-'Report-SOF1819'!D$55&lt;=0,0,'Report-M&amp;O1819'!C$18-'Report-SOF1819'!D$55)</f>
        <v>#DIV/0!</v>
      </c>
      <c r="K142" s="2452" t="e">
        <f t="shared" si="27"/>
        <v>#DIV/0!</v>
      </c>
      <c r="L142" s="2449">
        <f>IF(A142='Data Entry - SOF'!B$2,'Data Entry - SOF'!G$64,0)</f>
        <v>0</v>
      </c>
      <c r="M142" s="1371">
        <f t="shared" si="28"/>
        <v>2148242</v>
      </c>
      <c r="N142" s="2212" t="e">
        <f>IF('Report-M&amp;O1920'!C$18-'Report-SOF1920'!D$55&lt;=0,0,'Report-M&amp;O1920'!C$18-'Report-SOF1920'!D$55)</f>
        <v>#DIV/0!</v>
      </c>
      <c r="O142" s="2452" t="e">
        <f t="shared" si="29"/>
        <v>#DIV/0!</v>
      </c>
      <c r="P142" s="2449">
        <f>IF(A142='Data Entry - SOF'!B$2,'Data Entry - SOF'!I$64,0)</f>
        <v>0</v>
      </c>
      <c r="Q142" s="1687">
        <f t="shared" si="30"/>
        <v>2148242</v>
      </c>
      <c r="R142" s="2212" t="e">
        <f>IF('Report-M&amp;O2021'!C$18-'Report-SOF2021'!D$55&lt;=0,0,'Report-M&amp;O2021'!C$18-'Report-SOF2021'!D$55)</f>
        <v>#DIV/0!</v>
      </c>
      <c r="S142" s="2452" t="e">
        <f t="shared" si="31"/>
        <v>#DIV/0!</v>
      </c>
      <c r="T142" s="1708">
        <f>IF(A142='Data Entry - SOF'!B$2,'Data Entry - SOF'!K$64,0)</f>
        <v>0</v>
      </c>
      <c r="U142" s="1687">
        <f t="shared" si="23"/>
        <v>2148242</v>
      </c>
      <c r="V142" s="2212" t="e">
        <f>IF('Report-M&amp;O2122'!C$18-'Report-SOF2122'!D$55&lt;=0,0,'Report-M&amp;O2122'!C$18-'Report-SOF2122'!D$55)</f>
        <v>#DIV/0!</v>
      </c>
      <c r="W142" s="2452" t="e">
        <f t="shared" si="32"/>
        <v>#DIV/0!</v>
      </c>
      <c r="X142" s="1708">
        <f>IF(A142='Data Entry - SOF'!B$2,'Data Entry - SOF'!M$64,0)</f>
        <v>0</v>
      </c>
      <c r="Y142" s="1371" t="e">
        <f t="shared" si="33"/>
        <v>#DIV/0!</v>
      </c>
      <c r="Z142" s="2212" t="e">
        <f>IF('Report-M&amp;O2223'!C$18-'Report-SOF2223'!D$55&lt;=0,0,'Report-M&amp;O2223'!C$18-'Report-SOF2223'!D$55)</f>
        <v>#DIV/0!</v>
      </c>
      <c r="AA142" s="1708">
        <f>IF(A142='Data Entry - SOF'!B$2,'Data Entry - SOF'!O$64,0)</f>
        <v>0</v>
      </c>
    </row>
    <row r="143" spans="1:27" ht="15.75">
      <c r="A143" s="1076" t="s">
        <v>2226</v>
      </c>
      <c r="B143">
        <v>244739</v>
      </c>
      <c r="C143" s="2452" t="e">
        <f>#REF!+#REF!</f>
        <v>#REF!</v>
      </c>
      <c r="D143" s="2449">
        <f>IF(A143='Data Entry - SOF'!B$2,'Data Entry - SOF'!C$64,0)</f>
        <v>0</v>
      </c>
      <c r="E143" s="2450">
        <f t="shared" si="24"/>
        <v>244739</v>
      </c>
      <c r="F143" s="2212" t="e">
        <f>IF('Report-M&amp;O1718'!C$18-'Report-SOF1718'!D$55&lt;=0,0,'Report-M&amp;O1718'!C$18-'Report-SOF1718'!D$55)</f>
        <v>#DIV/0!</v>
      </c>
      <c r="G143" s="2452" t="e">
        <f t="shared" si="25"/>
        <v>#DIV/0!</v>
      </c>
      <c r="H143" s="2449">
        <f>IF(A143='Data Entry - SOF'!B$2,'Data Entry - SOF'!E$64,0)</f>
        <v>0</v>
      </c>
      <c r="I143" s="1687">
        <f t="shared" si="26"/>
        <v>244739</v>
      </c>
      <c r="J143" s="2212" t="e">
        <f>IF('Report-M&amp;O1819'!C$18-'Report-SOF1819'!D$55&lt;=0,0,'Report-M&amp;O1819'!C$18-'Report-SOF1819'!D$55)</f>
        <v>#DIV/0!</v>
      </c>
      <c r="K143" s="2452" t="e">
        <f t="shared" si="27"/>
        <v>#DIV/0!</v>
      </c>
      <c r="L143" s="2449">
        <f>IF(A143='Data Entry - SOF'!B$2,'Data Entry - SOF'!G$64,0)</f>
        <v>0</v>
      </c>
      <c r="M143" s="1371">
        <f t="shared" si="28"/>
        <v>244739</v>
      </c>
      <c r="N143" s="2212" t="e">
        <f>IF('Report-M&amp;O1920'!C$18-'Report-SOF1920'!D$55&lt;=0,0,'Report-M&amp;O1920'!C$18-'Report-SOF1920'!D$55)</f>
        <v>#DIV/0!</v>
      </c>
      <c r="O143" s="2452" t="e">
        <f t="shared" si="29"/>
        <v>#DIV/0!</v>
      </c>
      <c r="P143" s="2449">
        <f>IF(A143='Data Entry - SOF'!B$2,'Data Entry - SOF'!I$64,0)</f>
        <v>0</v>
      </c>
      <c r="Q143" s="1687">
        <f t="shared" si="30"/>
        <v>244739</v>
      </c>
      <c r="R143" s="2212" t="e">
        <f>IF('Report-M&amp;O2021'!C$18-'Report-SOF2021'!D$55&lt;=0,0,'Report-M&amp;O2021'!C$18-'Report-SOF2021'!D$55)</f>
        <v>#DIV/0!</v>
      </c>
      <c r="S143" s="2452" t="e">
        <f t="shared" si="31"/>
        <v>#DIV/0!</v>
      </c>
      <c r="T143" s="1708">
        <f>IF(A143='Data Entry - SOF'!B$2,'Data Entry - SOF'!K$64,0)</f>
        <v>0</v>
      </c>
      <c r="U143" s="1687">
        <f t="shared" si="23"/>
        <v>244739</v>
      </c>
      <c r="V143" s="2212" t="e">
        <f>IF('Report-M&amp;O2122'!C$18-'Report-SOF2122'!D$55&lt;=0,0,'Report-M&amp;O2122'!C$18-'Report-SOF2122'!D$55)</f>
        <v>#DIV/0!</v>
      </c>
      <c r="W143" s="2452" t="e">
        <f t="shared" si="32"/>
        <v>#DIV/0!</v>
      </c>
      <c r="X143" s="1708">
        <f>IF(A143='Data Entry - SOF'!B$2,'Data Entry - SOF'!M$64,0)</f>
        <v>0</v>
      </c>
      <c r="Y143" s="1371" t="e">
        <f t="shared" si="33"/>
        <v>#DIV/0!</v>
      </c>
      <c r="Z143" s="2212" t="e">
        <f>IF('Report-M&amp;O2223'!C$18-'Report-SOF2223'!D$55&lt;=0,0,'Report-M&amp;O2223'!C$18-'Report-SOF2223'!D$55)</f>
        <v>#DIV/0!</v>
      </c>
      <c r="AA143" s="1708">
        <f>IF(A143='Data Entry - SOF'!B$2,'Data Entry - SOF'!O$64,0)</f>
        <v>0</v>
      </c>
    </row>
    <row r="144" spans="1:27" ht="15.75">
      <c r="A144" s="1076" t="s">
        <v>2227</v>
      </c>
      <c r="B144">
        <v>7918299</v>
      </c>
      <c r="C144" s="2452" t="e">
        <f>#REF!+#REF!</f>
        <v>#REF!</v>
      </c>
      <c r="D144" s="2449">
        <f>IF(A144='Data Entry - SOF'!B$2,'Data Entry - SOF'!C$64,0)</f>
        <v>0</v>
      </c>
      <c r="E144" s="2450">
        <f t="shared" si="24"/>
        <v>7918299</v>
      </c>
      <c r="F144" s="2212" t="e">
        <f>IF('Report-M&amp;O1718'!C$18-'Report-SOF1718'!D$55&lt;=0,0,'Report-M&amp;O1718'!C$18-'Report-SOF1718'!D$55)</f>
        <v>#DIV/0!</v>
      </c>
      <c r="G144" s="2452" t="e">
        <f t="shared" si="25"/>
        <v>#DIV/0!</v>
      </c>
      <c r="H144" s="2449">
        <f>IF(A144='Data Entry - SOF'!B$2,'Data Entry - SOF'!E$64,0)</f>
        <v>0</v>
      </c>
      <c r="I144" s="1687">
        <f t="shared" si="26"/>
        <v>7918299</v>
      </c>
      <c r="J144" s="2212" t="e">
        <f>IF('Report-M&amp;O1819'!C$18-'Report-SOF1819'!D$55&lt;=0,0,'Report-M&amp;O1819'!C$18-'Report-SOF1819'!D$55)</f>
        <v>#DIV/0!</v>
      </c>
      <c r="K144" s="2452" t="e">
        <f t="shared" si="27"/>
        <v>#DIV/0!</v>
      </c>
      <c r="L144" s="2449">
        <f>IF(A144='Data Entry - SOF'!B$2,'Data Entry - SOF'!G$64,0)</f>
        <v>0</v>
      </c>
      <c r="M144" s="1371">
        <f t="shared" si="28"/>
        <v>7918299</v>
      </c>
      <c r="N144" s="2212" t="e">
        <f>IF('Report-M&amp;O1920'!C$18-'Report-SOF1920'!D$55&lt;=0,0,'Report-M&amp;O1920'!C$18-'Report-SOF1920'!D$55)</f>
        <v>#DIV/0!</v>
      </c>
      <c r="O144" s="2452" t="e">
        <f t="shared" si="29"/>
        <v>#DIV/0!</v>
      </c>
      <c r="P144" s="2449">
        <f>IF(A144='Data Entry - SOF'!B$2,'Data Entry - SOF'!I$64,0)</f>
        <v>0</v>
      </c>
      <c r="Q144" s="1687">
        <f t="shared" si="30"/>
        <v>7918299</v>
      </c>
      <c r="R144" s="2212" t="e">
        <f>IF('Report-M&amp;O2021'!C$18-'Report-SOF2021'!D$55&lt;=0,0,'Report-M&amp;O2021'!C$18-'Report-SOF2021'!D$55)</f>
        <v>#DIV/0!</v>
      </c>
      <c r="S144" s="2452" t="e">
        <f t="shared" si="31"/>
        <v>#DIV/0!</v>
      </c>
      <c r="T144" s="1708">
        <f>IF(A144='Data Entry - SOF'!B$2,'Data Entry - SOF'!K$64,0)</f>
        <v>0</v>
      </c>
      <c r="U144" s="1687">
        <f t="shared" si="23"/>
        <v>7918299</v>
      </c>
      <c r="V144" s="2212" t="e">
        <f>IF('Report-M&amp;O2122'!C$18-'Report-SOF2122'!D$55&lt;=0,0,'Report-M&amp;O2122'!C$18-'Report-SOF2122'!D$55)</f>
        <v>#DIV/0!</v>
      </c>
      <c r="W144" s="2452" t="e">
        <f t="shared" si="32"/>
        <v>#DIV/0!</v>
      </c>
      <c r="X144" s="1708">
        <f>IF(A144='Data Entry - SOF'!B$2,'Data Entry - SOF'!M$64,0)</f>
        <v>0</v>
      </c>
      <c r="Y144" s="1371" t="e">
        <f t="shared" si="33"/>
        <v>#DIV/0!</v>
      </c>
      <c r="Z144" s="2212" t="e">
        <f>IF('Report-M&amp;O2223'!C$18-'Report-SOF2223'!D$55&lt;=0,0,'Report-M&amp;O2223'!C$18-'Report-SOF2223'!D$55)</f>
        <v>#DIV/0!</v>
      </c>
      <c r="AA144" s="1708">
        <f>IF(A144='Data Entry - SOF'!B$2,'Data Entry - SOF'!O$64,0)</f>
        <v>0</v>
      </c>
    </row>
    <row r="145" spans="1:27" ht="15.75">
      <c r="A145" s="1076" t="s">
        <v>2788</v>
      </c>
      <c r="B145">
        <v>755245</v>
      </c>
      <c r="C145" s="2452" t="e">
        <f>#REF!+#REF!</f>
        <v>#REF!</v>
      </c>
      <c r="D145" s="2449">
        <f>IF(A145='Data Entry - SOF'!B$2,'Data Entry - SOF'!C$64,0)</f>
        <v>0</v>
      </c>
      <c r="E145" s="2450">
        <f t="shared" si="24"/>
        <v>755245</v>
      </c>
      <c r="F145" s="2212" t="e">
        <f>IF('Report-M&amp;O1718'!C$18-'Report-SOF1718'!D$55&lt;=0,0,'Report-M&amp;O1718'!C$18-'Report-SOF1718'!D$55)</f>
        <v>#DIV/0!</v>
      </c>
      <c r="G145" s="2452" t="e">
        <f t="shared" si="25"/>
        <v>#DIV/0!</v>
      </c>
      <c r="H145" s="2449">
        <f>IF(A145='Data Entry - SOF'!B$2,'Data Entry - SOF'!E$64,0)</f>
        <v>0</v>
      </c>
      <c r="I145" s="1687">
        <f t="shared" si="26"/>
        <v>755245</v>
      </c>
      <c r="J145" s="2212" t="e">
        <f>IF('Report-M&amp;O1819'!C$18-'Report-SOF1819'!D$55&lt;=0,0,'Report-M&amp;O1819'!C$18-'Report-SOF1819'!D$55)</f>
        <v>#DIV/0!</v>
      </c>
      <c r="K145" s="2452" t="e">
        <f t="shared" si="27"/>
        <v>#DIV/0!</v>
      </c>
      <c r="L145" s="2449">
        <f>IF(A145='Data Entry - SOF'!B$2,'Data Entry - SOF'!G$64,0)</f>
        <v>0</v>
      </c>
      <c r="M145" s="1371">
        <f t="shared" si="28"/>
        <v>755245</v>
      </c>
      <c r="N145" s="2212" t="e">
        <f>IF('Report-M&amp;O1920'!C$18-'Report-SOF1920'!D$55&lt;=0,0,'Report-M&amp;O1920'!C$18-'Report-SOF1920'!D$55)</f>
        <v>#DIV/0!</v>
      </c>
      <c r="O145" s="2452" t="e">
        <f t="shared" si="29"/>
        <v>#DIV/0!</v>
      </c>
      <c r="P145" s="2449">
        <f>IF(A145='Data Entry - SOF'!B$2,'Data Entry - SOF'!I$64,0)</f>
        <v>0</v>
      </c>
      <c r="Q145" s="1687">
        <f t="shared" si="30"/>
        <v>755245</v>
      </c>
      <c r="R145" s="2212" t="e">
        <f>IF('Report-M&amp;O2021'!C$18-'Report-SOF2021'!D$55&lt;=0,0,'Report-M&amp;O2021'!C$18-'Report-SOF2021'!D$55)</f>
        <v>#DIV/0!</v>
      </c>
      <c r="S145" s="2452" t="e">
        <f t="shared" si="31"/>
        <v>#DIV/0!</v>
      </c>
      <c r="T145" s="1708">
        <f>IF(A145='Data Entry - SOF'!B$2,'Data Entry - SOF'!K$64,0)</f>
        <v>0</v>
      </c>
      <c r="U145" s="1687">
        <f t="shared" si="23"/>
        <v>755245</v>
      </c>
      <c r="V145" s="2212" t="e">
        <f>IF('Report-M&amp;O2122'!C$18-'Report-SOF2122'!D$55&lt;=0,0,'Report-M&amp;O2122'!C$18-'Report-SOF2122'!D$55)</f>
        <v>#DIV/0!</v>
      </c>
      <c r="W145" s="2452" t="e">
        <f t="shared" si="32"/>
        <v>#DIV/0!</v>
      </c>
      <c r="X145" s="1708">
        <f>IF(A145='Data Entry - SOF'!B$2,'Data Entry - SOF'!M$64,0)</f>
        <v>0</v>
      </c>
      <c r="Y145" s="1371" t="e">
        <f t="shared" si="33"/>
        <v>#DIV/0!</v>
      </c>
      <c r="Z145" s="2212" t="e">
        <f>IF('Report-M&amp;O2223'!C$18-'Report-SOF2223'!D$55&lt;=0,0,'Report-M&amp;O2223'!C$18-'Report-SOF2223'!D$55)</f>
        <v>#DIV/0!</v>
      </c>
      <c r="AA145" s="1708">
        <f>IF(A145='Data Entry - SOF'!B$2,'Data Entry - SOF'!O$64,0)</f>
        <v>0</v>
      </c>
    </row>
    <row r="146" spans="1:27" ht="15.75">
      <c r="A146" s="1076" t="s">
        <v>2904</v>
      </c>
      <c r="B146">
        <v>783932</v>
      </c>
      <c r="C146" s="2452" t="e">
        <f>#REF!+#REF!</f>
        <v>#REF!</v>
      </c>
      <c r="D146" s="2449">
        <f>IF(A146='Data Entry - SOF'!B$2,'Data Entry - SOF'!C$64,0)</f>
        <v>0</v>
      </c>
      <c r="E146" s="2450">
        <f t="shared" si="24"/>
        <v>783932</v>
      </c>
      <c r="F146" s="2212" t="e">
        <f>IF('Report-M&amp;O1718'!C$18-'Report-SOF1718'!D$55&lt;=0,0,'Report-M&amp;O1718'!C$18-'Report-SOF1718'!D$55)</f>
        <v>#DIV/0!</v>
      </c>
      <c r="G146" s="2452" t="e">
        <f t="shared" si="25"/>
        <v>#DIV/0!</v>
      </c>
      <c r="H146" s="2449">
        <f>IF(A146='Data Entry - SOF'!B$2,'Data Entry - SOF'!E$64,0)</f>
        <v>0</v>
      </c>
      <c r="I146" s="1687">
        <f t="shared" si="26"/>
        <v>783932</v>
      </c>
      <c r="J146" s="2212" t="e">
        <f>IF('Report-M&amp;O1819'!C$18-'Report-SOF1819'!D$55&lt;=0,0,'Report-M&amp;O1819'!C$18-'Report-SOF1819'!D$55)</f>
        <v>#DIV/0!</v>
      </c>
      <c r="K146" s="2452" t="e">
        <f t="shared" si="27"/>
        <v>#DIV/0!</v>
      </c>
      <c r="L146" s="2449">
        <f>IF(A146='Data Entry - SOF'!B$2,'Data Entry - SOF'!G$64,0)</f>
        <v>0</v>
      </c>
      <c r="M146" s="1371">
        <f t="shared" si="28"/>
        <v>783932</v>
      </c>
      <c r="N146" s="2212" t="e">
        <f>IF('Report-M&amp;O1920'!C$18-'Report-SOF1920'!D$55&lt;=0,0,'Report-M&amp;O1920'!C$18-'Report-SOF1920'!D$55)</f>
        <v>#DIV/0!</v>
      </c>
      <c r="O146" s="2452" t="e">
        <f t="shared" si="29"/>
        <v>#DIV/0!</v>
      </c>
      <c r="P146" s="2449">
        <f>IF(A146='Data Entry - SOF'!B$2,'Data Entry - SOF'!I$64,0)</f>
        <v>0</v>
      </c>
      <c r="Q146" s="1687">
        <f t="shared" si="30"/>
        <v>783932</v>
      </c>
      <c r="R146" s="2212" t="e">
        <f>IF('Report-M&amp;O2021'!C$18-'Report-SOF2021'!D$55&lt;=0,0,'Report-M&amp;O2021'!C$18-'Report-SOF2021'!D$55)</f>
        <v>#DIV/0!</v>
      </c>
      <c r="S146" s="2452" t="e">
        <f t="shared" si="31"/>
        <v>#DIV/0!</v>
      </c>
      <c r="T146" s="1708">
        <f>IF(A146='Data Entry - SOF'!B$2,'Data Entry - SOF'!K$64,0)</f>
        <v>0</v>
      </c>
      <c r="U146" s="1687">
        <f t="shared" si="23"/>
        <v>783932</v>
      </c>
      <c r="V146" s="2212" t="e">
        <f>IF('Report-M&amp;O2122'!C$18-'Report-SOF2122'!D$55&lt;=0,0,'Report-M&amp;O2122'!C$18-'Report-SOF2122'!D$55)</f>
        <v>#DIV/0!</v>
      </c>
      <c r="W146" s="2452" t="e">
        <f t="shared" si="32"/>
        <v>#DIV/0!</v>
      </c>
      <c r="X146" s="1708">
        <f>IF(A146='Data Entry - SOF'!B$2,'Data Entry - SOF'!M$64,0)</f>
        <v>0</v>
      </c>
      <c r="Y146" s="1371" t="e">
        <f t="shared" si="33"/>
        <v>#DIV/0!</v>
      </c>
      <c r="Z146" s="2212" t="e">
        <f>IF('Report-M&amp;O2223'!C$18-'Report-SOF2223'!D$55&lt;=0,0,'Report-M&amp;O2223'!C$18-'Report-SOF2223'!D$55)</f>
        <v>#DIV/0!</v>
      </c>
      <c r="AA146" s="1708">
        <f>IF(A146='Data Entry - SOF'!B$2,'Data Entry - SOF'!O$64,0)</f>
        <v>0</v>
      </c>
    </row>
    <row r="147" spans="1:27" ht="15.75">
      <c r="A147" s="1076" t="s">
        <v>1840</v>
      </c>
      <c r="B147">
        <v>5462045</v>
      </c>
      <c r="C147" s="2452" t="e">
        <f>#REF!+#REF!</f>
        <v>#REF!</v>
      </c>
      <c r="D147" s="2449">
        <f>IF(A147='Data Entry - SOF'!B$2,'Data Entry - SOF'!C$64,0)</f>
        <v>0</v>
      </c>
      <c r="E147" s="2450">
        <f t="shared" si="24"/>
        <v>5462045</v>
      </c>
      <c r="F147" s="2212" t="e">
        <f>IF('Report-M&amp;O1718'!C$18-'Report-SOF1718'!D$55&lt;=0,0,'Report-M&amp;O1718'!C$18-'Report-SOF1718'!D$55)</f>
        <v>#DIV/0!</v>
      </c>
      <c r="G147" s="2452" t="e">
        <f t="shared" si="25"/>
        <v>#DIV/0!</v>
      </c>
      <c r="H147" s="2449">
        <f>IF(A147='Data Entry - SOF'!B$2,'Data Entry - SOF'!E$64,0)</f>
        <v>0</v>
      </c>
      <c r="I147" s="1687">
        <f t="shared" si="26"/>
        <v>5462045</v>
      </c>
      <c r="J147" s="2212" t="e">
        <f>IF('Report-M&amp;O1819'!C$18-'Report-SOF1819'!D$55&lt;=0,0,'Report-M&amp;O1819'!C$18-'Report-SOF1819'!D$55)</f>
        <v>#DIV/0!</v>
      </c>
      <c r="K147" s="2452" t="e">
        <f t="shared" si="27"/>
        <v>#DIV/0!</v>
      </c>
      <c r="L147" s="2449">
        <f>IF(A147='Data Entry - SOF'!B$2,'Data Entry - SOF'!G$64,0)</f>
        <v>0</v>
      </c>
      <c r="M147" s="1371">
        <f t="shared" si="28"/>
        <v>5462045</v>
      </c>
      <c r="N147" s="2212" t="e">
        <f>IF('Report-M&amp;O1920'!C$18-'Report-SOF1920'!D$55&lt;=0,0,'Report-M&amp;O1920'!C$18-'Report-SOF1920'!D$55)</f>
        <v>#DIV/0!</v>
      </c>
      <c r="O147" s="2452" t="e">
        <f t="shared" si="29"/>
        <v>#DIV/0!</v>
      </c>
      <c r="P147" s="2449">
        <f>IF(A147='Data Entry - SOF'!B$2,'Data Entry - SOF'!I$64,0)</f>
        <v>0</v>
      </c>
      <c r="Q147" s="1687">
        <f t="shared" si="30"/>
        <v>5462045</v>
      </c>
      <c r="R147" s="2212" t="e">
        <f>IF('Report-M&amp;O2021'!C$18-'Report-SOF2021'!D$55&lt;=0,0,'Report-M&amp;O2021'!C$18-'Report-SOF2021'!D$55)</f>
        <v>#DIV/0!</v>
      </c>
      <c r="S147" s="2452" t="e">
        <f t="shared" si="31"/>
        <v>#DIV/0!</v>
      </c>
      <c r="T147" s="1708">
        <f>IF(A147='Data Entry - SOF'!B$2,'Data Entry - SOF'!K$64,0)</f>
        <v>0</v>
      </c>
      <c r="U147" s="1687">
        <f t="shared" ref="U147:U191" si="34">Q147-T147</f>
        <v>5462045</v>
      </c>
      <c r="V147" s="2212" t="e">
        <f>IF('Report-M&amp;O2122'!C$18-'Report-SOF2122'!D$55&lt;=0,0,'Report-M&amp;O2122'!C$18-'Report-SOF2122'!D$55)</f>
        <v>#DIV/0!</v>
      </c>
      <c r="W147" s="2452" t="e">
        <f t="shared" si="32"/>
        <v>#DIV/0!</v>
      </c>
      <c r="X147" s="1708">
        <f>IF(A147='Data Entry - SOF'!B$2,'Data Entry - SOF'!M$64,0)</f>
        <v>0</v>
      </c>
      <c r="Y147" s="1371" t="e">
        <f t="shared" si="33"/>
        <v>#DIV/0!</v>
      </c>
      <c r="Z147" s="2212" t="e">
        <f>IF('Report-M&amp;O2223'!C$18-'Report-SOF2223'!D$55&lt;=0,0,'Report-M&amp;O2223'!C$18-'Report-SOF2223'!D$55)</f>
        <v>#DIV/0!</v>
      </c>
      <c r="AA147" s="1708">
        <f>IF(A147='Data Entry - SOF'!B$2,'Data Entry - SOF'!O$64,0)</f>
        <v>0</v>
      </c>
    </row>
    <row r="148" spans="1:27" ht="15.75">
      <c r="A148" s="1076" t="s">
        <v>2789</v>
      </c>
      <c r="B148">
        <v>83254214</v>
      </c>
      <c r="C148" s="2452" t="e">
        <f>#REF!+#REF!</f>
        <v>#REF!</v>
      </c>
      <c r="D148" s="2449">
        <f>IF(A148='Data Entry - SOF'!B$2,'Data Entry - SOF'!C$64,0)</f>
        <v>0</v>
      </c>
      <c r="E148" s="2450">
        <f t="shared" si="24"/>
        <v>83254214</v>
      </c>
      <c r="F148" s="2212" t="e">
        <f>IF('Report-M&amp;O1718'!C$18-'Report-SOF1718'!D$55&lt;=0,0,'Report-M&amp;O1718'!C$18-'Report-SOF1718'!D$55)</f>
        <v>#DIV/0!</v>
      </c>
      <c r="G148" s="2452" t="e">
        <f t="shared" si="25"/>
        <v>#DIV/0!</v>
      </c>
      <c r="H148" s="2449">
        <f>IF(A148='Data Entry - SOF'!B$2,'Data Entry - SOF'!E$64,0)</f>
        <v>0</v>
      </c>
      <c r="I148" s="1687">
        <f t="shared" si="26"/>
        <v>83254214</v>
      </c>
      <c r="J148" s="2212" t="e">
        <f>IF('Report-M&amp;O1819'!C$18-'Report-SOF1819'!D$55&lt;=0,0,'Report-M&amp;O1819'!C$18-'Report-SOF1819'!D$55)</f>
        <v>#DIV/0!</v>
      </c>
      <c r="K148" s="2452" t="e">
        <f t="shared" si="27"/>
        <v>#DIV/0!</v>
      </c>
      <c r="L148" s="2449">
        <f>IF(A148='Data Entry - SOF'!B$2,'Data Entry - SOF'!G$64,0)</f>
        <v>0</v>
      </c>
      <c r="M148" s="1371">
        <f t="shared" si="28"/>
        <v>83254214</v>
      </c>
      <c r="N148" s="2212" t="e">
        <f>IF('Report-M&amp;O1920'!C$18-'Report-SOF1920'!D$55&lt;=0,0,'Report-M&amp;O1920'!C$18-'Report-SOF1920'!D$55)</f>
        <v>#DIV/0!</v>
      </c>
      <c r="O148" s="2452" t="e">
        <f t="shared" si="29"/>
        <v>#DIV/0!</v>
      </c>
      <c r="P148" s="2449">
        <f>IF(A148='Data Entry - SOF'!B$2,'Data Entry - SOF'!I$64,0)</f>
        <v>0</v>
      </c>
      <c r="Q148" s="1687">
        <f t="shared" si="30"/>
        <v>83254214</v>
      </c>
      <c r="R148" s="2212" t="e">
        <f>IF('Report-M&amp;O2021'!C$18-'Report-SOF2021'!D$55&lt;=0,0,'Report-M&amp;O2021'!C$18-'Report-SOF2021'!D$55)</f>
        <v>#DIV/0!</v>
      </c>
      <c r="S148" s="2452" t="e">
        <f t="shared" si="31"/>
        <v>#DIV/0!</v>
      </c>
      <c r="T148" s="1708">
        <f>IF(A148='Data Entry - SOF'!B$2,'Data Entry - SOF'!K$64,0)</f>
        <v>0</v>
      </c>
      <c r="U148" s="1687">
        <f t="shared" si="34"/>
        <v>83254214</v>
      </c>
      <c r="V148" s="2212" t="e">
        <f>IF('Report-M&amp;O2122'!C$18-'Report-SOF2122'!D$55&lt;=0,0,'Report-M&amp;O2122'!C$18-'Report-SOF2122'!D$55)</f>
        <v>#DIV/0!</v>
      </c>
      <c r="W148" s="2452" t="e">
        <f t="shared" si="32"/>
        <v>#DIV/0!</v>
      </c>
      <c r="X148" s="1708">
        <f>IF(A148='Data Entry - SOF'!B$2,'Data Entry - SOF'!M$64,0)</f>
        <v>0</v>
      </c>
      <c r="Y148" s="1371" t="e">
        <f t="shared" si="33"/>
        <v>#DIV/0!</v>
      </c>
      <c r="Z148" s="2212" t="e">
        <f>IF('Report-M&amp;O2223'!C$18-'Report-SOF2223'!D$55&lt;=0,0,'Report-M&amp;O2223'!C$18-'Report-SOF2223'!D$55)</f>
        <v>#DIV/0!</v>
      </c>
      <c r="AA148" s="1708">
        <f>IF(A148='Data Entry - SOF'!B$2,'Data Entry - SOF'!O$64,0)</f>
        <v>0</v>
      </c>
    </row>
    <row r="149" spans="1:27" ht="15.75">
      <c r="A149" s="1076" t="s">
        <v>316</v>
      </c>
      <c r="B149">
        <v>2894623</v>
      </c>
      <c r="C149" s="2452" t="e">
        <f>#REF!+#REF!</f>
        <v>#REF!</v>
      </c>
      <c r="D149" s="2449">
        <f>IF(A149='Data Entry - SOF'!B$2,'Data Entry - SOF'!C$64,0)</f>
        <v>0</v>
      </c>
      <c r="E149" s="2450">
        <f t="shared" si="24"/>
        <v>2894623</v>
      </c>
      <c r="F149" s="2212" t="e">
        <f>IF('Report-M&amp;O1718'!C$18-'Report-SOF1718'!D$55&lt;=0,0,'Report-M&amp;O1718'!C$18-'Report-SOF1718'!D$55)</f>
        <v>#DIV/0!</v>
      </c>
      <c r="G149" s="2452" t="e">
        <f t="shared" si="25"/>
        <v>#DIV/0!</v>
      </c>
      <c r="H149" s="2449">
        <f>IF(A149='Data Entry - SOF'!B$2,'Data Entry - SOF'!E$64,0)</f>
        <v>0</v>
      </c>
      <c r="I149" s="1687">
        <f t="shared" si="26"/>
        <v>2894623</v>
      </c>
      <c r="J149" s="2212" t="e">
        <f>IF('Report-M&amp;O1819'!C$18-'Report-SOF1819'!D$55&lt;=0,0,'Report-M&amp;O1819'!C$18-'Report-SOF1819'!D$55)</f>
        <v>#DIV/0!</v>
      </c>
      <c r="K149" s="2452" t="e">
        <f t="shared" si="27"/>
        <v>#DIV/0!</v>
      </c>
      <c r="L149" s="2449">
        <f>IF(A149='Data Entry - SOF'!B$2,'Data Entry - SOF'!G$64,0)</f>
        <v>0</v>
      </c>
      <c r="M149" s="1371">
        <f t="shared" si="28"/>
        <v>2894623</v>
      </c>
      <c r="N149" s="2212" t="e">
        <f>IF('Report-M&amp;O1920'!C$18-'Report-SOF1920'!D$55&lt;=0,0,'Report-M&amp;O1920'!C$18-'Report-SOF1920'!D$55)</f>
        <v>#DIV/0!</v>
      </c>
      <c r="O149" s="2452" t="e">
        <f t="shared" si="29"/>
        <v>#DIV/0!</v>
      </c>
      <c r="P149" s="2449">
        <f>IF(A149='Data Entry - SOF'!B$2,'Data Entry - SOF'!I$64,0)</f>
        <v>0</v>
      </c>
      <c r="Q149" s="1687">
        <f t="shared" si="30"/>
        <v>2894623</v>
      </c>
      <c r="R149" s="2212" t="e">
        <f>IF('Report-M&amp;O2021'!C$18-'Report-SOF2021'!D$55&lt;=0,0,'Report-M&amp;O2021'!C$18-'Report-SOF2021'!D$55)</f>
        <v>#DIV/0!</v>
      </c>
      <c r="S149" s="2452" t="e">
        <f t="shared" si="31"/>
        <v>#DIV/0!</v>
      </c>
      <c r="T149" s="1708">
        <f>IF(A149='Data Entry - SOF'!B$2,'Data Entry - SOF'!K$64,0)</f>
        <v>0</v>
      </c>
      <c r="U149" s="1687">
        <f t="shared" si="34"/>
        <v>2894623</v>
      </c>
      <c r="V149" s="2212" t="e">
        <f>IF('Report-M&amp;O2122'!C$18-'Report-SOF2122'!D$55&lt;=0,0,'Report-M&amp;O2122'!C$18-'Report-SOF2122'!D$55)</f>
        <v>#DIV/0!</v>
      </c>
      <c r="W149" s="2452" t="e">
        <f t="shared" si="32"/>
        <v>#DIV/0!</v>
      </c>
      <c r="X149" s="1708">
        <f>IF(A149='Data Entry - SOF'!B$2,'Data Entry - SOF'!M$64,0)</f>
        <v>0</v>
      </c>
      <c r="Y149" s="1371" t="e">
        <f t="shared" si="33"/>
        <v>#DIV/0!</v>
      </c>
      <c r="Z149" s="2212" t="e">
        <f>IF('Report-M&amp;O2223'!C$18-'Report-SOF2223'!D$55&lt;=0,0,'Report-M&amp;O2223'!C$18-'Report-SOF2223'!D$55)</f>
        <v>#DIV/0!</v>
      </c>
      <c r="AA149" s="1708">
        <f>IF(A149='Data Entry - SOF'!B$2,'Data Entry - SOF'!O$64,0)</f>
        <v>0</v>
      </c>
    </row>
    <row r="150" spans="1:27" ht="15.75">
      <c r="A150" s="1076" t="s">
        <v>1658</v>
      </c>
      <c r="B150">
        <v>1046401</v>
      </c>
      <c r="C150" s="2452" t="e">
        <f>#REF!+#REF!</f>
        <v>#REF!</v>
      </c>
      <c r="D150" s="2449">
        <f>IF(A150='Data Entry - SOF'!B$2,'Data Entry - SOF'!C$64,0)</f>
        <v>0</v>
      </c>
      <c r="E150" s="2450">
        <f t="shared" si="24"/>
        <v>1046401</v>
      </c>
      <c r="F150" s="2212" t="e">
        <f>IF('Report-M&amp;O1718'!C$18-'Report-SOF1718'!D$55&lt;=0,0,'Report-M&amp;O1718'!C$18-'Report-SOF1718'!D$55)</f>
        <v>#DIV/0!</v>
      </c>
      <c r="G150" s="2452" t="e">
        <f t="shared" si="25"/>
        <v>#DIV/0!</v>
      </c>
      <c r="H150" s="2449">
        <f>IF(A150='Data Entry - SOF'!B$2,'Data Entry - SOF'!E$64,0)</f>
        <v>0</v>
      </c>
      <c r="I150" s="1687">
        <f t="shared" si="26"/>
        <v>1046401</v>
      </c>
      <c r="J150" s="2212" t="e">
        <f>IF('Report-M&amp;O1819'!C$18-'Report-SOF1819'!D$55&lt;=0,0,'Report-M&amp;O1819'!C$18-'Report-SOF1819'!D$55)</f>
        <v>#DIV/0!</v>
      </c>
      <c r="K150" s="2452" t="e">
        <f t="shared" si="27"/>
        <v>#DIV/0!</v>
      </c>
      <c r="L150" s="2449">
        <f>IF(A150='Data Entry - SOF'!B$2,'Data Entry - SOF'!G$64,0)</f>
        <v>0</v>
      </c>
      <c r="M150" s="1371">
        <f t="shared" si="28"/>
        <v>1046401</v>
      </c>
      <c r="N150" s="2212" t="e">
        <f>IF('Report-M&amp;O1920'!C$18-'Report-SOF1920'!D$55&lt;=0,0,'Report-M&amp;O1920'!C$18-'Report-SOF1920'!D$55)</f>
        <v>#DIV/0!</v>
      </c>
      <c r="O150" s="2452" t="e">
        <f t="shared" si="29"/>
        <v>#DIV/0!</v>
      </c>
      <c r="P150" s="2449">
        <f>IF(A150='Data Entry - SOF'!B$2,'Data Entry - SOF'!I$64,0)</f>
        <v>0</v>
      </c>
      <c r="Q150" s="1687">
        <f t="shared" si="30"/>
        <v>1046401</v>
      </c>
      <c r="R150" s="2212" t="e">
        <f>IF('Report-M&amp;O2021'!C$18-'Report-SOF2021'!D$55&lt;=0,0,'Report-M&amp;O2021'!C$18-'Report-SOF2021'!D$55)</f>
        <v>#DIV/0!</v>
      </c>
      <c r="S150" s="2452" t="e">
        <f t="shared" si="31"/>
        <v>#DIV/0!</v>
      </c>
      <c r="T150" s="1708">
        <f>IF(A150='Data Entry - SOF'!B$2,'Data Entry - SOF'!K$64,0)</f>
        <v>0</v>
      </c>
      <c r="U150" s="1687">
        <f t="shared" si="34"/>
        <v>1046401</v>
      </c>
      <c r="V150" s="2212" t="e">
        <f>IF('Report-M&amp;O2122'!C$18-'Report-SOF2122'!D$55&lt;=0,0,'Report-M&amp;O2122'!C$18-'Report-SOF2122'!D$55)</f>
        <v>#DIV/0!</v>
      </c>
      <c r="W150" s="2452" t="e">
        <f t="shared" si="32"/>
        <v>#DIV/0!</v>
      </c>
      <c r="X150" s="1708">
        <f>IF(A150='Data Entry - SOF'!B$2,'Data Entry - SOF'!M$64,0)</f>
        <v>0</v>
      </c>
      <c r="Y150" s="1371" t="e">
        <f t="shared" si="33"/>
        <v>#DIV/0!</v>
      </c>
      <c r="Z150" s="2212" t="e">
        <f>IF('Report-M&amp;O2223'!C$18-'Report-SOF2223'!D$55&lt;=0,0,'Report-M&amp;O2223'!C$18-'Report-SOF2223'!D$55)</f>
        <v>#DIV/0!</v>
      </c>
      <c r="AA150" s="1708">
        <f>IF(A150='Data Entry - SOF'!B$2,'Data Entry - SOF'!O$64,0)</f>
        <v>0</v>
      </c>
    </row>
    <row r="151" spans="1:27" ht="15.75">
      <c r="A151" s="1076" t="s">
        <v>50</v>
      </c>
      <c r="B151">
        <v>7855593</v>
      </c>
      <c r="C151" s="2452" t="e">
        <f>#REF!+#REF!</f>
        <v>#REF!</v>
      </c>
      <c r="D151" s="2449">
        <f>IF(A151='Data Entry - SOF'!B$2,'Data Entry - SOF'!C$64,0)</f>
        <v>0</v>
      </c>
      <c r="E151" s="2450">
        <f t="shared" si="24"/>
        <v>7855593</v>
      </c>
      <c r="F151" s="2212" t="e">
        <f>IF('Report-M&amp;O1718'!C$18-'Report-SOF1718'!D$55&lt;=0,0,'Report-M&amp;O1718'!C$18-'Report-SOF1718'!D$55)</f>
        <v>#DIV/0!</v>
      </c>
      <c r="G151" s="2452" t="e">
        <f t="shared" si="25"/>
        <v>#DIV/0!</v>
      </c>
      <c r="H151" s="2449">
        <f>IF(A151='Data Entry - SOF'!B$2,'Data Entry - SOF'!E$64,0)</f>
        <v>0</v>
      </c>
      <c r="I151" s="1687">
        <f t="shared" si="26"/>
        <v>7855593</v>
      </c>
      <c r="J151" s="2212" t="e">
        <f>IF('Report-M&amp;O1819'!C$18-'Report-SOF1819'!D$55&lt;=0,0,'Report-M&amp;O1819'!C$18-'Report-SOF1819'!D$55)</f>
        <v>#DIV/0!</v>
      </c>
      <c r="K151" s="2452" t="e">
        <f t="shared" si="27"/>
        <v>#DIV/0!</v>
      </c>
      <c r="L151" s="2449">
        <f>IF(A151='Data Entry - SOF'!B$2,'Data Entry - SOF'!G$64,0)</f>
        <v>0</v>
      </c>
      <c r="M151" s="1371">
        <f t="shared" si="28"/>
        <v>7855593</v>
      </c>
      <c r="N151" s="2212" t="e">
        <f>IF('Report-M&amp;O1920'!C$18-'Report-SOF1920'!D$55&lt;=0,0,'Report-M&amp;O1920'!C$18-'Report-SOF1920'!D$55)</f>
        <v>#DIV/0!</v>
      </c>
      <c r="O151" s="2452" t="e">
        <f t="shared" si="29"/>
        <v>#DIV/0!</v>
      </c>
      <c r="P151" s="2449">
        <f>IF(A151='Data Entry - SOF'!B$2,'Data Entry - SOF'!I$64,0)</f>
        <v>0</v>
      </c>
      <c r="Q151" s="1687">
        <f t="shared" si="30"/>
        <v>7855593</v>
      </c>
      <c r="R151" s="2212" t="e">
        <f>IF('Report-M&amp;O2021'!C$18-'Report-SOF2021'!D$55&lt;=0,0,'Report-M&amp;O2021'!C$18-'Report-SOF2021'!D$55)</f>
        <v>#DIV/0!</v>
      </c>
      <c r="S151" s="2452" t="e">
        <f t="shared" si="31"/>
        <v>#DIV/0!</v>
      </c>
      <c r="T151" s="1708">
        <f>IF(A151='Data Entry - SOF'!B$2,'Data Entry - SOF'!K$64,0)</f>
        <v>0</v>
      </c>
      <c r="U151" s="1687">
        <f t="shared" si="34"/>
        <v>7855593</v>
      </c>
      <c r="V151" s="2212" t="e">
        <f>IF('Report-M&amp;O2122'!C$18-'Report-SOF2122'!D$55&lt;=0,0,'Report-M&amp;O2122'!C$18-'Report-SOF2122'!D$55)</f>
        <v>#DIV/0!</v>
      </c>
      <c r="W151" s="2452" t="e">
        <f t="shared" si="32"/>
        <v>#DIV/0!</v>
      </c>
      <c r="X151" s="1708">
        <f>IF(A151='Data Entry - SOF'!B$2,'Data Entry - SOF'!M$64,0)</f>
        <v>0</v>
      </c>
      <c r="Y151" s="1371" t="e">
        <f t="shared" si="33"/>
        <v>#DIV/0!</v>
      </c>
      <c r="Z151" s="2212" t="e">
        <f>IF('Report-M&amp;O2223'!C$18-'Report-SOF2223'!D$55&lt;=0,0,'Report-M&amp;O2223'!C$18-'Report-SOF2223'!D$55)</f>
        <v>#DIV/0!</v>
      </c>
      <c r="AA151" s="1708">
        <f>IF(A151='Data Entry - SOF'!B$2,'Data Entry - SOF'!O$64,0)</f>
        <v>0</v>
      </c>
    </row>
    <row r="152" spans="1:27" ht="15.75">
      <c r="A152" s="1076" t="s">
        <v>1486</v>
      </c>
      <c r="B152">
        <v>864608</v>
      </c>
      <c r="C152" s="2452" t="e">
        <f>#REF!+#REF!</f>
        <v>#REF!</v>
      </c>
      <c r="D152" s="2449">
        <f>IF(A152='Data Entry - SOF'!B$2,'Data Entry - SOF'!C$64,0)</f>
        <v>0</v>
      </c>
      <c r="E152" s="2450">
        <f t="shared" si="24"/>
        <v>864608</v>
      </c>
      <c r="F152" s="2212" t="e">
        <f>IF('Report-M&amp;O1718'!C$18-'Report-SOF1718'!D$55&lt;=0,0,'Report-M&amp;O1718'!C$18-'Report-SOF1718'!D$55)</f>
        <v>#DIV/0!</v>
      </c>
      <c r="G152" s="2452" t="e">
        <f t="shared" si="25"/>
        <v>#DIV/0!</v>
      </c>
      <c r="H152" s="2449">
        <f>IF(A152='Data Entry - SOF'!B$2,'Data Entry - SOF'!E$64,0)</f>
        <v>0</v>
      </c>
      <c r="I152" s="1687">
        <f t="shared" si="26"/>
        <v>864608</v>
      </c>
      <c r="J152" s="2212" t="e">
        <f>IF('Report-M&amp;O1819'!C$18-'Report-SOF1819'!D$55&lt;=0,0,'Report-M&amp;O1819'!C$18-'Report-SOF1819'!D$55)</f>
        <v>#DIV/0!</v>
      </c>
      <c r="K152" s="2452" t="e">
        <f t="shared" si="27"/>
        <v>#DIV/0!</v>
      </c>
      <c r="L152" s="2449">
        <f>IF(A152='Data Entry - SOF'!B$2,'Data Entry - SOF'!G$64,0)</f>
        <v>0</v>
      </c>
      <c r="M152" s="1371">
        <f t="shared" si="28"/>
        <v>864608</v>
      </c>
      <c r="N152" s="2212" t="e">
        <f>IF('Report-M&amp;O1920'!C$18-'Report-SOF1920'!D$55&lt;=0,0,'Report-M&amp;O1920'!C$18-'Report-SOF1920'!D$55)</f>
        <v>#DIV/0!</v>
      </c>
      <c r="O152" s="2452" t="e">
        <f t="shared" si="29"/>
        <v>#DIV/0!</v>
      </c>
      <c r="P152" s="2449">
        <f>IF(A152='Data Entry - SOF'!B$2,'Data Entry - SOF'!I$64,0)</f>
        <v>0</v>
      </c>
      <c r="Q152" s="1687">
        <f t="shared" si="30"/>
        <v>864608</v>
      </c>
      <c r="R152" s="2212" t="e">
        <f>IF('Report-M&amp;O2021'!C$18-'Report-SOF2021'!D$55&lt;=0,0,'Report-M&amp;O2021'!C$18-'Report-SOF2021'!D$55)</f>
        <v>#DIV/0!</v>
      </c>
      <c r="S152" s="2452" t="e">
        <f t="shared" si="31"/>
        <v>#DIV/0!</v>
      </c>
      <c r="T152" s="1708">
        <f>IF(A152='Data Entry - SOF'!B$2,'Data Entry - SOF'!K$64,0)</f>
        <v>0</v>
      </c>
      <c r="U152" s="1687">
        <f t="shared" si="34"/>
        <v>864608</v>
      </c>
      <c r="V152" s="2212" t="e">
        <f>IF('Report-M&amp;O2122'!C$18-'Report-SOF2122'!D$55&lt;=0,0,'Report-M&amp;O2122'!C$18-'Report-SOF2122'!D$55)</f>
        <v>#DIV/0!</v>
      </c>
      <c r="W152" s="2452" t="e">
        <f t="shared" si="32"/>
        <v>#DIV/0!</v>
      </c>
      <c r="X152" s="1708">
        <f>IF(A152='Data Entry - SOF'!B$2,'Data Entry - SOF'!M$64,0)</f>
        <v>0</v>
      </c>
      <c r="Y152" s="1371" t="e">
        <f t="shared" si="33"/>
        <v>#DIV/0!</v>
      </c>
      <c r="Z152" s="2212" t="e">
        <f>IF('Report-M&amp;O2223'!C$18-'Report-SOF2223'!D$55&lt;=0,0,'Report-M&amp;O2223'!C$18-'Report-SOF2223'!D$55)</f>
        <v>#DIV/0!</v>
      </c>
      <c r="AA152" s="1708">
        <f>IF(A152='Data Entry - SOF'!B$2,'Data Entry - SOF'!O$64,0)</f>
        <v>0</v>
      </c>
    </row>
    <row r="153" spans="1:27" ht="15.75">
      <c r="A153" s="1076" t="s">
        <v>2907</v>
      </c>
      <c r="B153">
        <v>450756</v>
      </c>
      <c r="C153" s="2452" t="e">
        <f>#REF!+#REF!</f>
        <v>#REF!</v>
      </c>
      <c r="D153" s="2449">
        <f>IF(A153='Data Entry - SOF'!B$2,'Data Entry - SOF'!C$64,0)</f>
        <v>0</v>
      </c>
      <c r="E153" s="2450">
        <f t="shared" si="24"/>
        <v>450756</v>
      </c>
      <c r="F153" s="2212" t="e">
        <f>IF('Report-M&amp;O1718'!C$18-'Report-SOF1718'!D$55&lt;=0,0,'Report-M&amp;O1718'!C$18-'Report-SOF1718'!D$55)</f>
        <v>#DIV/0!</v>
      </c>
      <c r="G153" s="2452" t="e">
        <f t="shared" si="25"/>
        <v>#DIV/0!</v>
      </c>
      <c r="H153" s="2449">
        <f>IF(A153='Data Entry - SOF'!B$2,'Data Entry - SOF'!E$64,0)</f>
        <v>0</v>
      </c>
      <c r="I153" s="1687">
        <f t="shared" si="26"/>
        <v>450756</v>
      </c>
      <c r="J153" s="2212" t="e">
        <f>IF('Report-M&amp;O1819'!C$18-'Report-SOF1819'!D$55&lt;=0,0,'Report-M&amp;O1819'!C$18-'Report-SOF1819'!D$55)</f>
        <v>#DIV/0!</v>
      </c>
      <c r="K153" s="2452" t="e">
        <f t="shared" si="27"/>
        <v>#DIV/0!</v>
      </c>
      <c r="L153" s="2449">
        <f>IF(A153='Data Entry - SOF'!B$2,'Data Entry - SOF'!G$64,0)</f>
        <v>0</v>
      </c>
      <c r="M153" s="1371">
        <f t="shared" si="28"/>
        <v>450756</v>
      </c>
      <c r="N153" s="2212" t="e">
        <f>IF('Report-M&amp;O1920'!C$18-'Report-SOF1920'!D$55&lt;=0,0,'Report-M&amp;O1920'!C$18-'Report-SOF1920'!D$55)</f>
        <v>#DIV/0!</v>
      </c>
      <c r="O153" s="2452" t="e">
        <f t="shared" si="29"/>
        <v>#DIV/0!</v>
      </c>
      <c r="P153" s="2449">
        <f>IF(A153='Data Entry - SOF'!B$2,'Data Entry - SOF'!I$64,0)</f>
        <v>0</v>
      </c>
      <c r="Q153" s="1687">
        <f t="shared" si="30"/>
        <v>450756</v>
      </c>
      <c r="R153" s="2212" t="e">
        <f>IF('Report-M&amp;O2021'!C$18-'Report-SOF2021'!D$55&lt;=0,0,'Report-M&amp;O2021'!C$18-'Report-SOF2021'!D$55)</f>
        <v>#DIV/0!</v>
      </c>
      <c r="S153" s="2452" t="e">
        <f t="shared" si="31"/>
        <v>#DIV/0!</v>
      </c>
      <c r="T153" s="1708">
        <f>IF(A153='Data Entry - SOF'!B$2,'Data Entry - SOF'!K$64,0)</f>
        <v>0</v>
      </c>
      <c r="U153" s="1687">
        <f t="shared" si="34"/>
        <v>450756</v>
      </c>
      <c r="V153" s="2212" t="e">
        <f>IF('Report-M&amp;O2122'!C$18-'Report-SOF2122'!D$55&lt;=0,0,'Report-M&amp;O2122'!C$18-'Report-SOF2122'!D$55)</f>
        <v>#DIV/0!</v>
      </c>
      <c r="W153" s="2452" t="e">
        <f t="shared" si="32"/>
        <v>#DIV/0!</v>
      </c>
      <c r="X153" s="1708">
        <f>IF(A153='Data Entry - SOF'!B$2,'Data Entry - SOF'!M$64,0)</f>
        <v>0</v>
      </c>
      <c r="Y153" s="1371" t="e">
        <f t="shared" si="33"/>
        <v>#DIV/0!</v>
      </c>
      <c r="Z153" s="2212" t="e">
        <f>IF('Report-M&amp;O2223'!C$18-'Report-SOF2223'!D$55&lt;=0,0,'Report-M&amp;O2223'!C$18-'Report-SOF2223'!D$55)</f>
        <v>#DIV/0!</v>
      </c>
      <c r="AA153" s="1708">
        <f>IF(A153='Data Entry - SOF'!B$2,'Data Entry - SOF'!O$64,0)</f>
        <v>0</v>
      </c>
    </row>
    <row r="154" spans="1:27" ht="15.75">
      <c r="A154" s="1076" t="s">
        <v>1659</v>
      </c>
      <c r="B154">
        <v>1842580</v>
      </c>
      <c r="C154" s="2452" t="e">
        <f>#REF!+#REF!</f>
        <v>#REF!</v>
      </c>
      <c r="D154" s="2449">
        <f>IF(A154='Data Entry - SOF'!B$2,'Data Entry - SOF'!C$64,0)</f>
        <v>0</v>
      </c>
      <c r="E154" s="2450">
        <f t="shared" si="24"/>
        <v>1842580</v>
      </c>
      <c r="F154" s="2212" t="e">
        <f>IF('Report-M&amp;O1718'!C$18-'Report-SOF1718'!D$55&lt;=0,0,'Report-M&amp;O1718'!C$18-'Report-SOF1718'!D$55)</f>
        <v>#DIV/0!</v>
      </c>
      <c r="G154" s="2452" t="e">
        <f t="shared" si="25"/>
        <v>#DIV/0!</v>
      </c>
      <c r="H154" s="2449">
        <f>IF(A154='Data Entry - SOF'!B$2,'Data Entry - SOF'!E$64,0)</f>
        <v>0</v>
      </c>
      <c r="I154" s="1687">
        <f t="shared" si="26"/>
        <v>1842580</v>
      </c>
      <c r="J154" s="2212" t="e">
        <f>IF('Report-M&amp;O1819'!C$18-'Report-SOF1819'!D$55&lt;=0,0,'Report-M&amp;O1819'!C$18-'Report-SOF1819'!D$55)</f>
        <v>#DIV/0!</v>
      </c>
      <c r="K154" s="2452" t="e">
        <f t="shared" si="27"/>
        <v>#DIV/0!</v>
      </c>
      <c r="L154" s="2449">
        <f>IF(A154='Data Entry - SOF'!B$2,'Data Entry - SOF'!G$64,0)</f>
        <v>0</v>
      </c>
      <c r="M154" s="1371">
        <f t="shared" si="28"/>
        <v>1842580</v>
      </c>
      <c r="N154" s="2212" t="e">
        <f>IF('Report-M&amp;O1920'!C$18-'Report-SOF1920'!D$55&lt;=0,0,'Report-M&amp;O1920'!C$18-'Report-SOF1920'!D$55)</f>
        <v>#DIV/0!</v>
      </c>
      <c r="O154" s="2452" t="e">
        <f t="shared" si="29"/>
        <v>#DIV/0!</v>
      </c>
      <c r="P154" s="2449">
        <f>IF(A154='Data Entry - SOF'!B$2,'Data Entry - SOF'!I$64,0)</f>
        <v>0</v>
      </c>
      <c r="Q154" s="1687">
        <f t="shared" si="30"/>
        <v>1842580</v>
      </c>
      <c r="R154" s="2212" t="e">
        <f>IF('Report-M&amp;O2021'!C$18-'Report-SOF2021'!D$55&lt;=0,0,'Report-M&amp;O2021'!C$18-'Report-SOF2021'!D$55)</f>
        <v>#DIV/0!</v>
      </c>
      <c r="S154" s="2452" t="e">
        <f t="shared" si="31"/>
        <v>#DIV/0!</v>
      </c>
      <c r="T154" s="1708">
        <f>IF(A154='Data Entry - SOF'!B$2,'Data Entry - SOF'!K$64,0)</f>
        <v>0</v>
      </c>
      <c r="U154" s="1687">
        <f t="shared" si="34"/>
        <v>1842580</v>
      </c>
      <c r="V154" s="2212" t="e">
        <f>IF('Report-M&amp;O2122'!C$18-'Report-SOF2122'!D$55&lt;=0,0,'Report-M&amp;O2122'!C$18-'Report-SOF2122'!D$55)</f>
        <v>#DIV/0!</v>
      </c>
      <c r="W154" s="2452" t="e">
        <f t="shared" si="32"/>
        <v>#DIV/0!</v>
      </c>
      <c r="X154" s="1708">
        <f>IF(A154='Data Entry - SOF'!B$2,'Data Entry - SOF'!M$64,0)</f>
        <v>0</v>
      </c>
      <c r="Y154" s="1371" t="e">
        <f t="shared" si="33"/>
        <v>#DIV/0!</v>
      </c>
      <c r="Z154" s="2212" t="e">
        <f>IF('Report-M&amp;O2223'!C$18-'Report-SOF2223'!D$55&lt;=0,0,'Report-M&amp;O2223'!C$18-'Report-SOF2223'!D$55)</f>
        <v>#DIV/0!</v>
      </c>
      <c r="AA154" s="1708">
        <f>IF(A154='Data Entry - SOF'!B$2,'Data Entry - SOF'!O$64,0)</f>
        <v>0</v>
      </c>
    </row>
    <row r="155" spans="1:27" ht="15.75">
      <c r="A155" s="1076" t="s">
        <v>84</v>
      </c>
      <c r="B155">
        <v>2856636</v>
      </c>
      <c r="C155" s="2452" t="e">
        <f>#REF!+#REF!</f>
        <v>#REF!</v>
      </c>
      <c r="D155" s="2449">
        <f>IF(A155='Data Entry - SOF'!B$2,'Data Entry - SOF'!C$64,0)</f>
        <v>0</v>
      </c>
      <c r="E155" s="2450">
        <f t="shared" si="24"/>
        <v>2856636</v>
      </c>
      <c r="F155" s="2212" t="e">
        <f>IF('Report-M&amp;O1718'!C$18-'Report-SOF1718'!D$55&lt;=0,0,'Report-M&amp;O1718'!C$18-'Report-SOF1718'!D$55)</f>
        <v>#DIV/0!</v>
      </c>
      <c r="G155" s="2452" t="e">
        <f t="shared" si="25"/>
        <v>#DIV/0!</v>
      </c>
      <c r="H155" s="2449">
        <f>IF(A155='Data Entry - SOF'!B$2,'Data Entry - SOF'!E$64,0)</f>
        <v>0</v>
      </c>
      <c r="I155" s="1687">
        <f t="shared" si="26"/>
        <v>2856636</v>
      </c>
      <c r="J155" s="2212" t="e">
        <f>IF('Report-M&amp;O1819'!C$18-'Report-SOF1819'!D$55&lt;=0,0,'Report-M&amp;O1819'!C$18-'Report-SOF1819'!D$55)</f>
        <v>#DIV/0!</v>
      </c>
      <c r="K155" s="2452" t="e">
        <f t="shared" si="27"/>
        <v>#DIV/0!</v>
      </c>
      <c r="L155" s="2449">
        <f>IF(A155='Data Entry - SOF'!B$2,'Data Entry - SOF'!G$64,0)</f>
        <v>0</v>
      </c>
      <c r="M155" s="1371">
        <f t="shared" si="28"/>
        <v>2856636</v>
      </c>
      <c r="N155" s="2212" t="e">
        <f>IF('Report-M&amp;O1920'!C$18-'Report-SOF1920'!D$55&lt;=0,0,'Report-M&amp;O1920'!C$18-'Report-SOF1920'!D$55)</f>
        <v>#DIV/0!</v>
      </c>
      <c r="O155" s="2452" t="e">
        <f t="shared" si="29"/>
        <v>#DIV/0!</v>
      </c>
      <c r="P155" s="2449">
        <f>IF(A155='Data Entry - SOF'!B$2,'Data Entry - SOF'!I$64,0)</f>
        <v>0</v>
      </c>
      <c r="Q155" s="1687">
        <f t="shared" si="30"/>
        <v>2856636</v>
      </c>
      <c r="R155" s="2212" t="e">
        <f>IF('Report-M&amp;O2021'!C$18-'Report-SOF2021'!D$55&lt;=0,0,'Report-M&amp;O2021'!C$18-'Report-SOF2021'!D$55)</f>
        <v>#DIV/0!</v>
      </c>
      <c r="S155" s="2452" t="e">
        <f t="shared" si="31"/>
        <v>#DIV/0!</v>
      </c>
      <c r="T155" s="1708">
        <f>IF(A155='Data Entry - SOF'!B$2,'Data Entry - SOF'!K$64,0)</f>
        <v>0</v>
      </c>
      <c r="U155" s="1687">
        <f t="shared" si="34"/>
        <v>2856636</v>
      </c>
      <c r="V155" s="2212" t="e">
        <f>IF('Report-M&amp;O2122'!C$18-'Report-SOF2122'!D$55&lt;=0,0,'Report-M&amp;O2122'!C$18-'Report-SOF2122'!D$55)</f>
        <v>#DIV/0!</v>
      </c>
      <c r="W155" s="2452" t="e">
        <f t="shared" si="32"/>
        <v>#DIV/0!</v>
      </c>
      <c r="X155" s="1708">
        <f>IF(A155='Data Entry - SOF'!B$2,'Data Entry - SOF'!M$64,0)</f>
        <v>0</v>
      </c>
      <c r="Y155" s="1371" t="e">
        <f t="shared" si="33"/>
        <v>#DIV/0!</v>
      </c>
      <c r="Z155" s="2212" t="e">
        <f>IF('Report-M&amp;O2223'!C$18-'Report-SOF2223'!D$55&lt;=0,0,'Report-M&amp;O2223'!C$18-'Report-SOF2223'!D$55)</f>
        <v>#DIV/0!</v>
      </c>
      <c r="AA155" s="1708">
        <f>IF(A155='Data Entry - SOF'!B$2,'Data Entry - SOF'!O$64,0)</f>
        <v>0</v>
      </c>
    </row>
    <row r="156" spans="1:27" ht="15.75">
      <c r="A156" s="1076" t="s">
        <v>2482</v>
      </c>
      <c r="B156">
        <v>2524485</v>
      </c>
      <c r="C156" s="2452" t="e">
        <f>#REF!+#REF!</f>
        <v>#REF!</v>
      </c>
      <c r="D156" s="2449">
        <f>IF(A156='Data Entry - SOF'!B$2,'Data Entry - SOF'!C$64,0)</f>
        <v>0</v>
      </c>
      <c r="E156" s="2450">
        <f t="shared" si="24"/>
        <v>2524485</v>
      </c>
      <c r="F156" s="2212" t="e">
        <f>IF('Report-M&amp;O1718'!C$18-'Report-SOF1718'!D$55&lt;=0,0,'Report-M&amp;O1718'!C$18-'Report-SOF1718'!D$55)</f>
        <v>#DIV/0!</v>
      </c>
      <c r="G156" s="2452" t="e">
        <f t="shared" si="25"/>
        <v>#DIV/0!</v>
      </c>
      <c r="H156" s="2449">
        <f>IF(A156='Data Entry - SOF'!B$2,'Data Entry - SOF'!E$64,0)</f>
        <v>0</v>
      </c>
      <c r="I156" s="1687">
        <f t="shared" si="26"/>
        <v>2524485</v>
      </c>
      <c r="J156" s="2212" t="e">
        <f>IF('Report-M&amp;O1819'!C$18-'Report-SOF1819'!D$55&lt;=0,0,'Report-M&amp;O1819'!C$18-'Report-SOF1819'!D$55)</f>
        <v>#DIV/0!</v>
      </c>
      <c r="K156" s="2452" t="e">
        <f t="shared" si="27"/>
        <v>#DIV/0!</v>
      </c>
      <c r="L156" s="2449">
        <f>IF(A156='Data Entry - SOF'!B$2,'Data Entry - SOF'!G$64,0)</f>
        <v>0</v>
      </c>
      <c r="M156" s="1371">
        <f t="shared" si="28"/>
        <v>2524485</v>
      </c>
      <c r="N156" s="2212" t="e">
        <f>IF('Report-M&amp;O1920'!C$18-'Report-SOF1920'!D$55&lt;=0,0,'Report-M&amp;O1920'!C$18-'Report-SOF1920'!D$55)</f>
        <v>#DIV/0!</v>
      </c>
      <c r="O156" s="2452" t="e">
        <f t="shared" si="29"/>
        <v>#DIV/0!</v>
      </c>
      <c r="P156" s="2449">
        <f>IF(A156='Data Entry - SOF'!B$2,'Data Entry - SOF'!I$64,0)</f>
        <v>0</v>
      </c>
      <c r="Q156" s="1687">
        <f t="shared" si="30"/>
        <v>2524485</v>
      </c>
      <c r="R156" s="2212" t="e">
        <f>IF('Report-M&amp;O2021'!C$18-'Report-SOF2021'!D$55&lt;=0,0,'Report-M&amp;O2021'!C$18-'Report-SOF2021'!D$55)</f>
        <v>#DIV/0!</v>
      </c>
      <c r="S156" s="2452" t="e">
        <f t="shared" si="31"/>
        <v>#DIV/0!</v>
      </c>
      <c r="T156" s="1708">
        <f>IF(A156='Data Entry - SOF'!B$2,'Data Entry - SOF'!K$64,0)</f>
        <v>0</v>
      </c>
      <c r="U156" s="1687">
        <f t="shared" si="34"/>
        <v>2524485</v>
      </c>
      <c r="V156" s="2212" t="e">
        <f>IF('Report-M&amp;O2122'!C$18-'Report-SOF2122'!D$55&lt;=0,0,'Report-M&amp;O2122'!C$18-'Report-SOF2122'!D$55)</f>
        <v>#DIV/0!</v>
      </c>
      <c r="W156" s="2452" t="e">
        <f t="shared" si="32"/>
        <v>#DIV/0!</v>
      </c>
      <c r="X156" s="1708">
        <f>IF(A156='Data Entry - SOF'!B$2,'Data Entry - SOF'!M$64,0)</f>
        <v>0</v>
      </c>
      <c r="Y156" s="1371" t="e">
        <f t="shared" si="33"/>
        <v>#DIV/0!</v>
      </c>
      <c r="Z156" s="2212" t="e">
        <f>IF('Report-M&amp;O2223'!C$18-'Report-SOF2223'!D$55&lt;=0,0,'Report-M&amp;O2223'!C$18-'Report-SOF2223'!D$55)</f>
        <v>#DIV/0!</v>
      </c>
      <c r="AA156" s="1708">
        <f>IF(A156='Data Entry - SOF'!B$2,'Data Entry - SOF'!O$64,0)</f>
        <v>0</v>
      </c>
    </row>
    <row r="157" spans="1:27" ht="15.75">
      <c r="A157" s="1076" t="s">
        <v>814</v>
      </c>
      <c r="B157">
        <v>899848</v>
      </c>
      <c r="C157" s="2452" t="e">
        <f>#REF!+#REF!</f>
        <v>#REF!</v>
      </c>
      <c r="D157" s="2449">
        <f>IF(A157='Data Entry - SOF'!B$2,'Data Entry - SOF'!C$64,0)</f>
        <v>0</v>
      </c>
      <c r="E157" s="2450">
        <f t="shared" si="24"/>
        <v>899848</v>
      </c>
      <c r="F157" s="2212" t="e">
        <f>IF('Report-M&amp;O1718'!C$18-'Report-SOF1718'!D$55&lt;=0,0,'Report-M&amp;O1718'!C$18-'Report-SOF1718'!D$55)</f>
        <v>#DIV/0!</v>
      </c>
      <c r="G157" s="2452" t="e">
        <f t="shared" si="25"/>
        <v>#DIV/0!</v>
      </c>
      <c r="H157" s="2449">
        <f>IF(A157='Data Entry - SOF'!B$2,'Data Entry - SOF'!E$64,0)</f>
        <v>0</v>
      </c>
      <c r="I157" s="1687">
        <f t="shared" si="26"/>
        <v>899848</v>
      </c>
      <c r="J157" s="2212" t="e">
        <f>IF('Report-M&amp;O1819'!C$18-'Report-SOF1819'!D$55&lt;=0,0,'Report-M&amp;O1819'!C$18-'Report-SOF1819'!D$55)</f>
        <v>#DIV/0!</v>
      </c>
      <c r="K157" s="2452" t="e">
        <f t="shared" si="27"/>
        <v>#DIV/0!</v>
      </c>
      <c r="L157" s="2449">
        <f>IF(A157='Data Entry - SOF'!B$2,'Data Entry - SOF'!G$64,0)</f>
        <v>0</v>
      </c>
      <c r="M157" s="1371">
        <f t="shared" si="28"/>
        <v>899848</v>
      </c>
      <c r="N157" s="2212" t="e">
        <f>IF('Report-M&amp;O1920'!C$18-'Report-SOF1920'!D$55&lt;=0,0,'Report-M&amp;O1920'!C$18-'Report-SOF1920'!D$55)</f>
        <v>#DIV/0!</v>
      </c>
      <c r="O157" s="2452" t="e">
        <f t="shared" si="29"/>
        <v>#DIV/0!</v>
      </c>
      <c r="P157" s="2449">
        <f>IF(A157='Data Entry - SOF'!B$2,'Data Entry - SOF'!I$64,0)</f>
        <v>0</v>
      </c>
      <c r="Q157" s="1687">
        <f t="shared" si="30"/>
        <v>899848</v>
      </c>
      <c r="R157" s="2212" t="e">
        <f>IF('Report-M&amp;O2021'!C$18-'Report-SOF2021'!D$55&lt;=0,0,'Report-M&amp;O2021'!C$18-'Report-SOF2021'!D$55)</f>
        <v>#DIV/0!</v>
      </c>
      <c r="S157" s="2452" t="e">
        <f t="shared" si="31"/>
        <v>#DIV/0!</v>
      </c>
      <c r="T157" s="1708">
        <f>IF(A157='Data Entry - SOF'!B$2,'Data Entry - SOF'!K$64,0)</f>
        <v>0</v>
      </c>
      <c r="U157" s="1687">
        <f t="shared" si="34"/>
        <v>899848</v>
      </c>
      <c r="V157" s="2212" t="e">
        <f>IF('Report-M&amp;O2122'!C$18-'Report-SOF2122'!D$55&lt;=0,0,'Report-M&amp;O2122'!C$18-'Report-SOF2122'!D$55)</f>
        <v>#DIV/0!</v>
      </c>
      <c r="W157" s="2452" t="e">
        <f t="shared" si="32"/>
        <v>#DIV/0!</v>
      </c>
      <c r="X157" s="1708">
        <f>IF(A157='Data Entry - SOF'!B$2,'Data Entry - SOF'!M$64,0)</f>
        <v>0</v>
      </c>
      <c r="Y157" s="1371" t="e">
        <f t="shared" si="33"/>
        <v>#DIV/0!</v>
      </c>
      <c r="Z157" s="2212" t="e">
        <f>IF('Report-M&amp;O2223'!C$18-'Report-SOF2223'!D$55&lt;=0,0,'Report-M&amp;O2223'!C$18-'Report-SOF2223'!D$55)</f>
        <v>#DIV/0!</v>
      </c>
      <c r="AA157" s="1708">
        <f>IF(A157='Data Entry - SOF'!B$2,'Data Entry - SOF'!O$64,0)</f>
        <v>0</v>
      </c>
    </row>
    <row r="158" spans="1:27" ht="15.75">
      <c r="A158" s="1076" t="s">
        <v>2483</v>
      </c>
      <c r="B158">
        <v>1122744</v>
      </c>
      <c r="C158" s="2452" t="e">
        <f>#REF!+#REF!</f>
        <v>#REF!</v>
      </c>
      <c r="D158" s="2449">
        <f>IF(A158='Data Entry - SOF'!B$2,'Data Entry - SOF'!C$64,0)</f>
        <v>0</v>
      </c>
      <c r="E158" s="2450">
        <f t="shared" si="24"/>
        <v>1122744</v>
      </c>
      <c r="F158" s="2212" t="e">
        <f>IF('Report-M&amp;O1718'!C$18-'Report-SOF1718'!D$55&lt;=0,0,'Report-M&amp;O1718'!C$18-'Report-SOF1718'!D$55)</f>
        <v>#DIV/0!</v>
      </c>
      <c r="G158" s="2452" t="e">
        <f t="shared" si="25"/>
        <v>#DIV/0!</v>
      </c>
      <c r="H158" s="2449">
        <f>IF(A158='Data Entry - SOF'!B$2,'Data Entry - SOF'!E$64,0)</f>
        <v>0</v>
      </c>
      <c r="I158" s="1687">
        <f t="shared" si="26"/>
        <v>1122744</v>
      </c>
      <c r="J158" s="2212" t="e">
        <f>IF('Report-M&amp;O1819'!C$18-'Report-SOF1819'!D$55&lt;=0,0,'Report-M&amp;O1819'!C$18-'Report-SOF1819'!D$55)</f>
        <v>#DIV/0!</v>
      </c>
      <c r="K158" s="2452" t="e">
        <f t="shared" si="27"/>
        <v>#DIV/0!</v>
      </c>
      <c r="L158" s="2449">
        <f>IF(A158='Data Entry - SOF'!B$2,'Data Entry - SOF'!G$64,0)</f>
        <v>0</v>
      </c>
      <c r="M158" s="1371">
        <f t="shared" si="28"/>
        <v>1122744</v>
      </c>
      <c r="N158" s="2212" t="e">
        <f>IF('Report-M&amp;O1920'!C$18-'Report-SOF1920'!D$55&lt;=0,0,'Report-M&amp;O1920'!C$18-'Report-SOF1920'!D$55)</f>
        <v>#DIV/0!</v>
      </c>
      <c r="O158" s="2452" t="e">
        <f t="shared" si="29"/>
        <v>#DIV/0!</v>
      </c>
      <c r="P158" s="2449">
        <f>IF(A158='Data Entry - SOF'!B$2,'Data Entry - SOF'!I$64,0)</f>
        <v>0</v>
      </c>
      <c r="Q158" s="1687">
        <f t="shared" si="30"/>
        <v>1122744</v>
      </c>
      <c r="R158" s="2212" t="e">
        <f>IF('Report-M&amp;O2021'!C$18-'Report-SOF2021'!D$55&lt;=0,0,'Report-M&amp;O2021'!C$18-'Report-SOF2021'!D$55)</f>
        <v>#DIV/0!</v>
      </c>
      <c r="S158" s="2452" t="e">
        <f t="shared" si="31"/>
        <v>#DIV/0!</v>
      </c>
      <c r="T158" s="1708">
        <f>IF(A158='Data Entry - SOF'!B$2,'Data Entry - SOF'!K$64,0)</f>
        <v>0</v>
      </c>
      <c r="U158" s="1687">
        <f t="shared" si="34"/>
        <v>1122744</v>
      </c>
      <c r="V158" s="2212" t="e">
        <f>IF('Report-M&amp;O2122'!C$18-'Report-SOF2122'!D$55&lt;=0,0,'Report-M&amp;O2122'!C$18-'Report-SOF2122'!D$55)</f>
        <v>#DIV/0!</v>
      </c>
      <c r="W158" s="2452" t="e">
        <f t="shared" si="32"/>
        <v>#DIV/0!</v>
      </c>
      <c r="X158" s="1708">
        <f>IF(A158='Data Entry - SOF'!B$2,'Data Entry - SOF'!M$64,0)</f>
        <v>0</v>
      </c>
      <c r="Y158" s="1371" t="e">
        <f t="shared" si="33"/>
        <v>#DIV/0!</v>
      </c>
      <c r="Z158" s="2212" t="e">
        <f>IF('Report-M&amp;O2223'!C$18-'Report-SOF2223'!D$55&lt;=0,0,'Report-M&amp;O2223'!C$18-'Report-SOF2223'!D$55)</f>
        <v>#DIV/0!</v>
      </c>
      <c r="AA158" s="1708">
        <f>IF(A158='Data Entry - SOF'!B$2,'Data Entry - SOF'!O$64,0)</f>
        <v>0</v>
      </c>
    </row>
    <row r="159" spans="1:27" ht="15.75">
      <c r="A159" s="1076" t="s">
        <v>1883</v>
      </c>
      <c r="B159">
        <v>1373519</v>
      </c>
      <c r="C159" s="2452" t="e">
        <f>#REF!+#REF!</f>
        <v>#REF!</v>
      </c>
      <c r="D159" s="2449">
        <f>IF(A159='Data Entry - SOF'!B$2,'Data Entry - SOF'!C$64,0)</f>
        <v>0</v>
      </c>
      <c r="E159" s="2450">
        <f t="shared" si="24"/>
        <v>1373519</v>
      </c>
      <c r="F159" s="2212" t="e">
        <f>IF('Report-M&amp;O1718'!C$18-'Report-SOF1718'!D$55&lt;=0,0,'Report-M&amp;O1718'!C$18-'Report-SOF1718'!D$55)</f>
        <v>#DIV/0!</v>
      </c>
      <c r="G159" s="2452" t="e">
        <f t="shared" si="25"/>
        <v>#DIV/0!</v>
      </c>
      <c r="H159" s="2449">
        <f>IF(A159='Data Entry - SOF'!B$2,'Data Entry - SOF'!E$64,0)</f>
        <v>0</v>
      </c>
      <c r="I159" s="1687">
        <f t="shared" si="26"/>
        <v>1373519</v>
      </c>
      <c r="J159" s="2212" t="e">
        <f>IF('Report-M&amp;O1819'!C$18-'Report-SOF1819'!D$55&lt;=0,0,'Report-M&amp;O1819'!C$18-'Report-SOF1819'!D$55)</f>
        <v>#DIV/0!</v>
      </c>
      <c r="K159" s="2452" t="e">
        <f t="shared" si="27"/>
        <v>#DIV/0!</v>
      </c>
      <c r="L159" s="2449">
        <f>IF(A159='Data Entry - SOF'!B$2,'Data Entry - SOF'!G$64,0)</f>
        <v>0</v>
      </c>
      <c r="M159" s="1371">
        <f t="shared" si="28"/>
        <v>1373519</v>
      </c>
      <c r="N159" s="2212" t="e">
        <f>IF('Report-M&amp;O1920'!C$18-'Report-SOF1920'!D$55&lt;=0,0,'Report-M&amp;O1920'!C$18-'Report-SOF1920'!D$55)</f>
        <v>#DIV/0!</v>
      </c>
      <c r="O159" s="2452" t="e">
        <f t="shared" si="29"/>
        <v>#DIV/0!</v>
      </c>
      <c r="P159" s="2449">
        <f>IF(A159='Data Entry - SOF'!B$2,'Data Entry - SOF'!I$64,0)</f>
        <v>0</v>
      </c>
      <c r="Q159" s="1687">
        <f t="shared" si="30"/>
        <v>1373519</v>
      </c>
      <c r="R159" s="2212" t="e">
        <f>IF('Report-M&amp;O2021'!C$18-'Report-SOF2021'!D$55&lt;=0,0,'Report-M&amp;O2021'!C$18-'Report-SOF2021'!D$55)</f>
        <v>#DIV/0!</v>
      </c>
      <c r="S159" s="2452" t="e">
        <f t="shared" si="31"/>
        <v>#DIV/0!</v>
      </c>
      <c r="T159" s="1708">
        <f>IF(A159='Data Entry - SOF'!B$2,'Data Entry - SOF'!K$64,0)</f>
        <v>0</v>
      </c>
      <c r="U159" s="1687">
        <f t="shared" si="34"/>
        <v>1373519</v>
      </c>
      <c r="V159" s="2212" t="e">
        <f>IF('Report-M&amp;O2122'!C$18-'Report-SOF2122'!D$55&lt;=0,0,'Report-M&amp;O2122'!C$18-'Report-SOF2122'!D$55)</f>
        <v>#DIV/0!</v>
      </c>
      <c r="W159" s="2452" t="e">
        <f t="shared" si="32"/>
        <v>#DIV/0!</v>
      </c>
      <c r="X159" s="1708">
        <f>IF(A159='Data Entry - SOF'!B$2,'Data Entry - SOF'!M$64,0)</f>
        <v>0</v>
      </c>
      <c r="Y159" s="1371" t="e">
        <f t="shared" si="33"/>
        <v>#DIV/0!</v>
      </c>
      <c r="Z159" s="2212" t="e">
        <f>IF('Report-M&amp;O2223'!C$18-'Report-SOF2223'!D$55&lt;=0,0,'Report-M&amp;O2223'!C$18-'Report-SOF2223'!D$55)</f>
        <v>#DIV/0!</v>
      </c>
      <c r="AA159" s="1708">
        <f>IF(A159='Data Entry - SOF'!B$2,'Data Entry - SOF'!O$64,0)</f>
        <v>0</v>
      </c>
    </row>
    <row r="160" spans="1:27" ht="15.75">
      <c r="A160" s="1076" t="s">
        <v>1884</v>
      </c>
      <c r="B160">
        <v>1952266</v>
      </c>
      <c r="C160" s="2452" t="e">
        <f>#REF!+#REF!</f>
        <v>#REF!</v>
      </c>
      <c r="D160" s="2449">
        <f>IF(A160='Data Entry - SOF'!B$2,'Data Entry - SOF'!C$64,0)</f>
        <v>0</v>
      </c>
      <c r="E160" s="2450">
        <f t="shared" si="24"/>
        <v>1952266</v>
      </c>
      <c r="F160" s="2212" t="e">
        <f>IF('Report-M&amp;O1718'!C$18-'Report-SOF1718'!D$55&lt;=0,0,'Report-M&amp;O1718'!C$18-'Report-SOF1718'!D$55)</f>
        <v>#DIV/0!</v>
      </c>
      <c r="G160" s="2452" t="e">
        <f t="shared" si="25"/>
        <v>#DIV/0!</v>
      </c>
      <c r="H160" s="2449">
        <f>IF(A160='Data Entry - SOF'!B$2,'Data Entry - SOF'!E$64,0)</f>
        <v>0</v>
      </c>
      <c r="I160" s="1687">
        <f t="shared" si="26"/>
        <v>1952266</v>
      </c>
      <c r="J160" s="2212" t="e">
        <f>IF('Report-M&amp;O1819'!C$18-'Report-SOF1819'!D$55&lt;=0,0,'Report-M&amp;O1819'!C$18-'Report-SOF1819'!D$55)</f>
        <v>#DIV/0!</v>
      </c>
      <c r="K160" s="2452" t="e">
        <f t="shared" si="27"/>
        <v>#DIV/0!</v>
      </c>
      <c r="L160" s="2449">
        <f>IF(A160='Data Entry - SOF'!B$2,'Data Entry - SOF'!G$64,0)</f>
        <v>0</v>
      </c>
      <c r="M160" s="1371">
        <f t="shared" si="28"/>
        <v>1952266</v>
      </c>
      <c r="N160" s="2212" t="e">
        <f>IF('Report-M&amp;O1920'!C$18-'Report-SOF1920'!D$55&lt;=0,0,'Report-M&amp;O1920'!C$18-'Report-SOF1920'!D$55)</f>
        <v>#DIV/0!</v>
      </c>
      <c r="O160" s="2452" t="e">
        <f t="shared" si="29"/>
        <v>#DIV/0!</v>
      </c>
      <c r="P160" s="2449">
        <f>IF(A160='Data Entry - SOF'!B$2,'Data Entry - SOF'!I$64,0)</f>
        <v>0</v>
      </c>
      <c r="Q160" s="1687">
        <f t="shared" si="30"/>
        <v>1952266</v>
      </c>
      <c r="R160" s="2212" t="e">
        <f>IF('Report-M&amp;O2021'!C$18-'Report-SOF2021'!D$55&lt;=0,0,'Report-M&amp;O2021'!C$18-'Report-SOF2021'!D$55)</f>
        <v>#DIV/0!</v>
      </c>
      <c r="S160" s="2452" t="e">
        <f t="shared" si="31"/>
        <v>#DIV/0!</v>
      </c>
      <c r="T160" s="1708">
        <f>IF(A160='Data Entry - SOF'!B$2,'Data Entry - SOF'!K$64,0)</f>
        <v>0</v>
      </c>
      <c r="U160" s="1687">
        <f t="shared" si="34"/>
        <v>1952266</v>
      </c>
      <c r="V160" s="2212" t="e">
        <f>IF('Report-M&amp;O2122'!C$18-'Report-SOF2122'!D$55&lt;=0,0,'Report-M&amp;O2122'!C$18-'Report-SOF2122'!D$55)</f>
        <v>#DIV/0!</v>
      </c>
      <c r="W160" s="2452" t="e">
        <f t="shared" si="32"/>
        <v>#DIV/0!</v>
      </c>
      <c r="X160" s="1708">
        <f>IF(A160='Data Entry - SOF'!B$2,'Data Entry - SOF'!M$64,0)</f>
        <v>0</v>
      </c>
      <c r="Y160" s="1371" t="e">
        <f t="shared" si="33"/>
        <v>#DIV/0!</v>
      </c>
      <c r="Z160" s="2212" t="e">
        <f>IF('Report-M&amp;O2223'!C$18-'Report-SOF2223'!D$55&lt;=0,0,'Report-M&amp;O2223'!C$18-'Report-SOF2223'!D$55)</f>
        <v>#DIV/0!</v>
      </c>
      <c r="AA160" s="1708">
        <f>IF(A160='Data Entry - SOF'!B$2,'Data Entry - SOF'!O$64,0)</f>
        <v>0</v>
      </c>
    </row>
    <row r="161" spans="1:27" ht="15.75">
      <c r="A161" s="1076" t="s">
        <v>899</v>
      </c>
      <c r="B161">
        <v>7719084</v>
      </c>
      <c r="C161" s="2452" t="e">
        <f>#REF!+#REF!</f>
        <v>#REF!</v>
      </c>
      <c r="D161" s="2449">
        <f>IF(A161='Data Entry - SOF'!B$2,'Data Entry - SOF'!C$64,0)</f>
        <v>0</v>
      </c>
      <c r="E161" s="2450">
        <f t="shared" si="24"/>
        <v>7719084</v>
      </c>
      <c r="F161" s="2212" t="e">
        <f>IF('Report-M&amp;O1718'!C$18-'Report-SOF1718'!D$55&lt;=0,0,'Report-M&amp;O1718'!C$18-'Report-SOF1718'!D$55)</f>
        <v>#DIV/0!</v>
      </c>
      <c r="G161" s="2452" t="e">
        <f t="shared" si="25"/>
        <v>#DIV/0!</v>
      </c>
      <c r="H161" s="2449">
        <f>IF(A161='Data Entry - SOF'!B$2,'Data Entry - SOF'!E$64,0)</f>
        <v>0</v>
      </c>
      <c r="I161" s="1687">
        <f t="shared" si="26"/>
        <v>7719084</v>
      </c>
      <c r="J161" s="2212" t="e">
        <f>IF('Report-M&amp;O1819'!C$18-'Report-SOF1819'!D$55&lt;=0,0,'Report-M&amp;O1819'!C$18-'Report-SOF1819'!D$55)</f>
        <v>#DIV/0!</v>
      </c>
      <c r="K161" s="2452" t="e">
        <f t="shared" si="27"/>
        <v>#DIV/0!</v>
      </c>
      <c r="L161" s="2449">
        <f>IF(A161='Data Entry - SOF'!B$2,'Data Entry - SOF'!G$64,0)</f>
        <v>0</v>
      </c>
      <c r="M161" s="1371">
        <f t="shared" si="28"/>
        <v>7719084</v>
      </c>
      <c r="N161" s="2212" t="e">
        <f>IF('Report-M&amp;O1920'!C$18-'Report-SOF1920'!D$55&lt;=0,0,'Report-M&amp;O1920'!C$18-'Report-SOF1920'!D$55)</f>
        <v>#DIV/0!</v>
      </c>
      <c r="O161" s="2452" t="e">
        <f t="shared" si="29"/>
        <v>#DIV/0!</v>
      </c>
      <c r="P161" s="2449">
        <f>IF(A161='Data Entry - SOF'!B$2,'Data Entry - SOF'!I$64,0)</f>
        <v>0</v>
      </c>
      <c r="Q161" s="1687">
        <f t="shared" si="30"/>
        <v>7719084</v>
      </c>
      <c r="R161" s="2212" t="e">
        <f>IF('Report-M&amp;O2021'!C$18-'Report-SOF2021'!D$55&lt;=0,0,'Report-M&amp;O2021'!C$18-'Report-SOF2021'!D$55)</f>
        <v>#DIV/0!</v>
      </c>
      <c r="S161" s="2452" t="e">
        <f t="shared" si="31"/>
        <v>#DIV/0!</v>
      </c>
      <c r="T161" s="1708">
        <f>IF(A161='Data Entry - SOF'!B$2,'Data Entry - SOF'!K$64,0)</f>
        <v>0</v>
      </c>
      <c r="U161" s="1687">
        <f t="shared" si="34"/>
        <v>7719084</v>
      </c>
      <c r="V161" s="2212" t="e">
        <f>IF('Report-M&amp;O2122'!C$18-'Report-SOF2122'!D$55&lt;=0,0,'Report-M&amp;O2122'!C$18-'Report-SOF2122'!D$55)</f>
        <v>#DIV/0!</v>
      </c>
      <c r="W161" s="2452" t="e">
        <f t="shared" si="32"/>
        <v>#DIV/0!</v>
      </c>
      <c r="X161" s="1708">
        <f>IF(A161='Data Entry - SOF'!B$2,'Data Entry - SOF'!M$64,0)</f>
        <v>0</v>
      </c>
      <c r="Y161" s="1371" t="e">
        <f t="shared" si="33"/>
        <v>#DIV/0!</v>
      </c>
      <c r="Z161" s="2212" t="e">
        <f>IF('Report-M&amp;O2223'!C$18-'Report-SOF2223'!D$55&lt;=0,0,'Report-M&amp;O2223'!C$18-'Report-SOF2223'!D$55)</f>
        <v>#DIV/0!</v>
      </c>
      <c r="AA161" s="1708">
        <f>IF(A161='Data Entry - SOF'!B$2,'Data Entry - SOF'!O$64,0)</f>
        <v>0</v>
      </c>
    </row>
    <row r="162" spans="1:27" ht="15.75">
      <c r="A162" s="1076" t="s">
        <v>900</v>
      </c>
      <c r="B162">
        <v>408260</v>
      </c>
      <c r="C162" s="2452" t="e">
        <f>#REF!+#REF!</f>
        <v>#REF!</v>
      </c>
      <c r="D162" s="2449">
        <f>IF(A162='Data Entry - SOF'!B$2,'Data Entry - SOF'!C$64,0)</f>
        <v>0</v>
      </c>
      <c r="E162" s="2450">
        <f t="shared" si="24"/>
        <v>408260</v>
      </c>
      <c r="F162" s="2212" t="e">
        <f>IF('Report-M&amp;O1718'!C$18-'Report-SOF1718'!D$55&lt;=0,0,'Report-M&amp;O1718'!C$18-'Report-SOF1718'!D$55)</f>
        <v>#DIV/0!</v>
      </c>
      <c r="G162" s="2452" t="e">
        <f t="shared" si="25"/>
        <v>#DIV/0!</v>
      </c>
      <c r="H162" s="2449">
        <f>IF(A162='Data Entry - SOF'!B$2,'Data Entry - SOF'!E$64,0)</f>
        <v>0</v>
      </c>
      <c r="I162" s="1687">
        <f t="shared" si="26"/>
        <v>408260</v>
      </c>
      <c r="J162" s="2212" t="e">
        <f>IF('Report-M&amp;O1819'!C$18-'Report-SOF1819'!D$55&lt;=0,0,'Report-M&amp;O1819'!C$18-'Report-SOF1819'!D$55)</f>
        <v>#DIV/0!</v>
      </c>
      <c r="K162" s="2452" t="e">
        <f t="shared" si="27"/>
        <v>#DIV/0!</v>
      </c>
      <c r="L162" s="2449">
        <f>IF(A162='Data Entry - SOF'!B$2,'Data Entry - SOF'!G$64,0)</f>
        <v>0</v>
      </c>
      <c r="M162" s="1371">
        <f t="shared" si="28"/>
        <v>408260</v>
      </c>
      <c r="N162" s="2212" t="e">
        <f>IF('Report-M&amp;O1920'!C$18-'Report-SOF1920'!D$55&lt;=0,0,'Report-M&amp;O1920'!C$18-'Report-SOF1920'!D$55)</f>
        <v>#DIV/0!</v>
      </c>
      <c r="O162" s="2452" t="e">
        <f t="shared" si="29"/>
        <v>#DIV/0!</v>
      </c>
      <c r="P162" s="2449">
        <f>IF(A162='Data Entry - SOF'!B$2,'Data Entry - SOF'!I$64,0)</f>
        <v>0</v>
      </c>
      <c r="Q162" s="1687">
        <f t="shared" si="30"/>
        <v>408260</v>
      </c>
      <c r="R162" s="2212" t="e">
        <f>IF('Report-M&amp;O2021'!C$18-'Report-SOF2021'!D$55&lt;=0,0,'Report-M&amp;O2021'!C$18-'Report-SOF2021'!D$55)</f>
        <v>#DIV/0!</v>
      </c>
      <c r="S162" s="2452" t="e">
        <f t="shared" si="31"/>
        <v>#DIV/0!</v>
      </c>
      <c r="T162" s="1708">
        <f>IF(A162='Data Entry - SOF'!B$2,'Data Entry - SOF'!K$64,0)</f>
        <v>0</v>
      </c>
      <c r="U162" s="1687">
        <f t="shared" si="34"/>
        <v>408260</v>
      </c>
      <c r="V162" s="2212" t="e">
        <f>IF('Report-M&amp;O2122'!C$18-'Report-SOF2122'!D$55&lt;=0,0,'Report-M&amp;O2122'!C$18-'Report-SOF2122'!D$55)</f>
        <v>#DIV/0!</v>
      </c>
      <c r="W162" s="2452" t="e">
        <f t="shared" si="32"/>
        <v>#DIV/0!</v>
      </c>
      <c r="X162" s="1708">
        <f>IF(A162='Data Entry - SOF'!B$2,'Data Entry - SOF'!M$64,0)</f>
        <v>0</v>
      </c>
      <c r="Y162" s="1371" t="e">
        <f t="shared" si="33"/>
        <v>#DIV/0!</v>
      </c>
      <c r="Z162" s="2212" t="e">
        <f>IF('Report-M&amp;O2223'!C$18-'Report-SOF2223'!D$55&lt;=0,0,'Report-M&amp;O2223'!C$18-'Report-SOF2223'!D$55)</f>
        <v>#DIV/0!</v>
      </c>
      <c r="AA162" s="1708">
        <f>IF(A162='Data Entry - SOF'!B$2,'Data Entry - SOF'!O$64,0)</f>
        <v>0</v>
      </c>
    </row>
    <row r="163" spans="1:27" ht="15.75">
      <c r="A163" s="1076" t="s">
        <v>922</v>
      </c>
      <c r="B163">
        <v>12655014</v>
      </c>
      <c r="C163" s="2452" t="e">
        <f>#REF!+#REF!</f>
        <v>#REF!</v>
      </c>
      <c r="D163" s="2449">
        <f>IF(A163='Data Entry - SOF'!B$2,'Data Entry - SOF'!C$64,0)</f>
        <v>0</v>
      </c>
      <c r="E163" s="2450">
        <f t="shared" si="24"/>
        <v>12655014</v>
      </c>
      <c r="F163" s="2212" t="e">
        <f>IF('Report-M&amp;O1718'!C$18-'Report-SOF1718'!D$55&lt;=0,0,'Report-M&amp;O1718'!C$18-'Report-SOF1718'!D$55)</f>
        <v>#DIV/0!</v>
      </c>
      <c r="G163" s="2452" t="e">
        <f t="shared" si="25"/>
        <v>#DIV/0!</v>
      </c>
      <c r="H163" s="2449">
        <f>IF(A163='Data Entry - SOF'!B$2,'Data Entry - SOF'!E$64,0)</f>
        <v>0</v>
      </c>
      <c r="I163" s="1687">
        <f t="shared" si="26"/>
        <v>12655014</v>
      </c>
      <c r="J163" s="2212" t="e">
        <f>IF('Report-M&amp;O1819'!C$18-'Report-SOF1819'!D$55&lt;=0,0,'Report-M&amp;O1819'!C$18-'Report-SOF1819'!D$55)</f>
        <v>#DIV/0!</v>
      </c>
      <c r="K163" s="2452" t="e">
        <f t="shared" si="27"/>
        <v>#DIV/0!</v>
      </c>
      <c r="L163" s="2449">
        <f>IF(A163='Data Entry - SOF'!B$2,'Data Entry - SOF'!G$64,0)</f>
        <v>0</v>
      </c>
      <c r="M163" s="1371">
        <f t="shared" si="28"/>
        <v>12655014</v>
      </c>
      <c r="N163" s="2212" t="e">
        <f>IF('Report-M&amp;O1920'!C$18-'Report-SOF1920'!D$55&lt;=0,0,'Report-M&amp;O1920'!C$18-'Report-SOF1920'!D$55)</f>
        <v>#DIV/0!</v>
      </c>
      <c r="O163" s="2452" t="e">
        <f t="shared" si="29"/>
        <v>#DIV/0!</v>
      </c>
      <c r="P163" s="2449">
        <f>IF(A163='Data Entry - SOF'!B$2,'Data Entry - SOF'!I$64,0)</f>
        <v>0</v>
      </c>
      <c r="Q163" s="1687">
        <f t="shared" si="30"/>
        <v>12655014</v>
      </c>
      <c r="R163" s="2212" t="e">
        <f>IF('Report-M&amp;O2021'!C$18-'Report-SOF2021'!D$55&lt;=0,0,'Report-M&amp;O2021'!C$18-'Report-SOF2021'!D$55)</f>
        <v>#DIV/0!</v>
      </c>
      <c r="S163" s="2452" t="e">
        <f t="shared" si="31"/>
        <v>#DIV/0!</v>
      </c>
      <c r="T163" s="1708">
        <f>IF(A163='Data Entry - SOF'!B$2,'Data Entry - SOF'!K$64,0)</f>
        <v>0</v>
      </c>
      <c r="U163" s="1687">
        <f t="shared" si="34"/>
        <v>12655014</v>
      </c>
      <c r="V163" s="2212" t="e">
        <f>IF('Report-M&amp;O2122'!C$18-'Report-SOF2122'!D$55&lt;=0,0,'Report-M&amp;O2122'!C$18-'Report-SOF2122'!D$55)</f>
        <v>#DIV/0!</v>
      </c>
      <c r="W163" s="2452" t="e">
        <f t="shared" si="32"/>
        <v>#DIV/0!</v>
      </c>
      <c r="X163" s="1708">
        <f>IF(A163='Data Entry - SOF'!B$2,'Data Entry - SOF'!M$64,0)</f>
        <v>0</v>
      </c>
      <c r="Y163" s="1371" t="e">
        <f t="shared" si="33"/>
        <v>#DIV/0!</v>
      </c>
      <c r="Z163" s="2212" t="e">
        <f>IF('Report-M&amp;O2223'!C$18-'Report-SOF2223'!D$55&lt;=0,0,'Report-M&amp;O2223'!C$18-'Report-SOF2223'!D$55)</f>
        <v>#DIV/0!</v>
      </c>
      <c r="AA163" s="1708">
        <f>IF(A163='Data Entry - SOF'!B$2,'Data Entry - SOF'!O$64,0)</f>
        <v>0</v>
      </c>
    </row>
    <row r="164" spans="1:27" ht="15.75">
      <c r="A164" s="1076" t="s">
        <v>630</v>
      </c>
      <c r="B164">
        <v>454487</v>
      </c>
      <c r="C164" s="2452" t="e">
        <f>#REF!+#REF!</f>
        <v>#REF!</v>
      </c>
      <c r="D164" s="2449">
        <f>IF(A164='Data Entry - SOF'!B$2,'Data Entry - SOF'!C$64,0)</f>
        <v>0</v>
      </c>
      <c r="E164" s="2450">
        <f t="shared" si="24"/>
        <v>454487</v>
      </c>
      <c r="F164" s="2212" t="e">
        <f>IF('Report-M&amp;O1718'!C$18-'Report-SOF1718'!D$55&lt;=0,0,'Report-M&amp;O1718'!C$18-'Report-SOF1718'!D$55)</f>
        <v>#DIV/0!</v>
      </c>
      <c r="G164" s="2452" t="e">
        <f t="shared" si="25"/>
        <v>#DIV/0!</v>
      </c>
      <c r="H164" s="2449">
        <f>IF(A164='Data Entry - SOF'!B$2,'Data Entry - SOF'!E$64,0)</f>
        <v>0</v>
      </c>
      <c r="I164" s="1687">
        <f t="shared" si="26"/>
        <v>454487</v>
      </c>
      <c r="J164" s="2212" t="e">
        <f>IF('Report-M&amp;O1819'!C$18-'Report-SOF1819'!D$55&lt;=0,0,'Report-M&amp;O1819'!C$18-'Report-SOF1819'!D$55)</f>
        <v>#DIV/0!</v>
      </c>
      <c r="K164" s="2452" t="e">
        <f t="shared" si="27"/>
        <v>#DIV/0!</v>
      </c>
      <c r="L164" s="2449">
        <f>IF(A164='Data Entry - SOF'!B$2,'Data Entry - SOF'!G$64,0)</f>
        <v>0</v>
      </c>
      <c r="M164" s="1371">
        <f t="shared" si="28"/>
        <v>454487</v>
      </c>
      <c r="N164" s="2212" t="e">
        <f>IF('Report-M&amp;O1920'!C$18-'Report-SOF1920'!D$55&lt;=0,0,'Report-M&amp;O1920'!C$18-'Report-SOF1920'!D$55)</f>
        <v>#DIV/0!</v>
      </c>
      <c r="O164" s="2452" t="e">
        <f t="shared" si="29"/>
        <v>#DIV/0!</v>
      </c>
      <c r="P164" s="2449">
        <f>IF(A164='Data Entry - SOF'!B$2,'Data Entry - SOF'!I$64,0)</f>
        <v>0</v>
      </c>
      <c r="Q164" s="1687">
        <f t="shared" si="30"/>
        <v>454487</v>
      </c>
      <c r="R164" s="2212" t="e">
        <f>IF('Report-M&amp;O2021'!C$18-'Report-SOF2021'!D$55&lt;=0,0,'Report-M&amp;O2021'!C$18-'Report-SOF2021'!D$55)</f>
        <v>#DIV/0!</v>
      </c>
      <c r="S164" s="2452" t="e">
        <f t="shared" si="31"/>
        <v>#DIV/0!</v>
      </c>
      <c r="T164" s="1708">
        <f>IF(A164='Data Entry - SOF'!B$2,'Data Entry - SOF'!K$64,0)</f>
        <v>0</v>
      </c>
      <c r="U164" s="1687">
        <f t="shared" si="34"/>
        <v>454487</v>
      </c>
      <c r="V164" s="2212" t="e">
        <f>IF('Report-M&amp;O2122'!C$18-'Report-SOF2122'!D$55&lt;=0,0,'Report-M&amp;O2122'!C$18-'Report-SOF2122'!D$55)</f>
        <v>#DIV/0!</v>
      </c>
      <c r="W164" s="2452" t="e">
        <f t="shared" si="32"/>
        <v>#DIV/0!</v>
      </c>
      <c r="X164" s="1708">
        <f>IF(A164='Data Entry - SOF'!B$2,'Data Entry - SOF'!M$64,0)</f>
        <v>0</v>
      </c>
      <c r="Y164" s="1371" t="e">
        <f t="shared" si="33"/>
        <v>#DIV/0!</v>
      </c>
      <c r="Z164" s="2212" t="e">
        <f>IF('Report-M&amp;O2223'!C$18-'Report-SOF2223'!D$55&lt;=0,0,'Report-M&amp;O2223'!C$18-'Report-SOF2223'!D$55)</f>
        <v>#DIV/0!</v>
      </c>
      <c r="AA164" s="1708">
        <f>IF(A164='Data Entry - SOF'!B$2,'Data Entry - SOF'!O$64,0)</f>
        <v>0</v>
      </c>
    </row>
    <row r="165" spans="1:27" ht="15.75">
      <c r="A165" s="1076" t="s">
        <v>2712</v>
      </c>
      <c r="B165">
        <v>474249</v>
      </c>
      <c r="C165" s="2452" t="e">
        <f>#REF!+#REF!</f>
        <v>#REF!</v>
      </c>
      <c r="D165" s="2449">
        <f>IF(A165='Data Entry - SOF'!B$2,'Data Entry - SOF'!C$64,0)</f>
        <v>0</v>
      </c>
      <c r="E165" s="2450">
        <f t="shared" si="24"/>
        <v>474249</v>
      </c>
      <c r="F165" s="2212" t="e">
        <f>IF('Report-M&amp;O1718'!C$18-'Report-SOF1718'!D$55&lt;=0,0,'Report-M&amp;O1718'!C$18-'Report-SOF1718'!D$55)</f>
        <v>#DIV/0!</v>
      </c>
      <c r="G165" s="2452" t="e">
        <f t="shared" si="25"/>
        <v>#DIV/0!</v>
      </c>
      <c r="H165" s="2449">
        <f>IF(A165='Data Entry - SOF'!B$2,'Data Entry - SOF'!E$64,0)</f>
        <v>0</v>
      </c>
      <c r="I165" s="1687">
        <f t="shared" si="26"/>
        <v>474249</v>
      </c>
      <c r="J165" s="2212" t="e">
        <f>IF('Report-M&amp;O1819'!C$18-'Report-SOF1819'!D$55&lt;=0,0,'Report-M&amp;O1819'!C$18-'Report-SOF1819'!D$55)</f>
        <v>#DIV/0!</v>
      </c>
      <c r="K165" s="2452" t="e">
        <f t="shared" si="27"/>
        <v>#DIV/0!</v>
      </c>
      <c r="L165" s="2449">
        <f>IF(A165='Data Entry - SOF'!B$2,'Data Entry - SOF'!G$64,0)</f>
        <v>0</v>
      </c>
      <c r="M165" s="1371">
        <f t="shared" si="28"/>
        <v>474249</v>
      </c>
      <c r="N165" s="2212" t="e">
        <f>IF('Report-M&amp;O1920'!C$18-'Report-SOF1920'!D$55&lt;=0,0,'Report-M&amp;O1920'!C$18-'Report-SOF1920'!D$55)</f>
        <v>#DIV/0!</v>
      </c>
      <c r="O165" s="2452" t="e">
        <f t="shared" si="29"/>
        <v>#DIV/0!</v>
      </c>
      <c r="P165" s="2449">
        <f>IF(A165='Data Entry - SOF'!B$2,'Data Entry - SOF'!I$64,0)</f>
        <v>0</v>
      </c>
      <c r="Q165" s="1687">
        <f t="shared" si="30"/>
        <v>474249</v>
      </c>
      <c r="R165" s="2212" t="e">
        <f>IF('Report-M&amp;O2021'!C$18-'Report-SOF2021'!D$55&lt;=0,0,'Report-M&amp;O2021'!C$18-'Report-SOF2021'!D$55)</f>
        <v>#DIV/0!</v>
      </c>
      <c r="S165" s="2452" t="e">
        <f t="shared" si="31"/>
        <v>#DIV/0!</v>
      </c>
      <c r="T165" s="1708">
        <f>IF(A165='Data Entry - SOF'!B$2,'Data Entry - SOF'!K$64,0)</f>
        <v>0</v>
      </c>
      <c r="U165" s="1687">
        <f t="shared" si="34"/>
        <v>474249</v>
      </c>
      <c r="V165" s="2212" t="e">
        <f>IF('Report-M&amp;O2122'!C$18-'Report-SOF2122'!D$55&lt;=0,0,'Report-M&amp;O2122'!C$18-'Report-SOF2122'!D$55)</f>
        <v>#DIV/0!</v>
      </c>
      <c r="W165" s="2452" t="e">
        <f t="shared" si="32"/>
        <v>#DIV/0!</v>
      </c>
      <c r="X165" s="1708">
        <f>IF(A165='Data Entry - SOF'!B$2,'Data Entry - SOF'!M$64,0)</f>
        <v>0</v>
      </c>
      <c r="Y165" s="1371" t="e">
        <f t="shared" si="33"/>
        <v>#DIV/0!</v>
      </c>
      <c r="Z165" s="2212" t="e">
        <f>IF('Report-M&amp;O2223'!C$18-'Report-SOF2223'!D$55&lt;=0,0,'Report-M&amp;O2223'!C$18-'Report-SOF2223'!D$55)</f>
        <v>#DIV/0!</v>
      </c>
      <c r="AA165" s="1708">
        <f>IF(A165='Data Entry - SOF'!B$2,'Data Entry - SOF'!O$64,0)</f>
        <v>0</v>
      </c>
    </row>
    <row r="166" spans="1:27" ht="15.75">
      <c r="A166" s="1076" t="s">
        <v>923</v>
      </c>
      <c r="B166">
        <v>1208441</v>
      </c>
      <c r="C166" s="2452" t="e">
        <f>#REF!+#REF!</f>
        <v>#REF!</v>
      </c>
      <c r="D166" s="2449">
        <f>IF(A166='Data Entry - SOF'!B$2,'Data Entry - SOF'!C$64,0)</f>
        <v>0</v>
      </c>
      <c r="E166" s="2450">
        <f t="shared" si="24"/>
        <v>1208441</v>
      </c>
      <c r="F166" s="2212" t="e">
        <f>IF('Report-M&amp;O1718'!C$18-'Report-SOF1718'!D$55&lt;=0,0,'Report-M&amp;O1718'!C$18-'Report-SOF1718'!D$55)</f>
        <v>#DIV/0!</v>
      </c>
      <c r="G166" s="2452" t="e">
        <f t="shared" si="25"/>
        <v>#DIV/0!</v>
      </c>
      <c r="H166" s="2449">
        <f>IF(A166='Data Entry - SOF'!B$2,'Data Entry - SOF'!E$64,0)</f>
        <v>0</v>
      </c>
      <c r="I166" s="1687">
        <f t="shared" si="26"/>
        <v>1208441</v>
      </c>
      <c r="J166" s="2212" t="e">
        <f>IF('Report-M&amp;O1819'!C$18-'Report-SOF1819'!D$55&lt;=0,0,'Report-M&amp;O1819'!C$18-'Report-SOF1819'!D$55)</f>
        <v>#DIV/0!</v>
      </c>
      <c r="K166" s="2452" t="e">
        <f t="shared" si="27"/>
        <v>#DIV/0!</v>
      </c>
      <c r="L166" s="2449">
        <f>IF(A166='Data Entry - SOF'!B$2,'Data Entry - SOF'!G$64,0)</f>
        <v>0</v>
      </c>
      <c r="M166" s="1371">
        <f t="shared" si="28"/>
        <v>1208441</v>
      </c>
      <c r="N166" s="2212" t="e">
        <f>IF('Report-M&amp;O1920'!C$18-'Report-SOF1920'!D$55&lt;=0,0,'Report-M&amp;O1920'!C$18-'Report-SOF1920'!D$55)</f>
        <v>#DIV/0!</v>
      </c>
      <c r="O166" s="2452" t="e">
        <f t="shared" si="29"/>
        <v>#DIV/0!</v>
      </c>
      <c r="P166" s="2449">
        <f>IF(A166='Data Entry - SOF'!B$2,'Data Entry - SOF'!I$64,0)</f>
        <v>0</v>
      </c>
      <c r="Q166" s="1687">
        <f t="shared" si="30"/>
        <v>1208441</v>
      </c>
      <c r="R166" s="2212" t="e">
        <f>IF('Report-M&amp;O2021'!C$18-'Report-SOF2021'!D$55&lt;=0,0,'Report-M&amp;O2021'!C$18-'Report-SOF2021'!D$55)</f>
        <v>#DIV/0!</v>
      </c>
      <c r="S166" s="2452" t="e">
        <f t="shared" si="31"/>
        <v>#DIV/0!</v>
      </c>
      <c r="T166" s="1708">
        <f>IF(A166='Data Entry - SOF'!B$2,'Data Entry - SOF'!K$64,0)</f>
        <v>0</v>
      </c>
      <c r="U166" s="1687">
        <f t="shared" si="34"/>
        <v>1208441</v>
      </c>
      <c r="V166" s="2212" t="e">
        <f>IF('Report-M&amp;O2122'!C$18-'Report-SOF2122'!D$55&lt;=0,0,'Report-M&amp;O2122'!C$18-'Report-SOF2122'!D$55)</f>
        <v>#DIV/0!</v>
      </c>
      <c r="W166" s="2452" t="e">
        <f t="shared" si="32"/>
        <v>#DIV/0!</v>
      </c>
      <c r="X166" s="1708">
        <f>IF(A166='Data Entry - SOF'!B$2,'Data Entry - SOF'!M$64,0)</f>
        <v>0</v>
      </c>
      <c r="Y166" s="1371" t="e">
        <f t="shared" si="33"/>
        <v>#DIV/0!</v>
      </c>
      <c r="Z166" s="2212" t="e">
        <f>IF('Report-M&amp;O2223'!C$18-'Report-SOF2223'!D$55&lt;=0,0,'Report-M&amp;O2223'!C$18-'Report-SOF2223'!D$55)</f>
        <v>#DIV/0!</v>
      </c>
      <c r="AA166" s="1708">
        <f>IF(A166='Data Entry - SOF'!B$2,'Data Entry - SOF'!O$64,0)</f>
        <v>0</v>
      </c>
    </row>
    <row r="167" spans="1:27" ht="15.75">
      <c r="A167" s="1076" t="s">
        <v>638</v>
      </c>
      <c r="B167">
        <v>315552132</v>
      </c>
      <c r="C167" s="2452" t="e">
        <f>#REF!+#REF!</f>
        <v>#REF!</v>
      </c>
      <c r="D167" s="2449">
        <f>IF(A167='Data Entry - SOF'!B$2,'Data Entry - SOF'!C$64,0)</f>
        <v>0</v>
      </c>
      <c r="E167" s="2450">
        <f t="shared" si="24"/>
        <v>315552132</v>
      </c>
      <c r="F167" s="2212" t="e">
        <f>IF('Report-M&amp;O1718'!C$18-'Report-SOF1718'!D$55&lt;=0,0,'Report-M&amp;O1718'!C$18-'Report-SOF1718'!D$55)</f>
        <v>#DIV/0!</v>
      </c>
      <c r="G167" s="2452" t="e">
        <f t="shared" si="25"/>
        <v>#DIV/0!</v>
      </c>
      <c r="H167" s="2449">
        <f>IF(A167='Data Entry - SOF'!B$2,'Data Entry - SOF'!E$64,0)</f>
        <v>0</v>
      </c>
      <c r="I167" s="1687">
        <f t="shared" si="26"/>
        <v>315552132</v>
      </c>
      <c r="J167" s="2212" t="e">
        <f>IF('Report-M&amp;O1819'!C$18-'Report-SOF1819'!D$55&lt;=0,0,'Report-M&amp;O1819'!C$18-'Report-SOF1819'!D$55)</f>
        <v>#DIV/0!</v>
      </c>
      <c r="K167" s="2452" t="e">
        <f t="shared" si="27"/>
        <v>#DIV/0!</v>
      </c>
      <c r="L167" s="2449">
        <f>IF(A167='Data Entry - SOF'!B$2,'Data Entry - SOF'!G$64,0)</f>
        <v>0</v>
      </c>
      <c r="M167" s="1371">
        <f t="shared" si="28"/>
        <v>315552132</v>
      </c>
      <c r="N167" s="2212" t="e">
        <f>IF('Report-M&amp;O1920'!C$18-'Report-SOF1920'!D$55&lt;=0,0,'Report-M&amp;O1920'!C$18-'Report-SOF1920'!D$55)</f>
        <v>#DIV/0!</v>
      </c>
      <c r="O167" s="2452" t="e">
        <f t="shared" si="29"/>
        <v>#DIV/0!</v>
      </c>
      <c r="P167" s="2449">
        <f>IF(A167='Data Entry - SOF'!B$2,'Data Entry - SOF'!I$64,0)</f>
        <v>0</v>
      </c>
      <c r="Q167" s="1687">
        <f t="shared" si="30"/>
        <v>315552132</v>
      </c>
      <c r="R167" s="2212" t="e">
        <f>IF('Report-M&amp;O2021'!C$18-'Report-SOF2021'!D$55&lt;=0,0,'Report-M&amp;O2021'!C$18-'Report-SOF2021'!D$55)</f>
        <v>#DIV/0!</v>
      </c>
      <c r="S167" s="2452" t="e">
        <f t="shared" si="31"/>
        <v>#DIV/0!</v>
      </c>
      <c r="T167" s="1708">
        <f>IF(A167='Data Entry - SOF'!B$2,'Data Entry - SOF'!K$64,0)</f>
        <v>0</v>
      </c>
      <c r="U167" s="1687">
        <f t="shared" si="34"/>
        <v>315552132</v>
      </c>
      <c r="V167" s="2212" t="e">
        <f>IF('Report-M&amp;O2122'!C$18-'Report-SOF2122'!D$55&lt;=0,0,'Report-M&amp;O2122'!C$18-'Report-SOF2122'!D$55)</f>
        <v>#DIV/0!</v>
      </c>
      <c r="W167" s="2452" t="e">
        <f t="shared" si="32"/>
        <v>#DIV/0!</v>
      </c>
      <c r="X167" s="1708">
        <f>IF(A167='Data Entry - SOF'!B$2,'Data Entry - SOF'!M$64,0)</f>
        <v>0</v>
      </c>
      <c r="Y167" s="1371" t="e">
        <f t="shared" si="33"/>
        <v>#DIV/0!</v>
      </c>
      <c r="Z167" s="2212" t="e">
        <f>IF('Report-M&amp;O2223'!C$18-'Report-SOF2223'!D$55&lt;=0,0,'Report-M&amp;O2223'!C$18-'Report-SOF2223'!D$55)</f>
        <v>#DIV/0!</v>
      </c>
      <c r="AA167" s="1708">
        <f>IF(A167='Data Entry - SOF'!B$2,'Data Entry - SOF'!O$64,0)</f>
        <v>0</v>
      </c>
    </row>
    <row r="168" spans="1:27" ht="15.75">
      <c r="A168" s="1076" t="s">
        <v>1841</v>
      </c>
      <c r="B168">
        <v>13638747</v>
      </c>
      <c r="C168" s="2452" t="e">
        <f>#REF!+#REF!</f>
        <v>#REF!</v>
      </c>
      <c r="D168" s="2449">
        <f>IF(A168='Data Entry - SOF'!B$2,'Data Entry - SOF'!C$64,0)</f>
        <v>0</v>
      </c>
      <c r="E168" s="2450">
        <f t="shared" si="24"/>
        <v>13638747</v>
      </c>
      <c r="F168" s="2212" t="e">
        <f>IF('Report-M&amp;O1718'!C$18-'Report-SOF1718'!D$55&lt;=0,0,'Report-M&amp;O1718'!C$18-'Report-SOF1718'!D$55)</f>
        <v>#DIV/0!</v>
      </c>
      <c r="G168" s="2452" t="e">
        <f t="shared" si="25"/>
        <v>#DIV/0!</v>
      </c>
      <c r="H168" s="2449">
        <f>IF(A168='Data Entry - SOF'!B$2,'Data Entry - SOF'!E$64,0)</f>
        <v>0</v>
      </c>
      <c r="I168" s="1687">
        <f t="shared" si="26"/>
        <v>13638747</v>
      </c>
      <c r="J168" s="2212" t="e">
        <f>IF('Report-M&amp;O1819'!C$18-'Report-SOF1819'!D$55&lt;=0,0,'Report-M&amp;O1819'!C$18-'Report-SOF1819'!D$55)</f>
        <v>#DIV/0!</v>
      </c>
      <c r="K168" s="2452" t="e">
        <f t="shared" si="27"/>
        <v>#DIV/0!</v>
      </c>
      <c r="L168" s="2449">
        <f>IF(A168='Data Entry - SOF'!B$2,'Data Entry - SOF'!G$64,0)</f>
        <v>0</v>
      </c>
      <c r="M168" s="1371">
        <f t="shared" si="28"/>
        <v>13638747</v>
      </c>
      <c r="N168" s="2212" t="e">
        <f>IF('Report-M&amp;O1920'!C$18-'Report-SOF1920'!D$55&lt;=0,0,'Report-M&amp;O1920'!C$18-'Report-SOF1920'!D$55)</f>
        <v>#DIV/0!</v>
      </c>
      <c r="O168" s="2452" t="e">
        <f t="shared" si="29"/>
        <v>#DIV/0!</v>
      </c>
      <c r="P168" s="2449">
        <f>IF(A168='Data Entry - SOF'!B$2,'Data Entry - SOF'!I$64,0)</f>
        <v>0</v>
      </c>
      <c r="Q168" s="1687">
        <f t="shared" si="30"/>
        <v>13638747</v>
      </c>
      <c r="R168" s="2212" t="e">
        <f>IF('Report-M&amp;O2021'!C$18-'Report-SOF2021'!D$55&lt;=0,0,'Report-M&amp;O2021'!C$18-'Report-SOF2021'!D$55)</f>
        <v>#DIV/0!</v>
      </c>
      <c r="S168" s="2452" t="e">
        <f t="shared" si="31"/>
        <v>#DIV/0!</v>
      </c>
      <c r="T168" s="1708">
        <f>IF(A168='Data Entry - SOF'!B$2,'Data Entry - SOF'!K$64,0)</f>
        <v>0</v>
      </c>
      <c r="U168" s="1687">
        <f t="shared" si="34"/>
        <v>13638747</v>
      </c>
      <c r="V168" s="2212" t="e">
        <f>IF('Report-M&amp;O2122'!C$18-'Report-SOF2122'!D$55&lt;=0,0,'Report-M&amp;O2122'!C$18-'Report-SOF2122'!D$55)</f>
        <v>#DIV/0!</v>
      </c>
      <c r="W168" s="2452" t="e">
        <f t="shared" si="32"/>
        <v>#DIV/0!</v>
      </c>
      <c r="X168" s="1708">
        <f>IF(A168='Data Entry - SOF'!B$2,'Data Entry - SOF'!M$64,0)</f>
        <v>0</v>
      </c>
      <c r="Y168" s="1371" t="e">
        <f t="shared" si="33"/>
        <v>#DIV/0!</v>
      </c>
      <c r="Z168" s="2212" t="e">
        <f>IF('Report-M&amp;O2223'!C$18-'Report-SOF2223'!D$55&lt;=0,0,'Report-M&amp;O2223'!C$18-'Report-SOF2223'!D$55)</f>
        <v>#DIV/0!</v>
      </c>
      <c r="AA168" s="1708">
        <f>IF(A168='Data Entry - SOF'!B$2,'Data Entry - SOF'!O$64,0)</f>
        <v>0</v>
      </c>
    </row>
    <row r="169" spans="1:27" ht="15.75">
      <c r="A169" s="1076" t="s">
        <v>2862</v>
      </c>
      <c r="B169">
        <v>24090883</v>
      </c>
      <c r="C169" s="2452" t="e">
        <f>#REF!+#REF!</f>
        <v>#REF!</v>
      </c>
      <c r="D169" s="2449">
        <f>IF(A169='Data Entry - SOF'!B$2,'Data Entry - SOF'!C$64,0)</f>
        <v>0</v>
      </c>
      <c r="E169" s="2450">
        <f t="shared" si="24"/>
        <v>24090883</v>
      </c>
      <c r="F169" s="2212" t="e">
        <f>IF('Report-M&amp;O1718'!C$18-'Report-SOF1718'!D$55&lt;=0,0,'Report-M&amp;O1718'!C$18-'Report-SOF1718'!D$55)</f>
        <v>#DIV/0!</v>
      </c>
      <c r="G169" s="2452" t="e">
        <f t="shared" si="25"/>
        <v>#DIV/0!</v>
      </c>
      <c r="H169" s="2449">
        <f>IF(A169='Data Entry - SOF'!B$2,'Data Entry - SOF'!E$64,0)</f>
        <v>0</v>
      </c>
      <c r="I169" s="1687">
        <f t="shared" si="26"/>
        <v>24090883</v>
      </c>
      <c r="J169" s="2212" t="e">
        <f>IF('Report-M&amp;O1819'!C$18-'Report-SOF1819'!D$55&lt;=0,0,'Report-M&amp;O1819'!C$18-'Report-SOF1819'!D$55)</f>
        <v>#DIV/0!</v>
      </c>
      <c r="K169" s="2452" t="e">
        <f t="shared" si="27"/>
        <v>#DIV/0!</v>
      </c>
      <c r="L169" s="2449">
        <f>IF(A169='Data Entry - SOF'!B$2,'Data Entry - SOF'!G$64,0)</f>
        <v>0</v>
      </c>
      <c r="M169" s="1371">
        <f t="shared" si="28"/>
        <v>24090883</v>
      </c>
      <c r="N169" s="2212" t="e">
        <f>IF('Report-M&amp;O1920'!C$18-'Report-SOF1920'!D$55&lt;=0,0,'Report-M&amp;O1920'!C$18-'Report-SOF1920'!D$55)</f>
        <v>#DIV/0!</v>
      </c>
      <c r="O169" s="2452" t="e">
        <f t="shared" si="29"/>
        <v>#DIV/0!</v>
      </c>
      <c r="P169" s="2449">
        <f>IF(A169='Data Entry - SOF'!B$2,'Data Entry - SOF'!I$64,0)</f>
        <v>0</v>
      </c>
      <c r="Q169" s="1687">
        <f t="shared" si="30"/>
        <v>24090883</v>
      </c>
      <c r="R169" s="2212" t="e">
        <f>IF('Report-M&amp;O2021'!C$18-'Report-SOF2021'!D$55&lt;=0,0,'Report-M&amp;O2021'!C$18-'Report-SOF2021'!D$55)</f>
        <v>#DIV/0!</v>
      </c>
      <c r="S169" s="2452" t="e">
        <f t="shared" si="31"/>
        <v>#DIV/0!</v>
      </c>
      <c r="T169" s="1708">
        <f>IF(A169='Data Entry - SOF'!B$2,'Data Entry - SOF'!K$64,0)</f>
        <v>0</v>
      </c>
      <c r="U169" s="1687">
        <f t="shared" si="34"/>
        <v>24090883</v>
      </c>
      <c r="V169" s="2212" t="e">
        <f>IF('Report-M&amp;O2122'!C$18-'Report-SOF2122'!D$55&lt;=0,0,'Report-M&amp;O2122'!C$18-'Report-SOF2122'!D$55)</f>
        <v>#DIV/0!</v>
      </c>
      <c r="W169" s="2452" t="e">
        <f t="shared" si="32"/>
        <v>#DIV/0!</v>
      </c>
      <c r="X169" s="1708">
        <f>IF(A169='Data Entry - SOF'!B$2,'Data Entry - SOF'!M$64,0)</f>
        <v>0</v>
      </c>
      <c r="Y169" s="1371" t="e">
        <f t="shared" si="33"/>
        <v>#DIV/0!</v>
      </c>
      <c r="Z169" s="2212" t="e">
        <f>IF('Report-M&amp;O2223'!C$18-'Report-SOF2223'!D$55&lt;=0,0,'Report-M&amp;O2223'!C$18-'Report-SOF2223'!D$55)</f>
        <v>#DIV/0!</v>
      </c>
      <c r="AA169" s="1708">
        <f>IF(A169='Data Entry - SOF'!B$2,'Data Entry - SOF'!O$64,0)</f>
        <v>0</v>
      </c>
    </row>
    <row r="170" spans="1:27" ht="15.75">
      <c r="A170" s="1076" t="s">
        <v>1900</v>
      </c>
      <c r="B170">
        <v>3527124</v>
      </c>
      <c r="C170" s="2452" t="e">
        <f>#REF!+#REF!</f>
        <v>#REF!</v>
      </c>
      <c r="D170" s="2449">
        <f>IF(A170='Data Entry - SOF'!B$2,'Data Entry - SOF'!C$64,0)</f>
        <v>0</v>
      </c>
      <c r="E170" s="2450">
        <f t="shared" si="24"/>
        <v>3527124</v>
      </c>
      <c r="F170" s="2212" t="e">
        <f>IF('Report-M&amp;O1718'!C$18-'Report-SOF1718'!D$55&lt;=0,0,'Report-M&amp;O1718'!C$18-'Report-SOF1718'!D$55)</f>
        <v>#DIV/0!</v>
      </c>
      <c r="G170" s="2452" t="e">
        <f t="shared" si="25"/>
        <v>#DIV/0!</v>
      </c>
      <c r="H170" s="2449">
        <f>IF(A170='Data Entry - SOF'!B$2,'Data Entry - SOF'!E$64,0)</f>
        <v>0</v>
      </c>
      <c r="I170" s="1687">
        <f t="shared" si="26"/>
        <v>3527124</v>
      </c>
      <c r="J170" s="2212" t="e">
        <f>IF('Report-M&amp;O1819'!C$18-'Report-SOF1819'!D$55&lt;=0,0,'Report-M&amp;O1819'!C$18-'Report-SOF1819'!D$55)</f>
        <v>#DIV/0!</v>
      </c>
      <c r="K170" s="2452" t="e">
        <f t="shared" si="27"/>
        <v>#DIV/0!</v>
      </c>
      <c r="L170" s="2449">
        <f>IF(A170='Data Entry - SOF'!B$2,'Data Entry - SOF'!G$64,0)</f>
        <v>0</v>
      </c>
      <c r="M170" s="1371">
        <f t="shared" si="28"/>
        <v>3527124</v>
      </c>
      <c r="N170" s="2212" t="e">
        <f>IF('Report-M&amp;O1920'!C$18-'Report-SOF1920'!D$55&lt;=0,0,'Report-M&amp;O1920'!C$18-'Report-SOF1920'!D$55)</f>
        <v>#DIV/0!</v>
      </c>
      <c r="O170" s="2452" t="e">
        <f t="shared" si="29"/>
        <v>#DIV/0!</v>
      </c>
      <c r="P170" s="2449">
        <f>IF(A170='Data Entry - SOF'!B$2,'Data Entry - SOF'!I$64,0)</f>
        <v>0</v>
      </c>
      <c r="Q170" s="1687">
        <f t="shared" si="30"/>
        <v>3527124</v>
      </c>
      <c r="R170" s="2212" t="e">
        <f>IF('Report-M&amp;O2021'!C$18-'Report-SOF2021'!D$55&lt;=0,0,'Report-M&amp;O2021'!C$18-'Report-SOF2021'!D$55)</f>
        <v>#DIV/0!</v>
      </c>
      <c r="S170" s="2452" t="e">
        <f t="shared" si="31"/>
        <v>#DIV/0!</v>
      </c>
      <c r="T170" s="1708">
        <f>IF(A170='Data Entry - SOF'!B$2,'Data Entry - SOF'!K$64,0)</f>
        <v>0</v>
      </c>
      <c r="U170" s="1687">
        <f t="shared" si="34"/>
        <v>3527124</v>
      </c>
      <c r="V170" s="2212" t="e">
        <f>IF('Report-M&amp;O2122'!C$18-'Report-SOF2122'!D$55&lt;=0,0,'Report-M&amp;O2122'!C$18-'Report-SOF2122'!D$55)</f>
        <v>#DIV/0!</v>
      </c>
      <c r="W170" s="2452" t="e">
        <f t="shared" si="32"/>
        <v>#DIV/0!</v>
      </c>
      <c r="X170" s="1708">
        <f>IF(A170='Data Entry - SOF'!B$2,'Data Entry - SOF'!M$64,0)</f>
        <v>0</v>
      </c>
      <c r="Y170" s="1371" t="e">
        <f t="shared" si="33"/>
        <v>#DIV/0!</v>
      </c>
      <c r="Z170" s="2212" t="e">
        <f>IF('Report-M&amp;O2223'!C$18-'Report-SOF2223'!D$55&lt;=0,0,'Report-M&amp;O2223'!C$18-'Report-SOF2223'!D$55)</f>
        <v>#DIV/0!</v>
      </c>
      <c r="AA170" s="1708">
        <f>IF(A170='Data Entry - SOF'!B$2,'Data Entry - SOF'!O$64,0)</f>
        <v>0</v>
      </c>
    </row>
    <row r="171" spans="1:27" ht="15.75">
      <c r="A171" s="1076" t="s">
        <v>1605</v>
      </c>
      <c r="B171">
        <v>482592435</v>
      </c>
      <c r="C171" s="2452" t="e">
        <f>#REF!+#REF!</f>
        <v>#REF!</v>
      </c>
      <c r="D171" s="2449">
        <f>IF(A171='Data Entry - SOF'!B$2,'Data Entry - SOF'!C$64,0)</f>
        <v>0</v>
      </c>
      <c r="E171" s="2450">
        <f t="shared" si="24"/>
        <v>482592435</v>
      </c>
      <c r="F171" s="2212" t="e">
        <f>IF('Report-M&amp;O1718'!C$18-'Report-SOF1718'!D$55&lt;=0,0,'Report-M&amp;O1718'!C$18-'Report-SOF1718'!D$55)</f>
        <v>#DIV/0!</v>
      </c>
      <c r="G171" s="2452" t="e">
        <f t="shared" si="25"/>
        <v>#DIV/0!</v>
      </c>
      <c r="H171" s="2449">
        <f>IF(A171='Data Entry - SOF'!B$2,'Data Entry - SOF'!E$64,0)</f>
        <v>0</v>
      </c>
      <c r="I171" s="1687">
        <f t="shared" si="26"/>
        <v>482592435</v>
      </c>
      <c r="J171" s="2212" t="e">
        <f>IF('Report-M&amp;O1819'!C$18-'Report-SOF1819'!D$55&lt;=0,0,'Report-M&amp;O1819'!C$18-'Report-SOF1819'!D$55)</f>
        <v>#DIV/0!</v>
      </c>
      <c r="K171" s="2452" t="e">
        <f t="shared" si="27"/>
        <v>#DIV/0!</v>
      </c>
      <c r="L171" s="2449">
        <f>IF(A171='Data Entry - SOF'!B$2,'Data Entry - SOF'!G$64,0)</f>
        <v>0</v>
      </c>
      <c r="M171" s="1371">
        <f t="shared" si="28"/>
        <v>482592435</v>
      </c>
      <c r="N171" s="2212" t="e">
        <f>IF('Report-M&amp;O1920'!C$18-'Report-SOF1920'!D$55&lt;=0,0,'Report-M&amp;O1920'!C$18-'Report-SOF1920'!D$55)</f>
        <v>#DIV/0!</v>
      </c>
      <c r="O171" s="2452" t="e">
        <f t="shared" si="29"/>
        <v>#DIV/0!</v>
      </c>
      <c r="P171" s="2449">
        <f>IF(A171='Data Entry - SOF'!B$2,'Data Entry - SOF'!I$64,0)</f>
        <v>0</v>
      </c>
      <c r="Q171" s="1687">
        <f t="shared" si="30"/>
        <v>482592435</v>
      </c>
      <c r="R171" s="2212" t="e">
        <f>IF('Report-M&amp;O2021'!C$18-'Report-SOF2021'!D$55&lt;=0,0,'Report-M&amp;O2021'!C$18-'Report-SOF2021'!D$55)</f>
        <v>#DIV/0!</v>
      </c>
      <c r="S171" s="2452" t="e">
        <f t="shared" si="31"/>
        <v>#DIV/0!</v>
      </c>
      <c r="T171" s="1708">
        <f>IF(A171='Data Entry - SOF'!B$2,'Data Entry - SOF'!K$64,0)</f>
        <v>0</v>
      </c>
      <c r="U171" s="1687">
        <f t="shared" si="34"/>
        <v>482592435</v>
      </c>
      <c r="V171" s="2212" t="e">
        <f>IF('Report-M&amp;O2122'!C$18-'Report-SOF2122'!D$55&lt;=0,0,'Report-M&amp;O2122'!C$18-'Report-SOF2122'!D$55)</f>
        <v>#DIV/0!</v>
      </c>
      <c r="W171" s="2452" t="e">
        <f t="shared" si="32"/>
        <v>#DIV/0!</v>
      </c>
      <c r="X171" s="1708">
        <f>IF(A171='Data Entry - SOF'!B$2,'Data Entry - SOF'!M$64,0)</f>
        <v>0</v>
      </c>
      <c r="Y171" s="1371" t="e">
        <f t="shared" si="33"/>
        <v>#DIV/0!</v>
      </c>
      <c r="Z171" s="2212" t="e">
        <f>IF('Report-M&amp;O2223'!C$18-'Report-SOF2223'!D$55&lt;=0,0,'Report-M&amp;O2223'!C$18-'Report-SOF2223'!D$55)</f>
        <v>#DIV/0!</v>
      </c>
      <c r="AA171" s="1708">
        <f>IF(A171='Data Entry - SOF'!B$2,'Data Entry - SOF'!O$64,0)</f>
        <v>0</v>
      </c>
    </row>
    <row r="172" spans="1:27" ht="15.75">
      <c r="A172" s="1076" t="s">
        <v>2895</v>
      </c>
      <c r="B172">
        <v>384679980</v>
      </c>
      <c r="C172" s="2452" t="e">
        <f>#REF!+#REF!</f>
        <v>#REF!</v>
      </c>
      <c r="D172" s="2449">
        <f>IF(A172='Data Entry - SOF'!B$2,'Data Entry - SOF'!C$64,0)</f>
        <v>0</v>
      </c>
      <c r="E172" s="2450">
        <f t="shared" si="24"/>
        <v>384679980</v>
      </c>
      <c r="F172" s="2212" t="e">
        <f>IF('Report-M&amp;O1718'!C$18-'Report-SOF1718'!D$55&lt;=0,0,'Report-M&amp;O1718'!C$18-'Report-SOF1718'!D$55)</f>
        <v>#DIV/0!</v>
      </c>
      <c r="G172" s="2452" t="e">
        <f t="shared" si="25"/>
        <v>#DIV/0!</v>
      </c>
      <c r="H172" s="2449">
        <f>IF(A172='Data Entry - SOF'!B$2,'Data Entry - SOF'!E$64,0)</f>
        <v>0</v>
      </c>
      <c r="I172" s="1687">
        <f t="shared" si="26"/>
        <v>384679980</v>
      </c>
      <c r="J172" s="2212" t="e">
        <f>IF('Report-M&amp;O1819'!C$18-'Report-SOF1819'!D$55&lt;=0,0,'Report-M&amp;O1819'!C$18-'Report-SOF1819'!D$55)</f>
        <v>#DIV/0!</v>
      </c>
      <c r="K172" s="2452" t="e">
        <f t="shared" si="27"/>
        <v>#DIV/0!</v>
      </c>
      <c r="L172" s="2449">
        <f>IF(A172='Data Entry - SOF'!B$2,'Data Entry - SOF'!G$64,0)</f>
        <v>0</v>
      </c>
      <c r="M172" s="1371">
        <f t="shared" si="28"/>
        <v>384679980</v>
      </c>
      <c r="N172" s="2212" t="e">
        <f>IF('Report-M&amp;O1920'!C$18-'Report-SOF1920'!D$55&lt;=0,0,'Report-M&amp;O1920'!C$18-'Report-SOF1920'!D$55)</f>
        <v>#DIV/0!</v>
      </c>
      <c r="O172" s="2452" t="e">
        <f t="shared" si="29"/>
        <v>#DIV/0!</v>
      </c>
      <c r="P172" s="2449">
        <f>IF(A172='Data Entry - SOF'!B$2,'Data Entry - SOF'!I$64,0)</f>
        <v>0</v>
      </c>
      <c r="Q172" s="1687">
        <f t="shared" si="30"/>
        <v>384679980</v>
      </c>
      <c r="R172" s="2212" t="e">
        <f>IF('Report-M&amp;O2021'!C$18-'Report-SOF2021'!D$55&lt;=0,0,'Report-M&amp;O2021'!C$18-'Report-SOF2021'!D$55)</f>
        <v>#DIV/0!</v>
      </c>
      <c r="S172" s="2452" t="e">
        <f t="shared" si="31"/>
        <v>#DIV/0!</v>
      </c>
      <c r="T172" s="1708">
        <f>IF(A172='Data Entry - SOF'!B$2,'Data Entry - SOF'!K$64,0)</f>
        <v>0</v>
      </c>
      <c r="U172" s="1687">
        <f t="shared" si="34"/>
        <v>384679980</v>
      </c>
      <c r="V172" s="2212" t="e">
        <f>IF('Report-M&amp;O2122'!C$18-'Report-SOF2122'!D$55&lt;=0,0,'Report-M&amp;O2122'!C$18-'Report-SOF2122'!D$55)</f>
        <v>#DIV/0!</v>
      </c>
      <c r="W172" s="2452" t="e">
        <f t="shared" si="32"/>
        <v>#DIV/0!</v>
      </c>
      <c r="X172" s="1708">
        <f>IF(A172='Data Entry - SOF'!B$2,'Data Entry - SOF'!M$64,0)</f>
        <v>0</v>
      </c>
      <c r="Y172" s="1371" t="e">
        <f t="shared" si="33"/>
        <v>#DIV/0!</v>
      </c>
      <c r="Z172" s="2212" t="e">
        <f>IF('Report-M&amp;O2223'!C$18-'Report-SOF2223'!D$55&lt;=0,0,'Report-M&amp;O2223'!C$18-'Report-SOF2223'!D$55)</f>
        <v>#DIV/0!</v>
      </c>
      <c r="AA172" s="1708">
        <f>IF(A172='Data Entry - SOF'!B$2,'Data Entry - SOF'!O$64,0)</f>
        <v>0</v>
      </c>
    </row>
    <row r="173" spans="1:27" ht="15.75">
      <c r="A173" s="1076" t="s">
        <v>724</v>
      </c>
      <c r="B173">
        <v>17520325</v>
      </c>
      <c r="C173" s="2452" t="e">
        <f>#REF!+#REF!</f>
        <v>#REF!</v>
      </c>
      <c r="D173" s="2449">
        <f>IF(A173='Data Entry - SOF'!B$2,'Data Entry - SOF'!C$64,0)</f>
        <v>0</v>
      </c>
      <c r="E173" s="2450">
        <f t="shared" si="24"/>
        <v>17520325</v>
      </c>
      <c r="F173" s="2212" t="e">
        <f>IF('Report-M&amp;O1718'!C$18-'Report-SOF1718'!D$55&lt;=0,0,'Report-M&amp;O1718'!C$18-'Report-SOF1718'!D$55)</f>
        <v>#DIV/0!</v>
      </c>
      <c r="G173" s="2452" t="e">
        <f t="shared" si="25"/>
        <v>#DIV/0!</v>
      </c>
      <c r="H173" s="2449">
        <f>IF(A173='Data Entry - SOF'!B$2,'Data Entry - SOF'!E$64,0)</f>
        <v>0</v>
      </c>
      <c r="I173" s="1687">
        <f t="shared" si="26"/>
        <v>17520325</v>
      </c>
      <c r="J173" s="2212" t="e">
        <f>IF('Report-M&amp;O1819'!C$18-'Report-SOF1819'!D$55&lt;=0,0,'Report-M&amp;O1819'!C$18-'Report-SOF1819'!D$55)</f>
        <v>#DIV/0!</v>
      </c>
      <c r="K173" s="2452" t="e">
        <f t="shared" si="27"/>
        <v>#DIV/0!</v>
      </c>
      <c r="L173" s="2449">
        <f>IF(A173='Data Entry - SOF'!B$2,'Data Entry - SOF'!G$64,0)</f>
        <v>0</v>
      </c>
      <c r="M173" s="1371">
        <f t="shared" si="28"/>
        <v>17520325</v>
      </c>
      <c r="N173" s="2212" t="e">
        <f>IF('Report-M&amp;O1920'!C$18-'Report-SOF1920'!D$55&lt;=0,0,'Report-M&amp;O1920'!C$18-'Report-SOF1920'!D$55)</f>
        <v>#DIV/0!</v>
      </c>
      <c r="O173" s="2452" t="e">
        <f t="shared" si="29"/>
        <v>#DIV/0!</v>
      </c>
      <c r="P173" s="2449">
        <f>IF(A173='Data Entry - SOF'!B$2,'Data Entry - SOF'!I$64,0)</f>
        <v>0</v>
      </c>
      <c r="Q173" s="1687">
        <f t="shared" si="30"/>
        <v>17520325</v>
      </c>
      <c r="R173" s="2212" t="e">
        <f>IF('Report-M&amp;O2021'!C$18-'Report-SOF2021'!D$55&lt;=0,0,'Report-M&amp;O2021'!C$18-'Report-SOF2021'!D$55)</f>
        <v>#DIV/0!</v>
      </c>
      <c r="S173" s="2452" t="e">
        <f t="shared" si="31"/>
        <v>#DIV/0!</v>
      </c>
      <c r="T173" s="1708">
        <f>IF(A173='Data Entry - SOF'!B$2,'Data Entry - SOF'!K$64,0)</f>
        <v>0</v>
      </c>
      <c r="U173" s="1687">
        <f t="shared" si="34"/>
        <v>17520325</v>
      </c>
      <c r="V173" s="2212" t="e">
        <f>IF('Report-M&amp;O2122'!C$18-'Report-SOF2122'!D$55&lt;=0,0,'Report-M&amp;O2122'!C$18-'Report-SOF2122'!D$55)</f>
        <v>#DIV/0!</v>
      </c>
      <c r="W173" s="2452" t="e">
        <f t="shared" si="32"/>
        <v>#DIV/0!</v>
      </c>
      <c r="X173" s="1708">
        <f>IF(A173='Data Entry - SOF'!B$2,'Data Entry - SOF'!M$64,0)</f>
        <v>0</v>
      </c>
      <c r="Y173" s="1371" t="e">
        <f t="shared" si="33"/>
        <v>#DIV/0!</v>
      </c>
      <c r="Z173" s="2212" t="e">
        <f>IF('Report-M&amp;O2223'!C$18-'Report-SOF2223'!D$55&lt;=0,0,'Report-M&amp;O2223'!C$18-'Report-SOF2223'!D$55)</f>
        <v>#DIV/0!</v>
      </c>
      <c r="AA173" s="1708">
        <f>IF(A173='Data Entry - SOF'!B$2,'Data Entry - SOF'!O$64,0)</f>
        <v>0</v>
      </c>
    </row>
    <row r="174" spans="1:27" ht="15.75">
      <c r="A174" s="1076" t="s">
        <v>725</v>
      </c>
      <c r="B174">
        <v>587114223</v>
      </c>
      <c r="C174" s="2452" t="e">
        <f>#REF!+#REF!</f>
        <v>#REF!</v>
      </c>
      <c r="D174" s="2449">
        <f>IF(A174='Data Entry - SOF'!B$2,'Data Entry - SOF'!C$64,0)</f>
        <v>0</v>
      </c>
      <c r="E174" s="2450">
        <f t="shared" si="24"/>
        <v>587114223</v>
      </c>
      <c r="F174" s="2212" t="e">
        <f>IF('Report-M&amp;O1718'!C$18-'Report-SOF1718'!D$55&lt;=0,0,'Report-M&amp;O1718'!C$18-'Report-SOF1718'!D$55)</f>
        <v>#DIV/0!</v>
      </c>
      <c r="G174" s="2452" t="e">
        <f t="shared" si="25"/>
        <v>#DIV/0!</v>
      </c>
      <c r="H174" s="2449">
        <f>IF(A174='Data Entry - SOF'!B$2,'Data Entry - SOF'!E$64,0)</f>
        <v>0</v>
      </c>
      <c r="I174" s="1687">
        <f t="shared" si="26"/>
        <v>587114223</v>
      </c>
      <c r="J174" s="2212" t="e">
        <f>IF('Report-M&amp;O1819'!C$18-'Report-SOF1819'!D$55&lt;=0,0,'Report-M&amp;O1819'!C$18-'Report-SOF1819'!D$55)</f>
        <v>#DIV/0!</v>
      </c>
      <c r="K174" s="2452" t="e">
        <f t="shared" si="27"/>
        <v>#DIV/0!</v>
      </c>
      <c r="L174" s="2449">
        <f>IF(A174='Data Entry - SOF'!B$2,'Data Entry - SOF'!G$64,0)</f>
        <v>0</v>
      </c>
      <c r="M174" s="1371">
        <f t="shared" si="28"/>
        <v>587114223</v>
      </c>
      <c r="N174" s="2212" t="e">
        <f>IF('Report-M&amp;O1920'!C$18-'Report-SOF1920'!D$55&lt;=0,0,'Report-M&amp;O1920'!C$18-'Report-SOF1920'!D$55)</f>
        <v>#DIV/0!</v>
      </c>
      <c r="O174" s="2452" t="e">
        <f t="shared" si="29"/>
        <v>#DIV/0!</v>
      </c>
      <c r="P174" s="2449">
        <f>IF(A174='Data Entry - SOF'!B$2,'Data Entry - SOF'!I$64,0)</f>
        <v>0</v>
      </c>
      <c r="Q174" s="1687">
        <f t="shared" si="30"/>
        <v>587114223</v>
      </c>
      <c r="R174" s="2212" t="e">
        <f>IF('Report-M&amp;O2021'!C$18-'Report-SOF2021'!D$55&lt;=0,0,'Report-M&amp;O2021'!C$18-'Report-SOF2021'!D$55)</f>
        <v>#DIV/0!</v>
      </c>
      <c r="S174" s="2452" t="e">
        <f t="shared" si="31"/>
        <v>#DIV/0!</v>
      </c>
      <c r="T174" s="1708">
        <f>IF(A174='Data Entry - SOF'!B$2,'Data Entry - SOF'!K$64,0)</f>
        <v>0</v>
      </c>
      <c r="U174" s="1687">
        <f t="shared" si="34"/>
        <v>587114223</v>
      </c>
      <c r="V174" s="2212" t="e">
        <f>IF('Report-M&amp;O2122'!C$18-'Report-SOF2122'!D$55&lt;=0,0,'Report-M&amp;O2122'!C$18-'Report-SOF2122'!D$55)</f>
        <v>#DIV/0!</v>
      </c>
      <c r="W174" s="2452" t="e">
        <f t="shared" si="32"/>
        <v>#DIV/0!</v>
      </c>
      <c r="X174" s="1708">
        <f>IF(A174='Data Entry - SOF'!B$2,'Data Entry - SOF'!M$64,0)</f>
        <v>0</v>
      </c>
      <c r="Y174" s="1371" t="e">
        <f t="shared" si="33"/>
        <v>#DIV/0!</v>
      </c>
      <c r="Z174" s="2212" t="e">
        <f>IF('Report-M&amp;O2223'!C$18-'Report-SOF2223'!D$55&lt;=0,0,'Report-M&amp;O2223'!C$18-'Report-SOF2223'!D$55)</f>
        <v>#DIV/0!</v>
      </c>
      <c r="AA174" s="1708">
        <f>IF(A174='Data Entry - SOF'!B$2,'Data Entry - SOF'!O$64,0)</f>
        <v>0</v>
      </c>
    </row>
    <row r="175" spans="1:27" ht="15.75">
      <c r="A175" s="1076" t="s">
        <v>246</v>
      </c>
      <c r="B175">
        <v>7537523</v>
      </c>
      <c r="C175" s="2452" t="e">
        <f>#REF!+#REF!</f>
        <v>#REF!</v>
      </c>
      <c r="D175" s="2449">
        <f>IF(A175='Data Entry - SOF'!B$2,'Data Entry - SOF'!C$64,0)</f>
        <v>0</v>
      </c>
      <c r="E175" s="2450">
        <f t="shared" si="24"/>
        <v>7537523</v>
      </c>
      <c r="F175" s="2212" t="e">
        <f>IF('Report-M&amp;O1718'!C$18-'Report-SOF1718'!D$55&lt;=0,0,'Report-M&amp;O1718'!C$18-'Report-SOF1718'!D$55)</f>
        <v>#DIV/0!</v>
      </c>
      <c r="G175" s="2452" t="e">
        <f t="shared" si="25"/>
        <v>#DIV/0!</v>
      </c>
      <c r="H175" s="2449">
        <f>IF(A175='Data Entry - SOF'!B$2,'Data Entry - SOF'!E$64,0)</f>
        <v>0</v>
      </c>
      <c r="I175" s="1687">
        <f t="shared" si="26"/>
        <v>7537523</v>
      </c>
      <c r="J175" s="2212" t="e">
        <f>IF('Report-M&amp;O1819'!C$18-'Report-SOF1819'!D$55&lt;=0,0,'Report-M&amp;O1819'!C$18-'Report-SOF1819'!D$55)</f>
        <v>#DIV/0!</v>
      </c>
      <c r="K175" s="2452" t="e">
        <f t="shared" si="27"/>
        <v>#DIV/0!</v>
      </c>
      <c r="L175" s="2449">
        <f>IF(A175='Data Entry - SOF'!B$2,'Data Entry - SOF'!G$64,0)</f>
        <v>0</v>
      </c>
      <c r="M175" s="1371">
        <f t="shared" si="28"/>
        <v>7537523</v>
      </c>
      <c r="N175" s="2212" t="e">
        <f>IF('Report-M&amp;O1920'!C$18-'Report-SOF1920'!D$55&lt;=0,0,'Report-M&amp;O1920'!C$18-'Report-SOF1920'!D$55)</f>
        <v>#DIV/0!</v>
      </c>
      <c r="O175" s="2452" t="e">
        <f t="shared" si="29"/>
        <v>#DIV/0!</v>
      </c>
      <c r="P175" s="2449">
        <f>IF(A175='Data Entry - SOF'!B$2,'Data Entry - SOF'!I$64,0)</f>
        <v>0</v>
      </c>
      <c r="Q175" s="1687">
        <f t="shared" si="30"/>
        <v>7537523</v>
      </c>
      <c r="R175" s="2212" t="e">
        <f>IF('Report-M&amp;O2021'!C$18-'Report-SOF2021'!D$55&lt;=0,0,'Report-M&amp;O2021'!C$18-'Report-SOF2021'!D$55)</f>
        <v>#DIV/0!</v>
      </c>
      <c r="S175" s="2452" t="e">
        <f t="shared" si="31"/>
        <v>#DIV/0!</v>
      </c>
      <c r="T175" s="1708">
        <f>IF(A175='Data Entry - SOF'!B$2,'Data Entry - SOF'!K$64,0)</f>
        <v>0</v>
      </c>
      <c r="U175" s="1687">
        <f t="shared" si="34"/>
        <v>7537523</v>
      </c>
      <c r="V175" s="2212" t="e">
        <f>IF('Report-M&amp;O2122'!C$18-'Report-SOF2122'!D$55&lt;=0,0,'Report-M&amp;O2122'!C$18-'Report-SOF2122'!D$55)</f>
        <v>#DIV/0!</v>
      </c>
      <c r="W175" s="2452" t="e">
        <f t="shared" si="32"/>
        <v>#DIV/0!</v>
      </c>
      <c r="X175" s="1708">
        <f>IF(A175='Data Entry - SOF'!B$2,'Data Entry - SOF'!M$64,0)</f>
        <v>0</v>
      </c>
      <c r="Y175" s="1371" t="e">
        <f t="shared" si="33"/>
        <v>#DIV/0!</v>
      </c>
      <c r="Z175" s="2212" t="e">
        <f>IF('Report-M&amp;O2223'!C$18-'Report-SOF2223'!D$55&lt;=0,0,'Report-M&amp;O2223'!C$18-'Report-SOF2223'!D$55)</f>
        <v>#DIV/0!</v>
      </c>
      <c r="AA175" s="1708">
        <f>IF(A175='Data Entry - SOF'!B$2,'Data Entry - SOF'!O$64,0)</f>
        <v>0</v>
      </c>
    </row>
    <row r="176" spans="1:27" ht="15.75">
      <c r="A176" s="1076" t="s">
        <v>1780</v>
      </c>
      <c r="B176">
        <v>85989477</v>
      </c>
      <c r="C176" s="2452" t="e">
        <f>#REF!+#REF!</f>
        <v>#REF!</v>
      </c>
      <c r="D176" s="2449">
        <f>IF(A176='Data Entry - SOF'!B$2,'Data Entry - SOF'!C$64,0)</f>
        <v>0</v>
      </c>
      <c r="E176" s="2450">
        <f t="shared" si="24"/>
        <v>85989477</v>
      </c>
      <c r="F176" s="2212" t="e">
        <f>IF('Report-M&amp;O1718'!C$18-'Report-SOF1718'!D$55&lt;=0,0,'Report-M&amp;O1718'!C$18-'Report-SOF1718'!D$55)</f>
        <v>#DIV/0!</v>
      </c>
      <c r="G176" s="2452" t="e">
        <f t="shared" si="25"/>
        <v>#DIV/0!</v>
      </c>
      <c r="H176" s="2449">
        <f>IF(A176='Data Entry - SOF'!B$2,'Data Entry - SOF'!E$64,0)</f>
        <v>0</v>
      </c>
      <c r="I176" s="1687">
        <f t="shared" si="26"/>
        <v>85989477</v>
      </c>
      <c r="J176" s="2212" t="e">
        <f>IF('Report-M&amp;O1819'!C$18-'Report-SOF1819'!D$55&lt;=0,0,'Report-M&amp;O1819'!C$18-'Report-SOF1819'!D$55)</f>
        <v>#DIV/0!</v>
      </c>
      <c r="K176" s="2452" t="e">
        <f t="shared" si="27"/>
        <v>#DIV/0!</v>
      </c>
      <c r="L176" s="2449">
        <f>IF(A176='Data Entry - SOF'!B$2,'Data Entry - SOF'!G$64,0)</f>
        <v>0</v>
      </c>
      <c r="M176" s="1371">
        <f t="shared" si="28"/>
        <v>85989477</v>
      </c>
      <c r="N176" s="2212" t="e">
        <f>IF('Report-M&amp;O1920'!C$18-'Report-SOF1920'!D$55&lt;=0,0,'Report-M&amp;O1920'!C$18-'Report-SOF1920'!D$55)</f>
        <v>#DIV/0!</v>
      </c>
      <c r="O176" s="2452" t="e">
        <f t="shared" si="29"/>
        <v>#DIV/0!</v>
      </c>
      <c r="P176" s="2449">
        <f>IF(A176='Data Entry - SOF'!B$2,'Data Entry - SOF'!I$64,0)</f>
        <v>0</v>
      </c>
      <c r="Q176" s="1687">
        <f t="shared" si="30"/>
        <v>85989477</v>
      </c>
      <c r="R176" s="2212" t="e">
        <f>IF('Report-M&amp;O2021'!C$18-'Report-SOF2021'!D$55&lt;=0,0,'Report-M&amp;O2021'!C$18-'Report-SOF2021'!D$55)</f>
        <v>#DIV/0!</v>
      </c>
      <c r="S176" s="2452" t="e">
        <f t="shared" si="31"/>
        <v>#DIV/0!</v>
      </c>
      <c r="T176" s="1708">
        <f>IF(A176='Data Entry - SOF'!B$2,'Data Entry - SOF'!K$64,0)</f>
        <v>0</v>
      </c>
      <c r="U176" s="1687">
        <f t="shared" si="34"/>
        <v>85989477</v>
      </c>
      <c r="V176" s="2212" t="e">
        <f>IF('Report-M&amp;O2122'!C$18-'Report-SOF2122'!D$55&lt;=0,0,'Report-M&amp;O2122'!C$18-'Report-SOF2122'!D$55)</f>
        <v>#DIV/0!</v>
      </c>
      <c r="W176" s="2452" t="e">
        <f t="shared" si="32"/>
        <v>#DIV/0!</v>
      </c>
      <c r="X176" s="1708">
        <f>IF(A176='Data Entry - SOF'!B$2,'Data Entry - SOF'!M$64,0)</f>
        <v>0</v>
      </c>
      <c r="Y176" s="1371" t="e">
        <f t="shared" si="33"/>
        <v>#DIV/0!</v>
      </c>
      <c r="Z176" s="2212" t="e">
        <f>IF('Report-M&amp;O2223'!C$18-'Report-SOF2223'!D$55&lt;=0,0,'Report-M&amp;O2223'!C$18-'Report-SOF2223'!D$55)</f>
        <v>#DIV/0!</v>
      </c>
      <c r="AA176" s="1708">
        <f>IF(A176='Data Entry - SOF'!B$2,'Data Entry - SOF'!O$64,0)</f>
        <v>0</v>
      </c>
    </row>
    <row r="177" spans="1:27" ht="15.75">
      <c r="A177" s="1076" t="s">
        <v>1351</v>
      </c>
      <c r="B177">
        <v>96443098</v>
      </c>
      <c r="C177" s="2452" t="e">
        <f>#REF!+#REF!</f>
        <v>#REF!</v>
      </c>
      <c r="D177" s="2449">
        <f>IF(A177='Data Entry - SOF'!B$2,'Data Entry - SOF'!C$64,0)</f>
        <v>0</v>
      </c>
      <c r="E177" s="2450">
        <f t="shared" si="24"/>
        <v>96443098</v>
      </c>
      <c r="F177" s="2212" t="e">
        <f>IF('Report-M&amp;O1718'!C$18-'Report-SOF1718'!D$55&lt;=0,0,'Report-M&amp;O1718'!C$18-'Report-SOF1718'!D$55)</f>
        <v>#DIV/0!</v>
      </c>
      <c r="G177" s="2452" t="e">
        <f t="shared" si="25"/>
        <v>#DIV/0!</v>
      </c>
      <c r="H177" s="2449">
        <f>IF(A177='Data Entry - SOF'!B$2,'Data Entry - SOF'!E$64,0)</f>
        <v>0</v>
      </c>
      <c r="I177" s="1687">
        <f t="shared" si="26"/>
        <v>96443098</v>
      </c>
      <c r="J177" s="2212" t="e">
        <f>IF('Report-M&amp;O1819'!C$18-'Report-SOF1819'!D$55&lt;=0,0,'Report-M&amp;O1819'!C$18-'Report-SOF1819'!D$55)</f>
        <v>#DIV/0!</v>
      </c>
      <c r="K177" s="2452" t="e">
        <f t="shared" si="27"/>
        <v>#DIV/0!</v>
      </c>
      <c r="L177" s="2449">
        <f>IF(A177='Data Entry - SOF'!B$2,'Data Entry - SOF'!G$64,0)</f>
        <v>0</v>
      </c>
      <c r="M177" s="1371">
        <f t="shared" si="28"/>
        <v>96443098</v>
      </c>
      <c r="N177" s="2212" t="e">
        <f>IF('Report-M&amp;O1920'!C$18-'Report-SOF1920'!D$55&lt;=0,0,'Report-M&amp;O1920'!C$18-'Report-SOF1920'!D$55)</f>
        <v>#DIV/0!</v>
      </c>
      <c r="O177" s="2452" t="e">
        <f t="shared" si="29"/>
        <v>#DIV/0!</v>
      </c>
      <c r="P177" s="2449">
        <f>IF(A177='Data Entry - SOF'!B$2,'Data Entry - SOF'!I$64,0)</f>
        <v>0</v>
      </c>
      <c r="Q177" s="1687">
        <f t="shared" si="30"/>
        <v>96443098</v>
      </c>
      <c r="R177" s="2212" t="e">
        <f>IF('Report-M&amp;O2021'!C$18-'Report-SOF2021'!D$55&lt;=0,0,'Report-M&amp;O2021'!C$18-'Report-SOF2021'!D$55)</f>
        <v>#DIV/0!</v>
      </c>
      <c r="S177" s="2452" t="e">
        <f t="shared" si="31"/>
        <v>#DIV/0!</v>
      </c>
      <c r="T177" s="1708">
        <f>IF(A177='Data Entry - SOF'!B$2,'Data Entry - SOF'!K$64,0)</f>
        <v>0</v>
      </c>
      <c r="U177" s="1687">
        <f t="shared" si="34"/>
        <v>96443098</v>
      </c>
      <c r="V177" s="2212" t="e">
        <f>IF('Report-M&amp;O2122'!C$18-'Report-SOF2122'!D$55&lt;=0,0,'Report-M&amp;O2122'!C$18-'Report-SOF2122'!D$55)</f>
        <v>#DIV/0!</v>
      </c>
      <c r="W177" s="2452" t="e">
        <f t="shared" si="32"/>
        <v>#DIV/0!</v>
      </c>
      <c r="X177" s="1708">
        <f>IF(A177='Data Entry - SOF'!B$2,'Data Entry - SOF'!M$64,0)</f>
        <v>0</v>
      </c>
      <c r="Y177" s="1371" t="e">
        <f t="shared" si="33"/>
        <v>#DIV/0!</v>
      </c>
      <c r="Z177" s="2212" t="e">
        <f>IF('Report-M&amp;O2223'!C$18-'Report-SOF2223'!D$55&lt;=0,0,'Report-M&amp;O2223'!C$18-'Report-SOF2223'!D$55)</f>
        <v>#DIV/0!</v>
      </c>
      <c r="AA177" s="1708">
        <f>IF(A177='Data Entry - SOF'!B$2,'Data Entry - SOF'!O$64,0)</f>
        <v>0</v>
      </c>
    </row>
    <row r="178" spans="1:27" ht="15.75">
      <c r="A178" s="1076" t="s">
        <v>990</v>
      </c>
      <c r="B178">
        <v>1831510</v>
      </c>
      <c r="C178" s="2452" t="e">
        <f>#REF!+#REF!</f>
        <v>#REF!</v>
      </c>
      <c r="D178" s="2449">
        <f>IF(A178='Data Entry - SOF'!B$2,'Data Entry - SOF'!C$64,0)</f>
        <v>0</v>
      </c>
      <c r="E178" s="2450">
        <f t="shared" si="24"/>
        <v>1831510</v>
      </c>
      <c r="F178" s="2212" t="e">
        <f>IF('Report-M&amp;O1718'!C$18-'Report-SOF1718'!D$55&lt;=0,0,'Report-M&amp;O1718'!C$18-'Report-SOF1718'!D$55)</f>
        <v>#DIV/0!</v>
      </c>
      <c r="G178" s="2452" t="e">
        <f t="shared" si="25"/>
        <v>#DIV/0!</v>
      </c>
      <c r="H178" s="2449">
        <f>IF(A178='Data Entry - SOF'!B$2,'Data Entry - SOF'!E$64,0)</f>
        <v>0</v>
      </c>
      <c r="I178" s="1687">
        <f t="shared" si="26"/>
        <v>1831510</v>
      </c>
      <c r="J178" s="2212" t="e">
        <f>IF('Report-M&amp;O1819'!C$18-'Report-SOF1819'!D$55&lt;=0,0,'Report-M&amp;O1819'!C$18-'Report-SOF1819'!D$55)</f>
        <v>#DIV/0!</v>
      </c>
      <c r="K178" s="2452" t="e">
        <f t="shared" si="27"/>
        <v>#DIV/0!</v>
      </c>
      <c r="L178" s="2449">
        <f>IF(A178='Data Entry - SOF'!B$2,'Data Entry - SOF'!G$64,0)</f>
        <v>0</v>
      </c>
      <c r="M178" s="1371">
        <f t="shared" si="28"/>
        <v>1831510</v>
      </c>
      <c r="N178" s="2212" t="e">
        <f>IF('Report-M&amp;O1920'!C$18-'Report-SOF1920'!D$55&lt;=0,0,'Report-M&amp;O1920'!C$18-'Report-SOF1920'!D$55)</f>
        <v>#DIV/0!</v>
      </c>
      <c r="O178" s="2452" t="e">
        <f t="shared" si="29"/>
        <v>#DIV/0!</v>
      </c>
      <c r="P178" s="2449">
        <f>IF(A178='Data Entry - SOF'!B$2,'Data Entry - SOF'!I$64,0)</f>
        <v>0</v>
      </c>
      <c r="Q178" s="1687">
        <f t="shared" si="30"/>
        <v>1831510</v>
      </c>
      <c r="R178" s="2212" t="e">
        <f>IF('Report-M&amp;O2021'!C$18-'Report-SOF2021'!D$55&lt;=0,0,'Report-M&amp;O2021'!C$18-'Report-SOF2021'!D$55)</f>
        <v>#DIV/0!</v>
      </c>
      <c r="S178" s="2452" t="e">
        <f t="shared" si="31"/>
        <v>#DIV/0!</v>
      </c>
      <c r="T178" s="1708">
        <f>IF(A178='Data Entry - SOF'!B$2,'Data Entry - SOF'!K$64,0)</f>
        <v>0</v>
      </c>
      <c r="U178" s="1687">
        <f t="shared" si="34"/>
        <v>1831510</v>
      </c>
      <c r="V178" s="2212" t="e">
        <f>IF('Report-M&amp;O2122'!C$18-'Report-SOF2122'!D$55&lt;=0,0,'Report-M&amp;O2122'!C$18-'Report-SOF2122'!D$55)</f>
        <v>#DIV/0!</v>
      </c>
      <c r="W178" s="2452" t="e">
        <f t="shared" si="32"/>
        <v>#DIV/0!</v>
      </c>
      <c r="X178" s="1708">
        <f>IF(A178='Data Entry - SOF'!B$2,'Data Entry - SOF'!M$64,0)</f>
        <v>0</v>
      </c>
      <c r="Y178" s="1371" t="e">
        <f t="shared" si="33"/>
        <v>#DIV/0!</v>
      </c>
      <c r="Z178" s="2212" t="e">
        <f>IF('Report-M&amp;O2223'!C$18-'Report-SOF2223'!D$55&lt;=0,0,'Report-M&amp;O2223'!C$18-'Report-SOF2223'!D$55)</f>
        <v>#DIV/0!</v>
      </c>
      <c r="AA178" s="1708">
        <f>IF(A178='Data Entry - SOF'!B$2,'Data Entry - SOF'!O$64,0)</f>
        <v>0</v>
      </c>
    </row>
    <row r="179" spans="1:27" ht="15.75">
      <c r="A179" s="1076" t="s">
        <v>1619</v>
      </c>
      <c r="B179">
        <v>9931821</v>
      </c>
      <c r="C179" s="2452" t="e">
        <f>#REF!+#REF!</f>
        <v>#REF!</v>
      </c>
      <c r="D179" s="2449">
        <f>IF(A179='Data Entry - SOF'!B$2,'Data Entry - SOF'!C$64,0)</f>
        <v>0</v>
      </c>
      <c r="E179" s="2450">
        <f t="shared" si="24"/>
        <v>9931821</v>
      </c>
      <c r="F179" s="2212" t="e">
        <f>IF('Report-M&amp;O1718'!C$18-'Report-SOF1718'!D$55&lt;=0,0,'Report-M&amp;O1718'!C$18-'Report-SOF1718'!D$55)</f>
        <v>#DIV/0!</v>
      </c>
      <c r="G179" s="2452" t="e">
        <f t="shared" si="25"/>
        <v>#DIV/0!</v>
      </c>
      <c r="H179" s="2449">
        <f>IF(A179='Data Entry - SOF'!B$2,'Data Entry - SOF'!E$64,0)</f>
        <v>0</v>
      </c>
      <c r="I179" s="1687">
        <f t="shared" si="26"/>
        <v>9931821</v>
      </c>
      <c r="J179" s="2212" t="e">
        <f>IF('Report-M&amp;O1819'!C$18-'Report-SOF1819'!D$55&lt;=0,0,'Report-M&amp;O1819'!C$18-'Report-SOF1819'!D$55)</f>
        <v>#DIV/0!</v>
      </c>
      <c r="K179" s="2452" t="e">
        <f t="shared" si="27"/>
        <v>#DIV/0!</v>
      </c>
      <c r="L179" s="2449">
        <f>IF(A179='Data Entry - SOF'!B$2,'Data Entry - SOF'!G$64,0)</f>
        <v>0</v>
      </c>
      <c r="M179" s="1371">
        <f t="shared" si="28"/>
        <v>9931821</v>
      </c>
      <c r="N179" s="2212" t="e">
        <f>IF('Report-M&amp;O1920'!C$18-'Report-SOF1920'!D$55&lt;=0,0,'Report-M&amp;O1920'!C$18-'Report-SOF1920'!D$55)</f>
        <v>#DIV/0!</v>
      </c>
      <c r="O179" s="2452" t="e">
        <f t="shared" si="29"/>
        <v>#DIV/0!</v>
      </c>
      <c r="P179" s="2449">
        <f>IF(A179='Data Entry - SOF'!B$2,'Data Entry - SOF'!I$64,0)</f>
        <v>0</v>
      </c>
      <c r="Q179" s="1687">
        <f t="shared" si="30"/>
        <v>9931821</v>
      </c>
      <c r="R179" s="2212" t="e">
        <f>IF('Report-M&amp;O2021'!C$18-'Report-SOF2021'!D$55&lt;=0,0,'Report-M&amp;O2021'!C$18-'Report-SOF2021'!D$55)</f>
        <v>#DIV/0!</v>
      </c>
      <c r="S179" s="2452" t="e">
        <f t="shared" si="31"/>
        <v>#DIV/0!</v>
      </c>
      <c r="T179" s="1708">
        <f>IF(A179='Data Entry - SOF'!B$2,'Data Entry - SOF'!K$64,0)</f>
        <v>0</v>
      </c>
      <c r="U179" s="1687">
        <f t="shared" si="34"/>
        <v>9931821</v>
      </c>
      <c r="V179" s="2212" t="e">
        <f>IF('Report-M&amp;O2122'!C$18-'Report-SOF2122'!D$55&lt;=0,0,'Report-M&amp;O2122'!C$18-'Report-SOF2122'!D$55)</f>
        <v>#DIV/0!</v>
      </c>
      <c r="W179" s="2452" t="e">
        <f t="shared" si="32"/>
        <v>#DIV/0!</v>
      </c>
      <c r="X179" s="1708">
        <f>IF(A179='Data Entry - SOF'!B$2,'Data Entry - SOF'!M$64,0)</f>
        <v>0</v>
      </c>
      <c r="Y179" s="1371" t="e">
        <f t="shared" si="33"/>
        <v>#DIV/0!</v>
      </c>
      <c r="Z179" s="2212" t="e">
        <f>IF('Report-M&amp;O2223'!C$18-'Report-SOF2223'!D$55&lt;=0,0,'Report-M&amp;O2223'!C$18-'Report-SOF2223'!D$55)</f>
        <v>#DIV/0!</v>
      </c>
      <c r="AA179" s="1708">
        <f>IF(A179='Data Entry - SOF'!B$2,'Data Entry - SOF'!O$64,0)</f>
        <v>0</v>
      </c>
    </row>
    <row r="180" spans="1:27" ht="15.75">
      <c r="A180" s="1076" t="s">
        <v>281</v>
      </c>
      <c r="B180">
        <v>58792257</v>
      </c>
      <c r="C180" s="2452" t="e">
        <f>#REF!+#REF!</f>
        <v>#REF!</v>
      </c>
      <c r="D180" s="2449">
        <f>IF(A180='Data Entry - SOF'!B$2,'Data Entry - SOF'!C$64,0)</f>
        <v>0</v>
      </c>
      <c r="E180" s="2450">
        <f t="shared" si="24"/>
        <v>58792257</v>
      </c>
      <c r="F180" s="2212" t="e">
        <f>IF('Report-M&amp;O1718'!C$18-'Report-SOF1718'!D$55&lt;=0,0,'Report-M&amp;O1718'!C$18-'Report-SOF1718'!D$55)</f>
        <v>#DIV/0!</v>
      </c>
      <c r="G180" s="2452" t="e">
        <f t="shared" si="25"/>
        <v>#DIV/0!</v>
      </c>
      <c r="H180" s="2449">
        <f>IF(A180='Data Entry - SOF'!B$2,'Data Entry - SOF'!E$64,0)</f>
        <v>0</v>
      </c>
      <c r="I180" s="1687">
        <f t="shared" si="26"/>
        <v>58792257</v>
      </c>
      <c r="J180" s="2212" t="e">
        <f>IF('Report-M&amp;O1819'!C$18-'Report-SOF1819'!D$55&lt;=0,0,'Report-M&amp;O1819'!C$18-'Report-SOF1819'!D$55)</f>
        <v>#DIV/0!</v>
      </c>
      <c r="K180" s="2452" t="e">
        <f t="shared" si="27"/>
        <v>#DIV/0!</v>
      </c>
      <c r="L180" s="2449">
        <f>IF(A180='Data Entry - SOF'!B$2,'Data Entry - SOF'!G$64,0)</f>
        <v>0</v>
      </c>
      <c r="M180" s="1371">
        <f t="shared" si="28"/>
        <v>58792257</v>
      </c>
      <c r="N180" s="2212" t="e">
        <f>IF('Report-M&amp;O1920'!C$18-'Report-SOF1920'!D$55&lt;=0,0,'Report-M&amp;O1920'!C$18-'Report-SOF1920'!D$55)</f>
        <v>#DIV/0!</v>
      </c>
      <c r="O180" s="2452" t="e">
        <f t="shared" si="29"/>
        <v>#DIV/0!</v>
      </c>
      <c r="P180" s="2449">
        <f>IF(A180='Data Entry - SOF'!B$2,'Data Entry - SOF'!I$64,0)</f>
        <v>0</v>
      </c>
      <c r="Q180" s="1687">
        <f t="shared" si="30"/>
        <v>58792257</v>
      </c>
      <c r="R180" s="2212" t="e">
        <f>IF('Report-M&amp;O2021'!C$18-'Report-SOF2021'!D$55&lt;=0,0,'Report-M&amp;O2021'!C$18-'Report-SOF2021'!D$55)</f>
        <v>#DIV/0!</v>
      </c>
      <c r="S180" s="2452" t="e">
        <f t="shared" si="31"/>
        <v>#DIV/0!</v>
      </c>
      <c r="T180" s="1708">
        <f>IF(A180='Data Entry - SOF'!B$2,'Data Entry - SOF'!K$64,0)</f>
        <v>0</v>
      </c>
      <c r="U180" s="1687">
        <f t="shared" si="34"/>
        <v>58792257</v>
      </c>
      <c r="V180" s="2212" t="e">
        <f>IF('Report-M&amp;O2122'!C$18-'Report-SOF2122'!D$55&lt;=0,0,'Report-M&amp;O2122'!C$18-'Report-SOF2122'!D$55)</f>
        <v>#DIV/0!</v>
      </c>
      <c r="W180" s="2452" t="e">
        <f t="shared" si="32"/>
        <v>#DIV/0!</v>
      </c>
      <c r="X180" s="1708">
        <f>IF(A180='Data Entry - SOF'!B$2,'Data Entry - SOF'!M$64,0)</f>
        <v>0</v>
      </c>
      <c r="Y180" s="1371" t="e">
        <f t="shared" si="33"/>
        <v>#DIV/0!</v>
      </c>
      <c r="Z180" s="2212" t="e">
        <f>IF('Report-M&amp;O2223'!C$18-'Report-SOF2223'!D$55&lt;=0,0,'Report-M&amp;O2223'!C$18-'Report-SOF2223'!D$55)</f>
        <v>#DIV/0!</v>
      </c>
      <c r="AA180" s="1708">
        <f>IF(A180='Data Entry - SOF'!B$2,'Data Entry - SOF'!O$64,0)</f>
        <v>0</v>
      </c>
    </row>
    <row r="181" spans="1:27" ht="15.75">
      <c r="A181" s="1076" t="s">
        <v>282</v>
      </c>
      <c r="B181">
        <v>807094</v>
      </c>
      <c r="C181" s="2452" t="e">
        <f>#REF!+#REF!</f>
        <v>#REF!</v>
      </c>
      <c r="D181" s="2449">
        <f>IF(A181='Data Entry - SOF'!B$2,'Data Entry - SOF'!C$64,0)</f>
        <v>0</v>
      </c>
      <c r="E181" s="2450">
        <f t="shared" si="24"/>
        <v>807094</v>
      </c>
      <c r="F181" s="2212" t="e">
        <f>IF('Report-M&amp;O1718'!C$18-'Report-SOF1718'!D$55&lt;=0,0,'Report-M&amp;O1718'!C$18-'Report-SOF1718'!D$55)</f>
        <v>#DIV/0!</v>
      </c>
      <c r="G181" s="2452" t="e">
        <f t="shared" si="25"/>
        <v>#DIV/0!</v>
      </c>
      <c r="H181" s="2449">
        <f>IF(A181='Data Entry - SOF'!B$2,'Data Entry - SOF'!E$64,0)</f>
        <v>0</v>
      </c>
      <c r="I181" s="1687">
        <f t="shared" si="26"/>
        <v>807094</v>
      </c>
      <c r="J181" s="2212" t="e">
        <f>IF('Report-M&amp;O1819'!C$18-'Report-SOF1819'!D$55&lt;=0,0,'Report-M&amp;O1819'!C$18-'Report-SOF1819'!D$55)</f>
        <v>#DIV/0!</v>
      </c>
      <c r="K181" s="2452" t="e">
        <f t="shared" si="27"/>
        <v>#DIV/0!</v>
      </c>
      <c r="L181" s="2449">
        <f>IF(A181='Data Entry - SOF'!B$2,'Data Entry - SOF'!G$64,0)</f>
        <v>0</v>
      </c>
      <c r="M181" s="1371">
        <f t="shared" si="28"/>
        <v>807094</v>
      </c>
      <c r="N181" s="2212" t="e">
        <f>IF('Report-M&amp;O1920'!C$18-'Report-SOF1920'!D$55&lt;=0,0,'Report-M&amp;O1920'!C$18-'Report-SOF1920'!D$55)</f>
        <v>#DIV/0!</v>
      </c>
      <c r="O181" s="2452" t="e">
        <f t="shared" si="29"/>
        <v>#DIV/0!</v>
      </c>
      <c r="P181" s="2449">
        <f>IF(A181='Data Entry - SOF'!B$2,'Data Entry - SOF'!I$64,0)</f>
        <v>0</v>
      </c>
      <c r="Q181" s="1687">
        <f t="shared" si="30"/>
        <v>807094</v>
      </c>
      <c r="R181" s="2212" t="e">
        <f>IF('Report-M&amp;O2021'!C$18-'Report-SOF2021'!D$55&lt;=0,0,'Report-M&amp;O2021'!C$18-'Report-SOF2021'!D$55)</f>
        <v>#DIV/0!</v>
      </c>
      <c r="S181" s="2452" t="e">
        <f t="shared" si="31"/>
        <v>#DIV/0!</v>
      </c>
      <c r="T181" s="1708">
        <f>IF(A181='Data Entry - SOF'!B$2,'Data Entry - SOF'!K$64,0)</f>
        <v>0</v>
      </c>
      <c r="U181" s="1687">
        <f t="shared" si="34"/>
        <v>807094</v>
      </c>
      <c r="V181" s="2212" t="e">
        <f>IF('Report-M&amp;O2122'!C$18-'Report-SOF2122'!D$55&lt;=0,0,'Report-M&amp;O2122'!C$18-'Report-SOF2122'!D$55)</f>
        <v>#DIV/0!</v>
      </c>
      <c r="W181" s="2452" t="e">
        <f t="shared" si="32"/>
        <v>#DIV/0!</v>
      </c>
      <c r="X181" s="1708">
        <f>IF(A181='Data Entry - SOF'!B$2,'Data Entry - SOF'!M$64,0)</f>
        <v>0</v>
      </c>
      <c r="Y181" s="1371" t="e">
        <f t="shared" si="33"/>
        <v>#DIV/0!</v>
      </c>
      <c r="Z181" s="2212" t="e">
        <f>IF('Report-M&amp;O2223'!C$18-'Report-SOF2223'!D$55&lt;=0,0,'Report-M&amp;O2223'!C$18-'Report-SOF2223'!D$55)</f>
        <v>#DIV/0!</v>
      </c>
      <c r="AA181" s="1708">
        <f>IF(A181='Data Entry - SOF'!B$2,'Data Entry - SOF'!O$64,0)</f>
        <v>0</v>
      </c>
    </row>
    <row r="182" spans="1:27" ht="15.75">
      <c r="A182" s="1076" t="s">
        <v>1617</v>
      </c>
      <c r="B182">
        <v>5010873</v>
      </c>
      <c r="C182" s="2452" t="e">
        <f>#REF!+#REF!</f>
        <v>#REF!</v>
      </c>
      <c r="D182" s="2449">
        <f>IF(A182='Data Entry - SOF'!B$2,'Data Entry - SOF'!C$64,0)</f>
        <v>0</v>
      </c>
      <c r="E182" s="2450">
        <f t="shared" si="24"/>
        <v>5010873</v>
      </c>
      <c r="F182" s="2212" t="e">
        <f>IF('Report-M&amp;O1718'!C$18-'Report-SOF1718'!D$55&lt;=0,0,'Report-M&amp;O1718'!C$18-'Report-SOF1718'!D$55)</f>
        <v>#DIV/0!</v>
      </c>
      <c r="G182" s="2452" t="e">
        <f t="shared" si="25"/>
        <v>#DIV/0!</v>
      </c>
      <c r="H182" s="2449">
        <f>IF(A182='Data Entry - SOF'!B$2,'Data Entry - SOF'!E$64,0)</f>
        <v>0</v>
      </c>
      <c r="I182" s="1687">
        <f t="shared" si="26"/>
        <v>5010873</v>
      </c>
      <c r="J182" s="2212" t="e">
        <f>IF('Report-M&amp;O1819'!C$18-'Report-SOF1819'!D$55&lt;=0,0,'Report-M&amp;O1819'!C$18-'Report-SOF1819'!D$55)</f>
        <v>#DIV/0!</v>
      </c>
      <c r="K182" s="2452" t="e">
        <f t="shared" si="27"/>
        <v>#DIV/0!</v>
      </c>
      <c r="L182" s="2449">
        <f>IF(A182='Data Entry - SOF'!B$2,'Data Entry - SOF'!G$64,0)</f>
        <v>0</v>
      </c>
      <c r="M182" s="1371">
        <f t="shared" si="28"/>
        <v>5010873</v>
      </c>
      <c r="N182" s="2212" t="e">
        <f>IF('Report-M&amp;O1920'!C$18-'Report-SOF1920'!D$55&lt;=0,0,'Report-M&amp;O1920'!C$18-'Report-SOF1920'!D$55)</f>
        <v>#DIV/0!</v>
      </c>
      <c r="O182" s="2452" t="e">
        <f t="shared" si="29"/>
        <v>#DIV/0!</v>
      </c>
      <c r="P182" s="2449">
        <f>IF(A182='Data Entry - SOF'!B$2,'Data Entry - SOF'!I$64,0)</f>
        <v>0</v>
      </c>
      <c r="Q182" s="1687">
        <f t="shared" si="30"/>
        <v>5010873</v>
      </c>
      <c r="R182" s="2212" t="e">
        <f>IF('Report-M&amp;O2021'!C$18-'Report-SOF2021'!D$55&lt;=0,0,'Report-M&amp;O2021'!C$18-'Report-SOF2021'!D$55)</f>
        <v>#DIV/0!</v>
      </c>
      <c r="S182" s="2452" t="e">
        <f t="shared" si="31"/>
        <v>#DIV/0!</v>
      </c>
      <c r="T182" s="1708">
        <f>IF(A182='Data Entry - SOF'!B$2,'Data Entry - SOF'!K$64,0)</f>
        <v>0</v>
      </c>
      <c r="U182" s="1687">
        <f t="shared" si="34"/>
        <v>5010873</v>
      </c>
      <c r="V182" s="2212" t="e">
        <f>IF('Report-M&amp;O2122'!C$18-'Report-SOF2122'!D$55&lt;=0,0,'Report-M&amp;O2122'!C$18-'Report-SOF2122'!D$55)</f>
        <v>#DIV/0!</v>
      </c>
      <c r="W182" s="2452" t="e">
        <f t="shared" si="32"/>
        <v>#DIV/0!</v>
      </c>
      <c r="X182" s="1708">
        <f>IF(A182='Data Entry - SOF'!B$2,'Data Entry - SOF'!M$64,0)</f>
        <v>0</v>
      </c>
      <c r="Y182" s="1371" t="e">
        <f t="shared" si="33"/>
        <v>#DIV/0!</v>
      </c>
      <c r="Z182" s="2212" t="e">
        <f>IF('Report-M&amp;O2223'!C$18-'Report-SOF2223'!D$55&lt;=0,0,'Report-M&amp;O2223'!C$18-'Report-SOF2223'!D$55)</f>
        <v>#DIV/0!</v>
      </c>
      <c r="AA182" s="1708">
        <f>IF(A182='Data Entry - SOF'!B$2,'Data Entry - SOF'!O$64,0)</f>
        <v>0</v>
      </c>
    </row>
    <row r="183" spans="1:27" ht="15.75">
      <c r="A183" s="1076" t="s">
        <v>643</v>
      </c>
      <c r="B183">
        <v>10095874</v>
      </c>
      <c r="C183" s="2452" t="e">
        <f>#REF!+#REF!</f>
        <v>#REF!</v>
      </c>
      <c r="D183" s="2449">
        <f>IF(A183='Data Entry - SOF'!B$2,'Data Entry - SOF'!C$64,0)</f>
        <v>0</v>
      </c>
      <c r="E183" s="2450">
        <f t="shared" si="24"/>
        <v>10095874</v>
      </c>
      <c r="F183" s="2212" t="e">
        <f>IF('Report-M&amp;O1718'!C$18-'Report-SOF1718'!D$55&lt;=0,0,'Report-M&amp;O1718'!C$18-'Report-SOF1718'!D$55)</f>
        <v>#DIV/0!</v>
      </c>
      <c r="G183" s="2452" t="e">
        <f t="shared" si="25"/>
        <v>#DIV/0!</v>
      </c>
      <c r="H183" s="2449">
        <f>IF(A183='Data Entry - SOF'!B$2,'Data Entry - SOF'!E$64,0)</f>
        <v>0</v>
      </c>
      <c r="I183" s="1687">
        <f t="shared" si="26"/>
        <v>10095874</v>
      </c>
      <c r="J183" s="2212" t="e">
        <f>IF('Report-M&amp;O1819'!C$18-'Report-SOF1819'!D$55&lt;=0,0,'Report-M&amp;O1819'!C$18-'Report-SOF1819'!D$55)</f>
        <v>#DIV/0!</v>
      </c>
      <c r="K183" s="2452" t="e">
        <f t="shared" si="27"/>
        <v>#DIV/0!</v>
      </c>
      <c r="L183" s="2449">
        <f>IF(A183='Data Entry - SOF'!B$2,'Data Entry - SOF'!G$64,0)</f>
        <v>0</v>
      </c>
      <c r="M183" s="1371">
        <f t="shared" si="28"/>
        <v>10095874</v>
      </c>
      <c r="N183" s="2212" t="e">
        <f>IF('Report-M&amp;O1920'!C$18-'Report-SOF1920'!D$55&lt;=0,0,'Report-M&amp;O1920'!C$18-'Report-SOF1920'!D$55)</f>
        <v>#DIV/0!</v>
      </c>
      <c r="O183" s="2452" t="e">
        <f t="shared" si="29"/>
        <v>#DIV/0!</v>
      </c>
      <c r="P183" s="2449">
        <f>IF(A183='Data Entry - SOF'!B$2,'Data Entry - SOF'!I$64,0)</f>
        <v>0</v>
      </c>
      <c r="Q183" s="1687">
        <f t="shared" si="30"/>
        <v>10095874</v>
      </c>
      <c r="R183" s="2212" t="e">
        <f>IF('Report-M&amp;O2021'!C$18-'Report-SOF2021'!D$55&lt;=0,0,'Report-M&amp;O2021'!C$18-'Report-SOF2021'!D$55)</f>
        <v>#DIV/0!</v>
      </c>
      <c r="S183" s="2452" t="e">
        <f t="shared" si="31"/>
        <v>#DIV/0!</v>
      </c>
      <c r="T183" s="1708">
        <f>IF(A183='Data Entry - SOF'!B$2,'Data Entry - SOF'!K$64,0)</f>
        <v>0</v>
      </c>
      <c r="U183" s="1687">
        <f t="shared" si="34"/>
        <v>10095874</v>
      </c>
      <c r="V183" s="2212" t="e">
        <f>IF('Report-M&amp;O2122'!C$18-'Report-SOF2122'!D$55&lt;=0,0,'Report-M&amp;O2122'!C$18-'Report-SOF2122'!D$55)</f>
        <v>#DIV/0!</v>
      </c>
      <c r="W183" s="2452" t="e">
        <f t="shared" si="32"/>
        <v>#DIV/0!</v>
      </c>
      <c r="X183" s="1708">
        <f>IF(A183='Data Entry - SOF'!B$2,'Data Entry - SOF'!M$64,0)</f>
        <v>0</v>
      </c>
      <c r="Y183" s="1371" t="e">
        <f t="shared" si="33"/>
        <v>#DIV/0!</v>
      </c>
      <c r="Z183" s="2212" t="e">
        <f>IF('Report-M&amp;O2223'!C$18-'Report-SOF2223'!D$55&lt;=0,0,'Report-M&amp;O2223'!C$18-'Report-SOF2223'!D$55)</f>
        <v>#DIV/0!</v>
      </c>
      <c r="AA183" s="1708">
        <f>IF(A183='Data Entry - SOF'!B$2,'Data Entry - SOF'!O$64,0)</f>
        <v>0</v>
      </c>
    </row>
    <row r="184" spans="1:27" ht="15.75">
      <c r="A184" s="1076" t="s">
        <v>34</v>
      </c>
      <c r="B184">
        <v>4337477</v>
      </c>
      <c r="C184" s="2452" t="e">
        <f>#REF!+#REF!</f>
        <v>#REF!</v>
      </c>
      <c r="D184" s="2449">
        <f>IF(A184='Data Entry - SOF'!B$2,'Data Entry - SOF'!C$64,0)</f>
        <v>0</v>
      </c>
      <c r="E184" s="2450">
        <f t="shared" si="24"/>
        <v>4337477</v>
      </c>
      <c r="F184" s="2212" t="e">
        <f>IF('Report-M&amp;O1718'!C$18-'Report-SOF1718'!D$55&lt;=0,0,'Report-M&amp;O1718'!C$18-'Report-SOF1718'!D$55)</f>
        <v>#DIV/0!</v>
      </c>
      <c r="G184" s="2452" t="e">
        <f t="shared" si="25"/>
        <v>#DIV/0!</v>
      </c>
      <c r="H184" s="2449">
        <f>IF(A184='Data Entry - SOF'!B$2,'Data Entry - SOF'!E$64,0)</f>
        <v>0</v>
      </c>
      <c r="I184" s="1687">
        <f t="shared" si="26"/>
        <v>4337477</v>
      </c>
      <c r="J184" s="2212" t="e">
        <f>IF('Report-M&amp;O1819'!C$18-'Report-SOF1819'!D$55&lt;=0,0,'Report-M&amp;O1819'!C$18-'Report-SOF1819'!D$55)</f>
        <v>#DIV/0!</v>
      </c>
      <c r="K184" s="2452" t="e">
        <f t="shared" si="27"/>
        <v>#DIV/0!</v>
      </c>
      <c r="L184" s="2449">
        <f>IF(A184='Data Entry - SOF'!B$2,'Data Entry - SOF'!G$64,0)</f>
        <v>0</v>
      </c>
      <c r="M184" s="1371">
        <f t="shared" si="28"/>
        <v>4337477</v>
      </c>
      <c r="N184" s="2212" t="e">
        <f>IF('Report-M&amp;O1920'!C$18-'Report-SOF1920'!D$55&lt;=0,0,'Report-M&amp;O1920'!C$18-'Report-SOF1920'!D$55)</f>
        <v>#DIV/0!</v>
      </c>
      <c r="O184" s="2452" t="e">
        <f t="shared" si="29"/>
        <v>#DIV/0!</v>
      </c>
      <c r="P184" s="2449">
        <f>IF(A184='Data Entry - SOF'!B$2,'Data Entry - SOF'!I$64,0)</f>
        <v>0</v>
      </c>
      <c r="Q184" s="1687">
        <f t="shared" si="30"/>
        <v>4337477</v>
      </c>
      <c r="R184" s="2212" t="e">
        <f>IF('Report-M&amp;O2021'!C$18-'Report-SOF2021'!D$55&lt;=0,0,'Report-M&amp;O2021'!C$18-'Report-SOF2021'!D$55)</f>
        <v>#DIV/0!</v>
      </c>
      <c r="S184" s="2452" t="e">
        <f t="shared" si="31"/>
        <v>#DIV/0!</v>
      </c>
      <c r="T184" s="1708">
        <f>IF(A184='Data Entry - SOF'!B$2,'Data Entry - SOF'!K$64,0)</f>
        <v>0</v>
      </c>
      <c r="U184" s="1687">
        <f t="shared" si="34"/>
        <v>4337477</v>
      </c>
      <c r="V184" s="2212" t="e">
        <f>IF('Report-M&amp;O2122'!C$18-'Report-SOF2122'!D$55&lt;=0,0,'Report-M&amp;O2122'!C$18-'Report-SOF2122'!D$55)</f>
        <v>#DIV/0!</v>
      </c>
      <c r="W184" s="2452" t="e">
        <f t="shared" si="32"/>
        <v>#DIV/0!</v>
      </c>
      <c r="X184" s="1708">
        <f>IF(A184='Data Entry - SOF'!B$2,'Data Entry - SOF'!M$64,0)</f>
        <v>0</v>
      </c>
      <c r="Y184" s="1371" t="e">
        <f t="shared" si="33"/>
        <v>#DIV/0!</v>
      </c>
      <c r="Z184" s="2212" t="e">
        <f>IF('Report-M&amp;O2223'!C$18-'Report-SOF2223'!D$55&lt;=0,0,'Report-M&amp;O2223'!C$18-'Report-SOF2223'!D$55)</f>
        <v>#DIV/0!</v>
      </c>
      <c r="AA184" s="1708">
        <f>IF(A184='Data Entry - SOF'!B$2,'Data Entry - SOF'!O$64,0)</f>
        <v>0</v>
      </c>
    </row>
    <row r="185" spans="1:27" ht="15.75">
      <c r="A185" s="1076" t="s">
        <v>35</v>
      </c>
      <c r="B185">
        <v>60479107</v>
      </c>
      <c r="C185" s="2452" t="e">
        <f>#REF!+#REF!</f>
        <v>#REF!</v>
      </c>
      <c r="D185" s="2449">
        <f>IF(A185='Data Entry - SOF'!B$2,'Data Entry - SOF'!C$64,0)</f>
        <v>0</v>
      </c>
      <c r="E185" s="2450">
        <f t="shared" si="24"/>
        <v>60479107</v>
      </c>
      <c r="F185" s="2212" t="e">
        <f>IF('Report-M&amp;O1718'!C$18-'Report-SOF1718'!D$55&lt;=0,0,'Report-M&amp;O1718'!C$18-'Report-SOF1718'!D$55)</f>
        <v>#DIV/0!</v>
      </c>
      <c r="G185" s="2452" t="e">
        <f t="shared" si="25"/>
        <v>#DIV/0!</v>
      </c>
      <c r="H185" s="2449">
        <f>IF(A185='Data Entry - SOF'!B$2,'Data Entry - SOF'!E$64,0)</f>
        <v>0</v>
      </c>
      <c r="I185" s="1687">
        <f t="shared" si="26"/>
        <v>60479107</v>
      </c>
      <c r="J185" s="2212" t="e">
        <f>IF('Report-M&amp;O1819'!C$18-'Report-SOF1819'!D$55&lt;=0,0,'Report-M&amp;O1819'!C$18-'Report-SOF1819'!D$55)</f>
        <v>#DIV/0!</v>
      </c>
      <c r="K185" s="2452" t="e">
        <f t="shared" si="27"/>
        <v>#DIV/0!</v>
      </c>
      <c r="L185" s="2449">
        <f>IF(A185='Data Entry - SOF'!B$2,'Data Entry - SOF'!G$64,0)</f>
        <v>0</v>
      </c>
      <c r="M185" s="1371">
        <f t="shared" si="28"/>
        <v>60479107</v>
      </c>
      <c r="N185" s="2212" t="e">
        <f>IF('Report-M&amp;O1920'!C$18-'Report-SOF1920'!D$55&lt;=0,0,'Report-M&amp;O1920'!C$18-'Report-SOF1920'!D$55)</f>
        <v>#DIV/0!</v>
      </c>
      <c r="O185" s="2452" t="e">
        <f t="shared" si="29"/>
        <v>#DIV/0!</v>
      </c>
      <c r="P185" s="2449">
        <f>IF(A185='Data Entry - SOF'!B$2,'Data Entry - SOF'!I$64,0)</f>
        <v>0</v>
      </c>
      <c r="Q185" s="1687">
        <f t="shared" si="30"/>
        <v>60479107</v>
      </c>
      <c r="R185" s="2212" t="e">
        <f>IF('Report-M&amp;O2021'!C$18-'Report-SOF2021'!D$55&lt;=0,0,'Report-M&amp;O2021'!C$18-'Report-SOF2021'!D$55)</f>
        <v>#DIV/0!</v>
      </c>
      <c r="S185" s="2452" t="e">
        <f t="shared" si="31"/>
        <v>#DIV/0!</v>
      </c>
      <c r="T185" s="1708">
        <f>IF(A185='Data Entry - SOF'!B$2,'Data Entry - SOF'!K$64,0)</f>
        <v>0</v>
      </c>
      <c r="U185" s="1687">
        <f t="shared" si="34"/>
        <v>60479107</v>
      </c>
      <c r="V185" s="2212" t="e">
        <f>IF('Report-M&amp;O2122'!C$18-'Report-SOF2122'!D$55&lt;=0,0,'Report-M&amp;O2122'!C$18-'Report-SOF2122'!D$55)</f>
        <v>#DIV/0!</v>
      </c>
      <c r="W185" s="2452" t="e">
        <f t="shared" si="32"/>
        <v>#DIV/0!</v>
      </c>
      <c r="X185" s="1708">
        <f>IF(A185='Data Entry - SOF'!B$2,'Data Entry - SOF'!M$64,0)</f>
        <v>0</v>
      </c>
      <c r="Y185" s="1371" t="e">
        <f t="shared" si="33"/>
        <v>#DIV/0!</v>
      </c>
      <c r="Z185" s="2212" t="e">
        <f>IF('Report-M&amp;O2223'!C$18-'Report-SOF2223'!D$55&lt;=0,0,'Report-M&amp;O2223'!C$18-'Report-SOF2223'!D$55)</f>
        <v>#DIV/0!</v>
      </c>
      <c r="AA185" s="1708">
        <f>IF(A185='Data Entry - SOF'!B$2,'Data Entry - SOF'!O$64,0)</f>
        <v>0</v>
      </c>
    </row>
    <row r="186" spans="1:27" ht="15.75">
      <c r="A186" s="1076" t="s">
        <v>1437</v>
      </c>
      <c r="B186">
        <v>181488720</v>
      </c>
      <c r="C186" s="2452" t="e">
        <f>#REF!+#REF!</f>
        <v>#REF!</v>
      </c>
      <c r="D186" s="2449">
        <f>IF(A186='Data Entry - SOF'!B$2,'Data Entry - SOF'!C$64,0)</f>
        <v>0</v>
      </c>
      <c r="E186" s="2450">
        <f t="shared" si="24"/>
        <v>181488720</v>
      </c>
      <c r="F186" s="2212" t="e">
        <f>IF('Report-M&amp;O1718'!C$18-'Report-SOF1718'!D$55&lt;=0,0,'Report-M&amp;O1718'!C$18-'Report-SOF1718'!D$55)</f>
        <v>#DIV/0!</v>
      </c>
      <c r="G186" s="2452" t="e">
        <f t="shared" si="25"/>
        <v>#DIV/0!</v>
      </c>
      <c r="H186" s="2449">
        <f>IF(A186='Data Entry - SOF'!B$2,'Data Entry - SOF'!E$64,0)</f>
        <v>0</v>
      </c>
      <c r="I186" s="1687">
        <f t="shared" si="26"/>
        <v>181488720</v>
      </c>
      <c r="J186" s="2212" t="e">
        <f>IF('Report-M&amp;O1819'!C$18-'Report-SOF1819'!D$55&lt;=0,0,'Report-M&amp;O1819'!C$18-'Report-SOF1819'!D$55)</f>
        <v>#DIV/0!</v>
      </c>
      <c r="K186" s="2452" t="e">
        <f t="shared" si="27"/>
        <v>#DIV/0!</v>
      </c>
      <c r="L186" s="2449">
        <f>IF(A186='Data Entry - SOF'!B$2,'Data Entry - SOF'!G$64,0)</f>
        <v>0</v>
      </c>
      <c r="M186" s="1371">
        <f t="shared" si="28"/>
        <v>181488720</v>
      </c>
      <c r="N186" s="2212" t="e">
        <f>IF('Report-M&amp;O1920'!C$18-'Report-SOF1920'!D$55&lt;=0,0,'Report-M&amp;O1920'!C$18-'Report-SOF1920'!D$55)</f>
        <v>#DIV/0!</v>
      </c>
      <c r="O186" s="2452" t="e">
        <f t="shared" si="29"/>
        <v>#DIV/0!</v>
      </c>
      <c r="P186" s="2449">
        <f>IF(A186='Data Entry - SOF'!B$2,'Data Entry - SOF'!I$64,0)</f>
        <v>0</v>
      </c>
      <c r="Q186" s="1687">
        <f t="shared" si="30"/>
        <v>181488720</v>
      </c>
      <c r="R186" s="2212" t="e">
        <f>IF('Report-M&amp;O2021'!C$18-'Report-SOF2021'!D$55&lt;=0,0,'Report-M&amp;O2021'!C$18-'Report-SOF2021'!D$55)</f>
        <v>#DIV/0!</v>
      </c>
      <c r="S186" s="2452" t="e">
        <f t="shared" si="31"/>
        <v>#DIV/0!</v>
      </c>
      <c r="T186" s="1708">
        <f>IF(A186='Data Entry - SOF'!B$2,'Data Entry - SOF'!K$64,0)</f>
        <v>0</v>
      </c>
      <c r="U186" s="1687">
        <f t="shared" si="34"/>
        <v>181488720</v>
      </c>
      <c r="V186" s="2212" t="e">
        <f>IF('Report-M&amp;O2122'!C$18-'Report-SOF2122'!D$55&lt;=0,0,'Report-M&amp;O2122'!C$18-'Report-SOF2122'!D$55)</f>
        <v>#DIV/0!</v>
      </c>
      <c r="W186" s="2452" t="e">
        <f t="shared" si="32"/>
        <v>#DIV/0!</v>
      </c>
      <c r="X186" s="1708">
        <f>IF(A186='Data Entry - SOF'!B$2,'Data Entry - SOF'!M$64,0)</f>
        <v>0</v>
      </c>
      <c r="Y186" s="1371" t="e">
        <f t="shared" si="33"/>
        <v>#DIV/0!</v>
      </c>
      <c r="Z186" s="2212" t="e">
        <f>IF('Report-M&amp;O2223'!C$18-'Report-SOF2223'!D$55&lt;=0,0,'Report-M&amp;O2223'!C$18-'Report-SOF2223'!D$55)</f>
        <v>#DIV/0!</v>
      </c>
      <c r="AA186" s="1708">
        <f>IF(A186='Data Entry - SOF'!B$2,'Data Entry - SOF'!O$64,0)</f>
        <v>0</v>
      </c>
    </row>
    <row r="187" spans="1:27" ht="15.75">
      <c r="A187" s="1076" t="s">
        <v>2644</v>
      </c>
      <c r="B187">
        <v>1946264</v>
      </c>
      <c r="C187" s="2452" t="e">
        <f>#REF!+#REF!</f>
        <v>#REF!</v>
      </c>
      <c r="D187" s="2449">
        <f>IF(A187='Data Entry - SOF'!B$2,'Data Entry - SOF'!C$64,0)</f>
        <v>0</v>
      </c>
      <c r="E187" s="2450">
        <f t="shared" si="24"/>
        <v>1946264</v>
      </c>
      <c r="F187" s="2212" t="e">
        <f>IF('Report-M&amp;O1718'!C$18-'Report-SOF1718'!D$55&lt;=0,0,'Report-M&amp;O1718'!C$18-'Report-SOF1718'!D$55)</f>
        <v>#DIV/0!</v>
      </c>
      <c r="G187" s="2452" t="e">
        <f t="shared" si="25"/>
        <v>#DIV/0!</v>
      </c>
      <c r="H187" s="2449">
        <f>IF(A187='Data Entry - SOF'!B$2,'Data Entry - SOF'!E$64,0)</f>
        <v>0</v>
      </c>
      <c r="I187" s="1687">
        <f t="shared" si="26"/>
        <v>1946264</v>
      </c>
      <c r="J187" s="2212" t="e">
        <f>IF('Report-M&amp;O1819'!C$18-'Report-SOF1819'!D$55&lt;=0,0,'Report-M&amp;O1819'!C$18-'Report-SOF1819'!D$55)</f>
        <v>#DIV/0!</v>
      </c>
      <c r="K187" s="2452" t="e">
        <f t="shared" si="27"/>
        <v>#DIV/0!</v>
      </c>
      <c r="L187" s="2449">
        <f>IF(A187='Data Entry - SOF'!B$2,'Data Entry - SOF'!G$64,0)</f>
        <v>0</v>
      </c>
      <c r="M187" s="1371">
        <f t="shared" si="28"/>
        <v>1946264</v>
      </c>
      <c r="N187" s="2212" t="e">
        <f>IF('Report-M&amp;O1920'!C$18-'Report-SOF1920'!D$55&lt;=0,0,'Report-M&amp;O1920'!C$18-'Report-SOF1920'!D$55)</f>
        <v>#DIV/0!</v>
      </c>
      <c r="O187" s="2452" t="e">
        <f t="shared" si="29"/>
        <v>#DIV/0!</v>
      </c>
      <c r="P187" s="2449">
        <f>IF(A187='Data Entry - SOF'!B$2,'Data Entry - SOF'!I$64,0)</f>
        <v>0</v>
      </c>
      <c r="Q187" s="1687">
        <f t="shared" si="30"/>
        <v>1946264</v>
      </c>
      <c r="R187" s="2212" t="e">
        <f>IF('Report-M&amp;O2021'!C$18-'Report-SOF2021'!D$55&lt;=0,0,'Report-M&amp;O2021'!C$18-'Report-SOF2021'!D$55)</f>
        <v>#DIV/0!</v>
      </c>
      <c r="S187" s="2452" t="e">
        <f t="shared" si="31"/>
        <v>#DIV/0!</v>
      </c>
      <c r="T187" s="1708">
        <f>IF(A187='Data Entry - SOF'!B$2,'Data Entry - SOF'!K$64,0)</f>
        <v>0</v>
      </c>
      <c r="U187" s="1687">
        <f t="shared" si="34"/>
        <v>1946264</v>
      </c>
      <c r="V187" s="2212" t="e">
        <f>IF('Report-M&amp;O2122'!C$18-'Report-SOF2122'!D$55&lt;=0,0,'Report-M&amp;O2122'!C$18-'Report-SOF2122'!D$55)</f>
        <v>#DIV/0!</v>
      </c>
      <c r="W187" s="2452" t="e">
        <f t="shared" si="32"/>
        <v>#DIV/0!</v>
      </c>
      <c r="X187" s="1708">
        <f>IF(A187='Data Entry - SOF'!B$2,'Data Entry - SOF'!M$64,0)</f>
        <v>0</v>
      </c>
      <c r="Y187" s="1371" t="e">
        <f t="shared" si="33"/>
        <v>#DIV/0!</v>
      </c>
      <c r="Z187" s="2212" t="e">
        <f>IF('Report-M&amp;O2223'!C$18-'Report-SOF2223'!D$55&lt;=0,0,'Report-M&amp;O2223'!C$18-'Report-SOF2223'!D$55)</f>
        <v>#DIV/0!</v>
      </c>
      <c r="AA187" s="1708">
        <f>IF(A187='Data Entry - SOF'!B$2,'Data Entry - SOF'!O$64,0)</f>
        <v>0</v>
      </c>
    </row>
    <row r="188" spans="1:27" ht="15.75">
      <c r="A188" s="1076" t="s">
        <v>2763</v>
      </c>
      <c r="B188">
        <v>908437</v>
      </c>
      <c r="C188" s="2452" t="e">
        <f>#REF!+#REF!</f>
        <v>#REF!</v>
      </c>
      <c r="D188" s="2449">
        <f>IF(A188='Data Entry - SOF'!B$2,'Data Entry - SOF'!C$64,0)</f>
        <v>0</v>
      </c>
      <c r="E188" s="2450">
        <f t="shared" si="24"/>
        <v>908437</v>
      </c>
      <c r="F188" s="2212" t="e">
        <f>IF('Report-M&amp;O1718'!C$18-'Report-SOF1718'!D$55&lt;=0,0,'Report-M&amp;O1718'!C$18-'Report-SOF1718'!D$55)</f>
        <v>#DIV/0!</v>
      </c>
      <c r="G188" s="2452" t="e">
        <f t="shared" si="25"/>
        <v>#DIV/0!</v>
      </c>
      <c r="H188" s="2449">
        <f>IF(A188='Data Entry - SOF'!B$2,'Data Entry - SOF'!E$64,0)</f>
        <v>0</v>
      </c>
      <c r="I188" s="1687">
        <f t="shared" si="26"/>
        <v>908437</v>
      </c>
      <c r="J188" s="2212" t="e">
        <f>IF('Report-M&amp;O1819'!C$18-'Report-SOF1819'!D$55&lt;=0,0,'Report-M&amp;O1819'!C$18-'Report-SOF1819'!D$55)</f>
        <v>#DIV/0!</v>
      </c>
      <c r="K188" s="2452" t="e">
        <f t="shared" si="27"/>
        <v>#DIV/0!</v>
      </c>
      <c r="L188" s="2449">
        <f>IF(A188='Data Entry - SOF'!B$2,'Data Entry - SOF'!G$64,0)</f>
        <v>0</v>
      </c>
      <c r="M188" s="1371">
        <f t="shared" si="28"/>
        <v>908437</v>
      </c>
      <c r="N188" s="2212" t="e">
        <f>IF('Report-M&amp;O1920'!C$18-'Report-SOF1920'!D$55&lt;=0,0,'Report-M&amp;O1920'!C$18-'Report-SOF1920'!D$55)</f>
        <v>#DIV/0!</v>
      </c>
      <c r="O188" s="2452" t="e">
        <f t="shared" si="29"/>
        <v>#DIV/0!</v>
      </c>
      <c r="P188" s="2449">
        <f>IF(A188='Data Entry - SOF'!B$2,'Data Entry - SOF'!I$64,0)</f>
        <v>0</v>
      </c>
      <c r="Q188" s="1687">
        <f t="shared" si="30"/>
        <v>908437</v>
      </c>
      <c r="R188" s="2212" t="e">
        <f>IF('Report-M&amp;O2021'!C$18-'Report-SOF2021'!D$55&lt;=0,0,'Report-M&amp;O2021'!C$18-'Report-SOF2021'!D$55)</f>
        <v>#DIV/0!</v>
      </c>
      <c r="S188" s="2452" t="e">
        <f t="shared" si="31"/>
        <v>#DIV/0!</v>
      </c>
      <c r="T188" s="1708">
        <f>IF(A188='Data Entry - SOF'!B$2,'Data Entry - SOF'!K$64,0)</f>
        <v>0</v>
      </c>
      <c r="U188" s="1687">
        <f t="shared" si="34"/>
        <v>908437</v>
      </c>
      <c r="V188" s="2212" t="e">
        <f>IF('Report-M&amp;O2122'!C$18-'Report-SOF2122'!D$55&lt;=0,0,'Report-M&amp;O2122'!C$18-'Report-SOF2122'!D$55)</f>
        <v>#DIV/0!</v>
      </c>
      <c r="W188" s="2452" t="e">
        <f t="shared" si="32"/>
        <v>#DIV/0!</v>
      </c>
      <c r="X188" s="1708">
        <f>IF(A188='Data Entry - SOF'!B$2,'Data Entry - SOF'!M$64,0)</f>
        <v>0</v>
      </c>
      <c r="Y188" s="1371" t="e">
        <f t="shared" si="33"/>
        <v>#DIV/0!</v>
      </c>
      <c r="Z188" s="2212" t="e">
        <f>IF('Report-M&amp;O2223'!C$18-'Report-SOF2223'!D$55&lt;=0,0,'Report-M&amp;O2223'!C$18-'Report-SOF2223'!D$55)</f>
        <v>#DIV/0!</v>
      </c>
      <c r="AA188" s="1708">
        <f>IF(A188='Data Entry - SOF'!B$2,'Data Entry - SOF'!O$64,0)</f>
        <v>0</v>
      </c>
    </row>
    <row r="189" spans="1:27" ht="15.75">
      <c r="A189" s="1076" t="s">
        <v>2672</v>
      </c>
      <c r="B189">
        <v>251693</v>
      </c>
      <c r="C189" s="2452" t="e">
        <f>#REF!+#REF!</f>
        <v>#REF!</v>
      </c>
      <c r="D189" s="2449">
        <f>IF(A189='Data Entry - SOF'!B$2,'Data Entry - SOF'!C$64,0)</f>
        <v>0</v>
      </c>
      <c r="E189" s="2450">
        <f t="shared" si="24"/>
        <v>251693</v>
      </c>
      <c r="F189" s="2212" t="e">
        <f>IF('Report-M&amp;O1718'!C$18-'Report-SOF1718'!D$55&lt;=0,0,'Report-M&amp;O1718'!C$18-'Report-SOF1718'!D$55)</f>
        <v>#DIV/0!</v>
      </c>
      <c r="G189" s="2452" t="e">
        <f t="shared" si="25"/>
        <v>#DIV/0!</v>
      </c>
      <c r="H189" s="2449">
        <f>IF(A189='Data Entry - SOF'!B$2,'Data Entry - SOF'!E$64,0)</f>
        <v>0</v>
      </c>
      <c r="I189" s="1687">
        <f t="shared" si="26"/>
        <v>251693</v>
      </c>
      <c r="J189" s="2212" t="e">
        <f>IF('Report-M&amp;O1819'!C$18-'Report-SOF1819'!D$55&lt;=0,0,'Report-M&amp;O1819'!C$18-'Report-SOF1819'!D$55)</f>
        <v>#DIV/0!</v>
      </c>
      <c r="K189" s="2452" t="e">
        <f t="shared" si="27"/>
        <v>#DIV/0!</v>
      </c>
      <c r="L189" s="2449">
        <f>IF(A189='Data Entry - SOF'!B$2,'Data Entry - SOF'!G$64,0)</f>
        <v>0</v>
      </c>
      <c r="M189" s="1371">
        <f t="shared" si="28"/>
        <v>251693</v>
      </c>
      <c r="N189" s="2212" t="e">
        <f>IF('Report-M&amp;O1920'!C$18-'Report-SOF1920'!D$55&lt;=0,0,'Report-M&amp;O1920'!C$18-'Report-SOF1920'!D$55)</f>
        <v>#DIV/0!</v>
      </c>
      <c r="O189" s="2452" t="e">
        <f t="shared" si="29"/>
        <v>#DIV/0!</v>
      </c>
      <c r="P189" s="2449">
        <f>IF(A189='Data Entry - SOF'!B$2,'Data Entry - SOF'!I$64,0)</f>
        <v>0</v>
      </c>
      <c r="Q189" s="1687">
        <f t="shared" si="30"/>
        <v>251693</v>
      </c>
      <c r="R189" s="2212" t="e">
        <f>IF('Report-M&amp;O2021'!C$18-'Report-SOF2021'!D$55&lt;=0,0,'Report-M&amp;O2021'!C$18-'Report-SOF2021'!D$55)</f>
        <v>#DIV/0!</v>
      </c>
      <c r="S189" s="2452" t="e">
        <f t="shared" si="31"/>
        <v>#DIV/0!</v>
      </c>
      <c r="T189" s="1708">
        <f>IF(A189='Data Entry - SOF'!B$2,'Data Entry - SOF'!K$64,0)</f>
        <v>0</v>
      </c>
      <c r="U189" s="1687">
        <f t="shared" si="34"/>
        <v>251693</v>
      </c>
      <c r="V189" s="2212" t="e">
        <f>IF('Report-M&amp;O2122'!C$18-'Report-SOF2122'!D$55&lt;=0,0,'Report-M&amp;O2122'!C$18-'Report-SOF2122'!D$55)</f>
        <v>#DIV/0!</v>
      </c>
      <c r="W189" s="2452" t="e">
        <f t="shared" si="32"/>
        <v>#DIV/0!</v>
      </c>
      <c r="X189" s="1708">
        <f>IF(A189='Data Entry - SOF'!B$2,'Data Entry - SOF'!M$64,0)</f>
        <v>0</v>
      </c>
      <c r="Y189" s="1371" t="e">
        <f t="shared" si="33"/>
        <v>#DIV/0!</v>
      </c>
      <c r="Z189" s="2212" t="e">
        <f>IF('Report-M&amp;O2223'!C$18-'Report-SOF2223'!D$55&lt;=0,0,'Report-M&amp;O2223'!C$18-'Report-SOF2223'!D$55)</f>
        <v>#DIV/0!</v>
      </c>
      <c r="AA189" s="1708">
        <f>IF(A189='Data Entry - SOF'!B$2,'Data Entry - SOF'!O$64,0)</f>
        <v>0</v>
      </c>
    </row>
    <row r="190" spans="1:27" ht="15.75">
      <c r="A190" s="1076" t="s">
        <v>2645</v>
      </c>
      <c r="B190">
        <v>145653</v>
      </c>
      <c r="C190" s="2452" t="e">
        <f>#REF!+#REF!</f>
        <v>#REF!</v>
      </c>
      <c r="D190" s="2449">
        <f>IF(A190='Data Entry - SOF'!B$2,'Data Entry - SOF'!C$64,0)</f>
        <v>0</v>
      </c>
      <c r="E190" s="2450">
        <f t="shared" si="24"/>
        <v>145653</v>
      </c>
      <c r="F190" s="2212" t="e">
        <f>IF('Report-M&amp;O1718'!C$18-'Report-SOF1718'!D$55&lt;=0,0,'Report-M&amp;O1718'!C$18-'Report-SOF1718'!D$55)</f>
        <v>#DIV/0!</v>
      </c>
      <c r="G190" s="2452" t="e">
        <f t="shared" si="25"/>
        <v>#DIV/0!</v>
      </c>
      <c r="H190" s="2449">
        <f>IF(A190='Data Entry - SOF'!B$2,'Data Entry - SOF'!E$64,0)</f>
        <v>0</v>
      </c>
      <c r="I190" s="1687">
        <f t="shared" si="26"/>
        <v>145653</v>
      </c>
      <c r="J190" s="2212" t="e">
        <f>IF('Report-M&amp;O1819'!C$18-'Report-SOF1819'!D$55&lt;=0,0,'Report-M&amp;O1819'!C$18-'Report-SOF1819'!D$55)</f>
        <v>#DIV/0!</v>
      </c>
      <c r="K190" s="2452" t="e">
        <f t="shared" si="27"/>
        <v>#DIV/0!</v>
      </c>
      <c r="L190" s="2449">
        <f>IF(A190='Data Entry - SOF'!B$2,'Data Entry - SOF'!G$64,0)</f>
        <v>0</v>
      </c>
      <c r="M190" s="1371">
        <f t="shared" si="28"/>
        <v>145653</v>
      </c>
      <c r="N190" s="2212" t="e">
        <f>IF('Report-M&amp;O1920'!C$18-'Report-SOF1920'!D$55&lt;=0,0,'Report-M&amp;O1920'!C$18-'Report-SOF1920'!D$55)</f>
        <v>#DIV/0!</v>
      </c>
      <c r="O190" s="2452" t="e">
        <f t="shared" si="29"/>
        <v>#DIV/0!</v>
      </c>
      <c r="P190" s="2449">
        <f>IF(A190='Data Entry - SOF'!B$2,'Data Entry - SOF'!I$64,0)</f>
        <v>0</v>
      </c>
      <c r="Q190" s="1687">
        <f t="shared" si="30"/>
        <v>145653</v>
      </c>
      <c r="R190" s="2212" t="e">
        <f>IF('Report-M&amp;O2021'!C$18-'Report-SOF2021'!D$55&lt;=0,0,'Report-M&amp;O2021'!C$18-'Report-SOF2021'!D$55)</f>
        <v>#DIV/0!</v>
      </c>
      <c r="S190" s="2452" t="e">
        <f t="shared" si="31"/>
        <v>#DIV/0!</v>
      </c>
      <c r="T190" s="1708">
        <f>IF(A190='Data Entry - SOF'!B$2,'Data Entry - SOF'!K$64,0)</f>
        <v>0</v>
      </c>
      <c r="U190" s="1687">
        <f t="shared" si="34"/>
        <v>145653</v>
      </c>
      <c r="V190" s="2212" t="e">
        <f>IF('Report-M&amp;O2122'!C$18-'Report-SOF2122'!D$55&lt;=0,0,'Report-M&amp;O2122'!C$18-'Report-SOF2122'!D$55)</f>
        <v>#DIV/0!</v>
      </c>
      <c r="W190" s="2452" t="e">
        <f t="shared" si="32"/>
        <v>#DIV/0!</v>
      </c>
      <c r="X190" s="1708">
        <f>IF(A190='Data Entry - SOF'!B$2,'Data Entry - SOF'!M$64,0)</f>
        <v>0</v>
      </c>
      <c r="Y190" s="1371" t="e">
        <f t="shared" si="33"/>
        <v>#DIV/0!</v>
      </c>
      <c r="Z190" s="2212" t="e">
        <f>IF('Report-M&amp;O2223'!C$18-'Report-SOF2223'!D$55&lt;=0,0,'Report-M&amp;O2223'!C$18-'Report-SOF2223'!D$55)</f>
        <v>#DIV/0!</v>
      </c>
      <c r="AA190" s="1708">
        <f>IF(A190='Data Entry - SOF'!B$2,'Data Entry - SOF'!O$64,0)</f>
        <v>0</v>
      </c>
    </row>
    <row r="191" spans="1:27" ht="15.75">
      <c r="A191" s="1076" t="s">
        <v>2646</v>
      </c>
      <c r="B191">
        <v>944226</v>
      </c>
      <c r="C191" s="2452" t="e">
        <f>#REF!+#REF!</f>
        <v>#REF!</v>
      </c>
      <c r="D191" s="2449">
        <f>IF(A191='Data Entry - SOF'!B$2,'Data Entry - SOF'!C$64,0)</f>
        <v>0</v>
      </c>
      <c r="E191" s="2450">
        <f t="shared" si="24"/>
        <v>944226</v>
      </c>
      <c r="F191" s="2212" t="e">
        <f>IF('Report-M&amp;O1718'!C$18-'Report-SOF1718'!D$55&lt;=0,0,'Report-M&amp;O1718'!C$18-'Report-SOF1718'!D$55)</f>
        <v>#DIV/0!</v>
      </c>
      <c r="G191" s="2452" t="e">
        <f t="shared" si="25"/>
        <v>#DIV/0!</v>
      </c>
      <c r="H191" s="2449">
        <f>IF(A191='Data Entry - SOF'!B$2,'Data Entry - SOF'!E$64,0)</f>
        <v>0</v>
      </c>
      <c r="I191" s="1687">
        <f t="shared" si="26"/>
        <v>944226</v>
      </c>
      <c r="J191" s="2212" t="e">
        <f>IF('Report-M&amp;O1819'!C$18-'Report-SOF1819'!D$55&lt;=0,0,'Report-M&amp;O1819'!C$18-'Report-SOF1819'!D$55)</f>
        <v>#DIV/0!</v>
      </c>
      <c r="K191" s="2452" t="e">
        <f t="shared" si="27"/>
        <v>#DIV/0!</v>
      </c>
      <c r="L191" s="2449">
        <f>IF(A191='Data Entry - SOF'!B$2,'Data Entry - SOF'!G$64,0)</f>
        <v>0</v>
      </c>
      <c r="M191" s="1371">
        <f t="shared" si="28"/>
        <v>944226</v>
      </c>
      <c r="N191" s="2212" t="e">
        <f>IF('Report-M&amp;O1920'!C$18-'Report-SOF1920'!D$55&lt;=0,0,'Report-M&amp;O1920'!C$18-'Report-SOF1920'!D$55)</f>
        <v>#DIV/0!</v>
      </c>
      <c r="O191" s="2452" t="e">
        <f t="shared" si="29"/>
        <v>#DIV/0!</v>
      </c>
      <c r="P191" s="2449">
        <f>IF(A191='Data Entry - SOF'!B$2,'Data Entry - SOF'!I$64,0)</f>
        <v>0</v>
      </c>
      <c r="Q191" s="1687">
        <f t="shared" si="30"/>
        <v>944226</v>
      </c>
      <c r="R191" s="2212" t="e">
        <f>IF('Report-M&amp;O2021'!C$18-'Report-SOF2021'!D$55&lt;=0,0,'Report-M&amp;O2021'!C$18-'Report-SOF2021'!D$55)</f>
        <v>#DIV/0!</v>
      </c>
      <c r="S191" s="2452" t="e">
        <f t="shared" si="31"/>
        <v>#DIV/0!</v>
      </c>
      <c r="T191" s="1708">
        <f>IF(A191='Data Entry - SOF'!B$2,'Data Entry - SOF'!K$64,0)</f>
        <v>0</v>
      </c>
      <c r="U191" s="1687">
        <f t="shared" si="34"/>
        <v>944226</v>
      </c>
      <c r="V191" s="2212" t="e">
        <f>IF('Report-M&amp;O2122'!C$18-'Report-SOF2122'!D$55&lt;=0,0,'Report-M&amp;O2122'!C$18-'Report-SOF2122'!D$55)</f>
        <v>#DIV/0!</v>
      </c>
      <c r="W191" s="2452" t="e">
        <f t="shared" si="32"/>
        <v>#DIV/0!</v>
      </c>
      <c r="X191" s="1708">
        <f>IF(A191='Data Entry - SOF'!B$2,'Data Entry - SOF'!M$64,0)</f>
        <v>0</v>
      </c>
      <c r="Y191" s="1371" t="e">
        <f t="shared" si="33"/>
        <v>#DIV/0!</v>
      </c>
      <c r="Z191" s="2212" t="e">
        <f>IF('Report-M&amp;O2223'!C$18-'Report-SOF2223'!D$55&lt;=0,0,'Report-M&amp;O2223'!C$18-'Report-SOF2223'!D$55)</f>
        <v>#DIV/0!</v>
      </c>
      <c r="AA191" s="1708">
        <f>IF(A191='Data Entry - SOF'!B$2,'Data Entry - SOF'!O$64,0)</f>
        <v>0</v>
      </c>
    </row>
    <row r="192" spans="1:27" ht="15.75">
      <c r="A192" s="1076" t="s">
        <v>331</v>
      </c>
      <c r="B192">
        <v>787622</v>
      </c>
      <c r="C192" s="2452" t="e">
        <f>#REF!+#REF!</f>
        <v>#REF!</v>
      </c>
      <c r="D192" s="2449">
        <f>IF(A192='Data Entry - SOF'!B$2,'Data Entry - SOF'!C$64,0)</f>
        <v>0</v>
      </c>
      <c r="E192" s="2450">
        <f t="shared" si="24"/>
        <v>787622</v>
      </c>
      <c r="F192" s="2212" t="e">
        <f>IF('Report-M&amp;O1718'!C$18-'Report-SOF1718'!D$55&lt;=0,0,'Report-M&amp;O1718'!C$18-'Report-SOF1718'!D$55)</f>
        <v>#DIV/0!</v>
      </c>
      <c r="G192" s="2452" t="e">
        <f t="shared" si="25"/>
        <v>#DIV/0!</v>
      </c>
      <c r="H192" s="2449">
        <f>IF(A192='Data Entry - SOF'!B$2,'Data Entry - SOF'!E$64,0)</f>
        <v>0</v>
      </c>
      <c r="I192" s="1687">
        <f t="shared" si="26"/>
        <v>787622</v>
      </c>
      <c r="J192" s="2212" t="e">
        <f>IF('Report-M&amp;O1819'!C$18-'Report-SOF1819'!D$55&lt;=0,0,'Report-M&amp;O1819'!C$18-'Report-SOF1819'!D$55)</f>
        <v>#DIV/0!</v>
      </c>
      <c r="K192" s="2452" t="e">
        <f t="shared" si="27"/>
        <v>#DIV/0!</v>
      </c>
      <c r="L192" s="2449">
        <f>IF(A192='Data Entry - SOF'!B$2,'Data Entry - SOF'!G$64,0)</f>
        <v>0</v>
      </c>
      <c r="M192" s="1371">
        <f t="shared" si="28"/>
        <v>787622</v>
      </c>
      <c r="N192" s="2212" t="e">
        <f>IF('Report-M&amp;O1920'!C$18-'Report-SOF1920'!D$55&lt;=0,0,'Report-M&amp;O1920'!C$18-'Report-SOF1920'!D$55)</f>
        <v>#DIV/0!</v>
      </c>
      <c r="O192" s="2452" t="e">
        <f t="shared" si="29"/>
        <v>#DIV/0!</v>
      </c>
      <c r="P192" s="2449">
        <f>IF(A192='Data Entry - SOF'!B$2,'Data Entry - SOF'!I$64,0)</f>
        <v>0</v>
      </c>
      <c r="Q192" s="1687">
        <f>M192-P192</f>
        <v>787622</v>
      </c>
      <c r="R192" s="2212" t="e">
        <f>IF('Report-M&amp;O2021'!C$18-'Report-SOF2021'!D$55&lt;=0,0,'Report-M&amp;O2021'!C$18-'Report-SOF2021'!D$55)</f>
        <v>#DIV/0!</v>
      </c>
      <c r="S192" s="2452" t="e">
        <f t="shared" si="31"/>
        <v>#DIV/0!</v>
      </c>
      <c r="T192" s="1708">
        <f>IF(A192='Data Entry - SOF'!B$2,'Data Entry - SOF'!K$64,0)</f>
        <v>0</v>
      </c>
      <c r="U192" s="1687">
        <f t="shared" ref="U192:U207" si="35">Q192-T192</f>
        <v>787622</v>
      </c>
      <c r="V192" s="2212" t="e">
        <f>IF('Report-M&amp;O2122'!C$18-'Report-SOF2122'!D$55&lt;=0,0,'Report-M&amp;O2122'!C$18-'Report-SOF2122'!D$55)</f>
        <v>#DIV/0!</v>
      </c>
      <c r="W192" s="2452" t="e">
        <f t="shared" si="32"/>
        <v>#DIV/0!</v>
      </c>
      <c r="X192" s="1708">
        <f>IF(A192='Data Entry - SOF'!B$2,'Data Entry - SOF'!M$64,0)</f>
        <v>0</v>
      </c>
      <c r="Y192" s="1371" t="e">
        <f t="shared" si="33"/>
        <v>#DIV/0!</v>
      </c>
      <c r="Z192" s="2212" t="e">
        <f>IF('Report-M&amp;O2223'!C$18-'Report-SOF2223'!D$55&lt;=0,0,'Report-M&amp;O2223'!C$18-'Report-SOF2223'!D$55)</f>
        <v>#DIV/0!</v>
      </c>
      <c r="AA192" s="1708">
        <f>IF(A192='Data Entry - SOF'!B$2,'Data Entry - SOF'!O$64,0)</f>
        <v>0</v>
      </c>
    </row>
    <row r="193" spans="1:27" ht="15.75">
      <c r="A193" s="1076" t="s">
        <v>1607</v>
      </c>
      <c r="B193">
        <v>6603648</v>
      </c>
      <c r="C193" s="2452" t="e">
        <f>#REF!+#REF!</f>
        <v>#REF!</v>
      </c>
      <c r="D193" s="2449">
        <f>IF(A193='Data Entry - SOF'!B$2,'Data Entry - SOF'!C$64,0)</f>
        <v>0</v>
      </c>
      <c r="E193" s="2450">
        <f t="shared" si="24"/>
        <v>6603648</v>
      </c>
      <c r="F193" s="2212" t="e">
        <f>IF('Report-M&amp;O1718'!C$18-'Report-SOF1718'!D$55&lt;=0,0,'Report-M&amp;O1718'!C$18-'Report-SOF1718'!D$55)</f>
        <v>#DIV/0!</v>
      </c>
      <c r="G193" s="2452" t="e">
        <f t="shared" si="25"/>
        <v>#DIV/0!</v>
      </c>
      <c r="H193" s="2449">
        <f>IF(A193='Data Entry - SOF'!B$2,'Data Entry - SOF'!E$64,0)</f>
        <v>0</v>
      </c>
      <c r="I193" s="1687">
        <f t="shared" si="26"/>
        <v>6603648</v>
      </c>
      <c r="J193" s="2212" t="e">
        <f>IF('Report-M&amp;O1819'!C$18-'Report-SOF1819'!D$55&lt;=0,0,'Report-M&amp;O1819'!C$18-'Report-SOF1819'!D$55)</f>
        <v>#DIV/0!</v>
      </c>
      <c r="K193" s="2452" t="e">
        <f t="shared" si="27"/>
        <v>#DIV/0!</v>
      </c>
      <c r="L193" s="2449">
        <f>IF(A193='Data Entry - SOF'!B$2,'Data Entry - SOF'!G$64,0)</f>
        <v>0</v>
      </c>
      <c r="M193" s="1371">
        <f t="shared" si="28"/>
        <v>6603648</v>
      </c>
      <c r="N193" s="2212" t="e">
        <f>IF('Report-M&amp;O1920'!C$18-'Report-SOF1920'!D$55&lt;=0,0,'Report-M&amp;O1920'!C$18-'Report-SOF1920'!D$55)</f>
        <v>#DIV/0!</v>
      </c>
      <c r="O193" s="2452" t="e">
        <f t="shared" si="29"/>
        <v>#DIV/0!</v>
      </c>
      <c r="P193" s="2449">
        <f>IF(A193='Data Entry - SOF'!B$2,'Data Entry - SOF'!I$64,0)</f>
        <v>0</v>
      </c>
      <c r="Q193" s="1687">
        <f t="shared" ref="Q193:Q255" si="36">M193-P193</f>
        <v>6603648</v>
      </c>
      <c r="R193" s="2212" t="e">
        <f>IF('Report-M&amp;O2021'!C$18-'Report-SOF2021'!D$55&lt;=0,0,'Report-M&amp;O2021'!C$18-'Report-SOF2021'!D$55)</f>
        <v>#DIV/0!</v>
      </c>
      <c r="S193" s="2452" t="e">
        <f t="shared" si="31"/>
        <v>#DIV/0!</v>
      </c>
      <c r="T193" s="1708">
        <f>IF(A193='Data Entry - SOF'!B$2,'Data Entry - SOF'!K$64,0)</f>
        <v>0</v>
      </c>
      <c r="U193" s="1687">
        <f t="shared" si="35"/>
        <v>6603648</v>
      </c>
      <c r="V193" s="2212" t="e">
        <f>IF('Report-M&amp;O2122'!C$18-'Report-SOF2122'!D$55&lt;=0,0,'Report-M&amp;O2122'!C$18-'Report-SOF2122'!D$55)</f>
        <v>#DIV/0!</v>
      </c>
      <c r="W193" s="2452" t="e">
        <f t="shared" si="32"/>
        <v>#DIV/0!</v>
      </c>
      <c r="X193" s="1708">
        <f>IF(A193='Data Entry - SOF'!B$2,'Data Entry - SOF'!M$64,0)</f>
        <v>0</v>
      </c>
      <c r="Y193" s="1371" t="e">
        <f t="shared" si="33"/>
        <v>#DIV/0!</v>
      </c>
      <c r="Z193" s="2212" t="e">
        <f>IF('Report-M&amp;O2223'!C$18-'Report-SOF2223'!D$55&lt;=0,0,'Report-M&amp;O2223'!C$18-'Report-SOF2223'!D$55)</f>
        <v>#DIV/0!</v>
      </c>
      <c r="AA193" s="1708">
        <f>IF(A193='Data Entry - SOF'!B$2,'Data Entry - SOF'!O$64,0)</f>
        <v>0</v>
      </c>
    </row>
    <row r="194" spans="1:27" ht="15.75">
      <c r="A194" s="1076" t="s">
        <v>332</v>
      </c>
      <c r="B194">
        <v>8572062</v>
      </c>
      <c r="C194" s="2452" t="e">
        <f>#REF!+#REF!</f>
        <v>#REF!</v>
      </c>
      <c r="D194" s="2449">
        <f>IF(A194='Data Entry - SOF'!B$2,'Data Entry - SOF'!C$64,0)</f>
        <v>0</v>
      </c>
      <c r="E194" s="2450">
        <f t="shared" si="24"/>
        <v>8572062</v>
      </c>
      <c r="F194" s="2212" t="e">
        <f>IF('Report-M&amp;O1718'!C$18-'Report-SOF1718'!D$55&lt;=0,0,'Report-M&amp;O1718'!C$18-'Report-SOF1718'!D$55)</f>
        <v>#DIV/0!</v>
      </c>
      <c r="G194" s="2452" t="e">
        <f t="shared" si="25"/>
        <v>#DIV/0!</v>
      </c>
      <c r="H194" s="2449">
        <f>IF(A194='Data Entry - SOF'!B$2,'Data Entry - SOF'!E$64,0)</f>
        <v>0</v>
      </c>
      <c r="I194" s="1687">
        <f t="shared" si="26"/>
        <v>8572062</v>
      </c>
      <c r="J194" s="2212" t="e">
        <f>IF('Report-M&amp;O1819'!C$18-'Report-SOF1819'!D$55&lt;=0,0,'Report-M&amp;O1819'!C$18-'Report-SOF1819'!D$55)</f>
        <v>#DIV/0!</v>
      </c>
      <c r="K194" s="2452" t="e">
        <f t="shared" si="27"/>
        <v>#DIV/0!</v>
      </c>
      <c r="L194" s="2449">
        <f>IF(A194='Data Entry - SOF'!B$2,'Data Entry - SOF'!G$64,0)</f>
        <v>0</v>
      </c>
      <c r="M194" s="1371">
        <f t="shared" si="28"/>
        <v>8572062</v>
      </c>
      <c r="N194" s="2212" t="e">
        <f>IF('Report-M&amp;O1920'!C$18-'Report-SOF1920'!D$55&lt;=0,0,'Report-M&amp;O1920'!C$18-'Report-SOF1920'!D$55)</f>
        <v>#DIV/0!</v>
      </c>
      <c r="O194" s="2452" t="e">
        <f t="shared" si="29"/>
        <v>#DIV/0!</v>
      </c>
      <c r="P194" s="2449">
        <f>IF(A194='Data Entry - SOF'!B$2,'Data Entry - SOF'!I$64,0)</f>
        <v>0</v>
      </c>
      <c r="Q194" s="1687">
        <f t="shared" si="36"/>
        <v>8572062</v>
      </c>
      <c r="R194" s="2212" t="e">
        <f>IF('Report-M&amp;O2021'!C$18-'Report-SOF2021'!D$55&lt;=0,0,'Report-M&amp;O2021'!C$18-'Report-SOF2021'!D$55)</f>
        <v>#DIV/0!</v>
      </c>
      <c r="S194" s="2452" t="e">
        <f t="shared" si="31"/>
        <v>#DIV/0!</v>
      </c>
      <c r="T194" s="1708">
        <f>IF(A194='Data Entry - SOF'!B$2,'Data Entry - SOF'!K$64,0)</f>
        <v>0</v>
      </c>
      <c r="U194" s="1687">
        <f t="shared" si="35"/>
        <v>8572062</v>
      </c>
      <c r="V194" s="2212" t="e">
        <f>IF('Report-M&amp;O2122'!C$18-'Report-SOF2122'!D$55&lt;=0,0,'Report-M&amp;O2122'!C$18-'Report-SOF2122'!D$55)</f>
        <v>#DIV/0!</v>
      </c>
      <c r="W194" s="2452" t="e">
        <f t="shared" si="32"/>
        <v>#DIV/0!</v>
      </c>
      <c r="X194" s="1708">
        <f>IF(A194='Data Entry - SOF'!B$2,'Data Entry - SOF'!M$64,0)</f>
        <v>0</v>
      </c>
      <c r="Y194" s="1371" t="e">
        <f t="shared" si="33"/>
        <v>#DIV/0!</v>
      </c>
      <c r="Z194" s="2212" t="e">
        <f>IF('Report-M&amp;O2223'!C$18-'Report-SOF2223'!D$55&lt;=0,0,'Report-M&amp;O2223'!C$18-'Report-SOF2223'!D$55)</f>
        <v>#DIV/0!</v>
      </c>
      <c r="AA194" s="1708">
        <f>IF(A194='Data Entry - SOF'!B$2,'Data Entry - SOF'!O$64,0)</f>
        <v>0</v>
      </c>
    </row>
    <row r="195" spans="1:27" ht="15.75">
      <c r="A195" s="1076" t="s">
        <v>2863</v>
      </c>
      <c r="B195">
        <v>1524518</v>
      </c>
      <c r="C195" s="2452" t="e">
        <f>#REF!+#REF!</f>
        <v>#REF!</v>
      </c>
      <c r="D195" s="2449">
        <f>IF(A195='Data Entry - SOF'!B$2,'Data Entry - SOF'!C$64,0)</f>
        <v>0</v>
      </c>
      <c r="E195" s="2450">
        <f t="shared" si="24"/>
        <v>1524518</v>
      </c>
      <c r="F195" s="2212" t="e">
        <f>IF('Report-M&amp;O1718'!C$18-'Report-SOF1718'!D$55&lt;=0,0,'Report-M&amp;O1718'!C$18-'Report-SOF1718'!D$55)</f>
        <v>#DIV/0!</v>
      </c>
      <c r="G195" s="2452" t="e">
        <f t="shared" si="25"/>
        <v>#DIV/0!</v>
      </c>
      <c r="H195" s="2449">
        <f>IF(A195='Data Entry - SOF'!B$2,'Data Entry - SOF'!E$64,0)</f>
        <v>0</v>
      </c>
      <c r="I195" s="1687">
        <f t="shared" si="26"/>
        <v>1524518</v>
      </c>
      <c r="J195" s="2212" t="e">
        <f>IF('Report-M&amp;O1819'!C$18-'Report-SOF1819'!D$55&lt;=0,0,'Report-M&amp;O1819'!C$18-'Report-SOF1819'!D$55)</f>
        <v>#DIV/0!</v>
      </c>
      <c r="K195" s="2452" t="e">
        <f t="shared" si="27"/>
        <v>#DIV/0!</v>
      </c>
      <c r="L195" s="2449">
        <f>IF(A195='Data Entry - SOF'!B$2,'Data Entry - SOF'!G$64,0)</f>
        <v>0</v>
      </c>
      <c r="M195" s="1371">
        <f t="shared" si="28"/>
        <v>1524518</v>
      </c>
      <c r="N195" s="2212" t="e">
        <f>IF('Report-M&amp;O1920'!C$18-'Report-SOF1920'!D$55&lt;=0,0,'Report-M&amp;O1920'!C$18-'Report-SOF1920'!D$55)</f>
        <v>#DIV/0!</v>
      </c>
      <c r="O195" s="2452" t="e">
        <f t="shared" si="29"/>
        <v>#DIV/0!</v>
      </c>
      <c r="P195" s="2449">
        <f>IF(A195='Data Entry - SOF'!B$2,'Data Entry - SOF'!I$64,0)</f>
        <v>0</v>
      </c>
      <c r="Q195" s="1687">
        <f t="shared" si="36"/>
        <v>1524518</v>
      </c>
      <c r="R195" s="2212" t="e">
        <f>IF('Report-M&amp;O2021'!C$18-'Report-SOF2021'!D$55&lt;=0,0,'Report-M&amp;O2021'!C$18-'Report-SOF2021'!D$55)</f>
        <v>#DIV/0!</v>
      </c>
      <c r="S195" s="2452" t="e">
        <f t="shared" si="31"/>
        <v>#DIV/0!</v>
      </c>
      <c r="T195" s="1708">
        <f>IF(A195='Data Entry - SOF'!B$2,'Data Entry - SOF'!K$64,0)</f>
        <v>0</v>
      </c>
      <c r="U195" s="1687">
        <f t="shared" si="35"/>
        <v>1524518</v>
      </c>
      <c r="V195" s="2212" t="e">
        <f>IF('Report-M&amp;O2122'!C$18-'Report-SOF2122'!D$55&lt;=0,0,'Report-M&amp;O2122'!C$18-'Report-SOF2122'!D$55)</f>
        <v>#DIV/0!</v>
      </c>
      <c r="W195" s="2452" t="e">
        <f t="shared" si="32"/>
        <v>#DIV/0!</v>
      </c>
      <c r="X195" s="1708">
        <f>IF(A195='Data Entry - SOF'!B$2,'Data Entry - SOF'!M$64,0)</f>
        <v>0</v>
      </c>
      <c r="Y195" s="1371" t="e">
        <f t="shared" si="33"/>
        <v>#DIV/0!</v>
      </c>
      <c r="Z195" s="2212" t="e">
        <f>IF('Report-M&amp;O2223'!C$18-'Report-SOF2223'!D$55&lt;=0,0,'Report-M&amp;O2223'!C$18-'Report-SOF2223'!D$55)</f>
        <v>#DIV/0!</v>
      </c>
      <c r="AA195" s="1708">
        <f>IF(A195='Data Entry - SOF'!B$2,'Data Entry - SOF'!O$64,0)</f>
        <v>0</v>
      </c>
    </row>
    <row r="196" spans="1:27" ht="15.75">
      <c r="A196" s="1076" t="s">
        <v>333</v>
      </c>
      <c r="B196">
        <v>6517318</v>
      </c>
      <c r="C196" s="2452" t="e">
        <f>#REF!+#REF!</f>
        <v>#REF!</v>
      </c>
      <c r="D196" s="2449">
        <f>IF(A196='Data Entry - SOF'!B$2,'Data Entry - SOF'!C$64,0)</f>
        <v>0</v>
      </c>
      <c r="E196" s="2450">
        <f t="shared" si="24"/>
        <v>6517318</v>
      </c>
      <c r="F196" s="2212" t="e">
        <f>IF('Report-M&amp;O1718'!C$18-'Report-SOF1718'!D$55&lt;=0,0,'Report-M&amp;O1718'!C$18-'Report-SOF1718'!D$55)</f>
        <v>#DIV/0!</v>
      </c>
      <c r="G196" s="2452" t="e">
        <f t="shared" si="25"/>
        <v>#DIV/0!</v>
      </c>
      <c r="H196" s="2449">
        <f>IF(A196='Data Entry - SOF'!B$2,'Data Entry - SOF'!E$64,0)</f>
        <v>0</v>
      </c>
      <c r="I196" s="1687">
        <f t="shared" si="26"/>
        <v>6517318</v>
      </c>
      <c r="J196" s="2212" t="e">
        <f>IF('Report-M&amp;O1819'!C$18-'Report-SOF1819'!D$55&lt;=0,0,'Report-M&amp;O1819'!C$18-'Report-SOF1819'!D$55)</f>
        <v>#DIV/0!</v>
      </c>
      <c r="K196" s="2452" t="e">
        <f t="shared" si="27"/>
        <v>#DIV/0!</v>
      </c>
      <c r="L196" s="2449">
        <f>IF(A196='Data Entry - SOF'!B$2,'Data Entry - SOF'!G$64,0)</f>
        <v>0</v>
      </c>
      <c r="M196" s="1371">
        <f t="shared" si="28"/>
        <v>6517318</v>
      </c>
      <c r="N196" s="2212" t="e">
        <f>IF('Report-M&amp;O1920'!C$18-'Report-SOF1920'!D$55&lt;=0,0,'Report-M&amp;O1920'!C$18-'Report-SOF1920'!D$55)</f>
        <v>#DIV/0!</v>
      </c>
      <c r="O196" s="2452" t="e">
        <f t="shared" si="29"/>
        <v>#DIV/0!</v>
      </c>
      <c r="P196" s="2449">
        <f>IF(A196='Data Entry - SOF'!B$2,'Data Entry - SOF'!I$64,0)</f>
        <v>0</v>
      </c>
      <c r="Q196" s="1687">
        <f t="shared" si="36"/>
        <v>6517318</v>
      </c>
      <c r="R196" s="2212" t="e">
        <f>IF('Report-M&amp;O2021'!C$18-'Report-SOF2021'!D$55&lt;=0,0,'Report-M&amp;O2021'!C$18-'Report-SOF2021'!D$55)</f>
        <v>#DIV/0!</v>
      </c>
      <c r="S196" s="2452" t="e">
        <f t="shared" si="31"/>
        <v>#DIV/0!</v>
      </c>
      <c r="T196" s="1708">
        <f>IF(A196='Data Entry - SOF'!B$2,'Data Entry - SOF'!K$64,0)</f>
        <v>0</v>
      </c>
      <c r="U196" s="1687">
        <f t="shared" si="35"/>
        <v>6517318</v>
      </c>
      <c r="V196" s="2212" t="e">
        <f>IF('Report-M&amp;O2122'!C$18-'Report-SOF2122'!D$55&lt;=0,0,'Report-M&amp;O2122'!C$18-'Report-SOF2122'!D$55)</f>
        <v>#DIV/0!</v>
      </c>
      <c r="W196" s="2452" t="e">
        <f t="shared" si="32"/>
        <v>#DIV/0!</v>
      </c>
      <c r="X196" s="1708">
        <f>IF(A196='Data Entry - SOF'!B$2,'Data Entry - SOF'!M$64,0)</f>
        <v>0</v>
      </c>
      <c r="Y196" s="1371" t="e">
        <f t="shared" si="33"/>
        <v>#DIV/0!</v>
      </c>
      <c r="Z196" s="2212" t="e">
        <f>IF('Report-M&amp;O2223'!C$18-'Report-SOF2223'!D$55&lt;=0,0,'Report-M&amp;O2223'!C$18-'Report-SOF2223'!D$55)</f>
        <v>#DIV/0!</v>
      </c>
      <c r="AA196" s="1708">
        <f>IF(A196='Data Entry - SOF'!B$2,'Data Entry - SOF'!O$64,0)</f>
        <v>0</v>
      </c>
    </row>
    <row r="197" spans="1:27" ht="15.75">
      <c r="A197" s="1076" t="s">
        <v>334</v>
      </c>
      <c r="B197">
        <v>2366743</v>
      </c>
      <c r="C197" s="2452" t="e">
        <f>#REF!+#REF!</f>
        <v>#REF!</v>
      </c>
      <c r="D197" s="2449">
        <f>IF(A197='Data Entry - SOF'!B$2,'Data Entry - SOF'!C$64,0)</f>
        <v>0</v>
      </c>
      <c r="E197" s="2450">
        <f t="shared" ref="E197:E260" si="37">IF(B197-D197&lt;0,0,B197-D197)</f>
        <v>2366743</v>
      </c>
      <c r="F197" s="2212" t="e">
        <f>IF('Report-M&amp;O1718'!C$18-'Report-SOF1718'!D$55&lt;=0,0,'Report-M&amp;O1718'!C$18-'Report-SOF1718'!D$55)</f>
        <v>#DIV/0!</v>
      </c>
      <c r="G197" s="2452" t="e">
        <f t="shared" ref="G197:G260" si="38">E197+F197</f>
        <v>#DIV/0!</v>
      </c>
      <c r="H197" s="2449">
        <f>IF(A197='Data Entry - SOF'!B$2,'Data Entry - SOF'!E$64,0)</f>
        <v>0</v>
      </c>
      <c r="I197" s="1687">
        <f t="shared" ref="I197:I260" si="39">E197-H197</f>
        <v>2366743</v>
      </c>
      <c r="J197" s="2212" t="e">
        <f>IF('Report-M&amp;O1819'!C$18-'Report-SOF1819'!D$55&lt;=0,0,'Report-M&amp;O1819'!C$18-'Report-SOF1819'!D$55)</f>
        <v>#DIV/0!</v>
      </c>
      <c r="K197" s="2452" t="e">
        <f t="shared" ref="K197:K260" si="40">I197+J197</f>
        <v>#DIV/0!</v>
      </c>
      <c r="L197" s="2449">
        <f>IF(A197='Data Entry - SOF'!B$2,'Data Entry - SOF'!G$64,0)</f>
        <v>0</v>
      </c>
      <c r="M197" s="1371">
        <f t="shared" ref="M197:M260" si="41">I197-L197</f>
        <v>2366743</v>
      </c>
      <c r="N197" s="2212" t="e">
        <f>IF('Report-M&amp;O1920'!C$18-'Report-SOF1920'!D$55&lt;=0,0,'Report-M&amp;O1920'!C$18-'Report-SOF1920'!D$55)</f>
        <v>#DIV/0!</v>
      </c>
      <c r="O197" s="2452" t="e">
        <f t="shared" ref="O197:O260" si="42">M197+N197</f>
        <v>#DIV/0!</v>
      </c>
      <c r="P197" s="2449">
        <f>IF(A197='Data Entry - SOF'!B$2,'Data Entry - SOF'!I$64,0)</f>
        <v>0</v>
      </c>
      <c r="Q197" s="1687">
        <f t="shared" si="36"/>
        <v>2366743</v>
      </c>
      <c r="R197" s="2212" t="e">
        <f>IF('Report-M&amp;O2021'!C$18-'Report-SOF2021'!D$55&lt;=0,0,'Report-M&amp;O2021'!C$18-'Report-SOF2021'!D$55)</f>
        <v>#DIV/0!</v>
      </c>
      <c r="S197" s="2452" t="e">
        <f t="shared" ref="S197:S260" si="43">Q197+R197</f>
        <v>#DIV/0!</v>
      </c>
      <c r="T197" s="1708">
        <f>IF(A197='Data Entry - SOF'!B$2,'Data Entry - SOF'!K$64,0)</f>
        <v>0</v>
      </c>
      <c r="U197" s="1687">
        <f t="shared" si="35"/>
        <v>2366743</v>
      </c>
      <c r="V197" s="2212" t="e">
        <f>IF('Report-M&amp;O2122'!C$18-'Report-SOF2122'!D$55&lt;=0,0,'Report-M&amp;O2122'!C$18-'Report-SOF2122'!D$55)</f>
        <v>#DIV/0!</v>
      </c>
      <c r="W197" s="2452" t="e">
        <f t="shared" ref="W197:W260" si="44">U197+V197</f>
        <v>#DIV/0!</v>
      </c>
      <c r="X197" s="1708">
        <f>IF(A197='Data Entry - SOF'!B$2,'Data Entry - SOF'!M$64,0)</f>
        <v>0</v>
      </c>
      <c r="Y197" s="1371" t="e">
        <f t="shared" ref="Y197:Y260" si="45">IF(U197+V197-X197&lt;=0,0,U197+V197-X197)</f>
        <v>#DIV/0!</v>
      </c>
      <c r="Z197" s="2212" t="e">
        <f>IF('Report-M&amp;O2223'!C$18-'Report-SOF2223'!D$55&lt;=0,0,'Report-M&amp;O2223'!C$18-'Report-SOF2223'!D$55)</f>
        <v>#DIV/0!</v>
      </c>
      <c r="AA197" s="1708">
        <f>IF(A197='Data Entry - SOF'!B$2,'Data Entry - SOF'!O$64,0)</f>
        <v>0</v>
      </c>
    </row>
    <row r="198" spans="1:27" ht="15.75">
      <c r="A198" s="1076" t="s">
        <v>335</v>
      </c>
      <c r="B198">
        <v>3256815.2262086798</v>
      </c>
      <c r="C198" s="2452" t="e">
        <f>#REF!+#REF!</f>
        <v>#REF!</v>
      </c>
      <c r="D198" s="2449">
        <f>IF(A198='Data Entry - SOF'!B$2,'Data Entry - SOF'!C$64,0)</f>
        <v>0</v>
      </c>
      <c r="E198" s="2450">
        <f t="shared" si="37"/>
        <v>3256815.2262086798</v>
      </c>
      <c r="F198" s="2212" t="e">
        <f>IF('Report-M&amp;O1718'!C$18-'Report-SOF1718'!D$55&lt;=0,0,'Report-M&amp;O1718'!C$18-'Report-SOF1718'!D$55)</f>
        <v>#DIV/0!</v>
      </c>
      <c r="G198" s="2452" t="e">
        <f t="shared" si="38"/>
        <v>#DIV/0!</v>
      </c>
      <c r="H198" s="2449">
        <f>IF(A198='Data Entry - SOF'!B$2,'Data Entry - SOF'!E$64,0)</f>
        <v>0</v>
      </c>
      <c r="I198" s="1687">
        <f t="shared" si="39"/>
        <v>3256815.2262086798</v>
      </c>
      <c r="J198" s="2212" t="e">
        <f>IF('Report-M&amp;O1819'!C$18-'Report-SOF1819'!D$55&lt;=0,0,'Report-M&amp;O1819'!C$18-'Report-SOF1819'!D$55)</f>
        <v>#DIV/0!</v>
      </c>
      <c r="K198" s="2452" t="e">
        <f t="shared" si="40"/>
        <v>#DIV/0!</v>
      </c>
      <c r="L198" s="2449">
        <f>IF(A198='Data Entry - SOF'!B$2,'Data Entry - SOF'!G$64,0)</f>
        <v>0</v>
      </c>
      <c r="M198" s="1371">
        <f t="shared" si="41"/>
        <v>3256815.2262086798</v>
      </c>
      <c r="N198" s="2212" t="e">
        <f>IF('Report-M&amp;O1920'!C$18-'Report-SOF1920'!D$55&lt;=0,0,'Report-M&amp;O1920'!C$18-'Report-SOF1920'!D$55)</f>
        <v>#DIV/0!</v>
      </c>
      <c r="O198" s="2452" t="e">
        <f t="shared" si="42"/>
        <v>#DIV/0!</v>
      </c>
      <c r="P198" s="2449">
        <f>IF(A198='Data Entry - SOF'!B$2,'Data Entry - SOF'!I$64,0)</f>
        <v>0</v>
      </c>
      <c r="Q198" s="1687">
        <f t="shared" si="36"/>
        <v>3256815.2262086798</v>
      </c>
      <c r="R198" s="2212" t="e">
        <f>IF('Report-M&amp;O2021'!C$18-'Report-SOF2021'!D$55&lt;=0,0,'Report-M&amp;O2021'!C$18-'Report-SOF2021'!D$55)</f>
        <v>#DIV/0!</v>
      </c>
      <c r="S198" s="2452" t="e">
        <f t="shared" si="43"/>
        <v>#DIV/0!</v>
      </c>
      <c r="T198" s="1708">
        <f>IF(A198='Data Entry - SOF'!B$2,'Data Entry - SOF'!K$64,0)</f>
        <v>0</v>
      </c>
      <c r="U198" s="1687">
        <f t="shared" si="35"/>
        <v>3256815.2262086798</v>
      </c>
      <c r="V198" s="2212" t="e">
        <f>IF('Report-M&amp;O2122'!C$18-'Report-SOF2122'!D$55&lt;=0,0,'Report-M&amp;O2122'!C$18-'Report-SOF2122'!D$55)</f>
        <v>#DIV/0!</v>
      </c>
      <c r="W198" s="2452" t="e">
        <f t="shared" si="44"/>
        <v>#DIV/0!</v>
      </c>
      <c r="X198" s="1708">
        <f>IF(A198='Data Entry - SOF'!B$2,'Data Entry - SOF'!M$64,0)</f>
        <v>0</v>
      </c>
      <c r="Y198" s="1371" t="e">
        <f t="shared" si="45"/>
        <v>#DIV/0!</v>
      </c>
      <c r="Z198" s="2212" t="e">
        <f>IF('Report-M&amp;O2223'!C$18-'Report-SOF2223'!D$55&lt;=0,0,'Report-M&amp;O2223'!C$18-'Report-SOF2223'!D$55)</f>
        <v>#DIV/0!</v>
      </c>
      <c r="AA198" s="1708">
        <f>IF(A198='Data Entry - SOF'!B$2,'Data Entry - SOF'!O$64,0)</f>
        <v>0</v>
      </c>
    </row>
    <row r="199" spans="1:27" ht="15.75">
      <c r="A199" s="1076" t="s">
        <v>1962</v>
      </c>
      <c r="B199">
        <v>204141</v>
      </c>
      <c r="C199" s="2452" t="e">
        <f>#REF!+#REF!</f>
        <v>#REF!</v>
      </c>
      <c r="D199" s="2449">
        <f>IF(A199='Data Entry - SOF'!B$2,'Data Entry - SOF'!C$64,0)</f>
        <v>0</v>
      </c>
      <c r="E199" s="2450">
        <f t="shared" si="37"/>
        <v>204141</v>
      </c>
      <c r="F199" s="2212" t="e">
        <f>IF('Report-M&amp;O1718'!C$18-'Report-SOF1718'!D$55&lt;=0,0,'Report-M&amp;O1718'!C$18-'Report-SOF1718'!D$55)</f>
        <v>#DIV/0!</v>
      </c>
      <c r="G199" s="2452" t="e">
        <f t="shared" si="38"/>
        <v>#DIV/0!</v>
      </c>
      <c r="H199" s="2449">
        <f>IF(A199='Data Entry - SOF'!B$2,'Data Entry - SOF'!E$64,0)</f>
        <v>0</v>
      </c>
      <c r="I199" s="1687">
        <f t="shared" si="39"/>
        <v>204141</v>
      </c>
      <c r="J199" s="2212" t="e">
        <f>IF('Report-M&amp;O1819'!C$18-'Report-SOF1819'!D$55&lt;=0,0,'Report-M&amp;O1819'!C$18-'Report-SOF1819'!D$55)</f>
        <v>#DIV/0!</v>
      </c>
      <c r="K199" s="2452" t="e">
        <f t="shared" si="40"/>
        <v>#DIV/0!</v>
      </c>
      <c r="L199" s="2449">
        <f>IF(A199='Data Entry - SOF'!B$2,'Data Entry - SOF'!G$64,0)</f>
        <v>0</v>
      </c>
      <c r="M199" s="1371">
        <f t="shared" si="41"/>
        <v>204141</v>
      </c>
      <c r="N199" s="2212" t="e">
        <f>IF('Report-M&amp;O1920'!C$18-'Report-SOF1920'!D$55&lt;=0,0,'Report-M&amp;O1920'!C$18-'Report-SOF1920'!D$55)</f>
        <v>#DIV/0!</v>
      </c>
      <c r="O199" s="2452" t="e">
        <f t="shared" si="42"/>
        <v>#DIV/0!</v>
      </c>
      <c r="P199" s="2449">
        <f>IF(A199='Data Entry - SOF'!B$2,'Data Entry - SOF'!I$64,0)</f>
        <v>0</v>
      </c>
      <c r="Q199" s="1687">
        <f t="shared" si="36"/>
        <v>204141</v>
      </c>
      <c r="R199" s="2212" t="e">
        <f>IF('Report-M&amp;O2021'!C$18-'Report-SOF2021'!D$55&lt;=0,0,'Report-M&amp;O2021'!C$18-'Report-SOF2021'!D$55)</f>
        <v>#DIV/0!</v>
      </c>
      <c r="S199" s="2452" t="e">
        <f t="shared" si="43"/>
        <v>#DIV/0!</v>
      </c>
      <c r="T199" s="1708">
        <f>IF(A199='Data Entry - SOF'!B$2,'Data Entry - SOF'!K$64,0)</f>
        <v>0</v>
      </c>
      <c r="U199" s="1687">
        <f t="shared" si="35"/>
        <v>204141</v>
      </c>
      <c r="V199" s="2212" t="e">
        <f>IF('Report-M&amp;O2122'!C$18-'Report-SOF2122'!D$55&lt;=0,0,'Report-M&amp;O2122'!C$18-'Report-SOF2122'!D$55)</f>
        <v>#DIV/0!</v>
      </c>
      <c r="W199" s="2452" t="e">
        <f t="shared" si="44"/>
        <v>#DIV/0!</v>
      </c>
      <c r="X199" s="1708">
        <f>IF(A199='Data Entry - SOF'!B$2,'Data Entry - SOF'!M$64,0)</f>
        <v>0</v>
      </c>
      <c r="Y199" s="1371" t="e">
        <f t="shared" si="45"/>
        <v>#DIV/0!</v>
      </c>
      <c r="Z199" s="2212" t="e">
        <f>IF('Report-M&amp;O2223'!C$18-'Report-SOF2223'!D$55&lt;=0,0,'Report-M&amp;O2223'!C$18-'Report-SOF2223'!D$55)</f>
        <v>#DIV/0!</v>
      </c>
      <c r="AA199" s="1708">
        <f>IF(A199='Data Entry - SOF'!B$2,'Data Entry - SOF'!O$64,0)</f>
        <v>0</v>
      </c>
    </row>
    <row r="200" spans="1:27" ht="15.75">
      <c r="A200" s="1076" t="s">
        <v>1963</v>
      </c>
      <c r="B200">
        <v>463146</v>
      </c>
      <c r="C200" s="2452" t="e">
        <f>#REF!+#REF!</f>
        <v>#REF!</v>
      </c>
      <c r="D200" s="2449">
        <f>IF(A200='Data Entry - SOF'!B$2,'Data Entry - SOF'!C$64,0)</f>
        <v>0</v>
      </c>
      <c r="E200" s="2450">
        <f t="shared" si="37"/>
        <v>463146</v>
      </c>
      <c r="F200" s="2212" t="e">
        <f>IF('Report-M&amp;O1718'!C$18-'Report-SOF1718'!D$55&lt;=0,0,'Report-M&amp;O1718'!C$18-'Report-SOF1718'!D$55)</f>
        <v>#DIV/0!</v>
      </c>
      <c r="G200" s="2452" t="e">
        <f t="shared" si="38"/>
        <v>#DIV/0!</v>
      </c>
      <c r="H200" s="2449">
        <f>IF(A200='Data Entry - SOF'!B$2,'Data Entry - SOF'!E$64,0)</f>
        <v>0</v>
      </c>
      <c r="I200" s="1687">
        <f t="shared" si="39"/>
        <v>463146</v>
      </c>
      <c r="J200" s="2212" t="e">
        <f>IF('Report-M&amp;O1819'!C$18-'Report-SOF1819'!D$55&lt;=0,0,'Report-M&amp;O1819'!C$18-'Report-SOF1819'!D$55)</f>
        <v>#DIV/0!</v>
      </c>
      <c r="K200" s="2452" t="e">
        <f t="shared" si="40"/>
        <v>#DIV/0!</v>
      </c>
      <c r="L200" s="2449">
        <f>IF(A200='Data Entry - SOF'!B$2,'Data Entry - SOF'!G$64,0)</f>
        <v>0</v>
      </c>
      <c r="M200" s="1371">
        <f t="shared" si="41"/>
        <v>463146</v>
      </c>
      <c r="N200" s="2212" t="e">
        <f>IF('Report-M&amp;O1920'!C$18-'Report-SOF1920'!D$55&lt;=0,0,'Report-M&amp;O1920'!C$18-'Report-SOF1920'!D$55)</f>
        <v>#DIV/0!</v>
      </c>
      <c r="O200" s="2452" t="e">
        <f t="shared" si="42"/>
        <v>#DIV/0!</v>
      </c>
      <c r="P200" s="2449">
        <f>IF(A200='Data Entry - SOF'!B$2,'Data Entry - SOF'!I$64,0)</f>
        <v>0</v>
      </c>
      <c r="Q200" s="1687">
        <f t="shared" si="36"/>
        <v>463146</v>
      </c>
      <c r="R200" s="2212" t="e">
        <f>IF('Report-M&amp;O2021'!C$18-'Report-SOF2021'!D$55&lt;=0,0,'Report-M&amp;O2021'!C$18-'Report-SOF2021'!D$55)</f>
        <v>#DIV/0!</v>
      </c>
      <c r="S200" s="2452" t="e">
        <f t="shared" si="43"/>
        <v>#DIV/0!</v>
      </c>
      <c r="T200" s="1708">
        <f>IF(A200='Data Entry - SOF'!B$2,'Data Entry - SOF'!K$64,0)</f>
        <v>0</v>
      </c>
      <c r="U200" s="1687">
        <f t="shared" si="35"/>
        <v>463146</v>
      </c>
      <c r="V200" s="2212" t="e">
        <f>IF('Report-M&amp;O2122'!C$18-'Report-SOF2122'!D$55&lt;=0,0,'Report-M&amp;O2122'!C$18-'Report-SOF2122'!D$55)</f>
        <v>#DIV/0!</v>
      </c>
      <c r="W200" s="2452" t="e">
        <f t="shared" si="44"/>
        <v>#DIV/0!</v>
      </c>
      <c r="X200" s="1708">
        <f>IF(A200='Data Entry - SOF'!B$2,'Data Entry - SOF'!M$64,0)</f>
        <v>0</v>
      </c>
      <c r="Y200" s="1371" t="e">
        <f t="shared" si="45"/>
        <v>#DIV/0!</v>
      </c>
      <c r="Z200" s="2212" t="e">
        <f>IF('Report-M&amp;O2223'!C$18-'Report-SOF2223'!D$55&lt;=0,0,'Report-M&amp;O2223'!C$18-'Report-SOF2223'!D$55)</f>
        <v>#DIV/0!</v>
      </c>
      <c r="AA200" s="1708">
        <f>IF(A200='Data Entry - SOF'!B$2,'Data Entry - SOF'!O$64,0)</f>
        <v>0</v>
      </c>
    </row>
    <row r="201" spans="1:27" ht="15.75">
      <c r="A201" s="1076" t="s">
        <v>1492</v>
      </c>
      <c r="B201">
        <v>400216</v>
      </c>
      <c r="C201" s="2452" t="e">
        <f>#REF!+#REF!</f>
        <v>#REF!</v>
      </c>
      <c r="D201" s="2449">
        <f>IF(A201='Data Entry - SOF'!B$2,'Data Entry - SOF'!C$64,0)</f>
        <v>0</v>
      </c>
      <c r="E201" s="2450">
        <f t="shared" si="37"/>
        <v>400216</v>
      </c>
      <c r="F201" s="2212" t="e">
        <f>IF('Report-M&amp;O1718'!C$18-'Report-SOF1718'!D$55&lt;=0,0,'Report-M&amp;O1718'!C$18-'Report-SOF1718'!D$55)</f>
        <v>#DIV/0!</v>
      </c>
      <c r="G201" s="2452" t="e">
        <f t="shared" si="38"/>
        <v>#DIV/0!</v>
      </c>
      <c r="H201" s="2449">
        <f>IF(A201='Data Entry - SOF'!B$2,'Data Entry - SOF'!E$64,0)</f>
        <v>0</v>
      </c>
      <c r="I201" s="1687">
        <f t="shared" si="39"/>
        <v>400216</v>
      </c>
      <c r="J201" s="2212" t="e">
        <f>IF('Report-M&amp;O1819'!C$18-'Report-SOF1819'!D$55&lt;=0,0,'Report-M&amp;O1819'!C$18-'Report-SOF1819'!D$55)</f>
        <v>#DIV/0!</v>
      </c>
      <c r="K201" s="2452" t="e">
        <f t="shared" si="40"/>
        <v>#DIV/0!</v>
      </c>
      <c r="L201" s="2449">
        <f>IF(A201='Data Entry - SOF'!B$2,'Data Entry - SOF'!G$64,0)</f>
        <v>0</v>
      </c>
      <c r="M201" s="1371">
        <f t="shared" si="41"/>
        <v>400216</v>
      </c>
      <c r="N201" s="2212" t="e">
        <f>IF('Report-M&amp;O1920'!C$18-'Report-SOF1920'!D$55&lt;=0,0,'Report-M&amp;O1920'!C$18-'Report-SOF1920'!D$55)</f>
        <v>#DIV/0!</v>
      </c>
      <c r="O201" s="2452" t="e">
        <f t="shared" si="42"/>
        <v>#DIV/0!</v>
      </c>
      <c r="P201" s="2449">
        <f>IF(A201='Data Entry - SOF'!B$2,'Data Entry - SOF'!I$64,0)</f>
        <v>0</v>
      </c>
      <c r="Q201" s="1687">
        <f t="shared" si="36"/>
        <v>400216</v>
      </c>
      <c r="R201" s="2212" t="e">
        <f>IF('Report-M&amp;O2021'!C$18-'Report-SOF2021'!D$55&lt;=0,0,'Report-M&amp;O2021'!C$18-'Report-SOF2021'!D$55)</f>
        <v>#DIV/0!</v>
      </c>
      <c r="S201" s="2452" t="e">
        <f t="shared" si="43"/>
        <v>#DIV/0!</v>
      </c>
      <c r="T201" s="1708">
        <f>IF(A201='Data Entry - SOF'!B$2,'Data Entry - SOF'!K$64,0)</f>
        <v>0</v>
      </c>
      <c r="U201" s="1687">
        <f t="shared" si="35"/>
        <v>400216</v>
      </c>
      <c r="V201" s="2212" t="e">
        <f>IF('Report-M&amp;O2122'!C$18-'Report-SOF2122'!D$55&lt;=0,0,'Report-M&amp;O2122'!C$18-'Report-SOF2122'!D$55)</f>
        <v>#DIV/0!</v>
      </c>
      <c r="W201" s="2452" t="e">
        <f t="shared" si="44"/>
        <v>#DIV/0!</v>
      </c>
      <c r="X201" s="1708">
        <f>IF(A201='Data Entry - SOF'!B$2,'Data Entry - SOF'!M$64,0)</f>
        <v>0</v>
      </c>
      <c r="Y201" s="1371" t="e">
        <f t="shared" si="45"/>
        <v>#DIV/0!</v>
      </c>
      <c r="Z201" s="2212" t="e">
        <f>IF('Report-M&amp;O2223'!C$18-'Report-SOF2223'!D$55&lt;=0,0,'Report-M&amp;O2223'!C$18-'Report-SOF2223'!D$55)</f>
        <v>#DIV/0!</v>
      </c>
      <c r="AA201" s="1708">
        <f>IF(A201='Data Entry - SOF'!B$2,'Data Entry - SOF'!O$64,0)</f>
        <v>0</v>
      </c>
    </row>
    <row r="202" spans="1:27" ht="15.75">
      <c r="A202" s="1076" t="s">
        <v>1267</v>
      </c>
      <c r="B202">
        <v>3863567</v>
      </c>
      <c r="C202" s="2452" t="e">
        <f>#REF!+#REF!</f>
        <v>#REF!</v>
      </c>
      <c r="D202" s="2449">
        <f>IF(A202='Data Entry - SOF'!B$2,'Data Entry - SOF'!C$64,0)</f>
        <v>0</v>
      </c>
      <c r="E202" s="2450">
        <f t="shared" si="37"/>
        <v>3863567</v>
      </c>
      <c r="F202" s="2212" t="e">
        <f>IF('Report-M&amp;O1718'!C$18-'Report-SOF1718'!D$55&lt;=0,0,'Report-M&amp;O1718'!C$18-'Report-SOF1718'!D$55)</f>
        <v>#DIV/0!</v>
      </c>
      <c r="G202" s="2452" t="e">
        <f t="shared" si="38"/>
        <v>#DIV/0!</v>
      </c>
      <c r="H202" s="2449">
        <f>IF(A202='Data Entry - SOF'!B$2,'Data Entry - SOF'!E$64,0)</f>
        <v>0</v>
      </c>
      <c r="I202" s="1687">
        <f t="shared" si="39"/>
        <v>3863567</v>
      </c>
      <c r="J202" s="2212" t="e">
        <f>IF('Report-M&amp;O1819'!C$18-'Report-SOF1819'!D$55&lt;=0,0,'Report-M&amp;O1819'!C$18-'Report-SOF1819'!D$55)</f>
        <v>#DIV/0!</v>
      </c>
      <c r="K202" s="2452" t="e">
        <f t="shared" si="40"/>
        <v>#DIV/0!</v>
      </c>
      <c r="L202" s="2449">
        <f>IF(A202='Data Entry - SOF'!B$2,'Data Entry - SOF'!G$64,0)</f>
        <v>0</v>
      </c>
      <c r="M202" s="1371">
        <f t="shared" si="41"/>
        <v>3863567</v>
      </c>
      <c r="N202" s="2212" t="e">
        <f>IF('Report-M&amp;O1920'!C$18-'Report-SOF1920'!D$55&lt;=0,0,'Report-M&amp;O1920'!C$18-'Report-SOF1920'!D$55)</f>
        <v>#DIV/0!</v>
      </c>
      <c r="O202" s="2452" t="e">
        <f t="shared" si="42"/>
        <v>#DIV/0!</v>
      </c>
      <c r="P202" s="2449">
        <f>IF(A202='Data Entry - SOF'!B$2,'Data Entry - SOF'!I$64,0)</f>
        <v>0</v>
      </c>
      <c r="Q202" s="1687">
        <f t="shared" si="36"/>
        <v>3863567</v>
      </c>
      <c r="R202" s="2212" t="e">
        <f>IF('Report-M&amp;O2021'!C$18-'Report-SOF2021'!D$55&lt;=0,0,'Report-M&amp;O2021'!C$18-'Report-SOF2021'!D$55)</f>
        <v>#DIV/0!</v>
      </c>
      <c r="S202" s="2452" t="e">
        <f t="shared" si="43"/>
        <v>#DIV/0!</v>
      </c>
      <c r="T202" s="1708">
        <f>IF(A202='Data Entry - SOF'!B$2,'Data Entry - SOF'!K$64,0)</f>
        <v>0</v>
      </c>
      <c r="U202" s="1687">
        <f t="shared" si="35"/>
        <v>3863567</v>
      </c>
      <c r="V202" s="2212" t="e">
        <f>IF('Report-M&amp;O2122'!C$18-'Report-SOF2122'!D$55&lt;=0,0,'Report-M&amp;O2122'!C$18-'Report-SOF2122'!D$55)</f>
        <v>#DIV/0!</v>
      </c>
      <c r="W202" s="2452" t="e">
        <f t="shared" si="44"/>
        <v>#DIV/0!</v>
      </c>
      <c r="X202" s="1708">
        <f>IF(A202='Data Entry - SOF'!B$2,'Data Entry - SOF'!M$64,0)</f>
        <v>0</v>
      </c>
      <c r="Y202" s="1371" t="e">
        <f t="shared" si="45"/>
        <v>#DIV/0!</v>
      </c>
      <c r="Z202" s="2212" t="e">
        <f>IF('Report-M&amp;O2223'!C$18-'Report-SOF2223'!D$55&lt;=0,0,'Report-M&amp;O2223'!C$18-'Report-SOF2223'!D$55)</f>
        <v>#DIV/0!</v>
      </c>
      <c r="AA202" s="1708">
        <f>IF(A202='Data Entry - SOF'!B$2,'Data Entry - SOF'!O$64,0)</f>
        <v>0</v>
      </c>
    </row>
    <row r="203" spans="1:27" ht="15.75">
      <c r="A203" s="1076" t="s">
        <v>2462</v>
      </c>
      <c r="B203">
        <v>255833</v>
      </c>
      <c r="C203" s="2452" t="e">
        <f>#REF!+#REF!</f>
        <v>#REF!</v>
      </c>
      <c r="D203" s="2449">
        <f>IF(A203='Data Entry - SOF'!B$2,'Data Entry - SOF'!C$64,0)</f>
        <v>0</v>
      </c>
      <c r="E203" s="2450">
        <f t="shared" si="37"/>
        <v>255833</v>
      </c>
      <c r="F203" s="2212" t="e">
        <f>IF('Report-M&amp;O1718'!C$18-'Report-SOF1718'!D$55&lt;=0,0,'Report-M&amp;O1718'!C$18-'Report-SOF1718'!D$55)</f>
        <v>#DIV/0!</v>
      </c>
      <c r="G203" s="2452" t="e">
        <f t="shared" si="38"/>
        <v>#DIV/0!</v>
      </c>
      <c r="H203" s="2449">
        <f>IF(A203='Data Entry - SOF'!B$2,'Data Entry - SOF'!E$64,0)</f>
        <v>0</v>
      </c>
      <c r="I203" s="1687">
        <f t="shared" si="39"/>
        <v>255833</v>
      </c>
      <c r="J203" s="2212" t="e">
        <f>IF('Report-M&amp;O1819'!C$18-'Report-SOF1819'!D$55&lt;=0,0,'Report-M&amp;O1819'!C$18-'Report-SOF1819'!D$55)</f>
        <v>#DIV/0!</v>
      </c>
      <c r="K203" s="2452" t="e">
        <f t="shared" si="40"/>
        <v>#DIV/0!</v>
      </c>
      <c r="L203" s="2449">
        <f>IF(A203='Data Entry - SOF'!B$2,'Data Entry - SOF'!G$64,0)</f>
        <v>0</v>
      </c>
      <c r="M203" s="1371">
        <f t="shared" si="41"/>
        <v>255833</v>
      </c>
      <c r="N203" s="2212" t="e">
        <f>IF('Report-M&amp;O1920'!C$18-'Report-SOF1920'!D$55&lt;=0,0,'Report-M&amp;O1920'!C$18-'Report-SOF1920'!D$55)</f>
        <v>#DIV/0!</v>
      </c>
      <c r="O203" s="2452" t="e">
        <f t="shared" si="42"/>
        <v>#DIV/0!</v>
      </c>
      <c r="P203" s="2449">
        <f>IF(A203='Data Entry - SOF'!B$2,'Data Entry - SOF'!I$64,0)</f>
        <v>0</v>
      </c>
      <c r="Q203" s="1687">
        <f t="shared" si="36"/>
        <v>255833</v>
      </c>
      <c r="R203" s="2212" t="e">
        <f>IF('Report-M&amp;O2021'!C$18-'Report-SOF2021'!D$55&lt;=0,0,'Report-M&amp;O2021'!C$18-'Report-SOF2021'!D$55)</f>
        <v>#DIV/0!</v>
      </c>
      <c r="S203" s="2452" t="e">
        <f t="shared" si="43"/>
        <v>#DIV/0!</v>
      </c>
      <c r="T203" s="1708">
        <f>IF(A203='Data Entry - SOF'!B$2,'Data Entry - SOF'!K$64,0)</f>
        <v>0</v>
      </c>
      <c r="U203" s="1687">
        <f t="shared" si="35"/>
        <v>255833</v>
      </c>
      <c r="V203" s="2212" t="e">
        <f>IF('Report-M&amp;O2122'!C$18-'Report-SOF2122'!D$55&lt;=0,0,'Report-M&amp;O2122'!C$18-'Report-SOF2122'!D$55)</f>
        <v>#DIV/0!</v>
      </c>
      <c r="W203" s="2452" t="e">
        <f t="shared" si="44"/>
        <v>#DIV/0!</v>
      </c>
      <c r="X203" s="1708">
        <f>IF(A203='Data Entry - SOF'!B$2,'Data Entry - SOF'!M$64,0)</f>
        <v>0</v>
      </c>
      <c r="Y203" s="1371" t="e">
        <f t="shared" si="45"/>
        <v>#DIV/0!</v>
      </c>
      <c r="Z203" s="2212" t="e">
        <f>IF('Report-M&amp;O2223'!C$18-'Report-SOF2223'!D$55&lt;=0,0,'Report-M&amp;O2223'!C$18-'Report-SOF2223'!D$55)</f>
        <v>#DIV/0!</v>
      </c>
      <c r="AA203" s="1708">
        <f>IF(A203='Data Entry - SOF'!B$2,'Data Entry - SOF'!O$64,0)</f>
        <v>0</v>
      </c>
    </row>
    <row r="204" spans="1:27" ht="15.75">
      <c r="A204" s="1076" t="s">
        <v>1268</v>
      </c>
      <c r="B204">
        <v>535116</v>
      </c>
      <c r="C204" s="2452" t="e">
        <f>#REF!+#REF!</f>
        <v>#REF!</v>
      </c>
      <c r="D204" s="2449">
        <f>IF(A204='Data Entry - SOF'!B$2,'Data Entry - SOF'!C$64,0)</f>
        <v>0</v>
      </c>
      <c r="E204" s="2450">
        <f t="shared" si="37"/>
        <v>535116</v>
      </c>
      <c r="F204" s="2212" t="e">
        <f>IF('Report-M&amp;O1718'!C$18-'Report-SOF1718'!D$55&lt;=0,0,'Report-M&amp;O1718'!C$18-'Report-SOF1718'!D$55)</f>
        <v>#DIV/0!</v>
      </c>
      <c r="G204" s="2452" t="e">
        <f t="shared" si="38"/>
        <v>#DIV/0!</v>
      </c>
      <c r="H204" s="2449">
        <f>IF(A204='Data Entry - SOF'!B$2,'Data Entry - SOF'!E$64,0)</f>
        <v>0</v>
      </c>
      <c r="I204" s="1687">
        <f t="shared" si="39"/>
        <v>535116</v>
      </c>
      <c r="J204" s="2212" t="e">
        <f>IF('Report-M&amp;O1819'!C$18-'Report-SOF1819'!D$55&lt;=0,0,'Report-M&amp;O1819'!C$18-'Report-SOF1819'!D$55)</f>
        <v>#DIV/0!</v>
      </c>
      <c r="K204" s="2452" t="e">
        <f t="shared" si="40"/>
        <v>#DIV/0!</v>
      </c>
      <c r="L204" s="2449">
        <f>IF(A204='Data Entry - SOF'!B$2,'Data Entry - SOF'!G$64,0)</f>
        <v>0</v>
      </c>
      <c r="M204" s="1371">
        <f t="shared" si="41"/>
        <v>535116</v>
      </c>
      <c r="N204" s="2212" t="e">
        <f>IF('Report-M&amp;O1920'!C$18-'Report-SOF1920'!D$55&lt;=0,0,'Report-M&amp;O1920'!C$18-'Report-SOF1920'!D$55)</f>
        <v>#DIV/0!</v>
      </c>
      <c r="O204" s="2452" t="e">
        <f t="shared" si="42"/>
        <v>#DIV/0!</v>
      </c>
      <c r="P204" s="2449">
        <f>IF(A204='Data Entry - SOF'!B$2,'Data Entry - SOF'!I$64,0)</f>
        <v>0</v>
      </c>
      <c r="Q204" s="1687">
        <f t="shared" si="36"/>
        <v>535116</v>
      </c>
      <c r="R204" s="2212" t="e">
        <f>IF('Report-M&amp;O2021'!C$18-'Report-SOF2021'!D$55&lt;=0,0,'Report-M&amp;O2021'!C$18-'Report-SOF2021'!D$55)</f>
        <v>#DIV/0!</v>
      </c>
      <c r="S204" s="2452" t="e">
        <f t="shared" si="43"/>
        <v>#DIV/0!</v>
      </c>
      <c r="T204" s="1708">
        <f>IF(A204='Data Entry - SOF'!B$2,'Data Entry - SOF'!K$64,0)</f>
        <v>0</v>
      </c>
      <c r="U204" s="1687">
        <f t="shared" si="35"/>
        <v>535116</v>
      </c>
      <c r="V204" s="2212" t="e">
        <f>IF('Report-M&amp;O2122'!C$18-'Report-SOF2122'!D$55&lt;=0,0,'Report-M&amp;O2122'!C$18-'Report-SOF2122'!D$55)</f>
        <v>#DIV/0!</v>
      </c>
      <c r="W204" s="2452" t="e">
        <f t="shared" si="44"/>
        <v>#DIV/0!</v>
      </c>
      <c r="X204" s="1708">
        <f>IF(A204='Data Entry - SOF'!B$2,'Data Entry - SOF'!M$64,0)</f>
        <v>0</v>
      </c>
      <c r="Y204" s="1371" t="e">
        <f t="shared" si="45"/>
        <v>#DIV/0!</v>
      </c>
      <c r="Z204" s="2212" t="e">
        <f>IF('Report-M&amp;O2223'!C$18-'Report-SOF2223'!D$55&lt;=0,0,'Report-M&amp;O2223'!C$18-'Report-SOF2223'!D$55)</f>
        <v>#DIV/0!</v>
      </c>
      <c r="AA204" s="1708">
        <f>IF(A204='Data Entry - SOF'!B$2,'Data Entry - SOF'!O$64,0)</f>
        <v>0</v>
      </c>
    </row>
    <row r="205" spans="1:27" ht="15.75">
      <c r="A205" s="1076" t="s">
        <v>2752</v>
      </c>
      <c r="B205">
        <v>4465825</v>
      </c>
      <c r="C205" s="2452" t="e">
        <f>#REF!+#REF!</f>
        <v>#REF!</v>
      </c>
      <c r="D205" s="2449">
        <f>IF(A205='Data Entry - SOF'!B$2,'Data Entry - SOF'!C$64,0)</f>
        <v>0</v>
      </c>
      <c r="E205" s="2450">
        <f t="shared" si="37"/>
        <v>4465825</v>
      </c>
      <c r="F205" s="2212" t="e">
        <f>IF('Report-M&amp;O1718'!C$18-'Report-SOF1718'!D$55&lt;=0,0,'Report-M&amp;O1718'!C$18-'Report-SOF1718'!D$55)</f>
        <v>#DIV/0!</v>
      </c>
      <c r="G205" s="2452" t="e">
        <f t="shared" si="38"/>
        <v>#DIV/0!</v>
      </c>
      <c r="H205" s="2449">
        <f>IF(A205='Data Entry - SOF'!B$2,'Data Entry - SOF'!E$64,0)</f>
        <v>0</v>
      </c>
      <c r="I205" s="1687">
        <f t="shared" si="39"/>
        <v>4465825</v>
      </c>
      <c r="J205" s="2212" t="e">
        <f>IF('Report-M&amp;O1819'!C$18-'Report-SOF1819'!D$55&lt;=0,0,'Report-M&amp;O1819'!C$18-'Report-SOF1819'!D$55)</f>
        <v>#DIV/0!</v>
      </c>
      <c r="K205" s="2452" t="e">
        <f t="shared" si="40"/>
        <v>#DIV/0!</v>
      </c>
      <c r="L205" s="2449">
        <f>IF(A205='Data Entry - SOF'!B$2,'Data Entry - SOF'!G$64,0)</f>
        <v>0</v>
      </c>
      <c r="M205" s="1371">
        <f t="shared" si="41"/>
        <v>4465825</v>
      </c>
      <c r="N205" s="2212" t="e">
        <f>IF('Report-M&amp;O1920'!C$18-'Report-SOF1920'!D$55&lt;=0,0,'Report-M&amp;O1920'!C$18-'Report-SOF1920'!D$55)</f>
        <v>#DIV/0!</v>
      </c>
      <c r="O205" s="2452" t="e">
        <f t="shared" si="42"/>
        <v>#DIV/0!</v>
      </c>
      <c r="P205" s="2449">
        <f>IF(A205='Data Entry - SOF'!B$2,'Data Entry - SOF'!I$64,0)</f>
        <v>0</v>
      </c>
      <c r="Q205" s="1687">
        <f t="shared" si="36"/>
        <v>4465825</v>
      </c>
      <c r="R205" s="2212" t="e">
        <f>IF('Report-M&amp;O2021'!C$18-'Report-SOF2021'!D$55&lt;=0,0,'Report-M&amp;O2021'!C$18-'Report-SOF2021'!D$55)</f>
        <v>#DIV/0!</v>
      </c>
      <c r="S205" s="2452" t="e">
        <f t="shared" si="43"/>
        <v>#DIV/0!</v>
      </c>
      <c r="T205" s="1708">
        <f>IF(A205='Data Entry - SOF'!B$2,'Data Entry - SOF'!K$64,0)</f>
        <v>0</v>
      </c>
      <c r="U205" s="1687">
        <f t="shared" si="35"/>
        <v>4465825</v>
      </c>
      <c r="V205" s="2212" t="e">
        <f>IF('Report-M&amp;O2122'!C$18-'Report-SOF2122'!D$55&lt;=0,0,'Report-M&amp;O2122'!C$18-'Report-SOF2122'!D$55)</f>
        <v>#DIV/0!</v>
      </c>
      <c r="W205" s="2452" t="e">
        <f t="shared" si="44"/>
        <v>#DIV/0!</v>
      </c>
      <c r="X205" s="1708">
        <f>IF(A205='Data Entry - SOF'!B$2,'Data Entry - SOF'!M$64,0)</f>
        <v>0</v>
      </c>
      <c r="Y205" s="1371" t="e">
        <f t="shared" si="45"/>
        <v>#DIV/0!</v>
      </c>
      <c r="Z205" s="2212" t="e">
        <f>IF('Report-M&amp;O2223'!C$18-'Report-SOF2223'!D$55&lt;=0,0,'Report-M&amp;O2223'!C$18-'Report-SOF2223'!D$55)</f>
        <v>#DIV/0!</v>
      </c>
      <c r="AA205" s="1708">
        <f>IF(A205='Data Entry - SOF'!B$2,'Data Entry - SOF'!O$64,0)</f>
        <v>0</v>
      </c>
    </row>
    <row r="206" spans="1:27" ht="15.75">
      <c r="A206" s="1076" t="s">
        <v>1269</v>
      </c>
      <c r="B206">
        <v>850172</v>
      </c>
      <c r="C206" s="2452" t="e">
        <f>#REF!+#REF!</f>
        <v>#REF!</v>
      </c>
      <c r="D206" s="2449">
        <f>IF(A206='Data Entry - SOF'!B$2,'Data Entry - SOF'!C$64,0)</f>
        <v>0</v>
      </c>
      <c r="E206" s="2450">
        <f t="shared" si="37"/>
        <v>850172</v>
      </c>
      <c r="F206" s="2212" t="e">
        <f>IF('Report-M&amp;O1718'!C$18-'Report-SOF1718'!D$55&lt;=0,0,'Report-M&amp;O1718'!C$18-'Report-SOF1718'!D$55)</f>
        <v>#DIV/0!</v>
      </c>
      <c r="G206" s="2452" t="e">
        <f t="shared" si="38"/>
        <v>#DIV/0!</v>
      </c>
      <c r="H206" s="2449">
        <f>IF(A206='Data Entry - SOF'!B$2,'Data Entry - SOF'!E$64,0)</f>
        <v>0</v>
      </c>
      <c r="I206" s="1687">
        <f t="shared" si="39"/>
        <v>850172</v>
      </c>
      <c r="J206" s="2212" t="e">
        <f>IF('Report-M&amp;O1819'!C$18-'Report-SOF1819'!D$55&lt;=0,0,'Report-M&amp;O1819'!C$18-'Report-SOF1819'!D$55)</f>
        <v>#DIV/0!</v>
      </c>
      <c r="K206" s="2452" t="e">
        <f t="shared" si="40"/>
        <v>#DIV/0!</v>
      </c>
      <c r="L206" s="2449">
        <f>IF(A206='Data Entry - SOF'!B$2,'Data Entry - SOF'!G$64,0)</f>
        <v>0</v>
      </c>
      <c r="M206" s="1371">
        <f t="shared" si="41"/>
        <v>850172</v>
      </c>
      <c r="N206" s="2212" t="e">
        <f>IF('Report-M&amp;O1920'!C$18-'Report-SOF1920'!D$55&lt;=0,0,'Report-M&amp;O1920'!C$18-'Report-SOF1920'!D$55)</f>
        <v>#DIV/0!</v>
      </c>
      <c r="O206" s="2452" t="e">
        <f t="shared" si="42"/>
        <v>#DIV/0!</v>
      </c>
      <c r="P206" s="2449">
        <f>IF(A206='Data Entry - SOF'!B$2,'Data Entry - SOF'!I$64,0)</f>
        <v>0</v>
      </c>
      <c r="Q206" s="1687">
        <f t="shared" si="36"/>
        <v>850172</v>
      </c>
      <c r="R206" s="2212" t="e">
        <f>IF('Report-M&amp;O2021'!C$18-'Report-SOF2021'!D$55&lt;=0,0,'Report-M&amp;O2021'!C$18-'Report-SOF2021'!D$55)</f>
        <v>#DIV/0!</v>
      </c>
      <c r="S206" s="2452" t="e">
        <f t="shared" si="43"/>
        <v>#DIV/0!</v>
      </c>
      <c r="T206" s="1708">
        <f>IF(A206='Data Entry - SOF'!B$2,'Data Entry - SOF'!K$64,0)</f>
        <v>0</v>
      </c>
      <c r="U206" s="1687">
        <f t="shared" si="35"/>
        <v>850172</v>
      </c>
      <c r="V206" s="2212" t="e">
        <f>IF('Report-M&amp;O2122'!C$18-'Report-SOF2122'!D$55&lt;=0,0,'Report-M&amp;O2122'!C$18-'Report-SOF2122'!D$55)</f>
        <v>#DIV/0!</v>
      </c>
      <c r="W206" s="2452" t="e">
        <f t="shared" si="44"/>
        <v>#DIV/0!</v>
      </c>
      <c r="X206" s="1708">
        <f>IF(A206='Data Entry - SOF'!B$2,'Data Entry - SOF'!M$64,0)</f>
        <v>0</v>
      </c>
      <c r="Y206" s="1371" t="e">
        <f t="shared" si="45"/>
        <v>#DIV/0!</v>
      </c>
      <c r="Z206" s="2212" t="e">
        <f>IF('Report-M&amp;O2223'!C$18-'Report-SOF2223'!D$55&lt;=0,0,'Report-M&amp;O2223'!C$18-'Report-SOF2223'!D$55)</f>
        <v>#DIV/0!</v>
      </c>
      <c r="AA206" s="1708">
        <f>IF(A206='Data Entry - SOF'!B$2,'Data Entry - SOF'!O$64,0)</f>
        <v>0</v>
      </c>
    </row>
    <row r="207" spans="1:27" ht="15.75">
      <c r="A207" s="1076" t="s">
        <v>779</v>
      </c>
      <c r="B207">
        <v>22430168</v>
      </c>
      <c r="C207" s="2452" t="e">
        <f>#REF!+#REF!</f>
        <v>#REF!</v>
      </c>
      <c r="D207" s="2449">
        <f>IF(A207='Data Entry - SOF'!B$2,'Data Entry - SOF'!C$64,0)</f>
        <v>0</v>
      </c>
      <c r="E207" s="2450">
        <f t="shared" si="37"/>
        <v>22430168</v>
      </c>
      <c r="F207" s="2212" t="e">
        <f>IF('Report-M&amp;O1718'!C$18-'Report-SOF1718'!D$55&lt;=0,0,'Report-M&amp;O1718'!C$18-'Report-SOF1718'!D$55)</f>
        <v>#DIV/0!</v>
      </c>
      <c r="G207" s="2452" t="e">
        <f t="shared" si="38"/>
        <v>#DIV/0!</v>
      </c>
      <c r="H207" s="2449">
        <f>IF(A207='Data Entry - SOF'!B$2,'Data Entry - SOF'!E$64,0)</f>
        <v>0</v>
      </c>
      <c r="I207" s="1687">
        <f t="shared" si="39"/>
        <v>22430168</v>
      </c>
      <c r="J207" s="2212" t="e">
        <f>IF('Report-M&amp;O1819'!C$18-'Report-SOF1819'!D$55&lt;=0,0,'Report-M&amp;O1819'!C$18-'Report-SOF1819'!D$55)</f>
        <v>#DIV/0!</v>
      </c>
      <c r="K207" s="2452" t="e">
        <f t="shared" si="40"/>
        <v>#DIV/0!</v>
      </c>
      <c r="L207" s="2449">
        <f>IF(A207='Data Entry - SOF'!B$2,'Data Entry - SOF'!G$64,0)</f>
        <v>0</v>
      </c>
      <c r="M207" s="1371">
        <f t="shared" si="41"/>
        <v>22430168</v>
      </c>
      <c r="N207" s="2212" t="e">
        <f>IF('Report-M&amp;O1920'!C$18-'Report-SOF1920'!D$55&lt;=0,0,'Report-M&amp;O1920'!C$18-'Report-SOF1920'!D$55)</f>
        <v>#DIV/0!</v>
      </c>
      <c r="O207" s="2452" t="e">
        <f t="shared" si="42"/>
        <v>#DIV/0!</v>
      </c>
      <c r="P207" s="2449">
        <f>IF(A207='Data Entry - SOF'!B$2,'Data Entry - SOF'!I$64,0)</f>
        <v>0</v>
      </c>
      <c r="Q207" s="1687">
        <f t="shared" si="36"/>
        <v>22430168</v>
      </c>
      <c r="R207" s="2212" t="e">
        <f>IF('Report-M&amp;O2021'!C$18-'Report-SOF2021'!D$55&lt;=0,0,'Report-M&amp;O2021'!C$18-'Report-SOF2021'!D$55)</f>
        <v>#DIV/0!</v>
      </c>
      <c r="S207" s="2452" t="e">
        <f t="shared" si="43"/>
        <v>#DIV/0!</v>
      </c>
      <c r="T207" s="1708">
        <f>IF(A207='Data Entry - SOF'!B$2,'Data Entry - SOF'!K$64,0)</f>
        <v>0</v>
      </c>
      <c r="U207" s="1687">
        <f t="shared" si="35"/>
        <v>22430168</v>
      </c>
      <c r="V207" s="2212" t="e">
        <f>IF('Report-M&amp;O2122'!C$18-'Report-SOF2122'!D$55&lt;=0,0,'Report-M&amp;O2122'!C$18-'Report-SOF2122'!D$55)</f>
        <v>#DIV/0!</v>
      </c>
      <c r="W207" s="2452" t="e">
        <f t="shared" si="44"/>
        <v>#DIV/0!</v>
      </c>
      <c r="X207" s="1708">
        <f>IF(A207='Data Entry - SOF'!B$2,'Data Entry - SOF'!M$64,0)</f>
        <v>0</v>
      </c>
      <c r="Y207" s="1371" t="e">
        <f t="shared" si="45"/>
        <v>#DIV/0!</v>
      </c>
      <c r="Z207" s="2212" t="e">
        <f>IF('Report-M&amp;O2223'!C$18-'Report-SOF2223'!D$55&lt;=0,0,'Report-M&amp;O2223'!C$18-'Report-SOF2223'!D$55)</f>
        <v>#DIV/0!</v>
      </c>
      <c r="AA207" s="1708">
        <f>IF(A207='Data Entry - SOF'!B$2,'Data Entry - SOF'!O$64,0)</f>
        <v>0</v>
      </c>
    </row>
    <row r="208" spans="1:27" ht="15.75">
      <c r="A208" s="1076" t="s">
        <v>780</v>
      </c>
      <c r="B208">
        <v>24103864</v>
      </c>
      <c r="C208" s="2452" t="e">
        <f>#REF!+#REF!</f>
        <v>#REF!</v>
      </c>
      <c r="D208" s="2449">
        <f>IF(A208='Data Entry - SOF'!B$2,'Data Entry - SOF'!C$64,0)</f>
        <v>0</v>
      </c>
      <c r="E208" s="2450">
        <f t="shared" si="37"/>
        <v>24103864</v>
      </c>
      <c r="F208" s="2212" t="e">
        <f>IF('Report-M&amp;O1718'!C$18-'Report-SOF1718'!D$55&lt;=0,0,'Report-M&amp;O1718'!C$18-'Report-SOF1718'!D$55)</f>
        <v>#DIV/0!</v>
      </c>
      <c r="G208" s="2452" t="e">
        <f t="shared" si="38"/>
        <v>#DIV/0!</v>
      </c>
      <c r="H208" s="2449">
        <f>IF(A208='Data Entry - SOF'!B$2,'Data Entry - SOF'!E$64,0)</f>
        <v>0</v>
      </c>
      <c r="I208" s="1687">
        <f t="shared" si="39"/>
        <v>24103864</v>
      </c>
      <c r="J208" s="2212" t="e">
        <f>IF('Report-M&amp;O1819'!C$18-'Report-SOF1819'!D$55&lt;=0,0,'Report-M&amp;O1819'!C$18-'Report-SOF1819'!D$55)</f>
        <v>#DIV/0!</v>
      </c>
      <c r="K208" s="2452" t="e">
        <f t="shared" si="40"/>
        <v>#DIV/0!</v>
      </c>
      <c r="L208" s="2449">
        <f>IF(A208='Data Entry - SOF'!B$2,'Data Entry - SOF'!G$64,0)</f>
        <v>0</v>
      </c>
      <c r="M208" s="1371">
        <f t="shared" si="41"/>
        <v>24103864</v>
      </c>
      <c r="N208" s="2212" t="e">
        <f>IF('Report-M&amp;O1920'!C$18-'Report-SOF1920'!D$55&lt;=0,0,'Report-M&amp;O1920'!C$18-'Report-SOF1920'!D$55)</f>
        <v>#DIV/0!</v>
      </c>
      <c r="O208" s="2452" t="e">
        <f t="shared" si="42"/>
        <v>#DIV/0!</v>
      </c>
      <c r="P208" s="2449">
        <f>IF(A208='Data Entry - SOF'!B$2,'Data Entry - SOF'!I$64,0)</f>
        <v>0</v>
      </c>
      <c r="Q208" s="1687">
        <f t="shared" si="36"/>
        <v>24103864</v>
      </c>
      <c r="R208" s="2212" t="e">
        <f>IF('Report-M&amp;O2021'!C$18-'Report-SOF2021'!D$55&lt;=0,0,'Report-M&amp;O2021'!C$18-'Report-SOF2021'!D$55)</f>
        <v>#DIV/0!</v>
      </c>
      <c r="S208" s="2452" t="e">
        <f t="shared" si="43"/>
        <v>#DIV/0!</v>
      </c>
      <c r="T208" s="1708">
        <f>IF(A208='Data Entry - SOF'!B$2,'Data Entry - SOF'!K$64,0)</f>
        <v>0</v>
      </c>
      <c r="U208" s="1687">
        <f t="shared" ref="U208:U255" si="46">Q208-T208</f>
        <v>24103864</v>
      </c>
      <c r="V208" s="2212" t="e">
        <f>IF('Report-M&amp;O2122'!C$18-'Report-SOF2122'!D$55&lt;=0,0,'Report-M&amp;O2122'!C$18-'Report-SOF2122'!D$55)</f>
        <v>#DIV/0!</v>
      </c>
      <c r="W208" s="2452" t="e">
        <f t="shared" si="44"/>
        <v>#DIV/0!</v>
      </c>
      <c r="X208" s="1708">
        <f>IF(A208='Data Entry - SOF'!B$2,'Data Entry - SOF'!M$64,0)</f>
        <v>0</v>
      </c>
      <c r="Y208" s="1371" t="e">
        <f t="shared" si="45"/>
        <v>#DIV/0!</v>
      </c>
      <c r="Z208" s="2212" t="e">
        <f>IF('Report-M&amp;O2223'!C$18-'Report-SOF2223'!D$55&lt;=0,0,'Report-M&amp;O2223'!C$18-'Report-SOF2223'!D$55)</f>
        <v>#DIV/0!</v>
      </c>
      <c r="AA208" s="1708">
        <f>IF(A208='Data Entry - SOF'!B$2,'Data Entry - SOF'!O$64,0)</f>
        <v>0</v>
      </c>
    </row>
    <row r="209" spans="1:27" ht="15.75">
      <c r="A209" s="1076" t="s">
        <v>781</v>
      </c>
      <c r="B209">
        <v>584841</v>
      </c>
      <c r="C209" s="2452" t="e">
        <f>#REF!+#REF!</f>
        <v>#REF!</v>
      </c>
      <c r="D209" s="2449">
        <f>IF(A209='Data Entry - SOF'!B$2,'Data Entry - SOF'!C$64,0)</f>
        <v>0</v>
      </c>
      <c r="E209" s="2450">
        <f t="shared" si="37"/>
        <v>584841</v>
      </c>
      <c r="F209" s="2212" t="e">
        <f>IF('Report-M&amp;O1718'!C$18-'Report-SOF1718'!D$55&lt;=0,0,'Report-M&amp;O1718'!C$18-'Report-SOF1718'!D$55)</f>
        <v>#DIV/0!</v>
      </c>
      <c r="G209" s="2452" t="e">
        <f t="shared" si="38"/>
        <v>#DIV/0!</v>
      </c>
      <c r="H209" s="2449">
        <f>IF(A209='Data Entry - SOF'!B$2,'Data Entry - SOF'!E$64,0)</f>
        <v>0</v>
      </c>
      <c r="I209" s="1687">
        <f t="shared" si="39"/>
        <v>584841</v>
      </c>
      <c r="J209" s="2212" t="e">
        <f>IF('Report-M&amp;O1819'!C$18-'Report-SOF1819'!D$55&lt;=0,0,'Report-M&amp;O1819'!C$18-'Report-SOF1819'!D$55)</f>
        <v>#DIV/0!</v>
      </c>
      <c r="K209" s="2452" t="e">
        <f t="shared" si="40"/>
        <v>#DIV/0!</v>
      </c>
      <c r="L209" s="2449">
        <f>IF(A209='Data Entry - SOF'!B$2,'Data Entry - SOF'!G$64,0)</f>
        <v>0</v>
      </c>
      <c r="M209" s="1371">
        <f t="shared" si="41"/>
        <v>584841</v>
      </c>
      <c r="N209" s="2212" t="e">
        <f>IF('Report-M&amp;O1920'!C$18-'Report-SOF1920'!D$55&lt;=0,0,'Report-M&amp;O1920'!C$18-'Report-SOF1920'!D$55)</f>
        <v>#DIV/0!</v>
      </c>
      <c r="O209" s="2452" t="e">
        <f t="shared" si="42"/>
        <v>#DIV/0!</v>
      </c>
      <c r="P209" s="2449">
        <f>IF(A209='Data Entry - SOF'!B$2,'Data Entry - SOF'!I$64,0)</f>
        <v>0</v>
      </c>
      <c r="Q209" s="1687">
        <f t="shared" si="36"/>
        <v>584841</v>
      </c>
      <c r="R209" s="2212" t="e">
        <f>IF('Report-M&amp;O2021'!C$18-'Report-SOF2021'!D$55&lt;=0,0,'Report-M&amp;O2021'!C$18-'Report-SOF2021'!D$55)</f>
        <v>#DIV/0!</v>
      </c>
      <c r="S209" s="2452" t="e">
        <f t="shared" si="43"/>
        <v>#DIV/0!</v>
      </c>
      <c r="T209" s="1708">
        <f>IF(A209='Data Entry - SOF'!B$2,'Data Entry - SOF'!K$64,0)</f>
        <v>0</v>
      </c>
      <c r="U209" s="1687">
        <f t="shared" si="46"/>
        <v>584841</v>
      </c>
      <c r="V209" s="2212" t="e">
        <f>IF('Report-M&amp;O2122'!C$18-'Report-SOF2122'!D$55&lt;=0,0,'Report-M&amp;O2122'!C$18-'Report-SOF2122'!D$55)</f>
        <v>#DIV/0!</v>
      </c>
      <c r="W209" s="2452" t="e">
        <f t="shared" si="44"/>
        <v>#DIV/0!</v>
      </c>
      <c r="X209" s="1708">
        <f>IF(A209='Data Entry - SOF'!B$2,'Data Entry - SOF'!M$64,0)</f>
        <v>0</v>
      </c>
      <c r="Y209" s="1371" t="e">
        <f t="shared" si="45"/>
        <v>#DIV/0!</v>
      </c>
      <c r="Z209" s="2212" t="e">
        <f>IF('Report-M&amp;O2223'!C$18-'Report-SOF2223'!D$55&lt;=0,0,'Report-M&amp;O2223'!C$18-'Report-SOF2223'!D$55)</f>
        <v>#DIV/0!</v>
      </c>
      <c r="AA209" s="1708">
        <f>IF(A209='Data Entry - SOF'!B$2,'Data Entry - SOF'!O$64,0)</f>
        <v>0</v>
      </c>
    </row>
    <row r="210" spans="1:27" ht="15.75">
      <c r="A210" s="1076" t="s">
        <v>782</v>
      </c>
      <c r="B210">
        <v>868612</v>
      </c>
      <c r="C210" s="2452" t="e">
        <f>#REF!+#REF!</f>
        <v>#REF!</v>
      </c>
      <c r="D210" s="2449">
        <f>IF(A210='Data Entry - SOF'!B$2,'Data Entry - SOF'!C$64,0)</f>
        <v>0</v>
      </c>
      <c r="E210" s="2450">
        <f t="shared" si="37"/>
        <v>868612</v>
      </c>
      <c r="F210" s="2212" t="e">
        <f>IF('Report-M&amp;O1718'!C$18-'Report-SOF1718'!D$55&lt;=0,0,'Report-M&amp;O1718'!C$18-'Report-SOF1718'!D$55)</f>
        <v>#DIV/0!</v>
      </c>
      <c r="G210" s="2452" t="e">
        <f t="shared" si="38"/>
        <v>#DIV/0!</v>
      </c>
      <c r="H210" s="2449">
        <f>IF(A210='Data Entry - SOF'!B$2,'Data Entry - SOF'!E$64,0)</f>
        <v>0</v>
      </c>
      <c r="I210" s="1687">
        <f t="shared" si="39"/>
        <v>868612</v>
      </c>
      <c r="J210" s="2212" t="e">
        <f>IF('Report-M&amp;O1819'!C$18-'Report-SOF1819'!D$55&lt;=0,0,'Report-M&amp;O1819'!C$18-'Report-SOF1819'!D$55)</f>
        <v>#DIV/0!</v>
      </c>
      <c r="K210" s="2452" t="e">
        <f t="shared" si="40"/>
        <v>#DIV/0!</v>
      </c>
      <c r="L210" s="2449">
        <f>IF(A210='Data Entry - SOF'!B$2,'Data Entry - SOF'!G$64,0)</f>
        <v>0</v>
      </c>
      <c r="M210" s="1371">
        <f t="shared" si="41"/>
        <v>868612</v>
      </c>
      <c r="N210" s="2212" t="e">
        <f>IF('Report-M&amp;O1920'!C$18-'Report-SOF1920'!D$55&lt;=0,0,'Report-M&amp;O1920'!C$18-'Report-SOF1920'!D$55)</f>
        <v>#DIV/0!</v>
      </c>
      <c r="O210" s="2452" t="e">
        <f t="shared" si="42"/>
        <v>#DIV/0!</v>
      </c>
      <c r="P210" s="2449">
        <f>IF(A210='Data Entry - SOF'!B$2,'Data Entry - SOF'!I$64,0)</f>
        <v>0</v>
      </c>
      <c r="Q210" s="1687">
        <f t="shared" si="36"/>
        <v>868612</v>
      </c>
      <c r="R210" s="2212" t="e">
        <f>IF('Report-M&amp;O2021'!C$18-'Report-SOF2021'!D$55&lt;=0,0,'Report-M&amp;O2021'!C$18-'Report-SOF2021'!D$55)</f>
        <v>#DIV/0!</v>
      </c>
      <c r="S210" s="2452" t="e">
        <f t="shared" si="43"/>
        <v>#DIV/0!</v>
      </c>
      <c r="T210" s="1708">
        <f>IF(A210='Data Entry - SOF'!B$2,'Data Entry - SOF'!K$64,0)</f>
        <v>0</v>
      </c>
      <c r="U210" s="1687">
        <f t="shared" si="46"/>
        <v>868612</v>
      </c>
      <c r="V210" s="2212" t="e">
        <f>IF('Report-M&amp;O2122'!C$18-'Report-SOF2122'!D$55&lt;=0,0,'Report-M&amp;O2122'!C$18-'Report-SOF2122'!D$55)</f>
        <v>#DIV/0!</v>
      </c>
      <c r="W210" s="2452" t="e">
        <f t="shared" si="44"/>
        <v>#DIV/0!</v>
      </c>
      <c r="X210" s="1708">
        <f>IF(A210='Data Entry - SOF'!B$2,'Data Entry - SOF'!M$64,0)</f>
        <v>0</v>
      </c>
      <c r="Y210" s="1371" t="e">
        <f t="shared" si="45"/>
        <v>#DIV/0!</v>
      </c>
      <c r="Z210" s="2212" t="e">
        <f>IF('Report-M&amp;O2223'!C$18-'Report-SOF2223'!D$55&lt;=0,0,'Report-M&amp;O2223'!C$18-'Report-SOF2223'!D$55)</f>
        <v>#DIV/0!</v>
      </c>
      <c r="AA210" s="1708">
        <f>IF(A210='Data Entry - SOF'!B$2,'Data Entry - SOF'!O$64,0)</f>
        <v>0</v>
      </c>
    </row>
    <row r="211" spans="1:27" ht="15.75">
      <c r="A211" s="1076" t="s">
        <v>428</v>
      </c>
      <c r="B211">
        <v>782768</v>
      </c>
      <c r="C211" s="2452" t="e">
        <f>#REF!+#REF!</f>
        <v>#REF!</v>
      </c>
      <c r="D211" s="2449">
        <f>IF(A211='Data Entry - SOF'!B$2,'Data Entry - SOF'!C$64,0)</f>
        <v>0</v>
      </c>
      <c r="E211" s="2450">
        <f t="shared" si="37"/>
        <v>782768</v>
      </c>
      <c r="F211" s="2212" t="e">
        <f>IF('Report-M&amp;O1718'!C$18-'Report-SOF1718'!D$55&lt;=0,0,'Report-M&amp;O1718'!C$18-'Report-SOF1718'!D$55)</f>
        <v>#DIV/0!</v>
      </c>
      <c r="G211" s="2452" t="e">
        <f t="shared" si="38"/>
        <v>#DIV/0!</v>
      </c>
      <c r="H211" s="2449">
        <f>IF(A211='Data Entry - SOF'!B$2,'Data Entry - SOF'!E$64,0)</f>
        <v>0</v>
      </c>
      <c r="I211" s="1687">
        <f t="shared" si="39"/>
        <v>782768</v>
      </c>
      <c r="J211" s="2212" t="e">
        <f>IF('Report-M&amp;O1819'!C$18-'Report-SOF1819'!D$55&lt;=0,0,'Report-M&amp;O1819'!C$18-'Report-SOF1819'!D$55)</f>
        <v>#DIV/0!</v>
      </c>
      <c r="K211" s="2452" t="e">
        <f t="shared" si="40"/>
        <v>#DIV/0!</v>
      </c>
      <c r="L211" s="2449">
        <f>IF(A211='Data Entry - SOF'!B$2,'Data Entry - SOF'!G$64,0)</f>
        <v>0</v>
      </c>
      <c r="M211" s="1371">
        <f t="shared" si="41"/>
        <v>782768</v>
      </c>
      <c r="N211" s="2212" t="e">
        <f>IF('Report-M&amp;O1920'!C$18-'Report-SOF1920'!D$55&lt;=0,0,'Report-M&amp;O1920'!C$18-'Report-SOF1920'!D$55)</f>
        <v>#DIV/0!</v>
      </c>
      <c r="O211" s="2452" t="e">
        <f t="shared" si="42"/>
        <v>#DIV/0!</v>
      </c>
      <c r="P211" s="2449">
        <f>IF(A211='Data Entry - SOF'!B$2,'Data Entry - SOF'!I$64,0)</f>
        <v>0</v>
      </c>
      <c r="Q211" s="1687">
        <f t="shared" si="36"/>
        <v>782768</v>
      </c>
      <c r="R211" s="2212" t="e">
        <f>IF('Report-M&amp;O2021'!C$18-'Report-SOF2021'!D$55&lt;=0,0,'Report-M&amp;O2021'!C$18-'Report-SOF2021'!D$55)</f>
        <v>#DIV/0!</v>
      </c>
      <c r="S211" s="2452" t="e">
        <f t="shared" si="43"/>
        <v>#DIV/0!</v>
      </c>
      <c r="T211" s="1708">
        <f>IF(A211='Data Entry - SOF'!B$2,'Data Entry - SOF'!K$64,0)</f>
        <v>0</v>
      </c>
      <c r="U211" s="1687">
        <f t="shared" si="46"/>
        <v>782768</v>
      </c>
      <c r="V211" s="2212" t="e">
        <f>IF('Report-M&amp;O2122'!C$18-'Report-SOF2122'!D$55&lt;=0,0,'Report-M&amp;O2122'!C$18-'Report-SOF2122'!D$55)</f>
        <v>#DIV/0!</v>
      </c>
      <c r="W211" s="2452" t="e">
        <f t="shared" si="44"/>
        <v>#DIV/0!</v>
      </c>
      <c r="X211" s="1708">
        <f>IF(A211='Data Entry - SOF'!B$2,'Data Entry - SOF'!M$64,0)</f>
        <v>0</v>
      </c>
      <c r="Y211" s="1371" t="e">
        <f t="shared" si="45"/>
        <v>#DIV/0!</v>
      </c>
      <c r="Z211" s="2212" t="e">
        <f>IF('Report-M&amp;O2223'!C$18-'Report-SOF2223'!D$55&lt;=0,0,'Report-M&amp;O2223'!C$18-'Report-SOF2223'!D$55)</f>
        <v>#DIV/0!</v>
      </c>
      <c r="AA211" s="1708">
        <f>IF(A211='Data Entry - SOF'!B$2,'Data Entry - SOF'!O$64,0)</f>
        <v>0</v>
      </c>
    </row>
    <row r="212" spans="1:27" ht="15.75">
      <c r="A212" s="1076" t="s">
        <v>2928</v>
      </c>
      <c r="B212">
        <v>9363193.0800753497</v>
      </c>
      <c r="C212" s="2452" t="e">
        <f>#REF!+#REF!</f>
        <v>#REF!</v>
      </c>
      <c r="D212" s="2449">
        <f>IF(A212='Data Entry - SOF'!B$2,'Data Entry - SOF'!C$64,0)</f>
        <v>0</v>
      </c>
      <c r="E212" s="2450">
        <f t="shared" si="37"/>
        <v>9363193.0800753497</v>
      </c>
      <c r="F212" s="2212" t="e">
        <f>IF('Report-M&amp;O1718'!C$18-'Report-SOF1718'!D$55&lt;=0,0,'Report-M&amp;O1718'!C$18-'Report-SOF1718'!D$55)</f>
        <v>#DIV/0!</v>
      </c>
      <c r="G212" s="2452" t="e">
        <f t="shared" si="38"/>
        <v>#DIV/0!</v>
      </c>
      <c r="H212" s="2449">
        <f>IF(A212='Data Entry - SOF'!B$2,'Data Entry - SOF'!E$64,0)</f>
        <v>0</v>
      </c>
      <c r="I212" s="1687">
        <f t="shared" si="39"/>
        <v>9363193.0800753497</v>
      </c>
      <c r="J212" s="2212" t="e">
        <f>IF('Report-M&amp;O1819'!C$18-'Report-SOF1819'!D$55&lt;=0,0,'Report-M&amp;O1819'!C$18-'Report-SOF1819'!D$55)</f>
        <v>#DIV/0!</v>
      </c>
      <c r="K212" s="2452" t="e">
        <f t="shared" si="40"/>
        <v>#DIV/0!</v>
      </c>
      <c r="L212" s="2449">
        <f>IF(A212='Data Entry - SOF'!B$2,'Data Entry - SOF'!G$64,0)</f>
        <v>0</v>
      </c>
      <c r="M212" s="1371">
        <f t="shared" si="41"/>
        <v>9363193.0800753497</v>
      </c>
      <c r="N212" s="2212" t="e">
        <f>IF('Report-M&amp;O1920'!C$18-'Report-SOF1920'!D$55&lt;=0,0,'Report-M&amp;O1920'!C$18-'Report-SOF1920'!D$55)</f>
        <v>#DIV/0!</v>
      </c>
      <c r="O212" s="2452" t="e">
        <f t="shared" si="42"/>
        <v>#DIV/0!</v>
      </c>
      <c r="P212" s="2449">
        <f>IF(A212='Data Entry - SOF'!B$2,'Data Entry - SOF'!I$64,0)</f>
        <v>0</v>
      </c>
      <c r="Q212" s="1687">
        <f t="shared" si="36"/>
        <v>9363193.0800753497</v>
      </c>
      <c r="R212" s="2212" t="e">
        <f>IF('Report-M&amp;O2021'!C$18-'Report-SOF2021'!D$55&lt;=0,0,'Report-M&amp;O2021'!C$18-'Report-SOF2021'!D$55)</f>
        <v>#DIV/0!</v>
      </c>
      <c r="S212" s="2452" t="e">
        <f t="shared" si="43"/>
        <v>#DIV/0!</v>
      </c>
      <c r="T212" s="1708">
        <f>IF(A212='Data Entry - SOF'!B$2,'Data Entry - SOF'!K$64,0)</f>
        <v>0</v>
      </c>
      <c r="U212" s="1687">
        <f t="shared" si="46"/>
        <v>9363193.0800753497</v>
      </c>
      <c r="V212" s="2212" t="e">
        <f>IF('Report-M&amp;O2122'!C$18-'Report-SOF2122'!D$55&lt;=0,0,'Report-M&amp;O2122'!C$18-'Report-SOF2122'!D$55)</f>
        <v>#DIV/0!</v>
      </c>
      <c r="W212" s="2452" t="e">
        <f t="shared" si="44"/>
        <v>#DIV/0!</v>
      </c>
      <c r="X212" s="1708">
        <f>IF(A212='Data Entry - SOF'!B$2,'Data Entry - SOF'!M$64,0)</f>
        <v>0</v>
      </c>
      <c r="Y212" s="1371" t="e">
        <f t="shared" si="45"/>
        <v>#DIV/0!</v>
      </c>
      <c r="Z212" s="2212" t="e">
        <f>IF('Report-M&amp;O2223'!C$18-'Report-SOF2223'!D$55&lt;=0,0,'Report-M&amp;O2223'!C$18-'Report-SOF2223'!D$55)</f>
        <v>#DIV/0!</v>
      </c>
      <c r="AA212" s="1708">
        <f>IF(A212='Data Entry - SOF'!B$2,'Data Entry - SOF'!O$64,0)</f>
        <v>0</v>
      </c>
    </row>
    <row r="213" spans="1:27" ht="15.75">
      <c r="A213" s="1076" t="s">
        <v>2929</v>
      </c>
      <c r="B213">
        <v>9481833</v>
      </c>
      <c r="C213" s="2452" t="e">
        <f>#REF!+#REF!</f>
        <v>#REF!</v>
      </c>
      <c r="D213" s="2449">
        <f>IF(A213='Data Entry - SOF'!B$2,'Data Entry - SOF'!C$64,0)</f>
        <v>0</v>
      </c>
      <c r="E213" s="2450">
        <f t="shared" si="37"/>
        <v>9481833</v>
      </c>
      <c r="F213" s="2212" t="e">
        <f>IF('Report-M&amp;O1718'!C$18-'Report-SOF1718'!D$55&lt;=0,0,'Report-M&amp;O1718'!C$18-'Report-SOF1718'!D$55)</f>
        <v>#DIV/0!</v>
      </c>
      <c r="G213" s="2452" t="e">
        <f t="shared" si="38"/>
        <v>#DIV/0!</v>
      </c>
      <c r="H213" s="2449">
        <f>IF(A213='Data Entry - SOF'!B$2,'Data Entry - SOF'!E$64,0)</f>
        <v>0</v>
      </c>
      <c r="I213" s="1687">
        <f t="shared" si="39"/>
        <v>9481833</v>
      </c>
      <c r="J213" s="2212" t="e">
        <f>IF('Report-M&amp;O1819'!C$18-'Report-SOF1819'!D$55&lt;=0,0,'Report-M&amp;O1819'!C$18-'Report-SOF1819'!D$55)</f>
        <v>#DIV/0!</v>
      </c>
      <c r="K213" s="2452" t="e">
        <f t="shared" si="40"/>
        <v>#DIV/0!</v>
      </c>
      <c r="L213" s="2449">
        <f>IF(A213='Data Entry - SOF'!B$2,'Data Entry - SOF'!G$64,0)</f>
        <v>0</v>
      </c>
      <c r="M213" s="1371">
        <f t="shared" si="41"/>
        <v>9481833</v>
      </c>
      <c r="N213" s="2212" t="e">
        <f>IF('Report-M&amp;O1920'!C$18-'Report-SOF1920'!D$55&lt;=0,0,'Report-M&amp;O1920'!C$18-'Report-SOF1920'!D$55)</f>
        <v>#DIV/0!</v>
      </c>
      <c r="O213" s="2452" t="e">
        <f t="shared" si="42"/>
        <v>#DIV/0!</v>
      </c>
      <c r="P213" s="2449">
        <f>IF(A213='Data Entry - SOF'!B$2,'Data Entry - SOF'!I$64,0)</f>
        <v>0</v>
      </c>
      <c r="Q213" s="1687">
        <f t="shared" si="36"/>
        <v>9481833</v>
      </c>
      <c r="R213" s="2212" t="e">
        <f>IF('Report-M&amp;O2021'!C$18-'Report-SOF2021'!D$55&lt;=0,0,'Report-M&amp;O2021'!C$18-'Report-SOF2021'!D$55)</f>
        <v>#DIV/0!</v>
      </c>
      <c r="S213" s="2452" t="e">
        <f t="shared" si="43"/>
        <v>#DIV/0!</v>
      </c>
      <c r="T213" s="1708">
        <f>IF(A213='Data Entry - SOF'!B$2,'Data Entry - SOF'!K$64,0)</f>
        <v>0</v>
      </c>
      <c r="U213" s="1687">
        <f t="shared" si="46"/>
        <v>9481833</v>
      </c>
      <c r="V213" s="2212" t="e">
        <f>IF('Report-M&amp;O2122'!C$18-'Report-SOF2122'!D$55&lt;=0,0,'Report-M&amp;O2122'!C$18-'Report-SOF2122'!D$55)</f>
        <v>#DIV/0!</v>
      </c>
      <c r="W213" s="2452" t="e">
        <f t="shared" si="44"/>
        <v>#DIV/0!</v>
      </c>
      <c r="X213" s="1708">
        <f>IF(A213='Data Entry - SOF'!B$2,'Data Entry - SOF'!M$64,0)</f>
        <v>0</v>
      </c>
      <c r="Y213" s="1371" t="e">
        <f t="shared" si="45"/>
        <v>#DIV/0!</v>
      </c>
      <c r="Z213" s="2212" t="e">
        <f>IF('Report-M&amp;O2223'!C$18-'Report-SOF2223'!D$55&lt;=0,0,'Report-M&amp;O2223'!C$18-'Report-SOF2223'!D$55)</f>
        <v>#DIV/0!</v>
      </c>
      <c r="AA213" s="1708">
        <f>IF(A213='Data Entry - SOF'!B$2,'Data Entry - SOF'!O$64,0)</f>
        <v>0</v>
      </c>
    </row>
    <row r="214" spans="1:27" ht="15.75">
      <c r="A214" s="1076" t="s">
        <v>2930</v>
      </c>
      <c r="B214">
        <v>1430188</v>
      </c>
      <c r="C214" s="2452" t="e">
        <f>#REF!+#REF!</f>
        <v>#REF!</v>
      </c>
      <c r="D214" s="2449">
        <f>IF(A214='Data Entry - SOF'!B$2,'Data Entry - SOF'!C$64,0)</f>
        <v>0</v>
      </c>
      <c r="E214" s="2450">
        <f t="shared" si="37"/>
        <v>1430188</v>
      </c>
      <c r="F214" s="2212" t="e">
        <f>IF('Report-M&amp;O1718'!C$18-'Report-SOF1718'!D$55&lt;=0,0,'Report-M&amp;O1718'!C$18-'Report-SOF1718'!D$55)</f>
        <v>#DIV/0!</v>
      </c>
      <c r="G214" s="2452" t="e">
        <f t="shared" si="38"/>
        <v>#DIV/0!</v>
      </c>
      <c r="H214" s="2449">
        <f>IF(A214='Data Entry - SOF'!B$2,'Data Entry - SOF'!E$64,0)</f>
        <v>0</v>
      </c>
      <c r="I214" s="1687">
        <f t="shared" si="39"/>
        <v>1430188</v>
      </c>
      <c r="J214" s="2212" t="e">
        <f>IF('Report-M&amp;O1819'!C$18-'Report-SOF1819'!D$55&lt;=0,0,'Report-M&amp;O1819'!C$18-'Report-SOF1819'!D$55)</f>
        <v>#DIV/0!</v>
      </c>
      <c r="K214" s="2452" t="e">
        <f t="shared" si="40"/>
        <v>#DIV/0!</v>
      </c>
      <c r="L214" s="2449">
        <f>IF(A214='Data Entry - SOF'!B$2,'Data Entry - SOF'!G$64,0)</f>
        <v>0</v>
      </c>
      <c r="M214" s="1371">
        <f t="shared" si="41"/>
        <v>1430188</v>
      </c>
      <c r="N214" s="2212" t="e">
        <f>IF('Report-M&amp;O1920'!C$18-'Report-SOF1920'!D$55&lt;=0,0,'Report-M&amp;O1920'!C$18-'Report-SOF1920'!D$55)</f>
        <v>#DIV/0!</v>
      </c>
      <c r="O214" s="2452" t="e">
        <f t="shared" si="42"/>
        <v>#DIV/0!</v>
      </c>
      <c r="P214" s="2449">
        <f>IF(A214='Data Entry - SOF'!B$2,'Data Entry - SOF'!I$64,0)</f>
        <v>0</v>
      </c>
      <c r="Q214" s="1687">
        <f t="shared" si="36"/>
        <v>1430188</v>
      </c>
      <c r="R214" s="2212" t="e">
        <f>IF('Report-M&amp;O2021'!C$18-'Report-SOF2021'!D$55&lt;=0,0,'Report-M&amp;O2021'!C$18-'Report-SOF2021'!D$55)</f>
        <v>#DIV/0!</v>
      </c>
      <c r="S214" s="2452" t="e">
        <f t="shared" si="43"/>
        <v>#DIV/0!</v>
      </c>
      <c r="T214" s="1708">
        <f>IF(A214='Data Entry - SOF'!B$2,'Data Entry - SOF'!K$64,0)</f>
        <v>0</v>
      </c>
      <c r="U214" s="1687">
        <f t="shared" si="46"/>
        <v>1430188</v>
      </c>
      <c r="V214" s="2212" t="e">
        <f>IF('Report-M&amp;O2122'!C$18-'Report-SOF2122'!D$55&lt;=0,0,'Report-M&amp;O2122'!C$18-'Report-SOF2122'!D$55)</f>
        <v>#DIV/0!</v>
      </c>
      <c r="W214" s="2452" t="e">
        <f t="shared" si="44"/>
        <v>#DIV/0!</v>
      </c>
      <c r="X214" s="1708">
        <f>IF(A214='Data Entry - SOF'!B$2,'Data Entry - SOF'!M$64,0)</f>
        <v>0</v>
      </c>
      <c r="Y214" s="1371" t="e">
        <f t="shared" si="45"/>
        <v>#DIV/0!</v>
      </c>
      <c r="Z214" s="2212" t="e">
        <f>IF('Report-M&amp;O2223'!C$18-'Report-SOF2223'!D$55&lt;=0,0,'Report-M&amp;O2223'!C$18-'Report-SOF2223'!D$55)</f>
        <v>#DIV/0!</v>
      </c>
      <c r="AA214" s="1708">
        <f>IF(A214='Data Entry - SOF'!B$2,'Data Entry - SOF'!O$64,0)</f>
        <v>0</v>
      </c>
    </row>
    <row r="215" spans="1:27" ht="15.75">
      <c r="A215" s="1076" t="s">
        <v>1843</v>
      </c>
      <c r="B215">
        <v>255175516</v>
      </c>
      <c r="C215" s="2452" t="e">
        <f>#REF!+#REF!</f>
        <v>#REF!</v>
      </c>
      <c r="D215" s="2449">
        <f>IF(A215='Data Entry - SOF'!B$2,'Data Entry - SOF'!C$64,0)</f>
        <v>0</v>
      </c>
      <c r="E215" s="2450">
        <f t="shared" si="37"/>
        <v>255175516</v>
      </c>
      <c r="F215" s="2212" t="e">
        <f>IF('Report-M&amp;O1718'!C$18-'Report-SOF1718'!D$55&lt;=0,0,'Report-M&amp;O1718'!C$18-'Report-SOF1718'!D$55)</f>
        <v>#DIV/0!</v>
      </c>
      <c r="G215" s="2452" t="e">
        <f t="shared" si="38"/>
        <v>#DIV/0!</v>
      </c>
      <c r="H215" s="2449">
        <f>IF(A215='Data Entry - SOF'!B$2,'Data Entry - SOF'!E$64,0)</f>
        <v>0</v>
      </c>
      <c r="I215" s="1687">
        <f t="shared" si="39"/>
        <v>255175516</v>
      </c>
      <c r="J215" s="2212" t="e">
        <f>IF('Report-M&amp;O1819'!C$18-'Report-SOF1819'!D$55&lt;=0,0,'Report-M&amp;O1819'!C$18-'Report-SOF1819'!D$55)</f>
        <v>#DIV/0!</v>
      </c>
      <c r="K215" s="2452" t="e">
        <f t="shared" si="40"/>
        <v>#DIV/0!</v>
      </c>
      <c r="L215" s="2449">
        <f>IF(A215='Data Entry - SOF'!B$2,'Data Entry - SOF'!G$64,0)</f>
        <v>0</v>
      </c>
      <c r="M215" s="1371">
        <f t="shared" si="41"/>
        <v>255175516</v>
      </c>
      <c r="N215" s="2212" t="e">
        <f>IF('Report-M&amp;O1920'!C$18-'Report-SOF1920'!D$55&lt;=0,0,'Report-M&amp;O1920'!C$18-'Report-SOF1920'!D$55)</f>
        <v>#DIV/0!</v>
      </c>
      <c r="O215" s="2452" t="e">
        <f t="shared" si="42"/>
        <v>#DIV/0!</v>
      </c>
      <c r="P215" s="2449">
        <f>IF(A215='Data Entry - SOF'!B$2,'Data Entry - SOF'!I$64,0)</f>
        <v>0</v>
      </c>
      <c r="Q215" s="1687">
        <f t="shared" si="36"/>
        <v>255175516</v>
      </c>
      <c r="R215" s="2212" t="e">
        <f>IF('Report-M&amp;O2021'!C$18-'Report-SOF2021'!D$55&lt;=0,0,'Report-M&amp;O2021'!C$18-'Report-SOF2021'!D$55)</f>
        <v>#DIV/0!</v>
      </c>
      <c r="S215" s="2452" t="e">
        <f t="shared" si="43"/>
        <v>#DIV/0!</v>
      </c>
      <c r="T215" s="1708">
        <f>IF(A215='Data Entry - SOF'!B$2,'Data Entry - SOF'!K$64,0)</f>
        <v>0</v>
      </c>
      <c r="U215" s="1687">
        <f t="shared" si="46"/>
        <v>255175516</v>
      </c>
      <c r="V215" s="2212" t="e">
        <f>IF('Report-M&amp;O2122'!C$18-'Report-SOF2122'!D$55&lt;=0,0,'Report-M&amp;O2122'!C$18-'Report-SOF2122'!D$55)</f>
        <v>#DIV/0!</v>
      </c>
      <c r="W215" s="2452" t="e">
        <f t="shared" si="44"/>
        <v>#DIV/0!</v>
      </c>
      <c r="X215" s="1708">
        <f>IF(A215='Data Entry - SOF'!B$2,'Data Entry - SOF'!M$64,0)</f>
        <v>0</v>
      </c>
      <c r="Y215" s="1371" t="e">
        <f t="shared" si="45"/>
        <v>#DIV/0!</v>
      </c>
      <c r="Z215" s="2212" t="e">
        <f>IF('Report-M&amp;O2223'!C$18-'Report-SOF2223'!D$55&lt;=0,0,'Report-M&amp;O2223'!C$18-'Report-SOF2223'!D$55)</f>
        <v>#DIV/0!</v>
      </c>
      <c r="AA215" s="1708">
        <f>IF(A215='Data Entry - SOF'!B$2,'Data Entry - SOF'!O$64,0)</f>
        <v>0</v>
      </c>
    </row>
    <row r="216" spans="1:27" ht="15.75">
      <c r="A216" s="1076" t="s">
        <v>421</v>
      </c>
      <c r="B216">
        <v>71997944</v>
      </c>
      <c r="C216" s="2452" t="e">
        <f>#REF!+#REF!</f>
        <v>#REF!</v>
      </c>
      <c r="D216" s="2449">
        <f>IF(A216='Data Entry - SOF'!B$2,'Data Entry - SOF'!C$64,0)</f>
        <v>0</v>
      </c>
      <c r="E216" s="2450">
        <f t="shared" si="37"/>
        <v>71997944</v>
      </c>
      <c r="F216" s="2212" t="e">
        <f>IF('Report-M&amp;O1718'!C$18-'Report-SOF1718'!D$55&lt;=0,0,'Report-M&amp;O1718'!C$18-'Report-SOF1718'!D$55)</f>
        <v>#DIV/0!</v>
      </c>
      <c r="G216" s="2452" t="e">
        <f t="shared" si="38"/>
        <v>#DIV/0!</v>
      </c>
      <c r="H216" s="2449">
        <f>IF(A216='Data Entry - SOF'!B$2,'Data Entry - SOF'!E$64,0)</f>
        <v>0</v>
      </c>
      <c r="I216" s="1687">
        <f t="shared" si="39"/>
        <v>71997944</v>
      </c>
      <c r="J216" s="2212" t="e">
        <f>IF('Report-M&amp;O1819'!C$18-'Report-SOF1819'!D$55&lt;=0,0,'Report-M&amp;O1819'!C$18-'Report-SOF1819'!D$55)</f>
        <v>#DIV/0!</v>
      </c>
      <c r="K216" s="2452" t="e">
        <f t="shared" si="40"/>
        <v>#DIV/0!</v>
      </c>
      <c r="L216" s="2449">
        <f>IF(A216='Data Entry - SOF'!B$2,'Data Entry - SOF'!G$64,0)</f>
        <v>0</v>
      </c>
      <c r="M216" s="1371">
        <f t="shared" si="41"/>
        <v>71997944</v>
      </c>
      <c r="N216" s="2212" t="e">
        <f>IF('Report-M&amp;O1920'!C$18-'Report-SOF1920'!D$55&lt;=0,0,'Report-M&amp;O1920'!C$18-'Report-SOF1920'!D$55)</f>
        <v>#DIV/0!</v>
      </c>
      <c r="O216" s="2452" t="e">
        <f t="shared" si="42"/>
        <v>#DIV/0!</v>
      </c>
      <c r="P216" s="2449">
        <f>IF(A216='Data Entry - SOF'!B$2,'Data Entry - SOF'!I$64,0)</f>
        <v>0</v>
      </c>
      <c r="Q216" s="1687">
        <f t="shared" si="36"/>
        <v>71997944</v>
      </c>
      <c r="R216" s="2212" t="e">
        <f>IF('Report-M&amp;O2021'!C$18-'Report-SOF2021'!D$55&lt;=0,0,'Report-M&amp;O2021'!C$18-'Report-SOF2021'!D$55)</f>
        <v>#DIV/0!</v>
      </c>
      <c r="S216" s="2452" t="e">
        <f t="shared" si="43"/>
        <v>#DIV/0!</v>
      </c>
      <c r="T216" s="1708">
        <f>IF(A216='Data Entry - SOF'!B$2,'Data Entry - SOF'!K$64,0)</f>
        <v>0</v>
      </c>
      <c r="U216" s="1687">
        <f t="shared" si="46"/>
        <v>71997944</v>
      </c>
      <c r="V216" s="2212" t="e">
        <f>IF('Report-M&amp;O2122'!C$18-'Report-SOF2122'!D$55&lt;=0,0,'Report-M&amp;O2122'!C$18-'Report-SOF2122'!D$55)</f>
        <v>#DIV/0!</v>
      </c>
      <c r="W216" s="2452" t="e">
        <f t="shared" si="44"/>
        <v>#DIV/0!</v>
      </c>
      <c r="X216" s="1708">
        <f>IF(A216='Data Entry - SOF'!B$2,'Data Entry - SOF'!M$64,0)</f>
        <v>0</v>
      </c>
      <c r="Y216" s="1371" t="e">
        <f t="shared" si="45"/>
        <v>#DIV/0!</v>
      </c>
      <c r="Z216" s="2212" t="e">
        <f>IF('Report-M&amp;O2223'!C$18-'Report-SOF2223'!D$55&lt;=0,0,'Report-M&amp;O2223'!C$18-'Report-SOF2223'!D$55)</f>
        <v>#DIV/0!</v>
      </c>
      <c r="AA216" s="1708">
        <f>IF(A216='Data Entry - SOF'!B$2,'Data Entry - SOF'!O$64,0)</f>
        <v>0</v>
      </c>
    </row>
    <row r="217" spans="1:27" ht="15.75">
      <c r="A217" s="1076" t="s">
        <v>422</v>
      </c>
      <c r="B217">
        <v>991403113</v>
      </c>
      <c r="C217" s="2452" t="e">
        <f>#REF!+#REF!</f>
        <v>#REF!</v>
      </c>
      <c r="D217" s="2449">
        <f>IF(A217='Data Entry - SOF'!B$2,'Data Entry - SOF'!C$64,0)</f>
        <v>0</v>
      </c>
      <c r="E217" s="2450">
        <f t="shared" si="37"/>
        <v>991403113</v>
      </c>
      <c r="F217" s="2212" t="e">
        <f>IF('Report-M&amp;O1718'!C$18-'Report-SOF1718'!D$55&lt;=0,0,'Report-M&amp;O1718'!C$18-'Report-SOF1718'!D$55)</f>
        <v>#DIV/0!</v>
      </c>
      <c r="G217" s="2452" t="e">
        <f t="shared" si="38"/>
        <v>#DIV/0!</v>
      </c>
      <c r="H217" s="2449">
        <f>IF(A217='Data Entry - SOF'!B$2,'Data Entry - SOF'!E$64,0)</f>
        <v>0</v>
      </c>
      <c r="I217" s="1687">
        <f t="shared" si="39"/>
        <v>991403113</v>
      </c>
      <c r="J217" s="2212" t="e">
        <f>IF('Report-M&amp;O1819'!C$18-'Report-SOF1819'!D$55&lt;=0,0,'Report-M&amp;O1819'!C$18-'Report-SOF1819'!D$55)</f>
        <v>#DIV/0!</v>
      </c>
      <c r="K217" s="2452" t="e">
        <f t="shared" si="40"/>
        <v>#DIV/0!</v>
      </c>
      <c r="L217" s="2449">
        <f>IF(A217='Data Entry - SOF'!B$2,'Data Entry - SOF'!G$64,0)</f>
        <v>0</v>
      </c>
      <c r="M217" s="1371">
        <f t="shared" si="41"/>
        <v>991403113</v>
      </c>
      <c r="N217" s="2212" t="e">
        <f>IF('Report-M&amp;O1920'!C$18-'Report-SOF1920'!D$55&lt;=0,0,'Report-M&amp;O1920'!C$18-'Report-SOF1920'!D$55)</f>
        <v>#DIV/0!</v>
      </c>
      <c r="O217" s="2452" t="e">
        <f t="shared" si="42"/>
        <v>#DIV/0!</v>
      </c>
      <c r="P217" s="2449">
        <f>IF(A217='Data Entry - SOF'!B$2,'Data Entry - SOF'!I$64,0)</f>
        <v>0</v>
      </c>
      <c r="Q217" s="1687">
        <f t="shared" si="36"/>
        <v>991403113</v>
      </c>
      <c r="R217" s="2212" t="e">
        <f>IF('Report-M&amp;O2021'!C$18-'Report-SOF2021'!D$55&lt;=0,0,'Report-M&amp;O2021'!C$18-'Report-SOF2021'!D$55)</f>
        <v>#DIV/0!</v>
      </c>
      <c r="S217" s="2452" t="e">
        <f t="shared" si="43"/>
        <v>#DIV/0!</v>
      </c>
      <c r="T217" s="1708">
        <f>IF(A217='Data Entry - SOF'!B$2,'Data Entry - SOF'!K$64,0)</f>
        <v>0</v>
      </c>
      <c r="U217" s="1687">
        <f t="shared" si="46"/>
        <v>991403113</v>
      </c>
      <c r="V217" s="2212" t="e">
        <f>IF('Report-M&amp;O2122'!C$18-'Report-SOF2122'!D$55&lt;=0,0,'Report-M&amp;O2122'!C$18-'Report-SOF2122'!D$55)</f>
        <v>#DIV/0!</v>
      </c>
      <c r="W217" s="2452" t="e">
        <f t="shared" si="44"/>
        <v>#DIV/0!</v>
      </c>
      <c r="X217" s="1708">
        <f>IF(A217='Data Entry - SOF'!B$2,'Data Entry - SOF'!M$64,0)</f>
        <v>0</v>
      </c>
      <c r="Y217" s="1371" t="e">
        <f t="shared" si="45"/>
        <v>#DIV/0!</v>
      </c>
      <c r="Z217" s="2212" t="e">
        <f>IF('Report-M&amp;O2223'!C$18-'Report-SOF2223'!D$55&lt;=0,0,'Report-M&amp;O2223'!C$18-'Report-SOF2223'!D$55)</f>
        <v>#DIV/0!</v>
      </c>
      <c r="AA217" s="1708">
        <f>IF(A217='Data Entry - SOF'!B$2,'Data Entry - SOF'!O$64,0)</f>
        <v>0</v>
      </c>
    </row>
    <row r="218" spans="1:27" ht="15.75">
      <c r="A218" s="1076" t="s">
        <v>423</v>
      </c>
      <c r="B218">
        <v>40363499</v>
      </c>
      <c r="C218" s="2452" t="e">
        <f>#REF!+#REF!</f>
        <v>#REF!</v>
      </c>
      <c r="D218" s="2449">
        <f>IF(A218='Data Entry - SOF'!B$2,'Data Entry - SOF'!C$64,0)</f>
        <v>0</v>
      </c>
      <c r="E218" s="2450">
        <f t="shared" si="37"/>
        <v>40363499</v>
      </c>
      <c r="F218" s="2212" t="e">
        <f>IF('Report-M&amp;O1718'!C$18-'Report-SOF1718'!D$55&lt;=0,0,'Report-M&amp;O1718'!C$18-'Report-SOF1718'!D$55)</f>
        <v>#DIV/0!</v>
      </c>
      <c r="G218" s="2452" t="e">
        <f t="shared" si="38"/>
        <v>#DIV/0!</v>
      </c>
      <c r="H218" s="2449">
        <f>IF(A218='Data Entry - SOF'!B$2,'Data Entry - SOF'!E$64,0)</f>
        <v>0</v>
      </c>
      <c r="I218" s="1687">
        <f t="shared" si="39"/>
        <v>40363499</v>
      </c>
      <c r="J218" s="2212" t="e">
        <f>IF('Report-M&amp;O1819'!C$18-'Report-SOF1819'!D$55&lt;=0,0,'Report-M&amp;O1819'!C$18-'Report-SOF1819'!D$55)</f>
        <v>#DIV/0!</v>
      </c>
      <c r="K218" s="2452" t="e">
        <f t="shared" si="40"/>
        <v>#DIV/0!</v>
      </c>
      <c r="L218" s="2449">
        <f>IF(A218='Data Entry - SOF'!B$2,'Data Entry - SOF'!G$64,0)</f>
        <v>0</v>
      </c>
      <c r="M218" s="1371">
        <f t="shared" si="41"/>
        <v>40363499</v>
      </c>
      <c r="N218" s="2212" t="e">
        <f>IF('Report-M&amp;O1920'!C$18-'Report-SOF1920'!D$55&lt;=0,0,'Report-M&amp;O1920'!C$18-'Report-SOF1920'!D$55)</f>
        <v>#DIV/0!</v>
      </c>
      <c r="O218" s="2452" t="e">
        <f t="shared" si="42"/>
        <v>#DIV/0!</v>
      </c>
      <c r="P218" s="2449">
        <f>IF(A218='Data Entry - SOF'!B$2,'Data Entry - SOF'!I$64,0)</f>
        <v>0</v>
      </c>
      <c r="Q218" s="1687">
        <f t="shared" si="36"/>
        <v>40363499</v>
      </c>
      <c r="R218" s="2212" t="e">
        <f>IF('Report-M&amp;O2021'!C$18-'Report-SOF2021'!D$55&lt;=0,0,'Report-M&amp;O2021'!C$18-'Report-SOF2021'!D$55)</f>
        <v>#DIV/0!</v>
      </c>
      <c r="S218" s="2452" t="e">
        <f t="shared" si="43"/>
        <v>#DIV/0!</v>
      </c>
      <c r="T218" s="1708">
        <f>IF(A218='Data Entry - SOF'!B$2,'Data Entry - SOF'!K$64,0)</f>
        <v>0</v>
      </c>
      <c r="U218" s="1687">
        <f t="shared" si="46"/>
        <v>40363499</v>
      </c>
      <c r="V218" s="2212" t="e">
        <f>IF('Report-M&amp;O2122'!C$18-'Report-SOF2122'!D$55&lt;=0,0,'Report-M&amp;O2122'!C$18-'Report-SOF2122'!D$55)</f>
        <v>#DIV/0!</v>
      </c>
      <c r="W218" s="2452" t="e">
        <f t="shared" si="44"/>
        <v>#DIV/0!</v>
      </c>
      <c r="X218" s="1708">
        <f>IF(A218='Data Entry - SOF'!B$2,'Data Entry - SOF'!M$64,0)</f>
        <v>0</v>
      </c>
      <c r="Y218" s="1371" t="e">
        <f t="shared" si="45"/>
        <v>#DIV/0!</v>
      </c>
      <c r="Z218" s="2212" t="e">
        <f>IF('Report-M&amp;O2223'!C$18-'Report-SOF2223'!D$55&lt;=0,0,'Report-M&amp;O2223'!C$18-'Report-SOF2223'!D$55)</f>
        <v>#DIV/0!</v>
      </c>
      <c r="AA218" s="1708">
        <f>IF(A218='Data Entry - SOF'!B$2,'Data Entry - SOF'!O$64,0)</f>
        <v>0</v>
      </c>
    </row>
    <row r="219" spans="1:27" ht="15.75">
      <c r="A219" s="1076" t="s">
        <v>424</v>
      </c>
      <c r="B219">
        <v>79898370</v>
      </c>
      <c r="C219" s="2452" t="e">
        <f>#REF!+#REF!</f>
        <v>#REF!</v>
      </c>
      <c r="D219" s="2449">
        <f>IF(A219='Data Entry - SOF'!B$2,'Data Entry - SOF'!C$64,0)</f>
        <v>0</v>
      </c>
      <c r="E219" s="2450">
        <f t="shared" si="37"/>
        <v>79898370</v>
      </c>
      <c r="F219" s="2212" t="e">
        <f>IF('Report-M&amp;O1718'!C$18-'Report-SOF1718'!D$55&lt;=0,0,'Report-M&amp;O1718'!C$18-'Report-SOF1718'!D$55)</f>
        <v>#DIV/0!</v>
      </c>
      <c r="G219" s="2452" t="e">
        <f t="shared" si="38"/>
        <v>#DIV/0!</v>
      </c>
      <c r="H219" s="2449">
        <f>IF(A219='Data Entry - SOF'!B$2,'Data Entry - SOF'!E$64,0)</f>
        <v>0</v>
      </c>
      <c r="I219" s="1687">
        <f t="shared" si="39"/>
        <v>79898370</v>
      </c>
      <c r="J219" s="2212" t="e">
        <f>IF('Report-M&amp;O1819'!C$18-'Report-SOF1819'!D$55&lt;=0,0,'Report-M&amp;O1819'!C$18-'Report-SOF1819'!D$55)</f>
        <v>#DIV/0!</v>
      </c>
      <c r="K219" s="2452" t="e">
        <f t="shared" si="40"/>
        <v>#DIV/0!</v>
      </c>
      <c r="L219" s="2449">
        <f>IF(A219='Data Entry - SOF'!B$2,'Data Entry - SOF'!G$64,0)</f>
        <v>0</v>
      </c>
      <c r="M219" s="1371">
        <f t="shared" si="41"/>
        <v>79898370</v>
      </c>
      <c r="N219" s="2212" t="e">
        <f>IF('Report-M&amp;O1920'!C$18-'Report-SOF1920'!D$55&lt;=0,0,'Report-M&amp;O1920'!C$18-'Report-SOF1920'!D$55)</f>
        <v>#DIV/0!</v>
      </c>
      <c r="O219" s="2452" t="e">
        <f t="shared" si="42"/>
        <v>#DIV/0!</v>
      </c>
      <c r="P219" s="2449">
        <f>IF(A219='Data Entry - SOF'!B$2,'Data Entry - SOF'!I$64,0)</f>
        <v>0</v>
      </c>
      <c r="Q219" s="1687">
        <f t="shared" si="36"/>
        <v>79898370</v>
      </c>
      <c r="R219" s="2212" t="e">
        <f>IF('Report-M&amp;O2021'!C$18-'Report-SOF2021'!D$55&lt;=0,0,'Report-M&amp;O2021'!C$18-'Report-SOF2021'!D$55)</f>
        <v>#DIV/0!</v>
      </c>
      <c r="S219" s="2452" t="e">
        <f t="shared" si="43"/>
        <v>#DIV/0!</v>
      </c>
      <c r="T219" s="1708">
        <f>IF(A219='Data Entry - SOF'!B$2,'Data Entry - SOF'!K$64,0)</f>
        <v>0</v>
      </c>
      <c r="U219" s="1687">
        <f t="shared" si="46"/>
        <v>79898370</v>
      </c>
      <c r="V219" s="2212" t="e">
        <f>IF('Report-M&amp;O2122'!C$18-'Report-SOF2122'!D$55&lt;=0,0,'Report-M&amp;O2122'!C$18-'Report-SOF2122'!D$55)</f>
        <v>#DIV/0!</v>
      </c>
      <c r="W219" s="2452" t="e">
        <f t="shared" si="44"/>
        <v>#DIV/0!</v>
      </c>
      <c r="X219" s="1708">
        <f>IF(A219='Data Entry - SOF'!B$2,'Data Entry - SOF'!M$64,0)</f>
        <v>0</v>
      </c>
      <c r="Y219" s="1371" t="e">
        <f t="shared" si="45"/>
        <v>#DIV/0!</v>
      </c>
      <c r="Z219" s="2212" t="e">
        <f>IF('Report-M&amp;O2223'!C$18-'Report-SOF2223'!D$55&lt;=0,0,'Report-M&amp;O2223'!C$18-'Report-SOF2223'!D$55)</f>
        <v>#DIV/0!</v>
      </c>
      <c r="AA219" s="1708">
        <f>IF(A219='Data Entry - SOF'!B$2,'Data Entry - SOF'!O$64,0)</f>
        <v>0</v>
      </c>
    </row>
    <row r="220" spans="1:27" ht="15.75">
      <c r="A220" s="1076" t="s">
        <v>2973</v>
      </c>
      <c r="B220">
        <v>131125485</v>
      </c>
      <c r="C220" s="2452" t="e">
        <f>#REF!+#REF!</f>
        <v>#REF!</v>
      </c>
      <c r="D220" s="2449">
        <f>IF(A220='Data Entry - SOF'!B$2,'Data Entry - SOF'!C$64,0)</f>
        <v>0</v>
      </c>
      <c r="E220" s="2450">
        <f t="shared" si="37"/>
        <v>131125485</v>
      </c>
      <c r="F220" s="2212" t="e">
        <f>IF('Report-M&amp;O1718'!C$18-'Report-SOF1718'!D$55&lt;=0,0,'Report-M&amp;O1718'!C$18-'Report-SOF1718'!D$55)</f>
        <v>#DIV/0!</v>
      </c>
      <c r="G220" s="2452" t="e">
        <f t="shared" si="38"/>
        <v>#DIV/0!</v>
      </c>
      <c r="H220" s="2449">
        <f>IF(A220='Data Entry - SOF'!B$2,'Data Entry - SOF'!E$64,0)</f>
        <v>0</v>
      </c>
      <c r="I220" s="1687">
        <f t="shared" si="39"/>
        <v>131125485</v>
      </c>
      <c r="J220" s="2212" t="e">
        <f>IF('Report-M&amp;O1819'!C$18-'Report-SOF1819'!D$55&lt;=0,0,'Report-M&amp;O1819'!C$18-'Report-SOF1819'!D$55)</f>
        <v>#DIV/0!</v>
      </c>
      <c r="K220" s="2452" t="e">
        <f t="shared" si="40"/>
        <v>#DIV/0!</v>
      </c>
      <c r="L220" s="2449">
        <f>IF(A220='Data Entry - SOF'!B$2,'Data Entry - SOF'!G$64,0)</f>
        <v>0</v>
      </c>
      <c r="M220" s="1371">
        <f t="shared" si="41"/>
        <v>131125485</v>
      </c>
      <c r="N220" s="2212" t="e">
        <f>IF('Report-M&amp;O1920'!C$18-'Report-SOF1920'!D$55&lt;=0,0,'Report-M&amp;O1920'!C$18-'Report-SOF1920'!D$55)</f>
        <v>#DIV/0!</v>
      </c>
      <c r="O220" s="2452" t="e">
        <f t="shared" si="42"/>
        <v>#DIV/0!</v>
      </c>
      <c r="P220" s="2449">
        <f>IF(A220='Data Entry - SOF'!B$2,'Data Entry - SOF'!I$64,0)</f>
        <v>0</v>
      </c>
      <c r="Q220" s="1687">
        <f t="shared" si="36"/>
        <v>131125485</v>
      </c>
      <c r="R220" s="2212" t="e">
        <f>IF('Report-M&amp;O2021'!C$18-'Report-SOF2021'!D$55&lt;=0,0,'Report-M&amp;O2021'!C$18-'Report-SOF2021'!D$55)</f>
        <v>#DIV/0!</v>
      </c>
      <c r="S220" s="2452" t="e">
        <f t="shared" si="43"/>
        <v>#DIV/0!</v>
      </c>
      <c r="T220" s="1708">
        <f>IF(A220='Data Entry - SOF'!B$2,'Data Entry - SOF'!K$64,0)</f>
        <v>0</v>
      </c>
      <c r="U220" s="1687">
        <f t="shared" si="46"/>
        <v>131125485</v>
      </c>
      <c r="V220" s="2212" t="e">
        <f>IF('Report-M&amp;O2122'!C$18-'Report-SOF2122'!D$55&lt;=0,0,'Report-M&amp;O2122'!C$18-'Report-SOF2122'!D$55)</f>
        <v>#DIV/0!</v>
      </c>
      <c r="W220" s="2452" t="e">
        <f t="shared" si="44"/>
        <v>#DIV/0!</v>
      </c>
      <c r="X220" s="1708">
        <f>IF(A220='Data Entry - SOF'!B$2,'Data Entry - SOF'!M$64,0)</f>
        <v>0</v>
      </c>
      <c r="Y220" s="1371" t="e">
        <f t="shared" si="45"/>
        <v>#DIV/0!</v>
      </c>
      <c r="Z220" s="2212" t="e">
        <f>IF('Report-M&amp;O2223'!C$18-'Report-SOF2223'!D$55&lt;=0,0,'Report-M&amp;O2223'!C$18-'Report-SOF2223'!D$55)</f>
        <v>#DIV/0!</v>
      </c>
      <c r="AA220" s="1708">
        <f>IF(A220='Data Entry - SOF'!B$2,'Data Entry - SOF'!O$64,0)</f>
        <v>0</v>
      </c>
    </row>
    <row r="221" spans="1:27" ht="15.75">
      <c r="A221" s="1076" t="s">
        <v>741</v>
      </c>
      <c r="B221">
        <v>73074286</v>
      </c>
      <c r="C221" s="2452" t="e">
        <f>#REF!+#REF!</f>
        <v>#REF!</v>
      </c>
      <c r="D221" s="2449">
        <f>IF(A221='Data Entry - SOF'!B$2,'Data Entry - SOF'!C$64,0)</f>
        <v>0</v>
      </c>
      <c r="E221" s="2450">
        <f t="shared" si="37"/>
        <v>73074286</v>
      </c>
      <c r="F221" s="2212" t="e">
        <f>IF('Report-M&amp;O1718'!C$18-'Report-SOF1718'!D$55&lt;=0,0,'Report-M&amp;O1718'!C$18-'Report-SOF1718'!D$55)</f>
        <v>#DIV/0!</v>
      </c>
      <c r="G221" s="2452" t="e">
        <f t="shared" si="38"/>
        <v>#DIV/0!</v>
      </c>
      <c r="H221" s="2449">
        <f>IF(A221='Data Entry - SOF'!B$2,'Data Entry - SOF'!E$64,0)</f>
        <v>0</v>
      </c>
      <c r="I221" s="1687">
        <f t="shared" si="39"/>
        <v>73074286</v>
      </c>
      <c r="J221" s="2212" t="e">
        <f>IF('Report-M&amp;O1819'!C$18-'Report-SOF1819'!D$55&lt;=0,0,'Report-M&amp;O1819'!C$18-'Report-SOF1819'!D$55)</f>
        <v>#DIV/0!</v>
      </c>
      <c r="K221" s="2452" t="e">
        <f t="shared" si="40"/>
        <v>#DIV/0!</v>
      </c>
      <c r="L221" s="2449">
        <f>IF(A221='Data Entry - SOF'!B$2,'Data Entry - SOF'!G$64,0)</f>
        <v>0</v>
      </c>
      <c r="M221" s="1371">
        <f t="shared" si="41"/>
        <v>73074286</v>
      </c>
      <c r="N221" s="2212" t="e">
        <f>IF('Report-M&amp;O1920'!C$18-'Report-SOF1920'!D$55&lt;=0,0,'Report-M&amp;O1920'!C$18-'Report-SOF1920'!D$55)</f>
        <v>#DIV/0!</v>
      </c>
      <c r="O221" s="2452" t="e">
        <f t="shared" si="42"/>
        <v>#DIV/0!</v>
      </c>
      <c r="P221" s="2449">
        <f>IF(A221='Data Entry - SOF'!B$2,'Data Entry - SOF'!I$64,0)</f>
        <v>0</v>
      </c>
      <c r="Q221" s="1687">
        <f t="shared" si="36"/>
        <v>73074286</v>
      </c>
      <c r="R221" s="2212" t="e">
        <f>IF('Report-M&amp;O2021'!C$18-'Report-SOF2021'!D$55&lt;=0,0,'Report-M&amp;O2021'!C$18-'Report-SOF2021'!D$55)</f>
        <v>#DIV/0!</v>
      </c>
      <c r="S221" s="2452" t="e">
        <f t="shared" si="43"/>
        <v>#DIV/0!</v>
      </c>
      <c r="T221" s="1708">
        <f>IF(A221='Data Entry - SOF'!B$2,'Data Entry - SOF'!K$64,0)</f>
        <v>0</v>
      </c>
      <c r="U221" s="1687">
        <f t="shared" si="46"/>
        <v>73074286</v>
      </c>
      <c r="V221" s="2212" t="e">
        <f>IF('Report-M&amp;O2122'!C$18-'Report-SOF2122'!D$55&lt;=0,0,'Report-M&amp;O2122'!C$18-'Report-SOF2122'!D$55)</f>
        <v>#DIV/0!</v>
      </c>
      <c r="W221" s="2452" t="e">
        <f t="shared" si="44"/>
        <v>#DIV/0!</v>
      </c>
      <c r="X221" s="1708">
        <f>IF(A221='Data Entry - SOF'!B$2,'Data Entry - SOF'!M$64,0)</f>
        <v>0</v>
      </c>
      <c r="Y221" s="1371" t="e">
        <f t="shared" si="45"/>
        <v>#DIV/0!</v>
      </c>
      <c r="Z221" s="2212" t="e">
        <f>IF('Report-M&amp;O2223'!C$18-'Report-SOF2223'!D$55&lt;=0,0,'Report-M&amp;O2223'!C$18-'Report-SOF2223'!D$55)</f>
        <v>#DIV/0!</v>
      </c>
      <c r="AA221" s="1708">
        <f>IF(A221='Data Entry - SOF'!B$2,'Data Entry - SOF'!O$64,0)</f>
        <v>0</v>
      </c>
    </row>
    <row r="222" spans="1:27" ht="15.75">
      <c r="A222" s="1076" t="s">
        <v>579</v>
      </c>
      <c r="B222">
        <v>69549859</v>
      </c>
      <c r="C222" s="2452" t="e">
        <f>#REF!+#REF!</f>
        <v>#REF!</v>
      </c>
      <c r="D222" s="2449">
        <f>IF(A222='Data Entry - SOF'!B$2,'Data Entry - SOF'!C$64,0)</f>
        <v>0</v>
      </c>
      <c r="E222" s="2450">
        <f t="shared" si="37"/>
        <v>69549859</v>
      </c>
      <c r="F222" s="2212" t="e">
        <f>IF('Report-M&amp;O1718'!C$18-'Report-SOF1718'!D$55&lt;=0,0,'Report-M&amp;O1718'!C$18-'Report-SOF1718'!D$55)</f>
        <v>#DIV/0!</v>
      </c>
      <c r="G222" s="2452" t="e">
        <f t="shared" si="38"/>
        <v>#DIV/0!</v>
      </c>
      <c r="H222" s="2449">
        <f>IF(A222='Data Entry - SOF'!B$2,'Data Entry - SOF'!E$64,0)</f>
        <v>0</v>
      </c>
      <c r="I222" s="1687">
        <f t="shared" si="39"/>
        <v>69549859</v>
      </c>
      <c r="J222" s="2212" t="e">
        <f>IF('Report-M&amp;O1819'!C$18-'Report-SOF1819'!D$55&lt;=0,0,'Report-M&amp;O1819'!C$18-'Report-SOF1819'!D$55)</f>
        <v>#DIV/0!</v>
      </c>
      <c r="K222" s="2452" t="e">
        <f t="shared" si="40"/>
        <v>#DIV/0!</v>
      </c>
      <c r="L222" s="2449">
        <f>IF(A222='Data Entry - SOF'!B$2,'Data Entry - SOF'!G$64,0)</f>
        <v>0</v>
      </c>
      <c r="M222" s="1371">
        <f t="shared" si="41"/>
        <v>69549859</v>
      </c>
      <c r="N222" s="2212" t="e">
        <f>IF('Report-M&amp;O1920'!C$18-'Report-SOF1920'!D$55&lt;=0,0,'Report-M&amp;O1920'!C$18-'Report-SOF1920'!D$55)</f>
        <v>#DIV/0!</v>
      </c>
      <c r="O222" s="2452" t="e">
        <f t="shared" si="42"/>
        <v>#DIV/0!</v>
      </c>
      <c r="P222" s="2449">
        <f>IF(A222='Data Entry - SOF'!B$2,'Data Entry - SOF'!I$64,0)</f>
        <v>0</v>
      </c>
      <c r="Q222" s="1687">
        <f t="shared" si="36"/>
        <v>69549859</v>
      </c>
      <c r="R222" s="2212" t="e">
        <f>IF('Report-M&amp;O2021'!C$18-'Report-SOF2021'!D$55&lt;=0,0,'Report-M&amp;O2021'!C$18-'Report-SOF2021'!D$55)</f>
        <v>#DIV/0!</v>
      </c>
      <c r="S222" s="2452" t="e">
        <f t="shared" si="43"/>
        <v>#DIV/0!</v>
      </c>
      <c r="T222" s="1708">
        <f>IF(A222='Data Entry - SOF'!B$2,'Data Entry - SOF'!K$64,0)</f>
        <v>0</v>
      </c>
      <c r="U222" s="1687">
        <f t="shared" si="46"/>
        <v>69549859</v>
      </c>
      <c r="V222" s="2212" t="e">
        <f>IF('Report-M&amp;O2122'!C$18-'Report-SOF2122'!D$55&lt;=0,0,'Report-M&amp;O2122'!C$18-'Report-SOF2122'!D$55)</f>
        <v>#DIV/0!</v>
      </c>
      <c r="W222" s="2452" t="e">
        <f t="shared" si="44"/>
        <v>#DIV/0!</v>
      </c>
      <c r="X222" s="1708">
        <f>IF(A222='Data Entry - SOF'!B$2,'Data Entry - SOF'!M$64,0)</f>
        <v>0</v>
      </c>
      <c r="Y222" s="1371" t="e">
        <f t="shared" si="45"/>
        <v>#DIV/0!</v>
      </c>
      <c r="Z222" s="2212" t="e">
        <f>IF('Report-M&amp;O2223'!C$18-'Report-SOF2223'!D$55&lt;=0,0,'Report-M&amp;O2223'!C$18-'Report-SOF2223'!D$55)</f>
        <v>#DIV/0!</v>
      </c>
      <c r="AA222" s="1708">
        <f>IF(A222='Data Entry - SOF'!B$2,'Data Entry - SOF'!O$64,0)</f>
        <v>0</v>
      </c>
    </row>
    <row r="223" spans="1:27" ht="15.75">
      <c r="A223" s="1076" t="s">
        <v>48</v>
      </c>
      <c r="B223">
        <v>68052460</v>
      </c>
      <c r="C223" s="2452" t="e">
        <f>#REF!+#REF!</f>
        <v>#REF!</v>
      </c>
      <c r="D223" s="2449">
        <f>IF(A223='Data Entry - SOF'!B$2,'Data Entry - SOF'!C$64,0)</f>
        <v>0</v>
      </c>
      <c r="E223" s="2450">
        <f t="shared" si="37"/>
        <v>68052460</v>
      </c>
      <c r="F223" s="2212" t="e">
        <f>IF('Report-M&amp;O1718'!C$18-'Report-SOF1718'!D$55&lt;=0,0,'Report-M&amp;O1718'!C$18-'Report-SOF1718'!D$55)</f>
        <v>#DIV/0!</v>
      </c>
      <c r="G223" s="2452" t="e">
        <f t="shared" si="38"/>
        <v>#DIV/0!</v>
      </c>
      <c r="H223" s="2449">
        <f>IF(A223='Data Entry - SOF'!B$2,'Data Entry - SOF'!E$64,0)</f>
        <v>0</v>
      </c>
      <c r="I223" s="1687">
        <f t="shared" si="39"/>
        <v>68052460</v>
      </c>
      <c r="J223" s="2212" t="e">
        <f>IF('Report-M&amp;O1819'!C$18-'Report-SOF1819'!D$55&lt;=0,0,'Report-M&amp;O1819'!C$18-'Report-SOF1819'!D$55)</f>
        <v>#DIV/0!</v>
      </c>
      <c r="K223" s="2452" t="e">
        <f t="shared" si="40"/>
        <v>#DIV/0!</v>
      </c>
      <c r="L223" s="2449">
        <f>IF(A223='Data Entry - SOF'!B$2,'Data Entry - SOF'!G$64,0)</f>
        <v>0</v>
      </c>
      <c r="M223" s="1371">
        <f t="shared" si="41"/>
        <v>68052460</v>
      </c>
      <c r="N223" s="2212" t="e">
        <f>IF('Report-M&amp;O1920'!C$18-'Report-SOF1920'!D$55&lt;=0,0,'Report-M&amp;O1920'!C$18-'Report-SOF1920'!D$55)</f>
        <v>#DIV/0!</v>
      </c>
      <c r="O223" s="2452" t="e">
        <f t="shared" si="42"/>
        <v>#DIV/0!</v>
      </c>
      <c r="P223" s="2449">
        <f>IF(A223='Data Entry - SOF'!B$2,'Data Entry - SOF'!I$64,0)</f>
        <v>0</v>
      </c>
      <c r="Q223" s="1687">
        <f t="shared" si="36"/>
        <v>68052460</v>
      </c>
      <c r="R223" s="2212" t="e">
        <f>IF('Report-M&amp;O2021'!C$18-'Report-SOF2021'!D$55&lt;=0,0,'Report-M&amp;O2021'!C$18-'Report-SOF2021'!D$55)</f>
        <v>#DIV/0!</v>
      </c>
      <c r="S223" s="2452" t="e">
        <f t="shared" si="43"/>
        <v>#DIV/0!</v>
      </c>
      <c r="T223" s="1708">
        <f>IF(A223='Data Entry - SOF'!B$2,'Data Entry - SOF'!K$64,0)</f>
        <v>0</v>
      </c>
      <c r="U223" s="1687">
        <f t="shared" si="46"/>
        <v>68052460</v>
      </c>
      <c r="V223" s="2212" t="e">
        <f>IF('Report-M&amp;O2122'!C$18-'Report-SOF2122'!D$55&lt;=0,0,'Report-M&amp;O2122'!C$18-'Report-SOF2122'!D$55)</f>
        <v>#DIV/0!</v>
      </c>
      <c r="W223" s="2452" t="e">
        <f t="shared" si="44"/>
        <v>#DIV/0!</v>
      </c>
      <c r="X223" s="1708">
        <f>IF(A223='Data Entry - SOF'!B$2,'Data Entry - SOF'!M$64,0)</f>
        <v>0</v>
      </c>
      <c r="Y223" s="1371" t="e">
        <f t="shared" si="45"/>
        <v>#DIV/0!</v>
      </c>
      <c r="Z223" s="2212" t="e">
        <f>IF('Report-M&amp;O2223'!C$18-'Report-SOF2223'!D$55&lt;=0,0,'Report-M&amp;O2223'!C$18-'Report-SOF2223'!D$55)</f>
        <v>#DIV/0!</v>
      </c>
      <c r="AA223" s="1708">
        <f>IF(A223='Data Entry - SOF'!B$2,'Data Entry - SOF'!O$64,0)</f>
        <v>0</v>
      </c>
    </row>
    <row r="224" spans="1:27" ht="15.75">
      <c r="A224" s="1076" t="s">
        <v>2028</v>
      </c>
      <c r="B224">
        <v>44266613</v>
      </c>
      <c r="C224" s="2452" t="e">
        <f>#REF!+#REF!</f>
        <v>#REF!</v>
      </c>
      <c r="D224" s="2449">
        <f>IF(A224='Data Entry - SOF'!B$2,'Data Entry - SOF'!C$64,0)</f>
        <v>0</v>
      </c>
      <c r="E224" s="2450">
        <f t="shared" si="37"/>
        <v>44266613</v>
      </c>
      <c r="F224" s="2212" t="e">
        <f>IF('Report-M&amp;O1718'!C$18-'Report-SOF1718'!D$55&lt;=0,0,'Report-M&amp;O1718'!C$18-'Report-SOF1718'!D$55)</f>
        <v>#DIV/0!</v>
      </c>
      <c r="G224" s="2452" t="e">
        <f t="shared" si="38"/>
        <v>#DIV/0!</v>
      </c>
      <c r="H224" s="2449">
        <f>IF(A224='Data Entry - SOF'!B$2,'Data Entry - SOF'!E$64,0)</f>
        <v>0</v>
      </c>
      <c r="I224" s="1687">
        <f t="shared" si="39"/>
        <v>44266613</v>
      </c>
      <c r="J224" s="2212" t="e">
        <f>IF('Report-M&amp;O1819'!C$18-'Report-SOF1819'!D$55&lt;=0,0,'Report-M&amp;O1819'!C$18-'Report-SOF1819'!D$55)</f>
        <v>#DIV/0!</v>
      </c>
      <c r="K224" s="2452" t="e">
        <f t="shared" si="40"/>
        <v>#DIV/0!</v>
      </c>
      <c r="L224" s="2449">
        <f>IF(A224='Data Entry - SOF'!B$2,'Data Entry - SOF'!G$64,0)</f>
        <v>0</v>
      </c>
      <c r="M224" s="1371">
        <f t="shared" si="41"/>
        <v>44266613</v>
      </c>
      <c r="N224" s="2212" t="e">
        <f>IF('Report-M&amp;O1920'!C$18-'Report-SOF1920'!D$55&lt;=0,0,'Report-M&amp;O1920'!C$18-'Report-SOF1920'!D$55)</f>
        <v>#DIV/0!</v>
      </c>
      <c r="O224" s="2452" t="e">
        <f t="shared" si="42"/>
        <v>#DIV/0!</v>
      </c>
      <c r="P224" s="2449">
        <f>IF(A224='Data Entry - SOF'!B$2,'Data Entry - SOF'!I$64,0)</f>
        <v>0</v>
      </c>
      <c r="Q224" s="1687">
        <f t="shared" si="36"/>
        <v>44266613</v>
      </c>
      <c r="R224" s="2212" t="e">
        <f>IF('Report-M&amp;O2021'!C$18-'Report-SOF2021'!D$55&lt;=0,0,'Report-M&amp;O2021'!C$18-'Report-SOF2021'!D$55)</f>
        <v>#DIV/0!</v>
      </c>
      <c r="S224" s="2452" t="e">
        <f t="shared" si="43"/>
        <v>#DIV/0!</v>
      </c>
      <c r="T224" s="1708">
        <f>IF(A224='Data Entry - SOF'!B$2,'Data Entry - SOF'!K$64,0)</f>
        <v>0</v>
      </c>
      <c r="U224" s="1687">
        <f t="shared" si="46"/>
        <v>44266613</v>
      </c>
      <c r="V224" s="2212" t="e">
        <f>IF('Report-M&amp;O2122'!C$18-'Report-SOF2122'!D$55&lt;=0,0,'Report-M&amp;O2122'!C$18-'Report-SOF2122'!D$55)</f>
        <v>#DIV/0!</v>
      </c>
      <c r="W224" s="2452" t="e">
        <f t="shared" si="44"/>
        <v>#DIV/0!</v>
      </c>
      <c r="X224" s="1708">
        <f>IF(A224='Data Entry - SOF'!B$2,'Data Entry - SOF'!M$64,0)</f>
        <v>0</v>
      </c>
      <c r="Y224" s="1371" t="e">
        <f t="shared" si="45"/>
        <v>#DIV/0!</v>
      </c>
      <c r="Z224" s="2212" t="e">
        <f>IF('Report-M&amp;O2223'!C$18-'Report-SOF2223'!D$55&lt;=0,0,'Report-M&amp;O2223'!C$18-'Report-SOF2223'!D$55)</f>
        <v>#DIV/0!</v>
      </c>
      <c r="AA224" s="1708">
        <f>IF(A224='Data Entry - SOF'!B$2,'Data Entry - SOF'!O$64,0)</f>
        <v>0</v>
      </c>
    </row>
    <row r="225" spans="1:27" ht="15.75">
      <c r="A225" s="1076" t="s">
        <v>2898</v>
      </c>
      <c r="B225">
        <v>71825370</v>
      </c>
      <c r="C225" s="2452" t="e">
        <f>#REF!+#REF!</f>
        <v>#REF!</v>
      </c>
      <c r="D225" s="2449">
        <f>IF(A225='Data Entry - SOF'!B$2,'Data Entry - SOF'!C$64,0)</f>
        <v>0</v>
      </c>
      <c r="E225" s="2450">
        <f t="shared" si="37"/>
        <v>71825370</v>
      </c>
      <c r="F225" s="2212" t="e">
        <f>IF('Report-M&amp;O1718'!C$18-'Report-SOF1718'!D$55&lt;=0,0,'Report-M&amp;O1718'!C$18-'Report-SOF1718'!D$55)</f>
        <v>#DIV/0!</v>
      </c>
      <c r="G225" s="2452" t="e">
        <f t="shared" si="38"/>
        <v>#DIV/0!</v>
      </c>
      <c r="H225" s="2449">
        <f>IF(A225='Data Entry - SOF'!B$2,'Data Entry - SOF'!E$64,0)</f>
        <v>0</v>
      </c>
      <c r="I225" s="1687">
        <f t="shared" si="39"/>
        <v>71825370</v>
      </c>
      <c r="J225" s="2212" t="e">
        <f>IF('Report-M&amp;O1819'!C$18-'Report-SOF1819'!D$55&lt;=0,0,'Report-M&amp;O1819'!C$18-'Report-SOF1819'!D$55)</f>
        <v>#DIV/0!</v>
      </c>
      <c r="K225" s="2452" t="e">
        <f t="shared" si="40"/>
        <v>#DIV/0!</v>
      </c>
      <c r="L225" s="2449">
        <f>IF(A225='Data Entry - SOF'!B$2,'Data Entry - SOF'!G$64,0)</f>
        <v>0</v>
      </c>
      <c r="M225" s="1371">
        <f t="shared" si="41"/>
        <v>71825370</v>
      </c>
      <c r="N225" s="2212" t="e">
        <f>IF('Report-M&amp;O1920'!C$18-'Report-SOF1920'!D$55&lt;=0,0,'Report-M&amp;O1920'!C$18-'Report-SOF1920'!D$55)</f>
        <v>#DIV/0!</v>
      </c>
      <c r="O225" s="2452" t="e">
        <f t="shared" si="42"/>
        <v>#DIV/0!</v>
      </c>
      <c r="P225" s="2449">
        <f>IF(A225='Data Entry - SOF'!B$2,'Data Entry - SOF'!I$64,0)</f>
        <v>0</v>
      </c>
      <c r="Q225" s="1687">
        <f t="shared" si="36"/>
        <v>71825370</v>
      </c>
      <c r="R225" s="2212" t="e">
        <f>IF('Report-M&amp;O2021'!C$18-'Report-SOF2021'!D$55&lt;=0,0,'Report-M&amp;O2021'!C$18-'Report-SOF2021'!D$55)</f>
        <v>#DIV/0!</v>
      </c>
      <c r="S225" s="2452" t="e">
        <f t="shared" si="43"/>
        <v>#DIV/0!</v>
      </c>
      <c r="T225" s="1708">
        <f>IF(A225='Data Entry - SOF'!B$2,'Data Entry - SOF'!K$64,0)</f>
        <v>0</v>
      </c>
      <c r="U225" s="1687">
        <f t="shared" si="46"/>
        <v>71825370</v>
      </c>
      <c r="V225" s="2212" t="e">
        <f>IF('Report-M&amp;O2122'!C$18-'Report-SOF2122'!D$55&lt;=0,0,'Report-M&amp;O2122'!C$18-'Report-SOF2122'!D$55)</f>
        <v>#DIV/0!</v>
      </c>
      <c r="W225" s="2452" t="e">
        <f t="shared" si="44"/>
        <v>#DIV/0!</v>
      </c>
      <c r="X225" s="1708">
        <f>IF(A225='Data Entry - SOF'!B$2,'Data Entry - SOF'!M$64,0)</f>
        <v>0</v>
      </c>
      <c r="Y225" s="1371" t="e">
        <f t="shared" si="45"/>
        <v>#DIV/0!</v>
      </c>
      <c r="Z225" s="2212" t="e">
        <f>IF('Report-M&amp;O2223'!C$18-'Report-SOF2223'!D$55&lt;=0,0,'Report-M&amp;O2223'!C$18-'Report-SOF2223'!D$55)</f>
        <v>#DIV/0!</v>
      </c>
      <c r="AA225" s="1708">
        <f>IF(A225='Data Entry - SOF'!B$2,'Data Entry - SOF'!O$64,0)</f>
        <v>0</v>
      </c>
    </row>
    <row r="226" spans="1:27" ht="15.75">
      <c r="A226" s="1076" t="s">
        <v>2029</v>
      </c>
      <c r="B226">
        <v>216698001</v>
      </c>
      <c r="C226" s="2452" t="e">
        <f>#REF!+#REF!</f>
        <v>#REF!</v>
      </c>
      <c r="D226" s="2449">
        <f>IF(A226='Data Entry - SOF'!B$2,'Data Entry - SOF'!C$64,0)</f>
        <v>0</v>
      </c>
      <c r="E226" s="2450">
        <f t="shared" si="37"/>
        <v>216698001</v>
      </c>
      <c r="F226" s="2212" t="e">
        <f>IF('Report-M&amp;O1718'!C$18-'Report-SOF1718'!D$55&lt;=0,0,'Report-M&amp;O1718'!C$18-'Report-SOF1718'!D$55)</f>
        <v>#DIV/0!</v>
      </c>
      <c r="G226" s="2452" t="e">
        <f t="shared" si="38"/>
        <v>#DIV/0!</v>
      </c>
      <c r="H226" s="2449">
        <f>IF(A226='Data Entry - SOF'!B$2,'Data Entry - SOF'!E$64,0)</f>
        <v>0</v>
      </c>
      <c r="I226" s="1687">
        <f t="shared" si="39"/>
        <v>216698001</v>
      </c>
      <c r="J226" s="2212" t="e">
        <f>IF('Report-M&amp;O1819'!C$18-'Report-SOF1819'!D$55&lt;=0,0,'Report-M&amp;O1819'!C$18-'Report-SOF1819'!D$55)</f>
        <v>#DIV/0!</v>
      </c>
      <c r="K226" s="2452" t="e">
        <f t="shared" si="40"/>
        <v>#DIV/0!</v>
      </c>
      <c r="L226" s="2449">
        <f>IF(A226='Data Entry - SOF'!B$2,'Data Entry - SOF'!G$64,0)</f>
        <v>0</v>
      </c>
      <c r="M226" s="1371">
        <f t="shared" si="41"/>
        <v>216698001</v>
      </c>
      <c r="N226" s="2212" t="e">
        <f>IF('Report-M&amp;O1920'!C$18-'Report-SOF1920'!D$55&lt;=0,0,'Report-M&amp;O1920'!C$18-'Report-SOF1920'!D$55)</f>
        <v>#DIV/0!</v>
      </c>
      <c r="O226" s="2452" t="e">
        <f t="shared" si="42"/>
        <v>#DIV/0!</v>
      </c>
      <c r="P226" s="2449">
        <f>IF(A226='Data Entry - SOF'!B$2,'Data Entry - SOF'!I$64,0)</f>
        <v>0</v>
      </c>
      <c r="Q226" s="1687">
        <f t="shared" si="36"/>
        <v>216698001</v>
      </c>
      <c r="R226" s="2212" t="e">
        <f>IF('Report-M&amp;O2021'!C$18-'Report-SOF2021'!D$55&lt;=0,0,'Report-M&amp;O2021'!C$18-'Report-SOF2021'!D$55)</f>
        <v>#DIV/0!</v>
      </c>
      <c r="S226" s="2452" t="e">
        <f t="shared" si="43"/>
        <v>#DIV/0!</v>
      </c>
      <c r="T226" s="1708">
        <f>IF(A226='Data Entry - SOF'!B$2,'Data Entry - SOF'!K$64,0)</f>
        <v>0</v>
      </c>
      <c r="U226" s="1687">
        <f t="shared" si="46"/>
        <v>216698001</v>
      </c>
      <c r="V226" s="2212" t="e">
        <f>IF('Report-M&amp;O2122'!C$18-'Report-SOF2122'!D$55&lt;=0,0,'Report-M&amp;O2122'!C$18-'Report-SOF2122'!D$55)</f>
        <v>#DIV/0!</v>
      </c>
      <c r="W226" s="2452" t="e">
        <f t="shared" si="44"/>
        <v>#DIV/0!</v>
      </c>
      <c r="X226" s="1708">
        <f>IF(A226='Data Entry - SOF'!B$2,'Data Entry - SOF'!M$64,0)</f>
        <v>0</v>
      </c>
      <c r="Y226" s="1371" t="e">
        <f t="shared" si="45"/>
        <v>#DIV/0!</v>
      </c>
      <c r="Z226" s="2212" t="e">
        <f>IF('Report-M&amp;O2223'!C$18-'Report-SOF2223'!D$55&lt;=0,0,'Report-M&amp;O2223'!C$18-'Report-SOF2223'!D$55)</f>
        <v>#DIV/0!</v>
      </c>
      <c r="AA226" s="1708">
        <f>IF(A226='Data Entry - SOF'!B$2,'Data Entry - SOF'!O$64,0)</f>
        <v>0</v>
      </c>
    </row>
    <row r="227" spans="1:27" ht="15.75">
      <c r="A227" s="1076" t="s">
        <v>3087</v>
      </c>
      <c r="B227">
        <v>19637559</v>
      </c>
      <c r="C227" s="2452" t="e">
        <f>#REF!+#REF!</f>
        <v>#REF!</v>
      </c>
      <c r="D227" s="2449">
        <f>IF(A227='Data Entry - SOF'!B$2,'Data Entry - SOF'!C$64,0)</f>
        <v>0</v>
      </c>
      <c r="E227" s="2450">
        <f t="shared" si="37"/>
        <v>19637559</v>
      </c>
      <c r="F227" s="2212" t="e">
        <f>IF('Report-M&amp;O1718'!C$18-'Report-SOF1718'!D$55&lt;=0,0,'Report-M&amp;O1718'!C$18-'Report-SOF1718'!D$55)</f>
        <v>#DIV/0!</v>
      </c>
      <c r="G227" s="2452" t="e">
        <f t="shared" si="38"/>
        <v>#DIV/0!</v>
      </c>
      <c r="H227" s="2449">
        <f>IF(A227='Data Entry - SOF'!B$2,'Data Entry - SOF'!E$64,0)</f>
        <v>0</v>
      </c>
      <c r="I227" s="1687">
        <f t="shared" si="39"/>
        <v>19637559</v>
      </c>
      <c r="J227" s="2212" t="e">
        <f>IF('Report-M&amp;O1819'!C$18-'Report-SOF1819'!D$55&lt;=0,0,'Report-M&amp;O1819'!C$18-'Report-SOF1819'!D$55)</f>
        <v>#DIV/0!</v>
      </c>
      <c r="K227" s="2452" t="e">
        <f t="shared" si="40"/>
        <v>#DIV/0!</v>
      </c>
      <c r="L227" s="2449">
        <f>IF(A227='Data Entry - SOF'!B$2,'Data Entry - SOF'!G$64,0)</f>
        <v>0</v>
      </c>
      <c r="M227" s="1371">
        <f t="shared" si="41"/>
        <v>19637559</v>
      </c>
      <c r="N227" s="2212" t="e">
        <f>IF('Report-M&amp;O1920'!C$18-'Report-SOF1920'!D$55&lt;=0,0,'Report-M&amp;O1920'!C$18-'Report-SOF1920'!D$55)</f>
        <v>#DIV/0!</v>
      </c>
      <c r="O227" s="2452" t="e">
        <f t="shared" si="42"/>
        <v>#DIV/0!</v>
      </c>
      <c r="P227" s="2449">
        <f>IF(A227='Data Entry - SOF'!B$2,'Data Entry - SOF'!I$64,0)</f>
        <v>0</v>
      </c>
      <c r="Q227" s="1687">
        <f t="shared" si="36"/>
        <v>19637559</v>
      </c>
      <c r="R227" s="2212" t="e">
        <f>IF('Report-M&amp;O2021'!C$18-'Report-SOF2021'!D$55&lt;=0,0,'Report-M&amp;O2021'!C$18-'Report-SOF2021'!D$55)</f>
        <v>#DIV/0!</v>
      </c>
      <c r="S227" s="2452" t="e">
        <f t="shared" si="43"/>
        <v>#DIV/0!</v>
      </c>
      <c r="T227" s="1708">
        <f>IF(A227='Data Entry - SOF'!B$2,'Data Entry - SOF'!K$64,0)</f>
        <v>0</v>
      </c>
      <c r="U227" s="1687">
        <f t="shared" si="46"/>
        <v>19637559</v>
      </c>
      <c r="V227" s="2212" t="e">
        <f>IF('Report-M&amp;O2122'!C$18-'Report-SOF2122'!D$55&lt;=0,0,'Report-M&amp;O2122'!C$18-'Report-SOF2122'!D$55)</f>
        <v>#DIV/0!</v>
      </c>
      <c r="W227" s="2452" t="e">
        <f t="shared" si="44"/>
        <v>#DIV/0!</v>
      </c>
      <c r="X227" s="1708">
        <f>IF(A227='Data Entry - SOF'!B$2,'Data Entry - SOF'!M$64,0)</f>
        <v>0</v>
      </c>
      <c r="Y227" s="1371" t="e">
        <f t="shared" si="45"/>
        <v>#DIV/0!</v>
      </c>
      <c r="Z227" s="2212" t="e">
        <f>IF('Report-M&amp;O2223'!C$18-'Report-SOF2223'!D$55&lt;=0,0,'Report-M&amp;O2223'!C$18-'Report-SOF2223'!D$55)</f>
        <v>#DIV/0!</v>
      </c>
      <c r="AA227" s="1708">
        <f>IF(A227='Data Entry - SOF'!B$2,'Data Entry - SOF'!O$64,0)</f>
        <v>0</v>
      </c>
    </row>
    <row r="228" spans="1:27" ht="15.75">
      <c r="A228" s="1076" t="s">
        <v>277</v>
      </c>
      <c r="B228">
        <v>104762128</v>
      </c>
      <c r="C228" s="2452" t="e">
        <f>#REF!+#REF!</f>
        <v>#REF!</v>
      </c>
      <c r="D228" s="2449">
        <f>IF(A228='Data Entry - SOF'!B$2,'Data Entry - SOF'!C$64,0)</f>
        <v>0</v>
      </c>
      <c r="E228" s="2450">
        <f t="shared" si="37"/>
        <v>104762128</v>
      </c>
      <c r="F228" s="2212" t="e">
        <f>IF('Report-M&amp;O1718'!C$18-'Report-SOF1718'!D$55&lt;=0,0,'Report-M&amp;O1718'!C$18-'Report-SOF1718'!D$55)</f>
        <v>#DIV/0!</v>
      </c>
      <c r="G228" s="2452" t="e">
        <f t="shared" si="38"/>
        <v>#DIV/0!</v>
      </c>
      <c r="H228" s="2449">
        <f>IF(A228='Data Entry - SOF'!B$2,'Data Entry - SOF'!E$64,0)</f>
        <v>0</v>
      </c>
      <c r="I228" s="1687">
        <f t="shared" si="39"/>
        <v>104762128</v>
      </c>
      <c r="J228" s="2212" t="e">
        <f>IF('Report-M&amp;O1819'!C$18-'Report-SOF1819'!D$55&lt;=0,0,'Report-M&amp;O1819'!C$18-'Report-SOF1819'!D$55)</f>
        <v>#DIV/0!</v>
      </c>
      <c r="K228" s="2452" t="e">
        <f t="shared" si="40"/>
        <v>#DIV/0!</v>
      </c>
      <c r="L228" s="2449">
        <f>IF(A228='Data Entry - SOF'!B$2,'Data Entry - SOF'!G$64,0)</f>
        <v>0</v>
      </c>
      <c r="M228" s="1371">
        <f t="shared" si="41"/>
        <v>104762128</v>
      </c>
      <c r="N228" s="2212" t="e">
        <f>IF('Report-M&amp;O1920'!C$18-'Report-SOF1920'!D$55&lt;=0,0,'Report-M&amp;O1920'!C$18-'Report-SOF1920'!D$55)</f>
        <v>#DIV/0!</v>
      </c>
      <c r="O228" s="2452" t="e">
        <f t="shared" si="42"/>
        <v>#DIV/0!</v>
      </c>
      <c r="P228" s="2449">
        <f>IF(A228='Data Entry - SOF'!B$2,'Data Entry - SOF'!I$64,0)</f>
        <v>0</v>
      </c>
      <c r="Q228" s="1687">
        <f t="shared" si="36"/>
        <v>104762128</v>
      </c>
      <c r="R228" s="2212" t="e">
        <f>IF('Report-M&amp;O2021'!C$18-'Report-SOF2021'!D$55&lt;=0,0,'Report-M&amp;O2021'!C$18-'Report-SOF2021'!D$55)</f>
        <v>#DIV/0!</v>
      </c>
      <c r="S228" s="2452" t="e">
        <f t="shared" si="43"/>
        <v>#DIV/0!</v>
      </c>
      <c r="T228" s="1708">
        <f>IF(A228='Data Entry - SOF'!B$2,'Data Entry - SOF'!K$64,0)</f>
        <v>0</v>
      </c>
      <c r="U228" s="1687">
        <f t="shared" si="46"/>
        <v>104762128</v>
      </c>
      <c r="V228" s="2212" t="e">
        <f>IF('Report-M&amp;O2122'!C$18-'Report-SOF2122'!D$55&lt;=0,0,'Report-M&amp;O2122'!C$18-'Report-SOF2122'!D$55)</f>
        <v>#DIV/0!</v>
      </c>
      <c r="W228" s="2452" t="e">
        <f t="shared" si="44"/>
        <v>#DIV/0!</v>
      </c>
      <c r="X228" s="1708">
        <f>IF(A228='Data Entry - SOF'!B$2,'Data Entry - SOF'!M$64,0)</f>
        <v>0</v>
      </c>
      <c r="Y228" s="1371" t="e">
        <f t="shared" si="45"/>
        <v>#DIV/0!</v>
      </c>
      <c r="Z228" s="2212" t="e">
        <f>IF('Report-M&amp;O2223'!C$18-'Report-SOF2223'!D$55&lt;=0,0,'Report-M&amp;O2223'!C$18-'Report-SOF2223'!D$55)</f>
        <v>#DIV/0!</v>
      </c>
      <c r="AA228" s="1708">
        <f>IF(A228='Data Entry - SOF'!B$2,'Data Entry - SOF'!O$64,0)</f>
        <v>0</v>
      </c>
    </row>
    <row r="229" spans="1:27" ht="15.75">
      <c r="A229" s="1076" t="s">
        <v>278</v>
      </c>
      <c r="B229">
        <v>2191663</v>
      </c>
      <c r="C229" s="2452" t="e">
        <f>#REF!+#REF!</f>
        <v>#REF!</v>
      </c>
      <c r="D229" s="2449">
        <f>IF(A229='Data Entry - SOF'!B$2,'Data Entry - SOF'!C$64,0)</f>
        <v>0</v>
      </c>
      <c r="E229" s="2450">
        <f t="shared" si="37"/>
        <v>2191663</v>
      </c>
      <c r="F229" s="2212" t="e">
        <f>IF('Report-M&amp;O1718'!C$18-'Report-SOF1718'!D$55&lt;=0,0,'Report-M&amp;O1718'!C$18-'Report-SOF1718'!D$55)</f>
        <v>#DIV/0!</v>
      </c>
      <c r="G229" s="2452" t="e">
        <f t="shared" si="38"/>
        <v>#DIV/0!</v>
      </c>
      <c r="H229" s="2449">
        <f>IF(A229='Data Entry - SOF'!B$2,'Data Entry - SOF'!E$64,0)</f>
        <v>0</v>
      </c>
      <c r="I229" s="1687">
        <f t="shared" si="39"/>
        <v>2191663</v>
      </c>
      <c r="J229" s="2212" t="e">
        <f>IF('Report-M&amp;O1819'!C$18-'Report-SOF1819'!D$55&lt;=0,0,'Report-M&amp;O1819'!C$18-'Report-SOF1819'!D$55)</f>
        <v>#DIV/0!</v>
      </c>
      <c r="K229" s="2452" t="e">
        <f t="shared" si="40"/>
        <v>#DIV/0!</v>
      </c>
      <c r="L229" s="2449">
        <f>IF(A229='Data Entry - SOF'!B$2,'Data Entry - SOF'!G$64,0)</f>
        <v>0</v>
      </c>
      <c r="M229" s="1371">
        <f t="shared" si="41"/>
        <v>2191663</v>
      </c>
      <c r="N229" s="2212" t="e">
        <f>IF('Report-M&amp;O1920'!C$18-'Report-SOF1920'!D$55&lt;=0,0,'Report-M&amp;O1920'!C$18-'Report-SOF1920'!D$55)</f>
        <v>#DIV/0!</v>
      </c>
      <c r="O229" s="2452" t="e">
        <f t="shared" si="42"/>
        <v>#DIV/0!</v>
      </c>
      <c r="P229" s="2449">
        <f>IF(A229='Data Entry - SOF'!B$2,'Data Entry - SOF'!I$64,0)</f>
        <v>0</v>
      </c>
      <c r="Q229" s="1687">
        <f t="shared" si="36"/>
        <v>2191663</v>
      </c>
      <c r="R229" s="2212" t="e">
        <f>IF('Report-M&amp;O2021'!C$18-'Report-SOF2021'!D$55&lt;=0,0,'Report-M&amp;O2021'!C$18-'Report-SOF2021'!D$55)</f>
        <v>#DIV/0!</v>
      </c>
      <c r="S229" s="2452" t="e">
        <f t="shared" si="43"/>
        <v>#DIV/0!</v>
      </c>
      <c r="T229" s="1708">
        <f>IF(A229='Data Entry - SOF'!B$2,'Data Entry - SOF'!K$64,0)</f>
        <v>0</v>
      </c>
      <c r="U229" s="1687">
        <f t="shared" si="46"/>
        <v>2191663</v>
      </c>
      <c r="V229" s="2212" t="e">
        <f>IF('Report-M&amp;O2122'!C$18-'Report-SOF2122'!D$55&lt;=0,0,'Report-M&amp;O2122'!C$18-'Report-SOF2122'!D$55)</f>
        <v>#DIV/0!</v>
      </c>
      <c r="W229" s="2452" t="e">
        <f t="shared" si="44"/>
        <v>#DIV/0!</v>
      </c>
      <c r="X229" s="1708">
        <f>IF(A229='Data Entry - SOF'!B$2,'Data Entry - SOF'!M$64,0)</f>
        <v>0</v>
      </c>
      <c r="Y229" s="1371" t="e">
        <f t="shared" si="45"/>
        <v>#DIV/0!</v>
      </c>
      <c r="Z229" s="2212" t="e">
        <f>IF('Report-M&amp;O2223'!C$18-'Report-SOF2223'!D$55&lt;=0,0,'Report-M&amp;O2223'!C$18-'Report-SOF2223'!D$55)</f>
        <v>#DIV/0!</v>
      </c>
      <c r="AA229" s="1708">
        <f>IF(A229='Data Entry - SOF'!B$2,'Data Entry - SOF'!O$64,0)</f>
        <v>0</v>
      </c>
    </row>
    <row r="230" spans="1:27" ht="15.75">
      <c r="A230" s="1076" t="s">
        <v>279</v>
      </c>
      <c r="B230">
        <v>8893438</v>
      </c>
      <c r="C230" s="2452" t="e">
        <f>#REF!+#REF!</f>
        <v>#REF!</v>
      </c>
      <c r="D230" s="2449">
        <f>IF(A230='Data Entry - SOF'!B$2,'Data Entry - SOF'!C$64,0)</f>
        <v>0</v>
      </c>
      <c r="E230" s="2450">
        <f t="shared" si="37"/>
        <v>8893438</v>
      </c>
      <c r="F230" s="2212" t="e">
        <f>IF('Report-M&amp;O1718'!C$18-'Report-SOF1718'!D$55&lt;=0,0,'Report-M&amp;O1718'!C$18-'Report-SOF1718'!D$55)</f>
        <v>#DIV/0!</v>
      </c>
      <c r="G230" s="2452" t="e">
        <f t="shared" si="38"/>
        <v>#DIV/0!</v>
      </c>
      <c r="H230" s="2449">
        <f>IF(A230='Data Entry - SOF'!B$2,'Data Entry - SOF'!E$64,0)</f>
        <v>0</v>
      </c>
      <c r="I230" s="1687">
        <f t="shared" si="39"/>
        <v>8893438</v>
      </c>
      <c r="J230" s="2212" t="e">
        <f>IF('Report-M&amp;O1819'!C$18-'Report-SOF1819'!D$55&lt;=0,0,'Report-M&amp;O1819'!C$18-'Report-SOF1819'!D$55)</f>
        <v>#DIV/0!</v>
      </c>
      <c r="K230" s="2452" t="e">
        <f t="shared" si="40"/>
        <v>#DIV/0!</v>
      </c>
      <c r="L230" s="2449">
        <f>IF(A230='Data Entry - SOF'!B$2,'Data Entry - SOF'!G$64,0)</f>
        <v>0</v>
      </c>
      <c r="M230" s="1371">
        <f t="shared" si="41"/>
        <v>8893438</v>
      </c>
      <c r="N230" s="2212" t="e">
        <f>IF('Report-M&amp;O1920'!C$18-'Report-SOF1920'!D$55&lt;=0,0,'Report-M&amp;O1920'!C$18-'Report-SOF1920'!D$55)</f>
        <v>#DIV/0!</v>
      </c>
      <c r="O230" s="2452" t="e">
        <f t="shared" si="42"/>
        <v>#DIV/0!</v>
      </c>
      <c r="P230" s="2449">
        <f>IF(A230='Data Entry - SOF'!B$2,'Data Entry - SOF'!I$64,0)</f>
        <v>0</v>
      </c>
      <c r="Q230" s="1687">
        <f t="shared" si="36"/>
        <v>8893438</v>
      </c>
      <c r="R230" s="2212" t="e">
        <f>IF('Report-M&amp;O2021'!C$18-'Report-SOF2021'!D$55&lt;=0,0,'Report-M&amp;O2021'!C$18-'Report-SOF2021'!D$55)</f>
        <v>#DIV/0!</v>
      </c>
      <c r="S230" s="2452" t="e">
        <f t="shared" si="43"/>
        <v>#DIV/0!</v>
      </c>
      <c r="T230" s="1708">
        <f>IF(A230='Data Entry - SOF'!B$2,'Data Entry - SOF'!K$64,0)</f>
        <v>0</v>
      </c>
      <c r="U230" s="1687">
        <f t="shared" si="46"/>
        <v>8893438</v>
      </c>
      <c r="V230" s="2212" t="e">
        <f>IF('Report-M&amp;O2122'!C$18-'Report-SOF2122'!D$55&lt;=0,0,'Report-M&amp;O2122'!C$18-'Report-SOF2122'!D$55)</f>
        <v>#DIV/0!</v>
      </c>
      <c r="W230" s="2452" t="e">
        <f t="shared" si="44"/>
        <v>#DIV/0!</v>
      </c>
      <c r="X230" s="1708">
        <f>IF(A230='Data Entry - SOF'!B$2,'Data Entry - SOF'!M$64,0)</f>
        <v>0</v>
      </c>
      <c r="Y230" s="1371" t="e">
        <f t="shared" si="45"/>
        <v>#DIV/0!</v>
      </c>
      <c r="Z230" s="2212" t="e">
        <f>IF('Report-M&amp;O2223'!C$18-'Report-SOF2223'!D$55&lt;=0,0,'Report-M&amp;O2223'!C$18-'Report-SOF2223'!D$55)</f>
        <v>#DIV/0!</v>
      </c>
      <c r="AA230" s="1708">
        <f>IF(A230='Data Entry - SOF'!B$2,'Data Entry - SOF'!O$64,0)</f>
        <v>0</v>
      </c>
    </row>
    <row r="231" spans="1:27" ht="15.75">
      <c r="A231" s="1076" t="s">
        <v>280</v>
      </c>
      <c r="B231">
        <v>3091044</v>
      </c>
      <c r="C231" s="2452" t="e">
        <f>#REF!+#REF!</f>
        <v>#REF!</v>
      </c>
      <c r="D231" s="2449">
        <f>IF(A231='Data Entry - SOF'!B$2,'Data Entry - SOF'!C$64,0)</f>
        <v>0</v>
      </c>
      <c r="E231" s="2450">
        <f t="shared" si="37"/>
        <v>3091044</v>
      </c>
      <c r="F231" s="2212" t="e">
        <f>IF('Report-M&amp;O1718'!C$18-'Report-SOF1718'!D$55&lt;=0,0,'Report-M&amp;O1718'!C$18-'Report-SOF1718'!D$55)</f>
        <v>#DIV/0!</v>
      </c>
      <c r="G231" s="2452" t="e">
        <f t="shared" si="38"/>
        <v>#DIV/0!</v>
      </c>
      <c r="H231" s="2449">
        <f>IF(A231='Data Entry - SOF'!B$2,'Data Entry - SOF'!E$64,0)</f>
        <v>0</v>
      </c>
      <c r="I231" s="1687">
        <f t="shared" si="39"/>
        <v>3091044</v>
      </c>
      <c r="J231" s="2212" t="e">
        <f>IF('Report-M&amp;O1819'!C$18-'Report-SOF1819'!D$55&lt;=0,0,'Report-M&amp;O1819'!C$18-'Report-SOF1819'!D$55)</f>
        <v>#DIV/0!</v>
      </c>
      <c r="K231" s="2452" t="e">
        <f t="shared" si="40"/>
        <v>#DIV/0!</v>
      </c>
      <c r="L231" s="2449">
        <f>IF(A231='Data Entry - SOF'!B$2,'Data Entry - SOF'!G$64,0)</f>
        <v>0</v>
      </c>
      <c r="M231" s="1371">
        <f t="shared" si="41"/>
        <v>3091044</v>
      </c>
      <c r="N231" s="2212" t="e">
        <f>IF('Report-M&amp;O1920'!C$18-'Report-SOF1920'!D$55&lt;=0,0,'Report-M&amp;O1920'!C$18-'Report-SOF1920'!D$55)</f>
        <v>#DIV/0!</v>
      </c>
      <c r="O231" s="2452" t="e">
        <f t="shared" si="42"/>
        <v>#DIV/0!</v>
      </c>
      <c r="P231" s="2449">
        <f>IF(A231='Data Entry - SOF'!B$2,'Data Entry - SOF'!I$64,0)</f>
        <v>0</v>
      </c>
      <c r="Q231" s="1687">
        <f t="shared" si="36"/>
        <v>3091044</v>
      </c>
      <c r="R231" s="2212" t="e">
        <f>IF('Report-M&amp;O2021'!C$18-'Report-SOF2021'!D$55&lt;=0,0,'Report-M&amp;O2021'!C$18-'Report-SOF2021'!D$55)</f>
        <v>#DIV/0!</v>
      </c>
      <c r="S231" s="2452" t="e">
        <f t="shared" si="43"/>
        <v>#DIV/0!</v>
      </c>
      <c r="T231" s="1708">
        <f>IF(A231='Data Entry - SOF'!B$2,'Data Entry - SOF'!K$64,0)</f>
        <v>0</v>
      </c>
      <c r="U231" s="1687">
        <f t="shared" si="46"/>
        <v>3091044</v>
      </c>
      <c r="V231" s="2212" t="e">
        <f>IF('Report-M&amp;O2122'!C$18-'Report-SOF2122'!D$55&lt;=0,0,'Report-M&amp;O2122'!C$18-'Report-SOF2122'!D$55)</f>
        <v>#DIV/0!</v>
      </c>
      <c r="W231" s="2452" t="e">
        <f t="shared" si="44"/>
        <v>#DIV/0!</v>
      </c>
      <c r="X231" s="1708">
        <f>IF(A231='Data Entry - SOF'!B$2,'Data Entry - SOF'!M$64,0)</f>
        <v>0</v>
      </c>
      <c r="Y231" s="1371" t="e">
        <f t="shared" si="45"/>
        <v>#DIV/0!</v>
      </c>
      <c r="Z231" s="2212" t="e">
        <f>IF('Report-M&amp;O2223'!C$18-'Report-SOF2223'!D$55&lt;=0,0,'Report-M&amp;O2223'!C$18-'Report-SOF2223'!D$55)</f>
        <v>#DIV/0!</v>
      </c>
      <c r="AA231" s="1708">
        <f>IF(A231='Data Entry - SOF'!B$2,'Data Entry - SOF'!O$64,0)</f>
        <v>0</v>
      </c>
    </row>
    <row r="232" spans="1:27" ht="15.75">
      <c r="A232" s="1076" t="s">
        <v>408</v>
      </c>
      <c r="B232">
        <v>7148701.7167584496</v>
      </c>
      <c r="C232" s="2452" t="e">
        <f>#REF!+#REF!</f>
        <v>#REF!</v>
      </c>
      <c r="D232" s="2449">
        <f>IF(A232='Data Entry - SOF'!B$2,'Data Entry - SOF'!C$64,0)</f>
        <v>0</v>
      </c>
      <c r="E232" s="2450">
        <f t="shared" si="37"/>
        <v>7148701.7167584496</v>
      </c>
      <c r="F232" s="2212" t="e">
        <f>IF('Report-M&amp;O1718'!C$18-'Report-SOF1718'!D$55&lt;=0,0,'Report-M&amp;O1718'!C$18-'Report-SOF1718'!D$55)</f>
        <v>#DIV/0!</v>
      </c>
      <c r="G232" s="2452" t="e">
        <f t="shared" si="38"/>
        <v>#DIV/0!</v>
      </c>
      <c r="H232" s="2449">
        <f>IF(A232='Data Entry - SOF'!B$2,'Data Entry - SOF'!E$64,0)</f>
        <v>0</v>
      </c>
      <c r="I232" s="1687">
        <f t="shared" si="39"/>
        <v>7148701.7167584496</v>
      </c>
      <c r="J232" s="2212" t="e">
        <f>IF('Report-M&amp;O1819'!C$18-'Report-SOF1819'!D$55&lt;=0,0,'Report-M&amp;O1819'!C$18-'Report-SOF1819'!D$55)</f>
        <v>#DIV/0!</v>
      </c>
      <c r="K232" s="2452" t="e">
        <f t="shared" si="40"/>
        <v>#DIV/0!</v>
      </c>
      <c r="L232" s="2449">
        <f>IF(A232='Data Entry - SOF'!B$2,'Data Entry - SOF'!G$64,0)</f>
        <v>0</v>
      </c>
      <c r="M232" s="1371">
        <f t="shared" si="41"/>
        <v>7148701.7167584496</v>
      </c>
      <c r="N232" s="2212" t="e">
        <f>IF('Report-M&amp;O1920'!C$18-'Report-SOF1920'!D$55&lt;=0,0,'Report-M&amp;O1920'!C$18-'Report-SOF1920'!D$55)</f>
        <v>#DIV/0!</v>
      </c>
      <c r="O232" s="2452" t="e">
        <f t="shared" si="42"/>
        <v>#DIV/0!</v>
      </c>
      <c r="P232" s="2449">
        <f>IF(A232='Data Entry - SOF'!B$2,'Data Entry - SOF'!I$64,0)</f>
        <v>0</v>
      </c>
      <c r="Q232" s="1687">
        <f t="shared" si="36"/>
        <v>7148701.7167584496</v>
      </c>
      <c r="R232" s="2212" t="e">
        <f>IF('Report-M&amp;O2021'!C$18-'Report-SOF2021'!D$55&lt;=0,0,'Report-M&amp;O2021'!C$18-'Report-SOF2021'!D$55)</f>
        <v>#DIV/0!</v>
      </c>
      <c r="S232" s="2452" t="e">
        <f t="shared" si="43"/>
        <v>#DIV/0!</v>
      </c>
      <c r="T232" s="1708">
        <f>IF(A232='Data Entry - SOF'!B$2,'Data Entry - SOF'!K$64,0)</f>
        <v>0</v>
      </c>
      <c r="U232" s="1687">
        <f t="shared" si="46"/>
        <v>7148701.7167584496</v>
      </c>
      <c r="V232" s="2212" t="e">
        <f>IF('Report-M&amp;O2122'!C$18-'Report-SOF2122'!D$55&lt;=0,0,'Report-M&amp;O2122'!C$18-'Report-SOF2122'!D$55)</f>
        <v>#DIV/0!</v>
      </c>
      <c r="W232" s="2452" t="e">
        <f t="shared" si="44"/>
        <v>#DIV/0!</v>
      </c>
      <c r="X232" s="1708">
        <f>IF(A232='Data Entry - SOF'!B$2,'Data Entry - SOF'!M$64,0)</f>
        <v>0</v>
      </c>
      <c r="Y232" s="1371" t="e">
        <f t="shared" si="45"/>
        <v>#DIV/0!</v>
      </c>
      <c r="Z232" s="2212" t="e">
        <f>IF('Report-M&amp;O2223'!C$18-'Report-SOF2223'!D$55&lt;=0,0,'Report-M&amp;O2223'!C$18-'Report-SOF2223'!D$55)</f>
        <v>#DIV/0!</v>
      </c>
      <c r="AA232" s="1708">
        <f>IF(A232='Data Entry - SOF'!B$2,'Data Entry - SOF'!O$64,0)</f>
        <v>0</v>
      </c>
    </row>
    <row r="233" spans="1:27" ht="15.75">
      <c r="A233" s="1076" t="s">
        <v>2130</v>
      </c>
      <c r="B233">
        <v>2145189</v>
      </c>
      <c r="C233" s="2452" t="e">
        <f>#REF!+#REF!</f>
        <v>#REF!</v>
      </c>
      <c r="D233" s="2449">
        <f>IF(A233='Data Entry - SOF'!B$2,'Data Entry - SOF'!C$64,0)</f>
        <v>0</v>
      </c>
      <c r="E233" s="2450">
        <f t="shared" si="37"/>
        <v>2145189</v>
      </c>
      <c r="F233" s="2212" t="e">
        <f>IF('Report-M&amp;O1718'!C$18-'Report-SOF1718'!D$55&lt;=0,0,'Report-M&amp;O1718'!C$18-'Report-SOF1718'!D$55)</f>
        <v>#DIV/0!</v>
      </c>
      <c r="G233" s="2452" t="e">
        <f t="shared" si="38"/>
        <v>#DIV/0!</v>
      </c>
      <c r="H233" s="2449">
        <f>IF(A233='Data Entry - SOF'!B$2,'Data Entry - SOF'!E$64,0)</f>
        <v>0</v>
      </c>
      <c r="I233" s="1687">
        <f t="shared" si="39"/>
        <v>2145189</v>
      </c>
      <c r="J233" s="2212" t="e">
        <f>IF('Report-M&amp;O1819'!C$18-'Report-SOF1819'!D$55&lt;=0,0,'Report-M&amp;O1819'!C$18-'Report-SOF1819'!D$55)</f>
        <v>#DIV/0!</v>
      </c>
      <c r="K233" s="2452" t="e">
        <f t="shared" si="40"/>
        <v>#DIV/0!</v>
      </c>
      <c r="L233" s="2449">
        <f>IF(A233='Data Entry - SOF'!B$2,'Data Entry - SOF'!G$64,0)</f>
        <v>0</v>
      </c>
      <c r="M233" s="1371">
        <f t="shared" si="41"/>
        <v>2145189</v>
      </c>
      <c r="N233" s="2212" t="e">
        <f>IF('Report-M&amp;O1920'!C$18-'Report-SOF1920'!D$55&lt;=0,0,'Report-M&amp;O1920'!C$18-'Report-SOF1920'!D$55)</f>
        <v>#DIV/0!</v>
      </c>
      <c r="O233" s="2452" t="e">
        <f t="shared" si="42"/>
        <v>#DIV/0!</v>
      </c>
      <c r="P233" s="2449">
        <f>IF(A233='Data Entry - SOF'!B$2,'Data Entry - SOF'!I$64,0)</f>
        <v>0</v>
      </c>
      <c r="Q233" s="1687">
        <f t="shared" si="36"/>
        <v>2145189</v>
      </c>
      <c r="R233" s="2212" t="e">
        <f>IF('Report-M&amp;O2021'!C$18-'Report-SOF2021'!D$55&lt;=0,0,'Report-M&amp;O2021'!C$18-'Report-SOF2021'!D$55)</f>
        <v>#DIV/0!</v>
      </c>
      <c r="S233" s="2452" t="e">
        <f t="shared" si="43"/>
        <v>#DIV/0!</v>
      </c>
      <c r="T233" s="1708">
        <f>IF(A233='Data Entry - SOF'!B$2,'Data Entry - SOF'!K$64,0)</f>
        <v>0</v>
      </c>
      <c r="U233" s="1687">
        <f t="shared" si="46"/>
        <v>2145189</v>
      </c>
      <c r="V233" s="2212" t="e">
        <f>IF('Report-M&amp;O2122'!C$18-'Report-SOF2122'!D$55&lt;=0,0,'Report-M&amp;O2122'!C$18-'Report-SOF2122'!D$55)</f>
        <v>#DIV/0!</v>
      </c>
      <c r="W233" s="2452" t="e">
        <f t="shared" si="44"/>
        <v>#DIV/0!</v>
      </c>
      <c r="X233" s="1708">
        <f>IF(A233='Data Entry - SOF'!B$2,'Data Entry - SOF'!M$64,0)</f>
        <v>0</v>
      </c>
      <c r="Y233" s="1371" t="e">
        <f t="shared" si="45"/>
        <v>#DIV/0!</v>
      </c>
      <c r="Z233" s="2212" t="e">
        <f>IF('Report-M&amp;O2223'!C$18-'Report-SOF2223'!D$55&lt;=0,0,'Report-M&amp;O2223'!C$18-'Report-SOF2223'!D$55)</f>
        <v>#DIV/0!</v>
      </c>
      <c r="AA233" s="1708">
        <f>IF(A233='Data Entry - SOF'!B$2,'Data Entry - SOF'!O$64,0)</f>
        <v>0</v>
      </c>
    </row>
    <row r="234" spans="1:27" ht="15.75">
      <c r="A234" s="1076" t="s">
        <v>1220</v>
      </c>
      <c r="B234">
        <v>43732</v>
      </c>
      <c r="C234" s="2452" t="e">
        <f>#REF!+#REF!</f>
        <v>#REF!</v>
      </c>
      <c r="D234" s="2449">
        <f>IF(A234='Data Entry - SOF'!B$2,'Data Entry - SOF'!C$64,0)</f>
        <v>0</v>
      </c>
      <c r="E234" s="2450">
        <f t="shared" si="37"/>
        <v>43732</v>
      </c>
      <c r="F234" s="2212" t="e">
        <f>IF('Report-M&amp;O1718'!C$18-'Report-SOF1718'!D$55&lt;=0,0,'Report-M&amp;O1718'!C$18-'Report-SOF1718'!D$55)</f>
        <v>#DIV/0!</v>
      </c>
      <c r="G234" s="2452" t="e">
        <f t="shared" si="38"/>
        <v>#DIV/0!</v>
      </c>
      <c r="H234" s="2449">
        <f>IF(A234='Data Entry - SOF'!B$2,'Data Entry - SOF'!E$64,0)</f>
        <v>0</v>
      </c>
      <c r="I234" s="1687">
        <f t="shared" si="39"/>
        <v>43732</v>
      </c>
      <c r="J234" s="2212" t="e">
        <f>IF('Report-M&amp;O1819'!C$18-'Report-SOF1819'!D$55&lt;=0,0,'Report-M&amp;O1819'!C$18-'Report-SOF1819'!D$55)</f>
        <v>#DIV/0!</v>
      </c>
      <c r="K234" s="2452" t="e">
        <f t="shared" si="40"/>
        <v>#DIV/0!</v>
      </c>
      <c r="L234" s="2449">
        <f>IF(A234='Data Entry - SOF'!B$2,'Data Entry - SOF'!G$64,0)</f>
        <v>0</v>
      </c>
      <c r="M234" s="1371">
        <f t="shared" si="41"/>
        <v>43732</v>
      </c>
      <c r="N234" s="2212" t="e">
        <f>IF('Report-M&amp;O1920'!C$18-'Report-SOF1920'!D$55&lt;=0,0,'Report-M&amp;O1920'!C$18-'Report-SOF1920'!D$55)</f>
        <v>#DIV/0!</v>
      </c>
      <c r="O234" s="2452" t="e">
        <f t="shared" si="42"/>
        <v>#DIV/0!</v>
      </c>
      <c r="P234" s="2449">
        <f>IF(A234='Data Entry - SOF'!B$2,'Data Entry - SOF'!I$64,0)</f>
        <v>0</v>
      </c>
      <c r="Q234" s="1687">
        <f t="shared" si="36"/>
        <v>43732</v>
      </c>
      <c r="R234" s="2212" t="e">
        <f>IF('Report-M&amp;O2021'!C$18-'Report-SOF2021'!D$55&lt;=0,0,'Report-M&amp;O2021'!C$18-'Report-SOF2021'!D$55)</f>
        <v>#DIV/0!</v>
      </c>
      <c r="S234" s="2452" t="e">
        <f t="shared" si="43"/>
        <v>#DIV/0!</v>
      </c>
      <c r="T234" s="1708">
        <f>IF(A234='Data Entry - SOF'!B$2,'Data Entry - SOF'!K$64,0)</f>
        <v>0</v>
      </c>
      <c r="U234" s="1687">
        <f t="shared" si="46"/>
        <v>43732</v>
      </c>
      <c r="V234" s="2212" t="e">
        <f>IF('Report-M&amp;O2122'!C$18-'Report-SOF2122'!D$55&lt;=0,0,'Report-M&amp;O2122'!C$18-'Report-SOF2122'!D$55)</f>
        <v>#DIV/0!</v>
      </c>
      <c r="W234" s="2452" t="e">
        <f t="shared" si="44"/>
        <v>#DIV/0!</v>
      </c>
      <c r="X234" s="1708">
        <f>IF(A234='Data Entry - SOF'!B$2,'Data Entry - SOF'!M$64,0)</f>
        <v>0</v>
      </c>
      <c r="Y234" s="1371" t="e">
        <f t="shared" si="45"/>
        <v>#DIV/0!</v>
      </c>
      <c r="Z234" s="2212" t="e">
        <f>IF('Report-M&amp;O2223'!C$18-'Report-SOF2223'!D$55&lt;=0,0,'Report-M&amp;O2223'!C$18-'Report-SOF2223'!D$55)</f>
        <v>#DIV/0!</v>
      </c>
      <c r="AA234" s="1708">
        <f>IF(A234='Data Entry - SOF'!B$2,'Data Entry - SOF'!O$64,0)</f>
        <v>0</v>
      </c>
    </row>
    <row r="235" spans="1:27" ht="15.75">
      <c r="A235" s="1076" t="s">
        <v>1221</v>
      </c>
      <c r="B235">
        <v>1034197</v>
      </c>
      <c r="C235" s="2452" t="e">
        <f>#REF!+#REF!</f>
        <v>#REF!</v>
      </c>
      <c r="D235" s="2449">
        <f>IF(A235='Data Entry - SOF'!B$2,'Data Entry - SOF'!C$64,0)</f>
        <v>0</v>
      </c>
      <c r="E235" s="2450">
        <f t="shared" si="37"/>
        <v>1034197</v>
      </c>
      <c r="F235" s="2212" t="e">
        <f>IF('Report-M&amp;O1718'!C$18-'Report-SOF1718'!D$55&lt;=0,0,'Report-M&amp;O1718'!C$18-'Report-SOF1718'!D$55)</f>
        <v>#DIV/0!</v>
      </c>
      <c r="G235" s="2452" t="e">
        <f t="shared" si="38"/>
        <v>#DIV/0!</v>
      </c>
      <c r="H235" s="2449">
        <f>IF(A235='Data Entry - SOF'!B$2,'Data Entry - SOF'!E$64,0)</f>
        <v>0</v>
      </c>
      <c r="I235" s="1687">
        <f t="shared" si="39"/>
        <v>1034197</v>
      </c>
      <c r="J235" s="2212" t="e">
        <f>IF('Report-M&amp;O1819'!C$18-'Report-SOF1819'!D$55&lt;=0,0,'Report-M&amp;O1819'!C$18-'Report-SOF1819'!D$55)</f>
        <v>#DIV/0!</v>
      </c>
      <c r="K235" s="2452" t="e">
        <f t="shared" si="40"/>
        <v>#DIV/0!</v>
      </c>
      <c r="L235" s="2449">
        <f>IF(A235='Data Entry - SOF'!B$2,'Data Entry - SOF'!G$64,0)</f>
        <v>0</v>
      </c>
      <c r="M235" s="1371">
        <f t="shared" si="41"/>
        <v>1034197</v>
      </c>
      <c r="N235" s="2212" t="e">
        <f>IF('Report-M&amp;O1920'!C$18-'Report-SOF1920'!D$55&lt;=0,0,'Report-M&amp;O1920'!C$18-'Report-SOF1920'!D$55)</f>
        <v>#DIV/0!</v>
      </c>
      <c r="O235" s="2452" t="e">
        <f t="shared" si="42"/>
        <v>#DIV/0!</v>
      </c>
      <c r="P235" s="2449">
        <f>IF(A235='Data Entry - SOF'!B$2,'Data Entry - SOF'!I$64,0)</f>
        <v>0</v>
      </c>
      <c r="Q235" s="1687">
        <f t="shared" si="36"/>
        <v>1034197</v>
      </c>
      <c r="R235" s="2212" t="e">
        <f>IF('Report-M&amp;O2021'!C$18-'Report-SOF2021'!D$55&lt;=0,0,'Report-M&amp;O2021'!C$18-'Report-SOF2021'!D$55)</f>
        <v>#DIV/0!</v>
      </c>
      <c r="S235" s="2452" t="e">
        <f t="shared" si="43"/>
        <v>#DIV/0!</v>
      </c>
      <c r="T235" s="1708">
        <f>IF(A235='Data Entry - SOF'!B$2,'Data Entry - SOF'!K$64,0)</f>
        <v>0</v>
      </c>
      <c r="U235" s="1687">
        <f t="shared" si="46"/>
        <v>1034197</v>
      </c>
      <c r="V235" s="2212" t="e">
        <f>IF('Report-M&amp;O2122'!C$18-'Report-SOF2122'!D$55&lt;=0,0,'Report-M&amp;O2122'!C$18-'Report-SOF2122'!D$55)</f>
        <v>#DIV/0!</v>
      </c>
      <c r="W235" s="2452" t="e">
        <f t="shared" si="44"/>
        <v>#DIV/0!</v>
      </c>
      <c r="X235" s="1708">
        <f>IF(A235='Data Entry - SOF'!B$2,'Data Entry - SOF'!M$64,0)</f>
        <v>0</v>
      </c>
      <c r="Y235" s="1371" t="e">
        <f t="shared" si="45"/>
        <v>#DIV/0!</v>
      </c>
      <c r="Z235" s="2212" t="e">
        <f>IF('Report-M&amp;O2223'!C$18-'Report-SOF2223'!D$55&lt;=0,0,'Report-M&amp;O2223'!C$18-'Report-SOF2223'!D$55)</f>
        <v>#DIV/0!</v>
      </c>
      <c r="AA235" s="1708">
        <f>IF(A235='Data Entry - SOF'!B$2,'Data Entry - SOF'!O$64,0)</f>
        <v>0</v>
      </c>
    </row>
    <row r="236" spans="1:27" ht="15.75">
      <c r="A236" s="1076" t="s">
        <v>711</v>
      </c>
      <c r="B236">
        <v>172209</v>
      </c>
      <c r="C236" s="2452" t="e">
        <f>#REF!+#REF!</f>
        <v>#REF!</v>
      </c>
      <c r="D236" s="2449">
        <f>IF(A236='Data Entry - SOF'!B$2,'Data Entry - SOF'!C$64,0)</f>
        <v>0</v>
      </c>
      <c r="E236" s="2450">
        <f t="shared" si="37"/>
        <v>172209</v>
      </c>
      <c r="F236" s="2212" t="e">
        <f>IF('Report-M&amp;O1718'!C$18-'Report-SOF1718'!D$55&lt;=0,0,'Report-M&amp;O1718'!C$18-'Report-SOF1718'!D$55)</f>
        <v>#DIV/0!</v>
      </c>
      <c r="G236" s="2452" t="e">
        <f t="shared" si="38"/>
        <v>#DIV/0!</v>
      </c>
      <c r="H236" s="2449">
        <f>IF(A236='Data Entry - SOF'!B$2,'Data Entry - SOF'!E$64,0)</f>
        <v>0</v>
      </c>
      <c r="I236" s="1687">
        <f t="shared" si="39"/>
        <v>172209</v>
      </c>
      <c r="J236" s="2212" t="e">
        <f>IF('Report-M&amp;O1819'!C$18-'Report-SOF1819'!D$55&lt;=0,0,'Report-M&amp;O1819'!C$18-'Report-SOF1819'!D$55)</f>
        <v>#DIV/0!</v>
      </c>
      <c r="K236" s="2452" t="e">
        <f t="shared" si="40"/>
        <v>#DIV/0!</v>
      </c>
      <c r="L236" s="2449">
        <f>IF(A236='Data Entry - SOF'!B$2,'Data Entry - SOF'!G$64,0)</f>
        <v>0</v>
      </c>
      <c r="M236" s="1371">
        <f t="shared" si="41"/>
        <v>172209</v>
      </c>
      <c r="N236" s="2212" t="e">
        <f>IF('Report-M&amp;O1920'!C$18-'Report-SOF1920'!D$55&lt;=0,0,'Report-M&amp;O1920'!C$18-'Report-SOF1920'!D$55)</f>
        <v>#DIV/0!</v>
      </c>
      <c r="O236" s="2452" t="e">
        <f t="shared" si="42"/>
        <v>#DIV/0!</v>
      </c>
      <c r="P236" s="2449">
        <f>IF(A236='Data Entry - SOF'!B$2,'Data Entry - SOF'!I$64,0)</f>
        <v>0</v>
      </c>
      <c r="Q236" s="1687">
        <f t="shared" si="36"/>
        <v>172209</v>
      </c>
      <c r="R236" s="2212" t="e">
        <f>IF('Report-M&amp;O2021'!C$18-'Report-SOF2021'!D$55&lt;=0,0,'Report-M&amp;O2021'!C$18-'Report-SOF2021'!D$55)</f>
        <v>#DIV/0!</v>
      </c>
      <c r="S236" s="2452" t="e">
        <f t="shared" si="43"/>
        <v>#DIV/0!</v>
      </c>
      <c r="T236" s="1708">
        <f>IF(A236='Data Entry - SOF'!B$2,'Data Entry - SOF'!K$64,0)</f>
        <v>0</v>
      </c>
      <c r="U236" s="1687">
        <f t="shared" si="46"/>
        <v>172209</v>
      </c>
      <c r="V236" s="2212" t="e">
        <f>IF('Report-M&amp;O2122'!C$18-'Report-SOF2122'!D$55&lt;=0,0,'Report-M&amp;O2122'!C$18-'Report-SOF2122'!D$55)</f>
        <v>#DIV/0!</v>
      </c>
      <c r="W236" s="2452" t="e">
        <f t="shared" si="44"/>
        <v>#DIV/0!</v>
      </c>
      <c r="X236" s="1708">
        <f>IF(A236='Data Entry - SOF'!B$2,'Data Entry - SOF'!M$64,0)</f>
        <v>0</v>
      </c>
      <c r="Y236" s="1371" t="e">
        <f t="shared" si="45"/>
        <v>#DIV/0!</v>
      </c>
      <c r="Z236" s="2212" t="e">
        <f>IF('Report-M&amp;O2223'!C$18-'Report-SOF2223'!D$55&lt;=0,0,'Report-M&amp;O2223'!C$18-'Report-SOF2223'!D$55)</f>
        <v>#DIV/0!</v>
      </c>
      <c r="AA236" s="1708">
        <f>IF(A236='Data Entry - SOF'!B$2,'Data Entry - SOF'!O$64,0)</f>
        <v>0</v>
      </c>
    </row>
    <row r="237" spans="1:27" ht="15.75">
      <c r="A237" s="1076" t="s">
        <v>1222</v>
      </c>
      <c r="B237">
        <v>417380440</v>
      </c>
      <c r="C237" s="2452" t="e">
        <f>#REF!+#REF!</f>
        <v>#REF!</v>
      </c>
      <c r="D237" s="2449">
        <f>IF(A237='Data Entry - SOF'!B$2,'Data Entry - SOF'!C$64,0)</f>
        <v>0</v>
      </c>
      <c r="E237" s="2450">
        <f t="shared" si="37"/>
        <v>417380440</v>
      </c>
      <c r="F237" s="2212" t="e">
        <f>IF('Report-M&amp;O1718'!C$18-'Report-SOF1718'!D$55&lt;=0,0,'Report-M&amp;O1718'!C$18-'Report-SOF1718'!D$55)</f>
        <v>#DIV/0!</v>
      </c>
      <c r="G237" s="2452" t="e">
        <f t="shared" si="38"/>
        <v>#DIV/0!</v>
      </c>
      <c r="H237" s="2449">
        <f>IF(A237='Data Entry - SOF'!B$2,'Data Entry - SOF'!E$64,0)</f>
        <v>0</v>
      </c>
      <c r="I237" s="1687">
        <f t="shared" si="39"/>
        <v>417380440</v>
      </c>
      <c r="J237" s="2212" t="e">
        <f>IF('Report-M&amp;O1819'!C$18-'Report-SOF1819'!D$55&lt;=0,0,'Report-M&amp;O1819'!C$18-'Report-SOF1819'!D$55)</f>
        <v>#DIV/0!</v>
      </c>
      <c r="K237" s="2452" t="e">
        <f t="shared" si="40"/>
        <v>#DIV/0!</v>
      </c>
      <c r="L237" s="2449">
        <f>IF(A237='Data Entry - SOF'!B$2,'Data Entry - SOF'!G$64,0)</f>
        <v>0</v>
      </c>
      <c r="M237" s="1371">
        <f t="shared" si="41"/>
        <v>417380440</v>
      </c>
      <c r="N237" s="2212" t="e">
        <f>IF('Report-M&amp;O1920'!C$18-'Report-SOF1920'!D$55&lt;=0,0,'Report-M&amp;O1920'!C$18-'Report-SOF1920'!D$55)</f>
        <v>#DIV/0!</v>
      </c>
      <c r="O237" s="2452" t="e">
        <f t="shared" si="42"/>
        <v>#DIV/0!</v>
      </c>
      <c r="P237" s="2449">
        <f>IF(A237='Data Entry - SOF'!B$2,'Data Entry - SOF'!I$64,0)</f>
        <v>0</v>
      </c>
      <c r="Q237" s="1687">
        <f t="shared" si="36"/>
        <v>417380440</v>
      </c>
      <c r="R237" s="2212" t="e">
        <f>IF('Report-M&amp;O2021'!C$18-'Report-SOF2021'!D$55&lt;=0,0,'Report-M&amp;O2021'!C$18-'Report-SOF2021'!D$55)</f>
        <v>#DIV/0!</v>
      </c>
      <c r="S237" s="2452" t="e">
        <f t="shared" si="43"/>
        <v>#DIV/0!</v>
      </c>
      <c r="T237" s="1708">
        <f>IF(A237='Data Entry - SOF'!B$2,'Data Entry - SOF'!K$64,0)</f>
        <v>0</v>
      </c>
      <c r="U237" s="1687">
        <f t="shared" si="46"/>
        <v>417380440</v>
      </c>
      <c r="V237" s="2212" t="e">
        <f>IF('Report-M&amp;O2122'!C$18-'Report-SOF2122'!D$55&lt;=0,0,'Report-M&amp;O2122'!C$18-'Report-SOF2122'!D$55)</f>
        <v>#DIV/0!</v>
      </c>
      <c r="W237" s="2452" t="e">
        <f t="shared" si="44"/>
        <v>#DIV/0!</v>
      </c>
      <c r="X237" s="1708">
        <f>IF(A237='Data Entry - SOF'!B$2,'Data Entry - SOF'!M$64,0)</f>
        <v>0</v>
      </c>
      <c r="Y237" s="1371" t="e">
        <f t="shared" si="45"/>
        <v>#DIV/0!</v>
      </c>
      <c r="Z237" s="2212" t="e">
        <f>IF('Report-M&amp;O2223'!C$18-'Report-SOF2223'!D$55&lt;=0,0,'Report-M&amp;O2223'!C$18-'Report-SOF2223'!D$55)</f>
        <v>#DIV/0!</v>
      </c>
      <c r="AA237" s="1708">
        <f>IF(A237='Data Entry - SOF'!B$2,'Data Entry - SOF'!O$64,0)</f>
        <v>0</v>
      </c>
    </row>
    <row r="238" spans="1:27" ht="15.75">
      <c r="A238" s="1076" t="s">
        <v>1989</v>
      </c>
      <c r="B238">
        <v>702783406</v>
      </c>
      <c r="C238" s="2452" t="e">
        <f>#REF!+#REF!</f>
        <v>#REF!</v>
      </c>
      <c r="D238" s="2449">
        <f>IF(A238='Data Entry - SOF'!B$2,'Data Entry - SOF'!C$64,0)</f>
        <v>0</v>
      </c>
      <c r="E238" s="2450">
        <f t="shared" si="37"/>
        <v>702783406</v>
      </c>
      <c r="F238" s="2212" t="e">
        <f>IF('Report-M&amp;O1718'!C$18-'Report-SOF1718'!D$55&lt;=0,0,'Report-M&amp;O1718'!C$18-'Report-SOF1718'!D$55)</f>
        <v>#DIV/0!</v>
      </c>
      <c r="G238" s="2452" t="e">
        <f t="shared" si="38"/>
        <v>#DIV/0!</v>
      </c>
      <c r="H238" s="2449">
        <f>IF(A238='Data Entry - SOF'!B$2,'Data Entry - SOF'!E$64,0)</f>
        <v>0</v>
      </c>
      <c r="I238" s="1687">
        <f t="shared" si="39"/>
        <v>702783406</v>
      </c>
      <c r="J238" s="2212" t="e">
        <f>IF('Report-M&amp;O1819'!C$18-'Report-SOF1819'!D$55&lt;=0,0,'Report-M&amp;O1819'!C$18-'Report-SOF1819'!D$55)</f>
        <v>#DIV/0!</v>
      </c>
      <c r="K238" s="2452" t="e">
        <f t="shared" si="40"/>
        <v>#DIV/0!</v>
      </c>
      <c r="L238" s="2449">
        <f>IF(A238='Data Entry - SOF'!B$2,'Data Entry - SOF'!G$64,0)</f>
        <v>0</v>
      </c>
      <c r="M238" s="1371">
        <f t="shared" si="41"/>
        <v>702783406</v>
      </c>
      <c r="N238" s="2212" t="e">
        <f>IF('Report-M&amp;O1920'!C$18-'Report-SOF1920'!D$55&lt;=0,0,'Report-M&amp;O1920'!C$18-'Report-SOF1920'!D$55)</f>
        <v>#DIV/0!</v>
      </c>
      <c r="O238" s="2452" t="e">
        <f t="shared" si="42"/>
        <v>#DIV/0!</v>
      </c>
      <c r="P238" s="2449">
        <f>IF(A238='Data Entry - SOF'!B$2,'Data Entry - SOF'!I$64,0)</f>
        <v>0</v>
      </c>
      <c r="Q238" s="1687">
        <f t="shared" si="36"/>
        <v>702783406</v>
      </c>
      <c r="R238" s="2212" t="e">
        <f>IF('Report-M&amp;O2021'!C$18-'Report-SOF2021'!D$55&lt;=0,0,'Report-M&amp;O2021'!C$18-'Report-SOF2021'!D$55)</f>
        <v>#DIV/0!</v>
      </c>
      <c r="S238" s="2452" t="e">
        <f t="shared" si="43"/>
        <v>#DIV/0!</v>
      </c>
      <c r="T238" s="1708">
        <f>IF(A238='Data Entry - SOF'!B$2,'Data Entry - SOF'!K$64,0)</f>
        <v>0</v>
      </c>
      <c r="U238" s="1687">
        <f t="shared" si="46"/>
        <v>702783406</v>
      </c>
      <c r="V238" s="2212" t="e">
        <f>IF('Report-M&amp;O2122'!C$18-'Report-SOF2122'!D$55&lt;=0,0,'Report-M&amp;O2122'!C$18-'Report-SOF2122'!D$55)</f>
        <v>#DIV/0!</v>
      </c>
      <c r="W238" s="2452" t="e">
        <f t="shared" si="44"/>
        <v>#DIV/0!</v>
      </c>
      <c r="X238" s="1708">
        <f>IF(A238='Data Entry - SOF'!B$2,'Data Entry - SOF'!M$64,0)</f>
        <v>0</v>
      </c>
      <c r="Y238" s="1371" t="e">
        <f t="shared" si="45"/>
        <v>#DIV/0!</v>
      </c>
      <c r="Z238" s="2212" t="e">
        <f>IF('Report-M&amp;O2223'!C$18-'Report-SOF2223'!D$55&lt;=0,0,'Report-M&amp;O2223'!C$18-'Report-SOF2223'!D$55)</f>
        <v>#DIV/0!</v>
      </c>
      <c r="AA238" s="1708">
        <f>IF(A238='Data Entry - SOF'!B$2,'Data Entry - SOF'!O$64,0)</f>
        <v>0</v>
      </c>
    </row>
    <row r="239" spans="1:27" ht="15.75">
      <c r="A239" s="1076" t="s">
        <v>240</v>
      </c>
      <c r="B239">
        <v>5730846</v>
      </c>
      <c r="C239" s="2452" t="e">
        <f>#REF!+#REF!</f>
        <v>#REF!</v>
      </c>
      <c r="D239" s="2449">
        <f>IF(A239='Data Entry - SOF'!B$2,'Data Entry - SOF'!C$64,0)</f>
        <v>0</v>
      </c>
      <c r="E239" s="2450">
        <f t="shared" si="37"/>
        <v>5730846</v>
      </c>
      <c r="F239" s="2212" t="e">
        <f>IF('Report-M&amp;O1718'!C$18-'Report-SOF1718'!D$55&lt;=0,0,'Report-M&amp;O1718'!C$18-'Report-SOF1718'!D$55)</f>
        <v>#DIV/0!</v>
      </c>
      <c r="G239" s="2452" t="e">
        <f t="shared" si="38"/>
        <v>#DIV/0!</v>
      </c>
      <c r="H239" s="2449">
        <f>IF(A239='Data Entry - SOF'!B$2,'Data Entry - SOF'!E$64,0)</f>
        <v>0</v>
      </c>
      <c r="I239" s="1687">
        <f t="shared" si="39"/>
        <v>5730846</v>
      </c>
      <c r="J239" s="2212" t="e">
        <f>IF('Report-M&amp;O1819'!C$18-'Report-SOF1819'!D$55&lt;=0,0,'Report-M&amp;O1819'!C$18-'Report-SOF1819'!D$55)</f>
        <v>#DIV/0!</v>
      </c>
      <c r="K239" s="2452" t="e">
        <f t="shared" si="40"/>
        <v>#DIV/0!</v>
      </c>
      <c r="L239" s="2449">
        <f>IF(A239='Data Entry - SOF'!B$2,'Data Entry - SOF'!G$64,0)</f>
        <v>0</v>
      </c>
      <c r="M239" s="1371">
        <f t="shared" si="41"/>
        <v>5730846</v>
      </c>
      <c r="N239" s="2212" t="e">
        <f>IF('Report-M&amp;O1920'!C$18-'Report-SOF1920'!D$55&lt;=0,0,'Report-M&amp;O1920'!C$18-'Report-SOF1920'!D$55)</f>
        <v>#DIV/0!</v>
      </c>
      <c r="O239" s="2452" t="e">
        <f t="shared" si="42"/>
        <v>#DIV/0!</v>
      </c>
      <c r="P239" s="2449">
        <f>IF(A239='Data Entry - SOF'!B$2,'Data Entry - SOF'!I$64,0)</f>
        <v>0</v>
      </c>
      <c r="Q239" s="1687">
        <f t="shared" si="36"/>
        <v>5730846</v>
      </c>
      <c r="R239" s="2212" t="e">
        <f>IF('Report-M&amp;O2021'!C$18-'Report-SOF2021'!D$55&lt;=0,0,'Report-M&amp;O2021'!C$18-'Report-SOF2021'!D$55)</f>
        <v>#DIV/0!</v>
      </c>
      <c r="S239" s="2452" t="e">
        <f t="shared" si="43"/>
        <v>#DIV/0!</v>
      </c>
      <c r="T239" s="1708">
        <f>IF(A239='Data Entry - SOF'!B$2,'Data Entry - SOF'!K$64,0)</f>
        <v>0</v>
      </c>
      <c r="U239" s="1687">
        <f t="shared" si="46"/>
        <v>5730846</v>
      </c>
      <c r="V239" s="2212" t="e">
        <f>IF('Report-M&amp;O2122'!C$18-'Report-SOF2122'!D$55&lt;=0,0,'Report-M&amp;O2122'!C$18-'Report-SOF2122'!D$55)</f>
        <v>#DIV/0!</v>
      </c>
      <c r="W239" s="2452" t="e">
        <f t="shared" si="44"/>
        <v>#DIV/0!</v>
      </c>
      <c r="X239" s="1708">
        <f>IF(A239='Data Entry - SOF'!B$2,'Data Entry - SOF'!M$64,0)</f>
        <v>0</v>
      </c>
      <c r="Y239" s="1371" t="e">
        <f t="shared" si="45"/>
        <v>#DIV/0!</v>
      </c>
      <c r="Z239" s="2212" t="e">
        <f>IF('Report-M&amp;O2223'!C$18-'Report-SOF2223'!D$55&lt;=0,0,'Report-M&amp;O2223'!C$18-'Report-SOF2223'!D$55)</f>
        <v>#DIV/0!</v>
      </c>
      <c r="AA239" s="1708">
        <f>IF(A239='Data Entry - SOF'!B$2,'Data Entry - SOF'!O$64,0)</f>
        <v>0</v>
      </c>
    </row>
    <row r="240" spans="1:27" ht="15.75">
      <c r="A240" s="1076" t="s">
        <v>815</v>
      </c>
      <c r="B240">
        <v>15361017</v>
      </c>
      <c r="C240" s="2452" t="e">
        <f>#REF!+#REF!</f>
        <v>#REF!</v>
      </c>
      <c r="D240" s="2449">
        <f>IF(A240='Data Entry - SOF'!B$2,'Data Entry - SOF'!C$64,0)</f>
        <v>0</v>
      </c>
      <c r="E240" s="2450">
        <f t="shared" si="37"/>
        <v>15361017</v>
      </c>
      <c r="F240" s="2212" t="e">
        <f>IF('Report-M&amp;O1718'!C$18-'Report-SOF1718'!D$55&lt;=0,0,'Report-M&amp;O1718'!C$18-'Report-SOF1718'!D$55)</f>
        <v>#DIV/0!</v>
      </c>
      <c r="G240" s="2452" t="e">
        <f t="shared" si="38"/>
        <v>#DIV/0!</v>
      </c>
      <c r="H240" s="2449">
        <f>IF(A240='Data Entry - SOF'!B$2,'Data Entry - SOF'!E$64,0)</f>
        <v>0</v>
      </c>
      <c r="I240" s="1687">
        <f t="shared" si="39"/>
        <v>15361017</v>
      </c>
      <c r="J240" s="2212" t="e">
        <f>IF('Report-M&amp;O1819'!C$18-'Report-SOF1819'!D$55&lt;=0,0,'Report-M&amp;O1819'!C$18-'Report-SOF1819'!D$55)</f>
        <v>#DIV/0!</v>
      </c>
      <c r="K240" s="2452" t="e">
        <f t="shared" si="40"/>
        <v>#DIV/0!</v>
      </c>
      <c r="L240" s="2449">
        <f>IF(A240='Data Entry - SOF'!B$2,'Data Entry - SOF'!G$64,0)</f>
        <v>0</v>
      </c>
      <c r="M240" s="1371">
        <f t="shared" si="41"/>
        <v>15361017</v>
      </c>
      <c r="N240" s="2212" t="e">
        <f>IF('Report-M&amp;O1920'!C$18-'Report-SOF1920'!D$55&lt;=0,0,'Report-M&amp;O1920'!C$18-'Report-SOF1920'!D$55)</f>
        <v>#DIV/0!</v>
      </c>
      <c r="O240" s="2452" t="e">
        <f t="shared" si="42"/>
        <v>#DIV/0!</v>
      </c>
      <c r="P240" s="2449">
        <f>IF(A240='Data Entry - SOF'!B$2,'Data Entry - SOF'!I$64,0)</f>
        <v>0</v>
      </c>
      <c r="Q240" s="1687">
        <f t="shared" si="36"/>
        <v>15361017</v>
      </c>
      <c r="R240" s="2212" t="e">
        <f>IF('Report-M&amp;O2021'!C$18-'Report-SOF2021'!D$55&lt;=0,0,'Report-M&amp;O2021'!C$18-'Report-SOF2021'!D$55)</f>
        <v>#DIV/0!</v>
      </c>
      <c r="S240" s="2452" t="e">
        <f t="shared" si="43"/>
        <v>#DIV/0!</v>
      </c>
      <c r="T240" s="1708">
        <f>IF(A240='Data Entry - SOF'!B$2,'Data Entry - SOF'!K$64,0)</f>
        <v>0</v>
      </c>
      <c r="U240" s="1687">
        <f t="shared" si="46"/>
        <v>15361017</v>
      </c>
      <c r="V240" s="2212" t="e">
        <f>IF('Report-M&amp;O2122'!C$18-'Report-SOF2122'!D$55&lt;=0,0,'Report-M&amp;O2122'!C$18-'Report-SOF2122'!D$55)</f>
        <v>#DIV/0!</v>
      </c>
      <c r="W240" s="2452" t="e">
        <f t="shared" si="44"/>
        <v>#DIV/0!</v>
      </c>
      <c r="X240" s="1708">
        <f>IF(A240='Data Entry - SOF'!B$2,'Data Entry - SOF'!M$64,0)</f>
        <v>0</v>
      </c>
      <c r="Y240" s="1371" t="e">
        <f t="shared" si="45"/>
        <v>#DIV/0!</v>
      </c>
      <c r="Z240" s="2212" t="e">
        <f>IF('Report-M&amp;O2223'!C$18-'Report-SOF2223'!D$55&lt;=0,0,'Report-M&amp;O2223'!C$18-'Report-SOF2223'!D$55)</f>
        <v>#DIV/0!</v>
      </c>
      <c r="AA240" s="1708">
        <f>IF(A240='Data Entry - SOF'!B$2,'Data Entry - SOF'!O$64,0)</f>
        <v>0</v>
      </c>
    </row>
    <row r="241" spans="1:27" ht="15.75">
      <c r="A241" s="1076" t="s">
        <v>242</v>
      </c>
      <c r="B241">
        <v>18536672</v>
      </c>
      <c r="C241" s="2452" t="e">
        <f>#REF!+#REF!</f>
        <v>#REF!</v>
      </c>
      <c r="D241" s="2449">
        <f>IF(A241='Data Entry - SOF'!B$2,'Data Entry - SOF'!C$64,0)</f>
        <v>0</v>
      </c>
      <c r="E241" s="2450">
        <f t="shared" si="37"/>
        <v>18536672</v>
      </c>
      <c r="F241" s="2212" t="e">
        <f>IF('Report-M&amp;O1718'!C$18-'Report-SOF1718'!D$55&lt;=0,0,'Report-M&amp;O1718'!C$18-'Report-SOF1718'!D$55)</f>
        <v>#DIV/0!</v>
      </c>
      <c r="G241" s="2452" t="e">
        <f t="shared" si="38"/>
        <v>#DIV/0!</v>
      </c>
      <c r="H241" s="2449">
        <f>IF(A241='Data Entry - SOF'!B$2,'Data Entry - SOF'!E$64,0)</f>
        <v>0</v>
      </c>
      <c r="I241" s="1687">
        <f t="shared" si="39"/>
        <v>18536672</v>
      </c>
      <c r="J241" s="2212" t="e">
        <f>IF('Report-M&amp;O1819'!C$18-'Report-SOF1819'!D$55&lt;=0,0,'Report-M&amp;O1819'!C$18-'Report-SOF1819'!D$55)</f>
        <v>#DIV/0!</v>
      </c>
      <c r="K241" s="2452" t="e">
        <f t="shared" si="40"/>
        <v>#DIV/0!</v>
      </c>
      <c r="L241" s="2449">
        <f>IF(A241='Data Entry - SOF'!B$2,'Data Entry - SOF'!G$64,0)</f>
        <v>0</v>
      </c>
      <c r="M241" s="1371">
        <f t="shared" si="41"/>
        <v>18536672</v>
      </c>
      <c r="N241" s="2212" t="e">
        <f>IF('Report-M&amp;O1920'!C$18-'Report-SOF1920'!D$55&lt;=0,0,'Report-M&amp;O1920'!C$18-'Report-SOF1920'!D$55)</f>
        <v>#DIV/0!</v>
      </c>
      <c r="O241" s="2452" t="e">
        <f t="shared" si="42"/>
        <v>#DIV/0!</v>
      </c>
      <c r="P241" s="2449">
        <f>IF(A241='Data Entry - SOF'!B$2,'Data Entry - SOF'!I$64,0)</f>
        <v>0</v>
      </c>
      <c r="Q241" s="1687">
        <f t="shared" si="36"/>
        <v>18536672</v>
      </c>
      <c r="R241" s="2212" t="e">
        <f>IF('Report-M&amp;O2021'!C$18-'Report-SOF2021'!D$55&lt;=0,0,'Report-M&amp;O2021'!C$18-'Report-SOF2021'!D$55)</f>
        <v>#DIV/0!</v>
      </c>
      <c r="S241" s="2452" t="e">
        <f t="shared" si="43"/>
        <v>#DIV/0!</v>
      </c>
      <c r="T241" s="1708">
        <f>IF(A241='Data Entry - SOF'!B$2,'Data Entry - SOF'!K$64,0)</f>
        <v>0</v>
      </c>
      <c r="U241" s="1687">
        <f t="shared" si="46"/>
        <v>18536672</v>
      </c>
      <c r="V241" s="2212" t="e">
        <f>IF('Report-M&amp;O2122'!C$18-'Report-SOF2122'!D$55&lt;=0,0,'Report-M&amp;O2122'!C$18-'Report-SOF2122'!D$55)</f>
        <v>#DIV/0!</v>
      </c>
      <c r="W241" s="2452" t="e">
        <f t="shared" si="44"/>
        <v>#DIV/0!</v>
      </c>
      <c r="X241" s="1708">
        <f>IF(A241='Data Entry - SOF'!B$2,'Data Entry - SOF'!M$64,0)</f>
        <v>0</v>
      </c>
      <c r="Y241" s="1371" t="e">
        <f t="shared" si="45"/>
        <v>#DIV/0!</v>
      </c>
      <c r="Z241" s="2212" t="e">
        <f>IF('Report-M&amp;O2223'!C$18-'Report-SOF2223'!D$55&lt;=0,0,'Report-M&amp;O2223'!C$18-'Report-SOF2223'!D$55)</f>
        <v>#DIV/0!</v>
      </c>
      <c r="AA241" s="1708">
        <f>IF(A241='Data Entry - SOF'!B$2,'Data Entry - SOF'!O$64,0)</f>
        <v>0</v>
      </c>
    </row>
    <row r="242" spans="1:27" ht="15.75">
      <c r="A242" s="1076" t="s">
        <v>1893</v>
      </c>
      <c r="B242">
        <v>15176384</v>
      </c>
      <c r="C242" s="2452" t="e">
        <f>#REF!+#REF!</f>
        <v>#REF!</v>
      </c>
      <c r="D242" s="2449">
        <f>IF(A242='Data Entry - SOF'!B$2,'Data Entry - SOF'!C$64,0)</f>
        <v>0</v>
      </c>
      <c r="E242" s="2450">
        <f t="shared" si="37"/>
        <v>15176384</v>
      </c>
      <c r="F242" s="2212" t="e">
        <f>IF('Report-M&amp;O1718'!C$18-'Report-SOF1718'!D$55&lt;=0,0,'Report-M&amp;O1718'!C$18-'Report-SOF1718'!D$55)</f>
        <v>#DIV/0!</v>
      </c>
      <c r="G242" s="2452" t="e">
        <f t="shared" si="38"/>
        <v>#DIV/0!</v>
      </c>
      <c r="H242" s="2449">
        <f>IF(A242='Data Entry - SOF'!B$2,'Data Entry - SOF'!E$64,0)</f>
        <v>0</v>
      </c>
      <c r="I242" s="1687">
        <f t="shared" si="39"/>
        <v>15176384</v>
      </c>
      <c r="J242" s="2212" t="e">
        <f>IF('Report-M&amp;O1819'!C$18-'Report-SOF1819'!D$55&lt;=0,0,'Report-M&amp;O1819'!C$18-'Report-SOF1819'!D$55)</f>
        <v>#DIV/0!</v>
      </c>
      <c r="K242" s="2452" t="e">
        <f t="shared" si="40"/>
        <v>#DIV/0!</v>
      </c>
      <c r="L242" s="2449">
        <f>IF(A242='Data Entry - SOF'!B$2,'Data Entry - SOF'!G$64,0)</f>
        <v>0</v>
      </c>
      <c r="M242" s="1371">
        <f t="shared" si="41"/>
        <v>15176384</v>
      </c>
      <c r="N242" s="2212" t="e">
        <f>IF('Report-M&amp;O1920'!C$18-'Report-SOF1920'!D$55&lt;=0,0,'Report-M&amp;O1920'!C$18-'Report-SOF1920'!D$55)</f>
        <v>#DIV/0!</v>
      </c>
      <c r="O242" s="2452" t="e">
        <f t="shared" si="42"/>
        <v>#DIV/0!</v>
      </c>
      <c r="P242" s="2449">
        <f>IF(A242='Data Entry - SOF'!B$2,'Data Entry - SOF'!I$64,0)</f>
        <v>0</v>
      </c>
      <c r="Q242" s="1687">
        <f t="shared" si="36"/>
        <v>15176384</v>
      </c>
      <c r="R242" s="2212" t="e">
        <f>IF('Report-M&amp;O2021'!C$18-'Report-SOF2021'!D$55&lt;=0,0,'Report-M&amp;O2021'!C$18-'Report-SOF2021'!D$55)</f>
        <v>#DIV/0!</v>
      </c>
      <c r="S242" s="2452" t="e">
        <f t="shared" si="43"/>
        <v>#DIV/0!</v>
      </c>
      <c r="T242" s="1708">
        <f>IF(A242='Data Entry - SOF'!B$2,'Data Entry - SOF'!K$64,0)</f>
        <v>0</v>
      </c>
      <c r="U242" s="1687">
        <f t="shared" si="46"/>
        <v>15176384</v>
      </c>
      <c r="V242" s="2212" t="e">
        <f>IF('Report-M&amp;O2122'!C$18-'Report-SOF2122'!D$55&lt;=0,0,'Report-M&amp;O2122'!C$18-'Report-SOF2122'!D$55)</f>
        <v>#DIV/0!</v>
      </c>
      <c r="W242" s="2452" t="e">
        <f t="shared" si="44"/>
        <v>#DIV/0!</v>
      </c>
      <c r="X242" s="1708">
        <f>IF(A242='Data Entry - SOF'!B$2,'Data Entry - SOF'!M$64,0)</f>
        <v>0</v>
      </c>
      <c r="Y242" s="1371" t="e">
        <f t="shared" si="45"/>
        <v>#DIV/0!</v>
      </c>
      <c r="Z242" s="2212" t="e">
        <f>IF('Report-M&amp;O2223'!C$18-'Report-SOF2223'!D$55&lt;=0,0,'Report-M&amp;O2223'!C$18-'Report-SOF2223'!D$55)</f>
        <v>#DIV/0!</v>
      </c>
      <c r="AA242" s="1708">
        <f>IF(A242='Data Entry - SOF'!B$2,'Data Entry - SOF'!O$64,0)</f>
        <v>0</v>
      </c>
    </row>
    <row r="243" spans="1:27" ht="15.75">
      <c r="A243" s="1076" t="s">
        <v>532</v>
      </c>
      <c r="B243">
        <v>6655843</v>
      </c>
      <c r="C243" s="2452" t="e">
        <f>#REF!+#REF!</f>
        <v>#REF!</v>
      </c>
      <c r="D243" s="2449">
        <f>IF(A243='Data Entry - SOF'!B$2,'Data Entry - SOF'!C$64,0)</f>
        <v>0</v>
      </c>
      <c r="E243" s="2450">
        <f t="shared" si="37"/>
        <v>6655843</v>
      </c>
      <c r="F243" s="2212" t="e">
        <f>IF('Report-M&amp;O1718'!C$18-'Report-SOF1718'!D$55&lt;=0,0,'Report-M&amp;O1718'!C$18-'Report-SOF1718'!D$55)</f>
        <v>#DIV/0!</v>
      </c>
      <c r="G243" s="2452" t="e">
        <f t="shared" si="38"/>
        <v>#DIV/0!</v>
      </c>
      <c r="H243" s="2449">
        <f>IF(A243='Data Entry - SOF'!B$2,'Data Entry - SOF'!E$64,0)</f>
        <v>0</v>
      </c>
      <c r="I243" s="1687">
        <f t="shared" si="39"/>
        <v>6655843</v>
      </c>
      <c r="J243" s="2212" t="e">
        <f>IF('Report-M&amp;O1819'!C$18-'Report-SOF1819'!D$55&lt;=0,0,'Report-M&amp;O1819'!C$18-'Report-SOF1819'!D$55)</f>
        <v>#DIV/0!</v>
      </c>
      <c r="K243" s="2452" t="e">
        <f t="shared" si="40"/>
        <v>#DIV/0!</v>
      </c>
      <c r="L243" s="2449">
        <f>IF(A243='Data Entry - SOF'!B$2,'Data Entry - SOF'!G$64,0)</f>
        <v>0</v>
      </c>
      <c r="M243" s="1371">
        <f t="shared" si="41"/>
        <v>6655843</v>
      </c>
      <c r="N243" s="2212" t="e">
        <f>IF('Report-M&amp;O1920'!C$18-'Report-SOF1920'!D$55&lt;=0,0,'Report-M&amp;O1920'!C$18-'Report-SOF1920'!D$55)</f>
        <v>#DIV/0!</v>
      </c>
      <c r="O243" s="2452" t="e">
        <f t="shared" si="42"/>
        <v>#DIV/0!</v>
      </c>
      <c r="P243" s="2449">
        <f>IF(A243='Data Entry - SOF'!B$2,'Data Entry - SOF'!I$64,0)</f>
        <v>0</v>
      </c>
      <c r="Q243" s="1687">
        <f t="shared" si="36"/>
        <v>6655843</v>
      </c>
      <c r="R243" s="2212" t="e">
        <f>IF('Report-M&amp;O2021'!C$18-'Report-SOF2021'!D$55&lt;=0,0,'Report-M&amp;O2021'!C$18-'Report-SOF2021'!D$55)</f>
        <v>#DIV/0!</v>
      </c>
      <c r="S243" s="2452" t="e">
        <f t="shared" si="43"/>
        <v>#DIV/0!</v>
      </c>
      <c r="T243" s="1708">
        <f>IF(A243='Data Entry - SOF'!B$2,'Data Entry - SOF'!K$64,0)</f>
        <v>0</v>
      </c>
      <c r="U243" s="1687">
        <f t="shared" si="46"/>
        <v>6655843</v>
      </c>
      <c r="V243" s="2212" t="e">
        <f>IF('Report-M&amp;O2122'!C$18-'Report-SOF2122'!D$55&lt;=0,0,'Report-M&amp;O2122'!C$18-'Report-SOF2122'!D$55)</f>
        <v>#DIV/0!</v>
      </c>
      <c r="W243" s="2452" t="e">
        <f t="shared" si="44"/>
        <v>#DIV/0!</v>
      </c>
      <c r="X243" s="1708">
        <f>IF(A243='Data Entry - SOF'!B$2,'Data Entry - SOF'!M$64,0)</f>
        <v>0</v>
      </c>
      <c r="Y243" s="1371" t="e">
        <f t="shared" si="45"/>
        <v>#DIV/0!</v>
      </c>
      <c r="Z243" s="2212" t="e">
        <f>IF('Report-M&amp;O2223'!C$18-'Report-SOF2223'!D$55&lt;=0,0,'Report-M&amp;O2223'!C$18-'Report-SOF2223'!D$55)</f>
        <v>#DIV/0!</v>
      </c>
      <c r="AA243" s="1708">
        <f>IF(A243='Data Entry - SOF'!B$2,'Data Entry - SOF'!O$64,0)</f>
        <v>0</v>
      </c>
    </row>
    <row r="244" spans="1:27" ht="15.75">
      <c r="A244" s="1076" t="s">
        <v>2099</v>
      </c>
      <c r="B244">
        <v>43698831</v>
      </c>
      <c r="C244" s="2452" t="e">
        <f>#REF!+#REF!</f>
        <v>#REF!</v>
      </c>
      <c r="D244" s="2449">
        <f>IF(A244='Data Entry - SOF'!B$2,'Data Entry - SOF'!C$64,0)</f>
        <v>0</v>
      </c>
      <c r="E244" s="2450">
        <f t="shared" si="37"/>
        <v>43698831</v>
      </c>
      <c r="F244" s="2212" t="e">
        <f>IF('Report-M&amp;O1718'!C$18-'Report-SOF1718'!D$55&lt;=0,0,'Report-M&amp;O1718'!C$18-'Report-SOF1718'!D$55)</f>
        <v>#DIV/0!</v>
      </c>
      <c r="G244" s="2452" t="e">
        <f t="shared" si="38"/>
        <v>#DIV/0!</v>
      </c>
      <c r="H244" s="2449">
        <f>IF(A244='Data Entry - SOF'!B$2,'Data Entry - SOF'!E$64,0)</f>
        <v>0</v>
      </c>
      <c r="I244" s="1687">
        <f t="shared" si="39"/>
        <v>43698831</v>
      </c>
      <c r="J244" s="2212" t="e">
        <f>IF('Report-M&amp;O1819'!C$18-'Report-SOF1819'!D$55&lt;=0,0,'Report-M&amp;O1819'!C$18-'Report-SOF1819'!D$55)</f>
        <v>#DIV/0!</v>
      </c>
      <c r="K244" s="2452" t="e">
        <f t="shared" si="40"/>
        <v>#DIV/0!</v>
      </c>
      <c r="L244" s="2449">
        <f>IF(A244='Data Entry - SOF'!B$2,'Data Entry - SOF'!G$64,0)</f>
        <v>0</v>
      </c>
      <c r="M244" s="1371">
        <f t="shared" si="41"/>
        <v>43698831</v>
      </c>
      <c r="N244" s="2212" t="e">
        <f>IF('Report-M&amp;O1920'!C$18-'Report-SOF1920'!D$55&lt;=0,0,'Report-M&amp;O1920'!C$18-'Report-SOF1920'!D$55)</f>
        <v>#DIV/0!</v>
      </c>
      <c r="O244" s="2452" t="e">
        <f t="shared" si="42"/>
        <v>#DIV/0!</v>
      </c>
      <c r="P244" s="2449">
        <f>IF(A244='Data Entry - SOF'!B$2,'Data Entry - SOF'!I$64,0)</f>
        <v>0</v>
      </c>
      <c r="Q244" s="1687">
        <f t="shared" si="36"/>
        <v>43698831</v>
      </c>
      <c r="R244" s="2212" t="e">
        <f>IF('Report-M&amp;O2021'!C$18-'Report-SOF2021'!D$55&lt;=0,0,'Report-M&amp;O2021'!C$18-'Report-SOF2021'!D$55)</f>
        <v>#DIV/0!</v>
      </c>
      <c r="S244" s="2452" t="e">
        <f t="shared" si="43"/>
        <v>#DIV/0!</v>
      </c>
      <c r="T244" s="1708">
        <f>IF(A244='Data Entry - SOF'!B$2,'Data Entry - SOF'!K$64,0)</f>
        <v>0</v>
      </c>
      <c r="U244" s="1687">
        <f t="shared" si="46"/>
        <v>43698831</v>
      </c>
      <c r="V244" s="2212" t="e">
        <f>IF('Report-M&amp;O2122'!C$18-'Report-SOF2122'!D$55&lt;=0,0,'Report-M&amp;O2122'!C$18-'Report-SOF2122'!D$55)</f>
        <v>#DIV/0!</v>
      </c>
      <c r="W244" s="2452" t="e">
        <f t="shared" si="44"/>
        <v>#DIV/0!</v>
      </c>
      <c r="X244" s="1708">
        <f>IF(A244='Data Entry - SOF'!B$2,'Data Entry - SOF'!M$64,0)</f>
        <v>0</v>
      </c>
      <c r="Y244" s="1371" t="e">
        <f t="shared" si="45"/>
        <v>#DIV/0!</v>
      </c>
      <c r="Z244" s="2212" t="e">
        <f>IF('Report-M&amp;O2223'!C$18-'Report-SOF2223'!D$55&lt;=0,0,'Report-M&amp;O2223'!C$18-'Report-SOF2223'!D$55)</f>
        <v>#DIV/0!</v>
      </c>
      <c r="AA244" s="1708">
        <f>IF(A244='Data Entry - SOF'!B$2,'Data Entry - SOF'!O$64,0)</f>
        <v>0</v>
      </c>
    </row>
    <row r="245" spans="1:27" ht="15.75">
      <c r="A245" s="1076" t="s">
        <v>1590</v>
      </c>
      <c r="B245">
        <v>293977697</v>
      </c>
      <c r="C245" s="2452" t="e">
        <f>#REF!+#REF!</f>
        <v>#REF!</v>
      </c>
      <c r="D245" s="2449">
        <f>IF(A245='Data Entry - SOF'!B$2,'Data Entry - SOF'!C$64,0)</f>
        <v>0</v>
      </c>
      <c r="E245" s="2450">
        <f t="shared" si="37"/>
        <v>293977697</v>
      </c>
      <c r="F245" s="2212" t="e">
        <f>IF('Report-M&amp;O1718'!C$18-'Report-SOF1718'!D$55&lt;=0,0,'Report-M&amp;O1718'!C$18-'Report-SOF1718'!D$55)</f>
        <v>#DIV/0!</v>
      </c>
      <c r="G245" s="2452" t="e">
        <f t="shared" si="38"/>
        <v>#DIV/0!</v>
      </c>
      <c r="H245" s="2449">
        <f>IF(A245='Data Entry - SOF'!B$2,'Data Entry - SOF'!E$64,0)</f>
        <v>0</v>
      </c>
      <c r="I245" s="1687">
        <f t="shared" si="39"/>
        <v>293977697</v>
      </c>
      <c r="J245" s="2212" t="e">
        <f>IF('Report-M&amp;O1819'!C$18-'Report-SOF1819'!D$55&lt;=0,0,'Report-M&amp;O1819'!C$18-'Report-SOF1819'!D$55)</f>
        <v>#DIV/0!</v>
      </c>
      <c r="K245" s="2452" t="e">
        <f t="shared" si="40"/>
        <v>#DIV/0!</v>
      </c>
      <c r="L245" s="2449">
        <f>IF(A245='Data Entry - SOF'!B$2,'Data Entry - SOF'!G$64,0)</f>
        <v>0</v>
      </c>
      <c r="M245" s="1371">
        <f t="shared" si="41"/>
        <v>293977697</v>
      </c>
      <c r="N245" s="2212" t="e">
        <f>IF('Report-M&amp;O1920'!C$18-'Report-SOF1920'!D$55&lt;=0,0,'Report-M&amp;O1920'!C$18-'Report-SOF1920'!D$55)</f>
        <v>#DIV/0!</v>
      </c>
      <c r="O245" s="2452" t="e">
        <f t="shared" si="42"/>
        <v>#DIV/0!</v>
      </c>
      <c r="P245" s="2449">
        <f>IF(A245='Data Entry - SOF'!B$2,'Data Entry - SOF'!I$64,0)</f>
        <v>0</v>
      </c>
      <c r="Q245" s="1687">
        <f t="shared" si="36"/>
        <v>293977697</v>
      </c>
      <c r="R245" s="2212" t="e">
        <f>IF('Report-M&amp;O2021'!C$18-'Report-SOF2021'!D$55&lt;=0,0,'Report-M&amp;O2021'!C$18-'Report-SOF2021'!D$55)</f>
        <v>#DIV/0!</v>
      </c>
      <c r="S245" s="2452" t="e">
        <f t="shared" si="43"/>
        <v>#DIV/0!</v>
      </c>
      <c r="T245" s="1708">
        <f>IF(A245='Data Entry - SOF'!B$2,'Data Entry - SOF'!K$64,0)</f>
        <v>0</v>
      </c>
      <c r="U245" s="1687">
        <f t="shared" si="46"/>
        <v>293977697</v>
      </c>
      <c r="V245" s="2212" t="e">
        <f>IF('Report-M&amp;O2122'!C$18-'Report-SOF2122'!D$55&lt;=0,0,'Report-M&amp;O2122'!C$18-'Report-SOF2122'!D$55)</f>
        <v>#DIV/0!</v>
      </c>
      <c r="W245" s="2452" t="e">
        <f t="shared" si="44"/>
        <v>#DIV/0!</v>
      </c>
      <c r="X245" s="1708">
        <f>IF(A245='Data Entry - SOF'!B$2,'Data Entry - SOF'!M$64,0)</f>
        <v>0</v>
      </c>
      <c r="Y245" s="1371" t="e">
        <f t="shared" si="45"/>
        <v>#DIV/0!</v>
      </c>
      <c r="Z245" s="2212" t="e">
        <f>IF('Report-M&amp;O2223'!C$18-'Report-SOF2223'!D$55&lt;=0,0,'Report-M&amp;O2223'!C$18-'Report-SOF2223'!D$55)</f>
        <v>#DIV/0!</v>
      </c>
      <c r="AA245" s="1708">
        <f>IF(A245='Data Entry - SOF'!B$2,'Data Entry - SOF'!O$64,0)</f>
        <v>0</v>
      </c>
    </row>
    <row r="246" spans="1:27" ht="15.75">
      <c r="A246" s="1076" t="s">
        <v>68</v>
      </c>
      <c r="B246">
        <v>38219425</v>
      </c>
      <c r="C246" s="2452" t="e">
        <f>#REF!+#REF!</f>
        <v>#REF!</v>
      </c>
      <c r="D246" s="2449">
        <f>IF(A246='Data Entry - SOF'!B$2,'Data Entry - SOF'!C$64,0)</f>
        <v>0</v>
      </c>
      <c r="E246" s="2450">
        <f t="shared" si="37"/>
        <v>38219425</v>
      </c>
      <c r="F246" s="2212" t="e">
        <f>IF('Report-M&amp;O1718'!C$18-'Report-SOF1718'!D$55&lt;=0,0,'Report-M&amp;O1718'!C$18-'Report-SOF1718'!D$55)</f>
        <v>#DIV/0!</v>
      </c>
      <c r="G246" s="2452" t="e">
        <f t="shared" si="38"/>
        <v>#DIV/0!</v>
      </c>
      <c r="H246" s="2449">
        <f>IF(A246='Data Entry - SOF'!B$2,'Data Entry - SOF'!E$64,0)</f>
        <v>0</v>
      </c>
      <c r="I246" s="1687">
        <f t="shared" si="39"/>
        <v>38219425</v>
      </c>
      <c r="J246" s="2212" t="e">
        <f>IF('Report-M&amp;O1819'!C$18-'Report-SOF1819'!D$55&lt;=0,0,'Report-M&amp;O1819'!C$18-'Report-SOF1819'!D$55)</f>
        <v>#DIV/0!</v>
      </c>
      <c r="K246" s="2452" t="e">
        <f t="shared" si="40"/>
        <v>#DIV/0!</v>
      </c>
      <c r="L246" s="2449">
        <f>IF(A246='Data Entry - SOF'!B$2,'Data Entry - SOF'!G$64,0)</f>
        <v>0</v>
      </c>
      <c r="M246" s="1371">
        <f t="shared" si="41"/>
        <v>38219425</v>
      </c>
      <c r="N246" s="2212" t="e">
        <f>IF('Report-M&amp;O1920'!C$18-'Report-SOF1920'!D$55&lt;=0,0,'Report-M&amp;O1920'!C$18-'Report-SOF1920'!D$55)</f>
        <v>#DIV/0!</v>
      </c>
      <c r="O246" s="2452" t="e">
        <f t="shared" si="42"/>
        <v>#DIV/0!</v>
      </c>
      <c r="P246" s="2449">
        <f>IF(A246='Data Entry - SOF'!B$2,'Data Entry - SOF'!I$64,0)</f>
        <v>0</v>
      </c>
      <c r="Q246" s="1687">
        <f t="shared" si="36"/>
        <v>38219425</v>
      </c>
      <c r="R246" s="2212" t="e">
        <f>IF('Report-M&amp;O2021'!C$18-'Report-SOF2021'!D$55&lt;=0,0,'Report-M&amp;O2021'!C$18-'Report-SOF2021'!D$55)</f>
        <v>#DIV/0!</v>
      </c>
      <c r="S246" s="2452" t="e">
        <f t="shared" si="43"/>
        <v>#DIV/0!</v>
      </c>
      <c r="T246" s="1708">
        <f>IF(A246='Data Entry - SOF'!B$2,'Data Entry - SOF'!K$64,0)</f>
        <v>0</v>
      </c>
      <c r="U246" s="1687">
        <f t="shared" si="46"/>
        <v>38219425</v>
      </c>
      <c r="V246" s="2212" t="e">
        <f>IF('Report-M&amp;O2122'!C$18-'Report-SOF2122'!D$55&lt;=0,0,'Report-M&amp;O2122'!C$18-'Report-SOF2122'!D$55)</f>
        <v>#DIV/0!</v>
      </c>
      <c r="W246" s="2452" t="e">
        <f t="shared" si="44"/>
        <v>#DIV/0!</v>
      </c>
      <c r="X246" s="1708">
        <f>IF(A246='Data Entry - SOF'!B$2,'Data Entry - SOF'!M$64,0)</f>
        <v>0</v>
      </c>
      <c r="Y246" s="1371" t="e">
        <f t="shared" si="45"/>
        <v>#DIV/0!</v>
      </c>
      <c r="Z246" s="2212" t="e">
        <f>IF('Report-M&amp;O2223'!C$18-'Report-SOF2223'!D$55&lt;=0,0,'Report-M&amp;O2223'!C$18-'Report-SOF2223'!D$55)</f>
        <v>#DIV/0!</v>
      </c>
      <c r="AA246" s="1708">
        <f>IF(A246='Data Entry - SOF'!B$2,'Data Entry - SOF'!O$64,0)</f>
        <v>0</v>
      </c>
    </row>
    <row r="247" spans="1:27" ht="15.75">
      <c r="A247" s="1076" t="s">
        <v>712</v>
      </c>
      <c r="B247">
        <v>61937553</v>
      </c>
      <c r="C247" s="2452" t="e">
        <f>#REF!+#REF!</f>
        <v>#REF!</v>
      </c>
      <c r="D247" s="2449">
        <f>IF(A247='Data Entry - SOF'!B$2,'Data Entry - SOF'!C$64,0)</f>
        <v>0</v>
      </c>
      <c r="E247" s="2450">
        <f t="shared" si="37"/>
        <v>61937553</v>
      </c>
      <c r="F247" s="2212" t="e">
        <f>IF('Report-M&amp;O1718'!C$18-'Report-SOF1718'!D$55&lt;=0,0,'Report-M&amp;O1718'!C$18-'Report-SOF1718'!D$55)</f>
        <v>#DIV/0!</v>
      </c>
      <c r="G247" s="2452" t="e">
        <f t="shared" si="38"/>
        <v>#DIV/0!</v>
      </c>
      <c r="H247" s="2449">
        <f>IF(A247='Data Entry - SOF'!B$2,'Data Entry - SOF'!E$64,0)</f>
        <v>0</v>
      </c>
      <c r="I247" s="1687">
        <f t="shared" si="39"/>
        <v>61937553</v>
      </c>
      <c r="J247" s="2212" t="e">
        <f>IF('Report-M&amp;O1819'!C$18-'Report-SOF1819'!D$55&lt;=0,0,'Report-M&amp;O1819'!C$18-'Report-SOF1819'!D$55)</f>
        <v>#DIV/0!</v>
      </c>
      <c r="K247" s="2452" t="e">
        <f t="shared" si="40"/>
        <v>#DIV/0!</v>
      </c>
      <c r="L247" s="2449">
        <f>IF(A247='Data Entry - SOF'!B$2,'Data Entry - SOF'!G$64,0)</f>
        <v>0</v>
      </c>
      <c r="M247" s="1371">
        <f t="shared" si="41"/>
        <v>61937553</v>
      </c>
      <c r="N247" s="2212" t="e">
        <f>IF('Report-M&amp;O1920'!C$18-'Report-SOF1920'!D$55&lt;=0,0,'Report-M&amp;O1920'!C$18-'Report-SOF1920'!D$55)</f>
        <v>#DIV/0!</v>
      </c>
      <c r="O247" s="2452" t="e">
        <f t="shared" si="42"/>
        <v>#DIV/0!</v>
      </c>
      <c r="P247" s="2449">
        <f>IF(A247='Data Entry - SOF'!B$2,'Data Entry - SOF'!I$64,0)</f>
        <v>0</v>
      </c>
      <c r="Q247" s="1687">
        <f t="shared" si="36"/>
        <v>61937553</v>
      </c>
      <c r="R247" s="2212" t="e">
        <f>IF('Report-M&amp;O2021'!C$18-'Report-SOF2021'!D$55&lt;=0,0,'Report-M&amp;O2021'!C$18-'Report-SOF2021'!D$55)</f>
        <v>#DIV/0!</v>
      </c>
      <c r="S247" s="2452" t="e">
        <f t="shared" si="43"/>
        <v>#DIV/0!</v>
      </c>
      <c r="T247" s="1708">
        <f>IF(A247='Data Entry - SOF'!B$2,'Data Entry - SOF'!K$64,0)</f>
        <v>0</v>
      </c>
      <c r="U247" s="1687">
        <f t="shared" si="46"/>
        <v>61937553</v>
      </c>
      <c r="V247" s="2212" t="e">
        <f>IF('Report-M&amp;O2122'!C$18-'Report-SOF2122'!D$55&lt;=0,0,'Report-M&amp;O2122'!C$18-'Report-SOF2122'!D$55)</f>
        <v>#DIV/0!</v>
      </c>
      <c r="W247" s="2452" t="e">
        <f t="shared" si="44"/>
        <v>#DIV/0!</v>
      </c>
      <c r="X247" s="1708">
        <f>IF(A247='Data Entry - SOF'!B$2,'Data Entry - SOF'!M$64,0)</f>
        <v>0</v>
      </c>
      <c r="Y247" s="1371" t="e">
        <f t="shared" si="45"/>
        <v>#DIV/0!</v>
      </c>
      <c r="Z247" s="2212" t="e">
        <f>IF('Report-M&amp;O2223'!C$18-'Report-SOF2223'!D$55&lt;=0,0,'Report-M&amp;O2223'!C$18-'Report-SOF2223'!D$55)</f>
        <v>#DIV/0!</v>
      </c>
      <c r="AA247" s="1708">
        <f>IF(A247='Data Entry - SOF'!B$2,'Data Entry - SOF'!O$64,0)</f>
        <v>0</v>
      </c>
    </row>
    <row r="248" spans="1:27" ht="15.75">
      <c r="A248" s="1076" t="s">
        <v>2864</v>
      </c>
      <c r="B248">
        <v>39553712.206691697</v>
      </c>
      <c r="C248" s="2452" t="e">
        <f>#REF!+#REF!</f>
        <v>#REF!</v>
      </c>
      <c r="D248" s="2449">
        <f>IF(A248='Data Entry - SOF'!B$2,'Data Entry - SOF'!C$64,0)</f>
        <v>0</v>
      </c>
      <c r="E248" s="2450">
        <f t="shared" si="37"/>
        <v>39553712.206691697</v>
      </c>
      <c r="F248" s="2212" t="e">
        <f>IF('Report-M&amp;O1718'!C$18-'Report-SOF1718'!D$55&lt;=0,0,'Report-M&amp;O1718'!C$18-'Report-SOF1718'!D$55)</f>
        <v>#DIV/0!</v>
      </c>
      <c r="G248" s="2452" t="e">
        <f t="shared" si="38"/>
        <v>#DIV/0!</v>
      </c>
      <c r="H248" s="2449">
        <f>IF(A248='Data Entry - SOF'!B$2,'Data Entry - SOF'!E$64,0)</f>
        <v>0</v>
      </c>
      <c r="I248" s="1687">
        <f t="shared" si="39"/>
        <v>39553712.206691697</v>
      </c>
      <c r="J248" s="2212" t="e">
        <f>IF('Report-M&amp;O1819'!C$18-'Report-SOF1819'!D$55&lt;=0,0,'Report-M&amp;O1819'!C$18-'Report-SOF1819'!D$55)</f>
        <v>#DIV/0!</v>
      </c>
      <c r="K248" s="2452" t="e">
        <f t="shared" si="40"/>
        <v>#DIV/0!</v>
      </c>
      <c r="L248" s="2449">
        <f>IF(A248='Data Entry - SOF'!B$2,'Data Entry - SOF'!G$64,0)</f>
        <v>0</v>
      </c>
      <c r="M248" s="1371">
        <f t="shared" si="41"/>
        <v>39553712.206691697</v>
      </c>
      <c r="N248" s="2212" t="e">
        <f>IF('Report-M&amp;O1920'!C$18-'Report-SOF1920'!D$55&lt;=0,0,'Report-M&amp;O1920'!C$18-'Report-SOF1920'!D$55)</f>
        <v>#DIV/0!</v>
      </c>
      <c r="O248" s="2452" t="e">
        <f t="shared" si="42"/>
        <v>#DIV/0!</v>
      </c>
      <c r="P248" s="2449">
        <f>IF(A248='Data Entry - SOF'!B$2,'Data Entry - SOF'!I$64,0)</f>
        <v>0</v>
      </c>
      <c r="Q248" s="1687">
        <f t="shared" si="36"/>
        <v>39553712.206691697</v>
      </c>
      <c r="R248" s="2212" t="e">
        <f>IF('Report-M&amp;O2021'!C$18-'Report-SOF2021'!D$55&lt;=0,0,'Report-M&amp;O2021'!C$18-'Report-SOF2021'!D$55)</f>
        <v>#DIV/0!</v>
      </c>
      <c r="S248" s="2452" t="e">
        <f t="shared" si="43"/>
        <v>#DIV/0!</v>
      </c>
      <c r="T248" s="1708">
        <f>IF(A248='Data Entry - SOF'!B$2,'Data Entry - SOF'!K$64,0)</f>
        <v>0</v>
      </c>
      <c r="U248" s="1687">
        <f t="shared" si="46"/>
        <v>39553712.206691697</v>
      </c>
      <c r="V248" s="2212" t="e">
        <f>IF('Report-M&amp;O2122'!C$18-'Report-SOF2122'!D$55&lt;=0,0,'Report-M&amp;O2122'!C$18-'Report-SOF2122'!D$55)</f>
        <v>#DIV/0!</v>
      </c>
      <c r="W248" s="2452" t="e">
        <f t="shared" si="44"/>
        <v>#DIV/0!</v>
      </c>
      <c r="X248" s="1708">
        <f>IF(A248='Data Entry - SOF'!B$2,'Data Entry - SOF'!M$64,0)</f>
        <v>0</v>
      </c>
      <c r="Y248" s="1371" t="e">
        <f t="shared" si="45"/>
        <v>#DIV/0!</v>
      </c>
      <c r="Z248" s="2212" t="e">
        <f>IF('Report-M&amp;O2223'!C$18-'Report-SOF2223'!D$55&lt;=0,0,'Report-M&amp;O2223'!C$18-'Report-SOF2223'!D$55)</f>
        <v>#DIV/0!</v>
      </c>
      <c r="AA248" s="1708">
        <f>IF(A248='Data Entry - SOF'!B$2,'Data Entry - SOF'!O$64,0)</f>
        <v>0</v>
      </c>
    </row>
    <row r="249" spans="1:27" ht="15.75">
      <c r="A249" s="1076" t="s">
        <v>2100</v>
      </c>
      <c r="B249">
        <v>7981338.64806988</v>
      </c>
      <c r="C249" s="2452" t="e">
        <f>#REF!+#REF!</f>
        <v>#REF!</v>
      </c>
      <c r="D249" s="2449">
        <f>IF(A249='Data Entry - SOF'!B$2,'Data Entry - SOF'!C$64,0)</f>
        <v>0</v>
      </c>
      <c r="E249" s="2450">
        <f t="shared" si="37"/>
        <v>7981338.64806988</v>
      </c>
      <c r="F249" s="2212" t="e">
        <f>IF('Report-M&amp;O1718'!C$18-'Report-SOF1718'!D$55&lt;=0,0,'Report-M&amp;O1718'!C$18-'Report-SOF1718'!D$55)</f>
        <v>#DIV/0!</v>
      </c>
      <c r="G249" s="2452" t="e">
        <f t="shared" si="38"/>
        <v>#DIV/0!</v>
      </c>
      <c r="H249" s="2449">
        <f>IF(A249='Data Entry - SOF'!B$2,'Data Entry - SOF'!E$64,0)</f>
        <v>0</v>
      </c>
      <c r="I249" s="1687">
        <f t="shared" si="39"/>
        <v>7981338.64806988</v>
      </c>
      <c r="J249" s="2212" t="e">
        <f>IF('Report-M&amp;O1819'!C$18-'Report-SOF1819'!D$55&lt;=0,0,'Report-M&amp;O1819'!C$18-'Report-SOF1819'!D$55)</f>
        <v>#DIV/0!</v>
      </c>
      <c r="K249" s="2452" t="e">
        <f t="shared" si="40"/>
        <v>#DIV/0!</v>
      </c>
      <c r="L249" s="2449">
        <f>IF(A249='Data Entry - SOF'!B$2,'Data Entry - SOF'!G$64,0)</f>
        <v>0</v>
      </c>
      <c r="M249" s="1371">
        <f t="shared" si="41"/>
        <v>7981338.64806988</v>
      </c>
      <c r="N249" s="2212" t="e">
        <f>IF('Report-M&amp;O1920'!C$18-'Report-SOF1920'!D$55&lt;=0,0,'Report-M&amp;O1920'!C$18-'Report-SOF1920'!D$55)</f>
        <v>#DIV/0!</v>
      </c>
      <c r="O249" s="2452" t="e">
        <f t="shared" si="42"/>
        <v>#DIV/0!</v>
      </c>
      <c r="P249" s="2449">
        <f>IF(A249='Data Entry - SOF'!B$2,'Data Entry - SOF'!I$64,0)</f>
        <v>0</v>
      </c>
      <c r="Q249" s="1687">
        <f t="shared" si="36"/>
        <v>7981338.64806988</v>
      </c>
      <c r="R249" s="2212" t="e">
        <f>IF('Report-M&amp;O2021'!C$18-'Report-SOF2021'!D$55&lt;=0,0,'Report-M&amp;O2021'!C$18-'Report-SOF2021'!D$55)</f>
        <v>#DIV/0!</v>
      </c>
      <c r="S249" s="2452" t="e">
        <f t="shared" si="43"/>
        <v>#DIV/0!</v>
      </c>
      <c r="T249" s="1708">
        <f>IF(A249='Data Entry - SOF'!B$2,'Data Entry - SOF'!K$64,0)</f>
        <v>0</v>
      </c>
      <c r="U249" s="1687">
        <f t="shared" si="46"/>
        <v>7981338.64806988</v>
      </c>
      <c r="V249" s="2212" t="e">
        <f>IF('Report-M&amp;O2122'!C$18-'Report-SOF2122'!D$55&lt;=0,0,'Report-M&amp;O2122'!C$18-'Report-SOF2122'!D$55)</f>
        <v>#DIV/0!</v>
      </c>
      <c r="W249" s="2452" t="e">
        <f t="shared" si="44"/>
        <v>#DIV/0!</v>
      </c>
      <c r="X249" s="1708">
        <f>IF(A249='Data Entry - SOF'!B$2,'Data Entry - SOF'!M$64,0)</f>
        <v>0</v>
      </c>
      <c r="Y249" s="1371" t="e">
        <f t="shared" si="45"/>
        <v>#DIV/0!</v>
      </c>
      <c r="Z249" s="2212" t="e">
        <f>IF('Report-M&amp;O2223'!C$18-'Report-SOF2223'!D$55&lt;=0,0,'Report-M&amp;O2223'!C$18-'Report-SOF2223'!D$55)</f>
        <v>#DIV/0!</v>
      </c>
      <c r="AA249" s="1708">
        <f>IF(A249='Data Entry - SOF'!B$2,'Data Entry - SOF'!O$64,0)</f>
        <v>0</v>
      </c>
    </row>
    <row r="250" spans="1:27" ht="15.75">
      <c r="A250" s="1076" t="s">
        <v>1352</v>
      </c>
      <c r="B250">
        <v>18938887</v>
      </c>
      <c r="C250" s="2452" t="e">
        <f>#REF!+#REF!</f>
        <v>#REF!</v>
      </c>
      <c r="D250" s="2449">
        <f>IF(A250='Data Entry - SOF'!B$2,'Data Entry - SOF'!C$64,0)</f>
        <v>0</v>
      </c>
      <c r="E250" s="2450">
        <f t="shared" si="37"/>
        <v>18938887</v>
      </c>
      <c r="F250" s="2212" t="e">
        <f>IF('Report-M&amp;O1718'!C$18-'Report-SOF1718'!D$55&lt;=0,0,'Report-M&amp;O1718'!C$18-'Report-SOF1718'!D$55)</f>
        <v>#DIV/0!</v>
      </c>
      <c r="G250" s="2452" t="e">
        <f t="shared" si="38"/>
        <v>#DIV/0!</v>
      </c>
      <c r="H250" s="2449">
        <f>IF(A250='Data Entry - SOF'!B$2,'Data Entry - SOF'!E$64,0)</f>
        <v>0</v>
      </c>
      <c r="I250" s="1687">
        <f t="shared" si="39"/>
        <v>18938887</v>
      </c>
      <c r="J250" s="2212" t="e">
        <f>IF('Report-M&amp;O1819'!C$18-'Report-SOF1819'!D$55&lt;=0,0,'Report-M&amp;O1819'!C$18-'Report-SOF1819'!D$55)</f>
        <v>#DIV/0!</v>
      </c>
      <c r="K250" s="2452" t="e">
        <f t="shared" si="40"/>
        <v>#DIV/0!</v>
      </c>
      <c r="L250" s="2449">
        <f>IF(A250='Data Entry - SOF'!B$2,'Data Entry - SOF'!G$64,0)</f>
        <v>0</v>
      </c>
      <c r="M250" s="1371">
        <f t="shared" si="41"/>
        <v>18938887</v>
      </c>
      <c r="N250" s="2212" t="e">
        <f>IF('Report-M&amp;O1920'!C$18-'Report-SOF1920'!D$55&lt;=0,0,'Report-M&amp;O1920'!C$18-'Report-SOF1920'!D$55)</f>
        <v>#DIV/0!</v>
      </c>
      <c r="O250" s="2452" t="e">
        <f t="shared" si="42"/>
        <v>#DIV/0!</v>
      </c>
      <c r="P250" s="2449">
        <f>IF(A250='Data Entry - SOF'!B$2,'Data Entry - SOF'!I$64,0)</f>
        <v>0</v>
      </c>
      <c r="Q250" s="1687">
        <f t="shared" si="36"/>
        <v>18938887</v>
      </c>
      <c r="R250" s="2212" t="e">
        <f>IF('Report-M&amp;O2021'!C$18-'Report-SOF2021'!D$55&lt;=0,0,'Report-M&amp;O2021'!C$18-'Report-SOF2021'!D$55)</f>
        <v>#DIV/0!</v>
      </c>
      <c r="S250" s="2452" t="e">
        <f t="shared" si="43"/>
        <v>#DIV/0!</v>
      </c>
      <c r="T250" s="1708">
        <f>IF(A250='Data Entry - SOF'!B$2,'Data Entry - SOF'!K$64,0)</f>
        <v>0</v>
      </c>
      <c r="U250" s="1687">
        <f t="shared" si="46"/>
        <v>18938887</v>
      </c>
      <c r="V250" s="2212" t="e">
        <f>IF('Report-M&amp;O2122'!C$18-'Report-SOF2122'!D$55&lt;=0,0,'Report-M&amp;O2122'!C$18-'Report-SOF2122'!D$55)</f>
        <v>#DIV/0!</v>
      </c>
      <c r="W250" s="2452" t="e">
        <f t="shared" si="44"/>
        <v>#DIV/0!</v>
      </c>
      <c r="X250" s="1708">
        <f>IF(A250='Data Entry - SOF'!B$2,'Data Entry - SOF'!M$64,0)</f>
        <v>0</v>
      </c>
      <c r="Y250" s="1371" t="e">
        <f t="shared" si="45"/>
        <v>#DIV/0!</v>
      </c>
      <c r="Z250" s="2212" t="e">
        <f>IF('Report-M&amp;O2223'!C$18-'Report-SOF2223'!D$55&lt;=0,0,'Report-M&amp;O2223'!C$18-'Report-SOF2223'!D$55)</f>
        <v>#DIV/0!</v>
      </c>
      <c r="AA250" s="1708">
        <f>IF(A250='Data Entry - SOF'!B$2,'Data Entry - SOF'!O$64,0)</f>
        <v>0</v>
      </c>
    </row>
    <row r="251" spans="1:27" ht="15.75">
      <c r="A251" s="1076" t="s">
        <v>2101</v>
      </c>
      <c r="B251">
        <v>19920385.325246401</v>
      </c>
      <c r="C251" s="2452" t="e">
        <f>#REF!+#REF!</f>
        <v>#REF!</v>
      </c>
      <c r="D251" s="2449">
        <f>IF(A251='Data Entry - SOF'!B$2,'Data Entry - SOF'!C$64,0)</f>
        <v>0</v>
      </c>
      <c r="E251" s="2450">
        <f t="shared" si="37"/>
        <v>19920385.325246401</v>
      </c>
      <c r="F251" s="2212" t="e">
        <f>IF('Report-M&amp;O1718'!C$18-'Report-SOF1718'!D$55&lt;=0,0,'Report-M&amp;O1718'!C$18-'Report-SOF1718'!D$55)</f>
        <v>#DIV/0!</v>
      </c>
      <c r="G251" s="2452" t="e">
        <f t="shared" si="38"/>
        <v>#DIV/0!</v>
      </c>
      <c r="H251" s="2449">
        <f>IF(A251='Data Entry - SOF'!B$2,'Data Entry - SOF'!E$64,0)</f>
        <v>0</v>
      </c>
      <c r="I251" s="1687">
        <f t="shared" si="39"/>
        <v>19920385.325246401</v>
      </c>
      <c r="J251" s="2212" t="e">
        <f>IF('Report-M&amp;O1819'!C$18-'Report-SOF1819'!D$55&lt;=0,0,'Report-M&amp;O1819'!C$18-'Report-SOF1819'!D$55)</f>
        <v>#DIV/0!</v>
      </c>
      <c r="K251" s="2452" t="e">
        <f t="shared" si="40"/>
        <v>#DIV/0!</v>
      </c>
      <c r="L251" s="2449">
        <f>IF(A251='Data Entry - SOF'!B$2,'Data Entry - SOF'!G$64,0)</f>
        <v>0</v>
      </c>
      <c r="M251" s="1371">
        <f t="shared" si="41"/>
        <v>19920385.325246401</v>
      </c>
      <c r="N251" s="2212" t="e">
        <f>IF('Report-M&amp;O1920'!C$18-'Report-SOF1920'!D$55&lt;=0,0,'Report-M&amp;O1920'!C$18-'Report-SOF1920'!D$55)</f>
        <v>#DIV/0!</v>
      </c>
      <c r="O251" s="2452" t="e">
        <f t="shared" si="42"/>
        <v>#DIV/0!</v>
      </c>
      <c r="P251" s="2449">
        <f>IF(A251='Data Entry - SOF'!B$2,'Data Entry - SOF'!I$64,0)</f>
        <v>0</v>
      </c>
      <c r="Q251" s="1687">
        <f t="shared" si="36"/>
        <v>19920385.325246401</v>
      </c>
      <c r="R251" s="2212" t="e">
        <f>IF('Report-M&amp;O2021'!C$18-'Report-SOF2021'!D$55&lt;=0,0,'Report-M&amp;O2021'!C$18-'Report-SOF2021'!D$55)</f>
        <v>#DIV/0!</v>
      </c>
      <c r="S251" s="2452" t="e">
        <f t="shared" si="43"/>
        <v>#DIV/0!</v>
      </c>
      <c r="T251" s="1708">
        <f>IF(A251='Data Entry - SOF'!B$2,'Data Entry - SOF'!K$64,0)</f>
        <v>0</v>
      </c>
      <c r="U251" s="1687">
        <f t="shared" si="46"/>
        <v>19920385.325246401</v>
      </c>
      <c r="V251" s="2212" t="e">
        <f>IF('Report-M&amp;O2122'!C$18-'Report-SOF2122'!D$55&lt;=0,0,'Report-M&amp;O2122'!C$18-'Report-SOF2122'!D$55)</f>
        <v>#DIV/0!</v>
      </c>
      <c r="W251" s="2452" t="e">
        <f t="shared" si="44"/>
        <v>#DIV/0!</v>
      </c>
      <c r="X251" s="1708">
        <f>IF(A251='Data Entry - SOF'!B$2,'Data Entry - SOF'!M$64,0)</f>
        <v>0</v>
      </c>
      <c r="Y251" s="1371" t="e">
        <f t="shared" si="45"/>
        <v>#DIV/0!</v>
      </c>
      <c r="Z251" s="2212" t="e">
        <f>IF('Report-M&amp;O2223'!C$18-'Report-SOF2223'!D$55&lt;=0,0,'Report-M&amp;O2223'!C$18-'Report-SOF2223'!D$55)</f>
        <v>#DIV/0!</v>
      </c>
      <c r="AA251" s="1708">
        <f>IF(A251='Data Entry - SOF'!B$2,'Data Entry - SOF'!O$64,0)</f>
        <v>0</v>
      </c>
    </row>
    <row r="252" spans="1:27" ht="15.75">
      <c r="A252" s="1076" t="s">
        <v>796</v>
      </c>
      <c r="B252">
        <v>5633576.7360419799</v>
      </c>
      <c r="C252" s="2452" t="e">
        <f>#REF!+#REF!</f>
        <v>#REF!</v>
      </c>
      <c r="D252" s="2449">
        <f>IF(A252='Data Entry - SOF'!B$2,'Data Entry - SOF'!C$64,0)</f>
        <v>0</v>
      </c>
      <c r="E252" s="2450">
        <f t="shared" si="37"/>
        <v>5633576.7360419799</v>
      </c>
      <c r="F252" s="2212" t="e">
        <f>IF('Report-M&amp;O1718'!C$18-'Report-SOF1718'!D$55&lt;=0,0,'Report-M&amp;O1718'!C$18-'Report-SOF1718'!D$55)</f>
        <v>#DIV/0!</v>
      </c>
      <c r="G252" s="2452" t="e">
        <f t="shared" si="38"/>
        <v>#DIV/0!</v>
      </c>
      <c r="H252" s="2449">
        <f>IF(A252='Data Entry - SOF'!B$2,'Data Entry - SOF'!E$64,0)</f>
        <v>0</v>
      </c>
      <c r="I252" s="1687">
        <f t="shared" si="39"/>
        <v>5633576.7360419799</v>
      </c>
      <c r="J252" s="2212" t="e">
        <f>IF('Report-M&amp;O1819'!C$18-'Report-SOF1819'!D$55&lt;=0,0,'Report-M&amp;O1819'!C$18-'Report-SOF1819'!D$55)</f>
        <v>#DIV/0!</v>
      </c>
      <c r="K252" s="2452" t="e">
        <f t="shared" si="40"/>
        <v>#DIV/0!</v>
      </c>
      <c r="L252" s="2449">
        <f>IF(A252='Data Entry - SOF'!B$2,'Data Entry - SOF'!G$64,0)</f>
        <v>0</v>
      </c>
      <c r="M252" s="1371">
        <f t="shared" si="41"/>
        <v>5633576.7360419799</v>
      </c>
      <c r="N252" s="2212" t="e">
        <f>IF('Report-M&amp;O1920'!C$18-'Report-SOF1920'!D$55&lt;=0,0,'Report-M&amp;O1920'!C$18-'Report-SOF1920'!D$55)</f>
        <v>#DIV/0!</v>
      </c>
      <c r="O252" s="2452" t="e">
        <f t="shared" si="42"/>
        <v>#DIV/0!</v>
      </c>
      <c r="P252" s="2449">
        <f>IF(A252='Data Entry - SOF'!B$2,'Data Entry - SOF'!I$64,0)</f>
        <v>0</v>
      </c>
      <c r="Q252" s="1687">
        <f t="shared" si="36"/>
        <v>5633576.7360419799</v>
      </c>
      <c r="R252" s="2212" t="e">
        <f>IF('Report-M&amp;O2021'!C$18-'Report-SOF2021'!D$55&lt;=0,0,'Report-M&amp;O2021'!C$18-'Report-SOF2021'!D$55)</f>
        <v>#DIV/0!</v>
      </c>
      <c r="S252" s="2452" t="e">
        <f t="shared" si="43"/>
        <v>#DIV/0!</v>
      </c>
      <c r="T252" s="1708">
        <f>IF(A252='Data Entry - SOF'!B$2,'Data Entry - SOF'!K$64,0)</f>
        <v>0</v>
      </c>
      <c r="U252" s="1687">
        <f t="shared" si="46"/>
        <v>5633576.7360419799</v>
      </c>
      <c r="V252" s="2212" t="e">
        <f>IF('Report-M&amp;O2122'!C$18-'Report-SOF2122'!D$55&lt;=0,0,'Report-M&amp;O2122'!C$18-'Report-SOF2122'!D$55)</f>
        <v>#DIV/0!</v>
      </c>
      <c r="W252" s="2452" t="e">
        <f t="shared" si="44"/>
        <v>#DIV/0!</v>
      </c>
      <c r="X252" s="1708">
        <f>IF(A252='Data Entry - SOF'!B$2,'Data Entry - SOF'!M$64,0)</f>
        <v>0</v>
      </c>
      <c r="Y252" s="1371" t="e">
        <f t="shared" si="45"/>
        <v>#DIV/0!</v>
      </c>
      <c r="Z252" s="2212" t="e">
        <f>IF('Report-M&amp;O2223'!C$18-'Report-SOF2223'!D$55&lt;=0,0,'Report-M&amp;O2223'!C$18-'Report-SOF2223'!D$55)</f>
        <v>#DIV/0!</v>
      </c>
      <c r="AA252" s="1708">
        <f>IF(A252='Data Entry - SOF'!B$2,'Data Entry - SOF'!O$64,0)</f>
        <v>0</v>
      </c>
    </row>
    <row r="253" spans="1:27" ht="15.75">
      <c r="A253" s="1076" t="s">
        <v>330</v>
      </c>
      <c r="B253">
        <v>1495388</v>
      </c>
      <c r="C253" s="2452" t="e">
        <f>#REF!+#REF!</f>
        <v>#REF!</v>
      </c>
      <c r="D253" s="2449">
        <f>IF(A253='Data Entry - SOF'!B$2,'Data Entry - SOF'!C$64,0)</f>
        <v>0</v>
      </c>
      <c r="E253" s="2450">
        <f t="shared" si="37"/>
        <v>1495388</v>
      </c>
      <c r="F253" s="2212" t="e">
        <f>IF('Report-M&amp;O1718'!C$18-'Report-SOF1718'!D$55&lt;=0,0,'Report-M&amp;O1718'!C$18-'Report-SOF1718'!D$55)</f>
        <v>#DIV/0!</v>
      </c>
      <c r="G253" s="2452" t="e">
        <f t="shared" si="38"/>
        <v>#DIV/0!</v>
      </c>
      <c r="H253" s="2449">
        <f>IF(A253='Data Entry - SOF'!B$2,'Data Entry - SOF'!E$64,0)</f>
        <v>0</v>
      </c>
      <c r="I253" s="1687">
        <f t="shared" si="39"/>
        <v>1495388</v>
      </c>
      <c r="J253" s="2212" t="e">
        <f>IF('Report-M&amp;O1819'!C$18-'Report-SOF1819'!D$55&lt;=0,0,'Report-M&amp;O1819'!C$18-'Report-SOF1819'!D$55)</f>
        <v>#DIV/0!</v>
      </c>
      <c r="K253" s="2452" t="e">
        <f t="shared" si="40"/>
        <v>#DIV/0!</v>
      </c>
      <c r="L253" s="2449">
        <f>IF(A253='Data Entry - SOF'!B$2,'Data Entry - SOF'!G$64,0)</f>
        <v>0</v>
      </c>
      <c r="M253" s="1371">
        <f t="shared" si="41"/>
        <v>1495388</v>
      </c>
      <c r="N253" s="2212" t="e">
        <f>IF('Report-M&amp;O1920'!C$18-'Report-SOF1920'!D$55&lt;=0,0,'Report-M&amp;O1920'!C$18-'Report-SOF1920'!D$55)</f>
        <v>#DIV/0!</v>
      </c>
      <c r="O253" s="2452" t="e">
        <f t="shared" si="42"/>
        <v>#DIV/0!</v>
      </c>
      <c r="P253" s="2449">
        <f>IF(A253='Data Entry - SOF'!B$2,'Data Entry - SOF'!I$64,0)</f>
        <v>0</v>
      </c>
      <c r="Q253" s="1687">
        <f t="shared" si="36"/>
        <v>1495388</v>
      </c>
      <c r="R253" s="2212" t="e">
        <f>IF('Report-M&amp;O2021'!C$18-'Report-SOF2021'!D$55&lt;=0,0,'Report-M&amp;O2021'!C$18-'Report-SOF2021'!D$55)</f>
        <v>#DIV/0!</v>
      </c>
      <c r="S253" s="2452" t="e">
        <f t="shared" si="43"/>
        <v>#DIV/0!</v>
      </c>
      <c r="T253" s="1708">
        <f>IF(A253='Data Entry - SOF'!B$2,'Data Entry - SOF'!K$64,0)</f>
        <v>0</v>
      </c>
      <c r="U253" s="1687">
        <f t="shared" si="46"/>
        <v>1495388</v>
      </c>
      <c r="V253" s="2212" t="e">
        <f>IF('Report-M&amp;O2122'!C$18-'Report-SOF2122'!D$55&lt;=0,0,'Report-M&amp;O2122'!C$18-'Report-SOF2122'!D$55)</f>
        <v>#DIV/0!</v>
      </c>
      <c r="W253" s="2452" t="e">
        <f t="shared" si="44"/>
        <v>#DIV/0!</v>
      </c>
      <c r="X253" s="1708">
        <f>IF(A253='Data Entry - SOF'!B$2,'Data Entry - SOF'!M$64,0)</f>
        <v>0</v>
      </c>
      <c r="Y253" s="1371" t="e">
        <f t="shared" si="45"/>
        <v>#DIV/0!</v>
      </c>
      <c r="Z253" s="2212" t="e">
        <f>IF('Report-M&amp;O2223'!C$18-'Report-SOF2223'!D$55&lt;=0,0,'Report-M&amp;O2223'!C$18-'Report-SOF2223'!D$55)</f>
        <v>#DIV/0!</v>
      </c>
      <c r="AA253" s="1708">
        <f>IF(A253='Data Entry - SOF'!B$2,'Data Entry - SOF'!O$64,0)</f>
        <v>0</v>
      </c>
    </row>
    <row r="254" spans="1:27" ht="15.75">
      <c r="A254" s="1076" t="s">
        <v>203</v>
      </c>
      <c r="B254">
        <v>4621121</v>
      </c>
      <c r="C254" s="2452" t="e">
        <f>#REF!+#REF!</f>
        <v>#REF!</v>
      </c>
      <c r="D254" s="2449">
        <f>IF(A254='Data Entry - SOF'!B$2,'Data Entry - SOF'!C$64,0)</f>
        <v>0</v>
      </c>
      <c r="E254" s="2450">
        <f t="shared" si="37"/>
        <v>4621121</v>
      </c>
      <c r="F254" s="2212" t="e">
        <f>IF('Report-M&amp;O1718'!C$18-'Report-SOF1718'!D$55&lt;=0,0,'Report-M&amp;O1718'!C$18-'Report-SOF1718'!D$55)</f>
        <v>#DIV/0!</v>
      </c>
      <c r="G254" s="2452" t="e">
        <f t="shared" si="38"/>
        <v>#DIV/0!</v>
      </c>
      <c r="H254" s="2449">
        <f>IF(A254='Data Entry - SOF'!B$2,'Data Entry - SOF'!E$64,0)</f>
        <v>0</v>
      </c>
      <c r="I254" s="1687">
        <f t="shared" si="39"/>
        <v>4621121</v>
      </c>
      <c r="J254" s="2212" t="e">
        <f>IF('Report-M&amp;O1819'!C$18-'Report-SOF1819'!D$55&lt;=0,0,'Report-M&amp;O1819'!C$18-'Report-SOF1819'!D$55)</f>
        <v>#DIV/0!</v>
      </c>
      <c r="K254" s="2452" t="e">
        <f t="shared" si="40"/>
        <v>#DIV/0!</v>
      </c>
      <c r="L254" s="2449">
        <f>IF(A254='Data Entry - SOF'!B$2,'Data Entry - SOF'!G$64,0)</f>
        <v>0</v>
      </c>
      <c r="M254" s="1371">
        <f t="shared" si="41"/>
        <v>4621121</v>
      </c>
      <c r="N254" s="2212" t="e">
        <f>IF('Report-M&amp;O1920'!C$18-'Report-SOF1920'!D$55&lt;=0,0,'Report-M&amp;O1920'!C$18-'Report-SOF1920'!D$55)</f>
        <v>#DIV/0!</v>
      </c>
      <c r="O254" s="2452" t="e">
        <f t="shared" si="42"/>
        <v>#DIV/0!</v>
      </c>
      <c r="P254" s="2449">
        <f>IF(A254='Data Entry - SOF'!B$2,'Data Entry - SOF'!I$64,0)</f>
        <v>0</v>
      </c>
      <c r="Q254" s="1687">
        <f t="shared" si="36"/>
        <v>4621121</v>
      </c>
      <c r="R254" s="2212" t="e">
        <f>IF('Report-M&amp;O2021'!C$18-'Report-SOF2021'!D$55&lt;=0,0,'Report-M&amp;O2021'!C$18-'Report-SOF2021'!D$55)</f>
        <v>#DIV/0!</v>
      </c>
      <c r="S254" s="2452" t="e">
        <f t="shared" si="43"/>
        <v>#DIV/0!</v>
      </c>
      <c r="T254" s="1708">
        <f>IF(A254='Data Entry - SOF'!B$2,'Data Entry - SOF'!K$64,0)</f>
        <v>0</v>
      </c>
      <c r="U254" s="1687">
        <f t="shared" si="46"/>
        <v>4621121</v>
      </c>
      <c r="V254" s="2212" t="e">
        <f>IF('Report-M&amp;O2122'!C$18-'Report-SOF2122'!D$55&lt;=0,0,'Report-M&amp;O2122'!C$18-'Report-SOF2122'!D$55)</f>
        <v>#DIV/0!</v>
      </c>
      <c r="W254" s="2452" t="e">
        <f t="shared" si="44"/>
        <v>#DIV/0!</v>
      </c>
      <c r="X254" s="1708">
        <f>IF(A254='Data Entry - SOF'!B$2,'Data Entry - SOF'!M$64,0)</f>
        <v>0</v>
      </c>
      <c r="Y254" s="1371" t="e">
        <f t="shared" si="45"/>
        <v>#DIV/0!</v>
      </c>
      <c r="Z254" s="2212" t="e">
        <f>IF('Report-M&amp;O2223'!C$18-'Report-SOF2223'!D$55&lt;=0,0,'Report-M&amp;O2223'!C$18-'Report-SOF2223'!D$55)</f>
        <v>#DIV/0!</v>
      </c>
      <c r="AA254" s="1708">
        <f>IF(A254='Data Entry - SOF'!B$2,'Data Entry - SOF'!O$64,0)</f>
        <v>0</v>
      </c>
    </row>
    <row r="255" spans="1:27" ht="15.75">
      <c r="A255" s="1076" t="s">
        <v>204</v>
      </c>
      <c r="B255">
        <v>868021</v>
      </c>
      <c r="C255" s="2452" t="e">
        <f>#REF!+#REF!</f>
        <v>#REF!</v>
      </c>
      <c r="D255" s="2449">
        <f>IF(A255='Data Entry - SOF'!B$2,'Data Entry - SOF'!C$64,0)</f>
        <v>0</v>
      </c>
      <c r="E255" s="2450">
        <f t="shared" si="37"/>
        <v>868021</v>
      </c>
      <c r="F255" s="2212" t="e">
        <f>IF('Report-M&amp;O1718'!C$18-'Report-SOF1718'!D$55&lt;=0,0,'Report-M&amp;O1718'!C$18-'Report-SOF1718'!D$55)</f>
        <v>#DIV/0!</v>
      </c>
      <c r="G255" s="2452" t="e">
        <f t="shared" si="38"/>
        <v>#DIV/0!</v>
      </c>
      <c r="H255" s="2449">
        <f>IF(A255='Data Entry - SOF'!B$2,'Data Entry - SOF'!E$64,0)</f>
        <v>0</v>
      </c>
      <c r="I255" s="1687">
        <f t="shared" si="39"/>
        <v>868021</v>
      </c>
      <c r="J255" s="2212" t="e">
        <f>IF('Report-M&amp;O1819'!C$18-'Report-SOF1819'!D$55&lt;=0,0,'Report-M&amp;O1819'!C$18-'Report-SOF1819'!D$55)</f>
        <v>#DIV/0!</v>
      </c>
      <c r="K255" s="2452" t="e">
        <f t="shared" si="40"/>
        <v>#DIV/0!</v>
      </c>
      <c r="L255" s="2449">
        <f>IF(A255='Data Entry - SOF'!B$2,'Data Entry - SOF'!G$64,0)</f>
        <v>0</v>
      </c>
      <c r="M255" s="1371">
        <f t="shared" si="41"/>
        <v>868021</v>
      </c>
      <c r="N255" s="2212" t="e">
        <f>IF('Report-M&amp;O1920'!C$18-'Report-SOF1920'!D$55&lt;=0,0,'Report-M&amp;O1920'!C$18-'Report-SOF1920'!D$55)</f>
        <v>#DIV/0!</v>
      </c>
      <c r="O255" s="2452" t="e">
        <f t="shared" si="42"/>
        <v>#DIV/0!</v>
      </c>
      <c r="P255" s="2449">
        <f>IF(A255='Data Entry - SOF'!B$2,'Data Entry - SOF'!I$64,0)</f>
        <v>0</v>
      </c>
      <c r="Q255" s="1687">
        <f t="shared" si="36"/>
        <v>868021</v>
      </c>
      <c r="R255" s="2212" t="e">
        <f>IF('Report-M&amp;O2021'!C$18-'Report-SOF2021'!D$55&lt;=0,0,'Report-M&amp;O2021'!C$18-'Report-SOF2021'!D$55)</f>
        <v>#DIV/0!</v>
      </c>
      <c r="S255" s="2452" t="e">
        <f t="shared" si="43"/>
        <v>#DIV/0!</v>
      </c>
      <c r="T255" s="1708">
        <f>IF(A255='Data Entry - SOF'!B$2,'Data Entry - SOF'!K$64,0)</f>
        <v>0</v>
      </c>
      <c r="U255" s="1687">
        <f t="shared" si="46"/>
        <v>868021</v>
      </c>
      <c r="V255" s="2212" t="e">
        <f>IF('Report-M&amp;O2122'!C$18-'Report-SOF2122'!D$55&lt;=0,0,'Report-M&amp;O2122'!C$18-'Report-SOF2122'!D$55)</f>
        <v>#DIV/0!</v>
      </c>
      <c r="W255" s="2452" t="e">
        <f t="shared" si="44"/>
        <v>#DIV/0!</v>
      </c>
      <c r="X255" s="1708">
        <f>IF(A255='Data Entry - SOF'!B$2,'Data Entry - SOF'!M$64,0)</f>
        <v>0</v>
      </c>
      <c r="Y255" s="1371" t="e">
        <f t="shared" si="45"/>
        <v>#DIV/0!</v>
      </c>
      <c r="Z255" s="2212" t="e">
        <f>IF('Report-M&amp;O2223'!C$18-'Report-SOF2223'!D$55&lt;=0,0,'Report-M&amp;O2223'!C$18-'Report-SOF2223'!D$55)</f>
        <v>#DIV/0!</v>
      </c>
      <c r="AA255" s="1708">
        <f>IF(A255='Data Entry - SOF'!B$2,'Data Entry - SOF'!O$64,0)</f>
        <v>0</v>
      </c>
    </row>
    <row r="256" spans="1:27" ht="15.75">
      <c r="A256" s="1076" t="s">
        <v>816</v>
      </c>
      <c r="B256">
        <v>37633498.4279112</v>
      </c>
      <c r="C256" s="2452" t="e">
        <f>#REF!+#REF!</f>
        <v>#REF!</v>
      </c>
      <c r="D256" s="2449">
        <f>IF(A256='Data Entry - SOF'!B$2,'Data Entry - SOF'!C$64,0)</f>
        <v>0</v>
      </c>
      <c r="E256" s="2450">
        <f t="shared" si="37"/>
        <v>37633498.4279112</v>
      </c>
      <c r="F256" s="2212" t="e">
        <f>IF('Report-M&amp;O1718'!C$18-'Report-SOF1718'!D$55&lt;=0,0,'Report-M&amp;O1718'!C$18-'Report-SOF1718'!D$55)</f>
        <v>#DIV/0!</v>
      </c>
      <c r="G256" s="2452" t="e">
        <f t="shared" si="38"/>
        <v>#DIV/0!</v>
      </c>
      <c r="H256" s="2449">
        <f>IF(A256='Data Entry - SOF'!B$2,'Data Entry - SOF'!E$64,0)</f>
        <v>0</v>
      </c>
      <c r="I256" s="1687">
        <f t="shared" si="39"/>
        <v>37633498.4279112</v>
      </c>
      <c r="J256" s="2212" t="e">
        <f>IF('Report-M&amp;O1819'!C$18-'Report-SOF1819'!D$55&lt;=0,0,'Report-M&amp;O1819'!C$18-'Report-SOF1819'!D$55)</f>
        <v>#DIV/0!</v>
      </c>
      <c r="K256" s="2452" t="e">
        <f t="shared" si="40"/>
        <v>#DIV/0!</v>
      </c>
      <c r="L256" s="2449">
        <f>IF(A256='Data Entry - SOF'!B$2,'Data Entry - SOF'!G$64,0)</f>
        <v>0</v>
      </c>
      <c r="M256" s="1371">
        <f t="shared" si="41"/>
        <v>37633498.4279112</v>
      </c>
      <c r="N256" s="2212" t="e">
        <f>IF('Report-M&amp;O1920'!C$18-'Report-SOF1920'!D$55&lt;=0,0,'Report-M&amp;O1920'!C$18-'Report-SOF1920'!D$55)</f>
        <v>#DIV/0!</v>
      </c>
      <c r="O256" s="2452" t="e">
        <f t="shared" si="42"/>
        <v>#DIV/0!</v>
      </c>
      <c r="P256" s="2449">
        <f>IF(A256='Data Entry - SOF'!B$2,'Data Entry - SOF'!I$64,0)</f>
        <v>0</v>
      </c>
      <c r="Q256" s="1687">
        <f>M256-P256</f>
        <v>37633498.4279112</v>
      </c>
      <c r="R256" s="2212" t="e">
        <f>IF('Report-M&amp;O2021'!C$18-'Report-SOF2021'!D$55&lt;=0,0,'Report-M&amp;O2021'!C$18-'Report-SOF2021'!D$55)</f>
        <v>#DIV/0!</v>
      </c>
      <c r="S256" s="2452" t="e">
        <f t="shared" si="43"/>
        <v>#DIV/0!</v>
      </c>
      <c r="T256" s="1708">
        <f>IF(A256='Data Entry - SOF'!B$2,'Data Entry - SOF'!K$64,0)</f>
        <v>0</v>
      </c>
      <c r="U256" s="1687">
        <f t="shared" ref="U256:U271" si="47">Q256-T256</f>
        <v>37633498.4279112</v>
      </c>
      <c r="V256" s="2212" t="e">
        <f>IF('Report-M&amp;O2122'!C$18-'Report-SOF2122'!D$55&lt;=0,0,'Report-M&amp;O2122'!C$18-'Report-SOF2122'!D$55)</f>
        <v>#DIV/0!</v>
      </c>
      <c r="W256" s="2452" t="e">
        <f t="shared" si="44"/>
        <v>#DIV/0!</v>
      </c>
      <c r="X256" s="1708">
        <f>IF(A256='Data Entry - SOF'!B$2,'Data Entry - SOF'!M$64,0)</f>
        <v>0</v>
      </c>
      <c r="Y256" s="1371" t="e">
        <f t="shared" si="45"/>
        <v>#DIV/0!</v>
      </c>
      <c r="Z256" s="2212" t="e">
        <f>IF('Report-M&amp;O2223'!C$18-'Report-SOF2223'!D$55&lt;=0,0,'Report-M&amp;O2223'!C$18-'Report-SOF2223'!D$55)</f>
        <v>#DIV/0!</v>
      </c>
      <c r="AA256" s="1708">
        <f>IF(A256='Data Entry - SOF'!B$2,'Data Entry - SOF'!O$64,0)</f>
        <v>0</v>
      </c>
    </row>
    <row r="257" spans="1:27" ht="15.75">
      <c r="A257" s="1076" t="s">
        <v>3025</v>
      </c>
      <c r="B257">
        <v>726033</v>
      </c>
      <c r="C257" s="2452" t="e">
        <f>#REF!+#REF!</f>
        <v>#REF!</v>
      </c>
      <c r="D257" s="2449">
        <f>IF(A257='Data Entry - SOF'!B$2,'Data Entry - SOF'!C$64,0)</f>
        <v>0</v>
      </c>
      <c r="E257" s="2450">
        <f t="shared" si="37"/>
        <v>726033</v>
      </c>
      <c r="F257" s="2212" t="e">
        <f>IF('Report-M&amp;O1718'!C$18-'Report-SOF1718'!D$55&lt;=0,0,'Report-M&amp;O1718'!C$18-'Report-SOF1718'!D$55)</f>
        <v>#DIV/0!</v>
      </c>
      <c r="G257" s="2452" t="e">
        <f t="shared" si="38"/>
        <v>#DIV/0!</v>
      </c>
      <c r="H257" s="2449">
        <f>IF(A257='Data Entry - SOF'!B$2,'Data Entry - SOF'!E$64,0)</f>
        <v>0</v>
      </c>
      <c r="I257" s="1687">
        <f t="shared" si="39"/>
        <v>726033</v>
      </c>
      <c r="J257" s="2212" t="e">
        <f>IF('Report-M&amp;O1819'!C$18-'Report-SOF1819'!D$55&lt;=0,0,'Report-M&amp;O1819'!C$18-'Report-SOF1819'!D$55)</f>
        <v>#DIV/0!</v>
      </c>
      <c r="K257" s="2452" t="e">
        <f t="shared" si="40"/>
        <v>#DIV/0!</v>
      </c>
      <c r="L257" s="2449">
        <f>IF(A257='Data Entry - SOF'!B$2,'Data Entry - SOF'!G$64,0)</f>
        <v>0</v>
      </c>
      <c r="M257" s="1371">
        <f t="shared" si="41"/>
        <v>726033</v>
      </c>
      <c r="N257" s="2212" t="e">
        <f>IF('Report-M&amp;O1920'!C$18-'Report-SOF1920'!D$55&lt;=0,0,'Report-M&amp;O1920'!C$18-'Report-SOF1920'!D$55)</f>
        <v>#DIV/0!</v>
      </c>
      <c r="O257" s="2452" t="e">
        <f t="shared" si="42"/>
        <v>#DIV/0!</v>
      </c>
      <c r="P257" s="2449">
        <f>IF(A257='Data Entry - SOF'!B$2,'Data Entry - SOF'!I$64,0)</f>
        <v>0</v>
      </c>
      <c r="Q257" s="1687">
        <f t="shared" ref="Q257:Q319" si="48">M257-P257</f>
        <v>726033</v>
      </c>
      <c r="R257" s="2212" t="e">
        <f>IF('Report-M&amp;O2021'!C$18-'Report-SOF2021'!D$55&lt;=0,0,'Report-M&amp;O2021'!C$18-'Report-SOF2021'!D$55)</f>
        <v>#DIV/0!</v>
      </c>
      <c r="S257" s="2452" t="e">
        <f t="shared" si="43"/>
        <v>#DIV/0!</v>
      </c>
      <c r="T257" s="1708">
        <f>IF(A257='Data Entry - SOF'!B$2,'Data Entry - SOF'!K$64,0)</f>
        <v>0</v>
      </c>
      <c r="U257" s="1687">
        <f t="shared" si="47"/>
        <v>726033</v>
      </c>
      <c r="V257" s="2212" t="e">
        <f>IF('Report-M&amp;O2122'!C$18-'Report-SOF2122'!D$55&lt;=0,0,'Report-M&amp;O2122'!C$18-'Report-SOF2122'!D$55)</f>
        <v>#DIV/0!</v>
      </c>
      <c r="W257" s="2452" t="e">
        <f t="shared" si="44"/>
        <v>#DIV/0!</v>
      </c>
      <c r="X257" s="1708">
        <f>IF(A257='Data Entry - SOF'!B$2,'Data Entry - SOF'!M$64,0)</f>
        <v>0</v>
      </c>
      <c r="Y257" s="1371" t="e">
        <f t="shared" si="45"/>
        <v>#DIV/0!</v>
      </c>
      <c r="Z257" s="2212" t="e">
        <f>IF('Report-M&amp;O2223'!C$18-'Report-SOF2223'!D$55&lt;=0,0,'Report-M&amp;O2223'!C$18-'Report-SOF2223'!D$55)</f>
        <v>#DIV/0!</v>
      </c>
      <c r="AA257" s="1708">
        <f>IF(A257='Data Entry - SOF'!B$2,'Data Entry - SOF'!O$64,0)</f>
        <v>0</v>
      </c>
    </row>
    <row r="258" spans="1:27" ht="15.75">
      <c r="A258" s="1076" t="s">
        <v>1753</v>
      </c>
      <c r="B258">
        <v>314227</v>
      </c>
      <c r="C258" s="2452" t="e">
        <f>#REF!+#REF!</f>
        <v>#REF!</v>
      </c>
      <c r="D258" s="2449">
        <f>IF(A258='Data Entry - SOF'!B$2,'Data Entry - SOF'!C$64,0)</f>
        <v>0</v>
      </c>
      <c r="E258" s="2450">
        <f t="shared" si="37"/>
        <v>314227</v>
      </c>
      <c r="F258" s="2212" t="e">
        <f>IF('Report-M&amp;O1718'!C$18-'Report-SOF1718'!D$55&lt;=0,0,'Report-M&amp;O1718'!C$18-'Report-SOF1718'!D$55)</f>
        <v>#DIV/0!</v>
      </c>
      <c r="G258" s="2452" t="e">
        <f t="shared" si="38"/>
        <v>#DIV/0!</v>
      </c>
      <c r="H258" s="2449">
        <f>IF(A258='Data Entry - SOF'!B$2,'Data Entry - SOF'!E$64,0)</f>
        <v>0</v>
      </c>
      <c r="I258" s="1687">
        <f t="shared" si="39"/>
        <v>314227</v>
      </c>
      <c r="J258" s="2212" t="e">
        <f>IF('Report-M&amp;O1819'!C$18-'Report-SOF1819'!D$55&lt;=0,0,'Report-M&amp;O1819'!C$18-'Report-SOF1819'!D$55)</f>
        <v>#DIV/0!</v>
      </c>
      <c r="K258" s="2452" t="e">
        <f t="shared" si="40"/>
        <v>#DIV/0!</v>
      </c>
      <c r="L258" s="2449">
        <f>IF(A258='Data Entry - SOF'!B$2,'Data Entry - SOF'!G$64,0)</f>
        <v>0</v>
      </c>
      <c r="M258" s="1371">
        <f t="shared" si="41"/>
        <v>314227</v>
      </c>
      <c r="N258" s="2212" t="e">
        <f>IF('Report-M&amp;O1920'!C$18-'Report-SOF1920'!D$55&lt;=0,0,'Report-M&amp;O1920'!C$18-'Report-SOF1920'!D$55)</f>
        <v>#DIV/0!</v>
      </c>
      <c r="O258" s="2452" t="e">
        <f t="shared" si="42"/>
        <v>#DIV/0!</v>
      </c>
      <c r="P258" s="2449">
        <f>IF(A258='Data Entry - SOF'!B$2,'Data Entry - SOF'!I$64,0)</f>
        <v>0</v>
      </c>
      <c r="Q258" s="1687">
        <f t="shared" si="48"/>
        <v>314227</v>
      </c>
      <c r="R258" s="2212" t="e">
        <f>IF('Report-M&amp;O2021'!C$18-'Report-SOF2021'!D$55&lt;=0,0,'Report-M&amp;O2021'!C$18-'Report-SOF2021'!D$55)</f>
        <v>#DIV/0!</v>
      </c>
      <c r="S258" s="2452" t="e">
        <f t="shared" si="43"/>
        <v>#DIV/0!</v>
      </c>
      <c r="T258" s="1708">
        <f>IF(A258='Data Entry - SOF'!B$2,'Data Entry - SOF'!K$64,0)</f>
        <v>0</v>
      </c>
      <c r="U258" s="1687">
        <f t="shared" si="47"/>
        <v>314227</v>
      </c>
      <c r="V258" s="2212" t="e">
        <f>IF('Report-M&amp;O2122'!C$18-'Report-SOF2122'!D$55&lt;=0,0,'Report-M&amp;O2122'!C$18-'Report-SOF2122'!D$55)</f>
        <v>#DIV/0!</v>
      </c>
      <c r="W258" s="2452" t="e">
        <f t="shared" si="44"/>
        <v>#DIV/0!</v>
      </c>
      <c r="X258" s="1708">
        <f>IF(A258='Data Entry - SOF'!B$2,'Data Entry - SOF'!M$64,0)</f>
        <v>0</v>
      </c>
      <c r="Y258" s="1371" t="e">
        <f t="shared" si="45"/>
        <v>#DIV/0!</v>
      </c>
      <c r="Z258" s="2212" t="e">
        <f>IF('Report-M&amp;O2223'!C$18-'Report-SOF2223'!D$55&lt;=0,0,'Report-M&amp;O2223'!C$18-'Report-SOF2223'!D$55)</f>
        <v>#DIV/0!</v>
      </c>
      <c r="AA258" s="1708">
        <f>IF(A258='Data Entry - SOF'!B$2,'Data Entry - SOF'!O$64,0)</f>
        <v>0</v>
      </c>
    </row>
    <row r="259" spans="1:27" ht="15.75">
      <c r="A259" s="1076" t="s">
        <v>3026</v>
      </c>
      <c r="B259">
        <v>246866</v>
      </c>
      <c r="C259" s="2452" t="e">
        <f>#REF!+#REF!</f>
        <v>#REF!</v>
      </c>
      <c r="D259" s="2449">
        <f>IF(A259='Data Entry - SOF'!B$2,'Data Entry - SOF'!C$64,0)</f>
        <v>0</v>
      </c>
      <c r="E259" s="2450">
        <f t="shared" si="37"/>
        <v>246866</v>
      </c>
      <c r="F259" s="2212" t="e">
        <f>IF('Report-M&amp;O1718'!C$18-'Report-SOF1718'!D$55&lt;=0,0,'Report-M&amp;O1718'!C$18-'Report-SOF1718'!D$55)</f>
        <v>#DIV/0!</v>
      </c>
      <c r="G259" s="2452" t="e">
        <f t="shared" si="38"/>
        <v>#DIV/0!</v>
      </c>
      <c r="H259" s="2449">
        <f>IF(A259='Data Entry - SOF'!B$2,'Data Entry - SOF'!E$64,0)</f>
        <v>0</v>
      </c>
      <c r="I259" s="1687">
        <f t="shared" si="39"/>
        <v>246866</v>
      </c>
      <c r="J259" s="2212" t="e">
        <f>IF('Report-M&amp;O1819'!C$18-'Report-SOF1819'!D$55&lt;=0,0,'Report-M&amp;O1819'!C$18-'Report-SOF1819'!D$55)</f>
        <v>#DIV/0!</v>
      </c>
      <c r="K259" s="2452" t="e">
        <f t="shared" si="40"/>
        <v>#DIV/0!</v>
      </c>
      <c r="L259" s="2449">
        <f>IF(A259='Data Entry - SOF'!B$2,'Data Entry - SOF'!G$64,0)</f>
        <v>0</v>
      </c>
      <c r="M259" s="1371">
        <f t="shared" si="41"/>
        <v>246866</v>
      </c>
      <c r="N259" s="2212" t="e">
        <f>IF('Report-M&amp;O1920'!C$18-'Report-SOF1920'!D$55&lt;=0,0,'Report-M&amp;O1920'!C$18-'Report-SOF1920'!D$55)</f>
        <v>#DIV/0!</v>
      </c>
      <c r="O259" s="2452" t="e">
        <f t="shared" si="42"/>
        <v>#DIV/0!</v>
      </c>
      <c r="P259" s="2449">
        <f>IF(A259='Data Entry - SOF'!B$2,'Data Entry - SOF'!I$64,0)</f>
        <v>0</v>
      </c>
      <c r="Q259" s="1687">
        <f t="shared" si="48"/>
        <v>246866</v>
      </c>
      <c r="R259" s="2212" t="e">
        <f>IF('Report-M&amp;O2021'!C$18-'Report-SOF2021'!D$55&lt;=0,0,'Report-M&amp;O2021'!C$18-'Report-SOF2021'!D$55)</f>
        <v>#DIV/0!</v>
      </c>
      <c r="S259" s="2452" t="e">
        <f t="shared" si="43"/>
        <v>#DIV/0!</v>
      </c>
      <c r="T259" s="1708">
        <f>IF(A259='Data Entry - SOF'!B$2,'Data Entry - SOF'!K$64,0)</f>
        <v>0</v>
      </c>
      <c r="U259" s="1687">
        <f t="shared" si="47"/>
        <v>246866</v>
      </c>
      <c r="V259" s="2212" t="e">
        <f>IF('Report-M&amp;O2122'!C$18-'Report-SOF2122'!D$55&lt;=0,0,'Report-M&amp;O2122'!C$18-'Report-SOF2122'!D$55)</f>
        <v>#DIV/0!</v>
      </c>
      <c r="W259" s="2452" t="e">
        <f t="shared" si="44"/>
        <v>#DIV/0!</v>
      </c>
      <c r="X259" s="1708">
        <f>IF(A259='Data Entry - SOF'!B$2,'Data Entry - SOF'!M$64,0)</f>
        <v>0</v>
      </c>
      <c r="Y259" s="1371" t="e">
        <f t="shared" si="45"/>
        <v>#DIV/0!</v>
      </c>
      <c r="Z259" s="2212" t="e">
        <f>IF('Report-M&amp;O2223'!C$18-'Report-SOF2223'!D$55&lt;=0,0,'Report-M&amp;O2223'!C$18-'Report-SOF2223'!D$55)</f>
        <v>#DIV/0!</v>
      </c>
      <c r="AA259" s="1708">
        <f>IF(A259='Data Entry - SOF'!B$2,'Data Entry - SOF'!O$64,0)</f>
        <v>0</v>
      </c>
    </row>
    <row r="260" spans="1:27" ht="15.75">
      <c r="A260" s="1076" t="s">
        <v>3027</v>
      </c>
      <c r="B260">
        <v>4117500</v>
      </c>
      <c r="C260" s="2452" t="e">
        <f>#REF!+#REF!</f>
        <v>#REF!</v>
      </c>
      <c r="D260" s="2449">
        <f>IF(A260='Data Entry - SOF'!B$2,'Data Entry - SOF'!C$64,0)</f>
        <v>0</v>
      </c>
      <c r="E260" s="2450">
        <f t="shared" si="37"/>
        <v>4117500</v>
      </c>
      <c r="F260" s="2212" t="e">
        <f>IF('Report-M&amp;O1718'!C$18-'Report-SOF1718'!D$55&lt;=0,0,'Report-M&amp;O1718'!C$18-'Report-SOF1718'!D$55)</f>
        <v>#DIV/0!</v>
      </c>
      <c r="G260" s="2452" t="e">
        <f t="shared" si="38"/>
        <v>#DIV/0!</v>
      </c>
      <c r="H260" s="2449">
        <f>IF(A260='Data Entry - SOF'!B$2,'Data Entry - SOF'!E$64,0)</f>
        <v>0</v>
      </c>
      <c r="I260" s="1687">
        <f t="shared" si="39"/>
        <v>4117500</v>
      </c>
      <c r="J260" s="2212" t="e">
        <f>IF('Report-M&amp;O1819'!C$18-'Report-SOF1819'!D$55&lt;=0,0,'Report-M&amp;O1819'!C$18-'Report-SOF1819'!D$55)</f>
        <v>#DIV/0!</v>
      </c>
      <c r="K260" s="2452" t="e">
        <f t="shared" si="40"/>
        <v>#DIV/0!</v>
      </c>
      <c r="L260" s="2449">
        <f>IF(A260='Data Entry - SOF'!B$2,'Data Entry - SOF'!G$64,0)</f>
        <v>0</v>
      </c>
      <c r="M260" s="1371">
        <f t="shared" si="41"/>
        <v>4117500</v>
      </c>
      <c r="N260" s="2212" t="e">
        <f>IF('Report-M&amp;O1920'!C$18-'Report-SOF1920'!D$55&lt;=0,0,'Report-M&amp;O1920'!C$18-'Report-SOF1920'!D$55)</f>
        <v>#DIV/0!</v>
      </c>
      <c r="O260" s="2452" t="e">
        <f t="shared" si="42"/>
        <v>#DIV/0!</v>
      </c>
      <c r="P260" s="2449">
        <f>IF(A260='Data Entry - SOF'!B$2,'Data Entry - SOF'!I$64,0)</f>
        <v>0</v>
      </c>
      <c r="Q260" s="1687">
        <f t="shared" si="48"/>
        <v>4117500</v>
      </c>
      <c r="R260" s="2212" t="e">
        <f>IF('Report-M&amp;O2021'!C$18-'Report-SOF2021'!D$55&lt;=0,0,'Report-M&amp;O2021'!C$18-'Report-SOF2021'!D$55)</f>
        <v>#DIV/0!</v>
      </c>
      <c r="S260" s="2452" t="e">
        <f t="shared" si="43"/>
        <v>#DIV/0!</v>
      </c>
      <c r="T260" s="1708">
        <f>IF(A260='Data Entry - SOF'!B$2,'Data Entry - SOF'!K$64,0)</f>
        <v>0</v>
      </c>
      <c r="U260" s="1687">
        <f t="shared" si="47"/>
        <v>4117500</v>
      </c>
      <c r="V260" s="2212" t="e">
        <f>IF('Report-M&amp;O2122'!C$18-'Report-SOF2122'!D$55&lt;=0,0,'Report-M&amp;O2122'!C$18-'Report-SOF2122'!D$55)</f>
        <v>#DIV/0!</v>
      </c>
      <c r="W260" s="2452" t="e">
        <f t="shared" si="44"/>
        <v>#DIV/0!</v>
      </c>
      <c r="X260" s="1708">
        <f>IF(A260='Data Entry - SOF'!B$2,'Data Entry - SOF'!M$64,0)</f>
        <v>0</v>
      </c>
      <c r="Y260" s="1371" t="e">
        <f t="shared" si="45"/>
        <v>#DIV/0!</v>
      </c>
      <c r="Z260" s="2212" t="e">
        <f>IF('Report-M&amp;O2223'!C$18-'Report-SOF2223'!D$55&lt;=0,0,'Report-M&amp;O2223'!C$18-'Report-SOF2223'!D$55)</f>
        <v>#DIV/0!</v>
      </c>
      <c r="AA260" s="1708">
        <f>IF(A260='Data Entry - SOF'!B$2,'Data Entry - SOF'!O$64,0)</f>
        <v>0</v>
      </c>
    </row>
    <row r="261" spans="1:27" ht="15.75">
      <c r="A261" s="1076" t="s">
        <v>817</v>
      </c>
      <c r="B261">
        <v>1761824</v>
      </c>
      <c r="C261" s="2452" t="e">
        <f>#REF!+#REF!</f>
        <v>#REF!</v>
      </c>
      <c r="D261" s="2449">
        <f>IF(A261='Data Entry - SOF'!B$2,'Data Entry - SOF'!C$64,0)</f>
        <v>0</v>
      </c>
      <c r="E261" s="2450">
        <f t="shared" ref="E261:E324" si="49">IF(B261-D261&lt;0,0,B261-D261)</f>
        <v>1761824</v>
      </c>
      <c r="F261" s="2212" t="e">
        <f>IF('Report-M&amp;O1718'!C$18-'Report-SOF1718'!D$55&lt;=0,0,'Report-M&amp;O1718'!C$18-'Report-SOF1718'!D$55)</f>
        <v>#DIV/0!</v>
      </c>
      <c r="G261" s="2452" t="e">
        <f t="shared" ref="G261:G324" si="50">E261+F261</f>
        <v>#DIV/0!</v>
      </c>
      <c r="H261" s="2449">
        <f>IF(A261='Data Entry - SOF'!B$2,'Data Entry - SOF'!E$64,0)</f>
        <v>0</v>
      </c>
      <c r="I261" s="1687">
        <f t="shared" ref="I261:I324" si="51">E261-H261</f>
        <v>1761824</v>
      </c>
      <c r="J261" s="2212" t="e">
        <f>IF('Report-M&amp;O1819'!C$18-'Report-SOF1819'!D$55&lt;=0,0,'Report-M&amp;O1819'!C$18-'Report-SOF1819'!D$55)</f>
        <v>#DIV/0!</v>
      </c>
      <c r="K261" s="2452" t="e">
        <f t="shared" ref="K261:K324" si="52">I261+J261</f>
        <v>#DIV/0!</v>
      </c>
      <c r="L261" s="2449">
        <f>IF(A261='Data Entry - SOF'!B$2,'Data Entry - SOF'!G$64,0)</f>
        <v>0</v>
      </c>
      <c r="M261" s="1371">
        <f t="shared" ref="M261:M324" si="53">I261-L261</f>
        <v>1761824</v>
      </c>
      <c r="N261" s="2212" t="e">
        <f>IF('Report-M&amp;O1920'!C$18-'Report-SOF1920'!D$55&lt;=0,0,'Report-M&amp;O1920'!C$18-'Report-SOF1920'!D$55)</f>
        <v>#DIV/0!</v>
      </c>
      <c r="O261" s="2452" t="e">
        <f t="shared" ref="O261:O324" si="54">M261+N261</f>
        <v>#DIV/0!</v>
      </c>
      <c r="P261" s="2449">
        <f>IF(A261='Data Entry - SOF'!B$2,'Data Entry - SOF'!I$64,0)</f>
        <v>0</v>
      </c>
      <c r="Q261" s="1687">
        <f t="shared" si="48"/>
        <v>1761824</v>
      </c>
      <c r="R261" s="2212" t="e">
        <f>IF('Report-M&amp;O2021'!C$18-'Report-SOF2021'!D$55&lt;=0,0,'Report-M&amp;O2021'!C$18-'Report-SOF2021'!D$55)</f>
        <v>#DIV/0!</v>
      </c>
      <c r="S261" s="2452" t="e">
        <f t="shared" ref="S261:S324" si="55">Q261+R261</f>
        <v>#DIV/0!</v>
      </c>
      <c r="T261" s="1708">
        <f>IF(A261='Data Entry - SOF'!B$2,'Data Entry - SOF'!K$64,0)</f>
        <v>0</v>
      </c>
      <c r="U261" s="1687">
        <f t="shared" si="47"/>
        <v>1761824</v>
      </c>
      <c r="V261" s="2212" t="e">
        <f>IF('Report-M&amp;O2122'!C$18-'Report-SOF2122'!D$55&lt;=0,0,'Report-M&amp;O2122'!C$18-'Report-SOF2122'!D$55)</f>
        <v>#DIV/0!</v>
      </c>
      <c r="W261" s="2452" t="e">
        <f t="shared" ref="W261:W324" si="56">U261+V261</f>
        <v>#DIV/0!</v>
      </c>
      <c r="X261" s="1708">
        <f>IF(A261='Data Entry - SOF'!B$2,'Data Entry - SOF'!M$64,0)</f>
        <v>0</v>
      </c>
      <c r="Y261" s="1371" t="e">
        <f t="shared" ref="Y261:Y324" si="57">IF(U261+V261-X261&lt;=0,0,U261+V261-X261)</f>
        <v>#DIV/0!</v>
      </c>
      <c r="Z261" s="2212" t="e">
        <f>IF('Report-M&amp;O2223'!C$18-'Report-SOF2223'!D$55&lt;=0,0,'Report-M&amp;O2223'!C$18-'Report-SOF2223'!D$55)</f>
        <v>#DIV/0!</v>
      </c>
      <c r="AA261" s="1708">
        <f>IF(A261='Data Entry - SOF'!B$2,'Data Entry - SOF'!O$64,0)</f>
        <v>0</v>
      </c>
    </row>
    <row r="262" spans="1:27" ht="15.75">
      <c r="A262" s="1076" t="s">
        <v>776</v>
      </c>
      <c r="B262">
        <v>11990491</v>
      </c>
      <c r="C262" s="2452" t="e">
        <f>#REF!+#REF!</f>
        <v>#REF!</v>
      </c>
      <c r="D262" s="2449">
        <f>IF(A262='Data Entry - SOF'!B$2,'Data Entry - SOF'!C$64,0)</f>
        <v>0</v>
      </c>
      <c r="E262" s="2450">
        <f t="shared" si="49"/>
        <v>11990491</v>
      </c>
      <c r="F262" s="2212" t="e">
        <f>IF('Report-M&amp;O1718'!C$18-'Report-SOF1718'!D$55&lt;=0,0,'Report-M&amp;O1718'!C$18-'Report-SOF1718'!D$55)</f>
        <v>#DIV/0!</v>
      </c>
      <c r="G262" s="2452" t="e">
        <f t="shared" si="50"/>
        <v>#DIV/0!</v>
      </c>
      <c r="H262" s="2449">
        <f>IF(A262='Data Entry - SOF'!B$2,'Data Entry - SOF'!E$64,0)</f>
        <v>0</v>
      </c>
      <c r="I262" s="1687">
        <f t="shared" si="51"/>
        <v>11990491</v>
      </c>
      <c r="J262" s="2212" t="e">
        <f>IF('Report-M&amp;O1819'!C$18-'Report-SOF1819'!D$55&lt;=0,0,'Report-M&amp;O1819'!C$18-'Report-SOF1819'!D$55)</f>
        <v>#DIV/0!</v>
      </c>
      <c r="K262" s="2452" t="e">
        <f t="shared" si="52"/>
        <v>#DIV/0!</v>
      </c>
      <c r="L262" s="2449">
        <f>IF(A262='Data Entry - SOF'!B$2,'Data Entry - SOF'!G$64,0)</f>
        <v>0</v>
      </c>
      <c r="M262" s="1371">
        <f t="shared" si="53"/>
        <v>11990491</v>
      </c>
      <c r="N262" s="2212" t="e">
        <f>IF('Report-M&amp;O1920'!C$18-'Report-SOF1920'!D$55&lt;=0,0,'Report-M&amp;O1920'!C$18-'Report-SOF1920'!D$55)</f>
        <v>#DIV/0!</v>
      </c>
      <c r="O262" s="2452" t="e">
        <f t="shared" si="54"/>
        <v>#DIV/0!</v>
      </c>
      <c r="P262" s="2449">
        <f>IF(A262='Data Entry - SOF'!B$2,'Data Entry - SOF'!I$64,0)</f>
        <v>0</v>
      </c>
      <c r="Q262" s="1687">
        <f t="shared" si="48"/>
        <v>11990491</v>
      </c>
      <c r="R262" s="2212" t="e">
        <f>IF('Report-M&amp;O2021'!C$18-'Report-SOF2021'!D$55&lt;=0,0,'Report-M&amp;O2021'!C$18-'Report-SOF2021'!D$55)</f>
        <v>#DIV/0!</v>
      </c>
      <c r="S262" s="2452" t="e">
        <f t="shared" si="55"/>
        <v>#DIV/0!</v>
      </c>
      <c r="T262" s="1708">
        <f>IF(A262='Data Entry - SOF'!B$2,'Data Entry - SOF'!K$64,0)</f>
        <v>0</v>
      </c>
      <c r="U262" s="1687">
        <f t="shared" si="47"/>
        <v>11990491</v>
      </c>
      <c r="V262" s="2212" t="e">
        <f>IF('Report-M&amp;O2122'!C$18-'Report-SOF2122'!D$55&lt;=0,0,'Report-M&amp;O2122'!C$18-'Report-SOF2122'!D$55)</f>
        <v>#DIV/0!</v>
      </c>
      <c r="W262" s="2452" t="e">
        <f t="shared" si="56"/>
        <v>#DIV/0!</v>
      </c>
      <c r="X262" s="1708">
        <f>IF(A262='Data Entry - SOF'!B$2,'Data Entry - SOF'!M$64,0)</f>
        <v>0</v>
      </c>
      <c r="Y262" s="1371" t="e">
        <f t="shared" si="57"/>
        <v>#DIV/0!</v>
      </c>
      <c r="Z262" s="2212" t="e">
        <f>IF('Report-M&amp;O2223'!C$18-'Report-SOF2223'!D$55&lt;=0,0,'Report-M&amp;O2223'!C$18-'Report-SOF2223'!D$55)</f>
        <v>#DIV/0!</v>
      </c>
      <c r="AA262" s="1708">
        <f>IF(A262='Data Entry - SOF'!B$2,'Data Entry - SOF'!O$64,0)</f>
        <v>0</v>
      </c>
    </row>
    <row r="263" spans="1:27" ht="15.75">
      <c r="A263" s="1076" t="s">
        <v>2463</v>
      </c>
      <c r="B263">
        <v>1607180</v>
      </c>
      <c r="C263" s="2452" t="e">
        <f>#REF!+#REF!</f>
        <v>#REF!</v>
      </c>
      <c r="D263" s="2449">
        <f>IF(A263='Data Entry - SOF'!B$2,'Data Entry - SOF'!C$64,0)</f>
        <v>0</v>
      </c>
      <c r="E263" s="2450">
        <f t="shared" si="49"/>
        <v>1607180</v>
      </c>
      <c r="F263" s="2212" t="e">
        <f>IF('Report-M&amp;O1718'!C$18-'Report-SOF1718'!D$55&lt;=0,0,'Report-M&amp;O1718'!C$18-'Report-SOF1718'!D$55)</f>
        <v>#DIV/0!</v>
      </c>
      <c r="G263" s="2452" t="e">
        <f t="shared" si="50"/>
        <v>#DIV/0!</v>
      </c>
      <c r="H263" s="2449">
        <f>IF(A263='Data Entry - SOF'!B$2,'Data Entry - SOF'!E$64,0)</f>
        <v>0</v>
      </c>
      <c r="I263" s="1687">
        <f t="shared" si="51"/>
        <v>1607180</v>
      </c>
      <c r="J263" s="2212" t="e">
        <f>IF('Report-M&amp;O1819'!C$18-'Report-SOF1819'!D$55&lt;=0,0,'Report-M&amp;O1819'!C$18-'Report-SOF1819'!D$55)</f>
        <v>#DIV/0!</v>
      </c>
      <c r="K263" s="2452" t="e">
        <f t="shared" si="52"/>
        <v>#DIV/0!</v>
      </c>
      <c r="L263" s="2449">
        <f>IF(A263='Data Entry - SOF'!B$2,'Data Entry - SOF'!G$64,0)</f>
        <v>0</v>
      </c>
      <c r="M263" s="1371">
        <f t="shared" si="53"/>
        <v>1607180</v>
      </c>
      <c r="N263" s="2212" t="e">
        <f>IF('Report-M&amp;O1920'!C$18-'Report-SOF1920'!D$55&lt;=0,0,'Report-M&amp;O1920'!C$18-'Report-SOF1920'!D$55)</f>
        <v>#DIV/0!</v>
      </c>
      <c r="O263" s="2452" t="e">
        <f t="shared" si="54"/>
        <v>#DIV/0!</v>
      </c>
      <c r="P263" s="2449">
        <f>IF(A263='Data Entry - SOF'!B$2,'Data Entry - SOF'!I$64,0)</f>
        <v>0</v>
      </c>
      <c r="Q263" s="1687">
        <f t="shared" si="48"/>
        <v>1607180</v>
      </c>
      <c r="R263" s="2212" t="e">
        <f>IF('Report-M&amp;O2021'!C$18-'Report-SOF2021'!D$55&lt;=0,0,'Report-M&amp;O2021'!C$18-'Report-SOF2021'!D$55)</f>
        <v>#DIV/0!</v>
      </c>
      <c r="S263" s="2452" t="e">
        <f t="shared" si="55"/>
        <v>#DIV/0!</v>
      </c>
      <c r="T263" s="1708">
        <f>IF(A263='Data Entry - SOF'!B$2,'Data Entry - SOF'!K$64,0)</f>
        <v>0</v>
      </c>
      <c r="U263" s="1687">
        <f t="shared" si="47"/>
        <v>1607180</v>
      </c>
      <c r="V263" s="2212" t="e">
        <f>IF('Report-M&amp;O2122'!C$18-'Report-SOF2122'!D$55&lt;=0,0,'Report-M&amp;O2122'!C$18-'Report-SOF2122'!D$55)</f>
        <v>#DIV/0!</v>
      </c>
      <c r="W263" s="2452" t="e">
        <f t="shared" si="56"/>
        <v>#DIV/0!</v>
      </c>
      <c r="X263" s="1708">
        <f>IF(A263='Data Entry - SOF'!B$2,'Data Entry - SOF'!M$64,0)</f>
        <v>0</v>
      </c>
      <c r="Y263" s="1371" t="e">
        <f t="shared" si="57"/>
        <v>#DIV/0!</v>
      </c>
      <c r="Z263" s="2212" t="e">
        <f>IF('Report-M&amp;O2223'!C$18-'Report-SOF2223'!D$55&lt;=0,0,'Report-M&amp;O2223'!C$18-'Report-SOF2223'!D$55)</f>
        <v>#DIV/0!</v>
      </c>
      <c r="AA263" s="1708">
        <f>IF(A263='Data Entry - SOF'!B$2,'Data Entry - SOF'!O$64,0)</f>
        <v>0</v>
      </c>
    </row>
    <row r="264" spans="1:27" ht="15.75">
      <c r="A264" s="1076" t="s">
        <v>2620</v>
      </c>
      <c r="B264">
        <v>1861617</v>
      </c>
      <c r="C264" s="2452" t="e">
        <f>#REF!+#REF!</f>
        <v>#REF!</v>
      </c>
      <c r="D264" s="2449">
        <f>IF(A264='Data Entry - SOF'!B$2,'Data Entry - SOF'!C$64,0)</f>
        <v>0</v>
      </c>
      <c r="E264" s="2450">
        <f t="shared" si="49"/>
        <v>1861617</v>
      </c>
      <c r="F264" s="2212" t="e">
        <f>IF('Report-M&amp;O1718'!C$18-'Report-SOF1718'!D$55&lt;=0,0,'Report-M&amp;O1718'!C$18-'Report-SOF1718'!D$55)</f>
        <v>#DIV/0!</v>
      </c>
      <c r="G264" s="2452" t="e">
        <f t="shared" si="50"/>
        <v>#DIV/0!</v>
      </c>
      <c r="H264" s="2449">
        <f>IF(A264='Data Entry - SOF'!B$2,'Data Entry - SOF'!E$64,0)</f>
        <v>0</v>
      </c>
      <c r="I264" s="1687">
        <f t="shared" si="51"/>
        <v>1861617</v>
      </c>
      <c r="J264" s="2212" t="e">
        <f>IF('Report-M&amp;O1819'!C$18-'Report-SOF1819'!D$55&lt;=0,0,'Report-M&amp;O1819'!C$18-'Report-SOF1819'!D$55)</f>
        <v>#DIV/0!</v>
      </c>
      <c r="K264" s="2452" t="e">
        <f t="shared" si="52"/>
        <v>#DIV/0!</v>
      </c>
      <c r="L264" s="2449">
        <f>IF(A264='Data Entry - SOF'!B$2,'Data Entry - SOF'!G$64,0)</f>
        <v>0</v>
      </c>
      <c r="M264" s="1371">
        <f t="shared" si="53"/>
        <v>1861617</v>
      </c>
      <c r="N264" s="2212" t="e">
        <f>IF('Report-M&amp;O1920'!C$18-'Report-SOF1920'!D$55&lt;=0,0,'Report-M&amp;O1920'!C$18-'Report-SOF1920'!D$55)</f>
        <v>#DIV/0!</v>
      </c>
      <c r="O264" s="2452" t="e">
        <f t="shared" si="54"/>
        <v>#DIV/0!</v>
      </c>
      <c r="P264" s="2449">
        <f>IF(A264='Data Entry - SOF'!B$2,'Data Entry - SOF'!I$64,0)</f>
        <v>0</v>
      </c>
      <c r="Q264" s="1687">
        <f t="shared" si="48"/>
        <v>1861617</v>
      </c>
      <c r="R264" s="2212" t="e">
        <f>IF('Report-M&amp;O2021'!C$18-'Report-SOF2021'!D$55&lt;=0,0,'Report-M&amp;O2021'!C$18-'Report-SOF2021'!D$55)</f>
        <v>#DIV/0!</v>
      </c>
      <c r="S264" s="2452" t="e">
        <f t="shared" si="55"/>
        <v>#DIV/0!</v>
      </c>
      <c r="T264" s="1708">
        <f>IF(A264='Data Entry - SOF'!B$2,'Data Entry - SOF'!K$64,0)</f>
        <v>0</v>
      </c>
      <c r="U264" s="1687">
        <f t="shared" si="47"/>
        <v>1861617</v>
      </c>
      <c r="V264" s="2212" t="e">
        <f>IF('Report-M&amp;O2122'!C$18-'Report-SOF2122'!D$55&lt;=0,0,'Report-M&amp;O2122'!C$18-'Report-SOF2122'!D$55)</f>
        <v>#DIV/0!</v>
      </c>
      <c r="W264" s="2452" t="e">
        <f t="shared" si="56"/>
        <v>#DIV/0!</v>
      </c>
      <c r="X264" s="1708">
        <f>IF(A264='Data Entry - SOF'!B$2,'Data Entry - SOF'!M$64,0)</f>
        <v>0</v>
      </c>
      <c r="Y264" s="1371" t="e">
        <f t="shared" si="57"/>
        <v>#DIV/0!</v>
      </c>
      <c r="Z264" s="2212" t="e">
        <f>IF('Report-M&amp;O2223'!C$18-'Report-SOF2223'!D$55&lt;=0,0,'Report-M&amp;O2223'!C$18-'Report-SOF2223'!D$55)</f>
        <v>#DIV/0!</v>
      </c>
      <c r="AA264" s="1708">
        <f>IF(A264='Data Entry - SOF'!B$2,'Data Entry - SOF'!O$64,0)</f>
        <v>0</v>
      </c>
    </row>
    <row r="265" spans="1:27" ht="15.75">
      <c r="A265" s="1076" t="s">
        <v>2007</v>
      </c>
      <c r="B265">
        <v>1250378</v>
      </c>
      <c r="C265" s="2452" t="e">
        <f>#REF!+#REF!</f>
        <v>#REF!</v>
      </c>
      <c r="D265" s="2449">
        <f>IF(A265='Data Entry - SOF'!B$2,'Data Entry - SOF'!C$64,0)</f>
        <v>0</v>
      </c>
      <c r="E265" s="2450">
        <f t="shared" si="49"/>
        <v>1250378</v>
      </c>
      <c r="F265" s="2212" t="e">
        <f>IF('Report-M&amp;O1718'!C$18-'Report-SOF1718'!D$55&lt;=0,0,'Report-M&amp;O1718'!C$18-'Report-SOF1718'!D$55)</f>
        <v>#DIV/0!</v>
      </c>
      <c r="G265" s="2452" t="e">
        <f t="shared" si="50"/>
        <v>#DIV/0!</v>
      </c>
      <c r="H265" s="2449">
        <f>IF(A265='Data Entry - SOF'!B$2,'Data Entry - SOF'!E$64,0)</f>
        <v>0</v>
      </c>
      <c r="I265" s="1687">
        <f t="shared" si="51"/>
        <v>1250378</v>
      </c>
      <c r="J265" s="2212" t="e">
        <f>IF('Report-M&amp;O1819'!C$18-'Report-SOF1819'!D$55&lt;=0,0,'Report-M&amp;O1819'!C$18-'Report-SOF1819'!D$55)</f>
        <v>#DIV/0!</v>
      </c>
      <c r="K265" s="2452" t="e">
        <f t="shared" si="52"/>
        <v>#DIV/0!</v>
      </c>
      <c r="L265" s="2449">
        <f>IF(A265='Data Entry - SOF'!B$2,'Data Entry - SOF'!G$64,0)</f>
        <v>0</v>
      </c>
      <c r="M265" s="1371">
        <f t="shared" si="53"/>
        <v>1250378</v>
      </c>
      <c r="N265" s="2212" t="e">
        <f>IF('Report-M&amp;O1920'!C$18-'Report-SOF1920'!D$55&lt;=0,0,'Report-M&amp;O1920'!C$18-'Report-SOF1920'!D$55)</f>
        <v>#DIV/0!</v>
      </c>
      <c r="O265" s="2452" t="e">
        <f t="shared" si="54"/>
        <v>#DIV/0!</v>
      </c>
      <c r="P265" s="2449">
        <f>IF(A265='Data Entry - SOF'!B$2,'Data Entry - SOF'!I$64,0)</f>
        <v>0</v>
      </c>
      <c r="Q265" s="1687">
        <f t="shared" si="48"/>
        <v>1250378</v>
      </c>
      <c r="R265" s="2212" t="e">
        <f>IF('Report-M&amp;O2021'!C$18-'Report-SOF2021'!D$55&lt;=0,0,'Report-M&amp;O2021'!C$18-'Report-SOF2021'!D$55)</f>
        <v>#DIV/0!</v>
      </c>
      <c r="S265" s="2452" t="e">
        <f t="shared" si="55"/>
        <v>#DIV/0!</v>
      </c>
      <c r="T265" s="1708">
        <f>IF(A265='Data Entry - SOF'!B$2,'Data Entry - SOF'!K$64,0)</f>
        <v>0</v>
      </c>
      <c r="U265" s="1687">
        <f t="shared" si="47"/>
        <v>1250378</v>
      </c>
      <c r="V265" s="2212" t="e">
        <f>IF('Report-M&amp;O2122'!C$18-'Report-SOF2122'!D$55&lt;=0,0,'Report-M&amp;O2122'!C$18-'Report-SOF2122'!D$55)</f>
        <v>#DIV/0!</v>
      </c>
      <c r="W265" s="2452" t="e">
        <f t="shared" si="56"/>
        <v>#DIV/0!</v>
      </c>
      <c r="X265" s="1708">
        <f>IF(A265='Data Entry - SOF'!B$2,'Data Entry - SOF'!M$64,0)</f>
        <v>0</v>
      </c>
      <c r="Y265" s="1371" t="e">
        <f t="shared" si="57"/>
        <v>#DIV/0!</v>
      </c>
      <c r="Z265" s="2212" t="e">
        <f>IF('Report-M&amp;O2223'!C$18-'Report-SOF2223'!D$55&lt;=0,0,'Report-M&amp;O2223'!C$18-'Report-SOF2223'!D$55)</f>
        <v>#DIV/0!</v>
      </c>
      <c r="AA265" s="1708">
        <f>IF(A265='Data Entry - SOF'!B$2,'Data Entry - SOF'!O$64,0)</f>
        <v>0</v>
      </c>
    </row>
    <row r="266" spans="1:27" ht="15.75">
      <c r="A266" s="1076" t="s">
        <v>672</v>
      </c>
      <c r="B266">
        <v>622782</v>
      </c>
      <c r="C266" s="2452" t="e">
        <f>#REF!+#REF!</f>
        <v>#REF!</v>
      </c>
      <c r="D266" s="2449">
        <f>IF(A266='Data Entry - SOF'!B$2,'Data Entry - SOF'!C$64,0)</f>
        <v>0</v>
      </c>
      <c r="E266" s="2450">
        <f t="shared" si="49"/>
        <v>622782</v>
      </c>
      <c r="F266" s="2212" t="e">
        <f>IF('Report-M&amp;O1718'!C$18-'Report-SOF1718'!D$55&lt;=0,0,'Report-M&amp;O1718'!C$18-'Report-SOF1718'!D$55)</f>
        <v>#DIV/0!</v>
      </c>
      <c r="G266" s="2452" t="e">
        <f t="shared" si="50"/>
        <v>#DIV/0!</v>
      </c>
      <c r="H266" s="2449">
        <f>IF(A266='Data Entry - SOF'!B$2,'Data Entry - SOF'!E$64,0)</f>
        <v>0</v>
      </c>
      <c r="I266" s="1687">
        <f t="shared" si="51"/>
        <v>622782</v>
      </c>
      <c r="J266" s="2212" t="e">
        <f>IF('Report-M&amp;O1819'!C$18-'Report-SOF1819'!D$55&lt;=0,0,'Report-M&amp;O1819'!C$18-'Report-SOF1819'!D$55)</f>
        <v>#DIV/0!</v>
      </c>
      <c r="K266" s="2452" t="e">
        <f t="shared" si="52"/>
        <v>#DIV/0!</v>
      </c>
      <c r="L266" s="2449">
        <f>IF(A266='Data Entry - SOF'!B$2,'Data Entry - SOF'!G$64,0)</f>
        <v>0</v>
      </c>
      <c r="M266" s="1371">
        <f t="shared" si="53"/>
        <v>622782</v>
      </c>
      <c r="N266" s="2212" t="e">
        <f>IF('Report-M&amp;O1920'!C$18-'Report-SOF1920'!D$55&lt;=0,0,'Report-M&amp;O1920'!C$18-'Report-SOF1920'!D$55)</f>
        <v>#DIV/0!</v>
      </c>
      <c r="O266" s="2452" t="e">
        <f t="shared" si="54"/>
        <v>#DIV/0!</v>
      </c>
      <c r="P266" s="2449">
        <f>IF(A266='Data Entry - SOF'!B$2,'Data Entry - SOF'!I$64,0)</f>
        <v>0</v>
      </c>
      <c r="Q266" s="1687">
        <f t="shared" si="48"/>
        <v>622782</v>
      </c>
      <c r="R266" s="2212" t="e">
        <f>IF('Report-M&amp;O2021'!C$18-'Report-SOF2021'!D$55&lt;=0,0,'Report-M&amp;O2021'!C$18-'Report-SOF2021'!D$55)</f>
        <v>#DIV/0!</v>
      </c>
      <c r="S266" s="2452" t="e">
        <f t="shared" si="55"/>
        <v>#DIV/0!</v>
      </c>
      <c r="T266" s="1708">
        <f>IF(A266='Data Entry - SOF'!B$2,'Data Entry - SOF'!K$64,0)</f>
        <v>0</v>
      </c>
      <c r="U266" s="1687">
        <f t="shared" si="47"/>
        <v>622782</v>
      </c>
      <c r="V266" s="2212" t="e">
        <f>IF('Report-M&amp;O2122'!C$18-'Report-SOF2122'!D$55&lt;=0,0,'Report-M&amp;O2122'!C$18-'Report-SOF2122'!D$55)</f>
        <v>#DIV/0!</v>
      </c>
      <c r="W266" s="2452" t="e">
        <f t="shared" si="56"/>
        <v>#DIV/0!</v>
      </c>
      <c r="X266" s="1708">
        <f>IF(A266='Data Entry - SOF'!B$2,'Data Entry - SOF'!M$64,0)</f>
        <v>0</v>
      </c>
      <c r="Y266" s="1371" t="e">
        <f t="shared" si="57"/>
        <v>#DIV/0!</v>
      </c>
      <c r="Z266" s="2212" t="e">
        <f>IF('Report-M&amp;O2223'!C$18-'Report-SOF2223'!D$55&lt;=0,0,'Report-M&amp;O2223'!C$18-'Report-SOF2223'!D$55)</f>
        <v>#DIV/0!</v>
      </c>
      <c r="AA266" s="1708">
        <f>IF(A266='Data Entry - SOF'!B$2,'Data Entry - SOF'!O$64,0)</f>
        <v>0</v>
      </c>
    </row>
    <row r="267" spans="1:27" ht="15.75">
      <c r="A267" s="1076" t="s">
        <v>1034</v>
      </c>
      <c r="B267">
        <v>352511</v>
      </c>
      <c r="C267" s="2452" t="e">
        <f>#REF!+#REF!</f>
        <v>#REF!</v>
      </c>
      <c r="D267" s="2449">
        <f>IF(A267='Data Entry - SOF'!B$2,'Data Entry - SOF'!C$64,0)</f>
        <v>0</v>
      </c>
      <c r="E267" s="2450">
        <f t="shared" si="49"/>
        <v>352511</v>
      </c>
      <c r="F267" s="2212" t="e">
        <f>IF('Report-M&amp;O1718'!C$18-'Report-SOF1718'!D$55&lt;=0,0,'Report-M&amp;O1718'!C$18-'Report-SOF1718'!D$55)</f>
        <v>#DIV/0!</v>
      </c>
      <c r="G267" s="2452" t="e">
        <f t="shared" si="50"/>
        <v>#DIV/0!</v>
      </c>
      <c r="H267" s="2449">
        <f>IF(A267='Data Entry - SOF'!B$2,'Data Entry - SOF'!E$64,0)</f>
        <v>0</v>
      </c>
      <c r="I267" s="1687">
        <f t="shared" si="51"/>
        <v>352511</v>
      </c>
      <c r="J267" s="2212" t="e">
        <f>IF('Report-M&amp;O1819'!C$18-'Report-SOF1819'!D$55&lt;=0,0,'Report-M&amp;O1819'!C$18-'Report-SOF1819'!D$55)</f>
        <v>#DIV/0!</v>
      </c>
      <c r="K267" s="2452" t="e">
        <f t="shared" si="52"/>
        <v>#DIV/0!</v>
      </c>
      <c r="L267" s="2449">
        <f>IF(A267='Data Entry - SOF'!B$2,'Data Entry - SOF'!G$64,0)</f>
        <v>0</v>
      </c>
      <c r="M267" s="1371">
        <f t="shared" si="53"/>
        <v>352511</v>
      </c>
      <c r="N267" s="2212" t="e">
        <f>IF('Report-M&amp;O1920'!C$18-'Report-SOF1920'!D$55&lt;=0,0,'Report-M&amp;O1920'!C$18-'Report-SOF1920'!D$55)</f>
        <v>#DIV/0!</v>
      </c>
      <c r="O267" s="2452" t="e">
        <f t="shared" si="54"/>
        <v>#DIV/0!</v>
      </c>
      <c r="P267" s="2449">
        <f>IF(A267='Data Entry - SOF'!B$2,'Data Entry - SOF'!I$64,0)</f>
        <v>0</v>
      </c>
      <c r="Q267" s="1687">
        <f t="shared" si="48"/>
        <v>352511</v>
      </c>
      <c r="R267" s="2212" t="e">
        <f>IF('Report-M&amp;O2021'!C$18-'Report-SOF2021'!D$55&lt;=0,0,'Report-M&amp;O2021'!C$18-'Report-SOF2021'!D$55)</f>
        <v>#DIV/0!</v>
      </c>
      <c r="S267" s="2452" t="e">
        <f t="shared" si="55"/>
        <v>#DIV/0!</v>
      </c>
      <c r="T267" s="1708">
        <f>IF(A267='Data Entry - SOF'!B$2,'Data Entry - SOF'!K$64,0)</f>
        <v>0</v>
      </c>
      <c r="U267" s="1687">
        <f t="shared" si="47"/>
        <v>352511</v>
      </c>
      <c r="V267" s="2212" t="e">
        <f>IF('Report-M&amp;O2122'!C$18-'Report-SOF2122'!D$55&lt;=0,0,'Report-M&amp;O2122'!C$18-'Report-SOF2122'!D$55)</f>
        <v>#DIV/0!</v>
      </c>
      <c r="W267" s="2452" t="e">
        <f t="shared" si="56"/>
        <v>#DIV/0!</v>
      </c>
      <c r="X267" s="1708">
        <f>IF(A267='Data Entry - SOF'!B$2,'Data Entry - SOF'!M$64,0)</f>
        <v>0</v>
      </c>
      <c r="Y267" s="1371" t="e">
        <f t="shared" si="57"/>
        <v>#DIV/0!</v>
      </c>
      <c r="Z267" s="2212" t="e">
        <f>IF('Report-M&amp;O2223'!C$18-'Report-SOF2223'!D$55&lt;=0,0,'Report-M&amp;O2223'!C$18-'Report-SOF2223'!D$55)</f>
        <v>#DIV/0!</v>
      </c>
      <c r="AA267" s="1708">
        <f>IF(A267='Data Entry - SOF'!B$2,'Data Entry - SOF'!O$64,0)</f>
        <v>0</v>
      </c>
    </row>
    <row r="268" spans="1:27" ht="15.75">
      <c r="A268" s="1076" t="s">
        <v>2442</v>
      </c>
      <c r="B268">
        <v>64179842</v>
      </c>
      <c r="C268" s="2452" t="e">
        <f>#REF!+#REF!</f>
        <v>#REF!</v>
      </c>
      <c r="D268" s="2449">
        <f>IF(A268='Data Entry - SOF'!B$2,'Data Entry - SOF'!C$64,0)</f>
        <v>0</v>
      </c>
      <c r="E268" s="2450">
        <f t="shared" si="49"/>
        <v>64179842</v>
      </c>
      <c r="F268" s="2212" t="e">
        <f>IF('Report-M&amp;O1718'!C$18-'Report-SOF1718'!D$55&lt;=0,0,'Report-M&amp;O1718'!C$18-'Report-SOF1718'!D$55)</f>
        <v>#DIV/0!</v>
      </c>
      <c r="G268" s="2452" t="e">
        <f t="shared" si="50"/>
        <v>#DIV/0!</v>
      </c>
      <c r="H268" s="2449">
        <f>IF(A268='Data Entry - SOF'!B$2,'Data Entry - SOF'!E$64,0)</f>
        <v>0</v>
      </c>
      <c r="I268" s="1687">
        <f t="shared" si="51"/>
        <v>64179842</v>
      </c>
      <c r="J268" s="2212" t="e">
        <f>IF('Report-M&amp;O1819'!C$18-'Report-SOF1819'!D$55&lt;=0,0,'Report-M&amp;O1819'!C$18-'Report-SOF1819'!D$55)</f>
        <v>#DIV/0!</v>
      </c>
      <c r="K268" s="2452" t="e">
        <f t="shared" si="52"/>
        <v>#DIV/0!</v>
      </c>
      <c r="L268" s="2449">
        <f>IF(A268='Data Entry - SOF'!B$2,'Data Entry - SOF'!G$64,0)</f>
        <v>0</v>
      </c>
      <c r="M268" s="1371">
        <f t="shared" si="53"/>
        <v>64179842</v>
      </c>
      <c r="N268" s="2212" t="e">
        <f>IF('Report-M&amp;O1920'!C$18-'Report-SOF1920'!D$55&lt;=0,0,'Report-M&amp;O1920'!C$18-'Report-SOF1920'!D$55)</f>
        <v>#DIV/0!</v>
      </c>
      <c r="O268" s="2452" t="e">
        <f t="shared" si="54"/>
        <v>#DIV/0!</v>
      </c>
      <c r="P268" s="2449">
        <f>IF(A268='Data Entry - SOF'!B$2,'Data Entry - SOF'!I$64,0)</f>
        <v>0</v>
      </c>
      <c r="Q268" s="1687">
        <f t="shared" si="48"/>
        <v>64179842</v>
      </c>
      <c r="R268" s="2212" t="e">
        <f>IF('Report-M&amp;O2021'!C$18-'Report-SOF2021'!D$55&lt;=0,0,'Report-M&amp;O2021'!C$18-'Report-SOF2021'!D$55)</f>
        <v>#DIV/0!</v>
      </c>
      <c r="S268" s="2452" t="e">
        <f t="shared" si="55"/>
        <v>#DIV/0!</v>
      </c>
      <c r="T268" s="1708">
        <f>IF(A268='Data Entry - SOF'!B$2,'Data Entry - SOF'!K$64,0)</f>
        <v>0</v>
      </c>
      <c r="U268" s="1687">
        <f t="shared" si="47"/>
        <v>64179842</v>
      </c>
      <c r="V268" s="2212" t="e">
        <f>IF('Report-M&amp;O2122'!C$18-'Report-SOF2122'!D$55&lt;=0,0,'Report-M&amp;O2122'!C$18-'Report-SOF2122'!D$55)</f>
        <v>#DIV/0!</v>
      </c>
      <c r="W268" s="2452" t="e">
        <f t="shared" si="56"/>
        <v>#DIV/0!</v>
      </c>
      <c r="X268" s="1708">
        <f>IF(A268='Data Entry - SOF'!B$2,'Data Entry - SOF'!M$64,0)</f>
        <v>0</v>
      </c>
      <c r="Y268" s="1371" t="e">
        <f t="shared" si="57"/>
        <v>#DIV/0!</v>
      </c>
      <c r="Z268" s="2212" t="e">
        <f>IF('Report-M&amp;O2223'!C$18-'Report-SOF2223'!D$55&lt;=0,0,'Report-M&amp;O2223'!C$18-'Report-SOF2223'!D$55)</f>
        <v>#DIV/0!</v>
      </c>
      <c r="AA268" s="1708">
        <f>IF(A268='Data Entry - SOF'!B$2,'Data Entry - SOF'!O$64,0)</f>
        <v>0</v>
      </c>
    </row>
    <row r="269" spans="1:27" ht="15.75">
      <c r="A269" s="1076" t="s">
        <v>2976</v>
      </c>
      <c r="B269">
        <v>3066313.1788123199</v>
      </c>
      <c r="C269" s="2452" t="e">
        <f>#REF!+#REF!</f>
        <v>#REF!</v>
      </c>
      <c r="D269" s="2449">
        <f>IF(A269='Data Entry - SOF'!B$2,'Data Entry - SOF'!C$64,0)</f>
        <v>0</v>
      </c>
      <c r="E269" s="2450">
        <f t="shared" si="49"/>
        <v>3066313.1788123199</v>
      </c>
      <c r="F269" s="2212" t="e">
        <f>IF('Report-M&amp;O1718'!C$18-'Report-SOF1718'!D$55&lt;=0,0,'Report-M&amp;O1718'!C$18-'Report-SOF1718'!D$55)</f>
        <v>#DIV/0!</v>
      </c>
      <c r="G269" s="2452" t="e">
        <f t="shared" si="50"/>
        <v>#DIV/0!</v>
      </c>
      <c r="H269" s="2449">
        <f>IF(A269='Data Entry - SOF'!B$2,'Data Entry - SOF'!E$64,0)</f>
        <v>0</v>
      </c>
      <c r="I269" s="1687">
        <f t="shared" si="51"/>
        <v>3066313.1788123199</v>
      </c>
      <c r="J269" s="2212" t="e">
        <f>IF('Report-M&amp;O1819'!C$18-'Report-SOF1819'!D$55&lt;=0,0,'Report-M&amp;O1819'!C$18-'Report-SOF1819'!D$55)</f>
        <v>#DIV/0!</v>
      </c>
      <c r="K269" s="2452" t="e">
        <f t="shared" si="52"/>
        <v>#DIV/0!</v>
      </c>
      <c r="L269" s="2449">
        <f>IF(A269='Data Entry - SOF'!B$2,'Data Entry - SOF'!G$64,0)</f>
        <v>0</v>
      </c>
      <c r="M269" s="1371">
        <f t="shared" si="53"/>
        <v>3066313.1788123199</v>
      </c>
      <c r="N269" s="2212" t="e">
        <f>IF('Report-M&amp;O1920'!C$18-'Report-SOF1920'!D$55&lt;=0,0,'Report-M&amp;O1920'!C$18-'Report-SOF1920'!D$55)</f>
        <v>#DIV/0!</v>
      </c>
      <c r="O269" s="2452" t="e">
        <f t="shared" si="54"/>
        <v>#DIV/0!</v>
      </c>
      <c r="P269" s="2449">
        <f>IF(A269='Data Entry - SOF'!B$2,'Data Entry - SOF'!I$64,0)</f>
        <v>0</v>
      </c>
      <c r="Q269" s="1687">
        <f t="shared" si="48"/>
        <v>3066313.1788123199</v>
      </c>
      <c r="R269" s="2212" t="e">
        <f>IF('Report-M&amp;O2021'!C$18-'Report-SOF2021'!D$55&lt;=0,0,'Report-M&amp;O2021'!C$18-'Report-SOF2021'!D$55)</f>
        <v>#DIV/0!</v>
      </c>
      <c r="S269" s="2452" t="e">
        <f t="shared" si="55"/>
        <v>#DIV/0!</v>
      </c>
      <c r="T269" s="1708">
        <f>IF(A269='Data Entry - SOF'!B$2,'Data Entry - SOF'!K$64,0)</f>
        <v>0</v>
      </c>
      <c r="U269" s="1687">
        <f t="shared" si="47"/>
        <v>3066313.1788123199</v>
      </c>
      <c r="V269" s="2212" t="e">
        <f>IF('Report-M&amp;O2122'!C$18-'Report-SOF2122'!D$55&lt;=0,0,'Report-M&amp;O2122'!C$18-'Report-SOF2122'!D$55)</f>
        <v>#DIV/0!</v>
      </c>
      <c r="W269" s="2452" t="e">
        <f t="shared" si="56"/>
        <v>#DIV/0!</v>
      </c>
      <c r="X269" s="1708">
        <f>IF(A269='Data Entry - SOF'!B$2,'Data Entry - SOF'!M$64,0)</f>
        <v>0</v>
      </c>
      <c r="Y269" s="1371" t="e">
        <f t="shared" si="57"/>
        <v>#DIV/0!</v>
      </c>
      <c r="Z269" s="2212" t="e">
        <f>IF('Report-M&amp;O2223'!C$18-'Report-SOF2223'!D$55&lt;=0,0,'Report-M&amp;O2223'!C$18-'Report-SOF2223'!D$55)</f>
        <v>#DIV/0!</v>
      </c>
      <c r="AA269" s="1708">
        <f>IF(A269='Data Entry - SOF'!B$2,'Data Entry - SOF'!O$64,0)</f>
        <v>0</v>
      </c>
    </row>
    <row r="270" spans="1:27" ht="15.75">
      <c r="A270" s="1076" t="s">
        <v>2745</v>
      </c>
      <c r="B270">
        <v>1202592</v>
      </c>
      <c r="C270" s="2452" t="e">
        <f>#REF!+#REF!</f>
        <v>#REF!</v>
      </c>
      <c r="D270" s="2449">
        <f>IF(A270='Data Entry - SOF'!B$2,'Data Entry - SOF'!C$64,0)</f>
        <v>0</v>
      </c>
      <c r="E270" s="2450">
        <f t="shared" si="49"/>
        <v>1202592</v>
      </c>
      <c r="F270" s="2212" t="e">
        <f>IF('Report-M&amp;O1718'!C$18-'Report-SOF1718'!D$55&lt;=0,0,'Report-M&amp;O1718'!C$18-'Report-SOF1718'!D$55)</f>
        <v>#DIV/0!</v>
      </c>
      <c r="G270" s="2452" t="e">
        <f t="shared" si="50"/>
        <v>#DIV/0!</v>
      </c>
      <c r="H270" s="2449">
        <f>IF(A270='Data Entry - SOF'!B$2,'Data Entry - SOF'!E$64,0)</f>
        <v>0</v>
      </c>
      <c r="I270" s="1687">
        <f t="shared" si="51"/>
        <v>1202592</v>
      </c>
      <c r="J270" s="2212" t="e">
        <f>IF('Report-M&amp;O1819'!C$18-'Report-SOF1819'!D$55&lt;=0,0,'Report-M&amp;O1819'!C$18-'Report-SOF1819'!D$55)</f>
        <v>#DIV/0!</v>
      </c>
      <c r="K270" s="2452" t="e">
        <f t="shared" si="52"/>
        <v>#DIV/0!</v>
      </c>
      <c r="L270" s="2449">
        <f>IF(A270='Data Entry - SOF'!B$2,'Data Entry - SOF'!G$64,0)</f>
        <v>0</v>
      </c>
      <c r="M270" s="1371">
        <f t="shared" si="53"/>
        <v>1202592</v>
      </c>
      <c r="N270" s="2212" t="e">
        <f>IF('Report-M&amp;O1920'!C$18-'Report-SOF1920'!D$55&lt;=0,0,'Report-M&amp;O1920'!C$18-'Report-SOF1920'!D$55)</f>
        <v>#DIV/0!</v>
      </c>
      <c r="O270" s="2452" t="e">
        <f t="shared" si="54"/>
        <v>#DIV/0!</v>
      </c>
      <c r="P270" s="2449">
        <f>IF(A270='Data Entry - SOF'!B$2,'Data Entry - SOF'!I$64,0)</f>
        <v>0</v>
      </c>
      <c r="Q270" s="1687">
        <f t="shared" si="48"/>
        <v>1202592</v>
      </c>
      <c r="R270" s="2212" t="e">
        <f>IF('Report-M&amp;O2021'!C$18-'Report-SOF2021'!D$55&lt;=0,0,'Report-M&amp;O2021'!C$18-'Report-SOF2021'!D$55)</f>
        <v>#DIV/0!</v>
      </c>
      <c r="S270" s="2452" t="e">
        <f t="shared" si="55"/>
        <v>#DIV/0!</v>
      </c>
      <c r="T270" s="1708">
        <f>IF(A270='Data Entry - SOF'!B$2,'Data Entry - SOF'!K$64,0)</f>
        <v>0</v>
      </c>
      <c r="U270" s="1687">
        <f t="shared" si="47"/>
        <v>1202592</v>
      </c>
      <c r="V270" s="2212" t="e">
        <f>IF('Report-M&amp;O2122'!C$18-'Report-SOF2122'!D$55&lt;=0,0,'Report-M&amp;O2122'!C$18-'Report-SOF2122'!D$55)</f>
        <v>#DIV/0!</v>
      </c>
      <c r="W270" s="2452" t="e">
        <f t="shared" si="56"/>
        <v>#DIV/0!</v>
      </c>
      <c r="X270" s="1708">
        <f>IF(A270='Data Entry - SOF'!B$2,'Data Entry - SOF'!M$64,0)</f>
        <v>0</v>
      </c>
      <c r="Y270" s="1371" t="e">
        <f t="shared" si="57"/>
        <v>#DIV/0!</v>
      </c>
      <c r="Z270" s="2212" t="e">
        <f>IF('Report-M&amp;O2223'!C$18-'Report-SOF2223'!D$55&lt;=0,0,'Report-M&amp;O2223'!C$18-'Report-SOF2223'!D$55)</f>
        <v>#DIV/0!</v>
      </c>
      <c r="AA270" s="1708">
        <f>IF(A270='Data Entry - SOF'!B$2,'Data Entry - SOF'!O$64,0)</f>
        <v>0</v>
      </c>
    </row>
    <row r="271" spans="1:27" ht="15.75">
      <c r="A271" s="1076" t="s">
        <v>274</v>
      </c>
      <c r="B271">
        <v>160320</v>
      </c>
      <c r="C271" s="2452" t="e">
        <f>#REF!+#REF!</f>
        <v>#REF!</v>
      </c>
      <c r="D271" s="2449">
        <f>IF(A271='Data Entry - SOF'!B$2,'Data Entry - SOF'!C$64,0)</f>
        <v>0</v>
      </c>
      <c r="E271" s="2450">
        <f t="shared" si="49"/>
        <v>160320</v>
      </c>
      <c r="F271" s="2212" t="e">
        <f>IF('Report-M&amp;O1718'!C$18-'Report-SOF1718'!D$55&lt;=0,0,'Report-M&amp;O1718'!C$18-'Report-SOF1718'!D$55)</f>
        <v>#DIV/0!</v>
      </c>
      <c r="G271" s="2452" t="e">
        <f t="shared" si="50"/>
        <v>#DIV/0!</v>
      </c>
      <c r="H271" s="2449">
        <f>IF(A271='Data Entry - SOF'!B$2,'Data Entry - SOF'!E$64,0)</f>
        <v>0</v>
      </c>
      <c r="I271" s="1687">
        <f t="shared" si="51"/>
        <v>160320</v>
      </c>
      <c r="J271" s="2212" t="e">
        <f>IF('Report-M&amp;O1819'!C$18-'Report-SOF1819'!D$55&lt;=0,0,'Report-M&amp;O1819'!C$18-'Report-SOF1819'!D$55)</f>
        <v>#DIV/0!</v>
      </c>
      <c r="K271" s="2452" t="e">
        <f t="shared" si="52"/>
        <v>#DIV/0!</v>
      </c>
      <c r="L271" s="2449">
        <f>IF(A271='Data Entry - SOF'!B$2,'Data Entry - SOF'!G$64,0)</f>
        <v>0</v>
      </c>
      <c r="M271" s="1371">
        <f t="shared" si="53"/>
        <v>160320</v>
      </c>
      <c r="N271" s="2212" t="e">
        <f>IF('Report-M&amp;O1920'!C$18-'Report-SOF1920'!D$55&lt;=0,0,'Report-M&amp;O1920'!C$18-'Report-SOF1920'!D$55)</f>
        <v>#DIV/0!</v>
      </c>
      <c r="O271" s="2452" t="e">
        <f t="shared" si="54"/>
        <v>#DIV/0!</v>
      </c>
      <c r="P271" s="2449">
        <f>IF(A271='Data Entry - SOF'!B$2,'Data Entry - SOF'!I$64,0)</f>
        <v>0</v>
      </c>
      <c r="Q271" s="1687">
        <f t="shared" si="48"/>
        <v>160320</v>
      </c>
      <c r="R271" s="2212" t="e">
        <f>IF('Report-M&amp;O2021'!C$18-'Report-SOF2021'!D$55&lt;=0,0,'Report-M&amp;O2021'!C$18-'Report-SOF2021'!D$55)</f>
        <v>#DIV/0!</v>
      </c>
      <c r="S271" s="2452" t="e">
        <f t="shared" si="55"/>
        <v>#DIV/0!</v>
      </c>
      <c r="T271" s="1708">
        <f>IF(A271='Data Entry - SOF'!B$2,'Data Entry - SOF'!K$64,0)</f>
        <v>0</v>
      </c>
      <c r="U271" s="1687">
        <f t="shared" si="47"/>
        <v>160320</v>
      </c>
      <c r="V271" s="2212" t="e">
        <f>IF('Report-M&amp;O2122'!C$18-'Report-SOF2122'!D$55&lt;=0,0,'Report-M&amp;O2122'!C$18-'Report-SOF2122'!D$55)</f>
        <v>#DIV/0!</v>
      </c>
      <c r="W271" s="2452" t="e">
        <f t="shared" si="56"/>
        <v>#DIV/0!</v>
      </c>
      <c r="X271" s="1708">
        <f>IF(A271='Data Entry - SOF'!B$2,'Data Entry - SOF'!M$64,0)</f>
        <v>0</v>
      </c>
      <c r="Y271" s="1371" t="e">
        <f t="shared" si="57"/>
        <v>#DIV/0!</v>
      </c>
      <c r="Z271" s="2212" t="e">
        <f>IF('Report-M&amp;O2223'!C$18-'Report-SOF2223'!D$55&lt;=0,0,'Report-M&amp;O2223'!C$18-'Report-SOF2223'!D$55)</f>
        <v>#DIV/0!</v>
      </c>
      <c r="AA271" s="1708">
        <f>IF(A271='Data Entry - SOF'!B$2,'Data Entry - SOF'!O$64,0)</f>
        <v>0</v>
      </c>
    </row>
    <row r="272" spans="1:27" ht="15.75">
      <c r="A272" s="1076" t="s">
        <v>1585</v>
      </c>
      <c r="B272">
        <v>46077720</v>
      </c>
      <c r="C272" s="2452" t="e">
        <f>#REF!+#REF!</f>
        <v>#REF!</v>
      </c>
      <c r="D272" s="2449">
        <f>IF(A272='Data Entry - SOF'!B$2,'Data Entry - SOF'!C$64,0)</f>
        <v>0</v>
      </c>
      <c r="E272" s="2450">
        <f t="shared" si="49"/>
        <v>46077720</v>
      </c>
      <c r="F272" s="2212" t="e">
        <f>IF('Report-M&amp;O1718'!C$18-'Report-SOF1718'!D$55&lt;=0,0,'Report-M&amp;O1718'!C$18-'Report-SOF1718'!D$55)</f>
        <v>#DIV/0!</v>
      </c>
      <c r="G272" s="2452" t="e">
        <f t="shared" si="50"/>
        <v>#DIV/0!</v>
      </c>
      <c r="H272" s="2449">
        <f>IF(A272='Data Entry - SOF'!B$2,'Data Entry - SOF'!E$64,0)</f>
        <v>0</v>
      </c>
      <c r="I272" s="1687">
        <f t="shared" si="51"/>
        <v>46077720</v>
      </c>
      <c r="J272" s="2212" t="e">
        <f>IF('Report-M&amp;O1819'!C$18-'Report-SOF1819'!D$55&lt;=0,0,'Report-M&amp;O1819'!C$18-'Report-SOF1819'!D$55)</f>
        <v>#DIV/0!</v>
      </c>
      <c r="K272" s="2452" t="e">
        <f t="shared" si="52"/>
        <v>#DIV/0!</v>
      </c>
      <c r="L272" s="2449">
        <f>IF(A272='Data Entry - SOF'!B$2,'Data Entry - SOF'!G$64,0)</f>
        <v>0</v>
      </c>
      <c r="M272" s="1371">
        <f t="shared" si="53"/>
        <v>46077720</v>
      </c>
      <c r="N272" s="2212" t="e">
        <f>IF('Report-M&amp;O1920'!C$18-'Report-SOF1920'!D$55&lt;=0,0,'Report-M&amp;O1920'!C$18-'Report-SOF1920'!D$55)</f>
        <v>#DIV/0!</v>
      </c>
      <c r="O272" s="2452" t="e">
        <f t="shared" si="54"/>
        <v>#DIV/0!</v>
      </c>
      <c r="P272" s="2449">
        <f>IF(A272='Data Entry - SOF'!B$2,'Data Entry - SOF'!I$64,0)</f>
        <v>0</v>
      </c>
      <c r="Q272" s="1687">
        <f t="shared" si="48"/>
        <v>46077720</v>
      </c>
      <c r="R272" s="2212" t="e">
        <f>IF('Report-M&amp;O2021'!C$18-'Report-SOF2021'!D$55&lt;=0,0,'Report-M&amp;O2021'!C$18-'Report-SOF2021'!D$55)</f>
        <v>#DIV/0!</v>
      </c>
      <c r="S272" s="2452" t="e">
        <f t="shared" si="55"/>
        <v>#DIV/0!</v>
      </c>
      <c r="T272" s="1708">
        <f>IF(A272='Data Entry - SOF'!B$2,'Data Entry - SOF'!K$64,0)</f>
        <v>0</v>
      </c>
      <c r="U272" s="1687">
        <f t="shared" ref="U272:U319" si="58">Q272-T272</f>
        <v>46077720</v>
      </c>
      <c r="V272" s="2212" t="e">
        <f>IF('Report-M&amp;O2122'!C$18-'Report-SOF2122'!D$55&lt;=0,0,'Report-M&amp;O2122'!C$18-'Report-SOF2122'!D$55)</f>
        <v>#DIV/0!</v>
      </c>
      <c r="W272" s="2452" t="e">
        <f t="shared" si="56"/>
        <v>#DIV/0!</v>
      </c>
      <c r="X272" s="1708">
        <f>IF(A272='Data Entry - SOF'!B$2,'Data Entry - SOF'!M$64,0)</f>
        <v>0</v>
      </c>
      <c r="Y272" s="1371" t="e">
        <f t="shared" si="57"/>
        <v>#DIV/0!</v>
      </c>
      <c r="Z272" s="2212" t="e">
        <f>IF('Report-M&amp;O2223'!C$18-'Report-SOF2223'!D$55&lt;=0,0,'Report-M&amp;O2223'!C$18-'Report-SOF2223'!D$55)</f>
        <v>#DIV/0!</v>
      </c>
      <c r="AA272" s="1708">
        <f>IF(A272='Data Entry - SOF'!B$2,'Data Entry - SOF'!O$64,0)</f>
        <v>0</v>
      </c>
    </row>
    <row r="273" spans="1:27" ht="15.75">
      <c r="A273" s="1076" t="s">
        <v>1586</v>
      </c>
      <c r="B273">
        <v>3388257</v>
      </c>
      <c r="C273" s="2452" t="e">
        <f>#REF!+#REF!</f>
        <v>#REF!</v>
      </c>
      <c r="D273" s="2449">
        <f>IF(A273='Data Entry - SOF'!B$2,'Data Entry - SOF'!C$64,0)</f>
        <v>0</v>
      </c>
      <c r="E273" s="2450">
        <f t="shared" si="49"/>
        <v>3388257</v>
      </c>
      <c r="F273" s="2212" t="e">
        <f>IF('Report-M&amp;O1718'!C$18-'Report-SOF1718'!D$55&lt;=0,0,'Report-M&amp;O1718'!C$18-'Report-SOF1718'!D$55)</f>
        <v>#DIV/0!</v>
      </c>
      <c r="G273" s="2452" t="e">
        <f t="shared" si="50"/>
        <v>#DIV/0!</v>
      </c>
      <c r="H273" s="2449">
        <f>IF(A273='Data Entry - SOF'!B$2,'Data Entry - SOF'!E$64,0)</f>
        <v>0</v>
      </c>
      <c r="I273" s="1687">
        <f t="shared" si="51"/>
        <v>3388257</v>
      </c>
      <c r="J273" s="2212" t="e">
        <f>IF('Report-M&amp;O1819'!C$18-'Report-SOF1819'!D$55&lt;=0,0,'Report-M&amp;O1819'!C$18-'Report-SOF1819'!D$55)</f>
        <v>#DIV/0!</v>
      </c>
      <c r="K273" s="2452" t="e">
        <f t="shared" si="52"/>
        <v>#DIV/0!</v>
      </c>
      <c r="L273" s="2449">
        <f>IF(A273='Data Entry - SOF'!B$2,'Data Entry - SOF'!G$64,0)</f>
        <v>0</v>
      </c>
      <c r="M273" s="1371">
        <f t="shared" si="53"/>
        <v>3388257</v>
      </c>
      <c r="N273" s="2212" t="e">
        <f>IF('Report-M&amp;O1920'!C$18-'Report-SOF1920'!D$55&lt;=0,0,'Report-M&amp;O1920'!C$18-'Report-SOF1920'!D$55)</f>
        <v>#DIV/0!</v>
      </c>
      <c r="O273" s="2452" t="e">
        <f t="shared" si="54"/>
        <v>#DIV/0!</v>
      </c>
      <c r="P273" s="2449">
        <f>IF(A273='Data Entry - SOF'!B$2,'Data Entry - SOF'!I$64,0)</f>
        <v>0</v>
      </c>
      <c r="Q273" s="1687">
        <f t="shared" si="48"/>
        <v>3388257</v>
      </c>
      <c r="R273" s="2212" t="e">
        <f>IF('Report-M&amp;O2021'!C$18-'Report-SOF2021'!D$55&lt;=0,0,'Report-M&amp;O2021'!C$18-'Report-SOF2021'!D$55)</f>
        <v>#DIV/0!</v>
      </c>
      <c r="S273" s="2452" t="e">
        <f t="shared" si="55"/>
        <v>#DIV/0!</v>
      </c>
      <c r="T273" s="1708">
        <f>IF(A273='Data Entry - SOF'!B$2,'Data Entry - SOF'!K$64,0)</f>
        <v>0</v>
      </c>
      <c r="U273" s="1687">
        <f t="shared" si="58"/>
        <v>3388257</v>
      </c>
      <c r="V273" s="2212" t="e">
        <f>IF('Report-M&amp;O2122'!C$18-'Report-SOF2122'!D$55&lt;=0,0,'Report-M&amp;O2122'!C$18-'Report-SOF2122'!D$55)</f>
        <v>#DIV/0!</v>
      </c>
      <c r="W273" s="2452" t="e">
        <f t="shared" si="56"/>
        <v>#DIV/0!</v>
      </c>
      <c r="X273" s="1708">
        <f>IF(A273='Data Entry - SOF'!B$2,'Data Entry - SOF'!M$64,0)</f>
        <v>0</v>
      </c>
      <c r="Y273" s="1371" t="e">
        <f t="shared" si="57"/>
        <v>#DIV/0!</v>
      </c>
      <c r="Z273" s="2212" t="e">
        <f>IF('Report-M&amp;O2223'!C$18-'Report-SOF2223'!D$55&lt;=0,0,'Report-M&amp;O2223'!C$18-'Report-SOF2223'!D$55)</f>
        <v>#DIV/0!</v>
      </c>
      <c r="AA273" s="1708">
        <f>IF(A273='Data Entry - SOF'!B$2,'Data Entry - SOF'!O$64,0)</f>
        <v>0</v>
      </c>
    </row>
    <row r="274" spans="1:27" ht="15.75">
      <c r="A274" s="1076" t="s">
        <v>818</v>
      </c>
      <c r="B274">
        <v>1425132</v>
      </c>
      <c r="C274" s="2452" t="e">
        <f>#REF!+#REF!</f>
        <v>#REF!</v>
      </c>
      <c r="D274" s="2449">
        <f>IF(A274='Data Entry - SOF'!B$2,'Data Entry - SOF'!C$64,0)</f>
        <v>0</v>
      </c>
      <c r="E274" s="2450">
        <f t="shared" si="49"/>
        <v>1425132</v>
      </c>
      <c r="F274" s="2212" t="e">
        <f>IF('Report-M&amp;O1718'!C$18-'Report-SOF1718'!D$55&lt;=0,0,'Report-M&amp;O1718'!C$18-'Report-SOF1718'!D$55)</f>
        <v>#DIV/0!</v>
      </c>
      <c r="G274" s="2452" t="e">
        <f t="shared" si="50"/>
        <v>#DIV/0!</v>
      </c>
      <c r="H274" s="2449">
        <f>IF(A274='Data Entry - SOF'!B$2,'Data Entry - SOF'!E$64,0)</f>
        <v>0</v>
      </c>
      <c r="I274" s="1687">
        <f t="shared" si="51"/>
        <v>1425132</v>
      </c>
      <c r="J274" s="2212" t="e">
        <f>IF('Report-M&amp;O1819'!C$18-'Report-SOF1819'!D$55&lt;=0,0,'Report-M&amp;O1819'!C$18-'Report-SOF1819'!D$55)</f>
        <v>#DIV/0!</v>
      </c>
      <c r="K274" s="2452" t="e">
        <f t="shared" si="52"/>
        <v>#DIV/0!</v>
      </c>
      <c r="L274" s="2449">
        <f>IF(A274='Data Entry - SOF'!B$2,'Data Entry - SOF'!G$64,0)</f>
        <v>0</v>
      </c>
      <c r="M274" s="1371">
        <f t="shared" si="53"/>
        <v>1425132</v>
      </c>
      <c r="N274" s="2212" t="e">
        <f>IF('Report-M&amp;O1920'!C$18-'Report-SOF1920'!D$55&lt;=0,0,'Report-M&amp;O1920'!C$18-'Report-SOF1920'!D$55)</f>
        <v>#DIV/0!</v>
      </c>
      <c r="O274" s="2452" t="e">
        <f t="shared" si="54"/>
        <v>#DIV/0!</v>
      </c>
      <c r="P274" s="2449">
        <f>IF(A274='Data Entry - SOF'!B$2,'Data Entry - SOF'!I$64,0)</f>
        <v>0</v>
      </c>
      <c r="Q274" s="1687">
        <f t="shared" si="48"/>
        <v>1425132</v>
      </c>
      <c r="R274" s="2212" t="e">
        <f>IF('Report-M&amp;O2021'!C$18-'Report-SOF2021'!D$55&lt;=0,0,'Report-M&amp;O2021'!C$18-'Report-SOF2021'!D$55)</f>
        <v>#DIV/0!</v>
      </c>
      <c r="S274" s="2452" t="e">
        <f t="shared" si="55"/>
        <v>#DIV/0!</v>
      </c>
      <c r="T274" s="1708">
        <f>IF(A274='Data Entry - SOF'!B$2,'Data Entry - SOF'!K$64,0)</f>
        <v>0</v>
      </c>
      <c r="U274" s="1687">
        <f t="shared" si="58"/>
        <v>1425132</v>
      </c>
      <c r="V274" s="2212" t="e">
        <f>IF('Report-M&amp;O2122'!C$18-'Report-SOF2122'!D$55&lt;=0,0,'Report-M&amp;O2122'!C$18-'Report-SOF2122'!D$55)</f>
        <v>#DIV/0!</v>
      </c>
      <c r="W274" s="2452" t="e">
        <f t="shared" si="56"/>
        <v>#DIV/0!</v>
      </c>
      <c r="X274" s="1708">
        <f>IF(A274='Data Entry - SOF'!B$2,'Data Entry - SOF'!M$64,0)</f>
        <v>0</v>
      </c>
      <c r="Y274" s="1371" t="e">
        <f t="shared" si="57"/>
        <v>#DIV/0!</v>
      </c>
      <c r="Z274" s="2212" t="e">
        <f>IF('Report-M&amp;O2223'!C$18-'Report-SOF2223'!D$55&lt;=0,0,'Report-M&amp;O2223'!C$18-'Report-SOF2223'!D$55)</f>
        <v>#DIV/0!</v>
      </c>
      <c r="AA274" s="1708">
        <f>IF(A274='Data Entry - SOF'!B$2,'Data Entry - SOF'!O$64,0)</f>
        <v>0</v>
      </c>
    </row>
    <row r="275" spans="1:27" ht="15.75">
      <c r="A275" s="1076" t="s">
        <v>1581</v>
      </c>
      <c r="B275">
        <v>106301484</v>
      </c>
      <c r="C275" s="2452" t="e">
        <f>#REF!+#REF!</f>
        <v>#REF!</v>
      </c>
      <c r="D275" s="2449">
        <f>IF(A275='Data Entry - SOF'!B$2,'Data Entry - SOF'!C$64,0)</f>
        <v>0</v>
      </c>
      <c r="E275" s="2450">
        <f t="shared" si="49"/>
        <v>106301484</v>
      </c>
      <c r="F275" s="2212" t="e">
        <f>IF('Report-M&amp;O1718'!C$18-'Report-SOF1718'!D$55&lt;=0,0,'Report-M&amp;O1718'!C$18-'Report-SOF1718'!D$55)</f>
        <v>#DIV/0!</v>
      </c>
      <c r="G275" s="2452" t="e">
        <f t="shared" si="50"/>
        <v>#DIV/0!</v>
      </c>
      <c r="H275" s="2449">
        <f>IF(A275='Data Entry - SOF'!B$2,'Data Entry - SOF'!E$64,0)</f>
        <v>0</v>
      </c>
      <c r="I275" s="1687">
        <f t="shared" si="51"/>
        <v>106301484</v>
      </c>
      <c r="J275" s="2212" t="e">
        <f>IF('Report-M&amp;O1819'!C$18-'Report-SOF1819'!D$55&lt;=0,0,'Report-M&amp;O1819'!C$18-'Report-SOF1819'!D$55)</f>
        <v>#DIV/0!</v>
      </c>
      <c r="K275" s="2452" t="e">
        <f t="shared" si="52"/>
        <v>#DIV/0!</v>
      </c>
      <c r="L275" s="2449">
        <f>IF(A275='Data Entry - SOF'!B$2,'Data Entry - SOF'!G$64,0)</f>
        <v>0</v>
      </c>
      <c r="M275" s="1371">
        <f t="shared" si="53"/>
        <v>106301484</v>
      </c>
      <c r="N275" s="2212" t="e">
        <f>IF('Report-M&amp;O1920'!C$18-'Report-SOF1920'!D$55&lt;=0,0,'Report-M&amp;O1920'!C$18-'Report-SOF1920'!D$55)</f>
        <v>#DIV/0!</v>
      </c>
      <c r="O275" s="2452" t="e">
        <f t="shared" si="54"/>
        <v>#DIV/0!</v>
      </c>
      <c r="P275" s="2449">
        <f>IF(A275='Data Entry - SOF'!B$2,'Data Entry - SOF'!I$64,0)</f>
        <v>0</v>
      </c>
      <c r="Q275" s="1687">
        <f t="shared" si="48"/>
        <v>106301484</v>
      </c>
      <c r="R275" s="2212" t="e">
        <f>IF('Report-M&amp;O2021'!C$18-'Report-SOF2021'!D$55&lt;=0,0,'Report-M&amp;O2021'!C$18-'Report-SOF2021'!D$55)</f>
        <v>#DIV/0!</v>
      </c>
      <c r="S275" s="2452" t="e">
        <f t="shared" si="55"/>
        <v>#DIV/0!</v>
      </c>
      <c r="T275" s="1708">
        <f>IF(A275='Data Entry - SOF'!B$2,'Data Entry - SOF'!K$64,0)</f>
        <v>0</v>
      </c>
      <c r="U275" s="1687">
        <f t="shared" si="58"/>
        <v>106301484</v>
      </c>
      <c r="V275" s="2212" t="e">
        <f>IF('Report-M&amp;O2122'!C$18-'Report-SOF2122'!D$55&lt;=0,0,'Report-M&amp;O2122'!C$18-'Report-SOF2122'!D$55)</f>
        <v>#DIV/0!</v>
      </c>
      <c r="W275" s="2452" t="e">
        <f t="shared" si="56"/>
        <v>#DIV/0!</v>
      </c>
      <c r="X275" s="1708">
        <f>IF(A275='Data Entry - SOF'!B$2,'Data Entry - SOF'!M$64,0)</f>
        <v>0</v>
      </c>
      <c r="Y275" s="1371" t="e">
        <f t="shared" si="57"/>
        <v>#DIV/0!</v>
      </c>
      <c r="Z275" s="2212" t="e">
        <f>IF('Report-M&amp;O2223'!C$18-'Report-SOF2223'!D$55&lt;=0,0,'Report-M&amp;O2223'!C$18-'Report-SOF2223'!D$55)</f>
        <v>#DIV/0!</v>
      </c>
      <c r="AA275" s="1708">
        <f>IF(A275='Data Entry - SOF'!B$2,'Data Entry - SOF'!O$64,0)</f>
        <v>0</v>
      </c>
    </row>
    <row r="276" spans="1:27" ht="15.75">
      <c r="A276" s="1076" t="s">
        <v>1049</v>
      </c>
      <c r="B276">
        <v>824279</v>
      </c>
      <c r="C276" s="2452" t="e">
        <f>#REF!+#REF!</f>
        <v>#REF!</v>
      </c>
      <c r="D276" s="2449">
        <f>IF(A276='Data Entry - SOF'!B$2,'Data Entry - SOF'!C$64,0)</f>
        <v>0</v>
      </c>
      <c r="E276" s="2450">
        <f t="shared" si="49"/>
        <v>824279</v>
      </c>
      <c r="F276" s="2212" t="e">
        <f>IF('Report-M&amp;O1718'!C$18-'Report-SOF1718'!D$55&lt;=0,0,'Report-M&amp;O1718'!C$18-'Report-SOF1718'!D$55)</f>
        <v>#DIV/0!</v>
      </c>
      <c r="G276" s="2452" t="e">
        <f t="shared" si="50"/>
        <v>#DIV/0!</v>
      </c>
      <c r="H276" s="2449">
        <f>IF(A276='Data Entry - SOF'!B$2,'Data Entry - SOF'!E$64,0)</f>
        <v>0</v>
      </c>
      <c r="I276" s="1687">
        <f t="shared" si="51"/>
        <v>824279</v>
      </c>
      <c r="J276" s="2212" t="e">
        <f>IF('Report-M&amp;O1819'!C$18-'Report-SOF1819'!D$55&lt;=0,0,'Report-M&amp;O1819'!C$18-'Report-SOF1819'!D$55)</f>
        <v>#DIV/0!</v>
      </c>
      <c r="K276" s="2452" t="e">
        <f t="shared" si="52"/>
        <v>#DIV/0!</v>
      </c>
      <c r="L276" s="2449">
        <f>IF(A276='Data Entry - SOF'!B$2,'Data Entry - SOF'!G$64,0)</f>
        <v>0</v>
      </c>
      <c r="M276" s="1371">
        <f t="shared" si="53"/>
        <v>824279</v>
      </c>
      <c r="N276" s="2212" t="e">
        <f>IF('Report-M&amp;O1920'!C$18-'Report-SOF1920'!D$55&lt;=0,0,'Report-M&amp;O1920'!C$18-'Report-SOF1920'!D$55)</f>
        <v>#DIV/0!</v>
      </c>
      <c r="O276" s="2452" t="e">
        <f t="shared" si="54"/>
        <v>#DIV/0!</v>
      </c>
      <c r="P276" s="2449">
        <f>IF(A276='Data Entry - SOF'!B$2,'Data Entry - SOF'!I$64,0)</f>
        <v>0</v>
      </c>
      <c r="Q276" s="1687">
        <f t="shared" si="48"/>
        <v>824279</v>
      </c>
      <c r="R276" s="2212" t="e">
        <f>IF('Report-M&amp;O2021'!C$18-'Report-SOF2021'!D$55&lt;=0,0,'Report-M&amp;O2021'!C$18-'Report-SOF2021'!D$55)</f>
        <v>#DIV/0!</v>
      </c>
      <c r="S276" s="2452" t="e">
        <f t="shared" si="55"/>
        <v>#DIV/0!</v>
      </c>
      <c r="T276" s="1708">
        <f>IF(A276='Data Entry - SOF'!B$2,'Data Entry - SOF'!K$64,0)</f>
        <v>0</v>
      </c>
      <c r="U276" s="1687">
        <f t="shared" si="58"/>
        <v>824279</v>
      </c>
      <c r="V276" s="2212" t="e">
        <f>IF('Report-M&amp;O2122'!C$18-'Report-SOF2122'!D$55&lt;=0,0,'Report-M&amp;O2122'!C$18-'Report-SOF2122'!D$55)</f>
        <v>#DIV/0!</v>
      </c>
      <c r="W276" s="2452" t="e">
        <f t="shared" si="56"/>
        <v>#DIV/0!</v>
      </c>
      <c r="X276" s="1708">
        <f>IF(A276='Data Entry - SOF'!B$2,'Data Entry - SOF'!M$64,0)</f>
        <v>0</v>
      </c>
      <c r="Y276" s="1371" t="e">
        <f t="shared" si="57"/>
        <v>#DIV/0!</v>
      </c>
      <c r="Z276" s="2212" t="e">
        <f>IF('Report-M&amp;O2223'!C$18-'Report-SOF2223'!D$55&lt;=0,0,'Report-M&amp;O2223'!C$18-'Report-SOF2223'!D$55)</f>
        <v>#DIV/0!</v>
      </c>
      <c r="AA276" s="1708">
        <f>IF(A276='Data Entry - SOF'!B$2,'Data Entry - SOF'!O$64,0)</f>
        <v>0</v>
      </c>
    </row>
    <row r="277" spans="1:27" ht="15.75">
      <c r="A277" s="1076" t="s">
        <v>275</v>
      </c>
      <c r="B277">
        <v>2678960</v>
      </c>
      <c r="C277" s="2452" t="e">
        <f>#REF!+#REF!</f>
        <v>#REF!</v>
      </c>
      <c r="D277" s="2449">
        <f>IF(A277='Data Entry - SOF'!B$2,'Data Entry - SOF'!C$64,0)</f>
        <v>0</v>
      </c>
      <c r="E277" s="2450">
        <f t="shared" si="49"/>
        <v>2678960</v>
      </c>
      <c r="F277" s="2212" t="e">
        <f>IF('Report-M&amp;O1718'!C$18-'Report-SOF1718'!D$55&lt;=0,0,'Report-M&amp;O1718'!C$18-'Report-SOF1718'!D$55)</f>
        <v>#DIV/0!</v>
      </c>
      <c r="G277" s="2452" t="e">
        <f t="shared" si="50"/>
        <v>#DIV/0!</v>
      </c>
      <c r="H277" s="2449">
        <f>IF(A277='Data Entry - SOF'!B$2,'Data Entry - SOF'!E$64,0)</f>
        <v>0</v>
      </c>
      <c r="I277" s="1687">
        <f t="shared" si="51"/>
        <v>2678960</v>
      </c>
      <c r="J277" s="2212" t="e">
        <f>IF('Report-M&amp;O1819'!C$18-'Report-SOF1819'!D$55&lt;=0,0,'Report-M&amp;O1819'!C$18-'Report-SOF1819'!D$55)</f>
        <v>#DIV/0!</v>
      </c>
      <c r="K277" s="2452" t="e">
        <f t="shared" si="52"/>
        <v>#DIV/0!</v>
      </c>
      <c r="L277" s="2449">
        <f>IF(A277='Data Entry - SOF'!B$2,'Data Entry - SOF'!G$64,0)</f>
        <v>0</v>
      </c>
      <c r="M277" s="1371">
        <f t="shared" si="53"/>
        <v>2678960</v>
      </c>
      <c r="N277" s="2212" t="e">
        <f>IF('Report-M&amp;O1920'!C$18-'Report-SOF1920'!D$55&lt;=0,0,'Report-M&amp;O1920'!C$18-'Report-SOF1920'!D$55)</f>
        <v>#DIV/0!</v>
      </c>
      <c r="O277" s="2452" t="e">
        <f t="shared" si="54"/>
        <v>#DIV/0!</v>
      </c>
      <c r="P277" s="2449">
        <f>IF(A277='Data Entry - SOF'!B$2,'Data Entry - SOF'!I$64,0)</f>
        <v>0</v>
      </c>
      <c r="Q277" s="1687">
        <f t="shared" si="48"/>
        <v>2678960</v>
      </c>
      <c r="R277" s="2212" t="e">
        <f>IF('Report-M&amp;O2021'!C$18-'Report-SOF2021'!D$55&lt;=0,0,'Report-M&amp;O2021'!C$18-'Report-SOF2021'!D$55)</f>
        <v>#DIV/0!</v>
      </c>
      <c r="S277" s="2452" t="e">
        <f t="shared" si="55"/>
        <v>#DIV/0!</v>
      </c>
      <c r="T277" s="1708">
        <f>IF(A277='Data Entry - SOF'!B$2,'Data Entry - SOF'!K$64,0)</f>
        <v>0</v>
      </c>
      <c r="U277" s="1687">
        <f t="shared" si="58"/>
        <v>2678960</v>
      </c>
      <c r="V277" s="2212" t="e">
        <f>IF('Report-M&amp;O2122'!C$18-'Report-SOF2122'!D$55&lt;=0,0,'Report-M&amp;O2122'!C$18-'Report-SOF2122'!D$55)</f>
        <v>#DIV/0!</v>
      </c>
      <c r="W277" s="2452" t="e">
        <f t="shared" si="56"/>
        <v>#DIV/0!</v>
      </c>
      <c r="X277" s="1708">
        <f>IF(A277='Data Entry - SOF'!B$2,'Data Entry - SOF'!M$64,0)</f>
        <v>0</v>
      </c>
      <c r="Y277" s="1371" t="e">
        <f t="shared" si="57"/>
        <v>#DIV/0!</v>
      </c>
      <c r="Z277" s="2212" t="e">
        <f>IF('Report-M&amp;O2223'!C$18-'Report-SOF2223'!D$55&lt;=0,0,'Report-M&amp;O2223'!C$18-'Report-SOF2223'!D$55)</f>
        <v>#DIV/0!</v>
      </c>
      <c r="AA277" s="1708">
        <f>IF(A277='Data Entry - SOF'!B$2,'Data Entry - SOF'!O$64,0)</f>
        <v>0</v>
      </c>
    </row>
    <row r="278" spans="1:27" ht="15.75">
      <c r="A278" s="1076" t="s">
        <v>2382</v>
      </c>
      <c r="B278">
        <v>13078253</v>
      </c>
      <c r="C278" s="2452" t="e">
        <f>#REF!+#REF!</f>
        <v>#REF!</v>
      </c>
      <c r="D278" s="2449">
        <f>IF(A278='Data Entry - SOF'!B$2,'Data Entry - SOF'!C$64,0)</f>
        <v>0</v>
      </c>
      <c r="E278" s="2450">
        <f t="shared" si="49"/>
        <v>13078253</v>
      </c>
      <c r="F278" s="2212" t="e">
        <f>IF('Report-M&amp;O1718'!C$18-'Report-SOF1718'!D$55&lt;=0,0,'Report-M&amp;O1718'!C$18-'Report-SOF1718'!D$55)</f>
        <v>#DIV/0!</v>
      </c>
      <c r="G278" s="2452" t="e">
        <f t="shared" si="50"/>
        <v>#DIV/0!</v>
      </c>
      <c r="H278" s="2449">
        <f>IF(A278='Data Entry - SOF'!B$2,'Data Entry - SOF'!E$64,0)</f>
        <v>0</v>
      </c>
      <c r="I278" s="1687">
        <f t="shared" si="51"/>
        <v>13078253</v>
      </c>
      <c r="J278" s="2212" t="e">
        <f>IF('Report-M&amp;O1819'!C$18-'Report-SOF1819'!D$55&lt;=0,0,'Report-M&amp;O1819'!C$18-'Report-SOF1819'!D$55)</f>
        <v>#DIV/0!</v>
      </c>
      <c r="K278" s="2452" t="e">
        <f t="shared" si="52"/>
        <v>#DIV/0!</v>
      </c>
      <c r="L278" s="2449">
        <f>IF(A278='Data Entry - SOF'!B$2,'Data Entry - SOF'!G$64,0)</f>
        <v>0</v>
      </c>
      <c r="M278" s="1371">
        <f t="shared" si="53"/>
        <v>13078253</v>
      </c>
      <c r="N278" s="2212" t="e">
        <f>IF('Report-M&amp;O1920'!C$18-'Report-SOF1920'!D$55&lt;=0,0,'Report-M&amp;O1920'!C$18-'Report-SOF1920'!D$55)</f>
        <v>#DIV/0!</v>
      </c>
      <c r="O278" s="2452" t="e">
        <f t="shared" si="54"/>
        <v>#DIV/0!</v>
      </c>
      <c r="P278" s="2449">
        <f>IF(A278='Data Entry - SOF'!B$2,'Data Entry - SOF'!I$64,0)</f>
        <v>0</v>
      </c>
      <c r="Q278" s="1687">
        <f t="shared" si="48"/>
        <v>13078253</v>
      </c>
      <c r="R278" s="2212" t="e">
        <f>IF('Report-M&amp;O2021'!C$18-'Report-SOF2021'!D$55&lt;=0,0,'Report-M&amp;O2021'!C$18-'Report-SOF2021'!D$55)</f>
        <v>#DIV/0!</v>
      </c>
      <c r="S278" s="2452" t="e">
        <f t="shared" si="55"/>
        <v>#DIV/0!</v>
      </c>
      <c r="T278" s="1708">
        <f>IF(A278='Data Entry - SOF'!B$2,'Data Entry - SOF'!K$64,0)</f>
        <v>0</v>
      </c>
      <c r="U278" s="1687">
        <f t="shared" si="58"/>
        <v>13078253</v>
      </c>
      <c r="V278" s="2212" t="e">
        <f>IF('Report-M&amp;O2122'!C$18-'Report-SOF2122'!D$55&lt;=0,0,'Report-M&amp;O2122'!C$18-'Report-SOF2122'!D$55)</f>
        <v>#DIV/0!</v>
      </c>
      <c r="W278" s="2452" t="e">
        <f t="shared" si="56"/>
        <v>#DIV/0!</v>
      </c>
      <c r="X278" s="1708">
        <f>IF(A278='Data Entry - SOF'!B$2,'Data Entry - SOF'!M$64,0)</f>
        <v>0</v>
      </c>
      <c r="Y278" s="1371" t="e">
        <f t="shared" si="57"/>
        <v>#DIV/0!</v>
      </c>
      <c r="Z278" s="2212" t="e">
        <f>IF('Report-M&amp;O2223'!C$18-'Report-SOF2223'!D$55&lt;=0,0,'Report-M&amp;O2223'!C$18-'Report-SOF2223'!D$55)</f>
        <v>#DIV/0!</v>
      </c>
      <c r="AA278" s="1708">
        <f>IF(A278='Data Entry - SOF'!B$2,'Data Entry - SOF'!O$64,0)</f>
        <v>0</v>
      </c>
    </row>
    <row r="279" spans="1:27" ht="15.75">
      <c r="A279" s="1076" t="s">
        <v>375</v>
      </c>
      <c r="B279">
        <v>44404602</v>
      </c>
      <c r="C279" s="2452" t="e">
        <f>#REF!+#REF!</f>
        <v>#REF!</v>
      </c>
      <c r="D279" s="2449">
        <f>IF(A279='Data Entry - SOF'!B$2,'Data Entry - SOF'!C$64,0)</f>
        <v>0</v>
      </c>
      <c r="E279" s="2450">
        <f t="shared" si="49"/>
        <v>44404602</v>
      </c>
      <c r="F279" s="2212" t="e">
        <f>IF('Report-M&amp;O1718'!C$18-'Report-SOF1718'!D$55&lt;=0,0,'Report-M&amp;O1718'!C$18-'Report-SOF1718'!D$55)</f>
        <v>#DIV/0!</v>
      </c>
      <c r="G279" s="2452" t="e">
        <f t="shared" si="50"/>
        <v>#DIV/0!</v>
      </c>
      <c r="H279" s="2449">
        <f>IF(A279='Data Entry - SOF'!B$2,'Data Entry - SOF'!E$64,0)</f>
        <v>0</v>
      </c>
      <c r="I279" s="1687">
        <f t="shared" si="51"/>
        <v>44404602</v>
      </c>
      <c r="J279" s="2212" t="e">
        <f>IF('Report-M&amp;O1819'!C$18-'Report-SOF1819'!D$55&lt;=0,0,'Report-M&amp;O1819'!C$18-'Report-SOF1819'!D$55)</f>
        <v>#DIV/0!</v>
      </c>
      <c r="K279" s="2452" t="e">
        <f t="shared" si="52"/>
        <v>#DIV/0!</v>
      </c>
      <c r="L279" s="2449">
        <f>IF(A279='Data Entry - SOF'!B$2,'Data Entry - SOF'!G$64,0)</f>
        <v>0</v>
      </c>
      <c r="M279" s="1371">
        <f t="shared" si="53"/>
        <v>44404602</v>
      </c>
      <c r="N279" s="2212" t="e">
        <f>IF('Report-M&amp;O1920'!C$18-'Report-SOF1920'!D$55&lt;=0,0,'Report-M&amp;O1920'!C$18-'Report-SOF1920'!D$55)</f>
        <v>#DIV/0!</v>
      </c>
      <c r="O279" s="2452" t="e">
        <f t="shared" si="54"/>
        <v>#DIV/0!</v>
      </c>
      <c r="P279" s="2449">
        <f>IF(A279='Data Entry - SOF'!B$2,'Data Entry - SOF'!I$64,0)</f>
        <v>0</v>
      </c>
      <c r="Q279" s="1687">
        <f t="shared" si="48"/>
        <v>44404602</v>
      </c>
      <c r="R279" s="2212" t="e">
        <f>IF('Report-M&amp;O2021'!C$18-'Report-SOF2021'!D$55&lt;=0,0,'Report-M&amp;O2021'!C$18-'Report-SOF2021'!D$55)</f>
        <v>#DIV/0!</v>
      </c>
      <c r="S279" s="2452" t="e">
        <f t="shared" si="55"/>
        <v>#DIV/0!</v>
      </c>
      <c r="T279" s="1708">
        <f>IF(A279='Data Entry - SOF'!B$2,'Data Entry - SOF'!K$64,0)</f>
        <v>0</v>
      </c>
      <c r="U279" s="1687">
        <f t="shared" si="58"/>
        <v>44404602</v>
      </c>
      <c r="V279" s="2212" t="e">
        <f>IF('Report-M&amp;O2122'!C$18-'Report-SOF2122'!D$55&lt;=0,0,'Report-M&amp;O2122'!C$18-'Report-SOF2122'!D$55)</f>
        <v>#DIV/0!</v>
      </c>
      <c r="W279" s="2452" t="e">
        <f t="shared" si="56"/>
        <v>#DIV/0!</v>
      </c>
      <c r="X279" s="1708">
        <f>IF(A279='Data Entry - SOF'!B$2,'Data Entry - SOF'!M$64,0)</f>
        <v>0</v>
      </c>
      <c r="Y279" s="1371" t="e">
        <f t="shared" si="57"/>
        <v>#DIV/0!</v>
      </c>
      <c r="Z279" s="2212" t="e">
        <f>IF('Report-M&amp;O2223'!C$18-'Report-SOF2223'!D$55&lt;=0,0,'Report-M&amp;O2223'!C$18-'Report-SOF2223'!D$55)</f>
        <v>#DIV/0!</v>
      </c>
      <c r="AA279" s="1708">
        <f>IF(A279='Data Entry - SOF'!B$2,'Data Entry - SOF'!O$64,0)</f>
        <v>0</v>
      </c>
    </row>
    <row r="280" spans="1:27" ht="15.75">
      <c r="A280" s="1076" t="s">
        <v>819</v>
      </c>
      <c r="B280">
        <v>2349487</v>
      </c>
      <c r="C280" s="2452" t="e">
        <f>#REF!+#REF!</f>
        <v>#REF!</v>
      </c>
      <c r="D280" s="2449">
        <f>IF(A280='Data Entry - SOF'!B$2,'Data Entry - SOF'!C$64,0)</f>
        <v>0</v>
      </c>
      <c r="E280" s="2450">
        <f t="shared" si="49"/>
        <v>2349487</v>
      </c>
      <c r="F280" s="2212" t="e">
        <f>IF('Report-M&amp;O1718'!C$18-'Report-SOF1718'!D$55&lt;=0,0,'Report-M&amp;O1718'!C$18-'Report-SOF1718'!D$55)</f>
        <v>#DIV/0!</v>
      </c>
      <c r="G280" s="2452" t="e">
        <f t="shared" si="50"/>
        <v>#DIV/0!</v>
      </c>
      <c r="H280" s="2449">
        <f>IF(A280='Data Entry - SOF'!B$2,'Data Entry - SOF'!E$64,0)</f>
        <v>0</v>
      </c>
      <c r="I280" s="1687">
        <f t="shared" si="51"/>
        <v>2349487</v>
      </c>
      <c r="J280" s="2212" t="e">
        <f>IF('Report-M&amp;O1819'!C$18-'Report-SOF1819'!D$55&lt;=0,0,'Report-M&amp;O1819'!C$18-'Report-SOF1819'!D$55)</f>
        <v>#DIV/0!</v>
      </c>
      <c r="K280" s="2452" t="e">
        <f t="shared" si="52"/>
        <v>#DIV/0!</v>
      </c>
      <c r="L280" s="2449">
        <f>IF(A280='Data Entry - SOF'!B$2,'Data Entry - SOF'!G$64,0)</f>
        <v>0</v>
      </c>
      <c r="M280" s="1371">
        <f t="shared" si="53"/>
        <v>2349487</v>
      </c>
      <c r="N280" s="2212" t="e">
        <f>IF('Report-M&amp;O1920'!C$18-'Report-SOF1920'!D$55&lt;=0,0,'Report-M&amp;O1920'!C$18-'Report-SOF1920'!D$55)</f>
        <v>#DIV/0!</v>
      </c>
      <c r="O280" s="2452" t="e">
        <f t="shared" si="54"/>
        <v>#DIV/0!</v>
      </c>
      <c r="P280" s="2449">
        <f>IF(A280='Data Entry - SOF'!B$2,'Data Entry - SOF'!I$64,0)</f>
        <v>0</v>
      </c>
      <c r="Q280" s="1687">
        <f t="shared" si="48"/>
        <v>2349487</v>
      </c>
      <c r="R280" s="2212" t="e">
        <f>IF('Report-M&amp;O2021'!C$18-'Report-SOF2021'!D$55&lt;=0,0,'Report-M&amp;O2021'!C$18-'Report-SOF2021'!D$55)</f>
        <v>#DIV/0!</v>
      </c>
      <c r="S280" s="2452" t="e">
        <f t="shared" si="55"/>
        <v>#DIV/0!</v>
      </c>
      <c r="T280" s="1708">
        <f>IF(A280='Data Entry - SOF'!B$2,'Data Entry - SOF'!K$64,0)</f>
        <v>0</v>
      </c>
      <c r="U280" s="1687">
        <f t="shared" si="58"/>
        <v>2349487</v>
      </c>
      <c r="V280" s="2212" t="e">
        <f>IF('Report-M&amp;O2122'!C$18-'Report-SOF2122'!D$55&lt;=0,0,'Report-M&amp;O2122'!C$18-'Report-SOF2122'!D$55)</f>
        <v>#DIV/0!</v>
      </c>
      <c r="W280" s="2452" t="e">
        <f t="shared" si="56"/>
        <v>#DIV/0!</v>
      </c>
      <c r="X280" s="1708">
        <f>IF(A280='Data Entry - SOF'!B$2,'Data Entry - SOF'!M$64,0)</f>
        <v>0</v>
      </c>
      <c r="Y280" s="1371" t="e">
        <f t="shared" si="57"/>
        <v>#DIV/0!</v>
      </c>
      <c r="Z280" s="2212" t="e">
        <f>IF('Report-M&amp;O2223'!C$18-'Report-SOF2223'!D$55&lt;=0,0,'Report-M&amp;O2223'!C$18-'Report-SOF2223'!D$55)</f>
        <v>#DIV/0!</v>
      </c>
      <c r="AA280" s="1708">
        <f>IF(A280='Data Entry - SOF'!B$2,'Data Entry - SOF'!O$64,0)</f>
        <v>0</v>
      </c>
    </row>
    <row r="281" spans="1:27" ht="15.75">
      <c r="A281" s="1076" t="s">
        <v>629</v>
      </c>
      <c r="B281">
        <v>7791645</v>
      </c>
      <c r="C281" s="2452" t="e">
        <f>#REF!+#REF!</f>
        <v>#REF!</v>
      </c>
      <c r="D281" s="2449">
        <f>IF(A281='Data Entry - SOF'!B$2,'Data Entry - SOF'!C$64,0)</f>
        <v>0</v>
      </c>
      <c r="E281" s="2450">
        <f t="shared" si="49"/>
        <v>7791645</v>
      </c>
      <c r="F281" s="2212" t="e">
        <f>IF('Report-M&amp;O1718'!C$18-'Report-SOF1718'!D$55&lt;=0,0,'Report-M&amp;O1718'!C$18-'Report-SOF1718'!D$55)</f>
        <v>#DIV/0!</v>
      </c>
      <c r="G281" s="2452" t="e">
        <f t="shared" si="50"/>
        <v>#DIV/0!</v>
      </c>
      <c r="H281" s="2449">
        <f>IF(A281='Data Entry - SOF'!B$2,'Data Entry - SOF'!E$64,0)</f>
        <v>0</v>
      </c>
      <c r="I281" s="1687">
        <f t="shared" si="51"/>
        <v>7791645</v>
      </c>
      <c r="J281" s="2212" t="e">
        <f>IF('Report-M&amp;O1819'!C$18-'Report-SOF1819'!D$55&lt;=0,0,'Report-M&amp;O1819'!C$18-'Report-SOF1819'!D$55)</f>
        <v>#DIV/0!</v>
      </c>
      <c r="K281" s="2452" t="e">
        <f t="shared" si="52"/>
        <v>#DIV/0!</v>
      </c>
      <c r="L281" s="2449">
        <f>IF(A281='Data Entry - SOF'!B$2,'Data Entry - SOF'!G$64,0)</f>
        <v>0</v>
      </c>
      <c r="M281" s="1371">
        <f t="shared" si="53"/>
        <v>7791645</v>
      </c>
      <c r="N281" s="2212" t="e">
        <f>IF('Report-M&amp;O1920'!C$18-'Report-SOF1920'!D$55&lt;=0,0,'Report-M&amp;O1920'!C$18-'Report-SOF1920'!D$55)</f>
        <v>#DIV/0!</v>
      </c>
      <c r="O281" s="2452" t="e">
        <f t="shared" si="54"/>
        <v>#DIV/0!</v>
      </c>
      <c r="P281" s="2449">
        <f>IF(A281='Data Entry - SOF'!B$2,'Data Entry - SOF'!I$64,0)</f>
        <v>0</v>
      </c>
      <c r="Q281" s="1687">
        <f t="shared" si="48"/>
        <v>7791645</v>
      </c>
      <c r="R281" s="2212" t="e">
        <f>IF('Report-M&amp;O2021'!C$18-'Report-SOF2021'!D$55&lt;=0,0,'Report-M&amp;O2021'!C$18-'Report-SOF2021'!D$55)</f>
        <v>#DIV/0!</v>
      </c>
      <c r="S281" s="2452" t="e">
        <f t="shared" si="55"/>
        <v>#DIV/0!</v>
      </c>
      <c r="T281" s="1708">
        <f>IF(A281='Data Entry - SOF'!B$2,'Data Entry - SOF'!K$64,0)</f>
        <v>0</v>
      </c>
      <c r="U281" s="1687">
        <f t="shared" si="58"/>
        <v>7791645</v>
      </c>
      <c r="V281" s="2212" t="e">
        <f>IF('Report-M&amp;O2122'!C$18-'Report-SOF2122'!D$55&lt;=0,0,'Report-M&amp;O2122'!C$18-'Report-SOF2122'!D$55)</f>
        <v>#DIV/0!</v>
      </c>
      <c r="W281" s="2452" t="e">
        <f t="shared" si="56"/>
        <v>#DIV/0!</v>
      </c>
      <c r="X281" s="1708">
        <f>IF(A281='Data Entry - SOF'!B$2,'Data Entry - SOF'!M$64,0)</f>
        <v>0</v>
      </c>
      <c r="Y281" s="1371" t="e">
        <f t="shared" si="57"/>
        <v>#DIV/0!</v>
      </c>
      <c r="Z281" s="2212" t="e">
        <f>IF('Report-M&amp;O2223'!C$18-'Report-SOF2223'!D$55&lt;=0,0,'Report-M&amp;O2223'!C$18-'Report-SOF2223'!D$55)</f>
        <v>#DIV/0!</v>
      </c>
      <c r="AA281" s="1708">
        <f>IF(A281='Data Entry - SOF'!B$2,'Data Entry - SOF'!O$64,0)</f>
        <v>0</v>
      </c>
    </row>
    <row r="282" spans="1:27" ht="15.75">
      <c r="A282" s="1076" t="s">
        <v>2767</v>
      </c>
      <c r="B282">
        <v>63973442</v>
      </c>
      <c r="C282" s="2452" t="e">
        <f>#REF!+#REF!</f>
        <v>#REF!</v>
      </c>
      <c r="D282" s="2449">
        <f>IF(A282='Data Entry - SOF'!B$2,'Data Entry - SOF'!C$64,0)</f>
        <v>0</v>
      </c>
      <c r="E282" s="2450">
        <f t="shared" si="49"/>
        <v>63973442</v>
      </c>
      <c r="F282" s="2212" t="e">
        <f>IF('Report-M&amp;O1718'!C$18-'Report-SOF1718'!D$55&lt;=0,0,'Report-M&amp;O1718'!C$18-'Report-SOF1718'!D$55)</f>
        <v>#DIV/0!</v>
      </c>
      <c r="G282" s="2452" t="e">
        <f t="shared" si="50"/>
        <v>#DIV/0!</v>
      </c>
      <c r="H282" s="2449">
        <f>IF(A282='Data Entry - SOF'!B$2,'Data Entry - SOF'!E$64,0)</f>
        <v>0</v>
      </c>
      <c r="I282" s="1687">
        <f t="shared" si="51"/>
        <v>63973442</v>
      </c>
      <c r="J282" s="2212" t="e">
        <f>IF('Report-M&amp;O1819'!C$18-'Report-SOF1819'!D$55&lt;=0,0,'Report-M&amp;O1819'!C$18-'Report-SOF1819'!D$55)</f>
        <v>#DIV/0!</v>
      </c>
      <c r="K282" s="2452" t="e">
        <f t="shared" si="52"/>
        <v>#DIV/0!</v>
      </c>
      <c r="L282" s="2449">
        <f>IF(A282='Data Entry - SOF'!B$2,'Data Entry - SOF'!G$64,0)</f>
        <v>0</v>
      </c>
      <c r="M282" s="1371">
        <f t="shared" si="53"/>
        <v>63973442</v>
      </c>
      <c r="N282" s="2212" t="e">
        <f>IF('Report-M&amp;O1920'!C$18-'Report-SOF1920'!D$55&lt;=0,0,'Report-M&amp;O1920'!C$18-'Report-SOF1920'!D$55)</f>
        <v>#DIV/0!</v>
      </c>
      <c r="O282" s="2452" t="e">
        <f t="shared" si="54"/>
        <v>#DIV/0!</v>
      </c>
      <c r="P282" s="2449">
        <f>IF(A282='Data Entry - SOF'!B$2,'Data Entry - SOF'!I$64,0)</f>
        <v>0</v>
      </c>
      <c r="Q282" s="1687">
        <f t="shared" si="48"/>
        <v>63973442</v>
      </c>
      <c r="R282" s="2212" t="e">
        <f>IF('Report-M&amp;O2021'!C$18-'Report-SOF2021'!D$55&lt;=0,0,'Report-M&amp;O2021'!C$18-'Report-SOF2021'!D$55)</f>
        <v>#DIV/0!</v>
      </c>
      <c r="S282" s="2452" t="e">
        <f t="shared" si="55"/>
        <v>#DIV/0!</v>
      </c>
      <c r="T282" s="1708">
        <f>IF(A282='Data Entry - SOF'!B$2,'Data Entry - SOF'!K$64,0)</f>
        <v>0</v>
      </c>
      <c r="U282" s="1687">
        <f t="shared" si="58"/>
        <v>63973442</v>
      </c>
      <c r="V282" s="2212" t="e">
        <f>IF('Report-M&amp;O2122'!C$18-'Report-SOF2122'!D$55&lt;=0,0,'Report-M&amp;O2122'!C$18-'Report-SOF2122'!D$55)</f>
        <v>#DIV/0!</v>
      </c>
      <c r="W282" s="2452" t="e">
        <f t="shared" si="56"/>
        <v>#DIV/0!</v>
      </c>
      <c r="X282" s="1708">
        <f>IF(A282='Data Entry - SOF'!B$2,'Data Entry - SOF'!M$64,0)</f>
        <v>0</v>
      </c>
      <c r="Y282" s="1371" t="e">
        <f t="shared" si="57"/>
        <v>#DIV/0!</v>
      </c>
      <c r="Z282" s="2212" t="e">
        <f>IF('Report-M&amp;O2223'!C$18-'Report-SOF2223'!D$55&lt;=0,0,'Report-M&amp;O2223'!C$18-'Report-SOF2223'!D$55)</f>
        <v>#DIV/0!</v>
      </c>
      <c r="AA282" s="1708">
        <f>IF(A282='Data Entry - SOF'!B$2,'Data Entry - SOF'!O$64,0)</f>
        <v>0</v>
      </c>
    </row>
    <row r="283" spans="1:27" ht="15.75">
      <c r="A283" s="1076" t="s">
        <v>878</v>
      </c>
      <c r="B283">
        <v>1434849</v>
      </c>
      <c r="C283" s="2452" t="e">
        <f>#REF!+#REF!</f>
        <v>#REF!</v>
      </c>
      <c r="D283" s="2449">
        <f>IF(A283='Data Entry - SOF'!B$2,'Data Entry - SOF'!C$64,0)</f>
        <v>0</v>
      </c>
      <c r="E283" s="2450">
        <f t="shared" si="49"/>
        <v>1434849</v>
      </c>
      <c r="F283" s="2212" t="e">
        <f>IF('Report-M&amp;O1718'!C$18-'Report-SOF1718'!D$55&lt;=0,0,'Report-M&amp;O1718'!C$18-'Report-SOF1718'!D$55)</f>
        <v>#DIV/0!</v>
      </c>
      <c r="G283" s="2452" t="e">
        <f t="shared" si="50"/>
        <v>#DIV/0!</v>
      </c>
      <c r="H283" s="2449">
        <f>IF(A283='Data Entry - SOF'!B$2,'Data Entry - SOF'!E$64,0)</f>
        <v>0</v>
      </c>
      <c r="I283" s="1687">
        <f t="shared" si="51"/>
        <v>1434849</v>
      </c>
      <c r="J283" s="2212" t="e">
        <f>IF('Report-M&amp;O1819'!C$18-'Report-SOF1819'!D$55&lt;=0,0,'Report-M&amp;O1819'!C$18-'Report-SOF1819'!D$55)</f>
        <v>#DIV/0!</v>
      </c>
      <c r="K283" s="2452" t="e">
        <f t="shared" si="52"/>
        <v>#DIV/0!</v>
      </c>
      <c r="L283" s="2449">
        <f>IF(A283='Data Entry - SOF'!B$2,'Data Entry - SOF'!G$64,0)</f>
        <v>0</v>
      </c>
      <c r="M283" s="1371">
        <f t="shared" si="53"/>
        <v>1434849</v>
      </c>
      <c r="N283" s="2212" t="e">
        <f>IF('Report-M&amp;O1920'!C$18-'Report-SOF1920'!D$55&lt;=0,0,'Report-M&amp;O1920'!C$18-'Report-SOF1920'!D$55)</f>
        <v>#DIV/0!</v>
      </c>
      <c r="O283" s="2452" t="e">
        <f t="shared" si="54"/>
        <v>#DIV/0!</v>
      </c>
      <c r="P283" s="2449">
        <f>IF(A283='Data Entry - SOF'!B$2,'Data Entry - SOF'!I$64,0)</f>
        <v>0</v>
      </c>
      <c r="Q283" s="1687">
        <f t="shared" si="48"/>
        <v>1434849</v>
      </c>
      <c r="R283" s="2212" t="e">
        <f>IF('Report-M&amp;O2021'!C$18-'Report-SOF2021'!D$55&lt;=0,0,'Report-M&amp;O2021'!C$18-'Report-SOF2021'!D$55)</f>
        <v>#DIV/0!</v>
      </c>
      <c r="S283" s="2452" t="e">
        <f t="shared" si="55"/>
        <v>#DIV/0!</v>
      </c>
      <c r="T283" s="1708">
        <f>IF(A283='Data Entry - SOF'!B$2,'Data Entry - SOF'!K$64,0)</f>
        <v>0</v>
      </c>
      <c r="U283" s="1687">
        <f t="shared" si="58"/>
        <v>1434849</v>
      </c>
      <c r="V283" s="2212" t="e">
        <f>IF('Report-M&amp;O2122'!C$18-'Report-SOF2122'!D$55&lt;=0,0,'Report-M&amp;O2122'!C$18-'Report-SOF2122'!D$55)</f>
        <v>#DIV/0!</v>
      </c>
      <c r="W283" s="2452" t="e">
        <f t="shared" si="56"/>
        <v>#DIV/0!</v>
      </c>
      <c r="X283" s="1708">
        <f>IF(A283='Data Entry - SOF'!B$2,'Data Entry - SOF'!M$64,0)</f>
        <v>0</v>
      </c>
      <c r="Y283" s="1371" t="e">
        <f t="shared" si="57"/>
        <v>#DIV/0!</v>
      </c>
      <c r="Z283" s="2212" t="e">
        <f>IF('Report-M&amp;O2223'!C$18-'Report-SOF2223'!D$55&lt;=0,0,'Report-M&amp;O2223'!C$18-'Report-SOF2223'!D$55)</f>
        <v>#DIV/0!</v>
      </c>
      <c r="AA283" s="1708">
        <f>IF(A283='Data Entry - SOF'!B$2,'Data Entry - SOF'!O$64,0)</f>
        <v>0</v>
      </c>
    </row>
    <row r="284" spans="1:27" ht="15.75">
      <c r="A284" s="1076" t="s">
        <v>212</v>
      </c>
      <c r="B284">
        <v>387745</v>
      </c>
      <c r="C284" s="2452" t="e">
        <f>#REF!+#REF!</f>
        <v>#REF!</v>
      </c>
      <c r="D284" s="2449">
        <f>IF(A284='Data Entry - SOF'!B$2,'Data Entry - SOF'!C$64,0)</f>
        <v>0</v>
      </c>
      <c r="E284" s="2450">
        <f t="shared" si="49"/>
        <v>387745</v>
      </c>
      <c r="F284" s="2212" t="e">
        <f>IF('Report-M&amp;O1718'!C$18-'Report-SOF1718'!D$55&lt;=0,0,'Report-M&amp;O1718'!C$18-'Report-SOF1718'!D$55)</f>
        <v>#DIV/0!</v>
      </c>
      <c r="G284" s="2452" t="e">
        <f t="shared" si="50"/>
        <v>#DIV/0!</v>
      </c>
      <c r="H284" s="2449">
        <f>IF(A284='Data Entry - SOF'!B$2,'Data Entry - SOF'!E$64,0)</f>
        <v>0</v>
      </c>
      <c r="I284" s="1687">
        <f t="shared" si="51"/>
        <v>387745</v>
      </c>
      <c r="J284" s="2212" t="e">
        <f>IF('Report-M&amp;O1819'!C$18-'Report-SOF1819'!D$55&lt;=0,0,'Report-M&amp;O1819'!C$18-'Report-SOF1819'!D$55)</f>
        <v>#DIV/0!</v>
      </c>
      <c r="K284" s="2452" t="e">
        <f t="shared" si="52"/>
        <v>#DIV/0!</v>
      </c>
      <c r="L284" s="2449">
        <f>IF(A284='Data Entry - SOF'!B$2,'Data Entry - SOF'!G$64,0)</f>
        <v>0</v>
      </c>
      <c r="M284" s="1371">
        <f t="shared" si="53"/>
        <v>387745</v>
      </c>
      <c r="N284" s="2212" t="e">
        <f>IF('Report-M&amp;O1920'!C$18-'Report-SOF1920'!D$55&lt;=0,0,'Report-M&amp;O1920'!C$18-'Report-SOF1920'!D$55)</f>
        <v>#DIV/0!</v>
      </c>
      <c r="O284" s="2452" t="e">
        <f t="shared" si="54"/>
        <v>#DIV/0!</v>
      </c>
      <c r="P284" s="2449">
        <f>IF(A284='Data Entry - SOF'!B$2,'Data Entry - SOF'!I$64,0)</f>
        <v>0</v>
      </c>
      <c r="Q284" s="1687">
        <f t="shared" si="48"/>
        <v>387745</v>
      </c>
      <c r="R284" s="2212" t="e">
        <f>IF('Report-M&amp;O2021'!C$18-'Report-SOF2021'!D$55&lt;=0,0,'Report-M&amp;O2021'!C$18-'Report-SOF2021'!D$55)</f>
        <v>#DIV/0!</v>
      </c>
      <c r="S284" s="2452" t="e">
        <f t="shared" si="55"/>
        <v>#DIV/0!</v>
      </c>
      <c r="T284" s="1708">
        <f>IF(A284='Data Entry - SOF'!B$2,'Data Entry - SOF'!K$64,0)</f>
        <v>0</v>
      </c>
      <c r="U284" s="1687">
        <f t="shared" si="58"/>
        <v>387745</v>
      </c>
      <c r="V284" s="2212" t="e">
        <f>IF('Report-M&amp;O2122'!C$18-'Report-SOF2122'!D$55&lt;=0,0,'Report-M&amp;O2122'!C$18-'Report-SOF2122'!D$55)</f>
        <v>#DIV/0!</v>
      </c>
      <c r="W284" s="2452" t="e">
        <f t="shared" si="56"/>
        <v>#DIV/0!</v>
      </c>
      <c r="X284" s="1708">
        <f>IF(A284='Data Entry - SOF'!B$2,'Data Entry - SOF'!M$64,0)</f>
        <v>0</v>
      </c>
      <c r="Y284" s="1371" t="e">
        <f t="shared" si="57"/>
        <v>#DIV/0!</v>
      </c>
      <c r="Z284" s="2212" t="e">
        <f>IF('Report-M&amp;O2223'!C$18-'Report-SOF2223'!D$55&lt;=0,0,'Report-M&amp;O2223'!C$18-'Report-SOF2223'!D$55)</f>
        <v>#DIV/0!</v>
      </c>
      <c r="AA284" s="1708">
        <f>IF(A284='Data Entry - SOF'!B$2,'Data Entry - SOF'!O$64,0)</f>
        <v>0</v>
      </c>
    </row>
    <row r="285" spans="1:27" ht="15.75">
      <c r="A285" s="1076" t="s">
        <v>1353</v>
      </c>
      <c r="B285">
        <v>38304283</v>
      </c>
      <c r="C285" s="2452" t="e">
        <f>#REF!+#REF!</f>
        <v>#REF!</v>
      </c>
      <c r="D285" s="2449">
        <f>IF(A285='Data Entry - SOF'!B$2,'Data Entry - SOF'!C$64,0)</f>
        <v>0</v>
      </c>
      <c r="E285" s="2450">
        <f t="shared" si="49"/>
        <v>38304283</v>
      </c>
      <c r="F285" s="2212" t="e">
        <f>IF('Report-M&amp;O1718'!C$18-'Report-SOF1718'!D$55&lt;=0,0,'Report-M&amp;O1718'!C$18-'Report-SOF1718'!D$55)</f>
        <v>#DIV/0!</v>
      </c>
      <c r="G285" s="2452" t="e">
        <f t="shared" si="50"/>
        <v>#DIV/0!</v>
      </c>
      <c r="H285" s="2449">
        <f>IF(A285='Data Entry - SOF'!B$2,'Data Entry - SOF'!E$64,0)</f>
        <v>0</v>
      </c>
      <c r="I285" s="1687">
        <f t="shared" si="51"/>
        <v>38304283</v>
      </c>
      <c r="J285" s="2212" t="e">
        <f>IF('Report-M&amp;O1819'!C$18-'Report-SOF1819'!D$55&lt;=0,0,'Report-M&amp;O1819'!C$18-'Report-SOF1819'!D$55)</f>
        <v>#DIV/0!</v>
      </c>
      <c r="K285" s="2452" t="e">
        <f t="shared" si="52"/>
        <v>#DIV/0!</v>
      </c>
      <c r="L285" s="2449">
        <f>IF(A285='Data Entry - SOF'!B$2,'Data Entry - SOF'!G$64,0)</f>
        <v>0</v>
      </c>
      <c r="M285" s="1371">
        <f t="shared" si="53"/>
        <v>38304283</v>
      </c>
      <c r="N285" s="2212" t="e">
        <f>IF('Report-M&amp;O1920'!C$18-'Report-SOF1920'!D$55&lt;=0,0,'Report-M&amp;O1920'!C$18-'Report-SOF1920'!D$55)</f>
        <v>#DIV/0!</v>
      </c>
      <c r="O285" s="2452" t="e">
        <f t="shared" si="54"/>
        <v>#DIV/0!</v>
      </c>
      <c r="P285" s="2449">
        <f>IF(A285='Data Entry - SOF'!B$2,'Data Entry - SOF'!I$64,0)</f>
        <v>0</v>
      </c>
      <c r="Q285" s="1687">
        <f t="shared" si="48"/>
        <v>38304283</v>
      </c>
      <c r="R285" s="2212" t="e">
        <f>IF('Report-M&amp;O2021'!C$18-'Report-SOF2021'!D$55&lt;=0,0,'Report-M&amp;O2021'!C$18-'Report-SOF2021'!D$55)</f>
        <v>#DIV/0!</v>
      </c>
      <c r="S285" s="2452" t="e">
        <f t="shared" si="55"/>
        <v>#DIV/0!</v>
      </c>
      <c r="T285" s="1708">
        <f>IF(A285='Data Entry - SOF'!B$2,'Data Entry - SOF'!K$64,0)</f>
        <v>0</v>
      </c>
      <c r="U285" s="1687">
        <f t="shared" si="58"/>
        <v>38304283</v>
      </c>
      <c r="V285" s="2212" t="e">
        <f>IF('Report-M&amp;O2122'!C$18-'Report-SOF2122'!D$55&lt;=0,0,'Report-M&amp;O2122'!C$18-'Report-SOF2122'!D$55)</f>
        <v>#DIV/0!</v>
      </c>
      <c r="W285" s="2452" t="e">
        <f t="shared" si="56"/>
        <v>#DIV/0!</v>
      </c>
      <c r="X285" s="1708">
        <f>IF(A285='Data Entry - SOF'!B$2,'Data Entry - SOF'!M$64,0)</f>
        <v>0</v>
      </c>
      <c r="Y285" s="1371" t="e">
        <f t="shared" si="57"/>
        <v>#DIV/0!</v>
      </c>
      <c r="Z285" s="2212" t="e">
        <f>IF('Report-M&amp;O2223'!C$18-'Report-SOF2223'!D$55&lt;=0,0,'Report-M&amp;O2223'!C$18-'Report-SOF2223'!D$55)</f>
        <v>#DIV/0!</v>
      </c>
      <c r="AA285" s="1708">
        <f>IF(A285='Data Entry - SOF'!B$2,'Data Entry - SOF'!O$64,0)</f>
        <v>0</v>
      </c>
    </row>
    <row r="286" spans="1:27" ht="15.75">
      <c r="A286" s="1076" t="s">
        <v>2401</v>
      </c>
      <c r="B286">
        <v>1860528</v>
      </c>
      <c r="C286" s="2452" t="e">
        <f>#REF!+#REF!</f>
        <v>#REF!</v>
      </c>
      <c r="D286" s="2449">
        <f>IF(A286='Data Entry - SOF'!B$2,'Data Entry - SOF'!C$64,0)</f>
        <v>0</v>
      </c>
      <c r="E286" s="2450">
        <f t="shared" si="49"/>
        <v>1860528</v>
      </c>
      <c r="F286" s="2212" t="e">
        <f>IF('Report-M&amp;O1718'!C$18-'Report-SOF1718'!D$55&lt;=0,0,'Report-M&amp;O1718'!C$18-'Report-SOF1718'!D$55)</f>
        <v>#DIV/0!</v>
      </c>
      <c r="G286" s="2452" t="e">
        <f t="shared" si="50"/>
        <v>#DIV/0!</v>
      </c>
      <c r="H286" s="2449">
        <f>IF(A286='Data Entry - SOF'!B$2,'Data Entry - SOF'!E$64,0)</f>
        <v>0</v>
      </c>
      <c r="I286" s="1687">
        <f t="shared" si="51"/>
        <v>1860528</v>
      </c>
      <c r="J286" s="2212" t="e">
        <f>IF('Report-M&amp;O1819'!C$18-'Report-SOF1819'!D$55&lt;=0,0,'Report-M&amp;O1819'!C$18-'Report-SOF1819'!D$55)</f>
        <v>#DIV/0!</v>
      </c>
      <c r="K286" s="2452" t="e">
        <f t="shared" si="52"/>
        <v>#DIV/0!</v>
      </c>
      <c r="L286" s="2449">
        <f>IF(A286='Data Entry - SOF'!B$2,'Data Entry - SOF'!G$64,0)</f>
        <v>0</v>
      </c>
      <c r="M286" s="1371">
        <f t="shared" si="53"/>
        <v>1860528</v>
      </c>
      <c r="N286" s="2212" t="e">
        <f>IF('Report-M&amp;O1920'!C$18-'Report-SOF1920'!D$55&lt;=0,0,'Report-M&amp;O1920'!C$18-'Report-SOF1920'!D$55)</f>
        <v>#DIV/0!</v>
      </c>
      <c r="O286" s="2452" t="e">
        <f t="shared" si="54"/>
        <v>#DIV/0!</v>
      </c>
      <c r="P286" s="2449">
        <f>IF(A286='Data Entry - SOF'!B$2,'Data Entry - SOF'!I$64,0)</f>
        <v>0</v>
      </c>
      <c r="Q286" s="1687">
        <f t="shared" si="48"/>
        <v>1860528</v>
      </c>
      <c r="R286" s="2212" t="e">
        <f>IF('Report-M&amp;O2021'!C$18-'Report-SOF2021'!D$55&lt;=0,0,'Report-M&amp;O2021'!C$18-'Report-SOF2021'!D$55)</f>
        <v>#DIV/0!</v>
      </c>
      <c r="S286" s="2452" t="e">
        <f t="shared" si="55"/>
        <v>#DIV/0!</v>
      </c>
      <c r="T286" s="1708">
        <f>IF(A286='Data Entry - SOF'!B$2,'Data Entry - SOF'!K$64,0)</f>
        <v>0</v>
      </c>
      <c r="U286" s="1687">
        <f t="shared" si="58"/>
        <v>1860528</v>
      </c>
      <c r="V286" s="2212" t="e">
        <f>IF('Report-M&amp;O2122'!C$18-'Report-SOF2122'!D$55&lt;=0,0,'Report-M&amp;O2122'!C$18-'Report-SOF2122'!D$55)</f>
        <v>#DIV/0!</v>
      </c>
      <c r="W286" s="2452" t="e">
        <f t="shared" si="56"/>
        <v>#DIV/0!</v>
      </c>
      <c r="X286" s="1708">
        <f>IF(A286='Data Entry - SOF'!B$2,'Data Entry - SOF'!M$64,0)</f>
        <v>0</v>
      </c>
      <c r="Y286" s="1371" t="e">
        <f t="shared" si="57"/>
        <v>#DIV/0!</v>
      </c>
      <c r="Z286" s="2212" t="e">
        <f>IF('Report-M&amp;O2223'!C$18-'Report-SOF2223'!D$55&lt;=0,0,'Report-M&amp;O2223'!C$18-'Report-SOF2223'!D$55)</f>
        <v>#DIV/0!</v>
      </c>
      <c r="AA286" s="1708">
        <f>IF(A286='Data Entry - SOF'!B$2,'Data Entry - SOF'!O$64,0)</f>
        <v>0</v>
      </c>
    </row>
    <row r="287" spans="1:27" ht="15.75">
      <c r="A287" s="1076" t="s">
        <v>2157</v>
      </c>
      <c r="B287">
        <v>13671338</v>
      </c>
      <c r="C287" s="2452" t="e">
        <f>#REF!+#REF!</f>
        <v>#REF!</v>
      </c>
      <c r="D287" s="2449">
        <f>IF(A287='Data Entry - SOF'!B$2,'Data Entry - SOF'!C$64,0)</f>
        <v>0</v>
      </c>
      <c r="E287" s="2450">
        <f t="shared" si="49"/>
        <v>13671338</v>
      </c>
      <c r="F287" s="2212" t="e">
        <f>IF('Report-M&amp;O1718'!C$18-'Report-SOF1718'!D$55&lt;=0,0,'Report-M&amp;O1718'!C$18-'Report-SOF1718'!D$55)</f>
        <v>#DIV/0!</v>
      </c>
      <c r="G287" s="2452" t="e">
        <f t="shared" si="50"/>
        <v>#DIV/0!</v>
      </c>
      <c r="H287" s="2449">
        <f>IF(A287='Data Entry - SOF'!B$2,'Data Entry - SOF'!E$64,0)</f>
        <v>0</v>
      </c>
      <c r="I287" s="1687">
        <f t="shared" si="51"/>
        <v>13671338</v>
      </c>
      <c r="J287" s="2212" t="e">
        <f>IF('Report-M&amp;O1819'!C$18-'Report-SOF1819'!D$55&lt;=0,0,'Report-M&amp;O1819'!C$18-'Report-SOF1819'!D$55)</f>
        <v>#DIV/0!</v>
      </c>
      <c r="K287" s="2452" t="e">
        <f t="shared" si="52"/>
        <v>#DIV/0!</v>
      </c>
      <c r="L287" s="2449">
        <f>IF(A287='Data Entry - SOF'!B$2,'Data Entry - SOF'!G$64,0)</f>
        <v>0</v>
      </c>
      <c r="M287" s="1371">
        <f t="shared" si="53"/>
        <v>13671338</v>
      </c>
      <c r="N287" s="2212" t="e">
        <f>IF('Report-M&amp;O1920'!C$18-'Report-SOF1920'!D$55&lt;=0,0,'Report-M&amp;O1920'!C$18-'Report-SOF1920'!D$55)</f>
        <v>#DIV/0!</v>
      </c>
      <c r="O287" s="2452" t="e">
        <f t="shared" si="54"/>
        <v>#DIV/0!</v>
      </c>
      <c r="P287" s="2449">
        <f>IF(A287='Data Entry - SOF'!B$2,'Data Entry - SOF'!I$64,0)</f>
        <v>0</v>
      </c>
      <c r="Q287" s="1687">
        <f t="shared" si="48"/>
        <v>13671338</v>
      </c>
      <c r="R287" s="2212" t="e">
        <f>IF('Report-M&amp;O2021'!C$18-'Report-SOF2021'!D$55&lt;=0,0,'Report-M&amp;O2021'!C$18-'Report-SOF2021'!D$55)</f>
        <v>#DIV/0!</v>
      </c>
      <c r="S287" s="2452" t="e">
        <f t="shared" si="55"/>
        <v>#DIV/0!</v>
      </c>
      <c r="T287" s="1708">
        <f>IF(A287='Data Entry - SOF'!B$2,'Data Entry - SOF'!K$64,0)</f>
        <v>0</v>
      </c>
      <c r="U287" s="1687">
        <f t="shared" si="58"/>
        <v>13671338</v>
      </c>
      <c r="V287" s="2212" t="e">
        <f>IF('Report-M&amp;O2122'!C$18-'Report-SOF2122'!D$55&lt;=0,0,'Report-M&amp;O2122'!C$18-'Report-SOF2122'!D$55)</f>
        <v>#DIV/0!</v>
      </c>
      <c r="W287" s="2452" t="e">
        <f t="shared" si="56"/>
        <v>#DIV/0!</v>
      </c>
      <c r="X287" s="1708">
        <f>IF(A287='Data Entry - SOF'!B$2,'Data Entry - SOF'!M$64,0)</f>
        <v>0</v>
      </c>
      <c r="Y287" s="1371" t="e">
        <f t="shared" si="57"/>
        <v>#DIV/0!</v>
      </c>
      <c r="Z287" s="2212" t="e">
        <f>IF('Report-M&amp;O2223'!C$18-'Report-SOF2223'!D$55&lt;=0,0,'Report-M&amp;O2223'!C$18-'Report-SOF2223'!D$55)</f>
        <v>#DIV/0!</v>
      </c>
      <c r="AA287" s="1708">
        <f>IF(A287='Data Entry - SOF'!B$2,'Data Entry - SOF'!O$64,0)</f>
        <v>0</v>
      </c>
    </row>
    <row r="288" spans="1:27" ht="15.75">
      <c r="A288" s="1076" t="s">
        <v>1710</v>
      </c>
      <c r="B288">
        <v>330760</v>
      </c>
      <c r="C288" s="2452" t="e">
        <f>#REF!+#REF!</f>
        <v>#REF!</v>
      </c>
      <c r="D288" s="2449">
        <f>IF(A288='Data Entry - SOF'!B$2,'Data Entry - SOF'!C$64,0)</f>
        <v>0</v>
      </c>
      <c r="E288" s="2450">
        <f t="shared" si="49"/>
        <v>330760</v>
      </c>
      <c r="F288" s="2212" t="e">
        <f>IF('Report-M&amp;O1718'!C$18-'Report-SOF1718'!D$55&lt;=0,0,'Report-M&amp;O1718'!C$18-'Report-SOF1718'!D$55)</f>
        <v>#DIV/0!</v>
      </c>
      <c r="G288" s="2452" t="e">
        <f t="shared" si="50"/>
        <v>#DIV/0!</v>
      </c>
      <c r="H288" s="2449">
        <f>IF(A288='Data Entry - SOF'!B$2,'Data Entry - SOF'!E$64,0)</f>
        <v>0</v>
      </c>
      <c r="I288" s="1687">
        <f t="shared" si="51"/>
        <v>330760</v>
      </c>
      <c r="J288" s="2212" t="e">
        <f>IF('Report-M&amp;O1819'!C$18-'Report-SOF1819'!D$55&lt;=0,0,'Report-M&amp;O1819'!C$18-'Report-SOF1819'!D$55)</f>
        <v>#DIV/0!</v>
      </c>
      <c r="K288" s="2452" t="e">
        <f t="shared" si="52"/>
        <v>#DIV/0!</v>
      </c>
      <c r="L288" s="2449">
        <f>IF(A288='Data Entry - SOF'!B$2,'Data Entry - SOF'!G$64,0)</f>
        <v>0</v>
      </c>
      <c r="M288" s="1371">
        <f t="shared" si="53"/>
        <v>330760</v>
      </c>
      <c r="N288" s="2212" t="e">
        <f>IF('Report-M&amp;O1920'!C$18-'Report-SOF1920'!D$55&lt;=0,0,'Report-M&amp;O1920'!C$18-'Report-SOF1920'!D$55)</f>
        <v>#DIV/0!</v>
      </c>
      <c r="O288" s="2452" t="e">
        <f t="shared" si="54"/>
        <v>#DIV/0!</v>
      </c>
      <c r="P288" s="2449">
        <f>IF(A288='Data Entry - SOF'!B$2,'Data Entry - SOF'!I$64,0)</f>
        <v>0</v>
      </c>
      <c r="Q288" s="1687">
        <f t="shared" si="48"/>
        <v>330760</v>
      </c>
      <c r="R288" s="2212" t="e">
        <f>IF('Report-M&amp;O2021'!C$18-'Report-SOF2021'!D$55&lt;=0,0,'Report-M&amp;O2021'!C$18-'Report-SOF2021'!D$55)</f>
        <v>#DIV/0!</v>
      </c>
      <c r="S288" s="2452" t="e">
        <f t="shared" si="55"/>
        <v>#DIV/0!</v>
      </c>
      <c r="T288" s="1708">
        <f>IF(A288='Data Entry - SOF'!B$2,'Data Entry - SOF'!K$64,0)</f>
        <v>0</v>
      </c>
      <c r="U288" s="1687">
        <f t="shared" si="58"/>
        <v>330760</v>
      </c>
      <c r="V288" s="2212" t="e">
        <f>IF('Report-M&amp;O2122'!C$18-'Report-SOF2122'!D$55&lt;=0,0,'Report-M&amp;O2122'!C$18-'Report-SOF2122'!D$55)</f>
        <v>#DIV/0!</v>
      </c>
      <c r="W288" s="2452" t="e">
        <f t="shared" si="56"/>
        <v>#DIV/0!</v>
      </c>
      <c r="X288" s="1708">
        <f>IF(A288='Data Entry - SOF'!B$2,'Data Entry - SOF'!M$64,0)</f>
        <v>0</v>
      </c>
      <c r="Y288" s="1371" t="e">
        <f t="shared" si="57"/>
        <v>#DIV/0!</v>
      </c>
      <c r="Z288" s="2212" t="e">
        <f>IF('Report-M&amp;O2223'!C$18-'Report-SOF2223'!D$55&lt;=0,0,'Report-M&amp;O2223'!C$18-'Report-SOF2223'!D$55)</f>
        <v>#DIV/0!</v>
      </c>
      <c r="AA288" s="1708">
        <f>IF(A288='Data Entry - SOF'!B$2,'Data Entry - SOF'!O$64,0)</f>
        <v>0</v>
      </c>
    </row>
    <row r="289" spans="1:27" ht="15.75">
      <c r="A289" s="1076" t="s">
        <v>1315</v>
      </c>
      <c r="B289">
        <v>48378232</v>
      </c>
      <c r="C289" s="2452" t="e">
        <f>#REF!+#REF!</f>
        <v>#REF!</v>
      </c>
      <c r="D289" s="2449">
        <f>IF(A289='Data Entry - SOF'!B$2,'Data Entry - SOF'!C$64,0)</f>
        <v>0</v>
      </c>
      <c r="E289" s="2450">
        <f t="shared" si="49"/>
        <v>48378232</v>
      </c>
      <c r="F289" s="2212" t="e">
        <f>IF('Report-M&amp;O1718'!C$18-'Report-SOF1718'!D$55&lt;=0,0,'Report-M&amp;O1718'!C$18-'Report-SOF1718'!D$55)</f>
        <v>#DIV/0!</v>
      </c>
      <c r="G289" s="2452" t="e">
        <f t="shared" si="50"/>
        <v>#DIV/0!</v>
      </c>
      <c r="H289" s="2449">
        <f>IF(A289='Data Entry - SOF'!B$2,'Data Entry - SOF'!E$64,0)</f>
        <v>0</v>
      </c>
      <c r="I289" s="1687">
        <f t="shared" si="51"/>
        <v>48378232</v>
      </c>
      <c r="J289" s="2212" t="e">
        <f>IF('Report-M&amp;O1819'!C$18-'Report-SOF1819'!D$55&lt;=0,0,'Report-M&amp;O1819'!C$18-'Report-SOF1819'!D$55)</f>
        <v>#DIV/0!</v>
      </c>
      <c r="K289" s="2452" t="e">
        <f t="shared" si="52"/>
        <v>#DIV/0!</v>
      </c>
      <c r="L289" s="2449">
        <f>IF(A289='Data Entry - SOF'!B$2,'Data Entry - SOF'!G$64,0)</f>
        <v>0</v>
      </c>
      <c r="M289" s="1371">
        <f t="shared" si="53"/>
        <v>48378232</v>
      </c>
      <c r="N289" s="2212" t="e">
        <f>IF('Report-M&amp;O1920'!C$18-'Report-SOF1920'!D$55&lt;=0,0,'Report-M&amp;O1920'!C$18-'Report-SOF1920'!D$55)</f>
        <v>#DIV/0!</v>
      </c>
      <c r="O289" s="2452" t="e">
        <f t="shared" si="54"/>
        <v>#DIV/0!</v>
      </c>
      <c r="P289" s="2449">
        <f>IF(A289='Data Entry - SOF'!B$2,'Data Entry - SOF'!I$64,0)</f>
        <v>0</v>
      </c>
      <c r="Q289" s="1687">
        <f t="shared" si="48"/>
        <v>48378232</v>
      </c>
      <c r="R289" s="2212" t="e">
        <f>IF('Report-M&amp;O2021'!C$18-'Report-SOF2021'!D$55&lt;=0,0,'Report-M&amp;O2021'!C$18-'Report-SOF2021'!D$55)</f>
        <v>#DIV/0!</v>
      </c>
      <c r="S289" s="2452" t="e">
        <f t="shared" si="55"/>
        <v>#DIV/0!</v>
      </c>
      <c r="T289" s="1708">
        <f>IF(A289='Data Entry - SOF'!B$2,'Data Entry - SOF'!K$64,0)</f>
        <v>0</v>
      </c>
      <c r="U289" s="1687">
        <f t="shared" si="58"/>
        <v>48378232</v>
      </c>
      <c r="V289" s="2212" t="e">
        <f>IF('Report-M&amp;O2122'!C$18-'Report-SOF2122'!D$55&lt;=0,0,'Report-M&amp;O2122'!C$18-'Report-SOF2122'!D$55)</f>
        <v>#DIV/0!</v>
      </c>
      <c r="W289" s="2452" t="e">
        <f t="shared" si="56"/>
        <v>#DIV/0!</v>
      </c>
      <c r="X289" s="1708">
        <f>IF(A289='Data Entry - SOF'!B$2,'Data Entry - SOF'!M$64,0)</f>
        <v>0</v>
      </c>
      <c r="Y289" s="1371" t="e">
        <f t="shared" si="57"/>
        <v>#DIV/0!</v>
      </c>
      <c r="Z289" s="2212" t="e">
        <f>IF('Report-M&amp;O2223'!C$18-'Report-SOF2223'!D$55&lt;=0,0,'Report-M&amp;O2223'!C$18-'Report-SOF2223'!D$55)</f>
        <v>#DIV/0!</v>
      </c>
      <c r="AA289" s="1708">
        <f>IF(A289='Data Entry - SOF'!B$2,'Data Entry - SOF'!O$64,0)</f>
        <v>0</v>
      </c>
    </row>
    <row r="290" spans="1:27" ht="15.75">
      <c r="A290" s="1076" t="s">
        <v>2768</v>
      </c>
      <c r="B290">
        <v>253007</v>
      </c>
      <c r="C290" s="2452" t="e">
        <f>#REF!+#REF!</f>
        <v>#REF!</v>
      </c>
      <c r="D290" s="2449">
        <f>IF(A290='Data Entry - SOF'!B$2,'Data Entry - SOF'!C$64,0)</f>
        <v>0</v>
      </c>
      <c r="E290" s="2450">
        <f t="shared" si="49"/>
        <v>253007</v>
      </c>
      <c r="F290" s="2212" t="e">
        <f>IF('Report-M&amp;O1718'!C$18-'Report-SOF1718'!D$55&lt;=0,0,'Report-M&amp;O1718'!C$18-'Report-SOF1718'!D$55)</f>
        <v>#DIV/0!</v>
      </c>
      <c r="G290" s="2452" t="e">
        <f t="shared" si="50"/>
        <v>#DIV/0!</v>
      </c>
      <c r="H290" s="2449">
        <f>IF(A290='Data Entry - SOF'!B$2,'Data Entry - SOF'!E$64,0)</f>
        <v>0</v>
      </c>
      <c r="I290" s="1687">
        <f t="shared" si="51"/>
        <v>253007</v>
      </c>
      <c r="J290" s="2212" t="e">
        <f>IF('Report-M&amp;O1819'!C$18-'Report-SOF1819'!D$55&lt;=0,0,'Report-M&amp;O1819'!C$18-'Report-SOF1819'!D$55)</f>
        <v>#DIV/0!</v>
      </c>
      <c r="K290" s="2452" t="e">
        <f t="shared" si="52"/>
        <v>#DIV/0!</v>
      </c>
      <c r="L290" s="2449">
        <f>IF(A290='Data Entry - SOF'!B$2,'Data Entry - SOF'!G$64,0)</f>
        <v>0</v>
      </c>
      <c r="M290" s="1371">
        <f t="shared" si="53"/>
        <v>253007</v>
      </c>
      <c r="N290" s="2212" t="e">
        <f>IF('Report-M&amp;O1920'!C$18-'Report-SOF1920'!D$55&lt;=0,0,'Report-M&amp;O1920'!C$18-'Report-SOF1920'!D$55)</f>
        <v>#DIV/0!</v>
      </c>
      <c r="O290" s="2452" t="e">
        <f t="shared" si="54"/>
        <v>#DIV/0!</v>
      </c>
      <c r="P290" s="2449">
        <f>IF(A290='Data Entry - SOF'!B$2,'Data Entry - SOF'!I$64,0)</f>
        <v>0</v>
      </c>
      <c r="Q290" s="1687">
        <f t="shared" si="48"/>
        <v>253007</v>
      </c>
      <c r="R290" s="2212" t="e">
        <f>IF('Report-M&amp;O2021'!C$18-'Report-SOF2021'!D$55&lt;=0,0,'Report-M&amp;O2021'!C$18-'Report-SOF2021'!D$55)</f>
        <v>#DIV/0!</v>
      </c>
      <c r="S290" s="2452" t="e">
        <f t="shared" si="55"/>
        <v>#DIV/0!</v>
      </c>
      <c r="T290" s="1708">
        <f>IF(A290='Data Entry - SOF'!B$2,'Data Entry - SOF'!K$64,0)</f>
        <v>0</v>
      </c>
      <c r="U290" s="1687">
        <f t="shared" si="58"/>
        <v>253007</v>
      </c>
      <c r="V290" s="2212" t="e">
        <f>IF('Report-M&amp;O2122'!C$18-'Report-SOF2122'!D$55&lt;=0,0,'Report-M&amp;O2122'!C$18-'Report-SOF2122'!D$55)</f>
        <v>#DIV/0!</v>
      </c>
      <c r="W290" s="2452" t="e">
        <f t="shared" si="56"/>
        <v>#DIV/0!</v>
      </c>
      <c r="X290" s="1708">
        <f>IF(A290='Data Entry - SOF'!B$2,'Data Entry - SOF'!M$64,0)</f>
        <v>0</v>
      </c>
      <c r="Y290" s="1371" t="e">
        <f t="shared" si="57"/>
        <v>#DIV/0!</v>
      </c>
      <c r="Z290" s="2212" t="e">
        <f>IF('Report-M&amp;O2223'!C$18-'Report-SOF2223'!D$55&lt;=0,0,'Report-M&amp;O2223'!C$18-'Report-SOF2223'!D$55)</f>
        <v>#DIV/0!</v>
      </c>
      <c r="AA290" s="1708">
        <f>IF(A290='Data Entry - SOF'!B$2,'Data Entry - SOF'!O$64,0)</f>
        <v>0</v>
      </c>
    </row>
    <row r="291" spans="1:27" ht="15.75">
      <c r="A291" s="1076" t="s">
        <v>2769</v>
      </c>
      <c r="B291">
        <v>550985</v>
      </c>
      <c r="C291" s="2452" t="e">
        <f>#REF!+#REF!</f>
        <v>#REF!</v>
      </c>
      <c r="D291" s="2449">
        <f>IF(A291='Data Entry - SOF'!B$2,'Data Entry - SOF'!C$64,0)</f>
        <v>0</v>
      </c>
      <c r="E291" s="2450">
        <f t="shared" si="49"/>
        <v>550985</v>
      </c>
      <c r="F291" s="2212" t="e">
        <f>IF('Report-M&amp;O1718'!C$18-'Report-SOF1718'!D$55&lt;=0,0,'Report-M&amp;O1718'!C$18-'Report-SOF1718'!D$55)</f>
        <v>#DIV/0!</v>
      </c>
      <c r="G291" s="2452" t="e">
        <f t="shared" si="50"/>
        <v>#DIV/0!</v>
      </c>
      <c r="H291" s="2449">
        <f>IF(A291='Data Entry - SOF'!B$2,'Data Entry - SOF'!E$64,0)</f>
        <v>0</v>
      </c>
      <c r="I291" s="1687">
        <f t="shared" si="51"/>
        <v>550985</v>
      </c>
      <c r="J291" s="2212" t="e">
        <f>IF('Report-M&amp;O1819'!C$18-'Report-SOF1819'!D$55&lt;=0,0,'Report-M&amp;O1819'!C$18-'Report-SOF1819'!D$55)</f>
        <v>#DIV/0!</v>
      </c>
      <c r="K291" s="2452" t="e">
        <f t="shared" si="52"/>
        <v>#DIV/0!</v>
      </c>
      <c r="L291" s="2449">
        <f>IF(A291='Data Entry - SOF'!B$2,'Data Entry - SOF'!G$64,0)</f>
        <v>0</v>
      </c>
      <c r="M291" s="1371">
        <f t="shared" si="53"/>
        <v>550985</v>
      </c>
      <c r="N291" s="2212" t="e">
        <f>IF('Report-M&amp;O1920'!C$18-'Report-SOF1920'!D$55&lt;=0,0,'Report-M&amp;O1920'!C$18-'Report-SOF1920'!D$55)</f>
        <v>#DIV/0!</v>
      </c>
      <c r="O291" s="2452" t="e">
        <f t="shared" si="54"/>
        <v>#DIV/0!</v>
      </c>
      <c r="P291" s="2449">
        <f>IF(A291='Data Entry - SOF'!B$2,'Data Entry - SOF'!I$64,0)</f>
        <v>0</v>
      </c>
      <c r="Q291" s="1687">
        <f t="shared" si="48"/>
        <v>550985</v>
      </c>
      <c r="R291" s="2212" t="e">
        <f>IF('Report-M&amp;O2021'!C$18-'Report-SOF2021'!D$55&lt;=0,0,'Report-M&amp;O2021'!C$18-'Report-SOF2021'!D$55)</f>
        <v>#DIV/0!</v>
      </c>
      <c r="S291" s="2452" t="e">
        <f t="shared" si="55"/>
        <v>#DIV/0!</v>
      </c>
      <c r="T291" s="1708">
        <f>IF(A291='Data Entry - SOF'!B$2,'Data Entry - SOF'!K$64,0)</f>
        <v>0</v>
      </c>
      <c r="U291" s="1687">
        <f t="shared" si="58"/>
        <v>550985</v>
      </c>
      <c r="V291" s="2212" t="e">
        <f>IF('Report-M&amp;O2122'!C$18-'Report-SOF2122'!D$55&lt;=0,0,'Report-M&amp;O2122'!C$18-'Report-SOF2122'!D$55)</f>
        <v>#DIV/0!</v>
      </c>
      <c r="W291" s="2452" t="e">
        <f t="shared" si="56"/>
        <v>#DIV/0!</v>
      </c>
      <c r="X291" s="1708">
        <f>IF(A291='Data Entry - SOF'!B$2,'Data Entry - SOF'!M$64,0)</f>
        <v>0</v>
      </c>
      <c r="Y291" s="1371" t="e">
        <f t="shared" si="57"/>
        <v>#DIV/0!</v>
      </c>
      <c r="Z291" s="2212" t="e">
        <f>IF('Report-M&amp;O2223'!C$18-'Report-SOF2223'!D$55&lt;=0,0,'Report-M&amp;O2223'!C$18-'Report-SOF2223'!D$55)</f>
        <v>#DIV/0!</v>
      </c>
      <c r="AA291" s="1708">
        <f>IF(A291='Data Entry - SOF'!B$2,'Data Entry - SOF'!O$64,0)</f>
        <v>0</v>
      </c>
    </row>
    <row r="292" spans="1:27" ht="15.75">
      <c r="A292" s="1076" t="s">
        <v>1704</v>
      </c>
      <c r="B292">
        <v>7984263</v>
      </c>
      <c r="C292" s="2452" t="e">
        <f>#REF!+#REF!</f>
        <v>#REF!</v>
      </c>
      <c r="D292" s="2449">
        <f>IF(A292='Data Entry - SOF'!B$2,'Data Entry - SOF'!C$64,0)</f>
        <v>0</v>
      </c>
      <c r="E292" s="2450">
        <f t="shared" si="49"/>
        <v>7984263</v>
      </c>
      <c r="F292" s="2212" t="e">
        <f>IF('Report-M&amp;O1718'!C$18-'Report-SOF1718'!D$55&lt;=0,0,'Report-M&amp;O1718'!C$18-'Report-SOF1718'!D$55)</f>
        <v>#DIV/0!</v>
      </c>
      <c r="G292" s="2452" t="e">
        <f t="shared" si="50"/>
        <v>#DIV/0!</v>
      </c>
      <c r="H292" s="2449">
        <f>IF(A292='Data Entry - SOF'!B$2,'Data Entry - SOF'!E$64,0)</f>
        <v>0</v>
      </c>
      <c r="I292" s="1687">
        <f t="shared" si="51"/>
        <v>7984263</v>
      </c>
      <c r="J292" s="2212" t="e">
        <f>IF('Report-M&amp;O1819'!C$18-'Report-SOF1819'!D$55&lt;=0,0,'Report-M&amp;O1819'!C$18-'Report-SOF1819'!D$55)</f>
        <v>#DIV/0!</v>
      </c>
      <c r="K292" s="2452" t="e">
        <f t="shared" si="52"/>
        <v>#DIV/0!</v>
      </c>
      <c r="L292" s="2449">
        <f>IF(A292='Data Entry - SOF'!B$2,'Data Entry - SOF'!G$64,0)</f>
        <v>0</v>
      </c>
      <c r="M292" s="1371">
        <f t="shared" si="53"/>
        <v>7984263</v>
      </c>
      <c r="N292" s="2212" t="e">
        <f>IF('Report-M&amp;O1920'!C$18-'Report-SOF1920'!D$55&lt;=0,0,'Report-M&amp;O1920'!C$18-'Report-SOF1920'!D$55)</f>
        <v>#DIV/0!</v>
      </c>
      <c r="O292" s="2452" t="e">
        <f t="shared" si="54"/>
        <v>#DIV/0!</v>
      </c>
      <c r="P292" s="2449">
        <f>IF(A292='Data Entry - SOF'!B$2,'Data Entry - SOF'!I$64,0)</f>
        <v>0</v>
      </c>
      <c r="Q292" s="1687">
        <f t="shared" si="48"/>
        <v>7984263</v>
      </c>
      <c r="R292" s="2212" t="e">
        <f>IF('Report-M&amp;O2021'!C$18-'Report-SOF2021'!D$55&lt;=0,0,'Report-M&amp;O2021'!C$18-'Report-SOF2021'!D$55)</f>
        <v>#DIV/0!</v>
      </c>
      <c r="S292" s="2452" t="e">
        <f t="shared" si="55"/>
        <v>#DIV/0!</v>
      </c>
      <c r="T292" s="1708">
        <f>IF(A292='Data Entry - SOF'!B$2,'Data Entry - SOF'!K$64,0)</f>
        <v>0</v>
      </c>
      <c r="U292" s="1687">
        <f t="shared" si="58"/>
        <v>7984263</v>
      </c>
      <c r="V292" s="2212" t="e">
        <f>IF('Report-M&amp;O2122'!C$18-'Report-SOF2122'!D$55&lt;=0,0,'Report-M&amp;O2122'!C$18-'Report-SOF2122'!D$55)</f>
        <v>#DIV/0!</v>
      </c>
      <c r="W292" s="2452" t="e">
        <f t="shared" si="56"/>
        <v>#DIV/0!</v>
      </c>
      <c r="X292" s="1708">
        <f>IF(A292='Data Entry - SOF'!B$2,'Data Entry - SOF'!M$64,0)</f>
        <v>0</v>
      </c>
      <c r="Y292" s="1371" t="e">
        <f t="shared" si="57"/>
        <v>#DIV/0!</v>
      </c>
      <c r="Z292" s="2212" t="e">
        <f>IF('Report-M&amp;O2223'!C$18-'Report-SOF2223'!D$55&lt;=0,0,'Report-M&amp;O2223'!C$18-'Report-SOF2223'!D$55)</f>
        <v>#DIV/0!</v>
      </c>
      <c r="AA292" s="1708">
        <f>IF(A292='Data Entry - SOF'!B$2,'Data Entry - SOF'!O$64,0)</f>
        <v>0</v>
      </c>
    </row>
    <row r="293" spans="1:27" ht="15.75">
      <c r="A293" s="1076" t="s">
        <v>2091</v>
      </c>
      <c r="B293">
        <v>864979</v>
      </c>
      <c r="C293" s="2452" t="e">
        <f>#REF!+#REF!</f>
        <v>#REF!</v>
      </c>
      <c r="D293" s="2449">
        <f>IF(A293='Data Entry - SOF'!B$2,'Data Entry - SOF'!C$64,0)</f>
        <v>0</v>
      </c>
      <c r="E293" s="2450">
        <f t="shared" si="49"/>
        <v>864979</v>
      </c>
      <c r="F293" s="2212" t="e">
        <f>IF('Report-M&amp;O1718'!C$18-'Report-SOF1718'!D$55&lt;=0,0,'Report-M&amp;O1718'!C$18-'Report-SOF1718'!D$55)</f>
        <v>#DIV/0!</v>
      </c>
      <c r="G293" s="2452" t="e">
        <f t="shared" si="50"/>
        <v>#DIV/0!</v>
      </c>
      <c r="H293" s="2449">
        <f>IF(A293='Data Entry - SOF'!B$2,'Data Entry - SOF'!E$64,0)</f>
        <v>0</v>
      </c>
      <c r="I293" s="1687">
        <f t="shared" si="51"/>
        <v>864979</v>
      </c>
      <c r="J293" s="2212" t="e">
        <f>IF('Report-M&amp;O1819'!C$18-'Report-SOF1819'!D$55&lt;=0,0,'Report-M&amp;O1819'!C$18-'Report-SOF1819'!D$55)</f>
        <v>#DIV/0!</v>
      </c>
      <c r="K293" s="2452" t="e">
        <f t="shared" si="52"/>
        <v>#DIV/0!</v>
      </c>
      <c r="L293" s="2449">
        <f>IF(A293='Data Entry - SOF'!B$2,'Data Entry - SOF'!G$64,0)</f>
        <v>0</v>
      </c>
      <c r="M293" s="1371">
        <f t="shared" si="53"/>
        <v>864979</v>
      </c>
      <c r="N293" s="2212" t="e">
        <f>IF('Report-M&amp;O1920'!C$18-'Report-SOF1920'!D$55&lt;=0,0,'Report-M&amp;O1920'!C$18-'Report-SOF1920'!D$55)</f>
        <v>#DIV/0!</v>
      </c>
      <c r="O293" s="2452" t="e">
        <f t="shared" si="54"/>
        <v>#DIV/0!</v>
      </c>
      <c r="P293" s="2449">
        <f>IF(A293='Data Entry - SOF'!B$2,'Data Entry - SOF'!I$64,0)</f>
        <v>0</v>
      </c>
      <c r="Q293" s="1687">
        <f t="shared" si="48"/>
        <v>864979</v>
      </c>
      <c r="R293" s="2212" t="e">
        <f>IF('Report-M&amp;O2021'!C$18-'Report-SOF2021'!D$55&lt;=0,0,'Report-M&amp;O2021'!C$18-'Report-SOF2021'!D$55)</f>
        <v>#DIV/0!</v>
      </c>
      <c r="S293" s="2452" t="e">
        <f t="shared" si="55"/>
        <v>#DIV/0!</v>
      </c>
      <c r="T293" s="1708">
        <f>IF(A293='Data Entry - SOF'!B$2,'Data Entry - SOF'!K$64,0)</f>
        <v>0</v>
      </c>
      <c r="U293" s="1687">
        <f t="shared" si="58"/>
        <v>864979</v>
      </c>
      <c r="V293" s="2212" t="e">
        <f>IF('Report-M&amp;O2122'!C$18-'Report-SOF2122'!D$55&lt;=0,0,'Report-M&amp;O2122'!C$18-'Report-SOF2122'!D$55)</f>
        <v>#DIV/0!</v>
      </c>
      <c r="W293" s="2452" t="e">
        <f t="shared" si="56"/>
        <v>#DIV/0!</v>
      </c>
      <c r="X293" s="1708">
        <f>IF(A293='Data Entry - SOF'!B$2,'Data Entry - SOF'!M$64,0)</f>
        <v>0</v>
      </c>
      <c r="Y293" s="1371" t="e">
        <f t="shared" si="57"/>
        <v>#DIV/0!</v>
      </c>
      <c r="Z293" s="2212" t="e">
        <f>IF('Report-M&amp;O2223'!C$18-'Report-SOF2223'!D$55&lt;=0,0,'Report-M&amp;O2223'!C$18-'Report-SOF2223'!D$55)</f>
        <v>#DIV/0!</v>
      </c>
      <c r="AA293" s="1708">
        <f>IF(A293='Data Entry - SOF'!B$2,'Data Entry - SOF'!O$64,0)</f>
        <v>0</v>
      </c>
    </row>
    <row r="294" spans="1:27" ht="15.75">
      <c r="A294" s="1076" t="s">
        <v>2092</v>
      </c>
      <c r="B294">
        <v>901377</v>
      </c>
      <c r="C294" s="2452" t="e">
        <f>#REF!+#REF!</f>
        <v>#REF!</v>
      </c>
      <c r="D294" s="2449">
        <f>IF(A294='Data Entry - SOF'!B$2,'Data Entry - SOF'!C$64,0)</f>
        <v>0</v>
      </c>
      <c r="E294" s="2450">
        <f t="shared" si="49"/>
        <v>901377</v>
      </c>
      <c r="F294" s="2212" t="e">
        <f>IF('Report-M&amp;O1718'!C$18-'Report-SOF1718'!D$55&lt;=0,0,'Report-M&amp;O1718'!C$18-'Report-SOF1718'!D$55)</f>
        <v>#DIV/0!</v>
      </c>
      <c r="G294" s="2452" t="e">
        <f t="shared" si="50"/>
        <v>#DIV/0!</v>
      </c>
      <c r="H294" s="2449">
        <f>IF(A294='Data Entry - SOF'!B$2,'Data Entry - SOF'!E$64,0)</f>
        <v>0</v>
      </c>
      <c r="I294" s="1687">
        <f t="shared" si="51"/>
        <v>901377</v>
      </c>
      <c r="J294" s="2212" t="e">
        <f>IF('Report-M&amp;O1819'!C$18-'Report-SOF1819'!D$55&lt;=0,0,'Report-M&amp;O1819'!C$18-'Report-SOF1819'!D$55)</f>
        <v>#DIV/0!</v>
      </c>
      <c r="K294" s="2452" t="e">
        <f t="shared" si="52"/>
        <v>#DIV/0!</v>
      </c>
      <c r="L294" s="2449">
        <f>IF(A294='Data Entry - SOF'!B$2,'Data Entry - SOF'!G$64,0)</f>
        <v>0</v>
      </c>
      <c r="M294" s="1371">
        <f t="shared" si="53"/>
        <v>901377</v>
      </c>
      <c r="N294" s="2212" t="e">
        <f>IF('Report-M&amp;O1920'!C$18-'Report-SOF1920'!D$55&lt;=0,0,'Report-M&amp;O1920'!C$18-'Report-SOF1920'!D$55)</f>
        <v>#DIV/0!</v>
      </c>
      <c r="O294" s="2452" t="e">
        <f t="shared" si="54"/>
        <v>#DIV/0!</v>
      </c>
      <c r="P294" s="2449">
        <f>IF(A294='Data Entry - SOF'!B$2,'Data Entry - SOF'!I$64,0)</f>
        <v>0</v>
      </c>
      <c r="Q294" s="1687">
        <f t="shared" si="48"/>
        <v>901377</v>
      </c>
      <c r="R294" s="2212" t="e">
        <f>IF('Report-M&amp;O2021'!C$18-'Report-SOF2021'!D$55&lt;=0,0,'Report-M&amp;O2021'!C$18-'Report-SOF2021'!D$55)</f>
        <v>#DIV/0!</v>
      </c>
      <c r="S294" s="2452" t="e">
        <f t="shared" si="55"/>
        <v>#DIV/0!</v>
      </c>
      <c r="T294" s="1708">
        <f>IF(A294='Data Entry - SOF'!B$2,'Data Entry - SOF'!K$64,0)</f>
        <v>0</v>
      </c>
      <c r="U294" s="1687">
        <f t="shared" si="58"/>
        <v>901377</v>
      </c>
      <c r="V294" s="2212" t="e">
        <f>IF('Report-M&amp;O2122'!C$18-'Report-SOF2122'!D$55&lt;=0,0,'Report-M&amp;O2122'!C$18-'Report-SOF2122'!D$55)</f>
        <v>#DIV/0!</v>
      </c>
      <c r="W294" s="2452" t="e">
        <f t="shared" si="56"/>
        <v>#DIV/0!</v>
      </c>
      <c r="X294" s="1708">
        <f>IF(A294='Data Entry - SOF'!B$2,'Data Entry - SOF'!M$64,0)</f>
        <v>0</v>
      </c>
      <c r="Y294" s="1371" t="e">
        <f t="shared" si="57"/>
        <v>#DIV/0!</v>
      </c>
      <c r="Z294" s="2212" t="e">
        <f>IF('Report-M&amp;O2223'!C$18-'Report-SOF2223'!D$55&lt;=0,0,'Report-M&amp;O2223'!C$18-'Report-SOF2223'!D$55)</f>
        <v>#DIV/0!</v>
      </c>
      <c r="AA294" s="1708">
        <f>IF(A294='Data Entry - SOF'!B$2,'Data Entry - SOF'!O$64,0)</f>
        <v>0</v>
      </c>
    </row>
    <row r="295" spans="1:27" ht="15.75">
      <c r="A295" s="1076" t="s">
        <v>1400</v>
      </c>
      <c r="B295">
        <v>787195</v>
      </c>
      <c r="C295" s="2452" t="e">
        <f>#REF!+#REF!</f>
        <v>#REF!</v>
      </c>
      <c r="D295" s="2449">
        <f>IF(A295='Data Entry - SOF'!B$2,'Data Entry - SOF'!C$64,0)</f>
        <v>0</v>
      </c>
      <c r="E295" s="2450">
        <f t="shared" si="49"/>
        <v>787195</v>
      </c>
      <c r="F295" s="2212" t="e">
        <f>IF('Report-M&amp;O1718'!C$18-'Report-SOF1718'!D$55&lt;=0,0,'Report-M&amp;O1718'!C$18-'Report-SOF1718'!D$55)</f>
        <v>#DIV/0!</v>
      </c>
      <c r="G295" s="2452" t="e">
        <f t="shared" si="50"/>
        <v>#DIV/0!</v>
      </c>
      <c r="H295" s="2449">
        <f>IF(A295='Data Entry - SOF'!B$2,'Data Entry - SOF'!E$64,0)</f>
        <v>0</v>
      </c>
      <c r="I295" s="1687">
        <f t="shared" si="51"/>
        <v>787195</v>
      </c>
      <c r="J295" s="2212" t="e">
        <f>IF('Report-M&amp;O1819'!C$18-'Report-SOF1819'!D$55&lt;=0,0,'Report-M&amp;O1819'!C$18-'Report-SOF1819'!D$55)</f>
        <v>#DIV/0!</v>
      </c>
      <c r="K295" s="2452" t="e">
        <f t="shared" si="52"/>
        <v>#DIV/0!</v>
      </c>
      <c r="L295" s="2449">
        <f>IF(A295='Data Entry - SOF'!B$2,'Data Entry - SOF'!G$64,0)</f>
        <v>0</v>
      </c>
      <c r="M295" s="1371">
        <f t="shared" si="53"/>
        <v>787195</v>
      </c>
      <c r="N295" s="2212" t="e">
        <f>IF('Report-M&amp;O1920'!C$18-'Report-SOF1920'!D$55&lt;=0,0,'Report-M&amp;O1920'!C$18-'Report-SOF1920'!D$55)</f>
        <v>#DIV/0!</v>
      </c>
      <c r="O295" s="2452" t="e">
        <f t="shared" si="54"/>
        <v>#DIV/0!</v>
      </c>
      <c r="P295" s="2449">
        <f>IF(A295='Data Entry - SOF'!B$2,'Data Entry - SOF'!I$64,0)</f>
        <v>0</v>
      </c>
      <c r="Q295" s="1687">
        <f t="shared" si="48"/>
        <v>787195</v>
      </c>
      <c r="R295" s="2212" t="e">
        <f>IF('Report-M&amp;O2021'!C$18-'Report-SOF2021'!D$55&lt;=0,0,'Report-M&amp;O2021'!C$18-'Report-SOF2021'!D$55)</f>
        <v>#DIV/0!</v>
      </c>
      <c r="S295" s="2452" t="e">
        <f t="shared" si="55"/>
        <v>#DIV/0!</v>
      </c>
      <c r="T295" s="1708">
        <f>IF(A295='Data Entry - SOF'!B$2,'Data Entry - SOF'!K$64,0)</f>
        <v>0</v>
      </c>
      <c r="U295" s="1687">
        <f t="shared" si="58"/>
        <v>787195</v>
      </c>
      <c r="V295" s="2212" t="e">
        <f>IF('Report-M&amp;O2122'!C$18-'Report-SOF2122'!D$55&lt;=0,0,'Report-M&amp;O2122'!C$18-'Report-SOF2122'!D$55)</f>
        <v>#DIV/0!</v>
      </c>
      <c r="W295" s="2452" t="e">
        <f t="shared" si="56"/>
        <v>#DIV/0!</v>
      </c>
      <c r="X295" s="1708">
        <f>IF(A295='Data Entry - SOF'!B$2,'Data Entry - SOF'!M$64,0)</f>
        <v>0</v>
      </c>
      <c r="Y295" s="1371" t="e">
        <f t="shared" si="57"/>
        <v>#DIV/0!</v>
      </c>
      <c r="Z295" s="2212" t="e">
        <f>IF('Report-M&amp;O2223'!C$18-'Report-SOF2223'!D$55&lt;=0,0,'Report-M&amp;O2223'!C$18-'Report-SOF2223'!D$55)</f>
        <v>#DIV/0!</v>
      </c>
      <c r="AA295" s="1708">
        <f>IF(A295='Data Entry - SOF'!B$2,'Data Entry - SOF'!O$64,0)</f>
        <v>0</v>
      </c>
    </row>
    <row r="296" spans="1:27" ht="15.75">
      <c r="A296" s="1076" t="s">
        <v>2093</v>
      </c>
      <c r="B296">
        <v>604221</v>
      </c>
      <c r="C296" s="2452" t="e">
        <f>#REF!+#REF!</f>
        <v>#REF!</v>
      </c>
      <c r="D296" s="2449">
        <f>IF(A296='Data Entry - SOF'!B$2,'Data Entry - SOF'!C$64,0)</f>
        <v>0</v>
      </c>
      <c r="E296" s="2450">
        <f t="shared" si="49"/>
        <v>604221</v>
      </c>
      <c r="F296" s="2212" t="e">
        <f>IF('Report-M&amp;O1718'!C$18-'Report-SOF1718'!D$55&lt;=0,0,'Report-M&amp;O1718'!C$18-'Report-SOF1718'!D$55)</f>
        <v>#DIV/0!</v>
      </c>
      <c r="G296" s="2452" t="e">
        <f t="shared" si="50"/>
        <v>#DIV/0!</v>
      </c>
      <c r="H296" s="2449">
        <f>IF(A296='Data Entry - SOF'!B$2,'Data Entry - SOF'!E$64,0)</f>
        <v>0</v>
      </c>
      <c r="I296" s="1687">
        <f t="shared" si="51"/>
        <v>604221</v>
      </c>
      <c r="J296" s="2212" t="e">
        <f>IF('Report-M&amp;O1819'!C$18-'Report-SOF1819'!D$55&lt;=0,0,'Report-M&amp;O1819'!C$18-'Report-SOF1819'!D$55)</f>
        <v>#DIV/0!</v>
      </c>
      <c r="K296" s="2452" t="e">
        <f t="shared" si="52"/>
        <v>#DIV/0!</v>
      </c>
      <c r="L296" s="2449">
        <f>IF(A296='Data Entry - SOF'!B$2,'Data Entry - SOF'!G$64,0)</f>
        <v>0</v>
      </c>
      <c r="M296" s="1371">
        <f t="shared" si="53"/>
        <v>604221</v>
      </c>
      <c r="N296" s="2212" t="e">
        <f>IF('Report-M&amp;O1920'!C$18-'Report-SOF1920'!D$55&lt;=0,0,'Report-M&amp;O1920'!C$18-'Report-SOF1920'!D$55)</f>
        <v>#DIV/0!</v>
      </c>
      <c r="O296" s="2452" t="e">
        <f t="shared" si="54"/>
        <v>#DIV/0!</v>
      </c>
      <c r="P296" s="2449">
        <f>IF(A296='Data Entry - SOF'!B$2,'Data Entry - SOF'!I$64,0)</f>
        <v>0</v>
      </c>
      <c r="Q296" s="1687">
        <f t="shared" si="48"/>
        <v>604221</v>
      </c>
      <c r="R296" s="2212" t="e">
        <f>IF('Report-M&amp;O2021'!C$18-'Report-SOF2021'!D$55&lt;=0,0,'Report-M&amp;O2021'!C$18-'Report-SOF2021'!D$55)</f>
        <v>#DIV/0!</v>
      </c>
      <c r="S296" s="2452" t="e">
        <f t="shared" si="55"/>
        <v>#DIV/0!</v>
      </c>
      <c r="T296" s="1708">
        <f>IF(A296='Data Entry - SOF'!B$2,'Data Entry - SOF'!K$64,0)</f>
        <v>0</v>
      </c>
      <c r="U296" s="1687">
        <f t="shared" si="58"/>
        <v>604221</v>
      </c>
      <c r="V296" s="2212" t="e">
        <f>IF('Report-M&amp;O2122'!C$18-'Report-SOF2122'!D$55&lt;=0,0,'Report-M&amp;O2122'!C$18-'Report-SOF2122'!D$55)</f>
        <v>#DIV/0!</v>
      </c>
      <c r="W296" s="2452" t="e">
        <f t="shared" si="56"/>
        <v>#DIV/0!</v>
      </c>
      <c r="X296" s="1708">
        <f>IF(A296='Data Entry - SOF'!B$2,'Data Entry - SOF'!M$64,0)</f>
        <v>0</v>
      </c>
      <c r="Y296" s="1371" t="e">
        <f t="shared" si="57"/>
        <v>#DIV/0!</v>
      </c>
      <c r="Z296" s="2212" t="e">
        <f>IF('Report-M&amp;O2223'!C$18-'Report-SOF2223'!D$55&lt;=0,0,'Report-M&amp;O2223'!C$18-'Report-SOF2223'!D$55)</f>
        <v>#DIV/0!</v>
      </c>
      <c r="AA296" s="1708">
        <f>IF(A296='Data Entry - SOF'!B$2,'Data Entry - SOF'!O$64,0)</f>
        <v>0</v>
      </c>
    </row>
    <row r="297" spans="1:27" ht="15.75">
      <c r="A297" s="1076" t="s">
        <v>229</v>
      </c>
      <c r="B297">
        <v>716651</v>
      </c>
      <c r="C297" s="2452" t="e">
        <f>#REF!+#REF!</f>
        <v>#REF!</v>
      </c>
      <c r="D297" s="2449">
        <f>IF(A297='Data Entry - SOF'!B$2,'Data Entry - SOF'!C$64,0)</f>
        <v>0</v>
      </c>
      <c r="E297" s="2450">
        <f t="shared" si="49"/>
        <v>716651</v>
      </c>
      <c r="F297" s="2212" t="e">
        <f>IF('Report-M&amp;O1718'!C$18-'Report-SOF1718'!D$55&lt;=0,0,'Report-M&amp;O1718'!C$18-'Report-SOF1718'!D$55)</f>
        <v>#DIV/0!</v>
      </c>
      <c r="G297" s="2452" t="e">
        <f t="shared" si="50"/>
        <v>#DIV/0!</v>
      </c>
      <c r="H297" s="2449">
        <f>IF(A297='Data Entry - SOF'!B$2,'Data Entry - SOF'!E$64,0)</f>
        <v>0</v>
      </c>
      <c r="I297" s="1687">
        <f t="shared" si="51"/>
        <v>716651</v>
      </c>
      <c r="J297" s="2212" t="e">
        <f>IF('Report-M&amp;O1819'!C$18-'Report-SOF1819'!D$55&lt;=0,0,'Report-M&amp;O1819'!C$18-'Report-SOF1819'!D$55)</f>
        <v>#DIV/0!</v>
      </c>
      <c r="K297" s="2452" t="e">
        <f t="shared" si="52"/>
        <v>#DIV/0!</v>
      </c>
      <c r="L297" s="2449">
        <f>IF(A297='Data Entry - SOF'!B$2,'Data Entry - SOF'!G$64,0)</f>
        <v>0</v>
      </c>
      <c r="M297" s="1371">
        <f t="shared" si="53"/>
        <v>716651</v>
      </c>
      <c r="N297" s="2212" t="e">
        <f>IF('Report-M&amp;O1920'!C$18-'Report-SOF1920'!D$55&lt;=0,0,'Report-M&amp;O1920'!C$18-'Report-SOF1920'!D$55)</f>
        <v>#DIV/0!</v>
      </c>
      <c r="O297" s="2452" t="e">
        <f t="shared" si="54"/>
        <v>#DIV/0!</v>
      </c>
      <c r="P297" s="2449">
        <f>IF(A297='Data Entry - SOF'!B$2,'Data Entry - SOF'!I$64,0)</f>
        <v>0</v>
      </c>
      <c r="Q297" s="1687">
        <f t="shared" si="48"/>
        <v>716651</v>
      </c>
      <c r="R297" s="2212" t="e">
        <f>IF('Report-M&amp;O2021'!C$18-'Report-SOF2021'!D$55&lt;=0,0,'Report-M&amp;O2021'!C$18-'Report-SOF2021'!D$55)</f>
        <v>#DIV/0!</v>
      </c>
      <c r="S297" s="2452" t="e">
        <f t="shared" si="55"/>
        <v>#DIV/0!</v>
      </c>
      <c r="T297" s="1708">
        <f>IF(A297='Data Entry - SOF'!B$2,'Data Entry - SOF'!K$64,0)</f>
        <v>0</v>
      </c>
      <c r="U297" s="1687">
        <f t="shared" si="58"/>
        <v>716651</v>
      </c>
      <c r="V297" s="2212" t="e">
        <f>IF('Report-M&amp;O2122'!C$18-'Report-SOF2122'!D$55&lt;=0,0,'Report-M&amp;O2122'!C$18-'Report-SOF2122'!D$55)</f>
        <v>#DIV/0!</v>
      </c>
      <c r="W297" s="2452" t="e">
        <f t="shared" si="56"/>
        <v>#DIV/0!</v>
      </c>
      <c r="X297" s="1708">
        <f>IF(A297='Data Entry - SOF'!B$2,'Data Entry - SOF'!M$64,0)</f>
        <v>0</v>
      </c>
      <c r="Y297" s="1371" t="e">
        <f t="shared" si="57"/>
        <v>#DIV/0!</v>
      </c>
      <c r="Z297" s="2212" t="e">
        <f>IF('Report-M&amp;O2223'!C$18-'Report-SOF2223'!D$55&lt;=0,0,'Report-M&amp;O2223'!C$18-'Report-SOF2223'!D$55)</f>
        <v>#DIV/0!</v>
      </c>
      <c r="AA297" s="1708">
        <f>IF(A297='Data Entry - SOF'!B$2,'Data Entry - SOF'!O$64,0)</f>
        <v>0</v>
      </c>
    </row>
    <row r="298" spans="1:27" ht="15.75">
      <c r="A298" s="1076" t="s">
        <v>2095</v>
      </c>
      <c r="B298">
        <v>0</v>
      </c>
      <c r="C298" s="2452" t="e">
        <f>#REF!+#REF!</f>
        <v>#REF!</v>
      </c>
      <c r="D298" s="2449">
        <f>IF(A298='Data Entry - SOF'!B$2,'Data Entry - SOF'!C$64,0)</f>
        <v>0</v>
      </c>
      <c r="E298" s="2450">
        <f t="shared" si="49"/>
        <v>0</v>
      </c>
      <c r="F298" s="2212" t="e">
        <f>IF('Report-M&amp;O1718'!C$18-'Report-SOF1718'!D$55&lt;=0,0,'Report-M&amp;O1718'!C$18-'Report-SOF1718'!D$55)</f>
        <v>#DIV/0!</v>
      </c>
      <c r="G298" s="2452" t="e">
        <f t="shared" si="50"/>
        <v>#DIV/0!</v>
      </c>
      <c r="H298" s="2449">
        <f>IF(A298='Data Entry - SOF'!B$2,'Data Entry - SOF'!E$64,0)</f>
        <v>0</v>
      </c>
      <c r="I298" s="1687">
        <f t="shared" si="51"/>
        <v>0</v>
      </c>
      <c r="J298" s="2212" t="e">
        <f>IF('Report-M&amp;O1819'!C$18-'Report-SOF1819'!D$55&lt;=0,0,'Report-M&amp;O1819'!C$18-'Report-SOF1819'!D$55)</f>
        <v>#DIV/0!</v>
      </c>
      <c r="K298" s="2452" t="e">
        <f t="shared" si="52"/>
        <v>#DIV/0!</v>
      </c>
      <c r="L298" s="2449">
        <f>IF(A298='Data Entry - SOF'!B$2,'Data Entry - SOF'!G$64,0)</f>
        <v>0</v>
      </c>
      <c r="M298" s="1371">
        <f t="shared" si="53"/>
        <v>0</v>
      </c>
      <c r="N298" s="2212" t="e">
        <f>IF('Report-M&amp;O1920'!C$18-'Report-SOF1920'!D$55&lt;=0,0,'Report-M&amp;O1920'!C$18-'Report-SOF1920'!D$55)</f>
        <v>#DIV/0!</v>
      </c>
      <c r="O298" s="2452" t="e">
        <f t="shared" si="54"/>
        <v>#DIV/0!</v>
      </c>
      <c r="P298" s="2449">
        <f>IF(A298='Data Entry - SOF'!B$2,'Data Entry - SOF'!I$64,0)</f>
        <v>0</v>
      </c>
      <c r="Q298" s="1687">
        <f t="shared" si="48"/>
        <v>0</v>
      </c>
      <c r="R298" s="2212" t="e">
        <f>IF('Report-M&amp;O2021'!C$18-'Report-SOF2021'!D$55&lt;=0,0,'Report-M&amp;O2021'!C$18-'Report-SOF2021'!D$55)</f>
        <v>#DIV/0!</v>
      </c>
      <c r="S298" s="2452" t="e">
        <f t="shared" si="55"/>
        <v>#DIV/0!</v>
      </c>
      <c r="T298" s="1708">
        <f>IF(A298='Data Entry - SOF'!B$2,'Data Entry - SOF'!K$64,0)</f>
        <v>0</v>
      </c>
      <c r="U298" s="1687">
        <f t="shared" si="58"/>
        <v>0</v>
      </c>
      <c r="V298" s="2212" t="e">
        <f>IF('Report-M&amp;O2122'!C$18-'Report-SOF2122'!D$55&lt;=0,0,'Report-M&amp;O2122'!C$18-'Report-SOF2122'!D$55)</f>
        <v>#DIV/0!</v>
      </c>
      <c r="W298" s="2452" t="e">
        <f t="shared" si="56"/>
        <v>#DIV/0!</v>
      </c>
      <c r="X298" s="1708">
        <f>IF(A298='Data Entry - SOF'!B$2,'Data Entry - SOF'!M$64,0)</f>
        <v>0</v>
      </c>
      <c r="Y298" s="1371" t="e">
        <f t="shared" si="57"/>
        <v>#DIV/0!</v>
      </c>
      <c r="Z298" s="2212" t="e">
        <f>IF('Report-M&amp;O2223'!C$18-'Report-SOF2223'!D$55&lt;=0,0,'Report-M&amp;O2223'!C$18-'Report-SOF2223'!D$55)</f>
        <v>#DIV/0!</v>
      </c>
      <c r="AA298" s="1708">
        <f>IF(A298='Data Entry - SOF'!B$2,'Data Entry - SOF'!O$64,0)</f>
        <v>0</v>
      </c>
    </row>
    <row r="299" spans="1:27" ht="15.75">
      <c r="A299" s="1076" t="s">
        <v>2103</v>
      </c>
      <c r="B299">
        <v>21395</v>
      </c>
      <c r="C299" s="2452" t="e">
        <f>#REF!+#REF!</f>
        <v>#REF!</v>
      </c>
      <c r="D299" s="2449">
        <f>IF(A299='Data Entry - SOF'!B$2,'Data Entry - SOF'!C$64,0)</f>
        <v>0</v>
      </c>
      <c r="E299" s="2450">
        <f t="shared" si="49"/>
        <v>21395</v>
      </c>
      <c r="F299" s="2212" t="e">
        <f>IF('Report-M&amp;O1718'!C$18-'Report-SOF1718'!D$55&lt;=0,0,'Report-M&amp;O1718'!C$18-'Report-SOF1718'!D$55)</f>
        <v>#DIV/0!</v>
      </c>
      <c r="G299" s="2452" t="e">
        <f t="shared" si="50"/>
        <v>#DIV/0!</v>
      </c>
      <c r="H299" s="2449">
        <f>IF(A299='Data Entry - SOF'!B$2,'Data Entry - SOF'!E$64,0)</f>
        <v>0</v>
      </c>
      <c r="I299" s="1687">
        <f t="shared" si="51"/>
        <v>21395</v>
      </c>
      <c r="J299" s="2212" t="e">
        <f>IF('Report-M&amp;O1819'!C$18-'Report-SOF1819'!D$55&lt;=0,0,'Report-M&amp;O1819'!C$18-'Report-SOF1819'!D$55)</f>
        <v>#DIV/0!</v>
      </c>
      <c r="K299" s="2452" t="e">
        <f t="shared" si="52"/>
        <v>#DIV/0!</v>
      </c>
      <c r="L299" s="2449">
        <f>IF(A299='Data Entry - SOF'!B$2,'Data Entry - SOF'!G$64,0)</f>
        <v>0</v>
      </c>
      <c r="M299" s="1371">
        <f t="shared" si="53"/>
        <v>21395</v>
      </c>
      <c r="N299" s="2212" t="e">
        <f>IF('Report-M&amp;O1920'!C$18-'Report-SOF1920'!D$55&lt;=0,0,'Report-M&amp;O1920'!C$18-'Report-SOF1920'!D$55)</f>
        <v>#DIV/0!</v>
      </c>
      <c r="O299" s="2452" t="e">
        <f t="shared" si="54"/>
        <v>#DIV/0!</v>
      </c>
      <c r="P299" s="2449">
        <f>IF(A299='Data Entry - SOF'!B$2,'Data Entry - SOF'!I$64,0)</f>
        <v>0</v>
      </c>
      <c r="Q299" s="1687">
        <f t="shared" si="48"/>
        <v>21395</v>
      </c>
      <c r="R299" s="2212" t="e">
        <f>IF('Report-M&amp;O2021'!C$18-'Report-SOF2021'!D$55&lt;=0,0,'Report-M&amp;O2021'!C$18-'Report-SOF2021'!D$55)</f>
        <v>#DIV/0!</v>
      </c>
      <c r="S299" s="2452" t="e">
        <f t="shared" si="55"/>
        <v>#DIV/0!</v>
      </c>
      <c r="T299" s="1708">
        <f>IF(A299='Data Entry - SOF'!B$2,'Data Entry - SOF'!K$64,0)</f>
        <v>0</v>
      </c>
      <c r="U299" s="1687">
        <f t="shared" si="58"/>
        <v>21395</v>
      </c>
      <c r="V299" s="2212" t="e">
        <f>IF('Report-M&amp;O2122'!C$18-'Report-SOF2122'!D$55&lt;=0,0,'Report-M&amp;O2122'!C$18-'Report-SOF2122'!D$55)</f>
        <v>#DIV/0!</v>
      </c>
      <c r="W299" s="2452" t="e">
        <f t="shared" si="56"/>
        <v>#DIV/0!</v>
      </c>
      <c r="X299" s="1708">
        <f>IF(A299='Data Entry - SOF'!B$2,'Data Entry - SOF'!M$64,0)</f>
        <v>0</v>
      </c>
      <c r="Y299" s="1371" t="e">
        <f t="shared" si="57"/>
        <v>#DIV/0!</v>
      </c>
      <c r="Z299" s="2212" t="e">
        <f>IF('Report-M&amp;O2223'!C$18-'Report-SOF2223'!D$55&lt;=0,0,'Report-M&amp;O2223'!C$18-'Report-SOF2223'!D$55)</f>
        <v>#DIV/0!</v>
      </c>
      <c r="AA299" s="1708">
        <f>IF(A299='Data Entry - SOF'!B$2,'Data Entry - SOF'!O$64,0)</f>
        <v>0</v>
      </c>
    </row>
    <row r="300" spans="1:27" ht="15.75">
      <c r="A300" s="1076" t="s">
        <v>230</v>
      </c>
      <c r="B300">
        <v>218425</v>
      </c>
      <c r="C300" s="2452" t="e">
        <f>#REF!+#REF!</f>
        <v>#REF!</v>
      </c>
      <c r="D300" s="2449">
        <f>IF(A300='Data Entry - SOF'!B$2,'Data Entry - SOF'!C$64,0)</f>
        <v>0</v>
      </c>
      <c r="E300" s="2450">
        <f t="shared" si="49"/>
        <v>218425</v>
      </c>
      <c r="F300" s="2212" t="e">
        <f>IF('Report-M&amp;O1718'!C$18-'Report-SOF1718'!D$55&lt;=0,0,'Report-M&amp;O1718'!C$18-'Report-SOF1718'!D$55)</f>
        <v>#DIV/0!</v>
      </c>
      <c r="G300" s="2452" t="e">
        <f t="shared" si="50"/>
        <v>#DIV/0!</v>
      </c>
      <c r="H300" s="2449">
        <f>IF(A300='Data Entry - SOF'!B$2,'Data Entry - SOF'!E$64,0)</f>
        <v>0</v>
      </c>
      <c r="I300" s="1687">
        <f t="shared" si="51"/>
        <v>218425</v>
      </c>
      <c r="J300" s="2212" t="e">
        <f>IF('Report-M&amp;O1819'!C$18-'Report-SOF1819'!D$55&lt;=0,0,'Report-M&amp;O1819'!C$18-'Report-SOF1819'!D$55)</f>
        <v>#DIV/0!</v>
      </c>
      <c r="K300" s="2452" t="e">
        <f t="shared" si="52"/>
        <v>#DIV/0!</v>
      </c>
      <c r="L300" s="2449">
        <f>IF(A300='Data Entry - SOF'!B$2,'Data Entry - SOF'!G$64,0)</f>
        <v>0</v>
      </c>
      <c r="M300" s="1371">
        <f t="shared" si="53"/>
        <v>218425</v>
      </c>
      <c r="N300" s="2212" t="e">
        <f>IF('Report-M&amp;O1920'!C$18-'Report-SOF1920'!D$55&lt;=0,0,'Report-M&amp;O1920'!C$18-'Report-SOF1920'!D$55)</f>
        <v>#DIV/0!</v>
      </c>
      <c r="O300" s="2452" t="e">
        <f t="shared" si="54"/>
        <v>#DIV/0!</v>
      </c>
      <c r="P300" s="2449">
        <f>IF(A300='Data Entry - SOF'!B$2,'Data Entry - SOF'!I$64,0)</f>
        <v>0</v>
      </c>
      <c r="Q300" s="1687">
        <f t="shared" si="48"/>
        <v>218425</v>
      </c>
      <c r="R300" s="2212" t="e">
        <f>IF('Report-M&amp;O2021'!C$18-'Report-SOF2021'!D$55&lt;=0,0,'Report-M&amp;O2021'!C$18-'Report-SOF2021'!D$55)</f>
        <v>#DIV/0!</v>
      </c>
      <c r="S300" s="2452" t="e">
        <f t="shared" si="55"/>
        <v>#DIV/0!</v>
      </c>
      <c r="T300" s="1708">
        <f>IF(A300='Data Entry - SOF'!B$2,'Data Entry - SOF'!K$64,0)</f>
        <v>0</v>
      </c>
      <c r="U300" s="1687">
        <f t="shared" si="58"/>
        <v>218425</v>
      </c>
      <c r="V300" s="2212" t="e">
        <f>IF('Report-M&amp;O2122'!C$18-'Report-SOF2122'!D$55&lt;=0,0,'Report-M&amp;O2122'!C$18-'Report-SOF2122'!D$55)</f>
        <v>#DIV/0!</v>
      </c>
      <c r="W300" s="2452" t="e">
        <f t="shared" si="56"/>
        <v>#DIV/0!</v>
      </c>
      <c r="X300" s="1708">
        <f>IF(A300='Data Entry - SOF'!B$2,'Data Entry - SOF'!M$64,0)</f>
        <v>0</v>
      </c>
      <c r="Y300" s="1371" t="e">
        <f t="shared" si="57"/>
        <v>#DIV/0!</v>
      </c>
      <c r="Z300" s="2212" t="e">
        <f>IF('Report-M&amp;O2223'!C$18-'Report-SOF2223'!D$55&lt;=0,0,'Report-M&amp;O2223'!C$18-'Report-SOF2223'!D$55)</f>
        <v>#DIV/0!</v>
      </c>
      <c r="AA300" s="1708">
        <f>IF(A300='Data Entry - SOF'!B$2,'Data Entry - SOF'!O$64,0)</f>
        <v>0</v>
      </c>
    </row>
    <row r="301" spans="1:27" ht="15.75">
      <c r="A301" s="1076" t="s">
        <v>231</v>
      </c>
      <c r="B301">
        <v>5411201</v>
      </c>
      <c r="C301" s="2452" t="e">
        <f>#REF!+#REF!</f>
        <v>#REF!</v>
      </c>
      <c r="D301" s="2449">
        <f>IF(A301='Data Entry - SOF'!B$2,'Data Entry - SOF'!C$64,0)</f>
        <v>0</v>
      </c>
      <c r="E301" s="2450">
        <f t="shared" si="49"/>
        <v>5411201</v>
      </c>
      <c r="F301" s="2212" t="e">
        <f>IF('Report-M&amp;O1718'!C$18-'Report-SOF1718'!D$55&lt;=0,0,'Report-M&amp;O1718'!C$18-'Report-SOF1718'!D$55)</f>
        <v>#DIV/0!</v>
      </c>
      <c r="G301" s="2452" t="e">
        <f t="shared" si="50"/>
        <v>#DIV/0!</v>
      </c>
      <c r="H301" s="2449">
        <f>IF(A301='Data Entry - SOF'!B$2,'Data Entry - SOF'!E$64,0)</f>
        <v>0</v>
      </c>
      <c r="I301" s="1687">
        <f t="shared" si="51"/>
        <v>5411201</v>
      </c>
      <c r="J301" s="2212" t="e">
        <f>IF('Report-M&amp;O1819'!C$18-'Report-SOF1819'!D$55&lt;=0,0,'Report-M&amp;O1819'!C$18-'Report-SOF1819'!D$55)</f>
        <v>#DIV/0!</v>
      </c>
      <c r="K301" s="2452" t="e">
        <f t="shared" si="52"/>
        <v>#DIV/0!</v>
      </c>
      <c r="L301" s="2449">
        <f>IF(A301='Data Entry - SOF'!B$2,'Data Entry - SOF'!G$64,0)</f>
        <v>0</v>
      </c>
      <c r="M301" s="1371">
        <f t="shared" si="53"/>
        <v>5411201</v>
      </c>
      <c r="N301" s="2212" t="e">
        <f>IF('Report-M&amp;O1920'!C$18-'Report-SOF1920'!D$55&lt;=0,0,'Report-M&amp;O1920'!C$18-'Report-SOF1920'!D$55)</f>
        <v>#DIV/0!</v>
      </c>
      <c r="O301" s="2452" t="e">
        <f t="shared" si="54"/>
        <v>#DIV/0!</v>
      </c>
      <c r="P301" s="2449">
        <f>IF(A301='Data Entry - SOF'!B$2,'Data Entry - SOF'!I$64,0)</f>
        <v>0</v>
      </c>
      <c r="Q301" s="1687">
        <f t="shared" si="48"/>
        <v>5411201</v>
      </c>
      <c r="R301" s="2212" t="e">
        <f>IF('Report-M&amp;O2021'!C$18-'Report-SOF2021'!D$55&lt;=0,0,'Report-M&amp;O2021'!C$18-'Report-SOF2021'!D$55)</f>
        <v>#DIV/0!</v>
      </c>
      <c r="S301" s="2452" t="e">
        <f t="shared" si="55"/>
        <v>#DIV/0!</v>
      </c>
      <c r="T301" s="1708">
        <f>IF(A301='Data Entry - SOF'!B$2,'Data Entry - SOF'!K$64,0)</f>
        <v>0</v>
      </c>
      <c r="U301" s="1687">
        <f t="shared" si="58"/>
        <v>5411201</v>
      </c>
      <c r="V301" s="2212" t="e">
        <f>IF('Report-M&amp;O2122'!C$18-'Report-SOF2122'!D$55&lt;=0,0,'Report-M&amp;O2122'!C$18-'Report-SOF2122'!D$55)</f>
        <v>#DIV/0!</v>
      </c>
      <c r="W301" s="2452" t="e">
        <f t="shared" si="56"/>
        <v>#DIV/0!</v>
      </c>
      <c r="X301" s="1708">
        <f>IF(A301='Data Entry - SOF'!B$2,'Data Entry - SOF'!M$64,0)</f>
        <v>0</v>
      </c>
      <c r="Y301" s="1371" t="e">
        <f t="shared" si="57"/>
        <v>#DIV/0!</v>
      </c>
      <c r="Z301" s="2212" t="e">
        <f>IF('Report-M&amp;O2223'!C$18-'Report-SOF2223'!D$55&lt;=0,0,'Report-M&amp;O2223'!C$18-'Report-SOF2223'!D$55)</f>
        <v>#DIV/0!</v>
      </c>
      <c r="AA301" s="1708">
        <f>IF(A301='Data Entry - SOF'!B$2,'Data Entry - SOF'!O$64,0)</f>
        <v>0</v>
      </c>
    </row>
    <row r="302" spans="1:27" ht="15.75">
      <c r="A302" s="1076" t="s">
        <v>1401</v>
      </c>
      <c r="B302">
        <v>283348</v>
      </c>
      <c r="C302" s="2452" t="e">
        <f>#REF!+#REF!</f>
        <v>#REF!</v>
      </c>
      <c r="D302" s="2449">
        <f>IF(A302='Data Entry - SOF'!B$2,'Data Entry - SOF'!C$64,0)</f>
        <v>0</v>
      </c>
      <c r="E302" s="2450">
        <f t="shared" si="49"/>
        <v>283348</v>
      </c>
      <c r="F302" s="2212" t="e">
        <f>IF('Report-M&amp;O1718'!C$18-'Report-SOF1718'!D$55&lt;=0,0,'Report-M&amp;O1718'!C$18-'Report-SOF1718'!D$55)</f>
        <v>#DIV/0!</v>
      </c>
      <c r="G302" s="2452" t="e">
        <f t="shared" si="50"/>
        <v>#DIV/0!</v>
      </c>
      <c r="H302" s="2449">
        <f>IF(A302='Data Entry - SOF'!B$2,'Data Entry - SOF'!E$64,0)</f>
        <v>0</v>
      </c>
      <c r="I302" s="1687">
        <f t="shared" si="51"/>
        <v>283348</v>
      </c>
      <c r="J302" s="2212" t="e">
        <f>IF('Report-M&amp;O1819'!C$18-'Report-SOF1819'!D$55&lt;=0,0,'Report-M&amp;O1819'!C$18-'Report-SOF1819'!D$55)</f>
        <v>#DIV/0!</v>
      </c>
      <c r="K302" s="2452" t="e">
        <f t="shared" si="52"/>
        <v>#DIV/0!</v>
      </c>
      <c r="L302" s="2449">
        <f>IF(A302='Data Entry - SOF'!B$2,'Data Entry - SOF'!G$64,0)</f>
        <v>0</v>
      </c>
      <c r="M302" s="1371">
        <f t="shared" si="53"/>
        <v>283348</v>
      </c>
      <c r="N302" s="2212" t="e">
        <f>IF('Report-M&amp;O1920'!C$18-'Report-SOF1920'!D$55&lt;=0,0,'Report-M&amp;O1920'!C$18-'Report-SOF1920'!D$55)</f>
        <v>#DIV/0!</v>
      </c>
      <c r="O302" s="2452" t="e">
        <f t="shared" si="54"/>
        <v>#DIV/0!</v>
      </c>
      <c r="P302" s="2449">
        <f>IF(A302='Data Entry - SOF'!B$2,'Data Entry - SOF'!I$64,0)</f>
        <v>0</v>
      </c>
      <c r="Q302" s="1687">
        <f t="shared" si="48"/>
        <v>283348</v>
      </c>
      <c r="R302" s="2212" t="e">
        <f>IF('Report-M&amp;O2021'!C$18-'Report-SOF2021'!D$55&lt;=0,0,'Report-M&amp;O2021'!C$18-'Report-SOF2021'!D$55)</f>
        <v>#DIV/0!</v>
      </c>
      <c r="S302" s="2452" t="e">
        <f t="shared" si="55"/>
        <v>#DIV/0!</v>
      </c>
      <c r="T302" s="1708">
        <f>IF(A302='Data Entry - SOF'!B$2,'Data Entry - SOF'!K$64,0)</f>
        <v>0</v>
      </c>
      <c r="U302" s="1687">
        <f t="shared" si="58"/>
        <v>283348</v>
      </c>
      <c r="V302" s="2212" t="e">
        <f>IF('Report-M&amp;O2122'!C$18-'Report-SOF2122'!D$55&lt;=0,0,'Report-M&amp;O2122'!C$18-'Report-SOF2122'!D$55)</f>
        <v>#DIV/0!</v>
      </c>
      <c r="W302" s="2452" t="e">
        <f t="shared" si="56"/>
        <v>#DIV/0!</v>
      </c>
      <c r="X302" s="1708">
        <f>IF(A302='Data Entry - SOF'!B$2,'Data Entry - SOF'!M$64,0)</f>
        <v>0</v>
      </c>
      <c r="Y302" s="1371" t="e">
        <f t="shared" si="57"/>
        <v>#DIV/0!</v>
      </c>
      <c r="Z302" s="2212" t="e">
        <f>IF('Report-M&amp;O2223'!C$18-'Report-SOF2223'!D$55&lt;=0,0,'Report-M&amp;O2223'!C$18-'Report-SOF2223'!D$55)</f>
        <v>#DIV/0!</v>
      </c>
      <c r="AA302" s="1708">
        <f>IF(A302='Data Entry - SOF'!B$2,'Data Entry - SOF'!O$64,0)</f>
        <v>0</v>
      </c>
    </row>
    <row r="303" spans="1:27" ht="15.75">
      <c r="A303" s="1076" t="s">
        <v>820</v>
      </c>
      <c r="B303">
        <v>218510</v>
      </c>
      <c r="C303" s="2452" t="e">
        <f>#REF!+#REF!</f>
        <v>#REF!</v>
      </c>
      <c r="D303" s="2449">
        <f>IF(A303='Data Entry - SOF'!B$2,'Data Entry - SOF'!C$64,0)</f>
        <v>0</v>
      </c>
      <c r="E303" s="2450">
        <f t="shared" si="49"/>
        <v>218510</v>
      </c>
      <c r="F303" s="2212" t="e">
        <f>IF('Report-M&amp;O1718'!C$18-'Report-SOF1718'!D$55&lt;=0,0,'Report-M&amp;O1718'!C$18-'Report-SOF1718'!D$55)</f>
        <v>#DIV/0!</v>
      </c>
      <c r="G303" s="2452" t="e">
        <f t="shared" si="50"/>
        <v>#DIV/0!</v>
      </c>
      <c r="H303" s="2449">
        <f>IF(A303='Data Entry - SOF'!B$2,'Data Entry - SOF'!E$64,0)</f>
        <v>0</v>
      </c>
      <c r="I303" s="1687">
        <f t="shared" si="51"/>
        <v>218510</v>
      </c>
      <c r="J303" s="2212" t="e">
        <f>IF('Report-M&amp;O1819'!C$18-'Report-SOF1819'!D$55&lt;=0,0,'Report-M&amp;O1819'!C$18-'Report-SOF1819'!D$55)</f>
        <v>#DIV/0!</v>
      </c>
      <c r="K303" s="2452" t="e">
        <f t="shared" si="52"/>
        <v>#DIV/0!</v>
      </c>
      <c r="L303" s="2449">
        <f>IF(A303='Data Entry - SOF'!B$2,'Data Entry - SOF'!G$64,0)</f>
        <v>0</v>
      </c>
      <c r="M303" s="1371">
        <f t="shared" si="53"/>
        <v>218510</v>
      </c>
      <c r="N303" s="2212" t="e">
        <f>IF('Report-M&amp;O1920'!C$18-'Report-SOF1920'!D$55&lt;=0,0,'Report-M&amp;O1920'!C$18-'Report-SOF1920'!D$55)</f>
        <v>#DIV/0!</v>
      </c>
      <c r="O303" s="2452" t="e">
        <f t="shared" si="54"/>
        <v>#DIV/0!</v>
      </c>
      <c r="P303" s="2449">
        <f>IF(A303='Data Entry - SOF'!B$2,'Data Entry - SOF'!I$64,0)</f>
        <v>0</v>
      </c>
      <c r="Q303" s="1687">
        <f t="shared" si="48"/>
        <v>218510</v>
      </c>
      <c r="R303" s="2212" t="e">
        <f>IF('Report-M&amp;O2021'!C$18-'Report-SOF2021'!D$55&lt;=0,0,'Report-M&amp;O2021'!C$18-'Report-SOF2021'!D$55)</f>
        <v>#DIV/0!</v>
      </c>
      <c r="S303" s="2452" t="e">
        <f t="shared" si="55"/>
        <v>#DIV/0!</v>
      </c>
      <c r="T303" s="1708">
        <f>IF(A303='Data Entry - SOF'!B$2,'Data Entry - SOF'!K$64,0)</f>
        <v>0</v>
      </c>
      <c r="U303" s="1687">
        <f t="shared" si="58"/>
        <v>218510</v>
      </c>
      <c r="V303" s="2212" t="e">
        <f>IF('Report-M&amp;O2122'!C$18-'Report-SOF2122'!D$55&lt;=0,0,'Report-M&amp;O2122'!C$18-'Report-SOF2122'!D$55)</f>
        <v>#DIV/0!</v>
      </c>
      <c r="W303" s="2452" t="e">
        <f t="shared" si="56"/>
        <v>#DIV/0!</v>
      </c>
      <c r="X303" s="1708">
        <f>IF(A303='Data Entry - SOF'!B$2,'Data Entry - SOF'!M$64,0)</f>
        <v>0</v>
      </c>
      <c r="Y303" s="1371" t="e">
        <f t="shared" si="57"/>
        <v>#DIV/0!</v>
      </c>
      <c r="Z303" s="2212" t="e">
        <f>IF('Report-M&amp;O2223'!C$18-'Report-SOF2223'!D$55&lt;=0,0,'Report-M&amp;O2223'!C$18-'Report-SOF2223'!D$55)</f>
        <v>#DIV/0!</v>
      </c>
      <c r="AA303" s="1708">
        <f>IF(A303='Data Entry - SOF'!B$2,'Data Entry - SOF'!O$64,0)</f>
        <v>0</v>
      </c>
    </row>
    <row r="304" spans="1:27" ht="15.75">
      <c r="A304" s="1076" t="s">
        <v>232</v>
      </c>
      <c r="B304">
        <v>1344803</v>
      </c>
      <c r="C304" s="2452" t="e">
        <f>#REF!+#REF!</f>
        <v>#REF!</v>
      </c>
      <c r="D304" s="2449">
        <f>IF(A304='Data Entry - SOF'!B$2,'Data Entry - SOF'!C$64,0)</f>
        <v>0</v>
      </c>
      <c r="E304" s="2450">
        <f t="shared" si="49"/>
        <v>1344803</v>
      </c>
      <c r="F304" s="2212" t="e">
        <f>IF('Report-M&amp;O1718'!C$18-'Report-SOF1718'!D$55&lt;=0,0,'Report-M&amp;O1718'!C$18-'Report-SOF1718'!D$55)</f>
        <v>#DIV/0!</v>
      </c>
      <c r="G304" s="2452" t="e">
        <f t="shared" si="50"/>
        <v>#DIV/0!</v>
      </c>
      <c r="H304" s="2449">
        <f>IF(A304='Data Entry - SOF'!B$2,'Data Entry - SOF'!E$64,0)</f>
        <v>0</v>
      </c>
      <c r="I304" s="1687">
        <f t="shared" si="51"/>
        <v>1344803</v>
      </c>
      <c r="J304" s="2212" t="e">
        <f>IF('Report-M&amp;O1819'!C$18-'Report-SOF1819'!D$55&lt;=0,0,'Report-M&amp;O1819'!C$18-'Report-SOF1819'!D$55)</f>
        <v>#DIV/0!</v>
      </c>
      <c r="K304" s="2452" t="e">
        <f t="shared" si="52"/>
        <v>#DIV/0!</v>
      </c>
      <c r="L304" s="2449">
        <f>IF(A304='Data Entry - SOF'!B$2,'Data Entry - SOF'!G$64,0)</f>
        <v>0</v>
      </c>
      <c r="M304" s="1371">
        <f t="shared" si="53"/>
        <v>1344803</v>
      </c>
      <c r="N304" s="2212" t="e">
        <f>IF('Report-M&amp;O1920'!C$18-'Report-SOF1920'!D$55&lt;=0,0,'Report-M&amp;O1920'!C$18-'Report-SOF1920'!D$55)</f>
        <v>#DIV/0!</v>
      </c>
      <c r="O304" s="2452" t="e">
        <f t="shared" si="54"/>
        <v>#DIV/0!</v>
      </c>
      <c r="P304" s="2449">
        <f>IF(A304='Data Entry - SOF'!B$2,'Data Entry - SOF'!I$64,0)</f>
        <v>0</v>
      </c>
      <c r="Q304" s="1687">
        <f t="shared" si="48"/>
        <v>1344803</v>
      </c>
      <c r="R304" s="2212" t="e">
        <f>IF('Report-M&amp;O2021'!C$18-'Report-SOF2021'!D$55&lt;=0,0,'Report-M&amp;O2021'!C$18-'Report-SOF2021'!D$55)</f>
        <v>#DIV/0!</v>
      </c>
      <c r="S304" s="2452" t="e">
        <f t="shared" si="55"/>
        <v>#DIV/0!</v>
      </c>
      <c r="T304" s="1708">
        <f>IF(A304='Data Entry - SOF'!B$2,'Data Entry - SOF'!K$64,0)</f>
        <v>0</v>
      </c>
      <c r="U304" s="1687">
        <f t="shared" si="58"/>
        <v>1344803</v>
      </c>
      <c r="V304" s="2212" t="e">
        <f>IF('Report-M&amp;O2122'!C$18-'Report-SOF2122'!D$55&lt;=0,0,'Report-M&amp;O2122'!C$18-'Report-SOF2122'!D$55)</f>
        <v>#DIV/0!</v>
      </c>
      <c r="W304" s="2452" t="e">
        <f t="shared" si="56"/>
        <v>#DIV/0!</v>
      </c>
      <c r="X304" s="1708">
        <f>IF(A304='Data Entry - SOF'!B$2,'Data Entry - SOF'!M$64,0)</f>
        <v>0</v>
      </c>
      <c r="Y304" s="1371" t="e">
        <f t="shared" si="57"/>
        <v>#DIV/0!</v>
      </c>
      <c r="Z304" s="2212" t="e">
        <f>IF('Report-M&amp;O2223'!C$18-'Report-SOF2223'!D$55&lt;=0,0,'Report-M&amp;O2223'!C$18-'Report-SOF2223'!D$55)</f>
        <v>#DIV/0!</v>
      </c>
      <c r="AA304" s="1708">
        <f>IF(A304='Data Entry - SOF'!B$2,'Data Entry - SOF'!O$64,0)</f>
        <v>0</v>
      </c>
    </row>
    <row r="305" spans="1:27" ht="15.75">
      <c r="A305" s="1076" t="s">
        <v>233</v>
      </c>
      <c r="B305">
        <v>1111894</v>
      </c>
      <c r="C305" s="2452" t="e">
        <f>#REF!+#REF!</f>
        <v>#REF!</v>
      </c>
      <c r="D305" s="2449">
        <f>IF(A305='Data Entry - SOF'!B$2,'Data Entry - SOF'!C$64,0)</f>
        <v>0</v>
      </c>
      <c r="E305" s="2450">
        <f t="shared" si="49"/>
        <v>1111894</v>
      </c>
      <c r="F305" s="2212" t="e">
        <f>IF('Report-M&amp;O1718'!C$18-'Report-SOF1718'!D$55&lt;=0,0,'Report-M&amp;O1718'!C$18-'Report-SOF1718'!D$55)</f>
        <v>#DIV/0!</v>
      </c>
      <c r="G305" s="2452" t="e">
        <f t="shared" si="50"/>
        <v>#DIV/0!</v>
      </c>
      <c r="H305" s="2449">
        <f>IF(A305='Data Entry - SOF'!B$2,'Data Entry - SOF'!E$64,0)</f>
        <v>0</v>
      </c>
      <c r="I305" s="1687">
        <f t="shared" si="51"/>
        <v>1111894</v>
      </c>
      <c r="J305" s="2212" t="e">
        <f>IF('Report-M&amp;O1819'!C$18-'Report-SOF1819'!D$55&lt;=0,0,'Report-M&amp;O1819'!C$18-'Report-SOF1819'!D$55)</f>
        <v>#DIV/0!</v>
      </c>
      <c r="K305" s="2452" t="e">
        <f t="shared" si="52"/>
        <v>#DIV/0!</v>
      </c>
      <c r="L305" s="2449">
        <f>IF(A305='Data Entry - SOF'!B$2,'Data Entry - SOF'!G$64,0)</f>
        <v>0</v>
      </c>
      <c r="M305" s="1371">
        <f t="shared" si="53"/>
        <v>1111894</v>
      </c>
      <c r="N305" s="2212" t="e">
        <f>IF('Report-M&amp;O1920'!C$18-'Report-SOF1920'!D$55&lt;=0,0,'Report-M&amp;O1920'!C$18-'Report-SOF1920'!D$55)</f>
        <v>#DIV/0!</v>
      </c>
      <c r="O305" s="2452" t="e">
        <f t="shared" si="54"/>
        <v>#DIV/0!</v>
      </c>
      <c r="P305" s="2449">
        <f>IF(A305='Data Entry - SOF'!B$2,'Data Entry - SOF'!I$64,0)</f>
        <v>0</v>
      </c>
      <c r="Q305" s="1687">
        <f t="shared" si="48"/>
        <v>1111894</v>
      </c>
      <c r="R305" s="2212" t="e">
        <f>IF('Report-M&amp;O2021'!C$18-'Report-SOF2021'!D$55&lt;=0,0,'Report-M&amp;O2021'!C$18-'Report-SOF2021'!D$55)</f>
        <v>#DIV/0!</v>
      </c>
      <c r="S305" s="2452" t="e">
        <f t="shared" si="55"/>
        <v>#DIV/0!</v>
      </c>
      <c r="T305" s="1708">
        <f>IF(A305='Data Entry - SOF'!B$2,'Data Entry - SOF'!K$64,0)</f>
        <v>0</v>
      </c>
      <c r="U305" s="1687">
        <f t="shared" si="58"/>
        <v>1111894</v>
      </c>
      <c r="V305" s="2212" t="e">
        <f>IF('Report-M&amp;O2122'!C$18-'Report-SOF2122'!D$55&lt;=0,0,'Report-M&amp;O2122'!C$18-'Report-SOF2122'!D$55)</f>
        <v>#DIV/0!</v>
      </c>
      <c r="W305" s="2452" t="e">
        <f t="shared" si="56"/>
        <v>#DIV/0!</v>
      </c>
      <c r="X305" s="1708">
        <f>IF(A305='Data Entry - SOF'!B$2,'Data Entry - SOF'!M$64,0)</f>
        <v>0</v>
      </c>
      <c r="Y305" s="1371" t="e">
        <f t="shared" si="57"/>
        <v>#DIV/0!</v>
      </c>
      <c r="Z305" s="2212" t="e">
        <f>IF('Report-M&amp;O2223'!C$18-'Report-SOF2223'!D$55&lt;=0,0,'Report-M&amp;O2223'!C$18-'Report-SOF2223'!D$55)</f>
        <v>#DIV/0!</v>
      </c>
      <c r="AA305" s="1708">
        <f>IF(A305='Data Entry - SOF'!B$2,'Data Entry - SOF'!O$64,0)</f>
        <v>0</v>
      </c>
    </row>
    <row r="306" spans="1:27" ht="15.75">
      <c r="A306" s="1076" t="s">
        <v>1960</v>
      </c>
      <c r="B306">
        <v>911831</v>
      </c>
      <c r="C306" s="2452" t="e">
        <f>#REF!+#REF!</f>
        <v>#REF!</v>
      </c>
      <c r="D306" s="2449">
        <f>IF(A306='Data Entry - SOF'!B$2,'Data Entry - SOF'!C$64,0)</f>
        <v>0</v>
      </c>
      <c r="E306" s="2450">
        <f t="shared" si="49"/>
        <v>911831</v>
      </c>
      <c r="F306" s="2212" t="e">
        <f>IF('Report-M&amp;O1718'!C$18-'Report-SOF1718'!D$55&lt;=0,0,'Report-M&amp;O1718'!C$18-'Report-SOF1718'!D$55)</f>
        <v>#DIV/0!</v>
      </c>
      <c r="G306" s="2452" t="e">
        <f t="shared" si="50"/>
        <v>#DIV/0!</v>
      </c>
      <c r="H306" s="2449">
        <f>IF(A306='Data Entry - SOF'!B$2,'Data Entry - SOF'!E$64,0)</f>
        <v>0</v>
      </c>
      <c r="I306" s="1687">
        <f t="shared" si="51"/>
        <v>911831</v>
      </c>
      <c r="J306" s="2212" t="e">
        <f>IF('Report-M&amp;O1819'!C$18-'Report-SOF1819'!D$55&lt;=0,0,'Report-M&amp;O1819'!C$18-'Report-SOF1819'!D$55)</f>
        <v>#DIV/0!</v>
      </c>
      <c r="K306" s="2452" t="e">
        <f t="shared" si="52"/>
        <v>#DIV/0!</v>
      </c>
      <c r="L306" s="2449">
        <f>IF(A306='Data Entry - SOF'!B$2,'Data Entry - SOF'!G$64,0)</f>
        <v>0</v>
      </c>
      <c r="M306" s="1371">
        <f t="shared" si="53"/>
        <v>911831</v>
      </c>
      <c r="N306" s="2212" t="e">
        <f>IF('Report-M&amp;O1920'!C$18-'Report-SOF1920'!D$55&lt;=0,0,'Report-M&amp;O1920'!C$18-'Report-SOF1920'!D$55)</f>
        <v>#DIV/0!</v>
      </c>
      <c r="O306" s="2452" t="e">
        <f t="shared" si="54"/>
        <v>#DIV/0!</v>
      </c>
      <c r="P306" s="2449">
        <f>IF(A306='Data Entry - SOF'!B$2,'Data Entry - SOF'!I$64,0)</f>
        <v>0</v>
      </c>
      <c r="Q306" s="1687">
        <f t="shared" si="48"/>
        <v>911831</v>
      </c>
      <c r="R306" s="2212" t="e">
        <f>IF('Report-M&amp;O2021'!C$18-'Report-SOF2021'!D$55&lt;=0,0,'Report-M&amp;O2021'!C$18-'Report-SOF2021'!D$55)</f>
        <v>#DIV/0!</v>
      </c>
      <c r="S306" s="2452" t="e">
        <f t="shared" si="55"/>
        <v>#DIV/0!</v>
      </c>
      <c r="T306" s="1708">
        <f>IF(A306='Data Entry - SOF'!B$2,'Data Entry - SOF'!K$64,0)</f>
        <v>0</v>
      </c>
      <c r="U306" s="1687">
        <f t="shared" si="58"/>
        <v>911831</v>
      </c>
      <c r="V306" s="2212" t="e">
        <f>IF('Report-M&amp;O2122'!C$18-'Report-SOF2122'!D$55&lt;=0,0,'Report-M&amp;O2122'!C$18-'Report-SOF2122'!D$55)</f>
        <v>#DIV/0!</v>
      </c>
      <c r="W306" s="2452" t="e">
        <f t="shared" si="56"/>
        <v>#DIV/0!</v>
      </c>
      <c r="X306" s="1708">
        <f>IF(A306='Data Entry - SOF'!B$2,'Data Entry - SOF'!M$64,0)</f>
        <v>0</v>
      </c>
      <c r="Y306" s="1371" t="e">
        <f t="shared" si="57"/>
        <v>#DIV/0!</v>
      </c>
      <c r="Z306" s="2212" t="e">
        <f>IF('Report-M&amp;O2223'!C$18-'Report-SOF2223'!D$55&lt;=0,0,'Report-M&amp;O2223'!C$18-'Report-SOF2223'!D$55)</f>
        <v>#DIV/0!</v>
      </c>
      <c r="AA306" s="1708">
        <f>IF(A306='Data Entry - SOF'!B$2,'Data Entry - SOF'!O$64,0)</f>
        <v>0</v>
      </c>
    </row>
    <row r="307" spans="1:27" ht="15.75">
      <c r="A307" s="1076" t="s">
        <v>1961</v>
      </c>
      <c r="B307">
        <v>998261</v>
      </c>
      <c r="C307" s="2452" t="e">
        <f>#REF!+#REF!</f>
        <v>#REF!</v>
      </c>
      <c r="D307" s="2449">
        <f>IF(A307='Data Entry - SOF'!B$2,'Data Entry - SOF'!C$64,0)</f>
        <v>0</v>
      </c>
      <c r="E307" s="2450">
        <f t="shared" si="49"/>
        <v>998261</v>
      </c>
      <c r="F307" s="2212" t="e">
        <f>IF('Report-M&amp;O1718'!C$18-'Report-SOF1718'!D$55&lt;=0,0,'Report-M&amp;O1718'!C$18-'Report-SOF1718'!D$55)</f>
        <v>#DIV/0!</v>
      </c>
      <c r="G307" s="2452" t="e">
        <f t="shared" si="50"/>
        <v>#DIV/0!</v>
      </c>
      <c r="H307" s="2449">
        <f>IF(A307='Data Entry - SOF'!B$2,'Data Entry - SOF'!E$64,0)</f>
        <v>0</v>
      </c>
      <c r="I307" s="1687">
        <f t="shared" si="51"/>
        <v>998261</v>
      </c>
      <c r="J307" s="2212" t="e">
        <f>IF('Report-M&amp;O1819'!C$18-'Report-SOF1819'!D$55&lt;=0,0,'Report-M&amp;O1819'!C$18-'Report-SOF1819'!D$55)</f>
        <v>#DIV/0!</v>
      </c>
      <c r="K307" s="2452" t="e">
        <f t="shared" si="52"/>
        <v>#DIV/0!</v>
      </c>
      <c r="L307" s="2449">
        <f>IF(A307='Data Entry - SOF'!B$2,'Data Entry - SOF'!G$64,0)</f>
        <v>0</v>
      </c>
      <c r="M307" s="1371">
        <f t="shared" si="53"/>
        <v>998261</v>
      </c>
      <c r="N307" s="2212" t="e">
        <f>IF('Report-M&amp;O1920'!C$18-'Report-SOF1920'!D$55&lt;=0,0,'Report-M&amp;O1920'!C$18-'Report-SOF1920'!D$55)</f>
        <v>#DIV/0!</v>
      </c>
      <c r="O307" s="2452" t="e">
        <f t="shared" si="54"/>
        <v>#DIV/0!</v>
      </c>
      <c r="P307" s="2449">
        <f>IF(A307='Data Entry - SOF'!B$2,'Data Entry - SOF'!I$64,0)</f>
        <v>0</v>
      </c>
      <c r="Q307" s="1687">
        <f t="shared" si="48"/>
        <v>998261</v>
      </c>
      <c r="R307" s="2212" t="e">
        <f>IF('Report-M&amp;O2021'!C$18-'Report-SOF2021'!D$55&lt;=0,0,'Report-M&amp;O2021'!C$18-'Report-SOF2021'!D$55)</f>
        <v>#DIV/0!</v>
      </c>
      <c r="S307" s="2452" t="e">
        <f t="shared" si="55"/>
        <v>#DIV/0!</v>
      </c>
      <c r="T307" s="1708">
        <f>IF(A307='Data Entry - SOF'!B$2,'Data Entry - SOF'!K$64,0)</f>
        <v>0</v>
      </c>
      <c r="U307" s="1687">
        <f t="shared" si="58"/>
        <v>998261</v>
      </c>
      <c r="V307" s="2212" t="e">
        <f>IF('Report-M&amp;O2122'!C$18-'Report-SOF2122'!D$55&lt;=0,0,'Report-M&amp;O2122'!C$18-'Report-SOF2122'!D$55)</f>
        <v>#DIV/0!</v>
      </c>
      <c r="W307" s="2452" t="e">
        <f t="shared" si="56"/>
        <v>#DIV/0!</v>
      </c>
      <c r="X307" s="1708">
        <f>IF(A307='Data Entry - SOF'!B$2,'Data Entry - SOF'!M$64,0)</f>
        <v>0</v>
      </c>
      <c r="Y307" s="1371" t="e">
        <f t="shared" si="57"/>
        <v>#DIV/0!</v>
      </c>
      <c r="Z307" s="2212" t="e">
        <f>IF('Report-M&amp;O2223'!C$18-'Report-SOF2223'!D$55&lt;=0,0,'Report-M&amp;O2223'!C$18-'Report-SOF2223'!D$55)</f>
        <v>#DIV/0!</v>
      </c>
      <c r="AA307" s="1708">
        <f>IF(A307='Data Entry - SOF'!B$2,'Data Entry - SOF'!O$64,0)</f>
        <v>0</v>
      </c>
    </row>
    <row r="308" spans="1:27" ht="15.75">
      <c r="A308" s="1076" t="s">
        <v>1402</v>
      </c>
      <c r="B308">
        <v>705277</v>
      </c>
      <c r="C308" s="2452" t="e">
        <f>#REF!+#REF!</f>
        <v>#REF!</v>
      </c>
      <c r="D308" s="2449">
        <f>IF(A308='Data Entry - SOF'!B$2,'Data Entry - SOF'!C$64,0)</f>
        <v>0</v>
      </c>
      <c r="E308" s="2450">
        <f t="shared" si="49"/>
        <v>705277</v>
      </c>
      <c r="F308" s="2212" t="e">
        <f>IF('Report-M&amp;O1718'!C$18-'Report-SOF1718'!D$55&lt;=0,0,'Report-M&amp;O1718'!C$18-'Report-SOF1718'!D$55)</f>
        <v>#DIV/0!</v>
      </c>
      <c r="G308" s="2452" t="e">
        <f t="shared" si="50"/>
        <v>#DIV/0!</v>
      </c>
      <c r="H308" s="2449">
        <f>IF(A308='Data Entry - SOF'!B$2,'Data Entry - SOF'!E$64,0)</f>
        <v>0</v>
      </c>
      <c r="I308" s="1687">
        <f t="shared" si="51"/>
        <v>705277</v>
      </c>
      <c r="J308" s="2212" t="e">
        <f>IF('Report-M&amp;O1819'!C$18-'Report-SOF1819'!D$55&lt;=0,0,'Report-M&amp;O1819'!C$18-'Report-SOF1819'!D$55)</f>
        <v>#DIV/0!</v>
      </c>
      <c r="K308" s="2452" t="e">
        <f t="shared" si="52"/>
        <v>#DIV/0!</v>
      </c>
      <c r="L308" s="2449">
        <f>IF(A308='Data Entry - SOF'!B$2,'Data Entry - SOF'!G$64,0)</f>
        <v>0</v>
      </c>
      <c r="M308" s="1371">
        <f t="shared" si="53"/>
        <v>705277</v>
      </c>
      <c r="N308" s="2212" t="e">
        <f>IF('Report-M&amp;O1920'!C$18-'Report-SOF1920'!D$55&lt;=0,0,'Report-M&amp;O1920'!C$18-'Report-SOF1920'!D$55)</f>
        <v>#DIV/0!</v>
      </c>
      <c r="O308" s="2452" t="e">
        <f t="shared" si="54"/>
        <v>#DIV/0!</v>
      </c>
      <c r="P308" s="2449">
        <f>IF(A308='Data Entry - SOF'!B$2,'Data Entry - SOF'!I$64,0)</f>
        <v>0</v>
      </c>
      <c r="Q308" s="1687">
        <f t="shared" si="48"/>
        <v>705277</v>
      </c>
      <c r="R308" s="2212" t="e">
        <f>IF('Report-M&amp;O2021'!C$18-'Report-SOF2021'!D$55&lt;=0,0,'Report-M&amp;O2021'!C$18-'Report-SOF2021'!D$55)</f>
        <v>#DIV/0!</v>
      </c>
      <c r="S308" s="2452" t="e">
        <f t="shared" si="55"/>
        <v>#DIV/0!</v>
      </c>
      <c r="T308" s="1708">
        <f>IF(A308='Data Entry - SOF'!B$2,'Data Entry - SOF'!K$64,0)</f>
        <v>0</v>
      </c>
      <c r="U308" s="1687">
        <f t="shared" si="58"/>
        <v>705277</v>
      </c>
      <c r="V308" s="2212" t="e">
        <f>IF('Report-M&amp;O2122'!C$18-'Report-SOF2122'!D$55&lt;=0,0,'Report-M&amp;O2122'!C$18-'Report-SOF2122'!D$55)</f>
        <v>#DIV/0!</v>
      </c>
      <c r="W308" s="2452" t="e">
        <f t="shared" si="56"/>
        <v>#DIV/0!</v>
      </c>
      <c r="X308" s="1708">
        <f>IF(A308='Data Entry - SOF'!B$2,'Data Entry - SOF'!M$64,0)</f>
        <v>0</v>
      </c>
      <c r="Y308" s="1371" t="e">
        <f t="shared" si="57"/>
        <v>#DIV/0!</v>
      </c>
      <c r="Z308" s="2212" t="e">
        <f>IF('Report-M&amp;O2223'!C$18-'Report-SOF2223'!D$55&lt;=0,0,'Report-M&amp;O2223'!C$18-'Report-SOF2223'!D$55)</f>
        <v>#DIV/0!</v>
      </c>
      <c r="AA308" s="1708">
        <f>IF(A308='Data Entry - SOF'!B$2,'Data Entry - SOF'!O$64,0)</f>
        <v>0</v>
      </c>
    </row>
    <row r="309" spans="1:27" ht="15.75">
      <c r="A309" s="1076" t="s">
        <v>2948</v>
      </c>
      <c r="B309">
        <v>5108412</v>
      </c>
      <c r="C309" s="2452" t="e">
        <f>#REF!+#REF!</f>
        <v>#REF!</v>
      </c>
      <c r="D309" s="2449">
        <f>IF(A309='Data Entry - SOF'!B$2,'Data Entry - SOF'!C$64,0)</f>
        <v>0</v>
      </c>
      <c r="E309" s="2450">
        <f t="shared" si="49"/>
        <v>5108412</v>
      </c>
      <c r="F309" s="2212" t="e">
        <f>IF('Report-M&amp;O1718'!C$18-'Report-SOF1718'!D$55&lt;=0,0,'Report-M&amp;O1718'!C$18-'Report-SOF1718'!D$55)</f>
        <v>#DIV/0!</v>
      </c>
      <c r="G309" s="2452" t="e">
        <f t="shared" si="50"/>
        <v>#DIV/0!</v>
      </c>
      <c r="H309" s="2449">
        <f>IF(A309='Data Entry - SOF'!B$2,'Data Entry - SOF'!E$64,0)</f>
        <v>0</v>
      </c>
      <c r="I309" s="1687">
        <f t="shared" si="51"/>
        <v>5108412</v>
      </c>
      <c r="J309" s="2212" t="e">
        <f>IF('Report-M&amp;O1819'!C$18-'Report-SOF1819'!D$55&lt;=0,0,'Report-M&amp;O1819'!C$18-'Report-SOF1819'!D$55)</f>
        <v>#DIV/0!</v>
      </c>
      <c r="K309" s="2452" t="e">
        <f t="shared" si="52"/>
        <v>#DIV/0!</v>
      </c>
      <c r="L309" s="2449">
        <f>IF(A309='Data Entry - SOF'!B$2,'Data Entry - SOF'!G$64,0)</f>
        <v>0</v>
      </c>
      <c r="M309" s="1371">
        <f t="shared" si="53"/>
        <v>5108412</v>
      </c>
      <c r="N309" s="2212" t="e">
        <f>IF('Report-M&amp;O1920'!C$18-'Report-SOF1920'!D$55&lt;=0,0,'Report-M&amp;O1920'!C$18-'Report-SOF1920'!D$55)</f>
        <v>#DIV/0!</v>
      </c>
      <c r="O309" s="2452" t="e">
        <f t="shared" si="54"/>
        <v>#DIV/0!</v>
      </c>
      <c r="P309" s="2449">
        <f>IF(A309='Data Entry - SOF'!B$2,'Data Entry - SOF'!I$64,0)</f>
        <v>0</v>
      </c>
      <c r="Q309" s="1687">
        <f t="shared" si="48"/>
        <v>5108412</v>
      </c>
      <c r="R309" s="2212" t="e">
        <f>IF('Report-M&amp;O2021'!C$18-'Report-SOF2021'!D$55&lt;=0,0,'Report-M&amp;O2021'!C$18-'Report-SOF2021'!D$55)</f>
        <v>#DIV/0!</v>
      </c>
      <c r="S309" s="2452" t="e">
        <f t="shared" si="55"/>
        <v>#DIV/0!</v>
      </c>
      <c r="T309" s="1708">
        <f>IF(A309='Data Entry - SOF'!B$2,'Data Entry - SOF'!K$64,0)</f>
        <v>0</v>
      </c>
      <c r="U309" s="1687">
        <f t="shared" si="58"/>
        <v>5108412</v>
      </c>
      <c r="V309" s="2212" t="e">
        <f>IF('Report-M&amp;O2122'!C$18-'Report-SOF2122'!D$55&lt;=0,0,'Report-M&amp;O2122'!C$18-'Report-SOF2122'!D$55)</f>
        <v>#DIV/0!</v>
      </c>
      <c r="W309" s="2452" t="e">
        <f t="shared" si="56"/>
        <v>#DIV/0!</v>
      </c>
      <c r="X309" s="1708">
        <f>IF(A309='Data Entry - SOF'!B$2,'Data Entry - SOF'!M$64,0)</f>
        <v>0</v>
      </c>
      <c r="Y309" s="1371" t="e">
        <f t="shared" si="57"/>
        <v>#DIV/0!</v>
      </c>
      <c r="Z309" s="2212" t="e">
        <f>IF('Report-M&amp;O2223'!C$18-'Report-SOF2223'!D$55&lt;=0,0,'Report-M&amp;O2223'!C$18-'Report-SOF2223'!D$55)</f>
        <v>#DIV/0!</v>
      </c>
      <c r="AA309" s="1708">
        <f>IF(A309='Data Entry - SOF'!B$2,'Data Entry - SOF'!O$64,0)</f>
        <v>0</v>
      </c>
    </row>
    <row r="310" spans="1:27" ht="15.75">
      <c r="A310" s="1076" t="s">
        <v>1911</v>
      </c>
      <c r="B310">
        <v>3810893</v>
      </c>
      <c r="C310" s="2452" t="e">
        <f>#REF!+#REF!</f>
        <v>#REF!</v>
      </c>
      <c r="D310" s="2449">
        <f>IF(A310='Data Entry - SOF'!B$2,'Data Entry - SOF'!C$64,0)</f>
        <v>0</v>
      </c>
      <c r="E310" s="2450">
        <f t="shared" si="49"/>
        <v>3810893</v>
      </c>
      <c r="F310" s="2212" t="e">
        <f>IF('Report-M&amp;O1718'!C$18-'Report-SOF1718'!D$55&lt;=0,0,'Report-M&amp;O1718'!C$18-'Report-SOF1718'!D$55)</f>
        <v>#DIV/0!</v>
      </c>
      <c r="G310" s="2452" t="e">
        <f t="shared" si="50"/>
        <v>#DIV/0!</v>
      </c>
      <c r="H310" s="2449">
        <f>IF(A310='Data Entry - SOF'!B$2,'Data Entry - SOF'!E$64,0)</f>
        <v>0</v>
      </c>
      <c r="I310" s="1687">
        <f t="shared" si="51"/>
        <v>3810893</v>
      </c>
      <c r="J310" s="2212" t="e">
        <f>IF('Report-M&amp;O1819'!C$18-'Report-SOF1819'!D$55&lt;=0,0,'Report-M&amp;O1819'!C$18-'Report-SOF1819'!D$55)</f>
        <v>#DIV/0!</v>
      </c>
      <c r="K310" s="2452" t="e">
        <f t="shared" si="52"/>
        <v>#DIV/0!</v>
      </c>
      <c r="L310" s="2449">
        <f>IF(A310='Data Entry - SOF'!B$2,'Data Entry - SOF'!G$64,0)</f>
        <v>0</v>
      </c>
      <c r="M310" s="1371">
        <f t="shared" si="53"/>
        <v>3810893</v>
      </c>
      <c r="N310" s="2212" t="e">
        <f>IF('Report-M&amp;O1920'!C$18-'Report-SOF1920'!D$55&lt;=0,0,'Report-M&amp;O1920'!C$18-'Report-SOF1920'!D$55)</f>
        <v>#DIV/0!</v>
      </c>
      <c r="O310" s="2452" t="e">
        <f t="shared" si="54"/>
        <v>#DIV/0!</v>
      </c>
      <c r="P310" s="2449">
        <f>IF(A310='Data Entry - SOF'!B$2,'Data Entry - SOF'!I$64,0)</f>
        <v>0</v>
      </c>
      <c r="Q310" s="1687">
        <f t="shared" si="48"/>
        <v>3810893</v>
      </c>
      <c r="R310" s="2212" t="e">
        <f>IF('Report-M&amp;O2021'!C$18-'Report-SOF2021'!D$55&lt;=0,0,'Report-M&amp;O2021'!C$18-'Report-SOF2021'!D$55)</f>
        <v>#DIV/0!</v>
      </c>
      <c r="S310" s="2452" t="e">
        <f t="shared" si="55"/>
        <v>#DIV/0!</v>
      </c>
      <c r="T310" s="1708">
        <f>IF(A310='Data Entry - SOF'!B$2,'Data Entry - SOF'!K$64,0)</f>
        <v>0</v>
      </c>
      <c r="U310" s="1687">
        <f t="shared" si="58"/>
        <v>3810893</v>
      </c>
      <c r="V310" s="2212" t="e">
        <f>IF('Report-M&amp;O2122'!C$18-'Report-SOF2122'!D$55&lt;=0,0,'Report-M&amp;O2122'!C$18-'Report-SOF2122'!D$55)</f>
        <v>#DIV/0!</v>
      </c>
      <c r="W310" s="2452" t="e">
        <f t="shared" si="56"/>
        <v>#DIV/0!</v>
      </c>
      <c r="X310" s="1708">
        <f>IF(A310='Data Entry - SOF'!B$2,'Data Entry - SOF'!M$64,0)</f>
        <v>0</v>
      </c>
      <c r="Y310" s="1371" t="e">
        <f t="shared" si="57"/>
        <v>#DIV/0!</v>
      </c>
      <c r="Z310" s="2212" t="e">
        <f>IF('Report-M&amp;O2223'!C$18-'Report-SOF2223'!D$55&lt;=0,0,'Report-M&amp;O2223'!C$18-'Report-SOF2223'!D$55)</f>
        <v>#DIV/0!</v>
      </c>
      <c r="AA310" s="1708">
        <f>IF(A310='Data Entry - SOF'!B$2,'Data Entry - SOF'!O$64,0)</f>
        <v>0</v>
      </c>
    </row>
    <row r="311" spans="1:27" ht="15.75">
      <c r="A311" s="1076" t="s">
        <v>1912</v>
      </c>
      <c r="B311">
        <v>3788420</v>
      </c>
      <c r="C311" s="2452" t="e">
        <f>#REF!+#REF!</f>
        <v>#REF!</v>
      </c>
      <c r="D311" s="2449">
        <f>IF(A311='Data Entry - SOF'!B$2,'Data Entry - SOF'!C$64,0)</f>
        <v>0</v>
      </c>
      <c r="E311" s="2450">
        <f t="shared" si="49"/>
        <v>3788420</v>
      </c>
      <c r="F311" s="2212" t="e">
        <f>IF('Report-M&amp;O1718'!C$18-'Report-SOF1718'!D$55&lt;=0,0,'Report-M&amp;O1718'!C$18-'Report-SOF1718'!D$55)</f>
        <v>#DIV/0!</v>
      </c>
      <c r="G311" s="2452" t="e">
        <f t="shared" si="50"/>
        <v>#DIV/0!</v>
      </c>
      <c r="H311" s="2449">
        <f>IF(A311='Data Entry - SOF'!B$2,'Data Entry - SOF'!E$64,0)</f>
        <v>0</v>
      </c>
      <c r="I311" s="1687">
        <f t="shared" si="51"/>
        <v>3788420</v>
      </c>
      <c r="J311" s="2212" t="e">
        <f>IF('Report-M&amp;O1819'!C$18-'Report-SOF1819'!D$55&lt;=0,0,'Report-M&amp;O1819'!C$18-'Report-SOF1819'!D$55)</f>
        <v>#DIV/0!</v>
      </c>
      <c r="K311" s="2452" t="e">
        <f t="shared" si="52"/>
        <v>#DIV/0!</v>
      </c>
      <c r="L311" s="2449">
        <f>IF(A311='Data Entry - SOF'!B$2,'Data Entry - SOF'!G$64,0)</f>
        <v>0</v>
      </c>
      <c r="M311" s="1371">
        <f t="shared" si="53"/>
        <v>3788420</v>
      </c>
      <c r="N311" s="2212" t="e">
        <f>IF('Report-M&amp;O1920'!C$18-'Report-SOF1920'!D$55&lt;=0,0,'Report-M&amp;O1920'!C$18-'Report-SOF1920'!D$55)</f>
        <v>#DIV/0!</v>
      </c>
      <c r="O311" s="2452" t="e">
        <f t="shared" si="54"/>
        <v>#DIV/0!</v>
      </c>
      <c r="P311" s="2449">
        <f>IF(A311='Data Entry - SOF'!B$2,'Data Entry - SOF'!I$64,0)</f>
        <v>0</v>
      </c>
      <c r="Q311" s="1687">
        <f t="shared" si="48"/>
        <v>3788420</v>
      </c>
      <c r="R311" s="2212" t="e">
        <f>IF('Report-M&amp;O2021'!C$18-'Report-SOF2021'!D$55&lt;=0,0,'Report-M&amp;O2021'!C$18-'Report-SOF2021'!D$55)</f>
        <v>#DIV/0!</v>
      </c>
      <c r="S311" s="2452" t="e">
        <f t="shared" si="55"/>
        <v>#DIV/0!</v>
      </c>
      <c r="T311" s="1708">
        <f>IF(A311='Data Entry - SOF'!B$2,'Data Entry - SOF'!K$64,0)</f>
        <v>0</v>
      </c>
      <c r="U311" s="1687">
        <f t="shared" si="58"/>
        <v>3788420</v>
      </c>
      <c r="V311" s="2212" t="e">
        <f>IF('Report-M&amp;O2122'!C$18-'Report-SOF2122'!D$55&lt;=0,0,'Report-M&amp;O2122'!C$18-'Report-SOF2122'!D$55)</f>
        <v>#DIV/0!</v>
      </c>
      <c r="W311" s="2452" t="e">
        <f t="shared" si="56"/>
        <v>#DIV/0!</v>
      </c>
      <c r="X311" s="1708">
        <f>IF(A311='Data Entry - SOF'!B$2,'Data Entry - SOF'!M$64,0)</f>
        <v>0</v>
      </c>
      <c r="Y311" s="1371" t="e">
        <f t="shared" si="57"/>
        <v>#DIV/0!</v>
      </c>
      <c r="Z311" s="2212" t="e">
        <f>IF('Report-M&amp;O2223'!C$18-'Report-SOF2223'!D$55&lt;=0,0,'Report-M&amp;O2223'!C$18-'Report-SOF2223'!D$55)</f>
        <v>#DIV/0!</v>
      </c>
      <c r="AA311" s="1708">
        <f>IF(A311='Data Entry - SOF'!B$2,'Data Entry - SOF'!O$64,0)</f>
        <v>0</v>
      </c>
    </row>
    <row r="312" spans="1:27" ht="15.75">
      <c r="A312" s="1076" t="s">
        <v>1037</v>
      </c>
      <c r="B312">
        <v>1484769</v>
      </c>
      <c r="C312" s="2452" t="e">
        <f>#REF!+#REF!</f>
        <v>#REF!</v>
      </c>
      <c r="D312" s="2449">
        <f>IF(A312='Data Entry - SOF'!B$2,'Data Entry - SOF'!C$64,0)</f>
        <v>0</v>
      </c>
      <c r="E312" s="2450">
        <f t="shared" si="49"/>
        <v>1484769</v>
      </c>
      <c r="F312" s="2212" t="e">
        <f>IF('Report-M&amp;O1718'!C$18-'Report-SOF1718'!D$55&lt;=0,0,'Report-M&amp;O1718'!C$18-'Report-SOF1718'!D$55)</f>
        <v>#DIV/0!</v>
      </c>
      <c r="G312" s="2452" t="e">
        <f t="shared" si="50"/>
        <v>#DIV/0!</v>
      </c>
      <c r="H312" s="2449">
        <f>IF(A312='Data Entry - SOF'!B$2,'Data Entry - SOF'!E$64,0)</f>
        <v>0</v>
      </c>
      <c r="I312" s="1687">
        <f t="shared" si="51"/>
        <v>1484769</v>
      </c>
      <c r="J312" s="2212" t="e">
        <f>IF('Report-M&amp;O1819'!C$18-'Report-SOF1819'!D$55&lt;=0,0,'Report-M&amp;O1819'!C$18-'Report-SOF1819'!D$55)</f>
        <v>#DIV/0!</v>
      </c>
      <c r="K312" s="2452" t="e">
        <f t="shared" si="52"/>
        <v>#DIV/0!</v>
      </c>
      <c r="L312" s="2449">
        <f>IF(A312='Data Entry - SOF'!B$2,'Data Entry - SOF'!G$64,0)</f>
        <v>0</v>
      </c>
      <c r="M312" s="1371">
        <f t="shared" si="53"/>
        <v>1484769</v>
      </c>
      <c r="N312" s="2212" t="e">
        <f>IF('Report-M&amp;O1920'!C$18-'Report-SOF1920'!D$55&lt;=0,0,'Report-M&amp;O1920'!C$18-'Report-SOF1920'!D$55)</f>
        <v>#DIV/0!</v>
      </c>
      <c r="O312" s="2452" t="e">
        <f t="shared" si="54"/>
        <v>#DIV/0!</v>
      </c>
      <c r="P312" s="2449">
        <f>IF(A312='Data Entry - SOF'!B$2,'Data Entry - SOF'!I$64,0)</f>
        <v>0</v>
      </c>
      <c r="Q312" s="1687">
        <f t="shared" si="48"/>
        <v>1484769</v>
      </c>
      <c r="R312" s="2212" t="e">
        <f>IF('Report-M&amp;O2021'!C$18-'Report-SOF2021'!D$55&lt;=0,0,'Report-M&amp;O2021'!C$18-'Report-SOF2021'!D$55)</f>
        <v>#DIV/0!</v>
      </c>
      <c r="S312" s="2452" t="e">
        <f t="shared" si="55"/>
        <v>#DIV/0!</v>
      </c>
      <c r="T312" s="1708">
        <f>IF(A312='Data Entry - SOF'!B$2,'Data Entry - SOF'!K$64,0)</f>
        <v>0</v>
      </c>
      <c r="U312" s="1687">
        <f t="shared" si="58"/>
        <v>1484769</v>
      </c>
      <c r="V312" s="2212" t="e">
        <f>IF('Report-M&amp;O2122'!C$18-'Report-SOF2122'!D$55&lt;=0,0,'Report-M&amp;O2122'!C$18-'Report-SOF2122'!D$55)</f>
        <v>#DIV/0!</v>
      </c>
      <c r="W312" s="2452" t="e">
        <f t="shared" si="56"/>
        <v>#DIV/0!</v>
      </c>
      <c r="X312" s="1708">
        <f>IF(A312='Data Entry - SOF'!B$2,'Data Entry - SOF'!M$64,0)</f>
        <v>0</v>
      </c>
      <c r="Y312" s="1371" t="e">
        <f t="shared" si="57"/>
        <v>#DIV/0!</v>
      </c>
      <c r="Z312" s="2212" t="e">
        <f>IF('Report-M&amp;O2223'!C$18-'Report-SOF2223'!D$55&lt;=0,0,'Report-M&amp;O2223'!C$18-'Report-SOF2223'!D$55)</f>
        <v>#DIV/0!</v>
      </c>
      <c r="AA312" s="1708">
        <f>IF(A312='Data Entry - SOF'!B$2,'Data Entry - SOF'!O$64,0)</f>
        <v>0</v>
      </c>
    </row>
    <row r="313" spans="1:27" ht="15.75">
      <c r="A313" s="1076" t="s">
        <v>73</v>
      </c>
      <c r="B313">
        <v>3195582</v>
      </c>
      <c r="C313" s="2452" t="e">
        <f>#REF!+#REF!</f>
        <v>#REF!</v>
      </c>
      <c r="D313" s="2449">
        <f>IF(A313='Data Entry - SOF'!B$2,'Data Entry - SOF'!C$64,0)</f>
        <v>0</v>
      </c>
      <c r="E313" s="2450">
        <f t="shared" si="49"/>
        <v>3195582</v>
      </c>
      <c r="F313" s="2212" t="e">
        <f>IF('Report-M&amp;O1718'!C$18-'Report-SOF1718'!D$55&lt;=0,0,'Report-M&amp;O1718'!C$18-'Report-SOF1718'!D$55)</f>
        <v>#DIV/0!</v>
      </c>
      <c r="G313" s="2452" t="e">
        <f t="shared" si="50"/>
        <v>#DIV/0!</v>
      </c>
      <c r="H313" s="2449">
        <f>IF(A313='Data Entry - SOF'!B$2,'Data Entry - SOF'!E$64,0)</f>
        <v>0</v>
      </c>
      <c r="I313" s="1687">
        <f t="shared" si="51"/>
        <v>3195582</v>
      </c>
      <c r="J313" s="2212" t="e">
        <f>IF('Report-M&amp;O1819'!C$18-'Report-SOF1819'!D$55&lt;=0,0,'Report-M&amp;O1819'!C$18-'Report-SOF1819'!D$55)</f>
        <v>#DIV/0!</v>
      </c>
      <c r="K313" s="2452" t="e">
        <f t="shared" si="52"/>
        <v>#DIV/0!</v>
      </c>
      <c r="L313" s="2449">
        <f>IF(A313='Data Entry - SOF'!B$2,'Data Entry - SOF'!G$64,0)</f>
        <v>0</v>
      </c>
      <c r="M313" s="1371">
        <f t="shared" si="53"/>
        <v>3195582</v>
      </c>
      <c r="N313" s="2212" t="e">
        <f>IF('Report-M&amp;O1920'!C$18-'Report-SOF1920'!D$55&lt;=0,0,'Report-M&amp;O1920'!C$18-'Report-SOF1920'!D$55)</f>
        <v>#DIV/0!</v>
      </c>
      <c r="O313" s="2452" t="e">
        <f t="shared" si="54"/>
        <v>#DIV/0!</v>
      </c>
      <c r="P313" s="2449">
        <f>IF(A313='Data Entry - SOF'!B$2,'Data Entry - SOF'!I$64,0)</f>
        <v>0</v>
      </c>
      <c r="Q313" s="1687">
        <f t="shared" si="48"/>
        <v>3195582</v>
      </c>
      <c r="R313" s="2212" t="e">
        <f>IF('Report-M&amp;O2021'!C$18-'Report-SOF2021'!D$55&lt;=0,0,'Report-M&amp;O2021'!C$18-'Report-SOF2021'!D$55)</f>
        <v>#DIV/0!</v>
      </c>
      <c r="S313" s="2452" t="e">
        <f t="shared" si="55"/>
        <v>#DIV/0!</v>
      </c>
      <c r="T313" s="1708">
        <f>IF(A313='Data Entry - SOF'!B$2,'Data Entry - SOF'!K$64,0)</f>
        <v>0</v>
      </c>
      <c r="U313" s="1687">
        <f t="shared" si="58"/>
        <v>3195582</v>
      </c>
      <c r="V313" s="2212" t="e">
        <f>IF('Report-M&amp;O2122'!C$18-'Report-SOF2122'!D$55&lt;=0,0,'Report-M&amp;O2122'!C$18-'Report-SOF2122'!D$55)</f>
        <v>#DIV/0!</v>
      </c>
      <c r="W313" s="2452" t="e">
        <f t="shared" si="56"/>
        <v>#DIV/0!</v>
      </c>
      <c r="X313" s="1708">
        <f>IF(A313='Data Entry - SOF'!B$2,'Data Entry - SOF'!M$64,0)</f>
        <v>0</v>
      </c>
      <c r="Y313" s="1371" t="e">
        <f t="shared" si="57"/>
        <v>#DIV/0!</v>
      </c>
      <c r="Z313" s="2212" t="e">
        <f>IF('Report-M&amp;O2223'!C$18-'Report-SOF2223'!D$55&lt;=0,0,'Report-M&amp;O2223'!C$18-'Report-SOF2223'!D$55)</f>
        <v>#DIV/0!</v>
      </c>
      <c r="AA313" s="1708">
        <f>IF(A313='Data Entry - SOF'!B$2,'Data Entry - SOF'!O$64,0)</f>
        <v>0</v>
      </c>
    </row>
    <row r="314" spans="1:27" ht="15.75">
      <c r="A314" s="1076" t="s">
        <v>853</v>
      </c>
      <c r="B314">
        <v>720520</v>
      </c>
      <c r="C314" s="2452" t="e">
        <f>#REF!+#REF!</f>
        <v>#REF!</v>
      </c>
      <c r="D314" s="2449">
        <f>IF(A314='Data Entry - SOF'!B$2,'Data Entry - SOF'!C$64,0)</f>
        <v>0</v>
      </c>
      <c r="E314" s="2450">
        <f t="shared" si="49"/>
        <v>720520</v>
      </c>
      <c r="F314" s="2212" t="e">
        <f>IF('Report-M&amp;O1718'!C$18-'Report-SOF1718'!D$55&lt;=0,0,'Report-M&amp;O1718'!C$18-'Report-SOF1718'!D$55)</f>
        <v>#DIV/0!</v>
      </c>
      <c r="G314" s="2452" t="e">
        <f t="shared" si="50"/>
        <v>#DIV/0!</v>
      </c>
      <c r="H314" s="2449">
        <f>IF(A314='Data Entry - SOF'!B$2,'Data Entry - SOF'!E$64,0)</f>
        <v>0</v>
      </c>
      <c r="I314" s="1687">
        <f t="shared" si="51"/>
        <v>720520</v>
      </c>
      <c r="J314" s="2212" t="e">
        <f>IF('Report-M&amp;O1819'!C$18-'Report-SOF1819'!D$55&lt;=0,0,'Report-M&amp;O1819'!C$18-'Report-SOF1819'!D$55)</f>
        <v>#DIV/0!</v>
      </c>
      <c r="K314" s="2452" t="e">
        <f t="shared" si="52"/>
        <v>#DIV/0!</v>
      </c>
      <c r="L314" s="2449">
        <f>IF(A314='Data Entry - SOF'!B$2,'Data Entry - SOF'!G$64,0)</f>
        <v>0</v>
      </c>
      <c r="M314" s="1371">
        <f t="shared" si="53"/>
        <v>720520</v>
      </c>
      <c r="N314" s="2212" t="e">
        <f>IF('Report-M&amp;O1920'!C$18-'Report-SOF1920'!D$55&lt;=0,0,'Report-M&amp;O1920'!C$18-'Report-SOF1920'!D$55)</f>
        <v>#DIV/0!</v>
      </c>
      <c r="O314" s="2452" t="e">
        <f t="shared" si="54"/>
        <v>#DIV/0!</v>
      </c>
      <c r="P314" s="2449">
        <f>IF(A314='Data Entry - SOF'!B$2,'Data Entry - SOF'!I$64,0)</f>
        <v>0</v>
      </c>
      <c r="Q314" s="1687">
        <f t="shared" si="48"/>
        <v>720520</v>
      </c>
      <c r="R314" s="2212" t="e">
        <f>IF('Report-M&amp;O2021'!C$18-'Report-SOF2021'!D$55&lt;=0,0,'Report-M&amp;O2021'!C$18-'Report-SOF2021'!D$55)</f>
        <v>#DIV/0!</v>
      </c>
      <c r="S314" s="2452" t="e">
        <f t="shared" si="55"/>
        <v>#DIV/0!</v>
      </c>
      <c r="T314" s="1708">
        <f>IF(A314='Data Entry - SOF'!B$2,'Data Entry - SOF'!K$64,0)</f>
        <v>0</v>
      </c>
      <c r="U314" s="1687">
        <f t="shared" si="58"/>
        <v>720520</v>
      </c>
      <c r="V314" s="2212" t="e">
        <f>IF('Report-M&amp;O2122'!C$18-'Report-SOF2122'!D$55&lt;=0,0,'Report-M&amp;O2122'!C$18-'Report-SOF2122'!D$55)</f>
        <v>#DIV/0!</v>
      </c>
      <c r="W314" s="2452" t="e">
        <f t="shared" si="56"/>
        <v>#DIV/0!</v>
      </c>
      <c r="X314" s="1708">
        <f>IF(A314='Data Entry - SOF'!B$2,'Data Entry - SOF'!M$64,0)</f>
        <v>0</v>
      </c>
      <c r="Y314" s="1371" t="e">
        <f t="shared" si="57"/>
        <v>#DIV/0!</v>
      </c>
      <c r="Z314" s="2212" t="e">
        <f>IF('Report-M&amp;O2223'!C$18-'Report-SOF2223'!D$55&lt;=0,0,'Report-M&amp;O2223'!C$18-'Report-SOF2223'!D$55)</f>
        <v>#DIV/0!</v>
      </c>
      <c r="AA314" s="1708">
        <f>IF(A314='Data Entry - SOF'!B$2,'Data Entry - SOF'!O$64,0)</f>
        <v>0</v>
      </c>
    </row>
    <row r="315" spans="1:27" ht="15.75">
      <c r="A315" s="1076" t="s">
        <v>2865</v>
      </c>
      <c r="B315">
        <v>907186</v>
      </c>
      <c r="C315" s="2452" t="e">
        <f>#REF!+#REF!</f>
        <v>#REF!</v>
      </c>
      <c r="D315" s="2449">
        <f>IF(A315='Data Entry - SOF'!B$2,'Data Entry - SOF'!C$64,0)</f>
        <v>0</v>
      </c>
      <c r="E315" s="2450">
        <f t="shared" si="49"/>
        <v>907186</v>
      </c>
      <c r="F315" s="2212" t="e">
        <f>IF('Report-M&amp;O1718'!C$18-'Report-SOF1718'!D$55&lt;=0,0,'Report-M&amp;O1718'!C$18-'Report-SOF1718'!D$55)</f>
        <v>#DIV/0!</v>
      </c>
      <c r="G315" s="2452" t="e">
        <f t="shared" si="50"/>
        <v>#DIV/0!</v>
      </c>
      <c r="H315" s="2449">
        <f>IF(A315='Data Entry - SOF'!B$2,'Data Entry - SOF'!E$64,0)</f>
        <v>0</v>
      </c>
      <c r="I315" s="1687">
        <f t="shared" si="51"/>
        <v>907186</v>
      </c>
      <c r="J315" s="2212" t="e">
        <f>IF('Report-M&amp;O1819'!C$18-'Report-SOF1819'!D$55&lt;=0,0,'Report-M&amp;O1819'!C$18-'Report-SOF1819'!D$55)</f>
        <v>#DIV/0!</v>
      </c>
      <c r="K315" s="2452" t="e">
        <f t="shared" si="52"/>
        <v>#DIV/0!</v>
      </c>
      <c r="L315" s="2449">
        <f>IF(A315='Data Entry - SOF'!B$2,'Data Entry - SOF'!G$64,0)</f>
        <v>0</v>
      </c>
      <c r="M315" s="1371">
        <f t="shared" si="53"/>
        <v>907186</v>
      </c>
      <c r="N315" s="2212" t="e">
        <f>IF('Report-M&amp;O1920'!C$18-'Report-SOF1920'!D$55&lt;=0,0,'Report-M&amp;O1920'!C$18-'Report-SOF1920'!D$55)</f>
        <v>#DIV/0!</v>
      </c>
      <c r="O315" s="2452" t="e">
        <f t="shared" si="54"/>
        <v>#DIV/0!</v>
      </c>
      <c r="P315" s="2449">
        <f>IF(A315='Data Entry - SOF'!B$2,'Data Entry - SOF'!I$64,0)</f>
        <v>0</v>
      </c>
      <c r="Q315" s="1687">
        <f t="shared" si="48"/>
        <v>907186</v>
      </c>
      <c r="R315" s="2212" t="e">
        <f>IF('Report-M&amp;O2021'!C$18-'Report-SOF2021'!D$55&lt;=0,0,'Report-M&amp;O2021'!C$18-'Report-SOF2021'!D$55)</f>
        <v>#DIV/0!</v>
      </c>
      <c r="S315" s="2452" t="e">
        <f t="shared" si="55"/>
        <v>#DIV/0!</v>
      </c>
      <c r="T315" s="1708">
        <f>IF(A315='Data Entry - SOF'!B$2,'Data Entry - SOF'!K$64,0)</f>
        <v>0</v>
      </c>
      <c r="U315" s="1687">
        <f t="shared" si="58"/>
        <v>907186</v>
      </c>
      <c r="V315" s="2212" t="e">
        <f>IF('Report-M&amp;O2122'!C$18-'Report-SOF2122'!D$55&lt;=0,0,'Report-M&amp;O2122'!C$18-'Report-SOF2122'!D$55)</f>
        <v>#DIV/0!</v>
      </c>
      <c r="W315" s="2452" t="e">
        <f t="shared" si="56"/>
        <v>#DIV/0!</v>
      </c>
      <c r="X315" s="1708">
        <f>IF(A315='Data Entry - SOF'!B$2,'Data Entry - SOF'!M$64,0)</f>
        <v>0</v>
      </c>
      <c r="Y315" s="1371" t="e">
        <f t="shared" si="57"/>
        <v>#DIV/0!</v>
      </c>
      <c r="Z315" s="2212" t="e">
        <f>IF('Report-M&amp;O2223'!C$18-'Report-SOF2223'!D$55&lt;=0,0,'Report-M&amp;O2223'!C$18-'Report-SOF2223'!D$55)</f>
        <v>#DIV/0!</v>
      </c>
      <c r="AA315" s="1708">
        <f>IF(A315='Data Entry - SOF'!B$2,'Data Entry - SOF'!O$64,0)</f>
        <v>0</v>
      </c>
    </row>
    <row r="316" spans="1:27" ht="15.75">
      <c r="A316" s="1076" t="s">
        <v>697</v>
      </c>
      <c r="B316">
        <v>3472229</v>
      </c>
      <c r="C316" s="2452" t="e">
        <f>#REF!+#REF!</f>
        <v>#REF!</v>
      </c>
      <c r="D316" s="2449">
        <f>IF(A316='Data Entry - SOF'!B$2,'Data Entry - SOF'!C$64,0)</f>
        <v>0</v>
      </c>
      <c r="E316" s="2450">
        <f t="shared" si="49"/>
        <v>3472229</v>
      </c>
      <c r="F316" s="2212" t="e">
        <f>IF('Report-M&amp;O1718'!C$18-'Report-SOF1718'!D$55&lt;=0,0,'Report-M&amp;O1718'!C$18-'Report-SOF1718'!D$55)</f>
        <v>#DIV/0!</v>
      </c>
      <c r="G316" s="2452" t="e">
        <f t="shared" si="50"/>
        <v>#DIV/0!</v>
      </c>
      <c r="H316" s="2449">
        <f>IF(A316='Data Entry - SOF'!B$2,'Data Entry - SOF'!E$64,0)</f>
        <v>0</v>
      </c>
      <c r="I316" s="1687">
        <f t="shared" si="51"/>
        <v>3472229</v>
      </c>
      <c r="J316" s="2212" t="e">
        <f>IF('Report-M&amp;O1819'!C$18-'Report-SOF1819'!D$55&lt;=0,0,'Report-M&amp;O1819'!C$18-'Report-SOF1819'!D$55)</f>
        <v>#DIV/0!</v>
      </c>
      <c r="K316" s="2452" t="e">
        <f t="shared" si="52"/>
        <v>#DIV/0!</v>
      </c>
      <c r="L316" s="2449">
        <f>IF(A316='Data Entry - SOF'!B$2,'Data Entry - SOF'!G$64,0)</f>
        <v>0</v>
      </c>
      <c r="M316" s="1371">
        <f t="shared" si="53"/>
        <v>3472229</v>
      </c>
      <c r="N316" s="2212" t="e">
        <f>IF('Report-M&amp;O1920'!C$18-'Report-SOF1920'!D$55&lt;=0,0,'Report-M&amp;O1920'!C$18-'Report-SOF1920'!D$55)</f>
        <v>#DIV/0!</v>
      </c>
      <c r="O316" s="2452" t="e">
        <f t="shared" si="54"/>
        <v>#DIV/0!</v>
      </c>
      <c r="P316" s="2449">
        <f>IF(A316='Data Entry - SOF'!B$2,'Data Entry - SOF'!I$64,0)</f>
        <v>0</v>
      </c>
      <c r="Q316" s="1687">
        <f t="shared" si="48"/>
        <v>3472229</v>
      </c>
      <c r="R316" s="2212" t="e">
        <f>IF('Report-M&amp;O2021'!C$18-'Report-SOF2021'!D$55&lt;=0,0,'Report-M&amp;O2021'!C$18-'Report-SOF2021'!D$55)</f>
        <v>#DIV/0!</v>
      </c>
      <c r="S316" s="2452" t="e">
        <f t="shared" si="55"/>
        <v>#DIV/0!</v>
      </c>
      <c r="T316" s="1708">
        <f>IF(A316='Data Entry - SOF'!B$2,'Data Entry - SOF'!K$64,0)</f>
        <v>0</v>
      </c>
      <c r="U316" s="1687">
        <f t="shared" si="58"/>
        <v>3472229</v>
      </c>
      <c r="V316" s="2212" t="e">
        <f>IF('Report-M&amp;O2122'!C$18-'Report-SOF2122'!D$55&lt;=0,0,'Report-M&amp;O2122'!C$18-'Report-SOF2122'!D$55)</f>
        <v>#DIV/0!</v>
      </c>
      <c r="W316" s="2452" t="e">
        <f t="shared" si="56"/>
        <v>#DIV/0!</v>
      </c>
      <c r="X316" s="1708">
        <f>IF(A316='Data Entry - SOF'!B$2,'Data Entry - SOF'!M$64,0)</f>
        <v>0</v>
      </c>
      <c r="Y316" s="1371" t="e">
        <f t="shared" si="57"/>
        <v>#DIV/0!</v>
      </c>
      <c r="Z316" s="2212" t="e">
        <f>IF('Report-M&amp;O2223'!C$18-'Report-SOF2223'!D$55&lt;=0,0,'Report-M&amp;O2223'!C$18-'Report-SOF2223'!D$55)</f>
        <v>#DIV/0!</v>
      </c>
      <c r="AA316" s="1708">
        <f>IF(A316='Data Entry - SOF'!B$2,'Data Entry - SOF'!O$64,0)</f>
        <v>0</v>
      </c>
    </row>
    <row r="317" spans="1:27" ht="15.75">
      <c r="A317" s="1076" t="s">
        <v>698</v>
      </c>
      <c r="B317">
        <v>898319</v>
      </c>
      <c r="C317" s="2452" t="e">
        <f>#REF!+#REF!</f>
        <v>#REF!</v>
      </c>
      <c r="D317" s="2449">
        <f>IF(A317='Data Entry - SOF'!B$2,'Data Entry - SOF'!C$64,0)</f>
        <v>0</v>
      </c>
      <c r="E317" s="2450">
        <f t="shared" si="49"/>
        <v>898319</v>
      </c>
      <c r="F317" s="2212" t="e">
        <f>IF('Report-M&amp;O1718'!C$18-'Report-SOF1718'!D$55&lt;=0,0,'Report-M&amp;O1718'!C$18-'Report-SOF1718'!D$55)</f>
        <v>#DIV/0!</v>
      </c>
      <c r="G317" s="2452" t="e">
        <f t="shared" si="50"/>
        <v>#DIV/0!</v>
      </c>
      <c r="H317" s="2449">
        <f>IF(A317='Data Entry - SOF'!B$2,'Data Entry - SOF'!E$64,0)</f>
        <v>0</v>
      </c>
      <c r="I317" s="1687">
        <f t="shared" si="51"/>
        <v>898319</v>
      </c>
      <c r="J317" s="2212" t="e">
        <f>IF('Report-M&amp;O1819'!C$18-'Report-SOF1819'!D$55&lt;=0,0,'Report-M&amp;O1819'!C$18-'Report-SOF1819'!D$55)</f>
        <v>#DIV/0!</v>
      </c>
      <c r="K317" s="2452" t="e">
        <f t="shared" si="52"/>
        <v>#DIV/0!</v>
      </c>
      <c r="L317" s="2449">
        <f>IF(A317='Data Entry - SOF'!B$2,'Data Entry - SOF'!G$64,0)</f>
        <v>0</v>
      </c>
      <c r="M317" s="1371">
        <f t="shared" si="53"/>
        <v>898319</v>
      </c>
      <c r="N317" s="2212" t="e">
        <f>IF('Report-M&amp;O1920'!C$18-'Report-SOF1920'!D$55&lt;=0,0,'Report-M&amp;O1920'!C$18-'Report-SOF1920'!D$55)</f>
        <v>#DIV/0!</v>
      </c>
      <c r="O317" s="2452" t="e">
        <f t="shared" si="54"/>
        <v>#DIV/0!</v>
      </c>
      <c r="P317" s="2449">
        <f>IF(A317='Data Entry - SOF'!B$2,'Data Entry - SOF'!I$64,0)</f>
        <v>0</v>
      </c>
      <c r="Q317" s="1687">
        <f t="shared" si="48"/>
        <v>898319</v>
      </c>
      <c r="R317" s="2212" t="e">
        <f>IF('Report-M&amp;O2021'!C$18-'Report-SOF2021'!D$55&lt;=0,0,'Report-M&amp;O2021'!C$18-'Report-SOF2021'!D$55)</f>
        <v>#DIV/0!</v>
      </c>
      <c r="S317" s="2452" t="e">
        <f t="shared" si="55"/>
        <v>#DIV/0!</v>
      </c>
      <c r="T317" s="1708">
        <f>IF(A317='Data Entry - SOF'!B$2,'Data Entry - SOF'!K$64,0)</f>
        <v>0</v>
      </c>
      <c r="U317" s="1687">
        <f t="shared" si="58"/>
        <v>898319</v>
      </c>
      <c r="V317" s="2212" t="e">
        <f>IF('Report-M&amp;O2122'!C$18-'Report-SOF2122'!D$55&lt;=0,0,'Report-M&amp;O2122'!C$18-'Report-SOF2122'!D$55)</f>
        <v>#DIV/0!</v>
      </c>
      <c r="W317" s="2452" t="e">
        <f t="shared" si="56"/>
        <v>#DIV/0!</v>
      </c>
      <c r="X317" s="1708">
        <f>IF(A317='Data Entry - SOF'!B$2,'Data Entry - SOF'!M$64,0)</f>
        <v>0</v>
      </c>
      <c r="Y317" s="1371" t="e">
        <f t="shared" si="57"/>
        <v>#DIV/0!</v>
      </c>
      <c r="Z317" s="2212" t="e">
        <f>IF('Report-M&amp;O2223'!C$18-'Report-SOF2223'!D$55&lt;=0,0,'Report-M&amp;O2223'!C$18-'Report-SOF2223'!D$55)</f>
        <v>#DIV/0!</v>
      </c>
      <c r="AA317" s="1708">
        <f>IF(A317='Data Entry - SOF'!B$2,'Data Entry - SOF'!O$64,0)</f>
        <v>0</v>
      </c>
    </row>
    <row r="318" spans="1:27" ht="15.75">
      <c r="A318" s="1076" t="s">
        <v>699</v>
      </c>
      <c r="B318">
        <v>1700577</v>
      </c>
      <c r="C318" s="2452" t="e">
        <f>#REF!+#REF!</f>
        <v>#REF!</v>
      </c>
      <c r="D318" s="2449">
        <f>IF(A318='Data Entry - SOF'!B$2,'Data Entry - SOF'!C$64,0)</f>
        <v>0</v>
      </c>
      <c r="E318" s="2450">
        <f t="shared" si="49"/>
        <v>1700577</v>
      </c>
      <c r="F318" s="2212" t="e">
        <f>IF('Report-M&amp;O1718'!C$18-'Report-SOF1718'!D$55&lt;=0,0,'Report-M&amp;O1718'!C$18-'Report-SOF1718'!D$55)</f>
        <v>#DIV/0!</v>
      </c>
      <c r="G318" s="2452" t="e">
        <f t="shared" si="50"/>
        <v>#DIV/0!</v>
      </c>
      <c r="H318" s="2449">
        <f>IF(A318='Data Entry - SOF'!B$2,'Data Entry - SOF'!E$64,0)</f>
        <v>0</v>
      </c>
      <c r="I318" s="1687">
        <f t="shared" si="51"/>
        <v>1700577</v>
      </c>
      <c r="J318" s="2212" t="e">
        <f>IF('Report-M&amp;O1819'!C$18-'Report-SOF1819'!D$55&lt;=0,0,'Report-M&amp;O1819'!C$18-'Report-SOF1819'!D$55)</f>
        <v>#DIV/0!</v>
      </c>
      <c r="K318" s="2452" t="e">
        <f t="shared" si="52"/>
        <v>#DIV/0!</v>
      </c>
      <c r="L318" s="2449">
        <f>IF(A318='Data Entry - SOF'!B$2,'Data Entry - SOF'!G$64,0)</f>
        <v>0</v>
      </c>
      <c r="M318" s="1371">
        <f t="shared" si="53"/>
        <v>1700577</v>
      </c>
      <c r="N318" s="2212" t="e">
        <f>IF('Report-M&amp;O1920'!C$18-'Report-SOF1920'!D$55&lt;=0,0,'Report-M&amp;O1920'!C$18-'Report-SOF1920'!D$55)</f>
        <v>#DIV/0!</v>
      </c>
      <c r="O318" s="2452" t="e">
        <f t="shared" si="54"/>
        <v>#DIV/0!</v>
      </c>
      <c r="P318" s="2449">
        <f>IF(A318='Data Entry - SOF'!B$2,'Data Entry - SOF'!I$64,0)</f>
        <v>0</v>
      </c>
      <c r="Q318" s="1687">
        <f t="shared" si="48"/>
        <v>1700577</v>
      </c>
      <c r="R318" s="2212" t="e">
        <f>IF('Report-M&amp;O2021'!C$18-'Report-SOF2021'!D$55&lt;=0,0,'Report-M&amp;O2021'!C$18-'Report-SOF2021'!D$55)</f>
        <v>#DIV/0!</v>
      </c>
      <c r="S318" s="2452" t="e">
        <f t="shared" si="55"/>
        <v>#DIV/0!</v>
      </c>
      <c r="T318" s="1708">
        <f>IF(A318='Data Entry - SOF'!B$2,'Data Entry - SOF'!K$64,0)</f>
        <v>0</v>
      </c>
      <c r="U318" s="1687">
        <f t="shared" si="58"/>
        <v>1700577</v>
      </c>
      <c r="V318" s="2212" t="e">
        <f>IF('Report-M&amp;O2122'!C$18-'Report-SOF2122'!D$55&lt;=0,0,'Report-M&amp;O2122'!C$18-'Report-SOF2122'!D$55)</f>
        <v>#DIV/0!</v>
      </c>
      <c r="W318" s="2452" t="e">
        <f t="shared" si="56"/>
        <v>#DIV/0!</v>
      </c>
      <c r="X318" s="1708">
        <f>IF(A318='Data Entry - SOF'!B$2,'Data Entry - SOF'!M$64,0)</f>
        <v>0</v>
      </c>
      <c r="Y318" s="1371" t="e">
        <f t="shared" si="57"/>
        <v>#DIV/0!</v>
      </c>
      <c r="Z318" s="2212" t="e">
        <f>IF('Report-M&amp;O2223'!C$18-'Report-SOF2223'!D$55&lt;=0,0,'Report-M&amp;O2223'!C$18-'Report-SOF2223'!D$55)</f>
        <v>#DIV/0!</v>
      </c>
      <c r="AA318" s="1708">
        <f>IF(A318='Data Entry - SOF'!B$2,'Data Entry - SOF'!O$64,0)</f>
        <v>0</v>
      </c>
    </row>
    <row r="319" spans="1:27" ht="15.75">
      <c r="A319" s="1076" t="s">
        <v>700</v>
      </c>
      <c r="B319">
        <v>219147540</v>
      </c>
      <c r="C319" s="2452" t="e">
        <f>#REF!+#REF!</f>
        <v>#REF!</v>
      </c>
      <c r="D319" s="2449">
        <f>IF(A319='Data Entry - SOF'!B$2,'Data Entry - SOF'!C$64,0)</f>
        <v>0</v>
      </c>
      <c r="E319" s="2450">
        <f t="shared" si="49"/>
        <v>219147540</v>
      </c>
      <c r="F319" s="2212" t="e">
        <f>IF('Report-M&amp;O1718'!C$18-'Report-SOF1718'!D$55&lt;=0,0,'Report-M&amp;O1718'!C$18-'Report-SOF1718'!D$55)</f>
        <v>#DIV/0!</v>
      </c>
      <c r="G319" s="2452" t="e">
        <f t="shared" si="50"/>
        <v>#DIV/0!</v>
      </c>
      <c r="H319" s="2449">
        <f>IF(A319='Data Entry - SOF'!B$2,'Data Entry - SOF'!E$64,0)</f>
        <v>0</v>
      </c>
      <c r="I319" s="1687">
        <f t="shared" si="51"/>
        <v>219147540</v>
      </c>
      <c r="J319" s="2212" t="e">
        <f>IF('Report-M&amp;O1819'!C$18-'Report-SOF1819'!D$55&lt;=0,0,'Report-M&amp;O1819'!C$18-'Report-SOF1819'!D$55)</f>
        <v>#DIV/0!</v>
      </c>
      <c r="K319" s="2452" t="e">
        <f t="shared" si="52"/>
        <v>#DIV/0!</v>
      </c>
      <c r="L319" s="2449">
        <f>IF(A319='Data Entry - SOF'!B$2,'Data Entry - SOF'!G$64,0)</f>
        <v>0</v>
      </c>
      <c r="M319" s="1371">
        <f t="shared" si="53"/>
        <v>219147540</v>
      </c>
      <c r="N319" s="2212" t="e">
        <f>IF('Report-M&amp;O1920'!C$18-'Report-SOF1920'!D$55&lt;=0,0,'Report-M&amp;O1920'!C$18-'Report-SOF1920'!D$55)</f>
        <v>#DIV/0!</v>
      </c>
      <c r="O319" s="2452" t="e">
        <f t="shared" si="54"/>
        <v>#DIV/0!</v>
      </c>
      <c r="P319" s="2449">
        <f>IF(A319='Data Entry - SOF'!B$2,'Data Entry - SOF'!I$64,0)</f>
        <v>0</v>
      </c>
      <c r="Q319" s="1687">
        <f t="shared" si="48"/>
        <v>219147540</v>
      </c>
      <c r="R319" s="2212" t="e">
        <f>IF('Report-M&amp;O2021'!C$18-'Report-SOF2021'!D$55&lt;=0,0,'Report-M&amp;O2021'!C$18-'Report-SOF2021'!D$55)</f>
        <v>#DIV/0!</v>
      </c>
      <c r="S319" s="2452" t="e">
        <f t="shared" si="55"/>
        <v>#DIV/0!</v>
      </c>
      <c r="T319" s="1708">
        <f>IF(A319='Data Entry - SOF'!B$2,'Data Entry - SOF'!K$64,0)</f>
        <v>0</v>
      </c>
      <c r="U319" s="1687">
        <f t="shared" si="58"/>
        <v>219147540</v>
      </c>
      <c r="V319" s="2212" t="e">
        <f>IF('Report-M&amp;O2122'!C$18-'Report-SOF2122'!D$55&lt;=0,0,'Report-M&amp;O2122'!C$18-'Report-SOF2122'!D$55)</f>
        <v>#DIV/0!</v>
      </c>
      <c r="W319" s="2452" t="e">
        <f t="shared" si="56"/>
        <v>#DIV/0!</v>
      </c>
      <c r="X319" s="1708">
        <f>IF(A319='Data Entry - SOF'!B$2,'Data Entry - SOF'!M$64,0)</f>
        <v>0</v>
      </c>
      <c r="Y319" s="1371" t="e">
        <f t="shared" si="57"/>
        <v>#DIV/0!</v>
      </c>
      <c r="Z319" s="2212" t="e">
        <f>IF('Report-M&amp;O2223'!C$18-'Report-SOF2223'!D$55&lt;=0,0,'Report-M&amp;O2223'!C$18-'Report-SOF2223'!D$55)</f>
        <v>#DIV/0!</v>
      </c>
      <c r="AA319" s="1708">
        <f>IF(A319='Data Entry - SOF'!B$2,'Data Entry - SOF'!O$64,0)</f>
        <v>0</v>
      </c>
    </row>
    <row r="320" spans="1:27" ht="15.75">
      <c r="A320" s="1076" t="s">
        <v>2906</v>
      </c>
      <c r="B320">
        <v>13422877</v>
      </c>
      <c r="C320" s="2452" t="e">
        <f>#REF!+#REF!</f>
        <v>#REF!</v>
      </c>
      <c r="D320" s="2449">
        <f>IF(A320='Data Entry - SOF'!B$2,'Data Entry - SOF'!C$64,0)</f>
        <v>0</v>
      </c>
      <c r="E320" s="2450">
        <f t="shared" si="49"/>
        <v>13422877</v>
      </c>
      <c r="F320" s="2212" t="e">
        <f>IF('Report-M&amp;O1718'!C$18-'Report-SOF1718'!D$55&lt;=0,0,'Report-M&amp;O1718'!C$18-'Report-SOF1718'!D$55)</f>
        <v>#DIV/0!</v>
      </c>
      <c r="G320" s="2452" t="e">
        <f t="shared" si="50"/>
        <v>#DIV/0!</v>
      </c>
      <c r="H320" s="2449">
        <f>IF(A320='Data Entry - SOF'!B$2,'Data Entry - SOF'!E$64,0)</f>
        <v>0</v>
      </c>
      <c r="I320" s="1687">
        <f t="shared" si="51"/>
        <v>13422877</v>
      </c>
      <c r="J320" s="2212" t="e">
        <f>IF('Report-M&amp;O1819'!C$18-'Report-SOF1819'!D$55&lt;=0,0,'Report-M&amp;O1819'!C$18-'Report-SOF1819'!D$55)</f>
        <v>#DIV/0!</v>
      </c>
      <c r="K320" s="2452" t="e">
        <f t="shared" si="52"/>
        <v>#DIV/0!</v>
      </c>
      <c r="L320" s="2449">
        <f>IF(A320='Data Entry - SOF'!B$2,'Data Entry - SOF'!G$64,0)</f>
        <v>0</v>
      </c>
      <c r="M320" s="1371">
        <f t="shared" si="53"/>
        <v>13422877</v>
      </c>
      <c r="N320" s="2212" t="e">
        <f>IF('Report-M&amp;O1920'!C$18-'Report-SOF1920'!D$55&lt;=0,0,'Report-M&amp;O1920'!C$18-'Report-SOF1920'!D$55)</f>
        <v>#DIV/0!</v>
      </c>
      <c r="O320" s="2452" t="e">
        <f t="shared" si="54"/>
        <v>#DIV/0!</v>
      </c>
      <c r="P320" s="2449">
        <f>IF(A320='Data Entry - SOF'!B$2,'Data Entry - SOF'!I$64,0)</f>
        <v>0</v>
      </c>
      <c r="Q320" s="1687">
        <f>M320-P320</f>
        <v>13422877</v>
      </c>
      <c r="R320" s="2212" t="e">
        <f>IF('Report-M&amp;O2021'!C$18-'Report-SOF2021'!D$55&lt;=0,0,'Report-M&amp;O2021'!C$18-'Report-SOF2021'!D$55)</f>
        <v>#DIV/0!</v>
      </c>
      <c r="S320" s="2452" t="e">
        <f t="shared" si="55"/>
        <v>#DIV/0!</v>
      </c>
      <c r="T320" s="1708">
        <f>IF(A320='Data Entry - SOF'!B$2,'Data Entry - SOF'!K$64,0)</f>
        <v>0</v>
      </c>
      <c r="U320" s="1687">
        <f t="shared" ref="U320:U334" si="59">Q320-T320</f>
        <v>13422877</v>
      </c>
      <c r="V320" s="2212" t="e">
        <f>IF('Report-M&amp;O2122'!C$18-'Report-SOF2122'!D$55&lt;=0,0,'Report-M&amp;O2122'!C$18-'Report-SOF2122'!D$55)</f>
        <v>#DIV/0!</v>
      </c>
      <c r="W320" s="2452" t="e">
        <f t="shared" si="56"/>
        <v>#DIV/0!</v>
      </c>
      <c r="X320" s="1708">
        <f>IF(A320='Data Entry - SOF'!B$2,'Data Entry - SOF'!M$64,0)</f>
        <v>0</v>
      </c>
      <c r="Y320" s="1371" t="e">
        <f t="shared" si="57"/>
        <v>#DIV/0!</v>
      </c>
      <c r="Z320" s="2212" t="e">
        <f>IF('Report-M&amp;O2223'!C$18-'Report-SOF2223'!D$55&lt;=0,0,'Report-M&amp;O2223'!C$18-'Report-SOF2223'!D$55)</f>
        <v>#DIV/0!</v>
      </c>
      <c r="AA320" s="1708">
        <f>IF(A320='Data Entry - SOF'!B$2,'Data Entry - SOF'!O$64,0)</f>
        <v>0</v>
      </c>
    </row>
    <row r="321" spans="1:27" ht="15.75">
      <c r="A321" s="1076" t="s">
        <v>1602</v>
      </c>
      <c r="B321">
        <v>351288505</v>
      </c>
      <c r="C321" s="2452" t="e">
        <f>#REF!+#REF!</f>
        <v>#REF!</v>
      </c>
      <c r="D321" s="2449">
        <f>IF(A321='Data Entry - SOF'!B$2,'Data Entry - SOF'!C$64,0)</f>
        <v>0</v>
      </c>
      <c r="E321" s="2450">
        <f t="shared" si="49"/>
        <v>351288505</v>
      </c>
      <c r="F321" s="2212" t="e">
        <f>IF('Report-M&amp;O1718'!C$18-'Report-SOF1718'!D$55&lt;=0,0,'Report-M&amp;O1718'!C$18-'Report-SOF1718'!D$55)</f>
        <v>#DIV/0!</v>
      </c>
      <c r="G321" s="2452" t="e">
        <f t="shared" si="50"/>
        <v>#DIV/0!</v>
      </c>
      <c r="H321" s="2449">
        <f>IF(A321='Data Entry - SOF'!B$2,'Data Entry - SOF'!E$64,0)</f>
        <v>0</v>
      </c>
      <c r="I321" s="1687">
        <f t="shared" si="51"/>
        <v>351288505</v>
      </c>
      <c r="J321" s="2212" t="e">
        <f>IF('Report-M&amp;O1819'!C$18-'Report-SOF1819'!D$55&lt;=0,0,'Report-M&amp;O1819'!C$18-'Report-SOF1819'!D$55)</f>
        <v>#DIV/0!</v>
      </c>
      <c r="K321" s="2452" t="e">
        <f t="shared" si="52"/>
        <v>#DIV/0!</v>
      </c>
      <c r="L321" s="2449">
        <f>IF(A321='Data Entry - SOF'!B$2,'Data Entry - SOF'!G$64,0)</f>
        <v>0</v>
      </c>
      <c r="M321" s="1371">
        <f t="shared" si="53"/>
        <v>351288505</v>
      </c>
      <c r="N321" s="2212" t="e">
        <f>IF('Report-M&amp;O1920'!C$18-'Report-SOF1920'!D$55&lt;=0,0,'Report-M&amp;O1920'!C$18-'Report-SOF1920'!D$55)</f>
        <v>#DIV/0!</v>
      </c>
      <c r="O321" s="2452" t="e">
        <f t="shared" si="54"/>
        <v>#DIV/0!</v>
      </c>
      <c r="P321" s="2449">
        <f>IF(A321='Data Entry - SOF'!B$2,'Data Entry - SOF'!I$64,0)</f>
        <v>0</v>
      </c>
      <c r="Q321" s="1687">
        <f t="shared" ref="Q321:Q381" si="60">M321-P321</f>
        <v>351288505</v>
      </c>
      <c r="R321" s="2212" t="e">
        <f>IF('Report-M&amp;O2021'!C$18-'Report-SOF2021'!D$55&lt;=0,0,'Report-M&amp;O2021'!C$18-'Report-SOF2021'!D$55)</f>
        <v>#DIV/0!</v>
      </c>
      <c r="S321" s="2452" t="e">
        <f t="shared" si="55"/>
        <v>#DIV/0!</v>
      </c>
      <c r="T321" s="1708">
        <f>IF(A321='Data Entry - SOF'!B$2,'Data Entry - SOF'!K$64,0)</f>
        <v>0</v>
      </c>
      <c r="U321" s="1687">
        <f t="shared" si="59"/>
        <v>351288505</v>
      </c>
      <c r="V321" s="2212" t="e">
        <f>IF('Report-M&amp;O2122'!C$18-'Report-SOF2122'!D$55&lt;=0,0,'Report-M&amp;O2122'!C$18-'Report-SOF2122'!D$55)</f>
        <v>#DIV/0!</v>
      </c>
      <c r="W321" s="2452" t="e">
        <f t="shared" si="56"/>
        <v>#DIV/0!</v>
      </c>
      <c r="X321" s="1708">
        <f>IF(A321='Data Entry - SOF'!B$2,'Data Entry - SOF'!M$64,0)</f>
        <v>0</v>
      </c>
      <c r="Y321" s="1371" t="e">
        <f t="shared" si="57"/>
        <v>#DIV/0!</v>
      </c>
      <c r="Z321" s="2212" t="e">
        <f>IF('Report-M&amp;O2223'!C$18-'Report-SOF2223'!D$55&lt;=0,0,'Report-M&amp;O2223'!C$18-'Report-SOF2223'!D$55)</f>
        <v>#DIV/0!</v>
      </c>
      <c r="AA321" s="1708">
        <f>IF(A321='Data Entry - SOF'!B$2,'Data Entry - SOF'!O$64,0)</f>
        <v>0</v>
      </c>
    </row>
    <row r="322" spans="1:27" ht="15.75">
      <c r="A322" s="1076" t="s">
        <v>2647</v>
      </c>
      <c r="B322">
        <v>19421557</v>
      </c>
      <c r="C322" s="2452" t="e">
        <f>#REF!+#REF!</f>
        <v>#REF!</v>
      </c>
      <c r="D322" s="2449">
        <f>IF(A322='Data Entry - SOF'!B$2,'Data Entry - SOF'!C$64,0)</f>
        <v>0</v>
      </c>
      <c r="E322" s="2450">
        <f t="shared" si="49"/>
        <v>19421557</v>
      </c>
      <c r="F322" s="2212" t="e">
        <f>IF('Report-M&amp;O1718'!C$18-'Report-SOF1718'!D$55&lt;=0,0,'Report-M&amp;O1718'!C$18-'Report-SOF1718'!D$55)</f>
        <v>#DIV/0!</v>
      </c>
      <c r="G322" s="2452" t="e">
        <f t="shared" si="50"/>
        <v>#DIV/0!</v>
      </c>
      <c r="H322" s="2449">
        <f>IF(A322='Data Entry - SOF'!B$2,'Data Entry - SOF'!E$64,0)</f>
        <v>0</v>
      </c>
      <c r="I322" s="1687">
        <f t="shared" si="51"/>
        <v>19421557</v>
      </c>
      <c r="J322" s="2212" t="e">
        <f>IF('Report-M&amp;O1819'!C$18-'Report-SOF1819'!D$55&lt;=0,0,'Report-M&amp;O1819'!C$18-'Report-SOF1819'!D$55)</f>
        <v>#DIV/0!</v>
      </c>
      <c r="K322" s="2452" t="e">
        <f t="shared" si="52"/>
        <v>#DIV/0!</v>
      </c>
      <c r="L322" s="2449">
        <f>IF(A322='Data Entry - SOF'!B$2,'Data Entry - SOF'!G$64,0)</f>
        <v>0</v>
      </c>
      <c r="M322" s="1371">
        <f t="shared" si="53"/>
        <v>19421557</v>
      </c>
      <c r="N322" s="2212" t="e">
        <f>IF('Report-M&amp;O1920'!C$18-'Report-SOF1920'!D$55&lt;=0,0,'Report-M&amp;O1920'!C$18-'Report-SOF1920'!D$55)</f>
        <v>#DIV/0!</v>
      </c>
      <c r="O322" s="2452" t="e">
        <f t="shared" si="54"/>
        <v>#DIV/0!</v>
      </c>
      <c r="P322" s="2449">
        <f>IF(A322='Data Entry - SOF'!B$2,'Data Entry - SOF'!I$64,0)</f>
        <v>0</v>
      </c>
      <c r="Q322" s="1687">
        <f t="shared" si="60"/>
        <v>19421557</v>
      </c>
      <c r="R322" s="2212" t="e">
        <f>IF('Report-M&amp;O2021'!C$18-'Report-SOF2021'!D$55&lt;=0,0,'Report-M&amp;O2021'!C$18-'Report-SOF2021'!D$55)</f>
        <v>#DIV/0!</v>
      </c>
      <c r="S322" s="2452" t="e">
        <f t="shared" si="55"/>
        <v>#DIV/0!</v>
      </c>
      <c r="T322" s="1708">
        <f>IF(A322='Data Entry - SOF'!B$2,'Data Entry - SOF'!K$64,0)</f>
        <v>0</v>
      </c>
      <c r="U322" s="1687">
        <f t="shared" si="59"/>
        <v>19421557</v>
      </c>
      <c r="V322" s="2212" t="e">
        <f>IF('Report-M&amp;O2122'!C$18-'Report-SOF2122'!D$55&lt;=0,0,'Report-M&amp;O2122'!C$18-'Report-SOF2122'!D$55)</f>
        <v>#DIV/0!</v>
      </c>
      <c r="W322" s="2452" t="e">
        <f t="shared" si="56"/>
        <v>#DIV/0!</v>
      </c>
      <c r="X322" s="1708">
        <f>IF(A322='Data Entry - SOF'!B$2,'Data Entry - SOF'!M$64,0)</f>
        <v>0</v>
      </c>
      <c r="Y322" s="1371" t="e">
        <f t="shared" si="57"/>
        <v>#DIV/0!</v>
      </c>
      <c r="Z322" s="2212" t="e">
        <f>IF('Report-M&amp;O2223'!C$18-'Report-SOF2223'!D$55&lt;=0,0,'Report-M&amp;O2223'!C$18-'Report-SOF2223'!D$55)</f>
        <v>#DIV/0!</v>
      </c>
      <c r="AA322" s="1708">
        <f>IF(A322='Data Entry - SOF'!B$2,'Data Entry - SOF'!O$64,0)</f>
        <v>0</v>
      </c>
    </row>
    <row r="323" spans="1:27" ht="15.75">
      <c r="A323" s="1076" t="s">
        <v>2290</v>
      </c>
      <c r="B323">
        <v>10240402</v>
      </c>
      <c r="C323" s="2452" t="e">
        <f>#REF!+#REF!</f>
        <v>#REF!</v>
      </c>
      <c r="D323" s="2449">
        <f>IF(A323='Data Entry - SOF'!B$2,'Data Entry - SOF'!C$64,0)</f>
        <v>0</v>
      </c>
      <c r="E323" s="2450">
        <f t="shared" si="49"/>
        <v>10240402</v>
      </c>
      <c r="F323" s="2212" t="e">
        <f>IF('Report-M&amp;O1718'!C$18-'Report-SOF1718'!D$55&lt;=0,0,'Report-M&amp;O1718'!C$18-'Report-SOF1718'!D$55)</f>
        <v>#DIV/0!</v>
      </c>
      <c r="G323" s="2452" t="e">
        <f t="shared" si="50"/>
        <v>#DIV/0!</v>
      </c>
      <c r="H323" s="2449">
        <f>IF(A323='Data Entry - SOF'!B$2,'Data Entry - SOF'!E$64,0)</f>
        <v>0</v>
      </c>
      <c r="I323" s="1687">
        <f t="shared" si="51"/>
        <v>10240402</v>
      </c>
      <c r="J323" s="2212" t="e">
        <f>IF('Report-M&amp;O1819'!C$18-'Report-SOF1819'!D$55&lt;=0,0,'Report-M&amp;O1819'!C$18-'Report-SOF1819'!D$55)</f>
        <v>#DIV/0!</v>
      </c>
      <c r="K323" s="2452" t="e">
        <f t="shared" si="52"/>
        <v>#DIV/0!</v>
      </c>
      <c r="L323" s="2449">
        <f>IF(A323='Data Entry - SOF'!B$2,'Data Entry - SOF'!G$64,0)</f>
        <v>0</v>
      </c>
      <c r="M323" s="1371">
        <f t="shared" si="53"/>
        <v>10240402</v>
      </c>
      <c r="N323" s="2212" t="e">
        <f>IF('Report-M&amp;O1920'!C$18-'Report-SOF1920'!D$55&lt;=0,0,'Report-M&amp;O1920'!C$18-'Report-SOF1920'!D$55)</f>
        <v>#DIV/0!</v>
      </c>
      <c r="O323" s="2452" t="e">
        <f t="shared" si="54"/>
        <v>#DIV/0!</v>
      </c>
      <c r="P323" s="2449">
        <f>IF(A323='Data Entry - SOF'!B$2,'Data Entry - SOF'!I$64,0)</f>
        <v>0</v>
      </c>
      <c r="Q323" s="1687">
        <f t="shared" si="60"/>
        <v>10240402</v>
      </c>
      <c r="R323" s="2212" t="e">
        <f>IF('Report-M&amp;O2021'!C$18-'Report-SOF2021'!D$55&lt;=0,0,'Report-M&amp;O2021'!C$18-'Report-SOF2021'!D$55)</f>
        <v>#DIV/0!</v>
      </c>
      <c r="S323" s="2452" t="e">
        <f t="shared" si="55"/>
        <v>#DIV/0!</v>
      </c>
      <c r="T323" s="1708">
        <f>IF(A323='Data Entry - SOF'!B$2,'Data Entry - SOF'!K$64,0)</f>
        <v>0</v>
      </c>
      <c r="U323" s="1687">
        <f t="shared" si="59"/>
        <v>10240402</v>
      </c>
      <c r="V323" s="2212" t="e">
        <f>IF('Report-M&amp;O2122'!C$18-'Report-SOF2122'!D$55&lt;=0,0,'Report-M&amp;O2122'!C$18-'Report-SOF2122'!D$55)</f>
        <v>#DIV/0!</v>
      </c>
      <c r="W323" s="2452" t="e">
        <f t="shared" si="56"/>
        <v>#DIV/0!</v>
      </c>
      <c r="X323" s="1708">
        <f>IF(A323='Data Entry - SOF'!B$2,'Data Entry - SOF'!M$64,0)</f>
        <v>0</v>
      </c>
      <c r="Y323" s="1371" t="e">
        <f t="shared" si="57"/>
        <v>#DIV/0!</v>
      </c>
      <c r="Z323" s="2212" t="e">
        <f>IF('Report-M&amp;O2223'!C$18-'Report-SOF2223'!D$55&lt;=0,0,'Report-M&amp;O2223'!C$18-'Report-SOF2223'!D$55)</f>
        <v>#DIV/0!</v>
      </c>
      <c r="AA323" s="1708">
        <f>IF(A323='Data Entry - SOF'!B$2,'Data Entry - SOF'!O$64,0)</f>
        <v>0</v>
      </c>
    </row>
    <row r="324" spans="1:27" ht="15.75">
      <c r="A324" s="1076" t="s">
        <v>1478</v>
      </c>
      <c r="B324">
        <v>31235204</v>
      </c>
      <c r="C324" s="2452" t="e">
        <f>#REF!+#REF!</f>
        <v>#REF!</v>
      </c>
      <c r="D324" s="2449">
        <f>IF(A324='Data Entry - SOF'!B$2,'Data Entry - SOF'!C$64,0)</f>
        <v>0</v>
      </c>
      <c r="E324" s="2450">
        <f t="shared" si="49"/>
        <v>31235204</v>
      </c>
      <c r="F324" s="2212" t="e">
        <f>IF('Report-M&amp;O1718'!C$18-'Report-SOF1718'!D$55&lt;=0,0,'Report-M&amp;O1718'!C$18-'Report-SOF1718'!D$55)</f>
        <v>#DIV/0!</v>
      </c>
      <c r="G324" s="2452" t="e">
        <f t="shared" si="50"/>
        <v>#DIV/0!</v>
      </c>
      <c r="H324" s="2449">
        <f>IF(A324='Data Entry - SOF'!B$2,'Data Entry - SOF'!E$64,0)</f>
        <v>0</v>
      </c>
      <c r="I324" s="1687">
        <f t="shared" si="51"/>
        <v>31235204</v>
      </c>
      <c r="J324" s="2212" t="e">
        <f>IF('Report-M&amp;O1819'!C$18-'Report-SOF1819'!D$55&lt;=0,0,'Report-M&amp;O1819'!C$18-'Report-SOF1819'!D$55)</f>
        <v>#DIV/0!</v>
      </c>
      <c r="K324" s="2452" t="e">
        <f t="shared" si="52"/>
        <v>#DIV/0!</v>
      </c>
      <c r="L324" s="2449">
        <f>IF(A324='Data Entry - SOF'!B$2,'Data Entry - SOF'!G$64,0)</f>
        <v>0</v>
      </c>
      <c r="M324" s="1371">
        <f t="shared" si="53"/>
        <v>31235204</v>
      </c>
      <c r="N324" s="2212" t="e">
        <f>IF('Report-M&amp;O1920'!C$18-'Report-SOF1920'!D$55&lt;=0,0,'Report-M&amp;O1920'!C$18-'Report-SOF1920'!D$55)</f>
        <v>#DIV/0!</v>
      </c>
      <c r="O324" s="2452" t="e">
        <f t="shared" si="54"/>
        <v>#DIV/0!</v>
      </c>
      <c r="P324" s="2449">
        <f>IF(A324='Data Entry - SOF'!B$2,'Data Entry - SOF'!I$64,0)</f>
        <v>0</v>
      </c>
      <c r="Q324" s="1687">
        <f t="shared" si="60"/>
        <v>31235204</v>
      </c>
      <c r="R324" s="2212" t="e">
        <f>IF('Report-M&amp;O2021'!C$18-'Report-SOF2021'!D$55&lt;=0,0,'Report-M&amp;O2021'!C$18-'Report-SOF2021'!D$55)</f>
        <v>#DIV/0!</v>
      </c>
      <c r="S324" s="2452" t="e">
        <f t="shared" si="55"/>
        <v>#DIV/0!</v>
      </c>
      <c r="T324" s="1708">
        <f>IF(A324='Data Entry - SOF'!B$2,'Data Entry - SOF'!K$64,0)</f>
        <v>0</v>
      </c>
      <c r="U324" s="1687">
        <f t="shared" si="59"/>
        <v>31235204</v>
      </c>
      <c r="V324" s="2212" t="e">
        <f>IF('Report-M&amp;O2122'!C$18-'Report-SOF2122'!D$55&lt;=0,0,'Report-M&amp;O2122'!C$18-'Report-SOF2122'!D$55)</f>
        <v>#DIV/0!</v>
      </c>
      <c r="W324" s="2452" t="e">
        <f t="shared" si="56"/>
        <v>#DIV/0!</v>
      </c>
      <c r="X324" s="1708">
        <f>IF(A324='Data Entry - SOF'!B$2,'Data Entry - SOF'!M$64,0)</f>
        <v>0</v>
      </c>
      <c r="Y324" s="1371" t="e">
        <f t="shared" si="57"/>
        <v>#DIV/0!</v>
      </c>
      <c r="Z324" s="2212" t="e">
        <f>IF('Report-M&amp;O2223'!C$18-'Report-SOF2223'!D$55&lt;=0,0,'Report-M&amp;O2223'!C$18-'Report-SOF2223'!D$55)</f>
        <v>#DIV/0!</v>
      </c>
      <c r="AA324" s="1708">
        <f>IF(A324='Data Entry - SOF'!B$2,'Data Entry - SOF'!O$64,0)</f>
        <v>0</v>
      </c>
    </row>
    <row r="325" spans="1:27" ht="15.75">
      <c r="A325" s="1076" t="s">
        <v>2192</v>
      </c>
      <c r="B325">
        <v>34010527</v>
      </c>
      <c r="C325" s="2452" t="e">
        <f>#REF!+#REF!</f>
        <v>#REF!</v>
      </c>
      <c r="D325" s="2449">
        <f>IF(A325='Data Entry - SOF'!B$2,'Data Entry - SOF'!C$64,0)</f>
        <v>0</v>
      </c>
      <c r="E325" s="2450">
        <f t="shared" ref="E325:E388" si="61">IF(B325-D325&lt;0,0,B325-D325)</f>
        <v>34010527</v>
      </c>
      <c r="F325" s="2212" t="e">
        <f>IF('Report-M&amp;O1718'!C$18-'Report-SOF1718'!D$55&lt;=0,0,'Report-M&amp;O1718'!C$18-'Report-SOF1718'!D$55)</f>
        <v>#DIV/0!</v>
      </c>
      <c r="G325" s="2452" t="e">
        <f t="shared" ref="G325:G387" si="62">E325+F325</f>
        <v>#DIV/0!</v>
      </c>
      <c r="H325" s="2449">
        <f>IF(A325='Data Entry - SOF'!B$2,'Data Entry - SOF'!E$64,0)</f>
        <v>0</v>
      </c>
      <c r="I325" s="1687">
        <f t="shared" ref="I325:I387" si="63">E325-H325</f>
        <v>34010527</v>
      </c>
      <c r="J325" s="2212" t="e">
        <f>IF('Report-M&amp;O1819'!C$18-'Report-SOF1819'!D$55&lt;=0,0,'Report-M&amp;O1819'!C$18-'Report-SOF1819'!D$55)</f>
        <v>#DIV/0!</v>
      </c>
      <c r="K325" s="2452" t="e">
        <f t="shared" ref="K325:K387" si="64">I325+J325</f>
        <v>#DIV/0!</v>
      </c>
      <c r="L325" s="2449">
        <f>IF(A325='Data Entry - SOF'!B$2,'Data Entry - SOF'!G$64,0)</f>
        <v>0</v>
      </c>
      <c r="M325" s="1371">
        <f t="shared" ref="M325:M387" si="65">I325-L325</f>
        <v>34010527</v>
      </c>
      <c r="N325" s="2212" t="e">
        <f>IF('Report-M&amp;O1920'!C$18-'Report-SOF1920'!D$55&lt;=0,0,'Report-M&amp;O1920'!C$18-'Report-SOF1920'!D$55)</f>
        <v>#DIV/0!</v>
      </c>
      <c r="O325" s="2452" t="e">
        <f t="shared" ref="O325:O387" si="66">M325+N325</f>
        <v>#DIV/0!</v>
      </c>
      <c r="P325" s="2449">
        <f>IF(A325='Data Entry - SOF'!B$2,'Data Entry - SOF'!I$64,0)</f>
        <v>0</v>
      </c>
      <c r="Q325" s="1687">
        <f t="shared" si="60"/>
        <v>34010527</v>
      </c>
      <c r="R325" s="2212" t="e">
        <f>IF('Report-M&amp;O2021'!C$18-'Report-SOF2021'!D$55&lt;=0,0,'Report-M&amp;O2021'!C$18-'Report-SOF2021'!D$55)</f>
        <v>#DIV/0!</v>
      </c>
      <c r="S325" s="2452" t="e">
        <f t="shared" ref="S325:S387" si="67">Q325+R325</f>
        <v>#DIV/0!</v>
      </c>
      <c r="T325" s="1708">
        <f>IF(A325='Data Entry - SOF'!B$2,'Data Entry - SOF'!K$64,0)</f>
        <v>0</v>
      </c>
      <c r="U325" s="1687">
        <f t="shared" si="59"/>
        <v>34010527</v>
      </c>
      <c r="V325" s="2212" t="e">
        <f>IF('Report-M&amp;O2122'!C$18-'Report-SOF2122'!D$55&lt;=0,0,'Report-M&amp;O2122'!C$18-'Report-SOF2122'!D$55)</f>
        <v>#DIV/0!</v>
      </c>
      <c r="W325" s="2452" t="e">
        <f t="shared" ref="W325:W387" si="68">U325+V325</f>
        <v>#DIV/0!</v>
      </c>
      <c r="X325" s="1708">
        <f>IF(A325='Data Entry - SOF'!B$2,'Data Entry - SOF'!M$64,0)</f>
        <v>0</v>
      </c>
      <c r="Y325" s="1371" t="e">
        <f t="shared" ref="Y325:Y387" si="69">IF(U325+V325-X325&lt;=0,0,U325+V325-X325)</f>
        <v>#DIV/0!</v>
      </c>
      <c r="Z325" s="2212" t="e">
        <f>IF('Report-M&amp;O2223'!C$18-'Report-SOF2223'!D$55&lt;=0,0,'Report-M&amp;O2223'!C$18-'Report-SOF2223'!D$55)</f>
        <v>#DIV/0!</v>
      </c>
      <c r="AA325" s="1708">
        <f>IF(A325='Data Entry - SOF'!B$2,'Data Entry - SOF'!O$64,0)</f>
        <v>0</v>
      </c>
    </row>
    <row r="326" spans="1:27" ht="15.75">
      <c r="A326" s="1076" t="s">
        <v>2198</v>
      </c>
      <c r="B326">
        <v>1197169</v>
      </c>
      <c r="C326" s="2452" t="e">
        <f>#REF!+#REF!</f>
        <v>#REF!</v>
      </c>
      <c r="D326" s="2449">
        <f>IF(A326='Data Entry - SOF'!B$2,'Data Entry - SOF'!C$64,0)</f>
        <v>0</v>
      </c>
      <c r="E326" s="2450">
        <f t="shared" si="61"/>
        <v>1197169</v>
      </c>
      <c r="F326" s="2212" t="e">
        <f>IF('Report-M&amp;O1718'!C$18-'Report-SOF1718'!D$55&lt;=0,0,'Report-M&amp;O1718'!C$18-'Report-SOF1718'!D$55)</f>
        <v>#DIV/0!</v>
      </c>
      <c r="G326" s="2452" t="e">
        <f t="shared" si="62"/>
        <v>#DIV/0!</v>
      </c>
      <c r="H326" s="2449">
        <f>IF(A326='Data Entry - SOF'!B$2,'Data Entry - SOF'!E$64,0)</f>
        <v>0</v>
      </c>
      <c r="I326" s="1687">
        <f t="shared" si="63"/>
        <v>1197169</v>
      </c>
      <c r="J326" s="2212" t="e">
        <f>IF('Report-M&amp;O1819'!C$18-'Report-SOF1819'!D$55&lt;=0,0,'Report-M&amp;O1819'!C$18-'Report-SOF1819'!D$55)</f>
        <v>#DIV/0!</v>
      </c>
      <c r="K326" s="2452" t="e">
        <f t="shared" si="64"/>
        <v>#DIV/0!</v>
      </c>
      <c r="L326" s="2449">
        <f>IF(A326='Data Entry - SOF'!B$2,'Data Entry - SOF'!G$64,0)</f>
        <v>0</v>
      </c>
      <c r="M326" s="1371">
        <f t="shared" si="65"/>
        <v>1197169</v>
      </c>
      <c r="N326" s="2212" t="e">
        <f>IF('Report-M&amp;O1920'!C$18-'Report-SOF1920'!D$55&lt;=0,0,'Report-M&amp;O1920'!C$18-'Report-SOF1920'!D$55)</f>
        <v>#DIV/0!</v>
      </c>
      <c r="O326" s="2452" t="e">
        <f t="shared" si="66"/>
        <v>#DIV/0!</v>
      </c>
      <c r="P326" s="2449">
        <f>IF(A326='Data Entry - SOF'!B$2,'Data Entry - SOF'!I$64,0)</f>
        <v>0</v>
      </c>
      <c r="Q326" s="1687">
        <f t="shared" si="60"/>
        <v>1197169</v>
      </c>
      <c r="R326" s="2212" t="e">
        <f>IF('Report-M&amp;O2021'!C$18-'Report-SOF2021'!D$55&lt;=0,0,'Report-M&amp;O2021'!C$18-'Report-SOF2021'!D$55)</f>
        <v>#DIV/0!</v>
      </c>
      <c r="S326" s="2452" t="e">
        <f t="shared" si="67"/>
        <v>#DIV/0!</v>
      </c>
      <c r="T326" s="1708">
        <f>IF(A326='Data Entry - SOF'!B$2,'Data Entry - SOF'!K$64,0)</f>
        <v>0</v>
      </c>
      <c r="U326" s="1687">
        <f t="shared" si="59"/>
        <v>1197169</v>
      </c>
      <c r="V326" s="2212" t="e">
        <f>IF('Report-M&amp;O2122'!C$18-'Report-SOF2122'!D$55&lt;=0,0,'Report-M&amp;O2122'!C$18-'Report-SOF2122'!D$55)</f>
        <v>#DIV/0!</v>
      </c>
      <c r="W326" s="2452" t="e">
        <f t="shared" si="68"/>
        <v>#DIV/0!</v>
      </c>
      <c r="X326" s="1708">
        <f>IF(A326='Data Entry - SOF'!B$2,'Data Entry - SOF'!M$64,0)</f>
        <v>0</v>
      </c>
      <c r="Y326" s="1371" t="e">
        <f t="shared" si="69"/>
        <v>#DIV/0!</v>
      </c>
      <c r="Z326" s="2212" t="e">
        <f>IF('Report-M&amp;O2223'!C$18-'Report-SOF2223'!D$55&lt;=0,0,'Report-M&amp;O2223'!C$18-'Report-SOF2223'!D$55)</f>
        <v>#DIV/0!</v>
      </c>
      <c r="AA326" s="1708">
        <f>IF(A326='Data Entry - SOF'!B$2,'Data Entry - SOF'!O$64,0)</f>
        <v>0</v>
      </c>
    </row>
    <row r="327" spans="1:27" ht="15.75">
      <c r="A327" s="1076" t="s">
        <v>2199</v>
      </c>
      <c r="B327">
        <v>5331068</v>
      </c>
      <c r="C327" s="2452" t="e">
        <f>#REF!+#REF!</f>
        <v>#REF!</v>
      </c>
      <c r="D327" s="2449">
        <f>IF(A327='Data Entry - SOF'!B$2,'Data Entry - SOF'!C$64,0)</f>
        <v>0</v>
      </c>
      <c r="E327" s="2450">
        <f t="shared" si="61"/>
        <v>5331068</v>
      </c>
      <c r="F327" s="2212" t="e">
        <f>IF('Report-M&amp;O1718'!C$18-'Report-SOF1718'!D$55&lt;=0,0,'Report-M&amp;O1718'!C$18-'Report-SOF1718'!D$55)</f>
        <v>#DIV/0!</v>
      </c>
      <c r="G327" s="2452" t="e">
        <f t="shared" si="62"/>
        <v>#DIV/0!</v>
      </c>
      <c r="H327" s="2449">
        <f>IF(A327='Data Entry - SOF'!B$2,'Data Entry - SOF'!E$64,0)</f>
        <v>0</v>
      </c>
      <c r="I327" s="1687">
        <f t="shared" si="63"/>
        <v>5331068</v>
      </c>
      <c r="J327" s="2212" t="e">
        <f>IF('Report-M&amp;O1819'!C$18-'Report-SOF1819'!D$55&lt;=0,0,'Report-M&amp;O1819'!C$18-'Report-SOF1819'!D$55)</f>
        <v>#DIV/0!</v>
      </c>
      <c r="K327" s="2452" t="e">
        <f t="shared" si="64"/>
        <v>#DIV/0!</v>
      </c>
      <c r="L327" s="2449">
        <f>IF(A327='Data Entry - SOF'!B$2,'Data Entry - SOF'!G$64,0)</f>
        <v>0</v>
      </c>
      <c r="M327" s="1371">
        <f t="shared" si="65"/>
        <v>5331068</v>
      </c>
      <c r="N327" s="2212" t="e">
        <f>IF('Report-M&amp;O1920'!C$18-'Report-SOF1920'!D$55&lt;=0,0,'Report-M&amp;O1920'!C$18-'Report-SOF1920'!D$55)</f>
        <v>#DIV/0!</v>
      </c>
      <c r="O327" s="2452" t="e">
        <f t="shared" si="66"/>
        <v>#DIV/0!</v>
      </c>
      <c r="P327" s="2449">
        <f>IF(A327='Data Entry - SOF'!B$2,'Data Entry - SOF'!I$64,0)</f>
        <v>0</v>
      </c>
      <c r="Q327" s="1687">
        <f t="shared" si="60"/>
        <v>5331068</v>
      </c>
      <c r="R327" s="2212" t="e">
        <f>IF('Report-M&amp;O2021'!C$18-'Report-SOF2021'!D$55&lt;=0,0,'Report-M&amp;O2021'!C$18-'Report-SOF2021'!D$55)</f>
        <v>#DIV/0!</v>
      </c>
      <c r="S327" s="2452" t="e">
        <f t="shared" si="67"/>
        <v>#DIV/0!</v>
      </c>
      <c r="T327" s="1708">
        <f>IF(A327='Data Entry - SOF'!B$2,'Data Entry - SOF'!K$64,0)</f>
        <v>0</v>
      </c>
      <c r="U327" s="1687">
        <f t="shared" si="59"/>
        <v>5331068</v>
      </c>
      <c r="V327" s="2212" t="e">
        <f>IF('Report-M&amp;O2122'!C$18-'Report-SOF2122'!D$55&lt;=0,0,'Report-M&amp;O2122'!C$18-'Report-SOF2122'!D$55)</f>
        <v>#DIV/0!</v>
      </c>
      <c r="W327" s="2452" t="e">
        <f t="shared" si="68"/>
        <v>#DIV/0!</v>
      </c>
      <c r="X327" s="1708">
        <f>IF(A327='Data Entry - SOF'!B$2,'Data Entry - SOF'!M$64,0)</f>
        <v>0</v>
      </c>
      <c r="Y327" s="1371" t="e">
        <f t="shared" si="69"/>
        <v>#DIV/0!</v>
      </c>
      <c r="Z327" s="2212" t="e">
        <f>IF('Report-M&amp;O2223'!C$18-'Report-SOF2223'!D$55&lt;=0,0,'Report-M&amp;O2223'!C$18-'Report-SOF2223'!D$55)</f>
        <v>#DIV/0!</v>
      </c>
      <c r="AA327" s="1708">
        <f>IF(A327='Data Entry - SOF'!B$2,'Data Entry - SOF'!O$64,0)</f>
        <v>0</v>
      </c>
    </row>
    <row r="328" spans="1:27" ht="15.75">
      <c r="A328" s="1076" t="s">
        <v>1403</v>
      </c>
      <c r="B328">
        <v>20670532</v>
      </c>
      <c r="C328" s="2452" t="e">
        <f>#REF!+#REF!</f>
        <v>#REF!</v>
      </c>
      <c r="D328" s="2449">
        <f>IF(A328='Data Entry - SOF'!B$2,'Data Entry - SOF'!C$64,0)</f>
        <v>0</v>
      </c>
      <c r="E328" s="2450">
        <f t="shared" si="61"/>
        <v>20670532</v>
      </c>
      <c r="F328" s="2212" t="e">
        <f>IF('Report-M&amp;O1718'!C$18-'Report-SOF1718'!D$55&lt;=0,0,'Report-M&amp;O1718'!C$18-'Report-SOF1718'!D$55)</f>
        <v>#DIV/0!</v>
      </c>
      <c r="G328" s="2452" t="e">
        <f t="shared" si="62"/>
        <v>#DIV/0!</v>
      </c>
      <c r="H328" s="2449">
        <f>IF(A328='Data Entry - SOF'!B$2,'Data Entry - SOF'!E$64,0)</f>
        <v>0</v>
      </c>
      <c r="I328" s="1687">
        <f t="shared" si="63"/>
        <v>20670532</v>
      </c>
      <c r="J328" s="2212" t="e">
        <f>IF('Report-M&amp;O1819'!C$18-'Report-SOF1819'!D$55&lt;=0,0,'Report-M&amp;O1819'!C$18-'Report-SOF1819'!D$55)</f>
        <v>#DIV/0!</v>
      </c>
      <c r="K328" s="2452" t="e">
        <f t="shared" si="64"/>
        <v>#DIV/0!</v>
      </c>
      <c r="L328" s="2449">
        <f>IF(A328='Data Entry - SOF'!B$2,'Data Entry - SOF'!G$64,0)</f>
        <v>0</v>
      </c>
      <c r="M328" s="1371">
        <f t="shared" si="65"/>
        <v>20670532</v>
      </c>
      <c r="N328" s="2212" t="e">
        <f>IF('Report-M&amp;O1920'!C$18-'Report-SOF1920'!D$55&lt;=0,0,'Report-M&amp;O1920'!C$18-'Report-SOF1920'!D$55)</f>
        <v>#DIV/0!</v>
      </c>
      <c r="O328" s="2452" t="e">
        <f t="shared" si="66"/>
        <v>#DIV/0!</v>
      </c>
      <c r="P328" s="2449">
        <f>IF(A328='Data Entry - SOF'!B$2,'Data Entry - SOF'!I$64,0)</f>
        <v>0</v>
      </c>
      <c r="Q328" s="1687">
        <f t="shared" si="60"/>
        <v>20670532</v>
      </c>
      <c r="R328" s="2212" t="e">
        <f>IF('Report-M&amp;O2021'!C$18-'Report-SOF2021'!D$55&lt;=0,0,'Report-M&amp;O2021'!C$18-'Report-SOF2021'!D$55)</f>
        <v>#DIV/0!</v>
      </c>
      <c r="S328" s="2452" t="e">
        <f t="shared" si="67"/>
        <v>#DIV/0!</v>
      </c>
      <c r="T328" s="1708">
        <f>IF(A328='Data Entry - SOF'!B$2,'Data Entry - SOF'!K$64,0)</f>
        <v>0</v>
      </c>
      <c r="U328" s="1687">
        <f t="shared" si="59"/>
        <v>20670532</v>
      </c>
      <c r="V328" s="2212" t="e">
        <f>IF('Report-M&amp;O2122'!C$18-'Report-SOF2122'!D$55&lt;=0,0,'Report-M&amp;O2122'!C$18-'Report-SOF2122'!D$55)</f>
        <v>#DIV/0!</v>
      </c>
      <c r="W328" s="2452" t="e">
        <f t="shared" si="68"/>
        <v>#DIV/0!</v>
      </c>
      <c r="X328" s="1708">
        <f>IF(A328='Data Entry - SOF'!B$2,'Data Entry - SOF'!M$64,0)</f>
        <v>0</v>
      </c>
      <c r="Y328" s="1371" t="e">
        <f t="shared" si="69"/>
        <v>#DIV/0!</v>
      </c>
      <c r="Z328" s="2212" t="e">
        <f>IF('Report-M&amp;O2223'!C$18-'Report-SOF2223'!D$55&lt;=0,0,'Report-M&amp;O2223'!C$18-'Report-SOF2223'!D$55)</f>
        <v>#DIV/0!</v>
      </c>
      <c r="AA328" s="1708">
        <f>IF(A328='Data Entry - SOF'!B$2,'Data Entry - SOF'!O$64,0)</f>
        <v>0</v>
      </c>
    </row>
    <row r="329" spans="1:27" ht="15.75">
      <c r="A329" s="1076" t="s">
        <v>2866</v>
      </c>
      <c r="B329">
        <v>12314229</v>
      </c>
      <c r="C329" s="2452" t="e">
        <f>#REF!+#REF!</f>
        <v>#REF!</v>
      </c>
      <c r="D329" s="2449">
        <f>IF(A329='Data Entry - SOF'!B$2,'Data Entry - SOF'!C$64,0)</f>
        <v>0</v>
      </c>
      <c r="E329" s="2450">
        <f t="shared" si="61"/>
        <v>12314229</v>
      </c>
      <c r="F329" s="2212" t="e">
        <f>IF('Report-M&amp;O1718'!C$18-'Report-SOF1718'!D$55&lt;=0,0,'Report-M&amp;O1718'!C$18-'Report-SOF1718'!D$55)</f>
        <v>#DIV/0!</v>
      </c>
      <c r="G329" s="2452" t="e">
        <f t="shared" si="62"/>
        <v>#DIV/0!</v>
      </c>
      <c r="H329" s="2449">
        <f>IF(A329='Data Entry - SOF'!B$2,'Data Entry - SOF'!E$64,0)</f>
        <v>0</v>
      </c>
      <c r="I329" s="1687">
        <f t="shared" si="63"/>
        <v>12314229</v>
      </c>
      <c r="J329" s="2212" t="e">
        <f>IF('Report-M&amp;O1819'!C$18-'Report-SOF1819'!D$55&lt;=0,0,'Report-M&amp;O1819'!C$18-'Report-SOF1819'!D$55)</f>
        <v>#DIV/0!</v>
      </c>
      <c r="K329" s="2452" t="e">
        <f t="shared" si="64"/>
        <v>#DIV/0!</v>
      </c>
      <c r="L329" s="2449">
        <f>IF(A329='Data Entry - SOF'!B$2,'Data Entry - SOF'!G$64,0)</f>
        <v>0</v>
      </c>
      <c r="M329" s="1371">
        <f t="shared" si="65"/>
        <v>12314229</v>
      </c>
      <c r="N329" s="2212" t="e">
        <f>IF('Report-M&amp;O1920'!C$18-'Report-SOF1920'!D$55&lt;=0,0,'Report-M&amp;O1920'!C$18-'Report-SOF1920'!D$55)</f>
        <v>#DIV/0!</v>
      </c>
      <c r="O329" s="2452" t="e">
        <f t="shared" si="66"/>
        <v>#DIV/0!</v>
      </c>
      <c r="P329" s="2449">
        <f>IF(A329='Data Entry - SOF'!B$2,'Data Entry - SOF'!I$64,0)</f>
        <v>0</v>
      </c>
      <c r="Q329" s="1687">
        <f t="shared" si="60"/>
        <v>12314229</v>
      </c>
      <c r="R329" s="2212" t="e">
        <f>IF('Report-M&amp;O2021'!C$18-'Report-SOF2021'!D$55&lt;=0,0,'Report-M&amp;O2021'!C$18-'Report-SOF2021'!D$55)</f>
        <v>#DIV/0!</v>
      </c>
      <c r="S329" s="2452" t="e">
        <f t="shared" si="67"/>
        <v>#DIV/0!</v>
      </c>
      <c r="T329" s="1708">
        <f>IF(A329='Data Entry - SOF'!B$2,'Data Entry - SOF'!K$64,0)</f>
        <v>0</v>
      </c>
      <c r="U329" s="1687">
        <f t="shared" si="59"/>
        <v>12314229</v>
      </c>
      <c r="V329" s="2212" t="e">
        <f>IF('Report-M&amp;O2122'!C$18-'Report-SOF2122'!D$55&lt;=0,0,'Report-M&amp;O2122'!C$18-'Report-SOF2122'!D$55)</f>
        <v>#DIV/0!</v>
      </c>
      <c r="W329" s="2452" t="e">
        <f t="shared" si="68"/>
        <v>#DIV/0!</v>
      </c>
      <c r="X329" s="1708">
        <f>IF(A329='Data Entry - SOF'!B$2,'Data Entry - SOF'!M$64,0)</f>
        <v>0</v>
      </c>
      <c r="Y329" s="1371" t="e">
        <f t="shared" si="69"/>
        <v>#DIV/0!</v>
      </c>
      <c r="Z329" s="2212" t="e">
        <f>IF('Report-M&amp;O2223'!C$18-'Report-SOF2223'!D$55&lt;=0,0,'Report-M&amp;O2223'!C$18-'Report-SOF2223'!D$55)</f>
        <v>#DIV/0!</v>
      </c>
      <c r="AA329" s="1708">
        <f>IF(A329='Data Entry - SOF'!B$2,'Data Entry - SOF'!O$64,0)</f>
        <v>0</v>
      </c>
    </row>
    <row r="330" spans="1:27" ht="15.75">
      <c r="A330" s="1076" t="s">
        <v>2200</v>
      </c>
      <c r="B330">
        <v>2800991</v>
      </c>
      <c r="C330" s="2452" t="e">
        <f>#REF!+#REF!</f>
        <v>#REF!</v>
      </c>
      <c r="D330" s="2449">
        <f>IF(A330='Data Entry - SOF'!B$2,'Data Entry - SOF'!C$64,0)</f>
        <v>0</v>
      </c>
      <c r="E330" s="2450">
        <f t="shared" si="61"/>
        <v>2800991</v>
      </c>
      <c r="F330" s="2212" t="e">
        <f>IF('Report-M&amp;O1718'!C$18-'Report-SOF1718'!D$55&lt;=0,0,'Report-M&amp;O1718'!C$18-'Report-SOF1718'!D$55)</f>
        <v>#DIV/0!</v>
      </c>
      <c r="G330" s="2452" t="e">
        <f t="shared" si="62"/>
        <v>#DIV/0!</v>
      </c>
      <c r="H330" s="2449">
        <f>IF(A330='Data Entry - SOF'!B$2,'Data Entry - SOF'!E$64,0)</f>
        <v>0</v>
      </c>
      <c r="I330" s="1687">
        <f t="shared" si="63"/>
        <v>2800991</v>
      </c>
      <c r="J330" s="2212" t="e">
        <f>IF('Report-M&amp;O1819'!C$18-'Report-SOF1819'!D$55&lt;=0,0,'Report-M&amp;O1819'!C$18-'Report-SOF1819'!D$55)</f>
        <v>#DIV/0!</v>
      </c>
      <c r="K330" s="2452" t="e">
        <f t="shared" si="64"/>
        <v>#DIV/0!</v>
      </c>
      <c r="L330" s="2449">
        <f>IF(A330='Data Entry - SOF'!B$2,'Data Entry - SOF'!G$64,0)</f>
        <v>0</v>
      </c>
      <c r="M330" s="1371">
        <f t="shared" si="65"/>
        <v>2800991</v>
      </c>
      <c r="N330" s="2212" t="e">
        <f>IF('Report-M&amp;O1920'!C$18-'Report-SOF1920'!D$55&lt;=0,0,'Report-M&amp;O1920'!C$18-'Report-SOF1920'!D$55)</f>
        <v>#DIV/0!</v>
      </c>
      <c r="O330" s="2452" t="e">
        <f t="shared" si="66"/>
        <v>#DIV/0!</v>
      </c>
      <c r="P330" s="2449">
        <f>IF(A330='Data Entry - SOF'!B$2,'Data Entry - SOF'!I$64,0)</f>
        <v>0</v>
      </c>
      <c r="Q330" s="1687">
        <f t="shared" si="60"/>
        <v>2800991</v>
      </c>
      <c r="R330" s="2212" t="e">
        <f>IF('Report-M&amp;O2021'!C$18-'Report-SOF2021'!D$55&lt;=0,0,'Report-M&amp;O2021'!C$18-'Report-SOF2021'!D$55)</f>
        <v>#DIV/0!</v>
      </c>
      <c r="S330" s="2452" t="e">
        <f t="shared" si="67"/>
        <v>#DIV/0!</v>
      </c>
      <c r="T330" s="1708">
        <f>IF(A330='Data Entry - SOF'!B$2,'Data Entry - SOF'!K$64,0)</f>
        <v>0</v>
      </c>
      <c r="U330" s="1687">
        <f t="shared" si="59"/>
        <v>2800991</v>
      </c>
      <c r="V330" s="2212" t="e">
        <f>IF('Report-M&amp;O2122'!C$18-'Report-SOF2122'!D$55&lt;=0,0,'Report-M&amp;O2122'!C$18-'Report-SOF2122'!D$55)</f>
        <v>#DIV/0!</v>
      </c>
      <c r="W330" s="2452" t="e">
        <f t="shared" si="68"/>
        <v>#DIV/0!</v>
      </c>
      <c r="X330" s="1708">
        <f>IF(A330='Data Entry - SOF'!B$2,'Data Entry - SOF'!M$64,0)</f>
        <v>0</v>
      </c>
      <c r="Y330" s="1371" t="e">
        <f t="shared" si="69"/>
        <v>#DIV/0!</v>
      </c>
      <c r="Z330" s="2212" t="e">
        <f>IF('Report-M&amp;O2223'!C$18-'Report-SOF2223'!D$55&lt;=0,0,'Report-M&amp;O2223'!C$18-'Report-SOF2223'!D$55)</f>
        <v>#DIV/0!</v>
      </c>
      <c r="AA330" s="1708">
        <f>IF(A330='Data Entry - SOF'!B$2,'Data Entry - SOF'!O$64,0)</f>
        <v>0</v>
      </c>
    </row>
    <row r="331" spans="1:27" ht="15.75">
      <c r="A331" s="1076" t="s">
        <v>2420</v>
      </c>
      <c r="B331">
        <v>4452658</v>
      </c>
      <c r="C331" s="2452" t="e">
        <f>#REF!+#REF!</f>
        <v>#REF!</v>
      </c>
      <c r="D331" s="2449">
        <f>IF(A331='Data Entry - SOF'!B$2,'Data Entry - SOF'!C$64,0)</f>
        <v>0</v>
      </c>
      <c r="E331" s="2450">
        <f t="shared" si="61"/>
        <v>4452658</v>
      </c>
      <c r="F331" s="2212" t="e">
        <f>IF('Report-M&amp;O1718'!C$18-'Report-SOF1718'!D$55&lt;=0,0,'Report-M&amp;O1718'!C$18-'Report-SOF1718'!D$55)</f>
        <v>#DIV/0!</v>
      </c>
      <c r="G331" s="2452" t="e">
        <f t="shared" si="62"/>
        <v>#DIV/0!</v>
      </c>
      <c r="H331" s="2449">
        <f>IF(A331='Data Entry - SOF'!B$2,'Data Entry - SOF'!E$64,0)</f>
        <v>0</v>
      </c>
      <c r="I331" s="1687">
        <f t="shared" si="63"/>
        <v>4452658</v>
      </c>
      <c r="J331" s="2212" t="e">
        <f>IF('Report-M&amp;O1819'!C$18-'Report-SOF1819'!D$55&lt;=0,0,'Report-M&amp;O1819'!C$18-'Report-SOF1819'!D$55)</f>
        <v>#DIV/0!</v>
      </c>
      <c r="K331" s="2452" t="e">
        <f t="shared" si="64"/>
        <v>#DIV/0!</v>
      </c>
      <c r="L331" s="2449">
        <f>IF(A331='Data Entry - SOF'!B$2,'Data Entry - SOF'!G$64,0)</f>
        <v>0</v>
      </c>
      <c r="M331" s="1371">
        <f t="shared" si="65"/>
        <v>4452658</v>
      </c>
      <c r="N331" s="2212" t="e">
        <f>IF('Report-M&amp;O1920'!C$18-'Report-SOF1920'!D$55&lt;=0,0,'Report-M&amp;O1920'!C$18-'Report-SOF1920'!D$55)</f>
        <v>#DIV/0!</v>
      </c>
      <c r="O331" s="2452" t="e">
        <f t="shared" si="66"/>
        <v>#DIV/0!</v>
      </c>
      <c r="P331" s="2449">
        <f>IF(A331='Data Entry - SOF'!B$2,'Data Entry - SOF'!I$64,0)</f>
        <v>0</v>
      </c>
      <c r="Q331" s="1687">
        <f t="shared" si="60"/>
        <v>4452658</v>
      </c>
      <c r="R331" s="2212" t="e">
        <f>IF('Report-M&amp;O2021'!C$18-'Report-SOF2021'!D$55&lt;=0,0,'Report-M&amp;O2021'!C$18-'Report-SOF2021'!D$55)</f>
        <v>#DIV/0!</v>
      </c>
      <c r="S331" s="2452" t="e">
        <f t="shared" si="67"/>
        <v>#DIV/0!</v>
      </c>
      <c r="T331" s="1708">
        <f>IF(A331='Data Entry - SOF'!B$2,'Data Entry - SOF'!K$64,0)</f>
        <v>0</v>
      </c>
      <c r="U331" s="1687">
        <f t="shared" si="59"/>
        <v>4452658</v>
      </c>
      <c r="V331" s="2212" t="e">
        <f>IF('Report-M&amp;O2122'!C$18-'Report-SOF2122'!D$55&lt;=0,0,'Report-M&amp;O2122'!C$18-'Report-SOF2122'!D$55)</f>
        <v>#DIV/0!</v>
      </c>
      <c r="W331" s="2452" t="e">
        <f t="shared" si="68"/>
        <v>#DIV/0!</v>
      </c>
      <c r="X331" s="1708">
        <f>IF(A331='Data Entry - SOF'!B$2,'Data Entry - SOF'!M$64,0)</f>
        <v>0</v>
      </c>
      <c r="Y331" s="1371" t="e">
        <f t="shared" si="69"/>
        <v>#DIV/0!</v>
      </c>
      <c r="Z331" s="2212" t="e">
        <f>IF('Report-M&amp;O2223'!C$18-'Report-SOF2223'!D$55&lt;=0,0,'Report-M&amp;O2223'!C$18-'Report-SOF2223'!D$55)</f>
        <v>#DIV/0!</v>
      </c>
      <c r="AA331" s="1708">
        <f>IF(A331='Data Entry - SOF'!B$2,'Data Entry - SOF'!O$64,0)</f>
        <v>0</v>
      </c>
    </row>
    <row r="332" spans="1:27" ht="15.75">
      <c r="A332" s="1076" t="s">
        <v>2490</v>
      </c>
      <c r="B332">
        <v>104482496</v>
      </c>
      <c r="C332" s="2452" t="e">
        <f>#REF!+#REF!</f>
        <v>#REF!</v>
      </c>
      <c r="D332" s="2449">
        <f>IF(A332='Data Entry - SOF'!B$2,'Data Entry - SOF'!C$64,0)</f>
        <v>0</v>
      </c>
      <c r="E332" s="2450">
        <f t="shared" si="61"/>
        <v>104482496</v>
      </c>
      <c r="F332" s="2212" t="e">
        <f>IF('Report-M&amp;O1718'!C$18-'Report-SOF1718'!D$55&lt;=0,0,'Report-M&amp;O1718'!C$18-'Report-SOF1718'!D$55)</f>
        <v>#DIV/0!</v>
      </c>
      <c r="G332" s="2452" t="e">
        <f t="shared" si="62"/>
        <v>#DIV/0!</v>
      </c>
      <c r="H332" s="2449">
        <f>IF(A332='Data Entry - SOF'!B$2,'Data Entry - SOF'!E$64,0)</f>
        <v>0</v>
      </c>
      <c r="I332" s="1687">
        <f t="shared" si="63"/>
        <v>104482496</v>
      </c>
      <c r="J332" s="2212" t="e">
        <f>IF('Report-M&amp;O1819'!C$18-'Report-SOF1819'!D$55&lt;=0,0,'Report-M&amp;O1819'!C$18-'Report-SOF1819'!D$55)</f>
        <v>#DIV/0!</v>
      </c>
      <c r="K332" s="2452" t="e">
        <f t="shared" si="64"/>
        <v>#DIV/0!</v>
      </c>
      <c r="L332" s="2449">
        <f>IF(A332='Data Entry - SOF'!B$2,'Data Entry - SOF'!G$64,0)</f>
        <v>0</v>
      </c>
      <c r="M332" s="1371">
        <f t="shared" si="65"/>
        <v>104482496</v>
      </c>
      <c r="N332" s="2212" t="e">
        <f>IF('Report-M&amp;O1920'!C$18-'Report-SOF1920'!D$55&lt;=0,0,'Report-M&amp;O1920'!C$18-'Report-SOF1920'!D$55)</f>
        <v>#DIV/0!</v>
      </c>
      <c r="O332" s="2452" t="e">
        <f t="shared" si="66"/>
        <v>#DIV/0!</v>
      </c>
      <c r="P332" s="2449">
        <f>IF(A332='Data Entry - SOF'!B$2,'Data Entry - SOF'!I$64,0)</f>
        <v>0</v>
      </c>
      <c r="Q332" s="1687">
        <f t="shared" si="60"/>
        <v>104482496</v>
      </c>
      <c r="R332" s="2212" t="e">
        <f>IF('Report-M&amp;O2021'!C$18-'Report-SOF2021'!D$55&lt;=0,0,'Report-M&amp;O2021'!C$18-'Report-SOF2021'!D$55)</f>
        <v>#DIV/0!</v>
      </c>
      <c r="S332" s="2452" t="e">
        <f t="shared" si="67"/>
        <v>#DIV/0!</v>
      </c>
      <c r="T332" s="1708">
        <f>IF(A332='Data Entry - SOF'!B$2,'Data Entry - SOF'!K$64,0)</f>
        <v>0</v>
      </c>
      <c r="U332" s="1687">
        <f t="shared" si="59"/>
        <v>104482496</v>
      </c>
      <c r="V332" s="2212" t="e">
        <f>IF('Report-M&amp;O2122'!C$18-'Report-SOF2122'!D$55&lt;=0,0,'Report-M&amp;O2122'!C$18-'Report-SOF2122'!D$55)</f>
        <v>#DIV/0!</v>
      </c>
      <c r="W332" s="2452" t="e">
        <f t="shared" si="68"/>
        <v>#DIV/0!</v>
      </c>
      <c r="X332" s="1708">
        <f>IF(A332='Data Entry - SOF'!B$2,'Data Entry - SOF'!M$64,0)</f>
        <v>0</v>
      </c>
      <c r="Y332" s="1371" t="e">
        <f t="shared" si="69"/>
        <v>#DIV/0!</v>
      </c>
      <c r="Z332" s="2212" t="e">
        <f>IF('Report-M&amp;O2223'!C$18-'Report-SOF2223'!D$55&lt;=0,0,'Report-M&amp;O2223'!C$18-'Report-SOF2223'!D$55)</f>
        <v>#DIV/0!</v>
      </c>
      <c r="AA332" s="1708">
        <f>IF(A332='Data Entry - SOF'!B$2,'Data Entry - SOF'!O$64,0)</f>
        <v>0</v>
      </c>
    </row>
    <row r="333" spans="1:27" ht="15.75">
      <c r="A333" s="1076" t="s">
        <v>2270</v>
      </c>
      <c r="B333">
        <v>80052333</v>
      </c>
      <c r="C333" s="2452" t="e">
        <f>#REF!+#REF!</f>
        <v>#REF!</v>
      </c>
      <c r="D333" s="2449">
        <f>IF(A333='Data Entry - SOF'!B$2,'Data Entry - SOF'!C$64,0)</f>
        <v>0</v>
      </c>
      <c r="E333" s="2450">
        <f t="shared" si="61"/>
        <v>80052333</v>
      </c>
      <c r="F333" s="2212" t="e">
        <f>IF('Report-M&amp;O1718'!C$18-'Report-SOF1718'!D$55&lt;=0,0,'Report-M&amp;O1718'!C$18-'Report-SOF1718'!D$55)</f>
        <v>#DIV/0!</v>
      </c>
      <c r="G333" s="2452" t="e">
        <f t="shared" si="62"/>
        <v>#DIV/0!</v>
      </c>
      <c r="H333" s="2449">
        <f>IF(A333='Data Entry - SOF'!B$2,'Data Entry - SOF'!E$64,0)</f>
        <v>0</v>
      </c>
      <c r="I333" s="1687">
        <f t="shared" si="63"/>
        <v>80052333</v>
      </c>
      <c r="J333" s="2212" t="e">
        <f>IF('Report-M&amp;O1819'!C$18-'Report-SOF1819'!D$55&lt;=0,0,'Report-M&amp;O1819'!C$18-'Report-SOF1819'!D$55)</f>
        <v>#DIV/0!</v>
      </c>
      <c r="K333" s="2452" t="e">
        <f t="shared" si="64"/>
        <v>#DIV/0!</v>
      </c>
      <c r="L333" s="2449">
        <f>IF(A333='Data Entry - SOF'!B$2,'Data Entry - SOF'!G$64,0)</f>
        <v>0</v>
      </c>
      <c r="M333" s="1371">
        <f t="shared" si="65"/>
        <v>80052333</v>
      </c>
      <c r="N333" s="2212" t="e">
        <f>IF('Report-M&amp;O1920'!C$18-'Report-SOF1920'!D$55&lt;=0,0,'Report-M&amp;O1920'!C$18-'Report-SOF1920'!D$55)</f>
        <v>#DIV/0!</v>
      </c>
      <c r="O333" s="2452" t="e">
        <f t="shared" si="66"/>
        <v>#DIV/0!</v>
      </c>
      <c r="P333" s="2449">
        <f>IF(A333='Data Entry - SOF'!B$2,'Data Entry - SOF'!I$64,0)</f>
        <v>0</v>
      </c>
      <c r="Q333" s="1687">
        <f t="shared" si="60"/>
        <v>80052333</v>
      </c>
      <c r="R333" s="2212" t="e">
        <f>IF('Report-M&amp;O2021'!C$18-'Report-SOF2021'!D$55&lt;=0,0,'Report-M&amp;O2021'!C$18-'Report-SOF2021'!D$55)</f>
        <v>#DIV/0!</v>
      </c>
      <c r="S333" s="2452" t="e">
        <f t="shared" si="67"/>
        <v>#DIV/0!</v>
      </c>
      <c r="T333" s="1708">
        <f>IF(A333='Data Entry - SOF'!B$2,'Data Entry - SOF'!K$64,0)</f>
        <v>0</v>
      </c>
      <c r="U333" s="1687">
        <f t="shared" si="59"/>
        <v>80052333</v>
      </c>
      <c r="V333" s="2212" t="e">
        <f>IF('Report-M&amp;O2122'!C$18-'Report-SOF2122'!D$55&lt;=0,0,'Report-M&amp;O2122'!C$18-'Report-SOF2122'!D$55)</f>
        <v>#DIV/0!</v>
      </c>
      <c r="W333" s="2452" t="e">
        <f t="shared" si="68"/>
        <v>#DIV/0!</v>
      </c>
      <c r="X333" s="1708">
        <f>IF(A333='Data Entry - SOF'!B$2,'Data Entry - SOF'!M$64,0)</f>
        <v>0</v>
      </c>
      <c r="Y333" s="1371" t="e">
        <f t="shared" si="69"/>
        <v>#DIV/0!</v>
      </c>
      <c r="Z333" s="2212" t="e">
        <f>IF('Report-M&amp;O2223'!C$18-'Report-SOF2223'!D$55&lt;=0,0,'Report-M&amp;O2223'!C$18-'Report-SOF2223'!D$55)</f>
        <v>#DIV/0!</v>
      </c>
      <c r="AA333" s="1708">
        <f>IF(A333='Data Entry - SOF'!B$2,'Data Entry - SOF'!O$64,0)</f>
        <v>0</v>
      </c>
    </row>
    <row r="334" spans="1:27" ht="15.75">
      <c r="A334" s="1076" t="s">
        <v>2550</v>
      </c>
      <c r="B334">
        <v>35350368</v>
      </c>
      <c r="C334" s="2452" t="e">
        <f>#REF!+#REF!</f>
        <v>#REF!</v>
      </c>
      <c r="D334" s="2449">
        <f>IF(A334='Data Entry - SOF'!B$2,'Data Entry - SOF'!C$64,0)</f>
        <v>0</v>
      </c>
      <c r="E334" s="2450">
        <f t="shared" si="61"/>
        <v>35350368</v>
      </c>
      <c r="F334" s="2212" t="e">
        <f>IF('Report-M&amp;O1718'!C$18-'Report-SOF1718'!D$55&lt;=0,0,'Report-M&amp;O1718'!C$18-'Report-SOF1718'!D$55)</f>
        <v>#DIV/0!</v>
      </c>
      <c r="G334" s="2452" t="e">
        <f t="shared" si="62"/>
        <v>#DIV/0!</v>
      </c>
      <c r="H334" s="2449">
        <f>IF(A334='Data Entry - SOF'!B$2,'Data Entry - SOF'!E$64,0)</f>
        <v>0</v>
      </c>
      <c r="I334" s="1687">
        <f t="shared" si="63"/>
        <v>35350368</v>
      </c>
      <c r="J334" s="2212" t="e">
        <f>IF('Report-M&amp;O1819'!C$18-'Report-SOF1819'!D$55&lt;=0,0,'Report-M&amp;O1819'!C$18-'Report-SOF1819'!D$55)</f>
        <v>#DIV/0!</v>
      </c>
      <c r="K334" s="2452" t="e">
        <f t="shared" si="64"/>
        <v>#DIV/0!</v>
      </c>
      <c r="L334" s="2449">
        <f>IF(A334='Data Entry - SOF'!B$2,'Data Entry - SOF'!G$64,0)</f>
        <v>0</v>
      </c>
      <c r="M334" s="1371">
        <f t="shared" si="65"/>
        <v>35350368</v>
      </c>
      <c r="N334" s="2212" t="e">
        <f>IF('Report-M&amp;O1920'!C$18-'Report-SOF1920'!D$55&lt;=0,0,'Report-M&amp;O1920'!C$18-'Report-SOF1920'!D$55)</f>
        <v>#DIV/0!</v>
      </c>
      <c r="O334" s="2452" t="e">
        <f t="shared" si="66"/>
        <v>#DIV/0!</v>
      </c>
      <c r="P334" s="2449">
        <f>IF(A334='Data Entry - SOF'!B$2,'Data Entry - SOF'!I$64,0)</f>
        <v>0</v>
      </c>
      <c r="Q334" s="1687">
        <f t="shared" si="60"/>
        <v>35350368</v>
      </c>
      <c r="R334" s="2212" t="e">
        <f>IF('Report-M&amp;O2021'!C$18-'Report-SOF2021'!D$55&lt;=0,0,'Report-M&amp;O2021'!C$18-'Report-SOF2021'!D$55)</f>
        <v>#DIV/0!</v>
      </c>
      <c r="S334" s="2452" t="e">
        <f t="shared" si="67"/>
        <v>#DIV/0!</v>
      </c>
      <c r="T334" s="1708">
        <f>IF(A334='Data Entry - SOF'!B$2,'Data Entry - SOF'!K$64,0)</f>
        <v>0</v>
      </c>
      <c r="U334" s="1687">
        <f t="shared" si="59"/>
        <v>35350368</v>
      </c>
      <c r="V334" s="2212" t="e">
        <f>IF('Report-M&amp;O2122'!C$18-'Report-SOF2122'!D$55&lt;=0,0,'Report-M&amp;O2122'!C$18-'Report-SOF2122'!D$55)</f>
        <v>#DIV/0!</v>
      </c>
      <c r="W334" s="2452" t="e">
        <f t="shared" si="68"/>
        <v>#DIV/0!</v>
      </c>
      <c r="X334" s="1708">
        <f>IF(A334='Data Entry - SOF'!B$2,'Data Entry - SOF'!M$64,0)</f>
        <v>0</v>
      </c>
      <c r="Y334" s="1371" t="e">
        <f t="shared" si="69"/>
        <v>#DIV/0!</v>
      </c>
      <c r="Z334" s="2212" t="e">
        <f>IF('Report-M&amp;O2223'!C$18-'Report-SOF2223'!D$55&lt;=0,0,'Report-M&amp;O2223'!C$18-'Report-SOF2223'!D$55)</f>
        <v>#DIV/0!</v>
      </c>
      <c r="AA334" s="1708">
        <f>IF(A334='Data Entry - SOF'!B$2,'Data Entry - SOF'!O$64,0)</f>
        <v>0</v>
      </c>
    </row>
    <row r="335" spans="1:27" ht="15.75">
      <c r="A335" s="1076" t="s">
        <v>2132</v>
      </c>
      <c r="B335">
        <v>2196747</v>
      </c>
      <c r="C335" s="2452" t="e">
        <f>#REF!+#REF!</f>
        <v>#REF!</v>
      </c>
      <c r="D335" s="2449">
        <f>IF(A335='Data Entry - SOF'!B$2,'Data Entry - SOF'!C$64,0)</f>
        <v>0</v>
      </c>
      <c r="E335" s="2450">
        <f t="shared" si="61"/>
        <v>2196747</v>
      </c>
      <c r="F335" s="2212" t="e">
        <f>IF('Report-M&amp;O1718'!C$18-'Report-SOF1718'!D$55&lt;=0,0,'Report-M&amp;O1718'!C$18-'Report-SOF1718'!D$55)</f>
        <v>#DIV/0!</v>
      </c>
      <c r="G335" s="2452" t="e">
        <f t="shared" si="62"/>
        <v>#DIV/0!</v>
      </c>
      <c r="H335" s="2449">
        <f>IF(A335='Data Entry - SOF'!B$2,'Data Entry - SOF'!E$64,0)</f>
        <v>0</v>
      </c>
      <c r="I335" s="1687">
        <f t="shared" si="63"/>
        <v>2196747</v>
      </c>
      <c r="J335" s="2212" t="e">
        <f>IF('Report-M&amp;O1819'!C$18-'Report-SOF1819'!D$55&lt;=0,0,'Report-M&amp;O1819'!C$18-'Report-SOF1819'!D$55)</f>
        <v>#DIV/0!</v>
      </c>
      <c r="K335" s="2452" t="e">
        <f t="shared" si="64"/>
        <v>#DIV/0!</v>
      </c>
      <c r="L335" s="2449">
        <f>IF(A335='Data Entry - SOF'!B$2,'Data Entry - SOF'!G$64,0)</f>
        <v>0</v>
      </c>
      <c r="M335" s="1371">
        <f t="shared" si="65"/>
        <v>2196747</v>
      </c>
      <c r="N335" s="2212" t="e">
        <f>IF('Report-M&amp;O1920'!C$18-'Report-SOF1920'!D$55&lt;=0,0,'Report-M&amp;O1920'!C$18-'Report-SOF1920'!D$55)</f>
        <v>#DIV/0!</v>
      </c>
      <c r="O335" s="2452" t="e">
        <f t="shared" si="66"/>
        <v>#DIV/0!</v>
      </c>
      <c r="P335" s="2449">
        <f>IF(A335='Data Entry - SOF'!B$2,'Data Entry - SOF'!I$64,0)</f>
        <v>0</v>
      </c>
      <c r="Q335" s="1687">
        <f t="shared" si="60"/>
        <v>2196747</v>
      </c>
      <c r="R335" s="2212" t="e">
        <f>IF('Report-M&amp;O2021'!C$18-'Report-SOF2021'!D$55&lt;=0,0,'Report-M&amp;O2021'!C$18-'Report-SOF2021'!D$55)</f>
        <v>#DIV/0!</v>
      </c>
      <c r="S335" s="2452" t="e">
        <f t="shared" si="67"/>
        <v>#DIV/0!</v>
      </c>
      <c r="T335" s="1708">
        <f>IF(A335='Data Entry - SOF'!B$2,'Data Entry - SOF'!K$64,0)</f>
        <v>0</v>
      </c>
      <c r="U335" s="1687">
        <f t="shared" ref="U335:U381" si="70">Q335-T335</f>
        <v>2196747</v>
      </c>
      <c r="V335" s="2212" t="e">
        <f>IF('Report-M&amp;O2122'!C$18-'Report-SOF2122'!D$55&lt;=0,0,'Report-M&amp;O2122'!C$18-'Report-SOF2122'!D$55)</f>
        <v>#DIV/0!</v>
      </c>
      <c r="W335" s="2452" t="e">
        <f t="shared" si="68"/>
        <v>#DIV/0!</v>
      </c>
      <c r="X335" s="1708">
        <f>IF(A335='Data Entry - SOF'!B$2,'Data Entry - SOF'!M$64,0)</f>
        <v>0</v>
      </c>
      <c r="Y335" s="1371" t="e">
        <f t="shared" si="69"/>
        <v>#DIV/0!</v>
      </c>
      <c r="Z335" s="2212" t="e">
        <f>IF('Report-M&amp;O2223'!C$18-'Report-SOF2223'!D$55&lt;=0,0,'Report-M&amp;O2223'!C$18-'Report-SOF2223'!D$55)</f>
        <v>#DIV/0!</v>
      </c>
      <c r="AA335" s="1708">
        <f>IF(A335='Data Entry - SOF'!B$2,'Data Entry - SOF'!O$64,0)</f>
        <v>0</v>
      </c>
    </row>
    <row r="336" spans="1:27" ht="15.75">
      <c r="A336" s="1076" t="s">
        <v>863</v>
      </c>
      <c r="B336">
        <v>67946279</v>
      </c>
      <c r="C336" s="2452" t="e">
        <f>#REF!+#REF!</f>
        <v>#REF!</v>
      </c>
      <c r="D336" s="2449">
        <f>IF(A336='Data Entry - SOF'!B$2,'Data Entry - SOF'!C$64,0)</f>
        <v>0</v>
      </c>
      <c r="E336" s="2450">
        <f t="shared" si="61"/>
        <v>67946279</v>
      </c>
      <c r="F336" s="2212" t="e">
        <f>IF('Report-M&amp;O1718'!C$18-'Report-SOF1718'!D$55&lt;=0,0,'Report-M&amp;O1718'!C$18-'Report-SOF1718'!D$55)</f>
        <v>#DIV/0!</v>
      </c>
      <c r="G336" s="2452" t="e">
        <f t="shared" si="62"/>
        <v>#DIV/0!</v>
      </c>
      <c r="H336" s="2449">
        <f>IF(A336='Data Entry - SOF'!B$2,'Data Entry - SOF'!E$64,0)</f>
        <v>0</v>
      </c>
      <c r="I336" s="1687">
        <f t="shared" si="63"/>
        <v>67946279</v>
      </c>
      <c r="J336" s="2212" t="e">
        <f>IF('Report-M&amp;O1819'!C$18-'Report-SOF1819'!D$55&lt;=0,0,'Report-M&amp;O1819'!C$18-'Report-SOF1819'!D$55)</f>
        <v>#DIV/0!</v>
      </c>
      <c r="K336" s="2452" t="e">
        <f t="shared" si="64"/>
        <v>#DIV/0!</v>
      </c>
      <c r="L336" s="2449">
        <f>IF(A336='Data Entry - SOF'!B$2,'Data Entry - SOF'!G$64,0)</f>
        <v>0</v>
      </c>
      <c r="M336" s="1371">
        <f t="shared" si="65"/>
        <v>67946279</v>
      </c>
      <c r="N336" s="2212" t="e">
        <f>IF('Report-M&amp;O1920'!C$18-'Report-SOF1920'!D$55&lt;=0,0,'Report-M&amp;O1920'!C$18-'Report-SOF1920'!D$55)</f>
        <v>#DIV/0!</v>
      </c>
      <c r="O336" s="2452" t="e">
        <f t="shared" si="66"/>
        <v>#DIV/0!</v>
      </c>
      <c r="P336" s="2449">
        <f>IF(A336='Data Entry - SOF'!B$2,'Data Entry - SOF'!I$64,0)</f>
        <v>0</v>
      </c>
      <c r="Q336" s="1687">
        <f t="shared" si="60"/>
        <v>67946279</v>
      </c>
      <c r="R336" s="2212" t="e">
        <f>IF('Report-M&amp;O2021'!C$18-'Report-SOF2021'!D$55&lt;=0,0,'Report-M&amp;O2021'!C$18-'Report-SOF2021'!D$55)</f>
        <v>#DIV/0!</v>
      </c>
      <c r="S336" s="2452" t="e">
        <f t="shared" si="67"/>
        <v>#DIV/0!</v>
      </c>
      <c r="T336" s="1708">
        <f>IF(A336='Data Entry - SOF'!B$2,'Data Entry - SOF'!K$64,0)</f>
        <v>0</v>
      </c>
      <c r="U336" s="1687">
        <f t="shared" si="70"/>
        <v>67946279</v>
      </c>
      <c r="V336" s="2212" t="e">
        <f>IF('Report-M&amp;O2122'!C$18-'Report-SOF2122'!D$55&lt;=0,0,'Report-M&amp;O2122'!C$18-'Report-SOF2122'!D$55)</f>
        <v>#DIV/0!</v>
      </c>
      <c r="W336" s="2452" t="e">
        <f t="shared" si="68"/>
        <v>#DIV/0!</v>
      </c>
      <c r="X336" s="1708">
        <f>IF(A336='Data Entry - SOF'!B$2,'Data Entry - SOF'!M$64,0)</f>
        <v>0</v>
      </c>
      <c r="Y336" s="1371" t="e">
        <f t="shared" si="69"/>
        <v>#DIV/0!</v>
      </c>
      <c r="Z336" s="2212" t="e">
        <f>IF('Report-M&amp;O2223'!C$18-'Report-SOF2223'!D$55&lt;=0,0,'Report-M&amp;O2223'!C$18-'Report-SOF2223'!D$55)</f>
        <v>#DIV/0!</v>
      </c>
      <c r="AA336" s="1708">
        <f>IF(A336='Data Entry - SOF'!B$2,'Data Entry - SOF'!O$64,0)</f>
        <v>0</v>
      </c>
    </row>
    <row r="337" spans="1:27" ht="15.75">
      <c r="A337" s="1076" t="s">
        <v>2817</v>
      </c>
      <c r="B337">
        <v>14432978</v>
      </c>
      <c r="C337" s="2452" t="e">
        <f>#REF!+#REF!</f>
        <v>#REF!</v>
      </c>
      <c r="D337" s="2449">
        <f>IF(A337='Data Entry - SOF'!B$2,'Data Entry - SOF'!C$64,0)</f>
        <v>0</v>
      </c>
      <c r="E337" s="2450">
        <f t="shared" si="61"/>
        <v>14432978</v>
      </c>
      <c r="F337" s="2212" t="e">
        <f>IF('Report-M&amp;O1718'!C$18-'Report-SOF1718'!D$55&lt;=0,0,'Report-M&amp;O1718'!C$18-'Report-SOF1718'!D$55)</f>
        <v>#DIV/0!</v>
      </c>
      <c r="G337" s="2452" t="e">
        <f t="shared" si="62"/>
        <v>#DIV/0!</v>
      </c>
      <c r="H337" s="2449">
        <f>IF(A337='Data Entry - SOF'!B$2,'Data Entry - SOF'!E$64,0)</f>
        <v>0</v>
      </c>
      <c r="I337" s="1687">
        <f t="shared" si="63"/>
        <v>14432978</v>
      </c>
      <c r="J337" s="2212" t="e">
        <f>IF('Report-M&amp;O1819'!C$18-'Report-SOF1819'!D$55&lt;=0,0,'Report-M&amp;O1819'!C$18-'Report-SOF1819'!D$55)</f>
        <v>#DIV/0!</v>
      </c>
      <c r="K337" s="2452" t="e">
        <f t="shared" si="64"/>
        <v>#DIV/0!</v>
      </c>
      <c r="L337" s="2449">
        <f>IF(A337='Data Entry - SOF'!B$2,'Data Entry - SOF'!G$64,0)</f>
        <v>0</v>
      </c>
      <c r="M337" s="1371">
        <f t="shared" si="65"/>
        <v>14432978</v>
      </c>
      <c r="N337" s="2212" t="e">
        <f>IF('Report-M&amp;O1920'!C$18-'Report-SOF1920'!D$55&lt;=0,0,'Report-M&amp;O1920'!C$18-'Report-SOF1920'!D$55)</f>
        <v>#DIV/0!</v>
      </c>
      <c r="O337" s="2452" t="e">
        <f t="shared" si="66"/>
        <v>#DIV/0!</v>
      </c>
      <c r="P337" s="2449">
        <f>IF(A337='Data Entry - SOF'!B$2,'Data Entry - SOF'!I$64,0)</f>
        <v>0</v>
      </c>
      <c r="Q337" s="1687">
        <f t="shared" si="60"/>
        <v>14432978</v>
      </c>
      <c r="R337" s="2212" t="e">
        <f>IF('Report-M&amp;O2021'!C$18-'Report-SOF2021'!D$55&lt;=0,0,'Report-M&amp;O2021'!C$18-'Report-SOF2021'!D$55)</f>
        <v>#DIV/0!</v>
      </c>
      <c r="S337" s="2452" t="e">
        <f t="shared" si="67"/>
        <v>#DIV/0!</v>
      </c>
      <c r="T337" s="1708">
        <f>IF(A337='Data Entry - SOF'!B$2,'Data Entry - SOF'!K$64,0)</f>
        <v>0</v>
      </c>
      <c r="U337" s="1687">
        <f t="shared" si="70"/>
        <v>14432978</v>
      </c>
      <c r="V337" s="2212" t="e">
        <f>IF('Report-M&amp;O2122'!C$18-'Report-SOF2122'!D$55&lt;=0,0,'Report-M&amp;O2122'!C$18-'Report-SOF2122'!D$55)</f>
        <v>#DIV/0!</v>
      </c>
      <c r="W337" s="2452" t="e">
        <f t="shared" si="68"/>
        <v>#DIV/0!</v>
      </c>
      <c r="X337" s="1708">
        <f>IF(A337='Data Entry - SOF'!B$2,'Data Entry - SOF'!M$64,0)</f>
        <v>0</v>
      </c>
      <c r="Y337" s="1371" t="e">
        <f t="shared" si="69"/>
        <v>#DIV/0!</v>
      </c>
      <c r="Z337" s="2212" t="e">
        <f>IF('Report-M&amp;O2223'!C$18-'Report-SOF2223'!D$55&lt;=0,0,'Report-M&amp;O2223'!C$18-'Report-SOF2223'!D$55)</f>
        <v>#DIV/0!</v>
      </c>
      <c r="AA337" s="1708">
        <f>IF(A337='Data Entry - SOF'!B$2,'Data Entry - SOF'!O$64,0)</f>
        <v>0</v>
      </c>
    </row>
    <row r="338" spans="1:27" ht="15.75">
      <c r="A338" s="1076" t="s">
        <v>533</v>
      </c>
      <c r="B338">
        <v>14527394</v>
      </c>
      <c r="C338" s="2452" t="e">
        <f>#REF!+#REF!</f>
        <v>#REF!</v>
      </c>
      <c r="D338" s="2449">
        <f>IF(A338='Data Entry - SOF'!B$2,'Data Entry - SOF'!C$64,0)</f>
        <v>0</v>
      </c>
      <c r="E338" s="2450">
        <f t="shared" si="61"/>
        <v>14527394</v>
      </c>
      <c r="F338" s="2212" t="e">
        <f>IF('Report-M&amp;O1718'!C$18-'Report-SOF1718'!D$55&lt;=0,0,'Report-M&amp;O1718'!C$18-'Report-SOF1718'!D$55)</f>
        <v>#DIV/0!</v>
      </c>
      <c r="G338" s="2452" t="e">
        <f t="shared" si="62"/>
        <v>#DIV/0!</v>
      </c>
      <c r="H338" s="2449">
        <f>IF(A338='Data Entry - SOF'!B$2,'Data Entry - SOF'!E$64,0)</f>
        <v>0</v>
      </c>
      <c r="I338" s="1687">
        <f t="shared" si="63"/>
        <v>14527394</v>
      </c>
      <c r="J338" s="2212" t="e">
        <f>IF('Report-M&amp;O1819'!C$18-'Report-SOF1819'!D$55&lt;=0,0,'Report-M&amp;O1819'!C$18-'Report-SOF1819'!D$55)</f>
        <v>#DIV/0!</v>
      </c>
      <c r="K338" s="2452" t="e">
        <f t="shared" si="64"/>
        <v>#DIV/0!</v>
      </c>
      <c r="L338" s="2449">
        <f>IF(A338='Data Entry - SOF'!B$2,'Data Entry - SOF'!G$64,0)</f>
        <v>0</v>
      </c>
      <c r="M338" s="1371">
        <f t="shared" si="65"/>
        <v>14527394</v>
      </c>
      <c r="N338" s="2212" t="e">
        <f>IF('Report-M&amp;O1920'!C$18-'Report-SOF1920'!D$55&lt;=0,0,'Report-M&amp;O1920'!C$18-'Report-SOF1920'!D$55)</f>
        <v>#DIV/0!</v>
      </c>
      <c r="O338" s="2452" t="e">
        <f t="shared" si="66"/>
        <v>#DIV/0!</v>
      </c>
      <c r="P338" s="2449">
        <f>IF(A338='Data Entry - SOF'!B$2,'Data Entry - SOF'!I$64,0)</f>
        <v>0</v>
      </c>
      <c r="Q338" s="1687">
        <f t="shared" si="60"/>
        <v>14527394</v>
      </c>
      <c r="R338" s="2212" t="e">
        <f>IF('Report-M&amp;O2021'!C$18-'Report-SOF2021'!D$55&lt;=0,0,'Report-M&amp;O2021'!C$18-'Report-SOF2021'!D$55)</f>
        <v>#DIV/0!</v>
      </c>
      <c r="S338" s="2452" t="e">
        <f t="shared" si="67"/>
        <v>#DIV/0!</v>
      </c>
      <c r="T338" s="1708">
        <f>IF(A338='Data Entry - SOF'!B$2,'Data Entry - SOF'!K$64,0)</f>
        <v>0</v>
      </c>
      <c r="U338" s="1687">
        <f t="shared" si="70"/>
        <v>14527394</v>
      </c>
      <c r="V338" s="2212" t="e">
        <f>IF('Report-M&amp;O2122'!C$18-'Report-SOF2122'!D$55&lt;=0,0,'Report-M&amp;O2122'!C$18-'Report-SOF2122'!D$55)</f>
        <v>#DIV/0!</v>
      </c>
      <c r="W338" s="2452" t="e">
        <f t="shared" si="68"/>
        <v>#DIV/0!</v>
      </c>
      <c r="X338" s="1708">
        <f>IF(A338='Data Entry - SOF'!B$2,'Data Entry - SOF'!M$64,0)</f>
        <v>0</v>
      </c>
      <c r="Y338" s="1371" t="e">
        <f t="shared" si="69"/>
        <v>#DIV/0!</v>
      </c>
      <c r="Z338" s="2212" t="e">
        <f>IF('Report-M&amp;O2223'!C$18-'Report-SOF2223'!D$55&lt;=0,0,'Report-M&amp;O2223'!C$18-'Report-SOF2223'!D$55)</f>
        <v>#DIV/0!</v>
      </c>
      <c r="AA338" s="1708">
        <f>IF(A338='Data Entry - SOF'!B$2,'Data Entry - SOF'!O$64,0)</f>
        <v>0</v>
      </c>
    </row>
    <row r="339" spans="1:27" ht="15.75">
      <c r="A339" s="1076" t="s">
        <v>2818</v>
      </c>
      <c r="B339">
        <v>255574511</v>
      </c>
      <c r="C339" s="2452" t="e">
        <f>#REF!+#REF!</f>
        <v>#REF!</v>
      </c>
      <c r="D339" s="2449">
        <f>IF(A339='Data Entry - SOF'!B$2,'Data Entry - SOF'!C$64,0)</f>
        <v>0</v>
      </c>
      <c r="E339" s="2450">
        <f t="shared" si="61"/>
        <v>255574511</v>
      </c>
      <c r="F339" s="2212" t="e">
        <f>IF('Report-M&amp;O1718'!C$18-'Report-SOF1718'!D$55&lt;=0,0,'Report-M&amp;O1718'!C$18-'Report-SOF1718'!D$55)</f>
        <v>#DIV/0!</v>
      </c>
      <c r="G339" s="2452" t="e">
        <f t="shared" si="62"/>
        <v>#DIV/0!</v>
      </c>
      <c r="H339" s="2449">
        <f>IF(A339='Data Entry - SOF'!B$2,'Data Entry - SOF'!E$64,0)</f>
        <v>0</v>
      </c>
      <c r="I339" s="1687">
        <f t="shared" si="63"/>
        <v>255574511</v>
      </c>
      <c r="J339" s="2212" t="e">
        <f>IF('Report-M&amp;O1819'!C$18-'Report-SOF1819'!D$55&lt;=0,0,'Report-M&amp;O1819'!C$18-'Report-SOF1819'!D$55)</f>
        <v>#DIV/0!</v>
      </c>
      <c r="K339" s="2452" t="e">
        <f t="shared" si="64"/>
        <v>#DIV/0!</v>
      </c>
      <c r="L339" s="2449">
        <f>IF(A339='Data Entry - SOF'!B$2,'Data Entry - SOF'!G$64,0)</f>
        <v>0</v>
      </c>
      <c r="M339" s="1371">
        <f t="shared" si="65"/>
        <v>255574511</v>
      </c>
      <c r="N339" s="2212" t="e">
        <f>IF('Report-M&amp;O1920'!C$18-'Report-SOF1920'!D$55&lt;=0,0,'Report-M&amp;O1920'!C$18-'Report-SOF1920'!D$55)</f>
        <v>#DIV/0!</v>
      </c>
      <c r="O339" s="2452" t="e">
        <f t="shared" si="66"/>
        <v>#DIV/0!</v>
      </c>
      <c r="P339" s="2449">
        <f>IF(A339='Data Entry - SOF'!B$2,'Data Entry - SOF'!I$64,0)</f>
        <v>0</v>
      </c>
      <c r="Q339" s="1687">
        <f t="shared" si="60"/>
        <v>255574511</v>
      </c>
      <c r="R339" s="2212" t="e">
        <f>IF('Report-M&amp;O2021'!C$18-'Report-SOF2021'!D$55&lt;=0,0,'Report-M&amp;O2021'!C$18-'Report-SOF2021'!D$55)</f>
        <v>#DIV/0!</v>
      </c>
      <c r="S339" s="2452" t="e">
        <f t="shared" si="67"/>
        <v>#DIV/0!</v>
      </c>
      <c r="T339" s="1708">
        <f>IF(A339='Data Entry - SOF'!B$2,'Data Entry - SOF'!K$64,0)</f>
        <v>0</v>
      </c>
      <c r="U339" s="1687">
        <f t="shared" si="70"/>
        <v>255574511</v>
      </c>
      <c r="V339" s="2212" t="e">
        <f>IF('Report-M&amp;O2122'!C$18-'Report-SOF2122'!D$55&lt;=0,0,'Report-M&amp;O2122'!C$18-'Report-SOF2122'!D$55)</f>
        <v>#DIV/0!</v>
      </c>
      <c r="W339" s="2452" t="e">
        <f t="shared" si="68"/>
        <v>#DIV/0!</v>
      </c>
      <c r="X339" s="1708">
        <f>IF(A339='Data Entry - SOF'!B$2,'Data Entry - SOF'!M$64,0)</f>
        <v>0</v>
      </c>
      <c r="Y339" s="1371" t="e">
        <f t="shared" si="69"/>
        <v>#DIV/0!</v>
      </c>
      <c r="Z339" s="2212" t="e">
        <f>IF('Report-M&amp;O2223'!C$18-'Report-SOF2223'!D$55&lt;=0,0,'Report-M&amp;O2223'!C$18-'Report-SOF2223'!D$55)</f>
        <v>#DIV/0!</v>
      </c>
      <c r="AA339" s="1708">
        <f>IF(A339='Data Entry - SOF'!B$2,'Data Entry - SOF'!O$64,0)</f>
        <v>0</v>
      </c>
    </row>
    <row r="340" spans="1:27" ht="15.75">
      <c r="A340" s="1076" t="s">
        <v>1604</v>
      </c>
      <c r="B340">
        <v>25619724</v>
      </c>
      <c r="C340" s="2452" t="e">
        <f>#REF!+#REF!</f>
        <v>#REF!</v>
      </c>
      <c r="D340" s="2449">
        <f>IF(A340='Data Entry - SOF'!B$2,'Data Entry - SOF'!C$64,0)</f>
        <v>0</v>
      </c>
      <c r="E340" s="2450">
        <f t="shared" si="61"/>
        <v>25619724</v>
      </c>
      <c r="F340" s="2212" t="e">
        <f>IF('Report-M&amp;O1718'!C$18-'Report-SOF1718'!D$55&lt;=0,0,'Report-M&amp;O1718'!C$18-'Report-SOF1718'!D$55)</f>
        <v>#DIV/0!</v>
      </c>
      <c r="G340" s="2452" t="e">
        <f t="shared" si="62"/>
        <v>#DIV/0!</v>
      </c>
      <c r="H340" s="2449">
        <f>IF(A340='Data Entry - SOF'!B$2,'Data Entry - SOF'!E$64,0)</f>
        <v>0</v>
      </c>
      <c r="I340" s="1687">
        <f t="shared" si="63"/>
        <v>25619724</v>
      </c>
      <c r="J340" s="2212" t="e">
        <f>IF('Report-M&amp;O1819'!C$18-'Report-SOF1819'!D$55&lt;=0,0,'Report-M&amp;O1819'!C$18-'Report-SOF1819'!D$55)</f>
        <v>#DIV/0!</v>
      </c>
      <c r="K340" s="2452" t="e">
        <f t="shared" si="64"/>
        <v>#DIV/0!</v>
      </c>
      <c r="L340" s="2449">
        <f>IF(A340='Data Entry - SOF'!B$2,'Data Entry - SOF'!G$64,0)</f>
        <v>0</v>
      </c>
      <c r="M340" s="1371">
        <f t="shared" si="65"/>
        <v>25619724</v>
      </c>
      <c r="N340" s="2212" t="e">
        <f>IF('Report-M&amp;O1920'!C$18-'Report-SOF1920'!D$55&lt;=0,0,'Report-M&amp;O1920'!C$18-'Report-SOF1920'!D$55)</f>
        <v>#DIV/0!</v>
      </c>
      <c r="O340" s="2452" t="e">
        <f t="shared" si="66"/>
        <v>#DIV/0!</v>
      </c>
      <c r="P340" s="2449">
        <f>IF(A340='Data Entry - SOF'!B$2,'Data Entry - SOF'!I$64,0)</f>
        <v>0</v>
      </c>
      <c r="Q340" s="1687">
        <f t="shared" si="60"/>
        <v>25619724</v>
      </c>
      <c r="R340" s="2212" t="e">
        <f>IF('Report-M&amp;O2021'!C$18-'Report-SOF2021'!D$55&lt;=0,0,'Report-M&amp;O2021'!C$18-'Report-SOF2021'!D$55)</f>
        <v>#DIV/0!</v>
      </c>
      <c r="S340" s="2452" t="e">
        <f t="shared" si="67"/>
        <v>#DIV/0!</v>
      </c>
      <c r="T340" s="1708">
        <f>IF(A340='Data Entry - SOF'!B$2,'Data Entry - SOF'!K$64,0)</f>
        <v>0</v>
      </c>
      <c r="U340" s="1687">
        <f t="shared" si="70"/>
        <v>25619724</v>
      </c>
      <c r="V340" s="2212" t="e">
        <f>IF('Report-M&amp;O2122'!C$18-'Report-SOF2122'!D$55&lt;=0,0,'Report-M&amp;O2122'!C$18-'Report-SOF2122'!D$55)</f>
        <v>#DIV/0!</v>
      </c>
      <c r="W340" s="2452" t="e">
        <f t="shared" si="68"/>
        <v>#DIV/0!</v>
      </c>
      <c r="X340" s="1708">
        <f>IF(A340='Data Entry - SOF'!B$2,'Data Entry - SOF'!M$64,0)</f>
        <v>0</v>
      </c>
      <c r="Y340" s="1371" t="e">
        <f t="shared" si="69"/>
        <v>#DIV/0!</v>
      </c>
      <c r="Z340" s="2212" t="e">
        <f>IF('Report-M&amp;O2223'!C$18-'Report-SOF2223'!D$55&lt;=0,0,'Report-M&amp;O2223'!C$18-'Report-SOF2223'!D$55)</f>
        <v>#DIV/0!</v>
      </c>
      <c r="AA340" s="1708">
        <f>IF(A340='Data Entry - SOF'!B$2,'Data Entry - SOF'!O$64,0)</f>
        <v>0</v>
      </c>
    </row>
    <row r="341" spans="1:27" ht="15.75">
      <c r="A341" s="1076" t="s">
        <v>1872</v>
      </c>
      <c r="B341">
        <v>10354569</v>
      </c>
      <c r="C341" s="2452" t="e">
        <f>#REF!+#REF!</f>
        <v>#REF!</v>
      </c>
      <c r="D341" s="2449">
        <f>IF(A341='Data Entry - SOF'!B$2,'Data Entry - SOF'!C$64,0)</f>
        <v>0</v>
      </c>
      <c r="E341" s="2450">
        <f t="shared" si="61"/>
        <v>10354569</v>
      </c>
      <c r="F341" s="2212" t="e">
        <f>IF('Report-M&amp;O1718'!C$18-'Report-SOF1718'!D$55&lt;=0,0,'Report-M&amp;O1718'!C$18-'Report-SOF1718'!D$55)</f>
        <v>#DIV/0!</v>
      </c>
      <c r="G341" s="2452" t="e">
        <f t="shared" si="62"/>
        <v>#DIV/0!</v>
      </c>
      <c r="H341" s="2449">
        <f>IF(A341='Data Entry - SOF'!B$2,'Data Entry - SOF'!E$64,0)</f>
        <v>0</v>
      </c>
      <c r="I341" s="1687">
        <f t="shared" si="63"/>
        <v>10354569</v>
      </c>
      <c r="J341" s="2212" t="e">
        <f>IF('Report-M&amp;O1819'!C$18-'Report-SOF1819'!D$55&lt;=0,0,'Report-M&amp;O1819'!C$18-'Report-SOF1819'!D$55)</f>
        <v>#DIV/0!</v>
      </c>
      <c r="K341" s="2452" t="e">
        <f t="shared" si="64"/>
        <v>#DIV/0!</v>
      </c>
      <c r="L341" s="2449">
        <f>IF(A341='Data Entry - SOF'!B$2,'Data Entry - SOF'!G$64,0)</f>
        <v>0</v>
      </c>
      <c r="M341" s="1371">
        <f t="shared" si="65"/>
        <v>10354569</v>
      </c>
      <c r="N341" s="2212" t="e">
        <f>IF('Report-M&amp;O1920'!C$18-'Report-SOF1920'!D$55&lt;=0,0,'Report-M&amp;O1920'!C$18-'Report-SOF1920'!D$55)</f>
        <v>#DIV/0!</v>
      </c>
      <c r="O341" s="2452" t="e">
        <f t="shared" si="66"/>
        <v>#DIV/0!</v>
      </c>
      <c r="P341" s="2449">
        <f>IF(A341='Data Entry - SOF'!B$2,'Data Entry - SOF'!I$64,0)</f>
        <v>0</v>
      </c>
      <c r="Q341" s="1687">
        <f t="shared" si="60"/>
        <v>10354569</v>
      </c>
      <c r="R341" s="2212" t="e">
        <f>IF('Report-M&amp;O2021'!C$18-'Report-SOF2021'!D$55&lt;=0,0,'Report-M&amp;O2021'!C$18-'Report-SOF2021'!D$55)</f>
        <v>#DIV/0!</v>
      </c>
      <c r="S341" s="2452" t="e">
        <f t="shared" si="67"/>
        <v>#DIV/0!</v>
      </c>
      <c r="T341" s="1708">
        <f>IF(A341='Data Entry - SOF'!B$2,'Data Entry - SOF'!K$64,0)</f>
        <v>0</v>
      </c>
      <c r="U341" s="1687">
        <f t="shared" si="70"/>
        <v>10354569</v>
      </c>
      <c r="V341" s="2212" t="e">
        <f>IF('Report-M&amp;O2122'!C$18-'Report-SOF2122'!D$55&lt;=0,0,'Report-M&amp;O2122'!C$18-'Report-SOF2122'!D$55)</f>
        <v>#DIV/0!</v>
      </c>
      <c r="W341" s="2452" t="e">
        <f t="shared" si="68"/>
        <v>#DIV/0!</v>
      </c>
      <c r="X341" s="1708">
        <f>IF(A341='Data Entry - SOF'!B$2,'Data Entry - SOF'!M$64,0)</f>
        <v>0</v>
      </c>
      <c r="Y341" s="1371" t="e">
        <f t="shared" si="69"/>
        <v>#DIV/0!</v>
      </c>
      <c r="Z341" s="2212" t="e">
        <f>IF('Report-M&amp;O2223'!C$18-'Report-SOF2223'!D$55&lt;=0,0,'Report-M&amp;O2223'!C$18-'Report-SOF2223'!D$55)</f>
        <v>#DIV/0!</v>
      </c>
      <c r="AA341" s="1708">
        <f>IF(A341='Data Entry - SOF'!B$2,'Data Entry - SOF'!O$64,0)</f>
        <v>0</v>
      </c>
    </row>
    <row r="342" spans="1:27" ht="15.75">
      <c r="A342" s="1076" t="s">
        <v>1873</v>
      </c>
      <c r="B342">
        <v>567363</v>
      </c>
      <c r="C342" s="2452" t="e">
        <f>#REF!+#REF!</f>
        <v>#REF!</v>
      </c>
      <c r="D342" s="2449">
        <f>IF(A342='Data Entry - SOF'!B$2,'Data Entry - SOF'!C$64,0)</f>
        <v>0</v>
      </c>
      <c r="E342" s="2450">
        <f t="shared" si="61"/>
        <v>567363</v>
      </c>
      <c r="F342" s="2212" t="e">
        <f>IF('Report-M&amp;O1718'!C$18-'Report-SOF1718'!D$55&lt;=0,0,'Report-M&amp;O1718'!C$18-'Report-SOF1718'!D$55)</f>
        <v>#DIV/0!</v>
      </c>
      <c r="G342" s="2452" t="e">
        <f t="shared" si="62"/>
        <v>#DIV/0!</v>
      </c>
      <c r="H342" s="2449">
        <f>IF(A342='Data Entry - SOF'!B$2,'Data Entry - SOF'!E$64,0)</f>
        <v>0</v>
      </c>
      <c r="I342" s="1687">
        <f t="shared" si="63"/>
        <v>567363</v>
      </c>
      <c r="J342" s="2212" t="e">
        <f>IF('Report-M&amp;O1819'!C$18-'Report-SOF1819'!D$55&lt;=0,0,'Report-M&amp;O1819'!C$18-'Report-SOF1819'!D$55)</f>
        <v>#DIV/0!</v>
      </c>
      <c r="K342" s="2452" t="e">
        <f t="shared" si="64"/>
        <v>#DIV/0!</v>
      </c>
      <c r="L342" s="2449">
        <f>IF(A342='Data Entry - SOF'!B$2,'Data Entry - SOF'!G$64,0)</f>
        <v>0</v>
      </c>
      <c r="M342" s="1371">
        <f t="shared" si="65"/>
        <v>567363</v>
      </c>
      <c r="N342" s="2212" t="e">
        <f>IF('Report-M&amp;O1920'!C$18-'Report-SOF1920'!D$55&lt;=0,0,'Report-M&amp;O1920'!C$18-'Report-SOF1920'!D$55)</f>
        <v>#DIV/0!</v>
      </c>
      <c r="O342" s="2452" t="e">
        <f t="shared" si="66"/>
        <v>#DIV/0!</v>
      </c>
      <c r="P342" s="2449">
        <f>IF(A342='Data Entry - SOF'!B$2,'Data Entry - SOF'!I$64,0)</f>
        <v>0</v>
      </c>
      <c r="Q342" s="1687">
        <f t="shared" si="60"/>
        <v>567363</v>
      </c>
      <c r="R342" s="2212" t="e">
        <f>IF('Report-M&amp;O2021'!C$18-'Report-SOF2021'!D$55&lt;=0,0,'Report-M&amp;O2021'!C$18-'Report-SOF2021'!D$55)</f>
        <v>#DIV/0!</v>
      </c>
      <c r="S342" s="2452" t="e">
        <f t="shared" si="67"/>
        <v>#DIV/0!</v>
      </c>
      <c r="T342" s="1708">
        <f>IF(A342='Data Entry - SOF'!B$2,'Data Entry - SOF'!K$64,0)</f>
        <v>0</v>
      </c>
      <c r="U342" s="1687">
        <f t="shared" si="70"/>
        <v>567363</v>
      </c>
      <c r="V342" s="2212" t="e">
        <f>IF('Report-M&amp;O2122'!C$18-'Report-SOF2122'!D$55&lt;=0,0,'Report-M&amp;O2122'!C$18-'Report-SOF2122'!D$55)</f>
        <v>#DIV/0!</v>
      </c>
      <c r="W342" s="2452" t="e">
        <f t="shared" si="68"/>
        <v>#DIV/0!</v>
      </c>
      <c r="X342" s="1708">
        <f>IF(A342='Data Entry - SOF'!B$2,'Data Entry - SOF'!M$64,0)</f>
        <v>0</v>
      </c>
      <c r="Y342" s="1371" t="e">
        <f t="shared" si="69"/>
        <v>#DIV/0!</v>
      </c>
      <c r="Z342" s="2212" t="e">
        <f>IF('Report-M&amp;O2223'!C$18-'Report-SOF2223'!D$55&lt;=0,0,'Report-M&amp;O2223'!C$18-'Report-SOF2223'!D$55)</f>
        <v>#DIV/0!</v>
      </c>
      <c r="AA342" s="1708">
        <f>IF(A342='Data Entry - SOF'!B$2,'Data Entry - SOF'!O$64,0)</f>
        <v>0</v>
      </c>
    </row>
    <row r="343" spans="1:27" ht="15.75">
      <c r="A343" s="1076" t="s">
        <v>2139</v>
      </c>
      <c r="B343">
        <v>182637</v>
      </c>
      <c r="C343" s="2452" t="e">
        <f>#REF!+#REF!</f>
        <v>#REF!</v>
      </c>
      <c r="D343" s="2449">
        <f>IF(A343='Data Entry - SOF'!B$2,'Data Entry - SOF'!C$64,0)</f>
        <v>0</v>
      </c>
      <c r="E343" s="2450">
        <f t="shared" si="61"/>
        <v>182637</v>
      </c>
      <c r="F343" s="2212" t="e">
        <f>IF('Report-M&amp;O1718'!C$18-'Report-SOF1718'!D$55&lt;=0,0,'Report-M&amp;O1718'!C$18-'Report-SOF1718'!D$55)</f>
        <v>#DIV/0!</v>
      </c>
      <c r="G343" s="2452" t="e">
        <f t="shared" si="62"/>
        <v>#DIV/0!</v>
      </c>
      <c r="H343" s="2449">
        <f>IF(A343='Data Entry - SOF'!B$2,'Data Entry - SOF'!E$64,0)</f>
        <v>0</v>
      </c>
      <c r="I343" s="1687">
        <f t="shared" si="63"/>
        <v>182637</v>
      </c>
      <c r="J343" s="2212" t="e">
        <f>IF('Report-M&amp;O1819'!C$18-'Report-SOF1819'!D$55&lt;=0,0,'Report-M&amp;O1819'!C$18-'Report-SOF1819'!D$55)</f>
        <v>#DIV/0!</v>
      </c>
      <c r="K343" s="2452" t="e">
        <f t="shared" si="64"/>
        <v>#DIV/0!</v>
      </c>
      <c r="L343" s="2449">
        <f>IF(A343='Data Entry - SOF'!B$2,'Data Entry - SOF'!G$64,0)</f>
        <v>0</v>
      </c>
      <c r="M343" s="1371">
        <f t="shared" si="65"/>
        <v>182637</v>
      </c>
      <c r="N343" s="2212" t="e">
        <f>IF('Report-M&amp;O1920'!C$18-'Report-SOF1920'!D$55&lt;=0,0,'Report-M&amp;O1920'!C$18-'Report-SOF1920'!D$55)</f>
        <v>#DIV/0!</v>
      </c>
      <c r="O343" s="2452" t="e">
        <f t="shared" si="66"/>
        <v>#DIV/0!</v>
      </c>
      <c r="P343" s="2449">
        <f>IF(A343='Data Entry - SOF'!B$2,'Data Entry - SOF'!I$64,0)</f>
        <v>0</v>
      </c>
      <c r="Q343" s="1687">
        <f t="shared" si="60"/>
        <v>182637</v>
      </c>
      <c r="R343" s="2212" t="e">
        <f>IF('Report-M&amp;O2021'!C$18-'Report-SOF2021'!D$55&lt;=0,0,'Report-M&amp;O2021'!C$18-'Report-SOF2021'!D$55)</f>
        <v>#DIV/0!</v>
      </c>
      <c r="S343" s="2452" t="e">
        <f t="shared" si="67"/>
        <v>#DIV/0!</v>
      </c>
      <c r="T343" s="1708">
        <f>IF(A343='Data Entry - SOF'!B$2,'Data Entry - SOF'!K$64,0)</f>
        <v>0</v>
      </c>
      <c r="U343" s="1687">
        <f t="shared" si="70"/>
        <v>182637</v>
      </c>
      <c r="V343" s="2212" t="e">
        <f>IF('Report-M&amp;O2122'!C$18-'Report-SOF2122'!D$55&lt;=0,0,'Report-M&amp;O2122'!C$18-'Report-SOF2122'!D$55)</f>
        <v>#DIV/0!</v>
      </c>
      <c r="W343" s="2452" t="e">
        <f t="shared" si="68"/>
        <v>#DIV/0!</v>
      </c>
      <c r="X343" s="1708">
        <f>IF(A343='Data Entry - SOF'!B$2,'Data Entry - SOF'!M$64,0)</f>
        <v>0</v>
      </c>
      <c r="Y343" s="1371" t="e">
        <f t="shared" si="69"/>
        <v>#DIV/0!</v>
      </c>
      <c r="Z343" s="2212" t="e">
        <f>IF('Report-M&amp;O2223'!C$18-'Report-SOF2223'!D$55&lt;=0,0,'Report-M&amp;O2223'!C$18-'Report-SOF2223'!D$55)</f>
        <v>#DIV/0!</v>
      </c>
      <c r="AA343" s="1708">
        <f>IF(A343='Data Entry - SOF'!B$2,'Data Entry - SOF'!O$64,0)</f>
        <v>0</v>
      </c>
    </row>
    <row r="344" spans="1:27" ht="15.75">
      <c r="A344" s="1076" t="s">
        <v>1636</v>
      </c>
      <c r="B344">
        <v>16298838</v>
      </c>
      <c r="C344" s="2452" t="e">
        <f>#REF!+#REF!</f>
        <v>#REF!</v>
      </c>
      <c r="D344" s="2449">
        <f>IF(A344='Data Entry - SOF'!B$2,'Data Entry - SOF'!C$64,0)</f>
        <v>0</v>
      </c>
      <c r="E344" s="2450">
        <f t="shared" si="61"/>
        <v>16298838</v>
      </c>
      <c r="F344" s="2212" t="e">
        <f>IF('Report-M&amp;O1718'!C$18-'Report-SOF1718'!D$55&lt;=0,0,'Report-M&amp;O1718'!C$18-'Report-SOF1718'!D$55)</f>
        <v>#DIV/0!</v>
      </c>
      <c r="G344" s="2452" t="e">
        <f t="shared" si="62"/>
        <v>#DIV/0!</v>
      </c>
      <c r="H344" s="2449">
        <f>IF(A344='Data Entry - SOF'!B$2,'Data Entry - SOF'!E$64,0)</f>
        <v>0</v>
      </c>
      <c r="I344" s="1687">
        <f t="shared" si="63"/>
        <v>16298838</v>
      </c>
      <c r="J344" s="2212" t="e">
        <f>IF('Report-M&amp;O1819'!C$18-'Report-SOF1819'!D$55&lt;=0,0,'Report-M&amp;O1819'!C$18-'Report-SOF1819'!D$55)</f>
        <v>#DIV/0!</v>
      </c>
      <c r="K344" s="2452" t="e">
        <f t="shared" si="64"/>
        <v>#DIV/0!</v>
      </c>
      <c r="L344" s="2449">
        <f>IF(A344='Data Entry - SOF'!B$2,'Data Entry - SOF'!G$64,0)</f>
        <v>0</v>
      </c>
      <c r="M344" s="1371">
        <f t="shared" si="65"/>
        <v>16298838</v>
      </c>
      <c r="N344" s="2212" t="e">
        <f>IF('Report-M&amp;O1920'!C$18-'Report-SOF1920'!D$55&lt;=0,0,'Report-M&amp;O1920'!C$18-'Report-SOF1920'!D$55)</f>
        <v>#DIV/0!</v>
      </c>
      <c r="O344" s="2452" t="e">
        <f t="shared" si="66"/>
        <v>#DIV/0!</v>
      </c>
      <c r="P344" s="2449">
        <f>IF(A344='Data Entry - SOF'!B$2,'Data Entry - SOF'!I$64,0)</f>
        <v>0</v>
      </c>
      <c r="Q344" s="1687">
        <f t="shared" si="60"/>
        <v>16298838</v>
      </c>
      <c r="R344" s="2212" t="e">
        <f>IF('Report-M&amp;O2021'!C$18-'Report-SOF2021'!D$55&lt;=0,0,'Report-M&amp;O2021'!C$18-'Report-SOF2021'!D$55)</f>
        <v>#DIV/0!</v>
      </c>
      <c r="S344" s="2452" t="e">
        <f t="shared" si="67"/>
        <v>#DIV/0!</v>
      </c>
      <c r="T344" s="1708">
        <f>IF(A344='Data Entry - SOF'!B$2,'Data Entry - SOF'!K$64,0)</f>
        <v>0</v>
      </c>
      <c r="U344" s="1687">
        <f t="shared" si="70"/>
        <v>16298838</v>
      </c>
      <c r="V344" s="2212" t="e">
        <f>IF('Report-M&amp;O2122'!C$18-'Report-SOF2122'!D$55&lt;=0,0,'Report-M&amp;O2122'!C$18-'Report-SOF2122'!D$55)</f>
        <v>#DIV/0!</v>
      </c>
      <c r="W344" s="2452" t="e">
        <f t="shared" si="68"/>
        <v>#DIV/0!</v>
      </c>
      <c r="X344" s="1708">
        <f>IF(A344='Data Entry - SOF'!B$2,'Data Entry - SOF'!M$64,0)</f>
        <v>0</v>
      </c>
      <c r="Y344" s="1371" t="e">
        <f t="shared" si="69"/>
        <v>#DIV/0!</v>
      </c>
      <c r="Z344" s="2212" t="e">
        <f>IF('Report-M&amp;O2223'!C$18-'Report-SOF2223'!D$55&lt;=0,0,'Report-M&amp;O2223'!C$18-'Report-SOF2223'!D$55)</f>
        <v>#DIV/0!</v>
      </c>
      <c r="AA344" s="1708">
        <f>IF(A344='Data Entry - SOF'!B$2,'Data Entry - SOF'!O$64,0)</f>
        <v>0</v>
      </c>
    </row>
    <row r="345" spans="1:27" ht="15.75">
      <c r="A345" s="1076" t="s">
        <v>2474</v>
      </c>
      <c r="B345">
        <v>866960</v>
      </c>
      <c r="C345" s="2452" t="e">
        <f>#REF!+#REF!</f>
        <v>#REF!</v>
      </c>
      <c r="D345" s="2449">
        <f>IF(A345='Data Entry - SOF'!B$2,'Data Entry - SOF'!C$64,0)</f>
        <v>0</v>
      </c>
      <c r="E345" s="2450">
        <f t="shared" si="61"/>
        <v>866960</v>
      </c>
      <c r="F345" s="2212" t="e">
        <f>IF('Report-M&amp;O1718'!C$18-'Report-SOF1718'!D$55&lt;=0,0,'Report-M&amp;O1718'!C$18-'Report-SOF1718'!D$55)</f>
        <v>#DIV/0!</v>
      </c>
      <c r="G345" s="2452" t="e">
        <f t="shared" si="62"/>
        <v>#DIV/0!</v>
      </c>
      <c r="H345" s="2449">
        <f>IF(A345='Data Entry - SOF'!B$2,'Data Entry - SOF'!E$64,0)</f>
        <v>0</v>
      </c>
      <c r="I345" s="1687">
        <f t="shared" si="63"/>
        <v>866960</v>
      </c>
      <c r="J345" s="2212" t="e">
        <f>IF('Report-M&amp;O1819'!C$18-'Report-SOF1819'!D$55&lt;=0,0,'Report-M&amp;O1819'!C$18-'Report-SOF1819'!D$55)</f>
        <v>#DIV/0!</v>
      </c>
      <c r="K345" s="2452" t="e">
        <f t="shared" si="64"/>
        <v>#DIV/0!</v>
      </c>
      <c r="L345" s="2449">
        <f>IF(A345='Data Entry - SOF'!B$2,'Data Entry - SOF'!G$64,0)</f>
        <v>0</v>
      </c>
      <c r="M345" s="1371">
        <f t="shared" si="65"/>
        <v>866960</v>
      </c>
      <c r="N345" s="2212" t="e">
        <f>IF('Report-M&amp;O1920'!C$18-'Report-SOF1920'!D$55&lt;=0,0,'Report-M&amp;O1920'!C$18-'Report-SOF1920'!D$55)</f>
        <v>#DIV/0!</v>
      </c>
      <c r="O345" s="2452" t="e">
        <f t="shared" si="66"/>
        <v>#DIV/0!</v>
      </c>
      <c r="P345" s="2449">
        <f>IF(A345='Data Entry - SOF'!B$2,'Data Entry - SOF'!I$64,0)</f>
        <v>0</v>
      </c>
      <c r="Q345" s="1687">
        <f t="shared" si="60"/>
        <v>866960</v>
      </c>
      <c r="R345" s="2212" t="e">
        <f>IF('Report-M&amp;O2021'!C$18-'Report-SOF2021'!D$55&lt;=0,0,'Report-M&amp;O2021'!C$18-'Report-SOF2021'!D$55)</f>
        <v>#DIV/0!</v>
      </c>
      <c r="S345" s="2452" t="e">
        <f t="shared" si="67"/>
        <v>#DIV/0!</v>
      </c>
      <c r="T345" s="1708">
        <f>IF(A345='Data Entry - SOF'!B$2,'Data Entry - SOF'!K$64,0)</f>
        <v>0</v>
      </c>
      <c r="U345" s="1687">
        <f t="shared" si="70"/>
        <v>866960</v>
      </c>
      <c r="V345" s="2212" t="e">
        <f>IF('Report-M&amp;O2122'!C$18-'Report-SOF2122'!D$55&lt;=0,0,'Report-M&amp;O2122'!C$18-'Report-SOF2122'!D$55)</f>
        <v>#DIV/0!</v>
      </c>
      <c r="W345" s="2452" t="e">
        <f t="shared" si="68"/>
        <v>#DIV/0!</v>
      </c>
      <c r="X345" s="1708">
        <f>IF(A345='Data Entry - SOF'!B$2,'Data Entry - SOF'!M$64,0)</f>
        <v>0</v>
      </c>
      <c r="Y345" s="1371" t="e">
        <f t="shared" si="69"/>
        <v>#DIV/0!</v>
      </c>
      <c r="Z345" s="2212" t="e">
        <f>IF('Report-M&amp;O2223'!C$18-'Report-SOF2223'!D$55&lt;=0,0,'Report-M&amp;O2223'!C$18-'Report-SOF2223'!D$55)</f>
        <v>#DIV/0!</v>
      </c>
      <c r="AA345" s="1708">
        <f>IF(A345='Data Entry - SOF'!B$2,'Data Entry - SOF'!O$64,0)</f>
        <v>0</v>
      </c>
    </row>
    <row r="346" spans="1:27" ht="15.75">
      <c r="A346" s="1076" t="s">
        <v>2475</v>
      </c>
      <c r="B346">
        <v>17507745</v>
      </c>
      <c r="C346" s="2452" t="e">
        <f>#REF!+#REF!</f>
        <v>#REF!</v>
      </c>
      <c r="D346" s="2449">
        <f>IF(A346='Data Entry - SOF'!B$2,'Data Entry - SOF'!C$64,0)</f>
        <v>0</v>
      </c>
      <c r="E346" s="2450">
        <f t="shared" si="61"/>
        <v>17507745</v>
      </c>
      <c r="F346" s="2212" t="e">
        <f>IF('Report-M&amp;O1718'!C$18-'Report-SOF1718'!D$55&lt;=0,0,'Report-M&amp;O1718'!C$18-'Report-SOF1718'!D$55)</f>
        <v>#DIV/0!</v>
      </c>
      <c r="G346" s="2452" t="e">
        <f t="shared" si="62"/>
        <v>#DIV/0!</v>
      </c>
      <c r="H346" s="2449">
        <f>IF(A346='Data Entry - SOF'!B$2,'Data Entry - SOF'!E$64,0)</f>
        <v>0</v>
      </c>
      <c r="I346" s="1687">
        <f t="shared" si="63"/>
        <v>17507745</v>
      </c>
      <c r="J346" s="2212" t="e">
        <f>IF('Report-M&amp;O1819'!C$18-'Report-SOF1819'!D$55&lt;=0,0,'Report-M&amp;O1819'!C$18-'Report-SOF1819'!D$55)</f>
        <v>#DIV/0!</v>
      </c>
      <c r="K346" s="2452" t="e">
        <f t="shared" si="64"/>
        <v>#DIV/0!</v>
      </c>
      <c r="L346" s="2449">
        <f>IF(A346='Data Entry - SOF'!B$2,'Data Entry - SOF'!G$64,0)</f>
        <v>0</v>
      </c>
      <c r="M346" s="1371">
        <f t="shared" si="65"/>
        <v>17507745</v>
      </c>
      <c r="N346" s="2212" t="e">
        <f>IF('Report-M&amp;O1920'!C$18-'Report-SOF1920'!D$55&lt;=0,0,'Report-M&amp;O1920'!C$18-'Report-SOF1920'!D$55)</f>
        <v>#DIV/0!</v>
      </c>
      <c r="O346" s="2452" t="e">
        <f t="shared" si="66"/>
        <v>#DIV/0!</v>
      </c>
      <c r="P346" s="2449">
        <f>IF(A346='Data Entry - SOF'!B$2,'Data Entry - SOF'!I$64,0)</f>
        <v>0</v>
      </c>
      <c r="Q346" s="1687">
        <f t="shared" si="60"/>
        <v>17507745</v>
      </c>
      <c r="R346" s="2212" t="e">
        <f>IF('Report-M&amp;O2021'!C$18-'Report-SOF2021'!D$55&lt;=0,0,'Report-M&amp;O2021'!C$18-'Report-SOF2021'!D$55)</f>
        <v>#DIV/0!</v>
      </c>
      <c r="S346" s="2452" t="e">
        <f t="shared" si="67"/>
        <v>#DIV/0!</v>
      </c>
      <c r="T346" s="1708">
        <f>IF(A346='Data Entry - SOF'!B$2,'Data Entry - SOF'!K$64,0)</f>
        <v>0</v>
      </c>
      <c r="U346" s="1687">
        <f t="shared" si="70"/>
        <v>17507745</v>
      </c>
      <c r="V346" s="2212" t="e">
        <f>IF('Report-M&amp;O2122'!C$18-'Report-SOF2122'!D$55&lt;=0,0,'Report-M&amp;O2122'!C$18-'Report-SOF2122'!D$55)</f>
        <v>#DIV/0!</v>
      </c>
      <c r="W346" s="2452" t="e">
        <f t="shared" si="68"/>
        <v>#DIV/0!</v>
      </c>
      <c r="X346" s="1708">
        <f>IF(A346='Data Entry - SOF'!B$2,'Data Entry - SOF'!M$64,0)</f>
        <v>0</v>
      </c>
      <c r="Y346" s="1371" t="e">
        <f t="shared" si="69"/>
        <v>#DIV/0!</v>
      </c>
      <c r="Z346" s="2212" t="e">
        <f>IF('Report-M&amp;O2223'!C$18-'Report-SOF2223'!D$55&lt;=0,0,'Report-M&amp;O2223'!C$18-'Report-SOF2223'!D$55)</f>
        <v>#DIV/0!</v>
      </c>
      <c r="AA346" s="1708">
        <f>IF(A346='Data Entry - SOF'!B$2,'Data Entry - SOF'!O$64,0)</f>
        <v>0</v>
      </c>
    </row>
    <row r="347" spans="1:27" ht="15.75">
      <c r="A347" s="1076" t="s">
        <v>2794</v>
      </c>
      <c r="B347">
        <v>8996520</v>
      </c>
      <c r="C347" s="2452" t="e">
        <f>#REF!+#REF!</f>
        <v>#REF!</v>
      </c>
      <c r="D347" s="2449">
        <f>IF(A347='Data Entry - SOF'!B$2,'Data Entry - SOF'!C$64,0)</f>
        <v>0</v>
      </c>
      <c r="E347" s="2450">
        <f t="shared" si="61"/>
        <v>8996520</v>
      </c>
      <c r="F347" s="2212" t="e">
        <f>IF('Report-M&amp;O1718'!C$18-'Report-SOF1718'!D$55&lt;=0,0,'Report-M&amp;O1718'!C$18-'Report-SOF1718'!D$55)</f>
        <v>#DIV/0!</v>
      </c>
      <c r="G347" s="2452" t="e">
        <f t="shared" si="62"/>
        <v>#DIV/0!</v>
      </c>
      <c r="H347" s="2449">
        <f>IF(A347='Data Entry - SOF'!B$2,'Data Entry - SOF'!E$64,0)</f>
        <v>0</v>
      </c>
      <c r="I347" s="1687">
        <f t="shared" si="63"/>
        <v>8996520</v>
      </c>
      <c r="J347" s="2212" t="e">
        <f>IF('Report-M&amp;O1819'!C$18-'Report-SOF1819'!D$55&lt;=0,0,'Report-M&amp;O1819'!C$18-'Report-SOF1819'!D$55)</f>
        <v>#DIV/0!</v>
      </c>
      <c r="K347" s="2452" t="e">
        <f t="shared" si="64"/>
        <v>#DIV/0!</v>
      </c>
      <c r="L347" s="2449">
        <f>IF(A347='Data Entry - SOF'!B$2,'Data Entry - SOF'!G$64,0)</f>
        <v>0</v>
      </c>
      <c r="M347" s="1371">
        <f t="shared" si="65"/>
        <v>8996520</v>
      </c>
      <c r="N347" s="2212" t="e">
        <f>IF('Report-M&amp;O1920'!C$18-'Report-SOF1920'!D$55&lt;=0,0,'Report-M&amp;O1920'!C$18-'Report-SOF1920'!D$55)</f>
        <v>#DIV/0!</v>
      </c>
      <c r="O347" s="2452" t="e">
        <f t="shared" si="66"/>
        <v>#DIV/0!</v>
      </c>
      <c r="P347" s="2449">
        <f>IF(A347='Data Entry - SOF'!B$2,'Data Entry - SOF'!I$64,0)</f>
        <v>0</v>
      </c>
      <c r="Q347" s="1687">
        <f t="shared" si="60"/>
        <v>8996520</v>
      </c>
      <c r="R347" s="2212" t="e">
        <f>IF('Report-M&amp;O2021'!C$18-'Report-SOF2021'!D$55&lt;=0,0,'Report-M&amp;O2021'!C$18-'Report-SOF2021'!D$55)</f>
        <v>#DIV/0!</v>
      </c>
      <c r="S347" s="2452" t="e">
        <f t="shared" si="67"/>
        <v>#DIV/0!</v>
      </c>
      <c r="T347" s="1708">
        <f>IF(A347='Data Entry - SOF'!B$2,'Data Entry - SOF'!K$64,0)</f>
        <v>0</v>
      </c>
      <c r="U347" s="1687">
        <f t="shared" si="70"/>
        <v>8996520</v>
      </c>
      <c r="V347" s="2212" t="e">
        <f>IF('Report-M&amp;O2122'!C$18-'Report-SOF2122'!D$55&lt;=0,0,'Report-M&amp;O2122'!C$18-'Report-SOF2122'!D$55)</f>
        <v>#DIV/0!</v>
      </c>
      <c r="W347" s="2452" t="e">
        <f t="shared" si="68"/>
        <v>#DIV/0!</v>
      </c>
      <c r="X347" s="1708">
        <f>IF(A347='Data Entry - SOF'!B$2,'Data Entry - SOF'!M$64,0)</f>
        <v>0</v>
      </c>
      <c r="Y347" s="1371" t="e">
        <f t="shared" si="69"/>
        <v>#DIV/0!</v>
      </c>
      <c r="Z347" s="2212" t="e">
        <f>IF('Report-M&amp;O2223'!C$18-'Report-SOF2223'!D$55&lt;=0,0,'Report-M&amp;O2223'!C$18-'Report-SOF2223'!D$55)</f>
        <v>#DIV/0!</v>
      </c>
      <c r="AA347" s="1708">
        <f>IF(A347='Data Entry - SOF'!B$2,'Data Entry - SOF'!O$64,0)</f>
        <v>0</v>
      </c>
    </row>
    <row r="348" spans="1:27" ht="15.75">
      <c r="A348" s="1076" t="s">
        <v>1019</v>
      </c>
      <c r="B348">
        <v>21009142.209994301</v>
      </c>
      <c r="C348" s="2452" t="e">
        <f>#REF!+#REF!</f>
        <v>#REF!</v>
      </c>
      <c r="D348" s="2449">
        <f>IF(A348='Data Entry - SOF'!B$2,'Data Entry - SOF'!C$64,0)</f>
        <v>0</v>
      </c>
      <c r="E348" s="2450">
        <f t="shared" si="61"/>
        <v>21009142.209994301</v>
      </c>
      <c r="F348" s="2212" t="e">
        <f>IF('Report-M&amp;O1718'!C$18-'Report-SOF1718'!D$55&lt;=0,0,'Report-M&amp;O1718'!C$18-'Report-SOF1718'!D$55)</f>
        <v>#DIV/0!</v>
      </c>
      <c r="G348" s="2452" t="e">
        <f t="shared" si="62"/>
        <v>#DIV/0!</v>
      </c>
      <c r="H348" s="2449">
        <f>IF(A348='Data Entry - SOF'!B$2,'Data Entry - SOF'!E$64,0)</f>
        <v>0</v>
      </c>
      <c r="I348" s="1687">
        <f t="shared" si="63"/>
        <v>21009142.209994301</v>
      </c>
      <c r="J348" s="2212" t="e">
        <f>IF('Report-M&amp;O1819'!C$18-'Report-SOF1819'!D$55&lt;=0,0,'Report-M&amp;O1819'!C$18-'Report-SOF1819'!D$55)</f>
        <v>#DIV/0!</v>
      </c>
      <c r="K348" s="2452" t="e">
        <f t="shared" si="64"/>
        <v>#DIV/0!</v>
      </c>
      <c r="L348" s="2449">
        <f>IF(A348='Data Entry - SOF'!B$2,'Data Entry - SOF'!G$64,0)</f>
        <v>0</v>
      </c>
      <c r="M348" s="1371">
        <f t="shared" si="65"/>
        <v>21009142.209994301</v>
      </c>
      <c r="N348" s="2212" t="e">
        <f>IF('Report-M&amp;O1920'!C$18-'Report-SOF1920'!D$55&lt;=0,0,'Report-M&amp;O1920'!C$18-'Report-SOF1920'!D$55)</f>
        <v>#DIV/0!</v>
      </c>
      <c r="O348" s="2452" t="e">
        <f t="shared" si="66"/>
        <v>#DIV/0!</v>
      </c>
      <c r="P348" s="2449">
        <f>IF(A348='Data Entry - SOF'!B$2,'Data Entry - SOF'!I$64,0)</f>
        <v>0</v>
      </c>
      <c r="Q348" s="1687">
        <f t="shared" si="60"/>
        <v>21009142.209994301</v>
      </c>
      <c r="R348" s="2212" t="e">
        <f>IF('Report-M&amp;O2021'!C$18-'Report-SOF2021'!D$55&lt;=0,0,'Report-M&amp;O2021'!C$18-'Report-SOF2021'!D$55)</f>
        <v>#DIV/0!</v>
      </c>
      <c r="S348" s="2452" t="e">
        <f t="shared" si="67"/>
        <v>#DIV/0!</v>
      </c>
      <c r="T348" s="1708">
        <f>IF(A348='Data Entry - SOF'!B$2,'Data Entry - SOF'!K$64,0)</f>
        <v>0</v>
      </c>
      <c r="U348" s="1687">
        <f t="shared" si="70"/>
        <v>21009142.209994301</v>
      </c>
      <c r="V348" s="2212" t="e">
        <f>IF('Report-M&amp;O2122'!C$18-'Report-SOF2122'!D$55&lt;=0,0,'Report-M&amp;O2122'!C$18-'Report-SOF2122'!D$55)</f>
        <v>#DIV/0!</v>
      </c>
      <c r="W348" s="2452" t="e">
        <f t="shared" si="68"/>
        <v>#DIV/0!</v>
      </c>
      <c r="X348" s="1708">
        <f>IF(A348='Data Entry - SOF'!B$2,'Data Entry - SOF'!M$64,0)</f>
        <v>0</v>
      </c>
      <c r="Y348" s="1371" t="e">
        <f t="shared" si="69"/>
        <v>#DIV/0!</v>
      </c>
      <c r="Z348" s="2212" t="e">
        <f>IF('Report-M&amp;O2223'!C$18-'Report-SOF2223'!D$55&lt;=0,0,'Report-M&amp;O2223'!C$18-'Report-SOF2223'!D$55)</f>
        <v>#DIV/0!</v>
      </c>
      <c r="AA348" s="1708">
        <f>IF(A348='Data Entry - SOF'!B$2,'Data Entry - SOF'!O$64,0)</f>
        <v>0</v>
      </c>
    </row>
    <row r="349" spans="1:27" ht="15.75">
      <c r="A349" s="1076" t="s">
        <v>2795</v>
      </c>
      <c r="B349">
        <v>17054311.005196799</v>
      </c>
      <c r="C349" s="2452" t="e">
        <f>#REF!+#REF!</f>
        <v>#REF!</v>
      </c>
      <c r="D349" s="2449">
        <f>IF(A349='Data Entry - SOF'!B$2,'Data Entry - SOF'!C$64,0)</f>
        <v>0</v>
      </c>
      <c r="E349" s="2450">
        <f t="shared" si="61"/>
        <v>17054311.005196799</v>
      </c>
      <c r="F349" s="2212" t="e">
        <f>IF('Report-M&amp;O1718'!C$18-'Report-SOF1718'!D$55&lt;=0,0,'Report-M&amp;O1718'!C$18-'Report-SOF1718'!D$55)</f>
        <v>#DIV/0!</v>
      </c>
      <c r="G349" s="2452" t="e">
        <f t="shared" si="62"/>
        <v>#DIV/0!</v>
      </c>
      <c r="H349" s="2449">
        <f>IF(A349='Data Entry - SOF'!B$2,'Data Entry - SOF'!E$64,0)</f>
        <v>0</v>
      </c>
      <c r="I349" s="1687">
        <f t="shared" si="63"/>
        <v>17054311.005196799</v>
      </c>
      <c r="J349" s="2212" t="e">
        <f>IF('Report-M&amp;O1819'!C$18-'Report-SOF1819'!D$55&lt;=0,0,'Report-M&amp;O1819'!C$18-'Report-SOF1819'!D$55)</f>
        <v>#DIV/0!</v>
      </c>
      <c r="K349" s="2452" t="e">
        <f t="shared" si="64"/>
        <v>#DIV/0!</v>
      </c>
      <c r="L349" s="2449">
        <f>IF(A349='Data Entry - SOF'!B$2,'Data Entry - SOF'!G$64,0)</f>
        <v>0</v>
      </c>
      <c r="M349" s="1371">
        <f t="shared" si="65"/>
        <v>17054311.005196799</v>
      </c>
      <c r="N349" s="2212" t="e">
        <f>IF('Report-M&amp;O1920'!C$18-'Report-SOF1920'!D$55&lt;=0,0,'Report-M&amp;O1920'!C$18-'Report-SOF1920'!D$55)</f>
        <v>#DIV/0!</v>
      </c>
      <c r="O349" s="2452" t="e">
        <f t="shared" si="66"/>
        <v>#DIV/0!</v>
      </c>
      <c r="P349" s="2449">
        <f>IF(A349='Data Entry - SOF'!B$2,'Data Entry - SOF'!I$64,0)</f>
        <v>0</v>
      </c>
      <c r="Q349" s="1687">
        <f t="shared" si="60"/>
        <v>17054311.005196799</v>
      </c>
      <c r="R349" s="2212" t="e">
        <f>IF('Report-M&amp;O2021'!C$18-'Report-SOF2021'!D$55&lt;=0,0,'Report-M&amp;O2021'!C$18-'Report-SOF2021'!D$55)</f>
        <v>#DIV/0!</v>
      </c>
      <c r="S349" s="2452" t="e">
        <f t="shared" si="67"/>
        <v>#DIV/0!</v>
      </c>
      <c r="T349" s="1708">
        <f>IF(A349='Data Entry - SOF'!B$2,'Data Entry - SOF'!K$64,0)</f>
        <v>0</v>
      </c>
      <c r="U349" s="1687">
        <f t="shared" si="70"/>
        <v>17054311.005196799</v>
      </c>
      <c r="V349" s="2212" t="e">
        <f>IF('Report-M&amp;O2122'!C$18-'Report-SOF2122'!D$55&lt;=0,0,'Report-M&amp;O2122'!C$18-'Report-SOF2122'!D$55)</f>
        <v>#DIV/0!</v>
      </c>
      <c r="W349" s="2452" t="e">
        <f t="shared" si="68"/>
        <v>#DIV/0!</v>
      </c>
      <c r="X349" s="1708">
        <f>IF(A349='Data Entry - SOF'!B$2,'Data Entry - SOF'!M$64,0)</f>
        <v>0</v>
      </c>
      <c r="Y349" s="1371" t="e">
        <f t="shared" si="69"/>
        <v>#DIV/0!</v>
      </c>
      <c r="Z349" s="2212" t="e">
        <f>IF('Report-M&amp;O2223'!C$18-'Report-SOF2223'!D$55&lt;=0,0,'Report-M&amp;O2223'!C$18-'Report-SOF2223'!D$55)</f>
        <v>#DIV/0!</v>
      </c>
      <c r="AA349" s="1708">
        <f>IF(A349='Data Entry - SOF'!B$2,'Data Entry - SOF'!O$64,0)</f>
        <v>0</v>
      </c>
    </row>
    <row r="350" spans="1:27" ht="15.75">
      <c r="A350" s="1076" t="s">
        <v>2796</v>
      </c>
      <c r="B350">
        <v>2360074</v>
      </c>
      <c r="C350" s="2452" t="e">
        <f>#REF!+#REF!</f>
        <v>#REF!</v>
      </c>
      <c r="D350" s="2449">
        <f>IF(A350='Data Entry - SOF'!B$2,'Data Entry - SOF'!C$64,0)</f>
        <v>0</v>
      </c>
      <c r="E350" s="2450">
        <f t="shared" si="61"/>
        <v>2360074</v>
      </c>
      <c r="F350" s="2212" t="e">
        <f>IF('Report-M&amp;O1718'!C$18-'Report-SOF1718'!D$55&lt;=0,0,'Report-M&amp;O1718'!C$18-'Report-SOF1718'!D$55)</f>
        <v>#DIV/0!</v>
      </c>
      <c r="G350" s="2452" t="e">
        <f t="shared" si="62"/>
        <v>#DIV/0!</v>
      </c>
      <c r="H350" s="2449">
        <f>IF(A350='Data Entry - SOF'!B$2,'Data Entry - SOF'!E$64,0)</f>
        <v>0</v>
      </c>
      <c r="I350" s="1687">
        <f t="shared" si="63"/>
        <v>2360074</v>
      </c>
      <c r="J350" s="2212" t="e">
        <f>IF('Report-M&amp;O1819'!C$18-'Report-SOF1819'!D$55&lt;=0,0,'Report-M&amp;O1819'!C$18-'Report-SOF1819'!D$55)</f>
        <v>#DIV/0!</v>
      </c>
      <c r="K350" s="2452" t="e">
        <f t="shared" si="64"/>
        <v>#DIV/0!</v>
      </c>
      <c r="L350" s="2449">
        <f>IF(A350='Data Entry - SOF'!B$2,'Data Entry - SOF'!G$64,0)</f>
        <v>0</v>
      </c>
      <c r="M350" s="1371">
        <f t="shared" si="65"/>
        <v>2360074</v>
      </c>
      <c r="N350" s="2212" t="e">
        <f>IF('Report-M&amp;O1920'!C$18-'Report-SOF1920'!D$55&lt;=0,0,'Report-M&amp;O1920'!C$18-'Report-SOF1920'!D$55)</f>
        <v>#DIV/0!</v>
      </c>
      <c r="O350" s="2452" t="e">
        <f t="shared" si="66"/>
        <v>#DIV/0!</v>
      </c>
      <c r="P350" s="2449">
        <f>IF(A350='Data Entry - SOF'!B$2,'Data Entry - SOF'!I$64,0)</f>
        <v>0</v>
      </c>
      <c r="Q350" s="1687">
        <f t="shared" si="60"/>
        <v>2360074</v>
      </c>
      <c r="R350" s="2212" t="e">
        <f>IF('Report-M&amp;O2021'!C$18-'Report-SOF2021'!D$55&lt;=0,0,'Report-M&amp;O2021'!C$18-'Report-SOF2021'!D$55)</f>
        <v>#DIV/0!</v>
      </c>
      <c r="S350" s="2452" t="e">
        <f t="shared" si="67"/>
        <v>#DIV/0!</v>
      </c>
      <c r="T350" s="1708">
        <f>IF(A350='Data Entry - SOF'!B$2,'Data Entry - SOF'!K$64,0)</f>
        <v>0</v>
      </c>
      <c r="U350" s="1687">
        <f t="shared" si="70"/>
        <v>2360074</v>
      </c>
      <c r="V350" s="2212" t="e">
        <f>IF('Report-M&amp;O2122'!C$18-'Report-SOF2122'!D$55&lt;=0,0,'Report-M&amp;O2122'!C$18-'Report-SOF2122'!D$55)</f>
        <v>#DIV/0!</v>
      </c>
      <c r="W350" s="2452" t="e">
        <f t="shared" si="68"/>
        <v>#DIV/0!</v>
      </c>
      <c r="X350" s="1708">
        <f>IF(A350='Data Entry - SOF'!B$2,'Data Entry - SOF'!M$64,0)</f>
        <v>0</v>
      </c>
      <c r="Y350" s="1371" t="e">
        <f t="shared" si="69"/>
        <v>#DIV/0!</v>
      </c>
      <c r="Z350" s="2212" t="e">
        <f>IF('Report-M&amp;O2223'!C$18-'Report-SOF2223'!D$55&lt;=0,0,'Report-M&amp;O2223'!C$18-'Report-SOF2223'!D$55)</f>
        <v>#DIV/0!</v>
      </c>
      <c r="AA350" s="1708">
        <f>IF(A350='Data Entry - SOF'!B$2,'Data Entry - SOF'!O$64,0)</f>
        <v>0</v>
      </c>
    </row>
    <row r="351" spans="1:27" ht="15.75">
      <c r="A351" s="1076" t="s">
        <v>2118</v>
      </c>
      <c r="B351">
        <v>3821384</v>
      </c>
      <c r="C351" s="2452" t="e">
        <f>#REF!+#REF!</f>
        <v>#REF!</v>
      </c>
      <c r="D351" s="2449">
        <f>IF(A351='Data Entry - SOF'!B$2,'Data Entry - SOF'!C$64,0)</f>
        <v>0</v>
      </c>
      <c r="E351" s="2450">
        <f t="shared" si="61"/>
        <v>3821384</v>
      </c>
      <c r="F351" s="2212" t="e">
        <f>IF('Report-M&amp;O1718'!C$18-'Report-SOF1718'!D$55&lt;=0,0,'Report-M&amp;O1718'!C$18-'Report-SOF1718'!D$55)</f>
        <v>#DIV/0!</v>
      </c>
      <c r="G351" s="2452" t="e">
        <f t="shared" si="62"/>
        <v>#DIV/0!</v>
      </c>
      <c r="H351" s="2449">
        <f>IF(A351='Data Entry - SOF'!B$2,'Data Entry - SOF'!E$64,0)</f>
        <v>0</v>
      </c>
      <c r="I351" s="1687">
        <f t="shared" si="63"/>
        <v>3821384</v>
      </c>
      <c r="J351" s="2212" t="e">
        <f>IF('Report-M&amp;O1819'!C$18-'Report-SOF1819'!D$55&lt;=0,0,'Report-M&amp;O1819'!C$18-'Report-SOF1819'!D$55)</f>
        <v>#DIV/0!</v>
      </c>
      <c r="K351" s="2452" t="e">
        <f t="shared" si="64"/>
        <v>#DIV/0!</v>
      </c>
      <c r="L351" s="2449">
        <f>IF(A351='Data Entry - SOF'!B$2,'Data Entry - SOF'!G$64,0)</f>
        <v>0</v>
      </c>
      <c r="M351" s="1371">
        <f t="shared" si="65"/>
        <v>3821384</v>
      </c>
      <c r="N351" s="2212" t="e">
        <f>IF('Report-M&amp;O1920'!C$18-'Report-SOF1920'!D$55&lt;=0,0,'Report-M&amp;O1920'!C$18-'Report-SOF1920'!D$55)</f>
        <v>#DIV/0!</v>
      </c>
      <c r="O351" s="2452" t="e">
        <f t="shared" si="66"/>
        <v>#DIV/0!</v>
      </c>
      <c r="P351" s="2449">
        <f>IF(A351='Data Entry - SOF'!B$2,'Data Entry - SOF'!I$64,0)</f>
        <v>0</v>
      </c>
      <c r="Q351" s="1687">
        <f t="shared" si="60"/>
        <v>3821384</v>
      </c>
      <c r="R351" s="2212" t="e">
        <f>IF('Report-M&amp;O2021'!C$18-'Report-SOF2021'!D$55&lt;=0,0,'Report-M&amp;O2021'!C$18-'Report-SOF2021'!D$55)</f>
        <v>#DIV/0!</v>
      </c>
      <c r="S351" s="2452" t="e">
        <f t="shared" si="67"/>
        <v>#DIV/0!</v>
      </c>
      <c r="T351" s="1708">
        <f>IF(A351='Data Entry - SOF'!B$2,'Data Entry - SOF'!K$64,0)</f>
        <v>0</v>
      </c>
      <c r="U351" s="1687">
        <f t="shared" si="70"/>
        <v>3821384</v>
      </c>
      <c r="V351" s="2212" t="e">
        <f>IF('Report-M&amp;O2122'!C$18-'Report-SOF2122'!D$55&lt;=0,0,'Report-M&amp;O2122'!C$18-'Report-SOF2122'!D$55)</f>
        <v>#DIV/0!</v>
      </c>
      <c r="W351" s="2452" t="e">
        <f t="shared" si="68"/>
        <v>#DIV/0!</v>
      </c>
      <c r="X351" s="1708">
        <f>IF(A351='Data Entry - SOF'!B$2,'Data Entry - SOF'!M$64,0)</f>
        <v>0</v>
      </c>
      <c r="Y351" s="1371" t="e">
        <f t="shared" si="69"/>
        <v>#DIV/0!</v>
      </c>
      <c r="Z351" s="2212" t="e">
        <f>IF('Report-M&amp;O2223'!C$18-'Report-SOF2223'!D$55&lt;=0,0,'Report-M&amp;O2223'!C$18-'Report-SOF2223'!D$55)</f>
        <v>#DIV/0!</v>
      </c>
      <c r="AA351" s="1708">
        <f>IF(A351='Data Entry - SOF'!B$2,'Data Entry - SOF'!O$64,0)</f>
        <v>0</v>
      </c>
    </row>
    <row r="352" spans="1:27" ht="15.75">
      <c r="A352" s="1076" t="s">
        <v>2119</v>
      </c>
      <c r="B352">
        <v>1681472</v>
      </c>
      <c r="C352" s="2452" t="e">
        <f>#REF!+#REF!</f>
        <v>#REF!</v>
      </c>
      <c r="D352" s="2449">
        <f>IF(A352='Data Entry - SOF'!B$2,'Data Entry - SOF'!C$64,0)</f>
        <v>0</v>
      </c>
      <c r="E352" s="2450">
        <f t="shared" si="61"/>
        <v>1681472</v>
      </c>
      <c r="F352" s="2212" t="e">
        <f>IF('Report-M&amp;O1718'!C$18-'Report-SOF1718'!D$55&lt;=0,0,'Report-M&amp;O1718'!C$18-'Report-SOF1718'!D$55)</f>
        <v>#DIV/0!</v>
      </c>
      <c r="G352" s="2452" t="e">
        <f t="shared" si="62"/>
        <v>#DIV/0!</v>
      </c>
      <c r="H352" s="2449">
        <f>IF(A352='Data Entry - SOF'!B$2,'Data Entry - SOF'!E$64,0)</f>
        <v>0</v>
      </c>
      <c r="I352" s="1687">
        <f t="shared" si="63"/>
        <v>1681472</v>
      </c>
      <c r="J352" s="2212" t="e">
        <f>IF('Report-M&amp;O1819'!C$18-'Report-SOF1819'!D$55&lt;=0,0,'Report-M&amp;O1819'!C$18-'Report-SOF1819'!D$55)</f>
        <v>#DIV/0!</v>
      </c>
      <c r="K352" s="2452" t="e">
        <f t="shared" si="64"/>
        <v>#DIV/0!</v>
      </c>
      <c r="L352" s="2449">
        <f>IF(A352='Data Entry - SOF'!B$2,'Data Entry - SOF'!G$64,0)</f>
        <v>0</v>
      </c>
      <c r="M352" s="1371">
        <f t="shared" si="65"/>
        <v>1681472</v>
      </c>
      <c r="N352" s="2212" t="e">
        <f>IF('Report-M&amp;O1920'!C$18-'Report-SOF1920'!D$55&lt;=0,0,'Report-M&amp;O1920'!C$18-'Report-SOF1920'!D$55)</f>
        <v>#DIV/0!</v>
      </c>
      <c r="O352" s="2452" t="e">
        <f t="shared" si="66"/>
        <v>#DIV/0!</v>
      </c>
      <c r="P352" s="2449">
        <f>IF(A352='Data Entry - SOF'!B$2,'Data Entry - SOF'!I$64,0)</f>
        <v>0</v>
      </c>
      <c r="Q352" s="1687">
        <f t="shared" si="60"/>
        <v>1681472</v>
      </c>
      <c r="R352" s="2212" t="e">
        <f>IF('Report-M&amp;O2021'!C$18-'Report-SOF2021'!D$55&lt;=0,0,'Report-M&amp;O2021'!C$18-'Report-SOF2021'!D$55)</f>
        <v>#DIV/0!</v>
      </c>
      <c r="S352" s="2452" t="e">
        <f t="shared" si="67"/>
        <v>#DIV/0!</v>
      </c>
      <c r="T352" s="1708">
        <f>IF(A352='Data Entry - SOF'!B$2,'Data Entry - SOF'!K$64,0)</f>
        <v>0</v>
      </c>
      <c r="U352" s="1687">
        <f t="shared" si="70"/>
        <v>1681472</v>
      </c>
      <c r="V352" s="2212" t="e">
        <f>IF('Report-M&amp;O2122'!C$18-'Report-SOF2122'!D$55&lt;=0,0,'Report-M&amp;O2122'!C$18-'Report-SOF2122'!D$55)</f>
        <v>#DIV/0!</v>
      </c>
      <c r="W352" s="2452" t="e">
        <f t="shared" si="68"/>
        <v>#DIV/0!</v>
      </c>
      <c r="X352" s="1708">
        <f>IF(A352='Data Entry - SOF'!B$2,'Data Entry - SOF'!M$64,0)</f>
        <v>0</v>
      </c>
      <c r="Y352" s="1371" t="e">
        <f t="shared" si="69"/>
        <v>#DIV/0!</v>
      </c>
      <c r="Z352" s="2212" t="e">
        <f>IF('Report-M&amp;O2223'!C$18-'Report-SOF2223'!D$55&lt;=0,0,'Report-M&amp;O2223'!C$18-'Report-SOF2223'!D$55)</f>
        <v>#DIV/0!</v>
      </c>
      <c r="AA352" s="1708">
        <f>IF(A352='Data Entry - SOF'!B$2,'Data Entry - SOF'!O$64,0)</f>
        <v>0</v>
      </c>
    </row>
    <row r="353" spans="1:27" ht="15.75">
      <c r="A353" s="1076" t="s">
        <v>2301</v>
      </c>
      <c r="B353">
        <v>11114758</v>
      </c>
      <c r="C353" s="2452" t="e">
        <f>#REF!+#REF!</f>
        <v>#REF!</v>
      </c>
      <c r="D353" s="2449">
        <f>IF(A353='Data Entry - SOF'!B$2,'Data Entry - SOF'!C$64,0)</f>
        <v>0</v>
      </c>
      <c r="E353" s="2450">
        <f t="shared" si="61"/>
        <v>11114758</v>
      </c>
      <c r="F353" s="2212" t="e">
        <f>IF('Report-M&amp;O1718'!C$18-'Report-SOF1718'!D$55&lt;=0,0,'Report-M&amp;O1718'!C$18-'Report-SOF1718'!D$55)</f>
        <v>#DIV/0!</v>
      </c>
      <c r="G353" s="2452" t="e">
        <f t="shared" si="62"/>
        <v>#DIV/0!</v>
      </c>
      <c r="H353" s="2449">
        <f>IF(A353='Data Entry - SOF'!B$2,'Data Entry - SOF'!E$64,0)</f>
        <v>0</v>
      </c>
      <c r="I353" s="1687">
        <f t="shared" si="63"/>
        <v>11114758</v>
      </c>
      <c r="J353" s="2212" t="e">
        <f>IF('Report-M&amp;O1819'!C$18-'Report-SOF1819'!D$55&lt;=0,0,'Report-M&amp;O1819'!C$18-'Report-SOF1819'!D$55)</f>
        <v>#DIV/0!</v>
      </c>
      <c r="K353" s="2452" t="e">
        <f t="shared" si="64"/>
        <v>#DIV/0!</v>
      </c>
      <c r="L353" s="2449">
        <f>IF(A353='Data Entry - SOF'!B$2,'Data Entry - SOF'!G$64,0)</f>
        <v>0</v>
      </c>
      <c r="M353" s="1371">
        <f t="shared" si="65"/>
        <v>11114758</v>
      </c>
      <c r="N353" s="2212" t="e">
        <f>IF('Report-M&amp;O1920'!C$18-'Report-SOF1920'!D$55&lt;=0,0,'Report-M&amp;O1920'!C$18-'Report-SOF1920'!D$55)</f>
        <v>#DIV/0!</v>
      </c>
      <c r="O353" s="2452" t="e">
        <f t="shared" si="66"/>
        <v>#DIV/0!</v>
      </c>
      <c r="P353" s="2449">
        <f>IF(A353='Data Entry - SOF'!B$2,'Data Entry - SOF'!I$64,0)</f>
        <v>0</v>
      </c>
      <c r="Q353" s="1687">
        <f t="shared" si="60"/>
        <v>11114758</v>
      </c>
      <c r="R353" s="2212" t="e">
        <f>IF('Report-M&amp;O2021'!C$18-'Report-SOF2021'!D$55&lt;=0,0,'Report-M&amp;O2021'!C$18-'Report-SOF2021'!D$55)</f>
        <v>#DIV/0!</v>
      </c>
      <c r="S353" s="2452" t="e">
        <f t="shared" si="67"/>
        <v>#DIV/0!</v>
      </c>
      <c r="T353" s="1708">
        <f>IF(A353='Data Entry - SOF'!B$2,'Data Entry - SOF'!K$64,0)</f>
        <v>0</v>
      </c>
      <c r="U353" s="1687">
        <f t="shared" si="70"/>
        <v>11114758</v>
      </c>
      <c r="V353" s="2212" t="e">
        <f>IF('Report-M&amp;O2122'!C$18-'Report-SOF2122'!D$55&lt;=0,0,'Report-M&amp;O2122'!C$18-'Report-SOF2122'!D$55)</f>
        <v>#DIV/0!</v>
      </c>
      <c r="W353" s="2452" t="e">
        <f t="shared" si="68"/>
        <v>#DIV/0!</v>
      </c>
      <c r="X353" s="1708">
        <f>IF(A353='Data Entry - SOF'!B$2,'Data Entry - SOF'!M$64,0)</f>
        <v>0</v>
      </c>
      <c r="Y353" s="1371" t="e">
        <f t="shared" si="69"/>
        <v>#DIV/0!</v>
      </c>
      <c r="Z353" s="2212" t="e">
        <f>IF('Report-M&amp;O2223'!C$18-'Report-SOF2223'!D$55&lt;=0,0,'Report-M&amp;O2223'!C$18-'Report-SOF2223'!D$55)</f>
        <v>#DIV/0!</v>
      </c>
      <c r="AA353" s="1708">
        <f>IF(A353='Data Entry - SOF'!B$2,'Data Entry - SOF'!O$64,0)</f>
        <v>0</v>
      </c>
    </row>
    <row r="354" spans="1:27" ht="15.75">
      <c r="A354" s="1076" t="s">
        <v>2313</v>
      </c>
      <c r="B354">
        <v>2416309</v>
      </c>
      <c r="C354" s="2452" t="e">
        <f>#REF!+#REF!</f>
        <v>#REF!</v>
      </c>
      <c r="D354" s="2449">
        <f>IF(A354='Data Entry - SOF'!B$2,'Data Entry - SOF'!C$64,0)</f>
        <v>0</v>
      </c>
      <c r="E354" s="2450">
        <f t="shared" si="61"/>
        <v>2416309</v>
      </c>
      <c r="F354" s="2212" t="e">
        <f>IF('Report-M&amp;O1718'!C$18-'Report-SOF1718'!D$55&lt;=0,0,'Report-M&amp;O1718'!C$18-'Report-SOF1718'!D$55)</f>
        <v>#DIV/0!</v>
      </c>
      <c r="G354" s="2452" t="e">
        <f t="shared" si="62"/>
        <v>#DIV/0!</v>
      </c>
      <c r="H354" s="2449">
        <f>IF(A354='Data Entry - SOF'!B$2,'Data Entry - SOF'!E$64,0)</f>
        <v>0</v>
      </c>
      <c r="I354" s="1687">
        <f t="shared" si="63"/>
        <v>2416309</v>
      </c>
      <c r="J354" s="2212" t="e">
        <f>IF('Report-M&amp;O1819'!C$18-'Report-SOF1819'!D$55&lt;=0,0,'Report-M&amp;O1819'!C$18-'Report-SOF1819'!D$55)</f>
        <v>#DIV/0!</v>
      </c>
      <c r="K354" s="2452" t="e">
        <f t="shared" si="64"/>
        <v>#DIV/0!</v>
      </c>
      <c r="L354" s="2449">
        <f>IF(A354='Data Entry - SOF'!B$2,'Data Entry - SOF'!G$64,0)</f>
        <v>0</v>
      </c>
      <c r="M354" s="1371">
        <f t="shared" si="65"/>
        <v>2416309</v>
      </c>
      <c r="N354" s="2212" t="e">
        <f>IF('Report-M&amp;O1920'!C$18-'Report-SOF1920'!D$55&lt;=0,0,'Report-M&amp;O1920'!C$18-'Report-SOF1920'!D$55)</f>
        <v>#DIV/0!</v>
      </c>
      <c r="O354" s="2452" t="e">
        <f t="shared" si="66"/>
        <v>#DIV/0!</v>
      </c>
      <c r="P354" s="2449">
        <f>IF(A354='Data Entry - SOF'!B$2,'Data Entry - SOF'!I$64,0)</f>
        <v>0</v>
      </c>
      <c r="Q354" s="1687">
        <f t="shared" si="60"/>
        <v>2416309</v>
      </c>
      <c r="R354" s="2212" t="e">
        <f>IF('Report-M&amp;O2021'!C$18-'Report-SOF2021'!D$55&lt;=0,0,'Report-M&amp;O2021'!C$18-'Report-SOF2021'!D$55)</f>
        <v>#DIV/0!</v>
      </c>
      <c r="S354" s="2452" t="e">
        <f t="shared" si="67"/>
        <v>#DIV/0!</v>
      </c>
      <c r="T354" s="1708">
        <f>IF(A354='Data Entry - SOF'!B$2,'Data Entry - SOF'!K$64,0)</f>
        <v>0</v>
      </c>
      <c r="U354" s="1687">
        <f t="shared" si="70"/>
        <v>2416309</v>
      </c>
      <c r="V354" s="2212" t="e">
        <f>IF('Report-M&amp;O2122'!C$18-'Report-SOF2122'!D$55&lt;=0,0,'Report-M&amp;O2122'!C$18-'Report-SOF2122'!D$55)</f>
        <v>#DIV/0!</v>
      </c>
      <c r="W354" s="2452" t="e">
        <f t="shared" si="68"/>
        <v>#DIV/0!</v>
      </c>
      <c r="X354" s="1708">
        <f>IF(A354='Data Entry - SOF'!B$2,'Data Entry - SOF'!M$64,0)</f>
        <v>0</v>
      </c>
      <c r="Y354" s="1371" t="e">
        <f t="shared" si="69"/>
        <v>#DIV/0!</v>
      </c>
      <c r="Z354" s="2212" t="e">
        <f>IF('Report-M&amp;O2223'!C$18-'Report-SOF2223'!D$55&lt;=0,0,'Report-M&amp;O2223'!C$18-'Report-SOF2223'!D$55)</f>
        <v>#DIV/0!</v>
      </c>
      <c r="AA354" s="1708">
        <f>IF(A354='Data Entry - SOF'!B$2,'Data Entry - SOF'!O$64,0)</f>
        <v>0</v>
      </c>
    </row>
    <row r="355" spans="1:27" ht="15.75">
      <c r="A355" s="1076" t="s">
        <v>1897</v>
      </c>
      <c r="B355">
        <v>2063563</v>
      </c>
      <c r="C355" s="2452" t="e">
        <f>#REF!+#REF!</f>
        <v>#REF!</v>
      </c>
      <c r="D355" s="2449">
        <f>IF(A355='Data Entry - SOF'!B$2,'Data Entry - SOF'!C$64,0)</f>
        <v>0</v>
      </c>
      <c r="E355" s="2450">
        <f t="shared" si="61"/>
        <v>2063563</v>
      </c>
      <c r="F355" s="2212" t="e">
        <f>IF('Report-M&amp;O1718'!C$18-'Report-SOF1718'!D$55&lt;=0,0,'Report-M&amp;O1718'!C$18-'Report-SOF1718'!D$55)</f>
        <v>#DIV/0!</v>
      </c>
      <c r="G355" s="2452" t="e">
        <f t="shared" si="62"/>
        <v>#DIV/0!</v>
      </c>
      <c r="H355" s="2449">
        <f>IF(A355='Data Entry - SOF'!B$2,'Data Entry - SOF'!E$64,0)</f>
        <v>0</v>
      </c>
      <c r="I355" s="1687">
        <f t="shared" si="63"/>
        <v>2063563</v>
      </c>
      <c r="J355" s="2212" t="e">
        <f>IF('Report-M&amp;O1819'!C$18-'Report-SOF1819'!D$55&lt;=0,0,'Report-M&amp;O1819'!C$18-'Report-SOF1819'!D$55)</f>
        <v>#DIV/0!</v>
      </c>
      <c r="K355" s="2452" t="e">
        <f t="shared" si="64"/>
        <v>#DIV/0!</v>
      </c>
      <c r="L355" s="2449">
        <f>IF(A355='Data Entry - SOF'!B$2,'Data Entry - SOF'!G$64,0)</f>
        <v>0</v>
      </c>
      <c r="M355" s="1371">
        <f t="shared" si="65"/>
        <v>2063563</v>
      </c>
      <c r="N355" s="2212" t="e">
        <f>IF('Report-M&amp;O1920'!C$18-'Report-SOF1920'!D$55&lt;=0,0,'Report-M&amp;O1920'!C$18-'Report-SOF1920'!D$55)</f>
        <v>#DIV/0!</v>
      </c>
      <c r="O355" s="2452" t="e">
        <f t="shared" si="66"/>
        <v>#DIV/0!</v>
      </c>
      <c r="P355" s="2449">
        <f>IF(A355='Data Entry - SOF'!B$2,'Data Entry - SOF'!I$64,0)</f>
        <v>0</v>
      </c>
      <c r="Q355" s="1687">
        <f t="shared" si="60"/>
        <v>2063563</v>
      </c>
      <c r="R355" s="2212" t="e">
        <f>IF('Report-M&amp;O2021'!C$18-'Report-SOF2021'!D$55&lt;=0,0,'Report-M&amp;O2021'!C$18-'Report-SOF2021'!D$55)</f>
        <v>#DIV/0!</v>
      </c>
      <c r="S355" s="2452" t="e">
        <f t="shared" si="67"/>
        <v>#DIV/0!</v>
      </c>
      <c r="T355" s="1708">
        <f>IF(A355='Data Entry - SOF'!B$2,'Data Entry - SOF'!K$64,0)</f>
        <v>0</v>
      </c>
      <c r="U355" s="1687">
        <f t="shared" si="70"/>
        <v>2063563</v>
      </c>
      <c r="V355" s="2212" t="e">
        <f>IF('Report-M&amp;O2122'!C$18-'Report-SOF2122'!D$55&lt;=0,0,'Report-M&amp;O2122'!C$18-'Report-SOF2122'!D$55)</f>
        <v>#DIV/0!</v>
      </c>
      <c r="W355" s="2452" t="e">
        <f t="shared" si="68"/>
        <v>#DIV/0!</v>
      </c>
      <c r="X355" s="1708">
        <f>IF(A355='Data Entry - SOF'!B$2,'Data Entry - SOF'!M$64,0)</f>
        <v>0</v>
      </c>
      <c r="Y355" s="1371" t="e">
        <f t="shared" si="69"/>
        <v>#DIV/0!</v>
      </c>
      <c r="Z355" s="2212" t="e">
        <f>IF('Report-M&amp;O2223'!C$18-'Report-SOF2223'!D$55&lt;=0,0,'Report-M&amp;O2223'!C$18-'Report-SOF2223'!D$55)</f>
        <v>#DIV/0!</v>
      </c>
      <c r="AA355" s="1708">
        <f>IF(A355='Data Entry - SOF'!B$2,'Data Entry - SOF'!O$64,0)</f>
        <v>0</v>
      </c>
    </row>
    <row r="356" spans="1:27" ht="15.75">
      <c r="A356" s="1076" t="s">
        <v>1107</v>
      </c>
      <c r="B356">
        <v>916721</v>
      </c>
      <c r="C356" s="2452" t="e">
        <f>#REF!+#REF!</f>
        <v>#REF!</v>
      </c>
      <c r="D356" s="2449">
        <f>IF(A356='Data Entry - SOF'!B$2,'Data Entry - SOF'!C$64,0)</f>
        <v>0</v>
      </c>
      <c r="E356" s="2450">
        <f t="shared" si="61"/>
        <v>916721</v>
      </c>
      <c r="F356" s="2212" t="e">
        <f>IF('Report-M&amp;O1718'!C$18-'Report-SOF1718'!D$55&lt;=0,0,'Report-M&amp;O1718'!C$18-'Report-SOF1718'!D$55)</f>
        <v>#DIV/0!</v>
      </c>
      <c r="G356" s="2452" t="e">
        <f t="shared" si="62"/>
        <v>#DIV/0!</v>
      </c>
      <c r="H356" s="2449">
        <f>IF(A356='Data Entry - SOF'!B$2,'Data Entry - SOF'!E$64,0)</f>
        <v>0</v>
      </c>
      <c r="I356" s="1687">
        <f t="shared" si="63"/>
        <v>916721</v>
      </c>
      <c r="J356" s="2212" t="e">
        <f>IF('Report-M&amp;O1819'!C$18-'Report-SOF1819'!D$55&lt;=0,0,'Report-M&amp;O1819'!C$18-'Report-SOF1819'!D$55)</f>
        <v>#DIV/0!</v>
      </c>
      <c r="K356" s="2452" t="e">
        <f t="shared" si="64"/>
        <v>#DIV/0!</v>
      </c>
      <c r="L356" s="2449">
        <f>IF(A356='Data Entry - SOF'!B$2,'Data Entry - SOF'!G$64,0)</f>
        <v>0</v>
      </c>
      <c r="M356" s="1371">
        <f t="shared" si="65"/>
        <v>916721</v>
      </c>
      <c r="N356" s="2212" t="e">
        <f>IF('Report-M&amp;O1920'!C$18-'Report-SOF1920'!D$55&lt;=0,0,'Report-M&amp;O1920'!C$18-'Report-SOF1920'!D$55)</f>
        <v>#DIV/0!</v>
      </c>
      <c r="O356" s="2452" t="e">
        <f t="shared" si="66"/>
        <v>#DIV/0!</v>
      </c>
      <c r="P356" s="2449">
        <f>IF(A356='Data Entry - SOF'!B$2,'Data Entry - SOF'!I$64,0)</f>
        <v>0</v>
      </c>
      <c r="Q356" s="1687">
        <f t="shared" si="60"/>
        <v>916721</v>
      </c>
      <c r="R356" s="2212" t="e">
        <f>IF('Report-M&amp;O2021'!C$18-'Report-SOF2021'!D$55&lt;=0,0,'Report-M&amp;O2021'!C$18-'Report-SOF2021'!D$55)</f>
        <v>#DIV/0!</v>
      </c>
      <c r="S356" s="2452" t="e">
        <f t="shared" si="67"/>
        <v>#DIV/0!</v>
      </c>
      <c r="T356" s="1708">
        <f>IF(A356='Data Entry - SOF'!B$2,'Data Entry - SOF'!K$64,0)</f>
        <v>0</v>
      </c>
      <c r="U356" s="1687">
        <f t="shared" si="70"/>
        <v>916721</v>
      </c>
      <c r="V356" s="2212" t="e">
        <f>IF('Report-M&amp;O2122'!C$18-'Report-SOF2122'!D$55&lt;=0,0,'Report-M&amp;O2122'!C$18-'Report-SOF2122'!D$55)</f>
        <v>#DIV/0!</v>
      </c>
      <c r="W356" s="2452" t="e">
        <f t="shared" si="68"/>
        <v>#DIV/0!</v>
      </c>
      <c r="X356" s="1708">
        <f>IF(A356='Data Entry - SOF'!B$2,'Data Entry - SOF'!M$64,0)</f>
        <v>0</v>
      </c>
      <c r="Y356" s="1371" t="e">
        <f t="shared" si="69"/>
        <v>#DIV/0!</v>
      </c>
      <c r="Z356" s="2212" t="e">
        <f>IF('Report-M&amp;O2223'!C$18-'Report-SOF2223'!D$55&lt;=0,0,'Report-M&amp;O2223'!C$18-'Report-SOF2223'!D$55)</f>
        <v>#DIV/0!</v>
      </c>
      <c r="AA356" s="1708">
        <f>IF(A356='Data Entry - SOF'!B$2,'Data Entry - SOF'!O$64,0)</f>
        <v>0</v>
      </c>
    </row>
    <row r="357" spans="1:27" ht="15.75">
      <c r="A357" s="1076" t="s">
        <v>1108</v>
      </c>
      <c r="B357">
        <v>14498880</v>
      </c>
      <c r="C357" s="2452" t="e">
        <f>#REF!+#REF!</f>
        <v>#REF!</v>
      </c>
      <c r="D357" s="2449">
        <f>IF(A357='Data Entry - SOF'!B$2,'Data Entry - SOF'!C$64,0)</f>
        <v>0</v>
      </c>
      <c r="E357" s="2450">
        <f t="shared" si="61"/>
        <v>14498880</v>
      </c>
      <c r="F357" s="2212" t="e">
        <f>IF('Report-M&amp;O1718'!C$18-'Report-SOF1718'!D$55&lt;=0,0,'Report-M&amp;O1718'!C$18-'Report-SOF1718'!D$55)</f>
        <v>#DIV/0!</v>
      </c>
      <c r="G357" s="2452" t="e">
        <f t="shared" si="62"/>
        <v>#DIV/0!</v>
      </c>
      <c r="H357" s="2449">
        <f>IF(A357='Data Entry - SOF'!B$2,'Data Entry - SOF'!E$64,0)</f>
        <v>0</v>
      </c>
      <c r="I357" s="1687">
        <f t="shared" si="63"/>
        <v>14498880</v>
      </c>
      <c r="J357" s="2212" t="e">
        <f>IF('Report-M&amp;O1819'!C$18-'Report-SOF1819'!D$55&lt;=0,0,'Report-M&amp;O1819'!C$18-'Report-SOF1819'!D$55)</f>
        <v>#DIV/0!</v>
      </c>
      <c r="K357" s="2452" t="e">
        <f t="shared" si="64"/>
        <v>#DIV/0!</v>
      </c>
      <c r="L357" s="2449">
        <f>IF(A357='Data Entry - SOF'!B$2,'Data Entry - SOF'!G$64,0)</f>
        <v>0</v>
      </c>
      <c r="M357" s="1371">
        <f t="shared" si="65"/>
        <v>14498880</v>
      </c>
      <c r="N357" s="2212" t="e">
        <f>IF('Report-M&amp;O1920'!C$18-'Report-SOF1920'!D$55&lt;=0,0,'Report-M&amp;O1920'!C$18-'Report-SOF1920'!D$55)</f>
        <v>#DIV/0!</v>
      </c>
      <c r="O357" s="2452" t="e">
        <f t="shared" si="66"/>
        <v>#DIV/0!</v>
      </c>
      <c r="P357" s="2449">
        <f>IF(A357='Data Entry - SOF'!B$2,'Data Entry - SOF'!I$64,0)</f>
        <v>0</v>
      </c>
      <c r="Q357" s="1687">
        <f t="shared" si="60"/>
        <v>14498880</v>
      </c>
      <c r="R357" s="2212" t="e">
        <f>IF('Report-M&amp;O2021'!C$18-'Report-SOF2021'!D$55&lt;=0,0,'Report-M&amp;O2021'!C$18-'Report-SOF2021'!D$55)</f>
        <v>#DIV/0!</v>
      </c>
      <c r="S357" s="2452" t="e">
        <f t="shared" si="67"/>
        <v>#DIV/0!</v>
      </c>
      <c r="T357" s="1708">
        <f>IF(A357='Data Entry - SOF'!B$2,'Data Entry - SOF'!K$64,0)</f>
        <v>0</v>
      </c>
      <c r="U357" s="1687">
        <f t="shared" si="70"/>
        <v>14498880</v>
      </c>
      <c r="V357" s="2212" t="e">
        <f>IF('Report-M&amp;O2122'!C$18-'Report-SOF2122'!D$55&lt;=0,0,'Report-M&amp;O2122'!C$18-'Report-SOF2122'!D$55)</f>
        <v>#DIV/0!</v>
      </c>
      <c r="W357" s="2452" t="e">
        <f t="shared" si="68"/>
        <v>#DIV/0!</v>
      </c>
      <c r="X357" s="1708">
        <f>IF(A357='Data Entry - SOF'!B$2,'Data Entry - SOF'!M$64,0)</f>
        <v>0</v>
      </c>
      <c r="Y357" s="1371" t="e">
        <f t="shared" si="69"/>
        <v>#DIV/0!</v>
      </c>
      <c r="Z357" s="2212" t="e">
        <f>IF('Report-M&amp;O2223'!C$18-'Report-SOF2223'!D$55&lt;=0,0,'Report-M&amp;O2223'!C$18-'Report-SOF2223'!D$55)</f>
        <v>#DIV/0!</v>
      </c>
      <c r="AA357" s="1708">
        <f>IF(A357='Data Entry - SOF'!B$2,'Data Entry - SOF'!O$64,0)</f>
        <v>0</v>
      </c>
    </row>
    <row r="358" spans="1:27" ht="15.75">
      <c r="A358" s="1076" t="s">
        <v>1276</v>
      </c>
      <c r="B358">
        <v>1974413</v>
      </c>
      <c r="C358" s="2452" t="e">
        <f>#REF!+#REF!</f>
        <v>#REF!</v>
      </c>
      <c r="D358" s="2449">
        <f>IF(A358='Data Entry - SOF'!B$2,'Data Entry - SOF'!C$64,0)</f>
        <v>0</v>
      </c>
      <c r="E358" s="2450">
        <f t="shared" si="61"/>
        <v>1974413</v>
      </c>
      <c r="F358" s="2212" t="e">
        <f>IF('Report-M&amp;O1718'!C$18-'Report-SOF1718'!D$55&lt;=0,0,'Report-M&amp;O1718'!C$18-'Report-SOF1718'!D$55)</f>
        <v>#DIV/0!</v>
      </c>
      <c r="G358" s="2452" t="e">
        <f t="shared" si="62"/>
        <v>#DIV/0!</v>
      </c>
      <c r="H358" s="2449">
        <f>IF(A358='Data Entry - SOF'!B$2,'Data Entry - SOF'!E$64,0)</f>
        <v>0</v>
      </c>
      <c r="I358" s="1687">
        <f t="shared" si="63"/>
        <v>1974413</v>
      </c>
      <c r="J358" s="2212" t="e">
        <f>IF('Report-M&amp;O1819'!C$18-'Report-SOF1819'!D$55&lt;=0,0,'Report-M&amp;O1819'!C$18-'Report-SOF1819'!D$55)</f>
        <v>#DIV/0!</v>
      </c>
      <c r="K358" s="2452" t="e">
        <f t="shared" si="64"/>
        <v>#DIV/0!</v>
      </c>
      <c r="L358" s="2449">
        <f>IF(A358='Data Entry - SOF'!B$2,'Data Entry - SOF'!G$64,0)</f>
        <v>0</v>
      </c>
      <c r="M358" s="1371">
        <f t="shared" si="65"/>
        <v>1974413</v>
      </c>
      <c r="N358" s="2212" t="e">
        <f>IF('Report-M&amp;O1920'!C$18-'Report-SOF1920'!D$55&lt;=0,0,'Report-M&amp;O1920'!C$18-'Report-SOF1920'!D$55)</f>
        <v>#DIV/0!</v>
      </c>
      <c r="O358" s="2452" t="e">
        <f t="shared" si="66"/>
        <v>#DIV/0!</v>
      </c>
      <c r="P358" s="2449">
        <f>IF(A358='Data Entry - SOF'!B$2,'Data Entry - SOF'!I$64,0)</f>
        <v>0</v>
      </c>
      <c r="Q358" s="1687">
        <f t="shared" si="60"/>
        <v>1974413</v>
      </c>
      <c r="R358" s="2212" t="e">
        <f>IF('Report-M&amp;O2021'!C$18-'Report-SOF2021'!D$55&lt;=0,0,'Report-M&amp;O2021'!C$18-'Report-SOF2021'!D$55)</f>
        <v>#DIV/0!</v>
      </c>
      <c r="S358" s="2452" t="e">
        <f t="shared" si="67"/>
        <v>#DIV/0!</v>
      </c>
      <c r="T358" s="1708">
        <f>IF(A358='Data Entry - SOF'!B$2,'Data Entry - SOF'!K$64,0)</f>
        <v>0</v>
      </c>
      <c r="U358" s="1687">
        <f t="shared" si="70"/>
        <v>1974413</v>
      </c>
      <c r="V358" s="2212" t="e">
        <f>IF('Report-M&amp;O2122'!C$18-'Report-SOF2122'!D$55&lt;=0,0,'Report-M&amp;O2122'!C$18-'Report-SOF2122'!D$55)</f>
        <v>#DIV/0!</v>
      </c>
      <c r="W358" s="2452" t="e">
        <f t="shared" si="68"/>
        <v>#DIV/0!</v>
      </c>
      <c r="X358" s="1708">
        <f>IF(A358='Data Entry - SOF'!B$2,'Data Entry - SOF'!M$64,0)</f>
        <v>0</v>
      </c>
      <c r="Y358" s="1371" t="e">
        <f t="shared" si="69"/>
        <v>#DIV/0!</v>
      </c>
      <c r="Z358" s="2212" t="e">
        <f>IF('Report-M&amp;O2223'!C$18-'Report-SOF2223'!D$55&lt;=0,0,'Report-M&amp;O2223'!C$18-'Report-SOF2223'!D$55)</f>
        <v>#DIV/0!</v>
      </c>
      <c r="AA358" s="1708">
        <f>IF(A358='Data Entry - SOF'!B$2,'Data Entry - SOF'!O$64,0)</f>
        <v>0</v>
      </c>
    </row>
    <row r="359" spans="1:27" ht="15.75">
      <c r="A359" s="1076" t="s">
        <v>897</v>
      </c>
      <c r="B359">
        <v>33697491</v>
      </c>
      <c r="C359" s="2452" t="e">
        <f>#REF!+#REF!</f>
        <v>#REF!</v>
      </c>
      <c r="D359" s="2449">
        <f>IF(A359='Data Entry - SOF'!B$2,'Data Entry - SOF'!C$64,0)</f>
        <v>0</v>
      </c>
      <c r="E359" s="2450">
        <f t="shared" si="61"/>
        <v>33697491</v>
      </c>
      <c r="F359" s="2212" t="e">
        <f>IF('Report-M&amp;O1718'!C$18-'Report-SOF1718'!D$55&lt;=0,0,'Report-M&amp;O1718'!C$18-'Report-SOF1718'!D$55)</f>
        <v>#DIV/0!</v>
      </c>
      <c r="G359" s="2452" t="e">
        <f t="shared" si="62"/>
        <v>#DIV/0!</v>
      </c>
      <c r="H359" s="2449">
        <f>IF(A359='Data Entry - SOF'!B$2,'Data Entry - SOF'!E$64,0)</f>
        <v>0</v>
      </c>
      <c r="I359" s="1687">
        <f t="shared" si="63"/>
        <v>33697491</v>
      </c>
      <c r="J359" s="2212" t="e">
        <f>IF('Report-M&amp;O1819'!C$18-'Report-SOF1819'!D$55&lt;=0,0,'Report-M&amp;O1819'!C$18-'Report-SOF1819'!D$55)</f>
        <v>#DIV/0!</v>
      </c>
      <c r="K359" s="2452" t="e">
        <f t="shared" si="64"/>
        <v>#DIV/0!</v>
      </c>
      <c r="L359" s="2449">
        <f>IF(A359='Data Entry - SOF'!B$2,'Data Entry - SOF'!G$64,0)</f>
        <v>0</v>
      </c>
      <c r="M359" s="1371">
        <f t="shared" si="65"/>
        <v>33697491</v>
      </c>
      <c r="N359" s="2212" t="e">
        <f>IF('Report-M&amp;O1920'!C$18-'Report-SOF1920'!D$55&lt;=0,0,'Report-M&amp;O1920'!C$18-'Report-SOF1920'!D$55)</f>
        <v>#DIV/0!</v>
      </c>
      <c r="O359" s="2452" t="e">
        <f t="shared" si="66"/>
        <v>#DIV/0!</v>
      </c>
      <c r="P359" s="2449">
        <f>IF(A359='Data Entry - SOF'!B$2,'Data Entry - SOF'!I$64,0)</f>
        <v>0</v>
      </c>
      <c r="Q359" s="1687">
        <f t="shared" si="60"/>
        <v>33697491</v>
      </c>
      <c r="R359" s="2212" t="e">
        <f>IF('Report-M&amp;O2021'!C$18-'Report-SOF2021'!D$55&lt;=0,0,'Report-M&amp;O2021'!C$18-'Report-SOF2021'!D$55)</f>
        <v>#DIV/0!</v>
      </c>
      <c r="S359" s="2452" t="e">
        <f t="shared" si="67"/>
        <v>#DIV/0!</v>
      </c>
      <c r="T359" s="1708">
        <f>IF(A359='Data Entry - SOF'!B$2,'Data Entry - SOF'!K$64,0)</f>
        <v>0</v>
      </c>
      <c r="U359" s="1687">
        <f t="shared" si="70"/>
        <v>33697491</v>
      </c>
      <c r="V359" s="2212" t="e">
        <f>IF('Report-M&amp;O2122'!C$18-'Report-SOF2122'!D$55&lt;=0,0,'Report-M&amp;O2122'!C$18-'Report-SOF2122'!D$55)</f>
        <v>#DIV/0!</v>
      </c>
      <c r="W359" s="2452" t="e">
        <f t="shared" si="68"/>
        <v>#DIV/0!</v>
      </c>
      <c r="X359" s="1708">
        <f>IF(A359='Data Entry - SOF'!B$2,'Data Entry - SOF'!M$64,0)</f>
        <v>0</v>
      </c>
      <c r="Y359" s="1371" t="e">
        <f t="shared" si="69"/>
        <v>#DIV/0!</v>
      </c>
      <c r="Z359" s="2212" t="e">
        <f>IF('Report-M&amp;O2223'!C$18-'Report-SOF2223'!D$55&lt;=0,0,'Report-M&amp;O2223'!C$18-'Report-SOF2223'!D$55)</f>
        <v>#DIV/0!</v>
      </c>
      <c r="AA359" s="1708">
        <f>IF(A359='Data Entry - SOF'!B$2,'Data Entry - SOF'!O$64,0)</f>
        <v>0</v>
      </c>
    </row>
    <row r="360" spans="1:27" ht="15.75">
      <c r="A360" s="1076" t="s">
        <v>898</v>
      </c>
      <c r="B360">
        <v>2410853</v>
      </c>
      <c r="C360" s="2452" t="e">
        <f>#REF!+#REF!</f>
        <v>#REF!</v>
      </c>
      <c r="D360" s="2449">
        <f>IF(A360='Data Entry - SOF'!B$2,'Data Entry - SOF'!C$64,0)</f>
        <v>0</v>
      </c>
      <c r="E360" s="2450">
        <f t="shared" si="61"/>
        <v>2410853</v>
      </c>
      <c r="F360" s="2212" t="e">
        <f>IF('Report-M&amp;O1718'!C$18-'Report-SOF1718'!D$55&lt;=0,0,'Report-M&amp;O1718'!C$18-'Report-SOF1718'!D$55)</f>
        <v>#DIV/0!</v>
      </c>
      <c r="G360" s="2452" t="e">
        <f t="shared" si="62"/>
        <v>#DIV/0!</v>
      </c>
      <c r="H360" s="2449">
        <f>IF(A360='Data Entry - SOF'!B$2,'Data Entry - SOF'!E$64,0)</f>
        <v>0</v>
      </c>
      <c r="I360" s="1687">
        <f t="shared" si="63"/>
        <v>2410853</v>
      </c>
      <c r="J360" s="2212" t="e">
        <f>IF('Report-M&amp;O1819'!C$18-'Report-SOF1819'!D$55&lt;=0,0,'Report-M&amp;O1819'!C$18-'Report-SOF1819'!D$55)</f>
        <v>#DIV/0!</v>
      </c>
      <c r="K360" s="2452" t="e">
        <f t="shared" si="64"/>
        <v>#DIV/0!</v>
      </c>
      <c r="L360" s="2449">
        <f>IF(A360='Data Entry - SOF'!B$2,'Data Entry - SOF'!G$64,0)</f>
        <v>0</v>
      </c>
      <c r="M360" s="1371">
        <f t="shared" si="65"/>
        <v>2410853</v>
      </c>
      <c r="N360" s="2212" t="e">
        <f>IF('Report-M&amp;O1920'!C$18-'Report-SOF1920'!D$55&lt;=0,0,'Report-M&amp;O1920'!C$18-'Report-SOF1920'!D$55)</f>
        <v>#DIV/0!</v>
      </c>
      <c r="O360" s="2452" t="e">
        <f t="shared" si="66"/>
        <v>#DIV/0!</v>
      </c>
      <c r="P360" s="2449">
        <f>IF(A360='Data Entry - SOF'!B$2,'Data Entry - SOF'!I$64,0)</f>
        <v>0</v>
      </c>
      <c r="Q360" s="1687">
        <f t="shared" si="60"/>
        <v>2410853</v>
      </c>
      <c r="R360" s="2212" t="e">
        <f>IF('Report-M&amp;O2021'!C$18-'Report-SOF2021'!D$55&lt;=0,0,'Report-M&amp;O2021'!C$18-'Report-SOF2021'!D$55)</f>
        <v>#DIV/0!</v>
      </c>
      <c r="S360" s="2452" t="e">
        <f t="shared" si="67"/>
        <v>#DIV/0!</v>
      </c>
      <c r="T360" s="1708">
        <f>IF(A360='Data Entry - SOF'!B$2,'Data Entry - SOF'!K$64,0)</f>
        <v>0</v>
      </c>
      <c r="U360" s="1687">
        <f t="shared" si="70"/>
        <v>2410853</v>
      </c>
      <c r="V360" s="2212" t="e">
        <f>IF('Report-M&amp;O2122'!C$18-'Report-SOF2122'!D$55&lt;=0,0,'Report-M&amp;O2122'!C$18-'Report-SOF2122'!D$55)</f>
        <v>#DIV/0!</v>
      </c>
      <c r="W360" s="2452" t="e">
        <f t="shared" si="68"/>
        <v>#DIV/0!</v>
      </c>
      <c r="X360" s="1708">
        <f>IF(A360='Data Entry - SOF'!B$2,'Data Entry - SOF'!M$64,0)</f>
        <v>0</v>
      </c>
      <c r="Y360" s="1371" t="e">
        <f t="shared" si="69"/>
        <v>#DIV/0!</v>
      </c>
      <c r="Z360" s="2212" t="e">
        <f>IF('Report-M&amp;O2223'!C$18-'Report-SOF2223'!D$55&lt;=0,0,'Report-M&amp;O2223'!C$18-'Report-SOF2223'!D$55)</f>
        <v>#DIV/0!</v>
      </c>
      <c r="AA360" s="1708">
        <f>IF(A360='Data Entry - SOF'!B$2,'Data Entry - SOF'!O$64,0)</f>
        <v>0</v>
      </c>
    </row>
    <row r="361" spans="1:27" ht="15.75">
      <c r="A361" s="1076" t="s">
        <v>1404</v>
      </c>
      <c r="B361">
        <v>5336872</v>
      </c>
      <c r="C361" s="2452" t="e">
        <f>#REF!+#REF!</f>
        <v>#REF!</v>
      </c>
      <c r="D361" s="2449">
        <f>IF(A361='Data Entry - SOF'!B$2,'Data Entry - SOF'!C$64,0)</f>
        <v>0</v>
      </c>
      <c r="E361" s="2450">
        <f t="shared" si="61"/>
        <v>5336872</v>
      </c>
      <c r="F361" s="2212" t="e">
        <f>IF('Report-M&amp;O1718'!C$18-'Report-SOF1718'!D$55&lt;=0,0,'Report-M&amp;O1718'!C$18-'Report-SOF1718'!D$55)</f>
        <v>#DIV/0!</v>
      </c>
      <c r="G361" s="2452" t="e">
        <f t="shared" si="62"/>
        <v>#DIV/0!</v>
      </c>
      <c r="H361" s="2449">
        <f>IF(A361='Data Entry - SOF'!B$2,'Data Entry - SOF'!E$64,0)</f>
        <v>0</v>
      </c>
      <c r="I361" s="1687">
        <f t="shared" si="63"/>
        <v>5336872</v>
      </c>
      <c r="J361" s="2212" t="e">
        <f>IF('Report-M&amp;O1819'!C$18-'Report-SOF1819'!D$55&lt;=0,0,'Report-M&amp;O1819'!C$18-'Report-SOF1819'!D$55)</f>
        <v>#DIV/0!</v>
      </c>
      <c r="K361" s="2452" t="e">
        <f t="shared" si="64"/>
        <v>#DIV/0!</v>
      </c>
      <c r="L361" s="2449">
        <f>IF(A361='Data Entry - SOF'!B$2,'Data Entry - SOF'!G$64,0)</f>
        <v>0</v>
      </c>
      <c r="M361" s="1371">
        <f t="shared" si="65"/>
        <v>5336872</v>
      </c>
      <c r="N361" s="2212" t="e">
        <f>IF('Report-M&amp;O1920'!C$18-'Report-SOF1920'!D$55&lt;=0,0,'Report-M&amp;O1920'!C$18-'Report-SOF1920'!D$55)</f>
        <v>#DIV/0!</v>
      </c>
      <c r="O361" s="2452" t="e">
        <f t="shared" si="66"/>
        <v>#DIV/0!</v>
      </c>
      <c r="P361" s="2449">
        <f>IF(A361='Data Entry - SOF'!B$2,'Data Entry - SOF'!I$64,0)</f>
        <v>0</v>
      </c>
      <c r="Q361" s="1687">
        <f t="shared" si="60"/>
        <v>5336872</v>
      </c>
      <c r="R361" s="2212" t="e">
        <f>IF('Report-M&amp;O2021'!C$18-'Report-SOF2021'!D$55&lt;=0,0,'Report-M&amp;O2021'!C$18-'Report-SOF2021'!D$55)</f>
        <v>#DIV/0!</v>
      </c>
      <c r="S361" s="2452" t="e">
        <f t="shared" si="67"/>
        <v>#DIV/0!</v>
      </c>
      <c r="T361" s="1708">
        <f>IF(A361='Data Entry - SOF'!B$2,'Data Entry - SOF'!K$64,0)</f>
        <v>0</v>
      </c>
      <c r="U361" s="1687">
        <f t="shared" si="70"/>
        <v>5336872</v>
      </c>
      <c r="V361" s="2212" t="e">
        <f>IF('Report-M&amp;O2122'!C$18-'Report-SOF2122'!D$55&lt;=0,0,'Report-M&amp;O2122'!C$18-'Report-SOF2122'!D$55)</f>
        <v>#DIV/0!</v>
      </c>
      <c r="W361" s="2452" t="e">
        <f t="shared" si="68"/>
        <v>#DIV/0!</v>
      </c>
      <c r="X361" s="1708">
        <f>IF(A361='Data Entry - SOF'!B$2,'Data Entry - SOF'!M$64,0)</f>
        <v>0</v>
      </c>
      <c r="Y361" s="1371" t="e">
        <f t="shared" si="69"/>
        <v>#DIV/0!</v>
      </c>
      <c r="Z361" s="2212" t="e">
        <f>IF('Report-M&amp;O2223'!C$18-'Report-SOF2223'!D$55&lt;=0,0,'Report-M&amp;O2223'!C$18-'Report-SOF2223'!D$55)</f>
        <v>#DIV/0!</v>
      </c>
      <c r="AA361" s="1708">
        <f>IF(A361='Data Entry - SOF'!B$2,'Data Entry - SOF'!O$64,0)</f>
        <v>0</v>
      </c>
    </row>
    <row r="362" spans="1:27" ht="15.75">
      <c r="A362" s="1076" t="s">
        <v>1405</v>
      </c>
      <c r="B362">
        <v>6773506</v>
      </c>
      <c r="C362" s="2452" t="e">
        <f>#REF!+#REF!</f>
        <v>#REF!</v>
      </c>
      <c r="D362" s="2449">
        <f>IF(A362='Data Entry - SOF'!B$2,'Data Entry - SOF'!C$64,0)</f>
        <v>0</v>
      </c>
      <c r="E362" s="2450">
        <f t="shared" si="61"/>
        <v>6773506</v>
      </c>
      <c r="F362" s="2212" t="e">
        <f>IF('Report-M&amp;O1718'!C$18-'Report-SOF1718'!D$55&lt;=0,0,'Report-M&amp;O1718'!C$18-'Report-SOF1718'!D$55)</f>
        <v>#DIV/0!</v>
      </c>
      <c r="G362" s="2452" t="e">
        <f t="shared" si="62"/>
        <v>#DIV/0!</v>
      </c>
      <c r="H362" s="2449">
        <f>IF(A362='Data Entry - SOF'!B$2,'Data Entry - SOF'!E$64,0)</f>
        <v>0</v>
      </c>
      <c r="I362" s="1687">
        <f t="shared" si="63"/>
        <v>6773506</v>
      </c>
      <c r="J362" s="2212" t="e">
        <f>IF('Report-M&amp;O1819'!C$18-'Report-SOF1819'!D$55&lt;=0,0,'Report-M&amp;O1819'!C$18-'Report-SOF1819'!D$55)</f>
        <v>#DIV/0!</v>
      </c>
      <c r="K362" s="2452" t="e">
        <f t="shared" si="64"/>
        <v>#DIV/0!</v>
      </c>
      <c r="L362" s="2449">
        <f>IF(A362='Data Entry - SOF'!B$2,'Data Entry - SOF'!G$64,0)</f>
        <v>0</v>
      </c>
      <c r="M362" s="1371">
        <f t="shared" si="65"/>
        <v>6773506</v>
      </c>
      <c r="N362" s="2212" t="e">
        <f>IF('Report-M&amp;O1920'!C$18-'Report-SOF1920'!D$55&lt;=0,0,'Report-M&amp;O1920'!C$18-'Report-SOF1920'!D$55)</f>
        <v>#DIV/0!</v>
      </c>
      <c r="O362" s="2452" t="e">
        <f t="shared" si="66"/>
        <v>#DIV/0!</v>
      </c>
      <c r="P362" s="2449">
        <f>IF(A362='Data Entry - SOF'!B$2,'Data Entry - SOF'!I$64,0)</f>
        <v>0</v>
      </c>
      <c r="Q362" s="1687">
        <f t="shared" si="60"/>
        <v>6773506</v>
      </c>
      <c r="R362" s="2212" t="e">
        <f>IF('Report-M&amp;O2021'!C$18-'Report-SOF2021'!D$55&lt;=0,0,'Report-M&amp;O2021'!C$18-'Report-SOF2021'!D$55)</f>
        <v>#DIV/0!</v>
      </c>
      <c r="S362" s="2452" t="e">
        <f t="shared" si="67"/>
        <v>#DIV/0!</v>
      </c>
      <c r="T362" s="1708">
        <f>IF(A362='Data Entry - SOF'!B$2,'Data Entry - SOF'!K$64,0)</f>
        <v>0</v>
      </c>
      <c r="U362" s="1687">
        <f t="shared" si="70"/>
        <v>6773506</v>
      </c>
      <c r="V362" s="2212" t="e">
        <f>IF('Report-M&amp;O2122'!C$18-'Report-SOF2122'!D$55&lt;=0,0,'Report-M&amp;O2122'!C$18-'Report-SOF2122'!D$55)</f>
        <v>#DIV/0!</v>
      </c>
      <c r="W362" s="2452" t="e">
        <f t="shared" si="68"/>
        <v>#DIV/0!</v>
      </c>
      <c r="X362" s="1708">
        <f>IF(A362='Data Entry - SOF'!B$2,'Data Entry - SOF'!M$64,0)</f>
        <v>0</v>
      </c>
      <c r="Y362" s="1371" t="e">
        <f t="shared" si="69"/>
        <v>#DIV/0!</v>
      </c>
      <c r="Z362" s="2212" t="e">
        <f>IF('Report-M&amp;O2223'!C$18-'Report-SOF2223'!D$55&lt;=0,0,'Report-M&amp;O2223'!C$18-'Report-SOF2223'!D$55)</f>
        <v>#DIV/0!</v>
      </c>
      <c r="AA362" s="1708">
        <f>IF(A362='Data Entry - SOF'!B$2,'Data Entry - SOF'!O$64,0)</f>
        <v>0</v>
      </c>
    </row>
    <row r="363" spans="1:27" ht="15.75">
      <c r="A363" s="1076" t="s">
        <v>1650</v>
      </c>
      <c r="B363">
        <v>1496527</v>
      </c>
      <c r="C363" s="2452" t="e">
        <f>#REF!+#REF!</f>
        <v>#REF!</v>
      </c>
      <c r="D363" s="2449">
        <f>IF(A363='Data Entry - SOF'!B$2,'Data Entry - SOF'!C$64,0)</f>
        <v>0</v>
      </c>
      <c r="E363" s="2450">
        <f t="shared" si="61"/>
        <v>1496527</v>
      </c>
      <c r="F363" s="2212" t="e">
        <f>IF('Report-M&amp;O1718'!C$18-'Report-SOF1718'!D$55&lt;=0,0,'Report-M&amp;O1718'!C$18-'Report-SOF1718'!D$55)</f>
        <v>#DIV/0!</v>
      </c>
      <c r="G363" s="2452" t="e">
        <f t="shared" si="62"/>
        <v>#DIV/0!</v>
      </c>
      <c r="H363" s="2449">
        <f>IF(A363='Data Entry - SOF'!B$2,'Data Entry - SOF'!E$64,0)</f>
        <v>0</v>
      </c>
      <c r="I363" s="1687">
        <f t="shared" si="63"/>
        <v>1496527</v>
      </c>
      <c r="J363" s="2212" t="e">
        <f>IF('Report-M&amp;O1819'!C$18-'Report-SOF1819'!D$55&lt;=0,0,'Report-M&amp;O1819'!C$18-'Report-SOF1819'!D$55)</f>
        <v>#DIV/0!</v>
      </c>
      <c r="K363" s="2452" t="e">
        <f t="shared" si="64"/>
        <v>#DIV/0!</v>
      </c>
      <c r="L363" s="2449">
        <f>IF(A363='Data Entry - SOF'!B$2,'Data Entry - SOF'!G$64,0)</f>
        <v>0</v>
      </c>
      <c r="M363" s="1371">
        <f t="shared" si="65"/>
        <v>1496527</v>
      </c>
      <c r="N363" s="2212" t="e">
        <f>IF('Report-M&amp;O1920'!C$18-'Report-SOF1920'!D$55&lt;=0,0,'Report-M&amp;O1920'!C$18-'Report-SOF1920'!D$55)</f>
        <v>#DIV/0!</v>
      </c>
      <c r="O363" s="2452" t="e">
        <f t="shared" si="66"/>
        <v>#DIV/0!</v>
      </c>
      <c r="P363" s="2449">
        <f>IF(A363='Data Entry - SOF'!B$2,'Data Entry - SOF'!I$64,0)</f>
        <v>0</v>
      </c>
      <c r="Q363" s="1687">
        <f t="shared" si="60"/>
        <v>1496527</v>
      </c>
      <c r="R363" s="2212" t="e">
        <f>IF('Report-M&amp;O2021'!C$18-'Report-SOF2021'!D$55&lt;=0,0,'Report-M&amp;O2021'!C$18-'Report-SOF2021'!D$55)</f>
        <v>#DIV/0!</v>
      </c>
      <c r="S363" s="2452" t="e">
        <f t="shared" si="67"/>
        <v>#DIV/0!</v>
      </c>
      <c r="T363" s="1708">
        <f>IF(A363='Data Entry - SOF'!B$2,'Data Entry - SOF'!K$64,0)</f>
        <v>0</v>
      </c>
      <c r="U363" s="1687">
        <f t="shared" si="70"/>
        <v>1496527</v>
      </c>
      <c r="V363" s="2212" t="e">
        <f>IF('Report-M&amp;O2122'!C$18-'Report-SOF2122'!D$55&lt;=0,0,'Report-M&amp;O2122'!C$18-'Report-SOF2122'!D$55)</f>
        <v>#DIV/0!</v>
      </c>
      <c r="W363" s="2452" t="e">
        <f t="shared" si="68"/>
        <v>#DIV/0!</v>
      </c>
      <c r="X363" s="1708">
        <f>IF(A363='Data Entry - SOF'!B$2,'Data Entry - SOF'!M$64,0)</f>
        <v>0</v>
      </c>
      <c r="Y363" s="1371" t="e">
        <f t="shared" si="69"/>
        <v>#DIV/0!</v>
      </c>
      <c r="Z363" s="2212" t="e">
        <f>IF('Report-M&amp;O2223'!C$18-'Report-SOF2223'!D$55&lt;=0,0,'Report-M&amp;O2223'!C$18-'Report-SOF2223'!D$55)</f>
        <v>#DIV/0!</v>
      </c>
      <c r="AA363" s="1708">
        <f>IF(A363='Data Entry - SOF'!B$2,'Data Entry - SOF'!O$64,0)</f>
        <v>0</v>
      </c>
    </row>
    <row r="364" spans="1:27" ht="15.75">
      <c r="A364" s="1076" t="s">
        <v>243</v>
      </c>
      <c r="B364">
        <v>3481639</v>
      </c>
      <c r="C364" s="2452" t="e">
        <f>#REF!+#REF!</f>
        <v>#REF!</v>
      </c>
      <c r="D364" s="2449">
        <f>IF(A364='Data Entry - SOF'!B$2,'Data Entry - SOF'!C$64,0)</f>
        <v>0</v>
      </c>
      <c r="E364" s="2450">
        <f t="shared" si="61"/>
        <v>3481639</v>
      </c>
      <c r="F364" s="2212" t="e">
        <f>IF('Report-M&amp;O1718'!C$18-'Report-SOF1718'!D$55&lt;=0,0,'Report-M&amp;O1718'!C$18-'Report-SOF1718'!D$55)</f>
        <v>#DIV/0!</v>
      </c>
      <c r="G364" s="2452" t="e">
        <f t="shared" si="62"/>
        <v>#DIV/0!</v>
      </c>
      <c r="H364" s="2449">
        <f>IF(A364='Data Entry - SOF'!B$2,'Data Entry - SOF'!E$64,0)</f>
        <v>0</v>
      </c>
      <c r="I364" s="1687">
        <f t="shared" si="63"/>
        <v>3481639</v>
      </c>
      <c r="J364" s="2212" t="e">
        <f>IF('Report-M&amp;O1819'!C$18-'Report-SOF1819'!D$55&lt;=0,0,'Report-M&amp;O1819'!C$18-'Report-SOF1819'!D$55)</f>
        <v>#DIV/0!</v>
      </c>
      <c r="K364" s="2452" t="e">
        <f t="shared" si="64"/>
        <v>#DIV/0!</v>
      </c>
      <c r="L364" s="2449">
        <f>IF(A364='Data Entry - SOF'!B$2,'Data Entry - SOF'!G$64,0)</f>
        <v>0</v>
      </c>
      <c r="M364" s="1371">
        <f t="shared" si="65"/>
        <v>3481639</v>
      </c>
      <c r="N364" s="2212" t="e">
        <f>IF('Report-M&amp;O1920'!C$18-'Report-SOF1920'!D$55&lt;=0,0,'Report-M&amp;O1920'!C$18-'Report-SOF1920'!D$55)</f>
        <v>#DIV/0!</v>
      </c>
      <c r="O364" s="2452" t="e">
        <f t="shared" si="66"/>
        <v>#DIV/0!</v>
      </c>
      <c r="P364" s="2449">
        <f>IF(A364='Data Entry - SOF'!B$2,'Data Entry - SOF'!I$64,0)</f>
        <v>0</v>
      </c>
      <c r="Q364" s="1687">
        <f t="shared" si="60"/>
        <v>3481639</v>
      </c>
      <c r="R364" s="2212" t="e">
        <f>IF('Report-M&amp;O2021'!C$18-'Report-SOF2021'!D$55&lt;=0,0,'Report-M&amp;O2021'!C$18-'Report-SOF2021'!D$55)</f>
        <v>#DIV/0!</v>
      </c>
      <c r="S364" s="2452" t="e">
        <f t="shared" si="67"/>
        <v>#DIV/0!</v>
      </c>
      <c r="T364" s="1708">
        <f>IF(A364='Data Entry - SOF'!B$2,'Data Entry - SOF'!K$64,0)</f>
        <v>0</v>
      </c>
      <c r="U364" s="1687">
        <f t="shared" si="70"/>
        <v>3481639</v>
      </c>
      <c r="V364" s="2212" t="e">
        <f>IF('Report-M&amp;O2122'!C$18-'Report-SOF2122'!D$55&lt;=0,0,'Report-M&amp;O2122'!C$18-'Report-SOF2122'!D$55)</f>
        <v>#DIV/0!</v>
      </c>
      <c r="W364" s="2452" t="e">
        <f t="shared" si="68"/>
        <v>#DIV/0!</v>
      </c>
      <c r="X364" s="1708">
        <f>IF(A364='Data Entry - SOF'!B$2,'Data Entry - SOF'!M$64,0)</f>
        <v>0</v>
      </c>
      <c r="Y364" s="1371" t="e">
        <f t="shared" si="69"/>
        <v>#DIV/0!</v>
      </c>
      <c r="Z364" s="2212" t="e">
        <f>IF('Report-M&amp;O2223'!C$18-'Report-SOF2223'!D$55&lt;=0,0,'Report-M&amp;O2223'!C$18-'Report-SOF2223'!D$55)</f>
        <v>#DIV/0!</v>
      </c>
      <c r="AA364" s="1708">
        <f>IF(A364='Data Entry - SOF'!B$2,'Data Entry - SOF'!O$64,0)</f>
        <v>0</v>
      </c>
    </row>
    <row r="365" spans="1:27" ht="15.75">
      <c r="A365" s="1076" t="s">
        <v>2977</v>
      </c>
      <c r="B365">
        <v>3485416</v>
      </c>
      <c r="C365" s="2452" t="e">
        <f>#REF!+#REF!</f>
        <v>#REF!</v>
      </c>
      <c r="D365" s="2449">
        <f>IF(A365='Data Entry - SOF'!B$2,'Data Entry - SOF'!C$64,0)</f>
        <v>0</v>
      </c>
      <c r="E365" s="2450">
        <f t="shared" si="61"/>
        <v>3485416</v>
      </c>
      <c r="F365" s="2212" t="e">
        <f>IF('Report-M&amp;O1718'!C$18-'Report-SOF1718'!D$55&lt;=0,0,'Report-M&amp;O1718'!C$18-'Report-SOF1718'!D$55)</f>
        <v>#DIV/0!</v>
      </c>
      <c r="G365" s="2452" t="e">
        <f t="shared" si="62"/>
        <v>#DIV/0!</v>
      </c>
      <c r="H365" s="2449">
        <f>IF(A365='Data Entry - SOF'!B$2,'Data Entry - SOF'!E$64,0)</f>
        <v>0</v>
      </c>
      <c r="I365" s="1687">
        <f t="shared" si="63"/>
        <v>3485416</v>
      </c>
      <c r="J365" s="2212" t="e">
        <f>IF('Report-M&amp;O1819'!C$18-'Report-SOF1819'!D$55&lt;=0,0,'Report-M&amp;O1819'!C$18-'Report-SOF1819'!D$55)</f>
        <v>#DIV/0!</v>
      </c>
      <c r="K365" s="2452" t="e">
        <f t="shared" si="64"/>
        <v>#DIV/0!</v>
      </c>
      <c r="L365" s="2449">
        <f>IF(A365='Data Entry - SOF'!B$2,'Data Entry - SOF'!G$64,0)</f>
        <v>0</v>
      </c>
      <c r="M365" s="1371">
        <f t="shared" si="65"/>
        <v>3485416</v>
      </c>
      <c r="N365" s="2212" t="e">
        <f>IF('Report-M&amp;O1920'!C$18-'Report-SOF1920'!D$55&lt;=0,0,'Report-M&amp;O1920'!C$18-'Report-SOF1920'!D$55)</f>
        <v>#DIV/0!</v>
      </c>
      <c r="O365" s="2452" t="e">
        <f t="shared" si="66"/>
        <v>#DIV/0!</v>
      </c>
      <c r="P365" s="2449">
        <f>IF(A365='Data Entry - SOF'!B$2,'Data Entry - SOF'!I$64,0)</f>
        <v>0</v>
      </c>
      <c r="Q365" s="1687">
        <f t="shared" si="60"/>
        <v>3485416</v>
      </c>
      <c r="R365" s="2212" t="e">
        <f>IF('Report-M&amp;O2021'!C$18-'Report-SOF2021'!D$55&lt;=0,0,'Report-M&amp;O2021'!C$18-'Report-SOF2021'!D$55)</f>
        <v>#DIV/0!</v>
      </c>
      <c r="S365" s="2452" t="e">
        <f t="shared" si="67"/>
        <v>#DIV/0!</v>
      </c>
      <c r="T365" s="1708">
        <f>IF(A365='Data Entry - SOF'!B$2,'Data Entry - SOF'!K$64,0)</f>
        <v>0</v>
      </c>
      <c r="U365" s="1687">
        <f t="shared" si="70"/>
        <v>3485416</v>
      </c>
      <c r="V365" s="2212" t="e">
        <f>IF('Report-M&amp;O2122'!C$18-'Report-SOF2122'!D$55&lt;=0,0,'Report-M&amp;O2122'!C$18-'Report-SOF2122'!D$55)</f>
        <v>#DIV/0!</v>
      </c>
      <c r="W365" s="2452" t="e">
        <f t="shared" si="68"/>
        <v>#DIV/0!</v>
      </c>
      <c r="X365" s="1708">
        <f>IF(A365='Data Entry - SOF'!B$2,'Data Entry - SOF'!M$64,0)</f>
        <v>0</v>
      </c>
      <c r="Y365" s="1371" t="e">
        <f t="shared" si="69"/>
        <v>#DIV/0!</v>
      </c>
      <c r="Z365" s="2212" t="e">
        <f>IF('Report-M&amp;O2223'!C$18-'Report-SOF2223'!D$55&lt;=0,0,'Report-M&amp;O2223'!C$18-'Report-SOF2223'!D$55)</f>
        <v>#DIV/0!</v>
      </c>
      <c r="AA365" s="1708">
        <f>IF(A365='Data Entry - SOF'!B$2,'Data Entry - SOF'!O$64,0)</f>
        <v>0</v>
      </c>
    </row>
    <row r="366" spans="1:27" ht="15.75">
      <c r="A366" s="1076" t="s">
        <v>1483</v>
      </c>
      <c r="B366">
        <v>3173234</v>
      </c>
      <c r="C366" s="2452" t="e">
        <f>#REF!+#REF!</f>
        <v>#REF!</v>
      </c>
      <c r="D366" s="2449">
        <f>IF(A366='Data Entry - SOF'!B$2,'Data Entry - SOF'!C$64,0)</f>
        <v>0</v>
      </c>
      <c r="E366" s="2450">
        <f t="shared" si="61"/>
        <v>3173234</v>
      </c>
      <c r="F366" s="2212" t="e">
        <f>IF('Report-M&amp;O1718'!C$18-'Report-SOF1718'!D$55&lt;=0,0,'Report-M&amp;O1718'!C$18-'Report-SOF1718'!D$55)</f>
        <v>#DIV/0!</v>
      </c>
      <c r="G366" s="2452" t="e">
        <f t="shared" si="62"/>
        <v>#DIV/0!</v>
      </c>
      <c r="H366" s="2449">
        <f>IF(A366='Data Entry - SOF'!B$2,'Data Entry - SOF'!E$64,0)</f>
        <v>0</v>
      </c>
      <c r="I366" s="1687">
        <f t="shared" si="63"/>
        <v>3173234</v>
      </c>
      <c r="J366" s="2212" t="e">
        <f>IF('Report-M&amp;O1819'!C$18-'Report-SOF1819'!D$55&lt;=0,0,'Report-M&amp;O1819'!C$18-'Report-SOF1819'!D$55)</f>
        <v>#DIV/0!</v>
      </c>
      <c r="K366" s="2452" t="e">
        <f t="shared" si="64"/>
        <v>#DIV/0!</v>
      </c>
      <c r="L366" s="2449">
        <f>IF(A366='Data Entry - SOF'!B$2,'Data Entry - SOF'!G$64,0)</f>
        <v>0</v>
      </c>
      <c r="M366" s="1371">
        <f t="shared" si="65"/>
        <v>3173234</v>
      </c>
      <c r="N366" s="2212" t="e">
        <f>IF('Report-M&amp;O1920'!C$18-'Report-SOF1920'!D$55&lt;=0,0,'Report-M&amp;O1920'!C$18-'Report-SOF1920'!D$55)</f>
        <v>#DIV/0!</v>
      </c>
      <c r="O366" s="2452" t="e">
        <f t="shared" si="66"/>
        <v>#DIV/0!</v>
      </c>
      <c r="P366" s="2449">
        <f>IF(A366='Data Entry - SOF'!B$2,'Data Entry - SOF'!I$64,0)</f>
        <v>0</v>
      </c>
      <c r="Q366" s="1687">
        <f t="shared" si="60"/>
        <v>3173234</v>
      </c>
      <c r="R366" s="2212" t="e">
        <f>IF('Report-M&amp;O2021'!C$18-'Report-SOF2021'!D$55&lt;=0,0,'Report-M&amp;O2021'!C$18-'Report-SOF2021'!D$55)</f>
        <v>#DIV/0!</v>
      </c>
      <c r="S366" s="2452" t="e">
        <f t="shared" si="67"/>
        <v>#DIV/0!</v>
      </c>
      <c r="T366" s="1708">
        <f>IF(A366='Data Entry - SOF'!B$2,'Data Entry - SOF'!K$64,0)</f>
        <v>0</v>
      </c>
      <c r="U366" s="1687">
        <f t="shared" si="70"/>
        <v>3173234</v>
      </c>
      <c r="V366" s="2212" t="e">
        <f>IF('Report-M&amp;O2122'!C$18-'Report-SOF2122'!D$55&lt;=0,0,'Report-M&amp;O2122'!C$18-'Report-SOF2122'!D$55)</f>
        <v>#DIV/0!</v>
      </c>
      <c r="W366" s="2452" t="e">
        <f t="shared" si="68"/>
        <v>#DIV/0!</v>
      </c>
      <c r="X366" s="1708">
        <f>IF(A366='Data Entry - SOF'!B$2,'Data Entry - SOF'!M$64,0)</f>
        <v>0</v>
      </c>
      <c r="Y366" s="1371" t="e">
        <f t="shared" si="69"/>
        <v>#DIV/0!</v>
      </c>
      <c r="Z366" s="2212" t="e">
        <f>IF('Report-M&amp;O2223'!C$18-'Report-SOF2223'!D$55&lt;=0,0,'Report-M&amp;O2223'!C$18-'Report-SOF2223'!D$55)</f>
        <v>#DIV/0!</v>
      </c>
      <c r="AA366" s="1708">
        <f>IF(A366='Data Entry - SOF'!B$2,'Data Entry - SOF'!O$64,0)</f>
        <v>0</v>
      </c>
    </row>
    <row r="367" spans="1:27" ht="15.75">
      <c r="A367" s="1076" t="s">
        <v>1461</v>
      </c>
      <c r="B367">
        <v>1210944</v>
      </c>
      <c r="C367" s="2452" t="e">
        <f>#REF!+#REF!</f>
        <v>#REF!</v>
      </c>
      <c r="D367" s="2449">
        <f>IF(A367='Data Entry - SOF'!B$2,'Data Entry - SOF'!C$64,0)</f>
        <v>0</v>
      </c>
      <c r="E367" s="2450">
        <f t="shared" si="61"/>
        <v>1210944</v>
      </c>
      <c r="F367" s="2212" t="e">
        <f>IF('Report-M&amp;O1718'!C$18-'Report-SOF1718'!D$55&lt;=0,0,'Report-M&amp;O1718'!C$18-'Report-SOF1718'!D$55)</f>
        <v>#DIV/0!</v>
      </c>
      <c r="G367" s="2452" t="e">
        <f t="shared" si="62"/>
        <v>#DIV/0!</v>
      </c>
      <c r="H367" s="2449">
        <f>IF(A367='Data Entry - SOF'!B$2,'Data Entry - SOF'!E$64,0)</f>
        <v>0</v>
      </c>
      <c r="I367" s="1687">
        <f t="shared" si="63"/>
        <v>1210944</v>
      </c>
      <c r="J367" s="2212" t="e">
        <f>IF('Report-M&amp;O1819'!C$18-'Report-SOF1819'!D$55&lt;=0,0,'Report-M&amp;O1819'!C$18-'Report-SOF1819'!D$55)</f>
        <v>#DIV/0!</v>
      </c>
      <c r="K367" s="2452" t="e">
        <f t="shared" si="64"/>
        <v>#DIV/0!</v>
      </c>
      <c r="L367" s="2449">
        <f>IF(A367='Data Entry - SOF'!B$2,'Data Entry - SOF'!G$64,0)</f>
        <v>0</v>
      </c>
      <c r="M367" s="1371">
        <f t="shared" si="65"/>
        <v>1210944</v>
      </c>
      <c r="N367" s="2212" t="e">
        <f>IF('Report-M&amp;O1920'!C$18-'Report-SOF1920'!D$55&lt;=0,0,'Report-M&amp;O1920'!C$18-'Report-SOF1920'!D$55)</f>
        <v>#DIV/0!</v>
      </c>
      <c r="O367" s="2452" t="e">
        <f t="shared" si="66"/>
        <v>#DIV/0!</v>
      </c>
      <c r="P367" s="2449">
        <f>IF(A367='Data Entry - SOF'!B$2,'Data Entry - SOF'!I$64,0)</f>
        <v>0</v>
      </c>
      <c r="Q367" s="1687">
        <f t="shared" si="60"/>
        <v>1210944</v>
      </c>
      <c r="R367" s="2212" t="e">
        <f>IF('Report-M&amp;O2021'!C$18-'Report-SOF2021'!D$55&lt;=0,0,'Report-M&amp;O2021'!C$18-'Report-SOF2021'!D$55)</f>
        <v>#DIV/0!</v>
      </c>
      <c r="S367" s="2452" t="e">
        <f t="shared" si="67"/>
        <v>#DIV/0!</v>
      </c>
      <c r="T367" s="1708">
        <f>IF(A367='Data Entry - SOF'!B$2,'Data Entry - SOF'!K$64,0)</f>
        <v>0</v>
      </c>
      <c r="U367" s="1687">
        <f t="shared" si="70"/>
        <v>1210944</v>
      </c>
      <c r="V367" s="2212" t="e">
        <f>IF('Report-M&amp;O2122'!C$18-'Report-SOF2122'!D$55&lt;=0,0,'Report-M&amp;O2122'!C$18-'Report-SOF2122'!D$55)</f>
        <v>#DIV/0!</v>
      </c>
      <c r="W367" s="2452" t="e">
        <f t="shared" si="68"/>
        <v>#DIV/0!</v>
      </c>
      <c r="X367" s="1708">
        <f>IF(A367='Data Entry - SOF'!B$2,'Data Entry - SOF'!M$64,0)</f>
        <v>0</v>
      </c>
      <c r="Y367" s="1371" t="e">
        <f t="shared" si="69"/>
        <v>#DIV/0!</v>
      </c>
      <c r="Z367" s="2212" t="e">
        <f>IF('Report-M&amp;O2223'!C$18-'Report-SOF2223'!D$55&lt;=0,0,'Report-M&amp;O2223'!C$18-'Report-SOF2223'!D$55)</f>
        <v>#DIV/0!</v>
      </c>
      <c r="AA367" s="1708">
        <f>IF(A367='Data Entry - SOF'!B$2,'Data Entry - SOF'!O$64,0)</f>
        <v>0</v>
      </c>
    </row>
    <row r="368" spans="1:27" ht="15.75">
      <c r="A368" s="1076" t="s">
        <v>1462</v>
      </c>
      <c r="B368">
        <v>3040680</v>
      </c>
      <c r="C368" s="2452" t="e">
        <f>#REF!+#REF!</f>
        <v>#REF!</v>
      </c>
      <c r="D368" s="2449">
        <f>IF(A368='Data Entry - SOF'!B$2,'Data Entry - SOF'!C$64,0)</f>
        <v>0</v>
      </c>
      <c r="E368" s="2450">
        <f t="shared" si="61"/>
        <v>3040680</v>
      </c>
      <c r="F368" s="2212" t="e">
        <f>IF('Report-M&amp;O1718'!C$18-'Report-SOF1718'!D$55&lt;=0,0,'Report-M&amp;O1718'!C$18-'Report-SOF1718'!D$55)</f>
        <v>#DIV/0!</v>
      </c>
      <c r="G368" s="2452" t="e">
        <f t="shared" si="62"/>
        <v>#DIV/0!</v>
      </c>
      <c r="H368" s="2449">
        <f>IF(A368='Data Entry - SOF'!B$2,'Data Entry - SOF'!E$64,0)</f>
        <v>0</v>
      </c>
      <c r="I368" s="1687">
        <f t="shared" si="63"/>
        <v>3040680</v>
      </c>
      <c r="J368" s="2212" t="e">
        <f>IF('Report-M&amp;O1819'!C$18-'Report-SOF1819'!D$55&lt;=0,0,'Report-M&amp;O1819'!C$18-'Report-SOF1819'!D$55)</f>
        <v>#DIV/0!</v>
      </c>
      <c r="K368" s="2452" t="e">
        <f t="shared" si="64"/>
        <v>#DIV/0!</v>
      </c>
      <c r="L368" s="2449">
        <f>IF(A368='Data Entry - SOF'!B$2,'Data Entry - SOF'!G$64,0)</f>
        <v>0</v>
      </c>
      <c r="M368" s="1371">
        <f t="shared" si="65"/>
        <v>3040680</v>
      </c>
      <c r="N368" s="2212" t="e">
        <f>IF('Report-M&amp;O1920'!C$18-'Report-SOF1920'!D$55&lt;=0,0,'Report-M&amp;O1920'!C$18-'Report-SOF1920'!D$55)</f>
        <v>#DIV/0!</v>
      </c>
      <c r="O368" s="2452" t="e">
        <f t="shared" si="66"/>
        <v>#DIV/0!</v>
      </c>
      <c r="P368" s="2449">
        <f>IF(A368='Data Entry - SOF'!B$2,'Data Entry - SOF'!I$64,0)</f>
        <v>0</v>
      </c>
      <c r="Q368" s="1687">
        <f t="shared" si="60"/>
        <v>3040680</v>
      </c>
      <c r="R368" s="2212" t="e">
        <f>IF('Report-M&amp;O2021'!C$18-'Report-SOF2021'!D$55&lt;=0,0,'Report-M&amp;O2021'!C$18-'Report-SOF2021'!D$55)</f>
        <v>#DIV/0!</v>
      </c>
      <c r="S368" s="2452" t="e">
        <f t="shared" si="67"/>
        <v>#DIV/0!</v>
      </c>
      <c r="T368" s="1708">
        <f>IF(A368='Data Entry - SOF'!B$2,'Data Entry - SOF'!K$64,0)</f>
        <v>0</v>
      </c>
      <c r="U368" s="1687">
        <f t="shared" si="70"/>
        <v>3040680</v>
      </c>
      <c r="V368" s="2212" t="e">
        <f>IF('Report-M&amp;O2122'!C$18-'Report-SOF2122'!D$55&lt;=0,0,'Report-M&amp;O2122'!C$18-'Report-SOF2122'!D$55)</f>
        <v>#DIV/0!</v>
      </c>
      <c r="W368" s="2452" t="e">
        <f t="shared" si="68"/>
        <v>#DIV/0!</v>
      </c>
      <c r="X368" s="1708">
        <f>IF(A368='Data Entry - SOF'!B$2,'Data Entry - SOF'!M$64,0)</f>
        <v>0</v>
      </c>
      <c r="Y368" s="1371" t="e">
        <f t="shared" si="69"/>
        <v>#DIV/0!</v>
      </c>
      <c r="Z368" s="2212" t="e">
        <f>IF('Report-M&amp;O2223'!C$18-'Report-SOF2223'!D$55&lt;=0,0,'Report-M&amp;O2223'!C$18-'Report-SOF2223'!D$55)</f>
        <v>#DIV/0!</v>
      </c>
      <c r="AA368" s="1708">
        <f>IF(A368='Data Entry - SOF'!B$2,'Data Entry - SOF'!O$64,0)</f>
        <v>0</v>
      </c>
    </row>
    <row r="369" spans="1:27" ht="15.75">
      <c r="A369" s="1076" t="s">
        <v>1463</v>
      </c>
      <c r="B369">
        <v>14014380</v>
      </c>
      <c r="C369" s="2452" t="e">
        <f>#REF!+#REF!</f>
        <v>#REF!</v>
      </c>
      <c r="D369" s="2449">
        <f>IF(A369='Data Entry - SOF'!B$2,'Data Entry - SOF'!C$64,0)</f>
        <v>0</v>
      </c>
      <c r="E369" s="2450">
        <f t="shared" si="61"/>
        <v>14014380</v>
      </c>
      <c r="F369" s="2212" t="e">
        <f>IF('Report-M&amp;O1718'!C$18-'Report-SOF1718'!D$55&lt;=0,0,'Report-M&amp;O1718'!C$18-'Report-SOF1718'!D$55)</f>
        <v>#DIV/0!</v>
      </c>
      <c r="G369" s="2452" t="e">
        <f t="shared" si="62"/>
        <v>#DIV/0!</v>
      </c>
      <c r="H369" s="2449">
        <f>IF(A369='Data Entry - SOF'!B$2,'Data Entry - SOF'!E$64,0)</f>
        <v>0</v>
      </c>
      <c r="I369" s="1687">
        <f t="shared" si="63"/>
        <v>14014380</v>
      </c>
      <c r="J369" s="2212" t="e">
        <f>IF('Report-M&amp;O1819'!C$18-'Report-SOF1819'!D$55&lt;=0,0,'Report-M&amp;O1819'!C$18-'Report-SOF1819'!D$55)</f>
        <v>#DIV/0!</v>
      </c>
      <c r="K369" s="2452" t="e">
        <f t="shared" si="64"/>
        <v>#DIV/0!</v>
      </c>
      <c r="L369" s="2449">
        <f>IF(A369='Data Entry - SOF'!B$2,'Data Entry - SOF'!G$64,0)</f>
        <v>0</v>
      </c>
      <c r="M369" s="1371">
        <f t="shared" si="65"/>
        <v>14014380</v>
      </c>
      <c r="N369" s="2212" t="e">
        <f>IF('Report-M&amp;O1920'!C$18-'Report-SOF1920'!D$55&lt;=0,0,'Report-M&amp;O1920'!C$18-'Report-SOF1920'!D$55)</f>
        <v>#DIV/0!</v>
      </c>
      <c r="O369" s="2452" t="e">
        <f t="shared" si="66"/>
        <v>#DIV/0!</v>
      </c>
      <c r="P369" s="2449">
        <f>IF(A369='Data Entry - SOF'!B$2,'Data Entry - SOF'!I$64,0)</f>
        <v>0</v>
      </c>
      <c r="Q369" s="1687">
        <f t="shared" si="60"/>
        <v>14014380</v>
      </c>
      <c r="R369" s="2212" t="e">
        <f>IF('Report-M&amp;O2021'!C$18-'Report-SOF2021'!D$55&lt;=0,0,'Report-M&amp;O2021'!C$18-'Report-SOF2021'!D$55)</f>
        <v>#DIV/0!</v>
      </c>
      <c r="S369" s="2452" t="e">
        <f t="shared" si="67"/>
        <v>#DIV/0!</v>
      </c>
      <c r="T369" s="1708">
        <f>IF(A369='Data Entry - SOF'!B$2,'Data Entry - SOF'!K$64,0)</f>
        <v>0</v>
      </c>
      <c r="U369" s="1687">
        <f t="shared" si="70"/>
        <v>14014380</v>
      </c>
      <c r="V369" s="2212" t="e">
        <f>IF('Report-M&amp;O2122'!C$18-'Report-SOF2122'!D$55&lt;=0,0,'Report-M&amp;O2122'!C$18-'Report-SOF2122'!D$55)</f>
        <v>#DIV/0!</v>
      </c>
      <c r="W369" s="2452" t="e">
        <f t="shared" si="68"/>
        <v>#DIV/0!</v>
      </c>
      <c r="X369" s="1708">
        <f>IF(A369='Data Entry - SOF'!B$2,'Data Entry - SOF'!M$64,0)</f>
        <v>0</v>
      </c>
      <c r="Y369" s="1371" t="e">
        <f t="shared" si="69"/>
        <v>#DIV/0!</v>
      </c>
      <c r="Z369" s="2212" t="e">
        <f>IF('Report-M&amp;O2223'!C$18-'Report-SOF2223'!D$55&lt;=0,0,'Report-M&amp;O2223'!C$18-'Report-SOF2223'!D$55)</f>
        <v>#DIV/0!</v>
      </c>
      <c r="AA369" s="1708">
        <f>IF(A369='Data Entry - SOF'!B$2,'Data Entry - SOF'!O$64,0)</f>
        <v>0</v>
      </c>
    </row>
    <row r="370" spans="1:27" ht="15.75">
      <c r="A370" s="1076" t="s">
        <v>498</v>
      </c>
      <c r="B370">
        <v>104152561</v>
      </c>
      <c r="C370" s="2452" t="e">
        <f>#REF!+#REF!</f>
        <v>#REF!</v>
      </c>
      <c r="D370" s="2449">
        <f>IF(A370='Data Entry - SOF'!B$2,'Data Entry - SOF'!C$64,0)</f>
        <v>0</v>
      </c>
      <c r="E370" s="2450">
        <f t="shared" si="61"/>
        <v>104152561</v>
      </c>
      <c r="F370" s="2212" t="e">
        <f>IF('Report-M&amp;O1718'!C$18-'Report-SOF1718'!D$55&lt;=0,0,'Report-M&amp;O1718'!C$18-'Report-SOF1718'!D$55)</f>
        <v>#DIV/0!</v>
      </c>
      <c r="G370" s="2452" t="e">
        <f t="shared" si="62"/>
        <v>#DIV/0!</v>
      </c>
      <c r="H370" s="2449">
        <f>IF(A370='Data Entry - SOF'!B$2,'Data Entry - SOF'!E$64,0)</f>
        <v>0</v>
      </c>
      <c r="I370" s="1687">
        <f t="shared" si="63"/>
        <v>104152561</v>
      </c>
      <c r="J370" s="2212" t="e">
        <f>IF('Report-M&amp;O1819'!C$18-'Report-SOF1819'!D$55&lt;=0,0,'Report-M&amp;O1819'!C$18-'Report-SOF1819'!D$55)</f>
        <v>#DIV/0!</v>
      </c>
      <c r="K370" s="2452" t="e">
        <f t="shared" si="64"/>
        <v>#DIV/0!</v>
      </c>
      <c r="L370" s="2449">
        <f>IF(A370='Data Entry - SOF'!B$2,'Data Entry - SOF'!G$64,0)</f>
        <v>0</v>
      </c>
      <c r="M370" s="1371">
        <f t="shared" si="65"/>
        <v>104152561</v>
      </c>
      <c r="N370" s="2212" t="e">
        <f>IF('Report-M&amp;O1920'!C$18-'Report-SOF1920'!D$55&lt;=0,0,'Report-M&amp;O1920'!C$18-'Report-SOF1920'!D$55)</f>
        <v>#DIV/0!</v>
      </c>
      <c r="O370" s="2452" t="e">
        <f t="shared" si="66"/>
        <v>#DIV/0!</v>
      </c>
      <c r="P370" s="2449">
        <f>IF(A370='Data Entry - SOF'!B$2,'Data Entry - SOF'!I$64,0)</f>
        <v>0</v>
      </c>
      <c r="Q370" s="1687">
        <f t="shared" si="60"/>
        <v>104152561</v>
      </c>
      <c r="R370" s="2212" t="e">
        <f>IF('Report-M&amp;O2021'!C$18-'Report-SOF2021'!D$55&lt;=0,0,'Report-M&amp;O2021'!C$18-'Report-SOF2021'!D$55)</f>
        <v>#DIV/0!</v>
      </c>
      <c r="S370" s="2452" t="e">
        <f t="shared" si="67"/>
        <v>#DIV/0!</v>
      </c>
      <c r="T370" s="1708">
        <f>IF(A370='Data Entry - SOF'!B$2,'Data Entry - SOF'!K$64,0)</f>
        <v>0</v>
      </c>
      <c r="U370" s="1687">
        <f t="shared" si="70"/>
        <v>104152561</v>
      </c>
      <c r="V370" s="2212" t="e">
        <f>IF('Report-M&amp;O2122'!C$18-'Report-SOF2122'!D$55&lt;=0,0,'Report-M&amp;O2122'!C$18-'Report-SOF2122'!D$55)</f>
        <v>#DIV/0!</v>
      </c>
      <c r="W370" s="2452" t="e">
        <f t="shared" si="68"/>
        <v>#DIV/0!</v>
      </c>
      <c r="X370" s="1708">
        <f>IF(A370='Data Entry - SOF'!B$2,'Data Entry - SOF'!M$64,0)</f>
        <v>0</v>
      </c>
      <c r="Y370" s="1371" t="e">
        <f t="shared" si="69"/>
        <v>#DIV/0!</v>
      </c>
      <c r="Z370" s="2212" t="e">
        <f>IF('Report-M&amp;O2223'!C$18-'Report-SOF2223'!D$55&lt;=0,0,'Report-M&amp;O2223'!C$18-'Report-SOF2223'!D$55)</f>
        <v>#DIV/0!</v>
      </c>
      <c r="AA370" s="1708">
        <f>IF(A370='Data Entry - SOF'!B$2,'Data Entry - SOF'!O$64,0)</f>
        <v>0</v>
      </c>
    </row>
    <row r="371" spans="1:27" ht="15.75">
      <c r="A371" s="1076" t="s">
        <v>2504</v>
      </c>
      <c r="B371">
        <v>16577141</v>
      </c>
      <c r="C371" s="2452" t="e">
        <f>#REF!+#REF!</f>
        <v>#REF!</v>
      </c>
      <c r="D371" s="2449">
        <f>IF(A371='Data Entry - SOF'!B$2,'Data Entry - SOF'!C$64,0)</f>
        <v>0</v>
      </c>
      <c r="E371" s="2450">
        <f t="shared" si="61"/>
        <v>16577141</v>
      </c>
      <c r="F371" s="2212" t="e">
        <f>IF('Report-M&amp;O1718'!C$18-'Report-SOF1718'!D$55&lt;=0,0,'Report-M&amp;O1718'!C$18-'Report-SOF1718'!D$55)</f>
        <v>#DIV/0!</v>
      </c>
      <c r="G371" s="2452" t="e">
        <f t="shared" si="62"/>
        <v>#DIV/0!</v>
      </c>
      <c r="H371" s="2449">
        <f>IF(A371='Data Entry - SOF'!B$2,'Data Entry - SOF'!E$64,0)</f>
        <v>0</v>
      </c>
      <c r="I371" s="1687">
        <f t="shared" si="63"/>
        <v>16577141</v>
      </c>
      <c r="J371" s="2212" t="e">
        <f>IF('Report-M&amp;O1819'!C$18-'Report-SOF1819'!D$55&lt;=0,0,'Report-M&amp;O1819'!C$18-'Report-SOF1819'!D$55)</f>
        <v>#DIV/0!</v>
      </c>
      <c r="K371" s="2452" t="e">
        <f t="shared" si="64"/>
        <v>#DIV/0!</v>
      </c>
      <c r="L371" s="2449">
        <f>IF(A371='Data Entry - SOF'!B$2,'Data Entry - SOF'!G$64,0)</f>
        <v>0</v>
      </c>
      <c r="M371" s="1371">
        <f t="shared" si="65"/>
        <v>16577141</v>
      </c>
      <c r="N371" s="2212" t="e">
        <f>IF('Report-M&amp;O1920'!C$18-'Report-SOF1920'!D$55&lt;=0,0,'Report-M&amp;O1920'!C$18-'Report-SOF1920'!D$55)</f>
        <v>#DIV/0!</v>
      </c>
      <c r="O371" s="2452" t="e">
        <f t="shared" si="66"/>
        <v>#DIV/0!</v>
      </c>
      <c r="P371" s="2449">
        <f>IF(A371='Data Entry - SOF'!B$2,'Data Entry - SOF'!I$64,0)</f>
        <v>0</v>
      </c>
      <c r="Q371" s="1687">
        <f t="shared" si="60"/>
        <v>16577141</v>
      </c>
      <c r="R371" s="2212" t="e">
        <f>IF('Report-M&amp;O2021'!C$18-'Report-SOF2021'!D$55&lt;=0,0,'Report-M&amp;O2021'!C$18-'Report-SOF2021'!D$55)</f>
        <v>#DIV/0!</v>
      </c>
      <c r="S371" s="2452" t="e">
        <f t="shared" si="67"/>
        <v>#DIV/0!</v>
      </c>
      <c r="T371" s="1708">
        <f>IF(A371='Data Entry - SOF'!B$2,'Data Entry - SOF'!K$64,0)</f>
        <v>0</v>
      </c>
      <c r="U371" s="1687">
        <f t="shared" si="70"/>
        <v>16577141</v>
      </c>
      <c r="V371" s="2212" t="e">
        <f>IF('Report-M&amp;O2122'!C$18-'Report-SOF2122'!D$55&lt;=0,0,'Report-M&amp;O2122'!C$18-'Report-SOF2122'!D$55)</f>
        <v>#DIV/0!</v>
      </c>
      <c r="W371" s="2452" t="e">
        <f t="shared" si="68"/>
        <v>#DIV/0!</v>
      </c>
      <c r="X371" s="1708">
        <f>IF(A371='Data Entry - SOF'!B$2,'Data Entry - SOF'!M$64,0)</f>
        <v>0</v>
      </c>
      <c r="Y371" s="1371" t="e">
        <f t="shared" si="69"/>
        <v>#DIV/0!</v>
      </c>
      <c r="Z371" s="2212" t="e">
        <f>IF('Report-M&amp;O2223'!C$18-'Report-SOF2223'!D$55&lt;=0,0,'Report-M&amp;O2223'!C$18-'Report-SOF2223'!D$55)</f>
        <v>#DIV/0!</v>
      </c>
      <c r="AA371" s="1708">
        <f>IF(A371='Data Entry - SOF'!B$2,'Data Entry - SOF'!O$64,0)</f>
        <v>0</v>
      </c>
    </row>
    <row r="372" spans="1:27" ht="15.75">
      <c r="A372" s="1076" t="s">
        <v>3035</v>
      </c>
      <c r="B372">
        <v>2867102</v>
      </c>
      <c r="C372" s="2452" t="e">
        <f>#REF!+#REF!</f>
        <v>#REF!</v>
      </c>
      <c r="D372" s="2449">
        <f>IF(A372='Data Entry - SOF'!B$2,'Data Entry - SOF'!C$64,0)</f>
        <v>0</v>
      </c>
      <c r="E372" s="2450">
        <f t="shared" si="61"/>
        <v>2867102</v>
      </c>
      <c r="F372" s="2212" t="e">
        <f>IF('Report-M&amp;O1718'!C$18-'Report-SOF1718'!D$55&lt;=0,0,'Report-M&amp;O1718'!C$18-'Report-SOF1718'!D$55)</f>
        <v>#DIV/0!</v>
      </c>
      <c r="G372" s="2452" t="e">
        <f t="shared" si="62"/>
        <v>#DIV/0!</v>
      </c>
      <c r="H372" s="2449">
        <f>IF(A372='Data Entry - SOF'!B$2,'Data Entry - SOF'!E$64,0)</f>
        <v>0</v>
      </c>
      <c r="I372" s="1687">
        <f t="shared" si="63"/>
        <v>2867102</v>
      </c>
      <c r="J372" s="2212" t="e">
        <f>IF('Report-M&amp;O1819'!C$18-'Report-SOF1819'!D$55&lt;=0,0,'Report-M&amp;O1819'!C$18-'Report-SOF1819'!D$55)</f>
        <v>#DIV/0!</v>
      </c>
      <c r="K372" s="2452" t="e">
        <f t="shared" si="64"/>
        <v>#DIV/0!</v>
      </c>
      <c r="L372" s="2449">
        <f>IF(A372='Data Entry - SOF'!B$2,'Data Entry - SOF'!G$64,0)</f>
        <v>0</v>
      </c>
      <c r="M372" s="1371">
        <f t="shared" si="65"/>
        <v>2867102</v>
      </c>
      <c r="N372" s="2212" t="e">
        <f>IF('Report-M&amp;O1920'!C$18-'Report-SOF1920'!D$55&lt;=0,0,'Report-M&amp;O1920'!C$18-'Report-SOF1920'!D$55)</f>
        <v>#DIV/0!</v>
      </c>
      <c r="O372" s="2452" t="e">
        <f t="shared" si="66"/>
        <v>#DIV/0!</v>
      </c>
      <c r="P372" s="2449">
        <f>IF(A372='Data Entry - SOF'!B$2,'Data Entry - SOF'!I$64,0)</f>
        <v>0</v>
      </c>
      <c r="Q372" s="1687">
        <f t="shared" si="60"/>
        <v>2867102</v>
      </c>
      <c r="R372" s="2212" t="e">
        <f>IF('Report-M&amp;O2021'!C$18-'Report-SOF2021'!D$55&lt;=0,0,'Report-M&amp;O2021'!C$18-'Report-SOF2021'!D$55)</f>
        <v>#DIV/0!</v>
      </c>
      <c r="S372" s="2452" t="e">
        <f t="shared" si="67"/>
        <v>#DIV/0!</v>
      </c>
      <c r="T372" s="1708">
        <f>IF(A372='Data Entry - SOF'!B$2,'Data Entry - SOF'!K$64,0)</f>
        <v>0</v>
      </c>
      <c r="U372" s="1687">
        <f t="shared" si="70"/>
        <v>2867102</v>
      </c>
      <c r="V372" s="2212" t="e">
        <f>IF('Report-M&amp;O2122'!C$18-'Report-SOF2122'!D$55&lt;=0,0,'Report-M&amp;O2122'!C$18-'Report-SOF2122'!D$55)</f>
        <v>#DIV/0!</v>
      </c>
      <c r="W372" s="2452" t="e">
        <f t="shared" si="68"/>
        <v>#DIV/0!</v>
      </c>
      <c r="X372" s="1708">
        <f>IF(A372='Data Entry - SOF'!B$2,'Data Entry - SOF'!M$64,0)</f>
        <v>0</v>
      </c>
      <c r="Y372" s="1371" t="e">
        <f t="shared" si="69"/>
        <v>#DIV/0!</v>
      </c>
      <c r="Z372" s="2212" t="e">
        <f>IF('Report-M&amp;O2223'!C$18-'Report-SOF2223'!D$55&lt;=0,0,'Report-M&amp;O2223'!C$18-'Report-SOF2223'!D$55)</f>
        <v>#DIV/0!</v>
      </c>
      <c r="AA372" s="1708">
        <f>IF(A372='Data Entry - SOF'!B$2,'Data Entry - SOF'!O$64,0)</f>
        <v>0</v>
      </c>
    </row>
    <row r="373" spans="1:27" ht="15.75">
      <c r="A373" s="1076" t="s">
        <v>1702</v>
      </c>
      <c r="B373">
        <v>2428698</v>
      </c>
      <c r="C373" s="2452" t="e">
        <f>#REF!+#REF!</f>
        <v>#REF!</v>
      </c>
      <c r="D373" s="2449">
        <f>IF(A373='Data Entry - SOF'!B$2,'Data Entry - SOF'!C$64,0)</f>
        <v>0</v>
      </c>
      <c r="E373" s="2450">
        <f t="shared" si="61"/>
        <v>2428698</v>
      </c>
      <c r="F373" s="2212" t="e">
        <f>IF('Report-M&amp;O1718'!C$18-'Report-SOF1718'!D$55&lt;=0,0,'Report-M&amp;O1718'!C$18-'Report-SOF1718'!D$55)</f>
        <v>#DIV/0!</v>
      </c>
      <c r="G373" s="2452" t="e">
        <f t="shared" si="62"/>
        <v>#DIV/0!</v>
      </c>
      <c r="H373" s="2449">
        <f>IF(A373='Data Entry - SOF'!B$2,'Data Entry - SOF'!E$64,0)</f>
        <v>0</v>
      </c>
      <c r="I373" s="1687">
        <f t="shared" si="63"/>
        <v>2428698</v>
      </c>
      <c r="J373" s="2212" t="e">
        <f>IF('Report-M&amp;O1819'!C$18-'Report-SOF1819'!D$55&lt;=0,0,'Report-M&amp;O1819'!C$18-'Report-SOF1819'!D$55)</f>
        <v>#DIV/0!</v>
      </c>
      <c r="K373" s="2452" t="e">
        <f t="shared" si="64"/>
        <v>#DIV/0!</v>
      </c>
      <c r="L373" s="2449">
        <f>IF(A373='Data Entry - SOF'!B$2,'Data Entry - SOF'!G$64,0)</f>
        <v>0</v>
      </c>
      <c r="M373" s="1371">
        <f t="shared" si="65"/>
        <v>2428698</v>
      </c>
      <c r="N373" s="2212" t="e">
        <f>IF('Report-M&amp;O1920'!C$18-'Report-SOF1920'!D$55&lt;=0,0,'Report-M&amp;O1920'!C$18-'Report-SOF1920'!D$55)</f>
        <v>#DIV/0!</v>
      </c>
      <c r="O373" s="2452" t="e">
        <f t="shared" si="66"/>
        <v>#DIV/0!</v>
      </c>
      <c r="P373" s="2449">
        <f>IF(A373='Data Entry - SOF'!B$2,'Data Entry - SOF'!I$64,0)</f>
        <v>0</v>
      </c>
      <c r="Q373" s="1687">
        <f t="shared" si="60"/>
        <v>2428698</v>
      </c>
      <c r="R373" s="2212" t="e">
        <f>IF('Report-M&amp;O2021'!C$18-'Report-SOF2021'!D$55&lt;=0,0,'Report-M&amp;O2021'!C$18-'Report-SOF2021'!D$55)</f>
        <v>#DIV/0!</v>
      </c>
      <c r="S373" s="2452" t="e">
        <f t="shared" si="67"/>
        <v>#DIV/0!</v>
      </c>
      <c r="T373" s="1708">
        <f>IF(A373='Data Entry - SOF'!B$2,'Data Entry - SOF'!K$64,0)</f>
        <v>0</v>
      </c>
      <c r="U373" s="1687">
        <f t="shared" si="70"/>
        <v>2428698</v>
      </c>
      <c r="V373" s="2212" t="e">
        <f>IF('Report-M&amp;O2122'!C$18-'Report-SOF2122'!D$55&lt;=0,0,'Report-M&amp;O2122'!C$18-'Report-SOF2122'!D$55)</f>
        <v>#DIV/0!</v>
      </c>
      <c r="W373" s="2452" t="e">
        <f t="shared" si="68"/>
        <v>#DIV/0!</v>
      </c>
      <c r="X373" s="1708">
        <f>IF(A373='Data Entry - SOF'!B$2,'Data Entry - SOF'!M$64,0)</f>
        <v>0</v>
      </c>
      <c r="Y373" s="1371" t="e">
        <f t="shared" si="69"/>
        <v>#DIV/0!</v>
      </c>
      <c r="Z373" s="2212" t="e">
        <f>IF('Report-M&amp;O2223'!C$18-'Report-SOF2223'!D$55&lt;=0,0,'Report-M&amp;O2223'!C$18-'Report-SOF2223'!D$55)</f>
        <v>#DIV/0!</v>
      </c>
      <c r="AA373" s="1708">
        <f>IF(A373='Data Entry - SOF'!B$2,'Data Entry - SOF'!O$64,0)</f>
        <v>0</v>
      </c>
    </row>
    <row r="374" spans="1:27" ht="15.75">
      <c r="A374" s="1076" t="s">
        <v>3036</v>
      </c>
      <c r="B374">
        <v>1957005</v>
      </c>
      <c r="C374" s="2452" t="e">
        <f>#REF!+#REF!</f>
        <v>#REF!</v>
      </c>
      <c r="D374" s="2449">
        <f>IF(A374='Data Entry - SOF'!B$2,'Data Entry - SOF'!C$64,0)</f>
        <v>0</v>
      </c>
      <c r="E374" s="2450">
        <f t="shared" si="61"/>
        <v>1957005</v>
      </c>
      <c r="F374" s="2212" t="e">
        <f>IF('Report-M&amp;O1718'!C$18-'Report-SOF1718'!D$55&lt;=0,0,'Report-M&amp;O1718'!C$18-'Report-SOF1718'!D$55)</f>
        <v>#DIV/0!</v>
      </c>
      <c r="G374" s="2452" t="e">
        <f t="shared" si="62"/>
        <v>#DIV/0!</v>
      </c>
      <c r="H374" s="2449">
        <f>IF(A374='Data Entry - SOF'!B$2,'Data Entry - SOF'!E$64,0)</f>
        <v>0</v>
      </c>
      <c r="I374" s="1687">
        <f t="shared" si="63"/>
        <v>1957005</v>
      </c>
      <c r="J374" s="2212" t="e">
        <f>IF('Report-M&amp;O1819'!C$18-'Report-SOF1819'!D$55&lt;=0,0,'Report-M&amp;O1819'!C$18-'Report-SOF1819'!D$55)</f>
        <v>#DIV/0!</v>
      </c>
      <c r="K374" s="2452" t="e">
        <f t="shared" si="64"/>
        <v>#DIV/0!</v>
      </c>
      <c r="L374" s="2449">
        <f>IF(A374='Data Entry - SOF'!B$2,'Data Entry - SOF'!G$64,0)</f>
        <v>0</v>
      </c>
      <c r="M374" s="1371">
        <f t="shared" si="65"/>
        <v>1957005</v>
      </c>
      <c r="N374" s="2212" t="e">
        <f>IF('Report-M&amp;O1920'!C$18-'Report-SOF1920'!D$55&lt;=0,0,'Report-M&amp;O1920'!C$18-'Report-SOF1920'!D$55)</f>
        <v>#DIV/0!</v>
      </c>
      <c r="O374" s="2452" t="e">
        <f t="shared" si="66"/>
        <v>#DIV/0!</v>
      </c>
      <c r="P374" s="2449">
        <f>IF(A374='Data Entry - SOF'!B$2,'Data Entry - SOF'!I$64,0)</f>
        <v>0</v>
      </c>
      <c r="Q374" s="1687">
        <f t="shared" si="60"/>
        <v>1957005</v>
      </c>
      <c r="R374" s="2212" t="e">
        <f>IF('Report-M&amp;O2021'!C$18-'Report-SOF2021'!D$55&lt;=0,0,'Report-M&amp;O2021'!C$18-'Report-SOF2021'!D$55)</f>
        <v>#DIV/0!</v>
      </c>
      <c r="S374" s="2452" t="e">
        <f t="shared" si="67"/>
        <v>#DIV/0!</v>
      </c>
      <c r="T374" s="1708">
        <f>IF(A374='Data Entry - SOF'!B$2,'Data Entry - SOF'!K$64,0)</f>
        <v>0</v>
      </c>
      <c r="U374" s="1687">
        <f t="shared" si="70"/>
        <v>1957005</v>
      </c>
      <c r="V374" s="2212" t="e">
        <f>IF('Report-M&amp;O2122'!C$18-'Report-SOF2122'!D$55&lt;=0,0,'Report-M&amp;O2122'!C$18-'Report-SOF2122'!D$55)</f>
        <v>#DIV/0!</v>
      </c>
      <c r="W374" s="2452" t="e">
        <f t="shared" si="68"/>
        <v>#DIV/0!</v>
      </c>
      <c r="X374" s="1708">
        <f>IF(A374='Data Entry - SOF'!B$2,'Data Entry - SOF'!M$64,0)</f>
        <v>0</v>
      </c>
      <c r="Y374" s="1371" t="e">
        <f t="shared" si="69"/>
        <v>#DIV/0!</v>
      </c>
      <c r="Z374" s="2212" t="e">
        <f>IF('Report-M&amp;O2223'!C$18-'Report-SOF2223'!D$55&lt;=0,0,'Report-M&amp;O2223'!C$18-'Report-SOF2223'!D$55)</f>
        <v>#DIV/0!</v>
      </c>
      <c r="AA374" s="1708">
        <f>IF(A374='Data Entry - SOF'!B$2,'Data Entry - SOF'!O$64,0)</f>
        <v>0</v>
      </c>
    </row>
    <row r="375" spans="1:27" ht="15.75">
      <c r="A375" s="1076" t="s">
        <v>3037</v>
      </c>
      <c r="B375">
        <v>13439003</v>
      </c>
      <c r="C375" s="2452" t="e">
        <f>#REF!+#REF!</f>
        <v>#REF!</v>
      </c>
      <c r="D375" s="2449">
        <f>IF(A375='Data Entry - SOF'!B$2,'Data Entry - SOF'!C$64,0)</f>
        <v>0</v>
      </c>
      <c r="E375" s="2450">
        <f t="shared" si="61"/>
        <v>13439003</v>
      </c>
      <c r="F375" s="2212" t="e">
        <f>IF('Report-M&amp;O1718'!C$18-'Report-SOF1718'!D$55&lt;=0,0,'Report-M&amp;O1718'!C$18-'Report-SOF1718'!D$55)</f>
        <v>#DIV/0!</v>
      </c>
      <c r="G375" s="2452" t="e">
        <f t="shared" si="62"/>
        <v>#DIV/0!</v>
      </c>
      <c r="H375" s="2449">
        <f>IF(A375='Data Entry - SOF'!B$2,'Data Entry - SOF'!E$64,0)</f>
        <v>0</v>
      </c>
      <c r="I375" s="1687">
        <f t="shared" si="63"/>
        <v>13439003</v>
      </c>
      <c r="J375" s="2212" t="e">
        <f>IF('Report-M&amp;O1819'!C$18-'Report-SOF1819'!D$55&lt;=0,0,'Report-M&amp;O1819'!C$18-'Report-SOF1819'!D$55)</f>
        <v>#DIV/0!</v>
      </c>
      <c r="K375" s="2452" t="e">
        <f t="shared" si="64"/>
        <v>#DIV/0!</v>
      </c>
      <c r="L375" s="2449">
        <f>IF(A375='Data Entry - SOF'!B$2,'Data Entry - SOF'!G$64,0)</f>
        <v>0</v>
      </c>
      <c r="M375" s="1371">
        <f t="shared" si="65"/>
        <v>13439003</v>
      </c>
      <c r="N375" s="2212" t="e">
        <f>IF('Report-M&amp;O1920'!C$18-'Report-SOF1920'!D$55&lt;=0,0,'Report-M&amp;O1920'!C$18-'Report-SOF1920'!D$55)</f>
        <v>#DIV/0!</v>
      </c>
      <c r="O375" s="2452" t="e">
        <f t="shared" si="66"/>
        <v>#DIV/0!</v>
      </c>
      <c r="P375" s="2449">
        <f>IF(A375='Data Entry - SOF'!B$2,'Data Entry - SOF'!I$64,0)</f>
        <v>0</v>
      </c>
      <c r="Q375" s="1687">
        <f t="shared" si="60"/>
        <v>13439003</v>
      </c>
      <c r="R375" s="2212" t="e">
        <f>IF('Report-M&amp;O2021'!C$18-'Report-SOF2021'!D$55&lt;=0,0,'Report-M&amp;O2021'!C$18-'Report-SOF2021'!D$55)</f>
        <v>#DIV/0!</v>
      </c>
      <c r="S375" s="2452" t="e">
        <f t="shared" si="67"/>
        <v>#DIV/0!</v>
      </c>
      <c r="T375" s="1708">
        <f>IF(A375='Data Entry - SOF'!B$2,'Data Entry - SOF'!K$64,0)</f>
        <v>0</v>
      </c>
      <c r="U375" s="1687">
        <f t="shared" si="70"/>
        <v>13439003</v>
      </c>
      <c r="V375" s="2212" t="e">
        <f>IF('Report-M&amp;O2122'!C$18-'Report-SOF2122'!D$55&lt;=0,0,'Report-M&amp;O2122'!C$18-'Report-SOF2122'!D$55)</f>
        <v>#DIV/0!</v>
      </c>
      <c r="W375" s="2452" t="e">
        <f t="shared" si="68"/>
        <v>#DIV/0!</v>
      </c>
      <c r="X375" s="1708">
        <f>IF(A375='Data Entry - SOF'!B$2,'Data Entry - SOF'!M$64,0)</f>
        <v>0</v>
      </c>
      <c r="Y375" s="1371" t="e">
        <f t="shared" si="69"/>
        <v>#DIV/0!</v>
      </c>
      <c r="Z375" s="2212" t="e">
        <f>IF('Report-M&amp;O2223'!C$18-'Report-SOF2223'!D$55&lt;=0,0,'Report-M&amp;O2223'!C$18-'Report-SOF2223'!D$55)</f>
        <v>#DIV/0!</v>
      </c>
      <c r="AA375" s="1708">
        <f>IF(A375='Data Entry - SOF'!B$2,'Data Entry - SOF'!O$64,0)</f>
        <v>0</v>
      </c>
    </row>
    <row r="376" spans="1:27" ht="15.75">
      <c r="A376" s="1076" t="s">
        <v>3038</v>
      </c>
      <c r="B376">
        <v>4261686</v>
      </c>
      <c r="C376" s="2452" t="e">
        <f>#REF!+#REF!</f>
        <v>#REF!</v>
      </c>
      <c r="D376" s="2449">
        <f>IF(A376='Data Entry - SOF'!B$2,'Data Entry - SOF'!C$64,0)</f>
        <v>0</v>
      </c>
      <c r="E376" s="2450">
        <f t="shared" si="61"/>
        <v>4261686</v>
      </c>
      <c r="F376" s="2212" t="e">
        <f>IF('Report-M&amp;O1718'!C$18-'Report-SOF1718'!D$55&lt;=0,0,'Report-M&amp;O1718'!C$18-'Report-SOF1718'!D$55)</f>
        <v>#DIV/0!</v>
      </c>
      <c r="G376" s="2452" t="e">
        <f t="shared" si="62"/>
        <v>#DIV/0!</v>
      </c>
      <c r="H376" s="2449">
        <f>IF(A376='Data Entry - SOF'!B$2,'Data Entry - SOF'!E$64,0)</f>
        <v>0</v>
      </c>
      <c r="I376" s="1687">
        <f t="shared" si="63"/>
        <v>4261686</v>
      </c>
      <c r="J376" s="2212" t="e">
        <f>IF('Report-M&amp;O1819'!C$18-'Report-SOF1819'!D$55&lt;=0,0,'Report-M&amp;O1819'!C$18-'Report-SOF1819'!D$55)</f>
        <v>#DIV/0!</v>
      </c>
      <c r="K376" s="2452" t="e">
        <f t="shared" si="64"/>
        <v>#DIV/0!</v>
      </c>
      <c r="L376" s="2449">
        <f>IF(A376='Data Entry - SOF'!B$2,'Data Entry - SOF'!G$64,0)</f>
        <v>0</v>
      </c>
      <c r="M376" s="1371">
        <f t="shared" si="65"/>
        <v>4261686</v>
      </c>
      <c r="N376" s="2212" t="e">
        <f>IF('Report-M&amp;O1920'!C$18-'Report-SOF1920'!D$55&lt;=0,0,'Report-M&amp;O1920'!C$18-'Report-SOF1920'!D$55)</f>
        <v>#DIV/0!</v>
      </c>
      <c r="O376" s="2452" t="e">
        <f t="shared" si="66"/>
        <v>#DIV/0!</v>
      </c>
      <c r="P376" s="2449">
        <f>IF(A376='Data Entry - SOF'!B$2,'Data Entry - SOF'!I$64,0)</f>
        <v>0</v>
      </c>
      <c r="Q376" s="1687">
        <f t="shared" si="60"/>
        <v>4261686</v>
      </c>
      <c r="R376" s="2212" t="e">
        <f>IF('Report-M&amp;O2021'!C$18-'Report-SOF2021'!D$55&lt;=0,0,'Report-M&amp;O2021'!C$18-'Report-SOF2021'!D$55)</f>
        <v>#DIV/0!</v>
      </c>
      <c r="S376" s="2452" t="e">
        <f t="shared" si="67"/>
        <v>#DIV/0!</v>
      </c>
      <c r="T376" s="1708">
        <f>IF(A376='Data Entry - SOF'!B$2,'Data Entry - SOF'!K$64,0)</f>
        <v>0</v>
      </c>
      <c r="U376" s="1687">
        <f t="shared" si="70"/>
        <v>4261686</v>
      </c>
      <c r="V376" s="2212" t="e">
        <f>IF('Report-M&amp;O2122'!C$18-'Report-SOF2122'!D$55&lt;=0,0,'Report-M&amp;O2122'!C$18-'Report-SOF2122'!D$55)</f>
        <v>#DIV/0!</v>
      </c>
      <c r="W376" s="2452" t="e">
        <f t="shared" si="68"/>
        <v>#DIV/0!</v>
      </c>
      <c r="X376" s="1708">
        <f>IF(A376='Data Entry - SOF'!B$2,'Data Entry - SOF'!M$64,0)</f>
        <v>0</v>
      </c>
      <c r="Y376" s="1371" t="e">
        <f t="shared" si="69"/>
        <v>#DIV/0!</v>
      </c>
      <c r="Z376" s="2212" t="e">
        <f>IF('Report-M&amp;O2223'!C$18-'Report-SOF2223'!D$55&lt;=0,0,'Report-M&amp;O2223'!C$18-'Report-SOF2223'!D$55)</f>
        <v>#DIV/0!</v>
      </c>
      <c r="AA376" s="1708">
        <f>IF(A376='Data Entry - SOF'!B$2,'Data Entry - SOF'!O$64,0)</f>
        <v>0</v>
      </c>
    </row>
    <row r="377" spans="1:27" ht="15.75">
      <c r="A377" s="1076" t="s">
        <v>3039</v>
      </c>
      <c r="B377">
        <v>11096078</v>
      </c>
      <c r="C377" s="2452" t="e">
        <f>#REF!+#REF!</f>
        <v>#REF!</v>
      </c>
      <c r="D377" s="2449">
        <f>IF(A377='Data Entry - SOF'!B$2,'Data Entry - SOF'!C$64,0)</f>
        <v>0</v>
      </c>
      <c r="E377" s="2450">
        <f t="shared" si="61"/>
        <v>11096078</v>
      </c>
      <c r="F377" s="2212" t="e">
        <f>IF('Report-M&amp;O1718'!C$18-'Report-SOF1718'!D$55&lt;=0,0,'Report-M&amp;O1718'!C$18-'Report-SOF1718'!D$55)</f>
        <v>#DIV/0!</v>
      </c>
      <c r="G377" s="2452" t="e">
        <f t="shared" si="62"/>
        <v>#DIV/0!</v>
      </c>
      <c r="H377" s="2449">
        <f>IF(A377='Data Entry - SOF'!B$2,'Data Entry - SOF'!E$64,0)</f>
        <v>0</v>
      </c>
      <c r="I377" s="1687">
        <f t="shared" si="63"/>
        <v>11096078</v>
      </c>
      <c r="J377" s="2212" t="e">
        <f>IF('Report-M&amp;O1819'!C$18-'Report-SOF1819'!D$55&lt;=0,0,'Report-M&amp;O1819'!C$18-'Report-SOF1819'!D$55)</f>
        <v>#DIV/0!</v>
      </c>
      <c r="K377" s="2452" t="e">
        <f t="shared" si="64"/>
        <v>#DIV/0!</v>
      </c>
      <c r="L377" s="2449">
        <f>IF(A377='Data Entry - SOF'!B$2,'Data Entry - SOF'!G$64,0)</f>
        <v>0</v>
      </c>
      <c r="M377" s="1371">
        <f t="shared" si="65"/>
        <v>11096078</v>
      </c>
      <c r="N377" s="2212" t="e">
        <f>IF('Report-M&amp;O1920'!C$18-'Report-SOF1920'!D$55&lt;=0,0,'Report-M&amp;O1920'!C$18-'Report-SOF1920'!D$55)</f>
        <v>#DIV/0!</v>
      </c>
      <c r="O377" s="2452" t="e">
        <f t="shared" si="66"/>
        <v>#DIV/0!</v>
      </c>
      <c r="P377" s="2449">
        <f>IF(A377='Data Entry - SOF'!B$2,'Data Entry - SOF'!I$64,0)</f>
        <v>0</v>
      </c>
      <c r="Q377" s="1687">
        <f t="shared" si="60"/>
        <v>11096078</v>
      </c>
      <c r="R377" s="2212" t="e">
        <f>IF('Report-M&amp;O2021'!C$18-'Report-SOF2021'!D$55&lt;=0,0,'Report-M&amp;O2021'!C$18-'Report-SOF2021'!D$55)</f>
        <v>#DIV/0!</v>
      </c>
      <c r="S377" s="2452" t="e">
        <f t="shared" si="67"/>
        <v>#DIV/0!</v>
      </c>
      <c r="T377" s="1708">
        <f>IF(A377='Data Entry - SOF'!B$2,'Data Entry - SOF'!K$64,0)</f>
        <v>0</v>
      </c>
      <c r="U377" s="1687">
        <f t="shared" si="70"/>
        <v>11096078</v>
      </c>
      <c r="V377" s="2212" t="e">
        <f>IF('Report-M&amp;O2122'!C$18-'Report-SOF2122'!D$55&lt;=0,0,'Report-M&amp;O2122'!C$18-'Report-SOF2122'!D$55)</f>
        <v>#DIV/0!</v>
      </c>
      <c r="W377" s="2452" t="e">
        <f t="shared" si="68"/>
        <v>#DIV/0!</v>
      </c>
      <c r="X377" s="1708">
        <f>IF(A377='Data Entry - SOF'!B$2,'Data Entry - SOF'!M$64,0)</f>
        <v>0</v>
      </c>
      <c r="Y377" s="1371" t="e">
        <f t="shared" si="69"/>
        <v>#DIV/0!</v>
      </c>
      <c r="Z377" s="2212" t="e">
        <f>IF('Report-M&amp;O2223'!C$18-'Report-SOF2223'!D$55&lt;=0,0,'Report-M&amp;O2223'!C$18-'Report-SOF2223'!D$55)</f>
        <v>#DIV/0!</v>
      </c>
      <c r="AA377" s="1708">
        <f>IF(A377='Data Entry - SOF'!B$2,'Data Entry - SOF'!O$64,0)</f>
        <v>0</v>
      </c>
    </row>
    <row r="378" spans="1:27" ht="15.75">
      <c r="A378" s="1076" t="s">
        <v>2456</v>
      </c>
      <c r="B378">
        <v>719496</v>
      </c>
      <c r="C378" s="2452" t="e">
        <f>#REF!+#REF!</f>
        <v>#REF!</v>
      </c>
      <c r="D378" s="2449">
        <f>IF(A378='Data Entry - SOF'!B$2,'Data Entry - SOF'!C$64,0)</f>
        <v>0</v>
      </c>
      <c r="E378" s="2450">
        <f t="shared" si="61"/>
        <v>719496</v>
      </c>
      <c r="F378" s="2212" t="e">
        <f>IF('Report-M&amp;O1718'!C$18-'Report-SOF1718'!D$55&lt;=0,0,'Report-M&amp;O1718'!C$18-'Report-SOF1718'!D$55)</f>
        <v>#DIV/0!</v>
      </c>
      <c r="G378" s="2452" t="e">
        <f t="shared" si="62"/>
        <v>#DIV/0!</v>
      </c>
      <c r="H378" s="2449">
        <f>IF(A378='Data Entry - SOF'!B$2,'Data Entry - SOF'!E$64,0)</f>
        <v>0</v>
      </c>
      <c r="I378" s="1687">
        <f t="shared" si="63"/>
        <v>719496</v>
      </c>
      <c r="J378" s="2212" t="e">
        <f>IF('Report-M&amp;O1819'!C$18-'Report-SOF1819'!D$55&lt;=0,0,'Report-M&amp;O1819'!C$18-'Report-SOF1819'!D$55)</f>
        <v>#DIV/0!</v>
      </c>
      <c r="K378" s="2452" t="e">
        <f t="shared" si="64"/>
        <v>#DIV/0!</v>
      </c>
      <c r="L378" s="2449">
        <f>IF(A378='Data Entry - SOF'!B$2,'Data Entry - SOF'!G$64,0)</f>
        <v>0</v>
      </c>
      <c r="M378" s="1371">
        <f t="shared" si="65"/>
        <v>719496</v>
      </c>
      <c r="N378" s="2212" t="e">
        <f>IF('Report-M&amp;O1920'!C$18-'Report-SOF1920'!D$55&lt;=0,0,'Report-M&amp;O1920'!C$18-'Report-SOF1920'!D$55)</f>
        <v>#DIV/0!</v>
      </c>
      <c r="O378" s="2452" t="e">
        <f t="shared" si="66"/>
        <v>#DIV/0!</v>
      </c>
      <c r="P378" s="2449">
        <f>IF(A378='Data Entry - SOF'!B$2,'Data Entry - SOF'!I$64,0)</f>
        <v>0</v>
      </c>
      <c r="Q378" s="1687">
        <f t="shared" si="60"/>
        <v>719496</v>
      </c>
      <c r="R378" s="2212" t="e">
        <f>IF('Report-M&amp;O2021'!C$18-'Report-SOF2021'!D$55&lt;=0,0,'Report-M&amp;O2021'!C$18-'Report-SOF2021'!D$55)</f>
        <v>#DIV/0!</v>
      </c>
      <c r="S378" s="2452" t="e">
        <f t="shared" si="67"/>
        <v>#DIV/0!</v>
      </c>
      <c r="T378" s="1708">
        <f>IF(A378='Data Entry - SOF'!B$2,'Data Entry - SOF'!K$64,0)</f>
        <v>0</v>
      </c>
      <c r="U378" s="1687">
        <f t="shared" si="70"/>
        <v>719496</v>
      </c>
      <c r="V378" s="2212" t="e">
        <f>IF('Report-M&amp;O2122'!C$18-'Report-SOF2122'!D$55&lt;=0,0,'Report-M&amp;O2122'!C$18-'Report-SOF2122'!D$55)</f>
        <v>#DIV/0!</v>
      </c>
      <c r="W378" s="2452" t="e">
        <f t="shared" si="68"/>
        <v>#DIV/0!</v>
      </c>
      <c r="X378" s="1708">
        <f>IF(A378='Data Entry - SOF'!B$2,'Data Entry - SOF'!M$64,0)</f>
        <v>0</v>
      </c>
      <c r="Y378" s="1371" t="e">
        <f t="shared" si="69"/>
        <v>#DIV/0!</v>
      </c>
      <c r="Z378" s="2212" t="e">
        <f>IF('Report-M&amp;O2223'!C$18-'Report-SOF2223'!D$55&lt;=0,0,'Report-M&amp;O2223'!C$18-'Report-SOF2223'!D$55)</f>
        <v>#DIV/0!</v>
      </c>
      <c r="AA378" s="1708">
        <f>IF(A378='Data Entry - SOF'!B$2,'Data Entry - SOF'!O$64,0)</f>
        <v>0</v>
      </c>
    </row>
    <row r="379" spans="1:27" ht="15.75">
      <c r="A379" s="1076" t="s">
        <v>537</v>
      </c>
      <c r="B379">
        <v>30020636</v>
      </c>
      <c r="C379" s="2452" t="e">
        <f>#REF!+#REF!</f>
        <v>#REF!</v>
      </c>
      <c r="D379" s="2449">
        <f>IF(A379='Data Entry - SOF'!B$2,'Data Entry - SOF'!C$64,0)</f>
        <v>0</v>
      </c>
      <c r="E379" s="2450">
        <f t="shared" si="61"/>
        <v>30020636</v>
      </c>
      <c r="F379" s="2212" t="e">
        <f>IF('Report-M&amp;O1718'!C$18-'Report-SOF1718'!D$55&lt;=0,0,'Report-M&amp;O1718'!C$18-'Report-SOF1718'!D$55)</f>
        <v>#DIV/0!</v>
      </c>
      <c r="G379" s="2452" t="e">
        <f t="shared" si="62"/>
        <v>#DIV/0!</v>
      </c>
      <c r="H379" s="2449">
        <f>IF(A379='Data Entry - SOF'!B$2,'Data Entry - SOF'!E$64,0)</f>
        <v>0</v>
      </c>
      <c r="I379" s="1687">
        <f t="shared" si="63"/>
        <v>30020636</v>
      </c>
      <c r="J379" s="2212" t="e">
        <f>IF('Report-M&amp;O1819'!C$18-'Report-SOF1819'!D$55&lt;=0,0,'Report-M&amp;O1819'!C$18-'Report-SOF1819'!D$55)</f>
        <v>#DIV/0!</v>
      </c>
      <c r="K379" s="2452" t="e">
        <f t="shared" si="64"/>
        <v>#DIV/0!</v>
      </c>
      <c r="L379" s="2449">
        <f>IF(A379='Data Entry - SOF'!B$2,'Data Entry - SOF'!G$64,0)</f>
        <v>0</v>
      </c>
      <c r="M379" s="1371">
        <f t="shared" si="65"/>
        <v>30020636</v>
      </c>
      <c r="N379" s="2212" t="e">
        <f>IF('Report-M&amp;O1920'!C$18-'Report-SOF1920'!D$55&lt;=0,0,'Report-M&amp;O1920'!C$18-'Report-SOF1920'!D$55)</f>
        <v>#DIV/0!</v>
      </c>
      <c r="O379" s="2452" t="e">
        <f t="shared" si="66"/>
        <v>#DIV/0!</v>
      </c>
      <c r="P379" s="2449">
        <f>IF(A379='Data Entry - SOF'!B$2,'Data Entry - SOF'!I$64,0)</f>
        <v>0</v>
      </c>
      <c r="Q379" s="1687">
        <f t="shared" si="60"/>
        <v>30020636</v>
      </c>
      <c r="R379" s="2212" t="e">
        <f>IF('Report-M&amp;O2021'!C$18-'Report-SOF2021'!D$55&lt;=0,0,'Report-M&amp;O2021'!C$18-'Report-SOF2021'!D$55)</f>
        <v>#DIV/0!</v>
      </c>
      <c r="S379" s="2452" t="e">
        <f t="shared" si="67"/>
        <v>#DIV/0!</v>
      </c>
      <c r="T379" s="1708">
        <f>IF(A379='Data Entry - SOF'!B$2,'Data Entry - SOF'!K$64,0)</f>
        <v>0</v>
      </c>
      <c r="U379" s="1687">
        <f t="shared" si="70"/>
        <v>30020636</v>
      </c>
      <c r="V379" s="2212" t="e">
        <f>IF('Report-M&amp;O2122'!C$18-'Report-SOF2122'!D$55&lt;=0,0,'Report-M&amp;O2122'!C$18-'Report-SOF2122'!D$55)</f>
        <v>#DIV/0!</v>
      </c>
      <c r="W379" s="2452" t="e">
        <f t="shared" si="68"/>
        <v>#DIV/0!</v>
      </c>
      <c r="X379" s="1708">
        <f>IF(A379='Data Entry - SOF'!B$2,'Data Entry - SOF'!M$64,0)</f>
        <v>0</v>
      </c>
      <c r="Y379" s="1371" t="e">
        <f t="shared" si="69"/>
        <v>#DIV/0!</v>
      </c>
      <c r="Z379" s="2212" t="e">
        <f>IF('Report-M&amp;O2223'!C$18-'Report-SOF2223'!D$55&lt;=0,0,'Report-M&amp;O2223'!C$18-'Report-SOF2223'!D$55)</f>
        <v>#DIV/0!</v>
      </c>
      <c r="AA379" s="1708">
        <f>IF(A379='Data Entry - SOF'!B$2,'Data Entry - SOF'!O$64,0)</f>
        <v>0</v>
      </c>
    </row>
    <row r="380" spans="1:27" ht="15.75">
      <c r="A380" s="1076" t="s">
        <v>535</v>
      </c>
      <c r="B380">
        <v>56635995</v>
      </c>
      <c r="C380" s="2452" t="e">
        <f>#REF!+#REF!</f>
        <v>#REF!</v>
      </c>
      <c r="D380" s="2449">
        <f>IF(A380='Data Entry - SOF'!B$2,'Data Entry - SOF'!C$64,0)</f>
        <v>0</v>
      </c>
      <c r="E380" s="2450">
        <f t="shared" si="61"/>
        <v>56635995</v>
      </c>
      <c r="F380" s="2212" t="e">
        <f>IF('Report-M&amp;O1718'!C$18-'Report-SOF1718'!D$55&lt;=0,0,'Report-M&amp;O1718'!C$18-'Report-SOF1718'!D$55)</f>
        <v>#DIV/0!</v>
      </c>
      <c r="G380" s="2452" t="e">
        <f t="shared" si="62"/>
        <v>#DIV/0!</v>
      </c>
      <c r="H380" s="2449">
        <f>IF(A380='Data Entry - SOF'!B$2,'Data Entry - SOF'!E$64,0)</f>
        <v>0</v>
      </c>
      <c r="I380" s="1687">
        <f t="shared" si="63"/>
        <v>56635995</v>
      </c>
      <c r="J380" s="2212" t="e">
        <f>IF('Report-M&amp;O1819'!C$18-'Report-SOF1819'!D$55&lt;=0,0,'Report-M&amp;O1819'!C$18-'Report-SOF1819'!D$55)</f>
        <v>#DIV/0!</v>
      </c>
      <c r="K380" s="2452" t="e">
        <f t="shared" si="64"/>
        <v>#DIV/0!</v>
      </c>
      <c r="L380" s="2449">
        <f>IF(A380='Data Entry - SOF'!B$2,'Data Entry - SOF'!G$64,0)</f>
        <v>0</v>
      </c>
      <c r="M380" s="1371">
        <f t="shared" si="65"/>
        <v>56635995</v>
      </c>
      <c r="N380" s="2212" t="e">
        <f>IF('Report-M&amp;O1920'!C$18-'Report-SOF1920'!D$55&lt;=0,0,'Report-M&amp;O1920'!C$18-'Report-SOF1920'!D$55)</f>
        <v>#DIV/0!</v>
      </c>
      <c r="O380" s="2452" t="e">
        <f t="shared" si="66"/>
        <v>#DIV/0!</v>
      </c>
      <c r="P380" s="2449">
        <f>IF(A380='Data Entry - SOF'!B$2,'Data Entry - SOF'!I$64,0)</f>
        <v>0</v>
      </c>
      <c r="Q380" s="1687">
        <f t="shared" si="60"/>
        <v>56635995</v>
      </c>
      <c r="R380" s="2212" t="e">
        <f>IF('Report-M&amp;O2021'!C$18-'Report-SOF2021'!D$55&lt;=0,0,'Report-M&amp;O2021'!C$18-'Report-SOF2021'!D$55)</f>
        <v>#DIV/0!</v>
      </c>
      <c r="S380" s="2452" t="e">
        <f t="shared" si="67"/>
        <v>#DIV/0!</v>
      </c>
      <c r="T380" s="1708">
        <f>IF(A380='Data Entry - SOF'!B$2,'Data Entry - SOF'!K$64,0)</f>
        <v>0</v>
      </c>
      <c r="U380" s="1687">
        <f t="shared" si="70"/>
        <v>56635995</v>
      </c>
      <c r="V380" s="2212" t="e">
        <f>IF('Report-M&amp;O2122'!C$18-'Report-SOF2122'!D$55&lt;=0,0,'Report-M&amp;O2122'!C$18-'Report-SOF2122'!D$55)</f>
        <v>#DIV/0!</v>
      </c>
      <c r="W380" s="2452" t="e">
        <f t="shared" si="68"/>
        <v>#DIV/0!</v>
      </c>
      <c r="X380" s="1708">
        <f>IF(A380='Data Entry - SOF'!B$2,'Data Entry - SOF'!M$64,0)</f>
        <v>0</v>
      </c>
      <c r="Y380" s="1371" t="e">
        <f t="shared" si="69"/>
        <v>#DIV/0!</v>
      </c>
      <c r="Z380" s="2212" t="e">
        <f>IF('Report-M&amp;O2223'!C$18-'Report-SOF2223'!D$55&lt;=0,0,'Report-M&amp;O2223'!C$18-'Report-SOF2223'!D$55)</f>
        <v>#DIV/0!</v>
      </c>
      <c r="AA380" s="1708">
        <f>IF(A380='Data Entry - SOF'!B$2,'Data Entry - SOF'!O$64,0)</f>
        <v>0</v>
      </c>
    </row>
    <row r="381" spans="1:27" ht="15.75">
      <c r="A381" s="1076" t="s">
        <v>2457</v>
      </c>
      <c r="B381">
        <v>9050707</v>
      </c>
      <c r="C381" s="2452" t="e">
        <f>#REF!+#REF!</f>
        <v>#REF!</v>
      </c>
      <c r="D381" s="2449">
        <f>IF(A381='Data Entry - SOF'!B$2,'Data Entry - SOF'!C$64,0)</f>
        <v>0</v>
      </c>
      <c r="E381" s="2450">
        <f t="shared" si="61"/>
        <v>9050707</v>
      </c>
      <c r="F381" s="2212" t="e">
        <f>IF('Report-M&amp;O1718'!C$18-'Report-SOF1718'!D$55&lt;=0,0,'Report-M&amp;O1718'!C$18-'Report-SOF1718'!D$55)</f>
        <v>#DIV/0!</v>
      </c>
      <c r="G381" s="2452" t="e">
        <f t="shared" si="62"/>
        <v>#DIV/0!</v>
      </c>
      <c r="H381" s="2449">
        <f>IF(A381='Data Entry - SOF'!B$2,'Data Entry - SOF'!E$64,0)</f>
        <v>0</v>
      </c>
      <c r="I381" s="1687">
        <f t="shared" si="63"/>
        <v>9050707</v>
      </c>
      <c r="J381" s="2212" t="e">
        <f>IF('Report-M&amp;O1819'!C$18-'Report-SOF1819'!D$55&lt;=0,0,'Report-M&amp;O1819'!C$18-'Report-SOF1819'!D$55)</f>
        <v>#DIV/0!</v>
      </c>
      <c r="K381" s="2452" t="e">
        <f t="shared" si="64"/>
        <v>#DIV/0!</v>
      </c>
      <c r="L381" s="2449">
        <f>IF(A381='Data Entry - SOF'!B$2,'Data Entry - SOF'!G$64,0)</f>
        <v>0</v>
      </c>
      <c r="M381" s="1371">
        <f t="shared" si="65"/>
        <v>9050707</v>
      </c>
      <c r="N381" s="2212" t="e">
        <f>IF('Report-M&amp;O1920'!C$18-'Report-SOF1920'!D$55&lt;=0,0,'Report-M&amp;O1920'!C$18-'Report-SOF1920'!D$55)</f>
        <v>#DIV/0!</v>
      </c>
      <c r="O381" s="2452" t="e">
        <f t="shared" si="66"/>
        <v>#DIV/0!</v>
      </c>
      <c r="P381" s="2449">
        <f>IF(A381='Data Entry - SOF'!B$2,'Data Entry - SOF'!I$64,0)</f>
        <v>0</v>
      </c>
      <c r="Q381" s="1687">
        <f t="shared" si="60"/>
        <v>9050707</v>
      </c>
      <c r="R381" s="2212" t="e">
        <f>IF('Report-M&amp;O2021'!C$18-'Report-SOF2021'!D$55&lt;=0,0,'Report-M&amp;O2021'!C$18-'Report-SOF2021'!D$55)</f>
        <v>#DIV/0!</v>
      </c>
      <c r="S381" s="2452" t="e">
        <f t="shared" si="67"/>
        <v>#DIV/0!</v>
      </c>
      <c r="T381" s="1708">
        <f>IF(A381='Data Entry - SOF'!B$2,'Data Entry - SOF'!K$64,0)</f>
        <v>0</v>
      </c>
      <c r="U381" s="1687">
        <f t="shared" si="70"/>
        <v>9050707</v>
      </c>
      <c r="V381" s="2212" t="e">
        <f>IF('Report-M&amp;O2122'!C$18-'Report-SOF2122'!D$55&lt;=0,0,'Report-M&amp;O2122'!C$18-'Report-SOF2122'!D$55)</f>
        <v>#DIV/0!</v>
      </c>
      <c r="W381" s="2452" t="e">
        <f t="shared" si="68"/>
        <v>#DIV/0!</v>
      </c>
      <c r="X381" s="1708">
        <f>IF(A381='Data Entry - SOF'!B$2,'Data Entry - SOF'!M$64,0)</f>
        <v>0</v>
      </c>
      <c r="Y381" s="1371" t="e">
        <f t="shared" si="69"/>
        <v>#DIV/0!</v>
      </c>
      <c r="Z381" s="2212" t="e">
        <f>IF('Report-M&amp;O2223'!C$18-'Report-SOF2223'!D$55&lt;=0,0,'Report-M&amp;O2223'!C$18-'Report-SOF2223'!D$55)</f>
        <v>#DIV/0!</v>
      </c>
      <c r="AA381" s="1708">
        <f>IF(A381='Data Entry - SOF'!B$2,'Data Entry - SOF'!O$64,0)</f>
        <v>0</v>
      </c>
    </row>
    <row r="382" spans="1:27" ht="15.75">
      <c r="A382" s="1076" t="s">
        <v>381</v>
      </c>
      <c r="B382">
        <v>7575804</v>
      </c>
      <c r="C382" s="2452" t="e">
        <f>#REF!+#REF!</f>
        <v>#REF!</v>
      </c>
      <c r="D382" s="2449">
        <f>IF(A382='Data Entry - SOF'!B$2,'Data Entry - SOF'!C$64,0)</f>
        <v>0</v>
      </c>
      <c r="E382" s="2450">
        <f t="shared" si="61"/>
        <v>7575804</v>
      </c>
      <c r="F382" s="2212" t="e">
        <f>IF('Report-M&amp;O1718'!C$18-'Report-SOF1718'!D$55&lt;=0,0,'Report-M&amp;O1718'!C$18-'Report-SOF1718'!D$55)</f>
        <v>#DIV/0!</v>
      </c>
      <c r="G382" s="2452" t="e">
        <f t="shared" si="62"/>
        <v>#DIV/0!</v>
      </c>
      <c r="H382" s="2449">
        <f>IF(A382='Data Entry - SOF'!B$2,'Data Entry - SOF'!E$64,0)</f>
        <v>0</v>
      </c>
      <c r="I382" s="1687">
        <f t="shared" si="63"/>
        <v>7575804</v>
      </c>
      <c r="J382" s="2212" t="e">
        <f>IF('Report-M&amp;O1819'!C$18-'Report-SOF1819'!D$55&lt;=0,0,'Report-M&amp;O1819'!C$18-'Report-SOF1819'!D$55)</f>
        <v>#DIV/0!</v>
      </c>
      <c r="K382" s="2452" t="e">
        <f t="shared" si="64"/>
        <v>#DIV/0!</v>
      </c>
      <c r="L382" s="2449">
        <f>IF(A382='Data Entry - SOF'!B$2,'Data Entry - SOF'!G$64,0)</f>
        <v>0</v>
      </c>
      <c r="M382" s="1371">
        <f t="shared" si="65"/>
        <v>7575804</v>
      </c>
      <c r="N382" s="2212" t="e">
        <f>IF('Report-M&amp;O1920'!C$18-'Report-SOF1920'!D$55&lt;=0,0,'Report-M&amp;O1920'!C$18-'Report-SOF1920'!D$55)</f>
        <v>#DIV/0!</v>
      </c>
      <c r="O382" s="2452" t="e">
        <f t="shared" si="66"/>
        <v>#DIV/0!</v>
      </c>
      <c r="P382" s="2449">
        <f>IF(A382='Data Entry - SOF'!B$2,'Data Entry - SOF'!I$64,0)</f>
        <v>0</v>
      </c>
      <c r="Q382" s="1687">
        <f>M382-P382</f>
        <v>7575804</v>
      </c>
      <c r="R382" s="2212" t="e">
        <f>IF('Report-M&amp;O2021'!C$18-'Report-SOF2021'!D$55&lt;=0,0,'Report-M&amp;O2021'!C$18-'Report-SOF2021'!D$55)</f>
        <v>#DIV/0!</v>
      </c>
      <c r="S382" s="2452" t="e">
        <f t="shared" si="67"/>
        <v>#DIV/0!</v>
      </c>
      <c r="T382" s="1708">
        <f>IF(A382='Data Entry - SOF'!B$2,'Data Entry - SOF'!K$64,0)</f>
        <v>0</v>
      </c>
      <c r="U382" s="1687">
        <f t="shared" ref="U382:U397" si="71">Q382-T382</f>
        <v>7575804</v>
      </c>
      <c r="V382" s="2212" t="e">
        <f>IF('Report-M&amp;O2122'!C$18-'Report-SOF2122'!D$55&lt;=0,0,'Report-M&amp;O2122'!C$18-'Report-SOF2122'!D$55)</f>
        <v>#DIV/0!</v>
      </c>
      <c r="W382" s="2452" t="e">
        <f t="shared" si="68"/>
        <v>#DIV/0!</v>
      </c>
      <c r="X382" s="1708">
        <f>IF(A382='Data Entry - SOF'!B$2,'Data Entry - SOF'!M$64,0)</f>
        <v>0</v>
      </c>
      <c r="Y382" s="1371" t="e">
        <f t="shared" si="69"/>
        <v>#DIV/0!</v>
      </c>
      <c r="Z382" s="2212" t="e">
        <f>IF('Report-M&amp;O2223'!C$18-'Report-SOF2223'!D$55&lt;=0,0,'Report-M&amp;O2223'!C$18-'Report-SOF2223'!D$55)</f>
        <v>#DIV/0!</v>
      </c>
      <c r="AA382" s="1708">
        <f>IF(A382='Data Entry - SOF'!B$2,'Data Entry - SOF'!O$64,0)</f>
        <v>0</v>
      </c>
    </row>
    <row r="383" spans="1:27" ht="15.75">
      <c r="A383" s="1076" t="s">
        <v>2458</v>
      </c>
      <c r="B383">
        <v>13090053.361899</v>
      </c>
      <c r="C383" s="2452" t="e">
        <f>#REF!+#REF!</f>
        <v>#REF!</v>
      </c>
      <c r="D383" s="2449">
        <f>IF(A383='Data Entry - SOF'!B$2,'Data Entry - SOF'!C$64,0)</f>
        <v>0</v>
      </c>
      <c r="E383" s="2450">
        <f t="shared" si="61"/>
        <v>13090053.361899</v>
      </c>
      <c r="F383" s="2212" t="e">
        <f>IF('Report-M&amp;O1718'!C$18-'Report-SOF1718'!D$55&lt;=0,0,'Report-M&amp;O1718'!C$18-'Report-SOF1718'!D$55)</f>
        <v>#DIV/0!</v>
      </c>
      <c r="G383" s="2452" t="e">
        <f t="shared" si="62"/>
        <v>#DIV/0!</v>
      </c>
      <c r="H383" s="2449">
        <f>IF(A383='Data Entry - SOF'!B$2,'Data Entry - SOF'!E$64,0)</f>
        <v>0</v>
      </c>
      <c r="I383" s="1687">
        <f t="shared" si="63"/>
        <v>13090053.361899</v>
      </c>
      <c r="J383" s="2212" t="e">
        <f>IF('Report-M&amp;O1819'!C$18-'Report-SOF1819'!D$55&lt;=0,0,'Report-M&amp;O1819'!C$18-'Report-SOF1819'!D$55)</f>
        <v>#DIV/0!</v>
      </c>
      <c r="K383" s="2452" t="e">
        <f t="shared" si="64"/>
        <v>#DIV/0!</v>
      </c>
      <c r="L383" s="2449">
        <f>IF(A383='Data Entry - SOF'!B$2,'Data Entry - SOF'!G$64,0)</f>
        <v>0</v>
      </c>
      <c r="M383" s="1371">
        <f t="shared" si="65"/>
        <v>13090053.361899</v>
      </c>
      <c r="N383" s="2212" t="e">
        <f>IF('Report-M&amp;O1920'!C$18-'Report-SOF1920'!D$55&lt;=0,0,'Report-M&amp;O1920'!C$18-'Report-SOF1920'!D$55)</f>
        <v>#DIV/0!</v>
      </c>
      <c r="O383" s="2452" t="e">
        <f t="shared" si="66"/>
        <v>#DIV/0!</v>
      </c>
      <c r="P383" s="2449">
        <f>IF(A383='Data Entry - SOF'!B$2,'Data Entry - SOF'!I$64,0)</f>
        <v>0</v>
      </c>
      <c r="Q383" s="1687">
        <f t="shared" ref="Q383:Q444" si="72">M383-P383</f>
        <v>13090053.361899</v>
      </c>
      <c r="R383" s="2212" t="e">
        <f>IF('Report-M&amp;O2021'!C$18-'Report-SOF2021'!D$55&lt;=0,0,'Report-M&amp;O2021'!C$18-'Report-SOF2021'!D$55)</f>
        <v>#DIV/0!</v>
      </c>
      <c r="S383" s="2452" t="e">
        <f t="shared" si="67"/>
        <v>#DIV/0!</v>
      </c>
      <c r="T383" s="1708">
        <f>IF(A383='Data Entry - SOF'!B$2,'Data Entry - SOF'!K$64,0)</f>
        <v>0</v>
      </c>
      <c r="U383" s="1687">
        <f t="shared" si="71"/>
        <v>13090053.361899</v>
      </c>
      <c r="V383" s="2212" t="e">
        <f>IF('Report-M&amp;O2122'!C$18-'Report-SOF2122'!D$55&lt;=0,0,'Report-M&amp;O2122'!C$18-'Report-SOF2122'!D$55)</f>
        <v>#DIV/0!</v>
      </c>
      <c r="W383" s="2452" t="e">
        <f t="shared" si="68"/>
        <v>#DIV/0!</v>
      </c>
      <c r="X383" s="1708">
        <f>IF(A383='Data Entry - SOF'!B$2,'Data Entry - SOF'!M$64,0)</f>
        <v>0</v>
      </c>
      <c r="Y383" s="1371" t="e">
        <f t="shared" si="69"/>
        <v>#DIV/0!</v>
      </c>
      <c r="Z383" s="2212" t="e">
        <f>IF('Report-M&amp;O2223'!C$18-'Report-SOF2223'!D$55&lt;=0,0,'Report-M&amp;O2223'!C$18-'Report-SOF2223'!D$55)</f>
        <v>#DIV/0!</v>
      </c>
      <c r="AA383" s="1708">
        <f>IF(A383='Data Entry - SOF'!B$2,'Data Entry - SOF'!O$64,0)</f>
        <v>0</v>
      </c>
    </row>
    <row r="384" spans="1:27" ht="15.75">
      <c r="A384" s="1076" t="s">
        <v>2459</v>
      </c>
      <c r="B384">
        <v>571846</v>
      </c>
      <c r="C384" s="2452" t="e">
        <f>#REF!+#REF!</f>
        <v>#REF!</v>
      </c>
      <c r="D384" s="2449">
        <f>IF(A384='Data Entry - SOF'!B$2,'Data Entry - SOF'!C$64,0)</f>
        <v>0</v>
      </c>
      <c r="E384" s="2450">
        <f t="shared" si="61"/>
        <v>571846</v>
      </c>
      <c r="F384" s="2212" t="e">
        <f>IF('Report-M&amp;O1718'!C$18-'Report-SOF1718'!D$55&lt;=0,0,'Report-M&amp;O1718'!C$18-'Report-SOF1718'!D$55)</f>
        <v>#DIV/0!</v>
      </c>
      <c r="G384" s="2452" t="e">
        <f t="shared" si="62"/>
        <v>#DIV/0!</v>
      </c>
      <c r="H384" s="2449">
        <f>IF(A384='Data Entry - SOF'!B$2,'Data Entry - SOF'!E$64,0)</f>
        <v>0</v>
      </c>
      <c r="I384" s="1687">
        <f t="shared" si="63"/>
        <v>571846</v>
      </c>
      <c r="J384" s="2212" t="e">
        <f>IF('Report-M&amp;O1819'!C$18-'Report-SOF1819'!D$55&lt;=0,0,'Report-M&amp;O1819'!C$18-'Report-SOF1819'!D$55)</f>
        <v>#DIV/0!</v>
      </c>
      <c r="K384" s="2452" t="e">
        <f t="shared" si="64"/>
        <v>#DIV/0!</v>
      </c>
      <c r="L384" s="2449">
        <f>IF(A384='Data Entry - SOF'!B$2,'Data Entry - SOF'!G$64,0)</f>
        <v>0</v>
      </c>
      <c r="M384" s="1371">
        <f t="shared" si="65"/>
        <v>571846</v>
      </c>
      <c r="N384" s="2212" t="e">
        <f>IF('Report-M&amp;O1920'!C$18-'Report-SOF1920'!D$55&lt;=0,0,'Report-M&amp;O1920'!C$18-'Report-SOF1920'!D$55)</f>
        <v>#DIV/0!</v>
      </c>
      <c r="O384" s="2452" t="e">
        <f t="shared" si="66"/>
        <v>#DIV/0!</v>
      </c>
      <c r="P384" s="2449">
        <f>IF(A384='Data Entry - SOF'!B$2,'Data Entry - SOF'!I$64,0)</f>
        <v>0</v>
      </c>
      <c r="Q384" s="1687">
        <f t="shared" si="72"/>
        <v>571846</v>
      </c>
      <c r="R384" s="2212" t="e">
        <f>IF('Report-M&amp;O2021'!C$18-'Report-SOF2021'!D$55&lt;=0,0,'Report-M&amp;O2021'!C$18-'Report-SOF2021'!D$55)</f>
        <v>#DIV/0!</v>
      </c>
      <c r="S384" s="2452" t="e">
        <f t="shared" si="67"/>
        <v>#DIV/0!</v>
      </c>
      <c r="T384" s="1708">
        <f>IF(A384='Data Entry - SOF'!B$2,'Data Entry - SOF'!K$64,0)</f>
        <v>0</v>
      </c>
      <c r="U384" s="1687">
        <f t="shared" si="71"/>
        <v>571846</v>
      </c>
      <c r="V384" s="2212" t="e">
        <f>IF('Report-M&amp;O2122'!C$18-'Report-SOF2122'!D$55&lt;=0,0,'Report-M&amp;O2122'!C$18-'Report-SOF2122'!D$55)</f>
        <v>#DIV/0!</v>
      </c>
      <c r="W384" s="2452" t="e">
        <f t="shared" si="68"/>
        <v>#DIV/0!</v>
      </c>
      <c r="X384" s="1708">
        <f>IF(A384='Data Entry - SOF'!B$2,'Data Entry - SOF'!M$64,0)</f>
        <v>0</v>
      </c>
      <c r="Y384" s="1371" t="e">
        <f t="shared" si="69"/>
        <v>#DIV/0!</v>
      </c>
      <c r="Z384" s="2212" t="e">
        <f>IF('Report-M&amp;O2223'!C$18-'Report-SOF2223'!D$55&lt;=0,0,'Report-M&amp;O2223'!C$18-'Report-SOF2223'!D$55)</f>
        <v>#DIV/0!</v>
      </c>
      <c r="AA384" s="1708">
        <f>IF(A384='Data Entry - SOF'!B$2,'Data Entry - SOF'!O$64,0)</f>
        <v>0</v>
      </c>
    </row>
    <row r="385" spans="1:27" ht="15.75">
      <c r="A385" s="1076" t="s">
        <v>547</v>
      </c>
      <c r="B385">
        <v>1178546</v>
      </c>
      <c r="C385" s="2452" t="e">
        <f>#REF!+#REF!</f>
        <v>#REF!</v>
      </c>
      <c r="D385" s="2449">
        <f>IF(A385='Data Entry - SOF'!B$2,'Data Entry - SOF'!C$64,0)</f>
        <v>0</v>
      </c>
      <c r="E385" s="2450">
        <f t="shared" si="61"/>
        <v>1178546</v>
      </c>
      <c r="F385" s="2212" t="e">
        <f>IF('Report-M&amp;O1718'!C$18-'Report-SOF1718'!D$55&lt;=0,0,'Report-M&amp;O1718'!C$18-'Report-SOF1718'!D$55)</f>
        <v>#DIV/0!</v>
      </c>
      <c r="G385" s="2452" t="e">
        <f t="shared" si="62"/>
        <v>#DIV/0!</v>
      </c>
      <c r="H385" s="2449">
        <f>IF(A385='Data Entry - SOF'!B$2,'Data Entry - SOF'!E$64,0)</f>
        <v>0</v>
      </c>
      <c r="I385" s="1687">
        <f t="shared" si="63"/>
        <v>1178546</v>
      </c>
      <c r="J385" s="2212" t="e">
        <f>IF('Report-M&amp;O1819'!C$18-'Report-SOF1819'!D$55&lt;=0,0,'Report-M&amp;O1819'!C$18-'Report-SOF1819'!D$55)</f>
        <v>#DIV/0!</v>
      </c>
      <c r="K385" s="2452" t="e">
        <f t="shared" si="64"/>
        <v>#DIV/0!</v>
      </c>
      <c r="L385" s="2449">
        <f>IF(A385='Data Entry - SOF'!B$2,'Data Entry - SOF'!G$64,0)</f>
        <v>0</v>
      </c>
      <c r="M385" s="1371">
        <f t="shared" si="65"/>
        <v>1178546</v>
      </c>
      <c r="N385" s="2212" t="e">
        <f>IF('Report-M&amp;O1920'!C$18-'Report-SOF1920'!D$55&lt;=0,0,'Report-M&amp;O1920'!C$18-'Report-SOF1920'!D$55)</f>
        <v>#DIV/0!</v>
      </c>
      <c r="O385" s="2452" t="e">
        <f t="shared" si="66"/>
        <v>#DIV/0!</v>
      </c>
      <c r="P385" s="2449">
        <f>IF(A385='Data Entry - SOF'!B$2,'Data Entry - SOF'!I$64,0)</f>
        <v>0</v>
      </c>
      <c r="Q385" s="1687">
        <f t="shared" si="72"/>
        <v>1178546</v>
      </c>
      <c r="R385" s="2212" t="e">
        <f>IF('Report-M&amp;O2021'!C$18-'Report-SOF2021'!D$55&lt;=0,0,'Report-M&amp;O2021'!C$18-'Report-SOF2021'!D$55)</f>
        <v>#DIV/0!</v>
      </c>
      <c r="S385" s="2452" t="e">
        <f t="shared" si="67"/>
        <v>#DIV/0!</v>
      </c>
      <c r="T385" s="1708">
        <f>IF(A385='Data Entry - SOF'!B$2,'Data Entry - SOF'!K$64,0)</f>
        <v>0</v>
      </c>
      <c r="U385" s="1687">
        <f t="shared" si="71"/>
        <v>1178546</v>
      </c>
      <c r="V385" s="2212" t="e">
        <f>IF('Report-M&amp;O2122'!C$18-'Report-SOF2122'!D$55&lt;=0,0,'Report-M&amp;O2122'!C$18-'Report-SOF2122'!D$55)</f>
        <v>#DIV/0!</v>
      </c>
      <c r="W385" s="2452" t="e">
        <f t="shared" si="68"/>
        <v>#DIV/0!</v>
      </c>
      <c r="X385" s="1708">
        <f>IF(A385='Data Entry - SOF'!B$2,'Data Entry - SOF'!M$64,0)</f>
        <v>0</v>
      </c>
      <c r="Y385" s="1371" t="e">
        <f t="shared" si="69"/>
        <v>#DIV/0!</v>
      </c>
      <c r="Z385" s="2212" t="e">
        <f>IF('Report-M&amp;O2223'!C$18-'Report-SOF2223'!D$55&lt;=0,0,'Report-M&amp;O2223'!C$18-'Report-SOF2223'!D$55)</f>
        <v>#DIV/0!</v>
      </c>
      <c r="AA385" s="1708">
        <f>IF(A385='Data Entry - SOF'!B$2,'Data Entry - SOF'!O$64,0)</f>
        <v>0</v>
      </c>
    </row>
    <row r="386" spans="1:27" ht="15.75">
      <c r="A386" s="1076" t="s">
        <v>2232</v>
      </c>
      <c r="B386">
        <v>482267</v>
      </c>
      <c r="C386" s="2452" t="e">
        <f>#REF!+#REF!</f>
        <v>#REF!</v>
      </c>
      <c r="D386" s="2449">
        <f>IF(A386='Data Entry - SOF'!B$2,'Data Entry - SOF'!C$64,0)</f>
        <v>0</v>
      </c>
      <c r="E386" s="2450">
        <f t="shared" si="61"/>
        <v>482267</v>
      </c>
      <c r="F386" s="2212" t="e">
        <f>IF('Report-M&amp;O1718'!C$18-'Report-SOF1718'!D$55&lt;=0,0,'Report-M&amp;O1718'!C$18-'Report-SOF1718'!D$55)</f>
        <v>#DIV/0!</v>
      </c>
      <c r="G386" s="2452" t="e">
        <f t="shared" si="62"/>
        <v>#DIV/0!</v>
      </c>
      <c r="H386" s="2449">
        <f>IF(A386='Data Entry - SOF'!B$2,'Data Entry - SOF'!E$64,0)</f>
        <v>0</v>
      </c>
      <c r="I386" s="1687">
        <f t="shared" si="63"/>
        <v>482267</v>
      </c>
      <c r="J386" s="2212" t="e">
        <f>IF('Report-M&amp;O1819'!C$18-'Report-SOF1819'!D$55&lt;=0,0,'Report-M&amp;O1819'!C$18-'Report-SOF1819'!D$55)</f>
        <v>#DIV/0!</v>
      </c>
      <c r="K386" s="2452" t="e">
        <f t="shared" si="64"/>
        <v>#DIV/0!</v>
      </c>
      <c r="L386" s="2449">
        <f>IF(A386='Data Entry - SOF'!B$2,'Data Entry - SOF'!G$64,0)</f>
        <v>0</v>
      </c>
      <c r="M386" s="1371">
        <f t="shared" si="65"/>
        <v>482267</v>
      </c>
      <c r="N386" s="2212" t="e">
        <f>IF('Report-M&amp;O1920'!C$18-'Report-SOF1920'!D$55&lt;=0,0,'Report-M&amp;O1920'!C$18-'Report-SOF1920'!D$55)</f>
        <v>#DIV/0!</v>
      </c>
      <c r="O386" s="2452" t="e">
        <f t="shared" si="66"/>
        <v>#DIV/0!</v>
      </c>
      <c r="P386" s="2449">
        <f>IF(A386='Data Entry - SOF'!B$2,'Data Entry - SOF'!I$64,0)</f>
        <v>0</v>
      </c>
      <c r="Q386" s="1687">
        <f t="shared" si="72"/>
        <v>482267</v>
      </c>
      <c r="R386" s="2212" t="e">
        <f>IF('Report-M&amp;O2021'!C$18-'Report-SOF2021'!D$55&lt;=0,0,'Report-M&amp;O2021'!C$18-'Report-SOF2021'!D$55)</f>
        <v>#DIV/0!</v>
      </c>
      <c r="S386" s="2452" t="e">
        <f t="shared" si="67"/>
        <v>#DIV/0!</v>
      </c>
      <c r="T386" s="1708">
        <f>IF(A386='Data Entry - SOF'!B$2,'Data Entry - SOF'!K$64,0)</f>
        <v>0</v>
      </c>
      <c r="U386" s="1687">
        <f t="shared" si="71"/>
        <v>482267</v>
      </c>
      <c r="V386" s="2212" t="e">
        <f>IF('Report-M&amp;O2122'!C$18-'Report-SOF2122'!D$55&lt;=0,0,'Report-M&amp;O2122'!C$18-'Report-SOF2122'!D$55)</f>
        <v>#DIV/0!</v>
      </c>
      <c r="W386" s="2452" t="e">
        <f t="shared" si="68"/>
        <v>#DIV/0!</v>
      </c>
      <c r="X386" s="1708">
        <f>IF(A386='Data Entry - SOF'!B$2,'Data Entry - SOF'!M$64,0)</f>
        <v>0</v>
      </c>
      <c r="Y386" s="1371" t="e">
        <f t="shared" si="69"/>
        <v>#DIV/0!</v>
      </c>
      <c r="Z386" s="2212" t="e">
        <f>IF('Report-M&amp;O2223'!C$18-'Report-SOF2223'!D$55&lt;=0,0,'Report-M&amp;O2223'!C$18-'Report-SOF2223'!D$55)</f>
        <v>#DIV/0!</v>
      </c>
      <c r="AA386" s="1708">
        <f>IF(A386='Data Entry - SOF'!B$2,'Data Entry - SOF'!O$64,0)</f>
        <v>0</v>
      </c>
    </row>
    <row r="387" spans="1:27" ht="15.75">
      <c r="A387" s="1076" t="s">
        <v>2366</v>
      </c>
      <c r="B387">
        <v>6477425</v>
      </c>
      <c r="C387" s="2452" t="e">
        <f>#REF!+#REF!</f>
        <v>#REF!</v>
      </c>
      <c r="D387" s="2449">
        <f>IF(A387='Data Entry - SOF'!B$2,'Data Entry - SOF'!C$64,0)</f>
        <v>0</v>
      </c>
      <c r="E387" s="2450">
        <f t="shared" si="61"/>
        <v>6477425</v>
      </c>
      <c r="F387" s="2212" t="e">
        <f>IF('Report-M&amp;O1718'!C$18-'Report-SOF1718'!D$55&lt;=0,0,'Report-M&amp;O1718'!C$18-'Report-SOF1718'!D$55)</f>
        <v>#DIV/0!</v>
      </c>
      <c r="G387" s="2452" t="e">
        <f t="shared" si="62"/>
        <v>#DIV/0!</v>
      </c>
      <c r="H387" s="2449">
        <f>IF(A387='Data Entry - SOF'!B$2,'Data Entry - SOF'!E$64,0)</f>
        <v>0</v>
      </c>
      <c r="I387" s="1687">
        <f t="shared" si="63"/>
        <v>6477425</v>
      </c>
      <c r="J387" s="2212" t="e">
        <f>IF('Report-M&amp;O1819'!C$18-'Report-SOF1819'!D$55&lt;=0,0,'Report-M&amp;O1819'!C$18-'Report-SOF1819'!D$55)</f>
        <v>#DIV/0!</v>
      </c>
      <c r="K387" s="2452" t="e">
        <f t="shared" si="64"/>
        <v>#DIV/0!</v>
      </c>
      <c r="L387" s="2449">
        <f>IF(A387='Data Entry - SOF'!B$2,'Data Entry - SOF'!G$64,0)</f>
        <v>0</v>
      </c>
      <c r="M387" s="1371">
        <f t="shared" si="65"/>
        <v>6477425</v>
      </c>
      <c r="N387" s="2212" t="e">
        <f>IF('Report-M&amp;O1920'!C$18-'Report-SOF1920'!D$55&lt;=0,0,'Report-M&amp;O1920'!C$18-'Report-SOF1920'!D$55)</f>
        <v>#DIV/0!</v>
      </c>
      <c r="O387" s="2452" t="e">
        <f t="shared" si="66"/>
        <v>#DIV/0!</v>
      </c>
      <c r="P387" s="2449">
        <f>IF(A387='Data Entry - SOF'!B$2,'Data Entry - SOF'!I$64,0)</f>
        <v>0</v>
      </c>
      <c r="Q387" s="1687">
        <f t="shared" si="72"/>
        <v>6477425</v>
      </c>
      <c r="R387" s="2212" t="e">
        <f>IF('Report-M&amp;O2021'!C$18-'Report-SOF2021'!D$55&lt;=0,0,'Report-M&amp;O2021'!C$18-'Report-SOF2021'!D$55)</f>
        <v>#DIV/0!</v>
      </c>
      <c r="S387" s="2452" t="e">
        <f t="shared" si="67"/>
        <v>#DIV/0!</v>
      </c>
      <c r="T387" s="1708">
        <f>IF(A387='Data Entry - SOF'!B$2,'Data Entry - SOF'!K$64,0)</f>
        <v>0</v>
      </c>
      <c r="U387" s="1687">
        <f t="shared" si="71"/>
        <v>6477425</v>
      </c>
      <c r="V387" s="2212" t="e">
        <f>IF('Report-M&amp;O2122'!C$18-'Report-SOF2122'!D$55&lt;=0,0,'Report-M&amp;O2122'!C$18-'Report-SOF2122'!D$55)</f>
        <v>#DIV/0!</v>
      </c>
      <c r="W387" s="2452" t="e">
        <f t="shared" si="68"/>
        <v>#DIV/0!</v>
      </c>
      <c r="X387" s="1708">
        <f>IF(A387='Data Entry - SOF'!B$2,'Data Entry - SOF'!M$64,0)</f>
        <v>0</v>
      </c>
      <c r="Y387" s="1371" t="e">
        <f t="shared" si="69"/>
        <v>#DIV/0!</v>
      </c>
      <c r="Z387" s="2212" t="e">
        <f>IF('Report-M&amp;O2223'!C$18-'Report-SOF2223'!D$55&lt;=0,0,'Report-M&amp;O2223'!C$18-'Report-SOF2223'!D$55)</f>
        <v>#DIV/0!</v>
      </c>
      <c r="AA387" s="1708">
        <f>IF(A387='Data Entry - SOF'!B$2,'Data Entry - SOF'!O$64,0)</f>
        <v>0</v>
      </c>
    </row>
    <row r="388" spans="1:27" ht="15.75">
      <c r="A388" s="1076" t="s">
        <v>2367</v>
      </c>
      <c r="B388">
        <v>874000</v>
      </c>
      <c r="C388" s="2452" t="e">
        <f>#REF!+#REF!</f>
        <v>#REF!</v>
      </c>
      <c r="D388" s="2449">
        <f>IF(A388='Data Entry - SOF'!B$2,'Data Entry - SOF'!C$64,0)</f>
        <v>0</v>
      </c>
      <c r="E388" s="2450">
        <f t="shared" si="61"/>
        <v>874000</v>
      </c>
      <c r="F388" s="2212" t="e">
        <f>IF('Report-M&amp;O1718'!C$18-'Report-SOF1718'!D$55&lt;=0,0,'Report-M&amp;O1718'!C$18-'Report-SOF1718'!D$55)</f>
        <v>#DIV/0!</v>
      </c>
      <c r="G388" s="2452" t="e">
        <f t="shared" ref="G388:G451" si="73">E388+F388</f>
        <v>#DIV/0!</v>
      </c>
      <c r="H388" s="2449">
        <f>IF(A388='Data Entry - SOF'!B$2,'Data Entry - SOF'!E$64,0)</f>
        <v>0</v>
      </c>
      <c r="I388" s="1687">
        <f t="shared" ref="I388:I451" si="74">E388-H388</f>
        <v>874000</v>
      </c>
      <c r="J388" s="2212" t="e">
        <f>IF('Report-M&amp;O1819'!C$18-'Report-SOF1819'!D$55&lt;=0,0,'Report-M&amp;O1819'!C$18-'Report-SOF1819'!D$55)</f>
        <v>#DIV/0!</v>
      </c>
      <c r="K388" s="2452" t="e">
        <f t="shared" ref="K388:K451" si="75">I388+J388</f>
        <v>#DIV/0!</v>
      </c>
      <c r="L388" s="2449">
        <f>IF(A388='Data Entry - SOF'!B$2,'Data Entry - SOF'!G$64,0)</f>
        <v>0</v>
      </c>
      <c r="M388" s="1371">
        <f t="shared" ref="M388:M451" si="76">I388-L388</f>
        <v>874000</v>
      </c>
      <c r="N388" s="2212" t="e">
        <f>IF('Report-M&amp;O1920'!C$18-'Report-SOF1920'!D$55&lt;=0,0,'Report-M&amp;O1920'!C$18-'Report-SOF1920'!D$55)</f>
        <v>#DIV/0!</v>
      </c>
      <c r="O388" s="2452" t="e">
        <f t="shared" ref="O388:O451" si="77">M388+N388</f>
        <v>#DIV/0!</v>
      </c>
      <c r="P388" s="2449">
        <f>IF(A388='Data Entry - SOF'!B$2,'Data Entry - SOF'!I$64,0)</f>
        <v>0</v>
      </c>
      <c r="Q388" s="1687">
        <f t="shared" si="72"/>
        <v>874000</v>
      </c>
      <c r="R388" s="2212" t="e">
        <f>IF('Report-M&amp;O2021'!C$18-'Report-SOF2021'!D$55&lt;=0,0,'Report-M&amp;O2021'!C$18-'Report-SOF2021'!D$55)</f>
        <v>#DIV/0!</v>
      </c>
      <c r="S388" s="2452" t="e">
        <f t="shared" ref="S388:S451" si="78">Q388+R388</f>
        <v>#DIV/0!</v>
      </c>
      <c r="T388" s="1708">
        <f>IF(A388='Data Entry - SOF'!B$2,'Data Entry - SOF'!K$64,0)</f>
        <v>0</v>
      </c>
      <c r="U388" s="1687">
        <f t="shared" si="71"/>
        <v>874000</v>
      </c>
      <c r="V388" s="2212" t="e">
        <f>IF('Report-M&amp;O2122'!C$18-'Report-SOF2122'!D$55&lt;=0,0,'Report-M&amp;O2122'!C$18-'Report-SOF2122'!D$55)</f>
        <v>#DIV/0!</v>
      </c>
      <c r="W388" s="2452" t="e">
        <f t="shared" ref="W388:W451" si="79">U388+V388</f>
        <v>#DIV/0!</v>
      </c>
      <c r="X388" s="1708">
        <f>IF(A388='Data Entry - SOF'!B$2,'Data Entry - SOF'!M$64,0)</f>
        <v>0</v>
      </c>
      <c r="Y388" s="1371" t="e">
        <f t="shared" ref="Y388:Y451" si="80">IF(U388+V388-X388&lt;=0,0,U388+V388-X388)</f>
        <v>#DIV/0!</v>
      </c>
      <c r="Z388" s="2212" t="e">
        <f>IF('Report-M&amp;O2223'!C$18-'Report-SOF2223'!D$55&lt;=0,0,'Report-M&amp;O2223'!C$18-'Report-SOF2223'!D$55)</f>
        <v>#DIV/0!</v>
      </c>
      <c r="AA388" s="1708">
        <f>IF(A388='Data Entry - SOF'!B$2,'Data Entry - SOF'!O$64,0)</f>
        <v>0</v>
      </c>
    </row>
    <row r="389" spans="1:27" ht="15.75">
      <c r="A389" s="1076" t="s">
        <v>169</v>
      </c>
      <c r="B389">
        <v>753805</v>
      </c>
      <c r="C389" s="2452" t="e">
        <f>#REF!+#REF!</f>
        <v>#REF!</v>
      </c>
      <c r="D389" s="2449">
        <f>IF(A389='Data Entry - SOF'!B$2,'Data Entry - SOF'!C$64,0)</f>
        <v>0</v>
      </c>
      <c r="E389" s="2450">
        <f t="shared" ref="E389:E452" si="81">IF(B389-D389&lt;0,0,B389-D389)</f>
        <v>753805</v>
      </c>
      <c r="F389" s="2212" t="e">
        <f>IF('Report-M&amp;O1718'!C$18-'Report-SOF1718'!D$55&lt;=0,0,'Report-M&amp;O1718'!C$18-'Report-SOF1718'!D$55)</f>
        <v>#DIV/0!</v>
      </c>
      <c r="G389" s="2452" t="e">
        <f t="shared" si="73"/>
        <v>#DIV/0!</v>
      </c>
      <c r="H389" s="2449">
        <f>IF(A389='Data Entry - SOF'!B$2,'Data Entry - SOF'!E$64,0)</f>
        <v>0</v>
      </c>
      <c r="I389" s="1687">
        <f t="shared" si="74"/>
        <v>753805</v>
      </c>
      <c r="J389" s="2212" t="e">
        <f>IF('Report-M&amp;O1819'!C$18-'Report-SOF1819'!D$55&lt;=0,0,'Report-M&amp;O1819'!C$18-'Report-SOF1819'!D$55)</f>
        <v>#DIV/0!</v>
      </c>
      <c r="K389" s="2452" t="e">
        <f t="shared" si="75"/>
        <v>#DIV/0!</v>
      </c>
      <c r="L389" s="2449">
        <f>IF(A389='Data Entry - SOF'!B$2,'Data Entry - SOF'!G$64,0)</f>
        <v>0</v>
      </c>
      <c r="M389" s="1371">
        <f t="shared" si="76"/>
        <v>753805</v>
      </c>
      <c r="N389" s="2212" t="e">
        <f>IF('Report-M&amp;O1920'!C$18-'Report-SOF1920'!D$55&lt;=0,0,'Report-M&amp;O1920'!C$18-'Report-SOF1920'!D$55)</f>
        <v>#DIV/0!</v>
      </c>
      <c r="O389" s="2452" t="e">
        <f t="shared" si="77"/>
        <v>#DIV/0!</v>
      </c>
      <c r="P389" s="2449">
        <f>IF(A389='Data Entry - SOF'!B$2,'Data Entry - SOF'!I$64,0)</f>
        <v>0</v>
      </c>
      <c r="Q389" s="1687">
        <f t="shared" si="72"/>
        <v>753805</v>
      </c>
      <c r="R389" s="2212" t="e">
        <f>IF('Report-M&amp;O2021'!C$18-'Report-SOF2021'!D$55&lt;=0,0,'Report-M&amp;O2021'!C$18-'Report-SOF2021'!D$55)</f>
        <v>#DIV/0!</v>
      </c>
      <c r="S389" s="2452" t="e">
        <f t="shared" si="78"/>
        <v>#DIV/0!</v>
      </c>
      <c r="T389" s="1708">
        <f>IF(A389='Data Entry - SOF'!B$2,'Data Entry - SOF'!K$64,0)</f>
        <v>0</v>
      </c>
      <c r="U389" s="1687">
        <f t="shared" si="71"/>
        <v>753805</v>
      </c>
      <c r="V389" s="2212" t="e">
        <f>IF('Report-M&amp;O2122'!C$18-'Report-SOF2122'!D$55&lt;=0,0,'Report-M&amp;O2122'!C$18-'Report-SOF2122'!D$55)</f>
        <v>#DIV/0!</v>
      </c>
      <c r="W389" s="2452" t="e">
        <f t="shared" si="79"/>
        <v>#DIV/0!</v>
      </c>
      <c r="X389" s="1708">
        <f>IF(A389='Data Entry - SOF'!B$2,'Data Entry - SOF'!M$64,0)</f>
        <v>0</v>
      </c>
      <c r="Y389" s="1371" t="e">
        <f t="shared" si="80"/>
        <v>#DIV/0!</v>
      </c>
      <c r="Z389" s="2212" t="e">
        <f>IF('Report-M&amp;O2223'!C$18-'Report-SOF2223'!D$55&lt;=0,0,'Report-M&amp;O2223'!C$18-'Report-SOF2223'!D$55)</f>
        <v>#DIV/0!</v>
      </c>
      <c r="AA389" s="1708">
        <f>IF(A389='Data Entry - SOF'!B$2,'Data Entry - SOF'!O$64,0)</f>
        <v>0</v>
      </c>
    </row>
    <row r="390" spans="1:27" ht="15.75">
      <c r="A390" s="1076" t="s">
        <v>170</v>
      </c>
      <c r="B390">
        <v>1592515</v>
      </c>
      <c r="C390" s="2452" t="e">
        <f>#REF!+#REF!</f>
        <v>#REF!</v>
      </c>
      <c r="D390" s="2449">
        <f>IF(A390='Data Entry - SOF'!B$2,'Data Entry - SOF'!C$64,0)</f>
        <v>0</v>
      </c>
      <c r="E390" s="2450">
        <f t="shared" si="81"/>
        <v>1592515</v>
      </c>
      <c r="F390" s="2212" t="e">
        <f>IF('Report-M&amp;O1718'!C$18-'Report-SOF1718'!D$55&lt;=0,0,'Report-M&amp;O1718'!C$18-'Report-SOF1718'!D$55)</f>
        <v>#DIV/0!</v>
      </c>
      <c r="G390" s="2452" t="e">
        <f t="shared" si="73"/>
        <v>#DIV/0!</v>
      </c>
      <c r="H390" s="2449">
        <f>IF(A390='Data Entry - SOF'!B$2,'Data Entry - SOF'!E$64,0)</f>
        <v>0</v>
      </c>
      <c r="I390" s="1687">
        <f t="shared" si="74"/>
        <v>1592515</v>
      </c>
      <c r="J390" s="2212" t="e">
        <f>IF('Report-M&amp;O1819'!C$18-'Report-SOF1819'!D$55&lt;=0,0,'Report-M&amp;O1819'!C$18-'Report-SOF1819'!D$55)</f>
        <v>#DIV/0!</v>
      </c>
      <c r="K390" s="2452" t="e">
        <f t="shared" si="75"/>
        <v>#DIV/0!</v>
      </c>
      <c r="L390" s="2449">
        <f>IF(A390='Data Entry - SOF'!B$2,'Data Entry - SOF'!G$64,0)</f>
        <v>0</v>
      </c>
      <c r="M390" s="1371">
        <f t="shared" si="76"/>
        <v>1592515</v>
      </c>
      <c r="N390" s="2212" t="e">
        <f>IF('Report-M&amp;O1920'!C$18-'Report-SOF1920'!D$55&lt;=0,0,'Report-M&amp;O1920'!C$18-'Report-SOF1920'!D$55)</f>
        <v>#DIV/0!</v>
      </c>
      <c r="O390" s="2452" t="e">
        <f t="shared" si="77"/>
        <v>#DIV/0!</v>
      </c>
      <c r="P390" s="2449">
        <f>IF(A390='Data Entry - SOF'!B$2,'Data Entry - SOF'!I$64,0)</f>
        <v>0</v>
      </c>
      <c r="Q390" s="1687">
        <f t="shared" si="72"/>
        <v>1592515</v>
      </c>
      <c r="R390" s="2212" t="e">
        <f>IF('Report-M&amp;O2021'!C$18-'Report-SOF2021'!D$55&lt;=0,0,'Report-M&amp;O2021'!C$18-'Report-SOF2021'!D$55)</f>
        <v>#DIV/0!</v>
      </c>
      <c r="S390" s="2452" t="e">
        <f t="shared" si="78"/>
        <v>#DIV/0!</v>
      </c>
      <c r="T390" s="1708">
        <f>IF(A390='Data Entry - SOF'!B$2,'Data Entry - SOF'!K$64,0)</f>
        <v>0</v>
      </c>
      <c r="U390" s="1687">
        <f t="shared" si="71"/>
        <v>1592515</v>
      </c>
      <c r="V390" s="2212" t="e">
        <f>IF('Report-M&amp;O2122'!C$18-'Report-SOF2122'!D$55&lt;=0,0,'Report-M&amp;O2122'!C$18-'Report-SOF2122'!D$55)</f>
        <v>#DIV/0!</v>
      </c>
      <c r="W390" s="2452" t="e">
        <f t="shared" si="79"/>
        <v>#DIV/0!</v>
      </c>
      <c r="X390" s="1708">
        <f>IF(A390='Data Entry - SOF'!B$2,'Data Entry - SOF'!M$64,0)</f>
        <v>0</v>
      </c>
      <c r="Y390" s="1371" t="e">
        <f t="shared" si="80"/>
        <v>#DIV/0!</v>
      </c>
      <c r="Z390" s="2212" t="e">
        <f>IF('Report-M&amp;O2223'!C$18-'Report-SOF2223'!D$55&lt;=0,0,'Report-M&amp;O2223'!C$18-'Report-SOF2223'!D$55)</f>
        <v>#DIV/0!</v>
      </c>
      <c r="AA390" s="1708">
        <f>IF(A390='Data Entry - SOF'!B$2,'Data Entry - SOF'!O$64,0)</f>
        <v>0</v>
      </c>
    </row>
    <row r="391" spans="1:27" ht="15.75">
      <c r="A391" s="1076" t="s">
        <v>2867</v>
      </c>
      <c r="B391">
        <v>889008</v>
      </c>
      <c r="C391" s="2452" t="e">
        <f>#REF!+#REF!</f>
        <v>#REF!</v>
      </c>
      <c r="D391" s="2449">
        <f>IF(A391='Data Entry - SOF'!B$2,'Data Entry - SOF'!C$64,0)</f>
        <v>0</v>
      </c>
      <c r="E391" s="2450">
        <f t="shared" si="81"/>
        <v>889008</v>
      </c>
      <c r="F391" s="2212" t="e">
        <f>IF('Report-M&amp;O1718'!C$18-'Report-SOF1718'!D$55&lt;=0,0,'Report-M&amp;O1718'!C$18-'Report-SOF1718'!D$55)</f>
        <v>#DIV/0!</v>
      </c>
      <c r="G391" s="2452" t="e">
        <f t="shared" si="73"/>
        <v>#DIV/0!</v>
      </c>
      <c r="H391" s="2449">
        <f>IF(A391='Data Entry - SOF'!B$2,'Data Entry - SOF'!E$64,0)</f>
        <v>0</v>
      </c>
      <c r="I391" s="1687">
        <f t="shared" si="74"/>
        <v>889008</v>
      </c>
      <c r="J391" s="2212" t="e">
        <f>IF('Report-M&amp;O1819'!C$18-'Report-SOF1819'!D$55&lt;=0,0,'Report-M&amp;O1819'!C$18-'Report-SOF1819'!D$55)</f>
        <v>#DIV/0!</v>
      </c>
      <c r="K391" s="2452" t="e">
        <f t="shared" si="75"/>
        <v>#DIV/0!</v>
      </c>
      <c r="L391" s="2449">
        <f>IF(A391='Data Entry - SOF'!B$2,'Data Entry - SOF'!G$64,0)</f>
        <v>0</v>
      </c>
      <c r="M391" s="1371">
        <f t="shared" si="76"/>
        <v>889008</v>
      </c>
      <c r="N391" s="2212" t="e">
        <f>IF('Report-M&amp;O1920'!C$18-'Report-SOF1920'!D$55&lt;=0,0,'Report-M&amp;O1920'!C$18-'Report-SOF1920'!D$55)</f>
        <v>#DIV/0!</v>
      </c>
      <c r="O391" s="2452" t="e">
        <f t="shared" si="77"/>
        <v>#DIV/0!</v>
      </c>
      <c r="P391" s="2449">
        <f>IF(A391='Data Entry - SOF'!B$2,'Data Entry - SOF'!I$64,0)</f>
        <v>0</v>
      </c>
      <c r="Q391" s="1687">
        <f t="shared" si="72"/>
        <v>889008</v>
      </c>
      <c r="R391" s="2212" t="e">
        <f>IF('Report-M&amp;O2021'!C$18-'Report-SOF2021'!D$55&lt;=0,0,'Report-M&amp;O2021'!C$18-'Report-SOF2021'!D$55)</f>
        <v>#DIV/0!</v>
      </c>
      <c r="S391" s="2452" t="e">
        <f t="shared" si="78"/>
        <v>#DIV/0!</v>
      </c>
      <c r="T391" s="1708">
        <f>IF(A391='Data Entry - SOF'!B$2,'Data Entry - SOF'!K$64,0)</f>
        <v>0</v>
      </c>
      <c r="U391" s="1687">
        <f t="shared" si="71"/>
        <v>889008</v>
      </c>
      <c r="V391" s="2212" t="e">
        <f>IF('Report-M&amp;O2122'!C$18-'Report-SOF2122'!D$55&lt;=0,0,'Report-M&amp;O2122'!C$18-'Report-SOF2122'!D$55)</f>
        <v>#DIV/0!</v>
      </c>
      <c r="W391" s="2452" t="e">
        <f t="shared" si="79"/>
        <v>#DIV/0!</v>
      </c>
      <c r="X391" s="1708">
        <f>IF(A391='Data Entry - SOF'!B$2,'Data Entry - SOF'!M$64,0)</f>
        <v>0</v>
      </c>
      <c r="Y391" s="1371" t="e">
        <f t="shared" si="80"/>
        <v>#DIV/0!</v>
      </c>
      <c r="Z391" s="2212" t="e">
        <f>IF('Report-M&amp;O2223'!C$18-'Report-SOF2223'!D$55&lt;=0,0,'Report-M&amp;O2223'!C$18-'Report-SOF2223'!D$55)</f>
        <v>#DIV/0!</v>
      </c>
      <c r="AA391" s="1708">
        <f>IF(A391='Data Entry - SOF'!B$2,'Data Entry - SOF'!O$64,0)</f>
        <v>0</v>
      </c>
    </row>
    <row r="392" spans="1:27" ht="15.75">
      <c r="A392" s="1076" t="s">
        <v>2674</v>
      </c>
      <c r="B392">
        <v>3287729</v>
      </c>
      <c r="C392" s="2452" t="e">
        <f>#REF!+#REF!</f>
        <v>#REF!</v>
      </c>
      <c r="D392" s="2449">
        <f>IF(A392='Data Entry - SOF'!B$2,'Data Entry - SOF'!C$64,0)</f>
        <v>0</v>
      </c>
      <c r="E392" s="2450">
        <f t="shared" si="81"/>
        <v>3287729</v>
      </c>
      <c r="F392" s="2212" t="e">
        <f>IF('Report-M&amp;O1718'!C$18-'Report-SOF1718'!D$55&lt;=0,0,'Report-M&amp;O1718'!C$18-'Report-SOF1718'!D$55)</f>
        <v>#DIV/0!</v>
      </c>
      <c r="G392" s="2452" t="e">
        <f t="shared" si="73"/>
        <v>#DIV/0!</v>
      </c>
      <c r="H392" s="2449">
        <f>IF(A392='Data Entry - SOF'!B$2,'Data Entry - SOF'!E$64,0)</f>
        <v>0</v>
      </c>
      <c r="I392" s="1687">
        <f t="shared" si="74"/>
        <v>3287729</v>
      </c>
      <c r="J392" s="2212" t="e">
        <f>IF('Report-M&amp;O1819'!C$18-'Report-SOF1819'!D$55&lt;=0,0,'Report-M&amp;O1819'!C$18-'Report-SOF1819'!D$55)</f>
        <v>#DIV/0!</v>
      </c>
      <c r="K392" s="2452" t="e">
        <f t="shared" si="75"/>
        <v>#DIV/0!</v>
      </c>
      <c r="L392" s="2449">
        <f>IF(A392='Data Entry - SOF'!B$2,'Data Entry - SOF'!G$64,0)</f>
        <v>0</v>
      </c>
      <c r="M392" s="1371">
        <f t="shared" si="76"/>
        <v>3287729</v>
      </c>
      <c r="N392" s="2212" t="e">
        <f>IF('Report-M&amp;O1920'!C$18-'Report-SOF1920'!D$55&lt;=0,0,'Report-M&amp;O1920'!C$18-'Report-SOF1920'!D$55)</f>
        <v>#DIV/0!</v>
      </c>
      <c r="O392" s="2452" t="e">
        <f t="shared" si="77"/>
        <v>#DIV/0!</v>
      </c>
      <c r="P392" s="2449">
        <f>IF(A392='Data Entry - SOF'!B$2,'Data Entry - SOF'!I$64,0)</f>
        <v>0</v>
      </c>
      <c r="Q392" s="1687">
        <f t="shared" si="72"/>
        <v>3287729</v>
      </c>
      <c r="R392" s="2212" t="e">
        <f>IF('Report-M&amp;O2021'!C$18-'Report-SOF2021'!D$55&lt;=0,0,'Report-M&amp;O2021'!C$18-'Report-SOF2021'!D$55)</f>
        <v>#DIV/0!</v>
      </c>
      <c r="S392" s="2452" t="e">
        <f t="shared" si="78"/>
        <v>#DIV/0!</v>
      </c>
      <c r="T392" s="1708">
        <f>IF(A392='Data Entry - SOF'!B$2,'Data Entry - SOF'!K$64,0)</f>
        <v>0</v>
      </c>
      <c r="U392" s="1687">
        <f t="shared" si="71"/>
        <v>3287729</v>
      </c>
      <c r="V392" s="2212" t="e">
        <f>IF('Report-M&amp;O2122'!C$18-'Report-SOF2122'!D$55&lt;=0,0,'Report-M&amp;O2122'!C$18-'Report-SOF2122'!D$55)</f>
        <v>#DIV/0!</v>
      </c>
      <c r="W392" s="2452" t="e">
        <f t="shared" si="79"/>
        <v>#DIV/0!</v>
      </c>
      <c r="X392" s="1708">
        <f>IF(A392='Data Entry - SOF'!B$2,'Data Entry - SOF'!M$64,0)</f>
        <v>0</v>
      </c>
      <c r="Y392" s="1371" t="e">
        <f t="shared" si="80"/>
        <v>#DIV/0!</v>
      </c>
      <c r="Z392" s="2212" t="e">
        <f>IF('Report-M&amp;O2223'!C$18-'Report-SOF2223'!D$55&lt;=0,0,'Report-M&amp;O2223'!C$18-'Report-SOF2223'!D$55)</f>
        <v>#DIV/0!</v>
      </c>
      <c r="AA392" s="1708">
        <f>IF(A392='Data Entry - SOF'!B$2,'Data Entry - SOF'!O$64,0)</f>
        <v>0</v>
      </c>
    </row>
    <row r="393" spans="1:27" ht="15.75">
      <c r="A393" s="1076" t="s">
        <v>1281</v>
      </c>
      <c r="B393">
        <v>3180493</v>
      </c>
      <c r="C393" s="2452" t="e">
        <f>#REF!+#REF!</f>
        <v>#REF!</v>
      </c>
      <c r="D393" s="2449">
        <f>IF(A393='Data Entry - SOF'!B$2,'Data Entry - SOF'!C$64,0)</f>
        <v>0</v>
      </c>
      <c r="E393" s="2450">
        <f t="shared" si="81"/>
        <v>3180493</v>
      </c>
      <c r="F393" s="2212" t="e">
        <f>IF('Report-M&amp;O1718'!C$18-'Report-SOF1718'!D$55&lt;=0,0,'Report-M&amp;O1718'!C$18-'Report-SOF1718'!D$55)</f>
        <v>#DIV/0!</v>
      </c>
      <c r="G393" s="2452" t="e">
        <f t="shared" si="73"/>
        <v>#DIV/0!</v>
      </c>
      <c r="H393" s="2449">
        <f>IF(A393='Data Entry - SOF'!B$2,'Data Entry - SOF'!E$64,0)</f>
        <v>0</v>
      </c>
      <c r="I393" s="1687">
        <f t="shared" si="74"/>
        <v>3180493</v>
      </c>
      <c r="J393" s="2212" t="e">
        <f>IF('Report-M&amp;O1819'!C$18-'Report-SOF1819'!D$55&lt;=0,0,'Report-M&amp;O1819'!C$18-'Report-SOF1819'!D$55)</f>
        <v>#DIV/0!</v>
      </c>
      <c r="K393" s="2452" t="e">
        <f t="shared" si="75"/>
        <v>#DIV/0!</v>
      </c>
      <c r="L393" s="2449">
        <f>IF(A393='Data Entry - SOF'!B$2,'Data Entry - SOF'!G$64,0)</f>
        <v>0</v>
      </c>
      <c r="M393" s="1371">
        <f t="shared" si="76"/>
        <v>3180493</v>
      </c>
      <c r="N393" s="2212" t="e">
        <f>IF('Report-M&amp;O1920'!C$18-'Report-SOF1920'!D$55&lt;=0,0,'Report-M&amp;O1920'!C$18-'Report-SOF1920'!D$55)</f>
        <v>#DIV/0!</v>
      </c>
      <c r="O393" s="2452" t="e">
        <f t="shared" si="77"/>
        <v>#DIV/0!</v>
      </c>
      <c r="P393" s="2449">
        <f>IF(A393='Data Entry - SOF'!B$2,'Data Entry - SOF'!I$64,0)</f>
        <v>0</v>
      </c>
      <c r="Q393" s="1687">
        <f t="shared" si="72"/>
        <v>3180493</v>
      </c>
      <c r="R393" s="2212" t="e">
        <f>IF('Report-M&amp;O2021'!C$18-'Report-SOF2021'!D$55&lt;=0,0,'Report-M&amp;O2021'!C$18-'Report-SOF2021'!D$55)</f>
        <v>#DIV/0!</v>
      </c>
      <c r="S393" s="2452" t="e">
        <f t="shared" si="78"/>
        <v>#DIV/0!</v>
      </c>
      <c r="T393" s="1708">
        <f>IF(A393='Data Entry - SOF'!B$2,'Data Entry - SOF'!K$64,0)</f>
        <v>0</v>
      </c>
      <c r="U393" s="1687">
        <f t="shared" si="71"/>
        <v>3180493</v>
      </c>
      <c r="V393" s="2212" t="e">
        <f>IF('Report-M&amp;O2122'!C$18-'Report-SOF2122'!D$55&lt;=0,0,'Report-M&amp;O2122'!C$18-'Report-SOF2122'!D$55)</f>
        <v>#DIV/0!</v>
      </c>
      <c r="W393" s="2452" t="e">
        <f t="shared" si="79"/>
        <v>#DIV/0!</v>
      </c>
      <c r="X393" s="1708">
        <f>IF(A393='Data Entry - SOF'!B$2,'Data Entry - SOF'!M$64,0)</f>
        <v>0</v>
      </c>
      <c r="Y393" s="1371" t="e">
        <f t="shared" si="80"/>
        <v>#DIV/0!</v>
      </c>
      <c r="Z393" s="2212" t="e">
        <f>IF('Report-M&amp;O2223'!C$18-'Report-SOF2223'!D$55&lt;=0,0,'Report-M&amp;O2223'!C$18-'Report-SOF2223'!D$55)</f>
        <v>#DIV/0!</v>
      </c>
      <c r="AA393" s="1708">
        <f>IF(A393='Data Entry - SOF'!B$2,'Data Entry - SOF'!O$64,0)</f>
        <v>0</v>
      </c>
    </row>
    <row r="394" spans="1:27" ht="15.75">
      <c r="A394" s="1076" t="s">
        <v>1282</v>
      </c>
      <c r="B394">
        <v>6505662</v>
      </c>
      <c r="C394" s="2452" t="e">
        <f>#REF!+#REF!</f>
        <v>#REF!</v>
      </c>
      <c r="D394" s="2449">
        <f>IF(A394='Data Entry - SOF'!B$2,'Data Entry - SOF'!C$64,0)</f>
        <v>0</v>
      </c>
      <c r="E394" s="2450">
        <f t="shared" si="81"/>
        <v>6505662</v>
      </c>
      <c r="F394" s="2212" t="e">
        <f>IF('Report-M&amp;O1718'!C$18-'Report-SOF1718'!D$55&lt;=0,0,'Report-M&amp;O1718'!C$18-'Report-SOF1718'!D$55)</f>
        <v>#DIV/0!</v>
      </c>
      <c r="G394" s="2452" t="e">
        <f t="shared" si="73"/>
        <v>#DIV/0!</v>
      </c>
      <c r="H394" s="2449">
        <f>IF(A394='Data Entry - SOF'!B$2,'Data Entry - SOF'!E$64,0)</f>
        <v>0</v>
      </c>
      <c r="I394" s="1687">
        <f t="shared" si="74"/>
        <v>6505662</v>
      </c>
      <c r="J394" s="2212" t="e">
        <f>IF('Report-M&amp;O1819'!C$18-'Report-SOF1819'!D$55&lt;=0,0,'Report-M&amp;O1819'!C$18-'Report-SOF1819'!D$55)</f>
        <v>#DIV/0!</v>
      </c>
      <c r="K394" s="2452" t="e">
        <f t="shared" si="75"/>
        <v>#DIV/0!</v>
      </c>
      <c r="L394" s="2449">
        <f>IF(A394='Data Entry - SOF'!B$2,'Data Entry - SOF'!G$64,0)</f>
        <v>0</v>
      </c>
      <c r="M394" s="1371">
        <f t="shared" si="76"/>
        <v>6505662</v>
      </c>
      <c r="N394" s="2212" t="e">
        <f>IF('Report-M&amp;O1920'!C$18-'Report-SOF1920'!D$55&lt;=0,0,'Report-M&amp;O1920'!C$18-'Report-SOF1920'!D$55)</f>
        <v>#DIV/0!</v>
      </c>
      <c r="O394" s="2452" t="e">
        <f t="shared" si="77"/>
        <v>#DIV/0!</v>
      </c>
      <c r="P394" s="2449">
        <f>IF(A394='Data Entry - SOF'!B$2,'Data Entry - SOF'!I$64,0)</f>
        <v>0</v>
      </c>
      <c r="Q394" s="1687">
        <f t="shared" si="72"/>
        <v>6505662</v>
      </c>
      <c r="R394" s="2212" t="e">
        <f>IF('Report-M&amp;O2021'!C$18-'Report-SOF2021'!D$55&lt;=0,0,'Report-M&amp;O2021'!C$18-'Report-SOF2021'!D$55)</f>
        <v>#DIV/0!</v>
      </c>
      <c r="S394" s="2452" t="e">
        <f t="shared" si="78"/>
        <v>#DIV/0!</v>
      </c>
      <c r="T394" s="1708">
        <f>IF(A394='Data Entry - SOF'!B$2,'Data Entry - SOF'!K$64,0)</f>
        <v>0</v>
      </c>
      <c r="U394" s="1687">
        <f t="shared" si="71"/>
        <v>6505662</v>
      </c>
      <c r="V394" s="2212" t="e">
        <f>IF('Report-M&amp;O2122'!C$18-'Report-SOF2122'!D$55&lt;=0,0,'Report-M&amp;O2122'!C$18-'Report-SOF2122'!D$55)</f>
        <v>#DIV/0!</v>
      </c>
      <c r="W394" s="2452" t="e">
        <f t="shared" si="79"/>
        <v>#DIV/0!</v>
      </c>
      <c r="X394" s="1708">
        <f>IF(A394='Data Entry - SOF'!B$2,'Data Entry - SOF'!M$64,0)</f>
        <v>0</v>
      </c>
      <c r="Y394" s="1371" t="e">
        <f t="shared" si="80"/>
        <v>#DIV/0!</v>
      </c>
      <c r="Z394" s="2212" t="e">
        <f>IF('Report-M&amp;O2223'!C$18-'Report-SOF2223'!D$55&lt;=0,0,'Report-M&amp;O2223'!C$18-'Report-SOF2223'!D$55)</f>
        <v>#DIV/0!</v>
      </c>
      <c r="AA394" s="1708">
        <f>IF(A394='Data Entry - SOF'!B$2,'Data Entry - SOF'!O$64,0)</f>
        <v>0</v>
      </c>
    </row>
    <row r="395" spans="1:27" ht="15.75">
      <c r="A395" s="1076" t="s">
        <v>2416</v>
      </c>
      <c r="B395">
        <v>2494490</v>
      </c>
      <c r="C395" s="2452" t="e">
        <f>#REF!+#REF!</f>
        <v>#REF!</v>
      </c>
      <c r="D395" s="2449">
        <f>IF(A395='Data Entry - SOF'!B$2,'Data Entry - SOF'!C$64,0)</f>
        <v>0</v>
      </c>
      <c r="E395" s="2450">
        <f t="shared" si="81"/>
        <v>2494490</v>
      </c>
      <c r="F395" s="2212" t="e">
        <f>IF('Report-M&amp;O1718'!C$18-'Report-SOF1718'!D$55&lt;=0,0,'Report-M&amp;O1718'!C$18-'Report-SOF1718'!D$55)</f>
        <v>#DIV/0!</v>
      </c>
      <c r="G395" s="2452" t="e">
        <f t="shared" si="73"/>
        <v>#DIV/0!</v>
      </c>
      <c r="H395" s="2449">
        <f>IF(A395='Data Entry - SOF'!B$2,'Data Entry - SOF'!E$64,0)</f>
        <v>0</v>
      </c>
      <c r="I395" s="1687">
        <f t="shared" si="74"/>
        <v>2494490</v>
      </c>
      <c r="J395" s="2212" t="e">
        <f>IF('Report-M&amp;O1819'!C$18-'Report-SOF1819'!D$55&lt;=0,0,'Report-M&amp;O1819'!C$18-'Report-SOF1819'!D$55)</f>
        <v>#DIV/0!</v>
      </c>
      <c r="K395" s="2452" t="e">
        <f t="shared" si="75"/>
        <v>#DIV/0!</v>
      </c>
      <c r="L395" s="2449">
        <f>IF(A395='Data Entry - SOF'!B$2,'Data Entry - SOF'!G$64,0)</f>
        <v>0</v>
      </c>
      <c r="M395" s="1371">
        <f t="shared" si="76"/>
        <v>2494490</v>
      </c>
      <c r="N395" s="2212" t="e">
        <f>IF('Report-M&amp;O1920'!C$18-'Report-SOF1920'!D$55&lt;=0,0,'Report-M&amp;O1920'!C$18-'Report-SOF1920'!D$55)</f>
        <v>#DIV/0!</v>
      </c>
      <c r="O395" s="2452" t="e">
        <f t="shared" si="77"/>
        <v>#DIV/0!</v>
      </c>
      <c r="P395" s="2449">
        <f>IF(A395='Data Entry - SOF'!B$2,'Data Entry - SOF'!I$64,0)</f>
        <v>0</v>
      </c>
      <c r="Q395" s="1687">
        <f t="shared" si="72"/>
        <v>2494490</v>
      </c>
      <c r="R395" s="2212" t="e">
        <f>IF('Report-M&amp;O2021'!C$18-'Report-SOF2021'!D$55&lt;=0,0,'Report-M&amp;O2021'!C$18-'Report-SOF2021'!D$55)</f>
        <v>#DIV/0!</v>
      </c>
      <c r="S395" s="2452" t="e">
        <f t="shared" si="78"/>
        <v>#DIV/0!</v>
      </c>
      <c r="T395" s="1708">
        <f>IF(A395='Data Entry - SOF'!B$2,'Data Entry - SOF'!K$64,0)</f>
        <v>0</v>
      </c>
      <c r="U395" s="1687">
        <f t="shared" si="71"/>
        <v>2494490</v>
      </c>
      <c r="V395" s="2212" t="e">
        <f>IF('Report-M&amp;O2122'!C$18-'Report-SOF2122'!D$55&lt;=0,0,'Report-M&amp;O2122'!C$18-'Report-SOF2122'!D$55)</f>
        <v>#DIV/0!</v>
      </c>
      <c r="W395" s="2452" t="e">
        <f t="shared" si="79"/>
        <v>#DIV/0!</v>
      </c>
      <c r="X395" s="1708">
        <f>IF(A395='Data Entry - SOF'!B$2,'Data Entry - SOF'!M$64,0)</f>
        <v>0</v>
      </c>
      <c r="Y395" s="1371" t="e">
        <f t="shared" si="80"/>
        <v>#DIV/0!</v>
      </c>
      <c r="Z395" s="2212" t="e">
        <f>IF('Report-M&amp;O2223'!C$18-'Report-SOF2223'!D$55&lt;=0,0,'Report-M&amp;O2223'!C$18-'Report-SOF2223'!D$55)</f>
        <v>#DIV/0!</v>
      </c>
      <c r="AA395" s="1708">
        <f>IF(A395='Data Entry - SOF'!B$2,'Data Entry - SOF'!O$64,0)</f>
        <v>0</v>
      </c>
    </row>
    <row r="396" spans="1:27" ht="15.75">
      <c r="A396" s="1076" t="s">
        <v>2417</v>
      </c>
      <c r="B396">
        <v>2271454</v>
      </c>
      <c r="C396" s="2452" t="e">
        <f>#REF!+#REF!</f>
        <v>#REF!</v>
      </c>
      <c r="D396" s="2449">
        <f>IF(A396='Data Entry - SOF'!B$2,'Data Entry - SOF'!C$64,0)</f>
        <v>0</v>
      </c>
      <c r="E396" s="2450">
        <f t="shared" si="81"/>
        <v>2271454</v>
      </c>
      <c r="F396" s="2212" t="e">
        <f>IF('Report-M&amp;O1718'!C$18-'Report-SOF1718'!D$55&lt;=0,0,'Report-M&amp;O1718'!C$18-'Report-SOF1718'!D$55)</f>
        <v>#DIV/0!</v>
      </c>
      <c r="G396" s="2452" t="e">
        <f t="shared" si="73"/>
        <v>#DIV/0!</v>
      </c>
      <c r="H396" s="2449">
        <f>IF(A396='Data Entry - SOF'!B$2,'Data Entry - SOF'!E$64,0)</f>
        <v>0</v>
      </c>
      <c r="I396" s="1687">
        <f t="shared" si="74"/>
        <v>2271454</v>
      </c>
      <c r="J396" s="2212" t="e">
        <f>IF('Report-M&amp;O1819'!C$18-'Report-SOF1819'!D$55&lt;=0,0,'Report-M&amp;O1819'!C$18-'Report-SOF1819'!D$55)</f>
        <v>#DIV/0!</v>
      </c>
      <c r="K396" s="2452" t="e">
        <f t="shared" si="75"/>
        <v>#DIV/0!</v>
      </c>
      <c r="L396" s="2449">
        <f>IF(A396='Data Entry - SOF'!B$2,'Data Entry - SOF'!G$64,0)</f>
        <v>0</v>
      </c>
      <c r="M396" s="1371">
        <f t="shared" si="76"/>
        <v>2271454</v>
      </c>
      <c r="N396" s="2212" t="e">
        <f>IF('Report-M&amp;O1920'!C$18-'Report-SOF1920'!D$55&lt;=0,0,'Report-M&amp;O1920'!C$18-'Report-SOF1920'!D$55)</f>
        <v>#DIV/0!</v>
      </c>
      <c r="O396" s="2452" t="e">
        <f t="shared" si="77"/>
        <v>#DIV/0!</v>
      </c>
      <c r="P396" s="2449">
        <f>IF(A396='Data Entry - SOF'!B$2,'Data Entry - SOF'!I$64,0)</f>
        <v>0</v>
      </c>
      <c r="Q396" s="1687">
        <f t="shared" si="72"/>
        <v>2271454</v>
      </c>
      <c r="R396" s="2212" t="e">
        <f>IF('Report-M&amp;O2021'!C$18-'Report-SOF2021'!D$55&lt;=0,0,'Report-M&amp;O2021'!C$18-'Report-SOF2021'!D$55)</f>
        <v>#DIV/0!</v>
      </c>
      <c r="S396" s="2452" t="e">
        <f t="shared" si="78"/>
        <v>#DIV/0!</v>
      </c>
      <c r="T396" s="1708">
        <f>IF(A396='Data Entry - SOF'!B$2,'Data Entry - SOF'!K$64,0)</f>
        <v>0</v>
      </c>
      <c r="U396" s="1687">
        <f t="shared" si="71"/>
        <v>2271454</v>
      </c>
      <c r="V396" s="2212" t="e">
        <f>IF('Report-M&amp;O2122'!C$18-'Report-SOF2122'!D$55&lt;=0,0,'Report-M&amp;O2122'!C$18-'Report-SOF2122'!D$55)</f>
        <v>#DIV/0!</v>
      </c>
      <c r="W396" s="2452" t="e">
        <f t="shared" si="79"/>
        <v>#DIV/0!</v>
      </c>
      <c r="X396" s="1708">
        <f>IF(A396='Data Entry - SOF'!B$2,'Data Entry - SOF'!M$64,0)</f>
        <v>0</v>
      </c>
      <c r="Y396" s="1371" t="e">
        <f t="shared" si="80"/>
        <v>#DIV/0!</v>
      </c>
      <c r="Z396" s="2212" t="e">
        <f>IF('Report-M&amp;O2223'!C$18-'Report-SOF2223'!D$55&lt;=0,0,'Report-M&amp;O2223'!C$18-'Report-SOF2223'!D$55)</f>
        <v>#DIV/0!</v>
      </c>
      <c r="AA396" s="1708">
        <f>IF(A396='Data Entry - SOF'!B$2,'Data Entry - SOF'!O$64,0)</f>
        <v>0</v>
      </c>
    </row>
    <row r="397" spans="1:27" ht="15.75">
      <c r="A397" s="1076" t="s">
        <v>1158</v>
      </c>
      <c r="B397">
        <v>1816019</v>
      </c>
      <c r="C397" s="2452" t="e">
        <f>#REF!+#REF!</f>
        <v>#REF!</v>
      </c>
      <c r="D397" s="2449">
        <f>IF(A397='Data Entry - SOF'!B$2,'Data Entry - SOF'!C$64,0)</f>
        <v>0</v>
      </c>
      <c r="E397" s="2450">
        <f t="shared" si="81"/>
        <v>1816019</v>
      </c>
      <c r="F397" s="2212" t="e">
        <f>IF('Report-M&amp;O1718'!C$18-'Report-SOF1718'!D$55&lt;=0,0,'Report-M&amp;O1718'!C$18-'Report-SOF1718'!D$55)</f>
        <v>#DIV/0!</v>
      </c>
      <c r="G397" s="2452" t="e">
        <f t="shared" si="73"/>
        <v>#DIV/0!</v>
      </c>
      <c r="H397" s="2449">
        <f>IF(A397='Data Entry - SOF'!B$2,'Data Entry - SOF'!E$64,0)</f>
        <v>0</v>
      </c>
      <c r="I397" s="1687">
        <f t="shared" si="74"/>
        <v>1816019</v>
      </c>
      <c r="J397" s="2212" t="e">
        <f>IF('Report-M&amp;O1819'!C$18-'Report-SOF1819'!D$55&lt;=0,0,'Report-M&amp;O1819'!C$18-'Report-SOF1819'!D$55)</f>
        <v>#DIV/0!</v>
      </c>
      <c r="K397" s="2452" t="e">
        <f t="shared" si="75"/>
        <v>#DIV/0!</v>
      </c>
      <c r="L397" s="2449">
        <f>IF(A397='Data Entry - SOF'!B$2,'Data Entry - SOF'!G$64,0)</f>
        <v>0</v>
      </c>
      <c r="M397" s="1371">
        <f t="shared" si="76"/>
        <v>1816019</v>
      </c>
      <c r="N397" s="2212" t="e">
        <f>IF('Report-M&amp;O1920'!C$18-'Report-SOF1920'!D$55&lt;=0,0,'Report-M&amp;O1920'!C$18-'Report-SOF1920'!D$55)</f>
        <v>#DIV/0!</v>
      </c>
      <c r="O397" s="2452" t="e">
        <f t="shared" si="77"/>
        <v>#DIV/0!</v>
      </c>
      <c r="P397" s="2449">
        <f>IF(A397='Data Entry - SOF'!B$2,'Data Entry - SOF'!I$64,0)</f>
        <v>0</v>
      </c>
      <c r="Q397" s="1687">
        <f t="shared" si="72"/>
        <v>1816019</v>
      </c>
      <c r="R397" s="2212" t="e">
        <f>IF('Report-M&amp;O2021'!C$18-'Report-SOF2021'!D$55&lt;=0,0,'Report-M&amp;O2021'!C$18-'Report-SOF2021'!D$55)</f>
        <v>#DIV/0!</v>
      </c>
      <c r="S397" s="2452" t="e">
        <f t="shared" si="78"/>
        <v>#DIV/0!</v>
      </c>
      <c r="T397" s="1708">
        <f>IF(A397='Data Entry - SOF'!B$2,'Data Entry - SOF'!K$64,0)</f>
        <v>0</v>
      </c>
      <c r="U397" s="1687">
        <f t="shared" si="71"/>
        <v>1816019</v>
      </c>
      <c r="V397" s="2212" t="e">
        <f>IF('Report-M&amp;O2122'!C$18-'Report-SOF2122'!D$55&lt;=0,0,'Report-M&amp;O2122'!C$18-'Report-SOF2122'!D$55)</f>
        <v>#DIV/0!</v>
      </c>
      <c r="W397" s="2452" t="e">
        <f t="shared" si="79"/>
        <v>#DIV/0!</v>
      </c>
      <c r="X397" s="1708">
        <f>IF(A397='Data Entry - SOF'!B$2,'Data Entry - SOF'!M$64,0)</f>
        <v>0</v>
      </c>
      <c r="Y397" s="1371" t="e">
        <f t="shared" si="80"/>
        <v>#DIV/0!</v>
      </c>
      <c r="Z397" s="2212" t="e">
        <f>IF('Report-M&amp;O2223'!C$18-'Report-SOF2223'!D$55&lt;=0,0,'Report-M&amp;O2223'!C$18-'Report-SOF2223'!D$55)</f>
        <v>#DIV/0!</v>
      </c>
      <c r="AA397" s="1708">
        <f>IF(A397='Data Entry - SOF'!B$2,'Data Entry - SOF'!O$64,0)</f>
        <v>0</v>
      </c>
    </row>
    <row r="398" spans="1:27" ht="15.75">
      <c r="A398" s="1076" t="s">
        <v>1312</v>
      </c>
      <c r="B398">
        <v>5396799</v>
      </c>
      <c r="C398" s="2452" t="e">
        <f>#REF!+#REF!</f>
        <v>#REF!</v>
      </c>
      <c r="D398" s="2449">
        <f>IF(A398='Data Entry - SOF'!B$2,'Data Entry - SOF'!C$64,0)</f>
        <v>0</v>
      </c>
      <c r="E398" s="2450">
        <f t="shared" si="81"/>
        <v>5396799</v>
      </c>
      <c r="F398" s="2212" t="e">
        <f>IF('Report-M&amp;O1718'!C$18-'Report-SOF1718'!D$55&lt;=0,0,'Report-M&amp;O1718'!C$18-'Report-SOF1718'!D$55)</f>
        <v>#DIV/0!</v>
      </c>
      <c r="G398" s="2452" t="e">
        <f t="shared" si="73"/>
        <v>#DIV/0!</v>
      </c>
      <c r="H398" s="2449">
        <f>IF(A398='Data Entry - SOF'!B$2,'Data Entry - SOF'!E$64,0)</f>
        <v>0</v>
      </c>
      <c r="I398" s="1687">
        <f t="shared" si="74"/>
        <v>5396799</v>
      </c>
      <c r="J398" s="2212" t="e">
        <f>IF('Report-M&amp;O1819'!C$18-'Report-SOF1819'!D$55&lt;=0,0,'Report-M&amp;O1819'!C$18-'Report-SOF1819'!D$55)</f>
        <v>#DIV/0!</v>
      </c>
      <c r="K398" s="2452" t="e">
        <f t="shared" si="75"/>
        <v>#DIV/0!</v>
      </c>
      <c r="L398" s="2449">
        <f>IF(A398='Data Entry - SOF'!B$2,'Data Entry - SOF'!G$64,0)</f>
        <v>0</v>
      </c>
      <c r="M398" s="1371">
        <f t="shared" si="76"/>
        <v>5396799</v>
      </c>
      <c r="N398" s="2212" t="e">
        <f>IF('Report-M&amp;O1920'!C$18-'Report-SOF1920'!D$55&lt;=0,0,'Report-M&amp;O1920'!C$18-'Report-SOF1920'!D$55)</f>
        <v>#DIV/0!</v>
      </c>
      <c r="O398" s="2452" t="e">
        <f t="shared" si="77"/>
        <v>#DIV/0!</v>
      </c>
      <c r="P398" s="2449">
        <f>IF(A398='Data Entry - SOF'!B$2,'Data Entry - SOF'!I$64,0)</f>
        <v>0</v>
      </c>
      <c r="Q398" s="1687">
        <f t="shared" si="72"/>
        <v>5396799</v>
      </c>
      <c r="R398" s="2212" t="e">
        <f>IF('Report-M&amp;O2021'!C$18-'Report-SOF2021'!D$55&lt;=0,0,'Report-M&amp;O2021'!C$18-'Report-SOF2021'!D$55)</f>
        <v>#DIV/0!</v>
      </c>
      <c r="S398" s="2452" t="e">
        <f t="shared" si="78"/>
        <v>#DIV/0!</v>
      </c>
      <c r="T398" s="1708">
        <f>IF(A398='Data Entry - SOF'!B$2,'Data Entry - SOF'!K$64,0)</f>
        <v>0</v>
      </c>
      <c r="U398" s="1687">
        <f t="shared" ref="U398:U444" si="82">Q398-T398</f>
        <v>5396799</v>
      </c>
      <c r="V398" s="2212" t="e">
        <f>IF('Report-M&amp;O2122'!C$18-'Report-SOF2122'!D$55&lt;=0,0,'Report-M&amp;O2122'!C$18-'Report-SOF2122'!D$55)</f>
        <v>#DIV/0!</v>
      </c>
      <c r="W398" s="2452" t="e">
        <f t="shared" si="79"/>
        <v>#DIV/0!</v>
      </c>
      <c r="X398" s="1708">
        <f>IF(A398='Data Entry - SOF'!B$2,'Data Entry - SOF'!M$64,0)</f>
        <v>0</v>
      </c>
      <c r="Y398" s="1371" t="e">
        <f t="shared" si="80"/>
        <v>#DIV/0!</v>
      </c>
      <c r="Z398" s="2212" t="e">
        <f>IF('Report-M&amp;O2223'!C$18-'Report-SOF2223'!D$55&lt;=0,0,'Report-M&amp;O2223'!C$18-'Report-SOF2223'!D$55)</f>
        <v>#DIV/0!</v>
      </c>
      <c r="AA398" s="1708">
        <f>IF(A398='Data Entry - SOF'!B$2,'Data Entry - SOF'!O$64,0)</f>
        <v>0</v>
      </c>
    </row>
    <row r="399" spans="1:27" ht="15.75">
      <c r="A399" s="1076" t="s">
        <v>416</v>
      </c>
      <c r="B399">
        <v>9992184</v>
      </c>
      <c r="C399" s="2452" t="e">
        <f>#REF!+#REF!</f>
        <v>#REF!</v>
      </c>
      <c r="D399" s="2449">
        <f>IF(A399='Data Entry - SOF'!B$2,'Data Entry - SOF'!C$64,0)</f>
        <v>0</v>
      </c>
      <c r="E399" s="2450">
        <f t="shared" si="81"/>
        <v>9992184</v>
      </c>
      <c r="F399" s="2212" t="e">
        <f>IF('Report-M&amp;O1718'!C$18-'Report-SOF1718'!D$55&lt;=0,0,'Report-M&amp;O1718'!C$18-'Report-SOF1718'!D$55)</f>
        <v>#DIV/0!</v>
      </c>
      <c r="G399" s="2452" t="e">
        <f t="shared" si="73"/>
        <v>#DIV/0!</v>
      </c>
      <c r="H399" s="2449">
        <f>IF(A399='Data Entry - SOF'!B$2,'Data Entry - SOF'!E$64,0)</f>
        <v>0</v>
      </c>
      <c r="I399" s="1687">
        <f t="shared" si="74"/>
        <v>9992184</v>
      </c>
      <c r="J399" s="2212" t="e">
        <f>IF('Report-M&amp;O1819'!C$18-'Report-SOF1819'!D$55&lt;=0,0,'Report-M&amp;O1819'!C$18-'Report-SOF1819'!D$55)</f>
        <v>#DIV/0!</v>
      </c>
      <c r="K399" s="2452" t="e">
        <f t="shared" si="75"/>
        <v>#DIV/0!</v>
      </c>
      <c r="L399" s="2449">
        <f>IF(A399='Data Entry - SOF'!B$2,'Data Entry - SOF'!G$64,0)</f>
        <v>0</v>
      </c>
      <c r="M399" s="1371">
        <f t="shared" si="76"/>
        <v>9992184</v>
      </c>
      <c r="N399" s="2212" t="e">
        <f>IF('Report-M&amp;O1920'!C$18-'Report-SOF1920'!D$55&lt;=0,0,'Report-M&amp;O1920'!C$18-'Report-SOF1920'!D$55)</f>
        <v>#DIV/0!</v>
      </c>
      <c r="O399" s="2452" t="e">
        <f t="shared" si="77"/>
        <v>#DIV/0!</v>
      </c>
      <c r="P399" s="2449">
        <f>IF(A399='Data Entry - SOF'!B$2,'Data Entry - SOF'!I$64,0)</f>
        <v>0</v>
      </c>
      <c r="Q399" s="1687">
        <f t="shared" si="72"/>
        <v>9992184</v>
      </c>
      <c r="R399" s="2212" t="e">
        <f>IF('Report-M&amp;O2021'!C$18-'Report-SOF2021'!D$55&lt;=0,0,'Report-M&amp;O2021'!C$18-'Report-SOF2021'!D$55)</f>
        <v>#DIV/0!</v>
      </c>
      <c r="S399" s="2452" t="e">
        <f t="shared" si="78"/>
        <v>#DIV/0!</v>
      </c>
      <c r="T399" s="1708">
        <f>IF(A399='Data Entry - SOF'!B$2,'Data Entry - SOF'!K$64,0)</f>
        <v>0</v>
      </c>
      <c r="U399" s="1687">
        <f t="shared" si="82"/>
        <v>9992184</v>
      </c>
      <c r="V399" s="2212" t="e">
        <f>IF('Report-M&amp;O2122'!C$18-'Report-SOF2122'!D$55&lt;=0,0,'Report-M&amp;O2122'!C$18-'Report-SOF2122'!D$55)</f>
        <v>#DIV/0!</v>
      </c>
      <c r="W399" s="2452" t="e">
        <f t="shared" si="79"/>
        <v>#DIV/0!</v>
      </c>
      <c r="X399" s="1708">
        <f>IF(A399='Data Entry - SOF'!B$2,'Data Entry - SOF'!M$64,0)</f>
        <v>0</v>
      </c>
      <c r="Y399" s="1371" t="e">
        <f t="shared" si="80"/>
        <v>#DIV/0!</v>
      </c>
      <c r="Z399" s="2212" t="e">
        <f>IF('Report-M&amp;O2223'!C$18-'Report-SOF2223'!D$55&lt;=0,0,'Report-M&amp;O2223'!C$18-'Report-SOF2223'!D$55)</f>
        <v>#DIV/0!</v>
      </c>
      <c r="AA399" s="1708">
        <f>IF(A399='Data Entry - SOF'!B$2,'Data Entry - SOF'!O$64,0)</f>
        <v>0</v>
      </c>
    </row>
    <row r="400" spans="1:27" ht="15.75">
      <c r="A400" s="1076" t="s">
        <v>2608</v>
      </c>
      <c r="B400">
        <v>2725696</v>
      </c>
      <c r="C400" s="2452" t="e">
        <f>#REF!+#REF!</f>
        <v>#REF!</v>
      </c>
      <c r="D400" s="2449">
        <f>IF(A400='Data Entry - SOF'!B$2,'Data Entry - SOF'!C$64,0)</f>
        <v>0</v>
      </c>
      <c r="E400" s="2450">
        <f t="shared" si="81"/>
        <v>2725696</v>
      </c>
      <c r="F400" s="2212" t="e">
        <f>IF('Report-M&amp;O1718'!C$18-'Report-SOF1718'!D$55&lt;=0,0,'Report-M&amp;O1718'!C$18-'Report-SOF1718'!D$55)</f>
        <v>#DIV/0!</v>
      </c>
      <c r="G400" s="2452" t="e">
        <f t="shared" si="73"/>
        <v>#DIV/0!</v>
      </c>
      <c r="H400" s="2449">
        <f>IF(A400='Data Entry - SOF'!B$2,'Data Entry - SOF'!E$64,0)</f>
        <v>0</v>
      </c>
      <c r="I400" s="1687">
        <f t="shared" si="74"/>
        <v>2725696</v>
      </c>
      <c r="J400" s="2212" t="e">
        <f>IF('Report-M&amp;O1819'!C$18-'Report-SOF1819'!D$55&lt;=0,0,'Report-M&amp;O1819'!C$18-'Report-SOF1819'!D$55)</f>
        <v>#DIV/0!</v>
      </c>
      <c r="K400" s="2452" t="e">
        <f t="shared" si="75"/>
        <v>#DIV/0!</v>
      </c>
      <c r="L400" s="2449">
        <f>IF(A400='Data Entry - SOF'!B$2,'Data Entry - SOF'!G$64,0)</f>
        <v>0</v>
      </c>
      <c r="M400" s="1371">
        <f t="shared" si="76"/>
        <v>2725696</v>
      </c>
      <c r="N400" s="2212" t="e">
        <f>IF('Report-M&amp;O1920'!C$18-'Report-SOF1920'!D$55&lt;=0,0,'Report-M&amp;O1920'!C$18-'Report-SOF1920'!D$55)</f>
        <v>#DIV/0!</v>
      </c>
      <c r="O400" s="2452" t="e">
        <f t="shared" si="77"/>
        <v>#DIV/0!</v>
      </c>
      <c r="P400" s="2449">
        <f>IF(A400='Data Entry - SOF'!B$2,'Data Entry - SOF'!I$64,0)</f>
        <v>0</v>
      </c>
      <c r="Q400" s="1687">
        <f t="shared" si="72"/>
        <v>2725696</v>
      </c>
      <c r="R400" s="2212" t="e">
        <f>IF('Report-M&amp;O2021'!C$18-'Report-SOF2021'!D$55&lt;=0,0,'Report-M&amp;O2021'!C$18-'Report-SOF2021'!D$55)</f>
        <v>#DIV/0!</v>
      </c>
      <c r="S400" s="2452" t="e">
        <f t="shared" si="78"/>
        <v>#DIV/0!</v>
      </c>
      <c r="T400" s="1708">
        <f>IF(A400='Data Entry - SOF'!B$2,'Data Entry - SOF'!K$64,0)</f>
        <v>0</v>
      </c>
      <c r="U400" s="1687">
        <f t="shared" si="82"/>
        <v>2725696</v>
      </c>
      <c r="V400" s="2212" t="e">
        <f>IF('Report-M&amp;O2122'!C$18-'Report-SOF2122'!D$55&lt;=0,0,'Report-M&amp;O2122'!C$18-'Report-SOF2122'!D$55)</f>
        <v>#DIV/0!</v>
      </c>
      <c r="W400" s="2452" t="e">
        <f t="shared" si="79"/>
        <v>#DIV/0!</v>
      </c>
      <c r="X400" s="1708">
        <f>IF(A400='Data Entry - SOF'!B$2,'Data Entry - SOF'!M$64,0)</f>
        <v>0</v>
      </c>
      <c r="Y400" s="1371" t="e">
        <f t="shared" si="80"/>
        <v>#DIV/0!</v>
      </c>
      <c r="Z400" s="2212" t="e">
        <f>IF('Report-M&amp;O2223'!C$18-'Report-SOF2223'!D$55&lt;=0,0,'Report-M&amp;O2223'!C$18-'Report-SOF2223'!D$55)</f>
        <v>#DIV/0!</v>
      </c>
      <c r="AA400" s="1708">
        <f>IF(A400='Data Entry - SOF'!B$2,'Data Entry - SOF'!O$64,0)</f>
        <v>0</v>
      </c>
    </row>
    <row r="401" spans="1:27" ht="15.75">
      <c r="A401" s="1076" t="s">
        <v>1346</v>
      </c>
      <c r="B401">
        <v>2782612</v>
      </c>
      <c r="C401" s="2452" t="e">
        <f>#REF!+#REF!</f>
        <v>#REF!</v>
      </c>
      <c r="D401" s="2449">
        <f>IF(A401='Data Entry - SOF'!B$2,'Data Entry - SOF'!C$64,0)</f>
        <v>0</v>
      </c>
      <c r="E401" s="2450">
        <f t="shared" si="81"/>
        <v>2782612</v>
      </c>
      <c r="F401" s="2212" t="e">
        <f>IF('Report-M&amp;O1718'!C$18-'Report-SOF1718'!D$55&lt;=0,0,'Report-M&amp;O1718'!C$18-'Report-SOF1718'!D$55)</f>
        <v>#DIV/0!</v>
      </c>
      <c r="G401" s="2452" t="e">
        <f t="shared" si="73"/>
        <v>#DIV/0!</v>
      </c>
      <c r="H401" s="2449">
        <f>IF(A401='Data Entry - SOF'!B$2,'Data Entry - SOF'!E$64,0)</f>
        <v>0</v>
      </c>
      <c r="I401" s="1687">
        <f t="shared" si="74"/>
        <v>2782612</v>
      </c>
      <c r="J401" s="2212" t="e">
        <f>IF('Report-M&amp;O1819'!C$18-'Report-SOF1819'!D$55&lt;=0,0,'Report-M&amp;O1819'!C$18-'Report-SOF1819'!D$55)</f>
        <v>#DIV/0!</v>
      </c>
      <c r="K401" s="2452" t="e">
        <f t="shared" si="75"/>
        <v>#DIV/0!</v>
      </c>
      <c r="L401" s="2449">
        <f>IF(A401='Data Entry - SOF'!B$2,'Data Entry - SOF'!G$64,0)</f>
        <v>0</v>
      </c>
      <c r="M401" s="1371">
        <f t="shared" si="76"/>
        <v>2782612</v>
      </c>
      <c r="N401" s="2212" t="e">
        <f>IF('Report-M&amp;O1920'!C$18-'Report-SOF1920'!D$55&lt;=0,0,'Report-M&amp;O1920'!C$18-'Report-SOF1920'!D$55)</f>
        <v>#DIV/0!</v>
      </c>
      <c r="O401" s="2452" t="e">
        <f t="shared" si="77"/>
        <v>#DIV/0!</v>
      </c>
      <c r="P401" s="2449">
        <f>IF(A401='Data Entry - SOF'!B$2,'Data Entry - SOF'!I$64,0)</f>
        <v>0</v>
      </c>
      <c r="Q401" s="1687">
        <f t="shared" si="72"/>
        <v>2782612</v>
      </c>
      <c r="R401" s="2212" t="e">
        <f>IF('Report-M&amp;O2021'!C$18-'Report-SOF2021'!D$55&lt;=0,0,'Report-M&amp;O2021'!C$18-'Report-SOF2021'!D$55)</f>
        <v>#DIV/0!</v>
      </c>
      <c r="S401" s="2452" t="e">
        <f t="shared" si="78"/>
        <v>#DIV/0!</v>
      </c>
      <c r="T401" s="1708">
        <f>IF(A401='Data Entry - SOF'!B$2,'Data Entry - SOF'!K$64,0)</f>
        <v>0</v>
      </c>
      <c r="U401" s="1687">
        <f t="shared" si="82"/>
        <v>2782612</v>
      </c>
      <c r="V401" s="2212" t="e">
        <f>IF('Report-M&amp;O2122'!C$18-'Report-SOF2122'!D$55&lt;=0,0,'Report-M&amp;O2122'!C$18-'Report-SOF2122'!D$55)</f>
        <v>#DIV/0!</v>
      </c>
      <c r="W401" s="2452" t="e">
        <f t="shared" si="79"/>
        <v>#DIV/0!</v>
      </c>
      <c r="X401" s="1708">
        <f>IF(A401='Data Entry - SOF'!B$2,'Data Entry - SOF'!M$64,0)</f>
        <v>0</v>
      </c>
      <c r="Y401" s="1371" t="e">
        <f t="shared" si="80"/>
        <v>#DIV/0!</v>
      </c>
      <c r="Z401" s="2212" t="e">
        <f>IF('Report-M&amp;O2223'!C$18-'Report-SOF2223'!D$55&lt;=0,0,'Report-M&amp;O2223'!C$18-'Report-SOF2223'!D$55)</f>
        <v>#DIV/0!</v>
      </c>
      <c r="AA401" s="1708">
        <f>IF(A401='Data Entry - SOF'!B$2,'Data Entry - SOF'!O$64,0)</f>
        <v>0</v>
      </c>
    </row>
    <row r="402" spans="1:27" ht="15.75">
      <c r="A402" s="1076" t="s">
        <v>639</v>
      </c>
      <c r="B402">
        <v>239345252</v>
      </c>
      <c r="C402" s="2452" t="e">
        <f>#REF!+#REF!</f>
        <v>#REF!</v>
      </c>
      <c r="D402" s="2449">
        <f>IF(A402='Data Entry - SOF'!B$2,'Data Entry - SOF'!C$64,0)</f>
        <v>0</v>
      </c>
      <c r="E402" s="2450">
        <f t="shared" si="81"/>
        <v>239345252</v>
      </c>
      <c r="F402" s="2212" t="e">
        <f>IF('Report-M&amp;O1718'!C$18-'Report-SOF1718'!D$55&lt;=0,0,'Report-M&amp;O1718'!C$18-'Report-SOF1718'!D$55)</f>
        <v>#DIV/0!</v>
      </c>
      <c r="G402" s="2452" t="e">
        <f t="shared" si="73"/>
        <v>#DIV/0!</v>
      </c>
      <c r="H402" s="2449">
        <f>IF(A402='Data Entry - SOF'!B$2,'Data Entry - SOF'!E$64,0)</f>
        <v>0</v>
      </c>
      <c r="I402" s="1687">
        <f t="shared" si="74"/>
        <v>239345252</v>
      </c>
      <c r="J402" s="2212" t="e">
        <f>IF('Report-M&amp;O1819'!C$18-'Report-SOF1819'!D$55&lt;=0,0,'Report-M&amp;O1819'!C$18-'Report-SOF1819'!D$55)</f>
        <v>#DIV/0!</v>
      </c>
      <c r="K402" s="2452" t="e">
        <f t="shared" si="75"/>
        <v>#DIV/0!</v>
      </c>
      <c r="L402" s="2449">
        <f>IF(A402='Data Entry - SOF'!B$2,'Data Entry - SOF'!G$64,0)</f>
        <v>0</v>
      </c>
      <c r="M402" s="1371">
        <f t="shared" si="76"/>
        <v>239345252</v>
      </c>
      <c r="N402" s="2212" t="e">
        <f>IF('Report-M&amp;O1920'!C$18-'Report-SOF1920'!D$55&lt;=0,0,'Report-M&amp;O1920'!C$18-'Report-SOF1920'!D$55)</f>
        <v>#DIV/0!</v>
      </c>
      <c r="O402" s="2452" t="e">
        <f t="shared" si="77"/>
        <v>#DIV/0!</v>
      </c>
      <c r="P402" s="2449">
        <f>IF(A402='Data Entry - SOF'!B$2,'Data Entry - SOF'!I$64,0)</f>
        <v>0</v>
      </c>
      <c r="Q402" s="1687">
        <f t="shared" si="72"/>
        <v>239345252</v>
      </c>
      <c r="R402" s="2212" t="e">
        <f>IF('Report-M&amp;O2021'!C$18-'Report-SOF2021'!D$55&lt;=0,0,'Report-M&amp;O2021'!C$18-'Report-SOF2021'!D$55)</f>
        <v>#DIV/0!</v>
      </c>
      <c r="S402" s="2452" t="e">
        <f t="shared" si="78"/>
        <v>#DIV/0!</v>
      </c>
      <c r="T402" s="1708">
        <f>IF(A402='Data Entry - SOF'!B$2,'Data Entry - SOF'!K$64,0)</f>
        <v>0</v>
      </c>
      <c r="U402" s="1687">
        <f t="shared" si="82"/>
        <v>239345252</v>
      </c>
      <c r="V402" s="2212" t="e">
        <f>IF('Report-M&amp;O2122'!C$18-'Report-SOF2122'!D$55&lt;=0,0,'Report-M&amp;O2122'!C$18-'Report-SOF2122'!D$55)</f>
        <v>#DIV/0!</v>
      </c>
      <c r="W402" s="2452" t="e">
        <f t="shared" si="79"/>
        <v>#DIV/0!</v>
      </c>
      <c r="X402" s="1708">
        <f>IF(A402='Data Entry - SOF'!B$2,'Data Entry - SOF'!M$64,0)</f>
        <v>0</v>
      </c>
      <c r="Y402" s="1371" t="e">
        <f t="shared" si="80"/>
        <v>#DIV/0!</v>
      </c>
      <c r="Z402" s="2212" t="e">
        <f>IF('Report-M&amp;O2223'!C$18-'Report-SOF2223'!D$55&lt;=0,0,'Report-M&amp;O2223'!C$18-'Report-SOF2223'!D$55)</f>
        <v>#DIV/0!</v>
      </c>
      <c r="AA402" s="1708">
        <f>IF(A402='Data Entry - SOF'!B$2,'Data Entry - SOF'!O$64,0)</f>
        <v>0</v>
      </c>
    </row>
    <row r="403" spans="1:27" ht="15.75">
      <c r="A403" s="1076" t="s">
        <v>222</v>
      </c>
      <c r="B403">
        <v>107992994</v>
      </c>
      <c r="C403" s="2452" t="e">
        <f>#REF!+#REF!</f>
        <v>#REF!</v>
      </c>
      <c r="D403" s="2449">
        <f>IF(A403='Data Entry - SOF'!B$2,'Data Entry - SOF'!C$64,0)</f>
        <v>0</v>
      </c>
      <c r="E403" s="2450">
        <f t="shared" si="81"/>
        <v>107992994</v>
      </c>
      <c r="F403" s="2212" t="e">
        <f>IF('Report-M&amp;O1718'!C$18-'Report-SOF1718'!D$55&lt;=0,0,'Report-M&amp;O1718'!C$18-'Report-SOF1718'!D$55)</f>
        <v>#DIV/0!</v>
      </c>
      <c r="G403" s="2452" t="e">
        <f t="shared" si="73"/>
        <v>#DIV/0!</v>
      </c>
      <c r="H403" s="2449">
        <f>IF(A403='Data Entry - SOF'!B$2,'Data Entry - SOF'!E$64,0)</f>
        <v>0</v>
      </c>
      <c r="I403" s="1687">
        <f t="shared" si="74"/>
        <v>107992994</v>
      </c>
      <c r="J403" s="2212" t="e">
        <f>IF('Report-M&amp;O1819'!C$18-'Report-SOF1819'!D$55&lt;=0,0,'Report-M&amp;O1819'!C$18-'Report-SOF1819'!D$55)</f>
        <v>#DIV/0!</v>
      </c>
      <c r="K403" s="2452" t="e">
        <f t="shared" si="75"/>
        <v>#DIV/0!</v>
      </c>
      <c r="L403" s="2449">
        <f>IF(A403='Data Entry - SOF'!B$2,'Data Entry - SOF'!G$64,0)</f>
        <v>0</v>
      </c>
      <c r="M403" s="1371">
        <f t="shared" si="76"/>
        <v>107992994</v>
      </c>
      <c r="N403" s="2212" t="e">
        <f>IF('Report-M&amp;O1920'!C$18-'Report-SOF1920'!D$55&lt;=0,0,'Report-M&amp;O1920'!C$18-'Report-SOF1920'!D$55)</f>
        <v>#DIV/0!</v>
      </c>
      <c r="O403" s="2452" t="e">
        <f t="shared" si="77"/>
        <v>#DIV/0!</v>
      </c>
      <c r="P403" s="2449">
        <f>IF(A403='Data Entry - SOF'!B$2,'Data Entry - SOF'!I$64,0)</f>
        <v>0</v>
      </c>
      <c r="Q403" s="1687">
        <f t="shared" si="72"/>
        <v>107992994</v>
      </c>
      <c r="R403" s="2212" t="e">
        <f>IF('Report-M&amp;O2021'!C$18-'Report-SOF2021'!D$55&lt;=0,0,'Report-M&amp;O2021'!C$18-'Report-SOF2021'!D$55)</f>
        <v>#DIV/0!</v>
      </c>
      <c r="S403" s="2452" t="e">
        <f t="shared" si="78"/>
        <v>#DIV/0!</v>
      </c>
      <c r="T403" s="1708">
        <f>IF(A403='Data Entry - SOF'!B$2,'Data Entry - SOF'!K$64,0)</f>
        <v>0</v>
      </c>
      <c r="U403" s="1687">
        <f t="shared" si="82"/>
        <v>107992994</v>
      </c>
      <c r="V403" s="2212" t="e">
        <f>IF('Report-M&amp;O2122'!C$18-'Report-SOF2122'!D$55&lt;=0,0,'Report-M&amp;O2122'!C$18-'Report-SOF2122'!D$55)</f>
        <v>#DIV/0!</v>
      </c>
      <c r="W403" s="2452" t="e">
        <f t="shared" si="79"/>
        <v>#DIV/0!</v>
      </c>
      <c r="X403" s="1708">
        <f>IF(A403='Data Entry - SOF'!B$2,'Data Entry - SOF'!M$64,0)</f>
        <v>0</v>
      </c>
      <c r="Y403" s="1371" t="e">
        <f t="shared" si="80"/>
        <v>#DIV/0!</v>
      </c>
      <c r="Z403" s="2212" t="e">
        <f>IF('Report-M&amp;O2223'!C$18-'Report-SOF2223'!D$55&lt;=0,0,'Report-M&amp;O2223'!C$18-'Report-SOF2223'!D$55)</f>
        <v>#DIV/0!</v>
      </c>
      <c r="AA403" s="1708">
        <f>IF(A403='Data Entry - SOF'!B$2,'Data Entry - SOF'!O$64,0)</f>
        <v>0</v>
      </c>
    </row>
    <row r="404" spans="1:27" ht="15.75">
      <c r="A404" s="1076" t="s">
        <v>2641</v>
      </c>
      <c r="B404">
        <v>33596202</v>
      </c>
      <c r="C404" s="2452" t="e">
        <f>#REF!+#REF!</f>
        <v>#REF!</v>
      </c>
      <c r="D404" s="2449">
        <f>IF(A404='Data Entry - SOF'!B$2,'Data Entry - SOF'!C$64,0)</f>
        <v>0</v>
      </c>
      <c r="E404" s="2450">
        <f t="shared" si="81"/>
        <v>33596202</v>
      </c>
      <c r="F404" s="2212" t="e">
        <f>IF('Report-M&amp;O1718'!C$18-'Report-SOF1718'!D$55&lt;=0,0,'Report-M&amp;O1718'!C$18-'Report-SOF1718'!D$55)</f>
        <v>#DIV/0!</v>
      </c>
      <c r="G404" s="2452" t="e">
        <f t="shared" si="73"/>
        <v>#DIV/0!</v>
      </c>
      <c r="H404" s="2449">
        <f>IF(A404='Data Entry - SOF'!B$2,'Data Entry - SOF'!E$64,0)</f>
        <v>0</v>
      </c>
      <c r="I404" s="1687">
        <f t="shared" si="74"/>
        <v>33596202</v>
      </c>
      <c r="J404" s="2212" t="e">
        <f>IF('Report-M&amp;O1819'!C$18-'Report-SOF1819'!D$55&lt;=0,0,'Report-M&amp;O1819'!C$18-'Report-SOF1819'!D$55)</f>
        <v>#DIV/0!</v>
      </c>
      <c r="K404" s="2452" t="e">
        <f t="shared" si="75"/>
        <v>#DIV/0!</v>
      </c>
      <c r="L404" s="2449">
        <f>IF(A404='Data Entry - SOF'!B$2,'Data Entry - SOF'!G$64,0)</f>
        <v>0</v>
      </c>
      <c r="M404" s="1371">
        <f t="shared" si="76"/>
        <v>33596202</v>
      </c>
      <c r="N404" s="2212" t="e">
        <f>IF('Report-M&amp;O1920'!C$18-'Report-SOF1920'!D$55&lt;=0,0,'Report-M&amp;O1920'!C$18-'Report-SOF1920'!D$55)</f>
        <v>#DIV/0!</v>
      </c>
      <c r="O404" s="2452" t="e">
        <f t="shared" si="77"/>
        <v>#DIV/0!</v>
      </c>
      <c r="P404" s="2449">
        <f>IF(A404='Data Entry - SOF'!B$2,'Data Entry - SOF'!I$64,0)</f>
        <v>0</v>
      </c>
      <c r="Q404" s="1687">
        <f t="shared" si="72"/>
        <v>33596202</v>
      </c>
      <c r="R404" s="2212" t="e">
        <f>IF('Report-M&amp;O2021'!C$18-'Report-SOF2021'!D$55&lt;=0,0,'Report-M&amp;O2021'!C$18-'Report-SOF2021'!D$55)</f>
        <v>#DIV/0!</v>
      </c>
      <c r="S404" s="2452" t="e">
        <f t="shared" si="78"/>
        <v>#DIV/0!</v>
      </c>
      <c r="T404" s="1708">
        <f>IF(A404='Data Entry - SOF'!B$2,'Data Entry - SOF'!K$64,0)</f>
        <v>0</v>
      </c>
      <c r="U404" s="1687">
        <f t="shared" si="82"/>
        <v>33596202</v>
      </c>
      <c r="V404" s="2212" t="e">
        <f>IF('Report-M&amp;O2122'!C$18-'Report-SOF2122'!D$55&lt;=0,0,'Report-M&amp;O2122'!C$18-'Report-SOF2122'!D$55)</f>
        <v>#DIV/0!</v>
      </c>
      <c r="W404" s="2452" t="e">
        <f t="shared" si="79"/>
        <v>#DIV/0!</v>
      </c>
      <c r="X404" s="1708">
        <f>IF(A404='Data Entry - SOF'!B$2,'Data Entry - SOF'!M$64,0)</f>
        <v>0</v>
      </c>
      <c r="Y404" s="1371" t="e">
        <f t="shared" si="80"/>
        <v>#DIV/0!</v>
      </c>
      <c r="Z404" s="2212" t="e">
        <f>IF('Report-M&amp;O2223'!C$18-'Report-SOF2223'!D$55&lt;=0,0,'Report-M&amp;O2223'!C$18-'Report-SOF2223'!D$55)</f>
        <v>#DIV/0!</v>
      </c>
      <c r="AA404" s="1708">
        <f>IF(A404='Data Entry - SOF'!B$2,'Data Entry - SOF'!O$64,0)</f>
        <v>0</v>
      </c>
    </row>
    <row r="405" spans="1:27" ht="15.75">
      <c r="A405" s="1076" t="s">
        <v>2758</v>
      </c>
      <c r="B405">
        <v>25083788</v>
      </c>
      <c r="C405" s="2452" t="e">
        <f>#REF!+#REF!</f>
        <v>#REF!</v>
      </c>
      <c r="D405" s="2449">
        <f>IF(A405='Data Entry - SOF'!B$2,'Data Entry - SOF'!C$64,0)</f>
        <v>0</v>
      </c>
      <c r="E405" s="2450">
        <f t="shared" si="81"/>
        <v>25083788</v>
      </c>
      <c r="F405" s="2212" t="e">
        <f>IF('Report-M&amp;O1718'!C$18-'Report-SOF1718'!D$55&lt;=0,0,'Report-M&amp;O1718'!C$18-'Report-SOF1718'!D$55)</f>
        <v>#DIV/0!</v>
      </c>
      <c r="G405" s="2452" t="e">
        <f t="shared" si="73"/>
        <v>#DIV/0!</v>
      </c>
      <c r="H405" s="2449">
        <f>IF(A405='Data Entry - SOF'!B$2,'Data Entry - SOF'!E$64,0)</f>
        <v>0</v>
      </c>
      <c r="I405" s="1687">
        <f t="shared" si="74"/>
        <v>25083788</v>
      </c>
      <c r="J405" s="2212" t="e">
        <f>IF('Report-M&amp;O1819'!C$18-'Report-SOF1819'!D$55&lt;=0,0,'Report-M&amp;O1819'!C$18-'Report-SOF1819'!D$55)</f>
        <v>#DIV/0!</v>
      </c>
      <c r="K405" s="2452" t="e">
        <f t="shared" si="75"/>
        <v>#DIV/0!</v>
      </c>
      <c r="L405" s="2449">
        <f>IF(A405='Data Entry - SOF'!B$2,'Data Entry - SOF'!G$64,0)</f>
        <v>0</v>
      </c>
      <c r="M405" s="1371">
        <f t="shared" si="76"/>
        <v>25083788</v>
      </c>
      <c r="N405" s="2212" t="e">
        <f>IF('Report-M&amp;O1920'!C$18-'Report-SOF1920'!D$55&lt;=0,0,'Report-M&amp;O1920'!C$18-'Report-SOF1920'!D$55)</f>
        <v>#DIV/0!</v>
      </c>
      <c r="O405" s="2452" t="e">
        <f t="shared" si="77"/>
        <v>#DIV/0!</v>
      </c>
      <c r="P405" s="2449">
        <f>IF(A405='Data Entry - SOF'!B$2,'Data Entry - SOF'!I$64,0)</f>
        <v>0</v>
      </c>
      <c r="Q405" s="1687">
        <f t="shared" si="72"/>
        <v>25083788</v>
      </c>
      <c r="R405" s="2212" t="e">
        <f>IF('Report-M&amp;O2021'!C$18-'Report-SOF2021'!D$55&lt;=0,0,'Report-M&amp;O2021'!C$18-'Report-SOF2021'!D$55)</f>
        <v>#DIV/0!</v>
      </c>
      <c r="S405" s="2452" t="e">
        <f t="shared" si="78"/>
        <v>#DIV/0!</v>
      </c>
      <c r="T405" s="1708">
        <f>IF(A405='Data Entry - SOF'!B$2,'Data Entry - SOF'!K$64,0)</f>
        <v>0</v>
      </c>
      <c r="U405" s="1687">
        <f t="shared" si="82"/>
        <v>25083788</v>
      </c>
      <c r="V405" s="2212" t="e">
        <f>IF('Report-M&amp;O2122'!C$18-'Report-SOF2122'!D$55&lt;=0,0,'Report-M&amp;O2122'!C$18-'Report-SOF2122'!D$55)</f>
        <v>#DIV/0!</v>
      </c>
      <c r="W405" s="2452" t="e">
        <f t="shared" si="79"/>
        <v>#DIV/0!</v>
      </c>
      <c r="X405" s="1708">
        <f>IF(A405='Data Entry - SOF'!B$2,'Data Entry - SOF'!M$64,0)</f>
        <v>0</v>
      </c>
      <c r="Y405" s="1371" t="e">
        <f t="shared" si="80"/>
        <v>#DIV/0!</v>
      </c>
      <c r="Z405" s="2212" t="e">
        <f>IF('Report-M&amp;O2223'!C$18-'Report-SOF2223'!D$55&lt;=0,0,'Report-M&amp;O2223'!C$18-'Report-SOF2223'!D$55)</f>
        <v>#DIV/0!</v>
      </c>
      <c r="AA405" s="1708">
        <f>IF(A405='Data Entry - SOF'!B$2,'Data Entry - SOF'!O$64,0)</f>
        <v>0</v>
      </c>
    </row>
    <row r="406" spans="1:27" ht="15.75">
      <c r="A406" s="1076" t="s">
        <v>2642</v>
      </c>
      <c r="B406">
        <v>523388146</v>
      </c>
      <c r="C406" s="2452" t="e">
        <f>#REF!+#REF!</f>
        <v>#REF!</v>
      </c>
      <c r="D406" s="2449">
        <f>IF(A406='Data Entry - SOF'!B$2,'Data Entry - SOF'!C$64,0)</f>
        <v>0</v>
      </c>
      <c r="E406" s="2450">
        <f t="shared" si="81"/>
        <v>523388146</v>
      </c>
      <c r="F406" s="2212" t="e">
        <f>IF('Report-M&amp;O1718'!C$18-'Report-SOF1718'!D$55&lt;=0,0,'Report-M&amp;O1718'!C$18-'Report-SOF1718'!D$55)</f>
        <v>#DIV/0!</v>
      </c>
      <c r="G406" s="2452" t="e">
        <f t="shared" si="73"/>
        <v>#DIV/0!</v>
      </c>
      <c r="H406" s="2449">
        <f>IF(A406='Data Entry - SOF'!B$2,'Data Entry - SOF'!E$64,0)</f>
        <v>0</v>
      </c>
      <c r="I406" s="1687">
        <f t="shared" si="74"/>
        <v>523388146</v>
      </c>
      <c r="J406" s="2212" t="e">
        <f>IF('Report-M&amp;O1819'!C$18-'Report-SOF1819'!D$55&lt;=0,0,'Report-M&amp;O1819'!C$18-'Report-SOF1819'!D$55)</f>
        <v>#DIV/0!</v>
      </c>
      <c r="K406" s="2452" t="e">
        <f t="shared" si="75"/>
        <v>#DIV/0!</v>
      </c>
      <c r="L406" s="2449">
        <f>IF(A406='Data Entry - SOF'!B$2,'Data Entry - SOF'!G$64,0)</f>
        <v>0</v>
      </c>
      <c r="M406" s="1371">
        <f t="shared" si="76"/>
        <v>523388146</v>
      </c>
      <c r="N406" s="2212" t="e">
        <f>IF('Report-M&amp;O1920'!C$18-'Report-SOF1920'!D$55&lt;=0,0,'Report-M&amp;O1920'!C$18-'Report-SOF1920'!D$55)</f>
        <v>#DIV/0!</v>
      </c>
      <c r="O406" s="2452" t="e">
        <f t="shared" si="77"/>
        <v>#DIV/0!</v>
      </c>
      <c r="P406" s="2449">
        <f>IF(A406='Data Entry - SOF'!B$2,'Data Entry - SOF'!I$64,0)</f>
        <v>0</v>
      </c>
      <c r="Q406" s="1687">
        <f t="shared" si="72"/>
        <v>523388146</v>
      </c>
      <c r="R406" s="2212" t="e">
        <f>IF('Report-M&amp;O2021'!C$18-'Report-SOF2021'!D$55&lt;=0,0,'Report-M&amp;O2021'!C$18-'Report-SOF2021'!D$55)</f>
        <v>#DIV/0!</v>
      </c>
      <c r="S406" s="2452" t="e">
        <f t="shared" si="78"/>
        <v>#DIV/0!</v>
      </c>
      <c r="T406" s="1708">
        <f>IF(A406='Data Entry - SOF'!B$2,'Data Entry - SOF'!K$64,0)</f>
        <v>0</v>
      </c>
      <c r="U406" s="1687">
        <f t="shared" si="82"/>
        <v>523388146</v>
      </c>
      <c r="V406" s="2212" t="e">
        <f>IF('Report-M&amp;O2122'!C$18-'Report-SOF2122'!D$55&lt;=0,0,'Report-M&amp;O2122'!C$18-'Report-SOF2122'!D$55)</f>
        <v>#DIV/0!</v>
      </c>
      <c r="W406" s="2452" t="e">
        <f t="shared" si="79"/>
        <v>#DIV/0!</v>
      </c>
      <c r="X406" s="1708">
        <f>IF(A406='Data Entry - SOF'!B$2,'Data Entry - SOF'!M$64,0)</f>
        <v>0</v>
      </c>
      <c r="Y406" s="1371" t="e">
        <f t="shared" si="80"/>
        <v>#DIV/0!</v>
      </c>
      <c r="Z406" s="2212" t="e">
        <f>IF('Report-M&amp;O2223'!C$18-'Report-SOF2223'!D$55&lt;=0,0,'Report-M&amp;O2223'!C$18-'Report-SOF2223'!D$55)</f>
        <v>#DIV/0!</v>
      </c>
      <c r="AA406" s="1708">
        <f>IF(A406='Data Entry - SOF'!B$2,'Data Entry - SOF'!O$64,0)</f>
        <v>0</v>
      </c>
    </row>
    <row r="407" spans="1:27" ht="15.75">
      <c r="A407" s="1076" t="s">
        <v>2481</v>
      </c>
      <c r="B407">
        <v>127461237</v>
      </c>
      <c r="C407" s="2452" t="e">
        <f>#REF!+#REF!</f>
        <v>#REF!</v>
      </c>
      <c r="D407" s="2449">
        <f>IF(A407='Data Entry - SOF'!B$2,'Data Entry - SOF'!C$64,0)</f>
        <v>0</v>
      </c>
      <c r="E407" s="2450">
        <f t="shared" si="81"/>
        <v>127461237</v>
      </c>
      <c r="F407" s="2212" t="e">
        <f>IF('Report-M&amp;O1718'!C$18-'Report-SOF1718'!D$55&lt;=0,0,'Report-M&amp;O1718'!C$18-'Report-SOF1718'!D$55)</f>
        <v>#DIV/0!</v>
      </c>
      <c r="G407" s="2452" t="e">
        <f t="shared" si="73"/>
        <v>#DIV/0!</v>
      </c>
      <c r="H407" s="2449">
        <f>IF(A407='Data Entry - SOF'!B$2,'Data Entry - SOF'!E$64,0)</f>
        <v>0</v>
      </c>
      <c r="I407" s="1687">
        <f t="shared" si="74"/>
        <v>127461237</v>
      </c>
      <c r="J407" s="2212" t="e">
        <f>IF('Report-M&amp;O1819'!C$18-'Report-SOF1819'!D$55&lt;=0,0,'Report-M&amp;O1819'!C$18-'Report-SOF1819'!D$55)</f>
        <v>#DIV/0!</v>
      </c>
      <c r="K407" s="2452" t="e">
        <f t="shared" si="75"/>
        <v>#DIV/0!</v>
      </c>
      <c r="L407" s="2449">
        <f>IF(A407='Data Entry - SOF'!B$2,'Data Entry - SOF'!G$64,0)</f>
        <v>0</v>
      </c>
      <c r="M407" s="1371">
        <f t="shared" si="76"/>
        <v>127461237</v>
      </c>
      <c r="N407" s="2212" t="e">
        <f>IF('Report-M&amp;O1920'!C$18-'Report-SOF1920'!D$55&lt;=0,0,'Report-M&amp;O1920'!C$18-'Report-SOF1920'!D$55)</f>
        <v>#DIV/0!</v>
      </c>
      <c r="O407" s="2452" t="e">
        <f t="shared" si="77"/>
        <v>#DIV/0!</v>
      </c>
      <c r="P407" s="2449">
        <f>IF(A407='Data Entry - SOF'!B$2,'Data Entry - SOF'!I$64,0)</f>
        <v>0</v>
      </c>
      <c r="Q407" s="1687">
        <f t="shared" si="72"/>
        <v>127461237</v>
      </c>
      <c r="R407" s="2212" t="e">
        <f>IF('Report-M&amp;O2021'!C$18-'Report-SOF2021'!D$55&lt;=0,0,'Report-M&amp;O2021'!C$18-'Report-SOF2021'!D$55)</f>
        <v>#DIV/0!</v>
      </c>
      <c r="S407" s="2452" t="e">
        <f t="shared" si="78"/>
        <v>#DIV/0!</v>
      </c>
      <c r="T407" s="1708">
        <f>IF(A407='Data Entry - SOF'!B$2,'Data Entry - SOF'!K$64,0)</f>
        <v>0</v>
      </c>
      <c r="U407" s="1687">
        <f t="shared" si="82"/>
        <v>127461237</v>
      </c>
      <c r="V407" s="2212" t="e">
        <f>IF('Report-M&amp;O2122'!C$18-'Report-SOF2122'!D$55&lt;=0,0,'Report-M&amp;O2122'!C$18-'Report-SOF2122'!D$55)</f>
        <v>#DIV/0!</v>
      </c>
      <c r="W407" s="2452" t="e">
        <f t="shared" si="79"/>
        <v>#DIV/0!</v>
      </c>
      <c r="X407" s="1708">
        <f>IF(A407='Data Entry - SOF'!B$2,'Data Entry - SOF'!M$64,0)</f>
        <v>0</v>
      </c>
      <c r="Y407" s="1371" t="e">
        <f t="shared" si="80"/>
        <v>#DIV/0!</v>
      </c>
      <c r="Z407" s="2212" t="e">
        <f>IF('Report-M&amp;O2223'!C$18-'Report-SOF2223'!D$55&lt;=0,0,'Report-M&amp;O2223'!C$18-'Report-SOF2223'!D$55)</f>
        <v>#DIV/0!</v>
      </c>
      <c r="AA407" s="1708">
        <f>IF(A407='Data Entry - SOF'!B$2,'Data Entry - SOF'!O$64,0)</f>
        <v>0</v>
      </c>
    </row>
    <row r="408" spans="1:27" ht="15.75">
      <c r="A408" s="1076" t="s">
        <v>1608</v>
      </c>
      <c r="B408">
        <v>92457977</v>
      </c>
      <c r="C408" s="2452" t="e">
        <f>#REF!+#REF!</f>
        <v>#REF!</v>
      </c>
      <c r="D408" s="2449">
        <f>IF(A408='Data Entry - SOF'!B$2,'Data Entry - SOF'!C$64,0)</f>
        <v>0</v>
      </c>
      <c r="E408" s="2450">
        <f t="shared" si="81"/>
        <v>92457977</v>
      </c>
      <c r="F408" s="2212" t="e">
        <f>IF('Report-M&amp;O1718'!C$18-'Report-SOF1718'!D$55&lt;=0,0,'Report-M&amp;O1718'!C$18-'Report-SOF1718'!D$55)</f>
        <v>#DIV/0!</v>
      </c>
      <c r="G408" s="2452" t="e">
        <f t="shared" si="73"/>
        <v>#DIV/0!</v>
      </c>
      <c r="H408" s="2449">
        <f>IF(A408='Data Entry - SOF'!B$2,'Data Entry - SOF'!E$64,0)</f>
        <v>0</v>
      </c>
      <c r="I408" s="1687">
        <f t="shared" si="74"/>
        <v>92457977</v>
      </c>
      <c r="J408" s="2212" t="e">
        <f>IF('Report-M&amp;O1819'!C$18-'Report-SOF1819'!D$55&lt;=0,0,'Report-M&amp;O1819'!C$18-'Report-SOF1819'!D$55)</f>
        <v>#DIV/0!</v>
      </c>
      <c r="K408" s="2452" t="e">
        <f t="shared" si="75"/>
        <v>#DIV/0!</v>
      </c>
      <c r="L408" s="2449">
        <f>IF(A408='Data Entry - SOF'!B$2,'Data Entry - SOF'!G$64,0)</f>
        <v>0</v>
      </c>
      <c r="M408" s="1371">
        <f t="shared" si="76"/>
        <v>92457977</v>
      </c>
      <c r="N408" s="2212" t="e">
        <f>IF('Report-M&amp;O1920'!C$18-'Report-SOF1920'!D$55&lt;=0,0,'Report-M&amp;O1920'!C$18-'Report-SOF1920'!D$55)</f>
        <v>#DIV/0!</v>
      </c>
      <c r="O408" s="2452" t="e">
        <f t="shared" si="77"/>
        <v>#DIV/0!</v>
      </c>
      <c r="P408" s="2449">
        <f>IF(A408='Data Entry - SOF'!B$2,'Data Entry - SOF'!I$64,0)</f>
        <v>0</v>
      </c>
      <c r="Q408" s="1687">
        <f t="shared" si="72"/>
        <v>92457977</v>
      </c>
      <c r="R408" s="2212" t="e">
        <f>IF('Report-M&amp;O2021'!C$18-'Report-SOF2021'!D$55&lt;=0,0,'Report-M&amp;O2021'!C$18-'Report-SOF2021'!D$55)</f>
        <v>#DIV/0!</v>
      </c>
      <c r="S408" s="2452" t="e">
        <f t="shared" si="78"/>
        <v>#DIV/0!</v>
      </c>
      <c r="T408" s="1708">
        <f>IF(A408='Data Entry - SOF'!B$2,'Data Entry - SOF'!K$64,0)</f>
        <v>0</v>
      </c>
      <c r="U408" s="1687">
        <f t="shared" si="82"/>
        <v>92457977</v>
      </c>
      <c r="V408" s="2212" t="e">
        <f>IF('Report-M&amp;O2122'!C$18-'Report-SOF2122'!D$55&lt;=0,0,'Report-M&amp;O2122'!C$18-'Report-SOF2122'!D$55)</f>
        <v>#DIV/0!</v>
      </c>
      <c r="W408" s="2452" t="e">
        <f t="shared" si="79"/>
        <v>#DIV/0!</v>
      </c>
      <c r="X408" s="1708">
        <f>IF(A408='Data Entry - SOF'!B$2,'Data Entry - SOF'!M$64,0)</f>
        <v>0</v>
      </c>
      <c r="Y408" s="1371" t="e">
        <f t="shared" si="80"/>
        <v>#DIV/0!</v>
      </c>
      <c r="Z408" s="2212" t="e">
        <f>IF('Report-M&amp;O2223'!C$18-'Report-SOF2223'!D$55&lt;=0,0,'Report-M&amp;O2223'!C$18-'Report-SOF2223'!D$55)</f>
        <v>#DIV/0!</v>
      </c>
      <c r="AA408" s="1708">
        <f>IF(A408='Data Entry - SOF'!B$2,'Data Entry - SOF'!O$64,0)</f>
        <v>0</v>
      </c>
    </row>
    <row r="409" spans="1:27" ht="15.75">
      <c r="A409" s="1076" t="s">
        <v>2300</v>
      </c>
      <c r="B409">
        <v>113650974</v>
      </c>
      <c r="C409" s="2452" t="e">
        <f>#REF!+#REF!</f>
        <v>#REF!</v>
      </c>
      <c r="D409" s="2449">
        <f>IF(A409='Data Entry - SOF'!B$2,'Data Entry - SOF'!C$64,0)</f>
        <v>0</v>
      </c>
      <c r="E409" s="2450">
        <f t="shared" si="81"/>
        <v>113650974</v>
      </c>
      <c r="F409" s="2212" t="e">
        <f>IF('Report-M&amp;O1718'!C$18-'Report-SOF1718'!D$55&lt;=0,0,'Report-M&amp;O1718'!C$18-'Report-SOF1718'!D$55)</f>
        <v>#DIV/0!</v>
      </c>
      <c r="G409" s="2452" t="e">
        <f t="shared" si="73"/>
        <v>#DIV/0!</v>
      </c>
      <c r="H409" s="2449">
        <f>IF(A409='Data Entry - SOF'!B$2,'Data Entry - SOF'!E$64,0)</f>
        <v>0</v>
      </c>
      <c r="I409" s="1687">
        <f t="shared" si="74"/>
        <v>113650974</v>
      </c>
      <c r="J409" s="2212" t="e">
        <f>IF('Report-M&amp;O1819'!C$18-'Report-SOF1819'!D$55&lt;=0,0,'Report-M&amp;O1819'!C$18-'Report-SOF1819'!D$55)</f>
        <v>#DIV/0!</v>
      </c>
      <c r="K409" s="2452" t="e">
        <f t="shared" si="75"/>
        <v>#DIV/0!</v>
      </c>
      <c r="L409" s="2449">
        <f>IF(A409='Data Entry - SOF'!B$2,'Data Entry - SOF'!G$64,0)</f>
        <v>0</v>
      </c>
      <c r="M409" s="1371">
        <f t="shared" si="76"/>
        <v>113650974</v>
      </c>
      <c r="N409" s="2212" t="e">
        <f>IF('Report-M&amp;O1920'!C$18-'Report-SOF1920'!D$55&lt;=0,0,'Report-M&amp;O1920'!C$18-'Report-SOF1920'!D$55)</f>
        <v>#DIV/0!</v>
      </c>
      <c r="O409" s="2452" t="e">
        <f t="shared" si="77"/>
        <v>#DIV/0!</v>
      </c>
      <c r="P409" s="2449">
        <f>IF(A409='Data Entry - SOF'!B$2,'Data Entry - SOF'!I$64,0)</f>
        <v>0</v>
      </c>
      <c r="Q409" s="1687">
        <f t="shared" si="72"/>
        <v>113650974</v>
      </c>
      <c r="R409" s="2212" t="e">
        <f>IF('Report-M&amp;O2021'!C$18-'Report-SOF2021'!D$55&lt;=0,0,'Report-M&amp;O2021'!C$18-'Report-SOF2021'!D$55)</f>
        <v>#DIV/0!</v>
      </c>
      <c r="S409" s="2452" t="e">
        <f t="shared" si="78"/>
        <v>#DIV/0!</v>
      </c>
      <c r="T409" s="1708">
        <f>IF(A409='Data Entry - SOF'!B$2,'Data Entry - SOF'!K$64,0)</f>
        <v>0</v>
      </c>
      <c r="U409" s="1687">
        <f t="shared" si="82"/>
        <v>113650974</v>
      </c>
      <c r="V409" s="2212" t="e">
        <f>IF('Report-M&amp;O2122'!C$18-'Report-SOF2122'!D$55&lt;=0,0,'Report-M&amp;O2122'!C$18-'Report-SOF2122'!D$55)</f>
        <v>#DIV/0!</v>
      </c>
      <c r="W409" s="2452" t="e">
        <f t="shared" si="79"/>
        <v>#DIV/0!</v>
      </c>
      <c r="X409" s="1708">
        <f>IF(A409='Data Entry - SOF'!B$2,'Data Entry - SOF'!M$64,0)</f>
        <v>0</v>
      </c>
      <c r="Y409" s="1371" t="e">
        <f t="shared" si="80"/>
        <v>#DIV/0!</v>
      </c>
      <c r="Z409" s="2212" t="e">
        <f>IF('Report-M&amp;O2223'!C$18-'Report-SOF2223'!D$55&lt;=0,0,'Report-M&amp;O2223'!C$18-'Report-SOF2223'!D$55)</f>
        <v>#DIV/0!</v>
      </c>
      <c r="AA409" s="1708">
        <f>IF(A409='Data Entry - SOF'!B$2,'Data Entry - SOF'!O$64,0)</f>
        <v>0</v>
      </c>
    </row>
    <row r="410" spans="1:27" ht="15.75">
      <c r="A410" s="1076" t="s">
        <v>2921</v>
      </c>
      <c r="B410">
        <v>1214744638</v>
      </c>
      <c r="C410" s="2452" t="e">
        <f>#REF!+#REF!</f>
        <v>#REF!</v>
      </c>
      <c r="D410" s="2449">
        <f>IF(A410='Data Entry - SOF'!B$2,'Data Entry - SOF'!C$64,0)</f>
        <v>0</v>
      </c>
      <c r="E410" s="2450">
        <f t="shared" si="81"/>
        <v>1214744638</v>
      </c>
      <c r="F410" s="2212" t="e">
        <f>IF('Report-M&amp;O1718'!C$18-'Report-SOF1718'!D$55&lt;=0,0,'Report-M&amp;O1718'!C$18-'Report-SOF1718'!D$55)</f>
        <v>#DIV/0!</v>
      </c>
      <c r="G410" s="2452" t="e">
        <f t="shared" si="73"/>
        <v>#DIV/0!</v>
      </c>
      <c r="H410" s="2449">
        <f>IF(A410='Data Entry - SOF'!B$2,'Data Entry - SOF'!E$64,0)</f>
        <v>0</v>
      </c>
      <c r="I410" s="1687">
        <f t="shared" si="74"/>
        <v>1214744638</v>
      </c>
      <c r="J410" s="2212" t="e">
        <f>IF('Report-M&amp;O1819'!C$18-'Report-SOF1819'!D$55&lt;=0,0,'Report-M&amp;O1819'!C$18-'Report-SOF1819'!D$55)</f>
        <v>#DIV/0!</v>
      </c>
      <c r="K410" s="2452" t="e">
        <f t="shared" si="75"/>
        <v>#DIV/0!</v>
      </c>
      <c r="L410" s="2449">
        <f>IF(A410='Data Entry - SOF'!B$2,'Data Entry - SOF'!G$64,0)</f>
        <v>0</v>
      </c>
      <c r="M410" s="1371">
        <f t="shared" si="76"/>
        <v>1214744638</v>
      </c>
      <c r="N410" s="2212" t="e">
        <f>IF('Report-M&amp;O1920'!C$18-'Report-SOF1920'!D$55&lt;=0,0,'Report-M&amp;O1920'!C$18-'Report-SOF1920'!D$55)</f>
        <v>#DIV/0!</v>
      </c>
      <c r="O410" s="2452" t="e">
        <f t="shared" si="77"/>
        <v>#DIV/0!</v>
      </c>
      <c r="P410" s="2449">
        <f>IF(A410='Data Entry - SOF'!B$2,'Data Entry - SOF'!I$64,0)</f>
        <v>0</v>
      </c>
      <c r="Q410" s="1687">
        <f t="shared" si="72"/>
        <v>1214744638</v>
      </c>
      <c r="R410" s="2212" t="e">
        <f>IF('Report-M&amp;O2021'!C$18-'Report-SOF2021'!D$55&lt;=0,0,'Report-M&amp;O2021'!C$18-'Report-SOF2021'!D$55)</f>
        <v>#DIV/0!</v>
      </c>
      <c r="S410" s="2452" t="e">
        <f t="shared" si="78"/>
        <v>#DIV/0!</v>
      </c>
      <c r="T410" s="1708">
        <f>IF(A410='Data Entry - SOF'!B$2,'Data Entry - SOF'!K$64,0)</f>
        <v>0</v>
      </c>
      <c r="U410" s="1687">
        <f t="shared" si="82"/>
        <v>1214744638</v>
      </c>
      <c r="V410" s="2212" t="e">
        <f>IF('Report-M&amp;O2122'!C$18-'Report-SOF2122'!D$55&lt;=0,0,'Report-M&amp;O2122'!C$18-'Report-SOF2122'!D$55)</f>
        <v>#DIV/0!</v>
      </c>
      <c r="W410" s="2452" t="e">
        <f t="shared" si="79"/>
        <v>#DIV/0!</v>
      </c>
      <c r="X410" s="1708">
        <f>IF(A410='Data Entry - SOF'!B$2,'Data Entry - SOF'!M$64,0)</f>
        <v>0</v>
      </c>
      <c r="Y410" s="1371" t="e">
        <f t="shared" si="80"/>
        <v>#DIV/0!</v>
      </c>
      <c r="Z410" s="2212" t="e">
        <f>IF('Report-M&amp;O2223'!C$18-'Report-SOF2223'!D$55&lt;=0,0,'Report-M&amp;O2223'!C$18-'Report-SOF2223'!D$55)</f>
        <v>#DIV/0!</v>
      </c>
      <c r="AA410" s="1708">
        <f>IF(A410='Data Entry - SOF'!B$2,'Data Entry - SOF'!O$64,0)</f>
        <v>0</v>
      </c>
    </row>
    <row r="411" spans="1:27" ht="15.75">
      <c r="A411" s="1076" t="s">
        <v>1278</v>
      </c>
      <c r="B411">
        <v>199125897</v>
      </c>
      <c r="C411" s="2452" t="e">
        <f>#REF!+#REF!</f>
        <v>#REF!</v>
      </c>
      <c r="D411" s="2449">
        <f>IF(A411='Data Entry - SOF'!B$2,'Data Entry - SOF'!C$64,0)</f>
        <v>0</v>
      </c>
      <c r="E411" s="2450">
        <f t="shared" si="81"/>
        <v>199125897</v>
      </c>
      <c r="F411" s="2212" t="e">
        <f>IF('Report-M&amp;O1718'!C$18-'Report-SOF1718'!D$55&lt;=0,0,'Report-M&amp;O1718'!C$18-'Report-SOF1718'!D$55)</f>
        <v>#DIV/0!</v>
      </c>
      <c r="G411" s="2452" t="e">
        <f t="shared" si="73"/>
        <v>#DIV/0!</v>
      </c>
      <c r="H411" s="2449">
        <f>IF(A411='Data Entry - SOF'!B$2,'Data Entry - SOF'!E$64,0)</f>
        <v>0</v>
      </c>
      <c r="I411" s="1687">
        <f t="shared" si="74"/>
        <v>199125897</v>
      </c>
      <c r="J411" s="2212" t="e">
        <f>IF('Report-M&amp;O1819'!C$18-'Report-SOF1819'!D$55&lt;=0,0,'Report-M&amp;O1819'!C$18-'Report-SOF1819'!D$55)</f>
        <v>#DIV/0!</v>
      </c>
      <c r="K411" s="2452" t="e">
        <f t="shared" si="75"/>
        <v>#DIV/0!</v>
      </c>
      <c r="L411" s="2449">
        <f>IF(A411='Data Entry - SOF'!B$2,'Data Entry - SOF'!G$64,0)</f>
        <v>0</v>
      </c>
      <c r="M411" s="1371">
        <f t="shared" si="76"/>
        <v>199125897</v>
      </c>
      <c r="N411" s="2212" t="e">
        <f>IF('Report-M&amp;O1920'!C$18-'Report-SOF1920'!D$55&lt;=0,0,'Report-M&amp;O1920'!C$18-'Report-SOF1920'!D$55)</f>
        <v>#DIV/0!</v>
      </c>
      <c r="O411" s="2452" t="e">
        <f t="shared" si="77"/>
        <v>#DIV/0!</v>
      </c>
      <c r="P411" s="2449">
        <f>IF(A411='Data Entry - SOF'!B$2,'Data Entry - SOF'!I$64,0)</f>
        <v>0</v>
      </c>
      <c r="Q411" s="1687">
        <f t="shared" si="72"/>
        <v>199125897</v>
      </c>
      <c r="R411" s="2212" t="e">
        <f>IF('Report-M&amp;O2021'!C$18-'Report-SOF2021'!D$55&lt;=0,0,'Report-M&amp;O2021'!C$18-'Report-SOF2021'!D$55)</f>
        <v>#DIV/0!</v>
      </c>
      <c r="S411" s="2452" t="e">
        <f t="shared" si="78"/>
        <v>#DIV/0!</v>
      </c>
      <c r="T411" s="1708">
        <f>IF(A411='Data Entry - SOF'!B$2,'Data Entry - SOF'!K$64,0)</f>
        <v>0</v>
      </c>
      <c r="U411" s="1687">
        <f t="shared" si="82"/>
        <v>199125897</v>
      </c>
      <c r="V411" s="2212" t="e">
        <f>IF('Report-M&amp;O2122'!C$18-'Report-SOF2122'!D$55&lt;=0,0,'Report-M&amp;O2122'!C$18-'Report-SOF2122'!D$55)</f>
        <v>#DIV/0!</v>
      </c>
      <c r="W411" s="2452" t="e">
        <f t="shared" si="79"/>
        <v>#DIV/0!</v>
      </c>
      <c r="X411" s="1708">
        <f>IF(A411='Data Entry - SOF'!B$2,'Data Entry - SOF'!M$64,0)</f>
        <v>0</v>
      </c>
      <c r="Y411" s="1371" t="e">
        <f t="shared" si="80"/>
        <v>#DIV/0!</v>
      </c>
      <c r="Z411" s="2212" t="e">
        <f>IF('Report-M&amp;O2223'!C$18-'Report-SOF2223'!D$55&lt;=0,0,'Report-M&amp;O2223'!C$18-'Report-SOF2223'!D$55)</f>
        <v>#DIV/0!</v>
      </c>
      <c r="AA411" s="1708">
        <f>IF(A411='Data Entry - SOF'!B$2,'Data Entry - SOF'!O$64,0)</f>
        <v>0</v>
      </c>
    </row>
    <row r="412" spans="1:27" ht="15.75">
      <c r="A412" s="1076" t="s">
        <v>55</v>
      </c>
      <c r="B412">
        <v>779330238</v>
      </c>
      <c r="C412" s="2452" t="e">
        <f>#REF!+#REF!</f>
        <v>#REF!</v>
      </c>
      <c r="D412" s="2449">
        <f>IF(A412='Data Entry - SOF'!B$2,'Data Entry - SOF'!C$64,0)</f>
        <v>0</v>
      </c>
      <c r="E412" s="2450">
        <f t="shared" si="81"/>
        <v>779330238</v>
      </c>
      <c r="F412" s="2212" t="e">
        <f>IF('Report-M&amp;O1718'!C$18-'Report-SOF1718'!D$55&lt;=0,0,'Report-M&amp;O1718'!C$18-'Report-SOF1718'!D$55)</f>
        <v>#DIV/0!</v>
      </c>
      <c r="G412" s="2452" t="e">
        <f t="shared" si="73"/>
        <v>#DIV/0!</v>
      </c>
      <c r="H412" s="2449">
        <f>IF(A412='Data Entry - SOF'!B$2,'Data Entry - SOF'!E$64,0)</f>
        <v>0</v>
      </c>
      <c r="I412" s="1687">
        <f t="shared" si="74"/>
        <v>779330238</v>
      </c>
      <c r="J412" s="2212" t="e">
        <f>IF('Report-M&amp;O1819'!C$18-'Report-SOF1819'!D$55&lt;=0,0,'Report-M&amp;O1819'!C$18-'Report-SOF1819'!D$55)</f>
        <v>#DIV/0!</v>
      </c>
      <c r="K412" s="2452" t="e">
        <f t="shared" si="75"/>
        <v>#DIV/0!</v>
      </c>
      <c r="L412" s="2449">
        <f>IF(A412='Data Entry - SOF'!B$2,'Data Entry - SOF'!G$64,0)</f>
        <v>0</v>
      </c>
      <c r="M412" s="1371">
        <f t="shared" si="76"/>
        <v>779330238</v>
      </c>
      <c r="N412" s="2212" t="e">
        <f>IF('Report-M&amp;O1920'!C$18-'Report-SOF1920'!D$55&lt;=0,0,'Report-M&amp;O1920'!C$18-'Report-SOF1920'!D$55)</f>
        <v>#DIV/0!</v>
      </c>
      <c r="O412" s="2452" t="e">
        <f t="shared" si="77"/>
        <v>#DIV/0!</v>
      </c>
      <c r="P412" s="2449">
        <f>IF(A412='Data Entry - SOF'!B$2,'Data Entry - SOF'!I$64,0)</f>
        <v>0</v>
      </c>
      <c r="Q412" s="1687">
        <f t="shared" si="72"/>
        <v>779330238</v>
      </c>
      <c r="R412" s="2212" t="e">
        <f>IF('Report-M&amp;O2021'!C$18-'Report-SOF2021'!D$55&lt;=0,0,'Report-M&amp;O2021'!C$18-'Report-SOF2021'!D$55)</f>
        <v>#DIV/0!</v>
      </c>
      <c r="S412" s="2452" t="e">
        <f t="shared" si="78"/>
        <v>#DIV/0!</v>
      </c>
      <c r="T412" s="1708">
        <f>IF(A412='Data Entry - SOF'!B$2,'Data Entry - SOF'!K$64,0)</f>
        <v>0</v>
      </c>
      <c r="U412" s="1687">
        <f t="shared" si="82"/>
        <v>779330238</v>
      </c>
      <c r="V412" s="2212" t="e">
        <f>IF('Report-M&amp;O2122'!C$18-'Report-SOF2122'!D$55&lt;=0,0,'Report-M&amp;O2122'!C$18-'Report-SOF2122'!D$55)</f>
        <v>#DIV/0!</v>
      </c>
      <c r="W412" s="2452" t="e">
        <f t="shared" si="79"/>
        <v>#DIV/0!</v>
      </c>
      <c r="X412" s="1708">
        <f>IF(A412='Data Entry - SOF'!B$2,'Data Entry - SOF'!M$64,0)</f>
        <v>0</v>
      </c>
      <c r="Y412" s="1371" t="e">
        <f t="shared" si="80"/>
        <v>#DIV/0!</v>
      </c>
      <c r="Z412" s="2212" t="e">
        <f>IF('Report-M&amp;O2223'!C$18-'Report-SOF2223'!D$55&lt;=0,0,'Report-M&amp;O2223'!C$18-'Report-SOF2223'!D$55)</f>
        <v>#DIV/0!</v>
      </c>
      <c r="AA412" s="1708">
        <f>IF(A412='Data Entry - SOF'!B$2,'Data Entry - SOF'!O$64,0)</f>
        <v>0</v>
      </c>
    </row>
    <row r="413" spans="1:27" ht="15.75">
      <c r="A413" s="1076" t="s">
        <v>62</v>
      </c>
      <c r="B413">
        <v>206819912</v>
      </c>
      <c r="C413" s="2452" t="e">
        <f>#REF!+#REF!</f>
        <v>#REF!</v>
      </c>
      <c r="D413" s="2449">
        <f>IF(A413='Data Entry - SOF'!B$2,'Data Entry - SOF'!C$64,0)</f>
        <v>0</v>
      </c>
      <c r="E413" s="2450">
        <f t="shared" si="81"/>
        <v>206819912</v>
      </c>
      <c r="F413" s="2212" t="e">
        <f>IF('Report-M&amp;O1718'!C$18-'Report-SOF1718'!D$55&lt;=0,0,'Report-M&amp;O1718'!C$18-'Report-SOF1718'!D$55)</f>
        <v>#DIV/0!</v>
      </c>
      <c r="G413" s="2452" t="e">
        <f t="shared" si="73"/>
        <v>#DIV/0!</v>
      </c>
      <c r="H413" s="2449">
        <f>IF(A413='Data Entry - SOF'!B$2,'Data Entry - SOF'!E$64,0)</f>
        <v>0</v>
      </c>
      <c r="I413" s="1687">
        <f t="shared" si="74"/>
        <v>206819912</v>
      </c>
      <c r="J413" s="2212" t="e">
        <f>IF('Report-M&amp;O1819'!C$18-'Report-SOF1819'!D$55&lt;=0,0,'Report-M&amp;O1819'!C$18-'Report-SOF1819'!D$55)</f>
        <v>#DIV/0!</v>
      </c>
      <c r="K413" s="2452" t="e">
        <f t="shared" si="75"/>
        <v>#DIV/0!</v>
      </c>
      <c r="L413" s="2449">
        <f>IF(A413='Data Entry - SOF'!B$2,'Data Entry - SOF'!G$64,0)</f>
        <v>0</v>
      </c>
      <c r="M413" s="1371">
        <f t="shared" si="76"/>
        <v>206819912</v>
      </c>
      <c r="N413" s="2212" t="e">
        <f>IF('Report-M&amp;O1920'!C$18-'Report-SOF1920'!D$55&lt;=0,0,'Report-M&amp;O1920'!C$18-'Report-SOF1920'!D$55)</f>
        <v>#DIV/0!</v>
      </c>
      <c r="O413" s="2452" t="e">
        <f t="shared" si="77"/>
        <v>#DIV/0!</v>
      </c>
      <c r="P413" s="2449">
        <f>IF(A413='Data Entry - SOF'!B$2,'Data Entry - SOF'!I$64,0)</f>
        <v>0</v>
      </c>
      <c r="Q413" s="1687">
        <f t="shared" si="72"/>
        <v>206819912</v>
      </c>
      <c r="R413" s="2212" t="e">
        <f>IF('Report-M&amp;O2021'!C$18-'Report-SOF2021'!D$55&lt;=0,0,'Report-M&amp;O2021'!C$18-'Report-SOF2021'!D$55)</f>
        <v>#DIV/0!</v>
      </c>
      <c r="S413" s="2452" t="e">
        <f t="shared" si="78"/>
        <v>#DIV/0!</v>
      </c>
      <c r="T413" s="1708">
        <f>IF(A413='Data Entry - SOF'!B$2,'Data Entry - SOF'!K$64,0)</f>
        <v>0</v>
      </c>
      <c r="U413" s="1687">
        <f t="shared" si="82"/>
        <v>206819912</v>
      </c>
      <c r="V413" s="2212" t="e">
        <f>IF('Report-M&amp;O2122'!C$18-'Report-SOF2122'!D$55&lt;=0,0,'Report-M&amp;O2122'!C$18-'Report-SOF2122'!D$55)</f>
        <v>#DIV/0!</v>
      </c>
      <c r="W413" s="2452" t="e">
        <f t="shared" si="79"/>
        <v>#DIV/0!</v>
      </c>
      <c r="X413" s="1708">
        <f>IF(A413='Data Entry - SOF'!B$2,'Data Entry - SOF'!M$64,0)</f>
        <v>0</v>
      </c>
      <c r="Y413" s="1371" t="e">
        <f t="shared" si="80"/>
        <v>#DIV/0!</v>
      </c>
      <c r="Z413" s="2212" t="e">
        <f>IF('Report-M&amp;O2223'!C$18-'Report-SOF2223'!D$55&lt;=0,0,'Report-M&amp;O2223'!C$18-'Report-SOF2223'!D$55)</f>
        <v>#DIV/0!</v>
      </c>
      <c r="AA413" s="1708">
        <f>IF(A413='Data Entry - SOF'!B$2,'Data Entry - SOF'!O$64,0)</f>
        <v>0</v>
      </c>
    </row>
    <row r="414" spans="1:27" ht="15.75">
      <c r="A414" s="1076" t="s">
        <v>2922</v>
      </c>
      <c r="B414">
        <v>138297771</v>
      </c>
      <c r="C414" s="2452" t="e">
        <f>#REF!+#REF!</f>
        <v>#REF!</v>
      </c>
      <c r="D414" s="2449">
        <f>IF(A414='Data Entry - SOF'!B$2,'Data Entry - SOF'!C$64,0)</f>
        <v>0</v>
      </c>
      <c r="E414" s="2450">
        <f t="shared" si="81"/>
        <v>138297771</v>
      </c>
      <c r="F414" s="2212" t="e">
        <f>IF('Report-M&amp;O1718'!C$18-'Report-SOF1718'!D$55&lt;=0,0,'Report-M&amp;O1718'!C$18-'Report-SOF1718'!D$55)</f>
        <v>#DIV/0!</v>
      </c>
      <c r="G414" s="2452" t="e">
        <f t="shared" si="73"/>
        <v>#DIV/0!</v>
      </c>
      <c r="H414" s="2449">
        <f>IF(A414='Data Entry - SOF'!B$2,'Data Entry - SOF'!E$64,0)</f>
        <v>0</v>
      </c>
      <c r="I414" s="1687">
        <f t="shared" si="74"/>
        <v>138297771</v>
      </c>
      <c r="J414" s="2212" t="e">
        <f>IF('Report-M&amp;O1819'!C$18-'Report-SOF1819'!D$55&lt;=0,0,'Report-M&amp;O1819'!C$18-'Report-SOF1819'!D$55)</f>
        <v>#DIV/0!</v>
      </c>
      <c r="K414" s="2452" t="e">
        <f t="shared" si="75"/>
        <v>#DIV/0!</v>
      </c>
      <c r="L414" s="2449">
        <f>IF(A414='Data Entry - SOF'!B$2,'Data Entry - SOF'!G$64,0)</f>
        <v>0</v>
      </c>
      <c r="M414" s="1371">
        <f t="shared" si="76"/>
        <v>138297771</v>
      </c>
      <c r="N414" s="2212" t="e">
        <f>IF('Report-M&amp;O1920'!C$18-'Report-SOF1920'!D$55&lt;=0,0,'Report-M&amp;O1920'!C$18-'Report-SOF1920'!D$55)</f>
        <v>#DIV/0!</v>
      </c>
      <c r="O414" s="2452" t="e">
        <f t="shared" si="77"/>
        <v>#DIV/0!</v>
      </c>
      <c r="P414" s="2449">
        <f>IF(A414='Data Entry - SOF'!B$2,'Data Entry - SOF'!I$64,0)</f>
        <v>0</v>
      </c>
      <c r="Q414" s="1687">
        <f t="shared" si="72"/>
        <v>138297771</v>
      </c>
      <c r="R414" s="2212" t="e">
        <f>IF('Report-M&amp;O2021'!C$18-'Report-SOF2021'!D$55&lt;=0,0,'Report-M&amp;O2021'!C$18-'Report-SOF2021'!D$55)</f>
        <v>#DIV/0!</v>
      </c>
      <c r="S414" s="2452" t="e">
        <f t="shared" si="78"/>
        <v>#DIV/0!</v>
      </c>
      <c r="T414" s="1708">
        <f>IF(A414='Data Entry - SOF'!B$2,'Data Entry - SOF'!K$64,0)</f>
        <v>0</v>
      </c>
      <c r="U414" s="1687">
        <f t="shared" si="82"/>
        <v>138297771</v>
      </c>
      <c r="V414" s="2212" t="e">
        <f>IF('Report-M&amp;O2122'!C$18-'Report-SOF2122'!D$55&lt;=0,0,'Report-M&amp;O2122'!C$18-'Report-SOF2122'!D$55)</f>
        <v>#DIV/0!</v>
      </c>
      <c r="W414" s="2452" t="e">
        <f t="shared" si="79"/>
        <v>#DIV/0!</v>
      </c>
      <c r="X414" s="1708">
        <f>IF(A414='Data Entry - SOF'!B$2,'Data Entry - SOF'!M$64,0)</f>
        <v>0</v>
      </c>
      <c r="Y414" s="1371" t="e">
        <f t="shared" si="80"/>
        <v>#DIV/0!</v>
      </c>
      <c r="Z414" s="2212" t="e">
        <f>IF('Report-M&amp;O2223'!C$18-'Report-SOF2223'!D$55&lt;=0,0,'Report-M&amp;O2223'!C$18-'Report-SOF2223'!D$55)</f>
        <v>#DIV/0!</v>
      </c>
      <c r="AA414" s="1708">
        <f>IF(A414='Data Entry - SOF'!B$2,'Data Entry - SOF'!O$64,0)</f>
        <v>0</v>
      </c>
    </row>
    <row r="415" spans="1:27" ht="15.75">
      <c r="A415" s="1076" t="s">
        <v>234</v>
      </c>
      <c r="B415">
        <v>153653201</v>
      </c>
      <c r="C415" s="2452" t="e">
        <f>#REF!+#REF!</f>
        <v>#REF!</v>
      </c>
      <c r="D415" s="2449">
        <f>IF(A415='Data Entry - SOF'!B$2,'Data Entry - SOF'!C$64,0)</f>
        <v>0</v>
      </c>
      <c r="E415" s="2450">
        <f t="shared" si="81"/>
        <v>153653201</v>
      </c>
      <c r="F415" s="2212" t="e">
        <f>IF('Report-M&amp;O1718'!C$18-'Report-SOF1718'!D$55&lt;=0,0,'Report-M&amp;O1718'!C$18-'Report-SOF1718'!D$55)</f>
        <v>#DIV/0!</v>
      </c>
      <c r="G415" s="2452" t="e">
        <f t="shared" si="73"/>
        <v>#DIV/0!</v>
      </c>
      <c r="H415" s="2449">
        <f>IF(A415='Data Entry - SOF'!B$2,'Data Entry - SOF'!E$64,0)</f>
        <v>0</v>
      </c>
      <c r="I415" s="1687">
        <f t="shared" si="74"/>
        <v>153653201</v>
      </c>
      <c r="J415" s="2212" t="e">
        <f>IF('Report-M&amp;O1819'!C$18-'Report-SOF1819'!D$55&lt;=0,0,'Report-M&amp;O1819'!C$18-'Report-SOF1819'!D$55)</f>
        <v>#DIV/0!</v>
      </c>
      <c r="K415" s="2452" t="e">
        <f t="shared" si="75"/>
        <v>#DIV/0!</v>
      </c>
      <c r="L415" s="2449">
        <f>IF(A415='Data Entry - SOF'!B$2,'Data Entry - SOF'!G$64,0)</f>
        <v>0</v>
      </c>
      <c r="M415" s="1371">
        <f t="shared" si="76"/>
        <v>153653201</v>
      </c>
      <c r="N415" s="2212" t="e">
        <f>IF('Report-M&amp;O1920'!C$18-'Report-SOF1920'!D$55&lt;=0,0,'Report-M&amp;O1920'!C$18-'Report-SOF1920'!D$55)</f>
        <v>#DIV/0!</v>
      </c>
      <c r="O415" s="2452" t="e">
        <f t="shared" si="77"/>
        <v>#DIV/0!</v>
      </c>
      <c r="P415" s="2449">
        <f>IF(A415='Data Entry - SOF'!B$2,'Data Entry - SOF'!I$64,0)</f>
        <v>0</v>
      </c>
      <c r="Q415" s="1687">
        <f t="shared" si="72"/>
        <v>153653201</v>
      </c>
      <c r="R415" s="2212" t="e">
        <f>IF('Report-M&amp;O2021'!C$18-'Report-SOF2021'!D$55&lt;=0,0,'Report-M&amp;O2021'!C$18-'Report-SOF2021'!D$55)</f>
        <v>#DIV/0!</v>
      </c>
      <c r="S415" s="2452" t="e">
        <f t="shared" si="78"/>
        <v>#DIV/0!</v>
      </c>
      <c r="T415" s="1708">
        <f>IF(A415='Data Entry - SOF'!B$2,'Data Entry - SOF'!K$64,0)</f>
        <v>0</v>
      </c>
      <c r="U415" s="1687">
        <f t="shared" si="82"/>
        <v>153653201</v>
      </c>
      <c r="V415" s="2212" t="e">
        <f>IF('Report-M&amp;O2122'!C$18-'Report-SOF2122'!D$55&lt;=0,0,'Report-M&amp;O2122'!C$18-'Report-SOF2122'!D$55)</f>
        <v>#DIV/0!</v>
      </c>
      <c r="W415" s="2452" t="e">
        <f t="shared" si="79"/>
        <v>#DIV/0!</v>
      </c>
      <c r="X415" s="1708">
        <f>IF(A415='Data Entry - SOF'!B$2,'Data Entry - SOF'!M$64,0)</f>
        <v>0</v>
      </c>
      <c r="Y415" s="1371" t="e">
        <f t="shared" si="80"/>
        <v>#DIV/0!</v>
      </c>
      <c r="Z415" s="2212" t="e">
        <f>IF('Report-M&amp;O2223'!C$18-'Report-SOF2223'!D$55&lt;=0,0,'Report-M&amp;O2223'!C$18-'Report-SOF2223'!D$55)</f>
        <v>#DIV/0!</v>
      </c>
      <c r="AA415" s="1708">
        <f>IF(A415='Data Entry - SOF'!B$2,'Data Entry - SOF'!O$64,0)</f>
        <v>0</v>
      </c>
    </row>
    <row r="416" spans="1:27" ht="15.75">
      <c r="A416" s="1076" t="s">
        <v>743</v>
      </c>
      <c r="B416">
        <v>284146617</v>
      </c>
      <c r="C416" s="2452" t="e">
        <f>#REF!+#REF!</f>
        <v>#REF!</v>
      </c>
      <c r="D416" s="2449">
        <f>IF(A416='Data Entry - SOF'!B$2,'Data Entry - SOF'!C$64,0)</f>
        <v>0</v>
      </c>
      <c r="E416" s="2450">
        <f t="shared" si="81"/>
        <v>284146617</v>
      </c>
      <c r="F416" s="2212" t="e">
        <f>IF('Report-M&amp;O1718'!C$18-'Report-SOF1718'!D$55&lt;=0,0,'Report-M&amp;O1718'!C$18-'Report-SOF1718'!D$55)</f>
        <v>#DIV/0!</v>
      </c>
      <c r="G416" s="2452" t="e">
        <f t="shared" si="73"/>
        <v>#DIV/0!</v>
      </c>
      <c r="H416" s="2449">
        <f>IF(A416='Data Entry - SOF'!B$2,'Data Entry - SOF'!E$64,0)</f>
        <v>0</v>
      </c>
      <c r="I416" s="1687">
        <f t="shared" si="74"/>
        <v>284146617</v>
      </c>
      <c r="J416" s="2212" t="e">
        <f>IF('Report-M&amp;O1819'!C$18-'Report-SOF1819'!D$55&lt;=0,0,'Report-M&amp;O1819'!C$18-'Report-SOF1819'!D$55)</f>
        <v>#DIV/0!</v>
      </c>
      <c r="K416" s="2452" t="e">
        <f t="shared" si="75"/>
        <v>#DIV/0!</v>
      </c>
      <c r="L416" s="2449">
        <f>IF(A416='Data Entry - SOF'!B$2,'Data Entry - SOF'!G$64,0)</f>
        <v>0</v>
      </c>
      <c r="M416" s="1371">
        <f t="shared" si="76"/>
        <v>284146617</v>
      </c>
      <c r="N416" s="2212" t="e">
        <f>IF('Report-M&amp;O1920'!C$18-'Report-SOF1920'!D$55&lt;=0,0,'Report-M&amp;O1920'!C$18-'Report-SOF1920'!D$55)</f>
        <v>#DIV/0!</v>
      </c>
      <c r="O416" s="2452" t="e">
        <f t="shared" si="77"/>
        <v>#DIV/0!</v>
      </c>
      <c r="P416" s="2449">
        <f>IF(A416='Data Entry - SOF'!B$2,'Data Entry - SOF'!I$64,0)</f>
        <v>0</v>
      </c>
      <c r="Q416" s="1687">
        <f t="shared" si="72"/>
        <v>284146617</v>
      </c>
      <c r="R416" s="2212" t="e">
        <f>IF('Report-M&amp;O2021'!C$18-'Report-SOF2021'!D$55&lt;=0,0,'Report-M&amp;O2021'!C$18-'Report-SOF2021'!D$55)</f>
        <v>#DIV/0!</v>
      </c>
      <c r="S416" s="2452" t="e">
        <f t="shared" si="78"/>
        <v>#DIV/0!</v>
      </c>
      <c r="T416" s="1708">
        <f>IF(A416='Data Entry - SOF'!B$2,'Data Entry - SOF'!K$64,0)</f>
        <v>0</v>
      </c>
      <c r="U416" s="1687">
        <f t="shared" si="82"/>
        <v>284146617</v>
      </c>
      <c r="V416" s="2212" t="e">
        <f>IF('Report-M&amp;O2122'!C$18-'Report-SOF2122'!D$55&lt;=0,0,'Report-M&amp;O2122'!C$18-'Report-SOF2122'!D$55)</f>
        <v>#DIV/0!</v>
      </c>
      <c r="W416" s="2452" t="e">
        <f t="shared" si="79"/>
        <v>#DIV/0!</v>
      </c>
      <c r="X416" s="1708">
        <f>IF(A416='Data Entry - SOF'!B$2,'Data Entry - SOF'!M$64,0)</f>
        <v>0</v>
      </c>
      <c r="Y416" s="1371" t="e">
        <f t="shared" si="80"/>
        <v>#DIV/0!</v>
      </c>
      <c r="Z416" s="2212" t="e">
        <f>IF('Report-M&amp;O2223'!C$18-'Report-SOF2223'!D$55&lt;=0,0,'Report-M&amp;O2223'!C$18-'Report-SOF2223'!D$55)</f>
        <v>#DIV/0!</v>
      </c>
      <c r="AA416" s="1708">
        <f>IF(A416='Data Entry - SOF'!B$2,'Data Entry - SOF'!O$64,0)</f>
        <v>0</v>
      </c>
    </row>
    <row r="417" spans="1:27" ht="15.75">
      <c r="A417" s="1076" t="s">
        <v>918</v>
      </c>
      <c r="B417">
        <v>364396873.67047602</v>
      </c>
      <c r="C417" s="2452" t="e">
        <f>#REF!+#REF!</f>
        <v>#REF!</v>
      </c>
      <c r="D417" s="2449">
        <f>IF(A417='Data Entry - SOF'!B$2,'Data Entry - SOF'!C$64,0)</f>
        <v>0</v>
      </c>
      <c r="E417" s="2450">
        <f t="shared" si="81"/>
        <v>364396873.67047602</v>
      </c>
      <c r="F417" s="2212" t="e">
        <f>IF('Report-M&amp;O1718'!C$18-'Report-SOF1718'!D$55&lt;=0,0,'Report-M&amp;O1718'!C$18-'Report-SOF1718'!D$55)</f>
        <v>#DIV/0!</v>
      </c>
      <c r="G417" s="2452" t="e">
        <f t="shared" si="73"/>
        <v>#DIV/0!</v>
      </c>
      <c r="H417" s="2449">
        <f>IF(A417='Data Entry - SOF'!B$2,'Data Entry - SOF'!E$64,0)</f>
        <v>0</v>
      </c>
      <c r="I417" s="1687">
        <f t="shared" si="74"/>
        <v>364396873.67047602</v>
      </c>
      <c r="J417" s="2212" t="e">
        <f>IF('Report-M&amp;O1819'!C$18-'Report-SOF1819'!D$55&lt;=0,0,'Report-M&amp;O1819'!C$18-'Report-SOF1819'!D$55)</f>
        <v>#DIV/0!</v>
      </c>
      <c r="K417" s="2452" t="e">
        <f t="shared" si="75"/>
        <v>#DIV/0!</v>
      </c>
      <c r="L417" s="2449">
        <f>IF(A417='Data Entry - SOF'!B$2,'Data Entry - SOF'!G$64,0)</f>
        <v>0</v>
      </c>
      <c r="M417" s="1371">
        <f t="shared" si="76"/>
        <v>364396873.67047602</v>
      </c>
      <c r="N417" s="2212" t="e">
        <f>IF('Report-M&amp;O1920'!C$18-'Report-SOF1920'!D$55&lt;=0,0,'Report-M&amp;O1920'!C$18-'Report-SOF1920'!D$55)</f>
        <v>#DIV/0!</v>
      </c>
      <c r="O417" s="2452" t="e">
        <f t="shared" si="77"/>
        <v>#DIV/0!</v>
      </c>
      <c r="P417" s="2449">
        <f>IF(A417='Data Entry - SOF'!B$2,'Data Entry - SOF'!I$64,0)</f>
        <v>0</v>
      </c>
      <c r="Q417" s="1687">
        <f t="shared" si="72"/>
        <v>364396873.67047602</v>
      </c>
      <c r="R417" s="2212" t="e">
        <f>IF('Report-M&amp;O2021'!C$18-'Report-SOF2021'!D$55&lt;=0,0,'Report-M&amp;O2021'!C$18-'Report-SOF2021'!D$55)</f>
        <v>#DIV/0!</v>
      </c>
      <c r="S417" s="2452" t="e">
        <f t="shared" si="78"/>
        <v>#DIV/0!</v>
      </c>
      <c r="T417" s="1708">
        <f>IF(A417='Data Entry - SOF'!B$2,'Data Entry - SOF'!K$64,0)</f>
        <v>0</v>
      </c>
      <c r="U417" s="1687">
        <f t="shared" si="82"/>
        <v>364396873.67047602</v>
      </c>
      <c r="V417" s="2212" t="e">
        <f>IF('Report-M&amp;O2122'!C$18-'Report-SOF2122'!D$55&lt;=0,0,'Report-M&amp;O2122'!C$18-'Report-SOF2122'!D$55)</f>
        <v>#DIV/0!</v>
      </c>
      <c r="W417" s="2452" t="e">
        <f t="shared" si="79"/>
        <v>#DIV/0!</v>
      </c>
      <c r="X417" s="1708">
        <f>IF(A417='Data Entry - SOF'!B$2,'Data Entry - SOF'!M$64,0)</f>
        <v>0</v>
      </c>
      <c r="Y417" s="1371" t="e">
        <f t="shared" si="80"/>
        <v>#DIV/0!</v>
      </c>
      <c r="Z417" s="2212" t="e">
        <f>IF('Report-M&amp;O2223'!C$18-'Report-SOF2223'!D$55&lt;=0,0,'Report-M&amp;O2223'!C$18-'Report-SOF2223'!D$55)</f>
        <v>#DIV/0!</v>
      </c>
      <c r="AA417" s="1708">
        <f>IF(A417='Data Entry - SOF'!B$2,'Data Entry - SOF'!O$64,0)</f>
        <v>0</v>
      </c>
    </row>
    <row r="418" spans="1:27" ht="15.75">
      <c r="A418" s="1076" t="s">
        <v>2221</v>
      </c>
      <c r="B418">
        <v>135936616.728917</v>
      </c>
      <c r="C418" s="2452" t="e">
        <f>#REF!+#REF!</f>
        <v>#REF!</v>
      </c>
      <c r="D418" s="2449">
        <f>IF(A418='Data Entry - SOF'!B$2,'Data Entry - SOF'!C$64,0)</f>
        <v>0</v>
      </c>
      <c r="E418" s="2450">
        <f t="shared" si="81"/>
        <v>135936616.728917</v>
      </c>
      <c r="F418" s="2212" t="e">
        <f>IF('Report-M&amp;O1718'!C$18-'Report-SOF1718'!D$55&lt;=0,0,'Report-M&amp;O1718'!C$18-'Report-SOF1718'!D$55)</f>
        <v>#DIV/0!</v>
      </c>
      <c r="G418" s="2452" t="e">
        <f t="shared" si="73"/>
        <v>#DIV/0!</v>
      </c>
      <c r="H418" s="2449">
        <f>IF(A418='Data Entry - SOF'!B$2,'Data Entry - SOF'!E$64,0)</f>
        <v>0</v>
      </c>
      <c r="I418" s="1687">
        <f t="shared" si="74"/>
        <v>135936616.728917</v>
      </c>
      <c r="J418" s="2212" t="e">
        <f>IF('Report-M&amp;O1819'!C$18-'Report-SOF1819'!D$55&lt;=0,0,'Report-M&amp;O1819'!C$18-'Report-SOF1819'!D$55)</f>
        <v>#DIV/0!</v>
      </c>
      <c r="K418" s="2452" t="e">
        <f t="shared" si="75"/>
        <v>#DIV/0!</v>
      </c>
      <c r="L418" s="2449">
        <f>IF(A418='Data Entry - SOF'!B$2,'Data Entry - SOF'!G$64,0)</f>
        <v>0</v>
      </c>
      <c r="M418" s="1371">
        <f t="shared" si="76"/>
        <v>135936616.728917</v>
      </c>
      <c r="N418" s="2212" t="e">
        <f>IF('Report-M&amp;O1920'!C$18-'Report-SOF1920'!D$55&lt;=0,0,'Report-M&amp;O1920'!C$18-'Report-SOF1920'!D$55)</f>
        <v>#DIV/0!</v>
      </c>
      <c r="O418" s="2452" t="e">
        <f t="shared" si="77"/>
        <v>#DIV/0!</v>
      </c>
      <c r="P418" s="2449">
        <f>IF(A418='Data Entry - SOF'!B$2,'Data Entry - SOF'!I$64,0)</f>
        <v>0</v>
      </c>
      <c r="Q418" s="1687">
        <f t="shared" si="72"/>
        <v>135936616.728917</v>
      </c>
      <c r="R418" s="2212" t="e">
        <f>IF('Report-M&amp;O2021'!C$18-'Report-SOF2021'!D$55&lt;=0,0,'Report-M&amp;O2021'!C$18-'Report-SOF2021'!D$55)</f>
        <v>#DIV/0!</v>
      </c>
      <c r="S418" s="2452" t="e">
        <f t="shared" si="78"/>
        <v>#DIV/0!</v>
      </c>
      <c r="T418" s="1708">
        <f>IF(A418='Data Entry - SOF'!B$2,'Data Entry - SOF'!K$64,0)</f>
        <v>0</v>
      </c>
      <c r="U418" s="1687">
        <f t="shared" si="82"/>
        <v>135936616.728917</v>
      </c>
      <c r="V418" s="2212" t="e">
        <f>IF('Report-M&amp;O2122'!C$18-'Report-SOF2122'!D$55&lt;=0,0,'Report-M&amp;O2122'!C$18-'Report-SOF2122'!D$55)</f>
        <v>#DIV/0!</v>
      </c>
      <c r="W418" s="2452" t="e">
        <f t="shared" si="79"/>
        <v>#DIV/0!</v>
      </c>
      <c r="X418" s="1708">
        <f>IF(A418='Data Entry - SOF'!B$2,'Data Entry - SOF'!M$64,0)</f>
        <v>0</v>
      </c>
      <c r="Y418" s="1371" t="e">
        <f t="shared" si="80"/>
        <v>#DIV/0!</v>
      </c>
      <c r="Z418" s="2212" t="e">
        <f>IF('Report-M&amp;O2223'!C$18-'Report-SOF2223'!D$55&lt;=0,0,'Report-M&amp;O2223'!C$18-'Report-SOF2223'!D$55)</f>
        <v>#DIV/0!</v>
      </c>
      <c r="AA418" s="1708">
        <f>IF(A418='Data Entry - SOF'!B$2,'Data Entry - SOF'!O$64,0)</f>
        <v>0</v>
      </c>
    </row>
    <row r="419" spans="1:27" ht="15.75">
      <c r="A419" s="1076" t="s">
        <v>2222</v>
      </c>
      <c r="B419">
        <v>83436822</v>
      </c>
      <c r="C419" s="2452" t="e">
        <f>#REF!+#REF!</f>
        <v>#REF!</v>
      </c>
      <c r="D419" s="2449">
        <f>IF(A419='Data Entry - SOF'!B$2,'Data Entry - SOF'!C$64,0)</f>
        <v>0</v>
      </c>
      <c r="E419" s="2450">
        <f t="shared" si="81"/>
        <v>83436822</v>
      </c>
      <c r="F419" s="2212" t="e">
        <f>IF('Report-M&amp;O1718'!C$18-'Report-SOF1718'!D$55&lt;=0,0,'Report-M&amp;O1718'!C$18-'Report-SOF1718'!D$55)</f>
        <v>#DIV/0!</v>
      </c>
      <c r="G419" s="2452" t="e">
        <f t="shared" si="73"/>
        <v>#DIV/0!</v>
      </c>
      <c r="H419" s="2449">
        <f>IF(A419='Data Entry - SOF'!B$2,'Data Entry - SOF'!E$64,0)</f>
        <v>0</v>
      </c>
      <c r="I419" s="1687">
        <f t="shared" si="74"/>
        <v>83436822</v>
      </c>
      <c r="J419" s="2212" t="e">
        <f>IF('Report-M&amp;O1819'!C$18-'Report-SOF1819'!D$55&lt;=0,0,'Report-M&amp;O1819'!C$18-'Report-SOF1819'!D$55)</f>
        <v>#DIV/0!</v>
      </c>
      <c r="K419" s="2452" t="e">
        <f t="shared" si="75"/>
        <v>#DIV/0!</v>
      </c>
      <c r="L419" s="2449">
        <f>IF(A419='Data Entry - SOF'!B$2,'Data Entry - SOF'!G$64,0)</f>
        <v>0</v>
      </c>
      <c r="M419" s="1371">
        <f t="shared" si="76"/>
        <v>83436822</v>
      </c>
      <c r="N419" s="2212" t="e">
        <f>IF('Report-M&amp;O1920'!C$18-'Report-SOF1920'!D$55&lt;=0,0,'Report-M&amp;O1920'!C$18-'Report-SOF1920'!D$55)</f>
        <v>#DIV/0!</v>
      </c>
      <c r="O419" s="2452" t="e">
        <f t="shared" si="77"/>
        <v>#DIV/0!</v>
      </c>
      <c r="P419" s="2449">
        <f>IF(A419='Data Entry - SOF'!B$2,'Data Entry - SOF'!I$64,0)</f>
        <v>0</v>
      </c>
      <c r="Q419" s="1687">
        <f t="shared" si="72"/>
        <v>83436822</v>
      </c>
      <c r="R419" s="2212" t="e">
        <f>IF('Report-M&amp;O2021'!C$18-'Report-SOF2021'!D$55&lt;=0,0,'Report-M&amp;O2021'!C$18-'Report-SOF2021'!D$55)</f>
        <v>#DIV/0!</v>
      </c>
      <c r="S419" s="2452" t="e">
        <f t="shared" si="78"/>
        <v>#DIV/0!</v>
      </c>
      <c r="T419" s="1708">
        <f>IF(A419='Data Entry - SOF'!B$2,'Data Entry - SOF'!K$64,0)</f>
        <v>0</v>
      </c>
      <c r="U419" s="1687">
        <f t="shared" si="82"/>
        <v>83436822</v>
      </c>
      <c r="V419" s="2212" t="e">
        <f>IF('Report-M&amp;O2122'!C$18-'Report-SOF2122'!D$55&lt;=0,0,'Report-M&amp;O2122'!C$18-'Report-SOF2122'!D$55)</f>
        <v>#DIV/0!</v>
      </c>
      <c r="W419" s="2452" t="e">
        <f t="shared" si="79"/>
        <v>#DIV/0!</v>
      </c>
      <c r="X419" s="1708">
        <f>IF(A419='Data Entry - SOF'!B$2,'Data Entry - SOF'!M$64,0)</f>
        <v>0</v>
      </c>
      <c r="Y419" s="1371" t="e">
        <f t="shared" si="80"/>
        <v>#DIV/0!</v>
      </c>
      <c r="Z419" s="2212" t="e">
        <f>IF('Report-M&amp;O2223'!C$18-'Report-SOF2223'!D$55&lt;=0,0,'Report-M&amp;O2223'!C$18-'Report-SOF2223'!D$55)</f>
        <v>#DIV/0!</v>
      </c>
      <c r="AA419" s="1708">
        <f>IF(A419='Data Entry - SOF'!B$2,'Data Entry - SOF'!O$64,0)</f>
        <v>0</v>
      </c>
    </row>
    <row r="420" spans="1:27" ht="15.75">
      <c r="A420" s="1076" t="s">
        <v>979</v>
      </c>
      <c r="B420">
        <v>17812938</v>
      </c>
      <c r="C420" s="2452" t="e">
        <f>#REF!+#REF!</f>
        <v>#REF!</v>
      </c>
      <c r="D420" s="2449">
        <f>IF(A420='Data Entry - SOF'!B$2,'Data Entry - SOF'!C$64,0)</f>
        <v>0</v>
      </c>
      <c r="E420" s="2450">
        <f t="shared" si="81"/>
        <v>17812938</v>
      </c>
      <c r="F420" s="2212" t="e">
        <f>IF('Report-M&amp;O1718'!C$18-'Report-SOF1718'!D$55&lt;=0,0,'Report-M&amp;O1718'!C$18-'Report-SOF1718'!D$55)</f>
        <v>#DIV/0!</v>
      </c>
      <c r="G420" s="2452" t="e">
        <f t="shared" si="73"/>
        <v>#DIV/0!</v>
      </c>
      <c r="H420" s="2449">
        <f>IF(A420='Data Entry - SOF'!B$2,'Data Entry - SOF'!E$64,0)</f>
        <v>0</v>
      </c>
      <c r="I420" s="1687">
        <f t="shared" si="74"/>
        <v>17812938</v>
      </c>
      <c r="J420" s="2212" t="e">
        <f>IF('Report-M&amp;O1819'!C$18-'Report-SOF1819'!D$55&lt;=0,0,'Report-M&amp;O1819'!C$18-'Report-SOF1819'!D$55)</f>
        <v>#DIV/0!</v>
      </c>
      <c r="K420" s="2452" t="e">
        <f t="shared" si="75"/>
        <v>#DIV/0!</v>
      </c>
      <c r="L420" s="2449">
        <f>IF(A420='Data Entry - SOF'!B$2,'Data Entry - SOF'!G$64,0)</f>
        <v>0</v>
      </c>
      <c r="M420" s="1371">
        <f t="shared" si="76"/>
        <v>17812938</v>
      </c>
      <c r="N420" s="2212" t="e">
        <f>IF('Report-M&amp;O1920'!C$18-'Report-SOF1920'!D$55&lt;=0,0,'Report-M&amp;O1920'!C$18-'Report-SOF1920'!D$55)</f>
        <v>#DIV/0!</v>
      </c>
      <c r="O420" s="2452" t="e">
        <f t="shared" si="77"/>
        <v>#DIV/0!</v>
      </c>
      <c r="P420" s="2449">
        <f>IF(A420='Data Entry - SOF'!B$2,'Data Entry - SOF'!I$64,0)</f>
        <v>0</v>
      </c>
      <c r="Q420" s="1687">
        <f t="shared" si="72"/>
        <v>17812938</v>
      </c>
      <c r="R420" s="2212" t="e">
        <f>IF('Report-M&amp;O2021'!C$18-'Report-SOF2021'!D$55&lt;=0,0,'Report-M&amp;O2021'!C$18-'Report-SOF2021'!D$55)</f>
        <v>#DIV/0!</v>
      </c>
      <c r="S420" s="2452" t="e">
        <f t="shared" si="78"/>
        <v>#DIV/0!</v>
      </c>
      <c r="T420" s="1708">
        <f>IF(A420='Data Entry - SOF'!B$2,'Data Entry - SOF'!K$64,0)</f>
        <v>0</v>
      </c>
      <c r="U420" s="1687">
        <f t="shared" si="82"/>
        <v>17812938</v>
      </c>
      <c r="V420" s="2212" t="e">
        <f>IF('Report-M&amp;O2122'!C$18-'Report-SOF2122'!D$55&lt;=0,0,'Report-M&amp;O2122'!C$18-'Report-SOF2122'!D$55)</f>
        <v>#DIV/0!</v>
      </c>
      <c r="W420" s="2452" t="e">
        <f t="shared" si="79"/>
        <v>#DIV/0!</v>
      </c>
      <c r="X420" s="1708">
        <f>IF(A420='Data Entry - SOF'!B$2,'Data Entry - SOF'!M$64,0)</f>
        <v>0</v>
      </c>
      <c r="Y420" s="1371" t="e">
        <f t="shared" si="80"/>
        <v>#DIV/0!</v>
      </c>
      <c r="Z420" s="2212" t="e">
        <f>IF('Report-M&amp;O2223'!C$18-'Report-SOF2223'!D$55&lt;=0,0,'Report-M&amp;O2223'!C$18-'Report-SOF2223'!D$55)</f>
        <v>#DIV/0!</v>
      </c>
      <c r="AA420" s="1708">
        <f>IF(A420='Data Entry - SOF'!B$2,'Data Entry - SOF'!O$64,0)</f>
        <v>0</v>
      </c>
    </row>
    <row r="421" spans="1:27" ht="15.75">
      <c r="A421" s="1076" t="s">
        <v>2223</v>
      </c>
      <c r="B421">
        <v>424166</v>
      </c>
      <c r="C421" s="2452" t="e">
        <f>#REF!+#REF!</f>
        <v>#REF!</v>
      </c>
      <c r="D421" s="2449">
        <f>IF(A421='Data Entry - SOF'!B$2,'Data Entry - SOF'!C$64,0)</f>
        <v>0</v>
      </c>
      <c r="E421" s="2450">
        <f t="shared" si="81"/>
        <v>424166</v>
      </c>
      <c r="F421" s="2212" t="e">
        <f>IF('Report-M&amp;O1718'!C$18-'Report-SOF1718'!D$55&lt;=0,0,'Report-M&amp;O1718'!C$18-'Report-SOF1718'!D$55)</f>
        <v>#DIV/0!</v>
      </c>
      <c r="G421" s="2452" t="e">
        <f t="shared" si="73"/>
        <v>#DIV/0!</v>
      </c>
      <c r="H421" s="2449">
        <f>IF(A421='Data Entry - SOF'!B$2,'Data Entry - SOF'!E$64,0)</f>
        <v>0</v>
      </c>
      <c r="I421" s="1687">
        <f t="shared" si="74"/>
        <v>424166</v>
      </c>
      <c r="J421" s="2212" t="e">
        <f>IF('Report-M&amp;O1819'!C$18-'Report-SOF1819'!D$55&lt;=0,0,'Report-M&amp;O1819'!C$18-'Report-SOF1819'!D$55)</f>
        <v>#DIV/0!</v>
      </c>
      <c r="K421" s="2452" t="e">
        <f t="shared" si="75"/>
        <v>#DIV/0!</v>
      </c>
      <c r="L421" s="2449">
        <f>IF(A421='Data Entry - SOF'!B$2,'Data Entry - SOF'!G$64,0)</f>
        <v>0</v>
      </c>
      <c r="M421" s="1371">
        <f t="shared" si="76"/>
        <v>424166</v>
      </c>
      <c r="N421" s="2212" t="e">
        <f>IF('Report-M&amp;O1920'!C$18-'Report-SOF1920'!D$55&lt;=0,0,'Report-M&amp;O1920'!C$18-'Report-SOF1920'!D$55)</f>
        <v>#DIV/0!</v>
      </c>
      <c r="O421" s="2452" t="e">
        <f t="shared" si="77"/>
        <v>#DIV/0!</v>
      </c>
      <c r="P421" s="2449">
        <f>IF(A421='Data Entry - SOF'!B$2,'Data Entry - SOF'!I$64,0)</f>
        <v>0</v>
      </c>
      <c r="Q421" s="1687">
        <f t="shared" si="72"/>
        <v>424166</v>
      </c>
      <c r="R421" s="2212" t="e">
        <f>IF('Report-M&amp;O2021'!C$18-'Report-SOF2021'!D$55&lt;=0,0,'Report-M&amp;O2021'!C$18-'Report-SOF2021'!D$55)</f>
        <v>#DIV/0!</v>
      </c>
      <c r="S421" s="2452" t="e">
        <f t="shared" si="78"/>
        <v>#DIV/0!</v>
      </c>
      <c r="T421" s="1708">
        <f>IF(A421='Data Entry - SOF'!B$2,'Data Entry - SOF'!K$64,0)</f>
        <v>0</v>
      </c>
      <c r="U421" s="1687">
        <f t="shared" si="82"/>
        <v>424166</v>
      </c>
      <c r="V421" s="2212" t="e">
        <f>IF('Report-M&amp;O2122'!C$18-'Report-SOF2122'!D$55&lt;=0,0,'Report-M&amp;O2122'!C$18-'Report-SOF2122'!D$55)</f>
        <v>#DIV/0!</v>
      </c>
      <c r="W421" s="2452" t="e">
        <f t="shared" si="79"/>
        <v>#DIV/0!</v>
      </c>
      <c r="X421" s="1708">
        <f>IF(A421='Data Entry - SOF'!B$2,'Data Entry - SOF'!M$64,0)</f>
        <v>0</v>
      </c>
      <c r="Y421" s="1371" t="e">
        <f t="shared" si="80"/>
        <v>#DIV/0!</v>
      </c>
      <c r="Z421" s="2212" t="e">
        <f>IF('Report-M&amp;O2223'!C$18-'Report-SOF2223'!D$55&lt;=0,0,'Report-M&amp;O2223'!C$18-'Report-SOF2223'!D$55)</f>
        <v>#DIV/0!</v>
      </c>
      <c r="AA421" s="1708">
        <f>IF(A421='Data Entry - SOF'!B$2,'Data Entry - SOF'!O$64,0)</f>
        <v>0</v>
      </c>
    </row>
    <row r="422" spans="1:27" ht="15.75">
      <c r="A422" s="1076" t="s">
        <v>1692</v>
      </c>
      <c r="B422">
        <v>16765529</v>
      </c>
      <c r="C422" s="2452" t="e">
        <f>#REF!+#REF!</f>
        <v>#REF!</v>
      </c>
      <c r="D422" s="2449">
        <f>IF(A422='Data Entry - SOF'!B$2,'Data Entry - SOF'!C$64,0)</f>
        <v>0</v>
      </c>
      <c r="E422" s="2450">
        <f t="shared" si="81"/>
        <v>16765529</v>
      </c>
      <c r="F422" s="2212" t="e">
        <f>IF('Report-M&amp;O1718'!C$18-'Report-SOF1718'!D$55&lt;=0,0,'Report-M&amp;O1718'!C$18-'Report-SOF1718'!D$55)</f>
        <v>#DIV/0!</v>
      </c>
      <c r="G422" s="2452" t="e">
        <f t="shared" si="73"/>
        <v>#DIV/0!</v>
      </c>
      <c r="H422" s="2449">
        <f>IF(A422='Data Entry - SOF'!B$2,'Data Entry - SOF'!E$64,0)</f>
        <v>0</v>
      </c>
      <c r="I422" s="1687">
        <f t="shared" si="74"/>
        <v>16765529</v>
      </c>
      <c r="J422" s="2212" t="e">
        <f>IF('Report-M&amp;O1819'!C$18-'Report-SOF1819'!D$55&lt;=0,0,'Report-M&amp;O1819'!C$18-'Report-SOF1819'!D$55)</f>
        <v>#DIV/0!</v>
      </c>
      <c r="K422" s="2452" t="e">
        <f t="shared" si="75"/>
        <v>#DIV/0!</v>
      </c>
      <c r="L422" s="2449">
        <f>IF(A422='Data Entry - SOF'!B$2,'Data Entry - SOF'!G$64,0)</f>
        <v>0</v>
      </c>
      <c r="M422" s="1371">
        <f t="shared" si="76"/>
        <v>16765529</v>
      </c>
      <c r="N422" s="2212" t="e">
        <f>IF('Report-M&amp;O1920'!C$18-'Report-SOF1920'!D$55&lt;=0,0,'Report-M&amp;O1920'!C$18-'Report-SOF1920'!D$55)</f>
        <v>#DIV/0!</v>
      </c>
      <c r="O422" s="2452" t="e">
        <f t="shared" si="77"/>
        <v>#DIV/0!</v>
      </c>
      <c r="P422" s="2449">
        <f>IF(A422='Data Entry - SOF'!B$2,'Data Entry - SOF'!I$64,0)</f>
        <v>0</v>
      </c>
      <c r="Q422" s="1687">
        <f t="shared" si="72"/>
        <v>16765529</v>
      </c>
      <c r="R422" s="2212" t="e">
        <f>IF('Report-M&amp;O2021'!C$18-'Report-SOF2021'!D$55&lt;=0,0,'Report-M&amp;O2021'!C$18-'Report-SOF2021'!D$55)</f>
        <v>#DIV/0!</v>
      </c>
      <c r="S422" s="2452" t="e">
        <f t="shared" si="78"/>
        <v>#DIV/0!</v>
      </c>
      <c r="T422" s="1708">
        <f>IF(A422='Data Entry - SOF'!B$2,'Data Entry - SOF'!K$64,0)</f>
        <v>0</v>
      </c>
      <c r="U422" s="1687">
        <f t="shared" si="82"/>
        <v>16765529</v>
      </c>
      <c r="V422" s="2212" t="e">
        <f>IF('Report-M&amp;O2122'!C$18-'Report-SOF2122'!D$55&lt;=0,0,'Report-M&amp;O2122'!C$18-'Report-SOF2122'!D$55)</f>
        <v>#DIV/0!</v>
      </c>
      <c r="W422" s="2452" t="e">
        <f t="shared" si="79"/>
        <v>#DIV/0!</v>
      </c>
      <c r="X422" s="1708">
        <f>IF(A422='Data Entry - SOF'!B$2,'Data Entry - SOF'!M$64,0)</f>
        <v>0</v>
      </c>
      <c r="Y422" s="1371" t="e">
        <f t="shared" si="80"/>
        <v>#DIV/0!</v>
      </c>
      <c r="Z422" s="2212" t="e">
        <f>IF('Report-M&amp;O2223'!C$18-'Report-SOF2223'!D$55&lt;=0,0,'Report-M&amp;O2223'!C$18-'Report-SOF2223'!D$55)</f>
        <v>#DIV/0!</v>
      </c>
      <c r="AA422" s="1708">
        <f>IF(A422='Data Entry - SOF'!B$2,'Data Entry - SOF'!O$64,0)</f>
        <v>0</v>
      </c>
    </row>
    <row r="423" spans="1:27" ht="15.75">
      <c r="A423" s="1076" t="s">
        <v>1693</v>
      </c>
      <c r="B423">
        <v>4800083</v>
      </c>
      <c r="C423" s="2452" t="e">
        <f>#REF!+#REF!</f>
        <v>#REF!</v>
      </c>
      <c r="D423" s="2449">
        <f>IF(A423='Data Entry - SOF'!B$2,'Data Entry - SOF'!C$64,0)</f>
        <v>0</v>
      </c>
      <c r="E423" s="2450">
        <f t="shared" si="81"/>
        <v>4800083</v>
      </c>
      <c r="F423" s="2212" t="e">
        <f>IF('Report-M&amp;O1718'!C$18-'Report-SOF1718'!D$55&lt;=0,0,'Report-M&amp;O1718'!C$18-'Report-SOF1718'!D$55)</f>
        <v>#DIV/0!</v>
      </c>
      <c r="G423" s="2452" t="e">
        <f t="shared" si="73"/>
        <v>#DIV/0!</v>
      </c>
      <c r="H423" s="2449">
        <f>IF(A423='Data Entry - SOF'!B$2,'Data Entry - SOF'!E$64,0)</f>
        <v>0</v>
      </c>
      <c r="I423" s="1687">
        <f t="shared" si="74"/>
        <v>4800083</v>
      </c>
      <c r="J423" s="2212" t="e">
        <f>IF('Report-M&amp;O1819'!C$18-'Report-SOF1819'!D$55&lt;=0,0,'Report-M&amp;O1819'!C$18-'Report-SOF1819'!D$55)</f>
        <v>#DIV/0!</v>
      </c>
      <c r="K423" s="2452" t="e">
        <f t="shared" si="75"/>
        <v>#DIV/0!</v>
      </c>
      <c r="L423" s="2449">
        <f>IF(A423='Data Entry - SOF'!B$2,'Data Entry - SOF'!G$64,0)</f>
        <v>0</v>
      </c>
      <c r="M423" s="1371">
        <f t="shared" si="76"/>
        <v>4800083</v>
      </c>
      <c r="N423" s="2212" t="e">
        <f>IF('Report-M&amp;O1920'!C$18-'Report-SOF1920'!D$55&lt;=0,0,'Report-M&amp;O1920'!C$18-'Report-SOF1920'!D$55)</f>
        <v>#DIV/0!</v>
      </c>
      <c r="O423" s="2452" t="e">
        <f t="shared" si="77"/>
        <v>#DIV/0!</v>
      </c>
      <c r="P423" s="2449">
        <f>IF(A423='Data Entry - SOF'!B$2,'Data Entry - SOF'!I$64,0)</f>
        <v>0</v>
      </c>
      <c r="Q423" s="1687">
        <f t="shared" si="72"/>
        <v>4800083</v>
      </c>
      <c r="R423" s="2212" t="e">
        <f>IF('Report-M&amp;O2021'!C$18-'Report-SOF2021'!D$55&lt;=0,0,'Report-M&amp;O2021'!C$18-'Report-SOF2021'!D$55)</f>
        <v>#DIV/0!</v>
      </c>
      <c r="S423" s="2452" t="e">
        <f t="shared" si="78"/>
        <v>#DIV/0!</v>
      </c>
      <c r="T423" s="1708">
        <f>IF(A423='Data Entry - SOF'!B$2,'Data Entry - SOF'!K$64,0)</f>
        <v>0</v>
      </c>
      <c r="U423" s="1687">
        <f t="shared" si="82"/>
        <v>4800083</v>
      </c>
      <c r="V423" s="2212" t="e">
        <f>IF('Report-M&amp;O2122'!C$18-'Report-SOF2122'!D$55&lt;=0,0,'Report-M&amp;O2122'!C$18-'Report-SOF2122'!D$55)</f>
        <v>#DIV/0!</v>
      </c>
      <c r="W423" s="2452" t="e">
        <f t="shared" si="79"/>
        <v>#DIV/0!</v>
      </c>
      <c r="X423" s="1708">
        <f>IF(A423='Data Entry - SOF'!B$2,'Data Entry - SOF'!M$64,0)</f>
        <v>0</v>
      </c>
      <c r="Y423" s="1371" t="e">
        <f t="shared" si="80"/>
        <v>#DIV/0!</v>
      </c>
      <c r="Z423" s="2212" t="e">
        <f>IF('Report-M&amp;O2223'!C$18-'Report-SOF2223'!D$55&lt;=0,0,'Report-M&amp;O2223'!C$18-'Report-SOF2223'!D$55)</f>
        <v>#DIV/0!</v>
      </c>
      <c r="AA423" s="1708">
        <f>IF(A423='Data Entry - SOF'!B$2,'Data Entry - SOF'!O$64,0)</f>
        <v>0</v>
      </c>
    </row>
    <row r="424" spans="1:27" ht="15.75">
      <c r="A424" s="1076" t="s">
        <v>1694</v>
      </c>
      <c r="B424">
        <v>42606751</v>
      </c>
      <c r="C424" s="2452" t="e">
        <f>#REF!+#REF!</f>
        <v>#REF!</v>
      </c>
      <c r="D424" s="2449">
        <f>IF(A424='Data Entry - SOF'!B$2,'Data Entry - SOF'!C$64,0)</f>
        <v>0</v>
      </c>
      <c r="E424" s="2450">
        <f t="shared" si="81"/>
        <v>42606751</v>
      </c>
      <c r="F424" s="2212" t="e">
        <f>IF('Report-M&amp;O1718'!C$18-'Report-SOF1718'!D$55&lt;=0,0,'Report-M&amp;O1718'!C$18-'Report-SOF1718'!D$55)</f>
        <v>#DIV/0!</v>
      </c>
      <c r="G424" s="2452" t="e">
        <f t="shared" si="73"/>
        <v>#DIV/0!</v>
      </c>
      <c r="H424" s="2449">
        <f>IF(A424='Data Entry - SOF'!B$2,'Data Entry - SOF'!E$64,0)</f>
        <v>0</v>
      </c>
      <c r="I424" s="1687">
        <f t="shared" si="74"/>
        <v>42606751</v>
      </c>
      <c r="J424" s="2212" t="e">
        <f>IF('Report-M&amp;O1819'!C$18-'Report-SOF1819'!D$55&lt;=0,0,'Report-M&amp;O1819'!C$18-'Report-SOF1819'!D$55)</f>
        <v>#DIV/0!</v>
      </c>
      <c r="K424" s="2452" t="e">
        <f t="shared" si="75"/>
        <v>#DIV/0!</v>
      </c>
      <c r="L424" s="2449">
        <f>IF(A424='Data Entry - SOF'!B$2,'Data Entry - SOF'!G$64,0)</f>
        <v>0</v>
      </c>
      <c r="M424" s="1371">
        <f t="shared" si="76"/>
        <v>42606751</v>
      </c>
      <c r="N424" s="2212" t="e">
        <f>IF('Report-M&amp;O1920'!C$18-'Report-SOF1920'!D$55&lt;=0,0,'Report-M&amp;O1920'!C$18-'Report-SOF1920'!D$55)</f>
        <v>#DIV/0!</v>
      </c>
      <c r="O424" s="2452" t="e">
        <f t="shared" si="77"/>
        <v>#DIV/0!</v>
      </c>
      <c r="P424" s="2449">
        <f>IF(A424='Data Entry - SOF'!B$2,'Data Entry - SOF'!I$64,0)</f>
        <v>0</v>
      </c>
      <c r="Q424" s="1687">
        <f t="shared" si="72"/>
        <v>42606751</v>
      </c>
      <c r="R424" s="2212" t="e">
        <f>IF('Report-M&amp;O2021'!C$18-'Report-SOF2021'!D$55&lt;=0,0,'Report-M&amp;O2021'!C$18-'Report-SOF2021'!D$55)</f>
        <v>#DIV/0!</v>
      </c>
      <c r="S424" s="2452" t="e">
        <f t="shared" si="78"/>
        <v>#DIV/0!</v>
      </c>
      <c r="T424" s="1708">
        <f>IF(A424='Data Entry - SOF'!B$2,'Data Entry - SOF'!K$64,0)</f>
        <v>0</v>
      </c>
      <c r="U424" s="1687">
        <f t="shared" si="82"/>
        <v>42606751</v>
      </c>
      <c r="V424" s="2212" t="e">
        <f>IF('Report-M&amp;O2122'!C$18-'Report-SOF2122'!D$55&lt;=0,0,'Report-M&amp;O2122'!C$18-'Report-SOF2122'!D$55)</f>
        <v>#DIV/0!</v>
      </c>
      <c r="W424" s="2452" t="e">
        <f t="shared" si="79"/>
        <v>#DIV/0!</v>
      </c>
      <c r="X424" s="1708">
        <f>IF(A424='Data Entry - SOF'!B$2,'Data Entry - SOF'!M$64,0)</f>
        <v>0</v>
      </c>
      <c r="Y424" s="1371" t="e">
        <f t="shared" si="80"/>
        <v>#DIV/0!</v>
      </c>
      <c r="Z424" s="2212" t="e">
        <f>IF('Report-M&amp;O2223'!C$18-'Report-SOF2223'!D$55&lt;=0,0,'Report-M&amp;O2223'!C$18-'Report-SOF2223'!D$55)</f>
        <v>#DIV/0!</v>
      </c>
      <c r="AA424" s="1708">
        <f>IF(A424='Data Entry - SOF'!B$2,'Data Entry - SOF'!O$64,0)</f>
        <v>0</v>
      </c>
    </row>
    <row r="425" spans="1:27" ht="15.75">
      <c r="A425" s="1076" t="s">
        <v>1765</v>
      </c>
      <c r="B425">
        <v>451565</v>
      </c>
      <c r="C425" s="2452" t="e">
        <f>#REF!+#REF!</f>
        <v>#REF!</v>
      </c>
      <c r="D425" s="2449">
        <f>IF(A425='Data Entry - SOF'!B$2,'Data Entry - SOF'!C$64,0)</f>
        <v>0</v>
      </c>
      <c r="E425" s="2450">
        <f t="shared" si="81"/>
        <v>451565</v>
      </c>
      <c r="F425" s="2212" t="e">
        <f>IF('Report-M&amp;O1718'!C$18-'Report-SOF1718'!D$55&lt;=0,0,'Report-M&amp;O1718'!C$18-'Report-SOF1718'!D$55)</f>
        <v>#DIV/0!</v>
      </c>
      <c r="G425" s="2452" t="e">
        <f t="shared" si="73"/>
        <v>#DIV/0!</v>
      </c>
      <c r="H425" s="2449">
        <f>IF(A425='Data Entry - SOF'!B$2,'Data Entry - SOF'!E$64,0)</f>
        <v>0</v>
      </c>
      <c r="I425" s="1687">
        <f t="shared" si="74"/>
        <v>451565</v>
      </c>
      <c r="J425" s="2212" t="e">
        <f>IF('Report-M&amp;O1819'!C$18-'Report-SOF1819'!D$55&lt;=0,0,'Report-M&amp;O1819'!C$18-'Report-SOF1819'!D$55)</f>
        <v>#DIV/0!</v>
      </c>
      <c r="K425" s="2452" t="e">
        <f t="shared" si="75"/>
        <v>#DIV/0!</v>
      </c>
      <c r="L425" s="2449">
        <f>IF(A425='Data Entry - SOF'!B$2,'Data Entry - SOF'!G$64,0)</f>
        <v>0</v>
      </c>
      <c r="M425" s="1371">
        <f t="shared" si="76"/>
        <v>451565</v>
      </c>
      <c r="N425" s="2212" t="e">
        <f>IF('Report-M&amp;O1920'!C$18-'Report-SOF1920'!D$55&lt;=0,0,'Report-M&amp;O1920'!C$18-'Report-SOF1920'!D$55)</f>
        <v>#DIV/0!</v>
      </c>
      <c r="O425" s="2452" t="e">
        <f t="shared" si="77"/>
        <v>#DIV/0!</v>
      </c>
      <c r="P425" s="2449">
        <f>IF(A425='Data Entry - SOF'!B$2,'Data Entry - SOF'!I$64,0)</f>
        <v>0</v>
      </c>
      <c r="Q425" s="1687">
        <f t="shared" si="72"/>
        <v>451565</v>
      </c>
      <c r="R425" s="2212" t="e">
        <f>IF('Report-M&amp;O2021'!C$18-'Report-SOF2021'!D$55&lt;=0,0,'Report-M&amp;O2021'!C$18-'Report-SOF2021'!D$55)</f>
        <v>#DIV/0!</v>
      </c>
      <c r="S425" s="2452" t="e">
        <f t="shared" si="78"/>
        <v>#DIV/0!</v>
      </c>
      <c r="T425" s="1708">
        <f>IF(A425='Data Entry - SOF'!B$2,'Data Entry - SOF'!K$64,0)</f>
        <v>0</v>
      </c>
      <c r="U425" s="1687">
        <f t="shared" si="82"/>
        <v>451565</v>
      </c>
      <c r="V425" s="2212" t="e">
        <f>IF('Report-M&amp;O2122'!C$18-'Report-SOF2122'!D$55&lt;=0,0,'Report-M&amp;O2122'!C$18-'Report-SOF2122'!D$55)</f>
        <v>#DIV/0!</v>
      </c>
      <c r="W425" s="2452" t="e">
        <f t="shared" si="79"/>
        <v>#DIV/0!</v>
      </c>
      <c r="X425" s="1708">
        <f>IF(A425='Data Entry - SOF'!B$2,'Data Entry - SOF'!M$64,0)</f>
        <v>0</v>
      </c>
      <c r="Y425" s="1371" t="e">
        <f t="shared" si="80"/>
        <v>#DIV/0!</v>
      </c>
      <c r="Z425" s="2212" t="e">
        <f>IF('Report-M&amp;O2223'!C$18-'Report-SOF2223'!D$55&lt;=0,0,'Report-M&amp;O2223'!C$18-'Report-SOF2223'!D$55)</f>
        <v>#DIV/0!</v>
      </c>
      <c r="AA425" s="1708">
        <f>IF(A425='Data Entry - SOF'!B$2,'Data Entry - SOF'!O$64,0)</f>
        <v>0</v>
      </c>
    </row>
    <row r="426" spans="1:27" ht="15.75">
      <c r="A426" s="1076" t="s">
        <v>1766</v>
      </c>
      <c r="B426">
        <v>4242207</v>
      </c>
      <c r="C426" s="2452" t="e">
        <f>#REF!+#REF!</f>
        <v>#REF!</v>
      </c>
      <c r="D426" s="2449">
        <f>IF(A426='Data Entry - SOF'!B$2,'Data Entry - SOF'!C$64,0)</f>
        <v>0</v>
      </c>
      <c r="E426" s="2450">
        <f t="shared" si="81"/>
        <v>4242207</v>
      </c>
      <c r="F426" s="2212" t="e">
        <f>IF('Report-M&amp;O1718'!C$18-'Report-SOF1718'!D$55&lt;=0,0,'Report-M&amp;O1718'!C$18-'Report-SOF1718'!D$55)</f>
        <v>#DIV/0!</v>
      </c>
      <c r="G426" s="2452" t="e">
        <f t="shared" si="73"/>
        <v>#DIV/0!</v>
      </c>
      <c r="H426" s="2449">
        <f>IF(A426='Data Entry - SOF'!B$2,'Data Entry - SOF'!E$64,0)</f>
        <v>0</v>
      </c>
      <c r="I426" s="1687">
        <f t="shared" si="74"/>
        <v>4242207</v>
      </c>
      <c r="J426" s="2212" t="e">
        <f>IF('Report-M&amp;O1819'!C$18-'Report-SOF1819'!D$55&lt;=0,0,'Report-M&amp;O1819'!C$18-'Report-SOF1819'!D$55)</f>
        <v>#DIV/0!</v>
      </c>
      <c r="K426" s="2452" t="e">
        <f t="shared" si="75"/>
        <v>#DIV/0!</v>
      </c>
      <c r="L426" s="2449">
        <f>IF(A426='Data Entry - SOF'!B$2,'Data Entry - SOF'!G$64,0)</f>
        <v>0</v>
      </c>
      <c r="M426" s="1371">
        <f t="shared" si="76"/>
        <v>4242207</v>
      </c>
      <c r="N426" s="2212" t="e">
        <f>IF('Report-M&amp;O1920'!C$18-'Report-SOF1920'!D$55&lt;=0,0,'Report-M&amp;O1920'!C$18-'Report-SOF1920'!D$55)</f>
        <v>#DIV/0!</v>
      </c>
      <c r="O426" s="2452" t="e">
        <f t="shared" si="77"/>
        <v>#DIV/0!</v>
      </c>
      <c r="P426" s="2449">
        <f>IF(A426='Data Entry - SOF'!B$2,'Data Entry - SOF'!I$64,0)</f>
        <v>0</v>
      </c>
      <c r="Q426" s="1687">
        <f t="shared" si="72"/>
        <v>4242207</v>
      </c>
      <c r="R426" s="2212" t="e">
        <f>IF('Report-M&amp;O2021'!C$18-'Report-SOF2021'!D$55&lt;=0,0,'Report-M&amp;O2021'!C$18-'Report-SOF2021'!D$55)</f>
        <v>#DIV/0!</v>
      </c>
      <c r="S426" s="2452" t="e">
        <f t="shared" si="78"/>
        <v>#DIV/0!</v>
      </c>
      <c r="T426" s="1708">
        <f>IF(A426='Data Entry - SOF'!B$2,'Data Entry - SOF'!K$64,0)</f>
        <v>0</v>
      </c>
      <c r="U426" s="1687">
        <f t="shared" si="82"/>
        <v>4242207</v>
      </c>
      <c r="V426" s="2212" t="e">
        <f>IF('Report-M&amp;O2122'!C$18-'Report-SOF2122'!D$55&lt;=0,0,'Report-M&amp;O2122'!C$18-'Report-SOF2122'!D$55)</f>
        <v>#DIV/0!</v>
      </c>
      <c r="W426" s="2452" t="e">
        <f t="shared" si="79"/>
        <v>#DIV/0!</v>
      </c>
      <c r="X426" s="1708">
        <f>IF(A426='Data Entry - SOF'!B$2,'Data Entry - SOF'!M$64,0)</f>
        <v>0</v>
      </c>
      <c r="Y426" s="1371" t="e">
        <f t="shared" si="80"/>
        <v>#DIV/0!</v>
      </c>
      <c r="Z426" s="2212" t="e">
        <f>IF('Report-M&amp;O2223'!C$18-'Report-SOF2223'!D$55&lt;=0,0,'Report-M&amp;O2223'!C$18-'Report-SOF2223'!D$55)</f>
        <v>#DIV/0!</v>
      </c>
      <c r="AA426" s="1708">
        <f>IF(A426='Data Entry - SOF'!B$2,'Data Entry - SOF'!O$64,0)</f>
        <v>0</v>
      </c>
    </row>
    <row r="427" spans="1:27" ht="15.75">
      <c r="A427" s="1076" t="s">
        <v>539</v>
      </c>
      <c r="B427">
        <v>2251896.3845385602</v>
      </c>
      <c r="C427" s="2452" t="e">
        <f>#REF!+#REF!</f>
        <v>#REF!</v>
      </c>
      <c r="D427" s="2449">
        <f>IF(A427='Data Entry - SOF'!B$2,'Data Entry - SOF'!C$64,0)</f>
        <v>0</v>
      </c>
      <c r="E427" s="2450">
        <f t="shared" si="81"/>
        <v>2251896.3845385602</v>
      </c>
      <c r="F427" s="2212" t="e">
        <f>IF('Report-M&amp;O1718'!C$18-'Report-SOF1718'!D$55&lt;=0,0,'Report-M&amp;O1718'!C$18-'Report-SOF1718'!D$55)</f>
        <v>#DIV/0!</v>
      </c>
      <c r="G427" s="2452" t="e">
        <f t="shared" si="73"/>
        <v>#DIV/0!</v>
      </c>
      <c r="H427" s="2449">
        <f>IF(A427='Data Entry - SOF'!B$2,'Data Entry - SOF'!E$64,0)</f>
        <v>0</v>
      </c>
      <c r="I427" s="1687">
        <f t="shared" si="74"/>
        <v>2251896.3845385602</v>
      </c>
      <c r="J427" s="2212" t="e">
        <f>IF('Report-M&amp;O1819'!C$18-'Report-SOF1819'!D$55&lt;=0,0,'Report-M&amp;O1819'!C$18-'Report-SOF1819'!D$55)</f>
        <v>#DIV/0!</v>
      </c>
      <c r="K427" s="2452" t="e">
        <f t="shared" si="75"/>
        <v>#DIV/0!</v>
      </c>
      <c r="L427" s="2449">
        <f>IF(A427='Data Entry - SOF'!B$2,'Data Entry - SOF'!G$64,0)</f>
        <v>0</v>
      </c>
      <c r="M427" s="1371">
        <f t="shared" si="76"/>
        <v>2251896.3845385602</v>
      </c>
      <c r="N427" s="2212" t="e">
        <f>IF('Report-M&amp;O1920'!C$18-'Report-SOF1920'!D$55&lt;=0,0,'Report-M&amp;O1920'!C$18-'Report-SOF1920'!D$55)</f>
        <v>#DIV/0!</v>
      </c>
      <c r="O427" s="2452" t="e">
        <f t="shared" si="77"/>
        <v>#DIV/0!</v>
      </c>
      <c r="P427" s="2449">
        <f>IF(A427='Data Entry - SOF'!B$2,'Data Entry - SOF'!I$64,0)</f>
        <v>0</v>
      </c>
      <c r="Q427" s="1687">
        <f t="shared" si="72"/>
        <v>2251896.3845385602</v>
      </c>
      <c r="R427" s="2212" t="e">
        <f>IF('Report-M&amp;O2021'!C$18-'Report-SOF2021'!D$55&lt;=0,0,'Report-M&amp;O2021'!C$18-'Report-SOF2021'!D$55)</f>
        <v>#DIV/0!</v>
      </c>
      <c r="S427" s="2452" t="e">
        <f t="shared" si="78"/>
        <v>#DIV/0!</v>
      </c>
      <c r="T427" s="1708">
        <f>IF(A427='Data Entry - SOF'!B$2,'Data Entry - SOF'!K$64,0)</f>
        <v>0</v>
      </c>
      <c r="U427" s="1687">
        <f t="shared" si="82"/>
        <v>2251896.3845385602</v>
      </c>
      <c r="V427" s="2212" t="e">
        <f>IF('Report-M&amp;O2122'!C$18-'Report-SOF2122'!D$55&lt;=0,0,'Report-M&amp;O2122'!C$18-'Report-SOF2122'!D$55)</f>
        <v>#DIV/0!</v>
      </c>
      <c r="W427" s="2452" t="e">
        <f t="shared" si="79"/>
        <v>#DIV/0!</v>
      </c>
      <c r="X427" s="1708">
        <f>IF(A427='Data Entry - SOF'!B$2,'Data Entry - SOF'!M$64,0)</f>
        <v>0</v>
      </c>
      <c r="Y427" s="1371" t="e">
        <f t="shared" si="80"/>
        <v>#DIV/0!</v>
      </c>
      <c r="Z427" s="2212" t="e">
        <f>IF('Report-M&amp;O2223'!C$18-'Report-SOF2223'!D$55&lt;=0,0,'Report-M&amp;O2223'!C$18-'Report-SOF2223'!D$55)</f>
        <v>#DIV/0!</v>
      </c>
      <c r="AA427" s="1708">
        <f>IF(A427='Data Entry - SOF'!B$2,'Data Entry - SOF'!O$64,0)</f>
        <v>0</v>
      </c>
    </row>
    <row r="428" spans="1:27" ht="15.75">
      <c r="A428" s="1076" t="s">
        <v>506</v>
      </c>
      <c r="B428">
        <v>1486338</v>
      </c>
      <c r="C428" s="2452" t="e">
        <f>#REF!+#REF!</f>
        <v>#REF!</v>
      </c>
      <c r="D428" s="2449">
        <f>IF(A428='Data Entry - SOF'!B$2,'Data Entry - SOF'!C$64,0)</f>
        <v>0</v>
      </c>
      <c r="E428" s="2450">
        <f t="shared" si="81"/>
        <v>1486338</v>
      </c>
      <c r="F428" s="2212" t="e">
        <f>IF('Report-M&amp;O1718'!C$18-'Report-SOF1718'!D$55&lt;=0,0,'Report-M&amp;O1718'!C$18-'Report-SOF1718'!D$55)</f>
        <v>#DIV/0!</v>
      </c>
      <c r="G428" s="2452" t="e">
        <f t="shared" si="73"/>
        <v>#DIV/0!</v>
      </c>
      <c r="H428" s="2449">
        <f>IF(A428='Data Entry - SOF'!B$2,'Data Entry - SOF'!E$64,0)</f>
        <v>0</v>
      </c>
      <c r="I428" s="1687">
        <f t="shared" si="74"/>
        <v>1486338</v>
      </c>
      <c r="J428" s="2212" t="e">
        <f>IF('Report-M&amp;O1819'!C$18-'Report-SOF1819'!D$55&lt;=0,0,'Report-M&amp;O1819'!C$18-'Report-SOF1819'!D$55)</f>
        <v>#DIV/0!</v>
      </c>
      <c r="K428" s="2452" t="e">
        <f t="shared" si="75"/>
        <v>#DIV/0!</v>
      </c>
      <c r="L428" s="2449">
        <f>IF(A428='Data Entry - SOF'!B$2,'Data Entry - SOF'!G$64,0)</f>
        <v>0</v>
      </c>
      <c r="M428" s="1371">
        <f t="shared" si="76"/>
        <v>1486338</v>
      </c>
      <c r="N428" s="2212" t="e">
        <f>IF('Report-M&amp;O1920'!C$18-'Report-SOF1920'!D$55&lt;=0,0,'Report-M&amp;O1920'!C$18-'Report-SOF1920'!D$55)</f>
        <v>#DIV/0!</v>
      </c>
      <c r="O428" s="2452" t="e">
        <f t="shared" si="77"/>
        <v>#DIV/0!</v>
      </c>
      <c r="P428" s="2449">
        <f>IF(A428='Data Entry - SOF'!B$2,'Data Entry - SOF'!I$64,0)</f>
        <v>0</v>
      </c>
      <c r="Q428" s="1687">
        <f t="shared" si="72"/>
        <v>1486338</v>
      </c>
      <c r="R428" s="2212" t="e">
        <f>IF('Report-M&amp;O2021'!C$18-'Report-SOF2021'!D$55&lt;=0,0,'Report-M&amp;O2021'!C$18-'Report-SOF2021'!D$55)</f>
        <v>#DIV/0!</v>
      </c>
      <c r="S428" s="2452" t="e">
        <f t="shared" si="78"/>
        <v>#DIV/0!</v>
      </c>
      <c r="T428" s="1708">
        <f>IF(A428='Data Entry - SOF'!B$2,'Data Entry - SOF'!K$64,0)</f>
        <v>0</v>
      </c>
      <c r="U428" s="1687">
        <f t="shared" si="82"/>
        <v>1486338</v>
      </c>
      <c r="V428" s="2212" t="e">
        <f>IF('Report-M&amp;O2122'!C$18-'Report-SOF2122'!D$55&lt;=0,0,'Report-M&amp;O2122'!C$18-'Report-SOF2122'!D$55)</f>
        <v>#DIV/0!</v>
      </c>
      <c r="W428" s="2452" t="e">
        <f t="shared" si="79"/>
        <v>#DIV/0!</v>
      </c>
      <c r="X428" s="1708">
        <f>IF(A428='Data Entry - SOF'!B$2,'Data Entry - SOF'!M$64,0)</f>
        <v>0</v>
      </c>
      <c r="Y428" s="1371" t="e">
        <f t="shared" si="80"/>
        <v>#DIV/0!</v>
      </c>
      <c r="Z428" s="2212" t="e">
        <f>IF('Report-M&amp;O2223'!C$18-'Report-SOF2223'!D$55&lt;=0,0,'Report-M&amp;O2223'!C$18-'Report-SOF2223'!D$55)</f>
        <v>#DIV/0!</v>
      </c>
      <c r="AA428" s="1708">
        <f>IF(A428='Data Entry - SOF'!B$2,'Data Entry - SOF'!O$64,0)</f>
        <v>0</v>
      </c>
    </row>
    <row r="429" spans="1:27" ht="15.75">
      <c r="A429" s="1076" t="s">
        <v>507</v>
      </c>
      <c r="B429">
        <v>1094163</v>
      </c>
      <c r="C429" s="2452" t="e">
        <f>#REF!+#REF!</f>
        <v>#REF!</v>
      </c>
      <c r="D429" s="2449">
        <f>IF(A429='Data Entry - SOF'!B$2,'Data Entry - SOF'!C$64,0)</f>
        <v>0</v>
      </c>
      <c r="E429" s="2450">
        <f t="shared" si="81"/>
        <v>1094163</v>
      </c>
      <c r="F429" s="2212" t="e">
        <f>IF('Report-M&amp;O1718'!C$18-'Report-SOF1718'!D$55&lt;=0,0,'Report-M&amp;O1718'!C$18-'Report-SOF1718'!D$55)</f>
        <v>#DIV/0!</v>
      </c>
      <c r="G429" s="2452" t="e">
        <f t="shared" si="73"/>
        <v>#DIV/0!</v>
      </c>
      <c r="H429" s="2449">
        <f>IF(A429='Data Entry - SOF'!B$2,'Data Entry - SOF'!E$64,0)</f>
        <v>0</v>
      </c>
      <c r="I429" s="1687">
        <f t="shared" si="74"/>
        <v>1094163</v>
      </c>
      <c r="J429" s="2212" t="e">
        <f>IF('Report-M&amp;O1819'!C$18-'Report-SOF1819'!D$55&lt;=0,0,'Report-M&amp;O1819'!C$18-'Report-SOF1819'!D$55)</f>
        <v>#DIV/0!</v>
      </c>
      <c r="K429" s="2452" t="e">
        <f t="shared" si="75"/>
        <v>#DIV/0!</v>
      </c>
      <c r="L429" s="2449">
        <f>IF(A429='Data Entry - SOF'!B$2,'Data Entry - SOF'!G$64,0)</f>
        <v>0</v>
      </c>
      <c r="M429" s="1371">
        <f t="shared" si="76"/>
        <v>1094163</v>
      </c>
      <c r="N429" s="2212" t="e">
        <f>IF('Report-M&amp;O1920'!C$18-'Report-SOF1920'!D$55&lt;=0,0,'Report-M&amp;O1920'!C$18-'Report-SOF1920'!D$55)</f>
        <v>#DIV/0!</v>
      </c>
      <c r="O429" s="2452" t="e">
        <f t="shared" si="77"/>
        <v>#DIV/0!</v>
      </c>
      <c r="P429" s="2449">
        <f>IF(A429='Data Entry - SOF'!B$2,'Data Entry - SOF'!I$64,0)</f>
        <v>0</v>
      </c>
      <c r="Q429" s="1687">
        <f t="shared" si="72"/>
        <v>1094163</v>
      </c>
      <c r="R429" s="2212" t="e">
        <f>IF('Report-M&amp;O2021'!C$18-'Report-SOF2021'!D$55&lt;=0,0,'Report-M&amp;O2021'!C$18-'Report-SOF2021'!D$55)</f>
        <v>#DIV/0!</v>
      </c>
      <c r="S429" s="2452" t="e">
        <f t="shared" si="78"/>
        <v>#DIV/0!</v>
      </c>
      <c r="T429" s="1708">
        <f>IF(A429='Data Entry - SOF'!B$2,'Data Entry - SOF'!K$64,0)</f>
        <v>0</v>
      </c>
      <c r="U429" s="1687">
        <f t="shared" si="82"/>
        <v>1094163</v>
      </c>
      <c r="V429" s="2212" t="e">
        <f>IF('Report-M&amp;O2122'!C$18-'Report-SOF2122'!D$55&lt;=0,0,'Report-M&amp;O2122'!C$18-'Report-SOF2122'!D$55)</f>
        <v>#DIV/0!</v>
      </c>
      <c r="W429" s="2452" t="e">
        <f t="shared" si="79"/>
        <v>#DIV/0!</v>
      </c>
      <c r="X429" s="1708">
        <f>IF(A429='Data Entry - SOF'!B$2,'Data Entry - SOF'!M$64,0)</f>
        <v>0</v>
      </c>
      <c r="Y429" s="1371" t="e">
        <f t="shared" si="80"/>
        <v>#DIV/0!</v>
      </c>
      <c r="Z429" s="2212" t="e">
        <f>IF('Report-M&amp;O2223'!C$18-'Report-SOF2223'!D$55&lt;=0,0,'Report-M&amp;O2223'!C$18-'Report-SOF2223'!D$55)</f>
        <v>#DIV/0!</v>
      </c>
      <c r="AA429" s="1708">
        <f>IF(A429='Data Entry - SOF'!B$2,'Data Entry - SOF'!O$64,0)</f>
        <v>0</v>
      </c>
    </row>
    <row r="430" spans="1:27" ht="15.75">
      <c r="A430" s="1076" t="s">
        <v>508</v>
      </c>
      <c r="B430">
        <v>282844</v>
      </c>
      <c r="C430" s="2452" t="e">
        <f>#REF!+#REF!</f>
        <v>#REF!</v>
      </c>
      <c r="D430" s="2449">
        <f>IF(A430='Data Entry - SOF'!B$2,'Data Entry - SOF'!C$64,0)</f>
        <v>0</v>
      </c>
      <c r="E430" s="2450">
        <f t="shared" si="81"/>
        <v>282844</v>
      </c>
      <c r="F430" s="2212" t="e">
        <f>IF('Report-M&amp;O1718'!C$18-'Report-SOF1718'!D$55&lt;=0,0,'Report-M&amp;O1718'!C$18-'Report-SOF1718'!D$55)</f>
        <v>#DIV/0!</v>
      </c>
      <c r="G430" s="2452" t="e">
        <f t="shared" si="73"/>
        <v>#DIV/0!</v>
      </c>
      <c r="H430" s="2449">
        <f>IF(A430='Data Entry - SOF'!B$2,'Data Entry - SOF'!E$64,0)</f>
        <v>0</v>
      </c>
      <c r="I430" s="1687">
        <f t="shared" si="74"/>
        <v>282844</v>
      </c>
      <c r="J430" s="2212" t="e">
        <f>IF('Report-M&amp;O1819'!C$18-'Report-SOF1819'!D$55&lt;=0,0,'Report-M&amp;O1819'!C$18-'Report-SOF1819'!D$55)</f>
        <v>#DIV/0!</v>
      </c>
      <c r="K430" s="2452" t="e">
        <f t="shared" si="75"/>
        <v>#DIV/0!</v>
      </c>
      <c r="L430" s="2449">
        <f>IF(A430='Data Entry - SOF'!B$2,'Data Entry - SOF'!G$64,0)</f>
        <v>0</v>
      </c>
      <c r="M430" s="1371">
        <f t="shared" si="76"/>
        <v>282844</v>
      </c>
      <c r="N430" s="2212" t="e">
        <f>IF('Report-M&amp;O1920'!C$18-'Report-SOF1920'!D$55&lt;=0,0,'Report-M&amp;O1920'!C$18-'Report-SOF1920'!D$55)</f>
        <v>#DIV/0!</v>
      </c>
      <c r="O430" s="2452" t="e">
        <f t="shared" si="77"/>
        <v>#DIV/0!</v>
      </c>
      <c r="P430" s="2449">
        <f>IF(A430='Data Entry - SOF'!B$2,'Data Entry - SOF'!I$64,0)</f>
        <v>0</v>
      </c>
      <c r="Q430" s="1687">
        <f t="shared" si="72"/>
        <v>282844</v>
      </c>
      <c r="R430" s="2212" t="e">
        <f>IF('Report-M&amp;O2021'!C$18-'Report-SOF2021'!D$55&lt;=0,0,'Report-M&amp;O2021'!C$18-'Report-SOF2021'!D$55)</f>
        <v>#DIV/0!</v>
      </c>
      <c r="S430" s="2452" t="e">
        <f t="shared" si="78"/>
        <v>#DIV/0!</v>
      </c>
      <c r="T430" s="1708">
        <f>IF(A430='Data Entry - SOF'!B$2,'Data Entry - SOF'!K$64,0)</f>
        <v>0</v>
      </c>
      <c r="U430" s="1687">
        <f t="shared" si="82"/>
        <v>282844</v>
      </c>
      <c r="V430" s="2212" t="e">
        <f>IF('Report-M&amp;O2122'!C$18-'Report-SOF2122'!D$55&lt;=0,0,'Report-M&amp;O2122'!C$18-'Report-SOF2122'!D$55)</f>
        <v>#DIV/0!</v>
      </c>
      <c r="W430" s="2452" t="e">
        <f t="shared" si="79"/>
        <v>#DIV/0!</v>
      </c>
      <c r="X430" s="1708">
        <f>IF(A430='Data Entry - SOF'!B$2,'Data Entry - SOF'!M$64,0)</f>
        <v>0</v>
      </c>
      <c r="Y430" s="1371" t="e">
        <f t="shared" si="80"/>
        <v>#DIV/0!</v>
      </c>
      <c r="Z430" s="2212" t="e">
        <f>IF('Report-M&amp;O2223'!C$18-'Report-SOF2223'!D$55&lt;=0,0,'Report-M&amp;O2223'!C$18-'Report-SOF2223'!D$55)</f>
        <v>#DIV/0!</v>
      </c>
      <c r="AA430" s="1708">
        <f>IF(A430='Data Entry - SOF'!B$2,'Data Entry - SOF'!O$64,0)</f>
        <v>0</v>
      </c>
    </row>
    <row r="431" spans="1:27" ht="15.75">
      <c r="A431" s="1076" t="s">
        <v>509</v>
      </c>
      <c r="B431">
        <v>1913426</v>
      </c>
      <c r="C431" s="2452" t="e">
        <f>#REF!+#REF!</f>
        <v>#REF!</v>
      </c>
      <c r="D431" s="2449">
        <f>IF(A431='Data Entry - SOF'!B$2,'Data Entry - SOF'!C$64,0)</f>
        <v>0</v>
      </c>
      <c r="E431" s="2450">
        <f t="shared" si="81"/>
        <v>1913426</v>
      </c>
      <c r="F431" s="2212" t="e">
        <f>IF('Report-M&amp;O1718'!C$18-'Report-SOF1718'!D$55&lt;=0,0,'Report-M&amp;O1718'!C$18-'Report-SOF1718'!D$55)</f>
        <v>#DIV/0!</v>
      </c>
      <c r="G431" s="2452" t="e">
        <f t="shared" si="73"/>
        <v>#DIV/0!</v>
      </c>
      <c r="H431" s="2449">
        <f>IF(A431='Data Entry - SOF'!B$2,'Data Entry - SOF'!E$64,0)</f>
        <v>0</v>
      </c>
      <c r="I431" s="1687">
        <f t="shared" si="74"/>
        <v>1913426</v>
      </c>
      <c r="J431" s="2212" t="e">
        <f>IF('Report-M&amp;O1819'!C$18-'Report-SOF1819'!D$55&lt;=0,0,'Report-M&amp;O1819'!C$18-'Report-SOF1819'!D$55)</f>
        <v>#DIV/0!</v>
      </c>
      <c r="K431" s="2452" t="e">
        <f t="shared" si="75"/>
        <v>#DIV/0!</v>
      </c>
      <c r="L431" s="2449">
        <f>IF(A431='Data Entry - SOF'!B$2,'Data Entry - SOF'!G$64,0)</f>
        <v>0</v>
      </c>
      <c r="M431" s="1371">
        <f t="shared" si="76"/>
        <v>1913426</v>
      </c>
      <c r="N431" s="2212" t="e">
        <f>IF('Report-M&amp;O1920'!C$18-'Report-SOF1920'!D$55&lt;=0,0,'Report-M&amp;O1920'!C$18-'Report-SOF1920'!D$55)</f>
        <v>#DIV/0!</v>
      </c>
      <c r="O431" s="2452" t="e">
        <f t="shared" si="77"/>
        <v>#DIV/0!</v>
      </c>
      <c r="P431" s="2449">
        <f>IF(A431='Data Entry - SOF'!B$2,'Data Entry - SOF'!I$64,0)</f>
        <v>0</v>
      </c>
      <c r="Q431" s="1687">
        <f t="shared" si="72"/>
        <v>1913426</v>
      </c>
      <c r="R431" s="2212" t="e">
        <f>IF('Report-M&amp;O2021'!C$18-'Report-SOF2021'!D$55&lt;=0,0,'Report-M&amp;O2021'!C$18-'Report-SOF2021'!D$55)</f>
        <v>#DIV/0!</v>
      </c>
      <c r="S431" s="2452" t="e">
        <f t="shared" si="78"/>
        <v>#DIV/0!</v>
      </c>
      <c r="T431" s="1708">
        <f>IF(A431='Data Entry - SOF'!B$2,'Data Entry - SOF'!K$64,0)</f>
        <v>0</v>
      </c>
      <c r="U431" s="1687">
        <f t="shared" si="82"/>
        <v>1913426</v>
      </c>
      <c r="V431" s="2212" t="e">
        <f>IF('Report-M&amp;O2122'!C$18-'Report-SOF2122'!D$55&lt;=0,0,'Report-M&amp;O2122'!C$18-'Report-SOF2122'!D$55)</f>
        <v>#DIV/0!</v>
      </c>
      <c r="W431" s="2452" t="e">
        <f t="shared" si="79"/>
        <v>#DIV/0!</v>
      </c>
      <c r="X431" s="1708">
        <f>IF(A431='Data Entry - SOF'!B$2,'Data Entry - SOF'!M$64,0)</f>
        <v>0</v>
      </c>
      <c r="Y431" s="1371" t="e">
        <f t="shared" si="80"/>
        <v>#DIV/0!</v>
      </c>
      <c r="Z431" s="2212" t="e">
        <f>IF('Report-M&amp;O2223'!C$18-'Report-SOF2223'!D$55&lt;=0,0,'Report-M&amp;O2223'!C$18-'Report-SOF2223'!D$55)</f>
        <v>#DIV/0!</v>
      </c>
      <c r="AA431" s="1708">
        <f>IF(A431='Data Entry - SOF'!B$2,'Data Entry - SOF'!O$64,0)</f>
        <v>0</v>
      </c>
    </row>
    <row r="432" spans="1:27" ht="15.75">
      <c r="A432" s="1076" t="s">
        <v>1304</v>
      </c>
      <c r="B432">
        <v>81949405</v>
      </c>
      <c r="C432" s="2452" t="e">
        <f>#REF!+#REF!</f>
        <v>#REF!</v>
      </c>
      <c r="D432" s="2449">
        <f>IF(A432='Data Entry - SOF'!B$2,'Data Entry - SOF'!C$64,0)</f>
        <v>0</v>
      </c>
      <c r="E432" s="2450">
        <f t="shared" si="81"/>
        <v>81949405</v>
      </c>
      <c r="F432" s="2212" t="e">
        <f>IF('Report-M&amp;O1718'!C$18-'Report-SOF1718'!D$55&lt;=0,0,'Report-M&amp;O1718'!C$18-'Report-SOF1718'!D$55)</f>
        <v>#DIV/0!</v>
      </c>
      <c r="G432" s="2452" t="e">
        <f t="shared" si="73"/>
        <v>#DIV/0!</v>
      </c>
      <c r="H432" s="2449">
        <f>IF(A432='Data Entry - SOF'!B$2,'Data Entry - SOF'!E$64,0)</f>
        <v>0</v>
      </c>
      <c r="I432" s="1687">
        <f t="shared" si="74"/>
        <v>81949405</v>
      </c>
      <c r="J432" s="2212" t="e">
        <f>IF('Report-M&amp;O1819'!C$18-'Report-SOF1819'!D$55&lt;=0,0,'Report-M&amp;O1819'!C$18-'Report-SOF1819'!D$55)</f>
        <v>#DIV/0!</v>
      </c>
      <c r="K432" s="2452" t="e">
        <f t="shared" si="75"/>
        <v>#DIV/0!</v>
      </c>
      <c r="L432" s="2449">
        <f>IF(A432='Data Entry - SOF'!B$2,'Data Entry - SOF'!G$64,0)</f>
        <v>0</v>
      </c>
      <c r="M432" s="1371">
        <f t="shared" si="76"/>
        <v>81949405</v>
      </c>
      <c r="N432" s="2212" t="e">
        <f>IF('Report-M&amp;O1920'!C$18-'Report-SOF1920'!D$55&lt;=0,0,'Report-M&amp;O1920'!C$18-'Report-SOF1920'!D$55)</f>
        <v>#DIV/0!</v>
      </c>
      <c r="O432" s="2452" t="e">
        <f t="shared" si="77"/>
        <v>#DIV/0!</v>
      </c>
      <c r="P432" s="2449">
        <f>IF(A432='Data Entry - SOF'!B$2,'Data Entry - SOF'!I$64,0)</f>
        <v>0</v>
      </c>
      <c r="Q432" s="1687">
        <f t="shared" si="72"/>
        <v>81949405</v>
      </c>
      <c r="R432" s="2212" t="e">
        <f>IF('Report-M&amp;O2021'!C$18-'Report-SOF2021'!D$55&lt;=0,0,'Report-M&amp;O2021'!C$18-'Report-SOF2021'!D$55)</f>
        <v>#DIV/0!</v>
      </c>
      <c r="S432" s="2452" t="e">
        <f t="shared" si="78"/>
        <v>#DIV/0!</v>
      </c>
      <c r="T432" s="1708">
        <f>IF(A432='Data Entry - SOF'!B$2,'Data Entry - SOF'!K$64,0)</f>
        <v>0</v>
      </c>
      <c r="U432" s="1687">
        <f t="shared" si="82"/>
        <v>81949405</v>
      </c>
      <c r="V432" s="2212" t="e">
        <f>IF('Report-M&amp;O2122'!C$18-'Report-SOF2122'!D$55&lt;=0,0,'Report-M&amp;O2122'!C$18-'Report-SOF2122'!D$55)</f>
        <v>#DIV/0!</v>
      </c>
      <c r="W432" s="2452" t="e">
        <f t="shared" si="79"/>
        <v>#DIV/0!</v>
      </c>
      <c r="X432" s="1708">
        <f>IF(A432='Data Entry - SOF'!B$2,'Data Entry - SOF'!M$64,0)</f>
        <v>0</v>
      </c>
      <c r="Y432" s="1371" t="e">
        <f t="shared" si="80"/>
        <v>#DIV/0!</v>
      </c>
      <c r="Z432" s="2212" t="e">
        <f>IF('Report-M&amp;O2223'!C$18-'Report-SOF2223'!D$55&lt;=0,0,'Report-M&amp;O2223'!C$18-'Report-SOF2223'!D$55)</f>
        <v>#DIV/0!</v>
      </c>
      <c r="AA432" s="1708">
        <f>IF(A432='Data Entry - SOF'!B$2,'Data Entry - SOF'!O$64,0)</f>
        <v>0</v>
      </c>
    </row>
    <row r="433" spans="1:27" ht="15.75">
      <c r="A433" s="1076" t="s">
        <v>1678</v>
      </c>
      <c r="B433">
        <v>95201750.247073099</v>
      </c>
      <c r="C433" s="2452" t="e">
        <f>#REF!+#REF!</f>
        <v>#REF!</v>
      </c>
      <c r="D433" s="2449">
        <f>IF(A433='Data Entry - SOF'!B$2,'Data Entry - SOF'!C$64,0)</f>
        <v>0</v>
      </c>
      <c r="E433" s="2450">
        <f t="shared" si="81"/>
        <v>95201750.247073099</v>
      </c>
      <c r="F433" s="2212" t="e">
        <f>IF('Report-M&amp;O1718'!C$18-'Report-SOF1718'!D$55&lt;=0,0,'Report-M&amp;O1718'!C$18-'Report-SOF1718'!D$55)</f>
        <v>#DIV/0!</v>
      </c>
      <c r="G433" s="2452" t="e">
        <f t="shared" si="73"/>
        <v>#DIV/0!</v>
      </c>
      <c r="H433" s="2449">
        <f>IF(A433='Data Entry - SOF'!B$2,'Data Entry - SOF'!E$64,0)</f>
        <v>0</v>
      </c>
      <c r="I433" s="1687">
        <f t="shared" si="74"/>
        <v>95201750.247073099</v>
      </c>
      <c r="J433" s="2212" t="e">
        <f>IF('Report-M&amp;O1819'!C$18-'Report-SOF1819'!D$55&lt;=0,0,'Report-M&amp;O1819'!C$18-'Report-SOF1819'!D$55)</f>
        <v>#DIV/0!</v>
      </c>
      <c r="K433" s="2452" t="e">
        <f t="shared" si="75"/>
        <v>#DIV/0!</v>
      </c>
      <c r="L433" s="2449">
        <f>IF(A433='Data Entry - SOF'!B$2,'Data Entry - SOF'!G$64,0)</f>
        <v>0</v>
      </c>
      <c r="M433" s="1371">
        <f t="shared" si="76"/>
        <v>95201750.247073099</v>
      </c>
      <c r="N433" s="2212" t="e">
        <f>IF('Report-M&amp;O1920'!C$18-'Report-SOF1920'!D$55&lt;=0,0,'Report-M&amp;O1920'!C$18-'Report-SOF1920'!D$55)</f>
        <v>#DIV/0!</v>
      </c>
      <c r="O433" s="2452" t="e">
        <f t="shared" si="77"/>
        <v>#DIV/0!</v>
      </c>
      <c r="P433" s="2449">
        <f>IF(A433='Data Entry - SOF'!B$2,'Data Entry - SOF'!I$64,0)</f>
        <v>0</v>
      </c>
      <c r="Q433" s="1687">
        <f t="shared" si="72"/>
        <v>95201750.247073099</v>
      </c>
      <c r="R433" s="2212" t="e">
        <f>IF('Report-M&amp;O2021'!C$18-'Report-SOF2021'!D$55&lt;=0,0,'Report-M&amp;O2021'!C$18-'Report-SOF2021'!D$55)</f>
        <v>#DIV/0!</v>
      </c>
      <c r="S433" s="2452" t="e">
        <f t="shared" si="78"/>
        <v>#DIV/0!</v>
      </c>
      <c r="T433" s="1708">
        <f>IF(A433='Data Entry - SOF'!B$2,'Data Entry - SOF'!K$64,0)</f>
        <v>0</v>
      </c>
      <c r="U433" s="1687">
        <f t="shared" si="82"/>
        <v>95201750.247073099</v>
      </c>
      <c r="V433" s="2212" t="e">
        <f>IF('Report-M&amp;O2122'!C$18-'Report-SOF2122'!D$55&lt;=0,0,'Report-M&amp;O2122'!C$18-'Report-SOF2122'!D$55)</f>
        <v>#DIV/0!</v>
      </c>
      <c r="W433" s="2452" t="e">
        <f t="shared" si="79"/>
        <v>#DIV/0!</v>
      </c>
      <c r="X433" s="1708">
        <f>IF(A433='Data Entry - SOF'!B$2,'Data Entry - SOF'!M$64,0)</f>
        <v>0</v>
      </c>
      <c r="Y433" s="1371" t="e">
        <f t="shared" si="80"/>
        <v>#DIV/0!</v>
      </c>
      <c r="Z433" s="2212" t="e">
        <f>IF('Report-M&amp;O2223'!C$18-'Report-SOF2223'!D$55&lt;=0,0,'Report-M&amp;O2223'!C$18-'Report-SOF2223'!D$55)</f>
        <v>#DIV/0!</v>
      </c>
      <c r="AA433" s="1708">
        <f>IF(A433='Data Entry - SOF'!B$2,'Data Entry - SOF'!O$64,0)</f>
        <v>0</v>
      </c>
    </row>
    <row r="434" spans="1:27" ht="15.75">
      <c r="A434" s="1076" t="s">
        <v>1467</v>
      </c>
      <c r="B434">
        <v>24684166</v>
      </c>
      <c r="C434" s="2452" t="e">
        <f>#REF!+#REF!</f>
        <v>#REF!</v>
      </c>
      <c r="D434" s="2449">
        <f>IF(A434='Data Entry - SOF'!B$2,'Data Entry - SOF'!C$64,0)</f>
        <v>0</v>
      </c>
      <c r="E434" s="2450">
        <f t="shared" si="81"/>
        <v>24684166</v>
      </c>
      <c r="F434" s="2212" t="e">
        <f>IF('Report-M&amp;O1718'!C$18-'Report-SOF1718'!D$55&lt;=0,0,'Report-M&amp;O1718'!C$18-'Report-SOF1718'!D$55)</f>
        <v>#DIV/0!</v>
      </c>
      <c r="G434" s="2452" t="e">
        <f t="shared" si="73"/>
        <v>#DIV/0!</v>
      </c>
      <c r="H434" s="2449">
        <f>IF(A434='Data Entry - SOF'!B$2,'Data Entry - SOF'!E$64,0)</f>
        <v>0</v>
      </c>
      <c r="I434" s="1687">
        <f t="shared" si="74"/>
        <v>24684166</v>
      </c>
      <c r="J434" s="2212" t="e">
        <f>IF('Report-M&amp;O1819'!C$18-'Report-SOF1819'!D$55&lt;=0,0,'Report-M&amp;O1819'!C$18-'Report-SOF1819'!D$55)</f>
        <v>#DIV/0!</v>
      </c>
      <c r="K434" s="2452" t="e">
        <f t="shared" si="75"/>
        <v>#DIV/0!</v>
      </c>
      <c r="L434" s="2449">
        <f>IF(A434='Data Entry - SOF'!B$2,'Data Entry - SOF'!G$64,0)</f>
        <v>0</v>
      </c>
      <c r="M434" s="1371">
        <f t="shared" si="76"/>
        <v>24684166</v>
      </c>
      <c r="N434" s="2212" t="e">
        <f>IF('Report-M&amp;O1920'!C$18-'Report-SOF1920'!D$55&lt;=0,0,'Report-M&amp;O1920'!C$18-'Report-SOF1920'!D$55)</f>
        <v>#DIV/0!</v>
      </c>
      <c r="O434" s="2452" t="e">
        <f t="shared" si="77"/>
        <v>#DIV/0!</v>
      </c>
      <c r="P434" s="2449">
        <f>IF(A434='Data Entry - SOF'!B$2,'Data Entry - SOF'!I$64,0)</f>
        <v>0</v>
      </c>
      <c r="Q434" s="1687">
        <f t="shared" si="72"/>
        <v>24684166</v>
      </c>
      <c r="R434" s="2212" t="e">
        <f>IF('Report-M&amp;O2021'!C$18-'Report-SOF2021'!D$55&lt;=0,0,'Report-M&amp;O2021'!C$18-'Report-SOF2021'!D$55)</f>
        <v>#DIV/0!</v>
      </c>
      <c r="S434" s="2452" t="e">
        <f t="shared" si="78"/>
        <v>#DIV/0!</v>
      </c>
      <c r="T434" s="1708">
        <f>IF(A434='Data Entry - SOF'!B$2,'Data Entry - SOF'!K$64,0)</f>
        <v>0</v>
      </c>
      <c r="U434" s="1687">
        <f t="shared" si="82"/>
        <v>24684166</v>
      </c>
      <c r="V434" s="2212" t="e">
        <f>IF('Report-M&amp;O2122'!C$18-'Report-SOF2122'!D$55&lt;=0,0,'Report-M&amp;O2122'!C$18-'Report-SOF2122'!D$55)</f>
        <v>#DIV/0!</v>
      </c>
      <c r="W434" s="2452" t="e">
        <f t="shared" si="79"/>
        <v>#DIV/0!</v>
      </c>
      <c r="X434" s="1708">
        <f>IF(A434='Data Entry - SOF'!B$2,'Data Entry - SOF'!M$64,0)</f>
        <v>0</v>
      </c>
      <c r="Y434" s="1371" t="e">
        <f t="shared" si="80"/>
        <v>#DIV/0!</v>
      </c>
      <c r="Z434" s="2212" t="e">
        <f>IF('Report-M&amp;O2223'!C$18-'Report-SOF2223'!D$55&lt;=0,0,'Report-M&amp;O2223'!C$18-'Report-SOF2223'!D$55)</f>
        <v>#DIV/0!</v>
      </c>
      <c r="AA434" s="1708">
        <f>IF(A434='Data Entry - SOF'!B$2,'Data Entry - SOF'!O$64,0)</f>
        <v>0</v>
      </c>
    </row>
    <row r="435" spans="1:27" ht="15.75">
      <c r="A435" s="1076" t="s">
        <v>2129</v>
      </c>
      <c r="B435">
        <v>81474471</v>
      </c>
      <c r="C435" s="2452" t="e">
        <f>#REF!+#REF!</f>
        <v>#REF!</v>
      </c>
      <c r="D435" s="2449">
        <f>IF(A435='Data Entry - SOF'!B$2,'Data Entry - SOF'!C$64,0)</f>
        <v>0</v>
      </c>
      <c r="E435" s="2450">
        <f t="shared" si="81"/>
        <v>81474471</v>
      </c>
      <c r="F435" s="2212" t="e">
        <f>IF('Report-M&amp;O1718'!C$18-'Report-SOF1718'!D$55&lt;=0,0,'Report-M&amp;O1718'!C$18-'Report-SOF1718'!D$55)</f>
        <v>#DIV/0!</v>
      </c>
      <c r="G435" s="2452" t="e">
        <f t="shared" si="73"/>
        <v>#DIV/0!</v>
      </c>
      <c r="H435" s="2449">
        <f>IF(A435='Data Entry - SOF'!B$2,'Data Entry - SOF'!E$64,0)</f>
        <v>0</v>
      </c>
      <c r="I435" s="1687">
        <f t="shared" si="74"/>
        <v>81474471</v>
      </c>
      <c r="J435" s="2212" t="e">
        <f>IF('Report-M&amp;O1819'!C$18-'Report-SOF1819'!D$55&lt;=0,0,'Report-M&amp;O1819'!C$18-'Report-SOF1819'!D$55)</f>
        <v>#DIV/0!</v>
      </c>
      <c r="K435" s="2452" t="e">
        <f t="shared" si="75"/>
        <v>#DIV/0!</v>
      </c>
      <c r="L435" s="2449">
        <f>IF(A435='Data Entry - SOF'!B$2,'Data Entry - SOF'!G$64,0)</f>
        <v>0</v>
      </c>
      <c r="M435" s="1371">
        <f t="shared" si="76"/>
        <v>81474471</v>
      </c>
      <c r="N435" s="2212" t="e">
        <f>IF('Report-M&amp;O1920'!C$18-'Report-SOF1920'!D$55&lt;=0,0,'Report-M&amp;O1920'!C$18-'Report-SOF1920'!D$55)</f>
        <v>#DIV/0!</v>
      </c>
      <c r="O435" s="2452" t="e">
        <f t="shared" si="77"/>
        <v>#DIV/0!</v>
      </c>
      <c r="P435" s="2449">
        <f>IF(A435='Data Entry - SOF'!B$2,'Data Entry - SOF'!I$64,0)</f>
        <v>0</v>
      </c>
      <c r="Q435" s="1687">
        <f t="shared" si="72"/>
        <v>81474471</v>
      </c>
      <c r="R435" s="2212" t="e">
        <f>IF('Report-M&amp;O2021'!C$18-'Report-SOF2021'!D$55&lt;=0,0,'Report-M&amp;O2021'!C$18-'Report-SOF2021'!D$55)</f>
        <v>#DIV/0!</v>
      </c>
      <c r="S435" s="2452" t="e">
        <f t="shared" si="78"/>
        <v>#DIV/0!</v>
      </c>
      <c r="T435" s="1708">
        <f>IF(A435='Data Entry - SOF'!B$2,'Data Entry - SOF'!K$64,0)</f>
        <v>0</v>
      </c>
      <c r="U435" s="1687">
        <f t="shared" si="82"/>
        <v>81474471</v>
      </c>
      <c r="V435" s="2212" t="e">
        <f>IF('Report-M&amp;O2122'!C$18-'Report-SOF2122'!D$55&lt;=0,0,'Report-M&amp;O2122'!C$18-'Report-SOF2122'!D$55)</f>
        <v>#DIV/0!</v>
      </c>
      <c r="W435" s="2452" t="e">
        <f t="shared" si="79"/>
        <v>#DIV/0!</v>
      </c>
      <c r="X435" s="1708">
        <f>IF(A435='Data Entry - SOF'!B$2,'Data Entry - SOF'!M$64,0)</f>
        <v>0</v>
      </c>
      <c r="Y435" s="1371" t="e">
        <f t="shared" si="80"/>
        <v>#DIV/0!</v>
      </c>
      <c r="Z435" s="2212" t="e">
        <f>IF('Report-M&amp;O2223'!C$18-'Report-SOF2223'!D$55&lt;=0,0,'Report-M&amp;O2223'!C$18-'Report-SOF2223'!D$55)</f>
        <v>#DIV/0!</v>
      </c>
      <c r="AA435" s="1708">
        <f>IF(A435='Data Entry - SOF'!B$2,'Data Entry - SOF'!O$64,0)</f>
        <v>0</v>
      </c>
    </row>
    <row r="436" spans="1:27" ht="15.75">
      <c r="A436" s="1076" t="s">
        <v>1918</v>
      </c>
      <c r="B436">
        <v>58015959</v>
      </c>
      <c r="C436" s="2452" t="e">
        <f>#REF!+#REF!</f>
        <v>#REF!</v>
      </c>
      <c r="D436" s="2449">
        <f>IF(A436='Data Entry - SOF'!B$2,'Data Entry - SOF'!C$64,0)</f>
        <v>0</v>
      </c>
      <c r="E436" s="2450">
        <f t="shared" si="81"/>
        <v>58015959</v>
      </c>
      <c r="F436" s="2212" t="e">
        <f>IF('Report-M&amp;O1718'!C$18-'Report-SOF1718'!D$55&lt;=0,0,'Report-M&amp;O1718'!C$18-'Report-SOF1718'!D$55)</f>
        <v>#DIV/0!</v>
      </c>
      <c r="G436" s="2452" t="e">
        <f t="shared" si="73"/>
        <v>#DIV/0!</v>
      </c>
      <c r="H436" s="2449">
        <f>IF(A436='Data Entry - SOF'!B$2,'Data Entry - SOF'!E$64,0)</f>
        <v>0</v>
      </c>
      <c r="I436" s="1687">
        <f t="shared" si="74"/>
        <v>58015959</v>
      </c>
      <c r="J436" s="2212" t="e">
        <f>IF('Report-M&amp;O1819'!C$18-'Report-SOF1819'!D$55&lt;=0,0,'Report-M&amp;O1819'!C$18-'Report-SOF1819'!D$55)</f>
        <v>#DIV/0!</v>
      </c>
      <c r="K436" s="2452" t="e">
        <f t="shared" si="75"/>
        <v>#DIV/0!</v>
      </c>
      <c r="L436" s="2449">
        <f>IF(A436='Data Entry - SOF'!B$2,'Data Entry - SOF'!G$64,0)</f>
        <v>0</v>
      </c>
      <c r="M436" s="1371">
        <f t="shared" si="76"/>
        <v>58015959</v>
      </c>
      <c r="N436" s="2212" t="e">
        <f>IF('Report-M&amp;O1920'!C$18-'Report-SOF1920'!D$55&lt;=0,0,'Report-M&amp;O1920'!C$18-'Report-SOF1920'!D$55)</f>
        <v>#DIV/0!</v>
      </c>
      <c r="O436" s="2452" t="e">
        <f t="shared" si="77"/>
        <v>#DIV/0!</v>
      </c>
      <c r="P436" s="2449">
        <f>IF(A436='Data Entry - SOF'!B$2,'Data Entry - SOF'!I$64,0)</f>
        <v>0</v>
      </c>
      <c r="Q436" s="1687">
        <f t="shared" si="72"/>
        <v>58015959</v>
      </c>
      <c r="R436" s="2212" t="e">
        <f>IF('Report-M&amp;O2021'!C$18-'Report-SOF2021'!D$55&lt;=0,0,'Report-M&amp;O2021'!C$18-'Report-SOF2021'!D$55)</f>
        <v>#DIV/0!</v>
      </c>
      <c r="S436" s="2452" t="e">
        <f t="shared" si="78"/>
        <v>#DIV/0!</v>
      </c>
      <c r="T436" s="1708">
        <f>IF(A436='Data Entry - SOF'!B$2,'Data Entry - SOF'!K$64,0)</f>
        <v>0</v>
      </c>
      <c r="U436" s="1687">
        <f t="shared" si="82"/>
        <v>58015959</v>
      </c>
      <c r="V436" s="2212" t="e">
        <f>IF('Report-M&amp;O2122'!C$18-'Report-SOF2122'!D$55&lt;=0,0,'Report-M&amp;O2122'!C$18-'Report-SOF2122'!D$55)</f>
        <v>#DIV/0!</v>
      </c>
      <c r="W436" s="2452" t="e">
        <f t="shared" si="79"/>
        <v>#DIV/0!</v>
      </c>
      <c r="X436" s="1708">
        <f>IF(A436='Data Entry - SOF'!B$2,'Data Entry - SOF'!M$64,0)</f>
        <v>0</v>
      </c>
      <c r="Y436" s="1371" t="e">
        <f t="shared" si="80"/>
        <v>#DIV/0!</v>
      </c>
      <c r="Z436" s="2212" t="e">
        <f>IF('Report-M&amp;O2223'!C$18-'Report-SOF2223'!D$55&lt;=0,0,'Report-M&amp;O2223'!C$18-'Report-SOF2223'!D$55)</f>
        <v>#DIV/0!</v>
      </c>
      <c r="AA436" s="1708">
        <f>IF(A436='Data Entry - SOF'!B$2,'Data Entry - SOF'!O$64,0)</f>
        <v>0</v>
      </c>
    </row>
    <row r="437" spans="1:27" ht="15.75">
      <c r="A437" s="1076" t="s">
        <v>1919</v>
      </c>
      <c r="B437">
        <v>10671093</v>
      </c>
      <c r="C437" s="2452" t="e">
        <f>#REF!+#REF!</f>
        <v>#REF!</v>
      </c>
      <c r="D437" s="2449">
        <f>IF(A437='Data Entry - SOF'!B$2,'Data Entry - SOF'!C$64,0)</f>
        <v>0</v>
      </c>
      <c r="E437" s="2450">
        <f t="shared" si="81"/>
        <v>10671093</v>
      </c>
      <c r="F437" s="2212" t="e">
        <f>IF('Report-M&amp;O1718'!C$18-'Report-SOF1718'!D$55&lt;=0,0,'Report-M&amp;O1718'!C$18-'Report-SOF1718'!D$55)</f>
        <v>#DIV/0!</v>
      </c>
      <c r="G437" s="2452" t="e">
        <f t="shared" si="73"/>
        <v>#DIV/0!</v>
      </c>
      <c r="H437" s="2449">
        <f>IF(A437='Data Entry - SOF'!B$2,'Data Entry - SOF'!E$64,0)</f>
        <v>0</v>
      </c>
      <c r="I437" s="1687">
        <f t="shared" si="74"/>
        <v>10671093</v>
      </c>
      <c r="J437" s="2212" t="e">
        <f>IF('Report-M&amp;O1819'!C$18-'Report-SOF1819'!D$55&lt;=0,0,'Report-M&amp;O1819'!C$18-'Report-SOF1819'!D$55)</f>
        <v>#DIV/0!</v>
      </c>
      <c r="K437" s="2452" t="e">
        <f t="shared" si="75"/>
        <v>#DIV/0!</v>
      </c>
      <c r="L437" s="2449">
        <f>IF(A437='Data Entry - SOF'!B$2,'Data Entry - SOF'!G$64,0)</f>
        <v>0</v>
      </c>
      <c r="M437" s="1371">
        <f t="shared" si="76"/>
        <v>10671093</v>
      </c>
      <c r="N437" s="2212" t="e">
        <f>IF('Report-M&amp;O1920'!C$18-'Report-SOF1920'!D$55&lt;=0,0,'Report-M&amp;O1920'!C$18-'Report-SOF1920'!D$55)</f>
        <v>#DIV/0!</v>
      </c>
      <c r="O437" s="2452" t="e">
        <f t="shared" si="77"/>
        <v>#DIV/0!</v>
      </c>
      <c r="P437" s="2449">
        <f>IF(A437='Data Entry - SOF'!B$2,'Data Entry - SOF'!I$64,0)</f>
        <v>0</v>
      </c>
      <c r="Q437" s="1687">
        <f t="shared" si="72"/>
        <v>10671093</v>
      </c>
      <c r="R437" s="2212" t="e">
        <f>IF('Report-M&amp;O2021'!C$18-'Report-SOF2021'!D$55&lt;=0,0,'Report-M&amp;O2021'!C$18-'Report-SOF2021'!D$55)</f>
        <v>#DIV/0!</v>
      </c>
      <c r="S437" s="2452" t="e">
        <f t="shared" si="78"/>
        <v>#DIV/0!</v>
      </c>
      <c r="T437" s="1708">
        <f>IF(A437='Data Entry - SOF'!B$2,'Data Entry - SOF'!K$64,0)</f>
        <v>0</v>
      </c>
      <c r="U437" s="1687">
        <f t="shared" si="82"/>
        <v>10671093</v>
      </c>
      <c r="V437" s="2212" t="e">
        <f>IF('Report-M&amp;O2122'!C$18-'Report-SOF2122'!D$55&lt;=0,0,'Report-M&amp;O2122'!C$18-'Report-SOF2122'!D$55)</f>
        <v>#DIV/0!</v>
      </c>
      <c r="W437" s="2452" t="e">
        <f t="shared" si="79"/>
        <v>#DIV/0!</v>
      </c>
      <c r="X437" s="1708">
        <f>IF(A437='Data Entry - SOF'!B$2,'Data Entry - SOF'!M$64,0)</f>
        <v>0</v>
      </c>
      <c r="Y437" s="1371" t="e">
        <f t="shared" si="80"/>
        <v>#DIV/0!</v>
      </c>
      <c r="Z437" s="2212" t="e">
        <f>IF('Report-M&amp;O2223'!C$18-'Report-SOF2223'!D$55&lt;=0,0,'Report-M&amp;O2223'!C$18-'Report-SOF2223'!D$55)</f>
        <v>#DIV/0!</v>
      </c>
      <c r="AA437" s="1708">
        <f>IF(A437='Data Entry - SOF'!B$2,'Data Entry - SOF'!O$64,0)</f>
        <v>0</v>
      </c>
    </row>
    <row r="438" spans="1:27" ht="15.75">
      <c r="A438" s="1076" t="s">
        <v>2912</v>
      </c>
      <c r="B438">
        <v>5250936</v>
      </c>
      <c r="C438" s="2452" t="e">
        <f>#REF!+#REF!</f>
        <v>#REF!</v>
      </c>
      <c r="D438" s="2449">
        <f>IF(A438='Data Entry - SOF'!B$2,'Data Entry - SOF'!C$64,0)</f>
        <v>0</v>
      </c>
      <c r="E438" s="2450">
        <f t="shared" si="81"/>
        <v>5250936</v>
      </c>
      <c r="F438" s="2212" t="e">
        <f>IF('Report-M&amp;O1718'!C$18-'Report-SOF1718'!D$55&lt;=0,0,'Report-M&amp;O1718'!C$18-'Report-SOF1718'!D$55)</f>
        <v>#DIV/0!</v>
      </c>
      <c r="G438" s="2452" t="e">
        <f t="shared" si="73"/>
        <v>#DIV/0!</v>
      </c>
      <c r="H438" s="2449">
        <f>IF(A438='Data Entry - SOF'!B$2,'Data Entry - SOF'!E$64,0)</f>
        <v>0</v>
      </c>
      <c r="I438" s="1687">
        <f t="shared" si="74"/>
        <v>5250936</v>
      </c>
      <c r="J438" s="2212" t="e">
        <f>IF('Report-M&amp;O1819'!C$18-'Report-SOF1819'!D$55&lt;=0,0,'Report-M&amp;O1819'!C$18-'Report-SOF1819'!D$55)</f>
        <v>#DIV/0!</v>
      </c>
      <c r="K438" s="2452" t="e">
        <f t="shared" si="75"/>
        <v>#DIV/0!</v>
      </c>
      <c r="L438" s="2449">
        <f>IF(A438='Data Entry - SOF'!B$2,'Data Entry - SOF'!G$64,0)</f>
        <v>0</v>
      </c>
      <c r="M438" s="1371">
        <f t="shared" si="76"/>
        <v>5250936</v>
      </c>
      <c r="N438" s="2212" t="e">
        <f>IF('Report-M&amp;O1920'!C$18-'Report-SOF1920'!D$55&lt;=0,0,'Report-M&amp;O1920'!C$18-'Report-SOF1920'!D$55)</f>
        <v>#DIV/0!</v>
      </c>
      <c r="O438" s="2452" t="e">
        <f t="shared" si="77"/>
        <v>#DIV/0!</v>
      </c>
      <c r="P438" s="2449">
        <f>IF(A438='Data Entry - SOF'!B$2,'Data Entry - SOF'!I$64,0)</f>
        <v>0</v>
      </c>
      <c r="Q438" s="1687">
        <f t="shared" si="72"/>
        <v>5250936</v>
      </c>
      <c r="R438" s="2212" t="e">
        <f>IF('Report-M&amp;O2021'!C$18-'Report-SOF2021'!D$55&lt;=0,0,'Report-M&amp;O2021'!C$18-'Report-SOF2021'!D$55)</f>
        <v>#DIV/0!</v>
      </c>
      <c r="S438" s="2452" t="e">
        <f t="shared" si="78"/>
        <v>#DIV/0!</v>
      </c>
      <c r="T438" s="1708">
        <f>IF(A438='Data Entry - SOF'!B$2,'Data Entry - SOF'!K$64,0)</f>
        <v>0</v>
      </c>
      <c r="U438" s="1687">
        <f t="shared" si="82"/>
        <v>5250936</v>
      </c>
      <c r="V438" s="2212" t="e">
        <f>IF('Report-M&amp;O2122'!C$18-'Report-SOF2122'!D$55&lt;=0,0,'Report-M&amp;O2122'!C$18-'Report-SOF2122'!D$55)</f>
        <v>#DIV/0!</v>
      </c>
      <c r="W438" s="2452" t="e">
        <f t="shared" si="79"/>
        <v>#DIV/0!</v>
      </c>
      <c r="X438" s="1708">
        <f>IF(A438='Data Entry - SOF'!B$2,'Data Entry - SOF'!M$64,0)</f>
        <v>0</v>
      </c>
      <c r="Y438" s="1371" t="e">
        <f t="shared" si="80"/>
        <v>#DIV/0!</v>
      </c>
      <c r="Z438" s="2212" t="e">
        <f>IF('Report-M&amp;O2223'!C$18-'Report-SOF2223'!D$55&lt;=0,0,'Report-M&amp;O2223'!C$18-'Report-SOF2223'!D$55)</f>
        <v>#DIV/0!</v>
      </c>
      <c r="AA438" s="1708">
        <f>IF(A438='Data Entry - SOF'!B$2,'Data Entry - SOF'!O$64,0)</f>
        <v>0</v>
      </c>
    </row>
    <row r="439" spans="1:27" ht="15.75">
      <c r="A439" s="1076" t="s">
        <v>2879</v>
      </c>
      <c r="B439">
        <v>1859619</v>
      </c>
      <c r="C439" s="2452" t="e">
        <f>#REF!+#REF!</f>
        <v>#REF!</v>
      </c>
      <c r="D439" s="2449">
        <f>IF(A439='Data Entry - SOF'!B$2,'Data Entry - SOF'!C$64,0)</f>
        <v>0</v>
      </c>
      <c r="E439" s="2450">
        <f t="shared" si="81"/>
        <v>1859619</v>
      </c>
      <c r="F439" s="2212" t="e">
        <f>IF('Report-M&amp;O1718'!C$18-'Report-SOF1718'!D$55&lt;=0,0,'Report-M&amp;O1718'!C$18-'Report-SOF1718'!D$55)</f>
        <v>#DIV/0!</v>
      </c>
      <c r="G439" s="2452" t="e">
        <f t="shared" si="73"/>
        <v>#DIV/0!</v>
      </c>
      <c r="H439" s="2449">
        <f>IF(A439='Data Entry - SOF'!B$2,'Data Entry - SOF'!E$64,0)</f>
        <v>0</v>
      </c>
      <c r="I439" s="1687">
        <f t="shared" si="74"/>
        <v>1859619</v>
      </c>
      <c r="J439" s="2212" t="e">
        <f>IF('Report-M&amp;O1819'!C$18-'Report-SOF1819'!D$55&lt;=0,0,'Report-M&amp;O1819'!C$18-'Report-SOF1819'!D$55)</f>
        <v>#DIV/0!</v>
      </c>
      <c r="K439" s="2452" t="e">
        <f t="shared" si="75"/>
        <v>#DIV/0!</v>
      </c>
      <c r="L439" s="2449">
        <f>IF(A439='Data Entry - SOF'!B$2,'Data Entry - SOF'!G$64,0)</f>
        <v>0</v>
      </c>
      <c r="M439" s="1371">
        <f t="shared" si="76"/>
        <v>1859619</v>
      </c>
      <c r="N439" s="2212" t="e">
        <f>IF('Report-M&amp;O1920'!C$18-'Report-SOF1920'!D$55&lt;=0,0,'Report-M&amp;O1920'!C$18-'Report-SOF1920'!D$55)</f>
        <v>#DIV/0!</v>
      </c>
      <c r="O439" s="2452" t="e">
        <f t="shared" si="77"/>
        <v>#DIV/0!</v>
      </c>
      <c r="P439" s="2449">
        <f>IF(A439='Data Entry - SOF'!B$2,'Data Entry - SOF'!I$64,0)</f>
        <v>0</v>
      </c>
      <c r="Q439" s="1687">
        <f t="shared" si="72"/>
        <v>1859619</v>
      </c>
      <c r="R439" s="2212" t="e">
        <f>IF('Report-M&amp;O2021'!C$18-'Report-SOF2021'!D$55&lt;=0,0,'Report-M&amp;O2021'!C$18-'Report-SOF2021'!D$55)</f>
        <v>#DIV/0!</v>
      </c>
      <c r="S439" s="2452" t="e">
        <f t="shared" si="78"/>
        <v>#DIV/0!</v>
      </c>
      <c r="T439" s="1708">
        <f>IF(A439='Data Entry - SOF'!B$2,'Data Entry - SOF'!K$64,0)</f>
        <v>0</v>
      </c>
      <c r="U439" s="1687">
        <f t="shared" si="82"/>
        <v>1859619</v>
      </c>
      <c r="V439" s="2212" t="e">
        <f>IF('Report-M&amp;O2122'!C$18-'Report-SOF2122'!D$55&lt;=0,0,'Report-M&amp;O2122'!C$18-'Report-SOF2122'!D$55)</f>
        <v>#DIV/0!</v>
      </c>
      <c r="W439" s="2452" t="e">
        <f t="shared" si="79"/>
        <v>#DIV/0!</v>
      </c>
      <c r="X439" s="1708">
        <f>IF(A439='Data Entry - SOF'!B$2,'Data Entry - SOF'!M$64,0)</f>
        <v>0</v>
      </c>
      <c r="Y439" s="1371" t="e">
        <f t="shared" si="80"/>
        <v>#DIV/0!</v>
      </c>
      <c r="Z439" s="2212" t="e">
        <f>IF('Report-M&amp;O2223'!C$18-'Report-SOF2223'!D$55&lt;=0,0,'Report-M&amp;O2223'!C$18-'Report-SOF2223'!D$55)</f>
        <v>#DIV/0!</v>
      </c>
      <c r="AA439" s="1708">
        <f>IF(A439='Data Entry - SOF'!B$2,'Data Entry - SOF'!O$64,0)</f>
        <v>0</v>
      </c>
    </row>
    <row r="440" spans="1:27" ht="15.75">
      <c r="A440" s="1076" t="s">
        <v>2284</v>
      </c>
      <c r="B440">
        <v>2097819</v>
      </c>
      <c r="C440" s="2452" t="e">
        <f>#REF!+#REF!</f>
        <v>#REF!</v>
      </c>
      <c r="D440" s="2449">
        <f>IF(A440='Data Entry - SOF'!B$2,'Data Entry - SOF'!C$64,0)</f>
        <v>0</v>
      </c>
      <c r="E440" s="2450">
        <f t="shared" si="81"/>
        <v>2097819</v>
      </c>
      <c r="F440" s="2212" t="e">
        <f>IF('Report-M&amp;O1718'!C$18-'Report-SOF1718'!D$55&lt;=0,0,'Report-M&amp;O1718'!C$18-'Report-SOF1718'!D$55)</f>
        <v>#DIV/0!</v>
      </c>
      <c r="G440" s="2452" t="e">
        <f t="shared" si="73"/>
        <v>#DIV/0!</v>
      </c>
      <c r="H440" s="2449">
        <f>IF(A440='Data Entry - SOF'!B$2,'Data Entry - SOF'!E$64,0)</f>
        <v>0</v>
      </c>
      <c r="I440" s="1687">
        <f t="shared" si="74"/>
        <v>2097819</v>
      </c>
      <c r="J440" s="2212" t="e">
        <f>IF('Report-M&amp;O1819'!C$18-'Report-SOF1819'!D$55&lt;=0,0,'Report-M&amp;O1819'!C$18-'Report-SOF1819'!D$55)</f>
        <v>#DIV/0!</v>
      </c>
      <c r="K440" s="2452" t="e">
        <f t="shared" si="75"/>
        <v>#DIV/0!</v>
      </c>
      <c r="L440" s="2449">
        <f>IF(A440='Data Entry - SOF'!B$2,'Data Entry - SOF'!G$64,0)</f>
        <v>0</v>
      </c>
      <c r="M440" s="1371">
        <f t="shared" si="76"/>
        <v>2097819</v>
      </c>
      <c r="N440" s="2212" t="e">
        <f>IF('Report-M&amp;O1920'!C$18-'Report-SOF1920'!D$55&lt;=0,0,'Report-M&amp;O1920'!C$18-'Report-SOF1920'!D$55)</f>
        <v>#DIV/0!</v>
      </c>
      <c r="O440" s="2452" t="e">
        <f t="shared" si="77"/>
        <v>#DIV/0!</v>
      </c>
      <c r="P440" s="2449">
        <f>IF(A440='Data Entry - SOF'!B$2,'Data Entry - SOF'!I$64,0)</f>
        <v>0</v>
      </c>
      <c r="Q440" s="1687">
        <f t="shared" si="72"/>
        <v>2097819</v>
      </c>
      <c r="R440" s="2212" t="e">
        <f>IF('Report-M&amp;O2021'!C$18-'Report-SOF2021'!D$55&lt;=0,0,'Report-M&amp;O2021'!C$18-'Report-SOF2021'!D$55)</f>
        <v>#DIV/0!</v>
      </c>
      <c r="S440" s="2452" t="e">
        <f t="shared" si="78"/>
        <v>#DIV/0!</v>
      </c>
      <c r="T440" s="1708">
        <f>IF(A440='Data Entry - SOF'!B$2,'Data Entry - SOF'!K$64,0)</f>
        <v>0</v>
      </c>
      <c r="U440" s="1687">
        <f t="shared" si="82"/>
        <v>2097819</v>
      </c>
      <c r="V440" s="2212" t="e">
        <f>IF('Report-M&amp;O2122'!C$18-'Report-SOF2122'!D$55&lt;=0,0,'Report-M&amp;O2122'!C$18-'Report-SOF2122'!D$55)</f>
        <v>#DIV/0!</v>
      </c>
      <c r="W440" s="2452" t="e">
        <f t="shared" si="79"/>
        <v>#DIV/0!</v>
      </c>
      <c r="X440" s="1708">
        <f>IF(A440='Data Entry - SOF'!B$2,'Data Entry - SOF'!M$64,0)</f>
        <v>0</v>
      </c>
      <c r="Y440" s="1371" t="e">
        <f t="shared" si="80"/>
        <v>#DIV/0!</v>
      </c>
      <c r="Z440" s="2212" t="e">
        <f>IF('Report-M&amp;O2223'!C$18-'Report-SOF2223'!D$55&lt;=0,0,'Report-M&amp;O2223'!C$18-'Report-SOF2223'!D$55)</f>
        <v>#DIV/0!</v>
      </c>
      <c r="AA440" s="1708">
        <f>IF(A440='Data Entry - SOF'!B$2,'Data Entry - SOF'!O$64,0)</f>
        <v>0</v>
      </c>
    </row>
    <row r="441" spans="1:27" ht="15.75">
      <c r="A441" s="1076" t="s">
        <v>71</v>
      </c>
      <c r="B441">
        <v>10430660</v>
      </c>
      <c r="C441" s="2452" t="e">
        <f>#REF!+#REF!</f>
        <v>#REF!</v>
      </c>
      <c r="D441" s="2449">
        <f>IF(A441='Data Entry - SOF'!B$2,'Data Entry - SOF'!C$64,0)</f>
        <v>0</v>
      </c>
      <c r="E441" s="2450">
        <f t="shared" si="81"/>
        <v>10430660</v>
      </c>
      <c r="F441" s="2212" t="e">
        <f>IF('Report-M&amp;O1718'!C$18-'Report-SOF1718'!D$55&lt;=0,0,'Report-M&amp;O1718'!C$18-'Report-SOF1718'!D$55)</f>
        <v>#DIV/0!</v>
      </c>
      <c r="G441" s="2452" t="e">
        <f t="shared" si="73"/>
        <v>#DIV/0!</v>
      </c>
      <c r="H441" s="2449">
        <f>IF(A441='Data Entry - SOF'!B$2,'Data Entry - SOF'!E$64,0)</f>
        <v>0</v>
      </c>
      <c r="I441" s="1687">
        <f t="shared" si="74"/>
        <v>10430660</v>
      </c>
      <c r="J441" s="2212" t="e">
        <f>IF('Report-M&amp;O1819'!C$18-'Report-SOF1819'!D$55&lt;=0,0,'Report-M&amp;O1819'!C$18-'Report-SOF1819'!D$55)</f>
        <v>#DIV/0!</v>
      </c>
      <c r="K441" s="2452" t="e">
        <f t="shared" si="75"/>
        <v>#DIV/0!</v>
      </c>
      <c r="L441" s="2449">
        <f>IF(A441='Data Entry - SOF'!B$2,'Data Entry - SOF'!G$64,0)</f>
        <v>0</v>
      </c>
      <c r="M441" s="1371">
        <f t="shared" si="76"/>
        <v>10430660</v>
      </c>
      <c r="N441" s="2212" t="e">
        <f>IF('Report-M&amp;O1920'!C$18-'Report-SOF1920'!D$55&lt;=0,0,'Report-M&amp;O1920'!C$18-'Report-SOF1920'!D$55)</f>
        <v>#DIV/0!</v>
      </c>
      <c r="O441" s="2452" t="e">
        <f t="shared" si="77"/>
        <v>#DIV/0!</v>
      </c>
      <c r="P441" s="2449">
        <f>IF(A441='Data Entry - SOF'!B$2,'Data Entry - SOF'!I$64,0)</f>
        <v>0</v>
      </c>
      <c r="Q441" s="1687">
        <f t="shared" si="72"/>
        <v>10430660</v>
      </c>
      <c r="R441" s="2212" t="e">
        <f>IF('Report-M&amp;O2021'!C$18-'Report-SOF2021'!D$55&lt;=0,0,'Report-M&amp;O2021'!C$18-'Report-SOF2021'!D$55)</f>
        <v>#DIV/0!</v>
      </c>
      <c r="S441" s="2452" t="e">
        <f t="shared" si="78"/>
        <v>#DIV/0!</v>
      </c>
      <c r="T441" s="1708">
        <f>IF(A441='Data Entry - SOF'!B$2,'Data Entry - SOF'!K$64,0)</f>
        <v>0</v>
      </c>
      <c r="U441" s="1687">
        <f t="shared" si="82"/>
        <v>10430660</v>
      </c>
      <c r="V441" s="2212" t="e">
        <f>IF('Report-M&amp;O2122'!C$18-'Report-SOF2122'!D$55&lt;=0,0,'Report-M&amp;O2122'!C$18-'Report-SOF2122'!D$55)</f>
        <v>#DIV/0!</v>
      </c>
      <c r="W441" s="2452" t="e">
        <f t="shared" si="79"/>
        <v>#DIV/0!</v>
      </c>
      <c r="X441" s="1708">
        <f>IF(A441='Data Entry - SOF'!B$2,'Data Entry - SOF'!M$64,0)</f>
        <v>0</v>
      </c>
      <c r="Y441" s="1371" t="e">
        <f t="shared" si="80"/>
        <v>#DIV/0!</v>
      </c>
      <c r="Z441" s="2212" t="e">
        <f>IF('Report-M&amp;O2223'!C$18-'Report-SOF2223'!D$55&lt;=0,0,'Report-M&amp;O2223'!C$18-'Report-SOF2223'!D$55)</f>
        <v>#DIV/0!</v>
      </c>
      <c r="AA441" s="1708">
        <f>IF(A441='Data Entry - SOF'!B$2,'Data Entry - SOF'!O$64,0)</f>
        <v>0</v>
      </c>
    </row>
    <row r="442" spans="1:27" ht="15.75">
      <c r="A442" s="1076" t="s">
        <v>1711</v>
      </c>
      <c r="B442">
        <v>600171</v>
      </c>
      <c r="C442" s="2452" t="e">
        <f>#REF!+#REF!</f>
        <v>#REF!</v>
      </c>
      <c r="D442" s="2449">
        <f>IF(A442='Data Entry - SOF'!B$2,'Data Entry - SOF'!C$64,0)</f>
        <v>0</v>
      </c>
      <c r="E442" s="2450">
        <f t="shared" si="81"/>
        <v>600171</v>
      </c>
      <c r="F442" s="2212" t="e">
        <f>IF('Report-M&amp;O1718'!C$18-'Report-SOF1718'!D$55&lt;=0,0,'Report-M&amp;O1718'!C$18-'Report-SOF1718'!D$55)</f>
        <v>#DIV/0!</v>
      </c>
      <c r="G442" s="2452" t="e">
        <f t="shared" si="73"/>
        <v>#DIV/0!</v>
      </c>
      <c r="H442" s="2449">
        <f>IF(A442='Data Entry - SOF'!B$2,'Data Entry - SOF'!E$64,0)</f>
        <v>0</v>
      </c>
      <c r="I442" s="1687">
        <f t="shared" si="74"/>
        <v>600171</v>
      </c>
      <c r="J442" s="2212" t="e">
        <f>IF('Report-M&amp;O1819'!C$18-'Report-SOF1819'!D$55&lt;=0,0,'Report-M&amp;O1819'!C$18-'Report-SOF1819'!D$55)</f>
        <v>#DIV/0!</v>
      </c>
      <c r="K442" s="2452" t="e">
        <f t="shared" si="75"/>
        <v>#DIV/0!</v>
      </c>
      <c r="L442" s="2449">
        <f>IF(A442='Data Entry - SOF'!B$2,'Data Entry - SOF'!G$64,0)</f>
        <v>0</v>
      </c>
      <c r="M442" s="1371">
        <f t="shared" si="76"/>
        <v>600171</v>
      </c>
      <c r="N442" s="2212" t="e">
        <f>IF('Report-M&amp;O1920'!C$18-'Report-SOF1920'!D$55&lt;=0,0,'Report-M&amp;O1920'!C$18-'Report-SOF1920'!D$55)</f>
        <v>#DIV/0!</v>
      </c>
      <c r="O442" s="2452" t="e">
        <f t="shared" si="77"/>
        <v>#DIV/0!</v>
      </c>
      <c r="P442" s="2449">
        <f>IF(A442='Data Entry - SOF'!B$2,'Data Entry - SOF'!I$64,0)</f>
        <v>0</v>
      </c>
      <c r="Q442" s="1687">
        <f t="shared" si="72"/>
        <v>600171</v>
      </c>
      <c r="R442" s="2212" t="e">
        <f>IF('Report-M&amp;O2021'!C$18-'Report-SOF2021'!D$55&lt;=0,0,'Report-M&amp;O2021'!C$18-'Report-SOF2021'!D$55)</f>
        <v>#DIV/0!</v>
      </c>
      <c r="S442" s="2452" t="e">
        <f t="shared" si="78"/>
        <v>#DIV/0!</v>
      </c>
      <c r="T442" s="1708">
        <f>IF(A442='Data Entry - SOF'!B$2,'Data Entry - SOF'!K$64,0)</f>
        <v>0</v>
      </c>
      <c r="U442" s="1687">
        <f t="shared" si="82"/>
        <v>600171</v>
      </c>
      <c r="V442" s="2212" t="e">
        <f>IF('Report-M&amp;O2122'!C$18-'Report-SOF2122'!D$55&lt;=0,0,'Report-M&amp;O2122'!C$18-'Report-SOF2122'!D$55)</f>
        <v>#DIV/0!</v>
      </c>
      <c r="W442" s="2452" t="e">
        <f t="shared" si="79"/>
        <v>#DIV/0!</v>
      </c>
      <c r="X442" s="1708">
        <f>IF(A442='Data Entry - SOF'!B$2,'Data Entry - SOF'!M$64,0)</f>
        <v>0</v>
      </c>
      <c r="Y442" s="1371" t="e">
        <f t="shared" si="80"/>
        <v>#DIV/0!</v>
      </c>
      <c r="Z442" s="2212" t="e">
        <f>IF('Report-M&amp;O2223'!C$18-'Report-SOF2223'!D$55&lt;=0,0,'Report-M&amp;O2223'!C$18-'Report-SOF2223'!D$55)</f>
        <v>#DIV/0!</v>
      </c>
      <c r="AA442" s="1708">
        <f>IF(A442='Data Entry - SOF'!B$2,'Data Entry - SOF'!O$64,0)</f>
        <v>0</v>
      </c>
    </row>
    <row r="443" spans="1:27" ht="15.75">
      <c r="A443" s="1076" t="s">
        <v>980</v>
      </c>
      <c r="B443">
        <v>82409</v>
      </c>
      <c r="C443" s="2452" t="e">
        <f>#REF!+#REF!</f>
        <v>#REF!</v>
      </c>
      <c r="D443" s="2449">
        <f>IF(A443='Data Entry - SOF'!B$2,'Data Entry - SOF'!C$64,0)</f>
        <v>0</v>
      </c>
      <c r="E443" s="2450">
        <f t="shared" si="81"/>
        <v>82409</v>
      </c>
      <c r="F443" s="2212" t="e">
        <f>IF('Report-M&amp;O1718'!C$18-'Report-SOF1718'!D$55&lt;=0,0,'Report-M&amp;O1718'!C$18-'Report-SOF1718'!D$55)</f>
        <v>#DIV/0!</v>
      </c>
      <c r="G443" s="2452" t="e">
        <f t="shared" si="73"/>
        <v>#DIV/0!</v>
      </c>
      <c r="H443" s="2449">
        <f>IF(A443='Data Entry - SOF'!B$2,'Data Entry - SOF'!E$64,0)</f>
        <v>0</v>
      </c>
      <c r="I443" s="1687">
        <f t="shared" si="74"/>
        <v>82409</v>
      </c>
      <c r="J443" s="2212" t="e">
        <f>IF('Report-M&amp;O1819'!C$18-'Report-SOF1819'!D$55&lt;=0,0,'Report-M&amp;O1819'!C$18-'Report-SOF1819'!D$55)</f>
        <v>#DIV/0!</v>
      </c>
      <c r="K443" s="2452" t="e">
        <f t="shared" si="75"/>
        <v>#DIV/0!</v>
      </c>
      <c r="L443" s="2449">
        <f>IF(A443='Data Entry - SOF'!B$2,'Data Entry - SOF'!G$64,0)</f>
        <v>0</v>
      </c>
      <c r="M443" s="1371">
        <f t="shared" si="76"/>
        <v>82409</v>
      </c>
      <c r="N443" s="2212" t="e">
        <f>IF('Report-M&amp;O1920'!C$18-'Report-SOF1920'!D$55&lt;=0,0,'Report-M&amp;O1920'!C$18-'Report-SOF1920'!D$55)</f>
        <v>#DIV/0!</v>
      </c>
      <c r="O443" s="2452" t="e">
        <f t="shared" si="77"/>
        <v>#DIV/0!</v>
      </c>
      <c r="P443" s="2449">
        <f>IF(A443='Data Entry - SOF'!B$2,'Data Entry - SOF'!I$64,0)</f>
        <v>0</v>
      </c>
      <c r="Q443" s="1687">
        <f t="shared" si="72"/>
        <v>82409</v>
      </c>
      <c r="R443" s="2212" t="e">
        <f>IF('Report-M&amp;O2021'!C$18-'Report-SOF2021'!D$55&lt;=0,0,'Report-M&amp;O2021'!C$18-'Report-SOF2021'!D$55)</f>
        <v>#DIV/0!</v>
      </c>
      <c r="S443" s="2452" t="e">
        <f t="shared" si="78"/>
        <v>#DIV/0!</v>
      </c>
      <c r="T443" s="1708">
        <f>IF(A443='Data Entry - SOF'!B$2,'Data Entry - SOF'!K$64,0)</f>
        <v>0</v>
      </c>
      <c r="U443" s="1687">
        <f t="shared" si="82"/>
        <v>82409</v>
      </c>
      <c r="V443" s="2212" t="e">
        <f>IF('Report-M&amp;O2122'!C$18-'Report-SOF2122'!D$55&lt;=0,0,'Report-M&amp;O2122'!C$18-'Report-SOF2122'!D$55)</f>
        <v>#DIV/0!</v>
      </c>
      <c r="W443" s="2452" t="e">
        <f t="shared" si="79"/>
        <v>#DIV/0!</v>
      </c>
      <c r="X443" s="1708">
        <f>IF(A443='Data Entry - SOF'!B$2,'Data Entry - SOF'!M$64,0)</f>
        <v>0</v>
      </c>
      <c r="Y443" s="1371" t="e">
        <f t="shared" si="80"/>
        <v>#DIV/0!</v>
      </c>
      <c r="Z443" s="2212" t="e">
        <f>IF('Report-M&amp;O2223'!C$18-'Report-SOF2223'!D$55&lt;=0,0,'Report-M&amp;O2223'!C$18-'Report-SOF2223'!D$55)</f>
        <v>#DIV/0!</v>
      </c>
      <c r="AA443" s="1708">
        <f>IF(A443='Data Entry - SOF'!B$2,'Data Entry - SOF'!O$64,0)</f>
        <v>0</v>
      </c>
    </row>
    <row r="444" spans="1:27" ht="15.75">
      <c r="A444" s="1076" t="s">
        <v>72</v>
      </c>
      <c r="B444">
        <v>3921197</v>
      </c>
      <c r="C444" s="2452" t="e">
        <f>#REF!+#REF!</f>
        <v>#REF!</v>
      </c>
      <c r="D444" s="2449">
        <f>IF(A444='Data Entry - SOF'!B$2,'Data Entry - SOF'!C$64,0)</f>
        <v>0</v>
      </c>
      <c r="E444" s="2450">
        <f t="shared" si="81"/>
        <v>3921197</v>
      </c>
      <c r="F444" s="2212" t="e">
        <f>IF('Report-M&amp;O1718'!C$18-'Report-SOF1718'!D$55&lt;=0,0,'Report-M&amp;O1718'!C$18-'Report-SOF1718'!D$55)</f>
        <v>#DIV/0!</v>
      </c>
      <c r="G444" s="2452" t="e">
        <f t="shared" si="73"/>
        <v>#DIV/0!</v>
      </c>
      <c r="H444" s="2449">
        <f>IF(A444='Data Entry - SOF'!B$2,'Data Entry - SOF'!E$64,0)</f>
        <v>0</v>
      </c>
      <c r="I444" s="1687">
        <f t="shared" si="74"/>
        <v>3921197</v>
      </c>
      <c r="J444" s="2212" t="e">
        <f>IF('Report-M&amp;O1819'!C$18-'Report-SOF1819'!D$55&lt;=0,0,'Report-M&amp;O1819'!C$18-'Report-SOF1819'!D$55)</f>
        <v>#DIV/0!</v>
      </c>
      <c r="K444" s="2452" t="e">
        <f t="shared" si="75"/>
        <v>#DIV/0!</v>
      </c>
      <c r="L444" s="2449">
        <f>IF(A444='Data Entry - SOF'!B$2,'Data Entry - SOF'!G$64,0)</f>
        <v>0</v>
      </c>
      <c r="M444" s="1371">
        <f t="shared" si="76"/>
        <v>3921197</v>
      </c>
      <c r="N444" s="2212" t="e">
        <f>IF('Report-M&amp;O1920'!C$18-'Report-SOF1920'!D$55&lt;=0,0,'Report-M&amp;O1920'!C$18-'Report-SOF1920'!D$55)</f>
        <v>#DIV/0!</v>
      </c>
      <c r="O444" s="2452" t="e">
        <f t="shared" si="77"/>
        <v>#DIV/0!</v>
      </c>
      <c r="P444" s="2449">
        <f>IF(A444='Data Entry - SOF'!B$2,'Data Entry - SOF'!I$64,0)</f>
        <v>0</v>
      </c>
      <c r="Q444" s="1687">
        <f t="shared" si="72"/>
        <v>3921197</v>
      </c>
      <c r="R444" s="2212" t="e">
        <f>IF('Report-M&amp;O2021'!C$18-'Report-SOF2021'!D$55&lt;=0,0,'Report-M&amp;O2021'!C$18-'Report-SOF2021'!D$55)</f>
        <v>#DIV/0!</v>
      </c>
      <c r="S444" s="2452" t="e">
        <f t="shared" si="78"/>
        <v>#DIV/0!</v>
      </c>
      <c r="T444" s="1708">
        <f>IF(A444='Data Entry - SOF'!B$2,'Data Entry - SOF'!K$64,0)</f>
        <v>0</v>
      </c>
      <c r="U444" s="1687">
        <f t="shared" si="82"/>
        <v>3921197</v>
      </c>
      <c r="V444" s="2212" t="e">
        <f>IF('Report-M&amp;O2122'!C$18-'Report-SOF2122'!D$55&lt;=0,0,'Report-M&amp;O2122'!C$18-'Report-SOF2122'!D$55)</f>
        <v>#DIV/0!</v>
      </c>
      <c r="W444" s="2452" t="e">
        <f t="shared" si="79"/>
        <v>#DIV/0!</v>
      </c>
      <c r="X444" s="1708">
        <f>IF(A444='Data Entry - SOF'!B$2,'Data Entry - SOF'!M$64,0)</f>
        <v>0</v>
      </c>
      <c r="Y444" s="1371" t="e">
        <f t="shared" si="80"/>
        <v>#DIV/0!</v>
      </c>
      <c r="Z444" s="2212" t="e">
        <f>IF('Report-M&amp;O2223'!C$18-'Report-SOF2223'!D$55&lt;=0,0,'Report-M&amp;O2223'!C$18-'Report-SOF2223'!D$55)</f>
        <v>#DIV/0!</v>
      </c>
      <c r="AA444" s="1708">
        <f>IF(A444='Data Entry - SOF'!B$2,'Data Entry - SOF'!O$64,0)</f>
        <v>0</v>
      </c>
    </row>
    <row r="445" spans="1:27" ht="15.75">
      <c r="A445" s="1076" t="s">
        <v>2437</v>
      </c>
      <c r="B445">
        <v>582093</v>
      </c>
      <c r="C445" s="2452" t="e">
        <f>#REF!+#REF!</f>
        <v>#REF!</v>
      </c>
      <c r="D445" s="2449">
        <f>IF(A445='Data Entry - SOF'!B$2,'Data Entry - SOF'!C$64,0)</f>
        <v>0</v>
      </c>
      <c r="E445" s="2450">
        <f t="shared" si="81"/>
        <v>582093</v>
      </c>
      <c r="F445" s="2212" t="e">
        <f>IF('Report-M&amp;O1718'!C$18-'Report-SOF1718'!D$55&lt;=0,0,'Report-M&amp;O1718'!C$18-'Report-SOF1718'!D$55)</f>
        <v>#DIV/0!</v>
      </c>
      <c r="G445" s="2452" t="e">
        <f t="shared" si="73"/>
        <v>#DIV/0!</v>
      </c>
      <c r="H445" s="2449">
        <f>IF(A445='Data Entry - SOF'!B$2,'Data Entry - SOF'!E$64,0)</f>
        <v>0</v>
      </c>
      <c r="I445" s="1687">
        <f t="shared" si="74"/>
        <v>582093</v>
      </c>
      <c r="J445" s="2212" t="e">
        <f>IF('Report-M&amp;O1819'!C$18-'Report-SOF1819'!D$55&lt;=0,0,'Report-M&amp;O1819'!C$18-'Report-SOF1819'!D$55)</f>
        <v>#DIV/0!</v>
      </c>
      <c r="K445" s="2452" t="e">
        <f t="shared" si="75"/>
        <v>#DIV/0!</v>
      </c>
      <c r="L445" s="2449">
        <f>IF(A445='Data Entry - SOF'!B$2,'Data Entry - SOF'!G$64,0)</f>
        <v>0</v>
      </c>
      <c r="M445" s="1371">
        <f t="shared" si="76"/>
        <v>582093</v>
      </c>
      <c r="N445" s="2212" t="e">
        <f>IF('Report-M&amp;O1920'!C$18-'Report-SOF1920'!D$55&lt;=0,0,'Report-M&amp;O1920'!C$18-'Report-SOF1920'!D$55)</f>
        <v>#DIV/0!</v>
      </c>
      <c r="O445" s="2452" t="e">
        <f t="shared" si="77"/>
        <v>#DIV/0!</v>
      </c>
      <c r="P445" s="2449">
        <f>IF(A445='Data Entry - SOF'!B$2,'Data Entry - SOF'!I$64,0)</f>
        <v>0</v>
      </c>
      <c r="Q445" s="1687">
        <f>M445-P445</f>
        <v>582093</v>
      </c>
      <c r="R445" s="2212" t="e">
        <f>IF('Report-M&amp;O2021'!C$18-'Report-SOF2021'!D$55&lt;=0,0,'Report-M&amp;O2021'!C$18-'Report-SOF2021'!D$55)</f>
        <v>#DIV/0!</v>
      </c>
      <c r="S445" s="2452" t="e">
        <f t="shared" si="78"/>
        <v>#DIV/0!</v>
      </c>
      <c r="T445" s="1708">
        <f>IF(A445='Data Entry - SOF'!B$2,'Data Entry - SOF'!K$64,0)</f>
        <v>0</v>
      </c>
      <c r="U445" s="1687">
        <f t="shared" ref="U445:U460" si="83">Q445-T445</f>
        <v>582093</v>
      </c>
      <c r="V445" s="2212" t="e">
        <f>IF('Report-M&amp;O2122'!C$18-'Report-SOF2122'!D$55&lt;=0,0,'Report-M&amp;O2122'!C$18-'Report-SOF2122'!D$55)</f>
        <v>#DIV/0!</v>
      </c>
      <c r="W445" s="2452" t="e">
        <f t="shared" si="79"/>
        <v>#DIV/0!</v>
      </c>
      <c r="X445" s="1708">
        <f>IF(A445='Data Entry - SOF'!B$2,'Data Entry - SOF'!M$64,0)</f>
        <v>0</v>
      </c>
      <c r="Y445" s="1371" t="e">
        <f t="shared" si="80"/>
        <v>#DIV/0!</v>
      </c>
      <c r="Z445" s="2212" t="e">
        <f>IF('Report-M&amp;O2223'!C$18-'Report-SOF2223'!D$55&lt;=0,0,'Report-M&amp;O2223'!C$18-'Report-SOF2223'!D$55)</f>
        <v>#DIV/0!</v>
      </c>
      <c r="AA445" s="1708">
        <f>IF(A445='Data Entry - SOF'!B$2,'Data Entry - SOF'!O$64,0)</f>
        <v>0</v>
      </c>
    </row>
    <row r="446" spans="1:27" ht="15.75">
      <c r="A446" s="1076" t="s">
        <v>873</v>
      </c>
      <c r="B446">
        <v>803263</v>
      </c>
      <c r="C446" s="2452" t="e">
        <f>#REF!+#REF!</f>
        <v>#REF!</v>
      </c>
      <c r="D446" s="2449">
        <f>IF(A446='Data Entry - SOF'!B$2,'Data Entry - SOF'!C$64,0)</f>
        <v>0</v>
      </c>
      <c r="E446" s="2450">
        <f t="shared" si="81"/>
        <v>803263</v>
      </c>
      <c r="F446" s="2212" t="e">
        <f>IF('Report-M&amp;O1718'!C$18-'Report-SOF1718'!D$55&lt;=0,0,'Report-M&amp;O1718'!C$18-'Report-SOF1718'!D$55)</f>
        <v>#DIV/0!</v>
      </c>
      <c r="G446" s="2452" t="e">
        <f t="shared" si="73"/>
        <v>#DIV/0!</v>
      </c>
      <c r="H446" s="2449">
        <f>IF(A446='Data Entry - SOF'!B$2,'Data Entry - SOF'!E$64,0)</f>
        <v>0</v>
      </c>
      <c r="I446" s="1687">
        <f t="shared" si="74"/>
        <v>803263</v>
      </c>
      <c r="J446" s="2212" t="e">
        <f>IF('Report-M&amp;O1819'!C$18-'Report-SOF1819'!D$55&lt;=0,0,'Report-M&amp;O1819'!C$18-'Report-SOF1819'!D$55)</f>
        <v>#DIV/0!</v>
      </c>
      <c r="K446" s="2452" t="e">
        <f t="shared" si="75"/>
        <v>#DIV/0!</v>
      </c>
      <c r="L446" s="2449">
        <f>IF(A446='Data Entry - SOF'!B$2,'Data Entry - SOF'!G$64,0)</f>
        <v>0</v>
      </c>
      <c r="M446" s="1371">
        <f t="shared" si="76"/>
        <v>803263</v>
      </c>
      <c r="N446" s="2212" t="e">
        <f>IF('Report-M&amp;O1920'!C$18-'Report-SOF1920'!D$55&lt;=0,0,'Report-M&amp;O1920'!C$18-'Report-SOF1920'!D$55)</f>
        <v>#DIV/0!</v>
      </c>
      <c r="O446" s="2452" t="e">
        <f t="shared" si="77"/>
        <v>#DIV/0!</v>
      </c>
      <c r="P446" s="2449">
        <f>IF(A446='Data Entry - SOF'!B$2,'Data Entry - SOF'!I$64,0)</f>
        <v>0</v>
      </c>
      <c r="Q446" s="1687">
        <f t="shared" ref="Q446:Q508" si="84">M446-P446</f>
        <v>803263</v>
      </c>
      <c r="R446" s="2212" t="e">
        <f>IF('Report-M&amp;O2021'!C$18-'Report-SOF2021'!D$55&lt;=0,0,'Report-M&amp;O2021'!C$18-'Report-SOF2021'!D$55)</f>
        <v>#DIV/0!</v>
      </c>
      <c r="S446" s="2452" t="e">
        <f t="shared" si="78"/>
        <v>#DIV/0!</v>
      </c>
      <c r="T446" s="1708">
        <f>IF(A446='Data Entry - SOF'!B$2,'Data Entry - SOF'!K$64,0)</f>
        <v>0</v>
      </c>
      <c r="U446" s="1687">
        <f t="shared" si="83"/>
        <v>803263</v>
      </c>
      <c r="V446" s="2212" t="e">
        <f>IF('Report-M&amp;O2122'!C$18-'Report-SOF2122'!D$55&lt;=0,0,'Report-M&amp;O2122'!C$18-'Report-SOF2122'!D$55)</f>
        <v>#DIV/0!</v>
      </c>
      <c r="W446" s="2452" t="e">
        <f t="shared" si="79"/>
        <v>#DIV/0!</v>
      </c>
      <c r="X446" s="1708">
        <f>IF(A446='Data Entry - SOF'!B$2,'Data Entry - SOF'!M$64,0)</f>
        <v>0</v>
      </c>
      <c r="Y446" s="1371" t="e">
        <f t="shared" si="80"/>
        <v>#DIV/0!</v>
      </c>
      <c r="Z446" s="2212" t="e">
        <f>IF('Report-M&amp;O2223'!C$18-'Report-SOF2223'!D$55&lt;=0,0,'Report-M&amp;O2223'!C$18-'Report-SOF2223'!D$55)</f>
        <v>#DIV/0!</v>
      </c>
      <c r="AA446" s="1708">
        <f>IF(A446='Data Entry - SOF'!B$2,'Data Entry - SOF'!O$64,0)</f>
        <v>0</v>
      </c>
    </row>
    <row r="447" spans="1:27" ht="15.75">
      <c r="A447" s="1076" t="s">
        <v>875</v>
      </c>
      <c r="B447">
        <v>0</v>
      </c>
      <c r="C447" s="2452" t="e">
        <f>#REF!+#REF!</f>
        <v>#REF!</v>
      </c>
      <c r="D447" s="2449">
        <f>IF(A447='Data Entry - SOF'!B$2,'Data Entry - SOF'!C$64,0)</f>
        <v>0</v>
      </c>
      <c r="E447" s="2450">
        <f t="shared" si="81"/>
        <v>0</v>
      </c>
      <c r="F447" s="2212" t="e">
        <f>IF('Report-M&amp;O1718'!C$18-'Report-SOF1718'!D$55&lt;=0,0,'Report-M&amp;O1718'!C$18-'Report-SOF1718'!D$55)</f>
        <v>#DIV/0!</v>
      </c>
      <c r="G447" s="2452" t="e">
        <f t="shared" si="73"/>
        <v>#DIV/0!</v>
      </c>
      <c r="H447" s="2449">
        <f>IF(A447='Data Entry - SOF'!B$2,'Data Entry - SOF'!E$64,0)</f>
        <v>0</v>
      </c>
      <c r="I447" s="1687">
        <f t="shared" si="74"/>
        <v>0</v>
      </c>
      <c r="J447" s="2212" t="e">
        <f>IF('Report-M&amp;O1819'!C$18-'Report-SOF1819'!D$55&lt;=0,0,'Report-M&amp;O1819'!C$18-'Report-SOF1819'!D$55)</f>
        <v>#DIV/0!</v>
      </c>
      <c r="K447" s="2452" t="e">
        <f t="shared" si="75"/>
        <v>#DIV/0!</v>
      </c>
      <c r="L447" s="2449">
        <f>IF(A447='Data Entry - SOF'!B$2,'Data Entry - SOF'!G$64,0)</f>
        <v>0</v>
      </c>
      <c r="M447" s="1371">
        <f t="shared" si="76"/>
        <v>0</v>
      </c>
      <c r="N447" s="2212" t="e">
        <f>IF('Report-M&amp;O1920'!C$18-'Report-SOF1920'!D$55&lt;=0,0,'Report-M&amp;O1920'!C$18-'Report-SOF1920'!D$55)</f>
        <v>#DIV/0!</v>
      </c>
      <c r="O447" s="2452" t="e">
        <f t="shared" si="77"/>
        <v>#DIV/0!</v>
      </c>
      <c r="P447" s="2449">
        <f>IF(A447='Data Entry - SOF'!B$2,'Data Entry - SOF'!I$64,0)</f>
        <v>0</v>
      </c>
      <c r="Q447" s="1687">
        <f t="shared" si="84"/>
        <v>0</v>
      </c>
      <c r="R447" s="2212" t="e">
        <f>IF('Report-M&amp;O2021'!C$18-'Report-SOF2021'!D$55&lt;=0,0,'Report-M&amp;O2021'!C$18-'Report-SOF2021'!D$55)</f>
        <v>#DIV/0!</v>
      </c>
      <c r="S447" s="2452" t="e">
        <f t="shared" si="78"/>
        <v>#DIV/0!</v>
      </c>
      <c r="T447" s="1708">
        <f>IF(A447='Data Entry - SOF'!B$2,'Data Entry - SOF'!K$64,0)</f>
        <v>0</v>
      </c>
      <c r="U447" s="1687">
        <f t="shared" si="83"/>
        <v>0</v>
      </c>
      <c r="V447" s="2212" t="e">
        <f>IF('Report-M&amp;O2122'!C$18-'Report-SOF2122'!D$55&lt;=0,0,'Report-M&amp;O2122'!C$18-'Report-SOF2122'!D$55)</f>
        <v>#DIV/0!</v>
      </c>
      <c r="W447" s="2452" t="e">
        <f t="shared" si="79"/>
        <v>#DIV/0!</v>
      </c>
      <c r="X447" s="1708">
        <f>IF(A447='Data Entry - SOF'!B$2,'Data Entry - SOF'!M$64,0)</f>
        <v>0</v>
      </c>
      <c r="Y447" s="1371" t="e">
        <f t="shared" si="80"/>
        <v>#DIV/0!</v>
      </c>
      <c r="Z447" s="2212" t="e">
        <f>IF('Report-M&amp;O2223'!C$18-'Report-SOF2223'!D$55&lt;=0,0,'Report-M&amp;O2223'!C$18-'Report-SOF2223'!D$55)</f>
        <v>#DIV/0!</v>
      </c>
      <c r="AA447" s="1708">
        <f>IF(A447='Data Entry - SOF'!B$2,'Data Entry - SOF'!O$64,0)</f>
        <v>0</v>
      </c>
    </row>
    <row r="448" spans="1:27" ht="15.75">
      <c r="A448" s="1076" t="s">
        <v>2131</v>
      </c>
      <c r="B448">
        <v>3351717</v>
      </c>
      <c r="C448" s="2452" t="e">
        <f>#REF!+#REF!</f>
        <v>#REF!</v>
      </c>
      <c r="D448" s="2449">
        <f>IF(A448='Data Entry - SOF'!B$2,'Data Entry - SOF'!C$64,0)</f>
        <v>0</v>
      </c>
      <c r="E448" s="2450">
        <f t="shared" si="81"/>
        <v>3351717</v>
      </c>
      <c r="F448" s="2212" t="e">
        <f>IF('Report-M&amp;O1718'!C$18-'Report-SOF1718'!D$55&lt;=0,0,'Report-M&amp;O1718'!C$18-'Report-SOF1718'!D$55)</f>
        <v>#DIV/0!</v>
      </c>
      <c r="G448" s="2452" t="e">
        <f t="shared" si="73"/>
        <v>#DIV/0!</v>
      </c>
      <c r="H448" s="2449">
        <f>IF(A448='Data Entry - SOF'!B$2,'Data Entry - SOF'!E$64,0)</f>
        <v>0</v>
      </c>
      <c r="I448" s="1687">
        <f t="shared" si="74"/>
        <v>3351717</v>
      </c>
      <c r="J448" s="2212" t="e">
        <f>IF('Report-M&amp;O1819'!C$18-'Report-SOF1819'!D$55&lt;=0,0,'Report-M&amp;O1819'!C$18-'Report-SOF1819'!D$55)</f>
        <v>#DIV/0!</v>
      </c>
      <c r="K448" s="2452" t="e">
        <f t="shared" si="75"/>
        <v>#DIV/0!</v>
      </c>
      <c r="L448" s="2449">
        <f>IF(A448='Data Entry - SOF'!B$2,'Data Entry - SOF'!G$64,0)</f>
        <v>0</v>
      </c>
      <c r="M448" s="1371">
        <f t="shared" si="76"/>
        <v>3351717</v>
      </c>
      <c r="N448" s="2212" t="e">
        <f>IF('Report-M&amp;O1920'!C$18-'Report-SOF1920'!D$55&lt;=0,0,'Report-M&amp;O1920'!C$18-'Report-SOF1920'!D$55)</f>
        <v>#DIV/0!</v>
      </c>
      <c r="O448" s="2452" t="e">
        <f t="shared" si="77"/>
        <v>#DIV/0!</v>
      </c>
      <c r="P448" s="2449">
        <f>IF(A448='Data Entry - SOF'!B$2,'Data Entry - SOF'!I$64,0)</f>
        <v>0</v>
      </c>
      <c r="Q448" s="1687">
        <f t="shared" si="84"/>
        <v>3351717</v>
      </c>
      <c r="R448" s="2212" t="e">
        <f>IF('Report-M&amp;O2021'!C$18-'Report-SOF2021'!D$55&lt;=0,0,'Report-M&amp;O2021'!C$18-'Report-SOF2021'!D$55)</f>
        <v>#DIV/0!</v>
      </c>
      <c r="S448" s="2452" t="e">
        <f t="shared" si="78"/>
        <v>#DIV/0!</v>
      </c>
      <c r="T448" s="1708">
        <f>IF(A448='Data Entry - SOF'!B$2,'Data Entry - SOF'!K$64,0)</f>
        <v>0</v>
      </c>
      <c r="U448" s="1687">
        <f t="shared" si="83"/>
        <v>3351717</v>
      </c>
      <c r="V448" s="2212" t="e">
        <f>IF('Report-M&amp;O2122'!C$18-'Report-SOF2122'!D$55&lt;=0,0,'Report-M&amp;O2122'!C$18-'Report-SOF2122'!D$55)</f>
        <v>#DIV/0!</v>
      </c>
      <c r="W448" s="2452" t="e">
        <f t="shared" si="79"/>
        <v>#DIV/0!</v>
      </c>
      <c r="X448" s="1708">
        <f>IF(A448='Data Entry - SOF'!B$2,'Data Entry - SOF'!M$64,0)</f>
        <v>0</v>
      </c>
      <c r="Y448" s="1371" t="e">
        <f t="shared" si="80"/>
        <v>#DIV/0!</v>
      </c>
      <c r="Z448" s="2212" t="e">
        <f>IF('Report-M&amp;O2223'!C$18-'Report-SOF2223'!D$55&lt;=0,0,'Report-M&amp;O2223'!C$18-'Report-SOF2223'!D$55)</f>
        <v>#DIV/0!</v>
      </c>
      <c r="AA448" s="1708">
        <f>IF(A448='Data Entry - SOF'!B$2,'Data Entry - SOF'!O$64,0)</f>
        <v>0</v>
      </c>
    </row>
    <row r="449" spans="1:27" ht="15.75">
      <c r="A449" s="1076" t="s">
        <v>2894</v>
      </c>
      <c r="B449">
        <v>32296937</v>
      </c>
      <c r="C449" s="2452" t="e">
        <f>#REF!+#REF!</f>
        <v>#REF!</v>
      </c>
      <c r="D449" s="2449">
        <f>IF(A449='Data Entry - SOF'!B$2,'Data Entry - SOF'!C$64,0)</f>
        <v>0</v>
      </c>
      <c r="E449" s="2450">
        <f t="shared" si="81"/>
        <v>32296937</v>
      </c>
      <c r="F449" s="2212" t="e">
        <f>IF('Report-M&amp;O1718'!C$18-'Report-SOF1718'!D$55&lt;=0,0,'Report-M&amp;O1718'!C$18-'Report-SOF1718'!D$55)</f>
        <v>#DIV/0!</v>
      </c>
      <c r="G449" s="2452" t="e">
        <f t="shared" si="73"/>
        <v>#DIV/0!</v>
      </c>
      <c r="H449" s="2449">
        <f>IF(A449='Data Entry - SOF'!B$2,'Data Entry - SOF'!E$64,0)</f>
        <v>0</v>
      </c>
      <c r="I449" s="1687">
        <f t="shared" si="74"/>
        <v>32296937</v>
      </c>
      <c r="J449" s="2212" t="e">
        <f>IF('Report-M&amp;O1819'!C$18-'Report-SOF1819'!D$55&lt;=0,0,'Report-M&amp;O1819'!C$18-'Report-SOF1819'!D$55)</f>
        <v>#DIV/0!</v>
      </c>
      <c r="K449" s="2452" t="e">
        <f t="shared" si="75"/>
        <v>#DIV/0!</v>
      </c>
      <c r="L449" s="2449">
        <f>IF(A449='Data Entry - SOF'!B$2,'Data Entry - SOF'!G$64,0)</f>
        <v>0</v>
      </c>
      <c r="M449" s="1371">
        <f t="shared" si="76"/>
        <v>32296937</v>
      </c>
      <c r="N449" s="2212" t="e">
        <f>IF('Report-M&amp;O1920'!C$18-'Report-SOF1920'!D$55&lt;=0,0,'Report-M&amp;O1920'!C$18-'Report-SOF1920'!D$55)</f>
        <v>#DIV/0!</v>
      </c>
      <c r="O449" s="2452" t="e">
        <f t="shared" si="77"/>
        <v>#DIV/0!</v>
      </c>
      <c r="P449" s="2449">
        <f>IF(A449='Data Entry - SOF'!B$2,'Data Entry - SOF'!I$64,0)</f>
        <v>0</v>
      </c>
      <c r="Q449" s="1687">
        <f t="shared" si="84"/>
        <v>32296937</v>
      </c>
      <c r="R449" s="2212" t="e">
        <f>IF('Report-M&amp;O2021'!C$18-'Report-SOF2021'!D$55&lt;=0,0,'Report-M&amp;O2021'!C$18-'Report-SOF2021'!D$55)</f>
        <v>#DIV/0!</v>
      </c>
      <c r="S449" s="2452" t="e">
        <f t="shared" si="78"/>
        <v>#DIV/0!</v>
      </c>
      <c r="T449" s="1708">
        <f>IF(A449='Data Entry - SOF'!B$2,'Data Entry - SOF'!K$64,0)</f>
        <v>0</v>
      </c>
      <c r="U449" s="1687">
        <f t="shared" si="83"/>
        <v>32296937</v>
      </c>
      <c r="V449" s="2212" t="e">
        <f>IF('Report-M&amp;O2122'!C$18-'Report-SOF2122'!D$55&lt;=0,0,'Report-M&amp;O2122'!C$18-'Report-SOF2122'!D$55)</f>
        <v>#DIV/0!</v>
      </c>
      <c r="W449" s="2452" t="e">
        <f t="shared" si="79"/>
        <v>#DIV/0!</v>
      </c>
      <c r="X449" s="1708">
        <f>IF(A449='Data Entry - SOF'!B$2,'Data Entry - SOF'!M$64,0)</f>
        <v>0</v>
      </c>
      <c r="Y449" s="1371" t="e">
        <f t="shared" si="80"/>
        <v>#DIV/0!</v>
      </c>
      <c r="Z449" s="2212" t="e">
        <f>IF('Report-M&amp;O2223'!C$18-'Report-SOF2223'!D$55&lt;=0,0,'Report-M&amp;O2223'!C$18-'Report-SOF2223'!D$55)</f>
        <v>#DIV/0!</v>
      </c>
      <c r="AA449" s="1708">
        <f>IF(A449='Data Entry - SOF'!B$2,'Data Entry - SOF'!O$64,0)</f>
        <v>0</v>
      </c>
    </row>
    <row r="450" spans="1:27" ht="15.75">
      <c r="A450" s="1076" t="s">
        <v>2897</v>
      </c>
      <c r="B450">
        <v>2267538</v>
      </c>
      <c r="C450" s="2452" t="e">
        <f>#REF!+#REF!</f>
        <v>#REF!</v>
      </c>
      <c r="D450" s="2449">
        <f>IF(A450='Data Entry - SOF'!B$2,'Data Entry - SOF'!C$64,0)</f>
        <v>0</v>
      </c>
      <c r="E450" s="2450">
        <f t="shared" si="81"/>
        <v>2267538</v>
      </c>
      <c r="F450" s="2212" t="e">
        <f>IF('Report-M&amp;O1718'!C$18-'Report-SOF1718'!D$55&lt;=0,0,'Report-M&amp;O1718'!C$18-'Report-SOF1718'!D$55)</f>
        <v>#DIV/0!</v>
      </c>
      <c r="G450" s="2452" t="e">
        <f t="shared" si="73"/>
        <v>#DIV/0!</v>
      </c>
      <c r="H450" s="2449">
        <f>IF(A450='Data Entry - SOF'!B$2,'Data Entry - SOF'!E$64,0)</f>
        <v>0</v>
      </c>
      <c r="I450" s="1687">
        <f t="shared" si="74"/>
        <v>2267538</v>
      </c>
      <c r="J450" s="2212" t="e">
        <f>IF('Report-M&amp;O1819'!C$18-'Report-SOF1819'!D$55&lt;=0,0,'Report-M&amp;O1819'!C$18-'Report-SOF1819'!D$55)</f>
        <v>#DIV/0!</v>
      </c>
      <c r="K450" s="2452" t="e">
        <f t="shared" si="75"/>
        <v>#DIV/0!</v>
      </c>
      <c r="L450" s="2449">
        <f>IF(A450='Data Entry - SOF'!B$2,'Data Entry - SOF'!G$64,0)</f>
        <v>0</v>
      </c>
      <c r="M450" s="1371">
        <f t="shared" si="76"/>
        <v>2267538</v>
      </c>
      <c r="N450" s="2212" t="e">
        <f>IF('Report-M&amp;O1920'!C$18-'Report-SOF1920'!D$55&lt;=0,0,'Report-M&amp;O1920'!C$18-'Report-SOF1920'!D$55)</f>
        <v>#DIV/0!</v>
      </c>
      <c r="O450" s="2452" t="e">
        <f t="shared" si="77"/>
        <v>#DIV/0!</v>
      </c>
      <c r="P450" s="2449">
        <f>IF(A450='Data Entry - SOF'!B$2,'Data Entry - SOF'!I$64,0)</f>
        <v>0</v>
      </c>
      <c r="Q450" s="1687">
        <f t="shared" si="84"/>
        <v>2267538</v>
      </c>
      <c r="R450" s="2212" t="e">
        <f>IF('Report-M&amp;O2021'!C$18-'Report-SOF2021'!D$55&lt;=0,0,'Report-M&amp;O2021'!C$18-'Report-SOF2021'!D$55)</f>
        <v>#DIV/0!</v>
      </c>
      <c r="S450" s="2452" t="e">
        <f t="shared" si="78"/>
        <v>#DIV/0!</v>
      </c>
      <c r="T450" s="1708">
        <f>IF(A450='Data Entry - SOF'!B$2,'Data Entry - SOF'!K$64,0)</f>
        <v>0</v>
      </c>
      <c r="U450" s="1687">
        <f t="shared" si="83"/>
        <v>2267538</v>
      </c>
      <c r="V450" s="2212" t="e">
        <f>IF('Report-M&amp;O2122'!C$18-'Report-SOF2122'!D$55&lt;=0,0,'Report-M&amp;O2122'!C$18-'Report-SOF2122'!D$55)</f>
        <v>#DIV/0!</v>
      </c>
      <c r="W450" s="2452" t="e">
        <f t="shared" si="79"/>
        <v>#DIV/0!</v>
      </c>
      <c r="X450" s="1708">
        <f>IF(A450='Data Entry - SOF'!B$2,'Data Entry - SOF'!M$64,0)</f>
        <v>0</v>
      </c>
      <c r="Y450" s="1371" t="e">
        <f t="shared" si="80"/>
        <v>#DIV/0!</v>
      </c>
      <c r="Z450" s="2212" t="e">
        <f>IF('Report-M&amp;O2223'!C$18-'Report-SOF2223'!D$55&lt;=0,0,'Report-M&amp;O2223'!C$18-'Report-SOF2223'!D$55)</f>
        <v>#DIV/0!</v>
      </c>
      <c r="AA450" s="1708">
        <f>IF(A450='Data Entry - SOF'!B$2,'Data Entry - SOF'!O$64,0)</f>
        <v>0</v>
      </c>
    </row>
    <row r="451" spans="1:27" ht="15.75">
      <c r="A451" s="1076" t="s">
        <v>2903</v>
      </c>
      <c r="B451">
        <v>1644117</v>
      </c>
      <c r="C451" s="2452" t="e">
        <f>#REF!+#REF!</f>
        <v>#REF!</v>
      </c>
      <c r="D451" s="2449">
        <f>IF(A451='Data Entry - SOF'!B$2,'Data Entry - SOF'!C$64,0)</f>
        <v>0</v>
      </c>
      <c r="E451" s="2450">
        <f t="shared" si="81"/>
        <v>1644117</v>
      </c>
      <c r="F451" s="2212" t="e">
        <f>IF('Report-M&amp;O1718'!C$18-'Report-SOF1718'!D$55&lt;=0,0,'Report-M&amp;O1718'!C$18-'Report-SOF1718'!D$55)</f>
        <v>#DIV/0!</v>
      </c>
      <c r="G451" s="2452" t="e">
        <f t="shared" si="73"/>
        <v>#DIV/0!</v>
      </c>
      <c r="H451" s="2449">
        <f>IF(A451='Data Entry - SOF'!B$2,'Data Entry - SOF'!E$64,0)</f>
        <v>0</v>
      </c>
      <c r="I451" s="1687">
        <f t="shared" si="74"/>
        <v>1644117</v>
      </c>
      <c r="J451" s="2212" t="e">
        <f>IF('Report-M&amp;O1819'!C$18-'Report-SOF1819'!D$55&lt;=0,0,'Report-M&amp;O1819'!C$18-'Report-SOF1819'!D$55)</f>
        <v>#DIV/0!</v>
      </c>
      <c r="K451" s="2452" t="e">
        <f t="shared" si="75"/>
        <v>#DIV/0!</v>
      </c>
      <c r="L451" s="2449">
        <f>IF(A451='Data Entry - SOF'!B$2,'Data Entry - SOF'!G$64,0)</f>
        <v>0</v>
      </c>
      <c r="M451" s="1371">
        <f t="shared" si="76"/>
        <v>1644117</v>
      </c>
      <c r="N451" s="2212" t="e">
        <f>IF('Report-M&amp;O1920'!C$18-'Report-SOF1920'!D$55&lt;=0,0,'Report-M&amp;O1920'!C$18-'Report-SOF1920'!D$55)</f>
        <v>#DIV/0!</v>
      </c>
      <c r="O451" s="2452" t="e">
        <f t="shared" si="77"/>
        <v>#DIV/0!</v>
      </c>
      <c r="P451" s="2449">
        <f>IF(A451='Data Entry - SOF'!B$2,'Data Entry - SOF'!I$64,0)</f>
        <v>0</v>
      </c>
      <c r="Q451" s="1687">
        <f t="shared" si="84"/>
        <v>1644117</v>
      </c>
      <c r="R451" s="2212" t="e">
        <f>IF('Report-M&amp;O2021'!C$18-'Report-SOF2021'!D$55&lt;=0,0,'Report-M&amp;O2021'!C$18-'Report-SOF2021'!D$55)</f>
        <v>#DIV/0!</v>
      </c>
      <c r="S451" s="2452" t="e">
        <f t="shared" si="78"/>
        <v>#DIV/0!</v>
      </c>
      <c r="T451" s="1708">
        <f>IF(A451='Data Entry - SOF'!B$2,'Data Entry - SOF'!K$64,0)</f>
        <v>0</v>
      </c>
      <c r="U451" s="1687">
        <f t="shared" si="83"/>
        <v>1644117</v>
      </c>
      <c r="V451" s="2212" t="e">
        <f>IF('Report-M&amp;O2122'!C$18-'Report-SOF2122'!D$55&lt;=0,0,'Report-M&amp;O2122'!C$18-'Report-SOF2122'!D$55)</f>
        <v>#DIV/0!</v>
      </c>
      <c r="W451" s="2452" t="e">
        <f t="shared" si="79"/>
        <v>#DIV/0!</v>
      </c>
      <c r="X451" s="1708">
        <f>IF(A451='Data Entry - SOF'!B$2,'Data Entry - SOF'!M$64,0)</f>
        <v>0</v>
      </c>
      <c r="Y451" s="1371" t="e">
        <f t="shared" si="80"/>
        <v>#DIV/0!</v>
      </c>
      <c r="Z451" s="2212" t="e">
        <f>IF('Report-M&amp;O2223'!C$18-'Report-SOF2223'!D$55&lt;=0,0,'Report-M&amp;O2223'!C$18-'Report-SOF2223'!D$55)</f>
        <v>#DIV/0!</v>
      </c>
      <c r="AA451" s="1708">
        <f>IF(A451='Data Entry - SOF'!B$2,'Data Entry - SOF'!O$64,0)</f>
        <v>0</v>
      </c>
    </row>
    <row r="452" spans="1:27" ht="15.75">
      <c r="A452" s="1076" t="s">
        <v>239</v>
      </c>
      <c r="B452">
        <v>15953253</v>
      </c>
      <c r="C452" s="2452" t="e">
        <f>#REF!+#REF!</f>
        <v>#REF!</v>
      </c>
      <c r="D452" s="2449">
        <f>IF(A452='Data Entry - SOF'!B$2,'Data Entry - SOF'!C$64,0)</f>
        <v>0</v>
      </c>
      <c r="E452" s="2450">
        <f t="shared" si="81"/>
        <v>15953253</v>
      </c>
      <c r="F452" s="2212" t="e">
        <f>IF('Report-M&amp;O1718'!C$18-'Report-SOF1718'!D$55&lt;=0,0,'Report-M&amp;O1718'!C$18-'Report-SOF1718'!D$55)</f>
        <v>#DIV/0!</v>
      </c>
      <c r="G452" s="2452" t="e">
        <f t="shared" ref="G452:G515" si="85">E452+F452</f>
        <v>#DIV/0!</v>
      </c>
      <c r="H452" s="2449">
        <f>IF(A452='Data Entry - SOF'!B$2,'Data Entry - SOF'!E$64,0)</f>
        <v>0</v>
      </c>
      <c r="I452" s="1687">
        <f t="shared" ref="I452:I515" si="86">E452-H452</f>
        <v>15953253</v>
      </c>
      <c r="J452" s="2212" t="e">
        <f>IF('Report-M&amp;O1819'!C$18-'Report-SOF1819'!D$55&lt;=0,0,'Report-M&amp;O1819'!C$18-'Report-SOF1819'!D$55)</f>
        <v>#DIV/0!</v>
      </c>
      <c r="K452" s="2452" t="e">
        <f t="shared" ref="K452:K515" si="87">I452+J452</f>
        <v>#DIV/0!</v>
      </c>
      <c r="L452" s="2449">
        <f>IF(A452='Data Entry - SOF'!B$2,'Data Entry - SOF'!G$64,0)</f>
        <v>0</v>
      </c>
      <c r="M452" s="1371">
        <f t="shared" ref="M452:M515" si="88">I452-L452</f>
        <v>15953253</v>
      </c>
      <c r="N452" s="2212" t="e">
        <f>IF('Report-M&amp;O1920'!C$18-'Report-SOF1920'!D$55&lt;=0,0,'Report-M&amp;O1920'!C$18-'Report-SOF1920'!D$55)</f>
        <v>#DIV/0!</v>
      </c>
      <c r="O452" s="2452" t="e">
        <f t="shared" ref="O452:O515" si="89">M452+N452</f>
        <v>#DIV/0!</v>
      </c>
      <c r="P452" s="2449">
        <f>IF(A452='Data Entry - SOF'!B$2,'Data Entry - SOF'!I$64,0)</f>
        <v>0</v>
      </c>
      <c r="Q452" s="1687">
        <f t="shared" si="84"/>
        <v>15953253</v>
      </c>
      <c r="R452" s="2212" t="e">
        <f>IF('Report-M&amp;O2021'!C$18-'Report-SOF2021'!D$55&lt;=0,0,'Report-M&amp;O2021'!C$18-'Report-SOF2021'!D$55)</f>
        <v>#DIV/0!</v>
      </c>
      <c r="S452" s="2452" t="e">
        <f t="shared" ref="S452:S515" si="90">Q452+R452</f>
        <v>#DIV/0!</v>
      </c>
      <c r="T452" s="1708">
        <f>IF(A452='Data Entry - SOF'!B$2,'Data Entry - SOF'!K$64,0)</f>
        <v>0</v>
      </c>
      <c r="U452" s="1687">
        <f t="shared" si="83"/>
        <v>15953253</v>
      </c>
      <c r="V452" s="2212" t="e">
        <f>IF('Report-M&amp;O2122'!C$18-'Report-SOF2122'!D$55&lt;=0,0,'Report-M&amp;O2122'!C$18-'Report-SOF2122'!D$55)</f>
        <v>#DIV/0!</v>
      </c>
      <c r="W452" s="2452" t="e">
        <f t="shared" ref="W452:W515" si="91">U452+V452</f>
        <v>#DIV/0!</v>
      </c>
      <c r="X452" s="1708">
        <f>IF(A452='Data Entry - SOF'!B$2,'Data Entry - SOF'!M$64,0)</f>
        <v>0</v>
      </c>
      <c r="Y452" s="1371" t="e">
        <f t="shared" ref="Y452:Y515" si="92">IF(U452+V452-X452&lt;=0,0,U452+V452-X452)</f>
        <v>#DIV/0!</v>
      </c>
      <c r="Z452" s="2212" t="e">
        <f>IF('Report-M&amp;O2223'!C$18-'Report-SOF2223'!D$55&lt;=0,0,'Report-M&amp;O2223'!C$18-'Report-SOF2223'!D$55)</f>
        <v>#DIV/0!</v>
      </c>
      <c r="AA452" s="1708">
        <f>IF(A452='Data Entry - SOF'!B$2,'Data Entry - SOF'!O$64,0)</f>
        <v>0</v>
      </c>
    </row>
    <row r="453" spans="1:27" ht="15.75">
      <c r="A453" s="1076" t="s">
        <v>1218</v>
      </c>
      <c r="B453">
        <v>720802</v>
      </c>
      <c r="C453" s="2452" t="e">
        <f>#REF!+#REF!</f>
        <v>#REF!</v>
      </c>
      <c r="D453" s="2449">
        <f>IF(A453='Data Entry - SOF'!B$2,'Data Entry - SOF'!C$64,0)</f>
        <v>0</v>
      </c>
      <c r="E453" s="2450">
        <f t="shared" ref="E453:E516" si="93">IF(B453-D453&lt;0,0,B453-D453)</f>
        <v>720802</v>
      </c>
      <c r="F453" s="2212" t="e">
        <f>IF('Report-M&amp;O1718'!C$18-'Report-SOF1718'!D$55&lt;=0,0,'Report-M&amp;O1718'!C$18-'Report-SOF1718'!D$55)</f>
        <v>#DIV/0!</v>
      </c>
      <c r="G453" s="2452" t="e">
        <f t="shared" si="85"/>
        <v>#DIV/0!</v>
      </c>
      <c r="H453" s="2449">
        <f>IF(A453='Data Entry - SOF'!B$2,'Data Entry - SOF'!E$64,0)</f>
        <v>0</v>
      </c>
      <c r="I453" s="1687">
        <f t="shared" si="86"/>
        <v>720802</v>
      </c>
      <c r="J453" s="2212" t="e">
        <f>IF('Report-M&amp;O1819'!C$18-'Report-SOF1819'!D$55&lt;=0,0,'Report-M&amp;O1819'!C$18-'Report-SOF1819'!D$55)</f>
        <v>#DIV/0!</v>
      </c>
      <c r="K453" s="2452" t="e">
        <f t="shared" si="87"/>
        <v>#DIV/0!</v>
      </c>
      <c r="L453" s="2449">
        <f>IF(A453='Data Entry - SOF'!B$2,'Data Entry - SOF'!G$64,0)</f>
        <v>0</v>
      </c>
      <c r="M453" s="1371">
        <f t="shared" si="88"/>
        <v>720802</v>
      </c>
      <c r="N453" s="2212" t="e">
        <f>IF('Report-M&amp;O1920'!C$18-'Report-SOF1920'!D$55&lt;=0,0,'Report-M&amp;O1920'!C$18-'Report-SOF1920'!D$55)</f>
        <v>#DIV/0!</v>
      </c>
      <c r="O453" s="2452" t="e">
        <f t="shared" si="89"/>
        <v>#DIV/0!</v>
      </c>
      <c r="P453" s="2449">
        <f>IF(A453='Data Entry - SOF'!B$2,'Data Entry - SOF'!I$64,0)</f>
        <v>0</v>
      </c>
      <c r="Q453" s="1687">
        <f t="shared" si="84"/>
        <v>720802</v>
      </c>
      <c r="R453" s="2212" t="e">
        <f>IF('Report-M&amp;O2021'!C$18-'Report-SOF2021'!D$55&lt;=0,0,'Report-M&amp;O2021'!C$18-'Report-SOF2021'!D$55)</f>
        <v>#DIV/0!</v>
      </c>
      <c r="S453" s="2452" t="e">
        <f t="shared" si="90"/>
        <v>#DIV/0!</v>
      </c>
      <c r="T453" s="1708">
        <f>IF(A453='Data Entry - SOF'!B$2,'Data Entry - SOF'!K$64,0)</f>
        <v>0</v>
      </c>
      <c r="U453" s="1687">
        <f t="shared" si="83"/>
        <v>720802</v>
      </c>
      <c r="V453" s="2212" t="e">
        <f>IF('Report-M&amp;O2122'!C$18-'Report-SOF2122'!D$55&lt;=0,0,'Report-M&amp;O2122'!C$18-'Report-SOF2122'!D$55)</f>
        <v>#DIV/0!</v>
      </c>
      <c r="W453" s="2452" t="e">
        <f t="shared" si="91"/>
        <v>#DIV/0!</v>
      </c>
      <c r="X453" s="1708">
        <f>IF(A453='Data Entry - SOF'!B$2,'Data Entry - SOF'!M$64,0)</f>
        <v>0</v>
      </c>
      <c r="Y453" s="1371" t="e">
        <f t="shared" si="92"/>
        <v>#DIV/0!</v>
      </c>
      <c r="Z453" s="2212" t="e">
        <f>IF('Report-M&amp;O2223'!C$18-'Report-SOF2223'!D$55&lt;=0,0,'Report-M&amp;O2223'!C$18-'Report-SOF2223'!D$55)</f>
        <v>#DIV/0!</v>
      </c>
      <c r="AA453" s="1708">
        <f>IF(A453='Data Entry - SOF'!B$2,'Data Entry - SOF'!O$64,0)</f>
        <v>0</v>
      </c>
    </row>
    <row r="454" spans="1:27" ht="15.75">
      <c r="A454" s="1076" t="s">
        <v>1759</v>
      </c>
      <c r="B454">
        <v>17062009</v>
      </c>
      <c r="C454" s="2452" t="e">
        <f>#REF!+#REF!</f>
        <v>#REF!</v>
      </c>
      <c r="D454" s="2449">
        <f>IF(A454='Data Entry - SOF'!B$2,'Data Entry - SOF'!C$64,0)</f>
        <v>0</v>
      </c>
      <c r="E454" s="2450">
        <f t="shared" si="93"/>
        <v>17062009</v>
      </c>
      <c r="F454" s="2212" t="e">
        <f>IF('Report-M&amp;O1718'!C$18-'Report-SOF1718'!D$55&lt;=0,0,'Report-M&amp;O1718'!C$18-'Report-SOF1718'!D$55)</f>
        <v>#DIV/0!</v>
      </c>
      <c r="G454" s="2452" t="e">
        <f t="shared" si="85"/>
        <v>#DIV/0!</v>
      </c>
      <c r="H454" s="2449">
        <f>IF(A454='Data Entry - SOF'!B$2,'Data Entry - SOF'!E$64,0)</f>
        <v>0</v>
      </c>
      <c r="I454" s="1687">
        <f t="shared" si="86"/>
        <v>17062009</v>
      </c>
      <c r="J454" s="2212" t="e">
        <f>IF('Report-M&amp;O1819'!C$18-'Report-SOF1819'!D$55&lt;=0,0,'Report-M&amp;O1819'!C$18-'Report-SOF1819'!D$55)</f>
        <v>#DIV/0!</v>
      </c>
      <c r="K454" s="2452" t="e">
        <f t="shared" si="87"/>
        <v>#DIV/0!</v>
      </c>
      <c r="L454" s="2449">
        <f>IF(A454='Data Entry - SOF'!B$2,'Data Entry - SOF'!G$64,0)</f>
        <v>0</v>
      </c>
      <c r="M454" s="1371">
        <f t="shared" si="88"/>
        <v>17062009</v>
      </c>
      <c r="N454" s="2212" t="e">
        <f>IF('Report-M&amp;O1920'!C$18-'Report-SOF1920'!D$55&lt;=0,0,'Report-M&amp;O1920'!C$18-'Report-SOF1920'!D$55)</f>
        <v>#DIV/0!</v>
      </c>
      <c r="O454" s="2452" t="e">
        <f t="shared" si="89"/>
        <v>#DIV/0!</v>
      </c>
      <c r="P454" s="2449">
        <f>IF(A454='Data Entry - SOF'!B$2,'Data Entry - SOF'!I$64,0)</f>
        <v>0</v>
      </c>
      <c r="Q454" s="1687">
        <f t="shared" si="84"/>
        <v>17062009</v>
      </c>
      <c r="R454" s="2212" t="e">
        <f>IF('Report-M&amp;O2021'!C$18-'Report-SOF2021'!D$55&lt;=0,0,'Report-M&amp;O2021'!C$18-'Report-SOF2021'!D$55)</f>
        <v>#DIV/0!</v>
      </c>
      <c r="S454" s="2452" t="e">
        <f t="shared" si="90"/>
        <v>#DIV/0!</v>
      </c>
      <c r="T454" s="1708">
        <f>IF(A454='Data Entry - SOF'!B$2,'Data Entry - SOF'!K$64,0)</f>
        <v>0</v>
      </c>
      <c r="U454" s="1687">
        <f t="shared" si="83"/>
        <v>17062009</v>
      </c>
      <c r="V454" s="2212" t="e">
        <f>IF('Report-M&amp;O2122'!C$18-'Report-SOF2122'!D$55&lt;=0,0,'Report-M&amp;O2122'!C$18-'Report-SOF2122'!D$55)</f>
        <v>#DIV/0!</v>
      </c>
      <c r="W454" s="2452" t="e">
        <f t="shared" si="91"/>
        <v>#DIV/0!</v>
      </c>
      <c r="X454" s="1708">
        <f>IF(A454='Data Entry - SOF'!B$2,'Data Entry - SOF'!M$64,0)</f>
        <v>0</v>
      </c>
      <c r="Y454" s="1371" t="e">
        <f t="shared" si="92"/>
        <v>#DIV/0!</v>
      </c>
      <c r="Z454" s="2212" t="e">
        <f>IF('Report-M&amp;O2223'!C$18-'Report-SOF2223'!D$55&lt;=0,0,'Report-M&amp;O2223'!C$18-'Report-SOF2223'!D$55)</f>
        <v>#DIV/0!</v>
      </c>
      <c r="AA454" s="1708">
        <f>IF(A454='Data Entry - SOF'!B$2,'Data Entry - SOF'!O$64,0)</f>
        <v>0</v>
      </c>
    </row>
    <row r="455" spans="1:27" ht="15.75">
      <c r="A455" s="1076" t="s">
        <v>65</v>
      </c>
      <c r="B455">
        <v>0</v>
      </c>
      <c r="C455" s="2452" t="e">
        <f>#REF!+#REF!</f>
        <v>#REF!</v>
      </c>
      <c r="D455" s="2449">
        <f>IF(A455='Data Entry - SOF'!B$2,'Data Entry - SOF'!C$64,0)</f>
        <v>0</v>
      </c>
      <c r="E455" s="2450">
        <f t="shared" si="93"/>
        <v>0</v>
      </c>
      <c r="F455" s="2212" t="e">
        <f>IF('Report-M&amp;O1718'!C$18-'Report-SOF1718'!D$55&lt;=0,0,'Report-M&amp;O1718'!C$18-'Report-SOF1718'!D$55)</f>
        <v>#DIV/0!</v>
      </c>
      <c r="G455" s="2452" t="e">
        <f t="shared" si="85"/>
        <v>#DIV/0!</v>
      </c>
      <c r="H455" s="2449">
        <f>IF(A455='Data Entry - SOF'!B$2,'Data Entry - SOF'!E$64,0)</f>
        <v>0</v>
      </c>
      <c r="I455" s="1687">
        <f t="shared" si="86"/>
        <v>0</v>
      </c>
      <c r="J455" s="2212" t="e">
        <f>IF('Report-M&amp;O1819'!C$18-'Report-SOF1819'!D$55&lt;=0,0,'Report-M&amp;O1819'!C$18-'Report-SOF1819'!D$55)</f>
        <v>#DIV/0!</v>
      </c>
      <c r="K455" s="2452" t="e">
        <f t="shared" si="87"/>
        <v>#DIV/0!</v>
      </c>
      <c r="L455" s="2449">
        <f>IF(A455='Data Entry - SOF'!B$2,'Data Entry - SOF'!G$64,0)</f>
        <v>0</v>
      </c>
      <c r="M455" s="1371">
        <f t="shared" si="88"/>
        <v>0</v>
      </c>
      <c r="N455" s="2212" t="e">
        <f>IF('Report-M&amp;O1920'!C$18-'Report-SOF1920'!D$55&lt;=0,0,'Report-M&amp;O1920'!C$18-'Report-SOF1920'!D$55)</f>
        <v>#DIV/0!</v>
      </c>
      <c r="O455" s="2452" t="e">
        <f t="shared" si="89"/>
        <v>#DIV/0!</v>
      </c>
      <c r="P455" s="2449">
        <f>IF(A455='Data Entry - SOF'!B$2,'Data Entry - SOF'!I$64,0)</f>
        <v>0</v>
      </c>
      <c r="Q455" s="1687">
        <f t="shared" si="84"/>
        <v>0</v>
      </c>
      <c r="R455" s="2212" t="e">
        <f>IF('Report-M&amp;O2021'!C$18-'Report-SOF2021'!D$55&lt;=0,0,'Report-M&amp;O2021'!C$18-'Report-SOF2021'!D$55)</f>
        <v>#DIV/0!</v>
      </c>
      <c r="S455" s="2452" t="e">
        <f t="shared" si="90"/>
        <v>#DIV/0!</v>
      </c>
      <c r="T455" s="1708">
        <f>IF(A455='Data Entry - SOF'!B$2,'Data Entry - SOF'!K$64,0)</f>
        <v>0</v>
      </c>
      <c r="U455" s="1687">
        <f t="shared" si="83"/>
        <v>0</v>
      </c>
      <c r="V455" s="2212" t="e">
        <f>IF('Report-M&amp;O2122'!C$18-'Report-SOF2122'!D$55&lt;=0,0,'Report-M&amp;O2122'!C$18-'Report-SOF2122'!D$55)</f>
        <v>#DIV/0!</v>
      </c>
      <c r="W455" s="2452" t="e">
        <f t="shared" si="91"/>
        <v>#DIV/0!</v>
      </c>
      <c r="X455" s="1708">
        <f>IF(A455='Data Entry - SOF'!B$2,'Data Entry - SOF'!M$64,0)</f>
        <v>0</v>
      </c>
      <c r="Y455" s="1371" t="e">
        <f t="shared" si="92"/>
        <v>#DIV/0!</v>
      </c>
      <c r="Z455" s="2212" t="e">
        <f>IF('Report-M&amp;O2223'!C$18-'Report-SOF2223'!D$55&lt;=0,0,'Report-M&amp;O2223'!C$18-'Report-SOF2223'!D$55)</f>
        <v>#DIV/0!</v>
      </c>
      <c r="AA455" s="1708">
        <f>IF(A455='Data Entry - SOF'!B$2,'Data Entry - SOF'!O$64,0)</f>
        <v>0</v>
      </c>
    </row>
    <row r="456" spans="1:27" ht="15.75">
      <c r="A456" s="1076" t="s">
        <v>821</v>
      </c>
      <c r="B456">
        <v>0</v>
      </c>
      <c r="C456" s="2452" t="e">
        <f>#REF!+#REF!</f>
        <v>#REF!</v>
      </c>
      <c r="D456" s="2449">
        <f>IF(A456='Data Entry - SOF'!B$2,'Data Entry - SOF'!C$64,0)</f>
        <v>0</v>
      </c>
      <c r="E456" s="2450">
        <f t="shared" si="93"/>
        <v>0</v>
      </c>
      <c r="F456" s="2212" t="e">
        <f>IF('Report-M&amp;O1718'!C$18-'Report-SOF1718'!D$55&lt;=0,0,'Report-M&amp;O1718'!C$18-'Report-SOF1718'!D$55)</f>
        <v>#DIV/0!</v>
      </c>
      <c r="G456" s="2452" t="e">
        <f t="shared" si="85"/>
        <v>#DIV/0!</v>
      </c>
      <c r="H456" s="2449">
        <f>IF(A456='Data Entry - SOF'!B$2,'Data Entry - SOF'!E$64,0)</f>
        <v>0</v>
      </c>
      <c r="I456" s="1687">
        <f t="shared" si="86"/>
        <v>0</v>
      </c>
      <c r="J456" s="2212" t="e">
        <f>IF('Report-M&amp;O1819'!C$18-'Report-SOF1819'!D$55&lt;=0,0,'Report-M&amp;O1819'!C$18-'Report-SOF1819'!D$55)</f>
        <v>#DIV/0!</v>
      </c>
      <c r="K456" s="2452" t="e">
        <f t="shared" si="87"/>
        <v>#DIV/0!</v>
      </c>
      <c r="L456" s="2449">
        <f>IF(A456='Data Entry - SOF'!B$2,'Data Entry - SOF'!G$64,0)</f>
        <v>0</v>
      </c>
      <c r="M456" s="1371">
        <f t="shared" si="88"/>
        <v>0</v>
      </c>
      <c r="N456" s="2212" t="e">
        <f>IF('Report-M&amp;O1920'!C$18-'Report-SOF1920'!D$55&lt;=0,0,'Report-M&amp;O1920'!C$18-'Report-SOF1920'!D$55)</f>
        <v>#DIV/0!</v>
      </c>
      <c r="O456" s="2452" t="e">
        <f t="shared" si="89"/>
        <v>#DIV/0!</v>
      </c>
      <c r="P456" s="2449">
        <f>IF(A456='Data Entry - SOF'!B$2,'Data Entry - SOF'!I$64,0)</f>
        <v>0</v>
      </c>
      <c r="Q456" s="1687">
        <f t="shared" si="84"/>
        <v>0</v>
      </c>
      <c r="R456" s="2212" t="e">
        <f>IF('Report-M&amp;O2021'!C$18-'Report-SOF2021'!D$55&lt;=0,0,'Report-M&amp;O2021'!C$18-'Report-SOF2021'!D$55)</f>
        <v>#DIV/0!</v>
      </c>
      <c r="S456" s="2452" t="e">
        <f t="shared" si="90"/>
        <v>#DIV/0!</v>
      </c>
      <c r="T456" s="1708">
        <f>IF(A456='Data Entry - SOF'!B$2,'Data Entry - SOF'!K$64,0)</f>
        <v>0</v>
      </c>
      <c r="U456" s="1687">
        <f t="shared" si="83"/>
        <v>0</v>
      </c>
      <c r="V456" s="2212" t="e">
        <f>IF('Report-M&amp;O2122'!C$18-'Report-SOF2122'!D$55&lt;=0,0,'Report-M&amp;O2122'!C$18-'Report-SOF2122'!D$55)</f>
        <v>#DIV/0!</v>
      </c>
      <c r="W456" s="2452" t="e">
        <f t="shared" si="91"/>
        <v>#DIV/0!</v>
      </c>
      <c r="X456" s="1708">
        <f>IF(A456='Data Entry - SOF'!B$2,'Data Entry - SOF'!M$64,0)</f>
        <v>0</v>
      </c>
      <c r="Y456" s="1371" t="e">
        <f t="shared" si="92"/>
        <v>#DIV/0!</v>
      </c>
      <c r="Z456" s="2212" t="e">
        <f>IF('Report-M&amp;O2223'!C$18-'Report-SOF2223'!D$55&lt;=0,0,'Report-M&amp;O2223'!C$18-'Report-SOF2223'!D$55)</f>
        <v>#DIV/0!</v>
      </c>
      <c r="AA456" s="1708">
        <f>IF(A456='Data Entry - SOF'!B$2,'Data Entry - SOF'!O$64,0)</f>
        <v>0</v>
      </c>
    </row>
    <row r="457" spans="1:27" ht="15.75">
      <c r="A457" s="1076" t="s">
        <v>67</v>
      </c>
      <c r="B457">
        <v>408451</v>
      </c>
      <c r="C457" s="2452" t="e">
        <f>#REF!+#REF!</f>
        <v>#REF!</v>
      </c>
      <c r="D457" s="2449">
        <f>IF(A457='Data Entry - SOF'!B$2,'Data Entry - SOF'!C$64,0)</f>
        <v>0</v>
      </c>
      <c r="E457" s="2450">
        <f t="shared" si="93"/>
        <v>408451</v>
      </c>
      <c r="F457" s="2212" t="e">
        <f>IF('Report-M&amp;O1718'!C$18-'Report-SOF1718'!D$55&lt;=0,0,'Report-M&amp;O1718'!C$18-'Report-SOF1718'!D$55)</f>
        <v>#DIV/0!</v>
      </c>
      <c r="G457" s="2452" t="e">
        <f t="shared" si="85"/>
        <v>#DIV/0!</v>
      </c>
      <c r="H457" s="2449">
        <f>IF(A457='Data Entry - SOF'!B$2,'Data Entry - SOF'!E$64,0)</f>
        <v>0</v>
      </c>
      <c r="I457" s="1687">
        <f t="shared" si="86"/>
        <v>408451</v>
      </c>
      <c r="J457" s="2212" t="e">
        <f>IF('Report-M&amp;O1819'!C$18-'Report-SOF1819'!D$55&lt;=0,0,'Report-M&amp;O1819'!C$18-'Report-SOF1819'!D$55)</f>
        <v>#DIV/0!</v>
      </c>
      <c r="K457" s="2452" t="e">
        <f t="shared" si="87"/>
        <v>#DIV/0!</v>
      </c>
      <c r="L457" s="2449">
        <f>IF(A457='Data Entry - SOF'!B$2,'Data Entry - SOF'!G$64,0)</f>
        <v>0</v>
      </c>
      <c r="M457" s="1371">
        <f t="shared" si="88"/>
        <v>408451</v>
      </c>
      <c r="N457" s="2212" t="e">
        <f>IF('Report-M&amp;O1920'!C$18-'Report-SOF1920'!D$55&lt;=0,0,'Report-M&amp;O1920'!C$18-'Report-SOF1920'!D$55)</f>
        <v>#DIV/0!</v>
      </c>
      <c r="O457" s="2452" t="e">
        <f t="shared" si="89"/>
        <v>#DIV/0!</v>
      </c>
      <c r="P457" s="2449">
        <f>IF(A457='Data Entry - SOF'!B$2,'Data Entry - SOF'!I$64,0)</f>
        <v>0</v>
      </c>
      <c r="Q457" s="1687">
        <f t="shared" si="84"/>
        <v>408451</v>
      </c>
      <c r="R457" s="2212" t="e">
        <f>IF('Report-M&amp;O2021'!C$18-'Report-SOF2021'!D$55&lt;=0,0,'Report-M&amp;O2021'!C$18-'Report-SOF2021'!D$55)</f>
        <v>#DIV/0!</v>
      </c>
      <c r="S457" s="2452" t="e">
        <f t="shared" si="90"/>
        <v>#DIV/0!</v>
      </c>
      <c r="T457" s="1708">
        <f>IF(A457='Data Entry - SOF'!B$2,'Data Entry - SOF'!K$64,0)</f>
        <v>0</v>
      </c>
      <c r="U457" s="1687">
        <f t="shared" si="83"/>
        <v>408451</v>
      </c>
      <c r="V457" s="2212" t="e">
        <f>IF('Report-M&amp;O2122'!C$18-'Report-SOF2122'!D$55&lt;=0,0,'Report-M&amp;O2122'!C$18-'Report-SOF2122'!D$55)</f>
        <v>#DIV/0!</v>
      </c>
      <c r="W457" s="2452" t="e">
        <f t="shared" si="91"/>
        <v>#DIV/0!</v>
      </c>
      <c r="X457" s="1708">
        <f>IF(A457='Data Entry - SOF'!B$2,'Data Entry - SOF'!M$64,0)</f>
        <v>0</v>
      </c>
      <c r="Y457" s="1371" t="e">
        <f t="shared" si="92"/>
        <v>#DIV/0!</v>
      </c>
      <c r="Z457" s="2212" t="e">
        <f>IF('Report-M&amp;O2223'!C$18-'Report-SOF2223'!D$55&lt;=0,0,'Report-M&amp;O2223'!C$18-'Report-SOF2223'!D$55)</f>
        <v>#DIV/0!</v>
      </c>
      <c r="AA457" s="1708">
        <f>IF(A457='Data Entry - SOF'!B$2,'Data Entry - SOF'!O$64,0)</f>
        <v>0</v>
      </c>
    </row>
    <row r="458" spans="1:27" ht="15.75">
      <c r="A458" s="1076" t="s">
        <v>554</v>
      </c>
      <c r="B458">
        <v>913501</v>
      </c>
      <c r="C458" s="2452" t="e">
        <f>#REF!+#REF!</f>
        <v>#REF!</v>
      </c>
      <c r="D458" s="2449">
        <f>IF(A458='Data Entry - SOF'!B$2,'Data Entry - SOF'!C$64,0)</f>
        <v>0</v>
      </c>
      <c r="E458" s="2450">
        <f t="shared" si="93"/>
        <v>913501</v>
      </c>
      <c r="F458" s="2212" t="e">
        <f>IF('Report-M&amp;O1718'!C$18-'Report-SOF1718'!D$55&lt;=0,0,'Report-M&amp;O1718'!C$18-'Report-SOF1718'!D$55)</f>
        <v>#DIV/0!</v>
      </c>
      <c r="G458" s="2452" t="e">
        <f t="shared" si="85"/>
        <v>#DIV/0!</v>
      </c>
      <c r="H458" s="2449">
        <f>IF(A458='Data Entry - SOF'!B$2,'Data Entry - SOF'!E$64,0)</f>
        <v>0</v>
      </c>
      <c r="I458" s="1687">
        <f t="shared" si="86"/>
        <v>913501</v>
      </c>
      <c r="J458" s="2212" t="e">
        <f>IF('Report-M&amp;O1819'!C$18-'Report-SOF1819'!D$55&lt;=0,0,'Report-M&amp;O1819'!C$18-'Report-SOF1819'!D$55)</f>
        <v>#DIV/0!</v>
      </c>
      <c r="K458" s="2452" t="e">
        <f t="shared" si="87"/>
        <v>#DIV/0!</v>
      </c>
      <c r="L458" s="2449">
        <f>IF(A458='Data Entry - SOF'!B$2,'Data Entry - SOF'!G$64,0)</f>
        <v>0</v>
      </c>
      <c r="M458" s="1371">
        <f t="shared" si="88"/>
        <v>913501</v>
      </c>
      <c r="N458" s="2212" t="e">
        <f>IF('Report-M&amp;O1920'!C$18-'Report-SOF1920'!D$55&lt;=0,0,'Report-M&amp;O1920'!C$18-'Report-SOF1920'!D$55)</f>
        <v>#DIV/0!</v>
      </c>
      <c r="O458" s="2452" t="e">
        <f t="shared" si="89"/>
        <v>#DIV/0!</v>
      </c>
      <c r="P458" s="2449">
        <f>IF(A458='Data Entry - SOF'!B$2,'Data Entry - SOF'!I$64,0)</f>
        <v>0</v>
      </c>
      <c r="Q458" s="1687">
        <f t="shared" si="84"/>
        <v>913501</v>
      </c>
      <c r="R458" s="2212" t="e">
        <f>IF('Report-M&amp;O2021'!C$18-'Report-SOF2021'!D$55&lt;=0,0,'Report-M&amp;O2021'!C$18-'Report-SOF2021'!D$55)</f>
        <v>#DIV/0!</v>
      </c>
      <c r="S458" s="2452" t="e">
        <f t="shared" si="90"/>
        <v>#DIV/0!</v>
      </c>
      <c r="T458" s="1708">
        <f>IF(A458='Data Entry - SOF'!B$2,'Data Entry - SOF'!K$64,0)</f>
        <v>0</v>
      </c>
      <c r="U458" s="1687">
        <f t="shared" si="83"/>
        <v>913501</v>
      </c>
      <c r="V458" s="2212" t="e">
        <f>IF('Report-M&amp;O2122'!C$18-'Report-SOF2122'!D$55&lt;=0,0,'Report-M&amp;O2122'!C$18-'Report-SOF2122'!D$55)</f>
        <v>#DIV/0!</v>
      </c>
      <c r="W458" s="2452" t="e">
        <f t="shared" si="91"/>
        <v>#DIV/0!</v>
      </c>
      <c r="X458" s="1708">
        <f>IF(A458='Data Entry - SOF'!B$2,'Data Entry - SOF'!M$64,0)</f>
        <v>0</v>
      </c>
      <c r="Y458" s="1371" t="e">
        <f t="shared" si="92"/>
        <v>#DIV/0!</v>
      </c>
      <c r="Z458" s="2212" t="e">
        <f>IF('Report-M&amp;O2223'!C$18-'Report-SOF2223'!D$55&lt;=0,0,'Report-M&amp;O2223'!C$18-'Report-SOF2223'!D$55)</f>
        <v>#DIV/0!</v>
      </c>
      <c r="AA458" s="1708">
        <f>IF(A458='Data Entry - SOF'!B$2,'Data Entry - SOF'!O$64,0)</f>
        <v>0</v>
      </c>
    </row>
    <row r="459" spans="1:27" ht="15.75">
      <c r="A459" s="1076" t="s">
        <v>1715</v>
      </c>
      <c r="B459">
        <v>1252621</v>
      </c>
      <c r="C459" s="2452" t="e">
        <f>#REF!+#REF!</f>
        <v>#REF!</v>
      </c>
      <c r="D459" s="2449">
        <f>IF(A459='Data Entry - SOF'!B$2,'Data Entry - SOF'!C$64,0)</f>
        <v>0</v>
      </c>
      <c r="E459" s="2450">
        <f t="shared" si="93"/>
        <v>1252621</v>
      </c>
      <c r="F459" s="2212" t="e">
        <f>IF('Report-M&amp;O1718'!C$18-'Report-SOF1718'!D$55&lt;=0,0,'Report-M&amp;O1718'!C$18-'Report-SOF1718'!D$55)</f>
        <v>#DIV/0!</v>
      </c>
      <c r="G459" s="2452" t="e">
        <f t="shared" si="85"/>
        <v>#DIV/0!</v>
      </c>
      <c r="H459" s="2449">
        <f>IF(A459='Data Entry - SOF'!B$2,'Data Entry - SOF'!E$64,0)</f>
        <v>0</v>
      </c>
      <c r="I459" s="1687">
        <f t="shared" si="86"/>
        <v>1252621</v>
      </c>
      <c r="J459" s="2212" t="e">
        <f>IF('Report-M&amp;O1819'!C$18-'Report-SOF1819'!D$55&lt;=0,0,'Report-M&amp;O1819'!C$18-'Report-SOF1819'!D$55)</f>
        <v>#DIV/0!</v>
      </c>
      <c r="K459" s="2452" t="e">
        <f t="shared" si="87"/>
        <v>#DIV/0!</v>
      </c>
      <c r="L459" s="2449">
        <f>IF(A459='Data Entry - SOF'!B$2,'Data Entry - SOF'!G$64,0)</f>
        <v>0</v>
      </c>
      <c r="M459" s="1371">
        <f t="shared" si="88"/>
        <v>1252621</v>
      </c>
      <c r="N459" s="2212" t="e">
        <f>IF('Report-M&amp;O1920'!C$18-'Report-SOF1920'!D$55&lt;=0,0,'Report-M&amp;O1920'!C$18-'Report-SOF1920'!D$55)</f>
        <v>#DIV/0!</v>
      </c>
      <c r="O459" s="2452" t="e">
        <f t="shared" si="89"/>
        <v>#DIV/0!</v>
      </c>
      <c r="P459" s="2449">
        <f>IF(A459='Data Entry - SOF'!B$2,'Data Entry - SOF'!I$64,0)</f>
        <v>0</v>
      </c>
      <c r="Q459" s="1687">
        <f t="shared" si="84"/>
        <v>1252621</v>
      </c>
      <c r="R459" s="2212" t="e">
        <f>IF('Report-M&amp;O2021'!C$18-'Report-SOF2021'!D$55&lt;=0,0,'Report-M&amp;O2021'!C$18-'Report-SOF2021'!D$55)</f>
        <v>#DIV/0!</v>
      </c>
      <c r="S459" s="2452" t="e">
        <f t="shared" si="90"/>
        <v>#DIV/0!</v>
      </c>
      <c r="T459" s="1708">
        <f>IF(A459='Data Entry - SOF'!B$2,'Data Entry - SOF'!K$64,0)</f>
        <v>0</v>
      </c>
      <c r="U459" s="1687">
        <f t="shared" si="83"/>
        <v>1252621</v>
      </c>
      <c r="V459" s="2212" t="e">
        <f>IF('Report-M&amp;O2122'!C$18-'Report-SOF2122'!D$55&lt;=0,0,'Report-M&amp;O2122'!C$18-'Report-SOF2122'!D$55)</f>
        <v>#DIV/0!</v>
      </c>
      <c r="W459" s="2452" t="e">
        <f t="shared" si="91"/>
        <v>#DIV/0!</v>
      </c>
      <c r="X459" s="1708">
        <f>IF(A459='Data Entry - SOF'!B$2,'Data Entry - SOF'!M$64,0)</f>
        <v>0</v>
      </c>
      <c r="Y459" s="1371" t="e">
        <f t="shared" si="92"/>
        <v>#DIV/0!</v>
      </c>
      <c r="Z459" s="2212" t="e">
        <f>IF('Report-M&amp;O2223'!C$18-'Report-SOF2223'!D$55&lt;=0,0,'Report-M&amp;O2223'!C$18-'Report-SOF2223'!D$55)</f>
        <v>#DIV/0!</v>
      </c>
      <c r="AA459" s="1708">
        <f>IF(A459='Data Entry - SOF'!B$2,'Data Entry - SOF'!O$64,0)</f>
        <v>0</v>
      </c>
    </row>
    <row r="460" spans="1:27" ht="15.75">
      <c r="A460" s="1076" t="s">
        <v>172</v>
      </c>
      <c r="B460">
        <v>836876</v>
      </c>
      <c r="C460" s="2452" t="e">
        <f>#REF!+#REF!</f>
        <v>#REF!</v>
      </c>
      <c r="D460" s="2449">
        <f>IF(A460='Data Entry - SOF'!B$2,'Data Entry - SOF'!C$64,0)</f>
        <v>0</v>
      </c>
      <c r="E460" s="2450">
        <f t="shared" si="93"/>
        <v>836876</v>
      </c>
      <c r="F460" s="2212" t="e">
        <f>IF('Report-M&amp;O1718'!C$18-'Report-SOF1718'!D$55&lt;=0,0,'Report-M&amp;O1718'!C$18-'Report-SOF1718'!D$55)</f>
        <v>#DIV/0!</v>
      </c>
      <c r="G460" s="2452" t="e">
        <f t="shared" si="85"/>
        <v>#DIV/0!</v>
      </c>
      <c r="H460" s="2449">
        <f>IF(A460='Data Entry - SOF'!B$2,'Data Entry - SOF'!E$64,0)</f>
        <v>0</v>
      </c>
      <c r="I460" s="1687">
        <f t="shared" si="86"/>
        <v>836876</v>
      </c>
      <c r="J460" s="2212" t="e">
        <f>IF('Report-M&amp;O1819'!C$18-'Report-SOF1819'!D$55&lt;=0,0,'Report-M&amp;O1819'!C$18-'Report-SOF1819'!D$55)</f>
        <v>#DIV/0!</v>
      </c>
      <c r="K460" s="2452" t="e">
        <f t="shared" si="87"/>
        <v>#DIV/0!</v>
      </c>
      <c r="L460" s="2449">
        <f>IF(A460='Data Entry - SOF'!B$2,'Data Entry - SOF'!G$64,0)</f>
        <v>0</v>
      </c>
      <c r="M460" s="1371">
        <f t="shared" si="88"/>
        <v>836876</v>
      </c>
      <c r="N460" s="2212" t="e">
        <f>IF('Report-M&amp;O1920'!C$18-'Report-SOF1920'!D$55&lt;=0,0,'Report-M&amp;O1920'!C$18-'Report-SOF1920'!D$55)</f>
        <v>#DIV/0!</v>
      </c>
      <c r="O460" s="2452" t="e">
        <f t="shared" si="89"/>
        <v>#DIV/0!</v>
      </c>
      <c r="P460" s="2449">
        <f>IF(A460='Data Entry - SOF'!B$2,'Data Entry - SOF'!I$64,0)</f>
        <v>0</v>
      </c>
      <c r="Q460" s="1687">
        <f t="shared" si="84"/>
        <v>836876</v>
      </c>
      <c r="R460" s="2212" t="e">
        <f>IF('Report-M&amp;O2021'!C$18-'Report-SOF2021'!D$55&lt;=0,0,'Report-M&amp;O2021'!C$18-'Report-SOF2021'!D$55)</f>
        <v>#DIV/0!</v>
      </c>
      <c r="S460" s="2452" t="e">
        <f t="shared" si="90"/>
        <v>#DIV/0!</v>
      </c>
      <c r="T460" s="1708">
        <f>IF(A460='Data Entry - SOF'!B$2,'Data Entry - SOF'!K$64,0)</f>
        <v>0</v>
      </c>
      <c r="U460" s="1687">
        <f t="shared" si="83"/>
        <v>836876</v>
      </c>
      <c r="V460" s="2212" t="e">
        <f>IF('Report-M&amp;O2122'!C$18-'Report-SOF2122'!D$55&lt;=0,0,'Report-M&amp;O2122'!C$18-'Report-SOF2122'!D$55)</f>
        <v>#DIV/0!</v>
      </c>
      <c r="W460" s="2452" t="e">
        <f t="shared" si="91"/>
        <v>#DIV/0!</v>
      </c>
      <c r="X460" s="1708">
        <f>IF(A460='Data Entry - SOF'!B$2,'Data Entry - SOF'!M$64,0)</f>
        <v>0</v>
      </c>
      <c r="Y460" s="1371" t="e">
        <f t="shared" si="92"/>
        <v>#DIV/0!</v>
      </c>
      <c r="Z460" s="2212" t="e">
        <f>IF('Report-M&amp;O2223'!C$18-'Report-SOF2223'!D$55&lt;=0,0,'Report-M&amp;O2223'!C$18-'Report-SOF2223'!D$55)</f>
        <v>#DIV/0!</v>
      </c>
      <c r="AA460" s="1708">
        <f>IF(A460='Data Entry - SOF'!B$2,'Data Entry - SOF'!O$64,0)</f>
        <v>0</v>
      </c>
    </row>
    <row r="461" spans="1:27" ht="15.75">
      <c r="A461" s="1076" t="s">
        <v>2869</v>
      </c>
      <c r="B461">
        <v>715705</v>
      </c>
      <c r="C461" s="2452" t="e">
        <f>#REF!+#REF!</f>
        <v>#REF!</v>
      </c>
      <c r="D461" s="2449">
        <f>IF(A461='Data Entry - SOF'!B$2,'Data Entry - SOF'!C$64,0)</f>
        <v>0</v>
      </c>
      <c r="E461" s="2450">
        <f t="shared" si="93"/>
        <v>715705</v>
      </c>
      <c r="F461" s="2212" t="e">
        <f>IF('Report-M&amp;O1718'!C$18-'Report-SOF1718'!D$55&lt;=0,0,'Report-M&amp;O1718'!C$18-'Report-SOF1718'!D$55)</f>
        <v>#DIV/0!</v>
      </c>
      <c r="G461" s="2452" t="e">
        <f t="shared" si="85"/>
        <v>#DIV/0!</v>
      </c>
      <c r="H461" s="2449">
        <f>IF(A461='Data Entry - SOF'!B$2,'Data Entry - SOF'!E$64,0)</f>
        <v>0</v>
      </c>
      <c r="I461" s="1687">
        <f t="shared" si="86"/>
        <v>715705</v>
      </c>
      <c r="J461" s="2212" t="e">
        <f>IF('Report-M&amp;O1819'!C$18-'Report-SOF1819'!D$55&lt;=0,0,'Report-M&amp;O1819'!C$18-'Report-SOF1819'!D$55)</f>
        <v>#DIV/0!</v>
      </c>
      <c r="K461" s="2452" t="e">
        <f t="shared" si="87"/>
        <v>#DIV/0!</v>
      </c>
      <c r="L461" s="2449">
        <f>IF(A461='Data Entry - SOF'!B$2,'Data Entry - SOF'!G$64,0)</f>
        <v>0</v>
      </c>
      <c r="M461" s="1371">
        <f t="shared" si="88"/>
        <v>715705</v>
      </c>
      <c r="N461" s="2212" t="e">
        <f>IF('Report-M&amp;O1920'!C$18-'Report-SOF1920'!D$55&lt;=0,0,'Report-M&amp;O1920'!C$18-'Report-SOF1920'!D$55)</f>
        <v>#DIV/0!</v>
      </c>
      <c r="O461" s="2452" t="e">
        <f t="shared" si="89"/>
        <v>#DIV/0!</v>
      </c>
      <c r="P461" s="2449">
        <f>IF(A461='Data Entry - SOF'!B$2,'Data Entry - SOF'!I$64,0)</f>
        <v>0</v>
      </c>
      <c r="Q461" s="1687">
        <f t="shared" si="84"/>
        <v>715705</v>
      </c>
      <c r="R461" s="2212" t="e">
        <f>IF('Report-M&amp;O2021'!C$18-'Report-SOF2021'!D$55&lt;=0,0,'Report-M&amp;O2021'!C$18-'Report-SOF2021'!D$55)</f>
        <v>#DIV/0!</v>
      </c>
      <c r="S461" s="2452" t="e">
        <f t="shared" si="90"/>
        <v>#DIV/0!</v>
      </c>
      <c r="T461" s="1708">
        <f>IF(A461='Data Entry - SOF'!B$2,'Data Entry - SOF'!K$64,0)</f>
        <v>0</v>
      </c>
      <c r="U461" s="1687">
        <f t="shared" ref="U461:U508" si="94">Q461-T461</f>
        <v>715705</v>
      </c>
      <c r="V461" s="2212" t="e">
        <f>IF('Report-M&amp;O2122'!C$18-'Report-SOF2122'!D$55&lt;=0,0,'Report-M&amp;O2122'!C$18-'Report-SOF2122'!D$55)</f>
        <v>#DIV/0!</v>
      </c>
      <c r="W461" s="2452" t="e">
        <f t="shared" si="91"/>
        <v>#DIV/0!</v>
      </c>
      <c r="X461" s="1708">
        <f>IF(A461='Data Entry - SOF'!B$2,'Data Entry - SOF'!M$64,0)</f>
        <v>0</v>
      </c>
      <c r="Y461" s="1371" t="e">
        <f t="shared" si="92"/>
        <v>#DIV/0!</v>
      </c>
      <c r="Z461" s="2212" t="e">
        <f>IF('Report-M&amp;O2223'!C$18-'Report-SOF2223'!D$55&lt;=0,0,'Report-M&amp;O2223'!C$18-'Report-SOF2223'!D$55)</f>
        <v>#DIV/0!</v>
      </c>
      <c r="AA461" s="1708">
        <f>IF(A461='Data Entry - SOF'!B$2,'Data Entry - SOF'!O$64,0)</f>
        <v>0</v>
      </c>
    </row>
    <row r="462" spans="1:27" ht="15.75">
      <c r="A462" s="1076" t="s">
        <v>2756</v>
      </c>
      <c r="B462">
        <v>753870</v>
      </c>
      <c r="C462" s="2452" t="e">
        <f>#REF!+#REF!</f>
        <v>#REF!</v>
      </c>
      <c r="D462" s="2449">
        <f>IF(A462='Data Entry - SOF'!B$2,'Data Entry - SOF'!C$64,0)</f>
        <v>0</v>
      </c>
      <c r="E462" s="2450">
        <f t="shared" si="93"/>
        <v>753870</v>
      </c>
      <c r="F462" s="2212" t="e">
        <f>IF('Report-M&amp;O1718'!C$18-'Report-SOF1718'!D$55&lt;=0,0,'Report-M&amp;O1718'!C$18-'Report-SOF1718'!D$55)</f>
        <v>#DIV/0!</v>
      </c>
      <c r="G462" s="2452" t="e">
        <f t="shared" si="85"/>
        <v>#DIV/0!</v>
      </c>
      <c r="H462" s="2449">
        <f>IF(A462='Data Entry - SOF'!B$2,'Data Entry - SOF'!E$64,0)</f>
        <v>0</v>
      </c>
      <c r="I462" s="1687">
        <f t="shared" si="86"/>
        <v>753870</v>
      </c>
      <c r="J462" s="2212" t="e">
        <f>IF('Report-M&amp;O1819'!C$18-'Report-SOF1819'!D$55&lt;=0,0,'Report-M&amp;O1819'!C$18-'Report-SOF1819'!D$55)</f>
        <v>#DIV/0!</v>
      </c>
      <c r="K462" s="2452" t="e">
        <f t="shared" si="87"/>
        <v>#DIV/0!</v>
      </c>
      <c r="L462" s="2449">
        <f>IF(A462='Data Entry - SOF'!B$2,'Data Entry - SOF'!G$64,0)</f>
        <v>0</v>
      </c>
      <c r="M462" s="1371">
        <f t="shared" si="88"/>
        <v>753870</v>
      </c>
      <c r="N462" s="2212" t="e">
        <f>IF('Report-M&amp;O1920'!C$18-'Report-SOF1920'!D$55&lt;=0,0,'Report-M&amp;O1920'!C$18-'Report-SOF1920'!D$55)</f>
        <v>#DIV/0!</v>
      </c>
      <c r="O462" s="2452" t="e">
        <f t="shared" si="89"/>
        <v>#DIV/0!</v>
      </c>
      <c r="P462" s="2449">
        <f>IF(A462='Data Entry - SOF'!B$2,'Data Entry - SOF'!I$64,0)</f>
        <v>0</v>
      </c>
      <c r="Q462" s="1687">
        <f t="shared" si="84"/>
        <v>753870</v>
      </c>
      <c r="R462" s="2212" t="e">
        <f>IF('Report-M&amp;O2021'!C$18-'Report-SOF2021'!D$55&lt;=0,0,'Report-M&amp;O2021'!C$18-'Report-SOF2021'!D$55)</f>
        <v>#DIV/0!</v>
      </c>
      <c r="S462" s="2452" t="e">
        <f t="shared" si="90"/>
        <v>#DIV/0!</v>
      </c>
      <c r="T462" s="1708">
        <f>IF(A462='Data Entry - SOF'!B$2,'Data Entry - SOF'!K$64,0)</f>
        <v>0</v>
      </c>
      <c r="U462" s="1687">
        <f t="shared" si="94"/>
        <v>753870</v>
      </c>
      <c r="V462" s="2212" t="e">
        <f>IF('Report-M&amp;O2122'!C$18-'Report-SOF2122'!D$55&lt;=0,0,'Report-M&amp;O2122'!C$18-'Report-SOF2122'!D$55)</f>
        <v>#DIV/0!</v>
      </c>
      <c r="W462" s="2452" t="e">
        <f t="shared" si="91"/>
        <v>#DIV/0!</v>
      </c>
      <c r="X462" s="1708">
        <f>IF(A462='Data Entry - SOF'!B$2,'Data Entry - SOF'!M$64,0)</f>
        <v>0</v>
      </c>
      <c r="Y462" s="1371" t="e">
        <f t="shared" si="92"/>
        <v>#DIV/0!</v>
      </c>
      <c r="Z462" s="2212" t="e">
        <f>IF('Report-M&amp;O2223'!C$18-'Report-SOF2223'!D$55&lt;=0,0,'Report-M&amp;O2223'!C$18-'Report-SOF2223'!D$55)</f>
        <v>#DIV/0!</v>
      </c>
      <c r="AA462" s="1708">
        <f>IF(A462='Data Entry - SOF'!B$2,'Data Entry - SOF'!O$64,0)</f>
        <v>0</v>
      </c>
    </row>
    <row r="463" spans="1:27" ht="15.75">
      <c r="A463" s="1076" t="s">
        <v>2133</v>
      </c>
      <c r="B463">
        <v>6207618</v>
      </c>
      <c r="C463" s="2452" t="e">
        <f>#REF!+#REF!</f>
        <v>#REF!</v>
      </c>
      <c r="D463" s="2449">
        <f>IF(A463='Data Entry - SOF'!B$2,'Data Entry - SOF'!C$64,0)</f>
        <v>0</v>
      </c>
      <c r="E463" s="2450">
        <f t="shared" si="93"/>
        <v>6207618</v>
      </c>
      <c r="F463" s="2212" t="e">
        <f>IF('Report-M&amp;O1718'!C$18-'Report-SOF1718'!D$55&lt;=0,0,'Report-M&amp;O1718'!C$18-'Report-SOF1718'!D$55)</f>
        <v>#DIV/0!</v>
      </c>
      <c r="G463" s="2452" t="e">
        <f t="shared" si="85"/>
        <v>#DIV/0!</v>
      </c>
      <c r="H463" s="2449">
        <f>IF(A463='Data Entry - SOF'!B$2,'Data Entry - SOF'!E$64,0)</f>
        <v>0</v>
      </c>
      <c r="I463" s="1687">
        <f t="shared" si="86"/>
        <v>6207618</v>
      </c>
      <c r="J463" s="2212" t="e">
        <f>IF('Report-M&amp;O1819'!C$18-'Report-SOF1819'!D$55&lt;=0,0,'Report-M&amp;O1819'!C$18-'Report-SOF1819'!D$55)</f>
        <v>#DIV/0!</v>
      </c>
      <c r="K463" s="2452" t="e">
        <f t="shared" si="87"/>
        <v>#DIV/0!</v>
      </c>
      <c r="L463" s="2449">
        <f>IF(A463='Data Entry - SOF'!B$2,'Data Entry - SOF'!G$64,0)</f>
        <v>0</v>
      </c>
      <c r="M463" s="1371">
        <f t="shared" si="88"/>
        <v>6207618</v>
      </c>
      <c r="N463" s="2212" t="e">
        <f>IF('Report-M&amp;O1920'!C$18-'Report-SOF1920'!D$55&lt;=0,0,'Report-M&amp;O1920'!C$18-'Report-SOF1920'!D$55)</f>
        <v>#DIV/0!</v>
      </c>
      <c r="O463" s="2452" t="e">
        <f t="shared" si="89"/>
        <v>#DIV/0!</v>
      </c>
      <c r="P463" s="2449">
        <f>IF(A463='Data Entry - SOF'!B$2,'Data Entry - SOF'!I$64,0)</f>
        <v>0</v>
      </c>
      <c r="Q463" s="1687">
        <f t="shared" si="84"/>
        <v>6207618</v>
      </c>
      <c r="R463" s="2212" t="e">
        <f>IF('Report-M&amp;O2021'!C$18-'Report-SOF2021'!D$55&lt;=0,0,'Report-M&amp;O2021'!C$18-'Report-SOF2021'!D$55)</f>
        <v>#DIV/0!</v>
      </c>
      <c r="S463" s="2452" t="e">
        <f t="shared" si="90"/>
        <v>#DIV/0!</v>
      </c>
      <c r="T463" s="1708">
        <f>IF(A463='Data Entry - SOF'!B$2,'Data Entry - SOF'!K$64,0)</f>
        <v>0</v>
      </c>
      <c r="U463" s="1687">
        <f t="shared" si="94"/>
        <v>6207618</v>
      </c>
      <c r="V463" s="2212" t="e">
        <f>IF('Report-M&amp;O2122'!C$18-'Report-SOF2122'!D$55&lt;=0,0,'Report-M&amp;O2122'!C$18-'Report-SOF2122'!D$55)</f>
        <v>#DIV/0!</v>
      </c>
      <c r="W463" s="2452" t="e">
        <f t="shared" si="91"/>
        <v>#DIV/0!</v>
      </c>
      <c r="X463" s="1708">
        <f>IF(A463='Data Entry - SOF'!B$2,'Data Entry - SOF'!M$64,0)</f>
        <v>0</v>
      </c>
      <c r="Y463" s="1371" t="e">
        <f t="shared" si="92"/>
        <v>#DIV/0!</v>
      </c>
      <c r="Z463" s="2212" t="e">
        <f>IF('Report-M&amp;O2223'!C$18-'Report-SOF2223'!D$55&lt;=0,0,'Report-M&amp;O2223'!C$18-'Report-SOF2223'!D$55)</f>
        <v>#DIV/0!</v>
      </c>
      <c r="AA463" s="1708">
        <f>IF(A463='Data Entry - SOF'!B$2,'Data Entry - SOF'!O$64,0)</f>
        <v>0</v>
      </c>
    </row>
    <row r="464" spans="1:27" ht="15.75">
      <c r="A464" s="1076" t="s">
        <v>555</v>
      </c>
      <c r="B464">
        <v>640090</v>
      </c>
      <c r="C464" s="2452" t="e">
        <f>#REF!+#REF!</f>
        <v>#REF!</v>
      </c>
      <c r="D464" s="2449">
        <f>IF(A464='Data Entry - SOF'!B$2,'Data Entry - SOF'!C$64,0)</f>
        <v>0</v>
      </c>
      <c r="E464" s="2450">
        <f t="shared" si="93"/>
        <v>640090</v>
      </c>
      <c r="F464" s="2212" t="e">
        <f>IF('Report-M&amp;O1718'!C$18-'Report-SOF1718'!D$55&lt;=0,0,'Report-M&amp;O1718'!C$18-'Report-SOF1718'!D$55)</f>
        <v>#DIV/0!</v>
      </c>
      <c r="G464" s="2452" t="e">
        <f t="shared" si="85"/>
        <v>#DIV/0!</v>
      </c>
      <c r="H464" s="2449">
        <f>IF(A464='Data Entry - SOF'!B$2,'Data Entry - SOF'!E$64,0)</f>
        <v>0</v>
      </c>
      <c r="I464" s="1687">
        <f t="shared" si="86"/>
        <v>640090</v>
      </c>
      <c r="J464" s="2212" t="e">
        <f>IF('Report-M&amp;O1819'!C$18-'Report-SOF1819'!D$55&lt;=0,0,'Report-M&amp;O1819'!C$18-'Report-SOF1819'!D$55)</f>
        <v>#DIV/0!</v>
      </c>
      <c r="K464" s="2452" t="e">
        <f t="shared" si="87"/>
        <v>#DIV/0!</v>
      </c>
      <c r="L464" s="2449">
        <f>IF(A464='Data Entry - SOF'!B$2,'Data Entry - SOF'!G$64,0)</f>
        <v>0</v>
      </c>
      <c r="M464" s="1371">
        <f t="shared" si="88"/>
        <v>640090</v>
      </c>
      <c r="N464" s="2212" t="e">
        <f>IF('Report-M&amp;O1920'!C$18-'Report-SOF1920'!D$55&lt;=0,0,'Report-M&amp;O1920'!C$18-'Report-SOF1920'!D$55)</f>
        <v>#DIV/0!</v>
      </c>
      <c r="O464" s="2452" t="e">
        <f t="shared" si="89"/>
        <v>#DIV/0!</v>
      </c>
      <c r="P464" s="2449">
        <f>IF(A464='Data Entry - SOF'!B$2,'Data Entry - SOF'!I$64,0)</f>
        <v>0</v>
      </c>
      <c r="Q464" s="1687">
        <f t="shared" si="84"/>
        <v>640090</v>
      </c>
      <c r="R464" s="2212" t="e">
        <f>IF('Report-M&amp;O2021'!C$18-'Report-SOF2021'!D$55&lt;=0,0,'Report-M&amp;O2021'!C$18-'Report-SOF2021'!D$55)</f>
        <v>#DIV/0!</v>
      </c>
      <c r="S464" s="2452" t="e">
        <f t="shared" si="90"/>
        <v>#DIV/0!</v>
      </c>
      <c r="T464" s="1708">
        <f>IF(A464='Data Entry - SOF'!B$2,'Data Entry - SOF'!K$64,0)</f>
        <v>0</v>
      </c>
      <c r="U464" s="1687">
        <f t="shared" si="94"/>
        <v>640090</v>
      </c>
      <c r="V464" s="2212" t="e">
        <f>IF('Report-M&amp;O2122'!C$18-'Report-SOF2122'!D$55&lt;=0,0,'Report-M&amp;O2122'!C$18-'Report-SOF2122'!D$55)</f>
        <v>#DIV/0!</v>
      </c>
      <c r="W464" s="2452" t="e">
        <f t="shared" si="91"/>
        <v>#DIV/0!</v>
      </c>
      <c r="X464" s="1708">
        <f>IF(A464='Data Entry - SOF'!B$2,'Data Entry - SOF'!M$64,0)</f>
        <v>0</v>
      </c>
      <c r="Y464" s="1371" t="e">
        <f t="shared" si="92"/>
        <v>#DIV/0!</v>
      </c>
      <c r="Z464" s="2212" t="e">
        <f>IF('Report-M&amp;O2223'!C$18-'Report-SOF2223'!D$55&lt;=0,0,'Report-M&amp;O2223'!C$18-'Report-SOF2223'!D$55)</f>
        <v>#DIV/0!</v>
      </c>
      <c r="AA464" s="1708">
        <f>IF(A464='Data Entry - SOF'!B$2,'Data Entry - SOF'!O$64,0)</f>
        <v>0</v>
      </c>
    </row>
    <row r="465" spans="1:27" ht="15.75">
      <c r="A465" s="1076" t="s">
        <v>49</v>
      </c>
      <c r="B465">
        <v>1998964</v>
      </c>
      <c r="C465" s="2452" t="e">
        <f>#REF!+#REF!</f>
        <v>#REF!</v>
      </c>
      <c r="D465" s="2449">
        <f>IF(A465='Data Entry - SOF'!B$2,'Data Entry - SOF'!C$64,0)</f>
        <v>0</v>
      </c>
      <c r="E465" s="2450">
        <f t="shared" si="93"/>
        <v>1998964</v>
      </c>
      <c r="F465" s="2212" t="e">
        <f>IF('Report-M&amp;O1718'!C$18-'Report-SOF1718'!D$55&lt;=0,0,'Report-M&amp;O1718'!C$18-'Report-SOF1718'!D$55)</f>
        <v>#DIV/0!</v>
      </c>
      <c r="G465" s="2452" t="e">
        <f t="shared" si="85"/>
        <v>#DIV/0!</v>
      </c>
      <c r="H465" s="2449">
        <f>IF(A465='Data Entry - SOF'!B$2,'Data Entry - SOF'!E$64,0)</f>
        <v>0</v>
      </c>
      <c r="I465" s="1687">
        <f t="shared" si="86"/>
        <v>1998964</v>
      </c>
      <c r="J465" s="2212" t="e">
        <f>IF('Report-M&amp;O1819'!C$18-'Report-SOF1819'!D$55&lt;=0,0,'Report-M&amp;O1819'!C$18-'Report-SOF1819'!D$55)</f>
        <v>#DIV/0!</v>
      </c>
      <c r="K465" s="2452" t="e">
        <f t="shared" si="87"/>
        <v>#DIV/0!</v>
      </c>
      <c r="L465" s="2449">
        <f>IF(A465='Data Entry - SOF'!B$2,'Data Entry - SOF'!G$64,0)</f>
        <v>0</v>
      </c>
      <c r="M465" s="1371">
        <f t="shared" si="88"/>
        <v>1998964</v>
      </c>
      <c r="N465" s="2212" t="e">
        <f>IF('Report-M&amp;O1920'!C$18-'Report-SOF1920'!D$55&lt;=0,0,'Report-M&amp;O1920'!C$18-'Report-SOF1920'!D$55)</f>
        <v>#DIV/0!</v>
      </c>
      <c r="O465" s="2452" t="e">
        <f t="shared" si="89"/>
        <v>#DIV/0!</v>
      </c>
      <c r="P465" s="2449">
        <f>IF(A465='Data Entry - SOF'!B$2,'Data Entry - SOF'!I$64,0)</f>
        <v>0</v>
      </c>
      <c r="Q465" s="1687">
        <f t="shared" si="84"/>
        <v>1998964</v>
      </c>
      <c r="R465" s="2212" t="e">
        <f>IF('Report-M&amp;O2021'!C$18-'Report-SOF2021'!D$55&lt;=0,0,'Report-M&amp;O2021'!C$18-'Report-SOF2021'!D$55)</f>
        <v>#DIV/0!</v>
      </c>
      <c r="S465" s="2452" t="e">
        <f t="shared" si="90"/>
        <v>#DIV/0!</v>
      </c>
      <c r="T465" s="1708">
        <f>IF(A465='Data Entry - SOF'!B$2,'Data Entry - SOF'!K$64,0)</f>
        <v>0</v>
      </c>
      <c r="U465" s="1687">
        <f t="shared" si="94"/>
        <v>1998964</v>
      </c>
      <c r="V465" s="2212" t="e">
        <f>IF('Report-M&amp;O2122'!C$18-'Report-SOF2122'!D$55&lt;=0,0,'Report-M&amp;O2122'!C$18-'Report-SOF2122'!D$55)</f>
        <v>#DIV/0!</v>
      </c>
      <c r="W465" s="2452" t="e">
        <f t="shared" si="91"/>
        <v>#DIV/0!</v>
      </c>
      <c r="X465" s="1708">
        <f>IF(A465='Data Entry - SOF'!B$2,'Data Entry - SOF'!M$64,0)</f>
        <v>0</v>
      </c>
      <c r="Y465" s="1371" t="e">
        <f t="shared" si="92"/>
        <v>#DIV/0!</v>
      </c>
      <c r="Z465" s="2212" t="e">
        <f>IF('Report-M&amp;O2223'!C$18-'Report-SOF2223'!D$55&lt;=0,0,'Report-M&amp;O2223'!C$18-'Report-SOF2223'!D$55)</f>
        <v>#DIV/0!</v>
      </c>
      <c r="AA465" s="1708">
        <f>IF(A465='Data Entry - SOF'!B$2,'Data Entry - SOF'!O$64,0)</f>
        <v>0</v>
      </c>
    </row>
    <row r="466" spans="1:27" ht="15.75">
      <c r="A466" s="1076" t="s">
        <v>173</v>
      </c>
      <c r="B466">
        <v>86309</v>
      </c>
      <c r="C466" s="2452" t="e">
        <f>#REF!+#REF!</f>
        <v>#REF!</v>
      </c>
      <c r="D466" s="2449">
        <f>IF(A466='Data Entry - SOF'!B$2,'Data Entry - SOF'!C$64,0)</f>
        <v>0</v>
      </c>
      <c r="E466" s="2450">
        <f t="shared" si="93"/>
        <v>86309</v>
      </c>
      <c r="F466" s="2212" t="e">
        <f>IF('Report-M&amp;O1718'!C$18-'Report-SOF1718'!D$55&lt;=0,0,'Report-M&amp;O1718'!C$18-'Report-SOF1718'!D$55)</f>
        <v>#DIV/0!</v>
      </c>
      <c r="G466" s="2452" t="e">
        <f t="shared" si="85"/>
        <v>#DIV/0!</v>
      </c>
      <c r="H466" s="2449">
        <f>IF(A466='Data Entry - SOF'!B$2,'Data Entry - SOF'!E$64,0)</f>
        <v>0</v>
      </c>
      <c r="I466" s="1687">
        <f t="shared" si="86"/>
        <v>86309</v>
      </c>
      <c r="J466" s="2212" t="e">
        <f>IF('Report-M&amp;O1819'!C$18-'Report-SOF1819'!D$55&lt;=0,0,'Report-M&amp;O1819'!C$18-'Report-SOF1819'!D$55)</f>
        <v>#DIV/0!</v>
      </c>
      <c r="K466" s="2452" t="e">
        <f t="shared" si="87"/>
        <v>#DIV/0!</v>
      </c>
      <c r="L466" s="2449">
        <f>IF(A466='Data Entry - SOF'!B$2,'Data Entry - SOF'!G$64,0)</f>
        <v>0</v>
      </c>
      <c r="M466" s="1371">
        <f t="shared" si="88"/>
        <v>86309</v>
      </c>
      <c r="N466" s="2212" t="e">
        <f>IF('Report-M&amp;O1920'!C$18-'Report-SOF1920'!D$55&lt;=0,0,'Report-M&amp;O1920'!C$18-'Report-SOF1920'!D$55)</f>
        <v>#DIV/0!</v>
      </c>
      <c r="O466" s="2452" t="e">
        <f t="shared" si="89"/>
        <v>#DIV/0!</v>
      </c>
      <c r="P466" s="2449">
        <f>IF(A466='Data Entry - SOF'!B$2,'Data Entry - SOF'!I$64,0)</f>
        <v>0</v>
      </c>
      <c r="Q466" s="1687">
        <f t="shared" si="84"/>
        <v>86309</v>
      </c>
      <c r="R466" s="2212" t="e">
        <f>IF('Report-M&amp;O2021'!C$18-'Report-SOF2021'!D$55&lt;=0,0,'Report-M&amp;O2021'!C$18-'Report-SOF2021'!D$55)</f>
        <v>#DIV/0!</v>
      </c>
      <c r="S466" s="2452" t="e">
        <f t="shared" si="90"/>
        <v>#DIV/0!</v>
      </c>
      <c r="T466" s="1708">
        <f>IF(A466='Data Entry - SOF'!B$2,'Data Entry - SOF'!K$64,0)</f>
        <v>0</v>
      </c>
      <c r="U466" s="1687">
        <f t="shared" si="94"/>
        <v>86309</v>
      </c>
      <c r="V466" s="2212" t="e">
        <f>IF('Report-M&amp;O2122'!C$18-'Report-SOF2122'!D$55&lt;=0,0,'Report-M&amp;O2122'!C$18-'Report-SOF2122'!D$55)</f>
        <v>#DIV/0!</v>
      </c>
      <c r="W466" s="2452" t="e">
        <f t="shared" si="91"/>
        <v>#DIV/0!</v>
      </c>
      <c r="X466" s="1708">
        <f>IF(A466='Data Entry - SOF'!B$2,'Data Entry - SOF'!M$64,0)</f>
        <v>0</v>
      </c>
      <c r="Y466" s="1371" t="e">
        <f t="shared" si="92"/>
        <v>#DIV/0!</v>
      </c>
      <c r="Z466" s="2212" t="e">
        <f>IF('Report-M&amp;O2223'!C$18-'Report-SOF2223'!D$55&lt;=0,0,'Report-M&amp;O2223'!C$18-'Report-SOF2223'!D$55)</f>
        <v>#DIV/0!</v>
      </c>
      <c r="AA466" s="1708">
        <f>IF(A466='Data Entry - SOF'!B$2,'Data Entry - SOF'!O$64,0)</f>
        <v>0</v>
      </c>
    </row>
    <row r="467" spans="1:27" ht="15.75">
      <c r="A467" s="1076" t="s">
        <v>567</v>
      </c>
      <c r="B467">
        <v>91091</v>
      </c>
      <c r="C467" s="2452" t="e">
        <f>#REF!+#REF!</f>
        <v>#REF!</v>
      </c>
      <c r="D467" s="2449">
        <f>IF(A467='Data Entry - SOF'!B$2,'Data Entry - SOF'!C$64,0)</f>
        <v>0</v>
      </c>
      <c r="E467" s="2450">
        <f t="shared" si="93"/>
        <v>91091</v>
      </c>
      <c r="F467" s="2212" t="e">
        <f>IF('Report-M&amp;O1718'!C$18-'Report-SOF1718'!D$55&lt;=0,0,'Report-M&amp;O1718'!C$18-'Report-SOF1718'!D$55)</f>
        <v>#DIV/0!</v>
      </c>
      <c r="G467" s="2452" t="e">
        <f t="shared" si="85"/>
        <v>#DIV/0!</v>
      </c>
      <c r="H467" s="2449">
        <f>IF(A467='Data Entry - SOF'!B$2,'Data Entry - SOF'!E$64,0)</f>
        <v>0</v>
      </c>
      <c r="I467" s="1687">
        <f t="shared" si="86"/>
        <v>91091</v>
      </c>
      <c r="J467" s="2212" t="e">
        <f>IF('Report-M&amp;O1819'!C$18-'Report-SOF1819'!D$55&lt;=0,0,'Report-M&amp;O1819'!C$18-'Report-SOF1819'!D$55)</f>
        <v>#DIV/0!</v>
      </c>
      <c r="K467" s="2452" t="e">
        <f t="shared" si="87"/>
        <v>#DIV/0!</v>
      </c>
      <c r="L467" s="2449">
        <f>IF(A467='Data Entry - SOF'!B$2,'Data Entry - SOF'!G$64,0)</f>
        <v>0</v>
      </c>
      <c r="M467" s="1371">
        <f t="shared" si="88"/>
        <v>91091</v>
      </c>
      <c r="N467" s="2212" t="e">
        <f>IF('Report-M&amp;O1920'!C$18-'Report-SOF1920'!D$55&lt;=0,0,'Report-M&amp;O1920'!C$18-'Report-SOF1920'!D$55)</f>
        <v>#DIV/0!</v>
      </c>
      <c r="O467" s="2452" t="e">
        <f t="shared" si="89"/>
        <v>#DIV/0!</v>
      </c>
      <c r="P467" s="2449">
        <f>IF(A467='Data Entry - SOF'!B$2,'Data Entry - SOF'!I$64,0)</f>
        <v>0</v>
      </c>
      <c r="Q467" s="1687">
        <f t="shared" si="84"/>
        <v>91091</v>
      </c>
      <c r="R467" s="2212" t="e">
        <f>IF('Report-M&amp;O2021'!C$18-'Report-SOF2021'!D$55&lt;=0,0,'Report-M&amp;O2021'!C$18-'Report-SOF2021'!D$55)</f>
        <v>#DIV/0!</v>
      </c>
      <c r="S467" s="2452" t="e">
        <f t="shared" si="90"/>
        <v>#DIV/0!</v>
      </c>
      <c r="T467" s="1708">
        <f>IF(A467='Data Entry - SOF'!B$2,'Data Entry - SOF'!K$64,0)</f>
        <v>0</v>
      </c>
      <c r="U467" s="1687">
        <f t="shared" si="94"/>
        <v>91091</v>
      </c>
      <c r="V467" s="2212" t="e">
        <f>IF('Report-M&amp;O2122'!C$18-'Report-SOF2122'!D$55&lt;=0,0,'Report-M&amp;O2122'!C$18-'Report-SOF2122'!D$55)</f>
        <v>#DIV/0!</v>
      </c>
      <c r="W467" s="2452" t="e">
        <f t="shared" si="91"/>
        <v>#DIV/0!</v>
      </c>
      <c r="X467" s="1708">
        <f>IF(A467='Data Entry - SOF'!B$2,'Data Entry - SOF'!M$64,0)</f>
        <v>0</v>
      </c>
      <c r="Y467" s="1371" t="e">
        <f t="shared" si="92"/>
        <v>#DIV/0!</v>
      </c>
      <c r="Z467" s="2212" t="e">
        <f>IF('Report-M&amp;O2223'!C$18-'Report-SOF2223'!D$55&lt;=0,0,'Report-M&amp;O2223'!C$18-'Report-SOF2223'!D$55)</f>
        <v>#DIV/0!</v>
      </c>
      <c r="AA467" s="1708">
        <f>IF(A467='Data Entry - SOF'!B$2,'Data Entry - SOF'!O$64,0)</f>
        <v>0</v>
      </c>
    </row>
    <row r="468" spans="1:27" ht="15.75">
      <c r="A468" s="1076" t="s">
        <v>1760</v>
      </c>
      <c r="B468">
        <v>6649795</v>
      </c>
      <c r="C468" s="2452" t="e">
        <f>#REF!+#REF!</f>
        <v>#REF!</v>
      </c>
      <c r="D468" s="2449">
        <f>IF(A468='Data Entry - SOF'!B$2,'Data Entry - SOF'!C$64,0)</f>
        <v>0</v>
      </c>
      <c r="E468" s="2450">
        <f t="shared" si="93"/>
        <v>6649795</v>
      </c>
      <c r="F468" s="2212" t="e">
        <f>IF('Report-M&amp;O1718'!C$18-'Report-SOF1718'!D$55&lt;=0,0,'Report-M&amp;O1718'!C$18-'Report-SOF1718'!D$55)</f>
        <v>#DIV/0!</v>
      </c>
      <c r="G468" s="2452" t="e">
        <f t="shared" si="85"/>
        <v>#DIV/0!</v>
      </c>
      <c r="H468" s="2449">
        <f>IF(A468='Data Entry - SOF'!B$2,'Data Entry - SOF'!E$64,0)</f>
        <v>0</v>
      </c>
      <c r="I468" s="1687">
        <f t="shared" si="86"/>
        <v>6649795</v>
      </c>
      <c r="J468" s="2212" t="e">
        <f>IF('Report-M&amp;O1819'!C$18-'Report-SOF1819'!D$55&lt;=0,0,'Report-M&amp;O1819'!C$18-'Report-SOF1819'!D$55)</f>
        <v>#DIV/0!</v>
      </c>
      <c r="K468" s="2452" t="e">
        <f t="shared" si="87"/>
        <v>#DIV/0!</v>
      </c>
      <c r="L468" s="2449">
        <f>IF(A468='Data Entry - SOF'!B$2,'Data Entry - SOF'!G$64,0)</f>
        <v>0</v>
      </c>
      <c r="M468" s="1371">
        <f t="shared" si="88"/>
        <v>6649795</v>
      </c>
      <c r="N468" s="2212" t="e">
        <f>IF('Report-M&amp;O1920'!C$18-'Report-SOF1920'!D$55&lt;=0,0,'Report-M&amp;O1920'!C$18-'Report-SOF1920'!D$55)</f>
        <v>#DIV/0!</v>
      </c>
      <c r="O468" s="2452" t="e">
        <f t="shared" si="89"/>
        <v>#DIV/0!</v>
      </c>
      <c r="P468" s="2449">
        <f>IF(A468='Data Entry - SOF'!B$2,'Data Entry - SOF'!I$64,0)</f>
        <v>0</v>
      </c>
      <c r="Q468" s="1687">
        <f t="shared" si="84"/>
        <v>6649795</v>
      </c>
      <c r="R468" s="2212" t="e">
        <f>IF('Report-M&amp;O2021'!C$18-'Report-SOF2021'!D$55&lt;=0,0,'Report-M&amp;O2021'!C$18-'Report-SOF2021'!D$55)</f>
        <v>#DIV/0!</v>
      </c>
      <c r="S468" s="2452" t="e">
        <f t="shared" si="90"/>
        <v>#DIV/0!</v>
      </c>
      <c r="T468" s="1708">
        <f>IF(A468='Data Entry - SOF'!B$2,'Data Entry - SOF'!K$64,0)</f>
        <v>0</v>
      </c>
      <c r="U468" s="1687">
        <f t="shared" si="94"/>
        <v>6649795</v>
      </c>
      <c r="V468" s="2212" t="e">
        <f>IF('Report-M&amp;O2122'!C$18-'Report-SOF2122'!D$55&lt;=0,0,'Report-M&amp;O2122'!C$18-'Report-SOF2122'!D$55)</f>
        <v>#DIV/0!</v>
      </c>
      <c r="W468" s="2452" t="e">
        <f t="shared" si="91"/>
        <v>#DIV/0!</v>
      </c>
      <c r="X468" s="1708">
        <f>IF(A468='Data Entry - SOF'!B$2,'Data Entry - SOF'!M$64,0)</f>
        <v>0</v>
      </c>
      <c r="Y468" s="1371" t="e">
        <f t="shared" si="92"/>
        <v>#DIV/0!</v>
      </c>
      <c r="Z468" s="2212" t="e">
        <f>IF('Report-M&amp;O2223'!C$18-'Report-SOF2223'!D$55&lt;=0,0,'Report-M&amp;O2223'!C$18-'Report-SOF2223'!D$55)</f>
        <v>#DIV/0!</v>
      </c>
      <c r="AA468" s="1708">
        <f>IF(A468='Data Entry - SOF'!B$2,'Data Entry - SOF'!O$64,0)</f>
        <v>0</v>
      </c>
    </row>
    <row r="469" spans="1:27" ht="15.75">
      <c r="A469" s="1076" t="s">
        <v>568</v>
      </c>
      <c r="B469">
        <v>753663</v>
      </c>
      <c r="C469" s="2452" t="e">
        <f>#REF!+#REF!</f>
        <v>#REF!</v>
      </c>
      <c r="D469" s="2449">
        <f>IF(A469='Data Entry - SOF'!B$2,'Data Entry - SOF'!C$64,0)</f>
        <v>0</v>
      </c>
      <c r="E469" s="2450">
        <f t="shared" si="93"/>
        <v>753663</v>
      </c>
      <c r="F469" s="2212" t="e">
        <f>IF('Report-M&amp;O1718'!C$18-'Report-SOF1718'!D$55&lt;=0,0,'Report-M&amp;O1718'!C$18-'Report-SOF1718'!D$55)</f>
        <v>#DIV/0!</v>
      </c>
      <c r="G469" s="2452" t="e">
        <f t="shared" si="85"/>
        <v>#DIV/0!</v>
      </c>
      <c r="H469" s="2449">
        <f>IF(A469='Data Entry - SOF'!B$2,'Data Entry - SOF'!E$64,0)</f>
        <v>0</v>
      </c>
      <c r="I469" s="1687">
        <f t="shared" si="86"/>
        <v>753663</v>
      </c>
      <c r="J469" s="2212" t="e">
        <f>IF('Report-M&amp;O1819'!C$18-'Report-SOF1819'!D$55&lt;=0,0,'Report-M&amp;O1819'!C$18-'Report-SOF1819'!D$55)</f>
        <v>#DIV/0!</v>
      </c>
      <c r="K469" s="2452" t="e">
        <f t="shared" si="87"/>
        <v>#DIV/0!</v>
      </c>
      <c r="L469" s="2449">
        <f>IF(A469='Data Entry - SOF'!B$2,'Data Entry - SOF'!G$64,0)</f>
        <v>0</v>
      </c>
      <c r="M469" s="1371">
        <f t="shared" si="88"/>
        <v>753663</v>
      </c>
      <c r="N469" s="2212" t="e">
        <f>IF('Report-M&amp;O1920'!C$18-'Report-SOF1920'!D$55&lt;=0,0,'Report-M&amp;O1920'!C$18-'Report-SOF1920'!D$55)</f>
        <v>#DIV/0!</v>
      </c>
      <c r="O469" s="2452" t="e">
        <f t="shared" si="89"/>
        <v>#DIV/0!</v>
      </c>
      <c r="P469" s="2449">
        <f>IF(A469='Data Entry - SOF'!B$2,'Data Entry - SOF'!I$64,0)</f>
        <v>0</v>
      </c>
      <c r="Q469" s="1687">
        <f t="shared" si="84"/>
        <v>753663</v>
      </c>
      <c r="R469" s="2212" t="e">
        <f>IF('Report-M&amp;O2021'!C$18-'Report-SOF2021'!D$55&lt;=0,0,'Report-M&amp;O2021'!C$18-'Report-SOF2021'!D$55)</f>
        <v>#DIV/0!</v>
      </c>
      <c r="S469" s="2452" t="e">
        <f t="shared" si="90"/>
        <v>#DIV/0!</v>
      </c>
      <c r="T469" s="1708">
        <f>IF(A469='Data Entry - SOF'!B$2,'Data Entry - SOF'!K$64,0)</f>
        <v>0</v>
      </c>
      <c r="U469" s="1687">
        <f t="shared" si="94"/>
        <v>753663</v>
      </c>
      <c r="V469" s="2212" t="e">
        <f>IF('Report-M&amp;O2122'!C$18-'Report-SOF2122'!D$55&lt;=0,0,'Report-M&amp;O2122'!C$18-'Report-SOF2122'!D$55)</f>
        <v>#DIV/0!</v>
      </c>
      <c r="W469" s="2452" t="e">
        <f t="shared" si="91"/>
        <v>#DIV/0!</v>
      </c>
      <c r="X469" s="1708">
        <f>IF(A469='Data Entry - SOF'!B$2,'Data Entry - SOF'!M$64,0)</f>
        <v>0</v>
      </c>
      <c r="Y469" s="1371" t="e">
        <f t="shared" si="92"/>
        <v>#DIV/0!</v>
      </c>
      <c r="Z469" s="2212" t="e">
        <f>IF('Report-M&amp;O2223'!C$18-'Report-SOF2223'!D$55&lt;=0,0,'Report-M&amp;O2223'!C$18-'Report-SOF2223'!D$55)</f>
        <v>#DIV/0!</v>
      </c>
      <c r="AA469" s="1708">
        <f>IF(A469='Data Entry - SOF'!B$2,'Data Entry - SOF'!O$64,0)</f>
        <v>0</v>
      </c>
    </row>
    <row r="470" spans="1:27" ht="15.75">
      <c r="A470" s="1076" t="s">
        <v>1733</v>
      </c>
      <c r="B470">
        <v>1214919</v>
      </c>
      <c r="C470" s="2452" t="e">
        <f>#REF!+#REF!</f>
        <v>#REF!</v>
      </c>
      <c r="D470" s="2449">
        <f>IF(A470='Data Entry - SOF'!B$2,'Data Entry - SOF'!C$64,0)</f>
        <v>0</v>
      </c>
      <c r="E470" s="2450">
        <f t="shared" si="93"/>
        <v>1214919</v>
      </c>
      <c r="F470" s="2212" t="e">
        <f>IF('Report-M&amp;O1718'!C$18-'Report-SOF1718'!D$55&lt;=0,0,'Report-M&amp;O1718'!C$18-'Report-SOF1718'!D$55)</f>
        <v>#DIV/0!</v>
      </c>
      <c r="G470" s="2452" t="e">
        <f t="shared" si="85"/>
        <v>#DIV/0!</v>
      </c>
      <c r="H470" s="2449">
        <f>IF(A470='Data Entry - SOF'!B$2,'Data Entry - SOF'!E$64,0)</f>
        <v>0</v>
      </c>
      <c r="I470" s="1687">
        <f t="shared" si="86"/>
        <v>1214919</v>
      </c>
      <c r="J470" s="2212" t="e">
        <f>IF('Report-M&amp;O1819'!C$18-'Report-SOF1819'!D$55&lt;=0,0,'Report-M&amp;O1819'!C$18-'Report-SOF1819'!D$55)</f>
        <v>#DIV/0!</v>
      </c>
      <c r="K470" s="2452" t="e">
        <f t="shared" si="87"/>
        <v>#DIV/0!</v>
      </c>
      <c r="L470" s="2449">
        <f>IF(A470='Data Entry - SOF'!B$2,'Data Entry - SOF'!G$64,0)</f>
        <v>0</v>
      </c>
      <c r="M470" s="1371">
        <f t="shared" si="88"/>
        <v>1214919</v>
      </c>
      <c r="N470" s="2212" t="e">
        <f>IF('Report-M&amp;O1920'!C$18-'Report-SOF1920'!D$55&lt;=0,0,'Report-M&amp;O1920'!C$18-'Report-SOF1920'!D$55)</f>
        <v>#DIV/0!</v>
      </c>
      <c r="O470" s="2452" t="e">
        <f t="shared" si="89"/>
        <v>#DIV/0!</v>
      </c>
      <c r="P470" s="2449">
        <f>IF(A470='Data Entry - SOF'!B$2,'Data Entry - SOF'!I$64,0)</f>
        <v>0</v>
      </c>
      <c r="Q470" s="1687">
        <f t="shared" si="84"/>
        <v>1214919</v>
      </c>
      <c r="R470" s="2212" t="e">
        <f>IF('Report-M&amp;O2021'!C$18-'Report-SOF2021'!D$55&lt;=0,0,'Report-M&amp;O2021'!C$18-'Report-SOF2021'!D$55)</f>
        <v>#DIV/0!</v>
      </c>
      <c r="S470" s="2452" t="e">
        <f t="shared" si="90"/>
        <v>#DIV/0!</v>
      </c>
      <c r="T470" s="1708">
        <f>IF(A470='Data Entry - SOF'!B$2,'Data Entry - SOF'!K$64,0)</f>
        <v>0</v>
      </c>
      <c r="U470" s="1687">
        <f t="shared" si="94"/>
        <v>1214919</v>
      </c>
      <c r="V470" s="2212" t="e">
        <f>IF('Report-M&amp;O2122'!C$18-'Report-SOF2122'!D$55&lt;=0,0,'Report-M&amp;O2122'!C$18-'Report-SOF2122'!D$55)</f>
        <v>#DIV/0!</v>
      </c>
      <c r="W470" s="2452" t="e">
        <f t="shared" si="91"/>
        <v>#DIV/0!</v>
      </c>
      <c r="X470" s="1708">
        <f>IF(A470='Data Entry - SOF'!B$2,'Data Entry - SOF'!M$64,0)</f>
        <v>0</v>
      </c>
      <c r="Y470" s="1371" t="e">
        <f t="shared" si="92"/>
        <v>#DIV/0!</v>
      </c>
      <c r="Z470" s="2212" t="e">
        <f>IF('Report-M&amp;O2223'!C$18-'Report-SOF2223'!D$55&lt;=0,0,'Report-M&amp;O2223'!C$18-'Report-SOF2223'!D$55)</f>
        <v>#DIV/0!</v>
      </c>
      <c r="AA470" s="1708">
        <f>IF(A470='Data Entry - SOF'!B$2,'Data Entry - SOF'!O$64,0)</f>
        <v>0</v>
      </c>
    </row>
    <row r="471" spans="1:27" ht="15.75">
      <c r="A471" s="1076" t="s">
        <v>569</v>
      </c>
      <c r="B471">
        <v>74538</v>
      </c>
      <c r="C471" s="2452" t="e">
        <f>#REF!+#REF!</f>
        <v>#REF!</v>
      </c>
      <c r="D471" s="2449">
        <f>IF(A471='Data Entry - SOF'!B$2,'Data Entry - SOF'!C$64,0)</f>
        <v>0</v>
      </c>
      <c r="E471" s="2450">
        <f t="shared" si="93"/>
        <v>74538</v>
      </c>
      <c r="F471" s="2212" t="e">
        <f>IF('Report-M&amp;O1718'!C$18-'Report-SOF1718'!D$55&lt;=0,0,'Report-M&amp;O1718'!C$18-'Report-SOF1718'!D$55)</f>
        <v>#DIV/0!</v>
      </c>
      <c r="G471" s="2452" t="e">
        <f t="shared" si="85"/>
        <v>#DIV/0!</v>
      </c>
      <c r="H471" s="2449">
        <f>IF(A471='Data Entry - SOF'!B$2,'Data Entry - SOF'!E$64,0)</f>
        <v>0</v>
      </c>
      <c r="I471" s="1687">
        <f t="shared" si="86"/>
        <v>74538</v>
      </c>
      <c r="J471" s="2212" t="e">
        <f>IF('Report-M&amp;O1819'!C$18-'Report-SOF1819'!D$55&lt;=0,0,'Report-M&amp;O1819'!C$18-'Report-SOF1819'!D$55)</f>
        <v>#DIV/0!</v>
      </c>
      <c r="K471" s="2452" t="e">
        <f t="shared" si="87"/>
        <v>#DIV/0!</v>
      </c>
      <c r="L471" s="2449">
        <f>IF(A471='Data Entry - SOF'!B$2,'Data Entry - SOF'!G$64,0)</f>
        <v>0</v>
      </c>
      <c r="M471" s="1371">
        <f t="shared" si="88"/>
        <v>74538</v>
      </c>
      <c r="N471" s="2212" t="e">
        <f>IF('Report-M&amp;O1920'!C$18-'Report-SOF1920'!D$55&lt;=0,0,'Report-M&amp;O1920'!C$18-'Report-SOF1920'!D$55)</f>
        <v>#DIV/0!</v>
      </c>
      <c r="O471" s="2452" t="e">
        <f t="shared" si="89"/>
        <v>#DIV/0!</v>
      </c>
      <c r="P471" s="2449">
        <f>IF(A471='Data Entry - SOF'!B$2,'Data Entry - SOF'!I$64,0)</f>
        <v>0</v>
      </c>
      <c r="Q471" s="1687">
        <f t="shared" si="84"/>
        <v>74538</v>
      </c>
      <c r="R471" s="2212" t="e">
        <f>IF('Report-M&amp;O2021'!C$18-'Report-SOF2021'!D$55&lt;=0,0,'Report-M&amp;O2021'!C$18-'Report-SOF2021'!D$55)</f>
        <v>#DIV/0!</v>
      </c>
      <c r="S471" s="2452" t="e">
        <f t="shared" si="90"/>
        <v>#DIV/0!</v>
      </c>
      <c r="T471" s="1708">
        <f>IF(A471='Data Entry - SOF'!B$2,'Data Entry - SOF'!K$64,0)</f>
        <v>0</v>
      </c>
      <c r="U471" s="1687">
        <f t="shared" si="94"/>
        <v>74538</v>
      </c>
      <c r="V471" s="2212" t="e">
        <f>IF('Report-M&amp;O2122'!C$18-'Report-SOF2122'!D$55&lt;=0,0,'Report-M&amp;O2122'!C$18-'Report-SOF2122'!D$55)</f>
        <v>#DIV/0!</v>
      </c>
      <c r="W471" s="2452" t="e">
        <f t="shared" si="91"/>
        <v>#DIV/0!</v>
      </c>
      <c r="X471" s="1708">
        <f>IF(A471='Data Entry - SOF'!B$2,'Data Entry - SOF'!M$64,0)</f>
        <v>0</v>
      </c>
      <c r="Y471" s="1371" t="e">
        <f t="shared" si="92"/>
        <v>#DIV/0!</v>
      </c>
      <c r="Z471" s="2212" t="e">
        <f>IF('Report-M&amp;O2223'!C$18-'Report-SOF2223'!D$55&lt;=0,0,'Report-M&amp;O2223'!C$18-'Report-SOF2223'!D$55)</f>
        <v>#DIV/0!</v>
      </c>
      <c r="AA471" s="1708">
        <f>IF(A471='Data Entry - SOF'!B$2,'Data Entry - SOF'!O$64,0)</f>
        <v>0</v>
      </c>
    </row>
    <row r="472" spans="1:27" ht="15.75">
      <c r="A472" s="1076" t="s">
        <v>1761</v>
      </c>
      <c r="B472">
        <v>1720489</v>
      </c>
      <c r="C472" s="2452" t="e">
        <f>#REF!+#REF!</f>
        <v>#REF!</v>
      </c>
      <c r="D472" s="2449">
        <f>IF(A472='Data Entry - SOF'!B$2,'Data Entry - SOF'!C$64,0)</f>
        <v>0</v>
      </c>
      <c r="E472" s="2450">
        <f t="shared" si="93"/>
        <v>1720489</v>
      </c>
      <c r="F472" s="2212" t="e">
        <f>IF('Report-M&amp;O1718'!C$18-'Report-SOF1718'!D$55&lt;=0,0,'Report-M&amp;O1718'!C$18-'Report-SOF1718'!D$55)</f>
        <v>#DIV/0!</v>
      </c>
      <c r="G472" s="2452" t="e">
        <f t="shared" si="85"/>
        <v>#DIV/0!</v>
      </c>
      <c r="H472" s="2449">
        <f>IF(A472='Data Entry - SOF'!B$2,'Data Entry - SOF'!E$64,0)</f>
        <v>0</v>
      </c>
      <c r="I472" s="1687">
        <f t="shared" si="86"/>
        <v>1720489</v>
      </c>
      <c r="J472" s="2212" t="e">
        <f>IF('Report-M&amp;O1819'!C$18-'Report-SOF1819'!D$55&lt;=0,0,'Report-M&amp;O1819'!C$18-'Report-SOF1819'!D$55)</f>
        <v>#DIV/0!</v>
      </c>
      <c r="K472" s="2452" t="e">
        <f t="shared" si="87"/>
        <v>#DIV/0!</v>
      </c>
      <c r="L472" s="2449">
        <f>IF(A472='Data Entry - SOF'!B$2,'Data Entry - SOF'!G$64,0)</f>
        <v>0</v>
      </c>
      <c r="M472" s="1371">
        <f t="shared" si="88"/>
        <v>1720489</v>
      </c>
      <c r="N472" s="2212" t="e">
        <f>IF('Report-M&amp;O1920'!C$18-'Report-SOF1920'!D$55&lt;=0,0,'Report-M&amp;O1920'!C$18-'Report-SOF1920'!D$55)</f>
        <v>#DIV/0!</v>
      </c>
      <c r="O472" s="2452" t="e">
        <f t="shared" si="89"/>
        <v>#DIV/0!</v>
      </c>
      <c r="P472" s="2449">
        <f>IF(A472='Data Entry - SOF'!B$2,'Data Entry - SOF'!I$64,0)</f>
        <v>0</v>
      </c>
      <c r="Q472" s="1687">
        <f t="shared" si="84"/>
        <v>1720489</v>
      </c>
      <c r="R472" s="2212" t="e">
        <f>IF('Report-M&amp;O2021'!C$18-'Report-SOF2021'!D$55&lt;=0,0,'Report-M&amp;O2021'!C$18-'Report-SOF2021'!D$55)</f>
        <v>#DIV/0!</v>
      </c>
      <c r="S472" s="2452" t="e">
        <f t="shared" si="90"/>
        <v>#DIV/0!</v>
      </c>
      <c r="T472" s="1708">
        <f>IF(A472='Data Entry - SOF'!B$2,'Data Entry - SOF'!K$64,0)</f>
        <v>0</v>
      </c>
      <c r="U472" s="1687">
        <f t="shared" si="94"/>
        <v>1720489</v>
      </c>
      <c r="V472" s="2212" t="e">
        <f>IF('Report-M&amp;O2122'!C$18-'Report-SOF2122'!D$55&lt;=0,0,'Report-M&amp;O2122'!C$18-'Report-SOF2122'!D$55)</f>
        <v>#DIV/0!</v>
      </c>
      <c r="W472" s="2452" t="e">
        <f t="shared" si="91"/>
        <v>#DIV/0!</v>
      </c>
      <c r="X472" s="1708">
        <f>IF(A472='Data Entry - SOF'!B$2,'Data Entry - SOF'!M$64,0)</f>
        <v>0</v>
      </c>
      <c r="Y472" s="1371" t="e">
        <f t="shared" si="92"/>
        <v>#DIV/0!</v>
      </c>
      <c r="Z472" s="2212" t="e">
        <f>IF('Report-M&amp;O2223'!C$18-'Report-SOF2223'!D$55&lt;=0,0,'Report-M&amp;O2223'!C$18-'Report-SOF2223'!D$55)</f>
        <v>#DIV/0!</v>
      </c>
      <c r="AA472" s="1708">
        <f>IF(A472='Data Entry - SOF'!B$2,'Data Entry - SOF'!O$64,0)</f>
        <v>0</v>
      </c>
    </row>
    <row r="473" spans="1:27" ht="15.75">
      <c r="A473" s="1076" t="s">
        <v>1762</v>
      </c>
      <c r="B473">
        <v>23189647</v>
      </c>
      <c r="C473" s="2452" t="e">
        <f>#REF!+#REF!</f>
        <v>#REF!</v>
      </c>
      <c r="D473" s="2449">
        <f>IF(A473='Data Entry - SOF'!B$2,'Data Entry - SOF'!C$64,0)</f>
        <v>0</v>
      </c>
      <c r="E473" s="2450">
        <f t="shared" si="93"/>
        <v>23189647</v>
      </c>
      <c r="F473" s="2212" t="e">
        <f>IF('Report-M&amp;O1718'!C$18-'Report-SOF1718'!D$55&lt;=0,0,'Report-M&amp;O1718'!C$18-'Report-SOF1718'!D$55)</f>
        <v>#DIV/0!</v>
      </c>
      <c r="G473" s="2452" t="e">
        <f t="shared" si="85"/>
        <v>#DIV/0!</v>
      </c>
      <c r="H473" s="2449">
        <f>IF(A473='Data Entry - SOF'!B$2,'Data Entry - SOF'!E$64,0)</f>
        <v>0</v>
      </c>
      <c r="I473" s="1687">
        <f t="shared" si="86"/>
        <v>23189647</v>
      </c>
      <c r="J473" s="2212" t="e">
        <f>IF('Report-M&amp;O1819'!C$18-'Report-SOF1819'!D$55&lt;=0,0,'Report-M&amp;O1819'!C$18-'Report-SOF1819'!D$55)</f>
        <v>#DIV/0!</v>
      </c>
      <c r="K473" s="2452" t="e">
        <f t="shared" si="87"/>
        <v>#DIV/0!</v>
      </c>
      <c r="L473" s="2449">
        <f>IF(A473='Data Entry - SOF'!B$2,'Data Entry - SOF'!G$64,0)</f>
        <v>0</v>
      </c>
      <c r="M473" s="1371">
        <f t="shared" si="88"/>
        <v>23189647</v>
      </c>
      <c r="N473" s="2212" t="e">
        <f>IF('Report-M&amp;O1920'!C$18-'Report-SOF1920'!D$55&lt;=0,0,'Report-M&amp;O1920'!C$18-'Report-SOF1920'!D$55)</f>
        <v>#DIV/0!</v>
      </c>
      <c r="O473" s="2452" t="e">
        <f t="shared" si="89"/>
        <v>#DIV/0!</v>
      </c>
      <c r="P473" s="2449">
        <f>IF(A473='Data Entry - SOF'!B$2,'Data Entry - SOF'!I$64,0)</f>
        <v>0</v>
      </c>
      <c r="Q473" s="1687">
        <f t="shared" si="84"/>
        <v>23189647</v>
      </c>
      <c r="R473" s="2212" t="e">
        <f>IF('Report-M&amp;O2021'!C$18-'Report-SOF2021'!D$55&lt;=0,0,'Report-M&amp;O2021'!C$18-'Report-SOF2021'!D$55)</f>
        <v>#DIV/0!</v>
      </c>
      <c r="S473" s="2452" t="e">
        <f t="shared" si="90"/>
        <v>#DIV/0!</v>
      </c>
      <c r="T473" s="1708">
        <f>IF(A473='Data Entry - SOF'!B$2,'Data Entry - SOF'!K$64,0)</f>
        <v>0</v>
      </c>
      <c r="U473" s="1687">
        <f t="shared" si="94"/>
        <v>23189647</v>
      </c>
      <c r="V473" s="2212" t="e">
        <f>IF('Report-M&amp;O2122'!C$18-'Report-SOF2122'!D$55&lt;=0,0,'Report-M&amp;O2122'!C$18-'Report-SOF2122'!D$55)</f>
        <v>#DIV/0!</v>
      </c>
      <c r="W473" s="2452" t="e">
        <f t="shared" si="91"/>
        <v>#DIV/0!</v>
      </c>
      <c r="X473" s="1708">
        <f>IF(A473='Data Entry - SOF'!B$2,'Data Entry - SOF'!M$64,0)</f>
        <v>0</v>
      </c>
      <c r="Y473" s="1371" t="e">
        <f t="shared" si="92"/>
        <v>#DIV/0!</v>
      </c>
      <c r="Z473" s="2212" t="e">
        <f>IF('Report-M&amp;O2223'!C$18-'Report-SOF2223'!D$55&lt;=0,0,'Report-M&amp;O2223'!C$18-'Report-SOF2223'!D$55)</f>
        <v>#DIV/0!</v>
      </c>
      <c r="AA473" s="1708">
        <f>IF(A473='Data Entry - SOF'!B$2,'Data Entry - SOF'!O$64,0)</f>
        <v>0</v>
      </c>
    </row>
    <row r="474" spans="1:27" ht="15.75">
      <c r="A474" s="1076" t="s">
        <v>1410</v>
      </c>
      <c r="B474">
        <v>1112994</v>
      </c>
      <c r="C474" s="2452" t="e">
        <f>#REF!+#REF!</f>
        <v>#REF!</v>
      </c>
      <c r="D474" s="2449">
        <f>IF(A474='Data Entry - SOF'!B$2,'Data Entry - SOF'!C$64,0)</f>
        <v>0</v>
      </c>
      <c r="E474" s="2450">
        <f t="shared" si="93"/>
        <v>1112994</v>
      </c>
      <c r="F474" s="2212" t="e">
        <f>IF('Report-M&amp;O1718'!C$18-'Report-SOF1718'!D$55&lt;=0,0,'Report-M&amp;O1718'!C$18-'Report-SOF1718'!D$55)</f>
        <v>#DIV/0!</v>
      </c>
      <c r="G474" s="2452" t="e">
        <f t="shared" si="85"/>
        <v>#DIV/0!</v>
      </c>
      <c r="H474" s="2449">
        <f>IF(A474='Data Entry - SOF'!B$2,'Data Entry - SOF'!E$64,0)</f>
        <v>0</v>
      </c>
      <c r="I474" s="1687">
        <f t="shared" si="86"/>
        <v>1112994</v>
      </c>
      <c r="J474" s="2212" t="e">
        <f>IF('Report-M&amp;O1819'!C$18-'Report-SOF1819'!D$55&lt;=0,0,'Report-M&amp;O1819'!C$18-'Report-SOF1819'!D$55)</f>
        <v>#DIV/0!</v>
      </c>
      <c r="K474" s="2452" t="e">
        <f t="shared" si="87"/>
        <v>#DIV/0!</v>
      </c>
      <c r="L474" s="2449">
        <f>IF(A474='Data Entry - SOF'!B$2,'Data Entry - SOF'!G$64,0)</f>
        <v>0</v>
      </c>
      <c r="M474" s="1371">
        <f t="shared" si="88"/>
        <v>1112994</v>
      </c>
      <c r="N474" s="2212" t="e">
        <f>IF('Report-M&amp;O1920'!C$18-'Report-SOF1920'!D$55&lt;=0,0,'Report-M&amp;O1920'!C$18-'Report-SOF1920'!D$55)</f>
        <v>#DIV/0!</v>
      </c>
      <c r="O474" s="2452" t="e">
        <f t="shared" si="89"/>
        <v>#DIV/0!</v>
      </c>
      <c r="P474" s="2449">
        <f>IF(A474='Data Entry - SOF'!B$2,'Data Entry - SOF'!I$64,0)</f>
        <v>0</v>
      </c>
      <c r="Q474" s="1687">
        <f t="shared" si="84"/>
        <v>1112994</v>
      </c>
      <c r="R474" s="2212" t="e">
        <f>IF('Report-M&amp;O2021'!C$18-'Report-SOF2021'!D$55&lt;=0,0,'Report-M&amp;O2021'!C$18-'Report-SOF2021'!D$55)</f>
        <v>#DIV/0!</v>
      </c>
      <c r="S474" s="2452" t="e">
        <f t="shared" si="90"/>
        <v>#DIV/0!</v>
      </c>
      <c r="T474" s="1708">
        <f>IF(A474='Data Entry - SOF'!B$2,'Data Entry - SOF'!K$64,0)</f>
        <v>0</v>
      </c>
      <c r="U474" s="1687">
        <f t="shared" si="94"/>
        <v>1112994</v>
      </c>
      <c r="V474" s="2212" t="e">
        <f>IF('Report-M&amp;O2122'!C$18-'Report-SOF2122'!D$55&lt;=0,0,'Report-M&amp;O2122'!C$18-'Report-SOF2122'!D$55)</f>
        <v>#DIV/0!</v>
      </c>
      <c r="W474" s="2452" t="e">
        <f t="shared" si="91"/>
        <v>#DIV/0!</v>
      </c>
      <c r="X474" s="1708">
        <f>IF(A474='Data Entry - SOF'!B$2,'Data Entry - SOF'!M$64,0)</f>
        <v>0</v>
      </c>
      <c r="Y474" s="1371" t="e">
        <f t="shared" si="92"/>
        <v>#DIV/0!</v>
      </c>
      <c r="Z474" s="2212" t="e">
        <f>IF('Report-M&amp;O2223'!C$18-'Report-SOF2223'!D$55&lt;=0,0,'Report-M&amp;O2223'!C$18-'Report-SOF2223'!D$55)</f>
        <v>#DIV/0!</v>
      </c>
      <c r="AA474" s="1708">
        <f>IF(A474='Data Entry - SOF'!B$2,'Data Entry - SOF'!O$64,0)</f>
        <v>0</v>
      </c>
    </row>
    <row r="475" spans="1:27" ht="15.75">
      <c r="A475" s="1076" t="s">
        <v>2104</v>
      </c>
      <c r="B475">
        <v>1164283</v>
      </c>
      <c r="C475" s="2452" t="e">
        <f>#REF!+#REF!</f>
        <v>#REF!</v>
      </c>
      <c r="D475" s="2449">
        <f>IF(A475='Data Entry - SOF'!B$2,'Data Entry - SOF'!C$64,0)</f>
        <v>0</v>
      </c>
      <c r="E475" s="2450">
        <f t="shared" si="93"/>
        <v>1164283</v>
      </c>
      <c r="F475" s="2212" t="e">
        <f>IF('Report-M&amp;O1718'!C$18-'Report-SOF1718'!D$55&lt;=0,0,'Report-M&amp;O1718'!C$18-'Report-SOF1718'!D$55)</f>
        <v>#DIV/0!</v>
      </c>
      <c r="G475" s="2452" t="e">
        <f t="shared" si="85"/>
        <v>#DIV/0!</v>
      </c>
      <c r="H475" s="2449">
        <f>IF(A475='Data Entry - SOF'!B$2,'Data Entry - SOF'!E$64,0)</f>
        <v>0</v>
      </c>
      <c r="I475" s="1687">
        <f t="shared" si="86"/>
        <v>1164283</v>
      </c>
      <c r="J475" s="2212" t="e">
        <f>IF('Report-M&amp;O1819'!C$18-'Report-SOF1819'!D$55&lt;=0,0,'Report-M&amp;O1819'!C$18-'Report-SOF1819'!D$55)</f>
        <v>#DIV/0!</v>
      </c>
      <c r="K475" s="2452" t="e">
        <f t="shared" si="87"/>
        <v>#DIV/0!</v>
      </c>
      <c r="L475" s="2449">
        <f>IF(A475='Data Entry - SOF'!B$2,'Data Entry - SOF'!G$64,0)</f>
        <v>0</v>
      </c>
      <c r="M475" s="1371">
        <f t="shared" si="88"/>
        <v>1164283</v>
      </c>
      <c r="N475" s="2212" t="e">
        <f>IF('Report-M&amp;O1920'!C$18-'Report-SOF1920'!D$55&lt;=0,0,'Report-M&amp;O1920'!C$18-'Report-SOF1920'!D$55)</f>
        <v>#DIV/0!</v>
      </c>
      <c r="O475" s="2452" t="e">
        <f t="shared" si="89"/>
        <v>#DIV/0!</v>
      </c>
      <c r="P475" s="2449">
        <f>IF(A475='Data Entry - SOF'!B$2,'Data Entry - SOF'!I$64,0)</f>
        <v>0</v>
      </c>
      <c r="Q475" s="1687">
        <f t="shared" si="84"/>
        <v>1164283</v>
      </c>
      <c r="R475" s="2212" t="e">
        <f>IF('Report-M&amp;O2021'!C$18-'Report-SOF2021'!D$55&lt;=0,0,'Report-M&amp;O2021'!C$18-'Report-SOF2021'!D$55)</f>
        <v>#DIV/0!</v>
      </c>
      <c r="S475" s="2452" t="e">
        <f t="shared" si="90"/>
        <v>#DIV/0!</v>
      </c>
      <c r="T475" s="1708">
        <f>IF(A475='Data Entry - SOF'!B$2,'Data Entry - SOF'!K$64,0)</f>
        <v>0</v>
      </c>
      <c r="U475" s="1687">
        <f t="shared" si="94"/>
        <v>1164283</v>
      </c>
      <c r="V475" s="2212" t="e">
        <f>IF('Report-M&amp;O2122'!C$18-'Report-SOF2122'!D$55&lt;=0,0,'Report-M&amp;O2122'!C$18-'Report-SOF2122'!D$55)</f>
        <v>#DIV/0!</v>
      </c>
      <c r="W475" s="2452" t="e">
        <f t="shared" si="91"/>
        <v>#DIV/0!</v>
      </c>
      <c r="X475" s="1708">
        <f>IF(A475='Data Entry - SOF'!B$2,'Data Entry - SOF'!M$64,0)</f>
        <v>0</v>
      </c>
      <c r="Y475" s="1371" t="e">
        <f t="shared" si="92"/>
        <v>#DIV/0!</v>
      </c>
      <c r="Z475" s="2212" t="e">
        <f>IF('Report-M&amp;O2223'!C$18-'Report-SOF2223'!D$55&lt;=0,0,'Report-M&amp;O2223'!C$18-'Report-SOF2223'!D$55)</f>
        <v>#DIV/0!</v>
      </c>
      <c r="AA475" s="1708">
        <f>IF(A475='Data Entry - SOF'!B$2,'Data Entry - SOF'!O$64,0)</f>
        <v>0</v>
      </c>
    </row>
    <row r="476" spans="1:27" ht="15.75">
      <c r="A476" s="1076" t="s">
        <v>1411</v>
      </c>
      <c r="B476">
        <v>9417204</v>
      </c>
      <c r="C476" s="2452" t="e">
        <f>#REF!+#REF!</f>
        <v>#REF!</v>
      </c>
      <c r="D476" s="2449">
        <f>IF(A476='Data Entry - SOF'!B$2,'Data Entry - SOF'!C$64,0)</f>
        <v>0</v>
      </c>
      <c r="E476" s="2450">
        <f t="shared" si="93"/>
        <v>9417204</v>
      </c>
      <c r="F476" s="2212" t="e">
        <f>IF('Report-M&amp;O1718'!C$18-'Report-SOF1718'!D$55&lt;=0,0,'Report-M&amp;O1718'!C$18-'Report-SOF1718'!D$55)</f>
        <v>#DIV/0!</v>
      </c>
      <c r="G476" s="2452" t="e">
        <f t="shared" si="85"/>
        <v>#DIV/0!</v>
      </c>
      <c r="H476" s="2449">
        <f>IF(A476='Data Entry - SOF'!B$2,'Data Entry - SOF'!E$64,0)</f>
        <v>0</v>
      </c>
      <c r="I476" s="1687">
        <f t="shared" si="86"/>
        <v>9417204</v>
      </c>
      <c r="J476" s="2212" t="e">
        <f>IF('Report-M&amp;O1819'!C$18-'Report-SOF1819'!D$55&lt;=0,0,'Report-M&amp;O1819'!C$18-'Report-SOF1819'!D$55)</f>
        <v>#DIV/0!</v>
      </c>
      <c r="K476" s="2452" t="e">
        <f t="shared" si="87"/>
        <v>#DIV/0!</v>
      </c>
      <c r="L476" s="2449">
        <f>IF(A476='Data Entry - SOF'!B$2,'Data Entry - SOF'!G$64,0)</f>
        <v>0</v>
      </c>
      <c r="M476" s="1371">
        <f t="shared" si="88"/>
        <v>9417204</v>
      </c>
      <c r="N476" s="2212" t="e">
        <f>IF('Report-M&amp;O1920'!C$18-'Report-SOF1920'!D$55&lt;=0,0,'Report-M&amp;O1920'!C$18-'Report-SOF1920'!D$55)</f>
        <v>#DIV/0!</v>
      </c>
      <c r="O476" s="2452" t="e">
        <f t="shared" si="89"/>
        <v>#DIV/0!</v>
      </c>
      <c r="P476" s="2449">
        <f>IF(A476='Data Entry - SOF'!B$2,'Data Entry - SOF'!I$64,0)</f>
        <v>0</v>
      </c>
      <c r="Q476" s="1687">
        <f t="shared" si="84"/>
        <v>9417204</v>
      </c>
      <c r="R476" s="2212" t="e">
        <f>IF('Report-M&amp;O2021'!C$18-'Report-SOF2021'!D$55&lt;=0,0,'Report-M&amp;O2021'!C$18-'Report-SOF2021'!D$55)</f>
        <v>#DIV/0!</v>
      </c>
      <c r="S476" s="2452" t="e">
        <f t="shared" si="90"/>
        <v>#DIV/0!</v>
      </c>
      <c r="T476" s="1708">
        <f>IF(A476='Data Entry - SOF'!B$2,'Data Entry - SOF'!K$64,0)</f>
        <v>0</v>
      </c>
      <c r="U476" s="1687">
        <f t="shared" si="94"/>
        <v>9417204</v>
      </c>
      <c r="V476" s="2212" t="e">
        <f>IF('Report-M&amp;O2122'!C$18-'Report-SOF2122'!D$55&lt;=0,0,'Report-M&amp;O2122'!C$18-'Report-SOF2122'!D$55)</f>
        <v>#DIV/0!</v>
      </c>
      <c r="W476" s="2452" t="e">
        <f t="shared" si="91"/>
        <v>#DIV/0!</v>
      </c>
      <c r="X476" s="1708">
        <f>IF(A476='Data Entry - SOF'!B$2,'Data Entry - SOF'!M$64,0)</f>
        <v>0</v>
      </c>
      <c r="Y476" s="1371" t="e">
        <f t="shared" si="92"/>
        <v>#DIV/0!</v>
      </c>
      <c r="Z476" s="2212" t="e">
        <f>IF('Report-M&amp;O2223'!C$18-'Report-SOF2223'!D$55&lt;=0,0,'Report-M&amp;O2223'!C$18-'Report-SOF2223'!D$55)</f>
        <v>#DIV/0!</v>
      </c>
      <c r="AA476" s="1708">
        <f>IF(A476='Data Entry - SOF'!B$2,'Data Entry - SOF'!O$64,0)</f>
        <v>0</v>
      </c>
    </row>
    <row r="477" spans="1:27" ht="15.75">
      <c r="A477" s="1076" t="s">
        <v>1412</v>
      </c>
      <c r="B477">
        <v>586672</v>
      </c>
      <c r="C477" s="2452" t="e">
        <f>#REF!+#REF!</f>
        <v>#REF!</v>
      </c>
      <c r="D477" s="2449">
        <f>IF(A477='Data Entry - SOF'!B$2,'Data Entry - SOF'!C$64,0)</f>
        <v>0</v>
      </c>
      <c r="E477" s="2450">
        <f t="shared" si="93"/>
        <v>586672</v>
      </c>
      <c r="F477" s="2212" t="e">
        <f>IF('Report-M&amp;O1718'!C$18-'Report-SOF1718'!D$55&lt;=0,0,'Report-M&amp;O1718'!C$18-'Report-SOF1718'!D$55)</f>
        <v>#DIV/0!</v>
      </c>
      <c r="G477" s="2452" t="e">
        <f t="shared" si="85"/>
        <v>#DIV/0!</v>
      </c>
      <c r="H477" s="2449">
        <f>IF(A477='Data Entry - SOF'!B$2,'Data Entry - SOF'!E$64,0)</f>
        <v>0</v>
      </c>
      <c r="I477" s="1687">
        <f t="shared" si="86"/>
        <v>586672</v>
      </c>
      <c r="J477" s="2212" t="e">
        <f>IF('Report-M&amp;O1819'!C$18-'Report-SOF1819'!D$55&lt;=0,0,'Report-M&amp;O1819'!C$18-'Report-SOF1819'!D$55)</f>
        <v>#DIV/0!</v>
      </c>
      <c r="K477" s="2452" t="e">
        <f t="shared" si="87"/>
        <v>#DIV/0!</v>
      </c>
      <c r="L477" s="2449">
        <f>IF(A477='Data Entry - SOF'!B$2,'Data Entry - SOF'!G$64,0)</f>
        <v>0</v>
      </c>
      <c r="M477" s="1371">
        <f t="shared" si="88"/>
        <v>586672</v>
      </c>
      <c r="N477" s="2212" t="e">
        <f>IF('Report-M&amp;O1920'!C$18-'Report-SOF1920'!D$55&lt;=0,0,'Report-M&amp;O1920'!C$18-'Report-SOF1920'!D$55)</f>
        <v>#DIV/0!</v>
      </c>
      <c r="O477" s="2452" t="e">
        <f t="shared" si="89"/>
        <v>#DIV/0!</v>
      </c>
      <c r="P477" s="2449">
        <f>IF(A477='Data Entry - SOF'!B$2,'Data Entry - SOF'!I$64,0)</f>
        <v>0</v>
      </c>
      <c r="Q477" s="1687">
        <f t="shared" si="84"/>
        <v>586672</v>
      </c>
      <c r="R477" s="2212" t="e">
        <f>IF('Report-M&amp;O2021'!C$18-'Report-SOF2021'!D$55&lt;=0,0,'Report-M&amp;O2021'!C$18-'Report-SOF2021'!D$55)</f>
        <v>#DIV/0!</v>
      </c>
      <c r="S477" s="2452" t="e">
        <f t="shared" si="90"/>
        <v>#DIV/0!</v>
      </c>
      <c r="T477" s="1708">
        <f>IF(A477='Data Entry - SOF'!B$2,'Data Entry - SOF'!K$64,0)</f>
        <v>0</v>
      </c>
      <c r="U477" s="1687">
        <f t="shared" si="94"/>
        <v>586672</v>
      </c>
      <c r="V477" s="2212" t="e">
        <f>IF('Report-M&amp;O2122'!C$18-'Report-SOF2122'!D$55&lt;=0,0,'Report-M&amp;O2122'!C$18-'Report-SOF2122'!D$55)</f>
        <v>#DIV/0!</v>
      </c>
      <c r="W477" s="2452" t="e">
        <f t="shared" si="91"/>
        <v>#DIV/0!</v>
      </c>
      <c r="X477" s="1708">
        <f>IF(A477='Data Entry - SOF'!B$2,'Data Entry - SOF'!M$64,0)</f>
        <v>0</v>
      </c>
      <c r="Y477" s="1371" t="e">
        <f t="shared" si="92"/>
        <v>#DIV/0!</v>
      </c>
      <c r="Z477" s="2212" t="e">
        <f>IF('Report-M&amp;O2223'!C$18-'Report-SOF2223'!D$55&lt;=0,0,'Report-M&amp;O2223'!C$18-'Report-SOF2223'!D$55)</f>
        <v>#DIV/0!</v>
      </c>
      <c r="AA477" s="1708">
        <f>IF(A477='Data Entry - SOF'!B$2,'Data Entry - SOF'!O$64,0)</f>
        <v>0</v>
      </c>
    </row>
    <row r="478" spans="1:27" ht="15.75">
      <c r="A478" s="1076" t="s">
        <v>1413</v>
      </c>
      <c r="B478">
        <v>47321032</v>
      </c>
      <c r="C478" s="2452" t="e">
        <f>#REF!+#REF!</f>
        <v>#REF!</v>
      </c>
      <c r="D478" s="2449">
        <f>IF(A478='Data Entry - SOF'!B$2,'Data Entry - SOF'!C$64,0)</f>
        <v>0</v>
      </c>
      <c r="E478" s="2450">
        <f t="shared" si="93"/>
        <v>47321032</v>
      </c>
      <c r="F478" s="2212" t="e">
        <f>IF('Report-M&amp;O1718'!C$18-'Report-SOF1718'!D$55&lt;=0,0,'Report-M&amp;O1718'!C$18-'Report-SOF1718'!D$55)</f>
        <v>#DIV/0!</v>
      </c>
      <c r="G478" s="2452" t="e">
        <f t="shared" si="85"/>
        <v>#DIV/0!</v>
      </c>
      <c r="H478" s="2449">
        <f>IF(A478='Data Entry - SOF'!B$2,'Data Entry - SOF'!E$64,0)</f>
        <v>0</v>
      </c>
      <c r="I478" s="1687">
        <f t="shared" si="86"/>
        <v>47321032</v>
      </c>
      <c r="J478" s="2212" t="e">
        <f>IF('Report-M&amp;O1819'!C$18-'Report-SOF1819'!D$55&lt;=0,0,'Report-M&amp;O1819'!C$18-'Report-SOF1819'!D$55)</f>
        <v>#DIV/0!</v>
      </c>
      <c r="K478" s="2452" t="e">
        <f t="shared" si="87"/>
        <v>#DIV/0!</v>
      </c>
      <c r="L478" s="2449">
        <f>IF(A478='Data Entry - SOF'!B$2,'Data Entry - SOF'!G$64,0)</f>
        <v>0</v>
      </c>
      <c r="M478" s="1371">
        <f t="shared" si="88"/>
        <v>47321032</v>
      </c>
      <c r="N478" s="2212" t="e">
        <f>IF('Report-M&amp;O1920'!C$18-'Report-SOF1920'!D$55&lt;=0,0,'Report-M&amp;O1920'!C$18-'Report-SOF1920'!D$55)</f>
        <v>#DIV/0!</v>
      </c>
      <c r="O478" s="2452" t="e">
        <f t="shared" si="89"/>
        <v>#DIV/0!</v>
      </c>
      <c r="P478" s="2449">
        <f>IF(A478='Data Entry - SOF'!B$2,'Data Entry - SOF'!I$64,0)</f>
        <v>0</v>
      </c>
      <c r="Q478" s="1687">
        <f t="shared" si="84"/>
        <v>47321032</v>
      </c>
      <c r="R478" s="2212" t="e">
        <f>IF('Report-M&amp;O2021'!C$18-'Report-SOF2021'!D$55&lt;=0,0,'Report-M&amp;O2021'!C$18-'Report-SOF2021'!D$55)</f>
        <v>#DIV/0!</v>
      </c>
      <c r="S478" s="2452" t="e">
        <f t="shared" si="90"/>
        <v>#DIV/0!</v>
      </c>
      <c r="T478" s="1708">
        <f>IF(A478='Data Entry - SOF'!B$2,'Data Entry - SOF'!K$64,0)</f>
        <v>0</v>
      </c>
      <c r="U478" s="1687">
        <f t="shared" si="94"/>
        <v>47321032</v>
      </c>
      <c r="V478" s="2212" t="e">
        <f>IF('Report-M&amp;O2122'!C$18-'Report-SOF2122'!D$55&lt;=0,0,'Report-M&amp;O2122'!C$18-'Report-SOF2122'!D$55)</f>
        <v>#DIV/0!</v>
      </c>
      <c r="W478" s="2452" t="e">
        <f t="shared" si="91"/>
        <v>#DIV/0!</v>
      </c>
      <c r="X478" s="1708">
        <f>IF(A478='Data Entry - SOF'!B$2,'Data Entry - SOF'!M$64,0)</f>
        <v>0</v>
      </c>
      <c r="Y478" s="1371" t="e">
        <f t="shared" si="92"/>
        <v>#DIV/0!</v>
      </c>
      <c r="Z478" s="2212" t="e">
        <f>IF('Report-M&amp;O2223'!C$18-'Report-SOF2223'!D$55&lt;=0,0,'Report-M&amp;O2223'!C$18-'Report-SOF2223'!D$55)</f>
        <v>#DIV/0!</v>
      </c>
      <c r="AA478" s="1708">
        <f>IF(A478='Data Entry - SOF'!B$2,'Data Entry - SOF'!O$64,0)</f>
        <v>0</v>
      </c>
    </row>
    <row r="479" spans="1:27" ht="15.75">
      <c r="A479" s="1076" t="s">
        <v>1991</v>
      </c>
      <c r="B479">
        <v>2351098</v>
      </c>
      <c r="C479" s="2452" t="e">
        <f>#REF!+#REF!</f>
        <v>#REF!</v>
      </c>
      <c r="D479" s="2449">
        <f>IF(A479='Data Entry - SOF'!B$2,'Data Entry - SOF'!C$64,0)</f>
        <v>0</v>
      </c>
      <c r="E479" s="2450">
        <f t="shared" si="93"/>
        <v>2351098</v>
      </c>
      <c r="F479" s="2212" t="e">
        <f>IF('Report-M&amp;O1718'!C$18-'Report-SOF1718'!D$55&lt;=0,0,'Report-M&amp;O1718'!C$18-'Report-SOF1718'!D$55)</f>
        <v>#DIV/0!</v>
      </c>
      <c r="G479" s="2452" t="e">
        <f t="shared" si="85"/>
        <v>#DIV/0!</v>
      </c>
      <c r="H479" s="2449">
        <f>IF(A479='Data Entry - SOF'!B$2,'Data Entry - SOF'!E$64,0)</f>
        <v>0</v>
      </c>
      <c r="I479" s="1687">
        <f t="shared" si="86"/>
        <v>2351098</v>
      </c>
      <c r="J479" s="2212" t="e">
        <f>IF('Report-M&amp;O1819'!C$18-'Report-SOF1819'!D$55&lt;=0,0,'Report-M&amp;O1819'!C$18-'Report-SOF1819'!D$55)</f>
        <v>#DIV/0!</v>
      </c>
      <c r="K479" s="2452" t="e">
        <f t="shared" si="87"/>
        <v>#DIV/0!</v>
      </c>
      <c r="L479" s="2449">
        <f>IF(A479='Data Entry - SOF'!B$2,'Data Entry - SOF'!G$64,0)</f>
        <v>0</v>
      </c>
      <c r="M479" s="1371">
        <f t="shared" si="88"/>
        <v>2351098</v>
      </c>
      <c r="N479" s="2212" t="e">
        <f>IF('Report-M&amp;O1920'!C$18-'Report-SOF1920'!D$55&lt;=0,0,'Report-M&amp;O1920'!C$18-'Report-SOF1920'!D$55)</f>
        <v>#DIV/0!</v>
      </c>
      <c r="O479" s="2452" t="e">
        <f t="shared" si="89"/>
        <v>#DIV/0!</v>
      </c>
      <c r="P479" s="2449">
        <f>IF(A479='Data Entry - SOF'!B$2,'Data Entry - SOF'!I$64,0)</f>
        <v>0</v>
      </c>
      <c r="Q479" s="1687">
        <f t="shared" si="84"/>
        <v>2351098</v>
      </c>
      <c r="R479" s="2212" t="e">
        <f>IF('Report-M&amp;O2021'!C$18-'Report-SOF2021'!D$55&lt;=0,0,'Report-M&amp;O2021'!C$18-'Report-SOF2021'!D$55)</f>
        <v>#DIV/0!</v>
      </c>
      <c r="S479" s="2452" t="e">
        <f t="shared" si="90"/>
        <v>#DIV/0!</v>
      </c>
      <c r="T479" s="1708">
        <f>IF(A479='Data Entry - SOF'!B$2,'Data Entry - SOF'!K$64,0)</f>
        <v>0</v>
      </c>
      <c r="U479" s="1687">
        <f t="shared" si="94"/>
        <v>2351098</v>
      </c>
      <c r="V479" s="2212" t="e">
        <f>IF('Report-M&amp;O2122'!C$18-'Report-SOF2122'!D$55&lt;=0,0,'Report-M&amp;O2122'!C$18-'Report-SOF2122'!D$55)</f>
        <v>#DIV/0!</v>
      </c>
      <c r="W479" s="2452" t="e">
        <f t="shared" si="91"/>
        <v>#DIV/0!</v>
      </c>
      <c r="X479" s="1708">
        <f>IF(A479='Data Entry - SOF'!B$2,'Data Entry - SOF'!M$64,0)</f>
        <v>0</v>
      </c>
      <c r="Y479" s="1371" t="e">
        <f t="shared" si="92"/>
        <v>#DIV/0!</v>
      </c>
      <c r="Z479" s="2212" t="e">
        <f>IF('Report-M&amp;O2223'!C$18-'Report-SOF2223'!D$55&lt;=0,0,'Report-M&amp;O2223'!C$18-'Report-SOF2223'!D$55)</f>
        <v>#DIV/0!</v>
      </c>
      <c r="AA479" s="1708">
        <f>IF(A479='Data Entry - SOF'!B$2,'Data Entry - SOF'!O$64,0)</f>
        <v>0</v>
      </c>
    </row>
    <row r="480" spans="1:27" ht="15.75">
      <c r="A480" s="1076" t="s">
        <v>1709</v>
      </c>
      <c r="B480">
        <v>2572026</v>
      </c>
      <c r="C480" s="2452" t="e">
        <f>#REF!+#REF!</f>
        <v>#REF!</v>
      </c>
      <c r="D480" s="2449">
        <f>IF(A480='Data Entry - SOF'!B$2,'Data Entry - SOF'!C$64,0)</f>
        <v>0</v>
      </c>
      <c r="E480" s="2450">
        <f t="shared" si="93"/>
        <v>2572026</v>
      </c>
      <c r="F480" s="2212" t="e">
        <f>IF('Report-M&amp;O1718'!C$18-'Report-SOF1718'!D$55&lt;=0,0,'Report-M&amp;O1718'!C$18-'Report-SOF1718'!D$55)</f>
        <v>#DIV/0!</v>
      </c>
      <c r="G480" s="2452" t="e">
        <f t="shared" si="85"/>
        <v>#DIV/0!</v>
      </c>
      <c r="H480" s="2449">
        <f>IF(A480='Data Entry - SOF'!B$2,'Data Entry - SOF'!E$64,0)</f>
        <v>0</v>
      </c>
      <c r="I480" s="1687">
        <f t="shared" si="86"/>
        <v>2572026</v>
      </c>
      <c r="J480" s="2212" t="e">
        <f>IF('Report-M&amp;O1819'!C$18-'Report-SOF1819'!D$55&lt;=0,0,'Report-M&amp;O1819'!C$18-'Report-SOF1819'!D$55)</f>
        <v>#DIV/0!</v>
      </c>
      <c r="K480" s="2452" t="e">
        <f t="shared" si="87"/>
        <v>#DIV/0!</v>
      </c>
      <c r="L480" s="2449">
        <f>IF(A480='Data Entry - SOF'!B$2,'Data Entry - SOF'!G$64,0)</f>
        <v>0</v>
      </c>
      <c r="M480" s="1371">
        <f t="shared" si="88"/>
        <v>2572026</v>
      </c>
      <c r="N480" s="2212" t="e">
        <f>IF('Report-M&amp;O1920'!C$18-'Report-SOF1920'!D$55&lt;=0,0,'Report-M&amp;O1920'!C$18-'Report-SOF1920'!D$55)</f>
        <v>#DIV/0!</v>
      </c>
      <c r="O480" s="2452" t="e">
        <f t="shared" si="89"/>
        <v>#DIV/0!</v>
      </c>
      <c r="P480" s="2449">
        <f>IF(A480='Data Entry - SOF'!B$2,'Data Entry - SOF'!I$64,0)</f>
        <v>0</v>
      </c>
      <c r="Q480" s="1687">
        <f t="shared" si="84"/>
        <v>2572026</v>
      </c>
      <c r="R480" s="2212" t="e">
        <f>IF('Report-M&amp;O2021'!C$18-'Report-SOF2021'!D$55&lt;=0,0,'Report-M&amp;O2021'!C$18-'Report-SOF2021'!D$55)</f>
        <v>#DIV/0!</v>
      </c>
      <c r="S480" s="2452" t="e">
        <f t="shared" si="90"/>
        <v>#DIV/0!</v>
      </c>
      <c r="T480" s="1708">
        <f>IF(A480='Data Entry - SOF'!B$2,'Data Entry - SOF'!K$64,0)</f>
        <v>0</v>
      </c>
      <c r="U480" s="1687">
        <f t="shared" si="94"/>
        <v>2572026</v>
      </c>
      <c r="V480" s="2212" t="e">
        <f>IF('Report-M&amp;O2122'!C$18-'Report-SOF2122'!D$55&lt;=0,0,'Report-M&amp;O2122'!C$18-'Report-SOF2122'!D$55)</f>
        <v>#DIV/0!</v>
      </c>
      <c r="W480" s="2452" t="e">
        <f t="shared" si="91"/>
        <v>#DIV/0!</v>
      </c>
      <c r="X480" s="1708">
        <f>IF(A480='Data Entry - SOF'!B$2,'Data Entry - SOF'!M$64,0)</f>
        <v>0</v>
      </c>
      <c r="Y480" s="1371" t="e">
        <f t="shared" si="92"/>
        <v>#DIV/0!</v>
      </c>
      <c r="Z480" s="2212" t="e">
        <f>IF('Report-M&amp;O2223'!C$18-'Report-SOF2223'!D$55&lt;=0,0,'Report-M&amp;O2223'!C$18-'Report-SOF2223'!D$55)</f>
        <v>#DIV/0!</v>
      </c>
      <c r="AA480" s="1708">
        <f>IF(A480='Data Entry - SOF'!B$2,'Data Entry - SOF'!O$64,0)</f>
        <v>0</v>
      </c>
    </row>
    <row r="481" spans="1:27" ht="15.75">
      <c r="A481" s="1076" t="s">
        <v>208</v>
      </c>
      <c r="B481">
        <v>10737912</v>
      </c>
      <c r="C481" s="2452" t="e">
        <f>#REF!+#REF!</f>
        <v>#REF!</v>
      </c>
      <c r="D481" s="2449">
        <f>IF(A481='Data Entry - SOF'!B$2,'Data Entry - SOF'!C$64,0)</f>
        <v>0</v>
      </c>
      <c r="E481" s="2450">
        <f t="shared" si="93"/>
        <v>10737912</v>
      </c>
      <c r="F481" s="2212" t="e">
        <f>IF('Report-M&amp;O1718'!C$18-'Report-SOF1718'!D$55&lt;=0,0,'Report-M&amp;O1718'!C$18-'Report-SOF1718'!D$55)</f>
        <v>#DIV/0!</v>
      </c>
      <c r="G481" s="2452" t="e">
        <f t="shared" si="85"/>
        <v>#DIV/0!</v>
      </c>
      <c r="H481" s="2449">
        <f>IF(A481='Data Entry - SOF'!B$2,'Data Entry - SOF'!E$64,0)</f>
        <v>0</v>
      </c>
      <c r="I481" s="1687">
        <f t="shared" si="86"/>
        <v>10737912</v>
      </c>
      <c r="J481" s="2212" t="e">
        <f>IF('Report-M&amp;O1819'!C$18-'Report-SOF1819'!D$55&lt;=0,0,'Report-M&amp;O1819'!C$18-'Report-SOF1819'!D$55)</f>
        <v>#DIV/0!</v>
      </c>
      <c r="K481" s="2452" t="e">
        <f t="shared" si="87"/>
        <v>#DIV/0!</v>
      </c>
      <c r="L481" s="2449">
        <f>IF(A481='Data Entry - SOF'!B$2,'Data Entry - SOF'!G$64,0)</f>
        <v>0</v>
      </c>
      <c r="M481" s="1371">
        <f t="shared" si="88"/>
        <v>10737912</v>
      </c>
      <c r="N481" s="2212" t="e">
        <f>IF('Report-M&amp;O1920'!C$18-'Report-SOF1920'!D$55&lt;=0,0,'Report-M&amp;O1920'!C$18-'Report-SOF1920'!D$55)</f>
        <v>#DIV/0!</v>
      </c>
      <c r="O481" s="2452" t="e">
        <f t="shared" si="89"/>
        <v>#DIV/0!</v>
      </c>
      <c r="P481" s="2449">
        <f>IF(A481='Data Entry - SOF'!B$2,'Data Entry - SOF'!I$64,0)</f>
        <v>0</v>
      </c>
      <c r="Q481" s="1687">
        <f t="shared" si="84"/>
        <v>10737912</v>
      </c>
      <c r="R481" s="2212" t="e">
        <f>IF('Report-M&amp;O2021'!C$18-'Report-SOF2021'!D$55&lt;=0,0,'Report-M&amp;O2021'!C$18-'Report-SOF2021'!D$55)</f>
        <v>#DIV/0!</v>
      </c>
      <c r="S481" s="2452" t="e">
        <f t="shared" si="90"/>
        <v>#DIV/0!</v>
      </c>
      <c r="T481" s="1708">
        <f>IF(A481='Data Entry - SOF'!B$2,'Data Entry - SOF'!K$64,0)</f>
        <v>0</v>
      </c>
      <c r="U481" s="1687">
        <f t="shared" si="94"/>
        <v>10737912</v>
      </c>
      <c r="V481" s="2212" t="e">
        <f>IF('Report-M&amp;O2122'!C$18-'Report-SOF2122'!D$55&lt;=0,0,'Report-M&amp;O2122'!C$18-'Report-SOF2122'!D$55)</f>
        <v>#DIV/0!</v>
      </c>
      <c r="W481" s="2452" t="e">
        <f t="shared" si="91"/>
        <v>#DIV/0!</v>
      </c>
      <c r="X481" s="1708">
        <f>IF(A481='Data Entry - SOF'!B$2,'Data Entry - SOF'!M$64,0)</f>
        <v>0</v>
      </c>
      <c r="Y481" s="1371" t="e">
        <f t="shared" si="92"/>
        <v>#DIV/0!</v>
      </c>
      <c r="Z481" s="2212" t="e">
        <f>IF('Report-M&amp;O2223'!C$18-'Report-SOF2223'!D$55&lt;=0,0,'Report-M&amp;O2223'!C$18-'Report-SOF2223'!D$55)</f>
        <v>#DIV/0!</v>
      </c>
      <c r="AA481" s="1708">
        <f>IF(A481='Data Entry - SOF'!B$2,'Data Entry - SOF'!O$64,0)</f>
        <v>0</v>
      </c>
    </row>
    <row r="482" spans="1:27" ht="15.75">
      <c r="A482" s="1076" t="s">
        <v>1687</v>
      </c>
      <c r="B482">
        <v>481810</v>
      </c>
      <c r="C482" s="2452" t="e">
        <f>#REF!+#REF!</f>
        <v>#REF!</v>
      </c>
      <c r="D482" s="2449">
        <f>IF(A482='Data Entry - SOF'!B$2,'Data Entry - SOF'!C$64,0)</f>
        <v>0</v>
      </c>
      <c r="E482" s="2450">
        <f t="shared" si="93"/>
        <v>481810</v>
      </c>
      <c r="F482" s="2212" t="e">
        <f>IF('Report-M&amp;O1718'!C$18-'Report-SOF1718'!D$55&lt;=0,0,'Report-M&amp;O1718'!C$18-'Report-SOF1718'!D$55)</f>
        <v>#DIV/0!</v>
      </c>
      <c r="G482" s="2452" t="e">
        <f t="shared" si="85"/>
        <v>#DIV/0!</v>
      </c>
      <c r="H482" s="2449">
        <f>IF(A482='Data Entry - SOF'!B$2,'Data Entry - SOF'!E$64,0)</f>
        <v>0</v>
      </c>
      <c r="I482" s="1687">
        <f t="shared" si="86"/>
        <v>481810</v>
      </c>
      <c r="J482" s="2212" t="e">
        <f>IF('Report-M&amp;O1819'!C$18-'Report-SOF1819'!D$55&lt;=0,0,'Report-M&amp;O1819'!C$18-'Report-SOF1819'!D$55)</f>
        <v>#DIV/0!</v>
      </c>
      <c r="K482" s="2452" t="e">
        <f t="shared" si="87"/>
        <v>#DIV/0!</v>
      </c>
      <c r="L482" s="2449">
        <f>IF(A482='Data Entry - SOF'!B$2,'Data Entry - SOF'!G$64,0)</f>
        <v>0</v>
      </c>
      <c r="M482" s="1371">
        <f t="shared" si="88"/>
        <v>481810</v>
      </c>
      <c r="N482" s="2212" t="e">
        <f>IF('Report-M&amp;O1920'!C$18-'Report-SOF1920'!D$55&lt;=0,0,'Report-M&amp;O1920'!C$18-'Report-SOF1920'!D$55)</f>
        <v>#DIV/0!</v>
      </c>
      <c r="O482" s="2452" t="e">
        <f t="shared" si="89"/>
        <v>#DIV/0!</v>
      </c>
      <c r="P482" s="2449">
        <f>IF(A482='Data Entry - SOF'!B$2,'Data Entry - SOF'!I$64,0)</f>
        <v>0</v>
      </c>
      <c r="Q482" s="1687">
        <f t="shared" si="84"/>
        <v>481810</v>
      </c>
      <c r="R482" s="2212" t="e">
        <f>IF('Report-M&amp;O2021'!C$18-'Report-SOF2021'!D$55&lt;=0,0,'Report-M&amp;O2021'!C$18-'Report-SOF2021'!D$55)</f>
        <v>#DIV/0!</v>
      </c>
      <c r="S482" s="2452" t="e">
        <f t="shared" si="90"/>
        <v>#DIV/0!</v>
      </c>
      <c r="T482" s="1708">
        <f>IF(A482='Data Entry - SOF'!B$2,'Data Entry - SOF'!K$64,0)</f>
        <v>0</v>
      </c>
      <c r="U482" s="1687">
        <f t="shared" si="94"/>
        <v>481810</v>
      </c>
      <c r="V482" s="2212" t="e">
        <f>IF('Report-M&amp;O2122'!C$18-'Report-SOF2122'!D$55&lt;=0,0,'Report-M&amp;O2122'!C$18-'Report-SOF2122'!D$55)</f>
        <v>#DIV/0!</v>
      </c>
      <c r="W482" s="2452" t="e">
        <f t="shared" si="91"/>
        <v>#DIV/0!</v>
      </c>
      <c r="X482" s="1708">
        <f>IF(A482='Data Entry - SOF'!B$2,'Data Entry - SOF'!M$64,0)</f>
        <v>0</v>
      </c>
      <c r="Y482" s="1371" t="e">
        <f t="shared" si="92"/>
        <v>#DIV/0!</v>
      </c>
      <c r="Z482" s="2212" t="e">
        <f>IF('Report-M&amp;O2223'!C$18-'Report-SOF2223'!D$55&lt;=0,0,'Report-M&amp;O2223'!C$18-'Report-SOF2223'!D$55)</f>
        <v>#DIV/0!</v>
      </c>
      <c r="AA482" s="1708">
        <f>IF(A482='Data Entry - SOF'!B$2,'Data Entry - SOF'!O$64,0)</f>
        <v>0</v>
      </c>
    </row>
    <row r="483" spans="1:27" ht="15.75">
      <c r="A483" s="1076" t="s">
        <v>209</v>
      </c>
      <c r="B483">
        <v>697204</v>
      </c>
      <c r="C483" s="2452" t="e">
        <f>#REF!+#REF!</f>
        <v>#REF!</v>
      </c>
      <c r="D483" s="2449">
        <f>IF(A483='Data Entry - SOF'!B$2,'Data Entry - SOF'!C$64,0)</f>
        <v>0</v>
      </c>
      <c r="E483" s="2450">
        <f t="shared" si="93"/>
        <v>697204</v>
      </c>
      <c r="F483" s="2212" t="e">
        <f>IF('Report-M&amp;O1718'!C$18-'Report-SOF1718'!D$55&lt;=0,0,'Report-M&amp;O1718'!C$18-'Report-SOF1718'!D$55)</f>
        <v>#DIV/0!</v>
      </c>
      <c r="G483" s="2452" t="e">
        <f t="shared" si="85"/>
        <v>#DIV/0!</v>
      </c>
      <c r="H483" s="2449">
        <f>IF(A483='Data Entry - SOF'!B$2,'Data Entry - SOF'!E$64,0)</f>
        <v>0</v>
      </c>
      <c r="I483" s="1687">
        <f t="shared" si="86"/>
        <v>697204</v>
      </c>
      <c r="J483" s="2212" t="e">
        <f>IF('Report-M&amp;O1819'!C$18-'Report-SOF1819'!D$55&lt;=0,0,'Report-M&amp;O1819'!C$18-'Report-SOF1819'!D$55)</f>
        <v>#DIV/0!</v>
      </c>
      <c r="K483" s="2452" t="e">
        <f t="shared" si="87"/>
        <v>#DIV/0!</v>
      </c>
      <c r="L483" s="2449">
        <f>IF(A483='Data Entry - SOF'!B$2,'Data Entry - SOF'!G$64,0)</f>
        <v>0</v>
      </c>
      <c r="M483" s="1371">
        <f t="shared" si="88"/>
        <v>697204</v>
      </c>
      <c r="N483" s="2212" t="e">
        <f>IF('Report-M&amp;O1920'!C$18-'Report-SOF1920'!D$55&lt;=0,0,'Report-M&amp;O1920'!C$18-'Report-SOF1920'!D$55)</f>
        <v>#DIV/0!</v>
      </c>
      <c r="O483" s="2452" t="e">
        <f t="shared" si="89"/>
        <v>#DIV/0!</v>
      </c>
      <c r="P483" s="2449">
        <f>IF(A483='Data Entry - SOF'!B$2,'Data Entry - SOF'!I$64,0)</f>
        <v>0</v>
      </c>
      <c r="Q483" s="1687">
        <f t="shared" si="84"/>
        <v>697204</v>
      </c>
      <c r="R483" s="2212" t="e">
        <f>IF('Report-M&amp;O2021'!C$18-'Report-SOF2021'!D$55&lt;=0,0,'Report-M&amp;O2021'!C$18-'Report-SOF2021'!D$55)</f>
        <v>#DIV/0!</v>
      </c>
      <c r="S483" s="2452" t="e">
        <f t="shared" si="90"/>
        <v>#DIV/0!</v>
      </c>
      <c r="T483" s="1708">
        <f>IF(A483='Data Entry - SOF'!B$2,'Data Entry - SOF'!K$64,0)</f>
        <v>0</v>
      </c>
      <c r="U483" s="1687">
        <f t="shared" si="94"/>
        <v>697204</v>
      </c>
      <c r="V483" s="2212" t="e">
        <f>IF('Report-M&amp;O2122'!C$18-'Report-SOF2122'!D$55&lt;=0,0,'Report-M&amp;O2122'!C$18-'Report-SOF2122'!D$55)</f>
        <v>#DIV/0!</v>
      </c>
      <c r="W483" s="2452" t="e">
        <f t="shared" si="91"/>
        <v>#DIV/0!</v>
      </c>
      <c r="X483" s="1708">
        <f>IF(A483='Data Entry - SOF'!B$2,'Data Entry - SOF'!M$64,0)</f>
        <v>0</v>
      </c>
      <c r="Y483" s="1371" t="e">
        <f t="shared" si="92"/>
        <v>#DIV/0!</v>
      </c>
      <c r="Z483" s="2212" t="e">
        <f>IF('Report-M&amp;O2223'!C$18-'Report-SOF2223'!D$55&lt;=0,0,'Report-M&amp;O2223'!C$18-'Report-SOF2223'!D$55)</f>
        <v>#DIV/0!</v>
      </c>
      <c r="AA483" s="1708">
        <f>IF(A483='Data Entry - SOF'!B$2,'Data Entry - SOF'!O$64,0)</f>
        <v>0</v>
      </c>
    </row>
    <row r="484" spans="1:27" ht="15.75">
      <c r="A484" s="1076" t="s">
        <v>2217</v>
      </c>
      <c r="B484">
        <v>221782</v>
      </c>
      <c r="C484" s="2452" t="e">
        <f>#REF!+#REF!</f>
        <v>#REF!</v>
      </c>
      <c r="D484" s="2449">
        <f>IF(A484='Data Entry - SOF'!B$2,'Data Entry - SOF'!C$64,0)</f>
        <v>0</v>
      </c>
      <c r="E484" s="2450">
        <f t="shared" si="93"/>
        <v>221782</v>
      </c>
      <c r="F484" s="2212" t="e">
        <f>IF('Report-M&amp;O1718'!C$18-'Report-SOF1718'!D$55&lt;=0,0,'Report-M&amp;O1718'!C$18-'Report-SOF1718'!D$55)</f>
        <v>#DIV/0!</v>
      </c>
      <c r="G484" s="2452" t="e">
        <f t="shared" si="85"/>
        <v>#DIV/0!</v>
      </c>
      <c r="H484" s="2449">
        <f>IF(A484='Data Entry - SOF'!B$2,'Data Entry - SOF'!E$64,0)</f>
        <v>0</v>
      </c>
      <c r="I484" s="1687">
        <f t="shared" si="86"/>
        <v>221782</v>
      </c>
      <c r="J484" s="2212" t="e">
        <f>IF('Report-M&amp;O1819'!C$18-'Report-SOF1819'!D$55&lt;=0,0,'Report-M&amp;O1819'!C$18-'Report-SOF1819'!D$55)</f>
        <v>#DIV/0!</v>
      </c>
      <c r="K484" s="2452" t="e">
        <f t="shared" si="87"/>
        <v>#DIV/0!</v>
      </c>
      <c r="L484" s="2449">
        <f>IF(A484='Data Entry - SOF'!B$2,'Data Entry - SOF'!G$64,0)</f>
        <v>0</v>
      </c>
      <c r="M484" s="1371">
        <f t="shared" si="88"/>
        <v>221782</v>
      </c>
      <c r="N484" s="2212" t="e">
        <f>IF('Report-M&amp;O1920'!C$18-'Report-SOF1920'!D$55&lt;=0,0,'Report-M&amp;O1920'!C$18-'Report-SOF1920'!D$55)</f>
        <v>#DIV/0!</v>
      </c>
      <c r="O484" s="2452" t="e">
        <f t="shared" si="89"/>
        <v>#DIV/0!</v>
      </c>
      <c r="P484" s="2449">
        <f>IF(A484='Data Entry - SOF'!B$2,'Data Entry - SOF'!I$64,0)</f>
        <v>0</v>
      </c>
      <c r="Q484" s="1687">
        <f t="shared" si="84"/>
        <v>221782</v>
      </c>
      <c r="R484" s="2212" t="e">
        <f>IF('Report-M&amp;O2021'!C$18-'Report-SOF2021'!D$55&lt;=0,0,'Report-M&amp;O2021'!C$18-'Report-SOF2021'!D$55)</f>
        <v>#DIV/0!</v>
      </c>
      <c r="S484" s="2452" t="e">
        <f t="shared" si="90"/>
        <v>#DIV/0!</v>
      </c>
      <c r="T484" s="1708">
        <f>IF(A484='Data Entry - SOF'!B$2,'Data Entry - SOF'!K$64,0)</f>
        <v>0</v>
      </c>
      <c r="U484" s="1687">
        <f t="shared" si="94"/>
        <v>221782</v>
      </c>
      <c r="V484" s="2212" t="e">
        <f>IF('Report-M&amp;O2122'!C$18-'Report-SOF2122'!D$55&lt;=0,0,'Report-M&amp;O2122'!C$18-'Report-SOF2122'!D$55)</f>
        <v>#DIV/0!</v>
      </c>
      <c r="W484" s="2452" t="e">
        <f t="shared" si="91"/>
        <v>#DIV/0!</v>
      </c>
      <c r="X484" s="1708">
        <f>IF(A484='Data Entry - SOF'!B$2,'Data Entry - SOF'!M$64,0)</f>
        <v>0</v>
      </c>
      <c r="Y484" s="1371" t="e">
        <f t="shared" si="92"/>
        <v>#DIV/0!</v>
      </c>
      <c r="Z484" s="2212" t="e">
        <f>IF('Report-M&amp;O2223'!C$18-'Report-SOF2223'!D$55&lt;=0,0,'Report-M&amp;O2223'!C$18-'Report-SOF2223'!D$55)</f>
        <v>#DIV/0!</v>
      </c>
      <c r="AA484" s="1708">
        <f>IF(A484='Data Entry - SOF'!B$2,'Data Entry - SOF'!O$64,0)</f>
        <v>0</v>
      </c>
    </row>
    <row r="485" spans="1:27" ht="15.75">
      <c r="A485" s="1076" t="s">
        <v>210</v>
      </c>
      <c r="B485">
        <v>270332</v>
      </c>
      <c r="C485" s="2452" t="e">
        <f>#REF!+#REF!</f>
        <v>#REF!</v>
      </c>
      <c r="D485" s="2449">
        <f>IF(A485='Data Entry - SOF'!B$2,'Data Entry - SOF'!C$64,0)</f>
        <v>0</v>
      </c>
      <c r="E485" s="2450">
        <f t="shared" si="93"/>
        <v>270332</v>
      </c>
      <c r="F485" s="2212" t="e">
        <f>IF('Report-M&amp;O1718'!C$18-'Report-SOF1718'!D$55&lt;=0,0,'Report-M&amp;O1718'!C$18-'Report-SOF1718'!D$55)</f>
        <v>#DIV/0!</v>
      </c>
      <c r="G485" s="2452" t="e">
        <f t="shared" si="85"/>
        <v>#DIV/0!</v>
      </c>
      <c r="H485" s="2449">
        <f>IF(A485='Data Entry - SOF'!B$2,'Data Entry - SOF'!E$64,0)</f>
        <v>0</v>
      </c>
      <c r="I485" s="1687">
        <f t="shared" si="86"/>
        <v>270332</v>
      </c>
      <c r="J485" s="2212" t="e">
        <f>IF('Report-M&amp;O1819'!C$18-'Report-SOF1819'!D$55&lt;=0,0,'Report-M&amp;O1819'!C$18-'Report-SOF1819'!D$55)</f>
        <v>#DIV/0!</v>
      </c>
      <c r="K485" s="2452" t="e">
        <f t="shared" si="87"/>
        <v>#DIV/0!</v>
      </c>
      <c r="L485" s="2449">
        <f>IF(A485='Data Entry - SOF'!B$2,'Data Entry - SOF'!G$64,0)</f>
        <v>0</v>
      </c>
      <c r="M485" s="1371">
        <f t="shared" si="88"/>
        <v>270332</v>
      </c>
      <c r="N485" s="2212" t="e">
        <f>IF('Report-M&amp;O1920'!C$18-'Report-SOF1920'!D$55&lt;=0,0,'Report-M&amp;O1920'!C$18-'Report-SOF1920'!D$55)</f>
        <v>#DIV/0!</v>
      </c>
      <c r="O485" s="2452" t="e">
        <f t="shared" si="89"/>
        <v>#DIV/0!</v>
      </c>
      <c r="P485" s="2449">
        <f>IF(A485='Data Entry - SOF'!B$2,'Data Entry - SOF'!I$64,0)</f>
        <v>0</v>
      </c>
      <c r="Q485" s="1687">
        <f t="shared" si="84"/>
        <v>270332</v>
      </c>
      <c r="R485" s="2212" t="e">
        <f>IF('Report-M&amp;O2021'!C$18-'Report-SOF2021'!D$55&lt;=0,0,'Report-M&amp;O2021'!C$18-'Report-SOF2021'!D$55)</f>
        <v>#DIV/0!</v>
      </c>
      <c r="S485" s="2452" t="e">
        <f t="shared" si="90"/>
        <v>#DIV/0!</v>
      </c>
      <c r="T485" s="1708">
        <f>IF(A485='Data Entry - SOF'!B$2,'Data Entry - SOF'!K$64,0)</f>
        <v>0</v>
      </c>
      <c r="U485" s="1687">
        <f t="shared" si="94"/>
        <v>270332</v>
      </c>
      <c r="V485" s="2212" t="e">
        <f>IF('Report-M&amp;O2122'!C$18-'Report-SOF2122'!D$55&lt;=0,0,'Report-M&amp;O2122'!C$18-'Report-SOF2122'!D$55)</f>
        <v>#DIV/0!</v>
      </c>
      <c r="W485" s="2452" t="e">
        <f t="shared" si="91"/>
        <v>#DIV/0!</v>
      </c>
      <c r="X485" s="1708">
        <f>IF(A485='Data Entry - SOF'!B$2,'Data Entry - SOF'!M$64,0)</f>
        <v>0</v>
      </c>
      <c r="Y485" s="1371" t="e">
        <f t="shared" si="92"/>
        <v>#DIV/0!</v>
      </c>
      <c r="Z485" s="2212" t="e">
        <f>IF('Report-M&amp;O2223'!C$18-'Report-SOF2223'!D$55&lt;=0,0,'Report-M&amp;O2223'!C$18-'Report-SOF2223'!D$55)</f>
        <v>#DIV/0!</v>
      </c>
      <c r="AA485" s="1708">
        <f>IF(A485='Data Entry - SOF'!B$2,'Data Entry - SOF'!O$64,0)</f>
        <v>0</v>
      </c>
    </row>
    <row r="486" spans="1:27" ht="15.75">
      <c r="A486" s="1076" t="s">
        <v>211</v>
      </c>
      <c r="B486">
        <v>280052</v>
      </c>
      <c r="C486" s="2452" t="e">
        <f>#REF!+#REF!</f>
        <v>#REF!</v>
      </c>
      <c r="D486" s="2449">
        <f>IF(A486='Data Entry - SOF'!B$2,'Data Entry - SOF'!C$64,0)</f>
        <v>0</v>
      </c>
      <c r="E486" s="2450">
        <f t="shared" si="93"/>
        <v>280052</v>
      </c>
      <c r="F486" s="2212" t="e">
        <f>IF('Report-M&amp;O1718'!C$18-'Report-SOF1718'!D$55&lt;=0,0,'Report-M&amp;O1718'!C$18-'Report-SOF1718'!D$55)</f>
        <v>#DIV/0!</v>
      </c>
      <c r="G486" s="2452" t="e">
        <f t="shared" si="85"/>
        <v>#DIV/0!</v>
      </c>
      <c r="H486" s="2449">
        <f>IF(A486='Data Entry - SOF'!B$2,'Data Entry - SOF'!E$64,0)</f>
        <v>0</v>
      </c>
      <c r="I486" s="1687">
        <f t="shared" si="86"/>
        <v>280052</v>
      </c>
      <c r="J486" s="2212" t="e">
        <f>IF('Report-M&amp;O1819'!C$18-'Report-SOF1819'!D$55&lt;=0,0,'Report-M&amp;O1819'!C$18-'Report-SOF1819'!D$55)</f>
        <v>#DIV/0!</v>
      </c>
      <c r="K486" s="2452" t="e">
        <f t="shared" si="87"/>
        <v>#DIV/0!</v>
      </c>
      <c r="L486" s="2449">
        <f>IF(A486='Data Entry - SOF'!B$2,'Data Entry - SOF'!G$64,0)</f>
        <v>0</v>
      </c>
      <c r="M486" s="1371">
        <f t="shared" si="88"/>
        <v>280052</v>
      </c>
      <c r="N486" s="2212" t="e">
        <f>IF('Report-M&amp;O1920'!C$18-'Report-SOF1920'!D$55&lt;=0,0,'Report-M&amp;O1920'!C$18-'Report-SOF1920'!D$55)</f>
        <v>#DIV/0!</v>
      </c>
      <c r="O486" s="2452" t="e">
        <f t="shared" si="89"/>
        <v>#DIV/0!</v>
      </c>
      <c r="P486" s="2449">
        <f>IF(A486='Data Entry - SOF'!B$2,'Data Entry - SOF'!I$64,0)</f>
        <v>0</v>
      </c>
      <c r="Q486" s="1687">
        <f t="shared" si="84"/>
        <v>280052</v>
      </c>
      <c r="R486" s="2212" t="e">
        <f>IF('Report-M&amp;O2021'!C$18-'Report-SOF2021'!D$55&lt;=0,0,'Report-M&amp;O2021'!C$18-'Report-SOF2021'!D$55)</f>
        <v>#DIV/0!</v>
      </c>
      <c r="S486" s="2452" t="e">
        <f t="shared" si="90"/>
        <v>#DIV/0!</v>
      </c>
      <c r="T486" s="1708">
        <f>IF(A486='Data Entry - SOF'!B$2,'Data Entry - SOF'!K$64,0)</f>
        <v>0</v>
      </c>
      <c r="U486" s="1687">
        <f t="shared" si="94"/>
        <v>280052</v>
      </c>
      <c r="V486" s="2212" t="e">
        <f>IF('Report-M&amp;O2122'!C$18-'Report-SOF2122'!D$55&lt;=0,0,'Report-M&amp;O2122'!C$18-'Report-SOF2122'!D$55)</f>
        <v>#DIV/0!</v>
      </c>
      <c r="W486" s="2452" t="e">
        <f t="shared" si="91"/>
        <v>#DIV/0!</v>
      </c>
      <c r="X486" s="1708">
        <f>IF(A486='Data Entry - SOF'!B$2,'Data Entry - SOF'!M$64,0)</f>
        <v>0</v>
      </c>
      <c r="Y486" s="1371" t="e">
        <f t="shared" si="92"/>
        <v>#DIV/0!</v>
      </c>
      <c r="Z486" s="2212" t="e">
        <f>IF('Report-M&amp;O2223'!C$18-'Report-SOF2223'!D$55&lt;=0,0,'Report-M&amp;O2223'!C$18-'Report-SOF2223'!D$55)</f>
        <v>#DIV/0!</v>
      </c>
      <c r="AA486" s="1708">
        <f>IF(A486='Data Entry - SOF'!B$2,'Data Entry - SOF'!O$64,0)</f>
        <v>0</v>
      </c>
    </row>
    <row r="487" spans="1:27" ht="15.75">
      <c r="A487" s="1076" t="s">
        <v>1688</v>
      </c>
      <c r="B487">
        <v>447266</v>
      </c>
      <c r="C487" s="2452" t="e">
        <f>#REF!+#REF!</f>
        <v>#REF!</v>
      </c>
      <c r="D487" s="2449">
        <f>IF(A487='Data Entry - SOF'!B$2,'Data Entry - SOF'!C$64,0)</f>
        <v>0</v>
      </c>
      <c r="E487" s="2450">
        <f t="shared" si="93"/>
        <v>447266</v>
      </c>
      <c r="F487" s="2212" t="e">
        <f>IF('Report-M&amp;O1718'!C$18-'Report-SOF1718'!D$55&lt;=0,0,'Report-M&amp;O1718'!C$18-'Report-SOF1718'!D$55)</f>
        <v>#DIV/0!</v>
      </c>
      <c r="G487" s="2452" t="e">
        <f t="shared" si="85"/>
        <v>#DIV/0!</v>
      </c>
      <c r="H487" s="2449">
        <f>IF(A487='Data Entry - SOF'!B$2,'Data Entry - SOF'!E$64,0)</f>
        <v>0</v>
      </c>
      <c r="I487" s="1687">
        <f t="shared" si="86"/>
        <v>447266</v>
      </c>
      <c r="J487" s="2212" t="e">
        <f>IF('Report-M&amp;O1819'!C$18-'Report-SOF1819'!D$55&lt;=0,0,'Report-M&amp;O1819'!C$18-'Report-SOF1819'!D$55)</f>
        <v>#DIV/0!</v>
      </c>
      <c r="K487" s="2452" t="e">
        <f t="shared" si="87"/>
        <v>#DIV/0!</v>
      </c>
      <c r="L487" s="2449">
        <f>IF(A487='Data Entry - SOF'!B$2,'Data Entry - SOF'!G$64,0)</f>
        <v>0</v>
      </c>
      <c r="M487" s="1371">
        <f t="shared" si="88"/>
        <v>447266</v>
      </c>
      <c r="N487" s="2212" t="e">
        <f>IF('Report-M&amp;O1920'!C$18-'Report-SOF1920'!D$55&lt;=0,0,'Report-M&amp;O1920'!C$18-'Report-SOF1920'!D$55)</f>
        <v>#DIV/0!</v>
      </c>
      <c r="O487" s="2452" t="e">
        <f t="shared" si="89"/>
        <v>#DIV/0!</v>
      </c>
      <c r="P487" s="2449">
        <f>IF(A487='Data Entry - SOF'!B$2,'Data Entry - SOF'!I$64,0)</f>
        <v>0</v>
      </c>
      <c r="Q487" s="1687">
        <f t="shared" si="84"/>
        <v>447266</v>
      </c>
      <c r="R487" s="2212" t="e">
        <f>IF('Report-M&amp;O2021'!C$18-'Report-SOF2021'!D$55&lt;=0,0,'Report-M&amp;O2021'!C$18-'Report-SOF2021'!D$55)</f>
        <v>#DIV/0!</v>
      </c>
      <c r="S487" s="2452" t="e">
        <f t="shared" si="90"/>
        <v>#DIV/0!</v>
      </c>
      <c r="T487" s="1708">
        <f>IF(A487='Data Entry - SOF'!B$2,'Data Entry - SOF'!K$64,0)</f>
        <v>0</v>
      </c>
      <c r="U487" s="1687">
        <f t="shared" si="94"/>
        <v>447266</v>
      </c>
      <c r="V487" s="2212" t="e">
        <f>IF('Report-M&amp;O2122'!C$18-'Report-SOF2122'!D$55&lt;=0,0,'Report-M&amp;O2122'!C$18-'Report-SOF2122'!D$55)</f>
        <v>#DIV/0!</v>
      </c>
      <c r="W487" s="2452" t="e">
        <f t="shared" si="91"/>
        <v>#DIV/0!</v>
      </c>
      <c r="X487" s="1708">
        <f>IF(A487='Data Entry - SOF'!B$2,'Data Entry - SOF'!M$64,0)</f>
        <v>0</v>
      </c>
      <c r="Y487" s="1371" t="e">
        <f t="shared" si="92"/>
        <v>#DIV/0!</v>
      </c>
      <c r="Z487" s="2212" t="e">
        <f>IF('Report-M&amp;O2223'!C$18-'Report-SOF2223'!D$55&lt;=0,0,'Report-M&amp;O2223'!C$18-'Report-SOF2223'!D$55)</f>
        <v>#DIV/0!</v>
      </c>
      <c r="AA487" s="1708">
        <f>IF(A487='Data Entry - SOF'!B$2,'Data Entry - SOF'!O$64,0)</f>
        <v>0</v>
      </c>
    </row>
    <row r="488" spans="1:27" ht="15.75">
      <c r="A488" s="1076" t="s">
        <v>1601</v>
      </c>
      <c r="B488">
        <v>3422809</v>
      </c>
      <c r="C488" s="2452" t="e">
        <f>#REF!+#REF!</f>
        <v>#REF!</v>
      </c>
      <c r="D488" s="2449">
        <f>IF(A488='Data Entry - SOF'!B$2,'Data Entry - SOF'!C$64,0)</f>
        <v>0</v>
      </c>
      <c r="E488" s="2450">
        <f t="shared" si="93"/>
        <v>3422809</v>
      </c>
      <c r="F488" s="2212" t="e">
        <f>IF('Report-M&amp;O1718'!C$18-'Report-SOF1718'!D$55&lt;=0,0,'Report-M&amp;O1718'!C$18-'Report-SOF1718'!D$55)</f>
        <v>#DIV/0!</v>
      </c>
      <c r="G488" s="2452" t="e">
        <f t="shared" si="85"/>
        <v>#DIV/0!</v>
      </c>
      <c r="H488" s="2449">
        <f>IF(A488='Data Entry - SOF'!B$2,'Data Entry - SOF'!E$64,0)</f>
        <v>0</v>
      </c>
      <c r="I488" s="1687">
        <f t="shared" si="86"/>
        <v>3422809</v>
      </c>
      <c r="J488" s="2212" t="e">
        <f>IF('Report-M&amp;O1819'!C$18-'Report-SOF1819'!D$55&lt;=0,0,'Report-M&amp;O1819'!C$18-'Report-SOF1819'!D$55)</f>
        <v>#DIV/0!</v>
      </c>
      <c r="K488" s="2452" t="e">
        <f t="shared" si="87"/>
        <v>#DIV/0!</v>
      </c>
      <c r="L488" s="2449">
        <f>IF(A488='Data Entry - SOF'!B$2,'Data Entry - SOF'!G$64,0)</f>
        <v>0</v>
      </c>
      <c r="M488" s="1371">
        <f t="shared" si="88"/>
        <v>3422809</v>
      </c>
      <c r="N488" s="2212" t="e">
        <f>IF('Report-M&amp;O1920'!C$18-'Report-SOF1920'!D$55&lt;=0,0,'Report-M&amp;O1920'!C$18-'Report-SOF1920'!D$55)</f>
        <v>#DIV/0!</v>
      </c>
      <c r="O488" s="2452" t="e">
        <f t="shared" si="89"/>
        <v>#DIV/0!</v>
      </c>
      <c r="P488" s="2449">
        <f>IF(A488='Data Entry - SOF'!B$2,'Data Entry - SOF'!I$64,0)</f>
        <v>0</v>
      </c>
      <c r="Q488" s="1687">
        <f t="shared" si="84"/>
        <v>3422809</v>
      </c>
      <c r="R488" s="2212" t="e">
        <f>IF('Report-M&amp;O2021'!C$18-'Report-SOF2021'!D$55&lt;=0,0,'Report-M&amp;O2021'!C$18-'Report-SOF2021'!D$55)</f>
        <v>#DIV/0!</v>
      </c>
      <c r="S488" s="2452" t="e">
        <f t="shared" si="90"/>
        <v>#DIV/0!</v>
      </c>
      <c r="T488" s="1708">
        <f>IF(A488='Data Entry - SOF'!B$2,'Data Entry - SOF'!K$64,0)</f>
        <v>0</v>
      </c>
      <c r="U488" s="1687">
        <f t="shared" si="94"/>
        <v>3422809</v>
      </c>
      <c r="V488" s="2212" t="e">
        <f>IF('Report-M&amp;O2122'!C$18-'Report-SOF2122'!D$55&lt;=0,0,'Report-M&amp;O2122'!C$18-'Report-SOF2122'!D$55)</f>
        <v>#DIV/0!</v>
      </c>
      <c r="W488" s="2452" t="e">
        <f t="shared" si="91"/>
        <v>#DIV/0!</v>
      </c>
      <c r="X488" s="1708">
        <f>IF(A488='Data Entry - SOF'!B$2,'Data Entry - SOF'!M$64,0)</f>
        <v>0</v>
      </c>
      <c r="Y488" s="1371" t="e">
        <f t="shared" si="92"/>
        <v>#DIV/0!</v>
      </c>
      <c r="Z488" s="2212" t="e">
        <f>IF('Report-M&amp;O2223'!C$18-'Report-SOF2223'!D$55&lt;=0,0,'Report-M&amp;O2223'!C$18-'Report-SOF2223'!D$55)</f>
        <v>#DIV/0!</v>
      </c>
      <c r="AA488" s="1708">
        <f>IF(A488='Data Entry - SOF'!B$2,'Data Entry - SOF'!O$64,0)</f>
        <v>0</v>
      </c>
    </row>
    <row r="489" spans="1:27" ht="15.75">
      <c r="A489" s="1076" t="s">
        <v>1432</v>
      </c>
      <c r="B489">
        <v>2238656</v>
      </c>
      <c r="C489" s="2452" t="e">
        <f>#REF!+#REF!</f>
        <v>#REF!</v>
      </c>
      <c r="D489" s="2449">
        <f>IF(A489='Data Entry - SOF'!B$2,'Data Entry - SOF'!C$64,0)</f>
        <v>0</v>
      </c>
      <c r="E489" s="2450">
        <f t="shared" si="93"/>
        <v>2238656</v>
      </c>
      <c r="F489" s="2212" t="e">
        <f>IF('Report-M&amp;O1718'!C$18-'Report-SOF1718'!D$55&lt;=0,0,'Report-M&amp;O1718'!C$18-'Report-SOF1718'!D$55)</f>
        <v>#DIV/0!</v>
      </c>
      <c r="G489" s="2452" t="e">
        <f t="shared" si="85"/>
        <v>#DIV/0!</v>
      </c>
      <c r="H489" s="2449">
        <f>IF(A489='Data Entry - SOF'!B$2,'Data Entry - SOF'!E$64,0)</f>
        <v>0</v>
      </c>
      <c r="I489" s="1687">
        <f t="shared" si="86"/>
        <v>2238656</v>
      </c>
      <c r="J489" s="2212" t="e">
        <f>IF('Report-M&amp;O1819'!C$18-'Report-SOF1819'!D$55&lt;=0,0,'Report-M&amp;O1819'!C$18-'Report-SOF1819'!D$55)</f>
        <v>#DIV/0!</v>
      </c>
      <c r="K489" s="2452" t="e">
        <f t="shared" si="87"/>
        <v>#DIV/0!</v>
      </c>
      <c r="L489" s="2449">
        <f>IF(A489='Data Entry - SOF'!B$2,'Data Entry - SOF'!G$64,0)</f>
        <v>0</v>
      </c>
      <c r="M489" s="1371">
        <f t="shared" si="88"/>
        <v>2238656</v>
      </c>
      <c r="N489" s="2212" t="e">
        <f>IF('Report-M&amp;O1920'!C$18-'Report-SOF1920'!D$55&lt;=0,0,'Report-M&amp;O1920'!C$18-'Report-SOF1920'!D$55)</f>
        <v>#DIV/0!</v>
      </c>
      <c r="O489" s="2452" t="e">
        <f t="shared" si="89"/>
        <v>#DIV/0!</v>
      </c>
      <c r="P489" s="2449">
        <f>IF(A489='Data Entry - SOF'!B$2,'Data Entry - SOF'!I$64,0)</f>
        <v>0</v>
      </c>
      <c r="Q489" s="1687">
        <f t="shared" si="84"/>
        <v>2238656</v>
      </c>
      <c r="R489" s="2212" t="e">
        <f>IF('Report-M&amp;O2021'!C$18-'Report-SOF2021'!D$55&lt;=0,0,'Report-M&amp;O2021'!C$18-'Report-SOF2021'!D$55)</f>
        <v>#DIV/0!</v>
      </c>
      <c r="S489" s="2452" t="e">
        <f t="shared" si="90"/>
        <v>#DIV/0!</v>
      </c>
      <c r="T489" s="1708">
        <f>IF(A489='Data Entry - SOF'!B$2,'Data Entry - SOF'!K$64,0)</f>
        <v>0</v>
      </c>
      <c r="U489" s="1687">
        <f t="shared" si="94"/>
        <v>2238656</v>
      </c>
      <c r="V489" s="2212" t="e">
        <f>IF('Report-M&amp;O2122'!C$18-'Report-SOF2122'!D$55&lt;=0,0,'Report-M&amp;O2122'!C$18-'Report-SOF2122'!D$55)</f>
        <v>#DIV/0!</v>
      </c>
      <c r="W489" s="2452" t="e">
        <f t="shared" si="91"/>
        <v>#DIV/0!</v>
      </c>
      <c r="X489" s="1708">
        <f>IF(A489='Data Entry - SOF'!B$2,'Data Entry - SOF'!M$64,0)</f>
        <v>0</v>
      </c>
      <c r="Y489" s="1371" t="e">
        <f t="shared" si="92"/>
        <v>#DIV/0!</v>
      </c>
      <c r="Z489" s="2212" t="e">
        <f>IF('Report-M&amp;O2223'!C$18-'Report-SOF2223'!D$55&lt;=0,0,'Report-M&amp;O2223'!C$18-'Report-SOF2223'!D$55)</f>
        <v>#DIV/0!</v>
      </c>
      <c r="AA489" s="1708">
        <f>IF(A489='Data Entry - SOF'!B$2,'Data Entry - SOF'!O$64,0)</f>
        <v>0</v>
      </c>
    </row>
    <row r="490" spans="1:27" ht="15.75">
      <c r="A490" s="1076" t="s">
        <v>1104</v>
      </c>
      <c r="B490">
        <v>2099133</v>
      </c>
      <c r="C490" s="2452" t="e">
        <f>#REF!+#REF!</f>
        <v>#REF!</v>
      </c>
      <c r="D490" s="2449">
        <f>IF(A490='Data Entry - SOF'!B$2,'Data Entry - SOF'!C$64,0)</f>
        <v>0</v>
      </c>
      <c r="E490" s="2450">
        <f t="shared" si="93"/>
        <v>2099133</v>
      </c>
      <c r="F490" s="2212" t="e">
        <f>IF('Report-M&amp;O1718'!C$18-'Report-SOF1718'!D$55&lt;=0,0,'Report-M&amp;O1718'!C$18-'Report-SOF1718'!D$55)</f>
        <v>#DIV/0!</v>
      </c>
      <c r="G490" s="2452" t="e">
        <f t="shared" si="85"/>
        <v>#DIV/0!</v>
      </c>
      <c r="H490" s="2449">
        <f>IF(A490='Data Entry - SOF'!B$2,'Data Entry - SOF'!E$64,0)</f>
        <v>0</v>
      </c>
      <c r="I490" s="1687">
        <f t="shared" si="86"/>
        <v>2099133</v>
      </c>
      <c r="J490" s="2212" t="e">
        <f>IF('Report-M&amp;O1819'!C$18-'Report-SOF1819'!D$55&lt;=0,0,'Report-M&amp;O1819'!C$18-'Report-SOF1819'!D$55)</f>
        <v>#DIV/0!</v>
      </c>
      <c r="K490" s="2452" t="e">
        <f t="shared" si="87"/>
        <v>#DIV/0!</v>
      </c>
      <c r="L490" s="2449">
        <f>IF(A490='Data Entry - SOF'!B$2,'Data Entry - SOF'!G$64,0)</f>
        <v>0</v>
      </c>
      <c r="M490" s="1371">
        <f t="shared" si="88"/>
        <v>2099133</v>
      </c>
      <c r="N490" s="2212" t="e">
        <f>IF('Report-M&amp;O1920'!C$18-'Report-SOF1920'!D$55&lt;=0,0,'Report-M&amp;O1920'!C$18-'Report-SOF1920'!D$55)</f>
        <v>#DIV/0!</v>
      </c>
      <c r="O490" s="2452" t="e">
        <f t="shared" si="89"/>
        <v>#DIV/0!</v>
      </c>
      <c r="P490" s="2449">
        <f>IF(A490='Data Entry - SOF'!B$2,'Data Entry - SOF'!I$64,0)</f>
        <v>0</v>
      </c>
      <c r="Q490" s="1687">
        <f t="shared" si="84"/>
        <v>2099133</v>
      </c>
      <c r="R490" s="2212" t="e">
        <f>IF('Report-M&amp;O2021'!C$18-'Report-SOF2021'!D$55&lt;=0,0,'Report-M&amp;O2021'!C$18-'Report-SOF2021'!D$55)</f>
        <v>#DIV/0!</v>
      </c>
      <c r="S490" s="2452" t="e">
        <f t="shared" si="90"/>
        <v>#DIV/0!</v>
      </c>
      <c r="T490" s="1708">
        <f>IF(A490='Data Entry - SOF'!B$2,'Data Entry - SOF'!K$64,0)</f>
        <v>0</v>
      </c>
      <c r="U490" s="1687">
        <f t="shared" si="94"/>
        <v>2099133</v>
      </c>
      <c r="V490" s="2212" t="e">
        <f>IF('Report-M&amp;O2122'!C$18-'Report-SOF2122'!D$55&lt;=0,0,'Report-M&amp;O2122'!C$18-'Report-SOF2122'!D$55)</f>
        <v>#DIV/0!</v>
      </c>
      <c r="W490" s="2452" t="e">
        <f t="shared" si="91"/>
        <v>#DIV/0!</v>
      </c>
      <c r="X490" s="1708">
        <f>IF(A490='Data Entry - SOF'!B$2,'Data Entry - SOF'!M$64,0)</f>
        <v>0</v>
      </c>
      <c r="Y490" s="1371" t="e">
        <f t="shared" si="92"/>
        <v>#DIV/0!</v>
      </c>
      <c r="Z490" s="2212" t="e">
        <f>IF('Report-M&amp;O2223'!C$18-'Report-SOF2223'!D$55&lt;=0,0,'Report-M&amp;O2223'!C$18-'Report-SOF2223'!D$55)</f>
        <v>#DIV/0!</v>
      </c>
      <c r="AA490" s="1708">
        <f>IF(A490='Data Entry - SOF'!B$2,'Data Entry - SOF'!O$64,0)</f>
        <v>0</v>
      </c>
    </row>
    <row r="491" spans="1:27" ht="15.75">
      <c r="A491" s="1076" t="s">
        <v>1105</v>
      </c>
      <c r="B491">
        <v>1317383</v>
      </c>
      <c r="C491" s="2452" t="e">
        <f>#REF!+#REF!</f>
        <v>#REF!</v>
      </c>
      <c r="D491" s="2449">
        <f>IF(A491='Data Entry - SOF'!B$2,'Data Entry - SOF'!C$64,0)</f>
        <v>0</v>
      </c>
      <c r="E491" s="2450">
        <f t="shared" si="93"/>
        <v>1317383</v>
      </c>
      <c r="F491" s="2212" t="e">
        <f>IF('Report-M&amp;O1718'!C$18-'Report-SOF1718'!D$55&lt;=0,0,'Report-M&amp;O1718'!C$18-'Report-SOF1718'!D$55)</f>
        <v>#DIV/0!</v>
      </c>
      <c r="G491" s="2452" t="e">
        <f t="shared" si="85"/>
        <v>#DIV/0!</v>
      </c>
      <c r="H491" s="2449">
        <f>IF(A491='Data Entry - SOF'!B$2,'Data Entry - SOF'!E$64,0)</f>
        <v>0</v>
      </c>
      <c r="I491" s="1687">
        <f t="shared" si="86"/>
        <v>1317383</v>
      </c>
      <c r="J491" s="2212" t="e">
        <f>IF('Report-M&amp;O1819'!C$18-'Report-SOF1819'!D$55&lt;=0,0,'Report-M&amp;O1819'!C$18-'Report-SOF1819'!D$55)</f>
        <v>#DIV/0!</v>
      </c>
      <c r="K491" s="2452" t="e">
        <f t="shared" si="87"/>
        <v>#DIV/0!</v>
      </c>
      <c r="L491" s="2449">
        <f>IF(A491='Data Entry - SOF'!B$2,'Data Entry - SOF'!G$64,0)</f>
        <v>0</v>
      </c>
      <c r="M491" s="1371">
        <f t="shared" si="88"/>
        <v>1317383</v>
      </c>
      <c r="N491" s="2212" t="e">
        <f>IF('Report-M&amp;O1920'!C$18-'Report-SOF1920'!D$55&lt;=0,0,'Report-M&amp;O1920'!C$18-'Report-SOF1920'!D$55)</f>
        <v>#DIV/0!</v>
      </c>
      <c r="O491" s="2452" t="e">
        <f t="shared" si="89"/>
        <v>#DIV/0!</v>
      </c>
      <c r="P491" s="2449">
        <f>IF(A491='Data Entry - SOF'!B$2,'Data Entry - SOF'!I$64,0)</f>
        <v>0</v>
      </c>
      <c r="Q491" s="1687">
        <f t="shared" si="84"/>
        <v>1317383</v>
      </c>
      <c r="R491" s="2212" t="e">
        <f>IF('Report-M&amp;O2021'!C$18-'Report-SOF2021'!D$55&lt;=0,0,'Report-M&amp;O2021'!C$18-'Report-SOF2021'!D$55)</f>
        <v>#DIV/0!</v>
      </c>
      <c r="S491" s="2452" t="e">
        <f t="shared" si="90"/>
        <v>#DIV/0!</v>
      </c>
      <c r="T491" s="1708">
        <f>IF(A491='Data Entry - SOF'!B$2,'Data Entry - SOF'!K$64,0)</f>
        <v>0</v>
      </c>
      <c r="U491" s="1687">
        <f t="shared" si="94"/>
        <v>1317383</v>
      </c>
      <c r="V491" s="2212" t="e">
        <f>IF('Report-M&amp;O2122'!C$18-'Report-SOF2122'!D$55&lt;=0,0,'Report-M&amp;O2122'!C$18-'Report-SOF2122'!D$55)</f>
        <v>#DIV/0!</v>
      </c>
      <c r="W491" s="2452" t="e">
        <f t="shared" si="91"/>
        <v>#DIV/0!</v>
      </c>
      <c r="X491" s="1708">
        <f>IF(A491='Data Entry - SOF'!B$2,'Data Entry - SOF'!M$64,0)</f>
        <v>0</v>
      </c>
      <c r="Y491" s="1371" t="e">
        <f t="shared" si="92"/>
        <v>#DIV/0!</v>
      </c>
      <c r="Z491" s="2212" t="e">
        <f>IF('Report-M&amp;O2223'!C$18-'Report-SOF2223'!D$55&lt;=0,0,'Report-M&amp;O2223'!C$18-'Report-SOF2223'!D$55)</f>
        <v>#DIV/0!</v>
      </c>
      <c r="AA491" s="1708">
        <f>IF(A491='Data Entry - SOF'!B$2,'Data Entry - SOF'!O$64,0)</f>
        <v>0</v>
      </c>
    </row>
    <row r="492" spans="1:27" ht="15.75">
      <c r="A492" s="1076" t="s">
        <v>1011</v>
      </c>
      <c r="B492">
        <v>473585</v>
      </c>
      <c r="C492" s="2452" t="e">
        <f>#REF!+#REF!</f>
        <v>#REF!</v>
      </c>
      <c r="D492" s="2449">
        <f>IF(A492='Data Entry - SOF'!B$2,'Data Entry - SOF'!C$64,0)</f>
        <v>0</v>
      </c>
      <c r="E492" s="2450">
        <f t="shared" si="93"/>
        <v>473585</v>
      </c>
      <c r="F492" s="2212" t="e">
        <f>IF('Report-M&amp;O1718'!C$18-'Report-SOF1718'!D$55&lt;=0,0,'Report-M&amp;O1718'!C$18-'Report-SOF1718'!D$55)</f>
        <v>#DIV/0!</v>
      </c>
      <c r="G492" s="2452" t="e">
        <f t="shared" si="85"/>
        <v>#DIV/0!</v>
      </c>
      <c r="H492" s="2449">
        <f>IF(A492='Data Entry - SOF'!B$2,'Data Entry - SOF'!E$64,0)</f>
        <v>0</v>
      </c>
      <c r="I492" s="1687">
        <f t="shared" si="86"/>
        <v>473585</v>
      </c>
      <c r="J492" s="2212" t="e">
        <f>IF('Report-M&amp;O1819'!C$18-'Report-SOF1819'!D$55&lt;=0,0,'Report-M&amp;O1819'!C$18-'Report-SOF1819'!D$55)</f>
        <v>#DIV/0!</v>
      </c>
      <c r="K492" s="2452" t="e">
        <f t="shared" si="87"/>
        <v>#DIV/0!</v>
      </c>
      <c r="L492" s="2449">
        <f>IF(A492='Data Entry - SOF'!B$2,'Data Entry - SOF'!G$64,0)</f>
        <v>0</v>
      </c>
      <c r="M492" s="1371">
        <f t="shared" si="88"/>
        <v>473585</v>
      </c>
      <c r="N492" s="2212" t="e">
        <f>IF('Report-M&amp;O1920'!C$18-'Report-SOF1920'!D$55&lt;=0,0,'Report-M&amp;O1920'!C$18-'Report-SOF1920'!D$55)</f>
        <v>#DIV/0!</v>
      </c>
      <c r="O492" s="2452" t="e">
        <f t="shared" si="89"/>
        <v>#DIV/0!</v>
      </c>
      <c r="P492" s="2449">
        <f>IF(A492='Data Entry - SOF'!B$2,'Data Entry - SOF'!I$64,0)</f>
        <v>0</v>
      </c>
      <c r="Q492" s="1687">
        <f t="shared" si="84"/>
        <v>473585</v>
      </c>
      <c r="R492" s="2212" t="e">
        <f>IF('Report-M&amp;O2021'!C$18-'Report-SOF2021'!D$55&lt;=0,0,'Report-M&amp;O2021'!C$18-'Report-SOF2021'!D$55)</f>
        <v>#DIV/0!</v>
      </c>
      <c r="S492" s="2452" t="e">
        <f t="shared" si="90"/>
        <v>#DIV/0!</v>
      </c>
      <c r="T492" s="1708">
        <f>IF(A492='Data Entry - SOF'!B$2,'Data Entry - SOF'!K$64,0)</f>
        <v>0</v>
      </c>
      <c r="U492" s="1687">
        <f t="shared" si="94"/>
        <v>473585</v>
      </c>
      <c r="V492" s="2212" t="e">
        <f>IF('Report-M&amp;O2122'!C$18-'Report-SOF2122'!D$55&lt;=0,0,'Report-M&amp;O2122'!C$18-'Report-SOF2122'!D$55)</f>
        <v>#DIV/0!</v>
      </c>
      <c r="W492" s="2452" t="e">
        <f t="shared" si="91"/>
        <v>#DIV/0!</v>
      </c>
      <c r="X492" s="1708">
        <f>IF(A492='Data Entry - SOF'!B$2,'Data Entry - SOF'!M$64,0)</f>
        <v>0</v>
      </c>
      <c r="Y492" s="1371" t="e">
        <f t="shared" si="92"/>
        <v>#DIV/0!</v>
      </c>
      <c r="Z492" s="2212" t="e">
        <f>IF('Report-M&amp;O2223'!C$18-'Report-SOF2223'!D$55&lt;=0,0,'Report-M&amp;O2223'!C$18-'Report-SOF2223'!D$55)</f>
        <v>#DIV/0!</v>
      </c>
      <c r="AA492" s="1708">
        <f>IF(A492='Data Entry - SOF'!B$2,'Data Entry - SOF'!O$64,0)</f>
        <v>0</v>
      </c>
    </row>
    <row r="493" spans="1:27" ht="15.75">
      <c r="A493" s="1076" t="s">
        <v>2036</v>
      </c>
      <c r="B493">
        <v>15533540</v>
      </c>
      <c r="C493" s="2452" t="e">
        <f>#REF!+#REF!</f>
        <v>#REF!</v>
      </c>
      <c r="D493" s="2449">
        <f>IF(A493='Data Entry - SOF'!B$2,'Data Entry - SOF'!C$64,0)</f>
        <v>0</v>
      </c>
      <c r="E493" s="2450">
        <f t="shared" si="93"/>
        <v>15533540</v>
      </c>
      <c r="F493" s="2212" t="e">
        <f>IF('Report-M&amp;O1718'!C$18-'Report-SOF1718'!D$55&lt;=0,0,'Report-M&amp;O1718'!C$18-'Report-SOF1718'!D$55)</f>
        <v>#DIV/0!</v>
      </c>
      <c r="G493" s="2452" t="e">
        <f t="shared" si="85"/>
        <v>#DIV/0!</v>
      </c>
      <c r="H493" s="2449">
        <f>IF(A493='Data Entry - SOF'!B$2,'Data Entry - SOF'!E$64,0)</f>
        <v>0</v>
      </c>
      <c r="I493" s="1687">
        <f t="shared" si="86"/>
        <v>15533540</v>
      </c>
      <c r="J493" s="2212" t="e">
        <f>IF('Report-M&amp;O1819'!C$18-'Report-SOF1819'!D$55&lt;=0,0,'Report-M&amp;O1819'!C$18-'Report-SOF1819'!D$55)</f>
        <v>#DIV/0!</v>
      </c>
      <c r="K493" s="2452" t="e">
        <f t="shared" si="87"/>
        <v>#DIV/0!</v>
      </c>
      <c r="L493" s="2449">
        <f>IF(A493='Data Entry - SOF'!B$2,'Data Entry - SOF'!G$64,0)</f>
        <v>0</v>
      </c>
      <c r="M493" s="1371">
        <f t="shared" si="88"/>
        <v>15533540</v>
      </c>
      <c r="N493" s="2212" t="e">
        <f>IF('Report-M&amp;O1920'!C$18-'Report-SOF1920'!D$55&lt;=0,0,'Report-M&amp;O1920'!C$18-'Report-SOF1920'!D$55)</f>
        <v>#DIV/0!</v>
      </c>
      <c r="O493" s="2452" t="e">
        <f t="shared" si="89"/>
        <v>#DIV/0!</v>
      </c>
      <c r="P493" s="2449">
        <f>IF(A493='Data Entry - SOF'!B$2,'Data Entry - SOF'!I$64,0)</f>
        <v>0</v>
      </c>
      <c r="Q493" s="1687">
        <f t="shared" si="84"/>
        <v>15533540</v>
      </c>
      <c r="R493" s="2212" t="e">
        <f>IF('Report-M&amp;O2021'!C$18-'Report-SOF2021'!D$55&lt;=0,0,'Report-M&amp;O2021'!C$18-'Report-SOF2021'!D$55)</f>
        <v>#DIV/0!</v>
      </c>
      <c r="S493" s="2452" t="e">
        <f t="shared" si="90"/>
        <v>#DIV/0!</v>
      </c>
      <c r="T493" s="1708">
        <f>IF(A493='Data Entry - SOF'!B$2,'Data Entry - SOF'!K$64,0)</f>
        <v>0</v>
      </c>
      <c r="U493" s="1687">
        <f t="shared" si="94"/>
        <v>15533540</v>
      </c>
      <c r="V493" s="2212" t="e">
        <f>IF('Report-M&amp;O2122'!C$18-'Report-SOF2122'!D$55&lt;=0,0,'Report-M&amp;O2122'!C$18-'Report-SOF2122'!D$55)</f>
        <v>#DIV/0!</v>
      </c>
      <c r="W493" s="2452" t="e">
        <f t="shared" si="91"/>
        <v>#DIV/0!</v>
      </c>
      <c r="X493" s="1708">
        <f>IF(A493='Data Entry - SOF'!B$2,'Data Entry - SOF'!M$64,0)</f>
        <v>0</v>
      </c>
      <c r="Y493" s="1371" t="e">
        <f t="shared" si="92"/>
        <v>#DIV/0!</v>
      </c>
      <c r="Z493" s="2212" t="e">
        <f>IF('Report-M&amp;O2223'!C$18-'Report-SOF2223'!D$55&lt;=0,0,'Report-M&amp;O2223'!C$18-'Report-SOF2223'!D$55)</f>
        <v>#DIV/0!</v>
      </c>
      <c r="AA493" s="1708">
        <f>IF(A493='Data Entry - SOF'!B$2,'Data Entry - SOF'!O$64,0)</f>
        <v>0</v>
      </c>
    </row>
    <row r="494" spans="1:27" ht="15.75">
      <c r="A494" s="1076" t="s">
        <v>3076</v>
      </c>
      <c r="B494">
        <v>5898863</v>
      </c>
      <c r="C494" s="2452" t="e">
        <f>#REF!+#REF!</f>
        <v>#REF!</v>
      </c>
      <c r="D494" s="2449">
        <f>IF(A494='Data Entry - SOF'!B$2,'Data Entry - SOF'!C$64,0)</f>
        <v>0</v>
      </c>
      <c r="E494" s="2450">
        <f t="shared" si="93"/>
        <v>5898863</v>
      </c>
      <c r="F494" s="2212" t="e">
        <f>IF('Report-M&amp;O1718'!C$18-'Report-SOF1718'!D$55&lt;=0,0,'Report-M&amp;O1718'!C$18-'Report-SOF1718'!D$55)</f>
        <v>#DIV/0!</v>
      </c>
      <c r="G494" s="2452" t="e">
        <f t="shared" si="85"/>
        <v>#DIV/0!</v>
      </c>
      <c r="H494" s="2449">
        <f>IF(A494='Data Entry - SOF'!B$2,'Data Entry - SOF'!E$64,0)</f>
        <v>0</v>
      </c>
      <c r="I494" s="1687">
        <f t="shared" si="86"/>
        <v>5898863</v>
      </c>
      <c r="J494" s="2212" t="e">
        <f>IF('Report-M&amp;O1819'!C$18-'Report-SOF1819'!D$55&lt;=0,0,'Report-M&amp;O1819'!C$18-'Report-SOF1819'!D$55)</f>
        <v>#DIV/0!</v>
      </c>
      <c r="K494" s="2452" t="e">
        <f t="shared" si="87"/>
        <v>#DIV/0!</v>
      </c>
      <c r="L494" s="2449">
        <f>IF(A494='Data Entry - SOF'!B$2,'Data Entry - SOF'!G$64,0)</f>
        <v>0</v>
      </c>
      <c r="M494" s="1371">
        <f t="shared" si="88"/>
        <v>5898863</v>
      </c>
      <c r="N494" s="2212" t="e">
        <f>IF('Report-M&amp;O1920'!C$18-'Report-SOF1920'!D$55&lt;=0,0,'Report-M&amp;O1920'!C$18-'Report-SOF1920'!D$55)</f>
        <v>#DIV/0!</v>
      </c>
      <c r="O494" s="2452" t="e">
        <f t="shared" si="89"/>
        <v>#DIV/0!</v>
      </c>
      <c r="P494" s="2449">
        <f>IF(A494='Data Entry - SOF'!B$2,'Data Entry - SOF'!I$64,0)</f>
        <v>0</v>
      </c>
      <c r="Q494" s="1687">
        <f t="shared" si="84"/>
        <v>5898863</v>
      </c>
      <c r="R494" s="2212" t="e">
        <f>IF('Report-M&amp;O2021'!C$18-'Report-SOF2021'!D$55&lt;=0,0,'Report-M&amp;O2021'!C$18-'Report-SOF2021'!D$55)</f>
        <v>#DIV/0!</v>
      </c>
      <c r="S494" s="2452" t="e">
        <f t="shared" si="90"/>
        <v>#DIV/0!</v>
      </c>
      <c r="T494" s="1708">
        <f>IF(A494='Data Entry - SOF'!B$2,'Data Entry - SOF'!K$64,0)</f>
        <v>0</v>
      </c>
      <c r="U494" s="1687">
        <f t="shared" si="94"/>
        <v>5898863</v>
      </c>
      <c r="V494" s="2212" t="e">
        <f>IF('Report-M&amp;O2122'!C$18-'Report-SOF2122'!D$55&lt;=0,0,'Report-M&amp;O2122'!C$18-'Report-SOF2122'!D$55)</f>
        <v>#DIV/0!</v>
      </c>
      <c r="W494" s="2452" t="e">
        <f t="shared" si="91"/>
        <v>#DIV/0!</v>
      </c>
      <c r="X494" s="1708">
        <f>IF(A494='Data Entry - SOF'!B$2,'Data Entry - SOF'!M$64,0)</f>
        <v>0</v>
      </c>
      <c r="Y494" s="1371" t="e">
        <f t="shared" si="92"/>
        <v>#DIV/0!</v>
      </c>
      <c r="Z494" s="2212" t="e">
        <f>IF('Report-M&amp;O2223'!C$18-'Report-SOF2223'!D$55&lt;=0,0,'Report-M&amp;O2223'!C$18-'Report-SOF2223'!D$55)</f>
        <v>#DIV/0!</v>
      </c>
      <c r="AA494" s="1708">
        <f>IF(A494='Data Entry - SOF'!B$2,'Data Entry - SOF'!O$64,0)</f>
        <v>0</v>
      </c>
    </row>
    <row r="495" spans="1:27" ht="15.75">
      <c r="A495" s="1076" t="s">
        <v>3077</v>
      </c>
      <c r="B495">
        <v>13880047.0923272</v>
      </c>
      <c r="C495" s="2452" t="e">
        <f>#REF!+#REF!</f>
        <v>#REF!</v>
      </c>
      <c r="D495" s="2449">
        <f>IF(A495='Data Entry - SOF'!B$2,'Data Entry - SOF'!C$64,0)</f>
        <v>0</v>
      </c>
      <c r="E495" s="2450">
        <f t="shared" si="93"/>
        <v>13880047.0923272</v>
      </c>
      <c r="F495" s="2212" t="e">
        <f>IF('Report-M&amp;O1718'!C$18-'Report-SOF1718'!D$55&lt;=0,0,'Report-M&amp;O1718'!C$18-'Report-SOF1718'!D$55)</f>
        <v>#DIV/0!</v>
      </c>
      <c r="G495" s="2452" t="e">
        <f t="shared" si="85"/>
        <v>#DIV/0!</v>
      </c>
      <c r="H495" s="2449">
        <f>IF(A495='Data Entry - SOF'!B$2,'Data Entry - SOF'!E$64,0)</f>
        <v>0</v>
      </c>
      <c r="I495" s="1687">
        <f t="shared" si="86"/>
        <v>13880047.0923272</v>
      </c>
      <c r="J495" s="2212" t="e">
        <f>IF('Report-M&amp;O1819'!C$18-'Report-SOF1819'!D$55&lt;=0,0,'Report-M&amp;O1819'!C$18-'Report-SOF1819'!D$55)</f>
        <v>#DIV/0!</v>
      </c>
      <c r="K495" s="2452" t="e">
        <f t="shared" si="87"/>
        <v>#DIV/0!</v>
      </c>
      <c r="L495" s="2449">
        <f>IF(A495='Data Entry - SOF'!B$2,'Data Entry - SOF'!G$64,0)</f>
        <v>0</v>
      </c>
      <c r="M495" s="1371">
        <f t="shared" si="88"/>
        <v>13880047.0923272</v>
      </c>
      <c r="N495" s="2212" t="e">
        <f>IF('Report-M&amp;O1920'!C$18-'Report-SOF1920'!D$55&lt;=0,0,'Report-M&amp;O1920'!C$18-'Report-SOF1920'!D$55)</f>
        <v>#DIV/0!</v>
      </c>
      <c r="O495" s="2452" t="e">
        <f t="shared" si="89"/>
        <v>#DIV/0!</v>
      </c>
      <c r="P495" s="2449">
        <f>IF(A495='Data Entry - SOF'!B$2,'Data Entry - SOF'!I$64,0)</f>
        <v>0</v>
      </c>
      <c r="Q495" s="1687">
        <f t="shared" si="84"/>
        <v>13880047.0923272</v>
      </c>
      <c r="R495" s="2212" t="e">
        <f>IF('Report-M&amp;O2021'!C$18-'Report-SOF2021'!D$55&lt;=0,0,'Report-M&amp;O2021'!C$18-'Report-SOF2021'!D$55)</f>
        <v>#DIV/0!</v>
      </c>
      <c r="S495" s="2452" t="e">
        <f t="shared" si="90"/>
        <v>#DIV/0!</v>
      </c>
      <c r="T495" s="1708">
        <f>IF(A495='Data Entry - SOF'!B$2,'Data Entry - SOF'!K$64,0)</f>
        <v>0</v>
      </c>
      <c r="U495" s="1687">
        <f t="shared" si="94"/>
        <v>13880047.0923272</v>
      </c>
      <c r="V495" s="2212" t="e">
        <f>IF('Report-M&amp;O2122'!C$18-'Report-SOF2122'!D$55&lt;=0,0,'Report-M&amp;O2122'!C$18-'Report-SOF2122'!D$55)</f>
        <v>#DIV/0!</v>
      </c>
      <c r="W495" s="2452" t="e">
        <f t="shared" si="91"/>
        <v>#DIV/0!</v>
      </c>
      <c r="X495" s="1708">
        <f>IF(A495='Data Entry - SOF'!B$2,'Data Entry - SOF'!M$64,0)</f>
        <v>0</v>
      </c>
      <c r="Y495" s="1371" t="e">
        <f t="shared" si="92"/>
        <v>#DIV/0!</v>
      </c>
      <c r="Z495" s="2212" t="e">
        <f>IF('Report-M&amp;O2223'!C$18-'Report-SOF2223'!D$55&lt;=0,0,'Report-M&amp;O2223'!C$18-'Report-SOF2223'!D$55)</f>
        <v>#DIV/0!</v>
      </c>
      <c r="AA495" s="1708">
        <f>IF(A495='Data Entry - SOF'!B$2,'Data Entry - SOF'!O$64,0)</f>
        <v>0</v>
      </c>
    </row>
    <row r="496" spans="1:27" ht="15.75">
      <c r="A496" s="1076" t="s">
        <v>1507</v>
      </c>
      <c r="B496">
        <v>1089294</v>
      </c>
      <c r="C496" s="2452" t="e">
        <f>#REF!+#REF!</f>
        <v>#REF!</v>
      </c>
      <c r="D496" s="2449">
        <f>IF(A496='Data Entry - SOF'!B$2,'Data Entry - SOF'!C$64,0)</f>
        <v>0</v>
      </c>
      <c r="E496" s="2450">
        <f t="shared" si="93"/>
        <v>1089294</v>
      </c>
      <c r="F496" s="2212" t="e">
        <f>IF('Report-M&amp;O1718'!C$18-'Report-SOF1718'!D$55&lt;=0,0,'Report-M&amp;O1718'!C$18-'Report-SOF1718'!D$55)</f>
        <v>#DIV/0!</v>
      </c>
      <c r="G496" s="2452" t="e">
        <f t="shared" si="85"/>
        <v>#DIV/0!</v>
      </c>
      <c r="H496" s="2449">
        <f>IF(A496='Data Entry - SOF'!B$2,'Data Entry - SOF'!E$64,0)</f>
        <v>0</v>
      </c>
      <c r="I496" s="1687">
        <f t="shared" si="86"/>
        <v>1089294</v>
      </c>
      <c r="J496" s="2212" t="e">
        <f>IF('Report-M&amp;O1819'!C$18-'Report-SOF1819'!D$55&lt;=0,0,'Report-M&amp;O1819'!C$18-'Report-SOF1819'!D$55)</f>
        <v>#DIV/0!</v>
      </c>
      <c r="K496" s="2452" t="e">
        <f t="shared" si="87"/>
        <v>#DIV/0!</v>
      </c>
      <c r="L496" s="2449">
        <f>IF(A496='Data Entry - SOF'!B$2,'Data Entry - SOF'!G$64,0)</f>
        <v>0</v>
      </c>
      <c r="M496" s="1371">
        <f t="shared" si="88"/>
        <v>1089294</v>
      </c>
      <c r="N496" s="2212" t="e">
        <f>IF('Report-M&amp;O1920'!C$18-'Report-SOF1920'!D$55&lt;=0,0,'Report-M&amp;O1920'!C$18-'Report-SOF1920'!D$55)</f>
        <v>#DIV/0!</v>
      </c>
      <c r="O496" s="2452" t="e">
        <f t="shared" si="89"/>
        <v>#DIV/0!</v>
      </c>
      <c r="P496" s="2449">
        <f>IF(A496='Data Entry - SOF'!B$2,'Data Entry - SOF'!I$64,0)</f>
        <v>0</v>
      </c>
      <c r="Q496" s="1687">
        <f t="shared" si="84"/>
        <v>1089294</v>
      </c>
      <c r="R496" s="2212" t="e">
        <f>IF('Report-M&amp;O2021'!C$18-'Report-SOF2021'!D$55&lt;=0,0,'Report-M&amp;O2021'!C$18-'Report-SOF2021'!D$55)</f>
        <v>#DIV/0!</v>
      </c>
      <c r="S496" s="2452" t="e">
        <f t="shared" si="90"/>
        <v>#DIV/0!</v>
      </c>
      <c r="T496" s="1708">
        <f>IF(A496='Data Entry - SOF'!B$2,'Data Entry - SOF'!K$64,0)</f>
        <v>0</v>
      </c>
      <c r="U496" s="1687">
        <f t="shared" si="94"/>
        <v>1089294</v>
      </c>
      <c r="V496" s="2212" t="e">
        <f>IF('Report-M&amp;O2122'!C$18-'Report-SOF2122'!D$55&lt;=0,0,'Report-M&amp;O2122'!C$18-'Report-SOF2122'!D$55)</f>
        <v>#DIV/0!</v>
      </c>
      <c r="W496" s="2452" t="e">
        <f t="shared" si="91"/>
        <v>#DIV/0!</v>
      </c>
      <c r="X496" s="1708">
        <f>IF(A496='Data Entry - SOF'!B$2,'Data Entry - SOF'!M$64,0)</f>
        <v>0</v>
      </c>
      <c r="Y496" s="1371" t="e">
        <f t="shared" si="92"/>
        <v>#DIV/0!</v>
      </c>
      <c r="Z496" s="2212" t="e">
        <f>IF('Report-M&amp;O2223'!C$18-'Report-SOF2223'!D$55&lt;=0,0,'Report-M&amp;O2223'!C$18-'Report-SOF2223'!D$55)</f>
        <v>#DIV/0!</v>
      </c>
      <c r="AA496" s="1708">
        <f>IF(A496='Data Entry - SOF'!B$2,'Data Entry - SOF'!O$64,0)</f>
        <v>0</v>
      </c>
    </row>
    <row r="497" spans="1:27" ht="15.75">
      <c r="A497" s="1076" t="s">
        <v>2492</v>
      </c>
      <c r="B497">
        <v>425979</v>
      </c>
      <c r="C497" s="2452" t="e">
        <f>#REF!+#REF!</f>
        <v>#REF!</v>
      </c>
      <c r="D497" s="2449">
        <f>IF(A497='Data Entry - SOF'!B$2,'Data Entry - SOF'!C$64,0)</f>
        <v>0</v>
      </c>
      <c r="E497" s="2450">
        <f t="shared" si="93"/>
        <v>425979</v>
      </c>
      <c r="F497" s="2212" t="e">
        <f>IF('Report-M&amp;O1718'!C$18-'Report-SOF1718'!D$55&lt;=0,0,'Report-M&amp;O1718'!C$18-'Report-SOF1718'!D$55)</f>
        <v>#DIV/0!</v>
      </c>
      <c r="G497" s="2452" t="e">
        <f t="shared" si="85"/>
        <v>#DIV/0!</v>
      </c>
      <c r="H497" s="2449">
        <f>IF(A497='Data Entry - SOF'!B$2,'Data Entry - SOF'!E$64,0)</f>
        <v>0</v>
      </c>
      <c r="I497" s="1687">
        <f t="shared" si="86"/>
        <v>425979</v>
      </c>
      <c r="J497" s="2212" t="e">
        <f>IF('Report-M&amp;O1819'!C$18-'Report-SOF1819'!D$55&lt;=0,0,'Report-M&amp;O1819'!C$18-'Report-SOF1819'!D$55)</f>
        <v>#DIV/0!</v>
      </c>
      <c r="K497" s="2452" t="e">
        <f t="shared" si="87"/>
        <v>#DIV/0!</v>
      </c>
      <c r="L497" s="2449">
        <f>IF(A497='Data Entry - SOF'!B$2,'Data Entry - SOF'!G$64,0)</f>
        <v>0</v>
      </c>
      <c r="M497" s="1371">
        <f t="shared" si="88"/>
        <v>425979</v>
      </c>
      <c r="N497" s="2212" t="e">
        <f>IF('Report-M&amp;O1920'!C$18-'Report-SOF1920'!D$55&lt;=0,0,'Report-M&amp;O1920'!C$18-'Report-SOF1920'!D$55)</f>
        <v>#DIV/0!</v>
      </c>
      <c r="O497" s="2452" t="e">
        <f t="shared" si="89"/>
        <v>#DIV/0!</v>
      </c>
      <c r="P497" s="2449">
        <f>IF(A497='Data Entry - SOF'!B$2,'Data Entry - SOF'!I$64,0)</f>
        <v>0</v>
      </c>
      <c r="Q497" s="1687">
        <f t="shared" si="84"/>
        <v>425979</v>
      </c>
      <c r="R497" s="2212" t="e">
        <f>IF('Report-M&amp;O2021'!C$18-'Report-SOF2021'!D$55&lt;=0,0,'Report-M&amp;O2021'!C$18-'Report-SOF2021'!D$55)</f>
        <v>#DIV/0!</v>
      </c>
      <c r="S497" s="2452" t="e">
        <f t="shared" si="90"/>
        <v>#DIV/0!</v>
      </c>
      <c r="T497" s="1708">
        <f>IF(A497='Data Entry - SOF'!B$2,'Data Entry - SOF'!K$64,0)</f>
        <v>0</v>
      </c>
      <c r="U497" s="1687">
        <f t="shared" si="94"/>
        <v>425979</v>
      </c>
      <c r="V497" s="2212" t="e">
        <f>IF('Report-M&amp;O2122'!C$18-'Report-SOF2122'!D$55&lt;=0,0,'Report-M&amp;O2122'!C$18-'Report-SOF2122'!D$55)</f>
        <v>#DIV/0!</v>
      </c>
      <c r="W497" s="2452" t="e">
        <f t="shared" si="91"/>
        <v>#DIV/0!</v>
      </c>
      <c r="X497" s="1708">
        <f>IF(A497='Data Entry - SOF'!B$2,'Data Entry - SOF'!M$64,0)</f>
        <v>0</v>
      </c>
      <c r="Y497" s="1371" t="e">
        <f t="shared" si="92"/>
        <v>#DIV/0!</v>
      </c>
      <c r="Z497" s="2212" t="e">
        <f>IF('Report-M&amp;O2223'!C$18-'Report-SOF2223'!D$55&lt;=0,0,'Report-M&amp;O2223'!C$18-'Report-SOF2223'!D$55)</f>
        <v>#DIV/0!</v>
      </c>
      <c r="AA497" s="1708">
        <f>IF(A497='Data Entry - SOF'!B$2,'Data Entry - SOF'!O$64,0)</f>
        <v>0</v>
      </c>
    </row>
    <row r="498" spans="1:27" ht="15.75">
      <c r="A498" s="1076" t="s">
        <v>1271</v>
      </c>
      <c r="B498">
        <v>237937</v>
      </c>
      <c r="C498" s="2452" t="e">
        <f>#REF!+#REF!</f>
        <v>#REF!</v>
      </c>
      <c r="D498" s="2449">
        <f>IF(A498='Data Entry - SOF'!B$2,'Data Entry - SOF'!C$64,0)</f>
        <v>0</v>
      </c>
      <c r="E498" s="2450">
        <f t="shared" si="93"/>
        <v>237937</v>
      </c>
      <c r="F498" s="2212" t="e">
        <f>IF('Report-M&amp;O1718'!C$18-'Report-SOF1718'!D$55&lt;=0,0,'Report-M&amp;O1718'!C$18-'Report-SOF1718'!D$55)</f>
        <v>#DIV/0!</v>
      </c>
      <c r="G498" s="2452" t="e">
        <f t="shared" si="85"/>
        <v>#DIV/0!</v>
      </c>
      <c r="H498" s="2449">
        <f>IF(A498='Data Entry - SOF'!B$2,'Data Entry - SOF'!E$64,0)</f>
        <v>0</v>
      </c>
      <c r="I498" s="1687">
        <f t="shared" si="86"/>
        <v>237937</v>
      </c>
      <c r="J498" s="2212" t="e">
        <f>IF('Report-M&amp;O1819'!C$18-'Report-SOF1819'!D$55&lt;=0,0,'Report-M&amp;O1819'!C$18-'Report-SOF1819'!D$55)</f>
        <v>#DIV/0!</v>
      </c>
      <c r="K498" s="2452" t="e">
        <f t="shared" si="87"/>
        <v>#DIV/0!</v>
      </c>
      <c r="L498" s="2449">
        <f>IF(A498='Data Entry - SOF'!B$2,'Data Entry - SOF'!G$64,0)</f>
        <v>0</v>
      </c>
      <c r="M498" s="1371">
        <f t="shared" si="88"/>
        <v>237937</v>
      </c>
      <c r="N498" s="2212" t="e">
        <f>IF('Report-M&amp;O1920'!C$18-'Report-SOF1920'!D$55&lt;=0,0,'Report-M&amp;O1920'!C$18-'Report-SOF1920'!D$55)</f>
        <v>#DIV/0!</v>
      </c>
      <c r="O498" s="2452" t="e">
        <f t="shared" si="89"/>
        <v>#DIV/0!</v>
      </c>
      <c r="P498" s="2449">
        <f>IF(A498='Data Entry - SOF'!B$2,'Data Entry - SOF'!I$64,0)</f>
        <v>0</v>
      </c>
      <c r="Q498" s="1687">
        <f t="shared" si="84"/>
        <v>237937</v>
      </c>
      <c r="R498" s="2212" t="e">
        <f>IF('Report-M&amp;O2021'!C$18-'Report-SOF2021'!D$55&lt;=0,0,'Report-M&amp;O2021'!C$18-'Report-SOF2021'!D$55)</f>
        <v>#DIV/0!</v>
      </c>
      <c r="S498" s="2452" t="e">
        <f t="shared" si="90"/>
        <v>#DIV/0!</v>
      </c>
      <c r="T498" s="1708">
        <f>IF(A498='Data Entry - SOF'!B$2,'Data Entry - SOF'!K$64,0)</f>
        <v>0</v>
      </c>
      <c r="U498" s="1687">
        <f t="shared" si="94"/>
        <v>237937</v>
      </c>
      <c r="V498" s="2212" t="e">
        <f>IF('Report-M&amp;O2122'!C$18-'Report-SOF2122'!D$55&lt;=0,0,'Report-M&amp;O2122'!C$18-'Report-SOF2122'!D$55)</f>
        <v>#DIV/0!</v>
      </c>
      <c r="W498" s="2452" t="e">
        <f t="shared" si="91"/>
        <v>#DIV/0!</v>
      </c>
      <c r="X498" s="1708">
        <f>IF(A498='Data Entry - SOF'!B$2,'Data Entry - SOF'!M$64,0)</f>
        <v>0</v>
      </c>
      <c r="Y498" s="1371" t="e">
        <f t="shared" si="92"/>
        <v>#DIV/0!</v>
      </c>
      <c r="Z498" s="2212" t="e">
        <f>IF('Report-M&amp;O2223'!C$18-'Report-SOF2223'!D$55&lt;=0,0,'Report-M&amp;O2223'!C$18-'Report-SOF2223'!D$55)</f>
        <v>#DIV/0!</v>
      </c>
      <c r="AA498" s="1708">
        <f>IF(A498='Data Entry - SOF'!B$2,'Data Entry - SOF'!O$64,0)</f>
        <v>0</v>
      </c>
    </row>
    <row r="499" spans="1:27" ht="15.75">
      <c r="A499" s="1076" t="s">
        <v>2155</v>
      </c>
      <c r="B499">
        <v>3540928</v>
      </c>
      <c r="C499" s="2452" t="e">
        <f>#REF!+#REF!</f>
        <v>#REF!</v>
      </c>
      <c r="D499" s="2449">
        <f>IF(A499='Data Entry - SOF'!B$2,'Data Entry - SOF'!C$64,0)</f>
        <v>0</v>
      </c>
      <c r="E499" s="2450">
        <f t="shared" si="93"/>
        <v>3540928</v>
      </c>
      <c r="F499" s="2212" t="e">
        <f>IF('Report-M&amp;O1718'!C$18-'Report-SOF1718'!D$55&lt;=0,0,'Report-M&amp;O1718'!C$18-'Report-SOF1718'!D$55)</f>
        <v>#DIV/0!</v>
      </c>
      <c r="G499" s="2452" t="e">
        <f t="shared" si="85"/>
        <v>#DIV/0!</v>
      </c>
      <c r="H499" s="2449">
        <f>IF(A499='Data Entry - SOF'!B$2,'Data Entry - SOF'!E$64,0)</f>
        <v>0</v>
      </c>
      <c r="I499" s="1687">
        <f t="shared" si="86"/>
        <v>3540928</v>
      </c>
      <c r="J499" s="2212" t="e">
        <f>IF('Report-M&amp;O1819'!C$18-'Report-SOF1819'!D$55&lt;=0,0,'Report-M&amp;O1819'!C$18-'Report-SOF1819'!D$55)</f>
        <v>#DIV/0!</v>
      </c>
      <c r="K499" s="2452" t="e">
        <f t="shared" si="87"/>
        <v>#DIV/0!</v>
      </c>
      <c r="L499" s="2449">
        <f>IF(A499='Data Entry - SOF'!B$2,'Data Entry - SOF'!G$64,0)</f>
        <v>0</v>
      </c>
      <c r="M499" s="1371">
        <f t="shared" si="88"/>
        <v>3540928</v>
      </c>
      <c r="N499" s="2212" t="e">
        <f>IF('Report-M&amp;O1920'!C$18-'Report-SOF1920'!D$55&lt;=0,0,'Report-M&amp;O1920'!C$18-'Report-SOF1920'!D$55)</f>
        <v>#DIV/0!</v>
      </c>
      <c r="O499" s="2452" t="e">
        <f t="shared" si="89"/>
        <v>#DIV/0!</v>
      </c>
      <c r="P499" s="2449">
        <f>IF(A499='Data Entry - SOF'!B$2,'Data Entry - SOF'!I$64,0)</f>
        <v>0</v>
      </c>
      <c r="Q499" s="1687">
        <f t="shared" si="84"/>
        <v>3540928</v>
      </c>
      <c r="R499" s="2212" t="e">
        <f>IF('Report-M&amp;O2021'!C$18-'Report-SOF2021'!D$55&lt;=0,0,'Report-M&amp;O2021'!C$18-'Report-SOF2021'!D$55)</f>
        <v>#DIV/0!</v>
      </c>
      <c r="S499" s="2452" t="e">
        <f t="shared" si="90"/>
        <v>#DIV/0!</v>
      </c>
      <c r="T499" s="1708">
        <f>IF(A499='Data Entry - SOF'!B$2,'Data Entry - SOF'!K$64,0)</f>
        <v>0</v>
      </c>
      <c r="U499" s="1687">
        <f t="shared" si="94"/>
        <v>3540928</v>
      </c>
      <c r="V499" s="2212" t="e">
        <f>IF('Report-M&amp;O2122'!C$18-'Report-SOF2122'!D$55&lt;=0,0,'Report-M&amp;O2122'!C$18-'Report-SOF2122'!D$55)</f>
        <v>#DIV/0!</v>
      </c>
      <c r="W499" s="2452" t="e">
        <f t="shared" si="91"/>
        <v>#DIV/0!</v>
      </c>
      <c r="X499" s="1708">
        <f>IF(A499='Data Entry - SOF'!B$2,'Data Entry - SOF'!M$64,0)</f>
        <v>0</v>
      </c>
      <c r="Y499" s="1371" t="e">
        <f t="shared" si="92"/>
        <v>#DIV/0!</v>
      </c>
      <c r="Z499" s="2212" t="e">
        <f>IF('Report-M&amp;O2223'!C$18-'Report-SOF2223'!D$55&lt;=0,0,'Report-M&amp;O2223'!C$18-'Report-SOF2223'!D$55)</f>
        <v>#DIV/0!</v>
      </c>
      <c r="AA499" s="1708">
        <f>IF(A499='Data Entry - SOF'!B$2,'Data Entry - SOF'!O$64,0)</f>
        <v>0</v>
      </c>
    </row>
    <row r="500" spans="1:27" ht="15.75">
      <c r="A500" s="1076" t="s">
        <v>1272</v>
      </c>
      <c r="B500">
        <v>883627</v>
      </c>
      <c r="C500" s="2452" t="e">
        <f>#REF!+#REF!</f>
        <v>#REF!</v>
      </c>
      <c r="D500" s="2449">
        <f>IF(A500='Data Entry - SOF'!B$2,'Data Entry - SOF'!C$64,0)</f>
        <v>0</v>
      </c>
      <c r="E500" s="2450">
        <f t="shared" si="93"/>
        <v>883627</v>
      </c>
      <c r="F500" s="2212" t="e">
        <f>IF('Report-M&amp;O1718'!C$18-'Report-SOF1718'!D$55&lt;=0,0,'Report-M&amp;O1718'!C$18-'Report-SOF1718'!D$55)</f>
        <v>#DIV/0!</v>
      </c>
      <c r="G500" s="2452" t="e">
        <f t="shared" si="85"/>
        <v>#DIV/0!</v>
      </c>
      <c r="H500" s="2449">
        <f>IF(A500='Data Entry - SOF'!B$2,'Data Entry - SOF'!E$64,0)</f>
        <v>0</v>
      </c>
      <c r="I500" s="1687">
        <f t="shared" si="86"/>
        <v>883627</v>
      </c>
      <c r="J500" s="2212" t="e">
        <f>IF('Report-M&amp;O1819'!C$18-'Report-SOF1819'!D$55&lt;=0,0,'Report-M&amp;O1819'!C$18-'Report-SOF1819'!D$55)</f>
        <v>#DIV/0!</v>
      </c>
      <c r="K500" s="2452" t="e">
        <f t="shared" si="87"/>
        <v>#DIV/0!</v>
      </c>
      <c r="L500" s="2449">
        <f>IF(A500='Data Entry - SOF'!B$2,'Data Entry - SOF'!G$64,0)</f>
        <v>0</v>
      </c>
      <c r="M500" s="1371">
        <f t="shared" si="88"/>
        <v>883627</v>
      </c>
      <c r="N500" s="2212" t="e">
        <f>IF('Report-M&amp;O1920'!C$18-'Report-SOF1920'!D$55&lt;=0,0,'Report-M&amp;O1920'!C$18-'Report-SOF1920'!D$55)</f>
        <v>#DIV/0!</v>
      </c>
      <c r="O500" s="2452" t="e">
        <f t="shared" si="89"/>
        <v>#DIV/0!</v>
      </c>
      <c r="P500" s="2449">
        <f>IF(A500='Data Entry - SOF'!B$2,'Data Entry - SOF'!I$64,0)</f>
        <v>0</v>
      </c>
      <c r="Q500" s="1687">
        <f t="shared" si="84"/>
        <v>883627</v>
      </c>
      <c r="R500" s="2212" t="e">
        <f>IF('Report-M&amp;O2021'!C$18-'Report-SOF2021'!D$55&lt;=0,0,'Report-M&amp;O2021'!C$18-'Report-SOF2021'!D$55)</f>
        <v>#DIV/0!</v>
      </c>
      <c r="S500" s="2452" t="e">
        <f t="shared" si="90"/>
        <v>#DIV/0!</v>
      </c>
      <c r="T500" s="1708">
        <f>IF(A500='Data Entry - SOF'!B$2,'Data Entry - SOF'!K$64,0)</f>
        <v>0</v>
      </c>
      <c r="U500" s="1687">
        <f t="shared" si="94"/>
        <v>883627</v>
      </c>
      <c r="V500" s="2212" t="e">
        <f>IF('Report-M&amp;O2122'!C$18-'Report-SOF2122'!D$55&lt;=0,0,'Report-M&amp;O2122'!C$18-'Report-SOF2122'!D$55)</f>
        <v>#DIV/0!</v>
      </c>
      <c r="W500" s="2452" t="e">
        <f t="shared" si="91"/>
        <v>#DIV/0!</v>
      </c>
      <c r="X500" s="1708">
        <f>IF(A500='Data Entry - SOF'!B$2,'Data Entry - SOF'!M$64,0)</f>
        <v>0</v>
      </c>
      <c r="Y500" s="1371" t="e">
        <f t="shared" si="92"/>
        <v>#DIV/0!</v>
      </c>
      <c r="Z500" s="2212" t="e">
        <f>IF('Report-M&amp;O2223'!C$18-'Report-SOF2223'!D$55&lt;=0,0,'Report-M&amp;O2223'!C$18-'Report-SOF2223'!D$55)</f>
        <v>#DIV/0!</v>
      </c>
      <c r="AA500" s="1708">
        <f>IF(A500='Data Entry - SOF'!B$2,'Data Entry - SOF'!O$64,0)</f>
        <v>0</v>
      </c>
    </row>
    <row r="501" spans="1:27" ht="15.75">
      <c r="A501" s="1076" t="s">
        <v>1618</v>
      </c>
      <c r="B501">
        <v>3942002</v>
      </c>
      <c r="C501" s="2452" t="e">
        <f>#REF!+#REF!</f>
        <v>#REF!</v>
      </c>
      <c r="D501" s="2449">
        <f>IF(A501='Data Entry - SOF'!B$2,'Data Entry - SOF'!C$64,0)</f>
        <v>0</v>
      </c>
      <c r="E501" s="2450">
        <f t="shared" si="93"/>
        <v>3942002</v>
      </c>
      <c r="F501" s="2212" t="e">
        <f>IF('Report-M&amp;O1718'!C$18-'Report-SOF1718'!D$55&lt;=0,0,'Report-M&amp;O1718'!C$18-'Report-SOF1718'!D$55)</f>
        <v>#DIV/0!</v>
      </c>
      <c r="G501" s="2452" t="e">
        <f t="shared" si="85"/>
        <v>#DIV/0!</v>
      </c>
      <c r="H501" s="2449">
        <f>IF(A501='Data Entry - SOF'!B$2,'Data Entry - SOF'!E$64,0)</f>
        <v>0</v>
      </c>
      <c r="I501" s="1687">
        <f t="shared" si="86"/>
        <v>3942002</v>
      </c>
      <c r="J501" s="2212" t="e">
        <f>IF('Report-M&amp;O1819'!C$18-'Report-SOF1819'!D$55&lt;=0,0,'Report-M&amp;O1819'!C$18-'Report-SOF1819'!D$55)</f>
        <v>#DIV/0!</v>
      </c>
      <c r="K501" s="2452" t="e">
        <f t="shared" si="87"/>
        <v>#DIV/0!</v>
      </c>
      <c r="L501" s="2449">
        <f>IF(A501='Data Entry - SOF'!B$2,'Data Entry - SOF'!G$64,0)</f>
        <v>0</v>
      </c>
      <c r="M501" s="1371">
        <f t="shared" si="88"/>
        <v>3942002</v>
      </c>
      <c r="N501" s="2212" t="e">
        <f>IF('Report-M&amp;O1920'!C$18-'Report-SOF1920'!D$55&lt;=0,0,'Report-M&amp;O1920'!C$18-'Report-SOF1920'!D$55)</f>
        <v>#DIV/0!</v>
      </c>
      <c r="O501" s="2452" t="e">
        <f t="shared" si="89"/>
        <v>#DIV/0!</v>
      </c>
      <c r="P501" s="2449">
        <f>IF(A501='Data Entry - SOF'!B$2,'Data Entry - SOF'!I$64,0)</f>
        <v>0</v>
      </c>
      <c r="Q501" s="1687">
        <f t="shared" si="84"/>
        <v>3942002</v>
      </c>
      <c r="R501" s="2212" t="e">
        <f>IF('Report-M&amp;O2021'!C$18-'Report-SOF2021'!D$55&lt;=0,0,'Report-M&amp;O2021'!C$18-'Report-SOF2021'!D$55)</f>
        <v>#DIV/0!</v>
      </c>
      <c r="S501" s="2452" t="e">
        <f t="shared" si="90"/>
        <v>#DIV/0!</v>
      </c>
      <c r="T501" s="1708">
        <f>IF(A501='Data Entry - SOF'!B$2,'Data Entry - SOF'!K$64,0)</f>
        <v>0</v>
      </c>
      <c r="U501" s="1687">
        <f t="shared" si="94"/>
        <v>3942002</v>
      </c>
      <c r="V501" s="2212" t="e">
        <f>IF('Report-M&amp;O2122'!C$18-'Report-SOF2122'!D$55&lt;=0,0,'Report-M&amp;O2122'!C$18-'Report-SOF2122'!D$55)</f>
        <v>#DIV/0!</v>
      </c>
      <c r="W501" s="2452" t="e">
        <f t="shared" si="91"/>
        <v>#DIV/0!</v>
      </c>
      <c r="X501" s="1708">
        <f>IF(A501='Data Entry - SOF'!B$2,'Data Entry - SOF'!M$64,0)</f>
        <v>0</v>
      </c>
      <c r="Y501" s="1371" t="e">
        <f t="shared" si="92"/>
        <v>#DIV/0!</v>
      </c>
      <c r="Z501" s="2212" t="e">
        <f>IF('Report-M&amp;O2223'!C$18-'Report-SOF2223'!D$55&lt;=0,0,'Report-M&amp;O2223'!C$18-'Report-SOF2223'!D$55)</f>
        <v>#DIV/0!</v>
      </c>
      <c r="AA501" s="1708">
        <f>IF(A501='Data Entry - SOF'!B$2,'Data Entry - SOF'!O$64,0)</f>
        <v>0</v>
      </c>
    </row>
    <row r="502" spans="1:27" ht="15.75">
      <c r="A502" s="1076" t="s">
        <v>1209</v>
      </c>
      <c r="B502">
        <v>23344335</v>
      </c>
      <c r="C502" s="2452" t="e">
        <f>#REF!+#REF!</f>
        <v>#REF!</v>
      </c>
      <c r="D502" s="2449">
        <f>IF(A502='Data Entry - SOF'!B$2,'Data Entry - SOF'!C$64,0)</f>
        <v>0</v>
      </c>
      <c r="E502" s="2450">
        <f t="shared" si="93"/>
        <v>23344335</v>
      </c>
      <c r="F502" s="2212" t="e">
        <f>IF('Report-M&amp;O1718'!C$18-'Report-SOF1718'!D$55&lt;=0,0,'Report-M&amp;O1718'!C$18-'Report-SOF1718'!D$55)</f>
        <v>#DIV/0!</v>
      </c>
      <c r="G502" s="2452" t="e">
        <f t="shared" si="85"/>
        <v>#DIV/0!</v>
      </c>
      <c r="H502" s="2449">
        <f>IF(A502='Data Entry - SOF'!B$2,'Data Entry - SOF'!E$64,0)</f>
        <v>0</v>
      </c>
      <c r="I502" s="1687">
        <f t="shared" si="86"/>
        <v>23344335</v>
      </c>
      <c r="J502" s="2212" t="e">
        <f>IF('Report-M&amp;O1819'!C$18-'Report-SOF1819'!D$55&lt;=0,0,'Report-M&amp;O1819'!C$18-'Report-SOF1819'!D$55)</f>
        <v>#DIV/0!</v>
      </c>
      <c r="K502" s="2452" t="e">
        <f t="shared" si="87"/>
        <v>#DIV/0!</v>
      </c>
      <c r="L502" s="2449">
        <f>IF(A502='Data Entry - SOF'!B$2,'Data Entry - SOF'!G$64,0)</f>
        <v>0</v>
      </c>
      <c r="M502" s="1371">
        <f t="shared" si="88"/>
        <v>23344335</v>
      </c>
      <c r="N502" s="2212" t="e">
        <f>IF('Report-M&amp;O1920'!C$18-'Report-SOF1920'!D$55&lt;=0,0,'Report-M&amp;O1920'!C$18-'Report-SOF1920'!D$55)</f>
        <v>#DIV/0!</v>
      </c>
      <c r="O502" s="2452" t="e">
        <f t="shared" si="89"/>
        <v>#DIV/0!</v>
      </c>
      <c r="P502" s="2449">
        <f>IF(A502='Data Entry - SOF'!B$2,'Data Entry - SOF'!I$64,0)</f>
        <v>0</v>
      </c>
      <c r="Q502" s="1687">
        <f t="shared" si="84"/>
        <v>23344335</v>
      </c>
      <c r="R502" s="2212" t="e">
        <f>IF('Report-M&amp;O2021'!C$18-'Report-SOF2021'!D$55&lt;=0,0,'Report-M&amp;O2021'!C$18-'Report-SOF2021'!D$55)</f>
        <v>#DIV/0!</v>
      </c>
      <c r="S502" s="2452" t="e">
        <f t="shared" si="90"/>
        <v>#DIV/0!</v>
      </c>
      <c r="T502" s="1708">
        <f>IF(A502='Data Entry - SOF'!B$2,'Data Entry - SOF'!K$64,0)</f>
        <v>0</v>
      </c>
      <c r="U502" s="1687">
        <f t="shared" si="94"/>
        <v>23344335</v>
      </c>
      <c r="V502" s="2212" t="e">
        <f>IF('Report-M&amp;O2122'!C$18-'Report-SOF2122'!D$55&lt;=0,0,'Report-M&amp;O2122'!C$18-'Report-SOF2122'!D$55)</f>
        <v>#DIV/0!</v>
      </c>
      <c r="W502" s="2452" t="e">
        <f t="shared" si="91"/>
        <v>#DIV/0!</v>
      </c>
      <c r="X502" s="1708">
        <f>IF(A502='Data Entry - SOF'!B$2,'Data Entry - SOF'!M$64,0)</f>
        <v>0</v>
      </c>
      <c r="Y502" s="1371" t="e">
        <f t="shared" si="92"/>
        <v>#DIV/0!</v>
      </c>
      <c r="Z502" s="2212" t="e">
        <f>IF('Report-M&amp;O2223'!C$18-'Report-SOF2223'!D$55&lt;=0,0,'Report-M&amp;O2223'!C$18-'Report-SOF2223'!D$55)</f>
        <v>#DIV/0!</v>
      </c>
      <c r="AA502" s="1708">
        <f>IF(A502='Data Entry - SOF'!B$2,'Data Entry - SOF'!O$64,0)</f>
        <v>0</v>
      </c>
    </row>
    <row r="503" spans="1:27" ht="15.75">
      <c r="A503" s="1076" t="s">
        <v>2218</v>
      </c>
      <c r="B503">
        <v>1084300</v>
      </c>
      <c r="C503" s="2452" t="e">
        <f>#REF!+#REF!</f>
        <v>#REF!</v>
      </c>
      <c r="D503" s="2449">
        <f>IF(A503='Data Entry - SOF'!B$2,'Data Entry - SOF'!C$64,0)</f>
        <v>0</v>
      </c>
      <c r="E503" s="2450">
        <f t="shared" si="93"/>
        <v>1084300</v>
      </c>
      <c r="F503" s="2212" t="e">
        <f>IF('Report-M&amp;O1718'!C$18-'Report-SOF1718'!D$55&lt;=0,0,'Report-M&amp;O1718'!C$18-'Report-SOF1718'!D$55)</f>
        <v>#DIV/0!</v>
      </c>
      <c r="G503" s="2452" t="e">
        <f t="shared" si="85"/>
        <v>#DIV/0!</v>
      </c>
      <c r="H503" s="2449">
        <f>IF(A503='Data Entry - SOF'!B$2,'Data Entry - SOF'!E$64,0)</f>
        <v>0</v>
      </c>
      <c r="I503" s="1687">
        <f t="shared" si="86"/>
        <v>1084300</v>
      </c>
      <c r="J503" s="2212" t="e">
        <f>IF('Report-M&amp;O1819'!C$18-'Report-SOF1819'!D$55&lt;=0,0,'Report-M&amp;O1819'!C$18-'Report-SOF1819'!D$55)</f>
        <v>#DIV/0!</v>
      </c>
      <c r="K503" s="2452" t="e">
        <f t="shared" si="87"/>
        <v>#DIV/0!</v>
      </c>
      <c r="L503" s="2449">
        <f>IF(A503='Data Entry - SOF'!B$2,'Data Entry - SOF'!G$64,0)</f>
        <v>0</v>
      </c>
      <c r="M503" s="1371">
        <f t="shared" si="88"/>
        <v>1084300</v>
      </c>
      <c r="N503" s="2212" t="e">
        <f>IF('Report-M&amp;O1920'!C$18-'Report-SOF1920'!D$55&lt;=0,0,'Report-M&amp;O1920'!C$18-'Report-SOF1920'!D$55)</f>
        <v>#DIV/0!</v>
      </c>
      <c r="O503" s="2452" t="e">
        <f t="shared" si="89"/>
        <v>#DIV/0!</v>
      </c>
      <c r="P503" s="2449">
        <f>IF(A503='Data Entry - SOF'!B$2,'Data Entry - SOF'!I$64,0)</f>
        <v>0</v>
      </c>
      <c r="Q503" s="1687">
        <f t="shared" si="84"/>
        <v>1084300</v>
      </c>
      <c r="R503" s="2212" t="e">
        <f>IF('Report-M&amp;O2021'!C$18-'Report-SOF2021'!D$55&lt;=0,0,'Report-M&amp;O2021'!C$18-'Report-SOF2021'!D$55)</f>
        <v>#DIV/0!</v>
      </c>
      <c r="S503" s="2452" t="e">
        <f t="shared" si="90"/>
        <v>#DIV/0!</v>
      </c>
      <c r="T503" s="1708">
        <f>IF(A503='Data Entry - SOF'!B$2,'Data Entry - SOF'!K$64,0)</f>
        <v>0</v>
      </c>
      <c r="U503" s="1687">
        <f t="shared" si="94"/>
        <v>1084300</v>
      </c>
      <c r="V503" s="2212" t="e">
        <f>IF('Report-M&amp;O2122'!C$18-'Report-SOF2122'!D$55&lt;=0,0,'Report-M&amp;O2122'!C$18-'Report-SOF2122'!D$55)</f>
        <v>#DIV/0!</v>
      </c>
      <c r="W503" s="2452" t="e">
        <f t="shared" si="91"/>
        <v>#DIV/0!</v>
      </c>
      <c r="X503" s="1708">
        <f>IF(A503='Data Entry - SOF'!B$2,'Data Entry - SOF'!M$64,0)</f>
        <v>0</v>
      </c>
      <c r="Y503" s="1371" t="e">
        <f t="shared" si="92"/>
        <v>#DIV/0!</v>
      </c>
      <c r="Z503" s="2212" t="e">
        <f>IF('Report-M&amp;O2223'!C$18-'Report-SOF2223'!D$55&lt;=0,0,'Report-M&amp;O2223'!C$18-'Report-SOF2223'!D$55)</f>
        <v>#DIV/0!</v>
      </c>
      <c r="AA503" s="1708">
        <f>IF(A503='Data Entry - SOF'!B$2,'Data Entry - SOF'!O$64,0)</f>
        <v>0</v>
      </c>
    </row>
    <row r="504" spans="1:27" ht="15.75">
      <c r="A504" s="1076" t="s">
        <v>1781</v>
      </c>
      <c r="B504">
        <v>2613712</v>
      </c>
      <c r="C504" s="2452" t="e">
        <f>#REF!+#REF!</f>
        <v>#REF!</v>
      </c>
      <c r="D504" s="2449">
        <f>IF(A504='Data Entry - SOF'!B$2,'Data Entry - SOF'!C$64,0)</f>
        <v>0</v>
      </c>
      <c r="E504" s="2450">
        <f t="shared" si="93"/>
        <v>2613712</v>
      </c>
      <c r="F504" s="2212" t="e">
        <f>IF('Report-M&amp;O1718'!C$18-'Report-SOF1718'!D$55&lt;=0,0,'Report-M&amp;O1718'!C$18-'Report-SOF1718'!D$55)</f>
        <v>#DIV/0!</v>
      </c>
      <c r="G504" s="2452" t="e">
        <f t="shared" si="85"/>
        <v>#DIV/0!</v>
      </c>
      <c r="H504" s="2449">
        <f>IF(A504='Data Entry - SOF'!B$2,'Data Entry - SOF'!E$64,0)</f>
        <v>0</v>
      </c>
      <c r="I504" s="1687">
        <f t="shared" si="86"/>
        <v>2613712</v>
      </c>
      <c r="J504" s="2212" t="e">
        <f>IF('Report-M&amp;O1819'!C$18-'Report-SOF1819'!D$55&lt;=0,0,'Report-M&amp;O1819'!C$18-'Report-SOF1819'!D$55)</f>
        <v>#DIV/0!</v>
      </c>
      <c r="K504" s="2452" t="e">
        <f t="shared" si="87"/>
        <v>#DIV/0!</v>
      </c>
      <c r="L504" s="2449">
        <f>IF(A504='Data Entry - SOF'!B$2,'Data Entry - SOF'!G$64,0)</f>
        <v>0</v>
      </c>
      <c r="M504" s="1371">
        <f t="shared" si="88"/>
        <v>2613712</v>
      </c>
      <c r="N504" s="2212" t="e">
        <f>IF('Report-M&amp;O1920'!C$18-'Report-SOF1920'!D$55&lt;=0,0,'Report-M&amp;O1920'!C$18-'Report-SOF1920'!D$55)</f>
        <v>#DIV/0!</v>
      </c>
      <c r="O504" s="2452" t="e">
        <f t="shared" si="89"/>
        <v>#DIV/0!</v>
      </c>
      <c r="P504" s="2449">
        <f>IF(A504='Data Entry - SOF'!B$2,'Data Entry - SOF'!I$64,0)</f>
        <v>0</v>
      </c>
      <c r="Q504" s="1687">
        <f t="shared" si="84"/>
        <v>2613712</v>
      </c>
      <c r="R504" s="2212" t="e">
        <f>IF('Report-M&amp;O2021'!C$18-'Report-SOF2021'!D$55&lt;=0,0,'Report-M&amp;O2021'!C$18-'Report-SOF2021'!D$55)</f>
        <v>#DIV/0!</v>
      </c>
      <c r="S504" s="2452" t="e">
        <f t="shared" si="90"/>
        <v>#DIV/0!</v>
      </c>
      <c r="T504" s="1708">
        <f>IF(A504='Data Entry - SOF'!B$2,'Data Entry - SOF'!K$64,0)</f>
        <v>0</v>
      </c>
      <c r="U504" s="1687">
        <f t="shared" si="94"/>
        <v>2613712</v>
      </c>
      <c r="V504" s="2212" t="e">
        <f>IF('Report-M&amp;O2122'!C$18-'Report-SOF2122'!D$55&lt;=0,0,'Report-M&amp;O2122'!C$18-'Report-SOF2122'!D$55)</f>
        <v>#DIV/0!</v>
      </c>
      <c r="W504" s="2452" t="e">
        <f t="shared" si="91"/>
        <v>#DIV/0!</v>
      </c>
      <c r="X504" s="1708">
        <f>IF(A504='Data Entry - SOF'!B$2,'Data Entry - SOF'!M$64,0)</f>
        <v>0</v>
      </c>
      <c r="Y504" s="1371" t="e">
        <f t="shared" si="92"/>
        <v>#DIV/0!</v>
      </c>
      <c r="Z504" s="2212" t="e">
        <f>IF('Report-M&amp;O2223'!C$18-'Report-SOF2223'!D$55&lt;=0,0,'Report-M&amp;O2223'!C$18-'Report-SOF2223'!D$55)</f>
        <v>#DIV/0!</v>
      </c>
      <c r="AA504" s="1708">
        <f>IF(A504='Data Entry - SOF'!B$2,'Data Entry - SOF'!O$64,0)</f>
        <v>0</v>
      </c>
    </row>
    <row r="505" spans="1:27" ht="15.75">
      <c r="A505" s="1076" t="s">
        <v>273</v>
      </c>
      <c r="B505">
        <v>607022</v>
      </c>
      <c r="C505" s="2452" t="e">
        <f>#REF!+#REF!</f>
        <v>#REF!</v>
      </c>
      <c r="D505" s="2449">
        <f>IF(A505='Data Entry - SOF'!B$2,'Data Entry - SOF'!C$64,0)</f>
        <v>0</v>
      </c>
      <c r="E505" s="2450">
        <f t="shared" si="93"/>
        <v>607022</v>
      </c>
      <c r="F505" s="2212" t="e">
        <f>IF('Report-M&amp;O1718'!C$18-'Report-SOF1718'!D$55&lt;=0,0,'Report-M&amp;O1718'!C$18-'Report-SOF1718'!D$55)</f>
        <v>#DIV/0!</v>
      </c>
      <c r="G505" s="2452" t="e">
        <f t="shared" si="85"/>
        <v>#DIV/0!</v>
      </c>
      <c r="H505" s="2449">
        <f>IF(A505='Data Entry - SOF'!B$2,'Data Entry - SOF'!E$64,0)</f>
        <v>0</v>
      </c>
      <c r="I505" s="1687">
        <f t="shared" si="86"/>
        <v>607022</v>
      </c>
      <c r="J505" s="2212" t="e">
        <f>IF('Report-M&amp;O1819'!C$18-'Report-SOF1819'!D$55&lt;=0,0,'Report-M&amp;O1819'!C$18-'Report-SOF1819'!D$55)</f>
        <v>#DIV/0!</v>
      </c>
      <c r="K505" s="2452" t="e">
        <f t="shared" si="87"/>
        <v>#DIV/0!</v>
      </c>
      <c r="L505" s="2449">
        <f>IF(A505='Data Entry - SOF'!B$2,'Data Entry - SOF'!G$64,0)</f>
        <v>0</v>
      </c>
      <c r="M505" s="1371">
        <f t="shared" si="88"/>
        <v>607022</v>
      </c>
      <c r="N505" s="2212" t="e">
        <f>IF('Report-M&amp;O1920'!C$18-'Report-SOF1920'!D$55&lt;=0,0,'Report-M&amp;O1920'!C$18-'Report-SOF1920'!D$55)</f>
        <v>#DIV/0!</v>
      </c>
      <c r="O505" s="2452" t="e">
        <f t="shared" si="89"/>
        <v>#DIV/0!</v>
      </c>
      <c r="P505" s="2449">
        <f>IF(A505='Data Entry - SOF'!B$2,'Data Entry - SOF'!I$64,0)</f>
        <v>0</v>
      </c>
      <c r="Q505" s="1687">
        <f t="shared" si="84"/>
        <v>607022</v>
      </c>
      <c r="R505" s="2212" t="e">
        <f>IF('Report-M&amp;O2021'!C$18-'Report-SOF2021'!D$55&lt;=0,0,'Report-M&amp;O2021'!C$18-'Report-SOF2021'!D$55)</f>
        <v>#DIV/0!</v>
      </c>
      <c r="S505" s="2452" t="e">
        <f t="shared" si="90"/>
        <v>#DIV/0!</v>
      </c>
      <c r="T505" s="1708">
        <f>IF(A505='Data Entry - SOF'!B$2,'Data Entry - SOF'!K$64,0)</f>
        <v>0</v>
      </c>
      <c r="U505" s="1687">
        <f t="shared" si="94"/>
        <v>607022</v>
      </c>
      <c r="V505" s="2212" t="e">
        <f>IF('Report-M&amp;O2122'!C$18-'Report-SOF2122'!D$55&lt;=0,0,'Report-M&amp;O2122'!C$18-'Report-SOF2122'!D$55)</f>
        <v>#DIV/0!</v>
      </c>
      <c r="W505" s="2452" t="e">
        <f t="shared" si="91"/>
        <v>#DIV/0!</v>
      </c>
      <c r="X505" s="1708">
        <f>IF(A505='Data Entry - SOF'!B$2,'Data Entry - SOF'!M$64,0)</f>
        <v>0</v>
      </c>
      <c r="Y505" s="1371" t="e">
        <f t="shared" si="92"/>
        <v>#DIV/0!</v>
      </c>
      <c r="Z505" s="2212" t="e">
        <f>IF('Report-M&amp;O2223'!C$18-'Report-SOF2223'!D$55&lt;=0,0,'Report-M&amp;O2223'!C$18-'Report-SOF2223'!D$55)</f>
        <v>#DIV/0!</v>
      </c>
      <c r="AA505" s="1708">
        <f>IF(A505='Data Entry - SOF'!B$2,'Data Entry - SOF'!O$64,0)</f>
        <v>0</v>
      </c>
    </row>
    <row r="506" spans="1:27" ht="15.75">
      <c r="A506" s="1076" t="s">
        <v>1210</v>
      </c>
      <c r="B506">
        <v>234299</v>
      </c>
      <c r="C506" s="2452" t="e">
        <f>#REF!+#REF!</f>
        <v>#REF!</v>
      </c>
      <c r="D506" s="2449">
        <f>IF(A506='Data Entry - SOF'!B$2,'Data Entry - SOF'!C$64,0)</f>
        <v>0</v>
      </c>
      <c r="E506" s="2450">
        <f t="shared" si="93"/>
        <v>234299</v>
      </c>
      <c r="F506" s="2212" t="e">
        <f>IF('Report-M&amp;O1718'!C$18-'Report-SOF1718'!D$55&lt;=0,0,'Report-M&amp;O1718'!C$18-'Report-SOF1718'!D$55)</f>
        <v>#DIV/0!</v>
      </c>
      <c r="G506" s="2452" t="e">
        <f t="shared" si="85"/>
        <v>#DIV/0!</v>
      </c>
      <c r="H506" s="2449">
        <f>IF(A506='Data Entry - SOF'!B$2,'Data Entry - SOF'!E$64,0)</f>
        <v>0</v>
      </c>
      <c r="I506" s="1687">
        <f t="shared" si="86"/>
        <v>234299</v>
      </c>
      <c r="J506" s="2212" t="e">
        <f>IF('Report-M&amp;O1819'!C$18-'Report-SOF1819'!D$55&lt;=0,0,'Report-M&amp;O1819'!C$18-'Report-SOF1819'!D$55)</f>
        <v>#DIV/0!</v>
      </c>
      <c r="K506" s="2452" t="e">
        <f t="shared" si="87"/>
        <v>#DIV/0!</v>
      </c>
      <c r="L506" s="2449">
        <f>IF(A506='Data Entry - SOF'!B$2,'Data Entry - SOF'!G$64,0)</f>
        <v>0</v>
      </c>
      <c r="M506" s="1371">
        <f t="shared" si="88"/>
        <v>234299</v>
      </c>
      <c r="N506" s="2212" t="e">
        <f>IF('Report-M&amp;O1920'!C$18-'Report-SOF1920'!D$55&lt;=0,0,'Report-M&amp;O1920'!C$18-'Report-SOF1920'!D$55)</f>
        <v>#DIV/0!</v>
      </c>
      <c r="O506" s="2452" t="e">
        <f t="shared" si="89"/>
        <v>#DIV/0!</v>
      </c>
      <c r="P506" s="2449">
        <f>IF(A506='Data Entry - SOF'!B$2,'Data Entry - SOF'!I$64,0)</f>
        <v>0</v>
      </c>
      <c r="Q506" s="1687">
        <f t="shared" si="84"/>
        <v>234299</v>
      </c>
      <c r="R506" s="2212" t="e">
        <f>IF('Report-M&amp;O2021'!C$18-'Report-SOF2021'!D$55&lt;=0,0,'Report-M&amp;O2021'!C$18-'Report-SOF2021'!D$55)</f>
        <v>#DIV/0!</v>
      </c>
      <c r="S506" s="2452" t="e">
        <f t="shared" si="90"/>
        <v>#DIV/0!</v>
      </c>
      <c r="T506" s="1708">
        <f>IF(A506='Data Entry - SOF'!B$2,'Data Entry - SOF'!K$64,0)</f>
        <v>0</v>
      </c>
      <c r="U506" s="1687">
        <f t="shared" si="94"/>
        <v>234299</v>
      </c>
      <c r="V506" s="2212" t="e">
        <f>IF('Report-M&amp;O2122'!C$18-'Report-SOF2122'!D$55&lt;=0,0,'Report-M&amp;O2122'!C$18-'Report-SOF2122'!D$55)</f>
        <v>#DIV/0!</v>
      </c>
      <c r="W506" s="2452" t="e">
        <f t="shared" si="91"/>
        <v>#DIV/0!</v>
      </c>
      <c r="X506" s="1708">
        <f>IF(A506='Data Entry - SOF'!B$2,'Data Entry - SOF'!M$64,0)</f>
        <v>0</v>
      </c>
      <c r="Y506" s="1371" t="e">
        <f t="shared" si="92"/>
        <v>#DIV/0!</v>
      </c>
      <c r="Z506" s="2212" t="e">
        <f>IF('Report-M&amp;O2223'!C$18-'Report-SOF2223'!D$55&lt;=0,0,'Report-M&amp;O2223'!C$18-'Report-SOF2223'!D$55)</f>
        <v>#DIV/0!</v>
      </c>
      <c r="AA506" s="1708">
        <f>IF(A506='Data Entry - SOF'!B$2,'Data Entry - SOF'!O$64,0)</f>
        <v>0</v>
      </c>
    </row>
    <row r="507" spans="1:27" ht="15.75">
      <c r="A507" s="1076" t="s">
        <v>987</v>
      </c>
      <c r="B507">
        <v>2220230</v>
      </c>
      <c r="C507" s="2452" t="e">
        <f>#REF!+#REF!</f>
        <v>#REF!</v>
      </c>
      <c r="D507" s="2449">
        <f>IF(A507='Data Entry - SOF'!B$2,'Data Entry - SOF'!C$64,0)</f>
        <v>0</v>
      </c>
      <c r="E507" s="2450">
        <f t="shared" si="93"/>
        <v>2220230</v>
      </c>
      <c r="F507" s="2212" t="e">
        <f>IF('Report-M&amp;O1718'!C$18-'Report-SOF1718'!D$55&lt;=0,0,'Report-M&amp;O1718'!C$18-'Report-SOF1718'!D$55)</f>
        <v>#DIV/0!</v>
      </c>
      <c r="G507" s="2452" t="e">
        <f t="shared" si="85"/>
        <v>#DIV/0!</v>
      </c>
      <c r="H507" s="2449">
        <f>IF(A507='Data Entry - SOF'!B$2,'Data Entry - SOF'!E$64,0)</f>
        <v>0</v>
      </c>
      <c r="I507" s="1687">
        <f t="shared" si="86"/>
        <v>2220230</v>
      </c>
      <c r="J507" s="2212" t="e">
        <f>IF('Report-M&amp;O1819'!C$18-'Report-SOF1819'!D$55&lt;=0,0,'Report-M&amp;O1819'!C$18-'Report-SOF1819'!D$55)</f>
        <v>#DIV/0!</v>
      </c>
      <c r="K507" s="2452" t="e">
        <f t="shared" si="87"/>
        <v>#DIV/0!</v>
      </c>
      <c r="L507" s="2449">
        <f>IF(A507='Data Entry - SOF'!B$2,'Data Entry - SOF'!G$64,0)</f>
        <v>0</v>
      </c>
      <c r="M507" s="1371">
        <f t="shared" si="88"/>
        <v>2220230</v>
      </c>
      <c r="N507" s="2212" t="e">
        <f>IF('Report-M&amp;O1920'!C$18-'Report-SOF1920'!D$55&lt;=0,0,'Report-M&amp;O1920'!C$18-'Report-SOF1920'!D$55)</f>
        <v>#DIV/0!</v>
      </c>
      <c r="O507" s="2452" t="e">
        <f t="shared" si="89"/>
        <v>#DIV/0!</v>
      </c>
      <c r="P507" s="2449">
        <f>IF(A507='Data Entry - SOF'!B$2,'Data Entry - SOF'!I$64,0)</f>
        <v>0</v>
      </c>
      <c r="Q507" s="1687">
        <f t="shared" si="84"/>
        <v>2220230</v>
      </c>
      <c r="R507" s="2212" t="e">
        <f>IF('Report-M&amp;O2021'!C$18-'Report-SOF2021'!D$55&lt;=0,0,'Report-M&amp;O2021'!C$18-'Report-SOF2021'!D$55)</f>
        <v>#DIV/0!</v>
      </c>
      <c r="S507" s="2452" t="e">
        <f t="shared" si="90"/>
        <v>#DIV/0!</v>
      </c>
      <c r="T507" s="1708">
        <f>IF(A507='Data Entry - SOF'!B$2,'Data Entry - SOF'!K$64,0)</f>
        <v>0</v>
      </c>
      <c r="U507" s="1687">
        <f t="shared" si="94"/>
        <v>2220230</v>
      </c>
      <c r="V507" s="2212" t="e">
        <f>IF('Report-M&amp;O2122'!C$18-'Report-SOF2122'!D$55&lt;=0,0,'Report-M&amp;O2122'!C$18-'Report-SOF2122'!D$55)</f>
        <v>#DIV/0!</v>
      </c>
      <c r="W507" s="2452" t="e">
        <f t="shared" si="91"/>
        <v>#DIV/0!</v>
      </c>
      <c r="X507" s="1708">
        <f>IF(A507='Data Entry - SOF'!B$2,'Data Entry - SOF'!M$64,0)</f>
        <v>0</v>
      </c>
      <c r="Y507" s="1371" t="e">
        <f t="shared" si="92"/>
        <v>#DIV/0!</v>
      </c>
      <c r="Z507" s="2212" t="e">
        <f>IF('Report-M&amp;O2223'!C$18-'Report-SOF2223'!D$55&lt;=0,0,'Report-M&amp;O2223'!C$18-'Report-SOF2223'!D$55)</f>
        <v>#DIV/0!</v>
      </c>
      <c r="AA507" s="1708">
        <f>IF(A507='Data Entry - SOF'!B$2,'Data Entry - SOF'!O$64,0)</f>
        <v>0</v>
      </c>
    </row>
    <row r="508" spans="1:27" ht="15.75">
      <c r="A508" s="1076" t="s">
        <v>2105</v>
      </c>
      <c r="B508">
        <v>152524</v>
      </c>
      <c r="C508" s="2452" t="e">
        <f>#REF!+#REF!</f>
        <v>#REF!</v>
      </c>
      <c r="D508" s="2449">
        <f>IF(A508='Data Entry - SOF'!B$2,'Data Entry - SOF'!C$64,0)</f>
        <v>0</v>
      </c>
      <c r="E508" s="2450">
        <f t="shared" si="93"/>
        <v>152524</v>
      </c>
      <c r="F508" s="2212" t="e">
        <f>IF('Report-M&amp;O1718'!C$18-'Report-SOF1718'!D$55&lt;=0,0,'Report-M&amp;O1718'!C$18-'Report-SOF1718'!D$55)</f>
        <v>#DIV/0!</v>
      </c>
      <c r="G508" s="2452" t="e">
        <f t="shared" si="85"/>
        <v>#DIV/0!</v>
      </c>
      <c r="H508" s="2449">
        <f>IF(A508='Data Entry - SOF'!B$2,'Data Entry - SOF'!E$64,0)</f>
        <v>0</v>
      </c>
      <c r="I508" s="1687">
        <f t="shared" si="86"/>
        <v>152524</v>
      </c>
      <c r="J508" s="2212" t="e">
        <f>IF('Report-M&amp;O1819'!C$18-'Report-SOF1819'!D$55&lt;=0,0,'Report-M&amp;O1819'!C$18-'Report-SOF1819'!D$55)</f>
        <v>#DIV/0!</v>
      </c>
      <c r="K508" s="2452" t="e">
        <f t="shared" si="87"/>
        <v>#DIV/0!</v>
      </c>
      <c r="L508" s="2449">
        <f>IF(A508='Data Entry - SOF'!B$2,'Data Entry - SOF'!G$64,0)</f>
        <v>0</v>
      </c>
      <c r="M508" s="1371">
        <f t="shared" si="88"/>
        <v>152524</v>
      </c>
      <c r="N508" s="2212" t="e">
        <f>IF('Report-M&amp;O1920'!C$18-'Report-SOF1920'!D$55&lt;=0,0,'Report-M&amp;O1920'!C$18-'Report-SOF1920'!D$55)</f>
        <v>#DIV/0!</v>
      </c>
      <c r="O508" s="2452" t="e">
        <f t="shared" si="89"/>
        <v>#DIV/0!</v>
      </c>
      <c r="P508" s="2449">
        <f>IF(A508='Data Entry - SOF'!B$2,'Data Entry - SOF'!I$64,0)</f>
        <v>0</v>
      </c>
      <c r="Q508" s="1687">
        <f t="shared" si="84"/>
        <v>152524</v>
      </c>
      <c r="R508" s="2212" t="e">
        <f>IF('Report-M&amp;O2021'!C$18-'Report-SOF2021'!D$55&lt;=0,0,'Report-M&amp;O2021'!C$18-'Report-SOF2021'!D$55)</f>
        <v>#DIV/0!</v>
      </c>
      <c r="S508" s="2452" t="e">
        <f t="shared" si="90"/>
        <v>#DIV/0!</v>
      </c>
      <c r="T508" s="1708">
        <f>IF(A508='Data Entry - SOF'!B$2,'Data Entry - SOF'!K$64,0)</f>
        <v>0</v>
      </c>
      <c r="U508" s="1687">
        <f t="shared" si="94"/>
        <v>152524</v>
      </c>
      <c r="V508" s="2212" t="e">
        <f>IF('Report-M&amp;O2122'!C$18-'Report-SOF2122'!D$55&lt;=0,0,'Report-M&amp;O2122'!C$18-'Report-SOF2122'!D$55)</f>
        <v>#DIV/0!</v>
      </c>
      <c r="W508" s="2452" t="e">
        <f t="shared" si="91"/>
        <v>#DIV/0!</v>
      </c>
      <c r="X508" s="1708">
        <f>IF(A508='Data Entry - SOF'!B$2,'Data Entry - SOF'!M$64,0)</f>
        <v>0</v>
      </c>
      <c r="Y508" s="1371" t="e">
        <f t="shared" si="92"/>
        <v>#DIV/0!</v>
      </c>
      <c r="Z508" s="2212" t="e">
        <f>IF('Report-M&amp;O2223'!C$18-'Report-SOF2223'!D$55&lt;=0,0,'Report-M&amp;O2223'!C$18-'Report-SOF2223'!D$55)</f>
        <v>#DIV/0!</v>
      </c>
      <c r="AA508" s="1708">
        <f>IF(A508='Data Entry - SOF'!B$2,'Data Entry - SOF'!O$64,0)</f>
        <v>0</v>
      </c>
    </row>
    <row r="509" spans="1:27" ht="15.75">
      <c r="A509" s="1076" t="s">
        <v>1211</v>
      </c>
      <c r="B509">
        <v>4914851</v>
      </c>
      <c r="C509" s="2452" t="e">
        <f>#REF!+#REF!</f>
        <v>#REF!</v>
      </c>
      <c r="D509" s="2449">
        <f>IF(A509='Data Entry - SOF'!B$2,'Data Entry - SOF'!C$64,0)</f>
        <v>0</v>
      </c>
      <c r="E509" s="2450">
        <f t="shared" si="93"/>
        <v>4914851</v>
      </c>
      <c r="F509" s="2212" t="e">
        <f>IF('Report-M&amp;O1718'!C$18-'Report-SOF1718'!D$55&lt;=0,0,'Report-M&amp;O1718'!C$18-'Report-SOF1718'!D$55)</f>
        <v>#DIV/0!</v>
      </c>
      <c r="G509" s="2452" t="e">
        <f t="shared" si="85"/>
        <v>#DIV/0!</v>
      </c>
      <c r="H509" s="2449">
        <f>IF(A509='Data Entry - SOF'!B$2,'Data Entry - SOF'!E$64,0)</f>
        <v>0</v>
      </c>
      <c r="I509" s="1687">
        <f t="shared" si="86"/>
        <v>4914851</v>
      </c>
      <c r="J509" s="2212" t="e">
        <f>IF('Report-M&amp;O1819'!C$18-'Report-SOF1819'!D$55&lt;=0,0,'Report-M&amp;O1819'!C$18-'Report-SOF1819'!D$55)</f>
        <v>#DIV/0!</v>
      </c>
      <c r="K509" s="2452" t="e">
        <f t="shared" si="87"/>
        <v>#DIV/0!</v>
      </c>
      <c r="L509" s="2449">
        <f>IF(A509='Data Entry - SOF'!B$2,'Data Entry - SOF'!G$64,0)</f>
        <v>0</v>
      </c>
      <c r="M509" s="1371">
        <f t="shared" si="88"/>
        <v>4914851</v>
      </c>
      <c r="N509" s="2212" t="e">
        <f>IF('Report-M&amp;O1920'!C$18-'Report-SOF1920'!D$55&lt;=0,0,'Report-M&amp;O1920'!C$18-'Report-SOF1920'!D$55)</f>
        <v>#DIV/0!</v>
      </c>
      <c r="O509" s="2452" t="e">
        <f t="shared" si="89"/>
        <v>#DIV/0!</v>
      </c>
      <c r="P509" s="2449">
        <f>IF(A509='Data Entry - SOF'!B$2,'Data Entry - SOF'!I$64,0)</f>
        <v>0</v>
      </c>
      <c r="Q509" s="1687">
        <f>M509-P509</f>
        <v>4914851</v>
      </c>
      <c r="R509" s="2212" t="e">
        <f>IF('Report-M&amp;O2021'!C$18-'Report-SOF2021'!D$55&lt;=0,0,'Report-M&amp;O2021'!C$18-'Report-SOF2021'!D$55)</f>
        <v>#DIV/0!</v>
      </c>
      <c r="S509" s="2452" t="e">
        <f t="shared" si="90"/>
        <v>#DIV/0!</v>
      </c>
      <c r="T509" s="1708">
        <f>IF(A509='Data Entry - SOF'!B$2,'Data Entry - SOF'!K$64,0)</f>
        <v>0</v>
      </c>
      <c r="U509" s="1687">
        <f t="shared" ref="U509:U524" si="95">Q509-T509</f>
        <v>4914851</v>
      </c>
      <c r="V509" s="2212" t="e">
        <f>IF('Report-M&amp;O2122'!C$18-'Report-SOF2122'!D$55&lt;=0,0,'Report-M&amp;O2122'!C$18-'Report-SOF2122'!D$55)</f>
        <v>#DIV/0!</v>
      </c>
      <c r="W509" s="2452" t="e">
        <f t="shared" si="91"/>
        <v>#DIV/0!</v>
      </c>
      <c r="X509" s="1708">
        <f>IF(A509='Data Entry - SOF'!B$2,'Data Entry - SOF'!M$64,0)</f>
        <v>0</v>
      </c>
      <c r="Y509" s="1371" t="e">
        <f t="shared" si="92"/>
        <v>#DIV/0!</v>
      </c>
      <c r="Z509" s="2212" t="e">
        <f>IF('Report-M&amp;O2223'!C$18-'Report-SOF2223'!D$55&lt;=0,0,'Report-M&amp;O2223'!C$18-'Report-SOF2223'!D$55)</f>
        <v>#DIV/0!</v>
      </c>
      <c r="AA509" s="1708">
        <f>IF(A509='Data Entry - SOF'!B$2,'Data Entry - SOF'!O$64,0)</f>
        <v>0</v>
      </c>
    </row>
    <row r="510" spans="1:27" ht="15.75">
      <c r="A510" s="1076" t="s">
        <v>2454</v>
      </c>
      <c r="B510">
        <v>497208</v>
      </c>
      <c r="C510" s="2452" t="e">
        <f>#REF!+#REF!</f>
        <v>#REF!</v>
      </c>
      <c r="D510" s="2449">
        <f>IF(A510='Data Entry - SOF'!B$2,'Data Entry - SOF'!C$64,0)</f>
        <v>0</v>
      </c>
      <c r="E510" s="2450">
        <f t="shared" si="93"/>
        <v>497208</v>
      </c>
      <c r="F510" s="2212" t="e">
        <f>IF('Report-M&amp;O1718'!C$18-'Report-SOF1718'!D$55&lt;=0,0,'Report-M&amp;O1718'!C$18-'Report-SOF1718'!D$55)</f>
        <v>#DIV/0!</v>
      </c>
      <c r="G510" s="2452" t="e">
        <f t="shared" si="85"/>
        <v>#DIV/0!</v>
      </c>
      <c r="H510" s="2449">
        <f>IF(A510='Data Entry - SOF'!B$2,'Data Entry - SOF'!E$64,0)</f>
        <v>0</v>
      </c>
      <c r="I510" s="1687">
        <f t="shared" si="86"/>
        <v>497208</v>
      </c>
      <c r="J510" s="2212" t="e">
        <f>IF('Report-M&amp;O1819'!C$18-'Report-SOF1819'!D$55&lt;=0,0,'Report-M&amp;O1819'!C$18-'Report-SOF1819'!D$55)</f>
        <v>#DIV/0!</v>
      </c>
      <c r="K510" s="2452" t="e">
        <f t="shared" si="87"/>
        <v>#DIV/0!</v>
      </c>
      <c r="L510" s="2449">
        <f>IF(A510='Data Entry - SOF'!B$2,'Data Entry - SOF'!G$64,0)</f>
        <v>0</v>
      </c>
      <c r="M510" s="1371">
        <f t="shared" si="88"/>
        <v>497208</v>
      </c>
      <c r="N510" s="2212" t="e">
        <f>IF('Report-M&amp;O1920'!C$18-'Report-SOF1920'!D$55&lt;=0,0,'Report-M&amp;O1920'!C$18-'Report-SOF1920'!D$55)</f>
        <v>#DIV/0!</v>
      </c>
      <c r="O510" s="2452" t="e">
        <f t="shared" si="89"/>
        <v>#DIV/0!</v>
      </c>
      <c r="P510" s="2449">
        <f>IF(A510='Data Entry - SOF'!B$2,'Data Entry - SOF'!I$64,0)</f>
        <v>0</v>
      </c>
      <c r="Q510" s="1687">
        <f t="shared" ref="Q510:Q572" si="96">M510-P510</f>
        <v>497208</v>
      </c>
      <c r="R510" s="2212" t="e">
        <f>IF('Report-M&amp;O2021'!C$18-'Report-SOF2021'!D$55&lt;=0,0,'Report-M&amp;O2021'!C$18-'Report-SOF2021'!D$55)</f>
        <v>#DIV/0!</v>
      </c>
      <c r="S510" s="2452" t="e">
        <f t="shared" si="90"/>
        <v>#DIV/0!</v>
      </c>
      <c r="T510" s="1708">
        <f>IF(A510='Data Entry - SOF'!B$2,'Data Entry - SOF'!K$64,0)</f>
        <v>0</v>
      </c>
      <c r="U510" s="1687">
        <f t="shared" si="95"/>
        <v>497208</v>
      </c>
      <c r="V510" s="2212" t="e">
        <f>IF('Report-M&amp;O2122'!C$18-'Report-SOF2122'!D$55&lt;=0,0,'Report-M&amp;O2122'!C$18-'Report-SOF2122'!D$55)</f>
        <v>#DIV/0!</v>
      </c>
      <c r="W510" s="2452" t="e">
        <f t="shared" si="91"/>
        <v>#DIV/0!</v>
      </c>
      <c r="X510" s="1708">
        <f>IF(A510='Data Entry - SOF'!B$2,'Data Entry - SOF'!M$64,0)</f>
        <v>0</v>
      </c>
      <c r="Y510" s="1371" t="e">
        <f t="shared" si="92"/>
        <v>#DIV/0!</v>
      </c>
      <c r="Z510" s="2212" t="e">
        <f>IF('Report-M&amp;O2223'!C$18-'Report-SOF2223'!D$55&lt;=0,0,'Report-M&amp;O2223'!C$18-'Report-SOF2223'!D$55)</f>
        <v>#DIV/0!</v>
      </c>
      <c r="AA510" s="1708">
        <f>IF(A510='Data Entry - SOF'!B$2,'Data Entry - SOF'!O$64,0)</f>
        <v>0</v>
      </c>
    </row>
    <row r="511" spans="1:27" ht="15.75">
      <c r="A511" s="1076" t="s">
        <v>2455</v>
      </c>
      <c r="B511">
        <v>19187177</v>
      </c>
      <c r="C511" s="2452" t="e">
        <f>#REF!+#REF!</f>
        <v>#REF!</v>
      </c>
      <c r="D511" s="2449">
        <f>IF(A511='Data Entry - SOF'!B$2,'Data Entry - SOF'!C$64,0)</f>
        <v>0</v>
      </c>
      <c r="E511" s="2450">
        <f t="shared" si="93"/>
        <v>19187177</v>
      </c>
      <c r="F511" s="2212" t="e">
        <f>IF('Report-M&amp;O1718'!C$18-'Report-SOF1718'!D$55&lt;=0,0,'Report-M&amp;O1718'!C$18-'Report-SOF1718'!D$55)</f>
        <v>#DIV/0!</v>
      </c>
      <c r="G511" s="2452" t="e">
        <f t="shared" si="85"/>
        <v>#DIV/0!</v>
      </c>
      <c r="H511" s="2449">
        <f>IF(A511='Data Entry - SOF'!B$2,'Data Entry - SOF'!E$64,0)</f>
        <v>0</v>
      </c>
      <c r="I511" s="1687">
        <f t="shared" si="86"/>
        <v>19187177</v>
      </c>
      <c r="J511" s="2212" t="e">
        <f>IF('Report-M&amp;O1819'!C$18-'Report-SOF1819'!D$55&lt;=0,0,'Report-M&amp;O1819'!C$18-'Report-SOF1819'!D$55)</f>
        <v>#DIV/0!</v>
      </c>
      <c r="K511" s="2452" t="e">
        <f t="shared" si="87"/>
        <v>#DIV/0!</v>
      </c>
      <c r="L511" s="2449">
        <f>IF(A511='Data Entry - SOF'!B$2,'Data Entry - SOF'!G$64,0)</f>
        <v>0</v>
      </c>
      <c r="M511" s="1371">
        <f t="shared" si="88"/>
        <v>19187177</v>
      </c>
      <c r="N511" s="2212" t="e">
        <f>IF('Report-M&amp;O1920'!C$18-'Report-SOF1920'!D$55&lt;=0,0,'Report-M&amp;O1920'!C$18-'Report-SOF1920'!D$55)</f>
        <v>#DIV/0!</v>
      </c>
      <c r="O511" s="2452" t="e">
        <f t="shared" si="89"/>
        <v>#DIV/0!</v>
      </c>
      <c r="P511" s="2449">
        <f>IF(A511='Data Entry - SOF'!B$2,'Data Entry - SOF'!I$64,0)</f>
        <v>0</v>
      </c>
      <c r="Q511" s="1687">
        <f t="shared" si="96"/>
        <v>19187177</v>
      </c>
      <c r="R511" s="2212" t="e">
        <f>IF('Report-M&amp;O2021'!C$18-'Report-SOF2021'!D$55&lt;=0,0,'Report-M&amp;O2021'!C$18-'Report-SOF2021'!D$55)</f>
        <v>#DIV/0!</v>
      </c>
      <c r="S511" s="2452" t="e">
        <f t="shared" si="90"/>
        <v>#DIV/0!</v>
      </c>
      <c r="T511" s="1708">
        <f>IF(A511='Data Entry - SOF'!B$2,'Data Entry - SOF'!K$64,0)</f>
        <v>0</v>
      </c>
      <c r="U511" s="1687">
        <f t="shared" si="95"/>
        <v>19187177</v>
      </c>
      <c r="V511" s="2212" t="e">
        <f>IF('Report-M&amp;O2122'!C$18-'Report-SOF2122'!D$55&lt;=0,0,'Report-M&amp;O2122'!C$18-'Report-SOF2122'!D$55)</f>
        <v>#DIV/0!</v>
      </c>
      <c r="W511" s="2452" t="e">
        <f t="shared" si="91"/>
        <v>#DIV/0!</v>
      </c>
      <c r="X511" s="1708">
        <f>IF(A511='Data Entry - SOF'!B$2,'Data Entry - SOF'!M$64,0)</f>
        <v>0</v>
      </c>
      <c r="Y511" s="1371" t="e">
        <f t="shared" si="92"/>
        <v>#DIV/0!</v>
      </c>
      <c r="Z511" s="2212" t="e">
        <f>IF('Report-M&amp;O2223'!C$18-'Report-SOF2223'!D$55&lt;=0,0,'Report-M&amp;O2223'!C$18-'Report-SOF2223'!D$55)</f>
        <v>#DIV/0!</v>
      </c>
      <c r="AA511" s="1708">
        <f>IF(A511='Data Entry - SOF'!B$2,'Data Entry - SOF'!O$64,0)</f>
        <v>0</v>
      </c>
    </row>
    <row r="512" spans="1:27" ht="15.75">
      <c r="A512" s="1076" t="s">
        <v>1428</v>
      </c>
      <c r="B512">
        <v>193858</v>
      </c>
      <c r="C512" s="2452" t="e">
        <f>#REF!+#REF!</f>
        <v>#REF!</v>
      </c>
      <c r="D512" s="2449">
        <f>IF(A512='Data Entry - SOF'!B$2,'Data Entry - SOF'!C$64,0)</f>
        <v>0</v>
      </c>
      <c r="E512" s="2450">
        <f t="shared" si="93"/>
        <v>193858</v>
      </c>
      <c r="F512" s="2212" t="e">
        <f>IF('Report-M&amp;O1718'!C$18-'Report-SOF1718'!D$55&lt;=0,0,'Report-M&amp;O1718'!C$18-'Report-SOF1718'!D$55)</f>
        <v>#DIV/0!</v>
      </c>
      <c r="G512" s="2452" t="e">
        <f t="shared" si="85"/>
        <v>#DIV/0!</v>
      </c>
      <c r="H512" s="2449">
        <f>IF(A512='Data Entry - SOF'!B$2,'Data Entry - SOF'!E$64,0)</f>
        <v>0</v>
      </c>
      <c r="I512" s="1687">
        <f t="shared" si="86"/>
        <v>193858</v>
      </c>
      <c r="J512" s="2212" t="e">
        <f>IF('Report-M&amp;O1819'!C$18-'Report-SOF1819'!D$55&lt;=0,0,'Report-M&amp;O1819'!C$18-'Report-SOF1819'!D$55)</f>
        <v>#DIV/0!</v>
      </c>
      <c r="K512" s="2452" t="e">
        <f t="shared" si="87"/>
        <v>#DIV/0!</v>
      </c>
      <c r="L512" s="2449">
        <f>IF(A512='Data Entry - SOF'!B$2,'Data Entry - SOF'!G$64,0)</f>
        <v>0</v>
      </c>
      <c r="M512" s="1371">
        <f t="shared" si="88"/>
        <v>193858</v>
      </c>
      <c r="N512" s="2212" t="e">
        <f>IF('Report-M&amp;O1920'!C$18-'Report-SOF1920'!D$55&lt;=0,0,'Report-M&amp;O1920'!C$18-'Report-SOF1920'!D$55)</f>
        <v>#DIV/0!</v>
      </c>
      <c r="O512" s="2452" t="e">
        <f t="shared" si="89"/>
        <v>#DIV/0!</v>
      </c>
      <c r="P512" s="2449">
        <f>IF(A512='Data Entry - SOF'!B$2,'Data Entry - SOF'!I$64,0)</f>
        <v>0</v>
      </c>
      <c r="Q512" s="1687">
        <f t="shared" si="96"/>
        <v>193858</v>
      </c>
      <c r="R512" s="2212" t="e">
        <f>IF('Report-M&amp;O2021'!C$18-'Report-SOF2021'!D$55&lt;=0,0,'Report-M&amp;O2021'!C$18-'Report-SOF2021'!D$55)</f>
        <v>#DIV/0!</v>
      </c>
      <c r="S512" s="2452" t="e">
        <f t="shared" si="90"/>
        <v>#DIV/0!</v>
      </c>
      <c r="T512" s="1708">
        <f>IF(A512='Data Entry - SOF'!B$2,'Data Entry - SOF'!K$64,0)</f>
        <v>0</v>
      </c>
      <c r="U512" s="1687">
        <f t="shared" si="95"/>
        <v>193858</v>
      </c>
      <c r="V512" s="2212" t="e">
        <f>IF('Report-M&amp;O2122'!C$18-'Report-SOF2122'!D$55&lt;=0,0,'Report-M&amp;O2122'!C$18-'Report-SOF2122'!D$55)</f>
        <v>#DIV/0!</v>
      </c>
      <c r="W512" s="2452" t="e">
        <f t="shared" si="91"/>
        <v>#DIV/0!</v>
      </c>
      <c r="X512" s="1708">
        <f>IF(A512='Data Entry - SOF'!B$2,'Data Entry - SOF'!M$64,0)</f>
        <v>0</v>
      </c>
      <c r="Y512" s="1371" t="e">
        <f t="shared" si="92"/>
        <v>#DIV/0!</v>
      </c>
      <c r="Z512" s="2212" t="e">
        <f>IF('Report-M&amp;O2223'!C$18-'Report-SOF2223'!D$55&lt;=0,0,'Report-M&amp;O2223'!C$18-'Report-SOF2223'!D$55)</f>
        <v>#DIV/0!</v>
      </c>
      <c r="AA512" s="1708">
        <f>IF(A512='Data Entry - SOF'!B$2,'Data Entry - SOF'!O$64,0)</f>
        <v>0</v>
      </c>
    </row>
    <row r="513" spans="1:27" ht="15.75">
      <c r="A513" s="1076" t="s">
        <v>1429</v>
      </c>
      <c r="B513">
        <v>20812319</v>
      </c>
      <c r="C513" s="2452" t="e">
        <f>#REF!+#REF!</f>
        <v>#REF!</v>
      </c>
      <c r="D513" s="2449">
        <f>IF(A513='Data Entry - SOF'!B$2,'Data Entry - SOF'!C$64,0)</f>
        <v>0</v>
      </c>
      <c r="E513" s="2450">
        <f t="shared" si="93"/>
        <v>20812319</v>
      </c>
      <c r="F513" s="2212" t="e">
        <f>IF('Report-M&amp;O1718'!C$18-'Report-SOF1718'!D$55&lt;=0,0,'Report-M&amp;O1718'!C$18-'Report-SOF1718'!D$55)</f>
        <v>#DIV/0!</v>
      </c>
      <c r="G513" s="2452" t="e">
        <f t="shared" si="85"/>
        <v>#DIV/0!</v>
      </c>
      <c r="H513" s="2449">
        <f>IF(A513='Data Entry - SOF'!B$2,'Data Entry - SOF'!E$64,0)</f>
        <v>0</v>
      </c>
      <c r="I513" s="1687">
        <f t="shared" si="86"/>
        <v>20812319</v>
      </c>
      <c r="J513" s="2212" t="e">
        <f>IF('Report-M&amp;O1819'!C$18-'Report-SOF1819'!D$55&lt;=0,0,'Report-M&amp;O1819'!C$18-'Report-SOF1819'!D$55)</f>
        <v>#DIV/0!</v>
      </c>
      <c r="K513" s="2452" t="e">
        <f t="shared" si="87"/>
        <v>#DIV/0!</v>
      </c>
      <c r="L513" s="2449">
        <f>IF(A513='Data Entry - SOF'!B$2,'Data Entry - SOF'!G$64,0)</f>
        <v>0</v>
      </c>
      <c r="M513" s="1371">
        <f t="shared" si="88"/>
        <v>20812319</v>
      </c>
      <c r="N513" s="2212" t="e">
        <f>IF('Report-M&amp;O1920'!C$18-'Report-SOF1920'!D$55&lt;=0,0,'Report-M&amp;O1920'!C$18-'Report-SOF1920'!D$55)</f>
        <v>#DIV/0!</v>
      </c>
      <c r="O513" s="2452" t="e">
        <f t="shared" si="89"/>
        <v>#DIV/0!</v>
      </c>
      <c r="P513" s="2449">
        <f>IF(A513='Data Entry - SOF'!B$2,'Data Entry - SOF'!I$64,0)</f>
        <v>0</v>
      </c>
      <c r="Q513" s="1687">
        <f t="shared" si="96"/>
        <v>20812319</v>
      </c>
      <c r="R513" s="2212" t="e">
        <f>IF('Report-M&amp;O2021'!C$18-'Report-SOF2021'!D$55&lt;=0,0,'Report-M&amp;O2021'!C$18-'Report-SOF2021'!D$55)</f>
        <v>#DIV/0!</v>
      </c>
      <c r="S513" s="2452" t="e">
        <f t="shared" si="90"/>
        <v>#DIV/0!</v>
      </c>
      <c r="T513" s="1708">
        <f>IF(A513='Data Entry - SOF'!B$2,'Data Entry - SOF'!K$64,0)</f>
        <v>0</v>
      </c>
      <c r="U513" s="1687">
        <f t="shared" si="95"/>
        <v>20812319</v>
      </c>
      <c r="V513" s="2212" t="e">
        <f>IF('Report-M&amp;O2122'!C$18-'Report-SOF2122'!D$55&lt;=0,0,'Report-M&amp;O2122'!C$18-'Report-SOF2122'!D$55)</f>
        <v>#DIV/0!</v>
      </c>
      <c r="W513" s="2452" t="e">
        <f t="shared" si="91"/>
        <v>#DIV/0!</v>
      </c>
      <c r="X513" s="1708">
        <f>IF(A513='Data Entry - SOF'!B$2,'Data Entry - SOF'!M$64,0)</f>
        <v>0</v>
      </c>
      <c r="Y513" s="1371" t="e">
        <f t="shared" si="92"/>
        <v>#DIV/0!</v>
      </c>
      <c r="Z513" s="2212" t="e">
        <f>IF('Report-M&amp;O2223'!C$18-'Report-SOF2223'!D$55&lt;=0,0,'Report-M&amp;O2223'!C$18-'Report-SOF2223'!D$55)</f>
        <v>#DIV/0!</v>
      </c>
      <c r="AA513" s="1708">
        <f>IF(A513='Data Entry - SOF'!B$2,'Data Entry - SOF'!O$64,0)</f>
        <v>0</v>
      </c>
    </row>
    <row r="514" spans="1:27" ht="15.75">
      <c r="A514" s="1076" t="s">
        <v>1039</v>
      </c>
      <c r="B514">
        <v>8233046</v>
      </c>
      <c r="C514" s="2452" t="e">
        <f>#REF!+#REF!</f>
        <v>#REF!</v>
      </c>
      <c r="D514" s="2449">
        <f>IF(A514='Data Entry - SOF'!B$2,'Data Entry - SOF'!C$64,0)</f>
        <v>0</v>
      </c>
      <c r="E514" s="2450">
        <f t="shared" si="93"/>
        <v>8233046</v>
      </c>
      <c r="F514" s="2212" t="e">
        <f>IF('Report-M&amp;O1718'!C$18-'Report-SOF1718'!D$55&lt;=0,0,'Report-M&amp;O1718'!C$18-'Report-SOF1718'!D$55)</f>
        <v>#DIV/0!</v>
      </c>
      <c r="G514" s="2452" t="e">
        <f t="shared" si="85"/>
        <v>#DIV/0!</v>
      </c>
      <c r="H514" s="2449">
        <f>IF(A514='Data Entry - SOF'!B$2,'Data Entry - SOF'!E$64,0)</f>
        <v>0</v>
      </c>
      <c r="I514" s="1687">
        <f t="shared" si="86"/>
        <v>8233046</v>
      </c>
      <c r="J514" s="2212" t="e">
        <f>IF('Report-M&amp;O1819'!C$18-'Report-SOF1819'!D$55&lt;=0,0,'Report-M&amp;O1819'!C$18-'Report-SOF1819'!D$55)</f>
        <v>#DIV/0!</v>
      </c>
      <c r="K514" s="2452" t="e">
        <f t="shared" si="87"/>
        <v>#DIV/0!</v>
      </c>
      <c r="L514" s="2449">
        <f>IF(A514='Data Entry - SOF'!B$2,'Data Entry - SOF'!G$64,0)</f>
        <v>0</v>
      </c>
      <c r="M514" s="1371">
        <f t="shared" si="88"/>
        <v>8233046</v>
      </c>
      <c r="N514" s="2212" t="e">
        <f>IF('Report-M&amp;O1920'!C$18-'Report-SOF1920'!D$55&lt;=0,0,'Report-M&amp;O1920'!C$18-'Report-SOF1920'!D$55)</f>
        <v>#DIV/0!</v>
      </c>
      <c r="O514" s="2452" t="e">
        <f t="shared" si="89"/>
        <v>#DIV/0!</v>
      </c>
      <c r="P514" s="2449">
        <f>IF(A514='Data Entry - SOF'!B$2,'Data Entry - SOF'!I$64,0)</f>
        <v>0</v>
      </c>
      <c r="Q514" s="1687">
        <f t="shared" si="96"/>
        <v>8233046</v>
      </c>
      <c r="R514" s="2212" t="e">
        <f>IF('Report-M&amp;O2021'!C$18-'Report-SOF2021'!D$55&lt;=0,0,'Report-M&amp;O2021'!C$18-'Report-SOF2021'!D$55)</f>
        <v>#DIV/0!</v>
      </c>
      <c r="S514" s="2452" t="e">
        <f t="shared" si="90"/>
        <v>#DIV/0!</v>
      </c>
      <c r="T514" s="1708">
        <f>IF(A514='Data Entry - SOF'!B$2,'Data Entry - SOF'!K$64,0)</f>
        <v>0</v>
      </c>
      <c r="U514" s="1687">
        <f t="shared" si="95"/>
        <v>8233046</v>
      </c>
      <c r="V514" s="2212" t="e">
        <f>IF('Report-M&amp;O2122'!C$18-'Report-SOF2122'!D$55&lt;=0,0,'Report-M&amp;O2122'!C$18-'Report-SOF2122'!D$55)</f>
        <v>#DIV/0!</v>
      </c>
      <c r="W514" s="2452" t="e">
        <f t="shared" si="91"/>
        <v>#DIV/0!</v>
      </c>
      <c r="X514" s="1708">
        <f>IF(A514='Data Entry - SOF'!B$2,'Data Entry - SOF'!M$64,0)</f>
        <v>0</v>
      </c>
      <c r="Y514" s="1371" t="e">
        <f t="shared" si="92"/>
        <v>#DIV/0!</v>
      </c>
      <c r="Z514" s="2212" t="e">
        <f>IF('Report-M&amp;O2223'!C$18-'Report-SOF2223'!D$55&lt;=0,0,'Report-M&amp;O2223'!C$18-'Report-SOF2223'!D$55)</f>
        <v>#DIV/0!</v>
      </c>
      <c r="AA514" s="1708">
        <f>IF(A514='Data Entry - SOF'!B$2,'Data Entry - SOF'!O$64,0)</f>
        <v>0</v>
      </c>
    </row>
    <row r="515" spans="1:27" ht="15.75">
      <c r="A515" s="1076" t="s">
        <v>1040</v>
      </c>
      <c r="B515">
        <v>32425466</v>
      </c>
      <c r="C515" s="2452" t="e">
        <f>#REF!+#REF!</f>
        <v>#REF!</v>
      </c>
      <c r="D515" s="2449">
        <f>IF(A515='Data Entry - SOF'!B$2,'Data Entry - SOF'!C$64,0)</f>
        <v>0</v>
      </c>
      <c r="E515" s="2450">
        <f t="shared" si="93"/>
        <v>32425466</v>
      </c>
      <c r="F515" s="2212" t="e">
        <f>IF('Report-M&amp;O1718'!C$18-'Report-SOF1718'!D$55&lt;=0,0,'Report-M&amp;O1718'!C$18-'Report-SOF1718'!D$55)</f>
        <v>#DIV/0!</v>
      </c>
      <c r="G515" s="2452" t="e">
        <f t="shared" si="85"/>
        <v>#DIV/0!</v>
      </c>
      <c r="H515" s="2449">
        <f>IF(A515='Data Entry - SOF'!B$2,'Data Entry - SOF'!E$64,0)</f>
        <v>0</v>
      </c>
      <c r="I515" s="1687">
        <f t="shared" si="86"/>
        <v>32425466</v>
      </c>
      <c r="J515" s="2212" t="e">
        <f>IF('Report-M&amp;O1819'!C$18-'Report-SOF1819'!D$55&lt;=0,0,'Report-M&amp;O1819'!C$18-'Report-SOF1819'!D$55)</f>
        <v>#DIV/0!</v>
      </c>
      <c r="K515" s="2452" t="e">
        <f t="shared" si="87"/>
        <v>#DIV/0!</v>
      </c>
      <c r="L515" s="2449">
        <f>IF(A515='Data Entry - SOF'!B$2,'Data Entry - SOF'!G$64,0)</f>
        <v>0</v>
      </c>
      <c r="M515" s="1371">
        <f t="shared" si="88"/>
        <v>32425466</v>
      </c>
      <c r="N515" s="2212" t="e">
        <f>IF('Report-M&amp;O1920'!C$18-'Report-SOF1920'!D$55&lt;=0,0,'Report-M&amp;O1920'!C$18-'Report-SOF1920'!D$55)</f>
        <v>#DIV/0!</v>
      </c>
      <c r="O515" s="2452" t="e">
        <f t="shared" si="89"/>
        <v>#DIV/0!</v>
      </c>
      <c r="P515" s="2449">
        <f>IF(A515='Data Entry - SOF'!B$2,'Data Entry - SOF'!I$64,0)</f>
        <v>0</v>
      </c>
      <c r="Q515" s="1687">
        <f t="shared" si="96"/>
        <v>32425466</v>
      </c>
      <c r="R515" s="2212" t="e">
        <f>IF('Report-M&amp;O2021'!C$18-'Report-SOF2021'!D$55&lt;=0,0,'Report-M&amp;O2021'!C$18-'Report-SOF2021'!D$55)</f>
        <v>#DIV/0!</v>
      </c>
      <c r="S515" s="2452" t="e">
        <f t="shared" si="90"/>
        <v>#DIV/0!</v>
      </c>
      <c r="T515" s="1708">
        <f>IF(A515='Data Entry - SOF'!B$2,'Data Entry - SOF'!K$64,0)</f>
        <v>0</v>
      </c>
      <c r="U515" s="1687">
        <f t="shared" si="95"/>
        <v>32425466</v>
      </c>
      <c r="V515" s="2212" t="e">
        <f>IF('Report-M&amp;O2122'!C$18-'Report-SOF2122'!D$55&lt;=0,0,'Report-M&amp;O2122'!C$18-'Report-SOF2122'!D$55)</f>
        <v>#DIV/0!</v>
      </c>
      <c r="W515" s="2452" t="e">
        <f t="shared" si="91"/>
        <v>#DIV/0!</v>
      </c>
      <c r="X515" s="1708">
        <f>IF(A515='Data Entry - SOF'!B$2,'Data Entry - SOF'!M$64,0)</f>
        <v>0</v>
      </c>
      <c r="Y515" s="1371" t="e">
        <f t="shared" si="92"/>
        <v>#DIV/0!</v>
      </c>
      <c r="Z515" s="2212" t="e">
        <f>IF('Report-M&amp;O2223'!C$18-'Report-SOF2223'!D$55&lt;=0,0,'Report-M&amp;O2223'!C$18-'Report-SOF2223'!D$55)</f>
        <v>#DIV/0!</v>
      </c>
      <c r="AA515" s="1708">
        <f>IF(A515='Data Entry - SOF'!B$2,'Data Entry - SOF'!O$64,0)</f>
        <v>0</v>
      </c>
    </row>
    <row r="516" spans="1:27" ht="15.75">
      <c r="A516" s="1076" t="s">
        <v>1041</v>
      </c>
      <c r="B516">
        <v>5662274.7166257696</v>
      </c>
      <c r="C516" s="2452" t="e">
        <f>#REF!+#REF!</f>
        <v>#REF!</v>
      </c>
      <c r="D516" s="2449">
        <f>IF(A516='Data Entry - SOF'!B$2,'Data Entry - SOF'!C$64,0)</f>
        <v>0</v>
      </c>
      <c r="E516" s="2450">
        <f t="shared" si="93"/>
        <v>5662274.7166257696</v>
      </c>
      <c r="F516" s="2212" t="e">
        <f>IF('Report-M&amp;O1718'!C$18-'Report-SOF1718'!D$55&lt;=0,0,'Report-M&amp;O1718'!C$18-'Report-SOF1718'!D$55)</f>
        <v>#DIV/0!</v>
      </c>
      <c r="G516" s="2452" t="e">
        <f t="shared" ref="G516:G579" si="97">E516+F516</f>
        <v>#DIV/0!</v>
      </c>
      <c r="H516" s="2449">
        <f>IF(A516='Data Entry - SOF'!B$2,'Data Entry - SOF'!E$64,0)</f>
        <v>0</v>
      </c>
      <c r="I516" s="1687">
        <f t="shared" ref="I516:I579" si="98">E516-H516</f>
        <v>5662274.7166257696</v>
      </c>
      <c r="J516" s="2212" t="e">
        <f>IF('Report-M&amp;O1819'!C$18-'Report-SOF1819'!D$55&lt;=0,0,'Report-M&amp;O1819'!C$18-'Report-SOF1819'!D$55)</f>
        <v>#DIV/0!</v>
      </c>
      <c r="K516" s="2452" t="e">
        <f t="shared" ref="K516:K579" si="99">I516+J516</f>
        <v>#DIV/0!</v>
      </c>
      <c r="L516" s="2449">
        <f>IF(A516='Data Entry - SOF'!B$2,'Data Entry - SOF'!G$64,0)</f>
        <v>0</v>
      </c>
      <c r="M516" s="1371">
        <f t="shared" ref="M516:M579" si="100">I516-L516</f>
        <v>5662274.7166257696</v>
      </c>
      <c r="N516" s="2212" t="e">
        <f>IF('Report-M&amp;O1920'!C$18-'Report-SOF1920'!D$55&lt;=0,0,'Report-M&amp;O1920'!C$18-'Report-SOF1920'!D$55)</f>
        <v>#DIV/0!</v>
      </c>
      <c r="O516" s="2452" t="e">
        <f t="shared" ref="O516:O579" si="101">M516+N516</f>
        <v>#DIV/0!</v>
      </c>
      <c r="P516" s="2449">
        <f>IF(A516='Data Entry - SOF'!B$2,'Data Entry - SOF'!I$64,0)</f>
        <v>0</v>
      </c>
      <c r="Q516" s="1687">
        <f t="shared" si="96"/>
        <v>5662274.7166257696</v>
      </c>
      <c r="R516" s="2212" t="e">
        <f>IF('Report-M&amp;O2021'!C$18-'Report-SOF2021'!D$55&lt;=0,0,'Report-M&amp;O2021'!C$18-'Report-SOF2021'!D$55)</f>
        <v>#DIV/0!</v>
      </c>
      <c r="S516" s="2452" t="e">
        <f t="shared" ref="S516:S579" si="102">Q516+R516</f>
        <v>#DIV/0!</v>
      </c>
      <c r="T516" s="1708">
        <f>IF(A516='Data Entry - SOF'!B$2,'Data Entry - SOF'!K$64,0)</f>
        <v>0</v>
      </c>
      <c r="U516" s="1687">
        <f t="shared" si="95"/>
        <v>5662274.7166257696</v>
      </c>
      <c r="V516" s="2212" t="e">
        <f>IF('Report-M&amp;O2122'!C$18-'Report-SOF2122'!D$55&lt;=0,0,'Report-M&amp;O2122'!C$18-'Report-SOF2122'!D$55)</f>
        <v>#DIV/0!</v>
      </c>
      <c r="W516" s="2452" t="e">
        <f t="shared" ref="W516:W579" si="103">U516+V516</f>
        <v>#DIV/0!</v>
      </c>
      <c r="X516" s="1708">
        <f>IF(A516='Data Entry - SOF'!B$2,'Data Entry - SOF'!M$64,0)</f>
        <v>0</v>
      </c>
      <c r="Y516" s="1371" t="e">
        <f t="shared" ref="Y516:Y579" si="104">IF(U516+V516-X516&lt;=0,0,U516+V516-X516)</f>
        <v>#DIV/0!</v>
      </c>
      <c r="Z516" s="2212" t="e">
        <f>IF('Report-M&amp;O2223'!C$18-'Report-SOF2223'!D$55&lt;=0,0,'Report-M&amp;O2223'!C$18-'Report-SOF2223'!D$55)</f>
        <v>#DIV/0!</v>
      </c>
      <c r="AA516" s="1708">
        <f>IF(A516='Data Entry - SOF'!B$2,'Data Entry - SOF'!O$64,0)</f>
        <v>0</v>
      </c>
    </row>
    <row r="517" spans="1:27" ht="15.75">
      <c r="A517" s="1076" t="s">
        <v>1042</v>
      </c>
      <c r="B517">
        <v>6609204</v>
      </c>
      <c r="C517" s="2452" t="e">
        <f>#REF!+#REF!</f>
        <v>#REF!</v>
      </c>
      <c r="D517" s="2449">
        <f>IF(A517='Data Entry - SOF'!B$2,'Data Entry - SOF'!C$64,0)</f>
        <v>0</v>
      </c>
      <c r="E517" s="2450">
        <f t="shared" ref="E517:E580" si="105">IF(B517-D517&lt;0,0,B517-D517)</f>
        <v>6609204</v>
      </c>
      <c r="F517" s="2212" t="e">
        <f>IF('Report-M&amp;O1718'!C$18-'Report-SOF1718'!D$55&lt;=0,0,'Report-M&amp;O1718'!C$18-'Report-SOF1718'!D$55)</f>
        <v>#DIV/0!</v>
      </c>
      <c r="G517" s="2452" t="e">
        <f t="shared" si="97"/>
        <v>#DIV/0!</v>
      </c>
      <c r="H517" s="2449">
        <f>IF(A517='Data Entry - SOF'!B$2,'Data Entry - SOF'!E$64,0)</f>
        <v>0</v>
      </c>
      <c r="I517" s="1687">
        <f t="shared" si="98"/>
        <v>6609204</v>
      </c>
      <c r="J517" s="2212" t="e">
        <f>IF('Report-M&amp;O1819'!C$18-'Report-SOF1819'!D$55&lt;=0,0,'Report-M&amp;O1819'!C$18-'Report-SOF1819'!D$55)</f>
        <v>#DIV/0!</v>
      </c>
      <c r="K517" s="2452" t="e">
        <f t="shared" si="99"/>
        <v>#DIV/0!</v>
      </c>
      <c r="L517" s="2449">
        <f>IF(A517='Data Entry - SOF'!B$2,'Data Entry - SOF'!G$64,0)</f>
        <v>0</v>
      </c>
      <c r="M517" s="1371">
        <f t="shared" si="100"/>
        <v>6609204</v>
      </c>
      <c r="N517" s="2212" t="e">
        <f>IF('Report-M&amp;O1920'!C$18-'Report-SOF1920'!D$55&lt;=0,0,'Report-M&amp;O1920'!C$18-'Report-SOF1920'!D$55)</f>
        <v>#DIV/0!</v>
      </c>
      <c r="O517" s="2452" t="e">
        <f t="shared" si="101"/>
        <v>#DIV/0!</v>
      </c>
      <c r="P517" s="2449">
        <f>IF(A517='Data Entry - SOF'!B$2,'Data Entry - SOF'!I$64,0)</f>
        <v>0</v>
      </c>
      <c r="Q517" s="1687">
        <f t="shared" si="96"/>
        <v>6609204</v>
      </c>
      <c r="R517" s="2212" t="e">
        <f>IF('Report-M&amp;O2021'!C$18-'Report-SOF2021'!D$55&lt;=0,0,'Report-M&amp;O2021'!C$18-'Report-SOF2021'!D$55)</f>
        <v>#DIV/0!</v>
      </c>
      <c r="S517" s="2452" t="e">
        <f t="shared" si="102"/>
        <v>#DIV/0!</v>
      </c>
      <c r="T517" s="1708">
        <f>IF(A517='Data Entry - SOF'!B$2,'Data Entry - SOF'!K$64,0)</f>
        <v>0</v>
      </c>
      <c r="U517" s="1687">
        <f t="shared" si="95"/>
        <v>6609204</v>
      </c>
      <c r="V517" s="2212" t="e">
        <f>IF('Report-M&amp;O2122'!C$18-'Report-SOF2122'!D$55&lt;=0,0,'Report-M&amp;O2122'!C$18-'Report-SOF2122'!D$55)</f>
        <v>#DIV/0!</v>
      </c>
      <c r="W517" s="2452" t="e">
        <f t="shared" si="103"/>
        <v>#DIV/0!</v>
      </c>
      <c r="X517" s="1708">
        <f>IF(A517='Data Entry - SOF'!B$2,'Data Entry - SOF'!M$64,0)</f>
        <v>0</v>
      </c>
      <c r="Y517" s="1371" t="e">
        <f t="shared" si="104"/>
        <v>#DIV/0!</v>
      </c>
      <c r="Z517" s="2212" t="e">
        <f>IF('Report-M&amp;O2223'!C$18-'Report-SOF2223'!D$55&lt;=0,0,'Report-M&amp;O2223'!C$18-'Report-SOF2223'!D$55)</f>
        <v>#DIV/0!</v>
      </c>
      <c r="AA517" s="1708">
        <f>IF(A517='Data Entry - SOF'!B$2,'Data Entry - SOF'!O$64,0)</f>
        <v>0</v>
      </c>
    </row>
    <row r="518" spans="1:27" ht="15.75">
      <c r="A518" s="1076" t="s">
        <v>2972</v>
      </c>
      <c r="B518">
        <v>4400379</v>
      </c>
      <c r="C518" s="2452" t="e">
        <f>#REF!+#REF!</f>
        <v>#REF!</v>
      </c>
      <c r="D518" s="2449">
        <f>IF(A518='Data Entry - SOF'!B$2,'Data Entry - SOF'!C$64,0)</f>
        <v>0</v>
      </c>
      <c r="E518" s="2450">
        <f t="shared" si="105"/>
        <v>4400379</v>
      </c>
      <c r="F518" s="2212" t="e">
        <f>IF('Report-M&amp;O1718'!C$18-'Report-SOF1718'!D$55&lt;=0,0,'Report-M&amp;O1718'!C$18-'Report-SOF1718'!D$55)</f>
        <v>#DIV/0!</v>
      </c>
      <c r="G518" s="2452" t="e">
        <f t="shared" si="97"/>
        <v>#DIV/0!</v>
      </c>
      <c r="H518" s="2449">
        <f>IF(A518='Data Entry - SOF'!B$2,'Data Entry - SOF'!E$64,0)</f>
        <v>0</v>
      </c>
      <c r="I518" s="1687">
        <f t="shared" si="98"/>
        <v>4400379</v>
      </c>
      <c r="J518" s="2212" t="e">
        <f>IF('Report-M&amp;O1819'!C$18-'Report-SOF1819'!D$55&lt;=0,0,'Report-M&amp;O1819'!C$18-'Report-SOF1819'!D$55)</f>
        <v>#DIV/0!</v>
      </c>
      <c r="K518" s="2452" t="e">
        <f t="shared" si="99"/>
        <v>#DIV/0!</v>
      </c>
      <c r="L518" s="2449">
        <f>IF(A518='Data Entry - SOF'!B$2,'Data Entry - SOF'!G$64,0)</f>
        <v>0</v>
      </c>
      <c r="M518" s="1371">
        <f t="shared" si="100"/>
        <v>4400379</v>
      </c>
      <c r="N518" s="2212" t="e">
        <f>IF('Report-M&amp;O1920'!C$18-'Report-SOF1920'!D$55&lt;=0,0,'Report-M&amp;O1920'!C$18-'Report-SOF1920'!D$55)</f>
        <v>#DIV/0!</v>
      </c>
      <c r="O518" s="2452" t="e">
        <f t="shared" si="101"/>
        <v>#DIV/0!</v>
      </c>
      <c r="P518" s="2449">
        <f>IF(A518='Data Entry - SOF'!B$2,'Data Entry - SOF'!I$64,0)</f>
        <v>0</v>
      </c>
      <c r="Q518" s="1687">
        <f t="shared" si="96"/>
        <v>4400379</v>
      </c>
      <c r="R518" s="2212" t="e">
        <f>IF('Report-M&amp;O2021'!C$18-'Report-SOF2021'!D$55&lt;=0,0,'Report-M&amp;O2021'!C$18-'Report-SOF2021'!D$55)</f>
        <v>#DIV/0!</v>
      </c>
      <c r="S518" s="2452" t="e">
        <f t="shared" si="102"/>
        <v>#DIV/0!</v>
      </c>
      <c r="T518" s="1708">
        <f>IF(A518='Data Entry - SOF'!B$2,'Data Entry - SOF'!K$64,0)</f>
        <v>0</v>
      </c>
      <c r="U518" s="1687">
        <f t="shared" si="95"/>
        <v>4400379</v>
      </c>
      <c r="V518" s="2212" t="e">
        <f>IF('Report-M&amp;O2122'!C$18-'Report-SOF2122'!D$55&lt;=0,0,'Report-M&amp;O2122'!C$18-'Report-SOF2122'!D$55)</f>
        <v>#DIV/0!</v>
      </c>
      <c r="W518" s="2452" t="e">
        <f t="shared" si="103"/>
        <v>#DIV/0!</v>
      </c>
      <c r="X518" s="1708">
        <f>IF(A518='Data Entry - SOF'!B$2,'Data Entry - SOF'!M$64,0)</f>
        <v>0</v>
      </c>
      <c r="Y518" s="1371" t="e">
        <f t="shared" si="104"/>
        <v>#DIV/0!</v>
      </c>
      <c r="Z518" s="2212" t="e">
        <f>IF('Report-M&amp;O2223'!C$18-'Report-SOF2223'!D$55&lt;=0,0,'Report-M&amp;O2223'!C$18-'Report-SOF2223'!D$55)</f>
        <v>#DIV/0!</v>
      </c>
      <c r="AA518" s="1708">
        <f>IF(A518='Data Entry - SOF'!B$2,'Data Entry - SOF'!O$64,0)</f>
        <v>0</v>
      </c>
    </row>
    <row r="519" spans="1:27" ht="15.75">
      <c r="A519" s="1076" t="s">
        <v>544</v>
      </c>
      <c r="B519">
        <v>10466403</v>
      </c>
      <c r="C519" s="2452" t="e">
        <f>#REF!+#REF!</f>
        <v>#REF!</v>
      </c>
      <c r="D519" s="2449">
        <f>IF(A519='Data Entry - SOF'!B$2,'Data Entry - SOF'!C$64,0)</f>
        <v>0</v>
      </c>
      <c r="E519" s="2450">
        <f t="shared" si="105"/>
        <v>10466403</v>
      </c>
      <c r="F519" s="2212" t="e">
        <f>IF('Report-M&amp;O1718'!C$18-'Report-SOF1718'!D$55&lt;=0,0,'Report-M&amp;O1718'!C$18-'Report-SOF1718'!D$55)</f>
        <v>#DIV/0!</v>
      </c>
      <c r="G519" s="2452" t="e">
        <f t="shared" si="97"/>
        <v>#DIV/0!</v>
      </c>
      <c r="H519" s="2449">
        <f>IF(A519='Data Entry - SOF'!B$2,'Data Entry - SOF'!E$64,0)</f>
        <v>0</v>
      </c>
      <c r="I519" s="1687">
        <f t="shared" si="98"/>
        <v>10466403</v>
      </c>
      <c r="J519" s="2212" t="e">
        <f>IF('Report-M&amp;O1819'!C$18-'Report-SOF1819'!D$55&lt;=0,0,'Report-M&amp;O1819'!C$18-'Report-SOF1819'!D$55)</f>
        <v>#DIV/0!</v>
      </c>
      <c r="K519" s="2452" t="e">
        <f t="shared" si="99"/>
        <v>#DIV/0!</v>
      </c>
      <c r="L519" s="2449">
        <f>IF(A519='Data Entry - SOF'!B$2,'Data Entry - SOF'!G$64,0)</f>
        <v>0</v>
      </c>
      <c r="M519" s="1371">
        <f t="shared" si="100"/>
        <v>10466403</v>
      </c>
      <c r="N519" s="2212" t="e">
        <f>IF('Report-M&amp;O1920'!C$18-'Report-SOF1920'!D$55&lt;=0,0,'Report-M&amp;O1920'!C$18-'Report-SOF1920'!D$55)</f>
        <v>#DIV/0!</v>
      </c>
      <c r="O519" s="2452" t="e">
        <f t="shared" si="101"/>
        <v>#DIV/0!</v>
      </c>
      <c r="P519" s="2449">
        <f>IF(A519='Data Entry - SOF'!B$2,'Data Entry - SOF'!I$64,0)</f>
        <v>0</v>
      </c>
      <c r="Q519" s="1687">
        <f t="shared" si="96"/>
        <v>10466403</v>
      </c>
      <c r="R519" s="2212" t="e">
        <f>IF('Report-M&amp;O2021'!C$18-'Report-SOF2021'!D$55&lt;=0,0,'Report-M&amp;O2021'!C$18-'Report-SOF2021'!D$55)</f>
        <v>#DIV/0!</v>
      </c>
      <c r="S519" s="2452" t="e">
        <f t="shared" si="102"/>
        <v>#DIV/0!</v>
      </c>
      <c r="T519" s="1708">
        <f>IF(A519='Data Entry - SOF'!B$2,'Data Entry - SOF'!K$64,0)</f>
        <v>0</v>
      </c>
      <c r="U519" s="1687">
        <f t="shared" si="95"/>
        <v>10466403</v>
      </c>
      <c r="V519" s="2212" t="e">
        <f>IF('Report-M&amp;O2122'!C$18-'Report-SOF2122'!D$55&lt;=0,0,'Report-M&amp;O2122'!C$18-'Report-SOF2122'!D$55)</f>
        <v>#DIV/0!</v>
      </c>
      <c r="W519" s="2452" t="e">
        <f t="shared" si="103"/>
        <v>#DIV/0!</v>
      </c>
      <c r="X519" s="1708">
        <f>IF(A519='Data Entry - SOF'!B$2,'Data Entry - SOF'!M$64,0)</f>
        <v>0</v>
      </c>
      <c r="Y519" s="1371" t="e">
        <f t="shared" si="104"/>
        <v>#DIV/0!</v>
      </c>
      <c r="Z519" s="2212" t="e">
        <f>IF('Report-M&amp;O2223'!C$18-'Report-SOF2223'!D$55&lt;=0,0,'Report-M&amp;O2223'!C$18-'Report-SOF2223'!D$55)</f>
        <v>#DIV/0!</v>
      </c>
      <c r="AA519" s="1708">
        <f>IF(A519='Data Entry - SOF'!B$2,'Data Entry - SOF'!O$64,0)</f>
        <v>0</v>
      </c>
    </row>
    <row r="520" spans="1:27" ht="15.75">
      <c r="A520" s="1076" t="s">
        <v>3042</v>
      </c>
      <c r="B520">
        <v>442767</v>
      </c>
      <c r="C520" s="2452" t="e">
        <f>#REF!+#REF!</f>
        <v>#REF!</v>
      </c>
      <c r="D520" s="2449">
        <f>IF(A520='Data Entry - SOF'!B$2,'Data Entry - SOF'!C$64,0)</f>
        <v>0</v>
      </c>
      <c r="E520" s="2450">
        <f t="shared" si="105"/>
        <v>442767</v>
      </c>
      <c r="F520" s="2212" t="e">
        <f>IF('Report-M&amp;O1718'!C$18-'Report-SOF1718'!D$55&lt;=0,0,'Report-M&amp;O1718'!C$18-'Report-SOF1718'!D$55)</f>
        <v>#DIV/0!</v>
      </c>
      <c r="G520" s="2452" t="e">
        <f t="shared" si="97"/>
        <v>#DIV/0!</v>
      </c>
      <c r="H520" s="2449">
        <f>IF(A520='Data Entry - SOF'!B$2,'Data Entry - SOF'!E$64,0)</f>
        <v>0</v>
      </c>
      <c r="I520" s="1687">
        <f t="shared" si="98"/>
        <v>442767</v>
      </c>
      <c r="J520" s="2212" t="e">
        <f>IF('Report-M&amp;O1819'!C$18-'Report-SOF1819'!D$55&lt;=0,0,'Report-M&amp;O1819'!C$18-'Report-SOF1819'!D$55)</f>
        <v>#DIV/0!</v>
      </c>
      <c r="K520" s="2452" t="e">
        <f t="shared" si="99"/>
        <v>#DIV/0!</v>
      </c>
      <c r="L520" s="2449">
        <f>IF(A520='Data Entry - SOF'!B$2,'Data Entry - SOF'!G$64,0)</f>
        <v>0</v>
      </c>
      <c r="M520" s="1371">
        <f t="shared" si="100"/>
        <v>442767</v>
      </c>
      <c r="N520" s="2212" t="e">
        <f>IF('Report-M&amp;O1920'!C$18-'Report-SOF1920'!D$55&lt;=0,0,'Report-M&amp;O1920'!C$18-'Report-SOF1920'!D$55)</f>
        <v>#DIV/0!</v>
      </c>
      <c r="O520" s="2452" t="e">
        <f t="shared" si="101"/>
        <v>#DIV/0!</v>
      </c>
      <c r="P520" s="2449">
        <f>IF(A520='Data Entry - SOF'!B$2,'Data Entry - SOF'!I$64,0)</f>
        <v>0</v>
      </c>
      <c r="Q520" s="1687">
        <f t="shared" si="96"/>
        <v>442767</v>
      </c>
      <c r="R520" s="2212" t="e">
        <f>IF('Report-M&amp;O2021'!C$18-'Report-SOF2021'!D$55&lt;=0,0,'Report-M&amp;O2021'!C$18-'Report-SOF2021'!D$55)</f>
        <v>#DIV/0!</v>
      </c>
      <c r="S520" s="2452" t="e">
        <f t="shared" si="102"/>
        <v>#DIV/0!</v>
      </c>
      <c r="T520" s="1708">
        <f>IF(A520='Data Entry - SOF'!B$2,'Data Entry - SOF'!K$64,0)</f>
        <v>0</v>
      </c>
      <c r="U520" s="1687">
        <f t="shared" si="95"/>
        <v>442767</v>
      </c>
      <c r="V520" s="2212" t="e">
        <f>IF('Report-M&amp;O2122'!C$18-'Report-SOF2122'!D$55&lt;=0,0,'Report-M&amp;O2122'!C$18-'Report-SOF2122'!D$55)</f>
        <v>#DIV/0!</v>
      </c>
      <c r="W520" s="2452" t="e">
        <f t="shared" si="103"/>
        <v>#DIV/0!</v>
      </c>
      <c r="X520" s="1708">
        <f>IF(A520='Data Entry - SOF'!B$2,'Data Entry - SOF'!M$64,0)</f>
        <v>0</v>
      </c>
      <c r="Y520" s="1371" t="e">
        <f t="shared" si="104"/>
        <v>#DIV/0!</v>
      </c>
      <c r="Z520" s="2212" t="e">
        <f>IF('Report-M&amp;O2223'!C$18-'Report-SOF2223'!D$55&lt;=0,0,'Report-M&amp;O2223'!C$18-'Report-SOF2223'!D$55)</f>
        <v>#DIV/0!</v>
      </c>
      <c r="AA520" s="1708">
        <f>IF(A520='Data Entry - SOF'!B$2,'Data Entry - SOF'!O$64,0)</f>
        <v>0</v>
      </c>
    </row>
    <row r="521" spans="1:27" ht="15.75">
      <c r="A521" s="1076" t="s">
        <v>995</v>
      </c>
      <c r="B521">
        <v>3131458</v>
      </c>
      <c r="C521" s="2452" t="e">
        <f>#REF!+#REF!</f>
        <v>#REF!</v>
      </c>
      <c r="D521" s="2449">
        <f>IF(A521='Data Entry - SOF'!B$2,'Data Entry - SOF'!C$64,0)</f>
        <v>0</v>
      </c>
      <c r="E521" s="2450">
        <f t="shared" si="105"/>
        <v>3131458</v>
      </c>
      <c r="F521" s="2212" t="e">
        <f>IF('Report-M&amp;O1718'!C$18-'Report-SOF1718'!D$55&lt;=0,0,'Report-M&amp;O1718'!C$18-'Report-SOF1718'!D$55)</f>
        <v>#DIV/0!</v>
      </c>
      <c r="G521" s="2452" t="e">
        <f t="shared" si="97"/>
        <v>#DIV/0!</v>
      </c>
      <c r="H521" s="2449">
        <f>IF(A521='Data Entry - SOF'!B$2,'Data Entry - SOF'!E$64,0)</f>
        <v>0</v>
      </c>
      <c r="I521" s="1687">
        <f t="shared" si="98"/>
        <v>3131458</v>
      </c>
      <c r="J521" s="2212" t="e">
        <f>IF('Report-M&amp;O1819'!C$18-'Report-SOF1819'!D$55&lt;=0,0,'Report-M&amp;O1819'!C$18-'Report-SOF1819'!D$55)</f>
        <v>#DIV/0!</v>
      </c>
      <c r="K521" s="2452" t="e">
        <f t="shared" si="99"/>
        <v>#DIV/0!</v>
      </c>
      <c r="L521" s="2449">
        <f>IF(A521='Data Entry - SOF'!B$2,'Data Entry - SOF'!G$64,0)</f>
        <v>0</v>
      </c>
      <c r="M521" s="1371">
        <f t="shared" si="100"/>
        <v>3131458</v>
      </c>
      <c r="N521" s="2212" t="e">
        <f>IF('Report-M&amp;O1920'!C$18-'Report-SOF1920'!D$55&lt;=0,0,'Report-M&amp;O1920'!C$18-'Report-SOF1920'!D$55)</f>
        <v>#DIV/0!</v>
      </c>
      <c r="O521" s="2452" t="e">
        <f t="shared" si="101"/>
        <v>#DIV/0!</v>
      </c>
      <c r="P521" s="2449">
        <f>IF(A521='Data Entry - SOF'!B$2,'Data Entry - SOF'!I$64,0)</f>
        <v>0</v>
      </c>
      <c r="Q521" s="1687">
        <f t="shared" si="96"/>
        <v>3131458</v>
      </c>
      <c r="R521" s="2212" t="e">
        <f>IF('Report-M&amp;O2021'!C$18-'Report-SOF2021'!D$55&lt;=0,0,'Report-M&amp;O2021'!C$18-'Report-SOF2021'!D$55)</f>
        <v>#DIV/0!</v>
      </c>
      <c r="S521" s="2452" t="e">
        <f t="shared" si="102"/>
        <v>#DIV/0!</v>
      </c>
      <c r="T521" s="1708">
        <f>IF(A521='Data Entry - SOF'!B$2,'Data Entry - SOF'!K$64,0)</f>
        <v>0</v>
      </c>
      <c r="U521" s="1687">
        <f t="shared" si="95"/>
        <v>3131458</v>
      </c>
      <c r="V521" s="2212" t="e">
        <f>IF('Report-M&amp;O2122'!C$18-'Report-SOF2122'!D$55&lt;=0,0,'Report-M&amp;O2122'!C$18-'Report-SOF2122'!D$55)</f>
        <v>#DIV/0!</v>
      </c>
      <c r="W521" s="2452" t="e">
        <f t="shared" si="103"/>
        <v>#DIV/0!</v>
      </c>
      <c r="X521" s="1708">
        <f>IF(A521='Data Entry - SOF'!B$2,'Data Entry - SOF'!M$64,0)</f>
        <v>0</v>
      </c>
      <c r="Y521" s="1371" t="e">
        <f t="shared" si="104"/>
        <v>#DIV/0!</v>
      </c>
      <c r="Z521" s="2212" t="e">
        <f>IF('Report-M&amp;O2223'!C$18-'Report-SOF2223'!D$55&lt;=0,0,'Report-M&amp;O2223'!C$18-'Report-SOF2223'!D$55)</f>
        <v>#DIV/0!</v>
      </c>
      <c r="AA521" s="1708">
        <f>IF(A521='Data Entry - SOF'!B$2,'Data Entry - SOF'!O$64,0)</f>
        <v>0</v>
      </c>
    </row>
    <row r="522" spans="1:27" ht="15.75">
      <c r="A522" s="1076" t="s">
        <v>51</v>
      </c>
      <c r="B522">
        <v>6510590</v>
      </c>
      <c r="C522" s="2452" t="e">
        <f>#REF!+#REF!</f>
        <v>#REF!</v>
      </c>
      <c r="D522" s="2449">
        <f>IF(A522='Data Entry - SOF'!B$2,'Data Entry - SOF'!C$64,0)</f>
        <v>0</v>
      </c>
      <c r="E522" s="2450">
        <f t="shared" si="105"/>
        <v>6510590</v>
      </c>
      <c r="F522" s="2212" t="e">
        <f>IF('Report-M&amp;O1718'!C$18-'Report-SOF1718'!D$55&lt;=0,0,'Report-M&amp;O1718'!C$18-'Report-SOF1718'!D$55)</f>
        <v>#DIV/0!</v>
      </c>
      <c r="G522" s="2452" t="e">
        <f t="shared" si="97"/>
        <v>#DIV/0!</v>
      </c>
      <c r="H522" s="2449">
        <f>IF(A522='Data Entry - SOF'!B$2,'Data Entry - SOF'!E$64,0)</f>
        <v>0</v>
      </c>
      <c r="I522" s="1687">
        <f t="shared" si="98"/>
        <v>6510590</v>
      </c>
      <c r="J522" s="2212" t="e">
        <f>IF('Report-M&amp;O1819'!C$18-'Report-SOF1819'!D$55&lt;=0,0,'Report-M&amp;O1819'!C$18-'Report-SOF1819'!D$55)</f>
        <v>#DIV/0!</v>
      </c>
      <c r="K522" s="2452" t="e">
        <f t="shared" si="99"/>
        <v>#DIV/0!</v>
      </c>
      <c r="L522" s="2449">
        <f>IF(A522='Data Entry - SOF'!B$2,'Data Entry - SOF'!G$64,0)</f>
        <v>0</v>
      </c>
      <c r="M522" s="1371">
        <f t="shared" si="100"/>
        <v>6510590</v>
      </c>
      <c r="N522" s="2212" t="e">
        <f>IF('Report-M&amp;O1920'!C$18-'Report-SOF1920'!D$55&lt;=0,0,'Report-M&amp;O1920'!C$18-'Report-SOF1920'!D$55)</f>
        <v>#DIV/0!</v>
      </c>
      <c r="O522" s="2452" t="e">
        <f t="shared" si="101"/>
        <v>#DIV/0!</v>
      </c>
      <c r="P522" s="2449">
        <f>IF(A522='Data Entry - SOF'!B$2,'Data Entry - SOF'!I$64,0)</f>
        <v>0</v>
      </c>
      <c r="Q522" s="1687">
        <f t="shared" si="96"/>
        <v>6510590</v>
      </c>
      <c r="R522" s="2212" t="e">
        <f>IF('Report-M&amp;O2021'!C$18-'Report-SOF2021'!D$55&lt;=0,0,'Report-M&amp;O2021'!C$18-'Report-SOF2021'!D$55)</f>
        <v>#DIV/0!</v>
      </c>
      <c r="S522" s="2452" t="e">
        <f t="shared" si="102"/>
        <v>#DIV/0!</v>
      </c>
      <c r="T522" s="1708">
        <f>IF(A522='Data Entry - SOF'!B$2,'Data Entry - SOF'!K$64,0)</f>
        <v>0</v>
      </c>
      <c r="U522" s="1687">
        <f t="shared" si="95"/>
        <v>6510590</v>
      </c>
      <c r="V522" s="2212" t="e">
        <f>IF('Report-M&amp;O2122'!C$18-'Report-SOF2122'!D$55&lt;=0,0,'Report-M&amp;O2122'!C$18-'Report-SOF2122'!D$55)</f>
        <v>#DIV/0!</v>
      </c>
      <c r="W522" s="2452" t="e">
        <f t="shared" si="103"/>
        <v>#DIV/0!</v>
      </c>
      <c r="X522" s="1708">
        <f>IF(A522='Data Entry - SOF'!B$2,'Data Entry - SOF'!M$64,0)</f>
        <v>0</v>
      </c>
      <c r="Y522" s="1371" t="e">
        <f t="shared" si="104"/>
        <v>#DIV/0!</v>
      </c>
      <c r="Z522" s="2212" t="e">
        <f>IF('Report-M&amp;O2223'!C$18-'Report-SOF2223'!D$55&lt;=0,0,'Report-M&amp;O2223'!C$18-'Report-SOF2223'!D$55)</f>
        <v>#DIV/0!</v>
      </c>
      <c r="AA522" s="1708">
        <f>IF(A522='Data Entry - SOF'!B$2,'Data Entry - SOF'!O$64,0)</f>
        <v>0</v>
      </c>
    </row>
    <row r="523" spans="1:27" ht="15.75">
      <c r="A523" s="1076" t="s">
        <v>61</v>
      </c>
      <c r="B523">
        <v>2466600</v>
      </c>
      <c r="C523" s="2452" t="e">
        <f>#REF!+#REF!</f>
        <v>#REF!</v>
      </c>
      <c r="D523" s="2449">
        <f>IF(A523='Data Entry - SOF'!B$2,'Data Entry - SOF'!C$64,0)</f>
        <v>0</v>
      </c>
      <c r="E523" s="2450">
        <f t="shared" si="105"/>
        <v>2466600</v>
      </c>
      <c r="F523" s="2212" t="e">
        <f>IF('Report-M&amp;O1718'!C$18-'Report-SOF1718'!D$55&lt;=0,0,'Report-M&amp;O1718'!C$18-'Report-SOF1718'!D$55)</f>
        <v>#DIV/0!</v>
      </c>
      <c r="G523" s="2452" t="e">
        <f t="shared" si="97"/>
        <v>#DIV/0!</v>
      </c>
      <c r="H523" s="2449">
        <f>IF(A523='Data Entry - SOF'!B$2,'Data Entry - SOF'!E$64,0)</f>
        <v>0</v>
      </c>
      <c r="I523" s="1687">
        <f t="shared" si="98"/>
        <v>2466600</v>
      </c>
      <c r="J523" s="2212" t="e">
        <f>IF('Report-M&amp;O1819'!C$18-'Report-SOF1819'!D$55&lt;=0,0,'Report-M&amp;O1819'!C$18-'Report-SOF1819'!D$55)</f>
        <v>#DIV/0!</v>
      </c>
      <c r="K523" s="2452" t="e">
        <f t="shared" si="99"/>
        <v>#DIV/0!</v>
      </c>
      <c r="L523" s="2449">
        <f>IF(A523='Data Entry - SOF'!B$2,'Data Entry - SOF'!G$64,0)</f>
        <v>0</v>
      </c>
      <c r="M523" s="1371">
        <f t="shared" si="100"/>
        <v>2466600</v>
      </c>
      <c r="N523" s="2212" t="e">
        <f>IF('Report-M&amp;O1920'!C$18-'Report-SOF1920'!D$55&lt;=0,0,'Report-M&amp;O1920'!C$18-'Report-SOF1920'!D$55)</f>
        <v>#DIV/0!</v>
      </c>
      <c r="O523" s="2452" t="e">
        <f t="shared" si="101"/>
        <v>#DIV/0!</v>
      </c>
      <c r="P523" s="2449">
        <f>IF(A523='Data Entry - SOF'!B$2,'Data Entry - SOF'!I$64,0)</f>
        <v>0</v>
      </c>
      <c r="Q523" s="1687">
        <f t="shared" si="96"/>
        <v>2466600</v>
      </c>
      <c r="R523" s="2212" t="e">
        <f>IF('Report-M&amp;O2021'!C$18-'Report-SOF2021'!D$55&lt;=0,0,'Report-M&amp;O2021'!C$18-'Report-SOF2021'!D$55)</f>
        <v>#DIV/0!</v>
      </c>
      <c r="S523" s="2452" t="e">
        <f t="shared" si="102"/>
        <v>#DIV/0!</v>
      </c>
      <c r="T523" s="1708">
        <f>IF(A523='Data Entry - SOF'!B$2,'Data Entry - SOF'!K$64,0)</f>
        <v>0</v>
      </c>
      <c r="U523" s="1687">
        <f t="shared" si="95"/>
        <v>2466600</v>
      </c>
      <c r="V523" s="2212" t="e">
        <f>IF('Report-M&amp;O2122'!C$18-'Report-SOF2122'!D$55&lt;=0,0,'Report-M&amp;O2122'!C$18-'Report-SOF2122'!D$55)</f>
        <v>#DIV/0!</v>
      </c>
      <c r="W523" s="2452" t="e">
        <f t="shared" si="103"/>
        <v>#DIV/0!</v>
      </c>
      <c r="X523" s="1708">
        <f>IF(A523='Data Entry - SOF'!B$2,'Data Entry - SOF'!M$64,0)</f>
        <v>0</v>
      </c>
      <c r="Y523" s="1371" t="e">
        <f t="shared" si="104"/>
        <v>#DIV/0!</v>
      </c>
      <c r="Z523" s="2212" t="e">
        <f>IF('Report-M&amp;O2223'!C$18-'Report-SOF2223'!D$55&lt;=0,0,'Report-M&amp;O2223'!C$18-'Report-SOF2223'!D$55)</f>
        <v>#DIV/0!</v>
      </c>
      <c r="AA523" s="1708">
        <f>IF(A523='Data Entry - SOF'!B$2,'Data Entry - SOF'!O$64,0)</f>
        <v>0</v>
      </c>
    </row>
    <row r="524" spans="1:27" ht="15.75">
      <c r="A524" s="1076" t="s">
        <v>3043</v>
      </c>
      <c r="B524">
        <v>8313378.5845183404</v>
      </c>
      <c r="C524" s="2452" t="e">
        <f>#REF!+#REF!</f>
        <v>#REF!</v>
      </c>
      <c r="D524" s="2449">
        <f>IF(A524='Data Entry - SOF'!B$2,'Data Entry - SOF'!C$64,0)</f>
        <v>0</v>
      </c>
      <c r="E524" s="2450">
        <f t="shared" si="105"/>
        <v>8313378.5845183404</v>
      </c>
      <c r="F524" s="2212" t="e">
        <f>IF('Report-M&amp;O1718'!C$18-'Report-SOF1718'!D$55&lt;=0,0,'Report-M&amp;O1718'!C$18-'Report-SOF1718'!D$55)</f>
        <v>#DIV/0!</v>
      </c>
      <c r="G524" s="2452" t="e">
        <f t="shared" si="97"/>
        <v>#DIV/0!</v>
      </c>
      <c r="H524" s="2449">
        <f>IF(A524='Data Entry - SOF'!B$2,'Data Entry - SOF'!E$64,0)</f>
        <v>0</v>
      </c>
      <c r="I524" s="1687">
        <f t="shared" si="98"/>
        <v>8313378.5845183404</v>
      </c>
      <c r="J524" s="2212" t="e">
        <f>IF('Report-M&amp;O1819'!C$18-'Report-SOF1819'!D$55&lt;=0,0,'Report-M&amp;O1819'!C$18-'Report-SOF1819'!D$55)</f>
        <v>#DIV/0!</v>
      </c>
      <c r="K524" s="2452" t="e">
        <f t="shared" si="99"/>
        <v>#DIV/0!</v>
      </c>
      <c r="L524" s="2449">
        <f>IF(A524='Data Entry - SOF'!B$2,'Data Entry - SOF'!G$64,0)</f>
        <v>0</v>
      </c>
      <c r="M524" s="1371">
        <f t="shared" si="100"/>
        <v>8313378.5845183404</v>
      </c>
      <c r="N524" s="2212" t="e">
        <f>IF('Report-M&amp;O1920'!C$18-'Report-SOF1920'!D$55&lt;=0,0,'Report-M&amp;O1920'!C$18-'Report-SOF1920'!D$55)</f>
        <v>#DIV/0!</v>
      </c>
      <c r="O524" s="2452" t="e">
        <f t="shared" si="101"/>
        <v>#DIV/0!</v>
      </c>
      <c r="P524" s="2449">
        <f>IF(A524='Data Entry - SOF'!B$2,'Data Entry - SOF'!I$64,0)</f>
        <v>0</v>
      </c>
      <c r="Q524" s="1687">
        <f t="shared" si="96"/>
        <v>8313378.5845183404</v>
      </c>
      <c r="R524" s="2212" t="e">
        <f>IF('Report-M&amp;O2021'!C$18-'Report-SOF2021'!D$55&lt;=0,0,'Report-M&amp;O2021'!C$18-'Report-SOF2021'!D$55)</f>
        <v>#DIV/0!</v>
      </c>
      <c r="S524" s="2452" t="e">
        <f t="shared" si="102"/>
        <v>#DIV/0!</v>
      </c>
      <c r="T524" s="1708">
        <f>IF(A524='Data Entry - SOF'!B$2,'Data Entry - SOF'!K$64,0)</f>
        <v>0</v>
      </c>
      <c r="U524" s="1687">
        <f t="shared" si="95"/>
        <v>8313378.5845183404</v>
      </c>
      <c r="V524" s="2212" t="e">
        <f>IF('Report-M&amp;O2122'!C$18-'Report-SOF2122'!D$55&lt;=0,0,'Report-M&amp;O2122'!C$18-'Report-SOF2122'!D$55)</f>
        <v>#DIV/0!</v>
      </c>
      <c r="W524" s="2452" t="e">
        <f t="shared" si="103"/>
        <v>#DIV/0!</v>
      </c>
      <c r="X524" s="1708">
        <f>IF(A524='Data Entry - SOF'!B$2,'Data Entry - SOF'!M$64,0)</f>
        <v>0</v>
      </c>
      <c r="Y524" s="1371" t="e">
        <f t="shared" si="104"/>
        <v>#DIV/0!</v>
      </c>
      <c r="Z524" s="2212" t="e">
        <f>IF('Report-M&amp;O2223'!C$18-'Report-SOF2223'!D$55&lt;=0,0,'Report-M&amp;O2223'!C$18-'Report-SOF2223'!D$55)</f>
        <v>#DIV/0!</v>
      </c>
      <c r="AA524" s="1708">
        <f>IF(A524='Data Entry - SOF'!B$2,'Data Entry - SOF'!O$64,0)</f>
        <v>0</v>
      </c>
    </row>
    <row r="525" spans="1:27" ht="15.75">
      <c r="A525" s="1076" t="s">
        <v>3044</v>
      </c>
      <c r="B525">
        <v>1125652</v>
      </c>
      <c r="C525" s="2452" t="e">
        <f>#REF!+#REF!</f>
        <v>#REF!</v>
      </c>
      <c r="D525" s="2449">
        <f>IF(A525='Data Entry - SOF'!B$2,'Data Entry - SOF'!C$64,0)</f>
        <v>0</v>
      </c>
      <c r="E525" s="2450">
        <f t="shared" si="105"/>
        <v>1125652</v>
      </c>
      <c r="F525" s="2212" t="e">
        <f>IF('Report-M&amp;O1718'!C$18-'Report-SOF1718'!D$55&lt;=0,0,'Report-M&amp;O1718'!C$18-'Report-SOF1718'!D$55)</f>
        <v>#DIV/0!</v>
      </c>
      <c r="G525" s="2452" t="e">
        <f t="shared" si="97"/>
        <v>#DIV/0!</v>
      </c>
      <c r="H525" s="2449">
        <f>IF(A525='Data Entry - SOF'!B$2,'Data Entry - SOF'!E$64,0)</f>
        <v>0</v>
      </c>
      <c r="I525" s="1687">
        <f t="shared" si="98"/>
        <v>1125652</v>
      </c>
      <c r="J525" s="2212" t="e">
        <f>IF('Report-M&amp;O1819'!C$18-'Report-SOF1819'!D$55&lt;=0,0,'Report-M&amp;O1819'!C$18-'Report-SOF1819'!D$55)</f>
        <v>#DIV/0!</v>
      </c>
      <c r="K525" s="2452" t="e">
        <f t="shared" si="99"/>
        <v>#DIV/0!</v>
      </c>
      <c r="L525" s="2449">
        <f>IF(A525='Data Entry - SOF'!B$2,'Data Entry - SOF'!G$64,0)</f>
        <v>0</v>
      </c>
      <c r="M525" s="1371">
        <f t="shared" si="100"/>
        <v>1125652</v>
      </c>
      <c r="N525" s="2212" t="e">
        <f>IF('Report-M&amp;O1920'!C$18-'Report-SOF1920'!D$55&lt;=0,0,'Report-M&amp;O1920'!C$18-'Report-SOF1920'!D$55)</f>
        <v>#DIV/0!</v>
      </c>
      <c r="O525" s="2452" t="e">
        <f t="shared" si="101"/>
        <v>#DIV/0!</v>
      </c>
      <c r="P525" s="2449">
        <f>IF(A525='Data Entry - SOF'!B$2,'Data Entry - SOF'!I$64,0)</f>
        <v>0</v>
      </c>
      <c r="Q525" s="1687">
        <f t="shared" si="96"/>
        <v>1125652</v>
      </c>
      <c r="R525" s="2212" t="e">
        <f>IF('Report-M&amp;O2021'!C$18-'Report-SOF2021'!D$55&lt;=0,0,'Report-M&amp;O2021'!C$18-'Report-SOF2021'!D$55)</f>
        <v>#DIV/0!</v>
      </c>
      <c r="S525" s="2452" t="e">
        <f t="shared" si="102"/>
        <v>#DIV/0!</v>
      </c>
      <c r="T525" s="1708">
        <f>IF(A525='Data Entry - SOF'!B$2,'Data Entry - SOF'!K$64,0)</f>
        <v>0</v>
      </c>
      <c r="U525" s="1687">
        <f t="shared" ref="U525:U572" si="106">Q525-T525</f>
        <v>1125652</v>
      </c>
      <c r="V525" s="2212" t="e">
        <f>IF('Report-M&amp;O2122'!C$18-'Report-SOF2122'!D$55&lt;=0,0,'Report-M&amp;O2122'!C$18-'Report-SOF2122'!D$55)</f>
        <v>#DIV/0!</v>
      </c>
      <c r="W525" s="2452" t="e">
        <f t="shared" si="103"/>
        <v>#DIV/0!</v>
      </c>
      <c r="X525" s="1708">
        <f>IF(A525='Data Entry - SOF'!B$2,'Data Entry - SOF'!M$64,0)</f>
        <v>0</v>
      </c>
      <c r="Y525" s="1371" t="e">
        <f t="shared" si="104"/>
        <v>#DIV/0!</v>
      </c>
      <c r="Z525" s="2212" t="e">
        <f>IF('Report-M&amp;O2223'!C$18-'Report-SOF2223'!D$55&lt;=0,0,'Report-M&amp;O2223'!C$18-'Report-SOF2223'!D$55)</f>
        <v>#DIV/0!</v>
      </c>
      <c r="AA525" s="1708">
        <f>IF(A525='Data Entry - SOF'!B$2,'Data Entry - SOF'!O$64,0)</f>
        <v>0</v>
      </c>
    </row>
    <row r="526" spans="1:27" ht="15.75">
      <c r="A526" s="1076" t="s">
        <v>3045</v>
      </c>
      <c r="B526">
        <v>229753</v>
      </c>
      <c r="C526" s="2452" t="e">
        <f>#REF!+#REF!</f>
        <v>#REF!</v>
      </c>
      <c r="D526" s="2449">
        <f>IF(A526='Data Entry - SOF'!B$2,'Data Entry - SOF'!C$64,0)</f>
        <v>0</v>
      </c>
      <c r="E526" s="2450">
        <f t="shared" si="105"/>
        <v>229753</v>
      </c>
      <c r="F526" s="2212" t="e">
        <f>IF('Report-M&amp;O1718'!C$18-'Report-SOF1718'!D$55&lt;=0,0,'Report-M&amp;O1718'!C$18-'Report-SOF1718'!D$55)</f>
        <v>#DIV/0!</v>
      </c>
      <c r="G526" s="2452" t="e">
        <f t="shared" si="97"/>
        <v>#DIV/0!</v>
      </c>
      <c r="H526" s="2449">
        <f>IF(A526='Data Entry - SOF'!B$2,'Data Entry - SOF'!E$64,0)</f>
        <v>0</v>
      </c>
      <c r="I526" s="1687">
        <f t="shared" si="98"/>
        <v>229753</v>
      </c>
      <c r="J526" s="2212" t="e">
        <f>IF('Report-M&amp;O1819'!C$18-'Report-SOF1819'!D$55&lt;=0,0,'Report-M&amp;O1819'!C$18-'Report-SOF1819'!D$55)</f>
        <v>#DIV/0!</v>
      </c>
      <c r="K526" s="2452" t="e">
        <f t="shared" si="99"/>
        <v>#DIV/0!</v>
      </c>
      <c r="L526" s="2449">
        <f>IF(A526='Data Entry - SOF'!B$2,'Data Entry - SOF'!G$64,0)</f>
        <v>0</v>
      </c>
      <c r="M526" s="1371">
        <f t="shared" si="100"/>
        <v>229753</v>
      </c>
      <c r="N526" s="2212" t="e">
        <f>IF('Report-M&amp;O1920'!C$18-'Report-SOF1920'!D$55&lt;=0,0,'Report-M&amp;O1920'!C$18-'Report-SOF1920'!D$55)</f>
        <v>#DIV/0!</v>
      </c>
      <c r="O526" s="2452" t="e">
        <f t="shared" si="101"/>
        <v>#DIV/0!</v>
      </c>
      <c r="P526" s="2449">
        <f>IF(A526='Data Entry - SOF'!B$2,'Data Entry - SOF'!I$64,0)</f>
        <v>0</v>
      </c>
      <c r="Q526" s="1687">
        <f t="shared" si="96"/>
        <v>229753</v>
      </c>
      <c r="R526" s="2212" t="e">
        <f>IF('Report-M&amp;O2021'!C$18-'Report-SOF2021'!D$55&lt;=0,0,'Report-M&amp;O2021'!C$18-'Report-SOF2021'!D$55)</f>
        <v>#DIV/0!</v>
      </c>
      <c r="S526" s="2452" t="e">
        <f t="shared" si="102"/>
        <v>#DIV/0!</v>
      </c>
      <c r="T526" s="1708">
        <f>IF(A526='Data Entry - SOF'!B$2,'Data Entry - SOF'!K$64,0)</f>
        <v>0</v>
      </c>
      <c r="U526" s="1687">
        <f t="shared" si="106"/>
        <v>229753</v>
      </c>
      <c r="V526" s="2212" t="e">
        <f>IF('Report-M&amp;O2122'!C$18-'Report-SOF2122'!D$55&lt;=0,0,'Report-M&amp;O2122'!C$18-'Report-SOF2122'!D$55)</f>
        <v>#DIV/0!</v>
      </c>
      <c r="W526" s="2452" t="e">
        <f t="shared" si="103"/>
        <v>#DIV/0!</v>
      </c>
      <c r="X526" s="1708">
        <f>IF(A526='Data Entry - SOF'!B$2,'Data Entry - SOF'!M$64,0)</f>
        <v>0</v>
      </c>
      <c r="Y526" s="1371" t="e">
        <f t="shared" si="104"/>
        <v>#DIV/0!</v>
      </c>
      <c r="Z526" s="2212" t="e">
        <f>IF('Report-M&amp;O2223'!C$18-'Report-SOF2223'!D$55&lt;=0,0,'Report-M&amp;O2223'!C$18-'Report-SOF2223'!D$55)</f>
        <v>#DIV/0!</v>
      </c>
      <c r="AA526" s="1708">
        <f>IF(A526='Data Entry - SOF'!B$2,'Data Entry - SOF'!O$64,0)</f>
        <v>0</v>
      </c>
    </row>
    <row r="527" spans="1:27" ht="15.75">
      <c r="A527" s="1076" t="s">
        <v>2905</v>
      </c>
      <c r="B527">
        <v>16226111</v>
      </c>
      <c r="C527" s="2452" t="e">
        <f>#REF!+#REF!</f>
        <v>#REF!</v>
      </c>
      <c r="D527" s="2449">
        <f>IF(A527='Data Entry - SOF'!B$2,'Data Entry - SOF'!C$64,0)</f>
        <v>0</v>
      </c>
      <c r="E527" s="2450">
        <f t="shared" si="105"/>
        <v>16226111</v>
      </c>
      <c r="F527" s="2212" t="e">
        <f>IF('Report-M&amp;O1718'!C$18-'Report-SOF1718'!D$55&lt;=0,0,'Report-M&amp;O1718'!C$18-'Report-SOF1718'!D$55)</f>
        <v>#DIV/0!</v>
      </c>
      <c r="G527" s="2452" t="e">
        <f t="shared" si="97"/>
        <v>#DIV/0!</v>
      </c>
      <c r="H527" s="2449">
        <f>IF(A527='Data Entry - SOF'!B$2,'Data Entry - SOF'!E$64,0)</f>
        <v>0</v>
      </c>
      <c r="I527" s="1687">
        <f t="shared" si="98"/>
        <v>16226111</v>
      </c>
      <c r="J527" s="2212" t="e">
        <f>IF('Report-M&amp;O1819'!C$18-'Report-SOF1819'!D$55&lt;=0,0,'Report-M&amp;O1819'!C$18-'Report-SOF1819'!D$55)</f>
        <v>#DIV/0!</v>
      </c>
      <c r="K527" s="2452" t="e">
        <f t="shared" si="99"/>
        <v>#DIV/0!</v>
      </c>
      <c r="L527" s="2449">
        <f>IF(A527='Data Entry - SOF'!B$2,'Data Entry - SOF'!G$64,0)</f>
        <v>0</v>
      </c>
      <c r="M527" s="1371">
        <f t="shared" si="100"/>
        <v>16226111</v>
      </c>
      <c r="N527" s="2212" t="e">
        <f>IF('Report-M&amp;O1920'!C$18-'Report-SOF1920'!D$55&lt;=0,0,'Report-M&amp;O1920'!C$18-'Report-SOF1920'!D$55)</f>
        <v>#DIV/0!</v>
      </c>
      <c r="O527" s="2452" t="e">
        <f t="shared" si="101"/>
        <v>#DIV/0!</v>
      </c>
      <c r="P527" s="2449">
        <f>IF(A527='Data Entry - SOF'!B$2,'Data Entry - SOF'!I$64,0)</f>
        <v>0</v>
      </c>
      <c r="Q527" s="1687">
        <f t="shared" si="96"/>
        <v>16226111</v>
      </c>
      <c r="R527" s="2212" t="e">
        <f>IF('Report-M&amp;O2021'!C$18-'Report-SOF2021'!D$55&lt;=0,0,'Report-M&amp;O2021'!C$18-'Report-SOF2021'!D$55)</f>
        <v>#DIV/0!</v>
      </c>
      <c r="S527" s="2452" t="e">
        <f t="shared" si="102"/>
        <v>#DIV/0!</v>
      </c>
      <c r="T527" s="1708">
        <f>IF(A527='Data Entry - SOF'!B$2,'Data Entry - SOF'!K$64,0)</f>
        <v>0</v>
      </c>
      <c r="U527" s="1687">
        <f t="shared" si="106"/>
        <v>16226111</v>
      </c>
      <c r="V527" s="2212" t="e">
        <f>IF('Report-M&amp;O2122'!C$18-'Report-SOF2122'!D$55&lt;=0,0,'Report-M&amp;O2122'!C$18-'Report-SOF2122'!D$55)</f>
        <v>#DIV/0!</v>
      </c>
      <c r="W527" s="2452" t="e">
        <f t="shared" si="103"/>
        <v>#DIV/0!</v>
      </c>
      <c r="X527" s="1708">
        <f>IF(A527='Data Entry - SOF'!B$2,'Data Entry - SOF'!M$64,0)</f>
        <v>0</v>
      </c>
      <c r="Y527" s="1371" t="e">
        <f t="shared" si="104"/>
        <v>#DIV/0!</v>
      </c>
      <c r="Z527" s="2212" t="e">
        <f>IF('Report-M&amp;O2223'!C$18-'Report-SOF2223'!D$55&lt;=0,0,'Report-M&amp;O2223'!C$18-'Report-SOF2223'!D$55)</f>
        <v>#DIV/0!</v>
      </c>
      <c r="AA527" s="1708">
        <f>IF(A527='Data Entry - SOF'!B$2,'Data Entry - SOF'!O$64,0)</f>
        <v>0</v>
      </c>
    </row>
    <row r="528" spans="1:27" ht="15.75">
      <c r="A528" s="1076" t="s">
        <v>2615</v>
      </c>
      <c r="B528">
        <v>134061456</v>
      </c>
      <c r="C528" s="2452" t="e">
        <f>#REF!+#REF!</f>
        <v>#REF!</v>
      </c>
      <c r="D528" s="2449">
        <f>IF(A528='Data Entry - SOF'!B$2,'Data Entry - SOF'!C$64,0)</f>
        <v>0</v>
      </c>
      <c r="E528" s="2450">
        <f t="shared" si="105"/>
        <v>134061456</v>
      </c>
      <c r="F528" s="2212" t="e">
        <f>IF('Report-M&amp;O1718'!C$18-'Report-SOF1718'!D$55&lt;=0,0,'Report-M&amp;O1718'!C$18-'Report-SOF1718'!D$55)</f>
        <v>#DIV/0!</v>
      </c>
      <c r="G528" s="2452" t="e">
        <f t="shared" si="97"/>
        <v>#DIV/0!</v>
      </c>
      <c r="H528" s="2449">
        <f>IF(A528='Data Entry - SOF'!B$2,'Data Entry - SOF'!E$64,0)</f>
        <v>0</v>
      </c>
      <c r="I528" s="1687">
        <f t="shared" si="98"/>
        <v>134061456</v>
      </c>
      <c r="J528" s="2212" t="e">
        <f>IF('Report-M&amp;O1819'!C$18-'Report-SOF1819'!D$55&lt;=0,0,'Report-M&amp;O1819'!C$18-'Report-SOF1819'!D$55)</f>
        <v>#DIV/0!</v>
      </c>
      <c r="K528" s="2452" t="e">
        <f t="shared" si="99"/>
        <v>#DIV/0!</v>
      </c>
      <c r="L528" s="2449">
        <f>IF(A528='Data Entry - SOF'!B$2,'Data Entry - SOF'!G$64,0)</f>
        <v>0</v>
      </c>
      <c r="M528" s="1371">
        <f t="shared" si="100"/>
        <v>134061456</v>
      </c>
      <c r="N528" s="2212" t="e">
        <f>IF('Report-M&amp;O1920'!C$18-'Report-SOF1920'!D$55&lt;=0,0,'Report-M&amp;O1920'!C$18-'Report-SOF1920'!D$55)</f>
        <v>#DIV/0!</v>
      </c>
      <c r="O528" s="2452" t="e">
        <f t="shared" si="101"/>
        <v>#DIV/0!</v>
      </c>
      <c r="P528" s="2449">
        <f>IF(A528='Data Entry - SOF'!B$2,'Data Entry - SOF'!I$64,0)</f>
        <v>0</v>
      </c>
      <c r="Q528" s="1687">
        <f t="shared" si="96"/>
        <v>134061456</v>
      </c>
      <c r="R528" s="2212" t="e">
        <f>IF('Report-M&amp;O2021'!C$18-'Report-SOF2021'!D$55&lt;=0,0,'Report-M&amp;O2021'!C$18-'Report-SOF2021'!D$55)</f>
        <v>#DIV/0!</v>
      </c>
      <c r="S528" s="2452" t="e">
        <f t="shared" si="102"/>
        <v>#DIV/0!</v>
      </c>
      <c r="T528" s="1708">
        <f>IF(A528='Data Entry - SOF'!B$2,'Data Entry - SOF'!K$64,0)</f>
        <v>0</v>
      </c>
      <c r="U528" s="1687">
        <f t="shared" si="106"/>
        <v>134061456</v>
      </c>
      <c r="V528" s="2212" t="e">
        <f>IF('Report-M&amp;O2122'!C$18-'Report-SOF2122'!D$55&lt;=0,0,'Report-M&amp;O2122'!C$18-'Report-SOF2122'!D$55)</f>
        <v>#DIV/0!</v>
      </c>
      <c r="W528" s="2452" t="e">
        <f t="shared" si="103"/>
        <v>#DIV/0!</v>
      </c>
      <c r="X528" s="1708">
        <f>IF(A528='Data Entry - SOF'!B$2,'Data Entry - SOF'!M$64,0)</f>
        <v>0</v>
      </c>
      <c r="Y528" s="1371" t="e">
        <f t="shared" si="104"/>
        <v>#DIV/0!</v>
      </c>
      <c r="Z528" s="2212" t="e">
        <f>IF('Report-M&amp;O2223'!C$18-'Report-SOF2223'!D$55&lt;=0,0,'Report-M&amp;O2223'!C$18-'Report-SOF2223'!D$55)</f>
        <v>#DIV/0!</v>
      </c>
      <c r="AA528" s="1708">
        <f>IF(A528='Data Entry - SOF'!B$2,'Data Entry - SOF'!O$64,0)</f>
        <v>0</v>
      </c>
    </row>
    <row r="529" spans="1:27" ht="15.75">
      <c r="A529" s="1076" t="s">
        <v>2616</v>
      </c>
      <c r="B529">
        <v>65635861</v>
      </c>
      <c r="C529" s="2452" t="e">
        <f>#REF!+#REF!</f>
        <v>#REF!</v>
      </c>
      <c r="D529" s="2449">
        <f>IF(A529='Data Entry - SOF'!B$2,'Data Entry - SOF'!C$64,0)</f>
        <v>0</v>
      </c>
      <c r="E529" s="2450">
        <f t="shared" si="105"/>
        <v>65635861</v>
      </c>
      <c r="F529" s="2212" t="e">
        <f>IF('Report-M&amp;O1718'!C$18-'Report-SOF1718'!D$55&lt;=0,0,'Report-M&amp;O1718'!C$18-'Report-SOF1718'!D$55)</f>
        <v>#DIV/0!</v>
      </c>
      <c r="G529" s="2452" t="e">
        <f t="shared" si="97"/>
        <v>#DIV/0!</v>
      </c>
      <c r="H529" s="2449">
        <f>IF(A529='Data Entry - SOF'!B$2,'Data Entry - SOF'!E$64,0)</f>
        <v>0</v>
      </c>
      <c r="I529" s="1687">
        <f t="shared" si="98"/>
        <v>65635861</v>
      </c>
      <c r="J529" s="2212" t="e">
        <f>IF('Report-M&amp;O1819'!C$18-'Report-SOF1819'!D$55&lt;=0,0,'Report-M&amp;O1819'!C$18-'Report-SOF1819'!D$55)</f>
        <v>#DIV/0!</v>
      </c>
      <c r="K529" s="2452" t="e">
        <f t="shared" si="99"/>
        <v>#DIV/0!</v>
      </c>
      <c r="L529" s="2449">
        <f>IF(A529='Data Entry - SOF'!B$2,'Data Entry - SOF'!G$64,0)</f>
        <v>0</v>
      </c>
      <c r="M529" s="1371">
        <f t="shared" si="100"/>
        <v>65635861</v>
      </c>
      <c r="N529" s="2212" t="e">
        <f>IF('Report-M&amp;O1920'!C$18-'Report-SOF1920'!D$55&lt;=0,0,'Report-M&amp;O1920'!C$18-'Report-SOF1920'!D$55)</f>
        <v>#DIV/0!</v>
      </c>
      <c r="O529" s="2452" t="e">
        <f t="shared" si="101"/>
        <v>#DIV/0!</v>
      </c>
      <c r="P529" s="2449">
        <f>IF(A529='Data Entry - SOF'!B$2,'Data Entry - SOF'!I$64,0)</f>
        <v>0</v>
      </c>
      <c r="Q529" s="1687">
        <f t="shared" si="96"/>
        <v>65635861</v>
      </c>
      <c r="R529" s="2212" t="e">
        <f>IF('Report-M&amp;O2021'!C$18-'Report-SOF2021'!D$55&lt;=0,0,'Report-M&amp;O2021'!C$18-'Report-SOF2021'!D$55)</f>
        <v>#DIV/0!</v>
      </c>
      <c r="S529" s="2452" t="e">
        <f t="shared" si="102"/>
        <v>#DIV/0!</v>
      </c>
      <c r="T529" s="1708">
        <f>IF(A529='Data Entry - SOF'!B$2,'Data Entry - SOF'!K$64,0)</f>
        <v>0</v>
      </c>
      <c r="U529" s="1687">
        <f t="shared" si="106"/>
        <v>65635861</v>
      </c>
      <c r="V529" s="2212" t="e">
        <f>IF('Report-M&amp;O2122'!C$18-'Report-SOF2122'!D$55&lt;=0,0,'Report-M&amp;O2122'!C$18-'Report-SOF2122'!D$55)</f>
        <v>#DIV/0!</v>
      </c>
      <c r="W529" s="2452" t="e">
        <f t="shared" si="103"/>
        <v>#DIV/0!</v>
      </c>
      <c r="X529" s="1708">
        <f>IF(A529='Data Entry - SOF'!B$2,'Data Entry - SOF'!M$64,0)</f>
        <v>0</v>
      </c>
      <c r="Y529" s="1371" t="e">
        <f t="shared" si="104"/>
        <v>#DIV/0!</v>
      </c>
      <c r="Z529" s="2212" t="e">
        <f>IF('Report-M&amp;O2223'!C$18-'Report-SOF2223'!D$55&lt;=0,0,'Report-M&amp;O2223'!C$18-'Report-SOF2223'!D$55)</f>
        <v>#DIV/0!</v>
      </c>
      <c r="AA529" s="1708">
        <f>IF(A529='Data Entry - SOF'!B$2,'Data Entry - SOF'!O$64,0)</f>
        <v>0</v>
      </c>
    </row>
    <row r="530" spans="1:27" ht="15.75">
      <c r="A530" s="1076" t="s">
        <v>1501</v>
      </c>
      <c r="B530">
        <v>123203031</v>
      </c>
      <c r="C530" s="2452" t="e">
        <f>#REF!+#REF!</f>
        <v>#REF!</v>
      </c>
      <c r="D530" s="2449">
        <f>IF(A530='Data Entry - SOF'!B$2,'Data Entry - SOF'!C$64,0)</f>
        <v>0</v>
      </c>
      <c r="E530" s="2450">
        <f t="shared" si="105"/>
        <v>123203031</v>
      </c>
      <c r="F530" s="2212" t="e">
        <f>IF('Report-M&amp;O1718'!C$18-'Report-SOF1718'!D$55&lt;=0,0,'Report-M&amp;O1718'!C$18-'Report-SOF1718'!D$55)</f>
        <v>#DIV/0!</v>
      </c>
      <c r="G530" s="2452" t="e">
        <f t="shared" si="97"/>
        <v>#DIV/0!</v>
      </c>
      <c r="H530" s="2449">
        <f>IF(A530='Data Entry - SOF'!B$2,'Data Entry - SOF'!E$64,0)</f>
        <v>0</v>
      </c>
      <c r="I530" s="1687">
        <f t="shared" si="98"/>
        <v>123203031</v>
      </c>
      <c r="J530" s="2212" t="e">
        <f>IF('Report-M&amp;O1819'!C$18-'Report-SOF1819'!D$55&lt;=0,0,'Report-M&amp;O1819'!C$18-'Report-SOF1819'!D$55)</f>
        <v>#DIV/0!</v>
      </c>
      <c r="K530" s="2452" t="e">
        <f t="shared" si="99"/>
        <v>#DIV/0!</v>
      </c>
      <c r="L530" s="2449">
        <f>IF(A530='Data Entry - SOF'!B$2,'Data Entry - SOF'!G$64,0)</f>
        <v>0</v>
      </c>
      <c r="M530" s="1371">
        <f t="shared" si="100"/>
        <v>123203031</v>
      </c>
      <c r="N530" s="2212" t="e">
        <f>IF('Report-M&amp;O1920'!C$18-'Report-SOF1920'!D$55&lt;=0,0,'Report-M&amp;O1920'!C$18-'Report-SOF1920'!D$55)</f>
        <v>#DIV/0!</v>
      </c>
      <c r="O530" s="2452" t="e">
        <f t="shared" si="101"/>
        <v>#DIV/0!</v>
      </c>
      <c r="P530" s="2449">
        <f>IF(A530='Data Entry - SOF'!B$2,'Data Entry - SOF'!I$64,0)</f>
        <v>0</v>
      </c>
      <c r="Q530" s="1687">
        <f t="shared" si="96"/>
        <v>123203031</v>
      </c>
      <c r="R530" s="2212" t="e">
        <f>IF('Report-M&amp;O2021'!C$18-'Report-SOF2021'!D$55&lt;=0,0,'Report-M&amp;O2021'!C$18-'Report-SOF2021'!D$55)</f>
        <v>#DIV/0!</v>
      </c>
      <c r="S530" s="2452" t="e">
        <f t="shared" si="102"/>
        <v>#DIV/0!</v>
      </c>
      <c r="T530" s="1708">
        <f>IF(A530='Data Entry - SOF'!B$2,'Data Entry - SOF'!K$64,0)</f>
        <v>0</v>
      </c>
      <c r="U530" s="1687">
        <f t="shared" si="106"/>
        <v>123203031</v>
      </c>
      <c r="V530" s="2212" t="e">
        <f>IF('Report-M&amp;O2122'!C$18-'Report-SOF2122'!D$55&lt;=0,0,'Report-M&amp;O2122'!C$18-'Report-SOF2122'!D$55)</f>
        <v>#DIV/0!</v>
      </c>
      <c r="W530" s="2452" t="e">
        <f t="shared" si="103"/>
        <v>#DIV/0!</v>
      </c>
      <c r="X530" s="1708">
        <f>IF(A530='Data Entry - SOF'!B$2,'Data Entry - SOF'!M$64,0)</f>
        <v>0</v>
      </c>
      <c r="Y530" s="1371" t="e">
        <f t="shared" si="104"/>
        <v>#DIV/0!</v>
      </c>
      <c r="Z530" s="2212" t="e">
        <f>IF('Report-M&amp;O2223'!C$18-'Report-SOF2223'!D$55&lt;=0,0,'Report-M&amp;O2223'!C$18-'Report-SOF2223'!D$55)</f>
        <v>#DIV/0!</v>
      </c>
      <c r="AA530" s="1708">
        <f>IF(A530='Data Entry - SOF'!B$2,'Data Entry - SOF'!O$64,0)</f>
        <v>0</v>
      </c>
    </row>
    <row r="531" spans="1:27" ht="15.75">
      <c r="A531" s="1076" t="s">
        <v>1502</v>
      </c>
      <c r="B531">
        <v>9112043</v>
      </c>
      <c r="C531" s="2452" t="e">
        <f>#REF!+#REF!</f>
        <v>#REF!</v>
      </c>
      <c r="D531" s="2449">
        <f>IF(A531='Data Entry - SOF'!B$2,'Data Entry - SOF'!C$64,0)</f>
        <v>0</v>
      </c>
      <c r="E531" s="2450">
        <f t="shared" si="105"/>
        <v>9112043</v>
      </c>
      <c r="F531" s="2212" t="e">
        <f>IF('Report-M&amp;O1718'!C$18-'Report-SOF1718'!D$55&lt;=0,0,'Report-M&amp;O1718'!C$18-'Report-SOF1718'!D$55)</f>
        <v>#DIV/0!</v>
      </c>
      <c r="G531" s="2452" t="e">
        <f t="shared" si="97"/>
        <v>#DIV/0!</v>
      </c>
      <c r="H531" s="2449">
        <f>IF(A531='Data Entry - SOF'!B$2,'Data Entry - SOF'!E$64,0)</f>
        <v>0</v>
      </c>
      <c r="I531" s="1687">
        <f t="shared" si="98"/>
        <v>9112043</v>
      </c>
      <c r="J531" s="2212" t="e">
        <f>IF('Report-M&amp;O1819'!C$18-'Report-SOF1819'!D$55&lt;=0,0,'Report-M&amp;O1819'!C$18-'Report-SOF1819'!D$55)</f>
        <v>#DIV/0!</v>
      </c>
      <c r="K531" s="2452" t="e">
        <f t="shared" si="99"/>
        <v>#DIV/0!</v>
      </c>
      <c r="L531" s="2449">
        <f>IF(A531='Data Entry - SOF'!B$2,'Data Entry - SOF'!G$64,0)</f>
        <v>0</v>
      </c>
      <c r="M531" s="1371">
        <f t="shared" si="100"/>
        <v>9112043</v>
      </c>
      <c r="N531" s="2212" t="e">
        <f>IF('Report-M&amp;O1920'!C$18-'Report-SOF1920'!D$55&lt;=0,0,'Report-M&amp;O1920'!C$18-'Report-SOF1920'!D$55)</f>
        <v>#DIV/0!</v>
      </c>
      <c r="O531" s="2452" t="e">
        <f t="shared" si="101"/>
        <v>#DIV/0!</v>
      </c>
      <c r="P531" s="2449">
        <f>IF(A531='Data Entry - SOF'!B$2,'Data Entry - SOF'!I$64,0)</f>
        <v>0</v>
      </c>
      <c r="Q531" s="1687">
        <f t="shared" si="96"/>
        <v>9112043</v>
      </c>
      <c r="R531" s="2212" t="e">
        <f>IF('Report-M&amp;O2021'!C$18-'Report-SOF2021'!D$55&lt;=0,0,'Report-M&amp;O2021'!C$18-'Report-SOF2021'!D$55)</f>
        <v>#DIV/0!</v>
      </c>
      <c r="S531" s="2452" t="e">
        <f t="shared" si="102"/>
        <v>#DIV/0!</v>
      </c>
      <c r="T531" s="1708">
        <f>IF(A531='Data Entry - SOF'!B$2,'Data Entry - SOF'!K$64,0)</f>
        <v>0</v>
      </c>
      <c r="U531" s="1687">
        <f t="shared" si="106"/>
        <v>9112043</v>
      </c>
      <c r="V531" s="2212" t="e">
        <f>IF('Report-M&amp;O2122'!C$18-'Report-SOF2122'!D$55&lt;=0,0,'Report-M&amp;O2122'!C$18-'Report-SOF2122'!D$55)</f>
        <v>#DIV/0!</v>
      </c>
      <c r="W531" s="2452" t="e">
        <f t="shared" si="103"/>
        <v>#DIV/0!</v>
      </c>
      <c r="X531" s="1708">
        <f>IF(A531='Data Entry - SOF'!B$2,'Data Entry - SOF'!M$64,0)</f>
        <v>0</v>
      </c>
      <c r="Y531" s="1371" t="e">
        <f t="shared" si="104"/>
        <v>#DIV/0!</v>
      </c>
      <c r="Z531" s="2212" t="e">
        <f>IF('Report-M&amp;O2223'!C$18-'Report-SOF2223'!D$55&lt;=0,0,'Report-M&amp;O2223'!C$18-'Report-SOF2223'!D$55)</f>
        <v>#DIV/0!</v>
      </c>
      <c r="AA531" s="1708">
        <f>IF(A531='Data Entry - SOF'!B$2,'Data Entry - SOF'!O$64,0)</f>
        <v>0</v>
      </c>
    </row>
    <row r="532" spans="1:27" ht="15.75">
      <c r="A532" s="1076" t="s">
        <v>1484</v>
      </c>
      <c r="B532">
        <v>7214181</v>
      </c>
      <c r="C532" s="2452" t="e">
        <f>#REF!+#REF!</f>
        <v>#REF!</v>
      </c>
      <c r="D532" s="2449">
        <f>IF(A532='Data Entry - SOF'!B$2,'Data Entry - SOF'!C$64,0)</f>
        <v>0</v>
      </c>
      <c r="E532" s="2450">
        <f t="shared" si="105"/>
        <v>7214181</v>
      </c>
      <c r="F532" s="2212" t="e">
        <f>IF('Report-M&amp;O1718'!C$18-'Report-SOF1718'!D$55&lt;=0,0,'Report-M&amp;O1718'!C$18-'Report-SOF1718'!D$55)</f>
        <v>#DIV/0!</v>
      </c>
      <c r="G532" s="2452" t="e">
        <f t="shared" si="97"/>
        <v>#DIV/0!</v>
      </c>
      <c r="H532" s="2449">
        <f>IF(A532='Data Entry - SOF'!B$2,'Data Entry - SOF'!E$64,0)</f>
        <v>0</v>
      </c>
      <c r="I532" s="1687">
        <f t="shared" si="98"/>
        <v>7214181</v>
      </c>
      <c r="J532" s="2212" t="e">
        <f>IF('Report-M&amp;O1819'!C$18-'Report-SOF1819'!D$55&lt;=0,0,'Report-M&amp;O1819'!C$18-'Report-SOF1819'!D$55)</f>
        <v>#DIV/0!</v>
      </c>
      <c r="K532" s="2452" t="e">
        <f t="shared" si="99"/>
        <v>#DIV/0!</v>
      </c>
      <c r="L532" s="2449">
        <f>IF(A532='Data Entry - SOF'!B$2,'Data Entry - SOF'!G$64,0)</f>
        <v>0</v>
      </c>
      <c r="M532" s="1371">
        <f t="shared" si="100"/>
        <v>7214181</v>
      </c>
      <c r="N532" s="2212" t="e">
        <f>IF('Report-M&amp;O1920'!C$18-'Report-SOF1920'!D$55&lt;=0,0,'Report-M&amp;O1920'!C$18-'Report-SOF1920'!D$55)</f>
        <v>#DIV/0!</v>
      </c>
      <c r="O532" s="2452" t="e">
        <f t="shared" si="101"/>
        <v>#DIV/0!</v>
      </c>
      <c r="P532" s="2449">
        <f>IF(A532='Data Entry - SOF'!B$2,'Data Entry - SOF'!I$64,0)</f>
        <v>0</v>
      </c>
      <c r="Q532" s="1687">
        <f t="shared" si="96"/>
        <v>7214181</v>
      </c>
      <c r="R532" s="2212" t="e">
        <f>IF('Report-M&amp;O2021'!C$18-'Report-SOF2021'!D$55&lt;=0,0,'Report-M&amp;O2021'!C$18-'Report-SOF2021'!D$55)</f>
        <v>#DIV/0!</v>
      </c>
      <c r="S532" s="2452" t="e">
        <f t="shared" si="102"/>
        <v>#DIV/0!</v>
      </c>
      <c r="T532" s="1708">
        <f>IF(A532='Data Entry - SOF'!B$2,'Data Entry - SOF'!K$64,0)</f>
        <v>0</v>
      </c>
      <c r="U532" s="1687">
        <f t="shared" si="106"/>
        <v>7214181</v>
      </c>
      <c r="V532" s="2212" t="e">
        <f>IF('Report-M&amp;O2122'!C$18-'Report-SOF2122'!D$55&lt;=0,0,'Report-M&amp;O2122'!C$18-'Report-SOF2122'!D$55)</f>
        <v>#DIV/0!</v>
      </c>
      <c r="W532" s="2452" t="e">
        <f t="shared" si="103"/>
        <v>#DIV/0!</v>
      </c>
      <c r="X532" s="1708">
        <f>IF(A532='Data Entry - SOF'!B$2,'Data Entry - SOF'!M$64,0)</f>
        <v>0</v>
      </c>
      <c r="Y532" s="1371" t="e">
        <f t="shared" si="104"/>
        <v>#DIV/0!</v>
      </c>
      <c r="Z532" s="2212" t="e">
        <f>IF('Report-M&amp;O2223'!C$18-'Report-SOF2223'!D$55&lt;=0,0,'Report-M&amp;O2223'!C$18-'Report-SOF2223'!D$55)</f>
        <v>#DIV/0!</v>
      </c>
      <c r="AA532" s="1708">
        <f>IF(A532='Data Entry - SOF'!B$2,'Data Entry - SOF'!O$64,0)</f>
        <v>0</v>
      </c>
    </row>
    <row r="533" spans="1:27" ht="15.75">
      <c r="A533" s="1076" t="s">
        <v>1503</v>
      </c>
      <c r="B533">
        <v>4257408</v>
      </c>
      <c r="C533" s="2452" t="e">
        <f>#REF!+#REF!</f>
        <v>#REF!</v>
      </c>
      <c r="D533" s="2449">
        <f>IF(A533='Data Entry - SOF'!B$2,'Data Entry - SOF'!C$64,0)</f>
        <v>0</v>
      </c>
      <c r="E533" s="2450">
        <f t="shared" si="105"/>
        <v>4257408</v>
      </c>
      <c r="F533" s="2212" t="e">
        <f>IF('Report-M&amp;O1718'!C$18-'Report-SOF1718'!D$55&lt;=0,0,'Report-M&amp;O1718'!C$18-'Report-SOF1718'!D$55)</f>
        <v>#DIV/0!</v>
      </c>
      <c r="G533" s="2452" t="e">
        <f t="shared" si="97"/>
        <v>#DIV/0!</v>
      </c>
      <c r="H533" s="2449">
        <f>IF(A533='Data Entry - SOF'!B$2,'Data Entry - SOF'!E$64,0)</f>
        <v>0</v>
      </c>
      <c r="I533" s="1687">
        <f t="shared" si="98"/>
        <v>4257408</v>
      </c>
      <c r="J533" s="2212" t="e">
        <f>IF('Report-M&amp;O1819'!C$18-'Report-SOF1819'!D$55&lt;=0,0,'Report-M&amp;O1819'!C$18-'Report-SOF1819'!D$55)</f>
        <v>#DIV/0!</v>
      </c>
      <c r="K533" s="2452" t="e">
        <f t="shared" si="99"/>
        <v>#DIV/0!</v>
      </c>
      <c r="L533" s="2449">
        <f>IF(A533='Data Entry - SOF'!B$2,'Data Entry - SOF'!G$64,0)</f>
        <v>0</v>
      </c>
      <c r="M533" s="1371">
        <f t="shared" si="100"/>
        <v>4257408</v>
      </c>
      <c r="N533" s="2212" t="e">
        <f>IF('Report-M&amp;O1920'!C$18-'Report-SOF1920'!D$55&lt;=0,0,'Report-M&amp;O1920'!C$18-'Report-SOF1920'!D$55)</f>
        <v>#DIV/0!</v>
      </c>
      <c r="O533" s="2452" t="e">
        <f t="shared" si="101"/>
        <v>#DIV/0!</v>
      </c>
      <c r="P533" s="2449">
        <f>IF(A533='Data Entry - SOF'!B$2,'Data Entry - SOF'!I$64,0)</f>
        <v>0</v>
      </c>
      <c r="Q533" s="1687">
        <f t="shared" si="96"/>
        <v>4257408</v>
      </c>
      <c r="R533" s="2212" t="e">
        <f>IF('Report-M&amp;O2021'!C$18-'Report-SOF2021'!D$55&lt;=0,0,'Report-M&amp;O2021'!C$18-'Report-SOF2021'!D$55)</f>
        <v>#DIV/0!</v>
      </c>
      <c r="S533" s="2452" t="e">
        <f t="shared" si="102"/>
        <v>#DIV/0!</v>
      </c>
      <c r="T533" s="1708">
        <f>IF(A533='Data Entry - SOF'!B$2,'Data Entry - SOF'!K$64,0)</f>
        <v>0</v>
      </c>
      <c r="U533" s="1687">
        <f t="shared" si="106"/>
        <v>4257408</v>
      </c>
      <c r="V533" s="2212" t="e">
        <f>IF('Report-M&amp;O2122'!C$18-'Report-SOF2122'!D$55&lt;=0,0,'Report-M&amp;O2122'!C$18-'Report-SOF2122'!D$55)</f>
        <v>#DIV/0!</v>
      </c>
      <c r="W533" s="2452" t="e">
        <f t="shared" si="103"/>
        <v>#DIV/0!</v>
      </c>
      <c r="X533" s="1708">
        <f>IF(A533='Data Entry - SOF'!B$2,'Data Entry - SOF'!M$64,0)</f>
        <v>0</v>
      </c>
      <c r="Y533" s="1371" t="e">
        <f t="shared" si="104"/>
        <v>#DIV/0!</v>
      </c>
      <c r="Z533" s="2212" t="e">
        <f>IF('Report-M&amp;O2223'!C$18-'Report-SOF2223'!D$55&lt;=0,0,'Report-M&amp;O2223'!C$18-'Report-SOF2223'!D$55)</f>
        <v>#DIV/0!</v>
      </c>
      <c r="AA533" s="1708">
        <f>IF(A533='Data Entry - SOF'!B$2,'Data Entry - SOF'!O$64,0)</f>
        <v>0</v>
      </c>
    </row>
    <row r="534" spans="1:27" ht="15.75">
      <c r="A534" s="1076" t="s">
        <v>2299</v>
      </c>
      <c r="B534">
        <v>10837159</v>
      </c>
      <c r="C534" s="2452" t="e">
        <f>#REF!+#REF!</f>
        <v>#REF!</v>
      </c>
      <c r="D534" s="2449">
        <f>IF(A534='Data Entry - SOF'!B$2,'Data Entry - SOF'!C$64,0)</f>
        <v>0</v>
      </c>
      <c r="E534" s="2450">
        <f t="shared" si="105"/>
        <v>10837159</v>
      </c>
      <c r="F534" s="2212" t="e">
        <f>IF('Report-M&amp;O1718'!C$18-'Report-SOF1718'!D$55&lt;=0,0,'Report-M&amp;O1718'!C$18-'Report-SOF1718'!D$55)</f>
        <v>#DIV/0!</v>
      </c>
      <c r="G534" s="2452" t="e">
        <f t="shared" si="97"/>
        <v>#DIV/0!</v>
      </c>
      <c r="H534" s="2449">
        <f>IF(A534='Data Entry - SOF'!B$2,'Data Entry - SOF'!E$64,0)</f>
        <v>0</v>
      </c>
      <c r="I534" s="1687">
        <f t="shared" si="98"/>
        <v>10837159</v>
      </c>
      <c r="J534" s="2212" t="e">
        <f>IF('Report-M&amp;O1819'!C$18-'Report-SOF1819'!D$55&lt;=0,0,'Report-M&amp;O1819'!C$18-'Report-SOF1819'!D$55)</f>
        <v>#DIV/0!</v>
      </c>
      <c r="K534" s="2452" t="e">
        <f t="shared" si="99"/>
        <v>#DIV/0!</v>
      </c>
      <c r="L534" s="2449">
        <f>IF(A534='Data Entry - SOF'!B$2,'Data Entry - SOF'!G$64,0)</f>
        <v>0</v>
      </c>
      <c r="M534" s="1371">
        <f t="shared" si="100"/>
        <v>10837159</v>
      </c>
      <c r="N534" s="2212" t="e">
        <f>IF('Report-M&amp;O1920'!C$18-'Report-SOF1920'!D$55&lt;=0,0,'Report-M&amp;O1920'!C$18-'Report-SOF1920'!D$55)</f>
        <v>#DIV/0!</v>
      </c>
      <c r="O534" s="2452" t="e">
        <f t="shared" si="101"/>
        <v>#DIV/0!</v>
      </c>
      <c r="P534" s="2449">
        <f>IF(A534='Data Entry - SOF'!B$2,'Data Entry - SOF'!I$64,0)</f>
        <v>0</v>
      </c>
      <c r="Q534" s="1687">
        <f t="shared" si="96"/>
        <v>10837159</v>
      </c>
      <c r="R534" s="2212" t="e">
        <f>IF('Report-M&amp;O2021'!C$18-'Report-SOF2021'!D$55&lt;=0,0,'Report-M&amp;O2021'!C$18-'Report-SOF2021'!D$55)</f>
        <v>#DIV/0!</v>
      </c>
      <c r="S534" s="2452" t="e">
        <f t="shared" si="102"/>
        <v>#DIV/0!</v>
      </c>
      <c r="T534" s="1708">
        <f>IF(A534='Data Entry - SOF'!B$2,'Data Entry - SOF'!K$64,0)</f>
        <v>0</v>
      </c>
      <c r="U534" s="1687">
        <f t="shared" si="106"/>
        <v>10837159</v>
      </c>
      <c r="V534" s="2212" t="e">
        <f>IF('Report-M&amp;O2122'!C$18-'Report-SOF2122'!D$55&lt;=0,0,'Report-M&amp;O2122'!C$18-'Report-SOF2122'!D$55)</f>
        <v>#DIV/0!</v>
      </c>
      <c r="W534" s="2452" t="e">
        <f t="shared" si="103"/>
        <v>#DIV/0!</v>
      </c>
      <c r="X534" s="1708">
        <f>IF(A534='Data Entry - SOF'!B$2,'Data Entry - SOF'!M$64,0)</f>
        <v>0</v>
      </c>
      <c r="Y534" s="1371" t="e">
        <f t="shared" si="104"/>
        <v>#DIV/0!</v>
      </c>
      <c r="Z534" s="2212" t="e">
        <f>IF('Report-M&amp;O2223'!C$18-'Report-SOF2223'!D$55&lt;=0,0,'Report-M&amp;O2223'!C$18-'Report-SOF2223'!D$55)</f>
        <v>#DIV/0!</v>
      </c>
      <c r="AA534" s="1708">
        <f>IF(A534='Data Entry - SOF'!B$2,'Data Entry - SOF'!O$64,0)</f>
        <v>0</v>
      </c>
    </row>
    <row r="535" spans="1:27" ht="15.75">
      <c r="A535" s="1076" t="s">
        <v>2652</v>
      </c>
      <c r="B535">
        <v>244487</v>
      </c>
      <c r="C535" s="2452" t="e">
        <f>#REF!+#REF!</f>
        <v>#REF!</v>
      </c>
      <c r="D535" s="2449">
        <f>IF(A535='Data Entry - SOF'!B$2,'Data Entry - SOF'!C$64,0)</f>
        <v>0</v>
      </c>
      <c r="E535" s="2450">
        <f t="shared" si="105"/>
        <v>244487</v>
      </c>
      <c r="F535" s="2212" t="e">
        <f>IF('Report-M&amp;O1718'!C$18-'Report-SOF1718'!D$55&lt;=0,0,'Report-M&amp;O1718'!C$18-'Report-SOF1718'!D$55)</f>
        <v>#DIV/0!</v>
      </c>
      <c r="G535" s="2452" t="e">
        <f t="shared" si="97"/>
        <v>#DIV/0!</v>
      </c>
      <c r="H535" s="2449">
        <f>IF(A535='Data Entry - SOF'!B$2,'Data Entry - SOF'!E$64,0)</f>
        <v>0</v>
      </c>
      <c r="I535" s="1687">
        <f t="shared" si="98"/>
        <v>244487</v>
      </c>
      <c r="J535" s="2212" t="e">
        <f>IF('Report-M&amp;O1819'!C$18-'Report-SOF1819'!D$55&lt;=0,0,'Report-M&amp;O1819'!C$18-'Report-SOF1819'!D$55)</f>
        <v>#DIV/0!</v>
      </c>
      <c r="K535" s="2452" t="e">
        <f t="shared" si="99"/>
        <v>#DIV/0!</v>
      </c>
      <c r="L535" s="2449">
        <f>IF(A535='Data Entry - SOF'!B$2,'Data Entry - SOF'!G$64,0)</f>
        <v>0</v>
      </c>
      <c r="M535" s="1371">
        <f t="shared" si="100"/>
        <v>244487</v>
      </c>
      <c r="N535" s="2212" t="e">
        <f>IF('Report-M&amp;O1920'!C$18-'Report-SOF1920'!D$55&lt;=0,0,'Report-M&amp;O1920'!C$18-'Report-SOF1920'!D$55)</f>
        <v>#DIV/0!</v>
      </c>
      <c r="O535" s="2452" t="e">
        <f t="shared" si="101"/>
        <v>#DIV/0!</v>
      </c>
      <c r="P535" s="2449">
        <f>IF(A535='Data Entry - SOF'!B$2,'Data Entry - SOF'!I$64,0)</f>
        <v>0</v>
      </c>
      <c r="Q535" s="1687">
        <f t="shared" si="96"/>
        <v>244487</v>
      </c>
      <c r="R535" s="2212" t="e">
        <f>IF('Report-M&amp;O2021'!C$18-'Report-SOF2021'!D$55&lt;=0,0,'Report-M&amp;O2021'!C$18-'Report-SOF2021'!D$55)</f>
        <v>#DIV/0!</v>
      </c>
      <c r="S535" s="2452" t="e">
        <f t="shared" si="102"/>
        <v>#DIV/0!</v>
      </c>
      <c r="T535" s="1708">
        <f>IF(A535='Data Entry - SOF'!B$2,'Data Entry - SOF'!K$64,0)</f>
        <v>0</v>
      </c>
      <c r="U535" s="1687">
        <f t="shared" si="106"/>
        <v>244487</v>
      </c>
      <c r="V535" s="2212" t="e">
        <f>IF('Report-M&amp;O2122'!C$18-'Report-SOF2122'!D$55&lt;=0,0,'Report-M&amp;O2122'!C$18-'Report-SOF2122'!D$55)</f>
        <v>#DIV/0!</v>
      </c>
      <c r="W535" s="2452" t="e">
        <f t="shared" si="103"/>
        <v>#DIV/0!</v>
      </c>
      <c r="X535" s="1708">
        <f>IF(A535='Data Entry - SOF'!B$2,'Data Entry - SOF'!M$64,0)</f>
        <v>0</v>
      </c>
      <c r="Y535" s="1371" t="e">
        <f t="shared" si="104"/>
        <v>#DIV/0!</v>
      </c>
      <c r="Z535" s="2212" t="e">
        <f>IF('Report-M&amp;O2223'!C$18-'Report-SOF2223'!D$55&lt;=0,0,'Report-M&amp;O2223'!C$18-'Report-SOF2223'!D$55)</f>
        <v>#DIV/0!</v>
      </c>
      <c r="AA535" s="1708">
        <f>IF(A535='Data Entry - SOF'!B$2,'Data Entry - SOF'!O$64,0)</f>
        <v>0</v>
      </c>
    </row>
    <row r="536" spans="1:27" ht="15.75">
      <c r="A536" s="1076" t="s">
        <v>1593</v>
      </c>
      <c r="B536">
        <v>629880</v>
      </c>
      <c r="C536" s="2452" t="e">
        <f>#REF!+#REF!</f>
        <v>#REF!</v>
      </c>
      <c r="D536" s="2449">
        <f>IF(A536='Data Entry - SOF'!B$2,'Data Entry - SOF'!C$64,0)</f>
        <v>0</v>
      </c>
      <c r="E536" s="2450">
        <f t="shared" si="105"/>
        <v>629880</v>
      </c>
      <c r="F536" s="2212" t="e">
        <f>IF('Report-M&amp;O1718'!C$18-'Report-SOF1718'!D$55&lt;=0,0,'Report-M&amp;O1718'!C$18-'Report-SOF1718'!D$55)</f>
        <v>#DIV/0!</v>
      </c>
      <c r="G536" s="2452" t="e">
        <f t="shared" si="97"/>
        <v>#DIV/0!</v>
      </c>
      <c r="H536" s="2449">
        <f>IF(A536='Data Entry - SOF'!B$2,'Data Entry - SOF'!E$64,0)</f>
        <v>0</v>
      </c>
      <c r="I536" s="1687">
        <f t="shared" si="98"/>
        <v>629880</v>
      </c>
      <c r="J536" s="2212" t="e">
        <f>IF('Report-M&amp;O1819'!C$18-'Report-SOF1819'!D$55&lt;=0,0,'Report-M&amp;O1819'!C$18-'Report-SOF1819'!D$55)</f>
        <v>#DIV/0!</v>
      </c>
      <c r="K536" s="2452" t="e">
        <f t="shared" si="99"/>
        <v>#DIV/0!</v>
      </c>
      <c r="L536" s="2449">
        <f>IF(A536='Data Entry - SOF'!B$2,'Data Entry - SOF'!G$64,0)</f>
        <v>0</v>
      </c>
      <c r="M536" s="1371">
        <f t="shared" si="100"/>
        <v>629880</v>
      </c>
      <c r="N536" s="2212" t="e">
        <f>IF('Report-M&amp;O1920'!C$18-'Report-SOF1920'!D$55&lt;=0,0,'Report-M&amp;O1920'!C$18-'Report-SOF1920'!D$55)</f>
        <v>#DIV/0!</v>
      </c>
      <c r="O536" s="2452" t="e">
        <f t="shared" si="101"/>
        <v>#DIV/0!</v>
      </c>
      <c r="P536" s="2449">
        <f>IF(A536='Data Entry - SOF'!B$2,'Data Entry - SOF'!I$64,0)</f>
        <v>0</v>
      </c>
      <c r="Q536" s="1687">
        <f t="shared" si="96"/>
        <v>629880</v>
      </c>
      <c r="R536" s="2212" t="e">
        <f>IF('Report-M&amp;O2021'!C$18-'Report-SOF2021'!D$55&lt;=0,0,'Report-M&amp;O2021'!C$18-'Report-SOF2021'!D$55)</f>
        <v>#DIV/0!</v>
      </c>
      <c r="S536" s="2452" t="e">
        <f t="shared" si="102"/>
        <v>#DIV/0!</v>
      </c>
      <c r="T536" s="1708">
        <f>IF(A536='Data Entry - SOF'!B$2,'Data Entry - SOF'!K$64,0)</f>
        <v>0</v>
      </c>
      <c r="U536" s="1687">
        <f t="shared" si="106"/>
        <v>629880</v>
      </c>
      <c r="V536" s="2212" t="e">
        <f>IF('Report-M&amp;O2122'!C$18-'Report-SOF2122'!D$55&lt;=0,0,'Report-M&amp;O2122'!C$18-'Report-SOF2122'!D$55)</f>
        <v>#DIV/0!</v>
      </c>
      <c r="W536" s="2452" t="e">
        <f t="shared" si="103"/>
        <v>#DIV/0!</v>
      </c>
      <c r="X536" s="1708">
        <f>IF(A536='Data Entry - SOF'!B$2,'Data Entry - SOF'!M$64,0)</f>
        <v>0</v>
      </c>
      <c r="Y536" s="1371" t="e">
        <f t="shared" si="104"/>
        <v>#DIV/0!</v>
      </c>
      <c r="Z536" s="2212" t="e">
        <f>IF('Report-M&amp;O2223'!C$18-'Report-SOF2223'!D$55&lt;=0,0,'Report-M&amp;O2223'!C$18-'Report-SOF2223'!D$55)</f>
        <v>#DIV/0!</v>
      </c>
      <c r="AA536" s="1708">
        <f>IF(A536='Data Entry - SOF'!B$2,'Data Entry - SOF'!O$64,0)</f>
        <v>0</v>
      </c>
    </row>
    <row r="537" spans="1:27" ht="15.75">
      <c r="A537" s="1076" t="s">
        <v>244</v>
      </c>
      <c r="B537">
        <v>1273108</v>
      </c>
      <c r="C537" s="2452" t="e">
        <f>#REF!+#REF!</f>
        <v>#REF!</v>
      </c>
      <c r="D537" s="2449">
        <f>IF(A537='Data Entry - SOF'!B$2,'Data Entry - SOF'!C$64,0)</f>
        <v>0</v>
      </c>
      <c r="E537" s="2450">
        <f t="shared" si="105"/>
        <v>1273108</v>
      </c>
      <c r="F537" s="2212" t="e">
        <f>IF('Report-M&amp;O1718'!C$18-'Report-SOF1718'!D$55&lt;=0,0,'Report-M&amp;O1718'!C$18-'Report-SOF1718'!D$55)</f>
        <v>#DIV/0!</v>
      </c>
      <c r="G537" s="2452" t="e">
        <f t="shared" si="97"/>
        <v>#DIV/0!</v>
      </c>
      <c r="H537" s="2449">
        <f>IF(A537='Data Entry - SOF'!B$2,'Data Entry - SOF'!E$64,0)</f>
        <v>0</v>
      </c>
      <c r="I537" s="1687">
        <f t="shared" si="98"/>
        <v>1273108</v>
      </c>
      <c r="J537" s="2212" t="e">
        <f>IF('Report-M&amp;O1819'!C$18-'Report-SOF1819'!D$55&lt;=0,0,'Report-M&amp;O1819'!C$18-'Report-SOF1819'!D$55)</f>
        <v>#DIV/0!</v>
      </c>
      <c r="K537" s="2452" t="e">
        <f t="shared" si="99"/>
        <v>#DIV/0!</v>
      </c>
      <c r="L537" s="2449">
        <f>IF(A537='Data Entry - SOF'!B$2,'Data Entry - SOF'!G$64,0)</f>
        <v>0</v>
      </c>
      <c r="M537" s="1371">
        <f t="shared" si="100"/>
        <v>1273108</v>
      </c>
      <c r="N537" s="2212" t="e">
        <f>IF('Report-M&amp;O1920'!C$18-'Report-SOF1920'!D$55&lt;=0,0,'Report-M&amp;O1920'!C$18-'Report-SOF1920'!D$55)</f>
        <v>#DIV/0!</v>
      </c>
      <c r="O537" s="2452" t="e">
        <f t="shared" si="101"/>
        <v>#DIV/0!</v>
      </c>
      <c r="P537" s="2449">
        <f>IF(A537='Data Entry - SOF'!B$2,'Data Entry - SOF'!I$64,0)</f>
        <v>0</v>
      </c>
      <c r="Q537" s="1687">
        <f t="shared" si="96"/>
        <v>1273108</v>
      </c>
      <c r="R537" s="2212" t="e">
        <f>IF('Report-M&amp;O2021'!C$18-'Report-SOF2021'!D$55&lt;=0,0,'Report-M&amp;O2021'!C$18-'Report-SOF2021'!D$55)</f>
        <v>#DIV/0!</v>
      </c>
      <c r="S537" s="2452" t="e">
        <f t="shared" si="102"/>
        <v>#DIV/0!</v>
      </c>
      <c r="T537" s="1708">
        <f>IF(A537='Data Entry - SOF'!B$2,'Data Entry - SOF'!K$64,0)</f>
        <v>0</v>
      </c>
      <c r="U537" s="1687">
        <f t="shared" si="106"/>
        <v>1273108</v>
      </c>
      <c r="V537" s="2212" t="e">
        <f>IF('Report-M&amp;O2122'!C$18-'Report-SOF2122'!D$55&lt;=0,0,'Report-M&amp;O2122'!C$18-'Report-SOF2122'!D$55)</f>
        <v>#DIV/0!</v>
      </c>
      <c r="W537" s="2452" t="e">
        <f t="shared" si="103"/>
        <v>#DIV/0!</v>
      </c>
      <c r="X537" s="1708">
        <f>IF(A537='Data Entry - SOF'!B$2,'Data Entry - SOF'!M$64,0)</f>
        <v>0</v>
      </c>
      <c r="Y537" s="1371" t="e">
        <f t="shared" si="104"/>
        <v>#DIV/0!</v>
      </c>
      <c r="Z537" s="2212" t="e">
        <f>IF('Report-M&amp;O2223'!C$18-'Report-SOF2223'!D$55&lt;=0,0,'Report-M&amp;O2223'!C$18-'Report-SOF2223'!D$55)</f>
        <v>#DIV/0!</v>
      </c>
      <c r="AA537" s="1708">
        <f>IF(A537='Data Entry - SOF'!B$2,'Data Entry - SOF'!O$64,0)</f>
        <v>0</v>
      </c>
    </row>
    <row r="538" spans="1:27" ht="15.75">
      <c r="A538" s="1076" t="s">
        <v>1504</v>
      </c>
      <c r="B538">
        <v>282455</v>
      </c>
      <c r="C538" s="2452" t="e">
        <f>#REF!+#REF!</f>
        <v>#REF!</v>
      </c>
      <c r="D538" s="2449">
        <f>IF(A538='Data Entry - SOF'!B$2,'Data Entry - SOF'!C$64,0)</f>
        <v>0</v>
      </c>
      <c r="E538" s="2450">
        <f t="shared" si="105"/>
        <v>282455</v>
      </c>
      <c r="F538" s="2212" t="e">
        <f>IF('Report-M&amp;O1718'!C$18-'Report-SOF1718'!D$55&lt;=0,0,'Report-M&amp;O1718'!C$18-'Report-SOF1718'!D$55)</f>
        <v>#DIV/0!</v>
      </c>
      <c r="G538" s="2452" t="e">
        <f t="shared" si="97"/>
        <v>#DIV/0!</v>
      </c>
      <c r="H538" s="2449">
        <f>IF(A538='Data Entry - SOF'!B$2,'Data Entry - SOF'!E$64,0)</f>
        <v>0</v>
      </c>
      <c r="I538" s="1687">
        <f t="shared" si="98"/>
        <v>282455</v>
      </c>
      <c r="J538" s="2212" t="e">
        <f>IF('Report-M&amp;O1819'!C$18-'Report-SOF1819'!D$55&lt;=0,0,'Report-M&amp;O1819'!C$18-'Report-SOF1819'!D$55)</f>
        <v>#DIV/0!</v>
      </c>
      <c r="K538" s="2452" t="e">
        <f t="shared" si="99"/>
        <v>#DIV/0!</v>
      </c>
      <c r="L538" s="2449">
        <f>IF(A538='Data Entry - SOF'!B$2,'Data Entry - SOF'!G$64,0)</f>
        <v>0</v>
      </c>
      <c r="M538" s="1371">
        <f t="shared" si="100"/>
        <v>282455</v>
      </c>
      <c r="N538" s="2212" t="e">
        <f>IF('Report-M&amp;O1920'!C$18-'Report-SOF1920'!D$55&lt;=0,0,'Report-M&amp;O1920'!C$18-'Report-SOF1920'!D$55)</f>
        <v>#DIV/0!</v>
      </c>
      <c r="O538" s="2452" t="e">
        <f t="shared" si="101"/>
        <v>#DIV/0!</v>
      </c>
      <c r="P538" s="2449">
        <f>IF(A538='Data Entry - SOF'!B$2,'Data Entry - SOF'!I$64,0)</f>
        <v>0</v>
      </c>
      <c r="Q538" s="1687">
        <f t="shared" si="96"/>
        <v>282455</v>
      </c>
      <c r="R538" s="2212" t="e">
        <f>IF('Report-M&amp;O2021'!C$18-'Report-SOF2021'!D$55&lt;=0,0,'Report-M&amp;O2021'!C$18-'Report-SOF2021'!D$55)</f>
        <v>#DIV/0!</v>
      </c>
      <c r="S538" s="2452" t="e">
        <f t="shared" si="102"/>
        <v>#DIV/0!</v>
      </c>
      <c r="T538" s="1708">
        <f>IF(A538='Data Entry - SOF'!B$2,'Data Entry - SOF'!K$64,0)</f>
        <v>0</v>
      </c>
      <c r="U538" s="1687">
        <f t="shared" si="106"/>
        <v>282455</v>
      </c>
      <c r="V538" s="2212" t="e">
        <f>IF('Report-M&amp;O2122'!C$18-'Report-SOF2122'!D$55&lt;=0,0,'Report-M&amp;O2122'!C$18-'Report-SOF2122'!D$55)</f>
        <v>#DIV/0!</v>
      </c>
      <c r="W538" s="2452" t="e">
        <f t="shared" si="103"/>
        <v>#DIV/0!</v>
      </c>
      <c r="X538" s="1708">
        <f>IF(A538='Data Entry - SOF'!B$2,'Data Entry - SOF'!M$64,0)</f>
        <v>0</v>
      </c>
      <c r="Y538" s="1371" t="e">
        <f t="shared" si="104"/>
        <v>#DIV/0!</v>
      </c>
      <c r="Z538" s="2212" t="e">
        <f>IF('Report-M&amp;O2223'!C$18-'Report-SOF2223'!D$55&lt;=0,0,'Report-M&amp;O2223'!C$18-'Report-SOF2223'!D$55)</f>
        <v>#DIV/0!</v>
      </c>
      <c r="AA538" s="1708">
        <f>IF(A538='Data Entry - SOF'!B$2,'Data Entry - SOF'!O$64,0)</f>
        <v>0</v>
      </c>
    </row>
    <row r="539" spans="1:27" ht="15.75">
      <c r="A539" s="1076" t="s">
        <v>223</v>
      </c>
      <c r="B539">
        <v>22688431</v>
      </c>
      <c r="C539" s="2452" t="e">
        <f>#REF!+#REF!</f>
        <v>#REF!</v>
      </c>
      <c r="D539" s="2449">
        <f>IF(A539='Data Entry - SOF'!B$2,'Data Entry - SOF'!C$64,0)</f>
        <v>0</v>
      </c>
      <c r="E539" s="2450">
        <f t="shared" si="105"/>
        <v>22688431</v>
      </c>
      <c r="F539" s="2212" t="e">
        <f>IF('Report-M&amp;O1718'!C$18-'Report-SOF1718'!D$55&lt;=0,0,'Report-M&amp;O1718'!C$18-'Report-SOF1718'!D$55)</f>
        <v>#DIV/0!</v>
      </c>
      <c r="G539" s="2452" t="e">
        <f t="shared" si="97"/>
        <v>#DIV/0!</v>
      </c>
      <c r="H539" s="2449">
        <f>IF(A539='Data Entry - SOF'!B$2,'Data Entry - SOF'!E$64,0)</f>
        <v>0</v>
      </c>
      <c r="I539" s="1687">
        <f t="shared" si="98"/>
        <v>22688431</v>
      </c>
      <c r="J539" s="2212" t="e">
        <f>IF('Report-M&amp;O1819'!C$18-'Report-SOF1819'!D$55&lt;=0,0,'Report-M&amp;O1819'!C$18-'Report-SOF1819'!D$55)</f>
        <v>#DIV/0!</v>
      </c>
      <c r="K539" s="2452" t="e">
        <f t="shared" si="99"/>
        <v>#DIV/0!</v>
      </c>
      <c r="L539" s="2449">
        <f>IF(A539='Data Entry - SOF'!B$2,'Data Entry - SOF'!G$64,0)</f>
        <v>0</v>
      </c>
      <c r="M539" s="1371">
        <f t="shared" si="100"/>
        <v>22688431</v>
      </c>
      <c r="N539" s="2212" t="e">
        <f>IF('Report-M&amp;O1920'!C$18-'Report-SOF1920'!D$55&lt;=0,0,'Report-M&amp;O1920'!C$18-'Report-SOF1920'!D$55)</f>
        <v>#DIV/0!</v>
      </c>
      <c r="O539" s="2452" t="e">
        <f t="shared" si="101"/>
        <v>#DIV/0!</v>
      </c>
      <c r="P539" s="2449">
        <f>IF(A539='Data Entry - SOF'!B$2,'Data Entry - SOF'!I$64,0)</f>
        <v>0</v>
      </c>
      <c r="Q539" s="1687">
        <f t="shared" si="96"/>
        <v>22688431</v>
      </c>
      <c r="R539" s="2212" t="e">
        <f>IF('Report-M&amp;O2021'!C$18-'Report-SOF2021'!D$55&lt;=0,0,'Report-M&amp;O2021'!C$18-'Report-SOF2021'!D$55)</f>
        <v>#DIV/0!</v>
      </c>
      <c r="S539" s="2452" t="e">
        <f t="shared" si="102"/>
        <v>#DIV/0!</v>
      </c>
      <c r="T539" s="1708">
        <f>IF(A539='Data Entry - SOF'!B$2,'Data Entry - SOF'!K$64,0)</f>
        <v>0</v>
      </c>
      <c r="U539" s="1687">
        <f t="shared" si="106"/>
        <v>22688431</v>
      </c>
      <c r="V539" s="2212" t="e">
        <f>IF('Report-M&amp;O2122'!C$18-'Report-SOF2122'!D$55&lt;=0,0,'Report-M&amp;O2122'!C$18-'Report-SOF2122'!D$55)</f>
        <v>#DIV/0!</v>
      </c>
      <c r="W539" s="2452" t="e">
        <f t="shared" si="103"/>
        <v>#DIV/0!</v>
      </c>
      <c r="X539" s="1708">
        <f>IF(A539='Data Entry - SOF'!B$2,'Data Entry - SOF'!M$64,0)</f>
        <v>0</v>
      </c>
      <c r="Y539" s="1371" t="e">
        <f t="shared" si="104"/>
        <v>#DIV/0!</v>
      </c>
      <c r="Z539" s="2212" t="e">
        <f>IF('Report-M&amp;O2223'!C$18-'Report-SOF2223'!D$55&lt;=0,0,'Report-M&amp;O2223'!C$18-'Report-SOF2223'!D$55)</f>
        <v>#DIV/0!</v>
      </c>
      <c r="AA539" s="1708">
        <f>IF(A539='Data Entry - SOF'!B$2,'Data Entry - SOF'!O$64,0)</f>
        <v>0</v>
      </c>
    </row>
    <row r="540" spans="1:27" ht="15.75">
      <c r="A540" s="1076" t="s">
        <v>2153</v>
      </c>
      <c r="B540">
        <v>79840273</v>
      </c>
      <c r="C540" s="2452" t="e">
        <f>#REF!+#REF!</f>
        <v>#REF!</v>
      </c>
      <c r="D540" s="2449">
        <f>IF(A540='Data Entry - SOF'!B$2,'Data Entry - SOF'!C$64,0)</f>
        <v>0</v>
      </c>
      <c r="E540" s="2450">
        <f t="shared" si="105"/>
        <v>79840273</v>
      </c>
      <c r="F540" s="2212" t="e">
        <f>IF('Report-M&amp;O1718'!C$18-'Report-SOF1718'!D$55&lt;=0,0,'Report-M&amp;O1718'!C$18-'Report-SOF1718'!D$55)</f>
        <v>#DIV/0!</v>
      </c>
      <c r="G540" s="2452" t="e">
        <f t="shared" si="97"/>
        <v>#DIV/0!</v>
      </c>
      <c r="H540" s="2449">
        <f>IF(A540='Data Entry - SOF'!B$2,'Data Entry - SOF'!E$64,0)</f>
        <v>0</v>
      </c>
      <c r="I540" s="1687">
        <f t="shared" si="98"/>
        <v>79840273</v>
      </c>
      <c r="J540" s="2212" t="e">
        <f>IF('Report-M&amp;O1819'!C$18-'Report-SOF1819'!D$55&lt;=0,0,'Report-M&amp;O1819'!C$18-'Report-SOF1819'!D$55)</f>
        <v>#DIV/0!</v>
      </c>
      <c r="K540" s="2452" t="e">
        <f t="shared" si="99"/>
        <v>#DIV/0!</v>
      </c>
      <c r="L540" s="2449">
        <f>IF(A540='Data Entry - SOF'!B$2,'Data Entry - SOF'!G$64,0)</f>
        <v>0</v>
      </c>
      <c r="M540" s="1371">
        <f t="shared" si="100"/>
        <v>79840273</v>
      </c>
      <c r="N540" s="2212" t="e">
        <f>IF('Report-M&amp;O1920'!C$18-'Report-SOF1920'!D$55&lt;=0,0,'Report-M&amp;O1920'!C$18-'Report-SOF1920'!D$55)</f>
        <v>#DIV/0!</v>
      </c>
      <c r="O540" s="2452" t="e">
        <f t="shared" si="101"/>
        <v>#DIV/0!</v>
      </c>
      <c r="P540" s="2449">
        <f>IF(A540='Data Entry - SOF'!B$2,'Data Entry - SOF'!I$64,0)</f>
        <v>0</v>
      </c>
      <c r="Q540" s="1687">
        <f t="shared" si="96"/>
        <v>79840273</v>
      </c>
      <c r="R540" s="2212" t="e">
        <f>IF('Report-M&amp;O2021'!C$18-'Report-SOF2021'!D$55&lt;=0,0,'Report-M&amp;O2021'!C$18-'Report-SOF2021'!D$55)</f>
        <v>#DIV/0!</v>
      </c>
      <c r="S540" s="2452" t="e">
        <f t="shared" si="102"/>
        <v>#DIV/0!</v>
      </c>
      <c r="T540" s="1708">
        <f>IF(A540='Data Entry - SOF'!B$2,'Data Entry - SOF'!K$64,0)</f>
        <v>0</v>
      </c>
      <c r="U540" s="1687">
        <f t="shared" si="106"/>
        <v>79840273</v>
      </c>
      <c r="V540" s="2212" t="e">
        <f>IF('Report-M&amp;O2122'!C$18-'Report-SOF2122'!D$55&lt;=0,0,'Report-M&amp;O2122'!C$18-'Report-SOF2122'!D$55)</f>
        <v>#DIV/0!</v>
      </c>
      <c r="W540" s="2452" t="e">
        <f t="shared" si="103"/>
        <v>#DIV/0!</v>
      </c>
      <c r="X540" s="1708">
        <f>IF(A540='Data Entry - SOF'!B$2,'Data Entry - SOF'!M$64,0)</f>
        <v>0</v>
      </c>
      <c r="Y540" s="1371" t="e">
        <f t="shared" si="104"/>
        <v>#DIV/0!</v>
      </c>
      <c r="Z540" s="2212" t="e">
        <f>IF('Report-M&amp;O2223'!C$18-'Report-SOF2223'!D$55&lt;=0,0,'Report-M&amp;O2223'!C$18-'Report-SOF2223'!D$55)</f>
        <v>#DIV/0!</v>
      </c>
      <c r="AA540" s="1708">
        <f>IF(A540='Data Entry - SOF'!B$2,'Data Entry - SOF'!O$64,0)</f>
        <v>0</v>
      </c>
    </row>
    <row r="541" spans="1:27" ht="15.75">
      <c r="A541" s="1076" t="s">
        <v>627</v>
      </c>
      <c r="B541">
        <v>30022990</v>
      </c>
      <c r="C541" s="2452" t="e">
        <f>#REF!+#REF!</f>
        <v>#REF!</v>
      </c>
      <c r="D541" s="2449">
        <f>IF(A541='Data Entry - SOF'!B$2,'Data Entry - SOF'!C$64,0)</f>
        <v>0</v>
      </c>
      <c r="E541" s="2450">
        <f t="shared" si="105"/>
        <v>30022990</v>
      </c>
      <c r="F541" s="2212" t="e">
        <f>IF('Report-M&amp;O1718'!C$18-'Report-SOF1718'!D$55&lt;=0,0,'Report-M&amp;O1718'!C$18-'Report-SOF1718'!D$55)</f>
        <v>#DIV/0!</v>
      </c>
      <c r="G541" s="2452" t="e">
        <f t="shared" si="97"/>
        <v>#DIV/0!</v>
      </c>
      <c r="H541" s="2449">
        <f>IF(A541='Data Entry - SOF'!B$2,'Data Entry - SOF'!E$64,0)</f>
        <v>0</v>
      </c>
      <c r="I541" s="1687">
        <f t="shared" si="98"/>
        <v>30022990</v>
      </c>
      <c r="J541" s="2212" t="e">
        <f>IF('Report-M&amp;O1819'!C$18-'Report-SOF1819'!D$55&lt;=0,0,'Report-M&amp;O1819'!C$18-'Report-SOF1819'!D$55)</f>
        <v>#DIV/0!</v>
      </c>
      <c r="K541" s="2452" t="e">
        <f t="shared" si="99"/>
        <v>#DIV/0!</v>
      </c>
      <c r="L541" s="2449">
        <f>IF(A541='Data Entry - SOF'!B$2,'Data Entry - SOF'!G$64,0)</f>
        <v>0</v>
      </c>
      <c r="M541" s="1371">
        <f t="shared" si="100"/>
        <v>30022990</v>
      </c>
      <c r="N541" s="2212" t="e">
        <f>IF('Report-M&amp;O1920'!C$18-'Report-SOF1920'!D$55&lt;=0,0,'Report-M&amp;O1920'!C$18-'Report-SOF1920'!D$55)</f>
        <v>#DIV/0!</v>
      </c>
      <c r="O541" s="2452" t="e">
        <f t="shared" si="101"/>
        <v>#DIV/0!</v>
      </c>
      <c r="P541" s="2449">
        <f>IF(A541='Data Entry - SOF'!B$2,'Data Entry - SOF'!I$64,0)</f>
        <v>0</v>
      </c>
      <c r="Q541" s="1687">
        <f t="shared" si="96"/>
        <v>30022990</v>
      </c>
      <c r="R541" s="2212" t="e">
        <f>IF('Report-M&amp;O2021'!C$18-'Report-SOF2021'!D$55&lt;=0,0,'Report-M&amp;O2021'!C$18-'Report-SOF2021'!D$55)</f>
        <v>#DIV/0!</v>
      </c>
      <c r="S541" s="2452" t="e">
        <f t="shared" si="102"/>
        <v>#DIV/0!</v>
      </c>
      <c r="T541" s="1708">
        <f>IF(A541='Data Entry - SOF'!B$2,'Data Entry - SOF'!K$64,0)</f>
        <v>0</v>
      </c>
      <c r="U541" s="1687">
        <f t="shared" si="106"/>
        <v>30022990</v>
      </c>
      <c r="V541" s="2212" t="e">
        <f>IF('Report-M&amp;O2122'!C$18-'Report-SOF2122'!D$55&lt;=0,0,'Report-M&amp;O2122'!C$18-'Report-SOF2122'!D$55)</f>
        <v>#DIV/0!</v>
      </c>
      <c r="W541" s="2452" t="e">
        <f t="shared" si="103"/>
        <v>#DIV/0!</v>
      </c>
      <c r="X541" s="1708">
        <f>IF(A541='Data Entry - SOF'!B$2,'Data Entry - SOF'!M$64,0)</f>
        <v>0</v>
      </c>
      <c r="Y541" s="1371" t="e">
        <f t="shared" si="104"/>
        <v>#DIV/0!</v>
      </c>
      <c r="Z541" s="2212" t="e">
        <f>IF('Report-M&amp;O2223'!C$18-'Report-SOF2223'!D$55&lt;=0,0,'Report-M&amp;O2223'!C$18-'Report-SOF2223'!D$55)</f>
        <v>#DIV/0!</v>
      </c>
      <c r="AA541" s="1708">
        <f>IF(A541='Data Entry - SOF'!B$2,'Data Entry - SOF'!O$64,0)</f>
        <v>0</v>
      </c>
    </row>
    <row r="542" spans="1:27" ht="15.75">
      <c r="A542" s="1076" t="s">
        <v>2037</v>
      </c>
      <c r="B542">
        <v>2260275</v>
      </c>
      <c r="C542" s="2452" t="e">
        <f>#REF!+#REF!</f>
        <v>#REF!</v>
      </c>
      <c r="D542" s="2449">
        <f>IF(A542='Data Entry - SOF'!B$2,'Data Entry - SOF'!C$64,0)</f>
        <v>0</v>
      </c>
      <c r="E542" s="2450">
        <f t="shared" si="105"/>
        <v>2260275</v>
      </c>
      <c r="F542" s="2212" t="e">
        <f>IF('Report-M&amp;O1718'!C$18-'Report-SOF1718'!D$55&lt;=0,0,'Report-M&amp;O1718'!C$18-'Report-SOF1718'!D$55)</f>
        <v>#DIV/0!</v>
      </c>
      <c r="G542" s="2452" t="e">
        <f t="shared" si="97"/>
        <v>#DIV/0!</v>
      </c>
      <c r="H542" s="2449">
        <f>IF(A542='Data Entry - SOF'!B$2,'Data Entry - SOF'!E$64,0)</f>
        <v>0</v>
      </c>
      <c r="I542" s="1687">
        <f t="shared" si="98"/>
        <v>2260275</v>
      </c>
      <c r="J542" s="2212" t="e">
        <f>IF('Report-M&amp;O1819'!C$18-'Report-SOF1819'!D$55&lt;=0,0,'Report-M&amp;O1819'!C$18-'Report-SOF1819'!D$55)</f>
        <v>#DIV/0!</v>
      </c>
      <c r="K542" s="2452" t="e">
        <f t="shared" si="99"/>
        <v>#DIV/0!</v>
      </c>
      <c r="L542" s="2449">
        <f>IF(A542='Data Entry - SOF'!B$2,'Data Entry - SOF'!G$64,0)</f>
        <v>0</v>
      </c>
      <c r="M542" s="1371">
        <f t="shared" si="100"/>
        <v>2260275</v>
      </c>
      <c r="N542" s="2212" t="e">
        <f>IF('Report-M&amp;O1920'!C$18-'Report-SOF1920'!D$55&lt;=0,0,'Report-M&amp;O1920'!C$18-'Report-SOF1920'!D$55)</f>
        <v>#DIV/0!</v>
      </c>
      <c r="O542" s="2452" t="e">
        <f t="shared" si="101"/>
        <v>#DIV/0!</v>
      </c>
      <c r="P542" s="2449">
        <f>IF(A542='Data Entry - SOF'!B$2,'Data Entry - SOF'!I$64,0)</f>
        <v>0</v>
      </c>
      <c r="Q542" s="1687">
        <f t="shared" si="96"/>
        <v>2260275</v>
      </c>
      <c r="R542" s="2212" t="e">
        <f>IF('Report-M&amp;O2021'!C$18-'Report-SOF2021'!D$55&lt;=0,0,'Report-M&amp;O2021'!C$18-'Report-SOF2021'!D$55)</f>
        <v>#DIV/0!</v>
      </c>
      <c r="S542" s="2452" t="e">
        <f t="shared" si="102"/>
        <v>#DIV/0!</v>
      </c>
      <c r="T542" s="1708">
        <f>IF(A542='Data Entry - SOF'!B$2,'Data Entry - SOF'!K$64,0)</f>
        <v>0</v>
      </c>
      <c r="U542" s="1687">
        <f t="shared" si="106"/>
        <v>2260275</v>
      </c>
      <c r="V542" s="2212" t="e">
        <f>IF('Report-M&amp;O2122'!C$18-'Report-SOF2122'!D$55&lt;=0,0,'Report-M&amp;O2122'!C$18-'Report-SOF2122'!D$55)</f>
        <v>#DIV/0!</v>
      </c>
      <c r="W542" s="2452" t="e">
        <f t="shared" si="103"/>
        <v>#DIV/0!</v>
      </c>
      <c r="X542" s="1708">
        <f>IF(A542='Data Entry - SOF'!B$2,'Data Entry - SOF'!M$64,0)</f>
        <v>0</v>
      </c>
      <c r="Y542" s="1371" t="e">
        <f t="shared" si="104"/>
        <v>#DIV/0!</v>
      </c>
      <c r="Z542" s="2212" t="e">
        <f>IF('Report-M&amp;O2223'!C$18-'Report-SOF2223'!D$55&lt;=0,0,'Report-M&amp;O2223'!C$18-'Report-SOF2223'!D$55)</f>
        <v>#DIV/0!</v>
      </c>
      <c r="AA542" s="1708">
        <f>IF(A542='Data Entry - SOF'!B$2,'Data Entry - SOF'!O$64,0)</f>
        <v>0</v>
      </c>
    </row>
    <row r="543" spans="1:27" ht="15.75">
      <c r="A543" s="1076" t="s">
        <v>52</v>
      </c>
      <c r="B543">
        <v>15341573</v>
      </c>
      <c r="C543" s="2452" t="e">
        <f>#REF!+#REF!</f>
        <v>#REF!</v>
      </c>
      <c r="D543" s="2449">
        <f>IF(A543='Data Entry - SOF'!B$2,'Data Entry - SOF'!C$64,0)</f>
        <v>0</v>
      </c>
      <c r="E543" s="2450">
        <f t="shared" si="105"/>
        <v>15341573</v>
      </c>
      <c r="F543" s="2212" t="e">
        <f>IF('Report-M&amp;O1718'!C$18-'Report-SOF1718'!D$55&lt;=0,0,'Report-M&amp;O1718'!C$18-'Report-SOF1718'!D$55)</f>
        <v>#DIV/0!</v>
      </c>
      <c r="G543" s="2452" t="e">
        <f t="shared" si="97"/>
        <v>#DIV/0!</v>
      </c>
      <c r="H543" s="2449">
        <f>IF(A543='Data Entry - SOF'!B$2,'Data Entry - SOF'!E$64,0)</f>
        <v>0</v>
      </c>
      <c r="I543" s="1687">
        <f t="shared" si="98"/>
        <v>15341573</v>
      </c>
      <c r="J543" s="2212" t="e">
        <f>IF('Report-M&amp;O1819'!C$18-'Report-SOF1819'!D$55&lt;=0,0,'Report-M&amp;O1819'!C$18-'Report-SOF1819'!D$55)</f>
        <v>#DIV/0!</v>
      </c>
      <c r="K543" s="2452" t="e">
        <f t="shared" si="99"/>
        <v>#DIV/0!</v>
      </c>
      <c r="L543" s="2449">
        <f>IF(A543='Data Entry - SOF'!B$2,'Data Entry - SOF'!G$64,0)</f>
        <v>0</v>
      </c>
      <c r="M543" s="1371">
        <f t="shared" si="100"/>
        <v>15341573</v>
      </c>
      <c r="N543" s="2212" t="e">
        <f>IF('Report-M&amp;O1920'!C$18-'Report-SOF1920'!D$55&lt;=0,0,'Report-M&amp;O1920'!C$18-'Report-SOF1920'!D$55)</f>
        <v>#DIV/0!</v>
      </c>
      <c r="O543" s="2452" t="e">
        <f t="shared" si="101"/>
        <v>#DIV/0!</v>
      </c>
      <c r="P543" s="2449">
        <f>IF(A543='Data Entry - SOF'!B$2,'Data Entry - SOF'!I$64,0)</f>
        <v>0</v>
      </c>
      <c r="Q543" s="1687">
        <f t="shared" si="96"/>
        <v>15341573</v>
      </c>
      <c r="R543" s="2212" t="e">
        <f>IF('Report-M&amp;O2021'!C$18-'Report-SOF2021'!D$55&lt;=0,0,'Report-M&amp;O2021'!C$18-'Report-SOF2021'!D$55)</f>
        <v>#DIV/0!</v>
      </c>
      <c r="S543" s="2452" t="e">
        <f t="shared" si="102"/>
        <v>#DIV/0!</v>
      </c>
      <c r="T543" s="1708">
        <f>IF(A543='Data Entry - SOF'!B$2,'Data Entry - SOF'!K$64,0)</f>
        <v>0</v>
      </c>
      <c r="U543" s="1687">
        <f t="shared" si="106"/>
        <v>15341573</v>
      </c>
      <c r="V543" s="2212" t="e">
        <f>IF('Report-M&amp;O2122'!C$18-'Report-SOF2122'!D$55&lt;=0,0,'Report-M&amp;O2122'!C$18-'Report-SOF2122'!D$55)</f>
        <v>#DIV/0!</v>
      </c>
      <c r="W543" s="2452" t="e">
        <f t="shared" si="103"/>
        <v>#DIV/0!</v>
      </c>
      <c r="X543" s="1708">
        <f>IF(A543='Data Entry - SOF'!B$2,'Data Entry - SOF'!M$64,0)</f>
        <v>0</v>
      </c>
      <c r="Y543" s="1371" t="e">
        <f t="shared" si="104"/>
        <v>#DIV/0!</v>
      </c>
      <c r="Z543" s="2212" t="e">
        <f>IF('Report-M&amp;O2223'!C$18-'Report-SOF2223'!D$55&lt;=0,0,'Report-M&amp;O2223'!C$18-'Report-SOF2223'!D$55)</f>
        <v>#DIV/0!</v>
      </c>
      <c r="AA543" s="1708">
        <f>IF(A543='Data Entry - SOF'!B$2,'Data Entry - SOF'!O$64,0)</f>
        <v>0</v>
      </c>
    </row>
    <row r="544" spans="1:27" ht="15.75">
      <c r="A544" s="1076" t="s">
        <v>1505</v>
      </c>
      <c r="B544">
        <v>2902009</v>
      </c>
      <c r="C544" s="2452" t="e">
        <f>#REF!+#REF!</f>
        <v>#REF!</v>
      </c>
      <c r="D544" s="2449">
        <f>IF(A544='Data Entry - SOF'!B$2,'Data Entry - SOF'!C$64,0)</f>
        <v>0</v>
      </c>
      <c r="E544" s="2450">
        <f t="shared" si="105"/>
        <v>2902009</v>
      </c>
      <c r="F544" s="2212" t="e">
        <f>IF('Report-M&amp;O1718'!C$18-'Report-SOF1718'!D$55&lt;=0,0,'Report-M&amp;O1718'!C$18-'Report-SOF1718'!D$55)</f>
        <v>#DIV/0!</v>
      </c>
      <c r="G544" s="2452" t="e">
        <f t="shared" si="97"/>
        <v>#DIV/0!</v>
      </c>
      <c r="H544" s="2449">
        <f>IF(A544='Data Entry - SOF'!B$2,'Data Entry - SOF'!E$64,0)</f>
        <v>0</v>
      </c>
      <c r="I544" s="1687">
        <f t="shared" si="98"/>
        <v>2902009</v>
      </c>
      <c r="J544" s="2212" t="e">
        <f>IF('Report-M&amp;O1819'!C$18-'Report-SOF1819'!D$55&lt;=0,0,'Report-M&amp;O1819'!C$18-'Report-SOF1819'!D$55)</f>
        <v>#DIV/0!</v>
      </c>
      <c r="K544" s="2452" t="e">
        <f t="shared" si="99"/>
        <v>#DIV/0!</v>
      </c>
      <c r="L544" s="2449">
        <f>IF(A544='Data Entry - SOF'!B$2,'Data Entry - SOF'!G$64,0)</f>
        <v>0</v>
      </c>
      <c r="M544" s="1371">
        <f t="shared" si="100"/>
        <v>2902009</v>
      </c>
      <c r="N544" s="2212" t="e">
        <f>IF('Report-M&amp;O1920'!C$18-'Report-SOF1920'!D$55&lt;=0,0,'Report-M&amp;O1920'!C$18-'Report-SOF1920'!D$55)</f>
        <v>#DIV/0!</v>
      </c>
      <c r="O544" s="2452" t="e">
        <f t="shared" si="101"/>
        <v>#DIV/0!</v>
      </c>
      <c r="P544" s="2449">
        <f>IF(A544='Data Entry - SOF'!B$2,'Data Entry - SOF'!I$64,0)</f>
        <v>0</v>
      </c>
      <c r="Q544" s="1687">
        <f t="shared" si="96"/>
        <v>2902009</v>
      </c>
      <c r="R544" s="2212" t="e">
        <f>IF('Report-M&amp;O2021'!C$18-'Report-SOF2021'!D$55&lt;=0,0,'Report-M&amp;O2021'!C$18-'Report-SOF2021'!D$55)</f>
        <v>#DIV/0!</v>
      </c>
      <c r="S544" s="2452" t="e">
        <f t="shared" si="102"/>
        <v>#DIV/0!</v>
      </c>
      <c r="T544" s="1708">
        <f>IF(A544='Data Entry - SOF'!B$2,'Data Entry - SOF'!K$64,0)</f>
        <v>0</v>
      </c>
      <c r="U544" s="1687">
        <f t="shared" si="106"/>
        <v>2902009</v>
      </c>
      <c r="V544" s="2212" t="e">
        <f>IF('Report-M&amp;O2122'!C$18-'Report-SOF2122'!D$55&lt;=0,0,'Report-M&amp;O2122'!C$18-'Report-SOF2122'!D$55)</f>
        <v>#DIV/0!</v>
      </c>
      <c r="W544" s="2452" t="e">
        <f t="shared" si="103"/>
        <v>#DIV/0!</v>
      </c>
      <c r="X544" s="1708">
        <f>IF(A544='Data Entry - SOF'!B$2,'Data Entry - SOF'!M$64,0)</f>
        <v>0</v>
      </c>
      <c r="Y544" s="1371" t="e">
        <f t="shared" si="104"/>
        <v>#DIV/0!</v>
      </c>
      <c r="Z544" s="2212" t="e">
        <f>IF('Report-M&amp;O2223'!C$18-'Report-SOF2223'!D$55&lt;=0,0,'Report-M&amp;O2223'!C$18-'Report-SOF2223'!D$55)</f>
        <v>#DIV/0!</v>
      </c>
      <c r="AA544" s="1708">
        <f>IF(A544='Data Entry - SOF'!B$2,'Data Entry - SOF'!O$64,0)</f>
        <v>0</v>
      </c>
    </row>
    <row r="545" spans="1:27" ht="15.75">
      <c r="A545" s="1076" t="s">
        <v>2653</v>
      </c>
      <c r="B545">
        <v>3648863</v>
      </c>
      <c r="C545" s="2452" t="e">
        <f>#REF!+#REF!</f>
        <v>#REF!</v>
      </c>
      <c r="D545" s="2449">
        <f>IF(A545='Data Entry - SOF'!B$2,'Data Entry - SOF'!C$64,0)</f>
        <v>0</v>
      </c>
      <c r="E545" s="2450">
        <f t="shared" si="105"/>
        <v>3648863</v>
      </c>
      <c r="F545" s="2212" t="e">
        <f>IF('Report-M&amp;O1718'!C$18-'Report-SOF1718'!D$55&lt;=0,0,'Report-M&amp;O1718'!C$18-'Report-SOF1718'!D$55)</f>
        <v>#DIV/0!</v>
      </c>
      <c r="G545" s="2452" t="e">
        <f t="shared" si="97"/>
        <v>#DIV/0!</v>
      </c>
      <c r="H545" s="2449">
        <f>IF(A545='Data Entry - SOF'!B$2,'Data Entry - SOF'!E$64,0)</f>
        <v>0</v>
      </c>
      <c r="I545" s="1687">
        <f t="shared" si="98"/>
        <v>3648863</v>
      </c>
      <c r="J545" s="2212" t="e">
        <f>IF('Report-M&amp;O1819'!C$18-'Report-SOF1819'!D$55&lt;=0,0,'Report-M&amp;O1819'!C$18-'Report-SOF1819'!D$55)</f>
        <v>#DIV/0!</v>
      </c>
      <c r="K545" s="2452" t="e">
        <f t="shared" si="99"/>
        <v>#DIV/0!</v>
      </c>
      <c r="L545" s="2449">
        <f>IF(A545='Data Entry - SOF'!B$2,'Data Entry - SOF'!G$64,0)</f>
        <v>0</v>
      </c>
      <c r="M545" s="1371">
        <f t="shared" si="100"/>
        <v>3648863</v>
      </c>
      <c r="N545" s="2212" t="e">
        <f>IF('Report-M&amp;O1920'!C$18-'Report-SOF1920'!D$55&lt;=0,0,'Report-M&amp;O1920'!C$18-'Report-SOF1920'!D$55)</f>
        <v>#DIV/0!</v>
      </c>
      <c r="O545" s="2452" t="e">
        <f t="shared" si="101"/>
        <v>#DIV/0!</v>
      </c>
      <c r="P545" s="2449">
        <f>IF(A545='Data Entry - SOF'!B$2,'Data Entry - SOF'!I$64,0)</f>
        <v>0</v>
      </c>
      <c r="Q545" s="1687">
        <f t="shared" si="96"/>
        <v>3648863</v>
      </c>
      <c r="R545" s="2212" t="e">
        <f>IF('Report-M&amp;O2021'!C$18-'Report-SOF2021'!D$55&lt;=0,0,'Report-M&amp;O2021'!C$18-'Report-SOF2021'!D$55)</f>
        <v>#DIV/0!</v>
      </c>
      <c r="S545" s="2452" t="e">
        <f t="shared" si="102"/>
        <v>#DIV/0!</v>
      </c>
      <c r="T545" s="1708">
        <f>IF(A545='Data Entry - SOF'!B$2,'Data Entry - SOF'!K$64,0)</f>
        <v>0</v>
      </c>
      <c r="U545" s="1687">
        <f t="shared" si="106"/>
        <v>3648863</v>
      </c>
      <c r="V545" s="2212" t="e">
        <f>IF('Report-M&amp;O2122'!C$18-'Report-SOF2122'!D$55&lt;=0,0,'Report-M&amp;O2122'!C$18-'Report-SOF2122'!D$55)</f>
        <v>#DIV/0!</v>
      </c>
      <c r="W545" s="2452" t="e">
        <f t="shared" si="103"/>
        <v>#DIV/0!</v>
      </c>
      <c r="X545" s="1708">
        <f>IF(A545='Data Entry - SOF'!B$2,'Data Entry - SOF'!M$64,0)</f>
        <v>0</v>
      </c>
      <c r="Y545" s="1371" t="e">
        <f t="shared" si="104"/>
        <v>#DIV/0!</v>
      </c>
      <c r="Z545" s="2212" t="e">
        <f>IF('Report-M&amp;O2223'!C$18-'Report-SOF2223'!D$55&lt;=0,0,'Report-M&amp;O2223'!C$18-'Report-SOF2223'!D$55)</f>
        <v>#DIV/0!</v>
      </c>
      <c r="AA545" s="1708">
        <f>IF(A545='Data Entry - SOF'!B$2,'Data Entry - SOF'!O$64,0)</f>
        <v>0</v>
      </c>
    </row>
    <row r="546" spans="1:27" ht="15.75">
      <c r="A546" s="1076" t="s">
        <v>283</v>
      </c>
      <c r="B546">
        <v>2248918</v>
      </c>
      <c r="C546" s="2452" t="e">
        <f>#REF!+#REF!</f>
        <v>#REF!</v>
      </c>
      <c r="D546" s="2449">
        <f>IF(A546='Data Entry - SOF'!B$2,'Data Entry - SOF'!C$64,0)</f>
        <v>0</v>
      </c>
      <c r="E546" s="2450">
        <f t="shared" si="105"/>
        <v>2248918</v>
      </c>
      <c r="F546" s="2212" t="e">
        <f>IF('Report-M&amp;O1718'!C$18-'Report-SOF1718'!D$55&lt;=0,0,'Report-M&amp;O1718'!C$18-'Report-SOF1718'!D$55)</f>
        <v>#DIV/0!</v>
      </c>
      <c r="G546" s="2452" t="e">
        <f t="shared" si="97"/>
        <v>#DIV/0!</v>
      </c>
      <c r="H546" s="2449">
        <f>IF(A546='Data Entry - SOF'!B$2,'Data Entry - SOF'!E$64,0)</f>
        <v>0</v>
      </c>
      <c r="I546" s="1687">
        <f t="shared" si="98"/>
        <v>2248918</v>
      </c>
      <c r="J546" s="2212" t="e">
        <f>IF('Report-M&amp;O1819'!C$18-'Report-SOF1819'!D$55&lt;=0,0,'Report-M&amp;O1819'!C$18-'Report-SOF1819'!D$55)</f>
        <v>#DIV/0!</v>
      </c>
      <c r="K546" s="2452" t="e">
        <f t="shared" si="99"/>
        <v>#DIV/0!</v>
      </c>
      <c r="L546" s="2449">
        <f>IF(A546='Data Entry - SOF'!B$2,'Data Entry - SOF'!G$64,0)</f>
        <v>0</v>
      </c>
      <c r="M546" s="1371">
        <f t="shared" si="100"/>
        <v>2248918</v>
      </c>
      <c r="N546" s="2212" t="e">
        <f>IF('Report-M&amp;O1920'!C$18-'Report-SOF1920'!D$55&lt;=0,0,'Report-M&amp;O1920'!C$18-'Report-SOF1920'!D$55)</f>
        <v>#DIV/0!</v>
      </c>
      <c r="O546" s="2452" t="e">
        <f t="shared" si="101"/>
        <v>#DIV/0!</v>
      </c>
      <c r="P546" s="2449">
        <f>IF(A546='Data Entry - SOF'!B$2,'Data Entry - SOF'!I$64,0)</f>
        <v>0</v>
      </c>
      <c r="Q546" s="1687">
        <f t="shared" si="96"/>
        <v>2248918</v>
      </c>
      <c r="R546" s="2212" t="e">
        <f>IF('Report-M&amp;O2021'!C$18-'Report-SOF2021'!D$55&lt;=0,0,'Report-M&amp;O2021'!C$18-'Report-SOF2021'!D$55)</f>
        <v>#DIV/0!</v>
      </c>
      <c r="S546" s="2452" t="e">
        <f t="shared" si="102"/>
        <v>#DIV/0!</v>
      </c>
      <c r="T546" s="1708">
        <f>IF(A546='Data Entry - SOF'!B$2,'Data Entry - SOF'!K$64,0)</f>
        <v>0</v>
      </c>
      <c r="U546" s="1687">
        <f t="shared" si="106"/>
        <v>2248918</v>
      </c>
      <c r="V546" s="2212" t="e">
        <f>IF('Report-M&amp;O2122'!C$18-'Report-SOF2122'!D$55&lt;=0,0,'Report-M&amp;O2122'!C$18-'Report-SOF2122'!D$55)</f>
        <v>#DIV/0!</v>
      </c>
      <c r="W546" s="2452" t="e">
        <f t="shared" si="103"/>
        <v>#DIV/0!</v>
      </c>
      <c r="X546" s="1708">
        <f>IF(A546='Data Entry - SOF'!B$2,'Data Entry - SOF'!M$64,0)</f>
        <v>0</v>
      </c>
      <c r="Y546" s="1371" t="e">
        <f t="shared" si="104"/>
        <v>#DIV/0!</v>
      </c>
      <c r="Z546" s="2212" t="e">
        <f>IF('Report-M&amp;O2223'!C$18-'Report-SOF2223'!D$55&lt;=0,0,'Report-M&amp;O2223'!C$18-'Report-SOF2223'!D$55)</f>
        <v>#DIV/0!</v>
      </c>
      <c r="AA546" s="1708">
        <f>IF(A546='Data Entry - SOF'!B$2,'Data Entry - SOF'!O$64,0)</f>
        <v>0</v>
      </c>
    </row>
    <row r="547" spans="1:27" ht="15.75">
      <c r="A547" s="1076" t="s">
        <v>1435</v>
      </c>
      <c r="B547">
        <v>12042328</v>
      </c>
      <c r="C547" s="2452" t="e">
        <f>#REF!+#REF!</f>
        <v>#REF!</v>
      </c>
      <c r="D547" s="2449">
        <f>IF(A547='Data Entry - SOF'!B$2,'Data Entry - SOF'!C$64,0)</f>
        <v>0</v>
      </c>
      <c r="E547" s="2450">
        <f t="shared" si="105"/>
        <v>12042328</v>
      </c>
      <c r="F547" s="2212" t="e">
        <f>IF('Report-M&amp;O1718'!C$18-'Report-SOF1718'!D$55&lt;=0,0,'Report-M&amp;O1718'!C$18-'Report-SOF1718'!D$55)</f>
        <v>#DIV/0!</v>
      </c>
      <c r="G547" s="2452" t="e">
        <f t="shared" si="97"/>
        <v>#DIV/0!</v>
      </c>
      <c r="H547" s="2449">
        <f>IF(A547='Data Entry - SOF'!B$2,'Data Entry - SOF'!E$64,0)</f>
        <v>0</v>
      </c>
      <c r="I547" s="1687">
        <f t="shared" si="98"/>
        <v>12042328</v>
      </c>
      <c r="J547" s="2212" t="e">
        <f>IF('Report-M&amp;O1819'!C$18-'Report-SOF1819'!D$55&lt;=0,0,'Report-M&amp;O1819'!C$18-'Report-SOF1819'!D$55)</f>
        <v>#DIV/0!</v>
      </c>
      <c r="K547" s="2452" t="e">
        <f t="shared" si="99"/>
        <v>#DIV/0!</v>
      </c>
      <c r="L547" s="2449">
        <f>IF(A547='Data Entry - SOF'!B$2,'Data Entry - SOF'!G$64,0)</f>
        <v>0</v>
      </c>
      <c r="M547" s="1371">
        <f t="shared" si="100"/>
        <v>12042328</v>
      </c>
      <c r="N547" s="2212" t="e">
        <f>IF('Report-M&amp;O1920'!C$18-'Report-SOF1920'!D$55&lt;=0,0,'Report-M&amp;O1920'!C$18-'Report-SOF1920'!D$55)</f>
        <v>#DIV/0!</v>
      </c>
      <c r="O547" s="2452" t="e">
        <f t="shared" si="101"/>
        <v>#DIV/0!</v>
      </c>
      <c r="P547" s="2449">
        <f>IF(A547='Data Entry - SOF'!B$2,'Data Entry - SOF'!I$64,0)</f>
        <v>0</v>
      </c>
      <c r="Q547" s="1687">
        <f t="shared" si="96"/>
        <v>12042328</v>
      </c>
      <c r="R547" s="2212" t="e">
        <f>IF('Report-M&amp;O2021'!C$18-'Report-SOF2021'!D$55&lt;=0,0,'Report-M&amp;O2021'!C$18-'Report-SOF2021'!D$55)</f>
        <v>#DIV/0!</v>
      </c>
      <c r="S547" s="2452" t="e">
        <f t="shared" si="102"/>
        <v>#DIV/0!</v>
      </c>
      <c r="T547" s="1708">
        <f>IF(A547='Data Entry - SOF'!B$2,'Data Entry - SOF'!K$64,0)</f>
        <v>0</v>
      </c>
      <c r="U547" s="1687">
        <f t="shared" si="106"/>
        <v>12042328</v>
      </c>
      <c r="V547" s="2212" t="e">
        <f>IF('Report-M&amp;O2122'!C$18-'Report-SOF2122'!D$55&lt;=0,0,'Report-M&amp;O2122'!C$18-'Report-SOF2122'!D$55)</f>
        <v>#DIV/0!</v>
      </c>
      <c r="W547" s="2452" t="e">
        <f t="shared" si="103"/>
        <v>#DIV/0!</v>
      </c>
      <c r="X547" s="1708">
        <f>IF(A547='Data Entry - SOF'!B$2,'Data Entry - SOF'!M$64,0)</f>
        <v>0</v>
      </c>
      <c r="Y547" s="1371" t="e">
        <f t="shared" si="104"/>
        <v>#DIV/0!</v>
      </c>
      <c r="Z547" s="2212" t="e">
        <f>IF('Report-M&amp;O2223'!C$18-'Report-SOF2223'!D$55&lt;=0,0,'Report-M&amp;O2223'!C$18-'Report-SOF2223'!D$55)</f>
        <v>#DIV/0!</v>
      </c>
      <c r="AA547" s="1708">
        <f>IF(A547='Data Entry - SOF'!B$2,'Data Entry - SOF'!O$64,0)</f>
        <v>0</v>
      </c>
    </row>
    <row r="548" spans="1:27" ht="15.75">
      <c r="A548" s="1076" t="s">
        <v>2400</v>
      </c>
      <c r="B548">
        <v>1222659</v>
      </c>
      <c r="C548" s="2452" t="e">
        <f>#REF!+#REF!</f>
        <v>#REF!</v>
      </c>
      <c r="D548" s="2449">
        <f>IF(A548='Data Entry - SOF'!B$2,'Data Entry - SOF'!C$64,0)</f>
        <v>0</v>
      </c>
      <c r="E548" s="2450">
        <f t="shared" si="105"/>
        <v>1222659</v>
      </c>
      <c r="F548" s="2212" t="e">
        <f>IF('Report-M&amp;O1718'!C$18-'Report-SOF1718'!D$55&lt;=0,0,'Report-M&amp;O1718'!C$18-'Report-SOF1718'!D$55)</f>
        <v>#DIV/0!</v>
      </c>
      <c r="G548" s="2452" t="e">
        <f t="shared" si="97"/>
        <v>#DIV/0!</v>
      </c>
      <c r="H548" s="2449">
        <f>IF(A548='Data Entry - SOF'!B$2,'Data Entry - SOF'!E$64,0)</f>
        <v>0</v>
      </c>
      <c r="I548" s="1687">
        <f t="shared" si="98"/>
        <v>1222659</v>
      </c>
      <c r="J548" s="2212" t="e">
        <f>IF('Report-M&amp;O1819'!C$18-'Report-SOF1819'!D$55&lt;=0,0,'Report-M&amp;O1819'!C$18-'Report-SOF1819'!D$55)</f>
        <v>#DIV/0!</v>
      </c>
      <c r="K548" s="2452" t="e">
        <f t="shared" si="99"/>
        <v>#DIV/0!</v>
      </c>
      <c r="L548" s="2449">
        <f>IF(A548='Data Entry - SOF'!B$2,'Data Entry - SOF'!G$64,0)</f>
        <v>0</v>
      </c>
      <c r="M548" s="1371">
        <f t="shared" si="100"/>
        <v>1222659</v>
      </c>
      <c r="N548" s="2212" t="e">
        <f>IF('Report-M&amp;O1920'!C$18-'Report-SOF1920'!D$55&lt;=0,0,'Report-M&amp;O1920'!C$18-'Report-SOF1920'!D$55)</f>
        <v>#DIV/0!</v>
      </c>
      <c r="O548" s="2452" t="e">
        <f t="shared" si="101"/>
        <v>#DIV/0!</v>
      </c>
      <c r="P548" s="2449">
        <f>IF(A548='Data Entry - SOF'!B$2,'Data Entry - SOF'!I$64,0)</f>
        <v>0</v>
      </c>
      <c r="Q548" s="1687">
        <f t="shared" si="96"/>
        <v>1222659</v>
      </c>
      <c r="R548" s="2212" t="e">
        <f>IF('Report-M&amp;O2021'!C$18-'Report-SOF2021'!D$55&lt;=0,0,'Report-M&amp;O2021'!C$18-'Report-SOF2021'!D$55)</f>
        <v>#DIV/0!</v>
      </c>
      <c r="S548" s="2452" t="e">
        <f t="shared" si="102"/>
        <v>#DIV/0!</v>
      </c>
      <c r="T548" s="1708">
        <f>IF(A548='Data Entry - SOF'!B$2,'Data Entry - SOF'!K$64,0)</f>
        <v>0</v>
      </c>
      <c r="U548" s="1687">
        <f t="shared" si="106"/>
        <v>1222659</v>
      </c>
      <c r="V548" s="2212" t="e">
        <f>IF('Report-M&amp;O2122'!C$18-'Report-SOF2122'!D$55&lt;=0,0,'Report-M&amp;O2122'!C$18-'Report-SOF2122'!D$55)</f>
        <v>#DIV/0!</v>
      </c>
      <c r="W548" s="2452" t="e">
        <f t="shared" si="103"/>
        <v>#DIV/0!</v>
      </c>
      <c r="X548" s="1708">
        <f>IF(A548='Data Entry - SOF'!B$2,'Data Entry - SOF'!M$64,0)</f>
        <v>0</v>
      </c>
      <c r="Y548" s="1371" t="e">
        <f t="shared" si="104"/>
        <v>#DIV/0!</v>
      </c>
      <c r="Z548" s="2212" t="e">
        <f>IF('Report-M&amp;O2223'!C$18-'Report-SOF2223'!D$55&lt;=0,0,'Report-M&amp;O2223'!C$18-'Report-SOF2223'!D$55)</f>
        <v>#DIV/0!</v>
      </c>
      <c r="AA548" s="1708">
        <f>IF(A548='Data Entry - SOF'!B$2,'Data Entry - SOF'!O$64,0)</f>
        <v>0</v>
      </c>
    </row>
    <row r="549" spans="1:27" ht="15.75">
      <c r="A549" s="1076" t="s">
        <v>1506</v>
      </c>
      <c r="B549">
        <v>1330850</v>
      </c>
      <c r="C549" s="2452" t="e">
        <f>#REF!+#REF!</f>
        <v>#REF!</v>
      </c>
      <c r="D549" s="2449">
        <f>IF(A549='Data Entry - SOF'!B$2,'Data Entry - SOF'!C$64,0)</f>
        <v>0</v>
      </c>
      <c r="E549" s="2450">
        <f t="shared" si="105"/>
        <v>1330850</v>
      </c>
      <c r="F549" s="2212" t="e">
        <f>IF('Report-M&amp;O1718'!C$18-'Report-SOF1718'!D$55&lt;=0,0,'Report-M&amp;O1718'!C$18-'Report-SOF1718'!D$55)</f>
        <v>#DIV/0!</v>
      </c>
      <c r="G549" s="2452" t="e">
        <f t="shared" si="97"/>
        <v>#DIV/0!</v>
      </c>
      <c r="H549" s="2449">
        <f>IF(A549='Data Entry - SOF'!B$2,'Data Entry - SOF'!E$64,0)</f>
        <v>0</v>
      </c>
      <c r="I549" s="1687">
        <f t="shared" si="98"/>
        <v>1330850</v>
      </c>
      <c r="J549" s="2212" t="e">
        <f>IF('Report-M&amp;O1819'!C$18-'Report-SOF1819'!D$55&lt;=0,0,'Report-M&amp;O1819'!C$18-'Report-SOF1819'!D$55)</f>
        <v>#DIV/0!</v>
      </c>
      <c r="K549" s="2452" t="e">
        <f t="shared" si="99"/>
        <v>#DIV/0!</v>
      </c>
      <c r="L549" s="2449">
        <f>IF(A549='Data Entry - SOF'!B$2,'Data Entry - SOF'!G$64,0)</f>
        <v>0</v>
      </c>
      <c r="M549" s="1371">
        <f t="shared" si="100"/>
        <v>1330850</v>
      </c>
      <c r="N549" s="2212" t="e">
        <f>IF('Report-M&amp;O1920'!C$18-'Report-SOF1920'!D$55&lt;=0,0,'Report-M&amp;O1920'!C$18-'Report-SOF1920'!D$55)</f>
        <v>#DIV/0!</v>
      </c>
      <c r="O549" s="2452" t="e">
        <f t="shared" si="101"/>
        <v>#DIV/0!</v>
      </c>
      <c r="P549" s="2449">
        <f>IF(A549='Data Entry - SOF'!B$2,'Data Entry - SOF'!I$64,0)</f>
        <v>0</v>
      </c>
      <c r="Q549" s="1687">
        <f t="shared" si="96"/>
        <v>1330850</v>
      </c>
      <c r="R549" s="2212" t="e">
        <f>IF('Report-M&amp;O2021'!C$18-'Report-SOF2021'!D$55&lt;=0,0,'Report-M&amp;O2021'!C$18-'Report-SOF2021'!D$55)</f>
        <v>#DIV/0!</v>
      </c>
      <c r="S549" s="2452" t="e">
        <f t="shared" si="102"/>
        <v>#DIV/0!</v>
      </c>
      <c r="T549" s="1708">
        <f>IF(A549='Data Entry - SOF'!B$2,'Data Entry - SOF'!K$64,0)</f>
        <v>0</v>
      </c>
      <c r="U549" s="1687">
        <f t="shared" si="106"/>
        <v>1330850</v>
      </c>
      <c r="V549" s="2212" t="e">
        <f>IF('Report-M&amp;O2122'!C$18-'Report-SOF2122'!D$55&lt;=0,0,'Report-M&amp;O2122'!C$18-'Report-SOF2122'!D$55)</f>
        <v>#DIV/0!</v>
      </c>
      <c r="W549" s="2452" t="e">
        <f t="shared" si="103"/>
        <v>#DIV/0!</v>
      </c>
      <c r="X549" s="1708">
        <f>IF(A549='Data Entry - SOF'!B$2,'Data Entry - SOF'!M$64,0)</f>
        <v>0</v>
      </c>
      <c r="Y549" s="1371" t="e">
        <f t="shared" si="104"/>
        <v>#DIV/0!</v>
      </c>
      <c r="Z549" s="2212" t="e">
        <f>IF('Report-M&amp;O2223'!C$18-'Report-SOF2223'!D$55&lt;=0,0,'Report-M&amp;O2223'!C$18-'Report-SOF2223'!D$55)</f>
        <v>#DIV/0!</v>
      </c>
      <c r="AA549" s="1708">
        <f>IF(A549='Data Entry - SOF'!B$2,'Data Entry - SOF'!O$64,0)</f>
        <v>0</v>
      </c>
    </row>
    <row r="550" spans="1:27" ht="15.75">
      <c r="A550" s="1076" t="s">
        <v>2128</v>
      </c>
      <c r="B550">
        <v>844079</v>
      </c>
      <c r="C550" s="2452" t="e">
        <f>#REF!+#REF!</f>
        <v>#REF!</v>
      </c>
      <c r="D550" s="2449">
        <f>IF(A550='Data Entry - SOF'!B$2,'Data Entry - SOF'!C$64,0)</f>
        <v>0</v>
      </c>
      <c r="E550" s="2450">
        <f t="shared" si="105"/>
        <v>844079</v>
      </c>
      <c r="F550" s="2212" t="e">
        <f>IF('Report-M&amp;O1718'!C$18-'Report-SOF1718'!D$55&lt;=0,0,'Report-M&amp;O1718'!C$18-'Report-SOF1718'!D$55)</f>
        <v>#DIV/0!</v>
      </c>
      <c r="G550" s="2452" t="e">
        <f t="shared" si="97"/>
        <v>#DIV/0!</v>
      </c>
      <c r="H550" s="2449">
        <f>IF(A550='Data Entry - SOF'!B$2,'Data Entry - SOF'!E$64,0)</f>
        <v>0</v>
      </c>
      <c r="I550" s="1687">
        <f t="shared" si="98"/>
        <v>844079</v>
      </c>
      <c r="J550" s="2212" t="e">
        <f>IF('Report-M&amp;O1819'!C$18-'Report-SOF1819'!D$55&lt;=0,0,'Report-M&amp;O1819'!C$18-'Report-SOF1819'!D$55)</f>
        <v>#DIV/0!</v>
      </c>
      <c r="K550" s="2452" t="e">
        <f t="shared" si="99"/>
        <v>#DIV/0!</v>
      </c>
      <c r="L550" s="2449">
        <f>IF(A550='Data Entry - SOF'!B$2,'Data Entry - SOF'!G$64,0)</f>
        <v>0</v>
      </c>
      <c r="M550" s="1371">
        <f t="shared" si="100"/>
        <v>844079</v>
      </c>
      <c r="N550" s="2212" t="e">
        <f>IF('Report-M&amp;O1920'!C$18-'Report-SOF1920'!D$55&lt;=0,0,'Report-M&amp;O1920'!C$18-'Report-SOF1920'!D$55)</f>
        <v>#DIV/0!</v>
      </c>
      <c r="O550" s="2452" t="e">
        <f t="shared" si="101"/>
        <v>#DIV/0!</v>
      </c>
      <c r="P550" s="2449">
        <f>IF(A550='Data Entry - SOF'!B$2,'Data Entry - SOF'!I$64,0)</f>
        <v>0</v>
      </c>
      <c r="Q550" s="1687">
        <f t="shared" si="96"/>
        <v>844079</v>
      </c>
      <c r="R550" s="2212" t="e">
        <f>IF('Report-M&amp;O2021'!C$18-'Report-SOF2021'!D$55&lt;=0,0,'Report-M&amp;O2021'!C$18-'Report-SOF2021'!D$55)</f>
        <v>#DIV/0!</v>
      </c>
      <c r="S550" s="2452" t="e">
        <f t="shared" si="102"/>
        <v>#DIV/0!</v>
      </c>
      <c r="T550" s="1708">
        <f>IF(A550='Data Entry - SOF'!B$2,'Data Entry - SOF'!K$64,0)</f>
        <v>0</v>
      </c>
      <c r="U550" s="1687">
        <f t="shared" si="106"/>
        <v>844079</v>
      </c>
      <c r="V550" s="2212" t="e">
        <f>IF('Report-M&amp;O2122'!C$18-'Report-SOF2122'!D$55&lt;=0,0,'Report-M&amp;O2122'!C$18-'Report-SOF2122'!D$55)</f>
        <v>#DIV/0!</v>
      </c>
      <c r="W550" s="2452" t="e">
        <f t="shared" si="103"/>
        <v>#DIV/0!</v>
      </c>
      <c r="X550" s="1708">
        <f>IF(A550='Data Entry - SOF'!B$2,'Data Entry - SOF'!M$64,0)</f>
        <v>0</v>
      </c>
      <c r="Y550" s="1371" t="e">
        <f t="shared" si="104"/>
        <v>#DIV/0!</v>
      </c>
      <c r="Z550" s="2212" t="e">
        <f>IF('Report-M&amp;O2223'!C$18-'Report-SOF2223'!D$55&lt;=0,0,'Report-M&amp;O2223'!C$18-'Report-SOF2223'!D$55)</f>
        <v>#DIV/0!</v>
      </c>
      <c r="AA550" s="1708">
        <f>IF(A550='Data Entry - SOF'!B$2,'Data Entry - SOF'!O$64,0)</f>
        <v>0</v>
      </c>
    </row>
    <row r="551" spans="1:27" ht="15.75">
      <c r="A551" s="1076" t="s">
        <v>2870</v>
      </c>
      <c r="B551">
        <v>514783</v>
      </c>
      <c r="C551" s="2452" t="e">
        <f>#REF!+#REF!</f>
        <v>#REF!</v>
      </c>
      <c r="D551" s="2449">
        <f>IF(A551='Data Entry - SOF'!B$2,'Data Entry - SOF'!C$64,0)</f>
        <v>0</v>
      </c>
      <c r="E551" s="2450">
        <f t="shared" si="105"/>
        <v>514783</v>
      </c>
      <c r="F551" s="2212" t="e">
        <f>IF('Report-M&amp;O1718'!C$18-'Report-SOF1718'!D$55&lt;=0,0,'Report-M&amp;O1718'!C$18-'Report-SOF1718'!D$55)</f>
        <v>#DIV/0!</v>
      </c>
      <c r="G551" s="2452" t="e">
        <f t="shared" si="97"/>
        <v>#DIV/0!</v>
      </c>
      <c r="H551" s="2449">
        <f>IF(A551='Data Entry - SOF'!B$2,'Data Entry - SOF'!E$64,0)</f>
        <v>0</v>
      </c>
      <c r="I551" s="1687">
        <f t="shared" si="98"/>
        <v>514783</v>
      </c>
      <c r="J551" s="2212" t="e">
        <f>IF('Report-M&amp;O1819'!C$18-'Report-SOF1819'!D$55&lt;=0,0,'Report-M&amp;O1819'!C$18-'Report-SOF1819'!D$55)</f>
        <v>#DIV/0!</v>
      </c>
      <c r="K551" s="2452" t="e">
        <f t="shared" si="99"/>
        <v>#DIV/0!</v>
      </c>
      <c r="L551" s="2449">
        <f>IF(A551='Data Entry - SOF'!B$2,'Data Entry - SOF'!G$64,0)</f>
        <v>0</v>
      </c>
      <c r="M551" s="1371">
        <f t="shared" si="100"/>
        <v>514783</v>
      </c>
      <c r="N551" s="2212" t="e">
        <f>IF('Report-M&amp;O1920'!C$18-'Report-SOF1920'!D$55&lt;=0,0,'Report-M&amp;O1920'!C$18-'Report-SOF1920'!D$55)</f>
        <v>#DIV/0!</v>
      </c>
      <c r="O551" s="2452" t="e">
        <f t="shared" si="101"/>
        <v>#DIV/0!</v>
      </c>
      <c r="P551" s="2449">
        <f>IF(A551='Data Entry - SOF'!B$2,'Data Entry - SOF'!I$64,0)</f>
        <v>0</v>
      </c>
      <c r="Q551" s="1687">
        <f t="shared" si="96"/>
        <v>514783</v>
      </c>
      <c r="R551" s="2212" t="e">
        <f>IF('Report-M&amp;O2021'!C$18-'Report-SOF2021'!D$55&lt;=0,0,'Report-M&amp;O2021'!C$18-'Report-SOF2021'!D$55)</f>
        <v>#DIV/0!</v>
      </c>
      <c r="S551" s="2452" t="e">
        <f t="shared" si="102"/>
        <v>#DIV/0!</v>
      </c>
      <c r="T551" s="1708">
        <f>IF(A551='Data Entry - SOF'!B$2,'Data Entry - SOF'!K$64,0)</f>
        <v>0</v>
      </c>
      <c r="U551" s="1687">
        <f t="shared" si="106"/>
        <v>514783</v>
      </c>
      <c r="V551" s="2212" t="e">
        <f>IF('Report-M&amp;O2122'!C$18-'Report-SOF2122'!D$55&lt;=0,0,'Report-M&amp;O2122'!C$18-'Report-SOF2122'!D$55)</f>
        <v>#DIV/0!</v>
      </c>
      <c r="W551" s="2452" t="e">
        <f t="shared" si="103"/>
        <v>#DIV/0!</v>
      </c>
      <c r="X551" s="1708">
        <f>IF(A551='Data Entry - SOF'!B$2,'Data Entry - SOF'!M$64,0)</f>
        <v>0</v>
      </c>
      <c r="Y551" s="1371" t="e">
        <f t="shared" si="104"/>
        <v>#DIV/0!</v>
      </c>
      <c r="Z551" s="2212" t="e">
        <f>IF('Report-M&amp;O2223'!C$18-'Report-SOF2223'!D$55&lt;=0,0,'Report-M&amp;O2223'!C$18-'Report-SOF2223'!D$55)</f>
        <v>#DIV/0!</v>
      </c>
      <c r="AA551" s="1708">
        <f>IF(A551='Data Entry - SOF'!B$2,'Data Entry - SOF'!O$64,0)</f>
        <v>0</v>
      </c>
    </row>
    <row r="552" spans="1:27" ht="15.75">
      <c r="A552" s="1076" t="s">
        <v>288</v>
      </c>
      <c r="B552">
        <v>926372</v>
      </c>
      <c r="C552" s="2452" t="e">
        <f>#REF!+#REF!</f>
        <v>#REF!</v>
      </c>
      <c r="D552" s="2449">
        <f>IF(A552='Data Entry - SOF'!B$2,'Data Entry - SOF'!C$64,0)</f>
        <v>0</v>
      </c>
      <c r="E552" s="2450">
        <f t="shared" si="105"/>
        <v>926372</v>
      </c>
      <c r="F552" s="2212" t="e">
        <f>IF('Report-M&amp;O1718'!C$18-'Report-SOF1718'!D$55&lt;=0,0,'Report-M&amp;O1718'!C$18-'Report-SOF1718'!D$55)</f>
        <v>#DIV/0!</v>
      </c>
      <c r="G552" s="2452" t="e">
        <f t="shared" si="97"/>
        <v>#DIV/0!</v>
      </c>
      <c r="H552" s="2449">
        <f>IF(A552='Data Entry - SOF'!B$2,'Data Entry - SOF'!E$64,0)</f>
        <v>0</v>
      </c>
      <c r="I552" s="1687">
        <f t="shared" si="98"/>
        <v>926372</v>
      </c>
      <c r="J552" s="2212" t="e">
        <f>IF('Report-M&amp;O1819'!C$18-'Report-SOF1819'!D$55&lt;=0,0,'Report-M&amp;O1819'!C$18-'Report-SOF1819'!D$55)</f>
        <v>#DIV/0!</v>
      </c>
      <c r="K552" s="2452" t="e">
        <f t="shared" si="99"/>
        <v>#DIV/0!</v>
      </c>
      <c r="L552" s="2449">
        <f>IF(A552='Data Entry - SOF'!B$2,'Data Entry - SOF'!G$64,0)</f>
        <v>0</v>
      </c>
      <c r="M552" s="1371">
        <f t="shared" si="100"/>
        <v>926372</v>
      </c>
      <c r="N552" s="2212" t="e">
        <f>IF('Report-M&amp;O1920'!C$18-'Report-SOF1920'!D$55&lt;=0,0,'Report-M&amp;O1920'!C$18-'Report-SOF1920'!D$55)</f>
        <v>#DIV/0!</v>
      </c>
      <c r="O552" s="2452" t="e">
        <f t="shared" si="101"/>
        <v>#DIV/0!</v>
      </c>
      <c r="P552" s="2449">
        <f>IF(A552='Data Entry - SOF'!B$2,'Data Entry - SOF'!I$64,0)</f>
        <v>0</v>
      </c>
      <c r="Q552" s="1687">
        <f t="shared" si="96"/>
        <v>926372</v>
      </c>
      <c r="R552" s="2212" t="e">
        <f>IF('Report-M&amp;O2021'!C$18-'Report-SOF2021'!D$55&lt;=0,0,'Report-M&amp;O2021'!C$18-'Report-SOF2021'!D$55)</f>
        <v>#DIV/0!</v>
      </c>
      <c r="S552" s="2452" t="e">
        <f t="shared" si="102"/>
        <v>#DIV/0!</v>
      </c>
      <c r="T552" s="1708">
        <f>IF(A552='Data Entry - SOF'!B$2,'Data Entry - SOF'!K$64,0)</f>
        <v>0</v>
      </c>
      <c r="U552" s="1687">
        <f t="shared" si="106"/>
        <v>926372</v>
      </c>
      <c r="V552" s="2212" t="e">
        <f>IF('Report-M&amp;O2122'!C$18-'Report-SOF2122'!D$55&lt;=0,0,'Report-M&amp;O2122'!C$18-'Report-SOF2122'!D$55)</f>
        <v>#DIV/0!</v>
      </c>
      <c r="W552" s="2452" t="e">
        <f t="shared" si="103"/>
        <v>#DIV/0!</v>
      </c>
      <c r="X552" s="1708">
        <f>IF(A552='Data Entry - SOF'!B$2,'Data Entry - SOF'!M$64,0)</f>
        <v>0</v>
      </c>
      <c r="Y552" s="1371" t="e">
        <f t="shared" si="104"/>
        <v>#DIV/0!</v>
      </c>
      <c r="Z552" s="2212" t="e">
        <f>IF('Report-M&amp;O2223'!C$18-'Report-SOF2223'!D$55&lt;=0,0,'Report-M&amp;O2223'!C$18-'Report-SOF2223'!D$55)</f>
        <v>#DIV/0!</v>
      </c>
      <c r="AA552" s="1708">
        <f>IF(A552='Data Entry - SOF'!B$2,'Data Entry - SOF'!O$64,0)</f>
        <v>0</v>
      </c>
    </row>
    <row r="553" spans="1:27" ht="15.75">
      <c r="A553" s="1076" t="s">
        <v>54</v>
      </c>
      <c r="B553">
        <v>39006318</v>
      </c>
      <c r="C553" s="2452" t="e">
        <f>#REF!+#REF!</f>
        <v>#REF!</v>
      </c>
      <c r="D553" s="2449">
        <f>IF(A553='Data Entry - SOF'!B$2,'Data Entry - SOF'!C$64,0)</f>
        <v>0</v>
      </c>
      <c r="E553" s="2450">
        <f t="shared" si="105"/>
        <v>39006318</v>
      </c>
      <c r="F553" s="2212" t="e">
        <f>IF('Report-M&amp;O1718'!C$18-'Report-SOF1718'!D$55&lt;=0,0,'Report-M&amp;O1718'!C$18-'Report-SOF1718'!D$55)</f>
        <v>#DIV/0!</v>
      </c>
      <c r="G553" s="2452" t="e">
        <f t="shared" si="97"/>
        <v>#DIV/0!</v>
      </c>
      <c r="H553" s="2449">
        <f>IF(A553='Data Entry - SOF'!B$2,'Data Entry - SOF'!E$64,0)</f>
        <v>0</v>
      </c>
      <c r="I553" s="1687">
        <f t="shared" si="98"/>
        <v>39006318</v>
      </c>
      <c r="J553" s="2212" t="e">
        <f>IF('Report-M&amp;O1819'!C$18-'Report-SOF1819'!D$55&lt;=0,0,'Report-M&amp;O1819'!C$18-'Report-SOF1819'!D$55)</f>
        <v>#DIV/0!</v>
      </c>
      <c r="K553" s="2452" t="e">
        <f t="shared" si="99"/>
        <v>#DIV/0!</v>
      </c>
      <c r="L553" s="2449">
        <f>IF(A553='Data Entry - SOF'!B$2,'Data Entry - SOF'!G$64,0)</f>
        <v>0</v>
      </c>
      <c r="M553" s="1371">
        <f t="shared" si="100"/>
        <v>39006318</v>
      </c>
      <c r="N553" s="2212" t="e">
        <f>IF('Report-M&amp;O1920'!C$18-'Report-SOF1920'!D$55&lt;=0,0,'Report-M&amp;O1920'!C$18-'Report-SOF1920'!D$55)</f>
        <v>#DIV/0!</v>
      </c>
      <c r="O553" s="2452" t="e">
        <f t="shared" si="101"/>
        <v>#DIV/0!</v>
      </c>
      <c r="P553" s="2449">
        <f>IF(A553='Data Entry - SOF'!B$2,'Data Entry - SOF'!I$64,0)</f>
        <v>0</v>
      </c>
      <c r="Q553" s="1687">
        <f t="shared" si="96"/>
        <v>39006318</v>
      </c>
      <c r="R553" s="2212" t="e">
        <f>IF('Report-M&amp;O2021'!C$18-'Report-SOF2021'!D$55&lt;=0,0,'Report-M&amp;O2021'!C$18-'Report-SOF2021'!D$55)</f>
        <v>#DIV/0!</v>
      </c>
      <c r="S553" s="2452" t="e">
        <f t="shared" si="102"/>
        <v>#DIV/0!</v>
      </c>
      <c r="T553" s="1708">
        <f>IF(A553='Data Entry - SOF'!B$2,'Data Entry - SOF'!K$64,0)</f>
        <v>0</v>
      </c>
      <c r="U553" s="1687">
        <f t="shared" si="106"/>
        <v>39006318</v>
      </c>
      <c r="V553" s="2212" t="e">
        <f>IF('Report-M&amp;O2122'!C$18-'Report-SOF2122'!D$55&lt;=0,0,'Report-M&amp;O2122'!C$18-'Report-SOF2122'!D$55)</f>
        <v>#DIV/0!</v>
      </c>
      <c r="W553" s="2452" t="e">
        <f t="shared" si="103"/>
        <v>#DIV/0!</v>
      </c>
      <c r="X553" s="1708">
        <f>IF(A553='Data Entry - SOF'!B$2,'Data Entry - SOF'!M$64,0)</f>
        <v>0</v>
      </c>
      <c r="Y553" s="1371" t="e">
        <f t="shared" si="104"/>
        <v>#DIV/0!</v>
      </c>
      <c r="Z553" s="2212" t="e">
        <f>IF('Report-M&amp;O2223'!C$18-'Report-SOF2223'!D$55&lt;=0,0,'Report-M&amp;O2223'!C$18-'Report-SOF2223'!D$55)</f>
        <v>#DIV/0!</v>
      </c>
      <c r="AA553" s="1708">
        <f>IF(A553='Data Entry - SOF'!B$2,'Data Entry - SOF'!O$64,0)</f>
        <v>0</v>
      </c>
    </row>
    <row r="554" spans="1:27" ht="15.75">
      <c r="A554" s="1076" t="s">
        <v>2871</v>
      </c>
      <c r="B554">
        <v>19588999</v>
      </c>
      <c r="C554" s="2452" t="e">
        <f>#REF!+#REF!</f>
        <v>#REF!</v>
      </c>
      <c r="D554" s="2449">
        <f>IF(A554='Data Entry - SOF'!B$2,'Data Entry - SOF'!C$64,0)</f>
        <v>0</v>
      </c>
      <c r="E554" s="2450">
        <f t="shared" si="105"/>
        <v>19588999</v>
      </c>
      <c r="F554" s="2212" t="e">
        <f>IF('Report-M&amp;O1718'!C$18-'Report-SOF1718'!D$55&lt;=0,0,'Report-M&amp;O1718'!C$18-'Report-SOF1718'!D$55)</f>
        <v>#DIV/0!</v>
      </c>
      <c r="G554" s="2452" t="e">
        <f t="shared" si="97"/>
        <v>#DIV/0!</v>
      </c>
      <c r="H554" s="2449">
        <f>IF(A554='Data Entry - SOF'!B$2,'Data Entry - SOF'!E$64,0)</f>
        <v>0</v>
      </c>
      <c r="I554" s="1687">
        <f t="shared" si="98"/>
        <v>19588999</v>
      </c>
      <c r="J554" s="2212" t="e">
        <f>IF('Report-M&amp;O1819'!C$18-'Report-SOF1819'!D$55&lt;=0,0,'Report-M&amp;O1819'!C$18-'Report-SOF1819'!D$55)</f>
        <v>#DIV/0!</v>
      </c>
      <c r="K554" s="2452" t="e">
        <f t="shared" si="99"/>
        <v>#DIV/0!</v>
      </c>
      <c r="L554" s="2449">
        <f>IF(A554='Data Entry - SOF'!B$2,'Data Entry - SOF'!G$64,0)</f>
        <v>0</v>
      </c>
      <c r="M554" s="1371">
        <f t="shared" si="100"/>
        <v>19588999</v>
      </c>
      <c r="N554" s="2212" t="e">
        <f>IF('Report-M&amp;O1920'!C$18-'Report-SOF1920'!D$55&lt;=0,0,'Report-M&amp;O1920'!C$18-'Report-SOF1920'!D$55)</f>
        <v>#DIV/0!</v>
      </c>
      <c r="O554" s="2452" t="e">
        <f t="shared" si="101"/>
        <v>#DIV/0!</v>
      </c>
      <c r="P554" s="2449">
        <f>IF(A554='Data Entry - SOF'!B$2,'Data Entry - SOF'!I$64,0)</f>
        <v>0</v>
      </c>
      <c r="Q554" s="1687">
        <f t="shared" si="96"/>
        <v>19588999</v>
      </c>
      <c r="R554" s="2212" t="e">
        <f>IF('Report-M&amp;O2021'!C$18-'Report-SOF2021'!D$55&lt;=0,0,'Report-M&amp;O2021'!C$18-'Report-SOF2021'!D$55)</f>
        <v>#DIV/0!</v>
      </c>
      <c r="S554" s="2452" t="e">
        <f t="shared" si="102"/>
        <v>#DIV/0!</v>
      </c>
      <c r="T554" s="1708">
        <f>IF(A554='Data Entry - SOF'!B$2,'Data Entry - SOF'!K$64,0)</f>
        <v>0</v>
      </c>
      <c r="U554" s="1687">
        <f t="shared" si="106"/>
        <v>19588999</v>
      </c>
      <c r="V554" s="2212" t="e">
        <f>IF('Report-M&amp;O2122'!C$18-'Report-SOF2122'!D$55&lt;=0,0,'Report-M&amp;O2122'!C$18-'Report-SOF2122'!D$55)</f>
        <v>#DIV/0!</v>
      </c>
      <c r="W554" s="2452" t="e">
        <f t="shared" si="103"/>
        <v>#DIV/0!</v>
      </c>
      <c r="X554" s="1708">
        <f>IF(A554='Data Entry - SOF'!B$2,'Data Entry - SOF'!M$64,0)</f>
        <v>0</v>
      </c>
      <c r="Y554" s="1371" t="e">
        <f t="shared" si="104"/>
        <v>#DIV/0!</v>
      </c>
      <c r="Z554" s="2212" t="e">
        <f>IF('Report-M&amp;O2223'!C$18-'Report-SOF2223'!D$55&lt;=0,0,'Report-M&amp;O2223'!C$18-'Report-SOF2223'!D$55)</f>
        <v>#DIV/0!</v>
      </c>
      <c r="AA554" s="1708">
        <f>IF(A554='Data Entry - SOF'!B$2,'Data Entry - SOF'!O$64,0)</f>
        <v>0</v>
      </c>
    </row>
    <row r="555" spans="1:27" ht="15.75">
      <c r="A555" s="1076" t="s">
        <v>1317</v>
      </c>
      <c r="B555">
        <v>14109838.389703199</v>
      </c>
      <c r="C555" s="2452" t="e">
        <f>#REF!+#REF!</f>
        <v>#REF!</v>
      </c>
      <c r="D555" s="2449">
        <f>IF(A555='Data Entry - SOF'!B$2,'Data Entry - SOF'!C$64,0)</f>
        <v>0</v>
      </c>
      <c r="E555" s="2450">
        <f t="shared" si="105"/>
        <v>14109838.389703199</v>
      </c>
      <c r="F555" s="2212" t="e">
        <f>IF('Report-M&amp;O1718'!C$18-'Report-SOF1718'!D$55&lt;=0,0,'Report-M&amp;O1718'!C$18-'Report-SOF1718'!D$55)</f>
        <v>#DIV/0!</v>
      </c>
      <c r="G555" s="2452" t="e">
        <f t="shared" si="97"/>
        <v>#DIV/0!</v>
      </c>
      <c r="H555" s="2449">
        <f>IF(A555='Data Entry - SOF'!B$2,'Data Entry - SOF'!E$64,0)</f>
        <v>0</v>
      </c>
      <c r="I555" s="1687">
        <f t="shared" si="98"/>
        <v>14109838.389703199</v>
      </c>
      <c r="J555" s="2212" t="e">
        <f>IF('Report-M&amp;O1819'!C$18-'Report-SOF1819'!D$55&lt;=0,0,'Report-M&amp;O1819'!C$18-'Report-SOF1819'!D$55)</f>
        <v>#DIV/0!</v>
      </c>
      <c r="K555" s="2452" t="e">
        <f t="shared" si="99"/>
        <v>#DIV/0!</v>
      </c>
      <c r="L555" s="2449">
        <f>IF(A555='Data Entry - SOF'!B$2,'Data Entry - SOF'!G$64,0)</f>
        <v>0</v>
      </c>
      <c r="M555" s="1371">
        <f t="shared" si="100"/>
        <v>14109838.389703199</v>
      </c>
      <c r="N555" s="2212" t="e">
        <f>IF('Report-M&amp;O1920'!C$18-'Report-SOF1920'!D$55&lt;=0,0,'Report-M&amp;O1920'!C$18-'Report-SOF1920'!D$55)</f>
        <v>#DIV/0!</v>
      </c>
      <c r="O555" s="2452" t="e">
        <f t="shared" si="101"/>
        <v>#DIV/0!</v>
      </c>
      <c r="P555" s="2449">
        <f>IF(A555='Data Entry - SOF'!B$2,'Data Entry - SOF'!I$64,0)</f>
        <v>0</v>
      </c>
      <c r="Q555" s="1687">
        <f t="shared" si="96"/>
        <v>14109838.389703199</v>
      </c>
      <c r="R555" s="2212" t="e">
        <f>IF('Report-M&amp;O2021'!C$18-'Report-SOF2021'!D$55&lt;=0,0,'Report-M&amp;O2021'!C$18-'Report-SOF2021'!D$55)</f>
        <v>#DIV/0!</v>
      </c>
      <c r="S555" s="2452" t="e">
        <f t="shared" si="102"/>
        <v>#DIV/0!</v>
      </c>
      <c r="T555" s="1708">
        <f>IF(A555='Data Entry - SOF'!B$2,'Data Entry - SOF'!K$64,0)</f>
        <v>0</v>
      </c>
      <c r="U555" s="1687">
        <f t="shared" si="106"/>
        <v>14109838.389703199</v>
      </c>
      <c r="V555" s="2212" t="e">
        <f>IF('Report-M&amp;O2122'!C$18-'Report-SOF2122'!D$55&lt;=0,0,'Report-M&amp;O2122'!C$18-'Report-SOF2122'!D$55)</f>
        <v>#DIV/0!</v>
      </c>
      <c r="W555" s="2452" t="e">
        <f t="shared" si="103"/>
        <v>#DIV/0!</v>
      </c>
      <c r="X555" s="1708">
        <f>IF(A555='Data Entry - SOF'!B$2,'Data Entry - SOF'!M$64,0)</f>
        <v>0</v>
      </c>
      <c r="Y555" s="1371" t="e">
        <f t="shared" si="104"/>
        <v>#DIV/0!</v>
      </c>
      <c r="Z555" s="2212" t="e">
        <f>IF('Report-M&amp;O2223'!C$18-'Report-SOF2223'!D$55&lt;=0,0,'Report-M&amp;O2223'!C$18-'Report-SOF2223'!D$55)</f>
        <v>#DIV/0!</v>
      </c>
      <c r="AA555" s="1708">
        <f>IF(A555='Data Entry - SOF'!B$2,'Data Entry - SOF'!O$64,0)</f>
        <v>0</v>
      </c>
    </row>
    <row r="556" spans="1:27" ht="15.75">
      <c r="A556" s="1076" t="s">
        <v>1899</v>
      </c>
      <c r="B556">
        <v>17525294.421935599</v>
      </c>
      <c r="C556" s="2452" t="e">
        <f>#REF!+#REF!</f>
        <v>#REF!</v>
      </c>
      <c r="D556" s="2449">
        <f>IF(A556='Data Entry - SOF'!B$2,'Data Entry - SOF'!C$64,0)</f>
        <v>0</v>
      </c>
      <c r="E556" s="2450">
        <f t="shared" si="105"/>
        <v>17525294.421935599</v>
      </c>
      <c r="F556" s="2212" t="e">
        <f>IF('Report-M&amp;O1718'!C$18-'Report-SOF1718'!D$55&lt;=0,0,'Report-M&amp;O1718'!C$18-'Report-SOF1718'!D$55)</f>
        <v>#DIV/0!</v>
      </c>
      <c r="G556" s="2452" t="e">
        <f t="shared" si="97"/>
        <v>#DIV/0!</v>
      </c>
      <c r="H556" s="2449">
        <f>IF(A556='Data Entry - SOF'!B$2,'Data Entry - SOF'!E$64,0)</f>
        <v>0</v>
      </c>
      <c r="I556" s="1687">
        <f t="shared" si="98"/>
        <v>17525294.421935599</v>
      </c>
      <c r="J556" s="2212" t="e">
        <f>IF('Report-M&amp;O1819'!C$18-'Report-SOF1819'!D$55&lt;=0,0,'Report-M&amp;O1819'!C$18-'Report-SOF1819'!D$55)</f>
        <v>#DIV/0!</v>
      </c>
      <c r="K556" s="2452" t="e">
        <f t="shared" si="99"/>
        <v>#DIV/0!</v>
      </c>
      <c r="L556" s="2449">
        <f>IF(A556='Data Entry - SOF'!B$2,'Data Entry - SOF'!G$64,0)</f>
        <v>0</v>
      </c>
      <c r="M556" s="1371">
        <f t="shared" si="100"/>
        <v>17525294.421935599</v>
      </c>
      <c r="N556" s="2212" t="e">
        <f>IF('Report-M&amp;O1920'!C$18-'Report-SOF1920'!D$55&lt;=0,0,'Report-M&amp;O1920'!C$18-'Report-SOF1920'!D$55)</f>
        <v>#DIV/0!</v>
      </c>
      <c r="O556" s="2452" t="e">
        <f t="shared" si="101"/>
        <v>#DIV/0!</v>
      </c>
      <c r="P556" s="2449">
        <f>IF(A556='Data Entry - SOF'!B$2,'Data Entry - SOF'!I$64,0)</f>
        <v>0</v>
      </c>
      <c r="Q556" s="1687">
        <f t="shared" si="96"/>
        <v>17525294.421935599</v>
      </c>
      <c r="R556" s="2212" t="e">
        <f>IF('Report-M&amp;O2021'!C$18-'Report-SOF2021'!D$55&lt;=0,0,'Report-M&amp;O2021'!C$18-'Report-SOF2021'!D$55)</f>
        <v>#DIV/0!</v>
      </c>
      <c r="S556" s="2452" t="e">
        <f t="shared" si="102"/>
        <v>#DIV/0!</v>
      </c>
      <c r="T556" s="1708">
        <f>IF(A556='Data Entry - SOF'!B$2,'Data Entry - SOF'!K$64,0)</f>
        <v>0</v>
      </c>
      <c r="U556" s="1687">
        <f t="shared" si="106"/>
        <v>17525294.421935599</v>
      </c>
      <c r="V556" s="2212" t="e">
        <f>IF('Report-M&amp;O2122'!C$18-'Report-SOF2122'!D$55&lt;=0,0,'Report-M&amp;O2122'!C$18-'Report-SOF2122'!D$55)</f>
        <v>#DIV/0!</v>
      </c>
      <c r="W556" s="2452" t="e">
        <f t="shared" si="103"/>
        <v>#DIV/0!</v>
      </c>
      <c r="X556" s="1708">
        <f>IF(A556='Data Entry - SOF'!B$2,'Data Entry - SOF'!M$64,0)</f>
        <v>0</v>
      </c>
      <c r="Y556" s="1371" t="e">
        <f t="shared" si="104"/>
        <v>#DIV/0!</v>
      </c>
      <c r="Z556" s="2212" t="e">
        <f>IF('Report-M&amp;O2223'!C$18-'Report-SOF2223'!D$55&lt;=0,0,'Report-M&amp;O2223'!C$18-'Report-SOF2223'!D$55)</f>
        <v>#DIV/0!</v>
      </c>
      <c r="AA556" s="1708">
        <f>IF(A556='Data Entry - SOF'!B$2,'Data Entry - SOF'!O$64,0)</f>
        <v>0</v>
      </c>
    </row>
    <row r="557" spans="1:27" ht="15.75">
      <c r="A557" s="1076" t="s">
        <v>2757</v>
      </c>
      <c r="B557">
        <v>10772821</v>
      </c>
      <c r="C557" s="2452" t="e">
        <f>#REF!+#REF!</f>
        <v>#REF!</v>
      </c>
      <c r="D557" s="2449">
        <f>IF(A557='Data Entry - SOF'!B$2,'Data Entry - SOF'!C$64,0)</f>
        <v>0</v>
      </c>
      <c r="E557" s="2450">
        <f t="shared" si="105"/>
        <v>10772821</v>
      </c>
      <c r="F557" s="2212" t="e">
        <f>IF('Report-M&amp;O1718'!C$18-'Report-SOF1718'!D$55&lt;=0,0,'Report-M&amp;O1718'!C$18-'Report-SOF1718'!D$55)</f>
        <v>#DIV/0!</v>
      </c>
      <c r="G557" s="2452" t="e">
        <f t="shared" si="97"/>
        <v>#DIV/0!</v>
      </c>
      <c r="H557" s="2449">
        <f>IF(A557='Data Entry - SOF'!B$2,'Data Entry - SOF'!E$64,0)</f>
        <v>0</v>
      </c>
      <c r="I557" s="1687">
        <f t="shared" si="98"/>
        <v>10772821</v>
      </c>
      <c r="J557" s="2212" t="e">
        <f>IF('Report-M&amp;O1819'!C$18-'Report-SOF1819'!D$55&lt;=0,0,'Report-M&amp;O1819'!C$18-'Report-SOF1819'!D$55)</f>
        <v>#DIV/0!</v>
      </c>
      <c r="K557" s="2452" t="e">
        <f t="shared" si="99"/>
        <v>#DIV/0!</v>
      </c>
      <c r="L557" s="2449">
        <f>IF(A557='Data Entry - SOF'!B$2,'Data Entry - SOF'!G$64,0)</f>
        <v>0</v>
      </c>
      <c r="M557" s="1371">
        <f t="shared" si="100"/>
        <v>10772821</v>
      </c>
      <c r="N557" s="2212" t="e">
        <f>IF('Report-M&amp;O1920'!C$18-'Report-SOF1920'!D$55&lt;=0,0,'Report-M&amp;O1920'!C$18-'Report-SOF1920'!D$55)</f>
        <v>#DIV/0!</v>
      </c>
      <c r="O557" s="2452" t="e">
        <f t="shared" si="101"/>
        <v>#DIV/0!</v>
      </c>
      <c r="P557" s="2449">
        <f>IF(A557='Data Entry - SOF'!B$2,'Data Entry - SOF'!I$64,0)</f>
        <v>0</v>
      </c>
      <c r="Q557" s="1687">
        <f t="shared" si="96"/>
        <v>10772821</v>
      </c>
      <c r="R557" s="2212" t="e">
        <f>IF('Report-M&amp;O2021'!C$18-'Report-SOF2021'!D$55&lt;=0,0,'Report-M&amp;O2021'!C$18-'Report-SOF2021'!D$55)</f>
        <v>#DIV/0!</v>
      </c>
      <c r="S557" s="2452" t="e">
        <f t="shared" si="102"/>
        <v>#DIV/0!</v>
      </c>
      <c r="T557" s="1708">
        <f>IF(A557='Data Entry - SOF'!B$2,'Data Entry - SOF'!K$64,0)</f>
        <v>0</v>
      </c>
      <c r="U557" s="1687">
        <f t="shared" si="106"/>
        <v>10772821</v>
      </c>
      <c r="V557" s="2212" t="e">
        <f>IF('Report-M&amp;O2122'!C$18-'Report-SOF2122'!D$55&lt;=0,0,'Report-M&amp;O2122'!C$18-'Report-SOF2122'!D$55)</f>
        <v>#DIV/0!</v>
      </c>
      <c r="W557" s="2452" t="e">
        <f t="shared" si="103"/>
        <v>#DIV/0!</v>
      </c>
      <c r="X557" s="1708">
        <f>IF(A557='Data Entry - SOF'!B$2,'Data Entry - SOF'!M$64,0)</f>
        <v>0</v>
      </c>
      <c r="Y557" s="1371" t="e">
        <f t="shared" si="104"/>
        <v>#DIV/0!</v>
      </c>
      <c r="Z557" s="2212" t="e">
        <f>IF('Report-M&amp;O2223'!C$18-'Report-SOF2223'!D$55&lt;=0,0,'Report-M&amp;O2223'!C$18-'Report-SOF2223'!D$55)</f>
        <v>#DIV/0!</v>
      </c>
      <c r="AA557" s="1708">
        <f>IF(A557='Data Entry - SOF'!B$2,'Data Entry - SOF'!O$64,0)</f>
        <v>0</v>
      </c>
    </row>
    <row r="558" spans="1:27" ht="15.75">
      <c r="A558" s="1076" t="s">
        <v>1515</v>
      </c>
      <c r="B558">
        <v>40690063</v>
      </c>
      <c r="C558" s="2452" t="e">
        <f>#REF!+#REF!</f>
        <v>#REF!</v>
      </c>
      <c r="D558" s="2449">
        <f>IF(A558='Data Entry - SOF'!B$2,'Data Entry - SOF'!C$64,0)</f>
        <v>0</v>
      </c>
      <c r="E558" s="2450">
        <f t="shared" si="105"/>
        <v>40690063</v>
      </c>
      <c r="F558" s="2212" t="e">
        <f>IF('Report-M&amp;O1718'!C$18-'Report-SOF1718'!D$55&lt;=0,0,'Report-M&amp;O1718'!C$18-'Report-SOF1718'!D$55)</f>
        <v>#DIV/0!</v>
      </c>
      <c r="G558" s="2452" t="e">
        <f t="shared" si="97"/>
        <v>#DIV/0!</v>
      </c>
      <c r="H558" s="2449">
        <f>IF(A558='Data Entry - SOF'!B$2,'Data Entry - SOF'!E$64,0)</f>
        <v>0</v>
      </c>
      <c r="I558" s="1687">
        <f t="shared" si="98"/>
        <v>40690063</v>
      </c>
      <c r="J558" s="2212" t="e">
        <f>IF('Report-M&amp;O1819'!C$18-'Report-SOF1819'!D$55&lt;=0,0,'Report-M&amp;O1819'!C$18-'Report-SOF1819'!D$55)</f>
        <v>#DIV/0!</v>
      </c>
      <c r="K558" s="2452" t="e">
        <f t="shared" si="99"/>
        <v>#DIV/0!</v>
      </c>
      <c r="L558" s="2449">
        <f>IF(A558='Data Entry - SOF'!B$2,'Data Entry - SOF'!G$64,0)</f>
        <v>0</v>
      </c>
      <c r="M558" s="1371">
        <f t="shared" si="100"/>
        <v>40690063</v>
      </c>
      <c r="N558" s="2212" t="e">
        <f>IF('Report-M&amp;O1920'!C$18-'Report-SOF1920'!D$55&lt;=0,0,'Report-M&amp;O1920'!C$18-'Report-SOF1920'!D$55)</f>
        <v>#DIV/0!</v>
      </c>
      <c r="O558" s="2452" t="e">
        <f t="shared" si="101"/>
        <v>#DIV/0!</v>
      </c>
      <c r="P558" s="2449">
        <f>IF(A558='Data Entry - SOF'!B$2,'Data Entry - SOF'!I$64,0)</f>
        <v>0</v>
      </c>
      <c r="Q558" s="1687">
        <f t="shared" si="96"/>
        <v>40690063</v>
      </c>
      <c r="R558" s="2212" t="e">
        <f>IF('Report-M&amp;O2021'!C$18-'Report-SOF2021'!D$55&lt;=0,0,'Report-M&amp;O2021'!C$18-'Report-SOF2021'!D$55)</f>
        <v>#DIV/0!</v>
      </c>
      <c r="S558" s="2452" t="e">
        <f t="shared" si="102"/>
        <v>#DIV/0!</v>
      </c>
      <c r="T558" s="1708">
        <f>IF(A558='Data Entry - SOF'!B$2,'Data Entry - SOF'!K$64,0)</f>
        <v>0</v>
      </c>
      <c r="U558" s="1687">
        <f t="shared" si="106"/>
        <v>40690063</v>
      </c>
      <c r="V558" s="2212" t="e">
        <f>IF('Report-M&amp;O2122'!C$18-'Report-SOF2122'!D$55&lt;=0,0,'Report-M&amp;O2122'!C$18-'Report-SOF2122'!D$55)</f>
        <v>#DIV/0!</v>
      </c>
      <c r="W558" s="2452" t="e">
        <f t="shared" si="103"/>
        <v>#DIV/0!</v>
      </c>
      <c r="X558" s="1708">
        <f>IF(A558='Data Entry - SOF'!B$2,'Data Entry - SOF'!M$64,0)</f>
        <v>0</v>
      </c>
      <c r="Y558" s="1371" t="e">
        <f t="shared" si="104"/>
        <v>#DIV/0!</v>
      </c>
      <c r="Z558" s="2212" t="e">
        <f>IF('Report-M&amp;O2223'!C$18-'Report-SOF2223'!D$55&lt;=0,0,'Report-M&amp;O2223'!C$18-'Report-SOF2223'!D$55)</f>
        <v>#DIV/0!</v>
      </c>
      <c r="AA558" s="1708">
        <f>IF(A558='Data Entry - SOF'!B$2,'Data Entry - SOF'!O$64,0)</f>
        <v>0</v>
      </c>
    </row>
    <row r="559" spans="1:27" ht="15.75">
      <c r="A559" s="1076" t="s">
        <v>56</v>
      </c>
      <c r="B559">
        <v>2840272</v>
      </c>
      <c r="C559" s="2452" t="e">
        <f>#REF!+#REF!</f>
        <v>#REF!</v>
      </c>
      <c r="D559" s="2449">
        <f>IF(A559='Data Entry - SOF'!B$2,'Data Entry - SOF'!C$64,0)</f>
        <v>0</v>
      </c>
      <c r="E559" s="2450">
        <f t="shared" si="105"/>
        <v>2840272</v>
      </c>
      <c r="F559" s="2212" t="e">
        <f>IF('Report-M&amp;O1718'!C$18-'Report-SOF1718'!D$55&lt;=0,0,'Report-M&amp;O1718'!C$18-'Report-SOF1718'!D$55)</f>
        <v>#DIV/0!</v>
      </c>
      <c r="G559" s="2452" t="e">
        <f t="shared" si="97"/>
        <v>#DIV/0!</v>
      </c>
      <c r="H559" s="2449">
        <f>IF(A559='Data Entry - SOF'!B$2,'Data Entry - SOF'!E$64,0)</f>
        <v>0</v>
      </c>
      <c r="I559" s="1687">
        <f t="shared" si="98"/>
        <v>2840272</v>
      </c>
      <c r="J559" s="2212" t="e">
        <f>IF('Report-M&amp;O1819'!C$18-'Report-SOF1819'!D$55&lt;=0,0,'Report-M&amp;O1819'!C$18-'Report-SOF1819'!D$55)</f>
        <v>#DIV/0!</v>
      </c>
      <c r="K559" s="2452" t="e">
        <f t="shared" si="99"/>
        <v>#DIV/0!</v>
      </c>
      <c r="L559" s="2449">
        <f>IF(A559='Data Entry - SOF'!B$2,'Data Entry - SOF'!G$64,0)</f>
        <v>0</v>
      </c>
      <c r="M559" s="1371">
        <f t="shared" si="100"/>
        <v>2840272</v>
      </c>
      <c r="N559" s="2212" t="e">
        <f>IF('Report-M&amp;O1920'!C$18-'Report-SOF1920'!D$55&lt;=0,0,'Report-M&amp;O1920'!C$18-'Report-SOF1920'!D$55)</f>
        <v>#DIV/0!</v>
      </c>
      <c r="O559" s="2452" t="e">
        <f t="shared" si="101"/>
        <v>#DIV/0!</v>
      </c>
      <c r="P559" s="2449">
        <f>IF(A559='Data Entry - SOF'!B$2,'Data Entry - SOF'!I$64,0)</f>
        <v>0</v>
      </c>
      <c r="Q559" s="1687">
        <f t="shared" si="96"/>
        <v>2840272</v>
      </c>
      <c r="R559" s="2212" t="e">
        <f>IF('Report-M&amp;O2021'!C$18-'Report-SOF2021'!D$55&lt;=0,0,'Report-M&amp;O2021'!C$18-'Report-SOF2021'!D$55)</f>
        <v>#DIV/0!</v>
      </c>
      <c r="S559" s="2452" t="e">
        <f t="shared" si="102"/>
        <v>#DIV/0!</v>
      </c>
      <c r="T559" s="1708">
        <f>IF(A559='Data Entry - SOF'!B$2,'Data Entry - SOF'!K$64,0)</f>
        <v>0</v>
      </c>
      <c r="U559" s="1687">
        <f t="shared" si="106"/>
        <v>2840272</v>
      </c>
      <c r="V559" s="2212" t="e">
        <f>IF('Report-M&amp;O2122'!C$18-'Report-SOF2122'!D$55&lt;=0,0,'Report-M&amp;O2122'!C$18-'Report-SOF2122'!D$55)</f>
        <v>#DIV/0!</v>
      </c>
      <c r="W559" s="2452" t="e">
        <f t="shared" si="103"/>
        <v>#DIV/0!</v>
      </c>
      <c r="X559" s="1708">
        <f>IF(A559='Data Entry - SOF'!B$2,'Data Entry - SOF'!M$64,0)</f>
        <v>0</v>
      </c>
      <c r="Y559" s="1371" t="e">
        <f t="shared" si="104"/>
        <v>#DIV/0!</v>
      </c>
      <c r="Z559" s="2212" t="e">
        <f>IF('Report-M&amp;O2223'!C$18-'Report-SOF2223'!D$55&lt;=0,0,'Report-M&amp;O2223'!C$18-'Report-SOF2223'!D$55)</f>
        <v>#DIV/0!</v>
      </c>
      <c r="AA559" s="1708">
        <f>IF(A559='Data Entry - SOF'!B$2,'Data Entry - SOF'!O$64,0)</f>
        <v>0</v>
      </c>
    </row>
    <row r="560" spans="1:27" ht="15.75">
      <c r="A560" s="1076" t="s">
        <v>58</v>
      </c>
      <c r="B560">
        <v>1396807</v>
      </c>
      <c r="C560" s="2452" t="e">
        <f>#REF!+#REF!</f>
        <v>#REF!</v>
      </c>
      <c r="D560" s="2449">
        <f>IF(A560='Data Entry - SOF'!B$2,'Data Entry - SOF'!C$64,0)</f>
        <v>0</v>
      </c>
      <c r="E560" s="2450">
        <f t="shared" si="105"/>
        <v>1396807</v>
      </c>
      <c r="F560" s="2212" t="e">
        <f>IF('Report-M&amp;O1718'!C$18-'Report-SOF1718'!D$55&lt;=0,0,'Report-M&amp;O1718'!C$18-'Report-SOF1718'!D$55)</f>
        <v>#DIV/0!</v>
      </c>
      <c r="G560" s="2452" t="e">
        <f t="shared" si="97"/>
        <v>#DIV/0!</v>
      </c>
      <c r="H560" s="2449">
        <f>IF(A560='Data Entry - SOF'!B$2,'Data Entry - SOF'!E$64,0)</f>
        <v>0</v>
      </c>
      <c r="I560" s="1687">
        <f t="shared" si="98"/>
        <v>1396807</v>
      </c>
      <c r="J560" s="2212" t="e">
        <f>IF('Report-M&amp;O1819'!C$18-'Report-SOF1819'!D$55&lt;=0,0,'Report-M&amp;O1819'!C$18-'Report-SOF1819'!D$55)</f>
        <v>#DIV/0!</v>
      </c>
      <c r="K560" s="2452" t="e">
        <f t="shared" si="99"/>
        <v>#DIV/0!</v>
      </c>
      <c r="L560" s="2449">
        <f>IF(A560='Data Entry - SOF'!B$2,'Data Entry - SOF'!G$64,0)</f>
        <v>0</v>
      </c>
      <c r="M560" s="1371">
        <f t="shared" si="100"/>
        <v>1396807</v>
      </c>
      <c r="N560" s="2212" t="e">
        <f>IF('Report-M&amp;O1920'!C$18-'Report-SOF1920'!D$55&lt;=0,0,'Report-M&amp;O1920'!C$18-'Report-SOF1920'!D$55)</f>
        <v>#DIV/0!</v>
      </c>
      <c r="O560" s="2452" t="e">
        <f t="shared" si="101"/>
        <v>#DIV/0!</v>
      </c>
      <c r="P560" s="2449">
        <f>IF(A560='Data Entry - SOF'!B$2,'Data Entry - SOF'!I$64,0)</f>
        <v>0</v>
      </c>
      <c r="Q560" s="1687">
        <f t="shared" si="96"/>
        <v>1396807</v>
      </c>
      <c r="R560" s="2212" t="e">
        <f>IF('Report-M&amp;O2021'!C$18-'Report-SOF2021'!D$55&lt;=0,0,'Report-M&amp;O2021'!C$18-'Report-SOF2021'!D$55)</f>
        <v>#DIV/0!</v>
      </c>
      <c r="S560" s="2452" t="e">
        <f t="shared" si="102"/>
        <v>#DIV/0!</v>
      </c>
      <c r="T560" s="1708">
        <f>IF(A560='Data Entry - SOF'!B$2,'Data Entry - SOF'!K$64,0)</f>
        <v>0</v>
      </c>
      <c r="U560" s="1687">
        <f t="shared" si="106"/>
        <v>1396807</v>
      </c>
      <c r="V560" s="2212" t="e">
        <f>IF('Report-M&amp;O2122'!C$18-'Report-SOF2122'!D$55&lt;=0,0,'Report-M&amp;O2122'!C$18-'Report-SOF2122'!D$55)</f>
        <v>#DIV/0!</v>
      </c>
      <c r="W560" s="2452" t="e">
        <f t="shared" si="103"/>
        <v>#DIV/0!</v>
      </c>
      <c r="X560" s="1708">
        <f>IF(A560='Data Entry - SOF'!B$2,'Data Entry - SOF'!M$64,0)</f>
        <v>0</v>
      </c>
      <c r="Y560" s="1371" t="e">
        <f t="shared" si="104"/>
        <v>#DIV/0!</v>
      </c>
      <c r="Z560" s="2212" t="e">
        <f>IF('Report-M&amp;O2223'!C$18-'Report-SOF2223'!D$55&lt;=0,0,'Report-M&amp;O2223'!C$18-'Report-SOF2223'!D$55)</f>
        <v>#DIV/0!</v>
      </c>
      <c r="AA560" s="1708">
        <f>IF(A560='Data Entry - SOF'!B$2,'Data Entry - SOF'!O$64,0)</f>
        <v>0</v>
      </c>
    </row>
    <row r="561" spans="1:27" ht="15.75">
      <c r="A561" s="1076" t="s">
        <v>2923</v>
      </c>
      <c r="B561">
        <v>10990459</v>
      </c>
      <c r="C561" s="2452" t="e">
        <f>#REF!+#REF!</f>
        <v>#REF!</v>
      </c>
      <c r="D561" s="2449">
        <f>IF(A561='Data Entry - SOF'!B$2,'Data Entry - SOF'!C$64,0)</f>
        <v>0</v>
      </c>
      <c r="E561" s="2450">
        <f t="shared" si="105"/>
        <v>10990459</v>
      </c>
      <c r="F561" s="2212" t="e">
        <f>IF('Report-M&amp;O1718'!C$18-'Report-SOF1718'!D$55&lt;=0,0,'Report-M&amp;O1718'!C$18-'Report-SOF1718'!D$55)</f>
        <v>#DIV/0!</v>
      </c>
      <c r="G561" s="2452" t="e">
        <f t="shared" si="97"/>
        <v>#DIV/0!</v>
      </c>
      <c r="H561" s="2449">
        <f>IF(A561='Data Entry - SOF'!B$2,'Data Entry - SOF'!E$64,0)</f>
        <v>0</v>
      </c>
      <c r="I561" s="1687">
        <f t="shared" si="98"/>
        <v>10990459</v>
      </c>
      <c r="J561" s="2212" t="e">
        <f>IF('Report-M&amp;O1819'!C$18-'Report-SOF1819'!D$55&lt;=0,0,'Report-M&amp;O1819'!C$18-'Report-SOF1819'!D$55)</f>
        <v>#DIV/0!</v>
      </c>
      <c r="K561" s="2452" t="e">
        <f t="shared" si="99"/>
        <v>#DIV/0!</v>
      </c>
      <c r="L561" s="2449">
        <f>IF(A561='Data Entry - SOF'!B$2,'Data Entry - SOF'!G$64,0)</f>
        <v>0</v>
      </c>
      <c r="M561" s="1371">
        <f t="shared" si="100"/>
        <v>10990459</v>
      </c>
      <c r="N561" s="2212" t="e">
        <f>IF('Report-M&amp;O1920'!C$18-'Report-SOF1920'!D$55&lt;=0,0,'Report-M&amp;O1920'!C$18-'Report-SOF1920'!D$55)</f>
        <v>#DIV/0!</v>
      </c>
      <c r="O561" s="2452" t="e">
        <f t="shared" si="101"/>
        <v>#DIV/0!</v>
      </c>
      <c r="P561" s="2449">
        <f>IF(A561='Data Entry - SOF'!B$2,'Data Entry - SOF'!I$64,0)</f>
        <v>0</v>
      </c>
      <c r="Q561" s="1687">
        <f t="shared" si="96"/>
        <v>10990459</v>
      </c>
      <c r="R561" s="2212" t="e">
        <f>IF('Report-M&amp;O2021'!C$18-'Report-SOF2021'!D$55&lt;=0,0,'Report-M&amp;O2021'!C$18-'Report-SOF2021'!D$55)</f>
        <v>#DIV/0!</v>
      </c>
      <c r="S561" s="2452" t="e">
        <f t="shared" si="102"/>
        <v>#DIV/0!</v>
      </c>
      <c r="T561" s="1708">
        <f>IF(A561='Data Entry - SOF'!B$2,'Data Entry - SOF'!K$64,0)</f>
        <v>0</v>
      </c>
      <c r="U561" s="1687">
        <f t="shared" si="106"/>
        <v>10990459</v>
      </c>
      <c r="V561" s="2212" t="e">
        <f>IF('Report-M&amp;O2122'!C$18-'Report-SOF2122'!D$55&lt;=0,0,'Report-M&amp;O2122'!C$18-'Report-SOF2122'!D$55)</f>
        <v>#DIV/0!</v>
      </c>
      <c r="W561" s="2452" t="e">
        <f t="shared" si="103"/>
        <v>#DIV/0!</v>
      </c>
      <c r="X561" s="1708">
        <f>IF(A561='Data Entry - SOF'!B$2,'Data Entry - SOF'!M$64,0)</f>
        <v>0</v>
      </c>
      <c r="Y561" s="1371" t="e">
        <f t="shared" si="104"/>
        <v>#DIV/0!</v>
      </c>
      <c r="Z561" s="2212" t="e">
        <f>IF('Report-M&amp;O2223'!C$18-'Report-SOF2223'!D$55&lt;=0,0,'Report-M&amp;O2223'!C$18-'Report-SOF2223'!D$55)</f>
        <v>#DIV/0!</v>
      </c>
      <c r="AA561" s="1708">
        <f>IF(A561='Data Entry - SOF'!B$2,'Data Entry - SOF'!O$64,0)</f>
        <v>0</v>
      </c>
    </row>
    <row r="562" spans="1:27" ht="15.75">
      <c r="A562" s="1076" t="s">
        <v>2924</v>
      </c>
      <c r="B562">
        <v>13130299</v>
      </c>
      <c r="C562" s="2452" t="e">
        <f>#REF!+#REF!</f>
        <v>#REF!</v>
      </c>
      <c r="D562" s="2449">
        <f>IF(A562='Data Entry - SOF'!B$2,'Data Entry - SOF'!C$64,0)</f>
        <v>0</v>
      </c>
      <c r="E562" s="2450">
        <f t="shared" si="105"/>
        <v>13130299</v>
      </c>
      <c r="F562" s="2212" t="e">
        <f>IF('Report-M&amp;O1718'!C$18-'Report-SOF1718'!D$55&lt;=0,0,'Report-M&amp;O1718'!C$18-'Report-SOF1718'!D$55)</f>
        <v>#DIV/0!</v>
      </c>
      <c r="G562" s="2452" t="e">
        <f t="shared" si="97"/>
        <v>#DIV/0!</v>
      </c>
      <c r="H562" s="2449">
        <f>IF(A562='Data Entry - SOF'!B$2,'Data Entry - SOF'!E$64,0)</f>
        <v>0</v>
      </c>
      <c r="I562" s="1687">
        <f t="shared" si="98"/>
        <v>13130299</v>
      </c>
      <c r="J562" s="2212" t="e">
        <f>IF('Report-M&amp;O1819'!C$18-'Report-SOF1819'!D$55&lt;=0,0,'Report-M&amp;O1819'!C$18-'Report-SOF1819'!D$55)</f>
        <v>#DIV/0!</v>
      </c>
      <c r="K562" s="2452" t="e">
        <f t="shared" si="99"/>
        <v>#DIV/0!</v>
      </c>
      <c r="L562" s="2449">
        <f>IF(A562='Data Entry - SOF'!B$2,'Data Entry - SOF'!G$64,0)</f>
        <v>0</v>
      </c>
      <c r="M562" s="1371">
        <f t="shared" si="100"/>
        <v>13130299</v>
      </c>
      <c r="N562" s="2212" t="e">
        <f>IF('Report-M&amp;O1920'!C$18-'Report-SOF1920'!D$55&lt;=0,0,'Report-M&amp;O1920'!C$18-'Report-SOF1920'!D$55)</f>
        <v>#DIV/0!</v>
      </c>
      <c r="O562" s="2452" t="e">
        <f t="shared" si="101"/>
        <v>#DIV/0!</v>
      </c>
      <c r="P562" s="2449">
        <f>IF(A562='Data Entry - SOF'!B$2,'Data Entry - SOF'!I$64,0)</f>
        <v>0</v>
      </c>
      <c r="Q562" s="1687">
        <f t="shared" si="96"/>
        <v>13130299</v>
      </c>
      <c r="R562" s="2212" t="e">
        <f>IF('Report-M&amp;O2021'!C$18-'Report-SOF2021'!D$55&lt;=0,0,'Report-M&amp;O2021'!C$18-'Report-SOF2021'!D$55)</f>
        <v>#DIV/0!</v>
      </c>
      <c r="S562" s="2452" t="e">
        <f t="shared" si="102"/>
        <v>#DIV/0!</v>
      </c>
      <c r="T562" s="1708">
        <f>IF(A562='Data Entry - SOF'!B$2,'Data Entry - SOF'!K$64,0)</f>
        <v>0</v>
      </c>
      <c r="U562" s="1687">
        <f t="shared" si="106"/>
        <v>13130299</v>
      </c>
      <c r="V562" s="2212" t="e">
        <f>IF('Report-M&amp;O2122'!C$18-'Report-SOF2122'!D$55&lt;=0,0,'Report-M&amp;O2122'!C$18-'Report-SOF2122'!D$55)</f>
        <v>#DIV/0!</v>
      </c>
      <c r="W562" s="2452" t="e">
        <f t="shared" si="103"/>
        <v>#DIV/0!</v>
      </c>
      <c r="X562" s="1708">
        <f>IF(A562='Data Entry - SOF'!B$2,'Data Entry - SOF'!M$64,0)</f>
        <v>0</v>
      </c>
      <c r="Y562" s="1371" t="e">
        <f t="shared" si="104"/>
        <v>#DIV/0!</v>
      </c>
      <c r="Z562" s="2212" t="e">
        <f>IF('Report-M&amp;O2223'!C$18-'Report-SOF2223'!D$55&lt;=0,0,'Report-M&amp;O2223'!C$18-'Report-SOF2223'!D$55)</f>
        <v>#DIV/0!</v>
      </c>
      <c r="AA562" s="1708">
        <f>IF(A562='Data Entry - SOF'!B$2,'Data Entry - SOF'!O$64,0)</f>
        <v>0</v>
      </c>
    </row>
    <row r="563" spans="1:27" ht="15.75">
      <c r="A563" s="1076" t="s">
        <v>536</v>
      </c>
      <c r="B563">
        <v>883788</v>
      </c>
      <c r="C563" s="2452" t="e">
        <f>#REF!+#REF!</f>
        <v>#REF!</v>
      </c>
      <c r="D563" s="2449">
        <f>IF(A563='Data Entry - SOF'!B$2,'Data Entry - SOF'!C$64,0)</f>
        <v>0</v>
      </c>
      <c r="E563" s="2450">
        <f t="shared" si="105"/>
        <v>883788</v>
      </c>
      <c r="F563" s="2212" t="e">
        <f>IF('Report-M&amp;O1718'!C$18-'Report-SOF1718'!D$55&lt;=0,0,'Report-M&amp;O1718'!C$18-'Report-SOF1718'!D$55)</f>
        <v>#DIV/0!</v>
      </c>
      <c r="G563" s="2452" t="e">
        <f t="shared" si="97"/>
        <v>#DIV/0!</v>
      </c>
      <c r="H563" s="2449">
        <f>IF(A563='Data Entry - SOF'!B$2,'Data Entry - SOF'!E$64,0)</f>
        <v>0</v>
      </c>
      <c r="I563" s="1687">
        <f t="shared" si="98"/>
        <v>883788</v>
      </c>
      <c r="J563" s="2212" t="e">
        <f>IF('Report-M&amp;O1819'!C$18-'Report-SOF1819'!D$55&lt;=0,0,'Report-M&amp;O1819'!C$18-'Report-SOF1819'!D$55)</f>
        <v>#DIV/0!</v>
      </c>
      <c r="K563" s="2452" t="e">
        <f t="shared" si="99"/>
        <v>#DIV/0!</v>
      </c>
      <c r="L563" s="2449">
        <f>IF(A563='Data Entry - SOF'!B$2,'Data Entry - SOF'!G$64,0)</f>
        <v>0</v>
      </c>
      <c r="M563" s="1371">
        <f t="shared" si="100"/>
        <v>883788</v>
      </c>
      <c r="N563" s="2212" t="e">
        <f>IF('Report-M&amp;O1920'!C$18-'Report-SOF1920'!D$55&lt;=0,0,'Report-M&amp;O1920'!C$18-'Report-SOF1920'!D$55)</f>
        <v>#DIV/0!</v>
      </c>
      <c r="O563" s="2452" t="e">
        <f t="shared" si="101"/>
        <v>#DIV/0!</v>
      </c>
      <c r="P563" s="2449">
        <f>IF(A563='Data Entry - SOF'!B$2,'Data Entry - SOF'!I$64,0)</f>
        <v>0</v>
      </c>
      <c r="Q563" s="1687">
        <f t="shared" si="96"/>
        <v>883788</v>
      </c>
      <c r="R563" s="2212" t="e">
        <f>IF('Report-M&amp;O2021'!C$18-'Report-SOF2021'!D$55&lt;=0,0,'Report-M&amp;O2021'!C$18-'Report-SOF2021'!D$55)</f>
        <v>#DIV/0!</v>
      </c>
      <c r="S563" s="2452" t="e">
        <f t="shared" si="102"/>
        <v>#DIV/0!</v>
      </c>
      <c r="T563" s="1708">
        <f>IF(A563='Data Entry - SOF'!B$2,'Data Entry - SOF'!K$64,0)</f>
        <v>0</v>
      </c>
      <c r="U563" s="1687">
        <f t="shared" si="106"/>
        <v>883788</v>
      </c>
      <c r="V563" s="2212" t="e">
        <f>IF('Report-M&amp;O2122'!C$18-'Report-SOF2122'!D$55&lt;=0,0,'Report-M&amp;O2122'!C$18-'Report-SOF2122'!D$55)</f>
        <v>#DIV/0!</v>
      </c>
      <c r="W563" s="2452" t="e">
        <f t="shared" si="103"/>
        <v>#DIV/0!</v>
      </c>
      <c r="X563" s="1708">
        <f>IF(A563='Data Entry - SOF'!B$2,'Data Entry - SOF'!M$64,0)</f>
        <v>0</v>
      </c>
      <c r="Y563" s="1371" t="e">
        <f t="shared" si="104"/>
        <v>#DIV/0!</v>
      </c>
      <c r="Z563" s="2212" t="e">
        <f>IF('Report-M&amp;O2223'!C$18-'Report-SOF2223'!D$55&lt;=0,0,'Report-M&amp;O2223'!C$18-'Report-SOF2223'!D$55)</f>
        <v>#DIV/0!</v>
      </c>
      <c r="AA563" s="1708">
        <f>IF(A563='Data Entry - SOF'!B$2,'Data Entry - SOF'!O$64,0)</f>
        <v>0</v>
      </c>
    </row>
    <row r="564" spans="1:27" ht="15.75">
      <c r="A564" s="1076" t="s">
        <v>2925</v>
      </c>
      <c r="B564">
        <v>72580048</v>
      </c>
      <c r="C564" s="2452" t="e">
        <f>#REF!+#REF!</f>
        <v>#REF!</v>
      </c>
      <c r="D564" s="2449">
        <f>IF(A564='Data Entry - SOF'!B$2,'Data Entry - SOF'!C$64,0)</f>
        <v>0</v>
      </c>
      <c r="E564" s="2450">
        <f t="shared" si="105"/>
        <v>72580048</v>
      </c>
      <c r="F564" s="2212" t="e">
        <f>IF('Report-M&amp;O1718'!C$18-'Report-SOF1718'!D$55&lt;=0,0,'Report-M&amp;O1718'!C$18-'Report-SOF1718'!D$55)</f>
        <v>#DIV/0!</v>
      </c>
      <c r="G564" s="2452" t="e">
        <f t="shared" si="97"/>
        <v>#DIV/0!</v>
      </c>
      <c r="H564" s="2449">
        <f>IF(A564='Data Entry - SOF'!B$2,'Data Entry - SOF'!E$64,0)</f>
        <v>0</v>
      </c>
      <c r="I564" s="1687">
        <f t="shared" si="98"/>
        <v>72580048</v>
      </c>
      <c r="J564" s="2212" t="e">
        <f>IF('Report-M&amp;O1819'!C$18-'Report-SOF1819'!D$55&lt;=0,0,'Report-M&amp;O1819'!C$18-'Report-SOF1819'!D$55)</f>
        <v>#DIV/0!</v>
      </c>
      <c r="K564" s="2452" t="e">
        <f t="shared" si="99"/>
        <v>#DIV/0!</v>
      </c>
      <c r="L564" s="2449">
        <f>IF(A564='Data Entry - SOF'!B$2,'Data Entry - SOF'!G$64,0)</f>
        <v>0</v>
      </c>
      <c r="M564" s="1371">
        <f t="shared" si="100"/>
        <v>72580048</v>
      </c>
      <c r="N564" s="2212" t="e">
        <f>IF('Report-M&amp;O1920'!C$18-'Report-SOF1920'!D$55&lt;=0,0,'Report-M&amp;O1920'!C$18-'Report-SOF1920'!D$55)</f>
        <v>#DIV/0!</v>
      </c>
      <c r="O564" s="2452" t="e">
        <f t="shared" si="101"/>
        <v>#DIV/0!</v>
      </c>
      <c r="P564" s="2449">
        <f>IF(A564='Data Entry - SOF'!B$2,'Data Entry - SOF'!I$64,0)</f>
        <v>0</v>
      </c>
      <c r="Q564" s="1687">
        <f t="shared" si="96"/>
        <v>72580048</v>
      </c>
      <c r="R564" s="2212" t="e">
        <f>IF('Report-M&amp;O2021'!C$18-'Report-SOF2021'!D$55&lt;=0,0,'Report-M&amp;O2021'!C$18-'Report-SOF2021'!D$55)</f>
        <v>#DIV/0!</v>
      </c>
      <c r="S564" s="2452" t="e">
        <f t="shared" si="102"/>
        <v>#DIV/0!</v>
      </c>
      <c r="T564" s="1708">
        <f>IF(A564='Data Entry - SOF'!B$2,'Data Entry - SOF'!K$64,0)</f>
        <v>0</v>
      </c>
      <c r="U564" s="1687">
        <f t="shared" si="106"/>
        <v>72580048</v>
      </c>
      <c r="V564" s="2212" t="e">
        <f>IF('Report-M&amp;O2122'!C$18-'Report-SOF2122'!D$55&lt;=0,0,'Report-M&amp;O2122'!C$18-'Report-SOF2122'!D$55)</f>
        <v>#DIV/0!</v>
      </c>
      <c r="W564" s="2452" t="e">
        <f t="shared" si="103"/>
        <v>#DIV/0!</v>
      </c>
      <c r="X564" s="1708">
        <f>IF(A564='Data Entry - SOF'!B$2,'Data Entry - SOF'!M$64,0)</f>
        <v>0</v>
      </c>
      <c r="Y564" s="1371" t="e">
        <f t="shared" si="104"/>
        <v>#DIV/0!</v>
      </c>
      <c r="Z564" s="2212" t="e">
        <f>IF('Report-M&amp;O2223'!C$18-'Report-SOF2223'!D$55&lt;=0,0,'Report-M&amp;O2223'!C$18-'Report-SOF2223'!D$55)</f>
        <v>#DIV/0!</v>
      </c>
      <c r="AA564" s="1708">
        <f>IF(A564='Data Entry - SOF'!B$2,'Data Entry - SOF'!O$64,0)</f>
        <v>0</v>
      </c>
    </row>
    <row r="565" spans="1:27" ht="15.75">
      <c r="A565" s="1076" t="s">
        <v>1732</v>
      </c>
      <c r="B565">
        <v>7538310</v>
      </c>
      <c r="C565" s="2452" t="e">
        <f>#REF!+#REF!</f>
        <v>#REF!</v>
      </c>
      <c r="D565" s="2449">
        <f>IF(A565='Data Entry - SOF'!B$2,'Data Entry - SOF'!C$64,0)</f>
        <v>0</v>
      </c>
      <c r="E565" s="2450">
        <f t="shared" si="105"/>
        <v>7538310</v>
      </c>
      <c r="F565" s="2212" t="e">
        <f>IF('Report-M&amp;O1718'!C$18-'Report-SOF1718'!D$55&lt;=0,0,'Report-M&amp;O1718'!C$18-'Report-SOF1718'!D$55)</f>
        <v>#DIV/0!</v>
      </c>
      <c r="G565" s="2452" t="e">
        <f t="shared" si="97"/>
        <v>#DIV/0!</v>
      </c>
      <c r="H565" s="2449">
        <f>IF(A565='Data Entry - SOF'!B$2,'Data Entry - SOF'!E$64,0)</f>
        <v>0</v>
      </c>
      <c r="I565" s="1687">
        <f t="shared" si="98"/>
        <v>7538310</v>
      </c>
      <c r="J565" s="2212" t="e">
        <f>IF('Report-M&amp;O1819'!C$18-'Report-SOF1819'!D$55&lt;=0,0,'Report-M&amp;O1819'!C$18-'Report-SOF1819'!D$55)</f>
        <v>#DIV/0!</v>
      </c>
      <c r="K565" s="2452" t="e">
        <f t="shared" si="99"/>
        <v>#DIV/0!</v>
      </c>
      <c r="L565" s="2449">
        <f>IF(A565='Data Entry - SOF'!B$2,'Data Entry - SOF'!G$64,0)</f>
        <v>0</v>
      </c>
      <c r="M565" s="1371">
        <f t="shared" si="100"/>
        <v>7538310</v>
      </c>
      <c r="N565" s="2212" t="e">
        <f>IF('Report-M&amp;O1920'!C$18-'Report-SOF1920'!D$55&lt;=0,0,'Report-M&amp;O1920'!C$18-'Report-SOF1920'!D$55)</f>
        <v>#DIV/0!</v>
      </c>
      <c r="O565" s="2452" t="e">
        <f t="shared" si="101"/>
        <v>#DIV/0!</v>
      </c>
      <c r="P565" s="2449">
        <f>IF(A565='Data Entry - SOF'!B$2,'Data Entry - SOF'!I$64,0)</f>
        <v>0</v>
      </c>
      <c r="Q565" s="1687">
        <f t="shared" si="96"/>
        <v>7538310</v>
      </c>
      <c r="R565" s="2212" t="e">
        <f>IF('Report-M&amp;O2021'!C$18-'Report-SOF2021'!D$55&lt;=0,0,'Report-M&amp;O2021'!C$18-'Report-SOF2021'!D$55)</f>
        <v>#DIV/0!</v>
      </c>
      <c r="S565" s="2452" t="e">
        <f t="shared" si="102"/>
        <v>#DIV/0!</v>
      </c>
      <c r="T565" s="1708">
        <f>IF(A565='Data Entry - SOF'!B$2,'Data Entry - SOF'!K$64,0)</f>
        <v>0</v>
      </c>
      <c r="U565" s="1687">
        <f t="shared" si="106"/>
        <v>7538310</v>
      </c>
      <c r="V565" s="2212" t="e">
        <f>IF('Report-M&amp;O2122'!C$18-'Report-SOF2122'!D$55&lt;=0,0,'Report-M&amp;O2122'!C$18-'Report-SOF2122'!D$55)</f>
        <v>#DIV/0!</v>
      </c>
      <c r="W565" s="2452" t="e">
        <f t="shared" si="103"/>
        <v>#DIV/0!</v>
      </c>
      <c r="X565" s="1708">
        <f>IF(A565='Data Entry - SOF'!B$2,'Data Entry - SOF'!M$64,0)</f>
        <v>0</v>
      </c>
      <c r="Y565" s="1371" t="e">
        <f t="shared" si="104"/>
        <v>#DIV/0!</v>
      </c>
      <c r="Z565" s="2212" t="e">
        <f>IF('Report-M&amp;O2223'!C$18-'Report-SOF2223'!D$55&lt;=0,0,'Report-M&amp;O2223'!C$18-'Report-SOF2223'!D$55)</f>
        <v>#DIV/0!</v>
      </c>
      <c r="AA565" s="1708">
        <f>IF(A565='Data Entry - SOF'!B$2,'Data Entry - SOF'!O$64,0)</f>
        <v>0</v>
      </c>
    </row>
    <row r="566" spans="1:27" ht="15.75">
      <c r="A566" s="1076" t="s">
        <v>3088</v>
      </c>
      <c r="B566">
        <v>7068341</v>
      </c>
      <c r="C566" s="2452" t="e">
        <f>#REF!+#REF!</f>
        <v>#REF!</v>
      </c>
      <c r="D566" s="2449">
        <f>IF(A566='Data Entry - SOF'!B$2,'Data Entry - SOF'!C$64,0)</f>
        <v>0</v>
      </c>
      <c r="E566" s="2450">
        <f t="shared" si="105"/>
        <v>7068341</v>
      </c>
      <c r="F566" s="2212" t="e">
        <f>IF('Report-M&amp;O1718'!C$18-'Report-SOF1718'!D$55&lt;=0,0,'Report-M&amp;O1718'!C$18-'Report-SOF1718'!D$55)</f>
        <v>#DIV/0!</v>
      </c>
      <c r="G566" s="2452" t="e">
        <f t="shared" si="97"/>
        <v>#DIV/0!</v>
      </c>
      <c r="H566" s="2449">
        <f>IF(A566='Data Entry - SOF'!B$2,'Data Entry - SOF'!E$64,0)</f>
        <v>0</v>
      </c>
      <c r="I566" s="1687">
        <f t="shared" si="98"/>
        <v>7068341</v>
      </c>
      <c r="J566" s="2212" t="e">
        <f>IF('Report-M&amp;O1819'!C$18-'Report-SOF1819'!D$55&lt;=0,0,'Report-M&amp;O1819'!C$18-'Report-SOF1819'!D$55)</f>
        <v>#DIV/0!</v>
      </c>
      <c r="K566" s="2452" t="e">
        <f t="shared" si="99"/>
        <v>#DIV/0!</v>
      </c>
      <c r="L566" s="2449">
        <f>IF(A566='Data Entry - SOF'!B$2,'Data Entry - SOF'!G$64,0)</f>
        <v>0</v>
      </c>
      <c r="M566" s="1371">
        <f t="shared" si="100"/>
        <v>7068341</v>
      </c>
      <c r="N566" s="2212" t="e">
        <f>IF('Report-M&amp;O1920'!C$18-'Report-SOF1920'!D$55&lt;=0,0,'Report-M&amp;O1920'!C$18-'Report-SOF1920'!D$55)</f>
        <v>#DIV/0!</v>
      </c>
      <c r="O566" s="2452" t="e">
        <f t="shared" si="101"/>
        <v>#DIV/0!</v>
      </c>
      <c r="P566" s="2449">
        <f>IF(A566='Data Entry - SOF'!B$2,'Data Entry - SOF'!I$64,0)</f>
        <v>0</v>
      </c>
      <c r="Q566" s="1687">
        <f t="shared" si="96"/>
        <v>7068341</v>
      </c>
      <c r="R566" s="2212" t="e">
        <f>IF('Report-M&amp;O2021'!C$18-'Report-SOF2021'!D$55&lt;=0,0,'Report-M&amp;O2021'!C$18-'Report-SOF2021'!D$55)</f>
        <v>#DIV/0!</v>
      </c>
      <c r="S566" s="2452" t="e">
        <f t="shared" si="102"/>
        <v>#DIV/0!</v>
      </c>
      <c r="T566" s="1708">
        <f>IF(A566='Data Entry - SOF'!B$2,'Data Entry - SOF'!K$64,0)</f>
        <v>0</v>
      </c>
      <c r="U566" s="1687">
        <f t="shared" si="106"/>
        <v>7068341</v>
      </c>
      <c r="V566" s="2212" t="e">
        <f>IF('Report-M&amp;O2122'!C$18-'Report-SOF2122'!D$55&lt;=0,0,'Report-M&amp;O2122'!C$18-'Report-SOF2122'!D$55)</f>
        <v>#DIV/0!</v>
      </c>
      <c r="W566" s="2452" t="e">
        <f t="shared" si="103"/>
        <v>#DIV/0!</v>
      </c>
      <c r="X566" s="1708">
        <f>IF(A566='Data Entry - SOF'!B$2,'Data Entry - SOF'!M$64,0)</f>
        <v>0</v>
      </c>
      <c r="Y566" s="1371" t="e">
        <f t="shared" si="104"/>
        <v>#DIV/0!</v>
      </c>
      <c r="Z566" s="2212" t="e">
        <f>IF('Report-M&amp;O2223'!C$18-'Report-SOF2223'!D$55&lt;=0,0,'Report-M&amp;O2223'!C$18-'Report-SOF2223'!D$55)</f>
        <v>#DIV/0!</v>
      </c>
      <c r="AA566" s="1708">
        <f>IF(A566='Data Entry - SOF'!B$2,'Data Entry - SOF'!O$64,0)</f>
        <v>0</v>
      </c>
    </row>
    <row r="567" spans="1:27" ht="15.75">
      <c r="A567" s="1076" t="s">
        <v>2649</v>
      </c>
      <c r="B567">
        <v>4548365</v>
      </c>
      <c r="C567" s="2452" t="e">
        <f>#REF!+#REF!</f>
        <v>#REF!</v>
      </c>
      <c r="D567" s="2449">
        <f>IF(A567='Data Entry - SOF'!B$2,'Data Entry - SOF'!C$64,0)</f>
        <v>0</v>
      </c>
      <c r="E567" s="2450">
        <f t="shared" si="105"/>
        <v>4548365</v>
      </c>
      <c r="F567" s="2212" t="e">
        <f>IF('Report-M&amp;O1718'!C$18-'Report-SOF1718'!D$55&lt;=0,0,'Report-M&amp;O1718'!C$18-'Report-SOF1718'!D$55)</f>
        <v>#DIV/0!</v>
      </c>
      <c r="G567" s="2452" t="e">
        <f t="shared" si="97"/>
        <v>#DIV/0!</v>
      </c>
      <c r="H567" s="2449">
        <f>IF(A567='Data Entry - SOF'!B$2,'Data Entry - SOF'!E$64,0)</f>
        <v>0</v>
      </c>
      <c r="I567" s="1687">
        <f t="shared" si="98"/>
        <v>4548365</v>
      </c>
      <c r="J567" s="2212" t="e">
        <f>IF('Report-M&amp;O1819'!C$18-'Report-SOF1819'!D$55&lt;=0,0,'Report-M&amp;O1819'!C$18-'Report-SOF1819'!D$55)</f>
        <v>#DIV/0!</v>
      </c>
      <c r="K567" s="2452" t="e">
        <f t="shared" si="99"/>
        <v>#DIV/0!</v>
      </c>
      <c r="L567" s="2449">
        <f>IF(A567='Data Entry - SOF'!B$2,'Data Entry - SOF'!G$64,0)</f>
        <v>0</v>
      </c>
      <c r="M567" s="1371">
        <f t="shared" si="100"/>
        <v>4548365</v>
      </c>
      <c r="N567" s="2212" t="e">
        <f>IF('Report-M&amp;O1920'!C$18-'Report-SOF1920'!D$55&lt;=0,0,'Report-M&amp;O1920'!C$18-'Report-SOF1920'!D$55)</f>
        <v>#DIV/0!</v>
      </c>
      <c r="O567" s="2452" t="e">
        <f t="shared" si="101"/>
        <v>#DIV/0!</v>
      </c>
      <c r="P567" s="2449">
        <f>IF(A567='Data Entry - SOF'!B$2,'Data Entry - SOF'!I$64,0)</f>
        <v>0</v>
      </c>
      <c r="Q567" s="1687">
        <f t="shared" si="96"/>
        <v>4548365</v>
      </c>
      <c r="R567" s="2212" t="e">
        <f>IF('Report-M&amp;O2021'!C$18-'Report-SOF2021'!D$55&lt;=0,0,'Report-M&amp;O2021'!C$18-'Report-SOF2021'!D$55)</f>
        <v>#DIV/0!</v>
      </c>
      <c r="S567" s="2452" t="e">
        <f t="shared" si="102"/>
        <v>#DIV/0!</v>
      </c>
      <c r="T567" s="1708">
        <f>IF(A567='Data Entry - SOF'!B$2,'Data Entry - SOF'!K$64,0)</f>
        <v>0</v>
      </c>
      <c r="U567" s="1687">
        <f t="shared" si="106"/>
        <v>4548365</v>
      </c>
      <c r="V567" s="2212" t="e">
        <f>IF('Report-M&amp;O2122'!C$18-'Report-SOF2122'!D$55&lt;=0,0,'Report-M&amp;O2122'!C$18-'Report-SOF2122'!D$55)</f>
        <v>#DIV/0!</v>
      </c>
      <c r="W567" s="2452" t="e">
        <f t="shared" si="103"/>
        <v>#DIV/0!</v>
      </c>
      <c r="X567" s="1708">
        <f>IF(A567='Data Entry - SOF'!B$2,'Data Entry - SOF'!M$64,0)</f>
        <v>0</v>
      </c>
      <c r="Y567" s="1371" t="e">
        <f t="shared" si="104"/>
        <v>#DIV/0!</v>
      </c>
      <c r="Z567" s="2212" t="e">
        <f>IF('Report-M&amp;O2223'!C$18-'Report-SOF2223'!D$55&lt;=0,0,'Report-M&amp;O2223'!C$18-'Report-SOF2223'!D$55)</f>
        <v>#DIV/0!</v>
      </c>
      <c r="AA567" s="1708">
        <f>IF(A567='Data Entry - SOF'!B$2,'Data Entry - SOF'!O$64,0)</f>
        <v>0</v>
      </c>
    </row>
    <row r="568" spans="1:27" ht="15.75">
      <c r="A568" s="1076" t="s">
        <v>1734</v>
      </c>
      <c r="B568">
        <v>1487932</v>
      </c>
      <c r="C568" s="2452" t="e">
        <f>#REF!+#REF!</f>
        <v>#REF!</v>
      </c>
      <c r="D568" s="2449">
        <f>IF(A568='Data Entry - SOF'!B$2,'Data Entry - SOF'!C$64,0)</f>
        <v>0</v>
      </c>
      <c r="E568" s="2450">
        <f t="shared" si="105"/>
        <v>1487932</v>
      </c>
      <c r="F568" s="2212" t="e">
        <f>IF('Report-M&amp;O1718'!C$18-'Report-SOF1718'!D$55&lt;=0,0,'Report-M&amp;O1718'!C$18-'Report-SOF1718'!D$55)</f>
        <v>#DIV/0!</v>
      </c>
      <c r="G568" s="2452" t="e">
        <f t="shared" si="97"/>
        <v>#DIV/0!</v>
      </c>
      <c r="H568" s="2449">
        <f>IF(A568='Data Entry - SOF'!B$2,'Data Entry - SOF'!E$64,0)</f>
        <v>0</v>
      </c>
      <c r="I568" s="1687">
        <f t="shared" si="98"/>
        <v>1487932</v>
      </c>
      <c r="J568" s="2212" t="e">
        <f>IF('Report-M&amp;O1819'!C$18-'Report-SOF1819'!D$55&lt;=0,0,'Report-M&amp;O1819'!C$18-'Report-SOF1819'!D$55)</f>
        <v>#DIV/0!</v>
      </c>
      <c r="K568" s="2452" t="e">
        <f t="shared" si="99"/>
        <v>#DIV/0!</v>
      </c>
      <c r="L568" s="2449">
        <f>IF(A568='Data Entry - SOF'!B$2,'Data Entry - SOF'!G$64,0)</f>
        <v>0</v>
      </c>
      <c r="M568" s="1371">
        <f t="shared" si="100"/>
        <v>1487932</v>
      </c>
      <c r="N568" s="2212" t="e">
        <f>IF('Report-M&amp;O1920'!C$18-'Report-SOF1920'!D$55&lt;=0,0,'Report-M&amp;O1920'!C$18-'Report-SOF1920'!D$55)</f>
        <v>#DIV/0!</v>
      </c>
      <c r="O568" s="2452" t="e">
        <f t="shared" si="101"/>
        <v>#DIV/0!</v>
      </c>
      <c r="P568" s="2449">
        <f>IF(A568='Data Entry - SOF'!B$2,'Data Entry - SOF'!I$64,0)</f>
        <v>0</v>
      </c>
      <c r="Q568" s="1687">
        <f t="shared" si="96"/>
        <v>1487932</v>
      </c>
      <c r="R568" s="2212" t="e">
        <f>IF('Report-M&amp;O2021'!C$18-'Report-SOF2021'!D$55&lt;=0,0,'Report-M&amp;O2021'!C$18-'Report-SOF2021'!D$55)</f>
        <v>#DIV/0!</v>
      </c>
      <c r="S568" s="2452" t="e">
        <f t="shared" si="102"/>
        <v>#DIV/0!</v>
      </c>
      <c r="T568" s="1708">
        <f>IF(A568='Data Entry - SOF'!B$2,'Data Entry - SOF'!K$64,0)</f>
        <v>0</v>
      </c>
      <c r="U568" s="1687">
        <f t="shared" si="106"/>
        <v>1487932</v>
      </c>
      <c r="V568" s="2212" t="e">
        <f>IF('Report-M&amp;O2122'!C$18-'Report-SOF2122'!D$55&lt;=0,0,'Report-M&amp;O2122'!C$18-'Report-SOF2122'!D$55)</f>
        <v>#DIV/0!</v>
      </c>
      <c r="W568" s="2452" t="e">
        <f t="shared" si="103"/>
        <v>#DIV/0!</v>
      </c>
      <c r="X568" s="1708">
        <f>IF(A568='Data Entry - SOF'!B$2,'Data Entry - SOF'!M$64,0)</f>
        <v>0</v>
      </c>
      <c r="Y568" s="1371" t="e">
        <f t="shared" si="104"/>
        <v>#DIV/0!</v>
      </c>
      <c r="Z568" s="2212" t="e">
        <f>IF('Report-M&amp;O2223'!C$18-'Report-SOF2223'!D$55&lt;=0,0,'Report-M&amp;O2223'!C$18-'Report-SOF2223'!D$55)</f>
        <v>#DIV/0!</v>
      </c>
      <c r="AA568" s="1708">
        <f>IF(A568='Data Entry - SOF'!B$2,'Data Entry - SOF'!O$64,0)</f>
        <v>0</v>
      </c>
    </row>
    <row r="569" spans="1:27" ht="15.75">
      <c r="A569" s="1076" t="s">
        <v>2913</v>
      </c>
      <c r="B569">
        <v>2267755</v>
      </c>
      <c r="C569" s="2452" t="e">
        <f>#REF!+#REF!</f>
        <v>#REF!</v>
      </c>
      <c r="D569" s="2449">
        <f>IF(A569='Data Entry - SOF'!B$2,'Data Entry - SOF'!C$64,0)</f>
        <v>0</v>
      </c>
      <c r="E569" s="2450">
        <f t="shared" si="105"/>
        <v>2267755</v>
      </c>
      <c r="F569" s="2212" t="e">
        <f>IF('Report-M&amp;O1718'!C$18-'Report-SOF1718'!D$55&lt;=0,0,'Report-M&amp;O1718'!C$18-'Report-SOF1718'!D$55)</f>
        <v>#DIV/0!</v>
      </c>
      <c r="G569" s="2452" t="e">
        <f t="shared" si="97"/>
        <v>#DIV/0!</v>
      </c>
      <c r="H569" s="2449">
        <f>IF(A569='Data Entry - SOF'!B$2,'Data Entry - SOF'!E$64,0)</f>
        <v>0</v>
      </c>
      <c r="I569" s="1687">
        <f t="shared" si="98"/>
        <v>2267755</v>
      </c>
      <c r="J569" s="2212" t="e">
        <f>IF('Report-M&amp;O1819'!C$18-'Report-SOF1819'!D$55&lt;=0,0,'Report-M&amp;O1819'!C$18-'Report-SOF1819'!D$55)</f>
        <v>#DIV/0!</v>
      </c>
      <c r="K569" s="2452" t="e">
        <f t="shared" si="99"/>
        <v>#DIV/0!</v>
      </c>
      <c r="L569" s="2449">
        <f>IF(A569='Data Entry - SOF'!B$2,'Data Entry - SOF'!G$64,0)</f>
        <v>0</v>
      </c>
      <c r="M569" s="1371">
        <f t="shared" si="100"/>
        <v>2267755</v>
      </c>
      <c r="N569" s="2212" t="e">
        <f>IF('Report-M&amp;O1920'!C$18-'Report-SOF1920'!D$55&lt;=0,0,'Report-M&amp;O1920'!C$18-'Report-SOF1920'!D$55)</f>
        <v>#DIV/0!</v>
      </c>
      <c r="O569" s="2452" t="e">
        <f t="shared" si="101"/>
        <v>#DIV/0!</v>
      </c>
      <c r="P569" s="2449">
        <f>IF(A569='Data Entry - SOF'!B$2,'Data Entry - SOF'!I$64,0)</f>
        <v>0</v>
      </c>
      <c r="Q569" s="1687">
        <f t="shared" si="96"/>
        <v>2267755</v>
      </c>
      <c r="R569" s="2212" t="e">
        <f>IF('Report-M&amp;O2021'!C$18-'Report-SOF2021'!D$55&lt;=0,0,'Report-M&amp;O2021'!C$18-'Report-SOF2021'!D$55)</f>
        <v>#DIV/0!</v>
      </c>
      <c r="S569" s="2452" t="e">
        <f t="shared" si="102"/>
        <v>#DIV/0!</v>
      </c>
      <c r="T569" s="1708">
        <f>IF(A569='Data Entry - SOF'!B$2,'Data Entry - SOF'!K$64,0)</f>
        <v>0</v>
      </c>
      <c r="U569" s="1687">
        <f t="shared" si="106"/>
        <v>2267755</v>
      </c>
      <c r="V569" s="2212" t="e">
        <f>IF('Report-M&amp;O2122'!C$18-'Report-SOF2122'!D$55&lt;=0,0,'Report-M&amp;O2122'!C$18-'Report-SOF2122'!D$55)</f>
        <v>#DIV/0!</v>
      </c>
      <c r="W569" s="2452" t="e">
        <f t="shared" si="103"/>
        <v>#DIV/0!</v>
      </c>
      <c r="X569" s="1708">
        <f>IF(A569='Data Entry - SOF'!B$2,'Data Entry - SOF'!M$64,0)</f>
        <v>0</v>
      </c>
      <c r="Y569" s="1371" t="e">
        <f t="shared" si="104"/>
        <v>#DIV/0!</v>
      </c>
      <c r="Z569" s="2212" t="e">
        <f>IF('Report-M&amp;O2223'!C$18-'Report-SOF2223'!D$55&lt;=0,0,'Report-M&amp;O2223'!C$18-'Report-SOF2223'!D$55)</f>
        <v>#DIV/0!</v>
      </c>
      <c r="AA569" s="1708">
        <f>IF(A569='Data Entry - SOF'!B$2,'Data Entry - SOF'!O$64,0)</f>
        <v>0</v>
      </c>
    </row>
    <row r="570" spans="1:27" ht="15.75">
      <c r="A570" s="1076" t="s">
        <v>2914</v>
      </c>
      <c r="B570">
        <v>17795101</v>
      </c>
      <c r="C570" s="2452" t="e">
        <f>#REF!+#REF!</f>
        <v>#REF!</v>
      </c>
      <c r="D570" s="2449">
        <f>IF(A570='Data Entry - SOF'!B$2,'Data Entry - SOF'!C$64,0)</f>
        <v>0</v>
      </c>
      <c r="E570" s="2450">
        <f t="shared" si="105"/>
        <v>17795101</v>
      </c>
      <c r="F570" s="2212" t="e">
        <f>IF('Report-M&amp;O1718'!C$18-'Report-SOF1718'!D$55&lt;=0,0,'Report-M&amp;O1718'!C$18-'Report-SOF1718'!D$55)</f>
        <v>#DIV/0!</v>
      </c>
      <c r="G570" s="2452" t="e">
        <f t="shared" si="97"/>
        <v>#DIV/0!</v>
      </c>
      <c r="H570" s="2449">
        <f>IF(A570='Data Entry - SOF'!B$2,'Data Entry - SOF'!E$64,0)</f>
        <v>0</v>
      </c>
      <c r="I570" s="1687">
        <f t="shared" si="98"/>
        <v>17795101</v>
      </c>
      <c r="J570" s="2212" t="e">
        <f>IF('Report-M&amp;O1819'!C$18-'Report-SOF1819'!D$55&lt;=0,0,'Report-M&amp;O1819'!C$18-'Report-SOF1819'!D$55)</f>
        <v>#DIV/0!</v>
      </c>
      <c r="K570" s="2452" t="e">
        <f t="shared" si="99"/>
        <v>#DIV/0!</v>
      </c>
      <c r="L570" s="2449">
        <f>IF(A570='Data Entry - SOF'!B$2,'Data Entry - SOF'!G$64,0)</f>
        <v>0</v>
      </c>
      <c r="M570" s="1371">
        <f t="shared" si="100"/>
        <v>17795101</v>
      </c>
      <c r="N570" s="2212" t="e">
        <f>IF('Report-M&amp;O1920'!C$18-'Report-SOF1920'!D$55&lt;=0,0,'Report-M&amp;O1920'!C$18-'Report-SOF1920'!D$55)</f>
        <v>#DIV/0!</v>
      </c>
      <c r="O570" s="2452" t="e">
        <f t="shared" si="101"/>
        <v>#DIV/0!</v>
      </c>
      <c r="P570" s="2449">
        <f>IF(A570='Data Entry - SOF'!B$2,'Data Entry - SOF'!I$64,0)</f>
        <v>0</v>
      </c>
      <c r="Q570" s="1687">
        <f t="shared" si="96"/>
        <v>17795101</v>
      </c>
      <c r="R570" s="2212" t="e">
        <f>IF('Report-M&amp;O2021'!C$18-'Report-SOF2021'!D$55&lt;=0,0,'Report-M&amp;O2021'!C$18-'Report-SOF2021'!D$55)</f>
        <v>#DIV/0!</v>
      </c>
      <c r="S570" s="2452" t="e">
        <f t="shared" si="102"/>
        <v>#DIV/0!</v>
      </c>
      <c r="T570" s="1708">
        <f>IF(A570='Data Entry - SOF'!B$2,'Data Entry - SOF'!K$64,0)</f>
        <v>0</v>
      </c>
      <c r="U570" s="1687">
        <f t="shared" si="106"/>
        <v>17795101</v>
      </c>
      <c r="V570" s="2212" t="e">
        <f>IF('Report-M&amp;O2122'!C$18-'Report-SOF2122'!D$55&lt;=0,0,'Report-M&amp;O2122'!C$18-'Report-SOF2122'!D$55)</f>
        <v>#DIV/0!</v>
      </c>
      <c r="W570" s="2452" t="e">
        <f t="shared" si="103"/>
        <v>#DIV/0!</v>
      </c>
      <c r="X570" s="1708">
        <f>IF(A570='Data Entry - SOF'!B$2,'Data Entry - SOF'!M$64,0)</f>
        <v>0</v>
      </c>
      <c r="Y570" s="1371" t="e">
        <f t="shared" si="104"/>
        <v>#DIV/0!</v>
      </c>
      <c r="Z570" s="2212" t="e">
        <f>IF('Report-M&amp;O2223'!C$18-'Report-SOF2223'!D$55&lt;=0,0,'Report-M&amp;O2223'!C$18-'Report-SOF2223'!D$55)</f>
        <v>#DIV/0!</v>
      </c>
      <c r="AA570" s="1708">
        <f>IF(A570='Data Entry - SOF'!B$2,'Data Entry - SOF'!O$64,0)</f>
        <v>0</v>
      </c>
    </row>
    <row r="571" spans="1:27" ht="15.75">
      <c r="A571" s="1076" t="s">
        <v>529</v>
      </c>
      <c r="B571">
        <v>4298814</v>
      </c>
      <c r="C571" s="2452" t="e">
        <f>#REF!+#REF!</f>
        <v>#REF!</v>
      </c>
      <c r="D571" s="2449">
        <f>IF(A571='Data Entry - SOF'!B$2,'Data Entry - SOF'!C$64,0)</f>
        <v>0</v>
      </c>
      <c r="E571" s="2450">
        <f t="shared" si="105"/>
        <v>4298814</v>
      </c>
      <c r="F571" s="2212" t="e">
        <f>IF('Report-M&amp;O1718'!C$18-'Report-SOF1718'!D$55&lt;=0,0,'Report-M&amp;O1718'!C$18-'Report-SOF1718'!D$55)</f>
        <v>#DIV/0!</v>
      </c>
      <c r="G571" s="2452" t="e">
        <f t="shared" si="97"/>
        <v>#DIV/0!</v>
      </c>
      <c r="H571" s="2449">
        <f>IF(A571='Data Entry - SOF'!B$2,'Data Entry - SOF'!E$64,0)</f>
        <v>0</v>
      </c>
      <c r="I571" s="1687">
        <f t="shared" si="98"/>
        <v>4298814</v>
      </c>
      <c r="J571" s="2212" t="e">
        <f>IF('Report-M&amp;O1819'!C$18-'Report-SOF1819'!D$55&lt;=0,0,'Report-M&amp;O1819'!C$18-'Report-SOF1819'!D$55)</f>
        <v>#DIV/0!</v>
      </c>
      <c r="K571" s="2452" t="e">
        <f t="shared" si="99"/>
        <v>#DIV/0!</v>
      </c>
      <c r="L571" s="2449">
        <f>IF(A571='Data Entry - SOF'!B$2,'Data Entry - SOF'!G$64,0)</f>
        <v>0</v>
      </c>
      <c r="M571" s="1371">
        <f t="shared" si="100"/>
        <v>4298814</v>
      </c>
      <c r="N571" s="2212" t="e">
        <f>IF('Report-M&amp;O1920'!C$18-'Report-SOF1920'!D$55&lt;=0,0,'Report-M&amp;O1920'!C$18-'Report-SOF1920'!D$55)</f>
        <v>#DIV/0!</v>
      </c>
      <c r="O571" s="2452" t="e">
        <f t="shared" si="101"/>
        <v>#DIV/0!</v>
      </c>
      <c r="P571" s="2449">
        <f>IF(A571='Data Entry - SOF'!B$2,'Data Entry - SOF'!I$64,0)</f>
        <v>0</v>
      </c>
      <c r="Q571" s="1687">
        <f t="shared" si="96"/>
        <v>4298814</v>
      </c>
      <c r="R571" s="2212" t="e">
        <f>IF('Report-M&amp;O2021'!C$18-'Report-SOF2021'!D$55&lt;=0,0,'Report-M&amp;O2021'!C$18-'Report-SOF2021'!D$55)</f>
        <v>#DIV/0!</v>
      </c>
      <c r="S571" s="2452" t="e">
        <f t="shared" si="102"/>
        <v>#DIV/0!</v>
      </c>
      <c r="T571" s="1708">
        <f>IF(A571='Data Entry - SOF'!B$2,'Data Entry - SOF'!K$64,0)</f>
        <v>0</v>
      </c>
      <c r="U571" s="1687">
        <f t="shared" si="106"/>
        <v>4298814</v>
      </c>
      <c r="V571" s="2212" t="e">
        <f>IF('Report-M&amp;O2122'!C$18-'Report-SOF2122'!D$55&lt;=0,0,'Report-M&amp;O2122'!C$18-'Report-SOF2122'!D$55)</f>
        <v>#DIV/0!</v>
      </c>
      <c r="W571" s="2452" t="e">
        <f t="shared" si="103"/>
        <v>#DIV/0!</v>
      </c>
      <c r="X571" s="1708">
        <f>IF(A571='Data Entry - SOF'!B$2,'Data Entry - SOF'!M$64,0)</f>
        <v>0</v>
      </c>
      <c r="Y571" s="1371" t="e">
        <f t="shared" si="104"/>
        <v>#DIV/0!</v>
      </c>
      <c r="Z571" s="2212" t="e">
        <f>IF('Report-M&amp;O2223'!C$18-'Report-SOF2223'!D$55&lt;=0,0,'Report-M&amp;O2223'!C$18-'Report-SOF2223'!D$55)</f>
        <v>#DIV/0!</v>
      </c>
      <c r="AA571" s="1708">
        <f>IF(A571='Data Entry - SOF'!B$2,'Data Entry - SOF'!O$64,0)</f>
        <v>0</v>
      </c>
    </row>
    <row r="572" spans="1:27" ht="15.75">
      <c r="A572" s="1076" t="s">
        <v>2601</v>
      </c>
      <c r="B572">
        <v>52488</v>
      </c>
      <c r="C572" s="2452" t="e">
        <f>#REF!+#REF!</f>
        <v>#REF!</v>
      </c>
      <c r="D572" s="2449">
        <f>IF(A572='Data Entry - SOF'!B$2,'Data Entry - SOF'!C$64,0)</f>
        <v>0</v>
      </c>
      <c r="E572" s="2450">
        <f t="shared" si="105"/>
        <v>52488</v>
      </c>
      <c r="F572" s="2212" t="e">
        <f>IF('Report-M&amp;O1718'!C$18-'Report-SOF1718'!D$55&lt;=0,0,'Report-M&amp;O1718'!C$18-'Report-SOF1718'!D$55)</f>
        <v>#DIV/0!</v>
      </c>
      <c r="G572" s="2452" t="e">
        <f t="shared" si="97"/>
        <v>#DIV/0!</v>
      </c>
      <c r="H572" s="2449">
        <f>IF(A572='Data Entry - SOF'!B$2,'Data Entry - SOF'!E$64,0)</f>
        <v>0</v>
      </c>
      <c r="I572" s="1687">
        <f t="shared" si="98"/>
        <v>52488</v>
      </c>
      <c r="J572" s="2212" t="e">
        <f>IF('Report-M&amp;O1819'!C$18-'Report-SOF1819'!D$55&lt;=0,0,'Report-M&amp;O1819'!C$18-'Report-SOF1819'!D$55)</f>
        <v>#DIV/0!</v>
      </c>
      <c r="K572" s="2452" t="e">
        <f t="shared" si="99"/>
        <v>#DIV/0!</v>
      </c>
      <c r="L572" s="2449">
        <f>IF(A572='Data Entry - SOF'!B$2,'Data Entry - SOF'!G$64,0)</f>
        <v>0</v>
      </c>
      <c r="M572" s="1371">
        <f t="shared" si="100"/>
        <v>52488</v>
      </c>
      <c r="N572" s="2212" t="e">
        <f>IF('Report-M&amp;O1920'!C$18-'Report-SOF1920'!D$55&lt;=0,0,'Report-M&amp;O1920'!C$18-'Report-SOF1920'!D$55)</f>
        <v>#DIV/0!</v>
      </c>
      <c r="O572" s="2452" t="e">
        <f t="shared" si="101"/>
        <v>#DIV/0!</v>
      </c>
      <c r="P572" s="2449">
        <f>IF(A572='Data Entry - SOF'!B$2,'Data Entry - SOF'!I$64,0)</f>
        <v>0</v>
      </c>
      <c r="Q572" s="1687">
        <f t="shared" si="96"/>
        <v>52488</v>
      </c>
      <c r="R572" s="2212" t="e">
        <f>IF('Report-M&amp;O2021'!C$18-'Report-SOF2021'!D$55&lt;=0,0,'Report-M&amp;O2021'!C$18-'Report-SOF2021'!D$55)</f>
        <v>#DIV/0!</v>
      </c>
      <c r="S572" s="2452" t="e">
        <f t="shared" si="102"/>
        <v>#DIV/0!</v>
      </c>
      <c r="T572" s="1708">
        <f>IF(A572='Data Entry - SOF'!B$2,'Data Entry - SOF'!K$64,0)</f>
        <v>0</v>
      </c>
      <c r="U572" s="1687">
        <f t="shared" si="106"/>
        <v>52488</v>
      </c>
      <c r="V572" s="2212" t="e">
        <f>IF('Report-M&amp;O2122'!C$18-'Report-SOF2122'!D$55&lt;=0,0,'Report-M&amp;O2122'!C$18-'Report-SOF2122'!D$55)</f>
        <v>#DIV/0!</v>
      </c>
      <c r="W572" s="2452" t="e">
        <f t="shared" si="103"/>
        <v>#DIV/0!</v>
      </c>
      <c r="X572" s="1708">
        <f>IF(A572='Data Entry - SOF'!B$2,'Data Entry - SOF'!M$64,0)</f>
        <v>0</v>
      </c>
      <c r="Y572" s="1371" t="e">
        <f t="shared" si="104"/>
        <v>#DIV/0!</v>
      </c>
      <c r="Z572" s="2212" t="e">
        <f>IF('Report-M&amp;O2223'!C$18-'Report-SOF2223'!D$55&lt;=0,0,'Report-M&amp;O2223'!C$18-'Report-SOF2223'!D$55)</f>
        <v>#DIV/0!</v>
      </c>
      <c r="AA572" s="1708">
        <f>IF(A572='Data Entry - SOF'!B$2,'Data Entry - SOF'!O$64,0)</f>
        <v>0</v>
      </c>
    </row>
    <row r="573" spans="1:27" ht="15.75">
      <c r="A573" s="1076" t="s">
        <v>2602</v>
      </c>
      <c r="B573">
        <v>1745206</v>
      </c>
      <c r="C573" s="2452" t="e">
        <f>#REF!+#REF!</f>
        <v>#REF!</v>
      </c>
      <c r="D573" s="2449">
        <f>IF(A573='Data Entry - SOF'!B$2,'Data Entry - SOF'!C$64,0)</f>
        <v>0</v>
      </c>
      <c r="E573" s="2450">
        <f t="shared" si="105"/>
        <v>1745206</v>
      </c>
      <c r="F573" s="2212" t="e">
        <f>IF('Report-M&amp;O1718'!C$18-'Report-SOF1718'!D$55&lt;=0,0,'Report-M&amp;O1718'!C$18-'Report-SOF1718'!D$55)</f>
        <v>#DIV/0!</v>
      </c>
      <c r="G573" s="2452" t="e">
        <f t="shared" si="97"/>
        <v>#DIV/0!</v>
      </c>
      <c r="H573" s="2449">
        <f>IF(A573='Data Entry - SOF'!B$2,'Data Entry - SOF'!E$64,0)</f>
        <v>0</v>
      </c>
      <c r="I573" s="1687">
        <f t="shared" si="98"/>
        <v>1745206</v>
      </c>
      <c r="J573" s="2212" t="e">
        <f>IF('Report-M&amp;O1819'!C$18-'Report-SOF1819'!D$55&lt;=0,0,'Report-M&amp;O1819'!C$18-'Report-SOF1819'!D$55)</f>
        <v>#DIV/0!</v>
      </c>
      <c r="K573" s="2452" t="e">
        <f t="shared" si="99"/>
        <v>#DIV/0!</v>
      </c>
      <c r="L573" s="2449">
        <f>IF(A573='Data Entry - SOF'!B$2,'Data Entry - SOF'!G$64,0)</f>
        <v>0</v>
      </c>
      <c r="M573" s="1371">
        <f t="shared" si="100"/>
        <v>1745206</v>
      </c>
      <c r="N573" s="2212" t="e">
        <f>IF('Report-M&amp;O1920'!C$18-'Report-SOF1920'!D$55&lt;=0,0,'Report-M&amp;O1920'!C$18-'Report-SOF1920'!D$55)</f>
        <v>#DIV/0!</v>
      </c>
      <c r="O573" s="2452" t="e">
        <f t="shared" si="101"/>
        <v>#DIV/0!</v>
      </c>
      <c r="P573" s="2449">
        <f>IF(A573='Data Entry - SOF'!B$2,'Data Entry - SOF'!I$64,0)</f>
        <v>0</v>
      </c>
      <c r="Q573" s="1687">
        <f>M573-P573</f>
        <v>1745206</v>
      </c>
      <c r="R573" s="2212" t="e">
        <f>IF('Report-M&amp;O2021'!C$18-'Report-SOF2021'!D$55&lt;=0,0,'Report-M&amp;O2021'!C$18-'Report-SOF2021'!D$55)</f>
        <v>#DIV/0!</v>
      </c>
      <c r="S573" s="2452" t="e">
        <f t="shared" si="102"/>
        <v>#DIV/0!</v>
      </c>
      <c r="T573" s="1708">
        <f>IF(A573='Data Entry - SOF'!B$2,'Data Entry - SOF'!K$64,0)</f>
        <v>0</v>
      </c>
      <c r="U573" s="1687">
        <f t="shared" ref="U573:U588" si="107">Q573-T573</f>
        <v>1745206</v>
      </c>
      <c r="V573" s="2212" t="e">
        <f>IF('Report-M&amp;O2122'!C$18-'Report-SOF2122'!D$55&lt;=0,0,'Report-M&amp;O2122'!C$18-'Report-SOF2122'!D$55)</f>
        <v>#DIV/0!</v>
      </c>
      <c r="W573" s="2452" t="e">
        <f t="shared" si="103"/>
        <v>#DIV/0!</v>
      </c>
      <c r="X573" s="1708">
        <f>IF(A573='Data Entry - SOF'!B$2,'Data Entry - SOF'!M$64,0)</f>
        <v>0</v>
      </c>
      <c r="Y573" s="1371" t="e">
        <f t="shared" si="104"/>
        <v>#DIV/0!</v>
      </c>
      <c r="Z573" s="2212" t="e">
        <f>IF('Report-M&amp;O2223'!C$18-'Report-SOF2223'!D$55&lt;=0,0,'Report-M&amp;O2223'!C$18-'Report-SOF2223'!D$55)</f>
        <v>#DIV/0!</v>
      </c>
      <c r="AA573" s="1708">
        <f>IF(A573='Data Entry - SOF'!B$2,'Data Entry - SOF'!O$64,0)</f>
        <v>0</v>
      </c>
    </row>
    <row r="574" spans="1:27" ht="15.75">
      <c r="A574" s="1076" t="s">
        <v>1727</v>
      </c>
      <c r="B574">
        <v>8143772</v>
      </c>
      <c r="C574" s="2452" t="e">
        <f>#REF!+#REF!</f>
        <v>#REF!</v>
      </c>
      <c r="D574" s="2449">
        <f>IF(A574='Data Entry - SOF'!B$2,'Data Entry - SOF'!C$64,0)</f>
        <v>0</v>
      </c>
      <c r="E574" s="2450">
        <f t="shared" si="105"/>
        <v>8143772</v>
      </c>
      <c r="F574" s="2212" t="e">
        <f>IF('Report-M&amp;O1718'!C$18-'Report-SOF1718'!D$55&lt;=0,0,'Report-M&amp;O1718'!C$18-'Report-SOF1718'!D$55)</f>
        <v>#DIV/0!</v>
      </c>
      <c r="G574" s="2452" t="e">
        <f t="shared" si="97"/>
        <v>#DIV/0!</v>
      </c>
      <c r="H574" s="2449">
        <f>IF(A574='Data Entry - SOF'!B$2,'Data Entry - SOF'!E$64,0)</f>
        <v>0</v>
      </c>
      <c r="I574" s="1687">
        <f t="shared" si="98"/>
        <v>8143772</v>
      </c>
      <c r="J574" s="2212" t="e">
        <f>IF('Report-M&amp;O1819'!C$18-'Report-SOF1819'!D$55&lt;=0,0,'Report-M&amp;O1819'!C$18-'Report-SOF1819'!D$55)</f>
        <v>#DIV/0!</v>
      </c>
      <c r="K574" s="2452" t="e">
        <f t="shared" si="99"/>
        <v>#DIV/0!</v>
      </c>
      <c r="L574" s="2449">
        <f>IF(A574='Data Entry - SOF'!B$2,'Data Entry - SOF'!G$64,0)</f>
        <v>0</v>
      </c>
      <c r="M574" s="1371">
        <f t="shared" si="100"/>
        <v>8143772</v>
      </c>
      <c r="N574" s="2212" t="e">
        <f>IF('Report-M&amp;O1920'!C$18-'Report-SOF1920'!D$55&lt;=0,0,'Report-M&amp;O1920'!C$18-'Report-SOF1920'!D$55)</f>
        <v>#DIV/0!</v>
      </c>
      <c r="O574" s="2452" t="e">
        <f t="shared" si="101"/>
        <v>#DIV/0!</v>
      </c>
      <c r="P574" s="2449">
        <f>IF(A574='Data Entry - SOF'!B$2,'Data Entry - SOF'!I$64,0)</f>
        <v>0</v>
      </c>
      <c r="Q574" s="1687">
        <f t="shared" ref="Q574:Q636" si="108">M574-P574</f>
        <v>8143772</v>
      </c>
      <c r="R574" s="2212" t="e">
        <f>IF('Report-M&amp;O2021'!C$18-'Report-SOF2021'!D$55&lt;=0,0,'Report-M&amp;O2021'!C$18-'Report-SOF2021'!D$55)</f>
        <v>#DIV/0!</v>
      </c>
      <c r="S574" s="2452" t="e">
        <f t="shared" si="102"/>
        <v>#DIV/0!</v>
      </c>
      <c r="T574" s="1708">
        <f>IF(A574='Data Entry - SOF'!B$2,'Data Entry - SOF'!K$64,0)</f>
        <v>0</v>
      </c>
      <c r="U574" s="1687">
        <f t="shared" si="107"/>
        <v>8143772</v>
      </c>
      <c r="V574" s="2212" t="e">
        <f>IF('Report-M&amp;O2122'!C$18-'Report-SOF2122'!D$55&lt;=0,0,'Report-M&amp;O2122'!C$18-'Report-SOF2122'!D$55)</f>
        <v>#DIV/0!</v>
      </c>
      <c r="W574" s="2452" t="e">
        <f t="shared" si="103"/>
        <v>#DIV/0!</v>
      </c>
      <c r="X574" s="1708">
        <f>IF(A574='Data Entry - SOF'!B$2,'Data Entry - SOF'!M$64,0)</f>
        <v>0</v>
      </c>
      <c r="Y574" s="1371" t="e">
        <f t="shared" si="104"/>
        <v>#DIV/0!</v>
      </c>
      <c r="Z574" s="2212" t="e">
        <f>IF('Report-M&amp;O2223'!C$18-'Report-SOF2223'!D$55&lt;=0,0,'Report-M&amp;O2223'!C$18-'Report-SOF2223'!D$55)</f>
        <v>#DIV/0!</v>
      </c>
      <c r="AA574" s="1708">
        <f>IF(A574='Data Entry - SOF'!B$2,'Data Entry - SOF'!O$64,0)</f>
        <v>0</v>
      </c>
    </row>
    <row r="575" spans="1:27" ht="15.75">
      <c r="A575" s="1076" t="s">
        <v>1728</v>
      </c>
      <c r="B575">
        <v>1756048</v>
      </c>
      <c r="C575" s="2452" t="e">
        <f>#REF!+#REF!</f>
        <v>#REF!</v>
      </c>
      <c r="D575" s="2449">
        <f>IF(A575='Data Entry - SOF'!B$2,'Data Entry - SOF'!C$64,0)</f>
        <v>0</v>
      </c>
      <c r="E575" s="2450">
        <f t="shared" si="105"/>
        <v>1756048</v>
      </c>
      <c r="F575" s="2212" t="e">
        <f>IF('Report-M&amp;O1718'!C$18-'Report-SOF1718'!D$55&lt;=0,0,'Report-M&amp;O1718'!C$18-'Report-SOF1718'!D$55)</f>
        <v>#DIV/0!</v>
      </c>
      <c r="G575" s="2452" t="e">
        <f t="shared" si="97"/>
        <v>#DIV/0!</v>
      </c>
      <c r="H575" s="2449">
        <f>IF(A575='Data Entry - SOF'!B$2,'Data Entry - SOF'!E$64,0)</f>
        <v>0</v>
      </c>
      <c r="I575" s="1687">
        <f t="shared" si="98"/>
        <v>1756048</v>
      </c>
      <c r="J575" s="2212" t="e">
        <f>IF('Report-M&amp;O1819'!C$18-'Report-SOF1819'!D$55&lt;=0,0,'Report-M&amp;O1819'!C$18-'Report-SOF1819'!D$55)</f>
        <v>#DIV/0!</v>
      </c>
      <c r="K575" s="2452" t="e">
        <f t="shared" si="99"/>
        <v>#DIV/0!</v>
      </c>
      <c r="L575" s="2449">
        <f>IF(A575='Data Entry - SOF'!B$2,'Data Entry - SOF'!G$64,0)</f>
        <v>0</v>
      </c>
      <c r="M575" s="1371">
        <f t="shared" si="100"/>
        <v>1756048</v>
      </c>
      <c r="N575" s="2212" t="e">
        <f>IF('Report-M&amp;O1920'!C$18-'Report-SOF1920'!D$55&lt;=0,0,'Report-M&amp;O1920'!C$18-'Report-SOF1920'!D$55)</f>
        <v>#DIV/0!</v>
      </c>
      <c r="O575" s="2452" t="e">
        <f t="shared" si="101"/>
        <v>#DIV/0!</v>
      </c>
      <c r="P575" s="2449">
        <f>IF(A575='Data Entry - SOF'!B$2,'Data Entry - SOF'!I$64,0)</f>
        <v>0</v>
      </c>
      <c r="Q575" s="1687">
        <f t="shared" si="108"/>
        <v>1756048</v>
      </c>
      <c r="R575" s="2212" t="e">
        <f>IF('Report-M&amp;O2021'!C$18-'Report-SOF2021'!D$55&lt;=0,0,'Report-M&amp;O2021'!C$18-'Report-SOF2021'!D$55)</f>
        <v>#DIV/0!</v>
      </c>
      <c r="S575" s="2452" t="e">
        <f t="shared" si="102"/>
        <v>#DIV/0!</v>
      </c>
      <c r="T575" s="1708">
        <f>IF(A575='Data Entry - SOF'!B$2,'Data Entry - SOF'!K$64,0)</f>
        <v>0</v>
      </c>
      <c r="U575" s="1687">
        <f t="shared" si="107"/>
        <v>1756048</v>
      </c>
      <c r="V575" s="2212" t="e">
        <f>IF('Report-M&amp;O2122'!C$18-'Report-SOF2122'!D$55&lt;=0,0,'Report-M&amp;O2122'!C$18-'Report-SOF2122'!D$55)</f>
        <v>#DIV/0!</v>
      </c>
      <c r="W575" s="2452" t="e">
        <f t="shared" si="103"/>
        <v>#DIV/0!</v>
      </c>
      <c r="X575" s="1708">
        <f>IF(A575='Data Entry - SOF'!B$2,'Data Entry - SOF'!M$64,0)</f>
        <v>0</v>
      </c>
      <c r="Y575" s="1371" t="e">
        <f t="shared" si="104"/>
        <v>#DIV/0!</v>
      </c>
      <c r="Z575" s="2212" t="e">
        <f>IF('Report-M&amp;O2223'!C$18-'Report-SOF2223'!D$55&lt;=0,0,'Report-M&amp;O2223'!C$18-'Report-SOF2223'!D$55)</f>
        <v>#DIV/0!</v>
      </c>
      <c r="AA575" s="1708">
        <f>IF(A575='Data Entry - SOF'!B$2,'Data Entry - SOF'!O$64,0)</f>
        <v>0</v>
      </c>
    </row>
    <row r="576" spans="1:27" ht="15.75">
      <c r="A576" s="1076" t="s">
        <v>2872</v>
      </c>
      <c r="B576">
        <v>5732900</v>
      </c>
      <c r="C576" s="2452" t="e">
        <f>#REF!+#REF!</f>
        <v>#REF!</v>
      </c>
      <c r="D576" s="2449">
        <f>IF(A576='Data Entry - SOF'!B$2,'Data Entry - SOF'!C$64,0)</f>
        <v>0</v>
      </c>
      <c r="E576" s="2450">
        <f t="shared" si="105"/>
        <v>5732900</v>
      </c>
      <c r="F576" s="2212" t="e">
        <f>IF('Report-M&amp;O1718'!C$18-'Report-SOF1718'!D$55&lt;=0,0,'Report-M&amp;O1718'!C$18-'Report-SOF1718'!D$55)</f>
        <v>#DIV/0!</v>
      </c>
      <c r="G576" s="2452" t="e">
        <f t="shared" si="97"/>
        <v>#DIV/0!</v>
      </c>
      <c r="H576" s="2449">
        <f>IF(A576='Data Entry - SOF'!B$2,'Data Entry - SOF'!E$64,0)</f>
        <v>0</v>
      </c>
      <c r="I576" s="1687">
        <f t="shared" si="98"/>
        <v>5732900</v>
      </c>
      <c r="J576" s="2212" t="e">
        <f>IF('Report-M&amp;O1819'!C$18-'Report-SOF1819'!D$55&lt;=0,0,'Report-M&amp;O1819'!C$18-'Report-SOF1819'!D$55)</f>
        <v>#DIV/0!</v>
      </c>
      <c r="K576" s="2452" t="e">
        <f t="shared" si="99"/>
        <v>#DIV/0!</v>
      </c>
      <c r="L576" s="2449">
        <f>IF(A576='Data Entry - SOF'!B$2,'Data Entry - SOF'!G$64,0)</f>
        <v>0</v>
      </c>
      <c r="M576" s="1371">
        <f t="shared" si="100"/>
        <v>5732900</v>
      </c>
      <c r="N576" s="2212" t="e">
        <f>IF('Report-M&amp;O1920'!C$18-'Report-SOF1920'!D$55&lt;=0,0,'Report-M&amp;O1920'!C$18-'Report-SOF1920'!D$55)</f>
        <v>#DIV/0!</v>
      </c>
      <c r="O576" s="2452" t="e">
        <f t="shared" si="101"/>
        <v>#DIV/0!</v>
      </c>
      <c r="P576" s="2449">
        <f>IF(A576='Data Entry - SOF'!B$2,'Data Entry - SOF'!I$64,0)</f>
        <v>0</v>
      </c>
      <c r="Q576" s="1687">
        <f t="shared" si="108"/>
        <v>5732900</v>
      </c>
      <c r="R576" s="2212" t="e">
        <f>IF('Report-M&amp;O2021'!C$18-'Report-SOF2021'!D$55&lt;=0,0,'Report-M&amp;O2021'!C$18-'Report-SOF2021'!D$55)</f>
        <v>#DIV/0!</v>
      </c>
      <c r="S576" s="2452" t="e">
        <f t="shared" si="102"/>
        <v>#DIV/0!</v>
      </c>
      <c r="T576" s="1708">
        <f>IF(A576='Data Entry - SOF'!B$2,'Data Entry - SOF'!K$64,0)</f>
        <v>0</v>
      </c>
      <c r="U576" s="1687">
        <f t="shared" si="107"/>
        <v>5732900</v>
      </c>
      <c r="V576" s="2212" t="e">
        <f>IF('Report-M&amp;O2122'!C$18-'Report-SOF2122'!D$55&lt;=0,0,'Report-M&amp;O2122'!C$18-'Report-SOF2122'!D$55)</f>
        <v>#DIV/0!</v>
      </c>
      <c r="W576" s="2452" t="e">
        <f t="shared" si="103"/>
        <v>#DIV/0!</v>
      </c>
      <c r="X576" s="1708">
        <f>IF(A576='Data Entry - SOF'!B$2,'Data Entry - SOF'!M$64,0)</f>
        <v>0</v>
      </c>
      <c r="Y576" s="1371" t="e">
        <f t="shared" si="104"/>
        <v>#DIV/0!</v>
      </c>
      <c r="Z576" s="2212" t="e">
        <f>IF('Report-M&amp;O2223'!C$18-'Report-SOF2223'!D$55&lt;=0,0,'Report-M&amp;O2223'!C$18-'Report-SOF2223'!D$55)</f>
        <v>#DIV/0!</v>
      </c>
      <c r="AA576" s="1708">
        <f>IF(A576='Data Entry - SOF'!B$2,'Data Entry - SOF'!O$64,0)</f>
        <v>0</v>
      </c>
    </row>
    <row r="577" spans="1:27" ht="15.75">
      <c r="A577" s="1076" t="s">
        <v>429</v>
      </c>
      <c r="B577">
        <v>3154911</v>
      </c>
      <c r="C577" s="2452" t="e">
        <f>#REF!+#REF!</f>
        <v>#REF!</v>
      </c>
      <c r="D577" s="2449">
        <f>IF(A577='Data Entry - SOF'!B$2,'Data Entry - SOF'!C$64,0)</f>
        <v>0</v>
      </c>
      <c r="E577" s="2450">
        <f t="shared" si="105"/>
        <v>3154911</v>
      </c>
      <c r="F577" s="2212" t="e">
        <f>IF('Report-M&amp;O1718'!C$18-'Report-SOF1718'!D$55&lt;=0,0,'Report-M&amp;O1718'!C$18-'Report-SOF1718'!D$55)</f>
        <v>#DIV/0!</v>
      </c>
      <c r="G577" s="2452" t="e">
        <f t="shared" si="97"/>
        <v>#DIV/0!</v>
      </c>
      <c r="H577" s="2449">
        <f>IF(A577='Data Entry - SOF'!B$2,'Data Entry - SOF'!E$64,0)</f>
        <v>0</v>
      </c>
      <c r="I577" s="1687">
        <f t="shared" si="98"/>
        <v>3154911</v>
      </c>
      <c r="J577" s="2212" t="e">
        <f>IF('Report-M&amp;O1819'!C$18-'Report-SOF1819'!D$55&lt;=0,0,'Report-M&amp;O1819'!C$18-'Report-SOF1819'!D$55)</f>
        <v>#DIV/0!</v>
      </c>
      <c r="K577" s="2452" t="e">
        <f t="shared" si="99"/>
        <v>#DIV/0!</v>
      </c>
      <c r="L577" s="2449">
        <f>IF(A577='Data Entry - SOF'!B$2,'Data Entry - SOF'!G$64,0)</f>
        <v>0</v>
      </c>
      <c r="M577" s="1371">
        <f t="shared" si="100"/>
        <v>3154911</v>
      </c>
      <c r="N577" s="2212" t="e">
        <f>IF('Report-M&amp;O1920'!C$18-'Report-SOF1920'!D$55&lt;=0,0,'Report-M&amp;O1920'!C$18-'Report-SOF1920'!D$55)</f>
        <v>#DIV/0!</v>
      </c>
      <c r="O577" s="2452" t="e">
        <f t="shared" si="101"/>
        <v>#DIV/0!</v>
      </c>
      <c r="P577" s="2449">
        <f>IF(A577='Data Entry - SOF'!B$2,'Data Entry - SOF'!I$64,0)</f>
        <v>0</v>
      </c>
      <c r="Q577" s="1687">
        <f t="shared" si="108"/>
        <v>3154911</v>
      </c>
      <c r="R577" s="2212" t="e">
        <f>IF('Report-M&amp;O2021'!C$18-'Report-SOF2021'!D$55&lt;=0,0,'Report-M&amp;O2021'!C$18-'Report-SOF2021'!D$55)</f>
        <v>#DIV/0!</v>
      </c>
      <c r="S577" s="2452" t="e">
        <f t="shared" si="102"/>
        <v>#DIV/0!</v>
      </c>
      <c r="T577" s="1708">
        <f>IF(A577='Data Entry - SOF'!B$2,'Data Entry - SOF'!K$64,0)</f>
        <v>0</v>
      </c>
      <c r="U577" s="1687">
        <f t="shared" si="107"/>
        <v>3154911</v>
      </c>
      <c r="V577" s="2212" t="e">
        <f>IF('Report-M&amp;O2122'!C$18-'Report-SOF2122'!D$55&lt;=0,0,'Report-M&amp;O2122'!C$18-'Report-SOF2122'!D$55)</f>
        <v>#DIV/0!</v>
      </c>
      <c r="W577" s="2452" t="e">
        <f t="shared" si="103"/>
        <v>#DIV/0!</v>
      </c>
      <c r="X577" s="1708">
        <f>IF(A577='Data Entry - SOF'!B$2,'Data Entry - SOF'!M$64,0)</f>
        <v>0</v>
      </c>
      <c r="Y577" s="1371" t="e">
        <f t="shared" si="104"/>
        <v>#DIV/0!</v>
      </c>
      <c r="Z577" s="2212" t="e">
        <f>IF('Report-M&amp;O2223'!C$18-'Report-SOF2223'!D$55&lt;=0,0,'Report-M&amp;O2223'!C$18-'Report-SOF2223'!D$55)</f>
        <v>#DIV/0!</v>
      </c>
      <c r="AA577" s="1708">
        <f>IF(A577='Data Entry - SOF'!B$2,'Data Entry - SOF'!O$64,0)</f>
        <v>0</v>
      </c>
    </row>
    <row r="578" spans="1:27" ht="15.75">
      <c r="A578" s="1076" t="s">
        <v>430</v>
      </c>
      <c r="B578">
        <v>799198</v>
      </c>
      <c r="C578" s="2452" t="e">
        <f>#REF!+#REF!</f>
        <v>#REF!</v>
      </c>
      <c r="D578" s="2449">
        <f>IF(A578='Data Entry - SOF'!B$2,'Data Entry - SOF'!C$64,0)</f>
        <v>0</v>
      </c>
      <c r="E578" s="2450">
        <f t="shared" si="105"/>
        <v>799198</v>
      </c>
      <c r="F578" s="2212" t="e">
        <f>IF('Report-M&amp;O1718'!C$18-'Report-SOF1718'!D$55&lt;=0,0,'Report-M&amp;O1718'!C$18-'Report-SOF1718'!D$55)</f>
        <v>#DIV/0!</v>
      </c>
      <c r="G578" s="2452" t="e">
        <f t="shared" si="97"/>
        <v>#DIV/0!</v>
      </c>
      <c r="H578" s="2449">
        <f>IF(A578='Data Entry - SOF'!B$2,'Data Entry - SOF'!E$64,0)</f>
        <v>0</v>
      </c>
      <c r="I578" s="1687">
        <f t="shared" si="98"/>
        <v>799198</v>
      </c>
      <c r="J578" s="2212" t="e">
        <f>IF('Report-M&amp;O1819'!C$18-'Report-SOF1819'!D$55&lt;=0,0,'Report-M&amp;O1819'!C$18-'Report-SOF1819'!D$55)</f>
        <v>#DIV/0!</v>
      </c>
      <c r="K578" s="2452" t="e">
        <f t="shared" si="99"/>
        <v>#DIV/0!</v>
      </c>
      <c r="L578" s="2449">
        <f>IF(A578='Data Entry - SOF'!B$2,'Data Entry - SOF'!G$64,0)</f>
        <v>0</v>
      </c>
      <c r="M578" s="1371">
        <f t="shared" si="100"/>
        <v>799198</v>
      </c>
      <c r="N578" s="2212" t="e">
        <f>IF('Report-M&amp;O1920'!C$18-'Report-SOF1920'!D$55&lt;=0,0,'Report-M&amp;O1920'!C$18-'Report-SOF1920'!D$55)</f>
        <v>#DIV/0!</v>
      </c>
      <c r="O578" s="2452" t="e">
        <f t="shared" si="101"/>
        <v>#DIV/0!</v>
      </c>
      <c r="P578" s="2449">
        <f>IF(A578='Data Entry - SOF'!B$2,'Data Entry - SOF'!I$64,0)</f>
        <v>0</v>
      </c>
      <c r="Q578" s="1687">
        <f t="shared" si="108"/>
        <v>799198</v>
      </c>
      <c r="R578" s="2212" t="e">
        <f>IF('Report-M&amp;O2021'!C$18-'Report-SOF2021'!D$55&lt;=0,0,'Report-M&amp;O2021'!C$18-'Report-SOF2021'!D$55)</f>
        <v>#DIV/0!</v>
      </c>
      <c r="S578" s="2452" t="e">
        <f t="shared" si="102"/>
        <v>#DIV/0!</v>
      </c>
      <c r="T578" s="1708">
        <f>IF(A578='Data Entry - SOF'!B$2,'Data Entry - SOF'!K$64,0)</f>
        <v>0</v>
      </c>
      <c r="U578" s="1687">
        <f t="shared" si="107"/>
        <v>799198</v>
      </c>
      <c r="V578" s="2212" t="e">
        <f>IF('Report-M&amp;O2122'!C$18-'Report-SOF2122'!D$55&lt;=0,0,'Report-M&amp;O2122'!C$18-'Report-SOF2122'!D$55)</f>
        <v>#DIV/0!</v>
      </c>
      <c r="W578" s="2452" t="e">
        <f t="shared" si="103"/>
        <v>#DIV/0!</v>
      </c>
      <c r="X578" s="1708">
        <f>IF(A578='Data Entry - SOF'!B$2,'Data Entry - SOF'!M$64,0)</f>
        <v>0</v>
      </c>
      <c r="Y578" s="1371" t="e">
        <f t="shared" si="104"/>
        <v>#DIV/0!</v>
      </c>
      <c r="Z578" s="2212" t="e">
        <f>IF('Report-M&amp;O2223'!C$18-'Report-SOF2223'!D$55&lt;=0,0,'Report-M&amp;O2223'!C$18-'Report-SOF2223'!D$55)</f>
        <v>#DIV/0!</v>
      </c>
      <c r="AA578" s="1708">
        <f>IF(A578='Data Entry - SOF'!B$2,'Data Entry - SOF'!O$64,0)</f>
        <v>0</v>
      </c>
    </row>
    <row r="579" spans="1:27" ht="15.75">
      <c r="A579" s="1076" t="s">
        <v>431</v>
      </c>
      <c r="B579">
        <v>3115694</v>
      </c>
      <c r="C579" s="2452" t="e">
        <f>#REF!+#REF!</f>
        <v>#REF!</v>
      </c>
      <c r="D579" s="2449">
        <f>IF(A579='Data Entry - SOF'!B$2,'Data Entry - SOF'!C$64,0)</f>
        <v>0</v>
      </c>
      <c r="E579" s="2450">
        <f t="shared" si="105"/>
        <v>3115694</v>
      </c>
      <c r="F579" s="2212" t="e">
        <f>IF('Report-M&amp;O1718'!C$18-'Report-SOF1718'!D$55&lt;=0,0,'Report-M&amp;O1718'!C$18-'Report-SOF1718'!D$55)</f>
        <v>#DIV/0!</v>
      </c>
      <c r="G579" s="2452" t="e">
        <f t="shared" si="97"/>
        <v>#DIV/0!</v>
      </c>
      <c r="H579" s="2449">
        <f>IF(A579='Data Entry - SOF'!B$2,'Data Entry - SOF'!E$64,0)</f>
        <v>0</v>
      </c>
      <c r="I579" s="1687">
        <f t="shared" si="98"/>
        <v>3115694</v>
      </c>
      <c r="J579" s="2212" t="e">
        <f>IF('Report-M&amp;O1819'!C$18-'Report-SOF1819'!D$55&lt;=0,0,'Report-M&amp;O1819'!C$18-'Report-SOF1819'!D$55)</f>
        <v>#DIV/0!</v>
      </c>
      <c r="K579" s="2452" t="e">
        <f t="shared" si="99"/>
        <v>#DIV/0!</v>
      </c>
      <c r="L579" s="2449">
        <f>IF(A579='Data Entry - SOF'!B$2,'Data Entry - SOF'!G$64,0)</f>
        <v>0</v>
      </c>
      <c r="M579" s="1371">
        <f t="shared" si="100"/>
        <v>3115694</v>
      </c>
      <c r="N579" s="2212" t="e">
        <f>IF('Report-M&amp;O1920'!C$18-'Report-SOF1920'!D$55&lt;=0,0,'Report-M&amp;O1920'!C$18-'Report-SOF1920'!D$55)</f>
        <v>#DIV/0!</v>
      </c>
      <c r="O579" s="2452" t="e">
        <f t="shared" si="101"/>
        <v>#DIV/0!</v>
      </c>
      <c r="P579" s="2449">
        <f>IF(A579='Data Entry - SOF'!B$2,'Data Entry - SOF'!I$64,0)</f>
        <v>0</v>
      </c>
      <c r="Q579" s="1687">
        <f t="shared" si="108"/>
        <v>3115694</v>
      </c>
      <c r="R579" s="2212" t="e">
        <f>IF('Report-M&amp;O2021'!C$18-'Report-SOF2021'!D$55&lt;=0,0,'Report-M&amp;O2021'!C$18-'Report-SOF2021'!D$55)</f>
        <v>#DIV/0!</v>
      </c>
      <c r="S579" s="2452" t="e">
        <f t="shared" si="102"/>
        <v>#DIV/0!</v>
      </c>
      <c r="T579" s="1708">
        <f>IF(A579='Data Entry - SOF'!B$2,'Data Entry - SOF'!K$64,0)</f>
        <v>0</v>
      </c>
      <c r="U579" s="1687">
        <f t="shared" si="107"/>
        <v>3115694</v>
      </c>
      <c r="V579" s="2212" t="e">
        <f>IF('Report-M&amp;O2122'!C$18-'Report-SOF2122'!D$55&lt;=0,0,'Report-M&amp;O2122'!C$18-'Report-SOF2122'!D$55)</f>
        <v>#DIV/0!</v>
      </c>
      <c r="W579" s="2452" t="e">
        <f t="shared" si="103"/>
        <v>#DIV/0!</v>
      </c>
      <c r="X579" s="1708">
        <f>IF(A579='Data Entry - SOF'!B$2,'Data Entry - SOF'!M$64,0)</f>
        <v>0</v>
      </c>
      <c r="Y579" s="1371" t="e">
        <f t="shared" si="104"/>
        <v>#DIV/0!</v>
      </c>
      <c r="Z579" s="2212" t="e">
        <f>IF('Report-M&amp;O2223'!C$18-'Report-SOF2223'!D$55&lt;=0,0,'Report-M&amp;O2223'!C$18-'Report-SOF2223'!D$55)</f>
        <v>#DIV/0!</v>
      </c>
      <c r="AA579" s="1708">
        <f>IF(A579='Data Entry - SOF'!B$2,'Data Entry - SOF'!O$64,0)</f>
        <v>0</v>
      </c>
    </row>
    <row r="580" spans="1:27" ht="15.75">
      <c r="A580" s="1076" t="s">
        <v>2873</v>
      </c>
      <c r="B580">
        <v>880629</v>
      </c>
      <c r="C580" s="2452" t="e">
        <f>#REF!+#REF!</f>
        <v>#REF!</v>
      </c>
      <c r="D580" s="2449">
        <f>IF(A580='Data Entry - SOF'!B$2,'Data Entry - SOF'!C$64,0)</f>
        <v>0</v>
      </c>
      <c r="E580" s="2450">
        <f t="shared" si="105"/>
        <v>880629</v>
      </c>
      <c r="F580" s="2212" t="e">
        <f>IF('Report-M&amp;O1718'!C$18-'Report-SOF1718'!D$55&lt;=0,0,'Report-M&amp;O1718'!C$18-'Report-SOF1718'!D$55)</f>
        <v>#DIV/0!</v>
      </c>
      <c r="G580" s="2452" t="e">
        <f t="shared" ref="G580:G643" si="109">E580+F580</f>
        <v>#DIV/0!</v>
      </c>
      <c r="H580" s="2449">
        <f>IF(A580='Data Entry - SOF'!B$2,'Data Entry - SOF'!E$64,0)</f>
        <v>0</v>
      </c>
      <c r="I580" s="1687">
        <f t="shared" ref="I580:I643" si="110">E580-H580</f>
        <v>880629</v>
      </c>
      <c r="J580" s="2212" t="e">
        <f>IF('Report-M&amp;O1819'!C$18-'Report-SOF1819'!D$55&lt;=0,0,'Report-M&amp;O1819'!C$18-'Report-SOF1819'!D$55)</f>
        <v>#DIV/0!</v>
      </c>
      <c r="K580" s="2452" t="e">
        <f t="shared" ref="K580:K643" si="111">I580+J580</f>
        <v>#DIV/0!</v>
      </c>
      <c r="L580" s="2449">
        <f>IF(A580='Data Entry - SOF'!B$2,'Data Entry - SOF'!G$64,0)</f>
        <v>0</v>
      </c>
      <c r="M580" s="1371">
        <f t="shared" ref="M580:M643" si="112">I580-L580</f>
        <v>880629</v>
      </c>
      <c r="N580" s="2212" t="e">
        <f>IF('Report-M&amp;O1920'!C$18-'Report-SOF1920'!D$55&lt;=0,0,'Report-M&amp;O1920'!C$18-'Report-SOF1920'!D$55)</f>
        <v>#DIV/0!</v>
      </c>
      <c r="O580" s="2452" t="e">
        <f t="shared" ref="O580:O643" si="113">M580+N580</f>
        <v>#DIV/0!</v>
      </c>
      <c r="P580" s="2449">
        <f>IF(A580='Data Entry - SOF'!B$2,'Data Entry - SOF'!I$64,0)</f>
        <v>0</v>
      </c>
      <c r="Q580" s="1687">
        <f t="shared" si="108"/>
        <v>880629</v>
      </c>
      <c r="R580" s="2212" t="e">
        <f>IF('Report-M&amp;O2021'!C$18-'Report-SOF2021'!D$55&lt;=0,0,'Report-M&amp;O2021'!C$18-'Report-SOF2021'!D$55)</f>
        <v>#DIV/0!</v>
      </c>
      <c r="S580" s="2452" t="e">
        <f t="shared" ref="S580:S643" si="114">Q580+R580</f>
        <v>#DIV/0!</v>
      </c>
      <c r="T580" s="1708">
        <f>IF(A580='Data Entry - SOF'!B$2,'Data Entry - SOF'!K$64,0)</f>
        <v>0</v>
      </c>
      <c r="U580" s="1687">
        <f t="shared" si="107"/>
        <v>880629</v>
      </c>
      <c r="V580" s="2212" t="e">
        <f>IF('Report-M&amp;O2122'!C$18-'Report-SOF2122'!D$55&lt;=0,0,'Report-M&amp;O2122'!C$18-'Report-SOF2122'!D$55)</f>
        <v>#DIV/0!</v>
      </c>
      <c r="W580" s="2452" t="e">
        <f t="shared" ref="W580:W643" si="115">U580+V580</f>
        <v>#DIV/0!</v>
      </c>
      <c r="X580" s="1708">
        <f>IF(A580='Data Entry - SOF'!B$2,'Data Entry - SOF'!M$64,0)</f>
        <v>0</v>
      </c>
      <c r="Y580" s="1371" t="e">
        <f t="shared" ref="Y580:Y643" si="116">IF(U580+V580-X580&lt;=0,0,U580+V580-X580)</f>
        <v>#DIV/0!</v>
      </c>
      <c r="Z580" s="2212" t="e">
        <f>IF('Report-M&amp;O2223'!C$18-'Report-SOF2223'!D$55&lt;=0,0,'Report-M&amp;O2223'!C$18-'Report-SOF2223'!D$55)</f>
        <v>#DIV/0!</v>
      </c>
      <c r="AA580" s="1708">
        <f>IF(A580='Data Entry - SOF'!B$2,'Data Entry - SOF'!O$64,0)</f>
        <v>0</v>
      </c>
    </row>
    <row r="581" spans="1:27" ht="15.75">
      <c r="A581" s="1076" t="s">
        <v>270</v>
      </c>
      <c r="B581">
        <v>798145</v>
      </c>
      <c r="C581" s="2452" t="e">
        <f>#REF!+#REF!</f>
        <v>#REF!</v>
      </c>
      <c r="D581" s="2449">
        <f>IF(A581='Data Entry - SOF'!B$2,'Data Entry - SOF'!C$64,0)</f>
        <v>0</v>
      </c>
      <c r="E581" s="2450">
        <f t="shared" ref="E581:E644" si="117">IF(B581-D581&lt;0,0,B581-D581)</f>
        <v>798145</v>
      </c>
      <c r="F581" s="2212" t="e">
        <f>IF('Report-M&amp;O1718'!C$18-'Report-SOF1718'!D$55&lt;=0,0,'Report-M&amp;O1718'!C$18-'Report-SOF1718'!D$55)</f>
        <v>#DIV/0!</v>
      </c>
      <c r="G581" s="2452" t="e">
        <f t="shared" si="109"/>
        <v>#DIV/0!</v>
      </c>
      <c r="H581" s="2449">
        <f>IF(A581='Data Entry - SOF'!B$2,'Data Entry - SOF'!E$64,0)</f>
        <v>0</v>
      </c>
      <c r="I581" s="1687">
        <f t="shared" si="110"/>
        <v>798145</v>
      </c>
      <c r="J581" s="2212" t="e">
        <f>IF('Report-M&amp;O1819'!C$18-'Report-SOF1819'!D$55&lt;=0,0,'Report-M&amp;O1819'!C$18-'Report-SOF1819'!D$55)</f>
        <v>#DIV/0!</v>
      </c>
      <c r="K581" s="2452" t="e">
        <f t="shared" si="111"/>
        <v>#DIV/0!</v>
      </c>
      <c r="L581" s="2449">
        <f>IF(A581='Data Entry - SOF'!B$2,'Data Entry - SOF'!G$64,0)</f>
        <v>0</v>
      </c>
      <c r="M581" s="1371">
        <f t="shared" si="112"/>
        <v>798145</v>
      </c>
      <c r="N581" s="2212" t="e">
        <f>IF('Report-M&amp;O1920'!C$18-'Report-SOF1920'!D$55&lt;=0,0,'Report-M&amp;O1920'!C$18-'Report-SOF1920'!D$55)</f>
        <v>#DIV/0!</v>
      </c>
      <c r="O581" s="2452" t="e">
        <f t="shared" si="113"/>
        <v>#DIV/0!</v>
      </c>
      <c r="P581" s="2449">
        <f>IF(A581='Data Entry - SOF'!B$2,'Data Entry - SOF'!I$64,0)</f>
        <v>0</v>
      </c>
      <c r="Q581" s="1687">
        <f t="shared" si="108"/>
        <v>798145</v>
      </c>
      <c r="R581" s="2212" t="e">
        <f>IF('Report-M&amp;O2021'!C$18-'Report-SOF2021'!D$55&lt;=0,0,'Report-M&amp;O2021'!C$18-'Report-SOF2021'!D$55)</f>
        <v>#DIV/0!</v>
      </c>
      <c r="S581" s="2452" t="e">
        <f t="shared" si="114"/>
        <v>#DIV/0!</v>
      </c>
      <c r="T581" s="1708">
        <f>IF(A581='Data Entry - SOF'!B$2,'Data Entry - SOF'!K$64,0)</f>
        <v>0</v>
      </c>
      <c r="U581" s="1687">
        <f t="shared" si="107"/>
        <v>798145</v>
      </c>
      <c r="V581" s="2212" t="e">
        <f>IF('Report-M&amp;O2122'!C$18-'Report-SOF2122'!D$55&lt;=0,0,'Report-M&amp;O2122'!C$18-'Report-SOF2122'!D$55)</f>
        <v>#DIV/0!</v>
      </c>
      <c r="W581" s="2452" t="e">
        <f t="shared" si="115"/>
        <v>#DIV/0!</v>
      </c>
      <c r="X581" s="1708">
        <f>IF(A581='Data Entry - SOF'!B$2,'Data Entry - SOF'!M$64,0)</f>
        <v>0</v>
      </c>
      <c r="Y581" s="1371" t="e">
        <f t="shared" si="116"/>
        <v>#DIV/0!</v>
      </c>
      <c r="Z581" s="2212" t="e">
        <f>IF('Report-M&amp;O2223'!C$18-'Report-SOF2223'!D$55&lt;=0,0,'Report-M&amp;O2223'!C$18-'Report-SOF2223'!D$55)</f>
        <v>#DIV/0!</v>
      </c>
      <c r="AA581" s="1708">
        <f>IF(A581='Data Entry - SOF'!B$2,'Data Entry - SOF'!O$64,0)</f>
        <v>0</v>
      </c>
    </row>
    <row r="582" spans="1:27" ht="15.75">
      <c r="A582" s="1076" t="s">
        <v>271</v>
      </c>
      <c r="B582">
        <v>487620</v>
      </c>
      <c r="C582" s="2452" t="e">
        <f>#REF!+#REF!</f>
        <v>#REF!</v>
      </c>
      <c r="D582" s="2449">
        <f>IF(A582='Data Entry - SOF'!B$2,'Data Entry - SOF'!C$64,0)</f>
        <v>0</v>
      </c>
      <c r="E582" s="2450">
        <f t="shared" si="117"/>
        <v>487620</v>
      </c>
      <c r="F582" s="2212" t="e">
        <f>IF('Report-M&amp;O1718'!C$18-'Report-SOF1718'!D$55&lt;=0,0,'Report-M&amp;O1718'!C$18-'Report-SOF1718'!D$55)</f>
        <v>#DIV/0!</v>
      </c>
      <c r="G582" s="2452" t="e">
        <f t="shared" si="109"/>
        <v>#DIV/0!</v>
      </c>
      <c r="H582" s="2449">
        <f>IF(A582='Data Entry - SOF'!B$2,'Data Entry - SOF'!E$64,0)</f>
        <v>0</v>
      </c>
      <c r="I582" s="1687">
        <f t="shared" si="110"/>
        <v>487620</v>
      </c>
      <c r="J582" s="2212" t="e">
        <f>IF('Report-M&amp;O1819'!C$18-'Report-SOF1819'!D$55&lt;=0,0,'Report-M&amp;O1819'!C$18-'Report-SOF1819'!D$55)</f>
        <v>#DIV/0!</v>
      </c>
      <c r="K582" s="2452" t="e">
        <f t="shared" si="111"/>
        <v>#DIV/0!</v>
      </c>
      <c r="L582" s="2449">
        <f>IF(A582='Data Entry - SOF'!B$2,'Data Entry - SOF'!G$64,0)</f>
        <v>0</v>
      </c>
      <c r="M582" s="1371">
        <f t="shared" si="112"/>
        <v>487620</v>
      </c>
      <c r="N582" s="2212" t="e">
        <f>IF('Report-M&amp;O1920'!C$18-'Report-SOF1920'!D$55&lt;=0,0,'Report-M&amp;O1920'!C$18-'Report-SOF1920'!D$55)</f>
        <v>#DIV/0!</v>
      </c>
      <c r="O582" s="2452" t="e">
        <f t="shared" si="113"/>
        <v>#DIV/0!</v>
      </c>
      <c r="P582" s="2449">
        <f>IF(A582='Data Entry - SOF'!B$2,'Data Entry - SOF'!I$64,0)</f>
        <v>0</v>
      </c>
      <c r="Q582" s="1687">
        <f t="shared" si="108"/>
        <v>487620</v>
      </c>
      <c r="R582" s="2212" t="e">
        <f>IF('Report-M&amp;O2021'!C$18-'Report-SOF2021'!D$55&lt;=0,0,'Report-M&amp;O2021'!C$18-'Report-SOF2021'!D$55)</f>
        <v>#DIV/0!</v>
      </c>
      <c r="S582" s="2452" t="e">
        <f t="shared" si="114"/>
        <v>#DIV/0!</v>
      </c>
      <c r="T582" s="1708">
        <f>IF(A582='Data Entry - SOF'!B$2,'Data Entry - SOF'!K$64,0)</f>
        <v>0</v>
      </c>
      <c r="U582" s="1687">
        <f t="shared" si="107"/>
        <v>487620</v>
      </c>
      <c r="V582" s="2212" t="e">
        <f>IF('Report-M&amp;O2122'!C$18-'Report-SOF2122'!D$55&lt;=0,0,'Report-M&amp;O2122'!C$18-'Report-SOF2122'!D$55)</f>
        <v>#DIV/0!</v>
      </c>
      <c r="W582" s="2452" t="e">
        <f t="shared" si="115"/>
        <v>#DIV/0!</v>
      </c>
      <c r="X582" s="1708">
        <f>IF(A582='Data Entry - SOF'!B$2,'Data Entry - SOF'!M$64,0)</f>
        <v>0</v>
      </c>
      <c r="Y582" s="1371" t="e">
        <f t="shared" si="116"/>
        <v>#DIV/0!</v>
      </c>
      <c r="Z582" s="2212" t="e">
        <f>IF('Report-M&amp;O2223'!C$18-'Report-SOF2223'!D$55&lt;=0,0,'Report-M&amp;O2223'!C$18-'Report-SOF2223'!D$55)</f>
        <v>#DIV/0!</v>
      </c>
      <c r="AA582" s="1708">
        <f>IF(A582='Data Entry - SOF'!B$2,'Data Entry - SOF'!O$64,0)</f>
        <v>0</v>
      </c>
    </row>
    <row r="583" spans="1:27" ht="15.75">
      <c r="A583" s="1076" t="s">
        <v>272</v>
      </c>
      <c r="B583">
        <v>10237745</v>
      </c>
      <c r="C583" s="2452" t="e">
        <f>#REF!+#REF!</f>
        <v>#REF!</v>
      </c>
      <c r="D583" s="2449">
        <f>IF(A583='Data Entry - SOF'!B$2,'Data Entry - SOF'!C$64,0)</f>
        <v>0</v>
      </c>
      <c r="E583" s="2450">
        <f t="shared" si="117"/>
        <v>10237745</v>
      </c>
      <c r="F583" s="2212" t="e">
        <f>IF('Report-M&amp;O1718'!C$18-'Report-SOF1718'!D$55&lt;=0,0,'Report-M&amp;O1718'!C$18-'Report-SOF1718'!D$55)</f>
        <v>#DIV/0!</v>
      </c>
      <c r="G583" s="2452" t="e">
        <f t="shared" si="109"/>
        <v>#DIV/0!</v>
      </c>
      <c r="H583" s="2449">
        <f>IF(A583='Data Entry - SOF'!B$2,'Data Entry - SOF'!E$64,0)</f>
        <v>0</v>
      </c>
      <c r="I583" s="1687">
        <f t="shared" si="110"/>
        <v>10237745</v>
      </c>
      <c r="J583" s="2212" t="e">
        <f>IF('Report-M&amp;O1819'!C$18-'Report-SOF1819'!D$55&lt;=0,0,'Report-M&amp;O1819'!C$18-'Report-SOF1819'!D$55)</f>
        <v>#DIV/0!</v>
      </c>
      <c r="K583" s="2452" t="e">
        <f t="shared" si="111"/>
        <v>#DIV/0!</v>
      </c>
      <c r="L583" s="2449">
        <f>IF(A583='Data Entry - SOF'!B$2,'Data Entry - SOF'!G$64,0)</f>
        <v>0</v>
      </c>
      <c r="M583" s="1371">
        <f t="shared" si="112"/>
        <v>10237745</v>
      </c>
      <c r="N583" s="2212" t="e">
        <f>IF('Report-M&amp;O1920'!C$18-'Report-SOF1920'!D$55&lt;=0,0,'Report-M&amp;O1920'!C$18-'Report-SOF1920'!D$55)</f>
        <v>#DIV/0!</v>
      </c>
      <c r="O583" s="2452" t="e">
        <f t="shared" si="113"/>
        <v>#DIV/0!</v>
      </c>
      <c r="P583" s="2449">
        <f>IF(A583='Data Entry - SOF'!B$2,'Data Entry - SOF'!I$64,0)</f>
        <v>0</v>
      </c>
      <c r="Q583" s="1687">
        <f t="shared" si="108"/>
        <v>10237745</v>
      </c>
      <c r="R583" s="2212" t="e">
        <f>IF('Report-M&amp;O2021'!C$18-'Report-SOF2021'!D$55&lt;=0,0,'Report-M&amp;O2021'!C$18-'Report-SOF2021'!D$55)</f>
        <v>#DIV/0!</v>
      </c>
      <c r="S583" s="2452" t="e">
        <f t="shared" si="114"/>
        <v>#DIV/0!</v>
      </c>
      <c r="T583" s="1708">
        <f>IF(A583='Data Entry - SOF'!B$2,'Data Entry - SOF'!K$64,0)</f>
        <v>0</v>
      </c>
      <c r="U583" s="1687">
        <f t="shared" si="107"/>
        <v>10237745</v>
      </c>
      <c r="V583" s="2212" t="e">
        <f>IF('Report-M&amp;O2122'!C$18-'Report-SOF2122'!D$55&lt;=0,0,'Report-M&amp;O2122'!C$18-'Report-SOF2122'!D$55)</f>
        <v>#DIV/0!</v>
      </c>
      <c r="W583" s="2452" t="e">
        <f t="shared" si="115"/>
        <v>#DIV/0!</v>
      </c>
      <c r="X583" s="1708">
        <f>IF(A583='Data Entry - SOF'!B$2,'Data Entry - SOF'!M$64,0)</f>
        <v>0</v>
      </c>
      <c r="Y583" s="1371" t="e">
        <f t="shared" si="116"/>
        <v>#DIV/0!</v>
      </c>
      <c r="Z583" s="2212" t="e">
        <f>IF('Report-M&amp;O2223'!C$18-'Report-SOF2223'!D$55&lt;=0,0,'Report-M&amp;O2223'!C$18-'Report-SOF2223'!D$55)</f>
        <v>#DIV/0!</v>
      </c>
      <c r="AA583" s="1708">
        <f>IF(A583='Data Entry - SOF'!B$2,'Data Entry - SOF'!O$64,0)</f>
        <v>0</v>
      </c>
    </row>
    <row r="584" spans="1:27" ht="15.75">
      <c r="A584" s="1076" t="s">
        <v>2654</v>
      </c>
      <c r="B584">
        <v>876810</v>
      </c>
      <c r="C584" s="2452" t="e">
        <f>#REF!+#REF!</f>
        <v>#REF!</v>
      </c>
      <c r="D584" s="2449">
        <f>IF(A584='Data Entry - SOF'!B$2,'Data Entry - SOF'!C$64,0)</f>
        <v>0</v>
      </c>
      <c r="E584" s="2450">
        <f t="shared" si="117"/>
        <v>876810</v>
      </c>
      <c r="F584" s="2212" t="e">
        <f>IF('Report-M&amp;O1718'!C$18-'Report-SOF1718'!D$55&lt;=0,0,'Report-M&amp;O1718'!C$18-'Report-SOF1718'!D$55)</f>
        <v>#DIV/0!</v>
      </c>
      <c r="G584" s="2452" t="e">
        <f t="shared" si="109"/>
        <v>#DIV/0!</v>
      </c>
      <c r="H584" s="2449">
        <f>IF(A584='Data Entry - SOF'!B$2,'Data Entry - SOF'!E$64,0)</f>
        <v>0</v>
      </c>
      <c r="I584" s="1687">
        <f t="shared" si="110"/>
        <v>876810</v>
      </c>
      <c r="J584" s="2212" t="e">
        <f>IF('Report-M&amp;O1819'!C$18-'Report-SOF1819'!D$55&lt;=0,0,'Report-M&amp;O1819'!C$18-'Report-SOF1819'!D$55)</f>
        <v>#DIV/0!</v>
      </c>
      <c r="K584" s="2452" t="e">
        <f t="shared" si="111"/>
        <v>#DIV/0!</v>
      </c>
      <c r="L584" s="2449">
        <f>IF(A584='Data Entry - SOF'!B$2,'Data Entry - SOF'!G$64,0)</f>
        <v>0</v>
      </c>
      <c r="M584" s="1371">
        <f t="shared" si="112"/>
        <v>876810</v>
      </c>
      <c r="N584" s="2212" t="e">
        <f>IF('Report-M&amp;O1920'!C$18-'Report-SOF1920'!D$55&lt;=0,0,'Report-M&amp;O1920'!C$18-'Report-SOF1920'!D$55)</f>
        <v>#DIV/0!</v>
      </c>
      <c r="O584" s="2452" t="e">
        <f t="shared" si="113"/>
        <v>#DIV/0!</v>
      </c>
      <c r="P584" s="2449">
        <f>IF(A584='Data Entry - SOF'!B$2,'Data Entry - SOF'!I$64,0)</f>
        <v>0</v>
      </c>
      <c r="Q584" s="1687">
        <f t="shared" si="108"/>
        <v>876810</v>
      </c>
      <c r="R584" s="2212" t="e">
        <f>IF('Report-M&amp;O2021'!C$18-'Report-SOF2021'!D$55&lt;=0,0,'Report-M&amp;O2021'!C$18-'Report-SOF2021'!D$55)</f>
        <v>#DIV/0!</v>
      </c>
      <c r="S584" s="2452" t="e">
        <f t="shared" si="114"/>
        <v>#DIV/0!</v>
      </c>
      <c r="T584" s="1708">
        <f>IF(A584='Data Entry - SOF'!B$2,'Data Entry - SOF'!K$64,0)</f>
        <v>0</v>
      </c>
      <c r="U584" s="1687">
        <f t="shared" si="107"/>
        <v>876810</v>
      </c>
      <c r="V584" s="2212" t="e">
        <f>IF('Report-M&amp;O2122'!C$18-'Report-SOF2122'!D$55&lt;=0,0,'Report-M&amp;O2122'!C$18-'Report-SOF2122'!D$55)</f>
        <v>#DIV/0!</v>
      </c>
      <c r="W584" s="2452" t="e">
        <f t="shared" si="115"/>
        <v>#DIV/0!</v>
      </c>
      <c r="X584" s="1708">
        <f>IF(A584='Data Entry - SOF'!B$2,'Data Entry - SOF'!M$64,0)</f>
        <v>0</v>
      </c>
      <c r="Y584" s="1371" t="e">
        <f t="shared" si="116"/>
        <v>#DIV/0!</v>
      </c>
      <c r="Z584" s="2212" t="e">
        <f>IF('Report-M&amp;O2223'!C$18-'Report-SOF2223'!D$55&lt;=0,0,'Report-M&amp;O2223'!C$18-'Report-SOF2223'!D$55)</f>
        <v>#DIV/0!</v>
      </c>
      <c r="AA584" s="1708">
        <f>IF(A584='Data Entry - SOF'!B$2,'Data Entry - SOF'!O$64,0)</f>
        <v>0</v>
      </c>
    </row>
    <row r="585" spans="1:27" ht="15.75">
      <c r="A585" s="1076" t="s">
        <v>2303</v>
      </c>
      <c r="B585">
        <v>4437230</v>
      </c>
      <c r="C585" s="2452" t="e">
        <f>#REF!+#REF!</f>
        <v>#REF!</v>
      </c>
      <c r="D585" s="2449">
        <f>IF(A585='Data Entry - SOF'!B$2,'Data Entry - SOF'!C$64,0)</f>
        <v>0</v>
      </c>
      <c r="E585" s="2450">
        <f t="shared" si="117"/>
        <v>4437230</v>
      </c>
      <c r="F585" s="2212" t="e">
        <f>IF('Report-M&amp;O1718'!C$18-'Report-SOF1718'!D$55&lt;=0,0,'Report-M&amp;O1718'!C$18-'Report-SOF1718'!D$55)</f>
        <v>#DIV/0!</v>
      </c>
      <c r="G585" s="2452" t="e">
        <f t="shared" si="109"/>
        <v>#DIV/0!</v>
      </c>
      <c r="H585" s="2449">
        <f>IF(A585='Data Entry - SOF'!B$2,'Data Entry - SOF'!E$64,0)</f>
        <v>0</v>
      </c>
      <c r="I585" s="1687">
        <f t="shared" si="110"/>
        <v>4437230</v>
      </c>
      <c r="J585" s="2212" t="e">
        <f>IF('Report-M&amp;O1819'!C$18-'Report-SOF1819'!D$55&lt;=0,0,'Report-M&amp;O1819'!C$18-'Report-SOF1819'!D$55)</f>
        <v>#DIV/0!</v>
      </c>
      <c r="K585" s="2452" t="e">
        <f t="shared" si="111"/>
        <v>#DIV/0!</v>
      </c>
      <c r="L585" s="2449">
        <f>IF(A585='Data Entry - SOF'!B$2,'Data Entry - SOF'!G$64,0)</f>
        <v>0</v>
      </c>
      <c r="M585" s="1371">
        <f t="shared" si="112"/>
        <v>4437230</v>
      </c>
      <c r="N585" s="2212" t="e">
        <f>IF('Report-M&amp;O1920'!C$18-'Report-SOF1920'!D$55&lt;=0,0,'Report-M&amp;O1920'!C$18-'Report-SOF1920'!D$55)</f>
        <v>#DIV/0!</v>
      </c>
      <c r="O585" s="2452" t="e">
        <f t="shared" si="113"/>
        <v>#DIV/0!</v>
      </c>
      <c r="P585" s="2449">
        <f>IF(A585='Data Entry - SOF'!B$2,'Data Entry - SOF'!I$64,0)</f>
        <v>0</v>
      </c>
      <c r="Q585" s="1687">
        <f t="shared" si="108"/>
        <v>4437230</v>
      </c>
      <c r="R585" s="2212" t="e">
        <f>IF('Report-M&amp;O2021'!C$18-'Report-SOF2021'!D$55&lt;=0,0,'Report-M&amp;O2021'!C$18-'Report-SOF2021'!D$55)</f>
        <v>#DIV/0!</v>
      </c>
      <c r="S585" s="2452" t="e">
        <f t="shared" si="114"/>
        <v>#DIV/0!</v>
      </c>
      <c r="T585" s="1708">
        <f>IF(A585='Data Entry - SOF'!B$2,'Data Entry - SOF'!K$64,0)</f>
        <v>0</v>
      </c>
      <c r="U585" s="1687">
        <f t="shared" si="107"/>
        <v>4437230</v>
      </c>
      <c r="V585" s="2212" t="e">
        <f>IF('Report-M&amp;O2122'!C$18-'Report-SOF2122'!D$55&lt;=0,0,'Report-M&amp;O2122'!C$18-'Report-SOF2122'!D$55)</f>
        <v>#DIV/0!</v>
      </c>
      <c r="W585" s="2452" t="e">
        <f t="shared" si="115"/>
        <v>#DIV/0!</v>
      </c>
      <c r="X585" s="1708">
        <f>IF(A585='Data Entry - SOF'!B$2,'Data Entry - SOF'!M$64,0)</f>
        <v>0</v>
      </c>
      <c r="Y585" s="1371" t="e">
        <f t="shared" si="116"/>
        <v>#DIV/0!</v>
      </c>
      <c r="Z585" s="2212" t="e">
        <f>IF('Report-M&amp;O2223'!C$18-'Report-SOF2223'!D$55&lt;=0,0,'Report-M&amp;O2223'!C$18-'Report-SOF2223'!D$55)</f>
        <v>#DIV/0!</v>
      </c>
      <c r="AA585" s="1708">
        <f>IF(A585='Data Entry - SOF'!B$2,'Data Entry - SOF'!O$64,0)</f>
        <v>0</v>
      </c>
    </row>
    <row r="586" spans="1:27" ht="15.75">
      <c r="A586" s="1076" t="s">
        <v>2370</v>
      </c>
      <c r="B586">
        <v>8554038</v>
      </c>
      <c r="C586" s="2452" t="e">
        <f>#REF!+#REF!</f>
        <v>#REF!</v>
      </c>
      <c r="D586" s="2449">
        <f>IF(A586='Data Entry - SOF'!B$2,'Data Entry - SOF'!C$64,0)</f>
        <v>0</v>
      </c>
      <c r="E586" s="2450">
        <f t="shared" si="117"/>
        <v>8554038</v>
      </c>
      <c r="F586" s="2212" t="e">
        <f>IF('Report-M&amp;O1718'!C$18-'Report-SOF1718'!D$55&lt;=0,0,'Report-M&amp;O1718'!C$18-'Report-SOF1718'!D$55)</f>
        <v>#DIV/0!</v>
      </c>
      <c r="G586" s="2452" t="e">
        <f t="shared" si="109"/>
        <v>#DIV/0!</v>
      </c>
      <c r="H586" s="2449">
        <f>IF(A586='Data Entry - SOF'!B$2,'Data Entry - SOF'!E$64,0)</f>
        <v>0</v>
      </c>
      <c r="I586" s="1687">
        <f t="shared" si="110"/>
        <v>8554038</v>
      </c>
      <c r="J586" s="2212" t="e">
        <f>IF('Report-M&amp;O1819'!C$18-'Report-SOF1819'!D$55&lt;=0,0,'Report-M&amp;O1819'!C$18-'Report-SOF1819'!D$55)</f>
        <v>#DIV/0!</v>
      </c>
      <c r="K586" s="2452" t="e">
        <f t="shared" si="111"/>
        <v>#DIV/0!</v>
      </c>
      <c r="L586" s="2449">
        <f>IF(A586='Data Entry - SOF'!B$2,'Data Entry - SOF'!G$64,0)</f>
        <v>0</v>
      </c>
      <c r="M586" s="1371">
        <f t="shared" si="112"/>
        <v>8554038</v>
      </c>
      <c r="N586" s="2212" t="e">
        <f>IF('Report-M&amp;O1920'!C$18-'Report-SOF1920'!D$55&lt;=0,0,'Report-M&amp;O1920'!C$18-'Report-SOF1920'!D$55)</f>
        <v>#DIV/0!</v>
      </c>
      <c r="O586" s="2452" t="e">
        <f t="shared" si="113"/>
        <v>#DIV/0!</v>
      </c>
      <c r="P586" s="2449">
        <f>IF(A586='Data Entry - SOF'!B$2,'Data Entry - SOF'!I$64,0)</f>
        <v>0</v>
      </c>
      <c r="Q586" s="1687">
        <f t="shared" si="108"/>
        <v>8554038</v>
      </c>
      <c r="R586" s="2212" t="e">
        <f>IF('Report-M&amp;O2021'!C$18-'Report-SOF2021'!D$55&lt;=0,0,'Report-M&amp;O2021'!C$18-'Report-SOF2021'!D$55)</f>
        <v>#DIV/0!</v>
      </c>
      <c r="S586" s="2452" t="e">
        <f t="shared" si="114"/>
        <v>#DIV/0!</v>
      </c>
      <c r="T586" s="1708">
        <f>IF(A586='Data Entry - SOF'!B$2,'Data Entry - SOF'!K$64,0)</f>
        <v>0</v>
      </c>
      <c r="U586" s="1687">
        <f t="shared" si="107"/>
        <v>8554038</v>
      </c>
      <c r="V586" s="2212" t="e">
        <f>IF('Report-M&amp;O2122'!C$18-'Report-SOF2122'!D$55&lt;=0,0,'Report-M&amp;O2122'!C$18-'Report-SOF2122'!D$55)</f>
        <v>#DIV/0!</v>
      </c>
      <c r="W586" s="2452" t="e">
        <f t="shared" si="115"/>
        <v>#DIV/0!</v>
      </c>
      <c r="X586" s="1708">
        <f>IF(A586='Data Entry - SOF'!B$2,'Data Entry - SOF'!M$64,0)</f>
        <v>0</v>
      </c>
      <c r="Y586" s="1371" t="e">
        <f t="shared" si="116"/>
        <v>#DIV/0!</v>
      </c>
      <c r="Z586" s="2212" t="e">
        <f>IF('Report-M&amp;O2223'!C$18-'Report-SOF2223'!D$55&lt;=0,0,'Report-M&amp;O2223'!C$18-'Report-SOF2223'!D$55)</f>
        <v>#DIV/0!</v>
      </c>
      <c r="AA586" s="1708">
        <f>IF(A586='Data Entry - SOF'!B$2,'Data Entry - SOF'!O$64,0)</f>
        <v>0</v>
      </c>
    </row>
    <row r="587" spans="1:27" ht="15.75">
      <c r="A587" s="1076" t="s">
        <v>2874</v>
      </c>
      <c r="B587">
        <v>1213825</v>
      </c>
      <c r="C587" s="2452" t="e">
        <f>#REF!+#REF!</f>
        <v>#REF!</v>
      </c>
      <c r="D587" s="2449">
        <f>IF(A587='Data Entry - SOF'!B$2,'Data Entry - SOF'!C$64,0)</f>
        <v>0</v>
      </c>
      <c r="E587" s="2450">
        <f t="shared" si="117"/>
        <v>1213825</v>
      </c>
      <c r="F587" s="2212" t="e">
        <f>IF('Report-M&amp;O1718'!C$18-'Report-SOF1718'!D$55&lt;=0,0,'Report-M&amp;O1718'!C$18-'Report-SOF1718'!D$55)</f>
        <v>#DIV/0!</v>
      </c>
      <c r="G587" s="2452" t="e">
        <f t="shared" si="109"/>
        <v>#DIV/0!</v>
      </c>
      <c r="H587" s="2449">
        <f>IF(A587='Data Entry - SOF'!B$2,'Data Entry - SOF'!E$64,0)</f>
        <v>0</v>
      </c>
      <c r="I587" s="1687">
        <f t="shared" si="110"/>
        <v>1213825</v>
      </c>
      <c r="J587" s="2212" t="e">
        <f>IF('Report-M&amp;O1819'!C$18-'Report-SOF1819'!D$55&lt;=0,0,'Report-M&amp;O1819'!C$18-'Report-SOF1819'!D$55)</f>
        <v>#DIV/0!</v>
      </c>
      <c r="K587" s="2452" t="e">
        <f t="shared" si="111"/>
        <v>#DIV/0!</v>
      </c>
      <c r="L587" s="2449">
        <f>IF(A587='Data Entry - SOF'!B$2,'Data Entry - SOF'!G$64,0)</f>
        <v>0</v>
      </c>
      <c r="M587" s="1371">
        <f t="shared" si="112"/>
        <v>1213825</v>
      </c>
      <c r="N587" s="2212" t="e">
        <f>IF('Report-M&amp;O1920'!C$18-'Report-SOF1920'!D$55&lt;=0,0,'Report-M&amp;O1920'!C$18-'Report-SOF1920'!D$55)</f>
        <v>#DIV/0!</v>
      </c>
      <c r="O587" s="2452" t="e">
        <f t="shared" si="113"/>
        <v>#DIV/0!</v>
      </c>
      <c r="P587" s="2449">
        <f>IF(A587='Data Entry - SOF'!B$2,'Data Entry - SOF'!I$64,0)</f>
        <v>0</v>
      </c>
      <c r="Q587" s="1687">
        <f t="shared" si="108"/>
        <v>1213825</v>
      </c>
      <c r="R587" s="2212" t="e">
        <f>IF('Report-M&amp;O2021'!C$18-'Report-SOF2021'!D$55&lt;=0,0,'Report-M&amp;O2021'!C$18-'Report-SOF2021'!D$55)</f>
        <v>#DIV/0!</v>
      </c>
      <c r="S587" s="2452" t="e">
        <f t="shared" si="114"/>
        <v>#DIV/0!</v>
      </c>
      <c r="T587" s="1708">
        <f>IF(A587='Data Entry - SOF'!B$2,'Data Entry - SOF'!K$64,0)</f>
        <v>0</v>
      </c>
      <c r="U587" s="1687">
        <f t="shared" si="107"/>
        <v>1213825</v>
      </c>
      <c r="V587" s="2212" t="e">
        <f>IF('Report-M&amp;O2122'!C$18-'Report-SOF2122'!D$55&lt;=0,0,'Report-M&amp;O2122'!C$18-'Report-SOF2122'!D$55)</f>
        <v>#DIV/0!</v>
      </c>
      <c r="W587" s="2452" t="e">
        <f t="shared" si="115"/>
        <v>#DIV/0!</v>
      </c>
      <c r="X587" s="1708">
        <f>IF(A587='Data Entry - SOF'!B$2,'Data Entry - SOF'!M$64,0)</f>
        <v>0</v>
      </c>
      <c r="Y587" s="1371" t="e">
        <f t="shared" si="116"/>
        <v>#DIV/0!</v>
      </c>
      <c r="Z587" s="2212" t="e">
        <f>IF('Report-M&amp;O2223'!C$18-'Report-SOF2223'!D$55&lt;=0,0,'Report-M&amp;O2223'!C$18-'Report-SOF2223'!D$55)</f>
        <v>#DIV/0!</v>
      </c>
      <c r="AA587" s="1708">
        <f>IF(A587='Data Entry - SOF'!B$2,'Data Entry - SOF'!O$64,0)</f>
        <v>0</v>
      </c>
    </row>
    <row r="588" spans="1:27" ht="15.75">
      <c r="A588" s="1076" t="s">
        <v>1754</v>
      </c>
      <c r="B588">
        <v>387320</v>
      </c>
      <c r="C588" s="2452" t="e">
        <f>#REF!+#REF!</f>
        <v>#REF!</v>
      </c>
      <c r="D588" s="2449">
        <f>IF(A588='Data Entry - SOF'!B$2,'Data Entry - SOF'!C$64,0)</f>
        <v>0</v>
      </c>
      <c r="E588" s="2450">
        <f t="shared" si="117"/>
        <v>387320</v>
      </c>
      <c r="F588" s="2212" t="e">
        <f>IF('Report-M&amp;O1718'!C$18-'Report-SOF1718'!D$55&lt;=0,0,'Report-M&amp;O1718'!C$18-'Report-SOF1718'!D$55)</f>
        <v>#DIV/0!</v>
      </c>
      <c r="G588" s="2452" t="e">
        <f t="shared" si="109"/>
        <v>#DIV/0!</v>
      </c>
      <c r="H588" s="2449">
        <f>IF(A588='Data Entry - SOF'!B$2,'Data Entry - SOF'!E$64,0)</f>
        <v>0</v>
      </c>
      <c r="I588" s="1687">
        <f t="shared" si="110"/>
        <v>387320</v>
      </c>
      <c r="J588" s="2212" t="e">
        <f>IF('Report-M&amp;O1819'!C$18-'Report-SOF1819'!D$55&lt;=0,0,'Report-M&amp;O1819'!C$18-'Report-SOF1819'!D$55)</f>
        <v>#DIV/0!</v>
      </c>
      <c r="K588" s="2452" t="e">
        <f t="shared" si="111"/>
        <v>#DIV/0!</v>
      </c>
      <c r="L588" s="2449">
        <f>IF(A588='Data Entry - SOF'!B$2,'Data Entry - SOF'!G$64,0)</f>
        <v>0</v>
      </c>
      <c r="M588" s="1371">
        <f t="shared" si="112"/>
        <v>387320</v>
      </c>
      <c r="N588" s="2212" t="e">
        <f>IF('Report-M&amp;O1920'!C$18-'Report-SOF1920'!D$55&lt;=0,0,'Report-M&amp;O1920'!C$18-'Report-SOF1920'!D$55)</f>
        <v>#DIV/0!</v>
      </c>
      <c r="O588" s="2452" t="e">
        <f t="shared" si="113"/>
        <v>#DIV/0!</v>
      </c>
      <c r="P588" s="2449">
        <f>IF(A588='Data Entry - SOF'!B$2,'Data Entry - SOF'!I$64,0)</f>
        <v>0</v>
      </c>
      <c r="Q588" s="1687">
        <f t="shared" si="108"/>
        <v>387320</v>
      </c>
      <c r="R588" s="2212" t="e">
        <f>IF('Report-M&amp;O2021'!C$18-'Report-SOF2021'!D$55&lt;=0,0,'Report-M&amp;O2021'!C$18-'Report-SOF2021'!D$55)</f>
        <v>#DIV/0!</v>
      </c>
      <c r="S588" s="2452" t="e">
        <f t="shared" si="114"/>
        <v>#DIV/0!</v>
      </c>
      <c r="T588" s="1708">
        <f>IF(A588='Data Entry - SOF'!B$2,'Data Entry - SOF'!K$64,0)</f>
        <v>0</v>
      </c>
      <c r="U588" s="1687">
        <f t="shared" si="107"/>
        <v>387320</v>
      </c>
      <c r="V588" s="2212" t="e">
        <f>IF('Report-M&amp;O2122'!C$18-'Report-SOF2122'!D$55&lt;=0,0,'Report-M&amp;O2122'!C$18-'Report-SOF2122'!D$55)</f>
        <v>#DIV/0!</v>
      </c>
      <c r="W588" s="2452" t="e">
        <f t="shared" si="115"/>
        <v>#DIV/0!</v>
      </c>
      <c r="X588" s="1708">
        <f>IF(A588='Data Entry - SOF'!B$2,'Data Entry - SOF'!M$64,0)</f>
        <v>0</v>
      </c>
      <c r="Y588" s="1371" t="e">
        <f t="shared" si="116"/>
        <v>#DIV/0!</v>
      </c>
      <c r="Z588" s="2212" t="e">
        <f>IF('Report-M&amp;O2223'!C$18-'Report-SOF2223'!D$55&lt;=0,0,'Report-M&amp;O2223'!C$18-'Report-SOF2223'!D$55)</f>
        <v>#DIV/0!</v>
      </c>
      <c r="AA588" s="1708">
        <f>IF(A588='Data Entry - SOF'!B$2,'Data Entry - SOF'!O$64,0)</f>
        <v>0</v>
      </c>
    </row>
    <row r="589" spans="1:27" ht="15.75">
      <c r="A589" s="1076" t="s">
        <v>1755</v>
      </c>
      <c r="B589">
        <v>750170</v>
      </c>
      <c r="C589" s="2452" t="e">
        <f>#REF!+#REF!</f>
        <v>#REF!</v>
      </c>
      <c r="D589" s="2449">
        <f>IF(A589='Data Entry - SOF'!B$2,'Data Entry - SOF'!C$64,0)</f>
        <v>0</v>
      </c>
      <c r="E589" s="2450">
        <f t="shared" si="117"/>
        <v>750170</v>
      </c>
      <c r="F589" s="2212" t="e">
        <f>IF('Report-M&amp;O1718'!C$18-'Report-SOF1718'!D$55&lt;=0,0,'Report-M&amp;O1718'!C$18-'Report-SOF1718'!D$55)</f>
        <v>#DIV/0!</v>
      </c>
      <c r="G589" s="2452" t="e">
        <f t="shared" si="109"/>
        <v>#DIV/0!</v>
      </c>
      <c r="H589" s="2449">
        <f>IF(A589='Data Entry - SOF'!B$2,'Data Entry - SOF'!E$64,0)</f>
        <v>0</v>
      </c>
      <c r="I589" s="1687">
        <f t="shared" si="110"/>
        <v>750170</v>
      </c>
      <c r="J589" s="2212" t="e">
        <f>IF('Report-M&amp;O1819'!C$18-'Report-SOF1819'!D$55&lt;=0,0,'Report-M&amp;O1819'!C$18-'Report-SOF1819'!D$55)</f>
        <v>#DIV/0!</v>
      </c>
      <c r="K589" s="2452" t="e">
        <f t="shared" si="111"/>
        <v>#DIV/0!</v>
      </c>
      <c r="L589" s="2449">
        <f>IF(A589='Data Entry - SOF'!B$2,'Data Entry - SOF'!G$64,0)</f>
        <v>0</v>
      </c>
      <c r="M589" s="1371">
        <f t="shared" si="112"/>
        <v>750170</v>
      </c>
      <c r="N589" s="2212" t="e">
        <f>IF('Report-M&amp;O1920'!C$18-'Report-SOF1920'!D$55&lt;=0,0,'Report-M&amp;O1920'!C$18-'Report-SOF1920'!D$55)</f>
        <v>#DIV/0!</v>
      </c>
      <c r="O589" s="2452" t="e">
        <f t="shared" si="113"/>
        <v>#DIV/0!</v>
      </c>
      <c r="P589" s="2449">
        <f>IF(A589='Data Entry - SOF'!B$2,'Data Entry - SOF'!I$64,0)</f>
        <v>0</v>
      </c>
      <c r="Q589" s="1687">
        <f t="shared" si="108"/>
        <v>750170</v>
      </c>
      <c r="R589" s="2212" t="e">
        <f>IF('Report-M&amp;O2021'!C$18-'Report-SOF2021'!D$55&lt;=0,0,'Report-M&amp;O2021'!C$18-'Report-SOF2021'!D$55)</f>
        <v>#DIV/0!</v>
      </c>
      <c r="S589" s="2452" t="e">
        <f t="shared" si="114"/>
        <v>#DIV/0!</v>
      </c>
      <c r="T589" s="1708">
        <f>IF(A589='Data Entry - SOF'!B$2,'Data Entry - SOF'!K$64,0)</f>
        <v>0</v>
      </c>
      <c r="U589" s="1687">
        <f t="shared" ref="U589:U636" si="118">Q589-T589</f>
        <v>750170</v>
      </c>
      <c r="V589" s="2212" t="e">
        <f>IF('Report-M&amp;O2122'!C$18-'Report-SOF2122'!D$55&lt;=0,0,'Report-M&amp;O2122'!C$18-'Report-SOF2122'!D$55)</f>
        <v>#DIV/0!</v>
      </c>
      <c r="W589" s="2452" t="e">
        <f t="shared" si="115"/>
        <v>#DIV/0!</v>
      </c>
      <c r="X589" s="1708">
        <f>IF(A589='Data Entry - SOF'!B$2,'Data Entry - SOF'!M$64,0)</f>
        <v>0</v>
      </c>
      <c r="Y589" s="1371" t="e">
        <f t="shared" si="116"/>
        <v>#DIV/0!</v>
      </c>
      <c r="Z589" s="2212" t="e">
        <f>IF('Report-M&amp;O2223'!C$18-'Report-SOF2223'!D$55&lt;=0,0,'Report-M&amp;O2223'!C$18-'Report-SOF2223'!D$55)</f>
        <v>#DIV/0!</v>
      </c>
      <c r="AA589" s="1708">
        <f>IF(A589='Data Entry - SOF'!B$2,'Data Entry - SOF'!O$64,0)</f>
        <v>0</v>
      </c>
    </row>
    <row r="590" spans="1:27" ht="15.75">
      <c r="A590" s="1076" t="s">
        <v>1592</v>
      </c>
      <c r="B590">
        <v>1079670</v>
      </c>
      <c r="C590" s="2452" t="e">
        <f>#REF!+#REF!</f>
        <v>#REF!</v>
      </c>
      <c r="D590" s="2449">
        <f>IF(A590='Data Entry - SOF'!B$2,'Data Entry - SOF'!C$64,0)</f>
        <v>0</v>
      </c>
      <c r="E590" s="2450">
        <f t="shared" si="117"/>
        <v>1079670</v>
      </c>
      <c r="F590" s="2212" t="e">
        <f>IF('Report-M&amp;O1718'!C$18-'Report-SOF1718'!D$55&lt;=0,0,'Report-M&amp;O1718'!C$18-'Report-SOF1718'!D$55)</f>
        <v>#DIV/0!</v>
      </c>
      <c r="G590" s="2452" t="e">
        <f t="shared" si="109"/>
        <v>#DIV/0!</v>
      </c>
      <c r="H590" s="2449">
        <f>IF(A590='Data Entry - SOF'!B$2,'Data Entry - SOF'!E$64,0)</f>
        <v>0</v>
      </c>
      <c r="I590" s="1687">
        <f t="shared" si="110"/>
        <v>1079670</v>
      </c>
      <c r="J590" s="2212" t="e">
        <f>IF('Report-M&amp;O1819'!C$18-'Report-SOF1819'!D$55&lt;=0,0,'Report-M&amp;O1819'!C$18-'Report-SOF1819'!D$55)</f>
        <v>#DIV/0!</v>
      </c>
      <c r="K590" s="2452" t="e">
        <f t="shared" si="111"/>
        <v>#DIV/0!</v>
      </c>
      <c r="L590" s="2449">
        <f>IF(A590='Data Entry - SOF'!B$2,'Data Entry - SOF'!G$64,0)</f>
        <v>0</v>
      </c>
      <c r="M590" s="1371">
        <f t="shared" si="112"/>
        <v>1079670</v>
      </c>
      <c r="N590" s="2212" t="e">
        <f>IF('Report-M&amp;O1920'!C$18-'Report-SOF1920'!D$55&lt;=0,0,'Report-M&amp;O1920'!C$18-'Report-SOF1920'!D$55)</f>
        <v>#DIV/0!</v>
      </c>
      <c r="O590" s="2452" t="e">
        <f t="shared" si="113"/>
        <v>#DIV/0!</v>
      </c>
      <c r="P590" s="2449">
        <f>IF(A590='Data Entry - SOF'!B$2,'Data Entry - SOF'!I$64,0)</f>
        <v>0</v>
      </c>
      <c r="Q590" s="1687">
        <f t="shared" si="108"/>
        <v>1079670</v>
      </c>
      <c r="R590" s="2212" t="e">
        <f>IF('Report-M&amp;O2021'!C$18-'Report-SOF2021'!D$55&lt;=0,0,'Report-M&amp;O2021'!C$18-'Report-SOF2021'!D$55)</f>
        <v>#DIV/0!</v>
      </c>
      <c r="S590" s="2452" t="e">
        <f t="shared" si="114"/>
        <v>#DIV/0!</v>
      </c>
      <c r="T590" s="1708">
        <f>IF(A590='Data Entry - SOF'!B$2,'Data Entry - SOF'!K$64,0)</f>
        <v>0</v>
      </c>
      <c r="U590" s="1687">
        <f t="shared" si="118"/>
        <v>1079670</v>
      </c>
      <c r="V590" s="2212" t="e">
        <f>IF('Report-M&amp;O2122'!C$18-'Report-SOF2122'!D$55&lt;=0,0,'Report-M&amp;O2122'!C$18-'Report-SOF2122'!D$55)</f>
        <v>#DIV/0!</v>
      </c>
      <c r="W590" s="2452" t="e">
        <f t="shared" si="115"/>
        <v>#DIV/0!</v>
      </c>
      <c r="X590" s="1708">
        <f>IF(A590='Data Entry - SOF'!B$2,'Data Entry - SOF'!M$64,0)</f>
        <v>0</v>
      </c>
      <c r="Y590" s="1371" t="e">
        <f t="shared" si="116"/>
        <v>#DIV/0!</v>
      </c>
      <c r="Z590" s="2212" t="e">
        <f>IF('Report-M&amp;O2223'!C$18-'Report-SOF2223'!D$55&lt;=0,0,'Report-M&amp;O2223'!C$18-'Report-SOF2223'!D$55)</f>
        <v>#DIV/0!</v>
      </c>
      <c r="AA590" s="1708">
        <f>IF(A590='Data Entry - SOF'!B$2,'Data Entry - SOF'!O$64,0)</f>
        <v>0</v>
      </c>
    </row>
    <row r="591" spans="1:27" ht="15.75">
      <c r="A591" s="1076" t="s">
        <v>2584</v>
      </c>
      <c r="B591">
        <v>1254307</v>
      </c>
      <c r="C591" s="2452" t="e">
        <f>#REF!+#REF!</f>
        <v>#REF!</v>
      </c>
      <c r="D591" s="2449">
        <f>IF(A591='Data Entry - SOF'!B$2,'Data Entry - SOF'!C$64,0)</f>
        <v>0</v>
      </c>
      <c r="E591" s="2450">
        <f t="shared" si="117"/>
        <v>1254307</v>
      </c>
      <c r="F591" s="2212" t="e">
        <f>IF('Report-M&amp;O1718'!C$18-'Report-SOF1718'!D$55&lt;=0,0,'Report-M&amp;O1718'!C$18-'Report-SOF1718'!D$55)</f>
        <v>#DIV/0!</v>
      </c>
      <c r="G591" s="2452" t="e">
        <f t="shared" si="109"/>
        <v>#DIV/0!</v>
      </c>
      <c r="H591" s="2449">
        <f>IF(A591='Data Entry - SOF'!B$2,'Data Entry - SOF'!E$64,0)</f>
        <v>0</v>
      </c>
      <c r="I591" s="1687">
        <f t="shared" si="110"/>
        <v>1254307</v>
      </c>
      <c r="J591" s="2212" t="e">
        <f>IF('Report-M&amp;O1819'!C$18-'Report-SOF1819'!D$55&lt;=0,0,'Report-M&amp;O1819'!C$18-'Report-SOF1819'!D$55)</f>
        <v>#DIV/0!</v>
      </c>
      <c r="K591" s="2452" t="e">
        <f t="shared" si="111"/>
        <v>#DIV/0!</v>
      </c>
      <c r="L591" s="2449">
        <f>IF(A591='Data Entry - SOF'!B$2,'Data Entry - SOF'!G$64,0)</f>
        <v>0</v>
      </c>
      <c r="M591" s="1371">
        <f t="shared" si="112"/>
        <v>1254307</v>
      </c>
      <c r="N591" s="2212" t="e">
        <f>IF('Report-M&amp;O1920'!C$18-'Report-SOF1920'!D$55&lt;=0,0,'Report-M&amp;O1920'!C$18-'Report-SOF1920'!D$55)</f>
        <v>#DIV/0!</v>
      </c>
      <c r="O591" s="2452" t="e">
        <f t="shared" si="113"/>
        <v>#DIV/0!</v>
      </c>
      <c r="P591" s="2449">
        <f>IF(A591='Data Entry - SOF'!B$2,'Data Entry - SOF'!I$64,0)</f>
        <v>0</v>
      </c>
      <c r="Q591" s="1687">
        <f t="shared" si="108"/>
        <v>1254307</v>
      </c>
      <c r="R591" s="2212" t="e">
        <f>IF('Report-M&amp;O2021'!C$18-'Report-SOF2021'!D$55&lt;=0,0,'Report-M&amp;O2021'!C$18-'Report-SOF2021'!D$55)</f>
        <v>#DIV/0!</v>
      </c>
      <c r="S591" s="2452" t="e">
        <f t="shared" si="114"/>
        <v>#DIV/0!</v>
      </c>
      <c r="T591" s="1708">
        <f>IF(A591='Data Entry - SOF'!B$2,'Data Entry - SOF'!K$64,0)</f>
        <v>0</v>
      </c>
      <c r="U591" s="1687">
        <f t="shared" si="118"/>
        <v>1254307</v>
      </c>
      <c r="V591" s="2212" t="e">
        <f>IF('Report-M&amp;O2122'!C$18-'Report-SOF2122'!D$55&lt;=0,0,'Report-M&amp;O2122'!C$18-'Report-SOF2122'!D$55)</f>
        <v>#DIV/0!</v>
      </c>
      <c r="W591" s="2452" t="e">
        <f t="shared" si="115"/>
        <v>#DIV/0!</v>
      </c>
      <c r="X591" s="1708">
        <f>IF(A591='Data Entry - SOF'!B$2,'Data Entry - SOF'!M$64,0)</f>
        <v>0</v>
      </c>
      <c r="Y591" s="1371" t="e">
        <f t="shared" si="116"/>
        <v>#DIV/0!</v>
      </c>
      <c r="Z591" s="2212" t="e">
        <f>IF('Report-M&amp;O2223'!C$18-'Report-SOF2223'!D$55&lt;=0,0,'Report-M&amp;O2223'!C$18-'Report-SOF2223'!D$55)</f>
        <v>#DIV/0!</v>
      </c>
      <c r="AA591" s="1708">
        <f>IF(A591='Data Entry - SOF'!B$2,'Data Entry - SOF'!O$64,0)</f>
        <v>0</v>
      </c>
    </row>
    <row r="592" spans="1:27" ht="15.75">
      <c r="A592" s="1076" t="s">
        <v>2585</v>
      </c>
      <c r="B592">
        <v>4721277</v>
      </c>
      <c r="C592" s="2452" t="e">
        <f>#REF!+#REF!</f>
        <v>#REF!</v>
      </c>
      <c r="D592" s="2449">
        <f>IF(A592='Data Entry - SOF'!B$2,'Data Entry - SOF'!C$64,0)</f>
        <v>0</v>
      </c>
      <c r="E592" s="2450">
        <f t="shared" si="117"/>
        <v>4721277</v>
      </c>
      <c r="F592" s="2212" t="e">
        <f>IF('Report-M&amp;O1718'!C$18-'Report-SOF1718'!D$55&lt;=0,0,'Report-M&amp;O1718'!C$18-'Report-SOF1718'!D$55)</f>
        <v>#DIV/0!</v>
      </c>
      <c r="G592" s="2452" t="e">
        <f t="shared" si="109"/>
        <v>#DIV/0!</v>
      </c>
      <c r="H592" s="2449">
        <f>IF(A592='Data Entry - SOF'!B$2,'Data Entry - SOF'!E$64,0)</f>
        <v>0</v>
      </c>
      <c r="I592" s="1687">
        <f t="shared" si="110"/>
        <v>4721277</v>
      </c>
      <c r="J592" s="2212" t="e">
        <f>IF('Report-M&amp;O1819'!C$18-'Report-SOF1819'!D$55&lt;=0,0,'Report-M&amp;O1819'!C$18-'Report-SOF1819'!D$55)</f>
        <v>#DIV/0!</v>
      </c>
      <c r="K592" s="2452" t="e">
        <f t="shared" si="111"/>
        <v>#DIV/0!</v>
      </c>
      <c r="L592" s="2449">
        <f>IF(A592='Data Entry - SOF'!B$2,'Data Entry - SOF'!G$64,0)</f>
        <v>0</v>
      </c>
      <c r="M592" s="1371">
        <f t="shared" si="112"/>
        <v>4721277</v>
      </c>
      <c r="N592" s="2212" t="e">
        <f>IF('Report-M&amp;O1920'!C$18-'Report-SOF1920'!D$55&lt;=0,0,'Report-M&amp;O1920'!C$18-'Report-SOF1920'!D$55)</f>
        <v>#DIV/0!</v>
      </c>
      <c r="O592" s="2452" t="e">
        <f t="shared" si="113"/>
        <v>#DIV/0!</v>
      </c>
      <c r="P592" s="2449">
        <f>IF(A592='Data Entry - SOF'!B$2,'Data Entry - SOF'!I$64,0)</f>
        <v>0</v>
      </c>
      <c r="Q592" s="1687">
        <f t="shared" si="108"/>
        <v>4721277</v>
      </c>
      <c r="R592" s="2212" t="e">
        <f>IF('Report-M&amp;O2021'!C$18-'Report-SOF2021'!D$55&lt;=0,0,'Report-M&amp;O2021'!C$18-'Report-SOF2021'!D$55)</f>
        <v>#DIV/0!</v>
      </c>
      <c r="S592" s="2452" t="e">
        <f t="shared" si="114"/>
        <v>#DIV/0!</v>
      </c>
      <c r="T592" s="1708">
        <f>IF(A592='Data Entry - SOF'!B$2,'Data Entry - SOF'!K$64,0)</f>
        <v>0</v>
      </c>
      <c r="U592" s="1687">
        <f t="shared" si="118"/>
        <v>4721277</v>
      </c>
      <c r="V592" s="2212" t="e">
        <f>IF('Report-M&amp;O2122'!C$18-'Report-SOF2122'!D$55&lt;=0,0,'Report-M&amp;O2122'!C$18-'Report-SOF2122'!D$55)</f>
        <v>#DIV/0!</v>
      </c>
      <c r="W592" s="2452" t="e">
        <f t="shared" si="115"/>
        <v>#DIV/0!</v>
      </c>
      <c r="X592" s="1708">
        <f>IF(A592='Data Entry - SOF'!B$2,'Data Entry - SOF'!M$64,0)</f>
        <v>0</v>
      </c>
      <c r="Y592" s="1371" t="e">
        <f t="shared" si="116"/>
        <v>#DIV/0!</v>
      </c>
      <c r="Z592" s="2212" t="e">
        <f>IF('Report-M&amp;O2223'!C$18-'Report-SOF2223'!D$55&lt;=0,0,'Report-M&amp;O2223'!C$18-'Report-SOF2223'!D$55)</f>
        <v>#DIV/0!</v>
      </c>
      <c r="AA592" s="1708">
        <f>IF(A592='Data Entry - SOF'!B$2,'Data Entry - SOF'!O$64,0)</f>
        <v>0</v>
      </c>
    </row>
    <row r="593" spans="1:27" ht="15.75">
      <c r="A593" s="1076" t="s">
        <v>2586</v>
      </c>
      <c r="B593">
        <v>9873254</v>
      </c>
      <c r="C593" s="2452" t="e">
        <f>#REF!+#REF!</f>
        <v>#REF!</v>
      </c>
      <c r="D593" s="2449">
        <f>IF(A593='Data Entry - SOF'!B$2,'Data Entry - SOF'!C$64,0)</f>
        <v>0</v>
      </c>
      <c r="E593" s="2450">
        <f t="shared" si="117"/>
        <v>9873254</v>
      </c>
      <c r="F593" s="2212" t="e">
        <f>IF('Report-M&amp;O1718'!C$18-'Report-SOF1718'!D$55&lt;=0,0,'Report-M&amp;O1718'!C$18-'Report-SOF1718'!D$55)</f>
        <v>#DIV/0!</v>
      </c>
      <c r="G593" s="2452" t="e">
        <f t="shared" si="109"/>
        <v>#DIV/0!</v>
      </c>
      <c r="H593" s="2449">
        <f>IF(A593='Data Entry - SOF'!B$2,'Data Entry - SOF'!E$64,0)</f>
        <v>0</v>
      </c>
      <c r="I593" s="1687">
        <f t="shared" si="110"/>
        <v>9873254</v>
      </c>
      <c r="J593" s="2212" t="e">
        <f>IF('Report-M&amp;O1819'!C$18-'Report-SOF1819'!D$55&lt;=0,0,'Report-M&amp;O1819'!C$18-'Report-SOF1819'!D$55)</f>
        <v>#DIV/0!</v>
      </c>
      <c r="K593" s="2452" t="e">
        <f t="shared" si="111"/>
        <v>#DIV/0!</v>
      </c>
      <c r="L593" s="2449">
        <f>IF(A593='Data Entry - SOF'!B$2,'Data Entry - SOF'!G$64,0)</f>
        <v>0</v>
      </c>
      <c r="M593" s="1371">
        <f t="shared" si="112"/>
        <v>9873254</v>
      </c>
      <c r="N593" s="2212" t="e">
        <f>IF('Report-M&amp;O1920'!C$18-'Report-SOF1920'!D$55&lt;=0,0,'Report-M&amp;O1920'!C$18-'Report-SOF1920'!D$55)</f>
        <v>#DIV/0!</v>
      </c>
      <c r="O593" s="2452" t="e">
        <f t="shared" si="113"/>
        <v>#DIV/0!</v>
      </c>
      <c r="P593" s="2449">
        <f>IF(A593='Data Entry - SOF'!B$2,'Data Entry - SOF'!I$64,0)</f>
        <v>0</v>
      </c>
      <c r="Q593" s="1687">
        <f t="shared" si="108"/>
        <v>9873254</v>
      </c>
      <c r="R593" s="2212" t="e">
        <f>IF('Report-M&amp;O2021'!C$18-'Report-SOF2021'!D$55&lt;=0,0,'Report-M&amp;O2021'!C$18-'Report-SOF2021'!D$55)</f>
        <v>#DIV/0!</v>
      </c>
      <c r="S593" s="2452" t="e">
        <f t="shared" si="114"/>
        <v>#DIV/0!</v>
      </c>
      <c r="T593" s="1708">
        <f>IF(A593='Data Entry - SOF'!B$2,'Data Entry - SOF'!K$64,0)</f>
        <v>0</v>
      </c>
      <c r="U593" s="1687">
        <f t="shared" si="118"/>
        <v>9873254</v>
      </c>
      <c r="V593" s="2212" t="e">
        <f>IF('Report-M&amp;O2122'!C$18-'Report-SOF2122'!D$55&lt;=0,0,'Report-M&amp;O2122'!C$18-'Report-SOF2122'!D$55)</f>
        <v>#DIV/0!</v>
      </c>
      <c r="W593" s="2452" t="e">
        <f t="shared" si="115"/>
        <v>#DIV/0!</v>
      </c>
      <c r="X593" s="1708">
        <f>IF(A593='Data Entry - SOF'!B$2,'Data Entry - SOF'!M$64,0)</f>
        <v>0</v>
      </c>
      <c r="Y593" s="1371" t="e">
        <f t="shared" si="116"/>
        <v>#DIV/0!</v>
      </c>
      <c r="Z593" s="2212" t="e">
        <f>IF('Report-M&amp;O2223'!C$18-'Report-SOF2223'!D$55&lt;=0,0,'Report-M&amp;O2223'!C$18-'Report-SOF2223'!D$55)</f>
        <v>#DIV/0!</v>
      </c>
      <c r="AA593" s="1708">
        <f>IF(A593='Data Entry - SOF'!B$2,'Data Entry - SOF'!O$64,0)</f>
        <v>0</v>
      </c>
    </row>
    <row r="594" spans="1:27" ht="15.75">
      <c r="A594" s="1076" t="s">
        <v>2587</v>
      </c>
      <c r="B594">
        <v>1466189</v>
      </c>
      <c r="C594" s="2452" t="e">
        <f>#REF!+#REF!</f>
        <v>#REF!</v>
      </c>
      <c r="D594" s="2449">
        <f>IF(A594='Data Entry - SOF'!B$2,'Data Entry - SOF'!C$64,0)</f>
        <v>0</v>
      </c>
      <c r="E594" s="2450">
        <f t="shared" si="117"/>
        <v>1466189</v>
      </c>
      <c r="F594" s="2212" t="e">
        <f>IF('Report-M&amp;O1718'!C$18-'Report-SOF1718'!D$55&lt;=0,0,'Report-M&amp;O1718'!C$18-'Report-SOF1718'!D$55)</f>
        <v>#DIV/0!</v>
      </c>
      <c r="G594" s="2452" t="e">
        <f t="shared" si="109"/>
        <v>#DIV/0!</v>
      </c>
      <c r="H594" s="2449">
        <f>IF(A594='Data Entry - SOF'!B$2,'Data Entry - SOF'!E$64,0)</f>
        <v>0</v>
      </c>
      <c r="I594" s="1687">
        <f t="shared" si="110"/>
        <v>1466189</v>
      </c>
      <c r="J594" s="2212" t="e">
        <f>IF('Report-M&amp;O1819'!C$18-'Report-SOF1819'!D$55&lt;=0,0,'Report-M&amp;O1819'!C$18-'Report-SOF1819'!D$55)</f>
        <v>#DIV/0!</v>
      </c>
      <c r="K594" s="2452" t="e">
        <f t="shared" si="111"/>
        <v>#DIV/0!</v>
      </c>
      <c r="L594" s="2449">
        <f>IF(A594='Data Entry - SOF'!B$2,'Data Entry - SOF'!G$64,0)</f>
        <v>0</v>
      </c>
      <c r="M594" s="1371">
        <f t="shared" si="112"/>
        <v>1466189</v>
      </c>
      <c r="N594" s="2212" t="e">
        <f>IF('Report-M&amp;O1920'!C$18-'Report-SOF1920'!D$55&lt;=0,0,'Report-M&amp;O1920'!C$18-'Report-SOF1920'!D$55)</f>
        <v>#DIV/0!</v>
      </c>
      <c r="O594" s="2452" t="e">
        <f t="shared" si="113"/>
        <v>#DIV/0!</v>
      </c>
      <c r="P594" s="2449">
        <f>IF(A594='Data Entry - SOF'!B$2,'Data Entry - SOF'!I$64,0)</f>
        <v>0</v>
      </c>
      <c r="Q594" s="1687">
        <f t="shared" si="108"/>
        <v>1466189</v>
      </c>
      <c r="R594" s="2212" t="e">
        <f>IF('Report-M&amp;O2021'!C$18-'Report-SOF2021'!D$55&lt;=0,0,'Report-M&amp;O2021'!C$18-'Report-SOF2021'!D$55)</f>
        <v>#DIV/0!</v>
      </c>
      <c r="S594" s="2452" t="e">
        <f t="shared" si="114"/>
        <v>#DIV/0!</v>
      </c>
      <c r="T594" s="1708">
        <f>IF(A594='Data Entry - SOF'!B$2,'Data Entry - SOF'!K$64,0)</f>
        <v>0</v>
      </c>
      <c r="U594" s="1687">
        <f t="shared" si="118"/>
        <v>1466189</v>
      </c>
      <c r="V594" s="2212" t="e">
        <f>IF('Report-M&amp;O2122'!C$18-'Report-SOF2122'!D$55&lt;=0,0,'Report-M&amp;O2122'!C$18-'Report-SOF2122'!D$55)</f>
        <v>#DIV/0!</v>
      </c>
      <c r="W594" s="2452" t="e">
        <f t="shared" si="115"/>
        <v>#DIV/0!</v>
      </c>
      <c r="X594" s="1708">
        <f>IF(A594='Data Entry - SOF'!B$2,'Data Entry - SOF'!M$64,0)</f>
        <v>0</v>
      </c>
      <c r="Y594" s="1371" t="e">
        <f t="shared" si="116"/>
        <v>#DIV/0!</v>
      </c>
      <c r="Z594" s="2212" t="e">
        <f>IF('Report-M&amp;O2223'!C$18-'Report-SOF2223'!D$55&lt;=0,0,'Report-M&amp;O2223'!C$18-'Report-SOF2223'!D$55)</f>
        <v>#DIV/0!</v>
      </c>
      <c r="AA594" s="1708">
        <f>IF(A594='Data Entry - SOF'!B$2,'Data Entry - SOF'!O$64,0)</f>
        <v>0</v>
      </c>
    </row>
    <row r="595" spans="1:27" ht="15.75">
      <c r="A595" s="1076" t="s">
        <v>2755</v>
      </c>
      <c r="B595">
        <v>50586082.038427398</v>
      </c>
      <c r="C595" s="2452" t="e">
        <f>#REF!+#REF!</f>
        <v>#REF!</v>
      </c>
      <c r="D595" s="2449">
        <f>IF(A595='Data Entry - SOF'!B$2,'Data Entry - SOF'!C$64,0)</f>
        <v>0</v>
      </c>
      <c r="E595" s="2450">
        <f t="shared" si="117"/>
        <v>50586082.038427398</v>
      </c>
      <c r="F595" s="2212" t="e">
        <f>IF('Report-M&amp;O1718'!C$18-'Report-SOF1718'!D$55&lt;=0,0,'Report-M&amp;O1718'!C$18-'Report-SOF1718'!D$55)</f>
        <v>#DIV/0!</v>
      </c>
      <c r="G595" s="2452" t="e">
        <f t="shared" si="109"/>
        <v>#DIV/0!</v>
      </c>
      <c r="H595" s="2449">
        <f>IF(A595='Data Entry - SOF'!B$2,'Data Entry - SOF'!E$64,0)</f>
        <v>0</v>
      </c>
      <c r="I595" s="1687">
        <f t="shared" si="110"/>
        <v>50586082.038427398</v>
      </c>
      <c r="J595" s="2212" t="e">
        <f>IF('Report-M&amp;O1819'!C$18-'Report-SOF1819'!D$55&lt;=0,0,'Report-M&amp;O1819'!C$18-'Report-SOF1819'!D$55)</f>
        <v>#DIV/0!</v>
      </c>
      <c r="K595" s="2452" t="e">
        <f t="shared" si="111"/>
        <v>#DIV/0!</v>
      </c>
      <c r="L595" s="2449">
        <f>IF(A595='Data Entry - SOF'!B$2,'Data Entry - SOF'!G$64,0)</f>
        <v>0</v>
      </c>
      <c r="M595" s="1371">
        <f t="shared" si="112"/>
        <v>50586082.038427398</v>
      </c>
      <c r="N595" s="2212" t="e">
        <f>IF('Report-M&amp;O1920'!C$18-'Report-SOF1920'!D$55&lt;=0,0,'Report-M&amp;O1920'!C$18-'Report-SOF1920'!D$55)</f>
        <v>#DIV/0!</v>
      </c>
      <c r="O595" s="2452" t="e">
        <f t="shared" si="113"/>
        <v>#DIV/0!</v>
      </c>
      <c r="P595" s="2449">
        <f>IF(A595='Data Entry - SOF'!B$2,'Data Entry - SOF'!I$64,0)</f>
        <v>0</v>
      </c>
      <c r="Q595" s="1687">
        <f t="shared" si="108"/>
        <v>50586082.038427398</v>
      </c>
      <c r="R595" s="2212" t="e">
        <f>IF('Report-M&amp;O2021'!C$18-'Report-SOF2021'!D$55&lt;=0,0,'Report-M&amp;O2021'!C$18-'Report-SOF2021'!D$55)</f>
        <v>#DIV/0!</v>
      </c>
      <c r="S595" s="2452" t="e">
        <f t="shared" si="114"/>
        <v>#DIV/0!</v>
      </c>
      <c r="T595" s="1708">
        <f>IF(A595='Data Entry - SOF'!B$2,'Data Entry - SOF'!K$64,0)</f>
        <v>0</v>
      </c>
      <c r="U595" s="1687">
        <f t="shared" si="118"/>
        <v>50586082.038427398</v>
      </c>
      <c r="V595" s="2212" t="e">
        <f>IF('Report-M&amp;O2122'!C$18-'Report-SOF2122'!D$55&lt;=0,0,'Report-M&amp;O2122'!C$18-'Report-SOF2122'!D$55)</f>
        <v>#DIV/0!</v>
      </c>
      <c r="W595" s="2452" t="e">
        <f t="shared" si="115"/>
        <v>#DIV/0!</v>
      </c>
      <c r="X595" s="1708">
        <f>IF(A595='Data Entry - SOF'!B$2,'Data Entry - SOF'!M$64,0)</f>
        <v>0</v>
      </c>
      <c r="Y595" s="1371" t="e">
        <f t="shared" si="116"/>
        <v>#DIV/0!</v>
      </c>
      <c r="Z595" s="2212" t="e">
        <f>IF('Report-M&amp;O2223'!C$18-'Report-SOF2223'!D$55&lt;=0,0,'Report-M&amp;O2223'!C$18-'Report-SOF2223'!D$55)</f>
        <v>#DIV/0!</v>
      </c>
      <c r="AA595" s="1708">
        <f>IF(A595='Data Entry - SOF'!B$2,'Data Entry - SOF'!O$64,0)</f>
        <v>0</v>
      </c>
    </row>
    <row r="596" spans="1:27" ht="15.75">
      <c r="A596" s="1076" t="s">
        <v>2588</v>
      </c>
      <c r="B596">
        <v>7849731</v>
      </c>
      <c r="C596" s="2452" t="e">
        <f>#REF!+#REF!</f>
        <v>#REF!</v>
      </c>
      <c r="D596" s="2449">
        <f>IF(A596='Data Entry - SOF'!B$2,'Data Entry - SOF'!C$64,0)</f>
        <v>0</v>
      </c>
      <c r="E596" s="2450">
        <f t="shared" si="117"/>
        <v>7849731</v>
      </c>
      <c r="F596" s="2212" t="e">
        <f>IF('Report-M&amp;O1718'!C$18-'Report-SOF1718'!D$55&lt;=0,0,'Report-M&amp;O1718'!C$18-'Report-SOF1718'!D$55)</f>
        <v>#DIV/0!</v>
      </c>
      <c r="G596" s="2452" t="e">
        <f t="shared" si="109"/>
        <v>#DIV/0!</v>
      </c>
      <c r="H596" s="2449">
        <f>IF(A596='Data Entry - SOF'!B$2,'Data Entry - SOF'!E$64,0)</f>
        <v>0</v>
      </c>
      <c r="I596" s="1687">
        <f t="shared" si="110"/>
        <v>7849731</v>
      </c>
      <c r="J596" s="2212" t="e">
        <f>IF('Report-M&amp;O1819'!C$18-'Report-SOF1819'!D$55&lt;=0,0,'Report-M&amp;O1819'!C$18-'Report-SOF1819'!D$55)</f>
        <v>#DIV/0!</v>
      </c>
      <c r="K596" s="2452" t="e">
        <f t="shared" si="111"/>
        <v>#DIV/0!</v>
      </c>
      <c r="L596" s="2449">
        <f>IF(A596='Data Entry - SOF'!B$2,'Data Entry - SOF'!G$64,0)</f>
        <v>0</v>
      </c>
      <c r="M596" s="1371">
        <f t="shared" si="112"/>
        <v>7849731</v>
      </c>
      <c r="N596" s="2212" t="e">
        <f>IF('Report-M&amp;O1920'!C$18-'Report-SOF1920'!D$55&lt;=0,0,'Report-M&amp;O1920'!C$18-'Report-SOF1920'!D$55)</f>
        <v>#DIV/0!</v>
      </c>
      <c r="O596" s="2452" t="e">
        <f t="shared" si="113"/>
        <v>#DIV/0!</v>
      </c>
      <c r="P596" s="2449">
        <f>IF(A596='Data Entry - SOF'!B$2,'Data Entry - SOF'!I$64,0)</f>
        <v>0</v>
      </c>
      <c r="Q596" s="1687">
        <f t="shared" si="108"/>
        <v>7849731</v>
      </c>
      <c r="R596" s="2212" t="e">
        <f>IF('Report-M&amp;O2021'!C$18-'Report-SOF2021'!D$55&lt;=0,0,'Report-M&amp;O2021'!C$18-'Report-SOF2021'!D$55)</f>
        <v>#DIV/0!</v>
      </c>
      <c r="S596" s="2452" t="e">
        <f t="shared" si="114"/>
        <v>#DIV/0!</v>
      </c>
      <c r="T596" s="1708">
        <f>IF(A596='Data Entry - SOF'!B$2,'Data Entry - SOF'!K$64,0)</f>
        <v>0</v>
      </c>
      <c r="U596" s="1687">
        <f t="shared" si="118"/>
        <v>7849731</v>
      </c>
      <c r="V596" s="2212" t="e">
        <f>IF('Report-M&amp;O2122'!C$18-'Report-SOF2122'!D$55&lt;=0,0,'Report-M&amp;O2122'!C$18-'Report-SOF2122'!D$55)</f>
        <v>#DIV/0!</v>
      </c>
      <c r="W596" s="2452" t="e">
        <f t="shared" si="115"/>
        <v>#DIV/0!</v>
      </c>
      <c r="X596" s="1708">
        <f>IF(A596='Data Entry - SOF'!B$2,'Data Entry - SOF'!M$64,0)</f>
        <v>0</v>
      </c>
      <c r="Y596" s="1371" t="e">
        <f t="shared" si="116"/>
        <v>#DIV/0!</v>
      </c>
      <c r="Z596" s="2212" t="e">
        <f>IF('Report-M&amp;O2223'!C$18-'Report-SOF2223'!D$55&lt;=0,0,'Report-M&amp;O2223'!C$18-'Report-SOF2223'!D$55)</f>
        <v>#DIV/0!</v>
      </c>
      <c r="AA596" s="1708">
        <f>IF(A596='Data Entry - SOF'!B$2,'Data Entry - SOF'!O$64,0)</f>
        <v>0</v>
      </c>
    </row>
    <row r="597" spans="1:27" ht="15.75">
      <c r="A597" s="1076" t="s">
        <v>2589</v>
      </c>
      <c r="B597">
        <v>3631617</v>
      </c>
      <c r="C597" s="2452" t="e">
        <f>#REF!+#REF!</f>
        <v>#REF!</v>
      </c>
      <c r="D597" s="2449">
        <f>IF(A597='Data Entry - SOF'!B$2,'Data Entry - SOF'!C$64,0)</f>
        <v>0</v>
      </c>
      <c r="E597" s="2450">
        <f t="shared" si="117"/>
        <v>3631617</v>
      </c>
      <c r="F597" s="2212" t="e">
        <f>IF('Report-M&amp;O1718'!C$18-'Report-SOF1718'!D$55&lt;=0,0,'Report-M&amp;O1718'!C$18-'Report-SOF1718'!D$55)</f>
        <v>#DIV/0!</v>
      </c>
      <c r="G597" s="2452" t="e">
        <f t="shared" si="109"/>
        <v>#DIV/0!</v>
      </c>
      <c r="H597" s="2449">
        <f>IF(A597='Data Entry - SOF'!B$2,'Data Entry - SOF'!E$64,0)</f>
        <v>0</v>
      </c>
      <c r="I597" s="1687">
        <f t="shared" si="110"/>
        <v>3631617</v>
      </c>
      <c r="J597" s="2212" t="e">
        <f>IF('Report-M&amp;O1819'!C$18-'Report-SOF1819'!D$55&lt;=0,0,'Report-M&amp;O1819'!C$18-'Report-SOF1819'!D$55)</f>
        <v>#DIV/0!</v>
      </c>
      <c r="K597" s="2452" t="e">
        <f t="shared" si="111"/>
        <v>#DIV/0!</v>
      </c>
      <c r="L597" s="2449">
        <f>IF(A597='Data Entry - SOF'!B$2,'Data Entry - SOF'!G$64,0)</f>
        <v>0</v>
      </c>
      <c r="M597" s="1371">
        <f t="shared" si="112"/>
        <v>3631617</v>
      </c>
      <c r="N597" s="2212" t="e">
        <f>IF('Report-M&amp;O1920'!C$18-'Report-SOF1920'!D$55&lt;=0,0,'Report-M&amp;O1920'!C$18-'Report-SOF1920'!D$55)</f>
        <v>#DIV/0!</v>
      </c>
      <c r="O597" s="2452" t="e">
        <f t="shared" si="113"/>
        <v>#DIV/0!</v>
      </c>
      <c r="P597" s="2449">
        <f>IF(A597='Data Entry - SOF'!B$2,'Data Entry - SOF'!I$64,0)</f>
        <v>0</v>
      </c>
      <c r="Q597" s="1687">
        <f t="shared" si="108"/>
        <v>3631617</v>
      </c>
      <c r="R597" s="2212" t="e">
        <f>IF('Report-M&amp;O2021'!C$18-'Report-SOF2021'!D$55&lt;=0,0,'Report-M&amp;O2021'!C$18-'Report-SOF2021'!D$55)</f>
        <v>#DIV/0!</v>
      </c>
      <c r="S597" s="2452" t="e">
        <f t="shared" si="114"/>
        <v>#DIV/0!</v>
      </c>
      <c r="T597" s="1708">
        <f>IF(A597='Data Entry - SOF'!B$2,'Data Entry - SOF'!K$64,0)</f>
        <v>0</v>
      </c>
      <c r="U597" s="1687">
        <f t="shared" si="118"/>
        <v>3631617</v>
      </c>
      <c r="V597" s="2212" t="e">
        <f>IF('Report-M&amp;O2122'!C$18-'Report-SOF2122'!D$55&lt;=0,0,'Report-M&amp;O2122'!C$18-'Report-SOF2122'!D$55)</f>
        <v>#DIV/0!</v>
      </c>
      <c r="W597" s="2452" t="e">
        <f t="shared" si="115"/>
        <v>#DIV/0!</v>
      </c>
      <c r="X597" s="1708">
        <f>IF(A597='Data Entry - SOF'!B$2,'Data Entry - SOF'!M$64,0)</f>
        <v>0</v>
      </c>
      <c r="Y597" s="1371" t="e">
        <f t="shared" si="116"/>
        <v>#DIV/0!</v>
      </c>
      <c r="Z597" s="2212" t="e">
        <f>IF('Report-M&amp;O2223'!C$18-'Report-SOF2223'!D$55&lt;=0,0,'Report-M&amp;O2223'!C$18-'Report-SOF2223'!D$55)</f>
        <v>#DIV/0!</v>
      </c>
      <c r="AA597" s="1708">
        <f>IF(A597='Data Entry - SOF'!B$2,'Data Entry - SOF'!O$64,0)</f>
        <v>0</v>
      </c>
    </row>
    <row r="598" spans="1:27" ht="15.75">
      <c r="A598" s="1076" t="s">
        <v>2590</v>
      </c>
      <c r="B598">
        <v>6181878.3236906203</v>
      </c>
      <c r="C598" s="2452" t="e">
        <f>#REF!+#REF!</f>
        <v>#REF!</v>
      </c>
      <c r="D598" s="2449">
        <f>IF(A598='Data Entry - SOF'!B$2,'Data Entry - SOF'!C$64,0)</f>
        <v>0</v>
      </c>
      <c r="E598" s="2450">
        <f t="shared" si="117"/>
        <v>6181878.3236906203</v>
      </c>
      <c r="F598" s="2212" t="e">
        <f>IF('Report-M&amp;O1718'!C$18-'Report-SOF1718'!D$55&lt;=0,0,'Report-M&amp;O1718'!C$18-'Report-SOF1718'!D$55)</f>
        <v>#DIV/0!</v>
      </c>
      <c r="G598" s="2452" t="e">
        <f t="shared" si="109"/>
        <v>#DIV/0!</v>
      </c>
      <c r="H598" s="2449">
        <f>IF(A598='Data Entry - SOF'!B$2,'Data Entry - SOF'!E$64,0)</f>
        <v>0</v>
      </c>
      <c r="I598" s="1687">
        <f t="shared" si="110"/>
        <v>6181878.3236906203</v>
      </c>
      <c r="J598" s="2212" t="e">
        <f>IF('Report-M&amp;O1819'!C$18-'Report-SOF1819'!D$55&lt;=0,0,'Report-M&amp;O1819'!C$18-'Report-SOF1819'!D$55)</f>
        <v>#DIV/0!</v>
      </c>
      <c r="K598" s="2452" t="e">
        <f t="shared" si="111"/>
        <v>#DIV/0!</v>
      </c>
      <c r="L598" s="2449">
        <f>IF(A598='Data Entry - SOF'!B$2,'Data Entry - SOF'!G$64,0)</f>
        <v>0</v>
      </c>
      <c r="M598" s="1371">
        <f t="shared" si="112"/>
        <v>6181878.3236906203</v>
      </c>
      <c r="N598" s="2212" t="e">
        <f>IF('Report-M&amp;O1920'!C$18-'Report-SOF1920'!D$55&lt;=0,0,'Report-M&amp;O1920'!C$18-'Report-SOF1920'!D$55)</f>
        <v>#DIV/0!</v>
      </c>
      <c r="O598" s="2452" t="e">
        <f t="shared" si="113"/>
        <v>#DIV/0!</v>
      </c>
      <c r="P598" s="2449">
        <f>IF(A598='Data Entry - SOF'!B$2,'Data Entry - SOF'!I$64,0)</f>
        <v>0</v>
      </c>
      <c r="Q598" s="1687">
        <f t="shared" si="108"/>
        <v>6181878.3236906203</v>
      </c>
      <c r="R598" s="2212" t="e">
        <f>IF('Report-M&amp;O2021'!C$18-'Report-SOF2021'!D$55&lt;=0,0,'Report-M&amp;O2021'!C$18-'Report-SOF2021'!D$55)</f>
        <v>#DIV/0!</v>
      </c>
      <c r="S598" s="2452" t="e">
        <f t="shared" si="114"/>
        <v>#DIV/0!</v>
      </c>
      <c r="T598" s="1708">
        <f>IF(A598='Data Entry - SOF'!B$2,'Data Entry - SOF'!K$64,0)</f>
        <v>0</v>
      </c>
      <c r="U598" s="1687">
        <f t="shared" si="118"/>
        <v>6181878.3236906203</v>
      </c>
      <c r="V598" s="2212" t="e">
        <f>IF('Report-M&amp;O2122'!C$18-'Report-SOF2122'!D$55&lt;=0,0,'Report-M&amp;O2122'!C$18-'Report-SOF2122'!D$55)</f>
        <v>#DIV/0!</v>
      </c>
      <c r="W598" s="2452" t="e">
        <f t="shared" si="115"/>
        <v>#DIV/0!</v>
      </c>
      <c r="X598" s="1708">
        <f>IF(A598='Data Entry - SOF'!B$2,'Data Entry - SOF'!M$64,0)</f>
        <v>0</v>
      </c>
      <c r="Y598" s="1371" t="e">
        <f t="shared" si="116"/>
        <v>#DIV/0!</v>
      </c>
      <c r="Z598" s="2212" t="e">
        <f>IF('Report-M&amp;O2223'!C$18-'Report-SOF2223'!D$55&lt;=0,0,'Report-M&amp;O2223'!C$18-'Report-SOF2223'!D$55)</f>
        <v>#DIV/0!</v>
      </c>
      <c r="AA598" s="1708">
        <f>IF(A598='Data Entry - SOF'!B$2,'Data Entry - SOF'!O$64,0)</f>
        <v>0</v>
      </c>
    </row>
    <row r="599" spans="1:27" ht="15.75">
      <c r="A599" s="1076" t="s">
        <v>2591</v>
      </c>
      <c r="B599">
        <v>290798</v>
      </c>
      <c r="C599" s="2452" t="e">
        <f>#REF!+#REF!</f>
        <v>#REF!</v>
      </c>
      <c r="D599" s="2449">
        <f>IF(A599='Data Entry - SOF'!B$2,'Data Entry - SOF'!C$64,0)</f>
        <v>0</v>
      </c>
      <c r="E599" s="2450">
        <f t="shared" si="117"/>
        <v>290798</v>
      </c>
      <c r="F599" s="2212" t="e">
        <f>IF('Report-M&amp;O1718'!C$18-'Report-SOF1718'!D$55&lt;=0,0,'Report-M&amp;O1718'!C$18-'Report-SOF1718'!D$55)</f>
        <v>#DIV/0!</v>
      </c>
      <c r="G599" s="2452" t="e">
        <f t="shared" si="109"/>
        <v>#DIV/0!</v>
      </c>
      <c r="H599" s="2449">
        <f>IF(A599='Data Entry - SOF'!B$2,'Data Entry - SOF'!E$64,0)</f>
        <v>0</v>
      </c>
      <c r="I599" s="1687">
        <f t="shared" si="110"/>
        <v>290798</v>
      </c>
      <c r="J599" s="2212" t="e">
        <f>IF('Report-M&amp;O1819'!C$18-'Report-SOF1819'!D$55&lt;=0,0,'Report-M&amp;O1819'!C$18-'Report-SOF1819'!D$55)</f>
        <v>#DIV/0!</v>
      </c>
      <c r="K599" s="2452" t="e">
        <f t="shared" si="111"/>
        <v>#DIV/0!</v>
      </c>
      <c r="L599" s="2449">
        <f>IF(A599='Data Entry - SOF'!B$2,'Data Entry - SOF'!G$64,0)</f>
        <v>0</v>
      </c>
      <c r="M599" s="1371">
        <f t="shared" si="112"/>
        <v>290798</v>
      </c>
      <c r="N599" s="2212" t="e">
        <f>IF('Report-M&amp;O1920'!C$18-'Report-SOF1920'!D$55&lt;=0,0,'Report-M&amp;O1920'!C$18-'Report-SOF1920'!D$55)</f>
        <v>#DIV/0!</v>
      </c>
      <c r="O599" s="2452" t="e">
        <f t="shared" si="113"/>
        <v>#DIV/0!</v>
      </c>
      <c r="P599" s="2449">
        <f>IF(A599='Data Entry - SOF'!B$2,'Data Entry - SOF'!I$64,0)</f>
        <v>0</v>
      </c>
      <c r="Q599" s="1687">
        <f t="shared" si="108"/>
        <v>290798</v>
      </c>
      <c r="R599" s="2212" t="e">
        <f>IF('Report-M&amp;O2021'!C$18-'Report-SOF2021'!D$55&lt;=0,0,'Report-M&amp;O2021'!C$18-'Report-SOF2021'!D$55)</f>
        <v>#DIV/0!</v>
      </c>
      <c r="S599" s="2452" t="e">
        <f t="shared" si="114"/>
        <v>#DIV/0!</v>
      </c>
      <c r="T599" s="1708">
        <f>IF(A599='Data Entry - SOF'!B$2,'Data Entry - SOF'!K$64,0)</f>
        <v>0</v>
      </c>
      <c r="U599" s="1687">
        <f t="shared" si="118"/>
        <v>290798</v>
      </c>
      <c r="V599" s="2212" t="e">
        <f>IF('Report-M&amp;O2122'!C$18-'Report-SOF2122'!D$55&lt;=0,0,'Report-M&amp;O2122'!C$18-'Report-SOF2122'!D$55)</f>
        <v>#DIV/0!</v>
      </c>
      <c r="W599" s="2452" t="e">
        <f t="shared" si="115"/>
        <v>#DIV/0!</v>
      </c>
      <c r="X599" s="1708">
        <f>IF(A599='Data Entry - SOF'!B$2,'Data Entry - SOF'!M$64,0)</f>
        <v>0</v>
      </c>
      <c r="Y599" s="1371" t="e">
        <f t="shared" si="116"/>
        <v>#DIV/0!</v>
      </c>
      <c r="Z599" s="2212" t="e">
        <f>IF('Report-M&amp;O2223'!C$18-'Report-SOF2223'!D$55&lt;=0,0,'Report-M&amp;O2223'!C$18-'Report-SOF2223'!D$55)</f>
        <v>#DIV/0!</v>
      </c>
      <c r="AA599" s="1708">
        <f>IF(A599='Data Entry - SOF'!B$2,'Data Entry - SOF'!O$64,0)</f>
        <v>0</v>
      </c>
    </row>
    <row r="600" spans="1:27" ht="15.75">
      <c r="A600" s="1076" t="s">
        <v>2592</v>
      </c>
      <c r="B600">
        <v>1018575</v>
      </c>
      <c r="C600" s="2452" t="e">
        <f>#REF!+#REF!</f>
        <v>#REF!</v>
      </c>
      <c r="D600" s="2449">
        <f>IF(A600='Data Entry - SOF'!B$2,'Data Entry - SOF'!C$64,0)</f>
        <v>0</v>
      </c>
      <c r="E600" s="2450">
        <f t="shared" si="117"/>
        <v>1018575</v>
      </c>
      <c r="F600" s="2212" t="e">
        <f>IF('Report-M&amp;O1718'!C$18-'Report-SOF1718'!D$55&lt;=0,0,'Report-M&amp;O1718'!C$18-'Report-SOF1718'!D$55)</f>
        <v>#DIV/0!</v>
      </c>
      <c r="G600" s="2452" t="e">
        <f t="shared" si="109"/>
        <v>#DIV/0!</v>
      </c>
      <c r="H600" s="2449">
        <f>IF(A600='Data Entry - SOF'!B$2,'Data Entry - SOF'!E$64,0)</f>
        <v>0</v>
      </c>
      <c r="I600" s="1687">
        <f t="shared" si="110"/>
        <v>1018575</v>
      </c>
      <c r="J600" s="2212" t="e">
        <f>IF('Report-M&amp;O1819'!C$18-'Report-SOF1819'!D$55&lt;=0,0,'Report-M&amp;O1819'!C$18-'Report-SOF1819'!D$55)</f>
        <v>#DIV/0!</v>
      </c>
      <c r="K600" s="2452" t="e">
        <f t="shared" si="111"/>
        <v>#DIV/0!</v>
      </c>
      <c r="L600" s="2449">
        <f>IF(A600='Data Entry - SOF'!B$2,'Data Entry - SOF'!G$64,0)</f>
        <v>0</v>
      </c>
      <c r="M600" s="1371">
        <f t="shared" si="112"/>
        <v>1018575</v>
      </c>
      <c r="N600" s="2212" t="e">
        <f>IF('Report-M&amp;O1920'!C$18-'Report-SOF1920'!D$55&lt;=0,0,'Report-M&amp;O1920'!C$18-'Report-SOF1920'!D$55)</f>
        <v>#DIV/0!</v>
      </c>
      <c r="O600" s="2452" t="e">
        <f t="shared" si="113"/>
        <v>#DIV/0!</v>
      </c>
      <c r="P600" s="2449">
        <f>IF(A600='Data Entry - SOF'!B$2,'Data Entry - SOF'!I$64,0)</f>
        <v>0</v>
      </c>
      <c r="Q600" s="1687">
        <f t="shared" si="108"/>
        <v>1018575</v>
      </c>
      <c r="R600" s="2212" t="e">
        <f>IF('Report-M&amp;O2021'!C$18-'Report-SOF2021'!D$55&lt;=0,0,'Report-M&amp;O2021'!C$18-'Report-SOF2021'!D$55)</f>
        <v>#DIV/0!</v>
      </c>
      <c r="S600" s="2452" t="e">
        <f t="shared" si="114"/>
        <v>#DIV/0!</v>
      </c>
      <c r="T600" s="1708">
        <f>IF(A600='Data Entry - SOF'!B$2,'Data Entry - SOF'!K$64,0)</f>
        <v>0</v>
      </c>
      <c r="U600" s="1687">
        <f t="shared" si="118"/>
        <v>1018575</v>
      </c>
      <c r="V600" s="2212" t="e">
        <f>IF('Report-M&amp;O2122'!C$18-'Report-SOF2122'!D$55&lt;=0,0,'Report-M&amp;O2122'!C$18-'Report-SOF2122'!D$55)</f>
        <v>#DIV/0!</v>
      </c>
      <c r="W600" s="2452" t="e">
        <f t="shared" si="115"/>
        <v>#DIV/0!</v>
      </c>
      <c r="X600" s="1708">
        <f>IF(A600='Data Entry - SOF'!B$2,'Data Entry - SOF'!M$64,0)</f>
        <v>0</v>
      </c>
      <c r="Y600" s="1371" t="e">
        <f t="shared" si="116"/>
        <v>#DIV/0!</v>
      </c>
      <c r="Z600" s="2212" t="e">
        <f>IF('Report-M&amp;O2223'!C$18-'Report-SOF2223'!D$55&lt;=0,0,'Report-M&amp;O2223'!C$18-'Report-SOF2223'!D$55)</f>
        <v>#DIV/0!</v>
      </c>
      <c r="AA600" s="1708">
        <f>IF(A600='Data Entry - SOF'!B$2,'Data Entry - SOF'!O$64,0)</f>
        <v>0</v>
      </c>
    </row>
    <row r="601" spans="1:27" ht="15.75">
      <c r="A601" s="1076" t="s">
        <v>2981</v>
      </c>
      <c r="B601">
        <v>1637013</v>
      </c>
      <c r="C601" s="2452" t="e">
        <f>#REF!+#REF!</f>
        <v>#REF!</v>
      </c>
      <c r="D601" s="2449">
        <f>IF(A601='Data Entry - SOF'!B$2,'Data Entry - SOF'!C$64,0)</f>
        <v>0</v>
      </c>
      <c r="E601" s="2450">
        <f t="shared" si="117"/>
        <v>1637013</v>
      </c>
      <c r="F601" s="2212" t="e">
        <f>IF('Report-M&amp;O1718'!C$18-'Report-SOF1718'!D$55&lt;=0,0,'Report-M&amp;O1718'!C$18-'Report-SOF1718'!D$55)</f>
        <v>#DIV/0!</v>
      </c>
      <c r="G601" s="2452" t="e">
        <f t="shared" si="109"/>
        <v>#DIV/0!</v>
      </c>
      <c r="H601" s="2449">
        <f>IF(A601='Data Entry - SOF'!B$2,'Data Entry - SOF'!E$64,0)</f>
        <v>0</v>
      </c>
      <c r="I601" s="1687">
        <f t="shared" si="110"/>
        <v>1637013</v>
      </c>
      <c r="J601" s="2212" t="e">
        <f>IF('Report-M&amp;O1819'!C$18-'Report-SOF1819'!D$55&lt;=0,0,'Report-M&amp;O1819'!C$18-'Report-SOF1819'!D$55)</f>
        <v>#DIV/0!</v>
      </c>
      <c r="K601" s="2452" t="e">
        <f t="shared" si="111"/>
        <v>#DIV/0!</v>
      </c>
      <c r="L601" s="2449">
        <f>IF(A601='Data Entry - SOF'!B$2,'Data Entry - SOF'!G$64,0)</f>
        <v>0</v>
      </c>
      <c r="M601" s="1371">
        <f t="shared" si="112"/>
        <v>1637013</v>
      </c>
      <c r="N601" s="2212" t="e">
        <f>IF('Report-M&amp;O1920'!C$18-'Report-SOF1920'!D$55&lt;=0,0,'Report-M&amp;O1920'!C$18-'Report-SOF1920'!D$55)</f>
        <v>#DIV/0!</v>
      </c>
      <c r="O601" s="2452" t="e">
        <f t="shared" si="113"/>
        <v>#DIV/0!</v>
      </c>
      <c r="P601" s="2449">
        <f>IF(A601='Data Entry - SOF'!B$2,'Data Entry - SOF'!I$64,0)</f>
        <v>0</v>
      </c>
      <c r="Q601" s="1687">
        <f t="shared" si="108"/>
        <v>1637013</v>
      </c>
      <c r="R601" s="2212" t="e">
        <f>IF('Report-M&amp;O2021'!C$18-'Report-SOF2021'!D$55&lt;=0,0,'Report-M&amp;O2021'!C$18-'Report-SOF2021'!D$55)</f>
        <v>#DIV/0!</v>
      </c>
      <c r="S601" s="2452" t="e">
        <f t="shared" si="114"/>
        <v>#DIV/0!</v>
      </c>
      <c r="T601" s="1708">
        <f>IF(A601='Data Entry - SOF'!B$2,'Data Entry - SOF'!K$64,0)</f>
        <v>0</v>
      </c>
      <c r="U601" s="1687">
        <f t="shared" si="118"/>
        <v>1637013</v>
      </c>
      <c r="V601" s="2212" t="e">
        <f>IF('Report-M&amp;O2122'!C$18-'Report-SOF2122'!D$55&lt;=0,0,'Report-M&amp;O2122'!C$18-'Report-SOF2122'!D$55)</f>
        <v>#DIV/0!</v>
      </c>
      <c r="W601" s="2452" t="e">
        <f t="shared" si="115"/>
        <v>#DIV/0!</v>
      </c>
      <c r="X601" s="1708">
        <f>IF(A601='Data Entry - SOF'!B$2,'Data Entry - SOF'!M$64,0)</f>
        <v>0</v>
      </c>
      <c r="Y601" s="1371" t="e">
        <f t="shared" si="116"/>
        <v>#DIV/0!</v>
      </c>
      <c r="Z601" s="2212" t="e">
        <f>IF('Report-M&amp;O2223'!C$18-'Report-SOF2223'!D$55&lt;=0,0,'Report-M&amp;O2223'!C$18-'Report-SOF2223'!D$55)</f>
        <v>#DIV/0!</v>
      </c>
      <c r="AA601" s="1708">
        <f>IF(A601='Data Entry - SOF'!B$2,'Data Entry - SOF'!O$64,0)</f>
        <v>0</v>
      </c>
    </row>
    <row r="602" spans="1:27" ht="15.75">
      <c r="A602" s="1076" t="s">
        <v>2982</v>
      </c>
      <c r="B602">
        <v>14892214</v>
      </c>
      <c r="C602" s="2452" t="e">
        <f>#REF!+#REF!</f>
        <v>#REF!</v>
      </c>
      <c r="D602" s="2449">
        <f>IF(A602='Data Entry - SOF'!B$2,'Data Entry - SOF'!C$64,0)</f>
        <v>0</v>
      </c>
      <c r="E602" s="2450">
        <f t="shared" si="117"/>
        <v>14892214</v>
      </c>
      <c r="F602" s="2212" t="e">
        <f>IF('Report-M&amp;O1718'!C$18-'Report-SOF1718'!D$55&lt;=0,0,'Report-M&amp;O1718'!C$18-'Report-SOF1718'!D$55)</f>
        <v>#DIV/0!</v>
      </c>
      <c r="G602" s="2452" t="e">
        <f t="shared" si="109"/>
        <v>#DIV/0!</v>
      </c>
      <c r="H602" s="2449">
        <f>IF(A602='Data Entry - SOF'!B$2,'Data Entry - SOF'!E$64,0)</f>
        <v>0</v>
      </c>
      <c r="I602" s="1687">
        <f t="shared" si="110"/>
        <v>14892214</v>
      </c>
      <c r="J602" s="2212" t="e">
        <f>IF('Report-M&amp;O1819'!C$18-'Report-SOF1819'!D$55&lt;=0,0,'Report-M&amp;O1819'!C$18-'Report-SOF1819'!D$55)</f>
        <v>#DIV/0!</v>
      </c>
      <c r="K602" s="2452" t="e">
        <f t="shared" si="111"/>
        <v>#DIV/0!</v>
      </c>
      <c r="L602" s="2449">
        <f>IF(A602='Data Entry - SOF'!B$2,'Data Entry - SOF'!G$64,0)</f>
        <v>0</v>
      </c>
      <c r="M602" s="1371">
        <f t="shared" si="112"/>
        <v>14892214</v>
      </c>
      <c r="N602" s="2212" t="e">
        <f>IF('Report-M&amp;O1920'!C$18-'Report-SOF1920'!D$55&lt;=0,0,'Report-M&amp;O1920'!C$18-'Report-SOF1920'!D$55)</f>
        <v>#DIV/0!</v>
      </c>
      <c r="O602" s="2452" t="e">
        <f t="shared" si="113"/>
        <v>#DIV/0!</v>
      </c>
      <c r="P602" s="2449">
        <f>IF(A602='Data Entry - SOF'!B$2,'Data Entry - SOF'!I$64,0)</f>
        <v>0</v>
      </c>
      <c r="Q602" s="1687">
        <f t="shared" si="108"/>
        <v>14892214</v>
      </c>
      <c r="R602" s="2212" t="e">
        <f>IF('Report-M&amp;O2021'!C$18-'Report-SOF2021'!D$55&lt;=0,0,'Report-M&amp;O2021'!C$18-'Report-SOF2021'!D$55)</f>
        <v>#DIV/0!</v>
      </c>
      <c r="S602" s="2452" t="e">
        <f t="shared" si="114"/>
        <v>#DIV/0!</v>
      </c>
      <c r="T602" s="1708">
        <f>IF(A602='Data Entry - SOF'!B$2,'Data Entry - SOF'!K$64,0)</f>
        <v>0</v>
      </c>
      <c r="U602" s="1687">
        <f t="shared" si="118"/>
        <v>14892214</v>
      </c>
      <c r="V602" s="2212" t="e">
        <f>IF('Report-M&amp;O2122'!C$18-'Report-SOF2122'!D$55&lt;=0,0,'Report-M&amp;O2122'!C$18-'Report-SOF2122'!D$55)</f>
        <v>#DIV/0!</v>
      </c>
      <c r="W602" s="2452" t="e">
        <f t="shared" si="115"/>
        <v>#DIV/0!</v>
      </c>
      <c r="X602" s="1708">
        <f>IF(A602='Data Entry - SOF'!B$2,'Data Entry - SOF'!M$64,0)</f>
        <v>0</v>
      </c>
      <c r="Y602" s="1371" t="e">
        <f t="shared" si="116"/>
        <v>#DIV/0!</v>
      </c>
      <c r="Z602" s="2212" t="e">
        <f>IF('Report-M&amp;O2223'!C$18-'Report-SOF2223'!D$55&lt;=0,0,'Report-M&amp;O2223'!C$18-'Report-SOF2223'!D$55)</f>
        <v>#DIV/0!</v>
      </c>
      <c r="AA602" s="1708">
        <f>IF(A602='Data Entry - SOF'!B$2,'Data Entry - SOF'!O$64,0)</f>
        <v>0</v>
      </c>
    </row>
    <row r="603" spans="1:27" ht="15.75">
      <c r="A603" s="1076" t="s">
        <v>2983</v>
      </c>
      <c r="B603">
        <v>3583480</v>
      </c>
      <c r="C603" s="2452" t="e">
        <f>#REF!+#REF!</f>
        <v>#REF!</v>
      </c>
      <c r="D603" s="2449">
        <f>IF(A603='Data Entry - SOF'!B$2,'Data Entry - SOF'!C$64,0)</f>
        <v>0</v>
      </c>
      <c r="E603" s="2450">
        <f t="shared" si="117"/>
        <v>3583480</v>
      </c>
      <c r="F603" s="2212" t="e">
        <f>IF('Report-M&amp;O1718'!C$18-'Report-SOF1718'!D$55&lt;=0,0,'Report-M&amp;O1718'!C$18-'Report-SOF1718'!D$55)</f>
        <v>#DIV/0!</v>
      </c>
      <c r="G603" s="2452" t="e">
        <f t="shared" si="109"/>
        <v>#DIV/0!</v>
      </c>
      <c r="H603" s="2449">
        <f>IF(A603='Data Entry - SOF'!B$2,'Data Entry - SOF'!E$64,0)</f>
        <v>0</v>
      </c>
      <c r="I603" s="1687">
        <f t="shared" si="110"/>
        <v>3583480</v>
      </c>
      <c r="J603" s="2212" t="e">
        <f>IF('Report-M&amp;O1819'!C$18-'Report-SOF1819'!D$55&lt;=0,0,'Report-M&amp;O1819'!C$18-'Report-SOF1819'!D$55)</f>
        <v>#DIV/0!</v>
      </c>
      <c r="K603" s="2452" t="e">
        <f t="shared" si="111"/>
        <v>#DIV/0!</v>
      </c>
      <c r="L603" s="2449">
        <f>IF(A603='Data Entry - SOF'!B$2,'Data Entry - SOF'!G$64,0)</f>
        <v>0</v>
      </c>
      <c r="M603" s="1371">
        <f t="shared" si="112"/>
        <v>3583480</v>
      </c>
      <c r="N603" s="2212" t="e">
        <f>IF('Report-M&amp;O1920'!C$18-'Report-SOF1920'!D$55&lt;=0,0,'Report-M&amp;O1920'!C$18-'Report-SOF1920'!D$55)</f>
        <v>#DIV/0!</v>
      </c>
      <c r="O603" s="2452" t="e">
        <f t="shared" si="113"/>
        <v>#DIV/0!</v>
      </c>
      <c r="P603" s="2449">
        <f>IF(A603='Data Entry - SOF'!B$2,'Data Entry - SOF'!I$64,0)</f>
        <v>0</v>
      </c>
      <c r="Q603" s="1687">
        <f t="shared" si="108"/>
        <v>3583480</v>
      </c>
      <c r="R603" s="2212" t="e">
        <f>IF('Report-M&amp;O2021'!C$18-'Report-SOF2021'!D$55&lt;=0,0,'Report-M&amp;O2021'!C$18-'Report-SOF2021'!D$55)</f>
        <v>#DIV/0!</v>
      </c>
      <c r="S603" s="2452" t="e">
        <f t="shared" si="114"/>
        <v>#DIV/0!</v>
      </c>
      <c r="T603" s="1708">
        <f>IF(A603='Data Entry - SOF'!B$2,'Data Entry - SOF'!K$64,0)</f>
        <v>0</v>
      </c>
      <c r="U603" s="1687">
        <f t="shared" si="118"/>
        <v>3583480</v>
      </c>
      <c r="V603" s="2212" t="e">
        <f>IF('Report-M&amp;O2122'!C$18-'Report-SOF2122'!D$55&lt;=0,0,'Report-M&amp;O2122'!C$18-'Report-SOF2122'!D$55)</f>
        <v>#DIV/0!</v>
      </c>
      <c r="W603" s="2452" t="e">
        <f t="shared" si="115"/>
        <v>#DIV/0!</v>
      </c>
      <c r="X603" s="1708">
        <f>IF(A603='Data Entry - SOF'!B$2,'Data Entry - SOF'!M$64,0)</f>
        <v>0</v>
      </c>
      <c r="Y603" s="1371" t="e">
        <f t="shared" si="116"/>
        <v>#DIV/0!</v>
      </c>
      <c r="Z603" s="2212" t="e">
        <f>IF('Report-M&amp;O2223'!C$18-'Report-SOF2223'!D$55&lt;=0,0,'Report-M&amp;O2223'!C$18-'Report-SOF2223'!D$55)</f>
        <v>#DIV/0!</v>
      </c>
      <c r="AA603" s="1708">
        <f>IF(A603='Data Entry - SOF'!B$2,'Data Entry - SOF'!O$64,0)</f>
        <v>0</v>
      </c>
    </row>
    <row r="604" spans="1:27" ht="15.75">
      <c r="A604" s="1076" t="s">
        <v>2984</v>
      </c>
      <c r="B604">
        <v>889424</v>
      </c>
      <c r="C604" s="2452" t="e">
        <f>#REF!+#REF!</f>
        <v>#REF!</v>
      </c>
      <c r="D604" s="2449">
        <f>IF(A604='Data Entry - SOF'!B$2,'Data Entry - SOF'!C$64,0)</f>
        <v>0</v>
      </c>
      <c r="E604" s="2450">
        <f t="shared" si="117"/>
        <v>889424</v>
      </c>
      <c r="F604" s="2212" t="e">
        <f>IF('Report-M&amp;O1718'!C$18-'Report-SOF1718'!D$55&lt;=0,0,'Report-M&amp;O1718'!C$18-'Report-SOF1718'!D$55)</f>
        <v>#DIV/0!</v>
      </c>
      <c r="G604" s="2452" t="e">
        <f t="shared" si="109"/>
        <v>#DIV/0!</v>
      </c>
      <c r="H604" s="2449">
        <f>IF(A604='Data Entry - SOF'!B$2,'Data Entry - SOF'!E$64,0)</f>
        <v>0</v>
      </c>
      <c r="I604" s="1687">
        <f t="shared" si="110"/>
        <v>889424</v>
      </c>
      <c r="J604" s="2212" t="e">
        <f>IF('Report-M&amp;O1819'!C$18-'Report-SOF1819'!D$55&lt;=0,0,'Report-M&amp;O1819'!C$18-'Report-SOF1819'!D$55)</f>
        <v>#DIV/0!</v>
      </c>
      <c r="K604" s="2452" t="e">
        <f t="shared" si="111"/>
        <v>#DIV/0!</v>
      </c>
      <c r="L604" s="2449">
        <f>IF(A604='Data Entry - SOF'!B$2,'Data Entry - SOF'!G$64,0)</f>
        <v>0</v>
      </c>
      <c r="M604" s="1371">
        <f t="shared" si="112"/>
        <v>889424</v>
      </c>
      <c r="N604" s="2212" t="e">
        <f>IF('Report-M&amp;O1920'!C$18-'Report-SOF1920'!D$55&lt;=0,0,'Report-M&amp;O1920'!C$18-'Report-SOF1920'!D$55)</f>
        <v>#DIV/0!</v>
      </c>
      <c r="O604" s="2452" t="e">
        <f t="shared" si="113"/>
        <v>#DIV/0!</v>
      </c>
      <c r="P604" s="2449">
        <f>IF(A604='Data Entry - SOF'!B$2,'Data Entry - SOF'!I$64,0)</f>
        <v>0</v>
      </c>
      <c r="Q604" s="1687">
        <f t="shared" si="108"/>
        <v>889424</v>
      </c>
      <c r="R604" s="2212" t="e">
        <f>IF('Report-M&amp;O2021'!C$18-'Report-SOF2021'!D$55&lt;=0,0,'Report-M&amp;O2021'!C$18-'Report-SOF2021'!D$55)</f>
        <v>#DIV/0!</v>
      </c>
      <c r="S604" s="2452" t="e">
        <f t="shared" si="114"/>
        <v>#DIV/0!</v>
      </c>
      <c r="T604" s="1708">
        <f>IF(A604='Data Entry - SOF'!B$2,'Data Entry - SOF'!K$64,0)</f>
        <v>0</v>
      </c>
      <c r="U604" s="1687">
        <f t="shared" si="118"/>
        <v>889424</v>
      </c>
      <c r="V604" s="2212" t="e">
        <f>IF('Report-M&amp;O2122'!C$18-'Report-SOF2122'!D$55&lt;=0,0,'Report-M&amp;O2122'!C$18-'Report-SOF2122'!D$55)</f>
        <v>#DIV/0!</v>
      </c>
      <c r="W604" s="2452" t="e">
        <f t="shared" si="115"/>
        <v>#DIV/0!</v>
      </c>
      <c r="X604" s="1708">
        <f>IF(A604='Data Entry - SOF'!B$2,'Data Entry - SOF'!M$64,0)</f>
        <v>0</v>
      </c>
      <c r="Y604" s="1371" t="e">
        <f t="shared" si="116"/>
        <v>#DIV/0!</v>
      </c>
      <c r="Z604" s="2212" t="e">
        <f>IF('Report-M&amp;O2223'!C$18-'Report-SOF2223'!D$55&lt;=0,0,'Report-M&amp;O2223'!C$18-'Report-SOF2223'!D$55)</f>
        <v>#DIV/0!</v>
      </c>
      <c r="AA604" s="1708">
        <f>IF(A604='Data Entry - SOF'!B$2,'Data Entry - SOF'!O$64,0)</f>
        <v>0</v>
      </c>
    </row>
    <row r="605" spans="1:27" ht="15.75">
      <c r="A605" s="1076" t="s">
        <v>2985</v>
      </c>
      <c r="B605">
        <v>4660256</v>
      </c>
      <c r="C605" s="2452" t="e">
        <f>#REF!+#REF!</f>
        <v>#REF!</v>
      </c>
      <c r="D605" s="2449">
        <f>IF(A605='Data Entry - SOF'!B$2,'Data Entry - SOF'!C$64,0)</f>
        <v>0</v>
      </c>
      <c r="E605" s="2450">
        <f t="shared" si="117"/>
        <v>4660256</v>
      </c>
      <c r="F605" s="2212" t="e">
        <f>IF('Report-M&amp;O1718'!C$18-'Report-SOF1718'!D$55&lt;=0,0,'Report-M&amp;O1718'!C$18-'Report-SOF1718'!D$55)</f>
        <v>#DIV/0!</v>
      </c>
      <c r="G605" s="2452" t="e">
        <f t="shared" si="109"/>
        <v>#DIV/0!</v>
      </c>
      <c r="H605" s="2449">
        <f>IF(A605='Data Entry - SOF'!B$2,'Data Entry - SOF'!E$64,0)</f>
        <v>0</v>
      </c>
      <c r="I605" s="1687">
        <f t="shared" si="110"/>
        <v>4660256</v>
      </c>
      <c r="J605" s="2212" t="e">
        <f>IF('Report-M&amp;O1819'!C$18-'Report-SOF1819'!D$55&lt;=0,0,'Report-M&amp;O1819'!C$18-'Report-SOF1819'!D$55)</f>
        <v>#DIV/0!</v>
      </c>
      <c r="K605" s="2452" t="e">
        <f t="shared" si="111"/>
        <v>#DIV/0!</v>
      </c>
      <c r="L605" s="2449">
        <f>IF(A605='Data Entry - SOF'!B$2,'Data Entry - SOF'!G$64,0)</f>
        <v>0</v>
      </c>
      <c r="M605" s="1371">
        <f t="shared" si="112"/>
        <v>4660256</v>
      </c>
      <c r="N605" s="2212" t="e">
        <f>IF('Report-M&amp;O1920'!C$18-'Report-SOF1920'!D$55&lt;=0,0,'Report-M&amp;O1920'!C$18-'Report-SOF1920'!D$55)</f>
        <v>#DIV/0!</v>
      </c>
      <c r="O605" s="2452" t="e">
        <f t="shared" si="113"/>
        <v>#DIV/0!</v>
      </c>
      <c r="P605" s="2449">
        <f>IF(A605='Data Entry - SOF'!B$2,'Data Entry - SOF'!I$64,0)</f>
        <v>0</v>
      </c>
      <c r="Q605" s="1687">
        <f t="shared" si="108"/>
        <v>4660256</v>
      </c>
      <c r="R605" s="2212" t="e">
        <f>IF('Report-M&amp;O2021'!C$18-'Report-SOF2021'!D$55&lt;=0,0,'Report-M&amp;O2021'!C$18-'Report-SOF2021'!D$55)</f>
        <v>#DIV/0!</v>
      </c>
      <c r="S605" s="2452" t="e">
        <f t="shared" si="114"/>
        <v>#DIV/0!</v>
      </c>
      <c r="T605" s="1708">
        <f>IF(A605='Data Entry - SOF'!B$2,'Data Entry - SOF'!K$64,0)</f>
        <v>0</v>
      </c>
      <c r="U605" s="1687">
        <f t="shared" si="118"/>
        <v>4660256</v>
      </c>
      <c r="V605" s="2212" t="e">
        <f>IF('Report-M&amp;O2122'!C$18-'Report-SOF2122'!D$55&lt;=0,0,'Report-M&amp;O2122'!C$18-'Report-SOF2122'!D$55)</f>
        <v>#DIV/0!</v>
      </c>
      <c r="W605" s="2452" t="e">
        <f t="shared" si="115"/>
        <v>#DIV/0!</v>
      </c>
      <c r="X605" s="1708">
        <f>IF(A605='Data Entry - SOF'!B$2,'Data Entry - SOF'!M$64,0)</f>
        <v>0</v>
      </c>
      <c r="Y605" s="1371" t="e">
        <f t="shared" si="116"/>
        <v>#DIV/0!</v>
      </c>
      <c r="Z605" s="2212" t="e">
        <f>IF('Report-M&amp;O2223'!C$18-'Report-SOF2223'!D$55&lt;=0,0,'Report-M&amp;O2223'!C$18-'Report-SOF2223'!D$55)</f>
        <v>#DIV/0!</v>
      </c>
      <c r="AA605" s="1708">
        <f>IF(A605='Data Entry - SOF'!B$2,'Data Entry - SOF'!O$64,0)</f>
        <v>0</v>
      </c>
    </row>
    <row r="606" spans="1:27" ht="15.75">
      <c r="A606" s="1076" t="s">
        <v>1561</v>
      </c>
      <c r="B606">
        <v>4153752</v>
      </c>
      <c r="C606" s="2452" t="e">
        <f>#REF!+#REF!</f>
        <v>#REF!</v>
      </c>
      <c r="D606" s="2449">
        <f>IF(A606='Data Entry - SOF'!B$2,'Data Entry - SOF'!C$64,0)</f>
        <v>0</v>
      </c>
      <c r="E606" s="2450">
        <f t="shared" si="117"/>
        <v>4153752</v>
      </c>
      <c r="F606" s="2212" t="e">
        <f>IF('Report-M&amp;O1718'!C$18-'Report-SOF1718'!D$55&lt;=0,0,'Report-M&amp;O1718'!C$18-'Report-SOF1718'!D$55)</f>
        <v>#DIV/0!</v>
      </c>
      <c r="G606" s="2452" t="e">
        <f t="shared" si="109"/>
        <v>#DIV/0!</v>
      </c>
      <c r="H606" s="2449">
        <f>IF(A606='Data Entry - SOF'!B$2,'Data Entry - SOF'!E$64,0)</f>
        <v>0</v>
      </c>
      <c r="I606" s="1687">
        <f t="shared" si="110"/>
        <v>4153752</v>
      </c>
      <c r="J606" s="2212" t="e">
        <f>IF('Report-M&amp;O1819'!C$18-'Report-SOF1819'!D$55&lt;=0,0,'Report-M&amp;O1819'!C$18-'Report-SOF1819'!D$55)</f>
        <v>#DIV/0!</v>
      </c>
      <c r="K606" s="2452" t="e">
        <f t="shared" si="111"/>
        <v>#DIV/0!</v>
      </c>
      <c r="L606" s="2449">
        <f>IF(A606='Data Entry - SOF'!B$2,'Data Entry - SOF'!G$64,0)</f>
        <v>0</v>
      </c>
      <c r="M606" s="1371">
        <f t="shared" si="112"/>
        <v>4153752</v>
      </c>
      <c r="N606" s="2212" t="e">
        <f>IF('Report-M&amp;O1920'!C$18-'Report-SOF1920'!D$55&lt;=0,0,'Report-M&amp;O1920'!C$18-'Report-SOF1920'!D$55)</f>
        <v>#DIV/0!</v>
      </c>
      <c r="O606" s="2452" t="e">
        <f t="shared" si="113"/>
        <v>#DIV/0!</v>
      </c>
      <c r="P606" s="2449">
        <f>IF(A606='Data Entry - SOF'!B$2,'Data Entry - SOF'!I$64,0)</f>
        <v>0</v>
      </c>
      <c r="Q606" s="1687">
        <f t="shared" si="108"/>
        <v>4153752</v>
      </c>
      <c r="R606" s="2212" t="e">
        <f>IF('Report-M&amp;O2021'!C$18-'Report-SOF2021'!D$55&lt;=0,0,'Report-M&amp;O2021'!C$18-'Report-SOF2021'!D$55)</f>
        <v>#DIV/0!</v>
      </c>
      <c r="S606" s="2452" t="e">
        <f t="shared" si="114"/>
        <v>#DIV/0!</v>
      </c>
      <c r="T606" s="1708">
        <f>IF(A606='Data Entry - SOF'!B$2,'Data Entry - SOF'!K$64,0)</f>
        <v>0</v>
      </c>
      <c r="U606" s="1687">
        <f t="shared" si="118"/>
        <v>4153752</v>
      </c>
      <c r="V606" s="2212" t="e">
        <f>IF('Report-M&amp;O2122'!C$18-'Report-SOF2122'!D$55&lt;=0,0,'Report-M&amp;O2122'!C$18-'Report-SOF2122'!D$55)</f>
        <v>#DIV/0!</v>
      </c>
      <c r="W606" s="2452" t="e">
        <f t="shared" si="115"/>
        <v>#DIV/0!</v>
      </c>
      <c r="X606" s="1708">
        <f>IF(A606='Data Entry - SOF'!B$2,'Data Entry - SOF'!M$64,0)</f>
        <v>0</v>
      </c>
      <c r="Y606" s="1371" t="e">
        <f t="shared" si="116"/>
        <v>#DIV/0!</v>
      </c>
      <c r="Z606" s="2212" t="e">
        <f>IF('Report-M&amp;O2223'!C$18-'Report-SOF2223'!D$55&lt;=0,0,'Report-M&amp;O2223'!C$18-'Report-SOF2223'!D$55)</f>
        <v>#DIV/0!</v>
      </c>
      <c r="AA606" s="1708">
        <f>IF(A606='Data Entry - SOF'!B$2,'Data Entry - SOF'!O$64,0)</f>
        <v>0</v>
      </c>
    </row>
    <row r="607" spans="1:27" ht="15.75">
      <c r="A607" s="1076" t="s">
        <v>1562</v>
      </c>
      <c r="B607">
        <v>9172196</v>
      </c>
      <c r="C607" s="2452" t="e">
        <f>#REF!+#REF!</f>
        <v>#REF!</v>
      </c>
      <c r="D607" s="2449">
        <f>IF(A607='Data Entry - SOF'!B$2,'Data Entry - SOF'!C$64,0)</f>
        <v>0</v>
      </c>
      <c r="E607" s="2450">
        <f t="shared" si="117"/>
        <v>9172196</v>
      </c>
      <c r="F607" s="2212" t="e">
        <f>IF('Report-M&amp;O1718'!C$18-'Report-SOF1718'!D$55&lt;=0,0,'Report-M&amp;O1718'!C$18-'Report-SOF1718'!D$55)</f>
        <v>#DIV/0!</v>
      </c>
      <c r="G607" s="2452" t="e">
        <f t="shared" si="109"/>
        <v>#DIV/0!</v>
      </c>
      <c r="H607" s="2449">
        <f>IF(A607='Data Entry - SOF'!B$2,'Data Entry - SOF'!E$64,0)</f>
        <v>0</v>
      </c>
      <c r="I607" s="1687">
        <f t="shared" si="110"/>
        <v>9172196</v>
      </c>
      <c r="J607" s="2212" t="e">
        <f>IF('Report-M&amp;O1819'!C$18-'Report-SOF1819'!D$55&lt;=0,0,'Report-M&amp;O1819'!C$18-'Report-SOF1819'!D$55)</f>
        <v>#DIV/0!</v>
      </c>
      <c r="K607" s="2452" t="e">
        <f t="shared" si="111"/>
        <v>#DIV/0!</v>
      </c>
      <c r="L607" s="2449">
        <f>IF(A607='Data Entry - SOF'!B$2,'Data Entry - SOF'!G$64,0)</f>
        <v>0</v>
      </c>
      <c r="M607" s="1371">
        <f t="shared" si="112"/>
        <v>9172196</v>
      </c>
      <c r="N607" s="2212" t="e">
        <f>IF('Report-M&amp;O1920'!C$18-'Report-SOF1920'!D$55&lt;=0,0,'Report-M&amp;O1920'!C$18-'Report-SOF1920'!D$55)</f>
        <v>#DIV/0!</v>
      </c>
      <c r="O607" s="2452" t="e">
        <f t="shared" si="113"/>
        <v>#DIV/0!</v>
      </c>
      <c r="P607" s="2449">
        <f>IF(A607='Data Entry - SOF'!B$2,'Data Entry - SOF'!I$64,0)</f>
        <v>0</v>
      </c>
      <c r="Q607" s="1687">
        <f t="shared" si="108"/>
        <v>9172196</v>
      </c>
      <c r="R607" s="2212" t="e">
        <f>IF('Report-M&amp;O2021'!C$18-'Report-SOF2021'!D$55&lt;=0,0,'Report-M&amp;O2021'!C$18-'Report-SOF2021'!D$55)</f>
        <v>#DIV/0!</v>
      </c>
      <c r="S607" s="2452" t="e">
        <f t="shared" si="114"/>
        <v>#DIV/0!</v>
      </c>
      <c r="T607" s="1708">
        <f>IF(A607='Data Entry - SOF'!B$2,'Data Entry - SOF'!K$64,0)</f>
        <v>0</v>
      </c>
      <c r="U607" s="1687">
        <f t="shared" si="118"/>
        <v>9172196</v>
      </c>
      <c r="V607" s="2212" t="e">
        <f>IF('Report-M&amp;O2122'!C$18-'Report-SOF2122'!D$55&lt;=0,0,'Report-M&amp;O2122'!C$18-'Report-SOF2122'!D$55)</f>
        <v>#DIV/0!</v>
      </c>
      <c r="W607" s="2452" t="e">
        <f t="shared" si="115"/>
        <v>#DIV/0!</v>
      </c>
      <c r="X607" s="1708">
        <f>IF(A607='Data Entry - SOF'!B$2,'Data Entry - SOF'!M$64,0)</f>
        <v>0</v>
      </c>
      <c r="Y607" s="1371" t="e">
        <f t="shared" si="116"/>
        <v>#DIV/0!</v>
      </c>
      <c r="Z607" s="2212" t="e">
        <f>IF('Report-M&amp;O2223'!C$18-'Report-SOF2223'!D$55&lt;=0,0,'Report-M&amp;O2223'!C$18-'Report-SOF2223'!D$55)</f>
        <v>#DIV/0!</v>
      </c>
      <c r="AA607" s="1708">
        <f>IF(A607='Data Entry - SOF'!B$2,'Data Entry - SOF'!O$64,0)</f>
        <v>0</v>
      </c>
    </row>
    <row r="608" spans="1:27" ht="15.75">
      <c r="A608" s="1076" t="s">
        <v>2783</v>
      </c>
      <c r="B608">
        <v>2150013</v>
      </c>
      <c r="C608" s="2452" t="e">
        <f>#REF!+#REF!</f>
        <v>#REF!</v>
      </c>
      <c r="D608" s="2449">
        <f>IF(A608='Data Entry - SOF'!B$2,'Data Entry - SOF'!C$64,0)</f>
        <v>0</v>
      </c>
      <c r="E608" s="2450">
        <f t="shared" si="117"/>
        <v>2150013</v>
      </c>
      <c r="F608" s="2212" t="e">
        <f>IF('Report-M&amp;O1718'!C$18-'Report-SOF1718'!D$55&lt;=0,0,'Report-M&amp;O1718'!C$18-'Report-SOF1718'!D$55)</f>
        <v>#DIV/0!</v>
      </c>
      <c r="G608" s="2452" t="e">
        <f t="shared" si="109"/>
        <v>#DIV/0!</v>
      </c>
      <c r="H608" s="2449">
        <f>IF(A608='Data Entry - SOF'!B$2,'Data Entry - SOF'!E$64,0)</f>
        <v>0</v>
      </c>
      <c r="I608" s="1687">
        <f t="shared" si="110"/>
        <v>2150013</v>
      </c>
      <c r="J608" s="2212" t="e">
        <f>IF('Report-M&amp;O1819'!C$18-'Report-SOF1819'!D$55&lt;=0,0,'Report-M&amp;O1819'!C$18-'Report-SOF1819'!D$55)</f>
        <v>#DIV/0!</v>
      </c>
      <c r="K608" s="2452" t="e">
        <f t="shared" si="111"/>
        <v>#DIV/0!</v>
      </c>
      <c r="L608" s="2449">
        <f>IF(A608='Data Entry - SOF'!B$2,'Data Entry - SOF'!G$64,0)</f>
        <v>0</v>
      </c>
      <c r="M608" s="1371">
        <f t="shared" si="112"/>
        <v>2150013</v>
      </c>
      <c r="N608" s="2212" t="e">
        <f>IF('Report-M&amp;O1920'!C$18-'Report-SOF1920'!D$55&lt;=0,0,'Report-M&amp;O1920'!C$18-'Report-SOF1920'!D$55)</f>
        <v>#DIV/0!</v>
      </c>
      <c r="O608" s="2452" t="e">
        <f t="shared" si="113"/>
        <v>#DIV/0!</v>
      </c>
      <c r="P608" s="2449">
        <f>IF(A608='Data Entry - SOF'!B$2,'Data Entry - SOF'!I$64,0)</f>
        <v>0</v>
      </c>
      <c r="Q608" s="1687">
        <f t="shared" si="108"/>
        <v>2150013</v>
      </c>
      <c r="R608" s="2212" t="e">
        <f>IF('Report-M&amp;O2021'!C$18-'Report-SOF2021'!D$55&lt;=0,0,'Report-M&amp;O2021'!C$18-'Report-SOF2021'!D$55)</f>
        <v>#DIV/0!</v>
      </c>
      <c r="S608" s="2452" t="e">
        <f t="shared" si="114"/>
        <v>#DIV/0!</v>
      </c>
      <c r="T608" s="1708">
        <f>IF(A608='Data Entry - SOF'!B$2,'Data Entry - SOF'!K$64,0)</f>
        <v>0</v>
      </c>
      <c r="U608" s="1687">
        <f t="shared" si="118"/>
        <v>2150013</v>
      </c>
      <c r="V608" s="2212" t="e">
        <f>IF('Report-M&amp;O2122'!C$18-'Report-SOF2122'!D$55&lt;=0,0,'Report-M&amp;O2122'!C$18-'Report-SOF2122'!D$55)</f>
        <v>#DIV/0!</v>
      </c>
      <c r="W608" s="2452" t="e">
        <f t="shared" si="115"/>
        <v>#DIV/0!</v>
      </c>
      <c r="X608" s="1708">
        <f>IF(A608='Data Entry - SOF'!B$2,'Data Entry - SOF'!M$64,0)</f>
        <v>0</v>
      </c>
      <c r="Y608" s="1371" t="e">
        <f t="shared" si="116"/>
        <v>#DIV/0!</v>
      </c>
      <c r="Z608" s="2212" t="e">
        <f>IF('Report-M&amp;O2223'!C$18-'Report-SOF2223'!D$55&lt;=0,0,'Report-M&amp;O2223'!C$18-'Report-SOF2223'!D$55)</f>
        <v>#DIV/0!</v>
      </c>
      <c r="AA608" s="1708">
        <f>IF(A608='Data Entry - SOF'!B$2,'Data Entry - SOF'!O$64,0)</f>
        <v>0</v>
      </c>
    </row>
    <row r="609" spans="1:27" ht="15.75">
      <c r="A609" s="1076" t="s">
        <v>2421</v>
      </c>
      <c r="B609">
        <v>9972656</v>
      </c>
      <c r="C609" s="2452" t="e">
        <f>#REF!+#REF!</f>
        <v>#REF!</v>
      </c>
      <c r="D609" s="2449">
        <f>IF(A609='Data Entry - SOF'!B$2,'Data Entry - SOF'!C$64,0)</f>
        <v>0</v>
      </c>
      <c r="E609" s="2450">
        <f t="shared" si="117"/>
        <v>9972656</v>
      </c>
      <c r="F609" s="2212" t="e">
        <f>IF('Report-M&amp;O1718'!C$18-'Report-SOF1718'!D$55&lt;=0,0,'Report-M&amp;O1718'!C$18-'Report-SOF1718'!D$55)</f>
        <v>#DIV/0!</v>
      </c>
      <c r="G609" s="2452" t="e">
        <f t="shared" si="109"/>
        <v>#DIV/0!</v>
      </c>
      <c r="H609" s="2449">
        <f>IF(A609='Data Entry - SOF'!B$2,'Data Entry - SOF'!E$64,0)</f>
        <v>0</v>
      </c>
      <c r="I609" s="1687">
        <f t="shared" si="110"/>
        <v>9972656</v>
      </c>
      <c r="J609" s="2212" t="e">
        <f>IF('Report-M&amp;O1819'!C$18-'Report-SOF1819'!D$55&lt;=0,0,'Report-M&amp;O1819'!C$18-'Report-SOF1819'!D$55)</f>
        <v>#DIV/0!</v>
      </c>
      <c r="K609" s="2452" t="e">
        <f t="shared" si="111"/>
        <v>#DIV/0!</v>
      </c>
      <c r="L609" s="2449">
        <f>IF(A609='Data Entry - SOF'!B$2,'Data Entry - SOF'!G$64,0)</f>
        <v>0</v>
      </c>
      <c r="M609" s="1371">
        <f t="shared" si="112"/>
        <v>9972656</v>
      </c>
      <c r="N609" s="2212" t="e">
        <f>IF('Report-M&amp;O1920'!C$18-'Report-SOF1920'!D$55&lt;=0,0,'Report-M&amp;O1920'!C$18-'Report-SOF1920'!D$55)</f>
        <v>#DIV/0!</v>
      </c>
      <c r="O609" s="2452" t="e">
        <f t="shared" si="113"/>
        <v>#DIV/0!</v>
      </c>
      <c r="P609" s="2449">
        <f>IF(A609='Data Entry - SOF'!B$2,'Data Entry - SOF'!I$64,0)</f>
        <v>0</v>
      </c>
      <c r="Q609" s="1687">
        <f t="shared" si="108"/>
        <v>9972656</v>
      </c>
      <c r="R609" s="2212" t="e">
        <f>IF('Report-M&amp;O2021'!C$18-'Report-SOF2021'!D$55&lt;=0,0,'Report-M&amp;O2021'!C$18-'Report-SOF2021'!D$55)</f>
        <v>#DIV/0!</v>
      </c>
      <c r="S609" s="2452" t="e">
        <f t="shared" si="114"/>
        <v>#DIV/0!</v>
      </c>
      <c r="T609" s="1708">
        <f>IF(A609='Data Entry - SOF'!B$2,'Data Entry - SOF'!K$64,0)</f>
        <v>0</v>
      </c>
      <c r="U609" s="1687">
        <f t="shared" si="118"/>
        <v>9972656</v>
      </c>
      <c r="V609" s="2212" t="e">
        <f>IF('Report-M&amp;O2122'!C$18-'Report-SOF2122'!D$55&lt;=0,0,'Report-M&amp;O2122'!C$18-'Report-SOF2122'!D$55)</f>
        <v>#DIV/0!</v>
      </c>
      <c r="W609" s="2452" t="e">
        <f t="shared" si="115"/>
        <v>#DIV/0!</v>
      </c>
      <c r="X609" s="1708">
        <f>IF(A609='Data Entry - SOF'!B$2,'Data Entry - SOF'!M$64,0)</f>
        <v>0</v>
      </c>
      <c r="Y609" s="1371" t="e">
        <f t="shared" si="116"/>
        <v>#DIV/0!</v>
      </c>
      <c r="Z609" s="2212" t="e">
        <f>IF('Report-M&amp;O2223'!C$18-'Report-SOF2223'!D$55&lt;=0,0,'Report-M&amp;O2223'!C$18-'Report-SOF2223'!D$55)</f>
        <v>#DIV/0!</v>
      </c>
      <c r="AA609" s="1708">
        <f>IF(A609='Data Entry - SOF'!B$2,'Data Entry - SOF'!O$64,0)</f>
        <v>0</v>
      </c>
    </row>
    <row r="610" spans="1:27" ht="15.75">
      <c r="A610" s="1076" t="s">
        <v>3029</v>
      </c>
      <c r="B610">
        <v>10822151</v>
      </c>
      <c r="C610" s="2452" t="e">
        <f>#REF!+#REF!</f>
        <v>#REF!</v>
      </c>
      <c r="D610" s="2449">
        <f>IF(A610='Data Entry - SOF'!B$2,'Data Entry - SOF'!C$64,0)</f>
        <v>0</v>
      </c>
      <c r="E610" s="2450">
        <f t="shared" si="117"/>
        <v>10822151</v>
      </c>
      <c r="F610" s="2212" t="e">
        <f>IF('Report-M&amp;O1718'!C$18-'Report-SOF1718'!D$55&lt;=0,0,'Report-M&amp;O1718'!C$18-'Report-SOF1718'!D$55)</f>
        <v>#DIV/0!</v>
      </c>
      <c r="G610" s="2452" t="e">
        <f t="shared" si="109"/>
        <v>#DIV/0!</v>
      </c>
      <c r="H610" s="2449">
        <f>IF(A610='Data Entry - SOF'!B$2,'Data Entry - SOF'!E$64,0)</f>
        <v>0</v>
      </c>
      <c r="I610" s="1687">
        <f t="shared" si="110"/>
        <v>10822151</v>
      </c>
      <c r="J610" s="2212" t="e">
        <f>IF('Report-M&amp;O1819'!C$18-'Report-SOF1819'!D$55&lt;=0,0,'Report-M&amp;O1819'!C$18-'Report-SOF1819'!D$55)</f>
        <v>#DIV/0!</v>
      </c>
      <c r="K610" s="2452" t="e">
        <f t="shared" si="111"/>
        <v>#DIV/0!</v>
      </c>
      <c r="L610" s="2449">
        <f>IF(A610='Data Entry - SOF'!B$2,'Data Entry - SOF'!G$64,0)</f>
        <v>0</v>
      </c>
      <c r="M610" s="1371">
        <f t="shared" si="112"/>
        <v>10822151</v>
      </c>
      <c r="N610" s="2212" t="e">
        <f>IF('Report-M&amp;O1920'!C$18-'Report-SOF1920'!D$55&lt;=0,0,'Report-M&amp;O1920'!C$18-'Report-SOF1920'!D$55)</f>
        <v>#DIV/0!</v>
      </c>
      <c r="O610" s="2452" t="e">
        <f t="shared" si="113"/>
        <v>#DIV/0!</v>
      </c>
      <c r="P610" s="2449">
        <f>IF(A610='Data Entry - SOF'!B$2,'Data Entry - SOF'!I$64,0)</f>
        <v>0</v>
      </c>
      <c r="Q610" s="1687">
        <f t="shared" si="108"/>
        <v>10822151</v>
      </c>
      <c r="R610" s="2212" t="e">
        <f>IF('Report-M&amp;O2021'!C$18-'Report-SOF2021'!D$55&lt;=0,0,'Report-M&amp;O2021'!C$18-'Report-SOF2021'!D$55)</f>
        <v>#DIV/0!</v>
      </c>
      <c r="S610" s="2452" t="e">
        <f t="shared" si="114"/>
        <v>#DIV/0!</v>
      </c>
      <c r="T610" s="1708">
        <f>IF(A610='Data Entry - SOF'!B$2,'Data Entry - SOF'!K$64,0)</f>
        <v>0</v>
      </c>
      <c r="U610" s="1687">
        <f t="shared" si="118"/>
        <v>10822151</v>
      </c>
      <c r="V610" s="2212" t="e">
        <f>IF('Report-M&amp;O2122'!C$18-'Report-SOF2122'!D$55&lt;=0,0,'Report-M&amp;O2122'!C$18-'Report-SOF2122'!D$55)</f>
        <v>#DIV/0!</v>
      </c>
      <c r="W610" s="2452" t="e">
        <f t="shared" si="115"/>
        <v>#DIV/0!</v>
      </c>
      <c r="X610" s="1708">
        <f>IF(A610='Data Entry - SOF'!B$2,'Data Entry - SOF'!M$64,0)</f>
        <v>0</v>
      </c>
      <c r="Y610" s="1371" t="e">
        <f t="shared" si="116"/>
        <v>#DIV/0!</v>
      </c>
      <c r="Z610" s="2212" t="e">
        <f>IF('Report-M&amp;O2223'!C$18-'Report-SOF2223'!D$55&lt;=0,0,'Report-M&amp;O2223'!C$18-'Report-SOF2223'!D$55)</f>
        <v>#DIV/0!</v>
      </c>
      <c r="AA610" s="1708">
        <f>IF(A610='Data Entry - SOF'!B$2,'Data Entry - SOF'!O$64,0)</f>
        <v>0</v>
      </c>
    </row>
    <row r="611" spans="1:27" ht="15.75">
      <c r="A611" s="1076" t="s">
        <v>2762</v>
      </c>
      <c r="B611">
        <v>15514860</v>
      </c>
      <c r="C611" s="2452" t="e">
        <f>#REF!+#REF!</f>
        <v>#REF!</v>
      </c>
      <c r="D611" s="2449">
        <f>IF(A611='Data Entry - SOF'!B$2,'Data Entry - SOF'!C$64,0)</f>
        <v>0</v>
      </c>
      <c r="E611" s="2450">
        <f t="shared" si="117"/>
        <v>15514860</v>
      </c>
      <c r="F611" s="2212" t="e">
        <f>IF('Report-M&amp;O1718'!C$18-'Report-SOF1718'!D$55&lt;=0,0,'Report-M&amp;O1718'!C$18-'Report-SOF1718'!D$55)</f>
        <v>#DIV/0!</v>
      </c>
      <c r="G611" s="2452" t="e">
        <f t="shared" si="109"/>
        <v>#DIV/0!</v>
      </c>
      <c r="H611" s="2449">
        <f>IF(A611='Data Entry - SOF'!B$2,'Data Entry - SOF'!E$64,0)</f>
        <v>0</v>
      </c>
      <c r="I611" s="1687">
        <f t="shared" si="110"/>
        <v>15514860</v>
      </c>
      <c r="J611" s="2212" t="e">
        <f>IF('Report-M&amp;O1819'!C$18-'Report-SOF1819'!D$55&lt;=0,0,'Report-M&amp;O1819'!C$18-'Report-SOF1819'!D$55)</f>
        <v>#DIV/0!</v>
      </c>
      <c r="K611" s="2452" t="e">
        <f t="shared" si="111"/>
        <v>#DIV/0!</v>
      </c>
      <c r="L611" s="2449">
        <f>IF(A611='Data Entry - SOF'!B$2,'Data Entry - SOF'!G$64,0)</f>
        <v>0</v>
      </c>
      <c r="M611" s="1371">
        <f t="shared" si="112"/>
        <v>15514860</v>
      </c>
      <c r="N611" s="2212" t="e">
        <f>IF('Report-M&amp;O1920'!C$18-'Report-SOF1920'!D$55&lt;=0,0,'Report-M&amp;O1920'!C$18-'Report-SOF1920'!D$55)</f>
        <v>#DIV/0!</v>
      </c>
      <c r="O611" s="2452" t="e">
        <f t="shared" si="113"/>
        <v>#DIV/0!</v>
      </c>
      <c r="P611" s="2449">
        <f>IF(A611='Data Entry - SOF'!B$2,'Data Entry - SOF'!I$64,0)</f>
        <v>0</v>
      </c>
      <c r="Q611" s="1687">
        <f t="shared" si="108"/>
        <v>15514860</v>
      </c>
      <c r="R611" s="2212" t="e">
        <f>IF('Report-M&amp;O2021'!C$18-'Report-SOF2021'!D$55&lt;=0,0,'Report-M&amp;O2021'!C$18-'Report-SOF2021'!D$55)</f>
        <v>#DIV/0!</v>
      </c>
      <c r="S611" s="2452" t="e">
        <f t="shared" si="114"/>
        <v>#DIV/0!</v>
      </c>
      <c r="T611" s="1708">
        <f>IF(A611='Data Entry - SOF'!B$2,'Data Entry - SOF'!K$64,0)</f>
        <v>0</v>
      </c>
      <c r="U611" s="1687">
        <f t="shared" si="118"/>
        <v>15514860</v>
      </c>
      <c r="V611" s="2212" t="e">
        <f>IF('Report-M&amp;O2122'!C$18-'Report-SOF2122'!D$55&lt;=0,0,'Report-M&amp;O2122'!C$18-'Report-SOF2122'!D$55)</f>
        <v>#DIV/0!</v>
      </c>
      <c r="W611" s="2452" t="e">
        <f t="shared" si="115"/>
        <v>#DIV/0!</v>
      </c>
      <c r="X611" s="1708">
        <f>IF(A611='Data Entry - SOF'!B$2,'Data Entry - SOF'!M$64,0)</f>
        <v>0</v>
      </c>
      <c r="Y611" s="1371" t="e">
        <f t="shared" si="116"/>
        <v>#DIV/0!</v>
      </c>
      <c r="Z611" s="2212" t="e">
        <f>IF('Report-M&amp;O2223'!C$18-'Report-SOF2223'!D$55&lt;=0,0,'Report-M&amp;O2223'!C$18-'Report-SOF2223'!D$55)</f>
        <v>#DIV/0!</v>
      </c>
      <c r="AA611" s="1708">
        <f>IF(A611='Data Entry - SOF'!B$2,'Data Entry - SOF'!O$64,0)</f>
        <v>0</v>
      </c>
    </row>
    <row r="612" spans="1:27" ht="15.75">
      <c r="A612" s="1076" t="s">
        <v>2422</v>
      </c>
      <c r="B612">
        <v>5094852</v>
      </c>
      <c r="C612" s="2452" t="e">
        <f>#REF!+#REF!</f>
        <v>#REF!</v>
      </c>
      <c r="D612" s="2449">
        <f>IF(A612='Data Entry - SOF'!B$2,'Data Entry - SOF'!C$64,0)</f>
        <v>0</v>
      </c>
      <c r="E612" s="2450">
        <f t="shared" si="117"/>
        <v>5094852</v>
      </c>
      <c r="F612" s="2212" t="e">
        <f>IF('Report-M&amp;O1718'!C$18-'Report-SOF1718'!D$55&lt;=0,0,'Report-M&amp;O1718'!C$18-'Report-SOF1718'!D$55)</f>
        <v>#DIV/0!</v>
      </c>
      <c r="G612" s="2452" t="e">
        <f t="shared" si="109"/>
        <v>#DIV/0!</v>
      </c>
      <c r="H612" s="2449">
        <f>IF(A612='Data Entry - SOF'!B$2,'Data Entry - SOF'!E$64,0)</f>
        <v>0</v>
      </c>
      <c r="I612" s="1687">
        <f t="shared" si="110"/>
        <v>5094852</v>
      </c>
      <c r="J612" s="2212" t="e">
        <f>IF('Report-M&amp;O1819'!C$18-'Report-SOF1819'!D$55&lt;=0,0,'Report-M&amp;O1819'!C$18-'Report-SOF1819'!D$55)</f>
        <v>#DIV/0!</v>
      </c>
      <c r="K612" s="2452" t="e">
        <f t="shared" si="111"/>
        <v>#DIV/0!</v>
      </c>
      <c r="L612" s="2449">
        <f>IF(A612='Data Entry - SOF'!B$2,'Data Entry - SOF'!G$64,0)</f>
        <v>0</v>
      </c>
      <c r="M612" s="1371">
        <f t="shared" si="112"/>
        <v>5094852</v>
      </c>
      <c r="N612" s="2212" t="e">
        <f>IF('Report-M&amp;O1920'!C$18-'Report-SOF1920'!D$55&lt;=0,0,'Report-M&amp;O1920'!C$18-'Report-SOF1920'!D$55)</f>
        <v>#DIV/0!</v>
      </c>
      <c r="O612" s="2452" t="e">
        <f t="shared" si="113"/>
        <v>#DIV/0!</v>
      </c>
      <c r="P612" s="2449">
        <f>IF(A612='Data Entry - SOF'!B$2,'Data Entry - SOF'!I$64,0)</f>
        <v>0</v>
      </c>
      <c r="Q612" s="1687">
        <f t="shared" si="108"/>
        <v>5094852</v>
      </c>
      <c r="R612" s="2212" t="e">
        <f>IF('Report-M&amp;O2021'!C$18-'Report-SOF2021'!D$55&lt;=0,0,'Report-M&amp;O2021'!C$18-'Report-SOF2021'!D$55)</f>
        <v>#DIV/0!</v>
      </c>
      <c r="S612" s="2452" t="e">
        <f t="shared" si="114"/>
        <v>#DIV/0!</v>
      </c>
      <c r="T612" s="1708">
        <f>IF(A612='Data Entry - SOF'!B$2,'Data Entry - SOF'!K$64,0)</f>
        <v>0</v>
      </c>
      <c r="U612" s="1687">
        <f t="shared" si="118"/>
        <v>5094852</v>
      </c>
      <c r="V612" s="2212" t="e">
        <f>IF('Report-M&amp;O2122'!C$18-'Report-SOF2122'!D$55&lt;=0,0,'Report-M&amp;O2122'!C$18-'Report-SOF2122'!D$55)</f>
        <v>#DIV/0!</v>
      </c>
      <c r="W612" s="2452" t="e">
        <f t="shared" si="115"/>
        <v>#DIV/0!</v>
      </c>
      <c r="X612" s="1708">
        <f>IF(A612='Data Entry - SOF'!B$2,'Data Entry - SOF'!M$64,0)</f>
        <v>0</v>
      </c>
      <c r="Y612" s="1371" t="e">
        <f t="shared" si="116"/>
        <v>#DIV/0!</v>
      </c>
      <c r="Z612" s="2212" t="e">
        <f>IF('Report-M&amp;O2223'!C$18-'Report-SOF2223'!D$55&lt;=0,0,'Report-M&amp;O2223'!C$18-'Report-SOF2223'!D$55)</f>
        <v>#DIV/0!</v>
      </c>
      <c r="AA612" s="1708">
        <f>IF(A612='Data Entry - SOF'!B$2,'Data Entry - SOF'!O$64,0)</f>
        <v>0</v>
      </c>
    </row>
    <row r="613" spans="1:27" ht="15.75">
      <c r="A613" s="1076" t="s">
        <v>2875</v>
      </c>
      <c r="B613">
        <v>3397536</v>
      </c>
      <c r="C613" s="2452" t="e">
        <f>#REF!+#REF!</f>
        <v>#REF!</v>
      </c>
      <c r="D613" s="2449">
        <f>IF(A613='Data Entry - SOF'!B$2,'Data Entry - SOF'!C$64,0)</f>
        <v>0</v>
      </c>
      <c r="E613" s="2450">
        <f t="shared" si="117"/>
        <v>3397536</v>
      </c>
      <c r="F613" s="2212" t="e">
        <f>IF('Report-M&amp;O1718'!C$18-'Report-SOF1718'!D$55&lt;=0,0,'Report-M&amp;O1718'!C$18-'Report-SOF1718'!D$55)</f>
        <v>#DIV/0!</v>
      </c>
      <c r="G613" s="2452" t="e">
        <f t="shared" si="109"/>
        <v>#DIV/0!</v>
      </c>
      <c r="H613" s="2449">
        <f>IF(A613='Data Entry - SOF'!B$2,'Data Entry - SOF'!E$64,0)</f>
        <v>0</v>
      </c>
      <c r="I613" s="1687">
        <f t="shared" si="110"/>
        <v>3397536</v>
      </c>
      <c r="J613" s="2212" t="e">
        <f>IF('Report-M&amp;O1819'!C$18-'Report-SOF1819'!D$55&lt;=0,0,'Report-M&amp;O1819'!C$18-'Report-SOF1819'!D$55)</f>
        <v>#DIV/0!</v>
      </c>
      <c r="K613" s="2452" t="e">
        <f t="shared" si="111"/>
        <v>#DIV/0!</v>
      </c>
      <c r="L613" s="2449">
        <f>IF(A613='Data Entry - SOF'!B$2,'Data Entry - SOF'!G$64,0)</f>
        <v>0</v>
      </c>
      <c r="M613" s="1371">
        <f t="shared" si="112"/>
        <v>3397536</v>
      </c>
      <c r="N613" s="2212" t="e">
        <f>IF('Report-M&amp;O1920'!C$18-'Report-SOF1920'!D$55&lt;=0,0,'Report-M&amp;O1920'!C$18-'Report-SOF1920'!D$55)</f>
        <v>#DIV/0!</v>
      </c>
      <c r="O613" s="2452" t="e">
        <f t="shared" si="113"/>
        <v>#DIV/0!</v>
      </c>
      <c r="P613" s="2449">
        <f>IF(A613='Data Entry - SOF'!B$2,'Data Entry - SOF'!I$64,0)</f>
        <v>0</v>
      </c>
      <c r="Q613" s="1687">
        <f t="shared" si="108"/>
        <v>3397536</v>
      </c>
      <c r="R613" s="2212" t="e">
        <f>IF('Report-M&amp;O2021'!C$18-'Report-SOF2021'!D$55&lt;=0,0,'Report-M&amp;O2021'!C$18-'Report-SOF2021'!D$55)</f>
        <v>#DIV/0!</v>
      </c>
      <c r="S613" s="2452" t="e">
        <f t="shared" si="114"/>
        <v>#DIV/0!</v>
      </c>
      <c r="T613" s="1708">
        <f>IF(A613='Data Entry - SOF'!B$2,'Data Entry - SOF'!K$64,0)</f>
        <v>0</v>
      </c>
      <c r="U613" s="1687">
        <f t="shared" si="118"/>
        <v>3397536</v>
      </c>
      <c r="V613" s="2212" t="e">
        <f>IF('Report-M&amp;O2122'!C$18-'Report-SOF2122'!D$55&lt;=0,0,'Report-M&amp;O2122'!C$18-'Report-SOF2122'!D$55)</f>
        <v>#DIV/0!</v>
      </c>
      <c r="W613" s="2452" t="e">
        <f t="shared" si="115"/>
        <v>#DIV/0!</v>
      </c>
      <c r="X613" s="1708">
        <f>IF(A613='Data Entry - SOF'!B$2,'Data Entry - SOF'!M$64,0)</f>
        <v>0</v>
      </c>
      <c r="Y613" s="1371" t="e">
        <f t="shared" si="116"/>
        <v>#DIV/0!</v>
      </c>
      <c r="Z613" s="2212" t="e">
        <f>IF('Report-M&amp;O2223'!C$18-'Report-SOF2223'!D$55&lt;=0,0,'Report-M&amp;O2223'!C$18-'Report-SOF2223'!D$55)</f>
        <v>#DIV/0!</v>
      </c>
      <c r="AA613" s="1708">
        <f>IF(A613='Data Entry - SOF'!B$2,'Data Entry - SOF'!O$64,0)</f>
        <v>0</v>
      </c>
    </row>
    <row r="614" spans="1:27" ht="15.75">
      <c r="A614" s="1076" t="s">
        <v>1277</v>
      </c>
      <c r="B614">
        <v>3384406</v>
      </c>
      <c r="C614" s="2452" t="e">
        <f>#REF!+#REF!</f>
        <v>#REF!</v>
      </c>
      <c r="D614" s="2449">
        <f>IF(A614='Data Entry - SOF'!B$2,'Data Entry - SOF'!C$64,0)</f>
        <v>0</v>
      </c>
      <c r="E614" s="2450">
        <f t="shared" si="117"/>
        <v>3384406</v>
      </c>
      <c r="F614" s="2212" t="e">
        <f>IF('Report-M&amp;O1718'!C$18-'Report-SOF1718'!D$55&lt;=0,0,'Report-M&amp;O1718'!C$18-'Report-SOF1718'!D$55)</f>
        <v>#DIV/0!</v>
      </c>
      <c r="G614" s="2452" t="e">
        <f t="shared" si="109"/>
        <v>#DIV/0!</v>
      </c>
      <c r="H614" s="2449">
        <f>IF(A614='Data Entry - SOF'!B$2,'Data Entry - SOF'!E$64,0)</f>
        <v>0</v>
      </c>
      <c r="I614" s="1687">
        <f t="shared" si="110"/>
        <v>3384406</v>
      </c>
      <c r="J614" s="2212" t="e">
        <f>IF('Report-M&amp;O1819'!C$18-'Report-SOF1819'!D$55&lt;=0,0,'Report-M&amp;O1819'!C$18-'Report-SOF1819'!D$55)</f>
        <v>#DIV/0!</v>
      </c>
      <c r="K614" s="2452" t="e">
        <f t="shared" si="111"/>
        <v>#DIV/0!</v>
      </c>
      <c r="L614" s="2449">
        <f>IF(A614='Data Entry - SOF'!B$2,'Data Entry - SOF'!G$64,0)</f>
        <v>0</v>
      </c>
      <c r="M614" s="1371">
        <f t="shared" si="112"/>
        <v>3384406</v>
      </c>
      <c r="N614" s="2212" t="e">
        <f>IF('Report-M&amp;O1920'!C$18-'Report-SOF1920'!D$55&lt;=0,0,'Report-M&amp;O1920'!C$18-'Report-SOF1920'!D$55)</f>
        <v>#DIV/0!</v>
      </c>
      <c r="O614" s="2452" t="e">
        <f t="shared" si="113"/>
        <v>#DIV/0!</v>
      </c>
      <c r="P614" s="2449">
        <f>IF(A614='Data Entry - SOF'!B$2,'Data Entry - SOF'!I$64,0)</f>
        <v>0</v>
      </c>
      <c r="Q614" s="1687">
        <f t="shared" si="108"/>
        <v>3384406</v>
      </c>
      <c r="R614" s="2212" t="e">
        <f>IF('Report-M&amp;O2021'!C$18-'Report-SOF2021'!D$55&lt;=0,0,'Report-M&amp;O2021'!C$18-'Report-SOF2021'!D$55)</f>
        <v>#DIV/0!</v>
      </c>
      <c r="S614" s="2452" t="e">
        <f t="shared" si="114"/>
        <v>#DIV/0!</v>
      </c>
      <c r="T614" s="1708">
        <f>IF(A614='Data Entry - SOF'!B$2,'Data Entry - SOF'!K$64,0)</f>
        <v>0</v>
      </c>
      <c r="U614" s="1687">
        <f t="shared" si="118"/>
        <v>3384406</v>
      </c>
      <c r="V614" s="2212" t="e">
        <f>IF('Report-M&amp;O2122'!C$18-'Report-SOF2122'!D$55&lt;=0,0,'Report-M&amp;O2122'!C$18-'Report-SOF2122'!D$55)</f>
        <v>#DIV/0!</v>
      </c>
      <c r="W614" s="2452" t="e">
        <f t="shared" si="115"/>
        <v>#DIV/0!</v>
      </c>
      <c r="X614" s="1708">
        <f>IF(A614='Data Entry - SOF'!B$2,'Data Entry - SOF'!M$64,0)</f>
        <v>0</v>
      </c>
      <c r="Y614" s="1371" t="e">
        <f t="shared" si="116"/>
        <v>#DIV/0!</v>
      </c>
      <c r="Z614" s="2212" t="e">
        <f>IF('Report-M&amp;O2223'!C$18-'Report-SOF2223'!D$55&lt;=0,0,'Report-M&amp;O2223'!C$18-'Report-SOF2223'!D$55)</f>
        <v>#DIV/0!</v>
      </c>
      <c r="AA614" s="1708">
        <f>IF(A614='Data Entry - SOF'!B$2,'Data Entry - SOF'!O$64,0)</f>
        <v>0</v>
      </c>
    </row>
    <row r="615" spans="1:27" ht="15.75">
      <c r="A615" s="1076" t="s">
        <v>2423</v>
      </c>
      <c r="B615">
        <v>12267925</v>
      </c>
      <c r="C615" s="2452" t="e">
        <f>#REF!+#REF!</f>
        <v>#REF!</v>
      </c>
      <c r="D615" s="2449">
        <f>IF(A615='Data Entry - SOF'!B$2,'Data Entry - SOF'!C$64,0)</f>
        <v>0</v>
      </c>
      <c r="E615" s="2450">
        <f t="shared" si="117"/>
        <v>12267925</v>
      </c>
      <c r="F615" s="2212" t="e">
        <f>IF('Report-M&amp;O1718'!C$18-'Report-SOF1718'!D$55&lt;=0,0,'Report-M&amp;O1718'!C$18-'Report-SOF1718'!D$55)</f>
        <v>#DIV/0!</v>
      </c>
      <c r="G615" s="2452" t="e">
        <f t="shared" si="109"/>
        <v>#DIV/0!</v>
      </c>
      <c r="H615" s="2449">
        <f>IF(A615='Data Entry - SOF'!B$2,'Data Entry - SOF'!E$64,0)</f>
        <v>0</v>
      </c>
      <c r="I615" s="1687">
        <f t="shared" si="110"/>
        <v>12267925</v>
      </c>
      <c r="J615" s="2212" t="e">
        <f>IF('Report-M&amp;O1819'!C$18-'Report-SOF1819'!D$55&lt;=0,0,'Report-M&amp;O1819'!C$18-'Report-SOF1819'!D$55)</f>
        <v>#DIV/0!</v>
      </c>
      <c r="K615" s="2452" t="e">
        <f t="shared" si="111"/>
        <v>#DIV/0!</v>
      </c>
      <c r="L615" s="2449">
        <f>IF(A615='Data Entry - SOF'!B$2,'Data Entry - SOF'!G$64,0)</f>
        <v>0</v>
      </c>
      <c r="M615" s="1371">
        <f t="shared" si="112"/>
        <v>12267925</v>
      </c>
      <c r="N615" s="2212" t="e">
        <f>IF('Report-M&amp;O1920'!C$18-'Report-SOF1920'!D$55&lt;=0,0,'Report-M&amp;O1920'!C$18-'Report-SOF1920'!D$55)</f>
        <v>#DIV/0!</v>
      </c>
      <c r="O615" s="2452" t="e">
        <f t="shared" si="113"/>
        <v>#DIV/0!</v>
      </c>
      <c r="P615" s="2449">
        <f>IF(A615='Data Entry - SOF'!B$2,'Data Entry - SOF'!I$64,0)</f>
        <v>0</v>
      </c>
      <c r="Q615" s="1687">
        <f t="shared" si="108"/>
        <v>12267925</v>
      </c>
      <c r="R615" s="2212" t="e">
        <f>IF('Report-M&amp;O2021'!C$18-'Report-SOF2021'!D$55&lt;=0,0,'Report-M&amp;O2021'!C$18-'Report-SOF2021'!D$55)</f>
        <v>#DIV/0!</v>
      </c>
      <c r="S615" s="2452" t="e">
        <f t="shared" si="114"/>
        <v>#DIV/0!</v>
      </c>
      <c r="T615" s="1708">
        <f>IF(A615='Data Entry - SOF'!B$2,'Data Entry - SOF'!K$64,0)</f>
        <v>0</v>
      </c>
      <c r="U615" s="1687">
        <f t="shared" si="118"/>
        <v>12267925</v>
      </c>
      <c r="V615" s="2212" t="e">
        <f>IF('Report-M&amp;O2122'!C$18-'Report-SOF2122'!D$55&lt;=0,0,'Report-M&amp;O2122'!C$18-'Report-SOF2122'!D$55)</f>
        <v>#DIV/0!</v>
      </c>
      <c r="W615" s="2452" t="e">
        <f t="shared" si="115"/>
        <v>#DIV/0!</v>
      </c>
      <c r="X615" s="1708">
        <f>IF(A615='Data Entry - SOF'!B$2,'Data Entry - SOF'!M$64,0)</f>
        <v>0</v>
      </c>
      <c r="Y615" s="1371" t="e">
        <f t="shared" si="116"/>
        <v>#DIV/0!</v>
      </c>
      <c r="Z615" s="2212" t="e">
        <f>IF('Report-M&amp;O2223'!C$18-'Report-SOF2223'!D$55&lt;=0,0,'Report-M&amp;O2223'!C$18-'Report-SOF2223'!D$55)</f>
        <v>#DIV/0!</v>
      </c>
      <c r="AA615" s="1708">
        <f>IF(A615='Data Entry - SOF'!B$2,'Data Entry - SOF'!O$64,0)</f>
        <v>0</v>
      </c>
    </row>
    <row r="616" spans="1:27" ht="15.75">
      <c r="A616" s="1076" t="s">
        <v>2424</v>
      </c>
      <c r="B616">
        <v>3523551</v>
      </c>
      <c r="C616" s="2452" t="e">
        <f>#REF!+#REF!</f>
        <v>#REF!</v>
      </c>
      <c r="D616" s="2449">
        <f>IF(A616='Data Entry - SOF'!B$2,'Data Entry - SOF'!C$64,0)</f>
        <v>0</v>
      </c>
      <c r="E616" s="2450">
        <f t="shared" si="117"/>
        <v>3523551</v>
      </c>
      <c r="F616" s="2212" t="e">
        <f>IF('Report-M&amp;O1718'!C$18-'Report-SOF1718'!D$55&lt;=0,0,'Report-M&amp;O1718'!C$18-'Report-SOF1718'!D$55)</f>
        <v>#DIV/0!</v>
      </c>
      <c r="G616" s="2452" t="e">
        <f t="shared" si="109"/>
        <v>#DIV/0!</v>
      </c>
      <c r="H616" s="2449">
        <f>IF(A616='Data Entry - SOF'!B$2,'Data Entry - SOF'!E$64,0)</f>
        <v>0</v>
      </c>
      <c r="I616" s="1687">
        <f t="shared" si="110"/>
        <v>3523551</v>
      </c>
      <c r="J616" s="2212" t="e">
        <f>IF('Report-M&amp;O1819'!C$18-'Report-SOF1819'!D$55&lt;=0,0,'Report-M&amp;O1819'!C$18-'Report-SOF1819'!D$55)</f>
        <v>#DIV/0!</v>
      </c>
      <c r="K616" s="2452" t="e">
        <f t="shared" si="111"/>
        <v>#DIV/0!</v>
      </c>
      <c r="L616" s="2449">
        <f>IF(A616='Data Entry - SOF'!B$2,'Data Entry - SOF'!G$64,0)</f>
        <v>0</v>
      </c>
      <c r="M616" s="1371">
        <f t="shared" si="112"/>
        <v>3523551</v>
      </c>
      <c r="N616" s="2212" t="e">
        <f>IF('Report-M&amp;O1920'!C$18-'Report-SOF1920'!D$55&lt;=0,0,'Report-M&amp;O1920'!C$18-'Report-SOF1920'!D$55)</f>
        <v>#DIV/0!</v>
      </c>
      <c r="O616" s="2452" t="e">
        <f t="shared" si="113"/>
        <v>#DIV/0!</v>
      </c>
      <c r="P616" s="2449">
        <f>IF(A616='Data Entry - SOF'!B$2,'Data Entry - SOF'!I$64,0)</f>
        <v>0</v>
      </c>
      <c r="Q616" s="1687">
        <f t="shared" si="108"/>
        <v>3523551</v>
      </c>
      <c r="R616" s="2212" t="e">
        <f>IF('Report-M&amp;O2021'!C$18-'Report-SOF2021'!D$55&lt;=0,0,'Report-M&amp;O2021'!C$18-'Report-SOF2021'!D$55)</f>
        <v>#DIV/0!</v>
      </c>
      <c r="S616" s="2452" t="e">
        <f t="shared" si="114"/>
        <v>#DIV/0!</v>
      </c>
      <c r="T616" s="1708">
        <f>IF(A616='Data Entry - SOF'!B$2,'Data Entry - SOF'!K$64,0)</f>
        <v>0</v>
      </c>
      <c r="U616" s="1687">
        <f t="shared" si="118"/>
        <v>3523551</v>
      </c>
      <c r="V616" s="2212" t="e">
        <f>IF('Report-M&amp;O2122'!C$18-'Report-SOF2122'!D$55&lt;=0,0,'Report-M&amp;O2122'!C$18-'Report-SOF2122'!D$55)</f>
        <v>#DIV/0!</v>
      </c>
      <c r="W616" s="2452" t="e">
        <f t="shared" si="115"/>
        <v>#DIV/0!</v>
      </c>
      <c r="X616" s="1708">
        <f>IF(A616='Data Entry - SOF'!B$2,'Data Entry - SOF'!M$64,0)</f>
        <v>0</v>
      </c>
      <c r="Y616" s="1371" t="e">
        <f t="shared" si="116"/>
        <v>#DIV/0!</v>
      </c>
      <c r="Z616" s="2212" t="e">
        <f>IF('Report-M&amp;O2223'!C$18-'Report-SOF2223'!D$55&lt;=0,0,'Report-M&amp;O2223'!C$18-'Report-SOF2223'!D$55)</f>
        <v>#DIV/0!</v>
      </c>
      <c r="AA616" s="1708">
        <f>IF(A616='Data Entry - SOF'!B$2,'Data Entry - SOF'!O$64,0)</f>
        <v>0</v>
      </c>
    </row>
    <row r="617" spans="1:27" ht="15.75">
      <c r="A617" s="1076" t="s">
        <v>1093</v>
      </c>
      <c r="B617">
        <v>309832</v>
      </c>
      <c r="C617" s="2452" t="e">
        <f>#REF!+#REF!</f>
        <v>#REF!</v>
      </c>
      <c r="D617" s="2449">
        <f>IF(A617='Data Entry - SOF'!B$2,'Data Entry - SOF'!C$64,0)</f>
        <v>0</v>
      </c>
      <c r="E617" s="2450">
        <f t="shared" si="117"/>
        <v>309832</v>
      </c>
      <c r="F617" s="2212" t="e">
        <f>IF('Report-M&amp;O1718'!C$18-'Report-SOF1718'!D$55&lt;=0,0,'Report-M&amp;O1718'!C$18-'Report-SOF1718'!D$55)</f>
        <v>#DIV/0!</v>
      </c>
      <c r="G617" s="2452" t="e">
        <f t="shared" si="109"/>
        <v>#DIV/0!</v>
      </c>
      <c r="H617" s="2449">
        <f>IF(A617='Data Entry - SOF'!B$2,'Data Entry - SOF'!E$64,0)</f>
        <v>0</v>
      </c>
      <c r="I617" s="1687">
        <f t="shared" si="110"/>
        <v>309832</v>
      </c>
      <c r="J617" s="2212" t="e">
        <f>IF('Report-M&amp;O1819'!C$18-'Report-SOF1819'!D$55&lt;=0,0,'Report-M&amp;O1819'!C$18-'Report-SOF1819'!D$55)</f>
        <v>#DIV/0!</v>
      </c>
      <c r="K617" s="2452" t="e">
        <f t="shared" si="111"/>
        <v>#DIV/0!</v>
      </c>
      <c r="L617" s="2449">
        <f>IF(A617='Data Entry - SOF'!B$2,'Data Entry - SOF'!G$64,0)</f>
        <v>0</v>
      </c>
      <c r="M617" s="1371">
        <f t="shared" si="112"/>
        <v>309832</v>
      </c>
      <c r="N617" s="2212" t="e">
        <f>IF('Report-M&amp;O1920'!C$18-'Report-SOF1920'!D$55&lt;=0,0,'Report-M&amp;O1920'!C$18-'Report-SOF1920'!D$55)</f>
        <v>#DIV/0!</v>
      </c>
      <c r="O617" s="2452" t="e">
        <f t="shared" si="113"/>
        <v>#DIV/0!</v>
      </c>
      <c r="P617" s="2449">
        <f>IF(A617='Data Entry - SOF'!B$2,'Data Entry - SOF'!I$64,0)</f>
        <v>0</v>
      </c>
      <c r="Q617" s="1687">
        <f t="shared" si="108"/>
        <v>309832</v>
      </c>
      <c r="R617" s="2212" t="e">
        <f>IF('Report-M&amp;O2021'!C$18-'Report-SOF2021'!D$55&lt;=0,0,'Report-M&amp;O2021'!C$18-'Report-SOF2021'!D$55)</f>
        <v>#DIV/0!</v>
      </c>
      <c r="S617" s="2452" t="e">
        <f t="shared" si="114"/>
        <v>#DIV/0!</v>
      </c>
      <c r="T617" s="1708">
        <f>IF(A617='Data Entry - SOF'!B$2,'Data Entry - SOF'!K$64,0)</f>
        <v>0</v>
      </c>
      <c r="U617" s="1687">
        <f t="shared" si="118"/>
        <v>309832</v>
      </c>
      <c r="V617" s="2212" t="e">
        <f>IF('Report-M&amp;O2122'!C$18-'Report-SOF2122'!D$55&lt;=0,0,'Report-M&amp;O2122'!C$18-'Report-SOF2122'!D$55)</f>
        <v>#DIV/0!</v>
      </c>
      <c r="W617" s="2452" t="e">
        <f t="shared" si="115"/>
        <v>#DIV/0!</v>
      </c>
      <c r="X617" s="1708">
        <f>IF(A617='Data Entry - SOF'!B$2,'Data Entry - SOF'!M$64,0)</f>
        <v>0</v>
      </c>
      <c r="Y617" s="1371" t="e">
        <f t="shared" si="116"/>
        <v>#DIV/0!</v>
      </c>
      <c r="Z617" s="2212" t="e">
        <f>IF('Report-M&amp;O2223'!C$18-'Report-SOF2223'!D$55&lt;=0,0,'Report-M&amp;O2223'!C$18-'Report-SOF2223'!D$55)</f>
        <v>#DIV/0!</v>
      </c>
      <c r="AA617" s="1708">
        <f>IF(A617='Data Entry - SOF'!B$2,'Data Entry - SOF'!O$64,0)</f>
        <v>0</v>
      </c>
    </row>
    <row r="618" spans="1:27" ht="15.75">
      <c r="A618" s="1076" t="s">
        <v>1513</v>
      </c>
      <c r="B618">
        <v>25534631</v>
      </c>
      <c r="C618" s="2452" t="e">
        <f>#REF!+#REF!</f>
        <v>#REF!</v>
      </c>
      <c r="D618" s="2449">
        <f>IF(A618='Data Entry - SOF'!B$2,'Data Entry - SOF'!C$64,0)</f>
        <v>0</v>
      </c>
      <c r="E618" s="2450">
        <f t="shared" si="117"/>
        <v>25534631</v>
      </c>
      <c r="F618" s="2212" t="e">
        <f>IF('Report-M&amp;O1718'!C$18-'Report-SOF1718'!D$55&lt;=0,0,'Report-M&amp;O1718'!C$18-'Report-SOF1718'!D$55)</f>
        <v>#DIV/0!</v>
      </c>
      <c r="G618" s="2452" t="e">
        <f t="shared" si="109"/>
        <v>#DIV/0!</v>
      </c>
      <c r="H618" s="2449">
        <f>IF(A618='Data Entry - SOF'!B$2,'Data Entry - SOF'!E$64,0)</f>
        <v>0</v>
      </c>
      <c r="I618" s="1687">
        <f t="shared" si="110"/>
        <v>25534631</v>
      </c>
      <c r="J618" s="2212" t="e">
        <f>IF('Report-M&amp;O1819'!C$18-'Report-SOF1819'!D$55&lt;=0,0,'Report-M&amp;O1819'!C$18-'Report-SOF1819'!D$55)</f>
        <v>#DIV/0!</v>
      </c>
      <c r="K618" s="2452" t="e">
        <f t="shared" si="111"/>
        <v>#DIV/0!</v>
      </c>
      <c r="L618" s="2449">
        <f>IF(A618='Data Entry - SOF'!B$2,'Data Entry - SOF'!G$64,0)</f>
        <v>0</v>
      </c>
      <c r="M618" s="1371">
        <f t="shared" si="112"/>
        <v>25534631</v>
      </c>
      <c r="N618" s="2212" t="e">
        <f>IF('Report-M&amp;O1920'!C$18-'Report-SOF1920'!D$55&lt;=0,0,'Report-M&amp;O1920'!C$18-'Report-SOF1920'!D$55)</f>
        <v>#DIV/0!</v>
      </c>
      <c r="O618" s="2452" t="e">
        <f t="shared" si="113"/>
        <v>#DIV/0!</v>
      </c>
      <c r="P618" s="2449">
        <f>IF(A618='Data Entry - SOF'!B$2,'Data Entry - SOF'!I$64,0)</f>
        <v>0</v>
      </c>
      <c r="Q618" s="1687">
        <f t="shared" si="108"/>
        <v>25534631</v>
      </c>
      <c r="R618" s="2212" t="e">
        <f>IF('Report-M&amp;O2021'!C$18-'Report-SOF2021'!D$55&lt;=0,0,'Report-M&amp;O2021'!C$18-'Report-SOF2021'!D$55)</f>
        <v>#DIV/0!</v>
      </c>
      <c r="S618" s="2452" t="e">
        <f t="shared" si="114"/>
        <v>#DIV/0!</v>
      </c>
      <c r="T618" s="1708">
        <f>IF(A618='Data Entry - SOF'!B$2,'Data Entry - SOF'!K$64,0)</f>
        <v>0</v>
      </c>
      <c r="U618" s="1687">
        <f t="shared" si="118"/>
        <v>25534631</v>
      </c>
      <c r="V618" s="2212" t="e">
        <f>IF('Report-M&amp;O2122'!C$18-'Report-SOF2122'!D$55&lt;=0,0,'Report-M&amp;O2122'!C$18-'Report-SOF2122'!D$55)</f>
        <v>#DIV/0!</v>
      </c>
      <c r="W618" s="2452" t="e">
        <f t="shared" si="115"/>
        <v>#DIV/0!</v>
      </c>
      <c r="X618" s="1708">
        <f>IF(A618='Data Entry - SOF'!B$2,'Data Entry - SOF'!M$64,0)</f>
        <v>0</v>
      </c>
      <c r="Y618" s="1371" t="e">
        <f t="shared" si="116"/>
        <v>#DIV/0!</v>
      </c>
      <c r="Z618" s="2212" t="e">
        <f>IF('Report-M&amp;O2223'!C$18-'Report-SOF2223'!D$55&lt;=0,0,'Report-M&amp;O2223'!C$18-'Report-SOF2223'!D$55)</f>
        <v>#DIV/0!</v>
      </c>
      <c r="AA618" s="1708">
        <f>IF(A618='Data Entry - SOF'!B$2,'Data Entry - SOF'!O$64,0)</f>
        <v>0</v>
      </c>
    </row>
    <row r="619" spans="1:27" ht="15.75">
      <c r="A619" s="1076" t="s">
        <v>1902</v>
      </c>
      <c r="B619">
        <v>2638508</v>
      </c>
      <c r="C619" s="2452" t="e">
        <f>#REF!+#REF!</f>
        <v>#REF!</v>
      </c>
      <c r="D619" s="2449">
        <f>IF(A619='Data Entry - SOF'!B$2,'Data Entry - SOF'!C$64,0)</f>
        <v>0</v>
      </c>
      <c r="E619" s="2450">
        <f t="shared" si="117"/>
        <v>2638508</v>
      </c>
      <c r="F619" s="2212" t="e">
        <f>IF('Report-M&amp;O1718'!C$18-'Report-SOF1718'!D$55&lt;=0,0,'Report-M&amp;O1718'!C$18-'Report-SOF1718'!D$55)</f>
        <v>#DIV/0!</v>
      </c>
      <c r="G619" s="2452" t="e">
        <f t="shared" si="109"/>
        <v>#DIV/0!</v>
      </c>
      <c r="H619" s="2449">
        <f>IF(A619='Data Entry - SOF'!B$2,'Data Entry - SOF'!E$64,0)</f>
        <v>0</v>
      </c>
      <c r="I619" s="1687">
        <f t="shared" si="110"/>
        <v>2638508</v>
      </c>
      <c r="J619" s="2212" t="e">
        <f>IF('Report-M&amp;O1819'!C$18-'Report-SOF1819'!D$55&lt;=0,0,'Report-M&amp;O1819'!C$18-'Report-SOF1819'!D$55)</f>
        <v>#DIV/0!</v>
      </c>
      <c r="K619" s="2452" t="e">
        <f t="shared" si="111"/>
        <v>#DIV/0!</v>
      </c>
      <c r="L619" s="2449">
        <f>IF(A619='Data Entry - SOF'!B$2,'Data Entry - SOF'!G$64,0)</f>
        <v>0</v>
      </c>
      <c r="M619" s="1371">
        <f t="shared" si="112"/>
        <v>2638508</v>
      </c>
      <c r="N619" s="2212" t="e">
        <f>IF('Report-M&amp;O1920'!C$18-'Report-SOF1920'!D$55&lt;=0,0,'Report-M&amp;O1920'!C$18-'Report-SOF1920'!D$55)</f>
        <v>#DIV/0!</v>
      </c>
      <c r="O619" s="2452" t="e">
        <f t="shared" si="113"/>
        <v>#DIV/0!</v>
      </c>
      <c r="P619" s="2449">
        <f>IF(A619='Data Entry - SOF'!B$2,'Data Entry - SOF'!I$64,0)</f>
        <v>0</v>
      </c>
      <c r="Q619" s="1687">
        <f t="shared" si="108"/>
        <v>2638508</v>
      </c>
      <c r="R619" s="2212" t="e">
        <f>IF('Report-M&amp;O2021'!C$18-'Report-SOF2021'!D$55&lt;=0,0,'Report-M&amp;O2021'!C$18-'Report-SOF2021'!D$55)</f>
        <v>#DIV/0!</v>
      </c>
      <c r="S619" s="2452" t="e">
        <f t="shared" si="114"/>
        <v>#DIV/0!</v>
      </c>
      <c r="T619" s="1708">
        <f>IF(A619='Data Entry - SOF'!B$2,'Data Entry - SOF'!K$64,0)</f>
        <v>0</v>
      </c>
      <c r="U619" s="1687">
        <f t="shared" si="118"/>
        <v>2638508</v>
      </c>
      <c r="V619" s="2212" t="e">
        <f>IF('Report-M&amp;O2122'!C$18-'Report-SOF2122'!D$55&lt;=0,0,'Report-M&amp;O2122'!C$18-'Report-SOF2122'!D$55)</f>
        <v>#DIV/0!</v>
      </c>
      <c r="W619" s="2452" t="e">
        <f t="shared" si="115"/>
        <v>#DIV/0!</v>
      </c>
      <c r="X619" s="1708">
        <f>IF(A619='Data Entry - SOF'!B$2,'Data Entry - SOF'!M$64,0)</f>
        <v>0</v>
      </c>
      <c r="Y619" s="1371" t="e">
        <f t="shared" si="116"/>
        <v>#DIV/0!</v>
      </c>
      <c r="Z619" s="2212" t="e">
        <f>IF('Report-M&amp;O2223'!C$18-'Report-SOF2223'!D$55&lt;=0,0,'Report-M&amp;O2223'!C$18-'Report-SOF2223'!D$55)</f>
        <v>#DIV/0!</v>
      </c>
      <c r="AA619" s="1708">
        <f>IF(A619='Data Entry - SOF'!B$2,'Data Entry - SOF'!O$64,0)</f>
        <v>0</v>
      </c>
    </row>
    <row r="620" spans="1:27" ht="15.75">
      <c r="A620" s="1076" t="s">
        <v>1903</v>
      </c>
      <c r="B620">
        <v>3044295</v>
      </c>
      <c r="C620" s="2452" t="e">
        <f>#REF!+#REF!</f>
        <v>#REF!</v>
      </c>
      <c r="D620" s="2449">
        <f>IF(A620='Data Entry - SOF'!B$2,'Data Entry - SOF'!C$64,0)</f>
        <v>0</v>
      </c>
      <c r="E620" s="2450">
        <f t="shared" si="117"/>
        <v>3044295</v>
      </c>
      <c r="F620" s="2212" t="e">
        <f>IF('Report-M&amp;O1718'!C$18-'Report-SOF1718'!D$55&lt;=0,0,'Report-M&amp;O1718'!C$18-'Report-SOF1718'!D$55)</f>
        <v>#DIV/0!</v>
      </c>
      <c r="G620" s="2452" t="e">
        <f t="shared" si="109"/>
        <v>#DIV/0!</v>
      </c>
      <c r="H620" s="2449">
        <f>IF(A620='Data Entry - SOF'!B$2,'Data Entry - SOF'!E$64,0)</f>
        <v>0</v>
      </c>
      <c r="I620" s="1687">
        <f t="shared" si="110"/>
        <v>3044295</v>
      </c>
      <c r="J620" s="2212" t="e">
        <f>IF('Report-M&amp;O1819'!C$18-'Report-SOF1819'!D$55&lt;=0,0,'Report-M&amp;O1819'!C$18-'Report-SOF1819'!D$55)</f>
        <v>#DIV/0!</v>
      </c>
      <c r="K620" s="2452" t="e">
        <f t="shared" si="111"/>
        <v>#DIV/0!</v>
      </c>
      <c r="L620" s="2449">
        <f>IF(A620='Data Entry - SOF'!B$2,'Data Entry - SOF'!G$64,0)</f>
        <v>0</v>
      </c>
      <c r="M620" s="1371">
        <f t="shared" si="112"/>
        <v>3044295</v>
      </c>
      <c r="N620" s="2212" t="e">
        <f>IF('Report-M&amp;O1920'!C$18-'Report-SOF1920'!D$55&lt;=0,0,'Report-M&amp;O1920'!C$18-'Report-SOF1920'!D$55)</f>
        <v>#DIV/0!</v>
      </c>
      <c r="O620" s="2452" t="e">
        <f t="shared" si="113"/>
        <v>#DIV/0!</v>
      </c>
      <c r="P620" s="2449">
        <f>IF(A620='Data Entry - SOF'!B$2,'Data Entry - SOF'!I$64,0)</f>
        <v>0</v>
      </c>
      <c r="Q620" s="1687">
        <f t="shared" si="108"/>
        <v>3044295</v>
      </c>
      <c r="R620" s="2212" t="e">
        <f>IF('Report-M&amp;O2021'!C$18-'Report-SOF2021'!D$55&lt;=0,0,'Report-M&amp;O2021'!C$18-'Report-SOF2021'!D$55)</f>
        <v>#DIV/0!</v>
      </c>
      <c r="S620" s="2452" t="e">
        <f t="shared" si="114"/>
        <v>#DIV/0!</v>
      </c>
      <c r="T620" s="1708">
        <f>IF(A620='Data Entry - SOF'!B$2,'Data Entry - SOF'!K$64,0)</f>
        <v>0</v>
      </c>
      <c r="U620" s="1687">
        <f t="shared" si="118"/>
        <v>3044295</v>
      </c>
      <c r="V620" s="2212" t="e">
        <f>IF('Report-M&amp;O2122'!C$18-'Report-SOF2122'!D$55&lt;=0,0,'Report-M&amp;O2122'!C$18-'Report-SOF2122'!D$55)</f>
        <v>#DIV/0!</v>
      </c>
      <c r="W620" s="2452" t="e">
        <f t="shared" si="115"/>
        <v>#DIV/0!</v>
      </c>
      <c r="X620" s="1708">
        <f>IF(A620='Data Entry - SOF'!B$2,'Data Entry - SOF'!M$64,0)</f>
        <v>0</v>
      </c>
      <c r="Y620" s="1371" t="e">
        <f t="shared" si="116"/>
        <v>#DIV/0!</v>
      </c>
      <c r="Z620" s="2212" t="e">
        <f>IF('Report-M&amp;O2223'!C$18-'Report-SOF2223'!D$55&lt;=0,0,'Report-M&amp;O2223'!C$18-'Report-SOF2223'!D$55)</f>
        <v>#DIV/0!</v>
      </c>
      <c r="AA620" s="1708">
        <f>IF(A620='Data Entry - SOF'!B$2,'Data Entry - SOF'!O$64,0)</f>
        <v>0</v>
      </c>
    </row>
    <row r="621" spans="1:27" ht="15.75">
      <c r="A621" s="1076" t="s">
        <v>2926</v>
      </c>
      <c r="B621">
        <v>2749214</v>
      </c>
      <c r="C621" s="2452" t="e">
        <f>#REF!+#REF!</f>
        <v>#REF!</v>
      </c>
      <c r="D621" s="2449">
        <f>IF(A621='Data Entry - SOF'!B$2,'Data Entry - SOF'!C$64,0)</f>
        <v>0</v>
      </c>
      <c r="E621" s="2450">
        <f t="shared" si="117"/>
        <v>2749214</v>
      </c>
      <c r="F621" s="2212" t="e">
        <f>IF('Report-M&amp;O1718'!C$18-'Report-SOF1718'!D$55&lt;=0,0,'Report-M&amp;O1718'!C$18-'Report-SOF1718'!D$55)</f>
        <v>#DIV/0!</v>
      </c>
      <c r="G621" s="2452" t="e">
        <f t="shared" si="109"/>
        <v>#DIV/0!</v>
      </c>
      <c r="H621" s="2449">
        <f>IF(A621='Data Entry - SOF'!B$2,'Data Entry - SOF'!E$64,0)</f>
        <v>0</v>
      </c>
      <c r="I621" s="1687">
        <f t="shared" si="110"/>
        <v>2749214</v>
      </c>
      <c r="J621" s="2212" t="e">
        <f>IF('Report-M&amp;O1819'!C$18-'Report-SOF1819'!D$55&lt;=0,0,'Report-M&amp;O1819'!C$18-'Report-SOF1819'!D$55)</f>
        <v>#DIV/0!</v>
      </c>
      <c r="K621" s="2452" t="e">
        <f t="shared" si="111"/>
        <v>#DIV/0!</v>
      </c>
      <c r="L621" s="2449">
        <f>IF(A621='Data Entry - SOF'!B$2,'Data Entry - SOF'!G$64,0)</f>
        <v>0</v>
      </c>
      <c r="M621" s="1371">
        <f t="shared" si="112"/>
        <v>2749214</v>
      </c>
      <c r="N621" s="2212" t="e">
        <f>IF('Report-M&amp;O1920'!C$18-'Report-SOF1920'!D$55&lt;=0,0,'Report-M&amp;O1920'!C$18-'Report-SOF1920'!D$55)</f>
        <v>#DIV/0!</v>
      </c>
      <c r="O621" s="2452" t="e">
        <f t="shared" si="113"/>
        <v>#DIV/0!</v>
      </c>
      <c r="P621" s="2449">
        <f>IF(A621='Data Entry - SOF'!B$2,'Data Entry - SOF'!I$64,0)</f>
        <v>0</v>
      </c>
      <c r="Q621" s="1687">
        <f t="shared" si="108"/>
        <v>2749214</v>
      </c>
      <c r="R621" s="2212" t="e">
        <f>IF('Report-M&amp;O2021'!C$18-'Report-SOF2021'!D$55&lt;=0,0,'Report-M&amp;O2021'!C$18-'Report-SOF2021'!D$55)</f>
        <v>#DIV/0!</v>
      </c>
      <c r="S621" s="2452" t="e">
        <f t="shared" si="114"/>
        <v>#DIV/0!</v>
      </c>
      <c r="T621" s="1708">
        <f>IF(A621='Data Entry - SOF'!B$2,'Data Entry - SOF'!K$64,0)</f>
        <v>0</v>
      </c>
      <c r="U621" s="1687">
        <f t="shared" si="118"/>
        <v>2749214</v>
      </c>
      <c r="V621" s="2212" t="e">
        <f>IF('Report-M&amp;O2122'!C$18-'Report-SOF2122'!D$55&lt;=0,0,'Report-M&amp;O2122'!C$18-'Report-SOF2122'!D$55)</f>
        <v>#DIV/0!</v>
      </c>
      <c r="W621" s="2452" t="e">
        <f t="shared" si="115"/>
        <v>#DIV/0!</v>
      </c>
      <c r="X621" s="1708">
        <f>IF(A621='Data Entry - SOF'!B$2,'Data Entry - SOF'!M$64,0)</f>
        <v>0</v>
      </c>
      <c r="Y621" s="1371" t="e">
        <f t="shared" si="116"/>
        <v>#DIV/0!</v>
      </c>
      <c r="Z621" s="2212" t="e">
        <f>IF('Report-M&amp;O2223'!C$18-'Report-SOF2223'!D$55&lt;=0,0,'Report-M&amp;O2223'!C$18-'Report-SOF2223'!D$55)</f>
        <v>#DIV/0!</v>
      </c>
      <c r="AA621" s="1708">
        <f>IF(A621='Data Entry - SOF'!B$2,'Data Entry - SOF'!O$64,0)</f>
        <v>0</v>
      </c>
    </row>
    <row r="622" spans="1:27" ht="15.75">
      <c r="A622" s="1076" t="s">
        <v>2927</v>
      </c>
      <c r="B622">
        <v>4351190</v>
      </c>
      <c r="C622" s="2452" t="e">
        <f>#REF!+#REF!</f>
        <v>#REF!</v>
      </c>
      <c r="D622" s="2449">
        <f>IF(A622='Data Entry - SOF'!B$2,'Data Entry - SOF'!C$64,0)</f>
        <v>0</v>
      </c>
      <c r="E622" s="2450">
        <f t="shared" si="117"/>
        <v>4351190</v>
      </c>
      <c r="F622" s="2212" t="e">
        <f>IF('Report-M&amp;O1718'!C$18-'Report-SOF1718'!D$55&lt;=0,0,'Report-M&amp;O1718'!C$18-'Report-SOF1718'!D$55)</f>
        <v>#DIV/0!</v>
      </c>
      <c r="G622" s="2452" t="e">
        <f t="shared" si="109"/>
        <v>#DIV/0!</v>
      </c>
      <c r="H622" s="2449">
        <f>IF(A622='Data Entry - SOF'!B$2,'Data Entry - SOF'!E$64,0)</f>
        <v>0</v>
      </c>
      <c r="I622" s="1687">
        <f t="shared" si="110"/>
        <v>4351190</v>
      </c>
      <c r="J622" s="2212" t="e">
        <f>IF('Report-M&amp;O1819'!C$18-'Report-SOF1819'!D$55&lt;=0,0,'Report-M&amp;O1819'!C$18-'Report-SOF1819'!D$55)</f>
        <v>#DIV/0!</v>
      </c>
      <c r="K622" s="2452" t="e">
        <f t="shared" si="111"/>
        <v>#DIV/0!</v>
      </c>
      <c r="L622" s="2449">
        <f>IF(A622='Data Entry - SOF'!B$2,'Data Entry - SOF'!G$64,0)</f>
        <v>0</v>
      </c>
      <c r="M622" s="1371">
        <f t="shared" si="112"/>
        <v>4351190</v>
      </c>
      <c r="N622" s="2212" t="e">
        <f>IF('Report-M&amp;O1920'!C$18-'Report-SOF1920'!D$55&lt;=0,0,'Report-M&amp;O1920'!C$18-'Report-SOF1920'!D$55)</f>
        <v>#DIV/0!</v>
      </c>
      <c r="O622" s="2452" t="e">
        <f t="shared" si="113"/>
        <v>#DIV/0!</v>
      </c>
      <c r="P622" s="2449">
        <f>IF(A622='Data Entry - SOF'!B$2,'Data Entry - SOF'!I$64,0)</f>
        <v>0</v>
      </c>
      <c r="Q622" s="1687">
        <f t="shared" si="108"/>
        <v>4351190</v>
      </c>
      <c r="R622" s="2212" t="e">
        <f>IF('Report-M&amp;O2021'!C$18-'Report-SOF2021'!D$55&lt;=0,0,'Report-M&amp;O2021'!C$18-'Report-SOF2021'!D$55)</f>
        <v>#DIV/0!</v>
      </c>
      <c r="S622" s="2452" t="e">
        <f t="shared" si="114"/>
        <v>#DIV/0!</v>
      </c>
      <c r="T622" s="1708">
        <f>IF(A622='Data Entry - SOF'!B$2,'Data Entry - SOF'!K$64,0)</f>
        <v>0</v>
      </c>
      <c r="U622" s="1687">
        <f t="shared" si="118"/>
        <v>4351190</v>
      </c>
      <c r="V622" s="2212" t="e">
        <f>IF('Report-M&amp;O2122'!C$18-'Report-SOF2122'!D$55&lt;=0,0,'Report-M&amp;O2122'!C$18-'Report-SOF2122'!D$55)</f>
        <v>#DIV/0!</v>
      </c>
      <c r="W622" s="2452" t="e">
        <f t="shared" si="115"/>
        <v>#DIV/0!</v>
      </c>
      <c r="X622" s="1708">
        <f>IF(A622='Data Entry - SOF'!B$2,'Data Entry - SOF'!M$64,0)</f>
        <v>0</v>
      </c>
      <c r="Y622" s="1371" t="e">
        <f t="shared" si="116"/>
        <v>#DIV/0!</v>
      </c>
      <c r="Z622" s="2212" t="e">
        <f>IF('Report-M&amp;O2223'!C$18-'Report-SOF2223'!D$55&lt;=0,0,'Report-M&amp;O2223'!C$18-'Report-SOF2223'!D$55)</f>
        <v>#DIV/0!</v>
      </c>
      <c r="AA622" s="1708">
        <f>IF(A622='Data Entry - SOF'!B$2,'Data Entry - SOF'!O$64,0)</f>
        <v>0</v>
      </c>
    </row>
    <row r="623" spans="1:27" ht="15.75">
      <c r="A623" s="1076" t="s">
        <v>3056</v>
      </c>
      <c r="B623">
        <v>6689848</v>
      </c>
      <c r="C623" s="2452" t="e">
        <f>#REF!+#REF!</f>
        <v>#REF!</v>
      </c>
      <c r="D623" s="2449">
        <f>IF(A623='Data Entry - SOF'!B$2,'Data Entry - SOF'!C$64,0)</f>
        <v>0</v>
      </c>
      <c r="E623" s="2450">
        <f t="shared" si="117"/>
        <v>6689848</v>
      </c>
      <c r="F623" s="2212" t="e">
        <f>IF('Report-M&amp;O1718'!C$18-'Report-SOF1718'!D$55&lt;=0,0,'Report-M&amp;O1718'!C$18-'Report-SOF1718'!D$55)</f>
        <v>#DIV/0!</v>
      </c>
      <c r="G623" s="2452" t="e">
        <f t="shared" si="109"/>
        <v>#DIV/0!</v>
      </c>
      <c r="H623" s="2449">
        <f>IF(A623='Data Entry - SOF'!B$2,'Data Entry - SOF'!E$64,0)</f>
        <v>0</v>
      </c>
      <c r="I623" s="1687">
        <f t="shared" si="110"/>
        <v>6689848</v>
      </c>
      <c r="J623" s="2212" t="e">
        <f>IF('Report-M&amp;O1819'!C$18-'Report-SOF1819'!D$55&lt;=0,0,'Report-M&amp;O1819'!C$18-'Report-SOF1819'!D$55)</f>
        <v>#DIV/0!</v>
      </c>
      <c r="K623" s="2452" t="e">
        <f t="shared" si="111"/>
        <v>#DIV/0!</v>
      </c>
      <c r="L623" s="2449">
        <f>IF(A623='Data Entry - SOF'!B$2,'Data Entry - SOF'!G$64,0)</f>
        <v>0</v>
      </c>
      <c r="M623" s="1371">
        <f t="shared" si="112"/>
        <v>6689848</v>
      </c>
      <c r="N623" s="2212" t="e">
        <f>IF('Report-M&amp;O1920'!C$18-'Report-SOF1920'!D$55&lt;=0,0,'Report-M&amp;O1920'!C$18-'Report-SOF1920'!D$55)</f>
        <v>#DIV/0!</v>
      </c>
      <c r="O623" s="2452" t="e">
        <f t="shared" si="113"/>
        <v>#DIV/0!</v>
      </c>
      <c r="P623" s="2449">
        <f>IF(A623='Data Entry - SOF'!B$2,'Data Entry - SOF'!I$64,0)</f>
        <v>0</v>
      </c>
      <c r="Q623" s="1687">
        <f t="shared" si="108"/>
        <v>6689848</v>
      </c>
      <c r="R623" s="2212" t="e">
        <f>IF('Report-M&amp;O2021'!C$18-'Report-SOF2021'!D$55&lt;=0,0,'Report-M&amp;O2021'!C$18-'Report-SOF2021'!D$55)</f>
        <v>#DIV/0!</v>
      </c>
      <c r="S623" s="2452" t="e">
        <f t="shared" si="114"/>
        <v>#DIV/0!</v>
      </c>
      <c r="T623" s="1708">
        <f>IF(A623='Data Entry - SOF'!B$2,'Data Entry - SOF'!K$64,0)</f>
        <v>0</v>
      </c>
      <c r="U623" s="1687">
        <f t="shared" si="118"/>
        <v>6689848</v>
      </c>
      <c r="V623" s="2212" t="e">
        <f>IF('Report-M&amp;O2122'!C$18-'Report-SOF2122'!D$55&lt;=0,0,'Report-M&amp;O2122'!C$18-'Report-SOF2122'!D$55)</f>
        <v>#DIV/0!</v>
      </c>
      <c r="W623" s="2452" t="e">
        <f t="shared" si="115"/>
        <v>#DIV/0!</v>
      </c>
      <c r="X623" s="1708">
        <f>IF(A623='Data Entry - SOF'!B$2,'Data Entry - SOF'!M$64,0)</f>
        <v>0</v>
      </c>
      <c r="Y623" s="1371" t="e">
        <f t="shared" si="116"/>
        <v>#DIV/0!</v>
      </c>
      <c r="Z623" s="2212" t="e">
        <f>IF('Report-M&amp;O2223'!C$18-'Report-SOF2223'!D$55&lt;=0,0,'Report-M&amp;O2223'!C$18-'Report-SOF2223'!D$55)</f>
        <v>#DIV/0!</v>
      </c>
      <c r="AA623" s="1708">
        <f>IF(A623='Data Entry - SOF'!B$2,'Data Entry - SOF'!O$64,0)</f>
        <v>0</v>
      </c>
    </row>
    <row r="624" spans="1:27" ht="15.75">
      <c r="A624" s="1076" t="s">
        <v>947</v>
      </c>
      <c r="B624">
        <v>9386112</v>
      </c>
      <c r="C624" s="2452" t="e">
        <f>#REF!+#REF!</f>
        <v>#REF!</v>
      </c>
      <c r="D624" s="2449">
        <f>IF(A624='Data Entry - SOF'!B$2,'Data Entry - SOF'!C$64,0)</f>
        <v>0</v>
      </c>
      <c r="E624" s="2450">
        <f t="shared" si="117"/>
        <v>9386112</v>
      </c>
      <c r="F624" s="2212" t="e">
        <f>IF('Report-M&amp;O1718'!C$18-'Report-SOF1718'!D$55&lt;=0,0,'Report-M&amp;O1718'!C$18-'Report-SOF1718'!D$55)</f>
        <v>#DIV/0!</v>
      </c>
      <c r="G624" s="2452" t="e">
        <f t="shared" si="109"/>
        <v>#DIV/0!</v>
      </c>
      <c r="H624" s="2449">
        <f>IF(A624='Data Entry - SOF'!B$2,'Data Entry - SOF'!E$64,0)</f>
        <v>0</v>
      </c>
      <c r="I624" s="1687">
        <f t="shared" si="110"/>
        <v>9386112</v>
      </c>
      <c r="J624" s="2212" t="e">
        <f>IF('Report-M&amp;O1819'!C$18-'Report-SOF1819'!D$55&lt;=0,0,'Report-M&amp;O1819'!C$18-'Report-SOF1819'!D$55)</f>
        <v>#DIV/0!</v>
      </c>
      <c r="K624" s="2452" t="e">
        <f t="shared" si="111"/>
        <v>#DIV/0!</v>
      </c>
      <c r="L624" s="2449">
        <f>IF(A624='Data Entry - SOF'!B$2,'Data Entry - SOF'!G$64,0)</f>
        <v>0</v>
      </c>
      <c r="M624" s="1371">
        <f t="shared" si="112"/>
        <v>9386112</v>
      </c>
      <c r="N624" s="2212" t="e">
        <f>IF('Report-M&amp;O1920'!C$18-'Report-SOF1920'!D$55&lt;=0,0,'Report-M&amp;O1920'!C$18-'Report-SOF1920'!D$55)</f>
        <v>#DIV/0!</v>
      </c>
      <c r="O624" s="2452" t="e">
        <f t="shared" si="113"/>
        <v>#DIV/0!</v>
      </c>
      <c r="P624" s="2449">
        <f>IF(A624='Data Entry - SOF'!B$2,'Data Entry - SOF'!I$64,0)</f>
        <v>0</v>
      </c>
      <c r="Q624" s="1687">
        <f t="shared" si="108"/>
        <v>9386112</v>
      </c>
      <c r="R624" s="2212" t="e">
        <f>IF('Report-M&amp;O2021'!C$18-'Report-SOF2021'!D$55&lt;=0,0,'Report-M&amp;O2021'!C$18-'Report-SOF2021'!D$55)</f>
        <v>#DIV/0!</v>
      </c>
      <c r="S624" s="2452" t="e">
        <f t="shared" si="114"/>
        <v>#DIV/0!</v>
      </c>
      <c r="T624" s="1708">
        <f>IF(A624='Data Entry - SOF'!B$2,'Data Entry - SOF'!K$64,0)</f>
        <v>0</v>
      </c>
      <c r="U624" s="1687">
        <f t="shared" si="118"/>
        <v>9386112</v>
      </c>
      <c r="V624" s="2212" t="e">
        <f>IF('Report-M&amp;O2122'!C$18-'Report-SOF2122'!D$55&lt;=0,0,'Report-M&amp;O2122'!C$18-'Report-SOF2122'!D$55)</f>
        <v>#DIV/0!</v>
      </c>
      <c r="W624" s="2452" t="e">
        <f t="shared" si="115"/>
        <v>#DIV/0!</v>
      </c>
      <c r="X624" s="1708">
        <f>IF(A624='Data Entry - SOF'!B$2,'Data Entry - SOF'!M$64,0)</f>
        <v>0</v>
      </c>
      <c r="Y624" s="1371" t="e">
        <f t="shared" si="116"/>
        <v>#DIV/0!</v>
      </c>
      <c r="Z624" s="2212" t="e">
        <f>IF('Report-M&amp;O2223'!C$18-'Report-SOF2223'!D$55&lt;=0,0,'Report-M&amp;O2223'!C$18-'Report-SOF2223'!D$55)</f>
        <v>#DIV/0!</v>
      </c>
      <c r="AA624" s="1708">
        <f>IF(A624='Data Entry - SOF'!B$2,'Data Entry - SOF'!O$64,0)</f>
        <v>0</v>
      </c>
    </row>
    <row r="625" spans="1:27" ht="15.75">
      <c r="A625" s="1076" t="s">
        <v>95</v>
      </c>
      <c r="B625">
        <v>16285898.291367199</v>
      </c>
      <c r="C625" s="2452" t="e">
        <f>#REF!+#REF!</f>
        <v>#REF!</v>
      </c>
      <c r="D625" s="2449">
        <f>IF(A625='Data Entry - SOF'!B$2,'Data Entry - SOF'!C$64,0)</f>
        <v>0</v>
      </c>
      <c r="E625" s="2450">
        <f t="shared" si="117"/>
        <v>16285898.291367199</v>
      </c>
      <c r="F625" s="2212" t="e">
        <f>IF('Report-M&amp;O1718'!C$18-'Report-SOF1718'!D$55&lt;=0,0,'Report-M&amp;O1718'!C$18-'Report-SOF1718'!D$55)</f>
        <v>#DIV/0!</v>
      </c>
      <c r="G625" s="2452" t="e">
        <f t="shared" si="109"/>
        <v>#DIV/0!</v>
      </c>
      <c r="H625" s="2449">
        <f>IF(A625='Data Entry - SOF'!B$2,'Data Entry - SOF'!E$64,0)</f>
        <v>0</v>
      </c>
      <c r="I625" s="1687">
        <f t="shared" si="110"/>
        <v>16285898.291367199</v>
      </c>
      <c r="J625" s="2212" t="e">
        <f>IF('Report-M&amp;O1819'!C$18-'Report-SOF1819'!D$55&lt;=0,0,'Report-M&amp;O1819'!C$18-'Report-SOF1819'!D$55)</f>
        <v>#DIV/0!</v>
      </c>
      <c r="K625" s="2452" t="e">
        <f t="shared" si="111"/>
        <v>#DIV/0!</v>
      </c>
      <c r="L625" s="2449">
        <f>IF(A625='Data Entry - SOF'!B$2,'Data Entry - SOF'!G$64,0)</f>
        <v>0</v>
      </c>
      <c r="M625" s="1371">
        <f t="shared" si="112"/>
        <v>16285898.291367199</v>
      </c>
      <c r="N625" s="2212" t="e">
        <f>IF('Report-M&amp;O1920'!C$18-'Report-SOF1920'!D$55&lt;=0,0,'Report-M&amp;O1920'!C$18-'Report-SOF1920'!D$55)</f>
        <v>#DIV/0!</v>
      </c>
      <c r="O625" s="2452" t="e">
        <f t="shared" si="113"/>
        <v>#DIV/0!</v>
      </c>
      <c r="P625" s="2449">
        <f>IF(A625='Data Entry - SOF'!B$2,'Data Entry - SOF'!I$64,0)</f>
        <v>0</v>
      </c>
      <c r="Q625" s="1687">
        <f t="shared" si="108"/>
        <v>16285898.291367199</v>
      </c>
      <c r="R625" s="2212" t="e">
        <f>IF('Report-M&amp;O2021'!C$18-'Report-SOF2021'!D$55&lt;=0,0,'Report-M&amp;O2021'!C$18-'Report-SOF2021'!D$55)</f>
        <v>#DIV/0!</v>
      </c>
      <c r="S625" s="2452" t="e">
        <f t="shared" si="114"/>
        <v>#DIV/0!</v>
      </c>
      <c r="T625" s="1708">
        <f>IF(A625='Data Entry - SOF'!B$2,'Data Entry - SOF'!K$64,0)</f>
        <v>0</v>
      </c>
      <c r="U625" s="1687">
        <f t="shared" si="118"/>
        <v>16285898.291367199</v>
      </c>
      <c r="V625" s="2212" t="e">
        <f>IF('Report-M&amp;O2122'!C$18-'Report-SOF2122'!D$55&lt;=0,0,'Report-M&amp;O2122'!C$18-'Report-SOF2122'!D$55)</f>
        <v>#DIV/0!</v>
      </c>
      <c r="W625" s="2452" t="e">
        <f t="shared" si="115"/>
        <v>#DIV/0!</v>
      </c>
      <c r="X625" s="1708">
        <f>IF(A625='Data Entry - SOF'!B$2,'Data Entry - SOF'!M$64,0)</f>
        <v>0</v>
      </c>
      <c r="Y625" s="1371" t="e">
        <f t="shared" si="116"/>
        <v>#DIV/0!</v>
      </c>
      <c r="Z625" s="2212" t="e">
        <f>IF('Report-M&amp;O2223'!C$18-'Report-SOF2223'!D$55&lt;=0,0,'Report-M&amp;O2223'!C$18-'Report-SOF2223'!D$55)</f>
        <v>#DIV/0!</v>
      </c>
      <c r="AA625" s="1708">
        <f>IF(A625='Data Entry - SOF'!B$2,'Data Entry - SOF'!O$64,0)</f>
        <v>0</v>
      </c>
    </row>
    <row r="626" spans="1:27" ht="15.75">
      <c r="A626" s="1076" t="s">
        <v>96</v>
      </c>
      <c r="B626">
        <v>42546728</v>
      </c>
      <c r="C626" s="2452" t="e">
        <f>#REF!+#REF!</f>
        <v>#REF!</v>
      </c>
      <c r="D626" s="2449">
        <f>IF(A626='Data Entry - SOF'!B$2,'Data Entry - SOF'!C$64,0)</f>
        <v>0</v>
      </c>
      <c r="E626" s="2450">
        <f t="shared" si="117"/>
        <v>42546728</v>
      </c>
      <c r="F626" s="2212" t="e">
        <f>IF('Report-M&amp;O1718'!C$18-'Report-SOF1718'!D$55&lt;=0,0,'Report-M&amp;O1718'!C$18-'Report-SOF1718'!D$55)</f>
        <v>#DIV/0!</v>
      </c>
      <c r="G626" s="2452" t="e">
        <f t="shared" si="109"/>
        <v>#DIV/0!</v>
      </c>
      <c r="H626" s="2449">
        <f>IF(A626='Data Entry - SOF'!B$2,'Data Entry - SOF'!E$64,0)</f>
        <v>0</v>
      </c>
      <c r="I626" s="1687">
        <f t="shared" si="110"/>
        <v>42546728</v>
      </c>
      <c r="J626" s="2212" t="e">
        <f>IF('Report-M&amp;O1819'!C$18-'Report-SOF1819'!D$55&lt;=0,0,'Report-M&amp;O1819'!C$18-'Report-SOF1819'!D$55)</f>
        <v>#DIV/0!</v>
      </c>
      <c r="K626" s="2452" t="e">
        <f t="shared" si="111"/>
        <v>#DIV/0!</v>
      </c>
      <c r="L626" s="2449">
        <f>IF(A626='Data Entry - SOF'!B$2,'Data Entry - SOF'!G$64,0)</f>
        <v>0</v>
      </c>
      <c r="M626" s="1371">
        <f t="shared" si="112"/>
        <v>42546728</v>
      </c>
      <c r="N626" s="2212" t="e">
        <f>IF('Report-M&amp;O1920'!C$18-'Report-SOF1920'!D$55&lt;=0,0,'Report-M&amp;O1920'!C$18-'Report-SOF1920'!D$55)</f>
        <v>#DIV/0!</v>
      </c>
      <c r="O626" s="2452" t="e">
        <f t="shared" si="113"/>
        <v>#DIV/0!</v>
      </c>
      <c r="P626" s="2449">
        <f>IF(A626='Data Entry - SOF'!B$2,'Data Entry - SOF'!I$64,0)</f>
        <v>0</v>
      </c>
      <c r="Q626" s="1687">
        <f t="shared" si="108"/>
        <v>42546728</v>
      </c>
      <c r="R626" s="2212" t="e">
        <f>IF('Report-M&amp;O2021'!C$18-'Report-SOF2021'!D$55&lt;=0,0,'Report-M&amp;O2021'!C$18-'Report-SOF2021'!D$55)</f>
        <v>#DIV/0!</v>
      </c>
      <c r="S626" s="2452" t="e">
        <f t="shared" si="114"/>
        <v>#DIV/0!</v>
      </c>
      <c r="T626" s="1708">
        <f>IF(A626='Data Entry - SOF'!B$2,'Data Entry - SOF'!K$64,0)</f>
        <v>0</v>
      </c>
      <c r="U626" s="1687">
        <f t="shared" si="118"/>
        <v>42546728</v>
      </c>
      <c r="V626" s="2212" t="e">
        <f>IF('Report-M&amp;O2122'!C$18-'Report-SOF2122'!D$55&lt;=0,0,'Report-M&amp;O2122'!C$18-'Report-SOF2122'!D$55)</f>
        <v>#DIV/0!</v>
      </c>
      <c r="W626" s="2452" t="e">
        <f t="shared" si="115"/>
        <v>#DIV/0!</v>
      </c>
      <c r="X626" s="1708">
        <f>IF(A626='Data Entry - SOF'!B$2,'Data Entry - SOF'!M$64,0)</f>
        <v>0</v>
      </c>
      <c r="Y626" s="1371" t="e">
        <f t="shared" si="116"/>
        <v>#DIV/0!</v>
      </c>
      <c r="Z626" s="2212" t="e">
        <f>IF('Report-M&amp;O2223'!C$18-'Report-SOF2223'!D$55&lt;=0,0,'Report-M&amp;O2223'!C$18-'Report-SOF2223'!D$55)</f>
        <v>#DIV/0!</v>
      </c>
      <c r="AA626" s="1708">
        <f>IF(A626='Data Entry - SOF'!B$2,'Data Entry - SOF'!O$64,0)</f>
        <v>0</v>
      </c>
    </row>
    <row r="627" spans="1:27" ht="15.75">
      <c r="A627" s="1076" t="s">
        <v>2607</v>
      </c>
      <c r="B627">
        <v>90940433</v>
      </c>
      <c r="C627" s="2452" t="e">
        <f>#REF!+#REF!</f>
        <v>#REF!</v>
      </c>
      <c r="D627" s="2449">
        <f>IF(A627='Data Entry - SOF'!B$2,'Data Entry - SOF'!C$64,0)</f>
        <v>0</v>
      </c>
      <c r="E627" s="2450">
        <f t="shared" si="117"/>
        <v>90940433</v>
      </c>
      <c r="F627" s="2212" t="e">
        <f>IF('Report-M&amp;O1718'!C$18-'Report-SOF1718'!D$55&lt;=0,0,'Report-M&amp;O1718'!C$18-'Report-SOF1718'!D$55)</f>
        <v>#DIV/0!</v>
      </c>
      <c r="G627" s="2452" t="e">
        <f t="shared" si="109"/>
        <v>#DIV/0!</v>
      </c>
      <c r="H627" s="2449">
        <f>IF(A627='Data Entry - SOF'!B$2,'Data Entry - SOF'!E$64,0)</f>
        <v>0</v>
      </c>
      <c r="I627" s="1687">
        <f t="shared" si="110"/>
        <v>90940433</v>
      </c>
      <c r="J627" s="2212" t="e">
        <f>IF('Report-M&amp;O1819'!C$18-'Report-SOF1819'!D$55&lt;=0,0,'Report-M&amp;O1819'!C$18-'Report-SOF1819'!D$55)</f>
        <v>#DIV/0!</v>
      </c>
      <c r="K627" s="2452" t="e">
        <f t="shared" si="111"/>
        <v>#DIV/0!</v>
      </c>
      <c r="L627" s="2449">
        <f>IF(A627='Data Entry - SOF'!B$2,'Data Entry - SOF'!G$64,0)</f>
        <v>0</v>
      </c>
      <c r="M627" s="1371">
        <f t="shared" si="112"/>
        <v>90940433</v>
      </c>
      <c r="N627" s="2212" t="e">
        <f>IF('Report-M&amp;O1920'!C$18-'Report-SOF1920'!D$55&lt;=0,0,'Report-M&amp;O1920'!C$18-'Report-SOF1920'!D$55)</f>
        <v>#DIV/0!</v>
      </c>
      <c r="O627" s="2452" t="e">
        <f t="shared" si="113"/>
        <v>#DIV/0!</v>
      </c>
      <c r="P627" s="2449">
        <f>IF(A627='Data Entry - SOF'!B$2,'Data Entry - SOF'!I$64,0)</f>
        <v>0</v>
      </c>
      <c r="Q627" s="1687">
        <f t="shared" si="108"/>
        <v>90940433</v>
      </c>
      <c r="R627" s="2212" t="e">
        <f>IF('Report-M&amp;O2021'!C$18-'Report-SOF2021'!D$55&lt;=0,0,'Report-M&amp;O2021'!C$18-'Report-SOF2021'!D$55)</f>
        <v>#DIV/0!</v>
      </c>
      <c r="S627" s="2452" t="e">
        <f t="shared" si="114"/>
        <v>#DIV/0!</v>
      </c>
      <c r="T627" s="1708">
        <f>IF(A627='Data Entry - SOF'!B$2,'Data Entry - SOF'!K$64,0)</f>
        <v>0</v>
      </c>
      <c r="U627" s="1687">
        <f t="shared" si="118"/>
        <v>90940433</v>
      </c>
      <c r="V627" s="2212" t="e">
        <f>IF('Report-M&amp;O2122'!C$18-'Report-SOF2122'!D$55&lt;=0,0,'Report-M&amp;O2122'!C$18-'Report-SOF2122'!D$55)</f>
        <v>#DIV/0!</v>
      </c>
      <c r="W627" s="2452" t="e">
        <f t="shared" si="115"/>
        <v>#DIV/0!</v>
      </c>
      <c r="X627" s="1708">
        <f>IF(A627='Data Entry - SOF'!B$2,'Data Entry - SOF'!M$64,0)</f>
        <v>0</v>
      </c>
      <c r="Y627" s="1371" t="e">
        <f t="shared" si="116"/>
        <v>#DIV/0!</v>
      </c>
      <c r="Z627" s="2212" t="e">
        <f>IF('Report-M&amp;O2223'!C$18-'Report-SOF2223'!D$55&lt;=0,0,'Report-M&amp;O2223'!C$18-'Report-SOF2223'!D$55)</f>
        <v>#DIV/0!</v>
      </c>
      <c r="AA627" s="1708">
        <f>IF(A627='Data Entry - SOF'!B$2,'Data Entry - SOF'!O$64,0)</f>
        <v>0</v>
      </c>
    </row>
    <row r="628" spans="1:27" ht="15.75">
      <c r="A628" s="1076" t="s">
        <v>2764</v>
      </c>
      <c r="B628">
        <v>1316803</v>
      </c>
      <c r="C628" s="2452" t="e">
        <f>#REF!+#REF!</f>
        <v>#REF!</v>
      </c>
      <c r="D628" s="2449">
        <f>IF(A628='Data Entry - SOF'!B$2,'Data Entry - SOF'!C$64,0)</f>
        <v>0</v>
      </c>
      <c r="E628" s="2450">
        <f t="shared" si="117"/>
        <v>1316803</v>
      </c>
      <c r="F628" s="2212" t="e">
        <f>IF('Report-M&amp;O1718'!C$18-'Report-SOF1718'!D$55&lt;=0,0,'Report-M&amp;O1718'!C$18-'Report-SOF1718'!D$55)</f>
        <v>#DIV/0!</v>
      </c>
      <c r="G628" s="2452" t="e">
        <f t="shared" si="109"/>
        <v>#DIV/0!</v>
      </c>
      <c r="H628" s="2449">
        <f>IF(A628='Data Entry - SOF'!B$2,'Data Entry - SOF'!E$64,0)</f>
        <v>0</v>
      </c>
      <c r="I628" s="1687">
        <f t="shared" si="110"/>
        <v>1316803</v>
      </c>
      <c r="J628" s="2212" t="e">
        <f>IF('Report-M&amp;O1819'!C$18-'Report-SOF1819'!D$55&lt;=0,0,'Report-M&amp;O1819'!C$18-'Report-SOF1819'!D$55)</f>
        <v>#DIV/0!</v>
      </c>
      <c r="K628" s="2452" t="e">
        <f t="shared" si="111"/>
        <v>#DIV/0!</v>
      </c>
      <c r="L628" s="2449">
        <f>IF(A628='Data Entry - SOF'!B$2,'Data Entry - SOF'!G$64,0)</f>
        <v>0</v>
      </c>
      <c r="M628" s="1371">
        <f t="shared" si="112"/>
        <v>1316803</v>
      </c>
      <c r="N628" s="2212" t="e">
        <f>IF('Report-M&amp;O1920'!C$18-'Report-SOF1920'!D$55&lt;=0,0,'Report-M&amp;O1920'!C$18-'Report-SOF1920'!D$55)</f>
        <v>#DIV/0!</v>
      </c>
      <c r="O628" s="2452" t="e">
        <f t="shared" si="113"/>
        <v>#DIV/0!</v>
      </c>
      <c r="P628" s="2449">
        <f>IF(A628='Data Entry - SOF'!B$2,'Data Entry - SOF'!I$64,0)</f>
        <v>0</v>
      </c>
      <c r="Q628" s="1687">
        <f t="shared" si="108"/>
        <v>1316803</v>
      </c>
      <c r="R628" s="2212" t="e">
        <f>IF('Report-M&amp;O2021'!C$18-'Report-SOF2021'!D$55&lt;=0,0,'Report-M&amp;O2021'!C$18-'Report-SOF2021'!D$55)</f>
        <v>#DIV/0!</v>
      </c>
      <c r="S628" s="2452" t="e">
        <f t="shared" si="114"/>
        <v>#DIV/0!</v>
      </c>
      <c r="T628" s="1708">
        <f>IF(A628='Data Entry - SOF'!B$2,'Data Entry - SOF'!K$64,0)</f>
        <v>0</v>
      </c>
      <c r="U628" s="1687">
        <f t="shared" si="118"/>
        <v>1316803</v>
      </c>
      <c r="V628" s="2212" t="e">
        <f>IF('Report-M&amp;O2122'!C$18-'Report-SOF2122'!D$55&lt;=0,0,'Report-M&amp;O2122'!C$18-'Report-SOF2122'!D$55)</f>
        <v>#DIV/0!</v>
      </c>
      <c r="W628" s="2452" t="e">
        <f t="shared" si="115"/>
        <v>#DIV/0!</v>
      </c>
      <c r="X628" s="1708">
        <f>IF(A628='Data Entry - SOF'!B$2,'Data Entry - SOF'!M$64,0)</f>
        <v>0</v>
      </c>
      <c r="Y628" s="1371" t="e">
        <f t="shared" si="116"/>
        <v>#DIV/0!</v>
      </c>
      <c r="Z628" s="2212" t="e">
        <f>IF('Report-M&amp;O2223'!C$18-'Report-SOF2223'!D$55&lt;=0,0,'Report-M&amp;O2223'!C$18-'Report-SOF2223'!D$55)</f>
        <v>#DIV/0!</v>
      </c>
      <c r="AA628" s="1708">
        <f>IF(A628='Data Entry - SOF'!B$2,'Data Entry - SOF'!O$64,0)</f>
        <v>0</v>
      </c>
    </row>
    <row r="629" spans="1:27" ht="15.75">
      <c r="A629" s="1076" t="s">
        <v>2765</v>
      </c>
      <c r="B629">
        <v>3734874</v>
      </c>
      <c r="C629" s="2452" t="e">
        <f>#REF!+#REF!</f>
        <v>#REF!</v>
      </c>
      <c r="D629" s="2449">
        <f>IF(A629='Data Entry - SOF'!B$2,'Data Entry - SOF'!C$64,0)</f>
        <v>0</v>
      </c>
      <c r="E629" s="2450">
        <f t="shared" si="117"/>
        <v>3734874</v>
      </c>
      <c r="F629" s="2212" t="e">
        <f>IF('Report-M&amp;O1718'!C$18-'Report-SOF1718'!D$55&lt;=0,0,'Report-M&amp;O1718'!C$18-'Report-SOF1718'!D$55)</f>
        <v>#DIV/0!</v>
      </c>
      <c r="G629" s="2452" t="e">
        <f t="shared" si="109"/>
        <v>#DIV/0!</v>
      </c>
      <c r="H629" s="2449">
        <f>IF(A629='Data Entry - SOF'!B$2,'Data Entry - SOF'!E$64,0)</f>
        <v>0</v>
      </c>
      <c r="I629" s="1687">
        <f t="shared" si="110"/>
        <v>3734874</v>
      </c>
      <c r="J629" s="2212" t="e">
        <f>IF('Report-M&amp;O1819'!C$18-'Report-SOF1819'!D$55&lt;=0,0,'Report-M&amp;O1819'!C$18-'Report-SOF1819'!D$55)</f>
        <v>#DIV/0!</v>
      </c>
      <c r="K629" s="2452" t="e">
        <f t="shared" si="111"/>
        <v>#DIV/0!</v>
      </c>
      <c r="L629" s="2449">
        <f>IF(A629='Data Entry - SOF'!B$2,'Data Entry - SOF'!G$64,0)</f>
        <v>0</v>
      </c>
      <c r="M629" s="1371">
        <f t="shared" si="112"/>
        <v>3734874</v>
      </c>
      <c r="N629" s="2212" t="e">
        <f>IF('Report-M&amp;O1920'!C$18-'Report-SOF1920'!D$55&lt;=0,0,'Report-M&amp;O1920'!C$18-'Report-SOF1920'!D$55)</f>
        <v>#DIV/0!</v>
      </c>
      <c r="O629" s="2452" t="e">
        <f t="shared" si="113"/>
        <v>#DIV/0!</v>
      </c>
      <c r="P629" s="2449">
        <f>IF(A629='Data Entry - SOF'!B$2,'Data Entry - SOF'!I$64,0)</f>
        <v>0</v>
      </c>
      <c r="Q629" s="1687">
        <f t="shared" si="108"/>
        <v>3734874</v>
      </c>
      <c r="R629" s="2212" t="e">
        <f>IF('Report-M&amp;O2021'!C$18-'Report-SOF2021'!D$55&lt;=0,0,'Report-M&amp;O2021'!C$18-'Report-SOF2021'!D$55)</f>
        <v>#DIV/0!</v>
      </c>
      <c r="S629" s="2452" t="e">
        <f t="shared" si="114"/>
        <v>#DIV/0!</v>
      </c>
      <c r="T629" s="1708">
        <f>IF(A629='Data Entry - SOF'!B$2,'Data Entry - SOF'!K$64,0)</f>
        <v>0</v>
      </c>
      <c r="U629" s="1687">
        <f t="shared" si="118"/>
        <v>3734874</v>
      </c>
      <c r="V629" s="2212" t="e">
        <f>IF('Report-M&amp;O2122'!C$18-'Report-SOF2122'!D$55&lt;=0,0,'Report-M&amp;O2122'!C$18-'Report-SOF2122'!D$55)</f>
        <v>#DIV/0!</v>
      </c>
      <c r="W629" s="2452" t="e">
        <f t="shared" si="115"/>
        <v>#DIV/0!</v>
      </c>
      <c r="X629" s="1708">
        <f>IF(A629='Data Entry - SOF'!B$2,'Data Entry - SOF'!M$64,0)</f>
        <v>0</v>
      </c>
      <c r="Y629" s="1371" t="e">
        <f t="shared" si="116"/>
        <v>#DIV/0!</v>
      </c>
      <c r="Z629" s="2212" t="e">
        <f>IF('Report-M&amp;O2223'!C$18-'Report-SOF2223'!D$55&lt;=0,0,'Report-M&amp;O2223'!C$18-'Report-SOF2223'!D$55)</f>
        <v>#DIV/0!</v>
      </c>
      <c r="AA629" s="1708">
        <f>IF(A629='Data Entry - SOF'!B$2,'Data Entry - SOF'!O$64,0)</f>
        <v>0</v>
      </c>
    </row>
    <row r="630" spans="1:27" ht="15.75">
      <c r="A630" s="1076" t="s">
        <v>2414</v>
      </c>
      <c r="B630">
        <v>48726899</v>
      </c>
      <c r="C630" s="2452" t="e">
        <f>#REF!+#REF!</f>
        <v>#REF!</v>
      </c>
      <c r="D630" s="2449">
        <f>IF(A630='Data Entry - SOF'!B$2,'Data Entry - SOF'!C$64,0)</f>
        <v>0</v>
      </c>
      <c r="E630" s="2450">
        <f t="shared" si="117"/>
        <v>48726899</v>
      </c>
      <c r="F630" s="2212" t="e">
        <f>IF('Report-M&amp;O1718'!C$18-'Report-SOF1718'!D$55&lt;=0,0,'Report-M&amp;O1718'!C$18-'Report-SOF1718'!D$55)</f>
        <v>#DIV/0!</v>
      </c>
      <c r="G630" s="2452" t="e">
        <f t="shared" si="109"/>
        <v>#DIV/0!</v>
      </c>
      <c r="H630" s="2449">
        <f>IF(A630='Data Entry - SOF'!B$2,'Data Entry - SOF'!E$64,0)</f>
        <v>0</v>
      </c>
      <c r="I630" s="1687">
        <f t="shared" si="110"/>
        <v>48726899</v>
      </c>
      <c r="J630" s="2212" t="e">
        <f>IF('Report-M&amp;O1819'!C$18-'Report-SOF1819'!D$55&lt;=0,0,'Report-M&amp;O1819'!C$18-'Report-SOF1819'!D$55)</f>
        <v>#DIV/0!</v>
      </c>
      <c r="K630" s="2452" t="e">
        <f t="shared" si="111"/>
        <v>#DIV/0!</v>
      </c>
      <c r="L630" s="2449">
        <f>IF(A630='Data Entry - SOF'!B$2,'Data Entry - SOF'!G$64,0)</f>
        <v>0</v>
      </c>
      <c r="M630" s="1371">
        <f t="shared" si="112"/>
        <v>48726899</v>
      </c>
      <c r="N630" s="2212" t="e">
        <f>IF('Report-M&amp;O1920'!C$18-'Report-SOF1920'!D$55&lt;=0,0,'Report-M&amp;O1920'!C$18-'Report-SOF1920'!D$55)</f>
        <v>#DIV/0!</v>
      </c>
      <c r="O630" s="2452" t="e">
        <f t="shared" si="113"/>
        <v>#DIV/0!</v>
      </c>
      <c r="P630" s="2449">
        <f>IF(A630='Data Entry - SOF'!B$2,'Data Entry - SOF'!I$64,0)</f>
        <v>0</v>
      </c>
      <c r="Q630" s="1687">
        <f t="shared" si="108"/>
        <v>48726899</v>
      </c>
      <c r="R630" s="2212" t="e">
        <f>IF('Report-M&amp;O2021'!C$18-'Report-SOF2021'!D$55&lt;=0,0,'Report-M&amp;O2021'!C$18-'Report-SOF2021'!D$55)</f>
        <v>#DIV/0!</v>
      </c>
      <c r="S630" s="2452" t="e">
        <f t="shared" si="114"/>
        <v>#DIV/0!</v>
      </c>
      <c r="T630" s="1708">
        <f>IF(A630='Data Entry - SOF'!B$2,'Data Entry - SOF'!K$64,0)</f>
        <v>0</v>
      </c>
      <c r="U630" s="1687">
        <f t="shared" si="118"/>
        <v>48726899</v>
      </c>
      <c r="V630" s="2212" t="e">
        <f>IF('Report-M&amp;O2122'!C$18-'Report-SOF2122'!D$55&lt;=0,0,'Report-M&amp;O2122'!C$18-'Report-SOF2122'!D$55)</f>
        <v>#DIV/0!</v>
      </c>
      <c r="W630" s="2452" t="e">
        <f t="shared" si="115"/>
        <v>#DIV/0!</v>
      </c>
      <c r="X630" s="1708">
        <f>IF(A630='Data Entry - SOF'!B$2,'Data Entry - SOF'!M$64,0)</f>
        <v>0</v>
      </c>
      <c r="Y630" s="1371" t="e">
        <f t="shared" si="116"/>
        <v>#DIV/0!</v>
      </c>
      <c r="Z630" s="2212" t="e">
        <f>IF('Report-M&amp;O2223'!C$18-'Report-SOF2223'!D$55&lt;=0,0,'Report-M&amp;O2223'!C$18-'Report-SOF2223'!D$55)</f>
        <v>#DIV/0!</v>
      </c>
      <c r="AA630" s="1708">
        <f>IF(A630='Data Entry - SOF'!B$2,'Data Entry - SOF'!O$64,0)</f>
        <v>0</v>
      </c>
    </row>
    <row r="631" spans="1:27" ht="15.75">
      <c r="A631" s="1076" t="s">
        <v>1603</v>
      </c>
      <c r="B631">
        <v>52814656</v>
      </c>
      <c r="C631" s="2452" t="e">
        <f>#REF!+#REF!</f>
        <v>#REF!</v>
      </c>
      <c r="D631" s="2449">
        <f>IF(A631='Data Entry - SOF'!B$2,'Data Entry - SOF'!C$64,0)</f>
        <v>0</v>
      </c>
      <c r="E631" s="2450">
        <f t="shared" si="117"/>
        <v>52814656</v>
      </c>
      <c r="F631" s="2212" t="e">
        <f>IF('Report-M&amp;O1718'!C$18-'Report-SOF1718'!D$55&lt;=0,0,'Report-M&amp;O1718'!C$18-'Report-SOF1718'!D$55)</f>
        <v>#DIV/0!</v>
      </c>
      <c r="G631" s="2452" t="e">
        <f t="shared" si="109"/>
        <v>#DIV/0!</v>
      </c>
      <c r="H631" s="2449">
        <f>IF(A631='Data Entry - SOF'!B$2,'Data Entry - SOF'!E$64,0)</f>
        <v>0</v>
      </c>
      <c r="I631" s="1687">
        <f t="shared" si="110"/>
        <v>52814656</v>
      </c>
      <c r="J631" s="2212" t="e">
        <f>IF('Report-M&amp;O1819'!C$18-'Report-SOF1819'!D$55&lt;=0,0,'Report-M&amp;O1819'!C$18-'Report-SOF1819'!D$55)</f>
        <v>#DIV/0!</v>
      </c>
      <c r="K631" s="2452" t="e">
        <f t="shared" si="111"/>
        <v>#DIV/0!</v>
      </c>
      <c r="L631" s="2449">
        <f>IF(A631='Data Entry - SOF'!B$2,'Data Entry - SOF'!G$64,0)</f>
        <v>0</v>
      </c>
      <c r="M631" s="1371">
        <f t="shared" si="112"/>
        <v>52814656</v>
      </c>
      <c r="N631" s="2212" t="e">
        <f>IF('Report-M&amp;O1920'!C$18-'Report-SOF1920'!D$55&lt;=0,0,'Report-M&amp;O1920'!C$18-'Report-SOF1920'!D$55)</f>
        <v>#DIV/0!</v>
      </c>
      <c r="O631" s="2452" t="e">
        <f t="shared" si="113"/>
        <v>#DIV/0!</v>
      </c>
      <c r="P631" s="2449">
        <f>IF(A631='Data Entry - SOF'!B$2,'Data Entry - SOF'!I$64,0)</f>
        <v>0</v>
      </c>
      <c r="Q631" s="1687">
        <f t="shared" si="108"/>
        <v>52814656</v>
      </c>
      <c r="R631" s="2212" t="e">
        <f>IF('Report-M&amp;O2021'!C$18-'Report-SOF2021'!D$55&lt;=0,0,'Report-M&amp;O2021'!C$18-'Report-SOF2021'!D$55)</f>
        <v>#DIV/0!</v>
      </c>
      <c r="S631" s="2452" t="e">
        <f t="shared" si="114"/>
        <v>#DIV/0!</v>
      </c>
      <c r="T631" s="1708">
        <f>IF(A631='Data Entry - SOF'!B$2,'Data Entry - SOF'!K$64,0)</f>
        <v>0</v>
      </c>
      <c r="U631" s="1687">
        <f t="shared" si="118"/>
        <v>52814656</v>
      </c>
      <c r="V631" s="2212" t="e">
        <f>IF('Report-M&amp;O2122'!C$18-'Report-SOF2122'!D$55&lt;=0,0,'Report-M&amp;O2122'!C$18-'Report-SOF2122'!D$55)</f>
        <v>#DIV/0!</v>
      </c>
      <c r="W631" s="2452" t="e">
        <f t="shared" si="115"/>
        <v>#DIV/0!</v>
      </c>
      <c r="X631" s="1708">
        <f>IF(A631='Data Entry - SOF'!B$2,'Data Entry - SOF'!M$64,0)</f>
        <v>0</v>
      </c>
      <c r="Y631" s="1371" t="e">
        <f t="shared" si="116"/>
        <v>#DIV/0!</v>
      </c>
      <c r="Z631" s="2212" t="e">
        <f>IF('Report-M&amp;O2223'!C$18-'Report-SOF2223'!D$55&lt;=0,0,'Report-M&amp;O2223'!C$18-'Report-SOF2223'!D$55)</f>
        <v>#DIV/0!</v>
      </c>
      <c r="AA631" s="1708">
        <f>IF(A631='Data Entry - SOF'!B$2,'Data Entry - SOF'!O$64,0)</f>
        <v>0</v>
      </c>
    </row>
    <row r="632" spans="1:27" ht="15.75">
      <c r="A632" s="1076" t="s">
        <v>2766</v>
      </c>
      <c r="B632">
        <v>2335298</v>
      </c>
      <c r="C632" s="2452" t="e">
        <f>#REF!+#REF!</f>
        <v>#REF!</v>
      </c>
      <c r="D632" s="2449">
        <f>IF(A632='Data Entry - SOF'!B$2,'Data Entry - SOF'!C$64,0)</f>
        <v>0</v>
      </c>
      <c r="E632" s="2450">
        <f t="shared" si="117"/>
        <v>2335298</v>
      </c>
      <c r="F632" s="2212" t="e">
        <f>IF('Report-M&amp;O1718'!C$18-'Report-SOF1718'!D$55&lt;=0,0,'Report-M&amp;O1718'!C$18-'Report-SOF1718'!D$55)</f>
        <v>#DIV/0!</v>
      </c>
      <c r="G632" s="2452" t="e">
        <f t="shared" si="109"/>
        <v>#DIV/0!</v>
      </c>
      <c r="H632" s="2449">
        <f>IF(A632='Data Entry - SOF'!B$2,'Data Entry - SOF'!E$64,0)</f>
        <v>0</v>
      </c>
      <c r="I632" s="1687">
        <f t="shared" si="110"/>
        <v>2335298</v>
      </c>
      <c r="J632" s="2212" t="e">
        <f>IF('Report-M&amp;O1819'!C$18-'Report-SOF1819'!D$55&lt;=0,0,'Report-M&amp;O1819'!C$18-'Report-SOF1819'!D$55)</f>
        <v>#DIV/0!</v>
      </c>
      <c r="K632" s="2452" t="e">
        <f t="shared" si="111"/>
        <v>#DIV/0!</v>
      </c>
      <c r="L632" s="2449">
        <f>IF(A632='Data Entry - SOF'!B$2,'Data Entry - SOF'!G$64,0)</f>
        <v>0</v>
      </c>
      <c r="M632" s="1371">
        <f t="shared" si="112"/>
        <v>2335298</v>
      </c>
      <c r="N632" s="2212" t="e">
        <f>IF('Report-M&amp;O1920'!C$18-'Report-SOF1920'!D$55&lt;=0,0,'Report-M&amp;O1920'!C$18-'Report-SOF1920'!D$55)</f>
        <v>#DIV/0!</v>
      </c>
      <c r="O632" s="2452" t="e">
        <f t="shared" si="113"/>
        <v>#DIV/0!</v>
      </c>
      <c r="P632" s="2449">
        <f>IF(A632='Data Entry - SOF'!B$2,'Data Entry - SOF'!I$64,0)</f>
        <v>0</v>
      </c>
      <c r="Q632" s="1687">
        <f t="shared" si="108"/>
        <v>2335298</v>
      </c>
      <c r="R632" s="2212" t="e">
        <f>IF('Report-M&amp;O2021'!C$18-'Report-SOF2021'!D$55&lt;=0,0,'Report-M&amp;O2021'!C$18-'Report-SOF2021'!D$55)</f>
        <v>#DIV/0!</v>
      </c>
      <c r="S632" s="2452" t="e">
        <f t="shared" si="114"/>
        <v>#DIV/0!</v>
      </c>
      <c r="T632" s="1708">
        <f>IF(A632='Data Entry - SOF'!B$2,'Data Entry - SOF'!K$64,0)</f>
        <v>0</v>
      </c>
      <c r="U632" s="1687">
        <f t="shared" si="118"/>
        <v>2335298</v>
      </c>
      <c r="V632" s="2212" t="e">
        <f>IF('Report-M&amp;O2122'!C$18-'Report-SOF2122'!D$55&lt;=0,0,'Report-M&amp;O2122'!C$18-'Report-SOF2122'!D$55)</f>
        <v>#DIV/0!</v>
      </c>
      <c r="W632" s="2452" t="e">
        <f t="shared" si="115"/>
        <v>#DIV/0!</v>
      </c>
      <c r="X632" s="1708">
        <f>IF(A632='Data Entry - SOF'!B$2,'Data Entry - SOF'!M$64,0)</f>
        <v>0</v>
      </c>
      <c r="Y632" s="1371" t="e">
        <f t="shared" si="116"/>
        <v>#DIV/0!</v>
      </c>
      <c r="Z632" s="2212" t="e">
        <f>IF('Report-M&amp;O2223'!C$18-'Report-SOF2223'!D$55&lt;=0,0,'Report-M&amp;O2223'!C$18-'Report-SOF2223'!D$55)</f>
        <v>#DIV/0!</v>
      </c>
      <c r="AA632" s="1708">
        <f>IF(A632='Data Entry - SOF'!B$2,'Data Entry - SOF'!O$64,0)</f>
        <v>0</v>
      </c>
    </row>
    <row r="633" spans="1:27" ht="15.75">
      <c r="A633" s="1076" t="s">
        <v>538</v>
      </c>
      <c r="B633">
        <v>2653324</v>
      </c>
      <c r="C633" s="2452" t="e">
        <f>#REF!+#REF!</f>
        <v>#REF!</v>
      </c>
      <c r="D633" s="2449">
        <f>IF(A633='Data Entry - SOF'!B$2,'Data Entry - SOF'!C$64,0)</f>
        <v>0</v>
      </c>
      <c r="E633" s="2450">
        <f t="shared" si="117"/>
        <v>2653324</v>
      </c>
      <c r="F633" s="2212" t="e">
        <f>IF('Report-M&amp;O1718'!C$18-'Report-SOF1718'!D$55&lt;=0,0,'Report-M&amp;O1718'!C$18-'Report-SOF1718'!D$55)</f>
        <v>#DIV/0!</v>
      </c>
      <c r="G633" s="2452" t="e">
        <f t="shared" si="109"/>
        <v>#DIV/0!</v>
      </c>
      <c r="H633" s="2449">
        <f>IF(A633='Data Entry - SOF'!B$2,'Data Entry - SOF'!E$64,0)</f>
        <v>0</v>
      </c>
      <c r="I633" s="1687">
        <f t="shared" si="110"/>
        <v>2653324</v>
      </c>
      <c r="J633" s="2212" t="e">
        <f>IF('Report-M&amp;O1819'!C$18-'Report-SOF1819'!D$55&lt;=0,0,'Report-M&amp;O1819'!C$18-'Report-SOF1819'!D$55)</f>
        <v>#DIV/0!</v>
      </c>
      <c r="K633" s="2452" t="e">
        <f t="shared" si="111"/>
        <v>#DIV/0!</v>
      </c>
      <c r="L633" s="2449">
        <f>IF(A633='Data Entry - SOF'!B$2,'Data Entry - SOF'!G$64,0)</f>
        <v>0</v>
      </c>
      <c r="M633" s="1371">
        <f t="shared" si="112"/>
        <v>2653324</v>
      </c>
      <c r="N633" s="2212" t="e">
        <f>IF('Report-M&amp;O1920'!C$18-'Report-SOF1920'!D$55&lt;=0,0,'Report-M&amp;O1920'!C$18-'Report-SOF1920'!D$55)</f>
        <v>#DIV/0!</v>
      </c>
      <c r="O633" s="2452" t="e">
        <f t="shared" si="113"/>
        <v>#DIV/0!</v>
      </c>
      <c r="P633" s="2449">
        <f>IF(A633='Data Entry - SOF'!B$2,'Data Entry - SOF'!I$64,0)</f>
        <v>0</v>
      </c>
      <c r="Q633" s="1687">
        <f t="shared" si="108"/>
        <v>2653324</v>
      </c>
      <c r="R633" s="2212" t="e">
        <f>IF('Report-M&amp;O2021'!C$18-'Report-SOF2021'!D$55&lt;=0,0,'Report-M&amp;O2021'!C$18-'Report-SOF2021'!D$55)</f>
        <v>#DIV/0!</v>
      </c>
      <c r="S633" s="2452" t="e">
        <f t="shared" si="114"/>
        <v>#DIV/0!</v>
      </c>
      <c r="T633" s="1708">
        <f>IF(A633='Data Entry - SOF'!B$2,'Data Entry - SOF'!K$64,0)</f>
        <v>0</v>
      </c>
      <c r="U633" s="1687">
        <f t="shared" si="118"/>
        <v>2653324</v>
      </c>
      <c r="V633" s="2212" t="e">
        <f>IF('Report-M&amp;O2122'!C$18-'Report-SOF2122'!D$55&lt;=0,0,'Report-M&amp;O2122'!C$18-'Report-SOF2122'!D$55)</f>
        <v>#DIV/0!</v>
      </c>
      <c r="W633" s="2452" t="e">
        <f t="shared" si="115"/>
        <v>#DIV/0!</v>
      </c>
      <c r="X633" s="1708">
        <f>IF(A633='Data Entry - SOF'!B$2,'Data Entry - SOF'!M$64,0)</f>
        <v>0</v>
      </c>
      <c r="Y633" s="1371" t="e">
        <f t="shared" si="116"/>
        <v>#DIV/0!</v>
      </c>
      <c r="Z633" s="2212" t="e">
        <f>IF('Report-M&amp;O2223'!C$18-'Report-SOF2223'!D$55&lt;=0,0,'Report-M&amp;O2223'!C$18-'Report-SOF2223'!D$55)</f>
        <v>#DIV/0!</v>
      </c>
      <c r="AA633" s="1708">
        <f>IF(A633='Data Entry - SOF'!B$2,'Data Entry - SOF'!O$64,0)</f>
        <v>0</v>
      </c>
    </row>
    <row r="634" spans="1:27" ht="15.75">
      <c r="A634" s="1076" t="s">
        <v>775</v>
      </c>
      <c r="B634">
        <v>1566462</v>
      </c>
      <c r="C634" s="2452" t="e">
        <f>#REF!+#REF!</f>
        <v>#REF!</v>
      </c>
      <c r="D634" s="2449">
        <f>IF(A634='Data Entry - SOF'!B$2,'Data Entry - SOF'!C$64,0)</f>
        <v>0</v>
      </c>
      <c r="E634" s="2450">
        <f t="shared" si="117"/>
        <v>1566462</v>
      </c>
      <c r="F634" s="2212" t="e">
        <f>IF('Report-M&amp;O1718'!C$18-'Report-SOF1718'!D$55&lt;=0,0,'Report-M&amp;O1718'!C$18-'Report-SOF1718'!D$55)</f>
        <v>#DIV/0!</v>
      </c>
      <c r="G634" s="2452" t="e">
        <f t="shared" si="109"/>
        <v>#DIV/0!</v>
      </c>
      <c r="H634" s="2449">
        <f>IF(A634='Data Entry - SOF'!B$2,'Data Entry - SOF'!E$64,0)</f>
        <v>0</v>
      </c>
      <c r="I634" s="1687">
        <f t="shared" si="110"/>
        <v>1566462</v>
      </c>
      <c r="J634" s="2212" t="e">
        <f>IF('Report-M&amp;O1819'!C$18-'Report-SOF1819'!D$55&lt;=0,0,'Report-M&amp;O1819'!C$18-'Report-SOF1819'!D$55)</f>
        <v>#DIV/0!</v>
      </c>
      <c r="K634" s="2452" t="e">
        <f t="shared" si="111"/>
        <v>#DIV/0!</v>
      </c>
      <c r="L634" s="2449">
        <f>IF(A634='Data Entry - SOF'!B$2,'Data Entry - SOF'!G$64,0)</f>
        <v>0</v>
      </c>
      <c r="M634" s="1371">
        <f t="shared" si="112"/>
        <v>1566462</v>
      </c>
      <c r="N634" s="2212" t="e">
        <f>IF('Report-M&amp;O1920'!C$18-'Report-SOF1920'!D$55&lt;=0,0,'Report-M&amp;O1920'!C$18-'Report-SOF1920'!D$55)</f>
        <v>#DIV/0!</v>
      </c>
      <c r="O634" s="2452" t="e">
        <f t="shared" si="113"/>
        <v>#DIV/0!</v>
      </c>
      <c r="P634" s="2449">
        <f>IF(A634='Data Entry - SOF'!B$2,'Data Entry - SOF'!I$64,0)</f>
        <v>0</v>
      </c>
      <c r="Q634" s="1687">
        <f t="shared" si="108"/>
        <v>1566462</v>
      </c>
      <c r="R634" s="2212" t="e">
        <f>IF('Report-M&amp;O2021'!C$18-'Report-SOF2021'!D$55&lt;=0,0,'Report-M&amp;O2021'!C$18-'Report-SOF2021'!D$55)</f>
        <v>#DIV/0!</v>
      </c>
      <c r="S634" s="2452" t="e">
        <f t="shared" si="114"/>
        <v>#DIV/0!</v>
      </c>
      <c r="T634" s="1708">
        <f>IF(A634='Data Entry - SOF'!B$2,'Data Entry - SOF'!K$64,0)</f>
        <v>0</v>
      </c>
      <c r="U634" s="1687">
        <f t="shared" si="118"/>
        <v>1566462</v>
      </c>
      <c r="V634" s="2212" t="e">
        <f>IF('Report-M&amp;O2122'!C$18-'Report-SOF2122'!D$55&lt;=0,0,'Report-M&amp;O2122'!C$18-'Report-SOF2122'!D$55)</f>
        <v>#DIV/0!</v>
      </c>
      <c r="W634" s="2452" t="e">
        <f t="shared" si="115"/>
        <v>#DIV/0!</v>
      </c>
      <c r="X634" s="1708">
        <f>IF(A634='Data Entry - SOF'!B$2,'Data Entry - SOF'!M$64,0)</f>
        <v>0</v>
      </c>
      <c r="Y634" s="1371" t="e">
        <f t="shared" si="116"/>
        <v>#DIV/0!</v>
      </c>
      <c r="Z634" s="2212" t="e">
        <f>IF('Report-M&amp;O2223'!C$18-'Report-SOF2223'!D$55&lt;=0,0,'Report-M&amp;O2223'!C$18-'Report-SOF2223'!D$55)</f>
        <v>#DIV/0!</v>
      </c>
      <c r="AA634" s="1708">
        <f>IF(A634='Data Entry - SOF'!B$2,'Data Entry - SOF'!O$64,0)</f>
        <v>0</v>
      </c>
    </row>
    <row r="635" spans="1:27" ht="15.75">
      <c r="A635" s="1076" t="s">
        <v>2679</v>
      </c>
      <c r="B635">
        <v>4853576</v>
      </c>
      <c r="C635" s="2452" t="e">
        <f>#REF!+#REF!</f>
        <v>#REF!</v>
      </c>
      <c r="D635" s="2449">
        <f>IF(A635='Data Entry - SOF'!B$2,'Data Entry - SOF'!C$64,0)</f>
        <v>0</v>
      </c>
      <c r="E635" s="2450">
        <f t="shared" si="117"/>
        <v>4853576</v>
      </c>
      <c r="F635" s="2212" t="e">
        <f>IF('Report-M&amp;O1718'!C$18-'Report-SOF1718'!D$55&lt;=0,0,'Report-M&amp;O1718'!C$18-'Report-SOF1718'!D$55)</f>
        <v>#DIV/0!</v>
      </c>
      <c r="G635" s="2452" t="e">
        <f t="shared" si="109"/>
        <v>#DIV/0!</v>
      </c>
      <c r="H635" s="2449">
        <f>IF(A635='Data Entry - SOF'!B$2,'Data Entry - SOF'!E$64,0)</f>
        <v>0</v>
      </c>
      <c r="I635" s="1687">
        <f t="shared" si="110"/>
        <v>4853576</v>
      </c>
      <c r="J635" s="2212" t="e">
        <f>IF('Report-M&amp;O1819'!C$18-'Report-SOF1819'!D$55&lt;=0,0,'Report-M&amp;O1819'!C$18-'Report-SOF1819'!D$55)</f>
        <v>#DIV/0!</v>
      </c>
      <c r="K635" s="2452" t="e">
        <f t="shared" si="111"/>
        <v>#DIV/0!</v>
      </c>
      <c r="L635" s="2449">
        <f>IF(A635='Data Entry - SOF'!B$2,'Data Entry - SOF'!G$64,0)</f>
        <v>0</v>
      </c>
      <c r="M635" s="1371">
        <f t="shared" si="112"/>
        <v>4853576</v>
      </c>
      <c r="N635" s="2212" t="e">
        <f>IF('Report-M&amp;O1920'!C$18-'Report-SOF1920'!D$55&lt;=0,0,'Report-M&amp;O1920'!C$18-'Report-SOF1920'!D$55)</f>
        <v>#DIV/0!</v>
      </c>
      <c r="O635" s="2452" t="e">
        <f t="shared" si="113"/>
        <v>#DIV/0!</v>
      </c>
      <c r="P635" s="2449">
        <f>IF(A635='Data Entry - SOF'!B$2,'Data Entry - SOF'!I$64,0)</f>
        <v>0</v>
      </c>
      <c r="Q635" s="1687">
        <f t="shared" si="108"/>
        <v>4853576</v>
      </c>
      <c r="R635" s="2212" t="e">
        <f>IF('Report-M&amp;O2021'!C$18-'Report-SOF2021'!D$55&lt;=0,0,'Report-M&amp;O2021'!C$18-'Report-SOF2021'!D$55)</f>
        <v>#DIV/0!</v>
      </c>
      <c r="S635" s="2452" t="e">
        <f t="shared" si="114"/>
        <v>#DIV/0!</v>
      </c>
      <c r="T635" s="1708">
        <f>IF(A635='Data Entry - SOF'!B$2,'Data Entry - SOF'!K$64,0)</f>
        <v>0</v>
      </c>
      <c r="U635" s="1687">
        <f t="shared" si="118"/>
        <v>4853576</v>
      </c>
      <c r="V635" s="2212" t="e">
        <f>IF('Report-M&amp;O2122'!C$18-'Report-SOF2122'!D$55&lt;=0,0,'Report-M&amp;O2122'!C$18-'Report-SOF2122'!D$55)</f>
        <v>#DIV/0!</v>
      </c>
      <c r="W635" s="2452" t="e">
        <f t="shared" si="115"/>
        <v>#DIV/0!</v>
      </c>
      <c r="X635" s="1708">
        <f>IF(A635='Data Entry - SOF'!B$2,'Data Entry - SOF'!M$64,0)</f>
        <v>0</v>
      </c>
      <c r="Y635" s="1371" t="e">
        <f t="shared" si="116"/>
        <v>#DIV/0!</v>
      </c>
      <c r="Z635" s="2212" t="e">
        <f>IF('Report-M&amp;O2223'!C$18-'Report-SOF2223'!D$55&lt;=0,0,'Report-M&amp;O2223'!C$18-'Report-SOF2223'!D$55)</f>
        <v>#DIV/0!</v>
      </c>
      <c r="AA635" s="1708">
        <f>IF(A635='Data Entry - SOF'!B$2,'Data Entry - SOF'!O$64,0)</f>
        <v>0</v>
      </c>
    </row>
    <row r="636" spans="1:27" ht="15.75">
      <c r="A636" s="1076" t="s">
        <v>2680</v>
      </c>
      <c r="B636">
        <v>913999</v>
      </c>
      <c r="C636" s="2452" t="e">
        <f>#REF!+#REF!</f>
        <v>#REF!</v>
      </c>
      <c r="D636" s="2449">
        <f>IF(A636='Data Entry - SOF'!B$2,'Data Entry - SOF'!C$64,0)</f>
        <v>0</v>
      </c>
      <c r="E636" s="2450">
        <f t="shared" si="117"/>
        <v>913999</v>
      </c>
      <c r="F636" s="2212" t="e">
        <f>IF('Report-M&amp;O1718'!C$18-'Report-SOF1718'!D$55&lt;=0,0,'Report-M&amp;O1718'!C$18-'Report-SOF1718'!D$55)</f>
        <v>#DIV/0!</v>
      </c>
      <c r="G636" s="2452" t="e">
        <f t="shared" si="109"/>
        <v>#DIV/0!</v>
      </c>
      <c r="H636" s="2449">
        <f>IF(A636='Data Entry - SOF'!B$2,'Data Entry - SOF'!E$64,0)</f>
        <v>0</v>
      </c>
      <c r="I636" s="1687">
        <f t="shared" si="110"/>
        <v>913999</v>
      </c>
      <c r="J636" s="2212" t="e">
        <f>IF('Report-M&amp;O1819'!C$18-'Report-SOF1819'!D$55&lt;=0,0,'Report-M&amp;O1819'!C$18-'Report-SOF1819'!D$55)</f>
        <v>#DIV/0!</v>
      </c>
      <c r="K636" s="2452" t="e">
        <f t="shared" si="111"/>
        <v>#DIV/0!</v>
      </c>
      <c r="L636" s="2449">
        <f>IF(A636='Data Entry - SOF'!B$2,'Data Entry - SOF'!G$64,0)</f>
        <v>0</v>
      </c>
      <c r="M636" s="1371">
        <f t="shared" si="112"/>
        <v>913999</v>
      </c>
      <c r="N636" s="2212" t="e">
        <f>IF('Report-M&amp;O1920'!C$18-'Report-SOF1920'!D$55&lt;=0,0,'Report-M&amp;O1920'!C$18-'Report-SOF1920'!D$55)</f>
        <v>#DIV/0!</v>
      </c>
      <c r="O636" s="2452" t="e">
        <f t="shared" si="113"/>
        <v>#DIV/0!</v>
      </c>
      <c r="P636" s="2449">
        <f>IF(A636='Data Entry - SOF'!B$2,'Data Entry - SOF'!I$64,0)</f>
        <v>0</v>
      </c>
      <c r="Q636" s="1687">
        <f t="shared" si="108"/>
        <v>913999</v>
      </c>
      <c r="R636" s="2212" t="e">
        <f>IF('Report-M&amp;O2021'!C$18-'Report-SOF2021'!D$55&lt;=0,0,'Report-M&amp;O2021'!C$18-'Report-SOF2021'!D$55)</f>
        <v>#DIV/0!</v>
      </c>
      <c r="S636" s="2452" t="e">
        <f t="shared" si="114"/>
        <v>#DIV/0!</v>
      </c>
      <c r="T636" s="1708">
        <f>IF(A636='Data Entry - SOF'!B$2,'Data Entry - SOF'!K$64,0)</f>
        <v>0</v>
      </c>
      <c r="U636" s="1687">
        <f t="shared" si="118"/>
        <v>913999</v>
      </c>
      <c r="V636" s="2212" t="e">
        <f>IF('Report-M&amp;O2122'!C$18-'Report-SOF2122'!D$55&lt;=0,0,'Report-M&amp;O2122'!C$18-'Report-SOF2122'!D$55)</f>
        <v>#DIV/0!</v>
      </c>
      <c r="W636" s="2452" t="e">
        <f t="shared" si="115"/>
        <v>#DIV/0!</v>
      </c>
      <c r="X636" s="1708">
        <f>IF(A636='Data Entry - SOF'!B$2,'Data Entry - SOF'!M$64,0)</f>
        <v>0</v>
      </c>
      <c r="Y636" s="1371" t="e">
        <f t="shared" si="116"/>
        <v>#DIV/0!</v>
      </c>
      <c r="Z636" s="2212" t="e">
        <f>IF('Report-M&amp;O2223'!C$18-'Report-SOF2223'!D$55&lt;=0,0,'Report-M&amp;O2223'!C$18-'Report-SOF2223'!D$55)</f>
        <v>#DIV/0!</v>
      </c>
      <c r="AA636" s="1708">
        <f>IF(A636='Data Entry - SOF'!B$2,'Data Entry - SOF'!O$64,0)</f>
        <v>0</v>
      </c>
    </row>
    <row r="637" spans="1:27" ht="15.75">
      <c r="A637" s="1076" t="s">
        <v>2681</v>
      </c>
      <c r="B637">
        <v>696771</v>
      </c>
      <c r="C637" s="2452" t="e">
        <f>#REF!+#REF!</f>
        <v>#REF!</v>
      </c>
      <c r="D637" s="2449">
        <f>IF(A637='Data Entry - SOF'!B$2,'Data Entry - SOF'!C$64,0)</f>
        <v>0</v>
      </c>
      <c r="E637" s="2450">
        <f t="shared" si="117"/>
        <v>696771</v>
      </c>
      <c r="F637" s="2212" t="e">
        <f>IF('Report-M&amp;O1718'!C$18-'Report-SOF1718'!D$55&lt;=0,0,'Report-M&amp;O1718'!C$18-'Report-SOF1718'!D$55)</f>
        <v>#DIV/0!</v>
      </c>
      <c r="G637" s="2452" t="e">
        <f t="shared" si="109"/>
        <v>#DIV/0!</v>
      </c>
      <c r="H637" s="2449">
        <f>IF(A637='Data Entry - SOF'!B$2,'Data Entry - SOF'!E$64,0)</f>
        <v>0</v>
      </c>
      <c r="I637" s="1687">
        <f t="shared" si="110"/>
        <v>696771</v>
      </c>
      <c r="J637" s="2212" t="e">
        <f>IF('Report-M&amp;O1819'!C$18-'Report-SOF1819'!D$55&lt;=0,0,'Report-M&amp;O1819'!C$18-'Report-SOF1819'!D$55)</f>
        <v>#DIV/0!</v>
      </c>
      <c r="K637" s="2452" t="e">
        <f t="shared" si="111"/>
        <v>#DIV/0!</v>
      </c>
      <c r="L637" s="2449">
        <f>IF(A637='Data Entry - SOF'!B$2,'Data Entry - SOF'!G$64,0)</f>
        <v>0</v>
      </c>
      <c r="M637" s="1371">
        <f t="shared" si="112"/>
        <v>696771</v>
      </c>
      <c r="N637" s="2212" t="e">
        <f>IF('Report-M&amp;O1920'!C$18-'Report-SOF1920'!D$55&lt;=0,0,'Report-M&amp;O1920'!C$18-'Report-SOF1920'!D$55)</f>
        <v>#DIV/0!</v>
      </c>
      <c r="O637" s="2452" t="e">
        <f t="shared" si="113"/>
        <v>#DIV/0!</v>
      </c>
      <c r="P637" s="2449">
        <f>IF(A637='Data Entry - SOF'!B$2,'Data Entry - SOF'!I$64,0)</f>
        <v>0</v>
      </c>
      <c r="Q637" s="1687">
        <f>M637-P637</f>
        <v>696771</v>
      </c>
      <c r="R637" s="2212" t="e">
        <f>IF('Report-M&amp;O2021'!C$18-'Report-SOF2021'!D$55&lt;=0,0,'Report-M&amp;O2021'!C$18-'Report-SOF2021'!D$55)</f>
        <v>#DIV/0!</v>
      </c>
      <c r="S637" s="2452" t="e">
        <f t="shared" si="114"/>
        <v>#DIV/0!</v>
      </c>
      <c r="T637" s="1708">
        <f>IF(A637='Data Entry - SOF'!B$2,'Data Entry - SOF'!K$64,0)</f>
        <v>0</v>
      </c>
      <c r="U637" s="1687">
        <f t="shared" ref="U637:U652" si="119">Q637-T637</f>
        <v>696771</v>
      </c>
      <c r="V637" s="2212" t="e">
        <f>IF('Report-M&amp;O2122'!C$18-'Report-SOF2122'!D$55&lt;=0,0,'Report-M&amp;O2122'!C$18-'Report-SOF2122'!D$55)</f>
        <v>#DIV/0!</v>
      </c>
      <c r="W637" s="2452" t="e">
        <f t="shared" si="115"/>
        <v>#DIV/0!</v>
      </c>
      <c r="X637" s="1708">
        <f>IF(A637='Data Entry - SOF'!B$2,'Data Entry - SOF'!M$64,0)</f>
        <v>0</v>
      </c>
      <c r="Y637" s="1371" t="e">
        <f t="shared" si="116"/>
        <v>#DIV/0!</v>
      </c>
      <c r="Z637" s="2212" t="e">
        <f>IF('Report-M&amp;O2223'!C$18-'Report-SOF2223'!D$55&lt;=0,0,'Report-M&amp;O2223'!C$18-'Report-SOF2223'!D$55)</f>
        <v>#DIV/0!</v>
      </c>
      <c r="AA637" s="1708">
        <f>IF(A637='Data Entry - SOF'!B$2,'Data Entry - SOF'!O$64,0)</f>
        <v>0</v>
      </c>
    </row>
    <row r="638" spans="1:27" ht="15.75">
      <c r="A638" s="1076" t="s">
        <v>1651</v>
      </c>
      <c r="B638">
        <v>403476</v>
      </c>
      <c r="C638" s="2452" t="e">
        <f>#REF!+#REF!</f>
        <v>#REF!</v>
      </c>
      <c r="D638" s="2449">
        <f>IF(A638='Data Entry - SOF'!B$2,'Data Entry - SOF'!C$64,0)</f>
        <v>0</v>
      </c>
      <c r="E638" s="2450">
        <f t="shared" si="117"/>
        <v>403476</v>
      </c>
      <c r="F638" s="2212" t="e">
        <f>IF('Report-M&amp;O1718'!C$18-'Report-SOF1718'!D$55&lt;=0,0,'Report-M&amp;O1718'!C$18-'Report-SOF1718'!D$55)</f>
        <v>#DIV/0!</v>
      </c>
      <c r="G638" s="2452" t="e">
        <f t="shared" si="109"/>
        <v>#DIV/0!</v>
      </c>
      <c r="H638" s="2449">
        <f>IF(A638='Data Entry - SOF'!B$2,'Data Entry - SOF'!E$64,0)</f>
        <v>0</v>
      </c>
      <c r="I638" s="1687">
        <f t="shared" si="110"/>
        <v>403476</v>
      </c>
      <c r="J638" s="2212" t="e">
        <f>IF('Report-M&amp;O1819'!C$18-'Report-SOF1819'!D$55&lt;=0,0,'Report-M&amp;O1819'!C$18-'Report-SOF1819'!D$55)</f>
        <v>#DIV/0!</v>
      </c>
      <c r="K638" s="2452" t="e">
        <f t="shared" si="111"/>
        <v>#DIV/0!</v>
      </c>
      <c r="L638" s="2449">
        <f>IF(A638='Data Entry - SOF'!B$2,'Data Entry - SOF'!G$64,0)</f>
        <v>0</v>
      </c>
      <c r="M638" s="1371">
        <f t="shared" si="112"/>
        <v>403476</v>
      </c>
      <c r="N638" s="2212" t="e">
        <f>IF('Report-M&amp;O1920'!C$18-'Report-SOF1920'!D$55&lt;=0,0,'Report-M&amp;O1920'!C$18-'Report-SOF1920'!D$55)</f>
        <v>#DIV/0!</v>
      </c>
      <c r="O638" s="2452" t="e">
        <f t="shared" si="113"/>
        <v>#DIV/0!</v>
      </c>
      <c r="P638" s="2449">
        <f>IF(A638='Data Entry - SOF'!B$2,'Data Entry - SOF'!I$64,0)</f>
        <v>0</v>
      </c>
      <c r="Q638" s="1687">
        <f t="shared" ref="Q638:Q699" si="120">M638-P638</f>
        <v>403476</v>
      </c>
      <c r="R638" s="2212" t="e">
        <f>IF('Report-M&amp;O2021'!C$18-'Report-SOF2021'!D$55&lt;=0,0,'Report-M&amp;O2021'!C$18-'Report-SOF2021'!D$55)</f>
        <v>#DIV/0!</v>
      </c>
      <c r="S638" s="2452" t="e">
        <f t="shared" si="114"/>
        <v>#DIV/0!</v>
      </c>
      <c r="T638" s="1708">
        <f>IF(A638='Data Entry - SOF'!B$2,'Data Entry - SOF'!K$64,0)</f>
        <v>0</v>
      </c>
      <c r="U638" s="1687">
        <f t="shared" si="119"/>
        <v>403476</v>
      </c>
      <c r="V638" s="2212" t="e">
        <f>IF('Report-M&amp;O2122'!C$18-'Report-SOF2122'!D$55&lt;=0,0,'Report-M&amp;O2122'!C$18-'Report-SOF2122'!D$55)</f>
        <v>#DIV/0!</v>
      </c>
      <c r="W638" s="2452" t="e">
        <f t="shared" si="115"/>
        <v>#DIV/0!</v>
      </c>
      <c r="X638" s="1708">
        <f>IF(A638='Data Entry - SOF'!B$2,'Data Entry - SOF'!M$64,0)</f>
        <v>0</v>
      </c>
      <c r="Y638" s="1371" t="e">
        <f t="shared" si="116"/>
        <v>#DIV/0!</v>
      </c>
      <c r="Z638" s="2212" t="e">
        <f>IF('Report-M&amp;O2223'!C$18-'Report-SOF2223'!D$55&lt;=0,0,'Report-M&amp;O2223'!C$18-'Report-SOF2223'!D$55)</f>
        <v>#DIV/0!</v>
      </c>
      <c r="AA638" s="1708">
        <f>IF(A638='Data Entry - SOF'!B$2,'Data Entry - SOF'!O$64,0)</f>
        <v>0</v>
      </c>
    </row>
    <row r="639" spans="1:27" ht="15.75">
      <c r="A639" s="1076" t="s">
        <v>2389</v>
      </c>
      <c r="B639">
        <v>6625497</v>
      </c>
      <c r="C639" s="2452" t="e">
        <f>#REF!+#REF!</f>
        <v>#REF!</v>
      </c>
      <c r="D639" s="2449">
        <f>IF(A639='Data Entry - SOF'!B$2,'Data Entry - SOF'!C$64,0)</f>
        <v>0</v>
      </c>
      <c r="E639" s="2450">
        <f t="shared" si="117"/>
        <v>6625497</v>
      </c>
      <c r="F639" s="2212" t="e">
        <f>IF('Report-M&amp;O1718'!C$18-'Report-SOF1718'!D$55&lt;=0,0,'Report-M&amp;O1718'!C$18-'Report-SOF1718'!D$55)</f>
        <v>#DIV/0!</v>
      </c>
      <c r="G639" s="2452" t="e">
        <f t="shared" si="109"/>
        <v>#DIV/0!</v>
      </c>
      <c r="H639" s="2449">
        <f>IF(A639='Data Entry - SOF'!B$2,'Data Entry - SOF'!E$64,0)</f>
        <v>0</v>
      </c>
      <c r="I639" s="1687">
        <f t="shared" si="110"/>
        <v>6625497</v>
      </c>
      <c r="J639" s="2212" t="e">
        <f>IF('Report-M&amp;O1819'!C$18-'Report-SOF1819'!D$55&lt;=0,0,'Report-M&amp;O1819'!C$18-'Report-SOF1819'!D$55)</f>
        <v>#DIV/0!</v>
      </c>
      <c r="K639" s="2452" t="e">
        <f t="shared" si="111"/>
        <v>#DIV/0!</v>
      </c>
      <c r="L639" s="2449">
        <f>IF(A639='Data Entry - SOF'!B$2,'Data Entry - SOF'!G$64,0)</f>
        <v>0</v>
      </c>
      <c r="M639" s="1371">
        <f t="shared" si="112"/>
        <v>6625497</v>
      </c>
      <c r="N639" s="2212" t="e">
        <f>IF('Report-M&amp;O1920'!C$18-'Report-SOF1920'!D$55&lt;=0,0,'Report-M&amp;O1920'!C$18-'Report-SOF1920'!D$55)</f>
        <v>#DIV/0!</v>
      </c>
      <c r="O639" s="2452" t="e">
        <f t="shared" si="113"/>
        <v>#DIV/0!</v>
      </c>
      <c r="P639" s="2449">
        <f>IF(A639='Data Entry - SOF'!B$2,'Data Entry - SOF'!I$64,0)</f>
        <v>0</v>
      </c>
      <c r="Q639" s="1687">
        <f t="shared" si="120"/>
        <v>6625497</v>
      </c>
      <c r="R639" s="2212" t="e">
        <f>IF('Report-M&amp;O2021'!C$18-'Report-SOF2021'!D$55&lt;=0,0,'Report-M&amp;O2021'!C$18-'Report-SOF2021'!D$55)</f>
        <v>#DIV/0!</v>
      </c>
      <c r="S639" s="2452" t="e">
        <f t="shared" si="114"/>
        <v>#DIV/0!</v>
      </c>
      <c r="T639" s="1708">
        <f>IF(A639='Data Entry - SOF'!B$2,'Data Entry - SOF'!K$64,0)</f>
        <v>0</v>
      </c>
      <c r="U639" s="1687">
        <f t="shared" si="119"/>
        <v>6625497</v>
      </c>
      <c r="V639" s="2212" t="e">
        <f>IF('Report-M&amp;O2122'!C$18-'Report-SOF2122'!D$55&lt;=0,0,'Report-M&amp;O2122'!C$18-'Report-SOF2122'!D$55)</f>
        <v>#DIV/0!</v>
      </c>
      <c r="W639" s="2452" t="e">
        <f t="shared" si="115"/>
        <v>#DIV/0!</v>
      </c>
      <c r="X639" s="1708">
        <f>IF(A639='Data Entry - SOF'!B$2,'Data Entry - SOF'!M$64,0)</f>
        <v>0</v>
      </c>
      <c r="Y639" s="1371" t="e">
        <f t="shared" si="116"/>
        <v>#DIV/0!</v>
      </c>
      <c r="Z639" s="2212" t="e">
        <f>IF('Report-M&amp;O2223'!C$18-'Report-SOF2223'!D$55&lt;=0,0,'Report-M&amp;O2223'!C$18-'Report-SOF2223'!D$55)</f>
        <v>#DIV/0!</v>
      </c>
      <c r="AA639" s="1708">
        <f>IF(A639='Data Entry - SOF'!B$2,'Data Entry - SOF'!O$64,0)</f>
        <v>0</v>
      </c>
    </row>
    <row r="640" spans="1:27" ht="15.75">
      <c r="A640" s="1076" t="s">
        <v>1652</v>
      </c>
      <c r="B640">
        <v>6709750.2568506496</v>
      </c>
      <c r="C640" s="2452" t="e">
        <f>#REF!+#REF!</f>
        <v>#REF!</v>
      </c>
      <c r="D640" s="2449">
        <f>IF(A640='Data Entry - SOF'!B$2,'Data Entry - SOF'!C$64,0)</f>
        <v>0</v>
      </c>
      <c r="E640" s="2450">
        <f t="shared" si="117"/>
        <v>6709750.2568506496</v>
      </c>
      <c r="F640" s="2212" t="e">
        <f>IF('Report-M&amp;O1718'!C$18-'Report-SOF1718'!D$55&lt;=0,0,'Report-M&amp;O1718'!C$18-'Report-SOF1718'!D$55)</f>
        <v>#DIV/0!</v>
      </c>
      <c r="G640" s="2452" t="e">
        <f t="shared" si="109"/>
        <v>#DIV/0!</v>
      </c>
      <c r="H640" s="2449">
        <f>IF(A640='Data Entry - SOF'!B$2,'Data Entry - SOF'!E$64,0)</f>
        <v>0</v>
      </c>
      <c r="I640" s="1687">
        <f t="shared" si="110"/>
        <v>6709750.2568506496</v>
      </c>
      <c r="J640" s="2212" t="e">
        <f>IF('Report-M&amp;O1819'!C$18-'Report-SOF1819'!D$55&lt;=0,0,'Report-M&amp;O1819'!C$18-'Report-SOF1819'!D$55)</f>
        <v>#DIV/0!</v>
      </c>
      <c r="K640" s="2452" t="e">
        <f t="shared" si="111"/>
        <v>#DIV/0!</v>
      </c>
      <c r="L640" s="2449">
        <f>IF(A640='Data Entry - SOF'!B$2,'Data Entry - SOF'!G$64,0)</f>
        <v>0</v>
      </c>
      <c r="M640" s="1371">
        <f t="shared" si="112"/>
        <v>6709750.2568506496</v>
      </c>
      <c r="N640" s="2212" t="e">
        <f>IF('Report-M&amp;O1920'!C$18-'Report-SOF1920'!D$55&lt;=0,0,'Report-M&amp;O1920'!C$18-'Report-SOF1920'!D$55)</f>
        <v>#DIV/0!</v>
      </c>
      <c r="O640" s="2452" t="e">
        <f t="shared" si="113"/>
        <v>#DIV/0!</v>
      </c>
      <c r="P640" s="2449">
        <f>IF(A640='Data Entry - SOF'!B$2,'Data Entry - SOF'!I$64,0)</f>
        <v>0</v>
      </c>
      <c r="Q640" s="1687">
        <f t="shared" si="120"/>
        <v>6709750.2568506496</v>
      </c>
      <c r="R640" s="2212" t="e">
        <f>IF('Report-M&amp;O2021'!C$18-'Report-SOF2021'!D$55&lt;=0,0,'Report-M&amp;O2021'!C$18-'Report-SOF2021'!D$55)</f>
        <v>#DIV/0!</v>
      </c>
      <c r="S640" s="2452" t="e">
        <f t="shared" si="114"/>
        <v>#DIV/0!</v>
      </c>
      <c r="T640" s="1708">
        <f>IF(A640='Data Entry - SOF'!B$2,'Data Entry - SOF'!K$64,0)</f>
        <v>0</v>
      </c>
      <c r="U640" s="1687">
        <f t="shared" si="119"/>
        <v>6709750.2568506496</v>
      </c>
      <c r="V640" s="2212" t="e">
        <f>IF('Report-M&amp;O2122'!C$18-'Report-SOF2122'!D$55&lt;=0,0,'Report-M&amp;O2122'!C$18-'Report-SOF2122'!D$55)</f>
        <v>#DIV/0!</v>
      </c>
      <c r="W640" s="2452" t="e">
        <f t="shared" si="115"/>
        <v>#DIV/0!</v>
      </c>
      <c r="X640" s="1708">
        <f>IF(A640='Data Entry - SOF'!B$2,'Data Entry - SOF'!M$64,0)</f>
        <v>0</v>
      </c>
      <c r="Y640" s="1371" t="e">
        <f t="shared" si="116"/>
        <v>#DIV/0!</v>
      </c>
      <c r="Z640" s="2212" t="e">
        <f>IF('Report-M&amp;O2223'!C$18-'Report-SOF2223'!D$55&lt;=0,0,'Report-M&amp;O2223'!C$18-'Report-SOF2223'!D$55)</f>
        <v>#DIV/0!</v>
      </c>
      <c r="AA640" s="1708">
        <f>IF(A640='Data Entry - SOF'!B$2,'Data Entry - SOF'!O$64,0)</f>
        <v>0</v>
      </c>
    </row>
    <row r="641" spans="1:27" ht="15.75">
      <c r="A641" s="1076" t="s">
        <v>418</v>
      </c>
      <c r="B641">
        <v>3957428</v>
      </c>
      <c r="C641" s="2452" t="e">
        <f>#REF!+#REF!</f>
        <v>#REF!</v>
      </c>
      <c r="D641" s="2449">
        <f>IF(A641='Data Entry - SOF'!B$2,'Data Entry - SOF'!C$64,0)</f>
        <v>0</v>
      </c>
      <c r="E641" s="2450">
        <f t="shared" si="117"/>
        <v>3957428</v>
      </c>
      <c r="F641" s="2212" t="e">
        <f>IF('Report-M&amp;O1718'!C$18-'Report-SOF1718'!D$55&lt;=0,0,'Report-M&amp;O1718'!C$18-'Report-SOF1718'!D$55)</f>
        <v>#DIV/0!</v>
      </c>
      <c r="G641" s="2452" t="e">
        <f t="shared" si="109"/>
        <v>#DIV/0!</v>
      </c>
      <c r="H641" s="2449">
        <f>IF(A641='Data Entry - SOF'!B$2,'Data Entry - SOF'!E$64,0)</f>
        <v>0</v>
      </c>
      <c r="I641" s="1687">
        <f t="shared" si="110"/>
        <v>3957428</v>
      </c>
      <c r="J641" s="2212" t="e">
        <f>IF('Report-M&amp;O1819'!C$18-'Report-SOF1819'!D$55&lt;=0,0,'Report-M&amp;O1819'!C$18-'Report-SOF1819'!D$55)</f>
        <v>#DIV/0!</v>
      </c>
      <c r="K641" s="2452" t="e">
        <f t="shared" si="111"/>
        <v>#DIV/0!</v>
      </c>
      <c r="L641" s="2449">
        <f>IF(A641='Data Entry - SOF'!B$2,'Data Entry - SOF'!G$64,0)</f>
        <v>0</v>
      </c>
      <c r="M641" s="1371">
        <f t="shared" si="112"/>
        <v>3957428</v>
      </c>
      <c r="N641" s="2212" t="e">
        <f>IF('Report-M&amp;O1920'!C$18-'Report-SOF1920'!D$55&lt;=0,0,'Report-M&amp;O1920'!C$18-'Report-SOF1920'!D$55)</f>
        <v>#DIV/0!</v>
      </c>
      <c r="O641" s="2452" t="e">
        <f t="shared" si="113"/>
        <v>#DIV/0!</v>
      </c>
      <c r="P641" s="2449">
        <f>IF(A641='Data Entry - SOF'!B$2,'Data Entry - SOF'!I$64,0)</f>
        <v>0</v>
      </c>
      <c r="Q641" s="1687">
        <f t="shared" si="120"/>
        <v>3957428</v>
      </c>
      <c r="R641" s="2212" t="e">
        <f>IF('Report-M&amp;O2021'!C$18-'Report-SOF2021'!D$55&lt;=0,0,'Report-M&amp;O2021'!C$18-'Report-SOF2021'!D$55)</f>
        <v>#DIV/0!</v>
      </c>
      <c r="S641" s="2452" t="e">
        <f t="shared" si="114"/>
        <v>#DIV/0!</v>
      </c>
      <c r="T641" s="1708">
        <f>IF(A641='Data Entry - SOF'!B$2,'Data Entry - SOF'!K$64,0)</f>
        <v>0</v>
      </c>
      <c r="U641" s="1687">
        <f t="shared" si="119"/>
        <v>3957428</v>
      </c>
      <c r="V641" s="2212" t="e">
        <f>IF('Report-M&amp;O2122'!C$18-'Report-SOF2122'!D$55&lt;=0,0,'Report-M&amp;O2122'!C$18-'Report-SOF2122'!D$55)</f>
        <v>#DIV/0!</v>
      </c>
      <c r="W641" s="2452" t="e">
        <f t="shared" si="115"/>
        <v>#DIV/0!</v>
      </c>
      <c r="X641" s="1708">
        <f>IF(A641='Data Entry - SOF'!B$2,'Data Entry - SOF'!M$64,0)</f>
        <v>0</v>
      </c>
      <c r="Y641" s="1371" t="e">
        <f t="shared" si="116"/>
        <v>#DIV/0!</v>
      </c>
      <c r="Z641" s="2212" t="e">
        <f>IF('Report-M&amp;O2223'!C$18-'Report-SOF2223'!D$55&lt;=0,0,'Report-M&amp;O2223'!C$18-'Report-SOF2223'!D$55)</f>
        <v>#DIV/0!</v>
      </c>
      <c r="AA641" s="1708">
        <f>IF(A641='Data Entry - SOF'!B$2,'Data Entry - SOF'!O$64,0)</f>
        <v>0</v>
      </c>
    </row>
    <row r="642" spans="1:27" ht="15.75">
      <c r="A642" s="1076" t="s">
        <v>419</v>
      </c>
      <c r="B642">
        <v>19416157</v>
      </c>
      <c r="C642" s="2452" t="e">
        <f>#REF!+#REF!</f>
        <v>#REF!</v>
      </c>
      <c r="D642" s="2449">
        <f>IF(A642='Data Entry - SOF'!B$2,'Data Entry - SOF'!C$64,0)</f>
        <v>0</v>
      </c>
      <c r="E642" s="2450">
        <f t="shared" si="117"/>
        <v>19416157</v>
      </c>
      <c r="F642" s="2212" t="e">
        <f>IF('Report-M&amp;O1718'!C$18-'Report-SOF1718'!D$55&lt;=0,0,'Report-M&amp;O1718'!C$18-'Report-SOF1718'!D$55)</f>
        <v>#DIV/0!</v>
      </c>
      <c r="G642" s="2452" t="e">
        <f t="shared" si="109"/>
        <v>#DIV/0!</v>
      </c>
      <c r="H642" s="2449">
        <f>IF(A642='Data Entry - SOF'!B$2,'Data Entry - SOF'!E$64,0)</f>
        <v>0</v>
      </c>
      <c r="I642" s="1687">
        <f t="shared" si="110"/>
        <v>19416157</v>
      </c>
      <c r="J642" s="2212" t="e">
        <f>IF('Report-M&amp;O1819'!C$18-'Report-SOF1819'!D$55&lt;=0,0,'Report-M&amp;O1819'!C$18-'Report-SOF1819'!D$55)</f>
        <v>#DIV/0!</v>
      </c>
      <c r="K642" s="2452" t="e">
        <f t="shared" si="111"/>
        <v>#DIV/0!</v>
      </c>
      <c r="L642" s="2449">
        <f>IF(A642='Data Entry - SOF'!B$2,'Data Entry - SOF'!G$64,0)</f>
        <v>0</v>
      </c>
      <c r="M642" s="1371">
        <f t="shared" si="112"/>
        <v>19416157</v>
      </c>
      <c r="N642" s="2212" t="e">
        <f>IF('Report-M&amp;O1920'!C$18-'Report-SOF1920'!D$55&lt;=0,0,'Report-M&amp;O1920'!C$18-'Report-SOF1920'!D$55)</f>
        <v>#DIV/0!</v>
      </c>
      <c r="O642" s="2452" t="e">
        <f t="shared" si="113"/>
        <v>#DIV/0!</v>
      </c>
      <c r="P642" s="2449">
        <f>IF(A642='Data Entry - SOF'!B$2,'Data Entry - SOF'!I$64,0)</f>
        <v>0</v>
      </c>
      <c r="Q642" s="1687">
        <f t="shared" si="120"/>
        <v>19416157</v>
      </c>
      <c r="R642" s="2212" t="e">
        <f>IF('Report-M&amp;O2021'!C$18-'Report-SOF2021'!D$55&lt;=0,0,'Report-M&amp;O2021'!C$18-'Report-SOF2021'!D$55)</f>
        <v>#DIV/0!</v>
      </c>
      <c r="S642" s="2452" t="e">
        <f t="shared" si="114"/>
        <v>#DIV/0!</v>
      </c>
      <c r="T642" s="1708">
        <f>IF(A642='Data Entry - SOF'!B$2,'Data Entry - SOF'!K$64,0)</f>
        <v>0</v>
      </c>
      <c r="U642" s="1687">
        <f t="shared" si="119"/>
        <v>19416157</v>
      </c>
      <c r="V642" s="2212" t="e">
        <f>IF('Report-M&amp;O2122'!C$18-'Report-SOF2122'!D$55&lt;=0,0,'Report-M&amp;O2122'!C$18-'Report-SOF2122'!D$55)</f>
        <v>#DIV/0!</v>
      </c>
      <c r="W642" s="2452" t="e">
        <f t="shared" si="115"/>
        <v>#DIV/0!</v>
      </c>
      <c r="X642" s="1708">
        <f>IF(A642='Data Entry - SOF'!B$2,'Data Entry - SOF'!M$64,0)</f>
        <v>0</v>
      </c>
      <c r="Y642" s="1371" t="e">
        <f t="shared" si="116"/>
        <v>#DIV/0!</v>
      </c>
      <c r="Z642" s="2212" t="e">
        <f>IF('Report-M&amp;O2223'!C$18-'Report-SOF2223'!D$55&lt;=0,0,'Report-M&amp;O2223'!C$18-'Report-SOF2223'!D$55)</f>
        <v>#DIV/0!</v>
      </c>
      <c r="AA642" s="1708">
        <f>IF(A642='Data Entry - SOF'!B$2,'Data Entry - SOF'!O$64,0)</f>
        <v>0</v>
      </c>
    </row>
    <row r="643" spans="1:27" ht="15.75">
      <c r="A643" s="1076" t="s">
        <v>420</v>
      </c>
      <c r="B643">
        <v>8152933</v>
      </c>
      <c r="C643" s="2452" t="e">
        <f>#REF!+#REF!</f>
        <v>#REF!</v>
      </c>
      <c r="D643" s="2449">
        <f>IF(A643='Data Entry - SOF'!B$2,'Data Entry - SOF'!C$64,0)</f>
        <v>0</v>
      </c>
      <c r="E643" s="2450">
        <f t="shared" si="117"/>
        <v>8152933</v>
      </c>
      <c r="F643" s="2212" t="e">
        <f>IF('Report-M&amp;O1718'!C$18-'Report-SOF1718'!D$55&lt;=0,0,'Report-M&amp;O1718'!C$18-'Report-SOF1718'!D$55)</f>
        <v>#DIV/0!</v>
      </c>
      <c r="G643" s="2452" t="e">
        <f t="shared" si="109"/>
        <v>#DIV/0!</v>
      </c>
      <c r="H643" s="2449">
        <f>IF(A643='Data Entry - SOF'!B$2,'Data Entry - SOF'!E$64,0)</f>
        <v>0</v>
      </c>
      <c r="I643" s="1687">
        <f t="shared" si="110"/>
        <v>8152933</v>
      </c>
      <c r="J643" s="2212" t="e">
        <f>IF('Report-M&amp;O1819'!C$18-'Report-SOF1819'!D$55&lt;=0,0,'Report-M&amp;O1819'!C$18-'Report-SOF1819'!D$55)</f>
        <v>#DIV/0!</v>
      </c>
      <c r="K643" s="2452" t="e">
        <f t="shared" si="111"/>
        <v>#DIV/0!</v>
      </c>
      <c r="L643" s="2449">
        <f>IF(A643='Data Entry - SOF'!B$2,'Data Entry - SOF'!G$64,0)</f>
        <v>0</v>
      </c>
      <c r="M643" s="1371">
        <f t="shared" si="112"/>
        <v>8152933</v>
      </c>
      <c r="N643" s="2212" t="e">
        <f>IF('Report-M&amp;O1920'!C$18-'Report-SOF1920'!D$55&lt;=0,0,'Report-M&amp;O1920'!C$18-'Report-SOF1920'!D$55)</f>
        <v>#DIV/0!</v>
      </c>
      <c r="O643" s="2452" t="e">
        <f t="shared" si="113"/>
        <v>#DIV/0!</v>
      </c>
      <c r="P643" s="2449">
        <f>IF(A643='Data Entry - SOF'!B$2,'Data Entry - SOF'!I$64,0)</f>
        <v>0</v>
      </c>
      <c r="Q643" s="1687">
        <f t="shared" si="120"/>
        <v>8152933</v>
      </c>
      <c r="R643" s="2212" t="e">
        <f>IF('Report-M&amp;O2021'!C$18-'Report-SOF2021'!D$55&lt;=0,0,'Report-M&amp;O2021'!C$18-'Report-SOF2021'!D$55)</f>
        <v>#DIV/0!</v>
      </c>
      <c r="S643" s="2452" t="e">
        <f t="shared" si="114"/>
        <v>#DIV/0!</v>
      </c>
      <c r="T643" s="1708">
        <f>IF(A643='Data Entry - SOF'!B$2,'Data Entry - SOF'!K$64,0)</f>
        <v>0</v>
      </c>
      <c r="U643" s="1687">
        <f t="shared" si="119"/>
        <v>8152933</v>
      </c>
      <c r="V643" s="2212" t="e">
        <f>IF('Report-M&amp;O2122'!C$18-'Report-SOF2122'!D$55&lt;=0,0,'Report-M&amp;O2122'!C$18-'Report-SOF2122'!D$55)</f>
        <v>#DIV/0!</v>
      </c>
      <c r="W643" s="2452" t="e">
        <f t="shared" si="115"/>
        <v>#DIV/0!</v>
      </c>
      <c r="X643" s="1708">
        <f>IF(A643='Data Entry - SOF'!B$2,'Data Entry - SOF'!M$64,0)</f>
        <v>0</v>
      </c>
      <c r="Y643" s="1371" t="e">
        <f t="shared" si="116"/>
        <v>#DIV/0!</v>
      </c>
      <c r="Z643" s="2212" t="e">
        <f>IF('Report-M&amp;O2223'!C$18-'Report-SOF2223'!D$55&lt;=0,0,'Report-M&amp;O2223'!C$18-'Report-SOF2223'!D$55)</f>
        <v>#DIV/0!</v>
      </c>
      <c r="AA643" s="1708">
        <f>IF(A643='Data Entry - SOF'!B$2,'Data Entry - SOF'!O$64,0)</f>
        <v>0</v>
      </c>
    </row>
    <row r="644" spans="1:27" ht="15.75">
      <c r="A644" s="1076" t="s">
        <v>1856</v>
      </c>
      <c r="B644">
        <v>2540881</v>
      </c>
      <c r="C644" s="2452" t="e">
        <f>#REF!+#REF!</f>
        <v>#REF!</v>
      </c>
      <c r="D644" s="2449">
        <f>IF(A644='Data Entry - SOF'!B$2,'Data Entry - SOF'!C$64,0)</f>
        <v>0</v>
      </c>
      <c r="E644" s="2450">
        <f t="shared" si="117"/>
        <v>2540881</v>
      </c>
      <c r="F644" s="2212" t="e">
        <f>IF('Report-M&amp;O1718'!C$18-'Report-SOF1718'!D$55&lt;=0,0,'Report-M&amp;O1718'!C$18-'Report-SOF1718'!D$55)</f>
        <v>#DIV/0!</v>
      </c>
      <c r="G644" s="2452" t="e">
        <f t="shared" ref="G644:G707" si="121">E644+F644</f>
        <v>#DIV/0!</v>
      </c>
      <c r="H644" s="2449">
        <f>IF(A644='Data Entry - SOF'!B$2,'Data Entry - SOF'!E$64,0)</f>
        <v>0</v>
      </c>
      <c r="I644" s="1687">
        <f t="shared" ref="I644:I707" si="122">E644-H644</f>
        <v>2540881</v>
      </c>
      <c r="J644" s="2212" t="e">
        <f>IF('Report-M&amp;O1819'!C$18-'Report-SOF1819'!D$55&lt;=0,0,'Report-M&amp;O1819'!C$18-'Report-SOF1819'!D$55)</f>
        <v>#DIV/0!</v>
      </c>
      <c r="K644" s="2452" t="e">
        <f t="shared" ref="K644:K707" si="123">I644+J644</f>
        <v>#DIV/0!</v>
      </c>
      <c r="L644" s="2449">
        <f>IF(A644='Data Entry - SOF'!B$2,'Data Entry - SOF'!G$64,0)</f>
        <v>0</v>
      </c>
      <c r="M644" s="1371">
        <f t="shared" ref="M644:M707" si="124">I644-L644</f>
        <v>2540881</v>
      </c>
      <c r="N644" s="2212" t="e">
        <f>IF('Report-M&amp;O1920'!C$18-'Report-SOF1920'!D$55&lt;=0,0,'Report-M&amp;O1920'!C$18-'Report-SOF1920'!D$55)</f>
        <v>#DIV/0!</v>
      </c>
      <c r="O644" s="2452" t="e">
        <f t="shared" ref="O644:O707" si="125">M644+N644</f>
        <v>#DIV/0!</v>
      </c>
      <c r="P644" s="2449">
        <f>IF(A644='Data Entry - SOF'!B$2,'Data Entry - SOF'!I$64,0)</f>
        <v>0</v>
      </c>
      <c r="Q644" s="1687">
        <f t="shared" si="120"/>
        <v>2540881</v>
      </c>
      <c r="R644" s="2212" t="e">
        <f>IF('Report-M&amp;O2021'!C$18-'Report-SOF2021'!D$55&lt;=0,0,'Report-M&amp;O2021'!C$18-'Report-SOF2021'!D$55)</f>
        <v>#DIV/0!</v>
      </c>
      <c r="S644" s="2452" t="e">
        <f t="shared" ref="S644:S707" si="126">Q644+R644</f>
        <v>#DIV/0!</v>
      </c>
      <c r="T644" s="1708">
        <f>IF(A644='Data Entry - SOF'!B$2,'Data Entry - SOF'!K$64,0)</f>
        <v>0</v>
      </c>
      <c r="U644" s="1687">
        <f t="shared" si="119"/>
        <v>2540881</v>
      </c>
      <c r="V644" s="2212" t="e">
        <f>IF('Report-M&amp;O2122'!C$18-'Report-SOF2122'!D$55&lt;=0,0,'Report-M&amp;O2122'!C$18-'Report-SOF2122'!D$55)</f>
        <v>#DIV/0!</v>
      </c>
      <c r="W644" s="2452" t="e">
        <f t="shared" ref="W644:W707" si="127">U644+V644</f>
        <v>#DIV/0!</v>
      </c>
      <c r="X644" s="1708">
        <f>IF(A644='Data Entry - SOF'!B$2,'Data Entry - SOF'!M$64,0)</f>
        <v>0</v>
      </c>
      <c r="Y644" s="1371" t="e">
        <f t="shared" ref="Y644:Y707" si="128">IF(U644+V644-X644&lt;=0,0,U644+V644-X644)</f>
        <v>#DIV/0!</v>
      </c>
      <c r="Z644" s="2212" t="e">
        <f>IF('Report-M&amp;O2223'!C$18-'Report-SOF2223'!D$55&lt;=0,0,'Report-M&amp;O2223'!C$18-'Report-SOF2223'!D$55)</f>
        <v>#DIV/0!</v>
      </c>
      <c r="AA644" s="1708">
        <f>IF(A644='Data Entry - SOF'!B$2,'Data Entry - SOF'!O$64,0)</f>
        <v>0</v>
      </c>
    </row>
    <row r="645" spans="1:27" ht="15.75">
      <c r="A645" s="1076" t="s">
        <v>1857</v>
      </c>
      <c r="B645">
        <v>9095780</v>
      </c>
      <c r="C645" s="2452" t="e">
        <f>#REF!+#REF!</f>
        <v>#REF!</v>
      </c>
      <c r="D645" s="2449">
        <f>IF(A645='Data Entry - SOF'!B$2,'Data Entry - SOF'!C$64,0)</f>
        <v>0</v>
      </c>
      <c r="E645" s="2450">
        <f t="shared" ref="E645:E708" si="129">IF(B645-D645&lt;0,0,B645-D645)</f>
        <v>9095780</v>
      </c>
      <c r="F645" s="2212" t="e">
        <f>IF('Report-M&amp;O1718'!C$18-'Report-SOF1718'!D$55&lt;=0,0,'Report-M&amp;O1718'!C$18-'Report-SOF1718'!D$55)</f>
        <v>#DIV/0!</v>
      </c>
      <c r="G645" s="2452" t="e">
        <f t="shared" si="121"/>
        <v>#DIV/0!</v>
      </c>
      <c r="H645" s="2449">
        <f>IF(A645='Data Entry - SOF'!B$2,'Data Entry - SOF'!E$64,0)</f>
        <v>0</v>
      </c>
      <c r="I645" s="1687">
        <f t="shared" si="122"/>
        <v>9095780</v>
      </c>
      <c r="J645" s="2212" t="e">
        <f>IF('Report-M&amp;O1819'!C$18-'Report-SOF1819'!D$55&lt;=0,0,'Report-M&amp;O1819'!C$18-'Report-SOF1819'!D$55)</f>
        <v>#DIV/0!</v>
      </c>
      <c r="K645" s="2452" t="e">
        <f t="shared" si="123"/>
        <v>#DIV/0!</v>
      </c>
      <c r="L645" s="2449">
        <f>IF(A645='Data Entry - SOF'!B$2,'Data Entry - SOF'!G$64,0)</f>
        <v>0</v>
      </c>
      <c r="M645" s="1371">
        <f t="shared" si="124"/>
        <v>9095780</v>
      </c>
      <c r="N645" s="2212" t="e">
        <f>IF('Report-M&amp;O1920'!C$18-'Report-SOF1920'!D$55&lt;=0,0,'Report-M&amp;O1920'!C$18-'Report-SOF1920'!D$55)</f>
        <v>#DIV/0!</v>
      </c>
      <c r="O645" s="2452" t="e">
        <f t="shared" si="125"/>
        <v>#DIV/0!</v>
      </c>
      <c r="P645" s="2449">
        <f>IF(A645='Data Entry - SOF'!B$2,'Data Entry - SOF'!I$64,0)</f>
        <v>0</v>
      </c>
      <c r="Q645" s="1687">
        <f t="shared" si="120"/>
        <v>9095780</v>
      </c>
      <c r="R645" s="2212" t="e">
        <f>IF('Report-M&amp;O2021'!C$18-'Report-SOF2021'!D$55&lt;=0,0,'Report-M&amp;O2021'!C$18-'Report-SOF2021'!D$55)</f>
        <v>#DIV/0!</v>
      </c>
      <c r="S645" s="2452" t="e">
        <f t="shared" si="126"/>
        <v>#DIV/0!</v>
      </c>
      <c r="T645" s="1708">
        <f>IF(A645='Data Entry - SOF'!B$2,'Data Entry - SOF'!K$64,0)</f>
        <v>0</v>
      </c>
      <c r="U645" s="1687">
        <f t="shared" si="119"/>
        <v>9095780</v>
      </c>
      <c r="V645" s="2212" t="e">
        <f>IF('Report-M&amp;O2122'!C$18-'Report-SOF2122'!D$55&lt;=0,0,'Report-M&amp;O2122'!C$18-'Report-SOF2122'!D$55)</f>
        <v>#DIV/0!</v>
      </c>
      <c r="W645" s="2452" t="e">
        <f t="shared" si="127"/>
        <v>#DIV/0!</v>
      </c>
      <c r="X645" s="1708">
        <f>IF(A645='Data Entry - SOF'!B$2,'Data Entry - SOF'!M$64,0)</f>
        <v>0</v>
      </c>
      <c r="Y645" s="1371" t="e">
        <f t="shared" si="128"/>
        <v>#DIV/0!</v>
      </c>
      <c r="Z645" s="2212" t="e">
        <f>IF('Report-M&amp;O2223'!C$18-'Report-SOF2223'!D$55&lt;=0,0,'Report-M&amp;O2223'!C$18-'Report-SOF2223'!D$55)</f>
        <v>#DIV/0!</v>
      </c>
      <c r="AA645" s="1708">
        <f>IF(A645='Data Entry - SOF'!B$2,'Data Entry - SOF'!O$64,0)</f>
        <v>0</v>
      </c>
    </row>
    <row r="646" spans="1:27" ht="15.75">
      <c r="A646" s="1076" t="s">
        <v>201</v>
      </c>
      <c r="B646">
        <v>13883558.3734893</v>
      </c>
      <c r="C646" s="2452" t="e">
        <f>#REF!+#REF!</f>
        <v>#REF!</v>
      </c>
      <c r="D646" s="2449">
        <f>IF(A646='Data Entry - SOF'!B$2,'Data Entry - SOF'!C$64,0)</f>
        <v>0</v>
      </c>
      <c r="E646" s="2450">
        <f t="shared" si="129"/>
        <v>13883558.3734893</v>
      </c>
      <c r="F646" s="2212" t="e">
        <f>IF('Report-M&amp;O1718'!C$18-'Report-SOF1718'!D$55&lt;=0,0,'Report-M&amp;O1718'!C$18-'Report-SOF1718'!D$55)</f>
        <v>#DIV/0!</v>
      </c>
      <c r="G646" s="2452" t="e">
        <f t="shared" si="121"/>
        <v>#DIV/0!</v>
      </c>
      <c r="H646" s="2449">
        <f>IF(A646='Data Entry - SOF'!B$2,'Data Entry - SOF'!E$64,0)</f>
        <v>0</v>
      </c>
      <c r="I646" s="1687">
        <f t="shared" si="122"/>
        <v>13883558.3734893</v>
      </c>
      <c r="J646" s="2212" t="e">
        <f>IF('Report-M&amp;O1819'!C$18-'Report-SOF1819'!D$55&lt;=0,0,'Report-M&amp;O1819'!C$18-'Report-SOF1819'!D$55)</f>
        <v>#DIV/0!</v>
      </c>
      <c r="K646" s="2452" t="e">
        <f t="shared" si="123"/>
        <v>#DIV/0!</v>
      </c>
      <c r="L646" s="2449">
        <f>IF(A646='Data Entry - SOF'!B$2,'Data Entry - SOF'!G$64,0)</f>
        <v>0</v>
      </c>
      <c r="M646" s="1371">
        <f t="shared" si="124"/>
        <v>13883558.3734893</v>
      </c>
      <c r="N646" s="2212" t="e">
        <f>IF('Report-M&amp;O1920'!C$18-'Report-SOF1920'!D$55&lt;=0,0,'Report-M&amp;O1920'!C$18-'Report-SOF1920'!D$55)</f>
        <v>#DIV/0!</v>
      </c>
      <c r="O646" s="2452" t="e">
        <f t="shared" si="125"/>
        <v>#DIV/0!</v>
      </c>
      <c r="P646" s="2449">
        <f>IF(A646='Data Entry - SOF'!B$2,'Data Entry - SOF'!I$64,0)</f>
        <v>0</v>
      </c>
      <c r="Q646" s="1687">
        <f t="shared" si="120"/>
        <v>13883558.3734893</v>
      </c>
      <c r="R646" s="2212" t="e">
        <f>IF('Report-M&amp;O2021'!C$18-'Report-SOF2021'!D$55&lt;=0,0,'Report-M&amp;O2021'!C$18-'Report-SOF2021'!D$55)</f>
        <v>#DIV/0!</v>
      </c>
      <c r="S646" s="2452" t="e">
        <f t="shared" si="126"/>
        <v>#DIV/0!</v>
      </c>
      <c r="T646" s="1708">
        <f>IF(A646='Data Entry - SOF'!B$2,'Data Entry - SOF'!K$64,0)</f>
        <v>0</v>
      </c>
      <c r="U646" s="1687">
        <f t="shared" si="119"/>
        <v>13883558.3734893</v>
      </c>
      <c r="V646" s="2212" t="e">
        <f>IF('Report-M&amp;O2122'!C$18-'Report-SOF2122'!D$55&lt;=0,0,'Report-M&amp;O2122'!C$18-'Report-SOF2122'!D$55)</f>
        <v>#DIV/0!</v>
      </c>
      <c r="W646" s="2452" t="e">
        <f t="shared" si="127"/>
        <v>#DIV/0!</v>
      </c>
      <c r="X646" s="1708">
        <f>IF(A646='Data Entry - SOF'!B$2,'Data Entry - SOF'!M$64,0)</f>
        <v>0</v>
      </c>
      <c r="Y646" s="1371" t="e">
        <f t="shared" si="128"/>
        <v>#DIV/0!</v>
      </c>
      <c r="Z646" s="2212" t="e">
        <f>IF('Report-M&amp;O2223'!C$18-'Report-SOF2223'!D$55&lt;=0,0,'Report-M&amp;O2223'!C$18-'Report-SOF2223'!D$55)</f>
        <v>#DIV/0!</v>
      </c>
      <c r="AA646" s="1708">
        <f>IF(A646='Data Entry - SOF'!B$2,'Data Entry - SOF'!O$64,0)</f>
        <v>0</v>
      </c>
    </row>
    <row r="647" spans="1:27" ht="15.75">
      <c r="A647" s="1076" t="s">
        <v>2438</v>
      </c>
      <c r="B647">
        <v>3433671</v>
      </c>
      <c r="C647" s="2452" t="e">
        <f>#REF!+#REF!</f>
        <v>#REF!</v>
      </c>
      <c r="D647" s="2449">
        <f>IF(A647='Data Entry - SOF'!B$2,'Data Entry - SOF'!C$64,0)</f>
        <v>0</v>
      </c>
      <c r="E647" s="2450">
        <f t="shared" si="129"/>
        <v>3433671</v>
      </c>
      <c r="F647" s="2212" t="e">
        <f>IF('Report-M&amp;O1718'!C$18-'Report-SOF1718'!D$55&lt;=0,0,'Report-M&amp;O1718'!C$18-'Report-SOF1718'!D$55)</f>
        <v>#DIV/0!</v>
      </c>
      <c r="G647" s="2452" t="e">
        <f t="shared" si="121"/>
        <v>#DIV/0!</v>
      </c>
      <c r="H647" s="2449">
        <f>IF(A647='Data Entry - SOF'!B$2,'Data Entry - SOF'!E$64,0)</f>
        <v>0</v>
      </c>
      <c r="I647" s="1687">
        <f t="shared" si="122"/>
        <v>3433671</v>
      </c>
      <c r="J647" s="2212" t="e">
        <f>IF('Report-M&amp;O1819'!C$18-'Report-SOF1819'!D$55&lt;=0,0,'Report-M&amp;O1819'!C$18-'Report-SOF1819'!D$55)</f>
        <v>#DIV/0!</v>
      </c>
      <c r="K647" s="2452" t="e">
        <f t="shared" si="123"/>
        <v>#DIV/0!</v>
      </c>
      <c r="L647" s="2449">
        <f>IF(A647='Data Entry - SOF'!B$2,'Data Entry - SOF'!G$64,0)</f>
        <v>0</v>
      </c>
      <c r="M647" s="1371">
        <f t="shared" si="124"/>
        <v>3433671</v>
      </c>
      <c r="N647" s="2212" t="e">
        <f>IF('Report-M&amp;O1920'!C$18-'Report-SOF1920'!D$55&lt;=0,0,'Report-M&amp;O1920'!C$18-'Report-SOF1920'!D$55)</f>
        <v>#DIV/0!</v>
      </c>
      <c r="O647" s="2452" t="e">
        <f t="shared" si="125"/>
        <v>#DIV/0!</v>
      </c>
      <c r="P647" s="2449">
        <f>IF(A647='Data Entry - SOF'!B$2,'Data Entry - SOF'!I$64,0)</f>
        <v>0</v>
      </c>
      <c r="Q647" s="1687">
        <f t="shared" si="120"/>
        <v>3433671</v>
      </c>
      <c r="R647" s="2212" t="e">
        <f>IF('Report-M&amp;O2021'!C$18-'Report-SOF2021'!D$55&lt;=0,0,'Report-M&amp;O2021'!C$18-'Report-SOF2021'!D$55)</f>
        <v>#DIV/0!</v>
      </c>
      <c r="S647" s="2452" t="e">
        <f t="shared" si="126"/>
        <v>#DIV/0!</v>
      </c>
      <c r="T647" s="1708">
        <f>IF(A647='Data Entry - SOF'!B$2,'Data Entry - SOF'!K$64,0)</f>
        <v>0</v>
      </c>
      <c r="U647" s="1687">
        <f t="shared" si="119"/>
        <v>3433671</v>
      </c>
      <c r="V647" s="2212" t="e">
        <f>IF('Report-M&amp;O2122'!C$18-'Report-SOF2122'!D$55&lt;=0,0,'Report-M&amp;O2122'!C$18-'Report-SOF2122'!D$55)</f>
        <v>#DIV/0!</v>
      </c>
      <c r="W647" s="2452" t="e">
        <f t="shared" si="127"/>
        <v>#DIV/0!</v>
      </c>
      <c r="X647" s="1708">
        <f>IF(A647='Data Entry - SOF'!B$2,'Data Entry - SOF'!M$64,0)</f>
        <v>0</v>
      </c>
      <c r="Y647" s="1371" t="e">
        <f t="shared" si="128"/>
        <v>#DIV/0!</v>
      </c>
      <c r="Z647" s="2212" t="e">
        <f>IF('Report-M&amp;O2223'!C$18-'Report-SOF2223'!D$55&lt;=0,0,'Report-M&amp;O2223'!C$18-'Report-SOF2223'!D$55)</f>
        <v>#DIV/0!</v>
      </c>
      <c r="AA647" s="1708">
        <f>IF(A647='Data Entry - SOF'!B$2,'Data Entry - SOF'!O$64,0)</f>
        <v>0</v>
      </c>
    </row>
    <row r="648" spans="1:27" ht="15.75">
      <c r="A648" s="1076" t="s">
        <v>2439</v>
      </c>
      <c r="B648">
        <v>15774634</v>
      </c>
      <c r="C648" s="2452" t="e">
        <f>#REF!+#REF!</f>
        <v>#REF!</v>
      </c>
      <c r="D648" s="2449">
        <f>IF(A648='Data Entry - SOF'!B$2,'Data Entry - SOF'!C$64,0)</f>
        <v>0</v>
      </c>
      <c r="E648" s="2450">
        <f t="shared" si="129"/>
        <v>15774634</v>
      </c>
      <c r="F648" s="2212" t="e">
        <f>IF('Report-M&amp;O1718'!C$18-'Report-SOF1718'!D$55&lt;=0,0,'Report-M&amp;O1718'!C$18-'Report-SOF1718'!D$55)</f>
        <v>#DIV/0!</v>
      </c>
      <c r="G648" s="2452" t="e">
        <f t="shared" si="121"/>
        <v>#DIV/0!</v>
      </c>
      <c r="H648" s="2449">
        <f>IF(A648='Data Entry - SOF'!B$2,'Data Entry - SOF'!E$64,0)</f>
        <v>0</v>
      </c>
      <c r="I648" s="1687">
        <f t="shared" si="122"/>
        <v>15774634</v>
      </c>
      <c r="J648" s="2212" t="e">
        <f>IF('Report-M&amp;O1819'!C$18-'Report-SOF1819'!D$55&lt;=0,0,'Report-M&amp;O1819'!C$18-'Report-SOF1819'!D$55)</f>
        <v>#DIV/0!</v>
      </c>
      <c r="K648" s="2452" t="e">
        <f t="shared" si="123"/>
        <v>#DIV/0!</v>
      </c>
      <c r="L648" s="2449">
        <f>IF(A648='Data Entry - SOF'!B$2,'Data Entry - SOF'!G$64,0)</f>
        <v>0</v>
      </c>
      <c r="M648" s="1371">
        <f t="shared" si="124"/>
        <v>15774634</v>
      </c>
      <c r="N648" s="2212" t="e">
        <f>IF('Report-M&amp;O1920'!C$18-'Report-SOF1920'!D$55&lt;=0,0,'Report-M&amp;O1920'!C$18-'Report-SOF1920'!D$55)</f>
        <v>#DIV/0!</v>
      </c>
      <c r="O648" s="2452" t="e">
        <f t="shared" si="125"/>
        <v>#DIV/0!</v>
      </c>
      <c r="P648" s="2449">
        <f>IF(A648='Data Entry - SOF'!B$2,'Data Entry - SOF'!I$64,0)</f>
        <v>0</v>
      </c>
      <c r="Q648" s="1687">
        <f t="shared" si="120"/>
        <v>15774634</v>
      </c>
      <c r="R648" s="2212" t="e">
        <f>IF('Report-M&amp;O2021'!C$18-'Report-SOF2021'!D$55&lt;=0,0,'Report-M&amp;O2021'!C$18-'Report-SOF2021'!D$55)</f>
        <v>#DIV/0!</v>
      </c>
      <c r="S648" s="2452" t="e">
        <f t="shared" si="126"/>
        <v>#DIV/0!</v>
      </c>
      <c r="T648" s="1708">
        <f>IF(A648='Data Entry - SOF'!B$2,'Data Entry - SOF'!K$64,0)</f>
        <v>0</v>
      </c>
      <c r="U648" s="1687">
        <f t="shared" si="119"/>
        <v>15774634</v>
      </c>
      <c r="V648" s="2212" t="e">
        <f>IF('Report-M&amp;O2122'!C$18-'Report-SOF2122'!D$55&lt;=0,0,'Report-M&amp;O2122'!C$18-'Report-SOF2122'!D$55)</f>
        <v>#DIV/0!</v>
      </c>
      <c r="W648" s="2452" t="e">
        <f t="shared" si="127"/>
        <v>#DIV/0!</v>
      </c>
      <c r="X648" s="1708">
        <f>IF(A648='Data Entry - SOF'!B$2,'Data Entry - SOF'!M$64,0)</f>
        <v>0</v>
      </c>
      <c r="Y648" s="1371" t="e">
        <f t="shared" si="128"/>
        <v>#DIV/0!</v>
      </c>
      <c r="Z648" s="2212" t="e">
        <f>IF('Report-M&amp;O2223'!C$18-'Report-SOF2223'!D$55&lt;=0,0,'Report-M&amp;O2223'!C$18-'Report-SOF2223'!D$55)</f>
        <v>#DIV/0!</v>
      </c>
      <c r="AA648" s="1708">
        <f>IF(A648='Data Entry - SOF'!B$2,'Data Entry - SOF'!O$64,0)</f>
        <v>0</v>
      </c>
    </row>
    <row r="649" spans="1:27" ht="15.75">
      <c r="A649" s="1076" t="s">
        <v>2440</v>
      </c>
      <c r="B649">
        <v>5456590</v>
      </c>
      <c r="C649" s="2452" t="e">
        <f>#REF!+#REF!</f>
        <v>#REF!</v>
      </c>
      <c r="D649" s="2449">
        <f>IF(A649='Data Entry - SOF'!B$2,'Data Entry - SOF'!C$64,0)</f>
        <v>0</v>
      </c>
      <c r="E649" s="2450">
        <f t="shared" si="129"/>
        <v>5456590</v>
      </c>
      <c r="F649" s="2212" t="e">
        <f>IF('Report-M&amp;O1718'!C$18-'Report-SOF1718'!D$55&lt;=0,0,'Report-M&amp;O1718'!C$18-'Report-SOF1718'!D$55)</f>
        <v>#DIV/0!</v>
      </c>
      <c r="G649" s="2452" t="e">
        <f t="shared" si="121"/>
        <v>#DIV/0!</v>
      </c>
      <c r="H649" s="2449">
        <f>IF(A649='Data Entry - SOF'!B$2,'Data Entry - SOF'!E$64,0)</f>
        <v>0</v>
      </c>
      <c r="I649" s="1687">
        <f t="shared" si="122"/>
        <v>5456590</v>
      </c>
      <c r="J649" s="2212" t="e">
        <f>IF('Report-M&amp;O1819'!C$18-'Report-SOF1819'!D$55&lt;=0,0,'Report-M&amp;O1819'!C$18-'Report-SOF1819'!D$55)</f>
        <v>#DIV/0!</v>
      </c>
      <c r="K649" s="2452" t="e">
        <f t="shared" si="123"/>
        <v>#DIV/0!</v>
      </c>
      <c r="L649" s="2449">
        <f>IF(A649='Data Entry - SOF'!B$2,'Data Entry - SOF'!G$64,0)</f>
        <v>0</v>
      </c>
      <c r="M649" s="1371">
        <f t="shared" si="124"/>
        <v>5456590</v>
      </c>
      <c r="N649" s="2212" t="e">
        <f>IF('Report-M&amp;O1920'!C$18-'Report-SOF1920'!D$55&lt;=0,0,'Report-M&amp;O1920'!C$18-'Report-SOF1920'!D$55)</f>
        <v>#DIV/0!</v>
      </c>
      <c r="O649" s="2452" t="e">
        <f t="shared" si="125"/>
        <v>#DIV/0!</v>
      </c>
      <c r="P649" s="2449">
        <f>IF(A649='Data Entry - SOF'!B$2,'Data Entry - SOF'!I$64,0)</f>
        <v>0</v>
      </c>
      <c r="Q649" s="1687">
        <f t="shared" si="120"/>
        <v>5456590</v>
      </c>
      <c r="R649" s="2212" t="e">
        <f>IF('Report-M&amp;O2021'!C$18-'Report-SOF2021'!D$55&lt;=0,0,'Report-M&amp;O2021'!C$18-'Report-SOF2021'!D$55)</f>
        <v>#DIV/0!</v>
      </c>
      <c r="S649" s="2452" t="e">
        <f t="shared" si="126"/>
        <v>#DIV/0!</v>
      </c>
      <c r="T649" s="1708">
        <f>IF(A649='Data Entry - SOF'!B$2,'Data Entry - SOF'!K$64,0)</f>
        <v>0</v>
      </c>
      <c r="U649" s="1687">
        <f t="shared" si="119"/>
        <v>5456590</v>
      </c>
      <c r="V649" s="2212" t="e">
        <f>IF('Report-M&amp;O2122'!C$18-'Report-SOF2122'!D$55&lt;=0,0,'Report-M&amp;O2122'!C$18-'Report-SOF2122'!D$55)</f>
        <v>#DIV/0!</v>
      </c>
      <c r="W649" s="2452" t="e">
        <f t="shared" si="127"/>
        <v>#DIV/0!</v>
      </c>
      <c r="X649" s="1708">
        <f>IF(A649='Data Entry - SOF'!B$2,'Data Entry - SOF'!M$64,0)</f>
        <v>0</v>
      </c>
      <c r="Y649" s="1371" t="e">
        <f t="shared" si="128"/>
        <v>#DIV/0!</v>
      </c>
      <c r="Z649" s="2212" t="e">
        <f>IF('Report-M&amp;O2223'!C$18-'Report-SOF2223'!D$55&lt;=0,0,'Report-M&amp;O2223'!C$18-'Report-SOF2223'!D$55)</f>
        <v>#DIV/0!</v>
      </c>
      <c r="AA649" s="1708">
        <f>IF(A649='Data Entry - SOF'!B$2,'Data Entry - SOF'!O$64,0)</f>
        <v>0</v>
      </c>
    </row>
    <row r="650" spans="1:27" ht="15.75">
      <c r="A650" s="1076" t="s">
        <v>2057</v>
      </c>
      <c r="B650">
        <v>9203921</v>
      </c>
      <c r="C650" s="2452" t="e">
        <f>#REF!+#REF!</f>
        <v>#REF!</v>
      </c>
      <c r="D650" s="2449">
        <f>IF(A650='Data Entry - SOF'!B$2,'Data Entry - SOF'!C$64,0)</f>
        <v>0</v>
      </c>
      <c r="E650" s="2450">
        <f t="shared" si="129"/>
        <v>9203921</v>
      </c>
      <c r="F650" s="2212" t="e">
        <f>IF('Report-M&amp;O1718'!C$18-'Report-SOF1718'!D$55&lt;=0,0,'Report-M&amp;O1718'!C$18-'Report-SOF1718'!D$55)</f>
        <v>#DIV/0!</v>
      </c>
      <c r="G650" s="2452" t="e">
        <f t="shared" si="121"/>
        <v>#DIV/0!</v>
      </c>
      <c r="H650" s="2449">
        <f>IF(A650='Data Entry - SOF'!B$2,'Data Entry - SOF'!E$64,0)</f>
        <v>0</v>
      </c>
      <c r="I650" s="1687">
        <f t="shared" si="122"/>
        <v>9203921</v>
      </c>
      <c r="J650" s="2212" t="e">
        <f>IF('Report-M&amp;O1819'!C$18-'Report-SOF1819'!D$55&lt;=0,0,'Report-M&amp;O1819'!C$18-'Report-SOF1819'!D$55)</f>
        <v>#DIV/0!</v>
      </c>
      <c r="K650" s="2452" t="e">
        <f t="shared" si="123"/>
        <v>#DIV/0!</v>
      </c>
      <c r="L650" s="2449">
        <f>IF(A650='Data Entry - SOF'!B$2,'Data Entry - SOF'!G$64,0)</f>
        <v>0</v>
      </c>
      <c r="M650" s="1371">
        <f t="shared" si="124"/>
        <v>9203921</v>
      </c>
      <c r="N650" s="2212" t="e">
        <f>IF('Report-M&amp;O1920'!C$18-'Report-SOF1920'!D$55&lt;=0,0,'Report-M&amp;O1920'!C$18-'Report-SOF1920'!D$55)</f>
        <v>#DIV/0!</v>
      </c>
      <c r="O650" s="2452" t="e">
        <f t="shared" si="125"/>
        <v>#DIV/0!</v>
      </c>
      <c r="P650" s="2449">
        <f>IF(A650='Data Entry - SOF'!B$2,'Data Entry - SOF'!I$64,0)</f>
        <v>0</v>
      </c>
      <c r="Q650" s="1687">
        <f t="shared" si="120"/>
        <v>9203921</v>
      </c>
      <c r="R650" s="2212" t="e">
        <f>IF('Report-M&amp;O2021'!C$18-'Report-SOF2021'!D$55&lt;=0,0,'Report-M&amp;O2021'!C$18-'Report-SOF2021'!D$55)</f>
        <v>#DIV/0!</v>
      </c>
      <c r="S650" s="2452" t="e">
        <f t="shared" si="126"/>
        <v>#DIV/0!</v>
      </c>
      <c r="T650" s="1708">
        <f>IF(A650='Data Entry - SOF'!B$2,'Data Entry - SOF'!K$64,0)</f>
        <v>0</v>
      </c>
      <c r="U650" s="1687">
        <f t="shared" si="119"/>
        <v>9203921</v>
      </c>
      <c r="V650" s="2212" t="e">
        <f>IF('Report-M&amp;O2122'!C$18-'Report-SOF2122'!D$55&lt;=0,0,'Report-M&amp;O2122'!C$18-'Report-SOF2122'!D$55)</f>
        <v>#DIV/0!</v>
      </c>
      <c r="W650" s="2452" t="e">
        <f t="shared" si="127"/>
        <v>#DIV/0!</v>
      </c>
      <c r="X650" s="1708">
        <f>IF(A650='Data Entry - SOF'!B$2,'Data Entry - SOF'!M$64,0)</f>
        <v>0</v>
      </c>
      <c r="Y650" s="1371" t="e">
        <f t="shared" si="128"/>
        <v>#DIV/0!</v>
      </c>
      <c r="Z650" s="2212" t="e">
        <f>IF('Report-M&amp;O2223'!C$18-'Report-SOF2223'!D$55&lt;=0,0,'Report-M&amp;O2223'!C$18-'Report-SOF2223'!D$55)</f>
        <v>#DIV/0!</v>
      </c>
      <c r="AA650" s="1708">
        <f>IF(A650='Data Entry - SOF'!B$2,'Data Entry - SOF'!O$64,0)</f>
        <v>0</v>
      </c>
    </row>
    <row r="651" spans="1:27" ht="15.75">
      <c r="A651" s="1076" t="s">
        <v>992</v>
      </c>
      <c r="B651">
        <v>3998488</v>
      </c>
      <c r="C651" s="2452" t="e">
        <f>#REF!+#REF!</f>
        <v>#REF!</v>
      </c>
      <c r="D651" s="2449">
        <f>IF(A651='Data Entry - SOF'!B$2,'Data Entry - SOF'!C$64,0)</f>
        <v>0</v>
      </c>
      <c r="E651" s="2450">
        <f t="shared" si="129"/>
        <v>3998488</v>
      </c>
      <c r="F651" s="2212" t="e">
        <f>IF('Report-M&amp;O1718'!C$18-'Report-SOF1718'!D$55&lt;=0,0,'Report-M&amp;O1718'!C$18-'Report-SOF1718'!D$55)</f>
        <v>#DIV/0!</v>
      </c>
      <c r="G651" s="2452" t="e">
        <f t="shared" si="121"/>
        <v>#DIV/0!</v>
      </c>
      <c r="H651" s="2449">
        <f>IF(A651='Data Entry - SOF'!B$2,'Data Entry - SOF'!E$64,0)</f>
        <v>0</v>
      </c>
      <c r="I651" s="1687">
        <f t="shared" si="122"/>
        <v>3998488</v>
      </c>
      <c r="J651" s="2212" t="e">
        <f>IF('Report-M&amp;O1819'!C$18-'Report-SOF1819'!D$55&lt;=0,0,'Report-M&amp;O1819'!C$18-'Report-SOF1819'!D$55)</f>
        <v>#DIV/0!</v>
      </c>
      <c r="K651" s="2452" t="e">
        <f t="shared" si="123"/>
        <v>#DIV/0!</v>
      </c>
      <c r="L651" s="2449">
        <f>IF(A651='Data Entry - SOF'!B$2,'Data Entry - SOF'!G$64,0)</f>
        <v>0</v>
      </c>
      <c r="M651" s="1371">
        <f t="shared" si="124"/>
        <v>3998488</v>
      </c>
      <c r="N651" s="2212" t="e">
        <f>IF('Report-M&amp;O1920'!C$18-'Report-SOF1920'!D$55&lt;=0,0,'Report-M&amp;O1920'!C$18-'Report-SOF1920'!D$55)</f>
        <v>#DIV/0!</v>
      </c>
      <c r="O651" s="2452" t="e">
        <f t="shared" si="125"/>
        <v>#DIV/0!</v>
      </c>
      <c r="P651" s="2449">
        <f>IF(A651='Data Entry - SOF'!B$2,'Data Entry - SOF'!I$64,0)</f>
        <v>0</v>
      </c>
      <c r="Q651" s="1687">
        <f t="shared" si="120"/>
        <v>3998488</v>
      </c>
      <c r="R651" s="2212" t="e">
        <f>IF('Report-M&amp;O2021'!C$18-'Report-SOF2021'!D$55&lt;=0,0,'Report-M&amp;O2021'!C$18-'Report-SOF2021'!D$55)</f>
        <v>#DIV/0!</v>
      </c>
      <c r="S651" s="2452" t="e">
        <f t="shared" si="126"/>
        <v>#DIV/0!</v>
      </c>
      <c r="T651" s="1708">
        <f>IF(A651='Data Entry - SOF'!B$2,'Data Entry - SOF'!K$64,0)</f>
        <v>0</v>
      </c>
      <c r="U651" s="1687">
        <f t="shared" si="119"/>
        <v>3998488</v>
      </c>
      <c r="V651" s="2212" t="e">
        <f>IF('Report-M&amp;O2122'!C$18-'Report-SOF2122'!D$55&lt;=0,0,'Report-M&amp;O2122'!C$18-'Report-SOF2122'!D$55)</f>
        <v>#DIV/0!</v>
      </c>
      <c r="W651" s="2452" t="e">
        <f t="shared" si="127"/>
        <v>#DIV/0!</v>
      </c>
      <c r="X651" s="1708">
        <f>IF(A651='Data Entry - SOF'!B$2,'Data Entry - SOF'!M$64,0)</f>
        <v>0</v>
      </c>
      <c r="Y651" s="1371" t="e">
        <f t="shared" si="128"/>
        <v>#DIV/0!</v>
      </c>
      <c r="Z651" s="2212" t="e">
        <f>IF('Report-M&amp;O2223'!C$18-'Report-SOF2223'!D$55&lt;=0,0,'Report-M&amp;O2223'!C$18-'Report-SOF2223'!D$55)</f>
        <v>#DIV/0!</v>
      </c>
      <c r="AA651" s="1708">
        <f>IF(A651='Data Entry - SOF'!B$2,'Data Entry - SOF'!O$64,0)</f>
        <v>0</v>
      </c>
    </row>
    <row r="652" spans="1:27" ht="15.75">
      <c r="A652" s="1076" t="s">
        <v>1583</v>
      </c>
      <c r="B652">
        <v>402977</v>
      </c>
      <c r="C652" s="2452" t="e">
        <f>#REF!+#REF!</f>
        <v>#REF!</v>
      </c>
      <c r="D652" s="2449">
        <f>IF(A652='Data Entry - SOF'!B$2,'Data Entry - SOF'!C$64,0)</f>
        <v>0</v>
      </c>
      <c r="E652" s="2450">
        <f t="shared" si="129"/>
        <v>402977</v>
      </c>
      <c r="F652" s="2212" t="e">
        <f>IF('Report-M&amp;O1718'!C$18-'Report-SOF1718'!D$55&lt;=0,0,'Report-M&amp;O1718'!C$18-'Report-SOF1718'!D$55)</f>
        <v>#DIV/0!</v>
      </c>
      <c r="G652" s="2452" t="e">
        <f t="shared" si="121"/>
        <v>#DIV/0!</v>
      </c>
      <c r="H652" s="2449">
        <f>IF(A652='Data Entry - SOF'!B$2,'Data Entry - SOF'!E$64,0)</f>
        <v>0</v>
      </c>
      <c r="I652" s="1687">
        <f t="shared" si="122"/>
        <v>402977</v>
      </c>
      <c r="J652" s="2212" t="e">
        <f>IF('Report-M&amp;O1819'!C$18-'Report-SOF1819'!D$55&lt;=0,0,'Report-M&amp;O1819'!C$18-'Report-SOF1819'!D$55)</f>
        <v>#DIV/0!</v>
      </c>
      <c r="K652" s="2452" t="e">
        <f t="shared" si="123"/>
        <v>#DIV/0!</v>
      </c>
      <c r="L652" s="2449">
        <f>IF(A652='Data Entry - SOF'!B$2,'Data Entry - SOF'!G$64,0)</f>
        <v>0</v>
      </c>
      <c r="M652" s="1371">
        <f t="shared" si="124"/>
        <v>402977</v>
      </c>
      <c r="N652" s="2212" t="e">
        <f>IF('Report-M&amp;O1920'!C$18-'Report-SOF1920'!D$55&lt;=0,0,'Report-M&amp;O1920'!C$18-'Report-SOF1920'!D$55)</f>
        <v>#DIV/0!</v>
      </c>
      <c r="O652" s="2452" t="e">
        <f t="shared" si="125"/>
        <v>#DIV/0!</v>
      </c>
      <c r="P652" s="2449">
        <f>IF(A652='Data Entry - SOF'!B$2,'Data Entry - SOF'!I$64,0)</f>
        <v>0</v>
      </c>
      <c r="Q652" s="1687">
        <f t="shared" si="120"/>
        <v>402977</v>
      </c>
      <c r="R652" s="2212" t="e">
        <f>IF('Report-M&amp;O2021'!C$18-'Report-SOF2021'!D$55&lt;=0,0,'Report-M&amp;O2021'!C$18-'Report-SOF2021'!D$55)</f>
        <v>#DIV/0!</v>
      </c>
      <c r="S652" s="2452" t="e">
        <f t="shared" si="126"/>
        <v>#DIV/0!</v>
      </c>
      <c r="T652" s="1708">
        <f>IF(A652='Data Entry - SOF'!B$2,'Data Entry - SOF'!K$64,0)</f>
        <v>0</v>
      </c>
      <c r="U652" s="1687">
        <f t="shared" si="119"/>
        <v>402977</v>
      </c>
      <c r="V652" s="2212" t="e">
        <f>IF('Report-M&amp;O2122'!C$18-'Report-SOF2122'!D$55&lt;=0,0,'Report-M&amp;O2122'!C$18-'Report-SOF2122'!D$55)</f>
        <v>#DIV/0!</v>
      </c>
      <c r="W652" s="2452" t="e">
        <f t="shared" si="127"/>
        <v>#DIV/0!</v>
      </c>
      <c r="X652" s="1708">
        <f>IF(A652='Data Entry - SOF'!B$2,'Data Entry - SOF'!M$64,0)</f>
        <v>0</v>
      </c>
      <c r="Y652" s="1371" t="e">
        <f t="shared" si="128"/>
        <v>#DIV/0!</v>
      </c>
      <c r="Z652" s="2212" t="e">
        <f>IF('Report-M&amp;O2223'!C$18-'Report-SOF2223'!D$55&lt;=0,0,'Report-M&amp;O2223'!C$18-'Report-SOF2223'!D$55)</f>
        <v>#DIV/0!</v>
      </c>
      <c r="AA652" s="1708">
        <f>IF(A652='Data Entry - SOF'!B$2,'Data Entry - SOF'!O$64,0)</f>
        <v>0</v>
      </c>
    </row>
    <row r="653" spans="1:27" ht="15.75">
      <c r="A653" s="1076" t="s">
        <v>2265</v>
      </c>
      <c r="B653">
        <v>155028</v>
      </c>
      <c r="C653" s="2452" t="e">
        <f>#REF!+#REF!</f>
        <v>#REF!</v>
      </c>
      <c r="D653" s="2449">
        <f>IF(A653='Data Entry - SOF'!B$2,'Data Entry - SOF'!C$64,0)</f>
        <v>0</v>
      </c>
      <c r="E653" s="2450">
        <f t="shared" si="129"/>
        <v>155028</v>
      </c>
      <c r="F653" s="2212" t="e">
        <f>IF('Report-M&amp;O1718'!C$18-'Report-SOF1718'!D$55&lt;=0,0,'Report-M&amp;O1718'!C$18-'Report-SOF1718'!D$55)</f>
        <v>#DIV/0!</v>
      </c>
      <c r="G653" s="2452" t="e">
        <f t="shared" si="121"/>
        <v>#DIV/0!</v>
      </c>
      <c r="H653" s="2449">
        <f>IF(A653='Data Entry - SOF'!B$2,'Data Entry - SOF'!E$64,0)</f>
        <v>0</v>
      </c>
      <c r="I653" s="1687">
        <f t="shared" si="122"/>
        <v>155028</v>
      </c>
      <c r="J653" s="2212" t="e">
        <f>IF('Report-M&amp;O1819'!C$18-'Report-SOF1819'!D$55&lt;=0,0,'Report-M&amp;O1819'!C$18-'Report-SOF1819'!D$55)</f>
        <v>#DIV/0!</v>
      </c>
      <c r="K653" s="2452" t="e">
        <f t="shared" si="123"/>
        <v>#DIV/0!</v>
      </c>
      <c r="L653" s="2449">
        <f>IF(A653='Data Entry - SOF'!B$2,'Data Entry - SOF'!G$64,0)</f>
        <v>0</v>
      </c>
      <c r="M653" s="1371">
        <f t="shared" si="124"/>
        <v>155028</v>
      </c>
      <c r="N653" s="2212" t="e">
        <f>IF('Report-M&amp;O1920'!C$18-'Report-SOF1920'!D$55&lt;=0,0,'Report-M&amp;O1920'!C$18-'Report-SOF1920'!D$55)</f>
        <v>#DIV/0!</v>
      </c>
      <c r="O653" s="2452" t="e">
        <f t="shared" si="125"/>
        <v>#DIV/0!</v>
      </c>
      <c r="P653" s="2449">
        <f>IF(A653='Data Entry - SOF'!B$2,'Data Entry - SOF'!I$64,0)</f>
        <v>0</v>
      </c>
      <c r="Q653" s="1687">
        <f t="shared" si="120"/>
        <v>155028</v>
      </c>
      <c r="R653" s="2212" t="e">
        <f>IF('Report-M&amp;O2021'!C$18-'Report-SOF2021'!D$55&lt;=0,0,'Report-M&amp;O2021'!C$18-'Report-SOF2021'!D$55)</f>
        <v>#DIV/0!</v>
      </c>
      <c r="S653" s="2452" t="e">
        <f t="shared" si="126"/>
        <v>#DIV/0!</v>
      </c>
      <c r="T653" s="1708">
        <f>IF(A653='Data Entry - SOF'!B$2,'Data Entry - SOF'!K$64,0)</f>
        <v>0</v>
      </c>
      <c r="U653" s="1687">
        <f t="shared" ref="U653:U699" si="130">Q653-T653</f>
        <v>155028</v>
      </c>
      <c r="V653" s="2212" t="e">
        <f>IF('Report-M&amp;O2122'!C$18-'Report-SOF2122'!D$55&lt;=0,0,'Report-M&amp;O2122'!C$18-'Report-SOF2122'!D$55)</f>
        <v>#DIV/0!</v>
      </c>
      <c r="W653" s="2452" t="e">
        <f t="shared" si="127"/>
        <v>#DIV/0!</v>
      </c>
      <c r="X653" s="1708">
        <f>IF(A653='Data Entry - SOF'!B$2,'Data Entry - SOF'!M$64,0)</f>
        <v>0</v>
      </c>
      <c r="Y653" s="1371" t="e">
        <f t="shared" si="128"/>
        <v>#DIV/0!</v>
      </c>
      <c r="Z653" s="2212" t="e">
        <f>IF('Report-M&amp;O2223'!C$18-'Report-SOF2223'!D$55&lt;=0,0,'Report-M&amp;O2223'!C$18-'Report-SOF2223'!D$55)</f>
        <v>#DIV/0!</v>
      </c>
      <c r="AA653" s="1708">
        <f>IF(A653='Data Entry - SOF'!B$2,'Data Entry - SOF'!O$64,0)</f>
        <v>0</v>
      </c>
    </row>
    <row r="654" spans="1:27" ht="15.75">
      <c r="A654" s="1076" t="s">
        <v>1094</v>
      </c>
      <c r="B654">
        <v>843400</v>
      </c>
      <c r="C654" s="2452" t="e">
        <f>#REF!+#REF!</f>
        <v>#REF!</v>
      </c>
      <c r="D654" s="2449">
        <f>IF(A654='Data Entry - SOF'!B$2,'Data Entry - SOF'!C$64,0)</f>
        <v>0</v>
      </c>
      <c r="E654" s="2450">
        <f t="shared" si="129"/>
        <v>843400</v>
      </c>
      <c r="F654" s="2212" t="e">
        <f>IF('Report-M&amp;O1718'!C$18-'Report-SOF1718'!D$55&lt;=0,0,'Report-M&amp;O1718'!C$18-'Report-SOF1718'!D$55)</f>
        <v>#DIV/0!</v>
      </c>
      <c r="G654" s="2452" t="e">
        <f t="shared" si="121"/>
        <v>#DIV/0!</v>
      </c>
      <c r="H654" s="2449">
        <f>IF(A654='Data Entry - SOF'!B$2,'Data Entry - SOF'!E$64,0)</f>
        <v>0</v>
      </c>
      <c r="I654" s="1687">
        <f t="shared" si="122"/>
        <v>843400</v>
      </c>
      <c r="J654" s="2212" t="e">
        <f>IF('Report-M&amp;O1819'!C$18-'Report-SOF1819'!D$55&lt;=0,0,'Report-M&amp;O1819'!C$18-'Report-SOF1819'!D$55)</f>
        <v>#DIV/0!</v>
      </c>
      <c r="K654" s="2452" t="e">
        <f t="shared" si="123"/>
        <v>#DIV/0!</v>
      </c>
      <c r="L654" s="2449">
        <f>IF(A654='Data Entry - SOF'!B$2,'Data Entry - SOF'!G$64,0)</f>
        <v>0</v>
      </c>
      <c r="M654" s="1371">
        <f t="shared" si="124"/>
        <v>843400</v>
      </c>
      <c r="N654" s="2212" t="e">
        <f>IF('Report-M&amp;O1920'!C$18-'Report-SOF1920'!D$55&lt;=0,0,'Report-M&amp;O1920'!C$18-'Report-SOF1920'!D$55)</f>
        <v>#DIV/0!</v>
      </c>
      <c r="O654" s="2452" t="e">
        <f t="shared" si="125"/>
        <v>#DIV/0!</v>
      </c>
      <c r="P654" s="2449">
        <f>IF(A654='Data Entry - SOF'!B$2,'Data Entry - SOF'!I$64,0)</f>
        <v>0</v>
      </c>
      <c r="Q654" s="1687">
        <f t="shared" si="120"/>
        <v>843400</v>
      </c>
      <c r="R654" s="2212" t="e">
        <f>IF('Report-M&amp;O2021'!C$18-'Report-SOF2021'!D$55&lt;=0,0,'Report-M&amp;O2021'!C$18-'Report-SOF2021'!D$55)</f>
        <v>#DIV/0!</v>
      </c>
      <c r="S654" s="2452" t="e">
        <f t="shared" si="126"/>
        <v>#DIV/0!</v>
      </c>
      <c r="T654" s="1708">
        <f>IF(A654='Data Entry - SOF'!B$2,'Data Entry - SOF'!K$64,0)</f>
        <v>0</v>
      </c>
      <c r="U654" s="1687">
        <f t="shared" si="130"/>
        <v>843400</v>
      </c>
      <c r="V654" s="2212" t="e">
        <f>IF('Report-M&amp;O2122'!C$18-'Report-SOF2122'!D$55&lt;=0,0,'Report-M&amp;O2122'!C$18-'Report-SOF2122'!D$55)</f>
        <v>#DIV/0!</v>
      </c>
      <c r="W654" s="2452" t="e">
        <f t="shared" si="127"/>
        <v>#DIV/0!</v>
      </c>
      <c r="X654" s="1708">
        <f>IF(A654='Data Entry - SOF'!B$2,'Data Entry - SOF'!M$64,0)</f>
        <v>0</v>
      </c>
      <c r="Y654" s="1371" t="e">
        <f t="shared" si="128"/>
        <v>#DIV/0!</v>
      </c>
      <c r="Z654" s="2212" t="e">
        <f>IF('Report-M&amp;O2223'!C$18-'Report-SOF2223'!D$55&lt;=0,0,'Report-M&amp;O2223'!C$18-'Report-SOF2223'!D$55)</f>
        <v>#DIV/0!</v>
      </c>
      <c r="AA654" s="1708">
        <f>IF(A654='Data Entry - SOF'!B$2,'Data Entry - SOF'!O$64,0)</f>
        <v>0</v>
      </c>
    </row>
    <row r="655" spans="1:27" ht="15.75">
      <c r="A655" s="1076" t="s">
        <v>1012</v>
      </c>
      <c r="B655">
        <v>36615597</v>
      </c>
      <c r="C655" s="2452" t="e">
        <f>#REF!+#REF!</f>
        <v>#REF!</v>
      </c>
      <c r="D655" s="2449">
        <f>IF(A655='Data Entry - SOF'!B$2,'Data Entry - SOF'!C$64,0)</f>
        <v>0</v>
      </c>
      <c r="E655" s="2450">
        <f t="shared" si="129"/>
        <v>36615597</v>
      </c>
      <c r="F655" s="2212" t="e">
        <f>IF('Report-M&amp;O1718'!C$18-'Report-SOF1718'!D$55&lt;=0,0,'Report-M&amp;O1718'!C$18-'Report-SOF1718'!D$55)</f>
        <v>#DIV/0!</v>
      </c>
      <c r="G655" s="2452" t="e">
        <f t="shared" si="121"/>
        <v>#DIV/0!</v>
      </c>
      <c r="H655" s="2449">
        <f>IF(A655='Data Entry - SOF'!B$2,'Data Entry - SOF'!E$64,0)</f>
        <v>0</v>
      </c>
      <c r="I655" s="1687">
        <f t="shared" si="122"/>
        <v>36615597</v>
      </c>
      <c r="J655" s="2212" t="e">
        <f>IF('Report-M&amp;O1819'!C$18-'Report-SOF1819'!D$55&lt;=0,0,'Report-M&amp;O1819'!C$18-'Report-SOF1819'!D$55)</f>
        <v>#DIV/0!</v>
      </c>
      <c r="K655" s="2452" t="e">
        <f t="shared" si="123"/>
        <v>#DIV/0!</v>
      </c>
      <c r="L655" s="2449">
        <f>IF(A655='Data Entry - SOF'!B$2,'Data Entry - SOF'!G$64,0)</f>
        <v>0</v>
      </c>
      <c r="M655" s="1371">
        <f t="shared" si="124"/>
        <v>36615597</v>
      </c>
      <c r="N655" s="2212" t="e">
        <f>IF('Report-M&amp;O1920'!C$18-'Report-SOF1920'!D$55&lt;=0,0,'Report-M&amp;O1920'!C$18-'Report-SOF1920'!D$55)</f>
        <v>#DIV/0!</v>
      </c>
      <c r="O655" s="2452" t="e">
        <f t="shared" si="125"/>
        <v>#DIV/0!</v>
      </c>
      <c r="P655" s="2449">
        <f>IF(A655='Data Entry - SOF'!B$2,'Data Entry - SOF'!I$64,0)</f>
        <v>0</v>
      </c>
      <c r="Q655" s="1687">
        <f t="shared" si="120"/>
        <v>36615597</v>
      </c>
      <c r="R655" s="2212" t="e">
        <f>IF('Report-M&amp;O2021'!C$18-'Report-SOF2021'!D$55&lt;=0,0,'Report-M&amp;O2021'!C$18-'Report-SOF2021'!D$55)</f>
        <v>#DIV/0!</v>
      </c>
      <c r="S655" s="2452" t="e">
        <f t="shared" si="126"/>
        <v>#DIV/0!</v>
      </c>
      <c r="T655" s="1708">
        <f>IF(A655='Data Entry - SOF'!B$2,'Data Entry - SOF'!K$64,0)</f>
        <v>0</v>
      </c>
      <c r="U655" s="1687">
        <f t="shared" si="130"/>
        <v>36615597</v>
      </c>
      <c r="V655" s="2212" t="e">
        <f>IF('Report-M&amp;O2122'!C$18-'Report-SOF2122'!D$55&lt;=0,0,'Report-M&amp;O2122'!C$18-'Report-SOF2122'!D$55)</f>
        <v>#DIV/0!</v>
      </c>
      <c r="W655" s="2452" t="e">
        <f t="shared" si="127"/>
        <v>#DIV/0!</v>
      </c>
      <c r="X655" s="1708">
        <f>IF(A655='Data Entry - SOF'!B$2,'Data Entry - SOF'!M$64,0)</f>
        <v>0</v>
      </c>
      <c r="Y655" s="1371" t="e">
        <f t="shared" si="128"/>
        <v>#DIV/0!</v>
      </c>
      <c r="Z655" s="2212" t="e">
        <f>IF('Report-M&amp;O2223'!C$18-'Report-SOF2223'!D$55&lt;=0,0,'Report-M&amp;O2223'!C$18-'Report-SOF2223'!D$55)</f>
        <v>#DIV/0!</v>
      </c>
      <c r="AA655" s="1708">
        <f>IF(A655='Data Entry - SOF'!B$2,'Data Entry - SOF'!O$64,0)</f>
        <v>0</v>
      </c>
    </row>
    <row r="656" spans="1:27" ht="15.75">
      <c r="A656" s="1076" t="s">
        <v>800</v>
      </c>
      <c r="B656">
        <v>3718658</v>
      </c>
      <c r="C656" s="2452" t="e">
        <f>#REF!+#REF!</f>
        <v>#REF!</v>
      </c>
      <c r="D656" s="2449">
        <f>IF(A656='Data Entry - SOF'!B$2,'Data Entry - SOF'!C$64,0)</f>
        <v>0</v>
      </c>
      <c r="E656" s="2450">
        <f t="shared" si="129"/>
        <v>3718658</v>
      </c>
      <c r="F656" s="2212" t="e">
        <f>IF('Report-M&amp;O1718'!C$18-'Report-SOF1718'!D$55&lt;=0,0,'Report-M&amp;O1718'!C$18-'Report-SOF1718'!D$55)</f>
        <v>#DIV/0!</v>
      </c>
      <c r="G656" s="2452" t="e">
        <f t="shared" si="121"/>
        <v>#DIV/0!</v>
      </c>
      <c r="H656" s="2449">
        <f>IF(A656='Data Entry - SOF'!B$2,'Data Entry - SOF'!E$64,0)</f>
        <v>0</v>
      </c>
      <c r="I656" s="1687">
        <f t="shared" si="122"/>
        <v>3718658</v>
      </c>
      <c r="J656" s="2212" t="e">
        <f>IF('Report-M&amp;O1819'!C$18-'Report-SOF1819'!D$55&lt;=0,0,'Report-M&amp;O1819'!C$18-'Report-SOF1819'!D$55)</f>
        <v>#DIV/0!</v>
      </c>
      <c r="K656" s="2452" t="e">
        <f t="shared" si="123"/>
        <v>#DIV/0!</v>
      </c>
      <c r="L656" s="2449">
        <f>IF(A656='Data Entry - SOF'!B$2,'Data Entry - SOF'!G$64,0)</f>
        <v>0</v>
      </c>
      <c r="M656" s="1371">
        <f t="shared" si="124"/>
        <v>3718658</v>
      </c>
      <c r="N656" s="2212" t="e">
        <f>IF('Report-M&amp;O1920'!C$18-'Report-SOF1920'!D$55&lt;=0,0,'Report-M&amp;O1920'!C$18-'Report-SOF1920'!D$55)</f>
        <v>#DIV/0!</v>
      </c>
      <c r="O656" s="2452" t="e">
        <f t="shared" si="125"/>
        <v>#DIV/0!</v>
      </c>
      <c r="P656" s="2449">
        <f>IF(A656='Data Entry - SOF'!B$2,'Data Entry - SOF'!I$64,0)</f>
        <v>0</v>
      </c>
      <c r="Q656" s="1687">
        <f t="shared" si="120"/>
        <v>3718658</v>
      </c>
      <c r="R656" s="2212" t="e">
        <f>IF('Report-M&amp;O2021'!C$18-'Report-SOF2021'!D$55&lt;=0,0,'Report-M&amp;O2021'!C$18-'Report-SOF2021'!D$55)</f>
        <v>#DIV/0!</v>
      </c>
      <c r="S656" s="2452" t="e">
        <f t="shared" si="126"/>
        <v>#DIV/0!</v>
      </c>
      <c r="T656" s="1708">
        <f>IF(A656='Data Entry - SOF'!B$2,'Data Entry - SOF'!K$64,0)</f>
        <v>0</v>
      </c>
      <c r="U656" s="1687">
        <f t="shared" si="130"/>
        <v>3718658</v>
      </c>
      <c r="V656" s="2212" t="e">
        <f>IF('Report-M&amp;O2122'!C$18-'Report-SOF2122'!D$55&lt;=0,0,'Report-M&amp;O2122'!C$18-'Report-SOF2122'!D$55)</f>
        <v>#DIV/0!</v>
      </c>
      <c r="W656" s="2452" t="e">
        <f t="shared" si="127"/>
        <v>#DIV/0!</v>
      </c>
      <c r="X656" s="1708">
        <f>IF(A656='Data Entry - SOF'!B$2,'Data Entry - SOF'!M$64,0)</f>
        <v>0</v>
      </c>
      <c r="Y656" s="1371" t="e">
        <f t="shared" si="128"/>
        <v>#DIV/0!</v>
      </c>
      <c r="Z656" s="2212" t="e">
        <f>IF('Report-M&amp;O2223'!C$18-'Report-SOF2223'!D$55&lt;=0,0,'Report-M&amp;O2223'!C$18-'Report-SOF2223'!D$55)</f>
        <v>#DIV/0!</v>
      </c>
      <c r="AA656" s="1708">
        <f>IF(A656='Data Entry - SOF'!B$2,'Data Entry - SOF'!O$64,0)</f>
        <v>0</v>
      </c>
    </row>
    <row r="657" spans="1:27" ht="15.75">
      <c r="A657" s="1076" t="s">
        <v>1095</v>
      </c>
      <c r="B657">
        <v>4735782</v>
      </c>
      <c r="C657" s="2452" t="e">
        <f>#REF!+#REF!</f>
        <v>#REF!</v>
      </c>
      <c r="D657" s="2449">
        <f>IF(A657='Data Entry - SOF'!B$2,'Data Entry - SOF'!C$64,0)</f>
        <v>0</v>
      </c>
      <c r="E657" s="2450">
        <f t="shared" si="129"/>
        <v>4735782</v>
      </c>
      <c r="F657" s="2212" t="e">
        <f>IF('Report-M&amp;O1718'!C$18-'Report-SOF1718'!D$55&lt;=0,0,'Report-M&amp;O1718'!C$18-'Report-SOF1718'!D$55)</f>
        <v>#DIV/0!</v>
      </c>
      <c r="G657" s="2452" t="e">
        <f t="shared" si="121"/>
        <v>#DIV/0!</v>
      </c>
      <c r="H657" s="2449">
        <f>IF(A657='Data Entry - SOF'!B$2,'Data Entry - SOF'!E$64,0)</f>
        <v>0</v>
      </c>
      <c r="I657" s="1687">
        <f t="shared" si="122"/>
        <v>4735782</v>
      </c>
      <c r="J657" s="2212" t="e">
        <f>IF('Report-M&amp;O1819'!C$18-'Report-SOF1819'!D$55&lt;=0,0,'Report-M&amp;O1819'!C$18-'Report-SOF1819'!D$55)</f>
        <v>#DIV/0!</v>
      </c>
      <c r="K657" s="2452" t="e">
        <f t="shared" si="123"/>
        <v>#DIV/0!</v>
      </c>
      <c r="L657" s="2449">
        <f>IF(A657='Data Entry - SOF'!B$2,'Data Entry - SOF'!G$64,0)</f>
        <v>0</v>
      </c>
      <c r="M657" s="1371">
        <f t="shared" si="124"/>
        <v>4735782</v>
      </c>
      <c r="N657" s="2212" t="e">
        <f>IF('Report-M&amp;O1920'!C$18-'Report-SOF1920'!D$55&lt;=0,0,'Report-M&amp;O1920'!C$18-'Report-SOF1920'!D$55)</f>
        <v>#DIV/0!</v>
      </c>
      <c r="O657" s="2452" t="e">
        <f t="shared" si="125"/>
        <v>#DIV/0!</v>
      </c>
      <c r="P657" s="2449">
        <f>IF(A657='Data Entry - SOF'!B$2,'Data Entry - SOF'!I$64,0)</f>
        <v>0</v>
      </c>
      <c r="Q657" s="1687">
        <f t="shared" si="120"/>
        <v>4735782</v>
      </c>
      <c r="R657" s="2212" t="e">
        <f>IF('Report-M&amp;O2021'!C$18-'Report-SOF2021'!D$55&lt;=0,0,'Report-M&amp;O2021'!C$18-'Report-SOF2021'!D$55)</f>
        <v>#DIV/0!</v>
      </c>
      <c r="S657" s="2452" t="e">
        <f t="shared" si="126"/>
        <v>#DIV/0!</v>
      </c>
      <c r="T657" s="1708">
        <f>IF(A657='Data Entry - SOF'!B$2,'Data Entry - SOF'!K$64,0)</f>
        <v>0</v>
      </c>
      <c r="U657" s="1687">
        <f t="shared" si="130"/>
        <v>4735782</v>
      </c>
      <c r="V657" s="2212" t="e">
        <f>IF('Report-M&amp;O2122'!C$18-'Report-SOF2122'!D$55&lt;=0,0,'Report-M&amp;O2122'!C$18-'Report-SOF2122'!D$55)</f>
        <v>#DIV/0!</v>
      </c>
      <c r="W657" s="2452" t="e">
        <f t="shared" si="127"/>
        <v>#DIV/0!</v>
      </c>
      <c r="X657" s="1708">
        <f>IF(A657='Data Entry - SOF'!B$2,'Data Entry - SOF'!M$64,0)</f>
        <v>0</v>
      </c>
      <c r="Y657" s="1371" t="e">
        <f t="shared" si="128"/>
        <v>#DIV/0!</v>
      </c>
      <c r="Z657" s="2212" t="e">
        <f>IF('Report-M&amp;O2223'!C$18-'Report-SOF2223'!D$55&lt;=0,0,'Report-M&amp;O2223'!C$18-'Report-SOF2223'!D$55)</f>
        <v>#DIV/0!</v>
      </c>
      <c r="AA657" s="1708">
        <f>IF(A657='Data Entry - SOF'!B$2,'Data Entry - SOF'!O$64,0)</f>
        <v>0</v>
      </c>
    </row>
    <row r="658" spans="1:27" ht="15.75">
      <c r="A658" s="1076" t="s">
        <v>2096</v>
      </c>
      <c r="B658">
        <v>639517</v>
      </c>
      <c r="C658" s="2452" t="e">
        <f>#REF!+#REF!</f>
        <v>#REF!</v>
      </c>
      <c r="D658" s="2449">
        <f>IF(A658='Data Entry - SOF'!B$2,'Data Entry - SOF'!C$64,0)</f>
        <v>0</v>
      </c>
      <c r="E658" s="2450">
        <f t="shared" si="129"/>
        <v>639517</v>
      </c>
      <c r="F658" s="2212" t="e">
        <f>IF('Report-M&amp;O1718'!C$18-'Report-SOF1718'!D$55&lt;=0,0,'Report-M&amp;O1718'!C$18-'Report-SOF1718'!D$55)</f>
        <v>#DIV/0!</v>
      </c>
      <c r="G658" s="2452" t="e">
        <f t="shared" si="121"/>
        <v>#DIV/0!</v>
      </c>
      <c r="H658" s="2449">
        <f>IF(A658='Data Entry - SOF'!B$2,'Data Entry - SOF'!E$64,0)</f>
        <v>0</v>
      </c>
      <c r="I658" s="1687">
        <f t="shared" si="122"/>
        <v>639517</v>
      </c>
      <c r="J658" s="2212" t="e">
        <f>IF('Report-M&amp;O1819'!C$18-'Report-SOF1819'!D$55&lt;=0,0,'Report-M&amp;O1819'!C$18-'Report-SOF1819'!D$55)</f>
        <v>#DIV/0!</v>
      </c>
      <c r="K658" s="2452" t="e">
        <f t="shared" si="123"/>
        <v>#DIV/0!</v>
      </c>
      <c r="L658" s="2449">
        <f>IF(A658='Data Entry - SOF'!B$2,'Data Entry - SOF'!G$64,0)</f>
        <v>0</v>
      </c>
      <c r="M658" s="1371">
        <f t="shared" si="124"/>
        <v>639517</v>
      </c>
      <c r="N658" s="2212" t="e">
        <f>IF('Report-M&amp;O1920'!C$18-'Report-SOF1920'!D$55&lt;=0,0,'Report-M&amp;O1920'!C$18-'Report-SOF1920'!D$55)</f>
        <v>#DIV/0!</v>
      </c>
      <c r="O658" s="2452" t="e">
        <f t="shared" si="125"/>
        <v>#DIV/0!</v>
      </c>
      <c r="P658" s="2449">
        <f>IF(A658='Data Entry - SOF'!B$2,'Data Entry - SOF'!I$64,0)</f>
        <v>0</v>
      </c>
      <c r="Q658" s="1687">
        <f t="shared" si="120"/>
        <v>639517</v>
      </c>
      <c r="R658" s="2212" t="e">
        <f>IF('Report-M&amp;O2021'!C$18-'Report-SOF2021'!D$55&lt;=0,0,'Report-M&amp;O2021'!C$18-'Report-SOF2021'!D$55)</f>
        <v>#DIV/0!</v>
      </c>
      <c r="S658" s="2452" t="e">
        <f t="shared" si="126"/>
        <v>#DIV/0!</v>
      </c>
      <c r="T658" s="1708">
        <f>IF(A658='Data Entry - SOF'!B$2,'Data Entry - SOF'!K$64,0)</f>
        <v>0</v>
      </c>
      <c r="U658" s="1687">
        <f t="shared" si="130"/>
        <v>639517</v>
      </c>
      <c r="V658" s="2212" t="e">
        <f>IF('Report-M&amp;O2122'!C$18-'Report-SOF2122'!D$55&lt;=0,0,'Report-M&amp;O2122'!C$18-'Report-SOF2122'!D$55)</f>
        <v>#DIV/0!</v>
      </c>
      <c r="W658" s="2452" t="e">
        <f t="shared" si="127"/>
        <v>#DIV/0!</v>
      </c>
      <c r="X658" s="1708">
        <f>IF(A658='Data Entry - SOF'!B$2,'Data Entry - SOF'!M$64,0)</f>
        <v>0</v>
      </c>
      <c r="Y658" s="1371" t="e">
        <f t="shared" si="128"/>
        <v>#DIV/0!</v>
      </c>
      <c r="Z658" s="2212" t="e">
        <f>IF('Report-M&amp;O2223'!C$18-'Report-SOF2223'!D$55&lt;=0,0,'Report-M&amp;O2223'!C$18-'Report-SOF2223'!D$55)</f>
        <v>#DIV/0!</v>
      </c>
      <c r="AA658" s="1708">
        <f>IF(A658='Data Entry - SOF'!B$2,'Data Entry - SOF'!O$64,0)</f>
        <v>0</v>
      </c>
    </row>
    <row r="659" spans="1:27" ht="15.75">
      <c r="A659" s="1076" t="s">
        <v>1735</v>
      </c>
      <c r="B659">
        <v>3717629</v>
      </c>
      <c r="C659" s="2452" t="e">
        <f>#REF!+#REF!</f>
        <v>#REF!</v>
      </c>
      <c r="D659" s="2449">
        <f>IF(A659='Data Entry - SOF'!B$2,'Data Entry - SOF'!C$64,0)</f>
        <v>0</v>
      </c>
      <c r="E659" s="2450">
        <f t="shared" si="129"/>
        <v>3717629</v>
      </c>
      <c r="F659" s="2212" t="e">
        <f>IF('Report-M&amp;O1718'!C$18-'Report-SOF1718'!D$55&lt;=0,0,'Report-M&amp;O1718'!C$18-'Report-SOF1718'!D$55)</f>
        <v>#DIV/0!</v>
      </c>
      <c r="G659" s="2452" t="e">
        <f t="shared" si="121"/>
        <v>#DIV/0!</v>
      </c>
      <c r="H659" s="2449">
        <f>IF(A659='Data Entry - SOF'!B$2,'Data Entry - SOF'!E$64,0)</f>
        <v>0</v>
      </c>
      <c r="I659" s="1687">
        <f t="shared" si="122"/>
        <v>3717629</v>
      </c>
      <c r="J659" s="2212" t="e">
        <f>IF('Report-M&amp;O1819'!C$18-'Report-SOF1819'!D$55&lt;=0,0,'Report-M&amp;O1819'!C$18-'Report-SOF1819'!D$55)</f>
        <v>#DIV/0!</v>
      </c>
      <c r="K659" s="2452" t="e">
        <f t="shared" si="123"/>
        <v>#DIV/0!</v>
      </c>
      <c r="L659" s="2449">
        <f>IF(A659='Data Entry - SOF'!B$2,'Data Entry - SOF'!G$64,0)</f>
        <v>0</v>
      </c>
      <c r="M659" s="1371">
        <f t="shared" si="124"/>
        <v>3717629</v>
      </c>
      <c r="N659" s="2212" t="e">
        <f>IF('Report-M&amp;O1920'!C$18-'Report-SOF1920'!D$55&lt;=0,0,'Report-M&amp;O1920'!C$18-'Report-SOF1920'!D$55)</f>
        <v>#DIV/0!</v>
      </c>
      <c r="O659" s="2452" t="e">
        <f t="shared" si="125"/>
        <v>#DIV/0!</v>
      </c>
      <c r="P659" s="2449">
        <f>IF(A659='Data Entry - SOF'!B$2,'Data Entry - SOF'!I$64,0)</f>
        <v>0</v>
      </c>
      <c r="Q659" s="1687">
        <f t="shared" si="120"/>
        <v>3717629</v>
      </c>
      <c r="R659" s="2212" t="e">
        <f>IF('Report-M&amp;O2021'!C$18-'Report-SOF2021'!D$55&lt;=0,0,'Report-M&amp;O2021'!C$18-'Report-SOF2021'!D$55)</f>
        <v>#DIV/0!</v>
      </c>
      <c r="S659" s="2452" t="e">
        <f t="shared" si="126"/>
        <v>#DIV/0!</v>
      </c>
      <c r="T659" s="1708">
        <f>IF(A659='Data Entry - SOF'!B$2,'Data Entry - SOF'!K$64,0)</f>
        <v>0</v>
      </c>
      <c r="U659" s="1687">
        <f t="shared" si="130"/>
        <v>3717629</v>
      </c>
      <c r="V659" s="2212" t="e">
        <f>IF('Report-M&amp;O2122'!C$18-'Report-SOF2122'!D$55&lt;=0,0,'Report-M&amp;O2122'!C$18-'Report-SOF2122'!D$55)</f>
        <v>#DIV/0!</v>
      </c>
      <c r="W659" s="2452" t="e">
        <f t="shared" si="127"/>
        <v>#DIV/0!</v>
      </c>
      <c r="X659" s="1708">
        <f>IF(A659='Data Entry - SOF'!B$2,'Data Entry - SOF'!M$64,0)</f>
        <v>0</v>
      </c>
      <c r="Y659" s="1371" t="e">
        <f t="shared" si="128"/>
        <v>#DIV/0!</v>
      </c>
      <c r="Z659" s="2212" t="e">
        <f>IF('Report-M&amp;O2223'!C$18-'Report-SOF2223'!D$55&lt;=0,0,'Report-M&amp;O2223'!C$18-'Report-SOF2223'!D$55)</f>
        <v>#DIV/0!</v>
      </c>
      <c r="AA659" s="1708">
        <f>IF(A659='Data Entry - SOF'!B$2,'Data Entry - SOF'!O$64,0)</f>
        <v>0</v>
      </c>
    </row>
    <row r="660" spans="1:27" ht="15.75">
      <c r="A660" s="1076" t="s">
        <v>134</v>
      </c>
      <c r="B660">
        <v>907959</v>
      </c>
      <c r="C660" s="2452" t="e">
        <f>#REF!+#REF!</f>
        <v>#REF!</v>
      </c>
      <c r="D660" s="2449">
        <f>IF(A660='Data Entry - SOF'!B$2,'Data Entry - SOF'!C$64,0)</f>
        <v>0</v>
      </c>
      <c r="E660" s="2450">
        <f t="shared" si="129"/>
        <v>907959</v>
      </c>
      <c r="F660" s="2212" t="e">
        <f>IF('Report-M&amp;O1718'!C$18-'Report-SOF1718'!D$55&lt;=0,0,'Report-M&amp;O1718'!C$18-'Report-SOF1718'!D$55)</f>
        <v>#DIV/0!</v>
      </c>
      <c r="G660" s="2452" t="e">
        <f t="shared" si="121"/>
        <v>#DIV/0!</v>
      </c>
      <c r="H660" s="2449">
        <f>IF(A660='Data Entry - SOF'!B$2,'Data Entry - SOF'!E$64,0)</f>
        <v>0</v>
      </c>
      <c r="I660" s="1687">
        <f t="shared" si="122"/>
        <v>907959</v>
      </c>
      <c r="J660" s="2212" t="e">
        <f>IF('Report-M&amp;O1819'!C$18-'Report-SOF1819'!D$55&lt;=0,0,'Report-M&amp;O1819'!C$18-'Report-SOF1819'!D$55)</f>
        <v>#DIV/0!</v>
      </c>
      <c r="K660" s="2452" t="e">
        <f t="shared" si="123"/>
        <v>#DIV/0!</v>
      </c>
      <c r="L660" s="2449">
        <f>IF(A660='Data Entry - SOF'!B$2,'Data Entry - SOF'!G$64,0)</f>
        <v>0</v>
      </c>
      <c r="M660" s="1371">
        <f t="shared" si="124"/>
        <v>907959</v>
      </c>
      <c r="N660" s="2212" t="e">
        <f>IF('Report-M&amp;O1920'!C$18-'Report-SOF1920'!D$55&lt;=0,0,'Report-M&amp;O1920'!C$18-'Report-SOF1920'!D$55)</f>
        <v>#DIV/0!</v>
      </c>
      <c r="O660" s="2452" t="e">
        <f t="shared" si="125"/>
        <v>#DIV/0!</v>
      </c>
      <c r="P660" s="2449">
        <f>IF(A660='Data Entry - SOF'!B$2,'Data Entry - SOF'!I$64,0)</f>
        <v>0</v>
      </c>
      <c r="Q660" s="1687">
        <f t="shared" si="120"/>
        <v>907959</v>
      </c>
      <c r="R660" s="2212" t="e">
        <f>IF('Report-M&amp;O2021'!C$18-'Report-SOF2021'!D$55&lt;=0,0,'Report-M&amp;O2021'!C$18-'Report-SOF2021'!D$55)</f>
        <v>#DIV/0!</v>
      </c>
      <c r="S660" s="2452" t="e">
        <f t="shared" si="126"/>
        <v>#DIV/0!</v>
      </c>
      <c r="T660" s="1708">
        <f>IF(A660='Data Entry - SOF'!B$2,'Data Entry - SOF'!K$64,0)</f>
        <v>0</v>
      </c>
      <c r="U660" s="1687">
        <f t="shared" si="130"/>
        <v>907959</v>
      </c>
      <c r="V660" s="2212" t="e">
        <f>IF('Report-M&amp;O2122'!C$18-'Report-SOF2122'!D$55&lt;=0,0,'Report-M&amp;O2122'!C$18-'Report-SOF2122'!D$55)</f>
        <v>#DIV/0!</v>
      </c>
      <c r="W660" s="2452" t="e">
        <f t="shared" si="127"/>
        <v>#DIV/0!</v>
      </c>
      <c r="X660" s="1708">
        <f>IF(A660='Data Entry - SOF'!B$2,'Data Entry - SOF'!M$64,0)</f>
        <v>0</v>
      </c>
      <c r="Y660" s="1371" t="e">
        <f t="shared" si="128"/>
        <v>#DIV/0!</v>
      </c>
      <c r="Z660" s="2212" t="e">
        <f>IF('Report-M&amp;O2223'!C$18-'Report-SOF2223'!D$55&lt;=0,0,'Report-M&amp;O2223'!C$18-'Report-SOF2223'!D$55)</f>
        <v>#DIV/0!</v>
      </c>
      <c r="AA660" s="1708">
        <f>IF(A660='Data Entry - SOF'!B$2,'Data Entry - SOF'!O$64,0)</f>
        <v>0</v>
      </c>
    </row>
    <row r="661" spans="1:27" ht="15.75">
      <c r="A661" s="1076" t="s">
        <v>2384</v>
      </c>
      <c r="B661">
        <v>10070804</v>
      </c>
      <c r="C661" s="2452" t="e">
        <f>#REF!+#REF!</f>
        <v>#REF!</v>
      </c>
      <c r="D661" s="2449">
        <f>IF(A661='Data Entry - SOF'!B$2,'Data Entry - SOF'!C$64,0)</f>
        <v>0</v>
      </c>
      <c r="E661" s="2450">
        <f t="shared" si="129"/>
        <v>10070804</v>
      </c>
      <c r="F661" s="2212" t="e">
        <f>IF('Report-M&amp;O1718'!C$18-'Report-SOF1718'!D$55&lt;=0,0,'Report-M&amp;O1718'!C$18-'Report-SOF1718'!D$55)</f>
        <v>#DIV/0!</v>
      </c>
      <c r="G661" s="2452" t="e">
        <f t="shared" si="121"/>
        <v>#DIV/0!</v>
      </c>
      <c r="H661" s="2449">
        <f>IF(A661='Data Entry - SOF'!B$2,'Data Entry - SOF'!E$64,0)</f>
        <v>0</v>
      </c>
      <c r="I661" s="1687">
        <f t="shared" si="122"/>
        <v>10070804</v>
      </c>
      <c r="J661" s="2212" t="e">
        <f>IF('Report-M&amp;O1819'!C$18-'Report-SOF1819'!D$55&lt;=0,0,'Report-M&amp;O1819'!C$18-'Report-SOF1819'!D$55)</f>
        <v>#DIV/0!</v>
      </c>
      <c r="K661" s="2452" t="e">
        <f t="shared" si="123"/>
        <v>#DIV/0!</v>
      </c>
      <c r="L661" s="2449">
        <f>IF(A661='Data Entry - SOF'!B$2,'Data Entry - SOF'!G$64,0)</f>
        <v>0</v>
      </c>
      <c r="M661" s="1371">
        <f t="shared" si="124"/>
        <v>10070804</v>
      </c>
      <c r="N661" s="2212" t="e">
        <f>IF('Report-M&amp;O1920'!C$18-'Report-SOF1920'!D$55&lt;=0,0,'Report-M&amp;O1920'!C$18-'Report-SOF1920'!D$55)</f>
        <v>#DIV/0!</v>
      </c>
      <c r="O661" s="2452" t="e">
        <f t="shared" si="125"/>
        <v>#DIV/0!</v>
      </c>
      <c r="P661" s="2449">
        <f>IF(A661='Data Entry - SOF'!B$2,'Data Entry - SOF'!I$64,0)</f>
        <v>0</v>
      </c>
      <c r="Q661" s="1687">
        <f t="shared" si="120"/>
        <v>10070804</v>
      </c>
      <c r="R661" s="2212" t="e">
        <f>IF('Report-M&amp;O2021'!C$18-'Report-SOF2021'!D$55&lt;=0,0,'Report-M&amp;O2021'!C$18-'Report-SOF2021'!D$55)</f>
        <v>#DIV/0!</v>
      </c>
      <c r="S661" s="2452" t="e">
        <f t="shared" si="126"/>
        <v>#DIV/0!</v>
      </c>
      <c r="T661" s="1708">
        <f>IF(A661='Data Entry - SOF'!B$2,'Data Entry - SOF'!K$64,0)</f>
        <v>0</v>
      </c>
      <c r="U661" s="1687">
        <f t="shared" si="130"/>
        <v>10070804</v>
      </c>
      <c r="V661" s="2212" t="e">
        <f>IF('Report-M&amp;O2122'!C$18-'Report-SOF2122'!D$55&lt;=0,0,'Report-M&amp;O2122'!C$18-'Report-SOF2122'!D$55)</f>
        <v>#DIV/0!</v>
      </c>
      <c r="W661" s="2452" t="e">
        <f t="shared" si="127"/>
        <v>#DIV/0!</v>
      </c>
      <c r="X661" s="1708">
        <f>IF(A661='Data Entry - SOF'!B$2,'Data Entry - SOF'!M$64,0)</f>
        <v>0</v>
      </c>
      <c r="Y661" s="1371" t="e">
        <f t="shared" si="128"/>
        <v>#DIV/0!</v>
      </c>
      <c r="Z661" s="2212" t="e">
        <f>IF('Report-M&amp;O2223'!C$18-'Report-SOF2223'!D$55&lt;=0,0,'Report-M&amp;O2223'!C$18-'Report-SOF2223'!D$55)</f>
        <v>#DIV/0!</v>
      </c>
      <c r="AA661" s="1708">
        <f>IF(A661='Data Entry - SOF'!B$2,'Data Entry - SOF'!O$64,0)</f>
        <v>0</v>
      </c>
    </row>
    <row r="662" spans="1:27" ht="15.75">
      <c r="A662" s="1076" t="s">
        <v>373</v>
      </c>
      <c r="B662">
        <v>33209644</v>
      </c>
      <c r="C662" s="2452" t="e">
        <f>#REF!+#REF!</f>
        <v>#REF!</v>
      </c>
      <c r="D662" s="2449">
        <f>IF(A662='Data Entry - SOF'!B$2,'Data Entry - SOF'!C$64,0)</f>
        <v>0</v>
      </c>
      <c r="E662" s="2450">
        <f t="shared" si="129"/>
        <v>33209644</v>
      </c>
      <c r="F662" s="2212" t="e">
        <f>IF('Report-M&amp;O1718'!C$18-'Report-SOF1718'!D$55&lt;=0,0,'Report-M&amp;O1718'!C$18-'Report-SOF1718'!D$55)</f>
        <v>#DIV/0!</v>
      </c>
      <c r="G662" s="2452" t="e">
        <f t="shared" si="121"/>
        <v>#DIV/0!</v>
      </c>
      <c r="H662" s="2449">
        <f>IF(A662='Data Entry - SOF'!B$2,'Data Entry - SOF'!E$64,0)</f>
        <v>0</v>
      </c>
      <c r="I662" s="1687">
        <f t="shared" si="122"/>
        <v>33209644</v>
      </c>
      <c r="J662" s="2212" t="e">
        <f>IF('Report-M&amp;O1819'!C$18-'Report-SOF1819'!D$55&lt;=0,0,'Report-M&amp;O1819'!C$18-'Report-SOF1819'!D$55)</f>
        <v>#DIV/0!</v>
      </c>
      <c r="K662" s="2452" t="e">
        <f t="shared" si="123"/>
        <v>#DIV/0!</v>
      </c>
      <c r="L662" s="2449">
        <f>IF(A662='Data Entry - SOF'!B$2,'Data Entry - SOF'!G$64,0)</f>
        <v>0</v>
      </c>
      <c r="M662" s="1371">
        <f t="shared" si="124"/>
        <v>33209644</v>
      </c>
      <c r="N662" s="2212" t="e">
        <f>IF('Report-M&amp;O1920'!C$18-'Report-SOF1920'!D$55&lt;=0,0,'Report-M&amp;O1920'!C$18-'Report-SOF1920'!D$55)</f>
        <v>#DIV/0!</v>
      </c>
      <c r="O662" s="2452" t="e">
        <f t="shared" si="125"/>
        <v>#DIV/0!</v>
      </c>
      <c r="P662" s="2449">
        <f>IF(A662='Data Entry - SOF'!B$2,'Data Entry - SOF'!I$64,0)</f>
        <v>0</v>
      </c>
      <c r="Q662" s="1687">
        <f t="shared" si="120"/>
        <v>33209644</v>
      </c>
      <c r="R662" s="2212" t="e">
        <f>IF('Report-M&amp;O2021'!C$18-'Report-SOF2021'!D$55&lt;=0,0,'Report-M&amp;O2021'!C$18-'Report-SOF2021'!D$55)</f>
        <v>#DIV/0!</v>
      </c>
      <c r="S662" s="2452" t="e">
        <f t="shared" si="126"/>
        <v>#DIV/0!</v>
      </c>
      <c r="T662" s="1708">
        <f>IF(A662='Data Entry - SOF'!B$2,'Data Entry - SOF'!K$64,0)</f>
        <v>0</v>
      </c>
      <c r="U662" s="1687">
        <f t="shared" si="130"/>
        <v>33209644</v>
      </c>
      <c r="V662" s="2212" t="e">
        <f>IF('Report-M&amp;O2122'!C$18-'Report-SOF2122'!D$55&lt;=0,0,'Report-M&amp;O2122'!C$18-'Report-SOF2122'!D$55)</f>
        <v>#DIV/0!</v>
      </c>
      <c r="W662" s="2452" t="e">
        <f t="shared" si="127"/>
        <v>#DIV/0!</v>
      </c>
      <c r="X662" s="1708">
        <f>IF(A662='Data Entry - SOF'!B$2,'Data Entry - SOF'!M$64,0)</f>
        <v>0</v>
      </c>
      <c r="Y662" s="1371" t="e">
        <f t="shared" si="128"/>
        <v>#DIV/0!</v>
      </c>
      <c r="Z662" s="2212" t="e">
        <f>IF('Report-M&amp;O2223'!C$18-'Report-SOF2223'!D$55&lt;=0,0,'Report-M&amp;O2223'!C$18-'Report-SOF2223'!D$55)</f>
        <v>#DIV/0!</v>
      </c>
      <c r="AA662" s="1708">
        <f>IF(A662='Data Entry - SOF'!B$2,'Data Entry - SOF'!O$64,0)</f>
        <v>0</v>
      </c>
    </row>
    <row r="663" spans="1:27" ht="15.75">
      <c r="A663" s="1076" t="s">
        <v>376</v>
      </c>
      <c r="B663">
        <v>2920301</v>
      </c>
      <c r="C663" s="2452" t="e">
        <f>#REF!+#REF!</f>
        <v>#REF!</v>
      </c>
      <c r="D663" s="2449">
        <f>IF(A663='Data Entry - SOF'!B$2,'Data Entry - SOF'!C$64,0)</f>
        <v>0</v>
      </c>
      <c r="E663" s="2450">
        <f t="shared" si="129"/>
        <v>2920301</v>
      </c>
      <c r="F663" s="2212" t="e">
        <f>IF('Report-M&amp;O1718'!C$18-'Report-SOF1718'!D$55&lt;=0,0,'Report-M&amp;O1718'!C$18-'Report-SOF1718'!D$55)</f>
        <v>#DIV/0!</v>
      </c>
      <c r="G663" s="2452" t="e">
        <f t="shared" si="121"/>
        <v>#DIV/0!</v>
      </c>
      <c r="H663" s="2449">
        <f>IF(A663='Data Entry - SOF'!B$2,'Data Entry - SOF'!E$64,0)</f>
        <v>0</v>
      </c>
      <c r="I663" s="1687">
        <f t="shared" si="122"/>
        <v>2920301</v>
      </c>
      <c r="J663" s="2212" t="e">
        <f>IF('Report-M&amp;O1819'!C$18-'Report-SOF1819'!D$55&lt;=0,0,'Report-M&amp;O1819'!C$18-'Report-SOF1819'!D$55)</f>
        <v>#DIV/0!</v>
      </c>
      <c r="K663" s="2452" t="e">
        <f t="shared" si="123"/>
        <v>#DIV/0!</v>
      </c>
      <c r="L663" s="2449">
        <f>IF(A663='Data Entry - SOF'!B$2,'Data Entry - SOF'!G$64,0)</f>
        <v>0</v>
      </c>
      <c r="M663" s="1371">
        <f t="shared" si="124"/>
        <v>2920301</v>
      </c>
      <c r="N663" s="2212" t="e">
        <f>IF('Report-M&amp;O1920'!C$18-'Report-SOF1920'!D$55&lt;=0,0,'Report-M&amp;O1920'!C$18-'Report-SOF1920'!D$55)</f>
        <v>#DIV/0!</v>
      </c>
      <c r="O663" s="2452" t="e">
        <f t="shared" si="125"/>
        <v>#DIV/0!</v>
      </c>
      <c r="P663" s="2449">
        <f>IF(A663='Data Entry - SOF'!B$2,'Data Entry - SOF'!I$64,0)</f>
        <v>0</v>
      </c>
      <c r="Q663" s="1687">
        <f t="shared" si="120"/>
        <v>2920301</v>
      </c>
      <c r="R663" s="2212" t="e">
        <f>IF('Report-M&amp;O2021'!C$18-'Report-SOF2021'!D$55&lt;=0,0,'Report-M&amp;O2021'!C$18-'Report-SOF2021'!D$55)</f>
        <v>#DIV/0!</v>
      </c>
      <c r="S663" s="2452" t="e">
        <f t="shared" si="126"/>
        <v>#DIV/0!</v>
      </c>
      <c r="T663" s="1708">
        <f>IF(A663='Data Entry - SOF'!B$2,'Data Entry - SOF'!K$64,0)</f>
        <v>0</v>
      </c>
      <c r="U663" s="1687">
        <f t="shared" si="130"/>
        <v>2920301</v>
      </c>
      <c r="V663" s="2212" t="e">
        <f>IF('Report-M&amp;O2122'!C$18-'Report-SOF2122'!D$55&lt;=0,0,'Report-M&amp;O2122'!C$18-'Report-SOF2122'!D$55)</f>
        <v>#DIV/0!</v>
      </c>
      <c r="W663" s="2452" t="e">
        <f t="shared" si="127"/>
        <v>#DIV/0!</v>
      </c>
      <c r="X663" s="1708">
        <f>IF(A663='Data Entry - SOF'!B$2,'Data Entry - SOF'!M$64,0)</f>
        <v>0</v>
      </c>
      <c r="Y663" s="1371" t="e">
        <f t="shared" si="128"/>
        <v>#DIV/0!</v>
      </c>
      <c r="Z663" s="2212" t="e">
        <f>IF('Report-M&amp;O2223'!C$18-'Report-SOF2223'!D$55&lt;=0,0,'Report-M&amp;O2223'!C$18-'Report-SOF2223'!D$55)</f>
        <v>#DIV/0!</v>
      </c>
      <c r="AA663" s="1708">
        <f>IF(A663='Data Entry - SOF'!B$2,'Data Entry - SOF'!O$64,0)</f>
        <v>0</v>
      </c>
    </row>
    <row r="664" spans="1:27" ht="15.75">
      <c r="A664" s="1076" t="s">
        <v>2819</v>
      </c>
      <c r="B664">
        <v>796823</v>
      </c>
      <c r="C664" s="2452" t="e">
        <f>#REF!+#REF!</f>
        <v>#REF!</v>
      </c>
      <c r="D664" s="2449">
        <f>IF(A664='Data Entry - SOF'!B$2,'Data Entry - SOF'!C$64,0)</f>
        <v>0</v>
      </c>
      <c r="E664" s="2450">
        <f t="shared" si="129"/>
        <v>796823</v>
      </c>
      <c r="F664" s="2212" t="e">
        <f>IF('Report-M&amp;O1718'!C$18-'Report-SOF1718'!D$55&lt;=0,0,'Report-M&amp;O1718'!C$18-'Report-SOF1718'!D$55)</f>
        <v>#DIV/0!</v>
      </c>
      <c r="G664" s="2452" t="e">
        <f t="shared" si="121"/>
        <v>#DIV/0!</v>
      </c>
      <c r="H664" s="2449">
        <f>IF(A664='Data Entry - SOF'!B$2,'Data Entry - SOF'!E$64,0)</f>
        <v>0</v>
      </c>
      <c r="I664" s="1687">
        <f t="shared" si="122"/>
        <v>796823</v>
      </c>
      <c r="J664" s="2212" t="e">
        <f>IF('Report-M&amp;O1819'!C$18-'Report-SOF1819'!D$55&lt;=0,0,'Report-M&amp;O1819'!C$18-'Report-SOF1819'!D$55)</f>
        <v>#DIV/0!</v>
      </c>
      <c r="K664" s="2452" t="e">
        <f t="shared" si="123"/>
        <v>#DIV/0!</v>
      </c>
      <c r="L664" s="2449">
        <f>IF(A664='Data Entry - SOF'!B$2,'Data Entry - SOF'!G$64,0)</f>
        <v>0</v>
      </c>
      <c r="M664" s="1371">
        <f t="shared" si="124"/>
        <v>796823</v>
      </c>
      <c r="N664" s="2212" t="e">
        <f>IF('Report-M&amp;O1920'!C$18-'Report-SOF1920'!D$55&lt;=0,0,'Report-M&amp;O1920'!C$18-'Report-SOF1920'!D$55)</f>
        <v>#DIV/0!</v>
      </c>
      <c r="O664" s="2452" t="e">
        <f t="shared" si="125"/>
        <v>#DIV/0!</v>
      </c>
      <c r="P664" s="2449">
        <f>IF(A664='Data Entry - SOF'!B$2,'Data Entry - SOF'!I$64,0)</f>
        <v>0</v>
      </c>
      <c r="Q664" s="1687">
        <f t="shared" si="120"/>
        <v>796823</v>
      </c>
      <c r="R664" s="2212" t="e">
        <f>IF('Report-M&amp;O2021'!C$18-'Report-SOF2021'!D$55&lt;=0,0,'Report-M&amp;O2021'!C$18-'Report-SOF2021'!D$55)</f>
        <v>#DIV/0!</v>
      </c>
      <c r="S664" s="2452" t="e">
        <f t="shared" si="126"/>
        <v>#DIV/0!</v>
      </c>
      <c r="T664" s="1708">
        <f>IF(A664='Data Entry - SOF'!B$2,'Data Entry - SOF'!K$64,0)</f>
        <v>0</v>
      </c>
      <c r="U664" s="1687">
        <f t="shared" si="130"/>
        <v>796823</v>
      </c>
      <c r="V664" s="2212" t="e">
        <f>IF('Report-M&amp;O2122'!C$18-'Report-SOF2122'!D$55&lt;=0,0,'Report-M&amp;O2122'!C$18-'Report-SOF2122'!D$55)</f>
        <v>#DIV/0!</v>
      </c>
      <c r="W664" s="2452" t="e">
        <f t="shared" si="127"/>
        <v>#DIV/0!</v>
      </c>
      <c r="X664" s="1708">
        <f>IF(A664='Data Entry - SOF'!B$2,'Data Entry - SOF'!M$64,0)</f>
        <v>0</v>
      </c>
      <c r="Y664" s="1371" t="e">
        <f t="shared" si="128"/>
        <v>#DIV/0!</v>
      </c>
      <c r="Z664" s="2212" t="e">
        <f>IF('Report-M&amp;O2223'!C$18-'Report-SOF2223'!D$55&lt;=0,0,'Report-M&amp;O2223'!C$18-'Report-SOF2223'!D$55)</f>
        <v>#DIV/0!</v>
      </c>
      <c r="AA664" s="1708">
        <f>IF(A664='Data Entry - SOF'!B$2,'Data Entry - SOF'!O$64,0)</f>
        <v>0</v>
      </c>
    </row>
    <row r="665" spans="1:27" ht="15.75">
      <c r="A665" s="1076" t="s">
        <v>2820</v>
      </c>
      <c r="B665">
        <v>677319</v>
      </c>
      <c r="C665" s="2452" t="e">
        <f>#REF!+#REF!</f>
        <v>#REF!</v>
      </c>
      <c r="D665" s="2449">
        <f>IF(A665='Data Entry - SOF'!B$2,'Data Entry - SOF'!C$64,0)</f>
        <v>0</v>
      </c>
      <c r="E665" s="2450">
        <f t="shared" si="129"/>
        <v>677319</v>
      </c>
      <c r="F665" s="2212" t="e">
        <f>IF('Report-M&amp;O1718'!C$18-'Report-SOF1718'!D$55&lt;=0,0,'Report-M&amp;O1718'!C$18-'Report-SOF1718'!D$55)</f>
        <v>#DIV/0!</v>
      </c>
      <c r="G665" s="2452" t="e">
        <f t="shared" si="121"/>
        <v>#DIV/0!</v>
      </c>
      <c r="H665" s="2449">
        <f>IF(A665='Data Entry - SOF'!B$2,'Data Entry - SOF'!E$64,0)</f>
        <v>0</v>
      </c>
      <c r="I665" s="1687">
        <f t="shared" si="122"/>
        <v>677319</v>
      </c>
      <c r="J665" s="2212" t="e">
        <f>IF('Report-M&amp;O1819'!C$18-'Report-SOF1819'!D$55&lt;=0,0,'Report-M&amp;O1819'!C$18-'Report-SOF1819'!D$55)</f>
        <v>#DIV/0!</v>
      </c>
      <c r="K665" s="2452" t="e">
        <f t="shared" si="123"/>
        <v>#DIV/0!</v>
      </c>
      <c r="L665" s="2449">
        <f>IF(A665='Data Entry - SOF'!B$2,'Data Entry - SOF'!G$64,0)</f>
        <v>0</v>
      </c>
      <c r="M665" s="1371">
        <f t="shared" si="124"/>
        <v>677319</v>
      </c>
      <c r="N665" s="2212" t="e">
        <f>IF('Report-M&amp;O1920'!C$18-'Report-SOF1920'!D$55&lt;=0,0,'Report-M&amp;O1920'!C$18-'Report-SOF1920'!D$55)</f>
        <v>#DIV/0!</v>
      </c>
      <c r="O665" s="2452" t="e">
        <f t="shared" si="125"/>
        <v>#DIV/0!</v>
      </c>
      <c r="P665" s="2449">
        <f>IF(A665='Data Entry - SOF'!B$2,'Data Entry - SOF'!I$64,0)</f>
        <v>0</v>
      </c>
      <c r="Q665" s="1687">
        <f t="shared" si="120"/>
        <v>677319</v>
      </c>
      <c r="R665" s="2212" t="e">
        <f>IF('Report-M&amp;O2021'!C$18-'Report-SOF2021'!D$55&lt;=0,0,'Report-M&amp;O2021'!C$18-'Report-SOF2021'!D$55)</f>
        <v>#DIV/0!</v>
      </c>
      <c r="S665" s="2452" t="e">
        <f t="shared" si="126"/>
        <v>#DIV/0!</v>
      </c>
      <c r="T665" s="1708">
        <f>IF(A665='Data Entry - SOF'!B$2,'Data Entry - SOF'!K$64,0)</f>
        <v>0</v>
      </c>
      <c r="U665" s="1687">
        <f t="shared" si="130"/>
        <v>677319</v>
      </c>
      <c r="V665" s="2212" t="e">
        <f>IF('Report-M&amp;O2122'!C$18-'Report-SOF2122'!D$55&lt;=0,0,'Report-M&amp;O2122'!C$18-'Report-SOF2122'!D$55)</f>
        <v>#DIV/0!</v>
      </c>
      <c r="W665" s="2452" t="e">
        <f t="shared" si="127"/>
        <v>#DIV/0!</v>
      </c>
      <c r="X665" s="1708">
        <f>IF(A665='Data Entry - SOF'!B$2,'Data Entry - SOF'!M$64,0)</f>
        <v>0</v>
      </c>
      <c r="Y665" s="1371" t="e">
        <f t="shared" si="128"/>
        <v>#DIV/0!</v>
      </c>
      <c r="Z665" s="2212" t="e">
        <f>IF('Report-M&amp;O2223'!C$18-'Report-SOF2223'!D$55&lt;=0,0,'Report-M&amp;O2223'!C$18-'Report-SOF2223'!D$55)</f>
        <v>#DIV/0!</v>
      </c>
      <c r="AA665" s="1708">
        <f>IF(A665='Data Entry - SOF'!B$2,'Data Entry - SOF'!O$64,0)</f>
        <v>0</v>
      </c>
    </row>
    <row r="666" spans="1:27" ht="15.75">
      <c r="A666" s="1076" t="s">
        <v>85</v>
      </c>
      <c r="B666">
        <v>9034850</v>
      </c>
      <c r="C666" s="2452" t="e">
        <f>#REF!+#REF!</f>
        <v>#REF!</v>
      </c>
      <c r="D666" s="2449">
        <f>IF(A666='Data Entry - SOF'!B$2,'Data Entry - SOF'!C$64,0)</f>
        <v>0</v>
      </c>
      <c r="E666" s="2450">
        <f t="shared" si="129"/>
        <v>9034850</v>
      </c>
      <c r="F666" s="2212" t="e">
        <f>IF('Report-M&amp;O1718'!C$18-'Report-SOF1718'!D$55&lt;=0,0,'Report-M&amp;O1718'!C$18-'Report-SOF1718'!D$55)</f>
        <v>#DIV/0!</v>
      </c>
      <c r="G666" s="2452" t="e">
        <f t="shared" si="121"/>
        <v>#DIV/0!</v>
      </c>
      <c r="H666" s="2449">
        <f>IF(A666='Data Entry - SOF'!B$2,'Data Entry - SOF'!E$64,0)</f>
        <v>0</v>
      </c>
      <c r="I666" s="1687">
        <f t="shared" si="122"/>
        <v>9034850</v>
      </c>
      <c r="J666" s="2212" t="e">
        <f>IF('Report-M&amp;O1819'!C$18-'Report-SOF1819'!D$55&lt;=0,0,'Report-M&amp;O1819'!C$18-'Report-SOF1819'!D$55)</f>
        <v>#DIV/0!</v>
      </c>
      <c r="K666" s="2452" t="e">
        <f t="shared" si="123"/>
        <v>#DIV/0!</v>
      </c>
      <c r="L666" s="2449">
        <f>IF(A666='Data Entry - SOF'!B$2,'Data Entry - SOF'!G$64,0)</f>
        <v>0</v>
      </c>
      <c r="M666" s="1371">
        <f t="shared" si="124"/>
        <v>9034850</v>
      </c>
      <c r="N666" s="2212" t="e">
        <f>IF('Report-M&amp;O1920'!C$18-'Report-SOF1920'!D$55&lt;=0,0,'Report-M&amp;O1920'!C$18-'Report-SOF1920'!D$55)</f>
        <v>#DIV/0!</v>
      </c>
      <c r="O666" s="2452" t="e">
        <f t="shared" si="125"/>
        <v>#DIV/0!</v>
      </c>
      <c r="P666" s="2449">
        <f>IF(A666='Data Entry - SOF'!B$2,'Data Entry - SOF'!I$64,0)</f>
        <v>0</v>
      </c>
      <c r="Q666" s="1687">
        <f t="shared" si="120"/>
        <v>9034850</v>
      </c>
      <c r="R666" s="2212" t="e">
        <f>IF('Report-M&amp;O2021'!C$18-'Report-SOF2021'!D$55&lt;=0,0,'Report-M&amp;O2021'!C$18-'Report-SOF2021'!D$55)</f>
        <v>#DIV/0!</v>
      </c>
      <c r="S666" s="2452" t="e">
        <f t="shared" si="126"/>
        <v>#DIV/0!</v>
      </c>
      <c r="T666" s="1708">
        <f>IF(A666='Data Entry - SOF'!B$2,'Data Entry - SOF'!K$64,0)</f>
        <v>0</v>
      </c>
      <c r="U666" s="1687">
        <f t="shared" si="130"/>
        <v>9034850</v>
      </c>
      <c r="V666" s="2212" t="e">
        <f>IF('Report-M&amp;O2122'!C$18-'Report-SOF2122'!D$55&lt;=0,0,'Report-M&amp;O2122'!C$18-'Report-SOF2122'!D$55)</f>
        <v>#DIV/0!</v>
      </c>
      <c r="W666" s="2452" t="e">
        <f t="shared" si="127"/>
        <v>#DIV/0!</v>
      </c>
      <c r="X666" s="1708">
        <f>IF(A666='Data Entry - SOF'!B$2,'Data Entry - SOF'!M$64,0)</f>
        <v>0</v>
      </c>
      <c r="Y666" s="1371" t="e">
        <f t="shared" si="128"/>
        <v>#DIV/0!</v>
      </c>
      <c r="Z666" s="2212" t="e">
        <f>IF('Report-M&amp;O2223'!C$18-'Report-SOF2223'!D$55&lt;=0,0,'Report-M&amp;O2223'!C$18-'Report-SOF2223'!D$55)</f>
        <v>#DIV/0!</v>
      </c>
      <c r="AA666" s="1708">
        <f>IF(A666='Data Entry - SOF'!B$2,'Data Entry - SOF'!O$64,0)</f>
        <v>0</v>
      </c>
    </row>
    <row r="667" spans="1:27" ht="15.75">
      <c r="A667" s="1076" t="s">
        <v>2638</v>
      </c>
      <c r="B667">
        <v>5897379</v>
      </c>
      <c r="C667" s="2452" t="e">
        <f>#REF!+#REF!</f>
        <v>#REF!</v>
      </c>
      <c r="D667" s="2449">
        <f>IF(A667='Data Entry - SOF'!B$2,'Data Entry - SOF'!C$64,0)</f>
        <v>0</v>
      </c>
      <c r="E667" s="2450">
        <f t="shared" si="129"/>
        <v>5897379</v>
      </c>
      <c r="F667" s="2212" t="e">
        <f>IF('Report-M&amp;O1718'!C$18-'Report-SOF1718'!D$55&lt;=0,0,'Report-M&amp;O1718'!C$18-'Report-SOF1718'!D$55)</f>
        <v>#DIV/0!</v>
      </c>
      <c r="G667" s="2452" t="e">
        <f t="shared" si="121"/>
        <v>#DIV/0!</v>
      </c>
      <c r="H667" s="2449">
        <f>IF(A667='Data Entry - SOF'!B$2,'Data Entry - SOF'!E$64,0)</f>
        <v>0</v>
      </c>
      <c r="I667" s="1687">
        <f t="shared" si="122"/>
        <v>5897379</v>
      </c>
      <c r="J667" s="2212" t="e">
        <f>IF('Report-M&amp;O1819'!C$18-'Report-SOF1819'!D$55&lt;=0,0,'Report-M&amp;O1819'!C$18-'Report-SOF1819'!D$55)</f>
        <v>#DIV/0!</v>
      </c>
      <c r="K667" s="2452" t="e">
        <f t="shared" si="123"/>
        <v>#DIV/0!</v>
      </c>
      <c r="L667" s="2449">
        <f>IF(A667='Data Entry - SOF'!B$2,'Data Entry - SOF'!G$64,0)</f>
        <v>0</v>
      </c>
      <c r="M667" s="1371">
        <f t="shared" si="124"/>
        <v>5897379</v>
      </c>
      <c r="N667" s="2212" t="e">
        <f>IF('Report-M&amp;O1920'!C$18-'Report-SOF1920'!D$55&lt;=0,0,'Report-M&amp;O1920'!C$18-'Report-SOF1920'!D$55)</f>
        <v>#DIV/0!</v>
      </c>
      <c r="O667" s="2452" t="e">
        <f t="shared" si="125"/>
        <v>#DIV/0!</v>
      </c>
      <c r="P667" s="2449">
        <f>IF(A667='Data Entry - SOF'!B$2,'Data Entry - SOF'!I$64,0)</f>
        <v>0</v>
      </c>
      <c r="Q667" s="1687">
        <f t="shared" si="120"/>
        <v>5897379</v>
      </c>
      <c r="R667" s="2212" t="e">
        <f>IF('Report-M&amp;O2021'!C$18-'Report-SOF2021'!D$55&lt;=0,0,'Report-M&amp;O2021'!C$18-'Report-SOF2021'!D$55)</f>
        <v>#DIV/0!</v>
      </c>
      <c r="S667" s="2452" t="e">
        <f t="shared" si="126"/>
        <v>#DIV/0!</v>
      </c>
      <c r="T667" s="1708">
        <f>IF(A667='Data Entry - SOF'!B$2,'Data Entry - SOF'!K$64,0)</f>
        <v>0</v>
      </c>
      <c r="U667" s="1687">
        <f t="shared" si="130"/>
        <v>5897379</v>
      </c>
      <c r="V667" s="2212" t="e">
        <f>IF('Report-M&amp;O2122'!C$18-'Report-SOF2122'!D$55&lt;=0,0,'Report-M&amp;O2122'!C$18-'Report-SOF2122'!D$55)</f>
        <v>#DIV/0!</v>
      </c>
      <c r="W667" s="2452" t="e">
        <f t="shared" si="127"/>
        <v>#DIV/0!</v>
      </c>
      <c r="X667" s="1708">
        <f>IF(A667='Data Entry - SOF'!B$2,'Data Entry - SOF'!M$64,0)</f>
        <v>0</v>
      </c>
      <c r="Y667" s="1371" t="e">
        <f t="shared" si="128"/>
        <v>#DIV/0!</v>
      </c>
      <c r="Z667" s="2212" t="e">
        <f>IF('Report-M&amp;O2223'!C$18-'Report-SOF2223'!D$55&lt;=0,0,'Report-M&amp;O2223'!C$18-'Report-SOF2223'!D$55)</f>
        <v>#DIV/0!</v>
      </c>
      <c r="AA667" s="1708">
        <f>IF(A667='Data Entry - SOF'!B$2,'Data Entry - SOF'!O$64,0)</f>
        <v>0</v>
      </c>
    </row>
    <row r="668" spans="1:27" ht="15.75">
      <c r="A668" s="1076" t="s">
        <v>190</v>
      </c>
      <c r="B668">
        <v>6435331</v>
      </c>
      <c r="C668" s="2452" t="e">
        <f>#REF!+#REF!</f>
        <v>#REF!</v>
      </c>
      <c r="D668" s="2449">
        <f>IF(A668='Data Entry - SOF'!B$2,'Data Entry - SOF'!C$64,0)</f>
        <v>0</v>
      </c>
      <c r="E668" s="2450">
        <f t="shared" si="129"/>
        <v>6435331</v>
      </c>
      <c r="F668" s="2212" t="e">
        <f>IF('Report-M&amp;O1718'!C$18-'Report-SOF1718'!D$55&lt;=0,0,'Report-M&amp;O1718'!C$18-'Report-SOF1718'!D$55)</f>
        <v>#DIV/0!</v>
      </c>
      <c r="G668" s="2452" t="e">
        <f t="shared" si="121"/>
        <v>#DIV/0!</v>
      </c>
      <c r="H668" s="2449">
        <f>IF(A668='Data Entry - SOF'!B$2,'Data Entry - SOF'!E$64,0)</f>
        <v>0</v>
      </c>
      <c r="I668" s="1687">
        <f t="shared" si="122"/>
        <v>6435331</v>
      </c>
      <c r="J668" s="2212" t="e">
        <f>IF('Report-M&amp;O1819'!C$18-'Report-SOF1819'!D$55&lt;=0,0,'Report-M&amp;O1819'!C$18-'Report-SOF1819'!D$55)</f>
        <v>#DIV/0!</v>
      </c>
      <c r="K668" s="2452" t="e">
        <f t="shared" si="123"/>
        <v>#DIV/0!</v>
      </c>
      <c r="L668" s="2449">
        <f>IF(A668='Data Entry - SOF'!B$2,'Data Entry - SOF'!G$64,0)</f>
        <v>0</v>
      </c>
      <c r="M668" s="1371">
        <f t="shared" si="124"/>
        <v>6435331</v>
      </c>
      <c r="N668" s="2212" t="e">
        <f>IF('Report-M&amp;O1920'!C$18-'Report-SOF1920'!D$55&lt;=0,0,'Report-M&amp;O1920'!C$18-'Report-SOF1920'!D$55)</f>
        <v>#DIV/0!</v>
      </c>
      <c r="O668" s="2452" t="e">
        <f t="shared" si="125"/>
        <v>#DIV/0!</v>
      </c>
      <c r="P668" s="2449">
        <f>IF(A668='Data Entry - SOF'!B$2,'Data Entry - SOF'!I$64,0)</f>
        <v>0</v>
      </c>
      <c r="Q668" s="1687">
        <f t="shared" si="120"/>
        <v>6435331</v>
      </c>
      <c r="R668" s="2212" t="e">
        <f>IF('Report-M&amp;O2021'!C$18-'Report-SOF2021'!D$55&lt;=0,0,'Report-M&amp;O2021'!C$18-'Report-SOF2021'!D$55)</f>
        <v>#DIV/0!</v>
      </c>
      <c r="S668" s="2452" t="e">
        <f t="shared" si="126"/>
        <v>#DIV/0!</v>
      </c>
      <c r="T668" s="1708">
        <f>IF(A668='Data Entry - SOF'!B$2,'Data Entry - SOF'!K$64,0)</f>
        <v>0</v>
      </c>
      <c r="U668" s="1687">
        <f t="shared" si="130"/>
        <v>6435331</v>
      </c>
      <c r="V668" s="2212" t="e">
        <f>IF('Report-M&amp;O2122'!C$18-'Report-SOF2122'!D$55&lt;=0,0,'Report-M&amp;O2122'!C$18-'Report-SOF2122'!D$55)</f>
        <v>#DIV/0!</v>
      </c>
      <c r="W668" s="2452" t="e">
        <f t="shared" si="127"/>
        <v>#DIV/0!</v>
      </c>
      <c r="X668" s="1708">
        <f>IF(A668='Data Entry - SOF'!B$2,'Data Entry - SOF'!M$64,0)</f>
        <v>0</v>
      </c>
      <c r="Y668" s="1371" t="e">
        <f t="shared" si="128"/>
        <v>#DIV/0!</v>
      </c>
      <c r="Z668" s="2212" t="e">
        <f>IF('Report-M&amp;O2223'!C$18-'Report-SOF2223'!D$55&lt;=0,0,'Report-M&amp;O2223'!C$18-'Report-SOF2223'!D$55)</f>
        <v>#DIV/0!</v>
      </c>
      <c r="AA668" s="1708">
        <f>IF(A668='Data Entry - SOF'!B$2,'Data Entry - SOF'!O$64,0)</f>
        <v>0</v>
      </c>
    </row>
    <row r="669" spans="1:27" ht="15.75">
      <c r="A669" s="1076" t="s">
        <v>991</v>
      </c>
      <c r="B669">
        <v>1321186</v>
      </c>
      <c r="C669" s="2452" t="e">
        <f>#REF!+#REF!</f>
        <v>#REF!</v>
      </c>
      <c r="D669" s="2449">
        <f>IF(A669='Data Entry - SOF'!B$2,'Data Entry - SOF'!C$64,0)</f>
        <v>0</v>
      </c>
      <c r="E669" s="2450">
        <f t="shared" si="129"/>
        <v>1321186</v>
      </c>
      <c r="F669" s="2212" t="e">
        <f>IF('Report-M&amp;O1718'!C$18-'Report-SOF1718'!D$55&lt;=0,0,'Report-M&amp;O1718'!C$18-'Report-SOF1718'!D$55)</f>
        <v>#DIV/0!</v>
      </c>
      <c r="G669" s="2452" t="e">
        <f t="shared" si="121"/>
        <v>#DIV/0!</v>
      </c>
      <c r="H669" s="2449">
        <f>IF(A669='Data Entry - SOF'!B$2,'Data Entry - SOF'!E$64,0)</f>
        <v>0</v>
      </c>
      <c r="I669" s="1687">
        <f t="shared" si="122"/>
        <v>1321186</v>
      </c>
      <c r="J669" s="2212" t="e">
        <f>IF('Report-M&amp;O1819'!C$18-'Report-SOF1819'!D$55&lt;=0,0,'Report-M&amp;O1819'!C$18-'Report-SOF1819'!D$55)</f>
        <v>#DIV/0!</v>
      </c>
      <c r="K669" s="2452" t="e">
        <f t="shared" si="123"/>
        <v>#DIV/0!</v>
      </c>
      <c r="L669" s="2449">
        <f>IF(A669='Data Entry - SOF'!B$2,'Data Entry - SOF'!G$64,0)</f>
        <v>0</v>
      </c>
      <c r="M669" s="1371">
        <f t="shared" si="124"/>
        <v>1321186</v>
      </c>
      <c r="N669" s="2212" t="e">
        <f>IF('Report-M&amp;O1920'!C$18-'Report-SOF1920'!D$55&lt;=0,0,'Report-M&amp;O1920'!C$18-'Report-SOF1920'!D$55)</f>
        <v>#DIV/0!</v>
      </c>
      <c r="O669" s="2452" t="e">
        <f t="shared" si="125"/>
        <v>#DIV/0!</v>
      </c>
      <c r="P669" s="2449">
        <f>IF(A669='Data Entry - SOF'!B$2,'Data Entry - SOF'!I$64,0)</f>
        <v>0</v>
      </c>
      <c r="Q669" s="1687">
        <f t="shared" si="120"/>
        <v>1321186</v>
      </c>
      <c r="R669" s="2212" t="e">
        <f>IF('Report-M&amp;O2021'!C$18-'Report-SOF2021'!D$55&lt;=0,0,'Report-M&amp;O2021'!C$18-'Report-SOF2021'!D$55)</f>
        <v>#DIV/0!</v>
      </c>
      <c r="S669" s="2452" t="e">
        <f t="shared" si="126"/>
        <v>#DIV/0!</v>
      </c>
      <c r="T669" s="1708">
        <f>IF(A669='Data Entry - SOF'!B$2,'Data Entry - SOF'!K$64,0)</f>
        <v>0</v>
      </c>
      <c r="U669" s="1687">
        <f t="shared" si="130"/>
        <v>1321186</v>
      </c>
      <c r="V669" s="2212" t="e">
        <f>IF('Report-M&amp;O2122'!C$18-'Report-SOF2122'!D$55&lt;=0,0,'Report-M&amp;O2122'!C$18-'Report-SOF2122'!D$55)</f>
        <v>#DIV/0!</v>
      </c>
      <c r="W669" s="2452" t="e">
        <f t="shared" si="127"/>
        <v>#DIV/0!</v>
      </c>
      <c r="X669" s="1708">
        <f>IF(A669='Data Entry - SOF'!B$2,'Data Entry - SOF'!M$64,0)</f>
        <v>0</v>
      </c>
      <c r="Y669" s="1371" t="e">
        <f t="shared" si="128"/>
        <v>#DIV/0!</v>
      </c>
      <c r="Z669" s="2212" t="e">
        <f>IF('Report-M&amp;O2223'!C$18-'Report-SOF2223'!D$55&lt;=0,0,'Report-M&amp;O2223'!C$18-'Report-SOF2223'!D$55)</f>
        <v>#DIV/0!</v>
      </c>
      <c r="AA669" s="1708">
        <f>IF(A669='Data Entry - SOF'!B$2,'Data Entry - SOF'!O$64,0)</f>
        <v>0</v>
      </c>
    </row>
    <row r="670" spans="1:27" ht="15.75">
      <c r="A670" s="1076" t="s">
        <v>2098</v>
      </c>
      <c r="B670">
        <v>740579</v>
      </c>
      <c r="C670" s="2452" t="e">
        <f>#REF!+#REF!</f>
        <v>#REF!</v>
      </c>
      <c r="D670" s="2449">
        <f>IF(A670='Data Entry - SOF'!B$2,'Data Entry - SOF'!C$64,0)</f>
        <v>0</v>
      </c>
      <c r="E670" s="2450">
        <f t="shared" si="129"/>
        <v>740579</v>
      </c>
      <c r="F670" s="2212" t="e">
        <f>IF('Report-M&amp;O1718'!C$18-'Report-SOF1718'!D$55&lt;=0,0,'Report-M&amp;O1718'!C$18-'Report-SOF1718'!D$55)</f>
        <v>#DIV/0!</v>
      </c>
      <c r="G670" s="2452" t="e">
        <f t="shared" si="121"/>
        <v>#DIV/0!</v>
      </c>
      <c r="H670" s="2449">
        <f>IF(A670='Data Entry - SOF'!B$2,'Data Entry - SOF'!E$64,0)</f>
        <v>0</v>
      </c>
      <c r="I670" s="1687">
        <f t="shared" si="122"/>
        <v>740579</v>
      </c>
      <c r="J670" s="2212" t="e">
        <f>IF('Report-M&amp;O1819'!C$18-'Report-SOF1819'!D$55&lt;=0,0,'Report-M&amp;O1819'!C$18-'Report-SOF1819'!D$55)</f>
        <v>#DIV/0!</v>
      </c>
      <c r="K670" s="2452" t="e">
        <f t="shared" si="123"/>
        <v>#DIV/0!</v>
      </c>
      <c r="L670" s="2449">
        <f>IF(A670='Data Entry - SOF'!B$2,'Data Entry - SOF'!G$64,0)</f>
        <v>0</v>
      </c>
      <c r="M670" s="1371">
        <f t="shared" si="124"/>
        <v>740579</v>
      </c>
      <c r="N670" s="2212" t="e">
        <f>IF('Report-M&amp;O1920'!C$18-'Report-SOF1920'!D$55&lt;=0,0,'Report-M&amp;O1920'!C$18-'Report-SOF1920'!D$55)</f>
        <v>#DIV/0!</v>
      </c>
      <c r="O670" s="2452" t="e">
        <f t="shared" si="125"/>
        <v>#DIV/0!</v>
      </c>
      <c r="P670" s="2449">
        <f>IF(A670='Data Entry - SOF'!B$2,'Data Entry - SOF'!I$64,0)</f>
        <v>0</v>
      </c>
      <c r="Q670" s="1687">
        <f t="shared" si="120"/>
        <v>740579</v>
      </c>
      <c r="R670" s="2212" t="e">
        <f>IF('Report-M&amp;O2021'!C$18-'Report-SOF2021'!D$55&lt;=0,0,'Report-M&amp;O2021'!C$18-'Report-SOF2021'!D$55)</f>
        <v>#DIV/0!</v>
      </c>
      <c r="S670" s="2452" t="e">
        <f t="shared" si="126"/>
        <v>#DIV/0!</v>
      </c>
      <c r="T670" s="1708">
        <f>IF(A670='Data Entry - SOF'!B$2,'Data Entry - SOF'!K$64,0)</f>
        <v>0</v>
      </c>
      <c r="U670" s="1687">
        <f t="shared" si="130"/>
        <v>740579</v>
      </c>
      <c r="V670" s="2212" t="e">
        <f>IF('Report-M&amp;O2122'!C$18-'Report-SOF2122'!D$55&lt;=0,0,'Report-M&amp;O2122'!C$18-'Report-SOF2122'!D$55)</f>
        <v>#DIV/0!</v>
      </c>
      <c r="W670" s="2452" t="e">
        <f t="shared" si="127"/>
        <v>#DIV/0!</v>
      </c>
      <c r="X670" s="1708">
        <f>IF(A670='Data Entry - SOF'!B$2,'Data Entry - SOF'!M$64,0)</f>
        <v>0</v>
      </c>
      <c r="Y670" s="1371" t="e">
        <f t="shared" si="128"/>
        <v>#DIV/0!</v>
      </c>
      <c r="Z670" s="2212" t="e">
        <f>IF('Report-M&amp;O2223'!C$18-'Report-SOF2223'!D$55&lt;=0,0,'Report-M&amp;O2223'!C$18-'Report-SOF2223'!D$55)</f>
        <v>#DIV/0!</v>
      </c>
      <c r="AA670" s="1708">
        <f>IF(A670='Data Entry - SOF'!B$2,'Data Entry - SOF'!O$64,0)</f>
        <v>0</v>
      </c>
    </row>
    <row r="671" spans="1:27" ht="15.75">
      <c r="A671" s="1076" t="s">
        <v>287</v>
      </c>
      <c r="B671">
        <v>615173</v>
      </c>
      <c r="C671" s="2452" t="e">
        <f>#REF!+#REF!</f>
        <v>#REF!</v>
      </c>
      <c r="D671" s="2449">
        <f>IF(A671='Data Entry - SOF'!B$2,'Data Entry - SOF'!C$64,0)</f>
        <v>0</v>
      </c>
      <c r="E671" s="2450">
        <f t="shared" si="129"/>
        <v>615173</v>
      </c>
      <c r="F671" s="2212" t="e">
        <f>IF('Report-M&amp;O1718'!C$18-'Report-SOF1718'!D$55&lt;=0,0,'Report-M&amp;O1718'!C$18-'Report-SOF1718'!D$55)</f>
        <v>#DIV/0!</v>
      </c>
      <c r="G671" s="2452" t="e">
        <f t="shared" si="121"/>
        <v>#DIV/0!</v>
      </c>
      <c r="H671" s="2449">
        <f>IF(A671='Data Entry - SOF'!B$2,'Data Entry - SOF'!E$64,0)</f>
        <v>0</v>
      </c>
      <c r="I671" s="1687">
        <f t="shared" si="122"/>
        <v>615173</v>
      </c>
      <c r="J671" s="2212" t="e">
        <f>IF('Report-M&amp;O1819'!C$18-'Report-SOF1819'!D$55&lt;=0,0,'Report-M&amp;O1819'!C$18-'Report-SOF1819'!D$55)</f>
        <v>#DIV/0!</v>
      </c>
      <c r="K671" s="2452" t="e">
        <f t="shared" si="123"/>
        <v>#DIV/0!</v>
      </c>
      <c r="L671" s="2449">
        <f>IF(A671='Data Entry - SOF'!B$2,'Data Entry - SOF'!G$64,0)</f>
        <v>0</v>
      </c>
      <c r="M671" s="1371">
        <f t="shared" si="124"/>
        <v>615173</v>
      </c>
      <c r="N671" s="2212" t="e">
        <f>IF('Report-M&amp;O1920'!C$18-'Report-SOF1920'!D$55&lt;=0,0,'Report-M&amp;O1920'!C$18-'Report-SOF1920'!D$55)</f>
        <v>#DIV/0!</v>
      </c>
      <c r="O671" s="2452" t="e">
        <f t="shared" si="125"/>
        <v>#DIV/0!</v>
      </c>
      <c r="P671" s="2449">
        <f>IF(A671='Data Entry - SOF'!B$2,'Data Entry - SOF'!I$64,0)</f>
        <v>0</v>
      </c>
      <c r="Q671" s="1687">
        <f t="shared" si="120"/>
        <v>615173</v>
      </c>
      <c r="R671" s="2212" t="e">
        <f>IF('Report-M&amp;O2021'!C$18-'Report-SOF2021'!D$55&lt;=0,0,'Report-M&amp;O2021'!C$18-'Report-SOF2021'!D$55)</f>
        <v>#DIV/0!</v>
      </c>
      <c r="S671" s="2452" t="e">
        <f t="shared" si="126"/>
        <v>#DIV/0!</v>
      </c>
      <c r="T671" s="1708">
        <f>IF(A671='Data Entry - SOF'!B$2,'Data Entry - SOF'!K$64,0)</f>
        <v>0</v>
      </c>
      <c r="U671" s="1687">
        <f t="shared" si="130"/>
        <v>615173</v>
      </c>
      <c r="V671" s="2212" t="e">
        <f>IF('Report-M&amp;O2122'!C$18-'Report-SOF2122'!D$55&lt;=0,0,'Report-M&amp;O2122'!C$18-'Report-SOF2122'!D$55)</f>
        <v>#DIV/0!</v>
      </c>
      <c r="W671" s="2452" t="e">
        <f t="shared" si="127"/>
        <v>#DIV/0!</v>
      </c>
      <c r="X671" s="1708">
        <f>IF(A671='Data Entry - SOF'!B$2,'Data Entry - SOF'!M$64,0)</f>
        <v>0</v>
      </c>
      <c r="Y671" s="1371" t="e">
        <f t="shared" si="128"/>
        <v>#DIV/0!</v>
      </c>
      <c r="Z671" s="2212" t="e">
        <f>IF('Report-M&amp;O2223'!C$18-'Report-SOF2223'!D$55&lt;=0,0,'Report-M&amp;O2223'!C$18-'Report-SOF2223'!D$55)</f>
        <v>#DIV/0!</v>
      </c>
      <c r="AA671" s="1708">
        <f>IF(A671='Data Entry - SOF'!B$2,'Data Entry - SOF'!O$64,0)</f>
        <v>0</v>
      </c>
    </row>
    <row r="672" spans="1:27" ht="15.75">
      <c r="A672" s="1076" t="s">
        <v>1782</v>
      </c>
      <c r="B672">
        <v>15444025.254731599</v>
      </c>
      <c r="C672" s="2452" t="e">
        <f>#REF!+#REF!</f>
        <v>#REF!</v>
      </c>
      <c r="D672" s="2449">
        <f>IF(A672='Data Entry - SOF'!B$2,'Data Entry - SOF'!C$64,0)</f>
        <v>0</v>
      </c>
      <c r="E672" s="2450">
        <f t="shared" si="129"/>
        <v>15444025.254731599</v>
      </c>
      <c r="F672" s="2212" t="e">
        <f>IF('Report-M&amp;O1718'!C$18-'Report-SOF1718'!D$55&lt;=0,0,'Report-M&amp;O1718'!C$18-'Report-SOF1718'!D$55)</f>
        <v>#DIV/0!</v>
      </c>
      <c r="G672" s="2452" t="e">
        <f t="shared" si="121"/>
        <v>#DIV/0!</v>
      </c>
      <c r="H672" s="2449">
        <f>IF(A672='Data Entry - SOF'!B$2,'Data Entry - SOF'!E$64,0)</f>
        <v>0</v>
      </c>
      <c r="I672" s="1687">
        <f t="shared" si="122"/>
        <v>15444025.254731599</v>
      </c>
      <c r="J672" s="2212" t="e">
        <f>IF('Report-M&amp;O1819'!C$18-'Report-SOF1819'!D$55&lt;=0,0,'Report-M&amp;O1819'!C$18-'Report-SOF1819'!D$55)</f>
        <v>#DIV/0!</v>
      </c>
      <c r="K672" s="2452" t="e">
        <f t="shared" si="123"/>
        <v>#DIV/0!</v>
      </c>
      <c r="L672" s="2449">
        <f>IF(A672='Data Entry - SOF'!B$2,'Data Entry - SOF'!G$64,0)</f>
        <v>0</v>
      </c>
      <c r="M672" s="1371">
        <f t="shared" si="124"/>
        <v>15444025.254731599</v>
      </c>
      <c r="N672" s="2212" t="e">
        <f>IF('Report-M&amp;O1920'!C$18-'Report-SOF1920'!D$55&lt;=0,0,'Report-M&amp;O1920'!C$18-'Report-SOF1920'!D$55)</f>
        <v>#DIV/0!</v>
      </c>
      <c r="O672" s="2452" t="e">
        <f t="shared" si="125"/>
        <v>#DIV/0!</v>
      </c>
      <c r="P672" s="2449">
        <f>IF(A672='Data Entry - SOF'!B$2,'Data Entry - SOF'!I$64,0)</f>
        <v>0</v>
      </c>
      <c r="Q672" s="1687">
        <f t="shared" si="120"/>
        <v>15444025.254731599</v>
      </c>
      <c r="R672" s="2212" t="e">
        <f>IF('Report-M&amp;O2021'!C$18-'Report-SOF2021'!D$55&lt;=0,0,'Report-M&amp;O2021'!C$18-'Report-SOF2021'!D$55)</f>
        <v>#DIV/0!</v>
      </c>
      <c r="S672" s="2452" t="e">
        <f t="shared" si="126"/>
        <v>#DIV/0!</v>
      </c>
      <c r="T672" s="1708">
        <f>IF(A672='Data Entry - SOF'!B$2,'Data Entry - SOF'!K$64,0)</f>
        <v>0</v>
      </c>
      <c r="U672" s="1687">
        <f t="shared" si="130"/>
        <v>15444025.254731599</v>
      </c>
      <c r="V672" s="2212" t="e">
        <f>IF('Report-M&amp;O2122'!C$18-'Report-SOF2122'!D$55&lt;=0,0,'Report-M&amp;O2122'!C$18-'Report-SOF2122'!D$55)</f>
        <v>#DIV/0!</v>
      </c>
      <c r="W672" s="2452" t="e">
        <f t="shared" si="127"/>
        <v>#DIV/0!</v>
      </c>
      <c r="X672" s="1708">
        <f>IF(A672='Data Entry - SOF'!B$2,'Data Entry - SOF'!M$64,0)</f>
        <v>0</v>
      </c>
      <c r="Y672" s="1371" t="e">
        <f t="shared" si="128"/>
        <v>#DIV/0!</v>
      </c>
      <c r="Z672" s="2212" t="e">
        <f>IF('Report-M&amp;O2223'!C$18-'Report-SOF2223'!D$55&lt;=0,0,'Report-M&amp;O2223'!C$18-'Report-SOF2223'!D$55)</f>
        <v>#DIV/0!</v>
      </c>
      <c r="AA672" s="1708">
        <f>IF(A672='Data Entry - SOF'!B$2,'Data Entry - SOF'!O$64,0)</f>
        <v>0</v>
      </c>
    </row>
    <row r="673" spans="1:27" ht="15.75">
      <c r="A673" s="1076" t="s">
        <v>1296</v>
      </c>
      <c r="B673">
        <v>2242775</v>
      </c>
      <c r="C673" s="2452" t="e">
        <f>#REF!+#REF!</f>
        <v>#REF!</v>
      </c>
      <c r="D673" s="2449">
        <f>IF(A673='Data Entry - SOF'!B$2,'Data Entry - SOF'!C$64,0)</f>
        <v>0</v>
      </c>
      <c r="E673" s="2450">
        <f t="shared" si="129"/>
        <v>2242775</v>
      </c>
      <c r="F673" s="2212" t="e">
        <f>IF('Report-M&amp;O1718'!C$18-'Report-SOF1718'!D$55&lt;=0,0,'Report-M&amp;O1718'!C$18-'Report-SOF1718'!D$55)</f>
        <v>#DIV/0!</v>
      </c>
      <c r="G673" s="2452" t="e">
        <f t="shared" si="121"/>
        <v>#DIV/0!</v>
      </c>
      <c r="H673" s="2449">
        <f>IF(A673='Data Entry - SOF'!B$2,'Data Entry - SOF'!E$64,0)</f>
        <v>0</v>
      </c>
      <c r="I673" s="1687">
        <f t="shared" si="122"/>
        <v>2242775</v>
      </c>
      <c r="J673" s="2212" t="e">
        <f>IF('Report-M&amp;O1819'!C$18-'Report-SOF1819'!D$55&lt;=0,0,'Report-M&amp;O1819'!C$18-'Report-SOF1819'!D$55)</f>
        <v>#DIV/0!</v>
      </c>
      <c r="K673" s="2452" t="e">
        <f t="shared" si="123"/>
        <v>#DIV/0!</v>
      </c>
      <c r="L673" s="2449">
        <f>IF(A673='Data Entry - SOF'!B$2,'Data Entry - SOF'!G$64,0)</f>
        <v>0</v>
      </c>
      <c r="M673" s="1371">
        <f t="shared" si="124"/>
        <v>2242775</v>
      </c>
      <c r="N673" s="2212" t="e">
        <f>IF('Report-M&amp;O1920'!C$18-'Report-SOF1920'!D$55&lt;=0,0,'Report-M&amp;O1920'!C$18-'Report-SOF1920'!D$55)</f>
        <v>#DIV/0!</v>
      </c>
      <c r="O673" s="2452" t="e">
        <f t="shared" si="125"/>
        <v>#DIV/0!</v>
      </c>
      <c r="P673" s="2449">
        <f>IF(A673='Data Entry - SOF'!B$2,'Data Entry - SOF'!I$64,0)</f>
        <v>0</v>
      </c>
      <c r="Q673" s="1687">
        <f t="shared" si="120"/>
        <v>2242775</v>
      </c>
      <c r="R673" s="2212" t="e">
        <f>IF('Report-M&amp;O2021'!C$18-'Report-SOF2021'!D$55&lt;=0,0,'Report-M&amp;O2021'!C$18-'Report-SOF2021'!D$55)</f>
        <v>#DIV/0!</v>
      </c>
      <c r="S673" s="2452" t="e">
        <f t="shared" si="126"/>
        <v>#DIV/0!</v>
      </c>
      <c r="T673" s="1708">
        <f>IF(A673='Data Entry - SOF'!B$2,'Data Entry - SOF'!K$64,0)</f>
        <v>0</v>
      </c>
      <c r="U673" s="1687">
        <f t="shared" si="130"/>
        <v>2242775</v>
      </c>
      <c r="V673" s="2212" t="e">
        <f>IF('Report-M&amp;O2122'!C$18-'Report-SOF2122'!D$55&lt;=0,0,'Report-M&amp;O2122'!C$18-'Report-SOF2122'!D$55)</f>
        <v>#DIV/0!</v>
      </c>
      <c r="W673" s="2452" t="e">
        <f t="shared" si="127"/>
        <v>#DIV/0!</v>
      </c>
      <c r="X673" s="1708">
        <f>IF(A673='Data Entry - SOF'!B$2,'Data Entry - SOF'!M$64,0)</f>
        <v>0</v>
      </c>
      <c r="Y673" s="1371" t="e">
        <f t="shared" si="128"/>
        <v>#DIV/0!</v>
      </c>
      <c r="Z673" s="2212" t="e">
        <f>IF('Report-M&amp;O2223'!C$18-'Report-SOF2223'!D$55&lt;=0,0,'Report-M&amp;O2223'!C$18-'Report-SOF2223'!D$55)</f>
        <v>#DIV/0!</v>
      </c>
      <c r="AA673" s="1708">
        <f>IF(A673='Data Entry - SOF'!B$2,'Data Entry - SOF'!O$64,0)</f>
        <v>0</v>
      </c>
    </row>
    <row r="674" spans="1:27" ht="15.75">
      <c r="A674" s="1076" t="s">
        <v>2266</v>
      </c>
      <c r="B674">
        <v>1564221</v>
      </c>
      <c r="C674" s="2452" t="e">
        <f>#REF!+#REF!</f>
        <v>#REF!</v>
      </c>
      <c r="D674" s="2449">
        <f>IF(A674='Data Entry - SOF'!B$2,'Data Entry - SOF'!C$64,0)</f>
        <v>0</v>
      </c>
      <c r="E674" s="2450">
        <f t="shared" si="129"/>
        <v>1564221</v>
      </c>
      <c r="F674" s="2212" t="e">
        <f>IF('Report-M&amp;O1718'!C$18-'Report-SOF1718'!D$55&lt;=0,0,'Report-M&amp;O1718'!C$18-'Report-SOF1718'!D$55)</f>
        <v>#DIV/0!</v>
      </c>
      <c r="G674" s="2452" t="e">
        <f t="shared" si="121"/>
        <v>#DIV/0!</v>
      </c>
      <c r="H674" s="2449">
        <f>IF(A674='Data Entry - SOF'!B$2,'Data Entry - SOF'!E$64,0)</f>
        <v>0</v>
      </c>
      <c r="I674" s="1687">
        <f t="shared" si="122"/>
        <v>1564221</v>
      </c>
      <c r="J674" s="2212" t="e">
        <f>IF('Report-M&amp;O1819'!C$18-'Report-SOF1819'!D$55&lt;=0,0,'Report-M&amp;O1819'!C$18-'Report-SOF1819'!D$55)</f>
        <v>#DIV/0!</v>
      </c>
      <c r="K674" s="2452" t="e">
        <f t="shared" si="123"/>
        <v>#DIV/0!</v>
      </c>
      <c r="L674" s="2449">
        <f>IF(A674='Data Entry - SOF'!B$2,'Data Entry - SOF'!G$64,0)</f>
        <v>0</v>
      </c>
      <c r="M674" s="1371">
        <f t="shared" si="124"/>
        <v>1564221</v>
      </c>
      <c r="N674" s="2212" t="e">
        <f>IF('Report-M&amp;O1920'!C$18-'Report-SOF1920'!D$55&lt;=0,0,'Report-M&amp;O1920'!C$18-'Report-SOF1920'!D$55)</f>
        <v>#DIV/0!</v>
      </c>
      <c r="O674" s="2452" t="e">
        <f t="shared" si="125"/>
        <v>#DIV/0!</v>
      </c>
      <c r="P674" s="2449">
        <f>IF(A674='Data Entry - SOF'!B$2,'Data Entry - SOF'!I$64,0)</f>
        <v>0</v>
      </c>
      <c r="Q674" s="1687">
        <f t="shared" si="120"/>
        <v>1564221</v>
      </c>
      <c r="R674" s="2212" t="e">
        <f>IF('Report-M&amp;O2021'!C$18-'Report-SOF2021'!D$55&lt;=0,0,'Report-M&amp;O2021'!C$18-'Report-SOF2021'!D$55)</f>
        <v>#DIV/0!</v>
      </c>
      <c r="S674" s="2452" t="e">
        <f t="shared" si="126"/>
        <v>#DIV/0!</v>
      </c>
      <c r="T674" s="1708">
        <f>IF(A674='Data Entry - SOF'!B$2,'Data Entry - SOF'!K$64,0)</f>
        <v>0</v>
      </c>
      <c r="U674" s="1687">
        <f t="shared" si="130"/>
        <v>1564221</v>
      </c>
      <c r="V674" s="2212" t="e">
        <f>IF('Report-M&amp;O2122'!C$18-'Report-SOF2122'!D$55&lt;=0,0,'Report-M&amp;O2122'!C$18-'Report-SOF2122'!D$55)</f>
        <v>#DIV/0!</v>
      </c>
      <c r="W674" s="2452" t="e">
        <f t="shared" si="127"/>
        <v>#DIV/0!</v>
      </c>
      <c r="X674" s="1708">
        <f>IF(A674='Data Entry - SOF'!B$2,'Data Entry - SOF'!M$64,0)</f>
        <v>0</v>
      </c>
      <c r="Y674" s="1371" t="e">
        <f t="shared" si="128"/>
        <v>#DIV/0!</v>
      </c>
      <c r="Z674" s="2212" t="e">
        <f>IF('Report-M&amp;O2223'!C$18-'Report-SOF2223'!D$55&lt;=0,0,'Report-M&amp;O2223'!C$18-'Report-SOF2223'!D$55)</f>
        <v>#DIV/0!</v>
      </c>
      <c r="AA674" s="1708">
        <f>IF(A674='Data Entry - SOF'!B$2,'Data Entry - SOF'!O$64,0)</f>
        <v>0</v>
      </c>
    </row>
    <row r="675" spans="1:27" ht="15.75">
      <c r="A675" s="1076" t="s">
        <v>1036</v>
      </c>
      <c r="B675">
        <v>1613757</v>
      </c>
      <c r="C675" s="2452" t="e">
        <f>#REF!+#REF!</f>
        <v>#REF!</v>
      </c>
      <c r="D675" s="2449">
        <f>IF(A675='Data Entry - SOF'!B$2,'Data Entry - SOF'!C$64,0)</f>
        <v>0</v>
      </c>
      <c r="E675" s="2450">
        <f t="shared" si="129"/>
        <v>1613757</v>
      </c>
      <c r="F675" s="2212" t="e">
        <f>IF('Report-M&amp;O1718'!C$18-'Report-SOF1718'!D$55&lt;=0,0,'Report-M&amp;O1718'!C$18-'Report-SOF1718'!D$55)</f>
        <v>#DIV/0!</v>
      </c>
      <c r="G675" s="2452" t="e">
        <f t="shared" si="121"/>
        <v>#DIV/0!</v>
      </c>
      <c r="H675" s="2449">
        <f>IF(A675='Data Entry - SOF'!B$2,'Data Entry - SOF'!E$64,0)</f>
        <v>0</v>
      </c>
      <c r="I675" s="1687">
        <f t="shared" si="122"/>
        <v>1613757</v>
      </c>
      <c r="J675" s="2212" t="e">
        <f>IF('Report-M&amp;O1819'!C$18-'Report-SOF1819'!D$55&lt;=0,0,'Report-M&amp;O1819'!C$18-'Report-SOF1819'!D$55)</f>
        <v>#DIV/0!</v>
      </c>
      <c r="K675" s="2452" t="e">
        <f t="shared" si="123"/>
        <v>#DIV/0!</v>
      </c>
      <c r="L675" s="2449">
        <f>IF(A675='Data Entry - SOF'!B$2,'Data Entry - SOF'!G$64,0)</f>
        <v>0</v>
      </c>
      <c r="M675" s="1371">
        <f t="shared" si="124"/>
        <v>1613757</v>
      </c>
      <c r="N675" s="2212" t="e">
        <f>IF('Report-M&amp;O1920'!C$18-'Report-SOF1920'!D$55&lt;=0,0,'Report-M&amp;O1920'!C$18-'Report-SOF1920'!D$55)</f>
        <v>#DIV/0!</v>
      </c>
      <c r="O675" s="2452" t="e">
        <f t="shared" si="125"/>
        <v>#DIV/0!</v>
      </c>
      <c r="P675" s="2449">
        <f>IF(A675='Data Entry - SOF'!B$2,'Data Entry - SOF'!I$64,0)</f>
        <v>0</v>
      </c>
      <c r="Q675" s="1687">
        <f t="shared" si="120"/>
        <v>1613757</v>
      </c>
      <c r="R675" s="2212" t="e">
        <f>IF('Report-M&amp;O2021'!C$18-'Report-SOF2021'!D$55&lt;=0,0,'Report-M&amp;O2021'!C$18-'Report-SOF2021'!D$55)</f>
        <v>#DIV/0!</v>
      </c>
      <c r="S675" s="2452" t="e">
        <f t="shared" si="126"/>
        <v>#DIV/0!</v>
      </c>
      <c r="T675" s="1708">
        <f>IF(A675='Data Entry - SOF'!B$2,'Data Entry - SOF'!K$64,0)</f>
        <v>0</v>
      </c>
      <c r="U675" s="1687">
        <f t="shared" si="130"/>
        <v>1613757</v>
      </c>
      <c r="V675" s="2212" t="e">
        <f>IF('Report-M&amp;O2122'!C$18-'Report-SOF2122'!D$55&lt;=0,0,'Report-M&amp;O2122'!C$18-'Report-SOF2122'!D$55)</f>
        <v>#DIV/0!</v>
      </c>
      <c r="W675" s="2452" t="e">
        <f t="shared" si="127"/>
        <v>#DIV/0!</v>
      </c>
      <c r="X675" s="1708">
        <f>IF(A675='Data Entry - SOF'!B$2,'Data Entry - SOF'!M$64,0)</f>
        <v>0</v>
      </c>
      <c r="Y675" s="1371" t="e">
        <f t="shared" si="128"/>
        <v>#DIV/0!</v>
      </c>
      <c r="Z675" s="2212" t="e">
        <f>IF('Report-M&amp;O2223'!C$18-'Report-SOF2223'!D$55&lt;=0,0,'Report-M&amp;O2223'!C$18-'Report-SOF2223'!D$55)</f>
        <v>#DIV/0!</v>
      </c>
      <c r="AA675" s="1708">
        <f>IF(A675='Data Entry - SOF'!B$2,'Data Entry - SOF'!O$64,0)</f>
        <v>0</v>
      </c>
    </row>
    <row r="676" spans="1:27" ht="15.75">
      <c r="A676" s="1076" t="s">
        <v>199</v>
      </c>
      <c r="B676">
        <v>5536480</v>
      </c>
      <c r="C676" s="2452" t="e">
        <f>#REF!+#REF!</f>
        <v>#REF!</v>
      </c>
      <c r="D676" s="2449">
        <f>IF(A676='Data Entry - SOF'!B$2,'Data Entry - SOF'!C$64,0)</f>
        <v>0</v>
      </c>
      <c r="E676" s="2450">
        <f t="shared" si="129"/>
        <v>5536480</v>
      </c>
      <c r="F676" s="2212" t="e">
        <f>IF('Report-M&amp;O1718'!C$18-'Report-SOF1718'!D$55&lt;=0,0,'Report-M&amp;O1718'!C$18-'Report-SOF1718'!D$55)</f>
        <v>#DIV/0!</v>
      </c>
      <c r="G676" s="2452" t="e">
        <f t="shared" si="121"/>
        <v>#DIV/0!</v>
      </c>
      <c r="H676" s="2449">
        <f>IF(A676='Data Entry - SOF'!B$2,'Data Entry - SOF'!E$64,0)</f>
        <v>0</v>
      </c>
      <c r="I676" s="1687">
        <f t="shared" si="122"/>
        <v>5536480</v>
      </c>
      <c r="J676" s="2212" t="e">
        <f>IF('Report-M&amp;O1819'!C$18-'Report-SOF1819'!D$55&lt;=0,0,'Report-M&amp;O1819'!C$18-'Report-SOF1819'!D$55)</f>
        <v>#DIV/0!</v>
      </c>
      <c r="K676" s="2452" t="e">
        <f t="shared" si="123"/>
        <v>#DIV/0!</v>
      </c>
      <c r="L676" s="2449">
        <f>IF(A676='Data Entry - SOF'!B$2,'Data Entry - SOF'!G$64,0)</f>
        <v>0</v>
      </c>
      <c r="M676" s="1371">
        <f t="shared" si="124"/>
        <v>5536480</v>
      </c>
      <c r="N676" s="2212" t="e">
        <f>IF('Report-M&amp;O1920'!C$18-'Report-SOF1920'!D$55&lt;=0,0,'Report-M&amp;O1920'!C$18-'Report-SOF1920'!D$55)</f>
        <v>#DIV/0!</v>
      </c>
      <c r="O676" s="2452" t="e">
        <f t="shared" si="125"/>
        <v>#DIV/0!</v>
      </c>
      <c r="P676" s="2449">
        <f>IF(A676='Data Entry - SOF'!B$2,'Data Entry - SOF'!I$64,0)</f>
        <v>0</v>
      </c>
      <c r="Q676" s="1687">
        <f t="shared" si="120"/>
        <v>5536480</v>
      </c>
      <c r="R676" s="2212" t="e">
        <f>IF('Report-M&amp;O2021'!C$18-'Report-SOF2021'!D$55&lt;=0,0,'Report-M&amp;O2021'!C$18-'Report-SOF2021'!D$55)</f>
        <v>#DIV/0!</v>
      </c>
      <c r="S676" s="2452" t="e">
        <f t="shared" si="126"/>
        <v>#DIV/0!</v>
      </c>
      <c r="T676" s="1708">
        <f>IF(A676='Data Entry - SOF'!B$2,'Data Entry - SOF'!K$64,0)</f>
        <v>0</v>
      </c>
      <c r="U676" s="1687">
        <f t="shared" si="130"/>
        <v>5536480</v>
      </c>
      <c r="V676" s="2212" t="e">
        <f>IF('Report-M&amp;O2122'!C$18-'Report-SOF2122'!D$55&lt;=0,0,'Report-M&amp;O2122'!C$18-'Report-SOF2122'!D$55)</f>
        <v>#DIV/0!</v>
      </c>
      <c r="W676" s="2452" t="e">
        <f t="shared" si="127"/>
        <v>#DIV/0!</v>
      </c>
      <c r="X676" s="1708">
        <f>IF(A676='Data Entry - SOF'!B$2,'Data Entry - SOF'!M$64,0)</f>
        <v>0</v>
      </c>
      <c r="Y676" s="1371" t="e">
        <f t="shared" si="128"/>
        <v>#DIV/0!</v>
      </c>
      <c r="Z676" s="2212" t="e">
        <f>IF('Report-M&amp;O2223'!C$18-'Report-SOF2223'!D$55&lt;=0,0,'Report-M&amp;O2223'!C$18-'Report-SOF2223'!D$55)</f>
        <v>#DIV/0!</v>
      </c>
      <c r="AA676" s="1708">
        <f>IF(A676='Data Entry - SOF'!B$2,'Data Entry - SOF'!O$64,0)</f>
        <v>0</v>
      </c>
    </row>
    <row r="677" spans="1:27" ht="15.75">
      <c r="A677" s="1076" t="s">
        <v>2896</v>
      </c>
      <c r="B677">
        <v>12867403</v>
      </c>
      <c r="C677" s="2452" t="e">
        <f>#REF!+#REF!</f>
        <v>#REF!</v>
      </c>
      <c r="D677" s="2449">
        <f>IF(A677='Data Entry - SOF'!B$2,'Data Entry - SOF'!C$64,0)</f>
        <v>0</v>
      </c>
      <c r="E677" s="2450">
        <f t="shared" si="129"/>
        <v>12867403</v>
      </c>
      <c r="F677" s="2212" t="e">
        <f>IF('Report-M&amp;O1718'!C$18-'Report-SOF1718'!D$55&lt;=0,0,'Report-M&amp;O1718'!C$18-'Report-SOF1718'!D$55)</f>
        <v>#DIV/0!</v>
      </c>
      <c r="G677" s="2452" t="e">
        <f t="shared" si="121"/>
        <v>#DIV/0!</v>
      </c>
      <c r="H677" s="2449">
        <f>IF(A677='Data Entry - SOF'!B$2,'Data Entry - SOF'!E$64,0)</f>
        <v>0</v>
      </c>
      <c r="I677" s="1687">
        <f t="shared" si="122"/>
        <v>12867403</v>
      </c>
      <c r="J677" s="2212" t="e">
        <f>IF('Report-M&amp;O1819'!C$18-'Report-SOF1819'!D$55&lt;=0,0,'Report-M&amp;O1819'!C$18-'Report-SOF1819'!D$55)</f>
        <v>#DIV/0!</v>
      </c>
      <c r="K677" s="2452" t="e">
        <f t="shared" si="123"/>
        <v>#DIV/0!</v>
      </c>
      <c r="L677" s="2449">
        <f>IF(A677='Data Entry - SOF'!B$2,'Data Entry - SOF'!G$64,0)</f>
        <v>0</v>
      </c>
      <c r="M677" s="1371">
        <f t="shared" si="124"/>
        <v>12867403</v>
      </c>
      <c r="N677" s="2212" t="e">
        <f>IF('Report-M&amp;O1920'!C$18-'Report-SOF1920'!D$55&lt;=0,0,'Report-M&amp;O1920'!C$18-'Report-SOF1920'!D$55)</f>
        <v>#DIV/0!</v>
      </c>
      <c r="O677" s="2452" t="e">
        <f t="shared" si="125"/>
        <v>#DIV/0!</v>
      </c>
      <c r="P677" s="2449">
        <f>IF(A677='Data Entry - SOF'!B$2,'Data Entry - SOF'!I$64,0)</f>
        <v>0</v>
      </c>
      <c r="Q677" s="1687">
        <f t="shared" si="120"/>
        <v>12867403</v>
      </c>
      <c r="R677" s="2212" t="e">
        <f>IF('Report-M&amp;O2021'!C$18-'Report-SOF2021'!D$55&lt;=0,0,'Report-M&amp;O2021'!C$18-'Report-SOF2021'!D$55)</f>
        <v>#DIV/0!</v>
      </c>
      <c r="S677" s="2452" t="e">
        <f t="shared" si="126"/>
        <v>#DIV/0!</v>
      </c>
      <c r="T677" s="1708">
        <f>IF(A677='Data Entry - SOF'!B$2,'Data Entry - SOF'!K$64,0)</f>
        <v>0</v>
      </c>
      <c r="U677" s="1687">
        <f t="shared" si="130"/>
        <v>12867403</v>
      </c>
      <c r="V677" s="2212" t="e">
        <f>IF('Report-M&amp;O2122'!C$18-'Report-SOF2122'!D$55&lt;=0,0,'Report-M&amp;O2122'!C$18-'Report-SOF2122'!D$55)</f>
        <v>#DIV/0!</v>
      </c>
      <c r="W677" s="2452" t="e">
        <f t="shared" si="127"/>
        <v>#DIV/0!</v>
      </c>
      <c r="X677" s="1708">
        <f>IF(A677='Data Entry - SOF'!B$2,'Data Entry - SOF'!M$64,0)</f>
        <v>0</v>
      </c>
      <c r="Y677" s="1371" t="e">
        <f t="shared" si="128"/>
        <v>#DIV/0!</v>
      </c>
      <c r="Z677" s="2212" t="e">
        <f>IF('Report-M&amp;O2223'!C$18-'Report-SOF2223'!D$55&lt;=0,0,'Report-M&amp;O2223'!C$18-'Report-SOF2223'!D$55)</f>
        <v>#DIV/0!</v>
      </c>
      <c r="AA677" s="1708">
        <f>IF(A677='Data Entry - SOF'!B$2,'Data Entry - SOF'!O$64,0)</f>
        <v>0</v>
      </c>
    </row>
    <row r="678" spans="1:27" ht="15.75">
      <c r="A678" s="1076" t="s">
        <v>2978</v>
      </c>
      <c r="B678">
        <v>1126405</v>
      </c>
      <c r="C678" s="2452" t="e">
        <f>#REF!+#REF!</f>
        <v>#REF!</v>
      </c>
      <c r="D678" s="2449">
        <f>IF(A678='Data Entry - SOF'!B$2,'Data Entry - SOF'!C$64,0)</f>
        <v>0</v>
      </c>
      <c r="E678" s="2450">
        <f t="shared" si="129"/>
        <v>1126405</v>
      </c>
      <c r="F678" s="2212" t="e">
        <f>IF('Report-M&amp;O1718'!C$18-'Report-SOF1718'!D$55&lt;=0,0,'Report-M&amp;O1718'!C$18-'Report-SOF1718'!D$55)</f>
        <v>#DIV/0!</v>
      </c>
      <c r="G678" s="2452" t="e">
        <f t="shared" si="121"/>
        <v>#DIV/0!</v>
      </c>
      <c r="H678" s="2449">
        <f>IF(A678='Data Entry - SOF'!B$2,'Data Entry - SOF'!E$64,0)</f>
        <v>0</v>
      </c>
      <c r="I678" s="1687">
        <f t="shared" si="122"/>
        <v>1126405</v>
      </c>
      <c r="J678" s="2212" t="e">
        <f>IF('Report-M&amp;O1819'!C$18-'Report-SOF1819'!D$55&lt;=0,0,'Report-M&amp;O1819'!C$18-'Report-SOF1819'!D$55)</f>
        <v>#DIV/0!</v>
      </c>
      <c r="K678" s="2452" t="e">
        <f t="shared" si="123"/>
        <v>#DIV/0!</v>
      </c>
      <c r="L678" s="2449">
        <f>IF(A678='Data Entry - SOF'!B$2,'Data Entry - SOF'!G$64,0)</f>
        <v>0</v>
      </c>
      <c r="M678" s="1371">
        <f t="shared" si="124"/>
        <v>1126405</v>
      </c>
      <c r="N678" s="2212" t="e">
        <f>IF('Report-M&amp;O1920'!C$18-'Report-SOF1920'!D$55&lt;=0,0,'Report-M&amp;O1920'!C$18-'Report-SOF1920'!D$55)</f>
        <v>#DIV/0!</v>
      </c>
      <c r="O678" s="2452" t="e">
        <f t="shared" si="125"/>
        <v>#DIV/0!</v>
      </c>
      <c r="P678" s="2449">
        <f>IF(A678='Data Entry - SOF'!B$2,'Data Entry - SOF'!I$64,0)</f>
        <v>0</v>
      </c>
      <c r="Q678" s="1687">
        <f t="shared" si="120"/>
        <v>1126405</v>
      </c>
      <c r="R678" s="2212" t="e">
        <f>IF('Report-M&amp;O2021'!C$18-'Report-SOF2021'!D$55&lt;=0,0,'Report-M&amp;O2021'!C$18-'Report-SOF2021'!D$55)</f>
        <v>#DIV/0!</v>
      </c>
      <c r="S678" s="2452" t="e">
        <f t="shared" si="126"/>
        <v>#DIV/0!</v>
      </c>
      <c r="T678" s="1708">
        <f>IF(A678='Data Entry - SOF'!B$2,'Data Entry - SOF'!K$64,0)</f>
        <v>0</v>
      </c>
      <c r="U678" s="1687">
        <f t="shared" si="130"/>
        <v>1126405</v>
      </c>
      <c r="V678" s="2212" t="e">
        <f>IF('Report-M&amp;O2122'!C$18-'Report-SOF2122'!D$55&lt;=0,0,'Report-M&amp;O2122'!C$18-'Report-SOF2122'!D$55)</f>
        <v>#DIV/0!</v>
      </c>
      <c r="W678" s="2452" t="e">
        <f t="shared" si="127"/>
        <v>#DIV/0!</v>
      </c>
      <c r="X678" s="1708">
        <f>IF(A678='Data Entry - SOF'!B$2,'Data Entry - SOF'!M$64,0)</f>
        <v>0</v>
      </c>
      <c r="Y678" s="1371" t="e">
        <f t="shared" si="128"/>
        <v>#DIV/0!</v>
      </c>
      <c r="Z678" s="2212" t="e">
        <f>IF('Report-M&amp;O2223'!C$18-'Report-SOF2223'!D$55&lt;=0,0,'Report-M&amp;O2223'!C$18-'Report-SOF2223'!D$55)</f>
        <v>#DIV/0!</v>
      </c>
      <c r="AA678" s="1708">
        <f>IF(A678='Data Entry - SOF'!B$2,'Data Entry - SOF'!O$64,0)</f>
        <v>0</v>
      </c>
    </row>
    <row r="679" spans="1:27" ht="15.75">
      <c r="A679" s="1076" t="s">
        <v>2899</v>
      </c>
      <c r="B679">
        <v>115629159.12347201</v>
      </c>
      <c r="C679" s="2452" t="e">
        <f>#REF!+#REF!</f>
        <v>#REF!</v>
      </c>
      <c r="D679" s="2449">
        <f>IF(A679='Data Entry - SOF'!B$2,'Data Entry - SOF'!C$64,0)</f>
        <v>0</v>
      </c>
      <c r="E679" s="2450">
        <f t="shared" si="129"/>
        <v>115629159.12347201</v>
      </c>
      <c r="F679" s="2212" t="e">
        <f>IF('Report-M&amp;O1718'!C$18-'Report-SOF1718'!D$55&lt;=0,0,'Report-M&amp;O1718'!C$18-'Report-SOF1718'!D$55)</f>
        <v>#DIV/0!</v>
      </c>
      <c r="G679" s="2452" t="e">
        <f t="shared" si="121"/>
        <v>#DIV/0!</v>
      </c>
      <c r="H679" s="2449">
        <f>IF(A679='Data Entry - SOF'!B$2,'Data Entry - SOF'!E$64,0)</f>
        <v>0</v>
      </c>
      <c r="I679" s="1687">
        <f t="shared" si="122"/>
        <v>115629159.12347201</v>
      </c>
      <c r="J679" s="2212" t="e">
        <f>IF('Report-M&amp;O1819'!C$18-'Report-SOF1819'!D$55&lt;=0,0,'Report-M&amp;O1819'!C$18-'Report-SOF1819'!D$55)</f>
        <v>#DIV/0!</v>
      </c>
      <c r="K679" s="2452" t="e">
        <f t="shared" si="123"/>
        <v>#DIV/0!</v>
      </c>
      <c r="L679" s="2449">
        <f>IF(A679='Data Entry - SOF'!B$2,'Data Entry - SOF'!G$64,0)</f>
        <v>0</v>
      </c>
      <c r="M679" s="1371">
        <f t="shared" si="124"/>
        <v>115629159.12347201</v>
      </c>
      <c r="N679" s="2212" t="e">
        <f>IF('Report-M&amp;O1920'!C$18-'Report-SOF1920'!D$55&lt;=0,0,'Report-M&amp;O1920'!C$18-'Report-SOF1920'!D$55)</f>
        <v>#DIV/0!</v>
      </c>
      <c r="O679" s="2452" t="e">
        <f t="shared" si="125"/>
        <v>#DIV/0!</v>
      </c>
      <c r="P679" s="2449">
        <f>IF(A679='Data Entry - SOF'!B$2,'Data Entry - SOF'!I$64,0)</f>
        <v>0</v>
      </c>
      <c r="Q679" s="1687">
        <f t="shared" si="120"/>
        <v>115629159.12347201</v>
      </c>
      <c r="R679" s="2212" t="e">
        <f>IF('Report-M&amp;O2021'!C$18-'Report-SOF2021'!D$55&lt;=0,0,'Report-M&amp;O2021'!C$18-'Report-SOF2021'!D$55)</f>
        <v>#DIV/0!</v>
      </c>
      <c r="S679" s="2452" t="e">
        <f t="shared" si="126"/>
        <v>#DIV/0!</v>
      </c>
      <c r="T679" s="1708">
        <f>IF(A679='Data Entry - SOF'!B$2,'Data Entry - SOF'!K$64,0)</f>
        <v>0</v>
      </c>
      <c r="U679" s="1687">
        <f t="shared" si="130"/>
        <v>115629159.12347201</v>
      </c>
      <c r="V679" s="2212" t="e">
        <f>IF('Report-M&amp;O2122'!C$18-'Report-SOF2122'!D$55&lt;=0,0,'Report-M&amp;O2122'!C$18-'Report-SOF2122'!D$55)</f>
        <v>#DIV/0!</v>
      </c>
      <c r="W679" s="2452" t="e">
        <f t="shared" si="127"/>
        <v>#DIV/0!</v>
      </c>
      <c r="X679" s="1708">
        <f>IF(A679='Data Entry - SOF'!B$2,'Data Entry - SOF'!M$64,0)</f>
        <v>0</v>
      </c>
      <c r="Y679" s="1371" t="e">
        <f t="shared" si="128"/>
        <v>#DIV/0!</v>
      </c>
      <c r="Z679" s="2212" t="e">
        <f>IF('Report-M&amp;O2223'!C$18-'Report-SOF2223'!D$55&lt;=0,0,'Report-M&amp;O2223'!C$18-'Report-SOF2223'!D$55)</f>
        <v>#DIV/0!</v>
      </c>
      <c r="AA679" s="1708">
        <f>IF(A679='Data Entry - SOF'!B$2,'Data Entry - SOF'!O$64,0)</f>
        <v>0</v>
      </c>
    </row>
    <row r="680" spans="1:27" ht="15.75">
      <c r="A680" s="1076" t="s">
        <v>1475</v>
      </c>
      <c r="B680">
        <v>17300502</v>
      </c>
      <c r="C680" s="2452" t="e">
        <f>#REF!+#REF!</f>
        <v>#REF!</v>
      </c>
      <c r="D680" s="2449">
        <f>IF(A680='Data Entry - SOF'!B$2,'Data Entry - SOF'!C$64,0)</f>
        <v>0</v>
      </c>
      <c r="E680" s="2450">
        <f t="shared" si="129"/>
        <v>17300502</v>
      </c>
      <c r="F680" s="2212" t="e">
        <f>IF('Report-M&amp;O1718'!C$18-'Report-SOF1718'!D$55&lt;=0,0,'Report-M&amp;O1718'!C$18-'Report-SOF1718'!D$55)</f>
        <v>#DIV/0!</v>
      </c>
      <c r="G680" s="2452" t="e">
        <f t="shared" si="121"/>
        <v>#DIV/0!</v>
      </c>
      <c r="H680" s="2449">
        <f>IF(A680='Data Entry - SOF'!B$2,'Data Entry - SOF'!E$64,0)</f>
        <v>0</v>
      </c>
      <c r="I680" s="1687">
        <f t="shared" si="122"/>
        <v>17300502</v>
      </c>
      <c r="J680" s="2212" t="e">
        <f>IF('Report-M&amp;O1819'!C$18-'Report-SOF1819'!D$55&lt;=0,0,'Report-M&amp;O1819'!C$18-'Report-SOF1819'!D$55)</f>
        <v>#DIV/0!</v>
      </c>
      <c r="K680" s="2452" t="e">
        <f t="shared" si="123"/>
        <v>#DIV/0!</v>
      </c>
      <c r="L680" s="2449">
        <f>IF(A680='Data Entry - SOF'!B$2,'Data Entry - SOF'!G$64,0)</f>
        <v>0</v>
      </c>
      <c r="M680" s="1371">
        <f t="shared" si="124"/>
        <v>17300502</v>
      </c>
      <c r="N680" s="2212" t="e">
        <f>IF('Report-M&amp;O1920'!C$18-'Report-SOF1920'!D$55&lt;=0,0,'Report-M&amp;O1920'!C$18-'Report-SOF1920'!D$55)</f>
        <v>#DIV/0!</v>
      </c>
      <c r="O680" s="2452" t="e">
        <f t="shared" si="125"/>
        <v>#DIV/0!</v>
      </c>
      <c r="P680" s="2449">
        <f>IF(A680='Data Entry - SOF'!B$2,'Data Entry - SOF'!I$64,0)</f>
        <v>0</v>
      </c>
      <c r="Q680" s="1687">
        <f t="shared" si="120"/>
        <v>17300502</v>
      </c>
      <c r="R680" s="2212" t="e">
        <f>IF('Report-M&amp;O2021'!C$18-'Report-SOF2021'!D$55&lt;=0,0,'Report-M&amp;O2021'!C$18-'Report-SOF2021'!D$55)</f>
        <v>#DIV/0!</v>
      </c>
      <c r="S680" s="2452" t="e">
        <f t="shared" si="126"/>
        <v>#DIV/0!</v>
      </c>
      <c r="T680" s="1708">
        <f>IF(A680='Data Entry - SOF'!B$2,'Data Entry - SOF'!K$64,0)</f>
        <v>0</v>
      </c>
      <c r="U680" s="1687">
        <f t="shared" si="130"/>
        <v>17300502</v>
      </c>
      <c r="V680" s="2212" t="e">
        <f>IF('Report-M&amp;O2122'!C$18-'Report-SOF2122'!D$55&lt;=0,0,'Report-M&amp;O2122'!C$18-'Report-SOF2122'!D$55)</f>
        <v>#DIV/0!</v>
      </c>
      <c r="W680" s="2452" t="e">
        <f t="shared" si="127"/>
        <v>#DIV/0!</v>
      </c>
      <c r="X680" s="1708">
        <f>IF(A680='Data Entry - SOF'!B$2,'Data Entry - SOF'!M$64,0)</f>
        <v>0</v>
      </c>
      <c r="Y680" s="1371" t="e">
        <f t="shared" si="128"/>
        <v>#DIV/0!</v>
      </c>
      <c r="Z680" s="2212" t="e">
        <f>IF('Report-M&amp;O2223'!C$18-'Report-SOF2223'!D$55&lt;=0,0,'Report-M&amp;O2223'!C$18-'Report-SOF2223'!D$55)</f>
        <v>#DIV/0!</v>
      </c>
      <c r="AA680" s="1708">
        <f>IF(A680='Data Entry - SOF'!B$2,'Data Entry - SOF'!O$64,0)</f>
        <v>0</v>
      </c>
    </row>
    <row r="681" spans="1:27" ht="15.75">
      <c r="A681" s="1076" t="s">
        <v>2156</v>
      </c>
      <c r="B681">
        <v>3667818</v>
      </c>
      <c r="C681" s="2452" t="e">
        <f>#REF!+#REF!</f>
        <v>#REF!</v>
      </c>
      <c r="D681" s="2449">
        <f>IF(A681='Data Entry - SOF'!B$2,'Data Entry - SOF'!C$64,0)</f>
        <v>0</v>
      </c>
      <c r="E681" s="2450">
        <f t="shared" si="129"/>
        <v>3667818</v>
      </c>
      <c r="F681" s="2212" t="e">
        <f>IF('Report-M&amp;O1718'!C$18-'Report-SOF1718'!D$55&lt;=0,0,'Report-M&amp;O1718'!C$18-'Report-SOF1718'!D$55)</f>
        <v>#DIV/0!</v>
      </c>
      <c r="G681" s="2452" t="e">
        <f t="shared" si="121"/>
        <v>#DIV/0!</v>
      </c>
      <c r="H681" s="2449">
        <f>IF(A681='Data Entry - SOF'!B$2,'Data Entry - SOF'!E$64,0)</f>
        <v>0</v>
      </c>
      <c r="I681" s="1687">
        <f t="shared" si="122"/>
        <v>3667818</v>
      </c>
      <c r="J681" s="2212" t="e">
        <f>IF('Report-M&amp;O1819'!C$18-'Report-SOF1819'!D$55&lt;=0,0,'Report-M&amp;O1819'!C$18-'Report-SOF1819'!D$55)</f>
        <v>#DIV/0!</v>
      </c>
      <c r="K681" s="2452" t="e">
        <f t="shared" si="123"/>
        <v>#DIV/0!</v>
      </c>
      <c r="L681" s="2449">
        <f>IF(A681='Data Entry - SOF'!B$2,'Data Entry - SOF'!G$64,0)</f>
        <v>0</v>
      </c>
      <c r="M681" s="1371">
        <f t="shared" si="124"/>
        <v>3667818</v>
      </c>
      <c r="N681" s="2212" t="e">
        <f>IF('Report-M&amp;O1920'!C$18-'Report-SOF1920'!D$55&lt;=0,0,'Report-M&amp;O1920'!C$18-'Report-SOF1920'!D$55)</f>
        <v>#DIV/0!</v>
      </c>
      <c r="O681" s="2452" t="e">
        <f t="shared" si="125"/>
        <v>#DIV/0!</v>
      </c>
      <c r="P681" s="2449">
        <f>IF(A681='Data Entry - SOF'!B$2,'Data Entry - SOF'!I$64,0)</f>
        <v>0</v>
      </c>
      <c r="Q681" s="1687">
        <f t="shared" si="120"/>
        <v>3667818</v>
      </c>
      <c r="R681" s="2212" t="e">
        <f>IF('Report-M&amp;O2021'!C$18-'Report-SOF2021'!D$55&lt;=0,0,'Report-M&amp;O2021'!C$18-'Report-SOF2021'!D$55)</f>
        <v>#DIV/0!</v>
      </c>
      <c r="S681" s="2452" t="e">
        <f t="shared" si="126"/>
        <v>#DIV/0!</v>
      </c>
      <c r="T681" s="1708">
        <f>IF(A681='Data Entry - SOF'!B$2,'Data Entry - SOF'!K$64,0)</f>
        <v>0</v>
      </c>
      <c r="U681" s="1687">
        <f t="shared" si="130"/>
        <v>3667818</v>
      </c>
      <c r="V681" s="2212" t="e">
        <f>IF('Report-M&amp;O2122'!C$18-'Report-SOF2122'!D$55&lt;=0,0,'Report-M&amp;O2122'!C$18-'Report-SOF2122'!D$55)</f>
        <v>#DIV/0!</v>
      </c>
      <c r="W681" s="2452" t="e">
        <f t="shared" si="127"/>
        <v>#DIV/0!</v>
      </c>
      <c r="X681" s="1708">
        <f>IF(A681='Data Entry - SOF'!B$2,'Data Entry - SOF'!M$64,0)</f>
        <v>0</v>
      </c>
      <c r="Y681" s="1371" t="e">
        <f t="shared" si="128"/>
        <v>#DIV/0!</v>
      </c>
      <c r="Z681" s="2212" t="e">
        <f>IF('Report-M&amp;O2223'!C$18-'Report-SOF2223'!D$55&lt;=0,0,'Report-M&amp;O2223'!C$18-'Report-SOF2223'!D$55)</f>
        <v>#DIV/0!</v>
      </c>
      <c r="AA681" s="1708">
        <f>IF(A681='Data Entry - SOF'!B$2,'Data Entry - SOF'!O$64,0)</f>
        <v>0</v>
      </c>
    </row>
    <row r="682" spans="1:27" ht="15.75">
      <c r="A682" s="1076" t="s">
        <v>1536</v>
      </c>
      <c r="B682">
        <v>550816</v>
      </c>
      <c r="C682" s="2452" t="e">
        <f>#REF!+#REF!</f>
        <v>#REF!</v>
      </c>
      <c r="D682" s="2449">
        <f>IF(A682='Data Entry - SOF'!B$2,'Data Entry - SOF'!C$64,0)</f>
        <v>0</v>
      </c>
      <c r="E682" s="2450">
        <f t="shared" si="129"/>
        <v>550816</v>
      </c>
      <c r="F682" s="2212" t="e">
        <f>IF('Report-M&amp;O1718'!C$18-'Report-SOF1718'!D$55&lt;=0,0,'Report-M&amp;O1718'!C$18-'Report-SOF1718'!D$55)</f>
        <v>#DIV/0!</v>
      </c>
      <c r="G682" s="2452" t="e">
        <f t="shared" si="121"/>
        <v>#DIV/0!</v>
      </c>
      <c r="H682" s="2449">
        <f>IF(A682='Data Entry - SOF'!B$2,'Data Entry - SOF'!E$64,0)</f>
        <v>0</v>
      </c>
      <c r="I682" s="1687">
        <f t="shared" si="122"/>
        <v>550816</v>
      </c>
      <c r="J682" s="2212" t="e">
        <f>IF('Report-M&amp;O1819'!C$18-'Report-SOF1819'!D$55&lt;=0,0,'Report-M&amp;O1819'!C$18-'Report-SOF1819'!D$55)</f>
        <v>#DIV/0!</v>
      </c>
      <c r="K682" s="2452" t="e">
        <f t="shared" si="123"/>
        <v>#DIV/0!</v>
      </c>
      <c r="L682" s="2449">
        <f>IF(A682='Data Entry - SOF'!B$2,'Data Entry - SOF'!G$64,0)</f>
        <v>0</v>
      </c>
      <c r="M682" s="1371">
        <f t="shared" si="124"/>
        <v>550816</v>
      </c>
      <c r="N682" s="2212" t="e">
        <f>IF('Report-M&amp;O1920'!C$18-'Report-SOF1920'!D$55&lt;=0,0,'Report-M&amp;O1920'!C$18-'Report-SOF1920'!D$55)</f>
        <v>#DIV/0!</v>
      </c>
      <c r="O682" s="2452" t="e">
        <f t="shared" si="125"/>
        <v>#DIV/0!</v>
      </c>
      <c r="P682" s="2449">
        <f>IF(A682='Data Entry - SOF'!B$2,'Data Entry - SOF'!I$64,0)</f>
        <v>0</v>
      </c>
      <c r="Q682" s="1687">
        <f t="shared" si="120"/>
        <v>550816</v>
      </c>
      <c r="R682" s="2212" t="e">
        <f>IF('Report-M&amp;O2021'!C$18-'Report-SOF2021'!D$55&lt;=0,0,'Report-M&amp;O2021'!C$18-'Report-SOF2021'!D$55)</f>
        <v>#DIV/0!</v>
      </c>
      <c r="S682" s="2452" t="e">
        <f t="shared" si="126"/>
        <v>#DIV/0!</v>
      </c>
      <c r="T682" s="1708">
        <f>IF(A682='Data Entry - SOF'!B$2,'Data Entry - SOF'!K$64,0)</f>
        <v>0</v>
      </c>
      <c r="U682" s="1687">
        <f t="shared" si="130"/>
        <v>550816</v>
      </c>
      <c r="V682" s="2212" t="e">
        <f>IF('Report-M&amp;O2122'!C$18-'Report-SOF2122'!D$55&lt;=0,0,'Report-M&amp;O2122'!C$18-'Report-SOF2122'!D$55)</f>
        <v>#DIV/0!</v>
      </c>
      <c r="W682" s="2452" t="e">
        <f t="shared" si="127"/>
        <v>#DIV/0!</v>
      </c>
      <c r="X682" s="1708">
        <f>IF(A682='Data Entry - SOF'!B$2,'Data Entry - SOF'!M$64,0)</f>
        <v>0</v>
      </c>
      <c r="Y682" s="1371" t="e">
        <f t="shared" si="128"/>
        <v>#DIV/0!</v>
      </c>
      <c r="Z682" s="2212" t="e">
        <f>IF('Report-M&amp;O2223'!C$18-'Report-SOF2223'!D$55&lt;=0,0,'Report-M&amp;O2223'!C$18-'Report-SOF2223'!D$55)</f>
        <v>#DIV/0!</v>
      </c>
      <c r="AA682" s="1708">
        <f>IF(A682='Data Entry - SOF'!B$2,'Data Entry - SOF'!O$64,0)</f>
        <v>0</v>
      </c>
    </row>
    <row r="683" spans="1:27" ht="15.75">
      <c r="A683" s="1076" t="s">
        <v>2900</v>
      </c>
      <c r="B683">
        <v>1120593</v>
      </c>
      <c r="C683" s="2452" t="e">
        <f>#REF!+#REF!</f>
        <v>#REF!</v>
      </c>
      <c r="D683" s="2449">
        <f>IF(A683='Data Entry - SOF'!B$2,'Data Entry - SOF'!C$64,0)</f>
        <v>0</v>
      </c>
      <c r="E683" s="2450">
        <f t="shared" si="129"/>
        <v>1120593</v>
      </c>
      <c r="F683" s="2212" t="e">
        <f>IF('Report-M&amp;O1718'!C$18-'Report-SOF1718'!D$55&lt;=0,0,'Report-M&amp;O1718'!C$18-'Report-SOF1718'!D$55)</f>
        <v>#DIV/0!</v>
      </c>
      <c r="G683" s="2452" t="e">
        <f t="shared" si="121"/>
        <v>#DIV/0!</v>
      </c>
      <c r="H683" s="2449">
        <f>IF(A683='Data Entry - SOF'!B$2,'Data Entry - SOF'!E$64,0)</f>
        <v>0</v>
      </c>
      <c r="I683" s="1687">
        <f t="shared" si="122"/>
        <v>1120593</v>
      </c>
      <c r="J683" s="2212" t="e">
        <f>IF('Report-M&amp;O1819'!C$18-'Report-SOF1819'!D$55&lt;=0,0,'Report-M&amp;O1819'!C$18-'Report-SOF1819'!D$55)</f>
        <v>#DIV/0!</v>
      </c>
      <c r="K683" s="2452" t="e">
        <f t="shared" si="123"/>
        <v>#DIV/0!</v>
      </c>
      <c r="L683" s="2449">
        <f>IF(A683='Data Entry - SOF'!B$2,'Data Entry - SOF'!G$64,0)</f>
        <v>0</v>
      </c>
      <c r="M683" s="1371">
        <f t="shared" si="124"/>
        <v>1120593</v>
      </c>
      <c r="N683" s="2212" t="e">
        <f>IF('Report-M&amp;O1920'!C$18-'Report-SOF1920'!D$55&lt;=0,0,'Report-M&amp;O1920'!C$18-'Report-SOF1920'!D$55)</f>
        <v>#DIV/0!</v>
      </c>
      <c r="O683" s="2452" t="e">
        <f t="shared" si="125"/>
        <v>#DIV/0!</v>
      </c>
      <c r="P683" s="2449">
        <f>IF(A683='Data Entry - SOF'!B$2,'Data Entry - SOF'!I$64,0)</f>
        <v>0</v>
      </c>
      <c r="Q683" s="1687">
        <f t="shared" si="120"/>
        <v>1120593</v>
      </c>
      <c r="R683" s="2212" t="e">
        <f>IF('Report-M&amp;O2021'!C$18-'Report-SOF2021'!D$55&lt;=0,0,'Report-M&amp;O2021'!C$18-'Report-SOF2021'!D$55)</f>
        <v>#DIV/0!</v>
      </c>
      <c r="S683" s="2452" t="e">
        <f t="shared" si="126"/>
        <v>#DIV/0!</v>
      </c>
      <c r="T683" s="1708">
        <f>IF(A683='Data Entry - SOF'!B$2,'Data Entry - SOF'!K$64,0)</f>
        <v>0</v>
      </c>
      <c r="U683" s="1687">
        <f t="shared" si="130"/>
        <v>1120593</v>
      </c>
      <c r="V683" s="2212" t="e">
        <f>IF('Report-M&amp;O2122'!C$18-'Report-SOF2122'!D$55&lt;=0,0,'Report-M&amp;O2122'!C$18-'Report-SOF2122'!D$55)</f>
        <v>#DIV/0!</v>
      </c>
      <c r="W683" s="2452" t="e">
        <f t="shared" si="127"/>
        <v>#DIV/0!</v>
      </c>
      <c r="X683" s="1708">
        <f>IF(A683='Data Entry - SOF'!B$2,'Data Entry - SOF'!M$64,0)</f>
        <v>0</v>
      </c>
      <c r="Y683" s="1371" t="e">
        <f t="shared" si="128"/>
        <v>#DIV/0!</v>
      </c>
      <c r="Z683" s="2212" t="e">
        <f>IF('Report-M&amp;O2223'!C$18-'Report-SOF2223'!D$55&lt;=0,0,'Report-M&amp;O2223'!C$18-'Report-SOF2223'!D$55)</f>
        <v>#DIV/0!</v>
      </c>
      <c r="AA683" s="1708">
        <f>IF(A683='Data Entry - SOF'!B$2,'Data Entry - SOF'!O$64,0)</f>
        <v>0</v>
      </c>
    </row>
    <row r="684" spans="1:27" ht="15.75">
      <c r="A684" s="1076" t="s">
        <v>2513</v>
      </c>
      <c r="B684">
        <v>17865593</v>
      </c>
      <c r="C684" s="2452" t="e">
        <f>#REF!+#REF!</f>
        <v>#REF!</v>
      </c>
      <c r="D684" s="2449">
        <f>IF(A684='Data Entry - SOF'!B$2,'Data Entry - SOF'!C$64,0)</f>
        <v>0</v>
      </c>
      <c r="E684" s="2450">
        <f t="shared" si="129"/>
        <v>17865593</v>
      </c>
      <c r="F684" s="2212" t="e">
        <f>IF('Report-M&amp;O1718'!C$18-'Report-SOF1718'!D$55&lt;=0,0,'Report-M&amp;O1718'!C$18-'Report-SOF1718'!D$55)</f>
        <v>#DIV/0!</v>
      </c>
      <c r="G684" s="2452" t="e">
        <f t="shared" si="121"/>
        <v>#DIV/0!</v>
      </c>
      <c r="H684" s="2449">
        <f>IF(A684='Data Entry - SOF'!B$2,'Data Entry - SOF'!E$64,0)</f>
        <v>0</v>
      </c>
      <c r="I684" s="1687">
        <f t="shared" si="122"/>
        <v>17865593</v>
      </c>
      <c r="J684" s="2212" t="e">
        <f>IF('Report-M&amp;O1819'!C$18-'Report-SOF1819'!D$55&lt;=0,0,'Report-M&amp;O1819'!C$18-'Report-SOF1819'!D$55)</f>
        <v>#DIV/0!</v>
      </c>
      <c r="K684" s="2452" t="e">
        <f t="shared" si="123"/>
        <v>#DIV/0!</v>
      </c>
      <c r="L684" s="2449">
        <f>IF(A684='Data Entry - SOF'!B$2,'Data Entry - SOF'!G$64,0)</f>
        <v>0</v>
      </c>
      <c r="M684" s="1371">
        <f t="shared" si="124"/>
        <v>17865593</v>
      </c>
      <c r="N684" s="2212" t="e">
        <f>IF('Report-M&amp;O1920'!C$18-'Report-SOF1920'!D$55&lt;=0,0,'Report-M&amp;O1920'!C$18-'Report-SOF1920'!D$55)</f>
        <v>#DIV/0!</v>
      </c>
      <c r="O684" s="2452" t="e">
        <f t="shared" si="125"/>
        <v>#DIV/0!</v>
      </c>
      <c r="P684" s="2449">
        <f>IF(A684='Data Entry - SOF'!B$2,'Data Entry - SOF'!I$64,0)</f>
        <v>0</v>
      </c>
      <c r="Q684" s="1687">
        <f t="shared" si="120"/>
        <v>17865593</v>
      </c>
      <c r="R684" s="2212" t="e">
        <f>IF('Report-M&amp;O2021'!C$18-'Report-SOF2021'!D$55&lt;=0,0,'Report-M&amp;O2021'!C$18-'Report-SOF2021'!D$55)</f>
        <v>#DIV/0!</v>
      </c>
      <c r="S684" s="2452" t="e">
        <f t="shared" si="126"/>
        <v>#DIV/0!</v>
      </c>
      <c r="T684" s="1708">
        <f>IF(A684='Data Entry - SOF'!B$2,'Data Entry - SOF'!K$64,0)</f>
        <v>0</v>
      </c>
      <c r="U684" s="1687">
        <f t="shared" si="130"/>
        <v>17865593</v>
      </c>
      <c r="V684" s="2212" t="e">
        <f>IF('Report-M&amp;O2122'!C$18-'Report-SOF2122'!D$55&lt;=0,0,'Report-M&amp;O2122'!C$18-'Report-SOF2122'!D$55)</f>
        <v>#DIV/0!</v>
      </c>
      <c r="W684" s="2452" t="e">
        <f t="shared" si="127"/>
        <v>#DIV/0!</v>
      </c>
      <c r="X684" s="1708">
        <f>IF(A684='Data Entry - SOF'!B$2,'Data Entry - SOF'!M$64,0)</f>
        <v>0</v>
      </c>
      <c r="Y684" s="1371" t="e">
        <f t="shared" si="128"/>
        <v>#DIV/0!</v>
      </c>
      <c r="Z684" s="2212" t="e">
        <f>IF('Report-M&amp;O2223'!C$18-'Report-SOF2223'!D$55&lt;=0,0,'Report-M&amp;O2223'!C$18-'Report-SOF2223'!D$55)</f>
        <v>#DIV/0!</v>
      </c>
      <c r="AA684" s="1708">
        <f>IF(A684='Data Entry - SOF'!B$2,'Data Entry - SOF'!O$64,0)</f>
        <v>0</v>
      </c>
    </row>
    <row r="685" spans="1:27" ht="15.75">
      <c r="A685" s="1076" t="s">
        <v>1046</v>
      </c>
      <c r="B685">
        <v>933454</v>
      </c>
      <c r="C685" s="2452" t="e">
        <f>#REF!+#REF!</f>
        <v>#REF!</v>
      </c>
      <c r="D685" s="2449">
        <f>IF(A685='Data Entry - SOF'!B$2,'Data Entry - SOF'!C$64,0)</f>
        <v>0</v>
      </c>
      <c r="E685" s="2450">
        <f t="shared" si="129"/>
        <v>933454</v>
      </c>
      <c r="F685" s="2212" t="e">
        <f>IF('Report-M&amp;O1718'!C$18-'Report-SOF1718'!D$55&lt;=0,0,'Report-M&amp;O1718'!C$18-'Report-SOF1718'!D$55)</f>
        <v>#DIV/0!</v>
      </c>
      <c r="G685" s="2452" t="e">
        <f t="shared" si="121"/>
        <v>#DIV/0!</v>
      </c>
      <c r="H685" s="2449">
        <f>IF(A685='Data Entry - SOF'!B$2,'Data Entry - SOF'!E$64,0)</f>
        <v>0</v>
      </c>
      <c r="I685" s="1687">
        <f t="shared" si="122"/>
        <v>933454</v>
      </c>
      <c r="J685" s="2212" t="e">
        <f>IF('Report-M&amp;O1819'!C$18-'Report-SOF1819'!D$55&lt;=0,0,'Report-M&amp;O1819'!C$18-'Report-SOF1819'!D$55)</f>
        <v>#DIV/0!</v>
      </c>
      <c r="K685" s="2452" t="e">
        <f t="shared" si="123"/>
        <v>#DIV/0!</v>
      </c>
      <c r="L685" s="2449">
        <f>IF(A685='Data Entry - SOF'!B$2,'Data Entry - SOF'!G$64,0)</f>
        <v>0</v>
      </c>
      <c r="M685" s="1371">
        <f t="shared" si="124"/>
        <v>933454</v>
      </c>
      <c r="N685" s="2212" t="e">
        <f>IF('Report-M&amp;O1920'!C$18-'Report-SOF1920'!D$55&lt;=0,0,'Report-M&amp;O1920'!C$18-'Report-SOF1920'!D$55)</f>
        <v>#DIV/0!</v>
      </c>
      <c r="O685" s="2452" t="e">
        <f t="shared" si="125"/>
        <v>#DIV/0!</v>
      </c>
      <c r="P685" s="2449">
        <f>IF(A685='Data Entry - SOF'!B$2,'Data Entry - SOF'!I$64,0)</f>
        <v>0</v>
      </c>
      <c r="Q685" s="1687">
        <f t="shared" si="120"/>
        <v>933454</v>
      </c>
      <c r="R685" s="2212" t="e">
        <f>IF('Report-M&amp;O2021'!C$18-'Report-SOF2021'!D$55&lt;=0,0,'Report-M&amp;O2021'!C$18-'Report-SOF2021'!D$55)</f>
        <v>#DIV/0!</v>
      </c>
      <c r="S685" s="2452" t="e">
        <f t="shared" si="126"/>
        <v>#DIV/0!</v>
      </c>
      <c r="T685" s="1708">
        <f>IF(A685='Data Entry - SOF'!B$2,'Data Entry - SOF'!K$64,0)</f>
        <v>0</v>
      </c>
      <c r="U685" s="1687">
        <f t="shared" si="130"/>
        <v>933454</v>
      </c>
      <c r="V685" s="2212" t="e">
        <f>IF('Report-M&amp;O2122'!C$18-'Report-SOF2122'!D$55&lt;=0,0,'Report-M&amp;O2122'!C$18-'Report-SOF2122'!D$55)</f>
        <v>#DIV/0!</v>
      </c>
      <c r="W685" s="2452" t="e">
        <f t="shared" si="127"/>
        <v>#DIV/0!</v>
      </c>
      <c r="X685" s="1708">
        <f>IF(A685='Data Entry - SOF'!B$2,'Data Entry - SOF'!M$64,0)</f>
        <v>0</v>
      </c>
      <c r="Y685" s="1371" t="e">
        <f t="shared" si="128"/>
        <v>#DIV/0!</v>
      </c>
      <c r="Z685" s="2212" t="e">
        <f>IF('Report-M&amp;O2223'!C$18-'Report-SOF2223'!D$55&lt;=0,0,'Report-M&amp;O2223'!C$18-'Report-SOF2223'!D$55)</f>
        <v>#DIV/0!</v>
      </c>
      <c r="AA685" s="1708">
        <f>IF(A685='Data Entry - SOF'!B$2,'Data Entry - SOF'!O$64,0)</f>
        <v>0</v>
      </c>
    </row>
    <row r="686" spans="1:27" ht="15.75">
      <c r="A686" s="1076" t="s">
        <v>409</v>
      </c>
      <c r="B686">
        <v>118338</v>
      </c>
      <c r="C686" s="2452" t="e">
        <f>#REF!+#REF!</f>
        <v>#REF!</v>
      </c>
      <c r="D686" s="2449">
        <f>IF(A686='Data Entry - SOF'!B$2,'Data Entry - SOF'!C$64,0)</f>
        <v>0</v>
      </c>
      <c r="E686" s="2450">
        <f t="shared" si="129"/>
        <v>118338</v>
      </c>
      <c r="F686" s="2212" t="e">
        <f>IF('Report-M&amp;O1718'!C$18-'Report-SOF1718'!D$55&lt;=0,0,'Report-M&amp;O1718'!C$18-'Report-SOF1718'!D$55)</f>
        <v>#DIV/0!</v>
      </c>
      <c r="G686" s="2452" t="e">
        <f t="shared" si="121"/>
        <v>#DIV/0!</v>
      </c>
      <c r="H686" s="2449">
        <f>IF(A686='Data Entry - SOF'!B$2,'Data Entry - SOF'!E$64,0)</f>
        <v>0</v>
      </c>
      <c r="I686" s="1687">
        <f t="shared" si="122"/>
        <v>118338</v>
      </c>
      <c r="J686" s="2212" t="e">
        <f>IF('Report-M&amp;O1819'!C$18-'Report-SOF1819'!D$55&lt;=0,0,'Report-M&amp;O1819'!C$18-'Report-SOF1819'!D$55)</f>
        <v>#DIV/0!</v>
      </c>
      <c r="K686" s="2452" t="e">
        <f t="shared" si="123"/>
        <v>#DIV/0!</v>
      </c>
      <c r="L686" s="2449">
        <f>IF(A686='Data Entry - SOF'!B$2,'Data Entry - SOF'!G$64,0)</f>
        <v>0</v>
      </c>
      <c r="M686" s="1371">
        <f t="shared" si="124"/>
        <v>118338</v>
      </c>
      <c r="N686" s="2212" t="e">
        <f>IF('Report-M&amp;O1920'!C$18-'Report-SOF1920'!D$55&lt;=0,0,'Report-M&amp;O1920'!C$18-'Report-SOF1920'!D$55)</f>
        <v>#DIV/0!</v>
      </c>
      <c r="O686" s="2452" t="e">
        <f t="shared" si="125"/>
        <v>#DIV/0!</v>
      </c>
      <c r="P686" s="2449">
        <f>IF(A686='Data Entry - SOF'!B$2,'Data Entry - SOF'!I$64,0)</f>
        <v>0</v>
      </c>
      <c r="Q686" s="1687">
        <f t="shared" si="120"/>
        <v>118338</v>
      </c>
      <c r="R686" s="2212" t="e">
        <f>IF('Report-M&amp;O2021'!C$18-'Report-SOF2021'!D$55&lt;=0,0,'Report-M&amp;O2021'!C$18-'Report-SOF2021'!D$55)</f>
        <v>#DIV/0!</v>
      </c>
      <c r="S686" s="2452" t="e">
        <f t="shared" si="126"/>
        <v>#DIV/0!</v>
      </c>
      <c r="T686" s="1708">
        <f>IF(A686='Data Entry - SOF'!B$2,'Data Entry - SOF'!K$64,0)</f>
        <v>0</v>
      </c>
      <c r="U686" s="1687">
        <f t="shared" si="130"/>
        <v>118338</v>
      </c>
      <c r="V686" s="2212" t="e">
        <f>IF('Report-M&amp;O2122'!C$18-'Report-SOF2122'!D$55&lt;=0,0,'Report-M&amp;O2122'!C$18-'Report-SOF2122'!D$55)</f>
        <v>#DIV/0!</v>
      </c>
      <c r="W686" s="2452" t="e">
        <f t="shared" si="127"/>
        <v>#DIV/0!</v>
      </c>
      <c r="X686" s="1708">
        <f>IF(A686='Data Entry - SOF'!B$2,'Data Entry - SOF'!M$64,0)</f>
        <v>0</v>
      </c>
      <c r="Y686" s="1371" t="e">
        <f t="shared" si="128"/>
        <v>#DIV/0!</v>
      </c>
      <c r="Z686" s="2212" t="e">
        <f>IF('Report-M&amp;O2223'!C$18-'Report-SOF2223'!D$55&lt;=0,0,'Report-M&amp;O2223'!C$18-'Report-SOF2223'!D$55)</f>
        <v>#DIV/0!</v>
      </c>
      <c r="AA686" s="1708">
        <f>IF(A686='Data Entry - SOF'!B$2,'Data Entry - SOF'!O$64,0)</f>
        <v>0</v>
      </c>
    </row>
    <row r="687" spans="1:27" ht="15.75">
      <c r="A687" s="1076" t="s">
        <v>1436</v>
      </c>
      <c r="B687">
        <v>2760125</v>
      </c>
      <c r="C687" s="2452" t="e">
        <f>#REF!+#REF!</f>
        <v>#REF!</v>
      </c>
      <c r="D687" s="2449">
        <f>IF(A687='Data Entry - SOF'!B$2,'Data Entry - SOF'!C$64,0)</f>
        <v>0</v>
      </c>
      <c r="E687" s="2450">
        <f t="shared" si="129"/>
        <v>2760125</v>
      </c>
      <c r="F687" s="2212" t="e">
        <f>IF('Report-M&amp;O1718'!C$18-'Report-SOF1718'!D$55&lt;=0,0,'Report-M&amp;O1718'!C$18-'Report-SOF1718'!D$55)</f>
        <v>#DIV/0!</v>
      </c>
      <c r="G687" s="2452" t="e">
        <f t="shared" si="121"/>
        <v>#DIV/0!</v>
      </c>
      <c r="H687" s="2449">
        <f>IF(A687='Data Entry - SOF'!B$2,'Data Entry - SOF'!E$64,0)</f>
        <v>0</v>
      </c>
      <c r="I687" s="1687">
        <f t="shared" si="122"/>
        <v>2760125</v>
      </c>
      <c r="J687" s="2212" t="e">
        <f>IF('Report-M&amp;O1819'!C$18-'Report-SOF1819'!D$55&lt;=0,0,'Report-M&amp;O1819'!C$18-'Report-SOF1819'!D$55)</f>
        <v>#DIV/0!</v>
      </c>
      <c r="K687" s="2452" t="e">
        <f t="shared" si="123"/>
        <v>#DIV/0!</v>
      </c>
      <c r="L687" s="2449">
        <f>IF(A687='Data Entry - SOF'!B$2,'Data Entry - SOF'!G$64,0)</f>
        <v>0</v>
      </c>
      <c r="M687" s="1371">
        <f t="shared" si="124"/>
        <v>2760125</v>
      </c>
      <c r="N687" s="2212" t="e">
        <f>IF('Report-M&amp;O1920'!C$18-'Report-SOF1920'!D$55&lt;=0,0,'Report-M&amp;O1920'!C$18-'Report-SOF1920'!D$55)</f>
        <v>#DIV/0!</v>
      </c>
      <c r="O687" s="2452" t="e">
        <f t="shared" si="125"/>
        <v>#DIV/0!</v>
      </c>
      <c r="P687" s="2449">
        <f>IF(A687='Data Entry - SOF'!B$2,'Data Entry - SOF'!I$64,0)</f>
        <v>0</v>
      </c>
      <c r="Q687" s="1687">
        <f t="shared" si="120"/>
        <v>2760125</v>
      </c>
      <c r="R687" s="2212" t="e">
        <f>IF('Report-M&amp;O2021'!C$18-'Report-SOF2021'!D$55&lt;=0,0,'Report-M&amp;O2021'!C$18-'Report-SOF2021'!D$55)</f>
        <v>#DIV/0!</v>
      </c>
      <c r="S687" s="2452" t="e">
        <f t="shared" si="126"/>
        <v>#DIV/0!</v>
      </c>
      <c r="T687" s="1708">
        <f>IF(A687='Data Entry - SOF'!B$2,'Data Entry - SOF'!K$64,0)</f>
        <v>0</v>
      </c>
      <c r="U687" s="1687">
        <f t="shared" si="130"/>
        <v>2760125</v>
      </c>
      <c r="V687" s="2212" t="e">
        <f>IF('Report-M&amp;O2122'!C$18-'Report-SOF2122'!D$55&lt;=0,0,'Report-M&amp;O2122'!C$18-'Report-SOF2122'!D$55)</f>
        <v>#DIV/0!</v>
      </c>
      <c r="W687" s="2452" t="e">
        <f t="shared" si="127"/>
        <v>#DIV/0!</v>
      </c>
      <c r="X687" s="1708">
        <f>IF(A687='Data Entry - SOF'!B$2,'Data Entry - SOF'!M$64,0)</f>
        <v>0</v>
      </c>
      <c r="Y687" s="1371" t="e">
        <f t="shared" si="128"/>
        <v>#DIV/0!</v>
      </c>
      <c r="Z687" s="2212" t="e">
        <f>IF('Report-M&amp;O2223'!C$18-'Report-SOF2223'!D$55&lt;=0,0,'Report-M&amp;O2223'!C$18-'Report-SOF2223'!D$55)</f>
        <v>#DIV/0!</v>
      </c>
      <c r="AA687" s="1708">
        <f>IF(A687='Data Entry - SOF'!B$2,'Data Entry - SOF'!O$64,0)</f>
        <v>0</v>
      </c>
    </row>
    <row r="688" spans="1:27" ht="15.75">
      <c r="A688" s="1076" t="s">
        <v>3070</v>
      </c>
      <c r="B688">
        <v>359811</v>
      </c>
      <c r="C688" s="2452" t="e">
        <f>#REF!+#REF!</f>
        <v>#REF!</v>
      </c>
      <c r="D688" s="2449">
        <f>IF(A688='Data Entry - SOF'!B$2,'Data Entry - SOF'!C$64,0)</f>
        <v>0</v>
      </c>
      <c r="E688" s="2450">
        <f t="shared" si="129"/>
        <v>359811</v>
      </c>
      <c r="F688" s="2212" t="e">
        <f>IF('Report-M&amp;O1718'!C$18-'Report-SOF1718'!D$55&lt;=0,0,'Report-M&amp;O1718'!C$18-'Report-SOF1718'!D$55)</f>
        <v>#DIV/0!</v>
      </c>
      <c r="G688" s="2452" t="e">
        <f t="shared" si="121"/>
        <v>#DIV/0!</v>
      </c>
      <c r="H688" s="2449">
        <f>IF(A688='Data Entry - SOF'!B$2,'Data Entry - SOF'!E$64,0)</f>
        <v>0</v>
      </c>
      <c r="I688" s="1687">
        <f t="shared" si="122"/>
        <v>359811</v>
      </c>
      <c r="J688" s="2212" t="e">
        <f>IF('Report-M&amp;O1819'!C$18-'Report-SOF1819'!D$55&lt;=0,0,'Report-M&amp;O1819'!C$18-'Report-SOF1819'!D$55)</f>
        <v>#DIV/0!</v>
      </c>
      <c r="K688" s="2452" t="e">
        <f t="shared" si="123"/>
        <v>#DIV/0!</v>
      </c>
      <c r="L688" s="2449">
        <f>IF(A688='Data Entry - SOF'!B$2,'Data Entry - SOF'!G$64,0)</f>
        <v>0</v>
      </c>
      <c r="M688" s="1371">
        <f t="shared" si="124"/>
        <v>359811</v>
      </c>
      <c r="N688" s="2212" t="e">
        <f>IF('Report-M&amp;O1920'!C$18-'Report-SOF1920'!D$55&lt;=0,0,'Report-M&amp;O1920'!C$18-'Report-SOF1920'!D$55)</f>
        <v>#DIV/0!</v>
      </c>
      <c r="O688" s="2452" t="e">
        <f t="shared" si="125"/>
        <v>#DIV/0!</v>
      </c>
      <c r="P688" s="2449">
        <f>IF(A688='Data Entry - SOF'!B$2,'Data Entry - SOF'!I$64,0)</f>
        <v>0</v>
      </c>
      <c r="Q688" s="1687">
        <f t="shared" si="120"/>
        <v>359811</v>
      </c>
      <c r="R688" s="2212" t="e">
        <f>IF('Report-M&amp;O2021'!C$18-'Report-SOF2021'!D$55&lt;=0,0,'Report-M&amp;O2021'!C$18-'Report-SOF2021'!D$55)</f>
        <v>#DIV/0!</v>
      </c>
      <c r="S688" s="2452" t="e">
        <f t="shared" si="126"/>
        <v>#DIV/0!</v>
      </c>
      <c r="T688" s="1708">
        <f>IF(A688='Data Entry - SOF'!B$2,'Data Entry - SOF'!K$64,0)</f>
        <v>0</v>
      </c>
      <c r="U688" s="1687">
        <f t="shared" si="130"/>
        <v>359811</v>
      </c>
      <c r="V688" s="2212" t="e">
        <f>IF('Report-M&amp;O2122'!C$18-'Report-SOF2122'!D$55&lt;=0,0,'Report-M&amp;O2122'!C$18-'Report-SOF2122'!D$55)</f>
        <v>#DIV/0!</v>
      </c>
      <c r="W688" s="2452" t="e">
        <f t="shared" si="127"/>
        <v>#DIV/0!</v>
      </c>
      <c r="X688" s="1708">
        <f>IF(A688='Data Entry - SOF'!B$2,'Data Entry - SOF'!M$64,0)</f>
        <v>0</v>
      </c>
      <c r="Y688" s="1371" t="e">
        <f t="shared" si="128"/>
        <v>#DIV/0!</v>
      </c>
      <c r="Z688" s="2212" t="e">
        <f>IF('Report-M&amp;O2223'!C$18-'Report-SOF2223'!D$55&lt;=0,0,'Report-M&amp;O2223'!C$18-'Report-SOF2223'!D$55)</f>
        <v>#DIV/0!</v>
      </c>
      <c r="AA688" s="1708">
        <f>IF(A688='Data Entry - SOF'!B$2,'Data Entry - SOF'!O$64,0)</f>
        <v>0</v>
      </c>
    </row>
    <row r="689" spans="1:27" ht="15.75">
      <c r="A689" s="1076" t="s">
        <v>2267</v>
      </c>
      <c r="B689">
        <v>89185</v>
      </c>
      <c r="C689" s="2452" t="e">
        <f>#REF!+#REF!</f>
        <v>#REF!</v>
      </c>
      <c r="D689" s="2449">
        <f>IF(A689='Data Entry - SOF'!B$2,'Data Entry - SOF'!C$64,0)</f>
        <v>0</v>
      </c>
      <c r="E689" s="2450">
        <f t="shared" si="129"/>
        <v>89185</v>
      </c>
      <c r="F689" s="2212" t="e">
        <f>IF('Report-M&amp;O1718'!C$18-'Report-SOF1718'!D$55&lt;=0,0,'Report-M&amp;O1718'!C$18-'Report-SOF1718'!D$55)</f>
        <v>#DIV/0!</v>
      </c>
      <c r="G689" s="2452" t="e">
        <f t="shared" si="121"/>
        <v>#DIV/0!</v>
      </c>
      <c r="H689" s="2449">
        <f>IF(A689='Data Entry - SOF'!B$2,'Data Entry - SOF'!E$64,0)</f>
        <v>0</v>
      </c>
      <c r="I689" s="1687">
        <f t="shared" si="122"/>
        <v>89185</v>
      </c>
      <c r="J689" s="2212" t="e">
        <f>IF('Report-M&amp;O1819'!C$18-'Report-SOF1819'!D$55&lt;=0,0,'Report-M&amp;O1819'!C$18-'Report-SOF1819'!D$55)</f>
        <v>#DIV/0!</v>
      </c>
      <c r="K689" s="2452" t="e">
        <f t="shared" si="123"/>
        <v>#DIV/0!</v>
      </c>
      <c r="L689" s="2449">
        <f>IF(A689='Data Entry - SOF'!B$2,'Data Entry - SOF'!G$64,0)</f>
        <v>0</v>
      </c>
      <c r="M689" s="1371">
        <f t="shared" si="124"/>
        <v>89185</v>
      </c>
      <c r="N689" s="2212" t="e">
        <f>IF('Report-M&amp;O1920'!C$18-'Report-SOF1920'!D$55&lt;=0,0,'Report-M&amp;O1920'!C$18-'Report-SOF1920'!D$55)</f>
        <v>#DIV/0!</v>
      </c>
      <c r="O689" s="2452" t="e">
        <f t="shared" si="125"/>
        <v>#DIV/0!</v>
      </c>
      <c r="P689" s="2449">
        <f>IF(A689='Data Entry - SOF'!B$2,'Data Entry - SOF'!I$64,0)</f>
        <v>0</v>
      </c>
      <c r="Q689" s="1687">
        <f t="shared" si="120"/>
        <v>89185</v>
      </c>
      <c r="R689" s="2212" t="e">
        <f>IF('Report-M&amp;O2021'!C$18-'Report-SOF2021'!D$55&lt;=0,0,'Report-M&amp;O2021'!C$18-'Report-SOF2021'!D$55)</f>
        <v>#DIV/0!</v>
      </c>
      <c r="S689" s="2452" t="e">
        <f t="shared" si="126"/>
        <v>#DIV/0!</v>
      </c>
      <c r="T689" s="1708">
        <f>IF(A689='Data Entry - SOF'!B$2,'Data Entry - SOF'!K$64,0)</f>
        <v>0</v>
      </c>
      <c r="U689" s="1687">
        <f t="shared" si="130"/>
        <v>89185</v>
      </c>
      <c r="V689" s="2212" t="e">
        <f>IF('Report-M&amp;O2122'!C$18-'Report-SOF2122'!D$55&lt;=0,0,'Report-M&amp;O2122'!C$18-'Report-SOF2122'!D$55)</f>
        <v>#DIV/0!</v>
      </c>
      <c r="W689" s="2452" t="e">
        <f t="shared" si="127"/>
        <v>#DIV/0!</v>
      </c>
      <c r="X689" s="1708">
        <f>IF(A689='Data Entry - SOF'!B$2,'Data Entry - SOF'!M$64,0)</f>
        <v>0</v>
      </c>
      <c r="Y689" s="1371" t="e">
        <f t="shared" si="128"/>
        <v>#DIV/0!</v>
      </c>
      <c r="Z689" s="2212" t="e">
        <f>IF('Report-M&amp;O2223'!C$18-'Report-SOF2223'!D$55&lt;=0,0,'Report-M&amp;O2223'!C$18-'Report-SOF2223'!D$55)</f>
        <v>#DIV/0!</v>
      </c>
      <c r="AA689" s="1708">
        <f>IF(A689='Data Entry - SOF'!B$2,'Data Entry - SOF'!O$64,0)</f>
        <v>0</v>
      </c>
    </row>
    <row r="690" spans="1:27" ht="15.75">
      <c r="A690" s="1076" t="s">
        <v>3072</v>
      </c>
      <c r="B690">
        <v>7242891</v>
      </c>
      <c r="C690" s="2452" t="e">
        <f>#REF!+#REF!</f>
        <v>#REF!</v>
      </c>
      <c r="D690" s="2449">
        <f>IF(A690='Data Entry - SOF'!B$2,'Data Entry - SOF'!C$64,0)</f>
        <v>0</v>
      </c>
      <c r="E690" s="2450">
        <f t="shared" si="129"/>
        <v>7242891</v>
      </c>
      <c r="F690" s="2212" t="e">
        <f>IF('Report-M&amp;O1718'!C$18-'Report-SOF1718'!D$55&lt;=0,0,'Report-M&amp;O1718'!C$18-'Report-SOF1718'!D$55)</f>
        <v>#DIV/0!</v>
      </c>
      <c r="G690" s="2452" t="e">
        <f t="shared" si="121"/>
        <v>#DIV/0!</v>
      </c>
      <c r="H690" s="2449">
        <f>IF(A690='Data Entry - SOF'!B$2,'Data Entry - SOF'!E$64,0)</f>
        <v>0</v>
      </c>
      <c r="I690" s="1687">
        <f t="shared" si="122"/>
        <v>7242891</v>
      </c>
      <c r="J690" s="2212" t="e">
        <f>IF('Report-M&amp;O1819'!C$18-'Report-SOF1819'!D$55&lt;=0,0,'Report-M&amp;O1819'!C$18-'Report-SOF1819'!D$55)</f>
        <v>#DIV/0!</v>
      </c>
      <c r="K690" s="2452" t="e">
        <f t="shared" si="123"/>
        <v>#DIV/0!</v>
      </c>
      <c r="L690" s="2449">
        <f>IF(A690='Data Entry - SOF'!B$2,'Data Entry - SOF'!G$64,0)</f>
        <v>0</v>
      </c>
      <c r="M690" s="1371">
        <f t="shared" si="124"/>
        <v>7242891</v>
      </c>
      <c r="N690" s="2212" t="e">
        <f>IF('Report-M&amp;O1920'!C$18-'Report-SOF1920'!D$55&lt;=0,0,'Report-M&amp;O1920'!C$18-'Report-SOF1920'!D$55)</f>
        <v>#DIV/0!</v>
      </c>
      <c r="O690" s="2452" t="e">
        <f t="shared" si="125"/>
        <v>#DIV/0!</v>
      </c>
      <c r="P690" s="2449">
        <f>IF(A690='Data Entry - SOF'!B$2,'Data Entry - SOF'!I$64,0)</f>
        <v>0</v>
      </c>
      <c r="Q690" s="1687">
        <f t="shared" si="120"/>
        <v>7242891</v>
      </c>
      <c r="R690" s="2212" t="e">
        <f>IF('Report-M&amp;O2021'!C$18-'Report-SOF2021'!D$55&lt;=0,0,'Report-M&amp;O2021'!C$18-'Report-SOF2021'!D$55)</f>
        <v>#DIV/0!</v>
      </c>
      <c r="S690" s="2452" t="e">
        <f t="shared" si="126"/>
        <v>#DIV/0!</v>
      </c>
      <c r="T690" s="1708">
        <f>IF(A690='Data Entry - SOF'!B$2,'Data Entry - SOF'!K$64,0)</f>
        <v>0</v>
      </c>
      <c r="U690" s="1687">
        <f t="shared" si="130"/>
        <v>7242891</v>
      </c>
      <c r="V690" s="2212" t="e">
        <f>IF('Report-M&amp;O2122'!C$18-'Report-SOF2122'!D$55&lt;=0,0,'Report-M&amp;O2122'!C$18-'Report-SOF2122'!D$55)</f>
        <v>#DIV/0!</v>
      </c>
      <c r="W690" s="2452" t="e">
        <f t="shared" si="127"/>
        <v>#DIV/0!</v>
      </c>
      <c r="X690" s="1708">
        <f>IF(A690='Data Entry - SOF'!B$2,'Data Entry - SOF'!M$64,0)</f>
        <v>0</v>
      </c>
      <c r="Y690" s="1371" t="e">
        <f t="shared" si="128"/>
        <v>#DIV/0!</v>
      </c>
      <c r="Z690" s="2212" t="e">
        <f>IF('Report-M&amp;O2223'!C$18-'Report-SOF2223'!D$55&lt;=0,0,'Report-M&amp;O2223'!C$18-'Report-SOF2223'!D$55)</f>
        <v>#DIV/0!</v>
      </c>
      <c r="AA690" s="1708">
        <f>IF(A690='Data Entry - SOF'!B$2,'Data Entry - SOF'!O$64,0)</f>
        <v>0</v>
      </c>
    </row>
    <row r="691" spans="1:27" ht="15.75">
      <c r="A691" s="1076" t="s">
        <v>3073</v>
      </c>
      <c r="B691">
        <v>4813360</v>
      </c>
      <c r="C691" s="2452" t="e">
        <f>#REF!+#REF!</f>
        <v>#REF!</v>
      </c>
      <c r="D691" s="2449">
        <f>IF(A691='Data Entry - SOF'!B$2,'Data Entry - SOF'!C$64,0)</f>
        <v>0</v>
      </c>
      <c r="E691" s="2450">
        <f t="shared" si="129"/>
        <v>4813360</v>
      </c>
      <c r="F691" s="2212" t="e">
        <f>IF('Report-M&amp;O1718'!C$18-'Report-SOF1718'!D$55&lt;=0,0,'Report-M&amp;O1718'!C$18-'Report-SOF1718'!D$55)</f>
        <v>#DIV/0!</v>
      </c>
      <c r="G691" s="2452" t="e">
        <f t="shared" si="121"/>
        <v>#DIV/0!</v>
      </c>
      <c r="H691" s="2449">
        <f>IF(A691='Data Entry - SOF'!B$2,'Data Entry - SOF'!E$64,0)</f>
        <v>0</v>
      </c>
      <c r="I691" s="1687">
        <f t="shared" si="122"/>
        <v>4813360</v>
      </c>
      <c r="J691" s="2212" t="e">
        <f>IF('Report-M&amp;O1819'!C$18-'Report-SOF1819'!D$55&lt;=0,0,'Report-M&amp;O1819'!C$18-'Report-SOF1819'!D$55)</f>
        <v>#DIV/0!</v>
      </c>
      <c r="K691" s="2452" t="e">
        <f t="shared" si="123"/>
        <v>#DIV/0!</v>
      </c>
      <c r="L691" s="2449">
        <f>IF(A691='Data Entry - SOF'!B$2,'Data Entry - SOF'!G$64,0)</f>
        <v>0</v>
      </c>
      <c r="M691" s="1371">
        <f t="shared" si="124"/>
        <v>4813360</v>
      </c>
      <c r="N691" s="2212" t="e">
        <f>IF('Report-M&amp;O1920'!C$18-'Report-SOF1920'!D$55&lt;=0,0,'Report-M&amp;O1920'!C$18-'Report-SOF1920'!D$55)</f>
        <v>#DIV/0!</v>
      </c>
      <c r="O691" s="2452" t="e">
        <f t="shared" si="125"/>
        <v>#DIV/0!</v>
      </c>
      <c r="P691" s="2449">
        <f>IF(A691='Data Entry - SOF'!B$2,'Data Entry - SOF'!I$64,0)</f>
        <v>0</v>
      </c>
      <c r="Q691" s="1687">
        <f t="shared" si="120"/>
        <v>4813360</v>
      </c>
      <c r="R691" s="2212" t="e">
        <f>IF('Report-M&amp;O2021'!C$18-'Report-SOF2021'!D$55&lt;=0,0,'Report-M&amp;O2021'!C$18-'Report-SOF2021'!D$55)</f>
        <v>#DIV/0!</v>
      </c>
      <c r="S691" s="2452" t="e">
        <f t="shared" si="126"/>
        <v>#DIV/0!</v>
      </c>
      <c r="T691" s="1708">
        <f>IF(A691='Data Entry - SOF'!B$2,'Data Entry - SOF'!K$64,0)</f>
        <v>0</v>
      </c>
      <c r="U691" s="1687">
        <f t="shared" si="130"/>
        <v>4813360</v>
      </c>
      <c r="V691" s="2212" t="e">
        <f>IF('Report-M&amp;O2122'!C$18-'Report-SOF2122'!D$55&lt;=0,0,'Report-M&amp;O2122'!C$18-'Report-SOF2122'!D$55)</f>
        <v>#DIV/0!</v>
      </c>
      <c r="W691" s="2452" t="e">
        <f t="shared" si="127"/>
        <v>#DIV/0!</v>
      </c>
      <c r="X691" s="1708">
        <f>IF(A691='Data Entry - SOF'!B$2,'Data Entry - SOF'!M$64,0)</f>
        <v>0</v>
      </c>
      <c r="Y691" s="1371" t="e">
        <f t="shared" si="128"/>
        <v>#DIV/0!</v>
      </c>
      <c r="Z691" s="2212" t="e">
        <f>IF('Report-M&amp;O2223'!C$18-'Report-SOF2223'!D$55&lt;=0,0,'Report-M&amp;O2223'!C$18-'Report-SOF2223'!D$55)</f>
        <v>#DIV/0!</v>
      </c>
      <c r="AA691" s="1708">
        <f>IF(A691='Data Entry - SOF'!B$2,'Data Entry - SOF'!O$64,0)</f>
        <v>0</v>
      </c>
    </row>
    <row r="692" spans="1:27" ht="15.75">
      <c r="A692" s="1076" t="s">
        <v>1676</v>
      </c>
      <c r="B692">
        <v>2194886</v>
      </c>
      <c r="C692" s="2452" t="e">
        <f>#REF!+#REF!</f>
        <v>#REF!</v>
      </c>
      <c r="D692" s="2449">
        <f>IF(A692='Data Entry - SOF'!B$2,'Data Entry - SOF'!C$64,0)</f>
        <v>0</v>
      </c>
      <c r="E692" s="2450">
        <f t="shared" si="129"/>
        <v>2194886</v>
      </c>
      <c r="F692" s="2212" t="e">
        <f>IF('Report-M&amp;O1718'!C$18-'Report-SOF1718'!D$55&lt;=0,0,'Report-M&amp;O1718'!C$18-'Report-SOF1718'!D$55)</f>
        <v>#DIV/0!</v>
      </c>
      <c r="G692" s="2452" t="e">
        <f t="shared" si="121"/>
        <v>#DIV/0!</v>
      </c>
      <c r="H692" s="2449">
        <f>IF(A692='Data Entry - SOF'!B$2,'Data Entry - SOF'!E$64,0)</f>
        <v>0</v>
      </c>
      <c r="I692" s="1687">
        <f t="shared" si="122"/>
        <v>2194886</v>
      </c>
      <c r="J692" s="2212" t="e">
        <f>IF('Report-M&amp;O1819'!C$18-'Report-SOF1819'!D$55&lt;=0,0,'Report-M&amp;O1819'!C$18-'Report-SOF1819'!D$55)</f>
        <v>#DIV/0!</v>
      </c>
      <c r="K692" s="2452" t="e">
        <f t="shared" si="123"/>
        <v>#DIV/0!</v>
      </c>
      <c r="L692" s="2449">
        <f>IF(A692='Data Entry - SOF'!B$2,'Data Entry - SOF'!G$64,0)</f>
        <v>0</v>
      </c>
      <c r="M692" s="1371">
        <f t="shared" si="124"/>
        <v>2194886</v>
      </c>
      <c r="N692" s="2212" t="e">
        <f>IF('Report-M&amp;O1920'!C$18-'Report-SOF1920'!D$55&lt;=0,0,'Report-M&amp;O1920'!C$18-'Report-SOF1920'!D$55)</f>
        <v>#DIV/0!</v>
      </c>
      <c r="O692" s="2452" t="e">
        <f t="shared" si="125"/>
        <v>#DIV/0!</v>
      </c>
      <c r="P692" s="2449">
        <f>IF(A692='Data Entry - SOF'!B$2,'Data Entry - SOF'!I$64,0)</f>
        <v>0</v>
      </c>
      <c r="Q692" s="1687">
        <f t="shared" si="120"/>
        <v>2194886</v>
      </c>
      <c r="R692" s="2212" t="e">
        <f>IF('Report-M&amp;O2021'!C$18-'Report-SOF2021'!D$55&lt;=0,0,'Report-M&amp;O2021'!C$18-'Report-SOF2021'!D$55)</f>
        <v>#DIV/0!</v>
      </c>
      <c r="S692" s="2452" t="e">
        <f t="shared" si="126"/>
        <v>#DIV/0!</v>
      </c>
      <c r="T692" s="1708">
        <f>IF(A692='Data Entry - SOF'!B$2,'Data Entry - SOF'!K$64,0)</f>
        <v>0</v>
      </c>
      <c r="U692" s="1687">
        <f t="shared" si="130"/>
        <v>2194886</v>
      </c>
      <c r="V692" s="2212" t="e">
        <f>IF('Report-M&amp;O2122'!C$18-'Report-SOF2122'!D$55&lt;=0,0,'Report-M&amp;O2122'!C$18-'Report-SOF2122'!D$55)</f>
        <v>#DIV/0!</v>
      </c>
      <c r="W692" s="2452" t="e">
        <f t="shared" si="127"/>
        <v>#DIV/0!</v>
      </c>
      <c r="X692" s="1708">
        <f>IF(A692='Data Entry - SOF'!B$2,'Data Entry - SOF'!M$64,0)</f>
        <v>0</v>
      </c>
      <c r="Y692" s="1371" t="e">
        <f t="shared" si="128"/>
        <v>#DIV/0!</v>
      </c>
      <c r="Z692" s="2212" t="e">
        <f>IF('Report-M&amp;O2223'!C$18-'Report-SOF2223'!D$55&lt;=0,0,'Report-M&amp;O2223'!C$18-'Report-SOF2223'!D$55)</f>
        <v>#DIV/0!</v>
      </c>
      <c r="AA692" s="1708">
        <f>IF(A692='Data Entry - SOF'!B$2,'Data Entry - SOF'!O$64,0)</f>
        <v>0</v>
      </c>
    </row>
    <row r="693" spans="1:27" ht="15.75">
      <c r="A693" s="1076" t="s">
        <v>1494</v>
      </c>
      <c r="B693">
        <v>13151081</v>
      </c>
      <c r="C693" s="2452" t="e">
        <f>#REF!+#REF!</f>
        <v>#REF!</v>
      </c>
      <c r="D693" s="2449">
        <f>IF(A693='Data Entry - SOF'!B$2,'Data Entry - SOF'!C$64,0)</f>
        <v>0</v>
      </c>
      <c r="E693" s="2450">
        <f t="shared" si="129"/>
        <v>13151081</v>
      </c>
      <c r="F693" s="2212" t="e">
        <f>IF('Report-M&amp;O1718'!C$18-'Report-SOF1718'!D$55&lt;=0,0,'Report-M&amp;O1718'!C$18-'Report-SOF1718'!D$55)</f>
        <v>#DIV/0!</v>
      </c>
      <c r="G693" s="2452" t="e">
        <f t="shared" si="121"/>
        <v>#DIV/0!</v>
      </c>
      <c r="H693" s="2449">
        <f>IF(A693='Data Entry - SOF'!B$2,'Data Entry - SOF'!E$64,0)</f>
        <v>0</v>
      </c>
      <c r="I693" s="1687">
        <f t="shared" si="122"/>
        <v>13151081</v>
      </c>
      <c r="J693" s="2212" t="e">
        <f>IF('Report-M&amp;O1819'!C$18-'Report-SOF1819'!D$55&lt;=0,0,'Report-M&amp;O1819'!C$18-'Report-SOF1819'!D$55)</f>
        <v>#DIV/0!</v>
      </c>
      <c r="K693" s="2452" t="e">
        <f t="shared" si="123"/>
        <v>#DIV/0!</v>
      </c>
      <c r="L693" s="2449">
        <f>IF(A693='Data Entry - SOF'!B$2,'Data Entry - SOF'!G$64,0)</f>
        <v>0</v>
      </c>
      <c r="M693" s="1371">
        <f t="shared" si="124"/>
        <v>13151081</v>
      </c>
      <c r="N693" s="2212" t="e">
        <f>IF('Report-M&amp;O1920'!C$18-'Report-SOF1920'!D$55&lt;=0,0,'Report-M&amp;O1920'!C$18-'Report-SOF1920'!D$55)</f>
        <v>#DIV/0!</v>
      </c>
      <c r="O693" s="2452" t="e">
        <f t="shared" si="125"/>
        <v>#DIV/0!</v>
      </c>
      <c r="P693" s="2449">
        <f>IF(A693='Data Entry - SOF'!B$2,'Data Entry - SOF'!I$64,0)</f>
        <v>0</v>
      </c>
      <c r="Q693" s="1687">
        <f t="shared" si="120"/>
        <v>13151081</v>
      </c>
      <c r="R693" s="2212" t="e">
        <f>IF('Report-M&amp;O2021'!C$18-'Report-SOF2021'!D$55&lt;=0,0,'Report-M&amp;O2021'!C$18-'Report-SOF2021'!D$55)</f>
        <v>#DIV/0!</v>
      </c>
      <c r="S693" s="2452" t="e">
        <f t="shared" si="126"/>
        <v>#DIV/0!</v>
      </c>
      <c r="T693" s="1708">
        <f>IF(A693='Data Entry - SOF'!B$2,'Data Entry - SOF'!K$64,0)</f>
        <v>0</v>
      </c>
      <c r="U693" s="1687">
        <f t="shared" si="130"/>
        <v>13151081</v>
      </c>
      <c r="V693" s="2212" t="e">
        <f>IF('Report-M&amp;O2122'!C$18-'Report-SOF2122'!D$55&lt;=0,0,'Report-M&amp;O2122'!C$18-'Report-SOF2122'!D$55)</f>
        <v>#DIV/0!</v>
      </c>
      <c r="W693" s="2452" t="e">
        <f t="shared" si="127"/>
        <v>#DIV/0!</v>
      </c>
      <c r="X693" s="1708">
        <f>IF(A693='Data Entry - SOF'!B$2,'Data Entry - SOF'!M$64,0)</f>
        <v>0</v>
      </c>
      <c r="Y693" s="1371" t="e">
        <f t="shared" si="128"/>
        <v>#DIV/0!</v>
      </c>
      <c r="Z693" s="2212" t="e">
        <f>IF('Report-M&amp;O2223'!C$18-'Report-SOF2223'!D$55&lt;=0,0,'Report-M&amp;O2223'!C$18-'Report-SOF2223'!D$55)</f>
        <v>#DIV/0!</v>
      </c>
      <c r="AA693" s="1708">
        <f>IF(A693='Data Entry - SOF'!B$2,'Data Entry - SOF'!O$64,0)</f>
        <v>0</v>
      </c>
    </row>
    <row r="694" spans="1:27" ht="15.75">
      <c r="A694" s="1076" t="s">
        <v>1612</v>
      </c>
      <c r="B694">
        <v>1596960</v>
      </c>
      <c r="C694" s="2452" t="e">
        <f>#REF!+#REF!</f>
        <v>#REF!</v>
      </c>
      <c r="D694" s="2449">
        <f>IF(A694='Data Entry - SOF'!B$2,'Data Entry - SOF'!C$64,0)</f>
        <v>0</v>
      </c>
      <c r="E694" s="2450">
        <f t="shared" si="129"/>
        <v>1596960</v>
      </c>
      <c r="F694" s="2212" t="e">
        <f>IF('Report-M&amp;O1718'!C$18-'Report-SOF1718'!D$55&lt;=0,0,'Report-M&amp;O1718'!C$18-'Report-SOF1718'!D$55)</f>
        <v>#DIV/0!</v>
      </c>
      <c r="G694" s="2452" t="e">
        <f t="shared" si="121"/>
        <v>#DIV/0!</v>
      </c>
      <c r="H694" s="2449">
        <f>IF(A694='Data Entry - SOF'!B$2,'Data Entry - SOF'!E$64,0)</f>
        <v>0</v>
      </c>
      <c r="I694" s="1687">
        <f t="shared" si="122"/>
        <v>1596960</v>
      </c>
      <c r="J694" s="2212" t="e">
        <f>IF('Report-M&amp;O1819'!C$18-'Report-SOF1819'!D$55&lt;=0,0,'Report-M&amp;O1819'!C$18-'Report-SOF1819'!D$55)</f>
        <v>#DIV/0!</v>
      </c>
      <c r="K694" s="2452" t="e">
        <f t="shared" si="123"/>
        <v>#DIV/0!</v>
      </c>
      <c r="L694" s="2449">
        <f>IF(A694='Data Entry - SOF'!B$2,'Data Entry - SOF'!G$64,0)</f>
        <v>0</v>
      </c>
      <c r="M694" s="1371">
        <f t="shared" si="124"/>
        <v>1596960</v>
      </c>
      <c r="N694" s="2212" t="e">
        <f>IF('Report-M&amp;O1920'!C$18-'Report-SOF1920'!D$55&lt;=0,0,'Report-M&amp;O1920'!C$18-'Report-SOF1920'!D$55)</f>
        <v>#DIV/0!</v>
      </c>
      <c r="O694" s="2452" t="e">
        <f t="shared" si="125"/>
        <v>#DIV/0!</v>
      </c>
      <c r="P694" s="2449">
        <f>IF(A694='Data Entry - SOF'!B$2,'Data Entry - SOF'!I$64,0)</f>
        <v>0</v>
      </c>
      <c r="Q694" s="1687">
        <f t="shared" si="120"/>
        <v>1596960</v>
      </c>
      <c r="R694" s="2212" t="e">
        <f>IF('Report-M&amp;O2021'!C$18-'Report-SOF2021'!D$55&lt;=0,0,'Report-M&amp;O2021'!C$18-'Report-SOF2021'!D$55)</f>
        <v>#DIV/0!</v>
      </c>
      <c r="S694" s="2452" t="e">
        <f t="shared" si="126"/>
        <v>#DIV/0!</v>
      </c>
      <c r="T694" s="1708">
        <f>IF(A694='Data Entry - SOF'!B$2,'Data Entry - SOF'!K$64,0)</f>
        <v>0</v>
      </c>
      <c r="U694" s="1687">
        <f t="shared" si="130"/>
        <v>1596960</v>
      </c>
      <c r="V694" s="2212" t="e">
        <f>IF('Report-M&amp;O2122'!C$18-'Report-SOF2122'!D$55&lt;=0,0,'Report-M&amp;O2122'!C$18-'Report-SOF2122'!D$55)</f>
        <v>#DIV/0!</v>
      </c>
      <c r="W694" s="2452" t="e">
        <f t="shared" si="127"/>
        <v>#DIV/0!</v>
      </c>
      <c r="X694" s="1708">
        <f>IF(A694='Data Entry - SOF'!B$2,'Data Entry - SOF'!M$64,0)</f>
        <v>0</v>
      </c>
      <c r="Y694" s="1371" t="e">
        <f t="shared" si="128"/>
        <v>#DIV/0!</v>
      </c>
      <c r="Z694" s="2212" t="e">
        <f>IF('Report-M&amp;O2223'!C$18-'Report-SOF2223'!D$55&lt;=0,0,'Report-M&amp;O2223'!C$18-'Report-SOF2223'!D$55)</f>
        <v>#DIV/0!</v>
      </c>
      <c r="AA694" s="1708">
        <f>IF(A694='Data Entry - SOF'!B$2,'Data Entry - SOF'!O$64,0)</f>
        <v>0</v>
      </c>
    </row>
    <row r="695" spans="1:27" ht="15.75">
      <c r="A695" s="1076" t="s">
        <v>910</v>
      </c>
      <c r="B695">
        <v>1216471</v>
      </c>
      <c r="C695" s="2452" t="e">
        <f>#REF!+#REF!</f>
        <v>#REF!</v>
      </c>
      <c r="D695" s="2449">
        <f>IF(A695='Data Entry - SOF'!B$2,'Data Entry - SOF'!C$64,0)</f>
        <v>0</v>
      </c>
      <c r="E695" s="2450">
        <f t="shared" si="129"/>
        <v>1216471</v>
      </c>
      <c r="F695" s="2212" t="e">
        <f>IF('Report-M&amp;O1718'!C$18-'Report-SOF1718'!D$55&lt;=0,0,'Report-M&amp;O1718'!C$18-'Report-SOF1718'!D$55)</f>
        <v>#DIV/0!</v>
      </c>
      <c r="G695" s="2452" t="e">
        <f t="shared" si="121"/>
        <v>#DIV/0!</v>
      </c>
      <c r="H695" s="2449">
        <f>IF(A695='Data Entry - SOF'!B$2,'Data Entry - SOF'!E$64,0)</f>
        <v>0</v>
      </c>
      <c r="I695" s="1687">
        <f t="shared" si="122"/>
        <v>1216471</v>
      </c>
      <c r="J695" s="2212" t="e">
        <f>IF('Report-M&amp;O1819'!C$18-'Report-SOF1819'!D$55&lt;=0,0,'Report-M&amp;O1819'!C$18-'Report-SOF1819'!D$55)</f>
        <v>#DIV/0!</v>
      </c>
      <c r="K695" s="2452" t="e">
        <f t="shared" si="123"/>
        <v>#DIV/0!</v>
      </c>
      <c r="L695" s="2449">
        <f>IF(A695='Data Entry - SOF'!B$2,'Data Entry - SOF'!G$64,0)</f>
        <v>0</v>
      </c>
      <c r="M695" s="1371">
        <f t="shared" si="124"/>
        <v>1216471</v>
      </c>
      <c r="N695" s="2212" t="e">
        <f>IF('Report-M&amp;O1920'!C$18-'Report-SOF1920'!D$55&lt;=0,0,'Report-M&amp;O1920'!C$18-'Report-SOF1920'!D$55)</f>
        <v>#DIV/0!</v>
      </c>
      <c r="O695" s="2452" t="e">
        <f t="shared" si="125"/>
        <v>#DIV/0!</v>
      </c>
      <c r="P695" s="2449">
        <f>IF(A695='Data Entry - SOF'!B$2,'Data Entry - SOF'!I$64,0)</f>
        <v>0</v>
      </c>
      <c r="Q695" s="1687">
        <f t="shared" si="120"/>
        <v>1216471</v>
      </c>
      <c r="R695" s="2212" t="e">
        <f>IF('Report-M&amp;O2021'!C$18-'Report-SOF2021'!D$55&lt;=0,0,'Report-M&amp;O2021'!C$18-'Report-SOF2021'!D$55)</f>
        <v>#DIV/0!</v>
      </c>
      <c r="S695" s="2452" t="e">
        <f t="shared" si="126"/>
        <v>#DIV/0!</v>
      </c>
      <c r="T695" s="1708">
        <f>IF(A695='Data Entry - SOF'!B$2,'Data Entry - SOF'!K$64,0)</f>
        <v>0</v>
      </c>
      <c r="U695" s="1687">
        <f t="shared" si="130"/>
        <v>1216471</v>
      </c>
      <c r="V695" s="2212" t="e">
        <f>IF('Report-M&amp;O2122'!C$18-'Report-SOF2122'!D$55&lt;=0,0,'Report-M&amp;O2122'!C$18-'Report-SOF2122'!D$55)</f>
        <v>#DIV/0!</v>
      </c>
      <c r="W695" s="2452" t="e">
        <f t="shared" si="127"/>
        <v>#DIV/0!</v>
      </c>
      <c r="X695" s="1708">
        <f>IF(A695='Data Entry - SOF'!B$2,'Data Entry - SOF'!M$64,0)</f>
        <v>0</v>
      </c>
      <c r="Y695" s="1371" t="e">
        <f t="shared" si="128"/>
        <v>#DIV/0!</v>
      </c>
      <c r="Z695" s="2212" t="e">
        <f>IF('Report-M&amp;O2223'!C$18-'Report-SOF2223'!D$55&lt;=0,0,'Report-M&amp;O2223'!C$18-'Report-SOF2223'!D$55)</f>
        <v>#DIV/0!</v>
      </c>
      <c r="AA695" s="1708">
        <f>IF(A695='Data Entry - SOF'!B$2,'Data Entry - SOF'!O$64,0)</f>
        <v>0</v>
      </c>
    </row>
    <row r="696" spans="1:27" ht="15.75">
      <c r="A696" s="1076" t="s">
        <v>1685</v>
      </c>
      <c r="B696">
        <v>81877</v>
      </c>
      <c r="C696" s="2452" t="e">
        <f>#REF!+#REF!</f>
        <v>#REF!</v>
      </c>
      <c r="D696" s="2449">
        <f>IF(A696='Data Entry - SOF'!B$2,'Data Entry - SOF'!C$64,0)</f>
        <v>0</v>
      </c>
      <c r="E696" s="2450">
        <f t="shared" si="129"/>
        <v>81877</v>
      </c>
      <c r="F696" s="2212" t="e">
        <f>IF('Report-M&amp;O1718'!C$18-'Report-SOF1718'!D$55&lt;=0,0,'Report-M&amp;O1718'!C$18-'Report-SOF1718'!D$55)</f>
        <v>#DIV/0!</v>
      </c>
      <c r="G696" s="2452" t="e">
        <f t="shared" si="121"/>
        <v>#DIV/0!</v>
      </c>
      <c r="H696" s="2449">
        <f>IF(A696='Data Entry - SOF'!B$2,'Data Entry - SOF'!E$64,0)</f>
        <v>0</v>
      </c>
      <c r="I696" s="1687">
        <f t="shared" si="122"/>
        <v>81877</v>
      </c>
      <c r="J696" s="2212" t="e">
        <f>IF('Report-M&amp;O1819'!C$18-'Report-SOF1819'!D$55&lt;=0,0,'Report-M&amp;O1819'!C$18-'Report-SOF1819'!D$55)</f>
        <v>#DIV/0!</v>
      </c>
      <c r="K696" s="2452" t="e">
        <f t="shared" si="123"/>
        <v>#DIV/0!</v>
      </c>
      <c r="L696" s="2449">
        <f>IF(A696='Data Entry - SOF'!B$2,'Data Entry - SOF'!G$64,0)</f>
        <v>0</v>
      </c>
      <c r="M696" s="1371">
        <f t="shared" si="124"/>
        <v>81877</v>
      </c>
      <c r="N696" s="2212" t="e">
        <f>IF('Report-M&amp;O1920'!C$18-'Report-SOF1920'!D$55&lt;=0,0,'Report-M&amp;O1920'!C$18-'Report-SOF1920'!D$55)</f>
        <v>#DIV/0!</v>
      </c>
      <c r="O696" s="2452" t="e">
        <f t="shared" si="125"/>
        <v>#DIV/0!</v>
      </c>
      <c r="P696" s="2449">
        <f>IF(A696='Data Entry - SOF'!B$2,'Data Entry - SOF'!I$64,0)</f>
        <v>0</v>
      </c>
      <c r="Q696" s="1687">
        <f t="shared" si="120"/>
        <v>81877</v>
      </c>
      <c r="R696" s="2212" t="e">
        <f>IF('Report-M&amp;O2021'!C$18-'Report-SOF2021'!D$55&lt;=0,0,'Report-M&amp;O2021'!C$18-'Report-SOF2021'!D$55)</f>
        <v>#DIV/0!</v>
      </c>
      <c r="S696" s="2452" t="e">
        <f t="shared" si="126"/>
        <v>#DIV/0!</v>
      </c>
      <c r="T696" s="1708">
        <f>IF(A696='Data Entry - SOF'!B$2,'Data Entry - SOF'!K$64,0)</f>
        <v>0</v>
      </c>
      <c r="U696" s="1687">
        <f t="shared" si="130"/>
        <v>81877</v>
      </c>
      <c r="V696" s="2212" t="e">
        <f>IF('Report-M&amp;O2122'!C$18-'Report-SOF2122'!D$55&lt;=0,0,'Report-M&amp;O2122'!C$18-'Report-SOF2122'!D$55)</f>
        <v>#DIV/0!</v>
      </c>
      <c r="W696" s="2452" t="e">
        <f t="shared" si="127"/>
        <v>#DIV/0!</v>
      </c>
      <c r="X696" s="1708">
        <f>IF(A696='Data Entry - SOF'!B$2,'Data Entry - SOF'!M$64,0)</f>
        <v>0</v>
      </c>
      <c r="Y696" s="1371" t="e">
        <f t="shared" si="128"/>
        <v>#DIV/0!</v>
      </c>
      <c r="Z696" s="2212" t="e">
        <f>IF('Report-M&amp;O2223'!C$18-'Report-SOF2223'!D$55&lt;=0,0,'Report-M&amp;O2223'!C$18-'Report-SOF2223'!D$55)</f>
        <v>#DIV/0!</v>
      </c>
      <c r="AA696" s="1708">
        <f>IF(A696='Data Entry - SOF'!B$2,'Data Entry - SOF'!O$64,0)</f>
        <v>0</v>
      </c>
    </row>
    <row r="697" spans="1:27" ht="15.75">
      <c r="A697" s="1076" t="s">
        <v>1686</v>
      </c>
      <c r="B697">
        <v>997441.55738933303</v>
      </c>
      <c r="C697" s="2452" t="e">
        <f>#REF!+#REF!</f>
        <v>#REF!</v>
      </c>
      <c r="D697" s="2449">
        <f>IF(A697='Data Entry - SOF'!B$2,'Data Entry - SOF'!C$64,0)</f>
        <v>0</v>
      </c>
      <c r="E697" s="2450">
        <f t="shared" si="129"/>
        <v>997441.55738933303</v>
      </c>
      <c r="F697" s="2212" t="e">
        <f>IF('Report-M&amp;O1718'!C$18-'Report-SOF1718'!D$55&lt;=0,0,'Report-M&amp;O1718'!C$18-'Report-SOF1718'!D$55)</f>
        <v>#DIV/0!</v>
      </c>
      <c r="G697" s="2452" t="e">
        <f t="shared" si="121"/>
        <v>#DIV/0!</v>
      </c>
      <c r="H697" s="2449">
        <f>IF(A697='Data Entry - SOF'!B$2,'Data Entry - SOF'!E$64,0)</f>
        <v>0</v>
      </c>
      <c r="I697" s="1687">
        <f t="shared" si="122"/>
        <v>997441.55738933303</v>
      </c>
      <c r="J697" s="2212" t="e">
        <f>IF('Report-M&amp;O1819'!C$18-'Report-SOF1819'!D$55&lt;=0,0,'Report-M&amp;O1819'!C$18-'Report-SOF1819'!D$55)</f>
        <v>#DIV/0!</v>
      </c>
      <c r="K697" s="2452" t="e">
        <f t="shared" si="123"/>
        <v>#DIV/0!</v>
      </c>
      <c r="L697" s="2449">
        <f>IF(A697='Data Entry - SOF'!B$2,'Data Entry - SOF'!G$64,0)</f>
        <v>0</v>
      </c>
      <c r="M697" s="1371">
        <f t="shared" si="124"/>
        <v>997441.55738933303</v>
      </c>
      <c r="N697" s="2212" t="e">
        <f>IF('Report-M&amp;O1920'!C$18-'Report-SOF1920'!D$55&lt;=0,0,'Report-M&amp;O1920'!C$18-'Report-SOF1920'!D$55)</f>
        <v>#DIV/0!</v>
      </c>
      <c r="O697" s="2452" t="e">
        <f t="shared" si="125"/>
        <v>#DIV/0!</v>
      </c>
      <c r="P697" s="2449">
        <f>IF(A697='Data Entry - SOF'!B$2,'Data Entry - SOF'!I$64,0)</f>
        <v>0</v>
      </c>
      <c r="Q697" s="1687">
        <f t="shared" si="120"/>
        <v>997441.55738933303</v>
      </c>
      <c r="R697" s="2212" t="e">
        <f>IF('Report-M&amp;O2021'!C$18-'Report-SOF2021'!D$55&lt;=0,0,'Report-M&amp;O2021'!C$18-'Report-SOF2021'!D$55)</f>
        <v>#DIV/0!</v>
      </c>
      <c r="S697" s="2452" t="e">
        <f t="shared" si="126"/>
        <v>#DIV/0!</v>
      </c>
      <c r="T697" s="1708">
        <f>IF(A697='Data Entry - SOF'!B$2,'Data Entry - SOF'!K$64,0)</f>
        <v>0</v>
      </c>
      <c r="U697" s="1687">
        <f t="shared" si="130"/>
        <v>997441.55738933303</v>
      </c>
      <c r="V697" s="2212" t="e">
        <f>IF('Report-M&amp;O2122'!C$18-'Report-SOF2122'!D$55&lt;=0,0,'Report-M&amp;O2122'!C$18-'Report-SOF2122'!D$55)</f>
        <v>#DIV/0!</v>
      </c>
      <c r="W697" s="2452" t="e">
        <f t="shared" si="127"/>
        <v>#DIV/0!</v>
      </c>
      <c r="X697" s="1708">
        <f>IF(A697='Data Entry - SOF'!B$2,'Data Entry - SOF'!M$64,0)</f>
        <v>0</v>
      </c>
      <c r="Y697" s="1371" t="e">
        <f t="shared" si="128"/>
        <v>#DIV/0!</v>
      </c>
      <c r="Z697" s="2212" t="e">
        <f>IF('Report-M&amp;O2223'!C$18-'Report-SOF2223'!D$55&lt;=0,0,'Report-M&amp;O2223'!C$18-'Report-SOF2223'!D$55)</f>
        <v>#DIV/0!</v>
      </c>
      <c r="AA697" s="1708">
        <f>IF(A697='Data Entry - SOF'!B$2,'Data Entry - SOF'!O$64,0)</f>
        <v>0</v>
      </c>
    </row>
    <row r="698" spans="1:27" ht="15.75">
      <c r="A698" s="1076" t="s">
        <v>1445</v>
      </c>
      <c r="B698">
        <v>2314369.0490278699</v>
      </c>
      <c r="C698" s="2452" t="e">
        <f>#REF!+#REF!</f>
        <v>#REF!</v>
      </c>
      <c r="D698" s="2449">
        <f>IF(A698='Data Entry - SOF'!B$2,'Data Entry - SOF'!C$64,0)</f>
        <v>0</v>
      </c>
      <c r="E698" s="2450">
        <f t="shared" si="129"/>
        <v>2314369.0490278699</v>
      </c>
      <c r="F698" s="2212" t="e">
        <f>IF('Report-M&amp;O1718'!C$18-'Report-SOF1718'!D$55&lt;=0,0,'Report-M&amp;O1718'!C$18-'Report-SOF1718'!D$55)</f>
        <v>#DIV/0!</v>
      </c>
      <c r="G698" s="2452" t="e">
        <f t="shared" si="121"/>
        <v>#DIV/0!</v>
      </c>
      <c r="H698" s="2449">
        <f>IF(A698='Data Entry - SOF'!B$2,'Data Entry - SOF'!E$64,0)</f>
        <v>0</v>
      </c>
      <c r="I698" s="1687">
        <f t="shared" si="122"/>
        <v>2314369.0490278699</v>
      </c>
      <c r="J698" s="2212" t="e">
        <f>IF('Report-M&amp;O1819'!C$18-'Report-SOF1819'!D$55&lt;=0,0,'Report-M&amp;O1819'!C$18-'Report-SOF1819'!D$55)</f>
        <v>#DIV/0!</v>
      </c>
      <c r="K698" s="2452" t="e">
        <f t="shared" si="123"/>
        <v>#DIV/0!</v>
      </c>
      <c r="L698" s="2449">
        <f>IF(A698='Data Entry - SOF'!B$2,'Data Entry - SOF'!G$64,0)</f>
        <v>0</v>
      </c>
      <c r="M698" s="1371">
        <f t="shared" si="124"/>
        <v>2314369.0490278699</v>
      </c>
      <c r="N698" s="2212" t="e">
        <f>IF('Report-M&amp;O1920'!C$18-'Report-SOF1920'!D$55&lt;=0,0,'Report-M&amp;O1920'!C$18-'Report-SOF1920'!D$55)</f>
        <v>#DIV/0!</v>
      </c>
      <c r="O698" s="2452" t="e">
        <f t="shared" si="125"/>
        <v>#DIV/0!</v>
      </c>
      <c r="P698" s="2449">
        <f>IF(A698='Data Entry - SOF'!B$2,'Data Entry - SOF'!I$64,0)</f>
        <v>0</v>
      </c>
      <c r="Q698" s="1687">
        <f t="shared" si="120"/>
        <v>2314369.0490278699</v>
      </c>
      <c r="R698" s="2212" t="e">
        <f>IF('Report-M&amp;O2021'!C$18-'Report-SOF2021'!D$55&lt;=0,0,'Report-M&amp;O2021'!C$18-'Report-SOF2021'!D$55)</f>
        <v>#DIV/0!</v>
      </c>
      <c r="S698" s="2452" t="e">
        <f t="shared" si="126"/>
        <v>#DIV/0!</v>
      </c>
      <c r="T698" s="1708">
        <f>IF(A698='Data Entry - SOF'!B$2,'Data Entry - SOF'!K$64,0)</f>
        <v>0</v>
      </c>
      <c r="U698" s="1687">
        <f t="shared" si="130"/>
        <v>2314369.0490278699</v>
      </c>
      <c r="V698" s="2212" t="e">
        <f>IF('Report-M&amp;O2122'!C$18-'Report-SOF2122'!D$55&lt;=0,0,'Report-M&amp;O2122'!C$18-'Report-SOF2122'!D$55)</f>
        <v>#DIV/0!</v>
      </c>
      <c r="W698" s="2452" t="e">
        <f t="shared" si="127"/>
        <v>#DIV/0!</v>
      </c>
      <c r="X698" s="1708">
        <f>IF(A698='Data Entry - SOF'!B$2,'Data Entry - SOF'!M$64,0)</f>
        <v>0</v>
      </c>
      <c r="Y698" s="1371" t="e">
        <f t="shared" si="128"/>
        <v>#DIV/0!</v>
      </c>
      <c r="Z698" s="2212" t="e">
        <f>IF('Report-M&amp;O2223'!C$18-'Report-SOF2223'!D$55&lt;=0,0,'Report-M&amp;O2223'!C$18-'Report-SOF2223'!D$55)</f>
        <v>#DIV/0!</v>
      </c>
      <c r="AA698" s="1708">
        <f>IF(A698='Data Entry - SOF'!B$2,'Data Entry - SOF'!O$64,0)</f>
        <v>0</v>
      </c>
    </row>
    <row r="699" spans="1:27" ht="15.75">
      <c r="A699" s="1076" t="s">
        <v>1724</v>
      </c>
      <c r="B699">
        <v>2318178.2853342802</v>
      </c>
      <c r="C699" s="2452" t="e">
        <f>#REF!+#REF!</f>
        <v>#REF!</v>
      </c>
      <c r="D699" s="2449">
        <f>IF(A699='Data Entry - SOF'!B$2,'Data Entry - SOF'!C$64,0)</f>
        <v>0</v>
      </c>
      <c r="E699" s="2450">
        <f t="shared" si="129"/>
        <v>2318178.2853342802</v>
      </c>
      <c r="F699" s="2212" t="e">
        <f>IF('Report-M&amp;O1718'!C$18-'Report-SOF1718'!D$55&lt;=0,0,'Report-M&amp;O1718'!C$18-'Report-SOF1718'!D$55)</f>
        <v>#DIV/0!</v>
      </c>
      <c r="G699" s="2452" t="e">
        <f t="shared" si="121"/>
        <v>#DIV/0!</v>
      </c>
      <c r="H699" s="2449">
        <f>IF(A699='Data Entry - SOF'!B$2,'Data Entry - SOF'!E$64,0)</f>
        <v>0</v>
      </c>
      <c r="I699" s="1687">
        <f t="shared" si="122"/>
        <v>2318178.2853342802</v>
      </c>
      <c r="J699" s="2212" t="e">
        <f>IF('Report-M&amp;O1819'!C$18-'Report-SOF1819'!D$55&lt;=0,0,'Report-M&amp;O1819'!C$18-'Report-SOF1819'!D$55)</f>
        <v>#DIV/0!</v>
      </c>
      <c r="K699" s="2452" t="e">
        <f t="shared" si="123"/>
        <v>#DIV/0!</v>
      </c>
      <c r="L699" s="2449">
        <f>IF(A699='Data Entry - SOF'!B$2,'Data Entry - SOF'!G$64,0)</f>
        <v>0</v>
      </c>
      <c r="M699" s="1371">
        <f t="shared" si="124"/>
        <v>2318178.2853342802</v>
      </c>
      <c r="N699" s="2212" t="e">
        <f>IF('Report-M&amp;O1920'!C$18-'Report-SOF1920'!D$55&lt;=0,0,'Report-M&amp;O1920'!C$18-'Report-SOF1920'!D$55)</f>
        <v>#DIV/0!</v>
      </c>
      <c r="O699" s="2452" t="e">
        <f t="shared" si="125"/>
        <v>#DIV/0!</v>
      </c>
      <c r="P699" s="2449">
        <f>IF(A699='Data Entry - SOF'!B$2,'Data Entry - SOF'!I$64,0)</f>
        <v>0</v>
      </c>
      <c r="Q699" s="1687">
        <f t="shared" si="120"/>
        <v>2318178.2853342802</v>
      </c>
      <c r="R699" s="2212" t="e">
        <f>IF('Report-M&amp;O2021'!C$18-'Report-SOF2021'!D$55&lt;=0,0,'Report-M&amp;O2021'!C$18-'Report-SOF2021'!D$55)</f>
        <v>#DIV/0!</v>
      </c>
      <c r="S699" s="2452" t="e">
        <f t="shared" si="126"/>
        <v>#DIV/0!</v>
      </c>
      <c r="T699" s="1708">
        <f>IF(A699='Data Entry - SOF'!B$2,'Data Entry - SOF'!K$64,0)</f>
        <v>0</v>
      </c>
      <c r="U699" s="1687">
        <f t="shared" si="130"/>
        <v>2318178.2853342802</v>
      </c>
      <c r="V699" s="2212" t="e">
        <f>IF('Report-M&amp;O2122'!C$18-'Report-SOF2122'!D$55&lt;=0,0,'Report-M&amp;O2122'!C$18-'Report-SOF2122'!D$55)</f>
        <v>#DIV/0!</v>
      </c>
      <c r="W699" s="2452" t="e">
        <f t="shared" si="127"/>
        <v>#DIV/0!</v>
      </c>
      <c r="X699" s="1708">
        <f>IF(A699='Data Entry - SOF'!B$2,'Data Entry - SOF'!M$64,0)</f>
        <v>0</v>
      </c>
      <c r="Y699" s="1371" t="e">
        <f t="shared" si="128"/>
        <v>#DIV/0!</v>
      </c>
      <c r="Z699" s="2212" t="e">
        <f>IF('Report-M&amp;O2223'!C$18-'Report-SOF2223'!D$55&lt;=0,0,'Report-M&amp;O2223'!C$18-'Report-SOF2223'!D$55)</f>
        <v>#DIV/0!</v>
      </c>
      <c r="AA699" s="1708">
        <f>IF(A699='Data Entry - SOF'!B$2,'Data Entry - SOF'!O$64,0)</f>
        <v>0</v>
      </c>
    </row>
    <row r="700" spans="1:27" ht="15.75">
      <c r="A700" s="1076" t="s">
        <v>2639</v>
      </c>
      <c r="B700">
        <v>329026853</v>
      </c>
      <c r="C700" s="2452" t="e">
        <f>#REF!+#REF!</f>
        <v>#REF!</v>
      </c>
      <c r="D700" s="2449">
        <f>IF(A700='Data Entry - SOF'!B$2,'Data Entry - SOF'!C$64,0)</f>
        <v>0</v>
      </c>
      <c r="E700" s="2450">
        <f t="shared" si="129"/>
        <v>329026853</v>
      </c>
      <c r="F700" s="2212" t="e">
        <f>IF('Report-M&amp;O1718'!C$18-'Report-SOF1718'!D$55&lt;=0,0,'Report-M&amp;O1718'!C$18-'Report-SOF1718'!D$55)</f>
        <v>#DIV/0!</v>
      </c>
      <c r="G700" s="2452" t="e">
        <f t="shared" si="121"/>
        <v>#DIV/0!</v>
      </c>
      <c r="H700" s="2449">
        <f>IF(A700='Data Entry - SOF'!B$2,'Data Entry - SOF'!E$64,0)</f>
        <v>0</v>
      </c>
      <c r="I700" s="1687">
        <f t="shared" si="122"/>
        <v>329026853</v>
      </c>
      <c r="J700" s="2212" t="e">
        <f>IF('Report-M&amp;O1819'!C$18-'Report-SOF1819'!D$55&lt;=0,0,'Report-M&amp;O1819'!C$18-'Report-SOF1819'!D$55)</f>
        <v>#DIV/0!</v>
      </c>
      <c r="K700" s="2452" t="e">
        <f t="shared" si="123"/>
        <v>#DIV/0!</v>
      </c>
      <c r="L700" s="2449">
        <f>IF(A700='Data Entry - SOF'!B$2,'Data Entry - SOF'!G$64,0)</f>
        <v>0</v>
      </c>
      <c r="M700" s="1371">
        <f t="shared" si="124"/>
        <v>329026853</v>
      </c>
      <c r="N700" s="2212" t="e">
        <f>IF('Report-M&amp;O1920'!C$18-'Report-SOF1920'!D$55&lt;=0,0,'Report-M&amp;O1920'!C$18-'Report-SOF1920'!D$55)</f>
        <v>#DIV/0!</v>
      </c>
      <c r="O700" s="2452" t="e">
        <f t="shared" si="125"/>
        <v>#DIV/0!</v>
      </c>
      <c r="P700" s="2449">
        <f>IF(A700='Data Entry - SOF'!B$2,'Data Entry - SOF'!I$64,0)</f>
        <v>0</v>
      </c>
      <c r="Q700" s="1687">
        <f>M700-P700</f>
        <v>329026853</v>
      </c>
      <c r="R700" s="2212" t="e">
        <f>IF('Report-M&amp;O2021'!C$18-'Report-SOF2021'!D$55&lt;=0,0,'Report-M&amp;O2021'!C$18-'Report-SOF2021'!D$55)</f>
        <v>#DIV/0!</v>
      </c>
      <c r="S700" s="2452" t="e">
        <f t="shared" si="126"/>
        <v>#DIV/0!</v>
      </c>
      <c r="T700" s="1708">
        <f>IF(A700='Data Entry - SOF'!B$2,'Data Entry - SOF'!K$64,0)</f>
        <v>0</v>
      </c>
      <c r="U700" s="1687">
        <f t="shared" ref="U700:U715" si="131">Q700-T700</f>
        <v>329026853</v>
      </c>
      <c r="V700" s="2212" t="e">
        <f>IF('Report-M&amp;O2122'!C$18-'Report-SOF2122'!D$55&lt;=0,0,'Report-M&amp;O2122'!C$18-'Report-SOF2122'!D$55)</f>
        <v>#DIV/0!</v>
      </c>
      <c r="W700" s="2452" t="e">
        <f t="shared" si="127"/>
        <v>#DIV/0!</v>
      </c>
      <c r="X700" s="1708">
        <f>IF(A700='Data Entry - SOF'!B$2,'Data Entry - SOF'!M$64,0)</f>
        <v>0</v>
      </c>
      <c r="Y700" s="1371" t="e">
        <f t="shared" si="128"/>
        <v>#DIV/0!</v>
      </c>
      <c r="Z700" s="2212" t="e">
        <f>IF('Report-M&amp;O2223'!C$18-'Report-SOF2223'!D$55&lt;=0,0,'Report-M&amp;O2223'!C$18-'Report-SOF2223'!D$55)</f>
        <v>#DIV/0!</v>
      </c>
      <c r="AA700" s="1708">
        <f>IF(A700='Data Entry - SOF'!B$2,'Data Entry - SOF'!O$64,0)</f>
        <v>0</v>
      </c>
    </row>
    <row r="701" spans="1:27" ht="15.75">
      <c r="A701" s="1076" t="s">
        <v>1725</v>
      </c>
      <c r="B701">
        <v>76126932</v>
      </c>
      <c r="C701" s="2452" t="e">
        <f>#REF!+#REF!</f>
        <v>#REF!</v>
      </c>
      <c r="D701" s="2449">
        <f>IF(A701='Data Entry - SOF'!B$2,'Data Entry - SOF'!C$64,0)</f>
        <v>0</v>
      </c>
      <c r="E701" s="2450">
        <f t="shared" si="129"/>
        <v>76126932</v>
      </c>
      <c r="F701" s="2212" t="e">
        <f>IF('Report-M&amp;O1718'!C$18-'Report-SOF1718'!D$55&lt;=0,0,'Report-M&amp;O1718'!C$18-'Report-SOF1718'!D$55)</f>
        <v>#DIV/0!</v>
      </c>
      <c r="G701" s="2452" t="e">
        <f t="shared" si="121"/>
        <v>#DIV/0!</v>
      </c>
      <c r="H701" s="2449">
        <f>IF(A701='Data Entry - SOF'!B$2,'Data Entry - SOF'!E$64,0)</f>
        <v>0</v>
      </c>
      <c r="I701" s="1687">
        <f t="shared" si="122"/>
        <v>76126932</v>
      </c>
      <c r="J701" s="2212" t="e">
        <f>IF('Report-M&amp;O1819'!C$18-'Report-SOF1819'!D$55&lt;=0,0,'Report-M&amp;O1819'!C$18-'Report-SOF1819'!D$55)</f>
        <v>#DIV/0!</v>
      </c>
      <c r="K701" s="2452" t="e">
        <f t="shared" si="123"/>
        <v>#DIV/0!</v>
      </c>
      <c r="L701" s="2449">
        <f>IF(A701='Data Entry - SOF'!B$2,'Data Entry - SOF'!G$64,0)</f>
        <v>0</v>
      </c>
      <c r="M701" s="1371">
        <f t="shared" si="124"/>
        <v>76126932</v>
      </c>
      <c r="N701" s="2212" t="e">
        <f>IF('Report-M&amp;O1920'!C$18-'Report-SOF1920'!D$55&lt;=0,0,'Report-M&amp;O1920'!C$18-'Report-SOF1920'!D$55)</f>
        <v>#DIV/0!</v>
      </c>
      <c r="O701" s="2452" t="e">
        <f t="shared" si="125"/>
        <v>#DIV/0!</v>
      </c>
      <c r="P701" s="2449">
        <f>IF(A701='Data Entry - SOF'!B$2,'Data Entry - SOF'!I$64,0)</f>
        <v>0</v>
      </c>
      <c r="Q701" s="1687">
        <f t="shared" ref="Q701:Q763" si="132">M701-P701</f>
        <v>76126932</v>
      </c>
      <c r="R701" s="2212" t="e">
        <f>IF('Report-M&amp;O2021'!C$18-'Report-SOF2021'!D$55&lt;=0,0,'Report-M&amp;O2021'!C$18-'Report-SOF2021'!D$55)</f>
        <v>#DIV/0!</v>
      </c>
      <c r="S701" s="2452" t="e">
        <f t="shared" si="126"/>
        <v>#DIV/0!</v>
      </c>
      <c r="T701" s="1708">
        <f>IF(A701='Data Entry - SOF'!B$2,'Data Entry - SOF'!K$64,0)</f>
        <v>0</v>
      </c>
      <c r="U701" s="1687">
        <f t="shared" si="131"/>
        <v>76126932</v>
      </c>
      <c r="V701" s="2212" t="e">
        <f>IF('Report-M&amp;O2122'!C$18-'Report-SOF2122'!D$55&lt;=0,0,'Report-M&amp;O2122'!C$18-'Report-SOF2122'!D$55)</f>
        <v>#DIV/0!</v>
      </c>
      <c r="W701" s="2452" t="e">
        <f t="shared" si="127"/>
        <v>#DIV/0!</v>
      </c>
      <c r="X701" s="1708">
        <f>IF(A701='Data Entry - SOF'!B$2,'Data Entry - SOF'!M$64,0)</f>
        <v>0</v>
      </c>
      <c r="Y701" s="1371" t="e">
        <f t="shared" si="128"/>
        <v>#DIV/0!</v>
      </c>
      <c r="Z701" s="2212" t="e">
        <f>IF('Report-M&amp;O2223'!C$18-'Report-SOF2223'!D$55&lt;=0,0,'Report-M&amp;O2223'!C$18-'Report-SOF2223'!D$55)</f>
        <v>#DIV/0!</v>
      </c>
      <c r="AA701" s="1708">
        <f>IF(A701='Data Entry - SOF'!B$2,'Data Entry - SOF'!O$64,0)</f>
        <v>0</v>
      </c>
    </row>
    <row r="702" spans="1:27" ht="15.75">
      <c r="A702" s="1076" t="s">
        <v>1349</v>
      </c>
      <c r="B702">
        <v>23541682</v>
      </c>
      <c r="C702" s="2452" t="e">
        <f>#REF!+#REF!</f>
        <v>#REF!</v>
      </c>
      <c r="D702" s="2449">
        <f>IF(A702='Data Entry - SOF'!B$2,'Data Entry - SOF'!C$64,0)</f>
        <v>0</v>
      </c>
      <c r="E702" s="2450">
        <f t="shared" si="129"/>
        <v>23541682</v>
      </c>
      <c r="F702" s="2212" t="e">
        <f>IF('Report-M&amp;O1718'!C$18-'Report-SOF1718'!D$55&lt;=0,0,'Report-M&amp;O1718'!C$18-'Report-SOF1718'!D$55)</f>
        <v>#DIV/0!</v>
      </c>
      <c r="G702" s="2452" t="e">
        <f t="shared" si="121"/>
        <v>#DIV/0!</v>
      </c>
      <c r="H702" s="2449">
        <f>IF(A702='Data Entry - SOF'!B$2,'Data Entry - SOF'!E$64,0)</f>
        <v>0</v>
      </c>
      <c r="I702" s="1687">
        <f t="shared" si="122"/>
        <v>23541682</v>
      </c>
      <c r="J702" s="2212" t="e">
        <f>IF('Report-M&amp;O1819'!C$18-'Report-SOF1819'!D$55&lt;=0,0,'Report-M&amp;O1819'!C$18-'Report-SOF1819'!D$55)</f>
        <v>#DIV/0!</v>
      </c>
      <c r="K702" s="2452" t="e">
        <f t="shared" si="123"/>
        <v>#DIV/0!</v>
      </c>
      <c r="L702" s="2449">
        <f>IF(A702='Data Entry - SOF'!B$2,'Data Entry - SOF'!G$64,0)</f>
        <v>0</v>
      </c>
      <c r="M702" s="1371">
        <f t="shared" si="124"/>
        <v>23541682</v>
      </c>
      <c r="N702" s="2212" t="e">
        <f>IF('Report-M&amp;O1920'!C$18-'Report-SOF1920'!D$55&lt;=0,0,'Report-M&amp;O1920'!C$18-'Report-SOF1920'!D$55)</f>
        <v>#DIV/0!</v>
      </c>
      <c r="O702" s="2452" t="e">
        <f t="shared" si="125"/>
        <v>#DIV/0!</v>
      </c>
      <c r="P702" s="2449">
        <f>IF(A702='Data Entry - SOF'!B$2,'Data Entry - SOF'!I$64,0)</f>
        <v>0</v>
      </c>
      <c r="Q702" s="1687">
        <f t="shared" si="132"/>
        <v>23541682</v>
      </c>
      <c r="R702" s="2212" t="e">
        <f>IF('Report-M&amp;O2021'!C$18-'Report-SOF2021'!D$55&lt;=0,0,'Report-M&amp;O2021'!C$18-'Report-SOF2021'!D$55)</f>
        <v>#DIV/0!</v>
      </c>
      <c r="S702" s="2452" t="e">
        <f t="shared" si="126"/>
        <v>#DIV/0!</v>
      </c>
      <c r="T702" s="1708">
        <f>IF(A702='Data Entry - SOF'!B$2,'Data Entry - SOF'!K$64,0)</f>
        <v>0</v>
      </c>
      <c r="U702" s="1687">
        <f t="shared" si="131"/>
        <v>23541682</v>
      </c>
      <c r="V702" s="2212" t="e">
        <f>IF('Report-M&amp;O2122'!C$18-'Report-SOF2122'!D$55&lt;=0,0,'Report-M&amp;O2122'!C$18-'Report-SOF2122'!D$55)</f>
        <v>#DIV/0!</v>
      </c>
      <c r="W702" s="2452" t="e">
        <f t="shared" si="127"/>
        <v>#DIV/0!</v>
      </c>
      <c r="X702" s="1708">
        <f>IF(A702='Data Entry - SOF'!B$2,'Data Entry - SOF'!M$64,0)</f>
        <v>0</v>
      </c>
      <c r="Y702" s="1371" t="e">
        <f t="shared" si="128"/>
        <v>#DIV/0!</v>
      </c>
      <c r="Z702" s="2212" t="e">
        <f>IF('Report-M&amp;O2223'!C$18-'Report-SOF2223'!D$55&lt;=0,0,'Report-M&amp;O2223'!C$18-'Report-SOF2223'!D$55)</f>
        <v>#DIV/0!</v>
      </c>
      <c r="AA702" s="1708">
        <f>IF(A702='Data Entry - SOF'!B$2,'Data Entry - SOF'!O$64,0)</f>
        <v>0</v>
      </c>
    </row>
    <row r="703" spans="1:27" ht="15.75">
      <c r="A703" s="1076" t="s">
        <v>378</v>
      </c>
      <c r="B703">
        <v>51805899</v>
      </c>
      <c r="C703" s="2452" t="e">
        <f>#REF!+#REF!</f>
        <v>#REF!</v>
      </c>
      <c r="D703" s="2449">
        <f>IF(A703='Data Entry - SOF'!B$2,'Data Entry - SOF'!C$64,0)</f>
        <v>0</v>
      </c>
      <c r="E703" s="2450">
        <f t="shared" si="129"/>
        <v>51805899</v>
      </c>
      <c r="F703" s="2212" t="e">
        <f>IF('Report-M&amp;O1718'!C$18-'Report-SOF1718'!D$55&lt;=0,0,'Report-M&amp;O1718'!C$18-'Report-SOF1718'!D$55)</f>
        <v>#DIV/0!</v>
      </c>
      <c r="G703" s="2452" t="e">
        <f t="shared" si="121"/>
        <v>#DIV/0!</v>
      </c>
      <c r="H703" s="2449">
        <f>IF(A703='Data Entry - SOF'!B$2,'Data Entry - SOF'!E$64,0)</f>
        <v>0</v>
      </c>
      <c r="I703" s="1687">
        <f t="shared" si="122"/>
        <v>51805899</v>
      </c>
      <c r="J703" s="2212" t="e">
        <f>IF('Report-M&amp;O1819'!C$18-'Report-SOF1819'!D$55&lt;=0,0,'Report-M&amp;O1819'!C$18-'Report-SOF1819'!D$55)</f>
        <v>#DIV/0!</v>
      </c>
      <c r="K703" s="2452" t="e">
        <f t="shared" si="123"/>
        <v>#DIV/0!</v>
      </c>
      <c r="L703" s="2449">
        <f>IF(A703='Data Entry - SOF'!B$2,'Data Entry - SOF'!G$64,0)</f>
        <v>0</v>
      </c>
      <c r="M703" s="1371">
        <f t="shared" si="124"/>
        <v>51805899</v>
      </c>
      <c r="N703" s="2212" t="e">
        <f>IF('Report-M&amp;O1920'!C$18-'Report-SOF1920'!D$55&lt;=0,0,'Report-M&amp;O1920'!C$18-'Report-SOF1920'!D$55)</f>
        <v>#DIV/0!</v>
      </c>
      <c r="O703" s="2452" t="e">
        <f t="shared" si="125"/>
        <v>#DIV/0!</v>
      </c>
      <c r="P703" s="2449">
        <f>IF(A703='Data Entry - SOF'!B$2,'Data Entry - SOF'!I$64,0)</f>
        <v>0</v>
      </c>
      <c r="Q703" s="1687">
        <f t="shared" si="132"/>
        <v>51805899</v>
      </c>
      <c r="R703" s="2212" t="e">
        <f>IF('Report-M&amp;O2021'!C$18-'Report-SOF2021'!D$55&lt;=0,0,'Report-M&amp;O2021'!C$18-'Report-SOF2021'!D$55)</f>
        <v>#DIV/0!</v>
      </c>
      <c r="S703" s="2452" t="e">
        <f t="shared" si="126"/>
        <v>#DIV/0!</v>
      </c>
      <c r="T703" s="1708">
        <f>IF(A703='Data Entry - SOF'!B$2,'Data Entry - SOF'!K$64,0)</f>
        <v>0</v>
      </c>
      <c r="U703" s="1687">
        <f t="shared" si="131"/>
        <v>51805899</v>
      </c>
      <c r="V703" s="2212" t="e">
        <f>IF('Report-M&amp;O2122'!C$18-'Report-SOF2122'!D$55&lt;=0,0,'Report-M&amp;O2122'!C$18-'Report-SOF2122'!D$55)</f>
        <v>#DIV/0!</v>
      </c>
      <c r="W703" s="2452" t="e">
        <f t="shared" si="127"/>
        <v>#DIV/0!</v>
      </c>
      <c r="X703" s="1708">
        <f>IF(A703='Data Entry - SOF'!B$2,'Data Entry - SOF'!M$64,0)</f>
        <v>0</v>
      </c>
      <c r="Y703" s="1371" t="e">
        <f t="shared" si="128"/>
        <v>#DIV/0!</v>
      </c>
      <c r="Z703" s="2212" t="e">
        <f>IF('Report-M&amp;O2223'!C$18-'Report-SOF2223'!D$55&lt;=0,0,'Report-M&amp;O2223'!C$18-'Report-SOF2223'!D$55)</f>
        <v>#DIV/0!</v>
      </c>
      <c r="AA703" s="1708">
        <f>IF(A703='Data Entry - SOF'!B$2,'Data Entry - SOF'!O$64,0)</f>
        <v>0</v>
      </c>
    </row>
    <row r="704" spans="1:27" ht="15.75">
      <c r="A704" s="1076" t="s">
        <v>1701</v>
      </c>
      <c r="B704">
        <v>5688009</v>
      </c>
      <c r="C704" s="2452" t="e">
        <f>#REF!+#REF!</f>
        <v>#REF!</v>
      </c>
      <c r="D704" s="2449">
        <f>IF(A704='Data Entry - SOF'!B$2,'Data Entry - SOF'!C$64,0)</f>
        <v>0</v>
      </c>
      <c r="E704" s="2450">
        <f t="shared" si="129"/>
        <v>5688009</v>
      </c>
      <c r="F704" s="2212" t="e">
        <f>IF('Report-M&amp;O1718'!C$18-'Report-SOF1718'!D$55&lt;=0,0,'Report-M&amp;O1718'!C$18-'Report-SOF1718'!D$55)</f>
        <v>#DIV/0!</v>
      </c>
      <c r="G704" s="2452" t="e">
        <f t="shared" si="121"/>
        <v>#DIV/0!</v>
      </c>
      <c r="H704" s="2449">
        <f>IF(A704='Data Entry - SOF'!B$2,'Data Entry - SOF'!E$64,0)</f>
        <v>0</v>
      </c>
      <c r="I704" s="1687">
        <f t="shared" si="122"/>
        <v>5688009</v>
      </c>
      <c r="J704" s="2212" t="e">
        <f>IF('Report-M&amp;O1819'!C$18-'Report-SOF1819'!D$55&lt;=0,0,'Report-M&amp;O1819'!C$18-'Report-SOF1819'!D$55)</f>
        <v>#DIV/0!</v>
      </c>
      <c r="K704" s="2452" t="e">
        <f t="shared" si="123"/>
        <v>#DIV/0!</v>
      </c>
      <c r="L704" s="2449">
        <f>IF(A704='Data Entry - SOF'!B$2,'Data Entry - SOF'!G$64,0)</f>
        <v>0</v>
      </c>
      <c r="M704" s="1371">
        <f t="shared" si="124"/>
        <v>5688009</v>
      </c>
      <c r="N704" s="2212" t="e">
        <f>IF('Report-M&amp;O1920'!C$18-'Report-SOF1920'!D$55&lt;=0,0,'Report-M&amp;O1920'!C$18-'Report-SOF1920'!D$55)</f>
        <v>#DIV/0!</v>
      </c>
      <c r="O704" s="2452" t="e">
        <f t="shared" si="125"/>
        <v>#DIV/0!</v>
      </c>
      <c r="P704" s="2449">
        <f>IF(A704='Data Entry - SOF'!B$2,'Data Entry - SOF'!I$64,0)</f>
        <v>0</v>
      </c>
      <c r="Q704" s="1687">
        <f t="shared" si="132"/>
        <v>5688009</v>
      </c>
      <c r="R704" s="2212" t="e">
        <f>IF('Report-M&amp;O2021'!C$18-'Report-SOF2021'!D$55&lt;=0,0,'Report-M&amp;O2021'!C$18-'Report-SOF2021'!D$55)</f>
        <v>#DIV/0!</v>
      </c>
      <c r="S704" s="2452" t="e">
        <f t="shared" si="126"/>
        <v>#DIV/0!</v>
      </c>
      <c r="T704" s="1708">
        <f>IF(A704='Data Entry - SOF'!B$2,'Data Entry - SOF'!K$64,0)</f>
        <v>0</v>
      </c>
      <c r="U704" s="1687">
        <f t="shared" si="131"/>
        <v>5688009</v>
      </c>
      <c r="V704" s="2212" t="e">
        <f>IF('Report-M&amp;O2122'!C$18-'Report-SOF2122'!D$55&lt;=0,0,'Report-M&amp;O2122'!C$18-'Report-SOF2122'!D$55)</f>
        <v>#DIV/0!</v>
      </c>
      <c r="W704" s="2452" t="e">
        <f t="shared" si="127"/>
        <v>#DIV/0!</v>
      </c>
      <c r="X704" s="1708">
        <f>IF(A704='Data Entry - SOF'!B$2,'Data Entry - SOF'!M$64,0)</f>
        <v>0</v>
      </c>
      <c r="Y704" s="1371" t="e">
        <f t="shared" si="128"/>
        <v>#DIV/0!</v>
      </c>
      <c r="Z704" s="2212" t="e">
        <f>IF('Report-M&amp;O2223'!C$18-'Report-SOF2223'!D$55&lt;=0,0,'Report-M&amp;O2223'!C$18-'Report-SOF2223'!D$55)</f>
        <v>#DIV/0!</v>
      </c>
      <c r="AA704" s="1708">
        <f>IF(A704='Data Entry - SOF'!B$2,'Data Entry - SOF'!O$64,0)</f>
        <v>0</v>
      </c>
    </row>
    <row r="705" spans="1:27" ht="15.75">
      <c r="A705" s="1076" t="s">
        <v>801</v>
      </c>
      <c r="B705">
        <v>57618338</v>
      </c>
      <c r="C705" s="2452" t="e">
        <f>#REF!+#REF!</f>
        <v>#REF!</v>
      </c>
      <c r="D705" s="2449">
        <f>IF(A705='Data Entry - SOF'!B$2,'Data Entry - SOF'!C$64,0)</f>
        <v>0</v>
      </c>
      <c r="E705" s="2450">
        <f t="shared" si="129"/>
        <v>57618338</v>
      </c>
      <c r="F705" s="2212" t="e">
        <f>IF('Report-M&amp;O1718'!C$18-'Report-SOF1718'!D$55&lt;=0,0,'Report-M&amp;O1718'!C$18-'Report-SOF1718'!D$55)</f>
        <v>#DIV/0!</v>
      </c>
      <c r="G705" s="2452" t="e">
        <f t="shared" si="121"/>
        <v>#DIV/0!</v>
      </c>
      <c r="H705" s="2449">
        <f>IF(A705='Data Entry - SOF'!B$2,'Data Entry - SOF'!E$64,0)</f>
        <v>0</v>
      </c>
      <c r="I705" s="1687">
        <f t="shared" si="122"/>
        <v>57618338</v>
      </c>
      <c r="J705" s="2212" t="e">
        <f>IF('Report-M&amp;O1819'!C$18-'Report-SOF1819'!D$55&lt;=0,0,'Report-M&amp;O1819'!C$18-'Report-SOF1819'!D$55)</f>
        <v>#DIV/0!</v>
      </c>
      <c r="K705" s="2452" t="e">
        <f t="shared" si="123"/>
        <v>#DIV/0!</v>
      </c>
      <c r="L705" s="2449">
        <f>IF(A705='Data Entry - SOF'!B$2,'Data Entry - SOF'!G$64,0)</f>
        <v>0</v>
      </c>
      <c r="M705" s="1371">
        <f t="shared" si="124"/>
        <v>57618338</v>
      </c>
      <c r="N705" s="2212" t="e">
        <f>IF('Report-M&amp;O1920'!C$18-'Report-SOF1920'!D$55&lt;=0,0,'Report-M&amp;O1920'!C$18-'Report-SOF1920'!D$55)</f>
        <v>#DIV/0!</v>
      </c>
      <c r="O705" s="2452" t="e">
        <f t="shared" si="125"/>
        <v>#DIV/0!</v>
      </c>
      <c r="P705" s="2449">
        <f>IF(A705='Data Entry - SOF'!B$2,'Data Entry - SOF'!I$64,0)</f>
        <v>0</v>
      </c>
      <c r="Q705" s="1687">
        <f t="shared" si="132"/>
        <v>57618338</v>
      </c>
      <c r="R705" s="2212" t="e">
        <f>IF('Report-M&amp;O2021'!C$18-'Report-SOF2021'!D$55&lt;=0,0,'Report-M&amp;O2021'!C$18-'Report-SOF2021'!D$55)</f>
        <v>#DIV/0!</v>
      </c>
      <c r="S705" s="2452" t="e">
        <f t="shared" si="126"/>
        <v>#DIV/0!</v>
      </c>
      <c r="T705" s="1708">
        <f>IF(A705='Data Entry - SOF'!B$2,'Data Entry - SOF'!K$64,0)</f>
        <v>0</v>
      </c>
      <c r="U705" s="1687">
        <f t="shared" si="131"/>
        <v>57618338</v>
      </c>
      <c r="V705" s="2212" t="e">
        <f>IF('Report-M&amp;O2122'!C$18-'Report-SOF2122'!D$55&lt;=0,0,'Report-M&amp;O2122'!C$18-'Report-SOF2122'!D$55)</f>
        <v>#DIV/0!</v>
      </c>
      <c r="W705" s="2452" t="e">
        <f t="shared" si="127"/>
        <v>#DIV/0!</v>
      </c>
      <c r="X705" s="1708">
        <f>IF(A705='Data Entry - SOF'!B$2,'Data Entry - SOF'!M$64,0)</f>
        <v>0</v>
      </c>
      <c r="Y705" s="1371" t="e">
        <f t="shared" si="128"/>
        <v>#DIV/0!</v>
      </c>
      <c r="Z705" s="2212" t="e">
        <f>IF('Report-M&amp;O2223'!C$18-'Report-SOF2223'!D$55&lt;=0,0,'Report-M&amp;O2223'!C$18-'Report-SOF2223'!D$55)</f>
        <v>#DIV/0!</v>
      </c>
      <c r="AA705" s="1708">
        <f>IF(A705='Data Entry - SOF'!B$2,'Data Entry - SOF'!O$64,0)</f>
        <v>0</v>
      </c>
    </row>
    <row r="706" spans="1:27" ht="15.75">
      <c r="A706" s="1076" t="s">
        <v>2134</v>
      </c>
      <c r="B706">
        <v>11182193</v>
      </c>
      <c r="C706" s="2452" t="e">
        <f>#REF!+#REF!</f>
        <v>#REF!</v>
      </c>
      <c r="D706" s="2449">
        <f>IF(A706='Data Entry - SOF'!B$2,'Data Entry - SOF'!C$64,0)</f>
        <v>0</v>
      </c>
      <c r="E706" s="2450">
        <f t="shared" si="129"/>
        <v>11182193</v>
      </c>
      <c r="F706" s="2212" t="e">
        <f>IF('Report-M&amp;O1718'!C$18-'Report-SOF1718'!D$55&lt;=0,0,'Report-M&amp;O1718'!C$18-'Report-SOF1718'!D$55)</f>
        <v>#DIV/0!</v>
      </c>
      <c r="G706" s="2452" t="e">
        <f t="shared" si="121"/>
        <v>#DIV/0!</v>
      </c>
      <c r="H706" s="2449">
        <f>IF(A706='Data Entry - SOF'!B$2,'Data Entry - SOF'!E$64,0)</f>
        <v>0</v>
      </c>
      <c r="I706" s="1687">
        <f t="shared" si="122"/>
        <v>11182193</v>
      </c>
      <c r="J706" s="2212" t="e">
        <f>IF('Report-M&amp;O1819'!C$18-'Report-SOF1819'!D$55&lt;=0,0,'Report-M&amp;O1819'!C$18-'Report-SOF1819'!D$55)</f>
        <v>#DIV/0!</v>
      </c>
      <c r="K706" s="2452" t="e">
        <f t="shared" si="123"/>
        <v>#DIV/0!</v>
      </c>
      <c r="L706" s="2449">
        <f>IF(A706='Data Entry - SOF'!B$2,'Data Entry - SOF'!G$64,0)</f>
        <v>0</v>
      </c>
      <c r="M706" s="1371">
        <f t="shared" si="124"/>
        <v>11182193</v>
      </c>
      <c r="N706" s="2212" t="e">
        <f>IF('Report-M&amp;O1920'!C$18-'Report-SOF1920'!D$55&lt;=0,0,'Report-M&amp;O1920'!C$18-'Report-SOF1920'!D$55)</f>
        <v>#DIV/0!</v>
      </c>
      <c r="O706" s="2452" t="e">
        <f t="shared" si="125"/>
        <v>#DIV/0!</v>
      </c>
      <c r="P706" s="2449">
        <f>IF(A706='Data Entry - SOF'!B$2,'Data Entry - SOF'!I$64,0)</f>
        <v>0</v>
      </c>
      <c r="Q706" s="1687">
        <f t="shared" si="132"/>
        <v>11182193</v>
      </c>
      <c r="R706" s="2212" t="e">
        <f>IF('Report-M&amp;O2021'!C$18-'Report-SOF2021'!D$55&lt;=0,0,'Report-M&amp;O2021'!C$18-'Report-SOF2021'!D$55)</f>
        <v>#DIV/0!</v>
      </c>
      <c r="S706" s="2452" t="e">
        <f t="shared" si="126"/>
        <v>#DIV/0!</v>
      </c>
      <c r="T706" s="1708">
        <f>IF(A706='Data Entry - SOF'!B$2,'Data Entry - SOF'!K$64,0)</f>
        <v>0</v>
      </c>
      <c r="U706" s="1687">
        <f t="shared" si="131"/>
        <v>11182193</v>
      </c>
      <c r="V706" s="2212" t="e">
        <f>IF('Report-M&amp;O2122'!C$18-'Report-SOF2122'!D$55&lt;=0,0,'Report-M&amp;O2122'!C$18-'Report-SOF2122'!D$55)</f>
        <v>#DIV/0!</v>
      </c>
      <c r="W706" s="2452" t="e">
        <f t="shared" si="127"/>
        <v>#DIV/0!</v>
      </c>
      <c r="X706" s="1708">
        <f>IF(A706='Data Entry - SOF'!B$2,'Data Entry - SOF'!M$64,0)</f>
        <v>0</v>
      </c>
      <c r="Y706" s="1371" t="e">
        <f t="shared" si="128"/>
        <v>#DIV/0!</v>
      </c>
      <c r="Z706" s="2212" t="e">
        <f>IF('Report-M&amp;O2223'!C$18-'Report-SOF2223'!D$55&lt;=0,0,'Report-M&amp;O2223'!C$18-'Report-SOF2223'!D$55)</f>
        <v>#DIV/0!</v>
      </c>
      <c r="AA706" s="1708">
        <f>IF(A706='Data Entry - SOF'!B$2,'Data Entry - SOF'!O$64,0)</f>
        <v>0</v>
      </c>
    </row>
    <row r="707" spans="1:27" ht="15.75">
      <c r="A707" s="1076" t="s">
        <v>2135</v>
      </c>
      <c r="B707">
        <v>5826856</v>
      </c>
      <c r="C707" s="2452" t="e">
        <f>#REF!+#REF!</f>
        <v>#REF!</v>
      </c>
      <c r="D707" s="2449">
        <f>IF(A707='Data Entry - SOF'!B$2,'Data Entry - SOF'!C$64,0)</f>
        <v>0</v>
      </c>
      <c r="E707" s="2450">
        <f t="shared" si="129"/>
        <v>5826856</v>
      </c>
      <c r="F707" s="2212" t="e">
        <f>IF('Report-M&amp;O1718'!C$18-'Report-SOF1718'!D$55&lt;=0,0,'Report-M&amp;O1718'!C$18-'Report-SOF1718'!D$55)</f>
        <v>#DIV/0!</v>
      </c>
      <c r="G707" s="2452" t="e">
        <f t="shared" si="121"/>
        <v>#DIV/0!</v>
      </c>
      <c r="H707" s="2449">
        <f>IF(A707='Data Entry - SOF'!B$2,'Data Entry - SOF'!E$64,0)</f>
        <v>0</v>
      </c>
      <c r="I707" s="1687">
        <f t="shared" si="122"/>
        <v>5826856</v>
      </c>
      <c r="J707" s="2212" t="e">
        <f>IF('Report-M&amp;O1819'!C$18-'Report-SOF1819'!D$55&lt;=0,0,'Report-M&amp;O1819'!C$18-'Report-SOF1819'!D$55)</f>
        <v>#DIV/0!</v>
      </c>
      <c r="K707" s="2452" t="e">
        <f t="shared" si="123"/>
        <v>#DIV/0!</v>
      </c>
      <c r="L707" s="2449">
        <f>IF(A707='Data Entry - SOF'!B$2,'Data Entry - SOF'!G$64,0)</f>
        <v>0</v>
      </c>
      <c r="M707" s="1371">
        <f t="shared" si="124"/>
        <v>5826856</v>
      </c>
      <c r="N707" s="2212" t="e">
        <f>IF('Report-M&amp;O1920'!C$18-'Report-SOF1920'!D$55&lt;=0,0,'Report-M&amp;O1920'!C$18-'Report-SOF1920'!D$55)</f>
        <v>#DIV/0!</v>
      </c>
      <c r="O707" s="2452" t="e">
        <f t="shared" si="125"/>
        <v>#DIV/0!</v>
      </c>
      <c r="P707" s="2449">
        <f>IF(A707='Data Entry - SOF'!B$2,'Data Entry - SOF'!I$64,0)</f>
        <v>0</v>
      </c>
      <c r="Q707" s="1687">
        <f t="shared" si="132"/>
        <v>5826856</v>
      </c>
      <c r="R707" s="2212" t="e">
        <f>IF('Report-M&amp;O2021'!C$18-'Report-SOF2021'!D$55&lt;=0,0,'Report-M&amp;O2021'!C$18-'Report-SOF2021'!D$55)</f>
        <v>#DIV/0!</v>
      </c>
      <c r="S707" s="2452" t="e">
        <f t="shared" si="126"/>
        <v>#DIV/0!</v>
      </c>
      <c r="T707" s="1708">
        <f>IF(A707='Data Entry - SOF'!B$2,'Data Entry - SOF'!K$64,0)</f>
        <v>0</v>
      </c>
      <c r="U707" s="1687">
        <f t="shared" si="131"/>
        <v>5826856</v>
      </c>
      <c r="V707" s="2212" t="e">
        <f>IF('Report-M&amp;O2122'!C$18-'Report-SOF2122'!D$55&lt;=0,0,'Report-M&amp;O2122'!C$18-'Report-SOF2122'!D$55)</f>
        <v>#DIV/0!</v>
      </c>
      <c r="W707" s="2452" t="e">
        <f t="shared" si="127"/>
        <v>#DIV/0!</v>
      </c>
      <c r="X707" s="1708">
        <f>IF(A707='Data Entry - SOF'!B$2,'Data Entry - SOF'!M$64,0)</f>
        <v>0</v>
      </c>
      <c r="Y707" s="1371" t="e">
        <f t="shared" si="128"/>
        <v>#DIV/0!</v>
      </c>
      <c r="Z707" s="2212" t="e">
        <f>IF('Report-M&amp;O2223'!C$18-'Report-SOF2223'!D$55&lt;=0,0,'Report-M&amp;O2223'!C$18-'Report-SOF2223'!D$55)</f>
        <v>#DIV/0!</v>
      </c>
      <c r="AA707" s="1708">
        <f>IF(A707='Data Entry - SOF'!B$2,'Data Entry - SOF'!O$64,0)</f>
        <v>0</v>
      </c>
    </row>
    <row r="708" spans="1:27" ht="15.75">
      <c r="A708" s="1076" t="s">
        <v>2136</v>
      </c>
      <c r="B708">
        <v>7797146</v>
      </c>
      <c r="C708" s="2452" t="e">
        <f>#REF!+#REF!</f>
        <v>#REF!</v>
      </c>
      <c r="D708" s="2449">
        <f>IF(A708='Data Entry - SOF'!B$2,'Data Entry - SOF'!C$64,0)</f>
        <v>0</v>
      </c>
      <c r="E708" s="2450">
        <f t="shared" si="129"/>
        <v>7797146</v>
      </c>
      <c r="F708" s="2212" t="e">
        <f>IF('Report-M&amp;O1718'!C$18-'Report-SOF1718'!D$55&lt;=0,0,'Report-M&amp;O1718'!C$18-'Report-SOF1718'!D$55)</f>
        <v>#DIV/0!</v>
      </c>
      <c r="G708" s="2452" t="e">
        <f t="shared" ref="G708:G771" si="133">E708+F708</f>
        <v>#DIV/0!</v>
      </c>
      <c r="H708" s="2449">
        <f>IF(A708='Data Entry - SOF'!B$2,'Data Entry - SOF'!E$64,0)</f>
        <v>0</v>
      </c>
      <c r="I708" s="1687">
        <f t="shared" ref="I708:I771" si="134">E708-H708</f>
        <v>7797146</v>
      </c>
      <c r="J708" s="2212" t="e">
        <f>IF('Report-M&amp;O1819'!C$18-'Report-SOF1819'!D$55&lt;=0,0,'Report-M&amp;O1819'!C$18-'Report-SOF1819'!D$55)</f>
        <v>#DIV/0!</v>
      </c>
      <c r="K708" s="2452" t="e">
        <f t="shared" ref="K708:K771" si="135">I708+J708</f>
        <v>#DIV/0!</v>
      </c>
      <c r="L708" s="2449">
        <f>IF(A708='Data Entry - SOF'!B$2,'Data Entry - SOF'!G$64,0)</f>
        <v>0</v>
      </c>
      <c r="M708" s="1371">
        <f t="shared" ref="M708:M771" si="136">I708-L708</f>
        <v>7797146</v>
      </c>
      <c r="N708" s="2212" t="e">
        <f>IF('Report-M&amp;O1920'!C$18-'Report-SOF1920'!D$55&lt;=0,0,'Report-M&amp;O1920'!C$18-'Report-SOF1920'!D$55)</f>
        <v>#DIV/0!</v>
      </c>
      <c r="O708" s="2452" t="e">
        <f t="shared" ref="O708:O771" si="137">M708+N708</f>
        <v>#DIV/0!</v>
      </c>
      <c r="P708" s="2449">
        <f>IF(A708='Data Entry - SOF'!B$2,'Data Entry - SOF'!I$64,0)</f>
        <v>0</v>
      </c>
      <c r="Q708" s="1687">
        <f t="shared" si="132"/>
        <v>7797146</v>
      </c>
      <c r="R708" s="2212" t="e">
        <f>IF('Report-M&amp;O2021'!C$18-'Report-SOF2021'!D$55&lt;=0,0,'Report-M&amp;O2021'!C$18-'Report-SOF2021'!D$55)</f>
        <v>#DIV/0!</v>
      </c>
      <c r="S708" s="2452" t="e">
        <f t="shared" ref="S708:S771" si="138">Q708+R708</f>
        <v>#DIV/0!</v>
      </c>
      <c r="T708" s="1708">
        <f>IF(A708='Data Entry - SOF'!B$2,'Data Entry - SOF'!K$64,0)</f>
        <v>0</v>
      </c>
      <c r="U708" s="1687">
        <f t="shared" si="131"/>
        <v>7797146</v>
      </c>
      <c r="V708" s="2212" t="e">
        <f>IF('Report-M&amp;O2122'!C$18-'Report-SOF2122'!D$55&lt;=0,0,'Report-M&amp;O2122'!C$18-'Report-SOF2122'!D$55)</f>
        <v>#DIV/0!</v>
      </c>
      <c r="W708" s="2452" t="e">
        <f t="shared" ref="W708:W771" si="139">U708+V708</f>
        <v>#DIV/0!</v>
      </c>
      <c r="X708" s="1708">
        <f>IF(A708='Data Entry - SOF'!B$2,'Data Entry - SOF'!M$64,0)</f>
        <v>0</v>
      </c>
      <c r="Y708" s="1371" t="e">
        <f t="shared" ref="Y708:Y771" si="140">IF(U708+V708-X708&lt;=0,0,U708+V708-X708)</f>
        <v>#DIV/0!</v>
      </c>
      <c r="Z708" s="2212" t="e">
        <f>IF('Report-M&amp;O2223'!C$18-'Report-SOF2223'!D$55&lt;=0,0,'Report-M&amp;O2223'!C$18-'Report-SOF2223'!D$55)</f>
        <v>#DIV/0!</v>
      </c>
      <c r="AA708" s="1708">
        <f>IF(A708='Data Entry - SOF'!B$2,'Data Entry - SOF'!O$64,0)</f>
        <v>0</v>
      </c>
    </row>
    <row r="709" spans="1:27" ht="15.75">
      <c r="A709" s="1076" t="s">
        <v>2137</v>
      </c>
      <c r="B709">
        <v>1983673</v>
      </c>
      <c r="C709" s="2452" t="e">
        <f>#REF!+#REF!</f>
        <v>#REF!</v>
      </c>
      <c r="D709" s="2449">
        <f>IF(A709='Data Entry - SOF'!B$2,'Data Entry - SOF'!C$64,0)</f>
        <v>0</v>
      </c>
      <c r="E709" s="2450">
        <f t="shared" ref="E709:E772" si="141">IF(B709-D709&lt;0,0,B709-D709)</f>
        <v>1983673</v>
      </c>
      <c r="F709" s="2212" t="e">
        <f>IF('Report-M&amp;O1718'!C$18-'Report-SOF1718'!D$55&lt;=0,0,'Report-M&amp;O1718'!C$18-'Report-SOF1718'!D$55)</f>
        <v>#DIV/0!</v>
      </c>
      <c r="G709" s="2452" t="e">
        <f t="shared" si="133"/>
        <v>#DIV/0!</v>
      </c>
      <c r="H709" s="2449">
        <f>IF(A709='Data Entry - SOF'!B$2,'Data Entry - SOF'!E$64,0)</f>
        <v>0</v>
      </c>
      <c r="I709" s="1687">
        <f t="shared" si="134"/>
        <v>1983673</v>
      </c>
      <c r="J709" s="2212" t="e">
        <f>IF('Report-M&amp;O1819'!C$18-'Report-SOF1819'!D$55&lt;=0,0,'Report-M&amp;O1819'!C$18-'Report-SOF1819'!D$55)</f>
        <v>#DIV/0!</v>
      </c>
      <c r="K709" s="2452" t="e">
        <f t="shared" si="135"/>
        <v>#DIV/0!</v>
      </c>
      <c r="L709" s="2449">
        <f>IF(A709='Data Entry - SOF'!B$2,'Data Entry - SOF'!G$64,0)</f>
        <v>0</v>
      </c>
      <c r="M709" s="1371">
        <f t="shared" si="136"/>
        <v>1983673</v>
      </c>
      <c r="N709" s="2212" t="e">
        <f>IF('Report-M&amp;O1920'!C$18-'Report-SOF1920'!D$55&lt;=0,0,'Report-M&amp;O1920'!C$18-'Report-SOF1920'!D$55)</f>
        <v>#DIV/0!</v>
      </c>
      <c r="O709" s="2452" t="e">
        <f t="shared" si="137"/>
        <v>#DIV/0!</v>
      </c>
      <c r="P709" s="2449">
        <f>IF(A709='Data Entry - SOF'!B$2,'Data Entry - SOF'!I$64,0)</f>
        <v>0</v>
      </c>
      <c r="Q709" s="1687">
        <f t="shared" si="132"/>
        <v>1983673</v>
      </c>
      <c r="R709" s="2212" t="e">
        <f>IF('Report-M&amp;O2021'!C$18-'Report-SOF2021'!D$55&lt;=0,0,'Report-M&amp;O2021'!C$18-'Report-SOF2021'!D$55)</f>
        <v>#DIV/0!</v>
      </c>
      <c r="S709" s="2452" t="e">
        <f t="shared" si="138"/>
        <v>#DIV/0!</v>
      </c>
      <c r="T709" s="1708">
        <f>IF(A709='Data Entry - SOF'!B$2,'Data Entry - SOF'!K$64,0)</f>
        <v>0</v>
      </c>
      <c r="U709" s="1687">
        <f t="shared" si="131"/>
        <v>1983673</v>
      </c>
      <c r="V709" s="2212" t="e">
        <f>IF('Report-M&amp;O2122'!C$18-'Report-SOF2122'!D$55&lt;=0,0,'Report-M&amp;O2122'!C$18-'Report-SOF2122'!D$55)</f>
        <v>#DIV/0!</v>
      </c>
      <c r="W709" s="2452" t="e">
        <f t="shared" si="139"/>
        <v>#DIV/0!</v>
      </c>
      <c r="X709" s="1708">
        <f>IF(A709='Data Entry - SOF'!B$2,'Data Entry - SOF'!M$64,0)</f>
        <v>0</v>
      </c>
      <c r="Y709" s="1371" t="e">
        <f t="shared" si="140"/>
        <v>#DIV/0!</v>
      </c>
      <c r="Z709" s="2212" t="e">
        <f>IF('Report-M&amp;O2223'!C$18-'Report-SOF2223'!D$55&lt;=0,0,'Report-M&amp;O2223'!C$18-'Report-SOF2223'!D$55)</f>
        <v>#DIV/0!</v>
      </c>
      <c r="AA709" s="1708">
        <f>IF(A709='Data Entry - SOF'!B$2,'Data Entry - SOF'!O$64,0)</f>
        <v>0</v>
      </c>
    </row>
    <row r="710" spans="1:27" ht="15.75">
      <c r="A710" s="1076" t="s">
        <v>2685</v>
      </c>
      <c r="B710">
        <v>802978</v>
      </c>
      <c r="C710" s="2452" t="e">
        <f>#REF!+#REF!</f>
        <v>#REF!</v>
      </c>
      <c r="D710" s="2449">
        <f>IF(A710='Data Entry - SOF'!B$2,'Data Entry - SOF'!C$64,0)</f>
        <v>0</v>
      </c>
      <c r="E710" s="2450">
        <f t="shared" si="141"/>
        <v>802978</v>
      </c>
      <c r="F710" s="2212" t="e">
        <f>IF('Report-M&amp;O1718'!C$18-'Report-SOF1718'!D$55&lt;=0,0,'Report-M&amp;O1718'!C$18-'Report-SOF1718'!D$55)</f>
        <v>#DIV/0!</v>
      </c>
      <c r="G710" s="2452" t="e">
        <f t="shared" si="133"/>
        <v>#DIV/0!</v>
      </c>
      <c r="H710" s="2449">
        <f>IF(A710='Data Entry - SOF'!B$2,'Data Entry - SOF'!E$64,0)</f>
        <v>0</v>
      </c>
      <c r="I710" s="1687">
        <f t="shared" si="134"/>
        <v>802978</v>
      </c>
      <c r="J710" s="2212" t="e">
        <f>IF('Report-M&amp;O1819'!C$18-'Report-SOF1819'!D$55&lt;=0,0,'Report-M&amp;O1819'!C$18-'Report-SOF1819'!D$55)</f>
        <v>#DIV/0!</v>
      </c>
      <c r="K710" s="2452" t="e">
        <f t="shared" si="135"/>
        <v>#DIV/0!</v>
      </c>
      <c r="L710" s="2449">
        <f>IF(A710='Data Entry - SOF'!B$2,'Data Entry - SOF'!G$64,0)</f>
        <v>0</v>
      </c>
      <c r="M710" s="1371">
        <f t="shared" si="136"/>
        <v>802978</v>
      </c>
      <c r="N710" s="2212" t="e">
        <f>IF('Report-M&amp;O1920'!C$18-'Report-SOF1920'!D$55&lt;=0,0,'Report-M&amp;O1920'!C$18-'Report-SOF1920'!D$55)</f>
        <v>#DIV/0!</v>
      </c>
      <c r="O710" s="2452" t="e">
        <f t="shared" si="137"/>
        <v>#DIV/0!</v>
      </c>
      <c r="P710" s="2449">
        <f>IF(A710='Data Entry - SOF'!B$2,'Data Entry - SOF'!I$64,0)</f>
        <v>0</v>
      </c>
      <c r="Q710" s="1687">
        <f t="shared" si="132"/>
        <v>802978</v>
      </c>
      <c r="R710" s="2212" t="e">
        <f>IF('Report-M&amp;O2021'!C$18-'Report-SOF2021'!D$55&lt;=0,0,'Report-M&amp;O2021'!C$18-'Report-SOF2021'!D$55)</f>
        <v>#DIV/0!</v>
      </c>
      <c r="S710" s="2452" t="e">
        <f t="shared" si="138"/>
        <v>#DIV/0!</v>
      </c>
      <c r="T710" s="1708">
        <f>IF(A710='Data Entry - SOF'!B$2,'Data Entry - SOF'!K$64,0)</f>
        <v>0</v>
      </c>
      <c r="U710" s="1687">
        <f t="shared" si="131"/>
        <v>802978</v>
      </c>
      <c r="V710" s="2212" t="e">
        <f>IF('Report-M&amp;O2122'!C$18-'Report-SOF2122'!D$55&lt;=0,0,'Report-M&amp;O2122'!C$18-'Report-SOF2122'!D$55)</f>
        <v>#DIV/0!</v>
      </c>
      <c r="W710" s="2452" t="e">
        <f t="shared" si="139"/>
        <v>#DIV/0!</v>
      </c>
      <c r="X710" s="1708">
        <f>IF(A710='Data Entry - SOF'!B$2,'Data Entry - SOF'!M$64,0)</f>
        <v>0</v>
      </c>
      <c r="Y710" s="1371" t="e">
        <f t="shared" si="140"/>
        <v>#DIV/0!</v>
      </c>
      <c r="Z710" s="2212" t="e">
        <f>IF('Report-M&amp;O2223'!C$18-'Report-SOF2223'!D$55&lt;=0,0,'Report-M&amp;O2223'!C$18-'Report-SOF2223'!D$55)</f>
        <v>#DIV/0!</v>
      </c>
      <c r="AA710" s="1708">
        <f>IF(A710='Data Entry - SOF'!B$2,'Data Entry - SOF'!O$64,0)</f>
        <v>0</v>
      </c>
    </row>
    <row r="711" spans="1:27" ht="15.75">
      <c r="A711" s="1076" t="s">
        <v>802</v>
      </c>
      <c r="B711">
        <v>3111287</v>
      </c>
      <c r="C711" s="2452" t="e">
        <f>#REF!+#REF!</f>
        <v>#REF!</v>
      </c>
      <c r="D711" s="2449">
        <f>IF(A711='Data Entry - SOF'!B$2,'Data Entry - SOF'!C$64,0)</f>
        <v>0</v>
      </c>
      <c r="E711" s="2450">
        <f t="shared" si="141"/>
        <v>3111287</v>
      </c>
      <c r="F711" s="2212" t="e">
        <f>IF('Report-M&amp;O1718'!C$18-'Report-SOF1718'!D$55&lt;=0,0,'Report-M&amp;O1718'!C$18-'Report-SOF1718'!D$55)</f>
        <v>#DIV/0!</v>
      </c>
      <c r="G711" s="2452" t="e">
        <f t="shared" si="133"/>
        <v>#DIV/0!</v>
      </c>
      <c r="H711" s="2449">
        <f>IF(A711='Data Entry - SOF'!B$2,'Data Entry - SOF'!E$64,0)</f>
        <v>0</v>
      </c>
      <c r="I711" s="1687">
        <f t="shared" si="134"/>
        <v>3111287</v>
      </c>
      <c r="J711" s="2212" t="e">
        <f>IF('Report-M&amp;O1819'!C$18-'Report-SOF1819'!D$55&lt;=0,0,'Report-M&amp;O1819'!C$18-'Report-SOF1819'!D$55)</f>
        <v>#DIV/0!</v>
      </c>
      <c r="K711" s="2452" t="e">
        <f t="shared" si="135"/>
        <v>#DIV/0!</v>
      </c>
      <c r="L711" s="2449">
        <f>IF(A711='Data Entry - SOF'!B$2,'Data Entry - SOF'!G$64,0)</f>
        <v>0</v>
      </c>
      <c r="M711" s="1371">
        <f t="shared" si="136"/>
        <v>3111287</v>
      </c>
      <c r="N711" s="2212" t="e">
        <f>IF('Report-M&amp;O1920'!C$18-'Report-SOF1920'!D$55&lt;=0,0,'Report-M&amp;O1920'!C$18-'Report-SOF1920'!D$55)</f>
        <v>#DIV/0!</v>
      </c>
      <c r="O711" s="2452" t="e">
        <f t="shared" si="137"/>
        <v>#DIV/0!</v>
      </c>
      <c r="P711" s="2449">
        <f>IF(A711='Data Entry - SOF'!B$2,'Data Entry - SOF'!I$64,0)</f>
        <v>0</v>
      </c>
      <c r="Q711" s="1687">
        <f t="shared" si="132"/>
        <v>3111287</v>
      </c>
      <c r="R711" s="2212" t="e">
        <f>IF('Report-M&amp;O2021'!C$18-'Report-SOF2021'!D$55&lt;=0,0,'Report-M&amp;O2021'!C$18-'Report-SOF2021'!D$55)</f>
        <v>#DIV/0!</v>
      </c>
      <c r="S711" s="2452" t="e">
        <f t="shared" si="138"/>
        <v>#DIV/0!</v>
      </c>
      <c r="T711" s="1708">
        <f>IF(A711='Data Entry - SOF'!B$2,'Data Entry - SOF'!K$64,0)</f>
        <v>0</v>
      </c>
      <c r="U711" s="1687">
        <f t="shared" si="131"/>
        <v>3111287</v>
      </c>
      <c r="V711" s="2212" t="e">
        <f>IF('Report-M&amp;O2122'!C$18-'Report-SOF2122'!D$55&lt;=0,0,'Report-M&amp;O2122'!C$18-'Report-SOF2122'!D$55)</f>
        <v>#DIV/0!</v>
      </c>
      <c r="W711" s="2452" t="e">
        <f t="shared" si="139"/>
        <v>#DIV/0!</v>
      </c>
      <c r="X711" s="1708">
        <f>IF(A711='Data Entry - SOF'!B$2,'Data Entry - SOF'!M$64,0)</f>
        <v>0</v>
      </c>
      <c r="Y711" s="1371" t="e">
        <f t="shared" si="140"/>
        <v>#DIV/0!</v>
      </c>
      <c r="Z711" s="2212" t="e">
        <f>IF('Report-M&amp;O2223'!C$18-'Report-SOF2223'!D$55&lt;=0,0,'Report-M&amp;O2223'!C$18-'Report-SOF2223'!D$55)</f>
        <v>#DIV/0!</v>
      </c>
      <c r="AA711" s="1708">
        <f>IF(A711='Data Entry - SOF'!B$2,'Data Entry - SOF'!O$64,0)</f>
        <v>0</v>
      </c>
    </row>
    <row r="712" spans="1:27" ht="15.75">
      <c r="A712" s="1076" t="s">
        <v>570</v>
      </c>
      <c r="B712">
        <v>8948538</v>
      </c>
      <c r="C712" s="2452" t="e">
        <f>#REF!+#REF!</f>
        <v>#REF!</v>
      </c>
      <c r="D712" s="2449">
        <f>IF(A712='Data Entry - SOF'!B$2,'Data Entry - SOF'!C$64,0)</f>
        <v>0</v>
      </c>
      <c r="E712" s="2450">
        <f t="shared" si="141"/>
        <v>8948538</v>
      </c>
      <c r="F712" s="2212" t="e">
        <f>IF('Report-M&amp;O1718'!C$18-'Report-SOF1718'!D$55&lt;=0,0,'Report-M&amp;O1718'!C$18-'Report-SOF1718'!D$55)</f>
        <v>#DIV/0!</v>
      </c>
      <c r="G712" s="2452" t="e">
        <f t="shared" si="133"/>
        <v>#DIV/0!</v>
      </c>
      <c r="H712" s="2449">
        <f>IF(A712='Data Entry - SOF'!B$2,'Data Entry - SOF'!E$64,0)</f>
        <v>0</v>
      </c>
      <c r="I712" s="1687">
        <f t="shared" si="134"/>
        <v>8948538</v>
      </c>
      <c r="J712" s="2212" t="e">
        <f>IF('Report-M&amp;O1819'!C$18-'Report-SOF1819'!D$55&lt;=0,0,'Report-M&amp;O1819'!C$18-'Report-SOF1819'!D$55)</f>
        <v>#DIV/0!</v>
      </c>
      <c r="K712" s="2452" t="e">
        <f t="shared" si="135"/>
        <v>#DIV/0!</v>
      </c>
      <c r="L712" s="2449">
        <f>IF(A712='Data Entry - SOF'!B$2,'Data Entry - SOF'!G$64,0)</f>
        <v>0</v>
      </c>
      <c r="M712" s="1371">
        <f t="shared" si="136"/>
        <v>8948538</v>
      </c>
      <c r="N712" s="2212" t="e">
        <f>IF('Report-M&amp;O1920'!C$18-'Report-SOF1920'!D$55&lt;=0,0,'Report-M&amp;O1920'!C$18-'Report-SOF1920'!D$55)</f>
        <v>#DIV/0!</v>
      </c>
      <c r="O712" s="2452" t="e">
        <f t="shared" si="137"/>
        <v>#DIV/0!</v>
      </c>
      <c r="P712" s="2449">
        <f>IF(A712='Data Entry - SOF'!B$2,'Data Entry - SOF'!I$64,0)</f>
        <v>0</v>
      </c>
      <c r="Q712" s="1687">
        <f t="shared" si="132"/>
        <v>8948538</v>
      </c>
      <c r="R712" s="2212" t="e">
        <f>IF('Report-M&amp;O2021'!C$18-'Report-SOF2021'!D$55&lt;=0,0,'Report-M&amp;O2021'!C$18-'Report-SOF2021'!D$55)</f>
        <v>#DIV/0!</v>
      </c>
      <c r="S712" s="2452" t="e">
        <f t="shared" si="138"/>
        <v>#DIV/0!</v>
      </c>
      <c r="T712" s="1708">
        <f>IF(A712='Data Entry - SOF'!B$2,'Data Entry - SOF'!K$64,0)</f>
        <v>0</v>
      </c>
      <c r="U712" s="1687">
        <f t="shared" si="131"/>
        <v>8948538</v>
      </c>
      <c r="V712" s="2212" t="e">
        <f>IF('Report-M&amp;O2122'!C$18-'Report-SOF2122'!D$55&lt;=0,0,'Report-M&amp;O2122'!C$18-'Report-SOF2122'!D$55)</f>
        <v>#DIV/0!</v>
      </c>
      <c r="W712" s="2452" t="e">
        <f t="shared" si="139"/>
        <v>#DIV/0!</v>
      </c>
      <c r="X712" s="1708">
        <f>IF(A712='Data Entry - SOF'!B$2,'Data Entry - SOF'!M$64,0)</f>
        <v>0</v>
      </c>
      <c r="Y712" s="1371" t="e">
        <f t="shared" si="140"/>
        <v>#DIV/0!</v>
      </c>
      <c r="Z712" s="2212" t="e">
        <f>IF('Report-M&amp;O2223'!C$18-'Report-SOF2223'!D$55&lt;=0,0,'Report-M&amp;O2223'!C$18-'Report-SOF2223'!D$55)</f>
        <v>#DIV/0!</v>
      </c>
      <c r="AA712" s="1708">
        <f>IF(A712='Data Entry - SOF'!B$2,'Data Entry - SOF'!O$64,0)</f>
        <v>0</v>
      </c>
    </row>
    <row r="713" spans="1:27" ht="15.75">
      <c r="A713" s="1076" t="s">
        <v>803</v>
      </c>
      <c r="B713">
        <v>804064</v>
      </c>
      <c r="C713" s="2452" t="e">
        <f>#REF!+#REF!</f>
        <v>#REF!</v>
      </c>
      <c r="D713" s="2449">
        <f>IF(A713='Data Entry - SOF'!B$2,'Data Entry - SOF'!C$64,0)</f>
        <v>0</v>
      </c>
      <c r="E713" s="2450">
        <f t="shared" si="141"/>
        <v>804064</v>
      </c>
      <c r="F713" s="2212" t="e">
        <f>IF('Report-M&amp;O1718'!C$18-'Report-SOF1718'!D$55&lt;=0,0,'Report-M&amp;O1718'!C$18-'Report-SOF1718'!D$55)</f>
        <v>#DIV/0!</v>
      </c>
      <c r="G713" s="2452" t="e">
        <f t="shared" si="133"/>
        <v>#DIV/0!</v>
      </c>
      <c r="H713" s="2449">
        <f>IF(A713='Data Entry - SOF'!B$2,'Data Entry - SOF'!E$64,0)</f>
        <v>0</v>
      </c>
      <c r="I713" s="1687">
        <f t="shared" si="134"/>
        <v>804064</v>
      </c>
      <c r="J713" s="2212" t="e">
        <f>IF('Report-M&amp;O1819'!C$18-'Report-SOF1819'!D$55&lt;=0,0,'Report-M&amp;O1819'!C$18-'Report-SOF1819'!D$55)</f>
        <v>#DIV/0!</v>
      </c>
      <c r="K713" s="2452" t="e">
        <f t="shared" si="135"/>
        <v>#DIV/0!</v>
      </c>
      <c r="L713" s="2449">
        <f>IF(A713='Data Entry - SOF'!B$2,'Data Entry - SOF'!G$64,0)</f>
        <v>0</v>
      </c>
      <c r="M713" s="1371">
        <f t="shared" si="136"/>
        <v>804064</v>
      </c>
      <c r="N713" s="2212" t="e">
        <f>IF('Report-M&amp;O1920'!C$18-'Report-SOF1920'!D$55&lt;=0,0,'Report-M&amp;O1920'!C$18-'Report-SOF1920'!D$55)</f>
        <v>#DIV/0!</v>
      </c>
      <c r="O713" s="2452" t="e">
        <f t="shared" si="137"/>
        <v>#DIV/0!</v>
      </c>
      <c r="P713" s="2449">
        <f>IF(A713='Data Entry - SOF'!B$2,'Data Entry - SOF'!I$64,0)</f>
        <v>0</v>
      </c>
      <c r="Q713" s="1687">
        <f t="shared" si="132"/>
        <v>804064</v>
      </c>
      <c r="R713" s="2212" t="e">
        <f>IF('Report-M&amp;O2021'!C$18-'Report-SOF2021'!D$55&lt;=0,0,'Report-M&amp;O2021'!C$18-'Report-SOF2021'!D$55)</f>
        <v>#DIV/0!</v>
      </c>
      <c r="S713" s="2452" t="e">
        <f t="shared" si="138"/>
        <v>#DIV/0!</v>
      </c>
      <c r="T713" s="1708">
        <f>IF(A713='Data Entry - SOF'!B$2,'Data Entry - SOF'!K$64,0)</f>
        <v>0</v>
      </c>
      <c r="U713" s="1687">
        <f t="shared" si="131"/>
        <v>804064</v>
      </c>
      <c r="V713" s="2212" t="e">
        <f>IF('Report-M&amp;O2122'!C$18-'Report-SOF2122'!D$55&lt;=0,0,'Report-M&amp;O2122'!C$18-'Report-SOF2122'!D$55)</f>
        <v>#DIV/0!</v>
      </c>
      <c r="W713" s="2452" t="e">
        <f t="shared" si="139"/>
        <v>#DIV/0!</v>
      </c>
      <c r="X713" s="1708">
        <f>IF(A713='Data Entry - SOF'!B$2,'Data Entry - SOF'!M$64,0)</f>
        <v>0</v>
      </c>
      <c r="Y713" s="1371" t="e">
        <f t="shared" si="140"/>
        <v>#DIV/0!</v>
      </c>
      <c r="Z713" s="2212" t="e">
        <f>IF('Report-M&amp;O2223'!C$18-'Report-SOF2223'!D$55&lt;=0,0,'Report-M&amp;O2223'!C$18-'Report-SOF2223'!D$55)</f>
        <v>#DIV/0!</v>
      </c>
      <c r="AA713" s="1708">
        <f>IF(A713='Data Entry - SOF'!B$2,'Data Entry - SOF'!O$64,0)</f>
        <v>0</v>
      </c>
    </row>
    <row r="714" spans="1:27" ht="15.75">
      <c r="A714" s="1076" t="s">
        <v>571</v>
      </c>
      <c r="B714">
        <v>8028924</v>
      </c>
      <c r="C714" s="2452" t="e">
        <f>#REF!+#REF!</f>
        <v>#REF!</v>
      </c>
      <c r="D714" s="2449">
        <f>IF(A714='Data Entry - SOF'!B$2,'Data Entry - SOF'!C$64,0)</f>
        <v>0</v>
      </c>
      <c r="E714" s="2450">
        <f t="shared" si="141"/>
        <v>8028924</v>
      </c>
      <c r="F714" s="2212" t="e">
        <f>IF('Report-M&amp;O1718'!C$18-'Report-SOF1718'!D$55&lt;=0,0,'Report-M&amp;O1718'!C$18-'Report-SOF1718'!D$55)</f>
        <v>#DIV/0!</v>
      </c>
      <c r="G714" s="2452" t="e">
        <f t="shared" si="133"/>
        <v>#DIV/0!</v>
      </c>
      <c r="H714" s="2449">
        <f>IF(A714='Data Entry - SOF'!B$2,'Data Entry - SOF'!E$64,0)</f>
        <v>0</v>
      </c>
      <c r="I714" s="1687">
        <f t="shared" si="134"/>
        <v>8028924</v>
      </c>
      <c r="J714" s="2212" t="e">
        <f>IF('Report-M&amp;O1819'!C$18-'Report-SOF1819'!D$55&lt;=0,0,'Report-M&amp;O1819'!C$18-'Report-SOF1819'!D$55)</f>
        <v>#DIV/0!</v>
      </c>
      <c r="K714" s="2452" t="e">
        <f t="shared" si="135"/>
        <v>#DIV/0!</v>
      </c>
      <c r="L714" s="2449">
        <f>IF(A714='Data Entry - SOF'!B$2,'Data Entry - SOF'!G$64,0)</f>
        <v>0</v>
      </c>
      <c r="M714" s="1371">
        <f t="shared" si="136"/>
        <v>8028924</v>
      </c>
      <c r="N714" s="2212" t="e">
        <f>IF('Report-M&amp;O1920'!C$18-'Report-SOF1920'!D$55&lt;=0,0,'Report-M&amp;O1920'!C$18-'Report-SOF1920'!D$55)</f>
        <v>#DIV/0!</v>
      </c>
      <c r="O714" s="2452" t="e">
        <f t="shared" si="137"/>
        <v>#DIV/0!</v>
      </c>
      <c r="P714" s="2449">
        <f>IF(A714='Data Entry - SOF'!B$2,'Data Entry - SOF'!I$64,0)</f>
        <v>0</v>
      </c>
      <c r="Q714" s="1687">
        <f t="shared" si="132"/>
        <v>8028924</v>
      </c>
      <c r="R714" s="2212" t="e">
        <f>IF('Report-M&amp;O2021'!C$18-'Report-SOF2021'!D$55&lt;=0,0,'Report-M&amp;O2021'!C$18-'Report-SOF2021'!D$55)</f>
        <v>#DIV/0!</v>
      </c>
      <c r="S714" s="2452" t="e">
        <f t="shared" si="138"/>
        <v>#DIV/0!</v>
      </c>
      <c r="T714" s="1708">
        <f>IF(A714='Data Entry - SOF'!B$2,'Data Entry - SOF'!K$64,0)</f>
        <v>0</v>
      </c>
      <c r="U714" s="1687">
        <f t="shared" si="131"/>
        <v>8028924</v>
      </c>
      <c r="V714" s="2212" t="e">
        <f>IF('Report-M&amp;O2122'!C$18-'Report-SOF2122'!D$55&lt;=0,0,'Report-M&amp;O2122'!C$18-'Report-SOF2122'!D$55)</f>
        <v>#DIV/0!</v>
      </c>
      <c r="W714" s="2452" t="e">
        <f t="shared" si="139"/>
        <v>#DIV/0!</v>
      </c>
      <c r="X714" s="1708">
        <f>IF(A714='Data Entry - SOF'!B$2,'Data Entry - SOF'!M$64,0)</f>
        <v>0</v>
      </c>
      <c r="Y714" s="1371" t="e">
        <f t="shared" si="140"/>
        <v>#DIV/0!</v>
      </c>
      <c r="Z714" s="2212" t="e">
        <f>IF('Report-M&amp;O2223'!C$18-'Report-SOF2223'!D$55&lt;=0,0,'Report-M&amp;O2223'!C$18-'Report-SOF2223'!D$55)</f>
        <v>#DIV/0!</v>
      </c>
      <c r="AA714" s="1708">
        <f>IF(A714='Data Entry - SOF'!B$2,'Data Entry - SOF'!O$64,0)</f>
        <v>0</v>
      </c>
    </row>
    <row r="715" spans="1:27" ht="15.75">
      <c r="A715" s="1076" t="s">
        <v>410</v>
      </c>
      <c r="B715">
        <v>491886</v>
      </c>
      <c r="C715" s="2452" t="e">
        <f>#REF!+#REF!</f>
        <v>#REF!</v>
      </c>
      <c r="D715" s="2449">
        <f>IF(A715='Data Entry - SOF'!B$2,'Data Entry - SOF'!C$64,0)</f>
        <v>0</v>
      </c>
      <c r="E715" s="2450">
        <f t="shared" si="141"/>
        <v>491886</v>
      </c>
      <c r="F715" s="2212" t="e">
        <f>IF('Report-M&amp;O1718'!C$18-'Report-SOF1718'!D$55&lt;=0,0,'Report-M&amp;O1718'!C$18-'Report-SOF1718'!D$55)</f>
        <v>#DIV/0!</v>
      </c>
      <c r="G715" s="2452" t="e">
        <f t="shared" si="133"/>
        <v>#DIV/0!</v>
      </c>
      <c r="H715" s="2449">
        <f>IF(A715='Data Entry - SOF'!B$2,'Data Entry - SOF'!E$64,0)</f>
        <v>0</v>
      </c>
      <c r="I715" s="1687">
        <f t="shared" si="134"/>
        <v>491886</v>
      </c>
      <c r="J715" s="2212" t="e">
        <f>IF('Report-M&amp;O1819'!C$18-'Report-SOF1819'!D$55&lt;=0,0,'Report-M&amp;O1819'!C$18-'Report-SOF1819'!D$55)</f>
        <v>#DIV/0!</v>
      </c>
      <c r="K715" s="2452" t="e">
        <f t="shared" si="135"/>
        <v>#DIV/0!</v>
      </c>
      <c r="L715" s="2449">
        <f>IF(A715='Data Entry - SOF'!B$2,'Data Entry - SOF'!G$64,0)</f>
        <v>0</v>
      </c>
      <c r="M715" s="1371">
        <f t="shared" si="136"/>
        <v>491886</v>
      </c>
      <c r="N715" s="2212" t="e">
        <f>IF('Report-M&amp;O1920'!C$18-'Report-SOF1920'!D$55&lt;=0,0,'Report-M&amp;O1920'!C$18-'Report-SOF1920'!D$55)</f>
        <v>#DIV/0!</v>
      </c>
      <c r="O715" s="2452" t="e">
        <f t="shared" si="137"/>
        <v>#DIV/0!</v>
      </c>
      <c r="P715" s="2449">
        <f>IF(A715='Data Entry - SOF'!B$2,'Data Entry - SOF'!I$64,0)</f>
        <v>0</v>
      </c>
      <c r="Q715" s="1687">
        <f t="shared" si="132"/>
        <v>491886</v>
      </c>
      <c r="R715" s="2212" t="e">
        <f>IF('Report-M&amp;O2021'!C$18-'Report-SOF2021'!D$55&lt;=0,0,'Report-M&amp;O2021'!C$18-'Report-SOF2021'!D$55)</f>
        <v>#DIV/0!</v>
      </c>
      <c r="S715" s="2452" t="e">
        <f t="shared" si="138"/>
        <v>#DIV/0!</v>
      </c>
      <c r="T715" s="1708">
        <f>IF(A715='Data Entry - SOF'!B$2,'Data Entry - SOF'!K$64,0)</f>
        <v>0</v>
      </c>
      <c r="U715" s="1687">
        <f t="shared" si="131"/>
        <v>491886</v>
      </c>
      <c r="V715" s="2212" t="e">
        <f>IF('Report-M&amp;O2122'!C$18-'Report-SOF2122'!D$55&lt;=0,0,'Report-M&amp;O2122'!C$18-'Report-SOF2122'!D$55)</f>
        <v>#DIV/0!</v>
      </c>
      <c r="W715" s="2452" t="e">
        <f t="shared" si="139"/>
        <v>#DIV/0!</v>
      </c>
      <c r="X715" s="1708">
        <f>IF(A715='Data Entry - SOF'!B$2,'Data Entry - SOF'!M$64,0)</f>
        <v>0</v>
      </c>
      <c r="Y715" s="1371" t="e">
        <f t="shared" si="140"/>
        <v>#DIV/0!</v>
      </c>
      <c r="Z715" s="2212" t="e">
        <f>IF('Report-M&amp;O2223'!C$18-'Report-SOF2223'!D$55&lt;=0,0,'Report-M&amp;O2223'!C$18-'Report-SOF2223'!D$55)</f>
        <v>#DIV/0!</v>
      </c>
      <c r="AA715" s="1708">
        <f>IF(A715='Data Entry - SOF'!B$2,'Data Entry - SOF'!O$64,0)</f>
        <v>0</v>
      </c>
    </row>
    <row r="716" spans="1:27" ht="15.75">
      <c r="A716" s="1076" t="s">
        <v>572</v>
      </c>
      <c r="B716">
        <v>1259869</v>
      </c>
      <c r="C716" s="2452" t="e">
        <f>#REF!+#REF!</f>
        <v>#REF!</v>
      </c>
      <c r="D716" s="2449">
        <f>IF(A716='Data Entry - SOF'!B$2,'Data Entry - SOF'!C$64,0)</f>
        <v>0</v>
      </c>
      <c r="E716" s="2450">
        <f t="shared" si="141"/>
        <v>1259869</v>
      </c>
      <c r="F716" s="2212" t="e">
        <f>IF('Report-M&amp;O1718'!C$18-'Report-SOF1718'!D$55&lt;=0,0,'Report-M&amp;O1718'!C$18-'Report-SOF1718'!D$55)</f>
        <v>#DIV/0!</v>
      </c>
      <c r="G716" s="2452" t="e">
        <f t="shared" si="133"/>
        <v>#DIV/0!</v>
      </c>
      <c r="H716" s="2449">
        <f>IF(A716='Data Entry - SOF'!B$2,'Data Entry - SOF'!E$64,0)</f>
        <v>0</v>
      </c>
      <c r="I716" s="1687">
        <f t="shared" si="134"/>
        <v>1259869</v>
      </c>
      <c r="J716" s="2212" t="e">
        <f>IF('Report-M&amp;O1819'!C$18-'Report-SOF1819'!D$55&lt;=0,0,'Report-M&amp;O1819'!C$18-'Report-SOF1819'!D$55)</f>
        <v>#DIV/0!</v>
      </c>
      <c r="K716" s="2452" t="e">
        <f t="shared" si="135"/>
        <v>#DIV/0!</v>
      </c>
      <c r="L716" s="2449">
        <f>IF(A716='Data Entry - SOF'!B$2,'Data Entry - SOF'!G$64,0)</f>
        <v>0</v>
      </c>
      <c r="M716" s="1371">
        <f t="shared" si="136"/>
        <v>1259869</v>
      </c>
      <c r="N716" s="2212" t="e">
        <f>IF('Report-M&amp;O1920'!C$18-'Report-SOF1920'!D$55&lt;=0,0,'Report-M&amp;O1920'!C$18-'Report-SOF1920'!D$55)</f>
        <v>#DIV/0!</v>
      </c>
      <c r="O716" s="2452" t="e">
        <f t="shared" si="137"/>
        <v>#DIV/0!</v>
      </c>
      <c r="P716" s="2449">
        <f>IF(A716='Data Entry - SOF'!B$2,'Data Entry - SOF'!I$64,0)</f>
        <v>0</v>
      </c>
      <c r="Q716" s="1687">
        <f t="shared" si="132"/>
        <v>1259869</v>
      </c>
      <c r="R716" s="2212" t="e">
        <f>IF('Report-M&amp;O2021'!C$18-'Report-SOF2021'!D$55&lt;=0,0,'Report-M&amp;O2021'!C$18-'Report-SOF2021'!D$55)</f>
        <v>#DIV/0!</v>
      </c>
      <c r="S716" s="2452" t="e">
        <f t="shared" si="138"/>
        <v>#DIV/0!</v>
      </c>
      <c r="T716" s="1708">
        <f>IF(A716='Data Entry - SOF'!B$2,'Data Entry - SOF'!K$64,0)</f>
        <v>0</v>
      </c>
      <c r="U716" s="1687">
        <f t="shared" ref="U716:U763" si="142">Q716-T716</f>
        <v>1259869</v>
      </c>
      <c r="V716" s="2212" t="e">
        <f>IF('Report-M&amp;O2122'!C$18-'Report-SOF2122'!D$55&lt;=0,0,'Report-M&amp;O2122'!C$18-'Report-SOF2122'!D$55)</f>
        <v>#DIV/0!</v>
      </c>
      <c r="W716" s="2452" t="e">
        <f t="shared" si="139"/>
        <v>#DIV/0!</v>
      </c>
      <c r="X716" s="1708">
        <f>IF(A716='Data Entry - SOF'!B$2,'Data Entry - SOF'!M$64,0)</f>
        <v>0</v>
      </c>
      <c r="Y716" s="1371" t="e">
        <f t="shared" si="140"/>
        <v>#DIV/0!</v>
      </c>
      <c r="Z716" s="2212" t="e">
        <f>IF('Report-M&amp;O2223'!C$18-'Report-SOF2223'!D$55&lt;=0,0,'Report-M&amp;O2223'!C$18-'Report-SOF2223'!D$55)</f>
        <v>#DIV/0!</v>
      </c>
      <c r="AA716" s="1708">
        <f>IF(A716='Data Entry - SOF'!B$2,'Data Entry - SOF'!O$64,0)</f>
        <v>0</v>
      </c>
    </row>
    <row r="717" spans="1:27" ht="15.75">
      <c r="A717" s="1076" t="s">
        <v>573</v>
      </c>
      <c r="B717">
        <v>278308</v>
      </c>
      <c r="C717" s="2452" t="e">
        <f>#REF!+#REF!</f>
        <v>#REF!</v>
      </c>
      <c r="D717" s="2449">
        <f>IF(A717='Data Entry - SOF'!B$2,'Data Entry - SOF'!C$64,0)</f>
        <v>0</v>
      </c>
      <c r="E717" s="2450">
        <f t="shared" si="141"/>
        <v>278308</v>
      </c>
      <c r="F717" s="2212" t="e">
        <f>IF('Report-M&amp;O1718'!C$18-'Report-SOF1718'!D$55&lt;=0,0,'Report-M&amp;O1718'!C$18-'Report-SOF1718'!D$55)</f>
        <v>#DIV/0!</v>
      </c>
      <c r="G717" s="2452" t="e">
        <f t="shared" si="133"/>
        <v>#DIV/0!</v>
      </c>
      <c r="H717" s="2449">
        <f>IF(A717='Data Entry - SOF'!B$2,'Data Entry - SOF'!E$64,0)</f>
        <v>0</v>
      </c>
      <c r="I717" s="1687">
        <f t="shared" si="134"/>
        <v>278308</v>
      </c>
      <c r="J717" s="2212" t="e">
        <f>IF('Report-M&amp;O1819'!C$18-'Report-SOF1819'!D$55&lt;=0,0,'Report-M&amp;O1819'!C$18-'Report-SOF1819'!D$55)</f>
        <v>#DIV/0!</v>
      </c>
      <c r="K717" s="2452" t="e">
        <f t="shared" si="135"/>
        <v>#DIV/0!</v>
      </c>
      <c r="L717" s="2449">
        <f>IF(A717='Data Entry - SOF'!B$2,'Data Entry - SOF'!G$64,0)</f>
        <v>0</v>
      </c>
      <c r="M717" s="1371">
        <f t="shared" si="136"/>
        <v>278308</v>
      </c>
      <c r="N717" s="2212" t="e">
        <f>IF('Report-M&amp;O1920'!C$18-'Report-SOF1920'!D$55&lt;=0,0,'Report-M&amp;O1920'!C$18-'Report-SOF1920'!D$55)</f>
        <v>#DIV/0!</v>
      </c>
      <c r="O717" s="2452" t="e">
        <f t="shared" si="137"/>
        <v>#DIV/0!</v>
      </c>
      <c r="P717" s="2449">
        <f>IF(A717='Data Entry - SOF'!B$2,'Data Entry - SOF'!I$64,0)</f>
        <v>0</v>
      </c>
      <c r="Q717" s="1687">
        <f t="shared" si="132"/>
        <v>278308</v>
      </c>
      <c r="R717" s="2212" t="e">
        <f>IF('Report-M&amp;O2021'!C$18-'Report-SOF2021'!D$55&lt;=0,0,'Report-M&amp;O2021'!C$18-'Report-SOF2021'!D$55)</f>
        <v>#DIV/0!</v>
      </c>
      <c r="S717" s="2452" t="e">
        <f t="shared" si="138"/>
        <v>#DIV/0!</v>
      </c>
      <c r="T717" s="1708">
        <f>IF(A717='Data Entry - SOF'!B$2,'Data Entry - SOF'!K$64,0)</f>
        <v>0</v>
      </c>
      <c r="U717" s="1687">
        <f t="shared" si="142"/>
        <v>278308</v>
      </c>
      <c r="V717" s="2212" t="e">
        <f>IF('Report-M&amp;O2122'!C$18-'Report-SOF2122'!D$55&lt;=0,0,'Report-M&amp;O2122'!C$18-'Report-SOF2122'!D$55)</f>
        <v>#DIV/0!</v>
      </c>
      <c r="W717" s="2452" t="e">
        <f t="shared" si="139"/>
        <v>#DIV/0!</v>
      </c>
      <c r="X717" s="1708">
        <f>IF(A717='Data Entry - SOF'!B$2,'Data Entry - SOF'!M$64,0)</f>
        <v>0</v>
      </c>
      <c r="Y717" s="1371" t="e">
        <f t="shared" si="140"/>
        <v>#DIV/0!</v>
      </c>
      <c r="Z717" s="2212" t="e">
        <f>IF('Report-M&amp;O2223'!C$18-'Report-SOF2223'!D$55&lt;=0,0,'Report-M&amp;O2223'!C$18-'Report-SOF2223'!D$55)</f>
        <v>#DIV/0!</v>
      </c>
      <c r="AA717" s="1708">
        <f>IF(A717='Data Entry - SOF'!B$2,'Data Entry - SOF'!O$64,0)</f>
        <v>0</v>
      </c>
    </row>
    <row r="718" spans="1:27" ht="15.75">
      <c r="A718" s="1076" t="s">
        <v>877</v>
      </c>
      <c r="B718">
        <v>470694</v>
      </c>
      <c r="C718" s="2452" t="e">
        <f>#REF!+#REF!</f>
        <v>#REF!</v>
      </c>
      <c r="D718" s="2449">
        <f>IF(A718='Data Entry - SOF'!B$2,'Data Entry - SOF'!C$64,0)</f>
        <v>0</v>
      </c>
      <c r="E718" s="2450">
        <f t="shared" si="141"/>
        <v>470694</v>
      </c>
      <c r="F718" s="2212" t="e">
        <f>IF('Report-M&amp;O1718'!C$18-'Report-SOF1718'!D$55&lt;=0,0,'Report-M&amp;O1718'!C$18-'Report-SOF1718'!D$55)</f>
        <v>#DIV/0!</v>
      </c>
      <c r="G718" s="2452" t="e">
        <f t="shared" si="133"/>
        <v>#DIV/0!</v>
      </c>
      <c r="H718" s="2449">
        <f>IF(A718='Data Entry - SOF'!B$2,'Data Entry - SOF'!E$64,0)</f>
        <v>0</v>
      </c>
      <c r="I718" s="1687">
        <f t="shared" si="134"/>
        <v>470694</v>
      </c>
      <c r="J718" s="2212" t="e">
        <f>IF('Report-M&amp;O1819'!C$18-'Report-SOF1819'!D$55&lt;=0,0,'Report-M&amp;O1819'!C$18-'Report-SOF1819'!D$55)</f>
        <v>#DIV/0!</v>
      </c>
      <c r="K718" s="2452" t="e">
        <f t="shared" si="135"/>
        <v>#DIV/0!</v>
      </c>
      <c r="L718" s="2449">
        <f>IF(A718='Data Entry - SOF'!B$2,'Data Entry - SOF'!G$64,0)</f>
        <v>0</v>
      </c>
      <c r="M718" s="1371">
        <f t="shared" si="136"/>
        <v>470694</v>
      </c>
      <c r="N718" s="2212" t="e">
        <f>IF('Report-M&amp;O1920'!C$18-'Report-SOF1920'!D$55&lt;=0,0,'Report-M&amp;O1920'!C$18-'Report-SOF1920'!D$55)</f>
        <v>#DIV/0!</v>
      </c>
      <c r="O718" s="2452" t="e">
        <f t="shared" si="137"/>
        <v>#DIV/0!</v>
      </c>
      <c r="P718" s="2449">
        <f>IF(A718='Data Entry - SOF'!B$2,'Data Entry - SOF'!I$64,0)</f>
        <v>0</v>
      </c>
      <c r="Q718" s="1687">
        <f t="shared" si="132"/>
        <v>470694</v>
      </c>
      <c r="R718" s="2212" t="e">
        <f>IF('Report-M&amp;O2021'!C$18-'Report-SOF2021'!D$55&lt;=0,0,'Report-M&amp;O2021'!C$18-'Report-SOF2021'!D$55)</f>
        <v>#DIV/0!</v>
      </c>
      <c r="S718" s="2452" t="e">
        <f t="shared" si="138"/>
        <v>#DIV/0!</v>
      </c>
      <c r="T718" s="1708">
        <f>IF(A718='Data Entry - SOF'!B$2,'Data Entry - SOF'!K$64,0)</f>
        <v>0</v>
      </c>
      <c r="U718" s="1687">
        <f t="shared" si="142"/>
        <v>470694</v>
      </c>
      <c r="V718" s="2212" t="e">
        <f>IF('Report-M&amp;O2122'!C$18-'Report-SOF2122'!D$55&lt;=0,0,'Report-M&amp;O2122'!C$18-'Report-SOF2122'!D$55)</f>
        <v>#DIV/0!</v>
      </c>
      <c r="W718" s="2452" t="e">
        <f t="shared" si="139"/>
        <v>#DIV/0!</v>
      </c>
      <c r="X718" s="1708">
        <f>IF(A718='Data Entry - SOF'!B$2,'Data Entry - SOF'!M$64,0)</f>
        <v>0</v>
      </c>
      <c r="Y718" s="1371" t="e">
        <f t="shared" si="140"/>
        <v>#DIV/0!</v>
      </c>
      <c r="Z718" s="2212" t="e">
        <f>IF('Report-M&amp;O2223'!C$18-'Report-SOF2223'!D$55&lt;=0,0,'Report-M&amp;O2223'!C$18-'Report-SOF2223'!D$55)</f>
        <v>#DIV/0!</v>
      </c>
      <c r="AA718" s="1708">
        <f>IF(A718='Data Entry - SOF'!B$2,'Data Entry - SOF'!O$64,0)</f>
        <v>0</v>
      </c>
    </row>
    <row r="719" spans="1:27" ht="15.75">
      <c r="A719" s="1076" t="s">
        <v>574</v>
      </c>
      <c r="B719">
        <v>810024</v>
      </c>
      <c r="C719" s="2452" t="e">
        <f>#REF!+#REF!</f>
        <v>#REF!</v>
      </c>
      <c r="D719" s="2449">
        <f>IF(A719='Data Entry - SOF'!B$2,'Data Entry - SOF'!C$64,0)</f>
        <v>0</v>
      </c>
      <c r="E719" s="2450">
        <f t="shared" si="141"/>
        <v>810024</v>
      </c>
      <c r="F719" s="2212" t="e">
        <f>IF('Report-M&amp;O1718'!C$18-'Report-SOF1718'!D$55&lt;=0,0,'Report-M&amp;O1718'!C$18-'Report-SOF1718'!D$55)</f>
        <v>#DIV/0!</v>
      </c>
      <c r="G719" s="2452" t="e">
        <f t="shared" si="133"/>
        <v>#DIV/0!</v>
      </c>
      <c r="H719" s="2449">
        <f>IF(A719='Data Entry - SOF'!B$2,'Data Entry - SOF'!E$64,0)</f>
        <v>0</v>
      </c>
      <c r="I719" s="1687">
        <f t="shared" si="134"/>
        <v>810024</v>
      </c>
      <c r="J719" s="2212" t="e">
        <f>IF('Report-M&amp;O1819'!C$18-'Report-SOF1819'!D$55&lt;=0,0,'Report-M&amp;O1819'!C$18-'Report-SOF1819'!D$55)</f>
        <v>#DIV/0!</v>
      </c>
      <c r="K719" s="2452" t="e">
        <f t="shared" si="135"/>
        <v>#DIV/0!</v>
      </c>
      <c r="L719" s="2449">
        <f>IF(A719='Data Entry - SOF'!B$2,'Data Entry - SOF'!G$64,0)</f>
        <v>0</v>
      </c>
      <c r="M719" s="1371">
        <f t="shared" si="136"/>
        <v>810024</v>
      </c>
      <c r="N719" s="2212" t="e">
        <f>IF('Report-M&amp;O1920'!C$18-'Report-SOF1920'!D$55&lt;=0,0,'Report-M&amp;O1920'!C$18-'Report-SOF1920'!D$55)</f>
        <v>#DIV/0!</v>
      </c>
      <c r="O719" s="2452" t="e">
        <f t="shared" si="137"/>
        <v>#DIV/0!</v>
      </c>
      <c r="P719" s="2449">
        <f>IF(A719='Data Entry - SOF'!B$2,'Data Entry - SOF'!I$64,0)</f>
        <v>0</v>
      </c>
      <c r="Q719" s="1687">
        <f t="shared" si="132"/>
        <v>810024</v>
      </c>
      <c r="R719" s="2212" t="e">
        <f>IF('Report-M&amp;O2021'!C$18-'Report-SOF2021'!D$55&lt;=0,0,'Report-M&amp;O2021'!C$18-'Report-SOF2021'!D$55)</f>
        <v>#DIV/0!</v>
      </c>
      <c r="S719" s="2452" t="e">
        <f t="shared" si="138"/>
        <v>#DIV/0!</v>
      </c>
      <c r="T719" s="1708">
        <f>IF(A719='Data Entry - SOF'!B$2,'Data Entry - SOF'!K$64,0)</f>
        <v>0</v>
      </c>
      <c r="U719" s="1687">
        <f t="shared" si="142"/>
        <v>810024</v>
      </c>
      <c r="V719" s="2212" t="e">
        <f>IF('Report-M&amp;O2122'!C$18-'Report-SOF2122'!D$55&lt;=0,0,'Report-M&amp;O2122'!C$18-'Report-SOF2122'!D$55)</f>
        <v>#DIV/0!</v>
      </c>
      <c r="W719" s="2452" t="e">
        <f t="shared" si="139"/>
        <v>#DIV/0!</v>
      </c>
      <c r="X719" s="1708">
        <f>IF(A719='Data Entry - SOF'!B$2,'Data Entry - SOF'!M$64,0)</f>
        <v>0</v>
      </c>
      <c r="Y719" s="1371" t="e">
        <f t="shared" si="140"/>
        <v>#DIV/0!</v>
      </c>
      <c r="Z719" s="2212" t="e">
        <f>IF('Report-M&amp;O2223'!C$18-'Report-SOF2223'!D$55&lt;=0,0,'Report-M&amp;O2223'!C$18-'Report-SOF2223'!D$55)</f>
        <v>#DIV/0!</v>
      </c>
      <c r="AA719" s="1708">
        <f>IF(A719='Data Entry - SOF'!B$2,'Data Entry - SOF'!O$64,0)</f>
        <v>0</v>
      </c>
    </row>
    <row r="720" spans="1:27" ht="15.75">
      <c r="A720" s="1076" t="s">
        <v>575</v>
      </c>
      <c r="B720">
        <v>1305325</v>
      </c>
      <c r="C720" s="2452" t="e">
        <f>#REF!+#REF!</f>
        <v>#REF!</v>
      </c>
      <c r="D720" s="2449">
        <f>IF(A720='Data Entry - SOF'!B$2,'Data Entry - SOF'!C$64,0)</f>
        <v>0</v>
      </c>
      <c r="E720" s="2450">
        <f t="shared" si="141"/>
        <v>1305325</v>
      </c>
      <c r="F720" s="2212" t="e">
        <f>IF('Report-M&amp;O1718'!C$18-'Report-SOF1718'!D$55&lt;=0,0,'Report-M&amp;O1718'!C$18-'Report-SOF1718'!D$55)</f>
        <v>#DIV/0!</v>
      </c>
      <c r="G720" s="2452" t="e">
        <f t="shared" si="133"/>
        <v>#DIV/0!</v>
      </c>
      <c r="H720" s="2449">
        <f>IF(A720='Data Entry - SOF'!B$2,'Data Entry - SOF'!E$64,0)</f>
        <v>0</v>
      </c>
      <c r="I720" s="1687">
        <f t="shared" si="134"/>
        <v>1305325</v>
      </c>
      <c r="J720" s="2212" t="e">
        <f>IF('Report-M&amp;O1819'!C$18-'Report-SOF1819'!D$55&lt;=0,0,'Report-M&amp;O1819'!C$18-'Report-SOF1819'!D$55)</f>
        <v>#DIV/0!</v>
      </c>
      <c r="K720" s="2452" t="e">
        <f t="shared" si="135"/>
        <v>#DIV/0!</v>
      </c>
      <c r="L720" s="2449">
        <f>IF(A720='Data Entry - SOF'!B$2,'Data Entry - SOF'!G$64,0)</f>
        <v>0</v>
      </c>
      <c r="M720" s="1371">
        <f t="shared" si="136"/>
        <v>1305325</v>
      </c>
      <c r="N720" s="2212" t="e">
        <f>IF('Report-M&amp;O1920'!C$18-'Report-SOF1920'!D$55&lt;=0,0,'Report-M&amp;O1920'!C$18-'Report-SOF1920'!D$55)</f>
        <v>#DIV/0!</v>
      </c>
      <c r="O720" s="2452" t="e">
        <f t="shared" si="137"/>
        <v>#DIV/0!</v>
      </c>
      <c r="P720" s="2449">
        <f>IF(A720='Data Entry - SOF'!B$2,'Data Entry - SOF'!I$64,0)</f>
        <v>0</v>
      </c>
      <c r="Q720" s="1687">
        <f t="shared" si="132"/>
        <v>1305325</v>
      </c>
      <c r="R720" s="2212" t="e">
        <f>IF('Report-M&amp;O2021'!C$18-'Report-SOF2021'!D$55&lt;=0,0,'Report-M&amp;O2021'!C$18-'Report-SOF2021'!D$55)</f>
        <v>#DIV/0!</v>
      </c>
      <c r="S720" s="2452" t="e">
        <f t="shared" si="138"/>
        <v>#DIV/0!</v>
      </c>
      <c r="T720" s="1708">
        <f>IF(A720='Data Entry - SOF'!B$2,'Data Entry - SOF'!K$64,0)</f>
        <v>0</v>
      </c>
      <c r="U720" s="1687">
        <f t="shared" si="142"/>
        <v>1305325</v>
      </c>
      <c r="V720" s="2212" t="e">
        <f>IF('Report-M&amp;O2122'!C$18-'Report-SOF2122'!D$55&lt;=0,0,'Report-M&amp;O2122'!C$18-'Report-SOF2122'!D$55)</f>
        <v>#DIV/0!</v>
      </c>
      <c r="W720" s="2452" t="e">
        <f t="shared" si="139"/>
        <v>#DIV/0!</v>
      </c>
      <c r="X720" s="1708">
        <f>IF(A720='Data Entry - SOF'!B$2,'Data Entry - SOF'!M$64,0)</f>
        <v>0</v>
      </c>
      <c r="Y720" s="1371" t="e">
        <f t="shared" si="140"/>
        <v>#DIV/0!</v>
      </c>
      <c r="Z720" s="2212" t="e">
        <f>IF('Report-M&amp;O2223'!C$18-'Report-SOF2223'!D$55&lt;=0,0,'Report-M&amp;O2223'!C$18-'Report-SOF2223'!D$55)</f>
        <v>#DIV/0!</v>
      </c>
      <c r="AA720" s="1708">
        <f>IF(A720='Data Entry - SOF'!B$2,'Data Entry - SOF'!O$64,0)</f>
        <v>0</v>
      </c>
    </row>
    <row r="721" spans="1:27" ht="15.75">
      <c r="A721" s="1076" t="s">
        <v>2754</v>
      </c>
      <c r="B721">
        <v>10586620</v>
      </c>
      <c r="C721" s="2452" t="e">
        <f>#REF!+#REF!</f>
        <v>#REF!</v>
      </c>
      <c r="D721" s="2449">
        <f>IF(A721='Data Entry - SOF'!B$2,'Data Entry - SOF'!C$64,0)</f>
        <v>0</v>
      </c>
      <c r="E721" s="2450">
        <f t="shared" si="141"/>
        <v>10586620</v>
      </c>
      <c r="F721" s="2212" t="e">
        <f>IF('Report-M&amp;O1718'!C$18-'Report-SOF1718'!D$55&lt;=0,0,'Report-M&amp;O1718'!C$18-'Report-SOF1718'!D$55)</f>
        <v>#DIV/0!</v>
      </c>
      <c r="G721" s="2452" t="e">
        <f t="shared" si="133"/>
        <v>#DIV/0!</v>
      </c>
      <c r="H721" s="2449">
        <f>IF(A721='Data Entry - SOF'!B$2,'Data Entry - SOF'!E$64,0)</f>
        <v>0</v>
      </c>
      <c r="I721" s="1687">
        <f t="shared" si="134"/>
        <v>10586620</v>
      </c>
      <c r="J721" s="2212" t="e">
        <f>IF('Report-M&amp;O1819'!C$18-'Report-SOF1819'!D$55&lt;=0,0,'Report-M&amp;O1819'!C$18-'Report-SOF1819'!D$55)</f>
        <v>#DIV/0!</v>
      </c>
      <c r="K721" s="2452" t="e">
        <f t="shared" si="135"/>
        <v>#DIV/0!</v>
      </c>
      <c r="L721" s="2449">
        <f>IF(A721='Data Entry - SOF'!B$2,'Data Entry - SOF'!G$64,0)</f>
        <v>0</v>
      </c>
      <c r="M721" s="1371">
        <f t="shared" si="136"/>
        <v>10586620</v>
      </c>
      <c r="N721" s="2212" t="e">
        <f>IF('Report-M&amp;O1920'!C$18-'Report-SOF1920'!D$55&lt;=0,0,'Report-M&amp;O1920'!C$18-'Report-SOF1920'!D$55)</f>
        <v>#DIV/0!</v>
      </c>
      <c r="O721" s="2452" t="e">
        <f t="shared" si="137"/>
        <v>#DIV/0!</v>
      </c>
      <c r="P721" s="2449">
        <f>IF(A721='Data Entry - SOF'!B$2,'Data Entry - SOF'!I$64,0)</f>
        <v>0</v>
      </c>
      <c r="Q721" s="1687">
        <f t="shared" si="132"/>
        <v>10586620</v>
      </c>
      <c r="R721" s="2212" t="e">
        <f>IF('Report-M&amp;O2021'!C$18-'Report-SOF2021'!D$55&lt;=0,0,'Report-M&amp;O2021'!C$18-'Report-SOF2021'!D$55)</f>
        <v>#DIV/0!</v>
      </c>
      <c r="S721" s="2452" t="e">
        <f t="shared" si="138"/>
        <v>#DIV/0!</v>
      </c>
      <c r="T721" s="1708">
        <f>IF(A721='Data Entry - SOF'!B$2,'Data Entry - SOF'!K$64,0)</f>
        <v>0</v>
      </c>
      <c r="U721" s="1687">
        <f t="shared" si="142"/>
        <v>10586620</v>
      </c>
      <c r="V721" s="2212" t="e">
        <f>IF('Report-M&amp;O2122'!C$18-'Report-SOF2122'!D$55&lt;=0,0,'Report-M&amp;O2122'!C$18-'Report-SOF2122'!D$55)</f>
        <v>#DIV/0!</v>
      </c>
      <c r="W721" s="2452" t="e">
        <f t="shared" si="139"/>
        <v>#DIV/0!</v>
      </c>
      <c r="X721" s="1708">
        <f>IF(A721='Data Entry - SOF'!B$2,'Data Entry - SOF'!M$64,0)</f>
        <v>0</v>
      </c>
      <c r="Y721" s="1371" t="e">
        <f t="shared" si="140"/>
        <v>#DIV/0!</v>
      </c>
      <c r="Z721" s="2212" t="e">
        <f>IF('Report-M&amp;O2223'!C$18-'Report-SOF2223'!D$55&lt;=0,0,'Report-M&amp;O2223'!C$18-'Report-SOF2223'!D$55)</f>
        <v>#DIV/0!</v>
      </c>
      <c r="AA721" s="1708">
        <f>IF(A721='Data Entry - SOF'!B$2,'Data Entry - SOF'!O$64,0)</f>
        <v>0</v>
      </c>
    </row>
    <row r="722" spans="1:27" ht="15.75">
      <c r="A722" s="1076" t="s">
        <v>2761</v>
      </c>
      <c r="B722">
        <v>1188748</v>
      </c>
      <c r="C722" s="2452" t="e">
        <f>#REF!+#REF!</f>
        <v>#REF!</v>
      </c>
      <c r="D722" s="2449">
        <f>IF(A722='Data Entry - SOF'!B$2,'Data Entry - SOF'!C$64,0)</f>
        <v>0</v>
      </c>
      <c r="E722" s="2450">
        <f t="shared" si="141"/>
        <v>1188748</v>
      </c>
      <c r="F722" s="2212" t="e">
        <f>IF('Report-M&amp;O1718'!C$18-'Report-SOF1718'!D$55&lt;=0,0,'Report-M&amp;O1718'!C$18-'Report-SOF1718'!D$55)</f>
        <v>#DIV/0!</v>
      </c>
      <c r="G722" s="2452" t="e">
        <f t="shared" si="133"/>
        <v>#DIV/0!</v>
      </c>
      <c r="H722" s="2449">
        <f>IF(A722='Data Entry - SOF'!B$2,'Data Entry - SOF'!E$64,0)</f>
        <v>0</v>
      </c>
      <c r="I722" s="1687">
        <f t="shared" si="134"/>
        <v>1188748</v>
      </c>
      <c r="J722" s="2212" t="e">
        <f>IF('Report-M&amp;O1819'!C$18-'Report-SOF1819'!D$55&lt;=0,0,'Report-M&amp;O1819'!C$18-'Report-SOF1819'!D$55)</f>
        <v>#DIV/0!</v>
      </c>
      <c r="K722" s="2452" t="e">
        <f t="shared" si="135"/>
        <v>#DIV/0!</v>
      </c>
      <c r="L722" s="2449">
        <f>IF(A722='Data Entry - SOF'!B$2,'Data Entry - SOF'!G$64,0)</f>
        <v>0</v>
      </c>
      <c r="M722" s="1371">
        <f t="shared" si="136"/>
        <v>1188748</v>
      </c>
      <c r="N722" s="2212" t="e">
        <f>IF('Report-M&amp;O1920'!C$18-'Report-SOF1920'!D$55&lt;=0,0,'Report-M&amp;O1920'!C$18-'Report-SOF1920'!D$55)</f>
        <v>#DIV/0!</v>
      </c>
      <c r="O722" s="2452" t="e">
        <f t="shared" si="137"/>
        <v>#DIV/0!</v>
      </c>
      <c r="P722" s="2449">
        <f>IF(A722='Data Entry - SOF'!B$2,'Data Entry - SOF'!I$64,0)</f>
        <v>0</v>
      </c>
      <c r="Q722" s="1687">
        <f t="shared" si="132"/>
        <v>1188748</v>
      </c>
      <c r="R722" s="2212" t="e">
        <f>IF('Report-M&amp;O2021'!C$18-'Report-SOF2021'!D$55&lt;=0,0,'Report-M&amp;O2021'!C$18-'Report-SOF2021'!D$55)</f>
        <v>#DIV/0!</v>
      </c>
      <c r="S722" s="2452" t="e">
        <f t="shared" si="138"/>
        <v>#DIV/0!</v>
      </c>
      <c r="T722" s="1708">
        <f>IF(A722='Data Entry - SOF'!B$2,'Data Entry - SOF'!K$64,0)</f>
        <v>0</v>
      </c>
      <c r="U722" s="1687">
        <f t="shared" si="142"/>
        <v>1188748</v>
      </c>
      <c r="V722" s="2212" t="e">
        <f>IF('Report-M&amp;O2122'!C$18-'Report-SOF2122'!D$55&lt;=0,0,'Report-M&amp;O2122'!C$18-'Report-SOF2122'!D$55)</f>
        <v>#DIV/0!</v>
      </c>
      <c r="W722" s="2452" t="e">
        <f t="shared" si="139"/>
        <v>#DIV/0!</v>
      </c>
      <c r="X722" s="1708">
        <f>IF(A722='Data Entry - SOF'!B$2,'Data Entry - SOF'!M$64,0)</f>
        <v>0</v>
      </c>
      <c r="Y722" s="1371" t="e">
        <f t="shared" si="140"/>
        <v>#DIV/0!</v>
      </c>
      <c r="Z722" s="2212" t="e">
        <f>IF('Report-M&amp;O2223'!C$18-'Report-SOF2223'!D$55&lt;=0,0,'Report-M&amp;O2223'!C$18-'Report-SOF2223'!D$55)</f>
        <v>#DIV/0!</v>
      </c>
      <c r="AA722" s="1708">
        <f>IF(A722='Data Entry - SOF'!B$2,'Data Entry - SOF'!O$64,0)</f>
        <v>0</v>
      </c>
    </row>
    <row r="723" spans="1:27" ht="15.75">
      <c r="A723" s="1076" t="s">
        <v>20</v>
      </c>
      <c r="B723">
        <v>716395</v>
      </c>
      <c r="C723" s="2452" t="e">
        <f>#REF!+#REF!</f>
        <v>#REF!</v>
      </c>
      <c r="D723" s="2449">
        <f>IF(A723='Data Entry - SOF'!B$2,'Data Entry - SOF'!C$64,0)</f>
        <v>0</v>
      </c>
      <c r="E723" s="2450">
        <f t="shared" si="141"/>
        <v>716395</v>
      </c>
      <c r="F723" s="2212" t="e">
        <f>IF('Report-M&amp;O1718'!C$18-'Report-SOF1718'!D$55&lt;=0,0,'Report-M&amp;O1718'!C$18-'Report-SOF1718'!D$55)</f>
        <v>#DIV/0!</v>
      </c>
      <c r="G723" s="2452" t="e">
        <f t="shared" si="133"/>
        <v>#DIV/0!</v>
      </c>
      <c r="H723" s="2449">
        <f>IF(A723='Data Entry - SOF'!B$2,'Data Entry - SOF'!E$64,0)</f>
        <v>0</v>
      </c>
      <c r="I723" s="1687">
        <f t="shared" si="134"/>
        <v>716395</v>
      </c>
      <c r="J723" s="2212" t="e">
        <f>IF('Report-M&amp;O1819'!C$18-'Report-SOF1819'!D$55&lt;=0,0,'Report-M&amp;O1819'!C$18-'Report-SOF1819'!D$55)</f>
        <v>#DIV/0!</v>
      </c>
      <c r="K723" s="2452" t="e">
        <f t="shared" si="135"/>
        <v>#DIV/0!</v>
      </c>
      <c r="L723" s="2449">
        <f>IF(A723='Data Entry - SOF'!B$2,'Data Entry - SOF'!G$64,0)</f>
        <v>0</v>
      </c>
      <c r="M723" s="1371">
        <f t="shared" si="136"/>
        <v>716395</v>
      </c>
      <c r="N723" s="2212" t="e">
        <f>IF('Report-M&amp;O1920'!C$18-'Report-SOF1920'!D$55&lt;=0,0,'Report-M&amp;O1920'!C$18-'Report-SOF1920'!D$55)</f>
        <v>#DIV/0!</v>
      </c>
      <c r="O723" s="2452" t="e">
        <f t="shared" si="137"/>
        <v>#DIV/0!</v>
      </c>
      <c r="P723" s="2449">
        <f>IF(A723='Data Entry - SOF'!B$2,'Data Entry - SOF'!I$64,0)</f>
        <v>0</v>
      </c>
      <c r="Q723" s="1687">
        <f t="shared" si="132"/>
        <v>716395</v>
      </c>
      <c r="R723" s="2212" t="e">
        <f>IF('Report-M&amp;O2021'!C$18-'Report-SOF2021'!D$55&lt;=0,0,'Report-M&amp;O2021'!C$18-'Report-SOF2021'!D$55)</f>
        <v>#DIV/0!</v>
      </c>
      <c r="S723" s="2452" t="e">
        <f t="shared" si="138"/>
        <v>#DIV/0!</v>
      </c>
      <c r="T723" s="1708">
        <f>IF(A723='Data Entry - SOF'!B$2,'Data Entry - SOF'!K$64,0)</f>
        <v>0</v>
      </c>
      <c r="U723" s="1687">
        <f t="shared" si="142"/>
        <v>716395</v>
      </c>
      <c r="V723" s="2212" t="e">
        <f>IF('Report-M&amp;O2122'!C$18-'Report-SOF2122'!D$55&lt;=0,0,'Report-M&amp;O2122'!C$18-'Report-SOF2122'!D$55)</f>
        <v>#DIV/0!</v>
      </c>
      <c r="W723" s="2452" t="e">
        <f t="shared" si="139"/>
        <v>#DIV/0!</v>
      </c>
      <c r="X723" s="1708">
        <f>IF(A723='Data Entry - SOF'!B$2,'Data Entry - SOF'!M$64,0)</f>
        <v>0</v>
      </c>
      <c r="Y723" s="1371" t="e">
        <f t="shared" si="140"/>
        <v>#DIV/0!</v>
      </c>
      <c r="Z723" s="2212" t="e">
        <f>IF('Report-M&amp;O2223'!C$18-'Report-SOF2223'!D$55&lt;=0,0,'Report-M&amp;O2223'!C$18-'Report-SOF2223'!D$55)</f>
        <v>#DIV/0!</v>
      </c>
      <c r="AA723" s="1708">
        <f>IF(A723='Data Entry - SOF'!B$2,'Data Entry - SOF'!O$64,0)</f>
        <v>0</v>
      </c>
    </row>
    <row r="724" spans="1:27" ht="15.75">
      <c r="A724" s="1076" t="s">
        <v>804</v>
      </c>
      <c r="B724">
        <v>685139</v>
      </c>
      <c r="C724" s="2452" t="e">
        <f>#REF!+#REF!</f>
        <v>#REF!</v>
      </c>
      <c r="D724" s="2449">
        <f>IF(A724='Data Entry - SOF'!B$2,'Data Entry - SOF'!C$64,0)</f>
        <v>0</v>
      </c>
      <c r="E724" s="2450">
        <f t="shared" si="141"/>
        <v>685139</v>
      </c>
      <c r="F724" s="2212" t="e">
        <f>IF('Report-M&amp;O1718'!C$18-'Report-SOF1718'!D$55&lt;=0,0,'Report-M&amp;O1718'!C$18-'Report-SOF1718'!D$55)</f>
        <v>#DIV/0!</v>
      </c>
      <c r="G724" s="2452" t="e">
        <f t="shared" si="133"/>
        <v>#DIV/0!</v>
      </c>
      <c r="H724" s="2449">
        <f>IF(A724='Data Entry - SOF'!B$2,'Data Entry - SOF'!E$64,0)</f>
        <v>0</v>
      </c>
      <c r="I724" s="1687">
        <f t="shared" si="134"/>
        <v>685139</v>
      </c>
      <c r="J724" s="2212" t="e">
        <f>IF('Report-M&amp;O1819'!C$18-'Report-SOF1819'!D$55&lt;=0,0,'Report-M&amp;O1819'!C$18-'Report-SOF1819'!D$55)</f>
        <v>#DIV/0!</v>
      </c>
      <c r="K724" s="2452" t="e">
        <f t="shared" si="135"/>
        <v>#DIV/0!</v>
      </c>
      <c r="L724" s="2449">
        <f>IF(A724='Data Entry - SOF'!B$2,'Data Entry - SOF'!G$64,0)</f>
        <v>0</v>
      </c>
      <c r="M724" s="1371">
        <f t="shared" si="136"/>
        <v>685139</v>
      </c>
      <c r="N724" s="2212" t="e">
        <f>IF('Report-M&amp;O1920'!C$18-'Report-SOF1920'!D$55&lt;=0,0,'Report-M&amp;O1920'!C$18-'Report-SOF1920'!D$55)</f>
        <v>#DIV/0!</v>
      </c>
      <c r="O724" s="2452" t="e">
        <f t="shared" si="137"/>
        <v>#DIV/0!</v>
      </c>
      <c r="P724" s="2449">
        <f>IF(A724='Data Entry - SOF'!B$2,'Data Entry - SOF'!I$64,0)</f>
        <v>0</v>
      </c>
      <c r="Q724" s="1687">
        <f t="shared" si="132"/>
        <v>685139</v>
      </c>
      <c r="R724" s="2212" t="e">
        <f>IF('Report-M&amp;O2021'!C$18-'Report-SOF2021'!D$55&lt;=0,0,'Report-M&amp;O2021'!C$18-'Report-SOF2021'!D$55)</f>
        <v>#DIV/0!</v>
      </c>
      <c r="S724" s="2452" t="e">
        <f t="shared" si="138"/>
        <v>#DIV/0!</v>
      </c>
      <c r="T724" s="1708">
        <f>IF(A724='Data Entry - SOF'!B$2,'Data Entry - SOF'!K$64,0)</f>
        <v>0</v>
      </c>
      <c r="U724" s="1687">
        <f t="shared" si="142"/>
        <v>685139</v>
      </c>
      <c r="V724" s="2212" t="e">
        <f>IF('Report-M&amp;O2122'!C$18-'Report-SOF2122'!D$55&lt;=0,0,'Report-M&amp;O2122'!C$18-'Report-SOF2122'!D$55)</f>
        <v>#DIV/0!</v>
      </c>
      <c r="W724" s="2452" t="e">
        <f t="shared" si="139"/>
        <v>#DIV/0!</v>
      </c>
      <c r="X724" s="1708">
        <f>IF(A724='Data Entry - SOF'!B$2,'Data Entry - SOF'!M$64,0)</f>
        <v>0</v>
      </c>
      <c r="Y724" s="1371" t="e">
        <f t="shared" si="140"/>
        <v>#DIV/0!</v>
      </c>
      <c r="Z724" s="2212" t="e">
        <f>IF('Report-M&amp;O2223'!C$18-'Report-SOF2223'!D$55&lt;=0,0,'Report-M&amp;O2223'!C$18-'Report-SOF2223'!D$55)</f>
        <v>#DIV/0!</v>
      </c>
      <c r="AA724" s="1708">
        <f>IF(A724='Data Entry - SOF'!B$2,'Data Entry - SOF'!O$64,0)</f>
        <v>0</v>
      </c>
    </row>
    <row r="725" spans="1:27" ht="15.75">
      <c r="A725" s="1076" t="s">
        <v>21</v>
      </c>
      <c r="B725">
        <v>4319347</v>
      </c>
      <c r="C725" s="2452" t="e">
        <f>#REF!+#REF!</f>
        <v>#REF!</v>
      </c>
      <c r="D725" s="2449">
        <f>IF(A725='Data Entry - SOF'!B$2,'Data Entry - SOF'!C$64,0)</f>
        <v>0</v>
      </c>
      <c r="E725" s="2450">
        <f t="shared" si="141"/>
        <v>4319347</v>
      </c>
      <c r="F725" s="2212" t="e">
        <f>IF('Report-M&amp;O1718'!C$18-'Report-SOF1718'!D$55&lt;=0,0,'Report-M&amp;O1718'!C$18-'Report-SOF1718'!D$55)</f>
        <v>#DIV/0!</v>
      </c>
      <c r="G725" s="2452" t="e">
        <f t="shared" si="133"/>
        <v>#DIV/0!</v>
      </c>
      <c r="H725" s="2449">
        <f>IF(A725='Data Entry - SOF'!B$2,'Data Entry - SOF'!E$64,0)</f>
        <v>0</v>
      </c>
      <c r="I725" s="1687">
        <f t="shared" si="134"/>
        <v>4319347</v>
      </c>
      <c r="J725" s="2212" t="e">
        <f>IF('Report-M&amp;O1819'!C$18-'Report-SOF1819'!D$55&lt;=0,0,'Report-M&amp;O1819'!C$18-'Report-SOF1819'!D$55)</f>
        <v>#DIV/0!</v>
      </c>
      <c r="K725" s="2452" t="e">
        <f t="shared" si="135"/>
        <v>#DIV/0!</v>
      </c>
      <c r="L725" s="2449">
        <f>IF(A725='Data Entry - SOF'!B$2,'Data Entry - SOF'!G$64,0)</f>
        <v>0</v>
      </c>
      <c r="M725" s="1371">
        <f t="shared" si="136"/>
        <v>4319347</v>
      </c>
      <c r="N725" s="2212" t="e">
        <f>IF('Report-M&amp;O1920'!C$18-'Report-SOF1920'!D$55&lt;=0,0,'Report-M&amp;O1920'!C$18-'Report-SOF1920'!D$55)</f>
        <v>#DIV/0!</v>
      </c>
      <c r="O725" s="2452" t="e">
        <f t="shared" si="137"/>
        <v>#DIV/0!</v>
      </c>
      <c r="P725" s="2449">
        <f>IF(A725='Data Entry - SOF'!B$2,'Data Entry - SOF'!I$64,0)</f>
        <v>0</v>
      </c>
      <c r="Q725" s="1687">
        <f t="shared" si="132"/>
        <v>4319347</v>
      </c>
      <c r="R725" s="2212" t="e">
        <f>IF('Report-M&amp;O2021'!C$18-'Report-SOF2021'!D$55&lt;=0,0,'Report-M&amp;O2021'!C$18-'Report-SOF2021'!D$55)</f>
        <v>#DIV/0!</v>
      </c>
      <c r="S725" s="2452" t="e">
        <f t="shared" si="138"/>
        <v>#DIV/0!</v>
      </c>
      <c r="T725" s="1708">
        <f>IF(A725='Data Entry - SOF'!B$2,'Data Entry - SOF'!K$64,0)</f>
        <v>0</v>
      </c>
      <c r="U725" s="1687">
        <f t="shared" si="142"/>
        <v>4319347</v>
      </c>
      <c r="V725" s="2212" t="e">
        <f>IF('Report-M&amp;O2122'!C$18-'Report-SOF2122'!D$55&lt;=0,0,'Report-M&amp;O2122'!C$18-'Report-SOF2122'!D$55)</f>
        <v>#DIV/0!</v>
      </c>
      <c r="W725" s="2452" t="e">
        <f t="shared" si="139"/>
        <v>#DIV/0!</v>
      </c>
      <c r="X725" s="1708">
        <f>IF(A725='Data Entry - SOF'!B$2,'Data Entry - SOF'!M$64,0)</f>
        <v>0</v>
      </c>
      <c r="Y725" s="1371" t="e">
        <f t="shared" si="140"/>
        <v>#DIV/0!</v>
      </c>
      <c r="Z725" s="2212" t="e">
        <f>IF('Report-M&amp;O2223'!C$18-'Report-SOF2223'!D$55&lt;=0,0,'Report-M&amp;O2223'!C$18-'Report-SOF2223'!D$55)</f>
        <v>#DIV/0!</v>
      </c>
      <c r="AA725" s="1708">
        <f>IF(A725='Data Entry - SOF'!B$2,'Data Entry - SOF'!O$64,0)</f>
        <v>0</v>
      </c>
    </row>
    <row r="726" spans="1:27" ht="15.75">
      <c r="A726" s="1076" t="s">
        <v>2383</v>
      </c>
      <c r="B726">
        <v>1282291</v>
      </c>
      <c r="C726" s="2452" t="e">
        <f>#REF!+#REF!</f>
        <v>#REF!</v>
      </c>
      <c r="D726" s="2449">
        <f>IF(A726='Data Entry - SOF'!B$2,'Data Entry - SOF'!C$64,0)</f>
        <v>0</v>
      </c>
      <c r="E726" s="2450">
        <f t="shared" si="141"/>
        <v>1282291</v>
      </c>
      <c r="F726" s="2212" t="e">
        <f>IF('Report-M&amp;O1718'!C$18-'Report-SOF1718'!D$55&lt;=0,0,'Report-M&amp;O1718'!C$18-'Report-SOF1718'!D$55)</f>
        <v>#DIV/0!</v>
      </c>
      <c r="G726" s="2452" t="e">
        <f t="shared" si="133"/>
        <v>#DIV/0!</v>
      </c>
      <c r="H726" s="2449">
        <f>IF(A726='Data Entry - SOF'!B$2,'Data Entry - SOF'!E$64,0)</f>
        <v>0</v>
      </c>
      <c r="I726" s="1687">
        <f t="shared" si="134"/>
        <v>1282291</v>
      </c>
      <c r="J726" s="2212" t="e">
        <f>IF('Report-M&amp;O1819'!C$18-'Report-SOF1819'!D$55&lt;=0,0,'Report-M&amp;O1819'!C$18-'Report-SOF1819'!D$55)</f>
        <v>#DIV/0!</v>
      </c>
      <c r="K726" s="2452" t="e">
        <f t="shared" si="135"/>
        <v>#DIV/0!</v>
      </c>
      <c r="L726" s="2449">
        <f>IF(A726='Data Entry - SOF'!B$2,'Data Entry - SOF'!G$64,0)</f>
        <v>0</v>
      </c>
      <c r="M726" s="1371">
        <f t="shared" si="136"/>
        <v>1282291</v>
      </c>
      <c r="N726" s="2212" t="e">
        <f>IF('Report-M&amp;O1920'!C$18-'Report-SOF1920'!D$55&lt;=0,0,'Report-M&amp;O1920'!C$18-'Report-SOF1920'!D$55)</f>
        <v>#DIV/0!</v>
      </c>
      <c r="O726" s="2452" t="e">
        <f t="shared" si="137"/>
        <v>#DIV/0!</v>
      </c>
      <c r="P726" s="2449">
        <f>IF(A726='Data Entry - SOF'!B$2,'Data Entry - SOF'!I$64,0)</f>
        <v>0</v>
      </c>
      <c r="Q726" s="1687">
        <f t="shared" si="132"/>
        <v>1282291</v>
      </c>
      <c r="R726" s="2212" t="e">
        <f>IF('Report-M&amp;O2021'!C$18-'Report-SOF2021'!D$55&lt;=0,0,'Report-M&amp;O2021'!C$18-'Report-SOF2021'!D$55)</f>
        <v>#DIV/0!</v>
      </c>
      <c r="S726" s="2452" t="e">
        <f t="shared" si="138"/>
        <v>#DIV/0!</v>
      </c>
      <c r="T726" s="1708">
        <f>IF(A726='Data Entry - SOF'!B$2,'Data Entry - SOF'!K$64,0)</f>
        <v>0</v>
      </c>
      <c r="U726" s="1687">
        <f t="shared" si="142"/>
        <v>1282291</v>
      </c>
      <c r="V726" s="2212" t="e">
        <f>IF('Report-M&amp;O2122'!C$18-'Report-SOF2122'!D$55&lt;=0,0,'Report-M&amp;O2122'!C$18-'Report-SOF2122'!D$55)</f>
        <v>#DIV/0!</v>
      </c>
      <c r="W726" s="2452" t="e">
        <f t="shared" si="139"/>
        <v>#DIV/0!</v>
      </c>
      <c r="X726" s="1708">
        <f>IF(A726='Data Entry - SOF'!B$2,'Data Entry - SOF'!M$64,0)</f>
        <v>0</v>
      </c>
      <c r="Y726" s="1371" t="e">
        <f t="shared" si="140"/>
        <v>#DIV/0!</v>
      </c>
      <c r="Z726" s="2212" t="e">
        <f>IF('Report-M&amp;O2223'!C$18-'Report-SOF2223'!D$55&lt;=0,0,'Report-M&amp;O2223'!C$18-'Report-SOF2223'!D$55)</f>
        <v>#DIV/0!</v>
      </c>
      <c r="AA726" s="1708">
        <f>IF(A726='Data Entry - SOF'!B$2,'Data Entry - SOF'!O$64,0)</f>
        <v>0</v>
      </c>
    </row>
    <row r="727" spans="1:27" ht="15.75">
      <c r="A727" s="1076" t="s">
        <v>22</v>
      </c>
      <c r="B727">
        <v>2722065</v>
      </c>
      <c r="C727" s="2452" t="e">
        <f>#REF!+#REF!</f>
        <v>#REF!</v>
      </c>
      <c r="D727" s="2449">
        <f>IF(A727='Data Entry - SOF'!B$2,'Data Entry - SOF'!C$64,0)</f>
        <v>0</v>
      </c>
      <c r="E727" s="2450">
        <f t="shared" si="141"/>
        <v>2722065</v>
      </c>
      <c r="F727" s="2212" t="e">
        <f>IF('Report-M&amp;O1718'!C$18-'Report-SOF1718'!D$55&lt;=0,0,'Report-M&amp;O1718'!C$18-'Report-SOF1718'!D$55)</f>
        <v>#DIV/0!</v>
      </c>
      <c r="G727" s="2452" t="e">
        <f t="shared" si="133"/>
        <v>#DIV/0!</v>
      </c>
      <c r="H727" s="2449">
        <f>IF(A727='Data Entry - SOF'!B$2,'Data Entry - SOF'!E$64,0)</f>
        <v>0</v>
      </c>
      <c r="I727" s="1687">
        <f t="shared" si="134"/>
        <v>2722065</v>
      </c>
      <c r="J727" s="2212" t="e">
        <f>IF('Report-M&amp;O1819'!C$18-'Report-SOF1819'!D$55&lt;=0,0,'Report-M&amp;O1819'!C$18-'Report-SOF1819'!D$55)</f>
        <v>#DIV/0!</v>
      </c>
      <c r="K727" s="2452" t="e">
        <f t="shared" si="135"/>
        <v>#DIV/0!</v>
      </c>
      <c r="L727" s="2449">
        <f>IF(A727='Data Entry - SOF'!B$2,'Data Entry - SOF'!G$64,0)</f>
        <v>0</v>
      </c>
      <c r="M727" s="1371">
        <f t="shared" si="136"/>
        <v>2722065</v>
      </c>
      <c r="N727" s="2212" t="e">
        <f>IF('Report-M&amp;O1920'!C$18-'Report-SOF1920'!D$55&lt;=0,0,'Report-M&amp;O1920'!C$18-'Report-SOF1920'!D$55)</f>
        <v>#DIV/0!</v>
      </c>
      <c r="O727" s="2452" t="e">
        <f t="shared" si="137"/>
        <v>#DIV/0!</v>
      </c>
      <c r="P727" s="2449">
        <f>IF(A727='Data Entry - SOF'!B$2,'Data Entry - SOF'!I$64,0)</f>
        <v>0</v>
      </c>
      <c r="Q727" s="1687">
        <f t="shared" si="132"/>
        <v>2722065</v>
      </c>
      <c r="R727" s="2212" t="e">
        <f>IF('Report-M&amp;O2021'!C$18-'Report-SOF2021'!D$55&lt;=0,0,'Report-M&amp;O2021'!C$18-'Report-SOF2021'!D$55)</f>
        <v>#DIV/0!</v>
      </c>
      <c r="S727" s="2452" t="e">
        <f t="shared" si="138"/>
        <v>#DIV/0!</v>
      </c>
      <c r="T727" s="1708">
        <f>IF(A727='Data Entry - SOF'!B$2,'Data Entry - SOF'!K$64,0)</f>
        <v>0</v>
      </c>
      <c r="U727" s="1687">
        <f t="shared" si="142"/>
        <v>2722065</v>
      </c>
      <c r="V727" s="2212" t="e">
        <f>IF('Report-M&amp;O2122'!C$18-'Report-SOF2122'!D$55&lt;=0,0,'Report-M&amp;O2122'!C$18-'Report-SOF2122'!D$55)</f>
        <v>#DIV/0!</v>
      </c>
      <c r="W727" s="2452" t="e">
        <f t="shared" si="139"/>
        <v>#DIV/0!</v>
      </c>
      <c r="X727" s="1708">
        <f>IF(A727='Data Entry - SOF'!B$2,'Data Entry - SOF'!M$64,0)</f>
        <v>0</v>
      </c>
      <c r="Y727" s="1371" t="e">
        <f t="shared" si="140"/>
        <v>#DIV/0!</v>
      </c>
      <c r="Z727" s="2212" t="e">
        <f>IF('Report-M&amp;O2223'!C$18-'Report-SOF2223'!D$55&lt;=0,0,'Report-M&amp;O2223'!C$18-'Report-SOF2223'!D$55)</f>
        <v>#DIV/0!</v>
      </c>
      <c r="AA727" s="1708">
        <f>IF(A727='Data Entry - SOF'!B$2,'Data Entry - SOF'!O$64,0)</f>
        <v>0</v>
      </c>
    </row>
    <row r="728" spans="1:27" ht="15.75">
      <c r="A728" s="1076" t="s">
        <v>1159</v>
      </c>
      <c r="B728">
        <v>0</v>
      </c>
      <c r="C728" s="2452" t="e">
        <f>#REF!+#REF!</f>
        <v>#REF!</v>
      </c>
      <c r="D728" s="2449">
        <f>IF(A728='Data Entry - SOF'!B$2,'Data Entry - SOF'!C$64,0)</f>
        <v>0</v>
      </c>
      <c r="E728" s="2450">
        <f t="shared" si="141"/>
        <v>0</v>
      </c>
      <c r="F728" s="2212" t="e">
        <f>IF('Report-M&amp;O1718'!C$18-'Report-SOF1718'!D$55&lt;=0,0,'Report-M&amp;O1718'!C$18-'Report-SOF1718'!D$55)</f>
        <v>#DIV/0!</v>
      </c>
      <c r="G728" s="2452" t="e">
        <f t="shared" si="133"/>
        <v>#DIV/0!</v>
      </c>
      <c r="H728" s="2449">
        <f>IF(A728='Data Entry - SOF'!B$2,'Data Entry - SOF'!E$64,0)</f>
        <v>0</v>
      </c>
      <c r="I728" s="1687">
        <f t="shared" si="134"/>
        <v>0</v>
      </c>
      <c r="J728" s="2212" t="e">
        <f>IF('Report-M&amp;O1819'!C$18-'Report-SOF1819'!D$55&lt;=0,0,'Report-M&amp;O1819'!C$18-'Report-SOF1819'!D$55)</f>
        <v>#DIV/0!</v>
      </c>
      <c r="K728" s="2452" t="e">
        <f t="shared" si="135"/>
        <v>#DIV/0!</v>
      </c>
      <c r="L728" s="2449">
        <f>IF(A728='Data Entry - SOF'!B$2,'Data Entry - SOF'!G$64,0)</f>
        <v>0</v>
      </c>
      <c r="M728" s="1371">
        <f t="shared" si="136"/>
        <v>0</v>
      </c>
      <c r="N728" s="2212" t="e">
        <f>IF('Report-M&amp;O1920'!C$18-'Report-SOF1920'!D$55&lt;=0,0,'Report-M&amp;O1920'!C$18-'Report-SOF1920'!D$55)</f>
        <v>#DIV/0!</v>
      </c>
      <c r="O728" s="2452" t="e">
        <f t="shared" si="137"/>
        <v>#DIV/0!</v>
      </c>
      <c r="P728" s="2449">
        <f>IF(A728='Data Entry - SOF'!B$2,'Data Entry - SOF'!I$64,0)</f>
        <v>0</v>
      </c>
      <c r="Q728" s="1687">
        <f t="shared" si="132"/>
        <v>0</v>
      </c>
      <c r="R728" s="2212" t="e">
        <f>IF('Report-M&amp;O2021'!C$18-'Report-SOF2021'!D$55&lt;=0,0,'Report-M&amp;O2021'!C$18-'Report-SOF2021'!D$55)</f>
        <v>#DIV/0!</v>
      </c>
      <c r="S728" s="2452" t="e">
        <f t="shared" si="138"/>
        <v>#DIV/0!</v>
      </c>
      <c r="T728" s="1708">
        <f>IF(A728='Data Entry - SOF'!B$2,'Data Entry - SOF'!K$64,0)</f>
        <v>0</v>
      </c>
      <c r="U728" s="1687">
        <f t="shared" si="142"/>
        <v>0</v>
      </c>
      <c r="V728" s="2212" t="e">
        <f>IF('Report-M&amp;O2122'!C$18-'Report-SOF2122'!D$55&lt;=0,0,'Report-M&amp;O2122'!C$18-'Report-SOF2122'!D$55)</f>
        <v>#DIV/0!</v>
      </c>
      <c r="W728" s="2452" t="e">
        <f t="shared" si="139"/>
        <v>#DIV/0!</v>
      </c>
      <c r="X728" s="1708">
        <f>IF(A728='Data Entry - SOF'!B$2,'Data Entry - SOF'!M$64,0)</f>
        <v>0</v>
      </c>
      <c r="Y728" s="1371" t="e">
        <f t="shared" si="140"/>
        <v>#DIV/0!</v>
      </c>
      <c r="Z728" s="2212" t="e">
        <f>IF('Report-M&amp;O2223'!C$18-'Report-SOF2223'!D$55&lt;=0,0,'Report-M&amp;O2223'!C$18-'Report-SOF2223'!D$55)</f>
        <v>#DIV/0!</v>
      </c>
      <c r="AA728" s="1708">
        <f>IF(A728='Data Entry - SOF'!B$2,'Data Entry - SOF'!O$64,0)</f>
        <v>0</v>
      </c>
    </row>
    <row r="729" spans="1:27" ht="15.75">
      <c r="A729" s="1076" t="s">
        <v>2268</v>
      </c>
      <c r="B729">
        <v>9932900</v>
      </c>
      <c r="C729" s="2452" t="e">
        <f>#REF!+#REF!</f>
        <v>#REF!</v>
      </c>
      <c r="D729" s="2449">
        <f>IF(A729='Data Entry - SOF'!B$2,'Data Entry - SOF'!C$64,0)</f>
        <v>0</v>
      </c>
      <c r="E729" s="2450">
        <f t="shared" si="141"/>
        <v>9932900</v>
      </c>
      <c r="F729" s="2212" t="e">
        <f>IF('Report-M&amp;O1718'!C$18-'Report-SOF1718'!D$55&lt;=0,0,'Report-M&amp;O1718'!C$18-'Report-SOF1718'!D$55)</f>
        <v>#DIV/0!</v>
      </c>
      <c r="G729" s="2452" t="e">
        <f t="shared" si="133"/>
        <v>#DIV/0!</v>
      </c>
      <c r="H729" s="2449">
        <f>IF(A729='Data Entry - SOF'!B$2,'Data Entry - SOF'!E$64,0)</f>
        <v>0</v>
      </c>
      <c r="I729" s="1687">
        <f t="shared" si="134"/>
        <v>9932900</v>
      </c>
      <c r="J729" s="2212" t="e">
        <f>IF('Report-M&amp;O1819'!C$18-'Report-SOF1819'!D$55&lt;=0,0,'Report-M&amp;O1819'!C$18-'Report-SOF1819'!D$55)</f>
        <v>#DIV/0!</v>
      </c>
      <c r="K729" s="2452" t="e">
        <f t="shared" si="135"/>
        <v>#DIV/0!</v>
      </c>
      <c r="L729" s="2449">
        <f>IF(A729='Data Entry - SOF'!B$2,'Data Entry - SOF'!G$64,0)</f>
        <v>0</v>
      </c>
      <c r="M729" s="1371">
        <f t="shared" si="136"/>
        <v>9932900</v>
      </c>
      <c r="N729" s="2212" t="e">
        <f>IF('Report-M&amp;O1920'!C$18-'Report-SOF1920'!D$55&lt;=0,0,'Report-M&amp;O1920'!C$18-'Report-SOF1920'!D$55)</f>
        <v>#DIV/0!</v>
      </c>
      <c r="O729" s="2452" t="e">
        <f t="shared" si="137"/>
        <v>#DIV/0!</v>
      </c>
      <c r="P729" s="2449">
        <f>IF(A729='Data Entry - SOF'!B$2,'Data Entry - SOF'!I$64,0)</f>
        <v>0</v>
      </c>
      <c r="Q729" s="1687">
        <f t="shared" si="132"/>
        <v>9932900</v>
      </c>
      <c r="R729" s="2212" t="e">
        <f>IF('Report-M&amp;O2021'!C$18-'Report-SOF2021'!D$55&lt;=0,0,'Report-M&amp;O2021'!C$18-'Report-SOF2021'!D$55)</f>
        <v>#DIV/0!</v>
      </c>
      <c r="S729" s="2452" t="e">
        <f t="shared" si="138"/>
        <v>#DIV/0!</v>
      </c>
      <c r="T729" s="1708">
        <f>IF(A729='Data Entry - SOF'!B$2,'Data Entry - SOF'!K$64,0)</f>
        <v>0</v>
      </c>
      <c r="U729" s="1687">
        <f t="shared" si="142"/>
        <v>9932900</v>
      </c>
      <c r="V729" s="2212" t="e">
        <f>IF('Report-M&amp;O2122'!C$18-'Report-SOF2122'!D$55&lt;=0,0,'Report-M&amp;O2122'!C$18-'Report-SOF2122'!D$55)</f>
        <v>#DIV/0!</v>
      </c>
      <c r="W729" s="2452" t="e">
        <f t="shared" si="139"/>
        <v>#DIV/0!</v>
      </c>
      <c r="X729" s="1708">
        <f>IF(A729='Data Entry - SOF'!B$2,'Data Entry - SOF'!M$64,0)</f>
        <v>0</v>
      </c>
      <c r="Y729" s="1371" t="e">
        <f t="shared" si="140"/>
        <v>#DIV/0!</v>
      </c>
      <c r="Z729" s="2212" t="e">
        <f>IF('Report-M&amp;O2223'!C$18-'Report-SOF2223'!D$55&lt;=0,0,'Report-M&amp;O2223'!C$18-'Report-SOF2223'!D$55)</f>
        <v>#DIV/0!</v>
      </c>
      <c r="AA729" s="1708">
        <f>IF(A729='Data Entry - SOF'!B$2,'Data Entry - SOF'!O$64,0)</f>
        <v>0</v>
      </c>
    </row>
    <row r="730" spans="1:27" ht="15.75">
      <c r="A730" s="1076" t="s">
        <v>1736</v>
      </c>
      <c r="B730">
        <v>6844757</v>
      </c>
      <c r="C730" s="2452" t="e">
        <f>#REF!+#REF!</f>
        <v>#REF!</v>
      </c>
      <c r="D730" s="2449">
        <f>IF(A730='Data Entry - SOF'!B$2,'Data Entry - SOF'!C$64,0)</f>
        <v>0</v>
      </c>
      <c r="E730" s="2450">
        <f t="shared" si="141"/>
        <v>6844757</v>
      </c>
      <c r="F730" s="2212" t="e">
        <f>IF('Report-M&amp;O1718'!C$18-'Report-SOF1718'!D$55&lt;=0,0,'Report-M&amp;O1718'!C$18-'Report-SOF1718'!D$55)</f>
        <v>#DIV/0!</v>
      </c>
      <c r="G730" s="2452" t="e">
        <f t="shared" si="133"/>
        <v>#DIV/0!</v>
      </c>
      <c r="H730" s="2449">
        <f>IF(A730='Data Entry - SOF'!B$2,'Data Entry - SOF'!E$64,0)</f>
        <v>0</v>
      </c>
      <c r="I730" s="1687">
        <f t="shared" si="134"/>
        <v>6844757</v>
      </c>
      <c r="J730" s="2212" t="e">
        <f>IF('Report-M&amp;O1819'!C$18-'Report-SOF1819'!D$55&lt;=0,0,'Report-M&amp;O1819'!C$18-'Report-SOF1819'!D$55)</f>
        <v>#DIV/0!</v>
      </c>
      <c r="K730" s="2452" t="e">
        <f t="shared" si="135"/>
        <v>#DIV/0!</v>
      </c>
      <c r="L730" s="2449">
        <f>IF(A730='Data Entry - SOF'!B$2,'Data Entry - SOF'!G$64,0)</f>
        <v>0</v>
      </c>
      <c r="M730" s="1371">
        <f t="shared" si="136"/>
        <v>6844757</v>
      </c>
      <c r="N730" s="2212" t="e">
        <f>IF('Report-M&amp;O1920'!C$18-'Report-SOF1920'!D$55&lt;=0,0,'Report-M&amp;O1920'!C$18-'Report-SOF1920'!D$55)</f>
        <v>#DIV/0!</v>
      </c>
      <c r="O730" s="2452" t="e">
        <f t="shared" si="137"/>
        <v>#DIV/0!</v>
      </c>
      <c r="P730" s="2449">
        <f>IF(A730='Data Entry - SOF'!B$2,'Data Entry - SOF'!I$64,0)</f>
        <v>0</v>
      </c>
      <c r="Q730" s="1687">
        <f t="shared" si="132"/>
        <v>6844757</v>
      </c>
      <c r="R730" s="2212" t="e">
        <f>IF('Report-M&amp;O2021'!C$18-'Report-SOF2021'!D$55&lt;=0,0,'Report-M&amp;O2021'!C$18-'Report-SOF2021'!D$55)</f>
        <v>#DIV/0!</v>
      </c>
      <c r="S730" s="2452" t="e">
        <f t="shared" si="138"/>
        <v>#DIV/0!</v>
      </c>
      <c r="T730" s="1708">
        <f>IF(A730='Data Entry - SOF'!B$2,'Data Entry - SOF'!K$64,0)</f>
        <v>0</v>
      </c>
      <c r="U730" s="1687">
        <f t="shared" si="142"/>
        <v>6844757</v>
      </c>
      <c r="V730" s="2212" t="e">
        <f>IF('Report-M&amp;O2122'!C$18-'Report-SOF2122'!D$55&lt;=0,0,'Report-M&amp;O2122'!C$18-'Report-SOF2122'!D$55)</f>
        <v>#DIV/0!</v>
      </c>
      <c r="W730" s="2452" t="e">
        <f t="shared" si="139"/>
        <v>#DIV/0!</v>
      </c>
      <c r="X730" s="1708">
        <f>IF(A730='Data Entry - SOF'!B$2,'Data Entry - SOF'!M$64,0)</f>
        <v>0</v>
      </c>
      <c r="Y730" s="1371" t="e">
        <f t="shared" si="140"/>
        <v>#DIV/0!</v>
      </c>
      <c r="Z730" s="2212" t="e">
        <f>IF('Report-M&amp;O2223'!C$18-'Report-SOF2223'!D$55&lt;=0,0,'Report-M&amp;O2223'!C$18-'Report-SOF2223'!D$55)</f>
        <v>#DIV/0!</v>
      </c>
      <c r="AA730" s="1708">
        <f>IF(A730='Data Entry - SOF'!B$2,'Data Entry - SOF'!O$64,0)</f>
        <v>0</v>
      </c>
    </row>
    <row r="731" spans="1:27" ht="15.75">
      <c r="A731" s="1076" t="s">
        <v>2145</v>
      </c>
      <c r="B731">
        <v>4747923</v>
      </c>
      <c r="C731" s="2452" t="e">
        <f>#REF!+#REF!</f>
        <v>#REF!</v>
      </c>
      <c r="D731" s="2449">
        <f>IF(A731='Data Entry - SOF'!B$2,'Data Entry - SOF'!C$64,0)</f>
        <v>0</v>
      </c>
      <c r="E731" s="2450">
        <f t="shared" si="141"/>
        <v>4747923</v>
      </c>
      <c r="F731" s="2212" t="e">
        <f>IF('Report-M&amp;O1718'!C$18-'Report-SOF1718'!D$55&lt;=0,0,'Report-M&amp;O1718'!C$18-'Report-SOF1718'!D$55)</f>
        <v>#DIV/0!</v>
      </c>
      <c r="G731" s="2452" t="e">
        <f t="shared" si="133"/>
        <v>#DIV/0!</v>
      </c>
      <c r="H731" s="2449">
        <f>IF(A731='Data Entry - SOF'!B$2,'Data Entry - SOF'!E$64,0)</f>
        <v>0</v>
      </c>
      <c r="I731" s="1687">
        <f t="shared" si="134"/>
        <v>4747923</v>
      </c>
      <c r="J731" s="2212" t="e">
        <f>IF('Report-M&amp;O1819'!C$18-'Report-SOF1819'!D$55&lt;=0,0,'Report-M&amp;O1819'!C$18-'Report-SOF1819'!D$55)</f>
        <v>#DIV/0!</v>
      </c>
      <c r="K731" s="2452" t="e">
        <f t="shared" si="135"/>
        <v>#DIV/0!</v>
      </c>
      <c r="L731" s="2449">
        <f>IF(A731='Data Entry - SOF'!B$2,'Data Entry - SOF'!G$64,0)</f>
        <v>0</v>
      </c>
      <c r="M731" s="1371">
        <f t="shared" si="136"/>
        <v>4747923</v>
      </c>
      <c r="N731" s="2212" t="e">
        <f>IF('Report-M&amp;O1920'!C$18-'Report-SOF1920'!D$55&lt;=0,0,'Report-M&amp;O1920'!C$18-'Report-SOF1920'!D$55)</f>
        <v>#DIV/0!</v>
      </c>
      <c r="O731" s="2452" t="e">
        <f t="shared" si="137"/>
        <v>#DIV/0!</v>
      </c>
      <c r="P731" s="2449">
        <f>IF(A731='Data Entry - SOF'!B$2,'Data Entry - SOF'!I$64,0)</f>
        <v>0</v>
      </c>
      <c r="Q731" s="1687">
        <f t="shared" si="132"/>
        <v>4747923</v>
      </c>
      <c r="R731" s="2212" t="e">
        <f>IF('Report-M&amp;O2021'!C$18-'Report-SOF2021'!D$55&lt;=0,0,'Report-M&amp;O2021'!C$18-'Report-SOF2021'!D$55)</f>
        <v>#DIV/0!</v>
      </c>
      <c r="S731" s="2452" t="e">
        <f t="shared" si="138"/>
        <v>#DIV/0!</v>
      </c>
      <c r="T731" s="1708">
        <f>IF(A731='Data Entry - SOF'!B$2,'Data Entry - SOF'!K$64,0)</f>
        <v>0</v>
      </c>
      <c r="U731" s="1687">
        <f t="shared" si="142"/>
        <v>4747923</v>
      </c>
      <c r="V731" s="2212" t="e">
        <f>IF('Report-M&amp;O2122'!C$18-'Report-SOF2122'!D$55&lt;=0,0,'Report-M&amp;O2122'!C$18-'Report-SOF2122'!D$55)</f>
        <v>#DIV/0!</v>
      </c>
      <c r="W731" s="2452" t="e">
        <f t="shared" si="139"/>
        <v>#DIV/0!</v>
      </c>
      <c r="X731" s="1708">
        <f>IF(A731='Data Entry - SOF'!B$2,'Data Entry - SOF'!M$64,0)</f>
        <v>0</v>
      </c>
      <c r="Y731" s="1371" t="e">
        <f t="shared" si="140"/>
        <v>#DIV/0!</v>
      </c>
      <c r="Z731" s="2212" t="e">
        <f>IF('Report-M&amp;O2223'!C$18-'Report-SOF2223'!D$55&lt;=0,0,'Report-M&amp;O2223'!C$18-'Report-SOF2223'!D$55)</f>
        <v>#DIV/0!</v>
      </c>
      <c r="AA731" s="1708">
        <f>IF(A731='Data Entry - SOF'!B$2,'Data Entry - SOF'!O$64,0)</f>
        <v>0</v>
      </c>
    </row>
    <row r="732" spans="1:27" ht="15.75">
      <c r="A732" s="1076" t="s">
        <v>2637</v>
      </c>
      <c r="B732">
        <v>8115066.22460494</v>
      </c>
      <c r="C732" s="2452" t="e">
        <f>#REF!+#REF!</f>
        <v>#REF!</v>
      </c>
      <c r="D732" s="2449">
        <f>IF(A732='Data Entry - SOF'!B$2,'Data Entry - SOF'!C$64,0)</f>
        <v>0</v>
      </c>
      <c r="E732" s="2450">
        <f t="shared" si="141"/>
        <v>8115066.22460494</v>
      </c>
      <c r="F732" s="2212" t="e">
        <f>IF('Report-M&amp;O1718'!C$18-'Report-SOF1718'!D$55&lt;=0,0,'Report-M&amp;O1718'!C$18-'Report-SOF1718'!D$55)</f>
        <v>#DIV/0!</v>
      </c>
      <c r="G732" s="2452" t="e">
        <f t="shared" si="133"/>
        <v>#DIV/0!</v>
      </c>
      <c r="H732" s="2449">
        <f>IF(A732='Data Entry - SOF'!B$2,'Data Entry - SOF'!E$64,0)</f>
        <v>0</v>
      </c>
      <c r="I732" s="1687">
        <f t="shared" si="134"/>
        <v>8115066.22460494</v>
      </c>
      <c r="J732" s="2212" t="e">
        <f>IF('Report-M&amp;O1819'!C$18-'Report-SOF1819'!D$55&lt;=0,0,'Report-M&amp;O1819'!C$18-'Report-SOF1819'!D$55)</f>
        <v>#DIV/0!</v>
      </c>
      <c r="K732" s="2452" t="e">
        <f t="shared" si="135"/>
        <v>#DIV/0!</v>
      </c>
      <c r="L732" s="2449">
        <f>IF(A732='Data Entry - SOF'!B$2,'Data Entry - SOF'!G$64,0)</f>
        <v>0</v>
      </c>
      <c r="M732" s="1371">
        <f t="shared" si="136"/>
        <v>8115066.22460494</v>
      </c>
      <c r="N732" s="2212" t="e">
        <f>IF('Report-M&amp;O1920'!C$18-'Report-SOF1920'!D$55&lt;=0,0,'Report-M&amp;O1920'!C$18-'Report-SOF1920'!D$55)</f>
        <v>#DIV/0!</v>
      </c>
      <c r="O732" s="2452" t="e">
        <f t="shared" si="137"/>
        <v>#DIV/0!</v>
      </c>
      <c r="P732" s="2449">
        <f>IF(A732='Data Entry - SOF'!B$2,'Data Entry - SOF'!I$64,0)</f>
        <v>0</v>
      </c>
      <c r="Q732" s="1687">
        <f t="shared" si="132"/>
        <v>8115066.22460494</v>
      </c>
      <c r="R732" s="2212" t="e">
        <f>IF('Report-M&amp;O2021'!C$18-'Report-SOF2021'!D$55&lt;=0,0,'Report-M&amp;O2021'!C$18-'Report-SOF2021'!D$55)</f>
        <v>#DIV/0!</v>
      </c>
      <c r="S732" s="2452" t="e">
        <f t="shared" si="138"/>
        <v>#DIV/0!</v>
      </c>
      <c r="T732" s="1708">
        <f>IF(A732='Data Entry - SOF'!B$2,'Data Entry - SOF'!K$64,0)</f>
        <v>0</v>
      </c>
      <c r="U732" s="1687">
        <f t="shared" si="142"/>
        <v>8115066.22460494</v>
      </c>
      <c r="V732" s="2212" t="e">
        <f>IF('Report-M&amp;O2122'!C$18-'Report-SOF2122'!D$55&lt;=0,0,'Report-M&amp;O2122'!C$18-'Report-SOF2122'!D$55)</f>
        <v>#DIV/0!</v>
      </c>
      <c r="W732" s="2452" t="e">
        <f t="shared" si="139"/>
        <v>#DIV/0!</v>
      </c>
      <c r="X732" s="1708">
        <f>IF(A732='Data Entry - SOF'!B$2,'Data Entry - SOF'!M$64,0)</f>
        <v>0</v>
      </c>
      <c r="Y732" s="1371" t="e">
        <f t="shared" si="140"/>
        <v>#DIV/0!</v>
      </c>
      <c r="Z732" s="2212" t="e">
        <f>IF('Report-M&amp;O2223'!C$18-'Report-SOF2223'!D$55&lt;=0,0,'Report-M&amp;O2223'!C$18-'Report-SOF2223'!D$55)</f>
        <v>#DIV/0!</v>
      </c>
      <c r="AA732" s="1708">
        <f>IF(A732='Data Entry - SOF'!B$2,'Data Entry - SOF'!O$64,0)</f>
        <v>0</v>
      </c>
    </row>
    <row r="733" spans="1:27" ht="15.75">
      <c r="A733" s="1076" t="s">
        <v>464</v>
      </c>
      <c r="B733">
        <v>8399189</v>
      </c>
      <c r="C733" s="2452" t="e">
        <f>#REF!+#REF!</f>
        <v>#REF!</v>
      </c>
      <c r="D733" s="2449">
        <f>IF(A733='Data Entry - SOF'!B$2,'Data Entry - SOF'!C$64,0)</f>
        <v>0</v>
      </c>
      <c r="E733" s="2450">
        <f t="shared" si="141"/>
        <v>8399189</v>
      </c>
      <c r="F733" s="2212" t="e">
        <f>IF('Report-M&amp;O1718'!C$18-'Report-SOF1718'!D$55&lt;=0,0,'Report-M&amp;O1718'!C$18-'Report-SOF1718'!D$55)</f>
        <v>#DIV/0!</v>
      </c>
      <c r="G733" s="2452" t="e">
        <f t="shared" si="133"/>
        <v>#DIV/0!</v>
      </c>
      <c r="H733" s="2449">
        <f>IF(A733='Data Entry - SOF'!B$2,'Data Entry - SOF'!E$64,0)</f>
        <v>0</v>
      </c>
      <c r="I733" s="1687">
        <f t="shared" si="134"/>
        <v>8399189</v>
      </c>
      <c r="J733" s="2212" t="e">
        <f>IF('Report-M&amp;O1819'!C$18-'Report-SOF1819'!D$55&lt;=0,0,'Report-M&amp;O1819'!C$18-'Report-SOF1819'!D$55)</f>
        <v>#DIV/0!</v>
      </c>
      <c r="K733" s="2452" t="e">
        <f t="shared" si="135"/>
        <v>#DIV/0!</v>
      </c>
      <c r="L733" s="2449">
        <f>IF(A733='Data Entry - SOF'!B$2,'Data Entry - SOF'!G$64,0)</f>
        <v>0</v>
      </c>
      <c r="M733" s="1371">
        <f t="shared" si="136"/>
        <v>8399189</v>
      </c>
      <c r="N733" s="2212" t="e">
        <f>IF('Report-M&amp;O1920'!C$18-'Report-SOF1920'!D$55&lt;=0,0,'Report-M&amp;O1920'!C$18-'Report-SOF1920'!D$55)</f>
        <v>#DIV/0!</v>
      </c>
      <c r="O733" s="2452" t="e">
        <f t="shared" si="137"/>
        <v>#DIV/0!</v>
      </c>
      <c r="P733" s="2449">
        <f>IF(A733='Data Entry - SOF'!B$2,'Data Entry - SOF'!I$64,0)</f>
        <v>0</v>
      </c>
      <c r="Q733" s="1687">
        <f t="shared" si="132"/>
        <v>8399189</v>
      </c>
      <c r="R733" s="2212" t="e">
        <f>IF('Report-M&amp;O2021'!C$18-'Report-SOF2021'!D$55&lt;=0,0,'Report-M&amp;O2021'!C$18-'Report-SOF2021'!D$55)</f>
        <v>#DIV/0!</v>
      </c>
      <c r="S733" s="2452" t="e">
        <f t="shared" si="138"/>
        <v>#DIV/0!</v>
      </c>
      <c r="T733" s="1708">
        <f>IF(A733='Data Entry - SOF'!B$2,'Data Entry - SOF'!K$64,0)</f>
        <v>0</v>
      </c>
      <c r="U733" s="1687">
        <f t="shared" si="142"/>
        <v>8399189</v>
      </c>
      <c r="V733" s="2212" t="e">
        <f>IF('Report-M&amp;O2122'!C$18-'Report-SOF2122'!D$55&lt;=0,0,'Report-M&amp;O2122'!C$18-'Report-SOF2122'!D$55)</f>
        <v>#DIV/0!</v>
      </c>
      <c r="W733" s="2452" t="e">
        <f t="shared" si="139"/>
        <v>#DIV/0!</v>
      </c>
      <c r="X733" s="1708">
        <f>IF(A733='Data Entry - SOF'!B$2,'Data Entry - SOF'!M$64,0)</f>
        <v>0</v>
      </c>
      <c r="Y733" s="1371" t="e">
        <f t="shared" si="140"/>
        <v>#DIV/0!</v>
      </c>
      <c r="Z733" s="2212" t="e">
        <f>IF('Report-M&amp;O2223'!C$18-'Report-SOF2223'!D$55&lt;=0,0,'Report-M&amp;O2223'!C$18-'Report-SOF2223'!D$55)</f>
        <v>#DIV/0!</v>
      </c>
      <c r="AA733" s="1708">
        <f>IF(A733='Data Entry - SOF'!B$2,'Data Entry - SOF'!O$64,0)</f>
        <v>0</v>
      </c>
    </row>
    <row r="734" spans="1:27" ht="15.75">
      <c r="A734" s="1076" t="s">
        <v>2858</v>
      </c>
      <c r="B734">
        <v>1746118</v>
      </c>
      <c r="C734" s="2452" t="e">
        <f>#REF!+#REF!</f>
        <v>#REF!</v>
      </c>
      <c r="D734" s="2449">
        <f>IF(A734='Data Entry - SOF'!B$2,'Data Entry - SOF'!C$64,0)</f>
        <v>0</v>
      </c>
      <c r="E734" s="2450">
        <f t="shared" si="141"/>
        <v>1746118</v>
      </c>
      <c r="F734" s="2212" t="e">
        <f>IF('Report-M&amp;O1718'!C$18-'Report-SOF1718'!D$55&lt;=0,0,'Report-M&amp;O1718'!C$18-'Report-SOF1718'!D$55)</f>
        <v>#DIV/0!</v>
      </c>
      <c r="G734" s="2452" t="e">
        <f t="shared" si="133"/>
        <v>#DIV/0!</v>
      </c>
      <c r="H734" s="2449">
        <f>IF(A734='Data Entry - SOF'!B$2,'Data Entry - SOF'!E$64,0)</f>
        <v>0</v>
      </c>
      <c r="I734" s="1687">
        <f t="shared" si="134"/>
        <v>1746118</v>
      </c>
      <c r="J734" s="2212" t="e">
        <f>IF('Report-M&amp;O1819'!C$18-'Report-SOF1819'!D$55&lt;=0,0,'Report-M&amp;O1819'!C$18-'Report-SOF1819'!D$55)</f>
        <v>#DIV/0!</v>
      </c>
      <c r="K734" s="2452" t="e">
        <f t="shared" si="135"/>
        <v>#DIV/0!</v>
      </c>
      <c r="L734" s="2449">
        <f>IF(A734='Data Entry - SOF'!B$2,'Data Entry - SOF'!G$64,0)</f>
        <v>0</v>
      </c>
      <c r="M734" s="1371">
        <f t="shared" si="136"/>
        <v>1746118</v>
      </c>
      <c r="N734" s="2212" t="e">
        <f>IF('Report-M&amp;O1920'!C$18-'Report-SOF1920'!D$55&lt;=0,0,'Report-M&amp;O1920'!C$18-'Report-SOF1920'!D$55)</f>
        <v>#DIV/0!</v>
      </c>
      <c r="O734" s="2452" t="e">
        <f t="shared" si="137"/>
        <v>#DIV/0!</v>
      </c>
      <c r="P734" s="2449">
        <f>IF(A734='Data Entry - SOF'!B$2,'Data Entry - SOF'!I$64,0)</f>
        <v>0</v>
      </c>
      <c r="Q734" s="1687">
        <f t="shared" si="132"/>
        <v>1746118</v>
      </c>
      <c r="R734" s="2212" t="e">
        <f>IF('Report-M&amp;O2021'!C$18-'Report-SOF2021'!D$55&lt;=0,0,'Report-M&amp;O2021'!C$18-'Report-SOF2021'!D$55)</f>
        <v>#DIV/0!</v>
      </c>
      <c r="S734" s="2452" t="e">
        <f t="shared" si="138"/>
        <v>#DIV/0!</v>
      </c>
      <c r="T734" s="1708">
        <f>IF(A734='Data Entry - SOF'!B$2,'Data Entry - SOF'!K$64,0)</f>
        <v>0</v>
      </c>
      <c r="U734" s="1687">
        <f t="shared" si="142"/>
        <v>1746118</v>
      </c>
      <c r="V734" s="2212" t="e">
        <f>IF('Report-M&amp;O2122'!C$18-'Report-SOF2122'!D$55&lt;=0,0,'Report-M&amp;O2122'!C$18-'Report-SOF2122'!D$55)</f>
        <v>#DIV/0!</v>
      </c>
      <c r="W734" s="2452" t="e">
        <f t="shared" si="139"/>
        <v>#DIV/0!</v>
      </c>
      <c r="X734" s="1708">
        <f>IF(A734='Data Entry - SOF'!B$2,'Data Entry - SOF'!M$64,0)</f>
        <v>0</v>
      </c>
      <c r="Y734" s="1371" t="e">
        <f t="shared" si="140"/>
        <v>#DIV/0!</v>
      </c>
      <c r="Z734" s="2212" t="e">
        <f>IF('Report-M&amp;O2223'!C$18-'Report-SOF2223'!D$55&lt;=0,0,'Report-M&amp;O2223'!C$18-'Report-SOF2223'!D$55)</f>
        <v>#DIV/0!</v>
      </c>
      <c r="AA734" s="1708">
        <f>IF(A734='Data Entry - SOF'!B$2,'Data Entry - SOF'!O$64,0)</f>
        <v>0</v>
      </c>
    </row>
    <row r="735" spans="1:27" ht="15.75">
      <c r="A735" s="1076" t="s">
        <v>1337</v>
      </c>
      <c r="B735">
        <v>10178725</v>
      </c>
      <c r="C735" s="2452" t="e">
        <f>#REF!+#REF!</f>
        <v>#REF!</v>
      </c>
      <c r="D735" s="2449">
        <f>IF(A735='Data Entry - SOF'!B$2,'Data Entry - SOF'!C$64,0)</f>
        <v>0</v>
      </c>
      <c r="E735" s="2450">
        <f t="shared" si="141"/>
        <v>10178725</v>
      </c>
      <c r="F735" s="2212" t="e">
        <f>IF('Report-M&amp;O1718'!C$18-'Report-SOF1718'!D$55&lt;=0,0,'Report-M&amp;O1718'!C$18-'Report-SOF1718'!D$55)</f>
        <v>#DIV/0!</v>
      </c>
      <c r="G735" s="2452" t="e">
        <f t="shared" si="133"/>
        <v>#DIV/0!</v>
      </c>
      <c r="H735" s="2449">
        <f>IF(A735='Data Entry - SOF'!B$2,'Data Entry - SOF'!E$64,0)</f>
        <v>0</v>
      </c>
      <c r="I735" s="1687">
        <f t="shared" si="134"/>
        <v>10178725</v>
      </c>
      <c r="J735" s="2212" t="e">
        <f>IF('Report-M&amp;O1819'!C$18-'Report-SOF1819'!D$55&lt;=0,0,'Report-M&amp;O1819'!C$18-'Report-SOF1819'!D$55)</f>
        <v>#DIV/0!</v>
      </c>
      <c r="K735" s="2452" t="e">
        <f t="shared" si="135"/>
        <v>#DIV/0!</v>
      </c>
      <c r="L735" s="2449">
        <f>IF(A735='Data Entry - SOF'!B$2,'Data Entry - SOF'!G$64,0)</f>
        <v>0</v>
      </c>
      <c r="M735" s="1371">
        <f t="shared" si="136"/>
        <v>10178725</v>
      </c>
      <c r="N735" s="2212" t="e">
        <f>IF('Report-M&amp;O1920'!C$18-'Report-SOF1920'!D$55&lt;=0,0,'Report-M&amp;O1920'!C$18-'Report-SOF1920'!D$55)</f>
        <v>#DIV/0!</v>
      </c>
      <c r="O735" s="2452" t="e">
        <f t="shared" si="137"/>
        <v>#DIV/0!</v>
      </c>
      <c r="P735" s="2449">
        <f>IF(A735='Data Entry - SOF'!B$2,'Data Entry - SOF'!I$64,0)</f>
        <v>0</v>
      </c>
      <c r="Q735" s="1687">
        <f t="shared" si="132"/>
        <v>10178725</v>
      </c>
      <c r="R735" s="2212" t="e">
        <f>IF('Report-M&amp;O2021'!C$18-'Report-SOF2021'!D$55&lt;=0,0,'Report-M&amp;O2021'!C$18-'Report-SOF2021'!D$55)</f>
        <v>#DIV/0!</v>
      </c>
      <c r="S735" s="2452" t="e">
        <f t="shared" si="138"/>
        <v>#DIV/0!</v>
      </c>
      <c r="T735" s="1708">
        <f>IF(A735='Data Entry - SOF'!B$2,'Data Entry - SOF'!K$64,0)</f>
        <v>0</v>
      </c>
      <c r="U735" s="1687">
        <f t="shared" si="142"/>
        <v>10178725</v>
      </c>
      <c r="V735" s="2212" t="e">
        <f>IF('Report-M&amp;O2122'!C$18-'Report-SOF2122'!D$55&lt;=0,0,'Report-M&amp;O2122'!C$18-'Report-SOF2122'!D$55)</f>
        <v>#DIV/0!</v>
      </c>
      <c r="W735" s="2452" t="e">
        <f t="shared" si="139"/>
        <v>#DIV/0!</v>
      </c>
      <c r="X735" s="1708">
        <f>IF(A735='Data Entry - SOF'!B$2,'Data Entry - SOF'!M$64,0)</f>
        <v>0</v>
      </c>
      <c r="Y735" s="1371" t="e">
        <f t="shared" si="140"/>
        <v>#DIV/0!</v>
      </c>
      <c r="Z735" s="2212" t="e">
        <f>IF('Report-M&amp;O2223'!C$18-'Report-SOF2223'!D$55&lt;=0,0,'Report-M&amp;O2223'!C$18-'Report-SOF2223'!D$55)</f>
        <v>#DIV/0!</v>
      </c>
      <c r="AA735" s="1708">
        <f>IF(A735='Data Entry - SOF'!B$2,'Data Entry - SOF'!O$64,0)</f>
        <v>0</v>
      </c>
    </row>
    <row r="736" spans="1:27" ht="15.75">
      <c r="A736" s="1076" t="s">
        <v>1338</v>
      </c>
      <c r="B736">
        <v>10670063</v>
      </c>
      <c r="C736" s="2452" t="e">
        <f>#REF!+#REF!</f>
        <v>#REF!</v>
      </c>
      <c r="D736" s="2449">
        <f>IF(A736='Data Entry - SOF'!B$2,'Data Entry - SOF'!C$64,0)</f>
        <v>0</v>
      </c>
      <c r="E736" s="2450">
        <f t="shared" si="141"/>
        <v>10670063</v>
      </c>
      <c r="F736" s="2212" t="e">
        <f>IF('Report-M&amp;O1718'!C$18-'Report-SOF1718'!D$55&lt;=0,0,'Report-M&amp;O1718'!C$18-'Report-SOF1718'!D$55)</f>
        <v>#DIV/0!</v>
      </c>
      <c r="G736" s="2452" t="e">
        <f t="shared" si="133"/>
        <v>#DIV/0!</v>
      </c>
      <c r="H736" s="2449">
        <f>IF(A736='Data Entry - SOF'!B$2,'Data Entry - SOF'!E$64,0)</f>
        <v>0</v>
      </c>
      <c r="I736" s="1687">
        <f t="shared" si="134"/>
        <v>10670063</v>
      </c>
      <c r="J736" s="2212" t="e">
        <f>IF('Report-M&amp;O1819'!C$18-'Report-SOF1819'!D$55&lt;=0,0,'Report-M&amp;O1819'!C$18-'Report-SOF1819'!D$55)</f>
        <v>#DIV/0!</v>
      </c>
      <c r="K736" s="2452" t="e">
        <f t="shared" si="135"/>
        <v>#DIV/0!</v>
      </c>
      <c r="L736" s="2449">
        <f>IF(A736='Data Entry - SOF'!B$2,'Data Entry - SOF'!G$64,0)</f>
        <v>0</v>
      </c>
      <c r="M736" s="1371">
        <f t="shared" si="136"/>
        <v>10670063</v>
      </c>
      <c r="N736" s="2212" t="e">
        <f>IF('Report-M&amp;O1920'!C$18-'Report-SOF1920'!D$55&lt;=0,0,'Report-M&amp;O1920'!C$18-'Report-SOF1920'!D$55)</f>
        <v>#DIV/0!</v>
      </c>
      <c r="O736" s="2452" t="e">
        <f t="shared" si="137"/>
        <v>#DIV/0!</v>
      </c>
      <c r="P736" s="2449">
        <f>IF(A736='Data Entry - SOF'!B$2,'Data Entry - SOF'!I$64,0)</f>
        <v>0</v>
      </c>
      <c r="Q736" s="1687">
        <f t="shared" si="132"/>
        <v>10670063</v>
      </c>
      <c r="R736" s="2212" t="e">
        <f>IF('Report-M&amp;O2021'!C$18-'Report-SOF2021'!D$55&lt;=0,0,'Report-M&amp;O2021'!C$18-'Report-SOF2021'!D$55)</f>
        <v>#DIV/0!</v>
      </c>
      <c r="S736" s="2452" t="e">
        <f t="shared" si="138"/>
        <v>#DIV/0!</v>
      </c>
      <c r="T736" s="1708">
        <f>IF(A736='Data Entry - SOF'!B$2,'Data Entry - SOF'!K$64,0)</f>
        <v>0</v>
      </c>
      <c r="U736" s="1687">
        <f t="shared" si="142"/>
        <v>10670063</v>
      </c>
      <c r="V736" s="2212" t="e">
        <f>IF('Report-M&amp;O2122'!C$18-'Report-SOF2122'!D$55&lt;=0,0,'Report-M&amp;O2122'!C$18-'Report-SOF2122'!D$55)</f>
        <v>#DIV/0!</v>
      </c>
      <c r="W736" s="2452" t="e">
        <f t="shared" si="139"/>
        <v>#DIV/0!</v>
      </c>
      <c r="X736" s="1708">
        <f>IF(A736='Data Entry - SOF'!B$2,'Data Entry - SOF'!M$64,0)</f>
        <v>0</v>
      </c>
      <c r="Y736" s="1371" t="e">
        <f t="shared" si="140"/>
        <v>#DIV/0!</v>
      </c>
      <c r="Z736" s="2212" t="e">
        <f>IF('Report-M&amp;O2223'!C$18-'Report-SOF2223'!D$55&lt;=0,0,'Report-M&amp;O2223'!C$18-'Report-SOF2223'!D$55)</f>
        <v>#DIV/0!</v>
      </c>
      <c r="AA736" s="1708">
        <f>IF(A736='Data Entry - SOF'!B$2,'Data Entry - SOF'!O$64,0)</f>
        <v>0</v>
      </c>
    </row>
    <row r="737" spans="1:27" ht="15.75">
      <c r="A737" s="1076" t="s">
        <v>2753</v>
      </c>
      <c r="B737">
        <v>97145120</v>
      </c>
      <c r="C737" s="2452" t="e">
        <f>#REF!+#REF!</f>
        <v>#REF!</v>
      </c>
      <c r="D737" s="2449">
        <f>IF(A737='Data Entry - SOF'!B$2,'Data Entry - SOF'!C$64,0)</f>
        <v>0</v>
      </c>
      <c r="E737" s="2450">
        <f t="shared" si="141"/>
        <v>97145120</v>
      </c>
      <c r="F737" s="2212" t="e">
        <f>IF('Report-M&amp;O1718'!C$18-'Report-SOF1718'!D$55&lt;=0,0,'Report-M&amp;O1718'!C$18-'Report-SOF1718'!D$55)</f>
        <v>#DIV/0!</v>
      </c>
      <c r="G737" s="2452" t="e">
        <f t="shared" si="133"/>
        <v>#DIV/0!</v>
      </c>
      <c r="H737" s="2449">
        <f>IF(A737='Data Entry - SOF'!B$2,'Data Entry - SOF'!E$64,0)</f>
        <v>0</v>
      </c>
      <c r="I737" s="1687">
        <f t="shared" si="134"/>
        <v>97145120</v>
      </c>
      <c r="J737" s="2212" t="e">
        <f>IF('Report-M&amp;O1819'!C$18-'Report-SOF1819'!D$55&lt;=0,0,'Report-M&amp;O1819'!C$18-'Report-SOF1819'!D$55)</f>
        <v>#DIV/0!</v>
      </c>
      <c r="K737" s="2452" t="e">
        <f t="shared" si="135"/>
        <v>#DIV/0!</v>
      </c>
      <c r="L737" s="2449">
        <f>IF(A737='Data Entry - SOF'!B$2,'Data Entry - SOF'!G$64,0)</f>
        <v>0</v>
      </c>
      <c r="M737" s="1371">
        <f t="shared" si="136"/>
        <v>97145120</v>
      </c>
      <c r="N737" s="2212" t="e">
        <f>IF('Report-M&amp;O1920'!C$18-'Report-SOF1920'!D$55&lt;=0,0,'Report-M&amp;O1920'!C$18-'Report-SOF1920'!D$55)</f>
        <v>#DIV/0!</v>
      </c>
      <c r="O737" s="2452" t="e">
        <f t="shared" si="137"/>
        <v>#DIV/0!</v>
      </c>
      <c r="P737" s="2449">
        <f>IF(A737='Data Entry - SOF'!B$2,'Data Entry - SOF'!I$64,0)</f>
        <v>0</v>
      </c>
      <c r="Q737" s="1687">
        <f t="shared" si="132"/>
        <v>97145120</v>
      </c>
      <c r="R737" s="2212" t="e">
        <f>IF('Report-M&amp;O2021'!C$18-'Report-SOF2021'!D$55&lt;=0,0,'Report-M&amp;O2021'!C$18-'Report-SOF2021'!D$55)</f>
        <v>#DIV/0!</v>
      </c>
      <c r="S737" s="2452" t="e">
        <f t="shared" si="138"/>
        <v>#DIV/0!</v>
      </c>
      <c r="T737" s="1708">
        <f>IF(A737='Data Entry - SOF'!B$2,'Data Entry - SOF'!K$64,0)</f>
        <v>0</v>
      </c>
      <c r="U737" s="1687">
        <f t="shared" si="142"/>
        <v>97145120</v>
      </c>
      <c r="V737" s="2212" t="e">
        <f>IF('Report-M&amp;O2122'!C$18-'Report-SOF2122'!D$55&lt;=0,0,'Report-M&amp;O2122'!C$18-'Report-SOF2122'!D$55)</f>
        <v>#DIV/0!</v>
      </c>
      <c r="W737" s="2452" t="e">
        <f t="shared" si="139"/>
        <v>#DIV/0!</v>
      </c>
      <c r="X737" s="1708">
        <f>IF(A737='Data Entry - SOF'!B$2,'Data Entry - SOF'!M$64,0)</f>
        <v>0</v>
      </c>
      <c r="Y737" s="1371" t="e">
        <f t="shared" si="140"/>
        <v>#DIV/0!</v>
      </c>
      <c r="Z737" s="2212" t="e">
        <f>IF('Report-M&amp;O2223'!C$18-'Report-SOF2223'!D$55&lt;=0,0,'Report-M&amp;O2223'!C$18-'Report-SOF2223'!D$55)</f>
        <v>#DIV/0!</v>
      </c>
      <c r="AA737" s="1708">
        <f>IF(A737='Data Entry - SOF'!B$2,'Data Entry - SOF'!O$64,0)</f>
        <v>0</v>
      </c>
    </row>
    <row r="738" spans="1:27" ht="15.75">
      <c r="A738" s="1076" t="s">
        <v>619</v>
      </c>
      <c r="B738">
        <v>8068243</v>
      </c>
      <c r="C738" s="2452" t="e">
        <f>#REF!+#REF!</f>
        <v>#REF!</v>
      </c>
      <c r="D738" s="2449">
        <f>IF(A738='Data Entry - SOF'!B$2,'Data Entry - SOF'!C$64,0)</f>
        <v>0</v>
      </c>
      <c r="E738" s="2450">
        <f t="shared" si="141"/>
        <v>8068243</v>
      </c>
      <c r="F738" s="2212" t="e">
        <f>IF('Report-M&amp;O1718'!C$18-'Report-SOF1718'!D$55&lt;=0,0,'Report-M&amp;O1718'!C$18-'Report-SOF1718'!D$55)</f>
        <v>#DIV/0!</v>
      </c>
      <c r="G738" s="2452" t="e">
        <f t="shared" si="133"/>
        <v>#DIV/0!</v>
      </c>
      <c r="H738" s="2449">
        <f>IF(A738='Data Entry - SOF'!B$2,'Data Entry - SOF'!E$64,0)</f>
        <v>0</v>
      </c>
      <c r="I738" s="1687">
        <f t="shared" si="134"/>
        <v>8068243</v>
      </c>
      <c r="J738" s="2212" t="e">
        <f>IF('Report-M&amp;O1819'!C$18-'Report-SOF1819'!D$55&lt;=0,0,'Report-M&amp;O1819'!C$18-'Report-SOF1819'!D$55)</f>
        <v>#DIV/0!</v>
      </c>
      <c r="K738" s="2452" t="e">
        <f t="shared" si="135"/>
        <v>#DIV/0!</v>
      </c>
      <c r="L738" s="2449">
        <f>IF(A738='Data Entry - SOF'!B$2,'Data Entry - SOF'!G$64,0)</f>
        <v>0</v>
      </c>
      <c r="M738" s="1371">
        <f t="shared" si="136"/>
        <v>8068243</v>
      </c>
      <c r="N738" s="2212" t="e">
        <f>IF('Report-M&amp;O1920'!C$18-'Report-SOF1920'!D$55&lt;=0,0,'Report-M&amp;O1920'!C$18-'Report-SOF1920'!D$55)</f>
        <v>#DIV/0!</v>
      </c>
      <c r="O738" s="2452" t="e">
        <f t="shared" si="137"/>
        <v>#DIV/0!</v>
      </c>
      <c r="P738" s="2449">
        <f>IF(A738='Data Entry - SOF'!B$2,'Data Entry - SOF'!I$64,0)</f>
        <v>0</v>
      </c>
      <c r="Q738" s="1687">
        <f t="shared" si="132"/>
        <v>8068243</v>
      </c>
      <c r="R738" s="2212" t="e">
        <f>IF('Report-M&amp;O2021'!C$18-'Report-SOF2021'!D$55&lt;=0,0,'Report-M&amp;O2021'!C$18-'Report-SOF2021'!D$55)</f>
        <v>#DIV/0!</v>
      </c>
      <c r="S738" s="2452" t="e">
        <f t="shared" si="138"/>
        <v>#DIV/0!</v>
      </c>
      <c r="T738" s="1708">
        <f>IF(A738='Data Entry - SOF'!B$2,'Data Entry - SOF'!K$64,0)</f>
        <v>0</v>
      </c>
      <c r="U738" s="1687">
        <f t="shared" si="142"/>
        <v>8068243</v>
      </c>
      <c r="V738" s="2212" t="e">
        <f>IF('Report-M&amp;O2122'!C$18-'Report-SOF2122'!D$55&lt;=0,0,'Report-M&amp;O2122'!C$18-'Report-SOF2122'!D$55)</f>
        <v>#DIV/0!</v>
      </c>
      <c r="W738" s="2452" t="e">
        <f t="shared" si="139"/>
        <v>#DIV/0!</v>
      </c>
      <c r="X738" s="1708">
        <f>IF(A738='Data Entry - SOF'!B$2,'Data Entry - SOF'!M$64,0)</f>
        <v>0</v>
      </c>
      <c r="Y738" s="1371" t="e">
        <f t="shared" si="140"/>
        <v>#DIV/0!</v>
      </c>
      <c r="Z738" s="2212" t="e">
        <f>IF('Report-M&amp;O2223'!C$18-'Report-SOF2223'!D$55&lt;=0,0,'Report-M&amp;O2223'!C$18-'Report-SOF2223'!D$55)</f>
        <v>#DIV/0!</v>
      </c>
      <c r="AA738" s="1708">
        <f>IF(A738='Data Entry - SOF'!B$2,'Data Entry - SOF'!O$64,0)</f>
        <v>0</v>
      </c>
    </row>
    <row r="739" spans="1:27" ht="15.75">
      <c r="A739" s="1076" t="s">
        <v>632</v>
      </c>
      <c r="B739">
        <v>3384808</v>
      </c>
      <c r="C739" s="2452" t="e">
        <f>#REF!+#REF!</f>
        <v>#REF!</v>
      </c>
      <c r="D739" s="2449">
        <f>IF(A739='Data Entry - SOF'!B$2,'Data Entry - SOF'!C$64,0)</f>
        <v>0</v>
      </c>
      <c r="E739" s="2450">
        <f t="shared" si="141"/>
        <v>3384808</v>
      </c>
      <c r="F739" s="2212" t="e">
        <f>IF('Report-M&amp;O1718'!C$18-'Report-SOF1718'!D$55&lt;=0,0,'Report-M&amp;O1718'!C$18-'Report-SOF1718'!D$55)</f>
        <v>#DIV/0!</v>
      </c>
      <c r="G739" s="2452" t="e">
        <f t="shared" si="133"/>
        <v>#DIV/0!</v>
      </c>
      <c r="H739" s="2449">
        <f>IF(A739='Data Entry - SOF'!B$2,'Data Entry - SOF'!E$64,0)</f>
        <v>0</v>
      </c>
      <c r="I739" s="1687">
        <f t="shared" si="134"/>
        <v>3384808</v>
      </c>
      <c r="J739" s="2212" t="e">
        <f>IF('Report-M&amp;O1819'!C$18-'Report-SOF1819'!D$55&lt;=0,0,'Report-M&amp;O1819'!C$18-'Report-SOF1819'!D$55)</f>
        <v>#DIV/0!</v>
      </c>
      <c r="K739" s="2452" t="e">
        <f t="shared" si="135"/>
        <v>#DIV/0!</v>
      </c>
      <c r="L739" s="2449">
        <f>IF(A739='Data Entry - SOF'!B$2,'Data Entry - SOF'!G$64,0)</f>
        <v>0</v>
      </c>
      <c r="M739" s="1371">
        <f t="shared" si="136"/>
        <v>3384808</v>
      </c>
      <c r="N739" s="2212" t="e">
        <f>IF('Report-M&amp;O1920'!C$18-'Report-SOF1920'!D$55&lt;=0,0,'Report-M&amp;O1920'!C$18-'Report-SOF1920'!D$55)</f>
        <v>#DIV/0!</v>
      </c>
      <c r="O739" s="2452" t="e">
        <f t="shared" si="137"/>
        <v>#DIV/0!</v>
      </c>
      <c r="P739" s="2449">
        <f>IF(A739='Data Entry - SOF'!B$2,'Data Entry - SOF'!I$64,0)</f>
        <v>0</v>
      </c>
      <c r="Q739" s="1687">
        <f t="shared" si="132"/>
        <v>3384808</v>
      </c>
      <c r="R739" s="2212" t="e">
        <f>IF('Report-M&amp;O2021'!C$18-'Report-SOF2021'!D$55&lt;=0,0,'Report-M&amp;O2021'!C$18-'Report-SOF2021'!D$55)</f>
        <v>#DIV/0!</v>
      </c>
      <c r="S739" s="2452" t="e">
        <f t="shared" si="138"/>
        <v>#DIV/0!</v>
      </c>
      <c r="T739" s="1708">
        <f>IF(A739='Data Entry - SOF'!B$2,'Data Entry - SOF'!K$64,0)</f>
        <v>0</v>
      </c>
      <c r="U739" s="1687">
        <f t="shared" si="142"/>
        <v>3384808</v>
      </c>
      <c r="V739" s="2212" t="e">
        <f>IF('Report-M&amp;O2122'!C$18-'Report-SOF2122'!D$55&lt;=0,0,'Report-M&amp;O2122'!C$18-'Report-SOF2122'!D$55)</f>
        <v>#DIV/0!</v>
      </c>
      <c r="W739" s="2452" t="e">
        <f t="shared" si="139"/>
        <v>#DIV/0!</v>
      </c>
      <c r="X739" s="1708">
        <f>IF(A739='Data Entry - SOF'!B$2,'Data Entry - SOF'!M$64,0)</f>
        <v>0</v>
      </c>
      <c r="Y739" s="1371" t="e">
        <f t="shared" si="140"/>
        <v>#DIV/0!</v>
      </c>
      <c r="Z739" s="2212" t="e">
        <f>IF('Report-M&amp;O2223'!C$18-'Report-SOF2223'!D$55&lt;=0,0,'Report-M&amp;O2223'!C$18-'Report-SOF2223'!D$55)</f>
        <v>#DIV/0!</v>
      </c>
      <c r="AA739" s="1708">
        <f>IF(A739='Data Entry - SOF'!B$2,'Data Entry - SOF'!O$64,0)</f>
        <v>0</v>
      </c>
    </row>
    <row r="740" spans="1:27" ht="15.75">
      <c r="A740" s="1076" t="s">
        <v>633</v>
      </c>
      <c r="B740">
        <v>12200635</v>
      </c>
      <c r="C740" s="2452" t="e">
        <f>#REF!+#REF!</f>
        <v>#REF!</v>
      </c>
      <c r="D740" s="2449">
        <f>IF(A740='Data Entry - SOF'!B$2,'Data Entry - SOF'!C$64,0)</f>
        <v>0</v>
      </c>
      <c r="E740" s="2450">
        <f t="shared" si="141"/>
        <v>12200635</v>
      </c>
      <c r="F740" s="2212" t="e">
        <f>IF('Report-M&amp;O1718'!C$18-'Report-SOF1718'!D$55&lt;=0,0,'Report-M&amp;O1718'!C$18-'Report-SOF1718'!D$55)</f>
        <v>#DIV/0!</v>
      </c>
      <c r="G740" s="2452" t="e">
        <f t="shared" si="133"/>
        <v>#DIV/0!</v>
      </c>
      <c r="H740" s="2449">
        <f>IF(A740='Data Entry - SOF'!B$2,'Data Entry - SOF'!E$64,0)</f>
        <v>0</v>
      </c>
      <c r="I740" s="1687">
        <f t="shared" si="134"/>
        <v>12200635</v>
      </c>
      <c r="J740" s="2212" t="e">
        <f>IF('Report-M&amp;O1819'!C$18-'Report-SOF1819'!D$55&lt;=0,0,'Report-M&amp;O1819'!C$18-'Report-SOF1819'!D$55)</f>
        <v>#DIV/0!</v>
      </c>
      <c r="K740" s="2452" t="e">
        <f t="shared" si="135"/>
        <v>#DIV/0!</v>
      </c>
      <c r="L740" s="2449">
        <f>IF(A740='Data Entry - SOF'!B$2,'Data Entry - SOF'!G$64,0)</f>
        <v>0</v>
      </c>
      <c r="M740" s="1371">
        <f t="shared" si="136"/>
        <v>12200635</v>
      </c>
      <c r="N740" s="2212" t="e">
        <f>IF('Report-M&amp;O1920'!C$18-'Report-SOF1920'!D$55&lt;=0,0,'Report-M&amp;O1920'!C$18-'Report-SOF1920'!D$55)</f>
        <v>#DIV/0!</v>
      </c>
      <c r="O740" s="2452" t="e">
        <f t="shared" si="137"/>
        <v>#DIV/0!</v>
      </c>
      <c r="P740" s="2449">
        <f>IF(A740='Data Entry - SOF'!B$2,'Data Entry - SOF'!I$64,0)</f>
        <v>0</v>
      </c>
      <c r="Q740" s="1687">
        <f t="shared" si="132"/>
        <v>12200635</v>
      </c>
      <c r="R740" s="2212" t="e">
        <f>IF('Report-M&amp;O2021'!C$18-'Report-SOF2021'!D$55&lt;=0,0,'Report-M&amp;O2021'!C$18-'Report-SOF2021'!D$55)</f>
        <v>#DIV/0!</v>
      </c>
      <c r="S740" s="2452" t="e">
        <f t="shared" si="138"/>
        <v>#DIV/0!</v>
      </c>
      <c r="T740" s="1708">
        <f>IF(A740='Data Entry - SOF'!B$2,'Data Entry - SOF'!K$64,0)</f>
        <v>0</v>
      </c>
      <c r="U740" s="1687">
        <f t="shared" si="142"/>
        <v>12200635</v>
      </c>
      <c r="V740" s="2212" t="e">
        <f>IF('Report-M&amp;O2122'!C$18-'Report-SOF2122'!D$55&lt;=0,0,'Report-M&amp;O2122'!C$18-'Report-SOF2122'!D$55)</f>
        <v>#DIV/0!</v>
      </c>
      <c r="W740" s="2452" t="e">
        <f t="shared" si="139"/>
        <v>#DIV/0!</v>
      </c>
      <c r="X740" s="1708">
        <f>IF(A740='Data Entry - SOF'!B$2,'Data Entry - SOF'!M$64,0)</f>
        <v>0</v>
      </c>
      <c r="Y740" s="1371" t="e">
        <f t="shared" si="140"/>
        <v>#DIV/0!</v>
      </c>
      <c r="Z740" s="2212" t="e">
        <f>IF('Report-M&amp;O2223'!C$18-'Report-SOF2223'!D$55&lt;=0,0,'Report-M&amp;O2223'!C$18-'Report-SOF2223'!D$55)</f>
        <v>#DIV/0!</v>
      </c>
      <c r="AA740" s="1708">
        <f>IF(A740='Data Entry - SOF'!B$2,'Data Entry - SOF'!O$64,0)</f>
        <v>0</v>
      </c>
    </row>
    <row r="741" spans="1:27" ht="15.75">
      <c r="A741" s="1076" t="s">
        <v>191</v>
      </c>
      <c r="B741">
        <v>2586532</v>
      </c>
      <c r="C741" s="2452" t="e">
        <f>#REF!+#REF!</f>
        <v>#REF!</v>
      </c>
      <c r="D741" s="2449">
        <f>IF(A741='Data Entry - SOF'!B$2,'Data Entry - SOF'!C$64,0)</f>
        <v>0</v>
      </c>
      <c r="E741" s="2450">
        <f t="shared" si="141"/>
        <v>2586532</v>
      </c>
      <c r="F741" s="2212" t="e">
        <f>IF('Report-M&amp;O1718'!C$18-'Report-SOF1718'!D$55&lt;=0,0,'Report-M&amp;O1718'!C$18-'Report-SOF1718'!D$55)</f>
        <v>#DIV/0!</v>
      </c>
      <c r="G741" s="2452" t="e">
        <f t="shared" si="133"/>
        <v>#DIV/0!</v>
      </c>
      <c r="H741" s="2449">
        <f>IF(A741='Data Entry - SOF'!B$2,'Data Entry - SOF'!E$64,0)</f>
        <v>0</v>
      </c>
      <c r="I741" s="1687">
        <f t="shared" si="134"/>
        <v>2586532</v>
      </c>
      <c r="J741" s="2212" t="e">
        <f>IF('Report-M&amp;O1819'!C$18-'Report-SOF1819'!D$55&lt;=0,0,'Report-M&amp;O1819'!C$18-'Report-SOF1819'!D$55)</f>
        <v>#DIV/0!</v>
      </c>
      <c r="K741" s="2452" t="e">
        <f t="shared" si="135"/>
        <v>#DIV/0!</v>
      </c>
      <c r="L741" s="2449">
        <f>IF(A741='Data Entry - SOF'!B$2,'Data Entry - SOF'!G$64,0)</f>
        <v>0</v>
      </c>
      <c r="M741" s="1371">
        <f t="shared" si="136"/>
        <v>2586532</v>
      </c>
      <c r="N741" s="2212" t="e">
        <f>IF('Report-M&amp;O1920'!C$18-'Report-SOF1920'!D$55&lt;=0,0,'Report-M&amp;O1920'!C$18-'Report-SOF1920'!D$55)</f>
        <v>#DIV/0!</v>
      </c>
      <c r="O741" s="2452" t="e">
        <f t="shared" si="137"/>
        <v>#DIV/0!</v>
      </c>
      <c r="P741" s="2449">
        <f>IF(A741='Data Entry - SOF'!B$2,'Data Entry - SOF'!I$64,0)</f>
        <v>0</v>
      </c>
      <c r="Q741" s="1687">
        <f t="shared" si="132"/>
        <v>2586532</v>
      </c>
      <c r="R741" s="2212" t="e">
        <f>IF('Report-M&amp;O2021'!C$18-'Report-SOF2021'!D$55&lt;=0,0,'Report-M&amp;O2021'!C$18-'Report-SOF2021'!D$55)</f>
        <v>#DIV/0!</v>
      </c>
      <c r="S741" s="2452" t="e">
        <f t="shared" si="138"/>
        <v>#DIV/0!</v>
      </c>
      <c r="T741" s="1708">
        <f>IF(A741='Data Entry - SOF'!B$2,'Data Entry - SOF'!K$64,0)</f>
        <v>0</v>
      </c>
      <c r="U741" s="1687">
        <f t="shared" si="142"/>
        <v>2586532</v>
      </c>
      <c r="V741" s="2212" t="e">
        <f>IF('Report-M&amp;O2122'!C$18-'Report-SOF2122'!D$55&lt;=0,0,'Report-M&amp;O2122'!C$18-'Report-SOF2122'!D$55)</f>
        <v>#DIV/0!</v>
      </c>
      <c r="W741" s="2452" t="e">
        <f t="shared" si="139"/>
        <v>#DIV/0!</v>
      </c>
      <c r="X741" s="1708">
        <f>IF(A741='Data Entry - SOF'!B$2,'Data Entry - SOF'!M$64,0)</f>
        <v>0</v>
      </c>
      <c r="Y741" s="1371" t="e">
        <f t="shared" si="140"/>
        <v>#DIV/0!</v>
      </c>
      <c r="Z741" s="2212" t="e">
        <f>IF('Report-M&amp;O2223'!C$18-'Report-SOF2223'!D$55&lt;=0,0,'Report-M&amp;O2223'!C$18-'Report-SOF2223'!D$55)</f>
        <v>#DIV/0!</v>
      </c>
      <c r="AA741" s="1708">
        <f>IF(A741='Data Entry - SOF'!B$2,'Data Entry - SOF'!O$64,0)</f>
        <v>0</v>
      </c>
    </row>
    <row r="742" spans="1:27" ht="15.75">
      <c r="A742" s="1076" t="s">
        <v>869</v>
      </c>
      <c r="B742">
        <v>29682127</v>
      </c>
      <c r="C742" s="2452" t="e">
        <f>#REF!+#REF!</f>
        <v>#REF!</v>
      </c>
      <c r="D742" s="2449">
        <f>IF(A742='Data Entry - SOF'!B$2,'Data Entry - SOF'!C$64,0)</f>
        <v>0</v>
      </c>
      <c r="E742" s="2450">
        <f t="shared" si="141"/>
        <v>29682127</v>
      </c>
      <c r="F742" s="2212" t="e">
        <f>IF('Report-M&amp;O1718'!C$18-'Report-SOF1718'!D$55&lt;=0,0,'Report-M&amp;O1718'!C$18-'Report-SOF1718'!D$55)</f>
        <v>#DIV/0!</v>
      </c>
      <c r="G742" s="2452" t="e">
        <f t="shared" si="133"/>
        <v>#DIV/0!</v>
      </c>
      <c r="H742" s="2449">
        <f>IF(A742='Data Entry - SOF'!B$2,'Data Entry - SOF'!E$64,0)</f>
        <v>0</v>
      </c>
      <c r="I742" s="1687">
        <f t="shared" si="134"/>
        <v>29682127</v>
      </c>
      <c r="J742" s="2212" t="e">
        <f>IF('Report-M&amp;O1819'!C$18-'Report-SOF1819'!D$55&lt;=0,0,'Report-M&amp;O1819'!C$18-'Report-SOF1819'!D$55)</f>
        <v>#DIV/0!</v>
      </c>
      <c r="K742" s="2452" t="e">
        <f t="shared" si="135"/>
        <v>#DIV/0!</v>
      </c>
      <c r="L742" s="2449">
        <f>IF(A742='Data Entry - SOF'!B$2,'Data Entry - SOF'!G$64,0)</f>
        <v>0</v>
      </c>
      <c r="M742" s="1371">
        <f t="shared" si="136"/>
        <v>29682127</v>
      </c>
      <c r="N742" s="2212" t="e">
        <f>IF('Report-M&amp;O1920'!C$18-'Report-SOF1920'!D$55&lt;=0,0,'Report-M&amp;O1920'!C$18-'Report-SOF1920'!D$55)</f>
        <v>#DIV/0!</v>
      </c>
      <c r="O742" s="2452" t="e">
        <f t="shared" si="137"/>
        <v>#DIV/0!</v>
      </c>
      <c r="P742" s="2449">
        <f>IF(A742='Data Entry - SOF'!B$2,'Data Entry - SOF'!I$64,0)</f>
        <v>0</v>
      </c>
      <c r="Q742" s="1687">
        <f t="shared" si="132"/>
        <v>29682127</v>
      </c>
      <c r="R742" s="2212" t="e">
        <f>IF('Report-M&amp;O2021'!C$18-'Report-SOF2021'!D$55&lt;=0,0,'Report-M&amp;O2021'!C$18-'Report-SOF2021'!D$55)</f>
        <v>#DIV/0!</v>
      </c>
      <c r="S742" s="2452" t="e">
        <f t="shared" si="138"/>
        <v>#DIV/0!</v>
      </c>
      <c r="T742" s="1708">
        <f>IF(A742='Data Entry - SOF'!B$2,'Data Entry - SOF'!K$64,0)</f>
        <v>0</v>
      </c>
      <c r="U742" s="1687">
        <f t="shared" si="142"/>
        <v>29682127</v>
      </c>
      <c r="V742" s="2212" t="e">
        <f>IF('Report-M&amp;O2122'!C$18-'Report-SOF2122'!D$55&lt;=0,0,'Report-M&amp;O2122'!C$18-'Report-SOF2122'!D$55)</f>
        <v>#DIV/0!</v>
      </c>
      <c r="W742" s="2452" t="e">
        <f t="shared" si="139"/>
        <v>#DIV/0!</v>
      </c>
      <c r="X742" s="1708">
        <f>IF(A742='Data Entry - SOF'!B$2,'Data Entry - SOF'!M$64,0)</f>
        <v>0</v>
      </c>
      <c r="Y742" s="1371" t="e">
        <f t="shared" si="140"/>
        <v>#DIV/0!</v>
      </c>
      <c r="Z742" s="2212" t="e">
        <f>IF('Report-M&amp;O2223'!C$18-'Report-SOF2223'!D$55&lt;=0,0,'Report-M&amp;O2223'!C$18-'Report-SOF2223'!D$55)</f>
        <v>#DIV/0!</v>
      </c>
      <c r="AA742" s="1708">
        <f>IF(A742='Data Entry - SOF'!B$2,'Data Entry - SOF'!O$64,0)</f>
        <v>0</v>
      </c>
    </row>
    <row r="743" spans="1:27" ht="15.75">
      <c r="A743" s="1076" t="s">
        <v>1087</v>
      </c>
      <c r="B743">
        <v>4265955</v>
      </c>
      <c r="C743" s="2452" t="e">
        <f>#REF!+#REF!</f>
        <v>#REF!</v>
      </c>
      <c r="D743" s="2449">
        <f>IF(A743='Data Entry - SOF'!B$2,'Data Entry - SOF'!C$64,0)</f>
        <v>0</v>
      </c>
      <c r="E743" s="2450">
        <f t="shared" si="141"/>
        <v>4265955</v>
      </c>
      <c r="F743" s="2212" t="e">
        <f>IF('Report-M&amp;O1718'!C$18-'Report-SOF1718'!D$55&lt;=0,0,'Report-M&amp;O1718'!C$18-'Report-SOF1718'!D$55)</f>
        <v>#DIV/0!</v>
      </c>
      <c r="G743" s="2452" t="e">
        <f t="shared" si="133"/>
        <v>#DIV/0!</v>
      </c>
      <c r="H743" s="2449">
        <f>IF(A743='Data Entry - SOF'!B$2,'Data Entry - SOF'!E$64,0)</f>
        <v>0</v>
      </c>
      <c r="I743" s="1687">
        <f t="shared" si="134"/>
        <v>4265955</v>
      </c>
      <c r="J743" s="2212" t="e">
        <f>IF('Report-M&amp;O1819'!C$18-'Report-SOF1819'!D$55&lt;=0,0,'Report-M&amp;O1819'!C$18-'Report-SOF1819'!D$55)</f>
        <v>#DIV/0!</v>
      </c>
      <c r="K743" s="2452" t="e">
        <f t="shared" si="135"/>
        <v>#DIV/0!</v>
      </c>
      <c r="L743" s="2449">
        <f>IF(A743='Data Entry - SOF'!B$2,'Data Entry - SOF'!G$64,0)</f>
        <v>0</v>
      </c>
      <c r="M743" s="1371">
        <f t="shared" si="136"/>
        <v>4265955</v>
      </c>
      <c r="N743" s="2212" t="e">
        <f>IF('Report-M&amp;O1920'!C$18-'Report-SOF1920'!D$55&lt;=0,0,'Report-M&amp;O1920'!C$18-'Report-SOF1920'!D$55)</f>
        <v>#DIV/0!</v>
      </c>
      <c r="O743" s="2452" t="e">
        <f t="shared" si="137"/>
        <v>#DIV/0!</v>
      </c>
      <c r="P743" s="2449">
        <f>IF(A743='Data Entry - SOF'!B$2,'Data Entry - SOF'!I$64,0)</f>
        <v>0</v>
      </c>
      <c r="Q743" s="1687">
        <f t="shared" si="132"/>
        <v>4265955</v>
      </c>
      <c r="R743" s="2212" t="e">
        <f>IF('Report-M&amp;O2021'!C$18-'Report-SOF2021'!D$55&lt;=0,0,'Report-M&amp;O2021'!C$18-'Report-SOF2021'!D$55)</f>
        <v>#DIV/0!</v>
      </c>
      <c r="S743" s="2452" t="e">
        <f t="shared" si="138"/>
        <v>#DIV/0!</v>
      </c>
      <c r="T743" s="1708">
        <f>IF(A743='Data Entry - SOF'!B$2,'Data Entry - SOF'!K$64,0)</f>
        <v>0</v>
      </c>
      <c r="U743" s="1687">
        <f t="shared" si="142"/>
        <v>4265955</v>
      </c>
      <c r="V743" s="2212" t="e">
        <f>IF('Report-M&amp;O2122'!C$18-'Report-SOF2122'!D$55&lt;=0,0,'Report-M&amp;O2122'!C$18-'Report-SOF2122'!D$55)</f>
        <v>#DIV/0!</v>
      </c>
      <c r="W743" s="2452" t="e">
        <f t="shared" si="139"/>
        <v>#DIV/0!</v>
      </c>
      <c r="X743" s="1708">
        <f>IF(A743='Data Entry - SOF'!B$2,'Data Entry - SOF'!M$64,0)</f>
        <v>0</v>
      </c>
      <c r="Y743" s="1371" t="e">
        <f t="shared" si="140"/>
        <v>#DIV/0!</v>
      </c>
      <c r="Z743" s="2212" t="e">
        <f>IF('Report-M&amp;O2223'!C$18-'Report-SOF2223'!D$55&lt;=0,0,'Report-M&amp;O2223'!C$18-'Report-SOF2223'!D$55)</f>
        <v>#DIV/0!</v>
      </c>
      <c r="AA743" s="1708">
        <f>IF(A743='Data Entry - SOF'!B$2,'Data Entry - SOF'!O$64,0)</f>
        <v>0</v>
      </c>
    </row>
    <row r="744" spans="1:27" ht="15.75">
      <c r="A744" s="1076" t="s">
        <v>2452</v>
      </c>
      <c r="B744">
        <v>23235480</v>
      </c>
      <c r="C744" s="2452" t="e">
        <f>#REF!+#REF!</f>
        <v>#REF!</v>
      </c>
      <c r="D744" s="2449">
        <f>IF(A744='Data Entry - SOF'!B$2,'Data Entry - SOF'!C$64,0)</f>
        <v>0</v>
      </c>
      <c r="E744" s="2450">
        <f t="shared" si="141"/>
        <v>23235480</v>
      </c>
      <c r="F744" s="2212" t="e">
        <f>IF('Report-M&amp;O1718'!C$18-'Report-SOF1718'!D$55&lt;=0,0,'Report-M&amp;O1718'!C$18-'Report-SOF1718'!D$55)</f>
        <v>#DIV/0!</v>
      </c>
      <c r="G744" s="2452" t="e">
        <f t="shared" si="133"/>
        <v>#DIV/0!</v>
      </c>
      <c r="H744" s="2449">
        <f>IF(A744='Data Entry - SOF'!B$2,'Data Entry - SOF'!E$64,0)</f>
        <v>0</v>
      </c>
      <c r="I744" s="1687">
        <f t="shared" si="134"/>
        <v>23235480</v>
      </c>
      <c r="J744" s="2212" t="e">
        <f>IF('Report-M&amp;O1819'!C$18-'Report-SOF1819'!D$55&lt;=0,0,'Report-M&amp;O1819'!C$18-'Report-SOF1819'!D$55)</f>
        <v>#DIV/0!</v>
      </c>
      <c r="K744" s="2452" t="e">
        <f t="shared" si="135"/>
        <v>#DIV/0!</v>
      </c>
      <c r="L744" s="2449">
        <f>IF(A744='Data Entry - SOF'!B$2,'Data Entry - SOF'!G$64,0)</f>
        <v>0</v>
      </c>
      <c r="M744" s="1371">
        <f t="shared" si="136"/>
        <v>23235480</v>
      </c>
      <c r="N744" s="2212" t="e">
        <f>IF('Report-M&amp;O1920'!C$18-'Report-SOF1920'!D$55&lt;=0,0,'Report-M&amp;O1920'!C$18-'Report-SOF1920'!D$55)</f>
        <v>#DIV/0!</v>
      </c>
      <c r="O744" s="2452" t="e">
        <f t="shared" si="137"/>
        <v>#DIV/0!</v>
      </c>
      <c r="P744" s="2449">
        <f>IF(A744='Data Entry - SOF'!B$2,'Data Entry - SOF'!I$64,0)</f>
        <v>0</v>
      </c>
      <c r="Q744" s="1687">
        <f t="shared" si="132"/>
        <v>23235480</v>
      </c>
      <c r="R744" s="2212" t="e">
        <f>IF('Report-M&amp;O2021'!C$18-'Report-SOF2021'!D$55&lt;=0,0,'Report-M&amp;O2021'!C$18-'Report-SOF2021'!D$55)</f>
        <v>#DIV/0!</v>
      </c>
      <c r="S744" s="2452" t="e">
        <f t="shared" si="138"/>
        <v>#DIV/0!</v>
      </c>
      <c r="T744" s="1708">
        <f>IF(A744='Data Entry - SOF'!B$2,'Data Entry - SOF'!K$64,0)</f>
        <v>0</v>
      </c>
      <c r="U744" s="1687">
        <f t="shared" si="142"/>
        <v>23235480</v>
      </c>
      <c r="V744" s="2212" t="e">
        <f>IF('Report-M&amp;O2122'!C$18-'Report-SOF2122'!D$55&lt;=0,0,'Report-M&amp;O2122'!C$18-'Report-SOF2122'!D$55)</f>
        <v>#DIV/0!</v>
      </c>
      <c r="W744" s="2452" t="e">
        <f t="shared" si="139"/>
        <v>#DIV/0!</v>
      </c>
      <c r="X744" s="1708">
        <f>IF(A744='Data Entry - SOF'!B$2,'Data Entry - SOF'!M$64,0)</f>
        <v>0</v>
      </c>
      <c r="Y744" s="1371" t="e">
        <f t="shared" si="140"/>
        <v>#DIV/0!</v>
      </c>
      <c r="Z744" s="2212" t="e">
        <f>IF('Report-M&amp;O2223'!C$18-'Report-SOF2223'!D$55&lt;=0,0,'Report-M&amp;O2223'!C$18-'Report-SOF2223'!D$55)</f>
        <v>#DIV/0!</v>
      </c>
      <c r="AA744" s="1708">
        <f>IF(A744='Data Entry - SOF'!B$2,'Data Entry - SOF'!O$64,0)</f>
        <v>0</v>
      </c>
    </row>
    <row r="745" spans="1:27" ht="15.75">
      <c r="A745" s="1076" t="s">
        <v>2453</v>
      </c>
      <c r="B745">
        <v>7048721</v>
      </c>
      <c r="C745" s="2452" t="e">
        <f>#REF!+#REF!</f>
        <v>#REF!</v>
      </c>
      <c r="D745" s="2449">
        <f>IF(A745='Data Entry - SOF'!B$2,'Data Entry - SOF'!C$64,0)</f>
        <v>0</v>
      </c>
      <c r="E745" s="2450">
        <f t="shared" si="141"/>
        <v>7048721</v>
      </c>
      <c r="F745" s="2212" t="e">
        <f>IF('Report-M&amp;O1718'!C$18-'Report-SOF1718'!D$55&lt;=0,0,'Report-M&amp;O1718'!C$18-'Report-SOF1718'!D$55)</f>
        <v>#DIV/0!</v>
      </c>
      <c r="G745" s="2452" t="e">
        <f t="shared" si="133"/>
        <v>#DIV/0!</v>
      </c>
      <c r="H745" s="2449">
        <f>IF(A745='Data Entry - SOF'!B$2,'Data Entry - SOF'!E$64,0)</f>
        <v>0</v>
      </c>
      <c r="I745" s="1687">
        <f t="shared" si="134"/>
        <v>7048721</v>
      </c>
      <c r="J745" s="2212" t="e">
        <f>IF('Report-M&amp;O1819'!C$18-'Report-SOF1819'!D$55&lt;=0,0,'Report-M&amp;O1819'!C$18-'Report-SOF1819'!D$55)</f>
        <v>#DIV/0!</v>
      </c>
      <c r="K745" s="2452" t="e">
        <f t="shared" si="135"/>
        <v>#DIV/0!</v>
      </c>
      <c r="L745" s="2449">
        <f>IF(A745='Data Entry - SOF'!B$2,'Data Entry - SOF'!G$64,0)</f>
        <v>0</v>
      </c>
      <c r="M745" s="1371">
        <f t="shared" si="136"/>
        <v>7048721</v>
      </c>
      <c r="N745" s="2212" t="e">
        <f>IF('Report-M&amp;O1920'!C$18-'Report-SOF1920'!D$55&lt;=0,0,'Report-M&amp;O1920'!C$18-'Report-SOF1920'!D$55)</f>
        <v>#DIV/0!</v>
      </c>
      <c r="O745" s="2452" t="e">
        <f t="shared" si="137"/>
        <v>#DIV/0!</v>
      </c>
      <c r="P745" s="2449">
        <f>IF(A745='Data Entry - SOF'!B$2,'Data Entry - SOF'!I$64,0)</f>
        <v>0</v>
      </c>
      <c r="Q745" s="1687">
        <f t="shared" si="132"/>
        <v>7048721</v>
      </c>
      <c r="R745" s="2212" t="e">
        <f>IF('Report-M&amp;O2021'!C$18-'Report-SOF2021'!D$55&lt;=0,0,'Report-M&amp;O2021'!C$18-'Report-SOF2021'!D$55)</f>
        <v>#DIV/0!</v>
      </c>
      <c r="S745" s="2452" t="e">
        <f t="shared" si="138"/>
        <v>#DIV/0!</v>
      </c>
      <c r="T745" s="1708">
        <f>IF(A745='Data Entry - SOF'!B$2,'Data Entry - SOF'!K$64,0)</f>
        <v>0</v>
      </c>
      <c r="U745" s="1687">
        <f t="shared" si="142"/>
        <v>7048721</v>
      </c>
      <c r="V745" s="2212" t="e">
        <f>IF('Report-M&amp;O2122'!C$18-'Report-SOF2122'!D$55&lt;=0,0,'Report-M&amp;O2122'!C$18-'Report-SOF2122'!D$55)</f>
        <v>#DIV/0!</v>
      </c>
      <c r="W745" s="2452" t="e">
        <f t="shared" si="139"/>
        <v>#DIV/0!</v>
      </c>
      <c r="X745" s="1708">
        <f>IF(A745='Data Entry - SOF'!B$2,'Data Entry - SOF'!M$64,0)</f>
        <v>0</v>
      </c>
      <c r="Y745" s="1371" t="e">
        <f t="shared" si="140"/>
        <v>#DIV/0!</v>
      </c>
      <c r="Z745" s="2212" t="e">
        <f>IF('Report-M&amp;O2223'!C$18-'Report-SOF2223'!D$55&lt;=0,0,'Report-M&amp;O2223'!C$18-'Report-SOF2223'!D$55)</f>
        <v>#DIV/0!</v>
      </c>
      <c r="AA745" s="1708">
        <f>IF(A745='Data Entry - SOF'!B$2,'Data Entry - SOF'!O$64,0)</f>
        <v>0</v>
      </c>
    </row>
    <row r="746" spans="1:27" ht="15.75">
      <c r="A746" s="1076" t="s">
        <v>237</v>
      </c>
      <c r="B746">
        <v>15555232.7250895</v>
      </c>
      <c r="C746" s="2452" t="e">
        <f>#REF!+#REF!</f>
        <v>#REF!</v>
      </c>
      <c r="D746" s="2449">
        <f>IF(A746='Data Entry - SOF'!B$2,'Data Entry - SOF'!C$64,0)</f>
        <v>0</v>
      </c>
      <c r="E746" s="2450">
        <f t="shared" si="141"/>
        <v>15555232.7250895</v>
      </c>
      <c r="F746" s="2212" t="e">
        <f>IF('Report-M&amp;O1718'!C$18-'Report-SOF1718'!D$55&lt;=0,0,'Report-M&amp;O1718'!C$18-'Report-SOF1718'!D$55)</f>
        <v>#DIV/0!</v>
      </c>
      <c r="G746" s="2452" t="e">
        <f t="shared" si="133"/>
        <v>#DIV/0!</v>
      </c>
      <c r="H746" s="2449">
        <f>IF(A746='Data Entry - SOF'!B$2,'Data Entry - SOF'!E$64,0)</f>
        <v>0</v>
      </c>
      <c r="I746" s="1687">
        <f t="shared" si="134"/>
        <v>15555232.7250895</v>
      </c>
      <c r="J746" s="2212" t="e">
        <f>IF('Report-M&amp;O1819'!C$18-'Report-SOF1819'!D$55&lt;=0,0,'Report-M&amp;O1819'!C$18-'Report-SOF1819'!D$55)</f>
        <v>#DIV/0!</v>
      </c>
      <c r="K746" s="2452" t="e">
        <f t="shared" si="135"/>
        <v>#DIV/0!</v>
      </c>
      <c r="L746" s="2449">
        <f>IF(A746='Data Entry - SOF'!B$2,'Data Entry - SOF'!G$64,0)</f>
        <v>0</v>
      </c>
      <c r="M746" s="1371">
        <f t="shared" si="136"/>
        <v>15555232.7250895</v>
      </c>
      <c r="N746" s="2212" t="e">
        <f>IF('Report-M&amp;O1920'!C$18-'Report-SOF1920'!D$55&lt;=0,0,'Report-M&amp;O1920'!C$18-'Report-SOF1920'!D$55)</f>
        <v>#DIV/0!</v>
      </c>
      <c r="O746" s="2452" t="e">
        <f t="shared" si="137"/>
        <v>#DIV/0!</v>
      </c>
      <c r="P746" s="2449">
        <f>IF(A746='Data Entry - SOF'!B$2,'Data Entry - SOF'!I$64,0)</f>
        <v>0</v>
      </c>
      <c r="Q746" s="1687">
        <f t="shared" si="132"/>
        <v>15555232.7250895</v>
      </c>
      <c r="R746" s="2212" t="e">
        <f>IF('Report-M&amp;O2021'!C$18-'Report-SOF2021'!D$55&lt;=0,0,'Report-M&amp;O2021'!C$18-'Report-SOF2021'!D$55)</f>
        <v>#DIV/0!</v>
      </c>
      <c r="S746" s="2452" t="e">
        <f t="shared" si="138"/>
        <v>#DIV/0!</v>
      </c>
      <c r="T746" s="1708">
        <f>IF(A746='Data Entry - SOF'!B$2,'Data Entry - SOF'!K$64,0)</f>
        <v>0</v>
      </c>
      <c r="U746" s="1687">
        <f t="shared" si="142"/>
        <v>15555232.7250895</v>
      </c>
      <c r="V746" s="2212" t="e">
        <f>IF('Report-M&amp;O2122'!C$18-'Report-SOF2122'!D$55&lt;=0,0,'Report-M&amp;O2122'!C$18-'Report-SOF2122'!D$55)</f>
        <v>#DIV/0!</v>
      </c>
      <c r="W746" s="2452" t="e">
        <f t="shared" si="139"/>
        <v>#DIV/0!</v>
      </c>
      <c r="X746" s="1708">
        <f>IF(A746='Data Entry - SOF'!B$2,'Data Entry - SOF'!M$64,0)</f>
        <v>0</v>
      </c>
      <c r="Y746" s="1371" t="e">
        <f t="shared" si="140"/>
        <v>#DIV/0!</v>
      </c>
      <c r="Z746" s="2212" t="e">
        <f>IF('Report-M&amp;O2223'!C$18-'Report-SOF2223'!D$55&lt;=0,0,'Report-M&amp;O2223'!C$18-'Report-SOF2223'!D$55)</f>
        <v>#DIV/0!</v>
      </c>
      <c r="AA746" s="1708">
        <f>IF(A746='Data Entry - SOF'!B$2,'Data Entry - SOF'!O$64,0)</f>
        <v>0</v>
      </c>
    </row>
    <row r="747" spans="1:27" ht="15.75">
      <c r="A747" s="1076" t="s">
        <v>1097</v>
      </c>
      <c r="B747">
        <v>5589853</v>
      </c>
      <c r="C747" s="2452" t="e">
        <f>#REF!+#REF!</f>
        <v>#REF!</v>
      </c>
      <c r="D747" s="2449">
        <f>IF(A747='Data Entry - SOF'!B$2,'Data Entry - SOF'!C$64,0)</f>
        <v>0</v>
      </c>
      <c r="E747" s="2450">
        <f t="shared" si="141"/>
        <v>5589853</v>
      </c>
      <c r="F747" s="2212" t="e">
        <f>IF('Report-M&amp;O1718'!C$18-'Report-SOF1718'!D$55&lt;=0,0,'Report-M&amp;O1718'!C$18-'Report-SOF1718'!D$55)</f>
        <v>#DIV/0!</v>
      </c>
      <c r="G747" s="2452" t="e">
        <f t="shared" si="133"/>
        <v>#DIV/0!</v>
      </c>
      <c r="H747" s="2449">
        <f>IF(A747='Data Entry - SOF'!B$2,'Data Entry - SOF'!E$64,0)</f>
        <v>0</v>
      </c>
      <c r="I747" s="1687">
        <f t="shared" si="134"/>
        <v>5589853</v>
      </c>
      <c r="J747" s="2212" t="e">
        <f>IF('Report-M&amp;O1819'!C$18-'Report-SOF1819'!D$55&lt;=0,0,'Report-M&amp;O1819'!C$18-'Report-SOF1819'!D$55)</f>
        <v>#DIV/0!</v>
      </c>
      <c r="K747" s="2452" t="e">
        <f t="shared" si="135"/>
        <v>#DIV/0!</v>
      </c>
      <c r="L747" s="2449">
        <f>IF(A747='Data Entry - SOF'!B$2,'Data Entry - SOF'!G$64,0)</f>
        <v>0</v>
      </c>
      <c r="M747" s="1371">
        <f t="shared" si="136"/>
        <v>5589853</v>
      </c>
      <c r="N747" s="2212" t="e">
        <f>IF('Report-M&amp;O1920'!C$18-'Report-SOF1920'!D$55&lt;=0,0,'Report-M&amp;O1920'!C$18-'Report-SOF1920'!D$55)</f>
        <v>#DIV/0!</v>
      </c>
      <c r="O747" s="2452" t="e">
        <f t="shared" si="137"/>
        <v>#DIV/0!</v>
      </c>
      <c r="P747" s="2449">
        <f>IF(A747='Data Entry - SOF'!B$2,'Data Entry - SOF'!I$64,0)</f>
        <v>0</v>
      </c>
      <c r="Q747" s="1687">
        <f t="shared" si="132"/>
        <v>5589853</v>
      </c>
      <c r="R747" s="2212" t="e">
        <f>IF('Report-M&amp;O2021'!C$18-'Report-SOF2021'!D$55&lt;=0,0,'Report-M&amp;O2021'!C$18-'Report-SOF2021'!D$55)</f>
        <v>#DIV/0!</v>
      </c>
      <c r="S747" s="2452" t="e">
        <f t="shared" si="138"/>
        <v>#DIV/0!</v>
      </c>
      <c r="T747" s="1708">
        <f>IF(A747='Data Entry - SOF'!B$2,'Data Entry - SOF'!K$64,0)</f>
        <v>0</v>
      </c>
      <c r="U747" s="1687">
        <f t="shared" si="142"/>
        <v>5589853</v>
      </c>
      <c r="V747" s="2212" t="e">
        <f>IF('Report-M&amp;O2122'!C$18-'Report-SOF2122'!D$55&lt;=0,0,'Report-M&amp;O2122'!C$18-'Report-SOF2122'!D$55)</f>
        <v>#DIV/0!</v>
      </c>
      <c r="W747" s="2452" t="e">
        <f t="shared" si="139"/>
        <v>#DIV/0!</v>
      </c>
      <c r="X747" s="1708">
        <f>IF(A747='Data Entry - SOF'!B$2,'Data Entry - SOF'!M$64,0)</f>
        <v>0</v>
      </c>
      <c r="Y747" s="1371" t="e">
        <f t="shared" si="140"/>
        <v>#DIV/0!</v>
      </c>
      <c r="Z747" s="2212" t="e">
        <f>IF('Report-M&amp;O2223'!C$18-'Report-SOF2223'!D$55&lt;=0,0,'Report-M&amp;O2223'!C$18-'Report-SOF2223'!D$55)</f>
        <v>#DIV/0!</v>
      </c>
      <c r="AA747" s="1708">
        <f>IF(A747='Data Entry - SOF'!B$2,'Data Entry - SOF'!O$64,0)</f>
        <v>0</v>
      </c>
    </row>
    <row r="748" spans="1:27" ht="15.75">
      <c r="A748" s="1076" t="s">
        <v>1098</v>
      </c>
      <c r="B748">
        <v>1915841</v>
      </c>
      <c r="C748" s="2452" t="e">
        <f>#REF!+#REF!</f>
        <v>#REF!</v>
      </c>
      <c r="D748" s="2449">
        <f>IF(A748='Data Entry - SOF'!B$2,'Data Entry - SOF'!C$64,0)</f>
        <v>0</v>
      </c>
      <c r="E748" s="2450">
        <f t="shared" si="141"/>
        <v>1915841</v>
      </c>
      <c r="F748" s="2212" t="e">
        <f>IF('Report-M&amp;O1718'!C$18-'Report-SOF1718'!D$55&lt;=0,0,'Report-M&amp;O1718'!C$18-'Report-SOF1718'!D$55)</f>
        <v>#DIV/0!</v>
      </c>
      <c r="G748" s="2452" t="e">
        <f t="shared" si="133"/>
        <v>#DIV/0!</v>
      </c>
      <c r="H748" s="2449">
        <f>IF(A748='Data Entry - SOF'!B$2,'Data Entry - SOF'!E$64,0)</f>
        <v>0</v>
      </c>
      <c r="I748" s="1687">
        <f t="shared" si="134"/>
        <v>1915841</v>
      </c>
      <c r="J748" s="2212" t="e">
        <f>IF('Report-M&amp;O1819'!C$18-'Report-SOF1819'!D$55&lt;=0,0,'Report-M&amp;O1819'!C$18-'Report-SOF1819'!D$55)</f>
        <v>#DIV/0!</v>
      </c>
      <c r="K748" s="2452" t="e">
        <f t="shared" si="135"/>
        <v>#DIV/0!</v>
      </c>
      <c r="L748" s="2449">
        <f>IF(A748='Data Entry - SOF'!B$2,'Data Entry - SOF'!G$64,0)</f>
        <v>0</v>
      </c>
      <c r="M748" s="1371">
        <f t="shared" si="136"/>
        <v>1915841</v>
      </c>
      <c r="N748" s="2212" t="e">
        <f>IF('Report-M&amp;O1920'!C$18-'Report-SOF1920'!D$55&lt;=0,0,'Report-M&amp;O1920'!C$18-'Report-SOF1920'!D$55)</f>
        <v>#DIV/0!</v>
      </c>
      <c r="O748" s="2452" t="e">
        <f t="shared" si="137"/>
        <v>#DIV/0!</v>
      </c>
      <c r="P748" s="2449">
        <f>IF(A748='Data Entry - SOF'!B$2,'Data Entry - SOF'!I$64,0)</f>
        <v>0</v>
      </c>
      <c r="Q748" s="1687">
        <f t="shared" si="132"/>
        <v>1915841</v>
      </c>
      <c r="R748" s="2212" t="e">
        <f>IF('Report-M&amp;O2021'!C$18-'Report-SOF2021'!D$55&lt;=0,0,'Report-M&amp;O2021'!C$18-'Report-SOF2021'!D$55)</f>
        <v>#DIV/0!</v>
      </c>
      <c r="S748" s="2452" t="e">
        <f t="shared" si="138"/>
        <v>#DIV/0!</v>
      </c>
      <c r="T748" s="1708">
        <f>IF(A748='Data Entry - SOF'!B$2,'Data Entry - SOF'!K$64,0)</f>
        <v>0</v>
      </c>
      <c r="U748" s="1687">
        <f t="shared" si="142"/>
        <v>1915841</v>
      </c>
      <c r="V748" s="2212" t="e">
        <f>IF('Report-M&amp;O2122'!C$18-'Report-SOF2122'!D$55&lt;=0,0,'Report-M&amp;O2122'!C$18-'Report-SOF2122'!D$55)</f>
        <v>#DIV/0!</v>
      </c>
      <c r="W748" s="2452" t="e">
        <f t="shared" si="139"/>
        <v>#DIV/0!</v>
      </c>
      <c r="X748" s="1708">
        <f>IF(A748='Data Entry - SOF'!B$2,'Data Entry - SOF'!M$64,0)</f>
        <v>0</v>
      </c>
      <c r="Y748" s="1371" t="e">
        <f t="shared" si="140"/>
        <v>#DIV/0!</v>
      </c>
      <c r="Z748" s="2212" t="e">
        <f>IF('Report-M&amp;O2223'!C$18-'Report-SOF2223'!D$55&lt;=0,0,'Report-M&amp;O2223'!C$18-'Report-SOF2223'!D$55)</f>
        <v>#DIV/0!</v>
      </c>
      <c r="AA748" s="1708">
        <f>IF(A748='Data Entry - SOF'!B$2,'Data Entry - SOF'!O$64,0)</f>
        <v>0</v>
      </c>
    </row>
    <row r="749" spans="1:27" ht="15.75">
      <c r="A749" s="1076" t="s">
        <v>1099</v>
      </c>
      <c r="B749">
        <v>3920969.7468330101</v>
      </c>
      <c r="C749" s="2452" t="e">
        <f>#REF!+#REF!</f>
        <v>#REF!</v>
      </c>
      <c r="D749" s="2449">
        <f>IF(A749='Data Entry - SOF'!B$2,'Data Entry - SOF'!C$64,0)</f>
        <v>0</v>
      </c>
      <c r="E749" s="2450">
        <f t="shared" si="141"/>
        <v>3920969.7468330101</v>
      </c>
      <c r="F749" s="2212" t="e">
        <f>IF('Report-M&amp;O1718'!C$18-'Report-SOF1718'!D$55&lt;=0,0,'Report-M&amp;O1718'!C$18-'Report-SOF1718'!D$55)</f>
        <v>#DIV/0!</v>
      </c>
      <c r="G749" s="2452" t="e">
        <f t="shared" si="133"/>
        <v>#DIV/0!</v>
      </c>
      <c r="H749" s="2449">
        <f>IF(A749='Data Entry - SOF'!B$2,'Data Entry - SOF'!E$64,0)</f>
        <v>0</v>
      </c>
      <c r="I749" s="1687">
        <f t="shared" si="134"/>
        <v>3920969.7468330101</v>
      </c>
      <c r="J749" s="2212" t="e">
        <f>IF('Report-M&amp;O1819'!C$18-'Report-SOF1819'!D$55&lt;=0,0,'Report-M&amp;O1819'!C$18-'Report-SOF1819'!D$55)</f>
        <v>#DIV/0!</v>
      </c>
      <c r="K749" s="2452" t="e">
        <f t="shared" si="135"/>
        <v>#DIV/0!</v>
      </c>
      <c r="L749" s="2449">
        <f>IF(A749='Data Entry - SOF'!B$2,'Data Entry - SOF'!G$64,0)</f>
        <v>0</v>
      </c>
      <c r="M749" s="1371">
        <f t="shared" si="136"/>
        <v>3920969.7468330101</v>
      </c>
      <c r="N749" s="2212" t="e">
        <f>IF('Report-M&amp;O1920'!C$18-'Report-SOF1920'!D$55&lt;=0,0,'Report-M&amp;O1920'!C$18-'Report-SOF1920'!D$55)</f>
        <v>#DIV/0!</v>
      </c>
      <c r="O749" s="2452" t="e">
        <f t="shared" si="137"/>
        <v>#DIV/0!</v>
      </c>
      <c r="P749" s="2449">
        <f>IF(A749='Data Entry - SOF'!B$2,'Data Entry - SOF'!I$64,0)</f>
        <v>0</v>
      </c>
      <c r="Q749" s="1687">
        <f t="shared" si="132"/>
        <v>3920969.7468330101</v>
      </c>
      <c r="R749" s="2212" t="e">
        <f>IF('Report-M&amp;O2021'!C$18-'Report-SOF2021'!D$55&lt;=0,0,'Report-M&amp;O2021'!C$18-'Report-SOF2021'!D$55)</f>
        <v>#DIV/0!</v>
      </c>
      <c r="S749" s="2452" t="e">
        <f t="shared" si="138"/>
        <v>#DIV/0!</v>
      </c>
      <c r="T749" s="1708">
        <f>IF(A749='Data Entry - SOF'!B$2,'Data Entry - SOF'!K$64,0)</f>
        <v>0</v>
      </c>
      <c r="U749" s="1687">
        <f t="shared" si="142"/>
        <v>3920969.7468330101</v>
      </c>
      <c r="V749" s="2212" t="e">
        <f>IF('Report-M&amp;O2122'!C$18-'Report-SOF2122'!D$55&lt;=0,0,'Report-M&amp;O2122'!C$18-'Report-SOF2122'!D$55)</f>
        <v>#DIV/0!</v>
      </c>
      <c r="W749" s="2452" t="e">
        <f t="shared" si="139"/>
        <v>#DIV/0!</v>
      </c>
      <c r="X749" s="1708">
        <f>IF(A749='Data Entry - SOF'!B$2,'Data Entry - SOF'!M$64,0)</f>
        <v>0</v>
      </c>
      <c r="Y749" s="1371" t="e">
        <f t="shared" si="140"/>
        <v>#DIV/0!</v>
      </c>
      <c r="Z749" s="2212" t="e">
        <f>IF('Report-M&amp;O2223'!C$18-'Report-SOF2223'!D$55&lt;=0,0,'Report-M&amp;O2223'!C$18-'Report-SOF2223'!D$55)</f>
        <v>#DIV/0!</v>
      </c>
      <c r="AA749" s="1708">
        <f>IF(A749='Data Entry - SOF'!B$2,'Data Entry - SOF'!O$64,0)</f>
        <v>0</v>
      </c>
    </row>
    <row r="750" spans="1:27" ht="15.75">
      <c r="A750" s="1076" t="s">
        <v>2225</v>
      </c>
      <c r="B750">
        <v>8665443</v>
      </c>
      <c r="C750" s="2452" t="e">
        <f>#REF!+#REF!</f>
        <v>#REF!</v>
      </c>
      <c r="D750" s="2449">
        <f>IF(A750='Data Entry - SOF'!B$2,'Data Entry - SOF'!C$64,0)</f>
        <v>0</v>
      </c>
      <c r="E750" s="2450">
        <f t="shared" si="141"/>
        <v>8665443</v>
      </c>
      <c r="F750" s="2212" t="e">
        <f>IF('Report-M&amp;O1718'!C$18-'Report-SOF1718'!D$55&lt;=0,0,'Report-M&amp;O1718'!C$18-'Report-SOF1718'!D$55)</f>
        <v>#DIV/0!</v>
      </c>
      <c r="G750" s="2452" t="e">
        <f t="shared" si="133"/>
        <v>#DIV/0!</v>
      </c>
      <c r="H750" s="2449">
        <f>IF(A750='Data Entry - SOF'!B$2,'Data Entry - SOF'!E$64,0)</f>
        <v>0</v>
      </c>
      <c r="I750" s="1687">
        <f t="shared" si="134"/>
        <v>8665443</v>
      </c>
      <c r="J750" s="2212" t="e">
        <f>IF('Report-M&amp;O1819'!C$18-'Report-SOF1819'!D$55&lt;=0,0,'Report-M&amp;O1819'!C$18-'Report-SOF1819'!D$55)</f>
        <v>#DIV/0!</v>
      </c>
      <c r="K750" s="2452" t="e">
        <f t="shared" si="135"/>
        <v>#DIV/0!</v>
      </c>
      <c r="L750" s="2449">
        <f>IF(A750='Data Entry - SOF'!B$2,'Data Entry - SOF'!G$64,0)</f>
        <v>0</v>
      </c>
      <c r="M750" s="1371">
        <f t="shared" si="136"/>
        <v>8665443</v>
      </c>
      <c r="N750" s="2212" t="e">
        <f>IF('Report-M&amp;O1920'!C$18-'Report-SOF1920'!D$55&lt;=0,0,'Report-M&amp;O1920'!C$18-'Report-SOF1920'!D$55)</f>
        <v>#DIV/0!</v>
      </c>
      <c r="O750" s="2452" t="e">
        <f t="shared" si="137"/>
        <v>#DIV/0!</v>
      </c>
      <c r="P750" s="2449">
        <f>IF(A750='Data Entry - SOF'!B$2,'Data Entry - SOF'!I$64,0)</f>
        <v>0</v>
      </c>
      <c r="Q750" s="1687">
        <f t="shared" si="132"/>
        <v>8665443</v>
      </c>
      <c r="R750" s="2212" t="e">
        <f>IF('Report-M&amp;O2021'!C$18-'Report-SOF2021'!D$55&lt;=0,0,'Report-M&amp;O2021'!C$18-'Report-SOF2021'!D$55)</f>
        <v>#DIV/0!</v>
      </c>
      <c r="S750" s="2452" t="e">
        <f t="shared" si="138"/>
        <v>#DIV/0!</v>
      </c>
      <c r="T750" s="1708">
        <f>IF(A750='Data Entry - SOF'!B$2,'Data Entry - SOF'!K$64,0)</f>
        <v>0</v>
      </c>
      <c r="U750" s="1687">
        <f t="shared" si="142"/>
        <v>8665443</v>
      </c>
      <c r="V750" s="2212" t="e">
        <f>IF('Report-M&amp;O2122'!C$18-'Report-SOF2122'!D$55&lt;=0,0,'Report-M&amp;O2122'!C$18-'Report-SOF2122'!D$55)</f>
        <v>#DIV/0!</v>
      </c>
      <c r="W750" s="2452" t="e">
        <f t="shared" si="139"/>
        <v>#DIV/0!</v>
      </c>
      <c r="X750" s="1708">
        <f>IF(A750='Data Entry - SOF'!B$2,'Data Entry - SOF'!M$64,0)</f>
        <v>0</v>
      </c>
      <c r="Y750" s="1371" t="e">
        <f t="shared" si="140"/>
        <v>#DIV/0!</v>
      </c>
      <c r="Z750" s="2212" t="e">
        <f>IF('Report-M&amp;O2223'!C$18-'Report-SOF2223'!D$55&lt;=0,0,'Report-M&amp;O2223'!C$18-'Report-SOF2223'!D$55)</f>
        <v>#DIV/0!</v>
      </c>
      <c r="AA750" s="1708">
        <f>IF(A750='Data Entry - SOF'!B$2,'Data Entry - SOF'!O$64,0)</f>
        <v>0</v>
      </c>
    </row>
    <row r="751" spans="1:27" ht="15.75">
      <c r="A751" s="1076" t="s">
        <v>1100</v>
      </c>
      <c r="B751">
        <v>1628876</v>
      </c>
      <c r="C751" s="2452" t="e">
        <f>#REF!+#REF!</f>
        <v>#REF!</v>
      </c>
      <c r="D751" s="2449">
        <f>IF(A751='Data Entry - SOF'!B$2,'Data Entry - SOF'!C$64,0)</f>
        <v>0</v>
      </c>
      <c r="E751" s="2450">
        <f t="shared" si="141"/>
        <v>1628876</v>
      </c>
      <c r="F751" s="2212" t="e">
        <f>IF('Report-M&amp;O1718'!C$18-'Report-SOF1718'!D$55&lt;=0,0,'Report-M&amp;O1718'!C$18-'Report-SOF1718'!D$55)</f>
        <v>#DIV/0!</v>
      </c>
      <c r="G751" s="2452" t="e">
        <f t="shared" si="133"/>
        <v>#DIV/0!</v>
      </c>
      <c r="H751" s="2449">
        <f>IF(A751='Data Entry - SOF'!B$2,'Data Entry - SOF'!E$64,0)</f>
        <v>0</v>
      </c>
      <c r="I751" s="1687">
        <f t="shared" si="134"/>
        <v>1628876</v>
      </c>
      <c r="J751" s="2212" t="e">
        <f>IF('Report-M&amp;O1819'!C$18-'Report-SOF1819'!D$55&lt;=0,0,'Report-M&amp;O1819'!C$18-'Report-SOF1819'!D$55)</f>
        <v>#DIV/0!</v>
      </c>
      <c r="K751" s="2452" t="e">
        <f t="shared" si="135"/>
        <v>#DIV/0!</v>
      </c>
      <c r="L751" s="2449">
        <f>IF(A751='Data Entry - SOF'!B$2,'Data Entry - SOF'!G$64,0)</f>
        <v>0</v>
      </c>
      <c r="M751" s="1371">
        <f t="shared" si="136"/>
        <v>1628876</v>
      </c>
      <c r="N751" s="2212" t="e">
        <f>IF('Report-M&amp;O1920'!C$18-'Report-SOF1920'!D$55&lt;=0,0,'Report-M&amp;O1920'!C$18-'Report-SOF1920'!D$55)</f>
        <v>#DIV/0!</v>
      </c>
      <c r="O751" s="2452" t="e">
        <f t="shared" si="137"/>
        <v>#DIV/0!</v>
      </c>
      <c r="P751" s="2449">
        <f>IF(A751='Data Entry - SOF'!B$2,'Data Entry - SOF'!I$64,0)</f>
        <v>0</v>
      </c>
      <c r="Q751" s="1687">
        <f t="shared" si="132"/>
        <v>1628876</v>
      </c>
      <c r="R751" s="2212" t="e">
        <f>IF('Report-M&amp;O2021'!C$18-'Report-SOF2021'!D$55&lt;=0,0,'Report-M&amp;O2021'!C$18-'Report-SOF2021'!D$55)</f>
        <v>#DIV/0!</v>
      </c>
      <c r="S751" s="2452" t="e">
        <f t="shared" si="138"/>
        <v>#DIV/0!</v>
      </c>
      <c r="T751" s="1708">
        <f>IF(A751='Data Entry - SOF'!B$2,'Data Entry - SOF'!K$64,0)</f>
        <v>0</v>
      </c>
      <c r="U751" s="1687">
        <f t="shared" si="142"/>
        <v>1628876</v>
      </c>
      <c r="V751" s="2212" t="e">
        <f>IF('Report-M&amp;O2122'!C$18-'Report-SOF2122'!D$55&lt;=0,0,'Report-M&amp;O2122'!C$18-'Report-SOF2122'!D$55)</f>
        <v>#DIV/0!</v>
      </c>
      <c r="W751" s="2452" t="e">
        <f t="shared" si="139"/>
        <v>#DIV/0!</v>
      </c>
      <c r="X751" s="1708">
        <f>IF(A751='Data Entry - SOF'!B$2,'Data Entry - SOF'!M$64,0)</f>
        <v>0</v>
      </c>
      <c r="Y751" s="1371" t="e">
        <f t="shared" si="140"/>
        <v>#DIV/0!</v>
      </c>
      <c r="Z751" s="2212" t="e">
        <f>IF('Report-M&amp;O2223'!C$18-'Report-SOF2223'!D$55&lt;=0,0,'Report-M&amp;O2223'!C$18-'Report-SOF2223'!D$55)</f>
        <v>#DIV/0!</v>
      </c>
      <c r="AA751" s="1708">
        <f>IF(A751='Data Entry - SOF'!B$2,'Data Entry - SOF'!O$64,0)</f>
        <v>0</v>
      </c>
    </row>
    <row r="752" spans="1:27" ht="15.75">
      <c r="A752" s="1076" t="s">
        <v>1101</v>
      </c>
      <c r="B752">
        <v>22591101</v>
      </c>
      <c r="C752" s="2452" t="e">
        <f>#REF!+#REF!</f>
        <v>#REF!</v>
      </c>
      <c r="D752" s="2449">
        <f>IF(A752='Data Entry - SOF'!B$2,'Data Entry - SOF'!C$64,0)</f>
        <v>0</v>
      </c>
      <c r="E752" s="2450">
        <f t="shared" si="141"/>
        <v>22591101</v>
      </c>
      <c r="F752" s="2212" t="e">
        <f>IF('Report-M&amp;O1718'!C$18-'Report-SOF1718'!D$55&lt;=0,0,'Report-M&amp;O1718'!C$18-'Report-SOF1718'!D$55)</f>
        <v>#DIV/0!</v>
      </c>
      <c r="G752" s="2452" t="e">
        <f t="shared" si="133"/>
        <v>#DIV/0!</v>
      </c>
      <c r="H752" s="2449">
        <f>IF(A752='Data Entry - SOF'!B$2,'Data Entry - SOF'!E$64,0)</f>
        <v>0</v>
      </c>
      <c r="I752" s="1687">
        <f t="shared" si="134"/>
        <v>22591101</v>
      </c>
      <c r="J752" s="2212" t="e">
        <f>IF('Report-M&amp;O1819'!C$18-'Report-SOF1819'!D$55&lt;=0,0,'Report-M&amp;O1819'!C$18-'Report-SOF1819'!D$55)</f>
        <v>#DIV/0!</v>
      </c>
      <c r="K752" s="2452" t="e">
        <f t="shared" si="135"/>
        <v>#DIV/0!</v>
      </c>
      <c r="L752" s="2449">
        <f>IF(A752='Data Entry - SOF'!B$2,'Data Entry - SOF'!G$64,0)</f>
        <v>0</v>
      </c>
      <c r="M752" s="1371">
        <f t="shared" si="136"/>
        <v>22591101</v>
      </c>
      <c r="N752" s="2212" t="e">
        <f>IF('Report-M&amp;O1920'!C$18-'Report-SOF1920'!D$55&lt;=0,0,'Report-M&amp;O1920'!C$18-'Report-SOF1920'!D$55)</f>
        <v>#DIV/0!</v>
      </c>
      <c r="O752" s="2452" t="e">
        <f t="shared" si="137"/>
        <v>#DIV/0!</v>
      </c>
      <c r="P752" s="2449">
        <f>IF(A752='Data Entry - SOF'!B$2,'Data Entry - SOF'!I$64,0)</f>
        <v>0</v>
      </c>
      <c r="Q752" s="1687">
        <f t="shared" si="132"/>
        <v>22591101</v>
      </c>
      <c r="R752" s="2212" t="e">
        <f>IF('Report-M&amp;O2021'!C$18-'Report-SOF2021'!D$55&lt;=0,0,'Report-M&amp;O2021'!C$18-'Report-SOF2021'!D$55)</f>
        <v>#DIV/0!</v>
      </c>
      <c r="S752" s="2452" t="e">
        <f t="shared" si="138"/>
        <v>#DIV/0!</v>
      </c>
      <c r="T752" s="1708">
        <f>IF(A752='Data Entry - SOF'!B$2,'Data Entry - SOF'!K$64,0)</f>
        <v>0</v>
      </c>
      <c r="U752" s="1687">
        <f t="shared" si="142"/>
        <v>22591101</v>
      </c>
      <c r="V752" s="2212" t="e">
        <f>IF('Report-M&amp;O2122'!C$18-'Report-SOF2122'!D$55&lt;=0,0,'Report-M&amp;O2122'!C$18-'Report-SOF2122'!D$55)</f>
        <v>#DIV/0!</v>
      </c>
      <c r="W752" s="2452" t="e">
        <f t="shared" si="139"/>
        <v>#DIV/0!</v>
      </c>
      <c r="X752" s="1708">
        <f>IF(A752='Data Entry - SOF'!B$2,'Data Entry - SOF'!M$64,0)</f>
        <v>0</v>
      </c>
      <c r="Y752" s="1371" t="e">
        <f t="shared" si="140"/>
        <v>#DIV/0!</v>
      </c>
      <c r="Z752" s="2212" t="e">
        <f>IF('Report-M&amp;O2223'!C$18-'Report-SOF2223'!D$55&lt;=0,0,'Report-M&amp;O2223'!C$18-'Report-SOF2223'!D$55)</f>
        <v>#DIV/0!</v>
      </c>
      <c r="AA752" s="1708">
        <f>IF(A752='Data Entry - SOF'!B$2,'Data Entry - SOF'!O$64,0)</f>
        <v>0</v>
      </c>
    </row>
    <row r="753" spans="1:27" ht="15.75">
      <c r="A753" s="1076" t="s">
        <v>1655</v>
      </c>
      <c r="B753">
        <v>4481084</v>
      </c>
      <c r="C753" s="2452" t="e">
        <f>#REF!+#REF!</f>
        <v>#REF!</v>
      </c>
      <c r="D753" s="2449">
        <f>IF(A753='Data Entry - SOF'!B$2,'Data Entry - SOF'!C$64,0)</f>
        <v>0</v>
      </c>
      <c r="E753" s="2450">
        <f t="shared" si="141"/>
        <v>4481084</v>
      </c>
      <c r="F753" s="2212" t="e">
        <f>IF('Report-M&amp;O1718'!C$18-'Report-SOF1718'!D$55&lt;=0,0,'Report-M&amp;O1718'!C$18-'Report-SOF1718'!D$55)</f>
        <v>#DIV/0!</v>
      </c>
      <c r="G753" s="2452" t="e">
        <f t="shared" si="133"/>
        <v>#DIV/0!</v>
      </c>
      <c r="H753" s="2449">
        <f>IF(A753='Data Entry - SOF'!B$2,'Data Entry - SOF'!E$64,0)</f>
        <v>0</v>
      </c>
      <c r="I753" s="1687">
        <f t="shared" si="134"/>
        <v>4481084</v>
      </c>
      <c r="J753" s="2212" t="e">
        <f>IF('Report-M&amp;O1819'!C$18-'Report-SOF1819'!D$55&lt;=0,0,'Report-M&amp;O1819'!C$18-'Report-SOF1819'!D$55)</f>
        <v>#DIV/0!</v>
      </c>
      <c r="K753" s="2452" t="e">
        <f t="shared" si="135"/>
        <v>#DIV/0!</v>
      </c>
      <c r="L753" s="2449">
        <f>IF(A753='Data Entry - SOF'!B$2,'Data Entry - SOF'!G$64,0)</f>
        <v>0</v>
      </c>
      <c r="M753" s="1371">
        <f t="shared" si="136"/>
        <v>4481084</v>
      </c>
      <c r="N753" s="2212" t="e">
        <f>IF('Report-M&amp;O1920'!C$18-'Report-SOF1920'!D$55&lt;=0,0,'Report-M&amp;O1920'!C$18-'Report-SOF1920'!D$55)</f>
        <v>#DIV/0!</v>
      </c>
      <c r="O753" s="2452" t="e">
        <f t="shared" si="137"/>
        <v>#DIV/0!</v>
      </c>
      <c r="P753" s="2449">
        <f>IF(A753='Data Entry - SOF'!B$2,'Data Entry - SOF'!I$64,0)</f>
        <v>0</v>
      </c>
      <c r="Q753" s="1687">
        <f t="shared" si="132"/>
        <v>4481084</v>
      </c>
      <c r="R753" s="2212" t="e">
        <f>IF('Report-M&amp;O2021'!C$18-'Report-SOF2021'!D$55&lt;=0,0,'Report-M&amp;O2021'!C$18-'Report-SOF2021'!D$55)</f>
        <v>#DIV/0!</v>
      </c>
      <c r="S753" s="2452" t="e">
        <f t="shared" si="138"/>
        <v>#DIV/0!</v>
      </c>
      <c r="T753" s="1708">
        <f>IF(A753='Data Entry - SOF'!B$2,'Data Entry - SOF'!K$64,0)</f>
        <v>0</v>
      </c>
      <c r="U753" s="1687">
        <f t="shared" si="142"/>
        <v>4481084</v>
      </c>
      <c r="V753" s="2212" t="e">
        <f>IF('Report-M&amp;O2122'!C$18-'Report-SOF2122'!D$55&lt;=0,0,'Report-M&amp;O2122'!C$18-'Report-SOF2122'!D$55)</f>
        <v>#DIV/0!</v>
      </c>
      <c r="W753" s="2452" t="e">
        <f t="shared" si="139"/>
        <v>#DIV/0!</v>
      </c>
      <c r="X753" s="1708">
        <f>IF(A753='Data Entry - SOF'!B$2,'Data Entry - SOF'!M$64,0)</f>
        <v>0</v>
      </c>
      <c r="Y753" s="1371" t="e">
        <f t="shared" si="140"/>
        <v>#DIV/0!</v>
      </c>
      <c r="Z753" s="2212" t="e">
        <f>IF('Report-M&amp;O2223'!C$18-'Report-SOF2223'!D$55&lt;=0,0,'Report-M&amp;O2223'!C$18-'Report-SOF2223'!D$55)</f>
        <v>#DIV/0!</v>
      </c>
      <c r="AA753" s="1708">
        <f>IF(A753='Data Entry - SOF'!B$2,'Data Entry - SOF'!O$64,0)</f>
        <v>0</v>
      </c>
    </row>
    <row r="754" spans="1:27" ht="15.75">
      <c r="A754" s="1076" t="s">
        <v>1248</v>
      </c>
      <c r="B754">
        <v>7303240</v>
      </c>
      <c r="C754" s="2452" t="e">
        <f>#REF!+#REF!</f>
        <v>#REF!</v>
      </c>
      <c r="D754" s="2449">
        <f>IF(A754='Data Entry - SOF'!B$2,'Data Entry - SOF'!C$64,0)</f>
        <v>0</v>
      </c>
      <c r="E754" s="2450">
        <f t="shared" si="141"/>
        <v>7303240</v>
      </c>
      <c r="F754" s="2212" t="e">
        <f>IF('Report-M&amp;O1718'!C$18-'Report-SOF1718'!D$55&lt;=0,0,'Report-M&amp;O1718'!C$18-'Report-SOF1718'!D$55)</f>
        <v>#DIV/0!</v>
      </c>
      <c r="G754" s="2452" t="e">
        <f t="shared" si="133"/>
        <v>#DIV/0!</v>
      </c>
      <c r="H754" s="2449">
        <f>IF(A754='Data Entry - SOF'!B$2,'Data Entry - SOF'!E$64,0)</f>
        <v>0</v>
      </c>
      <c r="I754" s="1687">
        <f t="shared" si="134"/>
        <v>7303240</v>
      </c>
      <c r="J754" s="2212" t="e">
        <f>IF('Report-M&amp;O1819'!C$18-'Report-SOF1819'!D$55&lt;=0,0,'Report-M&amp;O1819'!C$18-'Report-SOF1819'!D$55)</f>
        <v>#DIV/0!</v>
      </c>
      <c r="K754" s="2452" t="e">
        <f t="shared" si="135"/>
        <v>#DIV/0!</v>
      </c>
      <c r="L754" s="2449">
        <f>IF(A754='Data Entry - SOF'!B$2,'Data Entry - SOF'!G$64,0)</f>
        <v>0</v>
      </c>
      <c r="M754" s="1371">
        <f t="shared" si="136"/>
        <v>7303240</v>
      </c>
      <c r="N754" s="2212" t="e">
        <f>IF('Report-M&amp;O1920'!C$18-'Report-SOF1920'!D$55&lt;=0,0,'Report-M&amp;O1920'!C$18-'Report-SOF1920'!D$55)</f>
        <v>#DIV/0!</v>
      </c>
      <c r="O754" s="2452" t="e">
        <f t="shared" si="137"/>
        <v>#DIV/0!</v>
      </c>
      <c r="P754" s="2449">
        <f>IF(A754='Data Entry - SOF'!B$2,'Data Entry - SOF'!I$64,0)</f>
        <v>0</v>
      </c>
      <c r="Q754" s="1687">
        <f t="shared" si="132"/>
        <v>7303240</v>
      </c>
      <c r="R754" s="2212" t="e">
        <f>IF('Report-M&amp;O2021'!C$18-'Report-SOF2021'!D$55&lt;=0,0,'Report-M&amp;O2021'!C$18-'Report-SOF2021'!D$55)</f>
        <v>#DIV/0!</v>
      </c>
      <c r="S754" s="2452" t="e">
        <f t="shared" si="138"/>
        <v>#DIV/0!</v>
      </c>
      <c r="T754" s="1708">
        <f>IF(A754='Data Entry - SOF'!B$2,'Data Entry - SOF'!K$64,0)</f>
        <v>0</v>
      </c>
      <c r="U754" s="1687">
        <f t="shared" si="142"/>
        <v>7303240</v>
      </c>
      <c r="V754" s="2212" t="e">
        <f>IF('Report-M&amp;O2122'!C$18-'Report-SOF2122'!D$55&lt;=0,0,'Report-M&amp;O2122'!C$18-'Report-SOF2122'!D$55)</f>
        <v>#DIV/0!</v>
      </c>
      <c r="W754" s="2452" t="e">
        <f t="shared" si="139"/>
        <v>#DIV/0!</v>
      </c>
      <c r="X754" s="1708">
        <f>IF(A754='Data Entry - SOF'!B$2,'Data Entry - SOF'!M$64,0)</f>
        <v>0</v>
      </c>
      <c r="Y754" s="1371" t="e">
        <f t="shared" si="140"/>
        <v>#DIV/0!</v>
      </c>
      <c r="Z754" s="2212" t="e">
        <f>IF('Report-M&amp;O2223'!C$18-'Report-SOF2223'!D$55&lt;=0,0,'Report-M&amp;O2223'!C$18-'Report-SOF2223'!D$55)</f>
        <v>#DIV/0!</v>
      </c>
      <c r="AA754" s="1708">
        <f>IF(A754='Data Entry - SOF'!B$2,'Data Entry - SOF'!O$64,0)</f>
        <v>0</v>
      </c>
    </row>
    <row r="755" spans="1:27" ht="15.75">
      <c r="A755" s="1076" t="s">
        <v>1249</v>
      </c>
      <c r="B755">
        <v>739348</v>
      </c>
      <c r="C755" s="2452" t="e">
        <f>#REF!+#REF!</f>
        <v>#REF!</v>
      </c>
      <c r="D755" s="2449">
        <f>IF(A755='Data Entry - SOF'!B$2,'Data Entry - SOF'!C$64,0)</f>
        <v>0</v>
      </c>
      <c r="E755" s="2450">
        <f t="shared" si="141"/>
        <v>739348</v>
      </c>
      <c r="F755" s="2212" t="e">
        <f>IF('Report-M&amp;O1718'!C$18-'Report-SOF1718'!D$55&lt;=0,0,'Report-M&amp;O1718'!C$18-'Report-SOF1718'!D$55)</f>
        <v>#DIV/0!</v>
      </c>
      <c r="G755" s="2452" t="e">
        <f t="shared" si="133"/>
        <v>#DIV/0!</v>
      </c>
      <c r="H755" s="2449">
        <f>IF(A755='Data Entry - SOF'!B$2,'Data Entry - SOF'!E$64,0)</f>
        <v>0</v>
      </c>
      <c r="I755" s="1687">
        <f t="shared" si="134"/>
        <v>739348</v>
      </c>
      <c r="J755" s="2212" t="e">
        <f>IF('Report-M&amp;O1819'!C$18-'Report-SOF1819'!D$55&lt;=0,0,'Report-M&amp;O1819'!C$18-'Report-SOF1819'!D$55)</f>
        <v>#DIV/0!</v>
      </c>
      <c r="K755" s="2452" t="e">
        <f t="shared" si="135"/>
        <v>#DIV/0!</v>
      </c>
      <c r="L755" s="2449">
        <f>IF(A755='Data Entry - SOF'!B$2,'Data Entry - SOF'!G$64,0)</f>
        <v>0</v>
      </c>
      <c r="M755" s="1371">
        <f t="shared" si="136"/>
        <v>739348</v>
      </c>
      <c r="N755" s="2212" t="e">
        <f>IF('Report-M&amp;O1920'!C$18-'Report-SOF1920'!D$55&lt;=0,0,'Report-M&amp;O1920'!C$18-'Report-SOF1920'!D$55)</f>
        <v>#DIV/0!</v>
      </c>
      <c r="O755" s="2452" t="e">
        <f t="shared" si="137"/>
        <v>#DIV/0!</v>
      </c>
      <c r="P755" s="2449">
        <f>IF(A755='Data Entry - SOF'!B$2,'Data Entry - SOF'!I$64,0)</f>
        <v>0</v>
      </c>
      <c r="Q755" s="1687">
        <f t="shared" si="132"/>
        <v>739348</v>
      </c>
      <c r="R755" s="2212" t="e">
        <f>IF('Report-M&amp;O2021'!C$18-'Report-SOF2021'!D$55&lt;=0,0,'Report-M&amp;O2021'!C$18-'Report-SOF2021'!D$55)</f>
        <v>#DIV/0!</v>
      </c>
      <c r="S755" s="2452" t="e">
        <f t="shared" si="138"/>
        <v>#DIV/0!</v>
      </c>
      <c r="T755" s="1708">
        <f>IF(A755='Data Entry - SOF'!B$2,'Data Entry - SOF'!K$64,0)</f>
        <v>0</v>
      </c>
      <c r="U755" s="1687">
        <f t="shared" si="142"/>
        <v>739348</v>
      </c>
      <c r="V755" s="2212" t="e">
        <f>IF('Report-M&amp;O2122'!C$18-'Report-SOF2122'!D$55&lt;=0,0,'Report-M&amp;O2122'!C$18-'Report-SOF2122'!D$55)</f>
        <v>#DIV/0!</v>
      </c>
      <c r="W755" s="2452" t="e">
        <f t="shared" si="139"/>
        <v>#DIV/0!</v>
      </c>
      <c r="X755" s="1708">
        <f>IF(A755='Data Entry - SOF'!B$2,'Data Entry - SOF'!M$64,0)</f>
        <v>0</v>
      </c>
      <c r="Y755" s="1371" t="e">
        <f t="shared" si="140"/>
        <v>#DIV/0!</v>
      </c>
      <c r="Z755" s="2212" t="e">
        <f>IF('Report-M&amp;O2223'!C$18-'Report-SOF2223'!D$55&lt;=0,0,'Report-M&amp;O2223'!C$18-'Report-SOF2223'!D$55)</f>
        <v>#DIV/0!</v>
      </c>
      <c r="AA755" s="1708">
        <f>IF(A755='Data Entry - SOF'!B$2,'Data Entry - SOF'!O$64,0)</f>
        <v>0</v>
      </c>
    </row>
    <row r="756" spans="1:27" ht="15.75">
      <c r="A756" s="1076" t="s">
        <v>1250</v>
      </c>
      <c r="B756">
        <v>3983906</v>
      </c>
      <c r="C756" s="2452" t="e">
        <f>#REF!+#REF!</f>
        <v>#REF!</v>
      </c>
      <c r="D756" s="2449">
        <f>IF(A756='Data Entry - SOF'!B$2,'Data Entry - SOF'!C$64,0)</f>
        <v>0</v>
      </c>
      <c r="E756" s="2450">
        <f t="shared" si="141"/>
        <v>3983906</v>
      </c>
      <c r="F756" s="2212" t="e">
        <f>IF('Report-M&amp;O1718'!C$18-'Report-SOF1718'!D$55&lt;=0,0,'Report-M&amp;O1718'!C$18-'Report-SOF1718'!D$55)</f>
        <v>#DIV/0!</v>
      </c>
      <c r="G756" s="2452" t="e">
        <f t="shared" si="133"/>
        <v>#DIV/0!</v>
      </c>
      <c r="H756" s="2449">
        <f>IF(A756='Data Entry - SOF'!B$2,'Data Entry - SOF'!E$64,0)</f>
        <v>0</v>
      </c>
      <c r="I756" s="1687">
        <f t="shared" si="134"/>
        <v>3983906</v>
      </c>
      <c r="J756" s="2212" t="e">
        <f>IF('Report-M&amp;O1819'!C$18-'Report-SOF1819'!D$55&lt;=0,0,'Report-M&amp;O1819'!C$18-'Report-SOF1819'!D$55)</f>
        <v>#DIV/0!</v>
      </c>
      <c r="K756" s="2452" t="e">
        <f t="shared" si="135"/>
        <v>#DIV/0!</v>
      </c>
      <c r="L756" s="2449">
        <f>IF(A756='Data Entry - SOF'!B$2,'Data Entry - SOF'!G$64,0)</f>
        <v>0</v>
      </c>
      <c r="M756" s="1371">
        <f t="shared" si="136"/>
        <v>3983906</v>
      </c>
      <c r="N756" s="2212" t="e">
        <f>IF('Report-M&amp;O1920'!C$18-'Report-SOF1920'!D$55&lt;=0,0,'Report-M&amp;O1920'!C$18-'Report-SOF1920'!D$55)</f>
        <v>#DIV/0!</v>
      </c>
      <c r="O756" s="2452" t="e">
        <f t="shared" si="137"/>
        <v>#DIV/0!</v>
      </c>
      <c r="P756" s="2449">
        <f>IF(A756='Data Entry - SOF'!B$2,'Data Entry - SOF'!I$64,0)</f>
        <v>0</v>
      </c>
      <c r="Q756" s="1687">
        <f t="shared" si="132"/>
        <v>3983906</v>
      </c>
      <c r="R756" s="2212" t="e">
        <f>IF('Report-M&amp;O2021'!C$18-'Report-SOF2021'!D$55&lt;=0,0,'Report-M&amp;O2021'!C$18-'Report-SOF2021'!D$55)</f>
        <v>#DIV/0!</v>
      </c>
      <c r="S756" s="2452" t="e">
        <f t="shared" si="138"/>
        <v>#DIV/0!</v>
      </c>
      <c r="T756" s="1708">
        <f>IF(A756='Data Entry - SOF'!B$2,'Data Entry - SOF'!K$64,0)</f>
        <v>0</v>
      </c>
      <c r="U756" s="1687">
        <f t="shared" si="142"/>
        <v>3983906</v>
      </c>
      <c r="V756" s="2212" t="e">
        <f>IF('Report-M&amp;O2122'!C$18-'Report-SOF2122'!D$55&lt;=0,0,'Report-M&amp;O2122'!C$18-'Report-SOF2122'!D$55)</f>
        <v>#DIV/0!</v>
      </c>
      <c r="W756" s="2452" t="e">
        <f t="shared" si="139"/>
        <v>#DIV/0!</v>
      </c>
      <c r="X756" s="1708">
        <f>IF(A756='Data Entry - SOF'!B$2,'Data Entry - SOF'!M$64,0)</f>
        <v>0</v>
      </c>
      <c r="Y756" s="1371" t="e">
        <f t="shared" si="140"/>
        <v>#DIV/0!</v>
      </c>
      <c r="Z756" s="2212" t="e">
        <f>IF('Report-M&amp;O2223'!C$18-'Report-SOF2223'!D$55&lt;=0,0,'Report-M&amp;O2223'!C$18-'Report-SOF2223'!D$55)</f>
        <v>#DIV/0!</v>
      </c>
      <c r="AA756" s="1708">
        <f>IF(A756='Data Entry - SOF'!B$2,'Data Entry - SOF'!O$64,0)</f>
        <v>0</v>
      </c>
    </row>
    <row r="757" spans="1:27" ht="15.75">
      <c r="A757" s="1076" t="s">
        <v>2902</v>
      </c>
      <c r="B757">
        <v>3297359</v>
      </c>
      <c r="C757" s="2452" t="e">
        <f>#REF!+#REF!</f>
        <v>#REF!</v>
      </c>
      <c r="D757" s="2449">
        <f>IF(A757='Data Entry - SOF'!B$2,'Data Entry - SOF'!C$64,0)</f>
        <v>0</v>
      </c>
      <c r="E757" s="2450">
        <f t="shared" si="141"/>
        <v>3297359</v>
      </c>
      <c r="F757" s="2212" t="e">
        <f>IF('Report-M&amp;O1718'!C$18-'Report-SOF1718'!D$55&lt;=0,0,'Report-M&amp;O1718'!C$18-'Report-SOF1718'!D$55)</f>
        <v>#DIV/0!</v>
      </c>
      <c r="G757" s="2452" t="e">
        <f t="shared" si="133"/>
        <v>#DIV/0!</v>
      </c>
      <c r="H757" s="2449">
        <f>IF(A757='Data Entry - SOF'!B$2,'Data Entry - SOF'!E$64,0)</f>
        <v>0</v>
      </c>
      <c r="I757" s="1687">
        <f t="shared" si="134"/>
        <v>3297359</v>
      </c>
      <c r="J757" s="2212" t="e">
        <f>IF('Report-M&amp;O1819'!C$18-'Report-SOF1819'!D$55&lt;=0,0,'Report-M&amp;O1819'!C$18-'Report-SOF1819'!D$55)</f>
        <v>#DIV/0!</v>
      </c>
      <c r="K757" s="2452" t="e">
        <f t="shared" si="135"/>
        <v>#DIV/0!</v>
      </c>
      <c r="L757" s="2449">
        <f>IF(A757='Data Entry - SOF'!B$2,'Data Entry - SOF'!G$64,0)</f>
        <v>0</v>
      </c>
      <c r="M757" s="1371">
        <f t="shared" si="136"/>
        <v>3297359</v>
      </c>
      <c r="N757" s="2212" t="e">
        <f>IF('Report-M&amp;O1920'!C$18-'Report-SOF1920'!D$55&lt;=0,0,'Report-M&amp;O1920'!C$18-'Report-SOF1920'!D$55)</f>
        <v>#DIV/0!</v>
      </c>
      <c r="O757" s="2452" t="e">
        <f t="shared" si="137"/>
        <v>#DIV/0!</v>
      </c>
      <c r="P757" s="2449">
        <f>IF(A757='Data Entry - SOF'!B$2,'Data Entry - SOF'!I$64,0)</f>
        <v>0</v>
      </c>
      <c r="Q757" s="1687">
        <f t="shared" si="132"/>
        <v>3297359</v>
      </c>
      <c r="R757" s="2212" t="e">
        <f>IF('Report-M&amp;O2021'!C$18-'Report-SOF2021'!D$55&lt;=0,0,'Report-M&amp;O2021'!C$18-'Report-SOF2021'!D$55)</f>
        <v>#DIV/0!</v>
      </c>
      <c r="S757" s="2452" t="e">
        <f t="shared" si="138"/>
        <v>#DIV/0!</v>
      </c>
      <c r="T757" s="1708">
        <f>IF(A757='Data Entry - SOF'!B$2,'Data Entry - SOF'!K$64,0)</f>
        <v>0</v>
      </c>
      <c r="U757" s="1687">
        <f t="shared" si="142"/>
        <v>3297359</v>
      </c>
      <c r="V757" s="2212" t="e">
        <f>IF('Report-M&amp;O2122'!C$18-'Report-SOF2122'!D$55&lt;=0,0,'Report-M&amp;O2122'!C$18-'Report-SOF2122'!D$55)</f>
        <v>#DIV/0!</v>
      </c>
      <c r="W757" s="2452" t="e">
        <f t="shared" si="139"/>
        <v>#DIV/0!</v>
      </c>
      <c r="X757" s="1708">
        <f>IF(A757='Data Entry - SOF'!B$2,'Data Entry - SOF'!M$64,0)</f>
        <v>0</v>
      </c>
      <c r="Y757" s="1371" t="e">
        <f t="shared" si="140"/>
        <v>#DIV/0!</v>
      </c>
      <c r="Z757" s="2212" t="e">
        <f>IF('Report-M&amp;O2223'!C$18-'Report-SOF2223'!D$55&lt;=0,0,'Report-M&amp;O2223'!C$18-'Report-SOF2223'!D$55)</f>
        <v>#DIV/0!</v>
      </c>
      <c r="AA757" s="1708">
        <f>IF(A757='Data Entry - SOF'!B$2,'Data Entry - SOF'!O$64,0)</f>
        <v>0</v>
      </c>
    </row>
    <row r="758" spans="1:27" ht="15.75">
      <c r="A758" s="1076" t="s">
        <v>1529</v>
      </c>
      <c r="B758">
        <v>2532043</v>
      </c>
      <c r="C758" s="2452" t="e">
        <f>#REF!+#REF!</f>
        <v>#REF!</v>
      </c>
      <c r="D758" s="2449">
        <f>IF(A758='Data Entry - SOF'!B$2,'Data Entry - SOF'!C$64,0)</f>
        <v>0</v>
      </c>
      <c r="E758" s="2450">
        <f t="shared" si="141"/>
        <v>2532043</v>
      </c>
      <c r="F758" s="2212" t="e">
        <f>IF('Report-M&amp;O1718'!C$18-'Report-SOF1718'!D$55&lt;=0,0,'Report-M&amp;O1718'!C$18-'Report-SOF1718'!D$55)</f>
        <v>#DIV/0!</v>
      </c>
      <c r="G758" s="2452" t="e">
        <f t="shared" si="133"/>
        <v>#DIV/0!</v>
      </c>
      <c r="H758" s="2449">
        <f>IF(A758='Data Entry - SOF'!B$2,'Data Entry - SOF'!E$64,0)</f>
        <v>0</v>
      </c>
      <c r="I758" s="1687">
        <f t="shared" si="134"/>
        <v>2532043</v>
      </c>
      <c r="J758" s="2212" t="e">
        <f>IF('Report-M&amp;O1819'!C$18-'Report-SOF1819'!D$55&lt;=0,0,'Report-M&amp;O1819'!C$18-'Report-SOF1819'!D$55)</f>
        <v>#DIV/0!</v>
      </c>
      <c r="K758" s="2452" t="e">
        <f t="shared" si="135"/>
        <v>#DIV/0!</v>
      </c>
      <c r="L758" s="2449">
        <f>IF(A758='Data Entry - SOF'!B$2,'Data Entry - SOF'!G$64,0)</f>
        <v>0</v>
      </c>
      <c r="M758" s="1371">
        <f t="shared" si="136"/>
        <v>2532043</v>
      </c>
      <c r="N758" s="2212" t="e">
        <f>IF('Report-M&amp;O1920'!C$18-'Report-SOF1920'!D$55&lt;=0,0,'Report-M&amp;O1920'!C$18-'Report-SOF1920'!D$55)</f>
        <v>#DIV/0!</v>
      </c>
      <c r="O758" s="2452" t="e">
        <f t="shared" si="137"/>
        <v>#DIV/0!</v>
      </c>
      <c r="P758" s="2449">
        <f>IF(A758='Data Entry - SOF'!B$2,'Data Entry - SOF'!I$64,0)</f>
        <v>0</v>
      </c>
      <c r="Q758" s="1687">
        <f t="shared" si="132"/>
        <v>2532043</v>
      </c>
      <c r="R758" s="2212" t="e">
        <f>IF('Report-M&amp;O2021'!C$18-'Report-SOF2021'!D$55&lt;=0,0,'Report-M&amp;O2021'!C$18-'Report-SOF2021'!D$55)</f>
        <v>#DIV/0!</v>
      </c>
      <c r="S758" s="2452" t="e">
        <f t="shared" si="138"/>
        <v>#DIV/0!</v>
      </c>
      <c r="T758" s="1708">
        <f>IF(A758='Data Entry - SOF'!B$2,'Data Entry - SOF'!K$64,0)</f>
        <v>0</v>
      </c>
      <c r="U758" s="1687">
        <f t="shared" si="142"/>
        <v>2532043</v>
      </c>
      <c r="V758" s="2212" t="e">
        <f>IF('Report-M&amp;O2122'!C$18-'Report-SOF2122'!D$55&lt;=0,0,'Report-M&amp;O2122'!C$18-'Report-SOF2122'!D$55)</f>
        <v>#DIV/0!</v>
      </c>
      <c r="W758" s="2452" t="e">
        <f t="shared" si="139"/>
        <v>#DIV/0!</v>
      </c>
      <c r="X758" s="1708">
        <f>IF(A758='Data Entry - SOF'!B$2,'Data Entry - SOF'!M$64,0)</f>
        <v>0</v>
      </c>
      <c r="Y758" s="1371" t="e">
        <f t="shared" si="140"/>
        <v>#DIV/0!</v>
      </c>
      <c r="Z758" s="2212" t="e">
        <f>IF('Report-M&amp;O2223'!C$18-'Report-SOF2223'!D$55&lt;=0,0,'Report-M&amp;O2223'!C$18-'Report-SOF2223'!D$55)</f>
        <v>#DIV/0!</v>
      </c>
      <c r="AA758" s="1708">
        <f>IF(A758='Data Entry - SOF'!B$2,'Data Entry - SOF'!O$64,0)</f>
        <v>0</v>
      </c>
    </row>
    <row r="759" spans="1:27" ht="15.75">
      <c r="A759" s="1076" t="s">
        <v>1530</v>
      </c>
      <c r="B759">
        <v>384229</v>
      </c>
      <c r="C759" s="2452" t="e">
        <f>#REF!+#REF!</f>
        <v>#REF!</v>
      </c>
      <c r="D759" s="2449">
        <f>IF(A759='Data Entry - SOF'!B$2,'Data Entry - SOF'!C$64,0)</f>
        <v>0</v>
      </c>
      <c r="E759" s="2450">
        <f t="shared" si="141"/>
        <v>384229</v>
      </c>
      <c r="F759" s="2212" t="e">
        <f>IF('Report-M&amp;O1718'!C$18-'Report-SOF1718'!D$55&lt;=0,0,'Report-M&amp;O1718'!C$18-'Report-SOF1718'!D$55)</f>
        <v>#DIV/0!</v>
      </c>
      <c r="G759" s="2452" t="e">
        <f t="shared" si="133"/>
        <v>#DIV/0!</v>
      </c>
      <c r="H759" s="2449">
        <f>IF(A759='Data Entry - SOF'!B$2,'Data Entry - SOF'!E$64,0)</f>
        <v>0</v>
      </c>
      <c r="I759" s="1687">
        <f t="shared" si="134"/>
        <v>384229</v>
      </c>
      <c r="J759" s="2212" t="e">
        <f>IF('Report-M&amp;O1819'!C$18-'Report-SOF1819'!D$55&lt;=0,0,'Report-M&amp;O1819'!C$18-'Report-SOF1819'!D$55)</f>
        <v>#DIV/0!</v>
      </c>
      <c r="K759" s="2452" t="e">
        <f t="shared" si="135"/>
        <v>#DIV/0!</v>
      </c>
      <c r="L759" s="2449">
        <f>IF(A759='Data Entry - SOF'!B$2,'Data Entry - SOF'!G$64,0)</f>
        <v>0</v>
      </c>
      <c r="M759" s="1371">
        <f t="shared" si="136"/>
        <v>384229</v>
      </c>
      <c r="N759" s="2212" t="e">
        <f>IF('Report-M&amp;O1920'!C$18-'Report-SOF1920'!D$55&lt;=0,0,'Report-M&amp;O1920'!C$18-'Report-SOF1920'!D$55)</f>
        <v>#DIV/0!</v>
      </c>
      <c r="O759" s="2452" t="e">
        <f t="shared" si="137"/>
        <v>#DIV/0!</v>
      </c>
      <c r="P759" s="2449">
        <f>IF(A759='Data Entry - SOF'!B$2,'Data Entry - SOF'!I$64,0)</f>
        <v>0</v>
      </c>
      <c r="Q759" s="1687">
        <f t="shared" si="132"/>
        <v>384229</v>
      </c>
      <c r="R759" s="2212" t="e">
        <f>IF('Report-M&amp;O2021'!C$18-'Report-SOF2021'!D$55&lt;=0,0,'Report-M&amp;O2021'!C$18-'Report-SOF2021'!D$55)</f>
        <v>#DIV/0!</v>
      </c>
      <c r="S759" s="2452" t="e">
        <f t="shared" si="138"/>
        <v>#DIV/0!</v>
      </c>
      <c r="T759" s="1708">
        <f>IF(A759='Data Entry - SOF'!B$2,'Data Entry - SOF'!K$64,0)</f>
        <v>0</v>
      </c>
      <c r="U759" s="1687">
        <f t="shared" si="142"/>
        <v>384229</v>
      </c>
      <c r="V759" s="2212" t="e">
        <f>IF('Report-M&amp;O2122'!C$18-'Report-SOF2122'!D$55&lt;=0,0,'Report-M&amp;O2122'!C$18-'Report-SOF2122'!D$55)</f>
        <v>#DIV/0!</v>
      </c>
      <c r="W759" s="2452" t="e">
        <f t="shared" si="139"/>
        <v>#DIV/0!</v>
      </c>
      <c r="X759" s="1708">
        <f>IF(A759='Data Entry - SOF'!B$2,'Data Entry - SOF'!M$64,0)</f>
        <v>0</v>
      </c>
      <c r="Y759" s="1371" t="e">
        <f t="shared" si="140"/>
        <v>#DIV/0!</v>
      </c>
      <c r="Z759" s="2212" t="e">
        <f>IF('Report-M&amp;O2223'!C$18-'Report-SOF2223'!D$55&lt;=0,0,'Report-M&amp;O2223'!C$18-'Report-SOF2223'!D$55)</f>
        <v>#DIV/0!</v>
      </c>
      <c r="AA759" s="1708">
        <f>IF(A759='Data Entry - SOF'!B$2,'Data Entry - SOF'!O$64,0)</f>
        <v>0</v>
      </c>
    </row>
    <row r="760" spans="1:27" ht="15.75">
      <c r="A760" s="1076" t="s">
        <v>1531</v>
      </c>
      <c r="B760">
        <v>2236153</v>
      </c>
      <c r="C760" s="2452" t="e">
        <f>#REF!+#REF!</f>
        <v>#REF!</v>
      </c>
      <c r="D760" s="2449">
        <f>IF(A760='Data Entry - SOF'!B$2,'Data Entry - SOF'!C$64,0)</f>
        <v>0</v>
      </c>
      <c r="E760" s="2450">
        <f t="shared" si="141"/>
        <v>2236153</v>
      </c>
      <c r="F760" s="2212" t="e">
        <f>IF('Report-M&amp;O1718'!C$18-'Report-SOF1718'!D$55&lt;=0,0,'Report-M&amp;O1718'!C$18-'Report-SOF1718'!D$55)</f>
        <v>#DIV/0!</v>
      </c>
      <c r="G760" s="2452" t="e">
        <f t="shared" si="133"/>
        <v>#DIV/0!</v>
      </c>
      <c r="H760" s="2449">
        <f>IF(A760='Data Entry - SOF'!B$2,'Data Entry - SOF'!E$64,0)</f>
        <v>0</v>
      </c>
      <c r="I760" s="1687">
        <f t="shared" si="134"/>
        <v>2236153</v>
      </c>
      <c r="J760" s="2212" t="e">
        <f>IF('Report-M&amp;O1819'!C$18-'Report-SOF1819'!D$55&lt;=0,0,'Report-M&amp;O1819'!C$18-'Report-SOF1819'!D$55)</f>
        <v>#DIV/0!</v>
      </c>
      <c r="K760" s="2452" t="e">
        <f t="shared" si="135"/>
        <v>#DIV/0!</v>
      </c>
      <c r="L760" s="2449">
        <f>IF(A760='Data Entry - SOF'!B$2,'Data Entry - SOF'!G$64,0)</f>
        <v>0</v>
      </c>
      <c r="M760" s="1371">
        <f t="shared" si="136"/>
        <v>2236153</v>
      </c>
      <c r="N760" s="2212" t="e">
        <f>IF('Report-M&amp;O1920'!C$18-'Report-SOF1920'!D$55&lt;=0,0,'Report-M&amp;O1920'!C$18-'Report-SOF1920'!D$55)</f>
        <v>#DIV/0!</v>
      </c>
      <c r="O760" s="2452" t="e">
        <f t="shared" si="137"/>
        <v>#DIV/0!</v>
      </c>
      <c r="P760" s="2449">
        <f>IF(A760='Data Entry - SOF'!B$2,'Data Entry - SOF'!I$64,0)</f>
        <v>0</v>
      </c>
      <c r="Q760" s="1687">
        <f t="shared" si="132"/>
        <v>2236153</v>
      </c>
      <c r="R760" s="2212" t="e">
        <f>IF('Report-M&amp;O2021'!C$18-'Report-SOF2021'!D$55&lt;=0,0,'Report-M&amp;O2021'!C$18-'Report-SOF2021'!D$55)</f>
        <v>#DIV/0!</v>
      </c>
      <c r="S760" s="2452" t="e">
        <f t="shared" si="138"/>
        <v>#DIV/0!</v>
      </c>
      <c r="T760" s="1708">
        <f>IF(A760='Data Entry - SOF'!B$2,'Data Entry - SOF'!K$64,0)</f>
        <v>0</v>
      </c>
      <c r="U760" s="1687">
        <f t="shared" si="142"/>
        <v>2236153</v>
      </c>
      <c r="V760" s="2212" t="e">
        <f>IF('Report-M&amp;O2122'!C$18-'Report-SOF2122'!D$55&lt;=0,0,'Report-M&amp;O2122'!C$18-'Report-SOF2122'!D$55)</f>
        <v>#DIV/0!</v>
      </c>
      <c r="W760" s="2452" t="e">
        <f t="shared" si="139"/>
        <v>#DIV/0!</v>
      </c>
      <c r="X760" s="1708">
        <f>IF(A760='Data Entry - SOF'!B$2,'Data Entry - SOF'!M$64,0)</f>
        <v>0</v>
      </c>
      <c r="Y760" s="1371" t="e">
        <f t="shared" si="140"/>
        <v>#DIV/0!</v>
      </c>
      <c r="Z760" s="2212" t="e">
        <f>IF('Report-M&amp;O2223'!C$18-'Report-SOF2223'!D$55&lt;=0,0,'Report-M&amp;O2223'!C$18-'Report-SOF2223'!D$55)</f>
        <v>#DIV/0!</v>
      </c>
      <c r="AA760" s="1708">
        <f>IF(A760='Data Entry - SOF'!B$2,'Data Entry - SOF'!O$64,0)</f>
        <v>0</v>
      </c>
    </row>
    <row r="761" spans="1:27" ht="15.75">
      <c r="A761" s="1076" t="s">
        <v>1532</v>
      </c>
      <c r="B761">
        <v>6197315</v>
      </c>
      <c r="C761" s="2452" t="e">
        <f>#REF!+#REF!</f>
        <v>#REF!</v>
      </c>
      <c r="D761" s="2449">
        <f>IF(A761='Data Entry - SOF'!B$2,'Data Entry - SOF'!C$64,0)</f>
        <v>0</v>
      </c>
      <c r="E761" s="2450">
        <f t="shared" si="141"/>
        <v>6197315</v>
      </c>
      <c r="F761" s="2212" t="e">
        <f>IF('Report-M&amp;O1718'!C$18-'Report-SOF1718'!D$55&lt;=0,0,'Report-M&amp;O1718'!C$18-'Report-SOF1718'!D$55)</f>
        <v>#DIV/0!</v>
      </c>
      <c r="G761" s="2452" t="e">
        <f t="shared" si="133"/>
        <v>#DIV/0!</v>
      </c>
      <c r="H761" s="2449">
        <f>IF(A761='Data Entry - SOF'!B$2,'Data Entry - SOF'!E$64,0)</f>
        <v>0</v>
      </c>
      <c r="I761" s="1687">
        <f t="shared" si="134"/>
        <v>6197315</v>
      </c>
      <c r="J761" s="2212" t="e">
        <f>IF('Report-M&amp;O1819'!C$18-'Report-SOF1819'!D$55&lt;=0,0,'Report-M&amp;O1819'!C$18-'Report-SOF1819'!D$55)</f>
        <v>#DIV/0!</v>
      </c>
      <c r="K761" s="2452" t="e">
        <f t="shared" si="135"/>
        <v>#DIV/0!</v>
      </c>
      <c r="L761" s="2449">
        <f>IF(A761='Data Entry - SOF'!B$2,'Data Entry - SOF'!G$64,0)</f>
        <v>0</v>
      </c>
      <c r="M761" s="1371">
        <f t="shared" si="136"/>
        <v>6197315</v>
      </c>
      <c r="N761" s="2212" t="e">
        <f>IF('Report-M&amp;O1920'!C$18-'Report-SOF1920'!D$55&lt;=0,0,'Report-M&amp;O1920'!C$18-'Report-SOF1920'!D$55)</f>
        <v>#DIV/0!</v>
      </c>
      <c r="O761" s="2452" t="e">
        <f t="shared" si="137"/>
        <v>#DIV/0!</v>
      </c>
      <c r="P761" s="2449">
        <f>IF(A761='Data Entry - SOF'!B$2,'Data Entry - SOF'!I$64,0)</f>
        <v>0</v>
      </c>
      <c r="Q761" s="1687">
        <f t="shared" si="132"/>
        <v>6197315</v>
      </c>
      <c r="R761" s="2212" t="e">
        <f>IF('Report-M&amp;O2021'!C$18-'Report-SOF2021'!D$55&lt;=0,0,'Report-M&amp;O2021'!C$18-'Report-SOF2021'!D$55)</f>
        <v>#DIV/0!</v>
      </c>
      <c r="S761" s="2452" t="e">
        <f t="shared" si="138"/>
        <v>#DIV/0!</v>
      </c>
      <c r="T761" s="1708">
        <f>IF(A761='Data Entry - SOF'!B$2,'Data Entry - SOF'!K$64,0)</f>
        <v>0</v>
      </c>
      <c r="U761" s="1687">
        <f t="shared" si="142"/>
        <v>6197315</v>
      </c>
      <c r="V761" s="2212" t="e">
        <f>IF('Report-M&amp;O2122'!C$18-'Report-SOF2122'!D$55&lt;=0,0,'Report-M&amp;O2122'!C$18-'Report-SOF2122'!D$55)</f>
        <v>#DIV/0!</v>
      </c>
      <c r="W761" s="2452" t="e">
        <f t="shared" si="139"/>
        <v>#DIV/0!</v>
      </c>
      <c r="X761" s="1708">
        <f>IF(A761='Data Entry - SOF'!B$2,'Data Entry - SOF'!M$64,0)</f>
        <v>0</v>
      </c>
      <c r="Y761" s="1371" t="e">
        <f t="shared" si="140"/>
        <v>#DIV/0!</v>
      </c>
      <c r="Z761" s="2212" t="e">
        <f>IF('Report-M&amp;O2223'!C$18-'Report-SOF2223'!D$55&lt;=0,0,'Report-M&amp;O2223'!C$18-'Report-SOF2223'!D$55)</f>
        <v>#DIV/0!</v>
      </c>
      <c r="AA761" s="1708">
        <f>IF(A761='Data Entry - SOF'!B$2,'Data Entry - SOF'!O$64,0)</f>
        <v>0</v>
      </c>
    </row>
    <row r="762" spans="1:27" ht="15.75">
      <c r="A762" s="1076" t="s">
        <v>1533</v>
      </c>
      <c r="B762">
        <v>69061918</v>
      </c>
      <c r="C762" s="2452" t="e">
        <f>#REF!+#REF!</f>
        <v>#REF!</v>
      </c>
      <c r="D762" s="2449">
        <f>IF(A762='Data Entry - SOF'!B$2,'Data Entry - SOF'!C$64,0)</f>
        <v>0</v>
      </c>
      <c r="E762" s="2450">
        <f t="shared" si="141"/>
        <v>69061918</v>
      </c>
      <c r="F762" s="2212" t="e">
        <f>IF('Report-M&amp;O1718'!C$18-'Report-SOF1718'!D$55&lt;=0,0,'Report-M&amp;O1718'!C$18-'Report-SOF1718'!D$55)</f>
        <v>#DIV/0!</v>
      </c>
      <c r="G762" s="2452" t="e">
        <f t="shared" si="133"/>
        <v>#DIV/0!</v>
      </c>
      <c r="H762" s="2449">
        <f>IF(A762='Data Entry - SOF'!B$2,'Data Entry - SOF'!E$64,0)</f>
        <v>0</v>
      </c>
      <c r="I762" s="1687">
        <f t="shared" si="134"/>
        <v>69061918</v>
      </c>
      <c r="J762" s="2212" t="e">
        <f>IF('Report-M&amp;O1819'!C$18-'Report-SOF1819'!D$55&lt;=0,0,'Report-M&amp;O1819'!C$18-'Report-SOF1819'!D$55)</f>
        <v>#DIV/0!</v>
      </c>
      <c r="K762" s="2452" t="e">
        <f t="shared" si="135"/>
        <v>#DIV/0!</v>
      </c>
      <c r="L762" s="2449">
        <f>IF(A762='Data Entry - SOF'!B$2,'Data Entry - SOF'!G$64,0)</f>
        <v>0</v>
      </c>
      <c r="M762" s="1371">
        <f t="shared" si="136"/>
        <v>69061918</v>
      </c>
      <c r="N762" s="2212" t="e">
        <f>IF('Report-M&amp;O1920'!C$18-'Report-SOF1920'!D$55&lt;=0,0,'Report-M&amp;O1920'!C$18-'Report-SOF1920'!D$55)</f>
        <v>#DIV/0!</v>
      </c>
      <c r="O762" s="2452" t="e">
        <f t="shared" si="137"/>
        <v>#DIV/0!</v>
      </c>
      <c r="P762" s="2449">
        <f>IF(A762='Data Entry - SOF'!B$2,'Data Entry - SOF'!I$64,0)</f>
        <v>0</v>
      </c>
      <c r="Q762" s="1687">
        <f t="shared" si="132"/>
        <v>69061918</v>
      </c>
      <c r="R762" s="2212" t="e">
        <f>IF('Report-M&amp;O2021'!C$18-'Report-SOF2021'!D$55&lt;=0,0,'Report-M&amp;O2021'!C$18-'Report-SOF2021'!D$55)</f>
        <v>#DIV/0!</v>
      </c>
      <c r="S762" s="2452" t="e">
        <f t="shared" si="138"/>
        <v>#DIV/0!</v>
      </c>
      <c r="T762" s="1708">
        <f>IF(A762='Data Entry - SOF'!B$2,'Data Entry - SOF'!K$64,0)</f>
        <v>0</v>
      </c>
      <c r="U762" s="1687">
        <f t="shared" si="142"/>
        <v>69061918</v>
      </c>
      <c r="V762" s="2212" t="e">
        <f>IF('Report-M&amp;O2122'!C$18-'Report-SOF2122'!D$55&lt;=0,0,'Report-M&amp;O2122'!C$18-'Report-SOF2122'!D$55)</f>
        <v>#DIV/0!</v>
      </c>
      <c r="W762" s="2452" t="e">
        <f t="shared" si="139"/>
        <v>#DIV/0!</v>
      </c>
      <c r="X762" s="1708">
        <f>IF(A762='Data Entry - SOF'!B$2,'Data Entry - SOF'!M$64,0)</f>
        <v>0</v>
      </c>
      <c r="Y762" s="1371" t="e">
        <f t="shared" si="140"/>
        <v>#DIV/0!</v>
      </c>
      <c r="Z762" s="2212" t="e">
        <f>IF('Report-M&amp;O2223'!C$18-'Report-SOF2223'!D$55&lt;=0,0,'Report-M&amp;O2223'!C$18-'Report-SOF2223'!D$55)</f>
        <v>#DIV/0!</v>
      </c>
      <c r="AA762" s="1708">
        <f>IF(A762='Data Entry - SOF'!B$2,'Data Entry - SOF'!O$64,0)</f>
        <v>0</v>
      </c>
    </row>
    <row r="763" spans="1:27" ht="15.75">
      <c r="A763" s="1076" t="s">
        <v>2974</v>
      </c>
      <c r="B763">
        <v>3721149</v>
      </c>
      <c r="C763" s="2452" t="e">
        <f>#REF!+#REF!</f>
        <v>#REF!</v>
      </c>
      <c r="D763" s="2449">
        <f>IF(A763='Data Entry - SOF'!B$2,'Data Entry - SOF'!C$64,0)</f>
        <v>0</v>
      </c>
      <c r="E763" s="2450">
        <f t="shared" si="141"/>
        <v>3721149</v>
      </c>
      <c r="F763" s="2212" t="e">
        <f>IF('Report-M&amp;O1718'!C$18-'Report-SOF1718'!D$55&lt;=0,0,'Report-M&amp;O1718'!C$18-'Report-SOF1718'!D$55)</f>
        <v>#DIV/0!</v>
      </c>
      <c r="G763" s="2452" t="e">
        <f t="shared" si="133"/>
        <v>#DIV/0!</v>
      </c>
      <c r="H763" s="2449">
        <f>IF(A763='Data Entry - SOF'!B$2,'Data Entry - SOF'!E$64,0)</f>
        <v>0</v>
      </c>
      <c r="I763" s="1687">
        <f t="shared" si="134"/>
        <v>3721149</v>
      </c>
      <c r="J763" s="2212" t="e">
        <f>IF('Report-M&amp;O1819'!C$18-'Report-SOF1819'!D$55&lt;=0,0,'Report-M&amp;O1819'!C$18-'Report-SOF1819'!D$55)</f>
        <v>#DIV/0!</v>
      </c>
      <c r="K763" s="2452" t="e">
        <f t="shared" si="135"/>
        <v>#DIV/0!</v>
      </c>
      <c r="L763" s="2449">
        <f>IF(A763='Data Entry - SOF'!B$2,'Data Entry - SOF'!G$64,0)</f>
        <v>0</v>
      </c>
      <c r="M763" s="1371">
        <f t="shared" si="136"/>
        <v>3721149</v>
      </c>
      <c r="N763" s="2212" t="e">
        <f>IF('Report-M&amp;O1920'!C$18-'Report-SOF1920'!D$55&lt;=0,0,'Report-M&amp;O1920'!C$18-'Report-SOF1920'!D$55)</f>
        <v>#DIV/0!</v>
      </c>
      <c r="O763" s="2452" t="e">
        <f t="shared" si="137"/>
        <v>#DIV/0!</v>
      </c>
      <c r="P763" s="2449">
        <f>IF(A763='Data Entry - SOF'!B$2,'Data Entry - SOF'!I$64,0)</f>
        <v>0</v>
      </c>
      <c r="Q763" s="1687">
        <f t="shared" si="132"/>
        <v>3721149</v>
      </c>
      <c r="R763" s="2212" t="e">
        <f>IF('Report-M&amp;O2021'!C$18-'Report-SOF2021'!D$55&lt;=0,0,'Report-M&amp;O2021'!C$18-'Report-SOF2021'!D$55)</f>
        <v>#DIV/0!</v>
      </c>
      <c r="S763" s="2452" t="e">
        <f t="shared" si="138"/>
        <v>#DIV/0!</v>
      </c>
      <c r="T763" s="1708">
        <f>IF(A763='Data Entry - SOF'!B$2,'Data Entry - SOF'!K$64,0)</f>
        <v>0</v>
      </c>
      <c r="U763" s="1687">
        <f t="shared" si="142"/>
        <v>3721149</v>
      </c>
      <c r="V763" s="2212" t="e">
        <f>IF('Report-M&amp;O2122'!C$18-'Report-SOF2122'!D$55&lt;=0,0,'Report-M&amp;O2122'!C$18-'Report-SOF2122'!D$55)</f>
        <v>#DIV/0!</v>
      </c>
      <c r="W763" s="2452" t="e">
        <f t="shared" si="139"/>
        <v>#DIV/0!</v>
      </c>
      <c r="X763" s="1708">
        <f>IF(A763='Data Entry - SOF'!B$2,'Data Entry - SOF'!M$64,0)</f>
        <v>0</v>
      </c>
      <c r="Y763" s="1371" t="e">
        <f t="shared" si="140"/>
        <v>#DIV/0!</v>
      </c>
      <c r="Z763" s="2212" t="e">
        <f>IF('Report-M&amp;O2223'!C$18-'Report-SOF2223'!D$55&lt;=0,0,'Report-M&amp;O2223'!C$18-'Report-SOF2223'!D$55)</f>
        <v>#DIV/0!</v>
      </c>
      <c r="AA763" s="1708">
        <f>IF(A763='Data Entry - SOF'!B$2,'Data Entry - SOF'!O$64,0)</f>
        <v>0</v>
      </c>
    </row>
    <row r="764" spans="1:27" ht="15.75">
      <c r="A764" s="1076" t="s">
        <v>805</v>
      </c>
      <c r="B764">
        <v>1119966</v>
      </c>
      <c r="C764" s="2452" t="e">
        <f>#REF!+#REF!</f>
        <v>#REF!</v>
      </c>
      <c r="D764" s="2449">
        <f>IF(A764='Data Entry - SOF'!B$2,'Data Entry - SOF'!C$64,0)</f>
        <v>0</v>
      </c>
      <c r="E764" s="2450">
        <f t="shared" si="141"/>
        <v>1119966</v>
      </c>
      <c r="F764" s="2212" t="e">
        <f>IF('Report-M&amp;O1718'!C$18-'Report-SOF1718'!D$55&lt;=0,0,'Report-M&amp;O1718'!C$18-'Report-SOF1718'!D$55)</f>
        <v>#DIV/0!</v>
      </c>
      <c r="G764" s="2452" t="e">
        <f t="shared" si="133"/>
        <v>#DIV/0!</v>
      </c>
      <c r="H764" s="2449">
        <f>IF(A764='Data Entry - SOF'!B$2,'Data Entry - SOF'!E$64,0)</f>
        <v>0</v>
      </c>
      <c r="I764" s="1687">
        <f t="shared" si="134"/>
        <v>1119966</v>
      </c>
      <c r="J764" s="2212" t="e">
        <f>IF('Report-M&amp;O1819'!C$18-'Report-SOF1819'!D$55&lt;=0,0,'Report-M&amp;O1819'!C$18-'Report-SOF1819'!D$55)</f>
        <v>#DIV/0!</v>
      </c>
      <c r="K764" s="2452" t="e">
        <f t="shared" si="135"/>
        <v>#DIV/0!</v>
      </c>
      <c r="L764" s="2449">
        <f>IF(A764='Data Entry - SOF'!B$2,'Data Entry - SOF'!G$64,0)</f>
        <v>0</v>
      </c>
      <c r="M764" s="1371">
        <f t="shared" si="136"/>
        <v>1119966</v>
      </c>
      <c r="N764" s="2212" t="e">
        <f>IF('Report-M&amp;O1920'!C$18-'Report-SOF1920'!D$55&lt;=0,0,'Report-M&amp;O1920'!C$18-'Report-SOF1920'!D$55)</f>
        <v>#DIV/0!</v>
      </c>
      <c r="O764" s="2452" t="e">
        <f t="shared" si="137"/>
        <v>#DIV/0!</v>
      </c>
      <c r="P764" s="2449">
        <f>IF(A764='Data Entry - SOF'!B$2,'Data Entry - SOF'!I$64,0)</f>
        <v>0</v>
      </c>
      <c r="Q764" s="1687">
        <f>M764-P764</f>
        <v>1119966</v>
      </c>
      <c r="R764" s="2212" t="e">
        <f>IF('Report-M&amp;O2021'!C$18-'Report-SOF2021'!D$55&lt;=0,0,'Report-M&amp;O2021'!C$18-'Report-SOF2021'!D$55)</f>
        <v>#DIV/0!</v>
      </c>
      <c r="S764" s="2452" t="e">
        <f t="shared" si="138"/>
        <v>#DIV/0!</v>
      </c>
      <c r="T764" s="1708">
        <f>IF(A764='Data Entry - SOF'!B$2,'Data Entry - SOF'!K$64,0)</f>
        <v>0</v>
      </c>
      <c r="U764" s="1687">
        <f t="shared" ref="U764:U779" si="143">Q764-T764</f>
        <v>1119966</v>
      </c>
      <c r="V764" s="2212" t="e">
        <f>IF('Report-M&amp;O2122'!C$18-'Report-SOF2122'!D$55&lt;=0,0,'Report-M&amp;O2122'!C$18-'Report-SOF2122'!D$55)</f>
        <v>#DIV/0!</v>
      </c>
      <c r="W764" s="2452" t="e">
        <f t="shared" si="139"/>
        <v>#DIV/0!</v>
      </c>
      <c r="X764" s="1708">
        <f>IF(A764='Data Entry - SOF'!B$2,'Data Entry - SOF'!M$64,0)</f>
        <v>0</v>
      </c>
      <c r="Y764" s="1371" t="e">
        <f t="shared" si="140"/>
        <v>#DIV/0!</v>
      </c>
      <c r="Z764" s="2212" t="e">
        <f>IF('Report-M&amp;O2223'!C$18-'Report-SOF2223'!D$55&lt;=0,0,'Report-M&amp;O2223'!C$18-'Report-SOF2223'!D$55)</f>
        <v>#DIV/0!</v>
      </c>
      <c r="AA764" s="1708">
        <f>IF(A764='Data Entry - SOF'!B$2,'Data Entry - SOF'!O$64,0)</f>
        <v>0</v>
      </c>
    </row>
    <row r="765" spans="1:27" ht="15.75">
      <c r="A765" s="1076" t="s">
        <v>1703</v>
      </c>
      <c r="B765">
        <v>8029880</v>
      </c>
      <c r="C765" s="2452" t="e">
        <f>#REF!+#REF!</f>
        <v>#REF!</v>
      </c>
      <c r="D765" s="2449">
        <f>IF(A765='Data Entry - SOF'!B$2,'Data Entry - SOF'!C$64,0)</f>
        <v>0</v>
      </c>
      <c r="E765" s="2450">
        <f t="shared" si="141"/>
        <v>8029880</v>
      </c>
      <c r="F765" s="2212" t="e">
        <f>IF('Report-M&amp;O1718'!C$18-'Report-SOF1718'!D$55&lt;=0,0,'Report-M&amp;O1718'!C$18-'Report-SOF1718'!D$55)</f>
        <v>#DIV/0!</v>
      </c>
      <c r="G765" s="2452" t="e">
        <f t="shared" si="133"/>
        <v>#DIV/0!</v>
      </c>
      <c r="H765" s="2449">
        <f>IF(A765='Data Entry - SOF'!B$2,'Data Entry - SOF'!E$64,0)</f>
        <v>0</v>
      </c>
      <c r="I765" s="1687">
        <f t="shared" si="134"/>
        <v>8029880</v>
      </c>
      <c r="J765" s="2212" t="e">
        <f>IF('Report-M&amp;O1819'!C$18-'Report-SOF1819'!D$55&lt;=0,0,'Report-M&amp;O1819'!C$18-'Report-SOF1819'!D$55)</f>
        <v>#DIV/0!</v>
      </c>
      <c r="K765" s="2452" t="e">
        <f t="shared" si="135"/>
        <v>#DIV/0!</v>
      </c>
      <c r="L765" s="2449">
        <f>IF(A765='Data Entry - SOF'!B$2,'Data Entry - SOF'!G$64,0)</f>
        <v>0</v>
      </c>
      <c r="M765" s="1371">
        <f t="shared" si="136"/>
        <v>8029880</v>
      </c>
      <c r="N765" s="2212" t="e">
        <f>IF('Report-M&amp;O1920'!C$18-'Report-SOF1920'!D$55&lt;=0,0,'Report-M&amp;O1920'!C$18-'Report-SOF1920'!D$55)</f>
        <v>#DIV/0!</v>
      </c>
      <c r="O765" s="2452" t="e">
        <f t="shared" si="137"/>
        <v>#DIV/0!</v>
      </c>
      <c r="P765" s="2449">
        <f>IF(A765='Data Entry - SOF'!B$2,'Data Entry - SOF'!I$64,0)</f>
        <v>0</v>
      </c>
      <c r="Q765" s="1687">
        <f t="shared" ref="Q765:Q827" si="144">M765-P765</f>
        <v>8029880</v>
      </c>
      <c r="R765" s="2212" t="e">
        <f>IF('Report-M&amp;O2021'!C$18-'Report-SOF2021'!D$55&lt;=0,0,'Report-M&amp;O2021'!C$18-'Report-SOF2021'!D$55)</f>
        <v>#DIV/0!</v>
      </c>
      <c r="S765" s="2452" t="e">
        <f t="shared" si="138"/>
        <v>#DIV/0!</v>
      </c>
      <c r="T765" s="1708">
        <f>IF(A765='Data Entry - SOF'!B$2,'Data Entry - SOF'!K$64,0)</f>
        <v>0</v>
      </c>
      <c r="U765" s="1687">
        <f t="shared" si="143"/>
        <v>8029880</v>
      </c>
      <c r="V765" s="2212" t="e">
        <f>IF('Report-M&amp;O2122'!C$18-'Report-SOF2122'!D$55&lt;=0,0,'Report-M&amp;O2122'!C$18-'Report-SOF2122'!D$55)</f>
        <v>#DIV/0!</v>
      </c>
      <c r="W765" s="2452" t="e">
        <f t="shared" si="139"/>
        <v>#DIV/0!</v>
      </c>
      <c r="X765" s="1708">
        <f>IF(A765='Data Entry - SOF'!B$2,'Data Entry - SOF'!M$64,0)</f>
        <v>0</v>
      </c>
      <c r="Y765" s="1371" t="e">
        <f t="shared" si="140"/>
        <v>#DIV/0!</v>
      </c>
      <c r="Z765" s="2212" t="e">
        <f>IF('Report-M&amp;O2223'!C$18-'Report-SOF2223'!D$55&lt;=0,0,'Report-M&amp;O2223'!C$18-'Report-SOF2223'!D$55)</f>
        <v>#DIV/0!</v>
      </c>
      <c r="AA765" s="1708">
        <f>IF(A765='Data Entry - SOF'!B$2,'Data Entry - SOF'!O$64,0)</f>
        <v>0</v>
      </c>
    </row>
    <row r="766" spans="1:27" ht="15.75">
      <c r="A766" s="1076" t="s">
        <v>1656</v>
      </c>
      <c r="B766">
        <v>53819824</v>
      </c>
      <c r="C766" s="2452" t="e">
        <f>#REF!+#REF!</f>
        <v>#REF!</v>
      </c>
      <c r="D766" s="2449">
        <f>IF(A766='Data Entry - SOF'!B$2,'Data Entry - SOF'!C$64,0)</f>
        <v>0</v>
      </c>
      <c r="E766" s="2450">
        <f t="shared" si="141"/>
        <v>53819824</v>
      </c>
      <c r="F766" s="2212" t="e">
        <f>IF('Report-M&amp;O1718'!C$18-'Report-SOF1718'!D$55&lt;=0,0,'Report-M&amp;O1718'!C$18-'Report-SOF1718'!D$55)</f>
        <v>#DIV/0!</v>
      </c>
      <c r="G766" s="2452" t="e">
        <f t="shared" si="133"/>
        <v>#DIV/0!</v>
      </c>
      <c r="H766" s="2449">
        <f>IF(A766='Data Entry - SOF'!B$2,'Data Entry - SOF'!E$64,0)</f>
        <v>0</v>
      </c>
      <c r="I766" s="1687">
        <f t="shared" si="134"/>
        <v>53819824</v>
      </c>
      <c r="J766" s="2212" t="e">
        <f>IF('Report-M&amp;O1819'!C$18-'Report-SOF1819'!D$55&lt;=0,0,'Report-M&amp;O1819'!C$18-'Report-SOF1819'!D$55)</f>
        <v>#DIV/0!</v>
      </c>
      <c r="K766" s="2452" t="e">
        <f t="shared" si="135"/>
        <v>#DIV/0!</v>
      </c>
      <c r="L766" s="2449">
        <f>IF(A766='Data Entry - SOF'!B$2,'Data Entry - SOF'!G$64,0)</f>
        <v>0</v>
      </c>
      <c r="M766" s="1371">
        <f t="shared" si="136"/>
        <v>53819824</v>
      </c>
      <c r="N766" s="2212" t="e">
        <f>IF('Report-M&amp;O1920'!C$18-'Report-SOF1920'!D$55&lt;=0,0,'Report-M&amp;O1920'!C$18-'Report-SOF1920'!D$55)</f>
        <v>#DIV/0!</v>
      </c>
      <c r="O766" s="2452" t="e">
        <f t="shared" si="137"/>
        <v>#DIV/0!</v>
      </c>
      <c r="P766" s="2449">
        <f>IF(A766='Data Entry - SOF'!B$2,'Data Entry - SOF'!I$64,0)</f>
        <v>0</v>
      </c>
      <c r="Q766" s="1687">
        <f t="shared" si="144"/>
        <v>53819824</v>
      </c>
      <c r="R766" s="2212" t="e">
        <f>IF('Report-M&amp;O2021'!C$18-'Report-SOF2021'!D$55&lt;=0,0,'Report-M&amp;O2021'!C$18-'Report-SOF2021'!D$55)</f>
        <v>#DIV/0!</v>
      </c>
      <c r="S766" s="2452" t="e">
        <f t="shared" si="138"/>
        <v>#DIV/0!</v>
      </c>
      <c r="T766" s="1708">
        <f>IF(A766='Data Entry - SOF'!B$2,'Data Entry - SOF'!K$64,0)</f>
        <v>0</v>
      </c>
      <c r="U766" s="1687">
        <f t="shared" si="143"/>
        <v>53819824</v>
      </c>
      <c r="V766" s="2212" t="e">
        <f>IF('Report-M&amp;O2122'!C$18-'Report-SOF2122'!D$55&lt;=0,0,'Report-M&amp;O2122'!C$18-'Report-SOF2122'!D$55)</f>
        <v>#DIV/0!</v>
      </c>
      <c r="W766" s="2452" t="e">
        <f t="shared" si="139"/>
        <v>#DIV/0!</v>
      </c>
      <c r="X766" s="1708">
        <f>IF(A766='Data Entry - SOF'!B$2,'Data Entry - SOF'!M$64,0)</f>
        <v>0</v>
      </c>
      <c r="Y766" s="1371" t="e">
        <f t="shared" si="140"/>
        <v>#DIV/0!</v>
      </c>
      <c r="Z766" s="2212" t="e">
        <f>IF('Report-M&amp;O2223'!C$18-'Report-SOF2223'!D$55&lt;=0,0,'Report-M&amp;O2223'!C$18-'Report-SOF2223'!D$55)</f>
        <v>#DIV/0!</v>
      </c>
      <c r="AA766" s="1708">
        <f>IF(A766='Data Entry - SOF'!B$2,'Data Entry - SOF'!O$64,0)</f>
        <v>0</v>
      </c>
    </row>
    <row r="767" spans="1:27" ht="15.75">
      <c r="A767" s="1076" t="s">
        <v>2901</v>
      </c>
      <c r="B767">
        <v>5785216</v>
      </c>
      <c r="C767" s="2452" t="e">
        <f>#REF!+#REF!</f>
        <v>#REF!</v>
      </c>
      <c r="D767" s="2449">
        <f>IF(A767='Data Entry - SOF'!B$2,'Data Entry - SOF'!C$64,0)</f>
        <v>0</v>
      </c>
      <c r="E767" s="2450">
        <f t="shared" si="141"/>
        <v>5785216</v>
      </c>
      <c r="F767" s="2212" t="e">
        <f>IF('Report-M&amp;O1718'!C$18-'Report-SOF1718'!D$55&lt;=0,0,'Report-M&amp;O1718'!C$18-'Report-SOF1718'!D$55)</f>
        <v>#DIV/0!</v>
      </c>
      <c r="G767" s="2452" t="e">
        <f t="shared" si="133"/>
        <v>#DIV/0!</v>
      </c>
      <c r="H767" s="2449">
        <f>IF(A767='Data Entry - SOF'!B$2,'Data Entry - SOF'!E$64,0)</f>
        <v>0</v>
      </c>
      <c r="I767" s="1687">
        <f t="shared" si="134"/>
        <v>5785216</v>
      </c>
      <c r="J767" s="2212" t="e">
        <f>IF('Report-M&amp;O1819'!C$18-'Report-SOF1819'!D$55&lt;=0,0,'Report-M&amp;O1819'!C$18-'Report-SOF1819'!D$55)</f>
        <v>#DIV/0!</v>
      </c>
      <c r="K767" s="2452" t="e">
        <f t="shared" si="135"/>
        <v>#DIV/0!</v>
      </c>
      <c r="L767" s="2449">
        <f>IF(A767='Data Entry - SOF'!B$2,'Data Entry - SOF'!G$64,0)</f>
        <v>0</v>
      </c>
      <c r="M767" s="1371">
        <f t="shared" si="136"/>
        <v>5785216</v>
      </c>
      <c r="N767" s="2212" t="e">
        <f>IF('Report-M&amp;O1920'!C$18-'Report-SOF1920'!D$55&lt;=0,0,'Report-M&amp;O1920'!C$18-'Report-SOF1920'!D$55)</f>
        <v>#DIV/0!</v>
      </c>
      <c r="O767" s="2452" t="e">
        <f t="shared" si="137"/>
        <v>#DIV/0!</v>
      </c>
      <c r="P767" s="2449">
        <f>IF(A767='Data Entry - SOF'!B$2,'Data Entry - SOF'!I$64,0)</f>
        <v>0</v>
      </c>
      <c r="Q767" s="1687">
        <f t="shared" si="144"/>
        <v>5785216</v>
      </c>
      <c r="R767" s="2212" t="e">
        <f>IF('Report-M&amp;O2021'!C$18-'Report-SOF2021'!D$55&lt;=0,0,'Report-M&amp;O2021'!C$18-'Report-SOF2021'!D$55)</f>
        <v>#DIV/0!</v>
      </c>
      <c r="S767" s="2452" t="e">
        <f t="shared" si="138"/>
        <v>#DIV/0!</v>
      </c>
      <c r="T767" s="1708">
        <f>IF(A767='Data Entry - SOF'!B$2,'Data Entry - SOF'!K$64,0)</f>
        <v>0</v>
      </c>
      <c r="U767" s="1687">
        <f t="shared" si="143"/>
        <v>5785216</v>
      </c>
      <c r="V767" s="2212" t="e">
        <f>IF('Report-M&amp;O2122'!C$18-'Report-SOF2122'!D$55&lt;=0,0,'Report-M&amp;O2122'!C$18-'Report-SOF2122'!D$55)</f>
        <v>#DIV/0!</v>
      </c>
      <c r="W767" s="2452" t="e">
        <f t="shared" si="139"/>
        <v>#DIV/0!</v>
      </c>
      <c r="X767" s="1708">
        <f>IF(A767='Data Entry - SOF'!B$2,'Data Entry - SOF'!M$64,0)</f>
        <v>0</v>
      </c>
      <c r="Y767" s="1371" t="e">
        <f t="shared" si="140"/>
        <v>#DIV/0!</v>
      </c>
      <c r="Z767" s="2212" t="e">
        <f>IF('Report-M&amp;O2223'!C$18-'Report-SOF2223'!D$55&lt;=0,0,'Report-M&amp;O2223'!C$18-'Report-SOF2223'!D$55)</f>
        <v>#DIV/0!</v>
      </c>
      <c r="AA767" s="1708">
        <f>IF(A767='Data Entry - SOF'!B$2,'Data Entry - SOF'!O$64,0)</f>
        <v>0</v>
      </c>
    </row>
    <row r="768" spans="1:27" ht="15.75">
      <c r="A768" s="1076" t="s">
        <v>1563</v>
      </c>
      <c r="B768">
        <v>53417640</v>
      </c>
      <c r="C768" s="2452" t="e">
        <f>#REF!+#REF!</f>
        <v>#REF!</v>
      </c>
      <c r="D768" s="2449">
        <f>IF(A768='Data Entry - SOF'!B$2,'Data Entry - SOF'!C$64,0)</f>
        <v>0</v>
      </c>
      <c r="E768" s="2450">
        <f t="shared" si="141"/>
        <v>53417640</v>
      </c>
      <c r="F768" s="2212" t="e">
        <f>IF('Report-M&amp;O1718'!C$18-'Report-SOF1718'!D$55&lt;=0,0,'Report-M&amp;O1718'!C$18-'Report-SOF1718'!D$55)</f>
        <v>#DIV/0!</v>
      </c>
      <c r="G768" s="2452" t="e">
        <f t="shared" si="133"/>
        <v>#DIV/0!</v>
      </c>
      <c r="H768" s="2449">
        <f>IF(A768='Data Entry - SOF'!B$2,'Data Entry - SOF'!E$64,0)</f>
        <v>0</v>
      </c>
      <c r="I768" s="1687">
        <f t="shared" si="134"/>
        <v>53417640</v>
      </c>
      <c r="J768" s="2212" t="e">
        <f>IF('Report-M&amp;O1819'!C$18-'Report-SOF1819'!D$55&lt;=0,0,'Report-M&amp;O1819'!C$18-'Report-SOF1819'!D$55)</f>
        <v>#DIV/0!</v>
      </c>
      <c r="K768" s="2452" t="e">
        <f t="shared" si="135"/>
        <v>#DIV/0!</v>
      </c>
      <c r="L768" s="2449">
        <f>IF(A768='Data Entry - SOF'!B$2,'Data Entry - SOF'!G$64,0)</f>
        <v>0</v>
      </c>
      <c r="M768" s="1371">
        <f t="shared" si="136"/>
        <v>53417640</v>
      </c>
      <c r="N768" s="2212" t="e">
        <f>IF('Report-M&amp;O1920'!C$18-'Report-SOF1920'!D$55&lt;=0,0,'Report-M&amp;O1920'!C$18-'Report-SOF1920'!D$55)</f>
        <v>#DIV/0!</v>
      </c>
      <c r="O768" s="2452" t="e">
        <f t="shared" si="137"/>
        <v>#DIV/0!</v>
      </c>
      <c r="P768" s="2449">
        <f>IF(A768='Data Entry - SOF'!B$2,'Data Entry - SOF'!I$64,0)</f>
        <v>0</v>
      </c>
      <c r="Q768" s="1687">
        <f t="shared" si="144"/>
        <v>53417640</v>
      </c>
      <c r="R768" s="2212" t="e">
        <f>IF('Report-M&amp;O2021'!C$18-'Report-SOF2021'!D$55&lt;=0,0,'Report-M&amp;O2021'!C$18-'Report-SOF2021'!D$55)</f>
        <v>#DIV/0!</v>
      </c>
      <c r="S768" s="2452" t="e">
        <f t="shared" si="138"/>
        <v>#DIV/0!</v>
      </c>
      <c r="T768" s="1708">
        <f>IF(A768='Data Entry - SOF'!B$2,'Data Entry - SOF'!K$64,0)</f>
        <v>0</v>
      </c>
      <c r="U768" s="1687">
        <f t="shared" si="143"/>
        <v>53417640</v>
      </c>
      <c r="V768" s="2212" t="e">
        <f>IF('Report-M&amp;O2122'!C$18-'Report-SOF2122'!D$55&lt;=0,0,'Report-M&amp;O2122'!C$18-'Report-SOF2122'!D$55)</f>
        <v>#DIV/0!</v>
      </c>
      <c r="W768" s="2452" t="e">
        <f t="shared" si="139"/>
        <v>#DIV/0!</v>
      </c>
      <c r="X768" s="1708">
        <f>IF(A768='Data Entry - SOF'!B$2,'Data Entry - SOF'!M$64,0)</f>
        <v>0</v>
      </c>
      <c r="Y768" s="1371" t="e">
        <f t="shared" si="140"/>
        <v>#DIV/0!</v>
      </c>
      <c r="Z768" s="2212" t="e">
        <f>IF('Report-M&amp;O2223'!C$18-'Report-SOF2223'!D$55&lt;=0,0,'Report-M&amp;O2223'!C$18-'Report-SOF2223'!D$55)</f>
        <v>#DIV/0!</v>
      </c>
      <c r="AA768" s="1708">
        <f>IF(A768='Data Entry - SOF'!B$2,'Data Entry - SOF'!O$64,0)</f>
        <v>0</v>
      </c>
    </row>
    <row r="769" spans="1:27" ht="15.75">
      <c r="A769" s="1076" t="s">
        <v>236</v>
      </c>
      <c r="B769">
        <v>2122117</v>
      </c>
      <c r="C769" s="2452" t="e">
        <f>#REF!+#REF!</f>
        <v>#REF!</v>
      </c>
      <c r="D769" s="2449">
        <f>IF(A769='Data Entry - SOF'!B$2,'Data Entry - SOF'!C$64,0)</f>
        <v>0</v>
      </c>
      <c r="E769" s="2450">
        <f t="shared" si="141"/>
        <v>2122117</v>
      </c>
      <c r="F769" s="2212" t="e">
        <f>IF('Report-M&amp;O1718'!C$18-'Report-SOF1718'!D$55&lt;=0,0,'Report-M&amp;O1718'!C$18-'Report-SOF1718'!D$55)</f>
        <v>#DIV/0!</v>
      </c>
      <c r="G769" s="2452" t="e">
        <f t="shared" si="133"/>
        <v>#DIV/0!</v>
      </c>
      <c r="H769" s="2449">
        <f>IF(A769='Data Entry - SOF'!B$2,'Data Entry - SOF'!E$64,0)</f>
        <v>0</v>
      </c>
      <c r="I769" s="1687">
        <f t="shared" si="134"/>
        <v>2122117</v>
      </c>
      <c r="J769" s="2212" t="e">
        <f>IF('Report-M&amp;O1819'!C$18-'Report-SOF1819'!D$55&lt;=0,0,'Report-M&amp;O1819'!C$18-'Report-SOF1819'!D$55)</f>
        <v>#DIV/0!</v>
      </c>
      <c r="K769" s="2452" t="e">
        <f t="shared" si="135"/>
        <v>#DIV/0!</v>
      </c>
      <c r="L769" s="2449">
        <f>IF(A769='Data Entry - SOF'!B$2,'Data Entry - SOF'!G$64,0)</f>
        <v>0</v>
      </c>
      <c r="M769" s="1371">
        <f t="shared" si="136"/>
        <v>2122117</v>
      </c>
      <c r="N769" s="2212" t="e">
        <f>IF('Report-M&amp;O1920'!C$18-'Report-SOF1920'!D$55&lt;=0,0,'Report-M&amp;O1920'!C$18-'Report-SOF1920'!D$55)</f>
        <v>#DIV/0!</v>
      </c>
      <c r="O769" s="2452" t="e">
        <f t="shared" si="137"/>
        <v>#DIV/0!</v>
      </c>
      <c r="P769" s="2449">
        <f>IF(A769='Data Entry - SOF'!B$2,'Data Entry - SOF'!I$64,0)</f>
        <v>0</v>
      </c>
      <c r="Q769" s="1687">
        <f t="shared" si="144"/>
        <v>2122117</v>
      </c>
      <c r="R769" s="2212" t="e">
        <f>IF('Report-M&amp;O2021'!C$18-'Report-SOF2021'!D$55&lt;=0,0,'Report-M&amp;O2021'!C$18-'Report-SOF2021'!D$55)</f>
        <v>#DIV/0!</v>
      </c>
      <c r="S769" s="2452" t="e">
        <f t="shared" si="138"/>
        <v>#DIV/0!</v>
      </c>
      <c r="T769" s="1708">
        <f>IF(A769='Data Entry - SOF'!B$2,'Data Entry - SOF'!K$64,0)</f>
        <v>0</v>
      </c>
      <c r="U769" s="1687">
        <f t="shared" si="143"/>
        <v>2122117</v>
      </c>
      <c r="V769" s="2212" t="e">
        <f>IF('Report-M&amp;O2122'!C$18-'Report-SOF2122'!D$55&lt;=0,0,'Report-M&amp;O2122'!C$18-'Report-SOF2122'!D$55)</f>
        <v>#DIV/0!</v>
      </c>
      <c r="W769" s="2452" t="e">
        <f t="shared" si="139"/>
        <v>#DIV/0!</v>
      </c>
      <c r="X769" s="1708">
        <f>IF(A769='Data Entry - SOF'!B$2,'Data Entry - SOF'!M$64,0)</f>
        <v>0</v>
      </c>
      <c r="Y769" s="1371" t="e">
        <f t="shared" si="140"/>
        <v>#DIV/0!</v>
      </c>
      <c r="Z769" s="2212" t="e">
        <f>IF('Report-M&amp;O2223'!C$18-'Report-SOF2223'!D$55&lt;=0,0,'Report-M&amp;O2223'!C$18-'Report-SOF2223'!D$55)</f>
        <v>#DIV/0!</v>
      </c>
      <c r="AA769" s="1708">
        <f>IF(A769='Data Entry - SOF'!B$2,'Data Entry - SOF'!O$64,0)</f>
        <v>0</v>
      </c>
    </row>
    <row r="770" spans="1:27" ht="15.75">
      <c r="A770" s="1076" t="s">
        <v>2144</v>
      </c>
      <c r="B770">
        <v>8035002</v>
      </c>
      <c r="C770" s="2452" t="e">
        <f>#REF!+#REF!</f>
        <v>#REF!</v>
      </c>
      <c r="D770" s="2449">
        <f>IF(A770='Data Entry - SOF'!B$2,'Data Entry - SOF'!C$64,0)</f>
        <v>0</v>
      </c>
      <c r="E770" s="2450">
        <f t="shared" si="141"/>
        <v>8035002</v>
      </c>
      <c r="F770" s="2212" t="e">
        <f>IF('Report-M&amp;O1718'!C$18-'Report-SOF1718'!D$55&lt;=0,0,'Report-M&amp;O1718'!C$18-'Report-SOF1718'!D$55)</f>
        <v>#DIV/0!</v>
      </c>
      <c r="G770" s="2452" t="e">
        <f t="shared" si="133"/>
        <v>#DIV/0!</v>
      </c>
      <c r="H770" s="2449">
        <f>IF(A770='Data Entry - SOF'!B$2,'Data Entry - SOF'!E$64,0)</f>
        <v>0</v>
      </c>
      <c r="I770" s="1687">
        <f t="shared" si="134"/>
        <v>8035002</v>
      </c>
      <c r="J770" s="2212" t="e">
        <f>IF('Report-M&amp;O1819'!C$18-'Report-SOF1819'!D$55&lt;=0,0,'Report-M&amp;O1819'!C$18-'Report-SOF1819'!D$55)</f>
        <v>#DIV/0!</v>
      </c>
      <c r="K770" s="2452" t="e">
        <f t="shared" si="135"/>
        <v>#DIV/0!</v>
      </c>
      <c r="L770" s="2449">
        <f>IF(A770='Data Entry - SOF'!B$2,'Data Entry - SOF'!G$64,0)</f>
        <v>0</v>
      </c>
      <c r="M770" s="1371">
        <f t="shared" si="136"/>
        <v>8035002</v>
      </c>
      <c r="N770" s="2212" t="e">
        <f>IF('Report-M&amp;O1920'!C$18-'Report-SOF1920'!D$55&lt;=0,0,'Report-M&amp;O1920'!C$18-'Report-SOF1920'!D$55)</f>
        <v>#DIV/0!</v>
      </c>
      <c r="O770" s="2452" t="e">
        <f t="shared" si="137"/>
        <v>#DIV/0!</v>
      </c>
      <c r="P770" s="2449">
        <f>IF(A770='Data Entry - SOF'!B$2,'Data Entry - SOF'!I$64,0)</f>
        <v>0</v>
      </c>
      <c r="Q770" s="1687">
        <f t="shared" si="144"/>
        <v>8035002</v>
      </c>
      <c r="R770" s="2212" t="e">
        <f>IF('Report-M&amp;O2021'!C$18-'Report-SOF2021'!D$55&lt;=0,0,'Report-M&amp;O2021'!C$18-'Report-SOF2021'!D$55)</f>
        <v>#DIV/0!</v>
      </c>
      <c r="S770" s="2452" t="e">
        <f t="shared" si="138"/>
        <v>#DIV/0!</v>
      </c>
      <c r="T770" s="1708">
        <f>IF(A770='Data Entry - SOF'!B$2,'Data Entry - SOF'!K$64,0)</f>
        <v>0</v>
      </c>
      <c r="U770" s="1687">
        <f t="shared" si="143"/>
        <v>8035002</v>
      </c>
      <c r="V770" s="2212" t="e">
        <f>IF('Report-M&amp;O2122'!C$18-'Report-SOF2122'!D$55&lt;=0,0,'Report-M&amp;O2122'!C$18-'Report-SOF2122'!D$55)</f>
        <v>#DIV/0!</v>
      </c>
      <c r="W770" s="2452" t="e">
        <f t="shared" si="139"/>
        <v>#DIV/0!</v>
      </c>
      <c r="X770" s="1708">
        <f>IF(A770='Data Entry - SOF'!B$2,'Data Entry - SOF'!M$64,0)</f>
        <v>0</v>
      </c>
      <c r="Y770" s="1371" t="e">
        <f t="shared" si="140"/>
        <v>#DIV/0!</v>
      </c>
      <c r="Z770" s="2212" t="e">
        <f>IF('Report-M&amp;O2223'!C$18-'Report-SOF2223'!D$55&lt;=0,0,'Report-M&amp;O2223'!C$18-'Report-SOF2223'!D$55)</f>
        <v>#DIV/0!</v>
      </c>
      <c r="AA770" s="1708">
        <f>IF(A770='Data Entry - SOF'!B$2,'Data Entry - SOF'!O$64,0)</f>
        <v>0</v>
      </c>
    </row>
    <row r="771" spans="1:27" ht="15.75">
      <c r="A771" s="1076" t="s">
        <v>1834</v>
      </c>
      <c r="B771">
        <v>2121596.3202933501</v>
      </c>
      <c r="C771" s="2452" t="e">
        <f>#REF!+#REF!</f>
        <v>#REF!</v>
      </c>
      <c r="D771" s="2449">
        <f>IF(A771='Data Entry - SOF'!B$2,'Data Entry - SOF'!C$64,0)</f>
        <v>0</v>
      </c>
      <c r="E771" s="2450">
        <f t="shared" si="141"/>
        <v>2121596.3202933501</v>
      </c>
      <c r="F771" s="2212" t="e">
        <f>IF('Report-M&amp;O1718'!C$18-'Report-SOF1718'!D$55&lt;=0,0,'Report-M&amp;O1718'!C$18-'Report-SOF1718'!D$55)</f>
        <v>#DIV/0!</v>
      </c>
      <c r="G771" s="2452" t="e">
        <f t="shared" si="133"/>
        <v>#DIV/0!</v>
      </c>
      <c r="H771" s="2449">
        <f>IF(A771='Data Entry - SOF'!B$2,'Data Entry - SOF'!E$64,0)</f>
        <v>0</v>
      </c>
      <c r="I771" s="1687">
        <f t="shared" si="134"/>
        <v>2121596.3202933501</v>
      </c>
      <c r="J771" s="2212" t="e">
        <f>IF('Report-M&amp;O1819'!C$18-'Report-SOF1819'!D$55&lt;=0,0,'Report-M&amp;O1819'!C$18-'Report-SOF1819'!D$55)</f>
        <v>#DIV/0!</v>
      </c>
      <c r="K771" s="2452" t="e">
        <f t="shared" si="135"/>
        <v>#DIV/0!</v>
      </c>
      <c r="L771" s="2449">
        <f>IF(A771='Data Entry - SOF'!B$2,'Data Entry - SOF'!G$64,0)</f>
        <v>0</v>
      </c>
      <c r="M771" s="1371">
        <f t="shared" si="136"/>
        <v>2121596.3202933501</v>
      </c>
      <c r="N771" s="2212" t="e">
        <f>IF('Report-M&amp;O1920'!C$18-'Report-SOF1920'!D$55&lt;=0,0,'Report-M&amp;O1920'!C$18-'Report-SOF1920'!D$55)</f>
        <v>#DIV/0!</v>
      </c>
      <c r="O771" s="2452" t="e">
        <f t="shared" si="137"/>
        <v>#DIV/0!</v>
      </c>
      <c r="P771" s="2449">
        <f>IF(A771='Data Entry - SOF'!B$2,'Data Entry - SOF'!I$64,0)</f>
        <v>0</v>
      </c>
      <c r="Q771" s="1687">
        <f t="shared" si="144"/>
        <v>2121596.3202933501</v>
      </c>
      <c r="R771" s="2212" t="e">
        <f>IF('Report-M&amp;O2021'!C$18-'Report-SOF2021'!D$55&lt;=0,0,'Report-M&amp;O2021'!C$18-'Report-SOF2021'!D$55)</f>
        <v>#DIV/0!</v>
      </c>
      <c r="S771" s="2452" t="e">
        <f t="shared" si="138"/>
        <v>#DIV/0!</v>
      </c>
      <c r="T771" s="1708">
        <f>IF(A771='Data Entry - SOF'!B$2,'Data Entry - SOF'!K$64,0)</f>
        <v>0</v>
      </c>
      <c r="U771" s="1687">
        <f t="shared" si="143"/>
        <v>2121596.3202933501</v>
      </c>
      <c r="V771" s="2212" t="e">
        <f>IF('Report-M&amp;O2122'!C$18-'Report-SOF2122'!D$55&lt;=0,0,'Report-M&amp;O2122'!C$18-'Report-SOF2122'!D$55)</f>
        <v>#DIV/0!</v>
      </c>
      <c r="W771" s="2452" t="e">
        <f t="shared" si="139"/>
        <v>#DIV/0!</v>
      </c>
      <c r="X771" s="1708">
        <f>IF(A771='Data Entry - SOF'!B$2,'Data Entry - SOF'!M$64,0)</f>
        <v>0</v>
      </c>
      <c r="Y771" s="1371" t="e">
        <f t="shared" si="140"/>
        <v>#DIV/0!</v>
      </c>
      <c r="Z771" s="2212" t="e">
        <f>IF('Report-M&amp;O2223'!C$18-'Report-SOF2223'!D$55&lt;=0,0,'Report-M&amp;O2223'!C$18-'Report-SOF2223'!D$55)</f>
        <v>#DIV/0!</v>
      </c>
      <c r="AA771" s="1708">
        <f>IF(A771='Data Entry - SOF'!B$2,'Data Entry - SOF'!O$64,0)</f>
        <v>0</v>
      </c>
    </row>
    <row r="772" spans="1:27" ht="15.75">
      <c r="A772" s="1076" t="s">
        <v>1835</v>
      </c>
      <c r="B772">
        <v>858480</v>
      </c>
      <c r="C772" s="2452" t="e">
        <f>#REF!+#REF!</f>
        <v>#REF!</v>
      </c>
      <c r="D772" s="2449">
        <f>IF(A772='Data Entry - SOF'!B$2,'Data Entry - SOF'!C$64,0)</f>
        <v>0</v>
      </c>
      <c r="E772" s="2450">
        <f t="shared" si="141"/>
        <v>858480</v>
      </c>
      <c r="F772" s="2212" t="e">
        <f>IF('Report-M&amp;O1718'!C$18-'Report-SOF1718'!D$55&lt;=0,0,'Report-M&amp;O1718'!C$18-'Report-SOF1718'!D$55)</f>
        <v>#DIV/0!</v>
      </c>
      <c r="G772" s="2452" t="e">
        <f t="shared" ref="G772:G835" si="145">E772+F772</f>
        <v>#DIV/0!</v>
      </c>
      <c r="H772" s="2449">
        <f>IF(A772='Data Entry - SOF'!B$2,'Data Entry - SOF'!E$64,0)</f>
        <v>0</v>
      </c>
      <c r="I772" s="1687">
        <f t="shared" ref="I772:I835" si="146">E772-H772</f>
        <v>858480</v>
      </c>
      <c r="J772" s="2212" t="e">
        <f>IF('Report-M&amp;O1819'!C$18-'Report-SOF1819'!D$55&lt;=0,0,'Report-M&amp;O1819'!C$18-'Report-SOF1819'!D$55)</f>
        <v>#DIV/0!</v>
      </c>
      <c r="K772" s="2452" t="e">
        <f t="shared" ref="K772:K835" si="147">I772+J772</f>
        <v>#DIV/0!</v>
      </c>
      <c r="L772" s="2449">
        <f>IF(A772='Data Entry - SOF'!B$2,'Data Entry - SOF'!G$64,0)</f>
        <v>0</v>
      </c>
      <c r="M772" s="1371">
        <f t="shared" ref="M772:M835" si="148">I772-L772</f>
        <v>858480</v>
      </c>
      <c r="N772" s="2212" t="e">
        <f>IF('Report-M&amp;O1920'!C$18-'Report-SOF1920'!D$55&lt;=0,0,'Report-M&amp;O1920'!C$18-'Report-SOF1920'!D$55)</f>
        <v>#DIV/0!</v>
      </c>
      <c r="O772" s="2452" t="e">
        <f t="shared" ref="O772:O835" si="149">M772+N772</f>
        <v>#DIV/0!</v>
      </c>
      <c r="P772" s="2449">
        <f>IF(A772='Data Entry - SOF'!B$2,'Data Entry - SOF'!I$64,0)</f>
        <v>0</v>
      </c>
      <c r="Q772" s="1687">
        <f t="shared" si="144"/>
        <v>858480</v>
      </c>
      <c r="R772" s="2212" t="e">
        <f>IF('Report-M&amp;O2021'!C$18-'Report-SOF2021'!D$55&lt;=0,0,'Report-M&amp;O2021'!C$18-'Report-SOF2021'!D$55)</f>
        <v>#DIV/0!</v>
      </c>
      <c r="S772" s="2452" t="e">
        <f t="shared" ref="S772:S835" si="150">Q772+R772</f>
        <v>#DIV/0!</v>
      </c>
      <c r="T772" s="1708">
        <f>IF(A772='Data Entry - SOF'!B$2,'Data Entry - SOF'!K$64,0)</f>
        <v>0</v>
      </c>
      <c r="U772" s="1687">
        <f t="shared" si="143"/>
        <v>858480</v>
      </c>
      <c r="V772" s="2212" t="e">
        <f>IF('Report-M&amp;O2122'!C$18-'Report-SOF2122'!D$55&lt;=0,0,'Report-M&amp;O2122'!C$18-'Report-SOF2122'!D$55)</f>
        <v>#DIV/0!</v>
      </c>
      <c r="W772" s="2452" t="e">
        <f t="shared" ref="W772:W835" si="151">U772+V772</f>
        <v>#DIV/0!</v>
      </c>
      <c r="X772" s="1708">
        <f>IF(A772='Data Entry - SOF'!B$2,'Data Entry - SOF'!M$64,0)</f>
        <v>0</v>
      </c>
      <c r="Y772" s="1371" t="e">
        <f t="shared" ref="Y772:Y835" si="152">IF(U772+V772-X772&lt;=0,0,U772+V772-X772)</f>
        <v>#DIV/0!</v>
      </c>
      <c r="Z772" s="2212" t="e">
        <f>IF('Report-M&amp;O2223'!C$18-'Report-SOF2223'!D$55&lt;=0,0,'Report-M&amp;O2223'!C$18-'Report-SOF2223'!D$55)</f>
        <v>#DIV/0!</v>
      </c>
      <c r="AA772" s="1708">
        <f>IF(A772='Data Entry - SOF'!B$2,'Data Entry - SOF'!O$64,0)</f>
        <v>0</v>
      </c>
    </row>
    <row r="773" spans="1:27" ht="15.75">
      <c r="A773" s="1076" t="s">
        <v>1836</v>
      </c>
      <c r="B773">
        <v>1087630</v>
      </c>
      <c r="C773" s="2452" t="e">
        <f>#REF!+#REF!</f>
        <v>#REF!</v>
      </c>
      <c r="D773" s="2449">
        <f>IF(A773='Data Entry - SOF'!B$2,'Data Entry - SOF'!C$64,0)</f>
        <v>0</v>
      </c>
      <c r="E773" s="2450">
        <f t="shared" ref="E773:E836" si="153">IF(B773-D773&lt;0,0,B773-D773)</f>
        <v>1087630</v>
      </c>
      <c r="F773" s="2212" t="e">
        <f>IF('Report-M&amp;O1718'!C$18-'Report-SOF1718'!D$55&lt;=0,0,'Report-M&amp;O1718'!C$18-'Report-SOF1718'!D$55)</f>
        <v>#DIV/0!</v>
      </c>
      <c r="G773" s="2452" t="e">
        <f t="shared" si="145"/>
        <v>#DIV/0!</v>
      </c>
      <c r="H773" s="2449">
        <f>IF(A773='Data Entry - SOF'!B$2,'Data Entry - SOF'!E$64,0)</f>
        <v>0</v>
      </c>
      <c r="I773" s="1687">
        <f t="shared" si="146"/>
        <v>1087630</v>
      </c>
      <c r="J773" s="2212" t="e">
        <f>IF('Report-M&amp;O1819'!C$18-'Report-SOF1819'!D$55&lt;=0,0,'Report-M&amp;O1819'!C$18-'Report-SOF1819'!D$55)</f>
        <v>#DIV/0!</v>
      </c>
      <c r="K773" s="2452" t="e">
        <f t="shared" si="147"/>
        <v>#DIV/0!</v>
      </c>
      <c r="L773" s="2449">
        <f>IF(A773='Data Entry - SOF'!B$2,'Data Entry - SOF'!G$64,0)</f>
        <v>0</v>
      </c>
      <c r="M773" s="1371">
        <f t="shared" si="148"/>
        <v>1087630</v>
      </c>
      <c r="N773" s="2212" t="e">
        <f>IF('Report-M&amp;O1920'!C$18-'Report-SOF1920'!D$55&lt;=0,0,'Report-M&amp;O1920'!C$18-'Report-SOF1920'!D$55)</f>
        <v>#DIV/0!</v>
      </c>
      <c r="O773" s="2452" t="e">
        <f t="shared" si="149"/>
        <v>#DIV/0!</v>
      </c>
      <c r="P773" s="2449">
        <f>IF(A773='Data Entry - SOF'!B$2,'Data Entry - SOF'!I$64,0)</f>
        <v>0</v>
      </c>
      <c r="Q773" s="1687">
        <f t="shared" si="144"/>
        <v>1087630</v>
      </c>
      <c r="R773" s="2212" t="e">
        <f>IF('Report-M&amp;O2021'!C$18-'Report-SOF2021'!D$55&lt;=0,0,'Report-M&amp;O2021'!C$18-'Report-SOF2021'!D$55)</f>
        <v>#DIV/0!</v>
      </c>
      <c r="S773" s="2452" t="e">
        <f t="shared" si="150"/>
        <v>#DIV/0!</v>
      </c>
      <c r="T773" s="1708">
        <f>IF(A773='Data Entry - SOF'!B$2,'Data Entry - SOF'!K$64,0)</f>
        <v>0</v>
      </c>
      <c r="U773" s="1687">
        <f t="shared" si="143"/>
        <v>1087630</v>
      </c>
      <c r="V773" s="2212" t="e">
        <f>IF('Report-M&amp;O2122'!C$18-'Report-SOF2122'!D$55&lt;=0,0,'Report-M&amp;O2122'!C$18-'Report-SOF2122'!D$55)</f>
        <v>#DIV/0!</v>
      </c>
      <c r="W773" s="2452" t="e">
        <f t="shared" si="151"/>
        <v>#DIV/0!</v>
      </c>
      <c r="X773" s="1708">
        <f>IF(A773='Data Entry - SOF'!B$2,'Data Entry - SOF'!M$64,0)</f>
        <v>0</v>
      </c>
      <c r="Y773" s="1371" t="e">
        <f t="shared" si="152"/>
        <v>#DIV/0!</v>
      </c>
      <c r="Z773" s="2212" t="e">
        <f>IF('Report-M&amp;O2223'!C$18-'Report-SOF2223'!D$55&lt;=0,0,'Report-M&amp;O2223'!C$18-'Report-SOF2223'!D$55)</f>
        <v>#DIV/0!</v>
      </c>
      <c r="AA773" s="1708">
        <f>IF(A773='Data Entry - SOF'!B$2,'Data Entry - SOF'!O$64,0)</f>
        <v>0</v>
      </c>
    </row>
    <row r="774" spans="1:27" ht="15.75">
      <c r="A774" s="1076" t="s">
        <v>1837</v>
      </c>
      <c r="B774">
        <v>1185777</v>
      </c>
      <c r="C774" s="2452" t="e">
        <f>#REF!+#REF!</f>
        <v>#REF!</v>
      </c>
      <c r="D774" s="2449">
        <f>IF(A774='Data Entry - SOF'!B$2,'Data Entry - SOF'!C$64,0)</f>
        <v>0</v>
      </c>
      <c r="E774" s="2450">
        <f t="shared" si="153"/>
        <v>1185777</v>
      </c>
      <c r="F774" s="2212" t="e">
        <f>IF('Report-M&amp;O1718'!C$18-'Report-SOF1718'!D$55&lt;=0,0,'Report-M&amp;O1718'!C$18-'Report-SOF1718'!D$55)</f>
        <v>#DIV/0!</v>
      </c>
      <c r="G774" s="2452" t="e">
        <f t="shared" si="145"/>
        <v>#DIV/0!</v>
      </c>
      <c r="H774" s="2449">
        <f>IF(A774='Data Entry - SOF'!B$2,'Data Entry - SOF'!E$64,0)</f>
        <v>0</v>
      </c>
      <c r="I774" s="1687">
        <f t="shared" si="146"/>
        <v>1185777</v>
      </c>
      <c r="J774" s="2212" t="e">
        <f>IF('Report-M&amp;O1819'!C$18-'Report-SOF1819'!D$55&lt;=0,0,'Report-M&amp;O1819'!C$18-'Report-SOF1819'!D$55)</f>
        <v>#DIV/0!</v>
      </c>
      <c r="K774" s="2452" t="e">
        <f t="shared" si="147"/>
        <v>#DIV/0!</v>
      </c>
      <c r="L774" s="2449">
        <f>IF(A774='Data Entry - SOF'!B$2,'Data Entry - SOF'!G$64,0)</f>
        <v>0</v>
      </c>
      <c r="M774" s="1371">
        <f t="shared" si="148"/>
        <v>1185777</v>
      </c>
      <c r="N774" s="2212" t="e">
        <f>IF('Report-M&amp;O1920'!C$18-'Report-SOF1920'!D$55&lt;=0,0,'Report-M&amp;O1920'!C$18-'Report-SOF1920'!D$55)</f>
        <v>#DIV/0!</v>
      </c>
      <c r="O774" s="2452" t="e">
        <f t="shared" si="149"/>
        <v>#DIV/0!</v>
      </c>
      <c r="P774" s="2449">
        <f>IF(A774='Data Entry - SOF'!B$2,'Data Entry - SOF'!I$64,0)</f>
        <v>0</v>
      </c>
      <c r="Q774" s="1687">
        <f t="shared" si="144"/>
        <v>1185777</v>
      </c>
      <c r="R774" s="2212" t="e">
        <f>IF('Report-M&amp;O2021'!C$18-'Report-SOF2021'!D$55&lt;=0,0,'Report-M&amp;O2021'!C$18-'Report-SOF2021'!D$55)</f>
        <v>#DIV/0!</v>
      </c>
      <c r="S774" s="2452" t="e">
        <f t="shared" si="150"/>
        <v>#DIV/0!</v>
      </c>
      <c r="T774" s="1708">
        <f>IF(A774='Data Entry - SOF'!B$2,'Data Entry - SOF'!K$64,0)</f>
        <v>0</v>
      </c>
      <c r="U774" s="1687">
        <f t="shared" si="143"/>
        <v>1185777</v>
      </c>
      <c r="V774" s="2212" t="e">
        <f>IF('Report-M&amp;O2122'!C$18-'Report-SOF2122'!D$55&lt;=0,0,'Report-M&amp;O2122'!C$18-'Report-SOF2122'!D$55)</f>
        <v>#DIV/0!</v>
      </c>
      <c r="W774" s="2452" t="e">
        <f t="shared" si="151"/>
        <v>#DIV/0!</v>
      </c>
      <c r="X774" s="1708">
        <f>IF(A774='Data Entry - SOF'!B$2,'Data Entry - SOF'!M$64,0)</f>
        <v>0</v>
      </c>
      <c r="Y774" s="1371" t="e">
        <f t="shared" si="152"/>
        <v>#DIV/0!</v>
      </c>
      <c r="Z774" s="2212" t="e">
        <f>IF('Report-M&amp;O2223'!C$18-'Report-SOF2223'!D$55&lt;=0,0,'Report-M&amp;O2223'!C$18-'Report-SOF2223'!D$55)</f>
        <v>#DIV/0!</v>
      </c>
      <c r="AA774" s="1708">
        <f>IF(A774='Data Entry - SOF'!B$2,'Data Entry - SOF'!O$64,0)</f>
        <v>0</v>
      </c>
    </row>
    <row r="775" spans="1:27" ht="15.75">
      <c r="A775" s="1076" t="s">
        <v>1838</v>
      </c>
      <c r="B775">
        <v>880936</v>
      </c>
      <c r="C775" s="2452" t="e">
        <f>#REF!+#REF!</f>
        <v>#REF!</v>
      </c>
      <c r="D775" s="2449">
        <f>IF(A775='Data Entry - SOF'!B$2,'Data Entry - SOF'!C$64,0)</f>
        <v>0</v>
      </c>
      <c r="E775" s="2450">
        <f t="shared" si="153"/>
        <v>880936</v>
      </c>
      <c r="F775" s="2212" t="e">
        <f>IF('Report-M&amp;O1718'!C$18-'Report-SOF1718'!D$55&lt;=0,0,'Report-M&amp;O1718'!C$18-'Report-SOF1718'!D$55)</f>
        <v>#DIV/0!</v>
      </c>
      <c r="G775" s="2452" t="e">
        <f t="shared" si="145"/>
        <v>#DIV/0!</v>
      </c>
      <c r="H775" s="2449">
        <f>IF(A775='Data Entry - SOF'!B$2,'Data Entry - SOF'!E$64,0)</f>
        <v>0</v>
      </c>
      <c r="I775" s="1687">
        <f t="shared" si="146"/>
        <v>880936</v>
      </c>
      <c r="J775" s="2212" t="e">
        <f>IF('Report-M&amp;O1819'!C$18-'Report-SOF1819'!D$55&lt;=0,0,'Report-M&amp;O1819'!C$18-'Report-SOF1819'!D$55)</f>
        <v>#DIV/0!</v>
      </c>
      <c r="K775" s="2452" t="e">
        <f t="shared" si="147"/>
        <v>#DIV/0!</v>
      </c>
      <c r="L775" s="2449">
        <f>IF(A775='Data Entry - SOF'!B$2,'Data Entry - SOF'!G$64,0)</f>
        <v>0</v>
      </c>
      <c r="M775" s="1371">
        <f t="shared" si="148"/>
        <v>880936</v>
      </c>
      <c r="N775" s="2212" t="e">
        <f>IF('Report-M&amp;O1920'!C$18-'Report-SOF1920'!D$55&lt;=0,0,'Report-M&amp;O1920'!C$18-'Report-SOF1920'!D$55)</f>
        <v>#DIV/0!</v>
      </c>
      <c r="O775" s="2452" t="e">
        <f t="shared" si="149"/>
        <v>#DIV/0!</v>
      </c>
      <c r="P775" s="2449">
        <f>IF(A775='Data Entry - SOF'!B$2,'Data Entry - SOF'!I$64,0)</f>
        <v>0</v>
      </c>
      <c r="Q775" s="1687">
        <f t="shared" si="144"/>
        <v>880936</v>
      </c>
      <c r="R775" s="2212" t="e">
        <f>IF('Report-M&amp;O2021'!C$18-'Report-SOF2021'!D$55&lt;=0,0,'Report-M&amp;O2021'!C$18-'Report-SOF2021'!D$55)</f>
        <v>#DIV/0!</v>
      </c>
      <c r="S775" s="2452" t="e">
        <f t="shared" si="150"/>
        <v>#DIV/0!</v>
      </c>
      <c r="T775" s="1708">
        <f>IF(A775='Data Entry - SOF'!B$2,'Data Entry - SOF'!K$64,0)</f>
        <v>0</v>
      </c>
      <c r="U775" s="1687">
        <f t="shared" si="143"/>
        <v>880936</v>
      </c>
      <c r="V775" s="2212" t="e">
        <f>IF('Report-M&amp;O2122'!C$18-'Report-SOF2122'!D$55&lt;=0,0,'Report-M&amp;O2122'!C$18-'Report-SOF2122'!D$55)</f>
        <v>#DIV/0!</v>
      </c>
      <c r="W775" s="2452" t="e">
        <f t="shared" si="151"/>
        <v>#DIV/0!</v>
      </c>
      <c r="X775" s="1708">
        <f>IF(A775='Data Entry - SOF'!B$2,'Data Entry - SOF'!M$64,0)</f>
        <v>0</v>
      </c>
      <c r="Y775" s="1371" t="e">
        <f t="shared" si="152"/>
        <v>#DIV/0!</v>
      </c>
      <c r="Z775" s="2212" t="e">
        <f>IF('Report-M&amp;O2223'!C$18-'Report-SOF2223'!D$55&lt;=0,0,'Report-M&amp;O2223'!C$18-'Report-SOF2223'!D$55)</f>
        <v>#DIV/0!</v>
      </c>
      <c r="AA775" s="1708">
        <f>IF(A775='Data Entry - SOF'!B$2,'Data Entry - SOF'!O$64,0)</f>
        <v>0</v>
      </c>
    </row>
    <row r="776" spans="1:27" ht="15.75">
      <c r="A776" s="1076" t="s">
        <v>2140</v>
      </c>
      <c r="B776">
        <v>3290202.9823869402</v>
      </c>
      <c r="C776" s="2452" t="e">
        <f>#REF!+#REF!</f>
        <v>#REF!</v>
      </c>
      <c r="D776" s="2449">
        <f>IF(A776='Data Entry - SOF'!B$2,'Data Entry - SOF'!C$64,0)</f>
        <v>0</v>
      </c>
      <c r="E776" s="2450">
        <f t="shared" si="153"/>
        <v>3290202.9823869402</v>
      </c>
      <c r="F776" s="2212" t="e">
        <f>IF('Report-M&amp;O1718'!C$18-'Report-SOF1718'!D$55&lt;=0,0,'Report-M&amp;O1718'!C$18-'Report-SOF1718'!D$55)</f>
        <v>#DIV/0!</v>
      </c>
      <c r="G776" s="2452" t="e">
        <f t="shared" si="145"/>
        <v>#DIV/0!</v>
      </c>
      <c r="H776" s="2449">
        <f>IF(A776='Data Entry - SOF'!B$2,'Data Entry - SOF'!E$64,0)</f>
        <v>0</v>
      </c>
      <c r="I776" s="1687">
        <f t="shared" si="146"/>
        <v>3290202.9823869402</v>
      </c>
      <c r="J776" s="2212" t="e">
        <f>IF('Report-M&amp;O1819'!C$18-'Report-SOF1819'!D$55&lt;=0,0,'Report-M&amp;O1819'!C$18-'Report-SOF1819'!D$55)</f>
        <v>#DIV/0!</v>
      </c>
      <c r="K776" s="2452" t="e">
        <f t="shared" si="147"/>
        <v>#DIV/0!</v>
      </c>
      <c r="L776" s="2449">
        <f>IF(A776='Data Entry - SOF'!B$2,'Data Entry - SOF'!G$64,0)</f>
        <v>0</v>
      </c>
      <c r="M776" s="1371">
        <f t="shared" si="148"/>
        <v>3290202.9823869402</v>
      </c>
      <c r="N776" s="2212" t="e">
        <f>IF('Report-M&amp;O1920'!C$18-'Report-SOF1920'!D$55&lt;=0,0,'Report-M&amp;O1920'!C$18-'Report-SOF1920'!D$55)</f>
        <v>#DIV/0!</v>
      </c>
      <c r="O776" s="2452" t="e">
        <f t="shared" si="149"/>
        <v>#DIV/0!</v>
      </c>
      <c r="P776" s="2449">
        <f>IF(A776='Data Entry - SOF'!B$2,'Data Entry - SOF'!I$64,0)</f>
        <v>0</v>
      </c>
      <c r="Q776" s="1687">
        <f t="shared" si="144"/>
        <v>3290202.9823869402</v>
      </c>
      <c r="R776" s="2212" t="e">
        <f>IF('Report-M&amp;O2021'!C$18-'Report-SOF2021'!D$55&lt;=0,0,'Report-M&amp;O2021'!C$18-'Report-SOF2021'!D$55)</f>
        <v>#DIV/0!</v>
      </c>
      <c r="S776" s="2452" t="e">
        <f t="shared" si="150"/>
        <v>#DIV/0!</v>
      </c>
      <c r="T776" s="1708">
        <f>IF(A776='Data Entry - SOF'!B$2,'Data Entry - SOF'!K$64,0)</f>
        <v>0</v>
      </c>
      <c r="U776" s="1687">
        <f t="shared" si="143"/>
        <v>3290202.9823869402</v>
      </c>
      <c r="V776" s="2212" t="e">
        <f>IF('Report-M&amp;O2122'!C$18-'Report-SOF2122'!D$55&lt;=0,0,'Report-M&amp;O2122'!C$18-'Report-SOF2122'!D$55)</f>
        <v>#DIV/0!</v>
      </c>
      <c r="W776" s="2452" t="e">
        <f t="shared" si="151"/>
        <v>#DIV/0!</v>
      </c>
      <c r="X776" s="1708">
        <f>IF(A776='Data Entry - SOF'!B$2,'Data Entry - SOF'!M$64,0)</f>
        <v>0</v>
      </c>
      <c r="Y776" s="1371" t="e">
        <f t="shared" si="152"/>
        <v>#DIV/0!</v>
      </c>
      <c r="Z776" s="2212" t="e">
        <f>IF('Report-M&amp;O2223'!C$18-'Report-SOF2223'!D$55&lt;=0,0,'Report-M&amp;O2223'!C$18-'Report-SOF2223'!D$55)</f>
        <v>#DIV/0!</v>
      </c>
      <c r="AA776" s="1708">
        <f>IF(A776='Data Entry - SOF'!B$2,'Data Entry - SOF'!O$64,0)</f>
        <v>0</v>
      </c>
    </row>
    <row r="777" spans="1:27" ht="15.75">
      <c r="A777" s="1076" t="s">
        <v>2625</v>
      </c>
      <c r="B777">
        <v>23241851</v>
      </c>
      <c r="C777" s="2452" t="e">
        <f>#REF!+#REF!</f>
        <v>#REF!</v>
      </c>
      <c r="D777" s="2449">
        <f>IF(A777='Data Entry - SOF'!B$2,'Data Entry - SOF'!C$64,0)</f>
        <v>0</v>
      </c>
      <c r="E777" s="2450">
        <f t="shared" si="153"/>
        <v>23241851</v>
      </c>
      <c r="F777" s="2212" t="e">
        <f>IF('Report-M&amp;O1718'!C$18-'Report-SOF1718'!D$55&lt;=0,0,'Report-M&amp;O1718'!C$18-'Report-SOF1718'!D$55)</f>
        <v>#DIV/0!</v>
      </c>
      <c r="G777" s="2452" t="e">
        <f t="shared" si="145"/>
        <v>#DIV/0!</v>
      </c>
      <c r="H777" s="2449">
        <f>IF(A777='Data Entry - SOF'!B$2,'Data Entry - SOF'!E$64,0)</f>
        <v>0</v>
      </c>
      <c r="I777" s="1687">
        <f t="shared" si="146"/>
        <v>23241851</v>
      </c>
      <c r="J777" s="2212" t="e">
        <f>IF('Report-M&amp;O1819'!C$18-'Report-SOF1819'!D$55&lt;=0,0,'Report-M&amp;O1819'!C$18-'Report-SOF1819'!D$55)</f>
        <v>#DIV/0!</v>
      </c>
      <c r="K777" s="2452" t="e">
        <f t="shared" si="147"/>
        <v>#DIV/0!</v>
      </c>
      <c r="L777" s="2449">
        <f>IF(A777='Data Entry - SOF'!B$2,'Data Entry - SOF'!G$64,0)</f>
        <v>0</v>
      </c>
      <c r="M777" s="1371">
        <f t="shared" si="148"/>
        <v>23241851</v>
      </c>
      <c r="N777" s="2212" t="e">
        <f>IF('Report-M&amp;O1920'!C$18-'Report-SOF1920'!D$55&lt;=0,0,'Report-M&amp;O1920'!C$18-'Report-SOF1920'!D$55)</f>
        <v>#DIV/0!</v>
      </c>
      <c r="O777" s="2452" t="e">
        <f t="shared" si="149"/>
        <v>#DIV/0!</v>
      </c>
      <c r="P777" s="2449">
        <f>IF(A777='Data Entry - SOF'!B$2,'Data Entry - SOF'!I$64,0)</f>
        <v>0</v>
      </c>
      <c r="Q777" s="1687">
        <f t="shared" si="144"/>
        <v>23241851</v>
      </c>
      <c r="R777" s="2212" t="e">
        <f>IF('Report-M&amp;O2021'!C$18-'Report-SOF2021'!D$55&lt;=0,0,'Report-M&amp;O2021'!C$18-'Report-SOF2021'!D$55)</f>
        <v>#DIV/0!</v>
      </c>
      <c r="S777" s="2452" t="e">
        <f t="shared" si="150"/>
        <v>#DIV/0!</v>
      </c>
      <c r="T777" s="1708">
        <f>IF(A777='Data Entry - SOF'!B$2,'Data Entry - SOF'!K$64,0)</f>
        <v>0</v>
      </c>
      <c r="U777" s="1687">
        <f t="shared" si="143"/>
        <v>23241851</v>
      </c>
      <c r="V777" s="2212" t="e">
        <f>IF('Report-M&amp;O2122'!C$18-'Report-SOF2122'!D$55&lt;=0,0,'Report-M&amp;O2122'!C$18-'Report-SOF2122'!D$55)</f>
        <v>#DIV/0!</v>
      </c>
      <c r="W777" s="2452" t="e">
        <f t="shared" si="151"/>
        <v>#DIV/0!</v>
      </c>
      <c r="X777" s="1708">
        <f>IF(A777='Data Entry - SOF'!B$2,'Data Entry - SOF'!M$64,0)</f>
        <v>0</v>
      </c>
      <c r="Y777" s="1371" t="e">
        <f t="shared" si="152"/>
        <v>#DIV/0!</v>
      </c>
      <c r="Z777" s="2212" t="e">
        <f>IF('Report-M&amp;O2223'!C$18-'Report-SOF2223'!D$55&lt;=0,0,'Report-M&amp;O2223'!C$18-'Report-SOF2223'!D$55)</f>
        <v>#DIV/0!</v>
      </c>
      <c r="AA777" s="1708">
        <f>IF(A777='Data Entry - SOF'!B$2,'Data Entry - SOF'!O$64,0)</f>
        <v>0</v>
      </c>
    </row>
    <row r="778" spans="1:27" ht="15.75">
      <c r="A778" s="1076" t="s">
        <v>2614</v>
      </c>
      <c r="B778">
        <v>21814193</v>
      </c>
      <c r="C778" s="2452" t="e">
        <f>#REF!+#REF!</f>
        <v>#REF!</v>
      </c>
      <c r="D778" s="2449">
        <f>IF(A778='Data Entry - SOF'!B$2,'Data Entry - SOF'!C$64,0)</f>
        <v>0</v>
      </c>
      <c r="E778" s="2450">
        <f t="shared" si="153"/>
        <v>21814193</v>
      </c>
      <c r="F778" s="2212" t="e">
        <f>IF('Report-M&amp;O1718'!C$18-'Report-SOF1718'!D$55&lt;=0,0,'Report-M&amp;O1718'!C$18-'Report-SOF1718'!D$55)</f>
        <v>#DIV/0!</v>
      </c>
      <c r="G778" s="2452" t="e">
        <f t="shared" si="145"/>
        <v>#DIV/0!</v>
      </c>
      <c r="H778" s="2449">
        <f>IF(A778='Data Entry - SOF'!B$2,'Data Entry - SOF'!E$64,0)</f>
        <v>0</v>
      </c>
      <c r="I778" s="1687">
        <f t="shared" si="146"/>
        <v>21814193</v>
      </c>
      <c r="J778" s="2212" t="e">
        <f>IF('Report-M&amp;O1819'!C$18-'Report-SOF1819'!D$55&lt;=0,0,'Report-M&amp;O1819'!C$18-'Report-SOF1819'!D$55)</f>
        <v>#DIV/0!</v>
      </c>
      <c r="K778" s="2452" t="e">
        <f t="shared" si="147"/>
        <v>#DIV/0!</v>
      </c>
      <c r="L778" s="2449">
        <f>IF(A778='Data Entry - SOF'!B$2,'Data Entry - SOF'!G$64,0)</f>
        <v>0</v>
      </c>
      <c r="M778" s="1371">
        <f t="shared" si="148"/>
        <v>21814193</v>
      </c>
      <c r="N778" s="2212" t="e">
        <f>IF('Report-M&amp;O1920'!C$18-'Report-SOF1920'!D$55&lt;=0,0,'Report-M&amp;O1920'!C$18-'Report-SOF1920'!D$55)</f>
        <v>#DIV/0!</v>
      </c>
      <c r="O778" s="2452" t="e">
        <f t="shared" si="149"/>
        <v>#DIV/0!</v>
      </c>
      <c r="P778" s="2449">
        <f>IF(A778='Data Entry - SOF'!B$2,'Data Entry - SOF'!I$64,0)</f>
        <v>0</v>
      </c>
      <c r="Q778" s="1687">
        <f t="shared" si="144"/>
        <v>21814193</v>
      </c>
      <c r="R778" s="2212" t="e">
        <f>IF('Report-M&amp;O2021'!C$18-'Report-SOF2021'!D$55&lt;=0,0,'Report-M&amp;O2021'!C$18-'Report-SOF2021'!D$55)</f>
        <v>#DIV/0!</v>
      </c>
      <c r="S778" s="2452" t="e">
        <f t="shared" si="150"/>
        <v>#DIV/0!</v>
      </c>
      <c r="T778" s="1708">
        <f>IF(A778='Data Entry - SOF'!B$2,'Data Entry - SOF'!K$64,0)</f>
        <v>0</v>
      </c>
      <c r="U778" s="1687">
        <f t="shared" si="143"/>
        <v>21814193</v>
      </c>
      <c r="V778" s="2212" t="e">
        <f>IF('Report-M&amp;O2122'!C$18-'Report-SOF2122'!D$55&lt;=0,0,'Report-M&amp;O2122'!C$18-'Report-SOF2122'!D$55)</f>
        <v>#DIV/0!</v>
      </c>
      <c r="W778" s="2452" t="e">
        <f t="shared" si="151"/>
        <v>#DIV/0!</v>
      </c>
      <c r="X778" s="1708">
        <f>IF(A778='Data Entry - SOF'!B$2,'Data Entry - SOF'!M$64,0)</f>
        <v>0</v>
      </c>
      <c r="Y778" s="1371" t="e">
        <f t="shared" si="152"/>
        <v>#DIV/0!</v>
      </c>
      <c r="Z778" s="2212" t="e">
        <f>IF('Report-M&amp;O2223'!C$18-'Report-SOF2223'!D$55&lt;=0,0,'Report-M&amp;O2223'!C$18-'Report-SOF2223'!D$55)</f>
        <v>#DIV/0!</v>
      </c>
      <c r="AA778" s="1708">
        <f>IF(A778='Data Entry - SOF'!B$2,'Data Entry - SOF'!O$64,0)</f>
        <v>0</v>
      </c>
    </row>
    <row r="779" spans="1:27" ht="15.75">
      <c r="A779" s="1076" t="s">
        <v>1477</v>
      </c>
      <c r="B779">
        <v>2683051</v>
      </c>
      <c r="C779" s="2452" t="e">
        <f>#REF!+#REF!</f>
        <v>#REF!</v>
      </c>
      <c r="D779" s="2449">
        <f>IF(A779='Data Entry - SOF'!B$2,'Data Entry - SOF'!C$64,0)</f>
        <v>0</v>
      </c>
      <c r="E779" s="2450">
        <f t="shared" si="153"/>
        <v>2683051</v>
      </c>
      <c r="F779" s="2212" t="e">
        <f>IF('Report-M&amp;O1718'!C$18-'Report-SOF1718'!D$55&lt;=0,0,'Report-M&amp;O1718'!C$18-'Report-SOF1718'!D$55)</f>
        <v>#DIV/0!</v>
      </c>
      <c r="G779" s="2452" t="e">
        <f t="shared" si="145"/>
        <v>#DIV/0!</v>
      </c>
      <c r="H779" s="2449">
        <f>IF(A779='Data Entry - SOF'!B$2,'Data Entry - SOF'!E$64,0)</f>
        <v>0</v>
      </c>
      <c r="I779" s="1687">
        <f t="shared" si="146"/>
        <v>2683051</v>
      </c>
      <c r="J779" s="2212" t="e">
        <f>IF('Report-M&amp;O1819'!C$18-'Report-SOF1819'!D$55&lt;=0,0,'Report-M&amp;O1819'!C$18-'Report-SOF1819'!D$55)</f>
        <v>#DIV/0!</v>
      </c>
      <c r="K779" s="2452" t="e">
        <f t="shared" si="147"/>
        <v>#DIV/0!</v>
      </c>
      <c r="L779" s="2449">
        <f>IF(A779='Data Entry - SOF'!B$2,'Data Entry - SOF'!G$64,0)</f>
        <v>0</v>
      </c>
      <c r="M779" s="1371">
        <f t="shared" si="148"/>
        <v>2683051</v>
      </c>
      <c r="N779" s="2212" t="e">
        <f>IF('Report-M&amp;O1920'!C$18-'Report-SOF1920'!D$55&lt;=0,0,'Report-M&amp;O1920'!C$18-'Report-SOF1920'!D$55)</f>
        <v>#DIV/0!</v>
      </c>
      <c r="O779" s="2452" t="e">
        <f t="shared" si="149"/>
        <v>#DIV/0!</v>
      </c>
      <c r="P779" s="2449">
        <f>IF(A779='Data Entry - SOF'!B$2,'Data Entry - SOF'!I$64,0)</f>
        <v>0</v>
      </c>
      <c r="Q779" s="1687">
        <f t="shared" si="144"/>
        <v>2683051</v>
      </c>
      <c r="R779" s="2212" t="e">
        <f>IF('Report-M&amp;O2021'!C$18-'Report-SOF2021'!D$55&lt;=0,0,'Report-M&amp;O2021'!C$18-'Report-SOF2021'!D$55)</f>
        <v>#DIV/0!</v>
      </c>
      <c r="S779" s="2452" t="e">
        <f t="shared" si="150"/>
        <v>#DIV/0!</v>
      </c>
      <c r="T779" s="1708">
        <f>IF(A779='Data Entry - SOF'!B$2,'Data Entry - SOF'!K$64,0)</f>
        <v>0</v>
      </c>
      <c r="U779" s="1687">
        <f t="shared" si="143"/>
        <v>2683051</v>
      </c>
      <c r="V779" s="2212" t="e">
        <f>IF('Report-M&amp;O2122'!C$18-'Report-SOF2122'!D$55&lt;=0,0,'Report-M&amp;O2122'!C$18-'Report-SOF2122'!D$55)</f>
        <v>#DIV/0!</v>
      </c>
      <c r="W779" s="2452" t="e">
        <f t="shared" si="151"/>
        <v>#DIV/0!</v>
      </c>
      <c r="X779" s="1708">
        <f>IF(A779='Data Entry - SOF'!B$2,'Data Entry - SOF'!M$64,0)</f>
        <v>0</v>
      </c>
      <c r="Y779" s="1371" t="e">
        <f t="shared" si="152"/>
        <v>#DIV/0!</v>
      </c>
      <c r="Z779" s="2212" t="e">
        <f>IF('Report-M&amp;O2223'!C$18-'Report-SOF2223'!D$55&lt;=0,0,'Report-M&amp;O2223'!C$18-'Report-SOF2223'!D$55)</f>
        <v>#DIV/0!</v>
      </c>
      <c r="AA779" s="1708">
        <f>IF(A779='Data Entry - SOF'!B$2,'Data Entry - SOF'!O$64,0)</f>
        <v>0</v>
      </c>
    </row>
    <row r="780" spans="1:27" ht="15.75">
      <c r="A780" s="1076" t="s">
        <v>790</v>
      </c>
      <c r="B780">
        <v>702563</v>
      </c>
      <c r="C780" s="2452" t="e">
        <f>#REF!+#REF!</f>
        <v>#REF!</v>
      </c>
      <c r="D780" s="2449">
        <f>IF(A780='Data Entry - SOF'!B$2,'Data Entry - SOF'!C$64,0)</f>
        <v>0</v>
      </c>
      <c r="E780" s="2450">
        <f t="shared" si="153"/>
        <v>702563</v>
      </c>
      <c r="F780" s="2212" t="e">
        <f>IF('Report-M&amp;O1718'!C$18-'Report-SOF1718'!D$55&lt;=0,0,'Report-M&amp;O1718'!C$18-'Report-SOF1718'!D$55)</f>
        <v>#DIV/0!</v>
      </c>
      <c r="G780" s="2452" t="e">
        <f t="shared" si="145"/>
        <v>#DIV/0!</v>
      </c>
      <c r="H780" s="2449">
        <f>IF(A780='Data Entry - SOF'!B$2,'Data Entry - SOF'!E$64,0)</f>
        <v>0</v>
      </c>
      <c r="I780" s="1687">
        <f t="shared" si="146"/>
        <v>702563</v>
      </c>
      <c r="J780" s="2212" t="e">
        <f>IF('Report-M&amp;O1819'!C$18-'Report-SOF1819'!D$55&lt;=0,0,'Report-M&amp;O1819'!C$18-'Report-SOF1819'!D$55)</f>
        <v>#DIV/0!</v>
      </c>
      <c r="K780" s="2452" t="e">
        <f t="shared" si="147"/>
        <v>#DIV/0!</v>
      </c>
      <c r="L780" s="2449">
        <f>IF(A780='Data Entry - SOF'!B$2,'Data Entry - SOF'!G$64,0)</f>
        <v>0</v>
      </c>
      <c r="M780" s="1371">
        <f t="shared" si="148"/>
        <v>702563</v>
      </c>
      <c r="N780" s="2212" t="e">
        <f>IF('Report-M&amp;O1920'!C$18-'Report-SOF1920'!D$55&lt;=0,0,'Report-M&amp;O1920'!C$18-'Report-SOF1920'!D$55)</f>
        <v>#DIV/0!</v>
      </c>
      <c r="O780" s="2452" t="e">
        <f t="shared" si="149"/>
        <v>#DIV/0!</v>
      </c>
      <c r="P780" s="2449">
        <f>IF(A780='Data Entry - SOF'!B$2,'Data Entry - SOF'!I$64,0)</f>
        <v>0</v>
      </c>
      <c r="Q780" s="1687">
        <f t="shared" si="144"/>
        <v>702563</v>
      </c>
      <c r="R780" s="2212" t="e">
        <f>IF('Report-M&amp;O2021'!C$18-'Report-SOF2021'!D$55&lt;=0,0,'Report-M&amp;O2021'!C$18-'Report-SOF2021'!D$55)</f>
        <v>#DIV/0!</v>
      </c>
      <c r="S780" s="2452" t="e">
        <f t="shared" si="150"/>
        <v>#DIV/0!</v>
      </c>
      <c r="T780" s="1708">
        <f>IF(A780='Data Entry - SOF'!B$2,'Data Entry - SOF'!K$64,0)</f>
        <v>0</v>
      </c>
      <c r="U780" s="1687">
        <f t="shared" ref="U780:U827" si="154">Q780-T780</f>
        <v>702563</v>
      </c>
      <c r="V780" s="2212" t="e">
        <f>IF('Report-M&amp;O2122'!C$18-'Report-SOF2122'!D$55&lt;=0,0,'Report-M&amp;O2122'!C$18-'Report-SOF2122'!D$55)</f>
        <v>#DIV/0!</v>
      </c>
      <c r="W780" s="2452" t="e">
        <f t="shared" si="151"/>
        <v>#DIV/0!</v>
      </c>
      <c r="X780" s="1708">
        <f>IF(A780='Data Entry - SOF'!B$2,'Data Entry - SOF'!M$64,0)</f>
        <v>0</v>
      </c>
      <c r="Y780" s="1371" t="e">
        <f t="shared" si="152"/>
        <v>#DIV/0!</v>
      </c>
      <c r="Z780" s="2212" t="e">
        <f>IF('Report-M&amp;O2223'!C$18-'Report-SOF2223'!D$55&lt;=0,0,'Report-M&amp;O2223'!C$18-'Report-SOF2223'!D$55)</f>
        <v>#DIV/0!</v>
      </c>
      <c r="AA780" s="1708">
        <f>IF(A780='Data Entry - SOF'!B$2,'Data Entry - SOF'!O$64,0)</f>
        <v>0</v>
      </c>
    </row>
    <row r="781" spans="1:27" ht="15.75">
      <c r="A781" s="1076" t="s">
        <v>2917</v>
      </c>
      <c r="B781">
        <v>1256512</v>
      </c>
      <c r="C781" s="2452" t="e">
        <f>#REF!+#REF!</f>
        <v>#REF!</v>
      </c>
      <c r="D781" s="2449">
        <f>IF(A781='Data Entry - SOF'!B$2,'Data Entry - SOF'!C$64,0)</f>
        <v>0</v>
      </c>
      <c r="E781" s="2450">
        <f t="shared" si="153"/>
        <v>1256512</v>
      </c>
      <c r="F781" s="2212" t="e">
        <f>IF('Report-M&amp;O1718'!C$18-'Report-SOF1718'!D$55&lt;=0,0,'Report-M&amp;O1718'!C$18-'Report-SOF1718'!D$55)</f>
        <v>#DIV/0!</v>
      </c>
      <c r="G781" s="2452" t="e">
        <f t="shared" si="145"/>
        <v>#DIV/0!</v>
      </c>
      <c r="H781" s="2449">
        <f>IF(A781='Data Entry - SOF'!B$2,'Data Entry - SOF'!E$64,0)</f>
        <v>0</v>
      </c>
      <c r="I781" s="1687">
        <f t="shared" si="146"/>
        <v>1256512</v>
      </c>
      <c r="J781" s="2212" t="e">
        <f>IF('Report-M&amp;O1819'!C$18-'Report-SOF1819'!D$55&lt;=0,0,'Report-M&amp;O1819'!C$18-'Report-SOF1819'!D$55)</f>
        <v>#DIV/0!</v>
      </c>
      <c r="K781" s="2452" t="e">
        <f t="shared" si="147"/>
        <v>#DIV/0!</v>
      </c>
      <c r="L781" s="2449">
        <f>IF(A781='Data Entry - SOF'!B$2,'Data Entry - SOF'!G$64,0)</f>
        <v>0</v>
      </c>
      <c r="M781" s="1371">
        <f t="shared" si="148"/>
        <v>1256512</v>
      </c>
      <c r="N781" s="2212" t="e">
        <f>IF('Report-M&amp;O1920'!C$18-'Report-SOF1920'!D$55&lt;=0,0,'Report-M&amp;O1920'!C$18-'Report-SOF1920'!D$55)</f>
        <v>#DIV/0!</v>
      </c>
      <c r="O781" s="2452" t="e">
        <f t="shared" si="149"/>
        <v>#DIV/0!</v>
      </c>
      <c r="P781" s="2449">
        <f>IF(A781='Data Entry - SOF'!B$2,'Data Entry - SOF'!I$64,0)</f>
        <v>0</v>
      </c>
      <c r="Q781" s="1687">
        <f t="shared" si="144"/>
        <v>1256512</v>
      </c>
      <c r="R781" s="2212" t="e">
        <f>IF('Report-M&amp;O2021'!C$18-'Report-SOF2021'!D$55&lt;=0,0,'Report-M&amp;O2021'!C$18-'Report-SOF2021'!D$55)</f>
        <v>#DIV/0!</v>
      </c>
      <c r="S781" s="2452" t="e">
        <f t="shared" si="150"/>
        <v>#DIV/0!</v>
      </c>
      <c r="T781" s="1708">
        <f>IF(A781='Data Entry - SOF'!B$2,'Data Entry - SOF'!K$64,0)</f>
        <v>0</v>
      </c>
      <c r="U781" s="1687">
        <f t="shared" si="154"/>
        <v>1256512</v>
      </c>
      <c r="V781" s="2212" t="e">
        <f>IF('Report-M&amp;O2122'!C$18-'Report-SOF2122'!D$55&lt;=0,0,'Report-M&amp;O2122'!C$18-'Report-SOF2122'!D$55)</f>
        <v>#DIV/0!</v>
      </c>
      <c r="W781" s="2452" t="e">
        <f t="shared" si="151"/>
        <v>#DIV/0!</v>
      </c>
      <c r="X781" s="1708">
        <f>IF(A781='Data Entry - SOF'!B$2,'Data Entry - SOF'!M$64,0)</f>
        <v>0</v>
      </c>
      <c r="Y781" s="1371" t="e">
        <f t="shared" si="152"/>
        <v>#DIV/0!</v>
      </c>
      <c r="Z781" s="2212" t="e">
        <f>IF('Report-M&amp;O2223'!C$18-'Report-SOF2223'!D$55&lt;=0,0,'Report-M&amp;O2223'!C$18-'Report-SOF2223'!D$55)</f>
        <v>#DIV/0!</v>
      </c>
      <c r="AA781" s="1708">
        <f>IF(A781='Data Entry - SOF'!B$2,'Data Entry - SOF'!O$64,0)</f>
        <v>0</v>
      </c>
    </row>
    <row r="782" spans="1:27" ht="15.75">
      <c r="A782" s="1076" t="s">
        <v>791</v>
      </c>
      <c r="B782">
        <v>1319078</v>
      </c>
      <c r="C782" s="2452" t="e">
        <f>#REF!+#REF!</f>
        <v>#REF!</v>
      </c>
      <c r="D782" s="2449">
        <f>IF(A782='Data Entry - SOF'!B$2,'Data Entry - SOF'!C$64,0)</f>
        <v>0</v>
      </c>
      <c r="E782" s="2450">
        <f t="shared" si="153"/>
        <v>1319078</v>
      </c>
      <c r="F782" s="2212" t="e">
        <f>IF('Report-M&amp;O1718'!C$18-'Report-SOF1718'!D$55&lt;=0,0,'Report-M&amp;O1718'!C$18-'Report-SOF1718'!D$55)</f>
        <v>#DIV/0!</v>
      </c>
      <c r="G782" s="2452" t="e">
        <f t="shared" si="145"/>
        <v>#DIV/0!</v>
      </c>
      <c r="H782" s="2449">
        <f>IF(A782='Data Entry - SOF'!B$2,'Data Entry - SOF'!E$64,0)</f>
        <v>0</v>
      </c>
      <c r="I782" s="1687">
        <f t="shared" si="146"/>
        <v>1319078</v>
      </c>
      <c r="J782" s="2212" t="e">
        <f>IF('Report-M&amp;O1819'!C$18-'Report-SOF1819'!D$55&lt;=0,0,'Report-M&amp;O1819'!C$18-'Report-SOF1819'!D$55)</f>
        <v>#DIV/0!</v>
      </c>
      <c r="K782" s="2452" t="e">
        <f t="shared" si="147"/>
        <v>#DIV/0!</v>
      </c>
      <c r="L782" s="2449">
        <f>IF(A782='Data Entry - SOF'!B$2,'Data Entry - SOF'!G$64,0)</f>
        <v>0</v>
      </c>
      <c r="M782" s="1371">
        <f t="shared" si="148"/>
        <v>1319078</v>
      </c>
      <c r="N782" s="2212" t="e">
        <f>IF('Report-M&amp;O1920'!C$18-'Report-SOF1920'!D$55&lt;=0,0,'Report-M&amp;O1920'!C$18-'Report-SOF1920'!D$55)</f>
        <v>#DIV/0!</v>
      </c>
      <c r="O782" s="2452" t="e">
        <f t="shared" si="149"/>
        <v>#DIV/0!</v>
      </c>
      <c r="P782" s="2449">
        <f>IF(A782='Data Entry - SOF'!B$2,'Data Entry - SOF'!I$64,0)</f>
        <v>0</v>
      </c>
      <c r="Q782" s="1687">
        <f t="shared" si="144"/>
        <v>1319078</v>
      </c>
      <c r="R782" s="2212" t="e">
        <f>IF('Report-M&amp;O2021'!C$18-'Report-SOF2021'!D$55&lt;=0,0,'Report-M&amp;O2021'!C$18-'Report-SOF2021'!D$55)</f>
        <v>#DIV/0!</v>
      </c>
      <c r="S782" s="2452" t="e">
        <f t="shared" si="150"/>
        <v>#DIV/0!</v>
      </c>
      <c r="T782" s="1708">
        <f>IF(A782='Data Entry - SOF'!B$2,'Data Entry - SOF'!K$64,0)</f>
        <v>0</v>
      </c>
      <c r="U782" s="1687">
        <f t="shared" si="154"/>
        <v>1319078</v>
      </c>
      <c r="V782" s="2212" t="e">
        <f>IF('Report-M&amp;O2122'!C$18-'Report-SOF2122'!D$55&lt;=0,0,'Report-M&amp;O2122'!C$18-'Report-SOF2122'!D$55)</f>
        <v>#DIV/0!</v>
      </c>
      <c r="W782" s="2452" t="e">
        <f t="shared" si="151"/>
        <v>#DIV/0!</v>
      </c>
      <c r="X782" s="1708">
        <f>IF(A782='Data Entry - SOF'!B$2,'Data Entry - SOF'!M$64,0)</f>
        <v>0</v>
      </c>
      <c r="Y782" s="1371" t="e">
        <f t="shared" si="152"/>
        <v>#DIV/0!</v>
      </c>
      <c r="Z782" s="2212" t="e">
        <f>IF('Report-M&amp;O2223'!C$18-'Report-SOF2223'!D$55&lt;=0,0,'Report-M&amp;O2223'!C$18-'Report-SOF2223'!D$55)</f>
        <v>#DIV/0!</v>
      </c>
      <c r="AA782" s="1708">
        <f>IF(A782='Data Entry - SOF'!B$2,'Data Entry - SOF'!O$64,0)</f>
        <v>0</v>
      </c>
    </row>
    <row r="783" spans="1:27" ht="15.75">
      <c r="A783" s="1076" t="s">
        <v>1992</v>
      </c>
      <c r="B783">
        <v>4565982</v>
      </c>
      <c r="C783" s="2452" t="e">
        <f>#REF!+#REF!</f>
        <v>#REF!</v>
      </c>
      <c r="D783" s="2449">
        <f>IF(A783='Data Entry - SOF'!B$2,'Data Entry - SOF'!C$64,0)</f>
        <v>0</v>
      </c>
      <c r="E783" s="2450">
        <f t="shared" si="153"/>
        <v>4565982</v>
      </c>
      <c r="F783" s="2212" t="e">
        <f>IF('Report-M&amp;O1718'!C$18-'Report-SOF1718'!D$55&lt;=0,0,'Report-M&amp;O1718'!C$18-'Report-SOF1718'!D$55)</f>
        <v>#DIV/0!</v>
      </c>
      <c r="G783" s="2452" t="e">
        <f t="shared" si="145"/>
        <v>#DIV/0!</v>
      </c>
      <c r="H783" s="2449">
        <f>IF(A783='Data Entry - SOF'!B$2,'Data Entry - SOF'!E$64,0)</f>
        <v>0</v>
      </c>
      <c r="I783" s="1687">
        <f t="shared" si="146"/>
        <v>4565982</v>
      </c>
      <c r="J783" s="2212" t="e">
        <f>IF('Report-M&amp;O1819'!C$18-'Report-SOF1819'!D$55&lt;=0,0,'Report-M&amp;O1819'!C$18-'Report-SOF1819'!D$55)</f>
        <v>#DIV/0!</v>
      </c>
      <c r="K783" s="2452" t="e">
        <f t="shared" si="147"/>
        <v>#DIV/0!</v>
      </c>
      <c r="L783" s="2449">
        <f>IF(A783='Data Entry - SOF'!B$2,'Data Entry - SOF'!G$64,0)</f>
        <v>0</v>
      </c>
      <c r="M783" s="1371">
        <f t="shared" si="148"/>
        <v>4565982</v>
      </c>
      <c r="N783" s="2212" t="e">
        <f>IF('Report-M&amp;O1920'!C$18-'Report-SOF1920'!D$55&lt;=0,0,'Report-M&amp;O1920'!C$18-'Report-SOF1920'!D$55)</f>
        <v>#DIV/0!</v>
      </c>
      <c r="O783" s="2452" t="e">
        <f t="shared" si="149"/>
        <v>#DIV/0!</v>
      </c>
      <c r="P783" s="2449">
        <f>IF(A783='Data Entry - SOF'!B$2,'Data Entry - SOF'!I$64,0)</f>
        <v>0</v>
      </c>
      <c r="Q783" s="1687">
        <f t="shared" si="144"/>
        <v>4565982</v>
      </c>
      <c r="R783" s="2212" t="e">
        <f>IF('Report-M&amp;O2021'!C$18-'Report-SOF2021'!D$55&lt;=0,0,'Report-M&amp;O2021'!C$18-'Report-SOF2021'!D$55)</f>
        <v>#DIV/0!</v>
      </c>
      <c r="S783" s="2452" t="e">
        <f t="shared" si="150"/>
        <v>#DIV/0!</v>
      </c>
      <c r="T783" s="1708">
        <f>IF(A783='Data Entry - SOF'!B$2,'Data Entry - SOF'!K$64,0)</f>
        <v>0</v>
      </c>
      <c r="U783" s="1687">
        <f t="shared" si="154"/>
        <v>4565982</v>
      </c>
      <c r="V783" s="2212" t="e">
        <f>IF('Report-M&amp;O2122'!C$18-'Report-SOF2122'!D$55&lt;=0,0,'Report-M&amp;O2122'!C$18-'Report-SOF2122'!D$55)</f>
        <v>#DIV/0!</v>
      </c>
      <c r="W783" s="2452" t="e">
        <f t="shared" si="151"/>
        <v>#DIV/0!</v>
      </c>
      <c r="X783" s="1708">
        <f>IF(A783='Data Entry - SOF'!B$2,'Data Entry - SOF'!M$64,0)</f>
        <v>0</v>
      </c>
      <c r="Y783" s="1371" t="e">
        <f t="shared" si="152"/>
        <v>#DIV/0!</v>
      </c>
      <c r="Z783" s="2212" t="e">
        <f>IF('Report-M&amp;O2223'!C$18-'Report-SOF2223'!D$55&lt;=0,0,'Report-M&amp;O2223'!C$18-'Report-SOF2223'!D$55)</f>
        <v>#DIV/0!</v>
      </c>
      <c r="AA783" s="1708">
        <f>IF(A783='Data Entry - SOF'!B$2,'Data Entry - SOF'!O$64,0)</f>
        <v>0</v>
      </c>
    </row>
    <row r="784" spans="1:27" ht="15.75">
      <c r="A784" s="1076" t="s">
        <v>1380</v>
      </c>
      <c r="B784">
        <v>4416169</v>
      </c>
      <c r="C784" s="2452" t="e">
        <f>#REF!+#REF!</f>
        <v>#REF!</v>
      </c>
      <c r="D784" s="2449">
        <f>IF(A784='Data Entry - SOF'!B$2,'Data Entry - SOF'!C$64,0)</f>
        <v>0</v>
      </c>
      <c r="E784" s="2450">
        <f t="shared" si="153"/>
        <v>4416169</v>
      </c>
      <c r="F784" s="2212" t="e">
        <f>IF('Report-M&amp;O1718'!C$18-'Report-SOF1718'!D$55&lt;=0,0,'Report-M&amp;O1718'!C$18-'Report-SOF1718'!D$55)</f>
        <v>#DIV/0!</v>
      </c>
      <c r="G784" s="2452" t="e">
        <f t="shared" si="145"/>
        <v>#DIV/0!</v>
      </c>
      <c r="H784" s="2449">
        <f>IF(A784='Data Entry - SOF'!B$2,'Data Entry - SOF'!E$64,0)</f>
        <v>0</v>
      </c>
      <c r="I784" s="1687">
        <f t="shared" si="146"/>
        <v>4416169</v>
      </c>
      <c r="J784" s="2212" t="e">
        <f>IF('Report-M&amp;O1819'!C$18-'Report-SOF1819'!D$55&lt;=0,0,'Report-M&amp;O1819'!C$18-'Report-SOF1819'!D$55)</f>
        <v>#DIV/0!</v>
      </c>
      <c r="K784" s="2452" t="e">
        <f t="shared" si="147"/>
        <v>#DIV/0!</v>
      </c>
      <c r="L784" s="2449">
        <f>IF(A784='Data Entry - SOF'!B$2,'Data Entry - SOF'!G$64,0)</f>
        <v>0</v>
      </c>
      <c r="M784" s="1371">
        <f t="shared" si="148"/>
        <v>4416169</v>
      </c>
      <c r="N784" s="2212" t="e">
        <f>IF('Report-M&amp;O1920'!C$18-'Report-SOF1920'!D$55&lt;=0,0,'Report-M&amp;O1920'!C$18-'Report-SOF1920'!D$55)</f>
        <v>#DIV/0!</v>
      </c>
      <c r="O784" s="2452" t="e">
        <f t="shared" si="149"/>
        <v>#DIV/0!</v>
      </c>
      <c r="P784" s="2449">
        <f>IF(A784='Data Entry - SOF'!B$2,'Data Entry - SOF'!I$64,0)</f>
        <v>0</v>
      </c>
      <c r="Q784" s="1687">
        <f t="shared" si="144"/>
        <v>4416169</v>
      </c>
      <c r="R784" s="2212" t="e">
        <f>IF('Report-M&amp;O2021'!C$18-'Report-SOF2021'!D$55&lt;=0,0,'Report-M&amp;O2021'!C$18-'Report-SOF2021'!D$55)</f>
        <v>#DIV/0!</v>
      </c>
      <c r="S784" s="2452" t="e">
        <f t="shared" si="150"/>
        <v>#DIV/0!</v>
      </c>
      <c r="T784" s="1708">
        <f>IF(A784='Data Entry - SOF'!B$2,'Data Entry - SOF'!K$64,0)</f>
        <v>0</v>
      </c>
      <c r="U784" s="1687">
        <f t="shared" si="154"/>
        <v>4416169</v>
      </c>
      <c r="V784" s="2212" t="e">
        <f>IF('Report-M&amp;O2122'!C$18-'Report-SOF2122'!D$55&lt;=0,0,'Report-M&amp;O2122'!C$18-'Report-SOF2122'!D$55)</f>
        <v>#DIV/0!</v>
      </c>
      <c r="W784" s="2452" t="e">
        <f t="shared" si="151"/>
        <v>#DIV/0!</v>
      </c>
      <c r="X784" s="1708">
        <f>IF(A784='Data Entry - SOF'!B$2,'Data Entry - SOF'!M$64,0)</f>
        <v>0</v>
      </c>
      <c r="Y784" s="1371" t="e">
        <f t="shared" si="152"/>
        <v>#DIV/0!</v>
      </c>
      <c r="Z784" s="2212" t="e">
        <f>IF('Report-M&amp;O2223'!C$18-'Report-SOF2223'!D$55&lt;=0,0,'Report-M&amp;O2223'!C$18-'Report-SOF2223'!D$55)</f>
        <v>#DIV/0!</v>
      </c>
      <c r="AA784" s="1708">
        <f>IF(A784='Data Entry - SOF'!B$2,'Data Entry - SOF'!O$64,0)</f>
        <v>0</v>
      </c>
    </row>
    <row r="785" spans="1:27" ht="15.75">
      <c r="A785" s="1076" t="s">
        <v>1839</v>
      </c>
      <c r="B785">
        <v>47365260</v>
      </c>
      <c r="C785" s="2452" t="e">
        <f>#REF!+#REF!</f>
        <v>#REF!</v>
      </c>
      <c r="D785" s="2449">
        <f>IF(A785='Data Entry - SOF'!B$2,'Data Entry - SOF'!C$64,0)</f>
        <v>0</v>
      </c>
      <c r="E785" s="2450">
        <f t="shared" si="153"/>
        <v>47365260</v>
      </c>
      <c r="F785" s="2212" t="e">
        <f>IF('Report-M&amp;O1718'!C$18-'Report-SOF1718'!D$55&lt;=0,0,'Report-M&amp;O1718'!C$18-'Report-SOF1718'!D$55)</f>
        <v>#DIV/0!</v>
      </c>
      <c r="G785" s="2452" t="e">
        <f t="shared" si="145"/>
        <v>#DIV/0!</v>
      </c>
      <c r="H785" s="2449">
        <f>IF(A785='Data Entry - SOF'!B$2,'Data Entry - SOF'!E$64,0)</f>
        <v>0</v>
      </c>
      <c r="I785" s="1687">
        <f t="shared" si="146"/>
        <v>47365260</v>
      </c>
      <c r="J785" s="2212" t="e">
        <f>IF('Report-M&amp;O1819'!C$18-'Report-SOF1819'!D$55&lt;=0,0,'Report-M&amp;O1819'!C$18-'Report-SOF1819'!D$55)</f>
        <v>#DIV/0!</v>
      </c>
      <c r="K785" s="2452" t="e">
        <f t="shared" si="147"/>
        <v>#DIV/0!</v>
      </c>
      <c r="L785" s="2449">
        <f>IF(A785='Data Entry - SOF'!B$2,'Data Entry - SOF'!G$64,0)</f>
        <v>0</v>
      </c>
      <c r="M785" s="1371">
        <f t="shared" si="148"/>
        <v>47365260</v>
      </c>
      <c r="N785" s="2212" t="e">
        <f>IF('Report-M&amp;O1920'!C$18-'Report-SOF1920'!D$55&lt;=0,0,'Report-M&amp;O1920'!C$18-'Report-SOF1920'!D$55)</f>
        <v>#DIV/0!</v>
      </c>
      <c r="O785" s="2452" t="e">
        <f t="shared" si="149"/>
        <v>#DIV/0!</v>
      </c>
      <c r="P785" s="2449">
        <f>IF(A785='Data Entry - SOF'!B$2,'Data Entry - SOF'!I$64,0)</f>
        <v>0</v>
      </c>
      <c r="Q785" s="1687">
        <f t="shared" si="144"/>
        <v>47365260</v>
      </c>
      <c r="R785" s="2212" t="e">
        <f>IF('Report-M&amp;O2021'!C$18-'Report-SOF2021'!D$55&lt;=0,0,'Report-M&amp;O2021'!C$18-'Report-SOF2021'!D$55)</f>
        <v>#DIV/0!</v>
      </c>
      <c r="S785" s="2452" t="e">
        <f t="shared" si="150"/>
        <v>#DIV/0!</v>
      </c>
      <c r="T785" s="1708">
        <f>IF(A785='Data Entry - SOF'!B$2,'Data Entry - SOF'!K$64,0)</f>
        <v>0</v>
      </c>
      <c r="U785" s="1687">
        <f t="shared" si="154"/>
        <v>47365260</v>
      </c>
      <c r="V785" s="2212" t="e">
        <f>IF('Report-M&amp;O2122'!C$18-'Report-SOF2122'!D$55&lt;=0,0,'Report-M&amp;O2122'!C$18-'Report-SOF2122'!D$55)</f>
        <v>#DIV/0!</v>
      </c>
      <c r="W785" s="2452" t="e">
        <f t="shared" si="151"/>
        <v>#DIV/0!</v>
      </c>
      <c r="X785" s="1708">
        <f>IF(A785='Data Entry - SOF'!B$2,'Data Entry - SOF'!M$64,0)</f>
        <v>0</v>
      </c>
      <c r="Y785" s="1371" t="e">
        <f t="shared" si="152"/>
        <v>#DIV/0!</v>
      </c>
      <c r="Z785" s="2212" t="e">
        <f>IF('Report-M&amp;O2223'!C$18-'Report-SOF2223'!D$55&lt;=0,0,'Report-M&amp;O2223'!C$18-'Report-SOF2223'!D$55)</f>
        <v>#DIV/0!</v>
      </c>
      <c r="AA785" s="1708">
        <f>IF(A785='Data Entry - SOF'!B$2,'Data Entry - SOF'!O$64,0)</f>
        <v>0</v>
      </c>
    </row>
    <row r="786" spans="1:27" ht="15.75">
      <c r="A786" s="1076" t="s">
        <v>227</v>
      </c>
      <c r="B786">
        <v>2266585</v>
      </c>
      <c r="C786" s="2452" t="e">
        <f>#REF!+#REF!</f>
        <v>#REF!</v>
      </c>
      <c r="D786" s="2449">
        <f>IF(A786='Data Entry - SOF'!B$2,'Data Entry - SOF'!C$64,0)</f>
        <v>0</v>
      </c>
      <c r="E786" s="2450">
        <f t="shared" si="153"/>
        <v>2266585</v>
      </c>
      <c r="F786" s="2212" t="e">
        <f>IF('Report-M&amp;O1718'!C$18-'Report-SOF1718'!D$55&lt;=0,0,'Report-M&amp;O1718'!C$18-'Report-SOF1718'!D$55)</f>
        <v>#DIV/0!</v>
      </c>
      <c r="G786" s="2452" t="e">
        <f t="shared" si="145"/>
        <v>#DIV/0!</v>
      </c>
      <c r="H786" s="2449">
        <f>IF(A786='Data Entry - SOF'!B$2,'Data Entry - SOF'!E$64,0)</f>
        <v>0</v>
      </c>
      <c r="I786" s="1687">
        <f t="shared" si="146"/>
        <v>2266585</v>
      </c>
      <c r="J786" s="2212" t="e">
        <f>IF('Report-M&amp;O1819'!C$18-'Report-SOF1819'!D$55&lt;=0,0,'Report-M&amp;O1819'!C$18-'Report-SOF1819'!D$55)</f>
        <v>#DIV/0!</v>
      </c>
      <c r="K786" s="2452" t="e">
        <f t="shared" si="147"/>
        <v>#DIV/0!</v>
      </c>
      <c r="L786" s="2449">
        <f>IF(A786='Data Entry - SOF'!B$2,'Data Entry - SOF'!G$64,0)</f>
        <v>0</v>
      </c>
      <c r="M786" s="1371">
        <f t="shared" si="148"/>
        <v>2266585</v>
      </c>
      <c r="N786" s="2212" t="e">
        <f>IF('Report-M&amp;O1920'!C$18-'Report-SOF1920'!D$55&lt;=0,0,'Report-M&amp;O1920'!C$18-'Report-SOF1920'!D$55)</f>
        <v>#DIV/0!</v>
      </c>
      <c r="O786" s="2452" t="e">
        <f t="shared" si="149"/>
        <v>#DIV/0!</v>
      </c>
      <c r="P786" s="2449">
        <f>IF(A786='Data Entry - SOF'!B$2,'Data Entry - SOF'!I$64,0)</f>
        <v>0</v>
      </c>
      <c r="Q786" s="1687">
        <f t="shared" si="144"/>
        <v>2266585</v>
      </c>
      <c r="R786" s="2212" t="e">
        <f>IF('Report-M&amp;O2021'!C$18-'Report-SOF2021'!D$55&lt;=0,0,'Report-M&amp;O2021'!C$18-'Report-SOF2021'!D$55)</f>
        <v>#DIV/0!</v>
      </c>
      <c r="S786" s="2452" t="e">
        <f t="shared" si="150"/>
        <v>#DIV/0!</v>
      </c>
      <c r="T786" s="1708">
        <f>IF(A786='Data Entry - SOF'!B$2,'Data Entry - SOF'!K$64,0)</f>
        <v>0</v>
      </c>
      <c r="U786" s="1687">
        <f t="shared" si="154"/>
        <v>2266585</v>
      </c>
      <c r="V786" s="2212" t="e">
        <f>IF('Report-M&amp;O2122'!C$18-'Report-SOF2122'!D$55&lt;=0,0,'Report-M&amp;O2122'!C$18-'Report-SOF2122'!D$55)</f>
        <v>#DIV/0!</v>
      </c>
      <c r="W786" s="2452" t="e">
        <f t="shared" si="151"/>
        <v>#DIV/0!</v>
      </c>
      <c r="X786" s="1708">
        <f>IF(A786='Data Entry - SOF'!B$2,'Data Entry - SOF'!M$64,0)</f>
        <v>0</v>
      </c>
      <c r="Y786" s="1371" t="e">
        <f t="shared" si="152"/>
        <v>#DIV/0!</v>
      </c>
      <c r="Z786" s="2212" t="e">
        <f>IF('Report-M&amp;O2223'!C$18-'Report-SOF2223'!D$55&lt;=0,0,'Report-M&amp;O2223'!C$18-'Report-SOF2223'!D$55)</f>
        <v>#DIV/0!</v>
      </c>
      <c r="AA786" s="1708">
        <f>IF(A786='Data Entry - SOF'!B$2,'Data Entry - SOF'!O$64,0)</f>
        <v>0</v>
      </c>
    </row>
    <row r="787" spans="1:27" ht="15.75">
      <c r="A787" s="1076" t="s">
        <v>625</v>
      </c>
      <c r="B787">
        <v>7337856</v>
      </c>
      <c r="C787" s="2452" t="e">
        <f>#REF!+#REF!</f>
        <v>#REF!</v>
      </c>
      <c r="D787" s="2449">
        <f>IF(A787='Data Entry - SOF'!B$2,'Data Entry - SOF'!C$64,0)</f>
        <v>0</v>
      </c>
      <c r="E787" s="2450">
        <f t="shared" si="153"/>
        <v>7337856</v>
      </c>
      <c r="F787" s="2212" t="e">
        <f>IF('Report-M&amp;O1718'!C$18-'Report-SOF1718'!D$55&lt;=0,0,'Report-M&amp;O1718'!C$18-'Report-SOF1718'!D$55)</f>
        <v>#DIV/0!</v>
      </c>
      <c r="G787" s="2452" t="e">
        <f t="shared" si="145"/>
        <v>#DIV/0!</v>
      </c>
      <c r="H787" s="2449">
        <f>IF(A787='Data Entry - SOF'!B$2,'Data Entry - SOF'!E$64,0)</f>
        <v>0</v>
      </c>
      <c r="I787" s="1687">
        <f t="shared" si="146"/>
        <v>7337856</v>
      </c>
      <c r="J787" s="2212" t="e">
        <f>IF('Report-M&amp;O1819'!C$18-'Report-SOF1819'!D$55&lt;=0,0,'Report-M&amp;O1819'!C$18-'Report-SOF1819'!D$55)</f>
        <v>#DIV/0!</v>
      </c>
      <c r="K787" s="2452" t="e">
        <f t="shared" si="147"/>
        <v>#DIV/0!</v>
      </c>
      <c r="L787" s="2449">
        <f>IF(A787='Data Entry - SOF'!B$2,'Data Entry - SOF'!G$64,0)</f>
        <v>0</v>
      </c>
      <c r="M787" s="1371">
        <f t="shared" si="148"/>
        <v>7337856</v>
      </c>
      <c r="N787" s="2212" t="e">
        <f>IF('Report-M&amp;O1920'!C$18-'Report-SOF1920'!D$55&lt;=0,0,'Report-M&amp;O1920'!C$18-'Report-SOF1920'!D$55)</f>
        <v>#DIV/0!</v>
      </c>
      <c r="O787" s="2452" t="e">
        <f t="shared" si="149"/>
        <v>#DIV/0!</v>
      </c>
      <c r="P787" s="2449">
        <f>IF(A787='Data Entry - SOF'!B$2,'Data Entry - SOF'!I$64,0)</f>
        <v>0</v>
      </c>
      <c r="Q787" s="1687">
        <f t="shared" si="144"/>
        <v>7337856</v>
      </c>
      <c r="R787" s="2212" t="e">
        <f>IF('Report-M&amp;O2021'!C$18-'Report-SOF2021'!D$55&lt;=0,0,'Report-M&amp;O2021'!C$18-'Report-SOF2021'!D$55)</f>
        <v>#DIV/0!</v>
      </c>
      <c r="S787" s="2452" t="e">
        <f t="shared" si="150"/>
        <v>#DIV/0!</v>
      </c>
      <c r="T787" s="1708">
        <f>IF(A787='Data Entry - SOF'!B$2,'Data Entry - SOF'!K$64,0)</f>
        <v>0</v>
      </c>
      <c r="U787" s="1687">
        <f t="shared" si="154"/>
        <v>7337856</v>
      </c>
      <c r="V787" s="2212" t="e">
        <f>IF('Report-M&amp;O2122'!C$18-'Report-SOF2122'!D$55&lt;=0,0,'Report-M&amp;O2122'!C$18-'Report-SOF2122'!D$55)</f>
        <v>#DIV/0!</v>
      </c>
      <c r="W787" s="2452" t="e">
        <f t="shared" si="151"/>
        <v>#DIV/0!</v>
      </c>
      <c r="X787" s="1708">
        <f>IF(A787='Data Entry - SOF'!B$2,'Data Entry - SOF'!M$64,0)</f>
        <v>0</v>
      </c>
      <c r="Y787" s="1371" t="e">
        <f t="shared" si="152"/>
        <v>#DIV/0!</v>
      </c>
      <c r="Z787" s="2212" t="e">
        <f>IF('Report-M&amp;O2223'!C$18-'Report-SOF2223'!D$55&lt;=0,0,'Report-M&amp;O2223'!C$18-'Report-SOF2223'!D$55)</f>
        <v>#DIV/0!</v>
      </c>
      <c r="AA787" s="1708">
        <f>IF(A787='Data Entry - SOF'!B$2,'Data Entry - SOF'!O$64,0)</f>
        <v>0</v>
      </c>
    </row>
    <row r="788" spans="1:27" ht="15.75">
      <c r="A788" s="1076" t="s">
        <v>2496</v>
      </c>
      <c r="B788">
        <v>14428059.046459399</v>
      </c>
      <c r="C788" s="2452" t="e">
        <f>#REF!+#REF!</f>
        <v>#REF!</v>
      </c>
      <c r="D788" s="2449">
        <f>IF(A788='Data Entry - SOF'!B$2,'Data Entry - SOF'!C$64,0)</f>
        <v>0</v>
      </c>
      <c r="E788" s="2450">
        <f t="shared" si="153"/>
        <v>14428059.046459399</v>
      </c>
      <c r="F788" s="2212" t="e">
        <f>IF('Report-M&amp;O1718'!C$18-'Report-SOF1718'!D$55&lt;=0,0,'Report-M&amp;O1718'!C$18-'Report-SOF1718'!D$55)</f>
        <v>#DIV/0!</v>
      </c>
      <c r="G788" s="2452" t="e">
        <f t="shared" si="145"/>
        <v>#DIV/0!</v>
      </c>
      <c r="H788" s="2449">
        <f>IF(A788='Data Entry - SOF'!B$2,'Data Entry - SOF'!E$64,0)</f>
        <v>0</v>
      </c>
      <c r="I788" s="1687">
        <f t="shared" si="146"/>
        <v>14428059.046459399</v>
      </c>
      <c r="J788" s="2212" t="e">
        <f>IF('Report-M&amp;O1819'!C$18-'Report-SOF1819'!D$55&lt;=0,0,'Report-M&amp;O1819'!C$18-'Report-SOF1819'!D$55)</f>
        <v>#DIV/0!</v>
      </c>
      <c r="K788" s="2452" t="e">
        <f t="shared" si="147"/>
        <v>#DIV/0!</v>
      </c>
      <c r="L788" s="2449">
        <f>IF(A788='Data Entry - SOF'!B$2,'Data Entry - SOF'!G$64,0)</f>
        <v>0</v>
      </c>
      <c r="M788" s="1371">
        <f t="shared" si="148"/>
        <v>14428059.046459399</v>
      </c>
      <c r="N788" s="2212" t="e">
        <f>IF('Report-M&amp;O1920'!C$18-'Report-SOF1920'!D$55&lt;=0,0,'Report-M&amp;O1920'!C$18-'Report-SOF1920'!D$55)</f>
        <v>#DIV/0!</v>
      </c>
      <c r="O788" s="2452" t="e">
        <f t="shared" si="149"/>
        <v>#DIV/0!</v>
      </c>
      <c r="P788" s="2449">
        <f>IF(A788='Data Entry - SOF'!B$2,'Data Entry - SOF'!I$64,0)</f>
        <v>0</v>
      </c>
      <c r="Q788" s="1687">
        <f t="shared" si="144"/>
        <v>14428059.046459399</v>
      </c>
      <c r="R788" s="2212" t="e">
        <f>IF('Report-M&amp;O2021'!C$18-'Report-SOF2021'!D$55&lt;=0,0,'Report-M&amp;O2021'!C$18-'Report-SOF2021'!D$55)</f>
        <v>#DIV/0!</v>
      </c>
      <c r="S788" s="2452" t="e">
        <f t="shared" si="150"/>
        <v>#DIV/0!</v>
      </c>
      <c r="T788" s="1708">
        <f>IF(A788='Data Entry - SOF'!B$2,'Data Entry - SOF'!K$64,0)</f>
        <v>0</v>
      </c>
      <c r="U788" s="1687">
        <f t="shared" si="154"/>
        <v>14428059.046459399</v>
      </c>
      <c r="V788" s="2212" t="e">
        <f>IF('Report-M&amp;O2122'!C$18-'Report-SOF2122'!D$55&lt;=0,0,'Report-M&amp;O2122'!C$18-'Report-SOF2122'!D$55)</f>
        <v>#DIV/0!</v>
      </c>
      <c r="W788" s="2452" t="e">
        <f t="shared" si="151"/>
        <v>#DIV/0!</v>
      </c>
      <c r="X788" s="1708">
        <f>IF(A788='Data Entry - SOF'!B$2,'Data Entry - SOF'!M$64,0)</f>
        <v>0</v>
      </c>
      <c r="Y788" s="1371" t="e">
        <f t="shared" si="152"/>
        <v>#DIV/0!</v>
      </c>
      <c r="Z788" s="2212" t="e">
        <f>IF('Report-M&amp;O2223'!C$18-'Report-SOF2223'!D$55&lt;=0,0,'Report-M&amp;O2223'!C$18-'Report-SOF2223'!D$55)</f>
        <v>#DIV/0!</v>
      </c>
      <c r="AA788" s="1708">
        <f>IF(A788='Data Entry - SOF'!B$2,'Data Entry - SOF'!O$64,0)</f>
        <v>0</v>
      </c>
    </row>
    <row r="789" spans="1:27" ht="15.75">
      <c r="A789" s="1076" t="s">
        <v>1657</v>
      </c>
      <c r="B789">
        <v>2064141</v>
      </c>
      <c r="C789" s="2452" t="e">
        <f>#REF!+#REF!</f>
        <v>#REF!</v>
      </c>
      <c r="D789" s="2449">
        <f>IF(A789='Data Entry - SOF'!B$2,'Data Entry - SOF'!C$64,0)</f>
        <v>0</v>
      </c>
      <c r="E789" s="2450">
        <f t="shared" si="153"/>
        <v>2064141</v>
      </c>
      <c r="F789" s="2212" t="e">
        <f>IF('Report-M&amp;O1718'!C$18-'Report-SOF1718'!D$55&lt;=0,0,'Report-M&amp;O1718'!C$18-'Report-SOF1718'!D$55)</f>
        <v>#DIV/0!</v>
      </c>
      <c r="G789" s="2452" t="e">
        <f t="shared" si="145"/>
        <v>#DIV/0!</v>
      </c>
      <c r="H789" s="2449">
        <f>IF(A789='Data Entry - SOF'!B$2,'Data Entry - SOF'!E$64,0)</f>
        <v>0</v>
      </c>
      <c r="I789" s="1687">
        <f t="shared" si="146"/>
        <v>2064141</v>
      </c>
      <c r="J789" s="2212" t="e">
        <f>IF('Report-M&amp;O1819'!C$18-'Report-SOF1819'!D$55&lt;=0,0,'Report-M&amp;O1819'!C$18-'Report-SOF1819'!D$55)</f>
        <v>#DIV/0!</v>
      </c>
      <c r="K789" s="2452" t="e">
        <f t="shared" si="147"/>
        <v>#DIV/0!</v>
      </c>
      <c r="L789" s="2449">
        <f>IF(A789='Data Entry - SOF'!B$2,'Data Entry - SOF'!G$64,0)</f>
        <v>0</v>
      </c>
      <c r="M789" s="1371">
        <f t="shared" si="148"/>
        <v>2064141</v>
      </c>
      <c r="N789" s="2212" t="e">
        <f>IF('Report-M&amp;O1920'!C$18-'Report-SOF1920'!D$55&lt;=0,0,'Report-M&amp;O1920'!C$18-'Report-SOF1920'!D$55)</f>
        <v>#DIV/0!</v>
      </c>
      <c r="O789" s="2452" t="e">
        <f t="shared" si="149"/>
        <v>#DIV/0!</v>
      </c>
      <c r="P789" s="2449">
        <f>IF(A789='Data Entry - SOF'!B$2,'Data Entry - SOF'!I$64,0)</f>
        <v>0</v>
      </c>
      <c r="Q789" s="1687">
        <f t="shared" si="144"/>
        <v>2064141</v>
      </c>
      <c r="R789" s="2212" t="e">
        <f>IF('Report-M&amp;O2021'!C$18-'Report-SOF2021'!D$55&lt;=0,0,'Report-M&amp;O2021'!C$18-'Report-SOF2021'!D$55)</f>
        <v>#DIV/0!</v>
      </c>
      <c r="S789" s="2452" t="e">
        <f t="shared" si="150"/>
        <v>#DIV/0!</v>
      </c>
      <c r="T789" s="1708">
        <f>IF(A789='Data Entry - SOF'!B$2,'Data Entry - SOF'!K$64,0)</f>
        <v>0</v>
      </c>
      <c r="U789" s="1687">
        <f t="shared" si="154"/>
        <v>2064141</v>
      </c>
      <c r="V789" s="2212" t="e">
        <f>IF('Report-M&amp;O2122'!C$18-'Report-SOF2122'!D$55&lt;=0,0,'Report-M&amp;O2122'!C$18-'Report-SOF2122'!D$55)</f>
        <v>#DIV/0!</v>
      </c>
      <c r="W789" s="2452" t="e">
        <f t="shared" si="151"/>
        <v>#DIV/0!</v>
      </c>
      <c r="X789" s="1708">
        <f>IF(A789='Data Entry - SOF'!B$2,'Data Entry - SOF'!M$64,0)</f>
        <v>0</v>
      </c>
      <c r="Y789" s="1371" t="e">
        <f t="shared" si="152"/>
        <v>#DIV/0!</v>
      </c>
      <c r="Z789" s="2212" t="e">
        <f>IF('Report-M&amp;O2223'!C$18-'Report-SOF2223'!D$55&lt;=0,0,'Report-M&amp;O2223'!C$18-'Report-SOF2223'!D$55)</f>
        <v>#DIV/0!</v>
      </c>
      <c r="AA789" s="1708">
        <f>IF(A789='Data Entry - SOF'!B$2,'Data Entry - SOF'!O$64,0)</f>
        <v>0</v>
      </c>
    </row>
    <row r="790" spans="1:27" ht="15.75">
      <c r="A790" s="1076" t="s">
        <v>245</v>
      </c>
      <c r="B790">
        <v>1026450</v>
      </c>
      <c r="C790" s="2452" t="e">
        <f>#REF!+#REF!</f>
        <v>#REF!</v>
      </c>
      <c r="D790" s="2449">
        <f>IF(A790='Data Entry - SOF'!B$2,'Data Entry - SOF'!C$64,0)</f>
        <v>0</v>
      </c>
      <c r="E790" s="2450">
        <f t="shared" si="153"/>
        <v>1026450</v>
      </c>
      <c r="F790" s="2212" t="e">
        <f>IF('Report-M&amp;O1718'!C$18-'Report-SOF1718'!D$55&lt;=0,0,'Report-M&amp;O1718'!C$18-'Report-SOF1718'!D$55)</f>
        <v>#DIV/0!</v>
      </c>
      <c r="G790" s="2452" t="e">
        <f t="shared" si="145"/>
        <v>#DIV/0!</v>
      </c>
      <c r="H790" s="2449">
        <f>IF(A790='Data Entry - SOF'!B$2,'Data Entry - SOF'!E$64,0)</f>
        <v>0</v>
      </c>
      <c r="I790" s="1687">
        <f t="shared" si="146"/>
        <v>1026450</v>
      </c>
      <c r="J790" s="2212" t="e">
        <f>IF('Report-M&amp;O1819'!C$18-'Report-SOF1819'!D$55&lt;=0,0,'Report-M&amp;O1819'!C$18-'Report-SOF1819'!D$55)</f>
        <v>#DIV/0!</v>
      </c>
      <c r="K790" s="2452" t="e">
        <f t="shared" si="147"/>
        <v>#DIV/0!</v>
      </c>
      <c r="L790" s="2449">
        <f>IF(A790='Data Entry - SOF'!B$2,'Data Entry - SOF'!G$64,0)</f>
        <v>0</v>
      </c>
      <c r="M790" s="1371">
        <f t="shared" si="148"/>
        <v>1026450</v>
      </c>
      <c r="N790" s="2212" t="e">
        <f>IF('Report-M&amp;O1920'!C$18-'Report-SOF1920'!D$55&lt;=0,0,'Report-M&amp;O1920'!C$18-'Report-SOF1920'!D$55)</f>
        <v>#DIV/0!</v>
      </c>
      <c r="O790" s="2452" t="e">
        <f t="shared" si="149"/>
        <v>#DIV/0!</v>
      </c>
      <c r="P790" s="2449">
        <f>IF(A790='Data Entry - SOF'!B$2,'Data Entry - SOF'!I$64,0)</f>
        <v>0</v>
      </c>
      <c r="Q790" s="1687">
        <f t="shared" si="144"/>
        <v>1026450</v>
      </c>
      <c r="R790" s="2212" t="e">
        <f>IF('Report-M&amp;O2021'!C$18-'Report-SOF2021'!D$55&lt;=0,0,'Report-M&amp;O2021'!C$18-'Report-SOF2021'!D$55)</f>
        <v>#DIV/0!</v>
      </c>
      <c r="S790" s="2452" t="e">
        <f t="shared" si="150"/>
        <v>#DIV/0!</v>
      </c>
      <c r="T790" s="1708">
        <f>IF(A790='Data Entry - SOF'!B$2,'Data Entry - SOF'!K$64,0)</f>
        <v>0</v>
      </c>
      <c r="U790" s="1687">
        <f t="shared" si="154"/>
        <v>1026450</v>
      </c>
      <c r="V790" s="2212" t="e">
        <f>IF('Report-M&amp;O2122'!C$18-'Report-SOF2122'!D$55&lt;=0,0,'Report-M&amp;O2122'!C$18-'Report-SOF2122'!D$55)</f>
        <v>#DIV/0!</v>
      </c>
      <c r="W790" s="2452" t="e">
        <f t="shared" si="151"/>
        <v>#DIV/0!</v>
      </c>
      <c r="X790" s="1708">
        <f>IF(A790='Data Entry - SOF'!B$2,'Data Entry - SOF'!M$64,0)</f>
        <v>0</v>
      </c>
      <c r="Y790" s="1371" t="e">
        <f t="shared" si="152"/>
        <v>#DIV/0!</v>
      </c>
      <c r="Z790" s="2212" t="e">
        <f>IF('Report-M&amp;O2223'!C$18-'Report-SOF2223'!D$55&lt;=0,0,'Report-M&amp;O2223'!C$18-'Report-SOF2223'!D$55)</f>
        <v>#DIV/0!</v>
      </c>
      <c r="AA790" s="1708">
        <f>IF(A790='Data Entry - SOF'!B$2,'Data Entry - SOF'!O$64,0)</f>
        <v>0</v>
      </c>
    </row>
    <row r="791" spans="1:27" ht="15.75">
      <c r="A791" s="1076" t="s">
        <v>1464</v>
      </c>
      <c r="B791">
        <v>3681091</v>
      </c>
      <c r="C791" s="2452" t="e">
        <f>#REF!+#REF!</f>
        <v>#REF!</v>
      </c>
      <c r="D791" s="2449">
        <f>IF(A791='Data Entry - SOF'!B$2,'Data Entry - SOF'!C$64,0)</f>
        <v>0</v>
      </c>
      <c r="E791" s="2450">
        <f t="shared" si="153"/>
        <v>3681091</v>
      </c>
      <c r="F791" s="2212" t="e">
        <f>IF('Report-M&amp;O1718'!C$18-'Report-SOF1718'!D$55&lt;=0,0,'Report-M&amp;O1718'!C$18-'Report-SOF1718'!D$55)</f>
        <v>#DIV/0!</v>
      </c>
      <c r="G791" s="2452" t="e">
        <f t="shared" si="145"/>
        <v>#DIV/0!</v>
      </c>
      <c r="H791" s="2449">
        <f>IF(A791='Data Entry - SOF'!B$2,'Data Entry - SOF'!E$64,0)</f>
        <v>0</v>
      </c>
      <c r="I791" s="1687">
        <f t="shared" si="146"/>
        <v>3681091</v>
      </c>
      <c r="J791" s="2212" t="e">
        <f>IF('Report-M&amp;O1819'!C$18-'Report-SOF1819'!D$55&lt;=0,0,'Report-M&amp;O1819'!C$18-'Report-SOF1819'!D$55)</f>
        <v>#DIV/0!</v>
      </c>
      <c r="K791" s="2452" t="e">
        <f t="shared" si="147"/>
        <v>#DIV/0!</v>
      </c>
      <c r="L791" s="2449">
        <f>IF(A791='Data Entry - SOF'!B$2,'Data Entry - SOF'!G$64,0)</f>
        <v>0</v>
      </c>
      <c r="M791" s="1371">
        <f t="shared" si="148"/>
        <v>3681091</v>
      </c>
      <c r="N791" s="2212" t="e">
        <f>IF('Report-M&amp;O1920'!C$18-'Report-SOF1920'!D$55&lt;=0,0,'Report-M&amp;O1920'!C$18-'Report-SOF1920'!D$55)</f>
        <v>#DIV/0!</v>
      </c>
      <c r="O791" s="2452" t="e">
        <f t="shared" si="149"/>
        <v>#DIV/0!</v>
      </c>
      <c r="P791" s="2449">
        <f>IF(A791='Data Entry - SOF'!B$2,'Data Entry - SOF'!I$64,0)</f>
        <v>0</v>
      </c>
      <c r="Q791" s="1687">
        <f t="shared" si="144"/>
        <v>3681091</v>
      </c>
      <c r="R791" s="2212" t="e">
        <f>IF('Report-M&amp;O2021'!C$18-'Report-SOF2021'!D$55&lt;=0,0,'Report-M&amp;O2021'!C$18-'Report-SOF2021'!D$55)</f>
        <v>#DIV/0!</v>
      </c>
      <c r="S791" s="2452" t="e">
        <f t="shared" si="150"/>
        <v>#DIV/0!</v>
      </c>
      <c r="T791" s="1708">
        <f>IF(A791='Data Entry - SOF'!B$2,'Data Entry - SOF'!K$64,0)</f>
        <v>0</v>
      </c>
      <c r="U791" s="1687">
        <f t="shared" si="154"/>
        <v>3681091</v>
      </c>
      <c r="V791" s="2212" t="e">
        <f>IF('Report-M&amp;O2122'!C$18-'Report-SOF2122'!D$55&lt;=0,0,'Report-M&amp;O2122'!C$18-'Report-SOF2122'!D$55)</f>
        <v>#DIV/0!</v>
      </c>
      <c r="W791" s="2452" t="e">
        <f t="shared" si="151"/>
        <v>#DIV/0!</v>
      </c>
      <c r="X791" s="1708">
        <f>IF(A791='Data Entry - SOF'!B$2,'Data Entry - SOF'!M$64,0)</f>
        <v>0</v>
      </c>
      <c r="Y791" s="1371" t="e">
        <f t="shared" si="152"/>
        <v>#DIV/0!</v>
      </c>
      <c r="Z791" s="2212" t="e">
        <f>IF('Report-M&amp;O2223'!C$18-'Report-SOF2223'!D$55&lt;=0,0,'Report-M&amp;O2223'!C$18-'Report-SOF2223'!D$55)</f>
        <v>#DIV/0!</v>
      </c>
      <c r="AA791" s="1708">
        <f>IF(A791='Data Entry - SOF'!B$2,'Data Entry - SOF'!O$64,0)</f>
        <v>0</v>
      </c>
    </row>
    <row r="792" spans="1:27" ht="15.75">
      <c r="A792" s="1076" t="s">
        <v>1465</v>
      </c>
      <c r="B792">
        <v>43060767</v>
      </c>
      <c r="C792" s="2452" t="e">
        <f>#REF!+#REF!</f>
        <v>#REF!</v>
      </c>
      <c r="D792" s="2449">
        <f>IF(A792='Data Entry - SOF'!B$2,'Data Entry - SOF'!C$64,0)</f>
        <v>0</v>
      </c>
      <c r="E792" s="2450">
        <f t="shared" si="153"/>
        <v>43060767</v>
      </c>
      <c r="F792" s="2212" t="e">
        <f>IF('Report-M&amp;O1718'!C$18-'Report-SOF1718'!D$55&lt;=0,0,'Report-M&amp;O1718'!C$18-'Report-SOF1718'!D$55)</f>
        <v>#DIV/0!</v>
      </c>
      <c r="G792" s="2452" t="e">
        <f t="shared" si="145"/>
        <v>#DIV/0!</v>
      </c>
      <c r="H792" s="2449">
        <f>IF(A792='Data Entry - SOF'!B$2,'Data Entry - SOF'!E$64,0)</f>
        <v>0</v>
      </c>
      <c r="I792" s="1687">
        <f t="shared" si="146"/>
        <v>43060767</v>
      </c>
      <c r="J792" s="2212" t="e">
        <f>IF('Report-M&amp;O1819'!C$18-'Report-SOF1819'!D$55&lt;=0,0,'Report-M&amp;O1819'!C$18-'Report-SOF1819'!D$55)</f>
        <v>#DIV/0!</v>
      </c>
      <c r="K792" s="2452" t="e">
        <f t="shared" si="147"/>
        <v>#DIV/0!</v>
      </c>
      <c r="L792" s="2449">
        <f>IF(A792='Data Entry - SOF'!B$2,'Data Entry - SOF'!G$64,0)</f>
        <v>0</v>
      </c>
      <c r="M792" s="1371">
        <f t="shared" si="148"/>
        <v>43060767</v>
      </c>
      <c r="N792" s="2212" t="e">
        <f>IF('Report-M&amp;O1920'!C$18-'Report-SOF1920'!D$55&lt;=0,0,'Report-M&amp;O1920'!C$18-'Report-SOF1920'!D$55)</f>
        <v>#DIV/0!</v>
      </c>
      <c r="O792" s="2452" t="e">
        <f t="shared" si="149"/>
        <v>#DIV/0!</v>
      </c>
      <c r="P792" s="2449">
        <f>IF(A792='Data Entry - SOF'!B$2,'Data Entry - SOF'!I$64,0)</f>
        <v>0</v>
      </c>
      <c r="Q792" s="1687">
        <f t="shared" si="144"/>
        <v>43060767</v>
      </c>
      <c r="R792" s="2212" t="e">
        <f>IF('Report-M&amp;O2021'!C$18-'Report-SOF2021'!D$55&lt;=0,0,'Report-M&amp;O2021'!C$18-'Report-SOF2021'!D$55)</f>
        <v>#DIV/0!</v>
      </c>
      <c r="S792" s="2452" t="e">
        <f t="shared" si="150"/>
        <v>#DIV/0!</v>
      </c>
      <c r="T792" s="1708">
        <f>IF(A792='Data Entry - SOF'!B$2,'Data Entry - SOF'!K$64,0)</f>
        <v>0</v>
      </c>
      <c r="U792" s="1687">
        <f t="shared" si="154"/>
        <v>43060767</v>
      </c>
      <c r="V792" s="2212" t="e">
        <f>IF('Report-M&amp;O2122'!C$18-'Report-SOF2122'!D$55&lt;=0,0,'Report-M&amp;O2122'!C$18-'Report-SOF2122'!D$55)</f>
        <v>#DIV/0!</v>
      </c>
      <c r="W792" s="2452" t="e">
        <f t="shared" si="151"/>
        <v>#DIV/0!</v>
      </c>
      <c r="X792" s="1708">
        <f>IF(A792='Data Entry - SOF'!B$2,'Data Entry - SOF'!M$64,0)</f>
        <v>0</v>
      </c>
      <c r="Y792" s="1371" t="e">
        <f t="shared" si="152"/>
        <v>#DIV/0!</v>
      </c>
      <c r="Z792" s="2212" t="e">
        <f>IF('Report-M&amp;O2223'!C$18-'Report-SOF2223'!D$55&lt;=0,0,'Report-M&amp;O2223'!C$18-'Report-SOF2223'!D$55)</f>
        <v>#DIV/0!</v>
      </c>
      <c r="AA792" s="1708">
        <f>IF(A792='Data Entry - SOF'!B$2,'Data Entry - SOF'!O$64,0)</f>
        <v>0</v>
      </c>
    </row>
    <row r="793" spans="1:27" ht="15.75">
      <c r="A793" s="1076" t="s">
        <v>2883</v>
      </c>
      <c r="B793">
        <v>28316587</v>
      </c>
      <c r="C793" s="2452" t="e">
        <f>#REF!+#REF!</f>
        <v>#REF!</v>
      </c>
      <c r="D793" s="2449">
        <f>IF(A793='Data Entry - SOF'!B$2,'Data Entry - SOF'!C$64,0)</f>
        <v>0</v>
      </c>
      <c r="E793" s="2450">
        <f t="shared" si="153"/>
        <v>28316587</v>
      </c>
      <c r="F793" s="2212" t="e">
        <f>IF('Report-M&amp;O1718'!C$18-'Report-SOF1718'!D$55&lt;=0,0,'Report-M&amp;O1718'!C$18-'Report-SOF1718'!D$55)</f>
        <v>#DIV/0!</v>
      </c>
      <c r="G793" s="2452" t="e">
        <f t="shared" si="145"/>
        <v>#DIV/0!</v>
      </c>
      <c r="H793" s="2449">
        <f>IF(A793='Data Entry - SOF'!B$2,'Data Entry - SOF'!E$64,0)</f>
        <v>0</v>
      </c>
      <c r="I793" s="1687">
        <f t="shared" si="146"/>
        <v>28316587</v>
      </c>
      <c r="J793" s="2212" t="e">
        <f>IF('Report-M&amp;O1819'!C$18-'Report-SOF1819'!D$55&lt;=0,0,'Report-M&amp;O1819'!C$18-'Report-SOF1819'!D$55)</f>
        <v>#DIV/0!</v>
      </c>
      <c r="K793" s="2452" t="e">
        <f t="shared" si="147"/>
        <v>#DIV/0!</v>
      </c>
      <c r="L793" s="2449">
        <f>IF(A793='Data Entry - SOF'!B$2,'Data Entry - SOF'!G$64,0)</f>
        <v>0</v>
      </c>
      <c r="M793" s="1371">
        <f t="shared" si="148"/>
        <v>28316587</v>
      </c>
      <c r="N793" s="2212" t="e">
        <f>IF('Report-M&amp;O1920'!C$18-'Report-SOF1920'!D$55&lt;=0,0,'Report-M&amp;O1920'!C$18-'Report-SOF1920'!D$55)</f>
        <v>#DIV/0!</v>
      </c>
      <c r="O793" s="2452" t="e">
        <f t="shared" si="149"/>
        <v>#DIV/0!</v>
      </c>
      <c r="P793" s="2449">
        <f>IF(A793='Data Entry - SOF'!B$2,'Data Entry - SOF'!I$64,0)</f>
        <v>0</v>
      </c>
      <c r="Q793" s="1687">
        <f t="shared" si="144"/>
        <v>28316587</v>
      </c>
      <c r="R793" s="2212" t="e">
        <f>IF('Report-M&amp;O2021'!C$18-'Report-SOF2021'!D$55&lt;=0,0,'Report-M&amp;O2021'!C$18-'Report-SOF2021'!D$55)</f>
        <v>#DIV/0!</v>
      </c>
      <c r="S793" s="2452" t="e">
        <f t="shared" si="150"/>
        <v>#DIV/0!</v>
      </c>
      <c r="T793" s="1708">
        <f>IF(A793='Data Entry - SOF'!B$2,'Data Entry - SOF'!K$64,0)</f>
        <v>0</v>
      </c>
      <c r="U793" s="1687">
        <f t="shared" si="154"/>
        <v>28316587</v>
      </c>
      <c r="V793" s="2212" t="e">
        <f>IF('Report-M&amp;O2122'!C$18-'Report-SOF2122'!D$55&lt;=0,0,'Report-M&amp;O2122'!C$18-'Report-SOF2122'!D$55)</f>
        <v>#DIV/0!</v>
      </c>
      <c r="W793" s="2452" t="e">
        <f t="shared" si="151"/>
        <v>#DIV/0!</v>
      </c>
      <c r="X793" s="1708">
        <f>IF(A793='Data Entry - SOF'!B$2,'Data Entry - SOF'!M$64,0)</f>
        <v>0</v>
      </c>
      <c r="Y793" s="1371" t="e">
        <f t="shared" si="152"/>
        <v>#DIV/0!</v>
      </c>
      <c r="Z793" s="2212" t="e">
        <f>IF('Report-M&amp;O2223'!C$18-'Report-SOF2223'!D$55&lt;=0,0,'Report-M&amp;O2223'!C$18-'Report-SOF2223'!D$55)</f>
        <v>#DIV/0!</v>
      </c>
      <c r="AA793" s="1708">
        <f>IF(A793='Data Entry - SOF'!B$2,'Data Entry - SOF'!O$64,0)</f>
        <v>0</v>
      </c>
    </row>
    <row r="794" spans="1:27" ht="15.75">
      <c r="A794" s="1076" t="s">
        <v>896</v>
      </c>
      <c r="B794">
        <v>1809374</v>
      </c>
      <c r="C794" s="2452" t="e">
        <f>#REF!+#REF!</f>
        <v>#REF!</v>
      </c>
      <c r="D794" s="2449">
        <f>IF(A794='Data Entry - SOF'!B$2,'Data Entry - SOF'!C$64,0)</f>
        <v>0</v>
      </c>
      <c r="E794" s="2450">
        <f t="shared" si="153"/>
        <v>1809374</v>
      </c>
      <c r="F794" s="2212" t="e">
        <f>IF('Report-M&amp;O1718'!C$18-'Report-SOF1718'!D$55&lt;=0,0,'Report-M&amp;O1718'!C$18-'Report-SOF1718'!D$55)</f>
        <v>#DIV/0!</v>
      </c>
      <c r="G794" s="2452" t="e">
        <f t="shared" si="145"/>
        <v>#DIV/0!</v>
      </c>
      <c r="H794" s="2449">
        <f>IF(A794='Data Entry - SOF'!B$2,'Data Entry - SOF'!E$64,0)</f>
        <v>0</v>
      </c>
      <c r="I794" s="1687">
        <f t="shared" si="146"/>
        <v>1809374</v>
      </c>
      <c r="J794" s="2212" t="e">
        <f>IF('Report-M&amp;O1819'!C$18-'Report-SOF1819'!D$55&lt;=0,0,'Report-M&amp;O1819'!C$18-'Report-SOF1819'!D$55)</f>
        <v>#DIV/0!</v>
      </c>
      <c r="K794" s="2452" t="e">
        <f t="shared" si="147"/>
        <v>#DIV/0!</v>
      </c>
      <c r="L794" s="2449">
        <f>IF(A794='Data Entry - SOF'!B$2,'Data Entry - SOF'!G$64,0)</f>
        <v>0</v>
      </c>
      <c r="M794" s="1371">
        <f t="shared" si="148"/>
        <v>1809374</v>
      </c>
      <c r="N794" s="2212" t="e">
        <f>IF('Report-M&amp;O1920'!C$18-'Report-SOF1920'!D$55&lt;=0,0,'Report-M&amp;O1920'!C$18-'Report-SOF1920'!D$55)</f>
        <v>#DIV/0!</v>
      </c>
      <c r="O794" s="2452" t="e">
        <f t="shared" si="149"/>
        <v>#DIV/0!</v>
      </c>
      <c r="P794" s="2449">
        <f>IF(A794='Data Entry - SOF'!B$2,'Data Entry - SOF'!I$64,0)</f>
        <v>0</v>
      </c>
      <c r="Q794" s="1687">
        <f t="shared" si="144"/>
        <v>1809374</v>
      </c>
      <c r="R794" s="2212" t="e">
        <f>IF('Report-M&amp;O2021'!C$18-'Report-SOF2021'!D$55&lt;=0,0,'Report-M&amp;O2021'!C$18-'Report-SOF2021'!D$55)</f>
        <v>#DIV/0!</v>
      </c>
      <c r="S794" s="2452" t="e">
        <f t="shared" si="150"/>
        <v>#DIV/0!</v>
      </c>
      <c r="T794" s="1708">
        <f>IF(A794='Data Entry - SOF'!B$2,'Data Entry - SOF'!K$64,0)</f>
        <v>0</v>
      </c>
      <c r="U794" s="1687">
        <f t="shared" si="154"/>
        <v>1809374</v>
      </c>
      <c r="V794" s="2212" t="e">
        <f>IF('Report-M&amp;O2122'!C$18-'Report-SOF2122'!D$55&lt;=0,0,'Report-M&amp;O2122'!C$18-'Report-SOF2122'!D$55)</f>
        <v>#DIV/0!</v>
      </c>
      <c r="W794" s="2452" t="e">
        <f t="shared" si="151"/>
        <v>#DIV/0!</v>
      </c>
      <c r="X794" s="1708">
        <f>IF(A794='Data Entry - SOF'!B$2,'Data Entry - SOF'!M$64,0)</f>
        <v>0</v>
      </c>
      <c r="Y794" s="1371" t="e">
        <f t="shared" si="152"/>
        <v>#DIV/0!</v>
      </c>
      <c r="Z794" s="2212" t="e">
        <f>IF('Report-M&amp;O2223'!C$18-'Report-SOF2223'!D$55&lt;=0,0,'Report-M&amp;O2223'!C$18-'Report-SOF2223'!D$55)</f>
        <v>#DIV/0!</v>
      </c>
      <c r="AA794" s="1708">
        <f>IF(A794='Data Entry - SOF'!B$2,'Data Entry - SOF'!O$64,0)</f>
        <v>0</v>
      </c>
    </row>
    <row r="795" spans="1:27" ht="15.75">
      <c r="A795" s="1076" t="s">
        <v>135</v>
      </c>
      <c r="B795">
        <v>160576</v>
      </c>
      <c r="C795" s="2452" t="e">
        <f>#REF!+#REF!</f>
        <v>#REF!</v>
      </c>
      <c r="D795" s="2449">
        <f>IF(A795='Data Entry - SOF'!B$2,'Data Entry - SOF'!C$64,0)</f>
        <v>0</v>
      </c>
      <c r="E795" s="2450">
        <f t="shared" si="153"/>
        <v>160576</v>
      </c>
      <c r="F795" s="2212" t="e">
        <f>IF('Report-M&amp;O1718'!C$18-'Report-SOF1718'!D$55&lt;=0,0,'Report-M&amp;O1718'!C$18-'Report-SOF1718'!D$55)</f>
        <v>#DIV/0!</v>
      </c>
      <c r="G795" s="2452" t="e">
        <f t="shared" si="145"/>
        <v>#DIV/0!</v>
      </c>
      <c r="H795" s="2449">
        <f>IF(A795='Data Entry - SOF'!B$2,'Data Entry - SOF'!E$64,0)</f>
        <v>0</v>
      </c>
      <c r="I795" s="1687">
        <f t="shared" si="146"/>
        <v>160576</v>
      </c>
      <c r="J795" s="2212" t="e">
        <f>IF('Report-M&amp;O1819'!C$18-'Report-SOF1819'!D$55&lt;=0,0,'Report-M&amp;O1819'!C$18-'Report-SOF1819'!D$55)</f>
        <v>#DIV/0!</v>
      </c>
      <c r="K795" s="2452" t="e">
        <f t="shared" si="147"/>
        <v>#DIV/0!</v>
      </c>
      <c r="L795" s="2449">
        <f>IF(A795='Data Entry - SOF'!B$2,'Data Entry - SOF'!G$64,0)</f>
        <v>0</v>
      </c>
      <c r="M795" s="1371">
        <f t="shared" si="148"/>
        <v>160576</v>
      </c>
      <c r="N795" s="2212" t="e">
        <f>IF('Report-M&amp;O1920'!C$18-'Report-SOF1920'!D$55&lt;=0,0,'Report-M&amp;O1920'!C$18-'Report-SOF1920'!D$55)</f>
        <v>#DIV/0!</v>
      </c>
      <c r="O795" s="2452" t="e">
        <f t="shared" si="149"/>
        <v>#DIV/0!</v>
      </c>
      <c r="P795" s="2449">
        <f>IF(A795='Data Entry - SOF'!B$2,'Data Entry - SOF'!I$64,0)</f>
        <v>0</v>
      </c>
      <c r="Q795" s="1687">
        <f t="shared" si="144"/>
        <v>160576</v>
      </c>
      <c r="R795" s="2212" t="e">
        <f>IF('Report-M&amp;O2021'!C$18-'Report-SOF2021'!D$55&lt;=0,0,'Report-M&amp;O2021'!C$18-'Report-SOF2021'!D$55)</f>
        <v>#DIV/0!</v>
      </c>
      <c r="S795" s="2452" t="e">
        <f t="shared" si="150"/>
        <v>#DIV/0!</v>
      </c>
      <c r="T795" s="1708">
        <f>IF(A795='Data Entry - SOF'!B$2,'Data Entry - SOF'!K$64,0)</f>
        <v>0</v>
      </c>
      <c r="U795" s="1687">
        <f t="shared" si="154"/>
        <v>160576</v>
      </c>
      <c r="V795" s="2212" t="e">
        <f>IF('Report-M&amp;O2122'!C$18-'Report-SOF2122'!D$55&lt;=0,0,'Report-M&amp;O2122'!C$18-'Report-SOF2122'!D$55)</f>
        <v>#DIV/0!</v>
      </c>
      <c r="W795" s="2452" t="e">
        <f t="shared" si="151"/>
        <v>#DIV/0!</v>
      </c>
      <c r="X795" s="1708">
        <f>IF(A795='Data Entry - SOF'!B$2,'Data Entry - SOF'!M$64,0)</f>
        <v>0</v>
      </c>
      <c r="Y795" s="1371" t="e">
        <f t="shared" si="152"/>
        <v>#DIV/0!</v>
      </c>
      <c r="Z795" s="2212" t="e">
        <f>IF('Report-M&amp;O2223'!C$18-'Report-SOF2223'!D$55&lt;=0,0,'Report-M&amp;O2223'!C$18-'Report-SOF2223'!D$55)</f>
        <v>#DIV/0!</v>
      </c>
      <c r="AA795" s="1708">
        <f>IF(A795='Data Entry - SOF'!B$2,'Data Entry - SOF'!O$64,0)</f>
        <v>0</v>
      </c>
    </row>
    <row r="796" spans="1:27" ht="15.75">
      <c r="A796" s="1076" t="s">
        <v>3051</v>
      </c>
      <c r="B796">
        <v>910772</v>
      </c>
      <c r="C796" s="2452" t="e">
        <f>#REF!+#REF!</f>
        <v>#REF!</v>
      </c>
      <c r="D796" s="2449">
        <f>IF(A796='Data Entry - SOF'!B$2,'Data Entry - SOF'!C$64,0)</f>
        <v>0</v>
      </c>
      <c r="E796" s="2450">
        <f t="shared" si="153"/>
        <v>910772</v>
      </c>
      <c r="F796" s="2212" t="e">
        <f>IF('Report-M&amp;O1718'!C$18-'Report-SOF1718'!D$55&lt;=0,0,'Report-M&amp;O1718'!C$18-'Report-SOF1718'!D$55)</f>
        <v>#DIV/0!</v>
      </c>
      <c r="G796" s="2452" t="e">
        <f t="shared" si="145"/>
        <v>#DIV/0!</v>
      </c>
      <c r="H796" s="2449">
        <f>IF(A796='Data Entry - SOF'!B$2,'Data Entry - SOF'!E$64,0)</f>
        <v>0</v>
      </c>
      <c r="I796" s="1687">
        <f t="shared" si="146"/>
        <v>910772</v>
      </c>
      <c r="J796" s="2212" t="e">
        <f>IF('Report-M&amp;O1819'!C$18-'Report-SOF1819'!D$55&lt;=0,0,'Report-M&amp;O1819'!C$18-'Report-SOF1819'!D$55)</f>
        <v>#DIV/0!</v>
      </c>
      <c r="K796" s="2452" t="e">
        <f t="shared" si="147"/>
        <v>#DIV/0!</v>
      </c>
      <c r="L796" s="2449">
        <f>IF(A796='Data Entry - SOF'!B$2,'Data Entry - SOF'!G$64,0)</f>
        <v>0</v>
      </c>
      <c r="M796" s="1371">
        <f t="shared" si="148"/>
        <v>910772</v>
      </c>
      <c r="N796" s="2212" t="e">
        <f>IF('Report-M&amp;O1920'!C$18-'Report-SOF1920'!D$55&lt;=0,0,'Report-M&amp;O1920'!C$18-'Report-SOF1920'!D$55)</f>
        <v>#DIV/0!</v>
      </c>
      <c r="O796" s="2452" t="e">
        <f t="shared" si="149"/>
        <v>#DIV/0!</v>
      </c>
      <c r="P796" s="2449">
        <f>IF(A796='Data Entry - SOF'!B$2,'Data Entry - SOF'!I$64,0)</f>
        <v>0</v>
      </c>
      <c r="Q796" s="1687">
        <f t="shared" si="144"/>
        <v>910772</v>
      </c>
      <c r="R796" s="2212" t="e">
        <f>IF('Report-M&amp;O2021'!C$18-'Report-SOF2021'!D$55&lt;=0,0,'Report-M&amp;O2021'!C$18-'Report-SOF2021'!D$55)</f>
        <v>#DIV/0!</v>
      </c>
      <c r="S796" s="2452" t="e">
        <f t="shared" si="150"/>
        <v>#DIV/0!</v>
      </c>
      <c r="T796" s="1708">
        <f>IF(A796='Data Entry - SOF'!B$2,'Data Entry - SOF'!K$64,0)</f>
        <v>0</v>
      </c>
      <c r="U796" s="1687">
        <f t="shared" si="154"/>
        <v>910772</v>
      </c>
      <c r="V796" s="2212" t="e">
        <f>IF('Report-M&amp;O2122'!C$18-'Report-SOF2122'!D$55&lt;=0,0,'Report-M&amp;O2122'!C$18-'Report-SOF2122'!D$55)</f>
        <v>#DIV/0!</v>
      </c>
      <c r="W796" s="2452" t="e">
        <f t="shared" si="151"/>
        <v>#DIV/0!</v>
      </c>
      <c r="X796" s="1708">
        <f>IF(A796='Data Entry - SOF'!B$2,'Data Entry - SOF'!M$64,0)</f>
        <v>0</v>
      </c>
      <c r="Y796" s="1371" t="e">
        <f t="shared" si="152"/>
        <v>#DIV/0!</v>
      </c>
      <c r="Z796" s="2212" t="e">
        <f>IF('Report-M&amp;O2223'!C$18-'Report-SOF2223'!D$55&lt;=0,0,'Report-M&amp;O2223'!C$18-'Report-SOF2223'!D$55)</f>
        <v>#DIV/0!</v>
      </c>
      <c r="AA796" s="1708">
        <f>IF(A796='Data Entry - SOF'!B$2,'Data Entry - SOF'!O$64,0)</f>
        <v>0</v>
      </c>
    </row>
    <row r="797" spans="1:27" ht="15.75">
      <c r="A797" s="1076" t="s">
        <v>2597</v>
      </c>
      <c r="B797">
        <v>671863</v>
      </c>
      <c r="C797" s="2452" t="e">
        <f>#REF!+#REF!</f>
        <v>#REF!</v>
      </c>
      <c r="D797" s="2449">
        <f>IF(A797='Data Entry - SOF'!B$2,'Data Entry - SOF'!C$64,0)</f>
        <v>0</v>
      </c>
      <c r="E797" s="2450">
        <f t="shared" si="153"/>
        <v>671863</v>
      </c>
      <c r="F797" s="2212" t="e">
        <f>IF('Report-M&amp;O1718'!C$18-'Report-SOF1718'!D$55&lt;=0,0,'Report-M&amp;O1718'!C$18-'Report-SOF1718'!D$55)</f>
        <v>#DIV/0!</v>
      </c>
      <c r="G797" s="2452" t="e">
        <f t="shared" si="145"/>
        <v>#DIV/0!</v>
      </c>
      <c r="H797" s="2449">
        <f>IF(A797='Data Entry - SOF'!B$2,'Data Entry - SOF'!E$64,0)</f>
        <v>0</v>
      </c>
      <c r="I797" s="1687">
        <f t="shared" si="146"/>
        <v>671863</v>
      </c>
      <c r="J797" s="2212" t="e">
        <f>IF('Report-M&amp;O1819'!C$18-'Report-SOF1819'!D$55&lt;=0,0,'Report-M&amp;O1819'!C$18-'Report-SOF1819'!D$55)</f>
        <v>#DIV/0!</v>
      </c>
      <c r="K797" s="2452" t="e">
        <f t="shared" si="147"/>
        <v>#DIV/0!</v>
      </c>
      <c r="L797" s="2449">
        <f>IF(A797='Data Entry - SOF'!B$2,'Data Entry - SOF'!G$64,0)</f>
        <v>0</v>
      </c>
      <c r="M797" s="1371">
        <f t="shared" si="148"/>
        <v>671863</v>
      </c>
      <c r="N797" s="2212" t="e">
        <f>IF('Report-M&amp;O1920'!C$18-'Report-SOF1920'!D$55&lt;=0,0,'Report-M&amp;O1920'!C$18-'Report-SOF1920'!D$55)</f>
        <v>#DIV/0!</v>
      </c>
      <c r="O797" s="2452" t="e">
        <f t="shared" si="149"/>
        <v>#DIV/0!</v>
      </c>
      <c r="P797" s="2449">
        <f>IF(A797='Data Entry - SOF'!B$2,'Data Entry - SOF'!I$64,0)</f>
        <v>0</v>
      </c>
      <c r="Q797" s="1687">
        <f t="shared" si="144"/>
        <v>671863</v>
      </c>
      <c r="R797" s="2212" t="e">
        <f>IF('Report-M&amp;O2021'!C$18-'Report-SOF2021'!D$55&lt;=0,0,'Report-M&amp;O2021'!C$18-'Report-SOF2021'!D$55)</f>
        <v>#DIV/0!</v>
      </c>
      <c r="S797" s="2452" t="e">
        <f t="shared" si="150"/>
        <v>#DIV/0!</v>
      </c>
      <c r="T797" s="1708">
        <f>IF(A797='Data Entry - SOF'!B$2,'Data Entry - SOF'!K$64,0)</f>
        <v>0</v>
      </c>
      <c r="U797" s="1687">
        <f t="shared" si="154"/>
        <v>671863</v>
      </c>
      <c r="V797" s="2212" t="e">
        <f>IF('Report-M&amp;O2122'!C$18-'Report-SOF2122'!D$55&lt;=0,0,'Report-M&amp;O2122'!C$18-'Report-SOF2122'!D$55)</f>
        <v>#DIV/0!</v>
      </c>
      <c r="W797" s="2452" t="e">
        <f t="shared" si="151"/>
        <v>#DIV/0!</v>
      </c>
      <c r="X797" s="1708">
        <f>IF(A797='Data Entry - SOF'!B$2,'Data Entry - SOF'!M$64,0)</f>
        <v>0</v>
      </c>
      <c r="Y797" s="1371" t="e">
        <f t="shared" si="152"/>
        <v>#DIV/0!</v>
      </c>
      <c r="Z797" s="2212" t="e">
        <f>IF('Report-M&amp;O2223'!C$18-'Report-SOF2223'!D$55&lt;=0,0,'Report-M&amp;O2223'!C$18-'Report-SOF2223'!D$55)</f>
        <v>#DIV/0!</v>
      </c>
      <c r="AA797" s="1708">
        <f>IF(A797='Data Entry - SOF'!B$2,'Data Entry - SOF'!O$64,0)</f>
        <v>0</v>
      </c>
    </row>
    <row r="798" spans="1:27" ht="15.75">
      <c r="A798" s="1076" t="s">
        <v>411</v>
      </c>
      <c r="B798">
        <v>305082</v>
      </c>
      <c r="C798" s="2452" t="e">
        <f>#REF!+#REF!</f>
        <v>#REF!</v>
      </c>
      <c r="D798" s="2449">
        <f>IF(A798='Data Entry - SOF'!B$2,'Data Entry - SOF'!C$64,0)</f>
        <v>0</v>
      </c>
      <c r="E798" s="2450">
        <f t="shared" si="153"/>
        <v>305082</v>
      </c>
      <c r="F798" s="2212" t="e">
        <f>IF('Report-M&amp;O1718'!C$18-'Report-SOF1718'!D$55&lt;=0,0,'Report-M&amp;O1718'!C$18-'Report-SOF1718'!D$55)</f>
        <v>#DIV/0!</v>
      </c>
      <c r="G798" s="2452" t="e">
        <f t="shared" si="145"/>
        <v>#DIV/0!</v>
      </c>
      <c r="H798" s="2449">
        <f>IF(A798='Data Entry - SOF'!B$2,'Data Entry - SOF'!E$64,0)</f>
        <v>0</v>
      </c>
      <c r="I798" s="1687">
        <f t="shared" si="146"/>
        <v>305082</v>
      </c>
      <c r="J798" s="2212" t="e">
        <f>IF('Report-M&amp;O1819'!C$18-'Report-SOF1819'!D$55&lt;=0,0,'Report-M&amp;O1819'!C$18-'Report-SOF1819'!D$55)</f>
        <v>#DIV/0!</v>
      </c>
      <c r="K798" s="2452" t="e">
        <f t="shared" si="147"/>
        <v>#DIV/0!</v>
      </c>
      <c r="L798" s="2449">
        <f>IF(A798='Data Entry - SOF'!B$2,'Data Entry - SOF'!G$64,0)</f>
        <v>0</v>
      </c>
      <c r="M798" s="1371">
        <f t="shared" si="148"/>
        <v>305082</v>
      </c>
      <c r="N798" s="2212" t="e">
        <f>IF('Report-M&amp;O1920'!C$18-'Report-SOF1920'!D$55&lt;=0,0,'Report-M&amp;O1920'!C$18-'Report-SOF1920'!D$55)</f>
        <v>#DIV/0!</v>
      </c>
      <c r="O798" s="2452" t="e">
        <f t="shared" si="149"/>
        <v>#DIV/0!</v>
      </c>
      <c r="P798" s="2449">
        <f>IF(A798='Data Entry - SOF'!B$2,'Data Entry - SOF'!I$64,0)</f>
        <v>0</v>
      </c>
      <c r="Q798" s="1687">
        <f t="shared" si="144"/>
        <v>305082</v>
      </c>
      <c r="R798" s="2212" t="e">
        <f>IF('Report-M&amp;O2021'!C$18-'Report-SOF2021'!D$55&lt;=0,0,'Report-M&amp;O2021'!C$18-'Report-SOF2021'!D$55)</f>
        <v>#DIV/0!</v>
      </c>
      <c r="S798" s="2452" t="e">
        <f t="shared" si="150"/>
        <v>#DIV/0!</v>
      </c>
      <c r="T798" s="1708">
        <f>IF(A798='Data Entry - SOF'!B$2,'Data Entry - SOF'!K$64,0)</f>
        <v>0</v>
      </c>
      <c r="U798" s="1687">
        <f t="shared" si="154"/>
        <v>305082</v>
      </c>
      <c r="V798" s="2212" t="e">
        <f>IF('Report-M&amp;O2122'!C$18-'Report-SOF2122'!D$55&lt;=0,0,'Report-M&amp;O2122'!C$18-'Report-SOF2122'!D$55)</f>
        <v>#DIV/0!</v>
      </c>
      <c r="W798" s="2452" t="e">
        <f t="shared" si="151"/>
        <v>#DIV/0!</v>
      </c>
      <c r="X798" s="1708">
        <f>IF(A798='Data Entry - SOF'!B$2,'Data Entry - SOF'!M$64,0)</f>
        <v>0</v>
      </c>
      <c r="Y798" s="1371" t="e">
        <f t="shared" si="152"/>
        <v>#DIV/0!</v>
      </c>
      <c r="Z798" s="2212" t="e">
        <f>IF('Report-M&amp;O2223'!C$18-'Report-SOF2223'!D$55&lt;=0,0,'Report-M&amp;O2223'!C$18-'Report-SOF2223'!D$55)</f>
        <v>#DIV/0!</v>
      </c>
      <c r="AA798" s="1708">
        <f>IF(A798='Data Entry - SOF'!B$2,'Data Entry - SOF'!O$64,0)</f>
        <v>0</v>
      </c>
    </row>
    <row r="799" spans="1:27" ht="15.75">
      <c r="A799" s="1076" t="s">
        <v>1113</v>
      </c>
      <c r="B799">
        <v>27771700.123258598</v>
      </c>
      <c r="C799" s="2452" t="e">
        <f>#REF!+#REF!</f>
        <v>#REF!</v>
      </c>
      <c r="D799" s="2449">
        <f>IF(A799='Data Entry - SOF'!B$2,'Data Entry - SOF'!C$64,0)</f>
        <v>0</v>
      </c>
      <c r="E799" s="2450">
        <f t="shared" si="153"/>
        <v>27771700.123258598</v>
      </c>
      <c r="F799" s="2212" t="e">
        <f>IF('Report-M&amp;O1718'!C$18-'Report-SOF1718'!D$55&lt;=0,0,'Report-M&amp;O1718'!C$18-'Report-SOF1718'!D$55)</f>
        <v>#DIV/0!</v>
      </c>
      <c r="G799" s="2452" t="e">
        <f t="shared" si="145"/>
        <v>#DIV/0!</v>
      </c>
      <c r="H799" s="2449">
        <f>IF(A799='Data Entry - SOF'!B$2,'Data Entry - SOF'!E$64,0)</f>
        <v>0</v>
      </c>
      <c r="I799" s="1687">
        <f t="shared" si="146"/>
        <v>27771700.123258598</v>
      </c>
      <c r="J799" s="2212" t="e">
        <f>IF('Report-M&amp;O1819'!C$18-'Report-SOF1819'!D$55&lt;=0,0,'Report-M&amp;O1819'!C$18-'Report-SOF1819'!D$55)</f>
        <v>#DIV/0!</v>
      </c>
      <c r="K799" s="2452" t="e">
        <f t="shared" si="147"/>
        <v>#DIV/0!</v>
      </c>
      <c r="L799" s="2449">
        <f>IF(A799='Data Entry - SOF'!B$2,'Data Entry - SOF'!G$64,0)</f>
        <v>0</v>
      </c>
      <c r="M799" s="1371">
        <f t="shared" si="148"/>
        <v>27771700.123258598</v>
      </c>
      <c r="N799" s="2212" t="e">
        <f>IF('Report-M&amp;O1920'!C$18-'Report-SOF1920'!D$55&lt;=0,0,'Report-M&amp;O1920'!C$18-'Report-SOF1920'!D$55)</f>
        <v>#DIV/0!</v>
      </c>
      <c r="O799" s="2452" t="e">
        <f t="shared" si="149"/>
        <v>#DIV/0!</v>
      </c>
      <c r="P799" s="2449">
        <f>IF(A799='Data Entry - SOF'!B$2,'Data Entry - SOF'!I$64,0)</f>
        <v>0</v>
      </c>
      <c r="Q799" s="1687">
        <f t="shared" si="144"/>
        <v>27771700.123258598</v>
      </c>
      <c r="R799" s="2212" t="e">
        <f>IF('Report-M&amp;O2021'!C$18-'Report-SOF2021'!D$55&lt;=0,0,'Report-M&amp;O2021'!C$18-'Report-SOF2021'!D$55)</f>
        <v>#DIV/0!</v>
      </c>
      <c r="S799" s="2452" t="e">
        <f t="shared" si="150"/>
        <v>#DIV/0!</v>
      </c>
      <c r="T799" s="1708">
        <f>IF(A799='Data Entry - SOF'!B$2,'Data Entry - SOF'!K$64,0)</f>
        <v>0</v>
      </c>
      <c r="U799" s="1687">
        <f t="shared" si="154"/>
        <v>27771700.123258598</v>
      </c>
      <c r="V799" s="2212" t="e">
        <f>IF('Report-M&amp;O2122'!C$18-'Report-SOF2122'!D$55&lt;=0,0,'Report-M&amp;O2122'!C$18-'Report-SOF2122'!D$55)</f>
        <v>#DIV/0!</v>
      </c>
      <c r="W799" s="2452" t="e">
        <f t="shared" si="151"/>
        <v>#DIV/0!</v>
      </c>
      <c r="X799" s="1708">
        <f>IF(A799='Data Entry - SOF'!B$2,'Data Entry - SOF'!M$64,0)</f>
        <v>0</v>
      </c>
      <c r="Y799" s="1371" t="e">
        <f t="shared" si="152"/>
        <v>#DIV/0!</v>
      </c>
      <c r="Z799" s="2212" t="e">
        <f>IF('Report-M&amp;O2223'!C$18-'Report-SOF2223'!D$55&lt;=0,0,'Report-M&amp;O2223'!C$18-'Report-SOF2223'!D$55)</f>
        <v>#DIV/0!</v>
      </c>
      <c r="AA799" s="1708">
        <f>IF(A799='Data Entry - SOF'!B$2,'Data Entry - SOF'!O$64,0)</f>
        <v>0</v>
      </c>
    </row>
    <row r="800" spans="1:27" ht="15.75">
      <c r="A800" s="1076" t="s">
        <v>1932</v>
      </c>
      <c r="B800">
        <v>144013</v>
      </c>
      <c r="C800" s="2452" t="e">
        <f>#REF!+#REF!</f>
        <v>#REF!</v>
      </c>
      <c r="D800" s="2449">
        <f>IF(A800='Data Entry - SOF'!B$2,'Data Entry - SOF'!C$64,0)</f>
        <v>0</v>
      </c>
      <c r="E800" s="2450">
        <f t="shared" si="153"/>
        <v>144013</v>
      </c>
      <c r="F800" s="2212" t="e">
        <f>IF('Report-M&amp;O1718'!C$18-'Report-SOF1718'!D$55&lt;=0,0,'Report-M&amp;O1718'!C$18-'Report-SOF1718'!D$55)</f>
        <v>#DIV/0!</v>
      </c>
      <c r="G800" s="2452" t="e">
        <f t="shared" si="145"/>
        <v>#DIV/0!</v>
      </c>
      <c r="H800" s="2449">
        <f>IF(A800='Data Entry - SOF'!B$2,'Data Entry - SOF'!E$64,0)</f>
        <v>0</v>
      </c>
      <c r="I800" s="1687">
        <f t="shared" si="146"/>
        <v>144013</v>
      </c>
      <c r="J800" s="2212" t="e">
        <f>IF('Report-M&amp;O1819'!C$18-'Report-SOF1819'!D$55&lt;=0,0,'Report-M&amp;O1819'!C$18-'Report-SOF1819'!D$55)</f>
        <v>#DIV/0!</v>
      </c>
      <c r="K800" s="2452" t="e">
        <f t="shared" si="147"/>
        <v>#DIV/0!</v>
      </c>
      <c r="L800" s="2449">
        <f>IF(A800='Data Entry - SOF'!B$2,'Data Entry - SOF'!G$64,0)</f>
        <v>0</v>
      </c>
      <c r="M800" s="1371">
        <f t="shared" si="148"/>
        <v>144013</v>
      </c>
      <c r="N800" s="2212" t="e">
        <f>IF('Report-M&amp;O1920'!C$18-'Report-SOF1920'!D$55&lt;=0,0,'Report-M&amp;O1920'!C$18-'Report-SOF1920'!D$55)</f>
        <v>#DIV/0!</v>
      </c>
      <c r="O800" s="2452" t="e">
        <f t="shared" si="149"/>
        <v>#DIV/0!</v>
      </c>
      <c r="P800" s="2449">
        <f>IF(A800='Data Entry - SOF'!B$2,'Data Entry - SOF'!I$64,0)</f>
        <v>0</v>
      </c>
      <c r="Q800" s="1687">
        <f t="shared" si="144"/>
        <v>144013</v>
      </c>
      <c r="R800" s="2212" t="e">
        <f>IF('Report-M&amp;O2021'!C$18-'Report-SOF2021'!D$55&lt;=0,0,'Report-M&amp;O2021'!C$18-'Report-SOF2021'!D$55)</f>
        <v>#DIV/0!</v>
      </c>
      <c r="S800" s="2452" t="e">
        <f t="shared" si="150"/>
        <v>#DIV/0!</v>
      </c>
      <c r="T800" s="1708">
        <f>IF(A800='Data Entry - SOF'!B$2,'Data Entry - SOF'!K$64,0)</f>
        <v>0</v>
      </c>
      <c r="U800" s="1687">
        <f t="shared" si="154"/>
        <v>144013</v>
      </c>
      <c r="V800" s="2212" t="e">
        <f>IF('Report-M&amp;O2122'!C$18-'Report-SOF2122'!D$55&lt;=0,0,'Report-M&amp;O2122'!C$18-'Report-SOF2122'!D$55)</f>
        <v>#DIV/0!</v>
      </c>
      <c r="W800" s="2452" t="e">
        <f t="shared" si="151"/>
        <v>#DIV/0!</v>
      </c>
      <c r="X800" s="1708">
        <f>IF(A800='Data Entry - SOF'!B$2,'Data Entry - SOF'!M$64,0)</f>
        <v>0</v>
      </c>
      <c r="Y800" s="1371" t="e">
        <f t="shared" si="152"/>
        <v>#DIV/0!</v>
      </c>
      <c r="Z800" s="2212" t="e">
        <f>IF('Report-M&amp;O2223'!C$18-'Report-SOF2223'!D$55&lt;=0,0,'Report-M&amp;O2223'!C$18-'Report-SOF2223'!D$55)</f>
        <v>#DIV/0!</v>
      </c>
      <c r="AA800" s="1708">
        <f>IF(A800='Data Entry - SOF'!B$2,'Data Entry - SOF'!O$64,0)</f>
        <v>0</v>
      </c>
    </row>
    <row r="801" spans="1:27" ht="15.75">
      <c r="A801" s="1076" t="s">
        <v>793</v>
      </c>
      <c r="B801">
        <v>5504419</v>
      </c>
      <c r="C801" s="2452" t="e">
        <f>#REF!+#REF!</f>
        <v>#REF!</v>
      </c>
      <c r="D801" s="2449">
        <f>IF(A801='Data Entry - SOF'!B$2,'Data Entry - SOF'!C$64,0)</f>
        <v>0</v>
      </c>
      <c r="E801" s="2450">
        <f t="shared" si="153"/>
        <v>5504419</v>
      </c>
      <c r="F801" s="2212" t="e">
        <f>IF('Report-M&amp;O1718'!C$18-'Report-SOF1718'!D$55&lt;=0,0,'Report-M&amp;O1718'!C$18-'Report-SOF1718'!D$55)</f>
        <v>#DIV/0!</v>
      </c>
      <c r="G801" s="2452" t="e">
        <f t="shared" si="145"/>
        <v>#DIV/0!</v>
      </c>
      <c r="H801" s="2449">
        <f>IF(A801='Data Entry - SOF'!B$2,'Data Entry - SOF'!E$64,0)</f>
        <v>0</v>
      </c>
      <c r="I801" s="1687">
        <f t="shared" si="146"/>
        <v>5504419</v>
      </c>
      <c r="J801" s="2212" t="e">
        <f>IF('Report-M&amp;O1819'!C$18-'Report-SOF1819'!D$55&lt;=0,0,'Report-M&amp;O1819'!C$18-'Report-SOF1819'!D$55)</f>
        <v>#DIV/0!</v>
      </c>
      <c r="K801" s="2452" t="e">
        <f t="shared" si="147"/>
        <v>#DIV/0!</v>
      </c>
      <c r="L801" s="2449">
        <f>IF(A801='Data Entry - SOF'!B$2,'Data Entry - SOF'!G$64,0)</f>
        <v>0</v>
      </c>
      <c r="M801" s="1371">
        <f t="shared" si="148"/>
        <v>5504419</v>
      </c>
      <c r="N801" s="2212" t="e">
        <f>IF('Report-M&amp;O1920'!C$18-'Report-SOF1920'!D$55&lt;=0,0,'Report-M&amp;O1920'!C$18-'Report-SOF1920'!D$55)</f>
        <v>#DIV/0!</v>
      </c>
      <c r="O801" s="2452" t="e">
        <f t="shared" si="149"/>
        <v>#DIV/0!</v>
      </c>
      <c r="P801" s="2449">
        <f>IF(A801='Data Entry - SOF'!B$2,'Data Entry - SOF'!I$64,0)</f>
        <v>0</v>
      </c>
      <c r="Q801" s="1687">
        <f t="shared" si="144"/>
        <v>5504419</v>
      </c>
      <c r="R801" s="2212" t="e">
        <f>IF('Report-M&amp;O2021'!C$18-'Report-SOF2021'!D$55&lt;=0,0,'Report-M&amp;O2021'!C$18-'Report-SOF2021'!D$55)</f>
        <v>#DIV/0!</v>
      </c>
      <c r="S801" s="2452" t="e">
        <f t="shared" si="150"/>
        <v>#DIV/0!</v>
      </c>
      <c r="T801" s="1708">
        <f>IF(A801='Data Entry - SOF'!B$2,'Data Entry - SOF'!K$64,0)</f>
        <v>0</v>
      </c>
      <c r="U801" s="1687">
        <f t="shared" si="154"/>
        <v>5504419</v>
      </c>
      <c r="V801" s="2212" t="e">
        <f>IF('Report-M&amp;O2122'!C$18-'Report-SOF2122'!D$55&lt;=0,0,'Report-M&amp;O2122'!C$18-'Report-SOF2122'!D$55)</f>
        <v>#DIV/0!</v>
      </c>
      <c r="W801" s="2452" t="e">
        <f t="shared" si="151"/>
        <v>#DIV/0!</v>
      </c>
      <c r="X801" s="1708">
        <f>IF(A801='Data Entry - SOF'!B$2,'Data Entry - SOF'!M$64,0)</f>
        <v>0</v>
      </c>
      <c r="Y801" s="1371" t="e">
        <f t="shared" si="152"/>
        <v>#DIV/0!</v>
      </c>
      <c r="Z801" s="2212" t="e">
        <f>IF('Report-M&amp;O2223'!C$18-'Report-SOF2223'!D$55&lt;=0,0,'Report-M&amp;O2223'!C$18-'Report-SOF2223'!D$55)</f>
        <v>#DIV/0!</v>
      </c>
      <c r="AA801" s="1708">
        <f>IF(A801='Data Entry - SOF'!B$2,'Data Entry - SOF'!O$64,0)</f>
        <v>0</v>
      </c>
    </row>
    <row r="802" spans="1:27" ht="15.75">
      <c r="A802" s="1076" t="s">
        <v>794</v>
      </c>
      <c r="B802">
        <v>5331035</v>
      </c>
      <c r="C802" s="2452" t="e">
        <f>#REF!+#REF!</f>
        <v>#REF!</v>
      </c>
      <c r="D802" s="2449">
        <f>IF(A802='Data Entry - SOF'!B$2,'Data Entry - SOF'!C$64,0)</f>
        <v>0</v>
      </c>
      <c r="E802" s="2450">
        <f t="shared" si="153"/>
        <v>5331035</v>
      </c>
      <c r="F802" s="2212" t="e">
        <f>IF('Report-M&amp;O1718'!C$18-'Report-SOF1718'!D$55&lt;=0,0,'Report-M&amp;O1718'!C$18-'Report-SOF1718'!D$55)</f>
        <v>#DIV/0!</v>
      </c>
      <c r="G802" s="2452" t="e">
        <f t="shared" si="145"/>
        <v>#DIV/0!</v>
      </c>
      <c r="H802" s="2449">
        <f>IF(A802='Data Entry - SOF'!B$2,'Data Entry - SOF'!E$64,0)</f>
        <v>0</v>
      </c>
      <c r="I802" s="1687">
        <f t="shared" si="146"/>
        <v>5331035</v>
      </c>
      <c r="J802" s="2212" t="e">
        <f>IF('Report-M&amp;O1819'!C$18-'Report-SOF1819'!D$55&lt;=0,0,'Report-M&amp;O1819'!C$18-'Report-SOF1819'!D$55)</f>
        <v>#DIV/0!</v>
      </c>
      <c r="K802" s="2452" t="e">
        <f t="shared" si="147"/>
        <v>#DIV/0!</v>
      </c>
      <c r="L802" s="2449">
        <f>IF(A802='Data Entry - SOF'!B$2,'Data Entry - SOF'!G$64,0)</f>
        <v>0</v>
      </c>
      <c r="M802" s="1371">
        <f t="shared" si="148"/>
        <v>5331035</v>
      </c>
      <c r="N802" s="2212" t="e">
        <f>IF('Report-M&amp;O1920'!C$18-'Report-SOF1920'!D$55&lt;=0,0,'Report-M&amp;O1920'!C$18-'Report-SOF1920'!D$55)</f>
        <v>#DIV/0!</v>
      </c>
      <c r="O802" s="2452" t="e">
        <f t="shared" si="149"/>
        <v>#DIV/0!</v>
      </c>
      <c r="P802" s="2449">
        <f>IF(A802='Data Entry - SOF'!B$2,'Data Entry - SOF'!I$64,0)</f>
        <v>0</v>
      </c>
      <c r="Q802" s="1687">
        <f t="shared" si="144"/>
        <v>5331035</v>
      </c>
      <c r="R802" s="2212" t="e">
        <f>IF('Report-M&amp;O2021'!C$18-'Report-SOF2021'!D$55&lt;=0,0,'Report-M&amp;O2021'!C$18-'Report-SOF2021'!D$55)</f>
        <v>#DIV/0!</v>
      </c>
      <c r="S802" s="2452" t="e">
        <f t="shared" si="150"/>
        <v>#DIV/0!</v>
      </c>
      <c r="T802" s="1708">
        <f>IF(A802='Data Entry - SOF'!B$2,'Data Entry - SOF'!K$64,0)</f>
        <v>0</v>
      </c>
      <c r="U802" s="1687">
        <f t="shared" si="154"/>
        <v>5331035</v>
      </c>
      <c r="V802" s="2212" t="e">
        <f>IF('Report-M&amp;O2122'!C$18-'Report-SOF2122'!D$55&lt;=0,0,'Report-M&amp;O2122'!C$18-'Report-SOF2122'!D$55)</f>
        <v>#DIV/0!</v>
      </c>
      <c r="W802" s="2452" t="e">
        <f t="shared" si="151"/>
        <v>#DIV/0!</v>
      </c>
      <c r="X802" s="1708">
        <f>IF(A802='Data Entry - SOF'!B$2,'Data Entry - SOF'!M$64,0)</f>
        <v>0</v>
      </c>
      <c r="Y802" s="1371" t="e">
        <f t="shared" si="152"/>
        <v>#DIV/0!</v>
      </c>
      <c r="Z802" s="2212" t="e">
        <f>IF('Report-M&amp;O2223'!C$18-'Report-SOF2223'!D$55&lt;=0,0,'Report-M&amp;O2223'!C$18-'Report-SOF2223'!D$55)</f>
        <v>#DIV/0!</v>
      </c>
      <c r="AA802" s="1708">
        <f>IF(A802='Data Entry - SOF'!B$2,'Data Entry - SOF'!O$64,0)</f>
        <v>0</v>
      </c>
    </row>
    <row r="803" spans="1:27" ht="15.75">
      <c r="A803" s="1076" t="s">
        <v>795</v>
      </c>
      <c r="B803">
        <v>9759874</v>
      </c>
      <c r="C803" s="2452" t="e">
        <f>#REF!+#REF!</f>
        <v>#REF!</v>
      </c>
      <c r="D803" s="2449">
        <f>IF(A803='Data Entry - SOF'!B$2,'Data Entry - SOF'!C$64,0)</f>
        <v>0</v>
      </c>
      <c r="E803" s="2450">
        <f t="shared" si="153"/>
        <v>9759874</v>
      </c>
      <c r="F803" s="2212" t="e">
        <f>IF('Report-M&amp;O1718'!C$18-'Report-SOF1718'!D$55&lt;=0,0,'Report-M&amp;O1718'!C$18-'Report-SOF1718'!D$55)</f>
        <v>#DIV/0!</v>
      </c>
      <c r="G803" s="2452" t="e">
        <f t="shared" si="145"/>
        <v>#DIV/0!</v>
      </c>
      <c r="H803" s="2449">
        <f>IF(A803='Data Entry - SOF'!B$2,'Data Entry - SOF'!E$64,0)</f>
        <v>0</v>
      </c>
      <c r="I803" s="1687">
        <f t="shared" si="146"/>
        <v>9759874</v>
      </c>
      <c r="J803" s="2212" t="e">
        <f>IF('Report-M&amp;O1819'!C$18-'Report-SOF1819'!D$55&lt;=0,0,'Report-M&amp;O1819'!C$18-'Report-SOF1819'!D$55)</f>
        <v>#DIV/0!</v>
      </c>
      <c r="K803" s="2452" t="e">
        <f t="shared" si="147"/>
        <v>#DIV/0!</v>
      </c>
      <c r="L803" s="2449">
        <f>IF(A803='Data Entry - SOF'!B$2,'Data Entry - SOF'!G$64,0)</f>
        <v>0</v>
      </c>
      <c r="M803" s="1371">
        <f t="shared" si="148"/>
        <v>9759874</v>
      </c>
      <c r="N803" s="2212" t="e">
        <f>IF('Report-M&amp;O1920'!C$18-'Report-SOF1920'!D$55&lt;=0,0,'Report-M&amp;O1920'!C$18-'Report-SOF1920'!D$55)</f>
        <v>#DIV/0!</v>
      </c>
      <c r="O803" s="2452" t="e">
        <f t="shared" si="149"/>
        <v>#DIV/0!</v>
      </c>
      <c r="P803" s="2449">
        <f>IF(A803='Data Entry - SOF'!B$2,'Data Entry - SOF'!I$64,0)</f>
        <v>0</v>
      </c>
      <c r="Q803" s="1687">
        <f t="shared" si="144"/>
        <v>9759874</v>
      </c>
      <c r="R803" s="2212" t="e">
        <f>IF('Report-M&amp;O2021'!C$18-'Report-SOF2021'!D$55&lt;=0,0,'Report-M&amp;O2021'!C$18-'Report-SOF2021'!D$55)</f>
        <v>#DIV/0!</v>
      </c>
      <c r="S803" s="2452" t="e">
        <f t="shared" si="150"/>
        <v>#DIV/0!</v>
      </c>
      <c r="T803" s="1708">
        <f>IF(A803='Data Entry - SOF'!B$2,'Data Entry - SOF'!K$64,0)</f>
        <v>0</v>
      </c>
      <c r="U803" s="1687">
        <f t="shared" si="154"/>
        <v>9759874</v>
      </c>
      <c r="V803" s="2212" t="e">
        <f>IF('Report-M&amp;O2122'!C$18-'Report-SOF2122'!D$55&lt;=0,0,'Report-M&amp;O2122'!C$18-'Report-SOF2122'!D$55)</f>
        <v>#DIV/0!</v>
      </c>
      <c r="W803" s="2452" t="e">
        <f t="shared" si="151"/>
        <v>#DIV/0!</v>
      </c>
      <c r="X803" s="1708">
        <f>IF(A803='Data Entry - SOF'!B$2,'Data Entry - SOF'!M$64,0)</f>
        <v>0</v>
      </c>
      <c r="Y803" s="1371" t="e">
        <f t="shared" si="152"/>
        <v>#DIV/0!</v>
      </c>
      <c r="Z803" s="2212" t="e">
        <f>IF('Report-M&amp;O2223'!C$18-'Report-SOF2223'!D$55&lt;=0,0,'Report-M&amp;O2223'!C$18-'Report-SOF2223'!D$55)</f>
        <v>#DIV/0!</v>
      </c>
      <c r="AA803" s="1708">
        <f>IF(A803='Data Entry - SOF'!B$2,'Data Entry - SOF'!O$64,0)</f>
        <v>0</v>
      </c>
    </row>
    <row r="804" spans="1:27" ht="15.75">
      <c r="A804" s="1076" t="s">
        <v>1644</v>
      </c>
      <c r="B804">
        <v>11543194</v>
      </c>
      <c r="C804" s="2452" t="e">
        <f>#REF!+#REF!</f>
        <v>#REF!</v>
      </c>
      <c r="D804" s="2449">
        <f>IF(A804='Data Entry - SOF'!B$2,'Data Entry - SOF'!C$64,0)</f>
        <v>0</v>
      </c>
      <c r="E804" s="2450">
        <f t="shared" si="153"/>
        <v>11543194</v>
      </c>
      <c r="F804" s="2212" t="e">
        <f>IF('Report-M&amp;O1718'!C$18-'Report-SOF1718'!D$55&lt;=0,0,'Report-M&amp;O1718'!C$18-'Report-SOF1718'!D$55)</f>
        <v>#DIV/0!</v>
      </c>
      <c r="G804" s="2452" t="e">
        <f t="shared" si="145"/>
        <v>#DIV/0!</v>
      </c>
      <c r="H804" s="2449">
        <f>IF(A804='Data Entry - SOF'!B$2,'Data Entry - SOF'!E$64,0)</f>
        <v>0</v>
      </c>
      <c r="I804" s="1687">
        <f t="shared" si="146"/>
        <v>11543194</v>
      </c>
      <c r="J804" s="2212" t="e">
        <f>IF('Report-M&amp;O1819'!C$18-'Report-SOF1819'!D$55&lt;=0,0,'Report-M&amp;O1819'!C$18-'Report-SOF1819'!D$55)</f>
        <v>#DIV/0!</v>
      </c>
      <c r="K804" s="2452" t="e">
        <f t="shared" si="147"/>
        <v>#DIV/0!</v>
      </c>
      <c r="L804" s="2449">
        <f>IF(A804='Data Entry - SOF'!B$2,'Data Entry - SOF'!G$64,0)</f>
        <v>0</v>
      </c>
      <c r="M804" s="1371">
        <f t="shared" si="148"/>
        <v>11543194</v>
      </c>
      <c r="N804" s="2212" t="e">
        <f>IF('Report-M&amp;O1920'!C$18-'Report-SOF1920'!D$55&lt;=0,0,'Report-M&amp;O1920'!C$18-'Report-SOF1920'!D$55)</f>
        <v>#DIV/0!</v>
      </c>
      <c r="O804" s="2452" t="e">
        <f t="shared" si="149"/>
        <v>#DIV/0!</v>
      </c>
      <c r="P804" s="2449">
        <f>IF(A804='Data Entry - SOF'!B$2,'Data Entry - SOF'!I$64,0)</f>
        <v>0</v>
      </c>
      <c r="Q804" s="1687">
        <f t="shared" si="144"/>
        <v>11543194</v>
      </c>
      <c r="R804" s="2212" t="e">
        <f>IF('Report-M&amp;O2021'!C$18-'Report-SOF2021'!D$55&lt;=0,0,'Report-M&amp;O2021'!C$18-'Report-SOF2021'!D$55)</f>
        <v>#DIV/0!</v>
      </c>
      <c r="S804" s="2452" t="e">
        <f t="shared" si="150"/>
        <v>#DIV/0!</v>
      </c>
      <c r="T804" s="1708">
        <f>IF(A804='Data Entry - SOF'!B$2,'Data Entry - SOF'!K$64,0)</f>
        <v>0</v>
      </c>
      <c r="U804" s="1687">
        <f t="shared" si="154"/>
        <v>11543194</v>
      </c>
      <c r="V804" s="2212" t="e">
        <f>IF('Report-M&amp;O2122'!C$18-'Report-SOF2122'!D$55&lt;=0,0,'Report-M&amp;O2122'!C$18-'Report-SOF2122'!D$55)</f>
        <v>#DIV/0!</v>
      </c>
      <c r="W804" s="2452" t="e">
        <f t="shared" si="151"/>
        <v>#DIV/0!</v>
      </c>
      <c r="X804" s="1708">
        <f>IF(A804='Data Entry - SOF'!B$2,'Data Entry - SOF'!M$64,0)</f>
        <v>0</v>
      </c>
      <c r="Y804" s="1371" t="e">
        <f t="shared" si="152"/>
        <v>#DIV/0!</v>
      </c>
      <c r="Z804" s="2212" t="e">
        <f>IF('Report-M&amp;O2223'!C$18-'Report-SOF2223'!D$55&lt;=0,0,'Report-M&amp;O2223'!C$18-'Report-SOF2223'!D$55)</f>
        <v>#DIV/0!</v>
      </c>
      <c r="AA804" s="1708">
        <f>IF(A804='Data Entry - SOF'!B$2,'Data Entry - SOF'!O$64,0)</f>
        <v>0</v>
      </c>
    </row>
    <row r="805" spans="1:27" ht="15.75">
      <c r="A805" s="1076" t="s">
        <v>1645</v>
      </c>
      <c r="B805">
        <v>10285528</v>
      </c>
      <c r="C805" s="2452" t="e">
        <f>#REF!+#REF!</f>
        <v>#REF!</v>
      </c>
      <c r="D805" s="2449">
        <f>IF(A805='Data Entry - SOF'!B$2,'Data Entry - SOF'!C$64,0)</f>
        <v>0</v>
      </c>
      <c r="E805" s="2450">
        <f t="shared" si="153"/>
        <v>10285528</v>
      </c>
      <c r="F805" s="2212" t="e">
        <f>IF('Report-M&amp;O1718'!C$18-'Report-SOF1718'!D$55&lt;=0,0,'Report-M&amp;O1718'!C$18-'Report-SOF1718'!D$55)</f>
        <v>#DIV/0!</v>
      </c>
      <c r="G805" s="2452" t="e">
        <f t="shared" si="145"/>
        <v>#DIV/0!</v>
      </c>
      <c r="H805" s="2449">
        <f>IF(A805='Data Entry - SOF'!B$2,'Data Entry - SOF'!E$64,0)</f>
        <v>0</v>
      </c>
      <c r="I805" s="1687">
        <f t="shared" si="146"/>
        <v>10285528</v>
      </c>
      <c r="J805" s="2212" t="e">
        <f>IF('Report-M&amp;O1819'!C$18-'Report-SOF1819'!D$55&lt;=0,0,'Report-M&amp;O1819'!C$18-'Report-SOF1819'!D$55)</f>
        <v>#DIV/0!</v>
      </c>
      <c r="K805" s="2452" t="e">
        <f t="shared" si="147"/>
        <v>#DIV/0!</v>
      </c>
      <c r="L805" s="2449">
        <f>IF(A805='Data Entry - SOF'!B$2,'Data Entry - SOF'!G$64,0)</f>
        <v>0</v>
      </c>
      <c r="M805" s="1371">
        <f t="shared" si="148"/>
        <v>10285528</v>
      </c>
      <c r="N805" s="2212" t="e">
        <f>IF('Report-M&amp;O1920'!C$18-'Report-SOF1920'!D$55&lt;=0,0,'Report-M&amp;O1920'!C$18-'Report-SOF1920'!D$55)</f>
        <v>#DIV/0!</v>
      </c>
      <c r="O805" s="2452" t="e">
        <f t="shared" si="149"/>
        <v>#DIV/0!</v>
      </c>
      <c r="P805" s="2449">
        <f>IF(A805='Data Entry - SOF'!B$2,'Data Entry - SOF'!I$64,0)</f>
        <v>0</v>
      </c>
      <c r="Q805" s="1687">
        <f t="shared" si="144"/>
        <v>10285528</v>
      </c>
      <c r="R805" s="2212" t="e">
        <f>IF('Report-M&amp;O2021'!C$18-'Report-SOF2021'!D$55&lt;=0,0,'Report-M&amp;O2021'!C$18-'Report-SOF2021'!D$55)</f>
        <v>#DIV/0!</v>
      </c>
      <c r="S805" s="2452" t="e">
        <f t="shared" si="150"/>
        <v>#DIV/0!</v>
      </c>
      <c r="T805" s="1708">
        <f>IF(A805='Data Entry - SOF'!B$2,'Data Entry - SOF'!K$64,0)</f>
        <v>0</v>
      </c>
      <c r="U805" s="1687">
        <f t="shared" si="154"/>
        <v>10285528</v>
      </c>
      <c r="V805" s="2212" t="e">
        <f>IF('Report-M&amp;O2122'!C$18-'Report-SOF2122'!D$55&lt;=0,0,'Report-M&amp;O2122'!C$18-'Report-SOF2122'!D$55)</f>
        <v>#DIV/0!</v>
      </c>
      <c r="W805" s="2452" t="e">
        <f t="shared" si="151"/>
        <v>#DIV/0!</v>
      </c>
      <c r="X805" s="1708">
        <f>IF(A805='Data Entry - SOF'!B$2,'Data Entry - SOF'!M$64,0)</f>
        <v>0</v>
      </c>
      <c r="Y805" s="1371" t="e">
        <f t="shared" si="152"/>
        <v>#DIV/0!</v>
      </c>
      <c r="Z805" s="2212" t="e">
        <f>IF('Report-M&amp;O2223'!C$18-'Report-SOF2223'!D$55&lt;=0,0,'Report-M&amp;O2223'!C$18-'Report-SOF2223'!D$55)</f>
        <v>#DIV/0!</v>
      </c>
      <c r="AA805" s="1708">
        <f>IF(A805='Data Entry - SOF'!B$2,'Data Entry - SOF'!O$64,0)</f>
        <v>0</v>
      </c>
    </row>
    <row r="806" spans="1:27" ht="15.75">
      <c r="A806" s="1076" t="s">
        <v>1646</v>
      </c>
      <c r="B806">
        <v>1103767</v>
      </c>
      <c r="C806" s="2452" t="e">
        <f>#REF!+#REF!</f>
        <v>#REF!</v>
      </c>
      <c r="D806" s="2449">
        <f>IF(A806='Data Entry - SOF'!B$2,'Data Entry - SOF'!C$64,0)</f>
        <v>0</v>
      </c>
      <c r="E806" s="2450">
        <f t="shared" si="153"/>
        <v>1103767</v>
      </c>
      <c r="F806" s="2212" t="e">
        <f>IF('Report-M&amp;O1718'!C$18-'Report-SOF1718'!D$55&lt;=0,0,'Report-M&amp;O1718'!C$18-'Report-SOF1718'!D$55)</f>
        <v>#DIV/0!</v>
      </c>
      <c r="G806" s="2452" t="e">
        <f t="shared" si="145"/>
        <v>#DIV/0!</v>
      </c>
      <c r="H806" s="2449">
        <f>IF(A806='Data Entry - SOF'!B$2,'Data Entry - SOF'!E$64,0)</f>
        <v>0</v>
      </c>
      <c r="I806" s="1687">
        <f t="shared" si="146"/>
        <v>1103767</v>
      </c>
      <c r="J806" s="2212" t="e">
        <f>IF('Report-M&amp;O1819'!C$18-'Report-SOF1819'!D$55&lt;=0,0,'Report-M&amp;O1819'!C$18-'Report-SOF1819'!D$55)</f>
        <v>#DIV/0!</v>
      </c>
      <c r="K806" s="2452" t="e">
        <f t="shared" si="147"/>
        <v>#DIV/0!</v>
      </c>
      <c r="L806" s="2449">
        <f>IF(A806='Data Entry - SOF'!B$2,'Data Entry - SOF'!G$64,0)</f>
        <v>0</v>
      </c>
      <c r="M806" s="1371">
        <f t="shared" si="148"/>
        <v>1103767</v>
      </c>
      <c r="N806" s="2212" t="e">
        <f>IF('Report-M&amp;O1920'!C$18-'Report-SOF1920'!D$55&lt;=0,0,'Report-M&amp;O1920'!C$18-'Report-SOF1920'!D$55)</f>
        <v>#DIV/0!</v>
      </c>
      <c r="O806" s="2452" t="e">
        <f t="shared" si="149"/>
        <v>#DIV/0!</v>
      </c>
      <c r="P806" s="2449">
        <f>IF(A806='Data Entry - SOF'!B$2,'Data Entry - SOF'!I$64,0)</f>
        <v>0</v>
      </c>
      <c r="Q806" s="1687">
        <f t="shared" si="144"/>
        <v>1103767</v>
      </c>
      <c r="R806" s="2212" t="e">
        <f>IF('Report-M&amp;O2021'!C$18-'Report-SOF2021'!D$55&lt;=0,0,'Report-M&amp;O2021'!C$18-'Report-SOF2021'!D$55)</f>
        <v>#DIV/0!</v>
      </c>
      <c r="S806" s="2452" t="e">
        <f t="shared" si="150"/>
        <v>#DIV/0!</v>
      </c>
      <c r="T806" s="1708">
        <f>IF(A806='Data Entry - SOF'!B$2,'Data Entry - SOF'!K$64,0)</f>
        <v>0</v>
      </c>
      <c r="U806" s="1687">
        <f t="shared" si="154"/>
        <v>1103767</v>
      </c>
      <c r="V806" s="2212" t="e">
        <f>IF('Report-M&amp;O2122'!C$18-'Report-SOF2122'!D$55&lt;=0,0,'Report-M&amp;O2122'!C$18-'Report-SOF2122'!D$55)</f>
        <v>#DIV/0!</v>
      </c>
      <c r="W806" s="2452" t="e">
        <f t="shared" si="151"/>
        <v>#DIV/0!</v>
      </c>
      <c r="X806" s="1708">
        <f>IF(A806='Data Entry - SOF'!B$2,'Data Entry - SOF'!M$64,0)</f>
        <v>0</v>
      </c>
      <c r="Y806" s="1371" t="e">
        <f t="shared" si="152"/>
        <v>#DIV/0!</v>
      </c>
      <c r="Z806" s="2212" t="e">
        <f>IF('Report-M&amp;O2223'!C$18-'Report-SOF2223'!D$55&lt;=0,0,'Report-M&amp;O2223'!C$18-'Report-SOF2223'!D$55)</f>
        <v>#DIV/0!</v>
      </c>
      <c r="AA806" s="1708">
        <f>IF(A806='Data Entry - SOF'!B$2,'Data Entry - SOF'!O$64,0)</f>
        <v>0</v>
      </c>
    </row>
    <row r="807" spans="1:27" ht="15.75">
      <c r="A807" s="1076" t="s">
        <v>1647</v>
      </c>
      <c r="B807">
        <v>75916168</v>
      </c>
      <c r="C807" s="2452" t="e">
        <f>#REF!+#REF!</f>
        <v>#REF!</v>
      </c>
      <c r="D807" s="2449">
        <f>IF(A807='Data Entry - SOF'!B$2,'Data Entry - SOF'!C$64,0)</f>
        <v>0</v>
      </c>
      <c r="E807" s="2450">
        <f t="shared" si="153"/>
        <v>75916168</v>
      </c>
      <c r="F807" s="2212" t="e">
        <f>IF('Report-M&amp;O1718'!C$18-'Report-SOF1718'!D$55&lt;=0,0,'Report-M&amp;O1718'!C$18-'Report-SOF1718'!D$55)</f>
        <v>#DIV/0!</v>
      </c>
      <c r="G807" s="2452" t="e">
        <f t="shared" si="145"/>
        <v>#DIV/0!</v>
      </c>
      <c r="H807" s="2449">
        <f>IF(A807='Data Entry - SOF'!B$2,'Data Entry - SOF'!E$64,0)</f>
        <v>0</v>
      </c>
      <c r="I807" s="1687">
        <f t="shared" si="146"/>
        <v>75916168</v>
      </c>
      <c r="J807" s="2212" t="e">
        <f>IF('Report-M&amp;O1819'!C$18-'Report-SOF1819'!D$55&lt;=0,0,'Report-M&amp;O1819'!C$18-'Report-SOF1819'!D$55)</f>
        <v>#DIV/0!</v>
      </c>
      <c r="K807" s="2452" t="e">
        <f t="shared" si="147"/>
        <v>#DIV/0!</v>
      </c>
      <c r="L807" s="2449">
        <f>IF(A807='Data Entry - SOF'!B$2,'Data Entry - SOF'!G$64,0)</f>
        <v>0</v>
      </c>
      <c r="M807" s="1371">
        <f t="shared" si="148"/>
        <v>75916168</v>
      </c>
      <c r="N807" s="2212" t="e">
        <f>IF('Report-M&amp;O1920'!C$18-'Report-SOF1920'!D$55&lt;=0,0,'Report-M&amp;O1920'!C$18-'Report-SOF1920'!D$55)</f>
        <v>#DIV/0!</v>
      </c>
      <c r="O807" s="2452" t="e">
        <f t="shared" si="149"/>
        <v>#DIV/0!</v>
      </c>
      <c r="P807" s="2449">
        <f>IF(A807='Data Entry - SOF'!B$2,'Data Entry - SOF'!I$64,0)</f>
        <v>0</v>
      </c>
      <c r="Q807" s="1687">
        <f t="shared" si="144"/>
        <v>75916168</v>
      </c>
      <c r="R807" s="2212" t="e">
        <f>IF('Report-M&amp;O2021'!C$18-'Report-SOF2021'!D$55&lt;=0,0,'Report-M&amp;O2021'!C$18-'Report-SOF2021'!D$55)</f>
        <v>#DIV/0!</v>
      </c>
      <c r="S807" s="2452" t="e">
        <f t="shared" si="150"/>
        <v>#DIV/0!</v>
      </c>
      <c r="T807" s="1708">
        <f>IF(A807='Data Entry - SOF'!B$2,'Data Entry - SOF'!K$64,0)</f>
        <v>0</v>
      </c>
      <c r="U807" s="1687">
        <f t="shared" si="154"/>
        <v>75916168</v>
      </c>
      <c r="V807" s="2212" t="e">
        <f>IF('Report-M&amp;O2122'!C$18-'Report-SOF2122'!D$55&lt;=0,0,'Report-M&amp;O2122'!C$18-'Report-SOF2122'!D$55)</f>
        <v>#DIV/0!</v>
      </c>
      <c r="W807" s="2452" t="e">
        <f t="shared" si="151"/>
        <v>#DIV/0!</v>
      </c>
      <c r="X807" s="1708">
        <f>IF(A807='Data Entry - SOF'!B$2,'Data Entry - SOF'!M$64,0)</f>
        <v>0</v>
      </c>
      <c r="Y807" s="1371" t="e">
        <f t="shared" si="152"/>
        <v>#DIV/0!</v>
      </c>
      <c r="Z807" s="2212" t="e">
        <f>IF('Report-M&amp;O2223'!C$18-'Report-SOF2223'!D$55&lt;=0,0,'Report-M&amp;O2223'!C$18-'Report-SOF2223'!D$55)</f>
        <v>#DIV/0!</v>
      </c>
      <c r="AA807" s="1708">
        <f>IF(A807='Data Entry - SOF'!B$2,'Data Entry - SOF'!O$64,0)</f>
        <v>0</v>
      </c>
    </row>
    <row r="808" spans="1:27" ht="15.75">
      <c r="A808" s="1076" t="s">
        <v>1648</v>
      </c>
      <c r="B808">
        <v>5200238</v>
      </c>
      <c r="C808" s="2452" t="e">
        <f>#REF!+#REF!</f>
        <v>#REF!</v>
      </c>
      <c r="D808" s="2449">
        <f>IF(A808='Data Entry - SOF'!B$2,'Data Entry - SOF'!C$64,0)</f>
        <v>0</v>
      </c>
      <c r="E808" s="2450">
        <f t="shared" si="153"/>
        <v>5200238</v>
      </c>
      <c r="F808" s="2212" t="e">
        <f>IF('Report-M&amp;O1718'!C$18-'Report-SOF1718'!D$55&lt;=0,0,'Report-M&amp;O1718'!C$18-'Report-SOF1718'!D$55)</f>
        <v>#DIV/0!</v>
      </c>
      <c r="G808" s="2452" t="e">
        <f t="shared" si="145"/>
        <v>#DIV/0!</v>
      </c>
      <c r="H808" s="2449">
        <f>IF(A808='Data Entry - SOF'!B$2,'Data Entry - SOF'!E$64,0)</f>
        <v>0</v>
      </c>
      <c r="I808" s="1687">
        <f t="shared" si="146"/>
        <v>5200238</v>
      </c>
      <c r="J808" s="2212" t="e">
        <f>IF('Report-M&amp;O1819'!C$18-'Report-SOF1819'!D$55&lt;=0,0,'Report-M&amp;O1819'!C$18-'Report-SOF1819'!D$55)</f>
        <v>#DIV/0!</v>
      </c>
      <c r="K808" s="2452" t="e">
        <f t="shared" si="147"/>
        <v>#DIV/0!</v>
      </c>
      <c r="L808" s="2449">
        <f>IF(A808='Data Entry - SOF'!B$2,'Data Entry - SOF'!G$64,0)</f>
        <v>0</v>
      </c>
      <c r="M808" s="1371">
        <f t="shared" si="148"/>
        <v>5200238</v>
      </c>
      <c r="N808" s="2212" t="e">
        <f>IF('Report-M&amp;O1920'!C$18-'Report-SOF1920'!D$55&lt;=0,0,'Report-M&amp;O1920'!C$18-'Report-SOF1920'!D$55)</f>
        <v>#DIV/0!</v>
      </c>
      <c r="O808" s="2452" t="e">
        <f t="shared" si="149"/>
        <v>#DIV/0!</v>
      </c>
      <c r="P808" s="2449">
        <f>IF(A808='Data Entry - SOF'!B$2,'Data Entry - SOF'!I$64,0)</f>
        <v>0</v>
      </c>
      <c r="Q808" s="1687">
        <f t="shared" si="144"/>
        <v>5200238</v>
      </c>
      <c r="R808" s="2212" t="e">
        <f>IF('Report-M&amp;O2021'!C$18-'Report-SOF2021'!D$55&lt;=0,0,'Report-M&amp;O2021'!C$18-'Report-SOF2021'!D$55)</f>
        <v>#DIV/0!</v>
      </c>
      <c r="S808" s="2452" t="e">
        <f t="shared" si="150"/>
        <v>#DIV/0!</v>
      </c>
      <c r="T808" s="1708">
        <f>IF(A808='Data Entry - SOF'!B$2,'Data Entry - SOF'!K$64,0)</f>
        <v>0</v>
      </c>
      <c r="U808" s="1687">
        <f t="shared" si="154"/>
        <v>5200238</v>
      </c>
      <c r="V808" s="2212" t="e">
        <f>IF('Report-M&amp;O2122'!C$18-'Report-SOF2122'!D$55&lt;=0,0,'Report-M&amp;O2122'!C$18-'Report-SOF2122'!D$55)</f>
        <v>#DIV/0!</v>
      </c>
      <c r="W808" s="2452" t="e">
        <f t="shared" si="151"/>
        <v>#DIV/0!</v>
      </c>
      <c r="X808" s="1708">
        <f>IF(A808='Data Entry - SOF'!B$2,'Data Entry - SOF'!M$64,0)</f>
        <v>0</v>
      </c>
      <c r="Y808" s="1371" t="e">
        <f t="shared" si="152"/>
        <v>#DIV/0!</v>
      </c>
      <c r="Z808" s="2212" t="e">
        <f>IF('Report-M&amp;O2223'!C$18-'Report-SOF2223'!D$55&lt;=0,0,'Report-M&amp;O2223'!C$18-'Report-SOF2223'!D$55)</f>
        <v>#DIV/0!</v>
      </c>
      <c r="AA808" s="1708">
        <f>IF(A808='Data Entry - SOF'!B$2,'Data Entry - SOF'!O$64,0)</f>
        <v>0</v>
      </c>
    </row>
    <row r="809" spans="1:27" ht="15.75">
      <c r="A809" s="1076" t="s">
        <v>1649</v>
      </c>
      <c r="B809">
        <v>826943</v>
      </c>
      <c r="C809" s="2452" t="e">
        <f>#REF!+#REF!</f>
        <v>#REF!</v>
      </c>
      <c r="D809" s="2449">
        <f>IF(A809='Data Entry - SOF'!B$2,'Data Entry - SOF'!C$64,0)</f>
        <v>0</v>
      </c>
      <c r="E809" s="2450">
        <f t="shared" si="153"/>
        <v>826943</v>
      </c>
      <c r="F809" s="2212" t="e">
        <f>IF('Report-M&amp;O1718'!C$18-'Report-SOF1718'!D$55&lt;=0,0,'Report-M&amp;O1718'!C$18-'Report-SOF1718'!D$55)</f>
        <v>#DIV/0!</v>
      </c>
      <c r="G809" s="2452" t="e">
        <f t="shared" si="145"/>
        <v>#DIV/0!</v>
      </c>
      <c r="H809" s="2449">
        <f>IF(A809='Data Entry - SOF'!B$2,'Data Entry - SOF'!E$64,0)</f>
        <v>0</v>
      </c>
      <c r="I809" s="1687">
        <f t="shared" si="146"/>
        <v>826943</v>
      </c>
      <c r="J809" s="2212" t="e">
        <f>IF('Report-M&amp;O1819'!C$18-'Report-SOF1819'!D$55&lt;=0,0,'Report-M&amp;O1819'!C$18-'Report-SOF1819'!D$55)</f>
        <v>#DIV/0!</v>
      </c>
      <c r="K809" s="2452" t="e">
        <f t="shared" si="147"/>
        <v>#DIV/0!</v>
      </c>
      <c r="L809" s="2449">
        <f>IF(A809='Data Entry - SOF'!B$2,'Data Entry - SOF'!G$64,0)</f>
        <v>0</v>
      </c>
      <c r="M809" s="1371">
        <f t="shared" si="148"/>
        <v>826943</v>
      </c>
      <c r="N809" s="2212" t="e">
        <f>IF('Report-M&amp;O1920'!C$18-'Report-SOF1920'!D$55&lt;=0,0,'Report-M&amp;O1920'!C$18-'Report-SOF1920'!D$55)</f>
        <v>#DIV/0!</v>
      </c>
      <c r="O809" s="2452" t="e">
        <f t="shared" si="149"/>
        <v>#DIV/0!</v>
      </c>
      <c r="P809" s="2449">
        <f>IF(A809='Data Entry - SOF'!B$2,'Data Entry - SOF'!I$64,0)</f>
        <v>0</v>
      </c>
      <c r="Q809" s="1687">
        <f t="shared" si="144"/>
        <v>826943</v>
      </c>
      <c r="R809" s="2212" t="e">
        <f>IF('Report-M&amp;O2021'!C$18-'Report-SOF2021'!D$55&lt;=0,0,'Report-M&amp;O2021'!C$18-'Report-SOF2021'!D$55)</f>
        <v>#DIV/0!</v>
      </c>
      <c r="S809" s="2452" t="e">
        <f t="shared" si="150"/>
        <v>#DIV/0!</v>
      </c>
      <c r="T809" s="1708">
        <f>IF(A809='Data Entry - SOF'!B$2,'Data Entry - SOF'!K$64,0)</f>
        <v>0</v>
      </c>
      <c r="U809" s="1687">
        <f t="shared" si="154"/>
        <v>826943</v>
      </c>
      <c r="V809" s="2212" t="e">
        <f>IF('Report-M&amp;O2122'!C$18-'Report-SOF2122'!D$55&lt;=0,0,'Report-M&amp;O2122'!C$18-'Report-SOF2122'!D$55)</f>
        <v>#DIV/0!</v>
      </c>
      <c r="W809" s="2452" t="e">
        <f t="shared" si="151"/>
        <v>#DIV/0!</v>
      </c>
      <c r="X809" s="1708">
        <f>IF(A809='Data Entry - SOF'!B$2,'Data Entry - SOF'!M$64,0)</f>
        <v>0</v>
      </c>
      <c r="Y809" s="1371" t="e">
        <f t="shared" si="152"/>
        <v>#DIV/0!</v>
      </c>
      <c r="Z809" s="2212" t="e">
        <f>IF('Report-M&amp;O2223'!C$18-'Report-SOF2223'!D$55&lt;=0,0,'Report-M&amp;O2223'!C$18-'Report-SOF2223'!D$55)</f>
        <v>#DIV/0!</v>
      </c>
      <c r="AA809" s="1708">
        <f>IF(A809='Data Entry - SOF'!B$2,'Data Entry - SOF'!O$64,0)</f>
        <v>0</v>
      </c>
    </row>
    <row r="810" spans="1:27" ht="15.75">
      <c r="A810" s="1076" t="s">
        <v>1885</v>
      </c>
      <c r="B810">
        <v>195658324</v>
      </c>
      <c r="C810" s="2452" t="e">
        <f>#REF!+#REF!</f>
        <v>#REF!</v>
      </c>
      <c r="D810" s="2449">
        <f>IF(A810='Data Entry - SOF'!B$2,'Data Entry - SOF'!C$64,0)</f>
        <v>0</v>
      </c>
      <c r="E810" s="2450">
        <f t="shared" si="153"/>
        <v>195658324</v>
      </c>
      <c r="F810" s="2212" t="e">
        <f>IF('Report-M&amp;O1718'!C$18-'Report-SOF1718'!D$55&lt;=0,0,'Report-M&amp;O1718'!C$18-'Report-SOF1718'!D$55)</f>
        <v>#DIV/0!</v>
      </c>
      <c r="G810" s="2452" t="e">
        <f t="shared" si="145"/>
        <v>#DIV/0!</v>
      </c>
      <c r="H810" s="2449">
        <f>IF(A810='Data Entry - SOF'!B$2,'Data Entry - SOF'!E$64,0)</f>
        <v>0</v>
      </c>
      <c r="I810" s="1687">
        <f t="shared" si="146"/>
        <v>195658324</v>
      </c>
      <c r="J810" s="2212" t="e">
        <f>IF('Report-M&amp;O1819'!C$18-'Report-SOF1819'!D$55&lt;=0,0,'Report-M&amp;O1819'!C$18-'Report-SOF1819'!D$55)</f>
        <v>#DIV/0!</v>
      </c>
      <c r="K810" s="2452" t="e">
        <f t="shared" si="147"/>
        <v>#DIV/0!</v>
      </c>
      <c r="L810" s="2449">
        <f>IF(A810='Data Entry - SOF'!B$2,'Data Entry - SOF'!G$64,0)</f>
        <v>0</v>
      </c>
      <c r="M810" s="1371">
        <f t="shared" si="148"/>
        <v>195658324</v>
      </c>
      <c r="N810" s="2212" t="e">
        <f>IF('Report-M&amp;O1920'!C$18-'Report-SOF1920'!D$55&lt;=0,0,'Report-M&amp;O1920'!C$18-'Report-SOF1920'!D$55)</f>
        <v>#DIV/0!</v>
      </c>
      <c r="O810" s="2452" t="e">
        <f t="shared" si="149"/>
        <v>#DIV/0!</v>
      </c>
      <c r="P810" s="2449">
        <f>IF(A810='Data Entry - SOF'!B$2,'Data Entry - SOF'!I$64,0)</f>
        <v>0</v>
      </c>
      <c r="Q810" s="1687">
        <f t="shared" si="144"/>
        <v>195658324</v>
      </c>
      <c r="R810" s="2212" t="e">
        <f>IF('Report-M&amp;O2021'!C$18-'Report-SOF2021'!D$55&lt;=0,0,'Report-M&amp;O2021'!C$18-'Report-SOF2021'!D$55)</f>
        <v>#DIV/0!</v>
      </c>
      <c r="S810" s="2452" t="e">
        <f t="shared" si="150"/>
        <v>#DIV/0!</v>
      </c>
      <c r="T810" s="1708">
        <f>IF(A810='Data Entry - SOF'!B$2,'Data Entry - SOF'!K$64,0)</f>
        <v>0</v>
      </c>
      <c r="U810" s="1687">
        <f t="shared" si="154"/>
        <v>195658324</v>
      </c>
      <c r="V810" s="2212" t="e">
        <f>IF('Report-M&amp;O2122'!C$18-'Report-SOF2122'!D$55&lt;=0,0,'Report-M&amp;O2122'!C$18-'Report-SOF2122'!D$55)</f>
        <v>#DIV/0!</v>
      </c>
      <c r="W810" s="2452" t="e">
        <f t="shared" si="151"/>
        <v>#DIV/0!</v>
      </c>
      <c r="X810" s="1708">
        <f>IF(A810='Data Entry - SOF'!B$2,'Data Entry - SOF'!M$64,0)</f>
        <v>0</v>
      </c>
      <c r="Y810" s="1371" t="e">
        <f t="shared" si="152"/>
        <v>#DIV/0!</v>
      </c>
      <c r="Z810" s="2212" t="e">
        <f>IF('Report-M&amp;O2223'!C$18-'Report-SOF2223'!D$55&lt;=0,0,'Report-M&amp;O2223'!C$18-'Report-SOF2223'!D$55)</f>
        <v>#DIV/0!</v>
      </c>
      <c r="AA810" s="1708">
        <f>IF(A810='Data Entry - SOF'!B$2,'Data Entry - SOF'!O$64,0)</f>
        <v>0</v>
      </c>
    </row>
    <row r="811" spans="1:27" ht="15.75">
      <c r="A811" s="1076" t="s">
        <v>2056</v>
      </c>
      <c r="B811">
        <v>24374121</v>
      </c>
      <c r="C811" s="2452" t="e">
        <f>#REF!+#REF!</f>
        <v>#REF!</v>
      </c>
      <c r="D811" s="2449">
        <f>IF(A811='Data Entry - SOF'!B$2,'Data Entry - SOF'!C$64,0)</f>
        <v>0</v>
      </c>
      <c r="E811" s="2450">
        <f t="shared" si="153"/>
        <v>24374121</v>
      </c>
      <c r="F811" s="2212" t="e">
        <f>IF('Report-M&amp;O1718'!C$18-'Report-SOF1718'!D$55&lt;=0,0,'Report-M&amp;O1718'!C$18-'Report-SOF1718'!D$55)</f>
        <v>#DIV/0!</v>
      </c>
      <c r="G811" s="2452" t="e">
        <f t="shared" si="145"/>
        <v>#DIV/0!</v>
      </c>
      <c r="H811" s="2449">
        <f>IF(A811='Data Entry - SOF'!B$2,'Data Entry - SOF'!E$64,0)</f>
        <v>0</v>
      </c>
      <c r="I811" s="1687">
        <f t="shared" si="146"/>
        <v>24374121</v>
      </c>
      <c r="J811" s="2212" t="e">
        <f>IF('Report-M&amp;O1819'!C$18-'Report-SOF1819'!D$55&lt;=0,0,'Report-M&amp;O1819'!C$18-'Report-SOF1819'!D$55)</f>
        <v>#DIV/0!</v>
      </c>
      <c r="K811" s="2452" t="e">
        <f t="shared" si="147"/>
        <v>#DIV/0!</v>
      </c>
      <c r="L811" s="2449">
        <f>IF(A811='Data Entry - SOF'!B$2,'Data Entry - SOF'!G$64,0)</f>
        <v>0</v>
      </c>
      <c r="M811" s="1371">
        <f t="shared" si="148"/>
        <v>24374121</v>
      </c>
      <c r="N811" s="2212" t="e">
        <f>IF('Report-M&amp;O1920'!C$18-'Report-SOF1920'!D$55&lt;=0,0,'Report-M&amp;O1920'!C$18-'Report-SOF1920'!D$55)</f>
        <v>#DIV/0!</v>
      </c>
      <c r="O811" s="2452" t="e">
        <f t="shared" si="149"/>
        <v>#DIV/0!</v>
      </c>
      <c r="P811" s="2449">
        <f>IF(A811='Data Entry - SOF'!B$2,'Data Entry - SOF'!I$64,0)</f>
        <v>0</v>
      </c>
      <c r="Q811" s="1687">
        <f t="shared" si="144"/>
        <v>24374121</v>
      </c>
      <c r="R811" s="2212" t="e">
        <f>IF('Report-M&amp;O2021'!C$18-'Report-SOF2021'!D$55&lt;=0,0,'Report-M&amp;O2021'!C$18-'Report-SOF2021'!D$55)</f>
        <v>#DIV/0!</v>
      </c>
      <c r="S811" s="2452" t="e">
        <f t="shared" si="150"/>
        <v>#DIV/0!</v>
      </c>
      <c r="T811" s="1708">
        <f>IF(A811='Data Entry - SOF'!B$2,'Data Entry - SOF'!K$64,0)</f>
        <v>0</v>
      </c>
      <c r="U811" s="1687">
        <f t="shared" si="154"/>
        <v>24374121</v>
      </c>
      <c r="V811" s="2212" t="e">
        <f>IF('Report-M&amp;O2122'!C$18-'Report-SOF2122'!D$55&lt;=0,0,'Report-M&amp;O2122'!C$18-'Report-SOF2122'!D$55)</f>
        <v>#DIV/0!</v>
      </c>
      <c r="W811" s="2452" t="e">
        <f t="shared" si="151"/>
        <v>#DIV/0!</v>
      </c>
      <c r="X811" s="1708">
        <f>IF(A811='Data Entry - SOF'!B$2,'Data Entry - SOF'!M$64,0)</f>
        <v>0</v>
      </c>
      <c r="Y811" s="1371" t="e">
        <f t="shared" si="152"/>
        <v>#DIV/0!</v>
      </c>
      <c r="Z811" s="2212" t="e">
        <f>IF('Report-M&amp;O2223'!C$18-'Report-SOF2223'!D$55&lt;=0,0,'Report-M&amp;O2223'!C$18-'Report-SOF2223'!D$55)</f>
        <v>#DIV/0!</v>
      </c>
      <c r="AA811" s="1708">
        <f>IF(A811='Data Entry - SOF'!B$2,'Data Entry - SOF'!O$64,0)</f>
        <v>0</v>
      </c>
    </row>
    <row r="812" spans="1:27" ht="15.75">
      <c r="A812" s="1076" t="s">
        <v>1886</v>
      </c>
      <c r="B812">
        <v>1315347</v>
      </c>
      <c r="C812" s="2452" t="e">
        <f>#REF!+#REF!</f>
        <v>#REF!</v>
      </c>
      <c r="D812" s="2449">
        <f>IF(A812='Data Entry - SOF'!B$2,'Data Entry - SOF'!C$64,0)</f>
        <v>0</v>
      </c>
      <c r="E812" s="2450">
        <f t="shared" si="153"/>
        <v>1315347</v>
      </c>
      <c r="F812" s="2212" t="e">
        <f>IF('Report-M&amp;O1718'!C$18-'Report-SOF1718'!D$55&lt;=0,0,'Report-M&amp;O1718'!C$18-'Report-SOF1718'!D$55)</f>
        <v>#DIV/0!</v>
      </c>
      <c r="G812" s="2452" t="e">
        <f t="shared" si="145"/>
        <v>#DIV/0!</v>
      </c>
      <c r="H812" s="2449">
        <f>IF(A812='Data Entry - SOF'!B$2,'Data Entry - SOF'!E$64,0)</f>
        <v>0</v>
      </c>
      <c r="I812" s="1687">
        <f t="shared" si="146"/>
        <v>1315347</v>
      </c>
      <c r="J812" s="2212" t="e">
        <f>IF('Report-M&amp;O1819'!C$18-'Report-SOF1819'!D$55&lt;=0,0,'Report-M&amp;O1819'!C$18-'Report-SOF1819'!D$55)</f>
        <v>#DIV/0!</v>
      </c>
      <c r="K812" s="2452" t="e">
        <f t="shared" si="147"/>
        <v>#DIV/0!</v>
      </c>
      <c r="L812" s="2449">
        <f>IF(A812='Data Entry - SOF'!B$2,'Data Entry - SOF'!G$64,0)</f>
        <v>0</v>
      </c>
      <c r="M812" s="1371">
        <f t="shared" si="148"/>
        <v>1315347</v>
      </c>
      <c r="N812" s="2212" t="e">
        <f>IF('Report-M&amp;O1920'!C$18-'Report-SOF1920'!D$55&lt;=0,0,'Report-M&amp;O1920'!C$18-'Report-SOF1920'!D$55)</f>
        <v>#DIV/0!</v>
      </c>
      <c r="O812" s="2452" t="e">
        <f t="shared" si="149"/>
        <v>#DIV/0!</v>
      </c>
      <c r="P812" s="2449">
        <f>IF(A812='Data Entry - SOF'!B$2,'Data Entry - SOF'!I$64,0)</f>
        <v>0</v>
      </c>
      <c r="Q812" s="1687">
        <f t="shared" si="144"/>
        <v>1315347</v>
      </c>
      <c r="R812" s="2212" t="e">
        <f>IF('Report-M&amp;O2021'!C$18-'Report-SOF2021'!D$55&lt;=0,0,'Report-M&amp;O2021'!C$18-'Report-SOF2021'!D$55)</f>
        <v>#DIV/0!</v>
      </c>
      <c r="S812" s="2452" t="e">
        <f t="shared" si="150"/>
        <v>#DIV/0!</v>
      </c>
      <c r="T812" s="1708">
        <f>IF(A812='Data Entry - SOF'!B$2,'Data Entry - SOF'!K$64,0)</f>
        <v>0</v>
      </c>
      <c r="U812" s="1687">
        <f t="shared" si="154"/>
        <v>1315347</v>
      </c>
      <c r="V812" s="2212" t="e">
        <f>IF('Report-M&amp;O2122'!C$18-'Report-SOF2122'!D$55&lt;=0,0,'Report-M&amp;O2122'!C$18-'Report-SOF2122'!D$55)</f>
        <v>#DIV/0!</v>
      </c>
      <c r="W812" s="2452" t="e">
        <f t="shared" si="151"/>
        <v>#DIV/0!</v>
      </c>
      <c r="X812" s="1708">
        <f>IF(A812='Data Entry - SOF'!B$2,'Data Entry - SOF'!M$64,0)</f>
        <v>0</v>
      </c>
      <c r="Y812" s="1371" t="e">
        <f t="shared" si="152"/>
        <v>#DIV/0!</v>
      </c>
      <c r="Z812" s="2212" t="e">
        <f>IF('Report-M&amp;O2223'!C$18-'Report-SOF2223'!D$55&lt;=0,0,'Report-M&amp;O2223'!C$18-'Report-SOF2223'!D$55)</f>
        <v>#DIV/0!</v>
      </c>
      <c r="AA812" s="1708">
        <f>IF(A812='Data Entry - SOF'!B$2,'Data Entry - SOF'!O$64,0)</f>
        <v>0</v>
      </c>
    </row>
    <row r="813" spans="1:27" ht="15.75">
      <c r="A813" s="1076" t="s">
        <v>412</v>
      </c>
      <c r="B813">
        <v>668969</v>
      </c>
      <c r="C813" s="2452" t="e">
        <f>#REF!+#REF!</f>
        <v>#REF!</v>
      </c>
      <c r="D813" s="2449">
        <f>IF(A813='Data Entry - SOF'!B$2,'Data Entry - SOF'!C$64,0)</f>
        <v>0</v>
      </c>
      <c r="E813" s="2450">
        <f t="shared" si="153"/>
        <v>668969</v>
      </c>
      <c r="F813" s="2212" t="e">
        <f>IF('Report-M&amp;O1718'!C$18-'Report-SOF1718'!D$55&lt;=0,0,'Report-M&amp;O1718'!C$18-'Report-SOF1718'!D$55)</f>
        <v>#DIV/0!</v>
      </c>
      <c r="G813" s="2452" t="e">
        <f t="shared" si="145"/>
        <v>#DIV/0!</v>
      </c>
      <c r="H813" s="2449">
        <f>IF(A813='Data Entry - SOF'!B$2,'Data Entry - SOF'!E$64,0)</f>
        <v>0</v>
      </c>
      <c r="I813" s="1687">
        <f t="shared" si="146"/>
        <v>668969</v>
      </c>
      <c r="J813" s="2212" t="e">
        <f>IF('Report-M&amp;O1819'!C$18-'Report-SOF1819'!D$55&lt;=0,0,'Report-M&amp;O1819'!C$18-'Report-SOF1819'!D$55)</f>
        <v>#DIV/0!</v>
      </c>
      <c r="K813" s="2452" t="e">
        <f t="shared" si="147"/>
        <v>#DIV/0!</v>
      </c>
      <c r="L813" s="2449">
        <f>IF(A813='Data Entry - SOF'!B$2,'Data Entry - SOF'!G$64,0)</f>
        <v>0</v>
      </c>
      <c r="M813" s="1371">
        <f t="shared" si="148"/>
        <v>668969</v>
      </c>
      <c r="N813" s="2212" t="e">
        <f>IF('Report-M&amp;O1920'!C$18-'Report-SOF1920'!D$55&lt;=0,0,'Report-M&amp;O1920'!C$18-'Report-SOF1920'!D$55)</f>
        <v>#DIV/0!</v>
      </c>
      <c r="O813" s="2452" t="e">
        <f t="shared" si="149"/>
        <v>#DIV/0!</v>
      </c>
      <c r="P813" s="2449">
        <f>IF(A813='Data Entry - SOF'!B$2,'Data Entry - SOF'!I$64,0)</f>
        <v>0</v>
      </c>
      <c r="Q813" s="1687">
        <f t="shared" si="144"/>
        <v>668969</v>
      </c>
      <c r="R813" s="2212" t="e">
        <f>IF('Report-M&amp;O2021'!C$18-'Report-SOF2021'!D$55&lt;=0,0,'Report-M&amp;O2021'!C$18-'Report-SOF2021'!D$55)</f>
        <v>#DIV/0!</v>
      </c>
      <c r="S813" s="2452" t="e">
        <f t="shared" si="150"/>
        <v>#DIV/0!</v>
      </c>
      <c r="T813" s="1708">
        <f>IF(A813='Data Entry - SOF'!B$2,'Data Entry - SOF'!K$64,0)</f>
        <v>0</v>
      </c>
      <c r="U813" s="1687">
        <f t="shared" si="154"/>
        <v>668969</v>
      </c>
      <c r="V813" s="2212" t="e">
        <f>IF('Report-M&amp;O2122'!C$18-'Report-SOF2122'!D$55&lt;=0,0,'Report-M&amp;O2122'!C$18-'Report-SOF2122'!D$55)</f>
        <v>#DIV/0!</v>
      </c>
      <c r="W813" s="2452" t="e">
        <f t="shared" si="151"/>
        <v>#DIV/0!</v>
      </c>
      <c r="X813" s="1708">
        <f>IF(A813='Data Entry - SOF'!B$2,'Data Entry - SOF'!M$64,0)</f>
        <v>0</v>
      </c>
      <c r="Y813" s="1371" t="e">
        <f t="shared" si="152"/>
        <v>#DIV/0!</v>
      </c>
      <c r="Z813" s="2212" t="e">
        <f>IF('Report-M&amp;O2223'!C$18-'Report-SOF2223'!D$55&lt;=0,0,'Report-M&amp;O2223'!C$18-'Report-SOF2223'!D$55)</f>
        <v>#DIV/0!</v>
      </c>
      <c r="AA813" s="1708">
        <f>IF(A813='Data Entry - SOF'!B$2,'Data Entry - SOF'!O$64,0)</f>
        <v>0</v>
      </c>
    </row>
    <row r="814" spans="1:27" ht="15.75">
      <c r="A814" s="1076" t="s">
        <v>1350</v>
      </c>
      <c r="B814">
        <v>309255</v>
      </c>
      <c r="C814" s="2452" t="e">
        <f>#REF!+#REF!</f>
        <v>#REF!</v>
      </c>
      <c r="D814" s="2449">
        <f>IF(A814='Data Entry - SOF'!B$2,'Data Entry - SOF'!C$64,0)</f>
        <v>0</v>
      </c>
      <c r="E814" s="2450">
        <f t="shared" si="153"/>
        <v>309255</v>
      </c>
      <c r="F814" s="2212" t="e">
        <f>IF('Report-M&amp;O1718'!C$18-'Report-SOF1718'!D$55&lt;=0,0,'Report-M&amp;O1718'!C$18-'Report-SOF1718'!D$55)</f>
        <v>#DIV/0!</v>
      </c>
      <c r="G814" s="2452" t="e">
        <f t="shared" si="145"/>
        <v>#DIV/0!</v>
      </c>
      <c r="H814" s="2449">
        <f>IF(A814='Data Entry - SOF'!B$2,'Data Entry - SOF'!E$64,0)</f>
        <v>0</v>
      </c>
      <c r="I814" s="1687">
        <f t="shared" si="146"/>
        <v>309255</v>
      </c>
      <c r="J814" s="2212" t="e">
        <f>IF('Report-M&amp;O1819'!C$18-'Report-SOF1819'!D$55&lt;=0,0,'Report-M&amp;O1819'!C$18-'Report-SOF1819'!D$55)</f>
        <v>#DIV/0!</v>
      </c>
      <c r="K814" s="2452" t="e">
        <f t="shared" si="147"/>
        <v>#DIV/0!</v>
      </c>
      <c r="L814" s="2449">
        <f>IF(A814='Data Entry - SOF'!B$2,'Data Entry - SOF'!G$64,0)</f>
        <v>0</v>
      </c>
      <c r="M814" s="1371">
        <f t="shared" si="148"/>
        <v>309255</v>
      </c>
      <c r="N814" s="2212" t="e">
        <f>IF('Report-M&amp;O1920'!C$18-'Report-SOF1920'!D$55&lt;=0,0,'Report-M&amp;O1920'!C$18-'Report-SOF1920'!D$55)</f>
        <v>#DIV/0!</v>
      </c>
      <c r="O814" s="2452" t="e">
        <f t="shared" si="149"/>
        <v>#DIV/0!</v>
      </c>
      <c r="P814" s="2449">
        <f>IF(A814='Data Entry - SOF'!B$2,'Data Entry - SOF'!I$64,0)</f>
        <v>0</v>
      </c>
      <c r="Q814" s="1687">
        <f t="shared" si="144"/>
        <v>309255</v>
      </c>
      <c r="R814" s="2212" t="e">
        <f>IF('Report-M&amp;O2021'!C$18-'Report-SOF2021'!D$55&lt;=0,0,'Report-M&amp;O2021'!C$18-'Report-SOF2021'!D$55)</f>
        <v>#DIV/0!</v>
      </c>
      <c r="S814" s="2452" t="e">
        <f t="shared" si="150"/>
        <v>#DIV/0!</v>
      </c>
      <c r="T814" s="1708">
        <f>IF(A814='Data Entry - SOF'!B$2,'Data Entry - SOF'!K$64,0)</f>
        <v>0</v>
      </c>
      <c r="U814" s="1687">
        <f t="shared" si="154"/>
        <v>309255</v>
      </c>
      <c r="V814" s="2212" t="e">
        <f>IF('Report-M&amp;O2122'!C$18-'Report-SOF2122'!D$55&lt;=0,0,'Report-M&amp;O2122'!C$18-'Report-SOF2122'!D$55)</f>
        <v>#DIV/0!</v>
      </c>
      <c r="W814" s="2452" t="e">
        <f t="shared" si="151"/>
        <v>#DIV/0!</v>
      </c>
      <c r="X814" s="1708">
        <f>IF(A814='Data Entry - SOF'!B$2,'Data Entry - SOF'!M$64,0)</f>
        <v>0</v>
      </c>
      <c r="Y814" s="1371" t="e">
        <f t="shared" si="152"/>
        <v>#DIV/0!</v>
      </c>
      <c r="Z814" s="2212" t="e">
        <f>IF('Report-M&amp;O2223'!C$18-'Report-SOF2223'!D$55&lt;=0,0,'Report-M&amp;O2223'!C$18-'Report-SOF2223'!D$55)</f>
        <v>#DIV/0!</v>
      </c>
      <c r="AA814" s="1708">
        <f>IF(A814='Data Entry - SOF'!B$2,'Data Entry - SOF'!O$64,0)</f>
        <v>0</v>
      </c>
    </row>
    <row r="815" spans="1:27" ht="15.75">
      <c r="A815" s="1076" t="s">
        <v>413</v>
      </c>
      <c r="B815">
        <v>32105</v>
      </c>
      <c r="C815" s="2452" t="e">
        <f>#REF!+#REF!</f>
        <v>#REF!</v>
      </c>
      <c r="D815" s="2449">
        <f>IF(A815='Data Entry - SOF'!B$2,'Data Entry - SOF'!C$64,0)</f>
        <v>0</v>
      </c>
      <c r="E815" s="2450">
        <f t="shared" si="153"/>
        <v>32105</v>
      </c>
      <c r="F815" s="2212" t="e">
        <f>IF('Report-M&amp;O1718'!C$18-'Report-SOF1718'!D$55&lt;=0,0,'Report-M&amp;O1718'!C$18-'Report-SOF1718'!D$55)</f>
        <v>#DIV/0!</v>
      </c>
      <c r="G815" s="2452" t="e">
        <f t="shared" si="145"/>
        <v>#DIV/0!</v>
      </c>
      <c r="H815" s="2449">
        <f>IF(A815='Data Entry - SOF'!B$2,'Data Entry - SOF'!E$64,0)</f>
        <v>0</v>
      </c>
      <c r="I815" s="1687">
        <f t="shared" si="146"/>
        <v>32105</v>
      </c>
      <c r="J815" s="2212" t="e">
        <f>IF('Report-M&amp;O1819'!C$18-'Report-SOF1819'!D$55&lt;=0,0,'Report-M&amp;O1819'!C$18-'Report-SOF1819'!D$55)</f>
        <v>#DIV/0!</v>
      </c>
      <c r="K815" s="2452" t="e">
        <f t="shared" si="147"/>
        <v>#DIV/0!</v>
      </c>
      <c r="L815" s="2449">
        <f>IF(A815='Data Entry - SOF'!B$2,'Data Entry - SOF'!G$64,0)</f>
        <v>0</v>
      </c>
      <c r="M815" s="1371">
        <f t="shared" si="148"/>
        <v>32105</v>
      </c>
      <c r="N815" s="2212" t="e">
        <f>IF('Report-M&amp;O1920'!C$18-'Report-SOF1920'!D$55&lt;=0,0,'Report-M&amp;O1920'!C$18-'Report-SOF1920'!D$55)</f>
        <v>#DIV/0!</v>
      </c>
      <c r="O815" s="2452" t="e">
        <f t="shared" si="149"/>
        <v>#DIV/0!</v>
      </c>
      <c r="P815" s="2449">
        <f>IF(A815='Data Entry - SOF'!B$2,'Data Entry - SOF'!I$64,0)</f>
        <v>0</v>
      </c>
      <c r="Q815" s="1687">
        <f t="shared" si="144"/>
        <v>32105</v>
      </c>
      <c r="R815" s="2212" t="e">
        <f>IF('Report-M&amp;O2021'!C$18-'Report-SOF2021'!D$55&lt;=0,0,'Report-M&amp;O2021'!C$18-'Report-SOF2021'!D$55)</f>
        <v>#DIV/0!</v>
      </c>
      <c r="S815" s="2452" t="e">
        <f t="shared" si="150"/>
        <v>#DIV/0!</v>
      </c>
      <c r="T815" s="1708">
        <f>IF(A815='Data Entry - SOF'!B$2,'Data Entry - SOF'!K$64,0)</f>
        <v>0</v>
      </c>
      <c r="U815" s="1687">
        <f t="shared" si="154"/>
        <v>32105</v>
      </c>
      <c r="V815" s="2212" t="e">
        <f>IF('Report-M&amp;O2122'!C$18-'Report-SOF2122'!D$55&lt;=0,0,'Report-M&amp;O2122'!C$18-'Report-SOF2122'!D$55)</f>
        <v>#DIV/0!</v>
      </c>
      <c r="W815" s="2452" t="e">
        <f t="shared" si="151"/>
        <v>#DIV/0!</v>
      </c>
      <c r="X815" s="1708">
        <f>IF(A815='Data Entry - SOF'!B$2,'Data Entry - SOF'!M$64,0)</f>
        <v>0</v>
      </c>
      <c r="Y815" s="1371" t="e">
        <f t="shared" si="152"/>
        <v>#DIV/0!</v>
      </c>
      <c r="Z815" s="2212" t="e">
        <f>IF('Report-M&amp;O2223'!C$18-'Report-SOF2223'!D$55&lt;=0,0,'Report-M&amp;O2223'!C$18-'Report-SOF2223'!D$55)</f>
        <v>#DIV/0!</v>
      </c>
      <c r="AA815" s="1708">
        <f>IF(A815='Data Entry - SOF'!B$2,'Data Entry - SOF'!O$64,0)</f>
        <v>0</v>
      </c>
    </row>
    <row r="816" spans="1:27" ht="15.75">
      <c r="A816" s="1076" t="s">
        <v>1887</v>
      </c>
      <c r="B816">
        <v>19381261</v>
      </c>
      <c r="C816" s="2452" t="e">
        <f>#REF!+#REF!</f>
        <v>#REF!</v>
      </c>
      <c r="D816" s="2449">
        <f>IF(A816='Data Entry - SOF'!B$2,'Data Entry - SOF'!C$64,0)</f>
        <v>0</v>
      </c>
      <c r="E816" s="2450">
        <f t="shared" si="153"/>
        <v>19381261</v>
      </c>
      <c r="F816" s="2212" t="e">
        <f>IF('Report-M&amp;O1718'!C$18-'Report-SOF1718'!D$55&lt;=0,0,'Report-M&amp;O1718'!C$18-'Report-SOF1718'!D$55)</f>
        <v>#DIV/0!</v>
      </c>
      <c r="G816" s="2452" t="e">
        <f t="shared" si="145"/>
        <v>#DIV/0!</v>
      </c>
      <c r="H816" s="2449">
        <f>IF(A816='Data Entry - SOF'!B$2,'Data Entry - SOF'!E$64,0)</f>
        <v>0</v>
      </c>
      <c r="I816" s="1687">
        <f t="shared" si="146"/>
        <v>19381261</v>
      </c>
      <c r="J816" s="2212" t="e">
        <f>IF('Report-M&amp;O1819'!C$18-'Report-SOF1819'!D$55&lt;=0,0,'Report-M&amp;O1819'!C$18-'Report-SOF1819'!D$55)</f>
        <v>#DIV/0!</v>
      </c>
      <c r="K816" s="2452" t="e">
        <f t="shared" si="147"/>
        <v>#DIV/0!</v>
      </c>
      <c r="L816" s="2449">
        <f>IF(A816='Data Entry - SOF'!B$2,'Data Entry - SOF'!G$64,0)</f>
        <v>0</v>
      </c>
      <c r="M816" s="1371">
        <f t="shared" si="148"/>
        <v>19381261</v>
      </c>
      <c r="N816" s="2212" t="e">
        <f>IF('Report-M&amp;O1920'!C$18-'Report-SOF1920'!D$55&lt;=0,0,'Report-M&amp;O1920'!C$18-'Report-SOF1920'!D$55)</f>
        <v>#DIV/0!</v>
      </c>
      <c r="O816" s="2452" t="e">
        <f t="shared" si="149"/>
        <v>#DIV/0!</v>
      </c>
      <c r="P816" s="2449">
        <f>IF(A816='Data Entry - SOF'!B$2,'Data Entry - SOF'!I$64,0)</f>
        <v>0</v>
      </c>
      <c r="Q816" s="1687">
        <f t="shared" si="144"/>
        <v>19381261</v>
      </c>
      <c r="R816" s="2212" t="e">
        <f>IF('Report-M&amp;O2021'!C$18-'Report-SOF2021'!D$55&lt;=0,0,'Report-M&amp;O2021'!C$18-'Report-SOF2021'!D$55)</f>
        <v>#DIV/0!</v>
      </c>
      <c r="S816" s="2452" t="e">
        <f t="shared" si="150"/>
        <v>#DIV/0!</v>
      </c>
      <c r="T816" s="1708">
        <f>IF(A816='Data Entry - SOF'!B$2,'Data Entry - SOF'!K$64,0)</f>
        <v>0</v>
      </c>
      <c r="U816" s="1687">
        <f t="shared" si="154"/>
        <v>19381261</v>
      </c>
      <c r="V816" s="2212" t="e">
        <f>IF('Report-M&amp;O2122'!C$18-'Report-SOF2122'!D$55&lt;=0,0,'Report-M&amp;O2122'!C$18-'Report-SOF2122'!D$55)</f>
        <v>#DIV/0!</v>
      </c>
      <c r="W816" s="2452" t="e">
        <f t="shared" si="151"/>
        <v>#DIV/0!</v>
      </c>
      <c r="X816" s="1708">
        <f>IF(A816='Data Entry - SOF'!B$2,'Data Entry - SOF'!M$64,0)</f>
        <v>0</v>
      </c>
      <c r="Y816" s="1371" t="e">
        <f t="shared" si="152"/>
        <v>#DIV/0!</v>
      </c>
      <c r="Z816" s="2212" t="e">
        <f>IF('Report-M&amp;O2223'!C$18-'Report-SOF2223'!D$55&lt;=0,0,'Report-M&amp;O2223'!C$18-'Report-SOF2223'!D$55)</f>
        <v>#DIV/0!</v>
      </c>
      <c r="AA816" s="1708">
        <f>IF(A816='Data Entry - SOF'!B$2,'Data Entry - SOF'!O$64,0)</f>
        <v>0</v>
      </c>
    </row>
    <row r="817" spans="1:27" ht="15.75">
      <c r="A817" s="1076" t="s">
        <v>1888</v>
      </c>
      <c r="B817">
        <v>623219</v>
      </c>
      <c r="C817" s="2452" t="e">
        <f>#REF!+#REF!</f>
        <v>#REF!</v>
      </c>
      <c r="D817" s="2449">
        <f>IF(A817='Data Entry - SOF'!B$2,'Data Entry - SOF'!C$64,0)</f>
        <v>0</v>
      </c>
      <c r="E817" s="2450">
        <f t="shared" si="153"/>
        <v>623219</v>
      </c>
      <c r="F817" s="2212" t="e">
        <f>IF('Report-M&amp;O1718'!C$18-'Report-SOF1718'!D$55&lt;=0,0,'Report-M&amp;O1718'!C$18-'Report-SOF1718'!D$55)</f>
        <v>#DIV/0!</v>
      </c>
      <c r="G817" s="2452" t="e">
        <f t="shared" si="145"/>
        <v>#DIV/0!</v>
      </c>
      <c r="H817" s="2449">
        <f>IF(A817='Data Entry - SOF'!B$2,'Data Entry - SOF'!E$64,0)</f>
        <v>0</v>
      </c>
      <c r="I817" s="1687">
        <f t="shared" si="146"/>
        <v>623219</v>
      </c>
      <c r="J817" s="2212" t="e">
        <f>IF('Report-M&amp;O1819'!C$18-'Report-SOF1819'!D$55&lt;=0,0,'Report-M&amp;O1819'!C$18-'Report-SOF1819'!D$55)</f>
        <v>#DIV/0!</v>
      </c>
      <c r="K817" s="2452" t="e">
        <f t="shared" si="147"/>
        <v>#DIV/0!</v>
      </c>
      <c r="L817" s="2449">
        <f>IF(A817='Data Entry - SOF'!B$2,'Data Entry - SOF'!G$64,0)</f>
        <v>0</v>
      </c>
      <c r="M817" s="1371">
        <f t="shared" si="148"/>
        <v>623219</v>
      </c>
      <c r="N817" s="2212" t="e">
        <f>IF('Report-M&amp;O1920'!C$18-'Report-SOF1920'!D$55&lt;=0,0,'Report-M&amp;O1920'!C$18-'Report-SOF1920'!D$55)</f>
        <v>#DIV/0!</v>
      </c>
      <c r="O817" s="2452" t="e">
        <f t="shared" si="149"/>
        <v>#DIV/0!</v>
      </c>
      <c r="P817" s="2449">
        <f>IF(A817='Data Entry - SOF'!B$2,'Data Entry - SOF'!I$64,0)</f>
        <v>0</v>
      </c>
      <c r="Q817" s="1687">
        <f t="shared" si="144"/>
        <v>623219</v>
      </c>
      <c r="R817" s="2212" t="e">
        <f>IF('Report-M&amp;O2021'!C$18-'Report-SOF2021'!D$55&lt;=0,0,'Report-M&amp;O2021'!C$18-'Report-SOF2021'!D$55)</f>
        <v>#DIV/0!</v>
      </c>
      <c r="S817" s="2452" t="e">
        <f t="shared" si="150"/>
        <v>#DIV/0!</v>
      </c>
      <c r="T817" s="1708">
        <f>IF(A817='Data Entry - SOF'!B$2,'Data Entry - SOF'!K$64,0)</f>
        <v>0</v>
      </c>
      <c r="U817" s="1687">
        <f t="shared" si="154"/>
        <v>623219</v>
      </c>
      <c r="V817" s="2212" t="e">
        <f>IF('Report-M&amp;O2122'!C$18-'Report-SOF2122'!D$55&lt;=0,0,'Report-M&amp;O2122'!C$18-'Report-SOF2122'!D$55)</f>
        <v>#DIV/0!</v>
      </c>
      <c r="W817" s="2452" t="e">
        <f t="shared" si="151"/>
        <v>#DIV/0!</v>
      </c>
      <c r="X817" s="1708">
        <f>IF(A817='Data Entry - SOF'!B$2,'Data Entry - SOF'!M$64,0)</f>
        <v>0</v>
      </c>
      <c r="Y817" s="1371" t="e">
        <f t="shared" si="152"/>
        <v>#DIV/0!</v>
      </c>
      <c r="Z817" s="2212" t="e">
        <f>IF('Report-M&amp;O2223'!C$18-'Report-SOF2223'!D$55&lt;=0,0,'Report-M&amp;O2223'!C$18-'Report-SOF2223'!D$55)</f>
        <v>#DIV/0!</v>
      </c>
      <c r="AA817" s="1708">
        <f>IF(A817='Data Entry - SOF'!B$2,'Data Entry - SOF'!O$64,0)</f>
        <v>0</v>
      </c>
    </row>
    <row r="818" spans="1:27" ht="15.75">
      <c r="A818" s="1076" t="s">
        <v>1889</v>
      </c>
      <c r="B818">
        <v>441759</v>
      </c>
      <c r="C818" s="2452" t="e">
        <f>#REF!+#REF!</f>
        <v>#REF!</v>
      </c>
      <c r="D818" s="2449">
        <f>IF(A818='Data Entry - SOF'!B$2,'Data Entry - SOF'!C$64,0)</f>
        <v>0</v>
      </c>
      <c r="E818" s="2450">
        <f t="shared" si="153"/>
        <v>441759</v>
      </c>
      <c r="F818" s="2212" t="e">
        <f>IF('Report-M&amp;O1718'!C$18-'Report-SOF1718'!D$55&lt;=0,0,'Report-M&amp;O1718'!C$18-'Report-SOF1718'!D$55)</f>
        <v>#DIV/0!</v>
      </c>
      <c r="G818" s="2452" t="e">
        <f t="shared" si="145"/>
        <v>#DIV/0!</v>
      </c>
      <c r="H818" s="2449">
        <f>IF(A818='Data Entry - SOF'!B$2,'Data Entry - SOF'!E$64,0)</f>
        <v>0</v>
      </c>
      <c r="I818" s="1687">
        <f t="shared" si="146"/>
        <v>441759</v>
      </c>
      <c r="J818" s="2212" t="e">
        <f>IF('Report-M&amp;O1819'!C$18-'Report-SOF1819'!D$55&lt;=0,0,'Report-M&amp;O1819'!C$18-'Report-SOF1819'!D$55)</f>
        <v>#DIV/0!</v>
      </c>
      <c r="K818" s="2452" t="e">
        <f t="shared" si="147"/>
        <v>#DIV/0!</v>
      </c>
      <c r="L818" s="2449">
        <f>IF(A818='Data Entry - SOF'!B$2,'Data Entry - SOF'!G$64,0)</f>
        <v>0</v>
      </c>
      <c r="M818" s="1371">
        <f t="shared" si="148"/>
        <v>441759</v>
      </c>
      <c r="N818" s="2212" t="e">
        <f>IF('Report-M&amp;O1920'!C$18-'Report-SOF1920'!D$55&lt;=0,0,'Report-M&amp;O1920'!C$18-'Report-SOF1920'!D$55)</f>
        <v>#DIV/0!</v>
      </c>
      <c r="O818" s="2452" t="e">
        <f t="shared" si="149"/>
        <v>#DIV/0!</v>
      </c>
      <c r="P818" s="2449">
        <f>IF(A818='Data Entry - SOF'!B$2,'Data Entry - SOF'!I$64,0)</f>
        <v>0</v>
      </c>
      <c r="Q818" s="1687">
        <f t="shared" si="144"/>
        <v>441759</v>
      </c>
      <c r="R818" s="2212" t="e">
        <f>IF('Report-M&amp;O2021'!C$18-'Report-SOF2021'!D$55&lt;=0,0,'Report-M&amp;O2021'!C$18-'Report-SOF2021'!D$55)</f>
        <v>#DIV/0!</v>
      </c>
      <c r="S818" s="2452" t="e">
        <f t="shared" si="150"/>
        <v>#DIV/0!</v>
      </c>
      <c r="T818" s="1708">
        <f>IF(A818='Data Entry - SOF'!B$2,'Data Entry - SOF'!K$64,0)</f>
        <v>0</v>
      </c>
      <c r="U818" s="1687">
        <f t="shared" si="154"/>
        <v>441759</v>
      </c>
      <c r="V818" s="2212" t="e">
        <f>IF('Report-M&amp;O2122'!C$18-'Report-SOF2122'!D$55&lt;=0,0,'Report-M&amp;O2122'!C$18-'Report-SOF2122'!D$55)</f>
        <v>#DIV/0!</v>
      </c>
      <c r="W818" s="2452" t="e">
        <f t="shared" si="151"/>
        <v>#DIV/0!</v>
      </c>
      <c r="X818" s="1708">
        <f>IF(A818='Data Entry - SOF'!B$2,'Data Entry - SOF'!M$64,0)</f>
        <v>0</v>
      </c>
      <c r="Y818" s="1371" t="e">
        <f t="shared" si="152"/>
        <v>#DIV/0!</v>
      </c>
      <c r="Z818" s="2212" t="e">
        <f>IF('Report-M&amp;O2223'!C$18-'Report-SOF2223'!D$55&lt;=0,0,'Report-M&amp;O2223'!C$18-'Report-SOF2223'!D$55)</f>
        <v>#DIV/0!</v>
      </c>
      <c r="AA818" s="1708">
        <f>IF(A818='Data Entry - SOF'!B$2,'Data Entry - SOF'!O$64,0)</f>
        <v>0</v>
      </c>
    </row>
    <row r="819" spans="1:27" ht="15.75">
      <c r="A819" s="1076" t="s">
        <v>2830</v>
      </c>
      <c r="B819">
        <v>195786</v>
      </c>
      <c r="C819" s="2452" t="e">
        <f>#REF!+#REF!</f>
        <v>#REF!</v>
      </c>
      <c r="D819" s="2449">
        <f>IF(A819='Data Entry - SOF'!B$2,'Data Entry - SOF'!C$64,0)</f>
        <v>0</v>
      </c>
      <c r="E819" s="2450">
        <f t="shared" si="153"/>
        <v>195786</v>
      </c>
      <c r="F819" s="2212" t="e">
        <f>IF('Report-M&amp;O1718'!C$18-'Report-SOF1718'!D$55&lt;=0,0,'Report-M&amp;O1718'!C$18-'Report-SOF1718'!D$55)</f>
        <v>#DIV/0!</v>
      </c>
      <c r="G819" s="2452" t="e">
        <f t="shared" si="145"/>
        <v>#DIV/0!</v>
      </c>
      <c r="H819" s="2449">
        <f>IF(A819='Data Entry - SOF'!B$2,'Data Entry - SOF'!E$64,0)</f>
        <v>0</v>
      </c>
      <c r="I819" s="1687">
        <f t="shared" si="146"/>
        <v>195786</v>
      </c>
      <c r="J819" s="2212" t="e">
        <f>IF('Report-M&amp;O1819'!C$18-'Report-SOF1819'!D$55&lt;=0,0,'Report-M&amp;O1819'!C$18-'Report-SOF1819'!D$55)</f>
        <v>#DIV/0!</v>
      </c>
      <c r="K819" s="2452" t="e">
        <f t="shared" si="147"/>
        <v>#DIV/0!</v>
      </c>
      <c r="L819" s="2449">
        <f>IF(A819='Data Entry - SOF'!B$2,'Data Entry - SOF'!G$64,0)</f>
        <v>0</v>
      </c>
      <c r="M819" s="1371">
        <f t="shared" si="148"/>
        <v>195786</v>
      </c>
      <c r="N819" s="2212" t="e">
        <f>IF('Report-M&amp;O1920'!C$18-'Report-SOF1920'!D$55&lt;=0,0,'Report-M&amp;O1920'!C$18-'Report-SOF1920'!D$55)</f>
        <v>#DIV/0!</v>
      </c>
      <c r="O819" s="2452" t="e">
        <f t="shared" si="149"/>
        <v>#DIV/0!</v>
      </c>
      <c r="P819" s="2449">
        <f>IF(A819='Data Entry - SOF'!B$2,'Data Entry - SOF'!I$64,0)</f>
        <v>0</v>
      </c>
      <c r="Q819" s="1687">
        <f t="shared" si="144"/>
        <v>195786</v>
      </c>
      <c r="R819" s="2212" t="e">
        <f>IF('Report-M&amp;O2021'!C$18-'Report-SOF2021'!D$55&lt;=0,0,'Report-M&amp;O2021'!C$18-'Report-SOF2021'!D$55)</f>
        <v>#DIV/0!</v>
      </c>
      <c r="S819" s="2452" t="e">
        <f t="shared" si="150"/>
        <v>#DIV/0!</v>
      </c>
      <c r="T819" s="1708">
        <f>IF(A819='Data Entry - SOF'!B$2,'Data Entry - SOF'!K$64,0)</f>
        <v>0</v>
      </c>
      <c r="U819" s="1687">
        <f t="shared" si="154"/>
        <v>195786</v>
      </c>
      <c r="V819" s="2212" t="e">
        <f>IF('Report-M&amp;O2122'!C$18-'Report-SOF2122'!D$55&lt;=0,0,'Report-M&amp;O2122'!C$18-'Report-SOF2122'!D$55)</f>
        <v>#DIV/0!</v>
      </c>
      <c r="W819" s="2452" t="e">
        <f t="shared" si="151"/>
        <v>#DIV/0!</v>
      </c>
      <c r="X819" s="1708">
        <f>IF(A819='Data Entry - SOF'!B$2,'Data Entry - SOF'!M$64,0)</f>
        <v>0</v>
      </c>
      <c r="Y819" s="1371" t="e">
        <f t="shared" si="152"/>
        <v>#DIV/0!</v>
      </c>
      <c r="Z819" s="2212" t="e">
        <f>IF('Report-M&amp;O2223'!C$18-'Report-SOF2223'!D$55&lt;=0,0,'Report-M&amp;O2223'!C$18-'Report-SOF2223'!D$55)</f>
        <v>#DIV/0!</v>
      </c>
      <c r="AA819" s="1708">
        <f>IF(A819='Data Entry - SOF'!B$2,'Data Entry - SOF'!O$64,0)</f>
        <v>0</v>
      </c>
    </row>
    <row r="820" spans="1:27" ht="15.75">
      <c r="A820" s="1076" t="s">
        <v>2831</v>
      </c>
      <c r="B820">
        <v>510864</v>
      </c>
      <c r="C820" s="2452" t="e">
        <f>#REF!+#REF!</f>
        <v>#REF!</v>
      </c>
      <c r="D820" s="2449">
        <f>IF(A820='Data Entry - SOF'!B$2,'Data Entry - SOF'!C$64,0)</f>
        <v>0</v>
      </c>
      <c r="E820" s="2450">
        <f t="shared" si="153"/>
        <v>510864</v>
      </c>
      <c r="F820" s="2212" t="e">
        <f>IF('Report-M&amp;O1718'!C$18-'Report-SOF1718'!D$55&lt;=0,0,'Report-M&amp;O1718'!C$18-'Report-SOF1718'!D$55)</f>
        <v>#DIV/0!</v>
      </c>
      <c r="G820" s="2452" t="e">
        <f t="shared" si="145"/>
        <v>#DIV/0!</v>
      </c>
      <c r="H820" s="2449">
        <f>IF(A820='Data Entry - SOF'!B$2,'Data Entry - SOF'!E$64,0)</f>
        <v>0</v>
      </c>
      <c r="I820" s="1687">
        <f t="shared" si="146"/>
        <v>510864</v>
      </c>
      <c r="J820" s="2212" t="e">
        <f>IF('Report-M&amp;O1819'!C$18-'Report-SOF1819'!D$55&lt;=0,0,'Report-M&amp;O1819'!C$18-'Report-SOF1819'!D$55)</f>
        <v>#DIV/0!</v>
      </c>
      <c r="K820" s="2452" t="e">
        <f t="shared" si="147"/>
        <v>#DIV/0!</v>
      </c>
      <c r="L820" s="2449">
        <f>IF(A820='Data Entry - SOF'!B$2,'Data Entry - SOF'!G$64,0)</f>
        <v>0</v>
      </c>
      <c r="M820" s="1371">
        <f t="shared" si="148"/>
        <v>510864</v>
      </c>
      <c r="N820" s="2212" t="e">
        <f>IF('Report-M&amp;O1920'!C$18-'Report-SOF1920'!D$55&lt;=0,0,'Report-M&amp;O1920'!C$18-'Report-SOF1920'!D$55)</f>
        <v>#DIV/0!</v>
      </c>
      <c r="O820" s="2452" t="e">
        <f t="shared" si="149"/>
        <v>#DIV/0!</v>
      </c>
      <c r="P820" s="2449">
        <f>IF(A820='Data Entry - SOF'!B$2,'Data Entry - SOF'!I$64,0)</f>
        <v>0</v>
      </c>
      <c r="Q820" s="1687">
        <f t="shared" si="144"/>
        <v>510864</v>
      </c>
      <c r="R820" s="2212" t="e">
        <f>IF('Report-M&amp;O2021'!C$18-'Report-SOF2021'!D$55&lt;=0,0,'Report-M&amp;O2021'!C$18-'Report-SOF2021'!D$55)</f>
        <v>#DIV/0!</v>
      </c>
      <c r="S820" s="2452" t="e">
        <f t="shared" si="150"/>
        <v>#DIV/0!</v>
      </c>
      <c r="T820" s="1708">
        <f>IF(A820='Data Entry - SOF'!B$2,'Data Entry - SOF'!K$64,0)</f>
        <v>0</v>
      </c>
      <c r="U820" s="1687">
        <f t="shared" si="154"/>
        <v>510864</v>
      </c>
      <c r="V820" s="2212" t="e">
        <f>IF('Report-M&amp;O2122'!C$18-'Report-SOF2122'!D$55&lt;=0,0,'Report-M&amp;O2122'!C$18-'Report-SOF2122'!D$55)</f>
        <v>#DIV/0!</v>
      </c>
      <c r="W820" s="2452" t="e">
        <f t="shared" si="151"/>
        <v>#DIV/0!</v>
      </c>
      <c r="X820" s="1708">
        <f>IF(A820='Data Entry - SOF'!B$2,'Data Entry - SOF'!M$64,0)</f>
        <v>0</v>
      </c>
      <c r="Y820" s="1371" t="e">
        <f t="shared" si="152"/>
        <v>#DIV/0!</v>
      </c>
      <c r="Z820" s="2212" t="e">
        <f>IF('Report-M&amp;O2223'!C$18-'Report-SOF2223'!D$55&lt;=0,0,'Report-M&amp;O2223'!C$18-'Report-SOF2223'!D$55)</f>
        <v>#DIV/0!</v>
      </c>
      <c r="AA820" s="1708">
        <f>IF(A820='Data Entry - SOF'!B$2,'Data Entry - SOF'!O$64,0)</f>
        <v>0</v>
      </c>
    </row>
    <row r="821" spans="1:27" ht="15.75">
      <c r="A821" s="1076" t="s">
        <v>1890</v>
      </c>
      <c r="B821">
        <v>41912917</v>
      </c>
      <c r="C821" s="2452" t="e">
        <f>#REF!+#REF!</f>
        <v>#REF!</v>
      </c>
      <c r="D821" s="2449">
        <f>IF(A821='Data Entry - SOF'!B$2,'Data Entry - SOF'!C$64,0)</f>
        <v>0</v>
      </c>
      <c r="E821" s="2450">
        <f t="shared" si="153"/>
        <v>41912917</v>
      </c>
      <c r="F821" s="2212" t="e">
        <f>IF('Report-M&amp;O1718'!C$18-'Report-SOF1718'!D$55&lt;=0,0,'Report-M&amp;O1718'!C$18-'Report-SOF1718'!D$55)</f>
        <v>#DIV/0!</v>
      </c>
      <c r="G821" s="2452" t="e">
        <f t="shared" si="145"/>
        <v>#DIV/0!</v>
      </c>
      <c r="H821" s="2449">
        <f>IF(A821='Data Entry - SOF'!B$2,'Data Entry - SOF'!E$64,0)</f>
        <v>0</v>
      </c>
      <c r="I821" s="1687">
        <f t="shared" si="146"/>
        <v>41912917</v>
      </c>
      <c r="J821" s="2212" t="e">
        <f>IF('Report-M&amp;O1819'!C$18-'Report-SOF1819'!D$55&lt;=0,0,'Report-M&amp;O1819'!C$18-'Report-SOF1819'!D$55)</f>
        <v>#DIV/0!</v>
      </c>
      <c r="K821" s="2452" t="e">
        <f t="shared" si="147"/>
        <v>#DIV/0!</v>
      </c>
      <c r="L821" s="2449">
        <f>IF(A821='Data Entry - SOF'!B$2,'Data Entry - SOF'!G$64,0)</f>
        <v>0</v>
      </c>
      <c r="M821" s="1371">
        <f t="shared" si="148"/>
        <v>41912917</v>
      </c>
      <c r="N821" s="2212" t="e">
        <f>IF('Report-M&amp;O1920'!C$18-'Report-SOF1920'!D$55&lt;=0,0,'Report-M&amp;O1920'!C$18-'Report-SOF1920'!D$55)</f>
        <v>#DIV/0!</v>
      </c>
      <c r="O821" s="2452" t="e">
        <f t="shared" si="149"/>
        <v>#DIV/0!</v>
      </c>
      <c r="P821" s="2449">
        <f>IF(A821='Data Entry - SOF'!B$2,'Data Entry - SOF'!I$64,0)</f>
        <v>0</v>
      </c>
      <c r="Q821" s="1687">
        <f t="shared" si="144"/>
        <v>41912917</v>
      </c>
      <c r="R821" s="2212" t="e">
        <f>IF('Report-M&amp;O2021'!C$18-'Report-SOF2021'!D$55&lt;=0,0,'Report-M&amp;O2021'!C$18-'Report-SOF2021'!D$55)</f>
        <v>#DIV/0!</v>
      </c>
      <c r="S821" s="2452" t="e">
        <f t="shared" si="150"/>
        <v>#DIV/0!</v>
      </c>
      <c r="T821" s="1708">
        <f>IF(A821='Data Entry - SOF'!B$2,'Data Entry - SOF'!K$64,0)</f>
        <v>0</v>
      </c>
      <c r="U821" s="1687">
        <f t="shared" si="154"/>
        <v>41912917</v>
      </c>
      <c r="V821" s="2212" t="e">
        <f>IF('Report-M&amp;O2122'!C$18-'Report-SOF2122'!D$55&lt;=0,0,'Report-M&amp;O2122'!C$18-'Report-SOF2122'!D$55)</f>
        <v>#DIV/0!</v>
      </c>
      <c r="W821" s="2452" t="e">
        <f t="shared" si="151"/>
        <v>#DIV/0!</v>
      </c>
      <c r="X821" s="1708">
        <f>IF(A821='Data Entry - SOF'!B$2,'Data Entry - SOF'!M$64,0)</f>
        <v>0</v>
      </c>
      <c r="Y821" s="1371" t="e">
        <f t="shared" si="152"/>
        <v>#DIV/0!</v>
      </c>
      <c r="Z821" s="2212" t="e">
        <f>IF('Report-M&amp;O2223'!C$18-'Report-SOF2223'!D$55&lt;=0,0,'Report-M&amp;O2223'!C$18-'Report-SOF2223'!D$55)</f>
        <v>#DIV/0!</v>
      </c>
      <c r="AA821" s="1708">
        <f>IF(A821='Data Entry - SOF'!B$2,'Data Entry - SOF'!O$64,0)</f>
        <v>0</v>
      </c>
    </row>
    <row r="822" spans="1:27" ht="15.75">
      <c r="A822" s="1076" t="s">
        <v>218</v>
      </c>
      <c r="B822">
        <v>1203379</v>
      </c>
      <c r="C822" s="2452" t="e">
        <f>#REF!+#REF!</f>
        <v>#REF!</v>
      </c>
      <c r="D822" s="2449">
        <f>IF(A822='Data Entry - SOF'!B$2,'Data Entry - SOF'!C$64,0)</f>
        <v>0</v>
      </c>
      <c r="E822" s="2450">
        <f t="shared" si="153"/>
        <v>1203379</v>
      </c>
      <c r="F822" s="2212" t="e">
        <f>IF('Report-M&amp;O1718'!C$18-'Report-SOF1718'!D$55&lt;=0,0,'Report-M&amp;O1718'!C$18-'Report-SOF1718'!D$55)</f>
        <v>#DIV/0!</v>
      </c>
      <c r="G822" s="2452" t="e">
        <f t="shared" si="145"/>
        <v>#DIV/0!</v>
      </c>
      <c r="H822" s="2449">
        <f>IF(A822='Data Entry - SOF'!B$2,'Data Entry - SOF'!E$64,0)</f>
        <v>0</v>
      </c>
      <c r="I822" s="1687">
        <f t="shared" si="146"/>
        <v>1203379</v>
      </c>
      <c r="J822" s="2212" t="e">
        <f>IF('Report-M&amp;O1819'!C$18-'Report-SOF1819'!D$55&lt;=0,0,'Report-M&amp;O1819'!C$18-'Report-SOF1819'!D$55)</f>
        <v>#DIV/0!</v>
      </c>
      <c r="K822" s="2452" t="e">
        <f t="shared" si="147"/>
        <v>#DIV/0!</v>
      </c>
      <c r="L822" s="2449">
        <f>IF(A822='Data Entry - SOF'!B$2,'Data Entry - SOF'!G$64,0)</f>
        <v>0</v>
      </c>
      <c r="M822" s="1371">
        <f t="shared" si="148"/>
        <v>1203379</v>
      </c>
      <c r="N822" s="2212" t="e">
        <f>IF('Report-M&amp;O1920'!C$18-'Report-SOF1920'!D$55&lt;=0,0,'Report-M&amp;O1920'!C$18-'Report-SOF1920'!D$55)</f>
        <v>#DIV/0!</v>
      </c>
      <c r="O822" s="2452" t="e">
        <f t="shared" si="149"/>
        <v>#DIV/0!</v>
      </c>
      <c r="P822" s="2449">
        <f>IF(A822='Data Entry - SOF'!B$2,'Data Entry - SOF'!I$64,0)</f>
        <v>0</v>
      </c>
      <c r="Q822" s="1687">
        <f t="shared" si="144"/>
        <v>1203379</v>
      </c>
      <c r="R822" s="2212" t="e">
        <f>IF('Report-M&amp;O2021'!C$18-'Report-SOF2021'!D$55&lt;=0,0,'Report-M&amp;O2021'!C$18-'Report-SOF2021'!D$55)</f>
        <v>#DIV/0!</v>
      </c>
      <c r="S822" s="2452" t="e">
        <f t="shared" si="150"/>
        <v>#DIV/0!</v>
      </c>
      <c r="T822" s="1708">
        <f>IF(A822='Data Entry - SOF'!B$2,'Data Entry - SOF'!K$64,0)</f>
        <v>0</v>
      </c>
      <c r="U822" s="1687">
        <f t="shared" si="154"/>
        <v>1203379</v>
      </c>
      <c r="V822" s="2212" t="e">
        <f>IF('Report-M&amp;O2122'!C$18-'Report-SOF2122'!D$55&lt;=0,0,'Report-M&amp;O2122'!C$18-'Report-SOF2122'!D$55)</f>
        <v>#DIV/0!</v>
      </c>
      <c r="W822" s="2452" t="e">
        <f t="shared" si="151"/>
        <v>#DIV/0!</v>
      </c>
      <c r="X822" s="1708">
        <f>IF(A822='Data Entry - SOF'!B$2,'Data Entry - SOF'!M$64,0)</f>
        <v>0</v>
      </c>
      <c r="Y822" s="1371" t="e">
        <f t="shared" si="152"/>
        <v>#DIV/0!</v>
      </c>
      <c r="Z822" s="2212" t="e">
        <f>IF('Report-M&amp;O2223'!C$18-'Report-SOF2223'!D$55&lt;=0,0,'Report-M&amp;O2223'!C$18-'Report-SOF2223'!D$55)</f>
        <v>#DIV/0!</v>
      </c>
      <c r="AA822" s="1708">
        <f>IF(A822='Data Entry - SOF'!B$2,'Data Entry - SOF'!O$64,0)</f>
        <v>0</v>
      </c>
    </row>
    <row r="823" spans="1:27" ht="15.75">
      <c r="A823" s="1076" t="s">
        <v>1891</v>
      </c>
      <c r="B823">
        <v>5788363</v>
      </c>
      <c r="C823" s="2452" t="e">
        <f>#REF!+#REF!</f>
        <v>#REF!</v>
      </c>
      <c r="D823" s="2449">
        <f>IF(A823='Data Entry - SOF'!B$2,'Data Entry - SOF'!C$64,0)</f>
        <v>0</v>
      </c>
      <c r="E823" s="2450">
        <f t="shared" si="153"/>
        <v>5788363</v>
      </c>
      <c r="F823" s="2212" t="e">
        <f>IF('Report-M&amp;O1718'!C$18-'Report-SOF1718'!D$55&lt;=0,0,'Report-M&amp;O1718'!C$18-'Report-SOF1718'!D$55)</f>
        <v>#DIV/0!</v>
      </c>
      <c r="G823" s="2452" t="e">
        <f t="shared" si="145"/>
        <v>#DIV/0!</v>
      </c>
      <c r="H823" s="2449">
        <f>IF(A823='Data Entry - SOF'!B$2,'Data Entry - SOF'!E$64,0)</f>
        <v>0</v>
      </c>
      <c r="I823" s="1687">
        <f t="shared" si="146"/>
        <v>5788363</v>
      </c>
      <c r="J823" s="2212" t="e">
        <f>IF('Report-M&amp;O1819'!C$18-'Report-SOF1819'!D$55&lt;=0,0,'Report-M&amp;O1819'!C$18-'Report-SOF1819'!D$55)</f>
        <v>#DIV/0!</v>
      </c>
      <c r="K823" s="2452" t="e">
        <f t="shared" si="147"/>
        <v>#DIV/0!</v>
      </c>
      <c r="L823" s="2449">
        <f>IF(A823='Data Entry - SOF'!B$2,'Data Entry - SOF'!G$64,0)</f>
        <v>0</v>
      </c>
      <c r="M823" s="1371">
        <f t="shared" si="148"/>
        <v>5788363</v>
      </c>
      <c r="N823" s="2212" t="e">
        <f>IF('Report-M&amp;O1920'!C$18-'Report-SOF1920'!D$55&lt;=0,0,'Report-M&amp;O1920'!C$18-'Report-SOF1920'!D$55)</f>
        <v>#DIV/0!</v>
      </c>
      <c r="O823" s="2452" t="e">
        <f t="shared" si="149"/>
        <v>#DIV/0!</v>
      </c>
      <c r="P823" s="2449">
        <f>IF(A823='Data Entry - SOF'!B$2,'Data Entry - SOF'!I$64,0)</f>
        <v>0</v>
      </c>
      <c r="Q823" s="1687">
        <f t="shared" si="144"/>
        <v>5788363</v>
      </c>
      <c r="R823" s="2212" t="e">
        <f>IF('Report-M&amp;O2021'!C$18-'Report-SOF2021'!D$55&lt;=0,0,'Report-M&amp;O2021'!C$18-'Report-SOF2021'!D$55)</f>
        <v>#DIV/0!</v>
      </c>
      <c r="S823" s="2452" t="e">
        <f t="shared" si="150"/>
        <v>#DIV/0!</v>
      </c>
      <c r="T823" s="1708">
        <f>IF(A823='Data Entry - SOF'!B$2,'Data Entry - SOF'!K$64,0)</f>
        <v>0</v>
      </c>
      <c r="U823" s="1687">
        <f t="shared" si="154"/>
        <v>5788363</v>
      </c>
      <c r="V823" s="2212" t="e">
        <f>IF('Report-M&amp;O2122'!C$18-'Report-SOF2122'!D$55&lt;=0,0,'Report-M&amp;O2122'!C$18-'Report-SOF2122'!D$55)</f>
        <v>#DIV/0!</v>
      </c>
      <c r="W823" s="2452" t="e">
        <f t="shared" si="151"/>
        <v>#DIV/0!</v>
      </c>
      <c r="X823" s="1708">
        <f>IF(A823='Data Entry - SOF'!B$2,'Data Entry - SOF'!M$64,0)</f>
        <v>0</v>
      </c>
      <c r="Y823" s="1371" t="e">
        <f t="shared" si="152"/>
        <v>#DIV/0!</v>
      </c>
      <c r="Z823" s="2212" t="e">
        <f>IF('Report-M&amp;O2223'!C$18-'Report-SOF2223'!D$55&lt;=0,0,'Report-M&amp;O2223'!C$18-'Report-SOF2223'!D$55)</f>
        <v>#DIV/0!</v>
      </c>
      <c r="AA823" s="1708">
        <f>IF(A823='Data Entry - SOF'!B$2,'Data Entry - SOF'!O$64,0)</f>
        <v>0</v>
      </c>
    </row>
    <row r="824" spans="1:27" ht="15.75">
      <c r="A824" s="1076" t="s">
        <v>1575</v>
      </c>
      <c r="B824">
        <v>515900</v>
      </c>
      <c r="C824" s="2452" t="e">
        <f>#REF!+#REF!</f>
        <v>#REF!</v>
      </c>
      <c r="D824" s="2449">
        <f>IF(A824='Data Entry - SOF'!B$2,'Data Entry - SOF'!C$64,0)</f>
        <v>0</v>
      </c>
      <c r="E824" s="2450">
        <f t="shared" si="153"/>
        <v>515900</v>
      </c>
      <c r="F824" s="2212" t="e">
        <f>IF('Report-M&amp;O1718'!C$18-'Report-SOF1718'!D$55&lt;=0,0,'Report-M&amp;O1718'!C$18-'Report-SOF1718'!D$55)</f>
        <v>#DIV/0!</v>
      </c>
      <c r="G824" s="2452" t="e">
        <f t="shared" si="145"/>
        <v>#DIV/0!</v>
      </c>
      <c r="H824" s="2449">
        <f>IF(A824='Data Entry - SOF'!B$2,'Data Entry - SOF'!E$64,0)</f>
        <v>0</v>
      </c>
      <c r="I824" s="1687">
        <f t="shared" si="146"/>
        <v>515900</v>
      </c>
      <c r="J824" s="2212" t="e">
        <f>IF('Report-M&amp;O1819'!C$18-'Report-SOF1819'!D$55&lt;=0,0,'Report-M&amp;O1819'!C$18-'Report-SOF1819'!D$55)</f>
        <v>#DIV/0!</v>
      </c>
      <c r="K824" s="2452" t="e">
        <f t="shared" si="147"/>
        <v>#DIV/0!</v>
      </c>
      <c r="L824" s="2449">
        <f>IF(A824='Data Entry - SOF'!B$2,'Data Entry - SOF'!G$64,0)</f>
        <v>0</v>
      </c>
      <c r="M824" s="1371">
        <f t="shared" si="148"/>
        <v>515900</v>
      </c>
      <c r="N824" s="2212" t="e">
        <f>IF('Report-M&amp;O1920'!C$18-'Report-SOF1920'!D$55&lt;=0,0,'Report-M&amp;O1920'!C$18-'Report-SOF1920'!D$55)</f>
        <v>#DIV/0!</v>
      </c>
      <c r="O824" s="2452" t="e">
        <f t="shared" si="149"/>
        <v>#DIV/0!</v>
      </c>
      <c r="P824" s="2449">
        <f>IF(A824='Data Entry - SOF'!B$2,'Data Entry - SOF'!I$64,0)</f>
        <v>0</v>
      </c>
      <c r="Q824" s="1687">
        <f t="shared" si="144"/>
        <v>515900</v>
      </c>
      <c r="R824" s="2212" t="e">
        <f>IF('Report-M&amp;O2021'!C$18-'Report-SOF2021'!D$55&lt;=0,0,'Report-M&amp;O2021'!C$18-'Report-SOF2021'!D$55)</f>
        <v>#DIV/0!</v>
      </c>
      <c r="S824" s="2452" t="e">
        <f t="shared" si="150"/>
        <v>#DIV/0!</v>
      </c>
      <c r="T824" s="1708">
        <f>IF(A824='Data Entry - SOF'!B$2,'Data Entry - SOF'!K$64,0)</f>
        <v>0</v>
      </c>
      <c r="U824" s="1687">
        <f t="shared" si="154"/>
        <v>515900</v>
      </c>
      <c r="V824" s="2212" t="e">
        <f>IF('Report-M&amp;O2122'!C$18-'Report-SOF2122'!D$55&lt;=0,0,'Report-M&amp;O2122'!C$18-'Report-SOF2122'!D$55)</f>
        <v>#DIV/0!</v>
      </c>
      <c r="W824" s="2452" t="e">
        <f t="shared" si="151"/>
        <v>#DIV/0!</v>
      </c>
      <c r="X824" s="1708">
        <f>IF(A824='Data Entry - SOF'!B$2,'Data Entry - SOF'!M$64,0)</f>
        <v>0</v>
      </c>
      <c r="Y824" s="1371" t="e">
        <f t="shared" si="152"/>
        <v>#DIV/0!</v>
      </c>
      <c r="Z824" s="2212" t="e">
        <f>IF('Report-M&amp;O2223'!C$18-'Report-SOF2223'!D$55&lt;=0,0,'Report-M&amp;O2223'!C$18-'Report-SOF2223'!D$55)</f>
        <v>#DIV/0!</v>
      </c>
      <c r="AA824" s="1708">
        <f>IF(A824='Data Entry - SOF'!B$2,'Data Entry - SOF'!O$64,0)</f>
        <v>0</v>
      </c>
    </row>
    <row r="825" spans="1:27" ht="15.75">
      <c r="A825" s="1076" t="s">
        <v>1576</v>
      </c>
      <c r="B825">
        <v>583035</v>
      </c>
      <c r="C825" s="2452" t="e">
        <f>#REF!+#REF!</f>
        <v>#REF!</v>
      </c>
      <c r="D825" s="2449">
        <f>IF(A825='Data Entry - SOF'!B$2,'Data Entry - SOF'!C$64,0)</f>
        <v>0</v>
      </c>
      <c r="E825" s="2450">
        <f t="shared" si="153"/>
        <v>583035</v>
      </c>
      <c r="F825" s="2212" t="e">
        <f>IF('Report-M&amp;O1718'!C$18-'Report-SOF1718'!D$55&lt;=0,0,'Report-M&amp;O1718'!C$18-'Report-SOF1718'!D$55)</f>
        <v>#DIV/0!</v>
      </c>
      <c r="G825" s="2452" t="e">
        <f t="shared" si="145"/>
        <v>#DIV/0!</v>
      </c>
      <c r="H825" s="2449">
        <f>IF(A825='Data Entry - SOF'!B$2,'Data Entry - SOF'!E$64,0)</f>
        <v>0</v>
      </c>
      <c r="I825" s="1687">
        <f t="shared" si="146"/>
        <v>583035</v>
      </c>
      <c r="J825" s="2212" t="e">
        <f>IF('Report-M&amp;O1819'!C$18-'Report-SOF1819'!D$55&lt;=0,0,'Report-M&amp;O1819'!C$18-'Report-SOF1819'!D$55)</f>
        <v>#DIV/0!</v>
      </c>
      <c r="K825" s="2452" t="e">
        <f t="shared" si="147"/>
        <v>#DIV/0!</v>
      </c>
      <c r="L825" s="2449">
        <f>IF(A825='Data Entry - SOF'!B$2,'Data Entry - SOF'!G$64,0)</f>
        <v>0</v>
      </c>
      <c r="M825" s="1371">
        <f t="shared" si="148"/>
        <v>583035</v>
      </c>
      <c r="N825" s="2212" t="e">
        <f>IF('Report-M&amp;O1920'!C$18-'Report-SOF1920'!D$55&lt;=0,0,'Report-M&amp;O1920'!C$18-'Report-SOF1920'!D$55)</f>
        <v>#DIV/0!</v>
      </c>
      <c r="O825" s="2452" t="e">
        <f t="shared" si="149"/>
        <v>#DIV/0!</v>
      </c>
      <c r="P825" s="2449">
        <f>IF(A825='Data Entry - SOF'!B$2,'Data Entry - SOF'!I$64,0)</f>
        <v>0</v>
      </c>
      <c r="Q825" s="1687">
        <f t="shared" si="144"/>
        <v>583035</v>
      </c>
      <c r="R825" s="2212" t="e">
        <f>IF('Report-M&amp;O2021'!C$18-'Report-SOF2021'!D$55&lt;=0,0,'Report-M&amp;O2021'!C$18-'Report-SOF2021'!D$55)</f>
        <v>#DIV/0!</v>
      </c>
      <c r="S825" s="2452" t="e">
        <f t="shared" si="150"/>
        <v>#DIV/0!</v>
      </c>
      <c r="T825" s="1708">
        <f>IF(A825='Data Entry - SOF'!B$2,'Data Entry - SOF'!K$64,0)</f>
        <v>0</v>
      </c>
      <c r="U825" s="1687">
        <f t="shared" si="154"/>
        <v>583035</v>
      </c>
      <c r="V825" s="2212" t="e">
        <f>IF('Report-M&amp;O2122'!C$18-'Report-SOF2122'!D$55&lt;=0,0,'Report-M&amp;O2122'!C$18-'Report-SOF2122'!D$55)</f>
        <v>#DIV/0!</v>
      </c>
      <c r="W825" s="2452" t="e">
        <f t="shared" si="151"/>
        <v>#DIV/0!</v>
      </c>
      <c r="X825" s="1708">
        <f>IF(A825='Data Entry - SOF'!B$2,'Data Entry - SOF'!M$64,0)</f>
        <v>0</v>
      </c>
      <c r="Y825" s="1371" t="e">
        <f t="shared" si="152"/>
        <v>#DIV/0!</v>
      </c>
      <c r="Z825" s="2212" t="e">
        <f>IF('Report-M&amp;O2223'!C$18-'Report-SOF2223'!D$55&lt;=0,0,'Report-M&amp;O2223'!C$18-'Report-SOF2223'!D$55)</f>
        <v>#DIV/0!</v>
      </c>
      <c r="AA825" s="1708">
        <f>IF(A825='Data Entry - SOF'!B$2,'Data Entry - SOF'!O$64,0)</f>
        <v>0</v>
      </c>
    </row>
    <row r="826" spans="1:27" ht="15.75">
      <c r="A826" s="1076" t="s">
        <v>1577</v>
      </c>
      <c r="B826">
        <v>7887485</v>
      </c>
      <c r="C826" s="2452" t="e">
        <f>#REF!+#REF!</f>
        <v>#REF!</v>
      </c>
      <c r="D826" s="2449">
        <f>IF(A826='Data Entry - SOF'!B$2,'Data Entry - SOF'!C$64,0)</f>
        <v>0</v>
      </c>
      <c r="E826" s="2450">
        <f t="shared" si="153"/>
        <v>7887485</v>
      </c>
      <c r="F826" s="2212" t="e">
        <f>IF('Report-M&amp;O1718'!C$18-'Report-SOF1718'!D$55&lt;=0,0,'Report-M&amp;O1718'!C$18-'Report-SOF1718'!D$55)</f>
        <v>#DIV/0!</v>
      </c>
      <c r="G826" s="2452" t="e">
        <f t="shared" si="145"/>
        <v>#DIV/0!</v>
      </c>
      <c r="H826" s="2449">
        <f>IF(A826='Data Entry - SOF'!B$2,'Data Entry - SOF'!E$64,0)</f>
        <v>0</v>
      </c>
      <c r="I826" s="1687">
        <f t="shared" si="146"/>
        <v>7887485</v>
      </c>
      <c r="J826" s="2212" t="e">
        <f>IF('Report-M&amp;O1819'!C$18-'Report-SOF1819'!D$55&lt;=0,0,'Report-M&amp;O1819'!C$18-'Report-SOF1819'!D$55)</f>
        <v>#DIV/0!</v>
      </c>
      <c r="K826" s="2452" t="e">
        <f t="shared" si="147"/>
        <v>#DIV/0!</v>
      </c>
      <c r="L826" s="2449">
        <f>IF(A826='Data Entry - SOF'!B$2,'Data Entry - SOF'!G$64,0)</f>
        <v>0</v>
      </c>
      <c r="M826" s="1371">
        <f t="shared" si="148"/>
        <v>7887485</v>
      </c>
      <c r="N826" s="2212" t="e">
        <f>IF('Report-M&amp;O1920'!C$18-'Report-SOF1920'!D$55&lt;=0,0,'Report-M&amp;O1920'!C$18-'Report-SOF1920'!D$55)</f>
        <v>#DIV/0!</v>
      </c>
      <c r="O826" s="2452" t="e">
        <f t="shared" si="149"/>
        <v>#DIV/0!</v>
      </c>
      <c r="P826" s="2449">
        <f>IF(A826='Data Entry - SOF'!B$2,'Data Entry - SOF'!I$64,0)</f>
        <v>0</v>
      </c>
      <c r="Q826" s="1687">
        <f t="shared" si="144"/>
        <v>7887485</v>
      </c>
      <c r="R826" s="2212" t="e">
        <f>IF('Report-M&amp;O2021'!C$18-'Report-SOF2021'!D$55&lt;=0,0,'Report-M&amp;O2021'!C$18-'Report-SOF2021'!D$55)</f>
        <v>#DIV/0!</v>
      </c>
      <c r="S826" s="2452" t="e">
        <f t="shared" si="150"/>
        <v>#DIV/0!</v>
      </c>
      <c r="T826" s="1708">
        <f>IF(A826='Data Entry - SOF'!B$2,'Data Entry - SOF'!K$64,0)</f>
        <v>0</v>
      </c>
      <c r="U826" s="1687">
        <f t="shared" si="154"/>
        <v>7887485</v>
      </c>
      <c r="V826" s="2212" t="e">
        <f>IF('Report-M&amp;O2122'!C$18-'Report-SOF2122'!D$55&lt;=0,0,'Report-M&amp;O2122'!C$18-'Report-SOF2122'!D$55)</f>
        <v>#DIV/0!</v>
      </c>
      <c r="W826" s="2452" t="e">
        <f t="shared" si="151"/>
        <v>#DIV/0!</v>
      </c>
      <c r="X826" s="1708">
        <f>IF(A826='Data Entry - SOF'!B$2,'Data Entry - SOF'!M$64,0)</f>
        <v>0</v>
      </c>
      <c r="Y826" s="1371" t="e">
        <f t="shared" si="152"/>
        <v>#DIV/0!</v>
      </c>
      <c r="Z826" s="2212" t="e">
        <f>IF('Report-M&amp;O2223'!C$18-'Report-SOF2223'!D$55&lt;=0,0,'Report-M&amp;O2223'!C$18-'Report-SOF2223'!D$55)</f>
        <v>#DIV/0!</v>
      </c>
      <c r="AA826" s="1708">
        <f>IF(A826='Data Entry - SOF'!B$2,'Data Entry - SOF'!O$64,0)</f>
        <v>0</v>
      </c>
    </row>
    <row r="827" spans="1:27" ht="15.75">
      <c r="A827" s="1076" t="s">
        <v>1832</v>
      </c>
      <c r="B827">
        <v>468161</v>
      </c>
      <c r="C827" s="2452" t="e">
        <f>#REF!+#REF!</f>
        <v>#REF!</v>
      </c>
      <c r="D827" s="2449">
        <f>IF(A827='Data Entry - SOF'!B$2,'Data Entry - SOF'!C$64,0)</f>
        <v>0</v>
      </c>
      <c r="E827" s="2450">
        <f t="shared" si="153"/>
        <v>468161</v>
      </c>
      <c r="F827" s="2212" t="e">
        <f>IF('Report-M&amp;O1718'!C$18-'Report-SOF1718'!D$55&lt;=0,0,'Report-M&amp;O1718'!C$18-'Report-SOF1718'!D$55)</f>
        <v>#DIV/0!</v>
      </c>
      <c r="G827" s="2452" t="e">
        <f t="shared" si="145"/>
        <v>#DIV/0!</v>
      </c>
      <c r="H827" s="2449">
        <f>IF(A827='Data Entry - SOF'!B$2,'Data Entry - SOF'!E$64,0)</f>
        <v>0</v>
      </c>
      <c r="I827" s="1687">
        <f t="shared" si="146"/>
        <v>468161</v>
      </c>
      <c r="J827" s="2212" t="e">
        <f>IF('Report-M&amp;O1819'!C$18-'Report-SOF1819'!D$55&lt;=0,0,'Report-M&amp;O1819'!C$18-'Report-SOF1819'!D$55)</f>
        <v>#DIV/0!</v>
      </c>
      <c r="K827" s="2452" t="e">
        <f t="shared" si="147"/>
        <v>#DIV/0!</v>
      </c>
      <c r="L827" s="2449">
        <f>IF(A827='Data Entry - SOF'!B$2,'Data Entry - SOF'!G$64,0)</f>
        <v>0</v>
      </c>
      <c r="M827" s="1371">
        <f t="shared" si="148"/>
        <v>468161</v>
      </c>
      <c r="N827" s="2212" t="e">
        <f>IF('Report-M&amp;O1920'!C$18-'Report-SOF1920'!D$55&lt;=0,0,'Report-M&amp;O1920'!C$18-'Report-SOF1920'!D$55)</f>
        <v>#DIV/0!</v>
      </c>
      <c r="O827" s="2452" t="e">
        <f t="shared" si="149"/>
        <v>#DIV/0!</v>
      </c>
      <c r="P827" s="2449">
        <f>IF(A827='Data Entry - SOF'!B$2,'Data Entry - SOF'!I$64,0)</f>
        <v>0</v>
      </c>
      <c r="Q827" s="1687">
        <f t="shared" si="144"/>
        <v>468161</v>
      </c>
      <c r="R827" s="2212" t="e">
        <f>IF('Report-M&amp;O2021'!C$18-'Report-SOF2021'!D$55&lt;=0,0,'Report-M&amp;O2021'!C$18-'Report-SOF2021'!D$55)</f>
        <v>#DIV/0!</v>
      </c>
      <c r="S827" s="2452" t="e">
        <f t="shared" si="150"/>
        <v>#DIV/0!</v>
      </c>
      <c r="T827" s="1708">
        <f>IF(A827='Data Entry - SOF'!B$2,'Data Entry - SOF'!K$64,0)</f>
        <v>0</v>
      </c>
      <c r="U827" s="1687">
        <f t="shared" si="154"/>
        <v>468161</v>
      </c>
      <c r="V827" s="2212" t="e">
        <f>IF('Report-M&amp;O2122'!C$18-'Report-SOF2122'!D$55&lt;=0,0,'Report-M&amp;O2122'!C$18-'Report-SOF2122'!D$55)</f>
        <v>#DIV/0!</v>
      </c>
      <c r="W827" s="2452" t="e">
        <f t="shared" si="151"/>
        <v>#DIV/0!</v>
      </c>
      <c r="X827" s="1708">
        <f>IF(A827='Data Entry - SOF'!B$2,'Data Entry - SOF'!M$64,0)</f>
        <v>0</v>
      </c>
      <c r="Y827" s="1371" t="e">
        <f t="shared" si="152"/>
        <v>#DIV/0!</v>
      </c>
      <c r="Z827" s="2212" t="e">
        <f>IF('Report-M&amp;O2223'!C$18-'Report-SOF2223'!D$55&lt;=0,0,'Report-M&amp;O2223'!C$18-'Report-SOF2223'!D$55)</f>
        <v>#DIV/0!</v>
      </c>
      <c r="AA827" s="1708">
        <f>IF(A827='Data Entry - SOF'!B$2,'Data Entry - SOF'!O$64,0)</f>
        <v>0</v>
      </c>
    </row>
    <row r="828" spans="1:27" ht="15.75">
      <c r="A828" s="1076" t="s">
        <v>1833</v>
      </c>
      <c r="B828">
        <v>6527070</v>
      </c>
      <c r="C828" s="2452" t="e">
        <f>#REF!+#REF!</f>
        <v>#REF!</v>
      </c>
      <c r="D828" s="2449">
        <f>IF(A828='Data Entry - SOF'!B$2,'Data Entry - SOF'!C$64,0)</f>
        <v>0</v>
      </c>
      <c r="E828" s="2450">
        <f t="shared" si="153"/>
        <v>6527070</v>
      </c>
      <c r="F828" s="2212" t="e">
        <f>IF('Report-M&amp;O1718'!C$18-'Report-SOF1718'!D$55&lt;=0,0,'Report-M&amp;O1718'!C$18-'Report-SOF1718'!D$55)</f>
        <v>#DIV/0!</v>
      </c>
      <c r="G828" s="2452" t="e">
        <f t="shared" si="145"/>
        <v>#DIV/0!</v>
      </c>
      <c r="H828" s="2449">
        <f>IF(A828='Data Entry - SOF'!B$2,'Data Entry - SOF'!E$64,0)</f>
        <v>0</v>
      </c>
      <c r="I828" s="1687">
        <f t="shared" si="146"/>
        <v>6527070</v>
      </c>
      <c r="J828" s="2212" t="e">
        <f>IF('Report-M&amp;O1819'!C$18-'Report-SOF1819'!D$55&lt;=0,0,'Report-M&amp;O1819'!C$18-'Report-SOF1819'!D$55)</f>
        <v>#DIV/0!</v>
      </c>
      <c r="K828" s="2452" t="e">
        <f t="shared" si="147"/>
        <v>#DIV/0!</v>
      </c>
      <c r="L828" s="2449">
        <f>IF(A828='Data Entry - SOF'!B$2,'Data Entry - SOF'!G$64,0)</f>
        <v>0</v>
      </c>
      <c r="M828" s="1371">
        <f t="shared" si="148"/>
        <v>6527070</v>
      </c>
      <c r="N828" s="2212" t="e">
        <f>IF('Report-M&amp;O1920'!C$18-'Report-SOF1920'!D$55&lt;=0,0,'Report-M&amp;O1920'!C$18-'Report-SOF1920'!D$55)</f>
        <v>#DIV/0!</v>
      </c>
      <c r="O828" s="2452" t="e">
        <f t="shared" si="149"/>
        <v>#DIV/0!</v>
      </c>
      <c r="P828" s="2449">
        <f>IF(A828='Data Entry - SOF'!B$2,'Data Entry - SOF'!I$64,0)</f>
        <v>0</v>
      </c>
      <c r="Q828" s="1687">
        <f>M828-P828</f>
        <v>6527070</v>
      </c>
      <c r="R828" s="2212" t="e">
        <f>IF('Report-M&amp;O2021'!C$18-'Report-SOF2021'!D$55&lt;=0,0,'Report-M&amp;O2021'!C$18-'Report-SOF2021'!D$55)</f>
        <v>#DIV/0!</v>
      </c>
      <c r="S828" s="2452" t="e">
        <f t="shared" si="150"/>
        <v>#DIV/0!</v>
      </c>
      <c r="T828" s="1708">
        <f>IF(A828='Data Entry - SOF'!B$2,'Data Entry - SOF'!K$64,0)</f>
        <v>0</v>
      </c>
      <c r="U828" s="1687">
        <f t="shared" ref="U828:U843" si="155">Q828-T828</f>
        <v>6527070</v>
      </c>
      <c r="V828" s="2212" t="e">
        <f>IF('Report-M&amp;O2122'!C$18-'Report-SOF2122'!D$55&lt;=0,0,'Report-M&amp;O2122'!C$18-'Report-SOF2122'!D$55)</f>
        <v>#DIV/0!</v>
      </c>
      <c r="W828" s="2452" t="e">
        <f t="shared" si="151"/>
        <v>#DIV/0!</v>
      </c>
      <c r="X828" s="1708">
        <f>IF(A828='Data Entry - SOF'!B$2,'Data Entry - SOF'!M$64,0)</f>
        <v>0</v>
      </c>
      <c r="Y828" s="1371" t="e">
        <f t="shared" si="152"/>
        <v>#DIV/0!</v>
      </c>
      <c r="Z828" s="2212" t="e">
        <f>IF('Report-M&amp;O2223'!C$18-'Report-SOF2223'!D$55&lt;=0,0,'Report-M&amp;O2223'!C$18-'Report-SOF2223'!D$55)</f>
        <v>#DIV/0!</v>
      </c>
      <c r="AA828" s="1708">
        <f>IF(A828='Data Entry - SOF'!B$2,'Data Entry - SOF'!O$64,0)</f>
        <v>0</v>
      </c>
    </row>
    <row r="829" spans="1:27" ht="15.75">
      <c r="A829" s="1076" t="s">
        <v>2790</v>
      </c>
      <c r="B829">
        <v>1480312</v>
      </c>
      <c r="C829" s="2452" t="e">
        <f>#REF!+#REF!</f>
        <v>#REF!</v>
      </c>
      <c r="D829" s="2449">
        <f>IF(A829='Data Entry - SOF'!B$2,'Data Entry - SOF'!C$64,0)</f>
        <v>0</v>
      </c>
      <c r="E829" s="2450">
        <f t="shared" si="153"/>
        <v>1480312</v>
      </c>
      <c r="F829" s="2212" t="e">
        <f>IF('Report-M&amp;O1718'!C$18-'Report-SOF1718'!D$55&lt;=0,0,'Report-M&amp;O1718'!C$18-'Report-SOF1718'!D$55)</f>
        <v>#DIV/0!</v>
      </c>
      <c r="G829" s="2452" t="e">
        <f t="shared" si="145"/>
        <v>#DIV/0!</v>
      </c>
      <c r="H829" s="2449">
        <f>IF(A829='Data Entry - SOF'!B$2,'Data Entry - SOF'!E$64,0)</f>
        <v>0</v>
      </c>
      <c r="I829" s="1687">
        <f t="shared" si="146"/>
        <v>1480312</v>
      </c>
      <c r="J829" s="2212" t="e">
        <f>IF('Report-M&amp;O1819'!C$18-'Report-SOF1819'!D$55&lt;=0,0,'Report-M&amp;O1819'!C$18-'Report-SOF1819'!D$55)</f>
        <v>#DIV/0!</v>
      </c>
      <c r="K829" s="2452" t="e">
        <f t="shared" si="147"/>
        <v>#DIV/0!</v>
      </c>
      <c r="L829" s="2449">
        <f>IF(A829='Data Entry - SOF'!B$2,'Data Entry - SOF'!G$64,0)</f>
        <v>0</v>
      </c>
      <c r="M829" s="1371">
        <f t="shared" si="148"/>
        <v>1480312</v>
      </c>
      <c r="N829" s="2212" t="e">
        <f>IF('Report-M&amp;O1920'!C$18-'Report-SOF1920'!D$55&lt;=0,0,'Report-M&amp;O1920'!C$18-'Report-SOF1920'!D$55)</f>
        <v>#DIV/0!</v>
      </c>
      <c r="O829" s="2452" t="e">
        <f t="shared" si="149"/>
        <v>#DIV/0!</v>
      </c>
      <c r="P829" s="2449">
        <f>IF(A829='Data Entry - SOF'!B$2,'Data Entry - SOF'!I$64,0)</f>
        <v>0</v>
      </c>
      <c r="Q829" s="1687">
        <f t="shared" ref="Q829:Q891" si="156">M829-P829</f>
        <v>1480312</v>
      </c>
      <c r="R829" s="2212" t="e">
        <f>IF('Report-M&amp;O2021'!C$18-'Report-SOF2021'!D$55&lt;=0,0,'Report-M&amp;O2021'!C$18-'Report-SOF2021'!D$55)</f>
        <v>#DIV/0!</v>
      </c>
      <c r="S829" s="2452" t="e">
        <f t="shared" si="150"/>
        <v>#DIV/0!</v>
      </c>
      <c r="T829" s="1708">
        <f>IF(A829='Data Entry - SOF'!B$2,'Data Entry - SOF'!K$64,0)</f>
        <v>0</v>
      </c>
      <c r="U829" s="1687">
        <f t="shared" si="155"/>
        <v>1480312</v>
      </c>
      <c r="V829" s="2212" t="e">
        <f>IF('Report-M&amp;O2122'!C$18-'Report-SOF2122'!D$55&lt;=0,0,'Report-M&amp;O2122'!C$18-'Report-SOF2122'!D$55)</f>
        <v>#DIV/0!</v>
      </c>
      <c r="W829" s="2452" t="e">
        <f t="shared" si="151"/>
        <v>#DIV/0!</v>
      </c>
      <c r="X829" s="1708">
        <f>IF(A829='Data Entry - SOF'!B$2,'Data Entry - SOF'!M$64,0)</f>
        <v>0</v>
      </c>
      <c r="Y829" s="1371" t="e">
        <f t="shared" si="152"/>
        <v>#DIV/0!</v>
      </c>
      <c r="Z829" s="2212" t="e">
        <f>IF('Report-M&amp;O2223'!C$18-'Report-SOF2223'!D$55&lt;=0,0,'Report-M&amp;O2223'!C$18-'Report-SOF2223'!D$55)</f>
        <v>#DIV/0!</v>
      </c>
      <c r="AA829" s="1708">
        <f>IF(A829='Data Entry - SOF'!B$2,'Data Entry - SOF'!O$64,0)</f>
        <v>0</v>
      </c>
    </row>
    <row r="830" spans="1:27" ht="15.75">
      <c r="A830" s="1076" t="s">
        <v>1382</v>
      </c>
      <c r="B830">
        <v>6282885</v>
      </c>
      <c r="C830" s="2452" t="e">
        <f>#REF!+#REF!</f>
        <v>#REF!</v>
      </c>
      <c r="D830" s="2449">
        <f>IF(A830='Data Entry - SOF'!B$2,'Data Entry - SOF'!C$64,0)</f>
        <v>0</v>
      </c>
      <c r="E830" s="2450">
        <f t="shared" si="153"/>
        <v>6282885</v>
      </c>
      <c r="F830" s="2212" t="e">
        <f>IF('Report-M&amp;O1718'!C$18-'Report-SOF1718'!D$55&lt;=0,0,'Report-M&amp;O1718'!C$18-'Report-SOF1718'!D$55)</f>
        <v>#DIV/0!</v>
      </c>
      <c r="G830" s="2452" t="e">
        <f t="shared" si="145"/>
        <v>#DIV/0!</v>
      </c>
      <c r="H830" s="2449">
        <f>IF(A830='Data Entry - SOF'!B$2,'Data Entry - SOF'!E$64,0)</f>
        <v>0</v>
      </c>
      <c r="I830" s="1687">
        <f t="shared" si="146"/>
        <v>6282885</v>
      </c>
      <c r="J830" s="2212" t="e">
        <f>IF('Report-M&amp;O1819'!C$18-'Report-SOF1819'!D$55&lt;=0,0,'Report-M&amp;O1819'!C$18-'Report-SOF1819'!D$55)</f>
        <v>#DIV/0!</v>
      </c>
      <c r="K830" s="2452" t="e">
        <f t="shared" si="147"/>
        <v>#DIV/0!</v>
      </c>
      <c r="L830" s="2449">
        <f>IF(A830='Data Entry - SOF'!B$2,'Data Entry - SOF'!G$64,0)</f>
        <v>0</v>
      </c>
      <c r="M830" s="1371">
        <f t="shared" si="148"/>
        <v>6282885</v>
      </c>
      <c r="N830" s="2212" t="e">
        <f>IF('Report-M&amp;O1920'!C$18-'Report-SOF1920'!D$55&lt;=0,0,'Report-M&amp;O1920'!C$18-'Report-SOF1920'!D$55)</f>
        <v>#DIV/0!</v>
      </c>
      <c r="O830" s="2452" t="e">
        <f t="shared" si="149"/>
        <v>#DIV/0!</v>
      </c>
      <c r="P830" s="2449">
        <f>IF(A830='Data Entry - SOF'!B$2,'Data Entry - SOF'!I$64,0)</f>
        <v>0</v>
      </c>
      <c r="Q830" s="1687">
        <f t="shared" si="156"/>
        <v>6282885</v>
      </c>
      <c r="R830" s="2212" t="e">
        <f>IF('Report-M&amp;O2021'!C$18-'Report-SOF2021'!D$55&lt;=0,0,'Report-M&amp;O2021'!C$18-'Report-SOF2021'!D$55)</f>
        <v>#DIV/0!</v>
      </c>
      <c r="S830" s="2452" t="e">
        <f t="shared" si="150"/>
        <v>#DIV/0!</v>
      </c>
      <c r="T830" s="1708">
        <f>IF(A830='Data Entry - SOF'!B$2,'Data Entry - SOF'!K$64,0)</f>
        <v>0</v>
      </c>
      <c r="U830" s="1687">
        <f t="shared" si="155"/>
        <v>6282885</v>
      </c>
      <c r="V830" s="2212" t="e">
        <f>IF('Report-M&amp;O2122'!C$18-'Report-SOF2122'!D$55&lt;=0,0,'Report-M&amp;O2122'!C$18-'Report-SOF2122'!D$55)</f>
        <v>#DIV/0!</v>
      </c>
      <c r="W830" s="2452" t="e">
        <f t="shared" si="151"/>
        <v>#DIV/0!</v>
      </c>
      <c r="X830" s="1708">
        <f>IF(A830='Data Entry - SOF'!B$2,'Data Entry - SOF'!M$64,0)</f>
        <v>0</v>
      </c>
      <c r="Y830" s="1371" t="e">
        <f t="shared" si="152"/>
        <v>#DIV/0!</v>
      </c>
      <c r="Z830" s="2212" t="e">
        <f>IF('Report-M&amp;O2223'!C$18-'Report-SOF2223'!D$55&lt;=0,0,'Report-M&amp;O2223'!C$18-'Report-SOF2223'!D$55)</f>
        <v>#DIV/0!</v>
      </c>
      <c r="AA830" s="1708">
        <f>IF(A830='Data Entry - SOF'!B$2,'Data Entry - SOF'!O$64,0)</f>
        <v>0</v>
      </c>
    </row>
    <row r="831" spans="1:27" ht="15.75">
      <c r="A831" s="1076" t="s">
        <v>2791</v>
      </c>
      <c r="B831">
        <v>16299762</v>
      </c>
      <c r="C831" s="2452" t="e">
        <f>#REF!+#REF!</f>
        <v>#REF!</v>
      </c>
      <c r="D831" s="2449">
        <f>IF(A831='Data Entry - SOF'!B$2,'Data Entry - SOF'!C$64,0)</f>
        <v>0</v>
      </c>
      <c r="E831" s="2450">
        <f t="shared" si="153"/>
        <v>16299762</v>
      </c>
      <c r="F831" s="2212" t="e">
        <f>IF('Report-M&amp;O1718'!C$18-'Report-SOF1718'!D$55&lt;=0,0,'Report-M&amp;O1718'!C$18-'Report-SOF1718'!D$55)</f>
        <v>#DIV/0!</v>
      </c>
      <c r="G831" s="2452" t="e">
        <f t="shared" si="145"/>
        <v>#DIV/0!</v>
      </c>
      <c r="H831" s="2449">
        <f>IF(A831='Data Entry - SOF'!B$2,'Data Entry - SOF'!E$64,0)</f>
        <v>0</v>
      </c>
      <c r="I831" s="1687">
        <f t="shared" si="146"/>
        <v>16299762</v>
      </c>
      <c r="J831" s="2212" t="e">
        <f>IF('Report-M&amp;O1819'!C$18-'Report-SOF1819'!D$55&lt;=0,0,'Report-M&amp;O1819'!C$18-'Report-SOF1819'!D$55)</f>
        <v>#DIV/0!</v>
      </c>
      <c r="K831" s="2452" t="e">
        <f t="shared" si="147"/>
        <v>#DIV/0!</v>
      </c>
      <c r="L831" s="2449">
        <f>IF(A831='Data Entry - SOF'!B$2,'Data Entry - SOF'!G$64,0)</f>
        <v>0</v>
      </c>
      <c r="M831" s="1371">
        <f t="shared" si="148"/>
        <v>16299762</v>
      </c>
      <c r="N831" s="2212" t="e">
        <f>IF('Report-M&amp;O1920'!C$18-'Report-SOF1920'!D$55&lt;=0,0,'Report-M&amp;O1920'!C$18-'Report-SOF1920'!D$55)</f>
        <v>#DIV/0!</v>
      </c>
      <c r="O831" s="2452" t="e">
        <f t="shared" si="149"/>
        <v>#DIV/0!</v>
      </c>
      <c r="P831" s="2449">
        <f>IF(A831='Data Entry - SOF'!B$2,'Data Entry - SOF'!I$64,0)</f>
        <v>0</v>
      </c>
      <c r="Q831" s="1687">
        <f t="shared" si="156"/>
        <v>16299762</v>
      </c>
      <c r="R831" s="2212" t="e">
        <f>IF('Report-M&amp;O2021'!C$18-'Report-SOF2021'!D$55&lt;=0,0,'Report-M&amp;O2021'!C$18-'Report-SOF2021'!D$55)</f>
        <v>#DIV/0!</v>
      </c>
      <c r="S831" s="2452" t="e">
        <f t="shared" si="150"/>
        <v>#DIV/0!</v>
      </c>
      <c r="T831" s="1708">
        <f>IF(A831='Data Entry - SOF'!B$2,'Data Entry - SOF'!K$64,0)</f>
        <v>0</v>
      </c>
      <c r="U831" s="1687">
        <f t="shared" si="155"/>
        <v>16299762</v>
      </c>
      <c r="V831" s="2212" t="e">
        <f>IF('Report-M&amp;O2122'!C$18-'Report-SOF2122'!D$55&lt;=0,0,'Report-M&amp;O2122'!C$18-'Report-SOF2122'!D$55)</f>
        <v>#DIV/0!</v>
      </c>
      <c r="W831" s="2452" t="e">
        <f t="shared" si="151"/>
        <v>#DIV/0!</v>
      </c>
      <c r="X831" s="1708">
        <f>IF(A831='Data Entry - SOF'!B$2,'Data Entry - SOF'!M$64,0)</f>
        <v>0</v>
      </c>
      <c r="Y831" s="1371" t="e">
        <f t="shared" si="152"/>
        <v>#DIV/0!</v>
      </c>
      <c r="Z831" s="2212" t="e">
        <f>IF('Report-M&amp;O2223'!C$18-'Report-SOF2223'!D$55&lt;=0,0,'Report-M&amp;O2223'!C$18-'Report-SOF2223'!D$55)</f>
        <v>#DIV/0!</v>
      </c>
      <c r="AA831" s="1708">
        <f>IF(A831='Data Entry - SOF'!B$2,'Data Entry - SOF'!O$64,0)</f>
        <v>0</v>
      </c>
    </row>
    <row r="832" spans="1:27" ht="15.75">
      <c r="A832" s="1076" t="s">
        <v>1639</v>
      </c>
      <c r="B832">
        <v>13328478.293291399</v>
      </c>
      <c r="C832" s="2452" t="e">
        <f>#REF!+#REF!</f>
        <v>#REF!</v>
      </c>
      <c r="D832" s="2449">
        <f>IF(A832='Data Entry - SOF'!B$2,'Data Entry - SOF'!C$64,0)</f>
        <v>0</v>
      </c>
      <c r="E832" s="2450">
        <f t="shared" si="153"/>
        <v>13328478.293291399</v>
      </c>
      <c r="F832" s="2212" t="e">
        <f>IF('Report-M&amp;O1718'!C$18-'Report-SOF1718'!D$55&lt;=0,0,'Report-M&amp;O1718'!C$18-'Report-SOF1718'!D$55)</f>
        <v>#DIV/0!</v>
      </c>
      <c r="G832" s="2452" t="e">
        <f t="shared" si="145"/>
        <v>#DIV/0!</v>
      </c>
      <c r="H832" s="2449">
        <f>IF(A832='Data Entry - SOF'!B$2,'Data Entry - SOF'!E$64,0)</f>
        <v>0</v>
      </c>
      <c r="I832" s="1687">
        <f t="shared" si="146"/>
        <v>13328478.293291399</v>
      </c>
      <c r="J832" s="2212" t="e">
        <f>IF('Report-M&amp;O1819'!C$18-'Report-SOF1819'!D$55&lt;=0,0,'Report-M&amp;O1819'!C$18-'Report-SOF1819'!D$55)</f>
        <v>#DIV/0!</v>
      </c>
      <c r="K832" s="2452" t="e">
        <f t="shared" si="147"/>
        <v>#DIV/0!</v>
      </c>
      <c r="L832" s="2449">
        <f>IF(A832='Data Entry - SOF'!B$2,'Data Entry - SOF'!G$64,0)</f>
        <v>0</v>
      </c>
      <c r="M832" s="1371">
        <f t="shared" si="148"/>
        <v>13328478.293291399</v>
      </c>
      <c r="N832" s="2212" t="e">
        <f>IF('Report-M&amp;O1920'!C$18-'Report-SOF1920'!D$55&lt;=0,0,'Report-M&amp;O1920'!C$18-'Report-SOF1920'!D$55)</f>
        <v>#DIV/0!</v>
      </c>
      <c r="O832" s="2452" t="e">
        <f t="shared" si="149"/>
        <v>#DIV/0!</v>
      </c>
      <c r="P832" s="2449">
        <f>IF(A832='Data Entry - SOF'!B$2,'Data Entry - SOF'!I$64,0)</f>
        <v>0</v>
      </c>
      <c r="Q832" s="1687">
        <f t="shared" si="156"/>
        <v>13328478.293291399</v>
      </c>
      <c r="R832" s="2212" t="e">
        <f>IF('Report-M&amp;O2021'!C$18-'Report-SOF2021'!D$55&lt;=0,0,'Report-M&amp;O2021'!C$18-'Report-SOF2021'!D$55)</f>
        <v>#DIV/0!</v>
      </c>
      <c r="S832" s="2452" t="e">
        <f t="shared" si="150"/>
        <v>#DIV/0!</v>
      </c>
      <c r="T832" s="1708">
        <f>IF(A832='Data Entry - SOF'!B$2,'Data Entry - SOF'!K$64,0)</f>
        <v>0</v>
      </c>
      <c r="U832" s="1687">
        <f t="shared" si="155"/>
        <v>13328478.293291399</v>
      </c>
      <c r="V832" s="2212" t="e">
        <f>IF('Report-M&amp;O2122'!C$18-'Report-SOF2122'!D$55&lt;=0,0,'Report-M&amp;O2122'!C$18-'Report-SOF2122'!D$55)</f>
        <v>#DIV/0!</v>
      </c>
      <c r="W832" s="2452" t="e">
        <f t="shared" si="151"/>
        <v>#DIV/0!</v>
      </c>
      <c r="X832" s="1708">
        <f>IF(A832='Data Entry - SOF'!B$2,'Data Entry - SOF'!M$64,0)</f>
        <v>0</v>
      </c>
      <c r="Y832" s="1371" t="e">
        <f t="shared" si="152"/>
        <v>#DIV/0!</v>
      </c>
      <c r="Z832" s="2212" t="e">
        <f>IF('Report-M&amp;O2223'!C$18-'Report-SOF2223'!D$55&lt;=0,0,'Report-M&amp;O2223'!C$18-'Report-SOF2223'!D$55)</f>
        <v>#DIV/0!</v>
      </c>
      <c r="AA832" s="1708">
        <f>IF(A832='Data Entry - SOF'!B$2,'Data Entry - SOF'!O$64,0)</f>
        <v>0</v>
      </c>
    </row>
    <row r="833" spans="1:27" ht="15.75">
      <c r="A833" s="1076" t="s">
        <v>2892</v>
      </c>
      <c r="B833">
        <v>2506548</v>
      </c>
      <c r="C833" s="2452" t="e">
        <f>#REF!+#REF!</f>
        <v>#REF!</v>
      </c>
      <c r="D833" s="2449">
        <f>IF(A833='Data Entry - SOF'!B$2,'Data Entry - SOF'!C$64,0)</f>
        <v>0</v>
      </c>
      <c r="E833" s="2450">
        <f t="shared" si="153"/>
        <v>2506548</v>
      </c>
      <c r="F833" s="2212" t="e">
        <f>IF('Report-M&amp;O1718'!C$18-'Report-SOF1718'!D$55&lt;=0,0,'Report-M&amp;O1718'!C$18-'Report-SOF1718'!D$55)</f>
        <v>#DIV/0!</v>
      </c>
      <c r="G833" s="2452" t="e">
        <f t="shared" si="145"/>
        <v>#DIV/0!</v>
      </c>
      <c r="H833" s="2449">
        <f>IF(A833='Data Entry - SOF'!B$2,'Data Entry - SOF'!E$64,0)</f>
        <v>0</v>
      </c>
      <c r="I833" s="1687">
        <f t="shared" si="146"/>
        <v>2506548</v>
      </c>
      <c r="J833" s="2212" t="e">
        <f>IF('Report-M&amp;O1819'!C$18-'Report-SOF1819'!D$55&lt;=0,0,'Report-M&amp;O1819'!C$18-'Report-SOF1819'!D$55)</f>
        <v>#DIV/0!</v>
      </c>
      <c r="K833" s="2452" t="e">
        <f t="shared" si="147"/>
        <v>#DIV/0!</v>
      </c>
      <c r="L833" s="2449">
        <f>IF(A833='Data Entry - SOF'!B$2,'Data Entry - SOF'!G$64,0)</f>
        <v>0</v>
      </c>
      <c r="M833" s="1371">
        <f t="shared" si="148"/>
        <v>2506548</v>
      </c>
      <c r="N833" s="2212" t="e">
        <f>IF('Report-M&amp;O1920'!C$18-'Report-SOF1920'!D$55&lt;=0,0,'Report-M&amp;O1920'!C$18-'Report-SOF1920'!D$55)</f>
        <v>#DIV/0!</v>
      </c>
      <c r="O833" s="2452" t="e">
        <f t="shared" si="149"/>
        <v>#DIV/0!</v>
      </c>
      <c r="P833" s="2449">
        <f>IF(A833='Data Entry - SOF'!B$2,'Data Entry - SOF'!I$64,0)</f>
        <v>0</v>
      </c>
      <c r="Q833" s="1687">
        <f t="shared" si="156"/>
        <v>2506548</v>
      </c>
      <c r="R833" s="2212" t="e">
        <f>IF('Report-M&amp;O2021'!C$18-'Report-SOF2021'!D$55&lt;=0,0,'Report-M&amp;O2021'!C$18-'Report-SOF2021'!D$55)</f>
        <v>#DIV/0!</v>
      </c>
      <c r="S833" s="2452" t="e">
        <f t="shared" si="150"/>
        <v>#DIV/0!</v>
      </c>
      <c r="T833" s="1708">
        <f>IF(A833='Data Entry - SOF'!B$2,'Data Entry - SOF'!K$64,0)</f>
        <v>0</v>
      </c>
      <c r="U833" s="1687">
        <f t="shared" si="155"/>
        <v>2506548</v>
      </c>
      <c r="V833" s="2212" t="e">
        <f>IF('Report-M&amp;O2122'!C$18-'Report-SOF2122'!D$55&lt;=0,0,'Report-M&amp;O2122'!C$18-'Report-SOF2122'!D$55)</f>
        <v>#DIV/0!</v>
      </c>
      <c r="W833" s="2452" t="e">
        <f t="shared" si="151"/>
        <v>#DIV/0!</v>
      </c>
      <c r="X833" s="1708">
        <f>IF(A833='Data Entry - SOF'!B$2,'Data Entry - SOF'!M$64,0)</f>
        <v>0</v>
      </c>
      <c r="Y833" s="1371" t="e">
        <f t="shared" si="152"/>
        <v>#DIV/0!</v>
      </c>
      <c r="Z833" s="2212" t="e">
        <f>IF('Report-M&amp;O2223'!C$18-'Report-SOF2223'!D$55&lt;=0,0,'Report-M&amp;O2223'!C$18-'Report-SOF2223'!D$55)</f>
        <v>#DIV/0!</v>
      </c>
      <c r="AA833" s="1708">
        <f>IF(A833='Data Entry - SOF'!B$2,'Data Entry - SOF'!O$64,0)</f>
        <v>0</v>
      </c>
    </row>
    <row r="834" spans="1:27" ht="15.75">
      <c r="A834" s="1076" t="s">
        <v>1591</v>
      </c>
      <c r="B834">
        <v>3782121</v>
      </c>
      <c r="C834" s="2452" t="e">
        <f>#REF!+#REF!</f>
        <v>#REF!</v>
      </c>
      <c r="D834" s="2449">
        <f>IF(A834='Data Entry - SOF'!B$2,'Data Entry - SOF'!C$64,0)</f>
        <v>0</v>
      </c>
      <c r="E834" s="2450">
        <f t="shared" si="153"/>
        <v>3782121</v>
      </c>
      <c r="F834" s="2212" t="e">
        <f>IF('Report-M&amp;O1718'!C$18-'Report-SOF1718'!D$55&lt;=0,0,'Report-M&amp;O1718'!C$18-'Report-SOF1718'!D$55)</f>
        <v>#DIV/0!</v>
      </c>
      <c r="G834" s="2452" t="e">
        <f t="shared" si="145"/>
        <v>#DIV/0!</v>
      </c>
      <c r="H834" s="2449">
        <f>IF(A834='Data Entry - SOF'!B$2,'Data Entry - SOF'!E$64,0)</f>
        <v>0</v>
      </c>
      <c r="I834" s="1687">
        <f t="shared" si="146"/>
        <v>3782121</v>
      </c>
      <c r="J834" s="2212" t="e">
        <f>IF('Report-M&amp;O1819'!C$18-'Report-SOF1819'!D$55&lt;=0,0,'Report-M&amp;O1819'!C$18-'Report-SOF1819'!D$55)</f>
        <v>#DIV/0!</v>
      </c>
      <c r="K834" s="2452" t="e">
        <f t="shared" si="147"/>
        <v>#DIV/0!</v>
      </c>
      <c r="L834" s="2449">
        <f>IF(A834='Data Entry - SOF'!B$2,'Data Entry - SOF'!G$64,0)</f>
        <v>0</v>
      </c>
      <c r="M834" s="1371">
        <f t="shared" si="148"/>
        <v>3782121</v>
      </c>
      <c r="N834" s="2212" t="e">
        <f>IF('Report-M&amp;O1920'!C$18-'Report-SOF1920'!D$55&lt;=0,0,'Report-M&amp;O1920'!C$18-'Report-SOF1920'!D$55)</f>
        <v>#DIV/0!</v>
      </c>
      <c r="O834" s="2452" t="e">
        <f t="shared" si="149"/>
        <v>#DIV/0!</v>
      </c>
      <c r="P834" s="2449">
        <f>IF(A834='Data Entry - SOF'!B$2,'Data Entry - SOF'!I$64,0)</f>
        <v>0</v>
      </c>
      <c r="Q834" s="1687">
        <f t="shared" si="156"/>
        <v>3782121</v>
      </c>
      <c r="R834" s="2212" t="e">
        <f>IF('Report-M&amp;O2021'!C$18-'Report-SOF2021'!D$55&lt;=0,0,'Report-M&amp;O2021'!C$18-'Report-SOF2021'!D$55)</f>
        <v>#DIV/0!</v>
      </c>
      <c r="S834" s="2452" t="e">
        <f t="shared" si="150"/>
        <v>#DIV/0!</v>
      </c>
      <c r="T834" s="1708">
        <f>IF(A834='Data Entry - SOF'!B$2,'Data Entry - SOF'!K$64,0)</f>
        <v>0</v>
      </c>
      <c r="U834" s="1687">
        <f t="shared" si="155"/>
        <v>3782121</v>
      </c>
      <c r="V834" s="2212" t="e">
        <f>IF('Report-M&amp;O2122'!C$18-'Report-SOF2122'!D$55&lt;=0,0,'Report-M&amp;O2122'!C$18-'Report-SOF2122'!D$55)</f>
        <v>#DIV/0!</v>
      </c>
      <c r="W834" s="2452" t="e">
        <f t="shared" si="151"/>
        <v>#DIV/0!</v>
      </c>
      <c r="X834" s="1708">
        <f>IF(A834='Data Entry - SOF'!B$2,'Data Entry - SOF'!M$64,0)</f>
        <v>0</v>
      </c>
      <c r="Y834" s="1371" t="e">
        <f t="shared" si="152"/>
        <v>#DIV/0!</v>
      </c>
      <c r="Z834" s="2212" t="e">
        <f>IF('Report-M&amp;O2223'!C$18-'Report-SOF2223'!D$55&lt;=0,0,'Report-M&amp;O2223'!C$18-'Report-SOF2223'!D$55)</f>
        <v>#DIV/0!</v>
      </c>
      <c r="AA834" s="1708">
        <f>IF(A834='Data Entry - SOF'!B$2,'Data Entry - SOF'!O$64,0)</f>
        <v>0</v>
      </c>
    </row>
    <row r="835" spans="1:27" ht="15.75">
      <c r="A835" s="1076" t="s">
        <v>1493</v>
      </c>
      <c r="B835">
        <v>5225576</v>
      </c>
      <c r="C835" s="2452" t="e">
        <f>#REF!+#REF!</f>
        <v>#REF!</v>
      </c>
      <c r="D835" s="2449">
        <f>IF(A835='Data Entry - SOF'!B$2,'Data Entry - SOF'!C$64,0)</f>
        <v>0</v>
      </c>
      <c r="E835" s="2450">
        <f t="shared" si="153"/>
        <v>5225576</v>
      </c>
      <c r="F835" s="2212" t="e">
        <f>IF('Report-M&amp;O1718'!C$18-'Report-SOF1718'!D$55&lt;=0,0,'Report-M&amp;O1718'!C$18-'Report-SOF1718'!D$55)</f>
        <v>#DIV/0!</v>
      </c>
      <c r="G835" s="2452" t="e">
        <f t="shared" si="145"/>
        <v>#DIV/0!</v>
      </c>
      <c r="H835" s="2449">
        <f>IF(A835='Data Entry - SOF'!B$2,'Data Entry - SOF'!E$64,0)</f>
        <v>0</v>
      </c>
      <c r="I835" s="1687">
        <f t="shared" si="146"/>
        <v>5225576</v>
      </c>
      <c r="J835" s="2212" t="e">
        <f>IF('Report-M&amp;O1819'!C$18-'Report-SOF1819'!D$55&lt;=0,0,'Report-M&amp;O1819'!C$18-'Report-SOF1819'!D$55)</f>
        <v>#DIV/0!</v>
      </c>
      <c r="K835" s="2452" t="e">
        <f t="shared" si="147"/>
        <v>#DIV/0!</v>
      </c>
      <c r="L835" s="2449">
        <f>IF(A835='Data Entry - SOF'!B$2,'Data Entry - SOF'!G$64,0)</f>
        <v>0</v>
      </c>
      <c r="M835" s="1371">
        <f t="shared" si="148"/>
        <v>5225576</v>
      </c>
      <c r="N835" s="2212" t="e">
        <f>IF('Report-M&amp;O1920'!C$18-'Report-SOF1920'!D$55&lt;=0,0,'Report-M&amp;O1920'!C$18-'Report-SOF1920'!D$55)</f>
        <v>#DIV/0!</v>
      </c>
      <c r="O835" s="2452" t="e">
        <f t="shared" si="149"/>
        <v>#DIV/0!</v>
      </c>
      <c r="P835" s="2449">
        <f>IF(A835='Data Entry - SOF'!B$2,'Data Entry - SOF'!I$64,0)</f>
        <v>0</v>
      </c>
      <c r="Q835" s="1687">
        <f t="shared" si="156"/>
        <v>5225576</v>
      </c>
      <c r="R835" s="2212" t="e">
        <f>IF('Report-M&amp;O2021'!C$18-'Report-SOF2021'!D$55&lt;=0,0,'Report-M&amp;O2021'!C$18-'Report-SOF2021'!D$55)</f>
        <v>#DIV/0!</v>
      </c>
      <c r="S835" s="2452" t="e">
        <f t="shared" si="150"/>
        <v>#DIV/0!</v>
      </c>
      <c r="T835" s="1708">
        <f>IF(A835='Data Entry - SOF'!B$2,'Data Entry - SOF'!K$64,0)</f>
        <v>0</v>
      </c>
      <c r="U835" s="1687">
        <f t="shared" si="155"/>
        <v>5225576</v>
      </c>
      <c r="V835" s="2212" t="e">
        <f>IF('Report-M&amp;O2122'!C$18-'Report-SOF2122'!D$55&lt;=0,0,'Report-M&amp;O2122'!C$18-'Report-SOF2122'!D$55)</f>
        <v>#DIV/0!</v>
      </c>
      <c r="W835" s="2452" t="e">
        <f t="shared" si="151"/>
        <v>#DIV/0!</v>
      </c>
      <c r="X835" s="1708">
        <f>IF(A835='Data Entry - SOF'!B$2,'Data Entry - SOF'!M$64,0)</f>
        <v>0</v>
      </c>
      <c r="Y835" s="1371" t="e">
        <f t="shared" si="152"/>
        <v>#DIV/0!</v>
      </c>
      <c r="Z835" s="2212" t="e">
        <f>IF('Report-M&amp;O2223'!C$18-'Report-SOF2223'!D$55&lt;=0,0,'Report-M&amp;O2223'!C$18-'Report-SOF2223'!D$55)</f>
        <v>#DIV/0!</v>
      </c>
      <c r="AA835" s="1708">
        <f>IF(A835='Data Entry - SOF'!B$2,'Data Entry - SOF'!O$64,0)</f>
        <v>0</v>
      </c>
    </row>
    <row r="836" spans="1:27" ht="15.75">
      <c r="A836" s="1076" t="s">
        <v>219</v>
      </c>
      <c r="B836">
        <v>5938620</v>
      </c>
      <c r="C836" s="2452" t="e">
        <f>#REF!+#REF!</f>
        <v>#REF!</v>
      </c>
      <c r="D836" s="2449">
        <f>IF(A836='Data Entry - SOF'!B$2,'Data Entry - SOF'!C$64,0)</f>
        <v>0</v>
      </c>
      <c r="E836" s="2450">
        <f t="shared" si="153"/>
        <v>5938620</v>
      </c>
      <c r="F836" s="2212" t="e">
        <f>IF('Report-M&amp;O1718'!C$18-'Report-SOF1718'!D$55&lt;=0,0,'Report-M&amp;O1718'!C$18-'Report-SOF1718'!D$55)</f>
        <v>#DIV/0!</v>
      </c>
      <c r="G836" s="2452" t="e">
        <f t="shared" ref="G836:G899" si="157">E836+F836</f>
        <v>#DIV/0!</v>
      </c>
      <c r="H836" s="2449">
        <f>IF(A836='Data Entry - SOF'!B$2,'Data Entry - SOF'!E$64,0)</f>
        <v>0</v>
      </c>
      <c r="I836" s="1687">
        <f t="shared" ref="I836:I899" si="158">E836-H836</f>
        <v>5938620</v>
      </c>
      <c r="J836" s="2212" t="e">
        <f>IF('Report-M&amp;O1819'!C$18-'Report-SOF1819'!D$55&lt;=0,0,'Report-M&amp;O1819'!C$18-'Report-SOF1819'!D$55)</f>
        <v>#DIV/0!</v>
      </c>
      <c r="K836" s="2452" t="e">
        <f t="shared" ref="K836:K899" si="159">I836+J836</f>
        <v>#DIV/0!</v>
      </c>
      <c r="L836" s="2449">
        <f>IF(A836='Data Entry - SOF'!B$2,'Data Entry - SOF'!G$64,0)</f>
        <v>0</v>
      </c>
      <c r="M836" s="1371">
        <f t="shared" ref="M836:M899" si="160">I836-L836</f>
        <v>5938620</v>
      </c>
      <c r="N836" s="2212" t="e">
        <f>IF('Report-M&amp;O1920'!C$18-'Report-SOF1920'!D$55&lt;=0,0,'Report-M&amp;O1920'!C$18-'Report-SOF1920'!D$55)</f>
        <v>#DIV/0!</v>
      </c>
      <c r="O836" s="2452" t="e">
        <f t="shared" ref="O836:O899" si="161">M836+N836</f>
        <v>#DIV/0!</v>
      </c>
      <c r="P836" s="2449">
        <f>IF(A836='Data Entry - SOF'!B$2,'Data Entry - SOF'!I$64,0)</f>
        <v>0</v>
      </c>
      <c r="Q836" s="1687">
        <f t="shared" si="156"/>
        <v>5938620</v>
      </c>
      <c r="R836" s="2212" t="e">
        <f>IF('Report-M&amp;O2021'!C$18-'Report-SOF2021'!D$55&lt;=0,0,'Report-M&amp;O2021'!C$18-'Report-SOF2021'!D$55)</f>
        <v>#DIV/0!</v>
      </c>
      <c r="S836" s="2452" t="e">
        <f t="shared" ref="S836:S899" si="162">Q836+R836</f>
        <v>#DIV/0!</v>
      </c>
      <c r="T836" s="1708">
        <f>IF(A836='Data Entry - SOF'!B$2,'Data Entry - SOF'!K$64,0)</f>
        <v>0</v>
      </c>
      <c r="U836" s="1687">
        <f t="shared" si="155"/>
        <v>5938620</v>
      </c>
      <c r="V836" s="2212" t="e">
        <f>IF('Report-M&amp;O2122'!C$18-'Report-SOF2122'!D$55&lt;=0,0,'Report-M&amp;O2122'!C$18-'Report-SOF2122'!D$55)</f>
        <v>#DIV/0!</v>
      </c>
      <c r="W836" s="2452" t="e">
        <f t="shared" ref="W836:W899" si="163">U836+V836</f>
        <v>#DIV/0!</v>
      </c>
      <c r="X836" s="1708">
        <f>IF(A836='Data Entry - SOF'!B$2,'Data Entry - SOF'!M$64,0)</f>
        <v>0</v>
      </c>
      <c r="Y836" s="1371" t="e">
        <f t="shared" ref="Y836:Y899" si="164">IF(U836+V836-X836&lt;=0,0,U836+V836-X836)</f>
        <v>#DIV/0!</v>
      </c>
      <c r="Z836" s="2212" t="e">
        <f>IF('Report-M&amp;O2223'!C$18-'Report-SOF2223'!D$55&lt;=0,0,'Report-M&amp;O2223'!C$18-'Report-SOF2223'!D$55)</f>
        <v>#DIV/0!</v>
      </c>
      <c r="AA836" s="1708">
        <f>IF(A836='Data Entry - SOF'!B$2,'Data Entry - SOF'!O$64,0)</f>
        <v>0</v>
      </c>
    </row>
    <row r="837" spans="1:27" ht="15.75">
      <c r="A837" s="1076" t="s">
        <v>531</v>
      </c>
      <c r="B837">
        <v>2557061</v>
      </c>
      <c r="C837" s="2452" t="e">
        <f>#REF!+#REF!</f>
        <v>#REF!</v>
      </c>
      <c r="D837" s="2449">
        <f>IF(A837='Data Entry - SOF'!B$2,'Data Entry - SOF'!C$64,0)</f>
        <v>0</v>
      </c>
      <c r="E837" s="2450">
        <f t="shared" ref="E837:E900" si="165">IF(B837-D837&lt;0,0,B837-D837)</f>
        <v>2557061</v>
      </c>
      <c r="F837" s="2212" t="e">
        <f>IF('Report-M&amp;O1718'!C$18-'Report-SOF1718'!D$55&lt;=0,0,'Report-M&amp;O1718'!C$18-'Report-SOF1718'!D$55)</f>
        <v>#DIV/0!</v>
      </c>
      <c r="G837" s="2452" t="e">
        <f t="shared" si="157"/>
        <v>#DIV/0!</v>
      </c>
      <c r="H837" s="2449">
        <f>IF(A837='Data Entry - SOF'!B$2,'Data Entry - SOF'!E$64,0)</f>
        <v>0</v>
      </c>
      <c r="I837" s="1687">
        <f t="shared" si="158"/>
        <v>2557061</v>
      </c>
      <c r="J837" s="2212" t="e">
        <f>IF('Report-M&amp;O1819'!C$18-'Report-SOF1819'!D$55&lt;=0,0,'Report-M&amp;O1819'!C$18-'Report-SOF1819'!D$55)</f>
        <v>#DIV/0!</v>
      </c>
      <c r="K837" s="2452" t="e">
        <f t="shared" si="159"/>
        <v>#DIV/0!</v>
      </c>
      <c r="L837" s="2449">
        <f>IF(A837='Data Entry - SOF'!B$2,'Data Entry - SOF'!G$64,0)</f>
        <v>0</v>
      </c>
      <c r="M837" s="1371">
        <f t="shared" si="160"/>
        <v>2557061</v>
      </c>
      <c r="N837" s="2212" t="e">
        <f>IF('Report-M&amp;O1920'!C$18-'Report-SOF1920'!D$55&lt;=0,0,'Report-M&amp;O1920'!C$18-'Report-SOF1920'!D$55)</f>
        <v>#DIV/0!</v>
      </c>
      <c r="O837" s="2452" t="e">
        <f t="shared" si="161"/>
        <v>#DIV/0!</v>
      </c>
      <c r="P837" s="2449">
        <f>IF(A837='Data Entry - SOF'!B$2,'Data Entry - SOF'!I$64,0)</f>
        <v>0</v>
      </c>
      <c r="Q837" s="1687">
        <f t="shared" si="156"/>
        <v>2557061</v>
      </c>
      <c r="R837" s="2212" t="e">
        <f>IF('Report-M&amp;O2021'!C$18-'Report-SOF2021'!D$55&lt;=0,0,'Report-M&amp;O2021'!C$18-'Report-SOF2021'!D$55)</f>
        <v>#DIV/0!</v>
      </c>
      <c r="S837" s="2452" t="e">
        <f t="shared" si="162"/>
        <v>#DIV/0!</v>
      </c>
      <c r="T837" s="1708">
        <f>IF(A837='Data Entry - SOF'!B$2,'Data Entry - SOF'!K$64,0)</f>
        <v>0</v>
      </c>
      <c r="U837" s="1687">
        <f t="shared" si="155"/>
        <v>2557061</v>
      </c>
      <c r="V837" s="2212" t="e">
        <f>IF('Report-M&amp;O2122'!C$18-'Report-SOF2122'!D$55&lt;=0,0,'Report-M&amp;O2122'!C$18-'Report-SOF2122'!D$55)</f>
        <v>#DIV/0!</v>
      </c>
      <c r="W837" s="2452" t="e">
        <f t="shared" si="163"/>
        <v>#DIV/0!</v>
      </c>
      <c r="X837" s="1708">
        <f>IF(A837='Data Entry - SOF'!B$2,'Data Entry - SOF'!M$64,0)</f>
        <v>0</v>
      </c>
      <c r="Y837" s="1371" t="e">
        <f t="shared" si="164"/>
        <v>#DIV/0!</v>
      </c>
      <c r="Z837" s="2212" t="e">
        <f>IF('Report-M&amp;O2223'!C$18-'Report-SOF2223'!D$55&lt;=0,0,'Report-M&amp;O2223'!C$18-'Report-SOF2223'!D$55)</f>
        <v>#DIV/0!</v>
      </c>
      <c r="AA837" s="1708">
        <f>IF(A837='Data Entry - SOF'!B$2,'Data Entry - SOF'!O$64,0)</f>
        <v>0</v>
      </c>
    </row>
    <row r="838" spans="1:27" ht="15.75">
      <c r="A838" s="1076" t="s">
        <v>1640</v>
      </c>
      <c r="B838">
        <v>710449</v>
      </c>
      <c r="C838" s="2452" t="e">
        <f>#REF!+#REF!</f>
        <v>#REF!</v>
      </c>
      <c r="D838" s="2449">
        <f>IF(A838='Data Entry - SOF'!B$2,'Data Entry - SOF'!C$64,0)</f>
        <v>0</v>
      </c>
      <c r="E838" s="2450">
        <f t="shared" si="165"/>
        <v>710449</v>
      </c>
      <c r="F838" s="2212" t="e">
        <f>IF('Report-M&amp;O1718'!C$18-'Report-SOF1718'!D$55&lt;=0,0,'Report-M&amp;O1718'!C$18-'Report-SOF1718'!D$55)</f>
        <v>#DIV/0!</v>
      </c>
      <c r="G838" s="2452" t="e">
        <f t="shared" si="157"/>
        <v>#DIV/0!</v>
      </c>
      <c r="H838" s="2449">
        <f>IF(A838='Data Entry - SOF'!B$2,'Data Entry - SOF'!E$64,0)</f>
        <v>0</v>
      </c>
      <c r="I838" s="1687">
        <f t="shared" si="158"/>
        <v>710449</v>
      </c>
      <c r="J838" s="2212" t="e">
        <f>IF('Report-M&amp;O1819'!C$18-'Report-SOF1819'!D$55&lt;=0,0,'Report-M&amp;O1819'!C$18-'Report-SOF1819'!D$55)</f>
        <v>#DIV/0!</v>
      </c>
      <c r="K838" s="2452" t="e">
        <f t="shared" si="159"/>
        <v>#DIV/0!</v>
      </c>
      <c r="L838" s="2449">
        <f>IF(A838='Data Entry - SOF'!B$2,'Data Entry - SOF'!G$64,0)</f>
        <v>0</v>
      </c>
      <c r="M838" s="1371">
        <f t="shared" si="160"/>
        <v>710449</v>
      </c>
      <c r="N838" s="2212" t="e">
        <f>IF('Report-M&amp;O1920'!C$18-'Report-SOF1920'!D$55&lt;=0,0,'Report-M&amp;O1920'!C$18-'Report-SOF1920'!D$55)</f>
        <v>#DIV/0!</v>
      </c>
      <c r="O838" s="2452" t="e">
        <f t="shared" si="161"/>
        <v>#DIV/0!</v>
      </c>
      <c r="P838" s="2449">
        <f>IF(A838='Data Entry - SOF'!B$2,'Data Entry - SOF'!I$64,0)</f>
        <v>0</v>
      </c>
      <c r="Q838" s="1687">
        <f t="shared" si="156"/>
        <v>710449</v>
      </c>
      <c r="R838" s="2212" t="e">
        <f>IF('Report-M&amp;O2021'!C$18-'Report-SOF2021'!D$55&lt;=0,0,'Report-M&amp;O2021'!C$18-'Report-SOF2021'!D$55)</f>
        <v>#DIV/0!</v>
      </c>
      <c r="S838" s="2452" t="e">
        <f t="shared" si="162"/>
        <v>#DIV/0!</v>
      </c>
      <c r="T838" s="1708">
        <f>IF(A838='Data Entry - SOF'!B$2,'Data Entry - SOF'!K$64,0)</f>
        <v>0</v>
      </c>
      <c r="U838" s="1687">
        <f t="shared" si="155"/>
        <v>710449</v>
      </c>
      <c r="V838" s="2212" t="e">
        <f>IF('Report-M&amp;O2122'!C$18-'Report-SOF2122'!D$55&lt;=0,0,'Report-M&amp;O2122'!C$18-'Report-SOF2122'!D$55)</f>
        <v>#DIV/0!</v>
      </c>
      <c r="W838" s="2452" t="e">
        <f t="shared" si="163"/>
        <v>#DIV/0!</v>
      </c>
      <c r="X838" s="1708">
        <f>IF(A838='Data Entry - SOF'!B$2,'Data Entry - SOF'!M$64,0)</f>
        <v>0</v>
      </c>
      <c r="Y838" s="1371" t="e">
        <f t="shared" si="164"/>
        <v>#DIV/0!</v>
      </c>
      <c r="Z838" s="2212" t="e">
        <f>IF('Report-M&amp;O2223'!C$18-'Report-SOF2223'!D$55&lt;=0,0,'Report-M&amp;O2223'!C$18-'Report-SOF2223'!D$55)</f>
        <v>#DIV/0!</v>
      </c>
      <c r="AA838" s="1708">
        <f>IF(A838='Data Entry - SOF'!B$2,'Data Entry - SOF'!O$64,0)</f>
        <v>0</v>
      </c>
    </row>
    <row r="839" spans="1:27" ht="15.75">
      <c r="A839" s="1076" t="s">
        <v>1641</v>
      </c>
      <c r="B839">
        <v>276780</v>
      </c>
      <c r="C839" s="2452" t="e">
        <f>#REF!+#REF!</f>
        <v>#REF!</v>
      </c>
      <c r="D839" s="2449">
        <f>IF(A839='Data Entry - SOF'!B$2,'Data Entry - SOF'!C$64,0)</f>
        <v>0</v>
      </c>
      <c r="E839" s="2450">
        <f t="shared" si="165"/>
        <v>276780</v>
      </c>
      <c r="F839" s="2212" t="e">
        <f>IF('Report-M&amp;O1718'!C$18-'Report-SOF1718'!D$55&lt;=0,0,'Report-M&amp;O1718'!C$18-'Report-SOF1718'!D$55)</f>
        <v>#DIV/0!</v>
      </c>
      <c r="G839" s="2452" t="e">
        <f t="shared" si="157"/>
        <v>#DIV/0!</v>
      </c>
      <c r="H839" s="2449">
        <f>IF(A839='Data Entry - SOF'!B$2,'Data Entry - SOF'!E$64,0)</f>
        <v>0</v>
      </c>
      <c r="I839" s="1687">
        <f t="shared" si="158"/>
        <v>276780</v>
      </c>
      <c r="J839" s="2212" t="e">
        <f>IF('Report-M&amp;O1819'!C$18-'Report-SOF1819'!D$55&lt;=0,0,'Report-M&amp;O1819'!C$18-'Report-SOF1819'!D$55)</f>
        <v>#DIV/0!</v>
      </c>
      <c r="K839" s="2452" t="e">
        <f t="shared" si="159"/>
        <v>#DIV/0!</v>
      </c>
      <c r="L839" s="2449">
        <f>IF(A839='Data Entry - SOF'!B$2,'Data Entry - SOF'!G$64,0)</f>
        <v>0</v>
      </c>
      <c r="M839" s="1371">
        <f t="shared" si="160"/>
        <v>276780</v>
      </c>
      <c r="N839" s="2212" t="e">
        <f>IF('Report-M&amp;O1920'!C$18-'Report-SOF1920'!D$55&lt;=0,0,'Report-M&amp;O1920'!C$18-'Report-SOF1920'!D$55)</f>
        <v>#DIV/0!</v>
      </c>
      <c r="O839" s="2452" t="e">
        <f t="shared" si="161"/>
        <v>#DIV/0!</v>
      </c>
      <c r="P839" s="2449">
        <f>IF(A839='Data Entry - SOF'!B$2,'Data Entry - SOF'!I$64,0)</f>
        <v>0</v>
      </c>
      <c r="Q839" s="1687">
        <f t="shared" si="156"/>
        <v>276780</v>
      </c>
      <c r="R839" s="2212" t="e">
        <f>IF('Report-M&amp;O2021'!C$18-'Report-SOF2021'!D$55&lt;=0,0,'Report-M&amp;O2021'!C$18-'Report-SOF2021'!D$55)</f>
        <v>#DIV/0!</v>
      </c>
      <c r="S839" s="2452" t="e">
        <f t="shared" si="162"/>
        <v>#DIV/0!</v>
      </c>
      <c r="T839" s="1708">
        <f>IF(A839='Data Entry - SOF'!B$2,'Data Entry - SOF'!K$64,0)</f>
        <v>0</v>
      </c>
      <c r="U839" s="1687">
        <f t="shared" si="155"/>
        <v>276780</v>
      </c>
      <c r="V839" s="2212" t="e">
        <f>IF('Report-M&amp;O2122'!C$18-'Report-SOF2122'!D$55&lt;=0,0,'Report-M&amp;O2122'!C$18-'Report-SOF2122'!D$55)</f>
        <v>#DIV/0!</v>
      </c>
      <c r="W839" s="2452" t="e">
        <f t="shared" si="163"/>
        <v>#DIV/0!</v>
      </c>
      <c r="X839" s="1708">
        <f>IF(A839='Data Entry - SOF'!B$2,'Data Entry - SOF'!M$64,0)</f>
        <v>0</v>
      </c>
      <c r="Y839" s="1371" t="e">
        <f t="shared" si="164"/>
        <v>#DIV/0!</v>
      </c>
      <c r="Z839" s="2212" t="e">
        <f>IF('Report-M&amp;O2223'!C$18-'Report-SOF2223'!D$55&lt;=0,0,'Report-M&amp;O2223'!C$18-'Report-SOF2223'!D$55)</f>
        <v>#DIV/0!</v>
      </c>
      <c r="AA839" s="1708">
        <f>IF(A839='Data Entry - SOF'!B$2,'Data Entry - SOF'!O$64,0)</f>
        <v>0</v>
      </c>
    </row>
    <row r="840" spans="1:27" ht="15.75">
      <c r="A840" s="1076" t="s">
        <v>1557</v>
      </c>
      <c r="B840">
        <v>1871343</v>
      </c>
      <c r="C840" s="2452" t="e">
        <f>#REF!+#REF!</f>
        <v>#REF!</v>
      </c>
      <c r="D840" s="2449">
        <f>IF(A840='Data Entry - SOF'!B$2,'Data Entry - SOF'!C$64,0)</f>
        <v>0</v>
      </c>
      <c r="E840" s="2450">
        <f t="shared" si="165"/>
        <v>1871343</v>
      </c>
      <c r="F840" s="2212" t="e">
        <f>IF('Report-M&amp;O1718'!C$18-'Report-SOF1718'!D$55&lt;=0,0,'Report-M&amp;O1718'!C$18-'Report-SOF1718'!D$55)</f>
        <v>#DIV/0!</v>
      </c>
      <c r="G840" s="2452" t="e">
        <f t="shared" si="157"/>
        <v>#DIV/0!</v>
      </c>
      <c r="H840" s="2449">
        <f>IF(A840='Data Entry - SOF'!B$2,'Data Entry - SOF'!E$64,0)</f>
        <v>0</v>
      </c>
      <c r="I840" s="1687">
        <f t="shared" si="158"/>
        <v>1871343</v>
      </c>
      <c r="J840" s="2212" t="e">
        <f>IF('Report-M&amp;O1819'!C$18-'Report-SOF1819'!D$55&lt;=0,0,'Report-M&amp;O1819'!C$18-'Report-SOF1819'!D$55)</f>
        <v>#DIV/0!</v>
      </c>
      <c r="K840" s="2452" t="e">
        <f t="shared" si="159"/>
        <v>#DIV/0!</v>
      </c>
      <c r="L840" s="2449">
        <f>IF(A840='Data Entry - SOF'!B$2,'Data Entry - SOF'!G$64,0)</f>
        <v>0</v>
      </c>
      <c r="M840" s="1371">
        <f t="shared" si="160"/>
        <v>1871343</v>
      </c>
      <c r="N840" s="2212" t="e">
        <f>IF('Report-M&amp;O1920'!C$18-'Report-SOF1920'!D$55&lt;=0,0,'Report-M&amp;O1920'!C$18-'Report-SOF1920'!D$55)</f>
        <v>#DIV/0!</v>
      </c>
      <c r="O840" s="2452" t="e">
        <f t="shared" si="161"/>
        <v>#DIV/0!</v>
      </c>
      <c r="P840" s="2449">
        <f>IF(A840='Data Entry - SOF'!B$2,'Data Entry - SOF'!I$64,0)</f>
        <v>0</v>
      </c>
      <c r="Q840" s="1687">
        <f t="shared" si="156"/>
        <v>1871343</v>
      </c>
      <c r="R840" s="2212" t="e">
        <f>IF('Report-M&amp;O2021'!C$18-'Report-SOF2021'!D$55&lt;=0,0,'Report-M&amp;O2021'!C$18-'Report-SOF2021'!D$55)</f>
        <v>#DIV/0!</v>
      </c>
      <c r="S840" s="2452" t="e">
        <f t="shared" si="162"/>
        <v>#DIV/0!</v>
      </c>
      <c r="T840" s="1708">
        <f>IF(A840='Data Entry - SOF'!B$2,'Data Entry - SOF'!K$64,0)</f>
        <v>0</v>
      </c>
      <c r="U840" s="1687">
        <f t="shared" si="155"/>
        <v>1871343</v>
      </c>
      <c r="V840" s="2212" t="e">
        <f>IF('Report-M&amp;O2122'!C$18-'Report-SOF2122'!D$55&lt;=0,0,'Report-M&amp;O2122'!C$18-'Report-SOF2122'!D$55)</f>
        <v>#DIV/0!</v>
      </c>
      <c r="W840" s="2452" t="e">
        <f t="shared" si="163"/>
        <v>#DIV/0!</v>
      </c>
      <c r="X840" s="1708">
        <f>IF(A840='Data Entry - SOF'!B$2,'Data Entry - SOF'!M$64,0)</f>
        <v>0</v>
      </c>
      <c r="Y840" s="1371" t="e">
        <f t="shared" si="164"/>
        <v>#DIV/0!</v>
      </c>
      <c r="Z840" s="2212" t="e">
        <f>IF('Report-M&amp;O2223'!C$18-'Report-SOF2223'!D$55&lt;=0,0,'Report-M&amp;O2223'!C$18-'Report-SOF2223'!D$55)</f>
        <v>#DIV/0!</v>
      </c>
      <c r="AA840" s="1708">
        <f>IF(A840='Data Entry - SOF'!B$2,'Data Entry - SOF'!O$64,0)</f>
        <v>0</v>
      </c>
    </row>
    <row r="841" spans="1:27" ht="15.75">
      <c r="A841" s="1076" t="s">
        <v>1558</v>
      </c>
      <c r="B841">
        <v>12861843</v>
      </c>
      <c r="C841" s="2452" t="e">
        <f>#REF!+#REF!</f>
        <v>#REF!</v>
      </c>
      <c r="D841" s="2449">
        <f>IF(A841='Data Entry - SOF'!B$2,'Data Entry - SOF'!C$64,0)</f>
        <v>0</v>
      </c>
      <c r="E841" s="2450">
        <f t="shared" si="165"/>
        <v>12861843</v>
      </c>
      <c r="F841" s="2212" t="e">
        <f>IF('Report-M&amp;O1718'!C$18-'Report-SOF1718'!D$55&lt;=0,0,'Report-M&amp;O1718'!C$18-'Report-SOF1718'!D$55)</f>
        <v>#DIV/0!</v>
      </c>
      <c r="G841" s="2452" t="e">
        <f t="shared" si="157"/>
        <v>#DIV/0!</v>
      </c>
      <c r="H841" s="2449">
        <f>IF(A841='Data Entry - SOF'!B$2,'Data Entry - SOF'!E$64,0)</f>
        <v>0</v>
      </c>
      <c r="I841" s="1687">
        <f t="shared" si="158"/>
        <v>12861843</v>
      </c>
      <c r="J841" s="2212" t="e">
        <f>IF('Report-M&amp;O1819'!C$18-'Report-SOF1819'!D$55&lt;=0,0,'Report-M&amp;O1819'!C$18-'Report-SOF1819'!D$55)</f>
        <v>#DIV/0!</v>
      </c>
      <c r="K841" s="2452" t="e">
        <f t="shared" si="159"/>
        <v>#DIV/0!</v>
      </c>
      <c r="L841" s="2449">
        <f>IF(A841='Data Entry - SOF'!B$2,'Data Entry - SOF'!G$64,0)</f>
        <v>0</v>
      </c>
      <c r="M841" s="1371">
        <f t="shared" si="160"/>
        <v>12861843</v>
      </c>
      <c r="N841" s="2212" t="e">
        <f>IF('Report-M&amp;O1920'!C$18-'Report-SOF1920'!D$55&lt;=0,0,'Report-M&amp;O1920'!C$18-'Report-SOF1920'!D$55)</f>
        <v>#DIV/0!</v>
      </c>
      <c r="O841" s="2452" t="e">
        <f t="shared" si="161"/>
        <v>#DIV/0!</v>
      </c>
      <c r="P841" s="2449">
        <f>IF(A841='Data Entry - SOF'!B$2,'Data Entry - SOF'!I$64,0)</f>
        <v>0</v>
      </c>
      <c r="Q841" s="1687">
        <f t="shared" si="156"/>
        <v>12861843</v>
      </c>
      <c r="R841" s="2212" t="e">
        <f>IF('Report-M&amp;O2021'!C$18-'Report-SOF2021'!D$55&lt;=0,0,'Report-M&amp;O2021'!C$18-'Report-SOF2021'!D$55)</f>
        <v>#DIV/0!</v>
      </c>
      <c r="S841" s="2452" t="e">
        <f t="shared" si="162"/>
        <v>#DIV/0!</v>
      </c>
      <c r="T841" s="1708">
        <f>IF(A841='Data Entry - SOF'!B$2,'Data Entry - SOF'!K$64,0)</f>
        <v>0</v>
      </c>
      <c r="U841" s="1687">
        <f t="shared" si="155"/>
        <v>12861843</v>
      </c>
      <c r="V841" s="2212" t="e">
        <f>IF('Report-M&amp;O2122'!C$18-'Report-SOF2122'!D$55&lt;=0,0,'Report-M&amp;O2122'!C$18-'Report-SOF2122'!D$55)</f>
        <v>#DIV/0!</v>
      </c>
      <c r="W841" s="2452" t="e">
        <f t="shared" si="163"/>
        <v>#DIV/0!</v>
      </c>
      <c r="X841" s="1708">
        <f>IF(A841='Data Entry - SOF'!B$2,'Data Entry - SOF'!M$64,0)</f>
        <v>0</v>
      </c>
      <c r="Y841" s="1371" t="e">
        <f t="shared" si="164"/>
        <v>#DIV/0!</v>
      </c>
      <c r="Z841" s="2212" t="e">
        <f>IF('Report-M&amp;O2223'!C$18-'Report-SOF2223'!D$55&lt;=0,0,'Report-M&amp;O2223'!C$18-'Report-SOF2223'!D$55)</f>
        <v>#DIV/0!</v>
      </c>
      <c r="AA841" s="1708">
        <f>IF(A841='Data Entry - SOF'!B$2,'Data Entry - SOF'!O$64,0)</f>
        <v>0</v>
      </c>
    </row>
    <row r="842" spans="1:27" ht="15.75">
      <c r="A842" s="1076" t="s">
        <v>1559</v>
      </c>
      <c r="B842">
        <v>37696752</v>
      </c>
      <c r="C842" s="2452" t="e">
        <f>#REF!+#REF!</f>
        <v>#REF!</v>
      </c>
      <c r="D842" s="2449">
        <f>IF(A842='Data Entry - SOF'!B$2,'Data Entry - SOF'!C$64,0)</f>
        <v>0</v>
      </c>
      <c r="E842" s="2450">
        <f t="shared" si="165"/>
        <v>37696752</v>
      </c>
      <c r="F842" s="2212" t="e">
        <f>IF('Report-M&amp;O1718'!C$18-'Report-SOF1718'!D$55&lt;=0,0,'Report-M&amp;O1718'!C$18-'Report-SOF1718'!D$55)</f>
        <v>#DIV/0!</v>
      </c>
      <c r="G842" s="2452" t="e">
        <f t="shared" si="157"/>
        <v>#DIV/0!</v>
      </c>
      <c r="H842" s="2449">
        <f>IF(A842='Data Entry - SOF'!B$2,'Data Entry - SOF'!E$64,0)</f>
        <v>0</v>
      </c>
      <c r="I842" s="1687">
        <f t="shared" si="158"/>
        <v>37696752</v>
      </c>
      <c r="J842" s="2212" t="e">
        <f>IF('Report-M&amp;O1819'!C$18-'Report-SOF1819'!D$55&lt;=0,0,'Report-M&amp;O1819'!C$18-'Report-SOF1819'!D$55)</f>
        <v>#DIV/0!</v>
      </c>
      <c r="K842" s="2452" t="e">
        <f t="shared" si="159"/>
        <v>#DIV/0!</v>
      </c>
      <c r="L842" s="2449">
        <f>IF(A842='Data Entry - SOF'!B$2,'Data Entry - SOF'!G$64,0)</f>
        <v>0</v>
      </c>
      <c r="M842" s="1371">
        <f t="shared" si="160"/>
        <v>37696752</v>
      </c>
      <c r="N842" s="2212" t="e">
        <f>IF('Report-M&amp;O1920'!C$18-'Report-SOF1920'!D$55&lt;=0,0,'Report-M&amp;O1920'!C$18-'Report-SOF1920'!D$55)</f>
        <v>#DIV/0!</v>
      </c>
      <c r="O842" s="2452" t="e">
        <f t="shared" si="161"/>
        <v>#DIV/0!</v>
      </c>
      <c r="P842" s="2449">
        <f>IF(A842='Data Entry - SOF'!B$2,'Data Entry - SOF'!I$64,0)</f>
        <v>0</v>
      </c>
      <c r="Q842" s="1687">
        <f t="shared" si="156"/>
        <v>37696752</v>
      </c>
      <c r="R842" s="2212" t="e">
        <f>IF('Report-M&amp;O2021'!C$18-'Report-SOF2021'!D$55&lt;=0,0,'Report-M&amp;O2021'!C$18-'Report-SOF2021'!D$55)</f>
        <v>#DIV/0!</v>
      </c>
      <c r="S842" s="2452" t="e">
        <f t="shared" si="162"/>
        <v>#DIV/0!</v>
      </c>
      <c r="T842" s="1708">
        <f>IF(A842='Data Entry - SOF'!B$2,'Data Entry - SOF'!K$64,0)</f>
        <v>0</v>
      </c>
      <c r="U842" s="1687">
        <f t="shared" si="155"/>
        <v>37696752</v>
      </c>
      <c r="V842" s="2212" t="e">
        <f>IF('Report-M&amp;O2122'!C$18-'Report-SOF2122'!D$55&lt;=0,0,'Report-M&amp;O2122'!C$18-'Report-SOF2122'!D$55)</f>
        <v>#DIV/0!</v>
      </c>
      <c r="W842" s="2452" t="e">
        <f t="shared" si="163"/>
        <v>#DIV/0!</v>
      </c>
      <c r="X842" s="1708">
        <f>IF(A842='Data Entry - SOF'!B$2,'Data Entry - SOF'!M$64,0)</f>
        <v>0</v>
      </c>
      <c r="Y842" s="1371" t="e">
        <f t="shared" si="164"/>
        <v>#DIV/0!</v>
      </c>
      <c r="Z842" s="2212" t="e">
        <f>IF('Report-M&amp;O2223'!C$18-'Report-SOF2223'!D$55&lt;=0,0,'Report-M&amp;O2223'!C$18-'Report-SOF2223'!D$55)</f>
        <v>#DIV/0!</v>
      </c>
      <c r="AA842" s="1708">
        <f>IF(A842='Data Entry - SOF'!B$2,'Data Entry - SOF'!O$64,0)</f>
        <v>0</v>
      </c>
    </row>
    <row r="843" spans="1:27" ht="15.75">
      <c r="A843" s="1076" t="s">
        <v>1662</v>
      </c>
      <c r="B843">
        <v>3771655.9816835802</v>
      </c>
      <c r="C843" s="2452" t="e">
        <f>#REF!+#REF!</f>
        <v>#REF!</v>
      </c>
      <c r="D843" s="2449">
        <f>IF(A843='Data Entry - SOF'!B$2,'Data Entry - SOF'!C$64,0)</f>
        <v>0</v>
      </c>
      <c r="E843" s="2450">
        <f t="shared" si="165"/>
        <v>3771655.9816835802</v>
      </c>
      <c r="F843" s="2212" t="e">
        <f>IF('Report-M&amp;O1718'!C$18-'Report-SOF1718'!D$55&lt;=0,0,'Report-M&amp;O1718'!C$18-'Report-SOF1718'!D$55)</f>
        <v>#DIV/0!</v>
      </c>
      <c r="G843" s="2452" t="e">
        <f t="shared" si="157"/>
        <v>#DIV/0!</v>
      </c>
      <c r="H843" s="2449">
        <f>IF(A843='Data Entry - SOF'!B$2,'Data Entry - SOF'!E$64,0)</f>
        <v>0</v>
      </c>
      <c r="I843" s="1687">
        <f t="shared" si="158"/>
        <v>3771655.9816835802</v>
      </c>
      <c r="J843" s="2212" t="e">
        <f>IF('Report-M&amp;O1819'!C$18-'Report-SOF1819'!D$55&lt;=0,0,'Report-M&amp;O1819'!C$18-'Report-SOF1819'!D$55)</f>
        <v>#DIV/0!</v>
      </c>
      <c r="K843" s="2452" t="e">
        <f t="shared" si="159"/>
        <v>#DIV/0!</v>
      </c>
      <c r="L843" s="2449">
        <f>IF(A843='Data Entry - SOF'!B$2,'Data Entry - SOF'!G$64,0)</f>
        <v>0</v>
      </c>
      <c r="M843" s="1371">
        <f t="shared" si="160"/>
        <v>3771655.9816835802</v>
      </c>
      <c r="N843" s="2212" t="e">
        <f>IF('Report-M&amp;O1920'!C$18-'Report-SOF1920'!D$55&lt;=0,0,'Report-M&amp;O1920'!C$18-'Report-SOF1920'!D$55)</f>
        <v>#DIV/0!</v>
      </c>
      <c r="O843" s="2452" t="e">
        <f t="shared" si="161"/>
        <v>#DIV/0!</v>
      </c>
      <c r="P843" s="2449">
        <f>IF(A843='Data Entry - SOF'!B$2,'Data Entry - SOF'!I$64,0)</f>
        <v>0</v>
      </c>
      <c r="Q843" s="1687">
        <f t="shared" si="156"/>
        <v>3771655.9816835802</v>
      </c>
      <c r="R843" s="2212" t="e">
        <f>IF('Report-M&amp;O2021'!C$18-'Report-SOF2021'!D$55&lt;=0,0,'Report-M&amp;O2021'!C$18-'Report-SOF2021'!D$55)</f>
        <v>#DIV/0!</v>
      </c>
      <c r="S843" s="2452" t="e">
        <f t="shared" si="162"/>
        <v>#DIV/0!</v>
      </c>
      <c r="T843" s="1708">
        <f>IF(A843='Data Entry - SOF'!B$2,'Data Entry - SOF'!K$64,0)</f>
        <v>0</v>
      </c>
      <c r="U843" s="1687">
        <f t="shared" si="155"/>
        <v>3771655.9816835802</v>
      </c>
      <c r="V843" s="2212" t="e">
        <f>IF('Report-M&amp;O2122'!C$18-'Report-SOF2122'!D$55&lt;=0,0,'Report-M&amp;O2122'!C$18-'Report-SOF2122'!D$55)</f>
        <v>#DIV/0!</v>
      </c>
      <c r="W843" s="2452" t="e">
        <f t="shared" si="163"/>
        <v>#DIV/0!</v>
      </c>
      <c r="X843" s="1708">
        <f>IF(A843='Data Entry - SOF'!B$2,'Data Entry - SOF'!M$64,0)</f>
        <v>0</v>
      </c>
      <c r="Y843" s="1371" t="e">
        <f t="shared" si="164"/>
        <v>#DIV/0!</v>
      </c>
      <c r="Z843" s="2212" t="e">
        <f>IF('Report-M&amp;O2223'!C$18-'Report-SOF2223'!D$55&lt;=0,0,'Report-M&amp;O2223'!C$18-'Report-SOF2223'!D$55)</f>
        <v>#DIV/0!</v>
      </c>
      <c r="AA843" s="1708">
        <f>IF(A843='Data Entry - SOF'!B$2,'Data Entry - SOF'!O$64,0)</f>
        <v>0</v>
      </c>
    </row>
    <row r="844" spans="1:27" ht="15.75">
      <c r="A844" s="1076" t="s">
        <v>1084</v>
      </c>
      <c r="B844">
        <v>913646</v>
      </c>
      <c r="C844" s="2452" t="e">
        <f>#REF!+#REF!</f>
        <v>#REF!</v>
      </c>
      <c r="D844" s="2449">
        <f>IF(A844='Data Entry - SOF'!B$2,'Data Entry - SOF'!C$64,0)</f>
        <v>0</v>
      </c>
      <c r="E844" s="2450">
        <f t="shared" si="165"/>
        <v>913646</v>
      </c>
      <c r="F844" s="2212" t="e">
        <f>IF('Report-M&amp;O1718'!C$18-'Report-SOF1718'!D$55&lt;=0,0,'Report-M&amp;O1718'!C$18-'Report-SOF1718'!D$55)</f>
        <v>#DIV/0!</v>
      </c>
      <c r="G844" s="2452" t="e">
        <f t="shared" si="157"/>
        <v>#DIV/0!</v>
      </c>
      <c r="H844" s="2449">
        <f>IF(A844='Data Entry - SOF'!B$2,'Data Entry - SOF'!E$64,0)</f>
        <v>0</v>
      </c>
      <c r="I844" s="1687">
        <f t="shared" si="158"/>
        <v>913646</v>
      </c>
      <c r="J844" s="2212" t="e">
        <f>IF('Report-M&amp;O1819'!C$18-'Report-SOF1819'!D$55&lt;=0,0,'Report-M&amp;O1819'!C$18-'Report-SOF1819'!D$55)</f>
        <v>#DIV/0!</v>
      </c>
      <c r="K844" s="2452" t="e">
        <f t="shared" si="159"/>
        <v>#DIV/0!</v>
      </c>
      <c r="L844" s="2449">
        <f>IF(A844='Data Entry - SOF'!B$2,'Data Entry - SOF'!G$64,0)</f>
        <v>0</v>
      </c>
      <c r="M844" s="1371">
        <f t="shared" si="160"/>
        <v>913646</v>
      </c>
      <c r="N844" s="2212" t="e">
        <f>IF('Report-M&amp;O1920'!C$18-'Report-SOF1920'!D$55&lt;=0,0,'Report-M&amp;O1920'!C$18-'Report-SOF1920'!D$55)</f>
        <v>#DIV/0!</v>
      </c>
      <c r="O844" s="2452" t="e">
        <f t="shared" si="161"/>
        <v>#DIV/0!</v>
      </c>
      <c r="P844" s="2449">
        <f>IF(A844='Data Entry - SOF'!B$2,'Data Entry - SOF'!I$64,0)</f>
        <v>0</v>
      </c>
      <c r="Q844" s="1687">
        <f t="shared" si="156"/>
        <v>913646</v>
      </c>
      <c r="R844" s="2212" t="e">
        <f>IF('Report-M&amp;O2021'!C$18-'Report-SOF2021'!D$55&lt;=0,0,'Report-M&amp;O2021'!C$18-'Report-SOF2021'!D$55)</f>
        <v>#DIV/0!</v>
      </c>
      <c r="S844" s="2452" t="e">
        <f t="shared" si="162"/>
        <v>#DIV/0!</v>
      </c>
      <c r="T844" s="1708">
        <f>IF(A844='Data Entry - SOF'!B$2,'Data Entry - SOF'!K$64,0)</f>
        <v>0</v>
      </c>
      <c r="U844" s="1687">
        <f t="shared" ref="U844:U891" si="166">Q844-T844</f>
        <v>913646</v>
      </c>
      <c r="V844" s="2212" t="e">
        <f>IF('Report-M&amp;O2122'!C$18-'Report-SOF2122'!D$55&lt;=0,0,'Report-M&amp;O2122'!C$18-'Report-SOF2122'!D$55)</f>
        <v>#DIV/0!</v>
      </c>
      <c r="W844" s="2452" t="e">
        <f t="shared" si="163"/>
        <v>#DIV/0!</v>
      </c>
      <c r="X844" s="1708">
        <f>IF(A844='Data Entry - SOF'!B$2,'Data Entry - SOF'!M$64,0)</f>
        <v>0</v>
      </c>
      <c r="Y844" s="1371" t="e">
        <f t="shared" si="164"/>
        <v>#DIV/0!</v>
      </c>
      <c r="Z844" s="2212" t="e">
        <f>IF('Report-M&amp;O2223'!C$18-'Report-SOF2223'!D$55&lt;=0,0,'Report-M&amp;O2223'!C$18-'Report-SOF2223'!D$55)</f>
        <v>#DIV/0!</v>
      </c>
      <c r="AA844" s="1708">
        <f>IF(A844='Data Entry - SOF'!B$2,'Data Entry - SOF'!O$64,0)</f>
        <v>0</v>
      </c>
    </row>
    <row r="845" spans="1:27" ht="15.75">
      <c r="A845" s="1076" t="s">
        <v>1085</v>
      </c>
      <c r="B845">
        <v>546613</v>
      </c>
      <c r="C845" s="2452" t="e">
        <f>#REF!+#REF!</f>
        <v>#REF!</v>
      </c>
      <c r="D845" s="2449">
        <f>IF(A845='Data Entry - SOF'!B$2,'Data Entry - SOF'!C$64,0)</f>
        <v>0</v>
      </c>
      <c r="E845" s="2450">
        <f t="shared" si="165"/>
        <v>546613</v>
      </c>
      <c r="F845" s="2212" t="e">
        <f>IF('Report-M&amp;O1718'!C$18-'Report-SOF1718'!D$55&lt;=0,0,'Report-M&amp;O1718'!C$18-'Report-SOF1718'!D$55)</f>
        <v>#DIV/0!</v>
      </c>
      <c r="G845" s="2452" t="e">
        <f t="shared" si="157"/>
        <v>#DIV/0!</v>
      </c>
      <c r="H845" s="2449">
        <f>IF(A845='Data Entry - SOF'!B$2,'Data Entry - SOF'!E$64,0)</f>
        <v>0</v>
      </c>
      <c r="I845" s="1687">
        <f t="shared" si="158"/>
        <v>546613</v>
      </c>
      <c r="J845" s="2212" t="e">
        <f>IF('Report-M&amp;O1819'!C$18-'Report-SOF1819'!D$55&lt;=0,0,'Report-M&amp;O1819'!C$18-'Report-SOF1819'!D$55)</f>
        <v>#DIV/0!</v>
      </c>
      <c r="K845" s="2452" t="e">
        <f t="shared" si="159"/>
        <v>#DIV/0!</v>
      </c>
      <c r="L845" s="2449">
        <f>IF(A845='Data Entry - SOF'!B$2,'Data Entry - SOF'!G$64,0)</f>
        <v>0</v>
      </c>
      <c r="M845" s="1371">
        <f t="shared" si="160"/>
        <v>546613</v>
      </c>
      <c r="N845" s="2212" t="e">
        <f>IF('Report-M&amp;O1920'!C$18-'Report-SOF1920'!D$55&lt;=0,0,'Report-M&amp;O1920'!C$18-'Report-SOF1920'!D$55)</f>
        <v>#DIV/0!</v>
      </c>
      <c r="O845" s="2452" t="e">
        <f t="shared" si="161"/>
        <v>#DIV/0!</v>
      </c>
      <c r="P845" s="2449">
        <f>IF(A845='Data Entry - SOF'!B$2,'Data Entry - SOF'!I$64,0)</f>
        <v>0</v>
      </c>
      <c r="Q845" s="1687">
        <f t="shared" si="156"/>
        <v>546613</v>
      </c>
      <c r="R845" s="2212" t="e">
        <f>IF('Report-M&amp;O2021'!C$18-'Report-SOF2021'!D$55&lt;=0,0,'Report-M&amp;O2021'!C$18-'Report-SOF2021'!D$55)</f>
        <v>#DIV/0!</v>
      </c>
      <c r="S845" s="2452" t="e">
        <f t="shared" si="162"/>
        <v>#DIV/0!</v>
      </c>
      <c r="T845" s="1708">
        <f>IF(A845='Data Entry - SOF'!B$2,'Data Entry - SOF'!K$64,0)</f>
        <v>0</v>
      </c>
      <c r="U845" s="1687">
        <f t="shared" si="166"/>
        <v>546613</v>
      </c>
      <c r="V845" s="2212" t="e">
        <f>IF('Report-M&amp;O2122'!C$18-'Report-SOF2122'!D$55&lt;=0,0,'Report-M&amp;O2122'!C$18-'Report-SOF2122'!D$55)</f>
        <v>#DIV/0!</v>
      </c>
      <c r="W845" s="2452" t="e">
        <f t="shared" si="163"/>
        <v>#DIV/0!</v>
      </c>
      <c r="X845" s="1708">
        <f>IF(A845='Data Entry - SOF'!B$2,'Data Entry - SOF'!M$64,0)</f>
        <v>0</v>
      </c>
      <c r="Y845" s="1371" t="e">
        <f t="shared" si="164"/>
        <v>#DIV/0!</v>
      </c>
      <c r="Z845" s="2212" t="e">
        <f>IF('Report-M&amp;O2223'!C$18-'Report-SOF2223'!D$55&lt;=0,0,'Report-M&amp;O2223'!C$18-'Report-SOF2223'!D$55)</f>
        <v>#DIV/0!</v>
      </c>
      <c r="AA845" s="1708">
        <f>IF(A845='Data Entry - SOF'!B$2,'Data Entry - SOF'!O$64,0)</f>
        <v>0</v>
      </c>
    </row>
    <row r="846" spans="1:27" ht="15.75">
      <c r="A846" s="1076" t="s">
        <v>1086</v>
      </c>
      <c r="B846">
        <v>3243274</v>
      </c>
      <c r="C846" s="2452" t="e">
        <f>#REF!+#REF!</f>
        <v>#REF!</v>
      </c>
      <c r="D846" s="2449">
        <f>IF(A846='Data Entry - SOF'!B$2,'Data Entry - SOF'!C$64,0)</f>
        <v>0</v>
      </c>
      <c r="E846" s="2450">
        <f t="shared" si="165"/>
        <v>3243274</v>
      </c>
      <c r="F846" s="2212" t="e">
        <f>IF('Report-M&amp;O1718'!C$18-'Report-SOF1718'!D$55&lt;=0,0,'Report-M&amp;O1718'!C$18-'Report-SOF1718'!D$55)</f>
        <v>#DIV/0!</v>
      </c>
      <c r="G846" s="2452" t="e">
        <f t="shared" si="157"/>
        <v>#DIV/0!</v>
      </c>
      <c r="H846" s="2449">
        <f>IF(A846='Data Entry - SOF'!B$2,'Data Entry - SOF'!E$64,0)</f>
        <v>0</v>
      </c>
      <c r="I846" s="1687">
        <f t="shared" si="158"/>
        <v>3243274</v>
      </c>
      <c r="J846" s="2212" t="e">
        <f>IF('Report-M&amp;O1819'!C$18-'Report-SOF1819'!D$55&lt;=0,0,'Report-M&amp;O1819'!C$18-'Report-SOF1819'!D$55)</f>
        <v>#DIV/0!</v>
      </c>
      <c r="K846" s="2452" t="e">
        <f t="shared" si="159"/>
        <v>#DIV/0!</v>
      </c>
      <c r="L846" s="2449">
        <f>IF(A846='Data Entry - SOF'!B$2,'Data Entry - SOF'!G$64,0)</f>
        <v>0</v>
      </c>
      <c r="M846" s="1371">
        <f t="shared" si="160"/>
        <v>3243274</v>
      </c>
      <c r="N846" s="2212" t="e">
        <f>IF('Report-M&amp;O1920'!C$18-'Report-SOF1920'!D$55&lt;=0,0,'Report-M&amp;O1920'!C$18-'Report-SOF1920'!D$55)</f>
        <v>#DIV/0!</v>
      </c>
      <c r="O846" s="2452" t="e">
        <f t="shared" si="161"/>
        <v>#DIV/0!</v>
      </c>
      <c r="P846" s="2449">
        <f>IF(A846='Data Entry - SOF'!B$2,'Data Entry - SOF'!I$64,0)</f>
        <v>0</v>
      </c>
      <c r="Q846" s="1687">
        <f t="shared" si="156"/>
        <v>3243274</v>
      </c>
      <c r="R846" s="2212" t="e">
        <f>IF('Report-M&amp;O2021'!C$18-'Report-SOF2021'!D$55&lt;=0,0,'Report-M&amp;O2021'!C$18-'Report-SOF2021'!D$55)</f>
        <v>#DIV/0!</v>
      </c>
      <c r="S846" s="2452" t="e">
        <f t="shared" si="162"/>
        <v>#DIV/0!</v>
      </c>
      <c r="T846" s="1708">
        <f>IF(A846='Data Entry - SOF'!B$2,'Data Entry - SOF'!K$64,0)</f>
        <v>0</v>
      </c>
      <c r="U846" s="1687">
        <f t="shared" si="166"/>
        <v>3243274</v>
      </c>
      <c r="V846" s="2212" t="e">
        <f>IF('Report-M&amp;O2122'!C$18-'Report-SOF2122'!D$55&lt;=0,0,'Report-M&amp;O2122'!C$18-'Report-SOF2122'!D$55)</f>
        <v>#DIV/0!</v>
      </c>
      <c r="W846" s="2452" t="e">
        <f t="shared" si="163"/>
        <v>#DIV/0!</v>
      </c>
      <c r="X846" s="1708">
        <f>IF(A846='Data Entry - SOF'!B$2,'Data Entry - SOF'!M$64,0)</f>
        <v>0</v>
      </c>
      <c r="Y846" s="1371" t="e">
        <f t="shared" si="164"/>
        <v>#DIV/0!</v>
      </c>
      <c r="Z846" s="2212" t="e">
        <f>IF('Report-M&amp;O2223'!C$18-'Report-SOF2223'!D$55&lt;=0,0,'Report-M&amp;O2223'!C$18-'Report-SOF2223'!D$55)</f>
        <v>#DIV/0!</v>
      </c>
      <c r="AA846" s="1708">
        <f>IF(A846='Data Entry - SOF'!B$2,'Data Entry - SOF'!O$64,0)</f>
        <v>0</v>
      </c>
    </row>
    <row r="847" spans="1:27" ht="15.75">
      <c r="A847" s="1076" t="s">
        <v>1245</v>
      </c>
      <c r="B847">
        <v>5045849</v>
      </c>
      <c r="C847" s="2452" t="e">
        <f>#REF!+#REF!</f>
        <v>#REF!</v>
      </c>
      <c r="D847" s="2449">
        <f>IF(A847='Data Entry - SOF'!B$2,'Data Entry - SOF'!C$64,0)</f>
        <v>0</v>
      </c>
      <c r="E847" s="2450">
        <f t="shared" si="165"/>
        <v>5045849</v>
      </c>
      <c r="F847" s="2212" t="e">
        <f>IF('Report-M&amp;O1718'!C$18-'Report-SOF1718'!D$55&lt;=0,0,'Report-M&amp;O1718'!C$18-'Report-SOF1718'!D$55)</f>
        <v>#DIV/0!</v>
      </c>
      <c r="G847" s="2452" t="e">
        <f t="shared" si="157"/>
        <v>#DIV/0!</v>
      </c>
      <c r="H847" s="2449">
        <f>IF(A847='Data Entry - SOF'!B$2,'Data Entry - SOF'!E$64,0)</f>
        <v>0</v>
      </c>
      <c r="I847" s="1687">
        <f t="shared" si="158"/>
        <v>5045849</v>
      </c>
      <c r="J847" s="2212" t="e">
        <f>IF('Report-M&amp;O1819'!C$18-'Report-SOF1819'!D$55&lt;=0,0,'Report-M&amp;O1819'!C$18-'Report-SOF1819'!D$55)</f>
        <v>#DIV/0!</v>
      </c>
      <c r="K847" s="2452" t="e">
        <f t="shared" si="159"/>
        <v>#DIV/0!</v>
      </c>
      <c r="L847" s="2449">
        <f>IF(A847='Data Entry - SOF'!B$2,'Data Entry - SOF'!G$64,0)</f>
        <v>0</v>
      </c>
      <c r="M847" s="1371">
        <f t="shared" si="160"/>
        <v>5045849</v>
      </c>
      <c r="N847" s="2212" t="e">
        <f>IF('Report-M&amp;O1920'!C$18-'Report-SOF1920'!D$55&lt;=0,0,'Report-M&amp;O1920'!C$18-'Report-SOF1920'!D$55)</f>
        <v>#DIV/0!</v>
      </c>
      <c r="O847" s="2452" t="e">
        <f t="shared" si="161"/>
        <v>#DIV/0!</v>
      </c>
      <c r="P847" s="2449">
        <f>IF(A847='Data Entry - SOF'!B$2,'Data Entry - SOF'!I$64,0)</f>
        <v>0</v>
      </c>
      <c r="Q847" s="1687">
        <f t="shared" si="156"/>
        <v>5045849</v>
      </c>
      <c r="R847" s="2212" t="e">
        <f>IF('Report-M&amp;O2021'!C$18-'Report-SOF2021'!D$55&lt;=0,0,'Report-M&amp;O2021'!C$18-'Report-SOF2021'!D$55)</f>
        <v>#DIV/0!</v>
      </c>
      <c r="S847" s="2452" t="e">
        <f t="shared" si="162"/>
        <v>#DIV/0!</v>
      </c>
      <c r="T847" s="1708">
        <f>IF(A847='Data Entry - SOF'!B$2,'Data Entry - SOF'!K$64,0)</f>
        <v>0</v>
      </c>
      <c r="U847" s="1687">
        <f t="shared" si="166"/>
        <v>5045849</v>
      </c>
      <c r="V847" s="2212" t="e">
        <f>IF('Report-M&amp;O2122'!C$18-'Report-SOF2122'!D$55&lt;=0,0,'Report-M&amp;O2122'!C$18-'Report-SOF2122'!D$55)</f>
        <v>#DIV/0!</v>
      </c>
      <c r="W847" s="2452" t="e">
        <f t="shared" si="163"/>
        <v>#DIV/0!</v>
      </c>
      <c r="X847" s="1708">
        <f>IF(A847='Data Entry - SOF'!B$2,'Data Entry - SOF'!M$64,0)</f>
        <v>0</v>
      </c>
      <c r="Y847" s="1371" t="e">
        <f t="shared" si="164"/>
        <v>#DIV/0!</v>
      </c>
      <c r="Z847" s="2212" t="e">
        <f>IF('Report-M&amp;O2223'!C$18-'Report-SOF2223'!D$55&lt;=0,0,'Report-M&amp;O2223'!C$18-'Report-SOF2223'!D$55)</f>
        <v>#DIV/0!</v>
      </c>
      <c r="AA847" s="1708">
        <f>IF(A847='Data Entry - SOF'!B$2,'Data Entry - SOF'!O$64,0)</f>
        <v>0</v>
      </c>
    </row>
    <row r="848" spans="1:27" ht="15.75">
      <c r="A848" s="1076" t="s">
        <v>220</v>
      </c>
      <c r="B848">
        <v>2081898</v>
      </c>
      <c r="C848" s="2452" t="e">
        <f>#REF!+#REF!</f>
        <v>#REF!</v>
      </c>
      <c r="D848" s="2449">
        <f>IF(A848='Data Entry - SOF'!B$2,'Data Entry - SOF'!C$64,0)</f>
        <v>0</v>
      </c>
      <c r="E848" s="2450">
        <f t="shared" si="165"/>
        <v>2081898</v>
      </c>
      <c r="F848" s="2212" t="e">
        <f>IF('Report-M&amp;O1718'!C$18-'Report-SOF1718'!D$55&lt;=0,0,'Report-M&amp;O1718'!C$18-'Report-SOF1718'!D$55)</f>
        <v>#DIV/0!</v>
      </c>
      <c r="G848" s="2452" t="e">
        <f t="shared" si="157"/>
        <v>#DIV/0!</v>
      </c>
      <c r="H848" s="2449">
        <f>IF(A848='Data Entry - SOF'!B$2,'Data Entry - SOF'!E$64,0)</f>
        <v>0</v>
      </c>
      <c r="I848" s="1687">
        <f t="shared" si="158"/>
        <v>2081898</v>
      </c>
      <c r="J848" s="2212" t="e">
        <f>IF('Report-M&amp;O1819'!C$18-'Report-SOF1819'!D$55&lt;=0,0,'Report-M&amp;O1819'!C$18-'Report-SOF1819'!D$55)</f>
        <v>#DIV/0!</v>
      </c>
      <c r="K848" s="2452" t="e">
        <f t="shared" si="159"/>
        <v>#DIV/0!</v>
      </c>
      <c r="L848" s="2449">
        <f>IF(A848='Data Entry - SOF'!B$2,'Data Entry - SOF'!G$64,0)</f>
        <v>0</v>
      </c>
      <c r="M848" s="1371">
        <f t="shared" si="160"/>
        <v>2081898</v>
      </c>
      <c r="N848" s="2212" t="e">
        <f>IF('Report-M&amp;O1920'!C$18-'Report-SOF1920'!D$55&lt;=0,0,'Report-M&amp;O1920'!C$18-'Report-SOF1920'!D$55)</f>
        <v>#DIV/0!</v>
      </c>
      <c r="O848" s="2452" t="e">
        <f t="shared" si="161"/>
        <v>#DIV/0!</v>
      </c>
      <c r="P848" s="2449">
        <f>IF(A848='Data Entry - SOF'!B$2,'Data Entry - SOF'!I$64,0)</f>
        <v>0</v>
      </c>
      <c r="Q848" s="1687">
        <f t="shared" si="156"/>
        <v>2081898</v>
      </c>
      <c r="R848" s="2212" t="e">
        <f>IF('Report-M&amp;O2021'!C$18-'Report-SOF2021'!D$55&lt;=0,0,'Report-M&amp;O2021'!C$18-'Report-SOF2021'!D$55)</f>
        <v>#DIV/0!</v>
      </c>
      <c r="S848" s="2452" t="e">
        <f t="shared" si="162"/>
        <v>#DIV/0!</v>
      </c>
      <c r="T848" s="1708">
        <f>IF(A848='Data Entry - SOF'!B$2,'Data Entry - SOF'!K$64,0)</f>
        <v>0</v>
      </c>
      <c r="U848" s="1687">
        <f t="shared" si="166"/>
        <v>2081898</v>
      </c>
      <c r="V848" s="2212" t="e">
        <f>IF('Report-M&amp;O2122'!C$18-'Report-SOF2122'!D$55&lt;=0,0,'Report-M&amp;O2122'!C$18-'Report-SOF2122'!D$55)</f>
        <v>#DIV/0!</v>
      </c>
      <c r="W848" s="2452" t="e">
        <f t="shared" si="163"/>
        <v>#DIV/0!</v>
      </c>
      <c r="X848" s="1708">
        <f>IF(A848='Data Entry - SOF'!B$2,'Data Entry - SOF'!M$64,0)</f>
        <v>0</v>
      </c>
      <c r="Y848" s="1371" t="e">
        <f t="shared" si="164"/>
        <v>#DIV/0!</v>
      </c>
      <c r="Z848" s="2212" t="e">
        <f>IF('Report-M&amp;O2223'!C$18-'Report-SOF2223'!D$55&lt;=0,0,'Report-M&amp;O2223'!C$18-'Report-SOF2223'!D$55)</f>
        <v>#DIV/0!</v>
      </c>
      <c r="AA848" s="1708">
        <f>IF(A848='Data Entry - SOF'!B$2,'Data Entry - SOF'!O$64,0)</f>
        <v>0</v>
      </c>
    </row>
    <row r="849" spans="1:27" ht="15.75">
      <c r="A849" s="1076" t="s">
        <v>1246</v>
      </c>
      <c r="B849">
        <v>796658</v>
      </c>
      <c r="C849" s="2452" t="e">
        <f>#REF!+#REF!</f>
        <v>#REF!</v>
      </c>
      <c r="D849" s="2449">
        <f>IF(A849='Data Entry - SOF'!B$2,'Data Entry - SOF'!C$64,0)</f>
        <v>0</v>
      </c>
      <c r="E849" s="2450">
        <f t="shared" si="165"/>
        <v>796658</v>
      </c>
      <c r="F849" s="2212" t="e">
        <f>IF('Report-M&amp;O1718'!C$18-'Report-SOF1718'!D$55&lt;=0,0,'Report-M&amp;O1718'!C$18-'Report-SOF1718'!D$55)</f>
        <v>#DIV/0!</v>
      </c>
      <c r="G849" s="2452" t="e">
        <f t="shared" si="157"/>
        <v>#DIV/0!</v>
      </c>
      <c r="H849" s="2449">
        <f>IF(A849='Data Entry - SOF'!B$2,'Data Entry - SOF'!E$64,0)</f>
        <v>0</v>
      </c>
      <c r="I849" s="1687">
        <f t="shared" si="158"/>
        <v>796658</v>
      </c>
      <c r="J849" s="2212" t="e">
        <f>IF('Report-M&amp;O1819'!C$18-'Report-SOF1819'!D$55&lt;=0,0,'Report-M&amp;O1819'!C$18-'Report-SOF1819'!D$55)</f>
        <v>#DIV/0!</v>
      </c>
      <c r="K849" s="2452" t="e">
        <f t="shared" si="159"/>
        <v>#DIV/0!</v>
      </c>
      <c r="L849" s="2449">
        <f>IF(A849='Data Entry - SOF'!B$2,'Data Entry - SOF'!G$64,0)</f>
        <v>0</v>
      </c>
      <c r="M849" s="1371">
        <f t="shared" si="160"/>
        <v>796658</v>
      </c>
      <c r="N849" s="2212" t="e">
        <f>IF('Report-M&amp;O1920'!C$18-'Report-SOF1920'!D$55&lt;=0,0,'Report-M&amp;O1920'!C$18-'Report-SOF1920'!D$55)</f>
        <v>#DIV/0!</v>
      </c>
      <c r="O849" s="2452" t="e">
        <f t="shared" si="161"/>
        <v>#DIV/0!</v>
      </c>
      <c r="P849" s="2449">
        <f>IF(A849='Data Entry - SOF'!B$2,'Data Entry - SOF'!I$64,0)</f>
        <v>0</v>
      </c>
      <c r="Q849" s="1687">
        <f t="shared" si="156"/>
        <v>796658</v>
      </c>
      <c r="R849" s="2212" t="e">
        <f>IF('Report-M&amp;O2021'!C$18-'Report-SOF2021'!D$55&lt;=0,0,'Report-M&amp;O2021'!C$18-'Report-SOF2021'!D$55)</f>
        <v>#DIV/0!</v>
      </c>
      <c r="S849" s="2452" t="e">
        <f t="shared" si="162"/>
        <v>#DIV/0!</v>
      </c>
      <c r="T849" s="1708">
        <f>IF(A849='Data Entry - SOF'!B$2,'Data Entry - SOF'!K$64,0)</f>
        <v>0</v>
      </c>
      <c r="U849" s="1687">
        <f t="shared" si="166"/>
        <v>796658</v>
      </c>
      <c r="V849" s="2212" t="e">
        <f>IF('Report-M&amp;O2122'!C$18-'Report-SOF2122'!D$55&lt;=0,0,'Report-M&amp;O2122'!C$18-'Report-SOF2122'!D$55)</f>
        <v>#DIV/0!</v>
      </c>
      <c r="W849" s="2452" t="e">
        <f t="shared" si="163"/>
        <v>#DIV/0!</v>
      </c>
      <c r="X849" s="1708">
        <f>IF(A849='Data Entry - SOF'!B$2,'Data Entry - SOF'!M$64,0)</f>
        <v>0</v>
      </c>
      <c r="Y849" s="1371" t="e">
        <f t="shared" si="164"/>
        <v>#DIV/0!</v>
      </c>
      <c r="Z849" s="2212" t="e">
        <f>IF('Report-M&amp;O2223'!C$18-'Report-SOF2223'!D$55&lt;=0,0,'Report-M&amp;O2223'!C$18-'Report-SOF2223'!D$55)</f>
        <v>#DIV/0!</v>
      </c>
      <c r="AA849" s="1708">
        <f>IF(A849='Data Entry - SOF'!B$2,'Data Entry - SOF'!O$64,0)</f>
        <v>0</v>
      </c>
    </row>
    <row r="850" spans="1:27" ht="15.75">
      <c r="A850" s="1076" t="s">
        <v>1247</v>
      </c>
      <c r="B850">
        <v>1166338</v>
      </c>
      <c r="C850" s="2452" t="e">
        <f>#REF!+#REF!</f>
        <v>#REF!</v>
      </c>
      <c r="D850" s="2449">
        <f>IF(A850='Data Entry - SOF'!B$2,'Data Entry - SOF'!C$64,0)</f>
        <v>0</v>
      </c>
      <c r="E850" s="2450">
        <f t="shared" si="165"/>
        <v>1166338</v>
      </c>
      <c r="F850" s="2212" t="e">
        <f>IF('Report-M&amp;O1718'!C$18-'Report-SOF1718'!D$55&lt;=0,0,'Report-M&amp;O1718'!C$18-'Report-SOF1718'!D$55)</f>
        <v>#DIV/0!</v>
      </c>
      <c r="G850" s="2452" t="e">
        <f t="shared" si="157"/>
        <v>#DIV/0!</v>
      </c>
      <c r="H850" s="2449">
        <f>IF(A850='Data Entry - SOF'!B$2,'Data Entry - SOF'!E$64,0)</f>
        <v>0</v>
      </c>
      <c r="I850" s="1687">
        <f t="shared" si="158"/>
        <v>1166338</v>
      </c>
      <c r="J850" s="2212" t="e">
        <f>IF('Report-M&amp;O1819'!C$18-'Report-SOF1819'!D$55&lt;=0,0,'Report-M&amp;O1819'!C$18-'Report-SOF1819'!D$55)</f>
        <v>#DIV/0!</v>
      </c>
      <c r="K850" s="2452" t="e">
        <f t="shared" si="159"/>
        <v>#DIV/0!</v>
      </c>
      <c r="L850" s="2449">
        <f>IF(A850='Data Entry - SOF'!B$2,'Data Entry - SOF'!G$64,0)</f>
        <v>0</v>
      </c>
      <c r="M850" s="1371">
        <f t="shared" si="160"/>
        <v>1166338</v>
      </c>
      <c r="N850" s="2212" t="e">
        <f>IF('Report-M&amp;O1920'!C$18-'Report-SOF1920'!D$55&lt;=0,0,'Report-M&amp;O1920'!C$18-'Report-SOF1920'!D$55)</f>
        <v>#DIV/0!</v>
      </c>
      <c r="O850" s="2452" t="e">
        <f t="shared" si="161"/>
        <v>#DIV/0!</v>
      </c>
      <c r="P850" s="2449">
        <f>IF(A850='Data Entry - SOF'!B$2,'Data Entry - SOF'!I$64,0)</f>
        <v>0</v>
      </c>
      <c r="Q850" s="1687">
        <f t="shared" si="156"/>
        <v>1166338</v>
      </c>
      <c r="R850" s="2212" t="e">
        <f>IF('Report-M&amp;O2021'!C$18-'Report-SOF2021'!D$55&lt;=0,0,'Report-M&amp;O2021'!C$18-'Report-SOF2021'!D$55)</f>
        <v>#DIV/0!</v>
      </c>
      <c r="S850" s="2452" t="e">
        <f t="shared" si="162"/>
        <v>#DIV/0!</v>
      </c>
      <c r="T850" s="1708">
        <f>IF(A850='Data Entry - SOF'!B$2,'Data Entry - SOF'!K$64,0)</f>
        <v>0</v>
      </c>
      <c r="U850" s="1687">
        <f t="shared" si="166"/>
        <v>1166338</v>
      </c>
      <c r="V850" s="2212" t="e">
        <f>IF('Report-M&amp;O2122'!C$18-'Report-SOF2122'!D$55&lt;=0,0,'Report-M&amp;O2122'!C$18-'Report-SOF2122'!D$55)</f>
        <v>#DIV/0!</v>
      </c>
      <c r="W850" s="2452" t="e">
        <f t="shared" si="163"/>
        <v>#DIV/0!</v>
      </c>
      <c r="X850" s="1708">
        <f>IF(A850='Data Entry - SOF'!B$2,'Data Entry - SOF'!M$64,0)</f>
        <v>0</v>
      </c>
      <c r="Y850" s="1371" t="e">
        <f t="shared" si="164"/>
        <v>#DIV/0!</v>
      </c>
      <c r="Z850" s="2212" t="e">
        <f>IF('Report-M&amp;O2223'!C$18-'Report-SOF2223'!D$55&lt;=0,0,'Report-M&amp;O2223'!C$18-'Report-SOF2223'!D$55)</f>
        <v>#DIV/0!</v>
      </c>
      <c r="AA850" s="1708">
        <f>IF(A850='Data Entry - SOF'!B$2,'Data Entry - SOF'!O$64,0)</f>
        <v>0</v>
      </c>
    </row>
    <row r="851" spans="1:27" ht="15.75">
      <c r="A851" s="1076" t="s">
        <v>1407</v>
      </c>
      <c r="B851">
        <v>936110</v>
      </c>
      <c r="C851" s="2452" t="e">
        <f>#REF!+#REF!</f>
        <v>#REF!</v>
      </c>
      <c r="D851" s="2449">
        <f>IF(A851='Data Entry - SOF'!B$2,'Data Entry - SOF'!C$64,0)</f>
        <v>0</v>
      </c>
      <c r="E851" s="2450">
        <f t="shared" si="165"/>
        <v>936110</v>
      </c>
      <c r="F851" s="2212" t="e">
        <f>IF('Report-M&amp;O1718'!C$18-'Report-SOF1718'!D$55&lt;=0,0,'Report-M&amp;O1718'!C$18-'Report-SOF1718'!D$55)</f>
        <v>#DIV/0!</v>
      </c>
      <c r="G851" s="2452" t="e">
        <f t="shared" si="157"/>
        <v>#DIV/0!</v>
      </c>
      <c r="H851" s="2449">
        <f>IF(A851='Data Entry - SOF'!B$2,'Data Entry - SOF'!E$64,0)</f>
        <v>0</v>
      </c>
      <c r="I851" s="1687">
        <f t="shared" si="158"/>
        <v>936110</v>
      </c>
      <c r="J851" s="2212" t="e">
        <f>IF('Report-M&amp;O1819'!C$18-'Report-SOF1819'!D$55&lt;=0,0,'Report-M&amp;O1819'!C$18-'Report-SOF1819'!D$55)</f>
        <v>#DIV/0!</v>
      </c>
      <c r="K851" s="2452" t="e">
        <f t="shared" si="159"/>
        <v>#DIV/0!</v>
      </c>
      <c r="L851" s="2449">
        <f>IF(A851='Data Entry - SOF'!B$2,'Data Entry - SOF'!G$64,0)</f>
        <v>0</v>
      </c>
      <c r="M851" s="1371">
        <f t="shared" si="160"/>
        <v>936110</v>
      </c>
      <c r="N851" s="2212" t="e">
        <f>IF('Report-M&amp;O1920'!C$18-'Report-SOF1920'!D$55&lt;=0,0,'Report-M&amp;O1920'!C$18-'Report-SOF1920'!D$55)</f>
        <v>#DIV/0!</v>
      </c>
      <c r="O851" s="2452" t="e">
        <f t="shared" si="161"/>
        <v>#DIV/0!</v>
      </c>
      <c r="P851" s="2449">
        <f>IF(A851='Data Entry - SOF'!B$2,'Data Entry - SOF'!I$64,0)</f>
        <v>0</v>
      </c>
      <c r="Q851" s="1687">
        <f t="shared" si="156"/>
        <v>936110</v>
      </c>
      <c r="R851" s="2212" t="e">
        <f>IF('Report-M&amp;O2021'!C$18-'Report-SOF2021'!D$55&lt;=0,0,'Report-M&amp;O2021'!C$18-'Report-SOF2021'!D$55)</f>
        <v>#DIV/0!</v>
      </c>
      <c r="S851" s="2452" t="e">
        <f t="shared" si="162"/>
        <v>#DIV/0!</v>
      </c>
      <c r="T851" s="1708">
        <f>IF(A851='Data Entry - SOF'!B$2,'Data Entry - SOF'!K$64,0)</f>
        <v>0</v>
      </c>
      <c r="U851" s="1687">
        <f t="shared" si="166"/>
        <v>936110</v>
      </c>
      <c r="V851" s="2212" t="e">
        <f>IF('Report-M&amp;O2122'!C$18-'Report-SOF2122'!D$55&lt;=0,0,'Report-M&amp;O2122'!C$18-'Report-SOF2122'!D$55)</f>
        <v>#DIV/0!</v>
      </c>
      <c r="W851" s="2452" t="e">
        <f t="shared" si="163"/>
        <v>#DIV/0!</v>
      </c>
      <c r="X851" s="1708">
        <f>IF(A851='Data Entry - SOF'!B$2,'Data Entry - SOF'!M$64,0)</f>
        <v>0</v>
      </c>
      <c r="Y851" s="1371" t="e">
        <f t="shared" si="164"/>
        <v>#DIV/0!</v>
      </c>
      <c r="Z851" s="2212" t="e">
        <f>IF('Report-M&amp;O2223'!C$18-'Report-SOF2223'!D$55&lt;=0,0,'Report-M&amp;O2223'!C$18-'Report-SOF2223'!D$55)</f>
        <v>#DIV/0!</v>
      </c>
      <c r="AA851" s="1708">
        <f>IF(A851='Data Entry - SOF'!B$2,'Data Entry - SOF'!O$64,0)</f>
        <v>0</v>
      </c>
    </row>
    <row r="852" spans="1:27" ht="15.75">
      <c r="A852" s="1076" t="s">
        <v>1408</v>
      </c>
      <c r="B852">
        <v>2041666</v>
      </c>
      <c r="C852" s="2452" t="e">
        <f>#REF!+#REF!</f>
        <v>#REF!</v>
      </c>
      <c r="D852" s="2449">
        <f>IF(A852='Data Entry - SOF'!B$2,'Data Entry - SOF'!C$64,0)</f>
        <v>0</v>
      </c>
      <c r="E852" s="2450">
        <f t="shared" si="165"/>
        <v>2041666</v>
      </c>
      <c r="F852" s="2212" t="e">
        <f>IF('Report-M&amp;O1718'!C$18-'Report-SOF1718'!D$55&lt;=0,0,'Report-M&amp;O1718'!C$18-'Report-SOF1718'!D$55)</f>
        <v>#DIV/0!</v>
      </c>
      <c r="G852" s="2452" t="e">
        <f t="shared" si="157"/>
        <v>#DIV/0!</v>
      </c>
      <c r="H852" s="2449">
        <f>IF(A852='Data Entry - SOF'!B$2,'Data Entry - SOF'!E$64,0)</f>
        <v>0</v>
      </c>
      <c r="I852" s="1687">
        <f t="shared" si="158"/>
        <v>2041666</v>
      </c>
      <c r="J852" s="2212" t="e">
        <f>IF('Report-M&amp;O1819'!C$18-'Report-SOF1819'!D$55&lt;=0,0,'Report-M&amp;O1819'!C$18-'Report-SOF1819'!D$55)</f>
        <v>#DIV/0!</v>
      </c>
      <c r="K852" s="2452" t="e">
        <f t="shared" si="159"/>
        <v>#DIV/0!</v>
      </c>
      <c r="L852" s="2449">
        <f>IF(A852='Data Entry - SOF'!B$2,'Data Entry - SOF'!G$64,0)</f>
        <v>0</v>
      </c>
      <c r="M852" s="1371">
        <f t="shared" si="160"/>
        <v>2041666</v>
      </c>
      <c r="N852" s="2212" t="e">
        <f>IF('Report-M&amp;O1920'!C$18-'Report-SOF1920'!D$55&lt;=0,0,'Report-M&amp;O1920'!C$18-'Report-SOF1920'!D$55)</f>
        <v>#DIV/0!</v>
      </c>
      <c r="O852" s="2452" t="e">
        <f t="shared" si="161"/>
        <v>#DIV/0!</v>
      </c>
      <c r="P852" s="2449">
        <f>IF(A852='Data Entry - SOF'!B$2,'Data Entry - SOF'!I$64,0)</f>
        <v>0</v>
      </c>
      <c r="Q852" s="1687">
        <f t="shared" si="156"/>
        <v>2041666</v>
      </c>
      <c r="R852" s="2212" t="e">
        <f>IF('Report-M&amp;O2021'!C$18-'Report-SOF2021'!D$55&lt;=0,0,'Report-M&amp;O2021'!C$18-'Report-SOF2021'!D$55)</f>
        <v>#DIV/0!</v>
      </c>
      <c r="S852" s="2452" t="e">
        <f t="shared" si="162"/>
        <v>#DIV/0!</v>
      </c>
      <c r="T852" s="1708">
        <f>IF(A852='Data Entry - SOF'!B$2,'Data Entry - SOF'!K$64,0)</f>
        <v>0</v>
      </c>
      <c r="U852" s="1687">
        <f t="shared" si="166"/>
        <v>2041666</v>
      </c>
      <c r="V852" s="2212" t="e">
        <f>IF('Report-M&amp;O2122'!C$18-'Report-SOF2122'!D$55&lt;=0,0,'Report-M&amp;O2122'!C$18-'Report-SOF2122'!D$55)</f>
        <v>#DIV/0!</v>
      </c>
      <c r="W852" s="2452" t="e">
        <f t="shared" si="163"/>
        <v>#DIV/0!</v>
      </c>
      <c r="X852" s="1708">
        <f>IF(A852='Data Entry - SOF'!B$2,'Data Entry - SOF'!M$64,0)</f>
        <v>0</v>
      </c>
      <c r="Y852" s="1371" t="e">
        <f t="shared" si="164"/>
        <v>#DIV/0!</v>
      </c>
      <c r="Z852" s="2212" t="e">
        <f>IF('Report-M&amp;O2223'!C$18-'Report-SOF2223'!D$55&lt;=0,0,'Report-M&amp;O2223'!C$18-'Report-SOF2223'!D$55)</f>
        <v>#DIV/0!</v>
      </c>
      <c r="AA852" s="1708">
        <f>IF(A852='Data Entry - SOF'!B$2,'Data Entry - SOF'!O$64,0)</f>
        <v>0</v>
      </c>
    </row>
    <row r="853" spans="1:27" ht="15.75">
      <c r="A853" s="1076" t="s">
        <v>2040</v>
      </c>
      <c r="B853">
        <v>1593651</v>
      </c>
      <c r="C853" s="2452" t="e">
        <f>#REF!+#REF!</f>
        <v>#REF!</v>
      </c>
      <c r="D853" s="2449">
        <f>IF(A853='Data Entry - SOF'!B$2,'Data Entry - SOF'!C$64,0)</f>
        <v>0</v>
      </c>
      <c r="E853" s="2450">
        <f t="shared" si="165"/>
        <v>1593651</v>
      </c>
      <c r="F853" s="2212" t="e">
        <f>IF('Report-M&amp;O1718'!C$18-'Report-SOF1718'!D$55&lt;=0,0,'Report-M&amp;O1718'!C$18-'Report-SOF1718'!D$55)</f>
        <v>#DIV/0!</v>
      </c>
      <c r="G853" s="2452" t="e">
        <f t="shared" si="157"/>
        <v>#DIV/0!</v>
      </c>
      <c r="H853" s="2449">
        <f>IF(A853='Data Entry - SOF'!B$2,'Data Entry - SOF'!E$64,0)</f>
        <v>0</v>
      </c>
      <c r="I853" s="1687">
        <f t="shared" si="158"/>
        <v>1593651</v>
      </c>
      <c r="J853" s="2212" t="e">
        <f>IF('Report-M&amp;O1819'!C$18-'Report-SOF1819'!D$55&lt;=0,0,'Report-M&amp;O1819'!C$18-'Report-SOF1819'!D$55)</f>
        <v>#DIV/0!</v>
      </c>
      <c r="K853" s="2452" t="e">
        <f t="shared" si="159"/>
        <v>#DIV/0!</v>
      </c>
      <c r="L853" s="2449">
        <f>IF(A853='Data Entry - SOF'!B$2,'Data Entry - SOF'!G$64,0)</f>
        <v>0</v>
      </c>
      <c r="M853" s="1371">
        <f t="shared" si="160"/>
        <v>1593651</v>
      </c>
      <c r="N853" s="2212" t="e">
        <f>IF('Report-M&amp;O1920'!C$18-'Report-SOF1920'!D$55&lt;=0,0,'Report-M&amp;O1920'!C$18-'Report-SOF1920'!D$55)</f>
        <v>#DIV/0!</v>
      </c>
      <c r="O853" s="2452" t="e">
        <f t="shared" si="161"/>
        <v>#DIV/0!</v>
      </c>
      <c r="P853" s="2449">
        <f>IF(A853='Data Entry - SOF'!B$2,'Data Entry - SOF'!I$64,0)</f>
        <v>0</v>
      </c>
      <c r="Q853" s="1687">
        <f t="shared" si="156"/>
        <v>1593651</v>
      </c>
      <c r="R853" s="2212" t="e">
        <f>IF('Report-M&amp;O2021'!C$18-'Report-SOF2021'!D$55&lt;=0,0,'Report-M&amp;O2021'!C$18-'Report-SOF2021'!D$55)</f>
        <v>#DIV/0!</v>
      </c>
      <c r="S853" s="2452" t="e">
        <f t="shared" si="162"/>
        <v>#DIV/0!</v>
      </c>
      <c r="T853" s="1708">
        <f>IF(A853='Data Entry - SOF'!B$2,'Data Entry - SOF'!K$64,0)</f>
        <v>0</v>
      </c>
      <c r="U853" s="1687">
        <f t="shared" si="166"/>
        <v>1593651</v>
      </c>
      <c r="V853" s="2212" t="e">
        <f>IF('Report-M&amp;O2122'!C$18-'Report-SOF2122'!D$55&lt;=0,0,'Report-M&amp;O2122'!C$18-'Report-SOF2122'!D$55)</f>
        <v>#DIV/0!</v>
      </c>
      <c r="W853" s="2452" t="e">
        <f t="shared" si="163"/>
        <v>#DIV/0!</v>
      </c>
      <c r="X853" s="1708">
        <f>IF(A853='Data Entry - SOF'!B$2,'Data Entry - SOF'!M$64,0)</f>
        <v>0</v>
      </c>
      <c r="Y853" s="1371" t="e">
        <f t="shared" si="164"/>
        <v>#DIV/0!</v>
      </c>
      <c r="Z853" s="2212" t="e">
        <f>IF('Report-M&amp;O2223'!C$18-'Report-SOF2223'!D$55&lt;=0,0,'Report-M&amp;O2223'!C$18-'Report-SOF2223'!D$55)</f>
        <v>#DIV/0!</v>
      </c>
      <c r="AA853" s="1708">
        <f>IF(A853='Data Entry - SOF'!B$2,'Data Entry - SOF'!O$64,0)</f>
        <v>0</v>
      </c>
    </row>
    <row r="854" spans="1:27" ht="15.75">
      <c r="A854" s="1076" t="s">
        <v>304</v>
      </c>
      <c r="B854">
        <v>1691902</v>
      </c>
      <c r="C854" s="2452" t="e">
        <f>#REF!+#REF!</f>
        <v>#REF!</v>
      </c>
      <c r="D854" s="2449">
        <f>IF(A854='Data Entry - SOF'!B$2,'Data Entry - SOF'!C$64,0)</f>
        <v>0</v>
      </c>
      <c r="E854" s="2450">
        <f t="shared" si="165"/>
        <v>1691902</v>
      </c>
      <c r="F854" s="2212" t="e">
        <f>IF('Report-M&amp;O1718'!C$18-'Report-SOF1718'!D$55&lt;=0,0,'Report-M&amp;O1718'!C$18-'Report-SOF1718'!D$55)</f>
        <v>#DIV/0!</v>
      </c>
      <c r="G854" s="2452" t="e">
        <f t="shared" si="157"/>
        <v>#DIV/0!</v>
      </c>
      <c r="H854" s="2449">
        <f>IF(A854='Data Entry - SOF'!B$2,'Data Entry - SOF'!E$64,0)</f>
        <v>0</v>
      </c>
      <c r="I854" s="1687">
        <f t="shared" si="158"/>
        <v>1691902</v>
      </c>
      <c r="J854" s="2212" t="e">
        <f>IF('Report-M&amp;O1819'!C$18-'Report-SOF1819'!D$55&lt;=0,0,'Report-M&amp;O1819'!C$18-'Report-SOF1819'!D$55)</f>
        <v>#DIV/0!</v>
      </c>
      <c r="K854" s="2452" t="e">
        <f t="shared" si="159"/>
        <v>#DIV/0!</v>
      </c>
      <c r="L854" s="2449">
        <f>IF(A854='Data Entry - SOF'!B$2,'Data Entry - SOF'!G$64,0)</f>
        <v>0</v>
      </c>
      <c r="M854" s="1371">
        <f t="shared" si="160"/>
        <v>1691902</v>
      </c>
      <c r="N854" s="2212" t="e">
        <f>IF('Report-M&amp;O1920'!C$18-'Report-SOF1920'!D$55&lt;=0,0,'Report-M&amp;O1920'!C$18-'Report-SOF1920'!D$55)</f>
        <v>#DIV/0!</v>
      </c>
      <c r="O854" s="2452" t="e">
        <f t="shared" si="161"/>
        <v>#DIV/0!</v>
      </c>
      <c r="P854" s="2449">
        <f>IF(A854='Data Entry - SOF'!B$2,'Data Entry - SOF'!I$64,0)</f>
        <v>0</v>
      </c>
      <c r="Q854" s="1687">
        <f t="shared" si="156"/>
        <v>1691902</v>
      </c>
      <c r="R854" s="2212" t="e">
        <f>IF('Report-M&amp;O2021'!C$18-'Report-SOF2021'!D$55&lt;=0,0,'Report-M&amp;O2021'!C$18-'Report-SOF2021'!D$55)</f>
        <v>#DIV/0!</v>
      </c>
      <c r="S854" s="2452" t="e">
        <f t="shared" si="162"/>
        <v>#DIV/0!</v>
      </c>
      <c r="T854" s="1708">
        <f>IF(A854='Data Entry - SOF'!B$2,'Data Entry - SOF'!K$64,0)</f>
        <v>0</v>
      </c>
      <c r="U854" s="1687">
        <f t="shared" si="166"/>
        <v>1691902</v>
      </c>
      <c r="V854" s="2212" t="e">
        <f>IF('Report-M&amp;O2122'!C$18-'Report-SOF2122'!D$55&lt;=0,0,'Report-M&amp;O2122'!C$18-'Report-SOF2122'!D$55)</f>
        <v>#DIV/0!</v>
      </c>
      <c r="W854" s="2452" t="e">
        <f t="shared" si="163"/>
        <v>#DIV/0!</v>
      </c>
      <c r="X854" s="1708">
        <f>IF(A854='Data Entry - SOF'!B$2,'Data Entry - SOF'!M$64,0)</f>
        <v>0</v>
      </c>
      <c r="Y854" s="1371" t="e">
        <f t="shared" si="164"/>
        <v>#DIV/0!</v>
      </c>
      <c r="Z854" s="2212" t="e">
        <f>IF('Report-M&amp;O2223'!C$18-'Report-SOF2223'!D$55&lt;=0,0,'Report-M&amp;O2223'!C$18-'Report-SOF2223'!D$55)</f>
        <v>#DIV/0!</v>
      </c>
      <c r="AA854" s="1708">
        <f>IF(A854='Data Entry - SOF'!B$2,'Data Entry - SOF'!O$64,0)</f>
        <v>0</v>
      </c>
    </row>
    <row r="855" spans="1:27" ht="15.75">
      <c r="A855" s="1076" t="s">
        <v>1943</v>
      </c>
      <c r="B855">
        <v>13901191</v>
      </c>
      <c r="C855" s="2452" t="e">
        <f>#REF!+#REF!</f>
        <v>#REF!</v>
      </c>
      <c r="D855" s="2449">
        <f>IF(A855='Data Entry - SOF'!B$2,'Data Entry - SOF'!C$64,0)</f>
        <v>0</v>
      </c>
      <c r="E855" s="2450">
        <f t="shared" si="165"/>
        <v>13901191</v>
      </c>
      <c r="F855" s="2212" t="e">
        <f>IF('Report-M&amp;O1718'!C$18-'Report-SOF1718'!D$55&lt;=0,0,'Report-M&amp;O1718'!C$18-'Report-SOF1718'!D$55)</f>
        <v>#DIV/0!</v>
      </c>
      <c r="G855" s="2452" t="e">
        <f t="shared" si="157"/>
        <v>#DIV/0!</v>
      </c>
      <c r="H855" s="2449">
        <f>IF(A855='Data Entry - SOF'!B$2,'Data Entry - SOF'!E$64,0)</f>
        <v>0</v>
      </c>
      <c r="I855" s="1687">
        <f t="shared" si="158"/>
        <v>13901191</v>
      </c>
      <c r="J855" s="2212" t="e">
        <f>IF('Report-M&amp;O1819'!C$18-'Report-SOF1819'!D$55&lt;=0,0,'Report-M&amp;O1819'!C$18-'Report-SOF1819'!D$55)</f>
        <v>#DIV/0!</v>
      </c>
      <c r="K855" s="2452" t="e">
        <f t="shared" si="159"/>
        <v>#DIV/0!</v>
      </c>
      <c r="L855" s="2449">
        <f>IF(A855='Data Entry - SOF'!B$2,'Data Entry - SOF'!G$64,0)</f>
        <v>0</v>
      </c>
      <c r="M855" s="1371">
        <f t="shared" si="160"/>
        <v>13901191</v>
      </c>
      <c r="N855" s="2212" t="e">
        <f>IF('Report-M&amp;O1920'!C$18-'Report-SOF1920'!D$55&lt;=0,0,'Report-M&amp;O1920'!C$18-'Report-SOF1920'!D$55)</f>
        <v>#DIV/0!</v>
      </c>
      <c r="O855" s="2452" t="e">
        <f t="shared" si="161"/>
        <v>#DIV/0!</v>
      </c>
      <c r="P855" s="2449">
        <f>IF(A855='Data Entry - SOF'!B$2,'Data Entry - SOF'!I$64,0)</f>
        <v>0</v>
      </c>
      <c r="Q855" s="1687">
        <f t="shared" si="156"/>
        <v>13901191</v>
      </c>
      <c r="R855" s="2212" t="e">
        <f>IF('Report-M&amp;O2021'!C$18-'Report-SOF2021'!D$55&lt;=0,0,'Report-M&amp;O2021'!C$18-'Report-SOF2021'!D$55)</f>
        <v>#DIV/0!</v>
      </c>
      <c r="S855" s="2452" t="e">
        <f t="shared" si="162"/>
        <v>#DIV/0!</v>
      </c>
      <c r="T855" s="1708">
        <f>IF(A855='Data Entry - SOF'!B$2,'Data Entry - SOF'!K$64,0)</f>
        <v>0</v>
      </c>
      <c r="U855" s="1687">
        <f t="shared" si="166"/>
        <v>13901191</v>
      </c>
      <c r="V855" s="2212" t="e">
        <f>IF('Report-M&amp;O2122'!C$18-'Report-SOF2122'!D$55&lt;=0,0,'Report-M&amp;O2122'!C$18-'Report-SOF2122'!D$55)</f>
        <v>#DIV/0!</v>
      </c>
      <c r="W855" s="2452" t="e">
        <f t="shared" si="163"/>
        <v>#DIV/0!</v>
      </c>
      <c r="X855" s="1708">
        <f>IF(A855='Data Entry - SOF'!B$2,'Data Entry - SOF'!M$64,0)</f>
        <v>0</v>
      </c>
      <c r="Y855" s="1371" t="e">
        <f t="shared" si="164"/>
        <v>#DIV/0!</v>
      </c>
      <c r="Z855" s="2212" t="e">
        <f>IF('Report-M&amp;O2223'!C$18-'Report-SOF2223'!D$55&lt;=0,0,'Report-M&amp;O2223'!C$18-'Report-SOF2223'!D$55)</f>
        <v>#DIV/0!</v>
      </c>
      <c r="AA855" s="1708">
        <f>IF(A855='Data Entry - SOF'!B$2,'Data Entry - SOF'!O$64,0)</f>
        <v>0</v>
      </c>
    </row>
    <row r="856" spans="1:27" ht="15.75">
      <c r="A856" s="1076" t="s">
        <v>1944</v>
      </c>
      <c r="B856">
        <v>11216081</v>
      </c>
      <c r="C856" s="2452" t="e">
        <f>#REF!+#REF!</f>
        <v>#REF!</v>
      </c>
      <c r="D856" s="2449">
        <f>IF(A856='Data Entry - SOF'!B$2,'Data Entry - SOF'!C$64,0)</f>
        <v>0</v>
      </c>
      <c r="E856" s="2450">
        <f t="shared" si="165"/>
        <v>11216081</v>
      </c>
      <c r="F856" s="2212" t="e">
        <f>IF('Report-M&amp;O1718'!C$18-'Report-SOF1718'!D$55&lt;=0,0,'Report-M&amp;O1718'!C$18-'Report-SOF1718'!D$55)</f>
        <v>#DIV/0!</v>
      </c>
      <c r="G856" s="2452" t="e">
        <f t="shared" si="157"/>
        <v>#DIV/0!</v>
      </c>
      <c r="H856" s="2449">
        <f>IF(A856='Data Entry - SOF'!B$2,'Data Entry - SOF'!E$64,0)</f>
        <v>0</v>
      </c>
      <c r="I856" s="1687">
        <f t="shared" si="158"/>
        <v>11216081</v>
      </c>
      <c r="J856" s="2212" t="e">
        <f>IF('Report-M&amp;O1819'!C$18-'Report-SOF1819'!D$55&lt;=0,0,'Report-M&amp;O1819'!C$18-'Report-SOF1819'!D$55)</f>
        <v>#DIV/0!</v>
      </c>
      <c r="K856" s="2452" t="e">
        <f t="shared" si="159"/>
        <v>#DIV/0!</v>
      </c>
      <c r="L856" s="2449">
        <f>IF(A856='Data Entry - SOF'!B$2,'Data Entry - SOF'!G$64,0)</f>
        <v>0</v>
      </c>
      <c r="M856" s="1371">
        <f t="shared" si="160"/>
        <v>11216081</v>
      </c>
      <c r="N856" s="2212" t="e">
        <f>IF('Report-M&amp;O1920'!C$18-'Report-SOF1920'!D$55&lt;=0,0,'Report-M&amp;O1920'!C$18-'Report-SOF1920'!D$55)</f>
        <v>#DIV/0!</v>
      </c>
      <c r="O856" s="2452" t="e">
        <f t="shared" si="161"/>
        <v>#DIV/0!</v>
      </c>
      <c r="P856" s="2449">
        <f>IF(A856='Data Entry - SOF'!B$2,'Data Entry - SOF'!I$64,0)</f>
        <v>0</v>
      </c>
      <c r="Q856" s="1687">
        <f t="shared" si="156"/>
        <v>11216081</v>
      </c>
      <c r="R856" s="2212" t="e">
        <f>IF('Report-M&amp;O2021'!C$18-'Report-SOF2021'!D$55&lt;=0,0,'Report-M&amp;O2021'!C$18-'Report-SOF2021'!D$55)</f>
        <v>#DIV/0!</v>
      </c>
      <c r="S856" s="2452" t="e">
        <f t="shared" si="162"/>
        <v>#DIV/0!</v>
      </c>
      <c r="T856" s="1708">
        <f>IF(A856='Data Entry - SOF'!B$2,'Data Entry - SOF'!K$64,0)</f>
        <v>0</v>
      </c>
      <c r="U856" s="1687">
        <f t="shared" si="166"/>
        <v>11216081</v>
      </c>
      <c r="V856" s="2212" t="e">
        <f>IF('Report-M&amp;O2122'!C$18-'Report-SOF2122'!D$55&lt;=0,0,'Report-M&amp;O2122'!C$18-'Report-SOF2122'!D$55)</f>
        <v>#DIV/0!</v>
      </c>
      <c r="W856" s="2452" t="e">
        <f t="shared" si="163"/>
        <v>#DIV/0!</v>
      </c>
      <c r="X856" s="1708">
        <f>IF(A856='Data Entry - SOF'!B$2,'Data Entry - SOF'!M$64,0)</f>
        <v>0</v>
      </c>
      <c r="Y856" s="1371" t="e">
        <f t="shared" si="164"/>
        <v>#DIV/0!</v>
      </c>
      <c r="Z856" s="2212" t="e">
        <f>IF('Report-M&amp;O2223'!C$18-'Report-SOF2223'!D$55&lt;=0,0,'Report-M&amp;O2223'!C$18-'Report-SOF2223'!D$55)</f>
        <v>#DIV/0!</v>
      </c>
      <c r="AA856" s="1708">
        <f>IF(A856='Data Entry - SOF'!B$2,'Data Entry - SOF'!O$64,0)</f>
        <v>0</v>
      </c>
    </row>
    <row r="857" spans="1:27" ht="15.75">
      <c r="A857" s="1076" t="s">
        <v>1136</v>
      </c>
      <c r="B857">
        <v>1967448</v>
      </c>
      <c r="C857" s="2452" t="e">
        <f>#REF!+#REF!</f>
        <v>#REF!</v>
      </c>
      <c r="D857" s="2449">
        <f>IF(A857='Data Entry - SOF'!B$2,'Data Entry - SOF'!C$64,0)</f>
        <v>0</v>
      </c>
      <c r="E857" s="2450">
        <f t="shared" si="165"/>
        <v>1967448</v>
      </c>
      <c r="F857" s="2212" t="e">
        <f>IF('Report-M&amp;O1718'!C$18-'Report-SOF1718'!D$55&lt;=0,0,'Report-M&amp;O1718'!C$18-'Report-SOF1718'!D$55)</f>
        <v>#DIV/0!</v>
      </c>
      <c r="G857" s="2452" t="e">
        <f t="shared" si="157"/>
        <v>#DIV/0!</v>
      </c>
      <c r="H857" s="2449">
        <f>IF(A857='Data Entry - SOF'!B$2,'Data Entry - SOF'!E$64,0)</f>
        <v>0</v>
      </c>
      <c r="I857" s="1687">
        <f t="shared" si="158"/>
        <v>1967448</v>
      </c>
      <c r="J857" s="2212" t="e">
        <f>IF('Report-M&amp;O1819'!C$18-'Report-SOF1819'!D$55&lt;=0,0,'Report-M&amp;O1819'!C$18-'Report-SOF1819'!D$55)</f>
        <v>#DIV/0!</v>
      </c>
      <c r="K857" s="2452" t="e">
        <f t="shared" si="159"/>
        <v>#DIV/0!</v>
      </c>
      <c r="L857" s="2449">
        <f>IF(A857='Data Entry - SOF'!B$2,'Data Entry - SOF'!G$64,0)</f>
        <v>0</v>
      </c>
      <c r="M857" s="1371">
        <f t="shared" si="160"/>
        <v>1967448</v>
      </c>
      <c r="N857" s="2212" t="e">
        <f>IF('Report-M&amp;O1920'!C$18-'Report-SOF1920'!D$55&lt;=0,0,'Report-M&amp;O1920'!C$18-'Report-SOF1920'!D$55)</f>
        <v>#DIV/0!</v>
      </c>
      <c r="O857" s="2452" t="e">
        <f t="shared" si="161"/>
        <v>#DIV/0!</v>
      </c>
      <c r="P857" s="2449">
        <f>IF(A857='Data Entry - SOF'!B$2,'Data Entry - SOF'!I$64,0)</f>
        <v>0</v>
      </c>
      <c r="Q857" s="1687">
        <f t="shared" si="156"/>
        <v>1967448</v>
      </c>
      <c r="R857" s="2212" t="e">
        <f>IF('Report-M&amp;O2021'!C$18-'Report-SOF2021'!D$55&lt;=0,0,'Report-M&amp;O2021'!C$18-'Report-SOF2021'!D$55)</f>
        <v>#DIV/0!</v>
      </c>
      <c r="S857" s="2452" t="e">
        <f t="shared" si="162"/>
        <v>#DIV/0!</v>
      </c>
      <c r="T857" s="1708">
        <f>IF(A857='Data Entry - SOF'!B$2,'Data Entry - SOF'!K$64,0)</f>
        <v>0</v>
      </c>
      <c r="U857" s="1687">
        <f t="shared" si="166"/>
        <v>1967448</v>
      </c>
      <c r="V857" s="2212" t="e">
        <f>IF('Report-M&amp;O2122'!C$18-'Report-SOF2122'!D$55&lt;=0,0,'Report-M&amp;O2122'!C$18-'Report-SOF2122'!D$55)</f>
        <v>#DIV/0!</v>
      </c>
      <c r="W857" s="2452" t="e">
        <f t="shared" si="163"/>
        <v>#DIV/0!</v>
      </c>
      <c r="X857" s="1708">
        <f>IF(A857='Data Entry - SOF'!B$2,'Data Entry - SOF'!M$64,0)</f>
        <v>0</v>
      </c>
      <c r="Y857" s="1371" t="e">
        <f t="shared" si="164"/>
        <v>#DIV/0!</v>
      </c>
      <c r="Z857" s="2212" t="e">
        <f>IF('Report-M&amp;O2223'!C$18-'Report-SOF2223'!D$55&lt;=0,0,'Report-M&amp;O2223'!C$18-'Report-SOF2223'!D$55)</f>
        <v>#DIV/0!</v>
      </c>
      <c r="AA857" s="1708">
        <f>IF(A857='Data Entry - SOF'!B$2,'Data Entry - SOF'!O$64,0)</f>
        <v>0</v>
      </c>
    </row>
    <row r="858" spans="1:27" ht="15.75">
      <c r="A858" s="1076" t="s">
        <v>217</v>
      </c>
      <c r="B858">
        <v>126698367</v>
      </c>
      <c r="C858" s="2452" t="e">
        <f>#REF!+#REF!</f>
        <v>#REF!</v>
      </c>
      <c r="D858" s="2449">
        <f>IF(A858='Data Entry - SOF'!B$2,'Data Entry - SOF'!C$64,0)</f>
        <v>0</v>
      </c>
      <c r="E858" s="2450">
        <f t="shared" si="165"/>
        <v>126698367</v>
      </c>
      <c r="F858" s="2212" t="e">
        <f>IF('Report-M&amp;O1718'!C$18-'Report-SOF1718'!D$55&lt;=0,0,'Report-M&amp;O1718'!C$18-'Report-SOF1718'!D$55)</f>
        <v>#DIV/0!</v>
      </c>
      <c r="G858" s="2452" t="e">
        <f t="shared" si="157"/>
        <v>#DIV/0!</v>
      </c>
      <c r="H858" s="2449">
        <f>IF(A858='Data Entry - SOF'!B$2,'Data Entry - SOF'!E$64,0)</f>
        <v>0</v>
      </c>
      <c r="I858" s="1687">
        <f t="shared" si="158"/>
        <v>126698367</v>
      </c>
      <c r="J858" s="2212" t="e">
        <f>IF('Report-M&amp;O1819'!C$18-'Report-SOF1819'!D$55&lt;=0,0,'Report-M&amp;O1819'!C$18-'Report-SOF1819'!D$55)</f>
        <v>#DIV/0!</v>
      </c>
      <c r="K858" s="2452" t="e">
        <f t="shared" si="159"/>
        <v>#DIV/0!</v>
      </c>
      <c r="L858" s="2449">
        <f>IF(A858='Data Entry - SOF'!B$2,'Data Entry - SOF'!G$64,0)</f>
        <v>0</v>
      </c>
      <c r="M858" s="1371">
        <f t="shared" si="160"/>
        <v>126698367</v>
      </c>
      <c r="N858" s="2212" t="e">
        <f>IF('Report-M&amp;O1920'!C$18-'Report-SOF1920'!D$55&lt;=0,0,'Report-M&amp;O1920'!C$18-'Report-SOF1920'!D$55)</f>
        <v>#DIV/0!</v>
      </c>
      <c r="O858" s="2452" t="e">
        <f t="shared" si="161"/>
        <v>#DIV/0!</v>
      </c>
      <c r="P858" s="2449">
        <f>IF(A858='Data Entry - SOF'!B$2,'Data Entry - SOF'!I$64,0)</f>
        <v>0</v>
      </c>
      <c r="Q858" s="1687">
        <f t="shared" si="156"/>
        <v>126698367</v>
      </c>
      <c r="R858" s="2212" t="e">
        <f>IF('Report-M&amp;O2021'!C$18-'Report-SOF2021'!D$55&lt;=0,0,'Report-M&amp;O2021'!C$18-'Report-SOF2021'!D$55)</f>
        <v>#DIV/0!</v>
      </c>
      <c r="S858" s="2452" t="e">
        <f t="shared" si="162"/>
        <v>#DIV/0!</v>
      </c>
      <c r="T858" s="1708">
        <f>IF(A858='Data Entry - SOF'!B$2,'Data Entry - SOF'!K$64,0)</f>
        <v>0</v>
      </c>
      <c r="U858" s="1687">
        <f t="shared" si="166"/>
        <v>126698367</v>
      </c>
      <c r="V858" s="2212" t="e">
        <f>IF('Report-M&amp;O2122'!C$18-'Report-SOF2122'!D$55&lt;=0,0,'Report-M&amp;O2122'!C$18-'Report-SOF2122'!D$55)</f>
        <v>#DIV/0!</v>
      </c>
      <c r="W858" s="2452" t="e">
        <f t="shared" si="163"/>
        <v>#DIV/0!</v>
      </c>
      <c r="X858" s="1708">
        <f>IF(A858='Data Entry - SOF'!B$2,'Data Entry - SOF'!M$64,0)</f>
        <v>0</v>
      </c>
      <c r="Y858" s="1371" t="e">
        <f t="shared" si="164"/>
        <v>#DIV/0!</v>
      </c>
      <c r="Z858" s="2212" t="e">
        <f>IF('Report-M&amp;O2223'!C$18-'Report-SOF2223'!D$55&lt;=0,0,'Report-M&amp;O2223'!C$18-'Report-SOF2223'!D$55)</f>
        <v>#DIV/0!</v>
      </c>
      <c r="AA858" s="1708">
        <f>IF(A858='Data Entry - SOF'!B$2,'Data Entry - SOF'!O$64,0)</f>
        <v>0</v>
      </c>
    </row>
    <row r="859" spans="1:27" ht="15.75">
      <c r="A859" s="1076" t="s">
        <v>1348</v>
      </c>
      <c r="B859">
        <v>6496253</v>
      </c>
      <c r="C859" s="2452" t="e">
        <f>#REF!+#REF!</f>
        <v>#REF!</v>
      </c>
      <c r="D859" s="2449">
        <f>IF(A859='Data Entry - SOF'!B$2,'Data Entry - SOF'!C$64,0)</f>
        <v>0</v>
      </c>
      <c r="E859" s="2450">
        <f t="shared" si="165"/>
        <v>6496253</v>
      </c>
      <c r="F859" s="2212" t="e">
        <f>IF('Report-M&amp;O1718'!C$18-'Report-SOF1718'!D$55&lt;=0,0,'Report-M&amp;O1718'!C$18-'Report-SOF1718'!D$55)</f>
        <v>#DIV/0!</v>
      </c>
      <c r="G859" s="2452" t="e">
        <f t="shared" si="157"/>
        <v>#DIV/0!</v>
      </c>
      <c r="H859" s="2449">
        <f>IF(A859='Data Entry - SOF'!B$2,'Data Entry - SOF'!E$64,0)</f>
        <v>0</v>
      </c>
      <c r="I859" s="1687">
        <f t="shared" si="158"/>
        <v>6496253</v>
      </c>
      <c r="J859" s="2212" t="e">
        <f>IF('Report-M&amp;O1819'!C$18-'Report-SOF1819'!D$55&lt;=0,0,'Report-M&amp;O1819'!C$18-'Report-SOF1819'!D$55)</f>
        <v>#DIV/0!</v>
      </c>
      <c r="K859" s="2452" t="e">
        <f t="shared" si="159"/>
        <v>#DIV/0!</v>
      </c>
      <c r="L859" s="2449">
        <f>IF(A859='Data Entry - SOF'!B$2,'Data Entry - SOF'!G$64,0)</f>
        <v>0</v>
      </c>
      <c r="M859" s="1371">
        <f t="shared" si="160"/>
        <v>6496253</v>
      </c>
      <c r="N859" s="2212" t="e">
        <f>IF('Report-M&amp;O1920'!C$18-'Report-SOF1920'!D$55&lt;=0,0,'Report-M&amp;O1920'!C$18-'Report-SOF1920'!D$55)</f>
        <v>#DIV/0!</v>
      </c>
      <c r="O859" s="2452" t="e">
        <f t="shared" si="161"/>
        <v>#DIV/0!</v>
      </c>
      <c r="P859" s="2449">
        <f>IF(A859='Data Entry - SOF'!B$2,'Data Entry - SOF'!I$64,0)</f>
        <v>0</v>
      </c>
      <c r="Q859" s="1687">
        <f t="shared" si="156"/>
        <v>6496253</v>
      </c>
      <c r="R859" s="2212" t="e">
        <f>IF('Report-M&amp;O2021'!C$18-'Report-SOF2021'!D$55&lt;=0,0,'Report-M&amp;O2021'!C$18-'Report-SOF2021'!D$55)</f>
        <v>#DIV/0!</v>
      </c>
      <c r="S859" s="2452" t="e">
        <f t="shared" si="162"/>
        <v>#DIV/0!</v>
      </c>
      <c r="T859" s="1708">
        <f>IF(A859='Data Entry - SOF'!B$2,'Data Entry - SOF'!K$64,0)</f>
        <v>0</v>
      </c>
      <c r="U859" s="1687">
        <f t="shared" si="166"/>
        <v>6496253</v>
      </c>
      <c r="V859" s="2212" t="e">
        <f>IF('Report-M&amp;O2122'!C$18-'Report-SOF2122'!D$55&lt;=0,0,'Report-M&amp;O2122'!C$18-'Report-SOF2122'!D$55)</f>
        <v>#DIV/0!</v>
      </c>
      <c r="W859" s="2452" t="e">
        <f t="shared" si="163"/>
        <v>#DIV/0!</v>
      </c>
      <c r="X859" s="1708">
        <f>IF(A859='Data Entry - SOF'!B$2,'Data Entry - SOF'!M$64,0)</f>
        <v>0</v>
      </c>
      <c r="Y859" s="1371" t="e">
        <f t="shared" si="164"/>
        <v>#DIV/0!</v>
      </c>
      <c r="Z859" s="2212" t="e">
        <f>IF('Report-M&amp;O2223'!C$18-'Report-SOF2223'!D$55&lt;=0,0,'Report-M&amp;O2223'!C$18-'Report-SOF2223'!D$55)</f>
        <v>#DIV/0!</v>
      </c>
      <c r="AA859" s="1708">
        <f>IF(A859='Data Entry - SOF'!B$2,'Data Entry - SOF'!O$64,0)</f>
        <v>0</v>
      </c>
    </row>
    <row r="860" spans="1:27" ht="15.75">
      <c r="A860" s="1076" t="s">
        <v>1516</v>
      </c>
      <c r="B860">
        <v>6791684</v>
      </c>
      <c r="C860" s="2452" t="e">
        <f>#REF!+#REF!</f>
        <v>#REF!</v>
      </c>
      <c r="D860" s="2449">
        <f>IF(A860='Data Entry - SOF'!B$2,'Data Entry - SOF'!C$64,0)</f>
        <v>0</v>
      </c>
      <c r="E860" s="2450">
        <f t="shared" si="165"/>
        <v>6791684</v>
      </c>
      <c r="F860" s="2212" t="e">
        <f>IF('Report-M&amp;O1718'!C$18-'Report-SOF1718'!D$55&lt;=0,0,'Report-M&amp;O1718'!C$18-'Report-SOF1718'!D$55)</f>
        <v>#DIV/0!</v>
      </c>
      <c r="G860" s="2452" t="e">
        <f t="shared" si="157"/>
        <v>#DIV/0!</v>
      </c>
      <c r="H860" s="2449">
        <f>IF(A860='Data Entry - SOF'!B$2,'Data Entry - SOF'!E$64,0)</f>
        <v>0</v>
      </c>
      <c r="I860" s="1687">
        <f t="shared" si="158"/>
        <v>6791684</v>
      </c>
      <c r="J860" s="2212" t="e">
        <f>IF('Report-M&amp;O1819'!C$18-'Report-SOF1819'!D$55&lt;=0,0,'Report-M&amp;O1819'!C$18-'Report-SOF1819'!D$55)</f>
        <v>#DIV/0!</v>
      </c>
      <c r="K860" s="2452" t="e">
        <f t="shared" si="159"/>
        <v>#DIV/0!</v>
      </c>
      <c r="L860" s="2449">
        <f>IF(A860='Data Entry - SOF'!B$2,'Data Entry - SOF'!G$64,0)</f>
        <v>0</v>
      </c>
      <c r="M860" s="1371">
        <f t="shared" si="160"/>
        <v>6791684</v>
      </c>
      <c r="N860" s="2212" t="e">
        <f>IF('Report-M&amp;O1920'!C$18-'Report-SOF1920'!D$55&lt;=0,0,'Report-M&amp;O1920'!C$18-'Report-SOF1920'!D$55)</f>
        <v>#DIV/0!</v>
      </c>
      <c r="O860" s="2452" t="e">
        <f t="shared" si="161"/>
        <v>#DIV/0!</v>
      </c>
      <c r="P860" s="2449">
        <f>IF(A860='Data Entry - SOF'!B$2,'Data Entry - SOF'!I$64,0)</f>
        <v>0</v>
      </c>
      <c r="Q860" s="1687">
        <f t="shared" si="156"/>
        <v>6791684</v>
      </c>
      <c r="R860" s="2212" t="e">
        <f>IF('Report-M&amp;O2021'!C$18-'Report-SOF2021'!D$55&lt;=0,0,'Report-M&amp;O2021'!C$18-'Report-SOF2021'!D$55)</f>
        <v>#DIV/0!</v>
      </c>
      <c r="S860" s="2452" t="e">
        <f t="shared" si="162"/>
        <v>#DIV/0!</v>
      </c>
      <c r="T860" s="1708">
        <f>IF(A860='Data Entry - SOF'!B$2,'Data Entry - SOF'!K$64,0)</f>
        <v>0</v>
      </c>
      <c r="U860" s="1687">
        <f t="shared" si="166"/>
        <v>6791684</v>
      </c>
      <c r="V860" s="2212" t="e">
        <f>IF('Report-M&amp;O2122'!C$18-'Report-SOF2122'!D$55&lt;=0,0,'Report-M&amp;O2122'!C$18-'Report-SOF2122'!D$55)</f>
        <v>#DIV/0!</v>
      </c>
      <c r="W860" s="2452" t="e">
        <f t="shared" si="163"/>
        <v>#DIV/0!</v>
      </c>
      <c r="X860" s="1708">
        <f>IF(A860='Data Entry - SOF'!B$2,'Data Entry - SOF'!M$64,0)</f>
        <v>0</v>
      </c>
      <c r="Y860" s="1371" t="e">
        <f t="shared" si="164"/>
        <v>#DIV/0!</v>
      </c>
      <c r="Z860" s="2212" t="e">
        <f>IF('Report-M&amp;O2223'!C$18-'Report-SOF2223'!D$55&lt;=0,0,'Report-M&amp;O2223'!C$18-'Report-SOF2223'!D$55)</f>
        <v>#DIV/0!</v>
      </c>
      <c r="AA860" s="1708">
        <f>IF(A860='Data Entry - SOF'!B$2,'Data Entry - SOF'!O$64,0)</f>
        <v>0</v>
      </c>
    </row>
    <row r="861" spans="1:27" ht="15.75">
      <c r="A861" s="1076" t="s">
        <v>1517</v>
      </c>
      <c r="B861">
        <v>8866724</v>
      </c>
      <c r="C861" s="2452" t="e">
        <f>#REF!+#REF!</f>
        <v>#REF!</v>
      </c>
      <c r="D861" s="2449">
        <f>IF(A861='Data Entry - SOF'!B$2,'Data Entry - SOF'!C$64,0)</f>
        <v>0</v>
      </c>
      <c r="E861" s="2450">
        <f t="shared" si="165"/>
        <v>8866724</v>
      </c>
      <c r="F861" s="2212" t="e">
        <f>IF('Report-M&amp;O1718'!C$18-'Report-SOF1718'!D$55&lt;=0,0,'Report-M&amp;O1718'!C$18-'Report-SOF1718'!D$55)</f>
        <v>#DIV/0!</v>
      </c>
      <c r="G861" s="2452" t="e">
        <f t="shared" si="157"/>
        <v>#DIV/0!</v>
      </c>
      <c r="H861" s="2449">
        <f>IF(A861='Data Entry - SOF'!B$2,'Data Entry - SOF'!E$64,0)</f>
        <v>0</v>
      </c>
      <c r="I861" s="1687">
        <f t="shared" si="158"/>
        <v>8866724</v>
      </c>
      <c r="J861" s="2212" t="e">
        <f>IF('Report-M&amp;O1819'!C$18-'Report-SOF1819'!D$55&lt;=0,0,'Report-M&amp;O1819'!C$18-'Report-SOF1819'!D$55)</f>
        <v>#DIV/0!</v>
      </c>
      <c r="K861" s="2452" t="e">
        <f t="shared" si="159"/>
        <v>#DIV/0!</v>
      </c>
      <c r="L861" s="2449">
        <f>IF(A861='Data Entry - SOF'!B$2,'Data Entry - SOF'!G$64,0)</f>
        <v>0</v>
      </c>
      <c r="M861" s="1371">
        <f t="shared" si="160"/>
        <v>8866724</v>
      </c>
      <c r="N861" s="2212" t="e">
        <f>IF('Report-M&amp;O1920'!C$18-'Report-SOF1920'!D$55&lt;=0,0,'Report-M&amp;O1920'!C$18-'Report-SOF1920'!D$55)</f>
        <v>#DIV/0!</v>
      </c>
      <c r="O861" s="2452" t="e">
        <f t="shared" si="161"/>
        <v>#DIV/0!</v>
      </c>
      <c r="P861" s="2449">
        <f>IF(A861='Data Entry - SOF'!B$2,'Data Entry - SOF'!I$64,0)</f>
        <v>0</v>
      </c>
      <c r="Q861" s="1687">
        <f t="shared" si="156"/>
        <v>8866724</v>
      </c>
      <c r="R861" s="2212" t="e">
        <f>IF('Report-M&amp;O2021'!C$18-'Report-SOF2021'!D$55&lt;=0,0,'Report-M&amp;O2021'!C$18-'Report-SOF2021'!D$55)</f>
        <v>#DIV/0!</v>
      </c>
      <c r="S861" s="2452" t="e">
        <f t="shared" si="162"/>
        <v>#DIV/0!</v>
      </c>
      <c r="T861" s="1708">
        <f>IF(A861='Data Entry - SOF'!B$2,'Data Entry - SOF'!K$64,0)</f>
        <v>0</v>
      </c>
      <c r="U861" s="1687">
        <f t="shared" si="166"/>
        <v>8866724</v>
      </c>
      <c r="V861" s="2212" t="e">
        <f>IF('Report-M&amp;O2122'!C$18-'Report-SOF2122'!D$55&lt;=0,0,'Report-M&amp;O2122'!C$18-'Report-SOF2122'!D$55)</f>
        <v>#DIV/0!</v>
      </c>
      <c r="W861" s="2452" t="e">
        <f t="shared" si="163"/>
        <v>#DIV/0!</v>
      </c>
      <c r="X861" s="1708">
        <f>IF(A861='Data Entry - SOF'!B$2,'Data Entry - SOF'!M$64,0)</f>
        <v>0</v>
      </c>
      <c r="Y861" s="1371" t="e">
        <f t="shared" si="164"/>
        <v>#DIV/0!</v>
      </c>
      <c r="Z861" s="2212" t="e">
        <f>IF('Report-M&amp;O2223'!C$18-'Report-SOF2223'!D$55&lt;=0,0,'Report-M&amp;O2223'!C$18-'Report-SOF2223'!D$55)</f>
        <v>#DIV/0!</v>
      </c>
      <c r="AA861" s="1708">
        <f>IF(A861='Data Entry - SOF'!B$2,'Data Entry - SOF'!O$64,0)</f>
        <v>0</v>
      </c>
    </row>
    <row r="862" spans="1:27" ht="15.75">
      <c r="A862" s="1076" t="s">
        <v>1518</v>
      </c>
      <c r="B862">
        <v>30738977</v>
      </c>
      <c r="C862" s="2452" t="e">
        <f>#REF!+#REF!</f>
        <v>#REF!</v>
      </c>
      <c r="D862" s="2449">
        <f>IF(A862='Data Entry - SOF'!B$2,'Data Entry - SOF'!C$64,0)</f>
        <v>0</v>
      </c>
      <c r="E862" s="2450">
        <f t="shared" si="165"/>
        <v>30738977</v>
      </c>
      <c r="F862" s="2212" t="e">
        <f>IF('Report-M&amp;O1718'!C$18-'Report-SOF1718'!D$55&lt;=0,0,'Report-M&amp;O1718'!C$18-'Report-SOF1718'!D$55)</f>
        <v>#DIV/0!</v>
      </c>
      <c r="G862" s="2452" t="e">
        <f t="shared" si="157"/>
        <v>#DIV/0!</v>
      </c>
      <c r="H862" s="2449">
        <f>IF(A862='Data Entry - SOF'!B$2,'Data Entry - SOF'!E$64,0)</f>
        <v>0</v>
      </c>
      <c r="I862" s="1687">
        <f t="shared" si="158"/>
        <v>30738977</v>
      </c>
      <c r="J862" s="2212" t="e">
        <f>IF('Report-M&amp;O1819'!C$18-'Report-SOF1819'!D$55&lt;=0,0,'Report-M&amp;O1819'!C$18-'Report-SOF1819'!D$55)</f>
        <v>#DIV/0!</v>
      </c>
      <c r="K862" s="2452" t="e">
        <f t="shared" si="159"/>
        <v>#DIV/0!</v>
      </c>
      <c r="L862" s="2449">
        <f>IF(A862='Data Entry - SOF'!B$2,'Data Entry - SOF'!G$64,0)</f>
        <v>0</v>
      </c>
      <c r="M862" s="1371">
        <f t="shared" si="160"/>
        <v>30738977</v>
      </c>
      <c r="N862" s="2212" t="e">
        <f>IF('Report-M&amp;O1920'!C$18-'Report-SOF1920'!D$55&lt;=0,0,'Report-M&amp;O1920'!C$18-'Report-SOF1920'!D$55)</f>
        <v>#DIV/0!</v>
      </c>
      <c r="O862" s="2452" t="e">
        <f t="shared" si="161"/>
        <v>#DIV/0!</v>
      </c>
      <c r="P862" s="2449">
        <f>IF(A862='Data Entry - SOF'!B$2,'Data Entry - SOF'!I$64,0)</f>
        <v>0</v>
      </c>
      <c r="Q862" s="1687">
        <f t="shared" si="156"/>
        <v>30738977</v>
      </c>
      <c r="R862" s="2212" t="e">
        <f>IF('Report-M&amp;O2021'!C$18-'Report-SOF2021'!D$55&lt;=0,0,'Report-M&amp;O2021'!C$18-'Report-SOF2021'!D$55)</f>
        <v>#DIV/0!</v>
      </c>
      <c r="S862" s="2452" t="e">
        <f t="shared" si="162"/>
        <v>#DIV/0!</v>
      </c>
      <c r="T862" s="1708">
        <f>IF(A862='Data Entry - SOF'!B$2,'Data Entry - SOF'!K$64,0)</f>
        <v>0</v>
      </c>
      <c r="U862" s="1687">
        <f t="shared" si="166"/>
        <v>30738977</v>
      </c>
      <c r="V862" s="2212" t="e">
        <f>IF('Report-M&amp;O2122'!C$18-'Report-SOF2122'!D$55&lt;=0,0,'Report-M&amp;O2122'!C$18-'Report-SOF2122'!D$55)</f>
        <v>#DIV/0!</v>
      </c>
      <c r="W862" s="2452" t="e">
        <f t="shared" si="163"/>
        <v>#DIV/0!</v>
      </c>
      <c r="X862" s="1708">
        <f>IF(A862='Data Entry - SOF'!B$2,'Data Entry - SOF'!M$64,0)</f>
        <v>0</v>
      </c>
      <c r="Y862" s="1371" t="e">
        <f t="shared" si="164"/>
        <v>#DIV/0!</v>
      </c>
      <c r="Z862" s="2212" t="e">
        <f>IF('Report-M&amp;O2223'!C$18-'Report-SOF2223'!D$55&lt;=0,0,'Report-M&amp;O2223'!C$18-'Report-SOF2223'!D$55)</f>
        <v>#DIV/0!</v>
      </c>
      <c r="AA862" s="1708">
        <f>IF(A862='Data Entry - SOF'!B$2,'Data Entry - SOF'!O$64,0)</f>
        <v>0</v>
      </c>
    </row>
    <row r="863" spans="1:27" ht="15.75">
      <c r="A863" s="1076" t="s">
        <v>3050</v>
      </c>
      <c r="B863">
        <v>5580457</v>
      </c>
      <c r="C863" s="2452" t="e">
        <f>#REF!+#REF!</f>
        <v>#REF!</v>
      </c>
      <c r="D863" s="2449">
        <f>IF(A863='Data Entry - SOF'!B$2,'Data Entry - SOF'!C$64,0)</f>
        <v>0</v>
      </c>
      <c r="E863" s="2450">
        <f t="shared" si="165"/>
        <v>5580457</v>
      </c>
      <c r="F863" s="2212" t="e">
        <f>IF('Report-M&amp;O1718'!C$18-'Report-SOF1718'!D$55&lt;=0,0,'Report-M&amp;O1718'!C$18-'Report-SOF1718'!D$55)</f>
        <v>#DIV/0!</v>
      </c>
      <c r="G863" s="2452" t="e">
        <f t="shared" si="157"/>
        <v>#DIV/0!</v>
      </c>
      <c r="H863" s="2449">
        <f>IF(A863='Data Entry - SOF'!B$2,'Data Entry - SOF'!E$64,0)</f>
        <v>0</v>
      </c>
      <c r="I863" s="1687">
        <f t="shared" si="158"/>
        <v>5580457</v>
      </c>
      <c r="J863" s="2212" t="e">
        <f>IF('Report-M&amp;O1819'!C$18-'Report-SOF1819'!D$55&lt;=0,0,'Report-M&amp;O1819'!C$18-'Report-SOF1819'!D$55)</f>
        <v>#DIV/0!</v>
      </c>
      <c r="K863" s="2452" t="e">
        <f t="shared" si="159"/>
        <v>#DIV/0!</v>
      </c>
      <c r="L863" s="2449">
        <f>IF(A863='Data Entry - SOF'!B$2,'Data Entry - SOF'!G$64,0)</f>
        <v>0</v>
      </c>
      <c r="M863" s="1371">
        <f t="shared" si="160"/>
        <v>5580457</v>
      </c>
      <c r="N863" s="2212" t="e">
        <f>IF('Report-M&amp;O1920'!C$18-'Report-SOF1920'!D$55&lt;=0,0,'Report-M&amp;O1920'!C$18-'Report-SOF1920'!D$55)</f>
        <v>#DIV/0!</v>
      </c>
      <c r="O863" s="2452" t="e">
        <f t="shared" si="161"/>
        <v>#DIV/0!</v>
      </c>
      <c r="P863" s="2449">
        <f>IF(A863='Data Entry - SOF'!B$2,'Data Entry - SOF'!I$64,0)</f>
        <v>0</v>
      </c>
      <c r="Q863" s="1687">
        <f t="shared" si="156"/>
        <v>5580457</v>
      </c>
      <c r="R863" s="2212" t="e">
        <f>IF('Report-M&amp;O2021'!C$18-'Report-SOF2021'!D$55&lt;=0,0,'Report-M&amp;O2021'!C$18-'Report-SOF2021'!D$55)</f>
        <v>#DIV/0!</v>
      </c>
      <c r="S863" s="2452" t="e">
        <f t="shared" si="162"/>
        <v>#DIV/0!</v>
      </c>
      <c r="T863" s="1708">
        <f>IF(A863='Data Entry - SOF'!B$2,'Data Entry - SOF'!K$64,0)</f>
        <v>0</v>
      </c>
      <c r="U863" s="1687">
        <f t="shared" si="166"/>
        <v>5580457</v>
      </c>
      <c r="V863" s="2212" t="e">
        <f>IF('Report-M&amp;O2122'!C$18-'Report-SOF2122'!D$55&lt;=0,0,'Report-M&amp;O2122'!C$18-'Report-SOF2122'!D$55)</f>
        <v>#DIV/0!</v>
      </c>
      <c r="W863" s="2452" t="e">
        <f t="shared" si="163"/>
        <v>#DIV/0!</v>
      </c>
      <c r="X863" s="1708">
        <f>IF(A863='Data Entry - SOF'!B$2,'Data Entry - SOF'!M$64,0)</f>
        <v>0</v>
      </c>
      <c r="Y863" s="1371" t="e">
        <f t="shared" si="164"/>
        <v>#DIV/0!</v>
      </c>
      <c r="Z863" s="2212" t="e">
        <f>IF('Report-M&amp;O2223'!C$18-'Report-SOF2223'!D$55&lt;=0,0,'Report-M&amp;O2223'!C$18-'Report-SOF2223'!D$55)</f>
        <v>#DIV/0!</v>
      </c>
      <c r="AA863" s="1708">
        <f>IF(A863='Data Entry - SOF'!B$2,'Data Entry - SOF'!O$64,0)</f>
        <v>0</v>
      </c>
    </row>
    <row r="864" spans="1:27" ht="15.75">
      <c r="A864" s="1076" t="s">
        <v>1945</v>
      </c>
      <c r="B864">
        <v>5724156</v>
      </c>
      <c r="C864" s="2452" t="e">
        <f>#REF!+#REF!</f>
        <v>#REF!</v>
      </c>
      <c r="D864" s="2449">
        <f>IF(A864='Data Entry - SOF'!B$2,'Data Entry - SOF'!C$64,0)</f>
        <v>0</v>
      </c>
      <c r="E864" s="2450">
        <f t="shared" si="165"/>
        <v>5724156</v>
      </c>
      <c r="F864" s="2212" t="e">
        <f>IF('Report-M&amp;O1718'!C$18-'Report-SOF1718'!D$55&lt;=0,0,'Report-M&amp;O1718'!C$18-'Report-SOF1718'!D$55)</f>
        <v>#DIV/0!</v>
      </c>
      <c r="G864" s="2452" t="e">
        <f t="shared" si="157"/>
        <v>#DIV/0!</v>
      </c>
      <c r="H864" s="2449">
        <f>IF(A864='Data Entry - SOF'!B$2,'Data Entry - SOF'!E$64,0)</f>
        <v>0</v>
      </c>
      <c r="I864" s="1687">
        <f t="shared" si="158"/>
        <v>5724156</v>
      </c>
      <c r="J864" s="2212" t="e">
        <f>IF('Report-M&amp;O1819'!C$18-'Report-SOF1819'!D$55&lt;=0,0,'Report-M&amp;O1819'!C$18-'Report-SOF1819'!D$55)</f>
        <v>#DIV/0!</v>
      </c>
      <c r="K864" s="2452" t="e">
        <f t="shared" si="159"/>
        <v>#DIV/0!</v>
      </c>
      <c r="L864" s="2449">
        <f>IF(A864='Data Entry - SOF'!B$2,'Data Entry - SOF'!G$64,0)</f>
        <v>0</v>
      </c>
      <c r="M864" s="1371">
        <f t="shared" si="160"/>
        <v>5724156</v>
      </c>
      <c r="N864" s="2212" t="e">
        <f>IF('Report-M&amp;O1920'!C$18-'Report-SOF1920'!D$55&lt;=0,0,'Report-M&amp;O1920'!C$18-'Report-SOF1920'!D$55)</f>
        <v>#DIV/0!</v>
      </c>
      <c r="O864" s="2452" t="e">
        <f t="shared" si="161"/>
        <v>#DIV/0!</v>
      </c>
      <c r="P864" s="2449">
        <f>IF(A864='Data Entry - SOF'!B$2,'Data Entry - SOF'!I$64,0)</f>
        <v>0</v>
      </c>
      <c r="Q864" s="1687">
        <f t="shared" si="156"/>
        <v>5724156</v>
      </c>
      <c r="R864" s="2212" t="e">
        <f>IF('Report-M&amp;O2021'!C$18-'Report-SOF2021'!D$55&lt;=0,0,'Report-M&amp;O2021'!C$18-'Report-SOF2021'!D$55)</f>
        <v>#DIV/0!</v>
      </c>
      <c r="S864" s="2452" t="e">
        <f t="shared" si="162"/>
        <v>#DIV/0!</v>
      </c>
      <c r="T864" s="1708">
        <f>IF(A864='Data Entry - SOF'!B$2,'Data Entry - SOF'!K$64,0)</f>
        <v>0</v>
      </c>
      <c r="U864" s="1687">
        <f t="shared" si="166"/>
        <v>5724156</v>
      </c>
      <c r="V864" s="2212" t="e">
        <f>IF('Report-M&amp;O2122'!C$18-'Report-SOF2122'!D$55&lt;=0,0,'Report-M&amp;O2122'!C$18-'Report-SOF2122'!D$55)</f>
        <v>#DIV/0!</v>
      </c>
      <c r="W864" s="2452" t="e">
        <f t="shared" si="163"/>
        <v>#DIV/0!</v>
      </c>
      <c r="X864" s="1708">
        <f>IF(A864='Data Entry - SOF'!B$2,'Data Entry - SOF'!M$64,0)</f>
        <v>0</v>
      </c>
      <c r="Y864" s="1371" t="e">
        <f t="shared" si="164"/>
        <v>#DIV/0!</v>
      </c>
      <c r="Z864" s="2212" t="e">
        <f>IF('Report-M&amp;O2223'!C$18-'Report-SOF2223'!D$55&lt;=0,0,'Report-M&amp;O2223'!C$18-'Report-SOF2223'!D$55)</f>
        <v>#DIV/0!</v>
      </c>
      <c r="AA864" s="1708">
        <f>IF(A864='Data Entry - SOF'!B$2,'Data Entry - SOF'!O$64,0)</f>
        <v>0</v>
      </c>
    </row>
    <row r="865" spans="1:27" ht="15.75">
      <c r="A865" s="1076" t="s">
        <v>221</v>
      </c>
      <c r="B865">
        <v>1747208</v>
      </c>
      <c r="C865" s="2452" t="e">
        <f>#REF!+#REF!</f>
        <v>#REF!</v>
      </c>
      <c r="D865" s="2449">
        <f>IF(A865='Data Entry - SOF'!B$2,'Data Entry - SOF'!C$64,0)</f>
        <v>0</v>
      </c>
      <c r="E865" s="2450">
        <f t="shared" si="165"/>
        <v>1747208</v>
      </c>
      <c r="F865" s="2212" t="e">
        <f>IF('Report-M&amp;O1718'!C$18-'Report-SOF1718'!D$55&lt;=0,0,'Report-M&amp;O1718'!C$18-'Report-SOF1718'!D$55)</f>
        <v>#DIV/0!</v>
      </c>
      <c r="G865" s="2452" t="e">
        <f t="shared" si="157"/>
        <v>#DIV/0!</v>
      </c>
      <c r="H865" s="2449">
        <f>IF(A865='Data Entry - SOF'!B$2,'Data Entry - SOF'!E$64,0)</f>
        <v>0</v>
      </c>
      <c r="I865" s="1687">
        <f t="shared" si="158"/>
        <v>1747208</v>
      </c>
      <c r="J865" s="2212" t="e">
        <f>IF('Report-M&amp;O1819'!C$18-'Report-SOF1819'!D$55&lt;=0,0,'Report-M&amp;O1819'!C$18-'Report-SOF1819'!D$55)</f>
        <v>#DIV/0!</v>
      </c>
      <c r="K865" s="2452" t="e">
        <f t="shared" si="159"/>
        <v>#DIV/0!</v>
      </c>
      <c r="L865" s="2449">
        <f>IF(A865='Data Entry - SOF'!B$2,'Data Entry - SOF'!G$64,0)</f>
        <v>0</v>
      </c>
      <c r="M865" s="1371">
        <f t="shared" si="160"/>
        <v>1747208</v>
      </c>
      <c r="N865" s="2212" t="e">
        <f>IF('Report-M&amp;O1920'!C$18-'Report-SOF1920'!D$55&lt;=0,0,'Report-M&amp;O1920'!C$18-'Report-SOF1920'!D$55)</f>
        <v>#DIV/0!</v>
      </c>
      <c r="O865" s="2452" t="e">
        <f t="shared" si="161"/>
        <v>#DIV/0!</v>
      </c>
      <c r="P865" s="2449">
        <f>IF(A865='Data Entry - SOF'!B$2,'Data Entry - SOF'!I$64,0)</f>
        <v>0</v>
      </c>
      <c r="Q865" s="1687">
        <f t="shared" si="156"/>
        <v>1747208</v>
      </c>
      <c r="R865" s="2212" t="e">
        <f>IF('Report-M&amp;O2021'!C$18-'Report-SOF2021'!D$55&lt;=0,0,'Report-M&amp;O2021'!C$18-'Report-SOF2021'!D$55)</f>
        <v>#DIV/0!</v>
      </c>
      <c r="S865" s="2452" t="e">
        <f t="shared" si="162"/>
        <v>#DIV/0!</v>
      </c>
      <c r="T865" s="1708">
        <f>IF(A865='Data Entry - SOF'!B$2,'Data Entry - SOF'!K$64,0)</f>
        <v>0</v>
      </c>
      <c r="U865" s="1687">
        <f t="shared" si="166"/>
        <v>1747208</v>
      </c>
      <c r="V865" s="2212" t="e">
        <f>IF('Report-M&amp;O2122'!C$18-'Report-SOF2122'!D$55&lt;=0,0,'Report-M&amp;O2122'!C$18-'Report-SOF2122'!D$55)</f>
        <v>#DIV/0!</v>
      </c>
      <c r="W865" s="2452" t="e">
        <f t="shared" si="163"/>
        <v>#DIV/0!</v>
      </c>
      <c r="X865" s="1708">
        <f>IF(A865='Data Entry - SOF'!B$2,'Data Entry - SOF'!M$64,0)</f>
        <v>0</v>
      </c>
      <c r="Y865" s="1371" t="e">
        <f t="shared" si="164"/>
        <v>#DIV/0!</v>
      </c>
      <c r="Z865" s="2212" t="e">
        <f>IF('Report-M&amp;O2223'!C$18-'Report-SOF2223'!D$55&lt;=0,0,'Report-M&amp;O2223'!C$18-'Report-SOF2223'!D$55)</f>
        <v>#DIV/0!</v>
      </c>
      <c r="AA865" s="1708">
        <f>IF(A865='Data Entry - SOF'!B$2,'Data Entry - SOF'!O$64,0)</f>
        <v>0</v>
      </c>
    </row>
    <row r="866" spans="1:27" ht="15.75">
      <c r="A866" s="1076" t="s">
        <v>1946</v>
      </c>
      <c r="B866">
        <v>5509219</v>
      </c>
      <c r="C866" s="2452" t="e">
        <f>#REF!+#REF!</f>
        <v>#REF!</v>
      </c>
      <c r="D866" s="2449">
        <f>IF(A866='Data Entry - SOF'!B$2,'Data Entry - SOF'!C$64,0)</f>
        <v>0</v>
      </c>
      <c r="E866" s="2450">
        <f t="shared" si="165"/>
        <v>5509219</v>
      </c>
      <c r="F866" s="2212" t="e">
        <f>IF('Report-M&amp;O1718'!C$18-'Report-SOF1718'!D$55&lt;=0,0,'Report-M&amp;O1718'!C$18-'Report-SOF1718'!D$55)</f>
        <v>#DIV/0!</v>
      </c>
      <c r="G866" s="2452" t="e">
        <f t="shared" si="157"/>
        <v>#DIV/0!</v>
      </c>
      <c r="H866" s="2449">
        <f>IF(A866='Data Entry - SOF'!B$2,'Data Entry - SOF'!E$64,0)</f>
        <v>0</v>
      </c>
      <c r="I866" s="1687">
        <f t="shared" si="158"/>
        <v>5509219</v>
      </c>
      <c r="J866" s="2212" t="e">
        <f>IF('Report-M&amp;O1819'!C$18-'Report-SOF1819'!D$55&lt;=0,0,'Report-M&amp;O1819'!C$18-'Report-SOF1819'!D$55)</f>
        <v>#DIV/0!</v>
      </c>
      <c r="K866" s="2452" t="e">
        <f t="shared" si="159"/>
        <v>#DIV/0!</v>
      </c>
      <c r="L866" s="2449">
        <f>IF(A866='Data Entry - SOF'!B$2,'Data Entry - SOF'!G$64,0)</f>
        <v>0</v>
      </c>
      <c r="M866" s="1371">
        <f t="shared" si="160"/>
        <v>5509219</v>
      </c>
      <c r="N866" s="2212" t="e">
        <f>IF('Report-M&amp;O1920'!C$18-'Report-SOF1920'!D$55&lt;=0,0,'Report-M&amp;O1920'!C$18-'Report-SOF1920'!D$55)</f>
        <v>#DIV/0!</v>
      </c>
      <c r="O866" s="2452" t="e">
        <f t="shared" si="161"/>
        <v>#DIV/0!</v>
      </c>
      <c r="P866" s="2449">
        <f>IF(A866='Data Entry - SOF'!B$2,'Data Entry - SOF'!I$64,0)</f>
        <v>0</v>
      </c>
      <c r="Q866" s="1687">
        <f t="shared" si="156"/>
        <v>5509219</v>
      </c>
      <c r="R866" s="2212" t="e">
        <f>IF('Report-M&amp;O2021'!C$18-'Report-SOF2021'!D$55&lt;=0,0,'Report-M&amp;O2021'!C$18-'Report-SOF2021'!D$55)</f>
        <v>#DIV/0!</v>
      </c>
      <c r="S866" s="2452" t="e">
        <f t="shared" si="162"/>
        <v>#DIV/0!</v>
      </c>
      <c r="T866" s="1708">
        <f>IF(A866='Data Entry - SOF'!B$2,'Data Entry - SOF'!K$64,0)</f>
        <v>0</v>
      </c>
      <c r="U866" s="1687">
        <f t="shared" si="166"/>
        <v>5509219</v>
      </c>
      <c r="V866" s="2212" t="e">
        <f>IF('Report-M&amp;O2122'!C$18-'Report-SOF2122'!D$55&lt;=0,0,'Report-M&amp;O2122'!C$18-'Report-SOF2122'!D$55)</f>
        <v>#DIV/0!</v>
      </c>
      <c r="W866" s="2452" t="e">
        <f t="shared" si="163"/>
        <v>#DIV/0!</v>
      </c>
      <c r="X866" s="1708">
        <f>IF(A866='Data Entry - SOF'!B$2,'Data Entry - SOF'!M$64,0)</f>
        <v>0</v>
      </c>
      <c r="Y866" s="1371" t="e">
        <f t="shared" si="164"/>
        <v>#DIV/0!</v>
      </c>
      <c r="Z866" s="2212" t="e">
        <f>IF('Report-M&amp;O2223'!C$18-'Report-SOF2223'!D$55&lt;=0,0,'Report-M&amp;O2223'!C$18-'Report-SOF2223'!D$55)</f>
        <v>#DIV/0!</v>
      </c>
      <c r="AA866" s="1708">
        <f>IF(A866='Data Entry - SOF'!B$2,'Data Entry - SOF'!O$64,0)</f>
        <v>0</v>
      </c>
    </row>
    <row r="867" spans="1:27" ht="15.75">
      <c r="A867" s="1076" t="s">
        <v>2979</v>
      </c>
      <c r="B867">
        <v>22051644</v>
      </c>
      <c r="C867" s="2452" t="e">
        <f>#REF!+#REF!</f>
        <v>#REF!</v>
      </c>
      <c r="D867" s="2449">
        <f>IF(A867='Data Entry - SOF'!B$2,'Data Entry - SOF'!C$64,0)</f>
        <v>0</v>
      </c>
      <c r="E867" s="2450">
        <f t="shared" si="165"/>
        <v>22051644</v>
      </c>
      <c r="F867" s="2212" t="e">
        <f>IF('Report-M&amp;O1718'!C$18-'Report-SOF1718'!D$55&lt;=0,0,'Report-M&amp;O1718'!C$18-'Report-SOF1718'!D$55)</f>
        <v>#DIV/0!</v>
      </c>
      <c r="G867" s="2452" t="e">
        <f t="shared" si="157"/>
        <v>#DIV/0!</v>
      </c>
      <c r="H867" s="2449">
        <f>IF(A867='Data Entry - SOF'!B$2,'Data Entry - SOF'!E$64,0)</f>
        <v>0</v>
      </c>
      <c r="I867" s="1687">
        <f t="shared" si="158"/>
        <v>22051644</v>
      </c>
      <c r="J867" s="2212" t="e">
        <f>IF('Report-M&amp;O1819'!C$18-'Report-SOF1819'!D$55&lt;=0,0,'Report-M&amp;O1819'!C$18-'Report-SOF1819'!D$55)</f>
        <v>#DIV/0!</v>
      </c>
      <c r="K867" s="2452" t="e">
        <f t="shared" si="159"/>
        <v>#DIV/0!</v>
      </c>
      <c r="L867" s="2449">
        <f>IF(A867='Data Entry - SOF'!B$2,'Data Entry - SOF'!G$64,0)</f>
        <v>0</v>
      </c>
      <c r="M867" s="1371">
        <f t="shared" si="160"/>
        <v>22051644</v>
      </c>
      <c r="N867" s="2212" t="e">
        <f>IF('Report-M&amp;O1920'!C$18-'Report-SOF1920'!D$55&lt;=0,0,'Report-M&amp;O1920'!C$18-'Report-SOF1920'!D$55)</f>
        <v>#DIV/0!</v>
      </c>
      <c r="O867" s="2452" t="e">
        <f t="shared" si="161"/>
        <v>#DIV/0!</v>
      </c>
      <c r="P867" s="2449">
        <f>IF(A867='Data Entry - SOF'!B$2,'Data Entry - SOF'!I$64,0)</f>
        <v>0</v>
      </c>
      <c r="Q867" s="1687">
        <f t="shared" si="156"/>
        <v>22051644</v>
      </c>
      <c r="R867" s="2212" t="e">
        <f>IF('Report-M&amp;O2021'!C$18-'Report-SOF2021'!D$55&lt;=0,0,'Report-M&amp;O2021'!C$18-'Report-SOF2021'!D$55)</f>
        <v>#DIV/0!</v>
      </c>
      <c r="S867" s="2452" t="e">
        <f t="shared" si="162"/>
        <v>#DIV/0!</v>
      </c>
      <c r="T867" s="1708">
        <f>IF(A867='Data Entry - SOF'!B$2,'Data Entry - SOF'!K$64,0)</f>
        <v>0</v>
      </c>
      <c r="U867" s="1687">
        <f t="shared" si="166"/>
        <v>22051644</v>
      </c>
      <c r="V867" s="2212" t="e">
        <f>IF('Report-M&amp;O2122'!C$18-'Report-SOF2122'!D$55&lt;=0,0,'Report-M&amp;O2122'!C$18-'Report-SOF2122'!D$55)</f>
        <v>#DIV/0!</v>
      </c>
      <c r="W867" s="2452" t="e">
        <f t="shared" si="163"/>
        <v>#DIV/0!</v>
      </c>
      <c r="X867" s="1708">
        <f>IF(A867='Data Entry - SOF'!B$2,'Data Entry - SOF'!M$64,0)</f>
        <v>0</v>
      </c>
      <c r="Y867" s="1371" t="e">
        <f t="shared" si="164"/>
        <v>#DIV/0!</v>
      </c>
      <c r="Z867" s="2212" t="e">
        <f>IF('Report-M&amp;O2223'!C$18-'Report-SOF2223'!D$55&lt;=0,0,'Report-M&amp;O2223'!C$18-'Report-SOF2223'!D$55)</f>
        <v>#DIV/0!</v>
      </c>
      <c r="AA867" s="1708">
        <f>IF(A867='Data Entry - SOF'!B$2,'Data Entry - SOF'!O$64,0)</f>
        <v>0</v>
      </c>
    </row>
    <row r="868" spans="1:27" ht="15.75">
      <c r="A868" s="1076" t="s">
        <v>849</v>
      </c>
      <c r="B868">
        <v>3627852.7662781202</v>
      </c>
      <c r="C868" s="2452" t="e">
        <f>#REF!+#REF!</f>
        <v>#REF!</v>
      </c>
      <c r="D868" s="2449">
        <f>IF(A868='Data Entry - SOF'!B$2,'Data Entry - SOF'!C$64,0)</f>
        <v>0</v>
      </c>
      <c r="E868" s="2450">
        <f t="shared" si="165"/>
        <v>3627852.7662781202</v>
      </c>
      <c r="F868" s="2212" t="e">
        <f>IF('Report-M&amp;O1718'!C$18-'Report-SOF1718'!D$55&lt;=0,0,'Report-M&amp;O1718'!C$18-'Report-SOF1718'!D$55)</f>
        <v>#DIV/0!</v>
      </c>
      <c r="G868" s="2452" t="e">
        <f t="shared" si="157"/>
        <v>#DIV/0!</v>
      </c>
      <c r="H868" s="2449">
        <f>IF(A868='Data Entry - SOF'!B$2,'Data Entry - SOF'!E$64,0)</f>
        <v>0</v>
      </c>
      <c r="I868" s="1687">
        <f t="shared" si="158"/>
        <v>3627852.7662781202</v>
      </c>
      <c r="J868" s="2212" t="e">
        <f>IF('Report-M&amp;O1819'!C$18-'Report-SOF1819'!D$55&lt;=0,0,'Report-M&amp;O1819'!C$18-'Report-SOF1819'!D$55)</f>
        <v>#DIV/0!</v>
      </c>
      <c r="K868" s="2452" t="e">
        <f t="shared" si="159"/>
        <v>#DIV/0!</v>
      </c>
      <c r="L868" s="2449">
        <f>IF(A868='Data Entry - SOF'!B$2,'Data Entry - SOF'!G$64,0)</f>
        <v>0</v>
      </c>
      <c r="M868" s="1371">
        <f t="shared" si="160"/>
        <v>3627852.7662781202</v>
      </c>
      <c r="N868" s="2212" t="e">
        <f>IF('Report-M&amp;O1920'!C$18-'Report-SOF1920'!D$55&lt;=0,0,'Report-M&amp;O1920'!C$18-'Report-SOF1920'!D$55)</f>
        <v>#DIV/0!</v>
      </c>
      <c r="O868" s="2452" t="e">
        <f t="shared" si="161"/>
        <v>#DIV/0!</v>
      </c>
      <c r="P868" s="2449">
        <f>IF(A868='Data Entry - SOF'!B$2,'Data Entry - SOF'!I$64,0)</f>
        <v>0</v>
      </c>
      <c r="Q868" s="1687">
        <f t="shared" si="156"/>
        <v>3627852.7662781202</v>
      </c>
      <c r="R868" s="2212" t="e">
        <f>IF('Report-M&amp;O2021'!C$18-'Report-SOF2021'!D$55&lt;=0,0,'Report-M&amp;O2021'!C$18-'Report-SOF2021'!D$55)</f>
        <v>#DIV/0!</v>
      </c>
      <c r="S868" s="2452" t="e">
        <f t="shared" si="162"/>
        <v>#DIV/0!</v>
      </c>
      <c r="T868" s="1708">
        <f>IF(A868='Data Entry - SOF'!B$2,'Data Entry - SOF'!K$64,0)</f>
        <v>0</v>
      </c>
      <c r="U868" s="1687">
        <f t="shared" si="166"/>
        <v>3627852.7662781202</v>
      </c>
      <c r="V868" s="2212" t="e">
        <f>IF('Report-M&amp;O2122'!C$18-'Report-SOF2122'!D$55&lt;=0,0,'Report-M&amp;O2122'!C$18-'Report-SOF2122'!D$55)</f>
        <v>#DIV/0!</v>
      </c>
      <c r="W868" s="2452" t="e">
        <f t="shared" si="163"/>
        <v>#DIV/0!</v>
      </c>
      <c r="X868" s="1708">
        <f>IF(A868='Data Entry - SOF'!B$2,'Data Entry - SOF'!M$64,0)</f>
        <v>0</v>
      </c>
      <c r="Y868" s="1371" t="e">
        <f t="shared" si="164"/>
        <v>#DIV/0!</v>
      </c>
      <c r="Z868" s="2212" t="e">
        <f>IF('Report-M&amp;O2223'!C$18-'Report-SOF2223'!D$55&lt;=0,0,'Report-M&amp;O2223'!C$18-'Report-SOF2223'!D$55)</f>
        <v>#DIV/0!</v>
      </c>
      <c r="AA868" s="1708">
        <f>IF(A868='Data Entry - SOF'!B$2,'Data Entry - SOF'!O$64,0)</f>
        <v>0</v>
      </c>
    </row>
    <row r="869" spans="1:27" ht="15.75">
      <c r="A869" s="1076" t="s">
        <v>850</v>
      </c>
      <c r="B869">
        <v>9878532</v>
      </c>
      <c r="C869" s="2452" t="e">
        <f>#REF!+#REF!</f>
        <v>#REF!</v>
      </c>
      <c r="D869" s="2449">
        <f>IF(A869='Data Entry - SOF'!B$2,'Data Entry - SOF'!C$64,0)</f>
        <v>0</v>
      </c>
      <c r="E869" s="2450">
        <f t="shared" si="165"/>
        <v>9878532</v>
      </c>
      <c r="F869" s="2212" t="e">
        <f>IF('Report-M&amp;O1718'!C$18-'Report-SOF1718'!D$55&lt;=0,0,'Report-M&amp;O1718'!C$18-'Report-SOF1718'!D$55)</f>
        <v>#DIV/0!</v>
      </c>
      <c r="G869" s="2452" t="e">
        <f t="shared" si="157"/>
        <v>#DIV/0!</v>
      </c>
      <c r="H869" s="2449">
        <f>IF(A869='Data Entry - SOF'!B$2,'Data Entry - SOF'!E$64,0)</f>
        <v>0</v>
      </c>
      <c r="I869" s="1687">
        <f t="shared" si="158"/>
        <v>9878532</v>
      </c>
      <c r="J869" s="2212" t="e">
        <f>IF('Report-M&amp;O1819'!C$18-'Report-SOF1819'!D$55&lt;=0,0,'Report-M&amp;O1819'!C$18-'Report-SOF1819'!D$55)</f>
        <v>#DIV/0!</v>
      </c>
      <c r="K869" s="2452" t="e">
        <f t="shared" si="159"/>
        <v>#DIV/0!</v>
      </c>
      <c r="L869" s="2449">
        <f>IF(A869='Data Entry - SOF'!B$2,'Data Entry - SOF'!G$64,0)</f>
        <v>0</v>
      </c>
      <c r="M869" s="1371">
        <f t="shared" si="160"/>
        <v>9878532</v>
      </c>
      <c r="N869" s="2212" t="e">
        <f>IF('Report-M&amp;O1920'!C$18-'Report-SOF1920'!D$55&lt;=0,0,'Report-M&amp;O1920'!C$18-'Report-SOF1920'!D$55)</f>
        <v>#DIV/0!</v>
      </c>
      <c r="O869" s="2452" t="e">
        <f t="shared" si="161"/>
        <v>#DIV/0!</v>
      </c>
      <c r="P869" s="2449">
        <f>IF(A869='Data Entry - SOF'!B$2,'Data Entry - SOF'!I$64,0)</f>
        <v>0</v>
      </c>
      <c r="Q869" s="1687">
        <f t="shared" si="156"/>
        <v>9878532</v>
      </c>
      <c r="R869" s="2212" t="e">
        <f>IF('Report-M&amp;O2021'!C$18-'Report-SOF2021'!D$55&lt;=0,0,'Report-M&amp;O2021'!C$18-'Report-SOF2021'!D$55)</f>
        <v>#DIV/0!</v>
      </c>
      <c r="S869" s="2452" t="e">
        <f t="shared" si="162"/>
        <v>#DIV/0!</v>
      </c>
      <c r="T869" s="1708">
        <f>IF(A869='Data Entry - SOF'!B$2,'Data Entry - SOF'!K$64,0)</f>
        <v>0</v>
      </c>
      <c r="U869" s="1687">
        <f t="shared" si="166"/>
        <v>9878532</v>
      </c>
      <c r="V869" s="2212" t="e">
        <f>IF('Report-M&amp;O2122'!C$18-'Report-SOF2122'!D$55&lt;=0,0,'Report-M&amp;O2122'!C$18-'Report-SOF2122'!D$55)</f>
        <v>#DIV/0!</v>
      </c>
      <c r="W869" s="2452" t="e">
        <f t="shared" si="163"/>
        <v>#DIV/0!</v>
      </c>
      <c r="X869" s="1708">
        <f>IF(A869='Data Entry - SOF'!B$2,'Data Entry - SOF'!M$64,0)</f>
        <v>0</v>
      </c>
      <c r="Y869" s="1371" t="e">
        <f t="shared" si="164"/>
        <v>#DIV/0!</v>
      </c>
      <c r="Z869" s="2212" t="e">
        <f>IF('Report-M&amp;O2223'!C$18-'Report-SOF2223'!D$55&lt;=0,0,'Report-M&amp;O2223'!C$18-'Report-SOF2223'!D$55)</f>
        <v>#DIV/0!</v>
      </c>
      <c r="AA869" s="1708">
        <f>IF(A869='Data Entry - SOF'!B$2,'Data Entry - SOF'!O$64,0)</f>
        <v>0</v>
      </c>
    </row>
    <row r="870" spans="1:27" ht="15.75">
      <c r="A870" s="1076" t="s">
        <v>906</v>
      </c>
      <c r="B870">
        <v>241666</v>
      </c>
      <c r="C870" s="2452" t="e">
        <f>#REF!+#REF!</f>
        <v>#REF!</v>
      </c>
      <c r="D870" s="2449">
        <f>IF(A870='Data Entry - SOF'!B$2,'Data Entry - SOF'!C$64,0)</f>
        <v>0</v>
      </c>
      <c r="E870" s="2450">
        <f t="shared" si="165"/>
        <v>241666</v>
      </c>
      <c r="F870" s="2212" t="e">
        <f>IF('Report-M&amp;O1718'!C$18-'Report-SOF1718'!D$55&lt;=0,0,'Report-M&amp;O1718'!C$18-'Report-SOF1718'!D$55)</f>
        <v>#DIV/0!</v>
      </c>
      <c r="G870" s="2452" t="e">
        <f t="shared" si="157"/>
        <v>#DIV/0!</v>
      </c>
      <c r="H870" s="2449">
        <f>IF(A870='Data Entry - SOF'!B$2,'Data Entry - SOF'!E$64,0)</f>
        <v>0</v>
      </c>
      <c r="I870" s="1687">
        <f t="shared" si="158"/>
        <v>241666</v>
      </c>
      <c r="J870" s="2212" t="e">
        <f>IF('Report-M&amp;O1819'!C$18-'Report-SOF1819'!D$55&lt;=0,0,'Report-M&amp;O1819'!C$18-'Report-SOF1819'!D$55)</f>
        <v>#DIV/0!</v>
      </c>
      <c r="K870" s="2452" t="e">
        <f t="shared" si="159"/>
        <v>#DIV/0!</v>
      </c>
      <c r="L870" s="2449">
        <f>IF(A870='Data Entry - SOF'!B$2,'Data Entry - SOF'!G$64,0)</f>
        <v>0</v>
      </c>
      <c r="M870" s="1371">
        <f t="shared" si="160"/>
        <v>241666</v>
      </c>
      <c r="N870" s="2212" t="e">
        <f>IF('Report-M&amp;O1920'!C$18-'Report-SOF1920'!D$55&lt;=0,0,'Report-M&amp;O1920'!C$18-'Report-SOF1920'!D$55)</f>
        <v>#DIV/0!</v>
      </c>
      <c r="O870" s="2452" t="e">
        <f t="shared" si="161"/>
        <v>#DIV/0!</v>
      </c>
      <c r="P870" s="2449">
        <f>IF(A870='Data Entry - SOF'!B$2,'Data Entry - SOF'!I$64,0)</f>
        <v>0</v>
      </c>
      <c r="Q870" s="1687">
        <f t="shared" si="156"/>
        <v>241666</v>
      </c>
      <c r="R870" s="2212" t="e">
        <f>IF('Report-M&amp;O2021'!C$18-'Report-SOF2021'!D$55&lt;=0,0,'Report-M&amp;O2021'!C$18-'Report-SOF2021'!D$55)</f>
        <v>#DIV/0!</v>
      </c>
      <c r="S870" s="2452" t="e">
        <f t="shared" si="162"/>
        <v>#DIV/0!</v>
      </c>
      <c r="T870" s="1708">
        <f>IF(A870='Data Entry - SOF'!B$2,'Data Entry - SOF'!K$64,0)</f>
        <v>0</v>
      </c>
      <c r="U870" s="1687">
        <f t="shared" si="166"/>
        <v>241666</v>
      </c>
      <c r="V870" s="2212" t="e">
        <f>IF('Report-M&amp;O2122'!C$18-'Report-SOF2122'!D$55&lt;=0,0,'Report-M&amp;O2122'!C$18-'Report-SOF2122'!D$55)</f>
        <v>#DIV/0!</v>
      </c>
      <c r="W870" s="2452" t="e">
        <f t="shared" si="163"/>
        <v>#DIV/0!</v>
      </c>
      <c r="X870" s="1708">
        <f>IF(A870='Data Entry - SOF'!B$2,'Data Entry - SOF'!M$64,0)</f>
        <v>0</v>
      </c>
      <c r="Y870" s="1371" t="e">
        <f t="shared" si="164"/>
        <v>#DIV/0!</v>
      </c>
      <c r="Z870" s="2212" t="e">
        <f>IF('Report-M&amp;O2223'!C$18-'Report-SOF2223'!D$55&lt;=0,0,'Report-M&amp;O2223'!C$18-'Report-SOF2223'!D$55)</f>
        <v>#DIV/0!</v>
      </c>
      <c r="AA870" s="1708">
        <f>IF(A870='Data Entry - SOF'!B$2,'Data Entry - SOF'!O$64,0)</f>
        <v>0</v>
      </c>
    </row>
    <row r="871" spans="1:27" ht="15.75">
      <c r="A871" s="1076" t="s">
        <v>617</v>
      </c>
      <c r="B871">
        <v>497655</v>
      </c>
      <c r="C871" s="2452" t="e">
        <f>#REF!+#REF!</f>
        <v>#REF!</v>
      </c>
      <c r="D871" s="2449">
        <f>IF(A871='Data Entry - SOF'!B$2,'Data Entry - SOF'!C$64,0)</f>
        <v>0</v>
      </c>
      <c r="E871" s="2450">
        <f t="shared" si="165"/>
        <v>497655</v>
      </c>
      <c r="F871" s="2212" t="e">
        <f>IF('Report-M&amp;O1718'!C$18-'Report-SOF1718'!D$55&lt;=0,0,'Report-M&amp;O1718'!C$18-'Report-SOF1718'!D$55)</f>
        <v>#DIV/0!</v>
      </c>
      <c r="G871" s="2452" t="e">
        <f t="shared" si="157"/>
        <v>#DIV/0!</v>
      </c>
      <c r="H871" s="2449">
        <f>IF(A871='Data Entry - SOF'!B$2,'Data Entry - SOF'!E$64,0)</f>
        <v>0</v>
      </c>
      <c r="I871" s="1687">
        <f t="shared" si="158"/>
        <v>497655</v>
      </c>
      <c r="J871" s="2212" t="e">
        <f>IF('Report-M&amp;O1819'!C$18-'Report-SOF1819'!D$55&lt;=0,0,'Report-M&amp;O1819'!C$18-'Report-SOF1819'!D$55)</f>
        <v>#DIV/0!</v>
      </c>
      <c r="K871" s="2452" t="e">
        <f t="shared" si="159"/>
        <v>#DIV/0!</v>
      </c>
      <c r="L871" s="2449">
        <f>IF(A871='Data Entry - SOF'!B$2,'Data Entry - SOF'!G$64,0)</f>
        <v>0</v>
      </c>
      <c r="M871" s="1371">
        <f t="shared" si="160"/>
        <v>497655</v>
      </c>
      <c r="N871" s="2212" t="e">
        <f>IF('Report-M&amp;O1920'!C$18-'Report-SOF1920'!D$55&lt;=0,0,'Report-M&amp;O1920'!C$18-'Report-SOF1920'!D$55)</f>
        <v>#DIV/0!</v>
      </c>
      <c r="O871" s="2452" t="e">
        <f t="shared" si="161"/>
        <v>#DIV/0!</v>
      </c>
      <c r="P871" s="2449">
        <f>IF(A871='Data Entry - SOF'!B$2,'Data Entry - SOF'!I$64,0)</f>
        <v>0</v>
      </c>
      <c r="Q871" s="1687">
        <f t="shared" si="156"/>
        <v>497655</v>
      </c>
      <c r="R871" s="2212" t="e">
        <f>IF('Report-M&amp;O2021'!C$18-'Report-SOF2021'!D$55&lt;=0,0,'Report-M&amp;O2021'!C$18-'Report-SOF2021'!D$55)</f>
        <v>#DIV/0!</v>
      </c>
      <c r="S871" s="2452" t="e">
        <f t="shared" si="162"/>
        <v>#DIV/0!</v>
      </c>
      <c r="T871" s="1708">
        <f>IF(A871='Data Entry - SOF'!B$2,'Data Entry - SOF'!K$64,0)</f>
        <v>0</v>
      </c>
      <c r="U871" s="1687">
        <f t="shared" si="166"/>
        <v>497655</v>
      </c>
      <c r="V871" s="2212" t="e">
        <f>IF('Report-M&amp;O2122'!C$18-'Report-SOF2122'!D$55&lt;=0,0,'Report-M&amp;O2122'!C$18-'Report-SOF2122'!D$55)</f>
        <v>#DIV/0!</v>
      </c>
      <c r="W871" s="2452" t="e">
        <f t="shared" si="163"/>
        <v>#DIV/0!</v>
      </c>
      <c r="X871" s="1708">
        <f>IF(A871='Data Entry - SOF'!B$2,'Data Entry - SOF'!M$64,0)</f>
        <v>0</v>
      </c>
      <c r="Y871" s="1371" t="e">
        <f t="shared" si="164"/>
        <v>#DIV/0!</v>
      </c>
      <c r="Z871" s="2212" t="e">
        <f>IF('Report-M&amp;O2223'!C$18-'Report-SOF2223'!D$55&lt;=0,0,'Report-M&amp;O2223'!C$18-'Report-SOF2223'!D$55)</f>
        <v>#DIV/0!</v>
      </c>
      <c r="AA871" s="1708">
        <f>IF(A871='Data Entry - SOF'!B$2,'Data Entry - SOF'!O$64,0)</f>
        <v>0</v>
      </c>
    </row>
    <row r="872" spans="1:27" ht="15.75">
      <c r="A872" s="1076" t="s">
        <v>618</v>
      </c>
      <c r="B872">
        <v>1475485</v>
      </c>
      <c r="C872" s="2452" t="e">
        <f>#REF!+#REF!</f>
        <v>#REF!</v>
      </c>
      <c r="D872" s="2449">
        <f>IF(A872='Data Entry - SOF'!B$2,'Data Entry - SOF'!C$64,0)</f>
        <v>0</v>
      </c>
      <c r="E872" s="2450">
        <f t="shared" si="165"/>
        <v>1475485</v>
      </c>
      <c r="F872" s="2212" t="e">
        <f>IF('Report-M&amp;O1718'!C$18-'Report-SOF1718'!D$55&lt;=0,0,'Report-M&amp;O1718'!C$18-'Report-SOF1718'!D$55)</f>
        <v>#DIV/0!</v>
      </c>
      <c r="G872" s="2452" t="e">
        <f t="shared" si="157"/>
        <v>#DIV/0!</v>
      </c>
      <c r="H872" s="2449">
        <f>IF(A872='Data Entry - SOF'!B$2,'Data Entry - SOF'!E$64,0)</f>
        <v>0</v>
      </c>
      <c r="I872" s="1687">
        <f t="shared" si="158"/>
        <v>1475485</v>
      </c>
      <c r="J872" s="2212" t="e">
        <f>IF('Report-M&amp;O1819'!C$18-'Report-SOF1819'!D$55&lt;=0,0,'Report-M&amp;O1819'!C$18-'Report-SOF1819'!D$55)</f>
        <v>#DIV/0!</v>
      </c>
      <c r="K872" s="2452" t="e">
        <f t="shared" si="159"/>
        <v>#DIV/0!</v>
      </c>
      <c r="L872" s="2449">
        <f>IF(A872='Data Entry - SOF'!B$2,'Data Entry - SOF'!G$64,0)</f>
        <v>0</v>
      </c>
      <c r="M872" s="1371">
        <f t="shared" si="160"/>
        <v>1475485</v>
      </c>
      <c r="N872" s="2212" t="e">
        <f>IF('Report-M&amp;O1920'!C$18-'Report-SOF1920'!D$55&lt;=0,0,'Report-M&amp;O1920'!C$18-'Report-SOF1920'!D$55)</f>
        <v>#DIV/0!</v>
      </c>
      <c r="O872" s="2452" t="e">
        <f t="shared" si="161"/>
        <v>#DIV/0!</v>
      </c>
      <c r="P872" s="2449">
        <f>IF(A872='Data Entry - SOF'!B$2,'Data Entry - SOF'!I$64,0)</f>
        <v>0</v>
      </c>
      <c r="Q872" s="1687">
        <f t="shared" si="156"/>
        <v>1475485</v>
      </c>
      <c r="R872" s="2212" t="e">
        <f>IF('Report-M&amp;O2021'!C$18-'Report-SOF2021'!D$55&lt;=0,0,'Report-M&amp;O2021'!C$18-'Report-SOF2021'!D$55)</f>
        <v>#DIV/0!</v>
      </c>
      <c r="S872" s="2452" t="e">
        <f t="shared" si="162"/>
        <v>#DIV/0!</v>
      </c>
      <c r="T872" s="1708">
        <f>IF(A872='Data Entry - SOF'!B$2,'Data Entry - SOF'!K$64,0)</f>
        <v>0</v>
      </c>
      <c r="U872" s="1687">
        <f t="shared" si="166"/>
        <v>1475485</v>
      </c>
      <c r="V872" s="2212" t="e">
        <f>IF('Report-M&amp;O2122'!C$18-'Report-SOF2122'!D$55&lt;=0,0,'Report-M&amp;O2122'!C$18-'Report-SOF2122'!D$55)</f>
        <v>#DIV/0!</v>
      </c>
      <c r="W872" s="2452" t="e">
        <f t="shared" si="163"/>
        <v>#DIV/0!</v>
      </c>
      <c r="X872" s="1708">
        <f>IF(A872='Data Entry - SOF'!B$2,'Data Entry - SOF'!M$64,0)</f>
        <v>0</v>
      </c>
      <c r="Y872" s="1371" t="e">
        <f t="shared" si="164"/>
        <v>#DIV/0!</v>
      </c>
      <c r="Z872" s="2212" t="e">
        <f>IF('Report-M&amp;O2223'!C$18-'Report-SOF2223'!D$55&lt;=0,0,'Report-M&amp;O2223'!C$18-'Report-SOF2223'!D$55)</f>
        <v>#DIV/0!</v>
      </c>
      <c r="AA872" s="1708">
        <f>IF(A872='Data Entry - SOF'!B$2,'Data Entry - SOF'!O$64,0)</f>
        <v>0</v>
      </c>
    </row>
    <row r="873" spans="1:27" ht="15.75">
      <c r="A873" s="1076" t="s">
        <v>2621</v>
      </c>
      <c r="B873">
        <v>200136129</v>
      </c>
      <c r="C873" s="2452" t="e">
        <f>#REF!+#REF!</f>
        <v>#REF!</v>
      </c>
      <c r="D873" s="2449">
        <f>IF(A873='Data Entry - SOF'!B$2,'Data Entry - SOF'!C$64,0)</f>
        <v>0</v>
      </c>
      <c r="E873" s="2450">
        <f t="shared" si="165"/>
        <v>200136129</v>
      </c>
      <c r="F873" s="2212" t="e">
        <f>IF('Report-M&amp;O1718'!C$18-'Report-SOF1718'!D$55&lt;=0,0,'Report-M&amp;O1718'!C$18-'Report-SOF1718'!D$55)</f>
        <v>#DIV/0!</v>
      </c>
      <c r="G873" s="2452" t="e">
        <f t="shared" si="157"/>
        <v>#DIV/0!</v>
      </c>
      <c r="H873" s="2449">
        <f>IF(A873='Data Entry - SOF'!B$2,'Data Entry - SOF'!E$64,0)</f>
        <v>0</v>
      </c>
      <c r="I873" s="1687">
        <f t="shared" si="158"/>
        <v>200136129</v>
      </c>
      <c r="J873" s="2212" t="e">
        <f>IF('Report-M&amp;O1819'!C$18-'Report-SOF1819'!D$55&lt;=0,0,'Report-M&amp;O1819'!C$18-'Report-SOF1819'!D$55)</f>
        <v>#DIV/0!</v>
      </c>
      <c r="K873" s="2452" t="e">
        <f t="shared" si="159"/>
        <v>#DIV/0!</v>
      </c>
      <c r="L873" s="2449">
        <f>IF(A873='Data Entry - SOF'!B$2,'Data Entry - SOF'!G$64,0)</f>
        <v>0</v>
      </c>
      <c r="M873" s="1371">
        <f t="shared" si="160"/>
        <v>200136129</v>
      </c>
      <c r="N873" s="2212" t="e">
        <f>IF('Report-M&amp;O1920'!C$18-'Report-SOF1920'!D$55&lt;=0,0,'Report-M&amp;O1920'!C$18-'Report-SOF1920'!D$55)</f>
        <v>#DIV/0!</v>
      </c>
      <c r="O873" s="2452" t="e">
        <f t="shared" si="161"/>
        <v>#DIV/0!</v>
      </c>
      <c r="P873" s="2449">
        <f>IF(A873='Data Entry - SOF'!B$2,'Data Entry - SOF'!I$64,0)</f>
        <v>0</v>
      </c>
      <c r="Q873" s="1687">
        <f t="shared" si="156"/>
        <v>200136129</v>
      </c>
      <c r="R873" s="2212" t="e">
        <f>IF('Report-M&amp;O2021'!C$18-'Report-SOF2021'!D$55&lt;=0,0,'Report-M&amp;O2021'!C$18-'Report-SOF2021'!D$55)</f>
        <v>#DIV/0!</v>
      </c>
      <c r="S873" s="2452" t="e">
        <f t="shared" si="162"/>
        <v>#DIV/0!</v>
      </c>
      <c r="T873" s="1708">
        <f>IF(A873='Data Entry - SOF'!B$2,'Data Entry - SOF'!K$64,0)</f>
        <v>0</v>
      </c>
      <c r="U873" s="1687">
        <f t="shared" si="166"/>
        <v>200136129</v>
      </c>
      <c r="V873" s="2212" t="e">
        <f>IF('Report-M&amp;O2122'!C$18-'Report-SOF2122'!D$55&lt;=0,0,'Report-M&amp;O2122'!C$18-'Report-SOF2122'!D$55)</f>
        <v>#DIV/0!</v>
      </c>
      <c r="W873" s="2452" t="e">
        <f t="shared" si="163"/>
        <v>#DIV/0!</v>
      </c>
      <c r="X873" s="1708">
        <f>IF(A873='Data Entry - SOF'!B$2,'Data Entry - SOF'!M$64,0)</f>
        <v>0</v>
      </c>
      <c r="Y873" s="1371" t="e">
        <f t="shared" si="164"/>
        <v>#DIV/0!</v>
      </c>
      <c r="Z873" s="2212" t="e">
        <f>IF('Report-M&amp;O2223'!C$18-'Report-SOF2223'!D$55&lt;=0,0,'Report-M&amp;O2223'!C$18-'Report-SOF2223'!D$55)</f>
        <v>#DIV/0!</v>
      </c>
      <c r="AA873" s="1708">
        <f>IF(A873='Data Entry - SOF'!B$2,'Data Entry - SOF'!O$64,0)</f>
        <v>0</v>
      </c>
    </row>
    <row r="874" spans="1:27" ht="15.75">
      <c r="A874" s="1076" t="s">
        <v>985</v>
      </c>
      <c r="B874">
        <v>82355302</v>
      </c>
      <c r="C874" s="2452" t="e">
        <f>#REF!+#REF!</f>
        <v>#REF!</v>
      </c>
      <c r="D874" s="2449">
        <f>IF(A874='Data Entry - SOF'!B$2,'Data Entry - SOF'!C$64,0)</f>
        <v>0</v>
      </c>
      <c r="E874" s="2450">
        <f t="shared" si="165"/>
        <v>82355302</v>
      </c>
      <c r="F874" s="2212" t="e">
        <f>IF('Report-M&amp;O1718'!C$18-'Report-SOF1718'!D$55&lt;=0,0,'Report-M&amp;O1718'!C$18-'Report-SOF1718'!D$55)</f>
        <v>#DIV/0!</v>
      </c>
      <c r="G874" s="2452" t="e">
        <f t="shared" si="157"/>
        <v>#DIV/0!</v>
      </c>
      <c r="H874" s="2449">
        <f>IF(A874='Data Entry - SOF'!B$2,'Data Entry - SOF'!E$64,0)</f>
        <v>0</v>
      </c>
      <c r="I874" s="1687">
        <f t="shared" si="158"/>
        <v>82355302</v>
      </c>
      <c r="J874" s="2212" t="e">
        <f>IF('Report-M&amp;O1819'!C$18-'Report-SOF1819'!D$55&lt;=0,0,'Report-M&amp;O1819'!C$18-'Report-SOF1819'!D$55)</f>
        <v>#DIV/0!</v>
      </c>
      <c r="K874" s="2452" t="e">
        <f t="shared" si="159"/>
        <v>#DIV/0!</v>
      </c>
      <c r="L874" s="2449">
        <f>IF(A874='Data Entry - SOF'!B$2,'Data Entry - SOF'!G$64,0)</f>
        <v>0</v>
      </c>
      <c r="M874" s="1371">
        <f t="shared" si="160"/>
        <v>82355302</v>
      </c>
      <c r="N874" s="2212" t="e">
        <f>IF('Report-M&amp;O1920'!C$18-'Report-SOF1920'!D$55&lt;=0,0,'Report-M&amp;O1920'!C$18-'Report-SOF1920'!D$55)</f>
        <v>#DIV/0!</v>
      </c>
      <c r="O874" s="2452" t="e">
        <f t="shared" si="161"/>
        <v>#DIV/0!</v>
      </c>
      <c r="P874" s="2449">
        <f>IF(A874='Data Entry - SOF'!B$2,'Data Entry - SOF'!I$64,0)</f>
        <v>0</v>
      </c>
      <c r="Q874" s="1687">
        <f t="shared" si="156"/>
        <v>82355302</v>
      </c>
      <c r="R874" s="2212" t="e">
        <f>IF('Report-M&amp;O2021'!C$18-'Report-SOF2021'!D$55&lt;=0,0,'Report-M&amp;O2021'!C$18-'Report-SOF2021'!D$55)</f>
        <v>#DIV/0!</v>
      </c>
      <c r="S874" s="2452" t="e">
        <f t="shared" si="162"/>
        <v>#DIV/0!</v>
      </c>
      <c r="T874" s="1708">
        <f>IF(A874='Data Entry - SOF'!B$2,'Data Entry - SOF'!K$64,0)</f>
        <v>0</v>
      </c>
      <c r="U874" s="1687">
        <f t="shared" si="166"/>
        <v>82355302</v>
      </c>
      <c r="V874" s="2212" t="e">
        <f>IF('Report-M&amp;O2122'!C$18-'Report-SOF2122'!D$55&lt;=0,0,'Report-M&amp;O2122'!C$18-'Report-SOF2122'!D$55)</f>
        <v>#DIV/0!</v>
      </c>
      <c r="W874" s="2452" t="e">
        <f t="shared" si="163"/>
        <v>#DIV/0!</v>
      </c>
      <c r="X874" s="1708">
        <f>IF(A874='Data Entry - SOF'!B$2,'Data Entry - SOF'!M$64,0)</f>
        <v>0</v>
      </c>
      <c r="Y874" s="1371" t="e">
        <f t="shared" si="164"/>
        <v>#DIV/0!</v>
      </c>
      <c r="Z874" s="2212" t="e">
        <f>IF('Report-M&amp;O2223'!C$18-'Report-SOF2223'!D$55&lt;=0,0,'Report-M&amp;O2223'!C$18-'Report-SOF2223'!D$55)</f>
        <v>#DIV/0!</v>
      </c>
      <c r="AA874" s="1708">
        <f>IF(A874='Data Entry - SOF'!B$2,'Data Entry - SOF'!O$64,0)</f>
        <v>0</v>
      </c>
    </row>
    <row r="875" spans="1:27" ht="15.75">
      <c r="A875" s="1076" t="s">
        <v>2111</v>
      </c>
      <c r="B875">
        <v>10499248</v>
      </c>
      <c r="C875" s="2452" t="e">
        <f>#REF!+#REF!</f>
        <v>#REF!</v>
      </c>
      <c r="D875" s="2449">
        <f>IF(A875='Data Entry - SOF'!B$2,'Data Entry - SOF'!C$64,0)</f>
        <v>0</v>
      </c>
      <c r="E875" s="2450">
        <f t="shared" si="165"/>
        <v>10499248</v>
      </c>
      <c r="F875" s="2212" t="e">
        <f>IF('Report-M&amp;O1718'!C$18-'Report-SOF1718'!D$55&lt;=0,0,'Report-M&amp;O1718'!C$18-'Report-SOF1718'!D$55)</f>
        <v>#DIV/0!</v>
      </c>
      <c r="G875" s="2452" t="e">
        <f t="shared" si="157"/>
        <v>#DIV/0!</v>
      </c>
      <c r="H875" s="2449">
        <f>IF(A875='Data Entry - SOF'!B$2,'Data Entry - SOF'!E$64,0)</f>
        <v>0</v>
      </c>
      <c r="I875" s="1687">
        <f t="shared" si="158"/>
        <v>10499248</v>
      </c>
      <c r="J875" s="2212" t="e">
        <f>IF('Report-M&amp;O1819'!C$18-'Report-SOF1819'!D$55&lt;=0,0,'Report-M&amp;O1819'!C$18-'Report-SOF1819'!D$55)</f>
        <v>#DIV/0!</v>
      </c>
      <c r="K875" s="2452" t="e">
        <f t="shared" si="159"/>
        <v>#DIV/0!</v>
      </c>
      <c r="L875" s="2449">
        <f>IF(A875='Data Entry - SOF'!B$2,'Data Entry - SOF'!G$64,0)</f>
        <v>0</v>
      </c>
      <c r="M875" s="1371">
        <f t="shared" si="160"/>
        <v>10499248</v>
      </c>
      <c r="N875" s="2212" t="e">
        <f>IF('Report-M&amp;O1920'!C$18-'Report-SOF1920'!D$55&lt;=0,0,'Report-M&amp;O1920'!C$18-'Report-SOF1920'!D$55)</f>
        <v>#DIV/0!</v>
      </c>
      <c r="O875" s="2452" t="e">
        <f t="shared" si="161"/>
        <v>#DIV/0!</v>
      </c>
      <c r="P875" s="2449">
        <f>IF(A875='Data Entry - SOF'!B$2,'Data Entry - SOF'!I$64,0)</f>
        <v>0</v>
      </c>
      <c r="Q875" s="1687">
        <f t="shared" si="156"/>
        <v>10499248</v>
      </c>
      <c r="R875" s="2212" t="e">
        <f>IF('Report-M&amp;O2021'!C$18-'Report-SOF2021'!D$55&lt;=0,0,'Report-M&amp;O2021'!C$18-'Report-SOF2021'!D$55)</f>
        <v>#DIV/0!</v>
      </c>
      <c r="S875" s="2452" t="e">
        <f t="shared" si="162"/>
        <v>#DIV/0!</v>
      </c>
      <c r="T875" s="1708">
        <f>IF(A875='Data Entry - SOF'!B$2,'Data Entry - SOF'!K$64,0)</f>
        <v>0</v>
      </c>
      <c r="U875" s="1687">
        <f t="shared" si="166"/>
        <v>10499248</v>
      </c>
      <c r="V875" s="2212" t="e">
        <f>IF('Report-M&amp;O2122'!C$18-'Report-SOF2122'!D$55&lt;=0,0,'Report-M&amp;O2122'!C$18-'Report-SOF2122'!D$55)</f>
        <v>#DIV/0!</v>
      </c>
      <c r="W875" s="2452" t="e">
        <f t="shared" si="163"/>
        <v>#DIV/0!</v>
      </c>
      <c r="X875" s="1708">
        <f>IF(A875='Data Entry - SOF'!B$2,'Data Entry - SOF'!M$64,0)</f>
        <v>0</v>
      </c>
      <c r="Y875" s="1371" t="e">
        <f t="shared" si="164"/>
        <v>#DIV/0!</v>
      </c>
      <c r="Z875" s="2212" t="e">
        <f>IF('Report-M&amp;O2223'!C$18-'Report-SOF2223'!D$55&lt;=0,0,'Report-M&amp;O2223'!C$18-'Report-SOF2223'!D$55)</f>
        <v>#DIV/0!</v>
      </c>
      <c r="AA875" s="1708">
        <f>IF(A875='Data Entry - SOF'!B$2,'Data Entry - SOF'!O$64,0)</f>
        <v>0</v>
      </c>
    </row>
    <row r="876" spans="1:27" ht="15.75">
      <c r="A876" s="1076" t="s">
        <v>2297</v>
      </c>
      <c r="B876">
        <v>301524742</v>
      </c>
      <c r="C876" s="2452" t="e">
        <f>#REF!+#REF!</f>
        <v>#REF!</v>
      </c>
      <c r="D876" s="2449">
        <f>IF(A876='Data Entry - SOF'!B$2,'Data Entry - SOF'!C$64,0)</f>
        <v>0</v>
      </c>
      <c r="E876" s="2450">
        <f t="shared" si="165"/>
        <v>301524742</v>
      </c>
      <c r="F876" s="2212" t="e">
        <f>IF('Report-M&amp;O1718'!C$18-'Report-SOF1718'!D$55&lt;=0,0,'Report-M&amp;O1718'!C$18-'Report-SOF1718'!D$55)</f>
        <v>#DIV/0!</v>
      </c>
      <c r="G876" s="2452" t="e">
        <f t="shared" si="157"/>
        <v>#DIV/0!</v>
      </c>
      <c r="H876" s="2449">
        <f>IF(A876='Data Entry - SOF'!B$2,'Data Entry - SOF'!E$64,0)</f>
        <v>0</v>
      </c>
      <c r="I876" s="1687">
        <f t="shared" si="158"/>
        <v>301524742</v>
      </c>
      <c r="J876" s="2212" t="e">
        <f>IF('Report-M&amp;O1819'!C$18-'Report-SOF1819'!D$55&lt;=0,0,'Report-M&amp;O1819'!C$18-'Report-SOF1819'!D$55)</f>
        <v>#DIV/0!</v>
      </c>
      <c r="K876" s="2452" t="e">
        <f t="shared" si="159"/>
        <v>#DIV/0!</v>
      </c>
      <c r="L876" s="2449">
        <f>IF(A876='Data Entry - SOF'!B$2,'Data Entry - SOF'!G$64,0)</f>
        <v>0</v>
      </c>
      <c r="M876" s="1371">
        <f t="shared" si="160"/>
        <v>301524742</v>
      </c>
      <c r="N876" s="2212" t="e">
        <f>IF('Report-M&amp;O1920'!C$18-'Report-SOF1920'!D$55&lt;=0,0,'Report-M&amp;O1920'!C$18-'Report-SOF1920'!D$55)</f>
        <v>#DIV/0!</v>
      </c>
      <c r="O876" s="2452" t="e">
        <f t="shared" si="161"/>
        <v>#DIV/0!</v>
      </c>
      <c r="P876" s="2449">
        <f>IF(A876='Data Entry - SOF'!B$2,'Data Entry - SOF'!I$64,0)</f>
        <v>0</v>
      </c>
      <c r="Q876" s="1687">
        <f t="shared" si="156"/>
        <v>301524742</v>
      </c>
      <c r="R876" s="2212" t="e">
        <f>IF('Report-M&amp;O2021'!C$18-'Report-SOF2021'!D$55&lt;=0,0,'Report-M&amp;O2021'!C$18-'Report-SOF2021'!D$55)</f>
        <v>#DIV/0!</v>
      </c>
      <c r="S876" s="2452" t="e">
        <f t="shared" si="162"/>
        <v>#DIV/0!</v>
      </c>
      <c r="T876" s="1708">
        <f>IF(A876='Data Entry - SOF'!B$2,'Data Entry - SOF'!K$64,0)</f>
        <v>0</v>
      </c>
      <c r="U876" s="1687">
        <f t="shared" si="166"/>
        <v>301524742</v>
      </c>
      <c r="V876" s="2212" t="e">
        <f>IF('Report-M&amp;O2122'!C$18-'Report-SOF2122'!D$55&lt;=0,0,'Report-M&amp;O2122'!C$18-'Report-SOF2122'!D$55)</f>
        <v>#DIV/0!</v>
      </c>
      <c r="W876" s="2452" t="e">
        <f t="shared" si="163"/>
        <v>#DIV/0!</v>
      </c>
      <c r="X876" s="1708">
        <f>IF(A876='Data Entry - SOF'!B$2,'Data Entry - SOF'!M$64,0)</f>
        <v>0</v>
      </c>
      <c r="Y876" s="1371" t="e">
        <f t="shared" si="164"/>
        <v>#DIV/0!</v>
      </c>
      <c r="Z876" s="2212" t="e">
        <f>IF('Report-M&amp;O2223'!C$18-'Report-SOF2223'!D$55&lt;=0,0,'Report-M&amp;O2223'!C$18-'Report-SOF2223'!D$55)</f>
        <v>#DIV/0!</v>
      </c>
      <c r="AA876" s="1708">
        <f>IF(A876='Data Entry - SOF'!B$2,'Data Entry - SOF'!O$64,0)</f>
        <v>0</v>
      </c>
    </row>
    <row r="877" spans="1:27" ht="15.75">
      <c r="A877" s="1076" t="s">
        <v>2497</v>
      </c>
      <c r="B877">
        <v>170261612</v>
      </c>
      <c r="C877" s="2452" t="e">
        <f>#REF!+#REF!</f>
        <v>#REF!</v>
      </c>
      <c r="D877" s="2449">
        <f>IF(A877='Data Entry - SOF'!B$2,'Data Entry - SOF'!C$64,0)</f>
        <v>0</v>
      </c>
      <c r="E877" s="2450">
        <f t="shared" si="165"/>
        <v>170261612</v>
      </c>
      <c r="F877" s="2212" t="e">
        <f>IF('Report-M&amp;O1718'!C$18-'Report-SOF1718'!D$55&lt;=0,0,'Report-M&amp;O1718'!C$18-'Report-SOF1718'!D$55)</f>
        <v>#DIV/0!</v>
      </c>
      <c r="G877" s="2452" t="e">
        <f t="shared" si="157"/>
        <v>#DIV/0!</v>
      </c>
      <c r="H877" s="2449">
        <f>IF(A877='Data Entry - SOF'!B$2,'Data Entry - SOF'!E$64,0)</f>
        <v>0</v>
      </c>
      <c r="I877" s="1687">
        <f t="shared" si="158"/>
        <v>170261612</v>
      </c>
      <c r="J877" s="2212" t="e">
        <f>IF('Report-M&amp;O1819'!C$18-'Report-SOF1819'!D$55&lt;=0,0,'Report-M&amp;O1819'!C$18-'Report-SOF1819'!D$55)</f>
        <v>#DIV/0!</v>
      </c>
      <c r="K877" s="2452" t="e">
        <f t="shared" si="159"/>
        <v>#DIV/0!</v>
      </c>
      <c r="L877" s="2449">
        <f>IF(A877='Data Entry - SOF'!B$2,'Data Entry - SOF'!G$64,0)</f>
        <v>0</v>
      </c>
      <c r="M877" s="1371">
        <f t="shared" si="160"/>
        <v>170261612</v>
      </c>
      <c r="N877" s="2212" t="e">
        <f>IF('Report-M&amp;O1920'!C$18-'Report-SOF1920'!D$55&lt;=0,0,'Report-M&amp;O1920'!C$18-'Report-SOF1920'!D$55)</f>
        <v>#DIV/0!</v>
      </c>
      <c r="O877" s="2452" t="e">
        <f t="shared" si="161"/>
        <v>#DIV/0!</v>
      </c>
      <c r="P877" s="2449">
        <f>IF(A877='Data Entry - SOF'!B$2,'Data Entry - SOF'!I$64,0)</f>
        <v>0</v>
      </c>
      <c r="Q877" s="1687">
        <f t="shared" si="156"/>
        <v>170261612</v>
      </c>
      <c r="R877" s="2212" t="e">
        <f>IF('Report-M&amp;O2021'!C$18-'Report-SOF2021'!D$55&lt;=0,0,'Report-M&amp;O2021'!C$18-'Report-SOF2021'!D$55)</f>
        <v>#DIV/0!</v>
      </c>
      <c r="S877" s="2452" t="e">
        <f t="shared" si="162"/>
        <v>#DIV/0!</v>
      </c>
      <c r="T877" s="1708">
        <f>IF(A877='Data Entry - SOF'!B$2,'Data Entry - SOF'!K$64,0)</f>
        <v>0</v>
      </c>
      <c r="U877" s="1687">
        <f t="shared" si="166"/>
        <v>170261612</v>
      </c>
      <c r="V877" s="2212" t="e">
        <f>IF('Report-M&amp;O2122'!C$18-'Report-SOF2122'!D$55&lt;=0,0,'Report-M&amp;O2122'!C$18-'Report-SOF2122'!D$55)</f>
        <v>#DIV/0!</v>
      </c>
      <c r="W877" s="2452" t="e">
        <f t="shared" si="163"/>
        <v>#DIV/0!</v>
      </c>
      <c r="X877" s="1708">
        <f>IF(A877='Data Entry - SOF'!B$2,'Data Entry - SOF'!M$64,0)</f>
        <v>0</v>
      </c>
      <c r="Y877" s="1371" t="e">
        <f t="shared" si="164"/>
        <v>#DIV/0!</v>
      </c>
      <c r="Z877" s="2212" t="e">
        <f>IF('Report-M&amp;O2223'!C$18-'Report-SOF2223'!D$55&lt;=0,0,'Report-M&amp;O2223'!C$18-'Report-SOF2223'!D$55)</f>
        <v>#DIV/0!</v>
      </c>
      <c r="AA877" s="1708">
        <f>IF(A877='Data Entry - SOF'!B$2,'Data Entry - SOF'!O$64,0)</f>
        <v>0</v>
      </c>
    </row>
    <row r="878" spans="1:27" ht="15.75">
      <c r="A878" s="1076" t="s">
        <v>57</v>
      </c>
      <c r="B878">
        <v>269546093</v>
      </c>
      <c r="C878" s="2452" t="e">
        <f>#REF!+#REF!</f>
        <v>#REF!</v>
      </c>
      <c r="D878" s="2449">
        <f>IF(A878='Data Entry - SOF'!B$2,'Data Entry - SOF'!C$64,0)</f>
        <v>0</v>
      </c>
      <c r="E878" s="2450">
        <f t="shared" si="165"/>
        <v>269546093</v>
      </c>
      <c r="F878" s="2212" t="e">
        <f>IF('Report-M&amp;O1718'!C$18-'Report-SOF1718'!D$55&lt;=0,0,'Report-M&amp;O1718'!C$18-'Report-SOF1718'!D$55)</f>
        <v>#DIV/0!</v>
      </c>
      <c r="G878" s="2452" t="e">
        <f t="shared" si="157"/>
        <v>#DIV/0!</v>
      </c>
      <c r="H878" s="2449">
        <f>IF(A878='Data Entry - SOF'!B$2,'Data Entry - SOF'!E$64,0)</f>
        <v>0</v>
      </c>
      <c r="I878" s="1687">
        <f t="shared" si="158"/>
        <v>269546093</v>
      </c>
      <c r="J878" s="2212" t="e">
        <f>IF('Report-M&amp;O1819'!C$18-'Report-SOF1819'!D$55&lt;=0,0,'Report-M&amp;O1819'!C$18-'Report-SOF1819'!D$55)</f>
        <v>#DIV/0!</v>
      </c>
      <c r="K878" s="2452" t="e">
        <f t="shared" si="159"/>
        <v>#DIV/0!</v>
      </c>
      <c r="L878" s="2449">
        <f>IF(A878='Data Entry - SOF'!B$2,'Data Entry - SOF'!G$64,0)</f>
        <v>0</v>
      </c>
      <c r="M878" s="1371">
        <f t="shared" si="160"/>
        <v>269546093</v>
      </c>
      <c r="N878" s="2212" t="e">
        <f>IF('Report-M&amp;O1920'!C$18-'Report-SOF1920'!D$55&lt;=0,0,'Report-M&amp;O1920'!C$18-'Report-SOF1920'!D$55)</f>
        <v>#DIV/0!</v>
      </c>
      <c r="O878" s="2452" t="e">
        <f t="shared" si="161"/>
        <v>#DIV/0!</v>
      </c>
      <c r="P878" s="2449">
        <f>IF(A878='Data Entry - SOF'!B$2,'Data Entry - SOF'!I$64,0)</f>
        <v>0</v>
      </c>
      <c r="Q878" s="1687">
        <f t="shared" si="156"/>
        <v>269546093</v>
      </c>
      <c r="R878" s="2212" t="e">
        <f>IF('Report-M&amp;O2021'!C$18-'Report-SOF2021'!D$55&lt;=0,0,'Report-M&amp;O2021'!C$18-'Report-SOF2021'!D$55)</f>
        <v>#DIV/0!</v>
      </c>
      <c r="S878" s="2452" t="e">
        <f t="shared" si="162"/>
        <v>#DIV/0!</v>
      </c>
      <c r="T878" s="1708">
        <f>IF(A878='Data Entry - SOF'!B$2,'Data Entry - SOF'!K$64,0)</f>
        <v>0</v>
      </c>
      <c r="U878" s="1687">
        <f t="shared" si="166"/>
        <v>269546093</v>
      </c>
      <c r="V878" s="2212" t="e">
        <f>IF('Report-M&amp;O2122'!C$18-'Report-SOF2122'!D$55&lt;=0,0,'Report-M&amp;O2122'!C$18-'Report-SOF2122'!D$55)</f>
        <v>#DIV/0!</v>
      </c>
      <c r="W878" s="2452" t="e">
        <f t="shared" si="163"/>
        <v>#DIV/0!</v>
      </c>
      <c r="X878" s="1708">
        <f>IF(A878='Data Entry - SOF'!B$2,'Data Entry - SOF'!M$64,0)</f>
        <v>0</v>
      </c>
      <c r="Y878" s="1371" t="e">
        <f t="shared" si="164"/>
        <v>#DIV/0!</v>
      </c>
      <c r="Z878" s="2212" t="e">
        <f>IF('Report-M&amp;O2223'!C$18-'Report-SOF2223'!D$55&lt;=0,0,'Report-M&amp;O2223'!C$18-'Report-SOF2223'!D$55)</f>
        <v>#DIV/0!</v>
      </c>
      <c r="AA878" s="1708">
        <f>IF(A878='Data Entry - SOF'!B$2,'Data Entry - SOF'!O$64,0)</f>
        <v>0</v>
      </c>
    </row>
    <row r="879" spans="1:27" ht="15.75">
      <c r="A879" s="1076" t="s">
        <v>379</v>
      </c>
      <c r="B879">
        <v>113460598</v>
      </c>
      <c r="C879" s="2452" t="e">
        <f>#REF!+#REF!</f>
        <v>#REF!</v>
      </c>
      <c r="D879" s="2449">
        <f>IF(A879='Data Entry - SOF'!B$2,'Data Entry - SOF'!C$64,0)</f>
        <v>0</v>
      </c>
      <c r="E879" s="2450">
        <f t="shared" si="165"/>
        <v>113460598</v>
      </c>
      <c r="F879" s="2212" t="e">
        <f>IF('Report-M&amp;O1718'!C$18-'Report-SOF1718'!D$55&lt;=0,0,'Report-M&amp;O1718'!C$18-'Report-SOF1718'!D$55)</f>
        <v>#DIV/0!</v>
      </c>
      <c r="G879" s="2452" t="e">
        <f t="shared" si="157"/>
        <v>#DIV/0!</v>
      </c>
      <c r="H879" s="2449">
        <f>IF(A879='Data Entry - SOF'!B$2,'Data Entry - SOF'!E$64,0)</f>
        <v>0</v>
      </c>
      <c r="I879" s="1687">
        <f t="shared" si="158"/>
        <v>113460598</v>
      </c>
      <c r="J879" s="2212" t="e">
        <f>IF('Report-M&amp;O1819'!C$18-'Report-SOF1819'!D$55&lt;=0,0,'Report-M&amp;O1819'!C$18-'Report-SOF1819'!D$55)</f>
        <v>#DIV/0!</v>
      </c>
      <c r="K879" s="2452" t="e">
        <f t="shared" si="159"/>
        <v>#DIV/0!</v>
      </c>
      <c r="L879" s="2449">
        <f>IF(A879='Data Entry - SOF'!B$2,'Data Entry - SOF'!G$64,0)</f>
        <v>0</v>
      </c>
      <c r="M879" s="1371">
        <f t="shared" si="160"/>
        <v>113460598</v>
      </c>
      <c r="N879" s="2212" t="e">
        <f>IF('Report-M&amp;O1920'!C$18-'Report-SOF1920'!D$55&lt;=0,0,'Report-M&amp;O1920'!C$18-'Report-SOF1920'!D$55)</f>
        <v>#DIV/0!</v>
      </c>
      <c r="O879" s="2452" t="e">
        <f t="shared" si="161"/>
        <v>#DIV/0!</v>
      </c>
      <c r="P879" s="2449">
        <f>IF(A879='Data Entry - SOF'!B$2,'Data Entry - SOF'!I$64,0)</f>
        <v>0</v>
      </c>
      <c r="Q879" s="1687">
        <f t="shared" si="156"/>
        <v>113460598</v>
      </c>
      <c r="R879" s="2212" t="e">
        <f>IF('Report-M&amp;O2021'!C$18-'Report-SOF2021'!D$55&lt;=0,0,'Report-M&amp;O2021'!C$18-'Report-SOF2021'!D$55)</f>
        <v>#DIV/0!</v>
      </c>
      <c r="S879" s="2452" t="e">
        <f t="shared" si="162"/>
        <v>#DIV/0!</v>
      </c>
      <c r="T879" s="1708">
        <f>IF(A879='Data Entry - SOF'!B$2,'Data Entry - SOF'!K$64,0)</f>
        <v>0</v>
      </c>
      <c r="U879" s="1687">
        <f t="shared" si="166"/>
        <v>113460598</v>
      </c>
      <c r="V879" s="2212" t="e">
        <f>IF('Report-M&amp;O2122'!C$18-'Report-SOF2122'!D$55&lt;=0,0,'Report-M&amp;O2122'!C$18-'Report-SOF2122'!D$55)</f>
        <v>#DIV/0!</v>
      </c>
      <c r="W879" s="2452" t="e">
        <f t="shared" si="163"/>
        <v>#DIV/0!</v>
      </c>
      <c r="X879" s="1708">
        <f>IF(A879='Data Entry - SOF'!B$2,'Data Entry - SOF'!M$64,0)</f>
        <v>0</v>
      </c>
      <c r="Y879" s="1371" t="e">
        <f t="shared" si="164"/>
        <v>#DIV/0!</v>
      </c>
      <c r="Z879" s="2212" t="e">
        <f>IF('Report-M&amp;O2223'!C$18-'Report-SOF2223'!D$55&lt;=0,0,'Report-M&amp;O2223'!C$18-'Report-SOF2223'!D$55)</f>
        <v>#DIV/0!</v>
      </c>
      <c r="AA879" s="1708">
        <f>IF(A879='Data Entry - SOF'!B$2,'Data Entry - SOF'!O$64,0)</f>
        <v>0</v>
      </c>
    </row>
    <row r="880" spans="1:27" ht="15.75">
      <c r="A880" s="1076" t="s">
        <v>1986</v>
      </c>
      <c r="B880">
        <v>12596737</v>
      </c>
      <c r="C880" s="2452" t="e">
        <f>#REF!+#REF!</f>
        <v>#REF!</v>
      </c>
      <c r="D880" s="2449">
        <f>IF(A880='Data Entry - SOF'!B$2,'Data Entry - SOF'!C$64,0)</f>
        <v>0</v>
      </c>
      <c r="E880" s="2450">
        <f t="shared" si="165"/>
        <v>12596737</v>
      </c>
      <c r="F880" s="2212" t="e">
        <f>IF('Report-M&amp;O1718'!C$18-'Report-SOF1718'!D$55&lt;=0,0,'Report-M&amp;O1718'!C$18-'Report-SOF1718'!D$55)</f>
        <v>#DIV/0!</v>
      </c>
      <c r="G880" s="2452" t="e">
        <f t="shared" si="157"/>
        <v>#DIV/0!</v>
      </c>
      <c r="H880" s="2449">
        <f>IF(A880='Data Entry - SOF'!B$2,'Data Entry - SOF'!E$64,0)</f>
        <v>0</v>
      </c>
      <c r="I880" s="1687">
        <f t="shared" si="158"/>
        <v>12596737</v>
      </c>
      <c r="J880" s="2212" t="e">
        <f>IF('Report-M&amp;O1819'!C$18-'Report-SOF1819'!D$55&lt;=0,0,'Report-M&amp;O1819'!C$18-'Report-SOF1819'!D$55)</f>
        <v>#DIV/0!</v>
      </c>
      <c r="K880" s="2452" t="e">
        <f t="shared" si="159"/>
        <v>#DIV/0!</v>
      </c>
      <c r="L880" s="2449">
        <f>IF(A880='Data Entry - SOF'!B$2,'Data Entry - SOF'!G$64,0)</f>
        <v>0</v>
      </c>
      <c r="M880" s="1371">
        <f t="shared" si="160"/>
        <v>12596737</v>
      </c>
      <c r="N880" s="2212" t="e">
        <f>IF('Report-M&amp;O1920'!C$18-'Report-SOF1920'!D$55&lt;=0,0,'Report-M&amp;O1920'!C$18-'Report-SOF1920'!D$55)</f>
        <v>#DIV/0!</v>
      </c>
      <c r="O880" s="2452" t="e">
        <f t="shared" si="161"/>
        <v>#DIV/0!</v>
      </c>
      <c r="P880" s="2449">
        <f>IF(A880='Data Entry - SOF'!B$2,'Data Entry - SOF'!I$64,0)</f>
        <v>0</v>
      </c>
      <c r="Q880" s="1687">
        <f t="shared" si="156"/>
        <v>12596737</v>
      </c>
      <c r="R880" s="2212" t="e">
        <f>IF('Report-M&amp;O2021'!C$18-'Report-SOF2021'!D$55&lt;=0,0,'Report-M&amp;O2021'!C$18-'Report-SOF2021'!D$55)</f>
        <v>#DIV/0!</v>
      </c>
      <c r="S880" s="2452" t="e">
        <f t="shared" si="162"/>
        <v>#DIV/0!</v>
      </c>
      <c r="T880" s="1708">
        <f>IF(A880='Data Entry - SOF'!B$2,'Data Entry - SOF'!K$64,0)</f>
        <v>0</v>
      </c>
      <c r="U880" s="1687">
        <f t="shared" si="166"/>
        <v>12596737</v>
      </c>
      <c r="V880" s="2212" t="e">
        <f>IF('Report-M&amp;O2122'!C$18-'Report-SOF2122'!D$55&lt;=0,0,'Report-M&amp;O2122'!C$18-'Report-SOF2122'!D$55)</f>
        <v>#DIV/0!</v>
      </c>
      <c r="W880" s="2452" t="e">
        <f t="shared" si="163"/>
        <v>#DIV/0!</v>
      </c>
      <c r="X880" s="1708">
        <f>IF(A880='Data Entry - SOF'!B$2,'Data Entry - SOF'!M$64,0)</f>
        <v>0</v>
      </c>
      <c r="Y880" s="1371" t="e">
        <f t="shared" si="164"/>
        <v>#DIV/0!</v>
      </c>
      <c r="Z880" s="2212" t="e">
        <f>IF('Report-M&amp;O2223'!C$18-'Report-SOF2223'!D$55&lt;=0,0,'Report-M&amp;O2223'!C$18-'Report-SOF2223'!D$55)</f>
        <v>#DIV/0!</v>
      </c>
      <c r="AA880" s="1708">
        <f>IF(A880='Data Entry - SOF'!B$2,'Data Entry - SOF'!O$64,0)</f>
        <v>0</v>
      </c>
    </row>
    <row r="881" spans="1:27" ht="15.75">
      <c r="A881" s="1076" t="s">
        <v>2759</v>
      </c>
      <c r="B881">
        <v>53741923</v>
      </c>
      <c r="C881" s="2452" t="e">
        <f>#REF!+#REF!</f>
        <v>#REF!</v>
      </c>
      <c r="D881" s="2449">
        <f>IF(A881='Data Entry - SOF'!B$2,'Data Entry - SOF'!C$64,0)</f>
        <v>0</v>
      </c>
      <c r="E881" s="2450">
        <f t="shared" si="165"/>
        <v>53741923</v>
      </c>
      <c r="F881" s="2212" t="e">
        <f>IF('Report-M&amp;O1718'!C$18-'Report-SOF1718'!D$55&lt;=0,0,'Report-M&amp;O1718'!C$18-'Report-SOF1718'!D$55)</f>
        <v>#DIV/0!</v>
      </c>
      <c r="G881" s="2452" t="e">
        <f t="shared" si="157"/>
        <v>#DIV/0!</v>
      </c>
      <c r="H881" s="2449">
        <f>IF(A881='Data Entry - SOF'!B$2,'Data Entry - SOF'!E$64,0)</f>
        <v>0</v>
      </c>
      <c r="I881" s="1687">
        <f t="shared" si="158"/>
        <v>53741923</v>
      </c>
      <c r="J881" s="2212" t="e">
        <f>IF('Report-M&amp;O1819'!C$18-'Report-SOF1819'!D$55&lt;=0,0,'Report-M&amp;O1819'!C$18-'Report-SOF1819'!D$55)</f>
        <v>#DIV/0!</v>
      </c>
      <c r="K881" s="2452" t="e">
        <f t="shared" si="159"/>
        <v>#DIV/0!</v>
      </c>
      <c r="L881" s="2449">
        <f>IF(A881='Data Entry - SOF'!B$2,'Data Entry - SOF'!G$64,0)</f>
        <v>0</v>
      </c>
      <c r="M881" s="1371">
        <f t="shared" si="160"/>
        <v>53741923</v>
      </c>
      <c r="N881" s="2212" t="e">
        <f>IF('Report-M&amp;O1920'!C$18-'Report-SOF1920'!D$55&lt;=0,0,'Report-M&amp;O1920'!C$18-'Report-SOF1920'!D$55)</f>
        <v>#DIV/0!</v>
      </c>
      <c r="O881" s="2452" t="e">
        <f t="shared" si="161"/>
        <v>#DIV/0!</v>
      </c>
      <c r="P881" s="2449">
        <f>IF(A881='Data Entry - SOF'!B$2,'Data Entry - SOF'!I$64,0)</f>
        <v>0</v>
      </c>
      <c r="Q881" s="1687">
        <f t="shared" si="156"/>
        <v>53741923</v>
      </c>
      <c r="R881" s="2212" t="e">
        <f>IF('Report-M&amp;O2021'!C$18-'Report-SOF2021'!D$55&lt;=0,0,'Report-M&amp;O2021'!C$18-'Report-SOF2021'!D$55)</f>
        <v>#DIV/0!</v>
      </c>
      <c r="S881" s="2452" t="e">
        <f t="shared" si="162"/>
        <v>#DIV/0!</v>
      </c>
      <c r="T881" s="1708">
        <f>IF(A881='Data Entry - SOF'!B$2,'Data Entry - SOF'!K$64,0)</f>
        <v>0</v>
      </c>
      <c r="U881" s="1687">
        <f t="shared" si="166"/>
        <v>53741923</v>
      </c>
      <c r="V881" s="2212" t="e">
        <f>IF('Report-M&amp;O2122'!C$18-'Report-SOF2122'!D$55&lt;=0,0,'Report-M&amp;O2122'!C$18-'Report-SOF2122'!D$55)</f>
        <v>#DIV/0!</v>
      </c>
      <c r="W881" s="2452" t="e">
        <f t="shared" si="163"/>
        <v>#DIV/0!</v>
      </c>
      <c r="X881" s="1708">
        <f>IF(A881='Data Entry - SOF'!B$2,'Data Entry - SOF'!M$64,0)</f>
        <v>0</v>
      </c>
      <c r="Y881" s="1371" t="e">
        <f t="shared" si="164"/>
        <v>#DIV/0!</v>
      </c>
      <c r="Z881" s="2212" t="e">
        <f>IF('Report-M&amp;O2223'!C$18-'Report-SOF2223'!D$55&lt;=0,0,'Report-M&amp;O2223'!C$18-'Report-SOF2223'!D$55)</f>
        <v>#DIV/0!</v>
      </c>
      <c r="AA881" s="1708">
        <f>IF(A881='Data Entry - SOF'!B$2,'Data Entry - SOF'!O$64,0)</f>
        <v>0</v>
      </c>
    </row>
    <row r="882" spans="1:27" ht="15.75">
      <c r="A882" s="1076" t="s">
        <v>59</v>
      </c>
      <c r="B882">
        <v>10665038</v>
      </c>
      <c r="C882" s="2452" t="e">
        <f>#REF!+#REF!</f>
        <v>#REF!</v>
      </c>
      <c r="D882" s="2449">
        <f>IF(A882='Data Entry - SOF'!B$2,'Data Entry - SOF'!C$64,0)</f>
        <v>0</v>
      </c>
      <c r="E882" s="2450">
        <f t="shared" si="165"/>
        <v>10665038</v>
      </c>
      <c r="F882" s="2212" t="e">
        <f>IF('Report-M&amp;O1718'!C$18-'Report-SOF1718'!D$55&lt;=0,0,'Report-M&amp;O1718'!C$18-'Report-SOF1718'!D$55)</f>
        <v>#DIV/0!</v>
      </c>
      <c r="G882" s="2452" t="e">
        <f t="shared" si="157"/>
        <v>#DIV/0!</v>
      </c>
      <c r="H882" s="2449">
        <f>IF(A882='Data Entry - SOF'!B$2,'Data Entry - SOF'!E$64,0)</f>
        <v>0</v>
      </c>
      <c r="I882" s="1687">
        <f t="shared" si="158"/>
        <v>10665038</v>
      </c>
      <c r="J882" s="2212" t="e">
        <f>IF('Report-M&amp;O1819'!C$18-'Report-SOF1819'!D$55&lt;=0,0,'Report-M&amp;O1819'!C$18-'Report-SOF1819'!D$55)</f>
        <v>#DIV/0!</v>
      </c>
      <c r="K882" s="2452" t="e">
        <f t="shared" si="159"/>
        <v>#DIV/0!</v>
      </c>
      <c r="L882" s="2449">
        <f>IF(A882='Data Entry - SOF'!B$2,'Data Entry - SOF'!G$64,0)</f>
        <v>0</v>
      </c>
      <c r="M882" s="1371">
        <f t="shared" si="160"/>
        <v>10665038</v>
      </c>
      <c r="N882" s="2212" t="e">
        <f>IF('Report-M&amp;O1920'!C$18-'Report-SOF1920'!D$55&lt;=0,0,'Report-M&amp;O1920'!C$18-'Report-SOF1920'!D$55)</f>
        <v>#DIV/0!</v>
      </c>
      <c r="O882" s="2452" t="e">
        <f t="shared" si="161"/>
        <v>#DIV/0!</v>
      </c>
      <c r="P882" s="2449">
        <f>IF(A882='Data Entry - SOF'!B$2,'Data Entry - SOF'!I$64,0)</f>
        <v>0</v>
      </c>
      <c r="Q882" s="1687">
        <f t="shared" si="156"/>
        <v>10665038</v>
      </c>
      <c r="R882" s="2212" t="e">
        <f>IF('Report-M&amp;O2021'!C$18-'Report-SOF2021'!D$55&lt;=0,0,'Report-M&amp;O2021'!C$18-'Report-SOF2021'!D$55)</f>
        <v>#DIV/0!</v>
      </c>
      <c r="S882" s="2452" t="e">
        <f t="shared" si="162"/>
        <v>#DIV/0!</v>
      </c>
      <c r="T882" s="1708">
        <f>IF(A882='Data Entry - SOF'!B$2,'Data Entry - SOF'!K$64,0)</f>
        <v>0</v>
      </c>
      <c r="U882" s="1687">
        <f t="shared" si="166"/>
        <v>10665038</v>
      </c>
      <c r="V882" s="2212" t="e">
        <f>IF('Report-M&amp;O2122'!C$18-'Report-SOF2122'!D$55&lt;=0,0,'Report-M&amp;O2122'!C$18-'Report-SOF2122'!D$55)</f>
        <v>#DIV/0!</v>
      </c>
      <c r="W882" s="2452" t="e">
        <f t="shared" si="163"/>
        <v>#DIV/0!</v>
      </c>
      <c r="X882" s="1708">
        <f>IF(A882='Data Entry - SOF'!B$2,'Data Entry - SOF'!M$64,0)</f>
        <v>0</v>
      </c>
      <c r="Y882" s="1371" t="e">
        <f t="shared" si="164"/>
        <v>#DIV/0!</v>
      </c>
      <c r="Z882" s="2212" t="e">
        <f>IF('Report-M&amp;O2223'!C$18-'Report-SOF2223'!D$55&lt;=0,0,'Report-M&amp;O2223'!C$18-'Report-SOF2223'!D$55)</f>
        <v>#DIV/0!</v>
      </c>
      <c r="AA882" s="1708">
        <f>IF(A882='Data Entry - SOF'!B$2,'Data Entry - SOF'!O$64,0)</f>
        <v>0</v>
      </c>
    </row>
    <row r="883" spans="1:27" ht="15.75">
      <c r="A883" s="1076" t="s">
        <v>1894</v>
      </c>
      <c r="B883">
        <v>14124627</v>
      </c>
      <c r="C883" s="2452" t="e">
        <f>#REF!+#REF!</f>
        <v>#REF!</v>
      </c>
      <c r="D883" s="2449">
        <f>IF(A883='Data Entry - SOF'!B$2,'Data Entry - SOF'!C$64,0)</f>
        <v>0</v>
      </c>
      <c r="E883" s="2450">
        <f t="shared" si="165"/>
        <v>14124627</v>
      </c>
      <c r="F883" s="2212" t="e">
        <f>IF('Report-M&amp;O1718'!C$18-'Report-SOF1718'!D$55&lt;=0,0,'Report-M&amp;O1718'!C$18-'Report-SOF1718'!D$55)</f>
        <v>#DIV/0!</v>
      </c>
      <c r="G883" s="2452" t="e">
        <f t="shared" si="157"/>
        <v>#DIV/0!</v>
      </c>
      <c r="H883" s="2449">
        <f>IF(A883='Data Entry - SOF'!B$2,'Data Entry - SOF'!E$64,0)</f>
        <v>0</v>
      </c>
      <c r="I883" s="1687">
        <f t="shared" si="158"/>
        <v>14124627</v>
      </c>
      <c r="J883" s="2212" t="e">
        <f>IF('Report-M&amp;O1819'!C$18-'Report-SOF1819'!D$55&lt;=0,0,'Report-M&amp;O1819'!C$18-'Report-SOF1819'!D$55)</f>
        <v>#DIV/0!</v>
      </c>
      <c r="K883" s="2452" t="e">
        <f t="shared" si="159"/>
        <v>#DIV/0!</v>
      </c>
      <c r="L883" s="2449">
        <f>IF(A883='Data Entry - SOF'!B$2,'Data Entry - SOF'!G$64,0)</f>
        <v>0</v>
      </c>
      <c r="M883" s="1371">
        <f t="shared" si="160"/>
        <v>14124627</v>
      </c>
      <c r="N883" s="2212" t="e">
        <f>IF('Report-M&amp;O1920'!C$18-'Report-SOF1920'!D$55&lt;=0,0,'Report-M&amp;O1920'!C$18-'Report-SOF1920'!D$55)</f>
        <v>#DIV/0!</v>
      </c>
      <c r="O883" s="2452" t="e">
        <f t="shared" si="161"/>
        <v>#DIV/0!</v>
      </c>
      <c r="P883" s="2449">
        <f>IF(A883='Data Entry - SOF'!B$2,'Data Entry - SOF'!I$64,0)</f>
        <v>0</v>
      </c>
      <c r="Q883" s="1687">
        <f t="shared" si="156"/>
        <v>14124627</v>
      </c>
      <c r="R883" s="2212" t="e">
        <f>IF('Report-M&amp;O2021'!C$18-'Report-SOF2021'!D$55&lt;=0,0,'Report-M&amp;O2021'!C$18-'Report-SOF2021'!D$55)</f>
        <v>#DIV/0!</v>
      </c>
      <c r="S883" s="2452" t="e">
        <f t="shared" si="162"/>
        <v>#DIV/0!</v>
      </c>
      <c r="T883" s="1708">
        <f>IF(A883='Data Entry - SOF'!B$2,'Data Entry - SOF'!K$64,0)</f>
        <v>0</v>
      </c>
      <c r="U883" s="1687">
        <f t="shared" si="166"/>
        <v>14124627</v>
      </c>
      <c r="V883" s="2212" t="e">
        <f>IF('Report-M&amp;O2122'!C$18-'Report-SOF2122'!D$55&lt;=0,0,'Report-M&amp;O2122'!C$18-'Report-SOF2122'!D$55)</f>
        <v>#DIV/0!</v>
      </c>
      <c r="W883" s="2452" t="e">
        <f t="shared" si="163"/>
        <v>#DIV/0!</v>
      </c>
      <c r="X883" s="1708">
        <f>IF(A883='Data Entry - SOF'!B$2,'Data Entry - SOF'!M$64,0)</f>
        <v>0</v>
      </c>
      <c r="Y883" s="1371" t="e">
        <f t="shared" si="164"/>
        <v>#DIV/0!</v>
      </c>
      <c r="Z883" s="2212" t="e">
        <f>IF('Report-M&amp;O2223'!C$18-'Report-SOF2223'!D$55&lt;=0,0,'Report-M&amp;O2223'!C$18-'Report-SOF2223'!D$55)</f>
        <v>#DIV/0!</v>
      </c>
      <c r="AA883" s="1708">
        <f>IF(A883='Data Entry - SOF'!B$2,'Data Entry - SOF'!O$64,0)</f>
        <v>0</v>
      </c>
    </row>
    <row r="884" spans="1:27" ht="15.75">
      <c r="A884" s="1076" t="s">
        <v>1280</v>
      </c>
      <c r="B884">
        <v>83460018</v>
      </c>
      <c r="C884" s="2452" t="e">
        <f>#REF!+#REF!</f>
        <v>#REF!</v>
      </c>
      <c r="D884" s="2449">
        <f>IF(A884='Data Entry - SOF'!B$2,'Data Entry - SOF'!C$64,0)</f>
        <v>0</v>
      </c>
      <c r="E884" s="2450">
        <f t="shared" si="165"/>
        <v>83460018</v>
      </c>
      <c r="F884" s="2212" t="e">
        <f>IF('Report-M&amp;O1718'!C$18-'Report-SOF1718'!D$55&lt;=0,0,'Report-M&amp;O1718'!C$18-'Report-SOF1718'!D$55)</f>
        <v>#DIV/0!</v>
      </c>
      <c r="G884" s="2452" t="e">
        <f t="shared" si="157"/>
        <v>#DIV/0!</v>
      </c>
      <c r="H884" s="2449">
        <f>IF(A884='Data Entry - SOF'!B$2,'Data Entry - SOF'!E$64,0)</f>
        <v>0</v>
      </c>
      <c r="I884" s="1687">
        <f t="shared" si="158"/>
        <v>83460018</v>
      </c>
      <c r="J884" s="2212" t="e">
        <f>IF('Report-M&amp;O1819'!C$18-'Report-SOF1819'!D$55&lt;=0,0,'Report-M&amp;O1819'!C$18-'Report-SOF1819'!D$55)</f>
        <v>#DIV/0!</v>
      </c>
      <c r="K884" s="2452" t="e">
        <f t="shared" si="159"/>
        <v>#DIV/0!</v>
      </c>
      <c r="L884" s="2449">
        <f>IF(A884='Data Entry - SOF'!B$2,'Data Entry - SOF'!G$64,0)</f>
        <v>0</v>
      </c>
      <c r="M884" s="1371">
        <f t="shared" si="160"/>
        <v>83460018</v>
      </c>
      <c r="N884" s="2212" t="e">
        <f>IF('Report-M&amp;O1920'!C$18-'Report-SOF1920'!D$55&lt;=0,0,'Report-M&amp;O1920'!C$18-'Report-SOF1920'!D$55)</f>
        <v>#DIV/0!</v>
      </c>
      <c r="O884" s="2452" t="e">
        <f t="shared" si="161"/>
        <v>#DIV/0!</v>
      </c>
      <c r="P884" s="2449">
        <f>IF(A884='Data Entry - SOF'!B$2,'Data Entry - SOF'!I$64,0)</f>
        <v>0</v>
      </c>
      <c r="Q884" s="1687">
        <f t="shared" si="156"/>
        <v>83460018</v>
      </c>
      <c r="R884" s="2212" t="e">
        <f>IF('Report-M&amp;O2021'!C$18-'Report-SOF2021'!D$55&lt;=0,0,'Report-M&amp;O2021'!C$18-'Report-SOF2021'!D$55)</f>
        <v>#DIV/0!</v>
      </c>
      <c r="S884" s="2452" t="e">
        <f t="shared" si="162"/>
        <v>#DIV/0!</v>
      </c>
      <c r="T884" s="1708">
        <f>IF(A884='Data Entry - SOF'!B$2,'Data Entry - SOF'!K$64,0)</f>
        <v>0</v>
      </c>
      <c r="U884" s="1687">
        <f t="shared" si="166"/>
        <v>83460018</v>
      </c>
      <c r="V884" s="2212" t="e">
        <f>IF('Report-M&amp;O2122'!C$18-'Report-SOF2122'!D$55&lt;=0,0,'Report-M&amp;O2122'!C$18-'Report-SOF2122'!D$55)</f>
        <v>#DIV/0!</v>
      </c>
      <c r="W884" s="2452" t="e">
        <f t="shared" si="163"/>
        <v>#DIV/0!</v>
      </c>
      <c r="X884" s="1708">
        <f>IF(A884='Data Entry - SOF'!B$2,'Data Entry - SOF'!M$64,0)</f>
        <v>0</v>
      </c>
      <c r="Y884" s="1371" t="e">
        <f t="shared" si="164"/>
        <v>#DIV/0!</v>
      </c>
      <c r="Z884" s="2212" t="e">
        <f>IF('Report-M&amp;O2223'!C$18-'Report-SOF2223'!D$55&lt;=0,0,'Report-M&amp;O2223'!C$18-'Report-SOF2223'!D$55)</f>
        <v>#DIV/0!</v>
      </c>
      <c r="AA884" s="1708">
        <f>IF(A884='Data Entry - SOF'!B$2,'Data Entry - SOF'!O$64,0)</f>
        <v>0</v>
      </c>
    </row>
    <row r="885" spans="1:27" ht="15.75">
      <c r="A885" s="1076" t="s">
        <v>2108</v>
      </c>
      <c r="B885">
        <v>4382433</v>
      </c>
      <c r="C885" s="2452" t="e">
        <f>#REF!+#REF!</f>
        <v>#REF!</v>
      </c>
      <c r="D885" s="2449">
        <f>IF(A885='Data Entry - SOF'!B$2,'Data Entry - SOF'!C$64,0)</f>
        <v>0</v>
      </c>
      <c r="E885" s="2450">
        <f t="shared" si="165"/>
        <v>4382433</v>
      </c>
      <c r="F885" s="2212" t="e">
        <f>IF('Report-M&amp;O1718'!C$18-'Report-SOF1718'!D$55&lt;=0,0,'Report-M&amp;O1718'!C$18-'Report-SOF1718'!D$55)</f>
        <v>#DIV/0!</v>
      </c>
      <c r="G885" s="2452" t="e">
        <f t="shared" si="157"/>
        <v>#DIV/0!</v>
      </c>
      <c r="H885" s="2449">
        <f>IF(A885='Data Entry - SOF'!B$2,'Data Entry - SOF'!E$64,0)</f>
        <v>0</v>
      </c>
      <c r="I885" s="1687">
        <f t="shared" si="158"/>
        <v>4382433</v>
      </c>
      <c r="J885" s="2212" t="e">
        <f>IF('Report-M&amp;O1819'!C$18-'Report-SOF1819'!D$55&lt;=0,0,'Report-M&amp;O1819'!C$18-'Report-SOF1819'!D$55)</f>
        <v>#DIV/0!</v>
      </c>
      <c r="K885" s="2452" t="e">
        <f t="shared" si="159"/>
        <v>#DIV/0!</v>
      </c>
      <c r="L885" s="2449">
        <f>IF(A885='Data Entry - SOF'!B$2,'Data Entry - SOF'!G$64,0)</f>
        <v>0</v>
      </c>
      <c r="M885" s="1371">
        <f t="shared" si="160"/>
        <v>4382433</v>
      </c>
      <c r="N885" s="2212" t="e">
        <f>IF('Report-M&amp;O1920'!C$18-'Report-SOF1920'!D$55&lt;=0,0,'Report-M&amp;O1920'!C$18-'Report-SOF1920'!D$55)</f>
        <v>#DIV/0!</v>
      </c>
      <c r="O885" s="2452" t="e">
        <f t="shared" si="161"/>
        <v>#DIV/0!</v>
      </c>
      <c r="P885" s="2449">
        <f>IF(A885='Data Entry - SOF'!B$2,'Data Entry - SOF'!I$64,0)</f>
        <v>0</v>
      </c>
      <c r="Q885" s="1687">
        <f t="shared" si="156"/>
        <v>4382433</v>
      </c>
      <c r="R885" s="2212" t="e">
        <f>IF('Report-M&amp;O2021'!C$18-'Report-SOF2021'!D$55&lt;=0,0,'Report-M&amp;O2021'!C$18-'Report-SOF2021'!D$55)</f>
        <v>#DIV/0!</v>
      </c>
      <c r="S885" s="2452" t="e">
        <f t="shared" si="162"/>
        <v>#DIV/0!</v>
      </c>
      <c r="T885" s="1708">
        <f>IF(A885='Data Entry - SOF'!B$2,'Data Entry - SOF'!K$64,0)</f>
        <v>0</v>
      </c>
      <c r="U885" s="1687">
        <f t="shared" si="166"/>
        <v>4382433</v>
      </c>
      <c r="V885" s="2212" t="e">
        <f>IF('Report-M&amp;O2122'!C$18-'Report-SOF2122'!D$55&lt;=0,0,'Report-M&amp;O2122'!C$18-'Report-SOF2122'!D$55)</f>
        <v>#DIV/0!</v>
      </c>
      <c r="W885" s="2452" t="e">
        <f t="shared" si="163"/>
        <v>#DIV/0!</v>
      </c>
      <c r="X885" s="1708">
        <f>IF(A885='Data Entry - SOF'!B$2,'Data Entry - SOF'!M$64,0)</f>
        <v>0</v>
      </c>
      <c r="Y885" s="1371" t="e">
        <f t="shared" si="164"/>
        <v>#DIV/0!</v>
      </c>
      <c r="Z885" s="2212" t="e">
        <f>IF('Report-M&amp;O2223'!C$18-'Report-SOF2223'!D$55&lt;=0,0,'Report-M&amp;O2223'!C$18-'Report-SOF2223'!D$55)</f>
        <v>#DIV/0!</v>
      </c>
      <c r="AA885" s="1708">
        <f>IF(A885='Data Entry - SOF'!B$2,'Data Entry - SOF'!O$64,0)</f>
        <v>0</v>
      </c>
    </row>
    <row r="886" spans="1:27" ht="15.75">
      <c r="A886" s="1076" t="s">
        <v>2542</v>
      </c>
      <c r="B886">
        <v>107154995</v>
      </c>
      <c r="C886" s="2452" t="e">
        <f>#REF!+#REF!</f>
        <v>#REF!</v>
      </c>
      <c r="D886" s="2449">
        <f>IF(A886='Data Entry - SOF'!B$2,'Data Entry - SOF'!C$64,0)</f>
        <v>0</v>
      </c>
      <c r="E886" s="2450">
        <f t="shared" si="165"/>
        <v>107154995</v>
      </c>
      <c r="F886" s="2212" t="e">
        <f>IF('Report-M&amp;O1718'!C$18-'Report-SOF1718'!D$55&lt;=0,0,'Report-M&amp;O1718'!C$18-'Report-SOF1718'!D$55)</f>
        <v>#DIV/0!</v>
      </c>
      <c r="G886" s="2452" t="e">
        <f t="shared" si="157"/>
        <v>#DIV/0!</v>
      </c>
      <c r="H886" s="2449">
        <f>IF(A886='Data Entry - SOF'!B$2,'Data Entry - SOF'!E$64,0)</f>
        <v>0</v>
      </c>
      <c r="I886" s="1687">
        <f t="shared" si="158"/>
        <v>107154995</v>
      </c>
      <c r="J886" s="2212" t="e">
        <f>IF('Report-M&amp;O1819'!C$18-'Report-SOF1819'!D$55&lt;=0,0,'Report-M&amp;O1819'!C$18-'Report-SOF1819'!D$55)</f>
        <v>#DIV/0!</v>
      </c>
      <c r="K886" s="2452" t="e">
        <f t="shared" si="159"/>
        <v>#DIV/0!</v>
      </c>
      <c r="L886" s="2449">
        <f>IF(A886='Data Entry - SOF'!B$2,'Data Entry - SOF'!G$64,0)</f>
        <v>0</v>
      </c>
      <c r="M886" s="1371">
        <f t="shared" si="160"/>
        <v>107154995</v>
      </c>
      <c r="N886" s="2212" t="e">
        <f>IF('Report-M&amp;O1920'!C$18-'Report-SOF1920'!D$55&lt;=0,0,'Report-M&amp;O1920'!C$18-'Report-SOF1920'!D$55)</f>
        <v>#DIV/0!</v>
      </c>
      <c r="O886" s="2452" t="e">
        <f t="shared" si="161"/>
        <v>#DIV/0!</v>
      </c>
      <c r="P886" s="2449">
        <f>IF(A886='Data Entry - SOF'!B$2,'Data Entry - SOF'!I$64,0)</f>
        <v>0</v>
      </c>
      <c r="Q886" s="1687">
        <f t="shared" si="156"/>
        <v>107154995</v>
      </c>
      <c r="R886" s="2212" t="e">
        <f>IF('Report-M&amp;O2021'!C$18-'Report-SOF2021'!D$55&lt;=0,0,'Report-M&amp;O2021'!C$18-'Report-SOF2021'!D$55)</f>
        <v>#DIV/0!</v>
      </c>
      <c r="S886" s="2452" t="e">
        <f t="shared" si="162"/>
        <v>#DIV/0!</v>
      </c>
      <c r="T886" s="1708">
        <f>IF(A886='Data Entry - SOF'!B$2,'Data Entry - SOF'!K$64,0)</f>
        <v>0</v>
      </c>
      <c r="U886" s="1687">
        <f t="shared" si="166"/>
        <v>107154995</v>
      </c>
      <c r="V886" s="2212" t="e">
        <f>IF('Report-M&amp;O2122'!C$18-'Report-SOF2122'!D$55&lt;=0,0,'Report-M&amp;O2122'!C$18-'Report-SOF2122'!D$55)</f>
        <v>#DIV/0!</v>
      </c>
      <c r="W886" s="2452" t="e">
        <f t="shared" si="163"/>
        <v>#DIV/0!</v>
      </c>
      <c r="X886" s="1708">
        <f>IF(A886='Data Entry - SOF'!B$2,'Data Entry - SOF'!M$64,0)</f>
        <v>0</v>
      </c>
      <c r="Y886" s="1371" t="e">
        <f t="shared" si="164"/>
        <v>#DIV/0!</v>
      </c>
      <c r="Z886" s="2212" t="e">
        <f>IF('Report-M&amp;O2223'!C$18-'Report-SOF2223'!D$55&lt;=0,0,'Report-M&amp;O2223'!C$18-'Report-SOF2223'!D$55)</f>
        <v>#DIV/0!</v>
      </c>
      <c r="AA886" s="1708">
        <f>IF(A886='Data Entry - SOF'!B$2,'Data Entry - SOF'!O$64,0)</f>
        <v>0</v>
      </c>
    </row>
    <row r="887" spans="1:27" ht="15.75">
      <c r="A887" s="1076" t="s">
        <v>2107</v>
      </c>
      <c r="B887">
        <v>193163420</v>
      </c>
      <c r="C887" s="2452" t="e">
        <f>#REF!+#REF!</f>
        <v>#REF!</v>
      </c>
      <c r="D887" s="2449">
        <f>IF(A887='Data Entry - SOF'!B$2,'Data Entry - SOF'!C$64,0)</f>
        <v>0</v>
      </c>
      <c r="E887" s="2450">
        <f t="shared" si="165"/>
        <v>193163420</v>
      </c>
      <c r="F887" s="2212" t="e">
        <f>IF('Report-M&amp;O1718'!C$18-'Report-SOF1718'!D$55&lt;=0,0,'Report-M&amp;O1718'!C$18-'Report-SOF1718'!D$55)</f>
        <v>#DIV/0!</v>
      </c>
      <c r="G887" s="2452" t="e">
        <f t="shared" si="157"/>
        <v>#DIV/0!</v>
      </c>
      <c r="H887" s="2449">
        <f>IF(A887='Data Entry - SOF'!B$2,'Data Entry - SOF'!E$64,0)</f>
        <v>0</v>
      </c>
      <c r="I887" s="1687">
        <f t="shared" si="158"/>
        <v>193163420</v>
      </c>
      <c r="J887" s="2212" t="e">
        <f>IF('Report-M&amp;O1819'!C$18-'Report-SOF1819'!D$55&lt;=0,0,'Report-M&amp;O1819'!C$18-'Report-SOF1819'!D$55)</f>
        <v>#DIV/0!</v>
      </c>
      <c r="K887" s="2452" t="e">
        <f t="shared" si="159"/>
        <v>#DIV/0!</v>
      </c>
      <c r="L887" s="2449">
        <f>IF(A887='Data Entry - SOF'!B$2,'Data Entry - SOF'!G$64,0)</f>
        <v>0</v>
      </c>
      <c r="M887" s="1371">
        <f t="shared" si="160"/>
        <v>193163420</v>
      </c>
      <c r="N887" s="2212" t="e">
        <f>IF('Report-M&amp;O1920'!C$18-'Report-SOF1920'!D$55&lt;=0,0,'Report-M&amp;O1920'!C$18-'Report-SOF1920'!D$55)</f>
        <v>#DIV/0!</v>
      </c>
      <c r="O887" s="2452" t="e">
        <f t="shared" si="161"/>
        <v>#DIV/0!</v>
      </c>
      <c r="P887" s="2449">
        <f>IF(A887='Data Entry - SOF'!B$2,'Data Entry - SOF'!I$64,0)</f>
        <v>0</v>
      </c>
      <c r="Q887" s="1687">
        <f t="shared" si="156"/>
        <v>193163420</v>
      </c>
      <c r="R887" s="2212" t="e">
        <f>IF('Report-M&amp;O2021'!C$18-'Report-SOF2021'!D$55&lt;=0,0,'Report-M&amp;O2021'!C$18-'Report-SOF2021'!D$55)</f>
        <v>#DIV/0!</v>
      </c>
      <c r="S887" s="2452" t="e">
        <f t="shared" si="162"/>
        <v>#DIV/0!</v>
      </c>
      <c r="T887" s="1708">
        <f>IF(A887='Data Entry - SOF'!B$2,'Data Entry - SOF'!K$64,0)</f>
        <v>0</v>
      </c>
      <c r="U887" s="1687">
        <f t="shared" si="166"/>
        <v>193163420</v>
      </c>
      <c r="V887" s="2212" t="e">
        <f>IF('Report-M&amp;O2122'!C$18-'Report-SOF2122'!D$55&lt;=0,0,'Report-M&amp;O2122'!C$18-'Report-SOF2122'!D$55)</f>
        <v>#DIV/0!</v>
      </c>
      <c r="W887" s="2452" t="e">
        <f t="shared" si="163"/>
        <v>#DIV/0!</v>
      </c>
      <c r="X887" s="1708">
        <f>IF(A887='Data Entry - SOF'!B$2,'Data Entry - SOF'!M$64,0)</f>
        <v>0</v>
      </c>
      <c r="Y887" s="1371" t="e">
        <f t="shared" si="164"/>
        <v>#DIV/0!</v>
      </c>
      <c r="Z887" s="2212" t="e">
        <f>IF('Report-M&amp;O2223'!C$18-'Report-SOF2223'!D$55&lt;=0,0,'Report-M&amp;O2223'!C$18-'Report-SOF2223'!D$55)</f>
        <v>#DIV/0!</v>
      </c>
      <c r="AA887" s="1708">
        <f>IF(A887='Data Entry - SOF'!B$2,'Data Entry - SOF'!O$64,0)</f>
        <v>0</v>
      </c>
    </row>
    <row r="888" spans="1:27" ht="15.75">
      <c r="A888" s="1076" t="s">
        <v>1347</v>
      </c>
      <c r="B888">
        <v>35335964</v>
      </c>
      <c r="C888" s="2452" t="e">
        <f>#REF!+#REF!</f>
        <v>#REF!</v>
      </c>
      <c r="D888" s="2449">
        <f>IF(A888='Data Entry - SOF'!B$2,'Data Entry - SOF'!C$64,0)</f>
        <v>0</v>
      </c>
      <c r="E888" s="2450">
        <f t="shared" si="165"/>
        <v>35335964</v>
      </c>
      <c r="F888" s="2212" t="e">
        <f>IF('Report-M&amp;O1718'!C$18-'Report-SOF1718'!D$55&lt;=0,0,'Report-M&amp;O1718'!C$18-'Report-SOF1718'!D$55)</f>
        <v>#DIV/0!</v>
      </c>
      <c r="G888" s="2452" t="e">
        <f t="shared" si="157"/>
        <v>#DIV/0!</v>
      </c>
      <c r="H888" s="2449">
        <f>IF(A888='Data Entry - SOF'!B$2,'Data Entry - SOF'!E$64,0)</f>
        <v>0</v>
      </c>
      <c r="I888" s="1687">
        <f t="shared" si="158"/>
        <v>35335964</v>
      </c>
      <c r="J888" s="2212" t="e">
        <f>IF('Report-M&amp;O1819'!C$18-'Report-SOF1819'!D$55&lt;=0,0,'Report-M&amp;O1819'!C$18-'Report-SOF1819'!D$55)</f>
        <v>#DIV/0!</v>
      </c>
      <c r="K888" s="2452" t="e">
        <f t="shared" si="159"/>
        <v>#DIV/0!</v>
      </c>
      <c r="L888" s="2449">
        <f>IF(A888='Data Entry - SOF'!B$2,'Data Entry - SOF'!G$64,0)</f>
        <v>0</v>
      </c>
      <c r="M888" s="1371">
        <f t="shared" si="160"/>
        <v>35335964</v>
      </c>
      <c r="N888" s="2212" t="e">
        <f>IF('Report-M&amp;O1920'!C$18-'Report-SOF1920'!D$55&lt;=0,0,'Report-M&amp;O1920'!C$18-'Report-SOF1920'!D$55)</f>
        <v>#DIV/0!</v>
      </c>
      <c r="O888" s="2452" t="e">
        <f t="shared" si="161"/>
        <v>#DIV/0!</v>
      </c>
      <c r="P888" s="2449">
        <f>IF(A888='Data Entry - SOF'!B$2,'Data Entry - SOF'!I$64,0)</f>
        <v>0</v>
      </c>
      <c r="Q888" s="1687">
        <f t="shared" si="156"/>
        <v>35335964</v>
      </c>
      <c r="R888" s="2212" t="e">
        <f>IF('Report-M&amp;O2021'!C$18-'Report-SOF2021'!D$55&lt;=0,0,'Report-M&amp;O2021'!C$18-'Report-SOF2021'!D$55)</f>
        <v>#DIV/0!</v>
      </c>
      <c r="S888" s="2452" t="e">
        <f t="shared" si="162"/>
        <v>#DIV/0!</v>
      </c>
      <c r="T888" s="1708">
        <f>IF(A888='Data Entry - SOF'!B$2,'Data Entry - SOF'!K$64,0)</f>
        <v>0</v>
      </c>
      <c r="U888" s="1687">
        <f t="shared" si="166"/>
        <v>35335964</v>
      </c>
      <c r="V888" s="2212" t="e">
        <f>IF('Report-M&amp;O2122'!C$18-'Report-SOF2122'!D$55&lt;=0,0,'Report-M&amp;O2122'!C$18-'Report-SOF2122'!D$55)</f>
        <v>#DIV/0!</v>
      </c>
      <c r="W888" s="2452" t="e">
        <f t="shared" si="163"/>
        <v>#DIV/0!</v>
      </c>
      <c r="X888" s="1708">
        <f>IF(A888='Data Entry - SOF'!B$2,'Data Entry - SOF'!M$64,0)</f>
        <v>0</v>
      </c>
      <c r="Y888" s="1371" t="e">
        <f t="shared" si="164"/>
        <v>#DIV/0!</v>
      </c>
      <c r="Z888" s="2212" t="e">
        <f>IF('Report-M&amp;O2223'!C$18-'Report-SOF2223'!D$55&lt;=0,0,'Report-M&amp;O2223'!C$18-'Report-SOF2223'!D$55)</f>
        <v>#DIV/0!</v>
      </c>
      <c r="AA888" s="1708">
        <f>IF(A888='Data Entry - SOF'!B$2,'Data Entry - SOF'!O$64,0)</f>
        <v>0</v>
      </c>
    </row>
    <row r="889" spans="1:27" ht="15.75">
      <c r="A889" s="1076" t="s">
        <v>2543</v>
      </c>
      <c r="B889">
        <v>19298088</v>
      </c>
      <c r="C889" s="2452" t="e">
        <f>#REF!+#REF!</f>
        <v>#REF!</v>
      </c>
      <c r="D889" s="2449">
        <f>IF(A889='Data Entry - SOF'!B$2,'Data Entry - SOF'!C$64,0)</f>
        <v>0</v>
      </c>
      <c r="E889" s="2450">
        <f t="shared" si="165"/>
        <v>19298088</v>
      </c>
      <c r="F889" s="2212" t="e">
        <f>IF('Report-M&amp;O1718'!C$18-'Report-SOF1718'!D$55&lt;=0,0,'Report-M&amp;O1718'!C$18-'Report-SOF1718'!D$55)</f>
        <v>#DIV/0!</v>
      </c>
      <c r="G889" s="2452" t="e">
        <f t="shared" si="157"/>
        <v>#DIV/0!</v>
      </c>
      <c r="H889" s="2449">
        <f>IF(A889='Data Entry - SOF'!B$2,'Data Entry - SOF'!E$64,0)</f>
        <v>0</v>
      </c>
      <c r="I889" s="1687">
        <f t="shared" si="158"/>
        <v>19298088</v>
      </c>
      <c r="J889" s="2212" t="e">
        <f>IF('Report-M&amp;O1819'!C$18-'Report-SOF1819'!D$55&lt;=0,0,'Report-M&amp;O1819'!C$18-'Report-SOF1819'!D$55)</f>
        <v>#DIV/0!</v>
      </c>
      <c r="K889" s="2452" t="e">
        <f t="shared" si="159"/>
        <v>#DIV/0!</v>
      </c>
      <c r="L889" s="2449">
        <f>IF(A889='Data Entry - SOF'!B$2,'Data Entry - SOF'!G$64,0)</f>
        <v>0</v>
      </c>
      <c r="M889" s="1371">
        <f t="shared" si="160"/>
        <v>19298088</v>
      </c>
      <c r="N889" s="2212" t="e">
        <f>IF('Report-M&amp;O1920'!C$18-'Report-SOF1920'!D$55&lt;=0,0,'Report-M&amp;O1920'!C$18-'Report-SOF1920'!D$55)</f>
        <v>#DIV/0!</v>
      </c>
      <c r="O889" s="2452" t="e">
        <f t="shared" si="161"/>
        <v>#DIV/0!</v>
      </c>
      <c r="P889" s="2449">
        <f>IF(A889='Data Entry - SOF'!B$2,'Data Entry - SOF'!I$64,0)</f>
        <v>0</v>
      </c>
      <c r="Q889" s="1687">
        <f t="shared" si="156"/>
        <v>19298088</v>
      </c>
      <c r="R889" s="2212" t="e">
        <f>IF('Report-M&amp;O2021'!C$18-'Report-SOF2021'!D$55&lt;=0,0,'Report-M&amp;O2021'!C$18-'Report-SOF2021'!D$55)</f>
        <v>#DIV/0!</v>
      </c>
      <c r="S889" s="2452" t="e">
        <f t="shared" si="162"/>
        <v>#DIV/0!</v>
      </c>
      <c r="T889" s="1708">
        <f>IF(A889='Data Entry - SOF'!B$2,'Data Entry - SOF'!K$64,0)</f>
        <v>0</v>
      </c>
      <c r="U889" s="1687">
        <f t="shared" si="166"/>
        <v>19298088</v>
      </c>
      <c r="V889" s="2212" t="e">
        <f>IF('Report-M&amp;O2122'!C$18-'Report-SOF2122'!D$55&lt;=0,0,'Report-M&amp;O2122'!C$18-'Report-SOF2122'!D$55)</f>
        <v>#DIV/0!</v>
      </c>
      <c r="W889" s="2452" t="e">
        <f t="shared" si="163"/>
        <v>#DIV/0!</v>
      </c>
      <c r="X889" s="1708">
        <f>IF(A889='Data Entry - SOF'!B$2,'Data Entry - SOF'!M$64,0)</f>
        <v>0</v>
      </c>
      <c r="Y889" s="1371" t="e">
        <f t="shared" si="164"/>
        <v>#DIV/0!</v>
      </c>
      <c r="Z889" s="2212" t="e">
        <f>IF('Report-M&amp;O2223'!C$18-'Report-SOF2223'!D$55&lt;=0,0,'Report-M&amp;O2223'!C$18-'Report-SOF2223'!D$55)</f>
        <v>#DIV/0!</v>
      </c>
      <c r="AA889" s="1708">
        <f>IF(A889='Data Entry - SOF'!B$2,'Data Entry - SOF'!O$64,0)</f>
        <v>0</v>
      </c>
    </row>
    <row r="890" spans="1:27" ht="15.75">
      <c r="A890" s="1076" t="s">
        <v>2544</v>
      </c>
      <c r="B890">
        <v>1912689</v>
      </c>
      <c r="C890" s="2452" t="e">
        <f>#REF!+#REF!</f>
        <v>#REF!</v>
      </c>
      <c r="D890" s="2449">
        <f>IF(A890='Data Entry - SOF'!B$2,'Data Entry - SOF'!C$64,0)</f>
        <v>0</v>
      </c>
      <c r="E890" s="2450">
        <f t="shared" si="165"/>
        <v>1912689</v>
      </c>
      <c r="F890" s="2212" t="e">
        <f>IF('Report-M&amp;O1718'!C$18-'Report-SOF1718'!D$55&lt;=0,0,'Report-M&amp;O1718'!C$18-'Report-SOF1718'!D$55)</f>
        <v>#DIV/0!</v>
      </c>
      <c r="G890" s="2452" t="e">
        <f t="shared" si="157"/>
        <v>#DIV/0!</v>
      </c>
      <c r="H890" s="2449">
        <f>IF(A890='Data Entry - SOF'!B$2,'Data Entry - SOF'!E$64,0)</f>
        <v>0</v>
      </c>
      <c r="I890" s="1687">
        <f t="shared" si="158"/>
        <v>1912689</v>
      </c>
      <c r="J890" s="2212" t="e">
        <f>IF('Report-M&amp;O1819'!C$18-'Report-SOF1819'!D$55&lt;=0,0,'Report-M&amp;O1819'!C$18-'Report-SOF1819'!D$55)</f>
        <v>#DIV/0!</v>
      </c>
      <c r="K890" s="2452" t="e">
        <f t="shared" si="159"/>
        <v>#DIV/0!</v>
      </c>
      <c r="L890" s="2449">
        <f>IF(A890='Data Entry - SOF'!B$2,'Data Entry - SOF'!G$64,0)</f>
        <v>0</v>
      </c>
      <c r="M890" s="1371">
        <f t="shared" si="160"/>
        <v>1912689</v>
      </c>
      <c r="N890" s="2212" t="e">
        <f>IF('Report-M&amp;O1920'!C$18-'Report-SOF1920'!D$55&lt;=0,0,'Report-M&amp;O1920'!C$18-'Report-SOF1920'!D$55)</f>
        <v>#DIV/0!</v>
      </c>
      <c r="O890" s="2452" t="e">
        <f t="shared" si="161"/>
        <v>#DIV/0!</v>
      </c>
      <c r="P890" s="2449">
        <f>IF(A890='Data Entry - SOF'!B$2,'Data Entry - SOF'!I$64,0)</f>
        <v>0</v>
      </c>
      <c r="Q890" s="1687">
        <f t="shared" si="156"/>
        <v>1912689</v>
      </c>
      <c r="R890" s="2212" t="e">
        <f>IF('Report-M&amp;O2021'!C$18-'Report-SOF2021'!D$55&lt;=0,0,'Report-M&amp;O2021'!C$18-'Report-SOF2021'!D$55)</f>
        <v>#DIV/0!</v>
      </c>
      <c r="S890" s="2452" t="e">
        <f t="shared" si="162"/>
        <v>#DIV/0!</v>
      </c>
      <c r="T890" s="1708">
        <f>IF(A890='Data Entry - SOF'!B$2,'Data Entry - SOF'!K$64,0)</f>
        <v>0</v>
      </c>
      <c r="U890" s="1687">
        <f t="shared" si="166"/>
        <v>1912689</v>
      </c>
      <c r="V890" s="2212" t="e">
        <f>IF('Report-M&amp;O2122'!C$18-'Report-SOF2122'!D$55&lt;=0,0,'Report-M&amp;O2122'!C$18-'Report-SOF2122'!D$55)</f>
        <v>#DIV/0!</v>
      </c>
      <c r="W890" s="2452" t="e">
        <f t="shared" si="163"/>
        <v>#DIV/0!</v>
      </c>
      <c r="X890" s="1708">
        <f>IF(A890='Data Entry - SOF'!B$2,'Data Entry - SOF'!M$64,0)</f>
        <v>0</v>
      </c>
      <c r="Y890" s="1371" t="e">
        <f t="shared" si="164"/>
        <v>#DIV/0!</v>
      </c>
      <c r="Z890" s="2212" t="e">
        <f>IF('Report-M&amp;O2223'!C$18-'Report-SOF2223'!D$55&lt;=0,0,'Report-M&amp;O2223'!C$18-'Report-SOF2223'!D$55)</f>
        <v>#DIV/0!</v>
      </c>
      <c r="AA890" s="1708">
        <f>IF(A890='Data Entry - SOF'!B$2,'Data Entry - SOF'!O$64,0)</f>
        <v>0</v>
      </c>
    </row>
    <row r="891" spans="1:27" ht="15.75">
      <c r="A891" s="1076" t="s">
        <v>3052</v>
      </c>
      <c r="B891">
        <v>5842243</v>
      </c>
      <c r="C891" s="2452" t="e">
        <f>#REF!+#REF!</f>
        <v>#REF!</v>
      </c>
      <c r="D891" s="2449">
        <f>IF(A891='Data Entry - SOF'!B$2,'Data Entry - SOF'!C$64,0)</f>
        <v>0</v>
      </c>
      <c r="E891" s="2450">
        <f t="shared" si="165"/>
        <v>5842243</v>
      </c>
      <c r="F891" s="2212" t="e">
        <f>IF('Report-M&amp;O1718'!C$18-'Report-SOF1718'!D$55&lt;=0,0,'Report-M&amp;O1718'!C$18-'Report-SOF1718'!D$55)</f>
        <v>#DIV/0!</v>
      </c>
      <c r="G891" s="2452" t="e">
        <f t="shared" si="157"/>
        <v>#DIV/0!</v>
      </c>
      <c r="H891" s="2449">
        <f>IF(A891='Data Entry - SOF'!B$2,'Data Entry - SOF'!E$64,0)</f>
        <v>0</v>
      </c>
      <c r="I891" s="1687">
        <f t="shared" si="158"/>
        <v>5842243</v>
      </c>
      <c r="J891" s="2212" t="e">
        <f>IF('Report-M&amp;O1819'!C$18-'Report-SOF1819'!D$55&lt;=0,0,'Report-M&amp;O1819'!C$18-'Report-SOF1819'!D$55)</f>
        <v>#DIV/0!</v>
      </c>
      <c r="K891" s="2452" t="e">
        <f t="shared" si="159"/>
        <v>#DIV/0!</v>
      </c>
      <c r="L891" s="2449">
        <f>IF(A891='Data Entry - SOF'!B$2,'Data Entry - SOF'!G$64,0)</f>
        <v>0</v>
      </c>
      <c r="M891" s="1371">
        <f t="shared" si="160"/>
        <v>5842243</v>
      </c>
      <c r="N891" s="2212" t="e">
        <f>IF('Report-M&amp;O1920'!C$18-'Report-SOF1920'!D$55&lt;=0,0,'Report-M&amp;O1920'!C$18-'Report-SOF1920'!D$55)</f>
        <v>#DIV/0!</v>
      </c>
      <c r="O891" s="2452" t="e">
        <f t="shared" si="161"/>
        <v>#DIV/0!</v>
      </c>
      <c r="P891" s="2449">
        <f>IF(A891='Data Entry - SOF'!B$2,'Data Entry - SOF'!I$64,0)</f>
        <v>0</v>
      </c>
      <c r="Q891" s="1687">
        <f t="shared" si="156"/>
        <v>5842243</v>
      </c>
      <c r="R891" s="2212" t="e">
        <f>IF('Report-M&amp;O2021'!C$18-'Report-SOF2021'!D$55&lt;=0,0,'Report-M&amp;O2021'!C$18-'Report-SOF2021'!D$55)</f>
        <v>#DIV/0!</v>
      </c>
      <c r="S891" s="2452" t="e">
        <f t="shared" si="162"/>
        <v>#DIV/0!</v>
      </c>
      <c r="T891" s="1708">
        <f>IF(A891='Data Entry - SOF'!B$2,'Data Entry - SOF'!K$64,0)</f>
        <v>0</v>
      </c>
      <c r="U891" s="1687">
        <f t="shared" si="166"/>
        <v>5842243</v>
      </c>
      <c r="V891" s="2212" t="e">
        <f>IF('Report-M&amp;O2122'!C$18-'Report-SOF2122'!D$55&lt;=0,0,'Report-M&amp;O2122'!C$18-'Report-SOF2122'!D$55)</f>
        <v>#DIV/0!</v>
      </c>
      <c r="W891" s="2452" t="e">
        <f t="shared" si="163"/>
        <v>#DIV/0!</v>
      </c>
      <c r="X891" s="1708">
        <f>IF(A891='Data Entry - SOF'!B$2,'Data Entry - SOF'!M$64,0)</f>
        <v>0</v>
      </c>
      <c r="Y891" s="1371" t="e">
        <f t="shared" si="164"/>
        <v>#DIV/0!</v>
      </c>
      <c r="Z891" s="2212" t="e">
        <f>IF('Report-M&amp;O2223'!C$18-'Report-SOF2223'!D$55&lt;=0,0,'Report-M&amp;O2223'!C$18-'Report-SOF2223'!D$55)</f>
        <v>#DIV/0!</v>
      </c>
      <c r="AA891" s="1708">
        <f>IF(A891='Data Entry - SOF'!B$2,'Data Entry - SOF'!O$64,0)</f>
        <v>0</v>
      </c>
    </row>
    <row r="892" spans="1:27" ht="15.75">
      <c r="A892" s="1076" t="s">
        <v>3053</v>
      </c>
      <c r="B892">
        <v>1713732</v>
      </c>
      <c r="C892" s="2452" t="e">
        <f>#REF!+#REF!</f>
        <v>#REF!</v>
      </c>
      <c r="D892" s="2449">
        <f>IF(A892='Data Entry - SOF'!B$2,'Data Entry - SOF'!C$64,0)</f>
        <v>0</v>
      </c>
      <c r="E892" s="2450">
        <f t="shared" si="165"/>
        <v>1713732</v>
      </c>
      <c r="F892" s="2212" t="e">
        <f>IF('Report-M&amp;O1718'!C$18-'Report-SOF1718'!D$55&lt;=0,0,'Report-M&amp;O1718'!C$18-'Report-SOF1718'!D$55)</f>
        <v>#DIV/0!</v>
      </c>
      <c r="G892" s="2452" t="e">
        <f t="shared" si="157"/>
        <v>#DIV/0!</v>
      </c>
      <c r="H892" s="2449">
        <f>IF(A892='Data Entry - SOF'!B$2,'Data Entry - SOF'!E$64,0)</f>
        <v>0</v>
      </c>
      <c r="I892" s="1687">
        <f t="shared" si="158"/>
        <v>1713732</v>
      </c>
      <c r="J892" s="2212" t="e">
        <f>IF('Report-M&amp;O1819'!C$18-'Report-SOF1819'!D$55&lt;=0,0,'Report-M&amp;O1819'!C$18-'Report-SOF1819'!D$55)</f>
        <v>#DIV/0!</v>
      </c>
      <c r="K892" s="2452" t="e">
        <f t="shared" si="159"/>
        <v>#DIV/0!</v>
      </c>
      <c r="L892" s="2449">
        <f>IF(A892='Data Entry - SOF'!B$2,'Data Entry - SOF'!G$64,0)</f>
        <v>0</v>
      </c>
      <c r="M892" s="1371">
        <f t="shared" si="160"/>
        <v>1713732</v>
      </c>
      <c r="N892" s="2212" t="e">
        <f>IF('Report-M&amp;O1920'!C$18-'Report-SOF1920'!D$55&lt;=0,0,'Report-M&amp;O1920'!C$18-'Report-SOF1920'!D$55)</f>
        <v>#DIV/0!</v>
      </c>
      <c r="O892" s="2452" t="e">
        <f t="shared" si="161"/>
        <v>#DIV/0!</v>
      </c>
      <c r="P892" s="2449">
        <f>IF(A892='Data Entry - SOF'!B$2,'Data Entry - SOF'!I$64,0)</f>
        <v>0</v>
      </c>
      <c r="Q892" s="1687">
        <f>M892-P892</f>
        <v>1713732</v>
      </c>
      <c r="R892" s="2212" t="e">
        <f>IF('Report-M&amp;O2021'!C$18-'Report-SOF2021'!D$55&lt;=0,0,'Report-M&amp;O2021'!C$18-'Report-SOF2021'!D$55)</f>
        <v>#DIV/0!</v>
      </c>
      <c r="S892" s="2452" t="e">
        <f t="shared" si="162"/>
        <v>#DIV/0!</v>
      </c>
      <c r="T892" s="1708">
        <f>IF(A892='Data Entry - SOF'!B$2,'Data Entry - SOF'!K$64,0)</f>
        <v>0</v>
      </c>
      <c r="U892" s="1687">
        <f t="shared" ref="U892:U907" si="167">Q892-T892</f>
        <v>1713732</v>
      </c>
      <c r="V892" s="2212" t="e">
        <f>IF('Report-M&amp;O2122'!C$18-'Report-SOF2122'!D$55&lt;=0,0,'Report-M&amp;O2122'!C$18-'Report-SOF2122'!D$55)</f>
        <v>#DIV/0!</v>
      </c>
      <c r="W892" s="2452" t="e">
        <f t="shared" si="163"/>
        <v>#DIV/0!</v>
      </c>
      <c r="X892" s="1708">
        <f>IF(A892='Data Entry - SOF'!B$2,'Data Entry - SOF'!M$64,0)</f>
        <v>0</v>
      </c>
      <c r="Y892" s="1371" t="e">
        <f t="shared" si="164"/>
        <v>#DIV/0!</v>
      </c>
      <c r="Z892" s="2212" t="e">
        <f>IF('Report-M&amp;O2223'!C$18-'Report-SOF2223'!D$55&lt;=0,0,'Report-M&amp;O2223'!C$18-'Report-SOF2223'!D$55)</f>
        <v>#DIV/0!</v>
      </c>
      <c r="AA892" s="1708">
        <f>IF(A892='Data Entry - SOF'!B$2,'Data Entry - SOF'!O$64,0)</f>
        <v>0</v>
      </c>
    </row>
    <row r="893" spans="1:27" ht="15.75">
      <c r="A893" s="1076" t="s">
        <v>3054</v>
      </c>
      <c r="B893">
        <v>9359772</v>
      </c>
      <c r="C893" s="2452" t="e">
        <f>#REF!+#REF!</f>
        <v>#REF!</v>
      </c>
      <c r="D893" s="2449">
        <f>IF(A893='Data Entry - SOF'!B$2,'Data Entry - SOF'!C$64,0)</f>
        <v>0</v>
      </c>
      <c r="E893" s="2450">
        <f t="shared" si="165"/>
        <v>9359772</v>
      </c>
      <c r="F893" s="2212" t="e">
        <f>IF('Report-M&amp;O1718'!C$18-'Report-SOF1718'!D$55&lt;=0,0,'Report-M&amp;O1718'!C$18-'Report-SOF1718'!D$55)</f>
        <v>#DIV/0!</v>
      </c>
      <c r="G893" s="2452" t="e">
        <f t="shared" si="157"/>
        <v>#DIV/0!</v>
      </c>
      <c r="H893" s="2449">
        <f>IF(A893='Data Entry - SOF'!B$2,'Data Entry - SOF'!E$64,0)</f>
        <v>0</v>
      </c>
      <c r="I893" s="1687">
        <f t="shared" si="158"/>
        <v>9359772</v>
      </c>
      <c r="J893" s="2212" t="e">
        <f>IF('Report-M&amp;O1819'!C$18-'Report-SOF1819'!D$55&lt;=0,0,'Report-M&amp;O1819'!C$18-'Report-SOF1819'!D$55)</f>
        <v>#DIV/0!</v>
      </c>
      <c r="K893" s="2452" t="e">
        <f t="shared" si="159"/>
        <v>#DIV/0!</v>
      </c>
      <c r="L893" s="2449">
        <f>IF(A893='Data Entry - SOF'!B$2,'Data Entry - SOF'!G$64,0)</f>
        <v>0</v>
      </c>
      <c r="M893" s="1371">
        <f t="shared" si="160"/>
        <v>9359772</v>
      </c>
      <c r="N893" s="2212" t="e">
        <f>IF('Report-M&amp;O1920'!C$18-'Report-SOF1920'!D$55&lt;=0,0,'Report-M&amp;O1920'!C$18-'Report-SOF1920'!D$55)</f>
        <v>#DIV/0!</v>
      </c>
      <c r="O893" s="2452" t="e">
        <f t="shared" si="161"/>
        <v>#DIV/0!</v>
      </c>
      <c r="P893" s="2449">
        <f>IF(A893='Data Entry - SOF'!B$2,'Data Entry - SOF'!I$64,0)</f>
        <v>0</v>
      </c>
      <c r="Q893" s="1687">
        <f t="shared" ref="Q893:Q955" si="168">M893-P893</f>
        <v>9359772</v>
      </c>
      <c r="R893" s="2212" t="e">
        <f>IF('Report-M&amp;O2021'!C$18-'Report-SOF2021'!D$55&lt;=0,0,'Report-M&amp;O2021'!C$18-'Report-SOF2021'!D$55)</f>
        <v>#DIV/0!</v>
      </c>
      <c r="S893" s="2452" t="e">
        <f t="shared" si="162"/>
        <v>#DIV/0!</v>
      </c>
      <c r="T893" s="1708">
        <f>IF(A893='Data Entry - SOF'!B$2,'Data Entry - SOF'!K$64,0)</f>
        <v>0</v>
      </c>
      <c r="U893" s="1687">
        <f t="shared" si="167"/>
        <v>9359772</v>
      </c>
      <c r="V893" s="2212" t="e">
        <f>IF('Report-M&amp;O2122'!C$18-'Report-SOF2122'!D$55&lt;=0,0,'Report-M&amp;O2122'!C$18-'Report-SOF2122'!D$55)</f>
        <v>#DIV/0!</v>
      </c>
      <c r="W893" s="2452" t="e">
        <f t="shared" si="163"/>
        <v>#DIV/0!</v>
      </c>
      <c r="X893" s="1708">
        <f>IF(A893='Data Entry - SOF'!B$2,'Data Entry - SOF'!M$64,0)</f>
        <v>0</v>
      </c>
      <c r="Y893" s="1371" t="e">
        <f t="shared" si="164"/>
        <v>#DIV/0!</v>
      </c>
      <c r="Z893" s="2212" t="e">
        <f>IF('Report-M&amp;O2223'!C$18-'Report-SOF2223'!D$55&lt;=0,0,'Report-M&amp;O2223'!C$18-'Report-SOF2223'!D$55)</f>
        <v>#DIV/0!</v>
      </c>
      <c r="AA893" s="1708">
        <f>IF(A893='Data Entry - SOF'!B$2,'Data Entry - SOF'!O$64,0)</f>
        <v>0</v>
      </c>
    </row>
    <row r="894" spans="1:27" ht="15.75">
      <c r="A894" s="1076" t="s">
        <v>3055</v>
      </c>
      <c r="B894">
        <v>12108572</v>
      </c>
      <c r="C894" s="2452" t="e">
        <f>#REF!+#REF!</f>
        <v>#REF!</v>
      </c>
      <c r="D894" s="2449">
        <f>IF(A894='Data Entry - SOF'!B$2,'Data Entry - SOF'!C$64,0)</f>
        <v>0</v>
      </c>
      <c r="E894" s="2450">
        <f t="shared" si="165"/>
        <v>12108572</v>
      </c>
      <c r="F894" s="2212" t="e">
        <f>IF('Report-M&amp;O1718'!C$18-'Report-SOF1718'!D$55&lt;=0,0,'Report-M&amp;O1718'!C$18-'Report-SOF1718'!D$55)</f>
        <v>#DIV/0!</v>
      </c>
      <c r="G894" s="2452" t="e">
        <f t="shared" si="157"/>
        <v>#DIV/0!</v>
      </c>
      <c r="H894" s="2449">
        <f>IF(A894='Data Entry - SOF'!B$2,'Data Entry - SOF'!E$64,0)</f>
        <v>0</v>
      </c>
      <c r="I894" s="1687">
        <f t="shared" si="158"/>
        <v>12108572</v>
      </c>
      <c r="J894" s="2212" t="e">
        <f>IF('Report-M&amp;O1819'!C$18-'Report-SOF1819'!D$55&lt;=0,0,'Report-M&amp;O1819'!C$18-'Report-SOF1819'!D$55)</f>
        <v>#DIV/0!</v>
      </c>
      <c r="K894" s="2452" t="e">
        <f t="shared" si="159"/>
        <v>#DIV/0!</v>
      </c>
      <c r="L894" s="2449">
        <f>IF(A894='Data Entry - SOF'!B$2,'Data Entry - SOF'!G$64,0)</f>
        <v>0</v>
      </c>
      <c r="M894" s="1371">
        <f t="shared" si="160"/>
        <v>12108572</v>
      </c>
      <c r="N894" s="2212" t="e">
        <f>IF('Report-M&amp;O1920'!C$18-'Report-SOF1920'!D$55&lt;=0,0,'Report-M&amp;O1920'!C$18-'Report-SOF1920'!D$55)</f>
        <v>#DIV/0!</v>
      </c>
      <c r="O894" s="2452" t="e">
        <f t="shared" si="161"/>
        <v>#DIV/0!</v>
      </c>
      <c r="P894" s="2449">
        <f>IF(A894='Data Entry - SOF'!B$2,'Data Entry - SOF'!I$64,0)</f>
        <v>0</v>
      </c>
      <c r="Q894" s="1687">
        <f t="shared" si="168"/>
        <v>12108572</v>
      </c>
      <c r="R894" s="2212" t="e">
        <f>IF('Report-M&amp;O2021'!C$18-'Report-SOF2021'!D$55&lt;=0,0,'Report-M&amp;O2021'!C$18-'Report-SOF2021'!D$55)</f>
        <v>#DIV/0!</v>
      </c>
      <c r="S894" s="2452" t="e">
        <f t="shared" si="162"/>
        <v>#DIV/0!</v>
      </c>
      <c r="T894" s="1708">
        <f>IF(A894='Data Entry - SOF'!B$2,'Data Entry - SOF'!K$64,0)</f>
        <v>0</v>
      </c>
      <c r="U894" s="1687">
        <f t="shared" si="167"/>
        <v>12108572</v>
      </c>
      <c r="V894" s="2212" t="e">
        <f>IF('Report-M&amp;O2122'!C$18-'Report-SOF2122'!D$55&lt;=0,0,'Report-M&amp;O2122'!C$18-'Report-SOF2122'!D$55)</f>
        <v>#DIV/0!</v>
      </c>
      <c r="W894" s="2452" t="e">
        <f t="shared" si="163"/>
        <v>#DIV/0!</v>
      </c>
      <c r="X894" s="1708">
        <f>IF(A894='Data Entry - SOF'!B$2,'Data Entry - SOF'!M$64,0)</f>
        <v>0</v>
      </c>
      <c r="Y894" s="1371" t="e">
        <f t="shared" si="164"/>
        <v>#DIV/0!</v>
      </c>
      <c r="Z894" s="2212" t="e">
        <f>IF('Report-M&amp;O2223'!C$18-'Report-SOF2223'!D$55&lt;=0,0,'Report-M&amp;O2223'!C$18-'Report-SOF2223'!D$55)</f>
        <v>#DIV/0!</v>
      </c>
      <c r="AA894" s="1708">
        <f>IF(A894='Data Entry - SOF'!B$2,'Data Entry - SOF'!O$64,0)</f>
        <v>0</v>
      </c>
    </row>
    <row r="895" spans="1:27" ht="15.75">
      <c r="A895" s="1076" t="s">
        <v>1335</v>
      </c>
      <c r="B895">
        <v>8769652</v>
      </c>
      <c r="C895" s="2452" t="e">
        <f>#REF!+#REF!</f>
        <v>#REF!</v>
      </c>
      <c r="D895" s="2449">
        <f>IF(A895='Data Entry - SOF'!B$2,'Data Entry - SOF'!C$64,0)</f>
        <v>0</v>
      </c>
      <c r="E895" s="2450">
        <f t="shared" si="165"/>
        <v>8769652</v>
      </c>
      <c r="F895" s="2212" t="e">
        <f>IF('Report-M&amp;O1718'!C$18-'Report-SOF1718'!D$55&lt;=0,0,'Report-M&amp;O1718'!C$18-'Report-SOF1718'!D$55)</f>
        <v>#DIV/0!</v>
      </c>
      <c r="G895" s="2452" t="e">
        <f t="shared" si="157"/>
        <v>#DIV/0!</v>
      </c>
      <c r="H895" s="2449">
        <f>IF(A895='Data Entry - SOF'!B$2,'Data Entry - SOF'!E$64,0)</f>
        <v>0</v>
      </c>
      <c r="I895" s="1687">
        <f t="shared" si="158"/>
        <v>8769652</v>
      </c>
      <c r="J895" s="2212" t="e">
        <f>IF('Report-M&amp;O1819'!C$18-'Report-SOF1819'!D$55&lt;=0,0,'Report-M&amp;O1819'!C$18-'Report-SOF1819'!D$55)</f>
        <v>#DIV/0!</v>
      </c>
      <c r="K895" s="2452" t="e">
        <f t="shared" si="159"/>
        <v>#DIV/0!</v>
      </c>
      <c r="L895" s="2449">
        <f>IF(A895='Data Entry - SOF'!B$2,'Data Entry - SOF'!G$64,0)</f>
        <v>0</v>
      </c>
      <c r="M895" s="1371">
        <f t="shared" si="160"/>
        <v>8769652</v>
      </c>
      <c r="N895" s="2212" t="e">
        <f>IF('Report-M&amp;O1920'!C$18-'Report-SOF1920'!D$55&lt;=0,0,'Report-M&amp;O1920'!C$18-'Report-SOF1920'!D$55)</f>
        <v>#DIV/0!</v>
      </c>
      <c r="O895" s="2452" t="e">
        <f t="shared" si="161"/>
        <v>#DIV/0!</v>
      </c>
      <c r="P895" s="2449">
        <f>IF(A895='Data Entry - SOF'!B$2,'Data Entry - SOF'!I$64,0)</f>
        <v>0</v>
      </c>
      <c r="Q895" s="1687">
        <f t="shared" si="168"/>
        <v>8769652</v>
      </c>
      <c r="R895" s="2212" t="e">
        <f>IF('Report-M&amp;O2021'!C$18-'Report-SOF2021'!D$55&lt;=0,0,'Report-M&amp;O2021'!C$18-'Report-SOF2021'!D$55)</f>
        <v>#DIV/0!</v>
      </c>
      <c r="S895" s="2452" t="e">
        <f t="shared" si="162"/>
        <v>#DIV/0!</v>
      </c>
      <c r="T895" s="1708">
        <f>IF(A895='Data Entry - SOF'!B$2,'Data Entry - SOF'!K$64,0)</f>
        <v>0</v>
      </c>
      <c r="U895" s="1687">
        <f t="shared" si="167"/>
        <v>8769652</v>
      </c>
      <c r="V895" s="2212" t="e">
        <f>IF('Report-M&amp;O2122'!C$18-'Report-SOF2122'!D$55&lt;=0,0,'Report-M&amp;O2122'!C$18-'Report-SOF2122'!D$55)</f>
        <v>#DIV/0!</v>
      </c>
      <c r="W895" s="2452" t="e">
        <f t="shared" si="163"/>
        <v>#DIV/0!</v>
      </c>
      <c r="X895" s="1708">
        <f>IF(A895='Data Entry - SOF'!B$2,'Data Entry - SOF'!M$64,0)</f>
        <v>0</v>
      </c>
      <c r="Y895" s="1371" t="e">
        <f t="shared" si="164"/>
        <v>#DIV/0!</v>
      </c>
      <c r="Z895" s="2212" t="e">
        <f>IF('Report-M&amp;O2223'!C$18-'Report-SOF2223'!D$55&lt;=0,0,'Report-M&amp;O2223'!C$18-'Report-SOF2223'!D$55)</f>
        <v>#DIV/0!</v>
      </c>
      <c r="AA895" s="1708">
        <f>IF(A895='Data Entry - SOF'!B$2,'Data Entry - SOF'!O$64,0)</f>
        <v>0</v>
      </c>
    </row>
    <row r="896" spans="1:27" ht="15.75">
      <c r="A896" s="1076" t="s">
        <v>2106</v>
      </c>
      <c r="B896">
        <v>957937</v>
      </c>
      <c r="C896" s="2452" t="e">
        <f>#REF!+#REF!</f>
        <v>#REF!</v>
      </c>
      <c r="D896" s="2449">
        <f>IF(A896='Data Entry - SOF'!B$2,'Data Entry - SOF'!C$64,0)</f>
        <v>0</v>
      </c>
      <c r="E896" s="2450">
        <f t="shared" si="165"/>
        <v>957937</v>
      </c>
      <c r="F896" s="2212" t="e">
        <f>IF('Report-M&amp;O1718'!C$18-'Report-SOF1718'!D$55&lt;=0,0,'Report-M&amp;O1718'!C$18-'Report-SOF1718'!D$55)</f>
        <v>#DIV/0!</v>
      </c>
      <c r="G896" s="2452" t="e">
        <f t="shared" si="157"/>
        <v>#DIV/0!</v>
      </c>
      <c r="H896" s="2449">
        <f>IF(A896='Data Entry - SOF'!B$2,'Data Entry - SOF'!E$64,0)</f>
        <v>0</v>
      </c>
      <c r="I896" s="1687">
        <f t="shared" si="158"/>
        <v>957937</v>
      </c>
      <c r="J896" s="2212" t="e">
        <f>IF('Report-M&amp;O1819'!C$18-'Report-SOF1819'!D$55&lt;=0,0,'Report-M&amp;O1819'!C$18-'Report-SOF1819'!D$55)</f>
        <v>#DIV/0!</v>
      </c>
      <c r="K896" s="2452" t="e">
        <f t="shared" si="159"/>
        <v>#DIV/0!</v>
      </c>
      <c r="L896" s="2449">
        <f>IF(A896='Data Entry - SOF'!B$2,'Data Entry - SOF'!G$64,0)</f>
        <v>0</v>
      </c>
      <c r="M896" s="1371">
        <f t="shared" si="160"/>
        <v>957937</v>
      </c>
      <c r="N896" s="2212" t="e">
        <f>IF('Report-M&amp;O1920'!C$18-'Report-SOF1920'!D$55&lt;=0,0,'Report-M&amp;O1920'!C$18-'Report-SOF1920'!D$55)</f>
        <v>#DIV/0!</v>
      </c>
      <c r="O896" s="2452" t="e">
        <f t="shared" si="161"/>
        <v>#DIV/0!</v>
      </c>
      <c r="P896" s="2449">
        <f>IF(A896='Data Entry - SOF'!B$2,'Data Entry - SOF'!I$64,0)</f>
        <v>0</v>
      </c>
      <c r="Q896" s="1687">
        <f t="shared" si="168"/>
        <v>957937</v>
      </c>
      <c r="R896" s="2212" t="e">
        <f>IF('Report-M&amp;O2021'!C$18-'Report-SOF2021'!D$55&lt;=0,0,'Report-M&amp;O2021'!C$18-'Report-SOF2021'!D$55)</f>
        <v>#DIV/0!</v>
      </c>
      <c r="S896" s="2452" t="e">
        <f t="shared" si="162"/>
        <v>#DIV/0!</v>
      </c>
      <c r="T896" s="1708">
        <f>IF(A896='Data Entry - SOF'!B$2,'Data Entry - SOF'!K$64,0)</f>
        <v>0</v>
      </c>
      <c r="U896" s="1687">
        <f t="shared" si="167"/>
        <v>957937</v>
      </c>
      <c r="V896" s="2212" t="e">
        <f>IF('Report-M&amp;O2122'!C$18-'Report-SOF2122'!D$55&lt;=0,0,'Report-M&amp;O2122'!C$18-'Report-SOF2122'!D$55)</f>
        <v>#DIV/0!</v>
      </c>
      <c r="W896" s="2452" t="e">
        <f t="shared" si="163"/>
        <v>#DIV/0!</v>
      </c>
      <c r="X896" s="1708">
        <f>IF(A896='Data Entry - SOF'!B$2,'Data Entry - SOF'!M$64,0)</f>
        <v>0</v>
      </c>
      <c r="Y896" s="1371" t="e">
        <f t="shared" si="164"/>
        <v>#DIV/0!</v>
      </c>
      <c r="Z896" s="2212" t="e">
        <f>IF('Report-M&amp;O2223'!C$18-'Report-SOF2223'!D$55&lt;=0,0,'Report-M&amp;O2223'!C$18-'Report-SOF2223'!D$55)</f>
        <v>#DIV/0!</v>
      </c>
      <c r="AA896" s="1708">
        <f>IF(A896='Data Entry - SOF'!B$2,'Data Entry - SOF'!O$64,0)</f>
        <v>0</v>
      </c>
    </row>
    <row r="897" spans="1:27" ht="15.75">
      <c r="A897" s="1076" t="s">
        <v>1336</v>
      </c>
      <c r="B897">
        <v>5850620.2626372902</v>
      </c>
      <c r="C897" s="2452" t="e">
        <f>#REF!+#REF!</f>
        <v>#REF!</v>
      </c>
      <c r="D897" s="2449">
        <f>IF(A897='Data Entry - SOF'!B$2,'Data Entry - SOF'!C$64,0)</f>
        <v>0</v>
      </c>
      <c r="E897" s="2450">
        <f t="shared" si="165"/>
        <v>5850620.2626372902</v>
      </c>
      <c r="F897" s="2212" t="e">
        <f>IF('Report-M&amp;O1718'!C$18-'Report-SOF1718'!D$55&lt;=0,0,'Report-M&amp;O1718'!C$18-'Report-SOF1718'!D$55)</f>
        <v>#DIV/0!</v>
      </c>
      <c r="G897" s="2452" t="e">
        <f t="shared" si="157"/>
        <v>#DIV/0!</v>
      </c>
      <c r="H897" s="2449">
        <f>IF(A897='Data Entry - SOF'!B$2,'Data Entry - SOF'!E$64,0)</f>
        <v>0</v>
      </c>
      <c r="I897" s="1687">
        <f t="shared" si="158"/>
        <v>5850620.2626372902</v>
      </c>
      <c r="J897" s="2212" t="e">
        <f>IF('Report-M&amp;O1819'!C$18-'Report-SOF1819'!D$55&lt;=0,0,'Report-M&amp;O1819'!C$18-'Report-SOF1819'!D$55)</f>
        <v>#DIV/0!</v>
      </c>
      <c r="K897" s="2452" t="e">
        <f t="shared" si="159"/>
        <v>#DIV/0!</v>
      </c>
      <c r="L897" s="2449">
        <f>IF(A897='Data Entry - SOF'!B$2,'Data Entry - SOF'!G$64,0)</f>
        <v>0</v>
      </c>
      <c r="M897" s="1371">
        <f t="shared" si="160"/>
        <v>5850620.2626372902</v>
      </c>
      <c r="N897" s="2212" t="e">
        <f>IF('Report-M&amp;O1920'!C$18-'Report-SOF1920'!D$55&lt;=0,0,'Report-M&amp;O1920'!C$18-'Report-SOF1920'!D$55)</f>
        <v>#DIV/0!</v>
      </c>
      <c r="O897" s="2452" t="e">
        <f t="shared" si="161"/>
        <v>#DIV/0!</v>
      </c>
      <c r="P897" s="2449">
        <f>IF(A897='Data Entry - SOF'!B$2,'Data Entry - SOF'!I$64,0)</f>
        <v>0</v>
      </c>
      <c r="Q897" s="1687">
        <f t="shared" si="168"/>
        <v>5850620.2626372902</v>
      </c>
      <c r="R897" s="2212" t="e">
        <f>IF('Report-M&amp;O2021'!C$18-'Report-SOF2021'!D$55&lt;=0,0,'Report-M&amp;O2021'!C$18-'Report-SOF2021'!D$55)</f>
        <v>#DIV/0!</v>
      </c>
      <c r="S897" s="2452" t="e">
        <f t="shared" si="162"/>
        <v>#DIV/0!</v>
      </c>
      <c r="T897" s="1708">
        <f>IF(A897='Data Entry - SOF'!B$2,'Data Entry - SOF'!K$64,0)</f>
        <v>0</v>
      </c>
      <c r="U897" s="1687">
        <f t="shared" si="167"/>
        <v>5850620.2626372902</v>
      </c>
      <c r="V897" s="2212" t="e">
        <f>IF('Report-M&amp;O2122'!C$18-'Report-SOF2122'!D$55&lt;=0,0,'Report-M&amp;O2122'!C$18-'Report-SOF2122'!D$55)</f>
        <v>#DIV/0!</v>
      </c>
      <c r="W897" s="2452" t="e">
        <f t="shared" si="163"/>
        <v>#DIV/0!</v>
      </c>
      <c r="X897" s="1708">
        <f>IF(A897='Data Entry - SOF'!B$2,'Data Entry - SOF'!M$64,0)</f>
        <v>0</v>
      </c>
      <c r="Y897" s="1371" t="e">
        <f t="shared" si="164"/>
        <v>#DIV/0!</v>
      </c>
      <c r="Z897" s="2212" t="e">
        <f>IF('Report-M&amp;O2223'!C$18-'Report-SOF2223'!D$55&lt;=0,0,'Report-M&amp;O2223'!C$18-'Report-SOF2223'!D$55)</f>
        <v>#DIV/0!</v>
      </c>
      <c r="AA897" s="1708">
        <f>IF(A897='Data Entry - SOF'!B$2,'Data Entry - SOF'!O$64,0)</f>
        <v>0</v>
      </c>
    </row>
    <row r="898" spans="1:27" ht="15.75">
      <c r="A898" s="1076" t="s">
        <v>1783</v>
      </c>
      <c r="B898">
        <v>882056</v>
      </c>
      <c r="C898" s="2452" t="e">
        <f>#REF!+#REF!</f>
        <v>#REF!</v>
      </c>
      <c r="D898" s="2449">
        <f>IF(A898='Data Entry - SOF'!B$2,'Data Entry - SOF'!C$64,0)</f>
        <v>0</v>
      </c>
      <c r="E898" s="2450">
        <f t="shared" si="165"/>
        <v>882056</v>
      </c>
      <c r="F898" s="2212" t="e">
        <f>IF('Report-M&amp;O1718'!C$18-'Report-SOF1718'!D$55&lt;=0,0,'Report-M&amp;O1718'!C$18-'Report-SOF1718'!D$55)</f>
        <v>#DIV/0!</v>
      </c>
      <c r="G898" s="2452" t="e">
        <f t="shared" si="157"/>
        <v>#DIV/0!</v>
      </c>
      <c r="H898" s="2449">
        <f>IF(A898='Data Entry - SOF'!B$2,'Data Entry - SOF'!E$64,0)</f>
        <v>0</v>
      </c>
      <c r="I898" s="1687">
        <f t="shared" si="158"/>
        <v>882056</v>
      </c>
      <c r="J898" s="2212" t="e">
        <f>IF('Report-M&amp;O1819'!C$18-'Report-SOF1819'!D$55&lt;=0,0,'Report-M&amp;O1819'!C$18-'Report-SOF1819'!D$55)</f>
        <v>#DIV/0!</v>
      </c>
      <c r="K898" s="2452" t="e">
        <f t="shared" si="159"/>
        <v>#DIV/0!</v>
      </c>
      <c r="L898" s="2449">
        <f>IF(A898='Data Entry - SOF'!B$2,'Data Entry - SOF'!G$64,0)</f>
        <v>0</v>
      </c>
      <c r="M898" s="1371">
        <f t="shared" si="160"/>
        <v>882056</v>
      </c>
      <c r="N898" s="2212" t="e">
        <f>IF('Report-M&amp;O1920'!C$18-'Report-SOF1920'!D$55&lt;=0,0,'Report-M&amp;O1920'!C$18-'Report-SOF1920'!D$55)</f>
        <v>#DIV/0!</v>
      </c>
      <c r="O898" s="2452" t="e">
        <f t="shared" si="161"/>
        <v>#DIV/0!</v>
      </c>
      <c r="P898" s="2449">
        <f>IF(A898='Data Entry - SOF'!B$2,'Data Entry - SOF'!I$64,0)</f>
        <v>0</v>
      </c>
      <c r="Q898" s="1687">
        <f t="shared" si="168"/>
        <v>882056</v>
      </c>
      <c r="R898" s="2212" t="e">
        <f>IF('Report-M&amp;O2021'!C$18-'Report-SOF2021'!D$55&lt;=0,0,'Report-M&amp;O2021'!C$18-'Report-SOF2021'!D$55)</f>
        <v>#DIV/0!</v>
      </c>
      <c r="S898" s="2452" t="e">
        <f t="shared" si="162"/>
        <v>#DIV/0!</v>
      </c>
      <c r="T898" s="1708">
        <f>IF(A898='Data Entry - SOF'!B$2,'Data Entry - SOF'!K$64,0)</f>
        <v>0</v>
      </c>
      <c r="U898" s="1687">
        <f t="shared" si="167"/>
        <v>882056</v>
      </c>
      <c r="V898" s="2212" t="e">
        <f>IF('Report-M&amp;O2122'!C$18-'Report-SOF2122'!D$55&lt;=0,0,'Report-M&amp;O2122'!C$18-'Report-SOF2122'!D$55)</f>
        <v>#DIV/0!</v>
      </c>
      <c r="W898" s="2452" t="e">
        <f t="shared" si="163"/>
        <v>#DIV/0!</v>
      </c>
      <c r="X898" s="1708">
        <f>IF(A898='Data Entry - SOF'!B$2,'Data Entry - SOF'!M$64,0)</f>
        <v>0</v>
      </c>
      <c r="Y898" s="1371" t="e">
        <f t="shared" si="164"/>
        <v>#DIV/0!</v>
      </c>
      <c r="Z898" s="2212" t="e">
        <f>IF('Report-M&amp;O2223'!C$18-'Report-SOF2223'!D$55&lt;=0,0,'Report-M&amp;O2223'!C$18-'Report-SOF2223'!D$55)</f>
        <v>#DIV/0!</v>
      </c>
      <c r="AA898" s="1708">
        <f>IF(A898='Data Entry - SOF'!B$2,'Data Entry - SOF'!O$64,0)</f>
        <v>0</v>
      </c>
    </row>
    <row r="899" spans="1:27" ht="15.75">
      <c r="A899" s="1076" t="s">
        <v>1784</v>
      </c>
      <c r="B899">
        <v>418737</v>
      </c>
      <c r="C899" s="2452" t="e">
        <f>#REF!+#REF!</f>
        <v>#REF!</v>
      </c>
      <c r="D899" s="2449">
        <f>IF(A899='Data Entry - SOF'!B$2,'Data Entry - SOF'!C$64,0)</f>
        <v>0</v>
      </c>
      <c r="E899" s="2450">
        <f t="shared" si="165"/>
        <v>418737</v>
      </c>
      <c r="F899" s="2212" t="e">
        <f>IF('Report-M&amp;O1718'!C$18-'Report-SOF1718'!D$55&lt;=0,0,'Report-M&amp;O1718'!C$18-'Report-SOF1718'!D$55)</f>
        <v>#DIV/0!</v>
      </c>
      <c r="G899" s="2452" t="e">
        <f t="shared" si="157"/>
        <v>#DIV/0!</v>
      </c>
      <c r="H899" s="2449">
        <f>IF(A899='Data Entry - SOF'!B$2,'Data Entry - SOF'!E$64,0)</f>
        <v>0</v>
      </c>
      <c r="I899" s="1687">
        <f t="shared" si="158"/>
        <v>418737</v>
      </c>
      <c r="J899" s="2212" t="e">
        <f>IF('Report-M&amp;O1819'!C$18-'Report-SOF1819'!D$55&lt;=0,0,'Report-M&amp;O1819'!C$18-'Report-SOF1819'!D$55)</f>
        <v>#DIV/0!</v>
      </c>
      <c r="K899" s="2452" t="e">
        <f t="shared" si="159"/>
        <v>#DIV/0!</v>
      </c>
      <c r="L899" s="2449">
        <f>IF(A899='Data Entry - SOF'!B$2,'Data Entry - SOF'!G$64,0)</f>
        <v>0</v>
      </c>
      <c r="M899" s="1371">
        <f t="shared" si="160"/>
        <v>418737</v>
      </c>
      <c r="N899" s="2212" t="e">
        <f>IF('Report-M&amp;O1920'!C$18-'Report-SOF1920'!D$55&lt;=0,0,'Report-M&amp;O1920'!C$18-'Report-SOF1920'!D$55)</f>
        <v>#DIV/0!</v>
      </c>
      <c r="O899" s="2452" t="e">
        <f t="shared" si="161"/>
        <v>#DIV/0!</v>
      </c>
      <c r="P899" s="2449">
        <f>IF(A899='Data Entry - SOF'!B$2,'Data Entry - SOF'!I$64,0)</f>
        <v>0</v>
      </c>
      <c r="Q899" s="1687">
        <f t="shared" si="168"/>
        <v>418737</v>
      </c>
      <c r="R899" s="2212" t="e">
        <f>IF('Report-M&amp;O2021'!C$18-'Report-SOF2021'!D$55&lt;=0,0,'Report-M&amp;O2021'!C$18-'Report-SOF2021'!D$55)</f>
        <v>#DIV/0!</v>
      </c>
      <c r="S899" s="2452" t="e">
        <f t="shared" si="162"/>
        <v>#DIV/0!</v>
      </c>
      <c r="T899" s="1708">
        <f>IF(A899='Data Entry - SOF'!B$2,'Data Entry - SOF'!K$64,0)</f>
        <v>0</v>
      </c>
      <c r="U899" s="1687">
        <f t="shared" si="167"/>
        <v>418737</v>
      </c>
      <c r="V899" s="2212" t="e">
        <f>IF('Report-M&amp;O2122'!C$18-'Report-SOF2122'!D$55&lt;=0,0,'Report-M&amp;O2122'!C$18-'Report-SOF2122'!D$55)</f>
        <v>#DIV/0!</v>
      </c>
      <c r="W899" s="2452" t="e">
        <f t="shared" si="163"/>
        <v>#DIV/0!</v>
      </c>
      <c r="X899" s="1708">
        <f>IF(A899='Data Entry - SOF'!B$2,'Data Entry - SOF'!M$64,0)</f>
        <v>0</v>
      </c>
      <c r="Y899" s="1371" t="e">
        <f t="shared" si="164"/>
        <v>#DIV/0!</v>
      </c>
      <c r="Z899" s="2212" t="e">
        <f>IF('Report-M&amp;O2223'!C$18-'Report-SOF2223'!D$55&lt;=0,0,'Report-M&amp;O2223'!C$18-'Report-SOF2223'!D$55)</f>
        <v>#DIV/0!</v>
      </c>
      <c r="AA899" s="1708">
        <f>IF(A899='Data Entry - SOF'!B$2,'Data Entry - SOF'!O$64,0)</f>
        <v>0</v>
      </c>
    </row>
    <row r="900" spans="1:27" ht="15.75">
      <c r="A900" s="1076" t="s">
        <v>1785</v>
      </c>
      <c r="B900">
        <v>13020220</v>
      </c>
      <c r="C900" s="2452" t="e">
        <f>#REF!+#REF!</f>
        <v>#REF!</v>
      </c>
      <c r="D900" s="2449">
        <f>IF(A900='Data Entry - SOF'!B$2,'Data Entry - SOF'!C$64,0)</f>
        <v>0</v>
      </c>
      <c r="E900" s="2450">
        <f t="shared" si="165"/>
        <v>13020220</v>
      </c>
      <c r="F900" s="2212" t="e">
        <f>IF('Report-M&amp;O1718'!C$18-'Report-SOF1718'!D$55&lt;=0,0,'Report-M&amp;O1718'!C$18-'Report-SOF1718'!D$55)</f>
        <v>#DIV/0!</v>
      </c>
      <c r="G900" s="2452" t="e">
        <f t="shared" ref="G900:G963" si="169">E900+F900</f>
        <v>#DIV/0!</v>
      </c>
      <c r="H900" s="2449">
        <f>IF(A900='Data Entry - SOF'!B$2,'Data Entry - SOF'!E$64,0)</f>
        <v>0</v>
      </c>
      <c r="I900" s="1687">
        <f t="shared" ref="I900:I963" si="170">E900-H900</f>
        <v>13020220</v>
      </c>
      <c r="J900" s="2212" t="e">
        <f>IF('Report-M&amp;O1819'!C$18-'Report-SOF1819'!D$55&lt;=0,0,'Report-M&amp;O1819'!C$18-'Report-SOF1819'!D$55)</f>
        <v>#DIV/0!</v>
      </c>
      <c r="K900" s="2452" t="e">
        <f t="shared" ref="K900:K963" si="171">I900+J900</f>
        <v>#DIV/0!</v>
      </c>
      <c r="L900" s="2449">
        <f>IF(A900='Data Entry - SOF'!B$2,'Data Entry - SOF'!G$64,0)</f>
        <v>0</v>
      </c>
      <c r="M900" s="1371">
        <f t="shared" ref="M900:M963" si="172">I900-L900</f>
        <v>13020220</v>
      </c>
      <c r="N900" s="2212" t="e">
        <f>IF('Report-M&amp;O1920'!C$18-'Report-SOF1920'!D$55&lt;=0,0,'Report-M&amp;O1920'!C$18-'Report-SOF1920'!D$55)</f>
        <v>#DIV/0!</v>
      </c>
      <c r="O900" s="2452" t="e">
        <f t="shared" ref="O900:O963" si="173">M900+N900</f>
        <v>#DIV/0!</v>
      </c>
      <c r="P900" s="2449">
        <f>IF(A900='Data Entry - SOF'!B$2,'Data Entry - SOF'!I$64,0)</f>
        <v>0</v>
      </c>
      <c r="Q900" s="1687">
        <f t="shared" si="168"/>
        <v>13020220</v>
      </c>
      <c r="R900" s="2212" t="e">
        <f>IF('Report-M&amp;O2021'!C$18-'Report-SOF2021'!D$55&lt;=0,0,'Report-M&amp;O2021'!C$18-'Report-SOF2021'!D$55)</f>
        <v>#DIV/0!</v>
      </c>
      <c r="S900" s="2452" t="e">
        <f t="shared" ref="S900:S963" si="174">Q900+R900</f>
        <v>#DIV/0!</v>
      </c>
      <c r="T900" s="1708">
        <f>IF(A900='Data Entry - SOF'!B$2,'Data Entry - SOF'!K$64,0)</f>
        <v>0</v>
      </c>
      <c r="U900" s="1687">
        <f t="shared" si="167"/>
        <v>13020220</v>
      </c>
      <c r="V900" s="2212" t="e">
        <f>IF('Report-M&amp;O2122'!C$18-'Report-SOF2122'!D$55&lt;=0,0,'Report-M&amp;O2122'!C$18-'Report-SOF2122'!D$55)</f>
        <v>#DIV/0!</v>
      </c>
      <c r="W900" s="2452" t="e">
        <f t="shared" ref="W900:W963" si="175">U900+V900</f>
        <v>#DIV/0!</v>
      </c>
      <c r="X900" s="1708">
        <f>IF(A900='Data Entry - SOF'!B$2,'Data Entry - SOF'!M$64,0)</f>
        <v>0</v>
      </c>
      <c r="Y900" s="1371" t="e">
        <f t="shared" ref="Y900:Y963" si="176">IF(U900+V900-X900&lt;=0,0,U900+V900-X900)</f>
        <v>#DIV/0!</v>
      </c>
      <c r="Z900" s="2212" t="e">
        <f>IF('Report-M&amp;O2223'!C$18-'Report-SOF2223'!D$55&lt;=0,0,'Report-M&amp;O2223'!C$18-'Report-SOF2223'!D$55)</f>
        <v>#DIV/0!</v>
      </c>
      <c r="AA900" s="1708">
        <f>IF(A900='Data Entry - SOF'!B$2,'Data Entry - SOF'!O$64,0)</f>
        <v>0</v>
      </c>
    </row>
    <row r="901" spans="1:27" ht="15.75">
      <c r="A901" s="1076" t="s">
        <v>2062</v>
      </c>
      <c r="B901">
        <v>671985</v>
      </c>
      <c r="C901" s="2452" t="e">
        <f>#REF!+#REF!</f>
        <v>#REF!</v>
      </c>
      <c r="D901" s="2449">
        <f>IF(A901='Data Entry - SOF'!B$2,'Data Entry - SOF'!C$64,0)</f>
        <v>0</v>
      </c>
      <c r="E901" s="2450">
        <f t="shared" ref="E901:E964" si="177">IF(B901-D901&lt;0,0,B901-D901)</f>
        <v>671985</v>
      </c>
      <c r="F901" s="2212" t="e">
        <f>IF('Report-M&amp;O1718'!C$18-'Report-SOF1718'!D$55&lt;=0,0,'Report-M&amp;O1718'!C$18-'Report-SOF1718'!D$55)</f>
        <v>#DIV/0!</v>
      </c>
      <c r="G901" s="2452" t="e">
        <f t="shared" si="169"/>
        <v>#DIV/0!</v>
      </c>
      <c r="H901" s="2449">
        <f>IF(A901='Data Entry - SOF'!B$2,'Data Entry - SOF'!E$64,0)</f>
        <v>0</v>
      </c>
      <c r="I901" s="1687">
        <f t="shared" si="170"/>
        <v>671985</v>
      </c>
      <c r="J901" s="2212" t="e">
        <f>IF('Report-M&amp;O1819'!C$18-'Report-SOF1819'!D$55&lt;=0,0,'Report-M&amp;O1819'!C$18-'Report-SOF1819'!D$55)</f>
        <v>#DIV/0!</v>
      </c>
      <c r="K901" s="2452" t="e">
        <f t="shared" si="171"/>
        <v>#DIV/0!</v>
      </c>
      <c r="L901" s="2449">
        <f>IF(A901='Data Entry - SOF'!B$2,'Data Entry - SOF'!G$64,0)</f>
        <v>0</v>
      </c>
      <c r="M901" s="1371">
        <f t="shared" si="172"/>
        <v>671985</v>
      </c>
      <c r="N901" s="2212" t="e">
        <f>IF('Report-M&amp;O1920'!C$18-'Report-SOF1920'!D$55&lt;=0,0,'Report-M&amp;O1920'!C$18-'Report-SOF1920'!D$55)</f>
        <v>#DIV/0!</v>
      </c>
      <c r="O901" s="2452" t="e">
        <f t="shared" si="173"/>
        <v>#DIV/0!</v>
      </c>
      <c r="P901" s="2449">
        <f>IF(A901='Data Entry - SOF'!B$2,'Data Entry - SOF'!I$64,0)</f>
        <v>0</v>
      </c>
      <c r="Q901" s="1687">
        <f t="shared" si="168"/>
        <v>671985</v>
      </c>
      <c r="R901" s="2212" t="e">
        <f>IF('Report-M&amp;O2021'!C$18-'Report-SOF2021'!D$55&lt;=0,0,'Report-M&amp;O2021'!C$18-'Report-SOF2021'!D$55)</f>
        <v>#DIV/0!</v>
      </c>
      <c r="S901" s="2452" t="e">
        <f t="shared" si="174"/>
        <v>#DIV/0!</v>
      </c>
      <c r="T901" s="1708">
        <f>IF(A901='Data Entry - SOF'!B$2,'Data Entry - SOF'!K$64,0)</f>
        <v>0</v>
      </c>
      <c r="U901" s="1687">
        <f t="shared" si="167"/>
        <v>671985</v>
      </c>
      <c r="V901" s="2212" t="e">
        <f>IF('Report-M&amp;O2122'!C$18-'Report-SOF2122'!D$55&lt;=0,0,'Report-M&amp;O2122'!C$18-'Report-SOF2122'!D$55)</f>
        <v>#DIV/0!</v>
      </c>
      <c r="W901" s="2452" t="e">
        <f t="shared" si="175"/>
        <v>#DIV/0!</v>
      </c>
      <c r="X901" s="1708">
        <f>IF(A901='Data Entry - SOF'!B$2,'Data Entry - SOF'!M$64,0)</f>
        <v>0</v>
      </c>
      <c r="Y901" s="1371" t="e">
        <f t="shared" si="176"/>
        <v>#DIV/0!</v>
      </c>
      <c r="Z901" s="2212" t="e">
        <f>IF('Report-M&amp;O2223'!C$18-'Report-SOF2223'!D$55&lt;=0,0,'Report-M&amp;O2223'!C$18-'Report-SOF2223'!D$55)</f>
        <v>#DIV/0!</v>
      </c>
      <c r="AA901" s="1708">
        <f>IF(A901='Data Entry - SOF'!B$2,'Data Entry - SOF'!O$64,0)</f>
        <v>0</v>
      </c>
    </row>
    <row r="902" spans="1:27" ht="15.75">
      <c r="A902" s="1076" t="s">
        <v>305</v>
      </c>
      <c r="B902">
        <v>509403</v>
      </c>
      <c r="C902" s="2452" t="e">
        <f>#REF!+#REF!</f>
        <v>#REF!</v>
      </c>
      <c r="D902" s="2449">
        <f>IF(A902='Data Entry - SOF'!B$2,'Data Entry - SOF'!C$64,0)</f>
        <v>0</v>
      </c>
      <c r="E902" s="2450">
        <f t="shared" si="177"/>
        <v>509403</v>
      </c>
      <c r="F902" s="2212" t="e">
        <f>IF('Report-M&amp;O1718'!C$18-'Report-SOF1718'!D$55&lt;=0,0,'Report-M&amp;O1718'!C$18-'Report-SOF1718'!D$55)</f>
        <v>#DIV/0!</v>
      </c>
      <c r="G902" s="2452" t="e">
        <f t="shared" si="169"/>
        <v>#DIV/0!</v>
      </c>
      <c r="H902" s="2449">
        <f>IF(A902='Data Entry - SOF'!B$2,'Data Entry - SOF'!E$64,0)</f>
        <v>0</v>
      </c>
      <c r="I902" s="1687">
        <f t="shared" si="170"/>
        <v>509403</v>
      </c>
      <c r="J902" s="2212" t="e">
        <f>IF('Report-M&amp;O1819'!C$18-'Report-SOF1819'!D$55&lt;=0,0,'Report-M&amp;O1819'!C$18-'Report-SOF1819'!D$55)</f>
        <v>#DIV/0!</v>
      </c>
      <c r="K902" s="2452" t="e">
        <f t="shared" si="171"/>
        <v>#DIV/0!</v>
      </c>
      <c r="L902" s="2449">
        <f>IF(A902='Data Entry - SOF'!B$2,'Data Entry - SOF'!G$64,0)</f>
        <v>0</v>
      </c>
      <c r="M902" s="1371">
        <f t="shared" si="172"/>
        <v>509403</v>
      </c>
      <c r="N902" s="2212" t="e">
        <f>IF('Report-M&amp;O1920'!C$18-'Report-SOF1920'!D$55&lt;=0,0,'Report-M&amp;O1920'!C$18-'Report-SOF1920'!D$55)</f>
        <v>#DIV/0!</v>
      </c>
      <c r="O902" s="2452" t="e">
        <f t="shared" si="173"/>
        <v>#DIV/0!</v>
      </c>
      <c r="P902" s="2449">
        <f>IF(A902='Data Entry - SOF'!B$2,'Data Entry - SOF'!I$64,0)</f>
        <v>0</v>
      </c>
      <c r="Q902" s="1687">
        <f t="shared" si="168"/>
        <v>509403</v>
      </c>
      <c r="R902" s="2212" t="e">
        <f>IF('Report-M&amp;O2021'!C$18-'Report-SOF2021'!D$55&lt;=0,0,'Report-M&amp;O2021'!C$18-'Report-SOF2021'!D$55)</f>
        <v>#DIV/0!</v>
      </c>
      <c r="S902" s="2452" t="e">
        <f t="shared" si="174"/>
        <v>#DIV/0!</v>
      </c>
      <c r="T902" s="1708">
        <f>IF(A902='Data Entry - SOF'!B$2,'Data Entry - SOF'!K$64,0)</f>
        <v>0</v>
      </c>
      <c r="U902" s="1687">
        <f t="shared" si="167"/>
        <v>509403</v>
      </c>
      <c r="V902" s="2212" t="e">
        <f>IF('Report-M&amp;O2122'!C$18-'Report-SOF2122'!D$55&lt;=0,0,'Report-M&amp;O2122'!C$18-'Report-SOF2122'!D$55)</f>
        <v>#DIV/0!</v>
      </c>
      <c r="W902" s="2452" t="e">
        <f t="shared" si="175"/>
        <v>#DIV/0!</v>
      </c>
      <c r="X902" s="1708">
        <f>IF(A902='Data Entry - SOF'!B$2,'Data Entry - SOF'!M$64,0)</f>
        <v>0</v>
      </c>
      <c r="Y902" s="1371" t="e">
        <f t="shared" si="176"/>
        <v>#DIV/0!</v>
      </c>
      <c r="Z902" s="2212" t="e">
        <f>IF('Report-M&amp;O2223'!C$18-'Report-SOF2223'!D$55&lt;=0,0,'Report-M&amp;O2223'!C$18-'Report-SOF2223'!D$55)</f>
        <v>#DIV/0!</v>
      </c>
      <c r="AA902" s="1708">
        <f>IF(A902='Data Entry - SOF'!B$2,'Data Entry - SOF'!O$64,0)</f>
        <v>0</v>
      </c>
    </row>
    <row r="903" spans="1:27" ht="15.75">
      <c r="A903" s="1076" t="s">
        <v>2063</v>
      </c>
      <c r="B903">
        <v>942071</v>
      </c>
      <c r="C903" s="2452" t="e">
        <f>#REF!+#REF!</f>
        <v>#REF!</v>
      </c>
      <c r="D903" s="2449">
        <f>IF(A903='Data Entry - SOF'!B$2,'Data Entry - SOF'!C$64,0)</f>
        <v>0</v>
      </c>
      <c r="E903" s="2450">
        <f t="shared" si="177"/>
        <v>942071</v>
      </c>
      <c r="F903" s="2212" t="e">
        <f>IF('Report-M&amp;O1718'!C$18-'Report-SOF1718'!D$55&lt;=0,0,'Report-M&amp;O1718'!C$18-'Report-SOF1718'!D$55)</f>
        <v>#DIV/0!</v>
      </c>
      <c r="G903" s="2452" t="e">
        <f t="shared" si="169"/>
        <v>#DIV/0!</v>
      </c>
      <c r="H903" s="2449">
        <f>IF(A903='Data Entry - SOF'!B$2,'Data Entry - SOF'!E$64,0)</f>
        <v>0</v>
      </c>
      <c r="I903" s="1687">
        <f t="shared" si="170"/>
        <v>942071</v>
      </c>
      <c r="J903" s="2212" t="e">
        <f>IF('Report-M&amp;O1819'!C$18-'Report-SOF1819'!D$55&lt;=0,0,'Report-M&amp;O1819'!C$18-'Report-SOF1819'!D$55)</f>
        <v>#DIV/0!</v>
      </c>
      <c r="K903" s="2452" t="e">
        <f t="shared" si="171"/>
        <v>#DIV/0!</v>
      </c>
      <c r="L903" s="2449">
        <f>IF(A903='Data Entry - SOF'!B$2,'Data Entry - SOF'!G$64,0)</f>
        <v>0</v>
      </c>
      <c r="M903" s="1371">
        <f t="shared" si="172"/>
        <v>942071</v>
      </c>
      <c r="N903" s="2212" t="e">
        <f>IF('Report-M&amp;O1920'!C$18-'Report-SOF1920'!D$55&lt;=0,0,'Report-M&amp;O1920'!C$18-'Report-SOF1920'!D$55)</f>
        <v>#DIV/0!</v>
      </c>
      <c r="O903" s="2452" t="e">
        <f t="shared" si="173"/>
        <v>#DIV/0!</v>
      </c>
      <c r="P903" s="2449">
        <f>IF(A903='Data Entry - SOF'!B$2,'Data Entry - SOF'!I$64,0)</f>
        <v>0</v>
      </c>
      <c r="Q903" s="1687">
        <f t="shared" si="168"/>
        <v>942071</v>
      </c>
      <c r="R903" s="2212" t="e">
        <f>IF('Report-M&amp;O2021'!C$18-'Report-SOF2021'!D$55&lt;=0,0,'Report-M&amp;O2021'!C$18-'Report-SOF2021'!D$55)</f>
        <v>#DIV/0!</v>
      </c>
      <c r="S903" s="2452" t="e">
        <f t="shared" si="174"/>
        <v>#DIV/0!</v>
      </c>
      <c r="T903" s="1708">
        <f>IF(A903='Data Entry - SOF'!B$2,'Data Entry - SOF'!K$64,0)</f>
        <v>0</v>
      </c>
      <c r="U903" s="1687">
        <f t="shared" si="167"/>
        <v>942071</v>
      </c>
      <c r="V903" s="2212" t="e">
        <f>IF('Report-M&amp;O2122'!C$18-'Report-SOF2122'!D$55&lt;=0,0,'Report-M&amp;O2122'!C$18-'Report-SOF2122'!D$55)</f>
        <v>#DIV/0!</v>
      </c>
      <c r="W903" s="2452" t="e">
        <f t="shared" si="175"/>
        <v>#DIV/0!</v>
      </c>
      <c r="X903" s="1708">
        <f>IF(A903='Data Entry - SOF'!B$2,'Data Entry - SOF'!M$64,0)</f>
        <v>0</v>
      </c>
      <c r="Y903" s="1371" t="e">
        <f t="shared" si="176"/>
        <v>#DIV/0!</v>
      </c>
      <c r="Z903" s="2212" t="e">
        <f>IF('Report-M&amp;O2223'!C$18-'Report-SOF2223'!D$55&lt;=0,0,'Report-M&amp;O2223'!C$18-'Report-SOF2223'!D$55)</f>
        <v>#DIV/0!</v>
      </c>
      <c r="AA903" s="1708">
        <f>IF(A903='Data Entry - SOF'!B$2,'Data Entry - SOF'!O$64,0)</f>
        <v>0</v>
      </c>
    </row>
    <row r="904" spans="1:27" ht="15.75">
      <c r="A904" s="1076" t="s">
        <v>2797</v>
      </c>
      <c r="B904">
        <v>2004696</v>
      </c>
      <c r="C904" s="2452" t="e">
        <f>#REF!+#REF!</f>
        <v>#REF!</v>
      </c>
      <c r="D904" s="2449">
        <f>IF(A904='Data Entry - SOF'!B$2,'Data Entry - SOF'!C$64,0)</f>
        <v>0</v>
      </c>
      <c r="E904" s="2450">
        <f t="shared" si="177"/>
        <v>2004696</v>
      </c>
      <c r="F904" s="2212" t="e">
        <f>IF('Report-M&amp;O1718'!C$18-'Report-SOF1718'!D$55&lt;=0,0,'Report-M&amp;O1718'!C$18-'Report-SOF1718'!D$55)</f>
        <v>#DIV/0!</v>
      </c>
      <c r="G904" s="2452" t="e">
        <f t="shared" si="169"/>
        <v>#DIV/0!</v>
      </c>
      <c r="H904" s="2449">
        <f>IF(A904='Data Entry - SOF'!B$2,'Data Entry - SOF'!E$64,0)</f>
        <v>0</v>
      </c>
      <c r="I904" s="1687">
        <f t="shared" si="170"/>
        <v>2004696</v>
      </c>
      <c r="J904" s="2212" t="e">
        <f>IF('Report-M&amp;O1819'!C$18-'Report-SOF1819'!D$55&lt;=0,0,'Report-M&amp;O1819'!C$18-'Report-SOF1819'!D$55)</f>
        <v>#DIV/0!</v>
      </c>
      <c r="K904" s="2452" t="e">
        <f t="shared" si="171"/>
        <v>#DIV/0!</v>
      </c>
      <c r="L904" s="2449">
        <f>IF(A904='Data Entry - SOF'!B$2,'Data Entry - SOF'!G$64,0)</f>
        <v>0</v>
      </c>
      <c r="M904" s="1371">
        <f t="shared" si="172"/>
        <v>2004696</v>
      </c>
      <c r="N904" s="2212" t="e">
        <f>IF('Report-M&amp;O1920'!C$18-'Report-SOF1920'!D$55&lt;=0,0,'Report-M&amp;O1920'!C$18-'Report-SOF1920'!D$55)</f>
        <v>#DIV/0!</v>
      </c>
      <c r="O904" s="2452" t="e">
        <f t="shared" si="173"/>
        <v>#DIV/0!</v>
      </c>
      <c r="P904" s="2449">
        <f>IF(A904='Data Entry - SOF'!B$2,'Data Entry - SOF'!I$64,0)</f>
        <v>0</v>
      </c>
      <c r="Q904" s="1687">
        <f t="shared" si="168"/>
        <v>2004696</v>
      </c>
      <c r="R904" s="2212" t="e">
        <f>IF('Report-M&amp;O2021'!C$18-'Report-SOF2021'!D$55&lt;=0,0,'Report-M&amp;O2021'!C$18-'Report-SOF2021'!D$55)</f>
        <v>#DIV/0!</v>
      </c>
      <c r="S904" s="2452" t="e">
        <f t="shared" si="174"/>
        <v>#DIV/0!</v>
      </c>
      <c r="T904" s="1708">
        <f>IF(A904='Data Entry - SOF'!B$2,'Data Entry - SOF'!K$64,0)</f>
        <v>0</v>
      </c>
      <c r="U904" s="1687">
        <f t="shared" si="167"/>
        <v>2004696</v>
      </c>
      <c r="V904" s="2212" t="e">
        <f>IF('Report-M&amp;O2122'!C$18-'Report-SOF2122'!D$55&lt;=0,0,'Report-M&amp;O2122'!C$18-'Report-SOF2122'!D$55)</f>
        <v>#DIV/0!</v>
      </c>
      <c r="W904" s="2452" t="e">
        <f t="shared" si="175"/>
        <v>#DIV/0!</v>
      </c>
      <c r="X904" s="1708">
        <f>IF(A904='Data Entry - SOF'!B$2,'Data Entry - SOF'!M$64,0)</f>
        <v>0</v>
      </c>
      <c r="Y904" s="1371" t="e">
        <f t="shared" si="176"/>
        <v>#DIV/0!</v>
      </c>
      <c r="Z904" s="2212" t="e">
        <f>IF('Report-M&amp;O2223'!C$18-'Report-SOF2223'!D$55&lt;=0,0,'Report-M&amp;O2223'!C$18-'Report-SOF2223'!D$55)</f>
        <v>#DIV/0!</v>
      </c>
      <c r="AA904" s="1708">
        <f>IF(A904='Data Entry - SOF'!B$2,'Data Entry - SOF'!O$64,0)</f>
        <v>0</v>
      </c>
    </row>
    <row r="905" spans="1:27" ht="15.75">
      <c r="A905" s="1076" t="s">
        <v>1488</v>
      </c>
      <c r="B905">
        <v>31681717</v>
      </c>
      <c r="C905" s="2452" t="e">
        <f>#REF!+#REF!</f>
        <v>#REF!</v>
      </c>
      <c r="D905" s="2449">
        <f>IF(A905='Data Entry - SOF'!B$2,'Data Entry - SOF'!C$64,0)</f>
        <v>0</v>
      </c>
      <c r="E905" s="2450">
        <f t="shared" si="177"/>
        <v>31681717</v>
      </c>
      <c r="F905" s="2212" t="e">
        <f>IF('Report-M&amp;O1718'!C$18-'Report-SOF1718'!D$55&lt;=0,0,'Report-M&amp;O1718'!C$18-'Report-SOF1718'!D$55)</f>
        <v>#DIV/0!</v>
      </c>
      <c r="G905" s="2452" t="e">
        <f t="shared" si="169"/>
        <v>#DIV/0!</v>
      </c>
      <c r="H905" s="2449">
        <f>IF(A905='Data Entry - SOF'!B$2,'Data Entry - SOF'!E$64,0)</f>
        <v>0</v>
      </c>
      <c r="I905" s="1687">
        <f t="shared" si="170"/>
        <v>31681717</v>
      </c>
      <c r="J905" s="2212" t="e">
        <f>IF('Report-M&amp;O1819'!C$18-'Report-SOF1819'!D$55&lt;=0,0,'Report-M&amp;O1819'!C$18-'Report-SOF1819'!D$55)</f>
        <v>#DIV/0!</v>
      </c>
      <c r="K905" s="2452" t="e">
        <f t="shared" si="171"/>
        <v>#DIV/0!</v>
      </c>
      <c r="L905" s="2449">
        <f>IF(A905='Data Entry - SOF'!B$2,'Data Entry - SOF'!G$64,0)</f>
        <v>0</v>
      </c>
      <c r="M905" s="1371">
        <f t="shared" si="172"/>
        <v>31681717</v>
      </c>
      <c r="N905" s="2212" t="e">
        <f>IF('Report-M&amp;O1920'!C$18-'Report-SOF1920'!D$55&lt;=0,0,'Report-M&amp;O1920'!C$18-'Report-SOF1920'!D$55)</f>
        <v>#DIV/0!</v>
      </c>
      <c r="O905" s="2452" t="e">
        <f t="shared" si="173"/>
        <v>#DIV/0!</v>
      </c>
      <c r="P905" s="2449">
        <f>IF(A905='Data Entry - SOF'!B$2,'Data Entry - SOF'!I$64,0)</f>
        <v>0</v>
      </c>
      <c r="Q905" s="1687">
        <f t="shared" si="168"/>
        <v>31681717</v>
      </c>
      <c r="R905" s="2212" t="e">
        <f>IF('Report-M&amp;O2021'!C$18-'Report-SOF2021'!D$55&lt;=0,0,'Report-M&amp;O2021'!C$18-'Report-SOF2021'!D$55)</f>
        <v>#DIV/0!</v>
      </c>
      <c r="S905" s="2452" t="e">
        <f t="shared" si="174"/>
        <v>#DIV/0!</v>
      </c>
      <c r="T905" s="1708">
        <f>IF(A905='Data Entry - SOF'!B$2,'Data Entry - SOF'!K$64,0)</f>
        <v>0</v>
      </c>
      <c r="U905" s="1687">
        <f t="shared" si="167"/>
        <v>31681717</v>
      </c>
      <c r="V905" s="2212" t="e">
        <f>IF('Report-M&amp;O2122'!C$18-'Report-SOF2122'!D$55&lt;=0,0,'Report-M&amp;O2122'!C$18-'Report-SOF2122'!D$55)</f>
        <v>#DIV/0!</v>
      </c>
      <c r="W905" s="2452" t="e">
        <f t="shared" si="175"/>
        <v>#DIV/0!</v>
      </c>
      <c r="X905" s="1708">
        <f>IF(A905='Data Entry - SOF'!B$2,'Data Entry - SOF'!M$64,0)</f>
        <v>0</v>
      </c>
      <c r="Y905" s="1371" t="e">
        <f t="shared" si="176"/>
        <v>#DIV/0!</v>
      </c>
      <c r="Z905" s="2212" t="e">
        <f>IF('Report-M&amp;O2223'!C$18-'Report-SOF2223'!D$55&lt;=0,0,'Report-M&amp;O2223'!C$18-'Report-SOF2223'!D$55)</f>
        <v>#DIV/0!</v>
      </c>
      <c r="AA905" s="1708">
        <f>IF(A905='Data Entry - SOF'!B$2,'Data Entry - SOF'!O$64,0)</f>
        <v>0</v>
      </c>
    </row>
    <row r="906" spans="1:27" ht="15.75">
      <c r="A906" s="1076" t="s">
        <v>2785</v>
      </c>
      <c r="B906">
        <v>850954</v>
      </c>
      <c r="C906" s="2452" t="e">
        <f>#REF!+#REF!</f>
        <v>#REF!</v>
      </c>
      <c r="D906" s="2449">
        <f>IF(A906='Data Entry - SOF'!B$2,'Data Entry - SOF'!C$64,0)</f>
        <v>0</v>
      </c>
      <c r="E906" s="2450">
        <f t="shared" si="177"/>
        <v>850954</v>
      </c>
      <c r="F906" s="2212" t="e">
        <f>IF('Report-M&amp;O1718'!C$18-'Report-SOF1718'!D$55&lt;=0,0,'Report-M&amp;O1718'!C$18-'Report-SOF1718'!D$55)</f>
        <v>#DIV/0!</v>
      </c>
      <c r="G906" s="2452" t="e">
        <f t="shared" si="169"/>
        <v>#DIV/0!</v>
      </c>
      <c r="H906" s="2449">
        <f>IF(A906='Data Entry - SOF'!B$2,'Data Entry - SOF'!E$64,0)</f>
        <v>0</v>
      </c>
      <c r="I906" s="1687">
        <f t="shared" si="170"/>
        <v>850954</v>
      </c>
      <c r="J906" s="2212" t="e">
        <f>IF('Report-M&amp;O1819'!C$18-'Report-SOF1819'!D$55&lt;=0,0,'Report-M&amp;O1819'!C$18-'Report-SOF1819'!D$55)</f>
        <v>#DIV/0!</v>
      </c>
      <c r="K906" s="2452" t="e">
        <f t="shared" si="171"/>
        <v>#DIV/0!</v>
      </c>
      <c r="L906" s="2449">
        <f>IF(A906='Data Entry - SOF'!B$2,'Data Entry - SOF'!G$64,0)</f>
        <v>0</v>
      </c>
      <c r="M906" s="1371">
        <f t="shared" si="172"/>
        <v>850954</v>
      </c>
      <c r="N906" s="2212" t="e">
        <f>IF('Report-M&amp;O1920'!C$18-'Report-SOF1920'!D$55&lt;=0,0,'Report-M&amp;O1920'!C$18-'Report-SOF1920'!D$55)</f>
        <v>#DIV/0!</v>
      </c>
      <c r="O906" s="2452" t="e">
        <f t="shared" si="173"/>
        <v>#DIV/0!</v>
      </c>
      <c r="P906" s="2449">
        <f>IF(A906='Data Entry - SOF'!B$2,'Data Entry - SOF'!I$64,0)</f>
        <v>0</v>
      </c>
      <c r="Q906" s="1687">
        <f t="shared" si="168"/>
        <v>850954</v>
      </c>
      <c r="R906" s="2212" t="e">
        <f>IF('Report-M&amp;O2021'!C$18-'Report-SOF2021'!D$55&lt;=0,0,'Report-M&amp;O2021'!C$18-'Report-SOF2021'!D$55)</f>
        <v>#DIV/0!</v>
      </c>
      <c r="S906" s="2452" t="e">
        <f t="shared" si="174"/>
        <v>#DIV/0!</v>
      </c>
      <c r="T906" s="1708">
        <f>IF(A906='Data Entry - SOF'!B$2,'Data Entry - SOF'!K$64,0)</f>
        <v>0</v>
      </c>
      <c r="U906" s="1687">
        <f t="shared" si="167"/>
        <v>850954</v>
      </c>
      <c r="V906" s="2212" t="e">
        <f>IF('Report-M&amp;O2122'!C$18-'Report-SOF2122'!D$55&lt;=0,0,'Report-M&amp;O2122'!C$18-'Report-SOF2122'!D$55)</f>
        <v>#DIV/0!</v>
      </c>
      <c r="W906" s="2452" t="e">
        <f t="shared" si="175"/>
        <v>#DIV/0!</v>
      </c>
      <c r="X906" s="1708">
        <f>IF(A906='Data Entry - SOF'!B$2,'Data Entry - SOF'!M$64,0)</f>
        <v>0</v>
      </c>
      <c r="Y906" s="1371" t="e">
        <f t="shared" si="176"/>
        <v>#DIV/0!</v>
      </c>
      <c r="Z906" s="2212" t="e">
        <f>IF('Report-M&amp;O2223'!C$18-'Report-SOF2223'!D$55&lt;=0,0,'Report-M&amp;O2223'!C$18-'Report-SOF2223'!D$55)</f>
        <v>#DIV/0!</v>
      </c>
      <c r="AA906" s="1708">
        <f>IF(A906='Data Entry - SOF'!B$2,'Data Entry - SOF'!O$64,0)</f>
        <v>0</v>
      </c>
    </row>
    <row r="907" spans="1:27" ht="15.75">
      <c r="A907" s="1076" t="s">
        <v>374</v>
      </c>
      <c r="B907">
        <v>2840215</v>
      </c>
      <c r="C907" s="2452" t="e">
        <f>#REF!+#REF!</f>
        <v>#REF!</v>
      </c>
      <c r="D907" s="2449">
        <f>IF(A907='Data Entry - SOF'!B$2,'Data Entry - SOF'!C$64,0)</f>
        <v>0</v>
      </c>
      <c r="E907" s="2450">
        <f t="shared" si="177"/>
        <v>2840215</v>
      </c>
      <c r="F907" s="2212" t="e">
        <f>IF('Report-M&amp;O1718'!C$18-'Report-SOF1718'!D$55&lt;=0,0,'Report-M&amp;O1718'!C$18-'Report-SOF1718'!D$55)</f>
        <v>#DIV/0!</v>
      </c>
      <c r="G907" s="2452" t="e">
        <f t="shared" si="169"/>
        <v>#DIV/0!</v>
      </c>
      <c r="H907" s="2449">
        <f>IF(A907='Data Entry - SOF'!B$2,'Data Entry - SOF'!E$64,0)</f>
        <v>0</v>
      </c>
      <c r="I907" s="1687">
        <f t="shared" si="170"/>
        <v>2840215</v>
      </c>
      <c r="J907" s="2212" t="e">
        <f>IF('Report-M&amp;O1819'!C$18-'Report-SOF1819'!D$55&lt;=0,0,'Report-M&amp;O1819'!C$18-'Report-SOF1819'!D$55)</f>
        <v>#DIV/0!</v>
      </c>
      <c r="K907" s="2452" t="e">
        <f t="shared" si="171"/>
        <v>#DIV/0!</v>
      </c>
      <c r="L907" s="2449">
        <f>IF(A907='Data Entry - SOF'!B$2,'Data Entry - SOF'!G$64,0)</f>
        <v>0</v>
      </c>
      <c r="M907" s="1371">
        <f t="shared" si="172"/>
        <v>2840215</v>
      </c>
      <c r="N907" s="2212" t="e">
        <f>IF('Report-M&amp;O1920'!C$18-'Report-SOF1920'!D$55&lt;=0,0,'Report-M&amp;O1920'!C$18-'Report-SOF1920'!D$55)</f>
        <v>#DIV/0!</v>
      </c>
      <c r="O907" s="2452" t="e">
        <f t="shared" si="173"/>
        <v>#DIV/0!</v>
      </c>
      <c r="P907" s="2449">
        <f>IF(A907='Data Entry - SOF'!B$2,'Data Entry - SOF'!I$64,0)</f>
        <v>0</v>
      </c>
      <c r="Q907" s="1687">
        <f t="shared" si="168"/>
        <v>2840215</v>
      </c>
      <c r="R907" s="2212" t="e">
        <f>IF('Report-M&amp;O2021'!C$18-'Report-SOF2021'!D$55&lt;=0,0,'Report-M&amp;O2021'!C$18-'Report-SOF2021'!D$55)</f>
        <v>#DIV/0!</v>
      </c>
      <c r="S907" s="2452" t="e">
        <f t="shared" si="174"/>
        <v>#DIV/0!</v>
      </c>
      <c r="T907" s="1708">
        <f>IF(A907='Data Entry - SOF'!B$2,'Data Entry - SOF'!K$64,0)</f>
        <v>0</v>
      </c>
      <c r="U907" s="1687">
        <f t="shared" si="167"/>
        <v>2840215</v>
      </c>
      <c r="V907" s="2212" t="e">
        <f>IF('Report-M&amp;O2122'!C$18-'Report-SOF2122'!D$55&lt;=0,0,'Report-M&amp;O2122'!C$18-'Report-SOF2122'!D$55)</f>
        <v>#DIV/0!</v>
      </c>
      <c r="W907" s="2452" t="e">
        <f t="shared" si="175"/>
        <v>#DIV/0!</v>
      </c>
      <c r="X907" s="1708">
        <f>IF(A907='Data Entry - SOF'!B$2,'Data Entry - SOF'!M$64,0)</f>
        <v>0</v>
      </c>
      <c r="Y907" s="1371" t="e">
        <f t="shared" si="176"/>
        <v>#DIV/0!</v>
      </c>
      <c r="Z907" s="2212" t="e">
        <f>IF('Report-M&amp;O2223'!C$18-'Report-SOF2223'!D$55&lt;=0,0,'Report-M&amp;O2223'!C$18-'Report-SOF2223'!D$55)</f>
        <v>#DIV/0!</v>
      </c>
      <c r="AA907" s="1708">
        <f>IF(A907='Data Entry - SOF'!B$2,'Data Entry - SOF'!O$64,0)</f>
        <v>0</v>
      </c>
    </row>
    <row r="908" spans="1:27" ht="15.75">
      <c r="A908" s="1076" t="s">
        <v>1482</v>
      </c>
      <c r="B908">
        <v>2462736</v>
      </c>
      <c r="C908" s="2452" t="e">
        <f>#REF!+#REF!</f>
        <v>#REF!</v>
      </c>
      <c r="D908" s="2449">
        <f>IF(A908='Data Entry - SOF'!B$2,'Data Entry - SOF'!C$64,0)</f>
        <v>0</v>
      </c>
      <c r="E908" s="2450">
        <f t="shared" si="177"/>
        <v>2462736</v>
      </c>
      <c r="F908" s="2212" t="e">
        <f>IF('Report-M&amp;O1718'!C$18-'Report-SOF1718'!D$55&lt;=0,0,'Report-M&amp;O1718'!C$18-'Report-SOF1718'!D$55)</f>
        <v>#DIV/0!</v>
      </c>
      <c r="G908" s="2452" t="e">
        <f t="shared" si="169"/>
        <v>#DIV/0!</v>
      </c>
      <c r="H908" s="2449">
        <f>IF(A908='Data Entry - SOF'!B$2,'Data Entry - SOF'!E$64,0)</f>
        <v>0</v>
      </c>
      <c r="I908" s="1687">
        <f t="shared" si="170"/>
        <v>2462736</v>
      </c>
      <c r="J908" s="2212" t="e">
        <f>IF('Report-M&amp;O1819'!C$18-'Report-SOF1819'!D$55&lt;=0,0,'Report-M&amp;O1819'!C$18-'Report-SOF1819'!D$55)</f>
        <v>#DIV/0!</v>
      </c>
      <c r="K908" s="2452" t="e">
        <f t="shared" si="171"/>
        <v>#DIV/0!</v>
      </c>
      <c r="L908" s="2449">
        <f>IF(A908='Data Entry - SOF'!B$2,'Data Entry - SOF'!G$64,0)</f>
        <v>0</v>
      </c>
      <c r="M908" s="1371">
        <f t="shared" si="172"/>
        <v>2462736</v>
      </c>
      <c r="N908" s="2212" t="e">
        <f>IF('Report-M&amp;O1920'!C$18-'Report-SOF1920'!D$55&lt;=0,0,'Report-M&amp;O1920'!C$18-'Report-SOF1920'!D$55)</f>
        <v>#DIV/0!</v>
      </c>
      <c r="O908" s="2452" t="e">
        <f t="shared" si="173"/>
        <v>#DIV/0!</v>
      </c>
      <c r="P908" s="2449">
        <f>IF(A908='Data Entry - SOF'!B$2,'Data Entry - SOF'!I$64,0)</f>
        <v>0</v>
      </c>
      <c r="Q908" s="1687">
        <f t="shared" si="168"/>
        <v>2462736</v>
      </c>
      <c r="R908" s="2212" t="e">
        <f>IF('Report-M&amp;O2021'!C$18-'Report-SOF2021'!D$55&lt;=0,0,'Report-M&amp;O2021'!C$18-'Report-SOF2021'!D$55)</f>
        <v>#DIV/0!</v>
      </c>
      <c r="S908" s="2452" t="e">
        <f t="shared" si="174"/>
        <v>#DIV/0!</v>
      </c>
      <c r="T908" s="1708">
        <f>IF(A908='Data Entry - SOF'!B$2,'Data Entry - SOF'!K$64,0)</f>
        <v>0</v>
      </c>
      <c r="U908" s="1687">
        <f t="shared" ref="U908:U955" si="178">Q908-T908</f>
        <v>2462736</v>
      </c>
      <c r="V908" s="2212" t="e">
        <f>IF('Report-M&amp;O2122'!C$18-'Report-SOF2122'!D$55&lt;=0,0,'Report-M&amp;O2122'!C$18-'Report-SOF2122'!D$55)</f>
        <v>#DIV/0!</v>
      </c>
      <c r="W908" s="2452" t="e">
        <f t="shared" si="175"/>
        <v>#DIV/0!</v>
      </c>
      <c r="X908" s="1708">
        <f>IF(A908='Data Entry - SOF'!B$2,'Data Entry - SOF'!M$64,0)</f>
        <v>0</v>
      </c>
      <c r="Y908" s="1371" t="e">
        <f t="shared" si="176"/>
        <v>#DIV/0!</v>
      </c>
      <c r="Z908" s="2212" t="e">
        <f>IF('Report-M&amp;O2223'!C$18-'Report-SOF2223'!D$55&lt;=0,0,'Report-M&amp;O2223'!C$18-'Report-SOF2223'!D$55)</f>
        <v>#DIV/0!</v>
      </c>
      <c r="AA908" s="1708">
        <f>IF(A908='Data Entry - SOF'!B$2,'Data Entry - SOF'!O$64,0)</f>
        <v>0</v>
      </c>
    </row>
    <row r="909" spans="1:27" ht="15.75">
      <c r="A909" s="1076" t="s">
        <v>1422</v>
      </c>
      <c r="B909">
        <v>948065</v>
      </c>
      <c r="C909" s="2452" t="e">
        <f>#REF!+#REF!</f>
        <v>#REF!</v>
      </c>
      <c r="D909" s="2449">
        <f>IF(A909='Data Entry - SOF'!B$2,'Data Entry - SOF'!C$64,0)</f>
        <v>0</v>
      </c>
      <c r="E909" s="2450">
        <f t="shared" si="177"/>
        <v>948065</v>
      </c>
      <c r="F909" s="2212" t="e">
        <f>IF('Report-M&amp;O1718'!C$18-'Report-SOF1718'!D$55&lt;=0,0,'Report-M&amp;O1718'!C$18-'Report-SOF1718'!D$55)</f>
        <v>#DIV/0!</v>
      </c>
      <c r="G909" s="2452" t="e">
        <f t="shared" si="169"/>
        <v>#DIV/0!</v>
      </c>
      <c r="H909" s="2449">
        <f>IF(A909='Data Entry - SOF'!B$2,'Data Entry - SOF'!E$64,0)</f>
        <v>0</v>
      </c>
      <c r="I909" s="1687">
        <f t="shared" si="170"/>
        <v>948065</v>
      </c>
      <c r="J909" s="2212" t="e">
        <f>IF('Report-M&amp;O1819'!C$18-'Report-SOF1819'!D$55&lt;=0,0,'Report-M&amp;O1819'!C$18-'Report-SOF1819'!D$55)</f>
        <v>#DIV/0!</v>
      </c>
      <c r="K909" s="2452" t="e">
        <f t="shared" si="171"/>
        <v>#DIV/0!</v>
      </c>
      <c r="L909" s="2449">
        <f>IF(A909='Data Entry - SOF'!B$2,'Data Entry - SOF'!G$64,0)</f>
        <v>0</v>
      </c>
      <c r="M909" s="1371">
        <f t="shared" si="172"/>
        <v>948065</v>
      </c>
      <c r="N909" s="2212" t="e">
        <f>IF('Report-M&amp;O1920'!C$18-'Report-SOF1920'!D$55&lt;=0,0,'Report-M&amp;O1920'!C$18-'Report-SOF1920'!D$55)</f>
        <v>#DIV/0!</v>
      </c>
      <c r="O909" s="2452" t="e">
        <f t="shared" si="173"/>
        <v>#DIV/0!</v>
      </c>
      <c r="P909" s="2449">
        <f>IF(A909='Data Entry - SOF'!B$2,'Data Entry - SOF'!I$64,0)</f>
        <v>0</v>
      </c>
      <c r="Q909" s="1687">
        <f t="shared" si="168"/>
        <v>948065</v>
      </c>
      <c r="R909" s="2212" t="e">
        <f>IF('Report-M&amp;O2021'!C$18-'Report-SOF2021'!D$55&lt;=0,0,'Report-M&amp;O2021'!C$18-'Report-SOF2021'!D$55)</f>
        <v>#DIV/0!</v>
      </c>
      <c r="S909" s="2452" t="e">
        <f t="shared" si="174"/>
        <v>#DIV/0!</v>
      </c>
      <c r="T909" s="1708">
        <f>IF(A909='Data Entry - SOF'!B$2,'Data Entry - SOF'!K$64,0)</f>
        <v>0</v>
      </c>
      <c r="U909" s="1687">
        <f t="shared" si="178"/>
        <v>948065</v>
      </c>
      <c r="V909" s="2212" t="e">
        <f>IF('Report-M&amp;O2122'!C$18-'Report-SOF2122'!D$55&lt;=0,0,'Report-M&amp;O2122'!C$18-'Report-SOF2122'!D$55)</f>
        <v>#DIV/0!</v>
      </c>
      <c r="W909" s="2452" t="e">
        <f t="shared" si="175"/>
        <v>#DIV/0!</v>
      </c>
      <c r="X909" s="1708">
        <f>IF(A909='Data Entry - SOF'!B$2,'Data Entry - SOF'!M$64,0)</f>
        <v>0</v>
      </c>
      <c r="Y909" s="1371" t="e">
        <f t="shared" si="176"/>
        <v>#DIV/0!</v>
      </c>
      <c r="Z909" s="2212" t="e">
        <f>IF('Report-M&amp;O2223'!C$18-'Report-SOF2223'!D$55&lt;=0,0,'Report-M&amp;O2223'!C$18-'Report-SOF2223'!D$55)</f>
        <v>#DIV/0!</v>
      </c>
      <c r="AA909" s="1708">
        <f>IF(A909='Data Entry - SOF'!B$2,'Data Entry - SOF'!O$64,0)</f>
        <v>0</v>
      </c>
    </row>
    <row r="910" spans="1:27" ht="15.75">
      <c r="A910" s="1076" t="s">
        <v>292</v>
      </c>
      <c r="B910">
        <v>625770888</v>
      </c>
      <c r="C910" s="2452" t="e">
        <f>#REF!+#REF!</f>
        <v>#REF!</v>
      </c>
      <c r="D910" s="2449">
        <f>IF(A910='Data Entry - SOF'!B$2,'Data Entry - SOF'!C$64,0)</f>
        <v>0</v>
      </c>
      <c r="E910" s="2450">
        <f t="shared" si="177"/>
        <v>625770888</v>
      </c>
      <c r="F910" s="2212" t="e">
        <f>IF('Report-M&amp;O1718'!C$18-'Report-SOF1718'!D$55&lt;=0,0,'Report-M&amp;O1718'!C$18-'Report-SOF1718'!D$55)</f>
        <v>#DIV/0!</v>
      </c>
      <c r="G910" s="2452" t="e">
        <f t="shared" si="169"/>
        <v>#DIV/0!</v>
      </c>
      <c r="H910" s="2449">
        <f>IF(A910='Data Entry - SOF'!B$2,'Data Entry - SOF'!E$64,0)</f>
        <v>0</v>
      </c>
      <c r="I910" s="1687">
        <f t="shared" si="170"/>
        <v>625770888</v>
      </c>
      <c r="J910" s="2212" t="e">
        <f>IF('Report-M&amp;O1819'!C$18-'Report-SOF1819'!D$55&lt;=0,0,'Report-M&amp;O1819'!C$18-'Report-SOF1819'!D$55)</f>
        <v>#DIV/0!</v>
      </c>
      <c r="K910" s="2452" t="e">
        <f t="shared" si="171"/>
        <v>#DIV/0!</v>
      </c>
      <c r="L910" s="2449">
        <f>IF(A910='Data Entry - SOF'!B$2,'Data Entry - SOF'!G$64,0)</f>
        <v>0</v>
      </c>
      <c r="M910" s="1371">
        <f t="shared" si="172"/>
        <v>625770888</v>
      </c>
      <c r="N910" s="2212" t="e">
        <f>IF('Report-M&amp;O1920'!C$18-'Report-SOF1920'!D$55&lt;=0,0,'Report-M&amp;O1920'!C$18-'Report-SOF1920'!D$55)</f>
        <v>#DIV/0!</v>
      </c>
      <c r="O910" s="2452" t="e">
        <f t="shared" si="173"/>
        <v>#DIV/0!</v>
      </c>
      <c r="P910" s="2449">
        <f>IF(A910='Data Entry - SOF'!B$2,'Data Entry - SOF'!I$64,0)</f>
        <v>0</v>
      </c>
      <c r="Q910" s="1687">
        <f t="shared" si="168"/>
        <v>625770888</v>
      </c>
      <c r="R910" s="2212" t="e">
        <f>IF('Report-M&amp;O2021'!C$18-'Report-SOF2021'!D$55&lt;=0,0,'Report-M&amp;O2021'!C$18-'Report-SOF2021'!D$55)</f>
        <v>#DIV/0!</v>
      </c>
      <c r="S910" s="2452" t="e">
        <f t="shared" si="174"/>
        <v>#DIV/0!</v>
      </c>
      <c r="T910" s="1708">
        <f>IF(A910='Data Entry - SOF'!B$2,'Data Entry - SOF'!K$64,0)</f>
        <v>0</v>
      </c>
      <c r="U910" s="1687">
        <f t="shared" si="178"/>
        <v>625770888</v>
      </c>
      <c r="V910" s="2212" t="e">
        <f>IF('Report-M&amp;O2122'!C$18-'Report-SOF2122'!D$55&lt;=0,0,'Report-M&amp;O2122'!C$18-'Report-SOF2122'!D$55)</f>
        <v>#DIV/0!</v>
      </c>
      <c r="W910" s="2452" t="e">
        <f t="shared" si="175"/>
        <v>#DIV/0!</v>
      </c>
      <c r="X910" s="1708">
        <f>IF(A910='Data Entry - SOF'!B$2,'Data Entry - SOF'!M$64,0)</f>
        <v>0</v>
      </c>
      <c r="Y910" s="1371" t="e">
        <f t="shared" si="176"/>
        <v>#DIV/0!</v>
      </c>
      <c r="Z910" s="2212" t="e">
        <f>IF('Report-M&amp;O2223'!C$18-'Report-SOF2223'!D$55&lt;=0,0,'Report-M&amp;O2223'!C$18-'Report-SOF2223'!D$55)</f>
        <v>#DIV/0!</v>
      </c>
      <c r="AA910" s="1708">
        <f>IF(A910='Data Entry - SOF'!B$2,'Data Entry - SOF'!O$64,0)</f>
        <v>0</v>
      </c>
    </row>
    <row r="911" spans="1:27" ht="15.75">
      <c r="A911" s="1076" t="s">
        <v>238</v>
      </c>
      <c r="B911">
        <v>183014155</v>
      </c>
      <c r="C911" s="2452" t="e">
        <f>#REF!+#REF!</f>
        <v>#REF!</v>
      </c>
      <c r="D911" s="2449">
        <f>IF(A911='Data Entry - SOF'!B$2,'Data Entry - SOF'!C$64,0)</f>
        <v>0</v>
      </c>
      <c r="E911" s="2450">
        <f t="shared" si="177"/>
        <v>183014155</v>
      </c>
      <c r="F911" s="2212" t="e">
        <f>IF('Report-M&amp;O1718'!C$18-'Report-SOF1718'!D$55&lt;=0,0,'Report-M&amp;O1718'!C$18-'Report-SOF1718'!D$55)</f>
        <v>#DIV/0!</v>
      </c>
      <c r="G911" s="2452" t="e">
        <f t="shared" si="169"/>
        <v>#DIV/0!</v>
      </c>
      <c r="H911" s="2449">
        <f>IF(A911='Data Entry - SOF'!B$2,'Data Entry - SOF'!E$64,0)</f>
        <v>0</v>
      </c>
      <c r="I911" s="1687">
        <f t="shared" si="170"/>
        <v>183014155</v>
      </c>
      <c r="J911" s="2212" t="e">
        <f>IF('Report-M&amp;O1819'!C$18-'Report-SOF1819'!D$55&lt;=0,0,'Report-M&amp;O1819'!C$18-'Report-SOF1819'!D$55)</f>
        <v>#DIV/0!</v>
      </c>
      <c r="K911" s="2452" t="e">
        <f t="shared" si="171"/>
        <v>#DIV/0!</v>
      </c>
      <c r="L911" s="2449">
        <f>IF(A911='Data Entry - SOF'!B$2,'Data Entry - SOF'!G$64,0)</f>
        <v>0</v>
      </c>
      <c r="M911" s="1371">
        <f t="shared" si="172"/>
        <v>183014155</v>
      </c>
      <c r="N911" s="2212" t="e">
        <f>IF('Report-M&amp;O1920'!C$18-'Report-SOF1920'!D$55&lt;=0,0,'Report-M&amp;O1920'!C$18-'Report-SOF1920'!D$55)</f>
        <v>#DIV/0!</v>
      </c>
      <c r="O911" s="2452" t="e">
        <f t="shared" si="173"/>
        <v>#DIV/0!</v>
      </c>
      <c r="P911" s="2449">
        <f>IF(A911='Data Entry - SOF'!B$2,'Data Entry - SOF'!I$64,0)</f>
        <v>0</v>
      </c>
      <c r="Q911" s="1687">
        <f t="shared" si="168"/>
        <v>183014155</v>
      </c>
      <c r="R911" s="2212" t="e">
        <f>IF('Report-M&amp;O2021'!C$18-'Report-SOF2021'!D$55&lt;=0,0,'Report-M&amp;O2021'!C$18-'Report-SOF2021'!D$55)</f>
        <v>#DIV/0!</v>
      </c>
      <c r="S911" s="2452" t="e">
        <f t="shared" si="174"/>
        <v>#DIV/0!</v>
      </c>
      <c r="T911" s="1708">
        <f>IF(A911='Data Entry - SOF'!B$2,'Data Entry - SOF'!K$64,0)</f>
        <v>0</v>
      </c>
      <c r="U911" s="1687">
        <f t="shared" si="178"/>
        <v>183014155</v>
      </c>
      <c r="V911" s="2212" t="e">
        <f>IF('Report-M&amp;O2122'!C$18-'Report-SOF2122'!D$55&lt;=0,0,'Report-M&amp;O2122'!C$18-'Report-SOF2122'!D$55)</f>
        <v>#DIV/0!</v>
      </c>
      <c r="W911" s="2452" t="e">
        <f t="shared" si="175"/>
        <v>#DIV/0!</v>
      </c>
      <c r="X911" s="1708">
        <f>IF(A911='Data Entry - SOF'!B$2,'Data Entry - SOF'!M$64,0)</f>
        <v>0</v>
      </c>
      <c r="Y911" s="1371" t="e">
        <f t="shared" si="176"/>
        <v>#DIV/0!</v>
      </c>
      <c r="Z911" s="2212" t="e">
        <f>IF('Report-M&amp;O2223'!C$18-'Report-SOF2223'!D$55&lt;=0,0,'Report-M&amp;O2223'!C$18-'Report-SOF2223'!D$55)</f>
        <v>#DIV/0!</v>
      </c>
      <c r="AA911" s="1708">
        <f>IF(A911='Data Entry - SOF'!B$2,'Data Entry - SOF'!O$64,0)</f>
        <v>0</v>
      </c>
    </row>
    <row r="912" spans="1:27" ht="15.75">
      <c r="A912" s="1076" t="s">
        <v>293</v>
      </c>
      <c r="B912">
        <v>160007405</v>
      </c>
      <c r="C912" s="2452" t="e">
        <f>#REF!+#REF!</f>
        <v>#REF!</v>
      </c>
      <c r="D912" s="2449">
        <f>IF(A912='Data Entry - SOF'!B$2,'Data Entry - SOF'!C$64,0)</f>
        <v>0</v>
      </c>
      <c r="E912" s="2450">
        <f t="shared" si="177"/>
        <v>160007405</v>
      </c>
      <c r="F912" s="2212" t="e">
        <f>IF('Report-M&amp;O1718'!C$18-'Report-SOF1718'!D$55&lt;=0,0,'Report-M&amp;O1718'!C$18-'Report-SOF1718'!D$55)</f>
        <v>#DIV/0!</v>
      </c>
      <c r="G912" s="2452" t="e">
        <f t="shared" si="169"/>
        <v>#DIV/0!</v>
      </c>
      <c r="H912" s="2449">
        <f>IF(A912='Data Entry - SOF'!B$2,'Data Entry - SOF'!E$64,0)</f>
        <v>0</v>
      </c>
      <c r="I912" s="1687">
        <f t="shared" si="170"/>
        <v>160007405</v>
      </c>
      <c r="J912" s="2212" t="e">
        <f>IF('Report-M&amp;O1819'!C$18-'Report-SOF1819'!D$55&lt;=0,0,'Report-M&amp;O1819'!C$18-'Report-SOF1819'!D$55)</f>
        <v>#DIV/0!</v>
      </c>
      <c r="K912" s="2452" t="e">
        <f t="shared" si="171"/>
        <v>#DIV/0!</v>
      </c>
      <c r="L912" s="2449">
        <f>IF(A912='Data Entry - SOF'!B$2,'Data Entry - SOF'!G$64,0)</f>
        <v>0</v>
      </c>
      <c r="M912" s="1371">
        <f t="shared" si="172"/>
        <v>160007405</v>
      </c>
      <c r="N912" s="2212" t="e">
        <f>IF('Report-M&amp;O1920'!C$18-'Report-SOF1920'!D$55&lt;=0,0,'Report-M&amp;O1920'!C$18-'Report-SOF1920'!D$55)</f>
        <v>#DIV/0!</v>
      </c>
      <c r="O912" s="2452" t="e">
        <f t="shared" si="173"/>
        <v>#DIV/0!</v>
      </c>
      <c r="P912" s="2449">
        <f>IF(A912='Data Entry - SOF'!B$2,'Data Entry - SOF'!I$64,0)</f>
        <v>0</v>
      </c>
      <c r="Q912" s="1687">
        <f t="shared" si="168"/>
        <v>160007405</v>
      </c>
      <c r="R912" s="2212" t="e">
        <f>IF('Report-M&amp;O2021'!C$18-'Report-SOF2021'!D$55&lt;=0,0,'Report-M&amp;O2021'!C$18-'Report-SOF2021'!D$55)</f>
        <v>#DIV/0!</v>
      </c>
      <c r="S912" s="2452" t="e">
        <f t="shared" si="174"/>
        <v>#DIV/0!</v>
      </c>
      <c r="T912" s="1708">
        <f>IF(A912='Data Entry - SOF'!B$2,'Data Entry - SOF'!K$64,0)</f>
        <v>0</v>
      </c>
      <c r="U912" s="1687">
        <f t="shared" si="178"/>
        <v>160007405</v>
      </c>
      <c r="V912" s="2212" t="e">
        <f>IF('Report-M&amp;O2122'!C$18-'Report-SOF2122'!D$55&lt;=0,0,'Report-M&amp;O2122'!C$18-'Report-SOF2122'!D$55)</f>
        <v>#DIV/0!</v>
      </c>
      <c r="W912" s="2452" t="e">
        <f t="shared" si="175"/>
        <v>#DIV/0!</v>
      </c>
      <c r="X912" s="1708">
        <f>IF(A912='Data Entry - SOF'!B$2,'Data Entry - SOF'!M$64,0)</f>
        <v>0</v>
      </c>
      <c r="Y912" s="1371" t="e">
        <f t="shared" si="176"/>
        <v>#DIV/0!</v>
      </c>
      <c r="Z912" s="2212" t="e">
        <f>IF('Report-M&amp;O2223'!C$18-'Report-SOF2223'!D$55&lt;=0,0,'Report-M&amp;O2223'!C$18-'Report-SOF2223'!D$55)</f>
        <v>#DIV/0!</v>
      </c>
      <c r="AA912" s="1708">
        <f>IF(A912='Data Entry - SOF'!B$2,'Data Entry - SOF'!O$64,0)</f>
        <v>0</v>
      </c>
    </row>
    <row r="913" spans="1:27" ht="15.75">
      <c r="A913" s="1076" t="s">
        <v>294</v>
      </c>
      <c r="B913">
        <v>138056552</v>
      </c>
      <c r="C913" s="2452" t="e">
        <f>#REF!+#REF!</f>
        <v>#REF!</v>
      </c>
      <c r="D913" s="2449">
        <f>IF(A913='Data Entry - SOF'!B$2,'Data Entry - SOF'!C$64,0)</f>
        <v>0</v>
      </c>
      <c r="E913" s="2450">
        <f t="shared" si="177"/>
        <v>138056552</v>
      </c>
      <c r="F913" s="2212" t="e">
        <f>IF('Report-M&amp;O1718'!C$18-'Report-SOF1718'!D$55&lt;=0,0,'Report-M&amp;O1718'!C$18-'Report-SOF1718'!D$55)</f>
        <v>#DIV/0!</v>
      </c>
      <c r="G913" s="2452" t="e">
        <f t="shared" si="169"/>
        <v>#DIV/0!</v>
      </c>
      <c r="H913" s="2449">
        <f>IF(A913='Data Entry - SOF'!B$2,'Data Entry - SOF'!E$64,0)</f>
        <v>0</v>
      </c>
      <c r="I913" s="1687">
        <f t="shared" si="170"/>
        <v>138056552</v>
      </c>
      <c r="J913" s="2212" t="e">
        <f>IF('Report-M&amp;O1819'!C$18-'Report-SOF1819'!D$55&lt;=0,0,'Report-M&amp;O1819'!C$18-'Report-SOF1819'!D$55)</f>
        <v>#DIV/0!</v>
      </c>
      <c r="K913" s="2452" t="e">
        <f t="shared" si="171"/>
        <v>#DIV/0!</v>
      </c>
      <c r="L913" s="2449">
        <f>IF(A913='Data Entry - SOF'!B$2,'Data Entry - SOF'!G$64,0)</f>
        <v>0</v>
      </c>
      <c r="M913" s="1371">
        <f t="shared" si="172"/>
        <v>138056552</v>
      </c>
      <c r="N913" s="2212" t="e">
        <f>IF('Report-M&amp;O1920'!C$18-'Report-SOF1920'!D$55&lt;=0,0,'Report-M&amp;O1920'!C$18-'Report-SOF1920'!D$55)</f>
        <v>#DIV/0!</v>
      </c>
      <c r="O913" s="2452" t="e">
        <f t="shared" si="173"/>
        <v>#DIV/0!</v>
      </c>
      <c r="P913" s="2449">
        <f>IF(A913='Data Entry - SOF'!B$2,'Data Entry - SOF'!I$64,0)</f>
        <v>0</v>
      </c>
      <c r="Q913" s="1687">
        <f t="shared" si="168"/>
        <v>138056552</v>
      </c>
      <c r="R913" s="2212" t="e">
        <f>IF('Report-M&amp;O2021'!C$18-'Report-SOF2021'!D$55&lt;=0,0,'Report-M&amp;O2021'!C$18-'Report-SOF2021'!D$55)</f>
        <v>#DIV/0!</v>
      </c>
      <c r="S913" s="2452" t="e">
        <f t="shared" si="174"/>
        <v>#DIV/0!</v>
      </c>
      <c r="T913" s="1708">
        <f>IF(A913='Data Entry - SOF'!B$2,'Data Entry - SOF'!K$64,0)</f>
        <v>0</v>
      </c>
      <c r="U913" s="1687">
        <f t="shared" si="178"/>
        <v>138056552</v>
      </c>
      <c r="V913" s="2212" t="e">
        <f>IF('Report-M&amp;O2122'!C$18-'Report-SOF2122'!D$55&lt;=0,0,'Report-M&amp;O2122'!C$18-'Report-SOF2122'!D$55)</f>
        <v>#DIV/0!</v>
      </c>
      <c r="W913" s="2452" t="e">
        <f t="shared" si="175"/>
        <v>#DIV/0!</v>
      </c>
      <c r="X913" s="1708">
        <f>IF(A913='Data Entry - SOF'!B$2,'Data Entry - SOF'!M$64,0)</f>
        <v>0</v>
      </c>
      <c r="Y913" s="1371" t="e">
        <f t="shared" si="176"/>
        <v>#DIV/0!</v>
      </c>
      <c r="Z913" s="2212" t="e">
        <f>IF('Report-M&amp;O2223'!C$18-'Report-SOF2223'!D$55&lt;=0,0,'Report-M&amp;O2223'!C$18-'Report-SOF2223'!D$55)</f>
        <v>#DIV/0!</v>
      </c>
      <c r="AA913" s="1708">
        <f>IF(A913='Data Entry - SOF'!B$2,'Data Entry - SOF'!O$64,0)</f>
        <v>0</v>
      </c>
    </row>
    <row r="914" spans="1:27" ht="15.75">
      <c r="A914" s="1076" t="s">
        <v>1295</v>
      </c>
      <c r="B914">
        <v>84951587</v>
      </c>
      <c r="C914" s="2452" t="e">
        <f>#REF!+#REF!</f>
        <v>#REF!</v>
      </c>
      <c r="D914" s="2449">
        <f>IF(A914='Data Entry - SOF'!B$2,'Data Entry - SOF'!C$64,0)</f>
        <v>0</v>
      </c>
      <c r="E914" s="2450">
        <f t="shared" si="177"/>
        <v>84951587</v>
      </c>
      <c r="F914" s="2212" t="e">
        <f>IF('Report-M&amp;O1718'!C$18-'Report-SOF1718'!D$55&lt;=0,0,'Report-M&amp;O1718'!C$18-'Report-SOF1718'!D$55)</f>
        <v>#DIV/0!</v>
      </c>
      <c r="G914" s="2452" t="e">
        <f t="shared" si="169"/>
        <v>#DIV/0!</v>
      </c>
      <c r="H914" s="2449">
        <f>IF(A914='Data Entry - SOF'!B$2,'Data Entry - SOF'!E$64,0)</f>
        <v>0</v>
      </c>
      <c r="I914" s="1687">
        <f t="shared" si="170"/>
        <v>84951587</v>
      </c>
      <c r="J914" s="2212" t="e">
        <f>IF('Report-M&amp;O1819'!C$18-'Report-SOF1819'!D$55&lt;=0,0,'Report-M&amp;O1819'!C$18-'Report-SOF1819'!D$55)</f>
        <v>#DIV/0!</v>
      </c>
      <c r="K914" s="2452" t="e">
        <f t="shared" si="171"/>
        <v>#DIV/0!</v>
      </c>
      <c r="L914" s="2449">
        <f>IF(A914='Data Entry - SOF'!B$2,'Data Entry - SOF'!G$64,0)</f>
        <v>0</v>
      </c>
      <c r="M914" s="1371">
        <f t="shared" si="172"/>
        <v>84951587</v>
      </c>
      <c r="N914" s="2212" t="e">
        <f>IF('Report-M&amp;O1920'!C$18-'Report-SOF1920'!D$55&lt;=0,0,'Report-M&amp;O1920'!C$18-'Report-SOF1920'!D$55)</f>
        <v>#DIV/0!</v>
      </c>
      <c r="O914" s="2452" t="e">
        <f t="shared" si="173"/>
        <v>#DIV/0!</v>
      </c>
      <c r="P914" s="2449">
        <f>IF(A914='Data Entry - SOF'!B$2,'Data Entry - SOF'!I$64,0)</f>
        <v>0</v>
      </c>
      <c r="Q914" s="1687">
        <f t="shared" si="168"/>
        <v>84951587</v>
      </c>
      <c r="R914" s="2212" t="e">
        <f>IF('Report-M&amp;O2021'!C$18-'Report-SOF2021'!D$55&lt;=0,0,'Report-M&amp;O2021'!C$18-'Report-SOF2021'!D$55)</f>
        <v>#DIV/0!</v>
      </c>
      <c r="S914" s="2452" t="e">
        <f t="shared" si="174"/>
        <v>#DIV/0!</v>
      </c>
      <c r="T914" s="1708">
        <f>IF(A914='Data Entry - SOF'!B$2,'Data Entry - SOF'!K$64,0)</f>
        <v>0</v>
      </c>
      <c r="U914" s="1687">
        <f t="shared" si="178"/>
        <v>84951587</v>
      </c>
      <c r="V914" s="2212" t="e">
        <f>IF('Report-M&amp;O2122'!C$18-'Report-SOF2122'!D$55&lt;=0,0,'Report-M&amp;O2122'!C$18-'Report-SOF2122'!D$55)</f>
        <v>#DIV/0!</v>
      </c>
      <c r="W914" s="2452" t="e">
        <f t="shared" si="175"/>
        <v>#DIV/0!</v>
      </c>
      <c r="X914" s="1708">
        <f>IF(A914='Data Entry - SOF'!B$2,'Data Entry - SOF'!M$64,0)</f>
        <v>0</v>
      </c>
      <c r="Y914" s="1371" t="e">
        <f t="shared" si="176"/>
        <v>#DIV/0!</v>
      </c>
      <c r="Z914" s="2212" t="e">
        <f>IF('Report-M&amp;O2223'!C$18-'Report-SOF2223'!D$55&lt;=0,0,'Report-M&amp;O2223'!C$18-'Report-SOF2223'!D$55)</f>
        <v>#DIV/0!</v>
      </c>
      <c r="AA914" s="1708">
        <f>IF(A914='Data Entry - SOF'!B$2,'Data Entry - SOF'!O$64,0)</f>
        <v>0</v>
      </c>
    </row>
    <row r="915" spans="1:27" ht="15.75">
      <c r="A915" s="1076" t="s">
        <v>2804</v>
      </c>
      <c r="B915">
        <v>14996820</v>
      </c>
      <c r="C915" s="2452" t="e">
        <f>#REF!+#REF!</f>
        <v>#REF!</v>
      </c>
      <c r="D915" s="2449">
        <f>IF(A915='Data Entry - SOF'!B$2,'Data Entry - SOF'!C$64,0)</f>
        <v>0</v>
      </c>
      <c r="E915" s="2450">
        <f t="shared" si="177"/>
        <v>14996820</v>
      </c>
      <c r="F915" s="2212" t="e">
        <f>IF('Report-M&amp;O1718'!C$18-'Report-SOF1718'!D$55&lt;=0,0,'Report-M&amp;O1718'!C$18-'Report-SOF1718'!D$55)</f>
        <v>#DIV/0!</v>
      </c>
      <c r="G915" s="2452" t="e">
        <f t="shared" si="169"/>
        <v>#DIV/0!</v>
      </c>
      <c r="H915" s="2449">
        <f>IF(A915='Data Entry - SOF'!B$2,'Data Entry - SOF'!E$64,0)</f>
        <v>0</v>
      </c>
      <c r="I915" s="1687">
        <f t="shared" si="170"/>
        <v>14996820</v>
      </c>
      <c r="J915" s="2212" t="e">
        <f>IF('Report-M&amp;O1819'!C$18-'Report-SOF1819'!D$55&lt;=0,0,'Report-M&amp;O1819'!C$18-'Report-SOF1819'!D$55)</f>
        <v>#DIV/0!</v>
      </c>
      <c r="K915" s="2452" t="e">
        <f t="shared" si="171"/>
        <v>#DIV/0!</v>
      </c>
      <c r="L915" s="2449">
        <f>IF(A915='Data Entry - SOF'!B$2,'Data Entry - SOF'!G$64,0)</f>
        <v>0</v>
      </c>
      <c r="M915" s="1371">
        <f t="shared" si="172"/>
        <v>14996820</v>
      </c>
      <c r="N915" s="2212" t="e">
        <f>IF('Report-M&amp;O1920'!C$18-'Report-SOF1920'!D$55&lt;=0,0,'Report-M&amp;O1920'!C$18-'Report-SOF1920'!D$55)</f>
        <v>#DIV/0!</v>
      </c>
      <c r="O915" s="2452" t="e">
        <f t="shared" si="173"/>
        <v>#DIV/0!</v>
      </c>
      <c r="P915" s="2449">
        <f>IF(A915='Data Entry - SOF'!B$2,'Data Entry - SOF'!I$64,0)</f>
        <v>0</v>
      </c>
      <c r="Q915" s="1687">
        <f t="shared" si="168"/>
        <v>14996820</v>
      </c>
      <c r="R915" s="2212" t="e">
        <f>IF('Report-M&amp;O2021'!C$18-'Report-SOF2021'!D$55&lt;=0,0,'Report-M&amp;O2021'!C$18-'Report-SOF2021'!D$55)</f>
        <v>#DIV/0!</v>
      </c>
      <c r="S915" s="2452" t="e">
        <f t="shared" si="174"/>
        <v>#DIV/0!</v>
      </c>
      <c r="T915" s="1708">
        <f>IF(A915='Data Entry - SOF'!B$2,'Data Entry - SOF'!K$64,0)</f>
        <v>0</v>
      </c>
      <c r="U915" s="1687">
        <f t="shared" si="178"/>
        <v>14996820</v>
      </c>
      <c r="V915" s="2212" t="e">
        <f>IF('Report-M&amp;O2122'!C$18-'Report-SOF2122'!D$55&lt;=0,0,'Report-M&amp;O2122'!C$18-'Report-SOF2122'!D$55)</f>
        <v>#DIV/0!</v>
      </c>
      <c r="W915" s="2452" t="e">
        <f t="shared" si="175"/>
        <v>#DIV/0!</v>
      </c>
      <c r="X915" s="1708">
        <f>IF(A915='Data Entry - SOF'!B$2,'Data Entry - SOF'!M$64,0)</f>
        <v>0</v>
      </c>
      <c r="Y915" s="1371" t="e">
        <f t="shared" si="176"/>
        <v>#DIV/0!</v>
      </c>
      <c r="Z915" s="2212" t="e">
        <f>IF('Report-M&amp;O2223'!C$18-'Report-SOF2223'!D$55&lt;=0,0,'Report-M&amp;O2223'!C$18-'Report-SOF2223'!D$55)</f>
        <v>#DIV/0!</v>
      </c>
      <c r="AA915" s="1708">
        <f>IF(A915='Data Entry - SOF'!B$2,'Data Entry - SOF'!O$64,0)</f>
        <v>0</v>
      </c>
    </row>
    <row r="916" spans="1:27" ht="15.75">
      <c r="A916" s="1076" t="s">
        <v>1496</v>
      </c>
      <c r="B916">
        <v>149362069</v>
      </c>
      <c r="C916" s="2452" t="e">
        <f>#REF!+#REF!</f>
        <v>#REF!</v>
      </c>
      <c r="D916" s="2449">
        <f>IF(A916='Data Entry - SOF'!B$2,'Data Entry - SOF'!C$64,0)</f>
        <v>0</v>
      </c>
      <c r="E916" s="2450">
        <f t="shared" si="177"/>
        <v>149362069</v>
      </c>
      <c r="F916" s="2212" t="e">
        <f>IF('Report-M&amp;O1718'!C$18-'Report-SOF1718'!D$55&lt;=0,0,'Report-M&amp;O1718'!C$18-'Report-SOF1718'!D$55)</f>
        <v>#DIV/0!</v>
      </c>
      <c r="G916" s="2452" t="e">
        <f t="shared" si="169"/>
        <v>#DIV/0!</v>
      </c>
      <c r="H916" s="2449">
        <f>IF(A916='Data Entry - SOF'!B$2,'Data Entry - SOF'!E$64,0)</f>
        <v>0</v>
      </c>
      <c r="I916" s="1687">
        <f t="shared" si="170"/>
        <v>149362069</v>
      </c>
      <c r="J916" s="2212" t="e">
        <f>IF('Report-M&amp;O1819'!C$18-'Report-SOF1819'!D$55&lt;=0,0,'Report-M&amp;O1819'!C$18-'Report-SOF1819'!D$55)</f>
        <v>#DIV/0!</v>
      </c>
      <c r="K916" s="2452" t="e">
        <f t="shared" si="171"/>
        <v>#DIV/0!</v>
      </c>
      <c r="L916" s="2449">
        <f>IF(A916='Data Entry - SOF'!B$2,'Data Entry - SOF'!G$64,0)</f>
        <v>0</v>
      </c>
      <c r="M916" s="1371">
        <f t="shared" si="172"/>
        <v>149362069</v>
      </c>
      <c r="N916" s="2212" t="e">
        <f>IF('Report-M&amp;O1920'!C$18-'Report-SOF1920'!D$55&lt;=0,0,'Report-M&amp;O1920'!C$18-'Report-SOF1920'!D$55)</f>
        <v>#DIV/0!</v>
      </c>
      <c r="O916" s="2452" t="e">
        <f t="shared" si="173"/>
        <v>#DIV/0!</v>
      </c>
      <c r="P916" s="2449">
        <f>IF(A916='Data Entry - SOF'!B$2,'Data Entry - SOF'!I$64,0)</f>
        <v>0</v>
      </c>
      <c r="Q916" s="1687">
        <f t="shared" si="168"/>
        <v>149362069</v>
      </c>
      <c r="R916" s="2212" t="e">
        <f>IF('Report-M&amp;O2021'!C$18-'Report-SOF2021'!D$55&lt;=0,0,'Report-M&amp;O2021'!C$18-'Report-SOF2021'!D$55)</f>
        <v>#DIV/0!</v>
      </c>
      <c r="S916" s="2452" t="e">
        <f t="shared" si="174"/>
        <v>#DIV/0!</v>
      </c>
      <c r="T916" s="1708">
        <f>IF(A916='Data Entry - SOF'!B$2,'Data Entry - SOF'!K$64,0)</f>
        <v>0</v>
      </c>
      <c r="U916" s="1687">
        <f t="shared" si="178"/>
        <v>149362069</v>
      </c>
      <c r="V916" s="2212" t="e">
        <f>IF('Report-M&amp;O2122'!C$18-'Report-SOF2122'!D$55&lt;=0,0,'Report-M&amp;O2122'!C$18-'Report-SOF2122'!D$55)</f>
        <v>#DIV/0!</v>
      </c>
      <c r="W916" s="2452" t="e">
        <f t="shared" si="175"/>
        <v>#DIV/0!</v>
      </c>
      <c r="X916" s="1708">
        <f>IF(A916='Data Entry - SOF'!B$2,'Data Entry - SOF'!M$64,0)</f>
        <v>0</v>
      </c>
      <c r="Y916" s="1371" t="e">
        <f t="shared" si="176"/>
        <v>#DIV/0!</v>
      </c>
      <c r="Z916" s="2212" t="e">
        <f>IF('Report-M&amp;O2223'!C$18-'Report-SOF2223'!D$55&lt;=0,0,'Report-M&amp;O2223'!C$18-'Report-SOF2223'!D$55)</f>
        <v>#DIV/0!</v>
      </c>
      <c r="AA916" s="1708">
        <f>IF(A916='Data Entry - SOF'!B$2,'Data Entry - SOF'!O$64,0)</f>
        <v>0</v>
      </c>
    </row>
    <row r="917" spans="1:27" ht="15.75">
      <c r="A917" s="1076" t="s">
        <v>1497</v>
      </c>
      <c r="B917">
        <v>1835684</v>
      </c>
      <c r="C917" s="2452" t="e">
        <f>#REF!+#REF!</f>
        <v>#REF!</v>
      </c>
      <c r="D917" s="2449">
        <f>IF(A917='Data Entry - SOF'!B$2,'Data Entry - SOF'!C$64,0)</f>
        <v>0</v>
      </c>
      <c r="E917" s="2450">
        <f t="shared" si="177"/>
        <v>1835684</v>
      </c>
      <c r="F917" s="2212" t="e">
        <f>IF('Report-M&amp;O1718'!C$18-'Report-SOF1718'!D$55&lt;=0,0,'Report-M&amp;O1718'!C$18-'Report-SOF1718'!D$55)</f>
        <v>#DIV/0!</v>
      </c>
      <c r="G917" s="2452" t="e">
        <f t="shared" si="169"/>
        <v>#DIV/0!</v>
      </c>
      <c r="H917" s="2449">
        <f>IF(A917='Data Entry - SOF'!B$2,'Data Entry - SOF'!E$64,0)</f>
        <v>0</v>
      </c>
      <c r="I917" s="1687">
        <f t="shared" si="170"/>
        <v>1835684</v>
      </c>
      <c r="J917" s="2212" t="e">
        <f>IF('Report-M&amp;O1819'!C$18-'Report-SOF1819'!D$55&lt;=0,0,'Report-M&amp;O1819'!C$18-'Report-SOF1819'!D$55)</f>
        <v>#DIV/0!</v>
      </c>
      <c r="K917" s="2452" t="e">
        <f t="shared" si="171"/>
        <v>#DIV/0!</v>
      </c>
      <c r="L917" s="2449">
        <f>IF(A917='Data Entry - SOF'!B$2,'Data Entry - SOF'!G$64,0)</f>
        <v>0</v>
      </c>
      <c r="M917" s="1371">
        <f t="shared" si="172"/>
        <v>1835684</v>
      </c>
      <c r="N917" s="2212" t="e">
        <f>IF('Report-M&amp;O1920'!C$18-'Report-SOF1920'!D$55&lt;=0,0,'Report-M&amp;O1920'!C$18-'Report-SOF1920'!D$55)</f>
        <v>#DIV/0!</v>
      </c>
      <c r="O917" s="2452" t="e">
        <f t="shared" si="173"/>
        <v>#DIV/0!</v>
      </c>
      <c r="P917" s="2449">
        <f>IF(A917='Data Entry - SOF'!B$2,'Data Entry - SOF'!I$64,0)</f>
        <v>0</v>
      </c>
      <c r="Q917" s="1687">
        <f t="shared" si="168"/>
        <v>1835684</v>
      </c>
      <c r="R917" s="2212" t="e">
        <f>IF('Report-M&amp;O2021'!C$18-'Report-SOF2021'!D$55&lt;=0,0,'Report-M&amp;O2021'!C$18-'Report-SOF2021'!D$55)</f>
        <v>#DIV/0!</v>
      </c>
      <c r="S917" s="2452" t="e">
        <f t="shared" si="174"/>
        <v>#DIV/0!</v>
      </c>
      <c r="T917" s="1708">
        <f>IF(A917='Data Entry - SOF'!B$2,'Data Entry - SOF'!K$64,0)</f>
        <v>0</v>
      </c>
      <c r="U917" s="1687">
        <f t="shared" si="178"/>
        <v>1835684</v>
      </c>
      <c r="V917" s="2212" t="e">
        <f>IF('Report-M&amp;O2122'!C$18-'Report-SOF2122'!D$55&lt;=0,0,'Report-M&amp;O2122'!C$18-'Report-SOF2122'!D$55)</f>
        <v>#DIV/0!</v>
      </c>
      <c r="W917" s="2452" t="e">
        <f t="shared" si="175"/>
        <v>#DIV/0!</v>
      </c>
      <c r="X917" s="1708">
        <f>IF(A917='Data Entry - SOF'!B$2,'Data Entry - SOF'!M$64,0)</f>
        <v>0</v>
      </c>
      <c r="Y917" s="1371" t="e">
        <f t="shared" si="176"/>
        <v>#DIV/0!</v>
      </c>
      <c r="Z917" s="2212" t="e">
        <f>IF('Report-M&amp;O2223'!C$18-'Report-SOF2223'!D$55&lt;=0,0,'Report-M&amp;O2223'!C$18-'Report-SOF2223'!D$55)</f>
        <v>#DIV/0!</v>
      </c>
      <c r="AA917" s="1708">
        <f>IF(A917='Data Entry - SOF'!B$2,'Data Entry - SOF'!O$64,0)</f>
        <v>0</v>
      </c>
    </row>
    <row r="918" spans="1:27" ht="15.75">
      <c r="A918" s="1076" t="s">
        <v>1498</v>
      </c>
      <c r="B918">
        <v>1686021</v>
      </c>
      <c r="C918" s="2452" t="e">
        <f>#REF!+#REF!</f>
        <v>#REF!</v>
      </c>
      <c r="D918" s="2449">
        <f>IF(A918='Data Entry - SOF'!B$2,'Data Entry - SOF'!C$64,0)</f>
        <v>0</v>
      </c>
      <c r="E918" s="2450">
        <f t="shared" si="177"/>
        <v>1686021</v>
      </c>
      <c r="F918" s="2212" t="e">
        <f>IF('Report-M&amp;O1718'!C$18-'Report-SOF1718'!D$55&lt;=0,0,'Report-M&amp;O1718'!C$18-'Report-SOF1718'!D$55)</f>
        <v>#DIV/0!</v>
      </c>
      <c r="G918" s="2452" t="e">
        <f t="shared" si="169"/>
        <v>#DIV/0!</v>
      </c>
      <c r="H918" s="2449">
        <f>IF(A918='Data Entry - SOF'!B$2,'Data Entry - SOF'!E$64,0)</f>
        <v>0</v>
      </c>
      <c r="I918" s="1687">
        <f t="shared" si="170"/>
        <v>1686021</v>
      </c>
      <c r="J918" s="2212" t="e">
        <f>IF('Report-M&amp;O1819'!C$18-'Report-SOF1819'!D$55&lt;=0,0,'Report-M&amp;O1819'!C$18-'Report-SOF1819'!D$55)</f>
        <v>#DIV/0!</v>
      </c>
      <c r="K918" s="2452" t="e">
        <f t="shared" si="171"/>
        <v>#DIV/0!</v>
      </c>
      <c r="L918" s="2449">
        <f>IF(A918='Data Entry - SOF'!B$2,'Data Entry - SOF'!G$64,0)</f>
        <v>0</v>
      </c>
      <c r="M918" s="1371">
        <f t="shared" si="172"/>
        <v>1686021</v>
      </c>
      <c r="N918" s="2212" t="e">
        <f>IF('Report-M&amp;O1920'!C$18-'Report-SOF1920'!D$55&lt;=0,0,'Report-M&amp;O1920'!C$18-'Report-SOF1920'!D$55)</f>
        <v>#DIV/0!</v>
      </c>
      <c r="O918" s="2452" t="e">
        <f t="shared" si="173"/>
        <v>#DIV/0!</v>
      </c>
      <c r="P918" s="2449">
        <f>IF(A918='Data Entry - SOF'!B$2,'Data Entry - SOF'!I$64,0)</f>
        <v>0</v>
      </c>
      <c r="Q918" s="1687">
        <f t="shared" si="168"/>
        <v>1686021</v>
      </c>
      <c r="R918" s="2212" t="e">
        <f>IF('Report-M&amp;O2021'!C$18-'Report-SOF2021'!D$55&lt;=0,0,'Report-M&amp;O2021'!C$18-'Report-SOF2021'!D$55)</f>
        <v>#DIV/0!</v>
      </c>
      <c r="S918" s="2452" t="e">
        <f t="shared" si="174"/>
        <v>#DIV/0!</v>
      </c>
      <c r="T918" s="1708">
        <f>IF(A918='Data Entry - SOF'!B$2,'Data Entry - SOF'!K$64,0)</f>
        <v>0</v>
      </c>
      <c r="U918" s="1687">
        <f t="shared" si="178"/>
        <v>1686021</v>
      </c>
      <c r="V918" s="2212" t="e">
        <f>IF('Report-M&amp;O2122'!C$18-'Report-SOF2122'!D$55&lt;=0,0,'Report-M&amp;O2122'!C$18-'Report-SOF2122'!D$55)</f>
        <v>#DIV/0!</v>
      </c>
      <c r="W918" s="2452" t="e">
        <f t="shared" si="175"/>
        <v>#DIV/0!</v>
      </c>
      <c r="X918" s="1708">
        <f>IF(A918='Data Entry - SOF'!B$2,'Data Entry - SOF'!M$64,0)</f>
        <v>0</v>
      </c>
      <c r="Y918" s="1371" t="e">
        <f t="shared" si="176"/>
        <v>#DIV/0!</v>
      </c>
      <c r="Z918" s="2212" t="e">
        <f>IF('Report-M&amp;O2223'!C$18-'Report-SOF2223'!D$55&lt;=0,0,'Report-M&amp;O2223'!C$18-'Report-SOF2223'!D$55)</f>
        <v>#DIV/0!</v>
      </c>
      <c r="AA918" s="1708">
        <f>IF(A918='Data Entry - SOF'!B$2,'Data Entry - SOF'!O$64,0)</f>
        <v>0</v>
      </c>
    </row>
    <row r="919" spans="1:27" ht="15.75">
      <c r="A919" s="1076" t="s">
        <v>1499</v>
      </c>
      <c r="B919">
        <v>177652</v>
      </c>
      <c r="C919" s="2452" t="e">
        <f>#REF!+#REF!</f>
        <v>#REF!</v>
      </c>
      <c r="D919" s="2449">
        <f>IF(A919='Data Entry - SOF'!B$2,'Data Entry - SOF'!C$64,0)</f>
        <v>0</v>
      </c>
      <c r="E919" s="2450">
        <f t="shared" si="177"/>
        <v>177652</v>
      </c>
      <c r="F919" s="2212" t="e">
        <f>IF('Report-M&amp;O1718'!C$18-'Report-SOF1718'!D$55&lt;=0,0,'Report-M&amp;O1718'!C$18-'Report-SOF1718'!D$55)</f>
        <v>#DIV/0!</v>
      </c>
      <c r="G919" s="2452" t="e">
        <f t="shared" si="169"/>
        <v>#DIV/0!</v>
      </c>
      <c r="H919" s="2449">
        <f>IF(A919='Data Entry - SOF'!B$2,'Data Entry - SOF'!E$64,0)</f>
        <v>0</v>
      </c>
      <c r="I919" s="1687">
        <f t="shared" si="170"/>
        <v>177652</v>
      </c>
      <c r="J919" s="2212" t="e">
        <f>IF('Report-M&amp;O1819'!C$18-'Report-SOF1819'!D$55&lt;=0,0,'Report-M&amp;O1819'!C$18-'Report-SOF1819'!D$55)</f>
        <v>#DIV/0!</v>
      </c>
      <c r="K919" s="2452" t="e">
        <f t="shared" si="171"/>
        <v>#DIV/0!</v>
      </c>
      <c r="L919" s="2449">
        <f>IF(A919='Data Entry - SOF'!B$2,'Data Entry - SOF'!G$64,0)</f>
        <v>0</v>
      </c>
      <c r="M919" s="1371">
        <f t="shared" si="172"/>
        <v>177652</v>
      </c>
      <c r="N919" s="2212" t="e">
        <f>IF('Report-M&amp;O1920'!C$18-'Report-SOF1920'!D$55&lt;=0,0,'Report-M&amp;O1920'!C$18-'Report-SOF1920'!D$55)</f>
        <v>#DIV/0!</v>
      </c>
      <c r="O919" s="2452" t="e">
        <f t="shared" si="173"/>
        <v>#DIV/0!</v>
      </c>
      <c r="P919" s="2449">
        <f>IF(A919='Data Entry - SOF'!B$2,'Data Entry - SOF'!I$64,0)</f>
        <v>0</v>
      </c>
      <c r="Q919" s="1687">
        <f t="shared" si="168"/>
        <v>177652</v>
      </c>
      <c r="R919" s="2212" t="e">
        <f>IF('Report-M&amp;O2021'!C$18-'Report-SOF2021'!D$55&lt;=0,0,'Report-M&amp;O2021'!C$18-'Report-SOF2021'!D$55)</f>
        <v>#DIV/0!</v>
      </c>
      <c r="S919" s="2452" t="e">
        <f t="shared" si="174"/>
        <v>#DIV/0!</v>
      </c>
      <c r="T919" s="1708">
        <f>IF(A919='Data Entry - SOF'!B$2,'Data Entry - SOF'!K$64,0)</f>
        <v>0</v>
      </c>
      <c r="U919" s="1687">
        <f t="shared" si="178"/>
        <v>177652</v>
      </c>
      <c r="V919" s="2212" t="e">
        <f>IF('Report-M&amp;O2122'!C$18-'Report-SOF2122'!D$55&lt;=0,0,'Report-M&amp;O2122'!C$18-'Report-SOF2122'!D$55)</f>
        <v>#DIV/0!</v>
      </c>
      <c r="W919" s="2452" t="e">
        <f t="shared" si="175"/>
        <v>#DIV/0!</v>
      </c>
      <c r="X919" s="1708">
        <f>IF(A919='Data Entry - SOF'!B$2,'Data Entry - SOF'!M$64,0)</f>
        <v>0</v>
      </c>
      <c r="Y919" s="1371" t="e">
        <f t="shared" si="176"/>
        <v>#DIV/0!</v>
      </c>
      <c r="Z919" s="2212" t="e">
        <f>IF('Report-M&amp;O2223'!C$18-'Report-SOF2223'!D$55&lt;=0,0,'Report-M&amp;O2223'!C$18-'Report-SOF2223'!D$55)</f>
        <v>#DIV/0!</v>
      </c>
      <c r="AA919" s="1708">
        <f>IF(A919='Data Entry - SOF'!B$2,'Data Entry - SOF'!O$64,0)</f>
        <v>0</v>
      </c>
    </row>
    <row r="920" spans="1:27" ht="15.75">
      <c r="A920" s="1076" t="s">
        <v>1500</v>
      </c>
      <c r="B920">
        <v>203346</v>
      </c>
      <c r="C920" s="2452" t="e">
        <f>#REF!+#REF!</f>
        <v>#REF!</v>
      </c>
      <c r="D920" s="2449">
        <f>IF(A920='Data Entry - SOF'!B$2,'Data Entry - SOF'!C$64,0)</f>
        <v>0</v>
      </c>
      <c r="E920" s="2450">
        <f t="shared" si="177"/>
        <v>203346</v>
      </c>
      <c r="F920" s="2212" t="e">
        <f>IF('Report-M&amp;O1718'!C$18-'Report-SOF1718'!D$55&lt;=0,0,'Report-M&amp;O1718'!C$18-'Report-SOF1718'!D$55)</f>
        <v>#DIV/0!</v>
      </c>
      <c r="G920" s="2452" t="e">
        <f t="shared" si="169"/>
        <v>#DIV/0!</v>
      </c>
      <c r="H920" s="2449">
        <f>IF(A920='Data Entry - SOF'!B$2,'Data Entry - SOF'!E$64,0)</f>
        <v>0</v>
      </c>
      <c r="I920" s="1687">
        <f t="shared" si="170"/>
        <v>203346</v>
      </c>
      <c r="J920" s="2212" t="e">
        <f>IF('Report-M&amp;O1819'!C$18-'Report-SOF1819'!D$55&lt;=0,0,'Report-M&amp;O1819'!C$18-'Report-SOF1819'!D$55)</f>
        <v>#DIV/0!</v>
      </c>
      <c r="K920" s="2452" t="e">
        <f t="shared" si="171"/>
        <v>#DIV/0!</v>
      </c>
      <c r="L920" s="2449">
        <f>IF(A920='Data Entry - SOF'!B$2,'Data Entry - SOF'!G$64,0)</f>
        <v>0</v>
      </c>
      <c r="M920" s="1371">
        <f t="shared" si="172"/>
        <v>203346</v>
      </c>
      <c r="N920" s="2212" t="e">
        <f>IF('Report-M&amp;O1920'!C$18-'Report-SOF1920'!D$55&lt;=0,0,'Report-M&amp;O1920'!C$18-'Report-SOF1920'!D$55)</f>
        <v>#DIV/0!</v>
      </c>
      <c r="O920" s="2452" t="e">
        <f t="shared" si="173"/>
        <v>#DIV/0!</v>
      </c>
      <c r="P920" s="2449">
        <f>IF(A920='Data Entry - SOF'!B$2,'Data Entry - SOF'!I$64,0)</f>
        <v>0</v>
      </c>
      <c r="Q920" s="1687">
        <f t="shared" si="168"/>
        <v>203346</v>
      </c>
      <c r="R920" s="2212" t="e">
        <f>IF('Report-M&amp;O2021'!C$18-'Report-SOF2021'!D$55&lt;=0,0,'Report-M&amp;O2021'!C$18-'Report-SOF2021'!D$55)</f>
        <v>#DIV/0!</v>
      </c>
      <c r="S920" s="2452" t="e">
        <f t="shared" si="174"/>
        <v>#DIV/0!</v>
      </c>
      <c r="T920" s="1708">
        <f>IF(A920='Data Entry - SOF'!B$2,'Data Entry - SOF'!K$64,0)</f>
        <v>0</v>
      </c>
      <c r="U920" s="1687">
        <f t="shared" si="178"/>
        <v>203346</v>
      </c>
      <c r="V920" s="2212" t="e">
        <f>IF('Report-M&amp;O2122'!C$18-'Report-SOF2122'!D$55&lt;=0,0,'Report-M&amp;O2122'!C$18-'Report-SOF2122'!D$55)</f>
        <v>#DIV/0!</v>
      </c>
      <c r="W920" s="2452" t="e">
        <f t="shared" si="175"/>
        <v>#DIV/0!</v>
      </c>
      <c r="X920" s="1708">
        <f>IF(A920='Data Entry - SOF'!B$2,'Data Entry - SOF'!M$64,0)</f>
        <v>0</v>
      </c>
      <c r="Y920" s="1371" t="e">
        <f t="shared" si="176"/>
        <v>#DIV/0!</v>
      </c>
      <c r="Z920" s="2212" t="e">
        <f>IF('Report-M&amp;O2223'!C$18-'Report-SOF2223'!D$55&lt;=0,0,'Report-M&amp;O2223'!C$18-'Report-SOF2223'!D$55)</f>
        <v>#DIV/0!</v>
      </c>
      <c r="AA920" s="1708">
        <f>IF(A920='Data Entry - SOF'!B$2,'Data Entry - SOF'!O$64,0)</f>
        <v>0</v>
      </c>
    </row>
    <row r="921" spans="1:27" ht="15.75">
      <c r="A921" s="1076" t="s">
        <v>1615</v>
      </c>
      <c r="B921">
        <v>195265</v>
      </c>
      <c r="C921" s="2452" t="e">
        <f>#REF!+#REF!</f>
        <v>#REF!</v>
      </c>
      <c r="D921" s="2449">
        <f>IF(A921='Data Entry - SOF'!B$2,'Data Entry - SOF'!C$64,0)</f>
        <v>0</v>
      </c>
      <c r="E921" s="2450">
        <f t="shared" si="177"/>
        <v>195265</v>
      </c>
      <c r="F921" s="2212" t="e">
        <f>IF('Report-M&amp;O1718'!C$18-'Report-SOF1718'!D$55&lt;=0,0,'Report-M&amp;O1718'!C$18-'Report-SOF1718'!D$55)</f>
        <v>#DIV/0!</v>
      </c>
      <c r="G921" s="2452" t="e">
        <f t="shared" si="169"/>
        <v>#DIV/0!</v>
      </c>
      <c r="H921" s="2449">
        <f>IF(A921='Data Entry - SOF'!B$2,'Data Entry - SOF'!E$64,0)</f>
        <v>0</v>
      </c>
      <c r="I921" s="1687">
        <f t="shared" si="170"/>
        <v>195265</v>
      </c>
      <c r="J921" s="2212" t="e">
        <f>IF('Report-M&amp;O1819'!C$18-'Report-SOF1819'!D$55&lt;=0,0,'Report-M&amp;O1819'!C$18-'Report-SOF1819'!D$55)</f>
        <v>#DIV/0!</v>
      </c>
      <c r="K921" s="2452" t="e">
        <f t="shared" si="171"/>
        <v>#DIV/0!</v>
      </c>
      <c r="L921" s="2449">
        <f>IF(A921='Data Entry - SOF'!B$2,'Data Entry - SOF'!G$64,0)</f>
        <v>0</v>
      </c>
      <c r="M921" s="1371">
        <f t="shared" si="172"/>
        <v>195265</v>
      </c>
      <c r="N921" s="2212" t="e">
        <f>IF('Report-M&amp;O1920'!C$18-'Report-SOF1920'!D$55&lt;=0,0,'Report-M&amp;O1920'!C$18-'Report-SOF1920'!D$55)</f>
        <v>#DIV/0!</v>
      </c>
      <c r="O921" s="2452" t="e">
        <f t="shared" si="173"/>
        <v>#DIV/0!</v>
      </c>
      <c r="P921" s="2449">
        <f>IF(A921='Data Entry - SOF'!B$2,'Data Entry - SOF'!I$64,0)</f>
        <v>0</v>
      </c>
      <c r="Q921" s="1687">
        <f t="shared" si="168"/>
        <v>195265</v>
      </c>
      <c r="R921" s="2212" t="e">
        <f>IF('Report-M&amp;O2021'!C$18-'Report-SOF2021'!D$55&lt;=0,0,'Report-M&amp;O2021'!C$18-'Report-SOF2021'!D$55)</f>
        <v>#DIV/0!</v>
      </c>
      <c r="S921" s="2452" t="e">
        <f t="shared" si="174"/>
        <v>#DIV/0!</v>
      </c>
      <c r="T921" s="1708">
        <f>IF(A921='Data Entry - SOF'!B$2,'Data Entry - SOF'!K$64,0)</f>
        <v>0</v>
      </c>
      <c r="U921" s="1687">
        <f t="shared" si="178"/>
        <v>195265</v>
      </c>
      <c r="V921" s="2212" t="e">
        <f>IF('Report-M&amp;O2122'!C$18-'Report-SOF2122'!D$55&lt;=0,0,'Report-M&amp;O2122'!C$18-'Report-SOF2122'!D$55)</f>
        <v>#DIV/0!</v>
      </c>
      <c r="W921" s="2452" t="e">
        <f t="shared" si="175"/>
        <v>#DIV/0!</v>
      </c>
      <c r="X921" s="1708">
        <f>IF(A921='Data Entry - SOF'!B$2,'Data Entry - SOF'!M$64,0)</f>
        <v>0</v>
      </c>
      <c r="Y921" s="1371" t="e">
        <f t="shared" si="176"/>
        <v>#DIV/0!</v>
      </c>
      <c r="Z921" s="2212" t="e">
        <f>IF('Report-M&amp;O2223'!C$18-'Report-SOF2223'!D$55&lt;=0,0,'Report-M&amp;O2223'!C$18-'Report-SOF2223'!D$55)</f>
        <v>#DIV/0!</v>
      </c>
      <c r="AA921" s="1708">
        <f>IF(A921='Data Entry - SOF'!B$2,'Data Entry - SOF'!O$64,0)</f>
        <v>0</v>
      </c>
    </row>
    <row r="922" spans="1:27" ht="15.75">
      <c r="A922" s="1076" t="s">
        <v>2051</v>
      </c>
      <c r="B922">
        <v>4245330</v>
      </c>
      <c r="C922" s="2452" t="e">
        <f>#REF!+#REF!</f>
        <v>#REF!</v>
      </c>
      <c r="D922" s="2449">
        <f>IF(A922='Data Entry - SOF'!B$2,'Data Entry - SOF'!C$64,0)</f>
        <v>0</v>
      </c>
      <c r="E922" s="2450">
        <f t="shared" si="177"/>
        <v>4245330</v>
      </c>
      <c r="F922" s="2212" t="e">
        <f>IF('Report-M&amp;O1718'!C$18-'Report-SOF1718'!D$55&lt;=0,0,'Report-M&amp;O1718'!C$18-'Report-SOF1718'!D$55)</f>
        <v>#DIV/0!</v>
      </c>
      <c r="G922" s="2452" t="e">
        <f t="shared" si="169"/>
        <v>#DIV/0!</v>
      </c>
      <c r="H922" s="2449">
        <f>IF(A922='Data Entry - SOF'!B$2,'Data Entry - SOF'!E$64,0)</f>
        <v>0</v>
      </c>
      <c r="I922" s="1687">
        <f t="shared" si="170"/>
        <v>4245330</v>
      </c>
      <c r="J922" s="2212" t="e">
        <f>IF('Report-M&amp;O1819'!C$18-'Report-SOF1819'!D$55&lt;=0,0,'Report-M&amp;O1819'!C$18-'Report-SOF1819'!D$55)</f>
        <v>#DIV/0!</v>
      </c>
      <c r="K922" s="2452" t="e">
        <f t="shared" si="171"/>
        <v>#DIV/0!</v>
      </c>
      <c r="L922" s="2449">
        <f>IF(A922='Data Entry - SOF'!B$2,'Data Entry - SOF'!G$64,0)</f>
        <v>0</v>
      </c>
      <c r="M922" s="1371">
        <f t="shared" si="172"/>
        <v>4245330</v>
      </c>
      <c r="N922" s="2212" t="e">
        <f>IF('Report-M&amp;O1920'!C$18-'Report-SOF1920'!D$55&lt;=0,0,'Report-M&amp;O1920'!C$18-'Report-SOF1920'!D$55)</f>
        <v>#DIV/0!</v>
      </c>
      <c r="O922" s="2452" t="e">
        <f t="shared" si="173"/>
        <v>#DIV/0!</v>
      </c>
      <c r="P922" s="2449">
        <f>IF(A922='Data Entry - SOF'!B$2,'Data Entry - SOF'!I$64,0)</f>
        <v>0</v>
      </c>
      <c r="Q922" s="1687">
        <f t="shared" si="168"/>
        <v>4245330</v>
      </c>
      <c r="R922" s="2212" t="e">
        <f>IF('Report-M&amp;O2021'!C$18-'Report-SOF2021'!D$55&lt;=0,0,'Report-M&amp;O2021'!C$18-'Report-SOF2021'!D$55)</f>
        <v>#DIV/0!</v>
      </c>
      <c r="S922" s="2452" t="e">
        <f t="shared" si="174"/>
        <v>#DIV/0!</v>
      </c>
      <c r="T922" s="1708">
        <f>IF(A922='Data Entry - SOF'!B$2,'Data Entry - SOF'!K$64,0)</f>
        <v>0</v>
      </c>
      <c r="U922" s="1687">
        <f t="shared" si="178"/>
        <v>4245330</v>
      </c>
      <c r="V922" s="2212" t="e">
        <f>IF('Report-M&amp;O2122'!C$18-'Report-SOF2122'!D$55&lt;=0,0,'Report-M&amp;O2122'!C$18-'Report-SOF2122'!D$55)</f>
        <v>#DIV/0!</v>
      </c>
      <c r="W922" s="2452" t="e">
        <f t="shared" si="175"/>
        <v>#DIV/0!</v>
      </c>
      <c r="X922" s="1708">
        <f>IF(A922='Data Entry - SOF'!B$2,'Data Entry - SOF'!M$64,0)</f>
        <v>0</v>
      </c>
      <c r="Y922" s="1371" t="e">
        <f t="shared" si="176"/>
        <v>#DIV/0!</v>
      </c>
      <c r="Z922" s="2212" t="e">
        <f>IF('Report-M&amp;O2223'!C$18-'Report-SOF2223'!D$55&lt;=0,0,'Report-M&amp;O2223'!C$18-'Report-SOF2223'!D$55)</f>
        <v>#DIV/0!</v>
      </c>
      <c r="AA922" s="1708">
        <f>IF(A922='Data Entry - SOF'!B$2,'Data Entry - SOF'!O$64,0)</f>
        <v>0</v>
      </c>
    </row>
    <row r="923" spans="1:27" ht="15.75">
      <c r="A923" s="1076" t="s">
        <v>2052</v>
      </c>
      <c r="B923">
        <v>2598929</v>
      </c>
      <c r="C923" s="2452" t="e">
        <f>#REF!+#REF!</f>
        <v>#REF!</v>
      </c>
      <c r="D923" s="2449">
        <f>IF(A923='Data Entry - SOF'!B$2,'Data Entry - SOF'!C$64,0)</f>
        <v>0</v>
      </c>
      <c r="E923" s="2450">
        <f t="shared" si="177"/>
        <v>2598929</v>
      </c>
      <c r="F923" s="2212" t="e">
        <f>IF('Report-M&amp;O1718'!C$18-'Report-SOF1718'!D$55&lt;=0,0,'Report-M&amp;O1718'!C$18-'Report-SOF1718'!D$55)</f>
        <v>#DIV/0!</v>
      </c>
      <c r="G923" s="2452" t="e">
        <f t="shared" si="169"/>
        <v>#DIV/0!</v>
      </c>
      <c r="H923" s="2449">
        <f>IF(A923='Data Entry - SOF'!B$2,'Data Entry - SOF'!E$64,0)</f>
        <v>0</v>
      </c>
      <c r="I923" s="1687">
        <f t="shared" si="170"/>
        <v>2598929</v>
      </c>
      <c r="J923" s="2212" t="e">
        <f>IF('Report-M&amp;O1819'!C$18-'Report-SOF1819'!D$55&lt;=0,0,'Report-M&amp;O1819'!C$18-'Report-SOF1819'!D$55)</f>
        <v>#DIV/0!</v>
      </c>
      <c r="K923" s="2452" t="e">
        <f t="shared" si="171"/>
        <v>#DIV/0!</v>
      </c>
      <c r="L923" s="2449">
        <f>IF(A923='Data Entry - SOF'!B$2,'Data Entry - SOF'!G$64,0)</f>
        <v>0</v>
      </c>
      <c r="M923" s="1371">
        <f t="shared" si="172"/>
        <v>2598929</v>
      </c>
      <c r="N923" s="2212" t="e">
        <f>IF('Report-M&amp;O1920'!C$18-'Report-SOF1920'!D$55&lt;=0,0,'Report-M&amp;O1920'!C$18-'Report-SOF1920'!D$55)</f>
        <v>#DIV/0!</v>
      </c>
      <c r="O923" s="2452" t="e">
        <f t="shared" si="173"/>
        <v>#DIV/0!</v>
      </c>
      <c r="P923" s="2449">
        <f>IF(A923='Data Entry - SOF'!B$2,'Data Entry - SOF'!I$64,0)</f>
        <v>0</v>
      </c>
      <c r="Q923" s="1687">
        <f t="shared" si="168"/>
        <v>2598929</v>
      </c>
      <c r="R923" s="2212" t="e">
        <f>IF('Report-M&amp;O2021'!C$18-'Report-SOF2021'!D$55&lt;=0,0,'Report-M&amp;O2021'!C$18-'Report-SOF2021'!D$55)</f>
        <v>#DIV/0!</v>
      </c>
      <c r="S923" s="2452" t="e">
        <f t="shared" si="174"/>
        <v>#DIV/0!</v>
      </c>
      <c r="T923" s="1708">
        <f>IF(A923='Data Entry - SOF'!B$2,'Data Entry - SOF'!K$64,0)</f>
        <v>0</v>
      </c>
      <c r="U923" s="1687">
        <f t="shared" si="178"/>
        <v>2598929</v>
      </c>
      <c r="V923" s="2212" t="e">
        <f>IF('Report-M&amp;O2122'!C$18-'Report-SOF2122'!D$55&lt;=0,0,'Report-M&amp;O2122'!C$18-'Report-SOF2122'!D$55)</f>
        <v>#DIV/0!</v>
      </c>
      <c r="W923" s="2452" t="e">
        <f t="shared" si="175"/>
        <v>#DIV/0!</v>
      </c>
      <c r="X923" s="1708">
        <f>IF(A923='Data Entry - SOF'!B$2,'Data Entry - SOF'!M$64,0)</f>
        <v>0</v>
      </c>
      <c r="Y923" s="1371" t="e">
        <f t="shared" si="176"/>
        <v>#DIV/0!</v>
      </c>
      <c r="Z923" s="2212" t="e">
        <f>IF('Report-M&amp;O2223'!C$18-'Report-SOF2223'!D$55&lt;=0,0,'Report-M&amp;O2223'!C$18-'Report-SOF2223'!D$55)</f>
        <v>#DIV/0!</v>
      </c>
      <c r="AA923" s="1708">
        <f>IF(A923='Data Entry - SOF'!B$2,'Data Entry - SOF'!O$64,0)</f>
        <v>0</v>
      </c>
    </row>
    <row r="924" spans="1:27" ht="15.75">
      <c r="A924" s="1076" t="s">
        <v>1423</v>
      </c>
      <c r="B924">
        <v>487322</v>
      </c>
      <c r="C924" s="2452" t="e">
        <f>#REF!+#REF!</f>
        <v>#REF!</v>
      </c>
      <c r="D924" s="2449">
        <f>IF(A924='Data Entry - SOF'!B$2,'Data Entry - SOF'!C$64,0)</f>
        <v>0</v>
      </c>
      <c r="E924" s="2450">
        <f t="shared" si="177"/>
        <v>487322</v>
      </c>
      <c r="F924" s="2212" t="e">
        <f>IF('Report-M&amp;O1718'!C$18-'Report-SOF1718'!D$55&lt;=0,0,'Report-M&amp;O1718'!C$18-'Report-SOF1718'!D$55)</f>
        <v>#DIV/0!</v>
      </c>
      <c r="G924" s="2452" t="e">
        <f t="shared" si="169"/>
        <v>#DIV/0!</v>
      </c>
      <c r="H924" s="2449">
        <f>IF(A924='Data Entry - SOF'!B$2,'Data Entry - SOF'!E$64,0)</f>
        <v>0</v>
      </c>
      <c r="I924" s="1687">
        <f t="shared" si="170"/>
        <v>487322</v>
      </c>
      <c r="J924" s="2212" t="e">
        <f>IF('Report-M&amp;O1819'!C$18-'Report-SOF1819'!D$55&lt;=0,0,'Report-M&amp;O1819'!C$18-'Report-SOF1819'!D$55)</f>
        <v>#DIV/0!</v>
      </c>
      <c r="K924" s="2452" t="e">
        <f t="shared" si="171"/>
        <v>#DIV/0!</v>
      </c>
      <c r="L924" s="2449">
        <f>IF(A924='Data Entry - SOF'!B$2,'Data Entry - SOF'!G$64,0)</f>
        <v>0</v>
      </c>
      <c r="M924" s="1371">
        <f t="shared" si="172"/>
        <v>487322</v>
      </c>
      <c r="N924" s="2212" t="e">
        <f>IF('Report-M&amp;O1920'!C$18-'Report-SOF1920'!D$55&lt;=0,0,'Report-M&amp;O1920'!C$18-'Report-SOF1920'!D$55)</f>
        <v>#DIV/0!</v>
      </c>
      <c r="O924" s="2452" t="e">
        <f t="shared" si="173"/>
        <v>#DIV/0!</v>
      </c>
      <c r="P924" s="2449">
        <f>IF(A924='Data Entry - SOF'!B$2,'Data Entry - SOF'!I$64,0)</f>
        <v>0</v>
      </c>
      <c r="Q924" s="1687">
        <f t="shared" si="168"/>
        <v>487322</v>
      </c>
      <c r="R924" s="2212" t="e">
        <f>IF('Report-M&amp;O2021'!C$18-'Report-SOF2021'!D$55&lt;=0,0,'Report-M&amp;O2021'!C$18-'Report-SOF2021'!D$55)</f>
        <v>#DIV/0!</v>
      </c>
      <c r="S924" s="2452" t="e">
        <f t="shared" si="174"/>
        <v>#DIV/0!</v>
      </c>
      <c r="T924" s="1708">
        <f>IF(A924='Data Entry - SOF'!B$2,'Data Entry - SOF'!K$64,0)</f>
        <v>0</v>
      </c>
      <c r="U924" s="1687">
        <f t="shared" si="178"/>
        <v>487322</v>
      </c>
      <c r="V924" s="2212" t="e">
        <f>IF('Report-M&amp;O2122'!C$18-'Report-SOF2122'!D$55&lt;=0,0,'Report-M&amp;O2122'!C$18-'Report-SOF2122'!D$55)</f>
        <v>#DIV/0!</v>
      </c>
      <c r="W924" s="2452" t="e">
        <f t="shared" si="175"/>
        <v>#DIV/0!</v>
      </c>
      <c r="X924" s="1708">
        <f>IF(A924='Data Entry - SOF'!B$2,'Data Entry - SOF'!M$64,0)</f>
        <v>0</v>
      </c>
      <c r="Y924" s="1371" t="e">
        <f t="shared" si="176"/>
        <v>#DIV/0!</v>
      </c>
      <c r="Z924" s="2212" t="e">
        <f>IF('Report-M&amp;O2223'!C$18-'Report-SOF2223'!D$55&lt;=0,0,'Report-M&amp;O2223'!C$18-'Report-SOF2223'!D$55)</f>
        <v>#DIV/0!</v>
      </c>
      <c r="AA924" s="1708">
        <f>IF(A924='Data Entry - SOF'!B$2,'Data Entry - SOF'!O$64,0)</f>
        <v>0</v>
      </c>
    </row>
    <row r="925" spans="1:27" ht="15.75">
      <c r="A925" s="1076" t="s">
        <v>83</v>
      </c>
      <c r="B925">
        <v>491286</v>
      </c>
      <c r="C925" s="2452" t="e">
        <f>#REF!+#REF!</f>
        <v>#REF!</v>
      </c>
      <c r="D925" s="2449">
        <f>IF(A925='Data Entry - SOF'!B$2,'Data Entry - SOF'!C$64,0)</f>
        <v>0</v>
      </c>
      <c r="E925" s="2450">
        <f t="shared" si="177"/>
        <v>491286</v>
      </c>
      <c r="F925" s="2212" t="e">
        <f>IF('Report-M&amp;O1718'!C$18-'Report-SOF1718'!D$55&lt;=0,0,'Report-M&amp;O1718'!C$18-'Report-SOF1718'!D$55)</f>
        <v>#DIV/0!</v>
      </c>
      <c r="G925" s="2452" t="e">
        <f t="shared" si="169"/>
        <v>#DIV/0!</v>
      </c>
      <c r="H925" s="2449">
        <f>IF(A925='Data Entry - SOF'!B$2,'Data Entry - SOF'!E$64,0)</f>
        <v>0</v>
      </c>
      <c r="I925" s="1687">
        <f t="shared" si="170"/>
        <v>491286</v>
      </c>
      <c r="J925" s="2212" t="e">
        <f>IF('Report-M&amp;O1819'!C$18-'Report-SOF1819'!D$55&lt;=0,0,'Report-M&amp;O1819'!C$18-'Report-SOF1819'!D$55)</f>
        <v>#DIV/0!</v>
      </c>
      <c r="K925" s="2452" t="e">
        <f t="shared" si="171"/>
        <v>#DIV/0!</v>
      </c>
      <c r="L925" s="2449">
        <f>IF(A925='Data Entry - SOF'!B$2,'Data Entry - SOF'!G$64,0)</f>
        <v>0</v>
      </c>
      <c r="M925" s="1371">
        <f t="shared" si="172"/>
        <v>491286</v>
      </c>
      <c r="N925" s="2212" t="e">
        <f>IF('Report-M&amp;O1920'!C$18-'Report-SOF1920'!D$55&lt;=0,0,'Report-M&amp;O1920'!C$18-'Report-SOF1920'!D$55)</f>
        <v>#DIV/0!</v>
      </c>
      <c r="O925" s="2452" t="e">
        <f t="shared" si="173"/>
        <v>#DIV/0!</v>
      </c>
      <c r="P925" s="2449">
        <f>IF(A925='Data Entry - SOF'!B$2,'Data Entry - SOF'!I$64,0)</f>
        <v>0</v>
      </c>
      <c r="Q925" s="1687">
        <f t="shared" si="168"/>
        <v>491286</v>
      </c>
      <c r="R925" s="2212" t="e">
        <f>IF('Report-M&amp;O2021'!C$18-'Report-SOF2021'!D$55&lt;=0,0,'Report-M&amp;O2021'!C$18-'Report-SOF2021'!D$55)</f>
        <v>#DIV/0!</v>
      </c>
      <c r="S925" s="2452" t="e">
        <f t="shared" si="174"/>
        <v>#DIV/0!</v>
      </c>
      <c r="T925" s="1708">
        <f>IF(A925='Data Entry - SOF'!B$2,'Data Entry - SOF'!K$64,0)</f>
        <v>0</v>
      </c>
      <c r="U925" s="1687">
        <f t="shared" si="178"/>
        <v>491286</v>
      </c>
      <c r="V925" s="2212" t="e">
        <f>IF('Report-M&amp;O2122'!C$18-'Report-SOF2122'!D$55&lt;=0,0,'Report-M&amp;O2122'!C$18-'Report-SOF2122'!D$55)</f>
        <v>#DIV/0!</v>
      </c>
      <c r="W925" s="2452" t="e">
        <f t="shared" si="175"/>
        <v>#DIV/0!</v>
      </c>
      <c r="X925" s="1708">
        <f>IF(A925='Data Entry - SOF'!B$2,'Data Entry - SOF'!M$64,0)</f>
        <v>0</v>
      </c>
      <c r="Y925" s="1371" t="e">
        <f t="shared" si="176"/>
        <v>#DIV/0!</v>
      </c>
      <c r="Z925" s="2212" t="e">
        <f>IF('Report-M&amp;O2223'!C$18-'Report-SOF2223'!D$55&lt;=0,0,'Report-M&amp;O2223'!C$18-'Report-SOF2223'!D$55)</f>
        <v>#DIV/0!</v>
      </c>
      <c r="AA925" s="1708">
        <f>IF(A925='Data Entry - SOF'!B$2,'Data Entry - SOF'!O$64,0)</f>
        <v>0</v>
      </c>
    </row>
    <row r="926" spans="1:27" ht="15.75">
      <c r="A926" s="1076" t="s">
        <v>2053</v>
      </c>
      <c r="B926">
        <v>2043735</v>
      </c>
      <c r="C926" s="2452" t="e">
        <f>#REF!+#REF!</f>
        <v>#REF!</v>
      </c>
      <c r="D926" s="2449">
        <f>IF(A926='Data Entry - SOF'!B$2,'Data Entry - SOF'!C$64,0)</f>
        <v>0</v>
      </c>
      <c r="E926" s="2450">
        <f t="shared" si="177"/>
        <v>2043735</v>
      </c>
      <c r="F926" s="2212" t="e">
        <f>IF('Report-M&amp;O1718'!C$18-'Report-SOF1718'!D$55&lt;=0,0,'Report-M&amp;O1718'!C$18-'Report-SOF1718'!D$55)</f>
        <v>#DIV/0!</v>
      </c>
      <c r="G926" s="2452" t="e">
        <f t="shared" si="169"/>
        <v>#DIV/0!</v>
      </c>
      <c r="H926" s="2449">
        <f>IF(A926='Data Entry - SOF'!B$2,'Data Entry - SOF'!E$64,0)</f>
        <v>0</v>
      </c>
      <c r="I926" s="1687">
        <f t="shared" si="170"/>
        <v>2043735</v>
      </c>
      <c r="J926" s="2212" t="e">
        <f>IF('Report-M&amp;O1819'!C$18-'Report-SOF1819'!D$55&lt;=0,0,'Report-M&amp;O1819'!C$18-'Report-SOF1819'!D$55)</f>
        <v>#DIV/0!</v>
      </c>
      <c r="K926" s="2452" t="e">
        <f t="shared" si="171"/>
        <v>#DIV/0!</v>
      </c>
      <c r="L926" s="2449">
        <f>IF(A926='Data Entry - SOF'!B$2,'Data Entry - SOF'!G$64,0)</f>
        <v>0</v>
      </c>
      <c r="M926" s="1371">
        <f t="shared" si="172"/>
        <v>2043735</v>
      </c>
      <c r="N926" s="2212" t="e">
        <f>IF('Report-M&amp;O1920'!C$18-'Report-SOF1920'!D$55&lt;=0,0,'Report-M&amp;O1920'!C$18-'Report-SOF1920'!D$55)</f>
        <v>#DIV/0!</v>
      </c>
      <c r="O926" s="2452" t="e">
        <f t="shared" si="173"/>
        <v>#DIV/0!</v>
      </c>
      <c r="P926" s="2449">
        <f>IF(A926='Data Entry - SOF'!B$2,'Data Entry - SOF'!I$64,0)</f>
        <v>0</v>
      </c>
      <c r="Q926" s="1687">
        <f t="shared" si="168"/>
        <v>2043735</v>
      </c>
      <c r="R926" s="2212" t="e">
        <f>IF('Report-M&amp;O2021'!C$18-'Report-SOF2021'!D$55&lt;=0,0,'Report-M&amp;O2021'!C$18-'Report-SOF2021'!D$55)</f>
        <v>#DIV/0!</v>
      </c>
      <c r="S926" s="2452" t="e">
        <f t="shared" si="174"/>
        <v>#DIV/0!</v>
      </c>
      <c r="T926" s="1708">
        <f>IF(A926='Data Entry - SOF'!B$2,'Data Entry - SOF'!K$64,0)</f>
        <v>0</v>
      </c>
      <c r="U926" s="1687">
        <f t="shared" si="178"/>
        <v>2043735</v>
      </c>
      <c r="V926" s="2212" t="e">
        <f>IF('Report-M&amp;O2122'!C$18-'Report-SOF2122'!D$55&lt;=0,0,'Report-M&amp;O2122'!C$18-'Report-SOF2122'!D$55)</f>
        <v>#DIV/0!</v>
      </c>
      <c r="W926" s="2452" t="e">
        <f t="shared" si="175"/>
        <v>#DIV/0!</v>
      </c>
      <c r="X926" s="1708">
        <f>IF(A926='Data Entry - SOF'!B$2,'Data Entry - SOF'!M$64,0)</f>
        <v>0</v>
      </c>
      <c r="Y926" s="1371" t="e">
        <f t="shared" si="176"/>
        <v>#DIV/0!</v>
      </c>
      <c r="Z926" s="2212" t="e">
        <f>IF('Report-M&amp;O2223'!C$18-'Report-SOF2223'!D$55&lt;=0,0,'Report-M&amp;O2223'!C$18-'Report-SOF2223'!D$55)</f>
        <v>#DIV/0!</v>
      </c>
      <c r="AA926" s="1708">
        <f>IF(A926='Data Entry - SOF'!B$2,'Data Entry - SOF'!O$64,0)</f>
        <v>0</v>
      </c>
    </row>
    <row r="927" spans="1:27" ht="15.75">
      <c r="A927" s="1076" t="s">
        <v>2054</v>
      </c>
      <c r="B927">
        <v>3350427</v>
      </c>
      <c r="C927" s="2452" t="e">
        <f>#REF!+#REF!</f>
        <v>#REF!</v>
      </c>
      <c r="D927" s="2449">
        <f>IF(A927='Data Entry - SOF'!B$2,'Data Entry - SOF'!C$64,0)</f>
        <v>0</v>
      </c>
      <c r="E927" s="2450">
        <f t="shared" si="177"/>
        <v>3350427</v>
      </c>
      <c r="F927" s="2212" t="e">
        <f>IF('Report-M&amp;O1718'!C$18-'Report-SOF1718'!D$55&lt;=0,0,'Report-M&amp;O1718'!C$18-'Report-SOF1718'!D$55)</f>
        <v>#DIV/0!</v>
      </c>
      <c r="G927" s="2452" t="e">
        <f t="shared" si="169"/>
        <v>#DIV/0!</v>
      </c>
      <c r="H927" s="2449">
        <f>IF(A927='Data Entry - SOF'!B$2,'Data Entry - SOF'!E$64,0)</f>
        <v>0</v>
      </c>
      <c r="I927" s="1687">
        <f t="shared" si="170"/>
        <v>3350427</v>
      </c>
      <c r="J927" s="2212" t="e">
        <f>IF('Report-M&amp;O1819'!C$18-'Report-SOF1819'!D$55&lt;=0,0,'Report-M&amp;O1819'!C$18-'Report-SOF1819'!D$55)</f>
        <v>#DIV/0!</v>
      </c>
      <c r="K927" s="2452" t="e">
        <f t="shared" si="171"/>
        <v>#DIV/0!</v>
      </c>
      <c r="L927" s="2449">
        <f>IF(A927='Data Entry - SOF'!B$2,'Data Entry - SOF'!G$64,0)</f>
        <v>0</v>
      </c>
      <c r="M927" s="1371">
        <f t="shared" si="172"/>
        <v>3350427</v>
      </c>
      <c r="N927" s="2212" t="e">
        <f>IF('Report-M&amp;O1920'!C$18-'Report-SOF1920'!D$55&lt;=0,0,'Report-M&amp;O1920'!C$18-'Report-SOF1920'!D$55)</f>
        <v>#DIV/0!</v>
      </c>
      <c r="O927" s="2452" t="e">
        <f t="shared" si="173"/>
        <v>#DIV/0!</v>
      </c>
      <c r="P927" s="2449">
        <f>IF(A927='Data Entry - SOF'!B$2,'Data Entry - SOF'!I$64,0)</f>
        <v>0</v>
      </c>
      <c r="Q927" s="1687">
        <f t="shared" si="168"/>
        <v>3350427</v>
      </c>
      <c r="R927" s="2212" t="e">
        <f>IF('Report-M&amp;O2021'!C$18-'Report-SOF2021'!D$55&lt;=0,0,'Report-M&amp;O2021'!C$18-'Report-SOF2021'!D$55)</f>
        <v>#DIV/0!</v>
      </c>
      <c r="S927" s="2452" t="e">
        <f t="shared" si="174"/>
        <v>#DIV/0!</v>
      </c>
      <c r="T927" s="1708">
        <f>IF(A927='Data Entry - SOF'!B$2,'Data Entry - SOF'!K$64,0)</f>
        <v>0</v>
      </c>
      <c r="U927" s="1687">
        <f t="shared" si="178"/>
        <v>3350427</v>
      </c>
      <c r="V927" s="2212" t="e">
        <f>IF('Report-M&amp;O2122'!C$18-'Report-SOF2122'!D$55&lt;=0,0,'Report-M&amp;O2122'!C$18-'Report-SOF2122'!D$55)</f>
        <v>#DIV/0!</v>
      </c>
      <c r="W927" s="2452" t="e">
        <f t="shared" si="175"/>
        <v>#DIV/0!</v>
      </c>
      <c r="X927" s="1708">
        <f>IF(A927='Data Entry - SOF'!B$2,'Data Entry - SOF'!M$64,0)</f>
        <v>0</v>
      </c>
      <c r="Y927" s="1371" t="e">
        <f t="shared" si="176"/>
        <v>#DIV/0!</v>
      </c>
      <c r="Z927" s="2212" t="e">
        <f>IF('Report-M&amp;O2223'!C$18-'Report-SOF2223'!D$55&lt;=0,0,'Report-M&amp;O2223'!C$18-'Report-SOF2223'!D$55)</f>
        <v>#DIV/0!</v>
      </c>
      <c r="AA927" s="1708">
        <f>IF(A927='Data Entry - SOF'!B$2,'Data Entry - SOF'!O$64,0)</f>
        <v>0</v>
      </c>
    </row>
    <row r="928" spans="1:27" ht="15.75">
      <c r="A928" s="1076" t="s">
        <v>1594</v>
      </c>
      <c r="B928">
        <v>442834</v>
      </c>
      <c r="C928" s="2452" t="e">
        <f>#REF!+#REF!</f>
        <v>#REF!</v>
      </c>
      <c r="D928" s="2449">
        <f>IF(A928='Data Entry - SOF'!B$2,'Data Entry - SOF'!C$64,0)</f>
        <v>0</v>
      </c>
      <c r="E928" s="2450">
        <f t="shared" si="177"/>
        <v>442834</v>
      </c>
      <c r="F928" s="2212" t="e">
        <f>IF('Report-M&amp;O1718'!C$18-'Report-SOF1718'!D$55&lt;=0,0,'Report-M&amp;O1718'!C$18-'Report-SOF1718'!D$55)</f>
        <v>#DIV/0!</v>
      </c>
      <c r="G928" s="2452" t="e">
        <f t="shared" si="169"/>
        <v>#DIV/0!</v>
      </c>
      <c r="H928" s="2449">
        <f>IF(A928='Data Entry - SOF'!B$2,'Data Entry - SOF'!E$64,0)</f>
        <v>0</v>
      </c>
      <c r="I928" s="1687">
        <f t="shared" si="170"/>
        <v>442834</v>
      </c>
      <c r="J928" s="2212" t="e">
        <f>IF('Report-M&amp;O1819'!C$18-'Report-SOF1819'!D$55&lt;=0,0,'Report-M&amp;O1819'!C$18-'Report-SOF1819'!D$55)</f>
        <v>#DIV/0!</v>
      </c>
      <c r="K928" s="2452" t="e">
        <f t="shared" si="171"/>
        <v>#DIV/0!</v>
      </c>
      <c r="L928" s="2449">
        <f>IF(A928='Data Entry - SOF'!B$2,'Data Entry - SOF'!G$64,0)</f>
        <v>0</v>
      </c>
      <c r="M928" s="1371">
        <f t="shared" si="172"/>
        <v>442834</v>
      </c>
      <c r="N928" s="2212" t="e">
        <f>IF('Report-M&amp;O1920'!C$18-'Report-SOF1920'!D$55&lt;=0,0,'Report-M&amp;O1920'!C$18-'Report-SOF1920'!D$55)</f>
        <v>#DIV/0!</v>
      </c>
      <c r="O928" s="2452" t="e">
        <f t="shared" si="173"/>
        <v>#DIV/0!</v>
      </c>
      <c r="P928" s="2449">
        <f>IF(A928='Data Entry - SOF'!B$2,'Data Entry - SOF'!I$64,0)</f>
        <v>0</v>
      </c>
      <c r="Q928" s="1687">
        <f t="shared" si="168"/>
        <v>442834</v>
      </c>
      <c r="R928" s="2212" t="e">
        <f>IF('Report-M&amp;O2021'!C$18-'Report-SOF2021'!D$55&lt;=0,0,'Report-M&amp;O2021'!C$18-'Report-SOF2021'!D$55)</f>
        <v>#DIV/0!</v>
      </c>
      <c r="S928" s="2452" t="e">
        <f t="shared" si="174"/>
        <v>#DIV/0!</v>
      </c>
      <c r="T928" s="1708">
        <f>IF(A928='Data Entry - SOF'!B$2,'Data Entry - SOF'!K$64,0)</f>
        <v>0</v>
      </c>
      <c r="U928" s="1687">
        <f t="shared" si="178"/>
        <v>442834</v>
      </c>
      <c r="V928" s="2212" t="e">
        <f>IF('Report-M&amp;O2122'!C$18-'Report-SOF2122'!D$55&lt;=0,0,'Report-M&amp;O2122'!C$18-'Report-SOF2122'!D$55)</f>
        <v>#DIV/0!</v>
      </c>
      <c r="W928" s="2452" t="e">
        <f t="shared" si="175"/>
        <v>#DIV/0!</v>
      </c>
      <c r="X928" s="1708">
        <f>IF(A928='Data Entry - SOF'!B$2,'Data Entry - SOF'!M$64,0)</f>
        <v>0</v>
      </c>
      <c r="Y928" s="1371" t="e">
        <f t="shared" si="176"/>
        <v>#DIV/0!</v>
      </c>
      <c r="Z928" s="2212" t="e">
        <f>IF('Report-M&amp;O2223'!C$18-'Report-SOF2223'!D$55&lt;=0,0,'Report-M&amp;O2223'!C$18-'Report-SOF2223'!D$55)</f>
        <v>#DIV/0!</v>
      </c>
      <c r="AA928" s="1708">
        <f>IF(A928='Data Entry - SOF'!B$2,'Data Entry - SOF'!O$64,0)</f>
        <v>0</v>
      </c>
    </row>
    <row r="929" spans="1:27" ht="15.75">
      <c r="A929" s="1076" t="s">
        <v>1229</v>
      </c>
      <c r="B929">
        <v>723769</v>
      </c>
      <c r="C929" s="2452" t="e">
        <f>#REF!+#REF!</f>
        <v>#REF!</v>
      </c>
      <c r="D929" s="2449">
        <f>IF(A929='Data Entry - SOF'!B$2,'Data Entry - SOF'!C$64,0)</f>
        <v>0</v>
      </c>
      <c r="E929" s="2450">
        <f t="shared" si="177"/>
        <v>723769</v>
      </c>
      <c r="F929" s="2212" t="e">
        <f>IF('Report-M&amp;O1718'!C$18-'Report-SOF1718'!D$55&lt;=0,0,'Report-M&amp;O1718'!C$18-'Report-SOF1718'!D$55)</f>
        <v>#DIV/0!</v>
      </c>
      <c r="G929" s="2452" t="e">
        <f t="shared" si="169"/>
        <v>#DIV/0!</v>
      </c>
      <c r="H929" s="2449">
        <f>IF(A929='Data Entry - SOF'!B$2,'Data Entry - SOF'!E$64,0)</f>
        <v>0</v>
      </c>
      <c r="I929" s="1687">
        <f t="shared" si="170"/>
        <v>723769</v>
      </c>
      <c r="J929" s="2212" t="e">
        <f>IF('Report-M&amp;O1819'!C$18-'Report-SOF1819'!D$55&lt;=0,0,'Report-M&amp;O1819'!C$18-'Report-SOF1819'!D$55)</f>
        <v>#DIV/0!</v>
      </c>
      <c r="K929" s="2452" t="e">
        <f t="shared" si="171"/>
        <v>#DIV/0!</v>
      </c>
      <c r="L929" s="2449">
        <f>IF(A929='Data Entry - SOF'!B$2,'Data Entry - SOF'!G$64,0)</f>
        <v>0</v>
      </c>
      <c r="M929" s="1371">
        <f t="shared" si="172"/>
        <v>723769</v>
      </c>
      <c r="N929" s="2212" t="e">
        <f>IF('Report-M&amp;O1920'!C$18-'Report-SOF1920'!D$55&lt;=0,0,'Report-M&amp;O1920'!C$18-'Report-SOF1920'!D$55)</f>
        <v>#DIV/0!</v>
      </c>
      <c r="O929" s="2452" t="e">
        <f t="shared" si="173"/>
        <v>#DIV/0!</v>
      </c>
      <c r="P929" s="2449">
        <f>IF(A929='Data Entry - SOF'!B$2,'Data Entry - SOF'!I$64,0)</f>
        <v>0</v>
      </c>
      <c r="Q929" s="1687">
        <f t="shared" si="168"/>
        <v>723769</v>
      </c>
      <c r="R929" s="2212" t="e">
        <f>IF('Report-M&amp;O2021'!C$18-'Report-SOF2021'!D$55&lt;=0,0,'Report-M&amp;O2021'!C$18-'Report-SOF2021'!D$55)</f>
        <v>#DIV/0!</v>
      </c>
      <c r="S929" s="2452" t="e">
        <f t="shared" si="174"/>
        <v>#DIV/0!</v>
      </c>
      <c r="T929" s="1708">
        <f>IF(A929='Data Entry - SOF'!B$2,'Data Entry - SOF'!K$64,0)</f>
        <v>0</v>
      </c>
      <c r="U929" s="1687">
        <f t="shared" si="178"/>
        <v>723769</v>
      </c>
      <c r="V929" s="2212" t="e">
        <f>IF('Report-M&amp;O2122'!C$18-'Report-SOF2122'!D$55&lt;=0,0,'Report-M&amp;O2122'!C$18-'Report-SOF2122'!D$55)</f>
        <v>#DIV/0!</v>
      </c>
      <c r="W929" s="2452" t="e">
        <f t="shared" si="175"/>
        <v>#DIV/0!</v>
      </c>
      <c r="X929" s="1708">
        <f>IF(A929='Data Entry - SOF'!B$2,'Data Entry - SOF'!M$64,0)</f>
        <v>0</v>
      </c>
      <c r="Y929" s="1371" t="e">
        <f t="shared" si="176"/>
        <v>#DIV/0!</v>
      </c>
      <c r="Z929" s="2212" t="e">
        <f>IF('Report-M&amp;O2223'!C$18-'Report-SOF2223'!D$55&lt;=0,0,'Report-M&amp;O2223'!C$18-'Report-SOF2223'!D$55)</f>
        <v>#DIV/0!</v>
      </c>
      <c r="AA929" s="1708">
        <f>IF(A929='Data Entry - SOF'!B$2,'Data Entry - SOF'!O$64,0)</f>
        <v>0</v>
      </c>
    </row>
    <row r="930" spans="1:27" ht="15.75">
      <c r="A930" s="1076" t="s">
        <v>2127</v>
      </c>
      <c r="B930">
        <v>1506153</v>
      </c>
      <c r="C930" s="2452" t="e">
        <f>#REF!+#REF!</f>
        <v>#REF!</v>
      </c>
      <c r="D930" s="2449">
        <f>IF(A930='Data Entry - SOF'!B$2,'Data Entry - SOF'!C$64,0)</f>
        <v>0</v>
      </c>
      <c r="E930" s="2450">
        <f t="shared" si="177"/>
        <v>1506153</v>
      </c>
      <c r="F930" s="2212" t="e">
        <f>IF('Report-M&amp;O1718'!C$18-'Report-SOF1718'!D$55&lt;=0,0,'Report-M&amp;O1718'!C$18-'Report-SOF1718'!D$55)</f>
        <v>#DIV/0!</v>
      </c>
      <c r="G930" s="2452" t="e">
        <f t="shared" si="169"/>
        <v>#DIV/0!</v>
      </c>
      <c r="H930" s="2449">
        <f>IF(A930='Data Entry - SOF'!B$2,'Data Entry - SOF'!E$64,0)</f>
        <v>0</v>
      </c>
      <c r="I930" s="1687">
        <f t="shared" si="170"/>
        <v>1506153</v>
      </c>
      <c r="J930" s="2212" t="e">
        <f>IF('Report-M&amp;O1819'!C$18-'Report-SOF1819'!D$55&lt;=0,0,'Report-M&amp;O1819'!C$18-'Report-SOF1819'!D$55)</f>
        <v>#DIV/0!</v>
      </c>
      <c r="K930" s="2452" t="e">
        <f t="shared" si="171"/>
        <v>#DIV/0!</v>
      </c>
      <c r="L930" s="2449">
        <f>IF(A930='Data Entry - SOF'!B$2,'Data Entry - SOF'!G$64,0)</f>
        <v>0</v>
      </c>
      <c r="M930" s="1371">
        <f t="shared" si="172"/>
        <v>1506153</v>
      </c>
      <c r="N930" s="2212" t="e">
        <f>IF('Report-M&amp;O1920'!C$18-'Report-SOF1920'!D$55&lt;=0,0,'Report-M&amp;O1920'!C$18-'Report-SOF1920'!D$55)</f>
        <v>#DIV/0!</v>
      </c>
      <c r="O930" s="2452" t="e">
        <f t="shared" si="173"/>
        <v>#DIV/0!</v>
      </c>
      <c r="P930" s="2449">
        <f>IF(A930='Data Entry - SOF'!B$2,'Data Entry - SOF'!I$64,0)</f>
        <v>0</v>
      </c>
      <c r="Q930" s="1687">
        <f t="shared" si="168"/>
        <v>1506153</v>
      </c>
      <c r="R930" s="2212" t="e">
        <f>IF('Report-M&amp;O2021'!C$18-'Report-SOF2021'!D$55&lt;=0,0,'Report-M&amp;O2021'!C$18-'Report-SOF2021'!D$55)</f>
        <v>#DIV/0!</v>
      </c>
      <c r="S930" s="2452" t="e">
        <f t="shared" si="174"/>
        <v>#DIV/0!</v>
      </c>
      <c r="T930" s="1708">
        <f>IF(A930='Data Entry - SOF'!B$2,'Data Entry - SOF'!K$64,0)</f>
        <v>0</v>
      </c>
      <c r="U930" s="1687">
        <f t="shared" si="178"/>
        <v>1506153</v>
      </c>
      <c r="V930" s="2212" t="e">
        <f>IF('Report-M&amp;O2122'!C$18-'Report-SOF2122'!D$55&lt;=0,0,'Report-M&amp;O2122'!C$18-'Report-SOF2122'!D$55)</f>
        <v>#DIV/0!</v>
      </c>
      <c r="W930" s="2452" t="e">
        <f t="shared" si="175"/>
        <v>#DIV/0!</v>
      </c>
      <c r="X930" s="1708">
        <f>IF(A930='Data Entry - SOF'!B$2,'Data Entry - SOF'!M$64,0)</f>
        <v>0</v>
      </c>
      <c r="Y930" s="1371" t="e">
        <f t="shared" si="176"/>
        <v>#DIV/0!</v>
      </c>
      <c r="Z930" s="2212" t="e">
        <f>IF('Report-M&amp;O2223'!C$18-'Report-SOF2223'!D$55&lt;=0,0,'Report-M&amp;O2223'!C$18-'Report-SOF2223'!D$55)</f>
        <v>#DIV/0!</v>
      </c>
      <c r="AA930" s="1708">
        <f>IF(A930='Data Entry - SOF'!B$2,'Data Entry - SOF'!O$64,0)</f>
        <v>0</v>
      </c>
    </row>
    <row r="931" spans="1:27" ht="15.75">
      <c r="A931" s="1076" t="s">
        <v>1230</v>
      </c>
      <c r="B931">
        <v>1072349</v>
      </c>
      <c r="C931" s="2452" t="e">
        <f>#REF!+#REF!</f>
        <v>#REF!</v>
      </c>
      <c r="D931" s="2449">
        <f>IF(A931='Data Entry - SOF'!B$2,'Data Entry - SOF'!C$64,0)</f>
        <v>0</v>
      </c>
      <c r="E931" s="2450">
        <f t="shared" si="177"/>
        <v>1072349</v>
      </c>
      <c r="F931" s="2212" t="e">
        <f>IF('Report-M&amp;O1718'!C$18-'Report-SOF1718'!D$55&lt;=0,0,'Report-M&amp;O1718'!C$18-'Report-SOF1718'!D$55)</f>
        <v>#DIV/0!</v>
      </c>
      <c r="G931" s="2452" t="e">
        <f t="shared" si="169"/>
        <v>#DIV/0!</v>
      </c>
      <c r="H931" s="2449">
        <f>IF(A931='Data Entry - SOF'!B$2,'Data Entry - SOF'!E$64,0)</f>
        <v>0</v>
      </c>
      <c r="I931" s="1687">
        <f t="shared" si="170"/>
        <v>1072349</v>
      </c>
      <c r="J931" s="2212" t="e">
        <f>IF('Report-M&amp;O1819'!C$18-'Report-SOF1819'!D$55&lt;=0,0,'Report-M&amp;O1819'!C$18-'Report-SOF1819'!D$55)</f>
        <v>#DIV/0!</v>
      </c>
      <c r="K931" s="2452" t="e">
        <f t="shared" si="171"/>
        <v>#DIV/0!</v>
      </c>
      <c r="L931" s="2449">
        <f>IF(A931='Data Entry - SOF'!B$2,'Data Entry - SOF'!G$64,0)</f>
        <v>0</v>
      </c>
      <c r="M931" s="1371">
        <f t="shared" si="172"/>
        <v>1072349</v>
      </c>
      <c r="N931" s="2212" t="e">
        <f>IF('Report-M&amp;O1920'!C$18-'Report-SOF1920'!D$55&lt;=0,0,'Report-M&amp;O1920'!C$18-'Report-SOF1920'!D$55)</f>
        <v>#DIV/0!</v>
      </c>
      <c r="O931" s="2452" t="e">
        <f t="shared" si="173"/>
        <v>#DIV/0!</v>
      </c>
      <c r="P931" s="2449">
        <f>IF(A931='Data Entry - SOF'!B$2,'Data Entry - SOF'!I$64,0)</f>
        <v>0</v>
      </c>
      <c r="Q931" s="1687">
        <f t="shared" si="168"/>
        <v>1072349</v>
      </c>
      <c r="R931" s="2212" t="e">
        <f>IF('Report-M&amp;O2021'!C$18-'Report-SOF2021'!D$55&lt;=0,0,'Report-M&amp;O2021'!C$18-'Report-SOF2021'!D$55)</f>
        <v>#DIV/0!</v>
      </c>
      <c r="S931" s="2452" t="e">
        <f t="shared" si="174"/>
        <v>#DIV/0!</v>
      </c>
      <c r="T931" s="1708">
        <f>IF(A931='Data Entry - SOF'!B$2,'Data Entry - SOF'!K$64,0)</f>
        <v>0</v>
      </c>
      <c r="U931" s="1687">
        <f t="shared" si="178"/>
        <v>1072349</v>
      </c>
      <c r="V931" s="2212" t="e">
        <f>IF('Report-M&amp;O2122'!C$18-'Report-SOF2122'!D$55&lt;=0,0,'Report-M&amp;O2122'!C$18-'Report-SOF2122'!D$55)</f>
        <v>#DIV/0!</v>
      </c>
      <c r="W931" s="2452" t="e">
        <f t="shared" si="175"/>
        <v>#DIV/0!</v>
      </c>
      <c r="X931" s="1708">
        <f>IF(A931='Data Entry - SOF'!B$2,'Data Entry - SOF'!M$64,0)</f>
        <v>0</v>
      </c>
      <c r="Y931" s="1371" t="e">
        <f t="shared" si="176"/>
        <v>#DIV/0!</v>
      </c>
      <c r="Z931" s="2212" t="e">
        <f>IF('Report-M&amp;O2223'!C$18-'Report-SOF2223'!D$55&lt;=0,0,'Report-M&amp;O2223'!C$18-'Report-SOF2223'!D$55)</f>
        <v>#DIV/0!</v>
      </c>
      <c r="AA931" s="1708">
        <f>IF(A931='Data Entry - SOF'!B$2,'Data Entry - SOF'!O$64,0)</f>
        <v>0</v>
      </c>
    </row>
    <row r="932" spans="1:27" ht="15.75">
      <c r="A932" s="1076" t="s">
        <v>1231</v>
      </c>
      <c r="B932">
        <v>1398172</v>
      </c>
      <c r="C932" s="2452" t="e">
        <f>#REF!+#REF!</f>
        <v>#REF!</v>
      </c>
      <c r="D932" s="2449">
        <f>IF(A932='Data Entry - SOF'!B$2,'Data Entry - SOF'!C$64,0)</f>
        <v>0</v>
      </c>
      <c r="E932" s="2450">
        <f t="shared" si="177"/>
        <v>1398172</v>
      </c>
      <c r="F932" s="2212" t="e">
        <f>IF('Report-M&amp;O1718'!C$18-'Report-SOF1718'!D$55&lt;=0,0,'Report-M&amp;O1718'!C$18-'Report-SOF1718'!D$55)</f>
        <v>#DIV/0!</v>
      </c>
      <c r="G932" s="2452" t="e">
        <f t="shared" si="169"/>
        <v>#DIV/0!</v>
      </c>
      <c r="H932" s="2449">
        <f>IF(A932='Data Entry - SOF'!B$2,'Data Entry - SOF'!E$64,0)</f>
        <v>0</v>
      </c>
      <c r="I932" s="1687">
        <f t="shared" si="170"/>
        <v>1398172</v>
      </c>
      <c r="J932" s="2212" t="e">
        <f>IF('Report-M&amp;O1819'!C$18-'Report-SOF1819'!D$55&lt;=0,0,'Report-M&amp;O1819'!C$18-'Report-SOF1819'!D$55)</f>
        <v>#DIV/0!</v>
      </c>
      <c r="K932" s="2452" t="e">
        <f t="shared" si="171"/>
        <v>#DIV/0!</v>
      </c>
      <c r="L932" s="2449">
        <f>IF(A932='Data Entry - SOF'!B$2,'Data Entry - SOF'!G$64,0)</f>
        <v>0</v>
      </c>
      <c r="M932" s="1371">
        <f t="shared" si="172"/>
        <v>1398172</v>
      </c>
      <c r="N932" s="2212" t="e">
        <f>IF('Report-M&amp;O1920'!C$18-'Report-SOF1920'!D$55&lt;=0,0,'Report-M&amp;O1920'!C$18-'Report-SOF1920'!D$55)</f>
        <v>#DIV/0!</v>
      </c>
      <c r="O932" s="2452" t="e">
        <f t="shared" si="173"/>
        <v>#DIV/0!</v>
      </c>
      <c r="P932" s="2449">
        <f>IF(A932='Data Entry - SOF'!B$2,'Data Entry - SOF'!I$64,0)</f>
        <v>0</v>
      </c>
      <c r="Q932" s="1687">
        <f t="shared" si="168"/>
        <v>1398172</v>
      </c>
      <c r="R932" s="2212" t="e">
        <f>IF('Report-M&amp;O2021'!C$18-'Report-SOF2021'!D$55&lt;=0,0,'Report-M&amp;O2021'!C$18-'Report-SOF2021'!D$55)</f>
        <v>#DIV/0!</v>
      </c>
      <c r="S932" s="2452" t="e">
        <f t="shared" si="174"/>
        <v>#DIV/0!</v>
      </c>
      <c r="T932" s="1708">
        <f>IF(A932='Data Entry - SOF'!B$2,'Data Entry - SOF'!K$64,0)</f>
        <v>0</v>
      </c>
      <c r="U932" s="1687">
        <f t="shared" si="178"/>
        <v>1398172</v>
      </c>
      <c r="V932" s="2212" t="e">
        <f>IF('Report-M&amp;O2122'!C$18-'Report-SOF2122'!D$55&lt;=0,0,'Report-M&amp;O2122'!C$18-'Report-SOF2122'!D$55)</f>
        <v>#DIV/0!</v>
      </c>
      <c r="W932" s="2452" t="e">
        <f t="shared" si="175"/>
        <v>#DIV/0!</v>
      </c>
      <c r="X932" s="1708">
        <f>IF(A932='Data Entry - SOF'!B$2,'Data Entry - SOF'!M$64,0)</f>
        <v>0</v>
      </c>
      <c r="Y932" s="1371" t="e">
        <f t="shared" si="176"/>
        <v>#DIV/0!</v>
      </c>
      <c r="Z932" s="2212" t="e">
        <f>IF('Report-M&amp;O2223'!C$18-'Report-SOF2223'!D$55&lt;=0,0,'Report-M&amp;O2223'!C$18-'Report-SOF2223'!D$55)</f>
        <v>#DIV/0!</v>
      </c>
      <c r="AA932" s="1708">
        <f>IF(A932='Data Entry - SOF'!B$2,'Data Entry - SOF'!O$64,0)</f>
        <v>0</v>
      </c>
    </row>
    <row r="933" spans="1:27" ht="15.75">
      <c r="A933" s="1076" t="s">
        <v>1232</v>
      </c>
      <c r="B933">
        <v>34884674</v>
      </c>
      <c r="C933" s="2452" t="e">
        <f>#REF!+#REF!</f>
        <v>#REF!</v>
      </c>
      <c r="D933" s="2449">
        <f>IF(A933='Data Entry - SOF'!B$2,'Data Entry - SOF'!C$64,0)</f>
        <v>0</v>
      </c>
      <c r="E933" s="2450">
        <f t="shared" si="177"/>
        <v>34884674</v>
      </c>
      <c r="F933" s="2212" t="e">
        <f>IF('Report-M&amp;O1718'!C$18-'Report-SOF1718'!D$55&lt;=0,0,'Report-M&amp;O1718'!C$18-'Report-SOF1718'!D$55)</f>
        <v>#DIV/0!</v>
      </c>
      <c r="G933" s="2452" t="e">
        <f t="shared" si="169"/>
        <v>#DIV/0!</v>
      </c>
      <c r="H933" s="2449">
        <f>IF(A933='Data Entry - SOF'!B$2,'Data Entry - SOF'!E$64,0)</f>
        <v>0</v>
      </c>
      <c r="I933" s="1687">
        <f t="shared" si="170"/>
        <v>34884674</v>
      </c>
      <c r="J933" s="2212" t="e">
        <f>IF('Report-M&amp;O1819'!C$18-'Report-SOF1819'!D$55&lt;=0,0,'Report-M&amp;O1819'!C$18-'Report-SOF1819'!D$55)</f>
        <v>#DIV/0!</v>
      </c>
      <c r="K933" s="2452" t="e">
        <f t="shared" si="171"/>
        <v>#DIV/0!</v>
      </c>
      <c r="L933" s="2449">
        <f>IF(A933='Data Entry - SOF'!B$2,'Data Entry - SOF'!G$64,0)</f>
        <v>0</v>
      </c>
      <c r="M933" s="1371">
        <f t="shared" si="172"/>
        <v>34884674</v>
      </c>
      <c r="N933" s="2212" t="e">
        <f>IF('Report-M&amp;O1920'!C$18-'Report-SOF1920'!D$55&lt;=0,0,'Report-M&amp;O1920'!C$18-'Report-SOF1920'!D$55)</f>
        <v>#DIV/0!</v>
      </c>
      <c r="O933" s="2452" t="e">
        <f t="shared" si="173"/>
        <v>#DIV/0!</v>
      </c>
      <c r="P933" s="2449">
        <f>IF(A933='Data Entry - SOF'!B$2,'Data Entry - SOF'!I$64,0)</f>
        <v>0</v>
      </c>
      <c r="Q933" s="1687">
        <f t="shared" si="168"/>
        <v>34884674</v>
      </c>
      <c r="R933" s="2212" t="e">
        <f>IF('Report-M&amp;O2021'!C$18-'Report-SOF2021'!D$55&lt;=0,0,'Report-M&amp;O2021'!C$18-'Report-SOF2021'!D$55)</f>
        <v>#DIV/0!</v>
      </c>
      <c r="S933" s="2452" t="e">
        <f t="shared" si="174"/>
        <v>#DIV/0!</v>
      </c>
      <c r="T933" s="1708">
        <f>IF(A933='Data Entry - SOF'!B$2,'Data Entry - SOF'!K$64,0)</f>
        <v>0</v>
      </c>
      <c r="U933" s="1687">
        <f t="shared" si="178"/>
        <v>34884674</v>
      </c>
      <c r="V933" s="2212" t="e">
        <f>IF('Report-M&amp;O2122'!C$18-'Report-SOF2122'!D$55&lt;=0,0,'Report-M&amp;O2122'!C$18-'Report-SOF2122'!D$55)</f>
        <v>#DIV/0!</v>
      </c>
      <c r="W933" s="2452" t="e">
        <f t="shared" si="175"/>
        <v>#DIV/0!</v>
      </c>
      <c r="X933" s="1708">
        <f>IF(A933='Data Entry - SOF'!B$2,'Data Entry - SOF'!M$64,0)</f>
        <v>0</v>
      </c>
      <c r="Y933" s="1371" t="e">
        <f t="shared" si="176"/>
        <v>#DIV/0!</v>
      </c>
      <c r="Z933" s="2212" t="e">
        <f>IF('Report-M&amp;O2223'!C$18-'Report-SOF2223'!D$55&lt;=0,0,'Report-M&amp;O2223'!C$18-'Report-SOF2223'!D$55)</f>
        <v>#DIV/0!</v>
      </c>
      <c r="AA933" s="1708">
        <f>IF(A933='Data Entry - SOF'!B$2,'Data Entry - SOF'!O$64,0)</f>
        <v>0</v>
      </c>
    </row>
    <row r="934" spans="1:27" ht="15.75">
      <c r="A934" s="1076" t="s">
        <v>1233</v>
      </c>
      <c r="B934">
        <v>18884248</v>
      </c>
      <c r="C934" s="2452" t="e">
        <f>#REF!+#REF!</f>
        <v>#REF!</v>
      </c>
      <c r="D934" s="2449">
        <f>IF(A934='Data Entry - SOF'!B$2,'Data Entry - SOF'!C$64,0)</f>
        <v>0</v>
      </c>
      <c r="E934" s="2450">
        <f t="shared" si="177"/>
        <v>18884248</v>
      </c>
      <c r="F934" s="2212" t="e">
        <f>IF('Report-M&amp;O1718'!C$18-'Report-SOF1718'!D$55&lt;=0,0,'Report-M&amp;O1718'!C$18-'Report-SOF1718'!D$55)</f>
        <v>#DIV/0!</v>
      </c>
      <c r="G934" s="2452" t="e">
        <f t="shared" si="169"/>
        <v>#DIV/0!</v>
      </c>
      <c r="H934" s="2449">
        <f>IF(A934='Data Entry - SOF'!B$2,'Data Entry - SOF'!E$64,0)</f>
        <v>0</v>
      </c>
      <c r="I934" s="1687">
        <f t="shared" si="170"/>
        <v>18884248</v>
      </c>
      <c r="J934" s="2212" t="e">
        <f>IF('Report-M&amp;O1819'!C$18-'Report-SOF1819'!D$55&lt;=0,0,'Report-M&amp;O1819'!C$18-'Report-SOF1819'!D$55)</f>
        <v>#DIV/0!</v>
      </c>
      <c r="K934" s="2452" t="e">
        <f t="shared" si="171"/>
        <v>#DIV/0!</v>
      </c>
      <c r="L934" s="2449">
        <f>IF(A934='Data Entry - SOF'!B$2,'Data Entry - SOF'!G$64,0)</f>
        <v>0</v>
      </c>
      <c r="M934" s="1371">
        <f t="shared" si="172"/>
        <v>18884248</v>
      </c>
      <c r="N934" s="2212" t="e">
        <f>IF('Report-M&amp;O1920'!C$18-'Report-SOF1920'!D$55&lt;=0,0,'Report-M&amp;O1920'!C$18-'Report-SOF1920'!D$55)</f>
        <v>#DIV/0!</v>
      </c>
      <c r="O934" s="2452" t="e">
        <f t="shared" si="173"/>
        <v>#DIV/0!</v>
      </c>
      <c r="P934" s="2449">
        <f>IF(A934='Data Entry - SOF'!B$2,'Data Entry - SOF'!I$64,0)</f>
        <v>0</v>
      </c>
      <c r="Q934" s="1687">
        <f t="shared" si="168"/>
        <v>18884248</v>
      </c>
      <c r="R934" s="2212" t="e">
        <f>IF('Report-M&amp;O2021'!C$18-'Report-SOF2021'!D$55&lt;=0,0,'Report-M&amp;O2021'!C$18-'Report-SOF2021'!D$55)</f>
        <v>#DIV/0!</v>
      </c>
      <c r="S934" s="2452" t="e">
        <f t="shared" si="174"/>
        <v>#DIV/0!</v>
      </c>
      <c r="T934" s="1708">
        <f>IF(A934='Data Entry - SOF'!B$2,'Data Entry - SOF'!K$64,0)</f>
        <v>0</v>
      </c>
      <c r="U934" s="1687">
        <f t="shared" si="178"/>
        <v>18884248</v>
      </c>
      <c r="V934" s="2212" t="e">
        <f>IF('Report-M&amp;O2122'!C$18-'Report-SOF2122'!D$55&lt;=0,0,'Report-M&amp;O2122'!C$18-'Report-SOF2122'!D$55)</f>
        <v>#DIV/0!</v>
      </c>
      <c r="W934" s="2452" t="e">
        <f t="shared" si="175"/>
        <v>#DIV/0!</v>
      </c>
      <c r="X934" s="1708">
        <f>IF(A934='Data Entry - SOF'!B$2,'Data Entry - SOF'!M$64,0)</f>
        <v>0</v>
      </c>
      <c r="Y934" s="1371" t="e">
        <f t="shared" si="176"/>
        <v>#DIV/0!</v>
      </c>
      <c r="Z934" s="2212" t="e">
        <f>IF('Report-M&amp;O2223'!C$18-'Report-SOF2223'!D$55&lt;=0,0,'Report-M&amp;O2223'!C$18-'Report-SOF2223'!D$55)</f>
        <v>#DIV/0!</v>
      </c>
      <c r="AA934" s="1708">
        <f>IF(A934='Data Entry - SOF'!B$2,'Data Entry - SOF'!O$64,0)</f>
        <v>0</v>
      </c>
    </row>
    <row r="935" spans="1:27" ht="15.75">
      <c r="A935" s="1076" t="s">
        <v>63</v>
      </c>
      <c r="B935">
        <v>1317045</v>
      </c>
      <c r="C935" s="2452" t="e">
        <f>#REF!+#REF!</f>
        <v>#REF!</v>
      </c>
      <c r="D935" s="2449">
        <f>IF(A935='Data Entry - SOF'!B$2,'Data Entry - SOF'!C$64,0)</f>
        <v>0</v>
      </c>
      <c r="E935" s="2450">
        <f t="shared" si="177"/>
        <v>1317045</v>
      </c>
      <c r="F935" s="2212" t="e">
        <f>IF('Report-M&amp;O1718'!C$18-'Report-SOF1718'!D$55&lt;=0,0,'Report-M&amp;O1718'!C$18-'Report-SOF1718'!D$55)</f>
        <v>#DIV/0!</v>
      </c>
      <c r="G935" s="2452" t="e">
        <f t="shared" si="169"/>
        <v>#DIV/0!</v>
      </c>
      <c r="H935" s="2449">
        <f>IF(A935='Data Entry - SOF'!B$2,'Data Entry - SOF'!E$64,0)</f>
        <v>0</v>
      </c>
      <c r="I935" s="1687">
        <f t="shared" si="170"/>
        <v>1317045</v>
      </c>
      <c r="J935" s="2212" t="e">
        <f>IF('Report-M&amp;O1819'!C$18-'Report-SOF1819'!D$55&lt;=0,0,'Report-M&amp;O1819'!C$18-'Report-SOF1819'!D$55)</f>
        <v>#DIV/0!</v>
      </c>
      <c r="K935" s="2452" t="e">
        <f t="shared" si="171"/>
        <v>#DIV/0!</v>
      </c>
      <c r="L935" s="2449">
        <f>IF(A935='Data Entry - SOF'!B$2,'Data Entry - SOF'!G$64,0)</f>
        <v>0</v>
      </c>
      <c r="M935" s="1371">
        <f t="shared" si="172"/>
        <v>1317045</v>
      </c>
      <c r="N935" s="2212" t="e">
        <f>IF('Report-M&amp;O1920'!C$18-'Report-SOF1920'!D$55&lt;=0,0,'Report-M&amp;O1920'!C$18-'Report-SOF1920'!D$55)</f>
        <v>#DIV/0!</v>
      </c>
      <c r="O935" s="2452" t="e">
        <f t="shared" si="173"/>
        <v>#DIV/0!</v>
      </c>
      <c r="P935" s="2449">
        <f>IF(A935='Data Entry - SOF'!B$2,'Data Entry - SOF'!I$64,0)</f>
        <v>0</v>
      </c>
      <c r="Q935" s="1687">
        <f t="shared" si="168"/>
        <v>1317045</v>
      </c>
      <c r="R935" s="2212" t="e">
        <f>IF('Report-M&amp;O2021'!C$18-'Report-SOF2021'!D$55&lt;=0,0,'Report-M&amp;O2021'!C$18-'Report-SOF2021'!D$55)</f>
        <v>#DIV/0!</v>
      </c>
      <c r="S935" s="2452" t="e">
        <f t="shared" si="174"/>
        <v>#DIV/0!</v>
      </c>
      <c r="T935" s="1708">
        <f>IF(A935='Data Entry - SOF'!B$2,'Data Entry - SOF'!K$64,0)</f>
        <v>0</v>
      </c>
      <c r="U935" s="1687">
        <f t="shared" si="178"/>
        <v>1317045</v>
      </c>
      <c r="V935" s="2212" t="e">
        <f>IF('Report-M&amp;O2122'!C$18-'Report-SOF2122'!D$55&lt;=0,0,'Report-M&amp;O2122'!C$18-'Report-SOF2122'!D$55)</f>
        <v>#DIV/0!</v>
      </c>
      <c r="W935" s="2452" t="e">
        <f t="shared" si="175"/>
        <v>#DIV/0!</v>
      </c>
      <c r="X935" s="1708">
        <f>IF(A935='Data Entry - SOF'!B$2,'Data Entry - SOF'!M$64,0)</f>
        <v>0</v>
      </c>
      <c r="Y935" s="1371" t="e">
        <f t="shared" si="176"/>
        <v>#DIV/0!</v>
      </c>
      <c r="Z935" s="2212" t="e">
        <f>IF('Report-M&amp;O2223'!C$18-'Report-SOF2223'!D$55&lt;=0,0,'Report-M&amp;O2223'!C$18-'Report-SOF2223'!D$55)</f>
        <v>#DIV/0!</v>
      </c>
      <c r="AA935" s="1708">
        <f>IF(A935='Data Entry - SOF'!B$2,'Data Entry - SOF'!O$64,0)</f>
        <v>0</v>
      </c>
    </row>
    <row r="936" spans="1:27" ht="15.75">
      <c r="A936" s="1076" t="s">
        <v>1737</v>
      </c>
      <c r="B936">
        <v>26572</v>
      </c>
      <c r="C936" s="2452" t="e">
        <f>#REF!+#REF!</f>
        <v>#REF!</v>
      </c>
      <c r="D936" s="2449">
        <f>IF(A936='Data Entry - SOF'!B$2,'Data Entry - SOF'!C$64,0)</f>
        <v>0</v>
      </c>
      <c r="E936" s="2450">
        <f t="shared" si="177"/>
        <v>26572</v>
      </c>
      <c r="F936" s="2212" t="e">
        <f>IF('Report-M&amp;O1718'!C$18-'Report-SOF1718'!D$55&lt;=0,0,'Report-M&amp;O1718'!C$18-'Report-SOF1718'!D$55)</f>
        <v>#DIV/0!</v>
      </c>
      <c r="G936" s="2452" t="e">
        <f t="shared" si="169"/>
        <v>#DIV/0!</v>
      </c>
      <c r="H936" s="2449">
        <f>IF(A936='Data Entry - SOF'!B$2,'Data Entry - SOF'!E$64,0)</f>
        <v>0</v>
      </c>
      <c r="I936" s="1687">
        <f t="shared" si="170"/>
        <v>26572</v>
      </c>
      <c r="J936" s="2212" t="e">
        <f>IF('Report-M&amp;O1819'!C$18-'Report-SOF1819'!D$55&lt;=0,0,'Report-M&amp;O1819'!C$18-'Report-SOF1819'!D$55)</f>
        <v>#DIV/0!</v>
      </c>
      <c r="K936" s="2452" t="e">
        <f t="shared" si="171"/>
        <v>#DIV/0!</v>
      </c>
      <c r="L936" s="2449">
        <f>IF(A936='Data Entry - SOF'!B$2,'Data Entry - SOF'!G$64,0)</f>
        <v>0</v>
      </c>
      <c r="M936" s="1371">
        <f t="shared" si="172"/>
        <v>26572</v>
      </c>
      <c r="N936" s="2212" t="e">
        <f>IF('Report-M&amp;O1920'!C$18-'Report-SOF1920'!D$55&lt;=0,0,'Report-M&amp;O1920'!C$18-'Report-SOF1920'!D$55)</f>
        <v>#DIV/0!</v>
      </c>
      <c r="O936" s="2452" t="e">
        <f t="shared" si="173"/>
        <v>#DIV/0!</v>
      </c>
      <c r="P936" s="2449">
        <f>IF(A936='Data Entry - SOF'!B$2,'Data Entry - SOF'!I$64,0)</f>
        <v>0</v>
      </c>
      <c r="Q936" s="1687">
        <f t="shared" si="168"/>
        <v>26572</v>
      </c>
      <c r="R936" s="2212" t="e">
        <f>IF('Report-M&amp;O2021'!C$18-'Report-SOF2021'!D$55&lt;=0,0,'Report-M&amp;O2021'!C$18-'Report-SOF2021'!D$55)</f>
        <v>#DIV/0!</v>
      </c>
      <c r="S936" s="2452" t="e">
        <f t="shared" si="174"/>
        <v>#DIV/0!</v>
      </c>
      <c r="T936" s="1708">
        <f>IF(A936='Data Entry - SOF'!B$2,'Data Entry - SOF'!K$64,0)</f>
        <v>0</v>
      </c>
      <c r="U936" s="1687">
        <f t="shared" si="178"/>
        <v>26572</v>
      </c>
      <c r="V936" s="2212" t="e">
        <f>IF('Report-M&amp;O2122'!C$18-'Report-SOF2122'!D$55&lt;=0,0,'Report-M&amp;O2122'!C$18-'Report-SOF2122'!D$55)</f>
        <v>#DIV/0!</v>
      </c>
      <c r="W936" s="2452" t="e">
        <f t="shared" si="175"/>
        <v>#DIV/0!</v>
      </c>
      <c r="X936" s="1708">
        <f>IF(A936='Data Entry - SOF'!B$2,'Data Entry - SOF'!M$64,0)</f>
        <v>0</v>
      </c>
      <c r="Y936" s="1371" t="e">
        <f t="shared" si="176"/>
        <v>#DIV/0!</v>
      </c>
      <c r="Z936" s="2212" t="e">
        <f>IF('Report-M&amp;O2223'!C$18-'Report-SOF2223'!D$55&lt;=0,0,'Report-M&amp;O2223'!C$18-'Report-SOF2223'!D$55)</f>
        <v>#DIV/0!</v>
      </c>
      <c r="AA936" s="1708">
        <f>IF(A936='Data Entry - SOF'!B$2,'Data Entry - SOF'!O$64,0)</f>
        <v>0</v>
      </c>
    </row>
    <row r="937" spans="1:27" ht="15.75">
      <c r="A937" s="1076" t="s">
        <v>1714</v>
      </c>
      <c r="B937">
        <v>1507791</v>
      </c>
      <c r="C937" s="2452" t="e">
        <f>#REF!+#REF!</f>
        <v>#REF!</v>
      </c>
      <c r="D937" s="2449">
        <f>IF(A937='Data Entry - SOF'!B$2,'Data Entry - SOF'!C$64,0)</f>
        <v>0</v>
      </c>
      <c r="E937" s="2450">
        <f t="shared" si="177"/>
        <v>1507791</v>
      </c>
      <c r="F937" s="2212" t="e">
        <f>IF('Report-M&amp;O1718'!C$18-'Report-SOF1718'!D$55&lt;=0,0,'Report-M&amp;O1718'!C$18-'Report-SOF1718'!D$55)</f>
        <v>#DIV/0!</v>
      </c>
      <c r="G937" s="2452" t="e">
        <f t="shared" si="169"/>
        <v>#DIV/0!</v>
      </c>
      <c r="H937" s="2449">
        <f>IF(A937='Data Entry - SOF'!B$2,'Data Entry - SOF'!E$64,0)</f>
        <v>0</v>
      </c>
      <c r="I937" s="1687">
        <f t="shared" si="170"/>
        <v>1507791</v>
      </c>
      <c r="J937" s="2212" t="e">
        <f>IF('Report-M&amp;O1819'!C$18-'Report-SOF1819'!D$55&lt;=0,0,'Report-M&amp;O1819'!C$18-'Report-SOF1819'!D$55)</f>
        <v>#DIV/0!</v>
      </c>
      <c r="K937" s="2452" t="e">
        <f t="shared" si="171"/>
        <v>#DIV/0!</v>
      </c>
      <c r="L937" s="2449">
        <f>IF(A937='Data Entry - SOF'!B$2,'Data Entry - SOF'!G$64,0)</f>
        <v>0</v>
      </c>
      <c r="M937" s="1371">
        <f t="shared" si="172"/>
        <v>1507791</v>
      </c>
      <c r="N937" s="2212" t="e">
        <f>IF('Report-M&amp;O1920'!C$18-'Report-SOF1920'!D$55&lt;=0,0,'Report-M&amp;O1920'!C$18-'Report-SOF1920'!D$55)</f>
        <v>#DIV/0!</v>
      </c>
      <c r="O937" s="2452" t="e">
        <f t="shared" si="173"/>
        <v>#DIV/0!</v>
      </c>
      <c r="P937" s="2449">
        <f>IF(A937='Data Entry - SOF'!B$2,'Data Entry - SOF'!I$64,0)</f>
        <v>0</v>
      </c>
      <c r="Q937" s="1687">
        <f t="shared" si="168"/>
        <v>1507791</v>
      </c>
      <c r="R937" s="2212" t="e">
        <f>IF('Report-M&amp;O2021'!C$18-'Report-SOF2021'!D$55&lt;=0,0,'Report-M&amp;O2021'!C$18-'Report-SOF2021'!D$55)</f>
        <v>#DIV/0!</v>
      </c>
      <c r="S937" s="2452" t="e">
        <f t="shared" si="174"/>
        <v>#DIV/0!</v>
      </c>
      <c r="T937" s="1708">
        <f>IF(A937='Data Entry - SOF'!B$2,'Data Entry - SOF'!K$64,0)</f>
        <v>0</v>
      </c>
      <c r="U937" s="1687">
        <f t="shared" si="178"/>
        <v>1507791</v>
      </c>
      <c r="V937" s="2212" t="e">
        <f>IF('Report-M&amp;O2122'!C$18-'Report-SOF2122'!D$55&lt;=0,0,'Report-M&amp;O2122'!C$18-'Report-SOF2122'!D$55)</f>
        <v>#DIV/0!</v>
      </c>
      <c r="W937" s="2452" t="e">
        <f t="shared" si="175"/>
        <v>#DIV/0!</v>
      </c>
      <c r="X937" s="1708">
        <f>IF(A937='Data Entry - SOF'!B$2,'Data Entry - SOF'!M$64,0)</f>
        <v>0</v>
      </c>
      <c r="Y937" s="1371" t="e">
        <f t="shared" si="176"/>
        <v>#DIV/0!</v>
      </c>
      <c r="Z937" s="2212" t="e">
        <f>IF('Report-M&amp;O2223'!C$18-'Report-SOF2223'!D$55&lt;=0,0,'Report-M&amp;O2223'!C$18-'Report-SOF2223'!D$55)</f>
        <v>#DIV/0!</v>
      </c>
      <c r="AA937" s="1708">
        <f>IF(A937='Data Entry - SOF'!B$2,'Data Entry - SOF'!O$64,0)</f>
        <v>0</v>
      </c>
    </row>
    <row r="938" spans="1:27" ht="15.75">
      <c r="A938" s="1076" t="s">
        <v>1495</v>
      </c>
      <c r="B938">
        <v>348554</v>
      </c>
      <c r="C938" s="2452" t="e">
        <f>#REF!+#REF!</f>
        <v>#REF!</v>
      </c>
      <c r="D938" s="2449">
        <f>IF(A938='Data Entry - SOF'!B$2,'Data Entry - SOF'!C$64,0)</f>
        <v>0</v>
      </c>
      <c r="E938" s="2450">
        <f t="shared" si="177"/>
        <v>348554</v>
      </c>
      <c r="F938" s="2212" t="e">
        <f>IF('Report-M&amp;O1718'!C$18-'Report-SOF1718'!D$55&lt;=0,0,'Report-M&amp;O1718'!C$18-'Report-SOF1718'!D$55)</f>
        <v>#DIV/0!</v>
      </c>
      <c r="G938" s="2452" t="e">
        <f t="shared" si="169"/>
        <v>#DIV/0!</v>
      </c>
      <c r="H938" s="2449">
        <f>IF(A938='Data Entry - SOF'!B$2,'Data Entry - SOF'!E$64,0)</f>
        <v>0</v>
      </c>
      <c r="I938" s="1687">
        <f t="shared" si="170"/>
        <v>348554</v>
      </c>
      <c r="J938" s="2212" t="e">
        <f>IF('Report-M&amp;O1819'!C$18-'Report-SOF1819'!D$55&lt;=0,0,'Report-M&amp;O1819'!C$18-'Report-SOF1819'!D$55)</f>
        <v>#DIV/0!</v>
      </c>
      <c r="K938" s="2452" t="e">
        <f t="shared" si="171"/>
        <v>#DIV/0!</v>
      </c>
      <c r="L938" s="2449">
        <f>IF(A938='Data Entry - SOF'!B$2,'Data Entry - SOF'!G$64,0)</f>
        <v>0</v>
      </c>
      <c r="M938" s="1371">
        <f t="shared" si="172"/>
        <v>348554</v>
      </c>
      <c r="N938" s="2212" t="e">
        <f>IF('Report-M&amp;O1920'!C$18-'Report-SOF1920'!D$55&lt;=0,0,'Report-M&amp;O1920'!C$18-'Report-SOF1920'!D$55)</f>
        <v>#DIV/0!</v>
      </c>
      <c r="O938" s="2452" t="e">
        <f t="shared" si="173"/>
        <v>#DIV/0!</v>
      </c>
      <c r="P938" s="2449">
        <f>IF(A938='Data Entry - SOF'!B$2,'Data Entry - SOF'!I$64,0)</f>
        <v>0</v>
      </c>
      <c r="Q938" s="1687">
        <f t="shared" si="168"/>
        <v>348554</v>
      </c>
      <c r="R938" s="2212" t="e">
        <f>IF('Report-M&amp;O2021'!C$18-'Report-SOF2021'!D$55&lt;=0,0,'Report-M&amp;O2021'!C$18-'Report-SOF2021'!D$55)</f>
        <v>#DIV/0!</v>
      </c>
      <c r="S938" s="2452" t="e">
        <f t="shared" si="174"/>
        <v>#DIV/0!</v>
      </c>
      <c r="T938" s="1708">
        <f>IF(A938='Data Entry - SOF'!B$2,'Data Entry - SOF'!K$64,0)</f>
        <v>0</v>
      </c>
      <c r="U938" s="1687">
        <f t="shared" si="178"/>
        <v>348554</v>
      </c>
      <c r="V938" s="2212" t="e">
        <f>IF('Report-M&amp;O2122'!C$18-'Report-SOF2122'!D$55&lt;=0,0,'Report-M&amp;O2122'!C$18-'Report-SOF2122'!D$55)</f>
        <v>#DIV/0!</v>
      </c>
      <c r="W938" s="2452" t="e">
        <f t="shared" si="175"/>
        <v>#DIV/0!</v>
      </c>
      <c r="X938" s="1708">
        <f>IF(A938='Data Entry - SOF'!B$2,'Data Entry - SOF'!M$64,0)</f>
        <v>0</v>
      </c>
      <c r="Y938" s="1371" t="e">
        <f t="shared" si="176"/>
        <v>#DIV/0!</v>
      </c>
      <c r="Z938" s="2212" t="e">
        <f>IF('Report-M&amp;O2223'!C$18-'Report-SOF2223'!D$55&lt;=0,0,'Report-M&amp;O2223'!C$18-'Report-SOF2223'!D$55)</f>
        <v>#DIV/0!</v>
      </c>
      <c r="AA938" s="1708">
        <f>IF(A938='Data Entry - SOF'!B$2,'Data Entry - SOF'!O$64,0)</f>
        <v>0</v>
      </c>
    </row>
    <row r="939" spans="1:27" ht="15.75">
      <c r="A939" s="1076" t="s">
        <v>530</v>
      </c>
      <c r="B939">
        <v>624868</v>
      </c>
      <c r="C939" s="2452" t="e">
        <f>#REF!+#REF!</f>
        <v>#REF!</v>
      </c>
      <c r="D939" s="2449">
        <f>IF(A939='Data Entry - SOF'!B$2,'Data Entry - SOF'!C$64,0)</f>
        <v>0</v>
      </c>
      <c r="E939" s="2450">
        <f t="shared" si="177"/>
        <v>624868</v>
      </c>
      <c r="F939" s="2212" t="e">
        <f>IF('Report-M&amp;O1718'!C$18-'Report-SOF1718'!D$55&lt;=0,0,'Report-M&amp;O1718'!C$18-'Report-SOF1718'!D$55)</f>
        <v>#DIV/0!</v>
      </c>
      <c r="G939" s="2452" t="e">
        <f t="shared" si="169"/>
        <v>#DIV/0!</v>
      </c>
      <c r="H939" s="2449">
        <f>IF(A939='Data Entry - SOF'!B$2,'Data Entry - SOF'!E$64,0)</f>
        <v>0</v>
      </c>
      <c r="I939" s="1687">
        <f t="shared" si="170"/>
        <v>624868</v>
      </c>
      <c r="J939" s="2212" t="e">
        <f>IF('Report-M&amp;O1819'!C$18-'Report-SOF1819'!D$55&lt;=0,0,'Report-M&amp;O1819'!C$18-'Report-SOF1819'!D$55)</f>
        <v>#DIV/0!</v>
      </c>
      <c r="K939" s="2452" t="e">
        <f t="shared" si="171"/>
        <v>#DIV/0!</v>
      </c>
      <c r="L939" s="2449">
        <f>IF(A939='Data Entry - SOF'!B$2,'Data Entry - SOF'!G$64,0)</f>
        <v>0</v>
      </c>
      <c r="M939" s="1371">
        <f t="shared" si="172"/>
        <v>624868</v>
      </c>
      <c r="N939" s="2212" t="e">
        <f>IF('Report-M&amp;O1920'!C$18-'Report-SOF1920'!D$55&lt;=0,0,'Report-M&amp;O1920'!C$18-'Report-SOF1920'!D$55)</f>
        <v>#DIV/0!</v>
      </c>
      <c r="O939" s="2452" t="e">
        <f t="shared" si="173"/>
        <v>#DIV/0!</v>
      </c>
      <c r="P939" s="2449">
        <f>IF(A939='Data Entry - SOF'!B$2,'Data Entry - SOF'!I$64,0)</f>
        <v>0</v>
      </c>
      <c r="Q939" s="1687">
        <f t="shared" si="168"/>
        <v>624868</v>
      </c>
      <c r="R939" s="2212" t="e">
        <f>IF('Report-M&amp;O2021'!C$18-'Report-SOF2021'!D$55&lt;=0,0,'Report-M&amp;O2021'!C$18-'Report-SOF2021'!D$55)</f>
        <v>#DIV/0!</v>
      </c>
      <c r="S939" s="2452" t="e">
        <f t="shared" si="174"/>
        <v>#DIV/0!</v>
      </c>
      <c r="T939" s="1708">
        <f>IF(A939='Data Entry - SOF'!B$2,'Data Entry - SOF'!K$64,0)</f>
        <v>0</v>
      </c>
      <c r="U939" s="1687">
        <f t="shared" si="178"/>
        <v>624868</v>
      </c>
      <c r="V939" s="2212" t="e">
        <f>IF('Report-M&amp;O2122'!C$18-'Report-SOF2122'!D$55&lt;=0,0,'Report-M&amp;O2122'!C$18-'Report-SOF2122'!D$55)</f>
        <v>#DIV/0!</v>
      </c>
      <c r="W939" s="2452" t="e">
        <f t="shared" si="175"/>
        <v>#DIV/0!</v>
      </c>
      <c r="X939" s="1708">
        <f>IF(A939='Data Entry - SOF'!B$2,'Data Entry - SOF'!M$64,0)</f>
        <v>0</v>
      </c>
      <c r="Y939" s="1371" t="e">
        <f t="shared" si="176"/>
        <v>#DIV/0!</v>
      </c>
      <c r="Z939" s="2212" t="e">
        <f>IF('Report-M&amp;O2223'!C$18-'Report-SOF2223'!D$55&lt;=0,0,'Report-M&amp;O2223'!C$18-'Report-SOF2223'!D$55)</f>
        <v>#DIV/0!</v>
      </c>
      <c r="AA939" s="1708">
        <f>IF(A939='Data Entry - SOF'!B$2,'Data Entry - SOF'!O$64,0)</f>
        <v>0</v>
      </c>
    </row>
    <row r="940" spans="1:27" ht="15.75">
      <c r="A940" s="1076" t="s">
        <v>940</v>
      </c>
      <c r="B940">
        <v>2067809</v>
      </c>
      <c r="C940" s="2452" t="e">
        <f>#REF!+#REF!</f>
        <v>#REF!</v>
      </c>
      <c r="D940" s="2449">
        <f>IF(A940='Data Entry - SOF'!B$2,'Data Entry - SOF'!C$64,0)</f>
        <v>0</v>
      </c>
      <c r="E940" s="2450">
        <f t="shared" si="177"/>
        <v>2067809</v>
      </c>
      <c r="F940" s="2212" t="e">
        <f>IF('Report-M&amp;O1718'!C$18-'Report-SOF1718'!D$55&lt;=0,0,'Report-M&amp;O1718'!C$18-'Report-SOF1718'!D$55)</f>
        <v>#DIV/0!</v>
      </c>
      <c r="G940" s="2452" t="e">
        <f t="shared" si="169"/>
        <v>#DIV/0!</v>
      </c>
      <c r="H940" s="2449">
        <f>IF(A940='Data Entry - SOF'!B$2,'Data Entry - SOF'!E$64,0)</f>
        <v>0</v>
      </c>
      <c r="I940" s="1687">
        <f t="shared" si="170"/>
        <v>2067809</v>
      </c>
      <c r="J940" s="2212" t="e">
        <f>IF('Report-M&amp;O1819'!C$18-'Report-SOF1819'!D$55&lt;=0,0,'Report-M&amp;O1819'!C$18-'Report-SOF1819'!D$55)</f>
        <v>#DIV/0!</v>
      </c>
      <c r="K940" s="2452" t="e">
        <f t="shared" si="171"/>
        <v>#DIV/0!</v>
      </c>
      <c r="L940" s="2449">
        <f>IF(A940='Data Entry - SOF'!B$2,'Data Entry - SOF'!G$64,0)</f>
        <v>0</v>
      </c>
      <c r="M940" s="1371">
        <f t="shared" si="172"/>
        <v>2067809</v>
      </c>
      <c r="N940" s="2212" t="e">
        <f>IF('Report-M&amp;O1920'!C$18-'Report-SOF1920'!D$55&lt;=0,0,'Report-M&amp;O1920'!C$18-'Report-SOF1920'!D$55)</f>
        <v>#DIV/0!</v>
      </c>
      <c r="O940" s="2452" t="e">
        <f t="shared" si="173"/>
        <v>#DIV/0!</v>
      </c>
      <c r="P940" s="2449">
        <f>IF(A940='Data Entry - SOF'!B$2,'Data Entry - SOF'!I$64,0)</f>
        <v>0</v>
      </c>
      <c r="Q940" s="1687">
        <f t="shared" si="168"/>
        <v>2067809</v>
      </c>
      <c r="R940" s="2212" t="e">
        <f>IF('Report-M&amp;O2021'!C$18-'Report-SOF2021'!D$55&lt;=0,0,'Report-M&amp;O2021'!C$18-'Report-SOF2021'!D$55)</f>
        <v>#DIV/0!</v>
      </c>
      <c r="S940" s="2452" t="e">
        <f t="shared" si="174"/>
        <v>#DIV/0!</v>
      </c>
      <c r="T940" s="1708">
        <f>IF(A940='Data Entry - SOF'!B$2,'Data Entry - SOF'!K$64,0)</f>
        <v>0</v>
      </c>
      <c r="U940" s="1687">
        <f t="shared" si="178"/>
        <v>2067809</v>
      </c>
      <c r="V940" s="2212" t="e">
        <f>IF('Report-M&amp;O2122'!C$18-'Report-SOF2122'!D$55&lt;=0,0,'Report-M&amp;O2122'!C$18-'Report-SOF2122'!D$55)</f>
        <v>#DIV/0!</v>
      </c>
      <c r="W940" s="2452" t="e">
        <f t="shared" si="175"/>
        <v>#DIV/0!</v>
      </c>
      <c r="X940" s="1708">
        <f>IF(A940='Data Entry - SOF'!B$2,'Data Entry - SOF'!M$64,0)</f>
        <v>0</v>
      </c>
      <c r="Y940" s="1371" t="e">
        <f t="shared" si="176"/>
        <v>#DIV/0!</v>
      </c>
      <c r="Z940" s="2212" t="e">
        <f>IF('Report-M&amp;O2223'!C$18-'Report-SOF2223'!D$55&lt;=0,0,'Report-M&amp;O2223'!C$18-'Report-SOF2223'!D$55)</f>
        <v>#DIV/0!</v>
      </c>
      <c r="AA940" s="1708">
        <f>IF(A940='Data Entry - SOF'!B$2,'Data Entry - SOF'!O$64,0)</f>
        <v>0</v>
      </c>
    </row>
    <row r="941" spans="1:27" ht="15.75">
      <c r="A941" s="1076" t="s">
        <v>943</v>
      </c>
      <c r="B941">
        <v>8708572</v>
      </c>
      <c r="C941" s="2452" t="e">
        <f>#REF!+#REF!</f>
        <v>#REF!</v>
      </c>
      <c r="D941" s="2449">
        <f>IF(A941='Data Entry - SOF'!B$2,'Data Entry - SOF'!C$64,0)</f>
        <v>0</v>
      </c>
      <c r="E941" s="2450">
        <f t="shared" si="177"/>
        <v>8708572</v>
      </c>
      <c r="F941" s="2212" t="e">
        <f>IF('Report-M&amp;O1718'!C$18-'Report-SOF1718'!D$55&lt;=0,0,'Report-M&amp;O1718'!C$18-'Report-SOF1718'!D$55)</f>
        <v>#DIV/0!</v>
      </c>
      <c r="G941" s="2452" t="e">
        <f t="shared" si="169"/>
        <v>#DIV/0!</v>
      </c>
      <c r="H941" s="2449">
        <f>IF(A941='Data Entry - SOF'!B$2,'Data Entry - SOF'!E$64,0)</f>
        <v>0</v>
      </c>
      <c r="I941" s="1687">
        <f t="shared" si="170"/>
        <v>8708572</v>
      </c>
      <c r="J941" s="2212" t="e">
        <f>IF('Report-M&amp;O1819'!C$18-'Report-SOF1819'!D$55&lt;=0,0,'Report-M&amp;O1819'!C$18-'Report-SOF1819'!D$55)</f>
        <v>#DIV/0!</v>
      </c>
      <c r="K941" s="2452" t="e">
        <f t="shared" si="171"/>
        <v>#DIV/0!</v>
      </c>
      <c r="L941" s="2449">
        <f>IF(A941='Data Entry - SOF'!B$2,'Data Entry - SOF'!G$64,0)</f>
        <v>0</v>
      </c>
      <c r="M941" s="1371">
        <f t="shared" si="172"/>
        <v>8708572</v>
      </c>
      <c r="N941" s="2212" t="e">
        <f>IF('Report-M&amp;O1920'!C$18-'Report-SOF1920'!D$55&lt;=0,0,'Report-M&amp;O1920'!C$18-'Report-SOF1920'!D$55)</f>
        <v>#DIV/0!</v>
      </c>
      <c r="O941" s="2452" t="e">
        <f t="shared" si="173"/>
        <v>#DIV/0!</v>
      </c>
      <c r="P941" s="2449">
        <f>IF(A941='Data Entry - SOF'!B$2,'Data Entry - SOF'!I$64,0)</f>
        <v>0</v>
      </c>
      <c r="Q941" s="1687">
        <f t="shared" si="168"/>
        <v>8708572</v>
      </c>
      <c r="R941" s="2212" t="e">
        <f>IF('Report-M&amp;O2021'!C$18-'Report-SOF2021'!D$55&lt;=0,0,'Report-M&amp;O2021'!C$18-'Report-SOF2021'!D$55)</f>
        <v>#DIV/0!</v>
      </c>
      <c r="S941" s="2452" t="e">
        <f t="shared" si="174"/>
        <v>#DIV/0!</v>
      </c>
      <c r="T941" s="1708">
        <f>IF(A941='Data Entry - SOF'!B$2,'Data Entry - SOF'!K$64,0)</f>
        <v>0</v>
      </c>
      <c r="U941" s="1687">
        <f t="shared" si="178"/>
        <v>8708572</v>
      </c>
      <c r="V941" s="2212" t="e">
        <f>IF('Report-M&amp;O2122'!C$18-'Report-SOF2122'!D$55&lt;=0,0,'Report-M&amp;O2122'!C$18-'Report-SOF2122'!D$55)</f>
        <v>#DIV/0!</v>
      </c>
      <c r="W941" s="2452" t="e">
        <f t="shared" si="175"/>
        <v>#DIV/0!</v>
      </c>
      <c r="X941" s="1708">
        <f>IF(A941='Data Entry - SOF'!B$2,'Data Entry - SOF'!M$64,0)</f>
        <v>0</v>
      </c>
      <c r="Y941" s="1371" t="e">
        <f t="shared" si="176"/>
        <v>#DIV/0!</v>
      </c>
      <c r="Z941" s="2212" t="e">
        <f>IF('Report-M&amp;O2223'!C$18-'Report-SOF2223'!D$55&lt;=0,0,'Report-M&amp;O2223'!C$18-'Report-SOF2223'!D$55)</f>
        <v>#DIV/0!</v>
      </c>
      <c r="AA941" s="1708">
        <f>IF(A941='Data Entry - SOF'!B$2,'Data Entry - SOF'!O$64,0)</f>
        <v>0</v>
      </c>
    </row>
    <row r="942" spans="1:27" ht="15.75">
      <c r="A942" s="1076" t="s">
        <v>944</v>
      </c>
      <c r="B942">
        <v>1168022</v>
      </c>
      <c r="C942" s="2452" t="e">
        <f>#REF!+#REF!</f>
        <v>#REF!</v>
      </c>
      <c r="D942" s="2449">
        <f>IF(A942='Data Entry - SOF'!B$2,'Data Entry - SOF'!C$64,0)</f>
        <v>0</v>
      </c>
      <c r="E942" s="2450">
        <f t="shared" si="177"/>
        <v>1168022</v>
      </c>
      <c r="F942" s="2212" t="e">
        <f>IF('Report-M&amp;O1718'!C$18-'Report-SOF1718'!D$55&lt;=0,0,'Report-M&amp;O1718'!C$18-'Report-SOF1718'!D$55)</f>
        <v>#DIV/0!</v>
      </c>
      <c r="G942" s="2452" t="e">
        <f t="shared" si="169"/>
        <v>#DIV/0!</v>
      </c>
      <c r="H942" s="2449">
        <f>IF(A942='Data Entry - SOF'!B$2,'Data Entry - SOF'!E$64,0)</f>
        <v>0</v>
      </c>
      <c r="I942" s="1687">
        <f t="shared" si="170"/>
        <v>1168022</v>
      </c>
      <c r="J942" s="2212" t="e">
        <f>IF('Report-M&amp;O1819'!C$18-'Report-SOF1819'!D$55&lt;=0,0,'Report-M&amp;O1819'!C$18-'Report-SOF1819'!D$55)</f>
        <v>#DIV/0!</v>
      </c>
      <c r="K942" s="2452" t="e">
        <f t="shared" si="171"/>
        <v>#DIV/0!</v>
      </c>
      <c r="L942" s="2449">
        <f>IF(A942='Data Entry - SOF'!B$2,'Data Entry - SOF'!G$64,0)</f>
        <v>0</v>
      </c>
      <c r="M942" s="1371">
        <f t="shared" si="172"/>
        <v>1168022</v>
      </c>
      <c r="N942" s="2212" t="e">
        <f>IF('Report-M&amp;O1920'!C$18-'Report-SOF1920'!D$55&lt;=0,0,'Report-M&amp;O1920'!C$18-'Report-SOF1920'!D$55)</f>
        <v>#DIV/0!</v>
      </c>
      <c r="O942" s="2452" t="e">
        <f t="shared" si="173"/>
        <v>#DIV/0!</v>
      </c>
      <c r="P942" s="2449">
        <f>IF(A942='Data Entry - SOF'!B$2,'Data Entry - SOF'!I$64,0)</f>
        <v>0</v>
      </c>
      <c r="Q942" s="1687">
        <f t="shared" si="168"/>
        <v>1168022</v>
      </c>
      <c r="R942" s="2212" t="e">
        <f>IF('Report-M&amp;O2021'!C$18-'Report-SOF2021'!D$55&lt;=0,0,'Report-M&amp;O2021'!C$18-'Report-SOF2021'!D$55)</f>
        <v>#DIV/0!</v>
      </c>
      <c r="S942" s="2452" t="e">
        <f t="shared" si="174"/>
        <v>#DIV/0!</v>
      </c>
      <c r="T942" s="1708">
        <f>IF(A942='Data Entry - SOF'!B$2,'Data Entry - SOF'!K$64,0)</f>
        <v>0</v>
      </c>
      <c r="U942" s="1687">
        <f t="shared" si="178"/>
        <v>1168022</v>
      </c>
      <c r="V942" s="2212" t="e">
        <f>IF('Report-M&amp;O2122'!C$18-'Report-SOF2122'!D$55&lt;=0,0,'Report-M&amp;O2122'!C$18-'Report-SOF2122'!D$55)</f>
        <v>#DIV/0!</v>
      </c>
      <c r="W942" s="2452" t="e">
        <f t="shared" si="175"/>
        <v>#DIV/0!</v>
      </c>
      <c r="X942" s="1708">
        <f>IF(A942='Data Entry - SOF'!B$2,'Data Entry - SOF'!M$64,0)</f>
        <v>0</v>
      </c>
      <c r="Y942" s="1371" t="e">
        <f t="shared" si="176"/>
        <v>#DIV/0!</v>
      </c>
      <c r="Z942" s="2212" t="e">
        <f>IF('Report-M&amp;O2223'!C$18-'Report-SOF2223'!D$55&lt;=0,0,'Report-M&amp;O2223'!C$18-'Report-SOF2223'!D$55)</f>
        <v>#DIV/0!</v>
      </c>
      <c r="AA942" s="1708">
        <f>IF(A942='Data Entry - SOF'!B$2,'Data Entry - SOF'!O$64,0)</f>
        <v>0</v>
      </c>
    </row>
    <row r="943" spans="1:27" ht="15.75">
      <c r="A943" s="1076" t="s">
        <v>1726</v>
      </c>
      <c r="B943">
        <v>616470</v>
      </c>
      <c r="C943" s="2452" t="e">
        <f>#REF!+#REF!</f>
        <v>#REF!</v>
      </c>
      <c r="D943" s="2449">
        <f>IF(A943='Data Entry - SOF'!B$2,'Data Entry - SOF'!C$64,0)</f>
        <v>0</v>
      </c>
      <c r="E943" s="2450">
        <f t="shared" si="177"/>
        <v>616470</v>
      </c>
      <c r="F943" s="2212" t="e">
        <f>IF('Report-M&amp;O1718'!C$18-'Report-SOF1718'!D$55&lt;=0,0,'Report-M&amp;O1718'!C$18-'Report-SOF1718'!D$55)</f>
        <v>#DIV/0!</v>
      </c>
      <c r="G943" s="2452" t="e">
        <f t="shared" si="169"/>
        <v>#DIV/0!</v>
      </c>
      <c r="H943" s="2449">
        <f>IF(A943='Data Entry - SOF'!B$2,'Data Entry - SOF'!E$64,0)</f>
        <v>0</v>
      </c>
      <c r="I943" s="1687">
        <f t="shared" si="170"/>
        <v>616470</v>
      </c>
      <c r="J943" s="2212" t="e">
        <f>IF('Report-M&amp;O1819'!C$18-'Report-SOF1819'!D$55&lt;=0,0,'Report-M&amp;O1819'!C$18-'Report-SOF1819'!D$55)</f>
        <v>#DIV/0!</v>
      </c>
      <c r="K943" s="2452" t="e">
        <f t="shared" si="171"/>
        <v>#DIV/0!</v>
      </c>
      <c r="L943" s="2449">
        <f>IF(A943='Data Entry - SOF'!B$2,'Data Entry - SOF'!G$64,0)</f>
        <v>0</v>
      </c>
      <c r="M943" s="1371">
        <f t="shared" si="172"/>
        <v>616470</v>
      </c>
      <c r="N943" s="2212" t="e">
        <f>IF('Report-M&amp;O1920'!C$18-'Report-SOF1920'!D$55&lt;=0,0,'Report-M&amp;O1920'!C$18-'Report-SOF1920'!D$55)</f>
        <v>#DIV/0!</v>
      </c>
      <c r="O943" s="2452" t="e">
        <f t="shared" si="173"/>
        <v>#DIV/0!</v>
      </c>
      <c r="P943" s="2449">
        <f>IF(A943='Data Entry - SOF'!B$2,'Data Entry - SOF'!I$64,0)</f>
        <v>0</v>
      </c>
      <c r="Q943" s="1687">
        <f t="shared" si="168"/>
        <v>616470</v>
      </c>
      <c r="R943" s="2212" t="e">
        <f>IF('Report-M&amp;O2021'!C$18-'Report-SOF2021'!D$55&lt;=0,0,'Report-M&amp;O2021'!C$18-'Report-SOF2021'!D$55)</f>
        <v>#DIV/0!</v>
      </c>
      <c r="S943" s="2452" t="e">
        <f t="shared" si="174"/>
        <v>#DIV/0!</v>
      </c>
      <c r="T943" s="1708">
        <f>IF(A943='Data Entry - SOF'!B$2,'Data Entry - SOF'!K$64,0)</f>
        <v>0</v>
      </c>
      <c r="U943" s="1687">
        <f t="shared" si="178"/>
        <v>616470</v>
      </c>
      <c r="V943" s="2212" t="e">
        <f>IF('Report-M&amp;O2122'!C$18-'Report-SOF2122'!D$55&lt;=0,0,'Report-M&amp;O2122'!C$18-'Report-SOF2122'!D$55)</f>
        <v>#DIV/0!</v>
      </c>
      <c r="W943" s="2452" t="e">
        <f t="shared" si="175"/>
        <v>#DIV/0!</v>
      </c>
      <c r="X943" s="1708">
        <f>IF(A943='Data Entry - SOF'!B$2,'Data Entry - SOF'!M$64,0)</f>
        <v>0</v>
      </c>
      <c r="Y943" s="1371" t="e">
        <f t="shared" si="176"/>
        <v>#DIV/0!</v>
      </c>
      <c r="Z943" s="2212" t="e">
        <f>IF('Report-M&amp;O2223'!C$18-'Report-SOF2223'!D$55&lt;=0,0,'Report-M&amp;O2223'!C$18-'Report-SOF2223'!D$55)</f>
        <v>#DIV/0!</v>
      </c>
      <c r="AA943" s="1708">
        <f>IF(A943='Data Entry - SOF'!B$2,'Data Entry - SOF'!O$64,0)</f>
        <v>0</v>
      </c>
    </row>
    <row r="944" spans="1:27" ht="15.75">
      <c r="A944" s="1076" t="s">
        <v>2097</v>
      </c>
      <c r="B944">
        <v>592402</v>
      </c>
      <c r="C944" s="2452" t="e">
        <f>#REF!+#REF!</f>
        <v>#REF!</v>
      </c>
      <c r="D944" s="2449">
        <f>IF(A944='Data Entry - SOF'!B$2,'Data Entry - SOF'!C$64,0)</f>
        <v>0</v>
      </c>
      <c r="E944" s="2450">
        <f t="shared" si="177"/>
        <v>592402</v>
      </c>
      <c r="F944" s="2212" t="e">
        <f>IF('Report-M&amp;O1718'!C$18-'Report-SOF1718'!D$55&lt;=0,0,'Report-M&amp;O1718'!C$18-'Report-SOF1718'!D$55)</f>
        <v>#DIV/0!</v>
      </c>
      <c r="G944" s="2452" t="e">
        <f t="shared" si="169"/>
        <v>#DIV/0!</v>
      </c>
      <c r="H944" s="2449">
        <f>IF(A944='Data Entry - SOF'!B$2,'Data Entry - SOF'!E$64,0)</f>
        <v>0</v>
      </c>
      <c r="I944" s="1687">
        <f t="shared" si="170"/>
        <v>592402</v>
      </c>
      <c r="J944" s="2212" t="e">
        <f>IF('Report-M&amp;O1819'!C$18-'Report-SOF1819'!D$55&lt;=0,0,'Report-M&amp;O1819'!C$18-'Report-SOF1819'!D$55)</f>
        <v>#DIV/0!</v>
      </c>
      <c r="K944" s="2452" t="e">
        <f t="shared" si="171"/>
        <v>#DIV/0!</v>
      </c>
      <c r="L944" s="2449">
        <f>IF(A944='Data Entry - SOF'!B$2,'Data Entry - SOF'!G$64,0)</f>
        <v>0</v>
      </c>
      <c r="M944" s="1371">
        <f t="shared" si="172"/>
        <v>592402</v>
      </c>
      <c r="N944" s="2212" t="e">
        <f>IF('Report-M&amp;O1920'!C$18-'Report-SOF1920'!D$55&lt;=0,0,'Report-M&amp;O1920'!C$18-'Report-SOF1920'!D$55)</f>
        <v>#DIV/0!</v>
      </c>
      <c r="O944" s="2452" t="e">
        <f t="shared" si="173"/>
        <v>#DIV/0!</v>
      </c>
      <c r="P944" s="2449">
        <f>IF(A944='Data Entry - SOF'!B$2,'Data Entry - SOF'!I$64,0)</f>
        <v>0</v>
      </c>
      <c r="Q944" s="1687">
        <f t="shared" si="168"/>
        <v>592402</v>
      </c>
      <c r="R944" s="2212" t="e">
        <f>IF('Report-M&amp;O2021'!C$18-'Report-SOF2021'!D$55&lt;=0,0,'Report-M&amp;O2021'!C$18-'Report-SOF2021'!D$55)</f>
        <v>#DIV/0!</v>
      </c>
      <c r="S944" s="2452" t="e">
        <f t="shared" si="174"/>
        <v>#DIV/0!</v>
      </c>
      <c r="T944" s="1708">
        <f>IF(A944='Data Entry - SOF'!B$2,'Data Entry - SOF'!K$64,0)</f>
        <v>0</v>
      </c>
      <c r="U944" s="1687">
        <f t="shared" si="178"/>
        <v>592402</v>
      </c>
      <c r="V944" s="2212" t="e">
        <f>IF('Report-M&amp;O2122'!C$18-'Report-SOF2122'!D$55&lt;=0,0,'Report-M&amp;O2122'!C$18-'Report-SOF2122'!D$55)</f>
        <v>#DIV/0!</v>
      </c>
      <c r="W944" s="2452" t="e">
        <f t="shared" si="175"/>
        <v>#DIV/0!</v>
      </c>
      <c r="X944" s="1708">
        <f>IF(A944='Data Entry - SOF'!B$2,'Data Entry - SOF'!M$64,0)</f>
        <v>0</v>
      </c>
      <c r="Y944" s="1371" t="e">
        <f t="shared" si="176"/>
        <v>#DIV/0!</v>
      </c>
      <c r="Z944" s="2212" t="e">
        <f>IF('Report-M&amp;O2223'!C$18-'Report-SOF2223'!D$55&lt;=0,0,'Report-M&amp;O2223'!C$18-'Report-SOF2223'!D$55)</f>
        <v>#DIV/0!</v>
      </c>
      <c r="AA944" s="1708">
        <f>IF(A944='Data Entry - SOF'!B$2,'Data Entry - SOF'!O$64,0)</f>
        <v>0</v>
      </c>
    </row>
    <row r="945" spans="1:27" ht="15.75">
      <c r="A945" s="1076" t="s">
        <v>945</v>
      </c>
      <c r="B945">
        <v>4225452</v>
      </c>
      <c r="C945" s="2452" t="e">
        <f>#REF!+#REF!</f>
        <v>#REF!</v>
      </c>
      <c r="D945" s="2449">
        <f>IF(A945='Data Entry - SOF'!B$2,'Data Entry - SOF'!C$64,0)</f>
        <v>0</v>
      </c>
      <c r="E945" s="2450">
        <f t="shared" si="177"/>
        <v>4225452</v>
      </c>
      <c r="F945" s="2212" t="e">
        <f>IF('Report-M&amp;O1718'!C$18-'Report-SOF1718'!D$55&lt;=0,0,'Report-M&amp;O1718'!C$18-'Report-SOF1718'!D$55)</f>
        <v>#DIV/0!</v>
      </c>
      <c r="G945" s="2452" t="e">
        <f t="shared" si="169"/>
        <v>#DIV/0!</v>
      </c>
      <c r="H945" s="2449">
        <f>IF(A945='Data Entry - SOF'!B$2,'Data Entry - SOF'!E$64,0)</f>
        <v>0</v>
      </c>
      <c r="I945" s="1687">
        <f t="shared" si="170"/>
        <v>4225452</v>
      </c>
      <c r="J945" s="2212" t="e">
        <f>IF('Report-M&amp;O1819'!C$18-'Report-SOF1819'!D$55&lt;=0,0,'Report-M&amp;O1819'!C$18-'Report-SOF1819'!D$55)</f>
        <v>#DIV/0!</v>
      </c>
      <c r="K945" s="2452" t="e">
        <f t="shared" si="171"/>
        <v>#DIV/0!</v>
      </c>
      <c r="L945" s="2449">
        <f>IF(A945='Data Entry - SOF'!B$2,'Data Entry - SOF'!G$64,0)</f>
        <v>0</v>
      </c>
      <c r="M945" s="1371">
        <f t="shared" si="172"/>
        <v>4225452</v>
      </c>
      <c r="N945" s="2212" t="e">
        <f>IF('Report-M&amp;O1920'!C$18-'Report-SOF1920'!D$55&lt;=0,0,'Report-M&amp;O1920'!C$18-'Report-SOF1920'!D$55)</f>
        <v>#DIV/0!</v>
      </c>
      <c r="O945" s="2452" t="e">
        <f t="shared" si="173"/>
        <v>#DIV/0!</v>
      </c>
      <c r="P945" s="2449">
        <f>IF(A945='Data Entry - SOF'!B$2,'Data Entry - SOF'!I$64,0)</f>
        <v>0</v>
      </c>
      <c r="Q945" s="1687">
        <f t="shared" si="168"/>
        <v>4225452</v>
      </c>
      <c r="R945" s="2212" t="e">
        <f>IF('Report-M&amp;O2021'!C$18-'Report-SOF2021'!D$55&lt;=0,0,'Report-M&amp;O2021'!C$18-'Report-SOF2021'!D$55)</f>
        <v>#DIV/0!</v>
      </c>
      <c r="S945" s="2452" t="e">
        <f t="shared" si="174"/>
        <v>#DIV/0!</v>
      </c>
      <c r="T945" s="1708">
        <f>IF(A945='Data Entry - SOF'!B$2,'Data Entry - SOF'!K$64,0)</f>
        <v>0</v>
      </c>
      <c r="U945" s="1687">
        <f t="shared" si="178"/>
        <v>4225452</v>
      </c>
      <c r="V945" s="2212" t="e">
        <f>IF('Report-M&amp;O2122'!C$18-'Report-SOF2122'!D$55&lt;=0,0,'Report-M&amp;O2122'!C$18-'Report-SOF2122'!D$55)</f>
        <v>#DIV/0!</v>
      </c>
      <c r="W945" s="2452" t="e">
        <f t="shared" si="175"/>
        <v>#DIV/0!</v>
      </c>
      <c r="X945" s="1708">
        <f>IF(A945='Data Entry - SOF'!B$2,'Data Entry - SOF'!M$64,0)</f>
        <v>0</v>
      </c>
      <c r="Y945" s="1371" t="e">
        <f t="shared" si="176"/>
        <v>#DIV/0!</v>
      </c>
      <c r="Z945" s="2212" t="e">
        <f>IF('Report-M&amp;O2223'!C$18-'Report-SOF2223'!D$55&lt;=0,0,'Report-M&amp;O2223'!C$18-'Report-SOF2223'!D$55)</f>
        <v>#DIV/0!</v>
      </c>
      <c r="AA945" s="1708">
        <f>IF(A945='Data Entry - SOF'!B$2,'Data Entry - SOF'!O$64,0)</f>
        <v>0</v>
      </c>
    </row>
    <row r="946" spans="1:27" ht="15.75">
      <c r="A946" s="1076" t="s">
        <v>946</v>
      </c>
      <c r="B946">
        <v>3208911</v>
      </c>
      <c r="C946" s="2452" t="e">
        <f>#REF!+#REF!</f>
        <v>#REF!</v>
      </c>
      <c r="D946" s="2449">
        <f>IF(A946='Data Entry - SOF'!B$2,'Data Entry - SOF'!C$64,0)</f>
        <v>0</v>
      </c>
      <c r="E946" s="2450">
        <f t="shared" si="177"/>
        <v>3208911</v>
      </c>
      <c r="F946" s="2212" t="e">
        <f>IF('Report-M&amp;O1718'!C$18-'Report-SOF1718'!D$55&lt;=0,0,'Report-M&amp;O1718'!C$18-'Report-SOF1718'!D$55)</f>
        <v>#DIV/0!</v>
      </c>
      <c r="G946" s="2452" t="e">
        <f t="shared" si="169"/>
        <v>#DIV/0!</v>
      </c>
      <c r="H946" s="2449">
        <f>IF(A946='Data Entry - SOF'!B$2,'Data Entry - SOF'!E$64,0)</f>
        <v>0</v>
      </c>
      <c r="I946" s="1687">
        <f t="shared" si="170"/>
        <v>3208911</v>
      </c>
      <c r="J946" s="2212" t="e">
        <f>IF('Report-M&amp;O1819'!C$18-'Report-SOF1819'!D$55&lt;=0,0,'Report-M&amp;O1819'!C$18-'Report-SOF1819'!D$55)</f>
        <v>#DIV/0!</v>
      </c>
      <c r="K946" s="2452" t="e">
        <f t="shared" si="171"/>
        <v>#DIV/0!</v>
      </c>
      <c r="L946" s="2449">
        <f>IF(A946='Data Entry - SOF'!B$2,'Data Entry - SOF'!G$64,0)</f>
        <v>0</v>
      </c>
      <c r="M946" s="1371">
        <f t="shared" si="172"/>
        <v>3208911</v>
      </c>
      <c r="N946" s="2212" t="e">
        <f>IF('Report-M&amp;O1920'!C$18-'Report-SOF1920'!D$55&lt;=0,0,'Report-M&amp;O1920'!C$18-'Report-SOF1920'!D$55)</f>
        <v>#DIV/0!</v>
      </c>
      <c r="O946" s="2452" t="e">
        <f t="shared" si="173"/>
        <v>#DIV/0!</v>
      </c>
      <c r="P946" s="2449">
        <f>IF(A946='Data Entry - SOF'!B$2,'Data Entry - SOF'!I$64,0)</f>
        <v>0</v>
      </c>
      <c r="Q946" s="1687">
        <f t="shared" si="168"/>
        <v>3208911</v>
      </c>
      <c r="R946" s="2212" t="e">
        <f>IF('Report-M&amp;O2021'!C$18-'Report-SOF2021'!D$55&lt;=0,0,'Report-M&amp;O2021'!C$18-'Report-SOF2021'!D$55)</f>
        <v>#DIV/0!</v>
      </c>
      <c r="S946" s="2452" t="e">
        <f t="shared" si="174"/>
        <v>#DIV/0!</v>
      </c>
      <c r="T946" s="1708">
        <f>IF(A946='Data Entry - SOF'!B$2,'Data Entry - SOF'!K$64,0)</f>
        <v>0</v>
      </c>
      <c r="U946" s="1687">
        <f t="shared" si="178"/>
        <v>3208911</v>
      </c>
      <c r="V946" s="2212" t="e">
        <f>IF('Report-M&amp;O2122'!C$18-'Report-SOF2122'!D$55&lt;=0,0,'Report-M&amp;O2122'!C$18-'Report-SOF2122'!D$55)</f>
        <v>#DIV/0!</v>
      </c>
      <c r="W946" s="2452" t="e">
        <f t="shared" si="175"/>
        <v>#DIV/0!</v>
      </c>
      <c r="X946" s="1708">
        <f>IF(A946='Data Entry - SOF'!B$2,'Data Entry - SOF'!M$64,0)</f>
        <v>0</v>
      </c>
      <c r="Y946" s="1371" t="e">
        <f t="shared" si="176"/>
        <v>#DIV/0!</v>
      </c>
      <c r="Z946" s="2212" t="e">
        <f>IF('Report-M&amp;O2223'!C$18-'Report-SOF2223'!D$55&lt;=0,0,'Report-M&amp;O2223'!C$18-'Report-SOF2223'!D$55)</f>
        <v>#DIV/0!</v>
      </c>
      <c r="AA946" s="1708">
        <f>IF(A946='Data Entry - SOF'!B$2,'Data Entry - SOF'!O$64,0)</f>
        <v>0</v>
      </c>
    </row>
    <row r="947" spans="1:27" ht="15.75">
      <c r="A947" s="1076" t="s">
        <v>1606</v>
      </c>
      <c r="B947">
        <v>63930</v>
      </c>
      <c r="C947" s="2452" t="e">
        <f>#REF!+#REF!</f>
        <v>#REF!</v>
      </c>
      <c r="D947" s="2449">
        <f>IF(A947='Data Entry - SOF'!B$2,'Data Entry - SOF'!C$64,0)</f>
        <v>0</v>
      </c>
      <c r="E947" s="2450">
        <f t="shared" si="177"/>
        <v>63930</v>
      </c>
      <c r="F947" s="2212" t="e">
        <f>IF('Report-M&amp;O1718'!C$18-'Report-SOF1718'!D$55&lt;=0,0,'Report-M&amp;O1718'!C$18-'Report-SOF1718'!D$55)</f>
        <v>#DIV/0!</v>
      </c>
      <c r="G947" s="2452" t="e">
        <f t="shared" si="169"/>
        <v>#DIV/0!</v>
      </c>
      <c r="H947" s="2449">
        <f>IF(A947='Data Entry - SOF'!B$2,'Data Entry - SOF'!E$64,0)</f>
        <v>0</v>
      </c>
      <c r="I947" s="1687">
        <f t="shared" si="170"/>
        <v>63930</v>
      </c>
      <c r="J947" s="2212" t="e">
        <f>IF('Report-M&amp;O1819'!C$18-'Report-SOF1819'!D$55&lt;=0,0,'Report-M&amp;O1819'!C$18-'Report-SOF1819'!D$55)</f>
        <v>#DIV/0!</v>
      </c>
      <c r="K947" s="2452" t="e">
        <f t="shared" si="171"/>
        <v>#DIV/0!</v>
      </c>
      <c r="L947" s="2449">
        <f>IF(A947='Data Entry - SOF'!B$2,'Data Entry - SOF'!G$64,0)</f>
        <v>0</v>
      </c>
      <c r="M947" s="1371">
        <f t="shared" si="172"/>
        <v>63930</v>
      </c>
      <c r="N947" s="2212" t="e">
        <f>IF('Report-M&amp;O1920'!C$18-'Report-SOF1920'!D$55&lt;=0,0,'Report-M&amp;O1920'!C$18-'Report-SOF1920'!D$55)</f>
        <v>#DIV/0!</v>
      </c>
      <c r="O947" s="2452" t="e">
        <f t="shared" si="173"/>
        <v>#DIV/0!</v>
      </c>
      <c r="P947" s="2449">
        <f>IF(A947='Data Entry - SOF'!B$2,'Data Entry - SOF'!I$64,0)</f>
        <v>0</v>
      </c>
      <c r="Q947" s="1687">
        <f t="shared" si="168"/>
        <v>63930</v>
      </c>
      <c r="R947" s="2212" t="e">
        <f>IF('Report-M&amp;O2021'!C$18-'Report-SOF2021'!D$55&lt;=0,0,'Report-M&amp;O2021'!C$18-'Report-SOF2021'!D$55)</f>
        <v>#DIV/0!</v>
      </c>
      <c r="S947" s="2452" t="e">
        <f t="shared" si="174"/>
        <v>#DIV/0!</v>
      </c>
      <c r="T947" s="1708">
        <f>IF(A947='Data Entry - SOF'!B$2,'Data Entry - SOF'!K$64,0)</f>
        <v>0</v>
      </c>
      <c r="U947" s="1687">
        <f t="shared" si="178"/>
        <v>63930</v>
      </c>
      <c r="V947" s="2212" t="e">
        <f>IF('Report-M&amp;O2122'!C$18-'Report-SOF2122'!D$55&lt;=0,0,'Report-M&amp;O2122'!C$18-'Report-SOF2122'!D$55)</f>
        <v>#DIV/0!</v>
      </c>
      <c r="W947" s="2452" t="e">
        <f t="shared" si="175"/>
        <v>#DIV/0!</v>
      </c>
      <c r="X947" s="1708">
        <f>IF(A947='Data Entry - SOF'!B$2,'Data Entry - SOF'!M$64,0)</f>
        <v>0</v>
      </c>
      <c r="Y947" s="1371" t="e">
        <f t="shared" si="176"/>
        <v>#DIV/0!</v>
      </c>
      <c r="Z947" s="2212" t="e">
        <f>IF('Report-M&amp;O2223'!C$18-'Report-SOF2223'!D$55&lt;=0,0,'Report-M&amp;O2223'!C$18-'Report-SOF2223'!D$55)</f>
        <v>#DIV/0!</v>
      </c>
      <c r="AA947" s="1708">
        <f>IF(A947='Data Entry - SOF'!B$2,'Data Entry - SOF'!O$64,0)</f>
        <v>0</v>
      </c>
    </row>
    <row r="948" spans="1:27" ht="15.75">
      <c r="A948" s="1076" t="s">
        <v>989</v>
      </c>
      <c r="B948">
        <v>1961229</v>
      </c>
      <c r="C948" s="2452" t="e">
        <f>#REF!+#REF!</f>
        <v>#REF!</v>
      </c>
      <c r="D948" s="2449">
        <f>IF(A948='Data Entry - SOF'!B$2,'Data Entry - SOF'!C$64,0)</f>
        <v>0</v>
      </c>
      <c r="E948" s="2450">
        <f t="shared" si="177"/>
        <v>1961229</v>
      </c>
      <c r="F948" s="2212" t="e">
        <f>IF('Report-M&amp;O1718'!C$18-'Report-SOF1718'!D$55&lt;=0,0,'Report-M&amp;O1718'!C$18-'Report-SOF1718'!D$55)</f>
        <v>#DIV/0!</v>
      </c>
      <c r="G948" s="2452" t="e">
        <f t="shared" si="169"/>
        <v>#DIV/0!</v>
      </c>
      <c r="H948" s="2449">
        <f>IF(A948='Data Entry - SOF'!B$2,'Data Entry - SOF'!E$64,0)</f>
        <v>0</v>
      </c>
      <c r="I948" s="1687">
        <f t="shared" si="170"/>
        <v>1961229</v>
      </c>
      <c r="J948" s="2212" t="e">
        <f>IF('Report-M&amp;O1819'!C$18-'Report-SOF1819'!D$55&lt;=0,0,'Report-M&amp;O1819'!C$18-'Report-SOF1819'!D$55)</f>
        <v>#DIV/0!</v>
      </c>
      <c r="K948" s="2452" t="e">
        <f t="shared" si="171"/>
        <v>#DIV/0!</v>
      </c>
      <c r="L948" s="2449">
        <f>IF(A948='Data Entry - SOF'!B$2,'Data Entry - SOF'!G$64,0)</f>
        <v>0</v>
      </c>
      <c r="M948" s="1371">
        <f t="shared" si="172"/>
        <v>1961229</v>
      </c>
      <c r="N948" s="2212" t="e">
        <f>IF('Report-M&amp;O1920'!C$18-'Report-SOF1920'!D$55&lt;=0,0,'Report-M&amp;O1920'!C$18-'Report-SOF1920'!D$55)</f>
        <v>#DIV/0!</v>
      </c>
      <c r="O948" s="2452" t="e">
        <f t="shared" si="173"/>
        <v>#DIV/0!</v>
      </c>
      <c r="P948" s="2449">
        <f>IF(A948='Data Entry - SOF'!B$2,'Data Entry - SOF'!I$64,0)</f>
        <v>0</v>
      </c>
      <c r="Q948" s="1687">
        <f t="shared" si="168"/>
        <v>1961229</v>
      </c>
      <c r="R948" s="2212" t="e">
        <f>IF('Report-M&amp;O2021'!C$18-'Report-SOF2021'!D$55&lt;=0,0,'Report-M&amp;O2021'!C$18-'Report-SOF2021'!D$55)</f>
        <v>#DIV/0!</v>
      </c>
      <c r="S948" s="2452" t="e">
        <f t="shared" si="174"/>
        <v>#DIV/0!</v>
      </c>
      <c r="T948" s="1708">
        <f>IF(A948='Data Entry - SOF'!B$2,'Data Entry - SOF'!K$64,0)</f>
        <v>0</v>
      </c>
      <c r="U948" s="1687">
        <f t="shared" si="178"/>
        <v>1961229</v>
      </c>
      <c r="V948" s="2212" t="e">
        <f>IF('Report-M&amp;O2122'!C$18-'Report-SOF2122'!D$55&lt;=0,0,'Report-M&amp;O2122'!C$18-'Report-SOF2122'!D$55)</f>
        <v>#DIV/0!</v>
      </c>
      <c r="W948" s="2452" t="e">
        <f t="shared" si="175"/>
        <v>#DIV/0!</v>
      </c>
      <c r="X948" s="1708">
        <f>IF(A948='Data Entry - SOF'!B$2,'Data Entry - SOF'!M$64,0)</f>
        <v>0</v>
      </c>
      <c r="Y948" s="1371" t="e">
        <f t="shared" si="176"/>
        <v>#DIV/0!</v>
      </c>
      <c r="Z948" s="2212" t="e">
        <f>IF('Report-M&amp;O2223'!C$18-'Report-SOF2223'!D$55&lt;=0,0,'Report-M&amp;O2223'!C$18-'Report-SOF2223'!D$55)</f>
        <v>#DIV/0!</v>
      </c>
      <c r="AA948" s="1708">
        <f>IF(A948='Data Entry - SOF'!B$2,'Data Entry - SOF'!O$64,0)</f>
        <v>0</v>
      </c>
    </row>
    <row r="949" spans="1:27" ht="15.75">
      <c r="A949" s="1076" t="s">
        <v>372</v>
      </c>
      <c r="B949">
        <v>38702139</v>
      </c>
      <c r="C949" s="2452" t="e">
        <f>#REF!+#REF!</f>
        <v>#REF!</v>
      </c>
      <c r="D949" s="2449">
        <f>IF(A949='Data Entry - SOF'!B$2,'Data Entry - SOF'!C$64,0)</f>
        <v>0</v>
      </c>
      <c r="E949" s="2450">
        <f t="shared" si="177"/>
        <v>38702139</v>
      </c>
      <c r="F949" s="2212" t="e">
        <f>IF('Report-M&amp;O1718'!C$18-'Report-SOF1718'!D$55&lt;=0,0,'Report-M&amp;O1718'!C$18-'Report-SOF1718'!D$55)</f>
        <v>#DIV/0!</v>
      </c>
      <c r="G949" s="2452" t="e">
        <f t="shared" si="169"/>
        <v>#DIV/0!</v>
      </c>
      <c r="H949" s="2449">
        <f>IF(A949='Data Entry - SOF'!B$2,'Data Entry - SOF'!E$64,0)</f>
        <v>0</v>
      </c>
      <c r="I949" s="1687">
        <f t="shared" si="170"/>
        <v>38702139</v>
      </c>
      <c r="J949" s="2212" t="e">
        <f>IF('Report-M&amp;O1819'!C$18-'Report-SOF1819'!D$55&lt;=0,0,'Report-M&amp;O1819'!C$18-'Report-SOF1819'!D$55)</f>
        <v>#DIV/0!</v>
      </c>
      <c r="K949" s="2452" t="e">
        <f t="shared" si="171"/>
        <v>#DIV/0!</v>
      </c>
      <c r="L949" s="2449">
        <f>IF(A949='Data Entry - SOF'!B$2,'Data Entry - SOF'!G$64,0)</f>
        <v>0</v>
      </c>
      <c r="M949" s="1371">
        <f t="shared" si="172"/>
        <v>38702139</v>
      </c>
      <c r="N949" s="2212" t="e">
        <f>IF('Report-M&amp;O1920'!C$18-'Report-SOF1920'!D$55&lt;=0,0,'Report-M&amp;O1920'!C$18-'Report-SOF1920'!D$55)</f>
        <v>#DIV/0!</v>
      </c>
      <c r="O949" s="2452" t="e">
        <f t="shared" si="173"/>
        <v>#DIV/0!</v>
      </c>
      <c r="P949" s="2449">
        <f>IF(A949='Data Entry - SOF'!B$2,'Data Entry - SOF'!I$64,0)</f>
        <v>0</v>
      </c>
      <c r="Q949" s="1687">
        <f t="shared" si="168"/>
        <v>38702139</v>
      </c>
      <c r="R949" s="2212" t="e">
        <f>IF('Report-M&amp;O2021'!C$18-'Report-SOF2021'!D$55&lt;=0,0,'Report-M&amp;O2021'!C$18-'Report-SOF2021'!D$55)</f>
        <v>#DIV/0!</v>
      </c>
      <c r="S949" s="2452" t="e">
        <f t="shared" si="174"/>
        <v>#DIV/0!</v>
      </c>
      <c r="T949" s="1708">
        <f>IF(A949='Data Entry - SOF'!B$2,'Data Entry - SOF'!K$64,0)</f>
        <v>0</v>
      </c>
      <c r="U949" s="1687">
        <f t="shared" si="178"/>
        <v>38702139</v>
      </c>
      <c r="V949" s="2212" t="e">
        <f>IF('Report-M&amp;O2122'!C$18-'Report-SOF2122'!D$55&lt;=0,0,'Report-M&amp;O2122'!C$18-'Report-SOF2122'!D$55)</f>
        <v>#DIV/0!</v>
      </c>
      <c r="W949" s="2452" t="e">
        <f t="shared" si="175"/>
        <v>#DIV/0!</v>
      </c>
      <c r="X949" s="1708">
        <f>IF(A949='Data Entry - SOF'!B$2,'Data Entry - SOF'!M$64,0)</f>
        <v>0</v>
      </c>
      <c r="Y949" s="1371" t="e">
        <f t="shared" si="176"/>
        <v>#DIV/0!</v>
      </c>
      <c r="Z949" s="2212" t="e">
        <f>IF('Report-M&amp;O2223'!C$18-'Report-SOF2223'!D$55&lt;=0,0,'Report-M&amp;O2223'!C$18-'Report-SOF2223'!D$55)</f>
        <v>#DIV/0!</v>
      </c>
      <c r="AA949" s="1708">
        <f>IF(A949='Data Entry - SOF'!B$2,'Data Entry - SOF'!O$64,0)</f>
        <v>0</v>
      </c>
    </row>
    <row r="950" spans="1:27" ht="15.75">
      <c r="A950" s="1076" t="s">
        <v>2992</v>
      </c>
      <c r="B950">
        <v>2256084</v>
      </c>
      <c r="C950" s="2452" t="e">
        <f>#REF!+#REF!</f>
        <v>#REF!</v>
      </c>
      <c r="D950" s="2449">
        <f>IF(A950='Data Entry - SOF'!B$2,'Data Entry - SOF'!C$64,0)</f>
        <v>0</v>
      </c>
      <c r="E950" s="2450">
        <f t="shared" si="177"/>
        <v>2256084</v>
      </c>
      <c r="F950" s="2212" t="e">
        <f>IF('Report-M&amp;O1718'!C$18-'Report-SOF1718'!D$55&lt;=0,0,'Report-M&amp;O1718'!C$18-'Report-SOF1718'!D$55)</f>
        <v>#DIV/0!</v>
      </c>
      <c r="G950" s="2452" t="e">
        <f t="shared" si="169"/>
        <v>#DIV/0!</v>
      </c>
      <c r="H950" s="2449">
        <f>IF(A950='Data Entry - SOF'!B$2,'Data Entry - SOF'!E$64,0)</f>
        <v>0</v>
      </c>
      <c r="I950" s="1687">
        <f t="shared" si="170"/>
        <v>2256084</v>
      </c>
      <c r="J950" s="2212" t="e">
        <f>IF('Report-M&amp;O1819'!C$18-'Report-SOF1819'!D$55&lt;=0,0,'Report-M&amp;O1819'!C$18-'Report-SOF1819'!D$55)</f>
        <v>#DIV/0!</v>
      </c>
      <c r="K950" s="2452" t="e">
        <f t="shared" si="171"/>
        <v>#DIV/0!</v>
      </c>
      <c r="L950" s="2449">
        <f>IF(A950='Data Entry - SOF'!B$2,'Data Entry - SOF'!G$64,0)</f>
        <v>0</v>
      </c>
      <c r="M950" s="1371">
        <f t="shared" si="172"/>
        <v>2256084</v>
      </c>
      <c r="N950" s="2212" t="e">
        <f>IF('Report-M&amp;O1920'!C$18-'Report-SOF1920'!D$55&lt;=0,0,'Report-M&amp;O1920'!C$18-'Report-SOF1920'!D$55)</f>
        <v>#DIV/0!</v>
      </c>
      <c r="O950" s="2452" t="e">
        <f t="shared" si="173"/>
        <v>#DIV/0!</v>
      </c>
      <c r="P950" s="2449">
        <f>IF(A950='Data Entry - SOF'!B$2,'Data Entry - SOF'!I$64,0)</f>
        <v>0</v>
      </c>
      <c r="Q950" s="1687">
        <f t="shared" si="168"/>
        <v>2256084</v>
      </c>
      <c r="R950" s="2212" t="e">
        <f>IF('Report-M&amp;O2021'!C$18-'Report-SOF2021'!D$55&lt;=0,0,'Report-M&amp;O2021'!C$18-'Report-SOF2021'!D$55)</f>
        <v>#DIV/0!</v>
      </c>
      <c r="S950" s="2452" t="e">
        <f t="shared" si="174"/>
        <v>#DIV/0!</v>
      </c>
      <c r="T950" s="1708">
        <f>IF(A950='Data Entry - SOF'!B$2,'Data Entry - SOF'!K$64,0)</f>
        <v>0</v>
      </c>
      <c r="U950" s="1687">
        <f t="shared" si="178"/>
        <v>2256084</v>
      </c>
      <c r="V950" s="2212" t="e">
        <f>IF('Report-M&amp;O2122'!C$18-'Report-SOF2122'!D$55&lt;=0,0,'Report-M&amp;O2122'!C$18-'Report-SOF2122'!D$55)</f>
        <v>#DIV/0!</v>
      </c>
      <c r="W950" s="2452" t="e">
        <f t="shared" si="175"/>
        <v>#DIV/0!</v>
      </c>
      <c r="X950" s="1708">
        <f>IF(A950='Data Entry - SOF'!B$2,'Data Entry - SOF'!M$64,0)</f>
        <v>0</v>
      </c>
      <c r="Y950" s="1371" t="e">
        <f t="shared" si="176"/>
        <v>#DIV/0!</v>
      </c>
      <c r="Z950" s="2212" t="e">
        <f>IF('Report-M&amp;O2223'!C$18-'Report-SOF2223'!D$55&lt;=0,0,'Report-M&amp;O2223'!C$18-'Report-SOF2223'!D$55)</f>
        <v>#DIV/0!</v>
      </c>
      <c r="AA950" s="1708">
        <f>IF(A950='Data Entry - SOF'!B$2,'Data Entry - SOF'!O$64,0)</f>
        <v>0</v>
      </c>
    </row>
    <row r="951" spans="1:27" ht="15.75">
      <c r="A951" s="1076" t="s">
        <v>1160</v>
      </c>
      <c r="B951">
        <v>1607324</v>
      </c>
      <c r="C951" s="2452" t="e">
        <f>#REF!+#REF!</f>
        <v>#REF!</v>
      </c>
      <c r="D951" s="2449">
        <f>IF(A951='Data Entry - SOF'!B$2,'Data Entry - SOF'!C$64,0)</f>
        <v>0</v>
      </c>
      <c r="E951" s="2450">
        <f t="shared" si="177"/>
        <v>1607324</v>
      </c>
      <c r="F951" s="2212" t="e">
        <f>IF('Report-M&amp;O1718'!C$18-'Report-SOF1718'!D$55&lt;=0,0,'Report-M&amp;O1718'!C$18-'Report-SOF1718'!D$55)</f>
        <v>#DIV/0!</v>
      </c>
      <c r="G951" s="2452" t="e">
        <f t="shared" si="169"/>
        <v>#DIV/0!</v>
      </c>
      <c r="H951" s="2449">
        <f>IF(A951='Data Entry - SOF'!B$2,'Data Entry - SOF'!E$64,0)</f>
        <v>0</v>
      </c>
      <c r="I951" s="1687">
        <f t="shared" si="170"/>
        <v>1607324</v>
      </c>
      <c r="J951" s="2212" t="e">
        <f>IF('Report-M&amp;O1819'!C$18-'Report-SOF1819'!D$55&lt;=0,0,'Report-M&amp;O1819'!C$18-'Report-SOF1819'!D$55)</f>
        <v>#DIV/0!</v>
      </c>
      <c r="K951" s="2452" t="e">
        <f t="shared" si="171"/>
        <v>#DIV/0!</v>
      </c>
      <c r="L951" s="2449">
        <f>IF(A951='Data Entry - SOF'!B$2,'Data Entry - SOF'!G$64,0)</f>
        <v>0</v>
      </c>
      <c r="M951" s="1371">
        <f t="shared" si="172"/>
        <v>1607324</v>
      </c>
      <c r="N951" s="2212" t="e">
        <f>IF('Report-M&amp;O1920'!C$18-'Report-SOF1920'!D$55&lt;=0,0,'Report-M&amp;O1920'!C$18-'Report-SOF1920'!D$55)</f>
        <v>#DIV/0!</v>
      </c>
      <c r="O951" s="2452" t="e">
        <f t="shared" si="173"/>
        <v>#DIV/0!</v>
      </c>
      <c r="P951" s="2449">
        <f>IF(A951='Data Entry - SOF'!B$2,'Data Entry - SOF'!I$64,0)</f>
        <v>0</v>
      </c>
      <c r="Q951" s="1687">
        <f t="shared" si="168"/>
        <v>1607324</v>
      </c>
      <c r="R951" s="2212" t="e">
        <f>IF('Report-M&amp;O2021'!C$18-'Report-SOF2021'!D$55&lt;=0,0,'Report-M&amp;O2021'!C$18-'Report-SOF2021'!D$55)</f>
        <v>#DIV/0!</v>
      </c>
      <c r="S951" s="2452" t="e">
        <f t="shared" si="174"/>
        <v>#DIV/0!</v>
      </c>
      <c r="T951" s="1708">
        <f>IF(A951='Data Entry - SOF'!B$2,'Data Entry - SOF'!K$64,0)</f>
        <v>0</v>
      </c>
      <c r="U951" s="1687">
        <f t="shared" si="178"/>
        <v>1607324</v>
      </c>
      <c r="V951" s="2212" t="e">
        <f>IF('Report-M&amp;O2122'!C$18-'Report-SOF2122'!D$55&lt;=0,0,'Report-M&amp;O2122'!C$18-'Report-SOF2122'!D$55)</f>
        <v>#DIV/0!</v>
      </c>
      <c r="W951" s="2452" t="e">
        <f t="shared" si="175"/>
        <v>#DIV/0!</v>
      </c>
      <c r="X951" s="1708">
        <f>IF(A951='Data Entry - SOF'!B$2,'Data Entry - SOF'!M$64,0)</f>
        <v>0</v>
      </c>
      <c r="Y951" s="1371" t="e">
        <f t="shared" si="176"/>
        <v>#DIV/0!</v>
      </c>
      <c r="Z951" s="2212" t="e">
        <f>IF('Report-M&amp;O2223'!C$18-'Report-SOF2223'!D$55&lt;=0,0,'Report-M&amp;O2223'!C$18-'Report-SOF2223'!D$55)</f>
        <v>#DIV/0!</v>
      </c>
      <c r="AA951" s="1708">
        <f>IF(A951='Data Entry - SOF'!B$2,'Data Entry - SOF'!O$64,0)</f>
        <v>0</v>
      </c>
    </row>
    <row r="952" spans="1:27" ht="15.75">
      <c r="A952" s="1076" t="s">
        <v>1320</v>
      </c>
      <c r="B952">
        <v>19731795</v>
      </c>
      <c r="C952" s="2452" t="e">
        <f>#REF!+#REF!</f>
        <v>#REF!</v>
      </c>
      <c r="D952" s="2449">
        <f>IF(A952='Data Entry - SOF'!B$2,'Data Entry - SOF'!C$64,0)</f>
        <v>0</v>
      </c>
      <c r="E952" s="2450">
        <f t="shared" si="177"/>
        <v>19731795</v>
      </c>
      <c r="F952" s="2212" t="e">
        <f>IF('Report-M&amp;O1718'!C$18-'Report-SOF1718'!D$55&lt;=0,0,'Report-M&amp;O1718'!C$18-'Report-SOF1718'!D$55)</f>
        <v>#DIV/0!</v>
      </c>
      <c r="G952" s="2452" t="e">
        <f t="shared" si="169"/>
        <v>#DIV/0!</v>
      </c>
      <c r="H952" s="2449">
        <f>IF(A952='Data Entry - SOF'!B$2,'Data Entry - SOF'!E$64,0)</f>
        <v>0</v>
      </c>
      <c r="I952" s="1687">
        <f t="shared" si="170"/>
        <v>19731795</v>
      </c>
      <c r="J952" s="2212" t="e">
        <f>IF('Report-M&amp;O1819'!C$18-'Report-SOF1819'!D$55&lt;=0,0,'Report-M&amp;O1819'!C$18-'Report-SOF1819'!D$55)</f>
        <v>#DIV/0!</v>
      </c>
      <c r="K952" s="2452" t="e">
        <f t="shared" si="171"/>
        <v>#DIV/0!</v>
      </c>
      <c r="L952" s="2449">
        <f>IF(A952='Data Entry - SOF'!B$2,'Data Entry - SOF'!G$64,0)</f>
        <v>0</v>
      </c>
      <c r="M952" s="1371">
        <f t="shared" si="172"/>
        <v>19731795</v>
      </c>
      <c r="N952" s="2212" t="e">
        <f>IF('Report-M&amp;O1920'!C$18-'Report-SOF1920'!D$55&lt;=0,0,'Report-M&amp;O1920'!C$18-'Report-SOF1920'!D$55)</f>
        <v>#DIV/0!</v>
      </c>
      <c r="O952" s="2452" t="e">
        <f t="shared" si="173"/>
        <v>#DIV/0!</v>
      </c>
      <c r="P952" s="2449">
        <f>IF(A952='Data Entry - SOF'!B$2,'Data Entry - SOF'!I$64,0)</f>
        <v>0</v>
      </c>
      <c r="Q952" s="1687">
        <f t="shared" si="168"/>
        <v>19731795</v>
      </c>
      <c r="R952" s="2212" t="e">
        <f>IF('Report-M&amp;O2021'!C$18-'Report-SOF2021'!D$55&lt;=0,0,'Report-M&amp;O2021'!C$18-'Report-SOF2021'!D$55)</f>
        <v>#DIV/0!</v>
      </c>
      <c r="S952" s="2452" t="e">
        <f t="shared" si="174"/>
        <v>#DIV/0!</v>
      </c>
      <c r="T952" s="1708">
        <f>IF(A952='Data Entry - SOF'!B$2,'Data Entry - SOF'!K$64,0)</f>
        <v>0</v>
      </c>
      <c r="U952" s="1687">
        <f t="shared" si="178"/>
        <v>19731795</v>
      </c>
      <c r="V952" s="2212" t="e">
        <f>IF('Report-M&amp;O2122'!C$18-'Report-SOF2122'!D$55&lt;=0,0,'Report-M&amp;O2122'!C$18-'Report-SOF2122'!D$55)</f>
        <v>#DIV/0!</v>
      </c>
      <c r="W952" s="2452" t="e">
        <f t="shared" si="175"/>
        <v>#DIV/0!</v>
      </c>
      <c r="X952" s="1708">
        <f>IF(A952='Data Entry - SOF'!B$2,'Data Entry - SOF'!M$64,0)</f>
        <v>0</v>
      </c>
      <c r="Y952" s="1371" t="e">
        <f t="shared" si="176"/>
        <v>#DIV/0!</v>
      </c>
      <c r="Z952" s="2212" t="e">
        <f>IF('Report-M&amp;O2223'!C$18-'Report-SOF2223'!D$55&lt;=0,0,'Report-M&amp;O2223'!C$18-'Report-SOF2223'!D$55)</f>
        <v>#DIV/0!</v>
      </c>
      <c r="AA952" s="1708">
        <f>IF(A952='Data Entry - SOF'!B$2,'Data Entry - SOF'!O$64,0)</f>
        <v>0</v>
      </c>
    </row>
    <row r="953" spans="1:27" ht="15.75">
      <c r="A953" s="1076" t="s">
        <v>306</v>
      </c>
      <c r="B953">
        <v>2580644</v>
      </c>
      <c r="C953" s="2452" t="e">
        <f>#REF!+#REF!</f>
        <v>#REF!</v>
      </c>
      <c r="D953" s="2449">
        <f>IF(A953='Data Entry - SOF'!B$2,'Data Entry - SOF'!C$64,0)</f>
        <v>0</v>
      </c>
      <c r="E953" s="2450">
        <f t="shared" si="177"/>
        <v>2580644</v>
      </c>
      <c r="F953" s="2212" t="e">
        <f>IF('Report-M&amp;O1718'!C$18-'Report-SOF1718'!D$55&lt;=0,0,'Report-M&amp;O1718'!C$18-'Report-SOF1718'!D$55)</f>
        <v>#DIV/0!</v>
      </c>
      <c r="G953" s="2452" t="e">
        <f t="shared" si="169"/>
        <v>#DIV/0!</v>
      </c>
      <c r="H953" s="2449">
        <f>IF(A953='Data Entry - SOF'!B$2,'Data Entry - SOF'!E$64,0)</f>
        <v>0</v>
      </c>
      <c r="I953" s="1687">
        <f t="shared" si="170"/>
        <v>2580644</v>
      </c>
      <c r="J953" s="2212" t="e">
        <f>IF('Report-M&amp;O1819'!C$18-'Report-SOF1819'!D$55&lt;=0,0,'Report-M&amp;O1819'!C$18-'Report-SOF1819'!D$55)</f>
        <v>#DIV/0!</v>
      </c>
      <c r="K953" s="2452" t="e">
        <f t="shared" si="171"/>
        <v>#DIV/0!</v>
      </c>
      <c r="L953" s="2449">
        <f>IF(A953='Data Entry - SOF'!B$2,'Data Entry - SOF'!G$64,0)</f>
        <v>0</v>
      </c>
      <c r="M953" s="1371">
        <f t="shared" si="172"/>
        <v>2580644</v>
      </c>
      <c r="N953" s="2212" t="e">
        <f>IF('Report-M&amp;O1920'!C$18-'Report-SOF1920'!D$55&lt;=0,0,'Report-M&amp;O1920'!C$18-'Report-SOF1920'!D$55)</f>
        <v>#DIV/0!</v>
      </c>
      <c r="O953" s="2452" t="e">
        <f t="shared" si="173"/>
        <v>#DIV/0!</v>
      </c>
      <c r="P953" s="2449">
        <f>IF(A953='Data Entry - SOF'!B$2,'Data Entry - SOF'!I$64,0)</f>
        <v>0</v>
      </c>
      <c r="Q953" s="1687">
        <f t="shared" si="168"/>
        <v>2580644</v>
      </c>
      <c r="R953" s="2212" t="e">
        <f>IF('Report-M&amp;O2021'!C$18-'Report-SOF2021'!D$55&lt;=0,0,'Report-M&amp;O2021'!C$18-'Report-SOF2021'!D$55)</f>
        <v>#DIV/0!</v>
      </c>
      <c r="S953" s="2452" t="e">
        <f t="shared" si="174"/>
        <v>#DIV/0!</v>
      </c>
      <c r="T953" s="1708">
        <f>IF(A953='Data Entry - SOF'!B$2,'Data Entry - SOF'!K$64,0)</f>
        <v>0</v>
      </c>
      <c r="U953" s="1687">
        <f t="shared" si="178"/>
        <v>2580644</v>
      </c>
      <c r="V953" s="2212" t="e">
        <f>IF('Report-M&amp;O2122'!C$18-'Report-SOF2122'!D$55&lt;=0,0,'Report-M&amp;O2122'!C$18-'Report-SOF2122'!D$55)</f>
        <v>#DIV/0!</v>
      </c>
      <c r="W953" s="2452" t="e">
        <f t="shared" si="175"/>
        <v>#DIV/0!</v>
      </c>
      <c r="X953" s="1708">
        <f>IF(A953='Data Entry - SOF'!B$2,'Data Entry - SOF'!M$64,0)</f>
        <v>0</v>
      </c>
      <c r="Y953" s="1371" t="e">
        <f t="shared" si="176"/>
        <v>#DIV/0!</v>
      </c>
      <c r="Z953" s="2212" t="e">
        <f>IF('Report-M&amp;O2223'!C$18-'Report-SOF2223'!D$55&lt;=0,0,'Report-M&amp;O2223'!C$18-'Report-SOF2223'!D$55)</f>
        <v>#DIV/0!</v>
      </c>
      <c r="AA953" s="1708">
        <f>IF(A953='Data Entry - SOF'!B$2,'Data Entry - SOF'!O$64,0)</f>
        <v>0</v>
      </c>
    </row>
    <row r="954" spans="1:27" ht="15.75">
      <c r="A954" s="1076" t="s">
        <v>307</v>
      </c>
      <c r="B954">
        <v>38277509</v>
      </c>
      <c r="C954" s="2452" t="e">
        <f>#REF!+#REF!</f>
        <v>#REF!</v>
      </c>
      <c r="D954" s="2449">
        <f>IF(A954='Data Entry - SOF'!B$2,'Data Entry - SOF'!C$64,0)</f>
        <v>0</v>
      </c>
      <c r="E954" s="2450">
        <f t="shared" si="177"/>
        <v>38277509</v>
      </c>
      <c r="F954" s="2212" t="e">
        <f>IF('Report-M&amp;O1718'!C$18-'Report-SOF1718'!D$55&lt;=0,0,'Report-M&amp;O1718'!C$18-'Report-SOF1718'!D$55)</f>
        <v>#DIV/0!</v>
      </c>
      <c r="G954" s="2452" t="e">
        <f t="shared" si="169"/>
        <v>#DIV/0!</v>
      </c>
      <c r="H954" s="2449">
        <f>IF(A954='Data Entry - SOF'!B$2,'Data Entry - SOF'!E$64,0)</f>
        <v>0</v>
      </c>
      <c r="I954" s="1687">
        <f t="shared" si="170"/>
        <v>38277509</v>
      </c>
      <c r="J954" s="2212" t="e">
        <f>IF('Report-M&amp;O1819'!C$18-'Report-SOF1819'!D$55&lt;=0,0,'Report-M&amp;O1819'!C$18-'Report-SOF1819'!D$55)</f>
        <v>#DIV/0!</v>
      </c>
      <c r="K954" s="2452" t="e">
        <f t="shared" si="171"/>
        <v>#DIV/0!</v>
      </c>
      <c r="L954" s="2449">
        <f>IF(A954='Data Entry - SOF'!B$2,'Data Entry - SOF'!G$64,0)</f>
        <v>0</v>
      </c>
      <c r="M954" s="1371">
        <f t="shared" si="172"/>
        <v>38277509</v>
      </c>
      <c r="N954" s="2212" t="e">
        <f>IF('Report-M&amp;O1920'!C$18-'Report-SOF1920'!D$55&lt;=0,0,'Report-M&amp;O1920'!C$18-'Report-SOF1920'!D$55)</f>
        <v>#DIV/0!</v>
      </c>
      <c r="O954" s="2452" t="e">
        <f t="shared" si="173"/>
        <v>#DIV/0!</v>
      </c>
      <c r="P954" s="2449">
        <f>IF(A954='Data Entry - SOF'!B$2,'Data Entry - SOF'!I$64,0)</f>
        <v>0</v>
      </c>
      <c r="Q954" s="1687">
        <f t="shared" si="168"/>
        <v>38277509</v>
      </c>
      <c r="R954" s="2212" t="e">
        <f>IF('Report-M&amp;O2021'!C$18-'Report-SOF2021'!D$55&lt;=0,0,'Report-M&amp;O2021'!C$18-'Report-SOF2021'!D$55)</f>
        <v>#DIV/0!</v>
      </c>
      <c r="S954" s="2452" t="e">
        <f t="shared" si="174"/>
        <v>#DIV/0!</v>
      </c>
      <c r="T954" s="1708">
        <f>IF(A954='Data Entry - SOF'!B$2,'Data Entry - SOF'!K$64,0)</f>
        <v>0</v>
      </c>
      <c r="U954" s="1687">
        <f t="shared" si="178"/>
        <v>38277509</v>
      </c>
      <c r="V954" s="2212" t="e">
        <f>IF('Report-M&amp;O2122'!C$18-'Report-SOF2122'!D$55&lt;=0,0,'Report-M&amp;O2122'!C$18-'Report-SOF2122'!D$55)</f>
        <v>#DIV/0!</v>
      </c>
      <c r="W954" s="2452" t="e">
        <f t="shared" si="175"/>
        <v>#DIV/0!</v>
      </c>
      <c r="X954" s="1708">
        <f>IF(A954='Data Entry - SOF'!B$2,'Data Entry - SOF'!M$64,0)</f>
        <v>0</v>
      </c>
      <c r="Y954" s="1371" t="e">
        <f t="shared" si="176"/>
        <v>#DIV/0!</v>
      </c>
      <c r="Z954" s="2212" t="e">
        <f>IF('Report-M&amp;O2223'!C$18-'Report-SOF2223'!D$55&lt;=0,0,'Report-M&amp;O2223'!C$18-'Report-SOF2223'!D$55)</f>
        <v>#DIV/0!</v>
      </c>
      <c r="AA954" s="1708">
        <f>IF(A954='Data Entry - SOF'!B$2,'Data Entry - SOF'!O$64,0)</f>
        <v>0</v>
      </c>
    </row>
    <row r="955" spans="1:27" ht="15.75">
      <c r="A955" s="1076" t="s">
        <v>693</v>
      </c>
      <c r="B955">
        <v>25092371</v>
      </c>
      <c r="C955" s="2452" t="e">
        <f>#REF!+#REF!</f>
        <v>#REF!</v>
      </c>
      <c r="D955" s="2449">
        <f>IF(A955='Data Entry - SOF'!B$2,'Data Entry - SOF'!C$64,0)</f>
        <v>0</v>
      </c>
      <c r="E955" s="2450">
        <f t="shared" si="177"/>
        <v>25092371</v>
      </c>
      <c r="F955" s="2212" t="e">
        <f>IF('Report-M&amp;O1718'!C$18-'Report-SOF1718'!D$55&lt;=0,0,'Report-M&amp;O1718'!C$18-'Report-SOF1718'!D$55)</f>
        <v>#DIV/0!</v>
      </c>
      <c r="G955" s="2452" t="e">
        <f t="shared" si="169"/>
        <v>#DIV/0!</v>
      </c>
      <c r="H955" s="2449">
        <f>IF(A955='Data Entry - SOF'!B$2,'Data Entry - SOF'!E$64,0)</f>
        <v>0</v>
      </c>
      <c r="I955" s="1687">
        <f t="shared" si="170"/>
        <v>25092371</v>
      </c>
      <c r="J955" s="2212" t="e">
        <f>IF('Report-M&amp;O1819'!C$18-'Report-SOF1819'!D$55&lt;=0,0,'Report-M&amp;O1819'!C$18-'Report-SOF1819'!D$55)</f>
        <v>#DIV/0!</v>
      </c>
      <c r="K955" s="2452" t="e">
        <f t="shared" si="171"/>
        <v>#DIV/0!</v>
      </c>
      <c r="L955" s="2449">
        <f>IF(A955='Data Entry - SOF'!B$2,'Data Entry - SOF'!G$64,0)</f>
        <v>0</v>
      </c>
      <c r="M955" s="1371">
        <f t="shared" si="172"/>
        <v>25092371</v>
      </c>
      <c r="N955" s="2212" t="e">
        <f>IF('Report-M&amp;O1920'!C$18-'Report-SOF1920'!D$55&lt;=0,0,'Report-M&amp;O1920'!C$18-'Report-SOF1920'!D$55)</f>
        <v>#DIV/0!</v>
      </c>
      <c r="O955" s="2452" t="e">
        <f t="shared" si="173"/>
        <v>#DIV/0!</v>
      </c>
      <c r="P955" s="2449">
        <f>IF(A955='Data Entry - SOF'!B$2,'Data Entry - SOF'!I$64,0)</f>
        <v>0</v>
      </c>
      <c r="Q955" s="1687">
        <f t="shared" si="168"/>
        <v>25092371</v>
      </c>
      <c r="R955" s="2212" t="e">
        <f>IF('Report-M&amp;O2021'!C$18-'Report-SOF2021'!D$55&lt;=0,0,'Report-M&amp;O2021'!C$18-'Report-SOF2021'!D$55)</f>
        <v>#DIV/0!</v>
      </c>
      <c r="S955" s="2452" t="e">
        <f t="shared" si="174"/>
        <v>#DIV/0!</v>
      </c>
      <c r="T955" s="1708">
        <f>IF(A955='Data Entry - SOF'!B$2,'Data Entry - SOF'!K$64,0)</f>
        <v>0</v>
      </c>
      <c r="U955" s="1687">
        <f t="shared" si="178"/>
        <v>25092371</v>
      </c>
      <c r="V955" s="2212" t="e">
        <f>IF('Report-M&amp;O2122'!C$18-'Report-SOF2122'!D$55&lt;=0,0,'Report-M&amp;O2122'!C$18-'Report-SOF2122'!D$55)</f>
        <v>#DIV/0!</v>
      </c>
      <c r="W955" s="2452" t="e">
        <f t="shared" si="175"/>
        <v>#DIV/0!</v>
      </c>
      <c r="X955" s="1708">
        <f>IF(A955='Data Entry - SOF'!B$2,'Data Entry - SOF'!M$64,0)</f>
        <v>0</v>
      </c>
      <c r="Y955" s="1371" t="e">
        <f t="shared" si="176"/>
        <v>#DIV/0!</v>
      </c>
      <c r="Z955" s="2212" t="e">
        <f>IF('Report-M&amp;O2223'!C$18-'Report-SOF2223'!D$55&lt;=0,0,'Report-M&amp;O2223'!C$18-'Report-SOF2223'!D$55)</f>
        <v>#DIV/0!</v>
      </c>
      <c r="AA955" s="1708">
        <f>IF(A955='Data Entry - SOF'!B$2,'Data Entry - SOF'!O$64,0)</f>
        <v>0</v>
      </c>
    </row>
    <row r="956" spans="1:27" ht="15.75">
      <c r="A956" s="1076" t="s">
        <v>694</v>
      </c>
      <c r="B956">
        <v>21731311.379700899</v>
      </c>
      <c r="C956" s="2452" t="e">
        <f>#REF!+#REF!</f>
        <v>#REF!</v>
      </c>
      <c r="D956" s="2449">
        <f>IF(A956='Data Entry - SOF'!B$2,'Data Entry - SOF'!C$64,0)</f>
        <v>0</v>
      </c>
      <c r="E956" s="2450">
        <f t="shared" si="177"/>
        <v>21731311.379700899</v>
      </c>
      <c r="F956" s="2212" t="e">
        <f>IF('Report-M&amp;O1718'!C$18-'Report-SOF1718'!D$55&lt;=0,0,'Report-M&amp;O1718'!C$18-'Report-SOF1718'!D$55)</f>
        <v>#DIV/0!</v>
      </c>
      <c r="G956" s="2452" t="e">
        <f t="shared" si="169"/>
        <v>#DIV/0!</v>
      </c>
      <c r="H956" s="2449">
        <f>IF(A956='Data Entry - SOF'!B$2,'Data Entry - SOF'!E$64,0)</f>
        <v>0</v>
      </c>
      <c r="I956" s="1687">
        <f t="shared" si="170"/>
        <v>21731311.379700899</v>
      </c>
      <c r="J956" s="2212" t="e">
        <f>IF('Report-M&amp;O1819'!C$18-'Report-SOF1819'!D$55&lt;=0,0,'Report-M&amp;O1819'!C$18-'Report-SOF1819'!D$55)</f>
        <v>#DIV/0!</v>
      </c>
      <c r="K956" s="2452" t="e">
        <f t="shared" si="171"/>
        <v>#DIV/0!</v>
      </c>
      <c r="L956" s="2449">
        <f>IF(A956='Data Entry - SOF'!B$2,'Data Entry - SOF'!G$64,0)</f>
        <v>0</v>
      </c>
      <c r="M956" s="1371">
        <f t="shared" si="172"/>
        <v>21731311.379700899</v>
      </c>
      <c r="N956" s="2212" t="e">
        <f>IF('Report-M&amp;O1920'!C$18-'Report-SOF1920'!D$55&lt;=0,0,'Report-M&amp;O1920'!C$18-'Report-SOF1920'!D$55)</f>
        <v>#DIV/0!</v>
      </c>
      <c r="O956" s="2452" t="e">
        <f t="shared" si="173"/>
        <v>#DIV/0!</v>
      </c>
      <c r="P956" s="2449">
        <f>IF(A956='Data Entry - SOF'!B$2,'Data Entry - SOF'!I$64,0)</f>
        <v>0</v>
      </c>
      <c r="Q956" s="1687">
        <f>M956-P956</f>
        <v>21731311.379700899</v>
      </c>
      <c r="R956" s="2212" t="e">
        <f>IF('Report-M&amp;O2021'!C$18-'Report-SOF2021'!D$55&lt;=0,0,'Report-M&amp;O2021'!C$18-'Report-SOF2021'!D$55)</f>
        <v>#DIV/0!</v>
      </c>
      <c r="S956" s="2452" t="e">
        <f t="shared" si="174"/>
        <v>#DIV/0!</v>
      </c>
      <c r="T956" s="1708">
        <f>IF(A956='Data Entry - SOF'!B$2,'Data Entry - SOF'!K$64,0)</f>
        <v>0</v>
      </c>
      <c r="U956" s="1687">
        <f t="shared" ref="U956:U971" si="179">Q956-T956</f>
        <v>21731311.379700899</v>
      </c>
      <c r="V956" s="2212" t="e">
        <f>IF('Report-M&amp;O2122'!C$18-'Report-SOF2122'!D$55&lt;=0,0,'Report-M&amp;O2122'!C$18-'Report-SOF2122'!D$55)</f>
        <v>#DIV/0!</v>
      </c>
      <c r="W956" s="2452" t="e">
        <f t="shared" si="175"/>
        <v>#DIV/0!</v>
      </c>
      <c r="X956" s="1708">
        <f>IF(A956='Data Entry - SOF'!B$2,'Data Entry - SOF'!M$64,0)</f>
        <v>0</v>
      </c>
      <c r="Y956" s="1371" t="e">
        <f t="shared" si="176"/>
        <v>#DIV/0!</v>
      </c>
      <c r="Z956" s="2212" t="e">
        <f>IF('Report-M&amp;O2223'!C$18-'Report-SOF2223'!D$55&lt;=0,0,'Report-M&amp;O2223'!C$18-'Report-SOF2223'!D$55)</f>
        <v>#DIV/0!</v>
      </c>
      <c r="AA956" s="1708">
        <f>IF(A956='Data Entry - SOF'!B$2,'Data Entry - SOF'!O$64,0)</f>
        <v>0</v>
      </c>
    </row>
    <row r="957" spans="1:27" ht="15.75">
      <c r="A957" s="1076" t="s">
        <v>695</v>
      </c>
      <c r="B957">
        <v>2960164.5753356498</v>
      </c>
      <c r="C957" s="2452" t="e">
        <f>#REF!+#REF!</f>
        <v>#REF!</v>
      </c>
      <c r="D957" s="2449">
        <f>IF(A957='Data Entry - SOF'!B$2,'Data Entry - SOF'!C$64,0)</f>
        <v>0</v>
      </c>
      <c r="E957" s="2450">
        <f t="shared" si="177"/>
        <v>2960164.5753356498</v>
      </c>
      <c r="F957" s="2212" t="e">
        <f>IF('Report-M&amp;O1718'!C$18-'Report-SOF1718'!D$55&lt;=0,0,'Report-M&amp;O1718'!C$18-'Report-SOF1718'!D$55)</f>
        <v>#DIV/0!</v>
      </c>
      <c r="G957" s="2452" t="e">
        <f t="shared" si="169"/>
        <v>#DIV/0!</v>
      </c>
      <c r="H957" s="2449">
        <f>IF(A957='Data Entry - SOF'!B$2,'Data Entry - SOF'!E$64,0)</f>
        <v>0</v>
      </c>
      <c r="I957" s="1687">
        <f t="shared" si="170"/>
        <v>2960164.5753356498</v>
      </c>
      <c r="J957" s="2212" t="e">
        <f>IF('Report-M&amp;O1819'!C$18-'Report-SOF1819'!D$55&lt;=0,0,'Report-M&amp;O1819'!C$18-'Report-SOF1819'!D$55)</f>
        <v>#DIV/0!</v>
      </c>
      <c r="K957" s="2452" t="e">
        <f t="shared" si="171"/>
        <v>#DIV/0!</v>
      </c>
      <c r="L957" s="2449">
        <f>IF(A957='Data Entry - SOF'!B$2,'Data Entry - SOF'!G$64,0)</f>
        <v>0</v>
      </c>
      <c r="M957" s="1371">
        <f t="shared" si="172"/>
        <v>2960164.5753356498</v>
      </c>
      <c r="N957" s="2212" t="e">
        <f>IF('Report-M&amp;O1920'!C$18-'Report-SOF1920'!D$55&lt;=0,0,'Report-M&amp;O1920'!C$18-'Report-SOF1920'!D$55)</f>
        <v>#DIV/0!</v>
      </c>
      <c r="O957" s="2452" t="e">
        <f t="shared" si="173"/>
        <v>#DIV/0!</v>
      </c>
      <c r="P957" s="2449">
        <f>IF(A957='Data Entry - SOF'!B$2,'Data Entry - SOF'!I$64,0)</f>
        <v>0</v>
      </c>
      <c r="Q957" s="1687">
        <f t="shared" ref="Q957:Q1019" si="180">M957-P957</f>
        <v>2960164.5753356498</v>
      </c>
      <c r="R957" s="2212" t="e">
        <f>IF('Report-M&amp;O2021'!C$18-'Report-SOF2021'!D$55&lt;=0,0,'Report-M&amp;O2021'!C$18-'Report-SOF2021'!D$55)</f>
        <v>#DIV/0!</v>
      </c>
      <c r="S957" s="2452" t="e">
        <f t="shared" si="174"/>
        <v>#DIV/0!</v>
      </c>
      <c r="T957" s="1708">
        <f>IF(A957='Data Entry - SOF'!B$2,'Data Entry - SOF'!K$64,0)</f>
        <v>0</v>
      </c>
      <c r="U957" s="1687">
        <f t="shared" si="179"/>
        <v>2960164.5753356498</v>
      </c>
      <c r="V957" s="2212" t="e">
        <f>IF('Report-M&amp;O2122'!C$18-'Report-SOF2122'!D$55&lt;=0,0,'Report-M&amp;O2122'!C$18-'Report-SOF2122'!D$55)</f>
        <v>#DIV/0!</v>
      </c>
      <c r="W957" s="2452" t="e">
        <f t="shared" si="175"/>
        <v>#DIV/0!</v>
      </c>
      <c r="X957" s="1708">
        <f>IF(A957='Data Entry - SOF'!B$2,'Data Entry - SOF'!M$64,0)</f>
        <v>0</v>
      </c>
      <c r="Y957" s="1371" t="e">
        <f t="shared" si="176"/>
        <v>#DIV/0!</v>
      </c>
      <c r="Z957" s="2212" t="e">
        <f>IF('Report-M&amp;O2223'!C$18-'Report-SOF2223'!D$55&lt;=0,0,'Report-M&amp;O2223'!C$18-'Report-SOF2223'!D$55)</f>
        <v>#DIV/0!</v>
      </c>
      <c r="AA957" s="1708">
        <f>IF(A957='Data Entry - SOF'!B$2,'Data Entry - SOF'!O$64,0)</f>
        <v>0</v>
      </c>
    </row>
    <row r="958" spans="1:27" ht="15.75">
      <c r="A958" s="1076" t="s">
        <v>2669</v>
      </c>
      <c r="B958">
        <v>15541165</v>
      </c>
      <c r="C958" s="2452" t="e">
        <f>#REF!+#REF!</f>
        <v>#REF!</v>
      </c>
      <c r="D958" s="2449">
        <f>IF(A958='Data Entry - SOF'!B$2,'Data Entry - SOF'!C$64,0)</f>
        <v>0</v>
      </c>
      <c r="E958" s="2450">
        <f t="shared" si="177"/>
        <v>15541165</v>
      </c>
      <c r="F958" s="2212" t="e">
        <f>IF('Report-M&amp;O1718'!C$18-'Report-SOF1718'!D$55&lt;=0,0,'Report-M&amp;O1718'!C$18-'Report-SOF1718'!D$55)</f>
        <v>#DIV/0!</v>
      </c>
      <c r="G958" s="2452" t="e">
        <f t="shared" si="169"/>
        <v>#DIV/0!</v>
      </c>
      <c r="H958" s="2449">
        <f>IF(A958='Data Entry - SOF'!B$2,'Data Entry - SOF'!E$64,0)</f>
        <v>0</v>
      </c>
      <c r="I958" s="1687">
        <f t="shared" si="170"/>
        <v>15541165</v>
      </c>
      <c r="J958" s="2212" t="e">
        <f>IF('Report-M&amp;O1819'!C$18-'Report-SOF1819'!D$55&lt;=0,0,'Report-M&amp;O1819'!C$18-'Report-SOF1819'!D$55)</f>
        <v>#DIV/0!</v>
      </c>
      <c r="K958" s="2452" t="e">
        <f t="shared" si="171"/>
        <v>#DIV/0!</v>
      </c>
      <c r="L958" s="2449">
        <f>IF(A958='Data Entry - SOF'!B$2,'Data Entry - SOF'!G$64,0)</f>
        <v>0</v>
      </c>
      <c r="M958" s="1371">
        <f t="shared" si="172"/>
        <v>15541165</v>
      </c>
      <c r="N958" s="2212" t="e">
        <f>IF('Report-M&amp;O1920'!C$18-'Report-SOF1920'!D$55&lt;=0,0,'Report-M&amp;O1920'!C$18-'Report-SOF1920'!D$55)</f>
        <v>#DIV/0!</v>
      </c>
      <c r="O958" s="2452" t="e">
        <f t="shared" si="173"/>
        <v>#DIV/0!</v>
      </c>
      <c r="P958" s="2449">
        <f>IF(A958='Data Entry - SOF'!B$2,'Data Entry - SOF'!I$64,0)</f>
        <v>0</v>
      </c>
      <c r="Q958" s="1687">
        <f t="shared" si="180"/>
        <v>15541165</v>
      </c>
      <c r="R958" s="2212" t="e">
        <f>IF('Report-M&amp;O2021'!C$18-'Report-SOF2021'!D$55&lt;=0,0,'Report-M&amp;O2021'!C$18-'Report-SOF2021'!D$55)</f>
        <v>#DIV/0!</v>
      </c>
      <c r="S958" s="2452" t="e">
        <f t="shared" si="174"/>
        <v>#DIV/0!</v>
      </c>
      <c r="T958" s="1708">
        <f>IF(A958='Data Entry - SOF'!B$2,'Data Entry - SOF'!K$64,0)</f>
        <v>0</v>
      </c>
      <c r="U958" s="1687">
        <f t="shared" si="179"/>
        <v>15541165</v>
      </c>
      <c r="V958" s="2212" t="e">
        <f>IF('Report-M&amp;O2122'!C$18-'Report-SOF2122'!D$55&lt;=0,0,'Report-M&amp;O2122'!C$18-'Report-SOF2122'!D$55)</f>
        <v>#DIV/0!</v>
      </c>
      <c r="W958" s="2452" t="e">
        <f t="shared" si="175"/>
        <v>#DIV/0!</v>
      </c>
      <c r="X958" s="1708">
        <f>IF(A958='Data Entry - SOF'!B$2,'Data Entry - SOF'!M$64,0)</f>
        <v>0</v>
      </c>
      <c r="Y958" s="1371" t="e">
        <f t="shared" si="176"/>
        <v>#DIV/0!</v>
      </c>
      <c r="Z958" s="2212" t="e">
        <f>IF('Report-M&amp;O2223'!C$18-'Report-SOF2223'!D$55&lt;=0,0,'Report-M&amp;O2223'!C$18-'Report-SOF2223'!D$55)</f>
        <v>#DIV/0!</v>
      </c>
      <c r="AA958" s="1708">
        <f>IF(A958='Data Entry - SOF'!B$2,'Data Entry - SOF'!O$64,0)</f>
        <v>0</v>
      </c>
    </row>
    <row r="959" spans="1:27" ht="15.75">
      <c r="A959" s="1076" t="s">
        <v>2670</v>
      </c>
      <c r="B959">
        <v>4016685</v>
      </c>
      <c r="C959" s="2452" t="e">
        <f>#REF!+#REF!</f>
        <v>#REF!</v>
      </c>
      <c r="D959" s="2449">
        <f>IF(A959='Data Entry - SOF'!B$2,'Data Entry - SOF'!C$64,0)</f>
        <v>0</v>
      </c>
      <c r="E959" s="2450">
        <f t="shared" si="177"/>
        <v>4016685</v>
      </c>
      <c r="F959" s="2212" t="e">
        <f>IF('Report-M&amp;O1718'!C$18-'Report-SOF1718'!D$55&lt;=0,0,'Report-M&amp;O1718'!C$18-'Report-SOF1718'!D$55)</f>
        <v>#DIV/0!</v>
      </c>
      <c r="G959" s="2452" t="e">
        <f t="shared" si="169"/>
        <v>#DIV/0!</v>
      </c>
      <c r="H959" s="2449">
        <f>IF(A959='Data Entry - SOF'!B$2,'Data Entry - SOF'!E$64,0)</f>
        <v>0</v>
      </c>
      <c r="I959" s="1687">
        <f t="shared" si="170"/>
        <v>4016685</v>
      </c>
      <c r="J959" s="2212" t="e">
        <f>IF('Report-M&amp;O1819'!C$18-'Report-SOF1819'!D$55&lt;=0,0,'Report-M&amp;O1819'!C$18-'Report-SOF1819'!D$55)</f>
        <v>#DIV/0!</v>
      </c>
      <c r="K959" s="2452" t="e">
        <f t="shared" si="171"/>
        <v>#DIV/0!</v>
      </c>
      <c r="L959" s="2449">
        <f>IF(A959='Data Entry - SOF'!B$2,'Data Entry - SOF'!G$64,0)</f>
        <v>0</v>
      </c>
      <c r="M959" s="1371">
        <f t="shared" si="172"/>
        <v>4016685</v>
      </c>
      <c r="N959" s="2212" t="e">
        <f>IF('Report-M&amp;O1920'!C$18-'Report-SOF1920'!D$55&lt;=0,0,'Report-M&amp;O1920'!C$18-'Report-SOF1920'!D$55)</f>
        <v>#DIV/0!</v>
      </c>
      <c r="O959" s="2452" t="e">
        <f t="shared" si="173"/>
        <v>#DIV/0!</v>
      </c>
      <c r="P959" s="2449">
        <f>IF(A959='Data Entry - SOF'!B$2,'Data Entry - SOF'!I$64,0)</f>
        <v>0</v>
      </c>
      <c r="Q959" s="1687">
        <f t="shared" si="180"/>
        <v>4016685</v>
      </c>
      <c r="R959" s="2212" t="e">
        <f>IF('Report-M&amp;O2021'!C$18-'Report-SOF2021'!D$55&lt;=0,0,'Report-M&amp;O2021'!C$18-'Report-SOF2021'!D$55)</f>
        <v>#DIV/0!</v>
      </c>
      <c r="S959" s="2452" t="e">
        <f t="shared" si="174"/>
        <v>#DIV/0!</v>
      </c>
      <c r="T959" s="1708">
        <f>IF(A959='Data Entry - SOF'!B$2,'Data Entry - SOF'!K$64,0)</f>
        <v>0</v>
      </c>
      <c r="U959" s="1687">
        <f t="shared" si="179"/>
        <v>4016685</v>
      </c>
      <c r="V959" s="2212" t="e">
        <f>IF('Report-M&amp;O2122'!C$18-'Report-SOF2122'!D$55&lt;=0,0,'Report-M&amp;O2122'!C$18-'Report-SOF2122'!D$55)</f>
        <v>#DIV/0!</v>
      </c>
      <c r="W959" s="2452" t="e">
        <f t="shared" si="175"/>
        <v>#DIV/0!</v>
      </c>
      <c r="X959" s="1708">
        <f>IF(A959='Data Entry - SOF'!B$2,'Data Entry - SOF'!M$64,0)</f>
        <v>0</v>
      </c>
      <c r="Y959" s="1371" t="e">
        <f t="shared" si="176"/>
        <v>#DIV/0!</v>
      </c>
      <c r="Z959" s="2212" t="e">
        <f>IF('Report-M&amp;O2223'!C$18-'Report-SOF2223'!D$55&lt;=0,0,'Report-M&amp;O2223'!C$18-'Report-SOF2223'!D$55)</f>
        <v>#DIV/0!</v>
      </c>
      <c r="AA959" s="1708">
        <f>IF(A959='Data Entry - SOF'!B$2,'Data Entry - SOF'!O$64,0)</f>
        <v>0</v>
      </c>
    </row>
    <row r="960" spans="1:27" ht="15.75">
      <c r="A960" s="1076" t="s">
        <v>1987</v>
      </c>
      <c r="B960">
        <v>5039026</v>
      </c>
      <c r="C960" s="2452" t="e">
        <f>#REF!+#REF!</f>
        <v>#REF!</v>
      </c>
      <c r="D960" s="2449">
        <f>IF(A960='Data Entry - SOF'!B$2,'Data Entry - SOF'!C$64,0)</f>
        <v>0</v>
      </c>
      <c r="E960" s="2450">
        <f t="shared" si="177"/>
        <v>5039026</v>
      </c>
      <c r="F960" s="2212" t="e">
        <f>IF('Report-M&amp;O1718'!C$18-'Report-SOF1718'!D$55&lt;=0,0,'Report-M&amp;O1718'!C$18-'Report-SOF1718'!D$55)</f>
        <v>#DIV/0!</v>
      </c>
      <c r="G960" s="2452" t="e">
        <f t="shared" si="169"/>
        <v>#DIV/0!</v>
      </c>
      <c r="H960" s="2449">
        <f>IF(A960='Data Entry - SOF'!B$2,'Data Entry - SOF'!E$64,0)</f>
        <v>0</v>
      </c>
      <c r="I960" s="1687">
        <f t="shared" si="170"/>
        <v>5039026</v>
      </c>
      <c r="J960" s="2212" t="e">
        <f>IF('Report-M&amp;O1819'!C$18-'Report-SOF1819'!D$55&lt;=0,0,'Report-M&amp;O1819'!C$18-'Report-SOF1819'!D$55)</f>
        <v>#DIV/0!</v>
      </c>
      <c r="K960" s="2452" t="e">
        <f t="shared" si="171"/>
        <v>#DIV/0!</v>
      </c>
      <c r="L960" s="2449">
        <f>IF(A960='Data Entry - SOF'!B$2,'Data Entry - SOF'!G$64,0)</f>
        <v>0</v>
      </c>
      <c r="M960" s="1371">
        <f t="shared" si="172"/>
        <v>5039026</v>
      </c>
      <c r="N960" s="2212" t="e">
        <f>IF('Report-M&amp;O1920'!C$18-'Report-SOF1920'!D$55&lt;=0,0,'Report-M&amp;O1920'!C$18-'Report-SOF1920'!D$55)</f>
        <v>#DIV/0!</v>
      </c>
      <c r="O960" s="2452" t="e">
        <f t="shared" si="173"/>
        <v>#DIV/0!</v>
      </c>
      <c r="P960" s="2449">
        <f>IF(A960='Data Entry - SOF'!B$2,'Data Entry - SOF'!I$64,0)</f>
        <v>0</v>
      </c>
      <c r="Q960" s="1687">
        <f t="shared" si="180"/>
        <v>5039026</v>
      </c>
      <c r="R960" s="2212" t="e">
        <f>IF('Report-M&amp;O2021'!C$18-'Report-SOF2021'!D$55&lt;=0,0,'Report-M&amp;O2021'!C$18-'Report-SOF2021'!D$55)</f>
        <v>#DIV/0!</v>
      </c>
      <c r="S960" s="2452" t="e">
        <f t="shared" si="174"/>
        <v>#DIV/0!</v>
      </c>
      <c r="T960" s="1708">
        <f>IF(A960='Data Entry - SOF'!B$2,'Data Entry - SOF'!K$64,0)</f>
        <v>0</v>
      </c>
      <c r="U960" s="1687">
        <f t="shared" si="179"/>
        <v>5039026</v>
      </c>
      <c r="V960" s="2212" t="e">
        <f>IF('Report-M&amp;O2122'!C$18-'Report-SOF2122'!D$55&lt;=0,0,'Report-M&amp;O2122'!C$18-'Report-SOF2122'!D$55)</f>
        <v>#DIV/0!</v>
      </c>
      <c r="W960" s="2452" t="e">
        <f t="shared" si="175"/>
        <v>#DIV/0!</v>
      </c>
      <c r="X960" s="1708">
        <f>IF(A960='Data Entry - SOF'!B$2,'Data Entry - SOF'!M$64,0)</f>
        <v>0</v>
      </c>
      <c r="Y960" s="1371" t="e">
        <f t="shared" si="176"/>
        <v>#DIV/0!</v>
      </c>
      <c r="Z960" s="2212" t="e">
        <f>IF('Report-M&amp;O2223'!C$18-'Report-SOF2223'!D$55&lt;=0,0,'Report-M&amp;O2223'!C$18-'Report-SOF2223'!D$55)</f>
        <v>#DIV/0!</v>
      </c>
      <c r="AA960" s="1708">
        <f>IF(A960='Data Entry - SOF'!B$2,'Data Entry - SOF'!O$64,0)</f>
        <v>0</v>
      </c>
    </row>
    <row r="961" spans="1:27" ht="15.75">
      <c r="A961" s="1076" t="s">
        <v>1713</v>
      </c>
      <c r="B961">
        <v>53271505</v>
      </c>
      <c r="C961" s="2452" t="e">
        <f>#REF!+#REF!</f>
        <v>#REF!</v>
      </c>
      <c r="D961" s="2449">
        <f>IF(A961='Data Entry - SOF'!B$2,'Data Entry - SOF'!C$64,0)</f>
        <v>0</v>
      </c>
      <c r="E961" s="2450">
        <f t="shared" si="177"/>
        <v>53271505</v>
      </c>
      <c r="F961" s="2212" t="e">
        <f>IF('Report-M&amp;O1718'!C$18-'Report-SOF1718'!D$55&lt;=0,0,'Report-M&amp;O1718'!C$18-'Report-SOF1718'!D$55)</f>
        <v>#DIV/0!</v>
      </c>
      <c r="G961" s="2452" t="e">
        <f t="shared" si="169"/>
        <v>#DIV/0!</v>
      </c>
      <c r="H961" s="2449">
        <f>IF(A961='Data Entry - SOF'!B$2,'Data Entry - SOF'!E$64,0)</f>
        <v>0</v>
      </c>
      <c r="I961" s="1687">
        <f t="shared" si="170"/>
        <v>53271505</v>
      </c>
      <c r="J961" s="2212" t="e">
        <f>IF('Report-M&amp;O1819'!C$18-'Report-SOF1819'!D$55&lt;=0,0,'Report-M&amp;O1819'!C$18-'Report-SOF1819'!D$55)</f>
        <v>#DIV/0!</v>
      </c>
      <c r="K961" s="2452" t="e">
        <f t="shared" si="171"/>
        <v>#DIV/0!</v>
      </c>
      <c r="L961" s="2449">
        <f>IF(A961='Data Entry - SOF'!B$2,'Data Entry - SOF'!G$64,0)</f>
        <v>0</v>
      </c>
      <c r="M961" s="1371">
        <f t="shared" si="172"/>
        <v>53271505</v>
      </c>
      <c r="N961" s="2212" t="e">
        <f>IF('Report-M&amp;O1920'!C$18-'Report-SOF1920'!D$55&lt;=0,0,'Report-M&amp;O1920'!C$18-'Report-SOF1920'!D$55)</f>
        <v>#DIV/0!</v>
      </c>
      <c r="O961" s="2452" t="e">
        <f t="shared" si="173"/>
        <v>#DIV/0!</v>
      </c>
      <c r="P961" s="2449">
        <f>IF(A961='Data Entry - SOF'!B$2,'Data Entry - SOF'!I$64,0)</f>
        <v>0</v>
      </c>
      <c r="Q961" s="1687">
        <f t="shared" si="180"/>
        <v>53271505</v>
      </c>
      <c r="R961" s="2212" t="e">
        <f>IF('Report-M&amp;O2021'!C$18-'Report-SOF2021'!D$55&lt;=0,0,'Report-M&amp;O2021'!C$18-'Report-SOF2021'!D$55)</f>
        <v>#DIV/0!</v>
      </c>
      <c r="S961" s="2452" t="e">
        <f t="shared" si="174"/>
        <v>#DIV/0!</v>
      </c>
      <c r="T961" s="1708">
        <f>IF(A961='Data Entry - SOF'!B$2,'Data Entry - SOF'!K$64,0)</f>
        <v>0</v>
      </c>
      <c r="U961" s="1687">
        <f t="shared" si="179"/>
        <v>53271505</v>
      </c>
      <c r="V961" s="2212" t="e">
        <f>IF('Report-M&amp;O2122'!C$18-'Report-SOF2122'!D$55&lt;=0,0,'Report-M&amp;O2122'!C$18-'Report-SOF2122'!D$55)</f>
        <v>#DIV/0!</v>
      </c>
      <c r="W961" s="2452" t="e">
        <f t="shared" si="175"/>
        <v>#DIV/0!</v>
      </c>
      <c r="X961" s="1708">
        <f>IF(A961='Data Entry - SOF'!B$2,'Data Entry - SOF'!M$64,0)</f>
        <v>0</v>
      </c>
      <c r="Y961" s="1371" t="e">
        <f t="shared" si="176"/>
        <v>#DIV/0!</v>
      </c>
      <c r="Z961" s="2212" t="e">
        <f>IF('Report-M&amp;O2223'!C$18-'Report-SOF2223'!D$55&lt;=0,0,'Report-M&amp;O2223'!C$18-'Report-SOF2223'!D$55)</f>
        <v>#DIV/0!</v>
      </c>
      <c r="AA961" s="1708">
        <f>IF(A961='Data Entry - SOF'!B$2,'Data Entry - SOF'!O$64,0)</f>
        <v>0</v>
      </c>
    </row>
    <row r="962" spans="1:27" ht="15.75">
      <c r="A962" s="1076" t="s">
        <v>1043</v>
      </c>
      <c r="B962">
        <v>9711985</v>
      </c>
      <c r="C962" s="2452" t="e">
        <f>#REF!+#REF!</f>
        <v>#REF!</v>
      </c>
      <c r="D962" s="2449">
        <f>IF(A962='Data Entry - SOF'!B$2,'Data Entry - SOF'!C$64,0)</f>
        <v>0</v>
      </c>
      <c r="E962" s="2450">
        <f t="shared" si="177"/>
        <v>9711985</v>
      </c>
      <c r="F962" s="2212" t="e">
        <f>IF('Report-M&amp;O1718'!C$18-'Report-SOF1718'!D$55&lt;=0,0,'Report-M&amp;O1718'!C$18-'Report-SOF1718'!D$55)</f>
        <v>#DIV/0!</v>
      </c>
      <c r="G962" s="2452" t="e">
        <f t="shared" si="169"/>
        <v>#DIV/0!</v>
      </c>
      <c r="H962" s="2449">
        <f>IF(A962='Data Entry - SOF'!B$2,'Data Entry - SOF'!E$64,0)</f>
        <v>0</v>
      </c>
      <c r="I962" s="1687">
        <f t="shared" si="170"/>
        <v>9711985</v>
      </c>
      <c r="J962" s="2212" t="e">
        <f>IF('Report-M&amp;O1819'!C$18-'Report-SOF1819'!D$55&lt;=0,0,'Report-M&amp;O1819'!C$18-'Report-SOF1819'!D$55)</f>
        <v>#DIV/0!</v>
      </c>
      <c r="K962" s="2452" t="e">
        <f t="shared" si="171"/>
        <v>#DIV/0!</v>
      </c>
      <c r="L962" s="2449">
        <f>IF(A962='Data Entry - SOF'!B$2,'Data Entry - SOF'!G$64,0)</f>
        <v>0</v>
      </c>
      <c r="M962" s="1371">
        <f t="shared" si="172"/>
        <v>9711985</v>
      </c>
      <c r="N962" s="2212" t="e">
        <f>IF('Report-M&amp;O1920'!C$18-'Report-SOF1920'!D$55&lt;=0,0,'Report-M&amp;O1920'!C$18-'Report-SOF1920'!D$55)</f>
        <v>#DIV/0!</v>
      </c>
      <c r="O962" s="2452" t="e">
        <f t="shared" si="173"/>
        <v>#DIV/0!</v>
      </c>
      <c r="P962" s="2449">
        <f>IF(A962='Data Entry - SOF'!B$2,'Data Entry - SOF'!I$64,0)</f>
        <v>0</v>
      </c>
      <c r="Q962" s="1687">
        <f t="shared" si="180"/>
        <v>9711985</v>
      </c>
      <c r="R962" s="2212" t="e">
        <f>IF('Report-M&amp;O2021'!C$18-'Report-SOF2021'!D$55&lt;=0,0,'Report-M&amp;O2021'!C$18-'Report-SOF2021'!D$55)</f>
        <v>#DIV/0!</v>
      </c>
      <c r="S962" s="2452" t="e">
        <f t="shared" si="174"/>
        <v>#DIV/0!</v>
      </c>
      <c r="T962" s="1708">
        <f>IF(A962='Data Entry - SOF'!B$2,'Data Entry - SOF'!K$64,0)</f>
        <v>0</v>
      </c>
      <c r="U962" s="1687">
        <f t="shared" si="179"/>
        <v>9711985</v>
      </c>
      <c r="V962" s="2212" t="e">
        <f>IF('Report-M&amp;O2122'!C$18-'Report-SOF2122'!D$55&lt;=0,0,'Report-M&amp;O2122'!C$18-'Report-SOF2122'!D$55)</f>
        <v>#DIV/0!</v>
      </c>
      <c r="W962" s="2452" t="e">
        <f t="shared" si="175"/>
        <v>#DIV/0!</v>
      </c>
      <c r="X962" s="1708">
        <f>IF(A962='Data Entry - SOF'!B$2,'Data Entry - SOF'!M$64,0)</f>
        <v>0</v>
      </c>
      <c r="Y962" s="1371" t="e">
        <f t="shared" si="176"/>
        <v>#DIV/0!</v>
      </c>
      <c r="Z962" s="2212" t="e">
        <f>IF('Report-M&amp;O2223'!C$18-'Report-SOF2223'!D$55&lt;=0,0,'Report-M&amp;O2223'!C$18-'Report-SOF2223'!D$55)</f>
        <v>#DIV/0!</v>
      </c>
      <c r="AA962" s="1708">
        <f>IF(A962='Data Entry - SOF'!B$2,'Data Entry - SOF'!O$64,0)</f>
        <v>0</v>
      </c>
    </row>
    <row r="963" spans="1:27" ht="15.75">
      <c r="A963" s="1076" t="s">
        <v>1044</v>
      </c>
      <c r="B963">
        <v>2298401</v>
      </c>
      <c r="C963" s="2452" t="e">
        <f>#REF!+#REF!</f>
        <v>#REF!</v>
      </c>
      <c r="D963" s="2449">
        <f>IF(A963='Data Entry - SOF'!B$2,'Data Entry - SOF'!C$64,0)</f>
        <v>0</v>
      </c>
      <c r="E963" s="2450">
        <f t="shared" si="177"/>
        <v>2298401</v>
      </c>
      <c r="F963" s="2212" t="e">
        <f>IF('Report-M&amp;O1718'!C$18-'Report-SOF1718'!D$55&lt;=0,0,'Report-M&amp;O1718'!C$18-'Report-SOF1718'!D$55)</f>
        <v>#DIV/0!</v>
      </c>
      <c r="G963" s="2452" t="e">
        <f t="shared" si="169"/>
        <v>#DIV/0!</v>
      </c>
      <c r="H963" s="2449">
        <f>IF(A963='Data Entry - SOF'!B$2,'Data Entry - SOF'!E$64,0)</f>
        <v>0</v>
      </c>
      <c r="I963" s="1687">
        <f t="shared" si="170"/>
        <v>2298401</v>
      </c>
      <c r="J963" s="2212" t="e">
        <f>IF('Report-M&amp;O1819'!C$18-'Report-SOF1819'!D$55&lt;=0,0,'Report-M&amp;O1819'!C$18-'Report-SOF1819'!D$55)</f>
        <v>#DIV/0!</v>
      </c>
      <c r="K963" s="2452" t="e">
        <f t="shared" si="171"/>
        <v>#DIV/0!</v>
      </c>
      <c r="L963" s="2449">
        <f>IF(A963='Data Entry - SOF'!B$2,'Data Entry - SOF'!G$64,0)</f>
        <v>0</v>
      </c>
      <c r="M963" s="1371">
        <f t="shared" si="172"/>
        <v>2298401</v>
      </c>
      <c r="N963" s="2212" t="e">
        <f>IF('Report-M&amp;O1920'!C$18-'Report-SOF1920'!D$55&lt;=0,0,'Report-M&amp;O1920'!C$18-'Report-SOF1920'!D$55)</f>
        <v>#DIV/0!</v>
      </c>
      <c r="O963" s="2452" t="e">
        <f t="shared" si="173"/>
        <v>#DIV/0!</v>
      </c>
      <c r="P963" s="2449">
        <f>IF(A963='Data Entry - SOF'!B$2,'Data Entry - SOF'!I$64,0)</f>
        <v>0</v>
      </c>
      <c r="Q963" s="1687">
        <f t="shared" si="180"/>
        <v>2298401</v>
      </c>
      <c r="R963" s="2212" t="e">
        <f>IF('Report-M&amp;O2021'!C$18-'Report-SOF2021'!D$55&lt;=0,0,'Report-M&amp;O2021'!C$18-'Report-SOF2021'!D$55)</f>
        <v>#DIV/0!</v>
      </c>
      <c r="S963" s="2452" t="e">
        <f t="shared" si="174"/>
        <v>#DIV/0!</v>
      </c>
      <c r="T963" s="1708">
        <f>IF(A963='Data Entry - SOF'!B$2,'Data Entry - SOF'!K$64,0)</f>
        <v>0</v>
      </c>
      <c r="U963" s="1687">
        <f t="shared" si="179"/>
        <v>2298401</v>
      </c>
      <c r="V963" s="2212" t="e">
        <f>IF('Report-M&amp;O2122'!C$18-'Report-SOF2122'!D$55&lt;=0,0,'Report-M&amp;O2122'!C$18-'Report-SOF2122'!D$55)</f>
        <v>#DIV/0!</v>
      </c>
      <c r="W963" s="2452" t="e">
        <f t="shared" si="175"/>
        <v>#DIV/0!</v>
      </c>
      <c r="X963" s="1708">
        <f>IF(A963='Data Entry - SOF'!B$2,'Data Entry - SOF'!M$64,0)</f>
        <v>0</v>
      </c>
      <c r="Y963" s="1371" t="e">
        <f t="shared" si="176"/>
        <v>#DIV/0!</v>
      </c>
      <c r="Z963" s="2212" t="e">
        <f>IF('Report-M&amp;O2223'!C$18-'Report-SOF2223'!D$55&lt;=0,0,'Report-M&amp;O2223'!C$18-'Report-SOF2223'!D$55)</f>
        <v>#DIV/0!</v>
      </c>
      <c r="AA963" s="1708">
        <f>IF(A963='Data Entry - SOF'!B$2,'Data Entry - SOF'!O$64,0)</f>
        <v>0</v>
      </c>
    </row>
    <row r="964" spans="1:27" ht="15.75">
      <c r="A964" s="1076" t="s">
        <v>1045</v>
      </c>
      <c r="B964">
        <v>3582338</v>
      </c>
      <c r="C964" s="2452" t="e">
        <f>#REF!+#REF!</f>
        <v>#REF!</v>
      </c>
      <c r="D964" s="2449">
        <f>IF(A964='Data Entry - SOF'!B$2,'Data Entry - SOF'!C$64,0)</f>
        <v>0</v>
      </c>
      <c r="E964" s="2450">
        <f t="shared" si="177"/>
        <v>3582338</v>
      </c>
      <c r="F964" s="2212" t="e">
        <f>IF('Report-M&amp;O1718'!C$18-'Report-SOF1718'!D$55&lt;=0,0,'Report-M&amp;O1718'!C$18-'Report-SOF1718'!D$55)</f>
        <v>#DIV/0!</v>
      </c>
      <c r="G964" s="2452" t="e">
        <f t="shared" ref="G964:G1021" si="181">E964+F964</f>
        <v>#DIV/0!</v>
      </c>
      <c r="H964" s="2449">
        <f>IF(A964='Data Entry - SOF'!B$2,'Data Entry - SOF'!E$64,0)</f>
        <v>0</v>
      </c>
      <c r="I964" s="1687">
        <f t="shared" ref="I964:I1021" si="182">E964-H964</f>
        <v>3582338</v>
      </c>
      <c r="J964" s="2212" t="e">
        <f>IF('Report-M&amp;O1819'!C$18-'Report-SOF1819'!D$55&lt;=0,0,'Report-M&amp;O1819'!C$18-'Report-SOF1819'!D$55)</f>
        <v>#DIV/0!</v>
      </c>
      <c r="K964" s="2452" t="e">
        <f t="shared" ref="K964:K1021" si="183">I964+J964</f>
        <v>#DIV/0!</v>
      </c>
      <c r="L964" s="2449">
        <f>IF(A964='Data Entry - SOF'!B$2,'Data Entry - SOF'!G$64,0)</f>
        <v>0</v>
      </c>
      <c r="M964" s="1371">
        <f t="shared" ref="M964:M1021" si="184">I964-L964</f>
        <v>3582338</v>
      </c>
      <c r="N964" s="2212" t="e">
        <f>IF('Report-M&amp;O1920'!C$18-'Report-SOF1920'!D$55&lt;=0,0,'Report-M&amp;O1920'!C$18-'Report-SOF1920'!D$55)</f>
        <v>#DIV/0!</v>
      </c>
      <c r="O964" s="2452" t="e">
        <f t="shared" ref="O964:O1021" si="185">M964+N964</f>
        <v>#DIV/0!</v>
      </c>
      <c r="P964" s="2449">
        <f>IF(A964='Data Entry - SOF'!B$2,'Data Entry - SOF'!I$64,0)</f>
        <v>0</v>
      </c>
      <c r="Q964" s="1687">
        <f t="shared" si="180"/>
        <v>3582338</v>
      </c>
      <c r="R964" s="2212" t="e">
        <f>IF('Report-M&amp;O2021'!C$18-'Report-SOF2021'!D$55&lt;=0,0,'Report-M&amp;O2021'!C$18-'Report-SOF2021'!D$55)</f>
        <v>#DIV/0!</v>
      </c>
      <c r="S964" s="2452" t="e">
        <f t="shared" ref="S964:S1021" si="186">Q964+R964</f>
        <v>#DIV/0!</v>
      </c>
      <c r="T964" s="1708">
        <f>IF(A964='Data Entry - SOF'!B$2,'Data Entry - SOF'!K$64,0)</f>
        <v>0</v>
      </c>
      <c r="U964" s="1687">
        <f t="shared" si="179"/>
        <v>3582338</v>
      </c>
      <c r="V964" s="2212" t="e">
        <f>IF('Report-M&amp;O2122'!C$18-'Report-SOF2122'!D$55&lt;=0,0,'Report-M&amp;O2122'!C$18-'Report-SOF2122'!D$55)</f>
        <v>#DIV/0!</v>
      </c>
      <c r="W964" s="2452" t="e">
        <f t="shared" ref="W964:W1021" si="187">U964+V964</f>
        <v>#DIV/0!</v>
      </c>
      <c r="X964" s="1708">
        <f>IF(A964='Data Entry - SOF'!B$2,'Data Entry - SOF'!M$64,0)</f>
        <v>0</v>
      </c>
      <c r="Y964" s="1371" t="e">
        <f t="shared" ref="Y964:Y1021" si="188">IF(U964+V964-X964&lt;=0,0,U964+V964-X964)</f>
        <v>#DIV/0!</v>
      </c>
      <c r="Z964" s="2212" t="e">
        <f>IF('Report-M&amp;O2223'!C$18-'Report-SOF2223'!D$55&lt;=0,0,'Report-M&amp;O2223'!C$18-'Report-SOF2223'!D$55)</f>
        <v>#DIV/0!</v>
      </c>
      <c r="AA964" s="1708">
        <f>IF(A964='Data Entry - SOF'!B$2,'Data Entry - SOF'!O$64,0)</f>
        <v>0</v>
      </c>
    </row>
    <row r="965" spans="1:27" ht="15.75">
      <c r="A965" s="1076" t="s">
        <v>624</v>
      </c>
      <c r="B965">
        <v>6092175</v>
      </c>
      <c r="C965" s="2452" t="e">
        <f>#REF!+#REF!</f>
        <v>#REF!</v>
      </c>
      <c r="D965" s="2449">
        <f>IF(A965='Data Entry - SOF'!B$2,'Data Entry - SOF'!C$64,0)</f>
        <v>0</v>
      </c>
      <c r="E965" s="2450">
        <f t="shared" ref="E965:E1021" si="189">IF(B965-D965&lt;0,0,B965-D965)</f>
        <v>6092175</v>
      </c>
      <c r="F965" s="2212" t="e">
        <f>IF('Report-M&amp;O1718'!C$18-'Report-SOF1718'!D$55&lt;=0,0,'Report-M&amp;O1718'!C$18-'Report-SOF1718'!D$55)</f>
        <v>#DIV/0!</v>
      </c>
      <c r="G965" s="2452" t="e">
        <f t="shared" si="181"/>
        <v>#DIV/0!</v>
      </c>
      <c r="H965" s="2449">
        <f>IF(A965='Data Entry - SOF'!B$2,'Data Entry - SOF'!E$64,0)</f>
        <v>0</v>
      </c>
      <c r="I965" s="1687">
        <f t="shared" si="182"/>
        <v>6092175</v>
      </c>
      <c r="J965" s="2212" t="e">
        <f>IF('Report-M&amp;O1819'!C$18-'Report-SOF1819'!D$55&lt;=0,0,'Report-M&amp;O1819'!C$18-'Report-SOF1819'!D$55)</f>
        <v>#DIV/0!</v>
      </c>
      <c r="K965" s="2452" t="e">
        <f t="shared" si="183"/>
        <v>#DIV/0!</v>
      </c>
      <c r="L965" s="2449">
        <f>IF(A965='Data Entry - SOF'!B$2,'Data Entry - SOF'!G$64,0)</f>
        <v>0</v>
      </c>
      <c r="M965" s="1371">
        <f t="shared" si="184"/>
        <v>6092175</v>
      </c>
      <c r="N965" s="2212" t="e">
        <f>IF('Report-M&amp;O1920'!C$18-'Report-SOF1920'!D$55&lt;=0,0,'Report-M&amp;O1920'!C$18-'Report-SOF1920'!D$55)</f>
        <v>#DIV/0!</v>
      </c>
      <c r="O965" s="2452" t="e">
        <f t="shared" si="185"/>
        <v>#DIV/0!</v>
      </c>
      <c r="P965" s="2449">
        <f>IF(A965='Data Entry - SOF'!B$2,'Data Entry - SOF'!I$64,0)</f>
        <v>0</v>
      </c>
      <c r="Q965" s="1687">
        <f t="shared" si="180"/>
        <v>6092175</v>
      </c>
      <c r="R965" s="2212" t="e">
        <f>IF('Report-M&amp;O2021'!C$18-'Report-SOF2021'!D$55&lt;=0,0,'Report-M&amp;O2021'!C$18-'Report-SOF2021'!D$55)</f>
        <v>#DIV/0!</v>
      </c>
      <c r="S965" s="2452" t="e">
        <f t="shared" si="186"/>
        <v>#DIV/0!</v>
      </c>
      <c r="T965" s="1708">
        <f>IF(A965='Data Entry - SOF'!B$2,'Data Entry - SOF'!K$64,0)</f>
        <v>0</v>
      </c>
      <c r="U965" s="1687">
        <f t="shared" si="179"/>
        <v>6092175</v>
      </c>
      <c r="V965" s="2212" t="e">
        <f>IF('Report-M&amp;O2122'!C$18-'Report-SOF2122'!D$55&lt;=0,0,'Report-M&amp;O2122'!C$18-'Report-SOF2122'!D$55)</f>
        <v>#DIV/0!</v>
      </c>
      <c r="W965" s="2452" t="e">
        <f t="shared" si="187"/>
        <v>#DIV/0!</v>
      </c>
      <c r="X965" s="1708">
        <f>IF(A965='Data Entry - SOF'!B$2,'Data Entry - SOF'!M$64,0)</f>
        <v>0</v>
      </c>
      <c r="Y965" s="1371" t="e">
        <f t="shared" si="188"/>
        <v>#DIV/0!</v>
      </c>
      <c r="Z965" s="2212" t="e">
        <f>IF('Report-M&amp;O2223'!C$18-'Report-SOF2223'!D$55&lt;=0,0,'Report-M&amp;O2223'!C$18-'Report-SOF2223'!D$55)</f>
        <v>#DIV/0!</v>
      </c>
      <c r="AA965" s="1708">
        <f>IF(A965='Data Entry - SOF'!B$2,'Data Entry - SOF'!O$64,0)</f>
        <v>0</v>
      </c>
    </row>
    <row r="966" spans="1:27" ht="15.75">
      <c r="A966" s="1076" t="s">
        <v>1014</v>
      </c>
      <c r="B966">
        <v>9697985</v>
      </c>
      <c r="C966" s="2452" t="e">
        <f>#REF!+#REF!</f>
        <v>#REF!</v>
      </c>
      <c r="D966" s="2449">
        <f>IF(A966='Data Entry - SOF'!B$2,'Data Entry - SOF'!C$64,0)</f>
        <v>0</v>
      </c>
      <c r="E966" s="2450">
        <f t="shared" si="189"/>
        <v>9697985</v>
      </c>
      <c r="F966" s="2212" t="e">
        <f>IF('Report-M&amp;O1718'!C$18-'Report-SOF1718'!D$55&lt;=0,0,'Report-M&amp;O1718'!C$18-'Report-SOF1718'!D$55)</f>
        <v>#DIV/0!</v>
      </c>
      <c r="G966" s="2452" t="e">
        <f t="shared" si="181"/>
        <v>#DIV/0!</v>
      </c>
      <c r="H966" s="2449">
        <f>IF(A966='Data Entry - SOF'!B$2,'Data Entry - SOF'!E$64,0)</f>
        <v>0</v>
      </c>
      <c r="I966" s="1687">
        <f t="shared" si="182"/>
        <v>9697985</v>
      </c>
      <c r="J966" s="2212" t="e">
        <f>IF('Report-M&amp;O1819'!C$18-'Report-SOF1819'!D$55&lt;=0,0,'Report-M&amp;O1819'!C$18-'Report-SOF1819'!D$55)</f>
        <v>#DIV/0!</v>
      </c>
      <c r="K966" s="2452" t="e">
        <f t="shared" si="183"/>
        <v>#DIV/0!</v>
      </c>
      <c r="L966" s="2449">
        <f>IF(A966='Data Entry - SOF'!B$2,'Data Entry - SOF'!G$64,0)</f>
        <v>0</v>
      </c>
      <c r="M966" s="1371">
        <f t="shared" si="184"/>
        <v>9697985</v>
      </c>
      <c r="N966" s="2212" t="e">
        <f>IF('Report-M&amp;O1920'!C$18-'Report-SOF1920'!D$55&lt;=0,0,'Report-M&amp;O1920'!C$18-'Report-SOF1920'!D$55)</f>
        <v>#DIV/0!</v>
      </c>
      <c r="O966" s="2452" t="e">
        <f t="shared" si="185"/>
        <v>#DIV/0!</v>
      </c>
      <c r="P966" s="2449">
        <f>IF(A966='Data Entry - SOF'!B$2,'Data Entry - SOF'!I$64,0)</f>
        <v>0</v>
      </c>
      <c r="Q966" s="1687">
        <f t="shared" si="180"/>
        <v>9697985</v>
      </c>
      <c r="R966" s="2212" t="e">
        <f>IF('Report-M&amp;O2021'!C$18-'Report-SOF2021'!D$55&lt;=0,0,'Report-M&amp;O2021'!C$18-'Report-SOF2021'!D$55)</f>
        <v>#DIV/0!</v>
      </c>
      <c r="S966" s="2452" t="e">
        <f t="shared" si="186"/>
        <v>#DIV/0!</v>
      </c>
      <c r="T966" s="1708">
        <f>IF(A966='Data Entry - SOF'!B$2,'Data Entry - SOF'!K$64,0)</f>
        <v>0</v>
      </c>
      <c r="U966" s="1687">
        <f t="shared" si="179"/>
        <v>9697985</v>
      </c>
      <c r="V966" s="2212" t="e">
        <f>IF('Report-M&amp;O2122'!C$18-'Report-SOF2122'!D$55&lt;=0,0,'Report-M&amp;O2122'!C$18-'Report-SOF2122'!D$55)</f>
        <v>#DIV/0!</v>
      </c>
      <c r="W966" s="2452" t="e">
        <f t="shared" si="187"/>
        <v>#DIV/0!</v>
      </c>
      <c r="X966" s="1708">
        <f>IF(A966='Data Entry - SOF'!B$2,'Data Entry - SOF'!M$64,0)</f>
        <v>0</v>
      </c>
      <c r="Y966" s="1371" t="e">
        <f t="shared" si="188"/>
        <v>#DIV/0!</v>
      </c>
      <c r="Z966" s="2212" t="e">
        <f>IF('Report-M&amp;O2223'!C$18-'Report-SOF2223'!D$55&lt;=0,0,'Report-M&amp;O2223'!C$18-'Report-SOF2223'!D$55)</f>
        <v>#DIV/0!</v>
      </c>
      <c r="AA966" s="1708">
        <f>IF(A966='Data Entry - SOF'!B$2,'Data Entry - SOF'!O$64,0)</f>
        <v>0</v>
      </c>
    </row>
    <row r="967" spans="1:27" ht="15.75">
      <c r="A967" s="1076" t="s">
        <v>1015</v>
      </c>
      <c r="B967">
        <v>1952897</v>
      </c>
      <c r="C967" s="2452" t="e">
        <f>#REF!+#REF!</f>
        <v>#REF!</v>
      </c>
      <c r="D967" s="2449">
        <f>IF(A967='Data Entry - SOF'!B$2,'Data Entry - SOF'!C$64,0)</f>
        <v>0</v>
      </c>
      <c r="E967" s="2450">
        <f t="shared" si="189"/>
        <v>1952897</v>
      </c>
      <c r="F967" s="2212" t="e">
        <f>IF('Report-M&amp;O1718'!C$18-'Report-SOF1718'!D$55&lt;=0,0,'Report-M&amp;O1718'!C$18-'Report-SOF1718'!D$55)</f>
        <v>#DIV/0!</v>
      </c>
      <c r="G967" s="2452" t="e">
        <f t="shared" si="181"/>
        <v>#DIV/0!</v>
      </c>
      <c r="H967" s="2449">
        <f>IF(A967='Data Entry - SOF'!B$2,'Data Entry - SOF'!E$64,0)</f>
        <v>0</v>
      </c>
      <c r="I967" s="1687">
        <f t="shared" si="182"/>
        <v>1952897</v>
      </c>
      <c r="J967" s="2212" t="e">
        <f>IF('Report-M&amp;O1819'!C$18-'Report-SOF1819'!D$55&lt;=0,0,'Report-M&amp;O1819'!C$18-'Report-SOF1819'!D$55)</f>
        <v>#DIV/0!</v>
      </c>
      <c r="K967" s="2452" t="e">
        <f t="shared" si="183"/>
        <v>#DIV/0!</v>
      </c>
      <c r="L967" s="2449">
        <f>IF(A967='Data Entry - SOF'!B$2,'Data Entry - SOF'!G$64,0)</f>
        <v>0</v>
      </c>
      <c r="M967" s="1371">
        <f t="shared" si="184"/>
        <v>1952897</v>
      </c>
      <c r="N967" s="2212" t="e">
        <f>IF('Report-M&amp;O1920'!C$18-'Report-SOF1920'!D$55&lt;=0,0,'Report-M&amp;O1920'!C$18-'Report-SOF1920'!D$55)</f>
        <v>#DIV/0!</v>
      </c>
      <c r="O967" s="2452" t="e">
        <f t="shared" si="185"/>
        <v>#DIV/0!</v>
      </c>
      <c r="P967" s="2449">
        <f>IF(A967='Data Entry - SOF'!B$2,'Data Entry - SOF'!I$64,0)</f>
        <v>0</v>
      </c>
      <c r="Q967" s="1687">
        <f t="shared" si="180"/>
        <v>1952897</v>
      </c>
      <c r="R967" s="2212" t="e">
        <f>IF('Report-M&amp;O2021'!C$18-'Report-SOF2021'!D$55&lt;=0,0,'Report-M&amp;O2021'!C$18-'Report-SOF2021'!D$55)</f>
        <v>#DIV/0!</v>
      </c>
      <c r="S967" s="2452" t="e">
        <f t="shared" si="186"/>
        <v>#DIV/0!</v>
      </c>
      <c r="T967" s="1708">
        <f>IF(A967='Data Entry - SOF'!B$2,'Data Entry - SOF'!K$64,0)</f>
        <v>0</v>
      </c>
      <c r="U967" s="1687">
        <f t="shared" si="179"/>
        <v>1952897</v>
      </c>
      <c r="V967" s="2212" t="e">
        <f>IF('Report-M&amp;O2122'!C$18-'Report-SOF2122'!D$55&lt;=0,0,'Report-M&amp;O2122'!C$18-'Report-SOF2122'!D$55)</f>
        <v>#DIV/0!</v>
      </c>
      <c r="W967" s="2452" t="e">
        <f t="shared" si="187"/>
        <v>#DIV/0!</v>
      </c>
      <c r="X967" s="1708">
        <f>IF(A967='Data Entry - SOF'!B$2,'Data Entry - SOF'!M$64,0)</f>
        <v>0</v>
      </c>
      <c r="Y967" s="1371" t="e">
        <f t="shared" si="188"/>
        <v>#DIV/0!</v>
      </c>
      <c r="Z967" s="2212" t="e">
        <f>IF('Report-M&amp;O2223'!C$18-'Report-SOF2223'!D$55&lt;=0,0,'Report-M&amp;O2223'!C$18-'Report-SOF2223'!D$55)</f>
        <v>#DIV/0!</v>
      </c>
      <c r="AA967" s="1708">
        <f>IF(A967='Data Entry - SOF'!B$2,'Data Entry - SOF'!O$64,0)</f>
        <v>0</v>
      </c>
    </row>
    <row r="968" spans="1:27" ht="15.75">
      <c r="A968" s="1076" t="s">
        <v>1016</v>
      </c>
      <c r="B968">
        <v>978457</v>
      </c>
      <c r="C968" s="2452" t="e">
        <f>#REF!+#REF!</f>
        <v>#REF!</v>
      </c>
      <c r="D968" s="2449">
        <f>IF(A968='Data Entry - SOF'!B$2,'Data Entry - SOF'!C$64,0)</f>
        <v>0</v>
      </c>
      <c r="E968" s="2450">
        <f t="shared" si="189"/>
        <v>978457</v>
      </c>
      <c r="F968" s="2212" t="e">
        <f>IF('Report-M&amp;O1718'!C$18-'Report-SOF1718'!D$55&lt;=0,0,'Report-M&amp;O1718'!C$18-'Report-SOF1718'!D$55)</f>
        <v>#DIV/0!</v>
      </c>
      <c r="G968" s="2452" t="e">
        <f t="shared" si="181"/>
        <v>#DIV/0!</v>
      </c>
      <c r="H968" s="2449">
        <f>IF(A968='Data Entry - SOF'!B$2,'Data Entry - SOF'!E$64,0)</f>
        <v>0</v>
      </c>
      <c r="I968" s="1687">
        <f t="shared" si="182"/>
        <v>978457</v>
      </c>
      <c r="J968" s="2212" t="e">
        <f>IF('Report-M&amp;O1819'!C$18-'Report-SOF1819'!D$55&lt;=0,0,'Report-M&amp;O1819'!C$18-'Report-SOF1819'!D$55)</f>
        <v>#DIV/0!</v>
      </c>
      <c r="K968" s="2452" t="e">
        <f t="shared" si="183"/>
        <v>#DIV/0!</v>
      </c>
      <c r="L968" s="2449">
        <f>IF(A968='Data Entry - SOF'!B$2,'Data Entry - SOF'!G$64,0)</f>
        <v>0</v>
      </c>
      <c r="M968" s="1371">
        <f t="shared" si="184"/>
        <v>978457</v>
      </c>
      <c r="N968" s="2212" t="e">
        <f>IF('Report-M&amp;O1920'!C$18-'Report-SOF1920'!D$55&lt;=0,0,'Report-M&amp;O1920'!C$18-'Report-SOF1920'!D$55)</f>
        <v>#DIV/0!</v>
      </c>
      <c r="O968" s="2452" t="e">
        <f t="shared" si="185"/>
        <v>#DIV/0!</v>
      </c>
      <c r="P968" s="2449">
        <f>IF(A968='Data Entry - SOF'!B$2,'Data Entry - SOF'!I$64,0)</f>
        <v>0</v>
      </c>
      <c r="Q968" s="1687">
        <f t="shared" si="180"/>
        <v>978457</v>
      </c>
      <c r="R968" s="2212" t="e">
        <f>IF('Report-M&amp;O2021'!C$18-'Report-SOF2021'!D$55&lt;=0,0,'Report-M&amp;O2021'!C$18-'Report-SOF2021'!D$55)</f>
        <v>#DIV/0!</v>
      </c>
      <c r="S968" s="2452" t="e">
        <f t="shared" si="186"/>
        <v>#DIV/0!</v>
      </c>
      <c r="T968" s="1708">
        <f>IF(A968='Data Entry - SOF'!B$2,'Data Entry - SOF'!K$64,0)</f>
        <v>0</v>
      </c>
      <c r="U968" s="1687">
        <f t="shared" si="179"/>
        <v>978457</v>
      </c>
      <c r="V968" s="2212" t="e">
        <f>IF('Report-M&amp;O2122'!C$18-'Report-SOF2122'!D$55&lt;=0,0,'Report-M&amp;O2122'!C$18-'Report-SOF2122'!D$55)</f>
        <v>#DIV/0!</v>
      </c>
      <c r="W968" s="2452" t="e">
        <f t="shared" si="187"/>
        <v>#DIV/0!</v>
      </c>
      <c r="X968" s="1708">
        <f>IF(A968='Data Entry - SOF'!B$2,'Data Entry - SOF'!M$64,0)</f>
        <v>0</v>
      </c>
      <c r="Y968" s="1371" t="e">
        <f t="shared" si="188"/>
        <v>#DIV/0!</v>
      </c>
      <c r="Z968" s="2212" t="e">
        <f>IF('Report-M&amp;O2223'!C$18-'Report-SOF2223'!D$55&lt;=0,0,'Report-M&amp;O2223'!C$18-'Report-SOF2223'!D$55)</f>
        <v>#DIV/0!</v>
      </c>
      <c r="AA968" s="1708">
        <f>IF(A968='Data Entry - SOF'!B$2,'Data Entry - SOF'!O$64,0)</f>
        <v>0</v>
      </c>
    </row>
    <row r="969" spans="1:27" ht="15.75">
      <c r="A969" s="1076" t="s">
        <v>1017</v>
      </c>
      <c r="B969">
        <v>5629618.7713487698</v>
      </c>
      <c r="C969" s="2452" t="e">
        <f>#REF!+#REF!</f>
        <v>#REF!</v>
      </c>
      <c r="D969" s="2449">
        <f>IF(A969='Data Entry - SOF'!B$2,'Data Entry - SOF'!C$64,0)</f>
        <v>0</v>
      </c>
      <c r="E969" s="2450">
        <f t="shared" si="189"/>
        <v>5629618.7713487698</v>
      </c>
      <c r="F969" s="2212" t="e">
        <f>IF('Report-M&amp;O1718'!C$18-'Report-SOF1718'!D$55&lt;=0,0,'Report-M&amp;O1718'!C$18-'Report-SOF1718'!D$55)</f>
        <v>#DIV/0!</v>
      </c>
      <c r="G969" s="2452" t="e">
        <f t="shared" si="181"/>
        <v>#DIV/0!</v>
      </c>
      <c r="H969" s="2449">
        <f>IF(A969='Data Entry - SOF'!B$2,'Data Entry - SOF'!E$64,0)</f>
        <v>0</v>
      </c>
      <c r="I969" s="1687">
        <f t="shared" si="182"/>
        <v>5629618.7713487698</v>
      </c>
      <c r="J969" s="2212" t="e">
        <f>IF('Report-M&amp;O1819'!C$18-'Report-SOF1819'!D$55&lt;=0,0,'Report-M&amp;O1819'!C$18-'Report-SOF1819'!D$55)</f>
        <v>#DIV/0!</v>
      </c>
      <c r="K969" s="2452" t="e">
        <f t="shared" si="183"/>
        <v>#DIV/0!</v>
      </c>
      <c r="L969" s="2449">
        <f>IF(A969='Data Entry - SOF'!B$2,'Data Entry - SOF'!G$64,0)</f>
        <v>0</v>
      </c>
      <c r="M969" s="1371">
        <f t="shared" si="184"/>
        <v>5629618.7713487698</v>
      </c>
      <c r="N969" s="2212" t="e">
        <f>IF('Report-M&amp;O1920'!C$18-'Report-SOF1920'!D$55&lt;=0,0,'Report-M&amp;O1920'!C$18-'Report-SOF1920'!D$55)</f>
        <v>#DIV/0!</v>
      </c>
      <c r="O969" s="2452" t="e">
        <f t="shared" si="185"/>
        <v>#DIV/0!</v>
      </c>
      <c r="P969" s="2449">
        <f>IF(A969='Data Entry - SOF'!B$2,'Data Entry - SOF'!I$64,0)</f>
        <v>0</v>
      </c>
      <c r="Q969" s="1687">
        <f t="shared" si="180"/>
        <v>5629618.7713487698</v>
      </c>
      <c r="R969" s="2212" t="e">
        <f>IF('Report-M&amp;O2021'!C$18-'Report-SOF2021'!D$55&lt;=0,0,'Report-M&amp;O2021'!C$18-'Report-SOF2021'!D$55)</f>
        <v>#DIV/0!</v>
      </c>
      <c r="S969" s="2452" t="e">
        <f t="shared" si="186"/>
        <v>#DIV/0!</v>
      </c>
      <c r="T969" s="1708">
        <f>IF(A969='Data Entry - SOF'!B$2,'Data Entry - SOF'!K$64,0)</f>
        <v>0</v>
      </c>
      <c r="U969" s="1687">
        <f t="shared" si="179"/>
        <v>5629618.7713487698</v>
      </c>
      <c r="V969" s="2212" t="e">
        <f>IF('Report-M&amp;O2122'!C$18-'Report-SOF2122'!D$55&lt;=0,0,'Report-M&amp;O2122'!C$18-'Report-SOF2122'!D$55)</f>
        <v>#DIV/0!</v>
      </c>
      <c r="W969" s="2452" t="e">
        <f t="shared" si="187"/>
        <v>#DIV/0!</v>
      </c>
      <c r="X969" s="1708">
        <f>IF(A969='Data Entry - SOF'!B$2,'Data Entry - SOF'!M$64,0)</f>
        <v>0</v>
      </c>
      <c r="Y969" s="1371" t="e">
        <f t="shared" si="188"/>
        <v>#DIV/0!</v>
      </c>
      <c r="Z969" s="2212" t="e">
        <f>IF('Report-M&amp;O2223'!C$18-'Report-SOF2223'!D$55&lt;=0,0,'Report-M&amp;O2223'!C$18-'Report-SOF2223'!D$55)</f>
        <v>#DIV/0!</v>
      </c>
      <c r="AA969" s="1708">
        <f>IF(A969='Data Entry - SOF'!B$2,'Data Entry - SOF'!O$64,0)</f>
        <v>0</v>
      </c>
    </row>
    <row r="970" spans="1:27" ht="15.75">
      <c r="A970" s="1076" t="s">
        <v>1940</v>
      </c>
      <c r="B970">
        <v>4564059</v>
      </c>
      <c r="C970" s="2452" t="e">
        <f>#REF!+#REF!</f>
        <v>#REF!</v>
      </c>
      <c r="D970" s="2449">
        <f>IF(A970='Data Entry - SOF'!B$2,'Data Entry - SOF'!C$64,0)</f>
        <v>0</v>
      </c>
      <c r="E970" s="2450">
        <f t="shared" si="189"/>
        <v>4564059</v>
      </c>
      <c r="F970" s="2212" t="e">
        <f>IF('Report-M&amp;O1718'!C$18-'Report-SOF1718'!D$55&lt;=0,0,'Report-M&amp;O1718'!C$18-'Report-SOF1718'!D$55)</f>
        <v>#DIV/0!</v>
      </c>
      <c r="G970" s="2452" t="e">
        <f t="shared" si="181"/>
        <v>#DIV/0!</v>
      </c>
      <c r="H970" s="2449">
        <f>IF(A970='Data Entry - SOF'!B$2,'Data Entry - SOF'!E$64,0)</f>
        <v>0</v>
      </c>
      <c r="I970" s="1687">
        <f t="shared" si="182"/>
        <v>4564059</v>
      </c>
      <c r="J970" s="2212" t="e">
        <f>IF('Report-M&amp;O1819'!C$18-'Report-SOF1819'!D$55&lt;=0,0,'Report-M&amp;O1819'!C$18-'Report-SOF1819'!D$55)</f>
        <v>#DIV/0!</v>
      </c>
      <c r="K970" s="2452" t="e">
        <f t="shared" si="183"/>
        <v>#DIV/0!</v>
      </c>
      <c r="L970" s="2449">
        <f>IF(A970='Data Entry - SOF'!B$2,'Data Entry - SOF'!G$64,0)</f>
        <v>0</v>
      </c>
      <c r="M970" s="1371">
        <f t="shared" si="184"/>
        <v>4564059</v>
      </c>
      <c r="N970" s="2212" t="e">
        <f>IF('Report-M&amp;O1920'!C$18-'Report-SOF1920'!D$55&lt;=0,0,'Report-M&amp;O1920'!C$18-'Report-SOF1920'!D$55)</f>
        <v>#DIV/0!</v>
      </c>
      <c r="O970" s="2452" t="e">
        <f t="shared" si="185"/>
        <v>#DIV/0!</v>
      </c>
      <c r="P970" s="2449">
        <f>IF(A970='Data Entry - SOF'!B$2,'Data Entry - SOF'!I$64,0)</f>
        <v>0</v>
      </c>
      <c r="Q970" s="1687">
        <f t="shared" si="180"/>
        <v>4564059</v>
      </c>
      <c r="R970" s="2212" t="e">
        <f>IF('Report-M&amp;O2021'!C$18-'Report-SOF2021'!D$55&lt;=0,0,'Report-M&amp;O2021'!C$18-'Report-SOF2021'!D$55)</f>
        <v>#DIV/0!</v>
      </c>
      <c r="S970" s="2452" t="e">
        <f t="shared" si="186"/>
        <v>#DIV/0!</v>
      </c>
      <c r="T970" s="1708">
        <f>IF(A970='Data Entry - SOF'!B$2,'Data Entry - SOF'!K$64,0)</f>
        <v>0</v>
      </c>
      <c r="U970" s="1687">
        <f t="shared" si="179"/>
        <v>4564059</v>
      </c>
      <c r="V970" s="2212" t="e">
        <f>IF('Report-M&amp;O2122'!C$18-'Report-SOF2122'!D$55&lt;=0,0,'Report-M&amp;O2122'!C$18-'Report-SOF2122'!D$55)</f>
        <v>#DIV/0!</v>
      </c>
      <c r="W970" s="2452" t="e">
        <f t="shared" si="187"/>
        <v>#DIV/0!</v>
      </c>
      <c r="X970" s="1708">
        <f>IF(A970='Data Entry - SOF'!B$2,'Data Entry - SOF'!M$64,0)</f>
        <v>0</v>
      </c>
      <c r="Y970" s="1371" t="e">
        <f t="shared" si="188"/>
        <v>#DIV/0!</v>
      </c>
      <c r="Z970" s="2212" t="e">
        <f>IF('Report-M&amp;O2223'!C$18-'Report-SOF2223'!D$55&lt;=0,0,'Report-M&amp;O2223'!C$18-'Report-SOF2223'!D$55)</f>
        <v>#DIV/0!</v>
      </c>
      <c r="AA970" s="1708">
        <f>IF(A970='Data Entry - SOF'!B$2,'Data Entry - SOF'!O$64,0)</f>
        <v>0</v>
      </c>
    </row>
    <row r="971" spans="1:27" ht="15.75">
      <c r="A971" s="1076" t="s">
        <v>2648</v>
      </c>
      <c r="B971">
        <v>7313797</v>
      </c>
      <c r="C971" s="2452" t="e">
        <f>#REF!+#REF!</f>
        <v>#REF!</v>
      </c>
      <c r="D971" s="2449">
        <f>IF(A971='Data Entry - SOF'!B$2,'Data Entry - SOF'!C$64,0)</f>
        <v>0</v>
      </c>
      <c r="E971" s="2450">
        <f t="shared" si="189"/>
        <v>7313797</v>
      </c>
      <c r="F971" s="2212" t="e">
        <f>IF('Report-M&amp;O1718'!C$18-'Report-SOF1718'!D$55&lt;=0,0,'Report-M&amp;O1718'!C$18-'Report-SOF1718'!D$55)</f>
        <v>#DIV/0!</v>
      </c>
      <c r="G971" s="2452" t="e">
        <f t="shared" si="181"/>
        <v>#DIV/0!</v>
      </c>
      <c r="H971" s="2449">
        <f>IF(A971='Data Entry - SOF'!B$2,'Data Entry - SOF'!E$64,0)</f>
        <v>0</v>
      </c>
      <c r="I971" s="1687">
        <f t="shared" si="182"/>
        <v>7313797</v>
      </c>
      <c r="J971" s="2212" t="e">
        <f>IF('Report-M&amp;O1819'!C$18-'Report-SOF1819'!D$55&lt;=0,0,'Report-M&amp;O1819'!C$18-'Report-SOF1819'!D$55)</f>
        <v>#DIV/0!</v>
      </c>
      <c r="K971" s="2452" t="e">
        <f t="shared" si="183"/>
        <v>#DIV/0!</v>
      </c>
      <c r="L971" s="2449">
        <f>IF(A971='Data Entry - SOF'!B$2,'Data Entry - SOF'!G$64,0)</f>
        <v>0</v>
      </c>
      <c r="M971" s="1371">
        <f t="shared" si="184"/>
        <v>7313797</v>
      </c>
      <c r="N971" s="2212" t="e">
        <f>IF('Report-M&amp;O1920'!C$18-'Report-SOF1920'!D$55&lt;=0,0,'Report-M&amp;O1920'!C$18-'Report-SOF1920'!D$55)</f>
        <v>#DIV/0!</v>
      </c>
      <c r="O971" s="2452" t="e">
        <f t="shared" si="185"/>
        <v>#DIV/0!</v>
      </c>
      <c r="P971" s="2449">
        <f>IF(A971='Data Entry - SOF'!B$2,'Data Entry - SOF'!I$64,0)</f>
        <v>0</v>
      </c>
      <c r="Q971" s="1687">
        <f t="shared" si="180"/>
        <v>7313797</v>
      </c>
      <c r="R971" s="2212" t="e">
        <f>IF('Report-M&amp;O2021'!C$18-'Report-SOF2021'!D$55&lt;=0,0,'Report-M&amp;O2021'!C$18-'Report-SOF2021'!D$55)</f>
        <v>#DIV/0!</v>
      </c>
      <c r="S971" s="2452" t="e">
        <f t="shared" si="186"/>
        <v>#DIV/0!</v>
      </c>
      <c r="T971" s="1708">
        <f>IF(A971='Data Entry - SOF'!B$2,'Data Entry - SOF'!K$64,0)</f>
        <v>0</v>
      </c>
      <c r="U971" s="1687">
        <f t="shared" si="179"/>
        <v>7313797</v>
      </c>
      <c r="V971" s="2212" t="e">
        <f>IF('Report-M&amp;O2122'!C$18-'Report-SOF2122'!D$55&lt;=0,0,'Report-M&amp;O2122'!C$18-'Report-SOF2122'!D$55)</f>
        <v>#DIV/0!</v>
      </c>
      <c r="W971" s="2452" t="e">
        <f t="shared" si="187"/>
        <v>#DIV/0!</v>
      </c>
      <c r="X971" s="1708">
        <f>IF(A971='Data Entry - SOF'!B$2,'Data Entry - SOF'!M$64,0)</f>
        <v>0</v>
      </c>
      <c r="Y971" s="1371" t="e">
        <f t="shared" si="188"/>
        <v>#DIV/0!</v>
      </c>
      <c r="Z971" s="2212" t="e">
        <f>IF('Report-M&amp;O2223'!C$18-'Report-SOF2223'!D$55&lt;=0,0,'Report-M&amp;O2223'!C$18-'Report-SOF2223'!D$55)</f>
        <v>#DIV/0!</v>
      </c>
      <c r="AA971" s="1708">
        <f>IF(A971='Data Entry - SOF'!B$2,'Data Entry - SOF'!O$64,0)</f>
        <v>0</v>
      </c>
    </row>
    <row r="972" spans="1:27" ht="15.75">
      <c r="A972" s="1076" t="s">
        <v>996</v>
      </c>
      <c r="B972">
        <v>4669901</v>
      </c>
      <c r="C972" s="2452" t="e">
        <f>#REF!+#REF!</f>
        <v>#REF!</v>
      </c>
      <c r="D972" s="2449">
        <f>IF(A972='Data Entry - SOF'!B$2,'Data Entry - SOF'!C$64,0)</f>
        <v>0</v>
      </c>
      <c r="E972" s="2450">
        <f t="shared" si="189"/>
        <v>4669901</v>
      </c>
      <c r="F972" s="2212" t="e">
        <f>IF('Report-M&amp;O1718'!C$18-'Report-SOF1718'!D$55&lt;=0,0,'Report-M&amp;O1718'!C$18-'Report-SOF1718'!D$55)</f>
        <v>#DIV/0!</v>
      </c>
      <c r="G972" s="2452" t="e">
        <f t="shared" si="181"/>
        <v>#DIV/0!</v>
      </c>
      <c r="H972" s="2449">
        <f>IF(A972='Data Entry - SOF'!B$2,'Data Entry - SOF'!E$64,0)</f>
        <v>0</v>
      </c>
      <c r="I972" s="1687">
        <f t="shared" si="182"/>
        <v>4669901</v>
      </c>
      <c r="J972" s="2212" t="e">
        <f>IF('Report-M&amp;O1819'!C$18-'Report-SOF1819'!D$55&lt;=0,0,'Report-M&amp;O1819'!C$18-'Report-SOF1819'!D$55)</f>
        <v>#DIV/0!</v>
      </c>
      <c r="K972" s="2452" t="e">
        <f t="shared" si="183"/>
        <v>#DIV/0!</v>
      </c>
      <c r="L972" s="2449">
        <f>IF(A972='Data Entry - SOF'!B$2,'Data Entry - SOF'!G$64,0)</f>
        <v>0</v>
      </c>
      <c r="M972" s="1371">
        <f t="shared" si="184"/>
        <v>4669901</v>
      </c>
      <c r="N972" s="2212" t="e">
        <f>IF('Report-M&amp;O1920'!C$18-'Report-SOF1920'!D$55&lt;=0,0,'Report-M&amp;O1920'!C$18-'Report-SOF1920'!D$55)</f>
        <v>#DIV/0!</v>
      </c>
      <c r="O972" s="2452" t="e">
        <f t="shared" si="185"/>
        <v>#DIV/0!</v>
      </c>
      <c r="P972" s="2449">
        <f>IF(A972='Data Entry - SOF'!B$2,'Data Entry - SOF'!I$64,0)</f>
        <v>0</v>
      </c>
      <c r="Q972" s="1687">
        <f t="shared" si="180"/>
        <v>4669901</v>
      </c>
      <c r="R972" s="2212" t="e">
        <f>IF('Report-M&amp;O2021'!C$18-'Report-SOF2021'!D$55&lt;=0,0,'Report-M&amp;O2021'!C$18-'Report-SOF2021'!D$55)</f>
        <v>#DIV/0!</v>
      </c>
      <c r="S972" s="2452" t="e">
        <f t="shared" si="186"/>
        <v>#DIV/0!</v>
      </c>
      <c r="T972" s="1708">
        <f>IF(A972='Data Entry - SOF'!B$2,'Data Entry - SOF'!K$64,0)</f>
        <v>0</v>
      </c>
      <c r="U972" s="1687">
        <f t="shared" ref="U972:U1019" si="190">Q972-T972</f>
        <v>4669901</v>
      </c>
      <c r="V972" s="2212" t="e">
        <f>IF('Report-M&amp;O2122'!C$18-'Report-SOF2122'!D$55&lt;=0,0,'Report-M&amp;O2122'!C$18-'Report-SOF2122'!D$55)</f>
        <v>#DIV/0!</v>
      </c>
      <c r="W972" s="2452" t="e">
        <f t="shared" si="187"/>
        <v>#DIV/0!</v>
      </c>
      <c r="X972" s="1708">
        <f>IF(A972='Data Entry - SOF'!B$2,'Data Entry - SOF'!M$64,0)</f>
        <v>0</v>
      </c>
      <c r="Y972" s="1371" t="e">
        <f t="shared" si="188"/>
        <v>#DIV/0!</v>
      </c>
      <c r="Z972" s="2212" t="e">
        <f>IF('Report-M&amp;O2223'!C$18-'Report-SOF2223'!D$55&lt;=0,0,'Report-M&amp;O2223'!C$18-'Report-SOF2223'!D$55)</f>
        <v>#DIV/0!</v>
      </c>
      <c r="AA972" s="1708">
        <f>IF(A972='Data Entry - SOF'!B$2,'Data Entry - SOF'!O$64,0)</f>
        <v>0</v>
      </c>
    </row>
    <row r="973" spans="1:27" ht="15.75">
      <c r="A973" s="1076" t="s">
        <v>1424</v>
      </c>
      <c r="B973">
        <v>4075557</v>
      </c>
      <c r="C973" s="2452" t="e">
        <f>#REF!+#REF!</f>
        <v>#REF!</v>
      </c>
      <c r="D973" s="2449">
        <f>IF(A973='Data Entry - SOF'!B$2,'Data Entry - SOF'!C$64,0)</f>
        <v>0</v>
      </c>
      <c r="E973" s="2450">
        <f t="shared" si="189"/>
        <v>4075557</v>
      </c>
      <c r="F973" s="2212" t="e">
        <f>IF('Report-M&amp;O1718'!C$18-'Report-SOF1718'!D$55&lt;=0,0,'Report-M&amp;O1718'!C$18-'Report-SOF1718'!D$55)</f>
        <v>#DIV/0!</v>
      </c>
      <c r="G973" s="2452" t="e">
        <f t="shared" si="181"/>
        <v>#DIV/0!</v>
      </c>
      <c r="H973" s="2449">
        <f>IF(A973='Data Entry - SOF'!B$2,'Data Entry - SOF'!E$64,0)</f>
        <v>0</v>
      </c>
      <c r="I973" s="1687">
        <f t="shared" si="182"/>
        <v>4075557</v>
      </c>
      <c r="J973" s="2212" t="e">
        <f>IF('Report-M&amp;O1819'!C$18-'Report-SOF1819'!D$55&lt;=0,0,'Report-M&amp;O1819'!C$18-'Report-SOF1819'!D$55)</f>
        <v>#DIV/0!</v>
      </c>
      <c r="K973" s="2452" t="e">
        <f t="shared" si="183"/>
        <v>#DIV/0!</v>
      </c>
      <c r="L973" s="2449">
        <f>IF(A973='Data Entry - SOF'!B$2,'Data Entry - SOF'!G$64,0)</f>
        <v>0</v>
      </c>
      <c r="M973" s="1371">
        <f t="shared" si="184"/>
        <v>4075557</v>
      </c>
      <c r="N973" s="2212" t="e">
        <f>IF('Report-M&amp;O1920'!C$18-'Report-SOF1920'!D$55&lt;=0,0,'Report-M&amp;O1920'!C$18-'Report-SOF1920'!D$55)</f>
        <v>#DIV/0!</v>
      </c>
      <c r="O973" s="2452" t="e">
        <f t="shared" si="185"/>
        <v>#DIV/0!</v>
      </c>
      <c r="P973" s="2449">
        <f>IF(A973='Data Entry - SOF'!B$2,'Data Entry - SOF'!I$64,0)</f>
        <v>0</v>
      </c>
      <c r="Q973" s="1687">
        <f t="shared" si="180"/>
        <v>4075557</v>
      </c>
      <c r="R973" s="2212" t="e">
        <f>IF('Report-M&amp;O2021'!C$18-'Report-SOF2021'!D$55&lt;=0,0,'Report-M&amp;O2021'!C$18-'Report-SOF2021'!D$55)</f>
        <v>#DIV/0!</v>
      </c>
      <c r="S973" s="2452" t="e">
        <f t="shared" si="186"/>
        <v>#DIV/0!</v>
      </c>
      <c r="T973" s="1708">
        <f>IF(A973='Data Entry - SOF'!B$2,'Data Entry - SOF'!K$64,0)</f>
        <v>0</v>
      </c>
      <c r="U973" s="1687">
        <f t="shared" si="190"/>
        <v>4075557</v>
      </c>
      <c r="V973" s="2212" t="e">
        <f>IF('Report-M&amp;O2122'!C$18-'Report-SOF2122'!D$55&lt;=0,0,'Report-M&amp;O2122'!C$18-'Report-SOF2122'!D$55)</f>
        <v>#DIV/0!</v>
      </c>
      <c r="W973" s="2452" t="e">
        <f t="shared" si="187"/>
        <v>#DIV/0!</v>
      </c>
      <c r="X973" s="1708">
        <f>IF(A973='Data Entry - SOF'!B$2,'Data Entry - SOF'!M$64,0)</f>
        <v>0</v>
      </c>
      <c r="Y973" s="1371" t="e">
        <f t="shared" si="188"/>
        <v>#DIV/0!</v>
      </c>
      <c r="Z973" s="2212" t="e">
        <f>IF('Report-M&amp;O2223'!C$18-'Report-SOF2223'!D$55&lt;=0,0,'Report-M&amp;O2223'!C$18-'Report-SOF2223'!D$55)</f>
        <v>#DIV/0!</v>
      </c>
      <c r="AA973" s="1708">
        <f>IF(A973='Data Entry - SOF'!B$2,'Data Entry - SOF'!O$64,0)</f>
        <v>0</v>
      </c>
    </row>
    <row r="974" spans="1:27" ht="15.75">
      <c r="A974" s="1076" t="s">
        <v>714</v>
      </c>
      <c r="B974">
        <v>3464529</v>
      </c>
      <c r="C974" s="2452" t="e">
        <f>#REF!+#REF!</f>
        <v>#REF!</v>
      </c>
      <c r="D974" s="2449">
        <f>IF(A974='Data Entry - SOF'!B$2,'Data Entry - SOF'!C$64,0)</f>
        <v>0</v>
      </c>
      <c r="E974" s="2450">
        <f t="shared" si="189"/>
        <v>3464529</v>
      </c>
      <c r="F974" s="2212" t="e">
        <f>IF('Report-M&amp;O1718'!C$18-'Report-SOF1718'!D$55&lt;=0,0,'Report-M&amp;O1718'!C$18-'Report-SOF1718'!D$55)</f>
        <v>#DIV/0!</v>
      </c>
      <c r="G974" s="2452" t="e">
        <f t="shared" si="181"/>
        <v>#DIV/0!</v>
      </c>
      <c r="H974" s="2449">
        <f>IF(A974='Data Entry - SOF'!B$2,'Data Entry - SOF'!E$64,0)</f>
        <v>0</v>
      </c>
      <c r="I974" s="1687">
        <f t="shared" si="182"/>
        <v>3464529</v>
      </c>
      <c r="J974" s="2212" t="e">
        <f>IF('Report-M&amp;O1819'!C$18-'Report-SOF1819'!D$55&lt;=0,0,'Report-M&amp;O1819'!C$18-'Report-SOF1819'!D$55)</f>
        <v>#DIV/0!</v>
      </c>
      <c r="K974" s="2452" t="e">
        <f t="shared" si="183"/>
        <v>#DIV/0!</v>
      </c>
      <c r="L974" s="2449">
        <f>IF(A974='Data Entry - SOF'!B$2,'Data Entry - SOF'!G$64,0)</f>
        <v>0</v>
      </c>
      <c r="M974" s="1371">
        <f t="shared" si="184"/>
        <v>3464529</v>
      </c>
      <c r="N974" s="2212" t="e">
        <f>IF('Report-M&amp;O1920'!C$18-'Report-SOF1920'!D$55&lt;=0,0,'Report-M&amp;O1920'!C$18-'Report-SOF1920'!D$55)</f>
        <v>#DIV/0!</v>
      </c>
      <c r="O974" s="2452" t="e">
        <f t="shared" si="185"/>
        <v>#DIV/0!</v>
      </c>
      <c r="P974" s="2449">
        <f>IF(A974='Data Entry - SOF'!B$2,'Data Entry - SOF'!I$64,0)</f>
        <v>0</v>
      </c>
      <c r="Q974" s="1687">
        <f t="shared" si="180"/>
        <v>3464529</v>
      </c>
      <c r="R974" s="2212" t="e">
        <f>IF('Report-M&amp;O2021'!C$18-'Report-SOF2021'!D$55&lt;=0,0,'Report-M&amp;O2021'!C$18-'Report-SOF2021'!D$55)</f>
        <v>#DIV/0!</v>
      </c>
      <c r="S974" s="2452" t="e">
        <f t="shared" si="186"/>
        <v>#DIV/0!</v>
      </c>
      <c r="T974" s="1708">
        <f>IF(A974='Data Entry - SOF'!B$2,'Data Entry - SOF'!K$64,0)</f>
        <v>0</v>
      </c>
      <c r="U974" s="1687">
        <f t="shared" si="190"/>
        <v>3464529</v>
      </c>
      <c r="V974" s="2212" t="e">
        <f>IF('Report-M&amp;O2122'!C$18-'Report-SOF2122'!D$55&lt;=0,0,'Report-M&amp;O2122'!C$18-'Report-SOF2122'!D$55)</f>
        <v>#DIV/0!</v>
      </c>
      <c r="W974" s="2452" t="e">
        <f t="shared" si="187"/>
        <v>#DIV/0!</v>
      </c>
      <c r="X974" s="1708">
        <f>IF(A974='Data Entry - SOF'!B$2,'Data Entry - SOF'!M$64,0)</f>
        <v>0</v>
      </c>
      <c r="Y974" s="1371" t="e">
        <f t="shared" si="188"/>
        <v>#DIV/0!</v>
      </c>
      <c r="Z974" s="2212" t="e">
        <f>IF('Report-M&amp;O2223'!C$18-'Report-SOF2223'!D$55&lt;=0,0,'Report-M&amp;O2223'!C$18-'Report-SOF2223'!D$55)</f>
        <v>#DIV/0!</v>
      </c>
      <c r="AA974" s="1708">
        <f>IF(A974='Data Entry - SOF'!B$2,'Data Entry - SOF'!O$64,0)</f>
        <v>0</v>
      </c>
    </row>
    <row r="975" spans="1:27" ht="15.75">
      <c r="A975" s="1076" t="s">
        <v>2088</v>
      </c>
      <c r="B975">
        <v>32952117</v>
      </c>
      <c r="C975" s="2452" t="e">
        <f>#REF!+#REF!</f>
        <v>#REF!</v>
      </c>
      <c r="D975" s="2449">
        <f>IF(A975='Data Entry - SOF'!B$2,'Data Entry - SOF'!C$64,0)</f>
        <v>0</v>
      </c>
      <c r="E975" s="2450">
        <f t="shared" si="189"/>
        <v>32952117</v>
      </c>
      <c r="F975" s="2212" t="e">
        <f>IF('Report-M&amp;O1718'!C$18-'Report-SOF1718'!D$55&lt;=0,0,'Report-M&amp;O1718'!C$18-'Report-SOF1718'!D$55)</f>
        <v>#DIV/0!</v>
      </c>
      <c r="G975" s="2452" t="e">
        <f t="shared" si="181"/>
        <v>#DIV/0!</v>
      </c>
      <c r="H975" s="2449">
        <f>IF(A975='Data Entry - SOF'!B$2,'Data Entry - SOF'!E$64,0)</f>
        <v>0</v>
      </c>
      <c r="I975" s="1687">
        <f t="shared" si="182"/>
        <v>32952117</v>
      </c>
      <c r="J975" s="2212" t="e">
        <f>IF('Report-M&amp;O1819'!C$18-'Report-SOF1819'!D$55&lt;=0,0,'Report-M&amp;O1819'!C$18-'Report-SOF1819'!D$55)</f>
        <v>#DIV/0!</v>
      </c>
      <c r="K975" s="2452" t="e">
        <f t="shared" si="183"/>
        <v>#DIV/0!</v>
      </c>
      <c r="L975" s="2449">
        <f>IF(A975='Data Entry - SOF'!B$2,'Data Entry - SOF'!G$64,0)</f>
        <v>0</v>
      </c>
      <c r="M975" s="1371">
        <f t="shared" si="184"/>
        <v>32952117</v>
      </c>
      <c r="N975" s="2212" t="e">
        <f>IF('Report-M&amp;O1920'!C$18-'Report-SOF1920'!D$55&lt;=0,0,'Report-M&amp;O1920'!C$18-'Report-SOF1920'!D$55)</f>
        <v>#DIV/0!</v>
      </c>
      <c r="O975" s="2452" t="e">
        <f t="shared" si="185"/>
        <v>#DIV/0!</v>
      </c>
      <c r="P975" s="2449">
        <f>IF(A975='Data Entry - SOF'!B$2,'Data Entry - SOF'!I$64,0)</f>
        <v>0</v>
      </c>
      <c r="Q975" s="1687">
        <f t="shared" si="180"/>
        <v>32952117</v>
      </c>
      <c r="R975" s="2212" t="e">
        <f>IF('Report-M&amp;O2021'!C$18-'Report-SOF2021'!D$55&lt;=0,0,'Report-M&amp;O2021'!C$18-'Report-SOF2021'!D$55)</f>
        <v>#DIV/0!</v>
      </c>
      <c r="S975" s="2452" t="e">
        <f t="shared" si="186"/>
        <v>#DIV/0!</v>
      </c>
      <c r="T975" s="1708">
        <f>IF(A975='Data Entry - SOF'!B$2,'Data Entry - SOF'!K$64,0)</f>
        <v>0</v>
      </c>
      <c r="U975" s="1687">
        <f t="shared" si="190"/>
        <v>32952117</v>
      </c>
      <c r="V975" s="2212" t="e">
        <f>IF('Report-M&amp;O2122'!C$18-'Report-SOF2122'!D$55&lt;=0,0,'Report-M&amp;O2122'!C$18-'Report-SOF2122'!D$55)</f>
        <v>#DIV/0!</v>
      </c>
      <c r="W975" s="2452" t="e">
        <f t="shared" si="187"/>
        <v>#DIV/0!</v>
      </c>
      <c r="X975" s="1708">
        <f>IF(A975='Data Entry - SOF'!B$2,'Data Entry - SOF'!M$64,0)</f>
        <v>0</v>
      </c>
      <c r="Y975" s="1371" t="e">
        <f t="shared" si="188"/>
        <v>#DIV/0!</v>
      </c>
      <c r="Z975" s="2212" t="e">
        <f>IF('Report-M&amp;O2223'!C$18-'Report-SOF2223'!D$55&lt;=0,0,'Report-M&amp;O2223'!C$18-'Report-SOF2223'!D$55)</f>
        <v>#DIV/0!</v>
      </c>
      <c r="AA975" s="1708">
        <f>IF(A975='Data Entry - SOF'!B$2,'Data Entry - SOF'!O$64,0)</f>
        <v>0</v>
      </c>
    </row>
    <row r="976" spans="1:27" ht="15.75">
      <c r="A976" s="1076" t="s">
        <v>626</v>
      </c>
      <c r="B976">
        <v>2552567</v>
      </c>
      <c r="C976" s="2452" t="e">
        <f>#REF!+#REF!</f>
        <v>#REF!</v>
      </c>
      <c r="D976" s="2449">
        <f>IF(A976='Data Entry - SOF'!B$2,'Data Entry - SOF'!C$64,0)</f>
        <v>0</v>
      </c>
      <c r="E976" s="2450">
        <f t="shared" si="189"/>
        <v>2552567</v>
      </c>
      <c r="F976" s="2212" t="e">
        <f>IF('Report-M&amp;O1718'!C$18-'Report-SOF1718'!D$55&lt;=0,0,'Report-M&amp;O1718'!C$18-'Report-SOF1718'!D$55)</f>
        <v>#DIV/0!</v>
      </c>
      <c r="G976" s="2452" t="e">
        <f t="shared" si="181"/>
        <v>#DIV/0!</v>
      </c>
      <c r="H976" s="2449">
        <f>IF(A976='Data Entry - SOF'!B$2,'Data Entry - SOF'!E$64,0)</f>
        <v>0</v>
      </c>
      <c r="I976" s="1687">
        <f t="shared" si="182"/>
        <v>2552567</v>
      </c>
      <c r="J976" s="2212" t="e">
        <f>IF('Report-M&amp;O1819'!C$18-'Report-SOF1819'!D$55&lt;=0,0,'Report-M&amp;O1819'!C$18-'Report-SOF1819'!D$55)</f>
        <v>#DIV/0!</v>
      </c>
      <c r="K976" s="2452" t="e">
        <f t="shared" si="183"/>
        <v>#DIV/0!</v>
      </c>
      <c r="L976" s="2449">
        <f>IF(A976='Data Entry - SOF'!B$2,'Data Entry - SOF'!G$64,0)</f>
        <v>0</v>
      </c>
      <c r="M976" s="1371">
        <f t="shared" si="184"/>
        <v>2552567</v>
      </c>
      <c r="N976" s="2212" t="e">
        <f>IF('Report-M&amp;O1920'!C$18-'Report-SOF1920'!D$55&lt;=0,0,'Report-M&amp;O1920'!C$18-'Report-SOF1920'!D$55)</f>
        <v>#DIV/0!</v>
      </c>
      <c r="O976" s="2452" t="e">
        <f t="shared" si="185"/>
        <v>#DIV/0!</v>
      </c>
      <c r="P976" s="2449">
        <f>IF(A976='Data Entry - SOF'!B$2,'Data Entry - SOF'!I$64,0)</f>
        <v>0</v>
      </c>
      <c r="Q976" s="1687">
        <f t="shared" si="180"/>
        <v>2552567</v>
      </c>
      <c r="R976" s="2212" t="e">
        <f>IF('Report-M&amp;O2021'!C$18-'Report-SOF2021'!D$55&lt;=0,0,'Report-M&amp;O2021'!C$18-'Report-SOF2021'!D$55)</f>
        <v>#DIV/0!</v>
      </c>
      <c r="S976" s="2452" t="e">
        <f t="shared" si="186"/>
        <v>#DIV/0!</v>
      </c>
      <c r="T976" s="1708">
        <f>IF(A976='Data Entry - SOF'!B$2,'Data Entry - SOF'!K$64,0)</f>
        <v>0</v>
      </c>
      <c r="U976" s="1687">
        <f t="shared" si="190"/>
        <v>2552567</v>
      </c>
      <c r="V976" s="2212" t="e">
        <f>IF('Report-M&amp;O2122'!C$18-'Report-SOF2122'!D$55&lt;=0,0,'Report-M&amp;O2122'!C$18-'Report-SOF2122'!D$55)</f>
        <v>#DIV/0!</v>
      </c>
      <c r="W976" s="2452" t="e">
        <f t="shared" si="187"/>
        <v>#DIV/0!</v>
      </c>
      <c r="X976" s="1708">
        <f>IF(A976='Data Entry - SOF'!B$2,'Data Entry - SOF'!M$64,0)</f>
        <v>0</v>
      </c>
      <c r="Y976" s="1371" t="e">
        <f t="shared" si="188"/>
        <v>#DIV/0!</v>
      </c>
      <c r="Z976" s="2212" t="e">
        <f>IF('Report-M&amp;O2223'!C$18-'Report-SOF2223'!D$55&lt;=0,0,'Report-M&amp;O2223'!C$18-'Report-SOF2223'!D$55)</f>
        <v>#DIV/0!</v>
      </c>
      <c r="AA976" s="1708">
        <f>IF(A976='Data Entry - SOF'!B$2,'Data Entry - SOF'!O$64,0)</f>
        <v>0</v>
      </c>
    </row>
    <row r="977" spans="1:27" ht="15.75">
      <c r="A977" s="1076" t="s">
        <v>1534</v>
      </c>
      <c r="B977">
        <v>584021</v>
      </c>
      <c r="C977" s="2452" t="e">
        <f>#REF!+#REF!</f>
        <v>#REF!</v>
      </c>
      <c r="D977" s="2449">
        <f>IF(A977='Data Entry - SOF'!B$2,'Data Entry - SOF'!C$64,0)</f>
        <v>0</v>
      </c>
      <c r="E977" s="2450">
        <f t="shared" si="189"/>
        <v>584021</v>
      </c>
      <c r="F977" s="2212" t="e">
        <f>IF('Report-M&amp;O1718'!C$18-'Report-SOF1718'!D$55&lt;=0,0,'Report-M&amp;O1718'!C$18-'Report-SOF1718'!D$55)</f>
        <v>#DIV/0!</v>
      </c>
      <c r="G977" s="2452" t="e">
        <f t="shared" si="181"/>
        <v>#DIV/0!</v>
      </c>
      <c r="H977" s="2449">
        <f>IF(A977='Data Entry - SOF'!B$2,'Data Entry - SOF'!E$64,0)</f>
        <v>0</v>
      </c>
      <c r="I977" s="1687">
        <f t="shared" si="182"/>
        <v>584021</v>
      </c>
      <c r="J977" s="2212" t="e">
        <f>IF('Report-M&amp;O1819'!C$18-'Report-SOF1819'!D$55&lt;=0,0,'Report-M&amp;O1819'!C$18-'Report-SOF1819'!D$55)</f>
        <v>#DIV/0!</v>
      </c>
      <c r="K977" s="2452" t="e">
        <f t="shared" si="183"/>
        <v>#DIV/0!</v>
      </c>
      <c r="L977" s="2449">
        <f>IF(A977='Data Entry - SOF'!B$2,'Data Entry - SOF'!G$64,0)</f>
        <v>0</v>
      </c>
      <c r="M977" s="1371">
        <f t="shared" si="184"/>
        <v>584021</v>
      </c>
      <c r="N977" s="2212" t="e">
        <f>IF('Report-M&amp;O1920'!C$18-'Report-SOF1920'!D$55&lt;=0,0,'Report-M&amp;O1920'!C$18-'Report-SOF1920'!D$55)</f>
        <v>#DIV/0!</v>
      </c>
      <c r="O977" s="2452" t="e">
        <f t="shared" si="185"/>
        <v>#DIV/0!</v>
      </c>
      <c r="P977" s="2449">
        <f>IF(A977='Data Entry - SOF'!B$2,'Data Entry - SOF'!I$64,0)</f>
        <v>0</v>
      </c>
      <c r="Q977" s="1687">
        <f t="shared" si="180"/>
        <v>584021</v>
      </c>
      <c r="R977" s="2212" t="e">
        <f>IF('Report-M&amp;O2021'!C$18-'Report-SOF2021'!D$55&lt;=0,0,'Report-M&amp;O2021'!C$18-'Report-SOF2021'!D$55)</f>
        <v>#DIV/0!</v>
      </c>
      <c r="S977" s="2452" t="e">
        <f t="shared" si="186"/>
        <v>#DIV/0!</v>
      </c>
      <c r="T977" s="1708">
        <f>IF(A977='Data Entry - SOF'!B$2,'Data Entry - SOF'!K$64,0)</f>
        <v>0</v>
      </c>
      <c r="U977" s="1687">
        <f t="shared" si="190"/>
        <v>584021</v>
      </c>
      <c r="V977" s="2212" t="e">
        <f>IF('Report-M&amp;O2122'!C$18-'Report-SOF2122'!D$55&lt;=0,0,'Report-M&amp;O2122'!C$18-'Report-SOF2122'!D$55)</f>
        <v>#DIV/0!</v>
      </c>
      <c r="W977" s="2452" t="e">
        <f t="shared" si="187"/>
        <v>#DIV/0!</v>
      </c>
      <c r="X977" s="1708">
        <f>IF(A977='Data Entry - SOF'!B$2,'Data Entry - SOF'!M$64,0)</f>
        <v>0</v>
      </c>
      <c r="Y977" s="1371" t="e">
        <f t="shared" si="188"/>
        <v>#DIV/0!</v>
      </c>
      <c r="Z977" s="2212" t="e">
        <f>IF('Report-M&amp;O2223'!C$18-'Report-SOF2223'!D$55&lt;=0,0,'Report-M&amp;O2223'!C$18-'Report-SOF2223'!D$55)</f>
        <v>#DIV/0!</v>
      </c>
      <c r="AA977" s="1708">
        <f>IF(A977='Data Entry - SOF'!B$2,'Data Entry - SOF'!O$64,0)</f>
        <v>0</v>
      </c>
    </row>
    <row r="978" spans="1:27" ht="15.75">
      <c r="A978" s="1076" t="s">
        <v>9</v>
      </c>
      <c r="B978">
        <v>6693896</v>
      </c>
      <c r="C978" s="2452" t="e">
        <f>#REF!+#REF!</f>
        <v>#REF!</v>
      </c>
      <c r="D978" s="2449">
        <f>IF(A978='Data Entry - SOF'!B$2,'Data Entry - SOF'!C$64,0)</f>
        <v>0</v>
      </c>
      <c r="E978" s="2450">
        <f t="shared" si="189"/>
        <v>6693896</v>
      </c>
      <c r="F978" s="2212" t="e">
        <f>IF('Report-M&amp;O1718'!C$18-'Report-SOF1718'!D$55&lt;=0,0,'Report-M&amp;O1718'!C$18-'Report-SOF1718'!D$55)</f>
        <v>#DIV/0!</v>
      </c>
      <c r="G978" s="2452" t="e">
        <f t="shared" si="181"/>
        <v>#DIV/0!</v>
      </c>
      <c r="H978" s="2449">
        <f>IF(A978='Data Entry - SOF'!B$2,'Data Entry - SOF'!E$64,0)</f>
        <v>0</v>
      </c>
      <c r="I978" s="1687">
        <f t="shared" si="182"/>
        <v>6693896</v>
      </c>
      <c r="J978" s="2212" t="e">
        <f>IF('Report-M&amp;O1819'!C$18-'Report-SOF1819'!D$55&lt;=0,0,'Report-M&amp;O1819'!C$18-'Report-SOF1819'!D$55)</f>
        <v>#DIV/0!</v>
      </c>
      <c r="K978" s="2452" t="e">
        <f t="shared" si="183"/>
        <v>#DIV/0!</v>
      </c>
      <c r="L978" s="2449">
        <f>IF(A978='Data Entry - SOF'!B$2,'Data Entry - SOF'!G$64,0)</f>
        <v>0</v>
      </c>
      <c r="M978" s="1371">
        <f t="shared" si="184"/>
        <v>6693896</v>
      </c>
      <c r="N978" s="2212" t="e">
        <f>IF('Report-M&amp;O1920'!C$18-'Report-SOF1920'!D$55&lt;=0,0,'Report-M&amp;O1920'!C$18-'Report-SOF1920'!D$55)</f>
        <v>#DIV/0!</v>
      </c>
      <c r="O978" s="2452" t="e">
        <f t="shared" si="185"/>
        <v>#DIV/0!</v>
      </c>
      <c r="P978" s="2449">
        <f>IF(A978='Data Entry - SOF'!B$2,'Data Entry - SOF'!I$64,0)</f>
        <v>0</v>
      </c>
      <c r="Q978" s="1687">
        <f t="shared" si="180"/>
        <v>6693896</v>
      </c>
      <c r="R978" s="2212" t="e">
        <f>IF('Report-M&amp;O2021'!C$18-'Report-SOF2021'!D$55&lt;=0,0,'Report-M&amp;O2021'!C$18-'Report-SOF2021'!D$55)</f>
        <v>#DIV/0!</v>
      </c>
      <c r="S978" s="2452" t="e">
        <f t="shared" si="186"/>
        <v>#DIV/0!</v>
      </c>
      <c r="T978" s="1708">
        <f>IF(A978='Data Entry - SOF'!B$2,'Data Entry - SOF'!K$64,0)</f>
        <v>0</v>
      </c>
      <c r="U978" s="1687">
        <f t="shared" si="190"/>
        <v>6693896</v>
      </c>
      <c r="V978" s="2212" t="e">
        <f>IF('Report-M&amp;O2122'!C$18-'Report-SOF2122'!D$55&lt;=0,0,'Report-M&amp;O2122'!C$18-'Report-SOF2122'!D$55)</f>
        <v>#DIV/0!</v>
      </c>
      <c r="W978" s="2452" t="e">
        <f t="shared" si="187"/>
        <v>#DIV/0!</v>
      </c>
      <c r="X978" s="1708">
        <f>IF(A978='Data Entry - SOF'!B$2,'Data Entry - SOF'!M$64,0)</f>
        <v>0</v>
      </c>
      <c r="Y978" s="1371" t="e">
        <f t="shared" si="188"/>
        <v>#DIV/0!</v>
      </c>
      <c r="Z978" s="2212" t="e">
        <f>IF('Report-M&amp;O2223'!C$18-'Report-SOF2223'!D$55&lt;=0,0,'Report-M&amp;O2223'!C$18-'Report-SOF2223'!D$55)</f>
        <v>#DIV/0!</v>
      </c>
      <c r="AA978" s="1708">
        <f>IF(A978='Data Entry - SOF'!B$2,'Data Entry - SOF'!O$64,0)</f>
        <v>0</v>
      </c>
    </row>
    <row r="979" spans="1:27" ht="15.75">
      <c r="A979" s="1076" t="s">
        <v>10</v>
      </c>
      <c r="B979">
        <v>1053333</v>
      </c>
      <c r="C979" s="2452" t="e">
        <f>#REF!+#REF!</f>
        <v>#REF!</v>
      </c>
      <c r="D979" s="2449">
        <f>IF(A979='Data Entry - SOF'!B$2,'Data Entry - SOF'!C$64,0)</f>
        <v>0</v>
      </c>
      <c r="E979" s="2450">
        <f t="shared" si="189"/>
        <v>1053333</v>
      </c>
      <c r="F979" s="2212" t="e">
        <f>IF('Report-M&amp;O1718'!C$18-'Report-SOF1718'!D$55&lt;=0,0,'Report-M&amp;O1718'!C$18-'Report-SOF1718'!D$55)</f>
        <v>#DIV/0!</v>
      </c>
      <c r="G979" s="2452" t="e">
        <f t="shared" si="181"/>
        <v>#DIV/0!</v>
      </c>
      <c r="H979" s="2449">
        <f>IF(A979='Data Entry - SOF'!B$2,'Data Entry - SOF'!E$64,0)</f>
        <v>0</v>
      </c>
      <c r="I979" s="1687">
        <f t="shared" si="182"/>
        <v>1053333</v>
      </c>
      <c r="J979" s="2212" t="e">
        <f>IF('Report-M&amp;O1819'!C$18-'Report-SOF1819'!D$55&lt;=0,0,'Report-M&amp;O1819'!C$18-'Report-SOF1819'!D$55)</f>
        <v>#DIV/0!</v>
      </c>
      <c r="K979" s="2452" t="e">
        <f t="shared" si="183"/>
        <v>#DIV/0!</v>
      </c>
      <c r="L979" s="2449">
        <f>IF(A979='Data Entry - SOF'!B$2,'Data Entry - SOF'!G$64,0)</f>
        <v>0</v>
      </c>
      <c r="M979" s="1371">
        <f t="shared" si="184"/>
        <v>1053333</v>
      </c>
      <c r="N979" s="2212" t="e">
        <f>IF('Report-M&amp;O1920'!C$18-'Report-SOF1920'!D$55&lt;=0,0,'Report-M&amp;O1920'!C$18-'Report-SOF1920'!D$55)</f>
        <v>#DIV/0!</v>
      </c>
      <c r="O979" s="2452" t="e">
        <f t="shared" si="185"/>
        <v>#DIV/0!</v>
      </c>
      <c r="P979" s="2449">
        <f>IF(A979='Data Entry - SOF'!B$2,'Data Entry - SOF'!I$64,0)</f>
        <v>0</v>
      </c>
      <c r="Q979" s="1687">
        <f t="shared" si="180"/>
        <v>1053333</v>
      </c>
      <c r="R979" s="2212" t="e">
        <f>IF('Report-M&amp;O2021'!C$18-'Report-SOF2021'!D$55&lt;=0,0,'Report-M&amp;O2021'!C$18-'Report-SOF2021'!D$55)</f>
        <v>#DIV/0!</v>
      </c>
      <c r="S979" s="2452" t="e">
        <f t="shared" si="186"/>
        <v>#DIV/0!</v>
      </c>
      <c r="T979" s="1708">
        <f>IF(A979='Data Entry - SOF'!B$2,'Data Entry - SOF'!K$64,0)</f>
        <v>0</v>
      </c>
      <c r="U979" s="1687">
        <f t="shared" si="190"/>
        <v>1053333</v>
      </c>
      <c r="V979" s="2212" t="e">
        <f>IF('Report-M&amp;O2122'!C$18-'Report-SOF2122'!D$55&lt;=0,0,'Report-M&amp;O2122'!C$18-'Report-SOF2122'!D$55)</f>
        <v>#DIV/0!</v>
      </c>
      <c r="W979" s="2452" t="e">
        <f t="shared" si="187"/>
        <v>#DIV/0!</v>
      </c>
      <c r="X979" s="1708">
        <f>IF(A979='Data Entry - SOF'!B$2,'Data Entry - SOF'!M$64,0)</f>
        <v>0</v>
      </c>
      <c r="Y979" s="1371" t="e">
        <f t="shared" si="188"/>
        <v>#DIV/0!</v>
      </c>
      <c r="Z979" s="2212" t="e">
        <f>IF('Report-M&amp;O2223'!C$18-'Report-SOF2223'!D$55&lt;=0,0,'Report-M&amp;O2223'!C$18-'Report-SOF2223'!D$55)</f>
        <v>#DIV/0!</v>
      </c>
      <c r="AA979" s="1708">
        <f>IF(A979='Data Entry - SOF'!B$2,'Data Entry - SOF'!O$64,0)</f>
        <v>0</v>
      </c>
    </row>
    <row r="980" spans="1:27" ht="15.75">
      <c r="A980" s="1076" t="s">
        <v>1695</v>
      </c>
      <c r="B980">
        <v>382530</v>
      </c>
      <c r="C980" s="2452" t="e">
        <f>#REF!+#REF!</f>
        <v>#REF!</v>
      </c>
      <c r="D980" s="2449">
        <f>IF(A980='Data Entry - SOF'!B$2,'Data Entry - SOF'!C$64,0)</f>
        <v>0</v>
      </c>
      <c r="E980" s="2450">
        <f t="shared" si="189"/>
        <v>382530</v>
      </c>
      <c r="F980" s="2212" t="e">
        <f>IF('Report-M&amp;O1718'!C$18-'Report-SOF1718'!D$55&lt;=0,0,'Report-M&amp;O1718'!C$18-'Report-SOF1718'!D$55)</f>
        <v>#DIV/0!</v>
      </c>
      <c r="G980" s="2452" t="e">
        <f t="shared" si="181"/>
        <v>#DIV/0!</v>
      </c>
      <c r="H980" s="2449">
        <f>IF(A980='Data Entry - SOF'!B$2,'Data Entry - SOF'!E$64,0)</f>
        <v>0</v>
      </c>
      <c r="I980" s="1687">
        <f t="shared" si="182"/>
        <v>382530</v>
      </c>
      <c r="J980" s="2212" t="e">
        <f>IF('Report-M&amp;O1819'!C$18-'Report-SOF1819'!D$55&lt;=0,0,'Report-M&amp;O1819'!C$18-'Report-SOF1819'!D$55)</f>
        <v>#DIV/0!</v>
      </c>
      <c r="K980" s="2452" t="e">
        <f t="shared" si="183"/>
        <v>#DIV/0!</v>
      </c>
      <c r="L980" s="2449">
        <f>IF(A980='Data Entry - SOF'!B$2,'Data Entry - SOF'!G$64,0)</f>
        <v>0</v>
      </c>
      <c r="M980" s="1371">
        <f t="shared" si="184"/>
        <v>382530</v>
      </c>
      <c r="N980" s="2212" t="e">
        <f>IF('Report-M&amp;O1920'!C$18-'Report-SOF1920'!D$55&lt;=0,0,'Report-M&amp;O1920'!C$18-'Report-SOF1920'!D$55)</f>
        <v>#DIV/0!</v>
      </c>
      <c r="O980" s="2452" t="e">
        <f t="shared" si="185"/>
        <v>#DIV/0!</v>
      </c>
      <c r="P980" s="2449">
        <f>IF(A980='Data Entry - SOF'!B$2,'Data Entry - SOF'!I$64,0)</f>
        <v>0</v>
      </c>
      <c r="Q980" s="1687">
        <f t="shared" si="180"/>
        <v>382530</v>
      </c>
      <c r="R980" s="2212" t="e">
        <f>IF('Report-M&amp;O2021'!C$18-'Report-SOF2021'!D$55&lt;=0,0,'Report-M&amp;O2021'!C$18-'Report-SOF2021'!D$55)</f>
        <v>#DIV/0!</v>
      </c>
      <c r="S980" s="2452" t="e">
        <f t="shared" si="186"/>
        <v>#DIV/0!</v>
      </c>
      <c r="T980" s="1708">
        <f>IF(A980='Data Entry - SOF'!B$2,'Data Entry - SOF'!K$64,0)</f>
        <v>0</v>
      </c>
      <c r="U980" s="1687">
        <f t="shared" si="190"/>
        <v>382530</v>
      </c>
      <c r="V980" s="2212" t="e">
        <f>IF('Report-M&amp;O2122'!C$18-'Report-SOF2122'!D$55&lt;=0,0,'Report-M&amp;O2122'!C$18-'Report-SOF2122'!D$55)</f>
        <v>#DIV/0!</v>
      </c>
      <c r="W980" s="2452" t="e">
        <f t="shared" si="187"/>
        <v>#DIV/0!</v>
      </c>
      <c r="X980" s="1708">
        <f>IF(A980='Data Entry - SOF'!B$2,'Data Entry - SOF'!M$64,0)</f>
        <v>0</v>
      </c>
      <c r="Y980" s="1371" t="e">
        <f t="shared" si="188"/>
        <v>#DIV/0!</v>
      </c>
      <c r="Z980" s="2212" t="e">
        <f>IF('Report-M&amp;O2223'!C$18-'Report-SOF2223'!D$55&lt;=0,0,'Report-M&amp;O2223'!C$18-'Report-SOF2223'!D$55)</f>
        <v>#DIV/0!</v>
      </c>
      <c r="AA980" s="1708">
        <f>IF(A980='Data Entry - SOF'!B$2,'Data Entry - SOF'!O$64,0)</f>
        <v>0</v>
      </c>
    </row>
    <row r="981" spans="1:27" ht="15.75">
      <c r="A981" s="1076" t="s">
        <v>2387</v>
      </c>
      <c r="B981">
        <v>6002240</v>
      </c>
      <c r="C981" s="2452" t="e">
        <f>#REF!+#REF!</f>
        <v>#REF!</v>
      </c>
      <c r="D981" s="2449">
        <f>IF(A981='Data Entry - SOF'!B$2,'Data Entry - SOF'!C$64,0)</f>
        <v>0</v>
      </c>
      <c r="E981" s="2450">
        <f t="shared" si="189"/>
        <v>6002240</v>
      </c>
      <c r="F981" s="2212" t="e">
        <f>IF('Report-M&amp;O1718'!C$18-'Report-SOF1718'!D$55&lt;=0,0,'Report-M&amp;O1718'!C$18-'Report-SOF1718'!D$55)</f>
        <v>#DIV/0!</v>
      </c>
      <c r="G981" s="2452" t="e">
        <f t="shared" si="181"/>
        <v>#DIV/0!</v>
      </c>
      <c r="H981" s="2449">
        <f>IF(A981='Data Entry - SOF'!B$2,'Data Entry - SOF'!E$64,0)</f>
        <v>0</v>
      </c>
      <c r="I981" s="1687">
        <f t="shared" si="182"/>
        <v>6002240</v>
      </c>
      <c r="J981" s="2212" t="e">
        <f>IF('Report-M&amp;O1819'!C$18-'Report-SOF1819'!D$55&lt;=0,0,'Report-M&amp;O1819'!C$18-'Report-SOF1819'!D$55)</f>
        <v>#DIV/0!</v>
      </c>
      <c r="K981" s="2452" t="e">
        <f t="shared" si="183"/>
        <v>#DIV/0!</v>
      </c>
      <c r="L981" s="2449">
        <f>IF(A981='Data Entry - SOF'!B$2,'Data Entry - SOF'!G$64,0)</f>
        <v>0</v>
      </c>
      <c r="M981" s="1371">
        <f t="shared" si="184"/>
        <v>6002240</v>
      </c>
      <c r="N981" s="2212" t="e">
        <f>IF('Report-M&amp;O1920'!C$18-'Report-SOF1920'!D$55&lt;=0,0,'Report-M&amp;O1920'!C$18-'Report-SOF1920'!D$55)</f>
        <v>#DIV/0!</v>
      </c>
      <c r="O981" s="2452" t="e">
        <f t="shared" si="185"/>
        <v>#DIV/0!</v>
      </c>
      <c r="P981" s="2449">
        <f>IF(A981='Data Entry - SOF'!B$2,'Data Entry - SOF'!I$64,0)</f>
        <v>0</v>
      </c>
      <c r="Q981" s="1687">
        <f t="shared" si="180"/>
        <v>6002240</v>
      </c>
      <c r="R981" s="2212" t="e">
        <f>IF('Report-M&amp;O2021'!C$18-'Report-SOF2021'!D$55&lt;=0,0,'Report-M&amp;O2021'!C$18-'Report-SOF2021'!D$55)</f>
        <v>#DIV/0!</v>
      </c>
      <c r="S981" s="2452" t="e">
        <f t="shared" si="186"/>
        <v>#DIV/0!</v>
      </c>
      <c r="T981" s="1708">
        <f>IF(A981='Data Entry - SOF'!B$2,'Data Entry - SOF'!K$64,0)</f>
        <v>0</v>
      </c>
      <c r="U981" s="1687">
        <f t="shared" si="190"/>
        <v>6002240</v>
      </c>
      <c r="V981" s="2212" t="e">
        <f>IF('Report-M&amp;O2122'!C$18-'Report-SOF2122'!D$55&lt;=0,0,'Report-M&amp;O2122'!C$18-'Report-SOF2122'!D$55)</f>
        <v>#DIV/0!</v>
      </c>
      <c r="W981" s="2452" t="e">
        <f t="shared" si="187"/>
        <v>#DIV/0!</v>
      </c>
      <c r="X981" s="1708">
        <f>IF(A981='Data Entry - SOF'!B$2,'Data Entry - SOF'!M$64,0)</f>
        <v>0</v>
      </c>
      <c r="Y981" s="1371" t="e">
        <f t="shared" si="188"/>
        <v>#DIV/0!</v>
      </c>
      <c r="Z981" s="2212" t="e">
        <f>IF('Report-M&amp;O2223'!C$18-'Report-SOF2223'!D$55&lt;=0,0,'Report-M&amp;O2223'!C$18-'Report-SOF2223'!D$55)</f>
        <v>#DIV/0!</v>
      </c>
      <c r="AA981" s="1708">
        <f>IF(A981='Data Entry - SOF'!B$2,'Data Entry - SOF'!O$64,0)</f>
        <v>0</v>
      </c>
    </row>
    <row r="982" spans="1:27" ht="15.75">
      <c r="A982" s="1076" t="s">
        <v>465</v>
      </c>
      <c r="B982">
        <v>2550474</v>
      </c>
      <c r="C982" s="2452" t="e">
        <f>#REF!+#REF!</f>
        <v>#REF!</v>
      </c>
      <c r="D982" s="2449">
        <f>IF(A982='Data Entry - SOF'!B$2,'Data Entry - SOF'!C$64,0)</f>
        <v>0</v>
      </c>
      <c r="E982" s="2450">
        <f t="shared" si="189"/>
        <v>2550474</v>
      </c>
      <c r="F982" s="2212" t="e">
        <f>IF('Report-M&amp;O1718'!C$18-'Report-SOF1718'!D$55&lt;=0,0,'Report-M&amp;O1718'!C$18-'Report-SOF1718'!D$55)</f>
        <v>#DIV/0!</v>
      </c>
      <c r="G982" s="2452" t="e">
        <f t="shared" si="181"/>
        <v>#DIV/0!</v>
      </c>
      <c r="H982" s="2449">
        <f>IF(A982='Data Entry - SOF'!B$2,'Data Entry - SOF'!E$64,0)</f>
        <v>0</v>
      </c>
      <c r="I982" s="1687">
        <f t="shared" si="182"/>
        <v>2550474</v>
      </c>
      <c r="J982" s="2212" t="e">
        <f>IF('Report-M&amp;O1819'!C$18-'Report-SOF1819'!D$55&lt;=0,0,'Report-M&amp;O1819'!C$18-'Report-SOF1819'!D$55)</f>
        <v>#DIV/0!</v>
      </c>
      <c r="K982" s="2452" t="e">
        <f t="shared" si="183"/>
        <v>#DIV/0!</v>
      </c>
      <c r="L982" s="2449">
        <f>IF(A982='Data Entry - SOF'!B$2,'Data Entry - SOF'!G$64,0)</f>
        <v>0</v>
      </c>
      <c r="M982" s="1371">
        <f t="shared" si="184"/>
        <v>2550474</v>
      </c>
      <c r="N982" s="2212" t="e">
        <f>IF('Report-M&amp;O1920'!C$18-'Report-SOF1920'!D$55&lt;=0,0,'Report-M&amp;O1920'!C$18-'Report-SOF1920'!D$55)</f>
        <v>#DIV/0!</v>
      </c>
      <c r="O982" s="2452" t="e">
        <f t="shared" si="185"/>
        <v>#DIV/0!</v>
      </c>
      <c r="P982" s="2449">
        <f>IF(A982='Data Entry - SOF'!B$2,'Data Entry - SOF'!I$64,0)</f>
        <v>0</v>
      </c>
      <c r="Q982" s="1687">
        <f t="shared" si="180"/>
        <v>2550474</v>
      </c>
      <c r="R982" s="2212" t="e">
        <f>IF('Report-M&amp;O2021'!C$18-'Report-SOF2021'!D$55&lt;=0,0,'Report-M&amp;O2021'!C$18-'Report-SOF2021'!D$55)</f>
        <v>#DIV/0!</v>
      </c>
      <c r="S982" s="2452" t="e">
        <f t="shared" si="186"/>
        <v>#DIV/0!</v>
      </c>
      <c r="T982" s="1708">
        <f>IF(A982='Data Entry - SOF'!B$2,'Data Entry - SOF'!K$64,0)</f>
        <v>0</v>
      </c>
      <c r="U982" s="1687">
        <f t="shared" si="190"/>
        <v>2550474</v>
      </c>
      <c r="V982" s="2212" t="e">
        <f>IF('Report-M&amp;O2122'!C$18-'Report-SOF2122'!D$55&lt;=0,0,'Report-M&amp;O2122'!C$18-'Report-SOF2122'!D$55)</f>
        <v>#DIV/0!</v>
      </c>
      <c r="W982" s="2452" t="e">
        <f t="shared" si="187"/>
        <v>#DIV/0!</v>
      </c>
      <c r="X982" s="1708">
        <f>IF(A982='Data Entry - SOF'!B$2,'Data Entry - SOF'!M$64,0)</f>
        <v>0</v>
      </c>
      <c r="Y982" s="1371" t="e">
        <f t="shared" si="188"/>
        <v>#DIV/0!</v>
      </c>
      <c r="Z982" s="2212" t="e">
        <f>IF('Report-M&amp;O2223'!C$18-'Report-SOF2223'!D$55&lt;=0,0,'Report-M&amp;O2223'!C$18-'Report-SOF2223'!D$55)</f>
        <v>#DIV/0!</v>
      </c>
      <c r="AA982" s="1708">
        <f>IF(A982='Data Entry - SOF'!B$2,'Data Entry - SOF'!O$64,0)</f>
        <v>0</v>
      </c>
    </row>
    <row r="983" spans="1:27" ht="15.75">
      <c r="A983" s="1076" t="s">
        <v>308</v>
      </c>
      <c r="B983">
        <v>1169562</v>
      </c>
      <c r="C983" s="2452" t="e">
        <f>#REF!+#REF!</f>
        <v>#REF!</v>
      </c>
      <c r="D983" s="2449">
        <f>IF(A983='Data Entry - SOF'!B$2,'Data Entry - SOF'!C$64,0)</f>
        <v>0</v>
      </c>
      <c r="E983" s="2450">
        <f t="shared" si="189"/>
        <v>1169562</v>
      </c>
      <c r="F983" s="2212" t="e">
        <f>IF('Report-M&amp;O1718'!C$18-'Report-SOF1718'!D$55&lt;=0,0,'Report-M&amp;O1718'!C$18-'Report-SOF1718'!D$55)</f>
        <v>#DIV/0!</v>
      </c>
      <c r="G983" s="2452" t="e">
        <f t="shared" si="181"/>
        <v>#DIV/0!</v>
      </c>
      <c r="H983" s="2449">
        <f>IF(A983='Data Entry - SOF'!B$2,'Data Entry - SOF'!E$64,0)</f>
        <v>0</v>
      </c>
      <c r="I983" s="1687">
        <f t="shared" si="182"/>
        <v>1169562</v>
      </c>
      <c r="J983" s="2212" t="e">
        <f>IF('Report-M&amp;O1819'!C$18-'Report-SOF1819'!D$55&lt;=0,0,'Report-M&amp;O1819'!C$18-'Report-SOF1819'!D$55)</f>
        <v>#DIV/0!</v>
      </c>
      <c r="K983" s="2452" t="e">
        <f t="shared" si="183"/>
        <v>#DIV/0!</v>
      </c>
      <c r="L983" s="2449">
        <f>IF(A983='Data Entry - SOF'!B$2,'Data Entry - SOF'!G$64,0)</f>
        <v>0</v>
      </c>
      <c r="M983" s="1371">
        <f t="shared" si="184"/>
        <v>1169562</v>
      </c>
      <c r="N983" s="2212" t="e">
        <f>IF('Report-M&amp;O1920'!C$18-'Report-SOF1920'!D$55&lt;=0,0,'Report-M&amp;O1920'!C$18-'Report-SOF1920'!D$55)</f>
        <v>#DIV/0!</v>
      </c>
      <c r="O983" s="2452" t="e">
        <f t="shared" si="185"/>
        <v>#DIV/0!</v>
      </c>
      <c r="P983" s="2449">
        <f>IF(A983='Data Entry - SOF'!B$2,'Data Entry - SOF'!I$64,0)</f>
        <v>0</v>
      </c>
      <c r="Q983" s="1687">
        <f t="shared" si="180"/>
        <v>1169562</v>
      </c>
      <c r="R983" s="2212" t="e">
        <f>IF('Report-M&amp;O2021'!C$18-'Report-SOF2021'!D$55&lt;=0,0,'Report-M&amp;O2021'!C$18-'Report-SOF2021'!D$55)</f>
        <v>#DIV/0!</v>
      </c>
      <c r="S983" s="2452" t="e">
        <f t="shared" si="186"/>
        <v>#DIV/0!</v>
      </c>
      <c r="T983" s="1708">
        <f>IF(A983='Data Entry - SOF'!B$2,'Data Entry - SOF'!K$64,0)</f>
        <v>0</v>
      </c>
      <c r="U983" s="1687">
        <f t="shared" si="190"/>
        <v>1169562</v>
      </c>
      <c r="V983" s="2212" t="e">
        <f>IF('Report-M&amp;O2122'!C$18-'Report-SOF2122'!D$55&lt;=0,0,'Report-M&amp;O2122'!C$18-'Report-SOF2122'!D$55)</f>
        <v>#DIV/0!</v>
      </c>
      <c r="W983" s="2452" t="e">
        <f t="shared" si="187"/>
        <v>#DIV/0!</v>
      </c>
      <c r="X983" s="1708">
        <f>IF(A983='Data Entry - SOF'!B$2,'Data Entry - SOF'!M$64,0)</f>
        <v>0</v>
      </c>
      <c r="Y983" s="1371" t="e">
        <f t="shared" si="188"/>
        <v>#DIV/0!</v>
      </c>
      <c r="Z983" s="2212" t="e">
        <f>IF('Report-M&amp;O2223'!C$18-'Report-SOF2223'!D$55&lt;=0,0,'Report-M&amp;O2223'!C$18-'Report-SOF2223'!D$55)</f>
        <v>#DIV/0!</v>
      </c>
      <c r="AA983" s="1708">
        <f>IF(A983='Data Entry - SOF'!B$2,'Data Entry - SOF'!O$64,0)</f>
        <v>0</v>
      </c>
    </row>
    <row r="984" spans="1:27" ht="15.75">
      <c r="A984" s="1076" t="s">
        <v>1514</v>
      </c>
      <c r="B984">
        <v>1218575</v>
      </c>
      <c r="C984" s="2452" t="e">
        <f>#REF!+#REF!</f>
        <v>#REF!</v>
      </c>
      <c r="D984" s="2449">
        <f>IF(A984='Data Entry - SOF'!B$2,'Data Entry - SOF'!C$64,0)</f>
        <v>0</v>
      </c>
      <c r="E984" s="2450">
        <f t="shared" si="189"/>
        <v>1218575</v>
      </c>
      <c r="F984" s="2212" t="e">
        <f>IF('Report-M&amp;O1718'!C$18-'Report-SOF1718'!D$55&lt;=0,0,'Report-M&amp;O1718'!C$18-'Report-SOF1718'!D$55)</f>
        <v>#DIV/0!</v>
      </c>
      <c r="G984" s="2452" t="e">
        <f t="shared" si="181"/>
        <v>#DIV/0!</v>
      </c>
      <c r="H984" s="2449">
        <f>IF(A984='Data Entry - SOF'!B$2,'Data Entry - SOF'!E$64,0)</f>
        <v>0</v>
      </c>
      <c r="I984" s="1687">
        <f t="shared" si="182"/>
        <v>1218575</v>
      </c>
      <c r="J984" s="2212" t="e">
        <f>IF('Report-M&amp;O1819'!C$18-'Report-SOF1819'!D$55&lt;=0,0,'Report-M&amp;O1819'!C$18-'Report-SOF1819'!D$55)</f>
        <v>#DIV/0!</v>
      </c>
      <c r="K984" s="2452" t="e">
        <f t="shared" si="183"/>
        <v>#DIV/0!</v>
      </c>
      <c r="L984" s="2449">
        <f>IF(A984='Data Entry - SOF'!B$2,'Data Entry - SOF'!G$64,0)</f>
        <v>0</v>
      </c>
      <c r="M984" s="1371">
        <f t="shared" si="184"/>
        <v>1218575</v>
      </c>
      <c r="N984" s="2212" t="e">
        <f>IF('Report-M&amp;O1920'!C$18-'Report-SOF1920'!D$55&lt;=0,0,'Report-M&amp;O1920'!C$18-'Report-SOF1920'!D$55)</f>
        <v>#DIV/0!</v>
      </c>
      <c r="O984" s="2452" t="e">
        <f t="shared" si="185"/>
        <v>#DIV/0!</v>
      </c>
      <c r="P984" s="2449">
        <f>IF(A984='Data Entry - SOF'!B$2,'Data Entry - SOF'!I$64,0)</f>
        <v>0</v>
      </c>
      <c r="Q984" s="1687">
        <f t="shared" si="180"/>
        <v>1218575</v>
      </c>
      <c r="R984" s="2212" t="e">
        <f>IF('Report-M&amp;O2021'!C$18-'Report-SOF2021'!D$55&lt;=0,0,'Report-M&amp;O2021'!C$18-'Report-SOF2021'!D$55)</f>
        <v>#DIV/0!</v>
      </c>
      <c r="S984" s="2452" t="e">
        <f t="shared" si="186"/>
        <v>#DIV/0!</v>
      </c>
      <c r="T984" s="1708">
        <f>IF(A984='Data Entry - SOF'!B$2,'Data Entry - SOF'!K$64,0)</f>
        <v>0</v>
      </c>
      <c r="U984" s="1687">
        <f t="shared" si="190"/>
        <v>1218575</v>
      </c>
      <c r="V984" s="2212" t="e">
        <f>IF('Report-M&amp;O2122'!C$18-'Report-SOF2122'!D$55&lt;=0,0,'Report-M&amp;O2122'!C$18-'Report-SOF2122'!D$55)</f>
        <v>#DIV/0!</v>
      </c>
      <c r="W984" s="2452" t="e">
        <f t="shared" si="187"/>
        <v>#DIV/0!</v>
      </c>
      <c r="X984" s="1708">
        <f>IF(A984='Data Entry - SOF'!B$2,'Data Entry - SOF'!M$64,0)</f>
        <v>0</v>
      </c>
      <c r="Y984" s="1371" t="e">
        <f t="shared" si="188"/>
        <v>#DIV/0!</v>
      </c>
      <c r="Z984" s="2212" t="e">
        <f>IF('Report-M&amp;O2223'!C$18-'Report-SOF2223'!D$55&lt;=0,0,'Report-M&amp;O2223'!C$18-'Report-SOF2223'!D$55)</f>
        <v>#DIV/0!</v>
      </c>
      <c r="AA984" s="1708">
        <f>IF(A984='Data Entry - SOF'!B$2,'Data Entry - SOF'!O$64,0)</f>
        <v>0</v>
      </c>
    </row>
    <row r="985" spans="1:27" ht="15.75">
      <c r="A985" s="1076" t="s">
        <v>2975</v>
      </c>
      <c r="B985">
        <v>112543795.989299</v>
      </c>
      <c r="C985" s="2452" t="e">
        <f>#REF!+#REF!</f>
        <v>#REF!</v>
      </c>
      <c r="D985" s="2449">
        <f>IF(A985='Data Entry - SOF'!B$2,'Data Entry - SOF'!C$64,0)</f>
        <v>0</v>
      </c>
      <c r="E985" s="2450">
        <f t="shared" si="189"/>
        <v>112543795.989299</v>
      </c>
      <c r="F985" s="2212" t="e">
        <f>IF('Report-M&amp;O1718'!C$18-'Report-SOF1718'!D$55&lt;=0,0,'Report-M&amp;O1718'!C$18-'Report-SOF1718'!D$55)</f>
        <v>#DIV/0!</v>
      </c>
      <c r="G985" s="2452" t="e">
        <f t="shared" si="181"/>
        <v>#DIV/0!</v>
      </c>
      <c r="H985" s="2449">
        <f>IF(A985='Data Entry - SOF'!B$2,'Data Entry - SOF'!E$64,0)</f>
        <v>0</v>
      </c>
      <c r="I985" s="1687">
        <f t="shared" si="182"/>
        <v>112543795.989299</v>
      </c>
      <c r="J985" s="2212" t="e">
        <f>IF('Report-M&amp;O1819'!C$18-'Report-SOF1819'!D$55&lt;=0,0,'Report-M&amp;O1819'!C$18-'Report-SOF1819'!D$55)</f>
        <v>#DIV/0!</v>
      </c>
      <c r="K985" s="2452" t="e">
        <f t="shared" si="183"/>
        <v>#DIV/0!</v>
      </c>
      <c r="L985" s="2449">
        <f>IF(A985='Data Entry - SOF'!B$2,'Data Entry - SOF'!G$64,0)</f>
        <v>0</v>
      </c>
      <c r="M985" s="1371">
        <f t="shared" si="184"/>
        <v>112543795.989299</v>
      </c>
      <c r="N985" s="2212" t="e">
        <f>IF('Report-M&amp;O1920'!C$18-'Report-SOF1920'!D$55&lt;=0,0,'Report-M&amp;O1920'!C$18-'Report-SOF1920'!D$55)</f>
        <v>#DIV/0!</v>
      </c>
      <c r="O985" s="2452" t="e">
        <f t="shared" si="185"/>
        <v>#DIV/0!</v>
      </c>
      <c r="P985" s="2449">
        <f>IF(A985='Data Entry - SOF'!B$2,'Data Entry - SOF'!I$64,0)</f>
        <v>0</v>
      </c>
      <c r="Q985" s="1687">
        <f t="shared" si="180"/>
        <v>112543795.989299</v>
      </c>
      <c r="R985" s="2212" t="e">
        <f>IF('Report-M&amp;O2021'!C$18-'Report-SOF2021'!D$55&lt;=0,0,'Report-M&amp;O2021'!C$18-'Report-SOF2021'!D$55)</f>
        <v>#DIV/0!</v>
      </c>
      <c r="S985" s="2452" t="e">
        <f t="shared" si="186"/>
        <v>#DIV/0!</v>
      </c>
      <c r="T985" s="1708">
        <f>IF(A985='Data Entry - SOF'!B$2,'Data Entry - SOF'!K$64,0)</f>
        <v>0</v>
      </c>
      <c r="U985" s="1687">
        <f t="shared" si="190"/>
        <v>112543795.989299</v>
      </c>
      <c r="V985" s="2212" t="e">
        <f>IF('Report-M&amp;O2122'!C$18-'Report-SOF2122'!D$55&lt;=0,0,'Report-M&amp;O2122'!C$18-'Report-SOF2122'!D$55)</f>
        <v>#DIV/0!</v>
      </c>
      <c r="W985" s="2452" t="e">
        <f t="shared" si="187"/>
        <v>#DIV/0!</v>
      </c>
      <c r="X985" s="1708">
        <f>IF(A985='Data Entry - SOF'!B$2,'Data Entry - SOF'!M$64,0)</f>
        <v>0</v>
      </c>
      <c r="Y985" s="1371" t="e">
        <f t="shared" si="188"/>
        <v>#DIV/0!</v>
      </c>
      <c r="Z985" s="2212" t="e">
        <f>IF('Report-M&amp;O2223'!C$18-'Report-SOF2223'!D$55&lt;=0,0,'Report-M&amp;O2223'!C$18-'Report-SOF2223'!D$55)</f>
        <v>#DIV/0!</v>
      </c>
      <c r="AA985" s="1708">
        <f>IF(A985='Data Entry - SOF'!B$2,'Data Entry - SOF'!O$64,0)</f>
        <v>0</v>
      </c>
    </row>
    <row r="986" spans="1:27" ht="15.75">
      <c r="A986" s="1076" t="s">
        <v>2038</v>
      </c>
      <c r="B986">
        <v>1216119</v>
      </c>
      <c r="C986" s="2452" t="e">
        <f>#REF!+#REF!</f>
        <v>#REF!</v>
      </c>
      <c r="D986" s="2449">
        <f>IF(A986='Data Entry - SOF'!B$2,'Data Entry - SOF'!C$64,0)</f>
        <v>0</v>
      </c>
      <c r="E986" s="2450">
        <f t="shared" si="189"/>
        <v>1216119</v>
      </c>
      <c r="F986" s="2212" t="e">
        <f>IF('Report-M&amp;O1718'!C$18-'Report-SOF1718'!D$55&lt;=0,0,'Report-M&amp;O1718'!C$18-'Report-SOF1718'!D$55)</f>
        <v>#DIV/0!</v>
      </c>
      <c r="G986" s="2452" t="e">
        <f t="shared" si="181"/>
        <v>#DIV/0!</v>
      </c>
      <c r="H986" s="2449">
        <f>IF(A986='Data Entry - SOF'!B$2,'Data Entry - SOF'!E$64,0)</f>
        <v>0</v>
      </c>
      <c r="I986" s="1687">
        <f t="shared" si="182"/>
        <v>1216119</v>
      </c>
      <c r="J986" s="2212" t="e">
        <f>IF('Report-M&amp;O1819'!C$18-'Report-SOF1819'!D$55&lt;=0,0,'Report-M&amp;O1819'!C$18-'Report-SOF1819'!D$55)</f>
        <v>#DIV/0!</v>
      </c>
      <c r="K986" s="2452" t="e">
        <f t="shared" si="183"/>
        <v>#DIV/0!</v>
      </c>
      <c r="L986" s="2449">
        <f>IF(A986='Data Entry - SOF'!B$2,'Data Entry - SOF'!G$64,0)</f>
        <v>0</v>
      </c>
      <c r="M986" s="1371">
        <f t="shared" si="184"/>
        <v>1216119</v>
      </c>
      <c r="N986" s="2212" t="e">
        <f>IF('Report-M&amp;O1920'!C$18-'Report-SOF1920'!D$55&lt;=0,0,'Report-M&amp;O1920'!C$18-'Report-SOF1920'!D$55)</f>
        <v>#DIV/0!</v>
      </c>
      <c r="O986" s="2452" t="e">
        <f t="shared" si="185"/>
        <v>#DIV/0!</v>
      </c>
      <c r="P986" s="2449">
        <f>IF(A986='Data Entry - SOF'!B$2,'Data Entry - SOF'!I$64,0)</f>
        <v>0</v>
      </c>
      <c r="Q986" s="1687">
        <f t="shared" si="180"/>
        <v>1216119</v>
      </c>
      <c r="R986" s="2212" t="e">
        <f>IF('Report-M&amp;O2021'!C$18-'Report-SOF2021'!D$55&lt;=0,0,'Report-M&amp;O2021'!C$18-'Report-SOF2021'!D$55)</f>
        <v>#DIV/0!</v>
      </c>
      <c r="S986" s="2452" t="e">
        <f t="shared" si="186"/>
        <v>#DIV/0!</v>
      </c>
      <c r="T986" s="1708">
        <f>IF(A986='Data Entry - SOF'!B$2,'Data Entry - SOF'!K$64,0)</f>
        <v>0</v>
      </c>
      <c r="U986" s="1687">
        <f t="shared" si="190"/>
        <v>1216119</v>
      </c>
      <c r="V986" s="2212" t="e">
        <f>IF('Report-M&amp;O2122'!C$18-'Report-SOF2122'!D$55&lt;=0,0,'Report-M&amp;O2122'!C$18-'Report-SOF2122'!D$55)</f>
        <v>#DIV/0!</v>
      </c>
      <c r="W986" s="2452" t="e">
        <f t="shared" si="187"/>
        <v>#DIV/0!</v>
      </c>
      <c r="X986" s="1708">
        <f>IF(A986='Data Entry - SOF'!B$2,'Data Entry - SOF'!M$64,0)</f>
        <v>0</v>
      </c>
      <c r="Y986" s="1371" t="e">
        <f t="shared" si="188"/>
        <v>#DIV/0!</v>
      </c>
      <c r="Z986" s="2212" t="e">
        <f>IF('Report-M&amp;O2223'!C$18-'Report-SOF2223'!D$55&lt;=0,0,'Report-M&amp;O2223'!C$18-'Report-SOF2223'!D$55)</f>
        <v>#DIV/0!</v>
      </c>
      <c r="AA986" s="1708">
        <f>IF(A986='Data Entry - SOF'!B$2,'Data Entry - SOF'!O$64,0)</f>
        <v>0</v>
      </c>
    </row>
    <row r="987" spans="1:27" ht="15.75">
      <c r="A987" s="1076" t="s">
        <v>47</v>
      </c>
      <c r="B987">
        <v>41738337</v>
      </c>
      <c r="C987" s="2452" t="e">
        <f>#REF!+#REF!</f>
        <v>#REF!</v>
      </c>
      <c r="D987" s="2449">
        <f>IF(A987='Data Entry - SOF'!B$2,'Data Entry - SOF'!C$64,0)</f>
        <v>0</v>
      </c>
      <c r="E987" s="2450">
        <f t="shared" si="189"/>
        <v>41738337</v>
      </c>
      <c r="F987" s="2212" t="e">
        <f>IF('Report-M&amp;O1718'!C$18-'Report-SOF1718'!D$55&lt;=0,0,'Report-M&amp;O1718'!C$18-'Report-SOF1718'!D$55)</f>
        <v>#DIV/0!</v>
      </c>
      <c r="G987" s="2452" t="e">
        <f t="shared" si="181"/>
        <v>#DIV/0!</v>
      </c>
      <c r="H987" s="2449">
        <f>IF(A987='Data Entry - SOF'!B$2,'Data Entry - SOF'!E$64,0)</f>
        <v>0</v>
      </c>
      <c r="I987" s="1687">
        <f t="shared" si="182"/>
        <v>41738337</v>
      </c>
      <c r="J987" s="2212" t="e">
        <f>IF('Report-M&amp;O1819'!C$18-'Report-SOF1819'!D$55&lt;=0,0,'Report-M&amp;O1819'!C$18-'Report-SOF1819'!D$55)</f>
        <v>#DIV/0!</v>
      </c>
      <c r="K987" s="2452" t="e">
        <f t="shared" si="183"/>
        <v>#DIV/0!</v>
      </c>
      <c r="L987" s="2449">
        <f>IF(A987='Data Entry - SOF'!B$2,'Data Entry - SOF'!G$64,0)</f>
        <v>0</v>
      </c>
      <c r="M987" s="1371">
        <f t="shared" si="184"/>
        <v>41738337</v>
      </c>
      <c r="N987" s="2212" t="e">
        <f>IF('Report-M&amp;O1920'!C$18-'Report-SOF1920'!D$55&lt;=0,0,'Report-M&amp;O1920'!C$18-'Report-SOF1920'!D$55)</f>
        <v>#DIV/0!</v>
      </c>
      <c r="O987" s="2452" t="e">
        <f t="shared" si="185"/>
        <v>#DIV/0!</v>
      </c>
      <c r="P987" s="2449">
        <f>IF(A987='Data Entry - SOF'!B$2,'Data Entry - SOF'!I$64,0)</f>
        <v>0</v>
      </c>
      <c r="Q987" s="1687">
        <f t="shared" si="180"/>
        <v>41738337</v>
      </c>
      <c r="R987" s="2212" t="e">
        <f>IF('Report-M&amp;O2021'!C$18-'Report-SOF2021'!D$55&lt;=0,0,'Report-M&amp;O2021'!C$18-'Report-SOF2021'!D$55)</f>
        <v>#DIV/0!</v>
      </c>
      <c r="S987" s="2452" t="e">
        <f t="shared" si="186"/>
        <v>#DIV/0!</v>
      </c>
      <c r="T987" s="1708">
        <f>IF(A987='Data Entry - SOF'!B$2,'Data Entry - SOF'!K$64,0)</f>
        <v>0</v>
      </c>
      <c r="U987" s="1687">
        <f t="shared" si="190"/>
        <v>41738337</v>
      </c>
      <c r="V987" s="2212" t="e">
        <f>IF('Report-M&amp;O2122'!C$18-'Report-SOF2122'!D$55&lt;=0,0,'Report-M&amp;O2122'!C$18-'Report-SOF2122'!D$55)</f>
        <v>#DIV/0!</v>
      </c>
      <c r="W987" s="2452" t="e">
        <f t="shared" si="187"/>
        <v>#DIV/0!</v>
      </c>
      <c r="X987" s="1708">
        <f>IF(A987='Data Entry - SOF'!B$2,'Data Entry - SOF'!M$64,0)</f>
        <v>0</v>
      </c>
      <c r="Y987" s="1371" t="e">
        <f t="shared" si="188"/>
        <v>#DIV/0!</v>
      </c>
      <c r="Z987" s="2212" t="e">
        <f>IF('Report-M&amp;O2223'!C$18-'Report-SOF2223'!D$55&lt;=0,0,'Report-M&amp;O2223'!C$18-'Report-SOF2223'!D$55)</f>
        <v>#DIV/0!</v>
      </c>
      <c r="AA987" s="1708">
        <f>IF(A987='Data Entry - SOF'!B$2,'Data Entry - SOF'!O$64,0)</f>
        <v>0</v>
      </c>
    </row>
    <row r="988" spans="1:27" ht="15.75">
      <c r="A988" s="1076" t="s">
        <v>11</v>
      </c>
      <c r="B988">
        <v>13838599</v>
      </c>
      <c r="C988" s="2452" t="e">
        <f>#REF!+#REF!</f>
        <v>#REF!</v>
      </c>
      <c r="D988" s="2449">
        <f>IF(A988='Data Entry - SOF'!B$2,'Data Entry - SOF'!C$64,0)</f>
        <v>0</v>
      </c>
      <c r="E988" s="2450">
        <f t="shared" si="189"/>
        <v>13838599</v>
      </c>
      <c r="F988" s="2212" t="e">
        <f>IF('Report-M&amp;O1718'!C$18-'Report-SOF1718'!D$55&lt;=0,0,'Report-M&amp;O1718'!C$18-'Report-SOF1718'!D$55)</f>
        <v>#DIV/0!</v>
      </c>
      <c r="G988" s="2452" t="e">
        <f t="shared" si="181"/>
        <v>#DIV/0!</v>
      </c>
      <c r="H988" s="2449">
        <f>IF(A988='Data Entry - SOF'!B$2,'Data Entry - SOF'!E$64,0)</f>
        <v>0</v>
      </c>
      <c r="I988" s="1687">
        <f t="shared" si="182"/>
        <v>13838599</v>
      </c>
      <c r="J988" s="2212" t="e">
        <f>IF('Report-M&amp;O1819'!C$18-'Report-SOF1819'!D$55&lt;=0,0,'Report-M&amp;O1819'!C$18-'Report-SOF1819'!D$55)</f>
        <v>#DIV/0!</v>
      </c>
      <c r="K988" s="2452" t="e">
        <f t="shared" si="183"/>
        <v>#DIV/0!</v>
      </c>
      <c r="L988" s="2449">
        <f>IF(A988='Data Entry - SOF'!B$2,'Data Entry - SOF'!G$64,0)</f>
        <v>0</v>
      </c>
      <c r="M988" s="1371">
        <f t="shared" si="184"/>
        <v>13838599</v>
      </c>
      <c r="N988" s="2212" t="e">
        <f>IF('Report-M&amp;O1920'!C$18-'Report-SOF1920'!D$55&lt;=0,0,'Report-M&amp;O1920'!C$18-'Report-SOF1920'!D$55)</f>
        <v>#DIV/0!</v>
      </c>
      <c r="O988" s="2452" t="e">
        <f t="shared" si="185"/>
        <v>#DIV/0!</v>
      </c>
      <c r="P988" s="2449">
        <f>IF(A988='Data Entry - SOF'!B$2,'Data Entry - SOF'!I$64,0)</f>
        <v>0</v>
      </c>
      <c r="Q988" s="1687">
        <f t="shared" si="180"/>
        <v>13838599</v>
      </c>
      <c r="R988" s="2212" t="e">
        <f>IF('Report-M&amp;O2021'!C$18-'Report-SOF2021'!D$55&lt;=0,0,'Report-M&amp;O2021'!C$18-'Report-SOF2021'!D$55)</f>
        <v>#DIV/0!</v>
      </c>
      <c r="S988" s="2452" t="e">
        <f t="shared" si="186"/>
        <v>#DIV/0!</v>
      </c>
      <c r="T988" s="1708">
        <f>IF(A988='Data Entry - SOF'!B$2,'Data Entry - SOF'!K$64,0)</f>
        <v>0</v>
      </c>
      <c r="U988" s="1687">
        <f t="shared" si="190"/>
        <v>13838599</v>
      </c>
      <c r="V988" s="2212" t="e">
        <f>IF('Report-M&amp;O2122'!C$18-'Report-SOF2122'!D$55&lt;=0,0,'Report-M&amp;O2122'!C$18-'Report-SOF2122'!D$55)</f>
        <v>#DIV/0!</v>
      </c>
      <c r="W988" s="2452" t="e">
        <f t="shared" si="187"/>
        <v>#DIV/0!</v>
      </c>
      <c r="X988" s="1708">
        <f>IF(A988='Data Entry - SOF'!B$2,'Data Entry - SOF'!M$64,0)</f>
        <v>0</v>
      </c>
      <c r="Y988" s="1371" t="e">
        <f t="shared" si="188"/>
        <v>#DIV/0!</v>
      </c>
      <c r="Z988" s="2212" t="e">
        <f>IF('Report-M&amp;O2223'!C$18-'Report-SOF2223'!D$55&lt;=0,0,'Report-M&amp;O2223'!C$18-'Report-SOF2223'!D$55)</f>
        <v>#DIV/0!</v>
      </c>
      <c r="AA988" s="1708">
        <f>IF(A988='Data Entry - SOF'!B$2,'Data Entry - SOF'!O$64,0)</f>
        <v>0</v>
      </c>
    </row>
    <row r="989" spans="1:27" ht="15.75">
      <c r="A989" s="1076" t="s">
        <v>1990</v>
      </c>
      <c r="B989">
        <v>30967297</v>
      </c>
      <c r="C989" s="2452" t="e">
        <f>#REF!+#REF!</f>
        <v>#REF!</v>
      </c>
      <c r="D989" s="2449">
        <f>IF(A989='Data Entry - SOF'!B$2,'Data Entry - SOF'!C$64,0)</f>
        <v>0</v>
      </c>
      <c r="E989" s="2450">
        <f t="shared" si="189"/>
        <v>30967297</v>
      </c>
      <c r="F989" s="2212" t="e">
        <f>IF('Report-M&amp;O1718'!C$18-'Report-SOF1718'!D$55&lt;=0,0,'Report-M&amp;O1718'!C$18-'Report-SOF1718'!D$55)</f>
        <v>#DIV/0!</v>
      </c>
      <c r="G989" s="2452" t="e">
        <f t="shared" si="181"/>
        <v>#DIV/0!</v>
      </c>
      <c r="H989" s="2449">
        <f>IF(A989='Data Entry - SOF'!B$2,'Data Entry - SOF'!E$64,0)</f>
        <v>0</v>
      </c>
      <c r="I989" s="1687">
        <f t="shared" si="182"/>
        <v>30967297</v>
      </c>
      <c r="J989" s="2212" t="e">
        <f>IF('Report-M&amp;O1819'!C$18-'Report-SOF1819'!D$55&lt;=0,0,'Report-M&amp;O1819'!C$18-'Report-SOF1819'!D$55)</f>
        <v>#DIV/0!</v>
      </c>
      <c r="K989" s="2452" t="e">
        <f t="shared" si="183"/>
        <v>#DIV/0!</v>
      </c>
      <c r="L989" s="2449">
        <f>IF(A989='Data Entry - SOF'!B$2,'Data Entry - SOF'!G$64,0)</f>
        <v>0</v>
      </c>
      <c r="M989" s="1371">
        <f t="shared" si="184"/>
        <v>30967297</v>
      </c>
      <c r="N989" s="2212" t="e">
        <f>IF('Report-M&amp;O1920'!C$18-'Report-SOF1920'!D$55&lt;=0,0,'Report-M&amp;O1920'!C$18-'Report-SOF1920'!D$55)</f>
        <v>#DIV/0!</v>
      </c>
      <c r="O989" s="2452" t="e">
        <f t="shared" si="185"/>
        <v>#DIV/0!</v>
      </c>
      <c r="P989" s="2449">
        <f>IF(A989='Data Entry - SOF'!B$2,'Data Entry - SOF'!I$64,0)</f>
        <v>0</v>
      </c>
      <c r="Q989" s="1687">
        <f t="shared" si="180"/>
        <v>30967297</v>
      </c>
      <c r="R989" s="2212" t="e">
        <f>IF('Report-M&amp;O2021'!C$18-'Report-SOF2021'!D$55&lt;=0,0,'Report-M&amp;O2021'!C$18-'Report-SOF2021'!D$55)</f>
        <v>#DIV/0!</v>
      </c>
      <c r="S989" s="2452" t="e">
        <f t="shared" si="186"/>
        <v>#DIV/0!</v>
      </c>
      <c r="T989" s="1708">
        <f>IF(A989='Data Entry - SOF'!B$2,'Data Entry - SOF'!K$64,0)</f>
        <v>0</v>
      </c>
      <c r="U989" s="1687">
        <f t="shared" si="190"/>
        <v>30967297</v>
      </c>
      <c r="V989" s="2212" t="e">
        <f>IF('Report-M&amp;O2122'!C$18-'Report-SOF2122'!D$55&lt;=0,0,'Report-M&amp;O2122'!C$18-'Report-SOF2122'!D$55)</f>
        <v>#DIV/0!</v>
      </c>
      <c r="W989" s="2452" t="e">
        <f t="shared" si="187"/>
        <v>#DIV/0!</v>
      </c>
      <c r="X989" s="1708">
        <f>IF(A989='Data Entry - SOF'!B$2,'Data Entry - SOF'!M$64,0)</f>
        <v>0</v>
      </c>
      <c r="Y989" s="1371" t="e">
        <f t="shared" si="188"/>
        <v>#DIV/0!</v>
      </c>
      <c r="Z989" s="2212" t="e">
        <f>IF('Report-M&amp;O2223'!C$18-'Report-SOF2223'!D$55&lt;=0,0,'Report-M&amp;O2223'!C$18-'Report-SOF2223'!D$55)</f>
        <v>#DIV/0!</v>
      </c>
      <c r="AA989" s="1708">
        <f>IF(A989='Data Entry - SOF'!B$2,'Data Entry - SOF'!O$64,0)</f>
        <v>0</v>
      </c>
    </row>
    <row r="990" spans="1:27" ht="15.75">
      <c r="A990" s="1076" t="s">
        <v>1485</v>
      </c>
      <c r="B990">
        <v>454798586</v>
      </c>
      <c r="C990" s="2452" t="e">
        <f>#REF!+#REF!</f>
        <v>#REF!</v>
      </c>
      <c r="D990" s="2449">
        <f>IF(A990='Data Entry - SOF'!B$2,'Data Entry - SOF'!C$64,0)</f>
        <v>0</v>
      </c>
      <c r="E990" s="2450">
        <f t="shared" si="189"/>
        <v>454798586</v>
      </c>
      <c r="F990" s="2212" t="e">
        <f>IF('Report-M&amp;O1718'!C$18-'Report-SOF1718'!D$55&lt;=0,0,'Report-M&amp;O1718'!C$18-'Report-SOF1718'!D$55)</f>
        <v>#DIV/0!</v>
      </c>
      <c r="G990" s="2452" t="e">
        <f t="shared" si="181"/>
        <v>#DIV/0!</v>
      </c>
      <c r="H990" s="2449">
        <f>IF(A990='Data Entry - SOF'!B$2,'Data Entry - SOF'!E$64,0)</f>
        <v>0</v>
      </c>
      <c r="I990" s="1687">
        <f t="shared" si="182"/>
        <v>454798586</v>
      </c>
      <c r="J990" s="2212" t="e">
        <f>IF('Report-M&amp;O1819'!C$18-'Report-SOF1819'!D$55&lt;=0,0,'Report-M&amp;O1819'!C$18-'Report-SOF1819'!D$55)</f>
        <v>#DIV/0!</v>
      </c>
      <c r="K990" s="2452" t="e">
        <f t="shared" si="183"/>
        <v>#DIV/0!</v>
      </c>
      <c r="L990" s="2449">
        <f>IF(A990='Data Entry - SOF'!B$2,'Data Entry - SOF'!G$64,0)</f>
        <v>0</v>
      </c>
      <c r="M990" s="1371">
        <f t="shared" si="184"/>
        <v>454798586</v>
      </c>
      <c r="N990" s="2212" t="e">
        <f>IF('Report-M&amp;O1920'!C$18-'Report-SOF1920'!D$55&lt;=0,0,'Report-M&amp;O1920'!C$18-'Report-SOF1920'!D$55)</f>
        <v>#DIV/0!</v>
      </c>
      <c r="O990" s="2452" t="e">
        <f t="shared" si="185"/>
        <v>#DIV/0!</v>
      </c>
      <c r="P990" s="2449">
        <f>IF(A990='Data Entry - SOF'!B$2,'Data Entry - SOF'!I$64,0)</f>
        <v>0</v>
      </c>
      <c r="Q990" s="1687">
        <f t="shared" si="180"/>
        <v>454798586</v>
      </c>
      <c r="R990" s="2212" t="e">
        <f>IF('Report-M&amp;O2021'!C$18-'Report-SOF2021'!D$55&lt;=0,0,'Report-M&amp;O2021'!C$18-'Report-SOF2021'!D$55)</f>
        <v>#DIV/0!</v>
      </c>
      <c r="S990" s="2452" t="e">
        <f t="shared" si="186"/>
        <v>#DIV/0!</v>
      </c>
      <c r="T990" s="1708">
        <f>IF(A990='Data Entry - SOF'!B$2,'Data Entry - SOF'!K$64,0)</f>
        <v>0</v>
      </c>
      <c r="U990" s="1687">
        <f t="shared" si="190"/>
        <v>454798586</v>
      </c>
      <c r="V990" s="2212" t="e">
        <f>IF('Report-M&amp;O2122'!C$18-'Report-SOF2122'!D$55&lt;=0,0,'Report-M&amp;O2122'!C$18-'Report-SOF2122'!D$55)</f>
        <v>#DIV/0!</v>
      </c>
      <c r="W990" s="2452" t="e">
        <f t="shared" si="187"/>
        <v>#DIV/0!</v>
      </c>
      <c r="X990" s="1708">
        <f>IF(A990='Data Entry - SOF'!B$2,'Data Entry - SOF'!M$64,0)</f>
        <v>0</v>
      </c>
      <c r="Y990" s="1371" t="e">
        <f t="shared" si="188"/>
        <v>#DIV/0!</v>
      </c>
      <c r="Z990" s="2212" t="e">
        <f>IF('Report-M&amp;O2223'!C$18-'Report-SOF2223'!D$55&lt;=0,0,'Report-M&amp;O2223'!C$18-'Report-SOF2223'!D$55)</f>
        <v>#DIV/0!</v>
      </c>
      <c r="AA990" s="1708">
        <f>IF(A990='Data Entry - SOF'!B$2,'Data Entry - SOF'!O$64,0)</f>
        <v>0</v>
      </c>
    </row>
    <row r="991" spans="1:27" ht="15.75">
      <c r="A991" s="1076" t="s">
        <v>1738</v>
      </c>
      <c r="B991">
        <v>10297746</v>
      </c>
      <c r="C991" s="2452" t="e">
        <f>#REF!+#REF!</f>
        <v>#REF!</v>
      </c>
      <c r="D991" s="2449">
        <f>IF(A991='Data Entry - SOF'!B$2,'Data Entry - SOF'!C$64,0)</f>
        <v>0</v>
      </c>
      <c r="E991" s="2450">
        <f t="shared" si="189"/>
        <v>10297746</v>
      </c>
      <c r="F991" s="2212" t="e">
        <f>IF('Report-M&amp;O1718'!C$18-'Report-SOF1718'!D$55&lt;=0,0,'Report-M&amp;O1718'!C$18-'Report-SOF1718'!D$55)</f>
        <v>#DIV/0!</v>
      </c>
      <c r="G991" s="2452" t="e">
        <f t="shared" si="181"/>
        <v>#DIV/0!</v>
      </c>
      <c r="H991" s="2449">
        <f>IF(A991='Data Entry - SOF'!B$2,'Data Entry - SOF'!E$64,0)</f>
        <v>0</v>
      </c>
      <c r="I991" s="1687">
        <f t="shared" si="182"/>
        <v>10297746</v>
      </c>
      <c r="J991" s="2212" t="e">
        <f>IF('Report-M&amp;O1819'!C$18-'Report-SOF1819'!D$55&lt;=0,0,'Report-M&amp;O1819'!C$18-'Report-SOF1819'!D$55)</f>
        <v>#DIV/0!</v>
      </c>
      <c r="K991" s="2452" t="e">
        <f t="shared" si="183"/>
        <v>#DIV/0!</v>
      </c>
      <c r="L991" s="2449">
        <f>IF(A991='Data Entry - SOF'!B$2,'Data Entry - SOF'!G$64,0)</f>
        <v>0</v>
      </c>
      <c r="M991" s="1371">
        <f t="shared" si="184"/>
        <v>10297746</v>
      </c>
      <c r="N991" s="2212" t="e">
        <f>IF('Report-M&amp;O1920'!C$18-'Report-SOF1920'!D$55&lt;=0,0,'Report-M&amp;O1920'!C$18-'Report-SOF1920'!D$55)</f>
        <v>#DIV/0!</v>
      </c>
      <c r="O991" s="2452" t="e">
        <f t="shared" si="185"/>
        <v>#DIV/0!</v>
      </c>
      <c r="P991" s="2449">
        <f>IF(A991='Data Entry - SOF'!B$2,'Data Entry - SOF'!I$64,0)</f>
        <v>0</v>
      </c>
      <c r="Q991" s="1687">
        <f t="shared" si="180"/>
        <v>10297746</v>
      </c>
      <c r="R991" s="2212" t="e">
        <f>IF('Report-M&amp;O2021'!C$18-'Report-SOF2021'!D$55&lt;=0,0,'Report-M&amp;O2021'!C$18-'Report-SOF2021'!D$55)</f>
        <v>#DIV/0!</v>
      </c>
      <c r="S991" s="2452" t="e">
        <f t="shared" si="186"/>
        <v>#DIV/0!</v>
      </c>
      <c r="T991" s="1708">
        <f>IF(A991='Data Entry - SOF'!B$2,'Data Entry - SOF'!K$64,0)</f>
        <v>0</v>
      </c>
      <c r="U991" s="1687">
        <f t="shared" si="190"/>
        <v>10297746</v>
      </c>
      <c r="V991" s="2212" t="e">
        <f>IF('Report-M&amp;O2122'!C$18-'Report-SOF2122'!D$55&lt;=0,0,'Report-M&amp;O2122'!C$18-'Report-SOF2122'!D$55)</f>
        <v>#DIV/0!</v>
      </c>
      <c r="W991" s="2452" t="e">
        <f t="shared" si="187"/>
        <v>#DIV/0!</v>
      </c>
      <c r="X991" s="1708">
        <f>IF(A991='Data Entry - SOF'!B$2,'Data Entry - SOF'!M$64,0)</f>
        <v>0</v>
      </c>
      <c r="Y991" s="1371" t="e">
        <f t="shared" si="188"/>
        <v>#DIV/0!</v>
      </c>
      <c r="Z991" s="2212" t="e">
        <f>IF('Report-M&amp;O2223'!C$18-'Report-SOF2223'!D$55&lt;=0,0,'Report-M&amp;O2223'!C$18-'Report-SOF2223'!D$55)</f>
        <v>#DIV/0!</v>
      </c>
      <c r="AA991" s="1708">
        <f>IF(A991='Data Entry - SOF'!B$2,'Data Entry - SOF'!O$64,0)</f>
        <v>0</v>
      </c>
    </row>
    <row r="992" spans="1:27" ht="15.75">
      <c r="A992" s="1076" t="s">
        <v>1708</v>
      </c>
      <c r="B992">
        <v>2175497</v>
      </c>
      <c r="C992" s="2452" t="e">
        <f>#REF!+#REF!</f>
        <v>#REF!</v>
      </c>
      <c r="D992" s="2449">
        <f>IF(A992='Data Entry - SOF'!B$2,'Data Entry - SOF'!C$64,0)</f>
        <v>0</v>
      </c>
      <c r="E992" s="2450">
        <f t="shared" si="189"/>
        <v>2175497</v>
      </c>
      <c r="F992" s="2212" t="e">
        <f>IF('Report-M&amp;O1718'!C$18-'Report-SOF1718'!D$55&lt;=0,0,'Report-M&amp;O1718'!C$18-'Report-SOF1718'!D$55)</f>
        <v>#DIV/0!</v>
      </c>
      <c r="G992" s="2452" t="e">
        <f t="shared" si="181"/>
        <v>#DIV/0!</v>
      </c>
      <c r="H992" s="2449">
        <f>IF(A992='Data Entry - SOF'!B$2,'Data Entry - SOF'!E$64,0)</f>
        <v>0</v>
      </c>
      <c r="I992" s="1687">
        <f t="shared" si="182"/>
        <v>2175497</v>
      </c>
      <c r="J992" s="2212" t="e">
        <f>IF('Report-M&amp;O1819'!C$18-'Report-SOF1819'!D$55&lt;=0,0,'Report-M&amp;O1819'!C$18-'Report-SOF1819'!D$55)</f>
        <v>#DIV/0!</v>
      </c>
      <c r="K992" s="2452" t="e">
        <f t="shared" si="183"/>
        <v>#DIV/0!</v>
      </c>
      <c r="L992" s="2449">
        <f>IF(A992='Data Entry - SOF'!B$2,'Data Entry - SOF'!G$64,0)</f>
        <v>0</v>
      </c>
      <c r="M992" s="1371">
        <f t="shared" si="184"/>
        <v>2175497</v>
      </c>
      <c r="N992" s="2212" t="e">
        <f>IF('Report-M&amp;O1920'!C$18-'Report-SOF1920'!D$55&lt;=0,0,'Report-M&amp;O1920'!C$18-'Report-SOF1920'!D$55)</f>
        <v>#DIV/0!</v>
      </c>
      <c r="O992" s="2452" t="e">
        <f t="shared" si="185"/>
        <v>#DIV/0!</v>
      </c>
      <c r="P992" s="2449">
        <f>IF(A992='Data Entry - SOF'!B$2,'Data Entry - SOF'!I$64,0)</f>
        <v>0</v>
      </c>
      <c r="Q992" s="1687">
        <f t="shared" si="180"/>
        <v>2175497</v>
      </c>
      <c r="R992" s="2212" t="e">
        <f>IF('Report-M&amp;O2021'!C$18-'Report-SOF2021'!D$55&lt;=0,0,'Report-M&amp;O2021'!C$18-'Report-SOF2021'!D$55)</f>
        <v>#DIV/0!</v>
      </c>
      <c r="S992" s="2452" t="e">
        <f t="shared" si="186"/>
        <v>#DIV/0!</v>
      </c>
      <c r="T992" s="1708">
        <f>IF(A992='Data Entry - SOF'!B$2,'Data Entry - SOF'!K$64,0)</f>
        <v>0</v>
      </c>
      <c r="U992" s="1687">
        <f t="shared" si="190"/>
        <v>2175497</v>
      </c>
      <c r="V992" s="2212" t="e">
        <f>IF('Report-M&amp;O2122'!C$18-'Report-SOF2122'!D$55&lt;=0,0,'Report-M&amp;O2122'!C$18-'Report-SOF2122'!D$55)</f>
        <v>#DIV/0!</v>
      </c>
      <c r="W992" s="2452" t="e">
        <f t="shared" si="187"/>
        <v>#DIV/0!</v>
      </c>
      <c r="X992" s="1708">
        <f>IF(A992='Data Entry - SOF'!B$2,'Data Entry - SOF'!M$64,0)</f>
        <v>0</v>
      </c>
      <c r="Y992" s="1371" t="e">
        <f t="shared" si="188"/>
        <v>#DIV/0!</v>
      </c>
      <c r="Z992" s="2212" t="e">
        <f>IF('Report-M&amp;O2223'!C$18-'Report-SOF2223'!D$55&lt;=0,0,'Report-M&amp;O2223'!C$18-'Report-SOF2223'!D$55)</f>
        <v>#DIV/0!</v>
      </c>
      <c r="AA992" s="1708">
        <f>IF(A992='Data Entry - SOF'!B$2,'Data Entry - SOF'!O$64,0)</f>
        <v>0</v>
      </c>
    </row>
    <row r="993" spans="1:27" ht="15.75">
      <c r="A993" s="1076" t="s">
        <v>1988</v>
      </c>
      <c r="B993">
        <v>449209768</v>
      </c>
      <c r="C993" s="2452" t="e">
        <f>#REF!+#REF!</f>
        <v>#REF!</v>
      </c>
      <c r="D993" s="2449">
        <f>IF(A993='Data Entry - SOF'!B$2,'Data Entry - SOF'!C$64,0)</f>
        <v>0</v>
      </c>
      <c r="E993" s="2450">
        <f t="shared" si="189"/>
        <v>449209768</v>
      </c>
      <c r="F993" s="2212" t="e">
        <f>IF('Report-M&amp;O1718'!C$18-'Report-SOF1718'!D$55&lt;=0,0,'Report-M&amp;O1718'!C$18-'Report-SOF1718'!D$55)</f>
        <v>#DIV/0!</v>
      </c>
      <c r="G993" s="2452" t="e">
        <f t="shared" si="181"/>
        <v>#DIV/0!</v>
      </c>
      <c r="H993" s="2449">
        <f>IF(A993='Data Entry - SOF'!B$2,'Data Entry - SOF'!E$64,0)</f>
        <v>0</v>
      </c>
      <c r="I993" s="1687">
        <f t="shared" si="182"/>
        <v>449209768</v>
      </c>
      <c r="J993" s="2212" t="e">
        <f>IF('Report-M&amp;O1819'!C$18-'Report-SOF1819'!D$55&lt;=0,0,'Report-M&amp;O1819'!C$18-'Report-SOF1819'!D$55)</f>
        <v>#DIV/0!</v>
      </c>
      <c r="K993" s="2452" t="e">
        <f t="shared" si="183"/>
        <v>#DIV/0!</v>
      </c>
      <c r="L993" s="2449">
        <f>IF(A993='Data Entry - SOF'!B$2,'Data Entry - SOF'!G$64,0)</f>
        <v>0</v>
      </c>
      <c r="M993" s="1371">
        <f t="shared" si="184"/>
        <v>449209768</v>
      </c>
      <c r="N993" s="2212" t="e">
        <f>IF('Report-M&amp;O1920'!C$18-'Report-SOF1920'!D$55&lt;=0,0,'Report-M&amp;O1920'!C$18-'Report-SOF1920'!D$55)</f>
        <v>#DIV/0!</v>
      </c>
      <c r="O993" s="2452" t="e">
        <f t="shared" si="185"/>
        <v>#DIV/0!</v>
      </c>
      <c r="P993" s="2449">
        <f>IF(A993='Data Entry - SOF'!B$2,'Data Entry - SOF'!I$64,0)</f>
        <v>0</v>
      </c>
      <c r="Q993" s="1687">
        <f t="shared" si="180"/>
        <v>449209768</v>
      </c>
      <c r="R993" s="2212" t="e">
        <f>IF('Report-M&amp;O2021'!C$18-'Report-SOF2021'!D$55&lt;=0,0,'Report-M&amp;O2021'!C$18-'Report-SOF2021'!D$55)</f>
        <v>#DIV/0!</v>
      </c>
      <c r="S993" s="2452" t="e">
        <f t="shared" si="186"/>
        <v>#DIV/0!</v>
      </c>
      <c r="T993" s="1708">
        <f>IF(A993='Data Entry - SOF'!B$2,'Data Entry - SOF'!K$64,0)</f>
        <v>0</v>
      </c>
      <c r="U993" s="1687">
        <f t="shared" si="190"/>
        <v>449209768</v>
      </c>
      <c r="V993" s="2212" t="e">
        <f>IF('Report-M&amp;O2122'!C$18-'Report-SOF2122'!D$55&lt;=0,0,'Report-M&amp;O2122'!C$18-'Report-SOF2122'!D$55)</f>
        <v>#DIV/0!</v>
      </c>
      <c r="W993" s="2452" t="e">
        <f t="shared" si="187"/>
        <v>#DIV/0!</v>
      </c>
      <c r="X993" s="1708">
        <f>IF(A993='Data Entry - SOF'!B$2,'Data Entry - SOF'!M$64,0)</f>
        <v>0</v>
      </c>
      <c r="Y993" s="1371" t="e">
        <f t="shared" si="188"/>
        <v>#DIV/0!</v>
      </c>
      <c r="Z993" s="2212" t="e">
        <f>IF('Report-M&amp;O2223'!C$18-'Report-SOF2223'!D$55&lt;=0,0,'Report-M&amp;O2223'!C$18-'Report-SOF2223'!D$55)</f>
        <v>#DIV/0!</v>
      </c>
      <c r="AA993" s="1708">
        <f>IF(A993='Data Entry - SOF'!B$2,'Data Entry - SOF'!O$64,0)</f>
        <v>0</v>
      </c>
    </row>
    <row r="994" spans="1:27" ht="15.75">
      <c r="A994" s="1076" t="s">
        <v>12</v>
      </c>
      <c r="B994">
        <v>237449</v>
      </c>
      <c r="C994" s="2452" t="e">
        <f>#REF!+#REF!</f>
        <v>#REF!</v>
      </c>
      <c r="D994" s="2449">
        <f>IF(A994='Data Entry - SOF'!B$2,'Data Entry - SOF'!C$64,0)</f>
        <v>0</v>
      </c>
      <c r="E994" s="2450">
        <f t="shared" si="189"/>
        <v>237449</v>
      </c>
      <c r="F994" s="2212" t="e">
        <f>IF('Report-M&amp;O1718'!C$18-'Report-SOF1718'!D$55&lt;=0,0,'Report-M&amp;O1718'!C$18-'Report-SOF1718'!D$55)</f>
        <v>#DIV/0!</v>
      </c>
      <c r="G994" s="2452" t="e">
        <f t="shared" si="181"/>
        <v>#DIV/0!</v>
      </c>
      <c r="H994" s="2449">
        <f>IF(A994='Data Entry - SOF'!B$2,'Data Entry - SOF'!E$64,0)</f>
        <v>0</v>
      </c>
      <c r="I994" s="1687">
        <f t="shared" si="182"/>
        <v>237449</v>
      </c>
      <c r="J994" s="2212" t="e">
        <f>IF('Report-M&amp;O1819'!C$18-'Report-SOF1819'!D$55&lt;=0,0,'Report-M&amp;O1819'!C$18-'Report-SOF1819'!D$55)</f>
        <v>#DIV/0!</v>
      </c>
      <c r="K994" s="2452" t="e">
        <f t="shared" si="183"/>
        <v>#DIV/0!</v>
      </c>
      <c r="L994" s="2449">
        <f>IF(A994='Data Entry - SOF'!B$2,'Data Entry - SOF'!G$64,0)</f>
        <v>0</v>
      </c>
      <c r="M994" s="1371">
        <f t="shared" si="184"/>
        <v>237449</v>
      </c>
      <c r="N994" s="2212" t="e">
        <f>IF('Report-M&amp;O1920'!C$18-'Report-SOF1920'!D$55&lt;=0,0,'Report-M&amp;O1920'!C$18-'Report-SOF1920'!D$55)</f>
        <v>#DIV/0!</v>
      </c>
      <c r="O994" s="2452" t="e">
        <f t="shared" si="185"/>
        <v>#DIV/0!</v>
      </c>
      <c r="P994" s="2449">
        <f>IF(A994='Data Entry - SOF'!B$2,'Data Entry - SOF'!I$64,0)</f>
        <v>0</v>
      </c>
      <c r="Q994" s="1687">
        <f t="shared" si="180"/>
        <v>237449</v>
      </c>
      <c r="R994" s="2212" t="e">
        <f>IF('Report-M&amp;O2021'!C$18-'Report-SOF2021'!D$55&lt;=0,0,'Report-M&amp;O2021'!C$18-'Report-SOF2021'!D$55)</f>
        <v>#DIV/0!</v>
      </c>
      <c r="S994" s="2452" t="e">
        <f t="shared" si="186"/>
        <v>#DIV/0!</v>
      </c>
      <c r="T994" s="1708">
        <f>IF(A994='Data Entry - SOF'!B$2,'Data Entry - SOF'!K$64,0)</f>
        <v>0</v>
      </c>
      <c r="U994" s="1687">
        <f t="shared" si="190"/>
        <v>237449</v>
      </c>
      <c r="V994" s="2212" t="e">
        <f>IF('Report-M&amp;O2122'!C$18-'Report-SOF2122'!D$55&lt;=0,0,'Report-M&amp;O2122'!C$18-'Report-SOF2122'!D$55)</f>
        <v>#DIV/0!</v>
      </c>
      <c r="W994" s="2452" t="e">
        <f t="shared" si="187"/>
        <v>#DIV/0!</v>
      </c>
      <c r="X994" s="1708">
        <f>IF(A994='Data Entry - SOF'!B$2,'Data Entry - SOF'!M$64,0)</f>
        <v>0</v>
      </c>
      <c r="Y994" s="1371" t="e">
        <f t="shared" si="188"/>
        <v>#DIV/0!</v>
      </c>
      <c r="Z994" s="2212" t="e">
        <f>IF('Report-M&amp;O2223'!C$18-'Report-SOF2223'!D$55&lt;=0,0,'Report-M&amp;O2223'!C$18-'Report-SOF2223'!D$55)</f>
        <v>#DIV/0!</v>
      </c>
      <c r="AA994" s="1708">
        <f>IF(A994='Data Entry - SOF'!B$2,'Data Entry - SOF'!O$64,0)</f>
        <v>0</v>
      </c>
    </row>
    <row r="995" spans="1:27" ht="15.75">
      <c r="A995" s="1076" t="s">
        <v>2814</v>
      </c>
      <c r="B995">
        <v>17374584</v>
      </c>
      <c r="C995" s="2452" t="e">
        <f>#REF!+#REF!</f>
        <v>#REF!</v>
      </c>
      <c r="D995" s="2449">
        <f>IF(A995='Data Entry - SOF'!B$2,'Data Entry - SOF'!C$64,0)</f>
        <v>0</v>
      </c>
      <c r="E995" s="2450">
        <f t="shared" si="189"/>
        <v>17374584</v>
      </c>
      <c r="F995" s="2212" t="e">
        <f>IF('Report-M&amp;O1718'!C$18-'Report-SOF1718'!D$55&lt;=0,0,'Report-M&amp;O1718'!C$18-'Report-SOF1718'!D$55)</f>
        <v>#DIV/0!</v>
      </c>
      <c r="G995" s="2452" t="e">
        <f t="shared" si="181"/>
        <v>#DIV/0!</v>
      </c>
      <c r="H995" s="2449">
        <f>IF(A995='Data Entry - SOF'!B$2,'Data Entry - SOF'!E$64,0)</f>
        <v>0</v>
      </c>
      <c r="I995" s="1687">
        <f t="shared" si="182"/>
        <v>17374584</v>
      </c>
      <c r="J995" s="2212" t="e">
        <f>IF('Report-M&amp;O1819'!C$18-'Report-SOF1819'!D$55&lt;=0,0,'Report-M&amp;O1819'!C$18-'Report-SOF1819'!D$55)</f>
        <v>#DIV/0!</v>
      </c>
      <c r="K995" s="2452" t="e">
        <f t="shared" si="183"/>
        <v>#DIV/0!</v>
      </c>
      <c r="L995" s="2449">
        <f>IF(A995='Data Entry - SOF'!B$2,'Data Entry - SOF'!G$64,0)</f>
        <v>0</v>
      </c>
      <c r="M995" s="1371">
        <f t="shared" si="184"/>
        <v>17374584</v>
      </c>
      <c r="N995" s="2212" t="e">
        <f>IF('Report-M&amp;O1920'!C$18-'Report-SOF1920'!D$55&lt;=0,0,'Report-M&amp;O1920'!C$18-'Report-SOF1920'!D$55)</f>
        <v>#DIV/0!</v>
      </c>
      <c r="O995" s="2452" t="e">
        <f t="shared" si="185"/>
        <v>#DIV/0!</v>
      </c>
      <c r="P995" s="2449">
        <f>IF(A995='Data Entry - SOF'!B$2,'Data Entry - SOF'!I$64,0)</f>
        <v>0</v>
      </c>
      <c r="Q995" s="1687">
        <f t="shared" si="180"/>
        <v>17374584</v>
      </c>
      <c r="R995" s="2212" t="e">
        <f>IF('Report-M&amp;O2021'!C$18-'Report-SOF2021'!D$55&lt;=0,0,'Report-M&amp;O2021'!C$18-'Report-SOF2021'!D$55)</f>
        <v>#DIV/0!</v>
      </c>
      <c r="S995" s="2452" t="e">
        <f t="shared" si="186"/>
        <v>#DIV/0!</v>
      </c>
      <c r="T995" s="1708">
        <f>IF(A995='Data Entry - SOF'!B$2,'Data Entry - SOF'!K$64,0)</f>
        <v>0</v>
      </c>
      <c r="U995" s="1687">
        <f t="shared" si="190"/>
        <v>17374584</v>
      </c>
      <c r="V995" s="2212" t="e">
        <f>IF('Report-M&amp;O2122'!C$18-'Report-SOF2122'!D$55&lt;=0,0,'Report-M&amp;O2122'!C$18-'Report-SOF2122'!D$55)</f>
        <v>#DIV/0!</v>
      </c>
      <c r="W995" s="2452" t="e">
        <f t="shared" si="187"/>
        <v>#DIV/0!</v>
      </c>
      <c r="X995" s="1708">
        <f>IF(A995='Data Entry - SOF'!B$2,'Data Entry - SOF'!M$64,0)</f>
        <v>0</v>
      </c>
      <c r="Y995" s="1371" t="e">
        <f t="shared" si="188"/>
        <v>#DIV/0!</v>
      </c>
      <c r="Z995" s="2212" t="e">
        <f>IF('Report-M&amp;O2223'!C$18-'Report-SOF2223'!D$55&lt;=0,0,'Report-M&amp;O2223'!C$18-'Report-SOF2223'!D$55)</f>
        <v>#DIV/0!</v>
      </c>
      <c r="AA995" s="1708">
        <f>IF(A995='Data Entry - SOF'!B$2,'Data Entry - SOF'!O$64,0)</f>
        <v>0</v>
      </c>
    </row>
    <row r="996" spans="1:27" ht="15.75">
      <c r="A996" s="1076" t="s">
        <v>66</v>
      </c>
      <c r="B996">
        <v>9488805</v>
      </c>
      <c r="C996" s="2452" t="e">
        <f>#REF!+#REF!</f>
        <v>#REF!</v>
      </c>
      <c r="D996" s="2449">
        <f>IF(A996='Data Entry - SOF'!B$2,'Data Entry - SOF'!C$64,0)</f>
        <v>0</v>
      </c>
      <c r="E996" s="2450">
        <f t="shared" si="189"/>
        <v>9488805</v>
      </c>
      <c r="F996" s="2212" t="e">
        <f>IF('Report-M&amp;O1718'!C$18-'Report-SOF1718'!D$55&lt;=0,0,'Report-M&amp;O1718'!C$18-'Report-SOF1718'!D$55)</f>
        <v>#DIV/0!</v>
      </c>
      <c r="G996" s="2452" t="e">
        <f t="shared" si="181"/>
        <v>#DIV/0!</v>
      </c>
      <c r="H996" s="2449">
        <f>IF(A996='Data Entry - SOF'!B$2,'Data Entry - SOF'!E$64,0)</f>
        <v>0</v>
      </c>
      <c r="I996" s="1687">
        <f t="shared" si="182"/>
        <v>9488805</v>
      </c>
      <c r="J996" s="2212" t="e">
        <f>IF('Report-M&amp;O1819'!C$18-'Report-SOF1819'!D$55&lt;=0,0,'Report-M&amp;O1819'!C$18-'Report-SOF1819'!D$55)</f>
        <v>#DIV/0!</v>
      </c>
      <c r="K996" s="2452" t="e">
        <f t="shared" si="183"/>
        <v>#DIV/0!</v>
      </c>
      <c r="L996" s="2449">
        <f>IF(A996='Data Entry - SOF'!B$2,'Data Entry - SOF'!G$64,0)</f>
        <v>0</v>
      </c>
      <c r="M996" s="1371">
        <f t="shared" si="184"/>
        <v>9488805</v>
      </c>
      <c r="N996" s="2212" t="e">
        <f>IF('Report-M&amp;O1920'!C$18-'Report-SOF1920'!D$55&lt;=0,0,'Report-M&amp;O1920'!C$18-'Report-SOF1920'!D$55)</f>
        <v>#DIV/0!</v>
      </c>
      <c r="O996" s="2452" t="e">
        <f t="shared" si="185"/>
        <v>#DIV/0!</v>
      </c>
      <c r="P996" s="2449">
        <f>IF(A996='Data Entry - SOF'!B$2,'Data Entry - SOF'!I$64,0)</f>
        <v>0</v>
      </c>
      <c r="Q996" s="1687">
        <f t="shared" si="180"/>
        <v>9488805</v>
      </c>
      <c r="R996" s="2212" t="e">
        <f>IF('Report-M&amp;O2021'!C$18-'Report-SOF2021'!D$55&lt;=0,0,'Report-M&amp;O2021'!C$18-'Report-SOF2021'!D$55)</f>
        <v>#DIV/0!</v>
      </c>
      <c r="S996" s="2452" t="e">
        <f t="shared" si="186"/>
        <v>#DIV/0!</v>
      </c>
      <c r="T996" s="1708">
        <f>IF(A996='Data Entry - SOF'!B$2,'Data Entry - SOF'!K$64,0)</f>
        <v>0</v>
      </c>
      <c r="U996" s="1687">
        <f t="shared" si="190"/>
        <v>9488805</v>
      </c>
      <c r="V996" s="2212" t="e">
        <f>IF('Report-M&amp;O2122'!C$18-'Report-SOF2122'!D$55&lt;=0,0,'Report-M&amp;O2122'!C$18-'Report-SOF2122'!D$55)</f>
        <v>#DIV/0!</v>
      </c>
      <c r="W996" s="2452" t="e">
        <f t="shared" si="187"/>
        <v>#DIV/0!</v>
      </c>
      <c r="X996" s="1708">
        <f>IF(A996='Data Entry - SOF'!B$2,'Data Entry - SOF'!M$64,0)</f>
        <v>0</v>
      </c>
      <c r="Y996" s="1371" t="e">
        <f t="shared" si="188"/>
        <v>#DIV/0!</v>
      </c>
      <c r="Z996" s="2212" t="e">
        <f>IF('Report-M&amp;O2223'!C$18-'Report-SOF2223'!D$55&lt;=0,0,'Report-M&amp;O2223'!C$18-'Report-SOF2223'!D$55)</f>
        <v>#DIV/0!</v>
      </c>
      <c r="AA996" s="1708">
        <f>IF(A996='Data Entry - SOF'!B$2,'Data Entry - SOF'!O$64,0)</f>
        <v>0</v>
      </c>
    </row>
    <row r="997" spans="1:27" ht="15.75">
      <c r="A997" s="1076" t="s">
        <v>2815</v>
      </c>
      <c r="B997">
        <v>4602594</v>
      </c>
      <c r="C997" s="2452" t="e">
        <f>#REF!+#REF!</f>
        <v>#REF!</v>
      </c>
      <c r="D997" s="2449">
        <f>IF(A997='Data Entry - SOF'!B$2,'Data Entry - SOF'!C$64,0)</f>
        <v>0</v>
      </c>
      <c r="E997" s="2450">
        <f t="shared" si="189"/>
        <v>4602594</v>
      </c>
      <c r="F997" s="2212" t="e">
        <f>IF('Report-M&amp;O1718'!C$18-'Report-SOF1718'!D$55&lt;=0,0,'Report-M&amp;O1718'!C$18-'Report-SOF1718'!D$55)</f>
        <v>#DIV/0!</v>
      </c>
      <c r="G997" s="2452" t="e">
        <f t="shared" si="181"/>
        <v>#DIV/0!</v>
      </c>
      <c r="H997" s="2449">
        <f>IF(A997='Data Entry - SOF'!B$2,'Data Entry - SOF'!E$64,0)</f>
        <v>0</v>
      </c>
      <c r="I997" s="1687">
        <f t="shared" si="182"/>
        <v>4602594</v>
      </c>
      <c r="J997" s="2212" t="e">
        <f>IF('Report-M&amp;O1819'!C$18-'Report-SOF1819'!D$55&lt;=0,0,'Report-M&amp;O1819'!C$18-'Report-SOF1819'!D$55)</f>
        <v>#DIV/0!</v>
      </c>
      <c r="K997" s="2452" t="e">
        <f t="shared" si="183"/>
        <v>#DIV/0!</v>
      </c>
      <c r="L997" s="2449">
        <f>IF(A997='Data Entry - SOF'!B$2,'Data Entry - SOF'!G$64,0)</f>
        <v>0</v>
      </c>
      <c r="M997" s="1371">
        <f t="shared" si="184"/>
        <v>4602594</v>
      </c>
      <c r="N997" s="2212" t="e">
        <f>IF('Report-M&amp;O1920'!C$18-'Report-SOF1920'!D$55&lt;=0,0,'Report-M&amp;O1920'!C$18-'Report-SOF1920'!D$55)</f>
        <v>#DIV/0!</v>
      </c>
      <c r="O997" s="2452" t="e">
        <f t="shared" si="185"/>
        <v>#DIV/0!</v>
      </c>
      <c r="P997" s="2449">
        <f>IF(A997='Data Entry - SOF'!B$2,'Data Entry - SOF'!I$64,0)</f>
        <v>0</v>
      </c>
      <c r="Q997" s="1687">
        <f t="shared" si="180"/>
        <v>4602594</v>
      </c>
      <c r="R997" s="2212" t="e">
        <f>IF('Report-M&amp;O2021'!C$18-'Report-SOF2021'!D$55&lt;=0,0,'Report-M&amp;O2021'!C$18-'Report-SOF2021'!D$55)</f>
        <v>#DIV/0!</v>
      </c>
      <c r="S997" s="2452" t="e">
        <f t="shared" si="186"/>
        <v>#DIV/0!</v>
      </c>
      <c r="T997" s="1708">
        <f>IF(A997='Data Entry - SOF'!B$2,'Data Entry - SOF'!K$64,0)</f>
        <v>0</v>
      </c>
      <c r="U997" s="1687">
        <f t="shared" si="190"/>
        <v>4602594</v>
      </c>
      <c r="V997" s="2212" t="e">
        <f>IF('Report-M&amp;O2122'!C$18-'Report-SOF2122'!D$55&lt;=0,0,'Report-M&amp;O2122'!C$18-'Report-SOF2122'!D$55)</f>
        <v>#DIV/0!</v>
      </c>
      <c r="W997" s="2452" t="e">
        <f t="shared" si="187"/>
        <v>#DIV/0!</v>
      </c>
      <c r="X997" s="1708">
        <f>IF(A997='Data Entry - SOF'!B$2,'Data Entry - SOF'!M$64,0)</f>
        <v>0</v>
      </c>
      <c r="Y997" s="1371" t="e">
        <f t="shared" si="188"/>
        <v>#DIV/0!</v>
      </c>
      <c r="Z997" s="2212" t="e">
        <f>IF('Report-M&amp;O2223'!C$18-'Report-SOF2223'!D$55&lt;=0,0,'Report-M&amp;O2223'!C$18-'Report-SOF2223'!D$55)</f>
        <v>#DIV/0!</v>
      </c>
      <c r="AA997" s="1708">
        <f>IF(A997='Data Entry - SOF'!B$2,'Data Entry - SOF'!O$64,0)</f>
        <v>0</v>
      </c>
    </row>
    <row r="998" spans="1:27" ht="15.75">
      <c r="A998" s="1076" t="s">
        <v>1705</v>
      </c>
      <c r="B998">
        <v>1617208</v>
      </c>
      <c r="C998" s="2452" t="e">
        <f>#REF!+#REF!</f>
        <v>#REF!</v>
      </c>
      <c r="D998" s="2449">
        <f>IF(A998='Data Entry - SOF'!B$2,'Data Entry - SOF'!C$64,0)</f>
        <v>0</v>
      </c>
      <c r="E998" s="2450">
        <f t="shared" si="189"/>
        <v>1617208</v>
      </c>
      <c r="F998" s="2212" t="e">
        <f>IF('Report-M&amp;O1718'!C$18-'Report-SOF1718'!D$55&lt;=0,0,'Report-M&amp;O1718'!C$18-'Report-SOF1718'!D$55)</f>
        <v>#DIV/0!</v>
      </c>
      <c r="G998" s="2452" t="e">
        <f t="shared" si="181"/>
        <v>#DIV/0!</v>
      </c>
      <c r="H998" s="2449">
        <f>IF(A998='Data Entry - SOF'!B$2,'Data Entry - SOF'!E$64,0)</f>
        <v>0</v>
      </c>
      <c r="I998" s="1687">
        <f t="shared" si="182"/>
        <v>1617208</v>
      </c>
      <c r="J998" s="2212" t="e">
        <f>IF('Report-M&amp;O1819'!C$18-'Report-SOF1819'!D$55&lt;=0,0,'Report-M&amp;O1819'!C$18-'Report-SOF1819'!D$55)</f>
        <v>#DIV/0!</v>
      </c>
      <c r="K998" s="2452" t="e">
        <f t="shared" si="183"/>
        <v>#DIV/0!</v>
      </c>
      <c r="L998" s="2449">
        <f>IF(A998='Data Entry - SOF'!B$2,'Data Entry - SOF'!G$64,0)</f>
        <v>0</v>
      </c>
      <c r="M998" s="1371">
        <f t="shared" si="184"/>
        <v>1617208</v>
      </c>
      <c r="N998" s="2212" t="e">
        <f>IF('Report-M&amp;O1920'!C$18-'Report-SOF1920'!D$55&lt;=0,0,'Report-M&amp;O1920'!C$18-'Report-SOF1920'!D$55)</f>
        <v>#DIV/0!</v>
      </c>
      <c r="O998" s="2452" t="e">
        <f t="shared" si="185"/>
        <v>#DIV/0!</v>
      </c>
      <c r="P998" s="2449">
        <f>IF(A998='Data Entry - SOF'!B$2,'Data Entry - SOF'!I$64,0)</f>
        <v>0</v>
      </c>
      <c r="Q998" s="1687">
        <f t="shared" si="180"/>
        <v>1617208</v>
      </c>
      <c r="R998" s="2212" t="e">
        <f>IF('Report-M&amp;O2021'!C$18-'Report-SOF2021'!D$55&lt;=0,0,'Report-M&amp;O2021'!C$18-'Report-SOF2021'!D$55)</f>
        <v>#DIV/0!</v>
      </c>
      <c r="S998" s="2452" t="e">
        <f t="shared" si="186"/>
        <v>#DIV/0!</v>
      </c>
      <c r="T998" s="1708">
        <f>IF(A998='Data Entry - SOF'!B$2,'Data Entry - SOF'!K$64,0)</f>
        <v>0</v>
      </c>
      <c r="U998" s="1687">
        <f t="shared" si="190"/>
        <v>1617208</v>
      </c>
      <c r="V998" s="2212" t="e">
        <f>IF('Report-M&amp;O2122'!C$18-'Report-SOF2122'!D$55&lt;=0,0,'Report-M&amp;O2122'!C$18-'Report-SOF2122'!D$55)</f>
        <v>#DIV/0!</v>
      </c>
      <c r="W998" s="2452" t="e">
        <f t="shared" si="187"/>
        <v>#DIV/0!</v>
      </c>
      <c r="X998" s="1708">
        <f>IF(A998='Data Entry - SOF'!B$2,'Data Entry - SOF'!M$64,0)</f>
        <v>0</v>
      </c>
      <c r="Y998" s="1371" t="e">
        <f t="shared" si="188"/>
        <v>#DIV/0!</v>
      </c>
      <c r="Z998" s="2212" t="e">
        <f>IF('Report-M&amp;O2223'!C$18-'Report-SOF2223'!D$55&lt;=0,0,'Report-M&amp;O2223'!C$18-'Report-SOF2223'!D$55)</f>
        <v>#DIV/0!</v>
      </c>
      <c r="AA998" s="1708">
        <f>IF(A998='Data Entry - SOF'!B$2,'Data Entry - SOF'!O$64,0)</f>
        <v>0</v>
      </c>
    </row>
    <row r="999" spans="1:27" ht="15.75">
      <c r="A999" s="1076" t="s">
        <v>1339</v>
      </c>
      <c r="B999">
        <v>16514606</v>
      </c>
      <c r="C999" s="2452" t="e">
        <f>#REF!+#REF!</f>
        <v>#REF!</v>
      </c>
      <c r="D999" s="2449">
        <f>IF(A999='Data Entry - SOF'!B$2,'Data Entry - SOF'!C$64,0)</f>
        <v>0</v>
      </c>
      <c r="E999" s="2450">
        <f t="shared" si="189"/>
        <v>16514606</v>
      </c>
      <c r="F999" s="2212" t="e">
        <f>IF('Report-M&amp;O1718'!C$18-'Report-SOF1718'!D$55&lt;=0,0,'Report-M&amp;O1718'!C$18-'Report-SOF1718'!D$55)</f>
        <v>#DIV/0!</v>
      </c>
      <c r="G999" s="2452" t="e">
        <f t="shared" si="181"/>
        <v>#DIV/0!</v>
      </c>
      <c r="H999" s="2449">
        <f>IF(A999='Data Entry - SOF'!B$2,'Data Entry - SOF'!E$64,0)</f>
        <v>0</v>
      </c>
      <c r="I999" s="1687">
        <f t="shared" si="182"/>
        <v>16514606</v>
      </c>
      <c r="J999" s="2212" t="e">
        <f>IF('Report-M&amp;O1819'!C$18-'Report-SOF1819'!D$55&lt;=0,0,'Report-M&amp;O1819'!C$18-'Report-SOF1819'!D$55)</f>
        <v>#DIV/0!</v>
      </c>
      <c r="K999" s="2452" t="e">
        <f t="shared" si="183"/>
        <v>#DIV/0!</v>
      </c>
      <c r="L999" s="2449">
        <f>IF(A999='Data Entry - SOF'!B$2,'Data Entry - SOF'!G$64,0)</f>
        <v>0</v>
      </c>
      <c r="M999" s="1371">
        <f t="shared" si="184"/>
        <v>16514606</v>
      </c>
      <c r="N999" s="2212" t="e">
        <f>IF('Report-M&amp;O1920'!C$18-'Report-SOF1920'!D$55&lt;=0,0,'Report-M&amp;O1920'!C$18-'Report-SOF1920'!D$55)</f>
        <v>#DIV/0!</v>
      </c>
      <c r="O999" s="2452" t="e">
        <f t="shared" si="185"/>
        <v>#DIV/0!</v>
      </c>
      <c r="P999" s="2449">
        <f>IF(A999='Data Entry - SOF'!B$2,'Data Entry - SOF'!I$64,0)</f>
        <v>0</v>
      </c>
      <c r="Q999" s="1687">
        <f t="shared" si="180"/>
        <v>16514606</v>
      </c>
      <c r="R999" s="2212" t="e">
        <f>IF('Report-M&amp;O2021'!C$18-'Report-SOF2021'!D$55&lt;=0,0,'Report-M&amp;O2021'!C$18-'Report-SOF2021'!D$55)</f>
        <v>#DIV/0!</v>
      </c>
      <c r="S999" s="2452" t="e">
        <f t="shared" si="186"/>
        <v>#DIV/0!</v>
      </c>
      <c r="T999" s="1708">
        <f>IF(A999='Data Entry - SOF'!B$2,'Data Entry - SOF'!K$64,0)</f>
        <v>0</v>
      </c>
      <c r="U999" s="1687">
        <f t="shared" si="190"/>
        <v>16514606</v>
      </c>
      <c r="V999" s="2212" t="e">
        <f>IF('Report-M&amp;O2122'!C$18-'Report-SOF2122'!D$55&lt;=0,0,'Report-M&amp;O2122'!C$18-'Report-SOF2122'!D$55)</f>
        <v>#DIV/0!</v>
      </c>
      <c r="W999" s="2452" t="e">
        <f t="shared" si="187"/>
        <v>#DIV/0!</v>
      </c>
      <c r="X999" s="1708">
        <f>IF(A999='Data Entry - SOF'!B$2,'Data Entry - SOF'!M$64,0)</f>
        <v>0</v>
      </c>
      <c r="Y999" s="1371" t="e">
        <f t="shared" si="188"/>
        <v>#DIV/0!</v>
      </c>
      <c r="Z999" s="2212" t="e">
        <f>IF('Report-M&amp;O2223'!C$18-'Report-SOF2223'!D$55&lt;=0,0,'Report-M&amp;O2223'!C$18-'Report-SOF2223'!D$55)</f>
        <v>#DIV/0!</v>
      </c>
      <c r="AA999" s="1708">
        <f>IF(A999='Data Entry - SOF'!B$2,'Data Entry - SOF'!O$64,0)</f>
        <v>0</v>
      </c>
    </row>
    <row r="1000" spans="1:27" ht="15.75">
      <c r="A1000" s="1076" t="s">
        <v>1340</v>
      </c>
      <c r="B1000">
        <v>29638756</v>
      </c>
      <c r="C1000" s="2452" t="e">
        <f>#REF!+#REF!</f>
        <v>#REF!</v>
      </c>
      <c r="D1000" s="2449">
        <f>IF(A1000='Data Entry - SOF'!B$2,'Data Entry - SOF'!C$64,0)</f>
        <v>0</v>
      </c>
      <c r="E1000" s="2450">
        <f t="shared" si="189"/>
        <v>29638756</v>
      </c>
      <c r="F1000" s="2212" t="e">
        <f>IF('Report-M&amp;O1718'!C$18-'Report-SOF1718'!D$55&lt;=0,0,'Report-M&amp;O1718'!C$18-'Report-SOF1718'!D$55)</f>
        <v>#DIV/0!</v>
      </c>
      <c r="G1000" s="2452" t="e">
        <f t="shared" si="181"/>
        <v>#DIV/0!</v>
      </c>
      <c r="H1000" s="2449">
        <f>IF(A1000='Data Entry - SOF'!B$2,'Data Entry - SOF'!E$64,0)</f>
        <v>0</v>
      </c>
      <c r="I1000" s="1687">
        <f t="shared" si="182"/>
        <v>29638756</v>
      </c>
      <c r="J1000" s="2212" t="e">
        <f>IF('Report-M&amp;O1819'!C$18-'Report-SOF1819'!D$55&lt;=0,0,'Report-M&amp;O1819'!C$18-'Report-SOF1819'!D$55)</f>
        <v>#DIV/0!</v>
      </c>
      <c r="K1000" s="2452" t="e">
        <f t="shared" si="183"/>
        <v>#DIV/0!</v>
      </c>
      <c r="L1000" s="2449">
        <f>IF(A1000='Data Entry - SOF'!B$2,'Data Entry - SOF'!G$64,0)</f>
        <v>0</v>
      </c>
      <c r="M1000" s="1371">
        <f t="shared" si="184"/>
        <v>29638756</v>
      </c>
      <c r="N1000" s="2212" t="e">
        <f>IF('Report-M&amp;O1920'!C$18-'Report-SOF1920'!D$55&lt;=0,0,'Report-M&amp;O1920'!C$18-'Report-SOF1920'!D$55)</f>
        <v>#DIV/0!</v>
      </c>
      <c r="O1000" s="2452" t="e">
        <f t="shared" si="185"/>
        <v>#DIV/0!</v>
      </c>
      <c r="P1000" s="2449">
        <f>IF(A1000='Data Entry - SOF'!B$2,'Data Entry - SOF'!I$64,0)</f>
        <v>0</v>
      </c>
      <c r="Q1000" s="1687">
        <f t="shared" si="180"/>
        <v>29638756</v>
      </c>
      <c r="R1000" s="2212" t="e">
        <f>IF('Report-M&amp;O2021'!C$18-'Report-SOF2021'!D$55&lt;=0,0,'Report-M&amp;O2021'!C$18-'Report-SOF2021'!D$55)</f>
        <v>#DIV/0!</v>
      </c>
      <c r="S1000" s="2452" t="e">
        <f t="shared" si="186"/>
        <v>#DIV/0!</v>
      </c>
      <c r="T1000" s="1708">
        <f>IF(A1000='Data Entry - SOF'!B$2,'Data Entry - SOF'!K$64,0)</f>
        <v>0</v>
      </c>
      <c r="U1000" s="1687">
        <f t="shared" si="190"/>
        <v>29638756</v>
      </c>
      <c r="V1000" s="2212" t="e">
        <f>IF('Report-M&amp;O2122'!C$18-'Report-SOF2122'!D$55&lt;=0,0,'Report-M&amp;O2122'!C$18-'Report-SOF2122'!D$55)</f>
        <v>#DIV/0!</v>
      </c>
      <c r="W1000" s="2452" t="e">
        <f t="shared" si="187"/>
        <v>#DIV/0!</v>
      </c>
      <c r="X1000" s="1708">
        <f>IF(A1000='Data Entry - SOF'!B$2,'Data Entry - SOF'!M$64,0)</f>
        <v>0</v>
      </c>
      <c r="Y1000" s="1371" t="e">
        <f t="shared" si="188"/>
        <v>#DIV/0!</v>
      </c>
      <c r="Z1000" s="2212" t="e">
        <f>IF('Report-M&amp;O2223'!C$18-'Report-SOF2223'!D$55&lt;=0,0,'Report-M&amp;O2223'!C$18-'Report-SOF2223'!D$55)</f>
        <v>#DIV/0!</v>
      </c>
      <c r="AA1000" s="1708">
        <f>IF(A1000='Data Entry - SOF'!B$2,'Data Entry - SOF'!O$64,0)</f>
        <v>0</v>
      </c>
    </row>
    <row r="1001" spans="1:27" ht="15.75">
      <c r="A1001" s="1076" t="s">
        <v>224</v>
      </c>
      <c r="B1001">
        <v>3446523</v>
      </c>
      <c r="C1001" s="2452" t="e">
        <f>#REF!+#REF!</f>
        <v>#REF!</v>
      </c>
      <c r="D1001" s="2449">
        <f>IF(A1001='Data Entry - SOF'!B$2,'Data Entry - SOF'!C$64,0)</f>
        <v>0</v>
      </c>
      <c r="E1001" s="2450">
        <f t="shared" si="189"/>
        <v>3446523</v>
      </c>
      <c r="F1001" s="2212" t="e">
        <f>IF('Report-M&amp;O1718'!C$18-'Report-SOF1718'!D$55&lt;=0,0,'Report-M&amp;O1718'!C$18-'Report-SOF1718'!D$55)</f>
        <v>#DIV/0!</v>
      </c>
      <c r="G1001" s="2452" t="e">
        <f t="shared" si="181"/>
        <v>#DIV/0!</v>
      </c>
      <c r="H1001" s="2449">
        <f>IF(A1001='Data Entry - SOF'!B$2,'Data Entry - SOF'!E$64,0)</f>
        <v>0</v>
      </c>
      <c r="I1001" s="1687">
        <f t="shared" si="182"/>
        <v>3446523</v>
      </c>
      <c r="J1001" s="2212" t="e">
        <f>IF('Report-M&amp;O1819'!C$18-'Report-SOF1819'!D$55&lt;=0,0,'Report-M&amp;O1819'!C$18-'Report-SOF1819'!D$55)</f>
        <v>#DIV/0!</v>
      </c>
      <c r="K1001" s="2452" t="e">
        <f t="shared" si="183"/>
        <v>#DIV/0!</v>
      </c>
      <c r="L1001" s="2449">
        <f>IF(A1001='Data Entry - SOF'!B$2,'Data Entry - SOF'!G$64,0)</f>
        <v>0</v>
      </c>
      <c r="M1001" s="1371">
        <f t="shared" si="184"/>
        <v>3446523</v>
      </c>
      <c r="N1001" s="2212" t="e">
        <f>IF('Report-M&amp;O1920'!C$18-'Report-SOF1920'!D$55&lt;=0,0,'Report-M&amp;O1920'!C$18-'Report-SOF1920'!D$55)</f>
        <v>#DIV/0!</v>
      </c>
      <c r="O1001" s="2452" t="e">
        <f t="shared" si="185"/>
        <v>#DIV/0!</v>
      </c>
      <c r="P1001" s="2449">
        <f>IF(A1001='Data Entry - SOF'!B$2,'Data Entry - SOF'!I$64,0)</f>
        <v>0</v>
      </c>
      <c r="Q1001" s="1687">
        <f t="shared" si="180"/>
        <v>3446523</v>
      </c>
      <c r="R1001" s="2212" t="e">
        <f>IF('Report-M&amp;O2021'!C$18-'Report-SOF2021'!D$55&lt;=0,0,'Report-M&amp;O2021'!C$18-'Report-SOF2021'!D$55)</f>
        <v>#DIV/0!</v>
      </c>
      <c r="S1001" s="2452" t="e">
        <f t="shared" si="186"/>
        <v>#DIV/0!</v>
      </c>
      <c r="T1001" s="1708">
        <f>IF(A1001='Data Entry - SOF'!B$2,'Data Entry - SOF'!K$64,0)</f>
        <v>0</v>
      </c>
      <c r="U1001" s="1687">
        <f t="shared" si="190"/>
        <v>3446523</v>
      </c>
      <c r="V1001" s="2212" t="e">
        <f>IF('Report-M&amp;O2122'!C$18-'Report-SOF2122'!D$55&lt;=0,0,'Report-M&amp;O2122'!C$18-'Report-SOF2122'!D$55)</f>
        <v>#DIV/0!</v>
      </c>
      <c r="W1001" s="2452" t="e">
        <f t="shared" si="187"/>
        <v>#DIV/0!</v>
      </c>
      <c r="X1001" s="1708">
        <f>IF(A1001='Data Entry - SOF'!B$2,'Data Entry - SOF'!M$64,0)</f>
        <v>0</v>
      </c>
      <c r="Y1001" s="1371" t="e">
        <f t="shared" si="188"/>
        <v>#DIV/0!</v>
      </c>
      <c r="Z1001" s="2212" t="e">
        <f>IF('Report-M&amp;O2223'!C$18-'Report-SOF2223'!D$55&lt;=0,0,'Report-M&amp;O2223'!C$18-'Report-SOF2223'!D$55)</f>
        <v>#DIV/0!</v>
      </c>
      <c r="AA1001" s="1708">
        <f>IF(A1001='Data Entry - SOF'!B$2,'Data Entry - SOF'!O$64,0)</f>
        <v>0</v>
      </c>
    </row>
    <row r="1002" spans="1:27" ht="15.75">
      <c r="A1002" s="1076" t="s">
        <v>904</v>
      </c>
      <c r="B1002">
        <v>10594890</v>
      </c>
      <c r="C1002" s="2452" t="e">
        <f>#REF!+#REF!</f>
        <v>#REF!</v>
      </c>
      <c r="D1002" s="2449">
        <f>IF(A1002='Data Entry - SOF'!B$2,'Data Entry - SOF'!C$64,0)</f>
        <v>0</v>
      </c>
      <c r="E1002" s="2450">
        <f t="shared" si="189"/>
        <v>10594890</v>
      </c>
      <c r="F1002" s="2212" t="e">
        <f>IF('Report-M&amp;O1718'!C$18-'Report-SOF1718'!D$55&lt;=0,0,'Report-M&amp;O1718'!C$18-'Report-SOF1718'!D$55)</f>
        <v>#DIV/0!</v>
      </c>
      <c r="G1002" s="2452" t="e">
        <f t="shared" si="181"/>
        <v>#DIV/0!</v>
      </c>
      <c r="H1002" s="2449">
        <f>IF(A1002='Data Entry - SOF'!B$2,'Data Entry - SOF'!E$64,0)</f>
        <v>0</v>
      </c>
      <c r="I1002" s="1687">
        <f t="shared" si="182"/>
        <v>10594890</v>
      </c>
      <c r="J1002" s="2212" t="e">
        <f>IF('Report-M&amp;O1819'!C$18-'Report-SOF1819'!D$55&lt;=0,0,'Report-M&amp;O1819'!C$18-'Report-SOF1819'!D$55)</f>
        <v>#DIV/0!</v>
      </c>
      <c r="K1002" s="2452" t="e">
        <f t="shared" si="183"/>
        <v>#DIV/0!</v>
      </c>
      <c r="L1002" s="2449">
        <f>IF(A1002='Data Entry - SOF'!B$2,'Data Entry - SOF'!G$64,0)</f>
        <v>0</v>
      </c>
      <c r="M1002" s="1371">
        <f t="shared" si="184"/>
        <v>10594890</v>
      </c>
      <c r="N1002" s="2212" t="e">
        <f>IF('Report-M&amp;O1920'!C$18-'Report-SOF1920'!D$55&lt;=0,0,'Report-M&amp;O1920'!C$18-'Report-SOF1920'!D$55)</f>
        <v>#DIV/0!</v>
      </c>
      <c r="O1002" s="2452" t="e">
        <f t="shared" si="185"/>
        <v>#DIV/0!</v>
      </c>
      <c r="P1002" s="2449">
        <f>IF(A1002='Data Entry - SOF'!B$2,'Data Entry - SOF'!I$64,0)</f>
        <v>0</v>
      </c>
      <c r="Q1002" s="1687">
        <f t="shared" si="180"/>
        <v>10594890</v>
      </c>
      <c r="R1002" s="2212" t="e">
        <f>IF('Report-M&amp;O2021'!C$18-'Report-SOF2021'!D$55&lt;=0,0,'Report-M&amp;O2021'!C$18-'Report-SOF2021'!D$55)</f>
        <v>#DIV/0!</v>
      </c>
      <c r="S1002" s="2452" t="e">
        <f t="shared" si="186"/>
        <v>#DIV/0!</v>
      </c>
      <c r="T1002" s="1708">
        <f>IF(A1002='Data Entry - SOF'!B$2,'Data Entry - SOF'!K$64,0)</f>
        <v>0</v>
      </c>
      <c r="U1002" s="1687">
        <f t="shared" si="190"/>
        <v>10594890</v>
      </c>
      <c r="V1002" s="2212" t="e">
        <f>IF('Report-M&amp;O2122'!C$18-'Report-SOF2122'!D$55&lt;=0,0,'Report-M&amp;O2122'!C$18-'Report-SOF2122'!D$55)</f>
        <v>#DIV/0!</v>
      </c>
      <c r="W1002" s="2452" t="e">
        <f t="shared" si="187"/>
        <v>#DIV/0!</v>
      </c>
      <c r="X1002" s="1708">
        <f>IF(A1002='Data Entry - SOF'!B$2,'Data Entry - SOF'!M$64,0)</f>
        <v>0</v>
      </c>
      <c r="Y1002" s="1371" t="e">
        <f t="shared" si="188"/>
        <v>#DIV/0!</v>
      </c>
      <c r="Z1002" s="2212" t="e">
        <f>IF('Report-M&amp;O2223'!C$18-'Report-SOF2223'!D$55&lt;=0,0,'Report-M&amp;O2223'!C$18-'Report-SOF2223'!D$55)</f>
        <v>#DIV/0!</v>
      </c>
      <c r="AA1002" s="1708">
        <f>IF(A1002='Data Entry - SOF'!B$2,'Data Entry - SOF'!O$64,0)</f>
        <v>0</v>
      </c>
    </row>
    <row r="1003" spans="1:27" ht="15.75">
      <c r="A1003" s="1076" t="s">
        <v>2491</v>
      </c>
      <c r="B1003">
        <v>14014155</v>
      </c>
      <c r="C1003" s="2452" t="e">
        <f>#REF!+#REF!</f>
        <v>#REF!</v>
      </c>
      <c r="D1003" s="2449">
        <f>IF(A1003='Data Entry - SOF'!B$2,'Data Entry - SOF'!C$64,0)</f>
        <v>0</v>
      </c>
      <c r="E1003" s="2450">
        <f t="shared" si="189"/>
        <v>14014155</v>
      </c>
      <c r="F1003" s="2212" t="e">
        <f>IF('Report-M&amp;O1718'!C$18-'Report-SOF1718'!D$55&lt;=0,0,'Report-M&amp;O1718'!C$18-'Report-SOF1718'!D$55)</f>
        <v>#DIV/0!</v>
      </c>
      <c r="G1003" s="2452" t="e">
        <f t="shared" si="181"/>
        <v>#DIV/0!</v>
      </c>
      <c r="H1003" s="2449">
        <f>IF(A1003='Data Entry - SOF'!B$2,'Data Entry - SOF'!E$64,0)</f>
        <v>0</v>
      </c>
      <c r="I1003" s="1687">
        <f t="shared" si="182"/>
        <v>14014155</v>
      </c>
      <c r="J1003" s="2212" t="e">
        <f>IF('Report-M&amp;O1819'!C$18-'Report-SOF1819'!D$55&lt;=0,0,'Report-M&amp;O1819'!C$18-'Report-SOF1819'!D$55)</f>
        <v>#DIV/0!</v>
      </c>
      <c r="K1003" s="2452" t="e">
        <f t="shared" si="183"/>
        <v>#DIV/0!</v>
      </c>
      <c r="L1003" s="2449">
        <f>IF(A1003='Data Entry - SOF'!B$2,'Data Entry - SOF'!G$64,0)</f>
        <v>0</v>
      </c>
      <c r="M1003" s="1371">
        <f t="shared" si="184"/>
        <v>14014155</v>
      </c>
      <c r="N1003" s="2212" t="e">
        <f>IF('Report-M&amp;O1920'!C$18-'Report-SOF1920'!D$55&lt;=0,0,'Report-M&amp;O1920'!C$18-'Report-SOF1920'!D$55)</f>
        <v>#DIV/0!</v>
      </c>
      <c r="O1003" s="2452" t="e">
        <f t="shared" si="185"/>
        <v>#DIV/0!</v>
      </c>
      <c r="P1003" s="2449">
        <f>IF(A1003='Data Entry - SOF'!B$2,'Data Entry - SOF'!I$64,0)</f>
        <v>0</v>
      </c>
      <c r="Q1003" s="1687">
        <f t="shared" si="180"/>
        <v>14014155</v>
      </c>
      <c r="R1003" s="2212" t="e">
        <f>IF('Report-M&amp;O2021'!C$18-'Report-SOF2021'!D$55&lt;=0,0,'Report-M&amp;O2021'!C$18-'Report-SOF2021'!D$55)</f>
        <v>#DIV/0!</v>
      </c>
      <c r="S1003" s="2452" t="e">
        <f t="shared" si="186"/>
        <v>#DIV/0!</v>
      </c>
      <c r="T1003" s="1708">
        <f>IF(A1003='Data Entry - SOF'!B$2,'Data Entry - SOF'!K$64,0)</f>
        <v>0</v>
      </c>
      <c r="U1003" s="1687">
        <f t="shared" si="190"/>
        <v>14014155</v>
      </c>
      <c r="V1003" s="2212" t="e">
        <f>IF('Report-M&amp;O2122'!C$18-'Report-SOF2122'!D$55&lt;=0,0,'Report-M&amp;O2122'!C$18-'Report-SOF2122'!D$55)</f>
        <v>#DIV/0!</v>
      </c>
      <c r="W1003" s="2452" t="e">
        <f t="shared" si="187"/>
        <v>#DIV/0!</v>
      </c>
      <c r="X1003" s="1708">
        <f>IF(A1003='Data Entry - SOF'!B$2,'Data Entry - SOF'!M$64,0)</f>
        <v>0</v>
      </c>
      <c r="Y1003" s="1371" t="e">
        <f t="shared" si="188"/>
        <v>#DIV/0!</v>
      </c>
      <c r="Z1003" s="2212" t="e">
        <f>IF('Report-M&amp;O2223'!C$18-'Report-SOF2223'!D$55&lt;=0,0,'Report-M&amp;O2223'!C$18-'Report-SOF2223'!D$55)</f>
        <v>#DIV/0!</v>
      </c>
      <c r="AA1003" s="1708">
        <f>IF(A1003='Data Entry - SOF'!B$2,'Data Entry - SOF'!O$64,0)</f>
        <v>0</v>
      </c>
    </row>
    <row r="1004" spans="1:27" ht="15.75">
      <c r="A1004" s="1076" t="s">
        <v>2780</v>
      </c>
      <c r="B1004">
        <v>8495869</v>
      </c>
      <c r="C1004" s="2452" t="e">
        <f>#REF!+#REF!</f>
        <v>#REF!</v>
      </c>
      <c r="D1004" s="2449">
        <f>IF(A1004='Data Entry - SOF'!B$2,'Data Entry - SOF'!C$64,0)</f>
        <v>0</v>
      </c>
      <c r="E1004" s="2450">
        <f t="shared" si="189"/>
        <v>8495869</v>
      </c>
      <c r="F1004" s="2212" t="e">
        <f>IF('Report-M&amp;O1718'!C$18-'Report-SOF1718'!D$55&lt;=0,0,'Report-M&amp;O1718'!C$18-'Report-SOF1718'!D$55)</f>
        <v>#DIV/0!</v>
      </c>
      <c r="G1004" s="2452" t="e">
        <f t="shared" si="181"/>
        <v>#DIV/0!</v>
      </c>
      <c r="H1004" s="2449">
        <f>IF(A1004='Data Entry - SOF'!B$2,'Data Entry - SOF'!E$64,0)</f>
        <v>0</v>
      </c>
      <c r="I1004" s="1687">
        <f t="shared" si="182"/>
        <v>8495869</v>
      </c>
      <c r="J1004" s="2212" t="e">
        <f>IF('Report-M&amp;O1819'!C$18-'Report-SOF1819'!D$55&lt;=0,0,'Report-M&amp;O1819'!C$18-'Report-SOF1819'!D$55)</f>
        <v>#DIV/0!</v>
      </c>
      <c r="K1004" s="2452" t="e">
        <f t="shared" si="183"/>
        <v>#DIV/0!</v>
      </c>
      <c r="L1004" s="2449">
        <f>IF(A1004='Data Entry - SOF'!B$2,'Data Entry - SOF'!G$64,0)</f>
        <v>0</v>
      </c>
      <c r="M1004" s="1371">
        <f t="shared" si="184"/>
        <v>8495869</v>
      </c>
      <c r="N1004" s="2212" t="e">
        <f>IF('Report-M&amp;O1920'!C$18-'Report-SOF1920'!D$55&lt;=0,0,'Report-M&amp;O1920'!C$18-'Report-SOF1920'!D$55)</f>
        <v>#DIV/0!</v>
      </c>
      <c r="O1004" s="2452" t="e">
        <f t="shared" si="185"/>
        <v>#DIV/0!</v>
      </c>
      <c r="P1004" s="2449">
        <f>IF(A1004='Data Entry - SOF'!B$2,'Data Entry - SOF'!I$64,0)</f>
        <v>0</v>
      </c>
      <c r="Q1004" s="1687">
        <f t="shared" si="180"/>
        <v>8495869</v>
      </c>
      <c r="R1004" s="2212" t="e">
        <f>IF('Report-M&amp;O2021'!C$18-'Report-SOF2021'!D$55&lt;=0,0,'Report-M&amp;O2021'!C$18-'Report-SOF2021'!D$55)</f>
        <v>#DIV/0!</v>
      </c>
      <c r="S1004" s="2452" t="e">
        <f t="shared" si="186"/>
        <v>#DIV/0!</v>
      </c>
      <c r="T1004" s="1708">
        <f>IF(A1004='Data Entry - SOF'!B$2,'Data Entry - SOF'!K$64,0)</f>
        <v>0</v>
      </c>
      <c r="U1004" s="1687">
        <f t="shared" si="190"/>
        <v>8495869</v>
      </c>
      <c r="V1004" s="2212" t="e">
        <f>IF('Report-M&amp;O2122'!C$18-'Report-SOF2122'!D$55&lt;=0,0,'Report-M&amp;O2122'!C$18-'Report-SOF2122'!D$55)</f>
        <v>#DIV/0!</v>
      </c>
      <c r="W1004" s="2452" t="e">
        <f t="shared" si="187"/>
        <v>#DIV/0!</v>
      </c>
      <c r="X1004" s="1708">
        <f>IF(A1004='Data Entry - SOF'!B$2,'Data Entry - SOF'!M$64,0)</f>
        <v>0</v>
      </c>
      <c r="Y1004" s="1371" t="e">
        <f t="shared" si="188"/>
        <v>#DIV/0!</v>
      </c>
      <c r="Z1004" s="2212" t="e">
        <f>IF('Report-M&amp;O2223'!C$18-'Report-SOF2223'!D$55&lt;=0,0,'Report-M&amp;O2223'!C$18-'Report-SOF2223'!D$55)</f>
        <v>#DIV/0!</v>
      </c>
      <c r="AA1004" s="1708">
        <f>IF(A1004='Data Entry - SOF'!B$2,'Data Entry - SOF'!O$64,0)</f>
        <v>0</v>
      </c>
    </row>
    <row r="1005" spans="1:27" ht="15.75">
      <c r="A1005" s="1076" t="s">
        <v>2781</v>
      </c>
      <c r="B1005">
        <v>36776173</v>
      </c>
      <c r="C1005" s="2452" t="e">
        <f>#REF!+#REF!</f>
        <v>#REF!</v>
      </c>
      <c r="D1005" s="2449">
        <f>IF(A1005='Data Entry - SOF'!B$2,'Data Entry - SOF'!C$64,0)</f>
        <v>0</v>
      </c>
      <c r="E1005" s="2450">
        <f t="shared" si="189"/>
        <v>36776173</v>
      </c>
      <c r="F1005" s="2212" t="e">
        <f>IF('Report-M&amp;O1718'!C$18-'Report-SOF1718'!D$55&lt;=0,0,'Report-M&amp;O1718'!C$18-'Report-SOF1718'!D$55)</f>
        <v>#DIV/0!</v>
      </c>
      <c r="G1005" s="2452" t="e">
        <f t="shared" si="181"/>
        <v>#DIV/0!</v>
      </c>
      <c r="H1005" s="2449">
        <f>IF(A1005='Data Entry - SOF'!B$2,'Data Entry - SOF'!E$64,0)</f>
        <v>0</v>
      </c>
      <c r="I1005" s="1687">
        <f t="shared" si="182"/>
        <v>36776173</v>
      </c>
      <c r="J1005" s="2212" t="e">
        <f>IF('Report-M&amp;O1819'!C$18-'Report-SOF1819'!D$55&lt;=0,0,'Report-M&amp;O1819'!C$18-'Report-SOF1819'!D$55)</f>
        <v>#DIV/0!</v>
      </c>
      <c r="K1005" s="2452" t="e">
        <f t="shared" si="183"/>
        <v>#DIV/0!</v>
      </c>
      <c r="L1005" s="2449">
        <f>IF(A1005='Data Entry - SOF'!B$2,'Data Entry - SOF'!G$64,0)</f>
        <v>0</v>
      </c>
      <c r="M1005" s="1371">
        <f t="shared" si="184"/>
        <v>36776173</v>
      </c>
      <c r="N1005" s="2212" t="e">
        <f>IF('Report-M&amp;O1920'!C$18-'Report-SOF1920'!D$55&lt;=0,0,'Report-M&amp;O1920'!C$18-'Report-SOF1920'!D$55)</f>
        <v>#DIV/0!</v>
      </c>
      <c r="O1005" s="2452" t="e">
        <f t="shared" si="185"/>
        <v>#DIV/0!</v>
      </c>
      <c r="P1005" s="2449">
        <f>IF(A1005='Data Entry - SOF'!B$2,'Data Entry - SOF'!I$64,0)</f>
        <v>0</v>
      </c>
      <c r="Q1005" s="1687">
        <f t="shared" si="180"/>
        <v>36776173</v>
      </c>
      <c r="R1005" s="2212" t="e">
        <f>IF('Report-M&amp;O2021'!C$18-'Report-SOF2021'!D$55&lt;=0,0,'Report-M&amp;O2021'!C$18-'Report-SOF2021'!D$55)</f>
        <v>#DIV/0!</v>
      </c>
      <c r="S1005" s="2452" t="e">
        <f t="shared" si="186"/>
        <v>#DIV/0!</v>
      </c>
      <c r="T1005" s="1708">
        <f>IF(A1005='Data Entry - SOF'!B$2,'Data Entry - SOF'!K$64,0)</f>
        <v>0</v>
      </c>
      <c r="U1005" s="1687">
        <f t="shared" si="190"/>
        <v>36776173</v>
      </c>
      <c r="V1005" s="2212" t="e">
        <f>IF('Report-M&amp;O2122'!C$18-'Report-SOF2122'!D$55&lt;=0,0,'Report-M&amp;O2122'!C$18-'Report-SOF2122'!D$55)</f>
        <v>#DIV/0!</v>
      </c>
      <c r="W1005" s="2452" t="e">
        <f t="shared" si="187"/>
        <v>#DIV/0!</v>
      </c>
      <c r="X1005" s="1708">
        <f>IF(A1005='Data Entry - SOF'!B$2,'Data Entry - SOF'!M$64,0)</f>
        <v>0</v>
      </c>
      <c r="Y1005" s="1371" t="e">
        <f t="shared" si="188"/>
        <v>#DIV/0!</v>
      </c>
      <c r="Z1005" s="2212" t="e">
        <f>IF('Report-M&amp;O2223'!C$18-'Report-SOF2223'!D$55&lt;=0,0,'Report-M&amp;O2223'!C$18-'Report-SOF2223'!D$55)</f>
        <v>#DIV/0!</v>
      </c>
      <c r="AA1005" s="1708">
        <f>IF(A1005='Data Entry - SOF'!B$2,'Data Entry - SOF'!O$64,0)</f>
        <v>0</v>
      </c>
    </row>
    <row r="1006" spans="1:27" ht="15.75">
      <c r="A1006" s="1076" t="s">
        <v>2302</v>
      </c>
      <c r="B1006">
        <v>2098162</v>
      </c>
      <c r="C1006" s="2452" t="e">
        <f>#REF!+#REF!</f>
        <v>#REF!</v>
      </c>
      <c r="D1006" s="2449">
        <f>IF(A1006='Data Entry - SOF'!B$2,'Data Entry - SOF'!C$64,0)</f>
        <v>0</v>
      </c>
      <c r="E1006" s="2450">
        <f t="shared" si="189"/>
        <v>2098162</v>
      </c>
      <c r="F1006" s="2212" t="e">
        <f>IF('Report-M&amp;O1718'!C$18-'Report-SOF1718'!D$55&lt;=0,0,'Report-M&amp;O1718'!C$18-'Report-SOF1718'!D$55)</f>
        <v>#DIV/0!</v>
      </c>
      <c r="G1006" s="2452" t="e">
        <f t="shared" si="181"/>
        <v>#DIV/0!</v>
      </c>
      <c r="H1006" s="2449">
        <f>IF(A1006='Data Entry - SOF'!B$2,'Data Entry - SOF'!E$64,0)</f>
        <v>0</v>
      </c>
      <c r="I1006" s="1687">
        <f t="shared" si="182"/>
        <v>2098162</v>
      </c>
      <c r="J1006" s="2212" t="e">
        <f>IF('Report-M&amp;O1819'!C$18-'Report-SOF1819'!D$55&lt;=0,0,'Report-M&amp;O1819'!C$18-'Report-SOF1819'!D$55)</f>
        <v>#DIV/0!</v>
      </c>
      <c r="K1006" s="2452" t="e">
        <f t="shared" si="183"/>
        <v>#DIV/0!</v>
      </c>
      <c r="L1006" s="2449">
        <f>IF(A1006='Data Entry - SOF'!B$2,'Data Entry - SOF'!G$64,0)</f>
        <v>0</v>
      </c>
      <c r="M1006" s="1371">
        <f t="shared" si="184"/>
        <v>2098162</v>
      </c>
      <c r="N1006" s="2212" t="e">
        <f>IF('Report-M&amp;O1920'!C$18-'Report-SOF1920'!D$55&lt;=0,0,'Report-M&amp;O1920'!C$18-'Report-SOF1920'!D$55)</f>
        <v>#DIV/0!</v>
      </c>
      <c r="O1006" s="2452" t="e">
        <f t="shared" si="185"/>
        <v>#DIV/0!</v>
      </c>
      <c r="P1006" s="2449">
        <f>IF(A1006='Data Entry - SOF'!B$2,'Data Entry - SOF'!I$64,0)</f>
        <v>0</v>
      </c>
      <c r="Q1006" s="1687">
        <f t="shared" si="180"/>
        <v>2098162</v>
      </c>
      <c r="R1006" s="2212" t="e">
        <f>IF('Report-M&amp;O2021'!C$18-'Report-SOF2021'!D$55&lt;=0,0,'Report-M&amp;O2021'!C$18-'Report-SOF2021'!D$55)</f>
        <v>#DIV/0!</v>
      </c>
      <c r="S1006" s="2452" t="e">
        <f t="shared" si="186"/>
        <v>#DIV/0!</v>
      </c>
      <c r="T1006" s="1708">
        <f>IF(A1006='Data Entry - SOF'!B$2,'Data Entry - SOF'!K$64,0)</f>
        <v>0</v>
      </c>
      <c r="U1006" s="1687">
        <f t="shared" si="190"/>
        <v>2098162</v>
      </c>
      <c r="V1006" s="2212" t="e">
        <f>IF('Report-M&amp;O2122'!C$18-'Report-SOF2122'!D$55&lt;=0,0,'Report-M&amp;O2122'!C$18-'Report-SOF2122'!D$55)</f>
        <v>#DIV/0!</v>
      </c>
      <c r="W1006" s="2452" t="e">
        <f t="shared" si="187"/>
        <v>#DIV/0!</v>
      </c>
      <c r="X1006" s="1708">
        <f>IF(A1006='Data Entry - SOF'!B$2,'Data Entry - SOF'!M$64,0)</f>
        <v>0</v>
      </c>
      <c r="Y1006" s="1371" t="e">
        <f t="shared" si="188"/>
        <v>#DIV/0!</v>
      </c>
      <c r="Z1006" s="2212" t="e">
        <f>IF('Report-M&amp;O2223'!C$18-'Report-SOF2223'!D$55&lt;=0,0,'Report-M&amp;O2223'!C$18-'Report-SOF2223'!D$55)</f>
        <v>#DIV/0!</v>
      </c>
      <c r="AA1006" s="1708">
        <f>IF(A1006='Data Entry - SOF'!B$2,'Data Entry - SOF'!O$64,0)</f>
        <v>0</v>
      </c>
    </row>
    <row r="1007" spans="1:27" ht="15.75">
      <c r="A1007" s="1076" t="s">
        <v>1314</v>
      </c>
      <c r="B1007">
        <v>887219.55854736001</v>
      </c>
      <c r="C1007" s="2452" t="e">
        <f>#REF!+#REF!</f>
        <v>#REF!</v>
      </c>
      <c r="D1007" s="2449">
        <f>IF(A1007='Data Entry - SOF'!B$2,'Data Entry - SOF'!C$64,0)</f>
        <v>0</v>
      </c>
      <c r="E1007" s="2450">
        <f t="shared" si="189"/>
        <v>887219.55854736001</v>
      </c>
      <c r="F1007" s="2212" t="e">
        <f>IF('Report-M&amp;O1718'!C$18-'Report-SOF1718'!D$55&lt;=0,0,'Report-M&amp;O1718'!C$18-'Report-SOF1718'!D$55)</f>
        <v>#DIV/0!</v>
      </c>
      <c r="G1007" s="2452" t="e">
        <f t="shared" si="181"/>
        <v>#DIV/0!</v>
      </c>
      <c r="H1007" s="2449">
        <f>IF(A1007='Data Entry - SOF'!B$2,'Data Entry - SOF'!E$64,0)</f>
        <v>0</v>
      </c>
      <c r="I1007" s="1687">
        <f t="shared" si="182"/>
        <v>887219.55854736001</v>
      </c>
      <c r="J1007" s="2212" t="e">
        <f>IF('Report-M&amp;O1819'!C$18-'Report-SOF1819'!D$55&lt;=0,0,'Report-M&amp;O1819'!C$18-'Report-SOF1819'!D$55)</f>
        <v>#DIV/0!</v>
      </c>
      <c r="K1007" s="2452" t="e">
        <f t="shared" si="183"/>
        <v>#DIV/0!</v>
      </c>
      <c r="L1007" s="2449">
        <f>IF(A1007='Data Entry - SOF'!B$2,'Data Entry - SOF'!G$64,0)</f>
        <v>0</v>
      </c>
      <c r="M1007" s="1371">
        <f t="shared" si="184"/>
        <v>887219.55854736001</v>
      </c>
      <c r="N1007" s="2212" t="e">
        <f>IF('Report-M&amp;O1920'!C$18-'Report-SOF1920'!D$55&lt;=0,0,'Report-M&amp;O1920'!C$18-'Report-SOF1920'!D$55)</f>
        <v>#DIV/0!</v>
      </c>
      <c r="O1007" s="2452" t="e">
        <f t="shared" si="185"/>
        <v>#DIV/0!</v>
      </c>
      <c r="P1007" s="2449">
        <f>IF(A1007='Data Entry - SOF'!B$2,'Data Entry - SOF'!I$64,0)</f>
        <v>0</v>
      </c>
      <c r="Q1007" s="1687">
        <f t="shared" si="180"/>
        <v>887219.55854736001</v>
      </c>
      <c r="R1007" s="2212" t="e">
        <f>IF('Report-M&amp;O2021'!C$18-'Report-SOF2021'!D$55&lt;=0,0,'Report-M&amp;O2021'!C$18-'Report-SOF2021'!D$55)</f>
        <v>#DIV/0!</v>
      </c>
      <c r="S1007" s="2452" t="e">
        <f t="shared" si="186"/>
        <v>#DIV/0!</v>
      </c>
      <c r="T1007" s="1708">
        <f>IF(A1007='Data Entry - SOF'!B$2,'Data Entry - SOF'!K$64,0)</f>
        <v>0</v>
      </c>
      <c r="U1007" s="1687">
        <f t="shared" si="190"/>
        <v>887219.55854736001</v>
      </c>
      <c r="V1007" s="2212" t="e">
        <f>IF('Report-M&amp;O2122'!C$18-'Report-SOF2122'!D$55&lt;=0,0,'Report-M&amp;O2122'!C$18-'Report-SOF2122'!D$55)</f>
        <v>#DIV/0!</v>
      </c>
      <c r="W1007" s="2452" t="e">
        <f t="shared" si="187"/>
        <v>#DIV/0!</v>
      </c>
      <c r="X1007" s="1708">
        <f>IF(A1007='Data Entry - SOF'!B$2,'Data Entry - SOF'!M$64,0)</f>
        <v>0</v>
      </c>
      <c r="Y1007" s="1371" t="e">
        <f t="shared" si="188"/>
        <v>#DIV/0!</v>
      </c>
      <c r="Z1007" s="2212" t="e">
        <f>IF('Report-M&amp;O2223'!C$18-'Report-SOF2223'!D$55&lt;=0,0,'Report-M&amp;O2223'!C$18-'Report-SOF2223'!D$55)</f>
        <v>#DIV/0!</v>
      </c>
      <c r="AA1007" s="1708">
        <f>IF(A1007='Data Entry - SOF'!B$2,'Data Entry - SOF'!O$64,0)</f>
        <v>0</v>
      </c>
    </row>
    <row r="1008" spans="1:27" ht="15.75">
      <c r="A1008" s="1076" t="s">
        <v>2548</v>
      </c>
      <c r="B1008">
        <v>10420465</v>
      </c>
      <c r="C1008" s="2452" t="e">
        <f>#REF!+#REF!</f>
        <v>#REF!</v>
      </c>
      <c r="D1008" s="2449">
        <f>IF(A1008='Data Entry - SOF'!B$2,'Data Entry - SOF'!C$64,0)</f>
        <v>0</v>
      </c>
      <c r="E1008" s="2450">
        <f t="shared" si="189"/>
        <v>10420465</v>
      </c>
      <c r="F1008" s="2212" t="e">
        <f>IF('Report-M&amp;O1718'!C$18-'Report-SOF1718'!D$55&lt;=0,0,'Report-M&amp;O1718'!C$18-'Report-SOF1718'!D$55)</f>
        <v>#DIV/0!</v>
      </c>
      <c r="G1008" s="2452" t="e">
        <f t="shared" si="181"/>
        <v>#DIV/0!</v>
      </c>
      <c r="H1008" s="2449">
        <f>IF(A1008='Data Entry - SOF'!B$2,'Data Entry - SOF'!E$64,0)</f>
        <v>0</v>
      </c>
      <c r="I1008" s="1687">
        <f t="shared" si="182"/>
        <v>10420465</v>
      </c>
      <c r="J1008" s="2212" t="e">
        <f>IF('Report-M&amp;O1819'!C$18-'Report-SOF1819'!D$55&lt;=0,0,'Report-M&amp;O1819'!C$18-'Report-SOF1819'!D$55)</f>
        <v>#DIV/0!</v>
      </c>
      <c r="K1008" s="2452" t="e">
        <f t="shared" si="183"/>
        <v>#DIV/0!</v>
      </c>
      <c r="L1008" s="2449">
        <f>IF(A1008='Data Entry - SOF'!B$2,'Data Entry - SOF'!G$64,0)</f>
        <v>0</v>
      </c>
      <c r="M1008" s="1371">
        <f t="shared" si="184"/>
        <v>10420465</v>
      </c>
      <c r="N1008" s="2212" t="e">
        <f>IF('Report-M&amp;O1920'!C$18-'Report-SOF1920'!D$55&lt;=0,0,'Report-M&amp;O1920'!C$18-'Report-SOF1920'!D$55)</f>
        <v>#DIV/0!</v>
      </c>
      <c r="O1008" s="2452" t="e">
        <f t="shared" si="185"/>
        <v>#DIV/0!</v>
      </c>
      <c r="P1008" s="2449">
        <f>IF(A1008='Data Entry - SOF'!B$2,'Data Entry - SOF'!I$64,0)</f>
        <v>0</v>
      </c>
      <c r="Q1008" s="1687">
        <f t="shared" si="180"/>
        <v>10420465</v>
      </c>
      <c r="R1008" s="2212" t="e">
        <f>IF('Report-M&amp;O2021'!C$18-'Report-SOF2021'!D$55&lt;=0,0,'Report-M&amp;O2021'!C$18-'Report-SOF2021'!D$55)</f>
        <v>#DIV/0!</v>
      </c>
      <c r="S1008" s="2452" t="e">
        <f t="shared" si="186"/>
        <v>#DIV/0!</v>
      </c>
      <c r="T1008" s="1708">
        <f>IF(A1008='Data Entry - SOF'!B$2,'Data Entry - SOF'!K$64,0)</f>
        <v>0</v>
      </c>
      <c r="U1008" s="1687">
        <f t="shared" si="190"/>
        <v>10420465</v>
      </c>
      <c r="V1008" s="2212" t="e">
        <f>IF('Report-M&amp;O2122'!C$18-'Report-SOF2122'!D$55&lt;=0,0,'Report-M&amp;O2122'!C$18-'Report-SOF2122'!D$55)</f>
        <v>#DIV/0!</v>
      </c>
      <c r="W1008" s="2452" t="e">
        <f t="shared" si="187"/>
        <v>#DIV/0!</v>
      </c>
      <c r="X1008" s="1708">
        <f>IF(A1008='Data Entry - SOF'!B$2,'Data Entry - SOF'!M$64,0)</f>
        <v>0</v>
      </c>
      <c r="Y1008" s="1371" t="e">
        <f t="shared" si="188"/>
        <v>#DIV/0!</v>
      </c>
      <c r="Z1008" s="2212" t="e">
        <f>IF('Report-M&amp;O2223'!C$18-'Report-SOF2223'!D$55&lt;=0,0,'Report-M&amp;O2223'!C$18-'Report-SOF2223'!D$55)</f>
        <v>#DIV/0!</v>
      </c>
      <c r="AA1008" s="1708">
        <f>IF(A1008='Data Entry - SOF'!B$2,'Data Entry - SOF'!O$64,0)</f>
        <v>0</v>
      </c>
    </row>
    <row r="1009" spans="1:27" ht="15.75">
      <c r="A1009" s="1076" t="s">
        <v>2549</v>
      </c>
      <c r="B1009">
        <v>2407103</v>
      </c>
      <c r="C1009" s="2452" t="e">
        <f>#REF!+#REF!</f>
        <v>#REF!</v>
      </c>
      <c r="D1009" s="2449">
        <f>IF(A1009='Data Entry - SOF'!B$2,'Data Entry - SOF'!C$64,0)</f>
        <v>0</v>
      </c>
      <c r="E1009" s="2450">
        <f t="shared" si="189"/>
        <v>2407103</v>
      </c>
      <c r="F1009" s="2212" t="e">
        <f>IF('Report-M&amp;O1718'!C$18-'Report-SOF1718'!D$55&lt;=0,0,'Report-M&amp;O1718'!C$18-'Report-SOF1718'!D$55)</f>
        <v>#DIV/0!</v>
      </c>
      <c r="G1009" s="2452" t="e">
        <f t="shared" si="181"/>
        <v>#DIV/0!</v>
      </c>
      <c r="H1009" s="2449">
        <f>IF(A1009='Data Entry - SOF'!B$2,'Data Entry - SOF'!E$64,0)</f>
        <v>0</v>
      </c>
      <c r="I1009" s="1687">
        <f t="shared" si="182"/>
        <v>2407103</v>
      </c>
      <c r="J1009" s="2212" t="e">
        <f>IF('Report-M&amp;O1819'!C$18-'Report-SOF1819'!D$55&lt;=0,0,'Report-M&amp;O1819'!C$18-'Report-SOF1819'!D$55)</f>
        <v>#DIV/0!</v>
      </c>
      <c r="K1009" s="2452" t="e">
        <f t="shared" si="183"/>
        <v>#DIV/0!</v>
      </c>
      <c r="L1009" s="2449">
        <f>IF(A1009='Data Entry - SOF'!B$2,'Data Entry - SOF'!G$64,0)</f>
        <v>0</v>
      </c>
      <c r="M1009" s="1371">
        <f t="shared" si="184"/>
        <v>2407103</v>
      </c>
      <c r="N1009" s="2212" t="e">
        <f>IF('Report-M&amp;O1920'!C$18-'Report-SOF1920'!D$55&lt;=0,0,'Report-M&amp;O1920'!C$18-'Report-SOF1920'!D$55)</f>
        <v>#DIV/0!</v>
      </c>
      <c r="O1009" s="2452" t="e">
        <f t="shared" si="185"/>
        <v>#DIV/0!</v>
      </c>
      <c r="P1009" s="2449">
        <f>IF(A1009='Data Entry - SOF'!B$2,'Data Entry - SOF'!I$64,0)</f>
        <v>0</v>
      </c>
      <c r="Q1009" s="1687">
        <f t="shared" si="180"/>
        <v>2407103</v>
      </c>
      <c r="R1009" s="2212" t="e">
        <f>IF('Report-M&amp;O2021'!C$18-'Report-SOF2021'!D$55&lt;=0,0,'Report-M&amp;O2021'!C$18-'Report-SOF2021'!D$55)</f>
        <v>#DIV/0!</v>
      </c>
      <c r="S1009" s="2452" t="e">
        <f t="shared" si="186"/>
        <v>#DIV/0!</v>
      </c>
      <c r="T1009" s="1708">
        <f>IF(A1009='Data Entry - SOF'!B$2,'Data Entry - SOF'!K$64,0)</f>
        <v>0</v>
      </c>
      <c r="U1009" s="1687">
        <f t="shared" si="190"/>
        <v>2407103</v>
      </c>
      <c r="V1009" s="2212" t="e">
        <f>IF('Report-M&amp;O2122'!C$18-'Report-SOF2122'!D$55&lt;=0,0,'Report-M&amp;O2122'!C$18-'Report-SOF2122'!D$55)</f>
        <v>#DIV/0!</v>
      </c>
      <c r="W1009" s="2452" t="e">
        <f t="shared" si="187"/>
        <v>#DIV/0!</v>
      </c>
      <c r="X1009" s="1708">
        <f>IF(A1009='Data Entry - SOF'!B$2,'Data Entry - SOF'!M$64,0)</f>
        <v>0</v>
      </c>
      <c r="Y1009" s="1371" t="e">
        <f t="shared" si="188"/>
        <v>#DIV/0!</v>
      </c>
      <c r="Z1009" s="2212" t="e">
        <f>IF('Report-M&amp;O2223'!C$18-'Report-SOF2223'!D$55&lt;=0,0,'Report-M&amp;O2223'!C$18-'Report-SOF2223'!D$55)</f>
        <v>#DIV/0!</v>
      </c>
      <c r="AA1009" s="1708">
        <f>IF(A1009='Data Entry - SOF'!B$2,'Data Entry - SOF'!O$64,0)</f>
        <v>0</v>
      </c>
    </row>
    <row r="1010" spans="1:27" ht="15.75">
      <c r="A1010" s="1076" t="s">
        <v>2970</v>
      </c>
      <c r="B1010">
        <v>5402685</v>
      </c>
      <c r="C1010" s="2452" t="e">
        <f>#REF!+#REF!</f>
        <v>#REF!</v>
      </c>
      <c r="D1010" s="2449">
        <f>IF(A1010='Data Entry - SOF'!B$2,'Data Entry - SOF'!C$64,0)</f>
        <v>0</v>
      </c>
      <c r="E1010" s="2450">
        <f t="shared" si="189"/>
        <v>5402685</v>
      </c>
      <c r="F1010" s="2212" t="e">
        <f>IF('Report-M&amp;O1718'!C$18-'Report-SOF1718'!D$55&lt;=0,0,'Report-M&amp;O1718'!C$18-'Report-SOF1718'!D$55)</f>
        <v>#DIV/0!</v>
      </c>
      <c r="G1010" s="2452" t="e">
        <f t="shared" si="181"/>
        <v>#DIV/0!</v>
      </c>
      <c r="H1010" s="2449">
        <f>IF(A1010='Data Entry - SOF'!B$2,'Data Entry - SOF'!E$64,0)</f>
        <v>0</v>
      </c>
      <c r="I1010" s="1687">
        <f t="shared" si="182"/>
        <v>5402685</v>
      </c>
      <c r="J1010" s="2212" t="e">
        <f>IF('Report-M&amp;O1819'!C$18-'Report-SOF1819'!D$55&lt;=0,0,'Report-M&amp;O1819'!C$18-'Report-SOF1819'!D$55)</f>
        <v>#DIV/0!</v>
      </c>
      <c r="K1010" s="2452" t="e">
        <f t="shared" si="183"/>
        <v>#DIV/0!</v>
      </c>
      <c r="L1010" s="2449">
        <f>IF(A1010='Data Entry - SOF'!B$2,'Data Entry - SOF'!G$64,0)</f>
        <v>0</v>
      </c>
      <c r="M1010" s="1371">
        <f t="shared" si="184"/>
        <v>5402685</v>
      </c>
      <c r="N1010" s="2212" t="e">
        <f>IF('Report-M&amp;O1920'!C$18-'Report-SOF1920'!D$55&lt;=0,0,'Report-M&amp;O1920'!C$18-'Report-SOF1920'!D$55)</f>
        <v>#DIV/0!</v>
      </c>
      <c r="O1010" s="2452" t="e">
        <f t="shared" si="185"/>
        <v>#DIV/0!</v>
      </c>
      <c r="P1010" s="2449">
        <f>IF(A1010='Data Entry - SOF'!B$2,'Data Entry - SOF'!I$64,0)</f>
        <v>0</v>
      </c>
      <c r="Q1010" s="1687">
        <f t="shared" si="180"/>
        <v>5402685</v>
      </c>
      <c r="R1010" s="2212" t="e">
        <f>IF('Report-M&amp;O2021'!C$18-'Report-SOF2021'!D$55&lt;=0,0,'Report-M&amp;O2021'!C$18-'Report-SOF2021'!D$55)</f>
        <v>#DIV/0!</v>
      </c>
      <c r="S1010" s="2452" t="e">
        <f t="shared" si="186"/>
        <v>#DIV/0!</v>
      </c>
      <c r="T1010" s="1708">
        <f>IF(A1010='Data Entry - SOF'!B$2,'Data Entry - SOF'!K$64,0)</f>
        <v>0</v>
      </c>
      <c r="U1010" s="1687">
        <f t="shared" si="190"/>
        <v>5402685</v>
      </c>
      <c r="V1010" s="2212" t="e">
        <f>IF('Report-M&amp;O2122'!C$18-'Report-SOF2122'!D$55&lt;=0,0,'Report-M&amp;O2122'!C$18-'Report-SOF2122'!D$55)</f>
        <v>#DIV/0!</v>
      </c>
      <c r="W1010" s="2452" t="e">
        <f t="shared" si="187"/>
        <v>#DIV/0!</v>
      </c>
      <c r="X1010" s="1708">
        <f>IF(A1010='Data Entry - SOF'!B$2,'Data Entry - SOF'!M$64,0)</f>
        <v>0</v>
      </c>
      <c r="Y1010" s="1371" t="e">
        <f t="shared" si="188"/>
        <v>#DIV/0!</v>
      </c>
      <c r="Z1010" s="2212" t="e">
        <f>IF('Report-M&amp;O2223'!C$18-'Report-SOF2223'!D$55&lt;=0,0,'Report-M&amp;O2223'!C$18-'Report-SOF2223'!D$55)</f>
        <v>#DIV/0!</v>
      </c>
      <c r="AA1010" s="1708">
        <f>IF(A1010='Data Entry - SOF'!B$2,'Data Entry - SOF'!O$64,0)</f>
        <v>0</v>
      </c>
    </row>
    <row r="1011" spans="1:27" ht="15.75">
      <c r="A1011" s="1076" t="s">
        <v>2971</v>
      </c>
      <c r="B1011">
        <v>1606858</v>
      </c>
      <c r="C1011" s="2452" t="e">
        <f>#REF!+#REF!</f>
        <v>#REF!</v>
      </c>
      <c r="D1011" s="2449">
        <f>IF(A1011='Data Entry - SOF'!B$2,'Data Entry - SOF'!C$64,0)</f>
        <v>0</v>
      </c>
      <c r="E1011" s="2450">
        <f t="shared" si="189"/>
        <v>1606858</v>
      </c>
      <c r="F1011" s="2212" t="e">
        <f>IF('Report-M&amp;O1718'!C$18-'Report-SOF1718'!D$55&lt;=0,0,'Report-M&amp;O1718'!C$18-'Report-SOF1718'!D$55)</f>
        <v>#DIV/0!</v>
      </c>
      <c r="G1011" s="2452" t="e">
        <f t="shared" si="181"/>
        <v>#DIV/0!</v>
      </c>
      <c r="H1011" s="2449">
        <f>IF(A1011='Data Entry - SOF'!B$2,'Data Entry - SOF'!E$64,0)</f>
        <v>0</v>
      </c>
      <c r="I1011" s="1687">
        <f t="shared" si="182"/>
        <v>1606858</v>
      </c>
      <c r="J1011" s="2212" t="e">
        <f>IF('Report-M&amp;O1819'!C$18-'Report-SOF1819'!D$55&lt;=0,0,'Report-M&amp;O1819'!C$18-'Report-SOF1819'!D$55)</f>
        <v>#DIV/0!</v>
      </c>
      <c r="K1011" s="2452" t="e">
        <f t="shared" si="183"/>
        <v>#DIV/0!</v>
      </c>
      <c r="L1011" s="2449">
        <f>IF(A1011='Data Entry - SOF'!B$2,'Data Entry - SOF'!G$64,0)</f>
        <v>0</v>
      </c>
      <c r="M1011" s="1371">
        <f t="shared" si="184"/>
        <v>1606858</v>
      </c>
      <c r="N1011" s="2212" t="e">
        <f>IF('Report-M&amp;O1920'!C$18-'Report-SOF1920'!D$55&lt;=0,0,'Report-M&amp;O1920'!C$18-'Report-SOF1920'!D$55)</f>
        <v>#DIV/0!</v>
      </c>
      <c r="O1011" s="2452" t="e">
        <f t="shared" si="185"/>
        <v>#DIV/0!</v>
      </c>
      <c r="P1011" s="2449">
        <f>IF(A1011='Data Entry - SOF'!B$2,'Data Entry - SOF'!I$64,0)</f>
        <v>0</v>
      </c>
      <c r="Q1011" s="1687">
        <f t="shared" si="180"/>
        <v>1606858</v>
      </c>
      <c r="R1011" s="2212" t="e">
        <f>IF('Report-M&amp;O2021'!C$18-'Report-SOF2021'!D$55&lt;=0,0,'Report-M&amp;O2021'!C$18-'Report-SOF2021'!D$55)</f>
        <v>#DIV/0!</v>
      </c>
      <c r="S1011" s="2452" t="e">
        <f t="shared" si="186"/>
        <v>#DIV/0!</v>
      </c>
      <c r="T1011" s="1708">
        <f>IF(A1011='Data Entry - SOF'!B$2,'Data Entry - SOF'!K$64,0)</f>
        <v>0</v>
      </c>
      <c r="U1011" s="1687">
        <f t="shared" si="190"/>
        <v>1606858</v>
      </c>
      <c r="V1011" s="2212" t="e">
        <f>IF('Report-M&amp;O2122'!C$18-'Report-SOF2122'!D$55&lt;=0,0,'Report-M&amp;O2122'!C$18-'Report-SOF2122'!D$55)</f>
        <v>#DIV/0!</v>
      </c>
      <c r="W1011" s="2452" t="e">
        <f t="shared" si="187"/>
        <v>#DIV/0!</v>
      </c>
      <c r="X1011" s="1708">
        <f>IF(A1011='Data Entry - SOF'!B$2,'Data Entry - SOF'!M$64,0)</f>
        <v>0</v>
      </c>
      <c r="Y1011" s="1371" t="e">
        <f t="shared" si="188"/>
        <v>#DIV/0!</v>
      </c>
      <c r="Z1011" s="2212" t="e">
        <f>IF('Report-M&amp;O2223'!C$18-'Report-SOF2223'!D$55&lt;=0,0,'Report-M&amp;O2223'!C$18-'Report-SOF2223'!D$55)</f>
        <v>#DIV/0!</v>
      </c>
      <c r="AA1011" s="1708">
        <f>IF(A1011='Data Entry - SOF'!B$2,'Data Entry - SOF'!O$64,0)</f>
        <v>0</v>
      </c>
    </row>
    <row r="1012" spans="1:27" ht="15.75">
      <c r="A1012" s="1076" t="s">
        <v>705</v>
      </c>
      <c r="B1012">
        <v>1771324</v>
      </c>
      <c r="C1012" s="2452" t="e">
        <f>#REF!+#REF!</f>
        <v>#REF!</v>
      </c>
      <c r="D1012" s="2449">
        <f>IF(A1012='Data Entry - SOF'!B$2,'Data Entry - SOF'!C$64,0)</f>
        <v>0</v>
      </c>
      <c r="E1012" s="2450">
        <f t="shared" si="189"/>
        <v>1771324</v>
      </c>
      <c r="F1012" s="2212" t="e">
        <f>IF('Report-M&amp;O1718'!C$18-'Report-SOF1718'!D$55&lt;=0,0,'Report-M&amp;O1718'!C$18-'Report-SOF1718'!D$55)</f>
        <v>#DIV/0!</v>
      </c>
      <c r="G1012" s="2452" t="e">
        <f t="shared" si="181"/>
        <v>#DIV/0!</v>
      </c>
      <c r="H1012" s="2449">
        <f>IF(A1012='Data Entry - SOF'!B$2,'Data Entry - SOF'!E$64,0)</f>
        <v>0</v>
      </c>
      <c r="I1012" s="1687">
        <f t="shared" si="182"/>
        <v>1771324</v>
      </c>
      <c r="J1012" s="2212" t="e">
        <f>IF('Report-M&amp;O1819'!C$18-'Report-SOF1819'!D$55&lt;=0,0,'Report-M&amp;O1819'!C$18-'Report-SOF1819'!D$55)</f>
        <v>#DIV/0!</v>
      </c>
      <c r="K1012" s="2452" t="e">
        <f t="shared" si="183"/>
        <v>#DIV/0!</v>
      </c>
      <c r="L1012" s="2449">
        <f>IF(A1012='Data Entry - SOF'!B$2,'Data Entry - SOF'!G$64,0)</f>
        <v>0</v>
      </c>
      <c r="M1012" s="1371">
        <f t="shared" si="184"/>
        <v>1771324</v>
      </c>
      <c r="N1012" s="2212" t="e">
        <f>IF('Report-M&amp;O1920'!C$18-'Report-SOF1920'!D$55&lt;=0,0,'Report-M&amp;O1920'!C$18-'Report-SOF1920'!D$55)</f>
        <v>#DIV/0!</v>
      </c>
      <c r="O1012" s="2452" t="e">
        <f t="shared" si="185"/>
        <v>#DIV/0!</v>
      </c>
      <c r="P1012" s="2449">
        <f>IF(A1012='Data Entry - SOF'!B$2,'Data Entry - SOF'!I$64,0)</f>
        <v>0</v>
      </c>
      <c r="Q1012" s="1687">
        <f t="shared" si="180"/>
        <v>1771324</v>
      </c>
      <c r="R1012" s="2212" t="e">
        <f>IF('Report-M&amp;O2021'!C$18-'Report-SOF2021'!D$55&lt;=0,0,'Report-M&amp;O2021'!C$18-'Report-SOF2021'!D$55)</f>
        <v>#DIV/0!</v>
      </c>
      <c r="S1012" s="2452" t="e">
        <f t="shared" si="186"/>
        <v>#DIV/0!</v>
      </c>
      <c r="T1012" s="1708">
        <f>IF(A1012='Data Entry - SOF'!B$2,'Data Entry - SOF'!K$64,0)</f>
        <v>0</v>
      </c>
      <c r="U1012" s="1687">
        <f t="shared" si="190"/>
        <v>1771324</v>
      </c>
      <c r="V1012" s="2212" t="e">
        <f>IF('Report-M&amp;O2122'!C$18-'Report-SOF2122'!D$55&lt;=0,0,'Report-M&amp;O2122'!C$18-'Report-SOF2122'!D$55)</f>
        <v>#DIV/0!</v>
      </c>
      <c r="W1012" s="2452" t="e">
        <f t="shared" si="187"/>
        <v>#DIV/0!</v>
      </c>
      <c r="X1012" s="1708">
        <f>IF(A1012='Data Entry - SOF'!B$2,'Data Entry - SOF'!M$64,0)</f>
        <v>0</v>
      </c>
      <c r="Y1012" s="1371" t="e">
        <f t="shared" si="188"/>
        <v>#DIV/0!</v>
      </c>
      <c r="Z1012" s="2212" t="e">
        <f>IF('Report-M&amp;O2223'!C$18-'Report-SOF2223'!D$55&lt;=0,0,'Report-M&amp;O2223'!C$18-'Report-SOF2223'!D$55)</f>
        <v>#DIV/0!</v>
      </c>
      <c r="AA1012" s="1708">
        <f>IF(A1012='Data Entry - SOF'!B$2,'Data Entry - SOF'!O$64,0)</f>
        <v>0</v>
      </c>
    </row>
    <row r="1013" spans="1:27" ht="15.75">
      <c r="A1013" s="1076" t="s">
        <v>777</v>
      </c>
      <c r="B1013">
        <v>2469067</v>
      </c>
      <c r="C1013" s="2452" t="e">
        <f>#REF!+#REF!</f>
        <v>#REF!</v>
      </c>
      <c r="D1013" s="2449">
        <f>IF(A1013='Data Entry - SOF'!B$2,'Data Entry - SOF'!C$64,0)</f>
        <v>0</v>
      </c>
      <c r="E1013" s="2450">
        <f t="shared" si="189"/>
        <v>2469067</v>
      </c>
      <c r="F1013" s="2212" t="e">
        <f>IF('Report-M&amp;O1718'!C$18-'Report-SOF1718'!D$55&lt;=0,0,'Report-M&amp;O1718'!C$18-'Report-SOF1718'!D$55)</f>
        <v>#DIV/0!</v>
      </c>
      <c r="G1013" s="2452" t="e">
        <f t="shared" si="181"/>
        <v>#DIV/0!</v>
      </c>
      <c r="H1013" s="2449">
        <f>IF(A1013='Data Entry - SOF'!B$2,'Data Entry - SOF'!E$64,0)</f>
        <v>0</v>
      </c>
      <c r="I1013" s="1687">
        <f t="shared" si="182"/>
        <v>2469067</v>
      </c>
      <c r="J1013" s="2212" t="e">
        <f>IF('Report-M&amp;O1819'!C$18-'Report-SOF1819'!D$55&lt;=0,0,'Report-M&amp;O1819'!C$18-'Report-SOF1819'!D$55)</f>
        <v>#DIV/0!</v>
      </c>
      <c r="K1013" s="2452" t="e">
        <f t="shared" si="183"/>
        <v>#DIV/0!</v>
      </c>
      <c r="L1013" s="2449">
        <f>IF(A1013='Data Entry - SOF'!B$2,'Data Entry - SOF'!G$64,0)</f>
        <v>0</v>
      </c>
      <c r="M1013" s="1371">
        <f t="shared" si="184"/>
        <v>2469067</v>
      </c>
      <c r="N1013" s="2212" t="e">
        <f>IF('Report-M&amp;O1920'!C$18-'Report-SOF1920'!D$55&lt;=0,0,'Report-M&amp;O1920'!C$18-'Report-SOF1920'!D$55)</f>
        <v>#DIV/0!</v>
      </c>
      <c r="O1013" s="2452" t="e">
        <f t="shared" si="185"/>
        <v>#DIV/0!</v>
      </c>
      <c r="P1013" s="2449">
        <f>IF(A1013='Data Entry - SOF'!B$2,'Data Entry - SOF'!I$64,0)</f>
        <v>0</v>
      </c>
      <c r="Q1013" s="1687">
        <f t="shared" si="180"/>
        <v>2469067</v>
      </c>
      <c r="R1013" s="2212" t="e">
        <f>IF('Report-M&amp;O2021'!C$18-'Report-SOF2021'!D$55&lt;=0,0,'Report-M&amp;O2021'!C$18-'Report-SOF2021'!D$55)</f>
        <v>#DIV/0!</v>
      </c>
      <c r="S1013" s="2452" t="e">
        <f t="shared" si="186"/>
        <v>#DIV/0!</v>
      </c>
      <c r="T1013" s="1708">
        <f>IF(A1013='Data Entry - SOF'!B$2,'Data Entry - SOF'!K$64,0)</f>
        <v>0</v>
      </c>
      <c r="U1013" s="1687">
        <f t="shared" si="190"/>
        <v>2469067</v>
      </c>
      <c r="V1013" s="2212" t="e">
        <f>IF('Report-M&amp;O2122'!C$18-'Report-SOF2122'!D$55&lt;=0,0,'Report-M&amp;O2122'!C$18-'Report-SOF2122'!D$55)</f>
        <v>#DIV/0!</v>
      </c>
      <c r="W1013" s="2452" t="e">
        <f t="shared" si="187"/>
        <v>#DIV/0!</v>
      </c>
      <c r="X1013" s="1708">
        <f>IF(A1013='Data Entry - SOF'!B$2,'Data Entry - SOF'!M$64,0)</f>
        <v>0</v>
      </c>
      <c r="Y1013" s="1371" t="e">
        <f t="shared" si="188"/>
        <v>#DIV/0!</v>
      </c>
      <c r="Z1013" s="2212" t="e">
        <f>IF('Report-M&amp;O2223'!C$18-'Report-SOF2223'!D$55&lt;=0,0,'Report-M&amp;O2223'!C$18-'Report-SOF2223'!D$55)</f>
        <v>#DIV/0!</v>
      </c>
      <c r="AA1013" s="1708">
        <f>IF(A1013='Data Entry - SOF'!B$2,'Data Entry - SOF'!O$64,0)</f>
        <v>0</v>
      </c>
    </row>
    <row r="1014" spans="1:27" ht="15.75">
      <c r="A1014" s="1076" t="s">
        <v>778</v>
      </c>
      <c r="B1014">
        <v>55162167</v>
      </c>
      <c r="C1014" s="2452" t="e">
        <f>#REF!+#REF!</f>
        <v>#REF!</v>
      </c>
      <c r="D1014" s="2449">
        <f>IF(A1014='Data Entry - SOF'!B$2,'Data Entry - SOF'!C$64,0)</f>
        <v>0</v>
      </c>
      <c r="E1014" s="2450">
        <f t="shared" si="189"/>
        <v>55162167</v>
      </c>
      <c r="F1014" s="2212" t="e">
        <f>IF('Report-M&amp;O1718'!C$18-'Report-SOF1718'!D$55&lt;=0,0,'Report-M&amp;O1718'!C$18-'Report-SOF1718'!D$55)</f>
        <v>#DIV/0!</v>
      </c>
      <c r="G1014" s="2452" t="e">
        <f t="shared" si="181"/>
        <v>#DIV/0!</v>
      </c>
      <c r="H1014" s="2449">
        <f>IF(A1014='Data Entry - SOF'!B$2,'Data Entry - SOF'!E$64,0)</f>
        <v>0</v>
      </c>
      <c r="I1014" s="1687">
        <f t="shared" si="182"/>
        <v>55162167</v>
      </c>
      <c r="J1014" s="2212" t="e">
        <f>IF('Report-M&amp;O1819'!C$18-'Report-SOF1819'!D$55&lt;=0,0,'Report-M&amp;O1819'!C$18-'Report-SOF1819'!D$55)</f>
        <v>#DIV/0!</v>
      </c>
      <c r="K1014" s="2452" t="e">
        <f t="shared" si="183"/>
        <v>#DIV/0!</v>
      </c>
      <c r="L1014" s="2449">
        <f>IF(A1014='Data Entry - SOF'!B$2,'Data Entry - SOF'!G$64,0)</f>
        <v>0</v>
      </c>
      <c r="M1014" s="1371">
        <f t="shared" si="184"/>
        <v>55162167</v>
      </c>
      <c r="N1014" s="2212" t="e">
        <f>IF('Report-M&amp;O1920'!C$18-'Report-SOF1920'!D$55&lt;=0,0,'Report-M&amp;O1920'!C$18-'Report-SOF1920'!D$55)</f>
        <v>#DIV/0!</v>
      </c>
      <c r="O1014" s="2452" t="e">
        <f t="shared" si="185"/>
        <v>#DIV/0!</v>
      </c>
      <c r="P1014" s="2449">
        <f>IF(A1014='Data Entry - SOF'!B$2,'Data Entry - SOF'!I$64,0)</f>
        <v>0</v>
      </c>
      <c r="Q1014" s="1687">
        <f t="shared" si="180"/>
        <v>55162167</v>
      </c>
      <c r="R1014" s="2212" t="e">
        <f>IF('Report-M&amp;O2021'!C$18-'Report-SOF2021'!D$55&lt;=0,0,'Report-M&amp;O2021'!C$18-'Report-SOF2021'!D$55)</f>
        <v>#DIV/0!</v>
      </c>
      <c r="S1014" s="2452" t="e">
        <f t="shared" si="186"/>
        <v>#DIV/0!</v>
      </c>
      <c r="T1014" s="1708">
        <f>IF(A1014='Data Entry - SOF'!B$2,'Data Entry - SOF'!K$64,0)</f>
        <v>0</v>
      </c>
      <c r="U1014" s="1687">
        <f t="shared" si="190"/>
        <v>55162167</v>
      </c>
      <c r="V1014" s="2212" t="e">
        <f>IF('Report-M&amp;O2122'!C$18-'Report-SOF2122'!D$55&lt;=0,0,'Report-M&amp;O2122'!C$18-'Report-SOF2122'!D$55)</f>
        <v>#DIV/0!</v>
      </c>
      <c r="W1014" s="2452" t="e">
        <f t="shared" si="187"/>
        <v>#DIV/0!</v>
      </c>
      <c r="X1014" s="1708">
        <f>IF(A1014='Data Entry - SOF'!B$2,'Data Entry - SOF'!M$64,0)</f>
        <v>0</v>
      </c>
      <c r="Y1014" s="1371" t="e">
        <f t="shared" si="188"/>
        <v>#DIV/0!</v>
      </c>
      <c r="Z1014" s="2212" t="e">
        <f>IF('Report-M&amp;O2223'!C$18-'Report-SOF2223'!D$55&lt;=0,0,'Report-M&amp;O2223'!C$18-'Report-SOF2223'!D$55)</f>
        <v>#DIV/0!</v>
      </c>
      <c r="AA1014" s="1708">
        <f>IF(A1014='Data Entry - SOF'!B$2,'Data Entry - SOF'!O$64,0)</f>
        <v>0</v>
      </c>
    </row>
    <row r="1015" spans="1:27" ht="15.75">
      <c r="A1015" s="1076" t="s">
        <v>1660</v>
      </c>
      <c r="B1015">
        <v>24397577</v>
      </c>
      <c r="C1015" s="2452" t="e">
        <f>#REF!+#REF!</f>
        <v>#REF!</v>
      </c>
      <c r="D1015" s="2449">
        <f>IF(A1015='Data Entry - SOF'!B$2,'Data Entry - SOF'!C$64,0)</f>
        <v>0</v>
      </c>
      <c r="E1015" s="2450">
        <f t="shared" si="189"/>
        <v>24397577</v>
      </c>
      <c r="F1015" s="2212" t="e">
        <f>IF('Report-M&amp;O1718'!C$18-'Report-SOF1718'!D$55&lt;=0,0,'Report-M&amp;O1718'!C$18-'Report-SOF1718'!D$55)</f>
        <v>#DIV/0!</v>
      </c>
      <c r="G1015" s="2452" t="e">
        <f t="shared" si="181"/>
        <v>#DIV/0!</v>
      </c>
      <c r="H1015" s="2449">
        <f>IF(A1015='Data Entry - SOF'!B$2,'Data Entry - SOF'!E$64,0)</f>
        <v>0</v>
      </c>
      <c r="I1015" s="1687">
        <f t="shared" si="182"/>
        <v>24397577</v>
      </c>
      <c r="J1015" s="2212" t="e">
        <f>IF('Report-M&amp;O1819'!C$18-'Report-SOF1819'!D$55&lt;=0,0,'Report-M&amp;O1819'!C$18-'Report-SOF1819'!D$55)</f>
        <v>#DIV/0!</v>
      </c>
      <c r="K1015" s="2452" t="e">
        <f t="shared" si="183"/>
        <v>#DIV/0!</v>
      </c>
      <c r="L1015" s="2449">
        <f>IF(A1015='Data Entry - SOF'!B$2,'Data Entry - SOF'!G$64,0)</f>
        <v>0</v>
      </c>
      <c r="M1015" s="1371">
        <f t="shared" si="184"/>
        <v>24397577</v>
      </c>
      <c r="N1015" s="2212" t="e">
        <f>IF('Report-M&amp;O1920'!C$18-'Report-SOF1920'!D$55&lt;=0,0,'Report-M&amp;O1920'!C$18-'Report-SOF1920'!D$55)</f>
        <v>#DIV/0!</v>
      </c>
      <c r="O1015" s="2452" t="e">
        <f t="shared" si="185"/>
        <v>#DIV/0!</v>
      </c>
      <c r="P1015" s="2449">
        <f>IF(A1015='Data Entry - SOF'!B$2,'Data Entry - SOF'!I$64,0)</f>
        <v>0</v>
      </c>
      <c r="Q1015" s="1687">
        <f t="shared" si="180"/>
        <v>24397577</v>
      </c>
      <c r="R1015" s="2212" t="e">
        <f>IF('Report-M&amp;O2021'!C$18-'Report-SOF2021'!D$55&lt;=0,0,'Report-M&amp;O2021'!C$18-'Report-SOF2021'!D$55)</f>
        <v>#DIV/0!</v>
      </c>
      <c r="S1015" s="2452" t="e">
        <f t="shared" si="186"/>
        <v>#DIV/0!</v>
      </c>
      <c r="T1015" s="1708">
        <f>IF(A1015='Data Entry - SOF'!B$2,'Data Entry - SOF'!K$64,0)</f>
        <v>0</v>
      </c>
      <c r="U1015" s="1687">
        <f t="shared" si="190"/>
        <v>24397577</v>
      </c>
      <c r="V1015" s="2212" t="e">
        <f>IF('Report-M&amp;O2122'!C$18-'Report-SOF2122'!D$55&lt;=0,0,'Report-M&amp;O2122'!C$18-'Report-SOF2122'!D$55)</f>
        <v>#DIV/0!</v>
      </c>
      <c r="W1015" s="2452" t="e">
        <f t="shared" si="187"/>
        <v>#DIV/0!</v>
      </c>
      <c r="X1015" s="1708">
        <f>IF(A1015='Data Entry - SOF'!B$2,'Data Entry - SOF'!M$64,0)</f>
        <v>0</v>
      </c>
      <c r="Y1015" s="1371" t="e">
        <f t="shared" si="188"/>
        <v>#DIV/0!</v>
      </c>
      <c r="Z1015" s="2212" t="e">
        <f>IF('Report-M&amp;O2223'!C$18-'Report-SOF2223'!D$55&lt;=0,0,'Report-M&amp;O2223'!C$18-'Report-SOF2223'!D$55)</f>
        <v>#DIV/0!</v>
      </c>
      <c r="AA1015" s="1708">
        <f>IF(A1015='Data Entry - SOF'!B$2,'Data Entry - SOF'!O$64,0)</f>
        <v>0</v>
      </c>
    </row>
    <row r="1016" spans="1:27" ht="15.75">
      <c r="A1016" s="1076" t="s">
        <v>1020</v>
      </c>
      <c r="B1016">
        <v>6309759</v>
      </c>
      <c r="C1016" s="2452" t="e">
        <f>#REF!+#REF!</f>
        <v>#REF!</v>
      </c>
      <c r="D1016" s="2449">
        <f>IF(A1016='Data Entry - SOF'!B$2,'Data Entry - SOF'!C$64,0)</f>
        <v>0</v>
      </c>
      <c r="E1016" s="2450">
        <f t="shared" si="189"/>
        <v>6309759</v>
      </c>
      <c r="F1016" s="2212" t="e">
        <f>IF('Report-M&amp;O1718'!C$18-'Report-SOF1718'!D$55&lt;=0,0,'Report-M&amp;O1718'!C$18-'Report-SOF1718'!D$55)</f>
        <v>#DIV/0!</v>
      </c>
      <c r="G1016" s="2452" t="e">
        <f t="shared" si="181"/>
        <v>#DIV/0!</v>
      </c>
      <c r="H1016" s="2449">
        <f>IF(A1016='Data Entry - SOF'!B$2,'Data Entry - SOF'!E$64,0)</f>
        <v>0</v>
      </c>
      <c r="I1016" s="1687">
        <f t="shared" si="182"/>
        <v>6309759</v>
      </c>
      <c r="J1016" s="2212" t="e">
        <f>IF('Report-M&amp;O1819'!C$18-'Report-SOF1819'!D$55&lt;=0,0,'Report-M&amp;O1819'!C$18-'Report-SOF1819'!D$55)</f>
        <v>#DIV/0!</v>
      </c>
      <c r="K1016" s="2452" t="e">
        <f t="shared" si="183"/>
        <v>#DIV/0!</v>
      </c>
      <c r="L1016" s="2449">
        <f>IF(A1016='Data Entry - SOF'!B$2,'Data Entry - SOF'!G$64,0)</f>
        <v>0</v>
      </c>
      <c r="M1016" s="1371">
        <f t="shared" si="184"/>
        <v>6309759</v>
      </c>
      <c r="N1016" s="2212" t="e">
        <f>IF('Report-M&amp;O1920'!C$18-'Report-SOF1920'!D$55&lt;=0,0,'Report-M&amp;O1920'!C$18-'Report-SOF1920'!D$55)</f>
        <v>#DIV/0!</v>
      </c>
      <c r="O1016" s="2452" t="e">
        <f t="shared" si="185"/>
        <v>#DIV/0!</v>
      </c>
      <c r="P1016" s="2449">
        <f>IF(A1016='Data Entry - SOF'!B$2,'Data Entry - SOF'!I$64,0)</f>
        <v>0</v>
      </c>
      <c r="Q1016" s="1687">
        <f t="shared" si="180"/>
        <v>6309759</v>
      </c>
      <c r="R1016" s="2212" t="e">
        <f>IF('Report-M&amp;O2021'!C$18-'Report-SOF2021'!D$55&lt;=0,0,'Report-M&amp;O2021'!C$18-'Report-SOF2021'!D$55)</f>
        <v>#DIV/0!</v>
      </c>
      <c r="S1016" s="2452" t="e">
        <f t="shared" si="186"/>
        <v>#DIV/0!</v>
      </c>
      <c r="T1016" s="1708">
        <f>IF(A1016='Data Entry - SOF'!B$2,'Data Entry - SOF'!K$64,0)</f>
        <v>0</v>
      </c>
      <c r="U1016" s="1687">
        <f t="shared" si="190"/>
        <v>6309759</v>
      </c>
      <c r="V1016" s="2212" t="e">
        <f>IF('Report-M&amp;O2122'!C$18-'Report-SOF2122'!D$55&lt;=0,0,'Report-M&amp;O2122'!C$18-'Report-SOF2122'!D$55)</f>
        <v>#DIV/0!</v>
      </c>
      <c r="W1016" s="2452" t="e">
        <f t="shared" si="187"/>
        <v>#DIV/0!</v>
      </c>
      <c r="X1016" s="1708">
        <f>IF(A1016='Data Entry - SOF'!B$2,'Data Entry - SOF'!M$64,0)</f>
        <v>0</v>
      </c>
      <c r="Y1016" s="1371" t="e">
        <f t="shared" si="188"/>
        <v>#DIV/0!</v>
      </c>
      <c r="Z1016" s="2212" t="e">
        <f>IF('Report-M&amp;O2223'!C$18-'Report-SOF2223'!D$55&lt;=0,0,'Report-M&amp;O2223'!C$18-'Report-SOF2223'!D$55)</f>
        <v>#DIV/0!</v>
      </c>
      <c r="AA1016" s="1708">
        <f>IF(A1016='Data Entry - SOF'!B$2,'Data Entry - SOF'!O$64,0)</f>
        <v>0</v>
      </c>
    </row>
    <row r="1017" spans="1:27" ht="15.75">
      <c r="A1017" s="1076" t="s">
        <v>1661</v>
      </c>
      <c r="B1017">
        <v>1745605</v>
      </c>
      <c r="C1017" s="2452" t="e">
        <f>#REF!+#REF!</f>
        <v>#REF!</v>
      </c>
      <c r="D1017" s="2449">
        <f>IF(A1017='Data Entry - SOF'!B$2,'Data Entry - SOF'!C$64,0)</f>
        <v>0</v>
      </c>
      <c r="E1017" s="2450">
        <f t="shared" si="189"/>
        <v>1745605</v>
      </c>
      <c r="F1017" s="2212" t="e">
        <f>IF('Report-M&amp;O1718'!C$18-'Report-SOF1718'!D$55&lt;=0,0,'Report-M&amp;O1718'!C$18-'Report-SOF1718'!D$55)</f>
        <v>#DIV/0!</v>
      </c>
      <c r="G1017" s="2452" t="e">
        <f t="shared" si="181"/>
        <v>#DIV/0!</v>
      </c>
      <c r="H1017" s="2449">
        <f>IF(A1017='Data Entry - SOF'!B$2,'Data Entry - SOF'!E$64,0)</f>
        <v>0</v>
      </c>
      <c r="I1017" s="1687">
        <f t="shared" si="182"/>
        <v>1745605</v>
      </c>
      <c r="J1017" s="2212" t="e">
        <f>IF('Report-M&amp;O1819'!C$18-'Report-SOF1819'!D$55&lt;=0,0,'Report-M&amp;O1819'!C$18-'Report-SOF1819'!D$55)</f>
        <v>#DIV/0!</v>
      </c>
      <c r="K1017" s="2452" t="e">
        <f t="shared" si="183"/>
        <v>#DIV/0!</v>
      </c>
      <c r="L1017" s="2449">
        <f>IF(A1017='Data Entry - SOF'!B$2,'Data Entry - SOF'!G$64,0)</f>
        <v>0</v>
      </c>
      <c r="M1017" s="1371">
        <f t="shared" si="184"/>
        <v>1745605</v>
      </c>
      <c r="N1017" s="2212" t="e">
        <f>IF('Report-M&amp;O1920'!C$18-'Report-SOF1920'!D$55&lt;=0,0,'Report-M&amp;O1920'!C$18-'Report-SOF1920'!D$55)</f>
        <v>#DIV/0!</v>
      </c>
      <c r="O1017" s="2452" t="e">
        <f t="shared" si="185"/>
        <v>#DIV/0!</v>
      </c>
      <c r="P1017" s="2449">
        <f>IF(A1017='Data Entry - SOF'!B$2,'Data Entry - SOF'!I$64,0)</f>
        <v>0</v>
      </c>
      <c r="Q1017" s="1687">
        <f t="shared" si="180"/>
        <v>1745605</v>
      </c>
      <c r="R1017" s="2212" t="e">
        <f>IF('Report-M&amp;O2021'!C$18-'Report-SOF2021'!D$55&lt;=0,0,'Report-M&amp;O2021'!C$18-'Report-SOF2021'!D$55)</f>
        <v>#DIV/0!</v>
      </c>
      <c r="S1017" s="2452" t="e">
        <f t="shared" si="186"/>
        <v>#DIV/0!</v>
      </c>
      <c r="T1017" s="1708">
        <f>IF(A1017='Data Entry - SOF'!B$2,'Data Entry - SOF'!K$64,0)</f>
        <v>0</v>
      </c>
      <c r="U1017" s="1687">
        <f t="shared" si="190"/>
        <v>1745605</v>
      </c>
      <c r="V1017" s="2212" t="e">
        <f>IF('Report-M&amp;O2122'!C$18-'Report-SOF2122'!D$55&lt;=0,0,'Report-M&amp;O2122'!C$18-'Report-SOF2122'!D$55)</f>
        <v>#DIV/0!</v>
      </c>
      <c r="W1017" s="2452" t="e">
        <f t="shared" si="187"/>
        <v>#DIV/0!</v>
      </c>
      <c r="X1017" s="1708">
        <f>IF(A1017='Data Entry - SOF'!B$2,'Data Entry - SOF'!M$64,0)</f>
        <v>0</v>
      </c>
      <c r="Y1017" s="1371" t="e">
        <f t="shared" si="188"/>
        <v>#DIV/0!</v>
      </c>
      <c r="Z1017" s="2212" t="e">
        <f>IF('Report-M&amp;O2223'!C$18-'Report-SOF2223'!D$55&lt;=0,0,'Report-M&amp;O2223'!C$18-'Report-SOF2223'!D$55)</f>
        <v>#DIV/0!</v>
      </c>
      <c r="AA1017" s="1708">
        <f>IF(A1017='Data Entry - SOF'!B$2,'Data Entry - SOF'!O$64,0)</f>
        <v>0</v>
      </c>
    </row>
    <row r="1018" spans="1:27" ht="15.75">
      <c r="A1018" s="1076" t="s">
        <v>1696</v>
      </c>
      <c r="B1018">
        <v>7725860</v>
      </c>
      <c r="C1018" s="2452" t="e">
        <f>#REF!+#REF!</f>
        <v>#REF!</v>
      </c>
      <c r="D1018" s="2449">
        <f>IF(A1018='Data Entry - SOF'!B$2,'Data Entry - SOF'!C$64,0)</f>
        <v>0</v>
      </c>
      <c r="E1018" s="2450">
        <f t="shared" si="189"/>
        <v>7725860</v>
      </c>
      <c r="F1018" s="2212" t="e">
        <f>IF('Report-M&amp;O1718'!C$18-'Report-SOF1718'!D$55&lt;=0,0,'Report-M&amp;O1718'!C$18-'Report-SOF1718'!D$55)</f>
        <v>#DIV/0!</v>
      </c>
      <c r="G1018" s="2452" t="e">
        <f t="shared" si="181"/>
        <v>#DIV/0!</v>
      </c>
      <c r="H1018" s="2449">
        <f>IF(A1018='Data Entry - SOF'!B$2,'Data Entry - SOF'!E$64,0)</f>
        <v>0</v>
      </c>
      <c r="I1018" s="1687">
        <f t="shared" si="182"/>
        <v>7725860</v>
      </c>
      <c r="J1018" s="2212" t="e">
        <f>IF('Report-M&amp;O1819'!C$18-'Report-SOF1819'!D$55&lt;=0,0,'Report-M&amp;O1819'!C$18-'Report-SOF1819'!D$55)</f>
        <v>#DIV/0!</v>
      </c>
      <c r="K1018" s="2452" t="e">
        <f t="shared" si="183"/>
        <v>#DIV/0!</v>
      </c>
      <c r="L1018" s="2449">
        <f>IF(A1018='Data Entry - SOF'!B$2,'Data Entry - SOF'!G$64,0)</f>
        <v>0</v>
      </c>
      <c r="M1018" s="1371">
        <f t="shared" si="184"/>
        <v>7725860</v>
      </c>
      <c r="N1018" s="2212" t="e">
        <f>IF('Report-M&amp;O1920'!C$18-'Report-SOF1920'!D$55&lt;=0,0,'Report-M&amp;O1920'!C$18-'Report-SOF1920'!D$55)</f>
        <v>#DIV/0!</v>
      </c>
      <c r="O1018" s="2452" t="e">
        <f t="shared" si="185"/>
        <v>#DIV/0!</v>
      </c>
      <c r="P1018" s="2449">
        <f>IF(A1018='Data Entry - SOF'!B$2,'Data Entry - SOF'!I$64,0)</f>
        <v>0</v>
      </c>
      <c r="Q1018" s="1687">
        <f t="shared" si="180"/>
        <v>7725860</v>
      </c>
      <c r="R1018" s="2212" t="e">
        <f>IF('Report-M&amp;O2021'!C$18-'Report-SOF2021'!D$55&lt;=0,0,'Report-M&amp;O2021'!C$18-'Report-SOF2021'!D$55)</f>
        <v>#DIV/0!</v>
      </c>
      <c r="S1018" s="2452" t="e">
        <f t="shared" si="186"/>
        <v>#DIV/0!</v>
      </c>
      <c r="T1018" s="1708">
        <f>IF(A1018='Data Entry - SOF'!B$2,'Data Entry - SOF'!K$64,0)</f>
        <v>0</v>
      </c>
      <c r="U1018" s="1687">
        <f t="shared" si="190"/>
        <v>7725860</v>
      </c>
      <c r="V1018" s="2212" t="e">
        <f>IF('Report-M&amp;O2122'!C$18-'Report-SOF2122'!D$55&lt;=0,0,'Report-M&amp;O2122'!C$18-'Report-SOF2122'!D$55)</f>
        <v>#DIV/0!</v>
      </c>
      <c r="W1018" s="2452" t="e">
        <f t="shared" si="187"/>
        <v>#DIV/0!</v>
      </c>
      <c r="X1018" s="1708">
        <f>IF(A1018='Data Entry - SOF'!B$2,'Data Entry - SOF'!M$64,0)</f>
        <v>0</v>
      </c>
      <c r="Y1018" s="1371" t="e">
        <f t="shared" si="188"/>
        <v>#DIV/0!</v>
      </c>
      <c r="Z1018" s="2212" t="e">
        <f>IF('Report-M&amp;O2223'!C$18-'Report-SOF2223'!D$55&lt;=0,0,'Report-M&amp;O2223'!C$18-'Report-SOF2223'!D$55)</f>
        <v>#DIV/0!</v>
      </c>
      <c r="AA1018" s="1708">
        <f>IF(A1018='Data Entry - SOF'!B$2,'Data Entry - SOF'!O$64,0)</f>
        <v>0</v>
      </c>
    </row>
    <row r="1019" spans="1:27" ht="15.75">
      <c r="A1019" s="1076" t="s">
        <v>556</v>
      </c>
      <c r="B1019">
        <v>24630935</v>
      </c>
      <c r="C1019" s="2452" t="e">
        <f>#REF!+#REF!</f>
        <v>#REF!</v>
      </c>
      <c r="D1019" s="2449">
        <f>IF(A1019='Data Entry - SOF'!B$2,'Data Entry - SOF'!C$64,0)</f>
        <v>0</v>
      </c>
      <c r="E1019" s="2450">
        <f t="shared" si="189"/>
        <v>24630935</v>
      </c>
      <c r="F1019" s="2212" t="e">
        <f>IF('Report-M&amp;O1718'!C$18-'Report-SOF1718'!D$55&lt;=0,0,'Report-M&amp;O1718'!C$18-'Report-SOF1718'!D$55)</f>
        <v>#DIV/0!</v>
      </c>
      <c r="G1019" s="2452" t="e">
        <f t="shared" si="181"/>
        <v>#DIV/0!</v>
      </c>
      <c r="H1019" s="2449">
        <f>IF(A1019='Data Entry - SOF'!B$2,'Data Entry - SOF'!E$64,0)</f>
        <v>0</v>
      </c>
      <c r="I1019" s="1687">
        <f t="shared" si="182"/>
        <v>24630935</v>
      </c>
      <c r="J1019" s="2212" t="e">
        <f>IF('Report-M&amp;O1819'!C$18-'Report-SOF1819'!D$55&lt;=0,0,'Report-M&amp;O1819'!C$18-'Report-SOF1819'!D$55)</f>
        <v>#DIV/0!</v>
      </c>
      <c r="K1019" s="2452" t="e">
        <f t="shared" si="183"/>
        <v>#DIV/0!</v>
      </c>
      <c r="L1019" s="2449">
        <f>IF(A1019='Data Entry - SOF'!B$2,'Data Entry - SOF'!G$64,0)</f>
        <v>0</v>
      </c>
      <c r="M1019" s="1371">
        <f t="shared" si="184"/>
        <v>24630935</v>
      </c>
      <c r="N1019" s="2212" t="e">
        <f>IF('Report-M&amp;O1920'!C$18-'Report-SOF1920'!D$55&lt;=0,0,'Report-M&amp;O1920'!C$18-'Report-SOF1920'!D$55)</f>
        <v>#DIV/0!</v>
      </c>
      <c r="O1019" s="2452" t="e">
        <f t="shared" si="185"/>
        <v>#DIV/0!</v>
      </c>
      <c r="P1019" s="2449">
        <f>IF(A1019='Data Entry - SOF'!B$2,'Data Entry - SOF'!I$64,0)</f>
        <v>0</v>
      </c>
      <c r="Q1019" s="1687">
        <f t="shared" si="180"/>
        <v>24630935</v>
      </c>
      <c r="R1019" s="2212" t="e">
        <f>IF('Report-M&amp;O2021'!C$18-'Report-SOF2021'!D$55&lt;=0,0,'Report-M&amp;O2021'!C$18-'Report-SOF2021'!D$55)</f>
        <v>#DIV/0!</v>
      </c>
      <c r="S1019" s="2452" t="e">
        <f t="shared" si="186"/>
        <v>#DIV/0!</v>
      </c>
      <c r="T1019" s="1708">
        <f>IF(A1019='Data Entry - SOF'!B$2,'Data Entry - SOF'!K$64,0)</f>
        <v>0</v>
      </c>
      <c r="U1019" s="1687">
        <f t="shared" si="190"/>
        <v>24630935</v>
      </c>
      <c r="V1019" s="2212" t="e">
        <f>IF('Report-M&amp;O2122'!C$18-'Report-SOF2122'!D$55&lt;=0,0,'Report-M&amp;O2122'!C$18-'Report-SOF2122'!D$55)</f>
        <v>#DIV/0!</v>
      </c>
      <c r="W1019" s="2452" t="e">
        <f t="shared" si="187"/>
        <v>#DIV/0!</v>
      </c>
      <c r="X1019" s="1708">
        <f>IF(A1019='Data Entry - SOF'!B$2,'Data Entry - SOF'!M$64,0)</f>
        <v>0</v>
      </c>
      <c r="Y1019" s="1371" t="e">
        <f t="shared" si="188"/>
        <v>#DIV/0!</v>
      </c>
      <c r="Z1019" s="2212" t="e">
        <f>IF('Report-M&amp;O2223'!C$18-'Report-SOF2223'!D$55&lt;=0,0,'Report-M&amp;O2223'!C$18-'Report-SOF2223'!D$55)</f>
        <v>#DIV/0!</v>
      </c>
      <c r="AA1019" s="1708">
        <f>IF(A1019='Data Entry - SOF'!B$2,'Data Entry - SOF'!O$64,0)</f>
        <v>0</v>
      </c>
    </row>
    <row r="1020" spans="1:27" ht="15.75">
      <c r="A1020" s="1076" t="s">
        <v>2760</v>
      </c>
      <c r="B1020">
        <v>15129059</v>
      </c>
      <c r="C1020" s="2452" t="e">
        <f>#REF!+#REF!</f>
        <v>#REF!</v>
      </c>
      <c r="D1020" s="2449">
        <f>IF(A1020='Data Entry - SOF'!B$2,'Data Entry - SOF'!C$64,0)</f>
        <v>0</v>
      </c>
      <c r="E1020" s="2450">
        <f t="shared" si="189"/>
        <v>15129059</v>
      </c>
      <c r="F1020" s="2212" t="e">
        <f>IF('Report-M&amp;O1718'!C$18-'Report-SOF1718'!D$55&lt;=0,0,'Report-M&amp;O1718'!C$18-'Report-SOF1718'!D$55)</f>
        <v>#DIV/0!</v>
      </c>
      <c r="G1020" s="2452" t="e">
        <f t="shared" si="181"/>
        <v>#DIV/0!</v>
      </c>
      <c r="H1020" s="2449">
        <f>IF(A1020='Data Entry - SOF'!B$2,'Data Entry - SOF'!E$64,0)</f>
        <v>0</v>
      </c>
      <c r="I1020" s="1687">
        <f t="shared" si="182"/>
        <v>15129059</v>
      </c>
      <c r="J1020" s="2212" t="e">
        <f>IF('Report-M&amp;O1819'!C$18-'Report-SOF1819'!D$55&lt;=0,0,'Report-M&amp;O1819'!C$18-'Report-SOF1819'!D$55)</f>
        <v>#DIV/0!</v>
      </c>
      <c r="K1020" s="2452" t="e">
        <f t="shared" si="183"/>
        <v>#DIV/0!</v>
      </c>
      <c r="L1020" s="2449">
        <f>IF(A1020='Data Entry - SOF'!B$2,'Data Entry - SOF'!G$64,0)</f>
        <v>0</v>
      </c>
      <c r="M1020" s="1371">
        <f t="shared" si="184"/>
        <v>15129059</v>
      </c>
      <c r="N1020" s="2212" t="e">
        <f>IF('Report-M&amp;O1920'!C$18-'Report-SOF1920'!D$55&lt;=0,0,'Report-M&amp;O1920'!C$18-'Report-SOF1920'!D$55)</f>
        <v>#DIV/0!</v>
      </c>
      <c r="O1020" s="2452" t="e">
        <f t="shared" si="185"/>
        <v>#DIV/0!</v>
      </c>
      <c r="P1020" s="2449">
        <f>IF(A1020='Data Entry - SOF'!B$2,'Data Entry - SOF'!I$64,0)</f>
        <v>0</v>
      </c>
      <c r="Q1020" s="1687">
        <f>M1020-P1020</f>
        <v>15129059</v>
      </c>
      <c r="R1020" s="2212" t="e">
        <f>IF('Report-M&amp;O2021'!C$18-'Report-SOF2021'!D$55&lt;=0,0,'Report-M&amp;O2021'!C$18-'Report-SOF2021'!D$55)</f>
        <v>#DIV/0!</v>
      </c>
      <c r="S1020" s="2452" t="e">
        <f t="shared" si="186"/>
        <v>#DIV/0!</v>
      </c>
      <c r="T1020" s="1708">
        <f>IF(A1020='Data Entry - SOF'!B$2,'Data Entry - SOF'!K$64,0)</f>
        <v>0</v>
      </c>
      <c r="U1020" s="1687">
        <f>Q1020-T1020</f>
        <v>15129059</v>
      </c>
      <c r="V1020" s="2212" t="e">
        <f>IF('Report-M&amp;O2122'!C$18-'Report-SOF2122'!D$55&lt;=0,0,'Report-M&amp;O2122'!C$18-'Report-SOF2122'!D$55)</f>
        <v>#DIV/0!</v>
      </c>
      <c r="W1020" s="2452" t="e">
        <f t="shared" si="187"/>
        <v>#DIV/0!</v>
      </c>
      <c r="X1020" s="1708">
        <f>IF(A1020='Data Entry - SOF'!B$2,'Data Entry - SOF'!M$64,0)</f>
        <v>0</v>
      </c>
      <c r="Y1020" s="1371" t="e">
        <f t="shared" si="188"/>
        <v>#DIV/0!</v>
      </c>
      <c r="Z1020" s="2212" t="e">
        <f>IF('Report-M&amp;O2223'!C$18-'Report-SOF2223'!D$55&lt;=0,0,'Report-M&amp;O2223'!C$18-'Report-SOF2223'!D$55)</f>
        <v>#DIV/0!</v>
      </c>
      <c r="AA1020" s="1708">
        <f>IF(A1020='Data Entry - SOF'!B$2,'Data Entry - SOF'!O$64,0)</f>
        <v>0</v>
      </c>
    </row>
    <row r="1021" spans="1:27" ht="15.75">
      <c r="A1021" s="1076" t="s">
        <v>1901</v>
      </c>
      <c r="B1021">
        <v>726471</v>
      </c>
      <c r="C1021" s="2452" t="e">
        <f>#REF!+#REF!</f>
        <v>#REF!</v>
      </c>
      <c r="D1021" s="2449">
        <f>IF(A1021='Data Entry - SOF'!B$2,'Data Entry - SOF'!C$64,0)</f>
        <v>0</v>
      </c>
      <c r="E1021" s="2450">
        <f t="shared" si="189"/>
        <v>726471</v>
      </c>
      <c r="F1021" s="2212" t="e">
        <f>IF('Report-M&amp;O1718'!C$18-'Report-SOF1718'!D$55&lt;=0,0,'Report-M&amp;O1718'!C$18-'Report-SOF1718'!D$55)</f>
        <v>#DIV/0!</v>
      </c>
      <c r="G1021" s="2452" t="e">
        <f t="shared" si="181"/>
        <v>#DIV/0!</v>
      </c>
      <c r="H1021" s="2449">
        <f>IF(A1021='Data Entry - SOF'!B$2,'Data Entry - SOF'!E$64,0)</f>
        <v>0</v>
      </c>
      <c r="I1021" s="1687">
        <f t="shared" si="182"/>
        <v>726471</v>
      </c>
      <c r="J1021" s="2212" t="e">
        <f>IF('Report-M&amp;O1819'!C$18-'Report-SOF1819'!D$55&lt;=0,0,'Report-M&amp;O1819'!C$18-'Report-SOF1819'!D$55)</f>
        <v>#DIV/0!</v>
      </c>
      <c r="K1021" s="2452" t="e">
        <f t="shared" si="183"/>
        <v>#DIV/0!</v>
      </c>
      <c r="L1021" s="2449">
        <f>IF(A1021='Data Entry - SOF'!B$2,'Data Entry - SOF'!G$64,0)</f>
        <v>0</v>
      </c>
      <c r="M1021" s="1371">
        <f t="shared" si="184"/>
        <v>726471</v>
      </c>
      <c r="N1021" s="2212" t="e">
        <f>IF('Report-M&amp;O1920'!C$18-'Report-SOF1920'!D$55&lt;=0,0,'Report-M&amp;O1920'!C$18-'Report-SOF1920'!D$55)</f>
        <v>#DIV/0!</v>
      </c>
      <c r="O1021" s="2452" t="e">
        <f t="shared" si="185"/>
        <v>#DIV/0!</v>
      </c>
      <c r="P1021" s="2449">
        <f>IF(A1021='Data Entry - SOF'!B$2,'Data Entry - SOF'!I$64,0)</f>
        <v>0</v>
      </c>
      <c r="Q1021" s="1687">
        <f>M1021-P1021</f>
        <v>726471</v>
      </c>
      <c r="R1021" s="2212" t="e">
        <f>IF('Report-M&amp;O2021'!C$18-'Report-SOF2021'!D$55&lt;=0,0,'Report-M&amp;O2021'!C$18-'Report-SOF2021'!D$55)</f>
        <v>#DIV/0!</v>
      </c>
      <c r="S1021" s="2452" t="e">
        <f t="shared" si="186"/>
        <v>#DIV/0!</v>
      </c>
      <c r="T1021" s="1708">
        <f>IF(A1021='Data Entry - SOF'!B$2,'Data Entry - SOF'!K$64,0)</f>
        <v>0</v>
      </c>
      <c r="U1021" s="1687">
        <f>Q1021-T1021</f>
        <v>726471</v>
      </c>
      <c r="V1021" s="2212" t="e">
        <f>IF('Report-M&amp;O2122'!C$18-'Report-SOF2122'!D$55&lt;=0,0,'Report-M&amp;O2122'!C$18-'Report-SOF2122'!D$55)</f>
        <v>#DIV/0!</v>
      </c>
      <c r="W1021" s="2452" t="e">
        <f t="shared" si="187"/>
        <v>#DIV/0!</v>
      </c>
      <c r="X1021" s="1708">
        <f>IF(A1021='Data Entry - SOF'!B$2,'Data Entry - SOF'!M$64,0)</f>
        <v>0</v>
      </c>
      <c r="Y1021" s="1371" t="e">
        <f t="shared" si="188"/>
        <v>#DIV/0!</v>
      </c>
      <c r="Z1021" s="2212" t="e">
        <f>IF('Report-M&amp;O2223'!C$18-'Report-SOF2223'!D$55&lt;=0,0,'Report-M&amp;O2223'!C$18-'Report-SOF2223'!D$55)</f>
        <v>#DIV/0!</v>
      </c>
      <c r="AA1021" s="1708">
        <f>IF(A1021='Data Entry - SOF'!B$2,'Data Entry - SOF'!O$64,0)</f>
        <v>0</v>
      </c>
    </row>
    <row r="1024" spans="1:27" s="72" customFormat="1">
      <c r="A1024" s="72">
        <v>1</v>
      </c>
      <c r="C1024" s="2453">
        <v>4</v>
      </c>
      <c r="D1024" s="424">
        <v>5</v>
      </c>
      <c r="E1024" s="424">
        <v>6</v>
      </c>
      <c r="F1024" s="424">
        <v>7</v>
      </c>
      <c r="G1024" s="2453">
        <v>8</v>
      </c>
      <c r="H1024" s="424">
        <v>9</v>
      </c>
      <c r="I1024">
        <v>10</v>
      </c>
      <c r="J1024" s="424">
        <v>11</v>
      </c>
      <c r="K1024" s="2453">
        <v>12</v>
      </c>
      <c r="L1024" s="424">
        <v>13</v>
      </c>
      <c r="M1024" s="424">
        <v>14</v>
      </c>
      <c r="N1024" s="424">
        <v>15</v>
      </c>
      <c r="O1024" s="2453">
        <v>16</v>
      </c>
      <c r="P1024" s="424">
        <v>17</v>
      </c>
      <c r="Q1024">
        <v>18</v>
      </c>
      <c r="R1024" s="424">
        <v>19</v>
      </c>
      <c r="S1024" s="2453">
        <v>20</v>
      </c>
      <c r="T1024" s="424">
        <v>21</v>
      </c>
      <c r="U1024">
        <v>22</v>
      </c>
      <c r="V1024" s="424">
        <v>23</v>
      </c>
      <c r="W1024" s="2453">
        <v>24</v>
      </c>
      <c r="X1024" s="424">
        <v>24</v>
      </c>
      <c r="Y1024" s="424">
        <v>25</v>
      </c>
      <c r="Z1024" s="424">
        <v>23</v>
      </c>
      <c r="AA1024" s="424">
        <v>24</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40625" style="2564"/>
    <col min="2" max="2" width="26.85546875" style="2564" customWidth="1"/>
  </cols>
  <sheetData>
    <row r="1" spans="1:2" ht="14.25">
      <c r="A1" s="2561" t="s">
        <v>2102</v>
      </c>
      <c r="B1" s="2562">
        <v>4897929</v>
      </c>
    </row>
    <row r="2" spans="1:2" ht="14.25">
      <c r="A2" s="2561" t="s">
        <v>2839</v>
      </c>
      <c r="B2" s="2563">
        <v>235860</v>
      </c>
    </row>
    <row r="3" spans="1:2" ht="14.25">
      <c r="A3" s="2561" t="s">
        <v>3048</v>
      </c>
      <c r="B3" s="2563">
        <v>147601</v>
      </c>
    </row>
    <row r="4" spans="1:2" ht="14.25">
      <c r="A4" s="2561" t="s">
        <v>1378</v>
      </c>
      <c r="B4" s="2563">
        <v>265999</v>
      </c>
    </row>
    <row r="5" spans="1:2" ht="14.25">
      <c r="A5" s="2561" t="s">
        <v>443</v>
      </c>
      <c r="B5" s="2563">
        <v>47558</v>
      </c>
    </row>
    <row r="6" spans="1:2" ht="14.25">
      <c r="A6" s="2561" t="s">
        <v>745</v>
      </c>
      <c r="B6" s="2562">
        <v>532938</v>
      </c>
    </row>
    <row r="7" spans="1:2" ht="14.25">
      <c r="A7" s="2561" t="s">
        <v>2050</v>
      </c>
      <c r="B7" s="2562">
        <v>42792</v>
      </c>
    </row>
    <row r="8" spans="1:2" ht="14.25">
      <c r="A8" s="2561" t="s">
        <v>2789</v>
      </c>
      <c r="B8" s="2563">
        <v>573498</v>
      </c>
    </row>
    <row r="9" spans="1:2" ht="14.25">
      <c r="A9" s="2561" t="s">
        <v>2907</v>
      </c>
      <c r="B9" s="2563">
        <v>158442</v>
      </c>
    </row>
    <row r="10" spans="1:2" ht="14.25">
      <c r="A10" s="2561" t="s">
        <v>899</v>
      </c>
      <c r="B10" s="2563">
        <v>866449</v>
      </c>
    </row>
    <row r="11" spans="1:2" ht="14.25">
      <c r="A11" s="2561" t="s">
        <v>1780</v>
      </c>
      <c r="B11" s="2562">
        <v>10000000</v>
      </c>
    </row>
    <row r="12" spans="1:2" ht="14.25">
      <c r="A12" s="2561" t="s">
        <v>281</v>
      </c>
      <c r="B12" s="2563">
        <v>2996267</v>
      </c>
    </row>
    <row r="13" spans="1:2" ht="14.25">
      <c r="A13" s="2561" t="s">
        <v>779</v>
      </c>
      <c r="B13" s="2562">
        <v>2384608</v>
      </c>
    </row>
    <row r="14" spans="1:2" ht="14.25">
      <c r="A14" s="2561" t="s">
        <v>780</v>
      </c>
      <c r="B14" s="2563">
        <v>670960</v>
      </c>
    </row>
    <row r="15" spans="1:2" ht="14.25">
      <c r="A15" s="2561" t="s">
        <v>3087</v>
      </c>
      <c r="B15" s="2562">
        <v>223666</v>
      </c>
    </row>
    <row r="16" spans="1:2" ht="14.25">
      <c r="A16" s="2561" t="s">
        <v>278</v>
      </c>
      <c r="B16" s="2562">
        <v>165742</v>
      </c>
    </row>
    <row r="17" spans="1:2" ht="14.25">
      <c r="A17" s="2561" t="s">
        <v>279</v>
      </c>
      <c r="B17" s="2563">
        <v>416625</v>
      </c>
    </row>
    <row r="18" spans="1:2" ht="14.25">
      <c r="A18" s="2561" t="s">
        <v>408</v>
      </c>
      <c r="B18" s="2563">
        <v>117181</v>
      </c>
    </row>
    <row r="19" spans="1:2" ht="14.25">
      <c r="A19" s="2561" t="s">
        <v>815</v>
      </c>
      <c r="B19" s="2562">
        <v>1573966</v>
      </c>
    </row>
    <row r="20" spans="1:2" ht="14.25">
      <c r="A20" s="2561" t="s">
        <v>242</v>
      </c>
      <c r="B20" s="2563">
        <v>1634930</v>
      </c>
    </row>
    <row r="21" spans="1:2" ht="14.25">
      <c r="A21" s="2561" t="s">
        <v>1590</v>
      </c>
      <c r="B21" s="2562">
        <v>6859275</v>
      </c>
    </row>
    <row r="22" spans="1:2" ht="14.25">
      <c r="A22" s="2561" t="s">
        <v>330</v>
      </c>
      <c r="B22" s="2563">
        <v>25323</v>
      </c>
    </row>
    <row r="23" spans="1:2" ht="14.25">
      <c r="A23" s="2561" t="s">
        <v>203</v>
      </c>
      <c r="B23" s="2562">
        <v>224322</v>
      </c>
    </row>
    <row r="24" spans="1:2" ht="14.25">
      <c r="A24" s="2561" t="s">
        <v>2976</v>
      </c>
      <c r="B24" s="2562">
        <v>338180</v>
      </c>
    </row>
    <row r="25" spans="1:2" ht="14.25">
      <c r="A25" s="2561" t="s">
        <v>2091</v>
      </c>
      <c r="B25" s="2562">
        <v>12539</v>
      </c>
    </row>
    <row r="26" spans="1:2" ht="14.25">
      <c r="A26" s="2561" t="s">
        <v>1478</v>
      </c>
      <c r="B26" s="2562">
        <v>1356272</v>
      </c>
    </row>
    <row r="27" spans="1:2" ht="14.25">
      <c r="A27" s="2561" t="s">
        <v>2192</v>
      </c>
      <c r="B27" s="2563">
        <v>1741054</v>
      </c>
    </row>
    <row r="28" spans="1:2" ht="14.25">
      <c r="A28" s="2561" t="s">
        <v>2199</v>
      </c>
      <c r="B28" s="2562">
        <v>176594</v>
      </c>
    </row>
    <row r="29" spans="1:2" ht="14.25">
      <c r="A29" s="2561" t="s">
        <v>2200</v>
      </c>
      <c r="B29" s="2563">
        <v>423567</v>
      </c>
    </row>
    <row r="30" spans="1:2" ht="14.25">
      <c r="A30" s="2561" t="s">
        <v>2420</v>
      </c>
      <c r="B30" s="2562">
        <v>132060</v>
      </c>
    </row>
    <row r="31" spans="1:2" ht="14.25">
      <c r="A31" s="2561" t="s">
        <v>863</v>
      </c>
      <c r="B31" s="2563">
        <v>1415909</v>
      </c>
    </row>
    <row r="32" spans="1:2" ht="14.25">
      <c r="A32" s="2561" t="s">
        <v>1636</v>
      </c>
      <c r="B32" s="2562">
        <v>126847</v>
      </c>
    </row>
    <row r="33" spans="1:2" ht="14.25">
      <c r="A33" s="2561" t="s">
        <v>2794</v>
      </c>
      <c r="B33" s="2562">
        <v>1517955</v>
      </c>
    </row>
    <row r="34" spans="1:2" ht="14.25">
      <c r="A34" s="2561" t="s">
        <v>2118</v>
      </c>
      <c r="B34" s="2563">
        <v>499637</v>
      </c>
    </row>
    <row r="35" spans="1:2" ht="14.25">
      <c r="A35" s="2561" t="s">
        <v>2119</v>
      </c>
      <c r="B35" s="2563">
        <v>250446</v>
      </c>
    </row>
    <row r="36" spans="1:2" ht="14.25">
      <c r="A36" s="2561" t="s">
        <v>2313</v>
      </c>
      <c r="B36" s="2562">
        <v>56428</v>
      </c>
    </row>
    <row r="37" spans="1:2" ht="14.25">
      <c r="A37" s="2561" t="s">
        <v>898</v>
      </c>
      <c r="B37" s="2562">
        <v>81172</v>
      </c>
    </row>
    <row r="38" spans="1:2" ht="14.25">
      <c r="A38" s="2561" t="s">
        <v>2456</v>
      </c>
      <c r="B38" s="2562">
        <v>84104</v>
      </c>
    </row>
    <row r="39" spans="1:2" ht="14.25">
      <c r="A39" s="2561" t="s">
        <v>2674</v>
      </c>
      <c r="B39" s="2562">
        <v>655329</v>
      </c>
    </row>
    <row r="40" spans="1:2" ht="14.25">
      <c r="A40" s="2561" t="s">
        <v>1281</v>
      </c>
      <c r="B40" s="2563">
        <v>194031</v>
      </c>
    </row>
    <row r="41" spans="1:2" ht="14.25">
      <c r="A41" s="2561" t="s">
        <v>2222</v>
      </c>
      <c r="B41" s="2562">
        <v>1537873</v>
      </c>
    </row>
    <row r="42" spans="1:2" ht="14.25">
      <c r="A42" s="2561" t="s">
        <v>1694</v>
      </c>
      <c r="B42" s="2562">
        <v>949343</v>
      </c>
    </row>
    <row r="43" spans="1:2" ht="14.25">
      <c r="A43" s="2561" t="s">
        <v>1918</v>
      </c>
      <c r="B43" s="2562">
        <v>1102263</v>
      </c>
    </row>
    <row r="44" spans="1:2" ht="14.25">
      <c r="A44" s="2561" t="s">
        <v>555</v>
      </c>
      <c r="B44" s="2563">
        <v>39553</v>
      </c>
    </row>
    <row r="45" spans="1:2" ht="14.25">
      <c r="A45" s="2561" t="s">
        <v>1411</v>
      </c>
      <c r="B45" s="2563">
        <v>1338902</v>
      </c>
    </row>
    <row r="46" spans="1:2" ht="14.25">
      <c r="A46" s="2561" t="s">
        <v>1413</v>
      </c>
      <c r="B46" s="2562">
        <v>163123</v>
      </c>
    </row>
    <row r="47" spans="1:2" ht="14.25">
      <c r="A47" s="2561" t="s">
        <v>3077</v>
      </c>
      <c r="B47" s="2562">
        <v>90071</v>
      </c>
    </row>
    <row r="48" spans="1:2" ht="14.25">
      <c r="A48" s="2561" t="s">
        <v>2455</v>
      </c>
      <c r="B48" s="2562">
        <v>145496</v>
      </c>
    </row>
    <row r="49" spans="1:2" ht="14.25">
      <c r="A49" s="2561" t="s">
        <v>1429</v>
      </c>
      <c r="B49" s="2563">
        <v>205935</v>
      </c>
    </row>
    <row r="50" spans="1:2" ht="14.25">
      <c r="A50" s="2561" t="s">
        <v>1040</v>
      </c>
      <c r="B50" s="2562">
        <v>547689</v>
      </c>
    </row>
    <row r="51" spans="1:2" ht="14.25">
      <c r="A51" s="2561" t="s">
        <v>3044</v>
      </c>
      <c r="B51" s="2563">
        <v>21837</v>
      </c>
    </row>
    <row r="52" spans="1:2" ht="14.25">
      <c r="A52" s="2561" t="s">
        <v>1435</v>
      </c>
      <c r="B52" s="2563">
        <v>2052388</v>
      </c>
    </row>
    <row r="53" spans="1:2" ht="14.25">
      <c r="A53" s="2561" t="s">
        <v>2649</v>
      </c>
      <c r="B53" s="2562">
        <v>226752</v>
      </c>
    </row>
    <row r="54" spans="1:2" ht="14.25">
      <c r="A54" s="2561" t="s">
        <v>2913</v>
      </c>
      <c r="B54" s="2562">
        <v>88802</v>
      </c>
    </row>
    <row r="55" spans="1:2" ht="14.25">
      <c r="A55" s="2561" t="s">
        <v>1727</v>
      </c>
      <c r="B55" s="2563">
        <v>636831</v>
      </c>
    </row>
    <row r="56" spans="1:2" ht="14.25">
      <c r="A56" s="2561" t="s">
        <v>431</v>
      </c>
      <c r="B56" s="2562">
        <v>1069856</v>
      </c>
    </row>
    <row r="57" spans="1:2" ht="14.25">
      <c r="A57" s="2561" t="s">
        <v>2588</v>
      </c>
      <c r="B57" s="2562">
        <v>37167</v>
      </c>
    </row>
    <row r="58" spans="1:2" ht="14.25">
      <c r="A58" s="2561" t="s">
        <v>2591</v>
      </c>
      <c r="B58" s="2562">
        <v>21697</v>
      </c>
    </row>
    <row r="59" spans="1:2" ht="14.25">
      <c r="A59" s="2561" t="s">
        <v>2783</v>
      </c>
      <c r="B59" s="2562">
        <v>85380</v>
      </c>
    </row>
    <row r="60" spans="1:2" ht="14.25">
      <c r="A60" s="2561" t="s">
        <v>2421</v>
      </c>
      <c r="B60" s="2562">
        <v>2481780</v>
      </c>
    </row>
    <row r="61" spans="1:2" ht="14.25">
      <c r="A61" s="2561" t="s">
        <v>2422</v>
      </c>
      <c r="B61" s="2563">
        <v>197824</v>
      </c>
    </row>
    <row r="62" spans="1:2" ht="14.25">
      <c r="A62" s="2561" t="s">
        <v>1513</v>
      </c>
      <c r="B62" s="2563">
        <v>1730595</v>
      </c>
    </row>
    <row r="63" spans="1:2" ht="14.25">
      <c r="A63" s="2561" t="s">
        <v>2926</v>
      </c>
      <c r="B63" s="2563">
        <v>308053</v>
      </c>
    </row>
    <row r="64" spans="1:2" ht="14.25">
      <c r="A64" s="2561" t="s">
        <v>2927</v>
      </c>
      <c r="B64" s="2562">
        <v>186548</v>
      </c>
    </row>
    <row r="65" spans="1:2" ht="14.25">
      <c r="A65" s="2561" t="s">
        <v>3056</v>
      </c>
      <c r="B65" s="2563">
        <v>216804</v>
      </c>
    </row>
    <row r="66" spans="1:2" ht="14.25">
      <c r="A66" s="2561" t="s">
        <v>419</v>
      </c>
      <c r="B66" s="2563">
        <v>56053</v>
      </c>
    </row>
    <row r="67" spans="1:2" ht="14.25">
      <c r="A67" s="2561" t="s">
        <v>420</v>
      </c>
      <c r="B67" s="2563">
        <v>287389</v>
      </c>
    </row>
    <row r="68" spans="1:2" ht="14.25">
      <c r="A68" s="2561" t="s">
        <v>201</v>
      </c>
      <c r="B68" s="2563">
        <v>808490</v>
      </c>
    </row>
    <row r="69" spans="1:2" ht="14.25">
      <c r="A69" s="2561" t="s">
        <v>2438</v>
      </c>
      <c r="B69" s="2563">
        <v>30631</v>
      </c>
    </row>
    <row r="70" spans="1:2" ht="14.25">
      <c r="A70" s="2561" t="s">
        <v>2439</v>
      </c>
      <c r="B70" s="2563">
        <v>1093436</v>
      </c>
    </row>
    <row r="71" spans="1:2" ht="14.25">
      <c r="A71" s="2561" t="s">
        <v>2384</v>
      </c>
      <c r="B71" s="2563">
        <v>965122</v>
      </c>
    </row>
    <row r="72" spans="1:2" ht="14.25">
      <c r="A72" s="2561" t="s">
        <v>2098</v>
      </c>
      <c r="B72" s="2563">
        <v>364</v>
      </c>
    </row>
    <row r="73" spans="1:2" ht="14.25">
      <c r="A73" s="2561" t="s">
        <v>1782</v>
      </c>
      <c r="B73" s="2562">
        <v>312013</v>
      </c>
    </row>
    <row r="74" spans="1:2" ht="14.25">
      <c r="A74" s="2561" t="s">
        <v>1676</v>
      </c>
      <c r="B74" s="2562">
        <v>1173979</v>
      </c>
    </row>
    <row r="75" spans="1:2" ht="14.25">
      <c r="A75" s="2561" t="s">
        <v>1686</v>
      </c>
      <c r="B75" s="2563">
        <v>93951</v>
      </c>
    </row>
    <row r="76" spans="1:2" ht="14.25">
      <c r="A76" s="2561" t="s">
        <v>570</v>
      </c>
      <c r="B76" s="2562">
        <v>545577</v>
      </c>
    </row>
    <row r="77" spans="1:2" ht="14.25">
      <c r="A77" s="2561" t="s">
        <v>803</v>
      </c>
      <c r="B77" s="2562">
        <v>109666</v>
      </c>
    </row>
    <row r="78" spans="1:2" ht="14.25">
      <c r="A78" s="2561" t="s">
        <v>574</v>
      </c>
      <c r="B78" s="2563">
        <v>106022</v>
      </c>
    </row>
    <row r="79" spans="1:2" ht="14.25">
      <c r="A79" s="2561" t="s">
        <v>2637</v>
      </c>
      <c r="B79" s="2563">
        <v>221845</v>
      </c>
    </row>
    <row r="80" spans="1:2" ht="14.25">
      <c r="A80" s="2561" t="s">
        <v>619</v>
      </c>
      <c r="B80" s="2562">
        <v>705152</v>
      </c>
    </row>
    <row r="81" spans="1:2" ht="14.25">
      <c r="A81" s="2561" t="s">
        <v>632</v>
      </c>
      <c r="B81" s="2563">
        <v>706160</v>
      </c>
    </row>
    <row r="82" spans="1:2" ht="14.25">
      <c r="A82" s="2561" t="s">
        <v>633</v>
      </c>
      <c r="B82" s="2562">
        <v>386992</v>
      </c>
    </row>
    <row r="83" spans="1:2" ht="14.25">
      <c r="A83" s="2561" t="s">
        <v>1531</v>
      </c>
      <c r="B83" s="2562">
        <v>45482</v>
      </c>
    </row>
    <row r="84" spans="1:2" ht="14.25">
      <c r="A84" s="2561" t="s">
        <v>1532</v>
      </c>
      <c r="B84" s="2562">
        <v>862468</v>
      </c>
    </row>
    <row r="85" spans="1:2" ht="14.25">
      <c r="A85" s="2561" t="s">
        <v>1533</v>
      </c>
      <c r="B85" s="2563">
        <v>1249671</v>
      </c>
    </row>
    <row r="86" spans="1:2" ht="14.25">
      <c r="A86" s="2561" t="s">
        <v>2974</v>
      </c>
      <c r="B86" s="2563">
        <v>328086</v>
      </c>
    </row>
    <row r="87" spans="1:2" ht="14.25">
      <c r="A87" s="2561" t="s">
        <v>2140</v>
      </c>
      <c r="B87" s="2563">
        <v>7741</v>
      </c>
    </row>
    <row r="88" spans="1:2" ht="14.25">
      <c r="A88" s="2561" t="s">
        <v>2625</v>
      </c>
      <c r="B88" s="2562">
        <v>1253703</v>
      </c>
    </row>
    <row r="89" spans="1:2" ht="14.25">
      <c r="A89" s="2561" t="s">
        <v>2614</v>
      </c>
      <c r="B89" s="2562">
        <v>923294</v>
      </c>
    </row>
    <row r="90" spans="1:2" ht="14.25">
      <c r="A90" s="2561" t="s">
        <v>245</v>
      </c>
      <c r="B90" s="2562">
        <v>456979</v>
      </c>
    </row>
    <row r="91" spans="1:2" ht="14.25">
      <c r="A91" s="2561" t="s">
        <v>2883</v>
      </c>
      <c r="B91" s="2562">
        <v>859885</v>
      </c>
    </row>
    <row r="92" spans="1:2" ht="14.25">
      <c r="A92" s="2561" t="s">
        <v>1932</v>
      </c>
      <c r="B92" s="2562">
        <v>52156</v>
      </c>
    </row>
    <row r="93" spans="1:2" ht="14.25">
      <c r="A93" s="2561" t="s">
        <v>793</v>
      </c>
      <c r="B93" s="2563">
        <v>154056</v>
      </c>
    </row>
    <row r="94" spans="1:2" ht="14.25">
      <c r="A94" s="2561" t="s">
        <v>795</v>
      </c>
      <c r="B94" s="2563">
        <v>657388</v>
      </c>
    </row>
    <row r="95" spans="1:2" ht="14.25">
      <c r="A95" s="2561" t="s">
        <v>1644</v>
      </c>
      <c r="B95" s="2562">
        <v>350719</v>
      </c>
    </row>
    <row r="96" spans="1:2" ht="14.25">
      <c r="A96" s="2561" t="s">
        <v>1645</v>
      </c>
      <c r="B96" s="2563">
        <v>570767</v>
      </c>
    </row>
    <row r="97" spans="1:2" ht="14.25">
      <c r="A97" s="2561" t="s">
        <v>1647</v>
      </c>
      <c r="B97" s="2563">
        <v>2604031</v>
      </c>
    </row>
    <row r="98" spans="1:2" ht="14.25">
      <c r="A98" s="2561" t="s">
        <v>1559</v>
      </c>
      <c r="B98" s="2562">
        <v>3803929</v>
      </c>
    </row>
    <row r="99" spans="1:2" ht="14.25">
      <c r="A99" s="2561" t="s">
        <v>1662</v>
      </c>
      <c r="B99" s="2563">
        <v>207176</v>
      </c>
    </row>
    <row r="100" spans="1:2" ht="14.25">
      <c r="A100" s="2561" t="s">
        <v>1408</v>
      </c>
      <c r="B100" s="2562">
        <v>12041</v>
      </c>
    </row>
    <row r="101" spans="1:2" ht="14.25">
      <c r="A101" s="2561" t="s">
        <v>304</v>
      </c>
      <c r="B101" s="2562">
        <v>429598</v>
      </c>
    </row>
    <row r="102" spans="1:2" ht="14.25">
      <c r="A102" s="2561" t="s">
        <v>1136</v>
      </c>
      <c r="B102" s="2563">
        <v>33769</v>
      </c>
    </row>
    <row r="103" spans="1:2" ht="14.25">
      <c r="A103" s="2561" t="s">
        <v>1518</v>
      </c>
      <c r="B103" s="2562">
        <v>601438</v>
      </c>
    </row>
    <row r="104" spans="1:2" ht="14.25">
      <c r="A104" s="2561" t="s">
        <v>2979</v>
      </c>
      <c r="B104" s="2562">
        <v>240420</v>
      </c>
    </row>
    <row r="105" spans="1:2" ht="14.25">
      <c r="A105" s="2561" t="s">
        <v>850</v>
      </c>
      <c r="B105" s="2563">
        <v>1469368</v>
      </c>
    </row>
    <row r="106" spans="1:2" ht="14.25">
      <c r="A106" s="2561" t="s">
        <v>3053</v>
      </c>
      <c r="B106" s="2563">
        <v>507439</v>
      </c>
    </row>
    <row r="107" spans="1:2" ht="14.25">
      <c r="A107" s="2561" t="s">
        <v>3055</v>
      </c>
      <c r="B107" s="2562">
        <v>196688</v>
      </c>
    </row>
    <row r="108" spans="1:2" ht="14.25">
      <c r="A108" s="2561" t="s">
        <v>293</v>
      </c>
      <c r="B108" s="2562">
        <v>1146883</v>
      </c>
    </row>
    <row r="109" spans="1:2" ht="14.25">
      <c r="A109" s="2561" t="s">
        <v>294</v>
      </c>
      <c r="B109" s="2563">
        <v>252839</v>
      </c>
    </row>
    <row r="110" spans="1:2" ht="14.25">
      <c r="A110" s="2561" t="s">
        <v>2804</v>
      </c>
      <c r="B110" s="2563">
        <v>253592</v>
      </c>
    </row>
    <row r="111" spans="1:2" ht="14.25">
      <c r="A111" s="2561" t="s">
        <v>1496</v>
      </c>
      <c r="B111" s="2562">
        <v>1660405</v>
      </c>
    </row>
    <row r="112" spans="1:2" ht="14.25">
      <c r="A112" s="2561" t="s">
        <v>2051</v>
      </c>
      <c r="B112" s="2563">
        <v>227327</v>
      </c>
    </row>
    <row r="113" spans="1:2" ht="14.25">
      <c r="A113" s="2561" t="s">
        <v>1232</v>
      </c>
      <c r="B113" s="2562">
        <v>543604</v>
      </c>
    </row>
    <row r="114" spans="1:2" ht="14.25">
      <c r="A114" s="2561" t="s">
        <v>1233</v>
      </c>
      <c r="B114" s="2563">
        <v>329891</v>
      </c>
    </row>
    <row r="115" spans="1:2" ht="14.25">
      <c r="A115" s="2561" t="s">
        <v>940</v>
      </c>
      <c r="B115" s="2563">
        <v>53314</v>
      </c>
    </row>
    <row r="116" spans="1:2" ht="14.25">
      <c r="A116" s="2561" t="s">
        <v>2992</v>
      </c>
      <c r="B116" s="2563">
        <v>50191</v>
      </c>
    </row>
    <row r="117" spans="1:2" ht="14.25">
      <c r="A117" s="2561" t="s">
        <v>695</v>
      </c>
      <c r="B117" s="2563">
        <v>218116</v>
      </c>
    </row>
    <row r="118" spans="1:2" ht="14.25">
      <c r="A118" s="2561" t="s">
        <v>1043</v>
      </c>
      <c r="B118" s="2563">
        <v>1103744</v>
      </c>
    </row>
    <row r="119" spans="1:2" ht="14.25">
      <c r="A119" s="2561" t="s">
        <v>1017</v>
      </c>
      <c r="B119" s="2563">
        <v>160297</v>
      </c>
    </row>
    <row r="120" spans="1:2" ht="14.25">
      <c r="A120" s="2561" t="s">
        <v>1940</v>
      </c>
      <c r="B120" s="2562">
        <v>320932</v>
      </c>
    </row>
    <row r="121" spans="1:2" ht="14.25">
      <c r="A121" s="2561" t="s">
        <v>2648</v>
      </c>
      <c r="B121" s="2563">
        <v>329026</v>
      </c>
    </row>
    <row r="122" spans="1:2" ht="14.25">
      <c r="A122" s="2561" t="s">
        <v>1534</v>
      </c>
      <c r="B122" s="2563">
        <v>29799</v>
      </c>
    </row>
    <row r="123" spans="1:2" ht="14.25">
      <c r="A123" s="2561" t="s">
        <v>11</v>
      </c>
      <c r="B123" s="2563">
        <v>922098</v>
      </c>
    </row>
    <row r="124" spans="1:2" ht="14.25">
      <c r="A124" s="2561" t="s">
        <v>1340</v>
      </c>
      <c r="B124" s="2562">
        <v>1182148</v>
      </c>
    </row>
    <row r="125" spans="1:2" ht="14.25">
      <c r="A125" s="2561" t="s">
        <v>904</v>
      </c>
      <c r="B125" s="2562">
        <v>254319</v>
      </c>
    </row>
    <row r="126" spans="1:2" ht="14.25">
      <c r="A126" s="2561" t="s">
        <v>2780</v>
      </c>
      <c r="B126" s="2562">
        <v>116600</v>
      </c>
    </row>
    <row r="127" spans="1:2" ht="14.25">
      <c r="A127" s="2561" t="s">
        <v>2781</v>
      </c>
      <c r="B127" s="2563">
        <v>762369</v>
      </c>
    </row>
    <row r="128" spans="1:2" ht="14.25">
      <c r="A128" s="2561" t="s">
        <v>2971</v>
      </c>
      <c r="B128" s="2562">
        <v>41299</v>
      </c>
    </row>
    <row r="129" spans="1:2" ht="14.25">
      <c r="A129" s="2561" t="s">
        <v>778</v>
      </c>
      <c r="B129" s="2562">
        <v>814428</v>
      </c>
    </row>
    <row r="130" spans="1:2" ht="14.25">
      <c r="A130" s="2561" t="s">
        <v>556</v>
      </c>
      <c r="B130" s="2563">
        <v>4139027</v>
      </c>
    </row>
    <row r="131" spans="1:2">
      <c r="B131" s="2565">
        <f>SUM(B1:B130)</f>
        <v>99999999</v>
      </c>
    </row>
  </sheetData>
  <pageMargins left="0.7" right="0.7" top="0.75" bottom="0.75" header="0.3" footer="0.3"/>
  <pageSetup orientation="portrait" horizontalDpi="90" verticalDpi="9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19"/>
    </sheetView>
  </sheetViews>
  <sheetFormatPr defaultRowHeight="15"/>
  <cols>
    <col min="2" max="2" width="38.28515625" style="2018" bestFit="1" customWidth="1"/>
    <col min="3" max="4" width="20.7109375" style="2018" customWidth="1"/>
    <col min="5" max="6" width="20.7109375" style="2022" customWidth="1"/>
    <col min="8" max="8" width="16.42578125" customWidth="1"/>
  </cols>
  <sheetData>
    <row r="1" spans="1:8" ht="16.5" thickBot="1">
      <c r="A1" s="1076" t="s">
        <v>225</v>
      </c>
      <c r="B1" s="2015" t="s">
        <v>310</v>
      </c>
      <c r="C1" s="2212">
        <v>279542374</v>
      </c>
      <c r="D1" s="2212">
        <v>279542374</v>
      </c>
      <c r="E1" s="2019">
        <v>280031557</v>
      </c>
      <c r="F1" s="2019">
        <v>280031557</v>
      </c>
      <c r="H1" s="2215">
        <f>C1-E1</f>
        <v>-489183</v>
      </c>
    </row>
    <row r="2" spans="1:8" ht="16.5" thickBot="1">
      <c r="A2" s="1076" t="s">
        <v>2228</v>
      </c>
      <c r="B2" s="2016" t="s">
        <v>311</v>
      </c>
      <c r="C2" s="2212">
        <v>305558569</v>
      </c>
      <c r="D2" s="2212">
        <v>305558569</v>
      </c>
      <c r="E2" s="2020">
        <v>305695522</v>
      </c>
      <c r="F2" s="2020">
        <v>305695522</v>
      </c>
      <c r="H2" s="2215">
        <f t="shared" ref="H2:H65" si="0">C2-E2</f>
        <v>-136953</v>
      </c>
    </row>
    <row r="3" spans="1:8" ht="16.5" thickBot="1">
      <c r="A3" s="1076" t="s">
        <v>15</v>
      </c>
      <c r="B3" s="2015" t="s">
        <v>312</v>
      </c>
      <c r="C3" s="2212">
        <v>267341743</v>
      </c>
      <c r="D3" s="2212">
        <v>267341743</v>
      </c>
      <c r="E3" s="2019">
        <v>267815625</v>
      </c>
      <c r="F3" s="2019">
        <v>267815625</v>
      </c>
      <c r="H3" s="2215">
        <f t="shared" si="0"/>
        <v>-473882</v>
      </c>
    </row>
    <row r="4" spans="1:8" ht="16.5" thickBot="1">
      <c r="A4" s="1076" t="s">
        <v>16</v>
      </c>
      <c r="B4" s="2016" t="s">
        <v>313</v>
      </c>
      <c r="C4" s="2212">
        <v>124247802</v>
      </c>
      <c r="D4" s="2212">
        <v>124247802</v>
      </c>
      <c r="E4" s="2020">
        <v>124514433</v>
      </c>
      <c r="F4" s="2020">
        <v>124514433</v>
      </c>
      <c r="H4" s="2215">
        <f t="shared" si="0"/>
        <v>-266631</v>
      </c>
    </row>
    <row r="5" spans="1:8" ht="16.5" thickBot="1">
      <c r="A5" s="1076" t="s">
        <v>17</v>
      </c>
      <c r="B5" s="2015" t="s">
        <v>314</v>
      </c>
      <c r="C5" s="2212">
        <v>1013726414</v>
      </c>
      <c r="D5" s="2212">
        <v>1013726414</v>
      </c>
      <c r="E5" s="2019">
        <v>1013889533</v>
      </c>
      <c r="F5" s="2019">
        <v>1013889533</v>
      </c>
      <c r="H5" s="2215">
        <f t="shared" si="0"/>
        <v>-163119</v>
      </c>
    </row>
    <row r="6" spans="1:8" ht="16.5" thickBot="1">
      <c r="A6" s="1076" t="s">
        <v>1254</v>
      </c>
      <c r="B6" s="2016" t="s">
        <v>1355</v>
      </c>
      <c r="C6" s="2212">
        <v>435661702</v>
      </c>
      <c r="D6" s="2212">
        <v>435661702</v>
      </c>
      <c r="E6" s="2020">
        <v>436256846</v>
      </c>
      <c r="F6" s="2020">
        <v>436256846</v>
      </c>
      <c r="H6" s="2215">
        <f t="shared" si="0"/>
        <v>-595144</v>
      </c>
    </row>
    <row r="7" spans="1:8" ht="16.5" thickBot="1">
      <c r="A7" s="1076" t="s">
        <v>1255</v>
      </c>
      <c r="B7" s="2015" t="s">
        <v>1356</v>
      </c>
      <c r="C7" s="2212">
        <v>123067370</v>
      </c>
      <c r="D7" s="2212">
        <v>123067370</v>
      </c>
      <c r="E7" s="2019">
        <v>123232267</v>
      </c>
      <c r="F7" s="2019">
        <v>123232267</v>
      </c>
      <c r="H7" s="2215">
        <f t="shared" si="0"/>
        <v>-164897</v>
      </c>
    </row>
    <row r="8" spans="1:8" ht="16.5" thickBot="1">
      <c r="A8" s="1076" t="s">
        <v>2102</v>
      </c>
      <c r="B8" s="2016" t="s">
        <v>1357</v>
      </c>
      <c r="C8" s="2212">
        <v>6814193469</v>
      </c>
      <c r="D8" s="2212">
        <v>6814193469</v>
      </c>
      <c r="E8" s="2020">
        <v>6814543666</v>
      </c>
      <c r="F8" s="2020">
        <v>6814543666</v>
      </c>
      <c r="H8" s="2215">
        <f t="shared" si="0"/>
        <v>-350197</v>
      </c>
    </row>
    <row r="9" spans="1:8" ht="16.5" thickBot="1">
      <c r="A9" s="1076" t="s">
        <v>774</v>
      </c>
      <c r="B9" s="2015" t="s">
        <v>2733</v>
      </c>
      <c r="C9" s="2212">
        <v>443656098</v>
      </c>
      <c r="D9" s="2212">
        <v>443656098</v>
      </c>
      <c r="E9" s="2019">
        <v>444290852</v>
      </c>
      <c r="F9" s="2019">
        <v>444290852</v>
      </c>
      <c r="H9" s="2215">
        <f t="shared" si="0"/>
        <v>-634754</v>
      </c>
    </row>
    <row r="10" spans="1:8" ht="16.5" thickBot="1">
      <c r="A10" s="1076" t="s">
        <v>1637</v>
      </c>
      <c r="B10" s="2016" t="s">
        <v>1358</v>
      </c>
      <c r="C10" s="2212">
        <v>2258225553</v>
      </c>
      <c r="D10" s="2212">
        <v>2258225553</v>
      </c>
      <c r="E10" s="2020">
        <v>2257681219</v>
      </c>
      <c r="F10" s="2020">
        <v>2257681219</v>
      </c>
      <c r="H10" s="2215">
        <f t="shared" si="0"/>
        <v>544334</v>
      </c>
    </row>
    <row r="11" spans="1:8" ht="16.5" thickBot="1">
      <c r="A11" s="1076" t="s">
        <v>1279</v>
      </c>
      <c r="B11" s="2015" t="s">
        <v>1438</v>
      </c>
      <c r="C11" s="2212">
        <v>249219426</v>
      </c>
      <c r="D11" s="2212">
        <v>249219426</v>
      </c>
      <c r="E11" s="2019">
        <v>250260773</v>
      </c>
      <c r="F11" s="2019">
        <v>250260773</v>
      </c>
      <c r="H11" s="2215">
        <f t="shared" si="0"/>
        <v>-1041347</v>
      </c>
    </row>
    <row r="12" spans="1:8" ht="16.5" thickBot="1">
      <c r="A12" s="1076" t="s">
        <v>369</v>
      </c>
      <c r="B12" s="2016" t="s">
        <v>1359</v>
      </c>
      <c r="C12" s="2212">
        <v>292484115</v>
      </c>
      <c r="D12" s="2212">
        <v>292484115</v>
      </c>
      <c r="E12" s="2020">
        <v>292674991</v>
      </c>
      <c r="F12" s="2020">
        <v>292674991</v>
      </c>
      <c r="H12" s="2215">
        <f t="shared" si="0"/>
        <v>-190876</v>
      </c>
    </row>
    <row r="13" spans="1:8" ht="16.5" thickBot="1">
      <c r="A13" s="1076" t="s">
        <v>370</v>
      </c>
      <c r="B13" s="2015" t="s">
        <v>1360</v>
      </c>
      <c r="C13" s="2212">
        <v>100146595</v>
      </c>
      <c r="D13" s="2212">
        <v>100146595</v>
      </c>
      <c r="E13" s="2019">
        <v>100961196</v>
      </c>
      <c r="F13" s="2019">
        <v>100961196</v>
      </c>
      <c r="H13" s="2215">
        <f t="shared" si="0"/>
        <v>-814601</v>
      </c>
    </row>
    <row r="14" spans="1:8" ht="16.5" thickBot="1">
      <c r="A14" s="1076" t="s">
        <v>371</v>
      </c>
      <c r="B14" s="2016" t="s">
        <v>1361</v>
      </c>
      <c r="C14" s="2212">
        <v>261671964</v>
      </c>
      <c r="D14" s="2212">
        <v>261671964</v>
      </c>
      <c r="E14" s="2020">
        <v>262373805</v>
      </c>
      <c r="F14" s="2020">
        <v>262373805</v>
      </c>
      <c r="H14" s="2215">
        <f t="shared" si="0"/>
        <v>-701841</v>
      </c>
    </row>
    <row r="15" spans="1:8" ht="16.5" thickBot="1">
      <c r="A15" s="1076" t="s">
        <v>2839</v>
      </c>
      <c r="B15" s="2015" t="s">
        <v>1362</v>
      </c>
      <c r="C15" s="2212">
        <v>2651598971</v>
      </c>
      <c r="D15" s="2212">
        <v>2651598971</v>
      </c>
      <c r="E15" s="2019">
        <v>2650810399</v>
      </c>
      <c r="F15" s="2019">
        <v>2650810399</v>
      </c>
      <c r="H15" s="2215">
        <f t="shared" si="0"/>
        <v>788572</v>
      </c>
    </row>
    <row r="16" spans="1:8" ht="16.5" thickBot="1">
      <c r="A16" s="1076" t="s">
        <v>2840</v>
      </c>
      <c r="B16" s="2016" t="s">
        <v>1363</v>
      </c>
      <c r="C16" s="2212">
        <v>455276606</v>
      </c>
      <c r="D16" s="2212">
        <v>455276606</v>
      </c>
      <c r="E16" s="2020">
        <v>455135186</v>
      </c>
      <c r="F16" s="2020">
        <v>455135186</v>
      </c>
      <c r="H16" s="2215">
        <f t="shared" si="0"/>
        <v>141420</v>
      </c>
    </row>
    <row r="17" spans="1:8" ht="16.5" thickBot="1">
      <c r="A17" s="1076" t="s">
        <v>2841</v>
      </c>
      <c r="B17" s="2015" t="s">
        <v>1364</v>
      </c>
      <c r="C17" s="2212">
        <v>326671942</v>
      </c>
      <c r="D17" s="2212">
        <v>326671942</v>
      </c>
      <c r="E17" s="2019">
        <v>326451465</v>
      </c>
      <c r="F17" s="2019">
        <v>326451465</v>
      </c>
      <c r="H17" s="2215">
        <f t="shared" si="0"/>
        <v>220477</v>
      </c>
    </row>
    <row r="18" spans="1:8" ht="16.5" thickBot="1">
      <c r="A18" s="1076" t="s">
        <v>2219</v>
      </c>
      <c r="B18" s="2016" t="s">
        <v>1289</v>
      </c>
      <c r="C18" s="2212">
        <v>76089879</v>
      </c>
      <c r="D18" s="2212">
        <v>76089879</v>
      </c>
      <c r="E18" s="2020">
        <v>76167129</v>
      </c>
      <c r="F18" s="2020">
        <v>76167129</v>
      </c>
      <c r="H18" s="2215">
        <f t="shared" si="0"/>
        <v>-77250</v>
      </c>
    </row>
    <row r="19" spans="1:8" ht="16.5" thickBot="1">
      <c r="A19" s="1076" t="s">
        <v>2843</v>
      </c>
      <c r="B19" s="2015" t="s">
        <v>1365</v>
      </c>
      <c r="C19" s="2212">
        <v>168372214</v>
      </c>
      <c r="D19" s="2212">
        <v>168372214</v>
      </c>
      <c r="E19" s="2019">
        <v>168240764</v>
      </c>
      <c r="F19" s="2019">
        <v>168240764</v>
      </c>
      <c r="H19" s="2215">
        <f t="shared" si="0"/>
        <v>131450</v>
      </c>
    </row>
    <row r="20" spans="1:8" ht="16.5" thickBot="1">
      <c r="A20" s="1076" t="s">
        <v>806</v>
      </c>
      <c r="B20" s="2016" t="s">
        <v>736</v>
      </c>
      <c r="C20" s="2212">
        <v>286585639</v>
      </c>
      <c r="D20" s="2212">
        <v>286585639</v>
      </c>
      <c r="E20" s="2020">
        <v>286653256</v>
      </c>
      <c r="F20" s="2020">
        <v>286653256</v>
      </c>
      <c r="H20" s="2215">
        <f t="shared" si="0"/>
        <v>-67617</v>
      </c>
    </row>
    <row r="21" spans="1:8" ht="16.5" thickBot="1">
      <c r="A21" s="1076" t="s">
        <v>2844</v>
      </c>
      <c r="B21" s="2015" t="s">
        <v>1366</v>
      </c>
      <c r="C21" s="2212">
        <v>801339050</v>
      </c>
      <c r="D21" s="2212">
        <v>801339050</v>
      </c>
      <c r="E21" s="2019">
        <v>801264989</v>
      </c>
      <c r="F21" s="2019">
        <v>801264989</v>
      </c>
      <c r="H21" s="2215">
        <f t="shared" si="0"/>
        <v>74061</v>
      </c>
    </row>
    <row r="22" spans="1:8" ht="16.5" thickBot="1">
      <c r="A22" s="1076" t="s">
        <v>2388</v>
      </c>
      <c r="B22" s="2016" t="s">
        <v>1367</v>
      </c>
      <c r="C22" s="2212">
        <v>255281480</v>
      </c>
      <c r="D22" s="2212">
        <v>255281480</v>
      </c>
      <c r="E22" s="2020">
        <v>254675974</v>
      </c>
      <c r="F22" s="2020">
        <v>254675974</v>
      </c>
      <c r="H22" s="2215">
        <f t="shared" si="0"/>
        <v>605506</v>
      </c>
    </row>
    <row r="23" spans="1:8" ht="16.5" thickBot="1">
      <c r="A23" s="1076" t="s">
        <v>241</v>
      </c>
      <c r="B23" s="2015" t="s">
        <v>1128</v>
      </c>
      <c r="C23" s="2212">
        <v>2173620501</v>
      </c>
      <c r="D23" s="2212">
        <v>2173620501</v>
      </c>
      <c r="E23" s="2019">
        <v>2173116913</v>
      </c>
      <c r="F23" s="2019">
        <v>2173116913</v>
      </c>
      <c r="H23" s="2215">
        <f t="shared" si="0"/>
        <v>503588</v>
      </c>
    </row>
    <row r="24" spans="1:8" ht="16.5" thickBot="1">
      <c r="A24" s="1076" t="s">
        <v>2447</v>
      </c>
      <c r="B24" s="2016" t="s">
        <v>1131</v>
      </c>
      <c r="C24" s="2212">
        <v>232405878</v>
      </c>
      <c r="D24" s="2212">
        <v>232405878</v>
      </c>
      <c r="E24" s="2020">
        <v>232094717</v>
      </c>
      <c r="F24" s="2020">
        <v>232094717</v>
      </c>
      <c r="H24" s="2215">
        <f t="shared" si="0"/>
        <v>311161</v>
      </c>
    </row>
    <row r="25" spans="1:8" ht="16.5" thickBot="1">
      <c r="A25" s="1076" t="s">
        <v>2845</v>
      </c>
      <c r="B25" s="2015" t="s">
        <v>1368</v>
      </c>
      <c r="C25" s="2212">
        <v>1097430889</v>
      </c>
      <c r="D25" s="2212">
        <v>1097430889</v>
      </c>
      <c r="E25" s="2019">
        <v>1098633041</v>
      </c>
      <c r="F25" s="2019">
        <v>1098633041</v>
      </c>
      <c r="H25" s="2215">
        <f t="shared" si="0"/>
        <v>-1202152</v>
      </c>
    </row>
    <row r="26" spans="1:8" ht="16.5" thickBot="1">
      <c r="A26" s="1076" t="s">
        <v>783</v>
      </c>
      <c r="B26" s="2016" t="s">
        <v>1369</v>
      </c>
      <c r="C26" s="2212">
        <v>1139366800</v>
      </c>
      <c r="D26" s="2212">
        <v>1139366800</v>
      </c>
      <c r="E26" s="2020">
        <v>1141890042</v>
      </c>
      <c r="F26" s="2020">
        <v>1141890042</v>
      </c>
      <c r="H26" s="2215">
        <f t="shared" si="0"/>
        <v>-2523242</v>
      </c>
    </row>
    <row r="27" spans="1:8" ht="16.5" thickBot="1">
      <c r="A27" s="1076" t="s">
        <v>784</v>
      </c>
      <c r="B27" s="2015" t="s">
        <v>1370</v>
      </c>
      <c r="C27" s="2212">
        <v>309443327</v>
      </c>
      <c r="D27" s="2212">
        <v>309443327</v>
      </c>
      <c r="E27" s="2019">
        <v>309986160</v>
      </c>
      <c r="F27" s="2019">
        <v>309986160</v>
      </c>
      <c r="H27" s="2215">
        <f t="shared" si="0"/>
        <v>-542833</v>
      </c>
    </row>
    <row r="28" spans="1:8" ht="16.5" thickBot="1">
      <c r="A28" s="1076" t="s">
        <v>785</v>
      </c>
      <c r="B28" s="2016" t="s">
        <v>1371</v>
      </c>
      <c r="C28" s="2212">
        <v>247076715</v>
      </c>
      <c r="D28" s="2212">
        <v>247076715</v>
      </c>
      <c r="E28" s="2020">
        <v>247327092</v>
      </c>
      <c r="F28" s="2020">
        <v>247327092</v>
      </c>
      <c r="H28" s="2215">
        <f t="shared" si="0"/>
        <v>-250377</v>
      </c>
    </row>
    <row r="29" spans="1:8" ht="16.5" thickBot="1">
      <c r="A29" s="1076" t="s">
        <v>216</v>
      </c>
      <c r="B29" s="2015" t="s">
        <v>1372</v>
      </c>
      <c r="C29" s="2212">
        <v>221559837</v>
      </c>
      <c r="D29" s="2212">
        <v>221559837</v>
      </c>
      <c r="E29" s="2019">
        <v>221690963</v>
      </c>
      <c r="F29" s="2019">
        <v>221690963</v>
      </c>
      <c r="H29" s="2215">
        <f t="shared" si="0"/>
        <v>-131126</v>
      </c>
    </row>
    <row r="30" spans="1:8" ht="16.5" thickBot="1">
      <c r="A30" s="1076" t="s">
        <v>2220</v>
      </c>
      <c r="B30" s="2016" t="s">
        <v>2431</v>
      </c>
      <c r="C30" s="2212">
        <v>1409251884</v>
      </c>
      <c r="D30" s="2212">
        <v>1409251884</v>
      </c>
      <c r="E30" s="2020">
        <v>1408113818</v>
      </c>
      <c r="F30" s="2020">
        <v>1408113818</v>
      </c>
      <c r="H30" s="2215">
        <f t="shared" si="0"/>
        <v>1138066</v>
      </c>
    </row>
    <row r="31" spans="1:8" ht="16.5" thickBot="1">
      <c r="A31" s="1076" t="s">
        <v>1896</v>
      </c>
      <c r="B31" s="2015" t="s">
        <v>2433</v>
      </c>
      <c r="C31" s="2212">
        <v>3070396494</v>
      </c>
      <c r="D31" s="2212">
        <v>3070396494</v>
      </c>
      <c r="E31" s="2019">
        <v>3073518133</v>
      </c>
      <c r="F31" s="2019">
        <v>3073518133</v>
      </c>
      <c r="H31" s="2215">
        <f t="shared" si="0"/>
        <v>-3121639</v>
      </c>
    </row>
    <row r="32" spans="1:8" ht="16.5" thickBot="1">
      <c r="A32" s="1076" t="s">
        <v>876</v>
      </c>
      <c r="B32" s="2016" t="s">
        <v>1002</v>
      </c>
      <c r="C32" s="2212">
        <v>928527768</v>
      </c>
      <c r="D32" s="2212">
        <v>928527768</v>
      </c>
      <c r="E32" s="2020">
        <v>929185410</v>
      </c>
      <c r="F32" s="2020">
        <v>929185410</v>
      </c>
      <c r="H32" s="2215">
        <f t="shared" si="0"/>
        <v>-657642</v>
      </c>
    </row>
    <row r="33" spans="1:8" ht="16.5" thickBot="1">
      <c r="A33" s="1076" t="s">
        <v>2710</v>
      </c>
      <c r="B33" s="2015" t="s">
        <v>2202</v>
      </c>
      <c r="C33" s="2212">
        <v>634226077</v>
      </c>
      <c r="D33" s="2212">
        <v>634226077</v>
      </c>
      <c r="E33" s="2019">
        <v>634699223</v>
      </c>
      <c r="F33" s="2019">
        <v>634699223</v>
      </c>
      <c r="H33" s="2215">
        <f t="shared" si="0"/>
        <v>-473146</v>
      </c>
    </row>
    <row r="34" spans="1:8" ht="16.5" thickBot="1">
      <c r="A34" s="1076" t="s">
        <v>2448</v>
      </c>
      <c r="B34" s="2016" t="s">
        <v>926</v>
      </c>
      <c r="C34" s="2212">
        <v>75389661</v>
      </c>
      <c r="D34" s="2212">
        <v>75389661</v>
      </c>
      <c r="E34" s="2020">
        <v>75501200</v>
      </c>
      <c r="F34" s="2020">
        <v>75501200</v>
      </c>
      <c r="H34" s="2215">
        <f t="shared" si="0"/>
        <v>-111539</v>
      </c>
    </row>
    <row r="35" spans="1:8" ht="16.5" thickBot="1">
      <c r="A35" s="1076" t="s">
        <v>492</v>
      </c>
      <c r="B35" s="2015" t="s">
        <v>1373</v>
      </c>
      <c r="C35" s="2212">
        <v>186492613</v>
      </c>
      <c r="D35" s="2212">
        <v>186492613</v>
      </c>
      <c r="E35" s="2019">
        <v>186303533</v>
      </c>
      <c r="F35" s="2019">
        <v>186303533</v>
      </c>
      <c r="H35" s="2215">
        <f t="shared" si="0"/>
        <v>189080</v>
      </c>
    </row>
    <row r="36" spans="1:8" ht="16.5" thickBot="1">
      <c r="A36" s="1076" t="s">
        <v>2711</v>
      </c>
      <c r="B36" s="2016" t="s">
        <v>2434</v>
      </c>
      <c r="C36" s="2212">
        <v>779123056</v>
      </c>
      <c r="D36" s="2212">
        <v>779123056</v>
      </c>
      <c r="E36" s="2020">
        <v>779400686</v>
      </c>
      <c r="F36" s="2020">
        <v>779400686</v>
      </c>
      <c r="H36" s="2215">
        <f t="shared" si="0"/>
        <v>-277630</v>
      </c>
    </row>
    <row r="37" spans="1:8" ht="16.5" thickBot="1">
      <c r="A37" s="1076" t="s">
        <v>3048</v>
      </c>
      <c r="B37" s="2015" t="s">
        <v>1374</v>
      </c>
      <c r="C37" s="2212">
        <v>500021167</v>
      </c>
      <c r="D37" s="2212">
        <v>500021167</v>
      </c>
      <c r="E37" s="2019">
        <v>500049267</v>
      </c>
      <c r="F37" s="2019">
        <v>500049267</v>
      </c>
      <c r="H37" s="2215">
        <f t="shared" si="0"/>
        <v>-28100</v>
      </c>
    </row>
    <row r="38" spans="1:8" ht="16.5" thickBot="1">
      <c r="A38" s="1076" t="s">
        <v>3049</v>
      </c>
      <c r="B38" s="2016" t="s">
        <v>1375</v>
      </c>
      <c r="C38" s="2212">
        <v>490862568</v>
      </c>
      <c r="D38" s="2212">
        <v>490862568</v>
      </c>
      <c r="E38" s="2020">
        <v>491002860</v>
      </c>
      <c r="F38" s="2020">
        <v>491002860</v>
      </c>
      <c r="H38" s="2215">
        <f t="shared" si="0"/>
        <v>-140292</v>
      </c>
    </row>
    <row r="39" spans="1:8" ht="16.5" thickBot="1">
      <c r="A39" s="1076" t="s">
        <v>1313</v>
      </c>
      <c r="B39" s="2015" t="s">
        <v>2089</v>
      </c>
      <c r="C39" s="2212">
        <v>155378155</v>
      </c>
      <c r="D39" s="2212">
        <v>155378155</v>
      </c>
      <c r="E39" s="2019">
        <v>155700146</v>
      </c>
      <c r="F39" s="2019">
        <v>155700146</v>
      </c>
      <c r="H39" s="2215">
        <f t="shared" si="0"/>
        <v>-321991</v>
      </c>
    </row>
    <row r="40" spans="1:8" ht="16.5" thickBot="1">
      <c r="A40" s="1076" t="s">
        <v>2449</v>
      </c>
      <c r="B40" s="2016" t="s">
        <v>1376</v>
      </c>
      <c r="C40" s="2212">
        <v>300792766</v>
      </c>
      <c r="D40" s="2212">
        <v>300792766</v>
      </c>
      <c r="E40" s="2020">
        <v>300754923</v>
      </c>
      <c r="F40" s="2020">
        <v>300754923</v>
      </c>
      <c r="H40" s="2215">
        <f t="shared" si="0"/>
        <v>37843</v>
      </c>
    </row>
    <row r="41" spans="1:8" ht="16.5" thickBot="1">
      <c r="A41" s="1076" t="s">
        <v>1895</v>
      </c>
      <c r="B41" s="2015" t="s">
        <v>2432</v>
      </c>
      <c r="C41" s="2212">
        <v>103186766</v>
      </c>
      <c r="D41" s="2212">
        <v>103186766</v>
      </c>
      <c r="E41" s="2019">
        <v>102789595</v>
      </c>
      <c r="F41" s="2019">
        <v>102789595</v>
      </c>
      <c r="H41" s="2215">
        <f t="shared" si="0"/>
        <v>397171</v>
      </c>
    </row>
    <row r="42" spans="1:8" ht="16.5" thickBot="1">
      <c r="A42" s="1076" t="s">
        <v>1898</v>
      </c>
      <c r="B42" s="2016" t="s">
        <v>3079</v>
      </c>
      <c r="C42" s="2212">
        <v>2399546210</v>
      </c>
      <c r="D42" s="2212">
        <v>2399546210</v>
      </c>
      <c r="E42" s="2020">
        <v>2397721846</v>
      </c>
      <c r="F42" s="2020">
        <v>2397721846</v>
      </c>
      <c r="H42" s="2215">
        <f t="shared" si="0"/>
        <v>1824364</v>
      </c>
    </row>
    <row r="43" spans="1:8" ht="16.5" thickBot="1">
      <c r="A43" s="1076" t="s">
        <v>198</v>
      </c>
      <c r="B43" s="2015" t="s">
        <v>2728</v>
      </c>
      <c r="C43" s="2212">
        <v>96438826</v>
      </c>
      <c r="D43" s="2212">
        <v>96438826</v>
      </c>
      <c r="E43" s="2019">
        <v>96290563</v>
      </c>
      <c r="F43" s="2019">
        <v>96290563</v>
      </c>
      <c r="H43" s="2215">
        <f t="shared" si="0"/>
        <v>148263</v>
      </c>
    </row>
    <row r="44" spans="1:8" ht="16.5" thickBot="1">
      <c r="A44" s="1076" t="s">
        <v>60</v>
      </c>
      <c r="B44" s="2016" t="s">
        <v>2878</v>
      </c>
      <c r="C44" s="2212">
        <v>6845987322</v>
      </c>
      <c r="D44" s="2212">
        <v>6845987322</v>
      </c>
      <c r="E44" s="2020">
        <v>6823743365</v>
      </c>
      <c r="F44" s="2020">
        <v>6823743365</v>
      </c>
      <c r="H44" s="2215">
        <f t="shared" si="0"/>
        <v>22243957</v>
      </c>
    </row>
    <row r="45" spans="1:8" ht="16.5" thickBot="1">
      <c r="A45" s="1076" t="s">
        <v>192</v>
      </c>
      <c r="B45" s="2015" t="s">
        <v>1582</v>
      </c>
      <c r="C45" s="2212">
        <v>161186796</v>
      </c>
      <c r="D45" s="2212">
        <v>161186796</v>
      </c>
      <c r="E45" s="2019">
        <v>161023676</v>
      </c>
      <c r="F45" s="2019">
        <v>161023676</v>
      </c>
      <c r="H45" s="2215">
        <f t="shared" si="0"/>
        <v>163120</v>
      </c>
    </row>
    <row r="46" spans="1:8" ht="16.5" thickBot="1">
      <c r="A46" s="1076" t="s">
        <v>1487</v>
      </c>
      <c r="B46" s="2016" t="s">
        <v>2305</v>
      </c>
      <c r="C46" s="2212">
        <v>675252665</v>
      </c>
      <c r="D46" s="2212">
        <v>675252665</v>
      </c>
      <c r="E46" s="2020">
        <v>674944661</v>
      </c>
      <c r="F46" s="2020">
        <v>674944661</v>
      </c>
      <c r="H46" s="2215">
        <f t="shared" si="0"/>
        <v>308004</v>
      </c>
    </row>
    <row r="47" spans="1:8" ht="16.5" thickBot="1">
      <c r="A47" s="1076" t="s">
        <v>1707</v>
      </c>
      <c r="B47" s="2015" t="s">
        <v>658</v>
      </c>
      <c r="C47" s="2212">
        <v>2941912132</v>
      </c>
      <c r="D47" s="2212">
        <v>2941912132</v>
      </c>
      <c r="E47" s="2019">
        <v>2939680952</v>
      </c>
      <c r="F47" s="2019">
        <v>2939680952</v>
      </c>
      <c r="H47" s="2215">
        <f t="shared" si="0"/>
        <v>2231180</v>
      </c>
    </row>
    <row r="48" spans="1:8" ht="16.5" thickBot="1">
      <c r="A48" s="1076" t="s">
        <v>1712</v>
      </c>
      <c r="B48" s="2016" t="s">
        <v>2640</v>
      </c>
      <c r="C48" s="2212">
        <v>288288566</v>
      </c>
      <c r="D48" s="2212">
        <v>288288566</v>
      </c>
      <c r="E48" s="2020">
        <v>288311242</v>
      </c>
      <c r="F48" s="2020">
        <v>288311242</v>
      </c>
      <c r="H48" s="2215">
        <f t="shared" si="0"/>
        <v>-22676</v>
      </c>
    </row>
    <row r="49" spans="1:8" ht="16.5" thickBot="1">
      <c r="A49" s="1076" t="s">
        <v>463</v>
      </c>
      <c r="B49" s="2015" t="s">
        <v>2603</v>
      </c>
      <c r="C49" s="2212">
        <v>5477742759</v>
      </c>
      <c r="D49" s="2212">
        <v>5477742759</v>
      </c>
      <c r="E49" s="2019">
        <v>5477660891</v>
      </c>
      <c r="F49" s="2019">
        <v>5477660891</v>
      </c>
      <c r="H49" s="2215">
        <f t="shared" si="0"/>
        <v>81868</v>
      </c>
    </row>
    <row r="50" spans="1:8" ht="16.5" thickBot="1">
      <c r="A50" s="1076" t="s">
        <v>2125</v>
      </c>
      <c r="B50" s="2016" t="s">
        <v>822</v>
      </c>
      <c r="C50" s="2212">
        <v>1219503486</v>
      </c>
      <c r="D50" s="2212">
        <v>1219503486</v>
      </c>
      <c r="E50" s="2020">
        <v>1216568927</v>
      </c>
      <c r="F50" s="2020">
        <v>1216568927</v>
      </c>
      <c r="H50" s="2215">
        <f t="shared" si="0"/>
        <v>2934559</v>
      </c>
    </row>
    <row r="51" spans="1:8" ht="16.5" thickBot="1">
      <c r="A51" s="1076" t="s">
        <v>874</v>
      </c>
      <c r="B51" s="2015" t="s">
        <v>1000</v>
      </c>
      <c r="C51" s="2212">
        <v>995885894</v>
      </c>
      <c r="D51" s="2212">
        <v>995885894</v>
      </c>
      <c r="E51" s="2019">
        <v>988035286</v>
      </c>
      <c r="F51" s="2019">
        <v>988035286</v>
      </c>
      <c r="H51" s="2215">
        <f t="shared" si="0"/>
        <v>7850608</v>
      </c>
    </row>
    <row r="52" spans="1:8" ht="16.5" thickBot="1">
      <c r="A52" s="1076" t="s">
        <v>1489</v>
      </c>
      <c r="B52" s="2016" t="s">
        <v>2308</v>
      </c>
      <c r="C52" s="2212">
        <v>12867908965</v>
      </c>
      <c r="D52" s="2212">
        <v>12867908965</v>
      </c>
      <c r="E52" s="2020">
        <v>12848176956</v>
      </c>
      <c r="F52" s="2020">
        <v>12848176956</v>
      </c>
      <c r="H52" s="2215">
        <f t="shared" si="0"/>
        <v>19732009</v>
      </c>
    </row>
    <row r="53" spans="1:8" ht="16.5" thickBot="1">
      <c r="A53" s="1076" t="s">
        <v>1699</v>
      </c>
      <c r="B53" s="2015" t="s">
        <v>2206</v>
      </c>
      <c r="C53" s="2212">
        <v>1383803234</v>
      </c>
      <c r="D53" s="2212">
        <v>1383803234</v>
      </c>
      <c r="E53" s="2019">
        <v>1381959860</v>
      </c>
      <c r="F53" s="2019">
        <v>1381959860</v>
      </c>
      <c r="H53" s="2215">
        <f t="shared" si="0"/>
        <v>1843374</v>
      </c>
    </row>
    <row r="54" spans="1:8" ht="16.5" thickBot="1">
      <c r="A54" s="1076" t="s">
        <v>1316</v>
      </c>
      <c r="B54" s="2016" t="s">
        <v>2205</v>
      </c>
      <c r="C54" s="2212">
        <v>395542304</v>
      </c>
      <c r="D54" s="2212">
        <v>395542304</v>
      </c>
      <c r="E54" s="2020">
        <v>394974685</v>
      </c>
      <c r="F54" s="2020">
        <v>394974685</v>
      </c>
      <c r="H54" s="2215">
        <f t="shared" si="0"/>
        <v>567619</v>
      </c>
    </row>
    <row r="55" spans="1:8" ht="16.5" thickBot="1">
      <c r="A55" s="1076" t="s">
        <v>1587</v>
      </c>
      <c r="B55" s="2015" t="s">
        <v>2610</v>
      </c>
      <c r="C55" s="2212">
        <v>30639048583</v>
      </c>
      <c r="D55" s="2212">
        <v>30639048583</v>
      </c>
      <c r="E55" s="2019">
        <v>30631882342</v>
      </c>
      <c r="F55" s="2019">
        <v>30631882342</v>
      </c>
      <c r="H55" s="2215">
        <f t="shared" si="0"/>
        <v>7166241</v>
      </c>
    </row>
    <row r="56" spans="1:8" ht="16.5" thickBot="1">
      <c r="A56" s="1076" t="s">
        <v>871</v>
      </c>
      <c r="B56" s="2016" t="s">
        <v>1215</v>
      </c>
      <c r="C56" s="2212">
        <v>2583410855</v>
      </c>
      <c r="D56" s="2212">
        <v>2583410855</v>
      </c>
      <c r="E56" s="2020">
        <v>2583912265</v>
      </c>
      <c r="F56" s="2020">
        <v>2583912265</v>
      </c>
      <c r="H56" s="2215">
        <f t="shared" si="0"/>
        <v>-501410</v>
      </c>
    </row>
    <row r="57" spans="1:8" ht="16.5" thickBot="1">
      <c r="A57" s="1076" t="s">
        <v>807</v>
      </c>
      <c r="B57" s="2015" t="s">
        <v>2208</v>
      </c>
      <c r="C57" s="2212">
        <v>2034758578</v>
      </c>
      <c r="D57" s="2212">
        <v>2546126568</v>
      </c>
      <c r="E57" s="2019">
        <v>2034587127</v>
      </c>
      <c r="F57" s="2019">
        <v>2545955117</v>
      </c>
      <c r="H57" s="2215">
        <f t="shared" si="0"/>
        <v>171451</v>
      </c>
    </row>
    <row r="58" spans="1:8" ht="16.5" thickBot="1">
      <c r="A58" s="1076" t="s">
        <v>1589</v>
      </c>
      <c r="B58" s="2016" t="s">
        <v>2612</v>
      </c>
      <c r="C58" s="2212">
        <v>38175596294</v>
      </c>
      <c r="D58" s="2212">
        <v>38175596294</v>
      </c>
      <c r="E58" s="2020">
        <v>38169341275</v>
      </c>
      <c r="F58" s="2020">
        <v>38169341275</v>
      </c>
      <c r="H58" s="2215">
        <f t="shared" si="0"/>
        <v>6255019</v>
      </c>
    </row>
    <row r="59" spans="1:8" ht="16.5" thickBot="1">
      <c r="A59" s="1076" t="s">
        <v>53</v>
      </c>
      <c r="B59" s="2015" t="s">
        <v>448</v>
      </c>
      <c r="C59" s="2212">
        <v>6820500656</v>
      </c>
      <c r="D59" s="2212">
        <v>6820500656</v>
      </c>
      <c r="E59" s="2019">
        <v>6814414403</v>
      </c>
      <c r="F59" s="2019">
        <v>6814414403</v>
      </c>
      <c r="H59" s="2215">
        <f t="shared" si="0"/>
        <v>6086253</v>
      </c>
    </row>
    <row r="60" spans="1:8" ht="16.5" thickBot="1">
      <c r="A60" s="1076" t="s">
        <v>1700</v>
      </c>
      <c r="B60" s="2016" t="s">
        <v>2207</v>
      </c>
      <c r="C60" s="2212">
        <v>1135404332</v>
      </c>
      <c r="D60" s="2212">
        <v>1135404332</v>
      </c>
      <c r="E60" s="2020">
        <v>1135606305</v>
      </c>
      <c r="F60" s="2020">
        <v>1135606305</v>
      </c>
      <c r="H60" s="2215">
        <f t="shared" si="0"/>
        <v>-201973</v>
      </c>
    </row>
    <row r="61" spans="1:8" ht="16.5" thickBot="1">
      <c r="A61" s="1076" t="s">
        <v>1377</v>
      </c>
      <c r="B61" s="2015" t="s">
        <v>2604</v>
      </c>
      <c r="C61" s="2212">
        <v>621049082</v>
      </c>
      <c r="D61" s="2212">
        <v>621049082</v>
      </c>
      <c r="E61" s="2019">
        <v>620934341</v>
      </c>
      <c r="F61" s="2019">
        <v>620934341</v>
      </c>
      <c r="H61" s="2215">
        <f t="shared" si="0"/>
        <v>114741</v>
      </c>
    </row>
    <row r="62" spans="1:8" ht="16.5" thickBot="1">
      <c r="A62" s="1076" t="s">
        <v>986</v>
      </c>
      <c r="B62" s="2016" t="s">
        <v>902</v>
      </c>
      <c r="C62" s="2212">
        <v>730892271</v>
      </c>
      <c r="D62" s="2212">
        <v>730892271</v>
      </c>
      <c r="E62" s="2020">
        <v>730858466</v>
      </c>
      <c r="F62" s="2020">
        <v>730858466</v>
      </c>
      <c r="H62" s="2215">
        <f t="shared" si="0"/>
        <v>33805</v>
      </c>
    </row>
    <row r="63" spans="1:8" ht="16.5" thickBot="1">
      <c r="A63" s="1076" t="s">
        <v>1378</v>
      </c>
      <c r="B63" s="2015" t="s">
        <v>2605</v>
      </c>
      <c r="C63" s="2212">
        <v>940558269</v>
      </c>
      <c r="D63" s="2212">
        <v>984986629</v>
      </c>
      <c r="E63" s="2019">
        <v>940993930</v>
      </c>
      <c r="F63" s="2019">
        <v>985422290</v>
      </c>
      <c r="H63" s="2215">
        <f t="shared" si="0"/>
        <v>-435661</v>
      </c>
    </row>
    <row r="64" spans="1:8" ht="16.5" thickBot="1">
      <c r="A64" s="1076" t="s">
        <v>628</v>
      </c>
      <c r="B64" s="2016" t="s">
        <v>1330</v>
      </c>
      <c r="C64" s="2212">
        <v>662979736</v>
      </c>
      <c r="D64" s="2212">
        <v>662979736</v>
      </c>
      <c r="E64" s="2020">
        <v>662952328</v>
      </c>
      <c r="F64" s="2020">
        <v>662952328</v>
      </c>
      <c r="H64" s="2215">
        <f t="shared" si="0"/>
        <v>27408</v>
      </c>
    </row>
    <row r="65" spans="1:8" ht="16.5" thickBot="1">
      <c r="A65" s="1076" t="s">
        <v>1379</v>
      </c>
      <c r="B65" s="2015" t="s">
        <v>3081</v>
      </c>
      <c r="C65" s="2212">
        <v>159294447</v>
      </c>
      <c r="D65" s="2212">
        <v>159294447</v>
      </c>
      <c r="E65" s="2019">
        <v>159235715</v>
      </c>
      <c r="F65" s="2019">
        <v>159235715</v>
      </c>
      <c r="H65" s="2215">
        <f t="shared" si="0"/>
        <v>58732</v>
      </c>
    </row>
    <row r="66" spans="1:8" ht="16.5" thickBot="1">
      <c r="A66" s="1076" t="s">
        <v>1273</v>
      </c>
      <c r="B66" s="2016" t="s">
        <v>3082</v>
      </c>
      <c r="C66" s="2212">
        <v>58398347</v>
      </c>
      <c r="D66" s="2212">
        <v>58398347</v>
      </c>
      <c r="E66" s="2020">
        <v>58388916</v>
      </c>
      <c r="F66" s="2020">
        <v>58388916</v>
      </c>
      <c r="H66" s="2215">
        <f t="shared" ref="H66:H129" si="1">C66-E66</f>
        <v>9431</v>
      </c>
    </row>
    <row r="67" spans="1:8" ht="16.5" thickBot="1">
      <c r="A67" s="1076" t="s">
        <v>1274</v>
      </c>
      <c r="B67" s="2015" t="s">
        <v>3083</v>
      </c>
      <c r="C67" s="2212">
        <v>200958437</v>
      </c>
      <c r="D67" s="2212">
        <v>200958437</v>
      </c>
      <c r="E67" s="2019">
        <v>200970120</v>
      </c>
      <c r="F67" s="2019">
        <v>200970120</v>
      </c>
      <c r="H67" s="2215">
        <f t="shared" si="1"/>
        <v>-11683</v>
      </c>
    </row>
    <row r="68" spans="1:8" ht="16.5" thickBot="1">
      <c r="A68" s="1076" t="s">
        <v>2174</v>
      </c>
      <c r="B68" s="2016" t="s">
        <v>2304</v>
      </c>
      <c r="C68" s="2212">
        <v>72421922</v>
      </c>
      <c r="D68" s="2212">
        <v>72421922</v>
      </c>
      <c r="E68" s="2020">
        <v>72430890</v>
      </c>
      <c r="F68" s="2020">
        <v>72430890</v>
      </c>
      <c r="H68" s="2215">
        <f t="shared" si="1"/>
        <v>-8968</v>
      </c>
    </row>
    <row r="69" spans="1:8" ht="16.5" thickBot="1">
      <c r="A69" s="1076" t="s">
        <v>1846</v>
      </c>
      <c r="B69" s="2015" t="s">
        <v>3084</v>
      </c>
      <c r="C69" s="2212">
        <v>118827433</v>
      </c>
      <c r="D69" s="2212">
        <v>118827433</v>
      </c>
      <c r="E69" s="2019">
        <v>118827942</v>
      </c>
      <c r="F69" s="2019">
        <v>118827942</v>
      </c>
      <c r="H69" s="2215">
        <f t="shared" si="1"/>
        <v>-509</v>
      </c>
    </row>
    <row r="70" spans="1:8" ht="16.5" thickBot="1">
      <c r="A70" s="1076" t="s">
        <v>1847</v>
      </c>
      <c r="B70" s="2016" t="s">
        <v>3085</v>
      </c>
      <c r="C70" s="2212">
        <v>102857470</v>
      </c>
      <c r="D70" s="2212">
        <v>102857470</v>
      </c>
      <c r="E70" s="2020">
        <v>103121537</v>
      </c>
      <c r="F70" s="2020">
        <v>103121537</v>
      </c>
      <c r="H70" s="2215">
        <f t="shared" si="1"/>
        <v>-264067</v>
      </c>
    </row>
    <row r="71" spans="1:8" ht="16.5" thickBot="1">
      <c r="A71" s="1076" t="s">
        <v>1848</v>
      </c>
      <c r="B71" s="2015" t="s">
        <v>3086</v>
      </c>
      <c r="C71" s="2212">
        <v>75571955</v>
      </c>
      <c r="D71" s="2212">
        <v>75571955</v>
      </c>
      <c r="E71" s="2019">
        <v>75657949</v>
      </c>
      <c r="F71" s="2019">
        <v>75657949</v>
      </c>
      <c r="H71" s="2215">
        <f t="shared" si="1"/>
        <v>-85994</v>
      </c>
    </row>
    <row r="72" spans="1:8" ht="16.5" thickBot="1">
      <c r="A72" s="1076" t="s">
        <v>997</v>
      </c>
      <c r="B72" s="2016" t="s">
        <v>3063</v>
      </c>
      <c r="C72" s="2212">
        <v>172852489</v>
      </c>
      <c r="D72" s="2212">
        <v>172852489</v>
      </c>
      <c r="E72" s="2020">
        <v>172994002</v>
      </c>
      <c r="F72" s="2020">
        <v>172994002</v>
      </c>
      <c r="H72" s="2215">
        <f t="shared" si="1"/>
        <v>-141513</v>
      </c>
    </row>
    <row r="73" spans="1:8" ht="16.5" thickBot="1">
      <c r="A73" s="1076" t="s">
        <v>808</v>
      </c>
      <c r="B73" s="2015" t="s">
        <v>2730</v>
      </c>
      <c r="C73" s="2212">
        <v>143865321</v>
      </c>
      <c r="D73" s="2212">
        <v>143865321</v>
      </c>
      <c r="E73" s="2019">
        <v>143978764</v>
      </c>
      <c r="F73" s="2019">
        <v>143978764</v>
      </c>
      <c r="H73" s="2215">
        <f t="shared" si="1"/>
        <v>-113443</v>
      </c>
    </row>
    <row r="74" spans="1:8" ht="16.5" thickBot="1">
      <c r="A74" s="1076" t="s">
        <v>2450</v>
      </c>
      <c r="B74" s="2016" t="s">
        <v>2361</v>
      </c>
      <c r="C74" s="2212">
        <v>55732370</v>
      </c>
      <c r="D74" s="2212">
        <v>55732370</v>
      </c>
      <c r="E74" s="2020">
        <v>56032221</v>
      </c>
      <c r="F74" s="2020">
        <v>56032221</v>
      </c>
      <c r="H74" s="2215">
        <f t="shared" si="1"/>
        <v>-299851</v>
      </c>
    </row>
    <row r="75" spans="1:8" ht="16.5" thickBot="1">
      <c r="A75" s="1076" t="s">
        <v>3034</v>
      </c>
      <c r="B75" s="2015" t="s">
        <v>1578</v>
      </c>
      <c r="C75" s="2212">
        <v>394320410</v>
      </c>
      <c r="D75" s="2212">
        <v>394320410</v>
      </c>
      <c r="E75" s="2019">
        <v>394154389</v>
      </c>
      <c r="F75" s="2019">
        <v>394154389</v>
      </c>
      <c r="H75" s="2215">
        <f t="shared" si="1"/>
        <v>166021</v>
      </c>
    </row>
    <row r="76" spans="1:8" ht="16.5" thickBot="1">
      <c r="A76" s="1076" t="s">
        <v>1252</v>
      </c>
      <c r="B76" s="2016" t="s">
        <v>1579</v>
      </c>
      <c r="C76" s="2212">
        <v>211490771</v>
      </c>
      <c r="D76" s="2212">
        <v>211490771</v>
      </c>
      <c r="E76" s="2020">
        <v>211615351</v>
      </c>
      <c r="F76" s="2020">
        <v>211615351</v>
      </c>
      <c r="H76" s="2215">
        <f t="shared" si="1"/>
        <v>-124580</v>
      </c>
    </row>
    <row r="77" spans="1:8" ht="16.5" thickBot="1">
      <c r="A77" s="1076" t="s">
        <v>1253</v>
      </c>
      <c r="B77" s="2015" t="s">
        <v>1580</v>
      </c>
      <c r="C77" s="2212">
        <v>1857113545</v>
      </c>
      <c r="D77" s="2212">
        <v>1857113545</v>
      </c>
      <c r="E77" s="2019">
        <v>1855999130</v>
      </c>
      <c r="F77" s="2019">
        <v>1855999130</v>
      </c>
      <c r="H77" s="2215">
        <f t="shared" si="1"/>
        <v>1114415</v>
      </c>
    </row>
    <row r="78" spans="1:8" ht="16.5" thickBot="1">
      <c r="A78" s="1076" t="s">
        <v>1285</v>
      </c>
      <c r="B78" s="2016" t="s">
        <v>2846</v>
      </c>
      <c r="C78" s="2212">
        <v>518704844</v>
      </c>
      <c r="D78" s="2212">
        <v>518704844</v>
      </c>
      <c r="E78" s="2020">
        <v>518834528</v>
      </c>
      <c r="F78" s="2020">
        <v>518834528</v>
      </c>
      <c r="H78" s="2215">
        <f t="shared" si="1"/>
        <v>-129684</v>
      </c>
    </row>
    <row r="79" spans="1:8" ht="16.5" thickBot="1">
      <c r="A79" s="1076" t="s">
        <v>2451</v>
      </c>
      <c r="B79" s="2015" t="s">
        <v>295</v>
      </c>
      <c r="C79" s="2212">
        <v>103167465</v>
      </c>
      <c r="D79" s="2212">
        <v>103167465</v>
      </c>
      <c r="E79" s="2019">
        <v>103263792</v>
      </c>
      <c r="F79" s="2019">
        <v>103263792</v>
      </c>
      <c r="H79" s="2215">
        <f t="shared" si="1"/>
        <v>-96327</v>
      </c>
    </row>
    <row r="80" spans="1:8" ht="16.5" thickBot="1">
      <c r="A80" s="1076" t="s">
        <v>1110</v>
      </c>
      <c r="B80" s="2016" t="s">
        <v>320</v>
      </c>
      <c r="C80" s="2212">
        <v>18930290</v>
      </c>
      <c r="D80" s="2212">
        <v>18930290</v>
      </c>
      <c r="E80" s="2020">
        <v>18868458</v>
      </c>
      <c r="F80" s="2020">
        <v>18868458</v>
      </c>
      <c r="H80" s="2215">
        <f t="shared" si="1"/>
        <v>61832</v>
      </c>
    </row>
    <row r="81" spans="1:8" ht="16.5" thickBot="1">
      <c r="A81" s="1076" t="s">
        <v>953</v>
      </c>
      <c r="B81" s="2015" t="s">
        <v>2847</v>
      </c>
      <c r="C81" s="2212">
        <v>184949633</v>
      </c>
      <c r="D81" s="2212">
        <v>184949633</v>
      </c>
      <c r="E81" s="2019">
        <v>184943388</v>
      </c>
      <c r="F81" s="2019">
        <v>184943388</v>
      </c>
      <c r="H81" s="2215">
        <f t="shared" si="1"/>
        <v>6245</v>
      </c>
    </row>
    <row r="82" spans="1:8" ht="16.5" thickBot="1">
      <c r="A82" s="1076" t="s">
        <v>1286</v>
      </c>
      <c r="B82" s="2016" t="s">
        <v>2848</v>
      </c>
      <c r="C82" s="2212">
        <v>842545758</v>
      </c>
      <c r="D82" s="2212">
        <v>842545758</v>
      </c>
      <c r="E82" s="2020">
        <v>842179388</v>
      </c>
      <c r="F82" s="2020">
        <v>842179388</v>
      </c>
      <c r="H82" s="2215">
        <f t="shared" si="1"/>
        <v>366370</v>
      </c>
    </row>
    <row r="83" spans="1:8" ht="16.5" thickBot="1">
      <c r="A83" s="1076" t="s">
        <v>1287</v>
      </c>
      <c r="B83" s="2015" t="s">
        <v>2732</v>
      </c>
      <c r="C83" s="2212">
        <v>18211680</v>
      </c>
      <c r="D83" s="2212">
        <v>18211680</v>
      </c>
      <c r="E83" s="2019">
        <v>18332446</v>
      </c>
      <c r="F83" s="2019">
        <v>18332446</v>
      </c>
      <c r="H83" s="2215">
        <f t="shared" si="1"/>
        <v>-120766</v>
      </c>
    </row>
    <row r="84" spans="1:8" ht="16.5" thickBot="1">
      <c r="A84" s="1076" t="s">
        <v>954</v>
      </c>
      <c r="B84" s="2016" t="s">
        <v>2849</v>
      </c>
      <c r="C84" s="2212">
        <v>40820998</v>
      </c>
      <c r="D84" s="2212">
        <v>40820998</v>
      </c>
      <c r="E84" s="2020">
        <v>40831409</v>
      </c>
      <c r="F84" s="2020">
        <v>40831409</v>
      </c>
      <c r="H84" s="2215">
        <f t="shared" si="1"/>
        <v>-10411</v>
      </c>
    </row>
    <row r="85" spans="1:8" ht="16.5" thickBot="1">
      <c r="A85" s="1076" t="s">
        <v>207</v>
      </c>
      <c r="B85" s="2015" t="s">
        <v>1202</v>
      </c>
      <c r="C85" s="2212">
        <v>4855641782</v>
      </c>
      <c r="D85" s="2212">
        <v>4855641782</v>
      </c>
      <c r="E85" s="2019">
        <v>4858573516</v>
      </c>
      <c r="F85" s="2019">
        <v>4858573516</v>
      </c>
      <c r="H85" s="2215">
        <f t="shared" si="1"/>
        <v>-2931734</v>
      </c>
    </row>
    <row r="86" spans="1:8" ht="16.5" thickBot="1">
      <c r="A86" s="1076" t="s">
        <v>1035</v>
      </c>
      <c r="B86" s="2016" t="s">
        <v>2850</v>
      </c>
      <c r="C86" s="2212">
        <v>2295614817</v>
      </c>
      <c r="D86" s="2212">
        <v>2295614817</v>
      </c>
      <c r="E86" s="2020">
        <v>2297440893</v>
      </c>
      <c r="F86" s="2020">
        <v>2297440893</v>
      </c>
      <c r="H86" s="2215">
        <f t="shared" si="1"/>
        <v>-1826076</v>
      </c>
    </row>
    <row r="87" spans="1:8" ht="16.5" thickBot="1">
      <c r="A87" s="1076" t="s">
        <v>809</v>
      </c>
      <c r="B87" s="2015" t="s">
        <v>3059</v>
      </c>
      <c r="C87" s="2212">
        <v>223596368</v>
      </c>
      <c r="D87" s="2212">
        <v>223596368</v>
      </c>
      <c r="E87" s="2019">
        <v>223659649</v>
      </c>
      <c r="F87" s="2019">
        <v>223659649</v>
      </c>
      <c r="H87" s="2215">
        <f t="shared" si="1"/>
        <v>-63281</v>
      </c>
    </row>
    <row r="88" spans="1:8" ht="16.5" thickBot="1">
      <c r="A88" s="1076" t="s">
        <v>1321</v>
      </c>
      <c r="B88" s="2016" t="s">
        <v>2851</v>
      </c>
      <c r="C88" s="2212">
        <v>6847119149</v>
      </c>
      <c r="D88" s="2212">
        <v>6968945489</v>
      </c>
      <c r="E88" s="2020">
        <v>6847589899</v>
      </c>
      <c r="F88" s="2020">
        <v>6969416239</v>
      </c>
      <c r="H88" s="2215">
        <f t="shared" si="1"/>
        <v>-470750</v>
      </c>
    </row>
    <row r="89" spans="1:8" ht="16.5" thickBot="1">
      <c r="A89" s="1076" t="s">
        <v>1322</v>
      </c>
      <c r="B89" s="2015" t="s">
        <v>2852</v>
      </c>
      <c r="C89" s="2212">
        <v>1474227734</v>
      </c>
      <c r="D89" s="2212">
        <v>1547001014</v>
      </c>
      <c r="E89" s="2019">
        <v>1474206283</v>
      </c>
      <c r="F89" s="2019">
        <v>1546979563</v>
      </c>
      <c r="H89" s="2215">
        <f t="shared" si="1"/>
        <v>21451</v>
      </c>
    </row>
    <row r="90" spans="1:8" ht="16.5" thickBot="1">
      <c r="A90" s="1076" t="s">
        <v>1616</v>
      </c>
      <c r="B90" s="2016" t="s">
        <v>1741</v>
      </c>
      <c r="C90" s="2212">
        <v>1001565001</v>
      </c>
      <c r="D90" s="2212">
        <v>1001565001</v>
      </c>
      <c r="E90" s="2020">
        <v>1001921570</v>
      </c>
      <c r="F90" s="2020">
        <v>1001921570</v>
      </c>
      <c r="H90" s="2215">
        <f t="shared" si="1"/>
        <v>-356569</v>
      </c>
    </row>
    <row r="91" spans="1:8" ht="16.5" thickBot="1">
      <c r="A91" s="1076" t="s">
        <v>235</v>
      </c>
      <c r="B91" s="2015" t="s">
        <v>303</v>
      </c>
      <c r="C91" s="2212">
        <v>6061481444</v>
      </c>
      <c r="D91" s="2212">
        <v>6061481444</v>
      </c>
      <c r="E91" s="2019">
        <v>6061600792</v>
      </c>
      <c r="F91" s="2019">
        <v>6061600792</v>
      </c>
      <c r="H91" s="2215">
        <f t="shared" si="1"/>
        <v>-119348</v>
      </c>
    </row>
    <row r="92" spans="1:8" ht="16.5" thickBot="1">
      <c r="A92" s="1076" t="s">
        <v>1323</v>
      </c>
      <c r="B92" s="2016" t="s">
        <v>2853</v>
      </c>
      <c r="C92" s="2212">
        <v>50722710</v>
      </c>
      <c r="D92" s="2212">
        <v>50722710</v>
      </c>
      <c r="E92" s="2020">
        <v>50840664</v>
      </c>
      <c r="F92" s="2020">
        <v>50840664</v>
      </c>
      <c r="H92" s="2215">
        <f t="shared" si="1"/>
        <v>-117954</v>
      </c>
    </row>
    <row r="93" spans="1:8" ht="16.5" thickBot="1">
      <c r="A93" s="1076" t="s">
        <v>631</v>
      </c>
      <c r="B93" s="2015" t="s">
        <v>1334</v>
      </c>
      <c r="C93" s="2212">
        <v>7191429166</v>
      </c>
      <c r="D93" s="2212">
        <v>7191429166</v>
      </c>
      <c r="E93" s="2019">
        <v>7191281480</v>
      </c>
      <c r="F93" s="2019">
        <v>7191281480</v>
      </c>
      <c r="H93" s="2215">
        <f t="shared" si="1"/>
        <v>147686</v>
      </c>
    </row>
    <row r="94" spans="1:8" ht="16.5" thickBot="1">
      <c r="A94" s="1076" t="s">
        <v>994</v>
      </c>
      <c r="B94" s="2016" t="s">
        <v>3032</v>
      </c>
      <c r="C94" s="2212">
        <v>6233201489</v>
      </c>
      <c r="D94" s="2212">
        <v>6233201489</v>
      </c>
      <c r="E94" s="2020">
        <v>6233975480</v>
      </c>
      <c r="F94" s="2020">
        <v>6233975480</v>
      </c>
      <c r="H94" s="2215">
        <f t="shared" si="1"/>
        <v>-773991</v>
      </c>
    </row>
    <row r="95" spans="1:8" ht="16.5" thickBot="1">
      <c r="A95" s="1076" t="s">
        <v>2918</v>
      </c>
      <c r="B95" s="2015" t="s">
        <v>2854</v>
      </c>
      <c r="C95" s="2212">
        <v>73401732</v>
      </c>
      <c r="D95" s="2212">
        <v>73401732</v>
      </c>
      <c r="E95" s="2019">
        <v>73357405</v>
      </c>
      <c r="F95" s="2019">
        <v>73357405</v>
      </c>
      <c r="H95" s="2215">
        <f t="shared" si="1"/>
        <v>44327</v>
      </c>
    </row>
    <row r="96" spans="1:8" ht="16.5" thickBot="1">
      <c r="A96" s="1076" t="s">
        <v>440</v>
      </c>
      <c r="B96" s="2016" t="s">
        <v>2855</v>
      </c>
      <c r="C96" s="2212">
        <v>446601736</v>
      </c>
      <c r="D96" s="2212">
        <v>446601736</v>
      </c>
      <c r="E96" s="2020">
        <v>446579534</v>
      </c>
      <c r="F96" s="2020">
        <v>446579534</v>
      </c>
      <c r="H96" s="2215">
        <f t="shared" si="1"/>
        <v>22202</v>
      </c>
    </row>
    <row r="97" spans="1:8" ht="16.5" thickBot="1">
      <c r="A97" s="1076" t="s">
        <v>441</v>
      </c>
      <c r="B97" s="2015" t="s">
        <v>1786</v>
      </c>
      <c r="C97" s="2212">
        <v>76305623</v>
      </c>
      <c r="D97" s="2212">
        <v>76305623</v>
      </c>
      <c r="E97" s="2019">
        <v>76220362</v>
      </c>
      <c r="F97" s="2019">
        <v>76220362</v>
      </c>
      <c r="H97" s="2215">
        <f t="shared" si="1"/>
        <v>85261</v>
      </c>
    </row>
    <row r="98" spans="1:8" ht="16.5" thickBot="1">
      <c r="A98" s="1076" t="s">
        <v>442</v>
      </c>
      <c r="B98" s="2016" t="s">
        <v>1787</v>
      </c>
      <c r="C98" s="2212">
        <v>7442518</v>
      </c>
      <c r="D98" s="2212">
        <v>7442518</v>
      </c>
      <c r="E98" s="2020">
        <v>7442518</v>
      </c>
      <c r="F98" s="2020">
        <v>7442518</v>
      </c>
      <c r="H98" s="2215">
        <f t="shared" si="1"/>
        <v>0</v>
      </c>
    </row>
    <row r="99" spans="1:8" ht="16.5" thickBot="1">
      <c r="A99" s="1076" t="s">
        <v>443</v>
      </c>
      <c r="B99" s="2015" t="s">
        <v>1788</v>
      </c>
      <c r="C99" s="2212">
        <v>166906269</v>
      </c>
      <c r="D99" s="2212">
        <v>166906269</v>
      </c>
      <c r="E99" s="2019">
        <v>167053833</v>
      </c>
      <c r="F99" s="2019">
        <v>167053833</v>
      </c>
      <c r="H99" s="2215">
        <f t="shared" si="1"/>
        <v>-147564</v>
      </c>
    </row>
    <row r="100" spans="1:8" ht="16.5" thickBot="1">
      <c r="A100" s="1076" t="s">
        <v>745</v>
      </c>
      <c r="B100" s="2016" t="s">
        <v>1789</v>
      </c>
      <c r="C100" s="2212">
        <v>666927312</v>
      </c>
      <c r="D100" s="2212">
        <v>666927312</v>
      </c>
      <c r="E100" s="2020">
        <v>667474718</v>
      </c>
      <c r="F100" s="2020">
        <v>667474718</v>
      </c>
      <c r="H100" s="2215">
        <f t="shared" si="1"/>
        <v>-547406</v>
      </c>
    </row>
    <row r="101" spans="1:8" ht="16.5" thickBot="1">
      <c r="A101" s="1076" t="s">
        <v>746</v>
      </c>
      <c r="B101" s="2015" t="s">
        <v>1790</v>
      </c>
      <c r="C101" s="2212">
        <v>311968254</v>
      </c>
      <c r="D101" s="2212">
        <v>311968254</v>
      </c>
      <c r="E101" s="2019">
        <v>311446825</v>
      </c>
      <c r="F101" s="2019">
        <v>311446825</v>
      </c>
      <c r="H101" s="2215">
        <f t="shared" si="1"/>
        <v>521429</v>
      </c>
    </row>
    <row r="102" spans="1:8" ht="16.5" thickBot="1">
      <c r="A102" s="1076" t="s">
        <v>747</v>
      </c>
      <c r="B102" s="2016" t="s">
        <v>1791</v>
      </c>
      <c r="C102" s="2212">
        <v>1263661496</v>
      </c>
      <c r="D102" s="2212">
        <v>1263661496</v>
      </c>
      <c r="E102" s="2020">
        <v>1262189301</v>
      </c>
      <c r="F102" s="2020">
        <v>1262189301</v>
      </c>
      <c r="H102" s="2215">
        <f t="shared" si="1"/>
        <v>1472195</v>
      </c>
    </row>
    <row r="103" spans="1:8" ht="16.5" thickBot="1">
      <c r="A103" s="1076" t="s">
        <v>988</v>
      </c>
      <c r="B103" s="2015" t="s">
        <v>1519</v>
      </c>
      <c r="C103" s="2212">
        <v>43533568</v>
      </c>
      <c r="D103" s="2212">
        <v>43533568</v>
      </c>
      <c r="E103" s="2019">
        <v>43535368</v>
      </c>
      <c r="F103" s="2019">
        <v>43535368</v>
      </c>
      <c r="H103" s="2215">
        <f t="shared" si="1"/>
        <v>-1800</v>
      </c>
    </row>
    <row r="104" spans="1:8" ht="16.5" thickBot="1">
      <c r="A104" s="1076" t="s">
        <v>2893</v>
      </c>
      <c r="B104" s="2016" t="s">
        <v>2362</v>
      </c>
      <c r="C104" s="2212">
        <v>156531169</v>
      </c>
      <c r="D104" s="2212">
        <v>156531169</v>
      </c>
      <c r="E104" s="2020">
        <v>156239924</v>
      </c>
      <c r="F104" s="2020">
        <v>156239924</v>
      </c>
      <c r="H104" s="2215">
        <f t="shared" si="1"/>
        <v>291245</v>
      </c>
    </row>
    <row r="105" spans="1:8" ht="16.5" thickBot="1">
      <c r="A105" s="1076" t="s">
        <v>1354</v>
      </c>
      <c r="B105" s="2015" t="s">
        <v>3074</v>
      </c>
      <c r="C105" s="2212">
        <v>43925127</v>
      </c>
      <c r="D105" s="2212">
        <v>43925127</v>
      </c>
      <c r="E105" s="2019">
        <v>43923126</v>
      </c>
      <c r="F105" s="2019">
        <v>43923126</v>
      </c>
      <c r="H105" s="2215">
        <f t="shared" si="1"/>
        <v>2001</v>
      </c>
    </row>
    <row r="106" spans="1:8" ht="16.5" thickBot="1">
      <c r="A106" s="1076" t="s">
        <v>810</v>
      </c>
      <c r="B106" s="2016" t="s">
        <v>2770</v>
      </c>
      <c r="C106" s="2212">
        <v>77614730</v>
      </c>
      <c r="D106" s="2212">
        <v>77614730</v>
      </c>
      <c r="E106" s="2020">
        <v>77569804</v>
      </c>
      <c r="F106" s="2020">
        <v>77569804</v>
      </c>
      <c r="H106" s="2215">
        <f t="shared" si="1"/>
        <v>44926</v>
      </c>
    </row>
    <row r="107" spans="1:8" ht="16.5" thickBot="1">
      <c r="A107" s="1076" t="s">
        <v>872</v>
      </c>
      <c r="B107" s="2015" t="s">
        <v>1214</v>
      </c>
      <c r="C107" s="2212">
        <v>271493325</v>
      </c>
      <c r="D107" s="2212">
        <v>271493325</v>
      </c>
      <c r="E107" s="2019">
        <v>271468387</v>
      </c>
      <c r="F107" s="2019">
        <v>271468387</v>
      </c>
      <c r="H107" s="2215">
        <f t="shared" si="1"/>
        <v>24938</v>
      </c>
    </row>
    <row r="108" spans="1:8" ht="16.5" thickBot="1">
      <c r="A108" s="1076" t="s">
        <v>748</v>
      </c>
      <c r="B108" s="2016" t="s">
        <v>1792</v>
      </c>
      <c r="C108" s="2212">
        <v>943991876</v>
      </c>
      <c r="D108" s="2212">
        <v>943991876</v>
      </c>
      <c r="E108" s="2020">
        <v>944225559</v>
      </c>
      <c r="F108" s="2020">
        <v>944225559</v>
      </c>
      <c r="H108" s="2215">
        <f t="shared" si="1"/>
        <v>-233683</v>
      </c>
    </row>
    <row r="109" spans="1:8" ht="16.5" thickBot="1">
      <c r="A109" s="1076" t="s">
        <v>749</v>
      </c>
      <c r="B109" s="2015" t="s">
        <v>1793</v>
      </c>
      <c r="C109" s="2212">
        <v>217573435</v>
      </c>
      <c r="D109" s="2212">
        <v>217573435</v>
      </c>
      <c r="E109" s="2019">
        <v>217583996</v>
      </c>
      <c r="F109" s="2019">
        <v>217583996</v>
      </c>
      <c r="H109" s="2215">
        <f t="shared" si="1"/>
        <v>-10561</v>
      </c>
    </row>
    <row r="110" spans="1:8" ht="16.5" thickBot="1">
      <c r="A110" s="1076" t="s">
        <v>750</v>
      </c>
      <c r="B110" s="2016" t="s">
        <v>1794</v>
      </c>
      <c r="C110" s="2212">
        <v>150981875</v>
      </c>
      <c r="D110" s="2212">
        <v>150981875</v>
      </c>
      <c r="E110" s="2020">
        <v>151759754</v>
      </c>
      <c r="F110" s="2020">
        <v>151759754</v>
      </c>
      <c r="H110" s="2215">
        <f t="shared" si="1"/>
        <v>-777879</v>
      </c>
    </row>
    <row r="111" spans="1:8" ht="16.5" thickBot="1">
      <c r="A111" s="1076" t="s">
        <v>2154</v>
      </c>
      <c r="B111" s="2015" t="s">
        <v>154</v>
      </c>
      <c r="C111" s="2212">
        <v>1826700546</v>
      </c>
      <c r="D111" s="2212">
        <v>1826700546</v>
      </c>
      <c r="E111" s="2019">
        <v>1826509007</v>
      </c>
      <c r="F111" s="2019">
        <v>1826509007</v>
      </c>
      <c r="H111" s="2215">
        <f t="shared" si="1"/>
        <v>191539</v>
      </c>
    </row>
    <row r="112" spans="1:8" ht="16.5" thickBot="1">
      <c r="A112" s="1076" t="s">
        <v>380</v>
      </c>
      <c r="B112" s="2016" t="s">
        <v>322</v>
      </c>
      <c r="C112" s="2212">
        <v>3023601137</v>
      </c>
      <c r="D112" s="2212">
        <v>3023601137</v>
      </c>
      <c r="E112" s="2020">
        <v>3024408067</v>
      </c>
      <c r="F112" s="2020">
        <v>3024408067</v>
      </c>
      <c r="H112" s="2215">
        <f t="shared" si="1"/>
        <v>-806930</v>
      </c>
    </row>
    <row r="113" spans="1:8" ht="16.5" thickBot="1">
      <c r="A113" s="1076" t="s">
        <v>497</v>
      </c>
      <c r="B113" s="2015" t="s">
        <v>2546</v>
      </c>
      <c r="C113" s="2212">
        <v>1054320722</v>
      </c>
      <c r="D113" s="2212">
        <v>1054320722</v>
      </c>
      <c r="E113" s="2019">
        <v>1054325375</v>
      </c>
      <c r="F113" s="2019">
        <v>1054325375</v>
      </c>
      <c r="H113" s="2215">
        <f t="shared" si="1"/>
        <v>-4653</v>
      </c>
    </row>
    <row r="114" spans="1:8" ht="16.5" thickBot="1">
      <c r="A114" s="1076" t="s">
        <v>1318</v>
      </c>
      <c r="B114" s="2016" t="s">
        <v>948</v>
      </c>
      <c r="C114" s="2212">
        <v>499022968</v>
      </c>
      <c r="D114" s="2212">
        <v>499022968</v>
      </c>
      <c r="E114" s="2020">
        <v>498910576</v>
      </c>
      <c r="F114" s="2020">
        <v>498910576</v>
      </c>
      <c r="H114" s="2215">
        <f t="shared" si="1"/>
        <v>112392</v>
      </c>
    </row>
    <row r="115" spans="1:8" ht="16.5" thickBot="1">
      <c r="A115" s="1076" t="s">
        <v>2631</v>
      </c>
      <c r="B115" s="2015" t="s">
        <v>1795</v>
      </c>
      <c r="C115" s="2212">
        <v>171214490</v>
      </c>
      <c r="D115" s="2212">
        <v>171214490</v>
      </c>
      <c r="E115" s="2019">
        <v>171210583</v>
      </c>
      <c r="F115" s="2019">
        <v>171210583</v>
      </c>
      <c r="H115" s="2215">
        <f t="shared" si="1"/>
        <v>3907</v>
      </c>
    </row>
    <row r="116" spans="1:8" ht="16.5" thickBot="1">
      <c r="A116" s="1076" t="s">
        <v>1535</v>
      </c>
      <c r="B116" s="2016" t="s">
        <v>1177</v>
      </c>
      <c r="C116" s="2212">
        <v>3693252285</v>
      </c>
      <c r="D116" s="2212">
        <v>3792652285</v>
      </c>
      <c r="E116" s="2020">
        <v>3694547468</v>
      </c>
      <c r="F116" s="2020">
        <v>3793947468</v>
      </c>
      <c r="H116" s="2215">
        <f t="shared" si="1"/>
        <v>-1295183</v>
      </c>
    </row>
    <row r="117" spans="1:8" ht="16.5" thickBot="1">
      <c r="A117" s="1076" t="s">
        <v>2671</v>
      </c>
      <c r="B117" s="2015" t="s">
        <v>1797</v>
      </c>
      <c r="C117" s="2212">
        <v>133870288</v>
      </c>
      <c r="D117" s="2212">
        <v>133870288</v>
      </c>
      <c r="E117" s="2019">
        <v>133371244</v>
      </c>
      <c r="F117" s="2019">
        <v>133371244</v>
      </c>
      <c r="H117" s="2215">
        <f t="shared" si="1"/>
        <v>499044</v>
      </c>
    </row>
    <row r="118" spans="1:8" ht="16.5" thickBot="1">
      <c r="A118" s="1076" t="s">
        <v>811</v>
      </c>
      <c r="B118" s="2016" t="s">
        <v>38</v>
      </c>
      <c r="C118" s="2212">
        <v>319420290</v>
      </c>
      <c r="D118" s="2212">
        <v>572822080</v>
      </c>
      <c r="E118" s="2020">
        <v>318784777</v>
      </c>
      <c r="F118" s="2020">
        <v>572186567</v>
      </c>
      <c r="H118" s="2215">
        <f t="shared" si="1"/>
        <v>635513</v>
      </c>
    </row>
    <row r="119" spans="1:8" ht="16.5" thickBot="1">
      <c r="A119" s="1076" t="s">
        <v>171</v>
      </c>
      <c r="B119" s="2015" t="s">
        <v>1798</v>
      </c>
      <c r="C119" s="2212">
        <v>160227796</v>
      </c>
      <c r="D119" s="2212">
        <v>160227796</v>
      </c>
      <c r="E119" s="2019">
        <v>159869836</v>
      </c>
      <c r="F119" s="2019">
        <v>159869836</v>
      </c>
      <c r="H119" s="2215">
        <f t="shared" si="1"/>
        <v>357960</v>
      </c>
    </row>
    <row r="120" spans="1:8" ht="16.5" thickBot="1">
      <c r="A120" s="1076" t="s">
        <v>2090</v>
      </c>
      <c r="B120" s="2016" t="s">
        <v>1799</v>
      </c>
      <c r="C120" s="2212">
        <v>221379388</v>
      </c>
      <c r="D120" s="2212">
        <v>221379388</v>
      </c>
      <c r="E120" s="2020">
        <v>221212919</v>
      </c>
      <c r="F120" s="2020">
        <v>221212919</v>
      </c>
      <c r="H120" s="2215">
        <f t="shared" si="1"/>
        <v>166469</v>
      </c>
    </row>
    <row r="121" spans="1:8" ht="16.5" thickBot="1">
      <c r="A121" s="1076" t="s">
        <v>993</v>
      </c>
      <c r="B121" s="2015" t="s">
        <v>3031</v>
      </c>
      <c r="C121" s="2212">
        <v>5401181977</v>
      </c>
      <c r="D121" s="2212">
        <v>5401181977</v>
      </c>
      <c r="E121" s="2019">
        <v>5397679986</v>
      </c>
      <c r="F121" s="2019">
        <v>5397679986</v>
      </c>
      <c r="H121" s="2215">
        <f t="shared" si="1"/>
        <v>3501991</v>
      </c>
    </row>
    <row r="122" spans="1:8" ht="16.5" thickBot="1">
      <c r="A122" s="1076" t="s">
        <v>2126</v>
      </c>
      <c r="B122" s="2016" t="s">
        <v>41</v>
      </c>
      <c r="C122" s="2212">
        <v>3341392617</v>
      </c>
      <c r="D122" s="2212">
        <v>3341392617</v>
      </c>
      <c r="E122" s="2020">
        <v>3337942346</v>
      </c>
      <c r="F122" s="2020">
        <v>3337942346</v>
      </c>
      <c r="H122" s="2215">
        <f t="shared" si="1"/>
        <v>3450271</v>
      </c>
    </row>
    <row r="123" spans="1:8" ht="16.5" thickBot="1">
      <c r="A123" s="1076" t="s">
        <v>64</v>
      </c>
      <c r="B123" s="2015" t="s">
        <v>2148</v>
      </c>
      <c r="C123" s="2212">
        <v>372765379</v>
      </c>
      <c r="D123" s="2212">
        <v>372765379</v>
      </c>
      <c r="E123" s="2019">
        <v>372911039</v>
      </c>
      <c r="F123" s="2019">
        <v>372911039</v>
      </c>
      <c r="H123" s="2215">
        <f t="shared" si="1"/>
        <v>-145660</v>
      </c>
    </row>
    <row r="124" spans="1:8" ht="16.5" thickBot="1">
      <c r="A124" s="1076" t="s">
        <v>2606</v>
      </c>
      <c r="B124" s="2016" t="s">
        <v>43</v>
      </c>
      <c r="C124" s="2212">
        <v>1479668865</v>
      </c>
      <c r="D124" s="2212">
        <v>1479668865</v>
      </c>
      <c r="E124" s="2020">
        <v>1482029316</v>
      </c>
      <c r="F124" s="2020">
        <v>1482029316</v>
      </c>
      <c r="H124" s="2215">
        <f t="shared" si="1"/>
        <v>-2360451</v>
      </c>
    </row>
    <row r="125" spans="1:8" ht="16.5" thickBot="1">
      <c r="A125" s="1076" t="s">
        <v>1892</v>
      </c>
      <c r="B125" s="2015" t="s">
        <v>1800</v>
      </c>
      <c r="C125" s="2212">
        <v>3532509811</v>
      </c>
      <c r="D125" s="2212">
        <v>3532509811</v>
      </c>
      <c r="E125" s="2019">
        <v>3532710080</v>
      </c>
      <c r="F125" s="2019">
        <v>3532710080</v>
      </c>
      <c r="H125" s="2215">
        <f t="shared" si="1"/>
        <v>-200269</v>
      </c>
    </row>
    <row r="126" spans="1:8" ht="16.5" thickBot="1">
      <c r="A126" s="1076" t="s">
        <v>812</v>
      </c>
      <c r="B126" s="2016" t="s">
        <v>3093</v>
      </c>
      <c r="C126" s="2212">
        <v>250255798</v>
      </c>
      <c r="D126" s="2212">
        <v>290276448</v>
      </c>
      <c r="E126" s="2020">
        <v>250961733</v>
      </c>
      <c r="F126" s="2020">
        <v>290982383</v>
      </c>
      <c r="H126" s="2215">
        <f t="shared" si="1"/>
        <v>-705935</v>
      </c>
    </row>
    <row r="127" spans="1:8" ht="16.5" thickBot="1">
      <c r="A127" s="1076" t="s">
        <v>1490</v>
      </c>
      <c r="B127" s="2015" t="s">
        <v>46</v>
      </c>
      <c r="C127" s="2212">
        <v>883848867</v>
      </c>
      <c r="D127" s="2212">
        <v>883848867</v>
      </c>
      <c r="E127" s="2019">
        <v>883963103</v>
      </c>
      <c r="F127" s="2019">
        <v>883963103</v>
      </c>
      <c r="H127" s="2215">
        <f t="shared" si="1"/>
        <v>-114236</v>
      </c>
    </row>
    <row r="128" spans="1:8" ht="16.5" thickBot="1">
      <c r="A128" s="1076" t="s">
        <v>813</v>
      </c>
      <c r="B128" s="2016" t="s">
        <v>99</v>
      </c>
      <c r="C128" s="2212">
        <v>41586752</v>
      </c>
      <c r="D128" s="2212">
        <v>41586752</v>
      </c>
      <c r="E128" s="2020">
        <v>41926165</v>
      </c>
      <c r="F128" s="2020">
        <v>41926165</v>
      </c>
      <c r="H128" s="2215">
        <f t="shared" si="1"/>
        <v>-339413</v>
      </c>
    </row>
    <row r="129" spans="1:8" ht="16.5" thickBot="1">
      <c r="A129" s="1076" t="s">
        <v>534</v>
      </c>
      <c r="B129" s="2015" t="s">
        <v>100</v>
      </c>
      <c r="C129" s="2212">
        <v>76533148</v>
      </c>
      <c r="D129" s="2212">
        <v>76533148</v>
      </c>
      <c r="E129" s="2019">
        <v>76606501</v>
      </c>
      <c r="F129" s="2019">
        <v>76606501</v>
      </c>
      <c r="H129" s="2215">
        <f t="shared" si="1"/>
        <v>-73353</v>
      </c>
    </row>
    <row r="130" spans="1:8" ht="16.5" thickBot="1">
      <c r="A130" s="1076" t="s">
        <v>1050</v>
      </c>
      <c r="B130" s="2016" t="s">
        <v>1801</v>
      </c>
      <c r="C130" s="2212">
        <v>723511437</v>
      </c>
      <c r="D130" s="2212">
        <v>723511437</v>
      </c>
      <c r="E130" s="2020">
        <v>723087745</v>
      </c>
      <c r="F130" s="2020">
        <v>723087745</v>
      </c>
      <c r="H130" s="2215">
        <f t="shared" ref="H130:H193" si="2">C130-E130</f>
        <v>423692</v>
      </c>
    </row>
    <row r="131" spans="1:8" ht="16.5" thickBot="1">
      <c r="A131" s="1076" t="s">
        <v>1051</v>
      </c>
      <c r="B131" s="2015" t="s">
        <v>1802</v>
      </c>
      <c r="C131" s="2212">
        <v>87332182</v>
      </c>
      <c r="D131" s="2212">
        <v>87332182</v>
      </c>
      <c r="E131" s="2019">
        <v>87314578</v>
      </c>
      <c r="F131" s="2019">
        <v>87314578</v>
      </c>
      <c r="H131" s="2215">
        <f t="shared" si="2"/>
        <v>17604</v>
      </c>
    </row>
    <row r="132" spans="1:8" ht="16.5" thickBot="1">
      <c r="A132" s="1076" t="s">
        <v>879</v>
      </c>
      <c r="B132" s="2016" t="s">
        <v>2484</v>
      </c>
      <c r="C132" s="2212">
        <v>552486840</v>
      </c>
      <c r="D132" s="2212">
        <v>712116360</v>
      </c>
      <c r="E132" s="2020">
        <v>552442003</v>
      </c>
      <c r="F132" s="2020">
        <v>712071523</v>
      </c>
      <c r="H132" s="2215">
        <f t="shared" si="2"/>
        <v>44837</v>
      </c>
    </row>
    <row r="133" spans="1:8" ht="16.5" thickBot="1">
      <c r="A133" s="1076" t="s">
        <v>2050</v>
      </c>
      <c r="B133" s="2015" t="s">
        <v>2485</v>
      </c>
      <c r="C133" s="2212">
        <v>398614210</v>
      </c>
      <c r="D133" s="2212">
        <v>398614210</v>
      </c>
      <c r="E133" s="2019">
        <v>398517006</v>
      </c>
      <c r="F133" s="2019">
        <v>398517006</v>
      </c>
      <c r="H133" s="2215">
        <f t="shared" si="2"/>
        <v>97204</v>
      </c>
    </row>
    <row r="134" spans="1:8" ht="16.5" thickBot="1">
      <c r="A134" s="1076" t="s">
        <v>1941</v>
      </c>
      <c r="B134" s="2016" t="s">
        <v>2486</v>
      </c>
      <c r="C134" s="2212">
        <v>540053300</v>
      </c>
      <c r="D134" s="2212">
        <v>540053300</v>
      </c>
      <c r="E134" s="2020">
        <v>539230627</v>
      </c>
      <c r="F134" s="2020">
        <v>539230627</v>
      </c>
      <c r="H134" s="2215">
        <f t="shared" si="2"/>
        <v>822673</v>
      </c>
    </row>
    <row r="135" spans="1:8" ht="16.5" thickBot="1">
      <c r="A135" s="1076" t="s">
        <v>1942</v>
      </c>
      <c r="B135" s="2015" t="s">
        <v>2487</v>
      </c>
      <c r="C135" s="2212">
        <v>57458012</v>
      </c>
      <c r="D135" s="2212">
        <v>57458012</v>
      </c>
      <c r="E135" s="2019">
        <v>57403042</v>
      </c>
      <c r="F135" s="2019">
        <v>57403042</v>
      </c>
      <c r="H135" s="2215">
        <f t="shared" si="2"/>
        <v>54970</v>
      </c>
    </row>
    <row r="136" spans="1:8" ht="16.5" thickBot="1">
      <c r="A136" s="1076" t="s">
        <v>842</v>
      </c>
      <c r="B136" s="2016" t="s">
        <v>2488</v>
      </c>
      <c r="C136" s="2212">
        <v>324745298</v>
      </c>
      <c r="D136" s="2212">
        <v>324745298</v>
      </c>
      <c r="E136" s="2020">
        <v>324317116</v>
      </c>
      <c r="F136" s="2020">
        <v>324317116</v>
      </c>
      <c r="H136" s="2215">
        <f t="shared" si="2"/>
        <v>428182</v>
      </c>
    </row>
    <row r="137" spans="1:8" ht="16.5" thickBot="1">
      <c r="A137" s="1076" t="s">
        <v>843</v>
      </c>
      <c r="B137" s="2015" t="s">
        <v>1178</v>
      </c>
      <c r="C137" s="2212">
        <v>222164366</v>
      </c>
      <c r="D137" s="2212">
        <v>222164366</v>
      </c>
      <c r="E137" s="2019">
        <v>221758539</v>
      </c>
      <c r="F137" s="2019">
        <v>221758539</v>
      </c>
      <c r="H137" s="2215">
        <f t="shared" si="2"/>
        <v>405827</v>
      </c>
    </row>
    <row r="138" spans="1:8" ht="16.5" thickBot="1">
      <c r="A138" s="1076" t="s">
        <v>2142</v>
      </c>
      <c r="B138" s="2016" t="s">
        <v>929</v>
      </c>
      <c r="C138" s="2212">
        <v>33383626</v>
      </c>
      <c r="D138" s="2212">
        <v>33383626</v>
      </c>
      <c r="E138" s="2020">
        <v>33451754</v>
      </c>
      <c r="F138" s="2020">
        <v>33451754</v>
      </c>
      <c r="H138" s="2215">
        <f t="shared" si="2"/>
        <v>-68128</v>
      </c>
    </row>
    <row r="139" spans="1:8" ht="16.5" thickBot="1">
      <c r="A139" s="1076" t="s">
        <v>844</v>
      </c>
      <c r="B139" s="2015" t="s">
        <v>1921</v>
      </c>
      <c r="C139" s="2212">
        <v>416338320</v>
      </c>
      <c r="D139" s="2212">
        <v>416338320</v>
      </c>
      <c r="E139" s="2019">
        <v>416086162</v>
      </c>
      <c r="F139" s="2019">
        <v>416086162</v>
      </c>
      <c r="H139" s="2215">
        <f t="shared" si="2"/>
        <v>252158</v>
      </c>
    </row>
    <row r="140" spans="1:8" ht="16.5" thickBot="1">
      <c r="A140" s="1076" t="s">
        <v>2226</v>
      </c>
      <c r="B140" s="2016" t="s">
        <v>1923</v>
      </c>
      <c r="C140" s="2212">
        <v>38366412</v>
      </c>
      <c r="D140" s="2212">
        <v>38366412</v>
      </c>
      <c r="E140" s="2020">
        <v>38314676</v>
      </c>
      <c r="F140" s="2020">
        <v>38314676</v>
      </c>
      <c r="H140" s="2215">
        <f t="shared" si="2"/>
        <v>51736</v>
      </c>
    </row>
    <row r="141" spans="1:8" ht="16.5" thickBot="1">
      <c r="A141" s="1076" t="s">
        <v>2227</v>
      </c>
      <c r="B141" s="2015" t="s">
        <v>1924</v>
      </c>
      <c r="C141" s="2212">
        <v>260612609</v>
      </c>
      <c r="D141" s="2212">
        <v>260612609</v>
      </c>
      <c r="E141" s="2019">
        <v>260205729</v>
      </c>
      <c r="F141" s="2019">
        <v>260205729</v>
      </c>
      <c r="H141" s="2215">
        <f t="shared" si="2"/>
        <v>406880</v>
      </c>
    </row>
    <row r="142" spans="1:8" ht="16.5" thickBot="1">
      <c r="A142" s="1076" t="s">
        <v>2788</v>
      </c>
      <c r="B142" s="2016" t="s">
        <v>1925</v>
      </c>
      <c r="C142" s="2212">
        <v>84447342</v>
      </c>
      <c r="D142" s="2212">
        <v>84447342</v>
      </c>
      <c r="E142" s="2020">
        <v>84436982</v>
      </c>
      <c r="F142" s="2020">
        <v>84436982</v>
      </c>
      <c r="H142" s="2215">
        <f t="shared" si="2"/>
        <v>10360</v>
      </c>
    </row>
    <row r="143" spans="1:8" ht="16.5" thickBot="1">
      <c r="A143" s="1076" t="s">
        <v>2904</v>
      </c>
      <c r="B143" s="2015" t="s">
        <v>425</v>
      </c>
      <c r="C143" s="2212">
        <v>72880208</v>
      </c>
      <c r="D143" s="2212">
        <v>72880208</v>
      </c>
      <c r="E143" s="2019">
        <v>72833738</v>
      </c>
      <c r="F143" s="2019">
        <v>72833738</v>
      </c>
      <c r="H143" s="2215">
        <f t="shared" si="2"/>
        <v>46470</v>
      </c>
    </row>
    <row r="144" spans="1:8" ht="16.5" thickBot="1">
      <c r="A144" s="1076" t="s">
        <v>1840</v>
      </c>
      <c r="B144" s="2016" t="s">
        <v>1205</v>
      </c>
      <c r="C144" s="2212">
        <v>696799082</v>
      </c>
      <c r="D144" s="2212">
        <v>696799082</v>
      </c>
      <c r="E144" s="2020">
        <v>696731522</v>
      </c>
      <c r="F144" s="2020">
        <v>696731522</v>
      </c>
      <c r="H144" s="2215">
        <f t="shared" si="2"/>
        <v>67560</v>
      </c>
    </row>
    <row r="145" spans="1:8" ht="16.5" thickBot="1">
      <c r="A145" s="1076" t="s">
        <v>2789</v>
      </c>
      <c r="B145" s="2015" t="s">
        <v>1926</v>
      </c>
      <c r="C145" s="2212">
        <v>4716314312</v>
      </c>
      <c r="D145" s="2212">
        <v>5949163389</v>
      </c>
      <c r="E145" s="2019">
        <v>4716321692</v>
      </c>
      <c r="F145" s="2019">
        <v>5949170769</v>
      </c>
      <c r="H145" s="2215">
        <f t="shared" si="2"/>
        <v>-7380</v>
      </c>
    </row>
    <row r="146" spans="1:8" ht="16.5" thickBot="1">
      <c r="A146" s="1076" t="s">
        <v>316</v>
      </c>
      <c r="B146" s="2016" t="s">
        <v>2716</v>
      </c>
      <c r="C146" s="2212">
        <v>276409167</v>
      </c>
      <c r="D146" s="2212">
        <v>276409167</v>
      </c>
      <c r="E146" s="2020">
        <v>276644197</v>
      </c>
      <c r="F146" s="2020">
        <v>276644197</v>
      </c>
      <c r="H146" s="2215">
        <f t="shared" si="2"/>
        <v>-235030</v>
      </c>
    </row>
    <row r="147" spans="1:8" ht="16.5" thickBot="1">
      <c r="A147" s="1076" t="s">
        <v>1658</v>
      </c>
      <c r="B147" s="2015" t="s">
        <v>1691</v>
      </c>
      <c r="C147" s="2212">
        <v>122893031</v>
      </c>
      <c r="D147" s="2212">
        <v>122893031</v>
      </c>
      <c r="E147" s="2019">
        <v>123277249</v>
      </c>
      <c r="F147" s="2019">
        <v>123277249</v>
      </c>
      <c r="H147" s="2215">
        <f t="shared" si="2"/>
        <v>-384218</v>
      </c>
    </row>
    <row r="148" spans="1:8" ht="16.5" thickBot="1">
      <c r="A148" s="1076" t="s">
        <v>50</v>
      </c>
      <c r="B148" s="2016" t="s">
        <v>445</v>
      </c>
      <c r="C148" s="2212">
        <v>974708929</v>
      </c>
      <c r="D148" s="2212">
        <v>974708929</v>
      </c>
      <c r="E148" s="2020">
        <v>975439024</v>
      </c>
      <c r="F148" s="2020">
        <v>975439024</v>
      </c>
      <c r="H148" s="2215">
        <f t="shared" si="2"/>
        <v>-730095</v>
      </c>
    </row>
    <row r="149" spans="1:8" ht="16.5" thickBot="1">
      <c r="A149" s="1076" t="s">
        <v>1486</v>
      </c>
      <c r="B149" s="2015" t="s">
        <v>669</v>
      </c>
      <c r="C149" s="2212">
        <v>358998560</v>
      </c>
      <c r="D149" s="2212">
        <v>358998560</v>
      </c>
      <c r="E149" s="2019">
        <v>359734690</v>
      </c>
      <c r="F149" s="2019">
        <v>359734690</v>
      </c>
      <c r="H149" s="2215">
        <f t="shared" si="2"/>
        <v>-736130</v>
      </c>
    </row>
    <row r="150" spans="1:8" ht="16.5" thickBot="1">
      <c r="A150" s="1076" t="s">
        <v>2907</v>
      </c>
      <c r="B150" s="2016" t="s">
        <v>1306</v>
      </c>
      <c r="C150" s="2212">
        <v>59121122</v>
      </c>
      <c r="D150" s="2212">
        <v>59121122</v>
      </c>
      <c r="E150" s="2020">
        <v>59410901</v>
      </c>
      <c r="F150" s="2020">
        <v>59410901</v>
      </c>
      <c r="H150" s="2215">
        <f t="shared" si="2"/>
        <v>-289779</v>
      </c>
    </row>
    <row r="151" spans="1:8" ht="16.5" thickBot="1">
      <c r="A151" s="1076" t="s">
        <v>1659</v>
      </c>
      <c r="B151" s="2015" t="s">
        <v>30</v>
      </c>
      <c r="C151" s="2212">
        <v>70942920</v>
      </c>
      <c r="D151" s="2212">
        <v>70942920</v>
      </c>
      <c r="E151" s="2019">
        <v>70955890</v>
      </c>
      <c r="F151" s="2019">
        <v>70955890</v>
      </c>
      <c r="H151" s="2215">
        <f t="shared" si="2"/>
        <v>-12970</v>
      </c>
    </row>
    <row r="152" spans="1:8" ht="16.5" thickBot="1">
      <c r="A152" s="1076" t="s">
        <v>84</v>
      </c>
      <c r="B152" s="2016" t="s">
        <v>2500</v>
      </c>
      <c r="C152" s="2212">
        <v>346664687</v>
      </c>
      <c r="D152" s="2212">
        <v>346664687</v>
      </c>
      <c r="E152" s="2020">
        <v>346004149</v>
      </c>
      <c r="F152" s="2020">
        <v>346004149</v>
      </c>
      <c r="H152" s="2215">
        <f t="shared" si="2"/>
        <v>660538</v>
      </c>
    </row>
    <row r="153" spans="1:8" ht="16.5" thickBot="1">
      <c r="A153" s="1076" t="s">
        <v>2482</v>
      </c>
      <c r="B153" s="2015" t="s">
        <v>2193</v>
      </c>
      <c r="C153" s="2212">
        <v>340420447</v>
      </c>
      <c r="D153" s="2212">
        <v>340420447</v>
      </c>
      <c r="E153" s="2019">
        <v>340510137</v>
      </c>
      <c r="F153" s="2019">
        <v>340510137</v>
      </c>
      <c r="H153" s="2215">
        <f t="shared" si="2"/>
        <v>-89690</v>
      </c>
    </row>
    <row r="154" spans="1:8" ht="16.5" thickBot="1">
      <c r="A154" s="1076" t="s">
        <v>814</v>
      </c>
      <c r="B154" s="2016" t="s">
        <v>4581</v>
      </c>
      <c r="C154" s="2212">
        <v>131307744</v>
      </c>
      <c r="D154" s="2212">
        <v>131307744</v>
      </c>
      <c r="E154" s="2020">
        <v>131245984</v>
      </c>
      <c r="F154" s="2020">
        <v>131245984</v>
      </c>
      <c r="H154" s="2215">
        <f t="shared" si="2"/>
        <v>61760</v>
      </c>
    </row>
    <row r="155" spans="1:8" ht="16.5" thickBot="1">
      <c r="A155" s="1076" t="s">
        <v>2483</v>
      </c>
      <c r="B155" s="2015" t="s">
        <v>2194</v>
      </c>
      <c r="C155" s="2212">
        <v>64677292</v>
      </c>
      <c r="D155" s="2212">
        <v>64677292</v>
      </c>
      <c r="E155" s="2019">
        <v>64589352</v>
      </c>
      <c r="F155" s="2019">
        <v>64589352</v>
      </c>
      <c r="H155" s="2215">
        <f t="shared" si="2"/>
        <v>87940</v>
      </c>
    </row>
    <row r="156" spans="1:8" ht="16.5" thickBot="1">
      <c r="A156" s="1076" t="s">
        <v>1883</v>
      </c>
      <c r="B156" s="2016" t="s">
        <v>2195</v>
      </c>
      <c r="C156" s="2212">
        <v>97556252</v>
      </c>
      <c r="D156" s="2212">
        <v>97556252</v>
      </c>
      <c r="E156" s="2020">
        <v>97615432</v>
      </c>
      <c r="F156" s="2020">
        <v>97615432</v>
      </c>
      <c r="H156" s="2215">
        <f t="shared" si="2"/>
        <v>-59180</v>
      </c>
    </row>
    <row r="157" spans="1:8" ht="16.5" thickBot="1">
      <c r="A157" s="1076" t="s">
        <v>1884</v>
      </c>
      <c r="B157" s="2015" t="s">
        <v>2468</v>
      </c>
      <c r="C157" s="2212">
        <v>62362665</v>
      </c>
      <c r="D157" s="2212">
        <v>62362665</v>
      </c>
      <c r="E157" s="2019">
        <v>63347093</v>
      </c>
      <c r="F157" s="2019">
        <v>63347093</v>
      </c>
      <c r="H157" s="2215">
        <f t="shared" si="2"/>
        <v>-984428</v>
      </c>
    </row>
    <row r="158" spans="1:8" ht="16.5" thickBot="1">
      <c r="A158" s="1076" t="s">
        <v>899</v>
      </c>
      <c r="B158" s="2016" t="s">
        <v>1179</v>
      </c>
      <c r="C158" s="2212">
        <v>963953138</v>
      </c>
      <c r="D158" s="2212">
        <v>963953138</v>
      </c>
      <c r="E158" s="2020">
        <v>964249358</v>
      </c>
      <c r="F158" s="2020">
        <v>964249358</v>
      </c>
      <c r="H158" s="2215">
        <f t="shared" si="2"/>
        <v>-296220</v>
      </c>
    </row>
    <row r="159" spans="1:8" ht="16.5" thickBot="1">
      <c r="A159" s="1076" t="s">
        <v>900</v>
      </c>
      <c r="B159" s="2015" t="s">
        <v>2470</v>
      </c>
      <c r="C159" s="2212">
        <v>116806363</v>
      </c>
      <c r="D159" s="2212">
        <v>116806363</v>
      </c>
      <c r="E159" s="2019">
        <v>116695093</v>
      </c>
      <c r="F159" s="2019">
        <v>116695093</v>
      </c>
      <c r="H159" s="2215">
        <f t="shared" si="2"/>
        <v>111270</v>
      </c>
    </row>
    <row r="160" spans="1:8" ht="16.5" thickBot="1">
      <c r="A160" s="1076" t="s">
        <v>922</v>
      </c>
      <c r="B160" s="2016" t="s">
        <v>2471</v>
      </c>
      <c r="C160" s="2212">
        <v>246928476</v>
      </c>
      <c r="D160" s="2212">
        <v>364482156</v>
      </c>
      <c r="E160" s="2020">
        <v>247072586</v>
      </c>
      <c r="F160" s="2020">
        <v>364626266</v>
      </c>
      <c r="H160" s="2215">
        <f t="shared" si="2"/>
        <v>-144110</v>
      </c>
    </row>
    <row r="161" spans="1:8" ht="16.5" thickBot="1">
      <c r="A161" s="1076" t="s">
        <v>630</v>
      </c>
      <c r="B161" s="2015" t="s">
        <v>1333</v>
      </c>
      <c r="C161" s="2212">
        <v>175029076</v>
      </c>
      <c r="D161" s="2212">
        <v>175029076</v>
      </c>
      <c r="E161" s="2019">
        <v>175543431</v>
      </c>
      <c r="F161" s="2019">
        <v>175543431</v>
      </c>
      <c r="H161" s="2215">
        <f t="shared" si="2"/>
        <v>-514355</v>
      </c>
    </row>
    <row r="162" spans="1:8" ht="16.5" thickBot="1">
      <c r="A162" s="1076" t="s">
        <v>2712</v>
      </c>
      <c r="B162" s="2016" t="s">
        <v>97</v>
      </c>
      <c r="C162" s="2212">
        <v>89487506</v>
      </c>
      <c r="D162" s="2212">
        <v>89487506</v>
      </c>
      <c r="E162" s="2020">
        <v>89526603</v>
      </c>
      <c r="F162" s="2020">
        <v>89526603</v>
      </c>
      <c r="H162" s="2215">
        <f t="shared" si="2"/>
        <v>-39097</v>
      </c>
    </row>
    <row r="163" spans="1:8" ht="16.5" thickBot="1">
      <c r="A163" s="1076" t="s">
        <v>923</v>
      </c>
      <c r="B163" s="2015" t="s">
        <v>1180</v>
      </c>
      <c r="C163" s="2212">
        <v>127884250</v>
      </c>
      <c r="D163" s="2212">
        <v>127884250</v>
      </c>
      <c r="E163" s="2019">
        <v>127899926</v>
      </c>
      <c r="F163" s="2019">
        <v>127899926</v>
      </c>
      <c r="H163" s="2215">
        <f t="shared" si="2"/>
        <v>-15676</v>
      </c>
    </row>
    <row r="164" spans="1:8" ht="16.5" thickBot="1">
      <c r="A164" s="1076" t="s">
        <v>638</v>
      </c>
      <c r="B164" s="2016" t="s">
        <v>2234</v>
      </c>
      <c r="C164" s="2212">
        <v>9132282100</v>
      </c>
      <c r="D164" s="2212">
        <v>9132282100</v>
      </c>
      <c r="E164" s="2020">
        <v>9132881458</v>
      </c>
      <c r="F164" s="2020">
        <v>9132881458</v>
      </c>
      <c r="H164" s="2215">
        <f t="shared" si="2"/>
        <v>-599358</v>
      </c>
    </row>
    <row r="165" spans="1:8" ht="16.5" thickBot="1">
      <c r="A165" s="1076" t="s">
        <v>1841</v>
      </c>
      <c r="B165" s="2015" t="s">
        <v>1206</v>
      </c>
      <c r="C165" s="2212">
        <v>650041234</v>
      </c>
      <c r="D165" s="2212">
        <v>650041234</v>
      </c>
      <c r="E165" s="2019">
        <v>649914722</v>
      </c>
      <c r="F165" s="2019">
        <v>649914722</v>
      </c>
      <c r="H165" s="2215">
        <f t="shared" si="2"/>
        <v>126512</v>
      </c>
    </row>
    <row r="166" spans="1:8" ht="16.5" thickBot="1">
      <c r="A166" s="1076" t="s">
        <v>2862</v>
      </c>
      <c r="B166" s="2016" t="s">
        <v>733</v>
      </c>
      <c r="C166" s="2212">
        <v>756182088</v>
      </c>
      <c r="D166" s="2212">
        <v>756182088</v>
      </c>
      <c r="E166" s="2020">
        <v>756160141</v>
      </c>
      <c r="F166" s="2020">
        <v>756160141</v>
      </c>
      <c r="H166" s="2215">
        <f t="shared" si="2"/>
        <v>21947</v>
      </c>
    </row>
    <row r="167" spans="1:8" ht="16.5" thickBot="1">
      <c r="A167" s="1076" t="s">
        <v>1900</v>
      </c>
      <c r="B167" s="2015" t="s">
        <v>129</v>
      </c>
      <c r="C167" s="2212">
        <v>366724708</v>
      </c>
      <c r="D167" s="2212">
        <v>366724708</v>
      </c>
      <c r="E167" s="2019">
        <v>366764613</v>
      </c>
      <c r="F167" s="2019">
        <v>366764613</v>
      </c>
      <c r="H167" s="2215">
        <f t="shared" si="2"/>
        <v>-39905</v>
      </c>
    </row>
    <row r="168" spans="1:8" ht="16.5" thickBot="1">
      <c r="A168" s="1076" t="s">
        <v>1605</v>
      </c>
      <c r="B168" s="2016" t="s">
        <v>1667</v>
      </c>
      <c r="C168" s="2212">
        <v>21678338520</v>
      </c>
      <c r="D168" s="2212">
        <v>21678338520</v>
      </c>
      <c r="E168" s="2020">
        <v>21679075533</v>
      </c>
      <c r="F168" s="2020">
        <v>21679075533</v>
      </c>
      <c r="H168" s="2215">
        <f t="shared" si="2"/>
        <v>-737013</v>
      </c>
    </row>
    <row r="169" spans="1:8" ht="16.5" thickBot="1">
      <c r="A169" s="1076" t="s">
        <v>2895</v>
      </c>
      <c r="B169" s="2015" t="s">
        <v>928</v>
      </c>
      <c r="C169" s="2212">
        <v>10387098517</v>
      </c>
      <c r="D169" s="2212">
        <v>10387098517</v>
      </c>
      <c r="E169" s="2019">
        <v>10388404525</v>
      </c>
      <c r="F169" s="2019">
        <v>10388404525</v>
      </c>
      <c r="H169" s="2215">
        <f t="shared" si="2"/>
        <v>-1306008</v>
      </c>
    </row>
    <row r="170" spans="1:8" ht="16.5" thickBot="1">
      <c r="A170" s="1076" t="s">
        <v>724</v>
      </c>
      <c r="B170" s="2016" t="s">
        <v>2518</v>
      </c>
      <c r="C170" s="2212">
        <v>565453026</v>
      </c>
      <c r="D170" s="2212">
        <v>565453026</v>
      </c>
      <c r="E170" s="2020">
        <v>565649314</v>
      </c>
      <c r="F170" s="2020">
        <v>565649314</v>
      </c>
      <c r="H170" s="2215">
        <f t="shared" si="2"/>
        <v>-196288</v>
      </c>
    </row>
    <row r="171" spans="1:8" ht="16.5" thickBot="1">
      <c r="A171" s="1076" t="s">
        <v>725</v>
      </c>
      <c r="B171" s="2015" t="s">
        <v>2519</v>
      </c>
      <c r="C171" s="2212">
        <v>37489134760</v>
      </c>
      <c r="D171" s="2212">
        <v>37913691840</v>
      </c>
      <c r="E171" s="2019">
        <v>37492297865</v>
      </c>
      <c r="F171" s="2019">
        <v>37916854945</v>
      </c>
      <c r="H171" s="2215">
        <f t="shared" si="2"/>
        <v>-3163105</v>
      </c>
    </row>
    <row r="172" spans="1:8" ht="16.5" thickBot="1">
      <c r="A172" s="1076" t="s">
        <v>246</v>
      </c>
      <c r="B172" s="2016" t="s">
        <v>87</v>
      </c>
      <c r="C172" s="2212">
        <v>577981221</v>
      </c>
      <c r="D172" s="2212">
        <v>577981221</v>
      </c>
      <c r="E172" s="2020">
        <v>578494912</v>
      </c>
      <c r="F172" s="2020">
        <v>578494912</v>
      </c>
      <c r="H172" s="2215">
        <f t="shared" si="2"/>
        <v>-513691</v>
      </c>
    </row>
    <row r="173" spans="1:8" ht="16.5" thickBot="1">
      <c r="A173" s="1076" t="s">
        <v>1780</v>
      </c>
      <c r="B173" s="2015" t="s">
        <v>89</v>
      </c>
      <c r="C173" s="2212">
        <v>2995842429</v>
      </c>
      <c r="D173" s="2212">
        <v>2995842429</v>
      </c>
      <c r="E173" s="2019">
        <v>2995932417</v>
      </c>
      <c r="F173" s="2019">
        <v>2995932417</v>
      </c>
      <c r="H173" s="2215">
        <f t="shared" si="2"/>
        <v>-89988</v>
      </c>
    </row>
    <row r="174" spans="1:8" ht="16.5" thickBot="1">
      <c r="A174" s="1076" t="s">
        <v>1351</v>
      </c>
      <c r="B174" s="2016" t="s">
        <v>1293</v>
      </c>
      <c r="C174" s="2212">
        <v>3845593519</v>
      </c>
      <c r="D174" s="2212">
        <v>3845593519</v>
      </c>
      <c r="E174" s="2020">
        <v>3847140905</v>
      </c>
      <c r="F174" s="2020">
        <v>3847140905</v>
      </c>
      <c r="H174" s="2215">
        <f t="shared" si="2"/>
        <v>-1547386</v>
      </c>
    </row>
    <row r="175" spans="1:8" ht="16.5" thickBot="1">
      <c r="A175" s="1076" t="s">
        <v>990</v>
      </c>
      <c r="B175" s="2015" t="s">
        <v>1521</v>
      </c>
      <c r="C175" s="2212">
        <v>132728667</v>
      </c>
      <c r="D175" s="2212">
        <v>132728667</v>
      </c>
      <c r="E175" s="2019">
        <v>132885779</v>
      </c>
      <c r="F175" s="2019">
        <v>132885779</v>
      </c>
      <c r="H175" s="2215">
        <f t="shared" si="2"/>
        <v>-157112</v>
      </c>
    </row>
    <row r="176" spans="1:8" ht="16.5" thickBot="1">
      <c r="A176" s="1076" t="s">
        <v>1619</v>
      </c>
      <c r="B176" s="2016" t="s">
        <v>1744</v>
      </c>
      <c r="C176" s="2212">
        <v>530711283</v>
      </c>
      <c r="D176" s="2212">
        <v>530711283</v>
      </c>
      <c r="E176" s="2020">
        <v>530844513</v>
      </c>
      <c r="F176" s="2020">
        <v>530844513</v>
      </c>
      <c r="H176" s="2215">
        <f t="shared" si="2"/>
        <v>-133230</v>
      </c>
    </row>
    <row r="177" spans="1:8" ht="16.5" thickBot="1">
      <c r="A177" s="1076" t="s">
        <v>281</v>
      </c>
      <c r="B177" s="2015" t="s">
        <v>2520</v>
      </c>
      <c r="C177" s="2212">
        <v>1836284830</v>
      </c>
      <c r="D177" s="2212">
        <v>1836284830</v>
      </c>
      <c r="E177" s="2019">
        <v>1836322230</v>
      </c>
      <c r="F177" s="2019">
        <v>1836322230</v>
      </c>
      <c r="H177" s="2215">
        <f t="shared" si="2"/>
        <v>-37400</v>
      </c>
    </row>
    <row r="178" spans="1:8" ht="16.5" thickBot="1">
      <c r="A178" s="1076" t="s">
        <v>282</v>
      </c>
      <c r="B178" s="2016" t="s">
        <v>2521</v>
      </c>
      <c r="C178" s="2212">
        <v>156607577</v>
      </c>
      <c r="D178" s="2212">
        <v>156607577</v>
      </c>
      <c r="E178" s="2020">
        <v>157041372</v>
      </c>
      <c r="F178" s="2020">
        <v>157041372</v>
      </c>
      <c r="H178" s="2215">
        <f t="shared" si="2"/>
        <v>-433795</v>
      </c>
    </row>
    <row r="179" spans="1:8" ht="16.5" thickBot="1">
      <c r="A179" s="1076" t="s">
        <v>1617</v>
      </c>
      <c r="B179" s="2015" t="s">
        <v>1742</v>
      </c>
      <c r="C179" s="2212">
        <v>915618652</v>
      </c>
      <c r="D179" s="2212">
        <v>915618652</v>
      </c>
      <c r="E179" s="2019">
        <v>916124603</v>
      </c>
      <c r="F179" s="2019">
        <v>916124603</v>
      </c>
      <c r="H179" s="2215">
        <f t="shared" si="2"/>
        <v>-505951</v>
      </c>
    </row>
    <row r="180" spans="1:8" ht="16.5" thickBot="1">
      <c r="A180" s="1076" t="s">
        <v>643</v>
      </c>
      <c r="B180" s="2016" t="s">
        <v>1181</v>
      </c>
      <c r="C180" s="2212">
        <v>665098506</v>
      </c>
      <c r="D180" s="2212">
        <v>665098506</v>
      </c>
      <c r="E180" s="2020">
        <v>665507680</v>
      </c>
      <c r="F180" s="2020">
        <v>665507680</v>
      </c>
      <c r="H180" s="2215">
        <f t="shared" si="2"/>
        <v>-409174</v>
      </c>
    </row>
    <row r="181" spans="1:8" ht="16.5" thickBot="1">
      <c r="A181" s="1076" t="s">
        <v>34</v>
      </c>
      <c r="B181" s="2015" t="s">
        <v>2524</v>
      </c>
      <c r="C181" s="2212">
        <v>339087683</v>
      </c>
      <c r="D181" s="2212">
        <v>339087683</v>
      </c>
      <c r="E181" s="2019">
        <v>339364261</v>
      </c>
      <c r="F181" s="2019">
        <v>339364261</v>
      </c>
      <c r="H181" s="2215">
        <f t="shared" si="2"/>
        <v>-276578</v>
      </c>
    </row>
    <row r="182" spans="1:8" ht="16.5" thickBot="1">
      <c r="A182" s="1076" t="s">
        <v>35</v>
      </c>
      <c r="B182" s="2016" t="s">
        <v>2525</v>
      </c>
      <c r="C182" s="2212">
        <v>3578536474</v>
      </c>
      <c r="D182" s="2212">
        <v>3578536474</v>
      </c>
      <c r="E182" s="2020">
        <v>3578753820</v>
      </c>
      <c r="F182" s="2020">
        <v>3578753820</v>
      </c>
      <c r="H182" s="2215">
        <f t="shared" si="2"/>
        <v>-217346</v>
      </c>
    </row>
    <row r="183" spans="1:8" ht="16.5" thickBot="1">
      <c r="A183" s="1076" t="s">
        <v>1437</v>
      </c>
      <c r="B183" s="2015" t="s">
        <v>2526</v>
      </c>
      <c r="C183" s="2212">
        <v>12468688686</v>
      </c>
      <c r="D183" s="2212">
        <v>12546011886</v>
      </c>
      <c r="E183" s="2019">
        <v>12471635390</v>
      </c>
      <c r="F183" s="2019">
        <v>12548958590</v>
      </c>
      <c r="H183" s="2215">
        <f t="shared" si="2"/>
        <v>-2946704</v>
      </c>
    </row>
    <row r="184" spans="1:8" ht="16.5" thickBot="1">
      <c r="A184" s="1076" t="s">
        <v>2644</v>
      </c>
      <c r="B184" s="2016" t="s">
        <v>2527</v>
      </c>
      <c r="C184" s="2212">
        <v>265055225</v>
      </c>
      <c r="D184" s="2212">
        <v>265055225</v>
      </c>
      <c r="E184" s="2020">
        <v>264543127</v>
      </c>
      <c r="F184" s="2020">
        <v>264543127</v>
      </c>
      <c r="H184" s="2215">
        <f t="shared" si="2"/>
        <v>512098</v>
      </c>
    </row>
    <row r="185" spans="1:8" ht="16.5" thickBot="1">
      <c r="A185" s="1076" t="s">
        <v>2763</v>
      </c>
      <c r="B185" s="2015" t="s">
        <v>3062</v>
      </c>
      <c r="C185" s="2212">
        <v>177666850</v>
      </c>
      <c r="D185" s="2212">
        <v>177666850</v>
      </c>
      <c r="E185" s="2019">
        <v>177560137</v>
      </c>
      <c r="F185" s="2019">
        <v>177560137</v>
      </c>
      <c r="H185" s="2215">
        <f t="shared" si="2"/>
        <v>106713</v>
      </c>
    </row>
    <row r="186" spans="1:8" ht="16.5" thickBot="1">
      <c r="A186" s="1076" t="s">
        <v>2672</v>
      </c>
      <c r="B186" s="2016" t="s">
        <v>1949</v>
      </c>
      <c r="C186" s="2212">
        <v>44592460</v>
      </c>
      <c r="D186" s="2212">
        <v>44592460</v>
      </c>
      <c r="E186" s="2020">
        <v>44592178</v>
      </c>
      <c r="F186" s="2020">
        <v>44592178</v>
      </c>
      <c r="H186" s="2215">
        <f t="shared" si="2"/>
        <v>282</v>
      </c>
    </row>
    <row r="187" spans="1:8" ht="16.5" thickBot="1">
      <c r="A187" s="1076" t="s">
        <v>2645</v>
      </c>
      <c r="B187" s="2015" t="s">
        <v>2528</v>
      </c>
      <c r="C187" s="2212">
        <v>23492078</v>
      </c>
      <c r="D187" s="2212">
        <v>23492078</v>
      </c>
      <c r="E187" s="2019">
        <v>23410546</v>
      </c>
      <c r="F187" s="2019">
        <v>23410546</v>
      </c>
      <c r="H187" s="2215">
        <f t="shared" si="2"/>
        <v>81532</v>
      </c>
    </row>
    <row r="188" spans="1:8" ht="16.5" thickBot="1">
      <c r="A188" s="1076" t="s">
        <v>2646</v>
      </c>
      <c r="B188" s="2016" t="s">
        <v>1182</v>
      </c>
      <c r="C188" s="2212">
        <v>160782549</v>
      </c>
      <c r="D188" s="2212">
        <v>160782549</v>
      </c>
      <c r="E188" s="2020">
        <v>160671619</v>
      </c>
      <c r="F188" s="2020">
        <v>160671619</v>
      </c>
      <c r="H188" s="2215">
        <f t="shared" si="2"/>
        <v>110930</v>
      </c>
    </row>
    <row r="189" spans="1:8" ht="16.5" thickBot="1">
      <c r="A189" s="1076" t="s">
        <v>331</v>
      </c>
      <c r="B189" s="2015" t="s">
        <v>2530</v>
      </c>
      <c r="C189" s="2212">
        <v>70049126</v>
      </c>
      <c r="D189" s="2212">
        <v>70049126</v>
      </c>
      <c r="E189" s="2019">
        <v>70016056</v>
      </c>
      <c r="F189" s="2019">
        <v>70016056</v>
      </c>
      <c r="H189" s="2215">
        <f t="shared" si="2"/>
        <v>33070</v>
      </c>
    </row>
    <row r="190" spans="1:8" ht="16.5" thickBot="1">
      <c r="A190" s="1076" t="s">
        <v>1607</v>
      </c>
      <c r="B190" s="2016" t="s">
        <v>1669</v>
      </c>
      <c r="C190" s="2212">
        <v>1002653429</v>
      </c>
      <c r="D190" s="2212">
        <v>1002653429</v>
      </c>
      <c r="E190" s="2020">
        <v>1002373128</v>
      </c>
      <c r="F190" s="2020">
        <v>1002373128</v>
      </c>
      <c r="H190" s="2215">
        <f t="shared" si="2"/>
        <v>280301</v>
      </c>
    </row>
    <row r="191" spans="1:8" ht="16.5" thickBot="1">
      <c r="A191" s="1076" t="s">
        <v>332</v>
      </c>
      <c r="B191" s="2015" t="s">
        <v>2531</v>
      </c>
      <c r="C191" s="2212">
        <v>342937817</v>
      </c>
      <c r="D191" s="2212">
        <v>411034372</v>
      </c>
      <c r="E191" s="2019">
        <v>342953107</v>
      </c>
      <c r="F191" s="2019">
        <v>411049662</v>
      </c>
      <c r="H191" s="2215">
        <f t="shared" si="2"/>
        <v>-15290</v>
      </c>
    </row>
    <row r="192" spans="1:8" ht="16.5" thickBot="1">
      <c r="A192" s="1076" t="s">
        <v>2863</v>
      </c>
      <c r="B192" s="2016" t="s">
        <v>2705</v>
      </c>
      <c r="C192" s="2212">
        <v>226749915</v>
      </c>
      <c r="D192" s="2212">
        <v>226749915</v>
      </c>
      <c r="E192" s="2020">
        <v>226833742</v>
      </c>
      <c r="F192" s="2020">
        <v>226833742</v>
      </c>
      <c r="H192" s="2215">
        <f t="shared" si="2"/>
        <v>-83827</v>
      </c>
    </row>
    <row r="193" spans="1:8" ht="16.5" thickBot="1">
      <c r="A193" s="1076" t="s">
        <v>333</v>
      </c>
      <c r="B193" s="2015" t="s">
        <v>2532</v>
      </c>
      <c r="C193" s="2212">
        <v>604734877</v>
      </c>
      <c r="D193" s="2212">
        <v>604734877</v>
      </c>
      <c r="E193" s="2019">
        <v>604727380</v>
      </c>
      <c r="F193" s="2019">
        <v>604727380</v>
      </c>
      <c r="H193" s="2215">
        <f t="shared" si="2"/>
        <v>7497</v>
      </c>
    </row>
    <row r="194" spans="1:8" ht="16.5" thickBot="1">
      <c r="A194" s="1076" t="s">
        <v>334</v>
      </c>
      <c r="B194" s="2016" t="s">
        <v>2533</v>
      </c>
      <c r="C194" s="2212">
        <v>209583490</v>
      </c>
      <c r="D194" s="2212">
        <v>209583490</v>
      </c>
      <c r="E194" s="2020">
        <v>209619449</v>
      </c>
      <c r="F194" s="2020">
        <v>209619449</v>
      </c>
      <c r="H194" s="2215">
        <f t="shared" ref="H194:H257" si="3">C194-E194</f>
        <v>-35959</v>
      </c>
    </row>
    <row r="195" spans="1:8" ht="16.5" thickBot="1">
      <c r="A195" s="1076" t="s">
        <v>335</v>
      </c>
      <c r="B195" s="2015" t="s">
        <v>2534</v>
      </c>
      <c r="C195" s="2212">
        <v>429288758</v>
      </c>
      <c r="D195" s="2212">
        <v>429288758</v>
      </c>
      <c r="E195" s="2019">
        <v>429310748</v>
      </c>
      <c r="F195" s="2019">
        <v>429310748</v>
      </c>
      <c r="H195" s="2215">
        <f t="shared" si="3"/>
        <v>-21990</v>
      </c>
    </row>
    <row r="196" spans="1:8" ht="16.5" thickBot="1">
      <c r="A196" s="1076" t="s">
        <v>1962</v>
      </c>
      <c r="B196" s="2016" t="s">
        <v>2535</v>
      </c>
      <c r="C196" s="2212">
        <v>28641879</v>
      </c>
      <c r="D196" s="2212">
        <v>28641879</v>
      </c>
      <c r="E196" s="2020">
        <v>28609667</v>
      </c>
      <c r="F196" s="2020">
        <v>28609667</v>
      </c>
      <c r="H196" s="2215">
        <f t="shared" si="3"/>
        <v>32212</v>
      </c>
    </row>
    <row r="197" spans="1:8" ht="16.5" thickBot="1">
      <c r="A197" s="1076" t="s">
        <v>1963</v>
      </c>
      <c r="B197" s="2015" t="s">
        <v>2536</v>
      </c>
      <c r="C197" s="2212">
        <v>127193666</v>
      </c>
      <c r="D197" s="2212">
        <v>127193666</v>
      </c>
      <c r="E197" s="2019">
        <v>127219868</v>
      </c>
      <c r="F197" s="2019">
        <v>127219868</v>
      </c>
      <c r="H197" s="2215">
        <f t="shared" si="3"/>
        <v>-26202</v>
      </c>
    </row>
    <row r="198" spans="1:8" ht="16.5" thickBot="1">
      <c r="A198" s="1076" t="s">
        <v>1492</v>
      </c>
      <c r="B198" s="2016" t="s">
        <v>2537</v>
      </c>
      <c r="C198" s="2212">
        <v>86114192</v>
      </c>
      <c r="D198" s="2212">
        <v>86114192</v>
      </c>
      <c r="E198" s="2020">
        <v>85895935</v>
      </c>
      <c r="F198" s="2020">
        <v>85895935</v>
      </c>
      <c r="H198" s="2215">
        <f t="shared" si="3"/>
        <v>218257</v>
      </c>
    </row>
    <row r="199" spans="1:8" ht="16.5" thickBot="1">
      <c r="A199" s="1076" t="s">
        <v>1267</v>
      </c>
      <c r="B199" s="2015" t="s">
        <v>2538</v>
      </c>
      <c r="C199" s="2212">
        <v>649916746</v>
      </c>
      <c r="D199" s="2212">
        <v>649916746</v>
      </c>
      <c r="E199" s="2019">
        <v>648997455</v>
      </c>
      <c r="F199" s="2019">
        <v>648997455</v>
      </c>
      <c r="H199" s="2215">
        <f t="shared" si="3"/>
        <v>919291</v>
      </c>
    </row>
    <row r="200" spans="1:8" ht="16.5" thickBot="1">
      <c r="A200" s="1076" t="s">
        <v>2462</v>
      </c>
      <c r="B200" s="2016" t="s">
        <v>290</v>
      </c>
      <c r="C200" s="2212">
        <v>44330651</v>
      </c>
      <c r="D200" s="2212">
        <v>44330651</v>
      </c>
      <c r="E200" s="2020">
        <v>44245816</v>
      </c>
      <c r="F200" s="2020">
        <v>44245816</v>
      </c>
      <c r="H200" s="2215">
        <f t="shared" si="3"/>
        <v>84835</v>
      </c>
    </row>
    <row r="201" spans="1:8" ht="16.5" thickBot="1">
      <c r="A201" s="1076" t="s">
        <v>1268</v>
      </c>
      <c r="B201" s="2015" t="s">
        <v>2539</v>
      </c>
      <c r="C201" s="2212">
        <v>63235486</v>
      </c>
      <c r="D201" s="2212">
        <v>63235486</v>
      </c>
      <c r="E201" s="2019">
        <v>63176088</v>
      </c>
      <c r="F201" s="2019">
        <v>63176088</v>
      </c>
      <c r="H201" s="2215">
        <f t="shared" si="3"/>
        <v>59398</v>
      </c>
    </row>
    <row r="202" spans="1:8" ht="16.5" thickBot="1">
      <c r="A202" s="1076" t="s">
        <v>2752</v>
      </c>
      <c r="B202" s="2016" t="s">
        <v>2951</v>
      </c>
      <c r="C202" s="2212">
        <v>1341850871</v>
      </c>
      <c r="D202" s="2212">
        <v>1341850871</v>
      </c>
      <c r="E202" s="2020">
        <v>1335203107</v>
      </c>
      <c r="F202" s="2020">
        <v>1335203107</v>
      </c>
      <c r="H202" s="2215">
        <f t="shared" si="3"/>
        <v>6647764</v>
      </c>
    </row>
    <row r="203" spans="1:8" ht="16.5" thickBot="1">
      <c r="A203" s="1076" t="s">
        <v>1269</v>
      </c>
      <c r="B203" s="2015" t="s">
        <v>2540</v>
      </c>
      <c r="C203" s="2212">
        <v>151714222</v>
      </c>
      <c r="D203" s="2212">
        <v>151714222</v>
      </c>
      <c r="E203" s="2019">
        <v>151576852</v>
      </c>
      <c r="F203" s="2019">
        <v>151576852</v>
      </c>
      <c r="H203" s="2215">
        <f t="shared" si="3"/>
        <v>137370</v>
      </c>
    </row>
    <row r="204" spans="1:8" ht="16.5" thickBot="1">
      <c r="A204" s="1076" t="s">
        <v>779</v>
      </c>
      <c r="B204" s="2016" t="s">
        <v>2541</v>
      </c>
      <c r="C204" s="2212">
        <v>2228431359</v>
      </c>
      <c r="D204" s="2212">
        <v>2228431359</v>
      </c>
      <c r="E204" s="2020">
        <v>2228876199</v>
      </c>
      <c r="F204" s="2020">
        <v>2228876199</v>
      </c>
      <c r="H204" s="2215">
        <f t="shared" si="3"/>
        <v>-444840</v>
      </c>
    </row>
    <row r="205" spans="1:8" ht="16.5" thickBot="1">
      <c r="A205" s="1076" t="s">
        <v>780</v>
      </c>
      <c r="B205" s="2015" t="s">
        <v>4582</v>
      </c>
      <c r="C205" s="2212">
        <v>2277445745</v>
      </c>
      <c r="D205" s="2212">
        <v>2277445745</v>
      </c>
      <c r="E205" s="2019">
        <v>2276949575</v>
      </c>
      <c r="F205" s="2019">
        <v>2276949575</v>
      </c>
      <c r="H205" s="2215">
        <f t="shared" si="3"/>
        <v>496170</v>
      </c>
    </row>
    <row r="206" spans="1:8" ht="16.5" thickBot="1">
      <c r="A206" s="1076" t="s">
        <v>781</v>
      </c>
      <c r="B206" s="2016" t="s">
        <v>1184</v>
      </c>
      <c r="C206" s="2212">
        <v>88893145</v>
      </c>
      <c r="D206" s="2212">
        <v>88893145</v>
      </c>
      <c r="E206" s="2020">
        <v>88976670</v>
      </c>
      <c r="F206" s="2020">
        <v>88976670</v>
      </c>
      <c r="H206" s="2215">
        <f t="shared" si="3"/>
        <v>-83525</v>
      </c>
    </row>
    <row r="207" spans="1:8" ht="16.5" thickBot="1">
      <c r="A207" s="1076" t="s">
        <v>782</v>
      </c>
      <c r="B207" s="2015" t="s">
        <v>739</v>
      </c>
      <c r="C207" s="2212">
        <v>229185869</v>
      </c>
      <c r="D207" s="2212">
        <v>229185869</v>
      </c>
      <c r="E207" s="2019">
        <v>229264185</v>
      </c>
      <c r="F207" s="2019">
        <v>229264185</v>
      </c>
      <c r="H207" s="2215">
        <f t="shared" si="3"/>
        <v>-78316</v>
      </c>
    </row>
    <row r="208" spans="1:8" ht="16.5" thickBot="1">
      <c r="A208" s="1076" t="s">
        <v>428</v>
      </c>
      <c r="B208" s="2016" t="s">
        <v>740</v>
      </c>
      <c r="C208" s="2212">
        <v>158417025</v>
      </c>
      <c r="D208" s="2212">
        <v>158417025</v>
      </c>
      <c r="E208" s="2020">
        <v>158421214</v>
      </c>
      <c r="F208" s="2020">
        <v>158421214</v>
      </c>
      <c r="H208" s="2215">
        <f t="shared" si="3"/>
        <v>-4189</v>
      </c>
    </row>
    <row r="209" spans="1:8" ht="16.5" thickBot="1">
      <c r="A209" s="1076" t="s">
        <v>2928</v>
      </c>
      <c r="B209" s="2015" t="s">
        <v>143</v>
      </c>
      <c r="C209" s="2212">
        <v>604909671</v>
      </c>
      <c r="D209" s="2212">
        <v>604909671</v>
      </c>
      <c r="E209" s="2019">
        <v>604815556</v>
      </c>
      <c r="F209" s="2019">
        <v>604815556</v>
      </c>
      <c r="H209" s="2215">
        <f t="shared" si="3"/>
        <v>94115</v>
      </c>
    </row>
    <row r="210" spans="1:8" ht="16.5" thickBot="1">
      <c r="A210" s="1076" t="s">
        <v>2929</v>
      </c>
      <c r="B210" s="2016" t="s">
        <v>144</v>
      </c>
      <c r="C210" s="2212">
        <v>726985115</v>
      </c>
      <c r="D210" s="2212">
        <v>936753055</v>
      </c>
      <c r="E210" s="2020">
        <v>727414615</v>
      </c>
      <c r="F210" s="2020">
        <v>937182555</v>
      </c>
      <c r="H210" s="2215">
        <f t="shared" si="3"/>
        <v>-429500</v>
      </c>
    </row>
    <row r="211" spans="1:8" ht="16.5" thickBot="1">
      <c r="A211" s="1076" t="s">
        <v>2930</v>
      </c>
      <c r="B211" s="2015" t="s">
        <v>145</v>
      </c>
      <c r="C211" s="2212">
        <v>127370979</v>
      </c>
      <c r="D211" s="2212">
        <v>127370979</v>
      </c>
      <c r="E211" s="2019">
        <v>127391155</v>
      </c>
      <c r="F211" s="2019">
        <v>127391155</v>
      </c>
      <c r="H211" s="2215">
        <f t="shared" si="3"/>
        <v>-20176</v>
      </c>
    </row>
    <row r="212" spans="1:8" ht="16.5" thickBot="1">
      <c r="A212" s="1076" t="s">
        <v>1843</v>
      </c>
      <c r="B212" s="2016" t="s">
        <v>146</v>
      </c>
      <c r="C212" s="2212">
        <v>14579071194</v>
      </c>
      <c r="D212" s="2212">
        <v>14579071194</v>
      </c>
      <c r="E212" s="2020">
        <v>14583436102</v>
      </c>
      <c r="F212" s="2020">
        <v>14583436102</v>
      </c>
      <c r="H212" s="2215">
        <f t="shared" si="3"/>
        <v>-4364908</v>
      </c>
    </row>
    <row r="213" spans="1:8" ht="16.5" thickBot="1">
      <c r="A213" s="1076" t="s">
        <v>421</v>
      </c>
      <c r="B213" s="2015" t="s">
        <v>147</v>
      </c>
      <c r="C213" s="2212">
        <v>2655126437</v>
      </c>
      <c r="D213" s="2212">
        <v>2655126437</v>
      </c>
      <c r="E213" s="2019">
        <v>2655343507</v>
      </c>
      <c r="F213" s="2019">
        <v>2655343507</v>
      </c>
      <c r="H213" s="2215">
        <f t="shared" si="3"/>
        <v>-217070</v>
      </c>
    </row>
    <row r="214" spans="1:8" ht="16.5" thickBot="1">
      <c r="A214" s="1076" t="s">
        <v>422</v>
      </c>
      <c r="B214" s="2016" t="s">
        <v>148</v>
      </c>
      <c r="C214" s="2212">
        <v>85571985631</v>
      </c>
      <c r="D214" s="2212">
        <v>85571985631</v>
      </c>
      <c r="E214" s="2020">
        <v>85571417006</v>
      </c>
      <c r="F214" s="2020">
        <v>85571417006</v>
      </c>
      <c r="H214" s="2215">
        <f t="shared" si="3"/>
        <v>568625</v>
      </c>
    </row>
    <row r="215" spans="1:8" ht="16.5" thickBot="1">
      <c r="A215" s="1076" t="s">
        <v>423</v>
      </c>
      <c r="B215" s="2015" t="s">
        <v>149</v>
      </c>
      <c r="C215" s="2212">
        <v>2161281651</v>
      </c>
      <c r="D215" s="2212">
        <v>2161281651</v>
      </c>
      <c r="E215" s="2019">
        <v>2162554365</v>
      </c>
      <c r="F215" s="2019">
        <v>2162554365</v>
      </c>
      <c r="H215" s="2215">
        <f t="shared" si="3"/>
        <v>-1272714</v>
      </c>
    </row>
    <row r="216" spans="1:8" ht="16.5" thickBot="1">
      <c r="A216" s="1076" t="s">
        <v>424</v>
      </c>
      <c r="B216" s="2016" t="s">
        <v>150</v>
      </c>
      <c r="C216" s="2212">
        <v>3444018469</v>
      </c>
      <c r="D216" s="2212">
        <v>3444018469</v>
      </c>
      <c r="E216" s="2020">
        <v>3445314777</v>
      </c>
      <c r="F216" s="2020">
        <v>3445314777</v>
      </c>
      <c r="H216" s="2215">
        <f t="shared" si="3"/>
        <v>-1296308</v>
      </c>
    </row>
    <row r="217" spans="1:8" ht="16.5" thickBot="1">
      <c r="A217" s="1076" t="s">
        <v>2973</v>
      </c>
      <c r="B217" s="2015" t="s">
        <v>1672</v>
      </c>
      <c r="C217" s="2212">
        <v>13756055910</v>
      </c>
      <c r="D217" s="2212">
        <v>13756055910</v>
      </c>
      <c r="E217" s="2019">
        <v>13764635588</v>
      </c>
      <c r="F217" s="2019">
        <v>13764635588</v>
      </c>
      <c r="H217" s="2215">
        <f t="shared" si="3"/>
        <v>-8579678</v>
      </c>
    </row>
    <row r="218" spans="1:8" ht="16.5" thickBot="1">
      <c r="A218" s="1076" t="s">
        <v>741</v>
      </c>
      <c r="B218" s="2016" t="s">
        <v>975</v>
      </c>
      <c r="C218" s="2212">
        <v>5003197345</v>
      </c>
      <c r="D218" s="2212">
        <v>5003197345</v>
      </c>
      <c r="E218" s="2020">
        <v>5008692624</v>
      </c>
      <c r="F218" s="2020">
        <v>5008692624</v>
      </c>
      <c r="H218" s="2215">
        <f t="shared" si="3"/>
        <v>-5495279</v>
      </c>
    </row>
    <row r="219" spans="1:8" ht="16.5" thickBot="1">
      <c r="A219" s="1076" t="s">
        <v>579</v>
      </c>
      <c r="B219" s="2015" t="s">
        <v>151</v>
      </c>
      <c r="C219" s="2212">
        <v>13458122227</v>
      </c>
      <c r="D219" s="2212">
        <v>13458122227</v>
      </c>
      <c r="E219" s="2019">
        <v>13458967551</v>
      </c>
      <c r="F219" s="2019">
        <v>13458967551</v>
      </c>
      <c r="H219" s="2215">
        <f t="shared" si="3"/>
        <v>-845324</v>
      </c>
    </row>
    <row r="220" spans="1:8" ht="16.5" thickBot="1">
      <c r="A220" s="1076" t="s">
        <v>48</v>
      </c>
      <c r="B220" s="2016" t="s">
        <v>1441</v>
      </c>
      <c r="C220" s="2212">
        <v>9284193195</v>
      </c>
      <c r="D220" s="2212">
        <v>9284193195</v>
      </c>
      <c r="E220" s="2020">
        <v>9288935592</v>
      </c>
      <c r="F220" s="2020">
        <v>9288935592</v>
      </c>
      <c r="H220" s="2215">
        <f t="shared" si="3"/>
        <v>-4742397</v>
      </c>
    </row>
    <row r="221" spans="1:8" ht="16.5" thickBot="1">
      <c r="A221" s="1076" t="s">
        <v>2028</v>
      </c>
      <c r="B221" s="2015" t="s">
        <v>152</v>
      </c>
      <c r="C221" s="2212">
        <v>1632770671</v>
      </c>
      <c r="D221" s="2212">
        <v>1632770671</v>
      </c>
      <c r="E221" s="2019">
        <v>1632819341</v>
      </c>
      <c r="F221" s="2019">
        <v>1632819341</v>
      </c>
      <c r="H221" s="2215">
        <f t="shared" si="3"/>
        <v>-48670</v>
      </c>
    </row>
    <row r="222" spans="1:8" ht="16.5" thickBot="1">
      <c r="A222" s="1076" t="s">
        <v>2898</v>
      </c>
      <c r="B222" s="2016" t="s">
        <v>2554</v>
      </c>
      <c r="C222" s="2212">
        <v>6127903251</v>
      </c>
      <c r="D222" s="2212">
        <v>6127903251</v>
      </c>
      <c r="E222" s="2020">
        <v>6132748935</v>
      </c>
      <c r="F222" s="2020">
        <v>6132748935</v>
      </c>
      <c r="H222" s="2215">
        <f t="shared" si="3"/>
        <v>-4845684</v>
      </c>
    </row>
    <row r="223" spans="1:8" ht="16.5" thickBot="1">
      <c r="A223" s="1076" t="s">
        <v>2029</v>
      </c>
      <c r="B223" s="2015" t="s">
        <v>3006</v>
      </c>
      <c r="C223" s="2212">
        <v>17510553856</v>
      </c>
      <c r="D223" s="2212">
        <v>17510553856</v>
      </c>
      <c r="E223" s="2019">
        <v>17514388877</v>
      </c>
      <c r="F223" s="2019">
        <v>17514388877</v>
      </c>
      <c r="H223" s="2215">
        <f t="shared" si="3"/>
        <v>-3835021</v>
      </c>
    </row>
    <row r="224" spans="1:8" ht="16.5" thickBot="1">
      <c r="A224" s="1076" t="s">
        <v>3087</v>
      </c>
      <c r="B224" s="2016" t="s">
        <v>3007</v>
      </c>
      <c r="C224" s="2212">
        <v>869765822</v>
      </c>
      <c r="D224" s="2212">
        <v>869765822</v>
      </c>
      <c r="E224" s="2020">
        <v>869855572</v>
      </c>
      <c r="F224" s="2020">
        <v>869855572</v>
      </c>
      <c r="H224" s="2215">
        <f t="shared" si="3"/>
        <v>-89750</v>
      </c>
    </row>
    <row r="225" spans="1:8" ht="16.5" thickBot="1">
      <c r="A225" s="1076" t="s">
        <v>277</v>
      </c>
      <c r="B225" s="2015" t="s">
        <v>3008</v>
      </c>
      <c r="C225" s="2212">
        <v>8527286065</v>
      </c>
      <c r="D225" s="2212">
        <v>8527286065</v>
      </c>
      <c r="E225" s="2019">
        <v>8528737440</v>
      </c>
      <c r="F225" s="2019">
        <v>8528737440</v>
      </c>
      <c r="H225" s="2215">
        <f t="shared" si="3"/>
        <v>-1451375</v>
      </c>
    </row>
    <row r="226" spans="1:8" ht="16.5" thickBot="1">
      <c r="A226" s="1076" t="s">
        <v>278</v>
      </c>
      <c r="B226" s="2016" t="s">
        <v>3060</v>
      </c>
      <c r="C226" s="2212">
        <v>255624886</v>
      </c>
      <c r="D226" s="2212">
        <v>255624886</v>
      </c>
      <c r="E226" s="2020">
        <v>255654483</v>
      </c>
      <c r="F226" s="2020">
        <v>255654483</v>
      </c>
      <c r="H226" s="2215">
        <f t="shared" si="3"/>
        <v>-29597</v>
      </c>
    </row>
    <row r="227" spans="1:8" ht="16.5" thickBot="1">
      <c r="A227" s="1076" t="s">
        <v>279</v>
      </c>
      <c r="B227" s="2015" t="s">
        <v>3009</v>
      </c>
      <c r="C227" s="2212">
        <v>1351843716</v>
      </c>
      <c r="D227" s="2212">
        <v>1351843716</v>
      </c>
      <c r="E227" s="2019">
        <v>1351816816</v>
      </c>
      <c r="F227" s="2019">
        <v>1351816816</v>
      </c>
      <c r="H227" s="2215">
        <f t="shared" si="3"/>
        <v>26900</v>
      </c>
    </row>
    <row r="228" spans="1:8" ht="16.5" thickBot="1">
      <c r="A228" s="1076" t="s">
        <v>280</v>
      </c>
      <c r="B228" s="2016" t="s">
        <v>3010</v>
      </c>
      <c r="C228" s="2212">
        <v>516666292</v>
      </c>
      <c r="D228" s="2212">
        <v>516666292</v>
      </c>
      <c r="E228" s="2020">
        <v>517690022</v>
      </c>
      <c r="F228" s="2020">
        <v>517690022</v>
      </c>
      <c r="H228" s="2215">
        <f t="shared" si="3"/>
        <v>-1023730</v>
      </c>
    </row>
    <row r="229" spans="1:8" ht="16.5" thickBot="1">
      <c r="A229" s="1076" t="s">
        <v>408</v>
      </c>
      <c r="B229" s="2015" t="s">
        <v>3011</v>
      </c>
      <c r="C229" s="2212">
        <v>1266635929</v>
      </c>
      <c r="D229" s="2212">
        <v>1266635929</v>
      </c>
      <c r="E229" s="2019">
        <v>1266609447</v>
      </c>
      <c r="F229" s="2019">
        <v>1266609447</v>
      </c>
      <c r="H229" s="2215">
        <f t="shared" si="3"/>
        <v>26482</v>
      </c>
    </row>
    <row r="230" spans="1:8" ht="16.5" thickBot="1">
      <c r="A230" s="1076" t="s">
        <v>2130</v>
      </c>
      <c r="B230" s="2016" t="s">
        <v>2723</v>
      </c>
      <c r="C230" s="2212">
        <v>1150937469</v>
      </c>
      <c r="D230" s="2212">
        <v>1150937469</v>
      </c>
      <c r="E230" s="2020">
        <v>1150849968</v>
      </c>
      <c r="F230" s="2020">
        <v>1150849968</v>
      </c>
      <c r="H230" s="2215">
        <f t="shared" si="3"/>
        <v>87501</v>
      </c>
    </row>
    <row r="231" spans="1:8" ht="16.5" thickBot="1">
      <c r="A231" s="1076" t="s">
        <v>1220</v>
      </c>
      <c r="B231" s="2015" t="s">
        <v>3012</v>
      </c>
      <c r="C231" s="2212">
        <v>40425590</v>
      </c>
      <c r="D231" s="2212">
        <v>40425590</v>
      </c>
      <c r="E231" s="2019">
        <v>40426190</v>
      </c>
      <c r="F231" s="2019">
        <v>40426190</v>
      </c>
      <c r="H231" s="2215">
        <f t="shared" si="3"/>
        <v>-600</v>
      </c>
    </row>
    <row r="232" spans="1:8" ht="16.5" thickBot="1">
      <c r="A232" s="1076" t="s">
        <v>1221</v>
      </c>
      <c r="B232" s="2016" t="s">
        <v>3013</v>
      </c>
      <c r="C232" s="2212">
        <v>178412125</v>
      </c>
      <c r="D232" s="2212">
        <v>178412125</v>
      </c>
      <c r="E232" s="2020">
        <v>177934281</v>
      </c>
      <c r="F232" s="2020">
        <v>177934281</v>
      </c>
      <c r="H232" s="2215">
        <f t="shared" si="3"/>
        <v>477844</v>
      </c>
    </row>
    <row r="233" spans="1:8" ht="16.5" thickBot="1">
      <c r="A233" s="1076" t="s">
        <v>711</v>
      </c>
      <c r="B233" s="2015" t="s">
        <v>128</v>
      </c>
      <c r="C233" s="2212">
        <v>51952404</v>
      </c>
      <c r="D233" s="2212">
        <v>51952404</v>
      </c>
      <c r="E233" s="2019">
        <v>51806281</v>
      </c>
      <c r="F233" s="2019">
        <v>51806281</v>
      </c>
      <c r="H233" s="2215">
        <f t="shared" si="3"/>
        <v>146123</v>
      </c>
    </row>
    <row r="234" spans="1:8" ht="16.5" thickBot="1">
      <c r="A234" s="1076" t="s">
        <v>1222</v>
      </c>
      <c r="B234" s="2016" t="s">
        <v>3014</v>
      </c>
      <c r="C234" s="2212">
        <v>11774044755</v>
      </c>
      <c r="D234" s="2212">
        <v>11774044755</v>
      </c>
      <c r="E234" s="2020">
        <v>11775056470</v>
      </c>
      <c r="F234" s="2020">
        <v>11775056470</v>
      </c>
      <c r="H234" s="2215">
        <f t="shared" si="3"/>
        <v>-1011715</v>
      </c>
    </row>
    <row r="235" spans="1:8" ht="16.5" thickBot="1">
      <c r="A235" s="1076" t="s">
        <v>1989</v>
      </c>
      <c r="B235" s="2015" t="s">
        <v>2825</v>
      </c>
      <c r="C235" s="2212">
        <v>27057276718</v>
      </c>
      <c r="D235" s="2212">
        <v>27057276718</v>
      </c>
      <c r="E235" s="2019">
        <v>27058466596</v>
      </c>
      <c r="F235" s="2019">
        <v>27058466596</v>
      </c>
      <c r="H235" s="2215">
        <f t="shared" si="3"/>
        <v>-1189878</v>
      </c>
    </row>
    <row r="236" spans="1:8" ht="16.5" thickBot="1">
      <c r="A236" s="1076" t="s">
        <v>240</v>
      </c>
      <c r="B236" s="2016" t="s">
        <v>1127</v>
      </c>
      <c r="C236" s="2212">
        <v>570764029</v>
      </c>
      <c r="D236" s="2212">
        <v>570764029</v>
      </c>
      <c r="E236" s="2020">
        <v>570850597</v>
      </c>
      <c r="F236" s="2020">
        <v>570850597</v>
      </c>
      <c r="H236" s="2215">
        <f t="shared" si="3"/>
        <v>-86568</v>
      </c>
    </row>
    <row r="237" spans="1:8" ht="16.5" thickBot="1">
      <c r="A237" s="1076" t="s">
        <v>815</v>
      </c>
      <c r="B237" s="2015" t="s">
        <v>1905</v>
      </c>
      <c r="C237" s="2212">
        <v>757856596</v>
      </c>
      <c r="D237" s="2212">
        <v>757856596</v>
      </c>
      <c r="E237" s="2019">
        <v>757750685</v>
      </c>
      <c r="F237" s="2019">
        <v>757750685</v>
      </c>
      <c r="H237" s="2215">
        <f t="shared" si="3"/>
        <v>105911</v>
      </c>
    </row>
    <row r="238" spans="1:8" ht="16.5" thickBot="1">
      <c r="A238" s="1076" t="s">
        <v>242</v>
      </c>
      <c r="B238" s="2016" t="s">
        <v>1129</v>
      </c>
      <c r="C238" s="2212">
        <v>721126700</v>
      </c>
      <c r="D238" s="2212">
        <v>721126700</v>
      </c>
      <c r="E238" s="2020">
        <v>721080308</v>
      </c>
      <c r="F238" s="2020">
        <v>721080308</v>
      </c>
      <c r="H238" s="2215">
        <f t="shared" si="3"/>
        <v>46392</v>
      </c>
    </row>
    <row r="239" spans="1:8" ht="16.5" thickBot="1">
      <c r="A239" s="1076" t="s">
        <v>1893</v>
      </c>
      <c r="B239" s="2015" t="s">
        <v>2426</v>
      </c>
      <c r="C239" s="2212">
        <v>651575851</v>
      </c>
      <c r="D239" s="2212">
        <v>651575851</v>
      </c>
      <c r="E239" s="2019">
        <v>651418640</v>
      </c>
      <c r="F239" s="2019">
        <v>651418640</v>
      </c>
      <c r="H239" s="2215">
        <f t="shared" si="3"/>
        <v>157211</v>
      </c>
    </row>
    <row r="240" spans="1:8" ht="16.5" thickBot="1">
      <c r="A240" s="1076" t="s">
        <v>532</v>
      </c>
      <c r="B240" s="2016" t="s">
        <v>2353</v>
      </c>
      <c r="C240" s="2212">
        <v>787205986</v>
      </c>
      <c r="D240" s="2212">
        <v>787205986</v>
      </c>
      <c r="E240" s="2020">
        <v>787383818</v>
      </c>
      <c r="F240" s="2020">
        <v>787383818</v>
      </c>
      <c r="H240" s="2215">
        <f t="shared" si="3"/>
        <v>-177832</v>
      </c>
    </row>
    <row r="241" spans="1:8" ht="16.5" thickBot="1">
      <c r="A241" s="1076" t="s">
        <v>2099</v>
      </c>
      <c r="B241" s="2015" t="s">
        <v>3015</v>
      </c>
      <c r="C241" s="2212">
        <v>1185471366</v>
      </c>
      <c r="D241" s="2212">
        <v>1185471366</v>
      </c>
      <c r="E241" s="2019">
        <v>1185631939</v>
      </c>
      <c r="F241" s="2019">
        <v>1185631939</v>
      </c>
      <c r="H241" s="2215">
        <f t="shared" si="3"/>
        <v>-160573</v>
      </c>
    </row>
    <row r="242" spans="1:8" ht="16.5" thickBot="1">
      <c r="A242" s="1076" t="s">
        <v>1590</v>
      </c>
      <c r="B242" s="2016" t="s">
        <v>1425</v>
      </c>
      <c r="C242" s="2212">
        <v>11488883140</v>
      </c>
      <c r="D242" s="2212">
        <v>11488883140</v>
      </c>
      <c r="E242" s="2020">
        <v>11490633713</v>
      </c>
      <c r="F242" s="2020">
        <v>11490633713</v>
      </c>
      <c r="H242" s="2215">
        <f t="shared" si="3"/>
        <v>-1750573</v>
      </c>
    </row>
    <row r="243" spans="1:8" ht="16.5" thickBot="1">
      <c r="A243" s="1076" t="s">
        <v>68</v>
      </c>
      <c r="B243" s="2015" t="s">
        <v>2623</v>
      </c>
      <c r="C243" s="2212">
        <v>1355249759</v>
      </c>
      <c r="D243" s="2212">
        <v>1355249759</v>
      </c>
      <c r="E243" s="2019">
        <v>1355499907</v>
      </c>
      <c r="F243" s="2019">
        <v>1355499907</v>
      </c>
      <c r="H243" s="2215">
        <f t="shared" si="3"/>
        <v>-250148</v>
      </c>
    </row>
    <row r="244" spans="1:8" ht="16.5" thickBot="1">
      <c r="A244" s="1076" t="s">
        <v>712</v>
      </c>
      <c r="B244" s="2016" t="s">
        <v>1764</v>
      </c>
      <c r="C244" s="2212">
        <v>2354817702</v>
      </c>
      <c r="D244" s="2212">
        <v>2354817702</v>
      </c>
      <c r="E244" s="2020">
        <v>2355325061</v>
      </c>
      <c r="F244" s="2020">
        <v>2355325061</v>
      </c>
      <c r="H244" s="2215">
        <f t="shared" si="3"/>
        <v>-507359</v>
      </c>
    </row>
    <row r="245" spans="1:8" ht="16.5" thickBot="1">
      <c r="A245" s="1076" t="s">
        <v>2864</v>
      </c>
      <c r="B245" s="2015" t="s">
        <v>461</v>
      </c>
      <c r="C245" s="2212">
        <v>2387309627</v>
      </c>
      <c r="D245" s="2212">
        <v>2387309627</v>
      </c>
      <c r="E245" s="2019">
        <v>2386641287</v>
      </c>
      <c r="F245" s="2019">
        <v>2386641287</v>
      </c>
      <c r="H245" s="2215">
        <f t="shared" si="3"/>
        <v>668340</v>
      </c>
    </row>
    <row r="246" spans="1:8" ht="16.5" thickBot="1">
      <c r="A246" s="1076" t="s">
        <v>2100</v>
      </c>
      <c r="B246" s="2016" t="s">
        <v>3016</v>
      </c>
      <c r="C246" s="2212">
        <v>808356470</v>
      </c>
      <c r="D246" s="2212">
        <v>808356470</v>
      </c>
      <c r="E246" s="2020">
        <v>808090910</v>
      </c>
      <c r="F246" s="2020">
        <v>808090910</v>
      </c>
      <c r="H246" s="2215">
        <f t="shared" si="3"/>
        <v>265560</v>
      </c>
    </row>
    <row r="247" spans="1:8" ht="16.5" thickBot="1">
      <c r="A247" s="1076" t="s">
        <v>1352</v>
      </c>
      <c r="B247" s="2015" t="s">
        <v>2511</v>
      </c>
      <c r="C247" s="2212">
        <v>1056971385</v>
      </c>
      <c r="D247" s="2212">
        <v>1544302665</v>
      </c>
      <c r="E247" s="2019">
        <v>1056597367</v>
      </c>
      <c r="F247" s="2019">
        <v>1543928647</v>
      </c>
      <c r="H247" s="2215">
        <f t="shared" si="3"/>
        <v>374018</v>
      </c>
    </row>
    <row r="248" spans="1:8" ht="16.5" thickBot="1">
      <c r="A248" s="1076" t="s">
        <v>2101</v>
      </c>
      <c r="B248" s="2016" t="s">
        <v>3017</v>
      </c>
      <c r="C248" s="2212">
        <v>2629801365</v>
      </c>
      <c r="D248" s="2212">
        <v>2629801365</v>
      </c>
      <c r="E248" s="2020">
        <v>2629579865</v>
      </c>
      <c r="F248" s="2020">
        <v>2629579865</v>
      </c>
      <c r="H248" s="2215">
        <f t="shared" si="3"/>
        <v>221500</v>
      </c>
    </row>
    <row r="249" spans="1:8" ht="16.5" thickBot="1">
      <c r="A249" s="1076" t="s">
        <v>796</v>
      </c>
      <c r="B249" s="2015" t="s">
        <v>3018</v>
      </c>
      <c r="C249" s="2212">
        <v>1455716536</v>
      </c>
      <c r="D249" s="2212">
        <v>1455716536</v>
      </c>
      <c r="E249" s="2019">
        <v>1455686466</v>
      </c>
      <c r="F249" s="2019">
        <v>1455686466</v>
      </c>
      <c r="H249" s="2215">
        <f t="shared" si="3"/>
        <v>30070</v>
      </c>
    </row>
    <row r="250" spans="1:8" ht="16.5" thickBot="1">
      <c r="A250" s="1076" t="s">
        <v>330</v>
      </c>
      <c r="B250" s="2016" t="s">
        <v>3019</v>
      </c>
      <c r="C250" s="2212">
        <v>64555750</v>
      </c>
      <c r="D250" s="2212">
        <v>64555750</v>
      </c>
      <c r="E250" s="2020">
        <v>64417570</v>
      </c>
      <c r="F250" s="2020">
        <v>64417570</v>
      </c>
      <c r="H250" s="2215">
        <f t="shared" si="3"/>
        <v>138180</v>
      </c>
    </row>
    <row r="251" spans="1:8" ht="16.5" thickBot="1">
      <c r="A251" s="1076" t="s">
        <v>203</v>
      </c>
      <c r="B251" s="2015" t="s">
        <v>3020</v>
      </c>
      <c r="C251" s="2212">
        <v>215051710</v>
      </c>
      <c r="D251" s="2212">
        <v>321645450</v>
      </c>
      <c r="E251" s="2019">
        <v>215049990</v>
      </c>
      <c r="F251" s="2019">
        <v>321643730</v>
      </c>
      <c r="H251" s="2215">
        <f t="shared" si="3"/>
        <v>1720</v>
      </c>
    </row>
    <row r="252" spans="1:8" ht="16.5" thickBot="1">
      <c r="A252" s="1076" t="s">
        <v>204</v>
      </c>
      <c r="B252" s="2016" t="s">
        <v>3021</v>
      </c>
      <c r="C252" s="2212">
        <v>82128959</v>
      </c>
      <c r="D252" s="2212">
        <v>82128959</v>
      </c>
      <c r="E252" s="2020">
        <v>82126419</v>
      </c>
      <c r="F252" s="2020">
        <v>82126419</v>
      </c>
      <c r="H252" s="2215">
        <f t="shared" si="3"/>
        <v>2540</v>
      </c>
    </row>
    <row r="253" spans="1:8" ht="16.5" thickBot="1">
      <c r="A253" s="1076" t="s">
        <v>816</v>
      </c>
      <c r="B253" s="2015" t="s">
        <v>37</v>
      </c>
      <c r="C253" s="2212">
        <v>6929934258</v>
      </c>
      <c r="D253" s="2212">
        <v>6929934258</v>
      </c>
      <c r="E253" s="2019">
        <v>6929287366</v>
      </c>
      <c r="F253" s="2019">
        <v>6929287366</v>
      </c>
      <c r="H253" s="2215">
        <f t="shared" si="3"/>
        <v>646892</v>
      </c>
    </row>
    <row r="254" spans="1:8" ht="16.5" thickBot="1">
      <c r="A254" s="1076" t="s">
        <v>3025</v>
      </c>
      <c r="B254" s="2016" t="s">
        <v>2235</v>
      </c>
      <c r="C254" s="2212">
        <v>144088491</v>
      </c>
      <c r="D254" s="2212">
        <v>144088491</v>
      </c>
      <c r="E254" s="2020">
        <v>143878164</v>
      </c>
      <c r="F254" s="2020">
        <v>143878164</v>
      </c>
      <c r="H254" s="2215">
        <f t="shared" si="3"/>
        <v>210327</v>
      </c>
    </row>
    <row r="255" spans="1:8" ht="16.5" thickBot="1">
      <c r="A255" s="1076" t="s">
        <v>1753</v>
      </c>
      <c r="B255" s="2015" t="s">
        <v>2721</v>
      </c>
      <c r="C255" s="2212">
        <v>52137142</v>
      </c>
      <c r="D255" s="2212">
        <v>52137142</v>
      </c>
      <c r="E255" s="2019">
        <v>52269518</v>
      </c>
      <c r="F255" s="2019">
        <v>52269518</v>
      </c>
      <c r="H255" s="2215">
        <f t="shared" si="3"/>
        <v>-132376</v>
      </c>
    </row>
    <row r="256" spans="1:8" ht="16.5" thickBot="1">
      <c r="A256" s="1076" t="s">
        <v>3026</v>
      </c>
      <c r="B256" s="2016" t="s">
        <v>2236</v>
      </c>
      <c r="C256" s="2212">
        <v>24970000</v>
      </c>
      <c r="D256" s="2212">
        <v>24970000</v>
      </c>
      <c r="E256" s="2020">
        <v>25084397</v>
      </c>
      <c r="F256" s="2020">
        <v>25084397</v>
      </c>
      <c r="H256" s="2215">
        <f t="shared" si="3"/>
        <v>-114397</v>
      </c>
    </row>
    <row r="257" spans="1:8" ht="16.5" thickBot="1">
      <c r="A257" s="1076" t="s">
        <v>3027</v>
      </c>
      <c r="B257" s="2015" t="s">
        <v>2237</v>
      </c>
      <c r="C257" s="2212">
        <v>241159423</v>
      </c>
      <c r="D257" s="2212">
        <v>241159423</v>
      </c>
      <c r="E257" s="2019">
        <v>241310590</v>
      </c>
      <c r="F257" s="2019">
        <v>241310590</v>
      </c>
      <c r="H257" s="2215">
        <f t="shared" si="3"/>
        <v>-151167</v>
      </c>
    </row>
    <row r="258" spans="1:8" ht="16.5" thickBot="1">
      <c r="A258" s="1076" t="s">
        <v>817</v>
      </c>
      <c r="B258" s="2016" t="s">
        <v>2310</v>
      </c>
      <c r="C258" s="2212">
        <v>203397056</v>
      </c>
      <c r="D258" s="2212">
        <v>203397056</v>
      </c>
      <c r="E258" s="2020">
        <v>204145469</v>
      </c>
      <c r="F258" s="2020">
        <v>204145469</v>
      </c>
      <c r="H258" s="2215">
        <f t="shared" ref="H258:H321" si="4">C258-E258</f>
        <v>-748413</v>
      </c>
    </row>
    <row r="259" spans="1:8" ht="16.5" thickBot="1">
      <c r="A259" s="1076" t="s">
        <v>776</v>
      </c>
      <c r="B259" s="2015" t="s">
        <v>2238</v>
      </c>
      <c r="C259" s="2212">
        <v>352964167</v>
      </c>
      <c r="D259" s="2212">
        <v>352964167</v>
      </c>
      <c r="E259" s="2019">
        <v>353089389</v>
      </c>
      <c r="F259" s="2019">
        <v>353089389</v>
      </c>
      <c r="H259" s="2215">
        <f t="shared" si="4"/>
        <v>-125222</v>
      </c>
    </row>
    <row r="260" spans="1:8" ht="16.5" thickBot="1">
      <c r="A260" s="1076" t="s">
        <v>2463</v>
      </c>
      <c r="B260" s="2016" t="s">
        <v>2465</v>
      </c>
      <c r="C260" s="2212">
        <v>603045924</v>
      </c>
      <c r="D260" s="2212">
        <v>603045924</v>
      </c>
      <c r="E260" s="2020">
        <v>602479252</v>
      </c>
      <c r="F260" s="2020">
        <v>602479252</v>
      </c>
      <c r="H260" s="2215">
        <f t="shared" si="4"/>
        <v>566672</v>
      </c>
    </row>
    <row r="261" spans="1:8" ht="16.5" thickBot="1">
      <c r="A261" s="1076" t="s">
        <v>2620</v>
      </c>
      <c r="B261" s="2015" t="s">
        <v>2239</v>
      </c>
      <c r="C261" s="2212">
        <v>449407479</v>
      </c>
      <c r="D261" s="2212">
        <v>449407479</v>
      </c>
      <c r="E261" s="2019">
        <v>448933856</v>
      </c>
      <c r="F261" s="2019">
        <v>448933856</v>
      </c>
      <c r="H261" s="2215">
        <f t="shared" si="4"/>
        <v>473623</v>
      </c>
    </row>
    <row r="262" spans="1:8" ht="16.5" thickBot="1">
      <c r="A262" s="1076" t="s">
        <v>2007</v>
      </c>
      <c r="B262" s="2016" t="s">
        <v>2240</v>
      </c>
      <c r="C262" s="2212">
        <v>114054409</v>
      </c>
      <c r="D262" s="2212">
        <v>114054409</v>
      </c>
      <c r="E262" s="2020">
        <v>113956689</v>
      </c>
      <c r="F262" s="2020">
        <v>113956689</v>
      </c>
      <c r="H262" s="2215">
        <f t="shared" si="4"/>
        <v>97720</v>
      </c>
    </row>
    <row r="263" spans="1:8" ht="16.5" thickBot="1">
      <c r="A263" s="1076" t="s">
        <v>672</v>
      </c>
      <c r="B263" s="2015" t="s">
        <v>2241</v>
      </c>
      <c r="C263" s="2212">
        <v>105981573</v>
      </c>
      <c r="D263" s="2212">
        <v>105981573</v>
      </c>
      <c r="E263" s="2019">
        <v>105743083</v>
      </c>
      <c r="F263" s="2019">
        <v>105743083</v>
      </c>
      <c r="H263" s="2215">
        <f t="shared" si="4"/>
        <v>238490</v>
      </c>
    </row>
    <row r="264" spans="1:8" ht="16.5" thickBot="1">
      <c r="A264" s="1076" t="s">
        <v>1034</v>
      </c>
      <c r="B264" s="2016" t="s">
        <v>2242</v>
      </c>
      <c r="C264" s="2212">
        <v>46017034</v>
      </c>
      <c r="D264" s="2212">
        <v>46017034</v>
      </c>
      <c r="E264" s="2020">
        <v>45943578</v>
      </c>
      <c r="F264" s="2020">
        <v>45943578</v>
      </c>
      <c r="H264" s="2215">
        <f t="shared" si="4"/>
        <v>73456</v>
      </c>
    </row>
    <row r="265" spans="1:8" ht="16.5" thickBot="1">
      <c r="A265" s="1076" t="s">
        <v>2442</v>
      </c>
      <c r="B265" s="2015" t="s">
        <v>2243</v>
      </c>
      <c r="C265" s="2212">
        <v>14847577505</v>
      </c>
      <c r="D265" s="2212">
        <v>14847577505</v>
      </c>
      <c r="E265" s="2019">
        <v>14852720947</v>
      </c>
      <c r="F265" s="2019">
        <v>14852720947</v>
      </c>
      <c r="H265" s="2215">
        <f t="shared" si="4"/>
        <v>-5143442</v>
      </c>
    </row>
    <row r="266" spans="1:8" ht="16.5" thickBot="1">
      <c r="A266" s="1076" t="s">
        <v>2976</v>
      </c>
      <c r="B266" s="2016" t="s">
        <v>2244</v>
      </c>
      <c r="C266" s="2212">
        <v>311517613</v>
      </c>
      <c r="D266" s="2212">
        <v>311517613</v>
      </c>
      <c r="E266" s="2020">
        <v>311626354</v>
      </c>
      <c r="F266" s="2020">
        <v>311626354</v>
      </c>
      <c r="H266" s="2215">
        <f t="shared" si="4"/>
        <v>-108741</v>
      </c>
    </row>
    <row r="267" spans="1:8" ht="16.5" thickBot="1">
      <c r="A267" s="1076" t="s">
        <v>2745</v>
      </c>
      <c r="B267" s="2015" t="s">
        <v>2245</v>
      </c>
      <c r="C267" s="2212">
        <v>222541261</v>
      </c>
      <c r="D267" s="2212">
        <v>222541261</v>
      </c>
      <c r="E267" s="2019">
        <v>222132830</v>
      </c>
      <c r="F267" s="2019">
        <v>222132830</v>
      </c>
      <c r="H267" s="2215">
        <f t="shared" si="4"/>
        <v>408431</v>
      </c>
    </row>
    <row r="268" spans="1:8" ht="16.5" thickBot="1">
      <c r="A268" s="1076" t="s">
        <v>274</v>
      </c>
      <c r="B268" s="2016" t="s">
        <v>2427</v>
      </c>
      <c r="C268" s="2212">
        <v>35946795</v>
      </c>
      <c r="D268" s="2212">
        <v>35946795</v>
      </c>
      <c r="E268" s="2020">
        <v>35963087</v>
      </c>
      <c r="F268" s="2020">
        <v>35963087</v>
      </c>
      <c r="H268" s="2215">
        <f t="shared" si="4"/>
        <v>-16292</v>
      </c>
    </row>
    <row r="269" spans="1:8" ht="16.5" thickBot="1">
      <c r="A269" s="1076" t="s">
        <v>1585</v>
      </c>
      <c r="B269" s="2015" t="s">
        <v>2246</v>
      </c>
      <c r="C269" s="2212">
        <v>1744106083</v>
      </c>
      <c r="D269" s="2212">
        <v>1744106083</v>
      </c>
      <c r="E269" s="2019">
        <v>1743957060</v>
      </c>
      <c r="F269" s="2019">
        <v>1743957060</v>
      </c>
      <c r="H269" s="2215">
        <f t="shared" si="4"/>
        <v>149023</v>
      </c>
    </row>
    <row r="270" spans="1:8" ht="16.5" thickBot="1">
      <c r="A270" s="1076" t="s">
        <v>1586</v>
      </c>
      <c r="B270" s="2016" t="s">
        <v>2247</v>
      </c>
      <c r="C270" s="2212">
        <v>313576641</v>
      </c>
      <c r="D270" s="2212">
        <v>313576641</v>
      </c>
      <c r="E270" s="2020">
        <v>313790448</v>
      </c>
      <c r="F270" s="2020">
        <v>313790448</v>
      </c>
      <c r="H270" s="2215">
        <f t="shared" si="4"/>
        <v>-213807</v>
      </c>
    </row>
    <row r="271" spans="1:8" ht="16.5" thickBot="1">
      <c r="A271" s="1076" t="s">
        <v>818</v>
      </c>
      <c r="B271" s="2015" t="s">
        <v>1442</v>
      </c>
      <c r="C271" s="2212">
        <v>98174793</v>
      </c>
      <c r="D271" s="2212">
        <v>98174793</v>
      </c>
      <c r="E271" s="2019">
        <v>98257036</v>
      </c>
      <c r="F271" s="2019">
        <v>98257036</v>
      </c>
      <c r="H271" s="2215">
        <f t="shared" si="4"/>
        <v>-82243</v>
      </c>
    </row>
    <row r="272" spans="1:8" ht="16.5" thickBot="1">
      <c r="A272" s="1076" t="s">
        <v>1581</v>
      </c>
      <c r="B272" s="2016" t="s">
        <v>2248</v>
      </c>
      <c r="C272" s="2212">
        <v>2932574834</v>
      </c>
      <c r="D272" s="2212">
        <v>2932574834</v>
      </c>
      <c r="E272" s="2020">
        <v>2932682011</v>
      </c>
      <c r="F272" s="2020">
        <v>2932682011</v>
      </c>
      <c r="H272" s="2215">
        <f t="shared" si="4"/>
        <v>-107177</v>
      </c>
    </row>
    <row r="273" spans="1:8" ht="16.5" thickBot="1">
      <c r="A273" s="1076" t="s">
        <v>1049</v>
      </c>
      <c r="B273" s="2015" t="s">
        <v>2249</v>
      </c>
      <c r="C273" s="2212">
        <v>77252786</v>
      </c>
      <c r="D273" s="2212">
        <v>77252786</v>
      </c>
      <c r="E273" s="2019">
        <v>77180637</v>
      </c>
      <c r="F273" s="2019">
        <v>77180637</v>
      </c>
      <c r="H273" s="2215">
        <f t="shared" si="4"/>
        <v>72149</v>
      </c>
    </row>
    <row r="274" spans="1:8" ht="16.5" thickBot="1">
      <c r="A274" s="1076" t="s">
        <v>275</v>
      </c>
      <c r="B274" s="2016" t="s">
        <v>1539</v>
      </c>
      <c r="C274" s="2212">
        <v>216436449</v>
      </c>
      <c r="D274" s="2212">
        <v>216436449</v>
      </c>
      <c r="E274" s="2020">
        <v>216521284</v>
      </c>
      <c r="F274" s="2020">
        <v>216521284</v>
      </c>
      <c r="H274" s="2215">
        <f t="shared" si="4"/>
        <v>-84835</v>
      </c>
    </row>
    <row r="275" spans="1:8" ht="16.5" thickBot="1">
      <c r="A275" s="1076" t="s">
        <v>2382</v>
      </c>
      <c r="B275" s="2015" t="s">
        <v>92</v>
      </c>
      <c r="C275" s="2212">
        <v>1377779251</v>
      </c>
      <c r="D275" s="2212">
        <v>1377779251</v>
      </c>
      <c r="E275" s="2019">
        <v>1377713053</v>
      </c>
      <c r="F275" s="2019">
        <v>1377713053</v>
      </c>
      <c r="H275" s="2215">
        <f t="shared" si="4"/>
        <v>66198</v>
      </c>
    </row>
    <row r="276" spans="1:8" ht="16.5" thickBot="1">
      <c r="A276" s="1076" t="s">
        <v>375</v>
      </c>
      <c r="B276" s="2016" t="s">
        <v>160</v>
      </c>
      <c r="C276" s="2212">
        <v>2939020164</v>
      </c>
      <c r="D276" s="2212">
        <v>2939020164</v>
      </c>
      <c r="E276" s="2020">
        <v>2938539323</v>
      </c>
      <c r="F276" s="2020">
        <v>2938539323</v>
      </c>
      <c r="H276" s="2215">
        <f t="shared" si="4"/>
        <v>480841</v>
      </c>
    </row>
    <row r="277" spans="1:8" ht="16.5" thickBot="1">
      <c r="A277" s="1076" t="s">
        <v>819</v>
      </c>
      <c r="B277" s="2015" t="s">
        <v>2269</v>
      </c>
      <c r="C277" s="2212">
        <v>268610995</v>
      </c>
      <c r="D277" s="2212">
        <v>268610995</v>
      </c>
      <c r="E277" s="2019">
        <v>268586521</v>
      </c>
      <c r="F277" s="2019">
        <v>268586521</v>
      </c>
      <c r="H277" s="2215">
        <f t="shared" si="4"/>
        <v>24474</v>
      </c>
    </row>
    <row r="278" spans="1:8" ht="16.5" thickBot="1">
      <c r="A278" s="1076" t="s">
        <v>629</v>
      </c>
      <c r="B278" s="2016" t="s">
        <v>1331</v>
      </c>
      <c r="C278" s="2212">
        <v>1055023298</v>
      </c>
      <c r="D278" s="2212">
        <v>1055023298</v>
      </c>
      <c r="E278" s="2020">
        <v>1060523562</v>
      </c>
      <c r="F278" s="2020">
        <v>1060523562</v>
      </c>
      <c r="H278" s="2215">
        <f t="shared" si="4"/>
        <v>-5500264</v>
      </c>
    </row>
    <row r="279" spans="1:8" ht="16.5" thickBot="1">
      <c r="A279" s="1076" t="s">
        <v>2767</v>
      </c>
      <c r="B279" s="2015" t="s">
        <v>2250</v>
      </c>
      <c r="C279" s="2212">
        <v>15694283296</v>
      </c>
      <c r="D279" s="2212">
        <v>15694283296</v>
      </c>
      <c r="E279" s="2019">
        <v>15683108396</v>
      </c>
      <c r="F279" s="2019">
        <v>15683108396</v>
      </c>
      <c r="H279" s="2215">
        <f t="shared" si="4"/>
        <v>11174900</v>
      </c>
    </row>
    <row r="280" spans="1:8" ht="16.5" thickBot="1">
      <c r="A280" s="1076" t="s">
        <v>878</v>
      </c>
      <c r="B280" s="2016" t="s">
        <v>1004</v>
      </c>
      <c r="C280" s="2212">
        <v>161452561</v>
      </c>
      <c r="D280" s="2212">
        <v>161452561</v>
      </c>
      <c r="E280" s="2020">
        <v>162392680</v>
      </c>
      <c r="F280" s="2020">
        <v>162392680</v>
      </c>
      <c r="H280" s="2215">
        <f t="shared" si="4"/>
        <v>-940119</v>
      </c>
    </row>
    <row r="281" spans="1:8" ht="16.5" thickBot="1">
      <c r="A281" s="1076" t="s">
        <v>212</v>
      </c>
      <c r="B281" s="2015" t="s">
        <v>2311</v>
      </c>
      <c r="C281" s="2212">
        <v>196714639</v>
      </c>
      <c r="D281" s="2212">
        <v>196714639</v>
      </c>
      <c r="E281" s="2019">
        <v>198397127</v>
      </c>
      <c r="F281" s="2019">
        <v>198397127</v>
      </c>
      <c r="H281" s="2215">
        <f t="shared" si="4"/>
        <v>-1682488</v>
      </c>
    </row>
    <row r="282" spans="1:8" ht="16.5" thickBot="1">
      <c r="A282" s="1076" t="s">
        <v>1353</v>
      </c>
      <c r="B282" s="2016" t="s">
        <v>861</v>
      </c>
      <c r="C282" s="2212">
        <v>6899575397</v>
      </c>
      <c r="D282" s="2212">
        <v>6899575397</v>
      </c>
      <c r="E282" s="2020">
        <v>6899408549</v>
      </c>
      <c r="F282" s="2020">
        <v>6899408549</v>
      </c>
      <c r="H282" s="2215">
        <f t="shared" si="4"/>
        <v>166848</v>
      </c>
    </row>
    <row r="283" spans="1:8" ht="16.5" thickBot="1">
      <c r="A283" s="1076" t="s">
        <v>2401</v>
      </c>
      <c r="B283" s="2015" t="s">
        <v>153</v>
      </c>
      <c r="C283" s="2212">
        <v>176577322</v>
      </c>
      <c r="D283" s="2212">
        <v>176577322</v>
      </c>
      <c r="E283" s="2019">
        <v>176557897</v>
      </c>
      <c r="F283" s="2019">
        <v>176557897</v>
      </c>
      <c r="H283" s="2215">
        <f t="shared" si="4"/>
        <v>19425</v>
      </c>
    </row>
    <row r="284" spans="1:8" ht="16.5" thickBot="1">
      <c r="A284" s="1076" t="s">
        <v>2157</v>
      </c>
      <c r="B284" s="2016" t="s">
        <v>728</v>
      </c>
      <c r="C284" s="2212">
        <v>1639367309</v>
      </c>
      <c r="D284" s="2212">
        <v>1639367309</v>
      </c>
      <c r="E284" s="2020">
        <v>1641424190</v>
      </c>
      <c r="F284" s="2020">
        <v>1641424190</v>
      </c>
      <c r="H284" s="2215">
        <f t="shared" si="4"/>
        <v>-2056881</v>
      </c>
    </row>
    <row r="285" spans="1:8" ht="16.5" thickBot="1">
      <c r="A285" s="1076" t="s">
        <v>1710</v>
      </c>
      <c r="B285" s="2015" t="s">
        <v>661</v>
      </c>
      <c r="C285" s="2212">
        <v>61338382</v>
      </c>
      <c r="D285" s="2212">
        <v>61338382</v>
      </c>
      <c r="E285" s="2019">
        <v>62275919</v>
      </c>
      <c r="F285" s="2019">
        <v>62275919</v>
      </c>
      <c r="H285" s="2215">
        <f t="shared" si="4"/>
        <v>-937537</v>
      </c>
    </row>
    <row r="286" spans="1:8" ht="16.5" thickBot="1">
      <c r="A286" s="1076" t="s">
        <v>1315</v>
      </c>
      <c r="B286" s="2016" t="s">
        <v>2204</v>
      </c>
      <c r="C286" s="2212">
        <v>8512004376</v>
      </c>
      <c r="D286" s="2212">
        <v>8512004376</v>
      </c>
      <c r="E286" s="2020">
        <v>8512217145</v>
      </c>
      <c r="F286" s="2020">
        <v>8512217145</v>
      </c>
      <c r="H286" s="2215">
        <f t="shared" si="4"/>
        <v>-212769</v>
      </c>
    </row>
    <row r="287" spans="1:8" ht="16.5" thickBot="1">
      <c r="A287" s="1076" t="s">
        <v>2768</v>
      </c>
      <c r="B287" s="2015" t="s">
        <v>2251</v>
      </c>
      <c r="C287" s="2212">
        <v>46199272</v>
      </c>
      <c r="D287" s="2212">
        <v>46199272</v>
      </c>
      <c r="E287" s="2019">
        <v>46162992</v>
      </c>
      <c r="F287" s="2019">
        <v>46162992</v>
      </c>
      <c r="H287" s="2215">
        <f t="shared" si="4"/>
        <v>36280</v>
      </c>
    </row>
    <row r="288" spans="1:8" ht="16.5" thickBot="1">
      <c r="A288" s="1076" t="s">
        <v>2769</v>
      </c>
      <c r="B288" s="2016" t="s">
        <v>2252</v>
      </c>
      <c r="C288" s="2212">
        <v>280875440</v>
      </c>
      <c r="D288" s="2212">
        <v>280875440</v>
      </c>
      <c r="E288" s="2020">
        <v>280831883</v>
      </c>
      <c r="F288" s="2020">
        <v>280831883</v>
      </c>
      <c r="H288" s="2215">
        <f t="shared" si="4"/>
        <v>43557</v>
      </c>
    </row>
    <row r="289" spans="1:8" ht="16.5" thickBot="1">
      <c r="A289" s="1076" t="s">
        <v>1704</v>
      </c>
      <c r="B289" s="2015" t="s">
        <v>2409</v>
      </c>
      <c r="C289" s="2212">
        <v>1441314491</v>
      </c>
      <c r="D289" s="2212">
        <v>1441314491</v>
      </c>
      <c r="E289" s="2019">
        <v>1440980486</v>
      </c>
      <c r="F289" s="2019">
        <v>1440980486</v>
      </c>
      <c r="H289" s="2215">
        <f t="shared" si="4"/>
        <v>334005</v>
      </c>
    </row>
    <row r="290" spans="1:8" ht="16.5" thickBot="1">
      <c r="A290" s="1076" t="s">
        <v>2091</v>
      </c>
      <c r="B290" s="2016" t="s">
        <v>2253</v>
      </c>
      <c r="C290" s="2212">
        <v>121194915</v>
      </c>
      <c r="D290" s="2212">
        <v>121194915</v>
      </c>
      <c r="E290" s="2020">
        <v>121166175</v>
      </c>
      <c r="F290" s="2020">
        <v>121166175</v>
      </c>
      <c r="H290" s="2215">
        <f t="shared" si="4"/>
        <v>28740</v>
      </c>
    </row>
    <row r="291" spans="1:8" ht="16.5" thickBot="1">
      <c r="A291" s="1076" t="s">
        <v>2092</v>
      </c>
      <c r="B291" s="2015" t="s">
        <v>2254</v>
      </c>
      <c r="C291" s="2212">
        <v>120558265</v>
      </c>
      <c r="D291" s="2212">
        <v>120558265</v>
      </c>
      <c r="E291" s="2019">
        <v>120647465</v>
      </c>
      <c r="F291" s="2019">
        <v>120647465</v>
      </c>
      <c r="H291" s="2215">
        <f t="shared" si="4"/>
        <v>-89200</v>
      </c>
    </row>
    <row r="292" spans="1:8" ht="16.5" thickBot="1">
      <c r="A292" s="1076" t="s">
        <v>1400</v>
      </c>
      <c r="B292" s="2016" t="s">
        <v>2827</v>
      </c>
      <c r="C292" s="2212">
        <v>92607650</v>
      </c>
      <c r="D292" s="2212">
        <v>136536550</v>
      </c>
      <c r="E292" s="2020">
        <v>92567220</v>
      </c>
      <c r="F292" s="2020">
        <v>136496120</v>
      </c>
      <c r="H292" s="2215">
        <f t="shared" si="4"/>
        <v>40430</v>
      </c>
    </row>
    <row r="293" spans="1:8" ht="16.5" thickBot="1">
      <c r="A293" s="1076" t="s">
        <v>2093</v>
      </c>
      <c r="B293" s="2015" t="s">
        <v>2255</v>
      </c>
      <c r="C293" s="2212">
        <v>79755898</v>
      </c>
      <c r="D293" s="2212">
        <v>79755898</v>
      </c>
      <c r="E293" s="2019">
        <v>79741988</v>
      </c>
      <c r="F293" s="2019">
        <v>79741988</v>
      </c>
      <c r="H293" s="2215">
        <f t="shared" si="4"/>
        <v>13910</v>
      </c>
    </row>
    <row r="294" spans="1:8" ht="16.5" thickBot="1">
      <c r="A294" s="1076" t="s">
        <v>229</v>
      </c>
      <c r="B294" s="2016" t="s">
        <v>1185</v>
      </c>
      <c r="C294" s="2212">
        <v>61105926</v>
      </c>
      <c r="D294" s="2212">
        <v>61105926</v>
      </c>
      <c r="E294" s="2020">
        <v>60815643</v>
      </c>
      <c r="F294" s="2020">
        <v>60815643</v>
      </c>
      <c r="H294" s="2215">
        <f t="shared" si="4"/>
        <v>290283</v>
      </c>
    </row>
    <row r="295" spans="1:8" ht="16.5" thickBot="1">
      <c r="A295" s="1076" t="s">
        <v>2095</v>
      </c>
      <c r="B295" s="2015" t="s">
        <v>2357</v>
      </c>
      <c r="C295" s="2212">
        <v>232523969</v>
      </c>
      <c r="D295" s="2212">
        <v>232523969</v>
      </c>
      <c r="E295" s="2019">
        <v>231940118</v>
      </c>
      <c r="F295" s="2019">
        <v>231940118</v>
      </c>
      <c r="H295" s="2215">
        <f t="shared" si="4"/>
        <v>583851</v>
      </c>
    </row>
    <row r="296" spans="1:8" ht="16.5" thickBot="1">
      <c r="A296" s="1076" t="s">
        <v>2103</v>
      </c>
      <c r="B296" s="2016" t="s">
        <v>1508</v>
      </c>
      <c r="C296" s="2212">
        <v>16723312</v>
      </c>
      <c r="D296" s="2212">
        <v>16723312</v>
      </c>
      <c r="E296" s="2020">
        <v>16637792</v>
      </c>
      <c r="F296" s="2020">
        <v>16637792</v>
      </c>
      <c r="H296" s="2215">
        <f t="shared" si="4"/>
        <v>85520</v>
      </c>
    </row>
    <row r="297" spans="1:8" ht="16.5" thickBot="1">
      <c r="A297" s="1076" t="s">
        <v>230</v>
      </c>
      <c r="B297" s="2015" t="s">
        <v>2257</v>
      </c>
      <c r="C297" s="2212">
        <v>148829566</v>
      </c>
      <c r="D297" s="2212">
        <v>148829566</v>
      </c>
      <c r="E297" s="2019">
        <v>148508862</v>
      </c>
      <c r="F297" s="2019">
        <v>148508862</v>
      </c>
      <c r="H297" s="2215">
        <f t="shared" si="4"/>
        <v>320704</v>
      </c>
    </row>
    <row r="298" spans="1:8" ht="16.5" thickBot="1">
      <c r="A298" s="1076" t="s">
        <v>231</v>
      </c>
      <c r="B298" s="2016" t="s">
        <v>1</v>
      </c>
      <c r="C298" s="2212">
        <v>570184890</v>
      </c>
      <c r="D298" s="2212">
        <v>570184890</v>
      </c>
      <c r="E298" s="2020">
        <v>568338020</v>
      </c>
      <c r="F298" s="2020">
        <v>568338020</v>
      </c>
      <c r="H298" s="2215">
        <f t="shared" si="4"/>
        <v>1846870</v>
      </c>
    </row>
    <row r="299" spans="1:8" ht="16.5" thickBot="1">
      <c r="A299" s="1076" t="s">
        <v>1401</v>
      </c>
      <c r="B299" s="2015" t="s">
        <v>2495</v>
      </c>
      <c r="C299" s="2212">
        <v>41186075</v>
      </c>
      <c r="D299" s="2212">
        <v>41186075</v>
      </c>
      <c r="E299" s="2019">
        <v>41072637</v>
      </c>
      <c r="F299" s="2019">
        <v>41072637</v>
      </c>
      <c r="H299" s="2215">
        <f t="shared" si="4"/>
        <v>113438</v>
      </c>
    </row>
    <row r="300" spans="1:8" ht="16.5" thickBot="1">
      <c r="A300" s="1076" t="s">
        <v>820</v>
      </c>
      <c r="B300" s="2016" t="s">
        <v>1216</v>
      </c>
      <c r="C300" s="2212">
        <v>38343411</v>
      </c>
      <c r="D300" s="2212">
        <v>38343411</v>
      </c>
      <c r="E300" s="2020">
        <v>38265638</v>
      </c>
      <c r="F300" s="2020">
        <v>38265638</v>
      </c>
      <c r="H300" s="2215">
        <f t="shared" si="4"/>
        <v>77773</v>
      </c>
    </row>
    <row r="301" spans="1:8" ht="16.5" thickBot="1">
      <c r="A301" s="1076" t="s">
        <v>232</v>
      </c>
      <c r="B301" s="2015" t="s">
        <v>2</v>
      </c>
      <c r="C301" s="2212">
        <v>175852567</v>
      </c>
      <c r="D301" s="2212">
        <v>175852567</v>
      </c>
      <c r="E301" s="2019">
        <v>175460420</v>
      </c>
      <c r="F301" s="2019">
        <v>175460420</v>
      </c>
      <c r="H301" s="2215">
        <f t="shared" si="4"/>
        <v>392147</v>
      </c>
    </row>
    <row r="302" spans="1:8" ht="16.5" thickBot="1">
      <c r="A302" s="1076" t="s">
        <v>233</v>
      </c>
      <c r="B302" s="2016" t="s">
        <v>3</v>
      </c>
      <c r="C302" s="2212">
        <v>143261924</v>
      </c>
      <c r="D302" s="2212">
        <v>143261924</v>
      </c>
      <c r="E302" s="2020">
        <v>143026241</v>
      </c>
      <c r="F302" s="2020">
        <v>143026241</v>
      </c>
      <c r="H302" s="2215">
        <f t="shared" si="4"/>
        <v>235683</v>
      </c>
    </row>
    <row r="303" spans="1:8" ht="16.5" thickBot="1">
      <c r="A303" s="1076" t="s">
        <v>1960</v>
      </c>
      <c r="B303" s="2015" t="s">
        <v>4</v>
      </c>
      <c r="C303" s="2212">
        <v>82404248</v>
      </c>
      <c r="D303" s="2212">
        <v>82404248</v>
      </c>
      <c r="E303" s="2019">
        <v>82000315</v>
      </c>
      <c r="F303" s="2019">
        <v>82000315</v>
      </c>
      <c r="H303" s="2215">
        <f t="shared" si="4"/>
        <v>403933</v>
      </c>
    </row>
    <row r="304" spans="1:8" ht="16.5" thickBot="1">
      <c r="A304" s="1076" t="s">
        <v>1961</v>
      </c>
      <c r="B304" s="2016" t="s">
        <v>5</v>
      </c>
      <c r="C304" s="2212">
        <v>151239612</v>
      </c>
      <c r="D304" s="2212">
        <v>151239612</v>
      </c>
      <c r="E304" s="2020">
        <v>150898543</v>
      </c>
      <c r="F304" s="2020">
        <v>150898543</v>
      </c>
      <c r="H304" s="2215">
        <f t="shared" si="4"/>
        <v>341069</v>
      </c>
    </row>
    <row r="305" spans="1:8" ht="16.5" thickBot="1">
      <c r="A305" s="1076" t="s">
        <v>1402</v>
      </c>
      <c r="B305" s="2015" t="s">
        <v>2306</v>
      </c>
      <c r="C305" s="2212">
        <v>95839468</v>
      </c>
      <c r="D305" s="2212">
        <v>95839468</v>
      </c>
      <c r="E305" s="2019">
        <v>95481637</v>
      </c>
      <c r="F305" s="2019">
        <v>95481637</v>
      </c>
      <c r="H305" s="2215">
        <f t="shared" si="4"/>
        <v>357831</v>
      </c>
    </row>
    <row r="306" spans="1:8" ht="16.5" thickBot="1">
      <c r="A306" s="1076" t="s">
        <v>2948</v>
      </c>
      <c r="B306" s="2016" t="s">
        <v>502</v>
      </c>
      <c r="C306" s="2212">
        <v>473070096</v>
      </c>
      <c r="D306" s="2212">
        <v>473070096</v>
      </c>
      <c r="E306" s="2020">
        <v>473109103</v>
      </c>
      <c r="F306" s="2020">
        <v>473109103</v>
      </c>
      <c r="H306" s="2215">
        <f t="shared" si="4"/>
        <v>-39007</v>
      </c>
    </row>
    <row r="307" spans="1:8" ht="16.5" thickBot="1">
      <c r="A307" s="1076" t="s">
        <v>1911</v>
      </c>
      <c r="B307" s="2015" t="s">
        <v>503</v>
      </c>
      <c r="C307" s="2212">
        <v>1033654675</v>
      </c>
      <c r="D307" s="2212">
        <v>1033654675</v>
      </c>
      <c r="E307" s="2019">
        <v>1034156410</v>
      </c>
      <c r="F307" s="2019">
        <v>1034156410</v>
      </c>
      <c r="H307" s="2215">
        <f t="shared" si="4"/>
        <v>-501735</v>
      </c>
    </row>
    <row r="308" spans="1:8" ht="16.5" thickBot="1">
      <c r="A308" s="1076" t="s">
        <v>1912</v>
      </c>
      <c r="B308" s="2016" t="s">
        <v>504</v>
      </c>
      <c r="C308" s="2212">
        <v>422810334</v>
      </c>
      <c r="D308" s="2212">
        <v>422810334</v>
      </c>
      <c r="E308" s="2020">
        <v>422738962</v>
      </c>
      <c r="F308" s="2020">
        <v>422738962</v>
      </c>
      <c r="H308" s="2215">
        <f t="shared" si="4"/>
        <v>71372</v>
      </c>
    </row>
    <row r="309" spans="1:8" ht="16.5" thickBot="1">
      <c r="A309" s="1076" t="s">
        <v>1037</v>
      </c>
      <c r="B309" s="2015" t="s">
        <v>505</v>
      </c>
      <c r="C309" s="2212">
        <v>170122087</v>
      </c>
      <c r="D309" s="2212">
        <v>170122087</v>
      </c>
      <c r="E309" s="2019">
        <v>170092859</v>
      </c>
      <c r="F309" s="2019">
        <v>170092859</v>
      </c>
      <c r="H309" s="2215">
        <f t="shared" si="4"/>
        <v>29228</v>
      </c>
    </row>
    <row r="310" spans="1:8" ht="16.5" thickBot="1">
      <c r="A310" s="1076" t="s">
        <v>73</v>
      </c>
      <c r="B310" s="2016" t="s">
        <v>205</v>
      </c>
      <c r="C310" s="2212">
        <v>329970650</v>
      </c>
      <c r="D310" s="2212">
        <v>329970650</v>
      </c>
      <c r="E310" s="2020">
        <v>329978429</v>
      </c>
      <c r="F310" s="2020">
        <v>329978429</v>
      </c>
      <c r="H310" s="2215">
        <f t="shared" si="4"/>
        <v>-7779</v>
      </c>
    </row>
    <row r="311" spans="1:8" ht="16.5" thickBot="1">
      <c r="A311" s="1076" t="s">
        <v>853</v>
      </c>
      <c r="B311" s="2015" t="s">
        <v>1186</v>
      </c>
      <c r="C311" s="2212">
        <v>112437570</v>
      </c>
      <c r="D311" s="2212">
        <v>112437570</v>
      </c>
      <c r="E311" s="2019">
        <v>112463440</v>
      </c>
      <c r="F311" s="2019">
        <v>112463440</v>
      </c>
      <c r="H311" s="2215">
        <f t="shared" si="4"/>
        <v>-25870</v>
      </c>
    </row>
    <row r="312" spans="1:8" ht="16.5" thickBot="1">
      <c r="A312" s="1076" t="s">
        <v>2865</v>
      </c>
      <c r="B312" s="2016" t="s">
        <v>665</v>
      </c>
      <c r="C312" s="2212">
        <v>116432907</v>
      </c>
      <c r="D312" s="2212">
        <v>141432907</v>
      </c>
      <c r="E312" s="2020">
        <v>116636127</v>
      </c>
      <c r="F312" s="2020">
        <v>141636127</v>
      </c>
      <c r="H312" s="2215">
        <f t="shared" si="4"/>
        <v>-203220</v>
      </c>
    </row>
    <row r="313" spans="1:8" ht="16.5" thickBot="1">
      <c r="A313" s="1076" t="s">
        <v>697</v>
      </c>
      <c r="B313" s="2015" t="s">
        <v>958</v>
      </c>
      <c r="C313" s="2212">
        <v>267623315</v>
      </c>
      <c r="D313" s="2212">
        <v>267623315</v>
      </c>
      <c r="E313" s="2019">
        <v>267422845</v>
      </c>
      <c r="F313" s="2019">
        <v>267422845</v>
      </c>
      <c r="H313" s="2215">
        <f t="shared" si="4"/>
        <v>200470</v>
      </c>
    </row>
    <row r="314" spans="1:8" ht="16.5" thickBot="1">
      <c r="A314" s="1076" t="s">
        <v>698</v>
      </c>
      <c r="B314" s="2016" t="s">
        <v>959</v>
      </c>
      <c r="C314" s="2212">
        <v>105546486</v>
      </c>
      <c r="D314" s="2212">
        <v>105546486</v>
      </c>
      <c r="E314" s="2020">
        <v>105400396</v>
      </c>
      <c r="F314" s="2020">
        <v>105400396</v>
      </c>
      <c r="H314" s="2215">
        <f t="shared" si="4"/>
        <v>146090</v>
      </c>
    </row>
    <row r="315" spans="1:8" ht="16.5" thickBot="1">
      <c r="A315" s="1076" t="s">
        <v>699</v>
      </c>
      <c r="B315" s="2015" t="s">
        <v>960</v>
      </c>
      <c r="C315" s="2212">
        <v>175492371</v>
      </c>
      <c r="D315" s="2212">
        <v>175492371</v>
      </c>
      <c r="E315" s="2019">
        <v>175398001</v>
      </c>
      <c r="F315" s="2019">
        <v>175398001</v>
      </c>
      <c r="H315" s="2215">
        <f t="shared" si="4"/>
        <v>94370</v>
      </c>
    </row>
    <row r="316" spans="1:8" ht="16.5" thickBot="1">
      <c r="A316" s="1076" t="s">
        <v>700</v>
      </c>
      <c r="B316" s="2016" t="s">
        <v>1187</v>
      </c>
      <c r="C316" s="2212">
        <v>11666211922</v>
      </c>
      <c r="D316" s="2212">
        <v>11666211922</v>
      </c>
      <c r="E316" s="2020">
        <v>11674673116</v>
      </c>
      <c r="F316" s="2020">
        <v>11674673116</v>
      </c>
      <c r="H316" s="2215">
        <f t="shared" si="4"/>
        <v>-8461194</v>
      </c>
    </row>
    <row r="317" spans="1:8" ht="16.5" thickBot="1">
      <c r="A317" s="1076" t="s">
        <v>2906</v>
      </c>
      <c r="B317" s="2015" t="s">
        <v>1006</v>
      </c>
      <c r="C317" s="2212">
        <v>686155193</v>
      </c>
      <c r="D317" s="2212">
        <v>686155193</v>
      </c>
      <c r="E317" s="2019">
        <v>686512726</v>
      </c>
      <c r="F317" s="2019">
        <v>686512726</v>
      </c>
      <c r="H317" s="2215">
        <f t="shared" si="4"/>
        <v>-357533</v>
      </c>
    </row>
    <row r="318" spans="1:8" ht="16.5" thickBot="1">
      <c r="A318" s="1076" t="s">
        <v>1602</v>
      </c>
      <c r="B318" s="2016" t="s">
        <v>133</v>
      </c>
      <c r="C318" s="2212">
        <v>28327158668</v>
      </c>
      <c r="D318" s="2212">
        <v>28327158668</v>
      </c>
      <c r="E318" s="2020">
        <v>28342487607</v>
      </c>
      <c r="F318" s="2020">
        <v>28342487607</v>
      </c>
      <c r="H318" s="2215">
        <f t="shared" si="4"/>
        <v>-15328939</v>
      </c>
    </row>
    <row r="319" spans="1:8" ht="16.5" thickBot="1">
      <c r="A319" s="1076" t="s">
        <v>2647</v>
      </c>
      <c r="B319" s="2015" t="s">
        <v>1188</v>
      </c>
      <c r="C319" s="2212">
        <v>2197365587</v>
      </c>
      <c r="D319" s="2212">
        <v>2197365587</v>
      </c>
      <c r="E319" s="2019">
        <v>2198205092</v>
      </c>
      <c r="F319" s="2019">
        <v>2198205092</v>
      </c>
      <c r="H319" s="2215">
        <f t="shared" si="4"/>
        <v>-839505</v>
      </c>
    </row>
    <row r="320" spans="1:8" ht="16.5" thickBot="1">
      <c r="A320" s="1076" t="s">
        <v>2290</v>
      </c>
      <c r="B320" s="2016" t="s">
        <v>964</v>
      </c>
      <c r="C320" s="2212">
        <v>974376725</v>
      </c>
      <c r="D320" s="2212">
        <v>974376725</v>
      </c>
      <c r="E320" s="2020">
        <v>974115655</v>
      </c>
      <c r="F320" s="2020">
        <v>974115655</v>
      </c>
      <c r="H320" s="2215">
        <f t="shared" si="4"/>
        <v>261070</v>
      </c>
    </row>
    <row r="321" spans="1:8" ht="16.5" thickBot="1">
      <c r="A321" s="1076" t="s">
        <v>1478</v>
      </c>
      <c r="B321" s="2015" t="s">
        <v>965</v>
      </c>
      <c r="C321" s="2212">
        <v>1663921479</v>
      </c>
      <c r="D321" s="2212">
        <v>1663921479</v>
      </c>
      <c r="E321" s="2019">
        <v>1664269803</v>
      </c>
      <c r="F321" s="2019">
        <v>1664269803</v>
      </c>
      <c r="H321" s="2215">
        <f t="shared" si="4"/>
        <v>-348324</v>
      </c>
    </row>
    <row r="322" spans="1:8" ht="16.5" thickBot="1">
      <c r="A322" s="1076" t="s">
        <v>2192</v>
      </c>
      <c r="B322" s="2016" t="s">
        <v>966</v>
      </c>
      <c r="C322" s="2212">
        <v>937314409</v>
      </c>
      <c r="D322" s="2212">
        <v>937314409</v>
      </c>
      <c r="E322" s="2020">
        <v>937449416</v>
      </c>
      <c r="F322" s="2020">
        <v>937449416</v>
      </c>
      <c r="H322" s="2215">
        <f t="shared" ref="H322:H385" si="5">C322-E322</f>
        <v>-135007</v>
      </c>
    </row>
    <row r="323" spans="1:8" ht="16.5" thickBot="1">
      <c r="A323" s="1076" t="s">
        <v>2198</v>
      </c>
      <c r="B323" s="2015" t="s">
        <v>967</v>
      </c>
      <c r="C323" s="2212">
        <v>134010277</v>
      </c>
      <c r="D323" s="2212">
        <v>134010277</v>
      </c>
      <c r="E323" s="2019">
        <v>133992106</v>
      </c>
      <c r="F323" s="2019">
        <v>133992106</v>
      </c>
      <c r="H323" s="2215">
        <f t="shared" si="5"/>
        <v>18171</v>
      </c>
    </row>
    <row r="324" spans="1:8" ht="16.5" thickBot="1">
      <c r="A324" s="1076" t="s">
        <v>2199</v>
      </c>
      <c r="B324" s="2016" t="s">
        <v>968</v>
      </c>
      <c r="C324" s="2212">
        <v>198467910</v>
      </c>
      <c r="D324" s="2212">
        <v>198467910</v>
      </c>
      <c r="E324" s="2020">
        <v>198497224</v>
      </c>
      <c r="F324" s="2020">
        <v>198497224</v>
      </c>
      <c r="H324" s="2215">
        <f t="shared" si="5"/>
        <v>-29314</v>
      </c>
    </row>
    <row r="325" spans="1:8" ht="16.5" thickBot="1">
      <c r="A325" s="1076" t="s">
        <v>1403</v>
      </c>
      <c r="B325" s="2015" t="s">
        <v>2494</v>
      </c>
      <c r="C325" s="2212">
        <v>1485630542</v>
      </c>
      <c r="D325" s="2212">
        <v>1485630542</v>
      </c>
      <c r="E325" s="2019">
        <v>1485443566</v>
      </c>
      <c r="F325" s="2019">
        <v>1485443566</v>
      </c>
      <c r="H325" s="2215">
        <f t="shared" si="5"/>
        <v>186976</v>
      </c>
    </row>
    <row r="326" spans="1:8" ht="16.5" thickBot="1">
      <c r="A326" s="1076" t="s">
        <v>2866</v>
      </c>
      <c r="B326" s="2016" t="s">
        <v>2987</v>
      </c>
      <c r="C326" s="2212">
        <v>1449131582</v>
      </c>
      <c r="D326" s="2212">
        <v>1449131582</v>
      </c>
      <c r="E326" s="2020">
        <v>1448249952</v>
      </c>
      <c r="F326" s="2020">
        <v>1448249952</v>
      </c>
      <c r="H326" s="2215">
        <f t="shared" si="5"/>
        <v>881630</v>
      </c>
    </row>
    <row r="327" spans="1:8" ht="16.5" thickBot="1">
      <c r="A327" s="1076" t="s">
        <v>2200</v>
      </c>
      <c r="B327" s="2015" t="s">
        <v>969</v>
      </c>
      <c r="C327" s="2212">
        <v>260967585</v>
      </c>
      <c r="D327" s="2212">
        <v>260967585</v>
      </c>
      <c r="E327" s="2019">
        <v>260988946</v>
      </c>
      <c r="F327" s="2019">
        <v>260988946</v>
      </c>
      <c r="H327" s="2215">
        <f t="shared" si="5"/>
        <v>-21361</v>
      </c>
    </row>
    <row r="328" spans="1:8" ht="16.5" thickBot="1">
      <c r="A328" s="1076" t="s">
        <v>2420</v>
      </c>
      <c r="B328" s="2016" t="s">
        <v>577</v>
      </c>
      <c r="C328" s="2212">
        <v>491387694</v>
      </c>
      <c r="D328" s="2212">
        <v>491387694</v>
      </c>
      <c r="E328" s="2020">
        <v>491372308</v>
      </c>
      <c r="F328" s="2020">
        <v>491372308</v>
      </c>
      <c r="H328" s="2215">
        <f t="shared" si="5"/>
        <v>15386</v>
      </c>
    </row>
    <row r="329" spans="1:8" ht="16.5" thickBot="1">
      <c r="A329" s="1076" t="s">
        <v>2490</v>
      </c>
      <c r="B329" s="2015" t="s">
        <v>578</v>
      </c>
      <c r="C329" s="2212">
        <v>5675726344</v>
      </c>
      <c r="D329" s="2212">
        <v>5675726344</v>
      </c>
      <c r="E329" s="2019">
        <v>5676592503</v>
      </c>
      <c r="F329" s="2019">
        <v>5676592503</v>
      </c>
      <c r="H329" s="2215">
        <f t="shared" si="5"/>
        <v>-866159</v>
      </c>
    </row>
    <row r="330" spans="1:8" ht="16.5" thickBot="1">
      <c r="A330" s="1076" t="s">
        <v>2270</v>
      </c>
      <c r="B330" s="2016" t="s">
        <v>397</v>
      </c>
      <c r="C330" s="2212">
        <v>2918762694</v>
      </c>
      <c r="D330" s="2212">
        <v>2918762694</v>
      </c>
      <c r="E330" s="2020">
        <v>2919991361</v>
      </c>
      <c r="F330" s="2020">
        <v>2919991361</v>
      </c>
      <c r="H330" s="2215">
        <f t="shared" si="5"/>
        <v>-1228667</v>
      </c>
    </row>
    <row r="331" spans="1:8" ht="16.5" thickBot="1">
      <c r="A331" s="1076" t="s">
        <v>2550</v>
      </c>
      <c r="B331" s="2015" t="s">
        <v>398</v>
      </c>
      <c r="C331" s="2212">
        <v>5725363217</v>
      </c>
      <c r="D331" s="2212">
        <v>5725363217</v>
      </c>
      <c r="E331" s="2019">
        <v>5724688951</v>
      </c>
      <c r="F331" s="2019">
        <v>5724688951</v>
      </c>
      <c r="H331" s="2215">
        <f t="shared" si="5"/>
        <v>674266</v>
      </c>
    </row>
    <row r="332" spans="1:8" ht="16.5" thickBot="1">
      <c r="A332" s="1076" t="s">
        <v>2132</v>
      </c>
      <c r="B332" s="2016" t="s">
        <v>2726</v>
      </c>
      <c r="C332" s="2212">
        <v>95391669</v>
      </c>
      <c r="D332" s="2212">
        <v>95391669</v>
      </c>
      <c r="E332" s="2020">
        <v>95400945</v>
      </c>
      <c r="F332" s="2020">
        <v>95400945</v>
      </c>
      <c r="H332" s="2215">
        <f t="shared" si="5"/>
        <v>-9276</v>
      </c>
    </row>
    <row r="333" spans="1:8" ht="16.5" thickBot="1">
      <c r="A333" s="1076" t="s">
        <v>862</v>
      </c>
      <c r="B333" s="2015" t="s">
        <v>399</v>
      </c>
      <c r="C333" s="2212">
        <v>1481941378</v>
      </c>
      <c r="D333" s="2212">
        <v>1481941378</v>
      </c>
      <c r="E333" s="2019">
        <v>1480387575</v>
      </c>
      <c r="F333" s="2019">
        <v>1480387575</v>
      </c>
      <c r="H333" s="2215">
        <f t="shared" si="5"/>
        <v>1553803</v>
      </c>
    </row>
    <row r="334" spans="1:8" ht="16.5" thickBot="1">
      <c r="A334" s="1076" t="s">
        <v>863</v>
      </c>
      <c r="B334" s="2016" t="s">
        <v>400</v>
      </c>
      <c r="C334" s="2212">
        <v>4027446257</v>
      </c>
      <c r="D334" s="2212">
        <v>4027446257</v>
      </c>
      <c r="E334" s="2020">
        <v>4025967179</v>
      </c>
      <c r="F334" s="2020">
        <v>4025967179</v>
      </c>
      <c r="H334" s="2215">
        <f t="shared" si="5"/>
        <v>1479078</v>
      </c>
    </row>
    <row r="335" spans="1:8" ht="16.5" thickBot="1">
      <c r="A335" s="1076" t="s">
        <v>2817</v>
      </c>
      <c r="B335" s="2015" t="s">
        <v>401</v>
      </c>
      <c r="C335" s="2212">
        <v>530250229</v>
      </c>
      <c r="D335" s="2212">
        <v>530250229</v>
      </c>
      <c r="E335" s="2019">
        <v>529965282</v>
      </c>
      <c r="F335" s="2019">
        <v>529965282</v>
      </c>
      <c r="H335" s="2215">
        <f t="shared" si="5"/>
        <v>284947</v>
      </c>
    </row>
    <row r="336" spans="1:8" ht="16.5" thickBot="1">
      <c r="A336" s="1076" t="s">
        <v>533</v>
      </c>
      <c r="B336" s="2016" t="s">
        <v>98</v>
      </c>
      <c r="C336" s="2212">
        <v>1101894070</v>
      </c>
      <c r="D336" s="2212">
        <v>1101894070</v>
      </c>
      <c r="E336" s="2020">
        <v>1102375684</v>
      </c>
      <c r="F336" s="2020">
        <v>1102375684</v>
      </c>
      <c r="H336" s="2215">
        <f t="shared" si="5"/>
        <v>-481614</v>
      </c>
    </row>
    <row r="337" spans="1:8" ht="16.5" thickBot="1">
      <c r="A337" s="1076" t="s">
        <v>2818</v>
      </c>
      <c r="B337" s="2015" t="s">
        <v>402</v>
      </c>
      <c r="C337" s="2212">
        <v>17667452518</v>
      </c>
      <c r="D337" s="2212">
        <v>17667452518</v>
      </c>
      <c r="E337" s="2019">
        <v>17667146233</v>
      </c>
      <c r="F337" s="2019">
        <v>17667146233</v>
      </c>
      <c r="H337" s="2215">
        <f t="shared" si="5"/>
        <v>306285</v>
      </c>
    </row>
    <row r="338" spans="1:8" ht="16.5" thickBot="1">
      <c r="A338" s="1076" t="s">
        <v>1604</v>
      </c>
      <c r="B338" s="2016" t="s">
        <v>1666</v>
      </c>
      <c r="C338" s="2212">
        <v>2333889765</v>
      </c>
      <c r="D338" s="2212">
        <v>2333889765</v>
      </c>
      <c r="E338" s="2020">
        <v>2333839177</v>
      </c>
      <c r="F338" s="2020">
        <v>2333839177</v>
      </c>
      <c r="H338" s="2215">
        <f t="shared" si="5"/>
        <v>50588</v>
      </c>
    </row>
    <row r="339" spans="1:8" ht="16.5" thickBot="1">
      <c r="A339" s="1076" t="s">
        <v>1872</v>
      </c>
      <c r="B339" s="2015" t="s">
        <v>403</v>
      </c>
      <c r="C339" s="2212">
        <v>859263572</v>
      </c>
      <c r="D339" s="2212">
        <v>859263572</v>
      </c>
      <c r="E339" s="2019">
        <v>859408032</v>
      </c>
      <c r="F339" s="2019">
        <v>859408032</v>
      </c>
      <c r="H339" s="2215">
        <f t="shared" si="5"/>
        <v>-144460</v>
      </c>
    </row>
    <row r="340" spans="1:8" ht="16.5" thickBot="1">
      <c r="A340" s="1076" t="s">
        <v>1873</v>
      </c>
      <c r="B340" s="2016" t="s">
        <v>404</v>
      </c>
      <c r="C340" s="2212">
        <v>80236042</v>
      </c>
      <c r="D340" s="2212">
        <v>80236042</v>
      </c>
      <c r="E340" s="2020">
        <v>80274872</v>
      </c>
      <c r="F340" s="2020">
        <v>80274872</v>
      </c>
      <c r="H340" s="2215">
        <f t="shared" si="5"/>
        <v>-38830</v>
      </c>
    </row>
    <row r="341" spans="1:8" ht="16.5" thickBot="1">
      <c r="A341" s="1076" t="s">
        <v>2139</v>
      </c>
      <c r="B341" s="2015" t="s">
        <v>1189</v>
      </c>
      <c r="C341" s="2212">
        <v>37970048</v>
      </c>
      <c r="D341" s="2212">
        <v>37970048</v>
      </c>
      <c r="E341" s="2019">
        <v>37978178</v>
      </c>
      <c r="F341" s="2019">
        <v>37978178</v>
      </c>
      <c r="H341" s="2215">
        <f t="shared" si="5"/>
        <v>-8130</v>
      </c>
    </row>
    <row r="342" spans="1:8" ht="16.5" thickBot="1">
      <c r="A342" s="1076" t="s">
        <v>1636</v>
      </c>
      <c r="B342" s="2016" t="s">
        <v>406</v>
      </c>
      <c r="C342" s="2212">
        <v>2606242071</v>
      </c>
      <c r="D342" s="2212">
        <v>2606242071</v>
      </c>
      <c r="E342" s="2020">
        <v>2606086566</v>
      </c>
      <c r="F342" s="2020">
        <v>2606086566</v>
      </c>
      <c r="H342" s="2215">
        <f t="shared" si="5"/>
        <v>155505</v>
      </c>
    </row>
    <row r="343" spans="1:8" ht="16.5" thickBot="1">
      <c r="A343" s="1076" t="s">
        <v>2474</v>
      </c>
      <c r="B343" s="2015" t="s">
        <v>2004</v>
      </c>
      <c r="C343" s="2212">
        <v>377813587</v>
      </c>
      <c r="D343" s="2212">
        <v>377813587</v>
      </c>
      <c r="E343" s="2019">
        <v>377729033</v>
      </c>
      <c r="F343" s="2019">
        <v>377729033</v>
      </c>
      <c r="H343" s="2215">
        <f t="shared" si="5"/>
        <v>84554</v>
      </c>
    </row>
    <row r="344" spans="1:8" ht="16.5" thickBot="1">
      <c r="A344" s="1076" t="s">
        <v>2475</v>
      </c>
      <c r="B344" s="2016" t="s">
        <v>2005</v>
      </c>
      <c r="C344" s="2212">
        <v>3580609245</v>
      </c>
      <c r="D344" s="2212">
        <v>3788342379</v>
      </c>
      <c r="E344" s="2020">
        <v>3580639779</v>
      </c>
      <c r="F344" s="2020">
        <v>3788372913</v>
      </c>
      <c r="H344" s="2215">
        <f t="shared" si="5"/>
        <v>-30534</v>
      </c>
    </row>
    <row r="345" spans="1:8" ht="16.5" thickBot="1">
      <c r="A345" s="1076" t="s">
        <v>2794</v>
      </c>
      <c r="B345" s="2015" t="s">
        <v>2006</v>
      </c>
      <c r="C345" s="2212">
        <v>1073068384</v>
      </c>
      <c r="D345" s="2212">
        <v>1073068384</v>
      </c>
      <c r="E345" s="2019">
        <v>1073291394</v>
      </c>
      <c r="F345" s="2019">
        <v>1073291394</v>
      </c>
      <c r="H345" s="2215">
        <f t="shared" si="5"/>
        <v>-223010</v>
      </c>
    </row>
    <row r="346" spans="1:8" ht="16.5" thickBot="1">
      <c r="A346" s="1076" t="s">
        <v>1019</v>
      </c>
      <c r="B346" s="2016" t="s">
        <v>973</v>
      </c>
      <c r="C346" s="2212">
        <v>2502353511</v>
      </c>
      <c r="D346" s="2212">
        <v>2502353511</v>
      </c>
      <c r="E346" s="2020">
        <v>2502575374</v>
      </c>
      <c r="F346" s="2020">
        <v>2502575374</v>
      </c>
      <c r="H346" s="2215">
        <f t="shared" si="5"/>
        <v>-221863</v>
      </c>
    </row>
    <row r="347" spans="1:8" ht="16.5" thickBot="1">
      <c r="A347" s="1076" t="s">
        <v>2795</v>
      </c>
      <c r="B347" s="2015" t="s">
        <v>1190</v>
      </c>
      <c r="C347" s="2212">
        <v>1667442254</v>
      </c>
      <c r="D347" s="2212">
        <v>1667442254</v>
      </c>
      <c r="E347" s="2019">
        <v>1667413821</v>
      </c>
      <c r="F347" s="2019">
        <v>1667413821</v>
      </c>
      <c r="H347" s="2215">
        <f t="shared" si="5"/>
        <v>28433</v>
      </c>
    </row>
    <row r="348" spans="1:8" ht="16.5" thickBot="1">
      <c r="A348" s="1076" t="s">
        <v>2796</v>
      </c>
      <c r="B348" s="2016" t="s">
        <v>1626</v>
      </c>
      <c r="C348" s="2212">
        <v>209132956</v>
      </c>
      <c r="D348" s="2212">
        <v>209132956</v>
      </c>
      <c r="E348" s="2020">
        <v>209174453</v>
      </c>
      <c r="F348" s="2020">
        <v>209174453</v>
      </c>
      <c r="H348" s="2215">
        <f t="shared" si="5"/>
        <v>-41497</v>
      </c>
    </row>
    <row r="349" spans="1:8" ht="16.5" thickBot="1">
      <c r="A349" s="1076" t="s">
        <v>2118</v>
      </c>
      <c r="B349" s="2015" t="s">
        <v>1627</v>
      </c>
      <c r="C349" s="2212">
        <v>192506443</v>
      </c>
      <c r="D349" s="2212">
        <v>192506443</v>
      </c>
      <c r="E349" s="2019">
        <v>192556163</v>
      </c>
      <c r="F349" s="2019">
        <v>192556163</v>
      </c>
      <c r="H349" s="2215">
        <f t="shared" si="5"/>
        <v>-49720</v>
      </c>
    </row>
    <row r="350" spans="1:8" ht="16.5" thickBot="1">
      <c r="A350" s="1076" t="s">
        <v>2119</v>
      </c>
      <c r="B350" s="2016" t="s">
        <v>1628</v>
      </c>
      <c r="C350" s="2212">
        <v>149980609</v>
      </c>
      <c r="D350" s="2212">
        <v>149980609</v>
      </c>
      <c r="E350" s="2020">
        <v>149988679</v>
      </c>
      <c r="F350" s="2020">
        <v>149988679</v>
      </c>
      <c r="H350" s="2215">
        <f t="shared" si="5"/>
        <v>-8070</v>
      </c>
    </row>
    <row r="351" spans="1:8" ht="16.5" thickBot="1">
      <c r="A351" s="1076" t="s">
        <v>2301</v>
      </c>
      <c r="B351" s="2015" t="s">
        <v>1540</v>
      </c>
      <c r="C351" s="2212">
        <v>1254993353</v>
      </c>
      <c r="D351" s="2212">
        <v>1254993353</v>
      </c>
      <c r="E351" s="2019">
        <v>1255837463</v>
      </c>
      <c r="F351" s="2019">
        <v>1255837463</v>
      </c>
      <c r="H351" s="2215">
        <f t="shared" si="5"/>
        <v>-844110</v>
      </c>
    </row>
    <row r="352" spans="1:8" ht="16.5" thickBot="1">
      <c r="A352" s="1076" t="s">
        <v>2313</v>
      </c>
      <c r="B352" s="2016" t="s">
        <v>1629</v>
      </c>
      <c r="C352" s="2212">
        <v>148540306</v>
      </c>
      <c r="D352" s="2212">
        <v>148540306</v>
      </c>
      <c r="E352" s="2020">
        <v>148532656</v>
      </c>
      <c r="F352" s="2020">
        <v>148532656</v>
      </c>
      <c r="H352" s="2215">
        <f t="shared" si="5"/>
        <v>7650</v>
      </c>
    </row>
    <row r="353" spans="1:8" ht="16.5" thickBot="1">
      <c r="A353" s="1076" t="s">
        <v>1897</v>
      </c>
      <c r="B353" s="2015" t="s">
        <v>1757</v>
      </c>
      <c r="C353" s="2212">
        <v>188132186</v>
      </c>
      <c r="D353" s="2212">
        <v>188132186</v>
      </c>
      <c r="E353" s="2019">
        <v>188203714</v>
      </c>
      <c r="F353" s="2019">
        <v>188203714</v>
      </c>
      <c r="H353" s="2215">
        <f t="shared" si="5"/>
        <v>-71528</v>
      </c>
    </row>
    <row r="354" spans="1:8" ht="16.5" thickBot="1">
      <c r="A354" s="1076" t="s">
        <v>1107</v>
      </c>
      <c r="B354" s="2016" t="s">
        <v>1630</v>
      </c>
      <c r="C354" s="2212">
        <v>138305793</v>
      </c>
      <c r="D354" s="2212">
        <v>138305793</v>
      </c>
      <c r="E354" s="2020">
        <v>138371637</v>
      </c>
      <c r="F354" s="2020">
        <v>138371637</v>
      </c>
      <c r="H354" s="2215">
        <f t="shared" si="5"/>
        <v>-65844</v>
      </c>
    </row>
    <row r="355" spans="1:8" ht="16.5" thickBot="1">
      <c r="A355" s="1076" t="s">
        <v>1108</v>
      </c>
      <c r="B355" s="2015" t="s">
        <v>1631</v>
      </c>
      <c r="C355" s="2212">
        <v>1354837636</v>
      </c>
      <c r="D355" s="2212">
        <v>1354837636</v>
      </c>
      <c r="E355" s="2019">
        <v>1355945727</v>
      </c>
      <c r="F355" s="2019">
        <v>1355945727</v>
      </c>
      <c r="H355" s="2215">
        <f t="shared" si="5"/>
        <v>-1108091</v>
      </c>
    </row>
    <row r="356" spans="1:8" ht="16.5" thickBot="1">
      <c r="A356" s="1076" t="s">
        <v>1276</v>
      </c>
      <c r="B356" s="2016" t="s">
        <v>2731</v>
      </c>
      <c r="C356" s="2212">
        <v>211027768</v>
      </c>
      <c r="D356" s="2212">
        <v>211027768</v>
      </c>
      <c r="E356" s="2020">
        <v>211444981</v>
      </c>
      <c r="F356" s="2020">
        <v>211444981</v>
      </c>
      <c r="H356" s="2215">
        <f t="shared" si="5"/>
        <v>-417213</v>
      </c>
    </row>
    <row r="357" spans="1:8" ht="16.5" thickBot="1">
      <c r="A357" s="1076" t="s">
        <v>897</v>
      </c>
      <c r="B357" s="2015" t="s">
        <v>1849</v>
      </c>
      <c r="C357" s="2212">
        <v>2623046223</v>
      </c>
      <c r="D357" s="2212">
        <v>2623046223</v>
      </c>
      <c r="E357" s="2019">
        <v>2622939385</v>
      </c>
      <c r="F357" s="2019">
        <v>2622939385</v>
      </c>
      <c r="H357" s="2215">
        <f t="shared" si="5"/>
        <v>106838</v>
      </c>
    </row>
    <row r="358" spans="1:8" ht="16.5" thickBot="1">
      <c r="A358" s="1076" t="s">
        <v>898</v>
      </c>
      <c r="B358" s="2016" t="s">
        <v>1850</v>
      </c>
      <c r="C358" s="2212">
        <v>74614381</v>
      </c>
      <c r="D358" s="2212">
        <v>74614381</v>
      </c>
      <c r="E358" s="2020">
        <v>74737506</v>
      </c>
      <c r="F358" s="2020">
        <v>74737506</v>
      </c>
      <c r="H358" s="2215">
        <f t="shared" si="5"/>
        <v>-123125</v>
      </c>
    </row>
    <row r="359" spans="1:8" ht="16.5" thickBot="1">
      <c r="A359" s="1076" t="s">
        <v>1404</v>
      </c>
      <c r="B359" s="2015" t="s">
        <v>2706</v>
      </c>
      <c r="C359" s="2212">
        <v>494504362</v>
      </c>
      <c r="D359" s="2212">
        <v>494504362</v>
      </c>
      <c r="E359" s="2019">
        <v>494941987</v>
      </c>
      <c r="F359" s="2019">
        <v>494941987</v>
      </c>
      <c r="H359" s="2215">
        <f t="shared" si="5"/>
        <v>-437625</v>
      </c>
    </row>
    <row r="360" spans="1:8" ht="16.5" thickBot="1">
      <c r="A360" s="1076" t="s">
        <v>1405</v>
      </c>
      <c r="B360" s="2016" t="s">
        <v>1511</v>
      </c>
      <c r="C360" s="2212">
        <v>630241669</v>
      </c>
      <c r="D360" s="2212">
        <v>630241669</v>
      </c>
      <c r="E360" s="2020">
        <v>630380844</v>
      </c>
      <c r="F360" s="2020">
        <v>630380844</v>
      </c>
      <c r="H360" s="2215">
        <f t="shared" si="5"/>
        <v>-139175</v>
      </c>
    </row>
    <row r="361" spans="1:8" ht="16.5" thickBot="1">
      <c r="A361" s="1076" t="s">
        <v>1650</v>
      </c>
      <c r="B361" s="2015" t="s">
        <v>1851</v>
      </c>
      <c r="C361" s="2212">
        <v>169756353</v>
      </c>
      <c r="D361" s="2212">
        <v>169756353</v>
      </c>
      <c r="E361" s="2019">
        <v>169859890</v>
      </c>
      <c r="F361" s="2019">
        <v>169859890</v>
      </c>
      <c r="H361" s="2215">
        <f t="shared" si="5"/>
        <v>-103537</v>
      </c>
    </row>
    <row r="362" spans="1:8" ht="16.5" thickBot="1">
      <c r="A362" s="1076" t="s">
        <v>243</v>
      </c>
      <c r="B362" s="2016" t="s">
        <v>2410</v>
      </c>
      <c r="C362" s="2212">
        <v>729333827</v>
      </c>
      <c r="D362" s="2212">
        <v>729333827</v>
      </c>
      <c r="E362" s="2020">
        <v>729430427</v>
      </c>
      <c r="F362" s="2020">
        <v>729430427</v>
      </c>
      <c r="H362" s="2215">
        <f t="shared" si="5"/>
        <v>-96600</v>
      </c>
    </row>
    <row r="363" spans="1:8" ht="16.5" thickBot="1">
      <c r="A363" s="1076" t="s">
        <v>2977</v>
      </c>
      <c r="B363" s="2015" t="s">
        <v>1191</v>
      </c>
      <c r="C363" s="2212">
        <v>372420642</v>
      </c>
      <c r="D363" s="2212">
        <v>372420642</v>
      </c>
      <c r="E363" s="2019">
        <v>372793874</v>
      </c>
      <c r="F363" s="2019">
        <v>372793874</v>
      </c>
      <c r="H363" s="2215">
        <f t="shared" si="5"/>
        <v>-373232</v>
      </c>
    </row>
    <row r="364" spans="1:8" ht="16.5" thickBot="1">
      <c r="A364" s="1076" t="s">
        <v>1483</v>
      </c>
      <c r="B364" s="2016" t="s">
        <v>1948</v>
      </c>
      <c r="C364" s="2212">
        <v>202418473</v>
      </c>
      <c r="D364" s="2212">
        <v>202418473</v>
      </c>
      <c r="E364" s="2020">
        <v>202585919</v>
      </c>
      <c r="F364" s="2020">
        <v>202585919</v>
      </c>
      <c r="H364" s="2215">
        <f t="shared" si="5"/>
        <v>-167446</v>
      </c>
    </row>
    <row r="365" spans="1:8" ht="16.5" thickBot="1">
      <c r="A365" s="1076" t="s">
        <v>1461</v>
      </c>
      <c r="B365" s="2015" t="s">
        <v>250</v>
      </c>
      <c r="C365" s="2212">
        <v>166563425</v>
      </c>
      <c r="D365" s="2212">
        <v>166563425</v>
      </c>
      <c r="E365" s="2019">
        <v>167044486</v>
      </c>
      <c r="F365" s="2019">
        <v>167044486</v>
      </c>
      <c r="H365" s="2215">
        <f t="shared" si="5"/>
        <v>-481061</v>
      </c>
    </row>
    <row r="366" spans="1:8" ht="16.5" thickBot="1">
      <c r="A366" s="1076" t="s">
        <v>1462</v>
      </c>
      <c r="B366" s="2016" t="s">
        <v>251</v>
      </c>
      <c r="C366" s="2212">
        <v>552992302</v>
      </c>
      <c r="D366" s="2212">
        <v>552992302</v>
      </c>
      <c r="E366" s="2020">
        <v>553469391</v>
      </c>
      <c r="F366" s="2020">
        <v>553469391</v>
      </c>
      <c r="H366" s="2215">
        <f t="shared" si="5"/>
        <v>-477089</v>
      </c>
    </row>
    <row r="367" spans="1:8" ht="16.5" thickBot="1">
      <c r="A367" s="1076" t="s">
        <v>1463</v>
      </c>
      <c r="B367" s="2015" t="s">
        <v>252</v>
      </c>
      <c r="C367" s="2212">
        <v>1686555214</v>
      </c>
      <c r="D367" s="2212">
        <v>1686555214</v>
      </c>
      <c r="E367" s="2019">
        <v>1687367148</v>
      </c>
      <c r="F367" s="2019">
        <v>1687367148</v>
      </c>
      <c r="H367" s="2215">
        <f t="shared" si="5"/>
        <v>-811934</v>
      </c>
    </row>
    <row r="368" spans="1:8" ht="16.5" thickBot="1">
      <c r="A368" s="1076" t="s">
        <v>498</v>
      </c>
      <c r="B368" s="2016" t="s">
        <v>2436</v>
      </c>
      <c r="C368" s="2212">
        <v>4010813784</v>
      </c>
      <c r="D368" s="2212">
        <v>4010813784</v>
      </c>
      <c r="E368" s="2020">
        <v>4010904461</v>
      </c>
      <c r="F368" s="2020">
        <v>4010904461</v>
      </c>
      <c r="H368" s="2215">
        <f t="shared" si="5"/>
        <v>-90677</v>
      </c>
    </row>
    <row r="369" spans="1:8" ht="16.5" thickBot="1">
      <c r="A369" s="1076" t="s">
        <v>2504</v>
      </c>
      <c r="B369" s="2015" t="s">
        <v>253</v>
      </c>
      <c r="C369" s="2212">
        <v>1623552596</v>
      </c>
      <c r="D369" s="2212">
        <v>1623552596</v>
      </c>
      <c r="E369" s="2019">
        <v>1623819257</v>
      </c>
      <c r="F369" s="2019">
        <v>1623819257</v>
      </c>
      <c r="H369" s="2215">
        <f t="shared" si="5"/>
        <v>-266661</v>
      </c>
    </row>
    <row r="370" spans="1:8" ht="16.5" thickBot="1">
      <c r="A370" s="1076" t="s">
        <v>3035</v>
      </c>
      <c r="B370" s="2016" t="s">
        <v>254</v>
      </c>
      <c r="C370" s="2212">
        <v>464552950</v>
      </c>
      <c r="D370" s="2212">
        <v>464552950</v>
      </c>
      <c r="E370" s="2020">
        <v>464983991</v>
      </c>
      <c r="F370" s="2020">
        <v>464983991</v>
      </c>
      <c r="H370" s="2215">
        <f t="shared" si="5"/>
        <v>-431041</v>
      </c>
    </row>
    <row r="371" spans="1:8" ht="16.5" thickBot="1">
      <c r="A371" s="1076" t="s">
        <v>1702</v>
      </c>
      <c r="B371" s="2015" t="s">
        <v>2210</v>
      </c>
      <c r="C371" s="2212">
        <v>512810579</v>
      </c>
      <c r="D371" s="2212">
        <v>512810579</v>
      </c>
      <c r="E371" s="2019">
        <v>512957730</v>
      </c>
      <c r="F371" s="2019">
        <v>512957730</v>
      </c>
      <c r="H371" s="2215">
        <f t="shared" si="5"/>
        <v>-147151</v>
      </c>
    </row>
    <row r="372" spans="1:8" ht="16.5" thickBot="1">
      <c r="A372" s="1076" t="s">
        <v>3036</v>
      </c>
      <c r="B372" s="2016" t="s">
        <v>255</v>
      </c>
      <c r="C372" s="2212">
        <v>395504195</v>
      </c>
      <c r="D372" s="2212">
        <v>395504195</v>
      </c>
      <c r="E372" s="2020">
        <v>395652256</v>
      </c>
      <c r="F372" s="2020">
        <v>395652256</v>
      </c>
      <c r="H372" s="2215">
        <f t="shared" si="5"/>
        <v>-148061</v>
      </c>
    </row>
    <row r="373" spans="1:8" ht="16.5" thickBot="1">
      <c r="A373" s="1076" t="s">
        <v>3037</v>
      </c>
      <c r="B373" s="2015" t="s">
        <v>1192</v>
      </c>
      <c r="C373" s="2212">
        <v>505722974</v>
      </c>
      <c r="D373" s="2212">
        <v>505722974</v>
      </c>
      <c r="E373" s="2019">
        <v>506168472</v>
      </c>
      <c r="F373" s="2019">
        <v>506168472</v>
      </c>
      <c r="H373" s="2215">
        <f t="shared" si="5"/>
        <v>-445498</v>
      </c>
    </row>
    <row r="374" spans="1:8" ht="16.5" thickBot="1">
      <c r="A374" s="1076" t="s">
        <v>3038</v>
      </c>
      <c r="B374" s="2016" t="s">
        <v>257</v>
      </c>
      <c r="C374" s="2212">
        <v>299373717</v>
      </c>
      <c r="D374" s="2212">
        <v>299373717</v>
      </c>
      <c r="E374" s="2020">
        <v>299628329</v>
      </c>
      <c r="F374" s="2020">
        <v>299628329</v>
      </c>
      <c r="H374" s="2215">
        <f t="shared" si="5"/>
        <v>-254612</v>
      </c>
    </row>
    <row r="375" spans="1:8" ht="16.5" thickBot="1">
      <c r="A375" s="1076" t="s">
        <v>3039</v>
      </c>
      <c r="B375" s="2015" t="s">
        <v>258</v>
      </c>
      <c r="C375" s="2212">
        <v>1715658608</v>
      </c>
      <c r="D375" s="2212">
        <v>1715658608</v>
      </c>
      <c r="E375" s="2019">
        <v>1717614125</v>
      </c>
      <c r="F375" s="2019">
        <v>1717614125</v>
      </c>
      <c r="H375" s="2215">
        <f t="shared" si="5"/>
        <v>-1955517</v>
      </c>
    </row>
    <row r="376" spans="1:8" ht="16.5" thickBot="1">
      <c r="A376" s="1076" t="s">
        <v>2456</v>
      </c>
      <c r="B376" s="2016" t="s">
        <v>259</v>
      </c>
      <c r="C376" s="2212">
        <v>134749912</v>
      </c>
      <c r="D376" s="2212">
        <v>134749912</v>
      </c>
      <c r="E376" s="2020">
        <v>134883741</v>
      </c>
      <c r="F376" s="2020">
        <v>134883741</v>
      </c>
      <c r="H376" s="2215">
        <f t="shared" si="5"/>
        <v>-133829</v>
      </c>
    </row>
    <row r="377" spans="1:8" ht="16.5" thickBot="1">
      <c r="A377" s="1076" t="s">
        <v>537</v>
      </c>
      <c r="B377" s="2015" t="s">
        <v>1416</v>
      </c>
      <c r="C377" s="2212">
        <v>2827871463</v>
      </c>
      <c r="D377" s="2212">
        <v>2907871463</v>
      </c>
      <c r="E377" s="2019">
        <v>2829967917</v>
      </c>
      <c r="F377" s="2019">
        <v>2909967917</v>
      </c>
      <c r="H377" s="2215">
        <f t="shared" si="5"/>
        <v>-2096454</v>
      </c>
    </row>
    <row r="378" spans="1:8" ht="16.5" thickBot="1">
      <c r="A378" s="1076" t="s">
        <v>535</v>
      </c>
      <c r="B378" s="2016" t="s">
        <v>1414</v>
      </c>
      <c r="C378" s="2212">
        <v>4333213148</v>
      </c>
      <c r="D378" s="2212">
        <v>4333213148</v>
      </c>
      <c r="E378" s="2020">
        <v>4327075402</v>
      </c>
      <c r="F378" s="2020">
        <v>4327075402</v>
      </c>
      <c r="H378" s="2215">
        <f t="shared" si="5"/>
        <v>6137746</v>
      </c>
    </row>
    <row r="379" spans="1:8" ht="16.5" thickBot="1">
      <c r="A379" s="1076" t="s">
        <v>2457</v>
      </c>
      <c r="B379" s="2015" t="s">
        <v>260</v>
      </c>
      <c r="C379" s="2212">
        <v>637171306</v>
      </c>
      <c r="D379" s="2212">
        <v>637171306</v>
      </c>
      <c r="E379" s="2019">
        <v>637517689</v>
      </c>
      <c r="F379" s="2019">
        <v>637517689</v>
      </c>
      <c r="H379" s="2215">
        <f t="shared" si="5"/>
        <v>-346383</v>
      </c>
    </row>
    <row r="380" spans="1:8" ht="16.5" thickBot="1">
      <c r="A380" s="1076" t="s">
        <v>381</v>
      </c>
      <c r="B380" s="2016" t="s">
        <v>324</v>
      </c>
      <c r="C380" s="2212">
        <v>625223906</v>
      </c>
      <c r="D380" s="2212">
        <v>625223906</v>
      </c>
      <c r="E380" s="2020">
        <v>625973705</v>
      </c>
      <c r="F380" s="2020">
        <v>625973705</v>
      </c>
      <c r="H380" s="2215">
        <f t="shared" si="5"/>
        <v>-749799</v>
      </c>
    </row>
    <row r="381" spans="1:8" ht="16.5" thickBot="1">
      <c r="A381" s="1076" t="s">
        <v>2458</v>
      </c>
      <c r="B381" s="2015" t="s">
        <v>261</v>
      </c>
      <c r="C381" s="2212">
        <v>611657025</v>
      </c>
      <c r="D381" s="2212">
        <v>611657025</v>
      </c>
      <c r="E381" s="2019">
        <v>611508444</v>
      </c>
      <c r="F381" s="2019">
        <v>611508444</v>
      </c>
      <c r="H381" s="2215">
        <f t="shared" si="5"/>
        <v>148581</v>
      </c>
    </row>
    <row r="382" spans="1:8" ht="16.5" thickBot="1">
      <c r="A382" s="1076" t="s">
        <v>2459</v>
      </c>
      <c r="B382" s="2016" t="s">
        <v>262</v>
      </c>
      <c r="C382" s="2212">
        <v>49717781</v>
      </c>
      <c r="D382" s="2212">
        <v>49717781</v>
      </c>
      <c r="E382" s="2020">
        <v>49724317</v>
      </c>
      <c r="F382" s="2020">
        <v>49724317</v>
      </c>
      <c r="H382" s="2215">
        <f t="shared" si="5"/>
        <v>-6536</v>
      </c>
    </row>
    <row r="383" spans="1:8" ht="16.5" thickBot="1">
      <c r="A383" s="1076" t="s">
        <v>547</v>
      </c>
      <c r="B383" s="2015" t="s">
        <v>263</v>
      </c>
      <c r="C383" s="2212">
        <v>101316059</v>
      </c>
      <c r="D383" s="2212">
        <v>101316059</v>
      </c>
      <c r="E383" s="2019">
        <v>101204942</v>
      </c>
      <c r="F383" s="2019">
        <v>101204942</v>
      </c>
      <c r="H383" s="2215">
        <f t="shared" si="5"/>
        <v>111117</v>
      </c>
    </row>
    <row r="384" spans="1:8" ht="16.5" thickBot="1">
      <c r="A384" s="1076" t="s">
        <v>2232</v>
      </c>
      <c r="B384" s="2016" t="s">
        <v>264</v>
      </c>
      <c r="C384" s="2212">
        <v>69267016</v>
      </c>
      <c r="D384" s="2212">
        <v>69267016</v>
      </c>
      <c r="E384" s="2020">
        <v>69166065</v>
      </c>
      <c r="F384" s="2020">
        <v>69166065</v>
      </c>
      <c r="H384" s="2215">
        <f t="shared" si="5"/>
        <v>100951</v>
      </c>
    </row>
    <row r="385" spans="1:8" ht="16.5" thickBot="1">
      <c r="A385" s="1076" t="s">
        <v>2366</v>
      </c>
      <c r="B385" s="2015" t="s">
        <v>265</v>
      </c>
      <c r="C385" s="2212">
        <v>1142371076</v>
      </c>
      <c r="D385" s="2212">
        <v>1187116266</v>
      </c>
      <c r="E385" s="2019">
        <v>1141422345</v>
      </c>
      <c r="F385" s="2019">
        <v>1186167535</v>
      </c>
      <c r="H385" s="2215">
        <f t="shared" si="5"/>
        <v>948731</v>
      </c>
    </row>
    <row r="386" spans="1:8" ht="16.5" thickBot="1">
      <c r="A386" s="1076" t="s">
        <v>2367</v>
      </c>
      <c r="B386" s="2016" t="s">
        <v>266</v>
      </c>
      <c r="C386" s="2212">
        <v>143645771</v>
      </c>
      <c r="D386" s="2212">
        <v>143645771</v>
      </c>
      <c r="E386" s="2020">
        <v>143596711</v>
      </c>
      <c r="F386" s="2020">
        <v>143596711</v>
      </c>
      <c r="H386" s="2215">
        <f t="shared" ref="H386:H449" si="6">C386-E386</f>
        <v>49060</v>
      </c>
    </row>
    <row r="387" spans="1:8" ht="16.5" thickBot="1">
      <c r="A387" s="1076" t="s">
        <v>169</v>
      </c>
      <c r="B387" s="2015" t="s">
        <v>267</v>
      </c>
      <c r="C387" s="2212">
        <v>83637042</v>
      </c>
      <c r="D387" s="2212">
        <v>83637042</v>
      </c>
      <c r="E387" s="2019">
        <v>83719854</v>
      </c>
      <c r="F387" s="2019">
        <v>83719854</v>
      </c>
      <c r="H387" s="2215">
        <f t="shared" si="6"/>
        <v>-82812</v>
      </c>
    </row>
    <row r="388" spans="1:8" ht="16.5" thickBot="1">
      <c r="A388" s="1076" t="s">
        <v>170</v>
      </c>
      <c r="B388" s="2016" t="s">
        <v>1193</v>
      </c>
      <c r="C388" s="2212">
        <v>293800586</v>
      </c>
      <c r="D388" s="2212">
        <v>293800586</v>
      </c>
      <c r="E388" s="2020">
        <v>293199365</v>
      </c>
      <c r="F388" s="2020">
        <v>293199365</v>
      </c>
      <c r="H388" s="2215">
        <f t="shared" si="6"/>
        <v>601221</v>
      </c>
    </row>
    <row r="389" spans="1:8" ht="16.5" thickBot="1">
      <c r="A389" s="1076" t="s">
        <v>2867</v>
      </c>
      <c r="B389" s="2015" t="s">
        <v>2724</v>
      </c>
      <c r="C389" s="2212">
        <v>169171902</v>
      </c>
      <c r="D389" s="2212">
        <v>169171902</v>
      </c>
      <c r="E389" s="2019">
        <v>169037670</v>
      </c>
      <c r="F389" s="2019">
        <v>169037670</v>
      </c>
      <c r="H389" s="2215">
        <f t="shared" si="6"/>
        <v>134232</v>
      </c>
    </row>
    <row r="390" spans="1:8" ht="16.5" thickBot="1">
      <c r="A390" s="1076" t="s">
        <v>2674</v>
      </c>
      <c r="B390" s="2016" t="s">
        <v>269</v>
      </c>
      <c r="C390" s="2212">
        <v>367065467</v>
      </c>
      <c r="D390" s="2212">
        <v>458018467</v>
      </c>
      <c r="E390" s="2020">
        <v>367124967</v>
      </c>
      <c r="F390" s="2020">
        <v>458077967</v>
      </c>
      <c r="H390" s="2215">
        <f t="shared" si="6"/>
        <v>-59500</v>
      </c>
    </row>
    <row r="391" spans="1:8" ht="16.5" thickBot="1">
      <c r="A391" s="1076" t="s">
        <v>1281</v>
      </c>
      <c r="B391" s="2015" t="s">
        <v>1194</v>
      </c>
      <c r="C391" s="2212">
        <v>181721253</v>
      </c>
      <c r="D391" s="2212">
        <v>195578253</v>
      </c>
      <c r="E391" s="2019">
        <v>181741885</v>
      </c>
      <c r="F391" s="2019">
        <v>195598885</v>
      </c>
      <c r="H391" s="2215">
        <f t="shared" si="6"/>
        <v>-20632</v>
      </c>
    </row>
    <row r="392" spans="1:8" ht="16.5" thickBot="1">
      <c r="A392" s="1076" t="s">
        <v>1282</v>
      </c>
      <c r="B392" s="2016" t="s">
        <v>2991</v>
      </c>
      <c r="C392" s="2212">
        <v>476948877</v>
      </c>
      <c r="D392" s="2212">
        <v>476948877</v>
      </c>
      <c r="E392" s="2020">
        <v>477116075</v>
      </c>
      <c r="F392" s="2020">
        <v>477116075</v>
      </c>
      <c r="H392" s="2215">
        <f t="shared" si="6"/>
        <v>-167198</v>
      </c>
    </row>
    <row r="393" spans="1:8" ht="16.5" thickBot="1">
      <c r="A393" s="1076" t="s">
        <v>2416</v>
      </c>
      <c r="B393" s="2015" t="s">
        <v>518</v>
      </c>
      <c r="C393" s="2212">
        <v>231792851</v>
      </c>
      <c r="D393" s="2212">
        <v>231792851</v>
      </c>
      <c r="E393" s="2019">
        <v>231985511</v>
      </c>
      <c r="F393" s="2019">
        <v>231985511</v>
      </c>
      <c r="H393" s="2215">
        <f t="shared" si="6"/>
        <v>-192660</v>
      </c>
    </row>
    <row r="394" spans="1:8" ht="16.5" thickBot="1">
      <c r="A394" s="1076" t="s">
        <v>2417</v>
      </c>
      <c r="B394" s="2016" t="s">
        <v>519</v>
      </c>
      <c r="C394" s="2212">
        <v>334605063</v>
      </c>
      <c r="D394" s="2212">
        <v>334605063</v>
      </c>
      <c r="E394" s="2020">
        <v>334735523</v>
      </c>
      <c r="F394" s="2020">
        <v>334735523</v>
      </c>
      <c r="H394" s="2215">
        <f t="shared" si="6"/>
        <v>-130460</v>
      </c>
    </row>
    <row r="395" spans="1:8" ht="16.5" thickBot="1">
      <c r="A395" s="1076" t="s">
        <v>1158</v>
      </c>
      <c r="B395" s="2015" t="s">
        <v>520</v>
      </c>
      <c r="C395" s="2212">
        <v>397590448</v>
      </c>
      <c r="D395" s="2212">
        <v>397590448</v>
      </c>
      <c r="E395" s="2019">
        <v>397587498</v>
      </c>
      <c r="F395" s="2019">
        <v>397587498</v>
      </c>
      <c r="H395" s="2215">
        <f t="shared" si="6"/>
        <v>2950</v>
      </c>
    </row>
    <row r="396" spans="1:8" ht="16.5" thickBot="1">
      <c r="A396" s="1076" t="s">
        <v>1312</v>
      </c>
      <c r="B396" s="2016" t="s">
        <v>1684</v>
      </c>
      <c r="C396" s="2212">
        <v>774848806</v>
      </c>
      <c r="D396" s="2212">
        <v>774848806</v>
      </c>
      <c r="E396" s="2020">
        <v>774795306</v>
      </c>
      <c r="F396" s="2020">
        <v>774795306</v>
      </c>
      <c r="H396" s="2215">
        <f t="shared" si="6"/>
        <v>53500</v>
      </c>
    </row>
    <row r="397" spans="1:8" ht="16.5" thickBot="1">
      <c r="A397" s="1076" t="s">
        <v>416</v>
      </c>
      <c r="B397" s="2015" t="s">
        <v>521</v>
      </c>
      <c r="C397" s="2212">
        <v>843964320</v>
      </c>
      <c r="D397" s="2212">
        <v>843964320</v>
      </c>
      <c r="E397" s="2019">
        <v>845690256</v>
      </c>
      <c r="F397" s="2019">
        <v>845690256</v>
      </c>
      <c r="H397" s="2215">
        <f t="shared" si="6"/>
        <v>-1725936</v>
      </c>
    </row>
    <row r="398" spans="1:8" ht="16.5" thickBot="1">
      <c r="A398" s="1076" t="s">
        <v>2608</v>
      </c>
      <c r="B398" s="2016" t="s">
        <v>949</v>
      </c>
      <c r="C398" s="2212">
        <v>1036051542</v>
      </c>
      <c r="D398" s="2212">
        <v>1036051542</v>
      </c>
      <c r="E398" s="2020">
        <v>1036205472</v>
      </c>
      <c r="F398" s="2020">
        <v>1036205472</v>
      </c>
      <c r="H398" s="2215">
        <f t="shared" si="6"/>
        <v>-153930</v>
      </c>
    </row>
    <row r="399" spans="1:8" ht="16.5" thickBot="1">
      <c r="A399" s="1076" t="s">
        <v>1346</v>
      </c>
      <c r="B399" s="2015" t="s">
        <v>328</v>
      </c>
      <c r="C399" s="2212">
        <v>215149767</v>
      </c>
      <c r="D399" s="2212">
        <v>215149767</v>
      </c>
      <c r="E399" s="2019">
        <v>215224377</v>
      </c>
      <c r="F399" s="2019">
        <v>215224377</v>
      </c>
      <c r="H399" s="2215">
        <f t="shared" si="6"/>
        <v>-74610</v>
      </c>
    </row>
    <row r="400" spans="1:8" ht="16.5" thickBot="1">
      <c r="A400" s="1076" t="s">
        <v>639</v>
      </c>
      <c r="B400" s="2016" t="s">
        <v>797</v>
      </c>
      <c r="C400" s="2212">
        <v>16837486231</v>
      </c>
      <c r="D400" s="2212">
        <v>16837486231</v>
      </c>
      <c r="E400" s="2020">
        <v>16845108455</v>
      </c>
      <c r="F400" s="2020">
        <v>16845108455</v>
      </c>
      <c r="H400" s="2215">
        <f t="shared" si="6"/>
        <v>-7622224</v>
      </c>
    </row>
    <row r="401" spans="1:8" ht="16.5" thickBot="1">
      <c r="A401" s="1076" t="s">
        <v>222</v>
      </c>
      <c r="B401" s="2015" t="s">
        <v>2264</v>
      </c>
      <c r="C401" s="2212">
        <v>12768141962</v>
      </c>
      <c r="D401" s="2212">
        <v>12768141962</v>
      </c>
      <c r="E401" s="2019">
        <v>12772242579</v>
      </c>
      <c r="F401" s="2019">
        <v>12772242579</v>
      </c>
      <c r="H401" s="2215">
        <f t="shared" si="6"/>
        <v>-4100617</v>
      </c>
    </row>
    <row r="402" spans="1:8" ht="16.5" thickBot="1">
      <c r="A402" s="1076" t="s">
        <v>2641</v>
      </c>
      <c r="B402" s="2016" t="s">
        <v>522</v>
      </c>
      <c r="C402" s="2212">
        <v>2728212507</v>
      </c>
      <c r="D402" s="2212">
        <v>2728212507</v>
      </c>
      <c r="E402" s="2020">
        <v>2729965755</v>
      </c>
      <c r="F402" s="2020">
        <v>2729965755</v>
      </c>
      <c r="H402" s="2215">
        <f t="shared" si="6"/>
        <v>-1753248</v>
      </c>
    </row>
    <row r="403" spans="1:8" ht="16.5" thickBot="1">
      <c r="A403" s="1076" t="s">
        <v>2758</v>
      </c>
      <c r="B403" s="2015" t="s">
        <v>458</v>
      </c>
      <c r="C403" s="2212">
        <v>1532226937</v>
      </c>
      <c r="D403" s="2212">
        <v>1532226937</v>
      </c>
      <c r="E403" s="2019">
        <v>1532841385</v>
      </c>
      <c r="F403" s="2019">
        <v>1532841385</v>
      </c>
      <c r="H403" s="2215">
        <f t="shared" si="6"/>
        <v>-614448</v>
      </c>
    </row>
    <row r="404" spans="1:8" ht="16.5" thickBot="1">
      <c r="A404" s="1076" t="s">
        <v>2642</v>
      </c>
      <c r="B404" s="2016" t="s">
        <v>523</v>
      </c>
      <c r="C404" s="2212">
        <v>43399022481</v>
      </c>
      <c r="D404" s="2212">
        <v>43399022481</v>
      </c>
      <c r="E404" s="2020">
        <v>43401546250</v>
      </c>
      <c r="F404" s="2020">
        <v>43401546250</v>
      </c>
      <c r="H404" s="2215">
        <f t="shared" si="6"/>
        <v>-2523769</v>
      </c>
    </row>
    <row r="405" spans="1:8" ht="16.5" thickBot="1">
      <c r="A405" s="1076" t="s">
        <v>2481</v>
      </c>
      <c r="B405" s="2015" t="s">
        <v>524</v>
      </c>
      <c r="C405" s="2212">
        <v>7942871563</v>
      </c>
      <c r="D405" s="2212">
        <v>7942871563</v>
      </c>
      <c r="E405" s="2019">
        <v>7943529206</v>
      </c>
      <c r="F405" s="2019">
        <v>7943529206</v>
      </c>
      <c r="H405" s="2215">
        <f t="shared" si="6"/>
        <v>-657643</v>
      </c>
    </row>
    <row r="406" spans="1:8" ht="16.5" thickBot="1">
      <c r="A406" s="1076" t="s">
        <v>1608</v>
      </c>
      <c r="B406" s="2016" t="s">
        <v>1670</v>
      </c>
      <c r="C406" s="2212">
        <v>7608304950</v>
      </c>
      <c r="D406" s="2212">
        <v>7608304950</v>
      </c>
      <c r="E406" s="2020">
        <v>7608584360</v>
      </c>
      <c r="F406" s="2020">
        <v>7608584360</v>
      </c>
      <c r="H406" s="2215">
        <f t="shared" si="6"/>
        <v>-279410</v>
      </c>
    </row>
    <row r="407" spans="1:8" ht="16.5" thickBot="1">
      <c r="A407" s="1076" t="s">
        <v>2300</v>
      </c>
      <c r="B407" s="2015" t="s">
        <v>525</v>
      </c>
      <c r="C407" s="2212">
        <v>9587051581</v>
      </c>
      <c r="D407" s="2212">
        <v>9587051581</v>
      </c>
      <c r="E407" s="2019">
        <v>9588497346</v>
      </c>
      <c r="F407" s="2019">
        <v>9588497346</v>
      </c>
      <c r="H407" s="2215">
        <f t="shared" si="6"/>
        <v>-1445765</v>
      </c>
    </row>
    <row r="408" spans="1:8" ht="16.5" thickBot="1">
      <c r="A408" s="1076" t="s">
        <v>2921</v>
      </c>
      <c r="B408" s="2016" t="s">
        <v>526</v>
      </c>
      <c r="C408" s="2212">
        <v>140650797133</v>
      </c>
      <c r="D408" s="2212">
        <v>140650797133</v>
      </c>
      <c r="E408" s="2020">
        <v>140649127512</v>
      </c>
      <c r="F408" s="2020">
        <v>140649127512</v>
      </c>
      <c r="H408" s="2215">
        <f t="shared" si="6"/>
        <v>1669621</v>
      </c>
    </row>
    <row r="409" spans="1:8" ht="16.5" thickBot="1">
      <c r="A409" s="1076" t="s">
        <v>1278</v>
      </c>
      <c r="B409" s="2015" t="s">
        <v>2736</v>
      </c>
      <c r="C409" s="2212">
        <v>11980884535</v>
      </c>
      <c r="D409" s="2212">
        <v>11980884535</v>
      </c>
      <c r="E409" s="2019">
        <v>11982983131</v>
      </c>
      <c r="F409" s="2019">
        <v>11982983131</v>
      </c>
      <c r="H409" s="2215">
        <f t="shared" si="6"/>
        <v>-2098596</v>
      </c>
    </row>
    <row r="410" spans="1:8" ht="16.5" thickBot="1">
      <c r="A410" s="1076" t="s">
        <v>55</v>
      </c>
      <c r="B410" s="2016" t="s">
        <v>450</v>
      </c>
      <c r="C410" s="2212">
        <v>28154545236</v>
      </c>
      <c r="D410" s="2212">
        <v>28154545236</v>
      </c>
      <c r="E410" s="2020">
        <v>28171967307</v>
      </c>
      <c r="F410" s="2020">
        <v>28171967307</v>
      </c>
      <c r="H410" s="2215">
        <f t="shared" si="6"/>
        <v>-17422071</v>
      </c>
    </row>
    <row r="411" spans="1:8" ht="16.5" thickBot="1">
      <c r="A411" s="1076" t="s">
        <v>62</v>
      </c>
      <c r="B411" s="2015" t="s">
        <v>2980</v>
      </c>
      <c r="C411" s="2212">
        <v>15516358275</v>
      </c>
      <c r="D411" s="2212">
        <v>15579571474</v>
      </c>
      <c r="E411" s="2019">
        <v>15519442559</v>
      </c>
      <c r="F411" s="2019">
        <v>15582655758</v>
      </c>
      <c r="H411" s="2215">
        <f t="shared" si="6"/>
        <v>-3084284</v>
      </c>
    </row>
    <row r="412" spans="1:8" ht="16.5" thickBot="1">
      <c r="A412" s="1076" t="s">
        <v>2922</v>
      </c>
      <c r="B412" s="2016" t="s">
        <v>527</v>
      </c>
      <c r="C412" s="2212">
        <v>7215284131</v>
      </c>
      <c r="D412" s="2212">
        <v>7327308081</v>
      </c>
      <c r="E412" s="2020">
        <v>7215865803</v>
      </c>
      <c r="F412" s="2020">
        <v>7327889753</v>
      </c>
      <c r="H412" s="2215">
        <f t="shared" si="6"/>
        <v>-581672</v>
      </c>
    </row>
    <row r="413" spans="1:8" ht="16.5" thickBot="1">
      <c r="A413" s="1076" t="s">
        <v>234</v>
      </c>
      <c r="B413" s="2015" t="s">
        <v>302</v>
      </c>
      <c r="C413" s="2212">
        <v>11221608282</v>
      </c>
      <c r="D413" s="2212">
        <v>11221608282</v>
      </c>
      <c r="E413" s="2019">
        <v>11225867740</v>
      </c>
      <c r="F413" s="2019">
        <v>11225867740</v>
      </c>
      <c r="H413" s="2215">
        <f t="shared" si="6"/>
        <v>-4259458</v>
      </c>
    </row>
    <row r="414" spans="1:8" ht="16.5" thickBot="1">
      <c r="A414" s="1076" t="s">
        <v>743</v>
      </c>
      <c r="B414" s="2016" t="s">
        <v>528</v>
      </c>
      <c r="C414" s="2212">
        <v>9067088185</v>
      </c>
      <c r="D414" s="2212">
        <v>9067088185</v>
      </c>
      <c r="E414" s="2020">
        <v>9069095371</v>
      </c>
      <c r="F414" s="2020">
        <v>9069095371</v>
      </c>
      <c r="H414" s="2215">
        <f t="shared" si="6"/>
        <v>-2007186</v>
      </c>
    </row>
    <row r="415" spans="1:8" ht="16.5" thickBot="1">
      <c r="A415" s="1076" t="s">
        <v>918</v>
      </c>
      <c r="B415" s="2015" t="s">
        <v>2505</v>
      </c>
      <c r="C415" s="2212">
        <v>25341252625</v>
      </c>
      <c r="D415" s="2212">
        <v>25341252625</v>
      </c>
      <c r="E415" s="2019">
        <v>25341556077</v>
      </c>
      <c r="F415" s="2019">
        <v>25341556077</v>
      </c>
      <c r="H415" s="2215">
        <f t="shared" si="6"/>
        <v>-303452</v>
      </c>
    </row>
    <row r="416" spans="1:8" ht="16.5" thickBot="1">
      <c r="A416" s="1076" t="s">
        <v>2221</v>
      </c>
      <c r="B416" s="2016" t="s">
        <v>2506</v>
      </c>
      <c r="C416" s="2212">
        <v>7677009764</v>
      </c>
      <c r="D416" s="2212">
        <v>7677009764</v>
      </c>
      <c r="E416" s="2020">
        <v>7678365913</v>
      </c>
      <c r="F416" s="2020">
        <v>7678365913</v>
      </c>
      <c r="H416" s="2215">
        <f t="shared" si="6"/>
        <v>-1356149</v>
      </c>
    </row>
    <row r="417" spans="1:8" ht="16.5" thickBot="1">
      <c r="A417" s="1076" t="s">
        <v>2222</v>
      </c>
      <c r="B417" s="2015" t="s">
        <v>2507</v>
      </c>
      <c r="C417" s="2212">
        <v>5010461133</v>
      </c>
      <c r="D417" s="2212">
        <v>5010461133</v>
      </c>
      <c r="E417" s="2019">
        <v>5011363912</v>
      </c>
      <c r="F417" s="2019">
        <v>5011363912</v>
      </c>
      <c r="H417" s="2215">
        <f t="shared" si="6"/>
        <v>-902779</v>
      </c>
    </row>
    <row r="418" spans="1:8" ht="16.5" thickBot="1">
      <c r="A418" s="1076" t="s">
        <v>979</v>
      </c>
      <c r="B418" s="2016" t="s">
        <v>2734</v>
      </c>
      <c r="C418" s="2212">
        <v>905346177</v>
      </c>
      <c r="D418" s="2212">
        <v>905346177</v>
      </c>
      <c r="E418" s="2020">
        <v>905686595</v>
      </c>
      <c r="F418" s="2020">
        <v>905686595</v>
      </c>
      <c r="H418" s="2215">
        <f t="shared" si="6"/>
        <v>-340418</v>
      </c>
    </row>
    <row r="419" spans="1:8" ht="16.5" thickBot="1">
      <c r="A419" s="1076" t="s">
        <v>2223</v>
      </c>
      <c r="B419" s="2015" t="s">
        <v>2508</v>
      </c>
      <c r="C419" s="2212">
        <v>231277965</v>
      </c>
      <c r="D419" s="2212">
        <v>231277965</v>
      </c>
      <c r="E419" s="2019">
        <v>232118014</v>
      </c>
      <c r="F419" s="2019">
        <v>232118014</v>
      </c>
      <c r="H419" s="2215">
        <f t="shared" si="6"/>
        <v>-840049</v>
      </c>
    </row>
    <row r="420" spans="1:8" ht="16.5" thickBot="1">
      <c r="A420" s="1076" t="s">
        <v>1692</v>
      </c>
      <c r="B420" s="2016" t="s">
        <v>2509</v>
      </c>
      <c r="C420" s="2212">
        <v>2684235933</v>
      </c>
      <c r="D420" s="2212">
        <v>2684235933</v>
      </c>
      <c r="E420" s="2020">
        <v>2688883524</v>
      </c>
      <c r="F420" s="2020">
        <v>2688883524</v>
      </c>
      <c r="H420" s="2215">
        <f t="shared" si="6"/>
        <v>-4647591</v>
      </c>
    </row>
    <row r="421" spans="1:8" ht="16.5" thickBot="1">
      <c r="A421" s="1076" t="s">
        <v>1693</v>
      </c>
      <c r="B421" s="2015" t="s">
        <v>2510</v>
      </c>
      <c r="C421" s="2212">
        <v>429134490</v>
      </c>
      <c r="D421" s="2212">
        <v>429134490</v>
      </c>
      <c r="E421" s="2019">
        <v>430651301</v>
      </c>
      <c r="F421" s="2019">
        <v>430651301</v>
      </c>
      <c r="H421" s="2215">
        <f t="shared" si="6"/>
        <v>-1516811</v>
      </c>
    </row>
    <row r="422" spans="1:8" ht="16.5" thickBot="1">
      <c r="A422" s="1076" t="s">
        <v>1694</v>
      </c>
      <c r="B422" s="2016" t="s">
        <v>2368</v>
      </c>
      <c r="C422" s="2212">
        <v>2503100505</v>
      </c>
      <c r="D422" s="2212">
        <v>2503100505</v>
      </c>
      <c r="E422" s="2020">
        <v>2507145862</v>
      </c>
      <c r="F422" s="2020">
        <v>2507145862</v>
      </c>
      <c r="H422" s="2215">
        <f t="shared" si="6"/>
        <v>-4045357</v>
      </c>
    </row>
    <row r="423" spans="1:8" ht="16.5" thickBot="1">
      <c r="A423" s="1076" t="s">
        <v>1765</v>
      </c>
      <c r="B423" s="2015" t="s">
        <v>2369</v>
      </c>
      <c r="C423" s="2212">
        <v>166746263</v>
      </c>
      <c r="D423" s="2212">
        <v>166746263</v>
      </c>
      <c r="E423" s="2019">
        <v>168081547</v>
      </c>
      <c r="F423" s="2019">
        <v>168081547</v>
      </c>
      <c r="H423" s="2215">
        <f t="shared" si="6"/>
        <v>-1335284</v>
      </c>
    </row>
    <row r="424" spans="1:8" ht="16.5" thickBot="1">
      <c r="A424" s="1076" t="s">
        <v>1766</v>
      </c>
      <c r="B424" s="2016" t="s">
        <v>182</v>
      </c>
      <c r="C424" s="2212">
        <v>475043618</v>
      </c>
      <c r="D424" s="2212">
        <v>475043618</v>
      </c>
      <c r="E424" s="2020">
        <v>475962959</v>
      </c>
      <c r="F424" s="2020">
        <v>475962959</v>
      </c>
      <c r="H424" s="2215">
        <f t="shared" si="6"/>
        <v>-919341</v>
      </c>
    </row>
    <row r="425" spans="1:8" ht="16.5" thickBot="1">
      <c r="A425" s="1076" t="s">
        <v>539</v>
      </c>
      <c r="B425" s="2015" t="s">
        <v>183</v>
      </c>
      <c r="C425" s="2212">
        <v>264263351</v>
      </c>
      <c r="D425" s="2212">
        <v>264263351</v>
      </c>
      <c r="E425" s="2019">
        <v>264212591</v>
      </c>
      <c r="F425" s="2019">
        <v>264212591</v>
      </c>
      <c r="H425" s="2215">
        <f t="shared" si="6"/>
        <v>50760</v>
      </c>
    </row>
    <row r="426" spans="1:8" ht="16.5" thickBot="1">
      <c r="A426" s="1076" t="s">
        <v>506</v>
      </c>
      <c r="B426" s="2016" t="s">
        <v>184</v>
      </c>
      <c r="C426" s="2212">
        <v>162842472</v>
      </c>
      <c r="D426" s="2212">
        <v>162842472</v>
      </c>
      <c r="E426" s="2020">
        <v>162828182</v>
      </c>
      <c r="F426" s="2020">
        <v>162828182</v>
      </c>
      <c r="H426" s="2215">
        <f t="shared" si="6"/>
        <v>14290</v>
      </c>
    </row>
    <row r="427" spans="1:8" ht="16.5" thickBot="1">
      <c r="A427" s="1076" t="s">
        <v>507</v>
      </c>
      <c r="B427" s="2015" t="s">
        <v>936</v>
      </c>
      <c r="C427" s="2212">
        <v>201108619</v>
      </c>
      <c r="D427" s="2212">
        <v>201108619</v>
      </c>
      <c r="E427" s="2019">
        <v>201347129</v>
      </c>
      <c r="F427" s="2019">
        <v>201347129</v>
      </c>
      <c r="H427" s="2215">
        <f t="shared" si="6"/>
        <v>-238510</v>
      </c>
    </row>
    <row r="428" spans="1:8" ht="16.5" thickBot="1">
      <c r="A428" s="1076" t="s">
        <v>508</v>
      </c>
      <c r="B428" s="2016" t="s">
        <v>185</v>
      </c>
      <c r="C428" s="2212">
        <v>43295002</v>
      </c>
      <c r="D428" s="2212">
        <v>43295002</v>
      </c>
      <c r="E428" s="2020">
        <v>43589972</v>
      </c>
      <c r="F428" s="2020">
        <v>43589972</v>
      </c>
      <c r="H428" s="2215">
        <f t="shared" si="6"/>
        <v>-294970</v>
      </c>
    </row>
    <row r="429" spans="1:8" ht="16.5" thickBot="1">
      <c r="A429" s="1076" t="s">
        <v>509</v>
      </c>
      <c r="B429" s="2015" t="s">
        <v>186</v>
      </c>
      <c r="C429" s="2212">
        <v>102397164</v>
      </c>
      <c r="D429" s="2212">
        <v>102397164</v>
      </c>
      <c r="E429" s="2019">
        <v>102439364</v>
      </c>
      <c r="F429" s="2019">
        <v>102439364</v>
      </c>
      <c r="H429" s="2215">
        <f t="shared" si="6"/>
        <v>-42200</v>
      </c>
    </row>
    <row r="430" spans="1:8" ht="16.5" thickBot="1">
      <c r="A430" s="1076" t="s">
        <v>1304</v>
      </c>
      <c r="B430" s="2016" t="s">
        <v>1195</v>
      </c>
      <c r="C430" s="2212">
        <v>4054627934</v>
      </c>
      <c r="D430" s="2212">
        <v>4054627934</v>
      </c>
      <c r="E430" s="2020">
        <v>4055979022</v>
      </c>
      <c r="F430" s="2020">
        <v>4055979022</v>
      </c>
      <c r="H430" s="2215">
        <f t="shared" si="6"/>
        <v>-1351088</v>
      </c>
    </row>
    <row r="431" spans="1:8" ht="16.5" thickBot="1">
      <c r="A431" s="1076" t="s">
        <v>1678</v>
      </c>
      <c r="B431" s="2015" t="s">
        <v>1212</v>
      </c>
      <c r="C431" s="2212">
        <v>3093911232</v>
      </c>
      <c r="D431" s="2212">
        <v>3093911232</v>
      </c>
      <c r="E431" s="2019">
        <v>3094447958</v>
      </c>
      <c r="F431" s="2019">
        <v>3094447958</v>
      </c>
      <c r="H431" s="2215">
        <f t="shared" si="6"/>
        <v>-536726</v>
      </c>
    </row>
    <row r="432" spans="1:8" ht="16.5" thickBot="1">
      <c r="A432" s="1076" t="s">
        <v>1467</v>
      </c>
      <c r="B432" s="2016" t="s">
        <v>188</v>
      </c>
      <c r="C432" s="2212">
        <v>1566335790</v>
      </c>
      <c r="D432" s="2212">
        <v>1566335790</v>
      </c>
      <c r="E432" s="2020">
        <v>1566221717</v>
      </c>
      <c r="F432" s="2020">
        <v>1566221717</v>
      </c>
      <c r="H432" s="2215">
        <f t="shared" si="6"/>
        <v>114073</v>
      </c>
    </row>
    <row r="433" spans="1:8" ht="16.5" thickBot="1">
      <c r="A433" s="1076" t="s">
        <v>2129</v>
      </c>
      <c r="B433" s="2015" t="s">
        <v>42</v>
      </c>
      <c r="C433" s="2212">
        <v>4586635627</v>
      </c>
      <c r="D433" s="2212">
        <v>4586635627</v>
      </c>
      <c r="E433" s="2019">
        <v>4586235932</v>
      </c>
      <c r="F433" s="2019">
        <v>4586235932</v>
      </c>
      <c r="H433" s="2215">
        <f t="shared" si="6"/>
        <v>399695</v>
      </c>
    </row>
    <row r="434" spans="1:8" ht="16.5" thickBot="1">
      <c r="A434" s="1076" t="s">
        <v>1918</v>
      </c>
      <c r="B434" s="2016" t="s">
        <v>189</v>
      </c>
      <c r="C434" s="2212">
        <v>1713859976</v>
      </c>
      <c r="D434" s="2212">
        <v>1713859976</v>
      </c>
      <c r="E434" s="2020">
        <v>1714149596</v>
      </c>
      <c r="F434" s="2020">
        <v>1714149596</v>
      </c>
      <c r="H434" s="2215">
        <f t="shared" si="6"/>
        <v>-289620</v>
      </c>
    </row>
    <row r="435" spans="1:8" ht="16.5" thickBot="1">
      <c r="A435" s="1076" t="s">
        <v>1919</v>
      </c>
      <c r="B435" s="2015" t="s">
        <v>1525</v>
      </c>
      <c r="C435" s="2212">
        <v>1247611527</v>
      </c>
      <c r="D435" s="2212">
        <v>1247611527</v>
      </c>
      <c r="E435" s="2019">
        <v>1248073914</v>
      </c>
      <c r="F435" s="2019">
        <v>1248073914</v>
      </c>
      <c r="H435" s="2215">
        <f t="shared" si="6"/>
        <v>-462387</v>
      </c>
    </row>
    <row r="436" spans="1:8" ht="16.5" thickBot="1">
      <c r="A436" s="1076" t="s">
        <v>2912</v>
      </c>
      <c r="B436" s="2016" t="s">
        <v>1526</v>
      </c>
      <c r="C436" s="2212">
        <v>664880880</v>
      </c>
      <c r="D436" s="2212">
        <v>664880880</v>
      </c>
      <c r="E436" s="2020">
        <v>666246691</v>
      </c>
      <c r="F436" s="2020">
        <v>666246691</v>
      </c>
      <c r="H436" s="2215">
        <f t="shared" si="6"/>
        <v>-1365811</v>
      </c>
    </row>
    <row r="437" spans="1:8" ht="16.5" thickBot="1">
      <c r="A437" s="1076" t="s">
        <v>2879</v>
      </c>
      <c r="B437" s="2015" t="s">
        <v>1527</v>
      </c>
      <c r="C437" s="2212">
        <v>257471074</v>
      </c>
      <c r="D437" s="2212">
        <v>257471074</v>
      </c>
      <c r="E437" s="2019">
        <v>257654751</v>
      </c>
      <c r="F437" s="2019">
        <v>257654751</v>
      </c>
      <c r="H437" s="2215">
        <f t="shared" si="6"/>
        <v>-183677</v>
      </c>
    </row>
    <row r="438" spans="1:8" ht="16.5" thickBot="1">
      <c r="A438" s="1076" t="s">
        <v>2284</v>
      </c>
      <c r="B438" s="2016" t="s">
        <v>1528</v>
      </c>
      <c r="C438" s="2212">
        <v>552277521</v>
      </c>
      <c r="D438" s="2212">
        <v>552277521</v>
      </c>
      <c r="E438" s="2020">
        <v>553529684</v>
      </c>
      <c r="F438" s="2020">
        <v>553529684</v>
      </c>
      <c r="H438" s="2215">
        <f t="shared" si="6"/>
        <v>-1252163</v>
      </c>
    </row>
    <row r="439" spans="1:8" ht="16.5" thickBot="1">
      <c r="A439" s="1076" t="s">
        <v>71</v>
      </c>
      <c r="B439" s="2015" t="s">
        <v>2995</v>
      </c>
      <c r="C439" s="2212">
        <v>1086787851</v>
      </c>
      <c r="D439" s="2212">
        <v>1086787851</v>
      </c>
      <c r="E439" s="2019">
        <v>1087111446</v>
      </c>
      <c r="F439" s="2019">
        <v>1087111446</v>
      </c>
      <c r="H439" s="2215">
        <f t="shared" si="6"/>
        <v>-323595</v>
      </c>
    </row>
    <row r="440" spans="1:8" ht="16.5" thickBot="1">
      <c r="A440" s="1076" t="s">
        <v>1711</v>
      </c>
      <c r="B440" s="2016" t="s">
        <v>662</v>
      </c>
      <c r="C440" s="2212">
        <v>41949687</v>
      </c>
      <c r="D440" s="2212">
        <v>41949687</v>
      </c>
      <c r="E440" s="2020">
        <v>41987137</v>
      </c>
      <c r="F440" s="2020">
        <v>41987137</v>
      </c>
      <c r="H440" s="2215">
        <f t="shared" si="6"/>
        <v>-37450</v>
      </c>
    </row>
    <row r="441" spans="1:8" ht="16.5" thickBot="1">
      <c r="A441" s="1076" t="s">
        <v>980</v>
      </c>
      <c r="B441" s="2015" t="s">
        <v>2415</v>
      </c>
      <c r="C441" s="2212">
        <v>39453730</v>
      </c>
      <c r="D441" s="2212">
        <v>39453730</v>
      </c>
      <c r="E441" s="2019">
        <v>39472170</v>
      </c>
      <c r="F441" s="2019">
        <v>39472170</v>
      </c>
      <c r="H441" s="2215">
        <f t="shared" si="6"/>
        <v>-18440</v>
      </c>
    </row>
    <row r="442" spans="1:8" ht="16.5" thickBot="1">
      <c r="A442" s="1076" t="s">
        <v>72</v>
      </c>
      <c r="B442" s="2016" t="s">
        <v>2996</v>
      </c>
      <c r="C442" s="2212">
        <v>230361068</v>
      </c>
      <c r="D442" s="2212">
        <v>230361068</v>
      </c>
      <c r="E442" s="2020">
        <v>230763581</v>
      </c>
      <c r="F442" s="2020">
        <v>230763581</v>
      </c>
      <c r="H442" s="2215">
        <f t="shared" si="6"/>
        <v>-402513</v>
      </c>
    </row>
    <row r="443" spans="1:8" ht="16.5" thickBot="1">
      <c r="A443" s="1076" t="s">
        <v>2437</v>
      </c>
      <c r="B443" s="2015" t="s">
        <v>39</v>
      </c>
      <c r="C443" s="2212">
        <v>1135423035</v>
      </c>
      <c r="D443" s="2212">
        <v>1135423035</v>
      </c>
      <c r="E443" s="2019">
        <v>1129756859</v>
      </c>
      <c r="F443" s="2019">
        <v>1129756859</v>
      </c>
      <c r="H443" s="2215">
        <f t="shared" si="6"/>
        <v>5666176</v>
      </c>
    </row>
    <row r="444" spans="1:8" ht="16.5" thickBot="1">
      <c r="A444" s="1076" t="s">
        <v>873</v>
      </c>
      <c r="B444" s="2016" t="s">
        <v>1217</v>
      </c>
      <c r="C444" s="2212">
        <v>278481423</v>
      </c>
      <c r="D444" s="2212">
        <v>278481423</v>
      </c>
      <c r="E444" s="2020">
        <v>276169970</v>
      </c>
      <c r="F444" s="2020">
        <v>276169970</v>
      </c>
      <c r="H444" s="2215">
        <f t="shared" si="6"/>
        <v>2311453</v>
      </c>
    </row>
    <row r="445" spans="1:8" ht="16.5" thickBot="1">
      <c r="A445" s="1076" t="s">
        <v>875</v>
      </c>
      <c r="B445" s="2015" t="s">
        <v>40</v>
      </c>
      <c r="C445" s="2212">
        <v>5247650232</v>
      </c>
      <c r="D445" s="2212">
        <v>5247650232</v>
      </c>
      <c r="E445" s="2019">
        <v>5241210282</v>
      </c>
      <c r="F445" s="2019">
        <v>5241210282</v>
      </c>
      <c r="H445" s="2215">
        <f t="shared" si="6"/>
        <v>6439950</v>
      </c>
    </row>
    <row r="446" spans="1:8" ht="16.5" thickBot="1">
      <c r="A446" s="1076" t="s">
        <v>2131</v>
      </c>
      <c r="B446" s="2016" t="s">
        <v>2725</v>
      </c>
      <c r="C446" s="2212">
        <v>421365248</v>
      </c>
      <c r="D446" s="2212">
        <v>421365248</v>
      </c>
      <c r="E446" s="2020">
        <v>420809061</v>
      </c>
      <c r="F446" s="2020">
        <v>420809061</v>
      </c>
      <c r="H446" s="2215">
        <f t="shared" si="6"/>
        <v>556187</v>
      </c>
    </row>
    <row r="447" spans="1:8" ht="16.5" thickBot="1">
      <c r="A447" s="1076" t="s">
        <v>2894</v>
      </c>
      <c r="B447" s="2015" t="s">
        <v>925</v>
      </c>
      <c r="C447" s="2212">
        <v>6247859430</v>
      </c>
      <c r="D447" s="2212">
        <v>6247859430</v>
      </c>
      <c r="E447" s="2019">
        <v>6244327714</v>
      </c>
      <c r="F447" s="2019">
        <v>6244327714</v>
      </c>
      <c r="H447" s="2215">
        <f t="shared" si="6"/>
        <v>3531716</v>
      </c>
    </row>
    <row r="448" spans="1:8" ht="16.5" thickBot="1">
      <c r="A448" s="1076" t="s">
        <v>2897</v>
      </c>
      <c r="B448" s="2016" t="s">
        <v>2553</v>
      </c>
      <c r="C448" s="2212">
        <v>488826984</v>
      </c>
      <c r="D448" s="2212">
        <v>488826984</v>
      </c>
      <c r="E448" s="2020">
        <v>485355883</v>
      </c>
      <c r="F448" s="2020">
        <v>485355883</v>
      </c>
      <c r="H448" s="2215">
        <f t="shared" si="6"/>
        <v>3471101</v>
      </c>
    </row>
    <row r="449" spans="1:8" ht="16.5" thickBot="1">
      <c r="A449" s="1076" t="s">
        <v>2903</v>
      </c>
      <c r="B449" s="2015" t="s">
        <v>45</v>
      </c>
      <c r="C449" s="2212">
        <v>1724599187</v>
      </c>
      <c r="D449" s="2212">
        <v>1724599187</v>
      </c>
      <c r="E449" s="2019">
        <v>1719089903</v>
      </c>
      <c r="F449" s="2019">
        <v>1719089903</v>
      </c>
      <c r="H449" s="2215">
        <f t="shared" si="6"/>
        <v>5509284</v>
      </c>
    </row>
    <row r="450" spans="1:8" ht="16.5" thickBot="1">
      <c r="A450" s="1076" t="s">
        <v>239</v>
      </c>
      <c r="B450" s="2016" t="s">
        <v>1126</v>
      </c>
      <c r="C450" s="2212">
        <v>3828684233</v>
      </c>
      <c r="D450" s="2212">
        <v>3828684233</v>
      </c>
      <c r="E450" s="2020">
        <v>3817492470</v>
      </c>
      <c r="F450" s="2020">
        <v>3817492470</v>
      </c>
      <c r="H450" s="2215">
        <f t="shared" ref="H450:H513" si="7">C450-E450</f>
        <v>11191763</v>
      </c>
    </row>
    <row r="451" spans="1:8" ht="16.5" thickBot="1">
      <c r="A451" s="1076" t="s">
        <v>1218</v>
      </c>
      <c r="B451" s="2015" t="s">
        <v>88</v>
      </c>
      <c r="C451" s="2212">
        <v>142205516</v>
      </c>
      <c r="D451" s="2212">
        <v>142205516</v>
      </c>
      <c r="E451" s="2019">
        <v>141488521</v>
      </c>
      <c r="F451" s="2019">
        <v>141488521</v>
      </c>
      <c r="H451" s="2215">
        <f t="shared" si="7"/>
        <v>716995</v>
      </c>
    </row>
    <row r="452" spans="1:8" ht="16.5" thickBot="1">
      <c r="A452" s="1076" t="s">
        <v>1759</v>
      </c>
      <c r="B452" s="2016" t="s">
        <v>2998</v>
      </c>
      <c r="C452" s="2212">
        <v>2736368237</v>
      </c>
      <c r="D452" s="2212">
        <v>2736368237</v>
      </c>
      <c r="E452" s="2020">
        <v>2734660448</v>
      </c>
      <c r="F452" s="2020">
        <v>2734660448</v>
      </c>
      <c r="H452" s="2215">
        <f t="shared" si="7"/>
        <v>1707789</v>
      </c>
    </row>
    <row r="453" spans="1:8" ht="16.5" thickBot="1">
      <c r="A453" s="1076" t="s">
        <v>65</v>
      </c>
      <c r="B453" s="2015" t="s">
        <v>2170</v>
      </c>
      <c r="C453" s="2212">
        <v>2115150140</v>
      </c>
      <c r="D453" s="2212">
        <v>2115150140</v>
      </c>
      <c r="E453" s="2019">
        <v>2109656658</v>
      </c>
      <c r="F453" s="2019">
        <v>2109656658</v>
      </c>
      <c r="H453" s="2215">
        <f t="shared" si="7"/>
        <v>5493482</v>
      </c>
    </row>
    <row r="454" spans="1:8" ht="16.5" thickBot="1">
      <c r="A454" s="1076" t="s">
        <v>821</v>
      </c>
      <c r="B454" s="2016" t="s">
        <v>162</v>
      </c>
      <c r="C454" s="2212">
        <v>2013814037</v>
      </c>
      <c r="D454" s="2212">
        <v>2013814037</v>
      </c>
      <c r="E454" s="2020">
        <v>2007023526</v>
      </c>
      <c r="F454" s="2020">
        <v>2007023526</v>
      </c>
      <c r="H454" s="2215">
        <f t="shared" si="7"/>
        <v>6790511</v>
      </c>
    </row>
    <row r="455" spans="1:8" ht="16.5" thickBot="1">
      <c r="A455" s="1076" t="s">
        <v>67</v>
      </c>
      <c r="B455" s="2015" t="s">
        <v>2622</v>
      </c>
      <c r="C455" s="2212">
        <v>101907680</v>
      </c>
      <c r="D455" s="2212">
        <v>101907680</v>
      </c>
      <c r="E455" s="2019">
        <v>101377650</v>
      </c>
      <c r="F455" s="2019">
        <v>101377650</v>
      </c>
      <c r="H455" s="2215">
        <f t="shared" si="7"/>
        <v>530030</v>
      </c>
    </row>
    <row r="456" spans="1:8" ht="16.5" thickBot="1">
      <c r="A456" s="1076" t="s">
        <v>554</v>
      </c>
      <c r="B456" s="2016" t="s">
        <v>2561</v>
      </c>
      <c r="C456" s="2212">
        <v>85370832</v>
      </c>
      <c r="D456" s="2212">
        <v>85370832</v>
      </c>
      <c r="E456" s="2020">
        <v>84931003</v>
      </c>
      <c r="F456" s="2020">
        <v>84931003</v>
      </c>
      <c r="H456" s="2215">
        <f t="shared" si="7"/>
        <v>439829</v>
      </c>
    </row>
    <row r="457" spans="1:8" ht="16.5" thickBot="1">
      <c r="A457" s="1076" t="s">
        <v>1715</v>
      </c>
      <c r="B457" s="2015" t="s">
        <v>2705</v>
      </c>
      <c r="C457" s="2212">
        <v>461088465</v>
      </c>
      <c r="D457" s="2212">
        <v>461088465</v>
      </c>
      <c r="E457" s="2019">
        <v>460800195</v>
      </c>
      <c r="F457" s="2019">
        <v>460800195</v>
      </c>
      <c r="H457" s="2215">
        <f t="shared" si="7"/>
        <v>288270</v>
      </c>
    </row>
    <row r="458" spans="1:8" ht="16.5" thickBot="1">
      <c r="A458" s="1076" t="s">
        <v>172</v>
      </c>
      <c r="B458" s="2016" t="s">
        <v>2464</v>
      </c>
      <c r="C458" s="2212">
        <v>88004256</v>
      </c>
      <c r="D458" s="2212">
        <v>88004256</v>
      </c>
      <c r="E458" s="2020">
        <v>88122036</v>
      </c>
      <c r="F458" s="2020">
        <v>88122036</v>
      </c>
      <c r="H458" s="2215">
        <f t="shared" si="7"/>
        <v>-117780</v>
      </c>
    </row>
    <row r="459" spans="1:8" ht="16.5" thickBot="1">
      <c r="A459" s="1076" t="s">
        <v>2869</v>
      </c>
      <c r="B459" s="2015" t="s">
        <v>1010</v>
      </c>
      <c r="C459" s="2212">
        <v>68430665</v>
      </c>
      <c r="D459" s="2212">
        <v>68430665</v>
      </c>
      <c r="E459" s="2019">
        <v>68494516</v>
      </c>
      <c r="F459" s="2019">
        <v>68494516</v>
      </c>
      <c r="H459" s="2215">
        <f t="shared" si="7"/>
        <v>-63851</v>
      </c>
    </row>
    <row r="460" spans="1:8" ht="16.5" thickBot="1">
      <c r="A460" s="1076" t="s">
        <v>2756</v>
      </c>
      <c r="B460" s="2016" t="s">
        <v>742</v>
      </c>
      <c r="C460" s="2212">
        <v>79136649</v>
      </c>
      <c r="D460" s="2212">
        <v>79136649</v>
      </c>
      <c r="E460" s="2020">
        <v>79255016</v>
      </c>
      <c r="F460" s="2020">
        <v>79255016</v>
      </c>
      <c r="H460" s="2215">
        <f t="shared" si="7"/>
        <v>-118367</v>
      </c>
    </row>
    <row r="461" spans="1:8" ht="16.5" thickBot="1">
      <c r="A461" s="1076" t="s">
        <v>2133</v>
      </c>
      <c r="B461" s="2015" t="s">
        <v>2727</v>
      </c>
      <c r="C461" s="2212">
        <v>552350538</v>
      </c>
      <c r="D461" s="2212">
        <v>552350538</v>
      </c>
      <c r="E461" s="2019">
        <v>552373535</v>
      </c>
      <c r="F461" s="2019">
        <v>552373535</v>
      </c>
      <c r="H461" s="2215">
        <f t="shared" si="7"/>
        <v>-22997</v>
      </c>
    </row>
    <row r="462" spans="1:8" ht="16.5" thickBot="1">
      <c r="A462" s="1076" t="s">
        <v>555</v>
      </c>
      <c r="B462" s="2016" t="s">
        <v>2732</v>
      </c>
      <c r="C462" s="2212">
        <v>68250686</v>
      </c>
      <c r="D462" s="2212">
        <v>68250686</v>
      </c>
      <c r="E462" s="2020">
        <v>68288893</v>
      </c>
      <c r="F462" s="2020">
        <v>68288893</v>
      </c>
      <c r="H462" s="2215">
        <f t="shared" si="7"/>
        <v>-38207</v>
      </c>
    </row>
    <row r="463" spans="1:8" ht="16.5" thickBot="1">
      <c r="A463" s="1076" t="s">
        <v>49</v>
      </c>
      <c r="B463" s="2015" t="s">
        <v>444</v>
      </c>
      <c r="C463" s="2212">
        <v>173378637</v>
      </c>
      <c r="D463" s="2212">
        <v>173378637</v>
      </c>
      <c r="E463" s="2019">
        <v>173517225</v>
      </c>
      <c r="F463" s="2019">
        <v>173517225</v>
      </c>
      <c r="H463" s="2215">
        <f t="shared" si="7"/>
        <v>-138588</v>
      </c>
    </row>
    <row r="464" spans="1:8" ht="16.5" thickBot="1">
      <c r="A464" s="1076" t="s">
        <v>173</v>
      </c>
      <c r="B464" s="2016" t="s">
        <v>2466</v>
      </c>
      <c r="C464" s="2212">
        <v>42666089</v>
      </c>
      <c r="D464" s="2212">
        <v>42666089</v>
      </c>
      <c r="E464" s="2020">
        <v>42628230</v>
      </c>
      <c r="F464" s="2020">
        <v>42628230</v>
      </c>
      <c r="H464" s="2215">
        <f t="shared" si="7"/>
        <v>37859</v>
      </c>
    </row>
    <row r="465" spans="1:8" ht="16.5" thickBot="1">
      <c r="A465" s="1076" t="s">
        <v>567</v>
      </c>
      <c r="B465" s="2015" t="s">
        <v>2562</v>
      </c>
      <c r="C465" s="2212">
        <v>27301668</v>
      </c>
      <c r="D465" s="2212">
        <v>27301668</v>
      </c>
      <c r="E465" s="2019">
        <v>27313030</v>
      </c>
      <c r="F465" s="2019">
        <v>27313030</v>
      </c>
      <c r="H465" s="2215">
        <f t="shared" si="7"/>
        <v>-11362</v>
      </c>
    </row>
    <row r="466" spans="1:8" ht="16.5" thickBot="1">
      <c r="A466" s="1076" t="s">
        <v>1760</v>
      </c>
      <c r="B466" s="2016" t="s">
        <v>2999</v>
      </c>
      <c r="C466" s="2212">
        <v>558943648</v>
      </c>
      <c r="D466" s="2212">
        <v>558943648</v>
      </c>
      <c r="E466" s="2020">
        <v>558525334</v>
      </c>
      <c r="F466" s="2020">
        <v>558525334</v>
      </c>
      <c r="H466" s="2215">
        <f t="shared" si="7"/>
        <v>418314</v>
      </c>
    </row>
    <row r="467" spans="1:8" ht="16.5" thickBot="1">
      <c r="A467" s="1076" t="s">
        <v>568</v>
      </c>
      <c r="B467" s="2015" t="s">
        <v>2773</v>
      </c>
      <c r="C467" s="2212">
        <v>72568126</v>
      </c>
      <c r="D467" s="2212">
        <v>72568126</v>
      </c>
      <c r="E467" s="2019">
        <v>72816522</v>
      </c>
      <c r="F467" s="2019">
        <v>72816522</v>
      </c>
      <c r="H467" s="2215">
        <f t="shared" si="7"/>
        <v>-248396</v>
      </c>
    </row>
    <row r="468" spans="1:8" ht="16.5" thickBot="1">
      <c r="A468" s="1076" t="s">
        <v>1733</v>
      </c>
      <c r="B468" s="2016" t="s">
        <v>1522</v>
      </c>
      <c r="C468" s="2212">
        <v>111119211</v>
      </c>
      <c r="D468" s="2212">
        <v>111119211</v>
      </c>
      <c r="E468" s="2020">
        <v>111334299</v>
      </c>
      <c r="F468" s="2020">
        <v>111334299</v>
      </c>
      <c r="H468" s="2215">
        <f t="shared" si="7"/>
        <v>-215088</v>
      </c>
    </row>
    <row r="469" spans="1:8" ht="16.5" thickBot="1">
      <c r="A469" s="1076" t="s">
        <v>569</v>
      </c>
      <c r="B469" s="2015" t="s">
        <v>2989</v>
      </c>
      <c r="C469" s="2212">
        <v>25073749</v>
      </c>
      <c r="D469" s="2212">
        <v>25073749</v>
      </c>
      <c r="E469" s="2019">
        <v>25163815</v>
      </c>
      <c r="F469" s="2019">
        <v>25163815</v>
      </c>
      <c r="H469" s="2215">
        <f t="shared" si="7"/>
        <v>-90066</v>
      </c>
    </row>
    <row r="470" spans="1:8" ht="16.5" thickBot="1">
      <c r="A470" s="1076" t="s">
        <v>1761</v>
      </c>
      <c r="B470" s="2016" t="s">
        <v>3000</v>
      </c>
      <c r="C470" s="2212">
        <v>99508281</v>
      </c>
      <c r="D470" s="2212">
        <v>99508281</v>
      </c>
      <c r="E470" s="2020">
        <v>99554552</v>
      </c>
      <c r="F470" s="2020">
        <v>99554552</v>
      </c>
      <c r="H470" s="2215">
        <f t="shared" si="7"/>
        <v>-46271</v>
      </c>
    </row>
    <row r="471" spans="1:8" ht="16.5" thickBot="1">
      <c r="A471" s="1076" t="s">
        <v>1762</v>
      </c>
      <c r="B471" s="2015" t="s">
        <v>3001</v>
      </c>
      <c r="C471" s="2212">
        <v>1868653319</v>
      </c>
      <c r="D471" s="2212">
        <v>1868653319</v>
      </c>
      <c r="E471" s="2019">
        <v>1868793672</v>
      </c>
      <c r="F471" s="2019">
        <v>1868793672</v>
      </c>
      <c r="H471" s="2215">
        <f t="shared" si="7"/>
        <v>-140353</v>
      </c>
    </row>
    <row r="472" spans="1:8" ht="16.5" thickBot="1">
      <c r="A472" s="1076" t="s">
        <v>1410</v>
      </c>
      <c r="B472" s="2016" t="s">
        <v>3002</v>
      </c>
      <c r="C472" s="2212">
        <v>90330366</v>
      </c>
      <c r="D472" s="2212">
        <v>90330366</v>
      </c>
      <c r="E472" s="2020">
        <v>90336208</v>
      </c>
      <c r="F472" s="2020">
        <v>90336208</v>
      </c>
      <c r="H472" s="2215">
        <f t="shared" si="7"/>
        <v>-5842</v>
      </c>
    </row>
    <row r="473" spans="1:8" ht="16.5" thickBot="1">
      <c r="A473" s="1076" t="s">
        <v>2104</v>
      </c>
      <c r="B473" s="2015" t="s">
        <v>2203</v>
      </c>
      <c r="C473" s="2212">
        <v>141277849</v>
      </c>
      <c r="D473" s="2212">
        <v>141277849</v>
      </c>
      <c r="E473" s="2019">
        <v>141213218</v>
      </c>
      <c r="F473" s="2019">
        <v>141213218</v>
      </c>
      <c r="H473" s="2215">
        <f t="shared" si="7"/>
        <v>64631</v>
      </c>
    </row>
    <row r="474" spans="1:8" ht="16.5" thickBot="1">
      <c r="A474" s="1076" t="s">
        <v>1411</v>
      </c>
      <c r="B474" s="2016" t="s">
        <v>3003</v>
      </c>
      <c r="C474" s="2212">
        <v>1583847906</v>
      </c>
      <c r="D474" s="2212">
        <v>1583847906</v>
      </c>
      <c r="E474" s="2020">
        <v>1583944464</v>
      </c>
      <c r="F474" s="2020">
        <v>1583944464</v>
      </c>
      <c r="H474" s="2215">
        <f t="shared" si="7"/>
        <v>-96558</v>
      </c>
    </row>
    <row r="475" spans="1:8" ht="16.5" thickBot="1">
      <c r="A475" s="1076" t="s">
        <v>1412</v>
      </c>
      <c r="B475" s="2015" t="s">
        <v>3004</v>
      </c>
      <c r="C475" s="2212">
        <v>81387472</v>
      </c>
      <c r="D475" s="2212">
        <v>81387472</v>
      </c>
      <c r="E475" s="2019">
        <v>81374450</v>
      </c>
      <c r="F475" s="2019">
        <v>81374450</v>
      </c>
      <c r="H475" s="2215">
        <f t="shared" si="7"/>
        <v>13022</v>
      </c>
    </row>
    <row r="476" spans="1:8" ht="16.5" thickBot="1">
      <c r="A476" s="1076" t="s">
        <v>1413</v>
      </c>
      <c r="B476" s="2016" t="s">
        <v>247</v>
      </c>
      <c r="C476" s="2212">
        <v>4645227560</v>
      </c>
      <c r="D476" s="2212">
        <v>4645227560</v>
      </c>
      <c r="E476" s="2020">
        <v>4647713701</v>
      </c>
      <c r="F476" s="2020">
        <v>4647713701</v>
      </c>
      <c r="H476" s="2215">
        <f t="shared" si="7"/>
        <v>-2486141</v>
      </c>
    </row>
    <row r="477" spans="1:8" ht="16.5" thickBot="1">
      <c r="A477" s="1076" t="s">
        <v>1991</v>
      </c>
      <c r="B477" s="2015" t="s">
        <v>1763</v>
      </c>
      <c r="C477" s="2212">
        <v>173391136</v>
      </c>
      <c r="D477" s="2212">
        <v>173391136</v>
      </c>
      <c r="E477" s="2019">
        <v>173548678</v>
      </c>
      <c r="F477" s="2019">
        <v>173548678</v>
      </c>
      <c r="H477" s="2215">
        <f t="shared" si="7"/>
        <v>-157542</v>
      </c>
    </row>
    <row r="478" spans="1:8" ht="16.5" thickBot="1">
      <c r="A478" s="1076" t="s">
        <v>1709</v>
      </c>
      <c r="B478" s="2016" t="s">
        <v>660</v>
      </c>
      <c r="C478" s="2212">
        <v>200806079</v>
      </c>
      <c r="D478" s="2212">
        <v>200806079</v>
      </c>
      <c r="E478" s="2020">
        <v>200913607</v>
      </c>
      <c r="F478" s="2020">
        <v>200913607</v>
      </c>
      <c r="H478" s="2215">
        <f t="shared" si="7"/>
        <v>-107528</v>
      </c>
    </row>
    <row r="479" spans="1:8" ht="16.5" thickBot="1">
      <c r="A479" s="1076" t="s">
        <v>208</v>
      </c>
      <c r="B479" s="2015" t="s">
        <v>248</v>
      </c>
      <c r="C479" s="2212">
        <v>1186208000</v>
      </c>
      <c r="D479" s="2212">
        <v>1186208000</v>
      </c>
      <c r="E479" s="2019">
        <v>1187413873</v>
      </c>
      <c r="F479" s="2019">
        <v>1187413873</v>
      </c>
      <c r="H479" s="2215">
        <f t="shared" si="7"/>
        <v>-1205873</v>
      </c>
    </row>
    <row r="480" spans="1:8" ht="16.5" thickBot="1">
      <c r="A480" s="1076" t="s">
        <v>1687</v>
      </c>
      <c r="B480" s="2016" t="s">
        <v>462</v>
      </c>
      <c r="C480" s="2212">
        <v>67593999</v>
      </c>
      <c r="D480" s="2212">
        <v>67593999</v>
      </c>
      <c r="E480" s="2020">
        <v>68118769</v>
      </c>
      <c r="F480" s="2020">
        <v>68118769</v>
      </c>
      <c r="H480" s="2215">
        <f t="shared" si="7"/>
        <v>-524770</v>
      </c>
    </row>
    <row r="481" spans="1:8" ht="16.5" thickBot="1">
      <c r="A481" s="1076" t="s">
        <v>209</v>
      </c>
      <c r="B481" s="2015" t="s">
        <v>249</v>
      </c>
      <c r="C481" s="2212">
        <v>101779441</v>
      </c>
      <c r="D481" s="2212">
        <v>101779441</v>
      </c>
      <c r="E481" s="2019">
        <v>102595138</v>
      </c>
      <c r="F481" s="2019">
        <v>102595138</v>
      </c>
      <c r="H481" s="2215">
        <f t="shared" si="7"/>
        <v>-815697</v>
      </c>
    </row>
    <row r="482" spans="1:8" ht="16.5" thickBot="1">
      <c r="A482" s="1076" t="s">
        <v>2217</v>
      </c>
      <c r="B482" s="2016" t="s">
        <v>2557</v>
      </c>
      <c r="C482" s="2212">
        <v>51625279</v>
      </c>
      <c r="D482" s="2212">
        <v>51625279</v>
      </c>
      <c r="E482" s="2020">
        <v>51946723</v>
      </c>
      <c r="F482" s="2020">
        <v>51946723</v>
      </c>
      <c r="H482" s="2215">
        <f t="shared" si="7"/>
        <v>-321444</v>
      </c>
    </row>
    <row r="483" spans="1:8" ht="16.5" thickBot="1">
      <c r="A483" s="1076" t="s">
        <v>210</v>
      </c>
      <c r="B483" s="2015" t="s">
        <v>702</v>
      </c>
      <c r="C483" s="2212">
        <v>150728460</v>
      </c>
      <c r="D483" s="2212">
        <v>150728460</v>
      </c>
      <c r="E483" s="2019">
        <v>151476285</v>
      </c>
      <c r="F483" s="2019">
        <v>151476285</v>
      </c>
      <c r="H483" s="2215">
        <f t="shared" si="7"/>
        <v>-747825</v>
      </c>
    </row>
    <row r="484" spans="1:8" ht="16.5" thickBot="1">
      <c r="A484" s="1076" t="s">
        <v>211</v>
      </c>
      <c r="B484" s="2016" t="s">
        <v>703</v>
      </c>
      <c r="C484" s="2212">
        <v>49730042</v>
      </c>
      <c r="D484" s="2212">
        <v>49730042</v>
      </c>
      <c r="E484" s="2020">
        <v>50103846</v>
      </c>
      <c r="F484" s="2020">
        <v>50103846</v>
      </c>
      <c r="H484" s="2215">
        <f t="shared" si="7"/>
        <v>-373804</v>
      </c>
    </row>
    <row r="485" spans="1:8" ht="16.5" thickBot="1">
      <c r="A485" s="1076" t="s">
        <v>1688</v>
      </c>
      <c r="B485" s="2015" t="s">
        <v>2216</v>
      </c>
      <c r="C485" s="2212">
        <v>76317247</v>
      </c>
      <c r="D485" s="2212">
        <v>76317247</v>
      </c>
      <c r="E485" s="2019">
        <v>76721120</v>
      </c>
      <c r="F485" s="2019">
        <v>76721120</v>
      </c>
      <c r="H485" s="2215">
        <f t="shared" si="7"/>
        <v>-403873</v>
      </c>
    </row>
    <row r="486" spans="1:8" ht="16.5" thickBot="1">
      <c r="A486" s="1076" t="s">
        <v>1601</v>
      </c>
      <c r="B486" s="2016" t="s">
        <v>704</v>
      </c>
      <c r="C486" s="2212">
        <v>420563360</v>
      </c>
      <c r="D486" s="2212">
        <v>420563360</v>
      </c>
      <c r="E486" s="2020">
        <v>420051080</v>
      </c>
      <c r="F486" s="2020">
        <v>420051080</v>
      </c>
      <c r="H486" s="2215">
        <f t="shared" si="7"/>
        <v>512280</v>
      </c>
    </row>
    <row r="487" spans="1:8" ht="16.5" thickBot="1">
      <c r="A487" s="1076" t="s">
        <v>1432</v>
      </c>
      <c r="B487" s="2015" t="s">
        <v>2480</v>
      </c>
      <c r="C487" s="2212">
        <v>264388894</v>
      </c>
      <c r="D487" s="2212">
        <v>264388894</v>
      </c>
      <c r="E487" s="2019">
        <v>264168444</v>
      </c>
      <c r="F487" s="2019">
        <v>264168444</v>
      </c>
      <c r="H487" s="2215">
        <f t="shared" si="7"/>
        <v>220450</v>
      </c>
    </row>
    <row r="488" spans="1:8" ht="16.5" thickBot="1">
      <c r="A488" s="1076" t="s">
        <v>1104</v>
      </c>
      <c r="B488" s="2016" t="s">
        <v>2880</v>
      </c>
      <c r="C488" s="2212">
        <v>446007143</v>
      </c>
      <c r="D488" s="2212">
        <v>446007143</v>
      </c>
      <c r="E488" s="2020">
        <v>445957253</v>
      </c>
      <c r="F488" s="2020">
        <v>445957253</v>
      </c>
      <c r="H488" s="2215">
        <f t="shared" si="7"/>
        <v>49890</v>
      </c>
    </row>
    <row r="489" spans="1:8" ht="16.5" thickBot="1">
      <c r="A489" s="1076" t="s">
        <v>1105</v>
      </c>
      <c r="B489" s="2015" t="s">
        <v>1767</v>
      </c>
      <c r="C489" s="2212">
        <v>148599247</v>
      </c>
      <c r="D489" s="2212">
        <v>148599247</v>
      </c>
      <c r="E489" s="2019">
        <v>148481477</v>
      </c>
      <c r="F489" s="2019">
        <v>148481477</v>
      </c>
      <c r="H489" s="2215">
        <f t="shared" si="7"/>
        <v>117770</v>
      </c>
    </row>
    <row r="490" spans="1:8" ht="16.5" thickBot="1">
      <c r="A490" s="1076" t="s">
        <v>1011</v>
      </c>
      <c r="B490" s="2016" t="s">
        <v>1768</v>
      </c>
      <c r="C490" s="2212">
        <v>114285347</v>
      </c>
      <c r="D490" s="2212">
        <v>114285347</v>
      </c>
      <c r="E490" s="2020">
        <v>114179477</v>
      </c>
      <c r="F490" s="2020">
        <v>114179477</v>
      </c>
      <c r="H490" s="2215">
        <f t="shared" si="7"/>
        <v>105870</v>
      </c>
    </row>
    <row r="491" spans="1:8" ht="16.5" thickBot="1">
      <c r="A491" s="1076" t="s">
        <v>2036</v>
      </c>
      <c r="B491" s="2015" t="s">
        <v>1769</v>
      </c>
      <c r="C491" s="2212">
        <v>1885436737</v>
      </c>
      <c r="D491" s="2212">
        <v>1885436737</v>
      </c>
      <c r="E491" s="2019">
        <v>1886935798</v>
      </c>
      <c r="F491" s="2019">
        <v>1886935798</v>
      </c>
      <c r="H491" s="2215">
        <f t="shared" si="7"/>
        <v>-1499061</v>
      </c>
    </row>
    <row r="492" spans="1:8" ht="16.5" thickBot="1">
      <c r="A492" s="1076" t="s">
        <v>3076</v>
      </c>
      <c r="B492" s="2016" t="s">
        <v>1770</v>
      </c>
      <c r="C492" s="2212">
        <v>526456571</v>
      </c>
      <c r="D492" s="2212">
        <v>526456571</v>
      </c>
      <c r="E492" s="2020">
        <v>526633189</v>
      </c>
      <c r="F492" s="2020">
        <v>526633189</v>
      </c>
      <c r="H492" s="2215">
        <f t="shared" si="7"/>
        <v>-176618</v>
      </c>
    </row>
    <row r="493" spans="1:8" ht="16.5" thickBot="1">
      <c r="A493" s="1076" t="s">
        <v>3077</v>
      </c>
      <c r="B493" s="2015" t="s">
        <v>1771</v>
      </c>
      <c r="C493" s="2212">
        <v>795833371</v>
      </c>
      <c r="D493" s="2212">
        <v>945279391</v>
      </c>
      <c r="E493" s="2019">
        <v>795923821</v>
      </c>
      <c r="F493" s="2019">
        <v>945369841</v>
      </c>
      <c r="H493" s="2215">
        <f t="shared" si="7"/>
        <v>-90450</v>
      </c>
    </row>
    <row r="494" spans="1:8" ht="16.5" thickBot="1">
      <c r="A494" s="1076" t="s">
        <v>1507</v>
      </c>
      <c r="B494" s="2016" t="s">
        <v>1772</v>
      </c>
      <c r="C494" s="2212">
        <v>186384789</v>
      </c>
      <c r="D494" s="2212">
        <v>186384789</v>
      </c>
      <c r="E494" s="2020">
        <v>186572568</v>
      </c>
      <c r="F494" s="2020">
        <v>186572568</v>
      </c>
      <c r="H494" s="2215">
        <f t="shared" si="7"/>
        <v>-187779</v>
      </c>
    </row>
    <row r="495" spans="1:8" ht="16.5" thickBot="1">
      <c r="A495" s="1076" t="s">
        <v>2492</v>
      </c>
      <c r="B495" s="2015" t="s">
        <v>1773</v>
      </c>
      <c r="C495" s="2212">
        <v>97089886</v>
      </c>
      <c r="D495" s="2212">
        <v>97089886</v>
      </c>
      <c r="E495" s="2019">
        <v>97126373</v>
      </c>
      <c r="F495" s="2019">
        <v>97126373</v>
      </c>
      <c r="H495" s="2215">
        <f t="shared" si="7"/>
        <v>-36487</v>
      </c>
    </row>
    <row r="496" spans="1:8" ht="16.5" thickBot="1">
      <c r="A496" s="1076" t="s">
        <v>1271</v>
      </c>
      <c r="B496" s="2016" t="s">
        <v>1774</v>
      </c>
      <c r="C496" s="2212">
        <v>60336397</v>
      </c>
      <c r="D496" s="2212">
        <v>60336397</v>
      </c>
      <c r="E496" s="2020">
        <v>60447551</v>
      </c>
      <c r="F496" s="2020">
        <v>60447551</v>
      </c>
      <c r="H496" s="2215">
        <f t="shared" si="7"/>
        <v>-111154</v>
      </c>
    </row>
    <row r="497" spans="1:8" ht="16.5" thickBot="1">
      <c r="A497" s="1076" t="s">
        <v>2155</v>
      </c>
      <c r="B497" s="2015" t="s">
        <v>726</v>
      </c>
      <c r="C497" s="2212">
        <v>366569272</v>
      </c>
      <c r="D497" s="2212">
        <v>366569272</v>
      </c>
      <c r="E497" s="2019">
        <v>367028167</v>
      </c>
      <c r="F497" s="2019">
        <v>367028167</v>
      </c>
      <c r="H497" s="2215">
        <f t="shared" si="7"/>
        <v>-458895</v>
      </c>
    </row>
    <row r="498" spans="1:8" ht="16.5" thickBot="1">
      <c r="A498" s="1076" t="s">
        <v>1272</v>
      </c>
      <c r="B498" s="2016" t="s">
        <v>1775</v>
      </c>
      <c r="C498" s="2212">
        <v>84856831</v>
      </c>
      <c r="D498" s="2212">
        <v>84856831</v>
      </c>
      <c r="E498" s="2020">
        <v>84960516</v>
      </c>
      <c r="F498" s="2020">
        <v>84960516</v>
      </c>
      <c r="H498" s="2215">
        <f t="shared" si="7"/>
        <v>-103685</v>
      </c>
    </row>
    <row r="499" spans="1:8" ht="16.5" thickBot="1">
      <c r="A499" s="1076" t="s">
        <v>1618</v>
      </c>
      <c r="B499" s="2015" t="s">
        <v>1743</v>
      </c>
      <c r="C499" s="2212">
        <v>401471950</v>
      </c>
      <c r="D499" s="2212">
        <v>401471950</v>
      </c>
      <c r="E499" s="2019">
        <v>401540597</v>
      </c>
      <c r="F499" s="2019">
        <v>401540597</v>
      </c>
      <c r="H499" s="2215">
        <f t="shared" si="7"/>
        <v>-68647</v>
      </c>
    </row>
    <row r="500" spans="1:8" ht="16.5" thickBot="1">
      <c r="A500" s="1076" t="s">
        <v>1209</v>
      </c>
      <c r="B500" s="2016" t="s">
        <v>1776</v>
      </c>
      <c r="C500" s="2212">
        <v>1739243117</v>
      </c>
      <c r="D500" s="2212">
        <v>1739243117</v>
      </c>
      <c r="E500" s="2020">
        <v>1738603593</v>
      </c>
      <c r="F500" s="2020">
        <v>1738603593</v>
      </c>
      <c r="H500" s="2215">
        <f t="shared" si="7"/>
        <v>639524</v>
      </c>
    </row>
    <row r="501" spans="1:8" ht="16.5" thickBot="1">
      <c r="A501" s="1076" t="s">
        <v>2218</v>
      </c>
      <c r="B501" s="2015" t="s">
        <v>2435</v>
      </c>
      <c r="C501" s="2212">
        <v>206592050</v>
      </c>
      <c r="D501" s="2212">
        <v>206592050</v>
      </c>
      <c r="E501" s="2019">
        <v>207216183</v>
      </c>
      <c r="F501" s="2019">
        <v>207216183</v>
      </c>
      <c r="H501" s="2215">
        <f t="shared" si="7"/>
        <v>-624133</v>
      </c>
    </row>
    <row r="502" spans="1:8" ht="16.5" thickBot="1">
      <c r="A502" s="1076" t="s">
        <v>1781</v>
      </c>
      <c r="B502" s="2016" t="s">
        <v>90</v>
      </c>
      <c r="C502" s="2212">
        <v>670678320</v>
      </c>
      <c r="D502" s="2212">
        <v>670678320</v>
      </c>
      <c r="E502" s="2020">
        <v>674684830</v>
      </c>
      <c r="F502" s="2020">
        <v>674684830</v>
      </c>
      <c r="H502" s="2215">
        <f t="shared" si="7"/>
        <v>-4006510</v>
      </c>
    </row>
    <row r="503" spans="1:8" ht="16.5" thickBot="1">
      <c r="A503" s="1076" t="s">
        <v>273</v>
      </c>
      <c r="B503" s="2015" t="s">
        <v>1292</v>
      </c>
      <c r="C503" s="2212">
        <v>101891098</v>
      </c>
      <c r="D503" s="2212">
        <v>101891098</v>
      </c>
      <c r="E503" s="2019">
        <v>101828197</v>
      </c>
      <c r="F503" s="2019">
        <v>101828197</v>
      </c>
      <c r="H503" s="2215">
        <f t="shared" si="7"/>
        <v>62901</v>
      </c>
    </row>
    <row r="504" spans="1:8" ht="16.5" thickBot="1">
      <c r="A504" s="1076" t="s">
        <v>1210</v>
      </c>
      <c r="B504" s="2016" t="s">
        <v>1777</v>
      </c>
      <c r="C504" s="2212">
        <v>79618700</v>
      </c>
      <c r="D504" s="2212">
        <v>79618700</v>
      </c>
      <c r="E504" s="2020">
        <v>80143877</v>
      </c>
      <c r="F504" s="2020">
        <v>80143877</v>
      </c>
      <c r="H504" s="2215">
        <f t="shared" si="7"/>
        <v>-525177</v>
      </c>
    </row>
    <row r="505" spans="1:8" ht="16.5" thickBot="1">
      <c r="A505" s="1076" t="s">
        <v>987</v>
      </c>
      <c r="B505" s="2015" t="s">
        <v>903</v>
      </c>
      <c r="C505" s="2212">
        <v>124813876</v>
      </c>
      <c r="D505" s="2212">
        <v>124813876</v>
      </c>
      <c r="E505" s="2019">
        <v>125197252</v>
      </c>
      <c r="F505" s="2019">
        <v>125197252</v>
      </c>
      <c r="H505" s="2215">
        <f t="shared" si="7"/>
        <v>-383376</v>
      </c>
    </row>
    <row r="506" spans="1:8" ht="16.5" thickBot="1">
      <c r="A506" s="1076" t="s">
        <v>2105</v>
      </c>
      <c r="B506" s="2016" t="s">
        <v>1523</v>
      </c>
      <c r="C506" s="2212">
        <v>15283631</v>
      </c>
      <c r="D506" s="2212">
        <v>15283631</v>
      </c>
      <c r="E506" s="2020">
        <v>15329440</v>
      </c>
      <c r="F506" s="2020">
        <v>15329440</v>
      </c>
      <c r="H506" s="2215">
        <f t="shared" si="7"/>
        <v>-45809</v>
      </c>
    </row>
    <row r="507" spans="1:8" ht="16.5" thickBot="1">
      <c r="A507" s="1076" t="s">
        <v>1211</v>
      </c>
      <c r="B507" s="2015" t="s">
        <v>1778</v>
      </c>
      <c r="C507" s="2212">
        <v>613079027</v>
      </c>
      <c r="D507" s="2212">
        <v>613079027</v>
      </c>
      <c r="E507" s="2019">
        <v>611827747</v>
      </c>
      <c r="F507" s="2019">
        <v>611827747</v>
      </c>
      <c r="H507" s="2215">
        <f t="shared" si="7"/>
        <v>1251280</v>
      </c>
    </row>
    <row r="508" spans="1:8" ht="16.5" thickBot="1">
      <c r="A508" s="1076" t="s">
        <v>2454</v>
      </c>
      <c r="B508" s="2016" t="s">
        <v>1196</v>
      </c>
      <c r="C508" s="2212">
        <v>150365363</v>
      </c>
      <c r="D508" s="2212">
        <v>150365363</v>
      </c>
      <c r="E508" s="2020">
        <v>152041932</v>
      </c>
      <c r="F508" s="2020">
        <v>152041932</v>
      </c>
      <c r="H508" s="2215">
        <f t="shared" si="7"/>
        <v>-1676569</v>
      </c>
    </row>
    <row r="509" spans="1:8" ht="16.5" thickBot="1">
      <c r="A509" s="1076" t="s">
        <v>2455</v>
      </c>
      <c r="B509" s="2015" t="s">
        <v>1197</v>
      </c>
      <c r="C509" s="2212">
        <v>1054925171</v>
      </c>
      <c r="D509" s="2212">
        <v>1486236921</v>
      </c>
      <c r="E509" s="2019">
        <v>1054822281</v>
      </c>
      <c r="F509" s="2019">
        <v>1486134031</v>
      </c>
      <c r="H509" s="2215">
        <f t="shared" si="7"/>
        <v>102890</v>
      </c>
    </row>
    <row r="510" spans="1:8" ht="16.5" thickBot="1">
      <c r="A510" s="1076" t="s">
        <v>1428</v>
      </c>
      <c r="B510" s="2016" t="s">
        <v>2890</v>
      </c>
      <c r="C510" s="2212">
        <v>50638992</v>
      </c>
      <c r="D510" s="2212">
        <v>50638992</v>
      </c>
      <c r="E510" s="2020">
        <v>50661732</v>
      </c>
      <c r="F510" s="2020">
        <v>50661732</v>
      </c>
      <c r="H510" s="2215">
        <f t="shared" si="7"/>
        <v>-22740</v>
      </c>
    </row>
    <row r="511" spans="1:8" ht="16.5" thickBot="1">
      <c r="A511" s="1076" t="s">
        <v>1429</v>
      </c>
      <c r="B511" s="2015" t="s">
        <v>1198</v>
      </c>
      <c r="C511" s="2212">
        <v>1534173660</v>
      </c>
      <c r="D511" s="2212">
        <v>1534173660</v>
      </c>
      <c r="E511" s="2019">
        <v>1534539060</v>
      </c>
      <c r="F511" s="2019">
        <v>1534539060</v>
      </c>
      <c r="H511" s="2215">
        <f t="shared" si="7"/>
        <v>-365400</v>
      </c>
    </row>
    <row r="512" spans="1:8" ht="16.5" thickBot="1">
      <c r="A512" s="1076" t="s">
        <v>1039</v>
      </c>
      <c r="B512" s="2016" t="s">
        <v>2821</v>
      </c>
      <c r="C512" s="2212">
        <v>198230193</v>
      </c>
      <c r="D512" s="2212">
        <v>410994463</v>
      </c>
      <c r="E512" s="2020">
        <v>198611563</v>
      </c>
      <c r="F512" s="2020">
        <v>411375833</v>
      </c>
      <c r="H512" s="2215">
        <f t="shared" si="7"/>
        <v>-381370</v>
      </c>
    </row>
    <row r="513" spans="1:8" ht="16.5" thickBot="1">
      <c r="A513" s="1076" t="s">
        <v>1040</v>
      </c>
      <c r="B513" s="2015" t="s">
        <v>2822</v>
      </c>
      <c r="C513" s="2212">
        <v>1126865594</v>
      </c>
      <c r="D513" s="2212">
        <v>1126865594</v>
      </c>
      <c r="E513" s="2019">
        <v>1127686304</v>
      </c>
      <c r="F513" s="2019">
        <v>1127686304</v>
      </c>
      <c r="H513" s="2215">
        <f t="shared" si="7"/>
        <v>-820710</v>
      </c>
    </row>
    <row r="514" spans="1:8" ht="16.5" thickBot="1">
      <c r="A514" s="1076" t="s">
        <v>1041</v>
      </c>
      <c r="B514" s="2016" t="s">
        <v>1199</v>
      </c>
      <c r="C514" s="2212">
        <v>317551240</v>
      </c>
      <c r="D514" s="2212">
        <v>317551240</v>
      </c>
      <c r="E514" s="2020">
        <v>317774800</v>
      </c>
      <c r="F514" s="2020">
        <v>317774800</v>
      </c>
      <c r="H514" s="2215">
        <f t="shared" ref="H514:H577" si="8">C514-E514</f>
        <v>-223560</v>
      </c>
    </row>
    <row r="515" spans="1:8" ht="16.5" thickBot="1">
      <c r="A515" s="1076" t="s">
        <v>1042</v>
      </c>
      <c r="B515" s="2015" t="s">
        <v>685</v>
      </c>
      <c r="C515" s="2212">
        <v>595200596</v>
      </c>
      <c r="D515" s="2212">
        <v>595200596</v>
      </c>
      <c r="E515" s="2019">
        <v>595231840</v>
      </c>
      <c r="F515" s="2019">
        <v>595231840</v>
      </c>
      <c r="H515" s="2215">
        <f t="shared" si="8"/>
        <v>-31244</v>
      </c>
    </row>
    <row r="516" spans="1:8" ht="16.5" thickBot="1">
      <c r="A516" s="1076" t="s">
        <v>2972</v>
      </c>
      <c r="B516" s="2016" t="s">
        <v>1671</v>
      </c>
      <c r="C516" s="2212">
        <v>465519063</v>
      </c>
      <c r="D516" s="2212">
        <v>465519063</v>
      </c>
      <c r="E516" s="2020">
        <v>465656435</v>
      </c>
      <c r="F516" s="2020">
        <v>465656435</v>
      </c>
      <c r="H516" s="2215">
        <f t="shared" si="8"/>
        <v>-137372</v>
      </c>
    </row>
    <row r="517" spans="1:8" ht="16.5" thickBot="1">
      <c r="A517" s="1076" t="s">
        <v>544</v>
      </c>
      <c r="B517" s="2015" t="s">
        <v>686</v>
      </c>
      <c r="C517" s="2212">
        <v>732292837</v>
      </c>
      <c r="D517" s="2212">
        <v>732292837</v>
      </c>
      <c r="E517" s="2019">
        <v>732461690</v>
      </c>
      <c r="F517" s="2019">
        <v>732461690</v>
      </c>
      <c r="H517" s="2215">
        <f t="shared" si="8"/>
        <v>-168853</v>
      </c>
    </row>
    <row r="518" spans="1:8" ht="16.5" thickBot="1">
      <c r="A518" s="1076" t="s">
        <v>3042</v>
      </c>
      <c r="B518" s="2016" t="s">
        <v>2859</v>
      </c>
      <c r="C518" s="2212">
        <v>247626829</v>
      </c>
      <c r="D518" s="2212">
        <v>247626829</v>
      </c>
      <c r="E518" s="2020">
        <v>247516882</v>
      </c>
      <c r="F518" s="2020">
        <v>247516882</v>
      </c>
      <c r="H518" s="2215">
        <f t="shared" si="8"/>
        <v>109947</v>
      </c>
    </row>
    <row r="519" spans="1:8" ht="16.5" thickBot="1">
      <c r="A519" s="1076" t="s">
        <v>995</v>
      </c>
      <c r="B519" s="2015" t="s">
        <v>1632</v>
      </c>
      <c r="C519" s="2212">
        <v>319539189</v>
      </c>
      <c r="D519" s="2212">
        <v>319539189</v>
      </c>
      <c r="E519" s="2019">
        <v>320119944</v>
      </c>
      <c r="F519" s="2019">
        <v>320119944</v>
      </c>
      <c r="H519" s="2215">
        <f t="shared" si="8"/>
        <v>-580755</v>
      </c>
    </row>
    <row r="520" spans="1:8" ht="16.5" thickBot="1">
      <c r="A520" s="1076" t="s">
        <v>51</v>
      </c>
      <c r="B520" s="2016" t="s">
        <v>446</v>
      </c>
      <c r="C520" s="2212">
        <v>963338778</v>
      </c>
      <c r="D520" s="2212">
        <v>963338778</v>
      </c>
      <c r="E520" s="2020">
        <v>964088559</v>
      </c>
      <c r="F520" s="2020">
        <v>964088559</v>
      </c>
      <c r="H520" s="2215">
        <f t="shared" si="8"/>
        <v>-749781</v>
      </c>
    </row>
    <row r="521" spans="1:8" ht="16.5" thickBot="1">
      <c r="A521" s="1076" t="s">
        <v>61</v>
      </c>
      <c r="B521" s="2015" t="s">
        <v>2296</v>
      </c>
      <c r="C521" s="2212">
        <v>224307125</v>
      </c>
      <c r="D521" s="2212">
        <v>224307125</v>
      </c>
      <c r="E521" s="2019">
        <v>224631968</v>
      </c>
      <c r="F521" s="2019">
        <v>224631968</v>
      </c>
      <c r="H521" s="2215">
        <f t="shared" si="8"/>
        <v>-324843</v>
      </c>
    </row>
    <row r="522" spans="1:8" ht="16.5" thickBot="1">
      <c r="A522" s="1076" t="s">
        <v>3043</v>
      </c>
      <c r="B522" s="2016" t="s">
        <v>2860</v>
      </c>
      <c r="C522" s="2212">
        <v>376640100</v>
      </c>
      <c r="D522" s="2212">
        <v>376640100</v>
      </c>
      <c r="E522" s="2020">
        <v>376889813</v>
      </c>
      <c r="F522" s="2020">
        <v>376889813</v>
      </c>
      <c r="H522" s="2215">
        <f t="shared" si="8"/>
        <v>-249713</v>
      </c>
    </row>
    <row r="523" spans="1:8" ht="16.5" thickBot="1">
      <c r="A523" s="1076" t="s">
        <v>3044</v>
      </c>
      <c r="B523" s="2015" t="s">
        <v>2861</v>
      </c>
      <c r="C523" s="2212">
        <v>178455813</v>
      </c>
      <c r="D523" s="2212">
        <v>178455813</v>
      </c>
      <c r="E523" s="2019">
        <v>178506013</v>
      </c>
      <c r="F523" s="2019">
        <v>178506013</v>
      </c>
      <c r="H523" s="2215">
        <f t="shared" si="8"/>
        <v>-50200</v>
      </c>
    </row>
    <row r="524" spans="1:8" ht="16.5" thickBot="1">
      <c r="A524" s="1076" t="s">
        <v>3045</v>
      </c>
      <c r="B524" s="2016" t="s">
        <v>2618</v>
      </c>
      <c r="C524" s="2212">
        <v>44078260</v>
      </c>
      <c r="D524" s="2212">
        <v>44078260</v>
      </c>
      <c r="E524" s="2020">
        <v>44111220</v>
      </c>
      <c r="F524" s="2020">
        <v>44111220</v>
      </c>
      <c r="H524" s="2215">
        <f t="shared" si="8"/>
        <v>-32960</v>
      </c>
    </row>
    <row r="525" spans="1:8" ht="16.5" thickBot="1">
      <c r="A525" s="1076" t="s">
        <v>2905</v>
      </c>
      <c r="B525" s="2015" t="s">
        <v>426</v>
      </c>
      <c r="C525" s="2212">
        <v>2123890411</v>
      </c>
      <c r="D525" s="2212">
        <v>2123890411</v>
      </c>
      <c r="E525" s="2019">
        <v>2125171208</v>
      </c>
      <c r="F525" s="2019">
        <v>2125171208</v>
      </c>
      <c r="H525" s="2215">
        <f t="shared" si="8"/>
        <v>-1280797</v>
      </c>
    </row>
    <row r="526" spans="1:8" ht="16.5" thickBot="1">
      <c r="A526" s="1076" t="s">
        <v>2615</v>
      </c>
      <c r="B526" s="2016" t="s">
        <v>2619</v>
      </c>
      <c r="C526" s="2212">
        <v>4019544293</v>
      </c>
      <c r="D526" s="2212">
        <v>8174514943</v>
      </c>
      <c r="E526" s="2020">
        <v>4011664866</v>
      </c>
      <c r="F526" s="2020">
        <v>8166635516</v>
      </c>
      <c r="H526" s="2215">
        <f t="shared" si="8"/>
        <v>7879427</v>
      </c>
    </row>
    <row r="527" spans="1:8" ht="16.5" thickBot="1">
      <c r="A527" s="1076" t="s">
        <v>2616</v>
      </c>
      <c r="B527" s="2015" t="s">
        <v>3089</v>
      </c>
      <c r="C527" s="2212">
        <v>2462249296</v>
      </c>
      <c r="D527" s="2212">
        <v>2753073086</v>
      </c>
      <c r="E527" s="2019">
        <v>2461844967</v>
      </c>
      <c r="F527" s="2019">
        <v>2752668757</v>
      </c>
      <c r="H527" s="2215">
        <f t="shared" si="8"/>
        <v>404329</v>
      </c>
    </row>
    <row r="528" spans="1:8" ht="16.5" thickBot="1">
      <c r="A528" s="1076" t="s">
        <v>1501</v>
      </c>
      <c r="B528" s="2016" t="s">
        <v>3090</v>
      </c>
      <c r="C528" s="2212">
        <v>9792802317</v>
      </c>
      <c r="D528" s="2212">
        <v>9792802317</v>
      </c>
      <c r="E528" s="2020">
        <v>9785029946</v>
      </c>
      <c r="F528" s="2020">
        <v>9785029946</v>
      </c>
      <c r="H528" s="2215">
        <f t="shared" si="8"/>
        <v>7772371</v>
      </c>
    </row>
    <row r="529" spans="1:8" ht="16.5" thickBot="1">
      <c r="A529" s="1076" t="s">
        <v>1502</v>
      </c>
      <c r="B529" s="2015" t="s">
        <v>3091</v>
      </c>
      <c r="C529" s="2212">
        <v>649679055</v>
      </c>
      <c r="D529" s="2212">
        <v>1137925585</v>
      </c>
      <c r="E529" s="2019">
        <v>649897731</v>
      </c>
      <c r="F529" s="2019">
        <v>1138144261</v>
      </c>
      <c r="H529" s="2215">
        <f t="shared" si="8"/>
        <v>-218676</v>
      </c>
    </row>
    <row r="530" spans="1:8" ht="16.5" thickBot="1">
      <c r="A530" s="1076" t="s">
        <v>1484</v>
      </c>
      <c r="B530" s="2016" t="s">
        <v>1950</v>
      </c>
      <c r="C530" s="2212">
        <v>693254225</v>
      </c>
      <c r="D530" s="2212">
        <v>693254225</v>
      </c>
      <c r="E530" s="2020">
        <v>695593000</v>
      </c>
      <c r="F530" s="2020">
        <v>695593000</v>
      </c>
      <c r="H530" s="2215">
        <f t="shared" si="8"/>
        <v>-2338775</v>
      </c>
    </row>
    <row r="531" spans="1:8" ht="16.5" thickBot="1">
      <c r="A531" s="1076" t="s">
        <v>1503</v>
      </c>
      <c r="B531" s="2015" t="s">
        <v>1956</v>
      </c>
      <c r="C531" s="2212">
        <v>382880375</v>
      </c>
      <c r="D531" s="2212">
        <v>382880375</v>
      </c>
      <c r="E531" s="2019">
        <v>382411722</v>
      </c>
      <c r="F531" s="2019">
        <v>382411722</v>
      </c>
      <c r="H531" s="2215">
        <f t="shared" si="8"/>
        <v>468653</v>
      </c>
    </row>
    <row r="532" spans="1:8" ht="16.5" thickBot="1">
      <c r="A532" s="1076" t="s">
        <v>2299</v>
      </c>
      <c r="B532" s="2016" t="s">
        <v>799</v>
      </c>
      <c r="C532" s="2212">
        <v>1745316859</v>
      </c>
      <c r="D532" s="2212">
        <v>1745316859</v>
      </c>
      <c r="E532" s="2020">
        <v>1744791204</v>
      </c>
      <c r="F532" s="2020">
        <v>1744791204</v>
      </c>
      <c r="H532" s="2215">
        <f t="shared" si="8"/>
        <v>525655</v>
      </c>
    </row>
    <row r="533" spans="1:8" ht="16.5" thickBot="1">
      <c r="A533" s="1076" t="s">
        <v>2652</v>
      </c>
      <c r="B533" s="2015" t="s">
        <v>3080</v>
      </c>
      <c r="C533" s="2212">
        <v>78913174</v>
      </c>
      <c r="D533" s="2212">
        <v>78913174</v>
      </c>
      <c r="E533" s="2019">
        <v>78969438</v>
      </c>
      <c r="F533" s="2019">
        <v>78969438</v>
      </c>
      <c r="H533" s="2215">
        <f t="shared" si="8"/>
        <v>-56264</v>
      </c>
    </row>
    <row r="534" spans="1:8" ht="16.5" thickBot="1">
      <c r="A534" s="1076" t="s">
        <v>1593</v>
      </c>
      <c r="B534" s="2016" t="s">
        <v>1151</v>
      </c>
      <c r="C534" s="2212">
        <v>266153558</v>
      </c>
      <c r="D534" s="2212">
        <v>266153558</v>
      </c>
      <c r="E534" s="2020">
        <v>266460881</v>
      </c>
      <c r="F534" s="2020">
        <v>266460881</v>
      </c>
      <c r="H534" s="2215">
        <f t="shared" si="8"/>
        <v>-307323</v>
      </c>
    </row>
    <row r="535" spans="1:8" ht="16.5" thickBot="1">
      <c r="A535" s="1076" t="s">
        <v>244</v>
      </c>
      <c r="B535" s="2015" t="s">
        <v>2412</v>
      </c>
      <c r="C535" s="2212">
        <v>133966189</v>
      </c>
      <c r="D535" s="2212">
        <v>133966189</v>
      </c>
      <c r="E535" s="2019">
        <v>134108264</v>
      </c>
      <c r="F535" s="2019">
        <v>134108264</v>
      </c>
      <c r="H535" s="2215">
        <f t="shared" si="8"/>
        <v>-142075</v>
      </c>
    </row>
    <row r="536" spans="1:8" ht="16.5" thickBot="1">
      <c r="A536" s="1076" t="s">
        <v>1504</v>
      </c>
      <c r="B536" s="2016" t="s">
        <v>1957</v>
      </c>
      <c r="C536" s="2212">
        <v>61302858</v>
      </c>
      <c r="D536" s="2212">
        <v>61302858</v>
      </c>
      <c r="E536" s="2020">
        <v>61371993</v>
      </c>
      <c r="F536" s="2020">
        <v>61371993</v>
      </c>
      <c r="H536" s="2215">
        <f t="shared" si="8"/>
        <v>-69135</v>
      </c>
    </row>
    <row r="537" spans="1:8" ht="16.5" thickBot="1">
      <c r="A537" s="1076" t="s">
        <v>223</v>
      </c>
      <c r="B537" s="2015" t="s">
        <v>1201</v>
      </c>
      <c r="C537" s="2212">
        <v>1450494668</v>
      </c>
      <c r="D537" s="2212">
        <v>1450494668</v>
      </c>
      <c r="E537" s="2019">
        <v>1455062854</v>
      </c>
      <c r="F537" s="2019">
        <v>1455062854</v>
      </c>
      <c r="H537" s="2215">
        <f t="shared" si="8"/>
        <v>-4568186</v>
      </c>
    </row>
    <row r="538" spans="1:8" ht="16.5" thickBot="1">
      <c r="A538" s="1076" t="s">
        <v>2153</v>
      </c>
      <c r="B538" s="2016" t="s">
        <v>1634</v>
      </c>
      <c r="C538" s="2212">
        <v>3562070843</v>
      </c>
      <c r="D538" s="2212">
        <v>3562070843</v>
      </c>
      <c r="E538" s="2020">
        <v>3563501283</v>
      </c>
      <c r="F538" s="2020">
        <v>3563501283</v>
      </c>
      <c r="H538" s="2215">
        <f t="shared" si="8"/>
        <v>-1430440</v>
      </c>
    </row>
    <row r="539" spans="1:8" ht="16.5" thickBot="1">
      <c r="A539" s="1076" t="s">
        <v>627</v>
      </c>
      <c r="B539" s="2015" t="s">
        <v>1328</v>
      </c>
      <c r="C539" s="2212">
        <v>2607150901</v>
      </c>
      <c r="D539" s="2212">
        <v>2607150901</v>
      </c>
      <c r="E539" s="2019">
        <v>2609082385</v>
      </c>
      <c r="F539" s="2019">
        <v>2609082385</v>
      </c>
      <c r="H539" s="2215">
        <f t="shared" si="8"/>
        <v>-1931484</v>
      </c>
    </row>
    <row r="540" spans="1:8" ht="16.5" thickBot="1">
      <c r="A540" s="1076" t="s">
        <v>2037</v>
      </c>
      <c r="B540" s="2016" t="s">
        <v>977</v>
      </c>
      <c r="C540" s="2212">
        <v>288430122</v>
      </c>
      <c r="D540" s="2212">
        <v>288430122</v>
      </c>
      <c r="E540" s="2020">
        <v>288453640</v>
      </c>
      <c r="F540" s="2020">
        <v>288453640</v>
      </c>
      <c r="H540" s="2215">
        <f t="shared" si="8"/>
        <v>-23518</v>
      </c>
    </row>
    <row r="541" spans="1:8" ht="16.5" thickBot="1">
      <c r="A541" s="1076" t="s">
        <v>52</v>
      </c>
      <c r="B541" s="2015" t="s">
        <v>447</v>
      </c>
      <c r="C541" s="2212">
        <v>1360024532</v>
      </c>
      <c r="D541" s="2212">
        <v>1360024532</v>
      </c>
      <c r="E541" s="2019">
        <v>1362008234</v>
      </c>
      <c r="F541" s="2019">
        <v>1362008234</v>
      </c>
      <c r="H541" s="2215">
        <f t="shared" si="8"/>
        <v>-1983702</v>
      </c>
    </row>
    <row r="542" spans="1:8" ht="16.5" thickBot="1">
      <c r="A542" s="1076" t="s">
        <v>1505</v>
      </c>
      <c r="B542" s="2016" t="s">
        <v>2314</v>
      </c>
      <c r="C542" s="2212">
        <v>156137176</v>
      </c>
      <c r="D542" s="2212">
        <v>156137176</v>
      </c>
      <c r="E542" s="2020">
        <v>156347181</v>
      </c>
      <c r="F542" s="2020">
        <v>156347181</v>
      </c>
      <c r="H542" s="2215">
        <f t="shared" si="8"/>
        <v>-210005</v>
      </c>
    </row>
    <row r="543" spans="1:8" ht="16.5" thickBot="1">
      <c r="A543" s="1076" t="s">
        <v>2653</v>
      </c>
      <c r="B543" s="2015" t="s">
        <v>3094</v>
      </c>
      <c r="C543" s="2212">
        <v>273606735</v>
      </c>
      <c r="D543" s="2212">
        <v>273606735</v>
      </c>
      <c r="E543" s="2019">
        <v>273660065</v>
      </c>
      <c r="F543" s="2019">
        <v>273660065</v>
      </c>
      <c r="H543" s="2215">
        <f t="shared" si="8"/>
        <v>-53330</v>
      </c>
    </row>
    <row r="544" spans="1:8" ht="16.5" thickBot="1">
      <c r="A544" s="1076" t="s">
        <v>283</v>
      </c>
      <c r="B544" s="2016" t="s">
        <v>3040</v>
      </c>
      <c r="C544" s="2212">
        <v>252190304</v>
      </c>
      <c r="D544" s="2212">
        <v>252190304</v>
      </c>
      <c r="E544" s="2020">
        <v>252846407</v>
      </c>
      <c r="F544" s="2020">
        <v>252846407</v>
      </c>
      <c r="H544" s="2215">
        <f t="shared" si="8"/>
        <v>-656103</v>
      </c>
    </row>
    <row r="545" spans="1:8" ht="16.5" thickBot="1">
      <c r="A545" s="1076" t="s">
        <v>1435</v>
      </c>
      <c r="B545" s="2015" t="s">
        <v>2651</v>
      </c>
      <c r="C545" s="2212">
        <v>1011449696</v>
      </c>
      <c r="D545" s="2212">
        <v>1011449696</v>
      </c>
      <c r="E545" s="2019">
        <v>1013435311</v>
      </c>
      <c r="F545" s="2019">
        <v>1013435311</v>
      </c>
      <c r="H545" s="2215">
        <f t="shared" si="8"/>
        <v>-1985615</v>
      </c>
    </row>
    <row r="546" spans="1:8" ht="16.5" thickBot="1">
      <c r="A546" s="1076" t="s">
        <v>2400</v>
      </c>
      <c r="B546" s="2016" t="s">
        <v>2771</v>
      </c>
      <c r="C546" s="2212">
        <v>137998172</v>
      </c>
      <c r="D546" s="2212">
        <v>137998172</v>
      </c>
      <c r="E546" s="2020">
        <v>137856242</v>
      </c>
      <c r="F546" s="2020">
        <v>137856242</v>
      </c>
      <c r="H546" s="2215">
        <f t="shared" si="8"/>
        <v>141930</v>
      </c>
    </row>
    <row r="547" spans="1:8" ht="16.5" thickBot="1">
      <c r="A547" s="1076" t="s">
        <v>1506</v>
      </c>
      <c r="B547" s="2015" t="s">
        <v>2315</v>
      </c>
      <c r="C547" s="2212">
        <v>168520601</v>
      </c>
      <c r="D547" s="2212">
        <v>168520601</v>
      </c>
      <c r="E547" s="2019">
        <v>168635341</v>
      </c>
      <c r="F547" s="2019">
        <v>168635341</v>
      </c>
      <c r="H547" s="2215">
        <f t="shared" si="8"/>
        <v>-114740</v>
      </c>
    </row>
    <row r="548" spans="1:8" ht="16.5" thickBot="1">
      <c r="A548" s="1076" t="s">
        <v>2128</v>
      </c>
      <c r="B548" s="2016" t="s">
        <v>937</v>
      </c>
      <c r="C548" s="2212">
        <v>130434700</v>
      </c>
      <c r="D548" s="2212">
        <v>130434700</v>
      </c>
      <c r="E548" s="2020">
        <v>130187360</v>
      </c>
      <c r="F548" s="2020">
        <v>130187360</v>
      </c>
      <c r="H548" s="2215">
        <f t="shared" si="8"/>
        <v>247340</v>
      </c>
    </row>
    <row r="549" spans="1:8" ht="16.5" thickBot="1">
      <c r="A549" s="1076" t="s">
        <v>2870</v>
      </c>
      <c r="B549" s="2015" t="s">
        <v>165</v>
      </c>
      <c r="C549" s="2212">
        <v>97932916</v>
      </c>
      <c r="D549" s="2212">
        <v>97932916</v>
      </c>
      <c r="E549" s="2019">
        <v>97923690</v>
      </c>
      <c r="F549" s="2019">
        <v>97923690</v>
      </c>
      <c r="H549" s="2215">
        <f t="shared" si="8"/>
        <v>9226</v>
      </c>
    </row>
    <row r="550" spans="1:8" ht="16.5" thickBot="1">
      <c r="A550" s="1076" t="s">
        <v>288</v>
      </c>
      <c r="B550" s="2016" t="s">
        <v>2213</v>
      </c>
      <c r="C550" s="2212">
        <v>89515264</v>
      </c>
      <c r="D550" s="2212">
        <v>89515264</v>
      </c>
      <c r="E550" s="2020">
        <v>89596854</v>
      </c>
      <c r="F550" s="2020">
        <v>89596854</v>
      </c>
      <c r="H550" s="2215">
        <f t="shared" si="8"/>
        <v>-81590</v>
      </c>
    </row>
    <row r="551" spans="1:8" ht="16.5" thickBot="1">
      <c r="A551" s="1076" t="s">
        <v>54</v>
      </c>
      <c r="B551" s="2015" t="s">
        <v>449</v>
      </c>
      <c r="C551" s="2212">
        <v>6480471744</v>
      </c>
      <c r="D551" s="2212">
        <v>6480471744</v>
      </c>
      <c r="E551" s="2019">
        <v>6480349811</v>
      </c>
      <c r="F551" s="2019">
        <v>6480349811</v>
      </c>
      <c r="H551" s="2215">
        <f t="shared" si="8"/>
        <v>121933</v>
      </c>
    </row>
    <row r="552" spans="1:8" ht="16.5" thickBot="1">
      <c r="A552" s="1076" t="s">
        <v>2871</v>
      </c>
      <c r="B552" s="2016" t="s">
        <v>454</v>
      </c>
      <c r="C552" s="2212">
        <v>1865227815</v>
      </c>
      <c r="D552" s="2212">
        <v>1865227815</v>
      </c>
      <c r="E552" s="2020">
        <v>1865098369</v>
      </c>
      <c r="F552" s="2020">
        <v>1865098369</v>
      </c>
      <c r="H552" s="2215">
        <f t="shared" si="8"/>
        <v>129446</v>
      </c>
    </row>
    <row r="553" spans="1:8" ht="16.5" thickBot="1">
      <c r="A553" s="1076" t="s">
        <v>1317</v>
      </c>
      <c r="B553" s="2015" t="s">
        <v>2316</v>
      </c>
      <c r="C553" s="2212">
        <v>1165216172</v>
      </c>
      <c r="D553" s="2212">
        <v>1165216172</v>
      </c>
      <c r="E553" s="2019">
        <v>1165188969</v>
      </c>
      <c r="F553" s="2019">
        <v>1165188969</v>
      </c>
      <c r="H553" s="2215">
        <f t="shared" si="8"/>
        <v>27203</v>
      </c>
    </row>
    <row r="554" spans="1:8" ht="16.5" thickBot="1">
      <c r="A554" s="1076" t="s">
        <v>1899</v>
      </c>
      <c r="B554" s="2016" t="s">
        <v>1005</v>
      </c>
      <c r="C554" s="2212">
        <v>1041932357</v>
      </c>
      <c r="D554" s="2212">
        <v>1041932357</v>
      </c>
      <c r="E554" s="2020">
        <v>1041998889</v>
      </c>
      <c r="F554" s="2020">
        <v>1041998889</v>
      </c>
      <c r="H554" s="2215">
        <f t="shared" si="8"/>
        <v>-66532</v>
      </c>
    </row>
    <row r="555" spans="1:8" ht="16.5" thickBot="1">
      <c r="A555" s="1076" t="s">
        <v>2757</v>
      </c>
      <c r="B555" s="2015" t="s">
        <v>456</v>
      </c>
      <c r="C555" s="2212">
        <v>573544734</v>
      </c>
      <c r="D555" s="2212">
        <v>573544734</v>
      </c>
      <c r="E555" s="2019">
        <v>573593927</v>
      </c>
      <c r="F555" s="2019">
        <v>573593927</v>
      </c>
      <c r="H555" s="2215">
        <f t="shared" si="8"/>
        <v>-49193</v>
      </c>
    </row>
    <row r="556" spans="1:8" ht="16.5" thickBot="1">
      <c r="A556" s="1076" t="s">
        <v>1515</v>
      </c>
      <c r="B556" s="2016" t="s">
        <v>132</v>
      </c>
      <c r="C556" s="2212">
        <v>2527491985</v>
      </c>
      <c r="D556" s="2212">
        <v>2527491985</v>
      </c>
      <c r="E556" s="2020">
        <v>2527343993</v>
      </c>
      <c r="F556" s="2020">
        <v>2527343993</v>
      </c>
      <c r="H556" s="2215">
        <f t="shared" si="8"/>
        <v>147992</v>
      </c>
    </row>
    <row r="557" spans="1:8" ht="16.5" thickBot="1">
      <c r="A557" s="1076" t="s">
        <v>56</v>
      </c>
      <c r="B557" s="2015" t="s">
        <v>451</v>
      </c>
      <c r="C557" s="2212">
        <v>603047952</v>
      </c>
      <c r="D557" s="2212">
        <v>603047952</v>
      </c>
      <c r="E557" s="2019">
        <v>603518603</v>
      </c>
      <c r="F557" s="2019">
        <v>603518603</v>
      </c>
      <c r="H557" s="2215">
        <f t="shared" si="8"/>
        <v>-470651</v>
      </c>
    </row>
    <row r="558" spans="1:8" ht="16.5" thickBot="1">
      <c r="A558" s="1076" t="s">
        <v>58</v>
      </c>
      <c r="B558" s="2016" t="s">
        <v>453</v>
      </c>
      <c r="C558" s="2212">
        <v>316290044</v>
      </c>
      <c r="D558" s="2212">
        <v>316290044</v>
      </c>
      <c r="E558" s="2020">
        <v>317288583</v>
      </c>
      <c r="F558" s="2020">
        <v>317288583</v>
      </c>
      <c r="H558" s="2215">
        <f t="shared" si="8"/>
        <v>-998539</v>
      </c>
    </row>
    <row r="559" spans="1:8" ht="16.5" thickBot="1">
      <c r="A559" s="1076" t="s">
        <v>2923</v>
      </c>
      <c r="B559" s="2015" t="s">
        <v>2317</v>
      </c>
      <c r="C559" s="2212">
        <v>1077205674</v>
      </c>
      <c r="D559" s="2212">
        <v>1077205674</v>
      </c>
      <c r="E559" s="2019">
        <v>1077758338</v>
      </c>
      <c r="F559" s="2019">
        <v>1077758338</v>
      </c>
      <c r="H559" s="2215">
        <f t="shared" si="8"/>
        <v>-552664</v>
      </c>
    </row>
    <row r="560" spans="1:8" ht="16.5" thickBot="1">
      <c r="A560" s="1076" t="s">
        <v>2924</v>
      </c>
      <c r="B560" s="2016" t="s">
        <v>2318</v>
      </c>
      <c r="C560" s="2212">
        <v>1341318644</v>
      </c>
      <c r="D560" s="2212">
        <v>1341318644</v>
      </c>
      <c r="E560" s="2020">
        <v>1341338371</v>
      </c>
      <c r="F560" s="2020">
        <v>1341338371</v>
      </c>
      <c r="H560" s="2215">
        <f t="shared" si="8"/>
        <v>-19727</v>
      </c>
    </row>
    <row r="561" spans="1:8" ht="16.5" thickBot="1">
      <c r="A561" s="1076" t="s">
        <v>536</v>
      </c>
      <c r="B561" s="2015" t="s">
        <v>1415</v>
      </c>
      <c r="C561" s="2212">
        <v>151884642</v>
      </c>
      <c r="D561" s="2212">
        <v>151884642</v>
      </c>
      <c r="E561" s="2019">
        <v>152125865</v>
      </c>
      <c r="F561" s="2019">
        <v>152125865</v>
      </c>
      <c r="H561" s="2215">
        <f t="shared" si="8"/>
        <v>-241223</v>
      </c>
    </row>
    <row r="562" spans="1:8" ht="16.5" thickBot="1">
      <c r="A562" s="1076" t="s">
        <v>2925</v>
      </c>
      <c r="B562" s="2016" t="s">
        <v>2319</v>
      </c>
      <c r="C562" s="2212">
        <v>5283127075</v>
      </c>
      <c r="D562" s="2212">
        <v>5283127075</v>
      </c>
      <c r="E562" s="2020">
        <v>5284210316</v>
      </c>
      <c r="F562" s="2020">
        <v>5284210316</v>
      </c>
      <c r="H562" s="2215">
        <f t="shared" si="8"/>
        <v>-1083241</v>
      </c>
    </row>
    <row r="563" spans="1:8" ht="16.5" thickBot="1">
      <c r="A563" s="1076" t="s">
        <v>1732</v>
      </c>
      <c r="B563" s="2015" t="s">
        <v>2320</v>
      </c>
      <c r="C563" s="2212">
        <v>731944056</v>
      </c>
      <c r="D563" s="2212">
        <v>731944056</v>
      </c>
      <c r="E563" s="2019">
        <v>732825743</v>
      </c>
      <c r="F563" s="2019">
        <v>732825743</v>
      </c>
      <c r="H563" s="2215">
        <f t="shared" si="8"/>
        <v>-881687</v>
      </c>
    </row>
    <row r="564" spans="1:8" ht="16.5" thickBot="1">
      <c r="A564" s="1076" t="s">
        <v>3088</v>
      </c>
      <c r="B564" s="2016" t="s">
        <v>2321</v>
      </c>
      <c r="C564" s="2212">
        <v>789585094</v>
      </c>
      <c r="D564" s="2212">
        <v>925601354</v>
      </c>
      <c r="E564" s="2020">
        <v>789683542</v>
      </c>
      <c r="F564" s="2020">
        <v>925699802</v>
      </c>
      <c r="H564" s="2215">
        <f t="shared" si="8"/>
        <v>-98448</v>
      </c>
    </row>
    <row r="565" spans="1:8" ht="16.5" thickBot="1">
      <c r="A565" s="1076" t="s">
        <v>2649</v>
      </c>
      <c r="B565" s="2015" t="s">
        <v>2322</v>
      </c>
      <c r="C565" s="2212">
        <v>805368415</v>
      </c>
      <c r="D565" s="2212">
        <v>805368415</v>
      </c>
      <c r="E565" s="2019">
        <v>805509685</v>
      </c>
      <c r="F565" s="2019">
        <v>805509685</v>
      </c>
      <c r="H565" s="2215">
        <f t="shared" si="8"/>
        <v>-141270</v>
      </c>
    </row>
    <row r="566" spans="1:8" ht="16.5" thickBot="1">
      <c r="A566" s="1076" t="s">
        <v>1734</v>
      </c>
      <c r="B566" s="2016" t="s">
        <v>734</v>
      </c>
      <c r="C566" s="2212">
        <v>244486770</v>
      </c>
      <c r="D566" s="2212">
        <v>244486770</v>
      </c>
      <c r="E566" s="2020">
        <v>244310351</v>
      </c>
      <c r="F566" s="2020">
        <v>244310351</v>
      </c>
      <c r="H566" s="2215">
        <f t="shared" si="8"/>
        <v>176419</v>
      </c>
    </row>
    <row r="567" spans="1:8" ht="16.5" thickBot="1">
      <c r="A567" s="1076" t="s">
        <v>2913</v>
      </c>
      <c r="B567" s="2015" t="s">
        <v>2323</v>
      </c>
      <c r="C567" s="2212">
        <v>346847568</v>
      </c>
      <c r="D567" s="2212">
        <v>346847568</v>
      </c>
      <c r="E567" s="2019">
        <v>346765781</v>
      </c>
      <c r="F567" s="2019">
        <v>346765781</v>
      </c>
      <c r="H567" s="2215">
        <f t="shared" si="8"/>
        <v>81787</v>
      </c>
    </row>
    <row r="568" spans="1:8" ht="16.5" thickBot="1">
      <c r="A568" s="1076" t="s">
        <v>2914</v>
      </c>
      <c r="B568" s="2016" t="s">
        <v>2324</v>
      </c>
      <c r="C568" s="2212">
        <v>2408407078</v>
      </c>
      <c r="D568" s="2212">
        <v>2408407078</v>
      </c>
      <c r="E568" s="2020">
        <v>2406347348</v>
      </c>
      <c r="F568" s="2020">
        <v>2406347348</v>
      </c>
      <c r="H568" s="2215">
        <f t="shared" si="8"/>
        <v>2059730</v>
      </c>
    </row>
    <row r="569" spans="1:8" ht="16.5" thickBot="1">
      <c r="A569" s="1076" t="s">
        <v>529</v>
      </c>
      <c r="B569" s="2015" t="s">
        <v>2325</v>
      </c>
      <c r="C569" s="2212">
        <v>459942127</v>
      </c>
      <c r="D569" s="2212">
        <v>459942127</v>
      </c>
      <c r="E569" s="2019">
        <v>459229790</v>
      </c>
      <c r="F569" s="2019">
        <v>459229790</v>
      </c>
      <c r="H569" s="2215">
        <f t="shared" si="8"/>
        <v>712337</v>
      </c>
    </row>
    <row r="570" spans="1:8" ht="16.5" thickBot="1">
      <c r="A570" s="1076" t="s">
        <v>2601</v>
      </c>
      <c r="B570" s="2016" t="s">
        <v>2326</v>
      </c>
      <c r="C570" s="2212">
        <v>54082840</v>
      </c>
      <c r="D570" s="2212">
        <v>54082840</v>
      </c>
      <c r="E570" s="2020">
        <v>54066328</v>
      </c>
      <c r="F570" s="2020">
        <v>54066328</v>
      </c>
      <c r="H570" s="2215">
        <f t="shared" si="8"/>
        <v>16512</v>
      </c>
    </row>
    <row r="571" spans="1:8" ht="16.5" thickBot="1">
      <c r="A571" s="1076" t="s">
        <v>2602</v>
      </c>
      <c r="B571" s="2015" t="s">
        <v>2327</v>
      </c>
      <c r="C571" s="2212">
        <v>387660865</v>
      </c>
      <c r="D571" s="2212">
        <v>387660865</v>
      </c>
      <c r="E571" s="2019">
        <v>387640587</v>
      </c>
      <c r="F571" s="2019">
        <v>387640587</v>
      </c>
      <c r="H571" s="2215">
        <f t="shared" si="8"/>
        <v>20278</v>
      </c>
    </row>
    <row r="572" spans="1:8" ht="16.5" thickBot="1">
      <c r="A572" s="1076" t="s">
        <v>1727</v>
      </c>
      <c r="B572" s="2016" t="s">
        <v>2328</v>
      </c>
      <c r="C572" s="2212">
        <v>284066215</v>
      </c>
      <c r="D572" s="2212">
        <v>284066215</v>
      </c>
      <c r="E572" s="2020">
        <v>284067775</v>
      </c>
      <c r="F572" s="2020">
        <v>284067775</v>
      </c>
      <c r="H572" s="2215">
        <f t="shared" si="8"/>
        <v>-1560</v>
      </c>
    </row>
    <row r="573" spans="1:8" ht="16.5" thickBot="1">
      <c r="A573" s="1076" t="s">
        <v>1728</v>
      </c>
      <c r="B573" s="2015" t="s">
        <v>2329</v>
      </c>
      <c r="C573" s="2212">
        <v>251385100</v>
      </c>
      <c r="D573" s="2212">
        <v>377285100</v>
      </c>
      <c r="E573" s="2019">
        <v>250541007</v>
      </c>
      <c r="F573" s="2019">
        <v>376441007</v>
      </c>
      <c r="H573" s="2215">
        <f t="shared" si="8"/>
        <v>844093</v>
      </c>
    </row>
    <row r="574" spans="1:8" ht="16.5" thickBot="1">
      <c r="A574" s="1076" t="s">
        <v>2872</v>
      </c>
      <c r="B574" s="2016" t="s">
        <v>2295</v>
      </c>
      <c r="C574" s="2212">
        <v>746539302</v>
      </c>
      <c r="D574" s="2212">
        <v>746539302</v>
      </c>
      <c r="E574" s="2020">
        <v>745325174</v>
      </c>
      <c r="F574" s="2020">
        <v>745325174</v>
      </c>
      <c r="H574" s="2215">
        <f t="shared" si="8"/>
        <v>1214128</v>
      </c>
    </row>
    <row r="575" spans="1:8" ht="16.5" thickBot="1">
      <c r="A575" s="1076" t="s">
        <v>429</v>
      </c>
      <c r="B575" s="2015" t="s">
        <v>2330</v>
      </c>
      <c r="C575" s="2212">
        <v>142275989</v>
      </c>
      <c r="D575" s="2212">
        <v>142275989</v>
      </c>
      <c r="E575" s="2019">
        <v>142601881</v>
      </c>
      <c r="F575" s="2019">
        <v>142601881</v>
      </c>
      <c r="H575" s="2215">
        <f t="shared" si="8"/>
        <v>-325892</v>
      </c>
    </row>
    <row r="576" spans="1:8" ht="16.5" thickBot="1">
      <c r="A576" s="1076" t="s">
        <v>430</v>
      </c>
      <c r="B576" s="2016" t="s">
        <v>2331</v>
      </c>
      <c r="C576" s="2212">
        <v>222485934</v>
      </c>
      <c r="D576" s="2212">
        <v>222485934</v>
      </c>
      <c r="E576" s="2020">
        <v>222668480</v>
      </c>
      <c r="F576" s="2020">
        <v>222668480</v>
      </c>
      <c r="H576" s="2215">
        <f t="shared" si="8"/>
        <v>-182546</v>
      </c>
    </row>
    <row r="577" spans="1:8" ht="16.5" thickBot="1">
      <c r="A577" s="1076" t="s">
        <v>431</v>
      </c>
      <c r="B577" s="2015" t="s">
        <v>2332</v>
      </c>
      <c r="C577" s="2212">
        <v>195078438</v>
      </c>
      <c r="D577" s="2212">
        <v>195078438</v>
      </c>
      <c r="E577" s="2019">
        <v>195078438</v>
      </c>
      <c r="F577" s="2019">
        <v>195078438</v>
      </c>
      <c r="H577" s="2215">
        <f t="shared" si="8"/>
        <v>0</v>
      </c>
    </row>
    <row r="578" spans="1:8" ht="16.5" thickBot="1">
      <c r="A578" s="1076" t="s">
        <v>2873</v>
      </c>
      <c r="B578" s="2016" t="s">
        <v>1904</v>
      </c>
      <c r="C578" s="2212">
        <v>112280550</v>
      </c>
      <c r="D578" s="2212">
        <v>112280550</v>
      </c>
      <c r="E578" s="2020">
        <v>112285480</v>
      </c>
      <c r="F578" s="2020">
        <v>112285480</v>
      </c>
      <c r="H578" s="2215">
        <f t="shared" ref="H578:H641" si="9">C578-E578</f>
        <v>-4930</v>
      </c>
    </row>
    <row r="579" spans="1:8" ht="16.5" thickBot="1">
      <c r="A579" s="1076" t="s">
        <v>270</v>
      </c>
      <c r="B579" s="2015" t="s">
        <v>2333</v>
      </c>
      <c r="C579" s="2212">
        <v>64974764</v>
      </c>
      <c r="D579" s="2212">
        <v>64974764</v>
      </c>
      <c r="E579" s="2019">
        <v>65109114</v>
      </c>
      <c r="F579" s="2019">
        <v>65109114</v>
      </c>
      <c r="H579" s="2215">
        <f t="shared" si="9"/>
        <v>-134350</v>
      </c>
    </row>
    <row r="580" spans="1:8" ht="16.5" thickBot="1">
      <c r="A580" s="1076" t="s">
        <v>271</v>
      </c>
      <c r="B580" s="2016" t="s">
        <v>2334</v>
      </c>
      <c r="C580" s="2212">
        <v>53046980</v>
      </c>
      <c r="D580" s="2212">
        <v>53046980</v>
      </c>
      <c r="E580" s="2020">
        <v>52990880</v>
      </c>
      <c r="F580" s="2020">
        <v>52990880</v>
      </c>
      <c r="H580" s="2215">
        <f t="shared" si="9"/>
        <v>56100</v>
      </c>
    </row>
    <row r="581" spans="1:8" ht="16.5" thickBot="1">
      <c r="A581" s="1076" t="s">
        <v>272</v>
      </c>
      <c r="B581" s="2015" t="s">
        <v>2335</v>
      </c>
      <c r="C581" s="2212">
        <v>781553519</v>
      </c>
      <c r="D581" s="2212">
        <v>781553519</v>
      </c>
      <c r="E581" s="2019">
        <v>781507713</v>
      </c>
      <c r="F581" s="2019">
        <v>781507713</v>
      </c>
      <c r="H581" s="2215">
        <f t="shared" si="9"/>
        <v>45806</v>
      </c>
    </row>
    <row r="582" spans="1:8" ht="16.5" thickBot="1">
      <c r="A582" s="1076" t="s">
        <v>2654</v>
      </c>
      <c r="B582" s="2016" t="s">
        <v>667</v>
      </c>
      <c r="C582" s="2212">
        <v>99043537</v>
      </c>
      <c r="D582" s="2212">
        <v>99043537</v>
      </c>
      <c r="E582" s="2020">
        <v>99043280</v>
      </c>
      <c r="F582" s="2020">
        <v>99043280</v>
      </c>
      <c r="H582" s="2215">
        <f t="shared" si="9"/>
        <v>257</v>
      </c>
    </row>
    <row r="583" spans="1:8" ht="16.5" thickBot="1">
      <c r="A583" s="1076" t="s">
        <v>2303</v>
      </c>
      <c r="B583" s="2015" t="s">
        <v>226</v>
      </c>
      <c r="C583" s="2212">
        <v>717929276</v>
      </c>
      <c r="D583" s="2212">
        <v>717929276</v>
      </c>
      <c r="E583" s="2019">
        <v>716142970</v>
      </c>
      <c r="F583" s="2019">
        <v>716142970</v>
      </c>
      <c r="H583" s="2215">
        <f t="shared" si="9"/>
        <v>1786306</v>
      </c>
    </row>
    <row r="584" spans="1:8" ht="16.5" thickBot="1">
      <c r="A584" s="1076" t="s">
        <v>2370</v>
      </c>
      <c r="B584" s="2016" t="s">
        <v>2786</v>
      </c>
      <c r="C584" s="2212">
        <v>1089121389</v>
      </c>
      <c r="D584" s="2212">
        <v>1089121389</v>
      </c>
      <c r="E584" s="2020">
        <v>1088717541</v>
      </c>
      <c r="F584" s="2020">
        <v>1088717541</v>
      </c>
      <c r="H584" s="2215">
        <f t="shared" si="9"/>
        <v>403848</v>
      </c>
    </row>
    <row r="585" spans="1:8" ht="16.5" thickBot="1">
      <c r="A585" s="1076" t="s">
        <v>2874</v>
      </c>
      <c r="B585" s="2015" t="s">
        <v>2411</v>
      </c>
      <c r="C585" s="2212">
        <v>212154412</v>
      </c>
      <c r="D585" s="2212">
        <v>212154412</v>
      </c>
      <c r="E585" s="2019">
        <v>211930748</v>
      </c>
      <c r="F585" s="2019">
        <v>211930748</v>
      </c>
      <c r="H585" s="2215">
        <f t="shared" si="9"/>
        <v>223664</v>
      </c>
    </row>
    <row r="586" spans="1:8" ht="16.5" thickBot="1">
      <c r="A586" s="1076" t="s">
        <v>1754</v>
      </c>
      <c r="B586" s="2016" t="s">
        <v>2787</v>
      </c>
      <c r="C586" s="2212">
        <v>43636463</v>
      </c>
      <c r="D586" s="2212">
        <v>43636463</v>
      </c>
      <c r="E586" s="2020">
        <v>43752364</v>
      </c>
      <c r="F586" s="2020">
        <v>43752364</v>
      </c>
      <c r="H586" s="2215">
        <f t="shared" si="9"/>
        <v>-115901</v>
      </c>
    </row>
    <row r="587" spans="1:8" ht="16.5" thickBot="1">
      <c r="A587" s="1076" t="s">
        <v>1755</v>
      </c>
      <c r="B587" s="2015" t="s">
        <v>1064</v>
      </c>
      <c r="C587" s="2212">
        <v>214017646</v>
      </c>
      <c r="D587" s="2212">
        <v>214017646</v>
      </c>
      <c r="E587" s="2019">
        <v>214960701</v>
      </c>
      <c r="F587" s="2019">
        <v>214960701</v>
      </c>
      <c r="H587" s="2215">
        <f t="shared" si="9"/>
        <v>-943055</v>
      </c>
    </row>
    <row r="588" spans="1:8" ht="16.5" thickBot="1">
      <c r="A588" s="1076" t="s">
        <v>1592</v>
      </c>
      <c r="B588" s="2016" t="s">
        <v>934</v>
      </c>
      <c r="C588" s="2212">
        <v>134069447</v>
      </c>
      <c r="D588" s="2212">
        <v>134069447</v>
      </c>
      <c r="E588" s="2020">
        <v>134392372</v>
      </c>
      <c r="F588" s="2020">
        <v>134392372</v>
      </c>
      <c r="H588" s="2215">
        <f t="shared" si="9"/>
        <v>-322925</v>
      </c>
    </row>
    <row r="589" spans="1:8" ht="16.5" thickBot="1">
      <c r="A589" s="1076" t="s">
        <v>2584</v>
      </c>
      <c r="B589" s="2015" t="s">
        <v>1067</v>
      </c>
      <c r="C589" s="2212">
        <v>80279369</v>
      </c>
      <c r="D589" s="2212">
        <v>80279369</v>
      </c>
      <c r="E589" s="2019">
        <v>80521898</v>
      </c>
      <c r="F589" s="2019">
        <v>80521898</v>
      </c>
      <c r="H589" s="2215">
        <f t="shared" si="9"/>
        <v>-242529</v>
      </c>
    </row>
    <row r="590" spans="1:8" ht="16.5" thickBot="1">
      <c r="A590" s="1076" t="s">
        <v>2585</v>
      </c>
      <c r="B590" s="2016" t="s">
        <v>1068</v>
      </c>
      <c r="C590" s="2212">
        <v>403825745</v>
      </c>
      <c r="D590" s="2212">
        <v>403825745</v>
      </c>
      <c r="E590" s="2020">
        <v>404082049</v>
      </c>
      <c r="F590" s="2020">
        <v>404082049</v>
      </c>
      <c r="H590" s="2215">
        <f t="shared" si="9"/>
        <v>-256304</v>
      </c>
    </row>
    <row r="591" spans="1:8" ht="16.5" thickBot="1">
      <c r="A591" s="1076" t="s">
        <v>2586</v>
      </c>
      <c r="B591" s="2015" t="s">
        <v>1069</v>
      </c>
      <c r="C591" s="2212">
        <v>1052331050</v>
      </c>
      <c r="D591" s="2212">
        <v>1052331050</v>
      </c>
      <c r="E591" s="2019">
        <v>1050739737</v>
      </c>
      <c r="F591" s="2019">
        <v>1050739737</v>
      </c>
      <c r="H591" s="2215">
        <f t="shared" si="9"/>
        <v>1591313</v>
      </c>
    </row>
    <row r="592" spans="1:8" ht="16.5" thickBot="1">
      <c r="A592" s="1076" t="s">
        <v>2587</v>
      </c>
      <c r="B592" s="2016" t="s">
        <v>1070</v>
      </c>
      <c r="C592" s="2212">
        <v>126090614</v>
      </c>
      <c r="D592" s="2212">
        <v>126090614</v>
      </c>
      <c r="E592" s="2020">
        <v>126122674</v>
      </c>
      <c r="F592" s="2020">
        <v>126122674</v>
      </c>
      <c r="H592" s="2215">
        <f t="shared" si="9"/>
        <v>-32060</v>
      </c>
    </row>
    <row r="593" spans="1:8" ht="16.5" thickBot="1">
      <c r="A593" s="1076" t="s">
        <v>2755</v>
      </c>
      <c r="B593" s="2015" t="s">
        <v>1258</v>
      </c>
      <c r="C593" s="2212">
        <v>7036251238</v>
      </c>
      <c r="D593" s="2212">
        <v>7036251238</v>
      </c>
      <c r="E593" s="2019">
        <v>7036213042</v>
      </c>
      <c r="F593" s="2019">
        <v>7036213042</v>
      </c>
      <c r="H593" s="2215">
        <f t="shared" si="9"/>
        <v>38196</v>
      </c>
    </row>
    <row r="594" spans="1:8" ht="16.5" thickBot="1">
      <c r="A594" s="1076" t="s">
        <v>2588</v>
      </c>
      <c r="B594" s="2016" t="s">
        <v>1071</v>
      </c>
      <c r="C594" s="2212">
        <v>759027339</v>
      </c>
      <c r="D594" s="2212">
        <v>759027339</v>
      </c>
      <c r="E594" s="2020">
        <v>759374224</v>
      </c>
      <c r="F594" s="2020">
        <v>759374224</v>
      </c>
      <c r="H594" s="2215">
        <f t="shared" si="9"/>
        <v>-346885</v>
      </c>
    </row>
    <row r="595" spans="1:8" ht="16.5" thickBot="1">
      <c r="A595" s="1076" t="s">
        <v>2589</v>
      </c>
      <c r="B595" s="2015" t="s">
        <v>1072</v>
      </c>
      <c r="C595" s="2212">
        <v>604019712</v>
      </c>
      <c r="D595" s="2212">
        <v>604019712</v>
      </c>
      <c r="E595" s="2019">
        <v>604006018</v>
      </c>
      <c r="F595" s="2019">
        <v>604006018</v>
      </c>
      <c r="H595" s="2215">
        <f t="shared" si="9"/>
        <v>13694</v>
      </c>
    </row>
    <row r="596" spans="1:8" ht="16.5" thickBot="1">
      <c r="A596" s="1076" t="s">
        <v>2590</v>
      </c>
      <c r="B596" s="2016" t="s">
        <v>1073</v>
      </c>
      <c r="C596" s="2212">
        <v>814644354</v>
      </c>
      <c r="D596" s="2212">
        <v>814644354</v>
      </c>
      <c r="E596" s="2020">
        <v>814722473</v>
      </c>
      <c r="F596" s="2020">
        <v>814722473</v>
      </c>
      <c r="H596" s="2215">
        <f t="shared" si="9"/>
        <v>-78119</v>
      </c>
    </row>
    <row r="597" spans="1:8" ht="16.5" thickBot="1">
      <c r="A597" s="1076" t="s">
        <v>2591</v>
      </c>
      <c r="B597" s="2015" t="s">
        <v>1074</v>
      </c>
      <c r="C597" s="2212">
        <v>59731122</v>
      </c>
      <c r="D597" s="2212">
        <v>59731122</v>
      </c>
      <c r="E597" s="2019">
        <v>59683987</v>
      </c>
      <c r="F597" s="2019">
        <v>59683987</v>
      </c>
      <c r="H597" s="2215">
        <f t="shared" si="9"/>
        <v>47135</v>
      </c>
    </row>
    <row r="598" spans="1:8" ht="16.5" thickBot="1">
      <c r="A598" s="1076" t="s">
        <v>2592</v>
      </c>
      <c r="B598" s="2016" t="s">
        <v>1075</v>
      </c>
      <c r="C598" s="2212">
        <v>65591258</v>
      </c>
      <c r="D598" s="2212">
        <v>65591258</v>
      </c>
      <c r="E598" s="2020">
        <v>65593482</v>
      </c>
      <c r="F598" s="2020">
        <v>65593482</v>
      </c>
      <c r="H598" s="2215">
        <f t="shared" si="9"/>
        <v>-2224</v>
      </c>
    </row>
    <row r="599" spans="1:8" ht="16.5" thickBot="1">
      <c r="A599" s="1076" t="s">
        <v>2981</v>
      </c>
      <c r="B599" s="2015" t="s">
        <v>1076</v>
      </c>
      <c r="C599" s="2212">
        <v>101257054</v>
      </c>
      <c r="D599" s="2212">
        <v>101257054</v>
      </c>
      <c r="E599" s="2019">
        <v>101244846</v>
      </c>
      <c r="F599" s="2019">
        <v>101244846</v>
      </c>
      <c r="H599" s="2215">
        <f t="shared" si="9"/>
        <v>12208</v>
      </c>
    </row>
    <row r="600" spans="1:8" ht="16.5" thickBot="1">
      <c r="A600" s="1076" t="s">
        <v>2982</v>
      </c>
      <c r="B600" s="2016" t="s">
        <v>1077</v>
      </c>
      <c r="C600" s="2212">
        <v>806243987</v>
      </c>
      <c r="D600" s="2212">
        <v>806243987</v>
      </c>
      <c r="E600" s="2020">
        <v>806697914</v>
      </c>
      <c r="F600" s="2020">
        <v>806697914</v>
      </c>
      <c r="H600" s="2215">
        <f t="shared" si="9"/>
        <v>-453927</v>
      </c>
    </row>
    <row r="601" spans="1:8" ht="16.5" thickBot="1">
      <c r="A601" s="1076" t="s">
        <v>2983</v>
      </c>
      <c r="B601" s="2015" t="s">
        <v>1078</v>
      </c>
      <c r="C601" s="2212">
        <v>382005704</v>
      </c>
      <c r="D601" s="2212">
        <v>382005704</v>
      </c>
      <c r="E601" s="2019">
        <v>382046130</v>
      </c>
      <c r="F601" s="2019">
        <v>382046130</v>
      </c>
      <c r="H601" s="2215">
        <f t="shared" si="9"/>
        <v>-40426</v>
      </c>
    </row>
    <row r="602" spans="1:8" ht="16.5" thickBot="1">
      <c r="A602" s="1076" t="s">
        <v>2984</v>
      </c>
      <c r="B602" s="2016" t="s">
        <v>1079</v>
      </c>
      <c r="C602" s="2212">
        <v>182551672</v>
      </c>
      <c r="D602" s="2212">
        <v>182551672</v>
      </c>
      <c r="E602" s="2020">
        <v>182608600</v>
      </c>
      <c r="F602" s="2020">
        <v>182608600</v>
      </c>
      <c r="H602" s="2215">
        <f t="shared" si="9"/>
        <v>-56928</v>
      </c>
    </row>
    <row r="603" spans="1:8" ht="16.5" thickBot="1">
      <c r="A603" s="1076" t="s">
        <v>2985</v>
      </c>
      <c r="B603" s="2015" t="s">
        <v>1080</v>
      </c>
      <c r="C603" s="2212">
        <v>451658197</v>
      </c>
      <c r="D603" s="2212">
        <v>451658197</v>
      </c>
      <c r="E603" s="2019">
        <v>452024754</v>
      </c>
      <c r="F603" s="2019">
        <v>452024754</v>
      </c>
      <c r="H603" s="2215">
        <f t="shared" si="9"/>
        <v>-366557</v>
      </c>
    </row>
    <row r="604" spans="1:8" ht="16.5" thickBot="1">
      <c r="A604" s="1076" t="s">
        <v>1561</v>
      </c>
      <c r="B604" s="2016" t="s">
        <v>2081</v>
      </c>
      <c r="C604" s="2212">
        <v>482333360</v>
      </c>
      <c r="D604" s="2212">
        <v>482333360</v>
      </c>
      <c r="E604" s="2020">
        <v>482158021</v>
      </c>
      <c r="F604" s="2020">
        <v>482158021</v>
      </c>
      <c r="H604" s="2215">
        <f t="shared" si="9"/>
        <v>175339</v>
      </c>
    </row>
    <row r="605" spans="1:8" ht="16.5" thickBot="1">
      <c r="A605" s="1076" t="s">
        <v>1562</v>
      </c>
      <c r="B605" s="2015" t="s">
        <v>2082</v>
      </c>
      <c r="C605" s="2212">
        <v>284904232</v>
      </c>
      <c r="D605" s="2212">
        <v>284904232</v>
      </c>
      <c r="E605" s="2019">
        <v>284817665</v>
      </c>
      <c r="F605" s="2019">
        <v>284817665</v>
      </c>
      <c r="H605" s="2215">
        <f t="shared" si="9"/>
        <v>86567</v>
      </c>
    </row>
    <row r="606" spans="1:8" ht="16.5" thickBot="1">
      <c r="A606" s="1076" t="s">
        <v>2783</v>
      </c>
      <c r="B606" s="2016" t="s">
        <v>2083</v>
      </c>
      <c r="C606" s="2212">
        <v>80287393</v>
      </c>
      <c r="D606" s="2212">
        <v>80287393</v>
      </c>
      <c r="E606" s="2020">
        <v>80319423</v>
      </c>
      <c r="F606" s="2020">
        <v>80319423</v>
      </c>
      <c r="H606" s="2215">
        <f t="shared" si="9"/>
        <v>-32030</v>
      </c>
    </row>
    <row r="607" spans="1:8" ht="16.5" thickBot="1">
      <c r="A607" s="1076" t="s">
        <v>2421</v>
      </c>
      <c r="B607" s="2015" t="s">
        <v>2282</v>
      </c>
      <c r="C607" s="2212">
        <v>808083837</v>
      </c>
      <c r="D607" s="2212">
        <v>808083837</v>
      </c>
      <c r="E607" s="2019">
        <v>808025664</v>
      </c>
      <c r="F607" s="2019">
        <v>808025664</v>
      </c>
      <c r="H607" s="2215">
        <f t="shared" si="9"/>
        <v>58173</v>
      </c>
    </row>
    <row r="608" spans="1:8" ht="16.5" thickBot="1">
      <c r="A608" s="1076" t="s">
        <v>3029</v>
      </c>
      <c r="B608" s="2016" t="s">
        <v>1329</v>
      </c>
      <c r="C608" s="2212">
        <v>853789188</v>
      </c>
      <c r="D608" s="2212">
        <v>853789188</v>
      </c>
      <c r="E608" s="2020">
        <v>854525150</v>
      </c>
      <c r="F608" s="2020">
        <v>854525150</v>
      </c>
      <c r="H608" s="2215">
        <f t="shared" si="9"/>
        <v>-735962</v>
      </c>
    </row>
    <row r="609" spans="1:8" ht="16.5" thickBot="1">
      <c r="A609" s="1076" t="s">
        <v>2762</v>
      </c>
      <c r="B609" s="2015" t="s">
        <v>3061</v>
      </c>
      <c r="C609" s="2212">
        <v>1526442296</v>
      </c>
      <c r="D609" s="2212">
        <v>1526442296</v>
      </c>
      <c r="E609" s="2019">
        <v>1528880186</v>
      </c>
      <c r="F609" s="2019">
        <v>1528880186</v>
      </c>
      <c r="H609" s="2215">
        <f t="shared" si="9"/>
        <v>-2437890</v>
      </c>
    </row>
    <row r="610" spans="1:8" ht="16.5" thickBot="1">
      <c r="A610" s="1076" t="s">
        <v>2422</v>
      </c>
      <c r="B610" s="2016" t="s">
        <v>2283</v>
      </c>
      <c r="C610" s="2212">
        <v>292052023</v>
      </c>
      <c r="D610" s="2212">
        <v>292052023</v>
      </c>
      <c r="E610" s="2020">
        <v>292053946</v>
      </c>
      <c r="F610" s="2020">
        <v>292053946</v>
      </c>
      <c r="H610" s="2215">
        <f t="shared" si="9"/>
        <v>-1923</v>
      </c>
    </row>
    <row r="611" spans="1:8" ht="16.5" thickBot="1">
      <c r="A611" s="1076" t="s">
        <v>2875</v>
      </c>
      <c r="B611" s="2015" t="s">
        <v>1951</v>
      </c>
      <c r="C611" s="2212">
        <v>330305461</v>
      </c>
      <c r="D611" s="2212">
        <v>330305461</v>
      </c>
      <c r="E611" s="2019">
        <v>330686902</v>
      </c>
      <c r="F611" s="2019">
        <v>330686902</v>
      </c>
      <c r="H611" s="2215">
        <f t="shared" si="9"/>
        <v>-381441</v>
      </c>
    </row>
    <row r="612" spans="1:8" ht="16.5" thickBot="1">
      <c r="A612" s="1076" t="s">
        <v>1277</v>
      </c>
      <c r="B612" s="2016" t="s">
        <v>2735</v>
      </c>
      <c r="C612" s="2212">
        <v>256473888</v>
      </c>
      <c r="D612" s="2212">
        <v>256473888</v>
      </c>
      <c r="E612" s="2020">
        <v>256567245</v>
      </c>
      <c r="F612" s="2020">
        <v>256567245</v>
      </c>
      <c r="H612" s="2215">
        <f t="shared" si="9"/>
        <v>-93357</v>
      </c>
    </row>
    <row r="613" spans="1:8" ht="16.5" thickBot="1">
      <c r="A613" s="1076" t="s">
        <v>2423</v>
      </c>
      <c r="B613" s="2015" t="s">
        <v>590</v>
      </c>
      <c r="C613" s="2212">
        <v>841541103</v>
      </c>
      <c r="D613" s="2212">
        <v>965787243</v>
      </c>
      <c r="E613" s="2019">
        <v>841912859</v>
      </c>
      <c r="F613" s="2019">
        <v>966158999</v>
      </c>
      <c r="H613" s="2215">
        <f t="shared" si="9"/>
        <v>-371756</v>
      </c>
    </row>
    <row r="614" spans="1:8" ht="16.5" thickBot="1">
      <c r="A614" s="1076" t="s">
        <v>2424</v>
      </c>
      <c r="B614" s="2016" t="s">
        <v>591</v>
      </c>
      <c r="C614" s="2212">
        <v>445834979</v>
      </c>
      <c r="D614" s="2212">
        <v>445834979</v>
      </c>
      <c r="E614" s="2020">
        <v>446559406</v>
      </c>
      <c r="F614" s="2020">
        <v>446559406</v>
      </c>
      <c r="H614" s="2215">
        <f t="shared" si="9"/>
        <v>-724427</v>
      </c>
    </row>
    <row r="615" spans="1:8" ht="16.5" thickBot="1">
      <c r="A615" s="1076" t="s">
        <v>1093</v>
      </c>
      <c r="B615" s="2015" t="s">
        <v>1747</v>
      </c>
      <c r="C615" s="2212">
        <v>38889431</v>
      </c>
      <c r="D615" s="2212">
        <v>38889431</v>
      </c>
      <c r="E615" s="2019">
        <v>39010201</v>
      </c>
      <c r="F615" s="2019">
        <v>39010201</v>
      </c>
      <c r="H615" s="2215">
        <f t="shared" si="9"/>
        <v>-120770</v>
      </c>
    </row>
    <row r="616" spans="1:8" ht="16.5" thickBot="1">
      <c r="A616" s="1076" t="s">
        <v>1513</v>
      </c>
      <c r="B616" s="2016" t="s">
        <v>592</v>
      </c>
      <c r="C616" s="2212">
        <v>1769888838</v>
      </c>
      <c r="D616" s="2212">
        <v>1769888838</v>
      </c>
      <c r="E616" s="2020">
        <v>1769932934</v>
      </c>
      <c r="F616" s="2020">
        <v>1769932934</v>
      </c>
      <c r="H616" s="2215">
        <f t="shared" si="9"/>
        <v>-44096</v>
      </c>
    </row>
    <row r="617" spans="1:8" ht="16.5" thickBot="1">
      <c r="A617" s="1076" t="s">
        <v>1902</v>
      </c>
      <c r="B617" s="2015" t="s">
        <v>593</v>
      </c>
      <c r="C617" s="2212">
        <v>430392092</v>
      </c>
      <c r="D617" s="2212">
        <v>430392092</v>
      </c>
      <c r="E617" s="2019">
        <v>430580164</v>
      </c>
      <c r="F617" s="2019">
        <v>430580164</v>
      </c>
      <c r="H617" s="2215">
        <f t="shared" si="9"/>
        <v>-188072</v>
      </c>
    </row>
    <row r="618" spans="1:8" ht="16.5" thickBot="1">
      <c r="A618" s="1076" t="s">
        <v>1903</v>
      </c>
      <c r="B618" s="2016" t="s">
        <v>594</v>
      </c>
      <c r="C618" s="2212">
        <v>374887907</v>
      </c>
      <c r="D618" s="2212">
        <v>374887907</v>
      </c>
      <c r="E618" s="2020">
        <v>375074319</v>
      </c>
      <c r="F618" s="2020">
        <v>375074319</v>
      </c>
      <c r="H618" s="2215">
        <f t="shared" si="9"/>
        <v>-186412</v>
      </c>
    </row>
    <row r="619" spans="1:8" ht="16.5" thickBot="1">
      <c r="A619" s="1076" t="s">
        <v>2926</v>
      </c>
      <c r="B619" s="2015" t="s">
        <v>595</v>
      </c>
      <c r="C619" s="2212">
        <v>264500328</v>
      </c>
      <c r="D619" s="2212">
        <v>264500328</v>
      </c>
      <c r="E619" s="2019">
        <v>264632518</v>
      </c>
      <c r="F619" s="2019">
        <v>264632518</v>
      </c>
      <c r="H619" s="2215">
        <f t="shared" si="9"/>
        <v>-132190</v>
      </c>
    </row>
    <row r="620" spans="1:8" ht="16.5" thickBot="1">
      <c r="A620" s="1076" t="s">
        <v>2927</v>
      </c>
      <c r="B620" s="2016" t="s">
        <v>596</v>
      </c>
      <c r="C620" s="2212">
        <v>481380020</v>
      </c>
      <c r="D620" s="2212">
        <v>481380020</v>
      </c>
      <c r="E620" s="2020">
        <v>481537390</v>
      </c>
      <c r="F620" s="2020">
        <v>481537390</v>
      </c>
      <c r="H620" s="2215">
        <f t="shared" si="9"/>
        <v>-157370</v>
      </c>
    </row>
    <row r="621" spans="1:8" ht="16.5" thickBot="1">
      <c r="A621" s="1076" t="s">
        <v>3056</v>
      </c>
      <c r="B621" s="2015" t="s">
        <v>597</v>
      </c>
      <c r="C621" s="2212">
        <v>150719843</v>
      </c>
      <c r="D621" s="2212">
        <v>150719843</v>
      </c>
      <c r="E621" s="2019">
        <v>150724793</v>
      </c>
      <c r="F621" s="2019">
        <v>150724793</v>
      </c>
      <c r="H621" s="2215">
        <f t="shared" si="9"/>
        <v>-4950</v>
      </c>
    </row>
    <row r="622" spans="1:8" ht="16.5" thickBot="1">
      <c r="A622" s="1076" t="s">
        <v>947</v>
      </c>
      <c r="B622" s="2016" t="s">
        <v>598</v>
      </c>
      <c r="C622" s="2212">
        <v>714473320</v>
      </c>
      <c r="D622" s="2212">
        <v>714473320</v>
      </c>
      <c r="E622" s="2020">
        <v>715368186</v>
      </c>
      <c r="F622" s="2020">
        <v>715368186</v>
      </c>
      <c r="H622" s="2215">
        <f t="shared" si="9"/>
        <v>-894866</v>
      </c>
    </row>
    <row r="623" spans="1:8" ht="16.5" thickBot="1">
      <c r="A623" s="1076" t="s">
        <v>95</v>
      </c>
      <c r="B623" s="2015" t="s">
        <v>599</v>
      </c>
      <c r="C623" s="2212">
        <v>2726521964</v>
      </c>
      <c r="D623" s="2212">
        <v>2726521964</v>
      </c>
      <c r="E623" s="2019">
        <v>2726468921</v>
      </c>
      <c r="F623" s="2019">
        <v>2726468921</v>
      </c>
      <c r="H623" s="2215">
        <f t="shared" si="9"/>
        <v>53043</v>
      </c>
    </row>
    <row r="624" spans="1:8" ht="16.5" thickBot="1">
      <c r="A624" s="1076" t="s">
        <v>96</v>
      </c>
      <c r="B624" s="2016" t="s">
        <v>600</v>
      </c>
      <c r="C624" s="2212">
        <v>3128973580</v>
      </c>
      <c r="D624" s="2212">
        <v>3128973580</v>
      </c>
      <c r="E624" s="2020">
        <v>3130231568</v>
      </c>
      <c r="F624" s="2020">
        <v>3130231568</v>
      </c>
      <c r="H624" s="2215">
        <f t="shared" si="9"/>
        <v>-1257988</v>
      </c>
    </row>
    <row r="625" spans="1:8" ht="16.5" thickBot="1">
      <c r="A625" s="1076" t="s">
        <v>2607</v>
      </c>
      <c r="B625" s="2015" t="s">
        <v>640</v>
      </c>
      <c r="C625" s="2212">
        <v>9557391973</v>
      </c>
      <c r="D625" s="2212">
        <v>9557391973</v>
      </c>
      <c r="E625" s="2019">
        <v>9548778959</v>
      </c>
      <c r="F625" s="2019">
        <v>9548778959</v>
      </c>
      <c r="H625" s="2215">
        <f t="shared" si="9"/>
        <v>8613014</v>
      </c>
    </row>
    <row r="626" spans="1:8" ht="16.5" thickBot="1">
      <c r="A626" s="1076" t="s">
        <v>2764</v>
      </c>
      <c r="B626" s="2016" t="s">
        <v>601</v>
      </c>
      <c r="C626" s="2212">
        <v>221582273</v>
      </c>
      <c r="D626" s="2212">
        <v>221582273</v>
      </c>
      <c r="E626" s="2020">
        <v>221972198</v>
      </c>
      <c r="F626" s="2020">
        <v>221972198</v>
      </c>
      <c r="H626" s="2215">
        <f t="shared" si="9"/>
        <v>-389925</v>
      </c>
    </row>
    <row r="627" spans="1:8" ht="16.5" thickBot="1">
      <c r="A627" s="1076" t="s">
        <v>2765</v>
      </c>
      <c r="B627" s="2015" t="s">
        <v>602</v>
      </c>
      <c r="C627" s="2212">
        <v>365839973</v>
      </c>
      <c r="D627" s="2212">
        <v>365839973</v>
      </c>
      <c r="E627" s="2019">
        <v>365742235</v>
      </c>
      <c r="F627" s="2019">
        <v>365742235</v>
      </c>
      <c r="H627" s="2215">
        <f t="shared" si="9"/>
        <v>97738</v>
      </c>
    </row>
    <row r="628" spans="1:8" ht="16.5" thickBot="1">
      <c r="A628" s="1076" t="s">
        <v>2414</v>
      </c>
      <c r="B628" s="2016" t="s">
        <v>641</v>
      </c>
      <c r="C628" s="2212">
        <v>2040504770</v>
      </c>
      <c r="D628" s="2212">
        <v>2040504770</v>
      </c>
      <c r="E628" s="2020">
        <v>2041126997</v>
      </c>
      <c r="F628" s="2020">
        <v>2041126997</v>
      </c>
      <c r="H628" s="2215">
        <f t="shared" si="9"/>
        <v>-622227</v>
      </c>
    </row>
    <row r="629" spans="1:8" ht="16.5" thickBot="1">
      <c r="A629" s="1076" t="s">
        <v>1603</v>
      </c>
      <c r="B629" s="2015" t="s">
        <v>2627</v>
      </c>
      <c r="C629" s="2212">
        <v>2961692234</v>
      </c>
      <c r="D629" s="2212">
        <v>2961692234</v>
      </c>
      <c r="E629" s="2019">
        <v>2961873340</v>
      </c>
      <c r="F629" s="2019">
        <v>2961873340</v>
      </c>
      <c r="H629" s="2215">
        <f t="shared" si="9"/>
        <v>-181106</v>
      </c>
    </row>
    <row r="630" spans="1:8" ht="16.5" thickBot="1">
      <c r="A630" s="1076" t="s">
        <v>2766</v>
      </c>
      <c r="B630" s="2016" t="s">
        <v>603</v>
      </c>
      <c r="C630" s="2212">
        <v>286544716</v>
      </c>
      <c r="D630" s="2212">
        <v>286544716</v>
      </c>
      <c r="E630" s="2020">
        <v>287281297</v>
      </c>
      <c r="F630" s="2020">
        <v>287281297</v>
      </c>
      <c r="H630" s="2215">
        <f t="shared" si="9"/>
        <v>-736581</v>
      </c>
    </row>
    <row r="631" spans="1:8" ht="16.5" thickBot="1">
      <c r="A631" s="1076" t="s">
        <v>538</v>
      </c>
      <c r="B631" s="2015" t="s">
        <v>1417</v>
      </c>
      <c r="C631" s="2212">
        <v>298718817</v>
      </c>
      <c r="D631" s="2212">
        <v>298718817</v>
      </c>
      <c r="E631" s="2019">
        <v>299094392</v>
      </c>
      <c r="F631" s="2019">
        <v>299094392</v>
      </c>
      <c r="H631" s="2215">
        <f t="shared" si="9"/>
        <v>-375575</v>
      </c>
    </row>
    <row r="632" spans="1:8" ht="16.5" thickBot="1">
      <c r="A632" s="1076" t="s">
        <v>775</v>
      </c>
      <c r="B632" s="2016" t="s">
        <v>604</v>
      </c>
      <c r="C632" s="2212">
        <v>239822205</v>
      </c>
      <c r="D632" s="2212">
        <v>239822205</v>
      </c>
      <c r="E632" s="2020">
        <v>239863279</v>
      </c>
      <c r="F632" s="2020">
        <v>239863279</v>
      </c>
      <c r="H632" s="2215">
        <f t="shared" si="9"/>
        <v>-41074</v>
      </c>
    </row>
    <row r="633" spans="1:8" ht="16.5" thickBot="1">
      <c r="A633" s="1076" t="s">
        <v>2679</v>
      </c>
      <c r="B633" s="2015" t="s">
        <v>605</v>
      </c>
      <c r="C633" s="2212">
        <v>147814093</v>
      </c>
      <c r="D633" s="2212">
        <v>230839753</v>
      </c>
      <c r="E633" s="2019">
        <v>147788043</v>
      </c>
      <c r="F633" s="2019">
        <v>230813703</v>
      </c>
      <c r="H633" s="2215">
        <f t="shared" si="9"/>
        <v>26050</v>
      </c>
    </row>
    <row r="634" spans="1:8" ht="16.5" thickBot="1">
      <c r="A634" s="1076" t="s">
        <v>2680</v>
      </c>
      <c r="B634" s="2016" t="s">
        <v>606</v>
      </c>
      <c r="C634" s="2212">
        <v>119186485</v>
      </c>
      <c r="D634" s="2212">
        <v>119186485</v>
      </c>
      <c r="E634" s="2020">
        <v>119267955</v>
      </c>
      <c r="F634" s="2020">
        <v>119267955</v>
      </c>
      <c r="H634" s="2215">
        <f t="shared" si="9"/>
        <v>-81470</v>
      </c>
    </row>
    <row r="635" spans="1:8" ht="16.5" thickBot="1">
      <c r="A635" s="1076" t="s">
        <v>2681</v>
      </c>
      <c r="B635" s="2015" t="s">
        <v>607</v>
      </c>
      <c r="C635" s="2212">
        <v>59830811</v>
      </c>
      <c r="D635" s="2212">
        <v>59830811</v>
      </c>
      <c r="E635" s="2019">
        <v>59805051</v>
      </c>
      <c r="F635" s="2019">
        <v>59805051</v>
      </c>
      <c r="H635" s="2215">
        <f t="shared" si="9"/>
        <v>25760</v>
      </c>
    </row>
    <row r="636" spans="1:8" ht="16.5" thickBot="1">
      <c r="A636" s="1076" t="s">
        <v>1651</v>
      </c>
      <c r="B636" s="2016" t="s">
        <v>608</v>
      </c>
      <c r="C636" s="2212">
        <v>52512460</v>
      </c>
      <c r="D636" s="2212">
        <v>52512460</v>
      </c>
      <c r="E636" s="2020">
        <v>52584680</v>
      </c>
      <c r="F636" s="2020">
        <v>52584680</v>
      </c>
      <c r="H636" s="2215">
        <f t="shared" si="9"/>
        <v>-72220</v>
      </c>
    </row>
    <row r="637" spans="1:8" ht="16.5" thickBot="1">
      <c r="A637" s="1076" t="s">
        <v>2389</v>
      </c>
      <c r="B637" s="2015" t="s">
        <v>44</v>
      </c>
      <c r="C637" s="2212">
        <v>831945974</v>
      </c>
      <c r="D637" s="2212">
        <v>831945974</v>
      </c>
      <c r="E637" s="2019">
        <v>832558766</v>
      </c>
      <c r="F637" s="2019">
        <v>832558766</v>
      </c>
      <c r="H637" s="2215">
        <f t="shared" si="9"/>
        <v>-612792</v>
      </c>
    </row>
    <row r="638" spans="1:8" ht="16.5" thickBot="1">
      <c r="A638" s="1076" t="s">
        <v>1652</v>
      </c>
      <c r="B638" s="2016" t="s">
        <v>609</v>
      </c>
      <c r="C638" s="2212">
        <v>403210552</v>
      </c>
      <c r="D638" s="2212">
        <v>403210552</v>
      </c>
      <c r="E638" s="2020">
        <v>403201604</v>
      </c>
      <c r="F638" s="2020">
        <v>403201604</v>
      </c>
      <c r="H638" s="2215">
        <f t="shared" si="9"/>
        <v>8948</v>
      </c>
    </row>
    <row r="639" spans="1:8" ht="16.5" thickBot="1">
      <c r="A639" s="1076" t="s">
        <v>418</v>
      </c>
      <c r="B639" s="2015" t="s">
        <v>610</v>
      </c>
      <c r="C639" s="2212">
        <v>636055976</v>
      </c>
      <c r="D639" s="2212">
        <v>636055976</v>
      </c>
      <c r="E639" s="2019">
        <v>635271906</v>
      </c>
      <c r="F639" s="2019">
        <v>635271906</v>
      </c>
      <c r="H639" s="2215">
        <f t="shared" si="9"/>
        <v>784070</v>
      </c>
    </row>
    <row r="640" spans="1:8" ht="16.5" thickBot="1">
      <c r="A640" s="1076" t="s">
        <v>419</v>
      </c>
      <c r="B640" s="2016" t="s">
        <v>611</v>
      </c>
      <c r="C640" s="2212">
        <v>2441011370</v>
      </c>
      <c r="D640" s="2212">
        <v>2502321880</v>
      </c>
      <c r="E640" s="2020">
        <v>2440811690</v>
      </c>
      <c r="F640" s="2020">
        <v>2502122200</v>
      </c>
      <c r="H640" s="2215">
        <f t="shared" si="9"/>
        <v>199680</v>
      </c>
    </row>
    <row r="641" spans="1:8" ht="16.5" thickBot="1">
      <c r="A641" s="1076" t="s">
        <v>420</v>
      </c>
      <c r="B641" s="2015" t="s">
        <v>612</v>
      </c>
      <c r="C641" s="2212">
        <v>2171858037</v>
      </c>
      <c r="D641" s="2212">
        <v>2181189387</v>
      </c>
      <c r="E641" s="2019">
        <v>2171824107</v>
      </c>
      <c r="F641" s="2019">
        <v>2181155457</v>
      </c>
      <c r="H641" s="2215">
        <f t="shared" si="9"/>
        <v>33930</v>
      </c>
    </row>
    <row r="642" spans="1:8" ht="16.5" thickBot="1">
      <c r="A642" s="1076" t="s">
        <v>1856</v>
      </c>
      <c r="B642" s="2016" t="s">
        <v>613</v>
      </c>
      <c r="C642" s="2212">
        <v>330392055</v>
      </c>
      <c r="D642" s="2212">
        <v>330392055</v>
      </c>
      <c r="E642" s="2020">
        <v>330413405</v>
      </c>
      <c r="F642" s="2020">
        <v>330413405</v>
      </c>
      <c r="H642" s="2215">
        <f t="shared" ref="H642:H705" si="10">C642-E642</f>
        <v>-21350</v>
      </c>
    </row>
    <row r="643" spans="1:8" ht="16.5" thickBot="1">
      <c r="A643" s="1076" t="s">
        <v>1857</v>
      </c>
      <c r="B643" s="2015" t="s">
        <v>614</v>
      </c>
      <c r="C643" s="2212">
        <v>1109518737</v>
      </c>
      <c r="D643" s="2212">
        <v>1109518737</v>
      </c>
      <c r="E643" s="2019">
        <v>1110429884</v>
      </c>
      <c r="F643" s="2019">
        <v>1110429884</v>
      </c>
      <c r="H643" s="2215">
        <f t="shared" si="10"/>
        <v>-911147</v>
      </c>
    </row>
    <row r="644" spans="1:8" ht="16.5" thickBot="1">
      <c r="A644" s="1076" t="s">
        <v>201</v>
      </c>
      <c r="B644" s="2016" t="s">
        <v>1964</v>
      </c>
      <c r="C644" s="2212">
        <v>1122997874</v>
      </c>
      <c r="D644" s="2212">
        <v>1122997874</v>
      </c>
      <c r="E644" s="2020">
        <v>1123390715</v>
      </c>
      <c r="F644" s="2020">
        <v>1123390715</v>
      </c>
      <c r="H644" s="2215">
        <f t="shared" si="10"/>
        <v>-392841</v>
      </c>
    </row>
    <row r="645" spans="1:8" ht="16.5" thickBot="1">
      <c r="A645" s="1076" t="s">
        <v>2438</v>
      </c>
      <c r="B645" s="2015" t="s">
        <v>1965</v>
      </c>
      <c r="C645" s="2212">
        <v>260973386</v>
      </c>
      <c r="D645" s="2212">
        <v>260973386</v>
      </c>
      <c r="E645" s="2019">
        <v>261047261</v>
      </c>
      <c r="F645" s="2019">
        <v>261047261</v>
      </c>
      <c r="H645" s="2215">
        <f t="shared" si="10"/>
        <v>-73875</v>
      </c>
    </row>
    <row r="646" spans="1:8" ht="16.5" thickBot="1">
      <c r="A646" s="1076" t="s">
        <v>2439</v>
      </c>
      <c r="B646" s="2016" t="s">
        <v>1966</v>
      </c>
      <c r="C646" s="2212">
        <v>1222554759</v>
      </c>
      <c r="D646" s="2212">
        <v>1222554759</v>
      </c>
      <c r="E646" s="2020">
        <v>1222922096</v>
      </c>
      <c r="F646" s="2020">
        <v>1222922096</v>
      </c>
      <c r="H646" s="2215">
        <f t="shared" si="10"/>
        <v>-367337</v>
      </c>
    </row>
    <row r="647" spans="1:8" ht="16.5" thickBot="1">
      <c r="A647" s="1076" t="s">
        <v>2440</v>
      </c>
      <c r="B647" s="2015" t="s">
        <v>1967</v>
      </c>
      <c r="C647" s="2212">
        <v>624686062</v>
      </c>
      <c r="D647" s="2212">
        <v>624686062</v>
      </c>
      <c r="E647" s="2019">
        <v>624938724</v>
      </c>
      <c r="F647" s="2019">
        <v>624938724</v>
      </c>
      <c r="H647" s="2215">
        <f t="shared" si="10"/>
        <v>-252662</v>
      </c>
    </row>
    <row r="648" spans="1:8" ht="16.5" thickBot="1">
      <c r="A648" s="1076" t="s">
        <v>2057</v>
      </c>
      <c r="B648" s="2016" t="s">
        <v>1213</v>
      </c>
      <c r="C648" s="2212">
        <v>2156482471</v>
      </c>
      <c r="D648" s="2212">
        <v>2156482471</v>
      </c>
      <c r="E648" s="2020">
        <v>2155586834</v>
      </c>
      <c r="F648" s="2020">
        <v>2155586834</v>
      </c>
      <c r="H648" s="2215">
        <f t="shared" si="10"/>
        <v>895637</v>
      </c>
    </row>
    <row r="649" spans="1:8" ht="16.5" thickBot="1">
      <c r="A649" s="1076" t="s">
        <v>992</v>
      </c>
      <c r="B649" s="2015" t="s">
        <v>2120</v>
      </c>
      <c r="C649" s="2212">
        <v>470593395</v>
      </c>
      <c r="D649" s="2212">
        <v>470593395</v>
      </c>
      <c r="E649" s="2019">
        <v>470744245</v>
      </c>
      <c r="F649" s="2019">
        <v>470744245</v>
      </c>
      <c r="H649" s="2215">
        <f t="shared" si="10"/>
        <v>-150850</v>
      </c>
    </row>
    <row r="650" spans="1:8" ht="16.5" thickBot="1">
      <c r="A650" s="1076" t="s">
        <v>1583</v>
      </c>
      <c r="B650" s="2016" t="s">
        <v>1968</v>
      </c>
      <c r="C650" s="2212">
        <v>55141476</v>
      </c>
      <c r="D650" s="2212">
        <v>55141476</v>
      </c>
      <c r="E650" s="2020">
        <v>55229536</v>
      </c>
      <c r="F650" s="2020">
        <v>55229536</v>
      </c>
      <c r="H650" s="2215">
        <f t="shared" si="10"/>
        <v>-88060</v>
      </c>
    </row>
    <row r="651" spans="1:8" ht="16.5" thickBot="1">
      <c r="A651" s="1076" t="s">
        <v>2265</v>
      </c>
      <c r="B651" s="2015" t="s">
        <v>2547</v>
      </c>
      <c r="C651" s="2212">
        <v>23027146</v>
      </c>
      <c r="D651" s="2212">
        <v>23027146</v>
      </c>
      <c r="E651" s="2019">
        <v>22999556</v>
      </c>
      <c r="F651" s="2019">
        <v>22999556</v>
      </c>
      <c r="H651" s="2215">
        <f t="shared" si="10"/>
        <v>27590</v>
      </c>
    </row>
    <row r="652" spans="1:8" ht="16.5" thickBot="1">
      <c r="A652" s="1076" t="s">
        <v>1094</v>
      </c>
      <c r="B652" s="2016" t="s">
        <v>457</v>
      </c>
      <c r="C652" s="2212">
        <v>155772036</v>
      </c>
      <c r="D652" s="2212">
        <v>155772036</v>
      </c>
      <c r="E652" s="2020">
        <v>155579596</v>
      </c>
      <c r="F652" s="2020">
        <v>155579596</v>
      </c>
      <c r="H652" s="2215">
        <f t="shared" si="10"/>
        <v>192440</v>
      </c>
    </row>
    <row r="653" spans="1:8" ht="16.5" thickBot="1">
      <c r="A653" s="1076" t="s">
        <v>1012</v>
      </c>
      <c r="B653" s="2015" t="s">
        <v>2195</v>
      </c>
      <c r="C653" s="2212">
        <v>4186928654</v>
      </c>
      <c r="D653" s="2212">
        <v>4186928654</v>
      </c>
      <c r="E653" s="2019">
        <v>4184355069</v>
      </c>
      <c r="F653" s="2019">
        <v>4184355069</v>
      </c>
      <c r="H653" s="2215">
        <f t="shared" si="10"/>
        <v>2573585</v>
      </c>
    </row>
    <row r="654" spans="1:8" ht="16.5" thickBot="1">
      <c r="A654" s="1076" t="s">
        <v>800</v>
      </c>
      <c r="B654" s="2016" t="s">
        <v>2172</v>
      </c>
      <c r="C654" s="2212">
        <v>678066361</v>
      </c>
      <c r="D654" s="2212">
        <v>678066361</v>
      </c>
      <c r="E654" s="2020">
        <v>677274565</v>
      </c>
      <c r="F654" s="2020">
        <v>677274565</v>
      </c>
      <c r="H654" s="2215">
        <f t="shared" si="10"/>
        <v>791796</v>
      </c>
    </row>
    <row r="655" spans="1:8" ht="16.5" thickBot="1">
      <c r="A655" s="1076" t="s">
        <v>1095</v>
      </c>
      <c r="B655" s="2015" t="s">
        <v>1426</v>
      </c>
      <c r="C655" s="2212">
        <v>431360051</v>
      </c>
      <c r="D655" s="2212">
        <v>431360051</v>
      </c>
      <c r="E655" s="2019">
        <v>431006120</v>
      </c>
      <c r="F655" s="2019">
        <v>431006120</v>
      </c>
      <c r="H655" s="2215">
        <f t="shared" si="10"/>
        <v>353931</v>
      </c>
    </row>
    <row r="656" spans="1:8" ht="16.5" thickBot="1">
      <c r="A656" s="1076" t="s">
        <v>2096</v>
      </c>
      <c r="B656" s="2016" t="s">
        <v>2358</v>
      </c>
      <c r="C656" s="2212">
        <v>112100810</v>
      </c>
      <c r="D656" s="2212">
        <v>112100810</v>
      </c>
      <c r="E656" s="2020">
        <v>111717139</v>
      </c>
      <c r="F656" s="2020">
        <v>111717139</v>
      </c>
      <c r="H656" s="2215">
        <f t="shared" si="10"/>
        <v>383671</v>
      </c>
    </row>
    <row r="657" spans="1:8" ht="16.5" thickBot="1">
      <c r="A657" s="1076" t="s">
        <v>1735</v>
      </c>
      <c r="B657" s="2015" t="s">
        <v>927</v>
      </c>
      <c r="C657" s="2212">
        <v>325053507</v>
      </c>
      <c r="D657" s="2212">
        <v>325053507</v>
      </c>
      <c r="E657" s="2019">
        <v>324628729</v>
      </c>
      <c r="F657" s="2019">
        <v>324628729</v>
      </c>
      <c r="H657" s="2215">
        <f t="shared" si="10"/>
        <v>424778</v>
      </c>
    </row>
    <row r="658" spans="1:8" ht="16.5" thickBot="1">
      <c r="A658" s="1076" t="s">
        <v>134</v>
      </c>
      <c r="B658" s="2016" t="s">
        <v>1969</v>
      </c>
      <c r="C658" s="2212">
        <v>159001863</v>
      </c>
      <c r="D658" s="2212">
        <v>159001863</v>
      </c>
      <c r="E658" s="2020">
        <v>158593482</v>
      </c>
      <c r="F658" s="2020">
        <v>158593482</v>
      </c>
      <c r="H658" s="2215">
        <f t="shared" si="10"/>
        <v>408381</v>
      </c>
    </row>
    <row r="659" spans="1:8" ht="16.5" thickBot="1">
      <c r="A659" s="1076" t="s">
        <v>2384</v>
      </c>
      <c r="B659" s="2015" t="s">
        <v>1958</v>
      </c>
      <c r="C659" s="2212">
        <v>715951040</v>
      </c>
      <c r="D659" s="2212">
        <v>715951040</v>
      </c>
      <c r="E659" s="2019">
        <v>715790937</v>
      </c>
      <c r="F659" s="2019">
        <v>715790937</v>
      </c>
      <c r="H659" s="2215">
        <f t="shared" si="10"/>
        <v>160103</v>
      </c>
    </row>
    <row r="660" spans="1:8" ht="16.5" thickBot="1">
      <c r="A660" s="1076" t="s">
        <v>373</v>
      </c>
      <c r="B660" s="2016" t="s">
        <v>157</v>
      </c>
      <c r="C660" s="2212">
        <v>4163363363</v>
      </c>
      <c r="D660" s="2212">
        <v>4163363363</v>
      </c>
      <c r="E660" s="2020">
        <v>4158420870</v>
      </c>
      <c r="F660" s="2020">
        <v>4158420870</v>
      </c>
      <c r="H660" s="2215">
        <f t="shared" si="10"/>
        <v>4942493</v>
      </c>
    </row>
    <row r="661" spans="1:8" ht="16.5" thickBot="1">
      <c r="A661" s="1076" t="s">
        <v>376</v>
      </c>
      <c r="B661" s="2015" t="s">
        <v>1610</v>
      </c>
      <c r="C661" s="2212">
        <v>368822267</v>
      </c>
      <c r="D661" s="2212">
        <v>368822267</v>
      </c>
      <c r="E661" s="2019">
        <v>368325922</v>
      </c>
      <c r="F661" s="2019">
        <v>368325922</v>
      </c>
      <c r="H661" s="2215">
        <f t="shared" si="10"/>
        <v>496345</v>
      </c>
    </row>
    <row r="662" spans="1:8" ht="16.5" thickBot="1">
      <c r="A662" s="1076" t="s">
        <v>2819</v>
      </c>
      <c r="B662" s="2016" t="s">
        <v>1970</v>
      </c>
      <c r="C662" s="2212">
        <v>116646145</v>
      </c>
      <c r="D662" s="2212">
        <v>116646145</v>
      </c>
      <c r="E662" s="2020">
        <v>116427192</v>
      </c>
      <c r="F662" s="2020">
        <v>116427192</v>
      </c>
      <c r="H662" s="2215">
        <f t="shared" si="10"/>
        <v>218953</v>
      </c>
    </row>
    <row r="663" spans="1:8" ht="16.5" thickBot="1">
      <c r="A663" s="1076" t="s">
        <v>2820</v>
      </c>
      <c r="B663" s="2015" t="s">
        <v>1971</v>
      </c>
      <c r="C663" s="2212">
        <v>162031890</v>
      </c>
      <c r="D663" s="2212">
        <v>162031890</v>
      </c>
      <c r="E663" s="2019">
        <v>161562748</v>
      </c>
      <c r="F663" s="2019">
        <v>161562748</v>
      </c>
      <c r="H663" s="2215">
        <f t="shared" si="10"/>
        <v>469142</v>
      </c>
    </row>
    <row r="664" spans="1:8" ht="16.5" thickBot="1">
      <c r="A664" s="1076" t="s">
        <v>85</v>
      </c>
      <c r="B664" s="2016" t="s">
        <v>1325</v>
      </c>
      <c r="C664" s="2212">
        <v>640138816</v>
      </c>
      <c r="D664" s="2212">
        <v>640138816</v>
      </c>
      <c r="E664" s="2020">
        <v>639520910</v>
      </c>
      <c r="F664" s="2020">
        <v>639520910</v>
      </c>
      <c r="H664" s="2215">
        <f t="shared" si="10"/>
        <v>617906</v>
      </c>
    </row>
    <row r="665" spans="1:8" ht="16.5" thickBot="1">
      <c r="A665" s="1076" t="s">
        <v>2638</v>
      </c>
      <c r="B665" s="2015" t="s">
        <v>1745</v>
      </c>
      <c r="C665" s="2212">
        <v>591227180</v>
      </c>
      <c r="D665" s="2212">
        <v>591227180</v>
      </c>
      <c r="E665" s="2019">
        <v>590370511</v>
      </c>
      <c r="F665" s="2019">
        <v>590370511</v>
      </c>
      <c r="H665" s="2215">
        <f t="shared" si="10"/>
        <v>856669</v>
      </c>
    </row>
    <row r="666" spans="1:8" ht="16.5" thickBot="1">
      <c r="A666" s="1076" t="s">
        <v>190</v>
      </c>
      <c r="B666" s="2016" t="s">
        <v>3097</v>
      </c>
      <c r="C666" s="2212">
        <v>550742304</v>
      </c>
      <c r="D666" s="2212">
        <v>550742304</v>
      </c>
      <c r="E666" s="2020">
        <v>550212304</v>
      </c>
      <c r="F666" s="2020">
        <v>550212304</v>
      </c>
      <c r="H666" s="2215">
        <f t="shared" si="10"/>
        <v>530000</v>
      </c>
    </row>
    <row r="667" spans="1:8" ht="16.5" thickBot="1">
      <c r="A667" s="1076" t="s">
        <v>991</v>
      </c>
      <c r="B667" s="2015" t="s">
        <v>1524</v>
      </c>
      <c r="C667" s="2212">
        <v>143301768</v>
      </c>
      <c r="D667" s="2212">
        <v>143301768</v>
      </c>
      <c r="E667" s="2019">
        <v>143083373</v>
      </c>
      <c r="F667" s="2019">
        <v>143083373</v>
      </c>
      <c r="H667" s="2215">
        <f t="shared" si="10"/>
        <v>218395</v>
      </c>
    </row>
    <row r="668" spans="1:8" ht="16.5" thickBot="1">
      <c r="A668" s="1076" t="s">
        <v>2098</v>
      </c>
      <c r="B668" s="2016" t="s">
        <v>1972</v>
      </c>
      <c r="C668" s="2212">
        <v>60210548</v>
      </c>
      <c r="D668" s="2212">
        <v>60210548</v>
      </c>
      <c r="E668" s="2020">
        <v>60094334</v>
      </c>
      <c r="F668" s="2020">
        <v>60094334</v>
      </c>
      <c r="H668" s="2215">
        <f t="shared" si="10"/>
        <v>116214</v>
      </c>
    </row>
    <row r="669" spans="1:8" ht="16.5" thickBot="1">
      <c r="A669" s="1076" t="s">
        <v>287</v>
      </c>
      <c r="B669" s="2015" t="s">
        <v>1973</v>
      </c>
      <c r="C669" s="2212">
        <v>38601186</v>
      </c>
      <c r="D669" s="2212">
        <v>38601186</v>
      </c>
      <c r="E669" s="2019">
        <v>38433607</v>
      </c>
      <c r="F669" s="2019">
        <v>38433607</v>
      </c>
      <c r="H669" s="2215">
        <f t="shared" si="10"/>
        <v>167579</v>
      </c>
    </row>
    <row r="670" spans="1:8" ht="16.5" thickBot="1">
      <c r="A670" s="1076" t="s">
        <v>1782</v>
      </c>
      <c r="B670" s="2016" t="s">
        <v>1974</v>
      </c>
      <c r="C670" s="2212">
        <v>3951053215</v>
      </c>
      <c r="D670" s="2212">
        <v>3951053215</v>
      </c>
      <c r="E670" s="2020">
        <v>3951244722</v>
      </c>
      <c r="F670" s="2020">
        <v>3951244722</v>
      </c>
      <c r="H670" s="2215">
        <f t="shared" si="10"/>
        <v>-191507</v>
      </c>
    </row>
    <row r="671" spans="1:8" ht="16.5" thickBot="1">
      <c r="A671" s="1076" t="s">
        <v>1296</v>
      </c>
      <c r="B671" s="2015" t="s">
        <v>3066</v>
      </c>
      <c r="C671" s="2212">
        <v>377919164</v>
      </c>
      <c r="D671" s="2212">
        <v>377919164</v>
      </c>
      <c r="E671" s="2019">
        <v>377312740</v>
      </c>
      <c r="F671" s="2019">
        <v>377312740</v>
      </c>
      <c r="H671" s="2215">
        <f t="shared" si="10"/>
        <v>606424</v>
      </c>
    </row>
    <row r="672" spans="1:8" ht="16.5" thickBot="1">
      <c r="A672" s="1076" t="s">
        <v>2266</v>
      </c>
      <c r="B672" s="2016" t="s">
        <v>2493</v>
      </c>
      <c r="C672" s="2212">
        <v>110004359</v>
      </c>
      <c r="D672" s="2212">
        <v>110004359</v>
      </c>
      <c r="E672" s="2020">
        <v>109873631</v>
      </c>
      <c r="F672" s="2020">
        <v>109873631</v>
      </c>
      <c r="H672" s="2215">
        <f t="shared" si="10"/>
        <v>130728</v>
      </c>
    </row>
    <row r="673" spans="1:8" ht="16.5" thickBot="1">
      <c r="A673" s="1076" t="s">
        <v>1036</v>
      </c>
      <c r="B673" s="2015" t="s">
        <v>2563</v>
      </c>
      <c r="C673" s="2212">
        <v>174188645</v>
      </c>
      <c r="D673" s="2212">
        <v>174188645</v>
      </c>
      <c r="E673" s="2019">
        <v>173730979</v>
      </c>
      <c r="F673" s="2019">
        <v>173730979</v>
      </c>
      <c r="H673" s="2215">
        <f t="shared" si="10"/>
        <v>457666</v>
      </c>
    </row>
    <row r="674" spans="1:8" ht="16.5" thickBot="1">
      <c r="A674" s="1076" t="s">
        <v>199</v>
      </c>
      <c r="B674" s="2016" t="s">
        <v>2729</v>
      </c>
      <c r="C674" s="2212">
        <v>571223017</v>
      </c>
      <c r="D674" s="2212">
        <v>571223017</v>
      </c>
      <c r="E674" s="2020">
        <v>570785352</v>
      </c>
      <c r="F674" s="2020">
        <v>570785352</v>
      </c>
      <c r="H674" s="2215">
        <f t="shared" si="10"/>
        <v>437665</v>
      </c>
    </row>
    <row r="675" spans="1:8" ht="16.5" thickBot="1">
      <c r="A675" s="1076" t="s">
        <v>2896</v>
      </c>
      <c r="B675" s="2015" t="s">
        <v>931</v>
      </c>
      <c r="C675" s="2212">
        <v>1246048953</v>
      </c>
      <c r="D675" s="2212">
        <v>1246048953</v>
      </c>
      <c r="E675" s="2019">
        <v>1244625811</v>
      </c>
      <c r="F675" s="2019">
        <v>1244625811</v>
      </c>
      <c r="H675" s="2215">
        <f t="shared" si="10"/>
        <v>1423142</v>
      </c>
    </row>
    <row r="676" spans="1:8" ht="16.5" thickBot="1">
      <c r="A676" s="1076" t="s">
        <v>2978</v>
      </c>
      <c r="B676" s="2016" t="s">
        <v>1975</v>
      </c>
      <c r="C676" s="2212">
        <v>178917574</v>
      </c>
      <c r="D676" s="2212">
        <v>178917574</v>
      </c>
      <c r="E676" s="2020">
        <v>178758264</v>
      </c>
      <c r="F676" s="2020">
        <v>178758264</v>
      </c>
      <c r="H676" s="2215">
        <f t="shared" si="10"/>
        <v>159310</v>
      </c>
    </row>
    <row r="677" spans="1:8" ht="16.5" thickBot="1">
      <c r="A677" s="1076" t="s">
        <v>2899</v>
      </c>
      <c r="B677" s="2015" t="s">
        <v>2555</v>
      </c>
      <c r="C677" s="2212">
        <v>19520493075</v>
      </c>
      <c r="D677" s="2212">
        <v>19520493075</v>
      </c>
      <c r="E677" s="2019">
        <v>19524069091</v>
      </c>
      <c r="F677" s="2019">
        <v>19524069091</v>
      </c>
      <c r="H677" s="2215">
        <f t="shared" si="10"/>
        <v>-3576016</v>
      </c>
    </row>
    <row r="678" spans="1:8" ht="16.5" thickBot="1">
      <c r="A678" s="1076" t="s">
        <v>1475</v>
      </c>
      <c r="B678" s="2016" t="s">
        <v>1976</v>
      </c>
      <c r="C678" s="2212">
        <v>1342740793</v>
      </c>
      <c r="D678" s="2212">
        <v>1342740793</v>
      </c>
      <c r="E678" s="2020">
        <v>1343614245</v>
      </c>
      <c r="F678" s="2020">
        <v>1343614245</v>
      </c>
      <c r="H678" s="2215">
        <f t="shared" si="10"/>
        <v>-873452</v>
      </c>
    </row>
    <row r="679" spans="1:8" ht="16.5" thickBot="1">
      <c r="A679" s="1076" t="s">
        <v>2156</v>
      </c>
      <c r="B679" s="2015" t="s">
        <v>727</v>
      </c>
      <c r="C679" s="2212">
        <v>299001116</v>
      </c>
      <c r="D679" s="2212">
        <v>299001116</v>
      </c>
      <c r="E679" s="2019">
        <v>298608191</v>
      </c>
      <c r="F679" s="2019">
        <v>298608191</v>
      </c>
      <c r="H679" s="2215">
        <f t="shared" si="10"/>
        <v>392925</v>
      </c>
    </row>
    <row r="680" spans="1:8" ht="16.5" thickBot="1">
      <c r="A680" s="1076" t="s">
        <v>1536</v>
      </c>
      <c r="B680" s="2016" t="s">
        <v>1977</v>
      </c>
      <c r="C680" s="2212">
        <v>96478805</v>
      </c>
      <c r="D680" s="2212">
        <v>96478805</v>
      </c>
      <c r="E680" s="2020">
        <v>96411047</v>
      </c>
      <c r="F680" s="2020">
        <v>96411047</v>
      </c>
      <c r="H680" s="2215">
        <f t="shared" si="10"/>
        <v>67758</v>
      </c>
    </row>
    <row r="681" spans="1:8" ht="16.5" thickBot="1">
      <c r="A681" s="1076" t="s">
        <v>2900</v>
      </c>
      <c r="B681" s="2015" t="s">
        <v>1978</v>
      </c>
      <c r="C681" s="2212">
        <v>86342171</v>
      </c>
      <c r="D681" s="2212">
        <v>86342171</v>
      </c>
      <c r="E681" s="2019">
        <v>86519306</v>
      </c>
      <c r="F681" s="2019">
        <v>86519306</v>
      </c>
      <c r="H681" s="2215">
        <f t="shared" si="10"/>
        <v>-177135</v>
      </c>
    </row>
    <row r="682" spans="1:8" ht="16.5" thickBot="1">
      <c r="A682" s="1076" t="s">
        <v>2513</v>
      </c>
      <c r="B682" s="2016" t="s">
        <v>1979</v>
      </c>
      <c r="C682" s="2212">
        <v>860030524</v>
      </c>
      <c r="D682" s="2212">
        <v>860030524</v>
      </c>
      <c r="E682" s="2020">
        <v>859840057</v>
      </c>
      <c r="F682" s="2020">
        <v>859840057</v>
      </c>
      <c r="H682" s="2215">
        <f t="shared" si="10"/>
        <v>190467</v>
      </c>
    </row>
    <row r="683" spans="1:8" ht="16.5" thickBot="1">
      <c r="A683" s="1076" t="s">
        <v>1046</v>
      </c>
      <c r="B683" s="2015" t="s">
        <v>1980</v>
      </c>
      <c r="C683" s="2212">
        <v>125927080</v>
      </c>
      <c r="D683" s="2212">
        <v>125927080</v>
      </c>
      <c r="E683" s="2019">
        <v>126018871</v>
      </c>
      <c r="F683" s="2019">
        <v>126018871</v>
      </c>
      <c r="H683" s="2215">
        <f t="shared" si="10"/>
        <v>-91791</v>
      </c>
    </row>
    <row r="684" spans="1:8" ht="16.5" thickBot="1">
      <c r="A684" s="1076" t="s">
        <v>409</v>
      </c>
      <c r="B684" s="2016" t="s">
        <v>3033</v>
      </c>
      <c r="C684" s="2212">
        <v>29458210</v>
      </c>
      <c r="D684" s="2212">
        <v>29458210</v>
      </c>
      <c r="E684" s="2020">
        <v>29512728</v>
      </c>
      <c r="F684" s="2020">
        <v>29512728</v>
      </c>
      <c r="H684" s="2215">
        <f t="shared" si="10"/>
        <v>-54518</v>
      </c>
    </row>
    <row r="685" spans="1:8" ht="16.5" thickBot="1">
      <c r="A685" s="1076" t="s">
        <v>1436</v>
      </c>
      <c r="B685" s="2015" t="s">
        <v>972</v>
      </c>
      <c r="C685" s="2212">
        <v>398189391</v>
      </c>
      <c r="D685" s="2212">
        <v>398189391</v>
      </c>
      <c r="E685" s="2019">
        <v>398411480</v>
      </c>
      <c r="F685" s="2019">
        <v>398411480</v>
      </c>
      <c r="H685" s="2215">
        <f t="shared" si="10"/>
        <v>-222089</v>
      </c>
    </row>
    <row r="686" spans="1:8" ht="16.5" thickBot="1">
      <c r="A686" s="1076" t="s">
        <v>3070</v>
      </c>
      <c r="B686" s="2016" t="s">
        <v>1981</v>
      </c>
      <c r="C686" s="2212">
        <v>74817053</v>
      </c>
      <c r="D686" s="2212">
        <v>74817053</v>
      </c>
      <c r="E686" s="2020">
        <v>74930763</v>
      </c>
      <c r="F686" s="2020">
        <v>74930763</v>
      </c>
      <c r="H686" s="2215">
        <f t="shared" si="10"/>
        <v>-113710</v>
      </c>
    </row>
    <row r="687" spans="1:8" ht="16.5" thickBot="1">
      <c r="A687" s="1076" t="s">
        <v>2267</v>
      </c>
      <c r="B687" s="2015" t="s">
        <v>86</v>
      </c>
      <c r="C687" s="2212">
        <v>20210365</v>
      </c>
      <c r="D687" s="2212">
        <v>20210365</v>
      </c>
      <c r="E687" s="2019">
        <v>20262115</v>
      </c>
      <c r="F687" s="2019">
        <v>20262115</v>
      </c>
      <c r="H687" s="2215">
        <f t="shared" si="10"/>
        <v>-51750</v>
      </c>
    </row>
    <row r="688" spans="1:8" ht="16.5" thickBot="1">
      <c r="A688" s="1076" t="s">
        <v>3072</v>
      </c>
      <c r="B688" s="2016" t="s">
        <v>1983</v>
      </c>
      <c r="C688" s="2212">
        <v>433849777</v>
      </c>
      <c r="D688" s="2212">
        <v>433849777</v>
      </c>
      <c r="E688" s="2020">
        <v>434412379</v>
      </c>
      <c r="F688" s="2020">
        <v>434412379</v>
      </c>
      <c r="H688" s="2215">
        <f t="shared" si="10"/>
        <v>-562602</v>
      </c>
    </row>
    <row r="689" spans="1:8" ht="16.5" thickBot="1">
      <c r="A689" s="1076" t="s">
        <v>3073</v>
      </c>
      <c r="B689" s="2015" t="s">
        <v>1984</v>
      </c>
      <c r="C689" s="2212">
        <v>78766787</v>
      </c>
      <c r="D689" s="2212">
        <v>271530367</v>
      </c>
      <c r="E689" s="2019">
        <v>79123070</v>
      </c>
      <c r="F689" s="2019">
        <v>271886650</v>
      </c>
      <c r="H689" s="2215">
        <f t="shared" si="10"/>
        <v>-356283</v>
      </c>
    </row>
    <row r="690" spans="1:8" ht="16.5" thickBot="1">
      <c r="A690" s="1076" t="s">
        <v>1676</v>
      </c>
      <c r="B690" s="2016" t="s">
        <v>1985</v>
      </c>
      <c r="C690" s="2212">
        <v>679353319</v>
      </c>
      <c r="D690" s="2212">
        <v>679353319</v>
      </c>
      <c r="E690" s="2020">
        <v>679736189</v>
      </c>
      <c r="F690" s="2020">
        <v>679736189</v>
      </c>
      <c r="H690" s="2215">
        <f t="shared" si="10"/>
        <v>-382870</v>
      </c>
    </row>
    <row r="691" spans="1:8" ht="16.5" thickBot="1">
      <c r="A691" s="1076" t="s">
        <v>1494</v>
      </c>
      <c r="B691" s="2015" t="s">
        <v>1542</v>
      </c>
      <c r="C691" s="2212">
        <v>1080197896</v>
      </c>
      <c r="D691" s="2212">
        <v>1080197896</v>
      </c>
      <c r="E691" s="2019">
        <v>1080308621</v>
      </c>
      <c r="F691" s="2019">
        <v>1080308621</v>
      </c>
      <c r="H691" s="2215">
        <f t="shared" si="10"/>
        <v>-110725</v>
      </c>
    </row>
    <row r="692" spans="1:8" ht="16.5" thickBot="1">
      <c r="A692" s="1076" t="s">
        <v>1612</v>
      </c>
      <c r="B692" s="2016" t="s">
        <v>1543</v>
      </c>
      <c r="C692" s="2212">
        <v>248169788</v>
      </c>
      <c r="D692" s="2212">
        <v>248169788</v>
      </c>
      <c r="E692" s="2020">
        <v>248146120</v>
      </c>
      <c r="F692" s="2020">
        <v>248146120</v>
      </c>
      <c r="H692" s="2215">
        <f t="shared" si="10"/>
        <v>23668</v>
      </c>
    </row>
    <row r="693" spans="1:8" ht="16.5" thickBot="1">
      <c r="A693" s="1076" t="s">
        <v>910</v>
      </c>
      <c r="B693" s="2015" t="s">
        <v>1544</v>
      </c>
      <c r="C693" s="2212">
        <v>97012131</v>
      </c>
      <c r="D693" s="2212">
        <v>97012131</v>
      </c>
      <c r="E693" s="2019">
        <v>97189838</v>
      </c>
      <c r="F693" s="2019">
        <v>97189838</v>
      </c>
      <c r="H693" s="2215">
        <f t="shared" si="10"/>
        <v>-177707</v>
      </c>
    </row>
    <row r="694" spans="1:8" ht="16.5" thickBot="1">
      <c r="A694" s="1076" t="s">
        <v>1685</v>
      </c>
      <c r="B694" s="2016" t="s">
        <v>2564</v>
      </c>
      <c r="C694" s="2212">
        <v>38761177</v>
      </c>
      <c r="D694" s="2212">
        <v>38761177</v>
      </c>
      <c r="E694" s="2020">
        <v>38819737</v>
      </c>
      <c r="F694" s="2020">
        <v>38819737</v>
      </c>
      <c r="H694" s="2215">
        <f t="shared" si="10"/>
        <v>-58560</v>
      </c>
    </row>
    <row r="695" spans="1:8" ht="16.5" thickBot="1">
      <c r="A695" s="1076" t="s">
        <v>1686</v>
      </c>
      <c r="B695" s="2015" t="s">
        <v>2565</v>
      </c>
      <c r="C695" s="2212">
        <v>166810633</v>
      </c>
      <c r="D695" s="2212">
        <v>166810633</v>
      </c>
      <c r="E695" s="2019">
        <v>166895575</v>
      </c>
      <c r="F695" s="2019">
        <v>166895575</v>
      </c>
      <c r="H695" s="2215">
        <f t="shared" si="10"/>
        <v>-84942</v>
      </c>
    </row>
    <row r="696" spans="1:8" ht="16.5" thickBot="1">
      <c r="A696" s="1076" t="s">
        <v>1445</v>
      </c>
      <c r="B696" s="2016" t="s">
        <v>2566</v>
      </c>
      <c r="C696" s="2212">
        <v>356191674</v>
      </c>
      <c r="D696" s="2212">
        <v>356191674</v>
      </c>
      <c r="E696" s="2020">
        <v>356224413</v>
      </c>
      <c r="F696" s="2020">
        <v>356224413</v>
      </c>
      <c r="H696" s="2215">
        <f t="shared" si="10"/>
        <v>-32739</v>
      </c>
    </row>
    <row r="697" spans="1:8" ht="16.5" thickBot="1">
      <c r="A697" s="1076" t="s">
        <v>1724</v>
      </c>
      <c r="B697" s="2015" t="s">
        <v>2567</v>
      </c>
      <c r="C697" s="2212">
        <v>266251675</v>
      </c>
      <c r="D697" s="2212">
        <v>266251675</v>
      </c>
      <c r="E697" s="2019">
        <v>266225803</v>
      </c>
      <c r="F697" s="2019">
        <v>266225803</v>
      </c>
      <c r="H697" s="2215">
        <f t="shared" si="10"/>
        <v>25872</v>
      </c>
    </row>
    <row r="698" spans="1:8" ht="16.5" thickBot="1">
      <c r="A698" s="1076" t="s">
        <v>2639</v>
      </c>
      <c r="B698" s="2016" t="s">
        <v>1746</v>
      </c>
      <c r="C698" s="2212">
        <v>26772796755</v>
      </c>
      <c r="D698" s="2212">
        <v>26772796755</v>
      </c>
      <c r="E698" s="2020">
        <v>26782849274</v>
      </c>
      <c r="F698" s="2020">
        <v>26782849274</v>
      </c>
      <c r="H698" s="2215">
        <f t="shared" si="10"/>
        <v>-10052519</v>
      </c>
    </row>
    <row r="699" spans="1:8" ht="16.5" thickBot="1">
      <c r="A699" s="1076" t="s">
        <v>1725</v>
      </c>
      <c r="B699" s="2015" t="s">
        <v>2568</v>
      </c>
      <c r="C699" s="2212">
        <v>4377116981</v>
      </c>
      <c r="D699" s="2212">
        <v>4377116981</v>
      </c>
      <c r="E699" s="2019">
        <v>4377171787</v>
      </c>
      <c r="F699" s="2019">
        <v>4377171787</v>
      </c>
      <c r="H699" s="2215">
        <f t="shared" si="10"/>
        <v>-54806</v>
      </c>
    </row>
    <row r="700" spans="1:8" ht="16.5" thickBot="1">
      <c r="A700" s="1076" t="s">
        <v>1349</v>
      </c>
      <c r="B700" s="2016" t="s">
        <v>1288</v>
      </c>
      <c r="C700" s="2212">
        <v>2541818647</v>
      </c>
      <c r="D700" s="2212">
        <v>2541818647</v>
      </c>
      <c r="E700" s="2020">
        <v>2543429537</v>
      </c>
      <c r="F700" s="2020">
        <v>2543429537</v>
      </c>
      <c r="H700" s="2215">
        <f t="shared" si="10"/>
        <v>-1610890</v>
      </c>
    </row>
    <row r="701" spans="1:8" ht="16.5" thickBot="1">
      <c r="A701" s="1076" t="s">
        <v>378</v>
      </c>
      <c r="B701" s="2015" t="s">
        <v>319</v>
      </c>
      <c r="C701" s="2212">
        <v>4457927737</v>
      </c>
      <c r="D701" s="2212">
        <v>4457927737</v>
      </c>
      <c r="E701" s="2019">
        <v>4461076566</v>
      </c>
      <c r="F701" s="2019">
        <v>4461076566</v>
      </c>
      <c r="H701" s="2215">
        <f t="shared" si="10"/>
        <v>-3148829</v>
      </c>
    </row>
    <row r="702" spans="1:8" ht="16.5" thickBot="1">
      <c r="A702" s="1076" t="s">
        <v>1701</v>
      </c>
      <c r="B702" s="2016" t="s">
        <v>2209</v>
      </c>
      <c r="C702" s="2212">
        <v>467565253</v>
      </c>
      <c r="D702" s="2212">
        <v>467565253</v>
      </c>
      <c r="E702" s="2020">
        <v>469668241</v>
      </c>
      <c r="F702" s="2020">
        <v>469668241</v>
      </c>
      <c r="H702" s="2215">
        <f t="shared" si="10"/>
        <v>-2102988</v>
      </c>
    </row>
    <row r="703" spans="1:8" ht="16.5" thickBot="1">
      <c r="A703" s="1076" t="s">
        <v>801</v>
      </c>
      <c r="B703" s="2015" t="s">
        <v>1305</v>
      </c>
      <c r="C703" s="2212">
        <v>2730169240</v>
      </c>
      <c r="D703" s="2212">
        <v>2730169240</v>
      </c>
      <c r="E703" s="2019">
        <v>2735563078</v>
      </c>
      <c r="F703" s="2019">
        <v>2735563078</v>
      </c>
      <c r="H703" s="2215">
        <f t="shared" si="10"/>
        <v>-5393838</v>
      </c>
    </row>
    <row r="704" spans="1:8" ht="16.5" thickBot="1">
      <c r="A704" s="1076" t="s">
        <v>2134</v>
      </c>
      <c r="B704" s="2016" t="s">
        <v>2569</v>
      </c>
      <c r="C704" s="2212">
        <v>2102639105</v>
      </c>
      <c r="D704" s="2212">
        <v>2102639105</v>
      </c>
      <c r="E704" s="2020">
        <v>2104254797</v>
      </c>
      <c r="F704" s="2020">
        <v>2104254797</v>
      </c>
      <c r="H704" s="2215">
        <f t="shared" si="10"/>
        <v>-1615692</v>
      </c>
    </row>
    <row r="705" spans="1:8" ht="16.5" thickBot="1">
      <c r="A705" s="1076" t="s">
        <v>2135</v>
      </c>
      <c r="B705" s="2015" t="s">
        <v>2570</v>
      </c>
      <c r="C705" s="2212">
        <v>364894305</v>
      </c>
      <c r="D705" s="2212">
        <v>372599735</v>
      </c>
      <c r="E705" s="2019">
        <v>364938377</v>
      </c>
      <c r="F705" s="2019">
        <v>372643807</v>
      </c>
      <c r="H705" s="2215">
        <f t="shared" si="10"/>
        <v>-44072</v>
      </c>
    </row>
    <row r="706" spans="1:8" ht="16.5" thickBot="1">
      <c r="A706" s="1076" t="s">
        <v>2136</v>
      </c>
      <c r="B706" s="2016" t="s">
        <v>2571</v>
      </c>
      <c r="C706" s="2212">
        <v>846569477</v>
      </c>
      <c r="D706" s="2212">
        <v>846569477</v>
      </c>
      <c r="E706" s="2020">
        <v>845811651</v>
      </c>
      <c r="F706" s="2020">
        <v>845811651</v>
      </c>
      <c r="H706" s="2215">
        <f t="shared" ref="H706:H769" si="11">C706-E706</f>
        <v>757826</v>
      </c>
    </row>
    <row r="707" spans="1:8" ht="16.5" thickBot="1">
      <c r="A707" s="1076" t="s">
        <v>2137</v>
      </c>
      <c r="B707" s="2015" t="s">
        <v>3024</v>
      </c>
      <c r="C707" s="2212">
        <v>284795659</v>
      </c>
      <c r="D707" s="2212">
        <v>284795659</v>
      </c>
      <c r="E707" s="2019">
        <v>284145112</v>
      </c>
      <c r="F707" s="2019">
        <v>284145112</v>
      </c>
      <c r="H707" s="2215">
        <f t="shared" si="11"/>
        <v>650547</v>
      </c>
    </row>
    <row r="708" spans="1:8" ht="16.5" thickBot="1">
      <c r="A708" s="1076" t="s">
        <v>2685</v>
      </c>
      <c r="B708" s="2016" t="s">
        <v>2573</v>
      </c>
      <c r="C708" s="2212">
        <v>104634998</v>
      </c>
      <c r="D708" s="2212">
        <v>104634998</v>
      </c>
      <c r="E708" s="2020">
        <v>104524698</v>
      </c>
      <c r="F708" s="2020">
        <v>104524698</v>
      </c>
      <c r="H708" s="2215">
        <f t="shared" si="11"/>
        <v>110300</v>
      </c>
    </row>
    <row r="709" spans="1:8" ht="16.5" thickBot="1">
      <c r="A709" s="1076" t="s">
        <v>802</v>
      </c>
      <c r="B709" s="2015" t="s">
        <v>1326</v>
      </c>
      <c r="C709" s="2212">
        <v>198531591</v>
      </c>
      <c r="D709" s="2212">
        <v>198531591</v>
      </c>
      <c r="E709" s="2019">
        <v>198572541</v>
      </c>
      <c r="F709" s="2019">
        <v>198572541</v>
      </c>
      <c r="H709" s="2215">
        <f t="shared" si="11"/>
        <v>-40950</v>
      </c>
    </row>
    <row r="710" spans="1:8" ht="16.5" thickBot="1">
      <c r="A710" s="1076" t="s">
        <v>570</v>
      </c>
      <c r="B710" s="2016" t="s">
        <v>2574</v>
      </c>
      <c r="C710" s="2212">
        <v>246910554</v>
      </c>
      <c r="D710" s="2212">
        <v>542962954</v>
      </c>
      <c r="E710" s="2020">
        <v>247126604</v>
      </c>
      <c r="F710" s="2020">
        <v>543179004</v>
      </c>
      <c r="H710" s="2215">
        <f t="shared" si="11"/>
        <v>-216050</v>
      </c>
    </row>
    <row r="711" spans="1:8" ht="16.5" thickBot="1">
      <c r="A711" s="1076" t="s">
        <v>803</v>
      </c>
      <c r="B711" s="2015" t="s">
        <v>493</v>
      </c>
      <c r="C711" s="2212">
        <v>157546994</v>
      </c>
      <c r="D711" s="2212">
        <v>157546994</v>
      </c>
      <c r="E711" s="2019">
        <v>157877424</v>
      </c>
      <c r="F711" s="2019">
        <v>157877424</v>
      </c>
      <c r="H711" s="2215">
        <f t="shared" si="11"/>
        <v>-330430</v>
      </c>
    </row>
    <row r="712" spans="1:8" ht="16.5" thickBot="1">
      <c r="A712" s="1076" t="s">
        <v>571</v>
      </c>
      <c r="B712" s="2016" t="s">
        <v>2575</v>
      </c>
      <c r="C712" s="2212">
        <v>1977649035</v>
      </c>
      <c r="D712" s="2212">
        <v>1977649035</v>
      </c>
      <c r="E712" s="2020">
        <v>1980649045</v>
      </c>
      <c r="F712" s="2020">
        <v>1980649045</v>
      </c>
      <c r="H712" s="2215">
        <f t="shared" si="11"/>
        <v>-3000010</v>
      </c>
    </row>
    <row r="713" spans="1:8" ht="16.5" thickBot="1">
      <c r="A713" s="1076" t="s">
        <v>410</v>
      </c>
      <c r="B713" s="2015" t="s">
        <v>1291</v>
      </c>
      <c r="C713" s="2212">
        <v>182084132</v>
      </c>
      <c r="D713" s="2212">
        <v>182084132</v>
      </c>
      <c r="E713" s="2019">
        <v>182461812</v>
      </c>
      <c r="F713" s="2019">
        <v>182461812</v>
      </c>
      <c r="H713" s="2215">
        <f t="shared" si="11"/>
        <v>-377680</v>
      </c>
    </row>
    <row r="714" spans="1:8" ht="16.5" thickBot="1">
      <c r="A714" s="1076" t="s">
        <v>572</v>
      </c>
      <c r="B714" s="2016" t="s">
        <v>2576</v>
      </c>
      <c r="C714" s="2212">
        <v>119789649</v>
      </c>
      <c r="D714" s="2212">
        <v>119789649</v>
      </c>
      <c r="E714" s="2020">
        <v>120103549</v>
      </c>
      <c r="F714" s="2020">
        <v>120103549</v>
      </c>
      <c r="H714" s="2215">
        <f t="shared" si="11"/>
        <v>-313900</v>
      </c>
    </row>
    <row r="715" spans="1:8" ht="16.5" thickBot="1">
      <c r="A715" s="1076" t="s">
        <v>573</v>
      </c>
      <c r="B715" s="2015" t="s">
        <v>2577</v>
      </c>
      <c r="C715" s="2212">
        <v>76141833</v>
      </c>
      <c r="D715" s="2212">
        <v>76141833</v>
      </c>
      <c r="E715" s="2019">
        <v>76219757</v>
      </c>
      <c r="F715" s="2019">
        <v>76219757</v>
      </c>
      <c r="H715" s="2215">
        <f t="shared" si="11"/>
        <v>-77924</v>
      </c>
    </row>
    <row r="716" spans="1:8" ht="16.5" thickBot="1">
      <c r="A716" s="1076" t="s">
        <v>877</v>
      </c>
      <c r="B716" s="2016" t="s">
        <v>1003</v>
      </c>
      <c r="C716" s="2212">
        <v>50014702</v>
      </c>
      <c r="D716" s="2212">
        <v>50014702</v>
      </c>
      <c r="E716" s="2020">
        <v>50230662</v>
      </c>
      <c r="F716" s="2020">
        <v>50230662</v>
      </c>
      <c r="H716" s="2215">
        <f t="shared" si="11"/>
        <v>-215960</v>
      </c>
    </row>
    <row r="717" spans="1:8" ht="16.5" thickBot="1">
      <c r="A717" s="1076" t="s">
        <v>574</v>
      </c>
      <c r="B717" s="2015" t="s">
        <v>2578</v>
      </c>
      <c r="C717" s="2212">
        <v>167491899</v>
      </c>
      <c r="D717" s="2212">
        <v>167491899</v>
      </c>
      <c r="E717" s="2019">
        <v>167645989</v>
      </c>
      <c r="F717" s="2019">
        <v>167645989</v>
      </c>
      <c r="H717" s="2215">
        <f t="shared" si="11"/>
        <v>-154090</v>
      </c>
    </row>
    <row r="718" spans="1:8" ht="16.5" thickBot="1">
      <c r="A718" s="1076" t="s">
        <v>575</v>
      </c>
      <c r="B718" s="2016" t="s">
        <v>339</v>
      </c>
      <c r="C718" s="2212">
        <v>153056348</v>
      </c>
      <c r="D718" s="2212">
        <v>153056348</v>
      </c>
      <c r="E718" s="2020">
        <v>152769758</v>
      </c>
      <c r="F718" s="2020">
        <v>152769758</v>
      </c>
      <c r="H718" s="2215">
        <f t="shared" si="11"/>
        <v>286590</v>
      </c>
    </row>
    <row r="719" spans="1:8" ht="16.5" thickBot="1">
      <c r="A719" s="1076" t="s">
        <v>2754</v>
      </c>
      <c r="B719" s="2015" t="s">
        <v>1257</v>
      </c>
      <c r="C719" s="2212">
        <v>1424475329</v>
      </c>
      <c r="D719" s="2212">
        <v>1424475329</v>
      </c>
      <c r="E719" s="2019">
        <v>1422420475</v>
      </c>
      <c r="F719" s="2019">
        <v>1422420475</v>
      </c>
      <c r="H719" s="2215">
        <f t="shared" si="11"/>
        <v>2054854</v>
      </c>
    </row>
    <row r="720" spans="1:8" ht="16.5" thickBot="1">
      <c r="A720" s="1076" t="s">
        <v>2761</v>
      </c>
      <c r="B720" s="2016" t="s">
        <v>3060</v>
      </c>
      <c r="C720" s="2212">
        <v>152103006</v>
      </c>
      <c r="D720" s="2212">
        <v>152103006</v>
      </c>
      <c r="E720" s="2020">
        <v>151815128</v>
      </c>
      <c r="F720" s="2020">
        <v>151815128</v>
      </c>
      <c r="H720" s="2215">
        <f t="shared" si="11"/>
        <v>287878</v>
      </c>
    </row>
    <row r="721" spans="1:8" ht="16.5" thickBot="1">
      <c r="A721" s="1076" t="s">
        <v>20</v>
      </c>
      <c r="B721" s="2015" t="s">
        <v>340</v>
      </c>
      <c r="C721" s="2212">
        <v>98593057</v>
      </c>
      <c r="D721" s="2212">
        <v>98593057</v>
      </c>
      <c r="E721" s="2019">
        <v>98374905</v>
      </c>
      <c r="F721" s="2019">
        <v>98374905</v>
      </c>
      <c r="H721" s="2215">
        <f t="shared" si="11"/>
        <v>218152</v>
      </c>
    </row>
    <row r="722" spans="1:8" ht="16.5" thickBot="1">
      <c r="A722" s="1076" t="s">
        <v>804</v>
      </c>
      <c r="B722" s="2016" t="s">
        <v>2877</v>
      </c>
      <c r="C722" s="2212">
        <v>252530105</v>
      </c>
      <c r="D722" s="2212">
        <v>252530105</v>
      </c>
      <c r="E722" s="2020">
        <v>252258195</v>
      </c>
      <c r="F722" s="2020">
        <v>252258195</v>
      </c>
      <c r="H722" s="2215">
        <f t="shared" si="11"/>
        <v>271910</v>
      </c>
    </row>
    <row r="723" spans="1:8" ht="16.5" thickBot="1">
      <c r="A723" s="1076" t="s">
        <v>21</v>
      </c>
      <c r="B723" s="2015" t="s">
        <v>341</v>
      </c>
      <c r="C723" s="2212">
        <v>419407532</v>
      </c>
      <c r="D723" s="2212">
        <v>419407532</v>
      </c>
      <c r="E723" s="2019">
        <v>419260921</v>
      </c>
      <c r="F723" s="2019">
        <v>419260921</v>
      </c>
      <c r="H723" s="2215">
        <f t="shared" si="11"/>
        <v>146611</v>
      </c>
    </row>
    <row r="724" spans="1:8" ht="16.5" thickBot="1">
      <c r="A724" s="1076" t="s">
        <v>2383</v>
      </c>
      <c r="B724" s="2016" t="s">
        <v>93</v>
      </c>
      <c r="C724" s="2212">
        <v>110419975</v>
      </c>
      <c r="D724" s="2212">
        <v>110419975</v>
      </c>
      <c r="E724" s="2020">
        <v>110395477</v>
      </c>
      <c r="F724" s="2020">
        <v>110395477</v>
      </c>
      <c r="H724" s="2215">
        <f t="shared" si="11"/>
        <v>24498</v>
      </c>
    </row>
    <row r="725" spans="1:8" ht="16.5" thickBot="1">
      <c r="A725" s="1076" t="s">
        <v>22</v>
      </c>
      <c r="B725" s="2015" t="s">
        <v>342</v>
      </c>
      <c r="C725" s="2212">
        <v>240525913</v>
      </c>
      <c r="D725" s="2212">
        <v>240525913</v>
      </c>
      <c r="E725" s="2019">
        <v>240549548</v>
      </c>
      <c r="F725" s="2019">
        <v>240549548</v>
      </c>
      <c r="H725" s="2215">
        <f t="shared" si="11"/>
        <v>-23635</v>
      </c>
    </row>
    <row r="726" spans="1:8" ht="16.5" thickBot="1">
      <c r="A726" s="1076" t="s">
        <v>1159</v>
      </c>
      <c r="B726" s="2016" t="s">
        <v>2609</v>
      </c>
      <c r="C726" s="2212">
        <v>282878273</v>
      </c>
      <c r="D726" s="2212">
        <v>282878273</v>
      </c>
      <c r="E726" s="2020">
        <v>282691516</v>
      </c>
      <c r="F726" s="2020">
        <v>282691516</v>
      </c>
      <c r="H726" s="2215">
        <f t="shared" si="11"/>
        <v>186757</v>
      </c>
    </row>
    <row r="727" spans="1:8" ht="16.5" thickBot="1">
      <c r="A727" s="1076" t="s">
        <v>2268</v>
      </c>
      <c r="B727" s="2015" t="s">
        <v>3067</v>
      </c>
      <c r="C727" s="2212">
        <v>562907745</v>
      </c>
      <c r="D727" s="2212">
        <v>562907745</v>
      </c>
      <c r="E727" s="2019">
        <v>563006944</v>
      </c>
      <c r="F727" s="2019">
        <v>563006944</v>
      </c>
      <c r="H727" s="2215">
        <f t="shared" si="11"/>
        <v>-99199</v>
      </c>
    </row>
    <row r="728" spans="1:8" ht="16.5" thickBot="1">
      <c r="A728" s="1076" t="s">
        <v>1736</v>
      </c>
      <c r="B728" s="2016" t="s">
        <v>4583</v>
      </c>
      <c r="C728" s="2212">
        <v>143381801</v>
      </c>
      <c r="D728" s="2212">
        <v>420242341</v>
      </c>
      <c r="E728" s="2020">
        <v>143273291</v>
      </c>
      <c r="F728" s="2020">
        <v>420133831</v>
      </c>
      <c r="H728" s="2215">
        <f t="shared" si="11"/>
        <v>108510</v>
      </c>
    </row>
    <row r="729" spans="1:8" ht="16.5" thickBot="1">
      <c r="A729" s="1076" t="s">
        <v>2145</v>
      </c>
      <c r="B729" s="2015" t="s">
        <v>343</v>
      </c>
      <c r="C729" s="2212">
        <v>727588243</v>
      </c>
      <c r="D729" s="2212">
        <v>759813243</v>
      </c>
      <c r="E729" s="2019">
        <v>726852693</v>
      </c>
      <c r="F729" s="2019">
        <v>759077693</v>
      </c>
      <c r="H729" s="2215">
        <f t="shared" si="11"/>
        <v>735550</v>
      </c>
    </row>
    <row r="730" spans="1:8" ht="16.5" thickBot="1">
      <c r="A730" s="1076" t="s">
        <v>2637</v>
      </c>
      <c r="B730" s="2016" t="s">
        <v>2657</v>
      </c>
      <c r="C730" s="2212">
        <v>321745570</v>
      </c>
      <c r="D730" s="2212">
        <v>1011279767</v>
      </c>
      <c r="E730" s="2020">
        <v>321673321</v>
      </c>
      <c r="F730" s="2020">
        <v>1011207518</v>
      </c>
      <c r="H730" s="2215">
        <f t="shared" si="11"/>
        <v>72249</v>
      </c>
    </row>
    <row r="731" spans="1:8" ht="16.5" thickBot="1">
      <c r="A731" s="1076" t="s">
        <v>464</v>
      </c>
      <c r="B731" s="2015" t="s">
        <v>345</v>
      </c>
      <c r="C731" s="2212">
        <v>220961127</v>
      </c>
      <c r="D731" s="2212">
        <v>512231397</v>
      </c>
      <c r="E731" s="2019">
        <v>220978347</v>
      </c>
      <c r="F731" s="2019">
        <v>512248617</v>
      </c>
      <c r="H731" s="2215">
        <f t="shared" si="11"/>
        <v>-17220</v>
      </c>
    </row>
    <row r="732" spans="1:8" ht="16.5" thickBot="1">
      <c r="A732" s="1076" t="s">
        <v>2858</v>
      </c>
      <c r="B732" s="2016" t="s">
        <v>346</v>
      </c>
      <c r="C732" s="2212">
        <v>134399161</v>
      </c>
      <c r="D732" s="2212">
        <v>134399161</v>
      </c>
      <c r="E732" s="2020">
        <v>134356622</v>
      </c>
      <c r="F732" s="2020">
        <v>134356622</v>
      </c>
      <c r="H732" s="2215">
        <f t="shared" si="11"/>
        <v>42539</v>
      </c>
    </row>
    <row r="733" spans="1:8" ht="16.5" thickBot="1">
      <c r="A733" s="1076" t="s">
        <v>1337</v>
      </c>
      <c r="B733" s="2015" t="s">
        <v>2658</v>
      </c>
      <c r="C733" s="2212">
        <v>500717199</v>
      </c>
      <c r="D733" s="2212">
        <v>500717199</v>
      </c>
      <c r="E733" s="2019">
        <v>500454289</v>
      </c>
      <c r="F733" s="2019">
        <v>500454289</v>
      </c>
      <c r="H733" s="2215">
        <f t="shared" si="11"/>
        <v>262910</v>
      </c>
    </row>
    <row r="734" spans="1:8" ht="16.5" thickBot="1">
      <c r="A734" s="1076" t="s">
        <v>1338</v>
      </c>
      <c r="B734" s="2016" t="s">
        <v>348</v>
      </c>
      <c r="C734" s="2212">
        <v>1391562259</v>
      </c>
      <c r="D734" s="2212">
        <v>1391562259</v>
      </c>
      <c r="E734" s="2020">
        <v>1391741853</v>
      </c>
      <c r="F734" s="2020">
        <v>1391741853</v>
      </c>
      <c r="H734" s="2215">
        <f t="shared" si="11"/>
        <v>-179594</v>
      </c>
    </row>
    <row r="735" spans="1:8" ht="16.5" thickBot="1">
      <c r="A735" s="1076" t="s">
        <v>2753</v>
      </c>
      <c r="B735" s="2015" t="s">
        <v>1256</v>
      </c>
      <c r="C735" s="2212">
        <v>13547933864</v>
      </c>
      <c r="D735" s="2212">
        <v>13547933864</v>
      </c>
      <c r="E735" s="2019">
        <v>13540660322</v>
      </c>
      <c r="F735" s="2019">
        <v>13540660322</v>
      </c>
      <c r="H735" s="2215">
        <f t="shared" si="11"/>
        <v>7273542</v>
      </c>
    </row>
    <row r="736" spans="1:8" ht="16.5" thickBot="1">
      <c r="A736" s="1076" t="s">
        <v>619</v>
      </c>
      <c r="B736" s="2016" t="s">
        <v>349</v>
      </c>
      <c r="C736" s="2212">
        <v>113085089</v>
      </c>
      <c r="D736" s="2212">
        <v>113085089</v>
      </c>
      <c r="E736" s="2020">
        <v>113065103</v>
      </c>
      <c r="F736" s="2020">
        <v>113065103</v>
      </c>
      <c r="H736" s="2215">
        <f t="shared" si="11"/>
        <v>19986</v>
      </c>
    </row>
    <row r="737" spans="1:8" ht="16.5" thickBot="1">
      <c r="A737" s="1076" t="s">
        <v>632</v>
      </c>
      <c r="B737" s="2015" t="s">
        <v>350</v>
      </c>
      <c r="C737" s="2212">
        <v>278977485</v>
      </c>
      <c r="D737" s="2212">
        <v>278977485</v>
      </c>
      <c r="E737" s="2019">
        <v>278917738</v>
      </c>
      <c r="F737" s="2019">
        <v>278917738</v>
      </c>
      <c r="H737" s="2215">
        <f t="shared" si="11"/>
        <v>59747</v>
      </c>
    </row>
    <row r="738" spans="1:8" ht="16.5" thickBot="1">
      <c r="A738" s="1076" t="s">
        <v>633</v>
      </c>
      <c r="B738" s="2016" t="s">
        <v>351</v>
      </c>
      <c r="C738" s="2212">
        <v>1945524662</v>
      </c>
      <c r="D738" s="2212">
        <v>1945524662</v>
      </c>
      <c r="E738" s="2020">
        <v>1945544829</v>
      </c>
      <c r="F738" s="2020">
        <v>1945544829</v>
      </c>
      <c r="H738" s="2215">
        <f t="shared" si="11"/>
        <v>-20167</v>
      </c>
    </row>
    <row r="739" spans="1:8" ht="16.5" thickBot="1">
      <c r="A739" s="1076" t="s">
        <v>191</v>
      </c>
      <c r="B739" s="2015" t="s">
        <v>3098</v>
      </c>
      <c r="C739" s="2212">
        <v>514072905</v>
      </c>
      <c r="D739" s="2212">
        <v>514072905</v>
      </c>
      <c r="E739" s="2019">
        <v>512607689</v>
      </c>
      <c r="F739" s="2019">
        <v>512607689</v>
      </c>
      <c r="H739" s="2215">
        <f t="shared" si="11"/>
        <v>1465216</v>
      </c>
    </row>
    <row r="740" spans="1:8" ht="16.5" thickBot="1">
      <c r="A740" s="1076" t="s">
        <v>869</v>
      </c>
      <c r="B740" s="2016" t="s">
        <v>352</v>
      </c>
      <c r="C740" s="2212">
        <v>2233268443</v>
      </c>
      <c r="D740" s="2212">
        <v>2233268443</v>
      </c>
      <c r="E740" s="2020">
        <v>2233332150</v>
      </c>
      <c r="F740" s="2020">
        <v>2233332150</v>
      </c>
      <c r="H740" s="2215">
        <f t="shared" si="11"/>
        <v>-63707</v>
      </c>
    </row>
    <row r="741" spans="1:8" ht="16.5" thickBot="1">
      <c r="A741" s="1076" t="s">
        <v>1087</v>
      </c>
      <c r="B741" s="2015" t="s">
        <v>353</v>
      </c>
      <c r="C741" s="2212">
        <v>266984215</v>
      </c>
      <c r="D741" s="2212">
        <v>266984215</v>
      </c>
      <c r="E741" s="2019">
        <v>267447153</v>
      </c>
      <c r="F741" s="2019">
        <v>267447153</v>
      </c>
      <c r="H741" s="2215">
        <f t="shared" si="11"/>
        <v>-462938</v>
      </c>
    </row>
    <row r="742" spans="1:8" ht="16.5" thickBot="1">
      <c r="A742" s="1076" t="s">
        <v>2452</v>
      </c>
      <c r="B742" s="2016" t="s">
        <v>354</v>
      </c>
      <c r="C742" s="2212">
        <v>2557110179</v>
      </c>
      <c r="D742" s="2212">
        <v>2557110179</v>
      </c>
      <c r="E742" s="2020">
        <v>2557348962</v>
      </c>
      <c r="F742" s="2020">
        <v>2557348962</v>
      </c>
      <c r="H742" s="2215">
        <f t="shared" si="11"/>
        <v>-238783</v>
      </c>
    </row>
    <row r="743" spans="1:8" ht="16.5" thickBot="1">
      <c r="A743" s="1076" t="s">
        <v>2453</v>
      </c>
      <c r="B743" s="2015" t="s">
        <v>355</v>
      </c>
      <c r="C743" s="2212">
        <v>708794055</v>
      </c>
      <c r="D743" s="2212">
        <v>708794055</v>
      </c>
      <c r="E743" s="2019">
        <v>708863102</v>
      </c>
      <c r="F743" s="2019">
        <v>708863102</v>
      </c>
      <c r="H743" s="2215">
        <f t="shared" si="11"/>
        <v>-69047</v>
      </c>
    </row>
    <row r="744" spans="1:8" ht="16.5" thickBot="1">
      <c r="A744" s="1076" t="s">
        <v>237</v>
      </c>
      <c r="B744" s="2016" t="s">
        <v>1123</v>
      </c>
      <c r="C744" s="2212">
        <v>1708419734</v>
      </c>
      <c r="D744" s="2212">
        <v>1708419734</v>
      </c>
      <c r="E744" s="2020">
        <v>1708644565</v>
      </c>
      <c r="F744" s="2020">
        <v>1708644565</v>
      </c>
      <c r="H744" s="2215">
        <f t="shared" si="11"/>
        <v>-224831</v>
      </c>
    </row>
    <row r="745" spans="1:8" ht="16.5" thickBot="1">
      <c r="A745" s="1076" t="s">
        <v>1097</v>
      </c>
      <c r="B745" s="2015" t="s">
        <v>356</v>
      </c>
      <c r="C745" s="2212">
        <v>223353870</v>
      </c>
      <c r="D745" s="2212">
        <v>453539180</v>
      </c>
      <c r="E745" s="2019">
        <v>223452450</v>
      </c>
      <c r="F745" s="2019">
        <v>453637760</v>
      </c>
      <c r="H745" s="2215">
        <f t="shared" si="11"/>
        <v>-98580</v>
      </c>
    </row>
    <row r="746" spans="1:8" ht="16.5" thickBot="1">
      <c r="A746" s="1076" t="s">
        <v>1098</v>
      </c>
      <c r="B746" s="2016" t="s">
        <v>357</v>
      </c>
      <c r="C746" s="2212">
        <v>70087550</v>
      </c>
      <c r="D746" s="2212">
        <v>70087550</v>
      </c>
      <c r="E746" s="2020">
        <v>70092061</v>
      </c>
      <c r="F746" s="2020">
        <v>70092061</v>
      </c>
      <c r="H746" s="2215">
        <f t="shared" si="11"/>
        <v>-4511</v>
      </c>
    </row>
    <row r="747" spans="1:8" ht="16.5" thickBot="1">
      <c r="A747" s="1076" t="s">
        <v>1099</v>
      </c>
      <c r="B747" s="2015" t="s">
        <v>358</v>
      </c>
      <c r="C747" s="2212">
        <v>80035416</v>
      </c>
      <c r="D747" s="2212">
        <v>250463846</v>
      </c>
      <c r="E747" s="2019">
        <v>80135703</v>
      </c>
      <c r="F747" s="2019">
        <v>250564133</v>
      </c>
      <c r="H747" s="2215">
        <f t="shared" si="11"/>
        <v>-100287</v>
      </c>
    </row>
    <row r="748" spans="1:8" ht="16.5" thickBot="1">
      <c r="A748" s="1076" t="s">
        <v>2225</v>
      </c>
      <c r="B748" s="2016" t="s">
        <v>2121</v>
      </c>
      <c r="C748" s="2212">
        <v>935654953</v>
      </c>
      <c r="D748" s="2212">
        <v>935654953</v>
      </c>
      <c r="E748" s="2020">
        <v>935702068</v>
      </c>
      <c r="F748" s="2020">
        <v>935702068</v>
      </c>
      <c r="H748" s="2215">
        <f t="shared" si="11"/>
        <v>-47115</v>
      </c>
    </row>
    <row r="749" spans="1:8" ht="16.5" thickBot="1">
      <c r="A749" s="1076" t="s">
        <v>1100</v>
      </c>
      <c r="B749" s="2015" t="s">
        <v>359</v>
      </c>
      <c r="C749" s="2212">
        <v>472108777</v>
      </c>
      <c r="D749" s="2212">
        <v>472108777</v>
      </c>
      <c r="E749" s="2019">
        <v>472354195</v>
      </c>
      <c r="F749" s="2019">
        <v>472354195</v>
      </c>
      <c r="H749" s="2215">
        <f t="shared" si="11"/>
        <v>-245418</v>
      </c>
    </row>
    <row r="750" spans="1:8" ht="16.5" thickBot="1">
      <c r="A750" s="1076" t="s">
        <v>1101</v>
      </c>
      <c r="B750" s="2016" t="s">
        <v>2659</v>
      </c>
      <c r="C750" s="2212">
        <v>1777770788</v>
      </c>
      <c r="D750" s="2212">
        <v>1777770788</v>
      </c>
      <c r="E750" s="2020">
        <v>1777040682</v>
      </c>
      <c r="F750" s="2020">
        <v>1777040682</v>
      </c>
      <c r="H750" s="2215">
        <f t="shared" si="11"/>
        <v>730106</v>
      </c>
    </row>
    <row r="751" spans="1:8" ht="16.5" thickBot="1">
      <c r="A751" s="1076" t="s">
        <v>1655</v>
      </c>
      <c r="B751" s="2015" t="s">
        <v>156</v>
      </c>
      <c r="C751" s="2212">
        <v>1074080263</v>
      </c>
      <c r="D751" s="2212">
        <v>1074080263</v>
      </c>
      <c r="E751" s="2019">
        <v>1074299780</v>
      </c>
      <c r="F751" s="2019">
        <v>1074299780</v>
      </c>
      <c r="H751" s="2215">
        <f t="shared" si="11"/>
        <v>-219517</v>
      </c>
    </row>
    <row r="752" spans="1:8" ht="16.5" thickBot="1">
      <c r="A752" s="1076" t="s">
        <v>1248</v>
      </c>
      <c r="B752" s="2016" t="s">
        <v>4584</v>
      </c>
      <c r="C752" s="2212">
        <v>967683580</v>
      </c>
      <c r="D752" s="2212">
        <v>967683580</v>
      </c>
      <c r="E752" s="2020">
        <v>967469214</v>
      </c>
      <c r="F752" s="2020">
        <v>967469214</v>
      </c>
      <c r="H752" s="2215">
        <f t="shared" si="11"/>
        <v>214366</v>
      </c>
    </row>
    <row r="753" spans="1:8" ht="16.5" thickBot="1">
      <c r="A753" s="1076" t="s">
        <v>1249</v>
      </c>
      <c r="B753" s="2015" t="s">
        <v>362</v>
      </c>
      <c r="C753" s="2212">
        <v>156989340</v>
      </c>
      <c r="D753" s="2212">
        <v>156989340</v>
      </c>
      <c r="E753" s="2019">
        <v>156964117</v>
      </c>
      <c r="F753" s="2019">
        <v>156964117</v>
      </c>
      <c r="H753" s="2215">
        <f t="shared" si="11"/>
        <v>25223</v>
      </c>
    </row>
    <row r="754" spans="1:8" ht="16.5" thickBot="1">
      <c r="A754" s="1076" t="s">
        <v>1250</v>
      </c>
      <c r="B754" s="2016" t="s">
        <v>363</v>
      </c>
      <c r="C754" s="2212">
        <v>957167106</v>
      </c>
      <c r="D754" s="2212">
        <v>957167106</v>
      </c>
      <c r="E754" s="2020">
        <v>957229610</v>
      </c>
      <c r="F754" s="2020">
        <v>957229610</v>
      </c>
      <c r="H754" s="2215">
        <f t="shared" si="11"/>
        <v>-62504</v>
      </c>
    </row>
    <row r="755" spans="1:8" ht="16.5" thickBot="1">
      <c r="A755" s="1076" t="s">
        <v>2902</v>
      </c>
      <c r="B755" s="2015" t="s">
        <v>2559</v>
      </c>
      <c r="C755" s="2212">
        <v>776145103</v>
      </c>
      <c r="D755" s="2212">
        <v>776145103</v>
      </c>
      <c r="E755" s="2019">
        <v>775695671</v>
      </c>
      <c r="F755" s="2019">
        <v>775695671</v>
      </c>
      <c r="H755" s="2215">
        <f t="shared" si="11"/>
        <v>449432</v>
      </c>
    </row>
    <row r="756" spans="1:8" ht="16.5" thickBot="1">
      <c r="A756" s="1076" t="s">
        <v>1529</v>
      </c>
      <c r="B756" s="2016" t="s">
        <v>364</v>
      </c>
      <c r="C756" s="2212">
        <v>276601102</v>
      </c>
      <c r="D756" s="2212">
        <v>276601102</v>
      </c>
      <c r="E756" s="2020">
        <v>276546819</v>
      </c>
      <c r="F756" s="2020">
        <v>276546819</v>
      </c>
      <c r="H756" s="2215">
        <f t="shared" si="11"/>
        <v>54283</v>
      </c>
    </row>
    <row r="757" spans="1:8" ht="16.5" thickBot="1">
      <c r="A757" s="1076" t="s">
        <v>1530</v>
      </c>
      <c r="B757" s="2015" t="s">
        <v>365</v>
      </c>
      <c r="C757" s="2212">
        <v>65568574</v>
      </c>
      <c r="D757" s="2212">
        <v>65568574</v>
      </c>
      <c r="E757" s="2019">
        <v>65476415</v>
      </c>
      <c r="F757" s="2019">
        <v>65476415</v>
      </c>
      <c r="H757" s="2215">
        <f t="shared" si="11"/>
        <v>92159</v>
      </c>
    </row>
    <row r="758" spans="1:8" ht="16.5" thickBot="1">
      <c r="A758" s="1076" t="s">
        <v>1531</v>
      </c>
      <c r="B758" s="2016" t="s">
        <v>471</v>
      </c>
      <c r="C758" s="2212">
        <v>515295527</v>
      </c>
      <c r="D758" s="2212">
        <v>515295527</v>
      </c>
      <c r="E758" s="2020">
        <v>515284777</v>
      </c>
      <c r="F758" s="2020">
        <v>515284777</v>
      </c>
      <c r="H758" s="2215">
        <f t="shared" si="11"/>
        <v>10750</v>
      </c>
    </row>
    <row r="759" spans="1:8" ht="16.5" thickBot="1">
      <c r="A759" s="1076" t="s">
        <v>1532</v>
      </c>
      <c r="B759" s="2015" t="s">
        <v>472</v>
      </c>
      <c r="C759" s="2212">
        <v>475101381</v>
      </c>
      <c r="D759" s="2212">
        <v>475101381</v>
      </c>
      <c r="E759" s="2019">
        <v>475370361</v>
      </c>
      <c r="F759" s="2019">
        <v>475370361</v>
      </c>
      <c r="H759" s="2215">
        <f t="shared" si="11"/>
        <v>-268980</v>
      </c>
    </row>
    <row r="760" spans="1:8" ht="16.5" thickBot="1">
      <c r="A760" s="1076" t="s">
        <v>1533</v>
      </c>
      <c r="B760" s="2016" t="s">
        <v>473</v>
      </c>
      <c r="C760" s="2212">
        <v>3449822132</v>
      </c>
      <c r="D760" s="2212">
        <v>3449822132</v>
      </c>
      <c r="E760" s="2020">
        <v>3450880232</v>
      </c>
      <c r="F760" s="2020">
        <v>3450880232</v>
      </c>
      <c r="H760" s="2215">
        <f t="shared" si="11"/>
        <v>-1058100</v>
      </c>
    </row>
    <row r="761" spans="1:8" ht="16.5" thickBot="1">
      <c r="A761" s="1076" t="s">
        <v>2974</v>
      </c>
      <c r="B761" s="2015" t="s">
        <v>494</v>
      </c>
      <c r="C761" s="2212">
        <v>272707783</v>
      </c>
      <c r="D761" s="2212">
        <v>272707783</v>
      </c>
      <c r="E761" s="2019">
        <v>272927823</v>
      </c>
      <c r="F761" s="2019">
        <v>272927823</v>
      </c>
      <c r="H761" s="2215">
        <f t="shared" si="11"/>
        <v>-220040</v>
      </c>
    </row>
    <row r="762" spans="1:8" ht="16.5" thickBot="1">
      <c r="A762" s="1076" t="s">
        <v>805</v>
      </c>
      <c r="B762" s="2016" t="s">
        <v>1130</v>
      </c>
      <c r="C762" s="2212">
        <v>176849126</v>
      </c>
      <c r="D762" s="2212">
        <v>176849126</v>
      </c>
      <c r="E762" s="2020">
        <v>177055629</v>
      </c>
      <c r="F762" s="2020">
        <v>177055629</v>
      </c>
      <c r="H762" s="2215">
        <f t="shared" si="11"/>
        <v>-206503</v>
      </c>
    </row>
    <row r="763" spans="1:8" ht="16.5" thickBot="1">
      <c r="A763" s="1076" t="s">
        <v>1703</v>
      </c>
      <c r="B763" s="2015" t="s">
        <v>2211</v>
      </c>
      <c r="C763" s="2212">
        <v>915473870</v>
      </c>
      <c r="D763" s="2212">
        <v>915473870</v>
      </c>
      <c r="E763" s="2019">
        <v>914593677</v>
      </c>
      <c r="F763" s="2019">
        <v>914593677</v>
      </c>
      <c r="H763" s="2215">
        <f t="shared" si="11"/>
        <v>880193</v>
      </c>
    </row>
    <row r="764" spans="1:8" ht="16.5" thickBot="1">
      <c r="A764" s="1076" t="s">
        <v>1656</v>
      </c>
      <c r="B764" s="2016" t="s">
        <v>161</v>
      </c>
      <c r="C764" s="2212">
        <v>3590012563</v>
      </c>
      <c r="D764" s="2212">
        <v>3590012563</v>
      </c>
      <c r="E764" s="2020">
        <v>3589637113</v>
      </c>
      <c r="F764" s="2020">
        <v>3589637113</v>
      </c>
      <c r="H764" s="2215">
        <f t="shared" si="11"/>
        <v>375450</v>
      </c>
    </row>
    <row r="765" spans="1:8" ht="16.5" thickBot="1">
      <c r="A765" s="1076" t="s">
        <v>2901</v>
      </c>
      <c r="B765" s="2015" t="s">
        <v>2558</v>
      </c>
      <c r="C765" s="2212">
        <v>290360785</v>
      </c>
      <c r="D765" s="2212">
        <v>290360785</v>
      </c>
      <c r="E765" s="2019">
        <v>290269435</v>
      </c>
      <c r="F765" s="2019">
        <v>290269435</v>
      </c>
      <c r="H765" s="2215">
        <f t="shared" si="11"/>
        <v>91350</v>
      </c>
    </row>
    <row r="766" spans="1:8" ht="16.5" thickBot="1">
      <c r="A766" s="1076" t="s">
        <v>1563</v>
      </c>
      <c r="B766" s="2016" t="s">
        <v>474</v>
      </c>
      <c r="C766" s="2212">
        <v>2604946386</v>
      </c>
      <c r="D766" s="2212">
        <v>2604946386</v>
      </c>
      <c r="E766" s="2020">
        <v>2604753666</v>
      </c>
      <c r="F766" s="2020">
        <v>2604753666</v>
      </c>
      <c r="H766" s="2215">
        <f t="shared" si="11"/>
        <v>192720</v>
      </c>
    </row>
    <row r="767" spans="1:8" ht="16.5" thickBot="1">
      <c r="A767" s="1076" t="s">
        <v>236</v>
      </c>
      <c r="B767" s="2015" t="s">
        <v>2988</v>
      </c>
      <c r="C767" s="2212">
        <v>267964523</v>
      </c>
      <c r="D767" s="2212">
        <v>267964523</v>
      </c>
      <c r="E767" s="2019">
        <v>267774063</v>
      </c>
      <c r="F767" s="2019">
        <v>267774063</v>
      </c>
      <c r="H767" s="2215">
        <f t="shared" si="11"/>
        <v>190460</v>
      </c>
    </row>
    <row r="768" spans="1:8" ht="16.5" thickBot="1">
      <c r="A768" s="1076" t="s">
        <v>2144</v>
      </c>
      <c r="B768" s="2016" t="s">
        <v>2122</v>
      </c>
      <c r="C768" s="2212">
        <v>463605206</v>
      </c>
      <c r="D768" s="2212">
        <v>463605206</v>
      </c>
      <c r="E768" s="2020">
        <v>463484446</v>
      </c>
      <c r="F768" s="2020">
        <v>463484446</v>
      </c>
      <c r="H768" s="2215">
        <f t="shared" si="11"/>
        <v>120760</v>
      </c>
    </row>
    <row r="769" spans="1:8" ht="16.5" thickBot="1">
      <c r="A769" s="1076" t="s">
        <v>1834</v>
      </c>
      <c r="B769" s="2015" t="s">
        <v>475</v>
      </c>
      <c r="C769" s="2212">
        <v>165252070</v>
      </c>
      <c r="D769" s="2212">
        <v>165252070</v>
      </c>
      <c r="E769" s="2019">
        <v>165233260</v>
      </c>
      <c r="F769" s="2019">
        <v>165233260</v>
      </c>
      <c r="H769" s="2215">
        <f t="shared" si="11"/>
        <v>18810</v>
      </c>
    </row>
    <row r="770" spans="1:8" ht="16.5" thickBot="1">
      <c r="A770" s="1076" t="s">
        <v>1835</v>
      </c>
      <c r="B770" s="2016" t="s">
        <v>476</v>
      </c>
      <c r="C770" s="2212">
        <v>123562904</v>
      </c>
      <c r="D770" s="2212">
        <v>123562904</v>
      </c>
      <c r="E770" s="2020">
        <v>123535121</v>
      </c>
      <c r="F770" s="2020">
        <v>123535121</v>
      </c>
      <c r="H770" s="2215">
        <f t="shared" ref="H770:H833" si="12">C770-E770</f>
        <v>27783</v>
      </c>
    </row>
    <row r="771" spans="1:8" ht="16.5" thickBot="1">
      <c r="A771" s="1076" t="s">
        <v>1836</v>
      </c>
      <c r="B771" s="2015" t="s">
        <v>477</v>
      </c>
      <c r="C771" s="2212">
        <v>153502130</v>
      </c>
      <c r="D771" s="2212">
        <v>153502130</v>
      </c>
      <c r="E771" s="2019">
        <v>153531144</v>
      </c>
      <c r="F771" s="2019">
        <v>153531144</v>
      </c>
      <c r="H771" s="2215">
        <f t="shared" si="12"/>
        <v>-29014</v>
      </c>
    </row>
    <row r="772" spans="1:8" ht="16.5" thickBot="1">
      <c r="A772" s="1076" t="s">
        <v>1837</v>
      </c>
      <c r="B772" s="2016" t="s">
        <v>478</v>
      </c>
      <c r="C772" s="2212">
        <v>337959761</v>
      </c>
      <c r="D772" s="2212">
        <v>337959761</v>
      </c>
      <c r="E772" s="2020">
        <v>338036325</v>
      </c>
      <c r="F772" s="2020">
        <v>338036325</v>
      </c>
      <c r="H772" s="2215">
        <f t="shared" si="12"/>
        <v>-76564</v>
      </c>
    </row>
    <row r="773" spans="1:8" ht="16.5" thickBot="1">
      <c r="A773" s="1076" t="s">
        <v>1838</v>
      </c>
      <c r="B773" s="2015" t="s">
        <v>479</v>
      </c>
      <c r="C773" s="2212">
        <v>62937645</v>
      </c>
      <c r="D773" s="2212">
        <v>62937645</v>
      </c>
      <c r="E773" s="2019">
        <v>62923625</v>
      </c>
      <c r="F773" s="2019">
        <v>62923625</v>
      </c>
      <c r="H773" s="2215">
        <f t="shared" si="12"/>
        <v>14020</v>
      </c>
    </row>
    <row r="774" spans="1:8" ht="16.5" thickBot="1">
      <c r="A774" s="1076" t="s">
        <v>2140</v>
      </c>
      <c r="B774" s="2016" t="s">
        <v>480</v>
      </c>
      <c r="C774" s="2212">
        <v>231535725</v>
      </c>
      <c r="D774" s="2212">
        <v>400460725</v>
      </c>
      <c r="E774" s="2020">
        <v>231554745</v>
      </c>
      <c r="F774" s="2020">
        <v>400479745</v>
      </c>
      <c r="H774" s="2215">
        <f t="shared" si="12"/>
        <v>-19020</v>
      </c>
    </row>
    <row r="775" spans="1:8" ht="16.5" thickBot="1">
      <c r="A775" s="1076" t="s">
        <v>2625</v>
      </c>
      <c r="B775" s="2015" t="s">
        <v>2660</v>
      </c>
      <c r="C775" s="2212">
        <v>1149908533</v>
      </c>
      <c r="D775" s="2212">
        <v>1447200093</v>
      </c>
      <c r="E775" s="2019">
        <v>1149642663</v>
      </c>
      <c r="F775" s="2019">
        <v>1446934223</v>
      </c>
      <c r="H775" s="2215">
        <f t="shared" si="12"/>
        <v>265870</v>
      </c>
    </row>
    <row r="776" spans="1:8" ht="16.5" thickBot="1">
      <c r="A776" s="1076" t="s">
        <v>2614</v>
      </c>
      <c r="B776" s="2016" t="s">
        <v>482</v>
      </c>
      <c r="C776" s="2212">
        <v>1995716343</v>
      </c>
      <c r="D776" s="2212">
        <v>2123392713</v>
      </c>
      <c r="E776" s="2020">
        <v>1995817443</v>
      </c>
      <c r="F776" s="2020">
        <v>2123493813</v>
      </c>
      <c r="H776" s="2215">
        <f t="shared" si="12"/>
        <v>-101100</v>
      </c>
    </row>
    <row r="777" spans="1:8" ht="16.5" thickBot="1">
      <c r="A777" s="1076" t="s">
        <v>1477</v>
      </c>
      <c r="B777" s="2015" t="s">
        <v>483</v>
      </c>
      <c r="C777" s="2212">
        <v>318820212</v>
      </c>
      <c r="D777" s="2212">
        <v>318820212</v>
      </c>
      <c r="E777" s="2019">
        <v>318717704</v>
      </c>
      <c r="F777" s="2019">
        <v>318717704</v>
      </c>
      <c r="H777" s="2215">
        <f t="shared" si="12"/>
        <v>102508</v>
      </c>
    </row>
    <row r="778" spans="1:8" ht="16.5" thickBot="1">
      <c r="A778" s="1076" t="s">
        <v>790</v>
      </c>
      <c r="B778" s="2016" t="s">
        <v>484</v>
      </c>
      <c r="C778" s="2212">
        <v>111970860</v>
      </c>
      <c r="D778" s="2212">
        <v>111970860</v>
      </c>
      <c r="E778" s="2020">
        <v>111708358</v>
      </c>
      <c r="F778" s="2020">
        <v>111708358</v>
      </c>
      <c r="H778" s="2215">
        <f t="shared" si="12"/>
        <v>262502</v>
      </c>
    </row>
    <row r="779" spans="1:8" ht="16.5" thickBot="1">
      <c r="A779" s="1076" t="s">
        <v>2917</v>
      </c>
      <c r="B779" s="2015" t="s">
        <v>485</v>
      </c>
      <c r="C779" s="2212">
        <v>309848173</v>
      </c>
      <c r="D779" s="2212">
        <v>309848173</v>
      </c>
      <c r="E779" s="2019">
        <v>309412188</v>
      </c>
      <c r="F779" s="2019">
        <v>309412188</v>
      </c>
      <c r="H779" s="2215">
        <f t="shared" si="12"/>
        <v>435985</v>
      </c>
    </row>
    <row r="780" spans="1:8" ht="16.5" thickBot="1">
      <c r="A780" s="1076" t="s">
        <v>791</v>
      </c>
      <c r="B780" s="2016" t="s">
        <v>486</v>
      </c>
      <c r="C780" s="2212">
        <v>130532782</v>
      </c>
      <c r="D780" s="2212">
        <v>130532782</v>
      </c>
      <c r="E780" s="2020">
        <v>130382614</v>
      </c>
      <c r="F780" s="2020">
        <v>130382614</v>
      </c>
      <c r="H780" s="2215">
        <f t="shared" si="12"/>
        <v>150168</v>
      </c>
    </row>
    <row r="781" spans="1:8" ht="16.5" thickBot="1">
      <c r="A781" s="1076" t="s">
        <v>1992</v>
      </c>
      <c r="B781" s="2015" t="s">
        <v>2545</v>
      </c>
      <c r="C781" s="2212">
        <v>1393398295</v>
      </c>
      <c r="D781" s="2212">
        <v>1393398295</v>
      </c>
      <c r="E781" s="2019">
        <v>1391341319</v>
      </c>
      <c r="F781" s="2019">
        <v>1391341319</v>
      </c>
      <c r="H781" s="2215">
        <f t="shared" si="12"/>
        <v>2056976</v>
      </c>
    </row>
    <row r="782" spans="1:8" ht="16.5" thickBot="1">
      <c r="A782" s="1076" t="s">
        <v>1380</v>
      </c>
      <c r="B782" s="2016" t="s">
        <v>487</v>
      </c>
      <c r="C782" s="2212">
        <v>446859726</v>
      </c>
      <c r="D782" s="2212">
        <v>446859726</v>
      </c>
      <c r="E782" s="2020">
        <v>445770234</v>
      </c>
      <c r="F782" s="2020">
        <v>445770234</v>
      </c>
      <c r="H782" s="2215">
        <f t="shared" si="12"/>
        <v>1089492</v>
      </c>
    </row>
    <row r="783" spans="1:8" ht="16.5" thickBot="1">
      <c r="A783" s="1076" t="s">
        <v>1839</v>
      </c>
      <c r="B783" s="2015" t="s">
        <v>1204</v>
      </c>
      <c r="C783" s="2212">
        <v>7936330816</v>
      </c>
      <c r="D783" s="2212">
        <v>7936330816</v>
      </c>
      <c r="E783" s="2019">
        <v>7943193139</v>
      </c>
      <c r="F783" s="2019">
        <v>7943193139</v>
      </c>
      <c r="H783" s="2215">
        <f t="shared" si="12"/>
        <v>-6862323</v>
      </c>
    </row>
    <row r="784" spans="1:8" ht="16.5" thickBot="1">
      <c r="A784" s="1076" t="s">
        <v>227</v>
      </c>
      <c r="B784" s="2016" t="s">
        <v>3095</v>
      </c>
      <c r="C784" s="2212">
        <v>261593874</v>
      </c>
      <c r="D784" s="2212">
        <v>261593874</v>
      </c>
      <c r="E784" s="2020">
        <v>264502090</v>
      </c>
      <c r="F784" s="2020">
        <v>264502090</v>
      </c>
      <c r="H784" s="2215">
        <f t="shared" si="12"/>
        <v>-2908216</v>
      </c>
    </row>
    <row r="785" spans="1:8" ht="16.5" thickBot="1">
      <c r="A785" s="1076" t="s">
        <v>625</v>
      </c>
      <c r="B785" s="2015" t="s">
        <v>151</v>
      </c>
      <c r="C785" s="2212">
        <v>973585765</v>
      </c>
      <c r="D785" s="2212">
        <v>973585765</v>
      </c>
      <c r="E785" s="2019">
        <v>974271523</v>
      </c>
      <c r="F785" s="2019">
        <v>974271523</v>
      </c>
      <c r="H785" s="2215">
        <f t="shared" si="12"/>
        <v>-685758</v>
      </c>
    </row>
    <row r="786" spans="1:8" ht="16.5" thickBot="1">
      <c r="A786" s="1076" t="s">
        <v>2496</v>
      </c>
      <c r="B786" s="2016" t="s">
        <v>488</v>
      </c>
      <c r="C786" s="2212">
        <v>1122092678</v>
      </c>
      <c r="D786" s="2212">
        <v>1122092678</v>
      </c>
      <c r="E786" s="2020">
        <v>1123188375</v>
      </c>
      <c r="F786" s="2020">
        <v>1123188375</v>
      </c>
      <c r="H786" s="2215">
        <f t="shared" si="12"/>
        <v>-1095697</v>
      </c>
    </row>
    <row r="787" spans="1:8" ht="16.5" thickBot="1">
      <c r="A787" s="1076" t="s">
        <v>1657</v>
      </c>
      <c r="B787" s="2015" t="s">
        <v>323</v>
      </c>
      <c r="C787" s="2212">
        <v>240815724</v>
      </c>
      <c r="D787" s="2212">
        <v>240815724</v>
      </c>
      <c r="E787" s="2019">
        <v>240798452</v>
      </c>
      <c r="F787" s="2019">
        <v>240798452</v>
      </c>
      <c r="H787" s="2215">
        <f t="shared" si="12"/>
        <v>17272</v>
      </c>
    </row>
    <row r="788" spans="1:8" ht="16.5" thickBot="1">
      <c r="A788" s="1076" t="s">
        <v>245</v>
      </c>
      <c r="B788" s="2016" t="s">
        <v>2413</v>
      </c>
      <c r="C788" s="2212">
        <v>182320226</v>
      </c>
      <c r="D788" s="2212">
        <v>182320226</v>
      </c>
      <c r="E788" s="2020">
        <v>181768746</v>
      </c>
      <c r="F788" s="2020">
        <v>181768746</v>
      </c>
      <c r="H788" s="2215">
        <f t="shared" si="12"/>
        <v>551480</v>
      </c>
    </row>
    <row r="789" spans="1:8" ht="16.5" thickBot="1">
      <c r="A789" s="1076" t="s">
        <v>1464</v>
      </c>
      <c r="B789" s="2015" t="s">
        <v>489</v>
      </c>
      <c r="C789" s="2212">
        <v>495198983</v>
      </c>
      <c r="D789" s="2212">
        <v>495198983</v>
      </c>
      <c r="E789" s="2019">
        <v>495992730</v>
      </c>
      <c r="F789" s="2019">
        <v>495992730</v>
      </c>
      <c r="H789" s="2215">
        <f t="shared" si="12"/>
        <v>-793747</v>
      </c>
    </row>
    <row r="790" spans="1:8" ht="16.5" thickBot="1">
      <c r="A790" s="1076" t="s">
        <v>1465</v>
      </c>
      <c r="B790" s="2016" t="s">
        <v>2661</v>
      </c>
      <c r="C790" s="2212">
        <v>3714143948</v>
      </c>
      <c r="D790" s="2212">
        <v>3714143948</v>
      </c>
      <c r="E790" s="2020">
        <v>3723639590</v>
      </c>
      <c r="F790" s="2020">
        <v>3723639590</v>
      </c>
      <c r="H790" s="2215">
        <f t="shared" si="12"/>
        <v>-9495642</v>
      </c>
    </row>
    <row r="791" spans="1:8" ht="16.5" thickBot="1">
      <c r="A791" s="1076" t="s">
        <v>2883</v>
      </c>
      <c r="B791" s="2015" t="s">
        <v>180</v>
      </c>
      <c r="C791" s="2212">
        <v>2998874939</v>
      </c>
      <c r="D791" s="2212">
        <v>2998874939</v>
      </c>
      <c r="E791" s="2019">
        <v>2999094755</v>
      </c>
      <c r="F791" s="2019">
        <v>2999094755</v>
      </c>
      <c r="H791" s="2215">
        <f t="shared" si="12"/>
        <v>-219816</v>
      </c>
    </row>
    <row r="792" spans="1:8" ht="16.5" thickBot="1">
      <c r="A792" s="1076" t="s">
        <v>896</v>
      </c>
      <c r="B792" s="2016" t="s">
        <v>181</v>
      </c>
      <c r="C792" s="2212">
        <v>279209997</v>
      </c>
      <c r="D792" s="2212">
        <v>279209997</v>
      </c>
      <c r="E792" s="2020">
        <v>278857172</v>
      </c>
      <c r="F792" s="2020">
        <v>278857172</v>
      </c>
      <c r="H792" s="2215">
        <f t="shared" si="12"/>
        <v>352825</v>
      </c>
    </row>
    <row r="793" spans="1:8" ht="16.5" thickBot="1">
      <c r="A793" s="1076" t="s">
        <v>135</v>
      </c>
      <c r="B793" s="2015" t="s">
        <v>2428</v>
      </c>
      <c r="C793" s="2212">
        <v>47433805</v>
      </c>
      <c r="D793" s="2212">
        <v>47433805</v>
      </c>
      <c r="E793" s="2019">
        <v>47366309</v>
      </c>
      <c r="F793" s="2019">
        <v>47366309</v>
      </c>
      <c r="H793" s="2215">
        <f t="shared" si="12"/>
        <v>67496</v>
      </c>
    </row>
    <row r="794" spans="1:8" ht="16.5" thickBot="1">
      <c r="A794" s="1076" t="s">
        <v>3051</v>
      </c>
      <c r="B794" s="2016" t="s">
        <v>3096</v>
      </c>
      <c r="C794" s="2212">
        <v>227590565</v>
      </c>
      <c r="D794" s="2212">
        <v>227590565</v>
      </c>
      <c r="E794" s="2020">
        <v>227306632</v>
      </c>
      <c r="F794" s="2020">
        <v>227306632</v>
      </c>
      <c r="H794" s="2215">
        <f t="shared" si="12"/>
        <v>283933</v>
      </c>
    </row>
    <row r="795" spans="1:8" ht="16.5" thickBot="1">
      <c r="A795" s="1076" t="s">
        <v>2597</v>
      </c>
      <c r="B795" s="2015" t="s">
        <v>1822</v>
      </c>
      <c r="C795" s="2212">
        <v>213978343</v>
      </c>
      <c r="D795" s="2212">
        <v>213978343</v>
      </c>
      <c r="E795" s="2019">
        <v>213435927</v>
      </c>
      <c r="F795" s="2019">
        <v>213435927</v>
      </c>
      <c r="H795" s="2215">
        <f t="shared" si="12"/>
        <v>542416</v>
      </c>
    </row>
    <row r="796" spans="1:8" ht="16.5" thickBot="1">
      <c r="A796" s="1076" t="s">
        <v>411</v>
      </c>
      <c r="B796" s="2016" t="s">
        <v>3065</v>
      </c>
      <c r="C796" s="2212">
        <v>62137790</v>
      </c>
      <c r="D796" s="2212">
        <v>62137790</v>
      </c>
      <c r="E796" s="2020">
        <v>62150184</v>
      </c>
      <c r="F796" s="2020">
        <v>62150184</v>
      </c>
      <c r="H796" s="2215">
        <f t="shared" si="12"/>
        <v>-12394</v>
      </c>
    </row>
    <row r="797" spans="1:8" ht="16.5" thickBot="1">
      <c r="A797" s="1076" t="s">
        <v>1113</v>
      </c>
      <c r="B797" s="2015" t="s">
        <v>1823</v>
      </c>
      <c r="C797" s="2212">
        <v>3631280708</v>
      </c>
      <c r="D797" s="2212">
        <v>3802033588</v>
      </c>
      <c r="E797" s="2019">
        <v>3631154440</v>
      </c>
      <c r="F797" s="2019">
        <v>3801907320</v>
      </c>
      <c r="H797" s="2215">
        <f t="shared" si="12"/>
        <v>126268</v>
      </c>
    </row>
    <row r="798" spans="1:8" ht="16.5" thickBot="1">
      <c r="A798" s="1076" t="s">
        <v>1932</v>
      </c>
      <c r="B798" s="2016" t="s">
        <v>2430</v>
      </c>
      <c r="C798" s="2212">
        <v>45964816</v>
      </c>
      <c r="D798" s="2212">
        <v>45964816</v>
      </c>
      <c r="E798" s="2020">
        <v>45996636</v>
      </c>
      <c r="F798" s="2020">
        <v>45996636</v>
      </c>
      <c r="H798" s="2215">
        <f t="shared" si="12"/>
        <v>-31820</v>
      </c>
    </row>
    <row r="799" spans="1:8" ht="16.5" thickBot="1">
      <c r="A799" s="1076" t="s">
        <v>793</v>
      </c>
      <c r="B799" s="2015" t="s">
        <v>1824</v>
      </c>
      <c r="C799" s="2212">
        <v>460735540</v>
      </c>
      <c r="D799" s="2212">
        <v>460735540</v>
      </c>
      <c r="E799" s="2019">
        <v>460708670</v>
      </c>
      <c r="F799" s="2019">
        <v>460708670</v>
      </c>
      <c r="H799" s="2215">
        <f t="shared" si="12"/>
        <v>26870</v>
      </c>
    </row>
    <row r="800" spans="1:8" ht="16.5" thickBot="1">
      <c r="A800" s="1076" t="s">
        <v>794</v>
      </c>
      <c r="B800" s="2016" t="s">
        <v>1825</v>
      </c>
      <c r="C800" s="2212">
        <v>326122781</v>
      </c>
      <c r="D800" s="2212">
        <v>326122781</v>
      </c>
      <c r="E800" s="2020">
        <v>325998421</v>
      </c>
      <c r="F800" s="2020">
        <v>325998421</v>
      </c>
      <c r="H800" s="2215">
        <f t="shared" si="12"/>
        <v>124360</v>
      </c>
    </row>
    <row r="801" spans="1:8" ht="16.5" thickBot="1">
      <c r="A801" s="1076" t="s">
        <v>795</v>
      </c>
      <c r="B801" s="2015" t="s">
        <v>1826</v>
      </c>
      <c r="C801" s="2212">
        <v>627037311</v>
      </c>
      <c r="D801" s="2212">
        <v>627037311</v>
      </c>
      <c r="E801" s="2019">
        <v>626890511</v>
      </c>
      <c r="F801" s="2019">
        <v>626890511</v>
      </c>
      <c r="H801" s="2215">
        <f t="shared" si="12"/>
        <v>146800</v>
      </c>
    </row>
    <row r="802" spans="1:8" ht="16.5" thickBot="1">
      <c r="A802" s="1076" t="s">
        <v>1644</v>
      </c>
      <c r="B802" s="2016" t="s">
        <v>1827</v>
      </c>
      <c r="C802" s="2212">
        <v>926330523</v>
      </c>
      <c r="D802" s="2212">
        <v>926330523</v>
      </c>
      <c r="E802" s="2020">
        <v>926312796</v>
      </c>
      <c r="F802" s="2020">
        <v>926312796</v>
      </c>
      <c r="H802" s="2215">
        <f t="shared" si="12"/>
        <v>17727</v>
      </c>
    </row>
    <row r="803" spans="1:8" ht="16.5" thickBot="1">
      <c r="A803" s="1076" t="s">
        <v>1645</v>
      </c>
      <c r="B803" s="2015" t="s">
        <v>1828</v>
      </c>
      <c r="C803" s="2212">
        <v>352895674</v>
      </c>
      <c r="D803" s="2212">
        <v>352895674</v>
      </c>
      <c r="E803" s="2019">
        <v>352721543</v>
      </c>
      <c r="F803" s="2019">
        <v>352721543</v>
      </c>
      <c r="H803" s="2215">
        <f t="shared" si="12"/>
        <v>174131</v>
      </c>
    </row>
    <row r="804" spans="1:8" ht="16.5" thickBot="1">
      <c r="A804" s="1076" t="s">
        <v>1646</v>
      </c>
      <c r="B804" s="2016" t="s">
        <v>1829</v>
      </c>
      <c r="C804" s="2212">
        <v>104116463</v>
      </c>
      <c r="D804" s="2212">
        <v>104116463</v>
      </c>
      <c r="E804" s="2020">
        <v>104094566</v>
      </c>
      <c r="F804" s="2020">
        <v>104094566</v>
      </c>
      <c r="H804" s="2215">
        <f t="shared" si="12"/>
        <v>21897</v>
      </c>
    </row>
    <row r="805" spans="1:8" ht="16.5" thickBot="1">
      <c r="A805" s="1076" t="s">
        <v>1647</v>
      </c>
      <c r="B805" s="2015" t="s">
        <v>1830</v>
      </c>
      <c r="C805" s="2212">
        <v>2065777818</v>
      </c>
      <c r="D805" s="2212">
        <v>2065777818</v>
      </c>
      <c r="E805" s="2019">
        <v>2065910883</v>
      </c>
      <c r="F805" s="2019">
        <v>2065910883</v>
      </c>
      <c r="H805" s="2215">
        <f t="shared" si="12"/>
        <v>-133065</v>
      </c>
    </row>
    <row r="806" spans="1:8" ht="16.5" thickBot="1">
      <c r="A806" s="1076" t="s">
        <v>1648</v>
      </c>
      <c r="B806" s="2016" t="s">
        <v>1831</v>
      </c>
      <c r="C806" s="2212">
        <v>434550024</v>
      </c>
      <c r="D806" s="2212">
        <v>434550024</v>
      </c>
      <c r="E806" s="2020">
        <v>434393224</v>
      </c>
      <c r="F806" s="2020">
        <v>434393224</v>
      </c>
      <c r="H806" s="2215">
        <f t="shared" si="12"/>
        <v>156800</v>
      </c>
    </row>
    <row r="807" spans="1:8" ht="16.5" thickBot="1">
      <c r="A807" s="1076" t="s">
        <v>1649</v>
      </c>
      <c r="B807" s="2015" t="s">
        <v>1102</v>
      </c>
      <c r="C807" s="2212">
        <v>113187111</v>
      </c>
      <c r="D807" s="2212">
        <v>113187111</v>
      </c>
      <c r="E807" s="2019">
        <v>113211135</v>
      </c>
      <c r="F807" s="2019">
        <v>113211135</v>
      </c>
      <c r="H807" s="2215">
        <f t="shared" si="12"/>
        <v>-24024</v>
      </c>
    </row>
    <row r="808" spans="1:8" ht="16.5" thickBot="1">
      <c r="A808" s="1076" t="s">
        <v>1885</v>
      </c>
      <c r="B808" s="2016" t="s">
        <v>1103</v>
      </c>
      <c r="C808" s="2212">
        <v>6733554380</v>
      </c>
      <c r="D808" s="2212">
        <v>6733554380</v>
      </c>
      <c r="E808" s="2020">
        <v>6732732565</v>
      </c>
      <c r="F808" s="2020">
        <v>6732732565</v>
      </c>
      <c r="H808" s="2215">
        <f t="shared" si="12"/>
        <v>821815</v>
      </c>
    </row>
    <row r="809" spans="1:8" ht="16.5" thickBot="1">
      <c r="A809" s="1076" t="s">
        <v>2056</v>
      </c>
      <c r="B809" s="2015" t="s">
        <v>668</v>
      </c>
      <c r="C809" s="2212">
        <v>1184546835</v>
      </c>
      <c r="D809" s="2212">
        <v>1184546835</v>
      </c>
      <c r="E809" s="2019">
        <v>1184809473</v>
      </c>
      <c r="F809" s="2019">
        <v>1184809473</v>
      </c>
      <c r="H809" s="2215">
        <f t="shared" si="12"/>
        <v>-262638</v>
      </c>
    </row>
    <row r="810" spans="1:8" ht="16.5" thickBot="1">
      <c r="A810" s="1076" t="s">
        <v>1886</v>
      </c>
      <c r="B810" s="2016" t="s">
        <v>2166</v>
      </c>
      <c r="C810" s="2212">
        <v>279844277</v>
      </c>
      <c r="D810" s="2212">
        <v>279844277</v>
      </c>
      <c r="E810" s="2020">
        <v>279669881</v>
      </c>
      <c r="F810" s="2020">
        <v>279669881</v>
      </c>
      <c r="H810" s="2215">
        <f t="shared" si="12"/>
        <v>174396</v>
      </c>
    </row>
    <row r="811" spans="1:8" ht="16.5" thickBot="1">
      <c r="A811" s="1076" t="s">
        <v>412</v>
      </c>
      <c r="B811" s="2015" t="s">
        <v>2556</v>
      </c>
      <c r="C811" s="2212">
        <v>75548112</v>
      </c>
      <c r="D811" s="2212">
        <v>75548112</v>
      </c>
      <c r="E811" s="2019">
        <v>75517317</v>
      </c>
      <c r="F811" s="2019">
        <v>75517317</v>
      </c>
      <c r="H811" s="2215">
        <f t="shared" si="12"/>
        <v>30795</v>
      </c>
    </row>
    <row r="812" spans="1:8" ht="16.5" thickBot="1">
      <c r="A812" s="1076" t="s">
        <v>1350</v>
      </c>
      <c r="B812" s="2016" t="s">
        <v>1290</v>
      </c>
      <c r="C812" s="2212">
        <v>228360592</v>
      </c>
      <c r="D812" s="2212">
        <v>228360592</v>
      </c>
      <c r="E812" s="2020">
        <v>227849588</v>
      </c>
      <c r="F812" s="2020">
        <v>227849588</v>
      </c>
      <c r="H812" s="2215">
        <f t="shared" si="12"/>
        <v>511004</v>
      </c>
    </row>
    <row r="813" spans="1:8" ht="16.5" thickBot="1">
      <c r="A813" s="1076" t="s">
        <v>413</v>
      </c>
      <c r="B813" s="2015" t="s">
        <v>291</v>
      </c>
      <c r="C813" s="2212">
        <v>5577763</v>
      </c>
      <c r="D813" s="2212">
        <v>5577763</v>
      </c>
      <c r="E813" s="2019">
        <v>5562073</v>
      </c>
      <c r="F813" s="2019">
        <v>5562073</v>
      </c>
      <c r="H813" s="2215">
        <f t="shared" si="12"/>
        <v>15690</v>
      </c>
    </row>
    <row r="814" spans="1:8" ht="16.5" thickBot="1">
      <c r="A814" s="1076" t="s">
        <v>1887</v>
      </c>
      <c r="B814" s="2016" t="s">
        <v>2167</v>
      </c>
      <c r="C814" s="2212">
        <v>1734239345</v>
      </c>
      <c r="D814" s="2212">
        <v>1734239345</v>
      </c>
      <c r="E814" s="2020">
        <v>1734565845</v>
      </c>
      <c r="F814" s="2020">
        <v>1734565845</v>
      </c>
      <c r="H814" s="2215">
        <f t="shared" si="12"/>
        <v>-326500</v>
      </c>
    </row>
    <row r="815" spans="1:8" ht="16.5" thickBot="1">
      <c r="A815" s="1076" t="s">
        <v>1888</v>
      </c>
      <c r="B815" s="2015" t="s">
        <v>1718</v>
      </c>
      <c r="C815" s="2212">
        <v>93293241</v>
      </c>
      <c r="D815" s="2212">
        <v>93293241</v>
      </c>
      <c r="E815" s="2019">
        <v>93423331</v>
      </c>
      <c r="F815" s="2019">
        <v>93423331</v>
      </c>
      <c r="H815" s="2215">
        <f t="shared" si="12"/>
        <v>-130090</v>
      </c>
    </row>
    <row r="816" spans="1:8" ht="16.5" thickBot="1">
      <c r="A816" s="1076" t="s">
        <v>1889</v>
      </c>
      <c r="B816" s="2016" t="s">
        <v>1719</v>
      </c>
      <c r="C816" s="2212">
        <v>48065565</v>
      </c>
      <c r="D816" s="2212">
        <v>48065565</v>
      </c>
      <c r="E816" s="2020">
        <v>48130955</v>
      </c>
      <c r="F816" s="2020">
        <v>48130955</v>
      </c>
      <c r="H816" s="2215">
        <f t="shared" si="12"/>
        <v>-65390</v>
      </c>
    </row>
    <row r="817" spans="1:8" ht="16.5" thickBot="1">
      <c r="A817" s="1076" t="s">
        <v>2830</v>
      </c>
      <c r="B817" s="2015" t="s">
        <v>2467</v>
      </c>
      <c r="C817" s="2212">
        <v>60977676</v>
      </c>
      <c r="D817" s="2212">
        <v>60977676</v>
      </c>
      <c r="E817" s="2019">
        <v>61169076</v>
      </c>
      <c r="F817" s="2019">
        <v>61169076</v>
      </c>
      <c r="H817" s="2215">
        <f t="shared" si="12"/>
        <v>-191400</v>
      </c>
    </row>
    <row r="818" spans="1:8" ht="16.5" thickBot="1">
      <c r="A818" s="1076" t="s">
        <v>2831</v>
      </c>
      <c r="B818" s="2016" t="s">
        <v>1538</v>
      </c>
      <c r="C818" s="2212">
        <v>77629597</v>
      </c>
      <c r="D818" s="2212">
        <v>77629597</v>
      </c>
      <c r="E818" s="2020">
        <v>77515827</v>
      </c>
      <c r="F818" s="2020">
        <v>77515827</v>
      </c>
      <c r="H818" s="2215">
        <f t="shared" si="12"/>
        <v>113770</v>
      </c>
    </row>
    <row r="819" spans="1:8" ht="16.5" thickBot="1">
      <c r="A819" s="1076" t="s">
        <v>1890</v>
      </c>
      <c r="B819" s="2015" t="s">
        <v>1720</v>
      </c>
      <c r="C819" s="2212">
        <v>1254067269</v>
      </c>
      <c r="D819" s="2212">
        <v>1254067269</v>
      </c>
      <c r="E819" s="2019">
        <v>1254571819</v>
      </c>
      <c r="F819" s="2019">
        <v>1254571819</v>
      </c>
      <c r="H819" s="2215">
        <f t="shared" si="12"/>
        <v>-504550</v>
      </c>
    </row>
    <row r="820" spans="1:8" ht="16.5" thickBot="1">
      <c r="A820" s="1076" t="s">
        <v>218</v>
      </c>
      <c r="B820" s="2016" t="s">
        <v>729</v>
      </c>
      <c r="C820" s="2212">
        <v>117147597</v>
      </c>
      <c r="D820" s="2212">
        <v>117147597</v>
      </c>
      <c r="E820" s="2020">
        <v>117314388</v>
      </c>
      <c r="F820" s="2020">
        <v>117314388</v>
      </c>
      <c r="H820" s="2215">
        <f t="shared" si="12"/>
        <v>-166791</v>
      </c>
    </row>
    <row r="821" spans="1:8" ht="16.5" thickBot="1">
      <c r="A821" s="1076" t="s">
        <v>1891</v>
      </c>
      <c r="B821" s="2015" t="s">
        <v>4585</v>
      </c>
      <c r="C821" s="2212">
        <v>542421332</v>
      </c>
      <c r="D821" s="2212">
        <v>542421332</v>
      </c>
      <c r="E821" s="2019">
        <v>542664632</v>
      </c>
      <c r="F821" s="2019">
        <v>542664632</v>
      </c>
      <c r="H821" s="2215">
        <f t="shared" si="12"/>
        <v>-243300</v>
      </c>
    </row>
    <row r="822" spans="1:8" ht="16.5" thickBot="1">
      <c r="A822" s="1076" t="s">
        <v>1575</v>
      </c>
      <c r="B822" s="2016" t="s">
        <v>1722</v>
      </c>
      <c r="C822" s="2212">
        <v>476843354</v>
      </c>
      <c r="D822" s="2212">
        <v>476843354</v>
      </c>
      <c r="E822" s="2020">
        <v>475741872</v>
      </c>
      <c r="F822" s="2020">
        <v>475741872</v>
      </c>
      <c r="H822" s="2215">
        <f t="shared" si="12"/>
        <v>1101482</v>
      </c>
    </row>
    <row r="823" spans="1:8" ht="16.5" thickBot="1">
      <c r="A823" s="1076" t="s">
        <v>1576</v>
      </c>
      <c r="B823" s="2015" t="s">
        <v>1723</v>
      </c>
      <c r="C823" s="2212">
        <v>101046835</v>
      </c>
      <c r="D823" s="2212">
        <v>101046835</v>
      </c>
      <c r="E823" s="2019">
        <v>100735093</v>
      </c>
      <c r="F823" s="2019">
        <v>100735093</v>
      </c>
      <c r="H823" s="2215">
        <f t="shared" si="12"/>
        <v>311742</v>
      </c>
    </row>
    <row r="824" spans="1:8" ht="16.5" thickBot="1">
      <c r="A824" s="1076" t="s">
        <v>1577</v>
      </c>
      <c r="B824" s="2016" t="s">
        <v>2364</v>
      </c>
      <c r="C824" s="2212">
        <v>459172380</v>
      </c>
      <c r="D824" s="2212">
        <v>459172380</v>
      </c>
      <c r="E824" s="2020">
        <v>459352368</v>
      </c>
      <c r="F824" s="2020">
        <v>459352368</v>
      </c>
      <c r="H824" s="2215">
        <f t="shared" si="12"/>
        <v>-179988</v>
      </c>
    </row>
    <row r="825" spans="1:8" ht="16.5" thickBot="1">
      <c r="A825" s="1076" t="s">
        <v>1832</v>
      </c>
      <c r="B825" s="2015" t="s">
        <v>2365</v>
      </c>
      <c r="C825" s="2212">
        <v>175604721</v>
      </c>
      <c r="D825" s="2212">
        <v>175604721</v>
      </c>
      <c r="E825" s="2019">
        <v>175534417</v>
      </c>
      <c r="F825" s="2019">
        <v>175534417</v>
      </c>
      <c r="H825" s="2215">
        <f t="shared" si="12"/>
        <v>70304</v>
      </c>
    </row>
    <row r="826" spans="1:8" ht="16.5" thickBot="1">
      <c r="A826" s="1076" t="s">
        <v>1833</v>
      </c>
      <c r="B826" s="2016" t="s">
        <v>2663</v>
      </c>
      <c r="C826" s="2212">
        <v>999843508</v>
      </c>
      <c r="D826" s="2212">
        <v>999843508</v>
      </c>
      <c r="E826" s="2020">
        <v>999019947</v>
      </c>
      <c r="F826" s="2020">
        <v>999019947</v>
      </c>
      <c r="H826" s="2215">
        <f t="shared" si="12"/>
        <v>823561</v>
      </c>
    </row>
    <row r="827" spans="1:8" ht="16.5" thickBot="1">
      <c r="A827" s="1076" t="s">
        <v>2790</v>
      </c>
      <c r="B827" s="2015" t="s">
        <v>384</v>
      </c>
      <c r="C827" s="2212">
        <v>323064218</v>
      </c>
      <c r="D827" s="2212">
        <v>323064218</v>
      </c>
      <c r="E827" s="2019">
        <v>323395031</v>
      </c>
      <c r="F827" s="2019">
        <v>323395031</v>
      </c>
      <c r="H827" s="2215">
        <f t="shared" si="12"/>
        <v>-330813</v>
      </c>
    </row>
    <row r="828" spans="1:8" ht="16.5" thickBot="1">
      <c r="A828" s="1076" t="s">
        <v>1382</v>
      </c>
      <c r="B828" s="2016" t="s">
        <v>2774</v>
      </c>
      <c r="C828" s="2212">
        <v>634844383</v>
      </c>
      <c r="D828" s="2212">
        <v>634844383</v>
      </c>
      <c r="E828" s="2020">
        <v>634605830</v>
      </c>
      <c r="F828" s="2020">
        <v>634605830</v>
      </c>
      <c r="H828" s="2215">
        <f t="shared" si="12"/>
        <v>238553</v>
      </c>
    </row>
    <row r="829" spans="1:8" ht="16.5" thickBot="1">
      <c r="A829" s="1076" t="s">
        <v>2791</v>
      </c>
      <c r="B829" s="2015" t="s">
        <v>385</v>
      </c>
      <c r="C829" s="2212">
        <v>1355321631</v>
      </c>
      <c r="D829" s="2212">
        <v>1428166901</v>
      </c>
      <c r="E829" s="2019">
        <v>1355180448</v>
      </c>
      <c r="F829" s="2019">
        <v>1428025718</v>
      </c>
      <c r="H829" s="2215">
        <f t="shared" si="12"/>
        <v>141183</v>
      </c>
    </row>
    <row r="830" spans="1:8" ht="16.5" thickBot="1">
      <c r="A830" s="1076" t="s">
        <v>1639</v>
      </c>
      <c r="B830" s="2016" t="s">
        <v>386</v>
      </c>
      <c r="C830" s="2212">
        <v>1518824320</v>
      </c>
      <c r="D830" s="2212">
        <v>1518824320</v>
      </c>
      <c r="E830" s="2020">
        <v>1518643306</v>
      </c>
      <c r="F830" s="2020">
        <v>1518643306</v>
      </c>
      <c r="H830" s="2215">
        <f t="shared" si="12"/>
        <v>181014</v>
      </c>
    </row>
    <row r="831" spans="1:8" ht="16.5" thickBot="1">
      <c r="A831" s="1076" t="s">
        <v>2892</v>
      </c>
      <c r="B831" s="2015" t="s">
        <v>2360</v>
      </c>
      <c r="C831" s="2212">
        <v>365895244</v>
      </c>
      <c r="D831" s="2212">
        <v>365895244</v>
      </c>
      <c r="E831" s="2019">
        <v>365587466</v>
      </c>
      <c r="F831" s="2019">
        <v>365587466</v>
      </c>
      <c r="H831" s="2215">
        <f t="shared" si="12"/>
        <v>307778</v>
      </c>
    </row>
    <row r="832" spans="1:8" ht="16.5" thickBot="1">
      <c r="A832" s="1076" t="s">
        <v>1591</v>
      </c>
      <c r="B832" s="2016" t="s">
        <v>289</v>
      </c>
      <c r="C832" s="2212">
        <v>313609260</v>
      </c>
      <c r="D832" s="2212">
        <v>358027260</v>
      </c>
      <c r="E832" s="2020">
        <v>313299422</v>
      </c>
      <c r="F832" s="2020">
        <v>357717422</v>
      </c>
      <c r="H832" s="2215">
        <f t="shared" si="12"/>
        <v>309838</v>
      </c>
    </row>
    <row r="833" spans="1:8" ht="16.5" thickBot="1">
      <c r="A833" s="1076" t="s">
        <v>1493</v>
      </c>
      <c r="B833" s="2015" t="s">
        <v>296</v>
      </c>
      <c r="C833" s="2212">
        <v>399771978</v>
      </c>
      <c r="D833" s="2212">
        <v>456747978</v>
      </c>
      <c r="E833" s="2019">
        <v>399428634</v>
      </c>
      <c r="F833" s="2019">
        <v>456404634</v>
      </c>
      <c r="H833" s="2215">
        <f t="shared" si="12"/>
        <v>343344</v>
      </c>
    </row>
    <row r="834" spans="1:8" ht="16.5" thickBot="1">
      <c r="A834" s="1076" t="s">
        <v>219</v>
      </c>
      <c r="B834" s="2016" t="s">
        <v>656</v>
      </c>
      <c r="C834" s="2212">
        <v>296493186</v>
      </c>
      <c r="D834" s="2212">
        <v>507137886</v>
      </c>
      <c r="E834" s="2020">
        <v>296103992</v>
      </c>
      <c r="F834" s="2020">
        <v>506748692</v>
      </c>
      <c r="H834" s="2215">
        <f t="shared" ref="H834:H897" si="13">C834-E834</f>
        <v>389194</v>
      </c>
    </row>
    <row r="835" spans="1:8" ht="16.5" thickBot="1">
      <c r="A835" s="1076" t="s">
        <v>531</v>
      </c>
      <c r="B835" s="2015" t="s">
        <v>1584</v>
      </c>
      <c r="C835" s="2212">
        <v>192833416</v>
      </c>
      <c r="D835" s="2212">
        <v>192833416</v>
      </c>
      <c r="E835" s="2019">
        <v>192522086</v>
      </c>
      <c r="F835" s="2019">
        <v>192522086</v>
      </c>
      <c r="H835" s="2215">
        <f t="shared" si="13"/>
        <v>311330</v>
      </c>
    </row>
    <row r="836" spans="1:8" ht="16.5" thickBot="1">
      <c r="A836" s="1076" t="s">
        <v>1640</v>
      </c>
      <c r="B836" s="2016" t="s">
        <v>387</v>
      </c>
      <c r="C836" s="2212">
        <v>58729706</v>
      </c>
      <c r="D836" s="2212">
        <v>58729706</v>
      </c>
      <c r="E836" s="2020">
        <v>58622536</v>
      </c>
      <c r="F836" s="2020">
        <v>58622536</v>
      </c>
      <c r="H836" s="2215">
        <f t="shared" si="13"/>
        <v>107170</v>
      </c>
    </row>
    <row r="837" spans="1:8" ht="16.5" thickBot="1">
      <c r="A837" s="1076" t="s">
        <v>1641</v>
      </c>
      <c r="B837" s="2015" t="s">
        <v>388</v>
      </c>
      <c r="C837" s="2212">
        <v>45371650</v>
      </c>
      <c r="D837" s="2212">
        <v>45371650</v>
      </c>
      <c r="E837" s="2019">
        <v>45373090</v>
      </c>
      <c r="F837" s="2019">
        <v>45373090</v>
      </c>
      <c r="H837" s="2215">
        <f t="shared" si="13"/>
        <v>-1440</v>
      </c>
    </row>
    <row r="838" spans="1:8" ht="16.5" thickBot="1">
      <c r="A838" s="1076" t="s">
        <v>1557</v>
      </c>
      <c r="B838" s="2016" t="s">
        <v>389</v>
      </c>
      <c r="C838" s="2212">
        <v>406436587</v>
      </c>
      <c r="D838" s="2212">
        <v>415047417</v>
      </c>
      <c r="E838" s="2020">
        <v>406722421</v>
      </c>
      <c r="F838" s="2020">
        <v>415333251</v>
      </c>
      <c r="H838" s="2215">
        <f t="shared" si="13"/>
        <v>-285834</v>
      </c>
    </row>
    <row r="839" spans="1:8" ht="16.5" thickBot="1">
      <c r="A839" s="1076" t="s">
        <v>1558</v>
      </c>
      <c r="B839" s="2015" t="s">
        <v>390</v>
      </c>
      <c r="C839" s="2212">
        <v>140203685</v>
      </c>
      <c r="D839" s="2212">
        <v>405788495</v>
      </c>
      <c r="E839" s="2019">
        <v>140287472</v>
      </c>
      <c r="F839" s="2019">
        <v>405872282</v>
      </c>
      <c r="H839" s="2215">
        <f t="shared" si="13"/>
        <v>-83787</v>
      </c>
    </row>
    <row r="840" spans="1:8" ht="16.5" thickBot="1">
      <c r="A840" s="1076" t="s">
        <v>1559</v>
      </c>
      <c r="B840" s="2016" t="s">
        <v>391</v>
      </c>
      <c r="C840" s="2212">
        <v>3345848208</v>
      </c>
      <c r="D840" s="2212">
        <v>3402745638</v>
      </c>
      <c r="E840" s="2020">
        <v>3347103645</v>
      </c>
      <c r="F840" s="2020">
        <v>3404001075</v>
      </c>
      <c r="H840" s="2215">
        <f t="shared" si="13"/>
        <v>-1255437</v>
      </c>
    </row>
    <row r="841" spans="1:8" ht="16.5" thickBot="1">
      <c r="A841" s="1076" t="s">
        <v>1662</v>
      </c>
      <c r="B841" s="2015" t="s">
        <v>392</v>
      </c>
      <c r="C841" s="2212">
        <v>257031217</v>
      </c>
      <c r="D841" s="2212">
        <v>257031217</v>
      </c>
      <c r="E841" s="2019">
        <v>257159962</v>
      </c>
      <c r="F841" s="2019">
        <v>257159962</v>
      </c>
      <c r="H841" s="2215">
        <f t="shared" si="13"/>
        <v>-128745</v>
      </c>
    </row>
    <row r="842" spans="1:8" ht="16.5" thickBot="1">
      <c r="A842" s="1076" t="s">
        <v>1084</v>
      </c>
      <c r="B842" s="2016" t="s">
        <v>393</v>
      </c>
      <c r="C842" s="2212">
        <v>315366121</v>
      </c>
      <c r="D842" s="2212">
        <v>443915071</v>
      </c>
      <c r="E842" s="2020">
        <v>315181307</v>
      </c>
      <c r="F842" s="2020">
        <v>443730257</v>
      </c>
      <c r="H842" s="2215">
        <f t="shared" si="13"/>
        <v>184814</v>
      </c>
    </row>
    <row r="843" spans="1:8" ht="16.5" thickBot="1">
      <c r="A843" s="1076" t="s">
        <v>1085</v>
      </c>
      <c r="B843" s="2015" t="s">
        <v>394</v>
      </c>
      <c r="C843" s="2212">
        <v>79333915</v>
      </c>
      <c r="D843" s="2212">
        <v>79333915</v>
      </c>
      <c r="E843" s="2019">
        <v>79329940</v>
      </c>
      <c r="F843" s="2019">
        <v>79329940</v>
      </c>
      <c r="H843" s="2215">
        <f t="shared" si="13"/>
        <v>3975</v>
      </c>
    </row>
    <row r="844" spans="1:8" ht="16.5" thickBot="1">
      <c r="A844" s="1076" t="s">
        <v>1086</v>
      </c>
      <c r="B844" s="2016" t="s">
        <v>1995</v>
      </c>
      <c r="C844" s="2212">
        <v>620444671</v>
      </c>
      <c r="D844" s="2212">
        <v>620444671</v>
      </c>
      <c r="E844" s="2020">
        <v>622297445</v>
      </c>
      <c r="F844" s="2020">
        <v>622297445</v>
      </c>
      <c r="H844" s="2215">
        <f t="shared" si="13"/>
        <v>-1852774</v>
      </c>
    </row>
    <row r="845" spans="1:8" ht="16.5" thickBot="1">
      <c r="A845" s="1076" t="s">
        <v>1245</v>
      </c>
      <c r="B845" s="2015" t="s">
        <v>1996</v>
      </c>
      <c r="C845" s="2212">
        <v>195679869</v>
      </c>
      <c r="D845" s="2212">
        <v>195679869</v>
      </c>
      <c r="E845" s="2019">
        <v>196627418</v>
      </c>
      <c r="F845" s="2019">
        <v>196627418</v>
      </c>
      <c r="H845" s="2215">
        <f t="shared" si="13"/>
        <v>-947549</v>
      </c>
    </row>
    <row r="846" spans="1:8" ht="16.5" thickBot="1">
      <c r="A846" s="1076" t="s">
        <v>220</v>
      </c>
      <c r="B846" s="2016" t="s">
        <v>1418</v>
      </c>
      <c r="C846" s="2212">
        <v>257300477</v>
      </c>
      <c r="D846" s="2212">
        <v>257300477</v>
      </c>
      <c r="E846" s="2020">
        <v>258328442</v>
      </c>
      <c r="F846" s="2020">
        <v>258328442</v>
      </c>
      <c r="H846" s="2215">
        <f t="shared" si="13"/>
        <v>-1027965</v>
      </c>
    </row>
    <row r="847" spans="1:8" ht="16.5" thickBot="1">
      <c r="A847" s="1076" t="s">
        <v>1246</v>
      </c>
      <c r="B847" s="2015" t="s">
        <v>1997</v>
      </c>
      <c r="C847" s="2212">
        <v>104681062</v>
      </c>
      <c r="D847" s="2212">
        <v>104681062</v>
      </c>
      <c r="E847" s="2019">
        <v>104991342</v>
      </c>
      <c r="F847" s="2019">
        <v>104991342</v>
      </c>
      <c r="H847" s="2215">
        <f t="shared" si="13"/>
        <v>-310280</v>
      </c>
    </row>
    <row r="848" spans="1:8" ht="16.5" thickBot="1">
      <c r="A848" s="1076" t="s">
        <v>1247</v>
      </c>
      <c r="B848" s="2016" t="s">
        <v>1998</v>
      </c>
      <c r="C848" s="2212">
        <v>140066525</v>
      </c>
      <c r="D848" s="2212">
        <v>140066525</v>
      </c>
      <c r="E848" s="2020">
        <v>141069136</v>
      </c>
      <c r="F848" s="2020">
        <v>141069136</v>
      </c>
      <c r="H848" s="2215">
        <f t="shared" si="13"/>
        <v>-1002611</v>
      </c>
    </row>
    <row r="849" spans="1:8" ht="16.5" thickBot="1">
      <c r="A849" s="1076" t="s">
        <v>1407</v>
      </c>
      <c r="B849" s="2015" t="s">
        <v>1999</v>
      </c>
      <c r="C849" s="2212">
        <v>53969464</v>
      </c>
      <c r="D849" s="2212">
        <v>53969464</v>
      </c>
      <c r="E849" s="2019">
        <v>54011804</v>
      </c>
      <c r="F849" s="2019">
        <v>54011804</v>
      </c>
      <c r="H849" s="2215">
        <f t="shared" si="13"/>
        <v>-42340</v>
      </c>
    </row>
    <row r="850" spans="1:8" ht="16.5" thickBot="1">
      <c r="A850" s="1076" t="s">
        <v>1408</v>
      </c>
      <c r="B850" s="2016" t="s">
        <v>2000</v>
      </c>
      <c r="C850" s="2212">
        <v>128345523</v>
      </c>
      <c r="D850" s="2212">
        <v>128345523</v>
      </c>
      <c r="E850" s="2020">
        <v>128349263</v>
      </c>
      <c r="F850" s="2020">
        <v>128349263</v>
      </c>
      <c r="H850" s="2215">
        <f t="shared" si="13"/>
        <v>-3740</v>
      </c>
    </row>
    <row r="851" spans="1:8" ht="16.5" thickBot="1">
      <c r="A851" s="1076" t="s">
        <v>2040</v>
      </c>
      <c r="B851" s="2015" t="s">
        <v>2271</v>
      </c>
      <c r="C851" s="2212">
        <v>476481812</v>
      </c>
      <c r="D851" s="2212">
        <v>476481812</v>
      </c>
      <c r="E851" s="2019">
        <v>476388537</v>
      </c>
      <c r="F851" s="2019">
        <v>476388537</v>
      </c>
      <c r="H851" s="2215">
        <f t="shared" si="13"/>
        <v>93275</v>
      </c>
    </row>
    <row r="852" spans="1:8" ht="16.5" thickBot="1">
      <c r="A852" s="1076" t="s">
        <v>304</v>
      </c>
      <c r="B852" s="2016" t="s">
        <v>2425</v>
      </c>
      <c r="C852" s="2212">
        <v>335427649</v>
      </c>
      <c r="D852" s="2212">
        <v>335427649</v>
      </c>
      <c r="E852" s="2020">
        <v>335901084</v>
      </c>
      <c r="F852" s="2020">
        <v>335901084</v>
      </c>
      <c r="H852" s="2215">
        <f t="shared" si="13"/>
        <v>-473435</v>
      </c>
    </row>
    <row r="853" spans="1:8" ht="16.5" thickBot="1">
      <c r="A853" s="1076" t="s">
        <v>1943</v>
      </c>
      <c r="B853" s="2015" t="s">
        <v>2272</v>
      </c>
      <c r="C853" s="2212">
        <v>852795871</v>
      </c>
      <c r="D853" s="2212">
        <v>852795871</v>
      </c>
      <c r="E853" s="2019">
        <v>853232717</v>
      </c>
      <c r="F853" s="2019">
        <v>853232717</v>
      </c>
      <c r="H853" s="2215">
        <f t="shared" si="13"/>
        <v>-436846</v>
      </c>
    </row>
    <row r="854" spans="1:8" ht="16.5" thickBot="1">
      <c r="A854" s="1076" t="s">
        <v>1944</v>
      </c>
      <c r="B854" s="2016" t="s">
        <v>2273</v>
      </c>
      <c r="C854" s="2212">
        <v>1208636929</v>
      </c>
      <c r="D854" s="2212">
        <v>1208636929</v>
      </c>
      <c r="E854" s="2020">
        <v>1208385989</v>
      </c>
      <c r="F854" s="2020">
        <v>1208385989</v>
      </c>
      <c r="H854" s="2215">
        <f t="shared" si="13"/>
        <v>250940</v>
      </c>
    </row>
    <row r="855" spans="1:8" ht="16.5" thickBot="1">
      <c r="A855" s="1076" t="s">
        <v>1136</v>
      </c>
      <c r="B855" s="2015" t="s">
        <v>2274</v>
      </c>
      <c r="C855" s="2212">
        <v>293976023</v>
      </c>
      <c r="D855" s="2212">
        <v>293976023</v>
      </c>
      <c r="E855" s="2019">
        <v>294071046</v>
      </c>
      <c r="F855" s="2019">
        <v>294071046</v>
      </c>
      <c r="H855" s="2215">
        <f t="shared" si="13"/>
        <v>-95023</v>
      </c>
    </row>
    <row r="856" spans="1:8" ht="16.5" thickBot="1">
      <c r="A856" s="1076" t="s">
        <v>217</v>
      </c>
      <c r="B856" s="2016" t="s">
        <v>2275</v>
      </c>
      <c r="C856" s="2212">
        <v>7754430527</v>
      </c>
      <c r="D856" s="2212">
        <v>7754430527</v>
      </c>
      <c r="E856" s="2020">
        <v>7753086364</v>
      </c>
      <c r="F856" s="2020">
        <v>7753086364</v>
      </c>
      <c r="H856" s="2215">
        <f t="shared" si="13"/>
        <v>1344163</v>
      </c>
    </row>
    <row r="857" spans="1:8" ht="16.5" thickBot="1">
      <c r="A857" s="1076" t="s">
        <v>1348</v>
      </c>
      <c r="B857" s="2015" t="s">
        <v>1510</v>
      </c>
      <c r="C857" s="2212">
        <v>1728989980</v>
      </c>
      <c r="D857" s="2212">
        <v>1728989980</v>
      </c>
      <c r="E857" s="2019">
        <v>1729117530</v>
      </c>
      <c r="F857" s="2019">
        <v>1729117530</v>
      </c>
      <c r="H857" s="2215">
        <f t="shared" si="13"/>
        <v>-127550</v>
      </c>
    </row>
    <row r="858" spans="1:8" ht="16.5" thickBot="1">
      <c r="A858" s="1076" t="s">
        <v>1516</v>
      </c>
      <c r="B858" s="2016" t="s">
        <v>735</v>
      </c>
      <c r="C858" s="2212">
        <v>1141190277</v>
      </c>
      <c r="D858" s="2212">
        <v>1141190277</v>
      </c>
      <c r="E858" s="2020">
        <v>1141707194</v>
      </c>
      <c r="F858" s="2020">
        <v>1141707194</v>
      </c>
      <c r="H858" s="2215">
        <f t="shared" si="13"/>
        <v>-516917</v>
      </c>
    </row>
    <row r="859" spans="1:8" ht="16.5" thickBot="1">
      <c r="A859" s="1076" t="s">
        <v>1517</v>
      </c>
      <c r="B859" s="2015" t="s">
        <v>2276</v>
      </c>
      <c r="C859" s="2212">
        <v>415136993</v>
      </c>
      <c r="D859" s="2212">
        <v>415136993</v>
      </c>
      <c r="E859" s="2019">
        <v>415167474</v>
      </c>
      <c r="F859" s="2019">
        <v>415167474</v>
      </c>
      <c r="H859" s="2215">
        <f t="shared" si="13"/>
        <v>-30481</v>
      </c>
    </row>
    <row r="860" spans="1:8" ht="16.5" thickBot="1">
      <c r="A860" s="1076" t="s">
        <v>1518</v>
      </c>
      <c r="B860" s="2016" t="s">
        <v>2277</v>
      </c>
      <c r="C860" s="2212">
        <v>2720186010</v>
      </c>
      <c r="D860" s="2212">
        <v>2720186010</v>
      </c>
      <c r="E860" s="2020">
        <v>2720642583</v>
      </c>
      <c r="F860" s="2020">
        <v>2720642583</v>
      </c>
      <c r="H860" s="2215">
        <f t="shared" si="13"/>
        <v>-456573</v>
      </c>
    </row>
    <row r="861" spans="1:8" ht="16.5" thickBot="1">
      <c r="A861" s="1076" t="s">
        <v>3050</v>
      </c>
      <c r="B861" s="2015" t="s">
        <v>3092</v>
      </c>
      <c r="C861" s="2212">
        <v>1227593852</v>
      </c>
      <c r="D861" s="2212">
        <v>1227593852</v>
      </c>
      <c r="E861" s="2019">
        <v>1227133926</v>
      </c>
      <c r="F861" s="2019">
        <v>1227133926</v>
      </c>
      <c r="H861" s="2215">
        <f t="shared" si="13"/>
        <v>459926</v>
      </c>
    </row>
    <row r="862" spans="1:8" ht="16.5" thickBot="1">
      <c r="A862" s="1076" t="s">
        <v>1945</v>
      </c>
      <c r="B862" s="2016" t="s">
        <v>2278</v>
      </c>
      <c r="C862" s="2212">
        <v>183997471</v>
      </c>
      <c r="D862" s="2212">
        <v>183997471</v>
      </c>
      <c r="E862" s="2020">
        <v>184480231</v>
      </c>
      <c r="F862" s="2020">
        <v>184480231</v>
      </c>
      <c r="H862" s="2215">
        <f t="shared" si="13"/>
        <v>-482760</v>
      </c>
    </row>
    <row r="863" spans="1:8" ht="16.5" thickBot="1">
      <c r="A863" s="1076" t="s">
        <v>221</v>
      </c>
      <c r="B863" s="2015" t="s">
        <v>663</v>
      </c>
      <c r="C863" s="2212">
        <v>549556803</v>
      </c>
      <c r="D863" s="2212">
        <v>549556803</v>
      </c>
      <c r="E863" s="2019">
        <v>548729951</v>
      </c>
      <c r="F863" s="2019">
        <v>548729951</v>
      </c>
      <c r="H863" s="2215">
        <f t="shared" si="13"/>
        <v>826852</v>
      </c>
    </row>
    <row r="864" spans="1:8" ht="16.5" thickBot="1">
      <c r="A864" s="1076" t="s">
        <v>1946</v>
      </c>
      <c r="B864" s="2016" t="s">
        <v>2279</v>
      </c>
      <c r="C864" s="2212">
        <v>722574767</v>
      </c>
      <c r="D864" s="2212">
        <v>722574767</v>
      </c>
      <c r="E864" s="2020">
        <v>722132537</v>
      </c>
      <c r="F864" s="2020">
        <v>722132537</v>
      </c>
      <c r="H864" s="2215">
        <f t="shared" si="13"/>
        <v>442230</v>
      </c>
    </row>
    <row r="865" spans="1:8" ht="16.5" thickBot="1">
      <c r="A865" s="1076" t="s">
        <v>2979</v>
      </c>
      <c r="B865" s="2015" t="s">
        <v>2931</v>
      </c>
      <c r="C865" s="2212">
        <v>523846505</v>
      </c>
      <c r="D865" s="2212">
        <v>1201824585</v>
      </c>
      <c r="E865" s="2019">
        <v>523889795</v>
      </c>
      <c r="F865" s="2019">
        <v>1201867875</v>
      </c>
      <c r="H865" s="2215">
        <f t="shared" si="13"/>
        <v>-43290</v>
      </c>
    </row>
    <row r="866" spans="1:8" ht="16.5" thickBot="1">
      <c r="A866" s="1076" t="s">
        <v>849</v>
      </c>
      <c r="B866" s="2016" t="s">
        <v>2932</v>
      </c>
      <c r="C866" s="2212">
        <v>334809059</v>
      </c>
      <c r="D866" s="2212">
        <v>334809059</v>
      </c>
      <c r="E866" s="2020">
        <v>334867199</v>
      </c>
      <c r="F866" s="2020">
        <v>334867199</v>
      </c>
      <c r="H866" s="2215">
        <f t="shared" si="13"/>
        <v>-58140</v>
      </c>
    </row>
    <row r="867" spans="1:8" ht="16.5" thickBot="1">
      <c r="A867" s="1076" t="s">
        <v>850</v>
      </c>
      <c r="B867" s="2015" t="s">
        <v>2933</v>
      </c>
      <c r="C867" s="2212">
        <v>623048758</v>
      </c>
      <c r="D867" s="2212">
        <v>623048758</v>
      </c>
      <c r="E867" s="2019">
        <v>623058286</v>
      </c>
      <c r="F867" s="2019">
        <v>623058286</v>
      </c>
      <c r="H867" s="2215">
        <f t="shared" si="13"/>
        <v>-9528</v>
      </c>
    </row>
    <row r="868" spans="1:8" ht="16.5" thickBot="1">
      <c r="A868" s="1076" t="s">
        <v>906</v>
      </c>
      <c r="B868" s="2016" t="s">
        <v>2934</v>
      </c>
      <c r="C868" s="2212">
        <v>73625966</v>
      </c>
      <c r="D868" s="2212">
        <v>73625966</v>
      </c>
      <c r="E868" s="2020">
        <v>73965127</v>
      </c>
      <c r="F868" s="2020">
        <v>73965127</v>
      </c>
      <c r="H868" s="2215">
        <f t="shared" si="13"/>
        <v>-339161</v>
      </c>
    </row>
    <row r="869" spans="1:8" ht="16.5" thickBot="1">
      <c r="A869" s="1076" t="s">
        <v>617</v>
      </c>
      <c r="B869" s="2015" t="s">
        <v>2935</v>
      </c>
      <c r="C869" s="2212">
        <v>153677342</v>
      </c>
      <c r="D869" s="2212">
        <v>153677342</v>
      </c>
      <c r="E869" s="2019">
        <v>153693919</v>
      </c>
      <c r="F869" s="2019">
        <v>153693919</v>
      </c>
      <c r="H869" s="2215">
        <f t="shared" si="13"/>
        <v>-16577</v>
      </c>
    </row>
    <row r="870" spans="1:8" ht="16.5" thickBot="1">
      <c r="A870" s="1076" t="s">
        <v>618</v>
      </c>
      <c r="B870" s="2016" t="s">
        <v>2936</v>
      </c>
      <c r="C870" s="2212">
        <v>97577346</v>
      </c>
      <c r="D870" s="2212">
        <v>97577346</v>
      </c>
      <c r="E870" s="2020">
        <v>97719050</v>
      </c>
      <c r="F870" s="2020">
        <v>97719050</v>
      </c>
      <c r="H870" s="2215">
        <f t="shared" si="13"/>
        <v>-141704</v>
      </c>
    </row>
    <row r="871" spans="1:8" ht="16.5" thickBot="1">
      <c r="A871" s="1076" t="s">
        <v>2621</v>
      </c>
      <c r="B871" s="2015" t="s">
        <v>2775</v>
      </c>
      <c r="C871" s="2212">
        <v>21034277527</v>
      </c>
      <c r="D871" s="2212">
        <v>21034277527</v>
      </c>
      <c r="E871" s="2019">
        <v>21039043968</v>
      </c>
      <c r="F871" s="2019">
        <v>21039043968</v>
      </c>
      <c r="H871" s="2215">
        <f t="shared" si="13"/>
        <v>-4766441</v>
      </c>
    </row>
    <row r="872" spans="1:8" ht="16.5" thickBot="1">
      <c r="A872" s="1076" t="s">
        <v>985</v>
      </c>
      <c r="B872" s="2016" t="s">
        <v>901</v>
      </c>
      <c r="C872" s="2212">
        <v>7579782469</v>
      </c>
      <c r="D872" s="2212">
        <v>7579782469</v>
      </c>
      <c r="E872" s="2020">
        <v>7582504623</v>
      </c>
      <c r="F872" s="2020">
        <v>7582504623</v>
      </c>
      <c r="H872" s="2215">
        <f t="shared" si="13"/>
        <v>-2722154</v>
      </c>
    </row>
    <row r="873" spans="1:8" ht="16.5" thickBot="1">
      <c r="A873" s="1076" t="s">
        <v>2111</v>
      </c>
      <c r="B873" s="2015" t="s">
        <v>2937</v>
      </c>
      <c r="C873" s="2212">
        <v>1086152429</v>
      </c>
      <c r="D873" s="2212">
        <v>1086152429</v>
      </c>
      <c r="E873" s="2019">
        <v>1086279736</v>
      </c>
      <c r="F873" s="2019">
        <v>1086279736</v>
      </c>
      <c r="H873" s="2215">
        <f t="shared" si="13"/>
        <v>-127307</v>
      </c>
    </row>
    <row r="874" spans="1:8" ht="16.5" thickBot="1">
      <c r="A874" s="1076" t="s">
        <v>2297</v>
      </c>
      <c r="B874" s="2016" t="s">
        <v>1453</v>
      </c>
      <c r="C874" s="2212">
        <v>27800660494</v>
      </c>
      <c r="D874" s="2212">
        <v>27800660494</v>
      </c>
      <c r="E874" s="2020">
        <v>27790111568</v>
      </c>
      <c r="F874" s="2020">
        <v>27790111568</v>
      </c>
      <c r="H874" s="2215">
        <f t="shared" si="13"/>
        <v>10548926</v>
      </c>
    </row>
    <row r="875" spans="1:8" ht="16.5" thickBot="1">
      <c r="A875" s="1076" t="s">
        <v>2497</v>
      </c>
      <c r="B875" s="2015" t="s">
        <v>1454</v>
      </c>
      <c r="C875" s="2212">
        <v>10919833310</v>
      </c>
      <c r="D875" s="2212">
        <v>10919833310</v>
      </c>
      <c r="E875" s="2019">
        <v>10921069093</v>
      </c>
      <c r="F875" s="2019">
        <v>10921069093</v>
      </c>
      <c r="H875" s="2215">
        <f t="shared" si="13"/>
        <v>-1235783</v>
      </c>
    </row>
    <row r="876" spans="1:8" ht="16.5" thickBot="1">
      <c r="A876" s="1076" t="s">
        <v>57</v>
      </c>
      <c r="B876" s="2016" t="s">
        <v>452</v>
      </c>
      <c r="C876" s="2212">
        <v>12694616920</v>
      </c>
      <c r="D876" s="2212">
        <v>12694616920</v>
      </c>
      <c r="E876" s="2020">
        <v>12696352728</v>
      </c>
      <c r="F876" s="2020">
        <v>12696352728</v>
      </c>
      <c r="H876" s="2215">
        <f t="shared" si="13"/>
        <v>-1735808</v>
      </c>
    </row>
    <row r="877" spans="1:8" ht="16.5" thickBot="1">
      <c r="A877" s="1076" t="s">
        <v>379</v>
      </c>
      <c r="B877" s="2015" t="s">
        <v>321</v>
      </c>
      <c r="C877" s="2212">
        <v>10173044529</v>
      </c>
      <c r="D877" s="2212">
        <v>10173044529</v>
      </c>
      <c r="E877" s="2019">
        <v>10173170421</v>
      </c>
      <c r="F877" s="2019">
        <v>10173170421</v>
      </c>
      <c r="H877" s="2215">
        <f t="shared" si="13"/>
        <v>-125892</v>
      </c>
    </row>
    <row r="878" spans="1:8" ht="16.5" thickBot="1">
      <c r="A878" s="1076" t="s">
        <v>1986</v>
      </c>
      <c r="B878" s="2016" t="s">
        <v>2624</v>
      </c>
      <c r="C878" s="2212">
        <v>750597799</v>
      </c>
      <c r="D878" s="2212">
        <v>750597799</v>
      </c>
      <c r="E878" s="2020">
        <v>750632013</v>
      </c>
      <c r="F878" s="2020">
        <v>750632013</v>
      </c>
      <c r="H878" s="2215">
        <f t="shared" si="13"/>
        <v>-34214</v>
      </c>
    </row>
    <row r="879" spans="1:8" ht="16.5" thickBot="1">
      <c r="A879" s="1076" t="s">
        <v>2759</v>
      </c>
      <c r="B879" s="2015" t="s">
        <v>459</v>
      </c>
      <c r="C879" s="2212">
        <v>5135619030</v>
      </c>
      <c r="D879" s="2212">
        <v>5135619030</v>
      </c>
      <c r="E879" s="2019">
        <v>5136064589</v>
      </c>
      <c r="F879" s="2019">
        <v>5136064589</v>
      </c>
      <c r="H879" s="2215">
        <f t="shared" si="13"/>
        <v>-445559</v>
      </c>
    </row>
    <row r="880" spans="1:8" ht="16.5" thickBot="1">
      <c r="A880" s="1076" t="s">
        <v>59</v>
      </c>
      <c r="B880" s="2016" t="s">
        <v>2876</v>
      </c>
      <c r="C880" s="2212">
        <v>1065020845</v>
      </c>
      <c r="D880" s="2212">
        <v>1065020845</v>
      </c>
      <c r="E880" s="2020">
        <v>1065030617</v>
      </c>
      <c r="F880" s="2020">
        <v>1065030617</v>
      </c>
      <c r="H880" s="2215">
        <f t="shared" si="13"/>
        <v>-9772</v>
      </c>
    </row>
    <row r="881" spans="1:8" ht="16.5" thickBot="1">
      <c r="A881" s="1076" t="s">
        <v>1894</v>
      </c>
      <c r="B881" s="2015" t="s">
        <v>2429</v>
      </c>
      <c r="C881" s="2212">
        <v>2286104345</v>
      </c>
      <c r="D881" s="2212">
        <v>2286104345</v>
      </c>
      <c r="E881" s="2019">
        <v>2285407557</v>
      </c>
      <c r="F881" s="2019">
        <v>2285407557</v>
      </c>
      <c r="H881" s="2215">
        <f t="shared" si="13"/>
        <v>696788</v>
      </c>
    </row>
    <row r="882" spans="1:8" ht="16.5" thickBot="1">
      <c r="A882" s="1076" t="s">
        <v>1280</v>
      </c>
      <c r="B882" s="2016" t="s">
        <v>1439</v>
      </c>
      <c r="C882" s="2212">
        <v>9499132499</v>
      </c>
      <c r="D882" s="2212">
        <v>9499132499</v>
      </c>
      <c r="E882" s="2020">
        <v>9501221414</v>
      </c>
      <c r="F882" s="2020">
        <v>9501221414</v>
      </c>
      <c r="H882" s="2215">
        <f t="shared" si="13"/>
        <v>-2088915</v>
      </c>
    </row>
    <row r="883" spans="1:8" ht="16.5" thickBot="1">
      <c r="A883" s="1076" t="s">
        <v>2108</v>
      </c>
      <c r="B883" s="2015" t="s">
        <v>732</v>
      </c>
      <c r="C883" s="2212">
        <v>480465543</v>
      </c>
      <c r="D883" s="2212">
        <v>480465543</v>
      </c>
      <c r="E883" s="2019">
        <v>481202422</v>
      </c>
      <c r="F883" s="2019">
        <v>481202422</v>
      </c>
      <c r="H883" s="2215">
        <f t="shared" si="13"/>
        <v>-736879</v>
      </c>
    </row>
    <row r="884" spans="1:8" ht="16.5" thickBot="1">
      <c r="A884" s="1076" t="s">
        <v>2542</v>
      </c>
      <c r="B884" s="2016" t="s">
        <v>1455</v>
      </c>
      <c r="C884" s="2212">
        <v>6782983164</v>
      </c>
      <c r="D884" s="2212">
        <v>6782983164</v>
      </c>
      <c r="E884" s="2020">
        <v>6783034619</v>
      </c>
      <c r="F884" s="2020">
        <v>6783034619</v>
      </c>
      <c r="H884" s="2215">
        <f t="shared" si="13"/>
        <v>-51455</v>
      </c>
    </row>
    <row r="885" spans="1:8" ht="16.5" thickBot="1">
      <c r="A885" s="1076" t="s">
        <v>2107</v>
      </c>
      <c r="B885" s="2015" t="s">
        <v>731</v>
      </c>
      <c r="C885" s="2212">
        <v>6049993237</v>
      </c>
      <c r="D885" s="2212">
        <v>6049993237</v>
      </c>
      <c r="E885" s="2019">
        <v>6050410825</v>
      </c>
      <c r="F885" s="2019">
        <v>6050410825</v>
      </c>
      <c r="H885" s="2215">
        <f t="shared" si="13"/>
        <v>-417588</v>
      </c>
    </row>
    <row r="886" spans="1:8" ht="16.5" thickBot="1">
      <c r="A886" s="1076" t="s">
        <v>1347</v>
      </c>
      <c r="B886" s="2016" t="s">
        <v>1509</v>
      </c>
      <c r="C886" s="2212">
        <v>1645789225</v>
      </c>
      <c r="D886" s="2212">
        <v>1645789225</v>
      </c>
      <c r="E886" s="2020">
        <v>1645620697</v>
      </c>
      <c r="F886" s="2020">
        <v>1645620697</v>
      </c>
      <c r="H886" s="2215">
        <f t="shared" si="13"/>
        <v>168528</v>
      </c>
    </row>
    <row r="887" spans="1:8" ht="16.5" thickBot="1">
      <c r="A887" s="1076" t="s">
        <v>2543</v>
      </c>
      <c r="B887" s="2015" t="s">
        <v>1456</v>
      </c>
      <c r="C887" s="2212">
        <v>4177474844</v>
      </c>
      <c r="D887" s="2212">
        <v>4177474844</v>
      </c>
      <c r="E887" s="2019">
        <v>4170741552</v>
      </c>
      <c r="F887" s="2019">
        <v>4170741552</v>
      </c>
      <c r="H887" s="2215">
        <f t="shared" si="13"/>
        <v>6733292</v>
      </c>
    </row>
    <row r="888" spans="1:8" ht="16.5" thickBot="1">
      <c r="A888" s="1076" t="s">
        <v>2544</v>
      </c>
      <c r="B888" s="2016" t="s">
        <v>1457</v>
      </c>
      <c r="C888" s="2212">
        <v>398898480</v>
      </c>
      <c r="D888" s="2212">
        <v>398898480</v>
      </c>
      <c r="E888" s="2020">
        <v>398856563</v>
      </c>
      <c r="F888" s="2020">
        <v>398856563</v>
      </c>
      <c r="H888" s="2215">
        <f t="shared" si="13"/>
        <v>41917</v>
      </c>
    </row>
    <row r="889" spans="1:8" ht="16.5" thickBot="1">
      <c r="A889" s="1076" t="s">
        <v>3052</v>
      </c>
      <c r="B889" s="2015" t="s">
        <v>1458</v>
      </c>
      <c r="C889" s="2212">
        <v>149399979</v>
      </c>
      <c r="D889" s="2212">
        <v>185891433</v>
      </c>
      <c r="E889" s="2019">
        <v>149367683</v>
      </c>
      <c r="F889" s="2019">
        <v>185859137</v>
      </c>
      <c r="H889" s="2215">
        <f t="shared" si="13"/>
        <v>32296</v>
      </c>
    </row>
    <row r="890" spans="1:8" ht="16.5" thickBot="1">
      <c r="A890" s="1076" t="s">
        <v>3053</v>
      </c>
      <c r="B890" s="2016" t="s">
        <v>2664</v>
      </c>
      <c r="C890" s="2212">
        <v>420305621</v>
      </c>
      <c r="D890" s="2212">
        <v>502004441</v>
      </c>
      <c r="E890" s="2020">
        <v>420238914</v>
      </c>
      <c r="F890" s="2020">
        <v>501937734</v>
      </c>
      <c r="H890" s="2215">
        <f t="shared" si="13"/>
        <v>66707</v>
      </c>
    </row>
    <row r="891" spans="1:8" ht="16.5" thickBot="1">
      <c r="A891" s="1076" t="s">
        <v>3054</v>
      </c>
      <c r="B891" s="2015" t="s">
        <v>1293</v>
      </c>
      <c r="C891" s="2212">
        <v>1570174098</v>
      </c>
      <c r="D891" s="2212">
        <v>1570174098</v>
      </c>
      <c r="E891" s="2019">
        <v>1569538575</v>
      </c>
      <c r="F891" s="2019">
        <v>1569538575</v>
      </c>
      <c r="H891" s="2215">
        <f t="shared" si="13"/>
        <v>635523</v>
      </c>
    </row>
    <row r="892" spans="1:8" ht="16.5" thickBot="1">
      <c r="A892" s="1076" t="s">
        <v>3055</v>
      </c>
      <c r="B892" s="2016" t="s">
        <v>1460</v>
      </c>
      <c r="C892" s="2212">
        <v>371245989</v>
      </c>
      <c r="D892" s="2212">
        <v>371245989</v>
      </c>
      <c r="E892" s="2020">
        <v>371087442</v>
      </c>
      <c r="F892" s="2020">
        <v>371087442</v>
      </c>
      <c r="H892" s="2215">
        <f t="shared" si="13"/>
        <v>158547</v>
      </c>
    </row>
    <row r="893" spans="1:8" ht="16.5" thickBot="1">
      <c r="A893" s="1076" t="s">
        <v>1335</v>
      </c>
      <c r="B893" s="2015" t="s">
        <v>336</v>
      </c>
      <c r="C893" s="2212">
        <v>890487208</v>
      </c>
      <c r="D893" s="2212">
        <v>890487208</v>
      </c>
      <c r="E893" s="2019">
        <v>894540999</v>
      </c>
      <c r="F893" s="2019">
        <v>894540999</v>
      </c>
      <c r="H893" s="2215">
        <f t="shared" si="13"/>
        <v>-4053791</v>
      </c>
    </row>
    <row r="894" spans="1:8" ht="16.5" thickBot="1">
      <c r="A894" s="1076" t="s">
        <v>2106</v>
      </c>
      <c r="B894" s="2016" t="s">
        <v>930</v>
      </c>
      <c r="C894" s="2212">
        <v>68723331</v>
      </c>
      <c r="D894" s="2212">
        <v>68723331</v>
      </c>
      <c r="E894" s="2020">
        <v>69036878</v>
      </c>
      <c r="F894" s="2020">
        <v>69036878</v>
      </c>
      <c r="H894" s="2215">
        <f t="shared" si="13"/>
        <v>-313547</v>
      </c>
    </row>
    <row r="895" spans="1:8" ht="16.5" thickBot="1">
      <c r="A895" s="1076" t="s">
        <v>1336</v>
      </c>
      <c r="B895" s="2015" t="s">
        <v>2665</v>
      </c>
      <c r="C895" s="2212">
        <v>332603560</v>
      </c>
      <c r="D895" s="2212">
        <v>332603560</v>
      </c>
      <c r="E895" s="2019">
        <v>332775856</v>
      </c>
      <c r="F895" s="2019">
        <v>332775856</v>
      </c>
      <c r="H895" s="2215">
        <f t="shared" si="13"/>
        <v>-172296</v>
      </c>
    </row>
    <row r="896" spans="1:8" ht="16.5" thickBot="1">
      <c r="A896" s="1076" t="s">
        <v>1783</v>
      </c>
      <c r="B896" s="2016" t="s">
        <v>706</v>
      </c>
      <c r="C896" s="2212">
        <v>159896995</v>
      </c>
      <c r="D896" s="2212">
        <v>159896995</v>
      </c>
      <c r="E896" s="2020">
        <v>159616248</v>
      </c>
      <c r="F896" s="2020">
        <v>159616248</v>
      </c>
      <c r="H896" s="2215">
        <f t="shared" si="13"/>
        <v>280747</v>
      </c>
    </row>
    <row r="897" spans="1:8" ht="16.5" thickBot="1">
      <c r="A897" s="1076" t="s">
        <v>1784</v>
      </c>
      <c r="B897" s="2015" t="s">
        <v>707</v>
      </c>
      <c r="C897" s="2212">
        <v>47497766</v>
      </c>
      <c r="D897" s="2212">
        <v>47497766</v>
      </c>
      <c r="E897" s="2019">
        <v>47419624</v>
      </c>
      <c r="F897" s="2019">
        <v>47419624</v>
      </c>
      <c r="H897" s="2215">
        <f t="shared" si="13"/>
        <v>78142</v>
      </c>
    </row>
    <row r="898" spans="1:8" ht="16.5" thickBot="1">
      <c r="A898" s="1076" t="s">
        <v>1785</v>
      </c>
      <c r="B898" s="2016" t="s">
        <v>708</v>
      </c>
      <c r="C898" s="2212">
        <v>1593328259</v>
      </c>
      <c r="D898" s="2212">
        <v>1593328259</v>
      </c>
      <c r="E898" s="2020">
        <v>1594089537</v>
      </c>
      <c r="F898" s="2020">
        <v>1594089537</v>
      </c>
      <c r="H898" s="2215">
        <f t="shared" ref="H898:H961" si="14">C898-E898</f>
        <v>-761278</v>
      </c>
    </row>
    <row r="899" spans="1:8" ht="16.5" thickBot="1">
      <c r="A899" s="1076" t="s">
        <v>2062</v>
      </c>
      <c r="B899" s="2015" t="s">
        <v>1868</v>
      </c>
      <c r="C899" s="2212">
        <v>70889613</v>
      </c>
      <c r="D899" s="2212">
        <v>70889613</v>
      </c>
      <c r="E899" s="2019">
        <v>71017082</v>
      </c>
      <c r="F899" s="2019">
        <v>71017082</v>
      </c>
      <c r="H899" s="2215">
        <f t="shared" si="14"/>
        <v>-127469</v>
      </c>
    </row>
    <row r="900" spans="1:8" ht="16.5" thickBot="1">
      <c r="A900" s="1076" t="s">
        <v>305</v>
      </c>
      <c r="B900" s="2016" t="s">
        <v>735</v>
      </c>
      <c r="C900" s="2212">
        <v>108295771</v>
      </c>
      <c r="D900" s="2212">
        <v>108295771</v>
      </c>
      <c r="E900" s="2020">
        <v>108684302</v>
      </c>
      <c r="F900" s="2020">
        <v>108684302</v>
      </c>
      <c r="H900" s="2215">
        <f t="shared" si="14"/>
        <v>-388531</v>
      </c>
    </row>
    <row r="901" spans="1:8" ht="16.5" thickBot="1">
      <c r="A901" s="1076" t="s">
        <v>2063</v>
      </c>
      <c r="B901" s="2015" t="s">
        <v>1869</v>
      </c>
      <c r="C901" s="2212">
        <v>139490407</v>
      </c>
      <c r="D901" s="2212">
        <v>139490407</v>
      </c>
      <c r="E901" s="2019">
        <v>139524568</v>
      </c>
      <c r="F901" s="2019">
        <v>139524568</v>
      </c>
      <c r="H901" s="2215">
        <f t="shared" si="14"/>
        <v>-34161</v>
      </c>
    </row>
    <row r="902" spans="1:8" ht="16.5" thickBot="1">
      <c r="A902" s="1076" t="s">
        <v>2797</v>
      </c>
      <c r="B902" s="2016" t="s">
        <v>2179</v>
      </c>
      <c r="C902" s="2212">
        <v>230224321</v>
      </c>
      <c r="D902" s="2212">
        <v>259083711</v>
      </c>
      <c r="E902" s="2020">
        <v>230033911</v>
      </c>
      <c r="F902" s="2020">
        <v>258893301</v>
      </c>
      <c r="H902" s="2215">
        <f t="shared" si="14"/>
        <v>190410</v>
      </c>
    </row>
    <row r="903" spans="1:8" ht="16.5" thickBot="1">
      <c r="A903" s="1076" t="s">
        <v>1488</v>
      </c>
      <c r="B903" s="2015" t="s">
        <v>2307</v>
      </c>
      <c r="C903" s="2212">
        <v>4300882230</v>
      </c>
      <c r="D903" s="2212">
        <v>4300882230</v>
      </c>
      <c r="E903" s="2019">
        <v>4294558053</v>
      </c>
      <c r="F903" s="2019">
        <v>4294558053</v>
      </c>
      <c r="H903" s="2215">
        <f t="shared" si="14"/>
        <v>6324177</v>
      </c>
    </row>
    <row r="904" spans="1:8" ht="16.5" thickBot="1">
      <c r="A904" s="1076" t="s">
        <v>2785</v>
      </c>
      <c r="B904" s="2016" t="s">
        <v>2180</v>
      </c>
      <c r="C904" s="2212">
        <v>122645343</v>
      </c>
      <c r="D904" s="2212">
        <v>122645343</v>
      </c>
      <c r="E904" s="2020">
        <v>122514723</v>
      </c>
      <c r="F904" s="2020">
        <v>122514723</v>
      </c>
      <c r="H904" s="2215">
        <f t="shared" si="14"/>
        <v>130620</v>
      </c>
    </row>
    <row r="905" spans="1:8" ht="16.5" thickBot="1">
      <c r="A905" s="1076" t="s">
        <v>374</v>
      </c>
      <c r="B905" s="2015" t="s">
        <v>158</v>
      </c>
      <c r="C905" s="2212">
        <v>362863772</v>
      </c>
      <c r="D905" s="2212">
        <v>362863772</v>
      </c>
      <c r="E905" s="2019">
        <v>362767242</v>
      </c>
      <c r="F905" s="2019">
        <v>362767242</v>
      </c>
      <c r="H905" s="2215">
        <f t="shared" si="14"/>
        <v>96530</v>
      </c>
    </row>
    <row r="906" spans="1:8" ht="16.5" thickBot="1">
      <c r="A906" s="1076" t="s">
        <v>1482</v>
      </c>
      <c r="B906" s="2016" t="s">
        <v>1947</v>
      </c>
      <c r="C906" s="2212">
        <v>226962398</v>
      </c>
      <c r="D906" s="2212">
        <v>226962398</v>
      </c>
      <c r="E906" s="2020">
        <v>226445838</v>
      </c>
      <c r="F906" s="2020">
        <v>226445838</v>
      </c>
      <c r="H906" s="2215">
        <f t="shared" si="14"/>
        <v>516560</v>
      </c>
    </row>
    <row r="907" spans="1:8" ht="16.5" thickBot="1">
      <c r="A907" s="1076" t="s">
        <v>1422</v>
      </c>
      <c r="B907" s="2015" t="s">
        <v>3041</v>
      </c>
      <c r="C907" s="2212">
        <v>109390288</v>
      </c>
      <c r="D907" s="2212">
        <v>109390288</v>
      </c>
      <c r="E907" s="2019">
        <v>109367368</v>
      </c>
      <c r="F907" s="2019">
        <v>109367368</v>
      </c>
      <c r="H907" s="2215">
        <f t="shared" si="14"/>
        <v>22920</v>
      </c>
    </row>
    <row r="908" spans="1:8" ht="16.5" thickBot="1">
      <c r="A908" s="1076" t="s">
        <v>292</v>
      </c>
      <c r="B908" s="2016" t="s">
        <v>2181</v>
      </c>
      <c r="C908" s="2212">
        <v>75915478024</v>
      </c>
      <c r="D908" s="2212">
        <v>75915478024</v>
      </c>
      <c r="E908" s="2020">
        <v>75918710418</v>
      </c>
      <c r="F908" s="2020">
        <v>75918710418</v>
      </c>
      <c r="H908" s="2215">
        <f t="shared" si="14"/>
        <v>-3232394</v>
      </c>
    </row>
    <row r="909" spans="1:8" ht="16.5" thickBot="1">
      <c r="A909" s="1076" t="s">
        <v>238</v>
      </c>
      <c r="B909" s="2015" t="s">
        <v>1125</v>
      </c>
      <c r="C909" s="2212">
        <v>8739039882</v>
      </c>
      <c r="D909" s="2212">
        <v>8739039882</v>
      </c>
      <c r="E909" s="2019">
        <v>8739147407</v>
      </c>
      <c r="F909" s="2019">
        <v>8739147407</v>
      </c>
      <c r="H909" s="2215">
        <f t="shared" si="14"/>
        <v>-107525</v>
      </c>
    </row>
    <row r="910" spans="1:8" ht="16.5" thickBot="1">
      <c r="A910" s="1076" t="s">
        <v>293</v>
      </c>
      <c r="B910" s="2016" t="s">
        <v>2182</v>
      </c>
      <c r="C910" s="2212">
        <v>3787874260</v>
      </c>
      <c r="D910" s="2212">
        <v>5099343356</v>
      </c>
      <c r="E910" s="2020">
        <v>3789583252</v>
      </c>
      <c r="F910" s="2020">
        <v>5101052348</v>
      </c>
      <c r="H910" s="2215">
        <f t="shared" si="14"/>
        <v>-1708992</v>
      </c>
    </row>
    <row r="911" spans="1:8" ht="16.5" thickBot="1">
      <c r="A911" s="1076" t="s">
        <v>294</v>
      </c>
      <c r="B911" s="2015" t="s">
        <v>2183</v>
      </c>
      <c r="C911" s="2212">
        <v>11209503249</v>
      </c>
      <c r="D911" s="2212">
        <v>11209503249</v>
      </c>
      <c r="E911" s="2019">
        <v>11210946674</v>
      </c>
      <c r="F911" s="2019">
        <v>11210946674</v>
      </c>
      <c r="H911" s="2215">
        <f t="shared" si="14"/>
        <v>-1443425</v>
      </c>
    </row>
    <row r="912" spans="1:8" ht="16.5" thickBot="1">
      <c r="A912" s="1076" t="s">
        <v>1295</v>
      </c>
      <c r="B912" s="2016" t="s">
        <v>3064</v>
      </c>
      <c r="C912" s="2212">
        <v>3704400628</v>
      </c>
      <c r="D912" s="2212">
        <v>3704400628</v>
      </c>
      <c r="E912" s="2020">
        <v>3706794021</v>
      </c>
      <c r="F912" s="2020">
        <v>3706794021</v>
      </c>
      <c r="H912" s="2215">
        <f t="shared" si="14"/>
        <v>-2393393</v>
      </c>
    </row>
    <row r="913" spans="1:8" ht="16.5" thickBot="1">
      <c r="A913" s="1076" t="s">
        <v>2804</v>
      </c>
      <c r="B913" s="2015" t="s">
        <v>2184</v>
      </c>
      <c r="C913" s="2212">
        <v>1345347181</v>
      </c>
      <c r="D913" s="2212">
        <v>1345347181</v>
      </c>
      <c r="E913" s="2019">
        <v>1347521975</v>
      </c>
      <c r="F913" s="2019">
        <v>1347521975</v>
      </c>
      <c r="H913" s="2215">
        <f t="shared" si="14"/>
        <v>-2174794</v>
      </c>
    </row>
    <row r="914" spans="1:8" ht="16.5" thickBot="1">
      <c r="A914" s="1076" t="s">
        <v>1496</v>
      </c>
      <c r="B914" s="2016" t="s">
        <v>2185</v>
      </c>
      <c r="C914" s="2212">
        <v>8546662973</v>
      </c>
      <c r="D914" s="2212">
        <v>8546662973</v>
      </c>
      <c r="E914" s="2020">
        <v>8554438206</v>
      </c>
      <c r="F914" s="2020">
        <v>8554438206</v>
      </c>
      <c r="H914" s="2215">
        <f t="shared" si="14"/>
        <v>-7775233</v>
      </c>
    </row>
    <row r="915" spans="1:8" ht="16.5" thickBot="1">
      <c r="A915" s="1076" t="s">
        <v>1497</v>
      </c>
      <c r="B915" s="2015" t="s">
        <v>2186</v>
      </c>
      <c r="C915" s="2212">
        <v>243144317</v>
      </c>
      <c r="D915" s="2212">
        <v>243144317</v>
      </c>
      <c r="E915" s="2019">
        <v>242904898</v>
      </c>
      <c r="F915" s="2019">
        <v>242904898</v>
      </c>
      <c r="H915" s="2215">
        <f t="shared" si="14"/>
        <v>239419</v>
      </c>
    </row>
    <row r="916" spans="1:8" ht="16.5" thickBot="1">
      <c r="A916" s="1076" t="s">
        <v>1498</v>
      </c>
      <c r="B916" s="2016" t="s">
        <v>2187</v>
      </c>
      <c r="C916" s="2212">
        <v>344346731</v>
      </c>
      <c r="D916" s="2212">
        <v>344346731</v>
      </c>
      <c r="E916" s="2020">
        <v>343800143</v>
      </c>
      <c r="F916" s="2020">
        <v>343800143</v>
      </c>
      <c r="H916" s="2215">
        <f t="shared" si="14"/>
        <v>546588</v>
      </c>
    </row>
    <row r="917" spans="1:8" ht="16.5" thickBot="1">
      <c r="A917" s="1076" t="s">
        <v>1499</v>
      </c>
      <c r="B917" s="2015" t="s">
        <v>2081</v>
      </c>
      <c r="C917" s="2212">
        <v>29343863</v>
      </c>
      <c r="D917" s="2212">
        <v>29343863</v>
      </c>
      <c r="E917" s="2019">
        <v>29320659</v>
      </c>
      <c r="F917" s="2019">
        <v>29320659</v>
      </c>
      <c r="H917" s="2215">
        <f t="shared" si="14"/>
        <v>23204</v>
      </c>
    </row>
    <row r="918" spans="1:8" ht="16.5" thickBot="1">
      <c r="A918" s="1076" t="s">
        <v>1500</v>
      </c>
      <c r="B918" s="2016" t="s">
        <v>2188</v>
      </c>
      <c r="C918" s="2212">
        <v>38277800</v>
      </c>
      <c r="D918" s="2212">
        <v>38277800</v>
      </c>
      <c r="E918" s="2020">
        <v>38246376</v>
      </c>
      <c r="F918" s="2020">
        <v>38246376</v>
      </c>
      <c r="H918" s="2215">
        <f t="shared" si="14"/>
        <v>31424</v>
      </c>
    </row>
    <row r="919" spans="1:8" ht="16.5" thickBot="1">
      <c r="A919" s="1076" t="s">
        <v>1615</v>
      </c>
      <c r="B919" s="2015" t="s">
        <v>1740</v>
      </c>
      <c r="C919" s="2212">
        <v>121803559</v>
      </c>
      <c r="D919" s="2212">
        <v>121803559</v>
      </c>
      <c r="E919" s="2019">
        <v>121529715</v>
      </c>
      <c r="F919" s="2019">
        <v>121529715</v>
      </c>
      <c r="H919" s="2215">
        <f t="shared" si="14"/>
        <v>273844</v>
      </c>
    </row>
    <row r="920" spans="1:8" ht="16.5" thickBot="1">
      <c r="A920" s="1076" t="s">
        <v>2051</v>
      </c>
      <c r="B920" s="2016" t="s">
        <v>2189</v>
      </c>
      <c r="C920" s="2212">
        <v>844154715</v>
      </c>
      <c r="D920" s="2212">
        <v>844154715</v>
      </c>
      <c r="E920" s="2020">
        <v>843358686</v>
      </c>
      <c r="F920" s="2020">
        <v>843358686</v>
      </c>
      <c r="H920" s="2215">
        <f t="shared" si="14"/>
        <v>796029</v>
      </c>
    </row>
    <row r="921" spans="1:8" ht="16.5" thickBot="1">
      <c r="A921" s="1076" t="s">
        <v>2052</v>
      </c>
      <c r="B921" s="2015" t="s">
        <v>2190</v>
      </c>
      <c r="C921" s="2212">
        <v>339152831</v>
      </c>
      <c r="D921" s="2212">
        <v>339152831</v>
      </c>
      <c r="E921" s="2019">
        <v>338713939</v>
      </c>
      <c r="F921" s="2019">
        <v>338713939</v>
      </c>
      <c r="H921" s="2215">
        <f t="shared" si="14"/>
        <v>438892</v>
      </c>
    </row>
    <row r="922" spans="1:8" ht="16.5" thickBot="1">
      <c r="A922" s="1076" t="s">
        <v>1423</v>
      </c>
      <c r="B922" s="2016" t="s">
        <v>2212</v>
      </c>
      <c r="C922" s="2212">
        <v>64750784</v>
      </c>
      <c r="D922" s="2212">
        <v>64750784</v>
      </c>
      <c r="E922" s="2020">
        <v>65048388</v>
      </c>
      <c r="F922" s="2020">
        <v>65048388</v>
      </c>
      <c r="H922" s="2215">
        <f t="shared" si="14"/>
        <v>-297604</v>
      </c>
    </row>
    <row r="923" spans="1:8" ht="16.5" thickBot="1">
      <c r="A923" s="1076" t="s">
        <v>83</v>
      </c>
      <c r="B923" s="2015" t="s">
        <v>2499</v>
      </c>
      <c r="C923" s="2212">
        <v>66572225</v>
      </c>
      <c r="D923" s="2212">
        <v>66572225</v>
      </c>
      <c r="E923" s="2019">
        <v>66423617</v>
      </c>
      <c r="F923" s="2019">
        <v>66423617</v>
      </c>
      <c r="H923" s="2215">
        <f t="shared" si="14"/>
        <v>148608</v>
      </c>
    </row>
    <row r="924" spans="1:8" ht="16.5" thickBot="1">
      <c r="A924" s="1076" t="s">
        <v>2053</v>
      </c>
      <c r="B924" s="2016" t="s">
        <v>483</v>
      </c>
      <c r="C924" s="2212">
        <v>217245334</v>
      </c>
      <c r="D924" s="2212">
        <v>217245334</v>
      </c>
      <c r="E924" s="2020">
        <v>217206398</v>
      </c>
      <c r="F924" s="2020">
        <v>217206398</v>
      </c>
      <c r="H924" s="2215">
        <f t="shared" si="14"/>
        <v>38936</v>
      </c>
    </row>
    <row r="925" spans="1:8" ht="16.5" thickBot="1">
      <c r="A925" s="1076" t="s">
        <v>2054</v>
      </c>
      <c r="B925" s="2015" t="s">
        <v>2191</v>
      </c>
      <c r="C925" s="2212">
        <v>821472849</v>
      </c>
      <c r="D925" s="2212">
        <v>821472849</v>
      </c>
      <c r="E925" s="2019">
        <v>821584743</v>
      </c>
      <c r="F925" s="2019">
        <v>821584743</v>
      </c>
      <c r="H925" s="2215">
        <f t="shared" si="14"/>
        <v>-111894</v>
      </c>
    </row>
    <row r="926" spans="1:8" ht="16.5" thickBot="1">
      <c r="A926" s="1076" t="s">
        <v>1594</v>
      </c>
      <c r="B926" s="2016" t="s">
        <v>1152</v>
      </c>
      <c r="C926" s="2212">
        <v>141871260</v>
      </c>
      <c r="D926" s="2212">
        <v>141871260</v>
      </c>
      <c r="E926" s="2020">
        <v>141844509</v>
      </c>
      <c r="F926" s="2020">
        <v>141844509</v>
      </c>
      <c r="H926" s="2215">
        <f t="shared" si="14"/>
        <v>26751</v>
      </c>
    </row>
    <row r="927" spans="1:8" ht="16.5" thickBot="1">
      <c r="A927" s="1076" t="s">
        <v>1229</v>
      </c>
      <c r="B927" s="2015" t="s">
        <v>881</v>
      </c>
      <c r="C927" s="2212">
        <v>84155005</v>
      </c>
      <c r="D927" s="2212">
        <v>84155005</v>
      </c>
      <c r="E927" s="2019">
        <v>84174377</v>
      </c>
      <c r="F927" s="2019">
        <v>84174377</v>
      </c>
      <c r="H927" s="2215">
        <f t="shared" si="14"/>
        <v>-19372</v>
      </c>
    </row>
    <row r="928" spans="1:8" ht="16.5" thickBot="1">
      <c r="A928" s="1076" t="s">
        <v>2127</v>
      </c>
      <c r="B928" s="2016" t="s">
        <v>935</v>
      </c>
      <c r="C928" s="2212">
        <v>393034798</v>
      </c>
      <c r="D928" s="2212">
        <v>393034798</v>
      </c>
      <c r="E928" s="2020">
        <v>393239930</v>
      </c>
      <c r="F928" s="2020">
        <v>393239930</v>
      </c>
      <c r="H928" s="2215">
        <f t="shared" si="14"/>
        <v>-205132</v>
      </c>
    </row>
    <row r="929" spans="1:8" ht="16.5" thickBot="1">
      <c r="A929" s="1076" t="s">
        <v>1230</v>
      </c>
      <c r="B929" s="2015" t="s">
        <v>1729</v>
      </c>
      <c r="C929" s="2212">
        <v>191272949</v>
      </c>
      <c r="D929" s="2212">
        <v>191272949</v>
      </c>
      <c r="E929" s="2019">
        <v>191160905</v>
      </c>
      <c r="F929" s="2019">
        <v>191160905</v>
      </c>
      <c r="H929" s="2215">
        <f t="shared" si="14"/>
        <v>112044</v>
      </c>
    </row>
    <row r="930" spans="1:8" ht="16.5" thickBot="1">
      <c r="A930" s="1076" t="s">
        <v>1231</v>
      </c>
      <c r="B930" s="2016" t="s">
        <v>882</v>
      </c>
      <c r="C930" s="2212">
        <v>166371055</v>
      </c>
      <c r="D930" s="2212">
        <v>166371055</v>
      </c>
      <c r="E930" s="2020">
        <v>166267665</v>
      </c>
      <c r="F930" s="2020">
        <v>166267665</v>
      </c>
      <c r="H930" s="2215">
        <f t="shared" si="14"/>
        <v>103390</v>
      </c>
    </row>
    <row r="931" spans="1:8" ht="16.5" thickBot="1">
      <c r="A931" s="1076" t="s">
        <v>1232</v>
      </c>
      <c r="B931" s="2015" t="s">
        <v>883</v>
      </c>
      <c r="C931" s="2212">
        <v>1269192902</v>
      </c>
      <c r="D931" s="2212">
        <v>1269192902</v>
      </c>
      <c r="E931" s="2019">
        <v>1269408464</v>
      </c>
      <c r="F931" s="2019">
        <v>1269408464</v>
      </c>
      <c r="H931" s="2215">
        <f t="shared" si="14"/>
        <v>-215562</v>
      </c>
    </row>
    <row r="932" spans="1:8" ht="16.5" thickBot="1">
      <c r="A932" s="1076" t="s">
        <v>1233</v>
      </c>
      <c r="B932" s="2016" t="s">
        <v>884</v>
      </c>
      <c r="C932" s="2212">
        <v>3701987376</v>
      </c>
      <c r="D932" s="2212">
        <v>3701987376</v>
      </c>
      <c r="E932" s="2020">
        <v>3701954203</v>
      </c>
      <c r="F932" s="2020">
        <v>3701954203</v>
      </c>
      <c r="H932" s="2215">
        <f t="shared" si="14"/>
        <v>33173</v>
      </c>
    </row>
    <row r="933" spans="1:8" ht="16.5" thickBot="1">
      <c r="A933" s="1076" t="s">
        <v>63</v>
      </c>
      <c r="B933" s="2015" t="s">
        <v>2832</v>
      </c>
      <c r="C933" s="2212">
        <v>58755546</v>
      </c>
      <c r="D933" s="2212">
        <v>58755546</v>
      </c>
      <c r="E933" s="2019">
        <v>58668842</v>
      </c>
      <c r="F933" s="2019">
        <v>58668842</v>
      </c>
      <c r="H933" s="2215">
        <f t="shared" si="14"/>
        <v>86704</v>
      </c>
    </row>
    <row r="934" spans="1:8" ht="16.5" thickBot="1">
      <c r="A934" s="1076" t="s">
        <v>1737</v>
      </c>
      <c r="B934" s="2016" t="s">
        <v>670</v>
      </c>
      <c r="C934" s="2212">
        <v>310872784</v>
      </c>
      <c r="D934" s="2212">
        <v>310872784</v>
      </c>
      <c r="E934" s="2020">
        <v>310659140</v>
      </c>
      <c r="F934" s="2020">
        <v>310659140</v>
      </c>
      <c r="H934" s="2215">
        <f t="shared" si="14"/>
        <v>213644</v>
      </c>
    </row>
    <row r="935" spans="1:8" ht="16.5" thickBot="1">
      <c r="A935" s="1076" t="s">
        <v>1714</v>
      </c>
      <c r="B935" s="2015" t="s">
        <v>327</v>
      </c>
      <c r="C935" s="2212">
        <v>1100545588</v>
      </c>
      <c r="D935" s="2212">
        <v>1100545588</v>
      </c>
      <c r="E935" s="2019">
        <v>1099461119</v>
      </c>
      <c r="F935" s="2019">
        <v>1099461119</v>
      </c>
      <c r="H935" s="2215">
        <f t="shared" si="14"/>
        <v>1084469</v>
      </c>
    </row>
    <row r="936" spans="1:8" ht="16.5" thickBot="1">
      <c r="A936" s="1076" t="s">
        <v>1495</v>
      </c>
      <c r="B936" s="2016" t="s">
        <v>687</v>
      </c>
      <c r="C936" s="2212">
        <v>185110901</v>
      </c>
      <c r="D936" s="2212">
        <v>185110901</v>
      </c>
      <c r="E936" s="2020">
        <v>185071612</v>
      </c>
      <c r="F936" s="2020">
        <v>185071612</v>
      </c>
      <c r="H936" s="2215">
        <f t="shared" si="14"/>
        <v>39289</v>
      </c>
    </row>
    <row r="937" spans="1:8" ht="16.5" thickBot="1">
      <c r="A937" s="1076" t="s">
        <v>530</v>
      </c>
      <c r="B937" s="2015" t="s">
        <v>2460</v>
      </c>
      <c r="C937" s="2212">
        <v>1663904516</v>
      </c>
      <c r="D937" s="2212">
        <v>1663904516</v>
      </c>
      <c r="E937" s="2019">
        <v>1661538729</v>
      </c>
      <c r="F937" s="2019">
        <v>1661538729</v>
      </c>
      <c r="H937" s="2215">
        <f t="shared" si="14"/>
        <v>2365787</v>
      </c>
    </row>
    <row r="938" spans="1:8" ht="16.5" thickBot="1">
      <c r="A938" s="1076" t="s">
        <v>940</v>
      </c>
      <c r="B938" s="2016" t="s">
        <v>688</v>
      </c>
      <c r="C938" s="2212">
        <v>187560950</v>
      </c>
      <c r="D938" s="2212">
        <v>187560950</v>
      </c>
      <c r="E938" s="2020">
        <v>187525791</v>
      </c>
      <c r="F938" s="2020">
        <v>187525791</v>
      </c>
      <c r="H938" s="2215">
        <f t="shared" si="14"/>
        <v>35159</v>
      </c>
    </row>
    <row r="939" spans="1:8" ht="16.5" thickBot="1">
      <c r="A939" s="1076" t="s">
        <v>943</v>
      </c>
      <c r="B939" s="2015" t="s">
        <v>1310</v>
      </c>
      <c r="C939" s="2212">
        <v>618914376</v>
      </c>
      <c r="D939" s="2212">
        <v>618914376</v>
      </c>
      <c r="E939" s="2019">
        <v>619208443</v>
      </c>
      <c r="F939" s="2019">
        <v>619208443</v>
      </c>
      <c r="H939" s="2215">
        <f t="shared" si="14"/>
        <v>-294067</v>
      </c>
    </row>
    <row r="940" spans="1:8" ht="16.5" thickBot="1">
      <c r="A940" s="1076" t="s">
        <v>944</v>
      </c>
      <c r="B940" s="2016" t="s">
        <v>1000</v>
      </c>
      <c r="C940" s="2212">
        <v>221355312</v>
      </c>
      <c r="D940" s="2212">
        <v>221355312</v>
      </c>
      <c r="E940" s="2020">
        <v>221579478</v>
      </c>
      <c r="F940" s="2020">
        <v>221579478</v>
      </c>
      <c r="H940" s="2215">
        <f t="shared" si="14"/>
        <v>-224166</v>
      </c>
    </row>
    <row r="941" spans="1:8" ht="16.5" thickBot="1">
      <c r="A941" s="1076" t="s">
        <v>1726</v>
      </c>
      <c r="B941" s="2015" t="s">
        <v>976</v>
      </c>
      <c r="C941" s="2212">
        <v>238708311</v>
      </c>
      <c r="D941" s="2212">
        <v>238708311</v>
      </c>
      <c r="E941" s="2019">
        <v>238938457</v>
      </c>
      <c r="F941" s="2019">
        <v>238938457</v>
      </c>
      <c r="H941" s="2215">
        <f t="shared" si="14"/>
        <v>-230146</v>
      </c>
    </row>
    <row r="942" spans="1:8" ht="16.5" thickBot="1">
      <c r="A942" s="1076" t="s">
        <v>2097</v>
      </c>
      <c r="B942" s="2016" t="s">
        <v>2359</v>
      </c>
      <c r="C942" s="2212">
        <v>93349644</v>
      </c>
      <c r="D942" s="2212">
        <v>93349644</v>
      </c>
      <c r="E942" s="2020">
        <v>93471213</v>
      </c>
      <c r="F942" s="2020">
        <v>93471213</v>
      </c>
      <c r="H942" s="2215">
        <f t="shared" si="14"/>
        <v>-121569</v>
      </c>
    </row>
    <row r="943" spans="1:8" ht="16.5" thickBot="1">
      <c r="A943" s="1076" t="s">
        <v>945</v>
      </c>
      <c r="B943" s="2015" t="s">
        <v>1311</v>
      </c>
      <c r="C943" s="2212">
        <v>595519748</v>
      </c>
      <c r="D943" s="2212">
        <v>595519748</v>
      </c>
      <c r="E943" s="2019">
        <v>597154437</v>
      </c>
      <c r="F943" s="2019">
        <v>597154437</v>
      </c>
      <c r="H943" s="2215">
        <f t="shared" si="14"/>
        <v>-1634689</v>
      </c>
    </row>
    <row r="944" spans="1:8" ht="16.5" thickBot="1">
      <c r="A944" s="1076" t="s">
        <v>946</v>
      </c>
      <c r="B944" s="2016" t="s">
        <v>2379</v>
      </c>
      <c r="C944" s="2212">
        <v>508483540</v>
      </c>
      <c r="D944" s="2212">
        <v>508483540</v>
      </c>
      <c r="E944" s="2020">
        <v>509467123</v>
      </c>
      <c r="F944" s="2020">
        <v>509467123</v>
      </c>
      <c r="H944" s="2215">
        <f t="shared" si="14"/>
        <v>-983583</v>
      </c>
    </row>
    <row r="945" spans="1:8" ht="16.5" thickBot="1">
      <c r="A945" s="1076" t="s">
        <v>1606</v>
      </c>
      <c r="B945" s="2015" t="s">
        <v>1668</v>
      </c>
      <c r="C945" s="2212">
        <v>59027040</v>
      </c>
      <c r="D945" s="2212">
        <v>59027040</v>
      </c>
      <c r="E945" s="2019">
        <v>59170828</v>
      </c>
      <c r="F945" s="2019">
        <v>59170828</v>
      </c>
      <c r="H945" s="2215">
        <f t="shared" si="14"/>
        <v>-143788</v>
      </c>
    </row>
    <row r="946" spans="1:8" ht="16.5" thickBot="1">
      <c r="A946" s="1076" t="s">
        <v>989</v>
      </c>
      <c r="B946" s="2016" t="s">
        <v>1520</v>
      </c>
      <c r="C946" s="2212">
        <v>177765968</v>
      </c>
      <c r="D946" s="2212">
        <v>177765968</v>
      </c>
      <c r="E946" s="2020">
        <v>177885378</v>
      </c>
      <c r="F946" s="2020">
        <v>177885378</v>
      </c>
      <c r="H946" s="2215">
        <f t="shared" si="14"/>
        <v>-119410</v>
      </c>
    </row>
    <row r="947" spans="1:8" ht="16.5" thickBot="1">
      <c r="A947" s="1076" t="s">
        <v>372</v>
      </c>
      <c r="B947" s="2015" t="s">
        <v>155</v>
      </c>
      <c r="C947" s="2212">
        <v>5809685434</v>
      </c>
      <c r="D947" s="2212">
        <v>5809685434</v>
      </c>
      <c r="E947" s="2019">
        <v>5808637936</v>
      </c>
      <c r="F947" s="2019">
        <v>5808637936</v>
      </c>
      <c r="H947" s="2215">
        <f t="shared" si="14"/>
        <v>1047498</v>
      </c>
    </row>
    <row r="948" spans="1:8" ht="16.5" thickBot="1">
      <c r="A948" s="1076" t="s">
        <v>2992</v>
      </c>
      <c r="B948" s="2016" t="s">
        <v>2380</v>
      </c>
      <c r="C948" s="2212">
        <v>229036360</v>
      </c>
      <c r="D948" s="2212">
        <v>229036360</v>
      </c>
      <c r="E948" s="2020">
        <v>229078626</v>
      </c>
      <c r="F948" s="2020">
        <v>229078626</v>
      </c>
      <c r="H948" s="2215">
        <f t="shared" si="14"/>
        <v>-42266</v>
      </c>
    </row>
    <row r="949" spans="1:8" ht="16.5" thickBot="1">
      <c r="A949" s="1076" t="s">
        <v>1160</v>
      </c>
      <c r="B949" s="2015" t="s">
        <v>1307</v>
      </c>
      <c r="C949" s="2212">
        <v>268905778</v>
      </c>
      <c r="D949" s="2212">
        <v>268905778</v>
      </c>
      <c r="E949" s="2019">
        <v>270007907</v>
      </c>
      <c r="F949" s="2019">
        <v>270007907</v>
      </c>
      <c r="H949" s="2215">
        <f t="shared" si="14"/>
        <v>-1102129</v>
      </c>
    </row>
    <row r="950" spans="1:8" ht="16.5" thickBot="1">
      <c r="A950" s="1076" t="s">
        <v>1320</v>
      </c>
      <c r="B950" s="2016" t="s">
        <v>106</v>
      </c>
      <c r="C950" s="2212">
        <v>2104423396</v>
      </c>
      <c r="D950" s="2212">
        <v>2104423396</v>
      </c>
      <c r="E950" s="2020">
        <v>2109721912</v>
      </c>
      <c r="F950" s="2020">
        <v>2109721912</v>
      </c>
      <c r="H950" s="2215">
        <f t="shared" si="14"/>
        <v>-5298516</v>
      </c>
    </row>
    <row r="951" spans="1:8" ht="16.5" thickBot="1">
      <c r="A951" s="1076" t="s">
        <v>306</v>
      </c>
      <c r="B951" s="2015" t="s">
        <v>2722</v>
      </c>
      <c r="C951" s="2212">
        <v>461181570</v>
      </c>
      <c r="D951" s="2212">
        <v>461181570</v>
      </c>
      <c r="E951" s="2019">
        <v>461375319</v>
      </c>
      <c r="F951" s="2019">
        <v>461375319</v>
      </c>
      <c r="H951" s="2215">
        <f t="shared" si="14"/>
        <v>-193749</v>
      </c>
    </row>
    <row r="952" spans="1:8" ht="16.5" thickBot="1">
      <c r="A952" s="1076" t="s">
        <v>307</v>
      </c>
      <c r="B952" s="2016" t="s">
        <v>159</v>
      </c>
      <c r="C952" s="2212">
        <v>1935660706</v>
      </c>
      <c r="D952" s="2212">
        <v>2070563710</v>
      </c>
      <c r="E952" s="2020">
        <v>1936633759</v>
      </c>
      <c r="F952" s="2020">
        <v>2071536763</v>
      </c>
      <c r="H952" s="2215">
        <f t="shared" si="14"/>
        <v>-973053</v>
      </c>
    </row>
    <row r="953" spans="1:8" ht="16.5" thickBot="1">
      <c r="A953" s="1076" t="s">
        <v>693</v>
      </c>
      <c r="B953" s="2015" t="s">
        <v>107</v>
      </c>
      <c r="C953" s="2212">
        <v>994323477</v>
      </c>
      <c r="D953" s="2212">
        <v>994323477</v>
      </c>
      <c r="E953" s="2019">
        <v>994754474</v>
      </c>
      <c r="F953" s="2019">
        <v>994754474</v>
      </c>
      <c r="H953" s="2215">
        <f t="shared" si="14"/>
        <v>-430997</v>
      </c>
    </row>
    <row r="954" spans="1:8" ht="16.5" thickBot="1">
      <c r="A954" s="1076" t="s">
        <v>694</v>
      </c>
      <c r="B954" s="2016" t="s">
        <v>999</v>
      </c>
      <c r="C954" s="2212">
        <v>2381107010</v>
      </c>
      <c r="D954" s="2212">
        <v>2381107010</v>
      </c>
      <c r="E954" s="2020">
        <v>2381400600</v>
      </c>
      <c r="F954" s="2020">
        <v>2381400600</v>
      </c>
      <c r="H954" s="2215">
        <f t="shared" si="14"/>
        <v>-293590</v>
      </c>
    </row>
    <row r="955" spans="1:8" ht="16.5" thickBot="1">
      <c r="A955" s="1076" t="s">
        <v>695</v>
      </c>
      <c r="B955" s="2015" t="s">
        <v>1383</v>
      </c>
      <c r="C955" s="2212">
        <v>160288140</v>
      </c>
      <c r="D955" s="2212">
        <v>160288140</v>
      </c>
      <c r="E955" s="2019">
        <v>160520860</v>
      </c>
      <c r="F955" s="2019">
        <v>160520860</v>
      </c>
      <c r="H955" s="2215">
        <f t="shared" si="14"/>
        <v>-232720</v>
      </c>
    </row>
    <row r="956" spans="1:8" ht="16.5" thickBot="1">
      <c r="A956" s="1076" t="s">
        <v>2669</v>
      </c>
      <c r="B956" s="2016" t="s">
        <v>1384</v>
      </c>
      <c r="C956" s="2212">
        <v>2286292857</v>
      </c>
      <c r="D956" s="2212">
        <v>2286292857</v>
      </c>
      <c r="E956" s="2020">
        <v>2287109735</v>
      </c>
      <c r="F956" s="2020">
        <v>2287109735</v>
      </c>
      <c r="H956" s="2215">
        <f t="shared" si="14"/>
        <v>-816878</v>
      </c>
    </row>
    <row r="957" spans="1:8" ht="16.5" thickBot="1">
      <c r="A957" s="1076" t="s">
        <v>2670</v>
      </c>
      <c r="B957" s="2015" t="s">
        <v>1385</v>
      </c>
      <c r="C957" s="2212">
        <v>402966176</v>
      </c>
      <c r="D957" s="2212">
        <v>402966176</v>
      </c>
      <c r="E957" s="2019">
        <v>403091044</v>
      </c>
      <c r="F957" s="2019">
        <v>403091044</v>
      </c>
      <c r="H957" s="2215">
        <f t="shared" si="14"/>
        <v>-124868</v>
      </c>
    </row>
    <row r="958" spans="1:8" ht="16.5" thickBot="1">
      <c r="A958" s="1076" t="s">
        <v>1987</v>
      </c>
      <c r="B958" s="2016" t="s">
        <v>2677</v>
      </c>
      <c r="C958" s="2212">
        <v>2120454829</v>
      </c>
      <c r="D958" s="2212">
        <v>2120454829</v>
      </c>
      <c r="E958" s="2020">
        <v>2121989679</v>
      </c>
      <c r="F958" s="2020">
        <v>2121989679</v>
      </c>
      <c r="H958" s="2215">
        <f t="shared" si="14"/>
        <v>-1534850</v>
      </c>
    </row>
    <row r="959" spans="1:8" ht="16.5" thickBot="1">
      <c r="A959" s="1076" t="s">
        <v>1713</v>
      </c>
      <c r="B959" s="2015" t="s">
        <v>2703</v>
      </c>
      <c r="C959" s="2212">
        <v>15278092177</v>
      </c>
      <c r="D959" s="2212">
        <v>15278092177</v>
      </c>
      <c r="E959" s="2019">
        <v>15282899877</v>
      </c>
      <c r="F959" s="2019">
        <v>15282899877</v>
      </c>
      <c r="H959" s="2215">
        <f t="shared" si="14"/>
        <v>-4807700</v>
      </c>
    </row>
    <row r="960" spans="1:8" ht="16.5" thickBot="1">
      <c r="A960" s="1076" t="s">
        <v>1043</v>
      </c>
      <c r="B960" s="2016" t="s">
        <v>2666</v>
      </c>
      <c r="C960" s="2212">
        <v>939991807</v>
      </c>
      <c r="D960" s="2212">
        <v>1044934287</v>
      </c>
      <c r="E960" s="2020">
        <v>939972602</v>
      </c>
      <c r="F960" s="2020">
        <v>1044915082</v>
      </c>
      <c r="H960" s="2215">
        <f t="shared" si="14"/>
        <v>19205</v>
      </c>
    </row>
    <row r="961" spans="1:8" ht="16.5" thickBot="1">
      <c r="A961" s="1076" t="s">
        <v>1044</v>
      </c>
      <c r="B961" s="2015" t="s">
        <v>1387</v>
      </c>
      <c r="C961" s="2212">
        <v>252912539</v>
      </c>
      <c r="D961" s="2212">
        <v>252912539</v>
      </c>
      <c r="E961" s="2019">
        <v>252973026</v>
      </c>
      <c r="F961" s="2019">
        <v>252973026</v>
      </c>
      <c r="H961" s="2215">
        <f t="shared" si="14"/>
        <v>-60487</v>
      </c>
    </row>
    <row r="962" spans="1:8" ht="16.5" thickBot="1">
      <c r="A962" s="1076" t="s">
        <v>1045</v>
      </c>
      <c r="B962" s="2016" t="s">
        <v>1388</v>
      </c>
      <c r="C962" s="2212">
        <v>330767009</v>
      </c>
      <c r="D962" s="2212">
        <v>330767009</v>
      </c>
      <c r="E962" s="2020">
        <v>330969352</v>
      </c>
      <c r="F962" s="2020">
        <v>330969352</v>
      </c>
      <c r="H962" s="2215">
        <f t="shared" ref="H962:H1019" si="15">C962-E962</f>
        <v>-202343</v>
      </c>
    </row>
    <row r="963" spans="1:8" ht="16.5" thickBot="1">
      <c r="A963" s="1076" t="s">
        <v>624</v>
      </c>
      <c r="B963" s="2015" t="s">
        <v>1389</v>
      </c>
      <c r="C963" s="2212">
        <v>1252309260</v>
      </c>
      <c r="D963" s="2212">
        <v>1252309260</v>
      </c>
      <c r="E963" s="2019">
        <v>1252363105</v>
      </c>
      <c r="F963" s="2019">
        <v>1252363105</v>
      </c>
      <c r="H963" s="2215">
        <f t="shared" si="15"/>
        <v>-53845</v>
      </c>
    </row>
    <row r="964" spans="1:8" ht="16.5" thickBot="1">
      <c r="A964" s="1076" t="s">
        <v>1014</v>
      </c>
      <c r="B964" s="2016" t="s">
        <v>1390</v>
      </c>
      <c r="C964" s="2212">
        <v>1002891324</v>
      </c>
      <c r="D964" s="2212">
        <v>1002891324</v>
      </c>
      <c r="E964" s="2020">
        <v>1003385001</v>
      </c>
      <c r="F964" s="2020">
        <v>1003385001</v>
      </c>
      <c r="H964" s="2215">
        <f t="shared" si="15"/>
        <v>-493677</v>
      </c>
    </row>
    <row r="965" spans="1:8" ht="16.5" thickBot="1">
      <c r="A965" s="1076" t="s">
        <v>1015</v>
      </c>
      <c r="B965" s="2015" t="s">
        <v>1391</v>
      </c>
      <c r="C965" s="2212">
        <v>253361674</v>
      </c>
      <c r="D965" s="2212">
        <v>253361674</v>
      </c>
      <c r="E965" s="2019">
        <v>253521251</v>
      </c>
      <c r="F965" s="2019">
        <v>253521251</v>
      </c>
      <c r="H965" s="2215">
        <f t="shared" si="15"/>
        <v>-159577</v>
      </c>
    </row>
    <row r="966" spans="1:8" ht="16.5" thickBot="1">
      <c r="A966" s="1076" t="s">
        <v>1016</v>
      </c>
      <c r="B966" s="2016" t="s">
        <v>1392</v>
      </c>
      <c r="C966" s="2212">
        <v>175335566</v>
      </c>
      <c r="D966" s="2212">
        <v>175335566</v>
      </c>
      <c r="E966" s="2020">
        <v>175414546</v>
      </c>
      <c r="F966" s="2020">
        <v>175414546</v>
      </c>
      <c r="H966" s="2215">
        <f t="shared" si="15"/>
        <v>-78980</v>
      </c>
    </row>
    <row r="967" spans="1:8" ht="16.5" thickBot="1">
      <c r="A967" s="1076" t="s">
        <v>1017</v>
      </c>
      <c r="B967" s="2015" t="s">
        <v>1393</v>
      </c>
      <c r="C967" s="2212">
        <v>503219893</v>
      </c>
      <c r="D967" s="2212">
        <v>503219893</v>
      </c>
      <c r="E967" s="2019">
        <v>503150363</v>
      </c>
      <c r="F967" s="2019">
        <v>503150363</v>
      </c>
      <c r="H967" s="2215">
        <f t="shared" si="15"/>
        <v>69530</v>
      </c>
    </row>
    <row r="968" spans="1:8" ht="16.5" thickBot="1">
      <c r="A968" s="1076" t="s">
        <v>1940</v>
      </c>
      <c r="B968" s="2016" t="s">
        <v>1394</v>
      </c>
      <c r="C968" s="2212">
        <v>1105075902</v>
      </c>
      <c r="D968" s="2212">
        <v>1105075902</v>
      </c>
      <c r="E968" s="2020">
        <v>1105068312</v>
      </c>
      <c r="F968" s="2020">
        <v>1105068312</v>
      </c>
      <c r="H968" s="2215">
        <f t="shared" si="15"/>
        <v>7590</v>
      </c>
    </row>
    <row r="969" spans="1:8" ht="16.5" thickBot="1">
      <c r="A969" s="1076" t="s">
        <v>2648</v>
      </c>
      <c r="B969" s="2015" t="s">
        <v>1395</v>
      </c>
      <c r="C969" s="2212">
        <v>1980440476</v>
      </c>
      <c r="D969" s="2212">
        <v>1980440476</v>
      </c>
      <c r="E969" s="2019">
        <v>1980460026</v>
      </c>
      <c r="F969" s="2019">
        <v>1980460026</v>
      </c>
      <c r="H969" s="2215">
        <f t="shared" si="15"/>
        <v>-19550</v>
      </c>
    </row>
    <row r="970" spans="1:8" ht="16.5" thickBot="1">
      <c r="A970" s="1076" t="s">
        <v>996</v>
      </c>
      <c r="B970" s="2016" t="s">
        <v>1633</v>
      </c>
      <c r="C970" s="2212">
        <v>795400675</v>
      </c>
      <c r="D970" s="2212">
        <v>795400675</v>
      </c>
      <c r="E970" s="2020">
        <v>795157102</v>
      </c>
      <c r="F970" s="2020">
        <v>795157102</v>
      </c>
      <c r="H970" s="2215">
        <f t="shared" si="15"/>
        <v>243573</v>
      </c>
    </row>
    <row r="971" spans="1:8" ht="16.5" thickBot="1">
      <c r="A971" s="1076" t="s">
        <v>1424</v>
      </c>
      <c r="B971" s="2015" t="s">
        <v>1804</v>
      </c>
      <c r="C971" s="2212">
        <v>308823058</v>
      </c>
      <c r="D971" s="2212">
        <v>308823058</v>
      </c>
      <c r="E971" s="2019">
        <v>308756964</v>
      </c>
      <c r="F971" s="2019">
        <v>308756964</v>
      </c>
      <c r="H971" s="2215">
        <f t="shared" si="15"/>
        <v>66094</v>
      </c>
    </row>
    <row r="972" spans="1:8" ht="16.5" thickBot="1">
      <c r="A972" s="1076" t="s">
        <v>714</v>
      </c>
      <c r="B972" s="2016" t="s">
        <v>2667</v>
      </c>
      <c r="C972" s="2212">
        <v>620418392</v>
      </c>
      <c r="D972" s="2212">
        <v>620418392</v>
      </c>
      <c r="E972" s="2020">
        <v>620417030</v>
      </c>
      <c r="F972" s="2020">
        <v>620417030</v>
      </c>
      <c r="H972" s="2215">
        <f t="shared" si="15"/>
        <v>1362</v>
      </c>
    </row>
    <row r="973" spans="1:8" ht="16.5" thickBot="1">
      <c r="A973" s="1076" t="s">
        <v>2088</v>
      </c>
      <c r="B973" s="2015" t="s">
        <v>1806</v>
      </c>
      <c r="C973" s="2212">
        <v>4117271008</v>
      </c>
      <c r="D973" s="2212">
        <v>4117271008</v>
      </c>
      <c r="E973" s="2019">
        <v>4115566231</v>
      </c>
      <c r="F973" s="2019">
        <v>4115566231</v>
      </c>
      <c r="H973" s="2215">
        <f t="shared" si="15"/>
        <v>1704777</v>
      </c>
    </row>
    <row r="974" spans="1:8" ht="16.5" thickBot="1">
      <c r="A974" s="1076" t="s">
        <v>626</v>
      </c>
      <c r="B974" s="2016" t="s">
        <v>1327</v>
      </c>
      <c r="C974" s="2212">
        <v>177954749</v>
      </c>
      <c r="D974" s="2212">
        <v>177954749</v>
      </c>
      <c r="E974" s="2020">
        <v>178056705</v>
      </c>
      <c r="F974" s="2020">
        <v>178056705</v>
      </c>
      <c r="H974" s="2215">
        <f t="shared" si="15"/>
        <v>-101956</v>
      </c>
    </row>
    <row r="975" spans="1:8" ht="16.5" thickBot="1">
      <c r="A975" s="1076" t="s">
        <v>1534</v>
      </c>
      <c r="B975" s="2015" t="s">
        <v>1807</v>
      </c>
      <c r="C975" s="2212">
        <v>94693783</v>
      </c>
      <c r="D975" s="2212">
        <v>94693783</v>
      </c>
      <c r="E975" s="2019">
        <v>94644243</v>
      </c>
      <c r="F975" s="2019">
        <v>94644243</v>
      </c>
      <c r="H975" s="2215">
        <f t="shared" si="15"/>
        <v>49540</v>
      </c>
    </row>
    <row r="976" spans="1:8" ht="16.5" thickBot="1">
      <c r="A976" s="1076" t="s">
        <v>9</v>
      </c>
      <c r="B976" s="2016" t="s">
        <v>1808</v>
      </c>
      <c r="C976" s="2212">
        <v>814837099</v>
      </c>
      <c r="D976" s="2212">
        <v>814837099</v>
      </c>
      <c r="E976" s="2020">
        <v>813478789</v>
      </c>
      <c r="F976" s="2020">
        <v>813478789</v>
      </c>
      <c r="H976" s="2215">
        <f t="shared" si="15"/>
        <v>1358310</v>
      </c>
    </row>
    <row r="977" spans="1:8" ht="16.5" thickBot="1">
      <c r="A977" s="1076" t="s">
        <v>10</v>
      </c>
      <c r="B977" s="2015" t="s">
        <v>2612</v>
      </c>
      <c r="C977" s="2212">
        <v>102198284</v>
      </c>
      <c r="D977" s="2212">
        <v>102198284</v>
      </c>
      <c r="E977" s="2019">
        <v>102168324</v>
      </c>
      <c r="F977" s="2019">
        <v>102168324</v>
      </c>
      <c r="H977" s="2215">
        <f t="shared" si="15"/>
        <v>29960</v>
      </c>
    </row>
    <row r="978" spans="1:8" ht="16.5" thickBot="1">
      <c r="A978" s="1076" t="s">
        <v>1695</v>
      </c>
      <c r="B978" s="2016" t="s">
        <v>2678</v>
      </c>
      <c r="C978" s="2212">
        <v>34055076</v>
      </c>
      <c r="D978" s="2212">
        <v>34055076</v>
      </c>
      <c r="E978" s="2020">
        <v>33920057</v>
      </c>
      <c r="F978" s="2020">
        <v>33920057</v>
      </c>
      <c r="H978" s="2215">
        <f t="shared" si="15"/>
        <v>135019</v>
      </c>
    </row>
    <row r="979" spans="1:8" ht="16.5" thickBot="1">
      <c r="A979" s="1076" t="s">
        <v>2387</v>
      </c>
      <c r="B979" s="2015" t="s">
        <v>950</v>
      </c>
      <c r="C979" s="2212">
        <v>256848531</v>
      </c>
      <c r="D979" s="2212">
        <v>687494700</v>
      </c>
      <c r="E979" s="2019">
        <v>256048981</v>
      </c>
      <c r="F979" s="2019">
        <v>686695150</v>
      </c>
      <c r="H979" s="2215">
        <f t="shared" si="15"/>
        <v>799550</v>
      </c>
    </row>
    <row r="980" spans="1:8" ht="16.5" thickBot="1">
      <c r="A980" s="1076" t="s">
        <v>465</v>
      </c>
      <c r="B980" s="2016" t="s">
        <v>91</v>
      </c>
      <c r="C980" s="2212">
        <v>260821552</v>
      </c>
      <c r="D980" s="2212">
        <v>342858803</v>
      </c>
      <c r="E980" s="2020">
        <v>259534009</v>
      </c>
      <c r="F980" s="2020">
        <v>341571260</v>
      </c>
      <c r="H980" s="2215">
        <f t="shared" si="15"/>
        <v>1287543</v>
      </c>
    </row>
    <row r="981" spans="1:8" ht="16.5" thickBot="1">
      <c r="A981" s="1076" t="s">
        <v>308</v>
      </c>
      <c r="B981" s="2015" t="s">
        <v>580</v>
      </c>
      <c r="C981" s="2212">
        <v>81596549</v>
      </c>
      <c r="D981" s="2212">
        <v>113792584</v>
      </c>
      <c r="E981" s="2019">
        <v>81428431</v>
      </c>
      <c r="F981" s="2019">
        <v>113624466</v>
      </c>
      <c r="H981" s="2215">
        <f t="shared" si="15"/>
        <v>168118</v>
      </c>
    </row>
    <row r="982" spans="1:8" ht="16.5" thickBot="1">
      <c r="A982" s="1076" t="s">
        <v>1514</v>
      </c>
      <c r="B982" s="2016" t="s">
        <v>130</v>
      </c>
      <c r="C982" s="2212">
        <v>292098817</v>
      </c>
      <c r="D982" s="2212">
        <v>292098817</v>
      </c>
      <c r="E982" s="2020">
        <v>292526249</v>
      </c>
      <c r="F982" s="2020">
        <v>292526249</v>
      </c>
      <c r="H982" s="2215">
        <f t="shared" si="15"/>
        <v>-427432</v>
      </c>
    </row>
    <row r="983" spans="1:8" ht="16.5" thickBot="1">
      <c r="A983" s="1076" t="s">
        <v>2975</v>
      </c>
      <c r="B983" s="2015" t="s">
        <v>2650</v>
      </c>
      <c r="C983" s="2212">
        <v>6460569329</v>
      </c>
      <c r="D983" s="2212">
        <v>6460569329</v>
      </c>
      <c r="E983" s="2019">
        <v>6458974488</v>
      </c>
      <c r="F983" s="2019">
        <v>6458974488</v>
      </c>
      <c r="H983" s="2215">
        <f t="shared" si="15"/>
        <v>1594841</v>
      </c>
    </row>
    <row r="984" spans="1:8" ht="16.5" thickBot="1">
      <c r="A984" s="1076" t="s">
        <v>2038</v>
      </c>
      <c r="B984" s="2016" t="s">
        <v>1153</v>
      </c>
      <c r="C984" s="2212">
        <v>128569499</v>
      </c>
      <c r="D984" s="2212">
        <v>128569499</v>
      </c>
      <c r="E984" s="2020">
        <v>128572684</v>
      </c>
      <c r="F984" s="2020">
        <v>128572684</v>
      </c>
      <c r="H984" s="2215">
        <f t="shared" si="15"/>
        <v>-3185</v>
      </c>
    </row>
    <row r="985" spans="1:8" ht="16.5" thickBot="1">
      <c r="A985" s="1076" t="s">
        <v>47</v>
      </c>
      <c r="B985" s="2015" t="s">
        <v>1440</v>
      </c>
      <c r="C985" s="2212">
        <v>1753675647</v>
      </c>
      <c r="D985" s="2212">
        <v>1753675647</v>
      </c>
      <c r="E985" s="2019">
        <v>1753232312</v>
      </c>
      <c r="F985" s="2019">
        <v>1753232312</v>
      </c>
      <c r="H985" s="2215">
        <f t="shared" si="15"/>
        <v>443335</v>
      </c>
    </row>
    <row r="986" spans="1:8" ht="16.5" thickBot="1">
      <c r="A986" s="1076" t="s">
        <v>11</v>
      </c>
      <c r="B986" s="2016" t="s">
        <v>1809</v>
      </c>
      <c r="C986" s="2212">
        <v>775143937</v>
      </c>
      <c r="D986" s="2212">
        <v>775143937</v>
      </c>
      <c r="E986" s="2020">
        <v>774953643</v>
      </c>
      <c r="F986" s="2020">
        <v>774953643</v>
      </c>
      <c r="H986" s="2215">
        <f t="shared" si="15"/>
        <v>190294</v>
      </c>
    </row>
    <row r="987" spans="1:8" ht="16.5" thickBot="1">
      <c r="A987" s="1076" t="s">
        <v>1990</v>
      </c>
      <c r="B987" s="2015" t="s">
        <v>2826</v>
      </c>
      <c r="C987" s="2212">
        <v>1225126904</v>
      </c>
      <c r="D987" s="2212">
        <v>1225126904</v>
      </c>
      <c r="E987" s="2019">
        <v>1225169843</v>
      </c>
      <c r="F987" s="2019">
        <v>1225169843</v>
      </c>
      <c r="H987" s="2215">
        <f t="shared" si="15"/>
        <v>-42939</v>
      </c>
    </row>
    <row r="988" spans="1:8" ht="16.5" thickBot="1">
      <c r="A988" s="1076" t="s">
        <v>1485</v>
      </c>
      <c r="B988" s="2016" t="s">
        <v>666</v>
      </c>
      <c r="C988" s="2212">
        <v>25025757534</v>
      </c>
      <c r="D988" s="2212">
        <v>25025757534</v>
      </c>
      <c r="E988" s="2020">
        <v>25024750515</v>
      </c>
      <c r="F988" s="2020">
        <v>25024750515</v>
      </c>
      <c r="H988" s="2215">
        <f t="shared" si="15"/>
        <v>1007019</v>
      </c>
    </row>
    <row r="989" spans="1:8" ht="16.5" thickBot="1">
      <c r="A989" s="1076" t="s">
        <v>1738</v>
      </c>
      <c r="B989" s="2015" t="s">
        <v>657</v>
      </c>
      <c r="C989" s="2212">
        <v>851602812</v>
      </c>
      <c r="D989" s="2212">
        <v>851602812</v>
      </c>
      <c r="E989" s="2019">
        <v>851164939</v>
      </c>
      <c r="F989" s="2019">
        <v>851164939</v>
      </c>
      <c r="H989" s="2215">
        <f t="shared" si="15"/>
        <v>437873</v>
      </c>
    </row>
    <row r="990" spans="1:8" ht="16.5" thickBot="1">
      <c r="A990" s="1076" t="s">
        <v>1708</v>
      </c>
      <c r="B990" s="2016" t="s">
        <v>659</v>
      </c>
      <c r="C990" s="2212">
        <v>202557907</v>
      </c>
      <c r="D990" s="2212">
        <v>202557907</v>
      </c>
      <c r="E990" s="2020">
        <v>202519686</v>
      </c>
      <c r="F990" s="2020">
        <v>202519686</v>
      </c>
      <c r="H990" s="2215">
        <f t="shared" si="15"/>
        <v>38221</v>
      </c>
    </row>
    <row r="991" spans="1:8" ht="16.5" thickBot="1">
      <c r="A991" s="1076" t="s">
        <v>1988</v>
      </c>
      <c r="B991" s="2015" t="s">
        <v>2824</v>
      </c>
      <c r="C991" s="2212">
        <v>16494761653</v>
      </c>
      <c r="D991" s="2212">
        <v>16494761653</v>
      </c>
      <c r="E991" s="2019">
        <v>16497665975</v>
      </c>
      <c r="F991" s="2019">
        <v>16497665975</v>
      </c>
      <c r="H991" s="2215">
        <f t="shared" si="15"/>
        <v>-2904322</v>
      </c>
    </row>
    <row r="992" spans="1:8" ht="16.5" thickBot="1">
      <c r="A992" s="1076" t="s">
        <v>12</v>
      </c>
      <c r="B992" s="2016" t="s">
        <v>1810</v>
      </c>
      <c r="C992" s="2212">
        <v>61027589</v>
      </c>
      <c r="D992" s="2212">
        <v>61027589</v>
      </c>
      <c r="E992" s="2020">
        <v>61043621</v>
      </c>
      <c r="F992" s="2020">
        <v>61043621</v>
      </c>
      <c r="H992" s="2215">
        <f t="shared" si="15"/>
        <v>-16032</v>
      </c>
    </row>
    <row r="993" spans="1:8" ht="16.5" thickBot="1">
      <c r="A993" s="1076" t="s">
        <v>2814</v>
      </c>
      <c r="B993" s="2015" t="s">
        <v>131</v>
      </c>
      <c r="C993" s="2212">
        <v>1135361185</v>
      </c>
      <c r="D993" s="2212">
        <v>1135361185</v>
      </c>
      <c r="E993" s="2019">
        <v>1133986904</v>
      </c>
      <c r="F993" s="2019">
        <v>1133986904</v>
      </c>
      <c r="H993" s="2215">
        <f t="shared" si="15"/>
        <v>1374281</v>
      </c>
    </row>
    <row r="994" spans="1:8" ht="16.5" thickBot="1">
      <c r="A994" s="1076" t="s">
        <v>66</v>
      </c>
      <c r="B994" s="2016" t="s">
        <v>2173</v>
      </c>
      <c r="C994" s="2212">
        <v>865104729</v>
      </c>
      <c r="D994" s="2212">
        <v>865104729</v>
      </c>
      <c r="E994" s="2020">
        <v>864237835</v>
      </c>
      <c r="F994" s="2020">
        <v>864237835</v>
      </c>
      <c r="H994" s="2215">
        <f t="shared" si="15"/>
        <v>866894</v>
      </c>
    </row>
    <row r="995" spans="1:8" ht="16.5" thickBot="1">
      <c r="A995" s="1076" t="s">
        <v>2815</v>
      </c>
      <c r="B995" s="2015" t="s">
        <v>1132</v>
      </c>
      <c r="C995" s="2212">
        <v>465936082</v>
      </c>
      <c r="D995" s="2212">
        <v>465936082</v>
      </c>
      <c r="E995" s="2019">
        <v>465888819</v>
      </c>
      <c r="F995" s="2019">
        <v>465888819</v>
      </c>
      <c r="H995" s="2215">
        <f t="shared" si="15"/>
        <v>47263</v>
      </c>
    </row>
    <row r="996" spans="1:8" ht="16.5" thickBot="1">
      <c r="A996" s="1076" t="s">
        <v>1705</v>
      </c>
      <c r="B996" s="2016" t="s">
        <v>2215</v>
      </c>
      <c r="C996" s="2212">
        <v>207526962</v>
      </c>
      <c r="D996" s="2212">
        <v>207526962</v>
      </c>
      <c r="E996" s="2020">
        <v>207627590</v>
      </c>
      <c r="F996" s="2020">
        <v>207627590</v>
      </c>
      <c r="H996" s="2215">
        <f t="shared" si="15"/>
        <v>-100628</v>
      </c>
    </row>
    <row r="997" spans="1:8" ht="16.5" thickBot="1">
      <c r="A997" s="1076" t="s">
        <v>1339</v>
      </c>
      <c r="B997" s="2015" t="s">
        <v>1811</v>
      </c>
      <c r="C997" s="2212">
        <v>862964342</v>
      </c>
      <c r="D997" s="2212">
        <v>952840412</v>
      </c>
      <c r="E997" s="2019">
        <v>862546800</v>
      </c>
      <c r="F997" s="2019">
        <v>952422870</v>
      </c>
      <c r="H997" s="2215">
        <f t="shared" si="15"/>
        <v>417542</v>
      </c>
    </row>
    <row r="998" spans="1:8" ht="16.5" thickBot="1">
      <c r="A998" s="1076" t="s">
        <v>1340</v>
      </c>
      <c r="B998" s="2016" t="s">
        <v>1812</v>
      </c>
      <c r="C998" s="2212">
        <v>1620439926</v>
      </c>
      <c r="D998" s="2212">
        <v>1620439926</v>
      </c>
      <c r="E998" s="2020">
        <v>1620515035</v>
      </c>
      <c r="F998" s="2020">
        <v>1620515035</v>
      </c>
      <c r="H998" s="2215">
        <f t="shared" si="15"/>
        <v>-75109</v>
      </c>
    </row>
    <row r="999" spans="1:8" ht="16.5" thickBot="1">
      <c r="A999" s="1076" t="s">
        <v>224</v>
      </c>
      <c r="B999" s="2015" t="s">
        <v>1203</v>
      </c>
      <c r="C999" s="2212">
        <v>444850257</v>
      </c>
      <c r="D999" s="2212">
        <v>444850257</v>
      </c>
      <c r="E999" s="2019">
        <v>445151208</v>
      </c>
      <c r="F999" s="2019">
        <v>445151208</v>
      </c>
      <c r="H999" s="2215">
        <f t="shared" si="15"/>
        <v>-300951</v>
      </c>
    </row>
    <row r="1000" spans="1:8" ht="16.5" thickBot="1">
      <c r="A1000" s="1076" t="s">
        <v>904</v>
      </c>
      <c r="B1000" s="2016" t="s">
        <v>1813</v>
      </c>
      <c r="C1000" s="2212">
        <v>884437626</v>
      </c>
      <c r="D1000" s="2212">
        <v>884437626</v>
      </c>
      <c r="E1000" s="2020">
        <v>885194048</v>
      </c>
      <c r="F1000" s="2020">
        <v>885194048</v>
      </c>
      <c r="H1000" s="2215">
        <f t="shared" si="15"/>
        <v>-756422</v>
      </c>
    </row>
    <row r="1001" spans="1:8" ht="16.5" thickBot="1">
      <c r="A1001" s="1076" t="s">
        <v>2491</v>
      </c>
      <c r="B1001" s="2015" t="s">
        <v>1814</v>
      </c>
      <c r="C1001" s="2212">
        <v>1476212160</v>
      </c>
      <c r="D1001" s="2212">
        <v>1476212160</v>
      </c>
      <c r="E1001" s="2019">
        <v>1477109662</v>
      </c>
      <c r="F1001" s="2019">
        <v>1477109662</v>
      </c>
      <c r="H1001" s="2215">
        <f t="shared" si="15"/>
        <v>-897502</v>
      </c>
    </row>
    <row r="1002" spans="1:8" ht="16.5" thickBot="1">
      <c r="A1002" s="1076" t="s">
        <v>2780</v>
      </c>
      <c r="B1002" s="2016" t="s">
        <v>1815</v>
      </c>
      <c r="C1002" s="2212">
        <v>598471322</v>
      </c>
      <c r="D1002" s="2212">
        <v>598471322</v>
      </c>
      <c r="E1002" s="2020">
        <v>599032518</v>
      </c>
      <c r="F1002" s="2020">
        <v>599032518</v>
      </c>
      <c r="H1002" s="2215">
        <f t="shared" si="15"/>
        <v>-561196</v>
      </c>
    </row>
    <row r="1003" spans="1:8" ht="16.5" thickBot="1">
      <c r="A1003" s="1076" t="s">
        <v>2781</v>
      </c>
      <c r="B1003" s="2015" t="s">
        <v>1816</v>
      </c>
      <c r="C1003" s="2212">
        <v>2274183082</v>
      </c>
      <c r="D1003" s="2212">
        <v>2274183082</v>
      </c>
      <c r="E1003" s="2019">
        <v>2275690271</v>
      </c>
      <c r="F1003" s="2019">
        <v>2275690271</v>
      </c>
      <c r="H1003" s="2215">
        <f t="shared" si="15"/>
        <v>-1507189</v>
      </c>
    </row>
    <row r="1004" spans="1:8" ht="16.5" thickBot="1">
      <c r="A1004" s="1076" t="s">
        <v>2302</v>
      </c>
      <c r="B1004" s="2016" t="s">
        <v>1541</v>
      </c>
      <c r="C1004" s="2212">
        <v>388485287</v>
      </c>
      <c r="D1004" s="2212">
        <v>388485287</v>
      </c>
      <c r="E1004" s="2020">
        <v>389170903</v>
      </c>
      <c r="F1004" s="2020">
        <v>389170903</v>
      </c>
      <c r="H1004" s="2215">
        <f t="shared" si="15"/>
        <v>-685616</v>
      </c>
    </row>
    <row r="1005" spans="1:8" ht="16.5" thickBot="1">
      <c r="A1005" s="1076" t="s">
        <v>1314</v>
      </c>
      <c r="B1005" s="2015" t="s">
        <v>2201</v>
      </c>
      <c r="C1005" s="2212">
        <v>358588635</v>
      </c>
      <c r="D1005" s="2212">
        <v>358588635</v>
      </c>
      <c r="E1005" s="2019">
        <v>358750282</v>
      </c>
      <c r="F1005" s="2019">
        <v>358750282</v>
      </c>
      <c r="H1005" s="2215">
        <f t="shared" si="15"/>
        <v>-161647</v>
      </c>
    </row>
    <row r="1006" spans="1:8" ht="16.5" thickBot="1">
      <c r="A1006" s="1076" t="s">
        <v>2548</v>
      </c>
      <c r="B1006" s="2016" t="s">
        <v>1817</v>
      </c>
      <c r="C1006" s="2212">
        <v>932083571</v>
      </c>
      <c r="D1006" s="2212">
        <v>932083571</v>
      </c>
      <c r="E1006" s="2020">
        <v>932047679</v>
      </c>
      <c r="F1006" s="2020">
        <v>932047679</v>
      </c>
      <c r="H1006" s="2215">
        <f t="shared" si="15"/>
        <v>35892</v>
      </c>
    </row>
    <row r="1007" spans="1:8" ht="16.5" thickBot="1">
      <c r="A1007" s="1076" t="s">
        <v>2549</v>
      </c>
      <c r="B1007" s="2015" t="s">
        <v>1818</v>
      </c>
      <c r="C1007" s="2212">
        <v>529793602</v>
      </c>
      <c r="D1007" s="2212">
        <v>529793602</v>
      </c>
      <c r="E1007" s="2019">
        <v>529404137</v>
      </c>
      <c r="F1007" s="2019">
        <v>529404137</v>
      </c>
      <c r="H1007" s="2215">
        <f t="shared" si="15"/>
        <v>389465</v>
      </c>
    </row>
    <row r="1008" spans="1:8" ht="16.5" thickBot="1">
      <c r="A1008" s="1076" t="s">
        <v>2970</v>
      </c>
      <c r="B1008" s="2016" t="s">
        <v>29</v>
      </c>
      <c r="C1008" s="2212">
        <v>476520258</v>
      </c>
      <c r="D1008" s="2212">
        <v>476520258</v>
      </c>
      <c r="E1008" s="2020">
        <v>476209375</v>
      </c>
      <c r="F1008" s="2020">
        <v>476209375</v>
      </c>
      <c r="H1008" s="2215">
        <f t="shared" si="15"/>
        <v>310883</v>
      </c>
    </row>
    <row r="1009" spans="1:8" ht="16.5" thickBot="1">
      <c r="A1009" s="1076" t="s">
        <v>2971</v>
      </c>
      <c r="B1009" s="2015" t="s">
        <v>1548</v>
      </c>
      <c r="C1009" s="2212">
        <v>289808127</v>
      </c>
      <c r="D1009" s="2212">
        <v>289808127</v>
      </c>
      <c r="E1009" s="2019">
        <v>289579557</v>
      </c>
      <c r="F1009" s="2019">
        <v>289579557</v>
      </c>
      <c r="H1009" s="2215">
        <f t="shared" si="15"/>
        <v>228570</v>
      </c>
    </row>
    <row r="1010" spans="1:8" ht="16.5" thickBot="1">
      <c r="A1010" s="1076" t="s">
        <v>705</v>
      </c>
      <c r="B1010" s="2016" t="s">
        <v>1549</v>
      </c>
      <c r="C1010" s="2212">
        <v>260345525</v>
      </c>
      <c r="D1010" s="2212">
        <v>260345525</v>
      </c>
      <c r="E1010" s="2020">
        <v>260220333</v>
      </c>
      <c r="F1010" s="2020">
        <v>260220333</v>
      </c>
      <c r="H1010" s="2215">
        <f t="shared" si="15"/>
        <v>125192</v>
      </c>
    </row>
    <row r="1011" spans="1:8" ht="16.5" thickBot="1">
      <c r="A1011" s="1076" t="s">
        <v>777</v>
      </c>
      <c r="B1011" s="2015" t="s">
        <v>1550</v>
      </c>
      <c r="C1011" s="2212">
        <v>472237050</v>
      </c>
      <c r="D1011" s="2212">
        <v>472237050</v>
      </c>
      <c r="E1011" s="2019">
        <v>472092230</v>
      </c>
      <c r="F1011" s="2019">
        <v>472092230</v>
      </c>
      <c r="H1011" s="2215">
        <f t="shared" si="15"/>
        <v>144820</v>
      </c>
    </row>
    <row r="1012" spans="1:8" ht="16.5" thickBot="1">
      <c r="A1012" s="1076" t="s">
        <v>778</v>
      </c>
      <c r="B1012" s="2016" t="s">
        <v>1551</v>
      </c>
      <c r="C1012" s="2212">
        <v>3094021052</v>
      </c>
      <c r="D1012" s="2212">
        <v>3094021052</v>
      </c>
      <c r="E1012" s="2020">
        <v>3094016799</v>
      </c>
      <c r="F1012" s="2020">
        <v>3094016799</v>
      </c>
      <c r="H1012" s="2215">
        <f t="shared" si="15"/>
        <v>4253</v>
      </c>
    </row>
    <row r="1013" spans="1:8" ht="16.5" thickBot="1">
      <c r="A1013" s="1076" t="s">
        <v>1660</v>
      </c>
      <c r="B1013" s="2015" t="s">
        <v>1552</v>
      </c>
      <c r="C1013" s="2212">
        <v>1144142572</v>
      </c>
      <c r="D1013" s="2212">
        <v>1144142572</v>
      </c>
      <c r="E1013" s="2019">
        <v>1144227339</v>
      </c>
      <c r="F1013" s="2019">
        <v>1144227339</v>
      </c>
      <c r="H1013" s="2215">
        <f t="shared" si="15"/>
        <v>-84767</v>
      </c>
    </row>
    <row r="1014" spans="1:8" ht="16.5" thickBot="1">
      <c r="A1014" s="1076" t="s">
        <v>1020</v>
      </c>
      <c r="B1014" s="2016" t="s">
        <v>974</v>
      </c>
      <c r="C1014" s="2212">
        <v>802772670</v>
      </c>
      <c r="D1014" s="2212">
        <v>825224030</v>
      </c>
      <c r="E1014" s="2020">
        <v>802771363</v>
      </c>
      <c r="F1014" s="2020">
        <v>825222723</v>
      </c>
      <c r="H1014" s="2215">
        <f t="shared" si="15"/>
        <v>1307</v>
      </c>
    </row>
    <row r="1015" spans="1:8" ht="16.5" thickBot="1">
      <c r="A1015" s="1076" t="s">
        <v>1661</v>
      </c>
      <c r="B1015" s="2015" t="s">
        <v>1553</v>
      </c>
      <c r="C1015" s="2212">
        <v>90963148</v>
      </c>
      <c r="D1015" s="2212">
        <v>90963148</v>
      </c>
      <c r="E1015" s="2019">
        <v>91148008</v>
      </c>
      <c r="F1015" s="2019">
        <v>91148008</v>
      </c>
      <c r="H1015" s="2215">
        <f t="shared" si="15"/>
        <v>-184860</v>
      </c>
    </row>
    <row r="1016" spans="1:8" ht="16.5" thickBot="1">
      <c r="A1016" s="1076" t="s">
        <v>1696</v>
      </c>
      <c r="B1016" s="2016" t="s">
        <v>933</v>
      </c>
      <c r="C1016" s="2212">
        <v>284772482</v>
      </c>
      <c r="D1016" s="2212">
        <v>534696482</v>
      </c>
      <c r="E1016" s="2020">
        <v>285302722</v>
      </c>
      <c r="F1016" s="2020">
        <v>535226722</v>
      </c>
      <c r="H1016" s="2215">
        <f t="shared" si="15"/>
        <v>-530240</v>
      </c>
    </row>
    <row r="1017" spans="1:8" ht="16.5" thickBot="1">
      <c r="A1017" s="1076" t="s">
        <v>556</v>
      </c>
      <c r="B1017" s="2015" t="s">
        <v>1554</v>
      </c>
      <c r="C1017" s="2212">
        <v>1522493015</v>
      </c>
      <c r="D1017" s="2212">
        <v>1522493015</v>
      </c>
      <c r="E1017" s="2019">
        <v>1522102827</v>
      </c>
      <c r="F1017" s="2019">
        <v>1522102827</v>
      </c>
      <c r="H1017" s="2215">
        <f t="shared" si="15"/>
        <v>390188</v>
      </c>
    </row>
    <row r="1018" spans="1:8" ht="16.5" thickBot="1">
      <c r="A1018" s="1076" t="s">
        <v>2760</v>
      </c>
      <c r="B1018" s="2016" t="s">
        <v>460</v>
      </c>
      <c r="C1018" s="2212">
        <v>804288394</v>
      </c>
      <c r="D1018" s="2212">
        <v>804288394</v>
      </c>
      <c r="E1018" s="2020">
        <v>803717534</v>
      </c>
      <c r="F1018" s="2020">
        <v>803717534</v>
      </c>
      <c r="H1018" s="2215">
        <f t="shared" si="15"/>
        <v>570860</v>
      </c>
    </row>
    <row r="1019" spans="1:8" ht="16.5" thickBot="1">
      <c r="A1019" s="1076" t="s">
        <v>1901</v>
      </c>
      <c r="B1019" s="2017" t="s">
        <v>2171</v>
      </c>
      <c r="C1019" s="2212">
        <v>79342514</v>
      </c>
      <c r="D1019" s="2212">
        <v>79342514</v>
      </c>
      <c r="E1019" s="2021">
        <v>79172798</v>
      </c>
      <c r="F1019" s="2021">
        <v>79172798</v>
      </c>
      <c r="H1019" s="2215">
        <f t="shared" si="15"/>
        <v>169716</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9"/>
  <sheetViews>
    <sheetView workbookViewId="0">
      <selection sqref="A1:A1019"/>
    </sheetView>
  </sheetViews>
  <sheetFormatPr defaultRowHeight="15.75"/>
  <cols>
    <col min="1" max="1" width="9.140625" style="1076"/>
    <col min="2" max="3" width="17.85546875" style="2214" bestFit="1" customWidth="1"/>
    <col min="4" max="4" width="20.7109375" customWidth="1"/>
  </cols>
  <sheetData>
    <row r="1" spans="1:3">
      <c r="A1" s="1080" t="s">
        <v>225</v>
      </c>
      <c r="B1" s="2213">
        <v>273822213</v>
      </c>
      <c r="C1" s="2213">
        <v>273822213</v>
      </c>
    </row>
    <row r="2" spans="1:3">
      <c r="A2" s="1080" t="s">
        <v>2228</v>
      </c>
      <c r="B2" s="2213">
        <v>292104676</v>
      </c>
      <c r="C2" s="2213">
        <v>292104676</v>
      </c>
    </row>
    <row r="3" spans="1:3">
      <c r="A3" s="1080" t="s">
        <v>15</v>
      </c>
      <c r="B3" s="2213">
        <v>256280330</v>
      </c>
      <c r="C3" s="2213">
        <v>256280330</v>
      </c>
    </row>
    <row r="4" spans="1:3">
      <c r="A4" s="1080" t="s">
        <v>16</v>
      </c>
      <c r="B4" s="2213">
        <v>120621125</v>
      </c>
      <c r="C4" s="2213">
        <v>120621125</v>
      </c>
    </row>
    <row r="5" spans="1:3">
      <c r="A5" s="1080" t="s">
        <v>17</v>
      </c>
      <c r="B5" s="2213">
        <v>971713518</v>
      </c>
      <c r="C5" s="2213">
        <v>971713518</v>
      </c>
    </row>
    <row r="6" spans="1:3">
      <c r="A6" s="1080" t="s">
        <v>1254</v>
      </c>
      <c r="B6" s="2213">
        <v>417790152</v>
      </c>
      <c r="C6" s="2213">
        <v>417790152</v>
      </c>
    </row>
    <row r="7" spans="1:3">
      <c r="A7" s="1080" t="s">
        <v>1255</v>
      </c>
      <c r="B7" s="2213">
        <v>117522342</v>
      </c>
      <c r="C7" s="2213">
        <v>117522342</v>
      </c>
    </row>
    <row r="8" spans="1:3">
      <c r="A8" s="1080" t="s">
        <v>2102</v>
      </c>
      <c r="B8" s="2213">
        <v>6781618961</v>
      </c>
      <c r="C8" s="2213">
        <v>6781618961</v>
      </c>
    </row>
    <row r="9" spans="1:3">
      <c r="A9" s="1080" t="s">
        <v>774</v>
      </c>
      <c r="B9" s="2213">
        <v>422948920</v>
      </c>
      <c r="C9" s="2213">
        <v>422948920</v>
      </c>
    </row>
    <row r="10" spans="1:3">
      <c r="A10" s="1080" t="s">
        <v>1637</v>
      </c>
      <c r="B10" s="2213">
        <v>2178703487</v>
      </c>
      <c r="C10" s="2213">
        <v>2178703487</v>
      </c>
    </row>
    <row r="11" spans="1:3">
      <c r="A11" s="1080" t="s">
        <v>1279</v>
      </c>
      <c r="B11" s="2213">
        <v>231784297</v>
      </c>
      <c r="C11" s="2213">
        <v>231784297</v>
      </c>
    </row>
    <row r="12" spans="1:3">
      <c r="A12" s="1080" t="s">
        <v>369</v>
      </c>
      <c r="B12" s="2213">
        <v>278357999</v>
      </c>
      <c r="C12" s="2213">
        <v>278357999</v>
      </c>
    </row>
    <row r="13" spans="1:3">
      <c r="A13" s="1080" t="s">
        <v>370</v>
      </c>
      <c r="B13" s="2213">
        <v>94114902</v>
      </c>
      <c r="C13" s="2213">
        <v>94114902</v>
      </c>
    </row>
    <row r="14" spans="1:3">
      <c r="A14" s="1080" t="s">
        <v>371</v>
      </c>
      <c r="B14" s="2213">
        <v>244967855</v>
      </c>
      <c r="C14" s="2213">
        <v>244967855</v>
      </c>
    </row>
    <row r="15" spans="1:3">
      <c r="A15" s="1080" t="s">
        <v>2839</v>
      </c>
      <c r="B15" s="2213">
        <v>2599437564</v>
      </c>
      <c r="C15" s="2213">
        <v>2599437564</v>
      </c>
    </row>
    <row r="16" spans="1:3">
      <c r="A16" s="1080" t="s">
        <v>2840</v>
      </c>
      <c r="B16" s="2213">
        <v>448676396</v>
      </c>
      <c r="C16" s="2213">
        <v>448676396</v>
      </c>
    </row>
    <row r="17" spans="1:3">
      <c r="A17" s="1080" t="s">
        <v>2841</v>
      </c>
      <c r="B17" s="2213">
        <v>314747342</v>
      </c>
      <c r="C17" s="2213">
        <v>314747342</v>
      </c>
    </row>
    <row r="18" spans="1:3">
      <c r="A18" s="1080" t="s">
        <v>2219</v>
      </c>
      <c r="B18" s="2213">
        <v>72598869</v>
      </c>
      <c r="C18" s="2213">
        <v>72598869</v>
      </c>
    </row>
    <row r="19" spans="1:3">
      <c r="A19" s="1080" t="s">
        <v>2843</v>
      </c>
      <c r="B19" s="2213">
        <v>163120114</v>
      </c>
      <c r="C19" s="2213">
        <v>163120114</v>
      </c>
    </row>
    <row r="20" spans="1:3">
      <c r="A20" s="1080" t="s">
        <v>806</v>
      </c>
      <c r="B20" s="2213">
        <v>283003973</v>
      </c>
      <c r="C20" s="2213">
        <v>283003973</v>
      </c>
    </row>
    <row r="21" spans="1:3">
      <c r="A21" s="1080" t="s">
        <v>2844</v>
      </c>
      <c r="B21" s="2213">
        <v>790317014</v>
      </c>
      <c r="C21" s="2213">
        <v>790317014</v>
      </c>
    </row>
    <row r="22" spans="1:3">
      <c r="A22" s="1080" t="s">
        <v>2388</v>
      </c>
      <c r="B22" s="2213">
        <v>242403099</v>
      </c>
      <c r="C22" s="2213">
        <v>242403099</v>
      </c>
    </row>
    <row r="23" spans="1:3">
      <c r="A23" s="1080" t="s">
        <v>241</v>
      </c>
      <c r="B23" s="2213">
        <v>2141540907</v>
      </c>
      <c r="C23" s="2213">
        <v>2141540907</v>
      </c>
    </row>
    <row r="24" spans="1:3">
      <c r="A24" s="1080" t="s">
        <v>2447</v>
      </c>
      <c r="B24" s="2213">
        <v>218508022</v>
      </c>
      <c r="C24" s="2213">
        <v>218508022</v>
      </c>
    </row>
    <row r="25" spans="1:3">
      <c r="A25" s="1080" t="s">
        <v>2845</v>
      </c>
      <c r="B25" s="2213">
        <v>1064721683</v>
      </c>
      <c r="C25" s="2213">
        <v>1064721683</v>
      </c>
    </row>
    <row r="26" spans="1:3">
      <c r="A26" s="1080" t="s">
        <v>783</v>
      </c>
      <c r="B26" s="2213">
        <v>1109843561</v>
      </c>
      <c r="C26" s="2213">
        <v>1109843561</v>
      </c>
    </row>
    <row r="27" spans="1:3">
      <c r="A27" s="1080" t="s">
        <v>784</v>
      </c>
      <c r="B27" s="2213">
        <v>300188075</v>
      </c>
      <c r="C27" s="2213">
        <v>300188075</v>
      </c>
    </row>
    <row r="28" spans="1:3">
      <c r="A28" s="1080" t="s">
        <v>785</v>
      </c>
      <c r="B28" s="2213">
        <v>237643871</v>
      </c>
      <c r="C28" s="2213">
        <v>237643871</v>
      </c>
    </row>
    <row r="29" spans="1:3">
      <c r="A29" s="1080" t="s">
        <v>216</v>
      </c>
      <c r="B29" s="2213">
        <v>216316360</v>
      </c>
      <c r="C29" s="2213">
        <v>216316360</v>
      </c>
    </row>
    <row r="30" spans="1:3">
      <c r="A30" s="1080" t="s">
        <v>2220</v>
      </c>
      <c r="B30" s="2213">
        <v>1360444037</v>
      </c>
      <c r="C30" s="2213">
        <v>1360444037</v>
      </c>
    </row>
    <row r="31" spans="1:3">
      <c r="A31" s="1080" t="s">
        <v>1896</v>
      </c>
      <c r="B31" s="2213">
        <v>2981782538</v>
      </c>
      <c r="C31" s="2213">
        <v>2981782538</v>
      </c>
    </row>
    <row r="32" spans="1:3">
      <c r="A32" s="1080" t="s">
        <v>876</v>
      </c>
      <c r="B32" s="2213">
        <v>888799303</v>
      </c>
      <c r="C32" s="2213">
        <v>888799303</v>
      </c>
    </row>
    <row r="33" spans="1:3">
      <c r="A33" s="1080" t="s">
        <v>2710</v>
      </c>
      <c r="B33" s="2213">
        <v>608879164</v>
      </c>
      <c r="C33" s="2213">
        <v>608879164</v>
      </c>
    </row>
    <row r="34" spans="1:3">
      <c r="A34" s="1080" t="s">
        <v>2448</v>
      </c>
      <c r="B34" s="2213">
        <v>72200895</v>
      </c>
      <c r="C34" s="2213">
        <v>72200895</v>
      </c>
    </row>
    <row r="35" spans="1:3">
      <c r="A35" s="1080" t="s">
        <v>492</v>
      </c>
      <c r="B35" s="2213">
        <v>178913783</v>
      </c>
      <c r="C35" s="2213">
        <v>178913783</v>
      </c>
    </row>
    <row r="36" spans="1:3">
      <c r="A36" s="1080" t="s">
        <v>2711</v>
      </c>
      <c r="B36" s="2213">
        <v>745823496</v>
      </c>
      <c r="C36" s="2213">
        <v>745823496</v>
      </c>
    </row>
    <row r="37" spans="1:3">
      <c r="A37" s="1080" t="s">
        <v>3048</v>
      </c>
      <c r="B37" s="2213">
        <v>498364741</v>
      </c>
      <c r="C37" s="2213">
        <v>498364741</v>
      </c>
    </row>
    <row r="38" spans="1:3">
      <c r="A38" s="1080" t="s">
        <v>3049</v>
      </c>
      <c r="B38" s="2213">
        <v>487388147</v>
      </c>
      <c r="C38" s="2213">
        <v>487388147</v>
      </c>
    </row>
    <row r="39" spans="1:3">
      <c r="A39" s="1080" t="s">
        <v>1313</v>
      </c>
      <c r="B39" s="2213">
        <v>150290706</v>
      </c>
      <c r="C39" s="2213">
        <v>150290706</v>
      </c>
    </row>
    <row r="40" spans="1:3">
      <c r="A40" s="1080" t="s">
        <v>2449</v>
      </c>
      <c r="B40" s="2213">
        <v>286892241</v>
      </c>
      <c r="C40" s="2213">
        <v>286892241</v>
      </c>
    </row>
    <row r="41" spans="1:3">
      <c r="A41" s="1080" t="s">
        <v>1895</v>
      </c>
      <c r="B41" s="2213">
        <v>98260515</v>
      </c>
      <c r="C41" s="2213">
        <v>98260515</v>
      </c>
    </row>
    <row r="42" spans="1:3">
      <c r="A42" s="1080" t="s">
        <v>1898</v>
      </c>
      <c r="B42" s="2213">
        <v>2298982160</v>
      </c>
      <c r="C42" s="2213">
        <v>2298982160</v>
      </c>
    </row>
    <row r="43" spans="1:3">
      <c r="A43" s="1080" t="s">
        <v>198</v>
      </c>
      <c r="B43" s="2213">
        <v>91180715</v>
      </c>
      <c r="C43" s="2213">
        <v>91180715</v>
      </c>
    </row>
    <row r="44" spans="1:3">
      <c r="A44" s="1080" t="s">
        <v>60</v>
      </c>
      <c r="B44" s="2213">
        <v>6583845496</v>
      </c>
      <c r="C44" s="2213">
        <v>6583845496</v>
      </c>
    </row>
    <row r="45" spans="1:3">
      <c r="A45" s="1080" t="s">
        <v>192</v>
      </c>
      <c r="B45" s="2213">
        <v>152523203</v>
      </c>
      <c r="C45" s="2213">
        <v>152523203</v>
      </c>
    </row>
    <row r="46" spans="1:3">
      <c r="A46" s="1080" t="s">
        <v>1487</v>
      </c>
      <c r="B46" s="2213">
        <v>654776181</v>
      </c>
      <c r="C46" s="2213">
        <v>654776181</v>
      </c>
    </row>
    <row r="47" spans="1:3">
      <c r="A47" s="1080" t="s">
        <v>1707</v>
      </c>
      <c r="B47" s="2213">
        <v>2847180333</v>
      </c>
      <c r="C47" s="2213">
        <v>2847180333</v>
      </c>
    </row>
    <row r="48" spans="1:3">
      <c r="A48" s="1080" t="s">
        <v>1712</v>
      </c>
      <c r="B48" s="2213">
        <v>275072770</v>
      </c>
      <c r="C48" s="2213">
        <v>275072770</v>
      </c>
    </row>
    <row r="49" spans="1:3">
      <c r="A49" s="1080" t="s">
        <v>463</v>
      </c>
      <c r="B49" s="2213">
        <v>5413868930</v>
      </c>
      <c r="C49" s="2213">
        <v>5413868930</v>
      </c>
    </row>
    <row r="50" spans="1:3">
      <c r="A50" s="1080" t="s">
        <v>2125</v>
      </c>
      <c r="B50" s="2213">
        <v>1121839265</v>
      </c>
      <c r="C50" s="2213">
        <v>1121839265</v>
      </c>
    </row>
    <row r="51" spans="1:3">
      <c r="A51" s="1080" t="s">
        <v>874</v>
      </c>
      <c r="B51" s="2213">
        <v>912604330</v>
      </c>
      <c r="C51" s="2213">
        <v>912604330</v>
      </c>
    </row>
    <row r="52" spans="1:3">
      <c r="A52" s="1080" t="s">
        <v>1489</v>
      </c>
      <c r="B52" s="2213">
        <v>12434363378</v>
      </c>
      <c r="C52" s="2213">
        <v>12434363378</v>
      </c>
    </row>
    <row r="53" spans="1:3">
      <c r="A53" s="1080" t="s">
        <v>1699</v>
      </c>
      <c r="B53" s="2213">
        <v>1325363856</v>
      </c>
      <c r="C53" s="2213">
        <v>1325363856</v>
      </c>
    </row>
    <row r="54" spans="1:3">
      <c r="A54" s="1080" t="s">
        <v>1316</v>
      </c>
      <c r="B54" s="2213">
        <v>376453964</v>
      </c>
      <c r="C54" s="2213">
        <v>376453964</v>
      </c>
    </row>
    <row r="55" spans="1:3">
      <c r="A55" s="1080" t="s">
        <v>1587</v>
      </c>
      <c r="B55" s="2213">
        <v>30174720103</v>
      </c>
      <c r="C55" s="2213">
        <v>30174720103</v>
      </c>
    </row>
    <row r="56" spans="1:3">
      <c r="A56" s="1080" t="s">
        <v>871</v>
      </c>
      <c r="B56" s="2213">
        <v>2528162219</v>
      </c>
      <c r="C56" s="2213">
        <v>2528162219</v>
      </c>
    </row>
    <row r="57" spans="1:3">
      <c r="A57" s="1080" t="s">
        <v>807</v>
      </c>
      <c r="B57" s="2213">
        <v>1991898214</v>
      </c>
      <c r="C57" s="2213">
        <v>2503266204</v>
      </c>
    </row>
    <row r="58" spans="1:3">
      <c r="A58" s="1080" t="s">
        <v>1589</v>
      </c>
      <c r="B58" s="2213">
        <v>37748664365</v>
      </c>
      <c r="C58" s="2213">
        <v>37748664365</v>
      </c>
    </row>
    <row r="59" spans="1:3">
      <c r="A59" s="1080" t="s">
        <v>53</v>
      </c>
      <c r="B59" s="2213">
        <v>6654846325</v>
      </c>
      <c r="C59" s="2213">
        <v>6654846325</v>
      </c>
    </row>
    <row r="60" spans="1:3">
      <c r="A60" s="1080" t="s">
        <v>1700</v>
      </c>
      <c r="B60" s="2213">
        <v>1113322781</v>
      </c>
      <c r="C60" s="2213">
        <v>1113322781</v>
      </c>
    </row>
    <row r="61" spans="1:3">
      <c r="A61" s="1080" t="s">
        <v>1377</v>
      </c>
      <c r="B61" s="2213">
        <v>606443705</v>
      </c>
      <c r="C61" s="2213">
        <v>606443705</v>
      </c>
    </row>
    <row r="62" spans="1:3">
      <c r="A62" s="1080" t="s">
        <v>986</v>
      </c>
      <c r="B62" s="2213">
        <v>712504392</v>
      </c>
      <c r="C62" s="2213">
        <v>712504392</v>
      </c>
    </row>
    <row r="63" spans="1:3">
      <c r="A63" s="1080" t="s">
        <v>1378</v>
      </c>
      <c r="B63" s="2213">
        <v>940274399</v>
      </c>
      <c r="C63" s="2213">
        <v>984702759</v>
      </c>
    </row>
    <row r="64" spans="1:3">
      <c r="A64" s="1080" t="s">
        <v>628</v>
      </c>
      <c r="B64" s="2213">
        <v>646821359</v>
      </c>
      <c r="C64" s="2213">
        <v>646821359</v>
      </c>
    </row>
    <row r="65" spans="1:3">
      <c r="A65" s="1080" t="s">
        <v>1379</v>
      </c>
      <c r="B65" s="2213">
        <v>153932161</v>
      </c>
      <c r="C65" s="2213">
        <v>153932161</v>
      </c>
    </row>
    <row r="66" spans="1:3">
      <c r="A66" s="1080" t="s">
        <v>1273</v>
      </c>
      <c r="B66" s="2213">
        <v>56376743</v>
      </c>
      <c r="C66" s="2213">
        <v>56376743</v>
      </c>
    </row>
    <row r="67" spans="1:3">
      <c r="A67" s="1080" t="s">
        <v>1274</v>
      </c>
      <c r="B67" s="2213">
        <v>193052991</v>
      </c>
      <c r="C67" s="2213">
        <v>193052991</v>
      </c>
    </row>
    <row r="68" spans="1:3">
      <c r="A68" s="1080" t="s">
        <v>2174</v>
      </c>
      <c r="B68" s="2213">
        <v>70520651</v>
      </c>
      <c r="C68" s="2213">
        <v>70520651</v>
      </c>
    </row>
    <row r="69" spans="1:3">
      <c r="A69" s="1080" t="s">
        <v>1846</v>
      </c>
      <c r="B69" s="2213">
        <v>116375768</v>
      </c>
      <c r="C69" s="2213">
        <v>116375768</v>
      </c>
    </row>
    <row r="70" spans="1:3">
      <c r="A70" s="1080" t="s">
        <v>1847</v>
      </c>
      <c r="B70" s="2213">
        <v>98404556</v>
      </c>
      <c r="C70" s="2213">
        <v>98404556</v>
      </c>
    </row>
    <row r="71" spans="1:3">
      <c r="A71" s="1080" t="s">
        <v>1848</v>
      </c>
      <c r="B71" s="2213">
        <v>73491606</v>
      </c>
      <c r="C71" s="2213">
        <v>73491606</v>
      </c>
    </row>
    <row r="72" spans="1:3">
      <c r="A72" s="1080" t="s">
        <v>997</v>
      </c>
      <c r="B72" s="2213">
        <v>162758557</v>
      </c>
      <c r="C72" s="2213">
        <v>162758557</v>
      </c>
    </row>
    <row r="73" spans="1:3">
      <c r="A73" s="1080" t="s">
        <v>808</v>
      </c>
      <c r="B73" s="2213">
        <v>134782380</v>
      </c>
      <c r="C73" s="2213">
        <v>134782380</v>
      </c>
    </row>
    <row r="74" spans="1:3">
      <c r="A74" s="1080" t="s">
        <v>2450</v>
      </c>
      <c r="B74" s="2213">
        <v>50838215</v>
      </c>
      <c r="C74" s="2213">
        <v>50838215</v>
      </c>
    </row>
    <row r="75" spans="1:3">
      <c r="A75" s="1080" t="s">
        <v>3034</v>
      </c>
      <c r="B75" s="2213">
        <v>377422617</v>
      </c>
      <c r="C75" s="2213">
        <v>377422617</v>
      </c>
    </row>
    <row r="76" spans="1:3">
      <c r="A76" s="1080" t="s">
        <v>1252</v>
      </c>
      <c r="B76" s="2213">
        <v>199674588</v>
      </c>
      <c r="C76" s="2213">
        <v>199674588</v>
      </c>
    </row>
    <row r="77" spans="1:3">
      <c r="A77" s="1080" t="s">
        <v>1253</v>
      </c>
      <c r="B77" s="2213">
        <v>1809114947</v>
      </c>
      <c r="C77" s="2213">
        <v>1809114947</v>
      </c>
    </row>
    <row r="78" spans="1:3">
      <c r="A78" s="1080" t="s">
        <v>1285</v>
      </c>
      <c r="B78" s="2213">
        <v>494630999</v>
      </c>
      <c r="C78" s="2213">
        <v>494630999</v>
      </c>
    </row>
    <row r="79" spans="1:3">
      <c r="A79" s="1080" t="s">
        <v>2451</v>
      </c>
      <c r="B79" s="2213">
        <v>96524813</v>
      </c>
      <c r="C79" s="2213">
        <v>96524813</v>
      </c>
    </row>
    <row r="80" spans="1:3">
      <c r="A80" s="1080" t="s">
        <v>1110</v>
      </c>
      <c r="B80" s="2213">
        <v>17299233</v>
      </c>
      <c r="C80" s="2213">
        <v>17299233</v>
      </c>
    </row>
    <row r="81" spans="1:3">
      <c r="A81" s="1080" t="s">
        <v>953</v>
      </c>
      <c r="B81" s="2213">
        <v>178208952</v>
      </c>
      <c r="C81" s="2213">
        <v>178208952</v>
      </c>
    </row>
    <row r="82" spans="1:3">
      <c r="A82" s="1080" t="s">
        <v>1286</v>
      </c>
      <c r="B82" s="2213">
        <v>816845341</v>
      </c>
      <c r="C82" s="2213">
        <v>816845341</v>
      </c>
    </row>
    <row r="83" spans="1:3">
      <c r="A83" s="1080" t="s">
        <v>1287</v>
      </c>
      <c r="B83" s="2213">
        <v>16730247</v>
      </c>
      <c r="C83" s="2213">
        <v>16730247</v>
      </c>
    </row>
    <row r="84" spans="1:3">
      <c r="A84" s="1080" t="s">
        <v>954</v>
      </c>
      <c r="B84" s="2213">
        <v>38863544</v>
      </c>
      <c r="C84" s="2213">
        <v>38863544</v>
      </c>
    </row>
    <row r="85" spans="1:3">
      <c r="A85" s="1080" t="s">
        <v>207</v>
      </c>
      <c r="B85" s="2213">
        <v>4660965937</v>
      </c>
      <c r="C85" s="2213">
        <v>4660965937</v>
      </c>
    </row>
    <row r="86" spans="1:3">
      <c r="A86" s="1080" t="s">
        <v>1035</v>
      </c>
      <c r="B86" s="2213">
        <v>2231106208</v>
      </c>
      <c r="C86" s="2213">
        <v>2231106208</v>
      </c>
    </row>
    <row r="87" spans="1:3">
      <c r="A87" s="1080" t="s">
        <v>809</v>
      </c>
      <c r="B87" s="2213">
        <v>214682568</v>
      </c>
      <c r="C87" s="2213">
        <v>214682568</v>
      </c>
    </row>
    <row r="88" spans="1:3">
      <c r="A88" s="1080" t="s">
        <v>1321</v>
      </c>
      <c r="B88" s="2213">
        <v>6722537911</v>
      </c>
      <c r="C88" s="2213">
        <v>6844364251</v>
      </c>
    </row>
    <row r="89" spans="1:3">
      <c r="A89" s="1080" t="s">
        <v>1322</v>
      </c>
      <c r="B89" s="2213">
        <v>1450401141</v>
      </c>
      <c r="C89" s="2213">
        <v>1523174421</v>
      </c>
    </row>
    <row r="90" spans="1:3">
      <c r="A90" s="1080" t="s">
        <v>1616</v>
      </c>
      <c r="B90" s="2213">
        <v>957032791</v>
      </c>
      <c r="C90" s="2213">
        <v>957032791</v>
      </c>
    </row>
    <row r="91" spans="1:3">
      <c r="A91" s="1080" t="s">
        <v>235</v>
      </c>
      <c r="B91" s="2213">
        <v>5830270813</v>
      </c>
      <c r="C91" s="2213">
        <v>5830270813</v>
      </c>
    </row>
    <row r="92" spans="1:3">
      <c r="A92" s="1080" t="s">
        <v>1323</v>
      </c>
      <c r="B92" s="2213">
        <v>48539261</v>
      </c>
      <c r="C92" s="2213">
        <v>48539261</v>
      </c>
    </row>
    <row r="93" spans="1:3">
      <c r="A93" s="1080" t="s">
        <v>631</v>
      </c>
      <c r="B93" s="2213">
        <v>7079058538</v>
      </c>
      <c r="C93" s="2213">
        <v>7079058538</v>
      </c>
    </row>
    <row r="94" spans="1:3">
      <c r="A94" s="1080" t="s">
        <v>994</v>
      </c>
      <c r="B94" s="2213">
        <v>6096701285</v>
      </c>
      <c r="C94" s="2213">
        <v>6096701285</v>
      </c>
    </row>
    <row r="95" spans="1:3">
      <c r="A95" s="1080" t="s">
        <v>2918</v>
      </c>
      <c r="B95" s="2213">
        <v>72064270</v>
      </c>
      <c r="C95" s="2213">
        <v>72064270</v>
      </c>
    </row>
    <row r="96" spans="1:3">
      <c r="A96" s="1080" t="s">
        <v>440</v>
      </c>
      <c r="B96" s="2213">
        <v>428291601</v>
      </c>
      <c r="C96" s="2213">
        <v>428291601</v>
      </c>
    </row>
    <row r="97" spans="1:3">
      <c r="A97" s="1080" t="s">
        <v>441</v>
      </c>
      <c r="B97" s="2213">
        <v>74957108</v>
      </c>
      <c r="C97" s="2213">
        <v>74957108</v>
      </c>
    </row>
    <row r="98" spans="1:3">
      <c r="A98" s="1080" t="s">
        <v>442</v>
      </c>
      <c r="B98" s="2213">
        <v>7432518</v>
      </c>
      <c r="C98" s="2213">
        <v>7432518</v>
      </c>
    </row>
    <row r="99" spans="1:3">
      <c r="A99" s="1080" t="s">
        <v>443</v>
      </c>
      <c r="B99" s="2213">
        <v>165230277</v>
      </c>
      <c r="C99" s="2213">
        <v>165230277</v>
      </c>
    </row>
    <row r="100" spans="1:3">
      <c r="A100" s="1080" t="s">
        <v>745</v>
      </c>
      <c r="B100" s="2213">
        <v>658983841</v>
      </c>
      <c r="C100" s="2213">
        <v>658983841</v>
      </c>
    </row>
    <row r="101" spans="1:3">
      <c r="A101" s="1080" t="s">
        <v>746</v>
      </c>
      <c r="B101" s="2213">
        <v>296661626</v>
      </c>
      <c r="C101" s="2213">
        <v>296661626</v>
      </c>
    </row>
    <row r="102" spans="1:3">
      <c r="A102" s="1080" t="s">
        <v>747</v>
      </c>
      <c r="B102" s="2213">
        <v>1224400496</v>
      </c>
      <c r="C102" s="2213">
        <v>1224400496</v>
      </c>
    </row>
    <row r="103" spans="1:3">
      <c r="A103" s="1080" t="s">
        <v>988</v>
      </c>
      <c r="B103" s="2213">
        <v>40691650</v>
      </c>
      <c r="C103" s="2213">
        <v>40691650</v>
      </c>
    </row>
    <row r="104" spans="1:3">
      <c r="A104" s="1080" t="s">
        <v>2893</v>
      </c>
      <c r="B104" s="2213">
        <v>150996077</v>
      </c>
      <c r="C104" s="2213">
        <v>150996077</v>
      </c>
    </row>
    <row r="105" spans="1:3">
      <c r="A105" s="1080" t="s">
        <v>1354</v>
      </c>
      <c r="B105" s="2213">
        <v>41964825</v>
      </c>
      <c r="C105" s="2213">
        <v>41964825</v>
      </c>
    </row>
    <row r="106" spans="1:3">
      <c r="A106" s="1080" t="s">
        <v>810</v>
      </c>
      <c r="B106" s="2213">
        <v>75315779</v>
      </c>
      <c r="C106" s="2213">
        <v>75315779</v>
      </c>
    </row>
    <row r="107" spans="1:3">
      <c r="A107" s="1080" t="s">
        <v>872</v>
      </c>
      <c r="B107" s="2213">
        <v>258828828</v>
      </c>
      <c r="C107" s="2213">
        <v>258828828</v>
      </c>
    </row>
    <row r="108" spans="1:3">
      <c r="A108" s="1080" t="s">
        <v>748</v>
      </c>
      <c r="B108" s="2213">
        <v>919342299</v>
      </c>
      <c r="C108" s="2213">
        <v>919342299</v>
      </c>
    </row>
    <row r="109" spans="1:3">
      <c r="A109" s="1080" t="s">
        <v>749</v>
      </c>
      <c r="B109" s="2213">
        <v>205852625</v>
      </c>
      <c r="C109" s="2213">
        <v>205852625</v>
      </c>
    </row>
    <row r="110" spans="1:3">
      <c r="A110" s="1080" t="s">
        <v>750</v>
      </c>
      <c r="B110" s="2213">
        <v>143985528</v>
      </c>
      <c r="C110" s="2213">
        <v>143985528</v>
      </c>
    </row>
    <row r="111" spans="1:3">
      <c r="A111" s="1080" t="s">
        <v>2154</v>
      </c>
      <c r="B111" s="2213">
        <v>1770756886</v>
      </c>
      <c r="C111" s="2213">
        <v>1770756886</v>
      </c>
    </row>
    <row r="112" spans="1:3">
      <c r="A112" s="1080" t="s">
        <v>380</v>
      </c>
      <c r="B112" s="2213">
        <v>2966322268</v>
      </c>
      <c r="C112" s="2213">
        <v>2966322268</v>
      </c>
    </row>
    <row r="113" spans="1:3">
      <c r="A113" s="1080" t="s">
        <v>497</v>
      </c>
      <c r="B113" s="2213">
        <v>1013600655</v>
      </c>
      <c r="C113" s="2213">
        <v>1013600655</v>
      </c>
    </row>
    <row r="114" spans="1:3">
      <c r="A114" s="1080" t="s">
        <v>1318</v>
      </c>
      <c r="B114" s="2213">
        <v>486632975</v>
      </c>
      <c r="C114" s="2213">
        <v>486632975</v>
      </c>
    </row>
    <row r="115" spans="1:3">
      <c r="A115" s="1080" t="s">
        <v>2631</v>
      </c>
      <c r="B115" s="2213">
        <v>168936641</v>
      </c>
      <c r="C115" s="2213">
        <v>168936641</v>
      </c>
    </row>
    <row r="116" spans="1:3">
      <c r="A116" s="1080" t="s">
        <v>1535</v>
      </c>
      <c r="B116" s="2213">
        <v>3649314169</v>
      </c>
      <c r="C116" s="2213">
        <v>3748714169</v>
      </c>
    </row>
    <row r="117" spans="1:3">
      <c r="A117" s="1080" t="s">
        <v>2671</v>
      </c>
      <c r="B117" s="2213">
        <v>126961944</v>
      </c>
      <c r="C117" s="2213">
        <v>126961944</v>
      </c>
    </row>
    <row r="118" spans="1:3">
      <c r="A118" s="1080" t="s">
        <v>811</v>
      </c>
      <c r="B118" s="2213">
        <v>300590269</v>
      </c>
      <c r="C118" s="2213">
        <v>553992059</v>
      </c>
    </row>
    <row r="119" spans="1:3">
      <c r="A119" s="1080" t="s">
        <v>171</v>
      </c>
      <c r="B119" s="2213">
        <v>154680836</v>
      </c>
      <c r="C119" s="2213">
        <v>154680836</v>
      </c>
    </row>
    <row r="120" spans="1:3">
      <c r="A120" s="1080" t="s">
        <v>2090</v>
      </c>
      <c r="B120" s="2213">
        <v>215474586</v>
      </c>
      <c r="C120" s="2213">
        <v>215474586</v>
      </c>
    </row>
    <row r="121" spans="1:3">
      <c r="A121" s="1080" t="s">
        <v>993</v>
      </c>
      <c r="B121" s="2213">
        <v>5161437289</v>
      </c>
      <c r="C121" s="2213">
        <v>5161437289</v>
      </c>
    </row>
    <row r="122" spans="1:3">
      <c r="A122" s="1080" t="s">
        <v>2126</v>
      </c>
      <c r="B122" s="2213">
        <v>3214832422</v>
      </c>
      <c r="C122" s="2213">
        <v>3214832422</v>
      </c>
    </row>
    <row r="123" spans="1:3">
      <c r="A123" s="1080" t="s">
        <v>64</v>
      </c>
      <c r="B123" s="2213">
        <v>352427098</v>
      </c>
      <c r="C123" s="2213">
        <v>352427098</v>
      </c>
    </row>
    <row r="124" spans="1:3">
      <c r="A124" s="1080" t="s">
        <v>2606</v>
      </c>
      <c r="B124" s="2213">
        <v>1419091232</v>
      </c>
      <c r="C124" s="2213">
        <v>1419091232</v>
      </c>
    </row>
    <row r="125" spans="1:3">
      <c r="A125" s="1080" t="s">
        <v>1892</v>
      </c>
      <c r="B125" s="2213">
        <v>3508146401</v>
      </c>
      <c r="C125" s="2213">
        <v>3508146401</v>
      </c>
    </row>
    <row r="126" spans="1:3">
      <c r="A126" s="1080" t="s">
        <v>812</v>
      </c>
      <c r="B126" s="2213">
        <v>237668997</v>
      </c>
      <c r="C126" s="2213">
        <v>277689647</v>
      </c>
    </row>
    <row r="127" spans="1:3">
      <c r="A127" s="1080" t="s">
        <v>1490</v>
      </c>
      <c r="B127" s="2213">
        <v>831782597</v>
      </c>
      <c r="C127" s="2213">
        <v>831782597</v>
      </c>
    </row>
    <row r="128" spans="1:3">
      <c r="A128" s="1080" t="s">
        <v>813</v>
      </c>
      <c r="B128" s="2213">
        <v>39185018</v>
      </c>
      <c r="C128" s="2213">
        <v>39185018</v>
      </c>
    </row>
    <row r="129" spans="1:3">
      <c r="A129" s="1080" t="s">
        <v>534</v>
      </c>
      <c r="B129" s="2213">
        <v>70546051</v>
      </c>
      <c r="C129" s="2213">
        <v>70546051</v>
      </c>
    </row>
    <row r="130" spans="1:3">
      <c r="A130" s="1080" t="s">
        <v>1050</v>
      </c>
      <c r="B130" s="2213">
        <v>698159297</v>
      </c>
      <c r="C130" s="2213">
        <v>698159297</v>
      </c>
    </row>
    <row r="131" spans="1:3">
      <c r="A131" s="1080" t="s">
        <v>1051</v>
      </c>
      <c r="B131" s="2213">
        <v>85352468</v>
      </c>
      <c r="C131" s="2213">
        <v>85352468</v>
      </c>
    </row>
    <row r="132" spans="1:3">
      <c r="A132" s="1080" t="s">
        <v>879</v>
      </c>
      <c r="B132" s="2213">
        <v>543798490</v>
      </c>
      <c r="C132" s="2213">
        <v>703428010</v>
      </c>
    </row>
    <row r="133" spans="1:3">
      <c r="A133" s="1080" t="s">
        <v>2050</v>
      </c>
      <c r="B133" s="2213">
        <v>394682830</v>
      </c>
      <c r="C133" s="2213">
        <v>394682830</v>
      </c>
    </row>
    <row r="134" spans="1:3">
      <c r="A134" s="1080" t="s">
        <v>1941</v>
      </c>
      <c r="B134" s="2213">
        <v>513558682</v>
      </c>
      <c r="C134" s="2213">
        <v>513558682</v>
      </c>
    </row>
    <row r="135" spans="1:3">
      <c r="A135" s="1080" t="s">
        <v>1942</v>
      </c>
      <c r="B135" s="2213">
        <v>54187011</v>
      </c>
      <c r="C135" s="2213">
        <v>54187011</v>
      </c>
    </row>
    <row r="136" spans="1:3">
      <c r="A136" s="1080" t="s">
        <v>842</v>
      </c>
      <c r="B136" s="2213">
        <v>313410137</v>
      </c>
      <c r="C136" s="2213">
        <v>313410137</v>
      </c>
    </row>
    <row r="137" spans="1:3">
      <c r="A137" s="1080" t="s">
        <v>843</v>
      </c>
      <c r="B137" s="2213">
        <v>207970963</v>
      </c>
      <c r="C137" s="2213">
        <v>207970963</v>
      </c>
    </row>
    <row r="138" spans="1:3">
      <c r="A138" s="1080" t="s">
        <v>2142</v>
      </c>
      <c r="B138" s="2213">
        <v>31496690</v>
      </c>
      <c r="C138" s="2213">
        <v>31496690</v>
      </c>
    </row>
    <row r="139" spans="1:3">
      <c r="A139" s="1080" t="s">
        <v>844</v>
      </c>
      <c r="B139" s="2213">
        <v>403684064</v>
      </c>
      <c r="C139" s="2213">
        <v>403684064</v>
      </c>
    </row>
    <row r="140" spans="1:3">
      <c r="A140" s="1080" t="s">
        <v>2226</v>
      </c>
      <c r="B140" s="2213">
        <v>35346586</v>
      </c>
      <c r="C140" s="2213">
        <v>35346586</v>
      </c>
    </row>
    <row r="141" spans="1:3">
      <c r="A141" s="1080" t="s">
        <v>2227</v>
      </c>
      <c r="B141" s="2213">
        <v>252878549</v>
      </c>
      <c r="C141" s="2213">
        <v>252878549</v>
      </c>
    </row>
    <row r="142" spans="1:3">
      <c r="A142" s="1080" t="s">
        <v>2788</v>
      </c>
      <c r="B142" s="2213">
        <v>82756822</v>
      </c>
      <c r="C142" s="2213">
        <v>82756822</v>
      </c>
    </row>
    <row r="143" spans="1:3">
      <c r="A143" s="1080" t="s">
        <v>2904</v>
      </c>
      <c r="B143" s="2213">
        <v>71136238</v>
      </c>
      <c r="C143" s="2213">
        <v>71136238</v>
      </c>
    </row>
    <row r="144" spans="1:3">
      <c r="A144" s="1080" t="s">
        <v>1840</v>
      </c>
      <c r="B144" s="2213">
        <v>680231672</v>
      </c>
      <c r="C144" s="2213">
        <v>680231672</v>
      </c>
    </row>
    <row r="145" spans="1:3">
      <c r="A145" s="1080" t="s">
        <v>2789</v>
      </c>
      <c r="B145" s="2213">
        <v>4670720982</v>
      </c>
      <c r="C145" s="2213">
        <v>5903570059</v>
      </c>
    </row>
    <row r="146" spans="1:3">
      <c r="A146" s="1080" t="s">
        <v>316</v>
      </c>
      <c r="B146" s="2213">
        <v>264201137</v>
      </c>
      <c r="C146" s="2213">
        <v>264201137</v>
      </c>
    </row>
    <row r="147" spans="1:3">
      <c r="A147" s="1080" t="s">
        <v>1658</v>
      </c>
      <c r="B147" s="2213">
        <v>117120330</v>
      </c>
      <c r="C147" s="2213">
        <v>117120330</v>
      </c>
    </row>
    <row r="148" spans="1:3">
      <c r="A148" s="1080" t="s">
        <v>50</v>
      </c>
      <c r="B148" s="2213">
        <v>929852458</v>
      </c>
      <c r="C148" s="2213">
        <v>929852458</v>
      </c>
    </row>
    <row r="149" spans="1:3">
      <c r="A149" s="1080" t="s">
        <v>1486</v>
      </c>
      <c r="B149" s="2213">
        <v>338684914</v>
      </c>
      <c r="C149" s="2213">
        <v>338684914</v>
      </c>
    </row>
    <row r="150" spans="1:3">
      <c r="A150" s="1080" t="s">
        <v>2907</v>
      </c>
      <c r="B150" s="2213">
        <v>56735223</v>
      </c>
      <c r="C150" s="2213">
        <v>56735223</v>
      </c>
    </row>
    <row r="151" spans="1:3">
      <c r="A151" s="1080" t="s">
        <v>1659</v>
      </c>
      <c r="B151" s="2213">
        <v>67887498</v>
      </c>
      <c r="C151" s="2213">
        <v>67887498</v>
      </c>
    </row>
    <row r="152" spans="1:3">
      <c r="A152" s="1080" t="s">
        <v>84</v>
      </c>
      <c r="B152" s="2213">
        <v>335069889</v>
      </c>
      <c r="C152" s="2213">
        <v>335069889</v>
      </c>
    </row>
    <row r="153" spans="1:3">
      <c r="A153" s="1080" t="s">
        <v>2482</v>
      </c>
      <c r="B153" s="2213">
        <v>325899967</v>
      </c>
      <c r="C153" s="2213">
        <v>325899967</v>
      </c>
    </row>
    <row r="154" spans="1:3">
      <c r="A154" s="1080" t="s">
        <v>814</v>
      </c>
      <c r="B154" s="2213">
        <v>124071674</v>
      </c>
      <c r="C154" s="2213">
        <v>124071674</v>
      </c>
    </row>
    <row r="155" spans="1:3">
      <c r="A155" s="1080" t="s">
        <v>2483</v>
      </c>
      <c r="B155" s="2213">
        <v>63041272</v>
      </c>
      <c r="C155" s="2213">
        <v>63041272</v>
      </c>
    </row>
    <row r="156" spans="1:3">
      <c r="A156" s="1080" t="s">
        <v>1883</v>
      </c>
      <c r="B156" s="2213">
        <v>95248822</v>
      </c>
      <c r="C156" s="2213">
        <v>95248822</v>
      </c>
    </row>
    <row r="157" spans="1:3">
      <c r="A157" s="1080" t="s">
        <v>1884</v>
      </c>
      <c r="B157" s="2213">
        <v>60756506</v>
      </c>
      <c r="C157" s="2213">
        <v>60756506</v>
      </c>
    </row>
    <row r="158" spans="1:3">
      <c r="A158" s="1080" t="s">
        <v>899</v>
      </c>
      <c r="B158" s="2213">
        <v>963146301</v>
      </c>
      <c r="C158" s="2213">
        <v>963146301</v>
      </c>
    </row>
    <row r="159" spans="1:3">
      <c r="A159" s="1080" t="s">
        <v>900</v>
      </c>
      <c r="B159" s="2213">
        <v>113057843</v>
      </c>
      <c r="C159" s="2213">
        <v>113057843</v>
      </c>
    </row>
    <row r="160" spans="1:3">
      <c r="A160" s="1080" t="s">
        <v>922</v>
      </c>
      <c r="B160" s="2213">
        <v>243253276</v>
      </c>
      <c r="C160" s="2213">
        <v>360806956</v>
      </c>
    </row>
    <row r="161" spans="1:3">
      <c r="A161" s="1080" t="s">
        <v>630</v>
      </c>
      <c r="B161" s="2213">
        <v>166144237</v>
      </c>
      <c r="C161" s="2213">
        <v>166144237</v>
      </c>
    </row>
    <row r="162" spans="1:3">
      <c r="A162" s="1080" t="s">
        <v>2712</v>
      </c>
      <c r="B162" s="2213">
        <v>87081941</v>
      </c>
      <c r="C162" s="2213">
        <v>87081941</v>
      </c>
    </row>
    <row r="163" spans="1:3">
      <c r="A163" s="1080" t="s">
        <v>923</v>
      </c>
      <c r="B163" s="2213">
        <v>125442519</v>
      </c>
      <c r="C163" s="2213">
        <v>125442519</v>
      </c>
    </row>
    <row r="164" spans="1:3">
      <c r="A164" s="1080" t="s">
        <v>638</v>
      </c>
      <c r="B164" s="2213">
        <v>8933078275</v>
      </c>
      <c r="C164" s="2213">
        <v>8933078275</v>
      </c>
    </row>
    <row r="165" spans="1:3">
      <c r="A165" s="1080" t="s">
        <v>1841</v>
      </c>
      <c r="B165" s="2213">
        <v>624222252</v>
      </c>
      <c r="C165" s="2213">
        <v>624222252</v>
      </c>
    </row>
    <row r="166" spans="1:3">
      <c r="A166" s="1080" t="s">
        <v>2862</v>
      </c>
      <c r="B166" s="2213">
        <v>735713674</v>
      </c>
      <c r="C166" s="2213">
        <v>735713674</v>
      </c>
    </row>
    <row r="167" spans="1:3">
      <c r="A167" s="1080" t="s">
        <v>1900</v>
      </c>
      <c r="B167" s="2213">
        <v>350330196</v>
      </c>
      <c r="C167" s="2213">
        <v>350330196</v>
      </c>
    </row>
    <row r="168" spans="1:3">
      <c r="A168" s="1080" t="s">
        <v>1605</v>
      </c>
      <c r="B168" s="2213">
        <v>21279866604</v>
      </c>
      <c r="C168" s="2213">
        <v>21279866604</v>
      </c>
    </row>
    <row r="169" spans="1:3">
      <c r="A169" s="1080" t="s">
        <v>2895</v>
      </c>
      <c r="B169" s="2213">
        <v>10151777455</v>
      </c>
      <c r="C169" s="2213">
        <v>10151777455</v>
      </c>
    </row>
    <row r="170" spans="1:3">
      <c r="A170" s="1080" t="s">
        <v>724</v>
      </c>
      <c r="B170" s="2213">
        <v>547212081</v>
      </c>
      <c r="C170" s="2213">
        <v>547212081</v>
      </c>
    </row>
    <row r="171" spans="1:3">
      <c r="A171" s="1080" t="s">
        <v>725</v>
      </c>
      <c r="B171" s="2213">
        <v>36812803168</v>
      </c>
      <c r="C171" s="2213">
        <v>37237360248</v>
      </c>
    </row>
    <row r="172" spans="1:3">
      <c r="A172" s="1080" t="s">
        <v>246</v>
      </c>
      <c r="B172" s="2213">
        <v>549081160</v>
      </c>
      <c r="C172" s="2213">
        <v>549081160</v>
      </c>
    </row>
    <row r="173" spans="1:3">
      <c r="A173" s="1080" t="s">
        <v>1780</v>
      </c>
      <c r="B173" s="2213">
        <v>2941489921</v>
      </c>
      <c r="C173" s="2213">
        <v>2941489921</v>
      </c>
    </row>
    <row r="174" spans="1:3">
      <c r="A174" s="1080" t="s">
        <v>1351</v>
      </c>
      <c r="B174" s="2213">
        <v>3709913472</v>
      </c>
      <c r="C174" s="2213">
        <v>3709913472</v>
      </c>
    </row>
    <row r="175" spans="1:3">
      <c r="A175" s="1080" t="s">
        <v>990</v>
      </c>
      <c r="B175" s="2213">
        <v>125440859</v>
      </c>
      <c r="C175" s="2213">
        <v>125440859</v>
      </c>
    </row>
    <row r="176" spans="1:3">
      <c r="A176" s="1080" t="s">
        <v>1619</v>
      </c>
      <c r="B176" s="2213">
        <v>507137670</v>
      </c>
      <c r="C176" s="2213">
        <v>507137670</v>
      </c>
    </row>
    <row r="177" spans="1:3">
      <c r="A177" s="1080" t="s">
        <v>281</v>
      </c>
      <c r="B177" s="2213">
        <v>1795227460</v>
      </c>
      <c r="C177" s="2213">
        <v>1795227460</v>
      </c>
    </row>
    <row r="178" spans="1:3">
      <c r="A178" s="1080" t="s">
        <v>282</v>
      </c>
      <c r="B178" s="2213">
        <v>151808059</v>
      </c>
      <c r="C178" s="2213">
        <v>151808059</v>
      </c>
    </row>
    <row r="179" spans="1:3">
      <c r="A179" s="1080" t="s">
        <v>1617</v>
      </c>
      <c r="B179" s="2213">
        <v>889866933</v>
      </c>
      <c r="C179" s="2213">
        <v>889866933</v>
      </c>
    </row>
    <row r="180" spans="1:3">
      <c r="A180" s="1080" t="s">
        <v>643</v>
      </c>
      <c r="B180" s="2213">
        <v>652090449</v>
      </c>
      <c r="C180" s="2213">
        <v>652090449</v>
      </c>
    </row>
    <row r="181" spans="1:3">
      <c r="A181" s="1080" t="s">
        <v>34</v>
      </c>
      <c r="B181" s="2213">
        <v>326936984</v>
      </c>
      <c r="C181" s="2213">
        <v>326936984</v>
      </c>
    </row>
    <row r="182" spans="1:3">
      <c r="A182" s="1080" t="s">
        <v>35</v>
      </c>
      <c r="B182" s="2213">
        <v>3467038821</v>
      </c>
      <c r="C182" s="2213">
        <v>3467038821</v>
      </c>
    </row>
    <row r="183" spans="1:3">
      <c r="A183" s="1080" t="s">
        <v>1437</v>
      </c>
      <c r="B183" s="2213">
        <v>12205356771</v>
      </c>
      <c r="C183" s="2213">
        <v>12282679971</v>
      </c>
    </row>
    <row r="184" spans="1:3">
      <c r="A184" s="1080" t="s">
        <v>2644</v>
      </c>
      <c r="B184" s="2213">
        <v>249752332</v>
      </c>
      <c r="C184" s="2213">
        <v>249752332</v>
      </c>
    </row>
    <row r="185" spans="1:3">
      <c r="A185" s="1080" t="s">
        <v>2763</v>
      </c>
      <c r="B185" s="2213">
        <v>167890719</v>
      </c>
      <c r="C185" s="2213">
        <v>167890719</v>
      </c>
    </row>
    <row r="186" spans="1:3">
      <c r="A186" s="1080" t="s">
        <v>2672</v>
      </c>
      <c r="B186" s="2213">
        <v>42201372</v>
      </c>
      <c r="C186" s="2213">
        <v>42201372</v>
      </c>
    </row>
    <row r="187" spans="1:3">
      <c r="A187" s="1080" t="s">
        <v>2645</v>
      </c>
      <c r="B187" s="2213">
        <v>21885266</v>
      </c>
      <c r="C187" s="2213">
        <v>21885266</v>
      </c>
    </row>
    <row r="188" spans="1:3">
      <c r="A188" s="1080" t="s">
        <v>2646</v>
      </c>
      <c r="B188" s="2213">
        <v>157624469</v>
      </c>
      <c r="C188" s="2213">
        <v>157624469</v>
      </c>
    </row>
    <row r="189" spans="1:3">
      <c r="A189" s="1080" t="s">
        <v>331</v>
      </c>
      <c r="B189" s="2213">
        <v>68387226</v>
      </c>
      <c r="C189" s="2213">
        <v>68387226</v>
      </c>
    </row>
    <row r="190" spans="1:3">
      <c r="A190" s="1080" t="s">
        <v>1607</v>
      </c>
      <c r="B190" s="2213">
        <v>971250200</v>
      </c>
      <c r="C190" s="2213">
        <v>971250200</v>
      </c>
    </row>
    <row r="191" spans="1:3">
      <c r="A191" s="1080" t="s">
        <v>332</v>
      </c>
      <c r="B191" s="2213">
        <v>335224198</v>
      </c>
      <c r="C191" s="2213">
        <v>403320753</v>
      </c>
    </row>
    <row r="192" spans="1:3">
      <c r="A192" s="1080" t="s">
        <v>2863</v>
      </c>
      <c r="B192" s="2213">
        <v>219280969</v>
      </c>
      <c r="C192" s="2213">
        <v>219280969</v>
      </c>
    </row>
    <row r="193" spans="1:3">
      <c r="A193" s="1080" t="s">
        <v>333</v>
      </c>
      <c r="B193" s="2213">
        <v>584624712</v>
      </c>
      <c r="C193" s="2213">
        <v>584624712</v>
      </c>
    </row>
    <row r="194" spans="1:3">
      <c r="A194" s="1080" t="s">
        <v>334</v>
      </c>
      <c r="B194" s="2213">
        <v>205012074</v>
      </c>
      <c r="C194" s="2213">
        <v>205012074</v>
      </c>
    </row>
    <row r="195" spans="1:3">
      <c r="A195" s="1080" t="s">
        <v>335</v>
      </c>
      <c r="B195" s="2213">
        <v>424152679</v>
      </c>
      <c r="C195" s="2213">
        <v>424152679</v>
      </c>
    </row>
    <row r="196" spans="1:3">
      <c r="A196" s="1080" t="s">
        <v>1962</v>
      </c>
      <c r="B196" s="2213">
        <v>28368671</v>
      </c>
      <c r="C196" s="2213">
        <v>28368671</v>
      </c>
    </row>
    <row r="197" spans="1:3">
      <c r="A197" s="1080" t="s">
        <v>1963</v>
      </c>
      <c r="B197" s="2213">
        <v>125767656</v>
      </c>
      <c r="C197" s="2213">
        <v>125767656</v>
      </c>
    </row>
    <row r="198" spans="1:3">
      <c r="A198" s="1080" t="s">
        <v>1492</v>
      </c>
      <c r="B198" s="2213">
        <v>82040855</v>
      </c>
      <c r="C198" s="2213">
        <v>82040855</v>
      </c>
    </row>
    <row r="199" spans="1:3">
      <c r="A199" s="1080" t="s">
        <v>1267</v>
      </c>
      <c r="B199" s="2213">
        <v>613205637</v>
      </c>
      <c r="C199" s="2213">
        <v>613205637</v>
      </c>
    </row>
    <row r="200" spans="1:3">
      <c r="A200" s="1080" t="s">
        <v>2462</v>
      </c>
      <c r="B200" s="2213">
        <v>41350954</v>
      </c>
      <c r="C200" s="2213">
        <v>41350954</v>
      </c>
    </row>
    <row r="201" spans="1:3">
      <c r="A201" s="1080" t="s">
        <v>1268</v>
      </c>
      <c r="B201" s="2213">
        <v>60321484</v>
      </c>
      <c r="C201" s="2213">
        <v>60321484</v>
      </c>
    </row>
    <row r="202" spans="1:3">
      <c r="A202" s="1080" t="s">
        <v>2752</v>
      </c>
      <c r="B202" s="2213">
        <v>1268597641</v>
      </c>
      <c r="C202" s="2213">
        <v>1268597641</v>
      </c>
    </row>
    <row r="203" spans="1:3">
      <c r="A203" s="1080" t="s">
        <v>1269</v>
      </c>
      <c r="B203" s="2213">
        <v>149477662</v>
      </c>
      <c r="C203" s="2213">
        <v>149477662</v>
      </c>
    </row>
    <row r="204" spans="1:3">
      <c r="A204" s="1080" t="s">
        <v>779</v>
      </c>
      <c r="B204" s="2213">
        <v>2221707049</v>
      </c>
      <c r="C204" s="2213">
        <v>2221707049</v>
      </c>
    </row>
    <row r="205" spans="1:3">
      <c r="A205" s="1080" t="s">
        <v>780</v>
      </c>
      <c r="B205" s="2213">
        <v>2270882005</v>
      </c>
      <c r="C205" s="2213">
        <v>2270882005</v>
      </c>
    </row>
    <row r="206" spans="1:3">
      <c r="A206" s="1080" t="s">
        <v>781</v>
      </c>
      <c r="B206" s="2213">
        <v>84975280</v>
      </c>
      <c r="C206" s="2213">
        <v>84975280</v>
      </c>
    </row>
    <row r="207" spans="1:3">
      <c r="A207" s="1080" t="s">
        <v>782</v>
      </c>
      <c r="B207" s="2213">
        <v>226784528</v>
      </c>
      <c r="C207" s="2213">
        <v>226784528</v>
      </c>
    </row>
    <row r="208" spans="1:3">
      <c r="A208" s="1080" t="s">
        <v>428</v>
      </c>
      <c r="B208" s="2213">
        <v>154818233</v>
      </c>
      <c r="C208" s="2213">
        <v>154818233</v>
      </c>
    </row>
    <row r="209" spans="1:3">
      <c r="A209" s="1080" t="s">
        <v>2928</v>
      </c>
      <c r="B209" s="2213">
        <v>601422663</v>
      </c>
      <c r="C209" s="2213">
        <v>601422663</v>
      </c>
    </row>
    <row r="210" spans="1:3">
      <c r="A210" s="1080" t="s">
        <v>2929</v>
      </c>
      <c r="B210" s="2213">
        <v>711820709</v>
      </c>
      <c r="C210" s="2213">
        <v>921588649</v>
      </c>
    </row>
    <row r="211" spans="1:3">
      <c r="A211" s="1080" t="s">
        <v>2930</v>
      </c>
      <c r="B211" s="2213">
        <v>126355880</v>
      </c>
      <c r="C211" s="2213">
        <v>126355880</v>
      </c>
    </row>
    <row r="212" spans="1:3">
      <c r="A212" s="1080" t="s">
        <v>1843</v>
      </c>
      <c r="B212" s="2213">
        <v>14325312871</v>
      </c>
      <c r="C212" s="2213">
        <v>14325312871</v>
      </c>
    </row>
    <row r="213" spans="1:3">
      <c r="A213" s="1080" t="s">
        <v>421</v>
      </c>
      <c r="B213" s="2213">
        <v>2554375397</v>
      </c>
      <c r="C213" s="2213">
        <v>2554375397</v>
      </c>
    </row>
    <row r="214" spans="1:3">
      <c r="A214" s="1080" t="s">
        <v>422</v>
      </c>
      <c r="B214" s="2213">
        <v>84049742908</v>
      </c>
      <c r="C214" s="2213">
        <v>84049742908</v>
      </c>
    </row>
    <row r="215" spans="1:3">
      <c r="A215" s="1080" t="s">
        <v>423</v>
      </c>
      <c r="B215" s="2213">
        <v>2047819785</v>
      </c>
      <c r="C215" s="2213">
        <v>2047819785</v>
      </c>
    </row>
    <row r="216" spans="1:3">
      <c r="A216" s="1080" t="s">
        <v>424</v>
      </c>
      <c r="B216" s="2213">
        <v>3309611095</v>
      </c>
      <c r="C216" s="2213">
        <v>3309611095</v>
      </c>
    </row>
    <row r="217" spans="1:3">
      <c r="A217" s="1080" t="s">
        <v>2973</v>
      </c>
      <c r="B217" s="2213">
        <v>13205988142</v>
      </c>
      <c r="C217" s="2213">
        <v>13205988142</v>
      </c>
    </row>
    <row r="218" spans="1:3">
      <c r="A218" s="1080" t="s">
        <v>741</v>
      </c>
      <c r="B218" s="2213">
        <v>4806733294</v>
      </c>
      <c r="C218" s="2213">
        <v>4806733294</v>
      </c>
    </row>
    <row r="219" spans="1:3">
      <c r="A219" s="1080" t="s">
        <v>579</v>
      </c>
      <c r="B219" s="2213">
        <v>13377424193</v>
      </c>
      <c r="C219" s="2213">
        <v>13377424193</v>
      </c>
    </row>
    <row r="220" spans="1:3">
      <c r="A220" s="1080" t="s">
        <v>48</v>
      </c>
      <c r="B220" s="2213">
        <v>9062509710</v>
      </c>
      <c r="C220" s="2213">
        <v>9062509710</v>
      </c>
    </row>
    <row r="221" spans="1:3">
      <c r="A221" s="1080" t="s">
        <v>2028</v>
      </c>
      <c r="B221" s="2213">
        <v>1560461808</v>
      </c>
      <c r="C221" s="2213">
        <v>1560461808</v>
      </c>
    </row>
    <row r="222" spans="1:3">
      <c r="A222" s="1080" t="s">
        <v>2898</v>
      </c>
      <c r="B222" s="2213">
        <v>5850844653</v>
      </c>
      <c r="C222" s="2213">
        <v>5850844653</v>
      </c>
    </row>
    <row r="223" spans="1:3">
      <c r="A223" s="1080" t="s">
        <v>2029</v>
      </c>
      <c r="B223" s="2213">
        <v>17105202926</v>
      </c>
      <c r="C223" s="2213">
        <v>17105202926</v>
      </c>
    </row>
    <row r="224" spans="1:3">
      <c r="A224" s="1080" t="s">
        <v>3087</v>
      </c>
      <c r="B224" s="2213">
        <v>854125572</v>
      </c>
      <c r="C224" s="2213">
        <v>854125572</v>
      </c>
    </row>
    <row r="225" spans="1:3">
      <c r="A225" s="1080" t="s">
        <v>277</v>
      </c>
      <c r="B225" s="2213">
        <v>8418684505</v>
      </c>
      <c r="C225" s="2213">
        <v>8418684505</v>
      </c>
    </row>
    <row r="226" spans="1:3">
      <c r="A226" s="1080" t="s">
        <v>278</v>
      </c>
      <c r="B226" s="2213">
        <v>255060453</v>
      </c>
      <c r="C226" s="2213">
        <v>255060453</v>
      </c>
    </row>
    <row r="227" spans="1:3">
      <c r="A227" s="1080" t="s">
        <v>279</v>
      </c>
      <c r="B227" s="2213">
        <v>1350462086</v>
      </c>
      <c r="C227" s="2213">
        <v>1350462086</v>
      </c>
    </row>
    <row r="228" spans="1:3">
      <c r="A228" s="1080" t="s">
        <v>280</v>
      </c>
      <c r="B228" s="2213">
        <v>500866872</v>
      </c>
      <c r="C228" s="2213">
        <v>500866872</v>
      </c>
    </row>
    <row r="229" spans="1:3">
      <c r="A229" s="1080" t="s">
        <v>408</v>
      </c>
      <c r="B229" s="2213">
        <v>1265435392</v>
      </c>
      <c r="C229" s="2213">
        <v>1265435392</v>
      </c>
    </row>
    <row r="230" spans="1:3">
      <c r="A230" s="1080" t="s">
        <v>2130</v>
      </c>
      <c r="B230" s="2213">
        <v>1121991215</v>
      </c>
      <c r="C230" s="2213">
        <v>1121991215</v>
      </c>
    </row>
    <row r="231" spans="1:3">
      <c r="A231" s="1080" t="s">
        <v>1220</v>
      </c>
      <c r="B231" s="2213">
        <v>40163228</v>
      </c>
      <c r="C231" s="2213">
        <v>40163228</v>
      </c>
    </row>
    <row r="232" spans="1:3">
      <c r="A232" s="1080" t="s">
        <v>1221</v>
      </c>
      <c r="B232" s="2213">
        <v>166988192</v>
      </c>
      <c r="C232" s="2213">
        <v>166988192</v>
      </c>
    </row>
    <row r="233" spans="1:3">
      <c r="A233" s="1080" t="s">
        <v>711</v>
      </c>
      <c r="B233" s="2213">
        <v>48888152</v>
      </c>
      <c r="C233" s="2213">
        <v>48888152</v>
      </c>
    </row>
    <row r="234" spans="1:3">
      <c r="A234" s="1080" t="s">
        <v>1222</v>
      </c>
      <c r="B234" s="2213">
        <v>11490603989</v>
      </c>
      <c r="C234" s="2213">
        <v>11490603989</v>
      </c>
    </row>
    <row r="235" spans="1:3">
      <c r="A235" s="1080" t="s">
        <v>1989</v>
      </c>
      <c r="B235" s="2213">
        <v>26500961436</v>
      </c>
      <c r="C235" s="2213">
        <v>26500961436</v>
      </c>
    </row>
    <row r="236" spans="1:3">
      <c r="A236" s="1080" t="s">
        <v>240</v>
      </c>
      <c r="B236" s="2213">
        <v>553965926</v>
      </c>
      <c r="C236" s="2213">
        <v>553965926</v>
      </c>
    </row>
    <row r="237" spans="1:3">
      <c r="A237" s="1080" t="s">
        <v>815</v>
      </c>
      <c r="B237" s="2213">
        <v>738454558</v>
      </c>
      <c r="C237" s="2213">
        <v>738454558</v>
      </c>
    </row>
    <row r="238" spans="1:3">
      <c r="A238" s="1080" t="s">
        <v>242</v>
      </c>
      <c r="B238" s="2213">
        <v>709031861</v>
      </c>
      <c r="C238" s="2213">
        <v>709031861</v>
      </c>
    </row>
    <row r="239" spans="1:3">
      <c r="A239" s="1080" t="s">
        <v>1893</v>
      </c>
      <c r="B239" s="2213">
        <v>628468496</v>
      </c>
      <c r="C239" s="2213">
        <v>628468496</v>
      </c>
    </row>
    <row r="240" spans="1:3">
      <c r="A240" s="1080" t="s">
        <v>532</v>
      </c>
      <c r="B240" s="2213">
        <v>759490636</v>
      </c>
      <c r="C240" s="2213">
        <v>759490636</v>
      </c>
    </row>
    <row r="241" spans="1:3">
      <c r="A241" s="1080" t="s">
        <v>2099</v>
      </c>
      <c r="B241" s="2213">
        <v>1164201368</v>
      </c>
      <c r="C241" s="2213">
        <v>1164201368</v>
      </c>
    </row>
    <row r="242" spans="1:3">
      <c r="A242" s="1080" t="s">
        <v>1590</v>
      </c>
      <c r="B242" s="2213">
        <v>11290945870</v>
      </c>
      <c r="C242" s="2213">
        <v>11290945870</v>
      </c>
    </row>
    <row r="243" spans="1:3">
      <c r="A243" s="1080" t="s">
        <v>68</v>
      </c>
      <c r="B243" s="2213">
        <v>1308632438</v>
      </c>
      <c r="C243" s="2213">
        <v>1308632438</v>
      </c>
    </row>
    <row r="244" spans="1:3">
      <c r="A244" s="1080" t="s">
        <v>712</v>
      </c>
      <c r="B244" s="2213">
        <v>2280846409</v>
      </c>
      <c r="C244" s="2213">
        <v>2280846409</v>
      </c>
    </row>
    <row r="245" spans="1:3">
      <c r="A245" s="1080" t="s">
        <v>2864</v>
      </c>
      <c r="B245" s="2213">
        <v>2369551557</v>
      </c>
      <c r="C245" s="2213">
        <v>2369551557</v>
      </c>
    </row>
    <row r="246" spans="1:3">
      <c r="A246" s="1080" t="s">
        <v>2100</v>
      </c>
      <c r="B246" s="2213">
        <v>806487360</v>
      </c>
      <c r="C246" s="2213">
        <v>806487360</v>
      </c>
    </row>
    <row r="247" spans="1:3">
      <c r="A247" s="1080" t="s">
        <v>1352</v>
      </c>
      <c r="B247" s="2213">
        <v>1038167274</v>
      </c>
      <c r="C247" s="2213">
        <v>1525498554</v>
      </c>
    </row>
    <row r="248" spans="1:3">
      <c r="A248" s="1080" t="s">
        <v>2101</v>
      </c>
      <c r="B248" s="2213">
        <v>2621020875</v>
      </c>
      <c r="C248" s="2213">
        <v>2621020875</v>
      </c>
    </row>
    <row r="249" spans="1:3">
      <c r="A249" s="1080" t="s">
        <v>796</v>
      </c>
      <c r="B249" s="2213">
        <v>1454453836</v>
      </c>
      <c r="C249" s="2213">
        <v>1454453836</v>
      </c>
    </row>
    <row r="250" spans="1:3">
      <c r="A250" s="1080" t="s">
        <v>330</v>
      </c>
      <c r="B250" s="2213">
        <v>61390225</v>
      </c>
      <c r="C250" s="2213">
        <v>61390225</v>
      </c>
    </row>
    <row r="251" spans="1:3">
      <c r="A251" s="1080" t="s">
        <v>203</v>
      </c>
      <c r="B251" s="2213">
        <v>211148130</v>
      </c>
      <c r="C251" s="2213">
        <v>317741870</v>
      </c>
    </row>
    <row r="252" spans="1:3">
      <c r="A252" s="1080" t="s">
        <v>204</v>
      </c>
      <c r="B252" s="2213">
        <v>80935859</v>
      </c>
      <c r="C252" s="2213">
        <v>80935859</v>
      </c>
    </row>
    <row r="253" spans="1:3">
      <c r="A253" s="1080" t="s">
        <v>816</v>
      </c>
      <c r="B253" s="2213">
        <v>6913354849</v>
      </c>
      <c r="C253" s="2213">
        <v>6913354849</v>
      </c>
    </row>
    <row r="254" spans="1:3">
      <c r="A254" s="1080" t="s">
        <v>3025</v>
      </c>
      <c r="B254" s="2213">
        <v>137994400</v>
      </c>
      <c r="C254" s="2213">
        <v>137994400</v>
      </c>
    </row>
    <row r="255" spans="1:3">
      <c r="A255" s="1080" t="s">
        <v>1753</v>
      </c>
      <c r="B255" s="2213">
        <v>51311382</v>
      </c>
      <c r="C255" s="2213">
        <v>51311382</v>
      </c>
    </row>
    <row r="256" spans="1:3">
      <c r="A256" s="1080" t="s">
        <v>3026</v>
      </c>
      <c r="B256" s="2213">
        <v>24871773</v>
      </c>
      <c r="C256" s="2213">
        <v>24871773</v>
      </c>
    </row>
    <row r="257" spans="1:3">
      <c r="A257" s="1080" t="s">
        <v>3027</v>
      </c>
      <c r="B257" s="2213">
        <v>238013525</v>
      </c>
      <c r="C257" s="2213">
        <v>238013525</v>
      </c>
    </row>
    <row r="258" spans="1:3">
      <c r="A258" s="1080" t="s">
        <v>817</v>
      </c>
      <c r="B258" s="2213">
        <v>196664344</v>
      </c>
      <c r="C258" s="2213">
        <v>196664344</v>
      </c>
    </row>
    <row r="259" spans="1:3">
      <c r="A259" s="1080" t="s">
        <v>776</v>
      </c>
      <c r="B259" s="2213">
        <v>347238154</v>
      </c>
      <c r="C259" s="2213">
        <v>347238154</v>
      </c>
    </row>
    <row r="260" spans="1:3">
      <c r="A260" s="1080" t="s">
        <v>2463</v>
      </c>
      <c r="B260" s="2213">
        <v>591370784</v>
      </c>
      <c r="C260" s="2213">
        <v>591370784</v>
      </c>
    </row>
    <row r="261" spans="1:3">
      <c r="A261" s="1080" t="s">
        <v>2620</v>
      </c>
      <c r="B261" s="2213">
        <v>432744069</v>
      </c>
      <c r="C261" s="2213">
        <v>432744069</v>
      </c>
    </row>
    <row r="262" spans="1:3">
      <c r="A262" s="1080" t="s">
        <v>2007</v>
      </c>
      <c r="B262" s="2213">
        <v>109928385</v>
      </c>
      <c r="C262" s="2213">
        <v>109928385</v>
      </c>
    </row>
    <row r="263" spans="1:3">
      <c r="A263" s="1080" t="s">
        <v>672</v>
      </c>
      <c r="B263" s="2213">
        <v>100982283</v>
      </c>
      <c r="C263" s="2213">
        <v>100982283</v>
      </c>
    </row>
    <row r="264" spans="1:3">
      <c r="A264" s="1080" t="s">
        <v>1034</v>
      </c>
      <c r="B264" s="2213">
        <v>42617164</v>
      </c>
      <c r="C264" s="2213">
        <v>42617164</v>
      </c>
    </row>
    <row r="265" spans="1:3">
      <c r="A265" s="1080" t="s">
        <v>2442</v>
      </c>
      <c r="B265" s="2213">
        <v>14591182338</v>
      </c>
      <c r="C265" s="2213">
        <v>14591182338</v>
      </c>
    </row>
    <row r="266" spans="1:3">
      <c r="A266" s="1080" t="s">
        <v>2976</v>
      </c>
      <c r="B266" s="2213">
        <v>308451960</v>
      </c>
      <c r="C266" s="2213">
        <v>308451960</v>
      </c>
    </row>
    <row r="267" spans="1:3">
      <c r="A267" s="1080" t="s">
        <v>2745</v>
      </c>
      <c r="B267" s="2213">
        <v>217643399</v>
      </c>
      <c r="C267" s="2213">
        <v>217643399</v>
      </c>
    </row>
    <row r="268" spans="1:3">
      <c r="A268" s="1080" t="s">
        <v>274</v>
      </c>
      <c r="B268" s="2213">
        <v>34430365</v>
      </c>
      <c r="C268" s="2213">
        <v>34430365</v>
      </c>
    </row>
    <row r="269" spans="1:3">
      <c r="A269" s="1080" t="s">
        <v>1585</v>
      </c>
      <c r="B269" s="2213">
        <v>1697019630</v>
      </c>
      <c r="C269" s="2213">
        <v>1697019630</v>
      </c>
    </row>
    <row r="270" spans="1:3">
      <c r="A270" s="1080" t="s">
        <v>1586</v>
      </c>
      <c r="B270" s="2213">
        <v>296904200</v>
      </c>
      <c r="C270" s="2213">
        <v>296904200</v>
      </c>
    </row>
    <row r="271" spans="1:3">
      <c r="A271" s="1080" t="s">
        <v>818</v>
      </c>
      <c r="B271" s="2213">
        <v>92824856</v>
      </c>
      <c r="C271" s="2213">
        <v>92824856</v>
      </c>
    </row>
    <row r="272" spans="1:3">
      <c r="A272" s="1080" t="s">
        <v>1581</v>
      </c>
      <c r="B272" s="2213">
        <v>2844503506</v>
      </c>
      <c r="C272" s="2213">
        <v>2844503506</v>
      </c>
    </row>
    <row r="273" spans="1:3">
      <c r="A273" s="1080" t="s">
        <v>1049</v>
      </c>
      <c r="B273" s="2213">
        <v>75001918</v>
      </c>
      <c r="C273" s="2213">
        <v>75001918</v>
      </c>
    </row>
    <row r="274" spans="1:3">
      <c r="A274" s="1080" t="s">
        <v>275</v>
      </c>
      <c r="B274" s="2213">
        <v>205541116</v>
      </c>
      <c r="C274" s="2213">
        <v>205541116</v>
      </c>
    </row>
    <row r="275" spans="1:3">
      <c r="A275" s="1080" t="s">
        <v>2382</v>
      </c>
      <c r="B275" s="2213">
        <v>1317053359</v>
      </c>
      <c r="C275" s="2213">
        <v>1317053359</v>
      </c>
    </row>
    <row r="276" spans="1:3">
      <c r="A276" s="1080" t="s">
        <v>375</v>
      </c>
      <c r="B276" s="2213">
        <v>2854073414</v>
      </c>
      <c r="C276" s="2213">
        <v>2854073414</v>
      </c>
    </row>
    <row r="277" spans="1:3">
      <c r="A277" s="1080" t="s">
        <v>819</v>
      </c>
      <c r="B277" s="2213">
        <v>258068693</v>
      </c>
      <c r="C277" s="2213">
        <v>258068693</v>
      </c>
    </row>
    <row r="278" spans="1:3">
      <c r="A278" s="1080" t="s">
        <v>629</v>
      </c>
      <c r="B278" s="2213">
        <v>997708793</v>
      </c>
      <c r="C278" s="2213">
        <v>997708793</v>
      </c>
    </row>
    <row r="279" spans="1:3">
      <c r="A279" s="1080" t="s">
        <v>2767</v>
      </c>
      <c r="B279" s="2213">
        <v>15144575126</v>
      </c>
      <c r="C279" s="2213">
        <v>15144575126</v>
      </c>
    </row>
    <row r="280" spans="1:3">
      <c r="A280" s="1080" t="s">
        <v>878</v>
      </c>
      <c r="B280" s="2213">
        <v>153549716</v>
      </c>
      <c r="C280" s="2213">
        <v>153549716</v>
      </c>
    </row>
    <row r="281" spans="1:3">
      <c r="A281" s="1080" t="s">
        <v>212</v>
      </c>
      <c r="B281" s="2213">
        <v>185313874</v>
      </c>
      <c r="C281" s="2213">
        <v>185313874</v>
      </c>
    </row>
    <row r="282" spans="1:3">
      <c r="A282" s="1080" t="s">
        <v>1353</v>
      </c>
      <c r="B282" s="2213">
        <v>6541241906</v>
      </c>
      <c r="C282" s="2213">
        <v>6541241906</v>
      </c>
    </row>
    <row r="283" spans="1:3">
      <c r="A283" s="1080" t="s">
        <v>2401</v>
      </c>
      <c r="B283" s="2213">
        <v>170558361</v>
      </c>
      <c r="C283" s="2213">
        <v>170558361</v>
      </c>
    </row>
    <row r="284" spans="1:3">
      <c r="A284" s="1080" t="s">
        <v>2157</v>
      </c>
      <c r="B284" s="2213">
        <v>1593917569</v>
      </c>
      <c r="C284" s="2213">
        <v>1593917569</v>
      </c>
    </row>
    <row r="285" spans="1:3">
      <c r="A285" s="1080" t="s">
        <v>1710</v>
      </c>
      <c r="B285" s="2213">
        <v>59767381</v>
      </c>
      <c r="C285" s="2213">
        <v>59767381</v>
      </c>
    </row>
    <row r="286" spans="1:3">
      <c r="A286" s="1080" t="s">
        <v>1315</v>
      </c>
      <c r="B286" s="2213">
        <v>8141659777</v>
      </c>
      <c r="C286" s="2213">
        <v>8141659777</v>
      </c>
    </row>
    <row r="287" spans="1:3">
      <c r="A287" s="1080" t="s">
        <v>2768</v>
      </c>
      <c r="B287" s="2213">
        <v>44851882</v>
      </c>
      <c r="C287" s="2213">
        <v>44851882</v>
      </c>
    </row>
    <row r="288" spans="1:3">
      <c r="A288" s="1080" t="s">
        <v>2769</v>
      </c>
      <c r="B288" s="2213">
        <v>267696245</v>
      </c>
      <c r="C288" s="2213">
        <v>267696245</v>
      </c>
    </row>
    <row r="289" spans="1:3">
      <c r="A289" s="1080" t="s">
        <v>1704</v>
      </c>
      <c r="B289" s="2213">
        <v>1399010324</v>
      </c>
      <c r="C289" s="2213">
        <v>1399010324</v>
      </c>
    </row>
    <row r="290" spans="1:3">
      <c r="A290" s="1080" t="s">
        <v>2091</v>
      </c>
      <c r="B290" s="2213">
        <v>118475995</v>
      </c>
      <c r="C290" s="2213">
        <v>118475995</v>
      </c>
    </row>
    <row r="291" spans="1:3">
      <c r="A291" s="1080" t="s">
        <v>2092</v>
      </c>
      <c r="B291" s="2213">
        <v>117162934</v>
      </c>
      <c r="C291" s="2213">
        <v>117162934</v>
      </c>
    </row>
    <row r="292" spans="1:3">
      <c r="A292" s="1080" t="s">
        <v>1400</v>
      </c>
      <c r="B292" s="2213">
        <v>90199280</v>
      </c>
      <c r="C292" s="2213">
        <v>134128180</v>
      </c>
    </row>
    <row r="293" spans="1:3">
      <c r="A293" s="1080" t="s">
        <v>2093</v>
      </c>
      <c r="B293" s="2213">
        <v>77295368</v>
      </c>
      <c r="C293" s="2213">
        <v>77295368</v>
      </c>
    </row>
    <row r="294" spans="1:3">
      <c r="A294" s="1080" t="s">
        <v>229</v>
      </c>
      <c r="B294" s="2213">
        <v>57675183</v>
      </c>
      <c r="C294" s="2213">
        <v>57675183</v>
      </c>
    </row>
    <row r="295" spans="1:3">
      <c r="A295" s="1080" t="s">
        <v>2095</v>
      </c>
      <c r="B295" s="2213">
        <v>220059141</v>
      </c>
      <c r="C295" s="2213">
        <v>220059141</v>
      </c>
    </row>
    <row r="296" spans="1:3">
      <c r="A296" s="1080" t="s">
        <v>2103</v>
      </c>
      <c r="B296" s="2213">
        <v>15570902</v>
      </c>
      <c r="C296" s="2213">
        <v>15570902</v>
      </c>
    </row>
    <row r="297" spans="1:3">
      <c r="A297" s="1080" t="s">
        <v>230</v>
      </c>
      <c r="B297" s="2213">
        <v>139949956</v>
      </c>
      <c r="C297" s="2213">
        <v>139949956</v>
      </c>
    </row>
    <row r="298" spans="1:3">
      <c r="A298" s="1080" t="s">
        <v>231</v>
      </c>
      <c r="B298" s="2213">
        <v>538029040</v>
      </c>
      <c r="C298" s="2213">
        <v>538029040</v>
      </c>
    </row>
    <row r="299" spans="1:3">
      <c r="A299" s="1080" t="s">
        <v>1401</v>
      </c>
      <c r="B299" s="2213">
        <v>38021398</v>
      </c>
      <c r="C299" s="2213">
        <v>38021398</v>
      </c>
    </row>
    <row r="300" spans="1:3">
      <c r="A300" s="1080" t="s">
        <v>820</v>
      </c>
      <c r="B300" s="2213">
        <v>35810063</v>
      </c>
      <c r="C300" s="2213">
        <v>35810063</v>
      </c>
    </row>
    <row r="301" spans="1:3">
      <c r="A301" s="1080" t="s">
        <v>232</v>
      </c>
      <c r="B301" s="2213">
        <v>167498727</v>
      </c>
      <c r="C301" s="2213">
        <v>167498727</v>
      </c>
    </row>
    <row r="302" spans="1:3">
      <c r="A302" s="1080" t="s">
        <v>233</v>
      </c>
      <c r="B302" s="2213">
        <v>134292332</v>
      </c>
      <c r="C302" s="2213">
        <v>134292332</v>
      </c>
    </row>
    <row r="303" spans="1:3">
      <c r="A303" s="1080" t="s">
        <v>1960</v>
      </c>
      <c r="B303" s="2213">
        <v>77104733</v>
      </c>
      <c r="C303" s="2213">
        <v>77104733</v>
      </c>
    </row>
    <row r="304" spans="1:3">
      <c r="A304" s="1080" t="s">
        <v>1961</v>
      </c>
      <c r="B304" s="2213">
        <v>142245730</v>
      </c>
      <c r="C304" s="2213">
        <v>142245730</v>
      </c>
    </row>
    <row r="305" spans="1:3">
      <c r="A305" s="1080" t="s">
        <v>1402</v>
      </c>
      <c r="B305" s="2213">
        <v>88841256</v>
      </c>
      <c r="C305" s="2213">
        <v>88841256</v>
      </c>
    </row>
    <row r="306" spans="1:3">
      <c r="A306" s="1080" t="s">
        <v>2948</v>
      </c>
      <c r="B306" s="2213">
        <v>464173803</v>
      </c>
      <c r="C306" s="2213">
        <v>464173803</v>
      </c>
    </row>
    <row r="307" spans="1:3">
      <c r="A307" s="1080" t="s">
        <v>1911</v>
      </c>
      <c r="B307" s="2213">
        <v>1002921979</v>
      </c>
      <c r="C307" s="2213">
        <v>1002921979</v>
      </c>
    </row>
    <row r="308" spans="1:3">
      <c r="A308" s="1080" t="s">
        <v>1912</v>
      </c>
      <c r="B308" s="2213">
        <v>409918497</v>
      </c>
      <c r="C308" s="2213">
        <v>409918497</v>
      </c>
    </row>
    <row r="309" spans="1:3">
      <c r="A309" s="1080" t="s">
        <v>1037</v>
      </c>
      <c r="B309" s="2213">
        <v>165139476</v>
      </c>
      <c r="C309" s="2213">
        <v>165139476</v>
      </c>
    </row>
    <row r="310" spans="1:3">
      <c r="A310" s="1080" t="s">
        <v>73</v>
      </c>
      <c r="B310" s="2213">
        <v>323640836</v>
      </c>
      <c r="C310" s="2213">
        <v>323640836</v>
      </c>
    </row>
    <row r="311" spans="1:3">
      <c r="A311" s="1080" t="s">
        <v>853</v>
      </c>
      <c r="B311" s="2213">
        <v>109663660</v>
      </c>
      <c r="C311" s="2213">
        <v>109663660</v>
      </c>
    </row>
    <row r="312" spans="1:3">
      <c r="A312" s="1080" t="s">
        <v>2865</v>
      </c>
      <c r="B312" s="2213">
        <v>114143887</v>
      </c>
      <c r="C312" s="2213">
        <v>139143887</v>
      </c>
    </row>
    <row r="313" spans="1:3">
      <c r="A313" s="1080" t="s">
        <v>697</v>
      </c>
      <c r="B313" s="2213">
        <v>260575575</v>
      </c>
      <c r="C313" s="2213">
        <v>260575575</v>
      </c>
    </row>
    <row r="314" spans="1:3">
      <c r="A314" s="1080" t="s">
        <v>698</v>
      </c>
      <c r="B314" s="2213">
        <v>101491406</v>
      </c>
      <c r="C314" s="2213">
        <v>101491406</v>
      </c>
    </row>
    <row r="315" spans="1:3">
      <c r="A315" s="1080" t="s">
        <v>699</v>
      </c>
      <c r="B315" s="2213">
        <v>173450941</v>
      </c>
      <c r="C315" s="2213">
        <v>173450941</v>
      </c>
    </row>
    <row r="316" spans="1:3">
      <c r="A316" s="1080" t="s">
        <v>700</v>
      </c>
      <c r="B316" s="2213">
        <v>11372427668</v>
      </c>
      <c r="C316" s="2213">
        <v>11372427668</v>
      </c>
    </row>
    <row r="317" spans="1:3">
      <c r="A317" s="1080" t="s">
        <v>2906</v>
      </c>
      <c r="B317" s="2213">
        <v>655839534</v>
      </c>
      <c r="C317" s="2213">
        <v>655839534</v>
      </c>
    </row>
    <row r="318" spans="1:3">
      <c r="A318" s="1080" t="s">
        <v>1602</v>
      </c>
      <c r="B318" s="2213">
        <v>27510726731</v>
      </c>
      <c r="C318" s="2213">
        <v>27510726731</v>
      </c>
    </row>
    <row r="319" spans="1:3">
      <c r="A319" s="1080" t="s">
        <v>2647</v>
      </c>
      <c r="B319" s="2213">
        <v>2172678614</v>
      </c>
      <c r="C319" s="2213">
        <v>2172678614</v>
      </c>
    </row>
    <row r="320" spans="1:3">
      <c r="A320" s="1080" t="s">
        <v>2290</v>
      </c>
      <c r="B320" s="2213">
        <v>951840125</v>
      </c>
      <c r="C320" s="2213">
        <v>951840125</v>
      </c>
    </row>
    <row r="321" spans="1:3">
      <c r="A321" s="1080" t="s">
        <v>1478</v>
      </c>
      <c r="B321" s="2213">
        <v>1641832475</v>
      </c>
      <c r="C321" s="2213">
        <v>1641832475</v>
      </c>
    </row>
    <row r="322" spans="1:3">
      <c r="A322" s="1080" t="s">
        <v>2192</v>
      </c>
      <c r="B322" s="2213">
        <v>924858531</v>
      </c>
      <c r="C322" s="2213">
        <v>924858531</v>
      </c>
    </row>
    <row r="323" spans="1:3">
      <c r="A323" s="1080" t="s">
        <v>2198</v>
      </c>
      <c r="B323" s="2213">
        <v>129953704</v>
      </c>
      <c r="C323" s="2213">
        <v>129953704</v>
      </c>
    </row>
    <row r="324" spans="1:3">
      <c r="A324" s="1080" t="s">
        <v>2199</v>
      </c>
      <c r="B324" s="2213">
        <v>196432367</v>
      </c>
      <c r="C324" s="2213">
        <v>196432367</v>
      </c>
    </row>
    <row r="325" spans="1:3">
      <c r="A325" s="1080" t="s">
        <v>1403</v>
      </c>
      <c r="B325" s="2213">
        <v>1481372181</v>
      </c>
      <c r="C325" s="2213">
        <v>1481372181</v>
      </c>
    </row>
    <row r="326" spans="1:3">
      <c r="A326" s="1080" t="s">
        <v>2866</v>
      </c>
      <c r="B326" s="2213">
        <v>1435332102</v>
      </c>
      <c r="C326" s="2213">
        <v>1435332102</v>
      </c>
    </row>
    <row r="327" spans="1:3">
      <c r="A327" s="1080" t="s">
        <v>2200</v>
      </c>
      <c r="B327" s="2213">
        <v>257156533</v>
      </c>
      <c r="C327" s="2213">
        <v>257156533</v>
      </c>
    </row>
    <row r="328" spans="1:3">
      <c r="A328" s="1080" t="s">
        <v>2420</v>
      </c>
      <c r="B328" s="2213">
        <v>490599165</v>
      </c>
      <c r="C328" s="2213">
        <v>490599165</v>
      </c>
    </row>
    <row r="329" spans="1:3">
      <c r="A329" s="1080" t="s">
        <v>2490</v>
      </c>
      <c r="B329" s="2213">
        <v>5650415334</v>
      </c>
      <c r="C329" s="2213">
        <v>5650415334</v>
      </c>
    </row>
    <row r="330" spans="1:3">
      <c r="A330" s="1080" t="s">
        <v>2270</v>
      </c>
      <c r="B330" s="2213">
        <v>2810909529</v>
      </c>
      <c r="C330" s="2213">
        <v>2810909529</v>
      </c>
    </row>
    <row r="331" spans="1:3">
      <c r="A331" s="1080" t="s">
        <v>2550</v>
      </c>
      <c r="B331" s="2213">
        <v>5626789061</v>
      </c>
      <c r="C331" s="2213">
        <v>5626789061</v>
      </c>
    </row>
    <row r="332" spans="1:3">
      <c r="A332" s="1080" t="s">
        <v>2132</v>
      </c>
      <c r="B332" s="2213">
        <v>94279495</v>
      </c>
      <c r="C332" s="2213">
        <v>94279495</v>
      </c>
    </row>
    <row r="333" spans="1:3">
      <c r="A333" s="1080" t="s">
        <v>862</v>
      </c>
      <c r="B333" s="2213">
        <v>1422113638</v>
      </c>
      <c r="C333" s="2213">
        <v>1422113638</v>
      </c>
    </row>
    <row r="334" spans="1:3">
      <c r="A334" s="1080" t="s">
        <v>863</v>
      </c>
      <c r="B334" s="2213">
        <v>3970607133</v>
      </c>
      <c r="C334" s="2213">
        <v>3970607133</v>
      </c>
    </row>
    <row r="335" spans="1:3">
      <c r="A335" s="1080" t="s">
        <v>2817</v>
      </c>
      <c r="B335" s="2213">
        <v>510062858</v>
      </c>
      <c r="C335" s="2213">
        <v>510062858</v>
      </c>
    </row>
    <row r="336" spans="1:3">
      <c r="A336" s="1080" t="s">
        <v>533</v>
      </c>
      <c r="B336" s="2213">
        <v>1034985380</v>
      </c>
      <c r="C336" s="2213">
        <v>1034985380</v>
      </c>
    </row>
    <row r="337" spans="1:3">
      <c r="A337" s="1080" t="s">
        <v>2818</v>
      </c>
      <c r="B337" s="2213">
        <v>17151465685</v>
      </c>
      <c r="C337" s="2213">
        <v>17151465685</v>
      </c>
    </row>
    <row r="338" spans="1:3">
      <c r="A338" s="1080" t="s">
        <v>1604</v>
      </c>
      <c r="B338" s="2213">
        <v>2256621524</v>
      </c>
      <c r="C338" s="2213">
        <v>2256621524</v>
      </c>
    </row>
    <row r="339" spans="1:3">
      <c r="A339" s="1080" t="s">
        <v>1872</v>
      </c>
      <c r="B339" s="2213">
        <v>852175671</v>
      </c>
      <c r="C339" s="2213">
        <v>852175671</v>
      </c>
    </row>
    <row r="340" spans="1:3">
      <c r="A340" s="1080" t="s">
        <v>1873</v>
      </c>
      <c r="B340" s="2213">
        <v>79775051</v>
      </c>
      <c r="C340" s="2213">
        <v>79775051</v>
      </c>
    </row>
    <row r="341" spans="1:3">
      <c r="A341" s="1080" t="s">
        <v>2139</v>
      </c>
      <c r="B341" s="2213">
        <v>36981498</v>
      </c>
      <c r="C341" s="2213">
        <v>36981498</v>
      </c>
    </row>
    <row r="342" spans="1:3">
      <c r="A342" s="1080" t="s">
        <v>1636</v>
      </c>
      <c r="B342" s="2213">
        <v>2545636459</v>
      </c>
      <c r="C342" s="2213">
        <v>2545636459</v>
      </c>
    </row>
    <row r="343" spans="1:3">
      <c r="A343" s="1080" t="s">
        <v>2474</v>
      </c>
      <c r="B343" s="2213">
        <v>366106891</v>
      </c>
      <c r="C343" s="2213">
        <v>366106891</v>
      </c>
    </row>
    <row r="344" spans="1:3">
      <c r="A344" s="1080" t="s">
        <v>2475</v>
      </c>
      <c r="B344" s="2213">
        <v>3578560761</v>
      </c>
      <c r="C344" s="2213">
        <v>3786293895</v>
      </c>
    </row>
    <row r="345" spans="1:3">
      <c r="A345" s="1080" t="s">
        <v>2794</v>
      </c>
      <c r="B345" s="2213">
        <v>1056013464</v>
      </c>
      <c r="C345" s="2213">
        <v>1056013464</v>
      </c>
    </row>
    <row r="346" spans="1:3">
      <c r="A346" s="1080" t="s">
        <v>1019</v>
      </c>
      <c r="B346" s="2213">
        <v>2480037724</v>
      </c>
      <c r="C346" s="2213">
        <v>2480037724</v>
      </c>
    </row>
    <row r="347" spans="1:3">
      <c r="A347" s="1080" t="s">
        <v>2795</v>
      </c>
      <c r="B347" s="2213">
        <v>1659740458</v>
      </c>
      <c r="C347" s="2213">
        <v>1659740458</v>
      </c>
    </row>
    <row r="348" spans="1:3">
      <c r="A348" s="1080" t="s">
        <v>2796</v>
      </c>
      <c r="B348" s="2213">
        <v>206146544</v>
      </c>
      <c r="C348" s="2213">
        <v>206146544</v>
      </c>
    </row>
    <row r="349" spans="1:3">
      <c r="A349" s="1080" t="s">
        <v>2118</v>
      </c>
      <c r="B349" s="2213">
        <v>191799793</v>
      </c>
      <c r="C349" s="2213">
        <v>191799793</v>
      </c>
    </row>
    <row r="350" spans="1:3">
      <c r="A350" s="1080" t="s">
        <v>2119</v>
      </c>
      <c r="B350" s="2213">
        <v>148473589</v>
      </c>
      <c r="C350" s="2213">
        <v>148473589</v>
      </c>
    </row>
    <row r="351" spans="1:3">
      <c r="A351" s="1080" t="s">
        <v>2301</v>
      </c>
      <c r="B351" s="2213">
        <v>1221736103</v>
      </c>
      <c r="C351" s="2213">
        <v>1221736103</v>
      </c>
    </row>
    <row r="352" spans="1:3">
      <c r="A352" s="1080" t="s">
        <v>2313</v>
      </c>
      <c r="B352" s="2213">
        <v>148301456</v>
      </c>
      <c r="C352" s="2213">
        <v>148301456</v>
      </c>
    </row>
    <row r="353" spans="1:3">
      <c r="A353" s="1080" t="s">
        <v>1897</v>
      </c>
      <c r="B353" s="2213">
        <v>179050097</v>
      </c>
      <c r="C353" s="2213">
        <v>179050097</v>
      </c>
    </row>
    <row r="354" spans="1:3">
      <c r="A354" s="1080" t="s">
        <v>1107</v>
      </c>
      <c r="B354" s="2213">
        <v>131661623</v>
      </c>
      <c r="C354" s="2213">
        <v>131661623</v>
      </c>
    </row>
    <row r="355" spans="1:3">
      <c r="A355" s="1080" t="s">
        <v>1108</v>
      </c>
      <c r="B355" s="2213">
        <v>1294567679</v>
      </c>
      <c r="C355" s="2213">
        <v>1294567679</v>
      </c>
    </row>
    <row r="356" spans="1:3">
      <c r="A356" s="1080" t="s">
        <v>1276</v>
      </c>
      <c r="B356" s="2213">
        <v>200252334</v>
      </c>
      <c r="C356" s="2213">
        <v>200252334</v>
      </c>
    </row>
    <row r="357" spans="1:3">
      <c r="A357" s="1080" t="s">
        <v>897</v>
      </c>
      <c r="B357" s="2213">
        <v>2552300450</v>
      </c>
      <c r="C357" s="2213">
        <v>2552300450</v>
      </c>
    </row>
    <row r="358" spans="1:3">
      <c r="A358" s="1080" t="s">
        <v>898</v>
      </c>
      <c r="B358" s="2213">
        <v>71189503</v>
      </c>
      <c r="C358" s="2213">
        <v>71189503</v>
      </c>
    </row>
    <row r="359" spans="1:3">
      <c r="A359" s="1080" t="s">
        <v>1404</v>
      </c>
      <c r="B359" s="2213">
        <v>476736219</v>
      </c>
      <c r="C359" s="2213">
        <v>476736219</v>
      </c>
    </row>
    <row r="360" spans="1:3">
      <c r="A360" s="1080" t="s">
        <v>1405</v>
      </c>
      <c r="B360" s="2213">
        <v>606694656</v>
      </c>
      <c r="C360" s="2213">
        <v>606694656</v>
      </c>
    </row>
    <row r="361" spans="1:3">
      <c r="A361" s="1080" t="s">
        <v>1650</v>
      </c>
      <c r="B361" s="2213">
        <v>161094124</v>
      </c>
      <c r="C361" s="2213">
        <v>161094124</v>
      </c>
    </row>
    <row r="362" spans="1:3">
      <c r="A362" s="1080" t="s">
        <v>243</v>
      </c>
      <c r="B362" s="2213">
        <v>705919974</v>
      </c>
      <c r="C362" s="2213">
        <v>705919974</v>
      </c>
    </row>
    <row r="363" spans="1:3">
      <c r="A363" s="1080" t="s">
        <v>2977</v>
      </c>
      <c r="B363" s="2213">
        <v>359773231</v>
      </c>
      <c r="C363" s="2213">
        <v>359773231</v>
      </c>
    </row>
    <row r="364" spans="1:3">
      <c r="A364" s="1080" t="s">
        <v>1483</v>
      </c>
      <c r="B364" s="2213">
        <v>196043090</v>
      </c>
      <c r="C364" s="2213">
        <v>196043090</v>
      </c>
    </row>
    <row r="365" spans="1:3">
      <c r="A365" s="1080" t="s">
        <v>1461</v>
      </c>
      <c r="B365" s="2213">
        <v>155883653</v>
      </c>
      <c r="C365" s="2213">
        <v>155883653</v>
      </c>
    </row>
    <row r="366" spans="1:3">
      <c r="A366" s="1080" t="s">
        <v>1462</v>
      </c>
      <c r="B366" s="2213">
        <v>530070922</v>
      </c>
      <c r="C366" s="2213">
        <v>530070922</v>
      </c>
    </row>
    <row r="367" spans="1:3">
      <c r="A367" s="1080" t="s">
        <v>1463</v>
      </c>
      <c r="B367" s="2213">
        <v>1644187593</v>
      </c>
      <c r="C367" s="2213">
        <v>1644187593</v>
      </c>
    </row>
    <row r="368" spans="1:3">
      <c r="A368" s="1080" t="s">
        <v>498</v>
      </c>
      <c r="B368" s="2213">
        <v>3910288828</v>
      </c>
      <c r="C368" s="2213">
        <v>3910288828</v>
      </c>
    </row>
    <row r="369" spans="1:3">
      <c r="A369" s="1080" t="s">
        <v>2504</v>
      </c>
      <c r="B369" s="2213">
        <v>1572023321</v>
      </c>
      <c r="C369" s="2213">
        <v>1572023321</v>
      </c>
    </row>
    <row r="370" spans="1:3">
      <c r="A370" s="1080" t="s">
        <v>3035</v>
      </c>
      <c r="B370" s="2213">
        <v>450938106</v>
      </c>
      <c r="C370" s="2213">
        <v>450938106</v>
      </c>
    </row>
    <row r="371" spans="1:3">
      <c r="A371" s="1080" t="s">
        <v>1702</v>
      </c>
      <c r="B371" s="2213">
        <v>493601283</v>
      </c>
      <c r="C371" s="2213">
        <v>493601283</v>
      </c>
    </row>
    <row r="372" spans="1:3">
      <c r="A372" s="1080" t="s">
        <v>3036</v>
      </c>
      <c r="B372" s="2213">
        <v>381203833</v>
      </c>
      <c r="C372" s="2213">
        <v>381203833</v>
      </c>
    </row>
    <row r="373" spans="1:3">
      <c r="A373" s="1080" t="s">
        <v>3037</v>
      </c>
      <c r="B373" s="2213">
        <v>497813170</v>
      </c>
      <c r="C373" s="2213">
        <v>497813170</v>
      </c>
    </row>
    <row r="374" spans="1:3">
      <c r="A374" s="1080" t="s">
        <v>3038</v>
      </c>
      <c r="B374" s="2213">
        <v>293136972</v>
      </c>
      <c r="C374" s="2213">
        <v>293136972</v>
      </c>
    </row>
    <row r="375" spans="1:3">
      <c r="A375" s="1080" t="s">
        <v>3039</v>
      </c>
      <c r="B375" s="2213">
        <v>1682784904</v>
      </c>
      <c r="C375" s="2213">
        <v>1682784904</v>
      </c>
    </row>
    <row r="376" spans="1:3">
      <c r="A376" s="1080" t="s">
        <v>2456</v>
      </c>
      <c r="B376" s="2213">
        <v>130821664</v>
      </c>
      <c r="C376" s="2213">
        <v>130821664</v>
      </c>
    </row>
    <row r="377" spans="1:3">
      <c r="A377" s="1080" t="s">
        <v>537</v>
      </c>
      <c r="B377" s="2213">
        <v>2742275359</v>
      </c>
      <c r="C377" s="2213">
        <v>2822275359</v>
      </c>
    </row>
    <row r="378" spans="1:3">
      <c r="A378" s="1080" t="s">
        <v>535</v>
      </c>
      <c r="B378" s="2213">
        <v>4181304964</v>
      </c>
      <c r="C378" s="2213">
        <v>4181304964</v>
      </c>
    </row>
    <row r="379" spans="1:3">
      <c r="A379" s="1080" t="s">
        <v>2457</v>
      </c>
      <c r="B379" s="2213">
        <v>618650027</v>
      </c>
      <c r="C379" s="2213">
        <v>618650027</v>
      </c>
    </row>
    <row r="380" spans="1:3">
      <c r="A380" s="1080" t="s">
        <v>381</v>
      </c>
      <c r="B380" s="2213">
        <v>607477967</v>
      </c>
      <c r="C380" s="2213">
        <v>607477967</v>
      </c>
    </row>
    <row r="381" spans="1:3">
      <c r="A381" s="1080" t="s">
        <v>2458</v>
      </c>
      <c r="B381" s="2213">
        <v>604898038</v>
      </c>
      <c r="C381" s="2213">
        <v>604898038</v>
      </c>
    </row>
    <row r="382" spans="1:3">
      <c r="A382" s="1080" t="s">
        <v>2459</v>
      </c>
      <c r="B382" s="2213">
        <v>49157491</v>
      </c>
      <c r="C382" s="2213">
        <v>49157491</v>
      </c>
    </row>
    <row r="383" spans="1:3">
      <c r="A383" s="1080" t="s">
        <v>547</v>
      </c>
      <c r="B383" s="2213">
        <v>96747519</v>
      </c>
      <c r="C383" s="2213">
        <v>96747519</v>
      </c>
    </row>
    <row r="384" spans="1:3">
      <c r="A384" s="1080" t="s">
        <v>2232</v>
      </c>
      <c r="B384" s="2213">
        <v>66653633</v>
      </c>
      <c r="C384" s="2213">
        <v>66653633</v>
      </c>
    </row>
    <row r="385" spans="1:3">
      <c r="A385" s="1080" t="s">
        <v>2366</v>
      </c>
      <c r="B385" s="2213">
        <v>1098974771</v>
      </c>
      <c r="C385" s="2213">
        <v>1143719961</v>
      </c>
    </row>
    <row r="386" spans="1:3">
      <c r="A386" s="1080" t="s">
        <v>2367</v>
      </c>
      <c r="B386" s="2213">
        <v>139044121</v>
      </c>
      <c r="C386" s="2213">
        <v>139044121</v>
      </c>
    </row>
    <row r="387" spans="1:3">
      <c r="A387" s="1080" t="s">
        <v>169</v>
      </c>
      <c r="B387" s="2213">
        <v>82071178</v>
      </c>
      <c r="C387" s="2213">
        <v>82071178</v>
      </c>
    </row>
    <row r="388" spans="1:3">
      <c r="A388" s="1080" t="s">
        <v>170</v>
      </c>
      <c r="B388" s="2213">
        <v>279690863</v>
      </c>
      <c r="C388" s="2213">
        <v>279690863</v>
      </c>
    </row>
    <row r="389" spans="1:3">
      <c r="A389" s="1080" t="s">
        <v>2867</v>
      </c>
      <c r="B389" s="2213">
        <v>161585541</v>
      </c>
      <c r="C389" s="2213">
        <v>161585541</v>
      </c>
    </row>
    <row r="390" spans="1:3">
      <c r="A390" s="1080" t="s">
        <v>2674</v>
      </c>
      <c r="B390" s="2213">
        <v>363743657</v>
      </c>
      <c r="C390" s="2213">
        <v>454696657</v>
      </c>
    </row>
    <row r="391" spans="1:3">
      <c r="A391" s="1080" t="s">
        <v>1281</v>
      </c>
      <c r="B391" s="2213">
        <v>181100525</v>
      </c>
      <c r="C391" s="2213">
        <v>194957525</v>
      </c>
    </row>
    <row r="392" spans="1:3">
      <c r="A392" s="1080" t="s">
        <v>1282</v>
      </c>
      <c r="B392" s="2213">
        <v>469189912</v>
      </c>
      <c r="C392" s="2213">
        <v>469189912</v>
      </c>
    </row>
    <row r="393" spans="1:3">
      <c r="A393" s="1080" t="s">
        <v>2416</v>
      </c>
      <c r="B393" s="2213">
        <v>230389391</v>
      </c>
      <c r="C393" s="2213">
        <v>230389391</v>
      </c>
    </row>
    <row r="394" spans="1:3">
      <c r="A394" s="1080" t="s">
        <v>2417</v>
      </c>
      <c r="B394" s="2213">
        <v>330003393</v>
      </c>
      <c r="C394" s="2213">
        <v>330003393</v>
      </c>
    </row>
    <row r="395" spans="1:3">
      <c r="A395" s="1080" t="s">
        <v>1158</v>
      </c>
      <c r="B395" s="2213">
        <v>380065628</v>
      </c>
      <c r="C395" s="2213">
        <v>380065628</v>
      </c>
    </row>
    <row r="396" spans="1:3">
      <c r="A396" s="1080" t="s">
        <v>1312</v>
      </c>
      <c r="B396" s="2213">
        <v>736710686</v>
      </c>
      <c r="C396" s="2213">
        <v>736710686</v>
      </c>
    </row>
    <row r="397" spans="1:3">
      <c r="A397" s="1080" t="s">
        <v>416</v>
      </c>
      <c r="B397" s="2213">
        <v>816585701</v>
      </c>
      <c r="C397" s="2213">
        <v>816585701</v>
      </c>
    </row>
    <row r="398" spans="1:3">
      <c r="A398" s="1080" t="s">
        <v>2608</v>
      </c>
      <c r="B398" s="2213">
        <v>985832292</v>
      </c>
      <c r="C398" s="2213">
        <v>985832292</v>
      </c>
    </row>
    <row r="399" spans="1:3">
      <c r="A399" s="1080" t="s">
        <v>1346</v>
      </c>
      <c r="B399" s="2213">
        <v>208129497</v>
      </c>
      <c r="C399" s="2213">
        <v>208129497</v>
      </c>
    </row>
    <row r="400" spans="1:3">
      <c r="A400" s="1080" t="s">
        <v>639</v>
      </c>
      <c r="B400" s="2213">
        <v>16514524414</v>
      </c>
      <c r="C400" s="2213">
        <v>16514524414</v>
      </c>
    </row>
    <row r="401" spans="1:3">
      <c r="A401" s="1080" t="s">
        <v>222</v>
      </c>
      <c r="B401" s="2213">
        <v>12497304172</v>
      </c>
      <c r="C401" s="2213">
        <v>12497304172</v>
      </c>
    </row>
    <row r="402" spans="1:3">
      <c r="A402" s="1080" t="s">
        <v>2641</v>
      </c>
      <c r="B402" s="2213">
        <v>2670641680</v>
      </c>
      <c r="C402" s="2213">
        <v>2670641680</v>
      </c>
    </row>
    <row r="403" spans="1:3">
      <c r="A403" s="1080" t="s">
        <v>2758</v>
      </c>
      <c r="B403" s="2213">
        <v>1473738136</v>
      </c>
      <c r="C403" s="2213">
        <v>1473738136</v>
      </c>
    </row>
    <row r="404" spans="1:3">
      <c r="A404" s="1080" t="s">
        <v>2642</v>
      </c>
      <c r="B404" s="2213">
        <v>42270206834</v>
      </c>
      <c r="C404" s="2213">
        <v>42270206834</v>
      </c>
    </row>
    <row r="405" spans="1:3">
      <c r="A405" s="1080" t="s">
        <v>2481</v>
      </c>
      <c r="B405" s="2213">
        <v>7829234756</v>
      </c>
      <c r="C405" s="2213">
        <v>7829234756</v>
      </c>
    </row>
    <row r="406" spans="1:3">
      <c r="A406" s="1080" t="s">
        <v>1608</v>
      </c>
      <c r="B406" s="2213">
        <v>7482232463</v>
      </c>
      <c r="C406" s="2213">
        <v>7482232463</v>
      </c>
    </row>
    <row r="407" spans="1:3">
      <c r="A407" s="1080" t="s">
        <v>2300</v>
      </c>
      <c r="B407" s="2213">
        <v>9401625273</v>
      </c>
      <c r="C407" s="2213">
        <v>9401625273</v>
      </c>
    </row>
    <row r="408" spans="1:3">
      <c r="A408" s="1080" t="s">
        <v>2921</v>
      </c>
      <c r="B408" s="2213">
        <v>138497624993</v>
      </c>
      <c r="C408" s="2213">
        <v>138497624993</v>
      </c>
    </row>
    <row r="409" spans="1:3">
      <c r="A409" s="1080" t="s">
        <v>1278</v>
      </c>
      <c r="B409" s="2213">
        <v>11560639141</v>
      </c>
      <c r="C409" s="2213">
        <v>11560639141</v>
      </c>
    </row>
    <row r="410" spans="1:3">
      <c r="A410" s="1080" t="s">
        <v>55</v>
      </c>
      <c r="B410" s="2213">
        <v>27523318886</v>
      </c>
      <c r="C410" s="2213">
        <v>27523318886</v>
      </c>
    </row>
    <row r="411" spans="1:3">
      <c r="A411" s="1080" t="s">
        <v>62</v>
      </c>
      <c r="B411" s="2213">
        <v>14995297592</v>
      </c>
      <c r="C411" s="2213">
        <v>15058510791</v>
      </c>
    </row>
    <row r="412" spans="1:3">
      <c r="A412" s="1080" t="s">
        <v>2922</v>
      </c>
      <c r="B412" s="2213">
        <v>7114922389</v>
      </c>
      <c r="C412" s="2213">
        <v>7226946339</v>
      </c>
    </row>
    <row r="413" spans="1:3">
      <c r="A413" s="1080" t="s">
        <v>234</v>
      </c>
      <c r="B413" s="2213">
        <v>10854092880</v>
      </c>
      <c r="C413" s="2213">
        <v>10854092880</v>
      </c>
    </row>
    <row r="414" spans="1:3">
      <c r="A414" s="1080" t="s">
        <v>743</v>
      </c>
      <c r="B414" s="2213">
        <v>8798935690</v>
      </c>
      <c r="C414" s="2213">
        <v>8798935690</v>
      </c>
    </row>
    <row r="415" spans="1:3">
      <c r="A415" s="1080" t="s">
        <v>918</v>
      </c>
      <c r="B415" s="2213">
        <v>25015627285</v>
      </c>
      <c r="C415" s="2213">
        <v>25015627285</v>
      </c>
    </row>
    <row r="416" spans="1:3">
      <c r="A416" s="1080" t="s">
        <v>2221</v>
      </c>
      <c r="B416" s="2213">
        <v>7518541072</v>
      </c>
      <c r="C416" s="2213">
        <v>7518541072</v>
      </c>
    </row>
    <row r="417" spans="1:3">
      <c r="A417" s="1080" t="s">
        <v>2222</v>
      </c>
      <c r="B417" s="2213">
        <v>4957518574</v>
      </c>
      <c r="C417" s="2213">
        <v>4957518574</v>
      </c>
    </row>
    <row r="418" spans="1:3">
      <c r="A418" s="1080" t="s">
        <v>979</v>
      </c>
      <c r="B418" s="2213">
        <v>868817715</v>
      </c>
      <c r="C418" s="2213">
        <v>868817715</v>
      </c>
    </row>
    <row r="419" spans="1:3">
      <c r="A419" s="1080" t="s">
        <v>2223</v>
      </c>
      <c r="B419" s="2213">
        <v>225292410</v>
      </c>
      <c r="C419" s="2213">
        <v>225292410</v>
      </c>
    </row>
    <row r="420" spans="1:3">
      <c r="A420" s="1080" t="s">
        <v>1692</v>
      </c>
      <c r="B420" s="2213">
        <v>2619587434</v>
      </c>
      <c r="C420" s="2213">
        <v>2619587434</v>
      </c>
    </row>
    <row r="421" spans="1:3">
      <c r="A421" s="1080" t="s">
        <v>1693</v>
      </c>
      <c r="B421" s="2213">
        <v>421030431</v>
      </c>
      <c r="C421" s="2213">
        <v>421030431</v>
      </c>
    </row>
    <row r="422" spans="1:3">
      <c r="A422" s="1080" t="s">
        <v>1694</v>
      </c>
      <c r="B422" s="2213">
        <v>2456514117</v>
      </c>
      <c r="C422" s="2213">
        <v>2456514117</v>
      </c>
    </row>
    <row r="423" spans="1:3">
      <c r="A423" s="1080" t="s">
        <v>1765</v>
      </c>
      <c r="B423" s="2213">
        <v>160154207</v>
      </c>
      <c r="C423" s="2213">
        <v>160154207</v>
      </c>
    </row>
    <row r="424" spans="1:3">
      <c r="A424" s="1080" t="s">
        <v>1766</v>
      </c>
      <c r="B424" s="2213">
        <v>463797899</v>
      </c>
      <c r="C424" s="2213">
        <v>463797899</v>
      </c>
    </row>
    <row r="425" spans="1:3">
      <c r="A425" s="1080" t="s">
        <v>539</v>
      </c>
      <c r="B425" s="2213">
        <v>263503522</v>
      </c>
      <c r="C425" s="2213">
        <v>263503522</v>
      </c>
    </row>
    <row r="426" spans="1:3">
      <c r="A426" s="1080" t="s">
        <v>506</v>
      </c>
      <c r="B426" s="2213">
        <v>161802532</v>
      </c>
      <c r="C426" s="2213">
        <v>161802532</v>
      </c>
    </row>
    <row r="427" spans="1:3">
      <c r="A427" s="1080" t="s">
        <v>507</v>
      </c>
      <c r="B427" s="2213">
        <v>194298729</v>
      </c>
      <c r="C427" s="2213">
        <v>194298729</v>
      </c>
    </row>
    <row r="428" spans="1:3">
      <c r="A428" s="1080" t="s">
        <v>508</v>
      </c>
      <c r="B428" s="2213">
        <v>42215462</v>
      </c>
      <c r="C428" s="2213">
        <v>42215462</v>
      </c>
    </row>
    <row r="429" spans="1:3">
      <c r="A429" s="1080" t="s">
        <v>509</v>
      </c>
      <c r="B429" s="2213">
        <v>101785594</v>
      </c>
      <c r="C429" s="2213">
        <v>101785594</v>
      </c>
    </row>
    <row r="430" spans="1:3">
      <c r="A430" s="1080" t="s">
        <v>1304</v>
      </c>
      <c r="B430" s="2213">
        <v>3986695788</v>
      </c>
      <c r="C430" s="2213">
        <v>3986695788</v>
      </c>
    </row>
    <row r="431" spans="1:3">
      <c r="A431" s="1080" t="s">
        <v>1678</v>
      </c>
      <c r="B431" s="2213">
        <v>3023572090</v>
      </c>
      <c r="C431" s="2213">
        <v>3023572090</v>
      </c>
    </row>
    <row r="432" spans="1:3">
      <c r="A432" s="1080" t="s">
        <v>1467</v>
      </c>
      <c r="B432" s="2213">
        <v>1525128521</v>
      </c>
      <c r="C432" s="2213">
        <v>1525128521</v>
      </c>
    </row>
    <row r="433" spans="1:3">
      <c r="A433" s="1080" t="s">
        <v>2129</v>
      </c>
      <c r="B433" s="2213">
        <v>4434162754</v>
      </c>
      <c r="C433" s="2213">
        <v>4434162754</v>
      </c>
    </row>
    <row r="434" spans="1:3">
      <c r="A434" s="1080" t="s">
        <v>1918</v>
      </c>
      <c r="B434" s="2213">
        <v>1706695136</v>
      </c>
      <c r="C434" s="2213">
        <v>1706695136</v>
      </c>
    </row>
    <row r="435" spans="1:3">
      <c r="A435" s="1080" t="s">
        <v>1919</v>
      </c>
      <c r="B435" s="2213">
        <v>1202848131</v>
      </c>
      <c r="C435" s="2213">
        <v>1202848131</v>
      </c>
    </row>
    <row r="436" spans="1:3">
      <c r="A436" s="1080" t="s">
        <v>2912</v>
      </c>
      <c r="B436" s="2213">
        <v>626095920</v>
      </c>
      <c r="C436" s="2213">
        <v>626095920</v>
      </c>
    </row>
    <row r="437" spans="1:3">
      <c r="A437" s="1080" t="s">
        <v>2879</v>
      </c>
      <c r="B437" s="2213">
        <v>250996564</v>
      </c>
      <c r="C437" s="2213">
        <v>250996564</v>
      </c>
    </row>
    <row r="438" spans="1:3">
      <c r="A438" s="1080" t="s">
        <v>2284</v>
      </c>
      <c r="B438" s="2213">
        <v>534702315</v>
      </c>
      <c r="C438" s="2213">
        <v>534702315</v>
      </c>
    </row>
    <row r="439" spans="1:3">
      <c r="A439" s="1080" t="s">
        <v>71</v>
      </c>
      <c r="B439" s="2213">
        <v>1061872900</v>
      </c>
      <c r="C439" s="2213">
        <v>1061872900</v>
      </c>
    </row>
    <row r="440" spans="1:3">
      <c r="A440" s="1080" t="s">
        <v>1711</v>
      </c>
      <c r="B440" s="2213">
        <v>40185870</v>
      </c>
      <c r="C440" s="2213">
        <v>40185870</v>
      </c>
    </row>
    <row r="441" spans="1:3">
      <c r="A441" s="1080" t="s">
        <v>980</v>
      </c>
      <c r="B441" s="2213">
        <v>37476060</v>
      </c>
      <c r="C441" s="2213">
        <v>37476060</v>
      </c>
    </row>
    <row r="442" spans="1:3">
      <c r="A442" s="1080" t="s">
        <v>72</v>
      </c>
      <c r="B442" s="2213">
        <v>223826477</v>
      </c>
      <c r="C442" s="2213">
        <v>223826477</v>
      </c>
    </row>
    <row r="443" spans="1:3">
      <c r="A443" s="1080" t="s">
        <v>2437</v>
      </c>
      <c r="B443" s="2213">
        <v>1057588824</v>
      </c>
      <c r="C443" s="2213">
        <v>1057588824</v>
      </c>
    </row>
    <row r="444" spans="1:3">
      <c r="A444" s="1080" t="s">
        <v>873</v>
      </c>
      <c r="B444" s="2213">
        <v>253350398</v>
      </c>
      <c r="C444" s="2213">
        <v>253350398</v>
      </c>
    </row>
    <row r="445" spans="1:3">
      <c r="A445" s="1080" t="s">
        <v>875</v>
      </c>
      <c r="B445" s="2213">
        <v>5050292522</v>
      </c>
      <c r="C445" s="2213">
        <v>5050292522</v>
      </c>
    </row>
    <row r="446" spans="1:3">
      <c r="A446" s="1080" t="s">
        <v>2131</v>
      </c>
      <c r="B446" s="2213">
        <v>410133316</v>
      </c>
      <c r="C446" s="2213">
        <v>410133316</v>
      </c>
    </row>
    <row r="447" spans="1:3">
      <c r="A447" s="1080" t="s">
        <v>2894</v>
      </c>
      <c r="B447" s="2213">
        <v>6056380889</v>
      </c>
      <c r="C447" s="2213">
        <v>6056380889</v>
      </c>
    </row>
    <row r="448" spans="1:3">
      <c r="A448" s="1080" t="s">
        <v>2897</v>
      </c>
      <c r="B448" s="2213">
        <v>459679504</v>
      </c>
      <c r="C448" s="2213">
        <v>459679504</v>
      </c>
    </row>
    <row r="449" spans="1:3">
      <c r="A449" s="1080" t="s">
        <v>2903</v>
      </c>
      <c r="B449" s="2213">
        <v>1627204813</v>
      </c>
      <c r="C449" s="2213">
        <v>1627204813</v>
      </c>
    </row>
    <row r="450" spans="1:3">
      <c r="A450" s="1080" t="s">
        <v>239</v>
      </c>
      <c r="B450" s="2213">
        <v>3649840467</v>
      </c>
      <c r="C450" s="2213">
        <v>3649840467</v>
      </c>
    </row>
    <row r="451" spans="1:3">
      <c r="A451" s="1080" t="s">
        <v>1218</v>
      </c>
      <c r="B451" s="2213">
        <v>132610845</v>
      </c>
      <c r="C451" s="2213">
        <v>132610845</v>
      </c>
    </row>
    <row r="452" spans="1:3">
      <c r="A452" s="1080" t="s">
        <v>1759</v>
      </c>
      <c r="B452" s="2213">
        <v>2663389732</v>
      </c>
      <c r="C452" s="2213">
        <v>2663389732</v>
      </c>
    </row>
    <row r="453" spans="1:3">
      <c r="A453" s="1080" t="s">
        <v>65</v>
      </c>
      <c r="B453" s="2213">
        <v>1983503472</v>
      </c>
      <c r="C453" s="2213">
        <v>1983503472</v>
      </c>
    </row>
    <row r="454" spans="1:3">
      <c r="A454" s="1080" t="s">
        <v>821</v>
      </c>
      <c r="B454" s="2213">
        <v>1913153227</v>
      </c>
      <c r="C454" s="2213">
        <v>1913153227</v>
      </c>
    </row>
    <row r="455" spans="1:3">
      <c r="A455" s="1080" t="s">
        <v>67</v>
      </c>
      <c r="B455" s="2213">
        <v>98150997</v>
      </c>
      <c r="C455" s="2213">
        <v>98150997</v>
      </c>
    </row>
    <row r="456" spans="1:3">
      <c r="A456" s="1080" t="s">
        <v>554</v>
      </c>
      <c r="B456" s="2213">
        <v>80450171</v>
      </c>
      <c r="C456" s="2213">
        <v>80450171</v>
      </c>
    </row>
    <row r="457" spans="1:3">
      <c r="A457" s="1080" t="s">
        <v>1715</v>
      </c>
      <c r="B457" s="2213">
        <v>439184789</v>
      </c>
      <c r="C457" s="2213">
        <v>439184789</v>
      </c>
    </row>
    <row r="458" spans="1:3">
      <c r="A458" s="1080" t="s">
        <v>172</v>
      </c>
      <c r="B458" s="2213">
        <v>85210075</v>
      </c>
      <c r="C458" s="2213">
        <v>85210075</v>
      </c>
    </row>
    <row r="459" spans="1:3">
      <c r="A459" s="1080" t="s">
        <v>2869</v>
      </c>
      <c r="B459" s="2213">
        <v>66101642</v>
      </c>
      <c r="C459" s="2213">
        <v>66101642</v>
      </c>
    </row>
    <row r="460" spans="1:3">
      <c r="A460" s="1080" t="s">
        <v>2756</v>
      </c>
      <c r="B460" s="2213">
        <v>75542500</v>
      </c>
      <c r="C460" s="2213">
        <v>75542500</v>
      </c>
    </row>
    <row r="461" spans="1:3">
      <c r="A461" s="1080" t="s">
        <v>2133</v>
      </c>
      <c r="B461" s="2213">
        <v>534111544</v>
      </c>
      <c r="C461" s="2213">
        <v>534111544</v>
      </c>
    </row>
    <row r="462" spans="1:3">
      <c r="A462" s="1080" t="s">
        <v>555</v>
      </c>
      <c r="B462" s="2213">
        <v>64152147</v>
      </c>
      <c r="C462" s="2213">
        <v>64152147</v>
      </c>
    </row>
    <row r="463" spans="1:3">
      <c r="A463" s="1080" t="s">
        <v>49</v>
      </c>
      <c r="B463" s="2213">
        <v>166338267</v>
      </c>
      <c r="C463" s="2213">
        <v>166338267</v>
      </c>
    </row>
    <row r="464" spans="1:3">
      <c r="A464" s="1080" t="s">
        <v>173</v>
      </c>
      <c r="B464" s="2213">
        <v>41445141</v>
      </c>
      <c r="C464" s="2213">
        <v>41445141</v>
      </c>
    </row>
    <row r="465" spans="1:3">
      <c r="A465" s="1080" t="s">
        <v>567</v>
      </c>
      <c r="B465" s="2213">
        <v>25408078</v>
      </c>
      <c r="C465" s="2213">
        <v>25408078</v>
      </c>
    </row>
    <row r="466" spans="1:3">
      <c r="A466" s="1080" t="s">
        <v>1760</v>
      </c>
      <c r="B466" s="2213">
        <v>536111094</v>
      </c>
      <c r="C466" s="2213">
        <v>536111094</v>
      </c>
    </row>
    <row r="467" spans="1:3">
      <c r="A467" s="1080" t="s">
        <v>568</v>
      </c>
      <c r="B467" s="2213">
        <v>69468077</v>
      </c>
      <c r="C467" s="2213">
        <v>69468077</v>
      </c>
    </row>
    <row r="468" spans="1:3">
      <c r="A468" s="1080" t="s">
        <v>1733</v>
      </c>
      <c r="B468" s="2213">
        <v>107278275</v>
      </c>
      <c r="C468" s="2213">
        <v>107278275</v>
      </c>
    </row>
    <row r="469" spans="1:3">
      <c r="A469" s="1080" t="s">
        <v>569</v>
      </c>
      <c r="B469" s="2213">
        <v>23786875</v>
      </c>
      <c r="C469" s="2213">
        <v>23786875</v>
      </c>
    </row>
    <row r="470" spans="1:3">
      <c r="A470" s="1080" t="s">
        <v>1761</v>
      </c>
      <c r="B470" s="2213">
        <v>97498515</v>
      </c>
      <c r="C470" s="2213">
        <v>97498515</v>
      </c>
    </row>
    <row r="471" spans="1:3">
      <c r="A471" s="1080" t="s">
        <v>1762</v>
      </c>
      <c r="B471" s="2213">
        <v>1838481369</v>
      </c>
      <c r="C471" s="2213">
        <v>1838481369</v>
      </c>
    </row>
    <row r="472" spans="1:3">
      <c r="A472" s="1080" t="s">
        <v>1410</v>
      </c>
      <c r="B472" s="2213">
        <v>87488527</v>
      </c>
      <c r="C472" s="2213">
        <v>87488527</v>
      </c>
    </row>
    <row r="473" spans="1:3">
      <c r="A473" s="1080" t="s">
        <v>2104</v>
      </c>
      <c r="B473" s="2213">
        <v>137395694</v>
      </c>
      <c r="C473" s="2213">
        <v>137395694</v>
      </c>
    </row>
    <row r="474" spans="1:3">
      <c r="A474" s="1080" t="s">
        <v>1411</v>
      </c>
      <c r="B474" s="2213">
        <v>1581030292</v>
      </c>
      <c r="C474" s="2213">
        <v>1581030292</v>
      </c>
    </row>
    <row r="475" spans="1:3">
      <c r="A475" s="1080" t="s">
        <v>1412</v>
      </c>
      <c r="B475" s="2213">
        <v>80461622</v>
      </c>
      <c r="C475" s="2213">
        <v>80461622</v>
      </c>
    </row>
    <row r="476" spans="1:3">
      <c r="A476" s="1080" t="s">
        <v>1413</v>
      </c>
      <c r="B476" s="2213">
        <v>4536764593</v>
      </c>
      <c r="C476" s="2213">
        <v>4536764593</v>
      </c>
    </row>
    <row r="477" spans="1:3">
      <c r="A477" s="1080" t="s">
        <v>1991</v>
      </c>
      <c r="B477" s="2213">
        <v>169279253</v>
      </c>
      <c r="C477" s="2213">
        <v>169279253</v>
      </c>
    </row>
    <row r="478" spans="1:3">
      <c r="A478" s="1080" t="s">
        <v>1709</v>
      </c>
      <c r="B478" s="2213">
        <v>195429649</v>
      </c>
      <c r="C478" s="2213">
        <v>195429649</v>
      </c>
    </row>
    <row r="479" spans="1:3">
      <c r="A479" s="1080" t="s">
        <v>208</v>
      </c>
      <c r="B479" s="2213">
        <v>1138181677</v>
      </c>
      <c r="C479" s="2213">
        <v>1138181677</v>
      </c>
    </row>
    <row r="480" spans="1:3">
      <c r="A480" s="1080" t="s">
        <v>1687</v>
      </c>
      <c r="B480" s="2213">
        <v>62909435</v>
      </c>
      <c r="C480" s="2213">
        <v>62909435</v>
      </c>
    </row>
    <row r="481" spans="1:3">
      <c r="A481" s="1080" t="s">
        <v>209</v>
      </c>
      <c r="B481" s="2213">
        <v>97170041</v>
      </c>
      <c r="C481" s="2213">
        <v>97170041</v>
      </c>
    </row>
    <row r="482" spans="1:3">
      <c r="A482" s="1080" t="s">
        <v>2217</v>
      </c>
      <c r="B482" s="2213">
        <v>48038170</v>
      </c>
      <c r="C482" s="2213">
        <v>48038170</v>
      </c>
    </row>
    <row r="483" spans="1:3">
      <c r="A483" s="1080" t="s">
        <v>210</v>
      </c>
      <c r="B483" s="2213">
        <v>143798080</v>
      </c>
      <c r="C483" s="2213">
        <v>143798080</v>
      </c>
    </row>
    <row r="484" spans="1:3">
      <c r="A484" s="1080" t="s">
        <v>211</v>
      </c>
      <c r="B484" s="2213">
        <v>47435871</v>
      </c>
      <c r="C484" s="2213">
        <v>47435871</v>
      </c>
    </row>
    <row r="485" spans="1:3">
      <c r="A485" s="1080" t="s">
        <v>1688</v>
      </c>
      <c r="B485" s="2213">
        <v>73381309</v>
      </c>
      <c r="C485" s="2213">
        <v>73381309</v>
      </c>
    </row>
    <row r="486" spans="1:3">
      <c r="A486" s="1080" t="s">
        <v>1601</v>
      </c>
      <c r="B486" s="2213">
        <v>402542260</v>
      </c>
      <c r="C486" s="2213">
        <v>402542260</v>
      </c>
    </row>
    <row r="487" spans="1:3">
      <c r="A487" s="1080" t="s">
        <v>1432</v>
      </c>
      <c r="B487" s="2213">
        <v>254422754</v>
      </c>
      <c r="C487" s="2213">
        <v>254422754</v>
      </c>
    </row>
    <row r="488" spans="1:3">
      <c r="A488" s="1080" t="s">
        <v>1104</v>
      </c>
      <c r="B488" s="2213">
        <v>439434793</v>
      </c>
      <c r="C488" s="2213">
        <v>439434793</v>
      </c>
    </row>
    <row r="489" spans="1:3">
      <c r="A489" s="1080" t="s">
        <v>1105</v>
      </c>
      <c r="B489" s="2213">
        <v>142795787</v>
      </c>
      <c r="C489" s="2213">
        <v>142795787</v>
      </c>
    </row>
    <row r="490" spans="1:3">
      <c r="A490" s="1080" t="s">
        <v>1011</v>
      </c>
      <c r="B490" s="2213">
        <v>109079327</v>
      </c>
      <c r="C490" s="2213">
        <v>109079327</v>
      </c>
    </row>
    <row r="491" spans="1:3">
      <c r="A491" s="1080" t="s">
        <v>2036</v>
      </c>
      <c r="B491" s="2213">
        <v>1848997496</v>
      </c>
      <c r="C491" s="2213">
        <v>1848997496</v>
      </c>
    </row>
    <row r="492" spans="1:3">
      <c r="A492" s="1080" t="s">
        <v>3076</v>
      </c>
      <c r="B492" s="2213">
        <v>518141248</v>
      </c>
      <c r="C492" s="2213">
        <v>518141248</v>
      </c>
    </row>
    <row r="493" spans="1:3">
      <c r="A493" s="1080" t="s">
        <v>3077</v>
      </c>
      <c r="B493" s="2213">
        <v>790450246</v>
      </c>
      <c r="C493" s="2213">
        <v>939896266</v>
      </c>
    </row>
    <row r="494" spans="1:3">
      <c r="A494" s="1080" t="s">
        <v>1507</v>
      </c>
      <c r="B494" s="2213">
        <v>183860044</v>
      </c>
      <c r="C494" s="2213">
        <v>183860044</v>
      </c>
    </row>
    <row r="495" spans="1:3">
      <c r="A495" s="1080" t="s">
        <v>2492</v>
      </c>
      <c r="B495" s="2213">
        <v>96440875</v>
      </c>
      <c r="C495" s="2213">
        <v>96440875</v>
      </c>
    </row>
    <row r="496" spans="1:3">
      <c r="A496" s="1080" t="s">
        <v>1271</v>
      </c>
      <c r="B496" s="2213">
        <v>59723304</v>
      </c>
      <c r="C496" s="2213">
        <v>59723304</v>
      </c>
    </row>
    <row r="497" spans="1:3">
      <c r="A497" s="1080" t="s">
        <v>2155</v>
      </c>
      <c r="B497" s="2213">
        <v>350175640</v>
      </c>
      <c r="C497" s="2213">
        <v>350175640</v>
      </c>
    </row>
    <row r="498" spans="1:3">
      <c r="A498" s="1080" t="s">
        <v>1272</v>
      </c>
      <c r="B498" s="2213">
        <v>79268538</v>
      </c>
      <c r="C498" s="2213">
        <v>79268538</v>
      </c>
    </row>
    <row r="499" spans="1:3">
      <c r="A499" s="1080" t="s">
        <v>1618</v>
      </c>
      <c r="B499" s="2213">
        <v>386357950</v>
      </c>
      <c r="C499" s="2213">
        <v>386357950</v>
      </c>
    </row>
    <row r="500" spans="1:3">
      <c r="A500" s="1080" t="s">
        <v>1209</v>
      </c>
      <c r="B500" s="2213">
        <v>1683802466</v>
      </c>
      <c r="C500" s="2213">
        <v>1683802466</v>
      </c>
    </row>
    <row r="501" spans="1:3">
      <c r="A501" s="1080" t="s">
        <v>2218</v>
      </c>
      <c r="B501" s="2213">
        <v>195636917</v>
      </c>
      <c r="C501" s="2213">
        <v>195636917</v>
      </c>
    </row>
    <row r="502" spans="1:3">
      <c r="A502" s="1080" t="s">
        <v>1781</v>
      </c>
      <c r="B502" s="2213">
        <v>637758828</v>
      </c>
      <c r="C502" s="2213">
        <v>637758828</v>
      </c>
    </row>
    <row r="503" spans="1:3">
      <c r="A503" s="1080" t="s">
        <v>273</v>
      </c>
      <c r="B503" s="2213">
        <v>94900189</v>
      </c>
      <c r="C503" s="2213">
        <v>94900189</v>
      </c>
    </row>
    <row r="504" spans="1:3">
      <c r="A504" s="1080" t="s">
        <v>1210</v>
      </c>
      <c r="B504" s="2213">
        <v>74313063</v>
      </c>
      <c r="C504" s="2213">
        <v>74313063</v>
      </c>
    </row>
    <row r="505" spans="1:3">
      <c r="A505" s="1080" t="s">
        <v>987</v>
      </c>
      <c r="B505" s="2213">
        <v>117489071</v>
      </c>
      <c r="C505" s="2213">
        <v>117489071</v>
      </c>
    </row>
    <row r="506" spans="1:3">
      <c r="A506" s="1080" t="s">
        <v>2105</v>
      </c>
      <c r="B506" s="2213">
        <v>14065306</v>
      </c>
      <c r="C506" s="2213">
        <v>14065306</v>
      </c>
    </row>
    <row r="507" spans="1:3">
      <c r="A507" s="1080" t="s">
        <v>1211</v>
      </c>
      <c r="B507" s="2213">
        <v>579732247</v>
      </c>
      <c r="C507" s="2213">
        <v>579732247</v>
      </c>
    </row>
    <row r="508" spans="1:3">
      <c r="A508" s="1080" t="s">
        <v>2454</v>
      </c>
      <c r="B508" s="2213">
        <v>138961676</v>
      </c>
      <c r="C508" s="2213">
        <v>138961676</v>
      </c>
    </row>
    <row r="509" spans="1:3">
      <c r="A509" s="1080" t="s">
        <v>2455</v>
      </c>
      <c r="B509" s="2213">
        <v>1049249731</v>
      </c>
      <c r="C509" s="2213">
        <v>1480561481</v>
      </c>
    </row>
    <row r="510" spans="1:3">
      <c r="A510" s="1080" t="s">
        <v>1428</v>
      </c>
      <c r="B510" s="2213">
        <v>50472922</v>
      </c>
      <c r="C510" s="2213">
        <v>50472922</v>
      </c>
    </row>
    <row r="511" spans="1:3">
      <c r="A511" s="1080" t="s">
        <v>1429</v>
      </c>
      <c r="B511" s="2213">
        <v>1530731320</v>
      </c>
      <c r="C511" s="2213">
        <v>1530731320</v>
      </c>
    </row>
    <row r="512" spans="1:3">
      <c r="A512" s="1080" t="s">
        <v>1039</v>
      </c>
      <c r="B512" s="2213">
        <v>195906523</v>
      </c>
      <c r="C512" s="2213">
        <v>408670793</v>
      </c>
    </row>
    <row r="513" spans="1:3">
      <c r="A513" s="1080" t="s">
        <v>1040</v>
      </c>
      <c r="B513" s="2213">
        <v>1115802861</v>
      </c>
      <c r="C513" s="2213">
        <v>1115802861</v>
      </c>
    </row>
    <row r="514" spans="1:3">
      <c r="A514" s="1080" t="s">
        <v>1041</v>
      </c>
      <c r="B514" s="2213">
        <v>312885650</v>
      </c>
      <c r="C514" s="2213">
        <v>312885650</v>
      </c>
    </row>
    <row r="515" spans="1:3">
      <c r="A515" s="1080" t="s">
        <v>1042</v>
      </c>
      <c r="B515" s="2213">
        <v>578875876</v>
      </c>
      <c r="C515" s="2213">
        <v>578875876</v>
      </c>
    </row>
    <row r="516" spans="1:3">
      <c r="A516" s="1080" t="s">
        <v>2972</v>
      </c>
      <c r="B516" s="2213">
        <v>458384168</v>
      </c>
      <c r="C516" s="2213">
        <v>458384168</v>
      </c>
    </row>
    <row r="517" spans="1:3">
      <c r="A517" s="1080" t="s">
        <v>544</v>
      </c>
      <c r="B517" s="2213">
        <v>722274042</v>
      </c>
      <c r="C517" s="2213">
        <v>722274042</v>
      </c>
    </row>
    <row r="518" spans="1:3">
      <c r="A518" s="1080" t="s">
        <v>3042</v>
      </c>
      <c r="B518" s="2213">
        <v>241699564</v>
      </c>
      <c r="C518" s="2213">
        <v>241699564</v>
      </c>
    </row>
    <row r="519" spans="1:3">
      <c r="A519" s="1080" t="s">
        <v>995</v>
      </c>
      <c r="B519" s="2213">
        <v>300817220</v>
      </c>
      <c r="C519" s="2213">
        <v>300817220</v>
      </c>
    </row>
    <row r="520" spans="1:3">
      <c r="A520" s="1080" t="s">
        <v>51</v>
      </c>
      <c r="B520" s="2213">
        <v>929871753</v>
      </c>
      <c r="C520" s="2213">
        <v>929871753</v>
      </c>
    </row>
    <row r="521" spans="1:3">
      <c r="A521" s="1080" t="s">
        <v>61</v>
      </c>
      <c r="B521" s="2213">
        <v>207581503</v>
      </c>
      <c r="C521" s="2213">
        <v>207581503</v>
      </c>
    </row>
    <row r="522" spans="1:3">
      <c r="A522" s="1080" t="s">
        <v>3043</v>
      </c>
      <c r="B522" s="2213">
        <v>372850311</v>
      </c>
      <c r="C522" s="2213">
        <v>372850311</v>
      </c>
    </row>
    <row r="523" spans="1:3">
      <c r="A523" s="1080" t="s">
        <v>3044</v>
      </c>
      <c r="B523" s="2213">
        <v>173372443</v>
      </c>
      <c r="C523" s="2213">
        <v>173372443</v>
      </c>
    </row>
    <row r="524" spans="1:3">
      <c r="A524" s="1080" t="s">
        <v>3045</v>
      </c>
      <c r="B524" s="2213">
        <v>43645720</v>
      </c>
      <c r="C524" s="2213">
        <v>43645720</v>
      </c>
    </row>
    <row r="525" spans="1:3">
      <c r="A525" s="1080" t="s">
        <v>2905</v>
      </c>
      <c r="B525" s="2213">
        <v>2057394531</v>
      </c>
      <c r="C525" s="2213">
        <v>2057394531</v>
      </c>
    </row>
    <row r="526" spans="1:3">
      <c r="A526" s="1080" t="s">
        <v>2615</v>
      </c>
      <c r="B526" s="2213">
        <v>3920959551</v>
      </c>
      <c r="C526" s="2213">
        <v>8075930201</v>
      </c>
    </row>
    <row r="527" spans="1:3">
      <c r="A527" s="1080" t="s">
        <v>2616</v>
      </c>
      <c r="B527" s="2213">
        <v>2390401210</v>
      </c>
      <c r="C527" s="2213">
        <v>2681225000</v>
      </c>
    </row>
    <row r="528" spans="1:3">
      <c r="A528" s="1080" t="s">
        <v>1501</v>
      </c>
      <c r="B528" s="2213">
        <v>9561111074</v>
      </c>
      <c r="C528" s="2213">
        <v>9561111074</v>
      </c>
    </row>
    <row r="529" spans="1:3">
      <c r="A529" s="1080" t="s">
        <v>1502</v>
      </c>
      <c r="B529" s="2213">
        <v>648742286</v>
      </c>
      <c r="C529" s="2213">
        <v>1136988816</v>
      </c>
    </row>
    <row r="530" spans="1:3">
      <c r="A530" s="1080" t="s">
        <v>1484</v>
      </c>
      <c r="B530" s="2213">
        <v>669686369</v>
      </c>
      <c r="C530" s="2213">
        <v>669686369</v>
      </c>
    </row>
    <row r="531" spans="1:3">
      <c r="A531" s="1080" t="s">
        <v>1503</v>
      </c>
      <c r="B531" s="2213">
        <v>374422105</v>
      </c>
      <c r="C531" s="2213">
        <v>374422105</v>
      </c>
    </row>
    <row r="532" spans="1:3">
      <c r="A532" s="1080" t="s">
        <v>2299</v>
      </c>
      <c r="B532" s="2213">
        <v>1708099134</v>
      </c>
      <c r="C532" s="2213">
        <v>1708099134</v>
      </c>
    </row>
    <row r="533" spans="1:3">
      <c r="A533" s="1080" t="s">
        <v>2652</v>
      </c>
      <c r="B533" s="2213">
        <v>75171381</v>
      </c>
      <c r="C533" s="2213">
        <v>75171381</v>
      </c>
    </row>
    <row r="534" spans="1:3">
      <c r="A534" s="1080" t="s">
        <v>1593</v>
      </c>
      <c r="B534" s="2213">
        <v>255451939</v>
      </c>
      <c r="C534" s="2213">
        <v>255451939</v>
      </c>
    </row>
    <row r="535" spans="1:3">
      <c r="A535" s="1080" t="s">
        <v>244</v>
      </c>
      <c r="B535" s="2213">
        <v>129108102</v>
      </c>
      <c r="C535" s="2213">
        <v>129108102</v>
      </c>
    </row>
    <row r="536" spans="1:3">
      <c r="A536" s="1080" t="s">
        <v>1504</v>
      </c>
      <c r="B536" s="2213">
        <v>60760652</v>
      </c>
      <c r="C536" s="2213">
        <v>60760652</v>
      </c>
    </row>
    <row r="537" spans="1:3">
      <c r="A537" s="1080" t="s">
        <v>223</v>
      </c>
      <c r="B537" s="2213">
        <v>1414541553</v>
      </c>
      <c r="C537" s="2213">
        <v>1414541553</v>
      </c>
    </row>
    <row r="538" spans="1:3">
      <c r="A538" s="1080" t="s">
        <v>2153</v>
      </c>
      <c r="B538" s="2213">
        <v>3433879510</v>
      </c>
      <c r="C538" s="2213">
        <v>3433879510</v>
      </c>
    </row>
    <row r="539" spans="1:3">
      <c r="A539" s="1080" t="s">
        <v>627</v>
      </c>
      <c r="B539" s="2213">
        <v>2535294137</v>
      </c>
      <c r="C539" s="2213">
        <v>2535294137</v>
      </c>
    </row>
    <row r="540" spans="1:3">
      <c r="A540" s="1080" t="s">
        <v>2037</v>
      </c>
      <c r="B540" s="2213">
        <v>277249116</v>
      </c>
      <c r="C540" s="2213">
        <v>277249116</v>
      </c>
    </row>
    <row r="541" spans="1:3">
      <c r="A541" s="1080" t="s">
        <v>52</v>
      </c>
      <c r="B541" s="2213">
        <v>1306089227</v>
      </c>
      <c r="C541" s="2213">
        <v>1306089227</v>
      </c>
    </row>
    <row r="542" spans="1:3">
      <c r="A542" s="1080" t="s">
        <v>1505</v>
      </c>
      <c r="B542" s="2213">
        <v>149935646</v>
      </c>
      <c r="C542" s="2213">
        <v>149935646</v>
      </c>
    </row>
    <row r="543" spans="1:3">
      <c r="A543" s="1080" t="s">
        <v>2653</v>
      </c>
      <c r="B543" s="2213">
        <v>263872408</v>
      </c>
      <c r="C543" s="2213">
        <v>263872408</v>
      </c>
    </row>
    <row r="544" spans="1:3">
      <c r="A544" s="1080" t="s">
        <v>283</v>
      </c>
      <c r="B544" s="2213">
        <v>238946223</v>
      </c>
      <c r="C544" s="2213">
        <v>238946223</v>
      </c>
    </row>
    <row r="545" spans="1:3">
      <c r="A545" s="1080" t="s">
        <v>1435</v>
      </c>
      <c r="B545" s="2213">
        <v>998140791</v>
      </c>
      <c r="C545" s="2213">
        <v>998140791</v>
      </c>
    </row>
    <row r="546" spans="1:3">
      <c r="A546" s="1080" t="s">
        <v>2400</v>
      </c>
      <c r="B546" s="2213">
        <v>128847122</v>
      </c>
      <c r="C546" s="2213">
        <v>128847122</v>
      </c>
    </row>
    <row r="547" spans="1:3">
      <c r="A547" s="1080" t="s">
        <v>1506</v>
      </c>
      <c r="B547" s="2213">
        <v>164504111</v>
      </c>
      <c r="C547" s="2213">
        <v>164504111</v>
      </c>
    </row>
    <row r="548" spans="1:3">
      <c r="A548" s="1080" t="s">
        <v>2128</v>
      </c>
      <c r="B548" s="2213">
        <v>119099230</v>
      </c>
      <c r="C548" s="2213">
        <v>119099230</v>
      </c>
    </row>
    <row r="549" spans="1:3">
      <c r="A549" s="1080" t="s">
        <v>2870</v>
      </c>
      <c r="B549" s="2213">
        <v>95958840</v>
      </c>
      <c r="C549" s="2213">
        <v>95958840</v>
      </c>
    </row>
    <row r="550" spans="1:3">
      <c r="A550" s="1080" t="s">
        <v>288</v>
      </c>
      <c r="B550" s="2213">
        <v>83709174</v>
      </c>
      <c r="C550" s="2213">
        <v>83709174</v>
      </c>
    </row>
    <row r="551" spans="1:3">
      <c r="A551" s="1080" t="s">
        <v>54</v>
      </c>
      <c r="B551" s="2213">
        <v>6471007978</v>
      </c>
      <c r="C551" s="2213">
        <v>6471007978</v>
      </c>
    </row>
    <row r="552" spans="1:3">
      <c r="A552" s="1080" t="s">
        <v>2871</v>
      </c>
      <c r="B552" s="2213">
        <v>1857790538</v>
      </c>
      <c r="C552" s="2213">
        <v>1857790538</v>
      </c>
    </row>
    <row r="553" spans="1:3">
      <c r="A553" s="1080" t="s">
        <v>1317</v>
      </c>
      <c r="B553" s="2213">
        <v>1162801939</v>
      </c>
      <c r="C553" s="2213">
        <v>1162801939</v>
      </c>
    </row>
    <row r="554" spans="1:3">
      <c r="A554" s="1080" t="s">
        <v>1899</v>
      </c>
      <c r="B554" s="2213">
        <v>1037112749</v>
      </c>
      <c r="C554" s="2213">
        <v>1037112749</v>
      </c>
    </row>
    <row r="555" spans="1:3">
      <c r="A555" s="1080" t="s">
        <v>2757</v>
      </c>
      <c r="B555" s="2213">
        <v>541844442</v>
      </c>
      <c r="C555" s="2213">
        <v>541844442</v>
      </c>
    </row>
    <row r="556" spans="1:3">
      <c r="A556" s="1080" t="s">
        <v>1515</v>
      </c>
      <c r="B556" s="2213">
        <v>2447875199</v>
      </c>
      <c r="C556" s="2213">
        <v>2447875199</v>
      </c>
    </row>
    <row r="557" spans="1:3">
      <c r="A557" s="1080" t="s">
        <v>56</v>
      </c>
      <c r="B557" s="2213">
        <v>569395032</v>
      </c>
      <c r="C557" s="2213">
        <v>569395032</v>
      </c>
    </row>
    <row r="558" spans="1:3">
      <c r="A558" s="1080" t="s">
        <v>58</v>
      </c>
      <c r="B558" s="2213">
        <v>297036597</v>
      </c>
      <c r="C558" s="2213">
        <v>297036597</v>
      </c>
    </row>
    <row r="559" spans="1:3">
      <c r="A559" s="1080" t="s">
        <v>2923</v>
      </c>
      <c r="B559" s="2213">
        <v>1036793374</v>
      </c>
      <c r="C559" s="2213">
        <v>1036793374</v>
      </c>
    </row>
    <row r="560" spans="1:3">
      <c r="A560" s="1080" t="s">
        <v>2924</v>
      </c>
      <c r="B560" s="2213">
        <v>1295200559</v>
      </c>
      <c r="C560" s="2213">
        <v>1295200559</v>
      </c>
    </row>
    <row r="561" spans="1:3">
      <c r="A561" s="1080" t="s">
        <v>536</v>
      </c>
      <c r="B561" s="2213">
        <v>142281277</v>
      </c>
      <c r="C561" s="2213">
        <v>142281277</v>
      </c>
    </row>
    <row r="562" spans="1:3">
      <c r="A562" s="1080" t="s">
        <v>2925</v>
      </c>
      <c r="B562" s="2213">
        <v>5185849965</v>
      </c>
      <c r="C562" s="2213">
        <v>5185849965</v>
      </c>
    </row>
    <row r="563" spans="1:3">
      <c r="A563" s="1080" t="s">
        <v>1732</v>
      </c>
      <c r="B563" s="2213">
        <v>713628018</v>
      </c>
      <c r="C563" s="2213">
        <v>713628018</v>
      </c>
    </row>
    <row r="564" spans="1:3">
      <c r="A564" s="1080" t="s">
        <v>3088</v>
      </c>
      <c r="B564" s="2213">
        <v>789444049</v>
      </c>
      <c r="C564" s="2213">
        <v>925460309</v>
      </c>
    </row>
    <row r="565" spans="1:3">
      <c r="A565" s="1080" t="s">
        <v>2649</v>
      </c>
      <c r="B565" s="2213">
        <v>804281005</v>
      </c>
      <c r="C565" s="2213">
        <v>804281005</v>
      </c>
    </row>
    <row r="566" spans="1:3">
      <c r="A566" s="1080" t="s">
        <v>1734</v>
      </c>
      <c r="B566" s="2213">
        <v>236285503</v>
      </c>
      <c r="C566" s="2213">
        <v>236285503</v>
      </c>
    </row>
    <row r="567" spans="1:3">
      <c r="A567" s="1080" t="s">
        <v>2913</v>
      </c>
      <c r="B567" s="2213">
        <v>342118149</v>
      </c>
      <c r="C567" s="2213">
        <v>342118149</v>
      </c>
    </row>
    <row r="568" spans="1:3">
      <c r="A568" s="1080" t="s">
        <v>2914</v>
      </c>
      <c r="B568" s="2213">
        <v>2329511033</v>
      </c>
      <c r="C568" s="2213">
        <v>2329511033</v>
      </c>
    </row>
    <row r="569" spans="1:3">
      <c r="A569" s="1080" t="s">
        <v>529</v>
      </c>
      <c r="B569" s="2213">
        <v>440334401</v>
      </c>
      <c r="C569" s="2213">
        <v>440334401</v>
      </c>
    </row>
    <row r="570" spans="1:3">
      <c r="A570" s="1080" t="s">
        <v>2601</v>
      </c>
      <c r="B570" s="2213">
        <v>53706350</v>
      </c>
      <c r="C570" s="2213">
        <v>53706350</v>
      </c>
    </row>
    <row r="571" spans="1:3">
      <c r="A571" s="1080" t="s">
        <v>2602</v>
      </c>
      <c r="B571" s="2213">
        <v>377929440</v>
      </c>
      <c r="C571" s="2213">
        <v>377929440</v>
      </c>
    </row>
    <row r="572" spans="1:3">
      <c r="A572" s="1080" t="s">
        <v>1727</v>
      </c>
      <c r="B572" s="2213">
        <v>283884125</v>
      </c>
      <c r="C572" s="2213">
        <v>283884125</v>
      </c>
    </row>
    <row r="573" spans="1:3">
      <c r="A573" s="1080" t="s">
        <v>1728</v>
      </c>
      <c r="B573" s="2213">
        <v>243667555</v>
      </c>
      <c r="C573" s="2213">
        <v>369567555</v>
      </c>
    </row>
    <row r="574" spans="1:3">
      <c r="A574" s="1080" t="s">
        <v>2872</v>
      </c>
      <c r="B574" s="2213">
        <v>710478081</v>
      </c>
      <c r="C574" s="2213">
        <v>710478081</v>
      </c>
    </row>
    <row r="575" spans="1:3">
      <c r="A575" s="1080" t="s">
        <v>429</v>
      </c>
      <c r="B575" s="2213">
        <v>134638283</v>
      </c>
      <c r="C575" s="2213">
        <v>134638283</v>
      </c>
    </row>
    <row r="576" spans="1:3">
      <c r="A576" s="1080" t="s">
        <v>430</v>
      </c>
      <c r="B576" s="2213">
        <v>218974010</v>
      </c>
      <c r="C576" s="2213">
        <v>218974010</v>
      </c>
    </row>
    <row r="577" spans="1:3">
      <c r="A577" s="1080" t="s">
        <v>431</v>
      </c>
      <c r="B577" s="2213">
        <v>195078438</v>
      </c>
      <c r="C577" s="2213">
        <v>195078438</v>
      </c>
    </row>
    <row r="578" spans="1:3">
      <c r="A578" s="1080" t="s">
        <v>2873</v>
      </c>
      <c r="B578" s="2213">
        <v>109635300</v>
      </c>
      <c r="C578" s="2213">
        <v>109635300</v>
      </c>
    </row>
    <row r="579" spans="1:3">
      <c r="A579" s="1080" t="s">
        <v>270</v>
      </c>
      <c r="B579" s="2213">
        <v>61986014</v>
      </c>
      <c r="C579" s="2213">
        <v>61986014</v>
      </c>
    </row>
    <row r="580" spans="1:3">
      <c r="A580" s="1080" t="s">
        <v>271</v>
      </c>
      <c r="B580" s="2213">
        <v>52564670</v>
      </c>
      <c r="C580" s="2213">
        <v>52564670</v>
      </c>
    </row>
    <row r="581" spans="1:3">
      <c r="A581" s="1080" t="s">
        <v>272</v>
      </c>
      <c r="B581" s="2213">
        <v>772641400</v>
      </c>
      <c r="C581" s="2213">
        <v>772641400</v>
      </c>
    </row>
    <row r="582" spans="1:3">
      <c r="A582" s="1080" t="s">
        <v>2654</v>
      </c>
      <c r="B582" s="2213">
        <v>96272803</v>
      </c>
      <c r="C582" s="2213">
        <v>96272803</v>
      </c>
    </row>
    <row r="583" spans="1:3">
      <c r="A583" s="1080" t="s">
        <v>2303</v>
      </c>
      <c r="B583" s="2213">
        <v>682927654</v>
      </c>
      <c r="C583" s="2213">
        <v>682927654</v>
      </c>
    </row>
    <row r="584" spans="1:3">
      <c r="A584" s="1080" t="s">
        <v>2370</v>
      </c>
      <c r="B584" s="2213">
        <v>1045059275</v>
      </c>
      <c r="C584" s="2213">
        <v>1045059275</v>
      </c>
    </row>
    <row r="585" spans="1:3">
      <c r="A585" s="1080" t="s">
        <v>2874</v>
      </c>
      <c r="B585" s="2213">
        <v>197408963</v>
      </c>
      <c r="C585" s="2213">
        <v>197408963</v>
      </c>
    </row>
    <row r="586" spans="1:3">
      <c r="A586" s="1080" t="s">
        <v>1754</v>
      </c>
      <c r="B586" s="2213">
        <v>42785688</v>
      </c>
      <c r="C586" s="2213">
        <v>42785688</v>
      </c>
    </row>
    <row r="587" spans="1:3">
      <c r="A587" s="1080" t="s">
        <v>1755</v>
      </c>
      <c r="B587" s="2213">
        <v>205743282</v>
      </c>
      <c r="C587" s="2213">
        <v>205743282</v>
      </c>
    </row>
    <row r="588" spans="1:3">
      <c r="A588" s="1080" t="s">
        <v>1592</v>
      </c>
      <c r="B588" s="2213">
        <v>130540677</v>
      </c>
      <c r="C588" s="2213">
        <v>130540677</v>
      </c>
    </row>
    <row r="589" spans="1:3">
      <c r="A589" s="1080" t="s">
        <v>2584</v>
      </c>
      <c r="B589" s="2213">
        <v>78430865</v>
      </c>
      <c r="C589" s="2213">
        <v>78430865</v>
      </c>
    </row>
    <row r="590" spans="1:3">
      <c r="A590" s="1080" t="s">
        <v>2585</v>
      </c>
      <c r="B590" s="2213">
        <v>401642238</v>
      </c>
      <c r="C590" s="2213">
        <v>401642238</v>
      </c>
    </row>
    <row r="591" spans="1:3">
      <c r="A591" s="1080" t="s">
        <v>2586</v>
      </c>
      <c r="B591" s="2213">
        <v>1003284572</v>
      </c>
      <c r="C591" s="2213">
        <v>1003284572</v>
      </c>
    </row>
    <row r="592" spans="1:3">
      <c r="A592" s="1080" t="s">
        <v>2587</v>
      </c>
      <c r="B592" s="2213">
        <v>122898334</v>
      </c>
      <c r="C592" s="2213">
        <v>122898334</v>
      </c>
    </row>
    <row r="593" spans="1:3">
      <c r="A593" s="1080" t="s">
        <v>2755</v>
      </c>
      <c r="B593" s="2213">
        <v>7029139505</v>
      </c>
      <c r="C593" s="2213">
        <v>7029139505</v>
      </c>
    </row>
    <row r="594" spans="1:3">
      <c r="A594" s="1080" t="s">
        <v>2588</v>
      </c>
      <c r="B594" s="2213">
        <v>740675332</v>
      </c>
      <c r="C594" s="2213">
        <v>740675332</v>
      </c>
    </row>
    <row r="595" spans="1:3">
      <c r="A595" s="1080" t="s">
        <v>2589</v>
      </c>
      <c r="B595" s="2213">
        <v>597910810</v>
      </c>
      <c r="C595" s="2213">
        <v>597910810</v>
      </c>
    </row>
    <row r="596" spans="1:3">
      <c r="A596" s="1080" t="s">
        <v>2590</v>
      </c>
      <c r="B596" s="2213">
        <v>802725382</v>
      </c>
      <c r="C596" s="2213">
        <v>802725382</v>
      </c>
    </row>
    <row r="597" spans="1:3">
      <c r="A597" s="1080" t="s">
        <v>2591</v>
      </c>
      <c r="B597" s="2213">
        <v>57300663</v>
      </c>
      <c r="C597" s="2213">
        <v>57300663</v>
      </c>
    </row>
    <row r="598" spans="1:3">
      <c r="A598" s="1080" t="s">
        <v>2592</v>
      </c>
      <c r="B598" s="2213">
        <v>62958251</v>
      </c>
      <c r="C598" s="2213">
        <v>62958251</v>
      </c>
    </row>
    <row r="599" spans="1:3">
      <c r="A599" s="1080" t="s">
        <v>2981</v>
      </c>
      <c r="B599" s="2213">
        <v>98867282</v>
      </c>
      <c r="C599" s="2213">
        <v>98867282</v>
      </c>
    </row>
    <row r="600" spans="1:3">
      <c r="A600" s="1080" t="s">
        <v>2982</v>
      </c>
      <c r="B600" s="2213">
        <v>785896786</v>
      </c>
      <c r="C600" s="2213">
        <v>785896786</v>
      </c>
    </row>
    <row r="601" spans="1:3">
      <c r="A601" s="1080" t="s">
        <v>2983</v>
      </c>
      <c r="B601" s="2213">
        <v>368216776</v>
      </c>
      <c r="C601" s="2213">
        <v>368216776</v>
      </c>
    </row>
    <row r="602" spans="1:3">
      <c r="A602" s="1080" t="s">
        <v>2984</v>
      </c>
      <c r="B602" s="2213">
        <v>179516070</v>
      </c>
      <c r="C602" s="2213">
        <v>179516070</v>
      </c>
    </row>
    <row r="603" spans="1:3">
      <c r="A603" s="1080" t="s">
        <v>2985</v>
      </c>
      <c r="B603" s="2213">
        <v>444075744</v>
      </c>
      <c r="C603" s="2213">
        <v>444075744</v>
      </c>
    </row>
    <row r="604" spans="1:3">
      <c r="A604" s="1080" t="s">
        <v>1561</v>
      </c>
      <c r="B604" s="2213">
        <v>471495200</v>
      </c>
      <c r="C604" s="2213">
        <v>471495200</v>
      </c>
    </row>
    <row r="605" spans="1:3">
      <c r="A605" s="1080" t="s">
        <v>1562</v>
      </c>
      <c r="B605" s="2213">
        <v>274814142</v>
      </c>
      <c r="C605" s="2213">
        <v>274814142</v>
      </c>
    </row>
    <row r="606" spans="1:3">
      <c r="A606" s="1080" t="s">
        <v>2783</v>
      </c>
      <c r="B606" s="2213">
        <v>77948923</v>
      </c>
      <c r="C606" s="2213">
        <v>77948923</v>
      </c>
    </row>
    <row r="607" spans="1:3">
      <c r="A607" s="1080" t="s">
        <v>2421</v>
      </c>
      <c r="B607" s="2213">
        <v>799693943</v>
      </c>
      <c r="C607" s="2213">
        <v>799693943</v>
      </c>
    </row>
    <row r="608" spans="1:3">
      <c r="A608" s="1080" t="s">
        <v>3029</v>
      </c>
      <c r="B608" s="2213">
        <v>820704415</v>
      </c>
      <c r="C608" s="2213">
        <v>820704415</v>
      </c>
    </row>
    <row r="609" spans="1:3">
      <c r="A609" s="1080" t="s">
        <v>2762</v>
      </c>
      <c r="B609" s="2213">
        <v>1477069911</v>
      </c>
      <c r="C609" s="2213">
        <v>1477069911</v>
      </c>
    </row>
    <row r="610" spans="1:3">
      <c r="A610" s="1080" t="s">
        <v>2422</v>
      </c>
      <c r="B610" s="2213">
        <v>289920993</v>
      </c>
      <c r="C610" s="2213">
        <v>289920993</v>
      </c>
    </row>
    <row r="611" spans="1:3">
      <c r="A611" s="1080" t="s">
        <v>2875</v>
      </c>
      <c r="B611" s="2213">
        <v>314880888</v>
      </c>
      <c r="C611" s="2213">
        <v>314880888</v>
      </c>
    </row>
    <row r="612" spans="1:3">
      <c r="A612" s="1080" t="s">
        <v>1277</v>
      </c>
      <c r="B612" s="2213">
        <v>250027011</v>
      </c>
      <c r="C612" s="2213">
        <v>250027011</v>
      </c>
    </row>
    <row r="613" spans="1:3">
      <c r="A613" s="1080" t="s">
        <v>2423</v>
      </c>
      <c r="B613" s="2213">
        <v>819811782</v>
      </c>
      <c r="C613" s="2213">
        <v>944057922</v>
      </c>
    </row>
    <row r="614" spans="1:3">
      <c r="A614" s="1080" t="s">
        <v>2424</v>
      </c>
      <c r="B614" s="2213">
        <v>425572593</v>
      </c>
      <c r="C614" s="2213">
        <v>425572593</v>
      </c>
    </row>
    <row r="615" spans="1:3">
      <c r="A615" s="1080" t="s">
        <v>1093</v>
      </c>
      <c r="B615" s="2213">
        <v>36984793</v>
      </c>
      <c r="C615" s="2213">
        <v>36984793</v>
      </c>
    </row>
    <row r="616" spans="1:3">
      <c r="A616" s="1080" t="s">
        <v>1513</v>
      </c>
      <c r="B616" s="2213">
        <v>1748194813</v>
      </c>
      <c r="C616" s="2213">
        <v>1748194813</v>
      </c>
    </row>
    <row r="617" spans="1:3">
      <c r="A617" s="1080" t="s">
        <v>1902</v>
      </c>
      <c r="B617" s="2213">
        <v>408802098</v>
      </c>
      <c r="C617" s="2213">
        <v>408802098</v>
      </c>
    </row>
    <row r="618" spans="1:3">
      <c r="A618" s="1080" t="s">
        <v>1903</v>
      </c>
      <c r="B618" s="2213">
        <v>372230617</v>
      </c>
      <c r="C618" s="2213">
        <v>372230617</v>
      </c>
    </row>
    <row r="619" spans="1:3">
      <c r="A619" s="1080" t="s">
        <v>2926</v>
      </c>
      <c r="B619" s="2213">
        <v>263289158</v>
      </c>
      <c r="C619" s="2213">
        <v>263289158</v>
      </c>
    </row>
    <row r="620" spans="1:3">
      <c r="A620" s="1080" t="s">
        <v>2927</v>
      </c>
      <c r="B620" s="2213">
        <v>480545800</v>
      </c>
      <c r="C620" s="2213">
        <v>480545800</v>
      </c>
    </row>
    <row r="621" spans="1:3">
      <c r="A621" s="1080" t="s">
        <v>3056</v>
      </c>
      <c r="B621" s="2213">
        <v>149726953</v>
      </c>
      <c r="C621" s="2213">
        <v>149726953</v>
      </c>
    </row>
    <row r="622" spans="1:3">
      <c r="A622" s="1080" t="s">
        <v>947</v>
      </c>
      <c r="B622" s="2213">
        <v>700062273</v>
      </c>
      <c r="C622" s="2213">
        <v>700062273</v>
      </c>
    </row>
    <row r="623" spans="1:3">
      <c r="A623" s="1080" t="s">
        <v>95</v>
      </c>
      <c r="B623" s="2213">
        <v>2719545566</v>
      </c>
      <c r="C623" s="2213">
        <v>2719545566</v>
      </c>
    </row>
    <row r="624" spans="1:3">
      <c r="A624" s="1080" t="s">
        <v>96</v>
      </c>
      <c r="B624" s="2213">
        <v>3082810590</v>
      </c>
      <c r="C624" s="2213">
        <v>3082810590</v>
      </c>
    </row>
    <row r="625" spans="1:3">
      <c r="A625" s="1080" t="s">
        <v>2607</v>
      </c>
      <c r="B625" s="2213">
        <v>9247600786</v>
      </c>
      <c r="C625" s="2213">
        <v>9247600786</v>
      </c>
    </row>
    <row r="626" spans="1:3">
      <c r="A626" s="1080" t="s">
        <v>2764</v>
      </c>
      <c r="B626" s="2213">
        <v>216312097</v>
      </c>
      <c r="C626" s="2213">
        <v>216312097</v>
      </c>
    </row>
    <row r="627" spans="1:3">
      <c r="A627" s="1080" t="s">
        <v>2765</v>
      </c>
      <c r="B627" s="2213">
        <v>351248099</v>
      </c>
      <c r="C627" s="2213">
        <v>351248099</v>
      </c>
    </row>
    <row r="628" spans="1:3">
      <c r="A628" s="1080" t="s">
        <v>2414</v>
      </c>
      <c r="B628" s="2213">
        <v>1982152906</v>
      </c>
      <c r="C628" s="2213">
        <v>1982152906</v>
      </c>
    </row>
    <row r="629" spans="1:3">
      <c r="A629" s="1080" t="s">
        <v>1603</v>
      </c>
      <c r="B629" s="2213">
        <v>2879639185</v>
      </c>
      <c r="C629" s="2213">
        <v>2879639185</v>
      </c>
    </row>
    <row r="630" spans="1:3">
      <c r="A630" s="1080" t="s">
        <v>2766</v>
      </c>
      <c r="B630" s="2213">
        <v>278731834</v>
      </c>
      <c r="C630" s="2213">
        <v>278731834</v>
      </c>
    </row>
    <row r="631" spans="1:3">
      <c r="A631" s="1080" t="s">
        <v>538</v>
      </c>
      <c r="B631" s="2213">
        <v>288761371</v>
      </c>
      <c r="C631" s="2213">
        <v>288761371</v>
      </c>
    </row>
    <row r="632" spans="1:3">
      <c r="A632" s="1080" t="s">
        <v>775</v>
      </c>
      <c r="B632" s="2213">
        <v>232042243</v>
      </c>
      <c r="C632" s="2213">
        <v>232042243</v>
      </c>
    </row>
    <row r="633" spans="1:3">
      <c r="A633" s="1080" t="s">
        <v>2679</v>
      </c>
      <c r="B633" s="2213">
        <v>145765643</v>
      </c>
      <c r="C633" s="2213">
        <v>228791303</v>
      </c>
    </row>
    <row r="634" spans="1:3">
      <c r="A634" s="1080" t="s">
        <v>2680</v>
      </c>
      <c r="B634" s="2213">
        <v>113757145</v>
      </c>
      <c r="C634" s="2213">
        <v>113757145</v>
      </c>
    </row>
    <row r="635" spans="1:3">
      <c r="A635" s="1080" t="s">
        <v>2681</v>
      </c>
      <c r="B635" s="2213">
        <v>57784131</v>
      </c>
      <c r="C635" s="2213">
        <v>57784131</v>
      </c>
    </row>
    <row r="636" spans="1:3">
      <c r="A636" s="1080" t="s">
        <v>1651</v>
      </c>
      <c r="B636" s="2213">
        <v>50882440</v>
      </c>
      <c r="C636" s="2213">
        <v>50882440</v>
      </c>
    </row>
    <row r="637" spans="1:3">
      <c r="A637" s="1080" t="s">
        <v>2389</v>
      </c>
      <c r="B637" s="2213">
        <v>810785713</v>
      </c>
      <c r="C637" s="2213">
        <v>810785713</v>
      </c>
    </row>
    <row r="638" spans="1:3">
      <c r="A638" s="1080" t="s">
        <v>1652</v>
      </c>
      <c r="B638" s="2213">
        <v>399425934</v>
      </c>
      <c r="C638" s="2213">
        <v>399425934</v>
      </c>
    </row>
    <row r="639" spans="1:3">
      <c r="A639" s="1080" t="s">
        <v>418</v>
      </c>
      <c r="B639" s="2213">
        <v>611070626</v>
      </c>
      <c r="C639" s="2213">
        <v>611070626</v>
      </c>
    </row>
    <row r="640" spans="1:3">
      <c r="A640" s="1080" t="s">
        <v>419</v>
      </c>
      <c r="B640" s="2213">
        <v>2433074543</v>
      </c>
      <c r="C640" s="2213">
        <v>2494385053</v>
      </c>
    </row>
    <row r="641" spans="1:3">
      <c r="A641" s="1080" t="s">
        <v>420</v>
      </c>
      <c r="B641" s="2213">
        <v>2170636727</v>
      </c>
      <c r="C641" s="2213">
        <v>2179968077</v>
      </c>
    </row>
    <row r="642" spans="1:3">
      <c r="A642" s="1080" t="s">
        <v>1856</v>
      </c>
      <c r="B642" s="2213">
        <v>318561855</v>
      </c>
      <c r="C642" s="2213">
        <v>318561855</v>
      </c>
    </row>
    <row r="643" spans="1:3">
      <c r="A643" s="1080" t="s">
        <v>1857</v>
      </c>
      <c r="B643" s="2213">
        <v>1074760006</v>
      </c>
      <c r="C643" s="2213">
        <v>1074760006</v>
      </c>
    </row>
    <row r="644" spans="1:3">
      <c r="A644" s="1080" t="s">
        <v>201</v>
      </c>
      <c r="B644" s="2213">
        <v>1114465457</v>
      </c>
      <c r="C644" s="2213">
        <v>1114465457</v>
      </c>
    </row>
    <row r="645" spans="1:3">
      <c r="A645" s="1080" t="s">
        <v>2438</v>
      </c>
      <c r="B645" s="2213">
        <v>257982752</v>
      </c>
      <c r="C645" s="2213">
        <v>257982752</v>
      </c>
    </row>
    <row r="646" spans="1:3">
      <c r="A646" s="1080" t="s">
        <v>2439</v>
      </c>
      <c r="B646" s="2213">
        <v>1209222807</v>
      </c>
      <c r="C646" s="2213">
        <v>1209222807</v>
      </c>
    </row>
    <row r="647" spans="1:3">
      <c r="A647" s="1080" t="s">
        <v>2440</v>
      </c>
      <c r="B647" s="2213">
        <v>611444462</v>
      </c>
      <c r="C647" s="2213">
        <v>611444462</v>
      </c>
    </row>
    <row r="648" spans="1:3">
      <c r="A648" s="1080" t="s">
        <v>2057</v>
      </c>
      <c r="B648" s="2213">
        <v>2072826874</v>
      </c>
      <c r="C648" s="2213">
        <v>2072826874</v>
      </c>
    </row>
    <row r="649" spans="1:3">
      <c r="A649" s="1080" t="s">
        <v>992</v>
      </c>
      <c r="B649" s="2213">
        <v>455852765</v>
      </c>
      <c r="C649" s="2213">
        <v>455852765</v>
      </c>
    </row>
    <row r="650" spans="1:3">
      <c r="A650" s="1080" t="s">
        <v>1583</v>
      </c>
      <c r="B650" s="2213">
        <v>52851576</v>
      </c>
      <c r="C650" s="2213">
        <v>52851576</v>
      </c>
    </row>
    <row r="651" spans="1:3">
      <c r="A651" s="1080" t="s">
        <v>2265</v>
      </c>
      <c r="B651" s="2213">
        <v>22378696</v>
      </c>
      <c r="C651" s="2213">
        <v>22378696</v>
      </c>
    </row>
    <row r="652" spans="1:3">
      <c r="A652" s="1080" t="s">
        <v>1094</v>
      </c>
      <c r="B652" s="2213">
        <v>148856689</v>
      </c>
      <c r="C652" s="2213">
        <v>148856689</v>
      </c>
    </row>
    <row r="653" spans="1:3">
      <c r="A653" s="1080" t="s">
        <v>1012</v>
      </c>
      <c r="B653" s="2213">
        <v>4082620397</v>
      </c>
      <c r="C653" s="2213">
        <v>4082620397</v>
      </c>
    </row>
    <row r="654" spans="1:3">
      <c r="A654" s="1080" t="s">
        <v>800</v>
      </c>
      <c r="B654" s="2213">
        <v>657186516</v>
      </c>
      <c r="C654" s="2213">
        <v>657186516</v>
      </c>
    </row>
    <row r="655" spans="1:3">
      <c r="A655" s="1080" t="s">
        <v>1095</v>
      </c>
      <c r="B655" s="2213">
        <v>411338518</v>
      </c>
      <c r="C655" s="2213">
        <v>411338518</v>
      </c>
    </row>
    <row r="656" spans="1:3">
      <c r="A656" s="1080" t="s">
        <v>2096</v>
      </c>
      <c r="B656" s="2213">
        <v>105565809</v>
      </c>
      <c r="C656" s="2213">
        <v>105565809</v>
      </c>
    </row>
    <row r="657" spans="1:3">
      <c r="A657" s="1080" t="s">
        <v>1735</v>
      </c>
      <c r="B657" s="2213">
        <v>312718491</v>
      </c>
      <c r="C657" s="2213">
        <v>312718491</v>
      </c>
    </row>
    <row r="658" spans="1:3">
      <c r="A658" s="1080" t="s">
        <v>134</v>
      </c>
      <c r="B658" s="2213">
        <v>149319204</v>
      </c>
      <c r="C658" s="2213">
        <v>149319204</v>
      </c>
    </row>
    <row r="659" spans="1:3">
      <c r="A659" s="1080" t="s">
        <v>2384</v>
      </c>
      <c r="B659" s="2213">
        <v>710549907</v>
      </c>
      <c r="C659" s="2213">
        <v>710549907</v>
      </c>
    </row>
    <row r="660" spans="1:3">
      <c r="A660" s="1080" t="s">
        <v>373</v>
      </c>
      <c r="B660" s="2213">
        <v>4022356733</v>
      </c>
      <c r="C660" s="2213">
        <v>4022356733</v>
      </c>
    </row>
    <row r="661" spans="1:3">
      <c r="A661" s="1080" t="s">
        <v>376</v>
      </c>
      <c r="B661" s="2213">
        <v>349343275</v>
      </c>
      <c r="C661" s="2213">
        <v>349343275</v>
      </c>
    </row>
    <row r="662" spans="1:3">
      <c r="A662" s="1080" t="s">
        <v>2819</v>
      </c>
      <c r="B662" s="2213">
        <v>109085897</v>
      </c>
      <c r="C662" s="2213">
        <v>109085897</v>
      </c>
    </row>
    <row r="663" spans="1:3">
      <c r="A663" s="1080" t="s">
        <v>2820</v>
      </c>
      <c r="B663" s="2213">
        <v>152960666</v>
      </c>
      <c r="C663" s="2213">
        <v>152960666</v>
      </c>
    </row>
    <row r="664" spans="1:3">
      <c r="A664" s="1080" t="s">
        <v>85</v>
      </c>
      <c r="B664" s="2213">
        <v>610380775</v>
      </c>
      <c r="C664" s="2213">
        <v>610380775</v>
      </c>
    </row>
    <row r="665" spans="1:3">
      <c r="A665" s="1080" t="s">
        <v>2638</v>
      </c>
      <c r="B665" s="2213">
        <v>566682951</v>
      </c>
      <c r="C665" s="2213">
        <v>566682951</v>
      </c>
    </row>
    <row r="666" spans="1:3">
      <c r="A666" s="1080" t="s">
        <v>190</v>
      </c>
      <c r="B666" s="2213">
        <v>520922530</v>
      </c>
      <c r="C666" s="2213">
        <v>520922530</v>
      </c>
    </row>
    <row r="667" spans="1:3">
      <c r="A667" s="1080" t="s">
        <v>991</v>
      </c>
      <c r="B667" s="2213">
        <v>137671511</v>
      </c>
      <c r="C667" s="2213">
        <v>137671511</v>
      </c>
    </row>
    <row r="668" spans="1:3">
      <c r="A668" s="1080" t="s">
        <v>2098</v>
      </c>
      <c r="B668" s="2213">
        <v>57206201</v>
      </c>
      <c r="C668" s="2213">
        <v>57206201</v>
      </c>
    </row>
    <row r="669" spans="1:3">
      <c r="A669" s="1080" t="s">
        <v>287</v>
      </c>
      <c r="B669" s="2213">
        <v>35302659</v>
      </c>
      <c r="C669" s="2213">
        <v>35302659</v>
      </c>
    </row>
    <row r="670" spans="1:3">
      <c r="A670" s="1080" t="s">
        <v>1782</v>
      </c>
      <c r="B670" s="2213">
        <v>3949455935</v>
      </c>
      <c r="C670" s="2213">
        <v>3949455935</v>
      </c>
    </row>
    <row r="671" spans="1:3">
      <c r="A671" s="1080" t="s">
        <v>1296</v>
      </c>
      <c r="B671" s="2213">
        <v>359151346</v>
      </c>
      <c r="C671" s="2213">
        <v>359151346</v>
      </c>
    </row>
    <row r="672" spans="1:3">
      <c r="A672" s="1080" t="s">
        <v>2266</v>
      </c>
      <c r="B672" s="2213">
        <v>106857893</v>
      </c>
      <c r="C672" s="2213">
        <v>106857893</v>
      </c>
    </row>
    <row r="673" spans="1:3">
      <c r="A673" s="1080" t="s">
        <v>1036</v>
      </c>
      <c r="B673" s="2213">
        <v>163309448</v>
      </c>
      <c r="C673" s="2213">
        <v>163309448</v>
      </c>
    </row>
    <row r="674" spans="1:3">
      <c r="A674" s="1080" t="s">
        <v>199</v>
      </c>
      <c r="B674" s="2213">
        <v>549572033</v>
      </c>
      <c r="C674" s="2213">
        <v>549572033</v>
      </c>
    </row>
    <row r="675" spans="1:3">
      <c r="A675" s="1080" t="s">
        <v>2896</v>
      </c>
      <c r="B675" s="2213">
        <v>1204424338</v>
      </c>
      <c r="C675" s="2213">
        <v>1204424338</v>
      </c>
    </row>
    <row r="676" spans="1:3">
      <c r="A676" s="1080" t="s">
        <v>2978</v>
      </c>
      <c r="B676" s="2213">
        <v>174070234</v>
      </c>
      <c r="C676" s="2213">
        <v>174070234</v>
      </c>
    </row>
    <row r="677" spans="1:3">
      <c r="A677" s="1080" t="s">
        <v>2899</v>
      </c>
      <c r="B677" s="2213">
        <v>19259474133</v>
      </c>
      <c r="C677" s="2213">
        <v>19259474133</v>
      </c>
    </row>
    <row r="678" spans="1:3">
      <c r="A678" s="1080" t="s">
        <v>1475</v>
      </c>
      <c r="B678" s="2213">
        <v>1328861862</v>
      </c>
      <c r="C678" s="2213">
        <v>1328861862</v>
      </c>
    </row>
    <row r="679" spans="1:3">
      <c r="A679" s="1080" t="s">
        <v>2156</v>
      </c>
      <c r="B679" s="2213">
        <v>282915505</v>
      </c>
      <c r="C679" s="2213">
        <v>282915505</v>
      </c>
    </row>
    <row r="680" spans="1:3">
      <c r="A680" s="1080" t="s">
        <v>1536</v>
      </c>
      <c r="B680" s="2213">
        <v>94320091</v>
      </c>
      <c r="C680" s="2213">
        <v>94320091</v>
      </c>
    </row>
    <row r="681" spans="1:3">
      <c r="A681" s="1080" t="s">
        <v>2900</v>
      </c>
      <c r="B681" s="2213">
        <v>82494834</v>
      </c>
      <c r="C681" s="2213">
        <v>82494834</v>
      </c>
    </row>
    <row r="682" spans="1:3">
      <c r="A682" s="1080" t="s">
        <v>2513</v>
      </c>
      <c r="B682" s="2213">
        <v>842760078</v>
      </c>
      <c r="C682" s="2213">
        <v>842760078</v>
      </c>
    </row>
    <row r="683" spans="1:3">
      <c r="A683" s="1080" t="s">
        <v>1046</v>
      </c>
      <c r="B683" s="2213">
        <v>118973786</v>
      </c>
      <c r="C683" s="2213">
        <v>118973786</v>
      </c>
    </row>
    <row r="684" spans="1:3">
      <c r="A684" s="1080" t="s">
        <v>409</v>
      </c>
      <c r="B684" s="2213">
        <v>28240302</v>
      </c>
      <c r="C684" s="2213">
        <v>28240302</v>
      </c>
    </row>
    <row r="685" spans="1:3">
      <c r="A685" s="1080" t="s">
        <v>1436</v>
      </c>
      <c r="B685" s="2213">
        <v>391142967</v>
      </c>
      <c r="C685" s="2213">
        <v>391142967</v>
      </c>
    </row>
    <row r="686" spans="1:3">
      <c r="A686" s="1080" t="s">
        <v>3070</v>
      </c>
      <c r="B686" s="2213">
        <v>73045613</v>
      </c>
      <c r="C686" s="2213">
        <v>73045613</v>
      </c>
    </row>
    <row r="687" spans="1:3">
      <c r="A687" s="1080" t="s">
        <v>2267</v>
      </c>
      <c r="B687" s="2213">
        <v>19369045</v>
      </c>
      <c r="C687" s="2213">
        <v>19369045</v>
      </c>
    </row>
    <row r="688" spans="1:3">
      <c r="A688" s="1080" t="s">
        <v>3072</v>
      </c>
      <c r="B688" s="2213">
        <v>426594959</v>
      </c>
      <c r="C688" s="2213">
        <v>426594959</v>
      </c>
    </row>
    <row r="689" spans="1:3">
      <c r="A689" s="1080" t="s">
        <v>3073</v>
      </c>
      <c r="B689" s="2213">
        <v>77862813</v>
      </c>
      <c r="C689" s="2213">
        <v>270626393</v>
      </c>
    </row>
    <row r="690" spans="1:3">
      <c r="A690" s="1080" t="s">
        <v>1676</v>
      </c>
      <c r="B690" s="2213">
        <v>678161504</v>
      </c>
      <c r="C690" s="2213">
        <v>678161504</v>
      </c>
    </row>
    <row r="691" spans="1:3">
      <c r="A691" s="1080" t="s">
        <v>1494</v>
      </c>
      <c r="B691" s="2213">
        <v>1055348580</v>
      </c>
      <c r="C691" s="2213">
        <v>1055348580</v>
      </c>
    </row>
    <row r="692" spans="1:3">
      <c r="A692" s="1080" t="s">
        <v>1612</v>
      </c>
      <c r="B692" s="2213">
        <v>237955205</v>
      </c>
      <c r="C692" s="2213">
        <v>237955205</v>
      </c>
    </row>
    <row r="693" spans="1:3">
      <c r="A693" s="1080" t="s">
        <v>910</v>
      </c>
      <c r="B693" s="2213">
        <v>95435400</v>
      </c>
      <c r="C693" s="2213">
        <v>95435400</v>
      </c>
    </row>
    <row r="694" spans="1:3">
      <c r="A694" s="1080" t="s">
        <v>1685</v>
      </c>
      <c r="B694" s="2213">
        <v>37245247</v>
      </c>
      <c r="C694" s="2213">
        <v>37245247</v>
      </c>
    </row>
    <row r="695" spans="1:3">
      <c r="A695" s="1080" t="s">
        <v>1686</v>
      </c>
      <c r="B695" s="2213">
        <v>165154132</v>
      </c>
      <c r="C695" s="2213">
        <v>165154132</v>
      </c>
    </row>
    <row r="696" spans="1:3">
      <c r="A696" s="1080" t="s">
        <v>1445</v>
      </c>
      <c r="B696" s="2213">
        <v>353453121</v>
      </c>
      <c r="C696" s="2213">
        <v>353453121</v>
      </c>
    </row>
    <row r="697" spans="1:3">
      <c r="A697" s="1080" t="s">
        <v>1724</v>
      </c>
      <c r="B697" s="2213">
        <v>262374638</v>
      </c>
      <c r="C697" s="2213">
        <v>262374638</v>
      </c>
    </row>
    <row r="698" spans="1:3">
      <c r="A698" s="1080" t="s">
        <v>2639</v>
      </c>
      <c r="B698" s="2213">
        <v>26200901716</v>
      </c>
      <c r="C698" s="2213">
        <v>26200901716</v>
      </c>
    </row>
    <row r="699" spans="1:3">
      <c r="A699" s="1080" t="s">
        <v>1725</v>
      </c>
      <c r="B699" s="2213">
        <v>4264260243</v>
      </c>
      <c r="C699" s="2213">
        <v>4264260243</v>
      </c>
    </row>
    <row r="700" spans="1:3">
      <c r="A700" s="1080" t="s">
        <v>1349</v>
      </c>
      <c r="B700" s="2213">
        <v>2458439472</v>
      </c>
      <c r="C700" s="2213">
        <v>2458439472</v>
      </c>
    </row>
    <row r="701" spans="1:3">
      <c r="A701" s="1080" t="s">
        <v>378</v>
      </c>
      <c r="B701" s="2213">
        <v>4332086502</v>
      </c>
      <c r="C701" s="2213">
        <v>4332086502</v>
      </c>
    </row>
    <row r="702" spans="1:3">
      <c r="A702" s="1080" t="s">
        <v>1701</v>
      </c>
      <c r="B702" s="2213">
        <v>444285551</v>
      </c>
      <c r="C702" s="2213">
        <v>444285551</v>
      </c>
    </row>
    <row r="703" spans="1:3">
      <c r="A703" s="1080" t="s">
        <v>801</v>
      </c>
      <c r="B703" s="2213">
        <v>2642625991</v>
      </c>
      <c r="C703" s="2213">
        <v>2642625991</v>
      </c>
    </row>
    <row r="704" spans="1:3">
      <c r="A704" s="1080" t="s">
        <v>2134</v>
      </c>
      <c r="B704" s="2213">
        <v>2070264216</v>
      </c>
      <c r="C704" s="2213">
        <v>2070264216</v>
      </c>
    </row>
    <row r="705" spans="1:3">
      <c r="A705" s="1080" t="s">
        <v>2135</v>
      </c>
      <c r="B705" s="2213">
        <v>360885086</v>
      </c>
      <c r="C705" s="2213">
        <v>368590516</v>
      </c>
    </row>
    <row r="706" spans="1:3">
      <c r="A706" s="1080" t="s">
        <v>2136</v>
      </c>
      <c r="B706" s="2213">
        <v>826323910</v>
      </c>
      <c r="C706" s="2213">
        <v>826323910</v>
      </c>
    </row>
    <row r="707" spans="1:3">
      <c r="A707" s="1080" t="s">
        <v>2137</v>
      </c>
      <c r="B707" s="2213">
        <v>270161388</v>
      </c>
      <c r="C707" s="2213">
        <v>270161388</v>
      </c>
    </row>
    <row r="708" spans="1:3">
      <c r="A708" s="1080" t="s">
        <v>2685</v>
      </c>
      <c r="B708" s="2213">
        <v>101983038</v>
      </c>
      <c r="C708" s="2213">
        <v>101983038</v>
      </c>
    </row>
    <row r="709" spans="1:3">
      <c r="A709" s="1080" t="s">
        <v>802</v>
      </c>
      <c r="B709" s="2213">
        <v>194675201</v>
      </c>
      <c r="C709" s="2213">
        <v>194675201</v>
      </c>
    </row>
    <row r="710" spans="1:3">
      <c r="A710" s="1080" t="s">
        <v>570</v>
      </c>
      <c r="B710" s="2213">
        <v>239335844</v>
      </c>
      <c r="C710" s="2213">
        <v>535388244</v>
      </c>
    </row>
    <row r="711" spans="1:3">
      <c r="A711" s="1080" t="s">
        <v>803</v>
      </c>
      <c r="B711" s="2213">
        <v>151322444</v>
      </c>
      <c r="C711" s="2213">
        <v>151322444</v>
      </c>
    </row>
    <row r="712" spans="1:3">
      <c r="A712" s="1080" t="s">
        <v>571</v>
      </c>
      <c r="B712" s="2213">
        <v>1907792035</v>
      </c>
      <c r="C712" s="2213">
        <v>1907792035</v>
      </c>
    </row>
    <row r="713" spans="1:3">
      <c r="A713" s="1080" t="s">
        <v>410</v>
      </c>
      <c r="B713" s="2213">
        <v>175711922</v>
      </c>
      <c r="C713" s="2213">
        <v>175711922</v>
      </c>
    </row>
    <row r="714" spans="1:3">
      <c r="A714" s="1080" t="s">
        <v>572</v>
      </c>
      <c r="B714" s="2213">
        <v>112063009</v>
      </c>
      <c r="C714" s="2213">
        <v>112063009</v>
      </c>
    </row>
    <row r="715" spans="1:3">
      <c r="A715" s="1080" t="s">
        <v>573</v>
      </c>
      <c r="B715" s="2213">
        <v>73033523</v>
      </c>
      <c r="C715" s="2213">
        <v>73033523</v>
      </c>
    </row>
    <row r="716" spans="1:3">
      <c r="A716" s="1080" t="s">
        <v>877</v>
      </c>
      <c r="B716" s="2213">
        <v>46307202</v>
      </c>
      <c r="C716" s="2213">
        <v>46307202</v>
      </c>
    </row>
    <row r="717" spans="1:3">
      <c r="A717" s="1080" t="s">
        <v>574</v>
      </c>
      <c r="B717" s="2213">
        <v>162008889</v>
      </c>
      <c r="C717" s="2213">
        <v>162008889</v>
      </c>
    </row>
    <row r="718" spans="1:3">
      <c r="A718" s="1080" t="s">
        <v>575</v>
      </c>
      <c r="B718" s="2213">
        <v>143146348</v>
      </c>
      <c r="C718" s="2213">
        <v>143146348</v>
      </c>
    </row>
    <row r="719" spans="1:3">
      <c r="A719" s="1080" t="s">
        <v>2754</v>
      </c>
      <c r="B719" s="2213">
        <v>1372761321</v>
      </c>
      <c r="C719" s="2213">
        <v>1372761321</v>
      </c>
    </row>
    <row r="720" spans="1:3">
      <c r="A720" s="1080" t="s">
        <v>2761</v>
      </c>
      <c r="B720" s="2213">
        <v>145807128</v>
      </c>
      <c r="C720" s="2213">
        <v>145807128</v>
      </c>
    </row>
    <row r="721" spans="1:3">
      <c r="A721" s="1080" t="s">
        <v>20</v>
      </c>
      <c r="B721" s="2213">
        <v>94839655</v>
      </c>
      <c r="C721" s="2213">
        <v>94839655</v>
      </c>
    </row>
    <row r="722" spans="1:3">
      <c r="A722" s="1080" t="s">
        <v>804</v>
      </c>
      <c r="B722" s="2213">
        <v>244786437</v>
      </c>
      <c r="C722" s="2213">
        <v>244786437</v>
      </c>
    </row>
    <row r="723" spans="1:3">
      <c r="A723" s="1080" t="s">
        <v>21</v>
      </c>
      <c r="B723" s="2213">
        <v>411088277</v>
      </c>
      <c r="C723" s="2213">
        <v>411088277</v>
      </c>
    </row>
    <row r="724" spans="1:3">
      <c r="A724" s="1080" t="s">
        <v>2383</v>
      </c>
      <c r="B724" s="2213">
        <v>105376630</v>
      </c>
      <c r="C724" s="2213">
        <v>105376630</v>
      </c>
    </row>
    <row r="725" spans="1:3">
      <c r="A725" s="1080" t="s">
        <v>22</v>
      </c>
      <c r="B725" s="2213">
        <v>234677298</v>
      </c>
      <c r="C725" s="2213">
        <v>234677298</v>
      </c>
    </row>
    <row r="726" spans="1:3">
      <c r="A726" s="1080" t="s">
        <v>1159</v>
      </c>
      <c r="B726" s="2213">
        <v>268134820</v>
      </c>
      <c r="C726" s="2213">
        <v>268134820</v>
      </c>
    </row>
    <row r="727" spans="1:3">
      <c r="A727" s="1080" t="s">
        <v>2268</v>
      </c>
      <c r="B727" s="2213">
        <v>554372105</v>
      </c>
      <c r="C727" s="2213">
        <v>554372105</v>
      </c>
    </row>
    <row r="728" spans="1:3">
      <c r="A728" s="1080" t="s">
        <v>1736</v>
      </c>
      <c r="B728" s="2213">
        <v>139598981</v>
      </c>
      <c r="C728" s="2213">
        <v>416459521</v>
      </c>
    </row>
    <row r="729" spans="1:3">
      <c r="A729" s="1080" t="s">
        <v>2145</v>
      </c>
      <c r="B729" s="2213">
        <v>704274013</v>
      </c>
      <c r="C729" s="2213">
        <v>736499013</v>
      </c>
    </row>
    <row r="730" spans="1:3">
      <c r="A730" s="1080" t="s">
        <v>2637</v>
      </c>
      <c r="B730" s="2213">
        <v>319298314</v>
      </c>
      <c r="C730" s="2213">
        <v>1008832511</v>
      </c>
    </row>
    <row r="731" spans="1:3">
      <c r="A731" s="1080" t="s">
        <v>464</v>
      </c>
      <c r="B731" s="2213">
        <v>220005707</v>
      </c>
      <c r="C731" s="2213">
        <v>511275977</v>
      </c>
    </row>
    <row r="732" spans="1:3">
      <c r="A732" s="1080" t="s">
        <v>2858</v>
      </c>
      <c r="B732" s="2213">
        <v>131730702</v>
      </c>
      <c r="C732" s="2213">
        <v>131730702</v>
      </c>
    </row>
    <row r="733" spans="1:3">
      <c r="A733" s="1080" t="s">
        <v>1337</v>
      </c>
      <c r="B733" s="2213">
        <v>488449726</v>
      </c>
      <c r="C733" s="2213">
        <v>488449726</v>
      </c>
    </row>
    <row r="734" spans="1:3">
      <c r="A734" s="1080" t="s">
        <v>1338</v>
      </c>
      <c r="B734" s="2213">
        <v>1345745043</v>
      </c>
      <c r="C734" s="2213">
        <v>1345745043</v>
      </c>
    </row>
    <row r="735" spans="1:3">
      <c r="A735" s="1080" t="s">
        <v>2753</v>
      </c>
      <c r="B735" s="2213">
        <v>13106558846</v>
      </c>
      <c r="C735" s="2213">
        <v>13106558846</v>
      </c>
    </row>
    <row r="736" spans="1:3">
      <c r="A736" s="1080" t="s">
        <v>619</v>
      </c>
      <c r="B736" s="2213">
        <v>111005400</v>
      </c>
      <c r="C736" s="2213">
        <v>111005400</v>
      </c>
    </row>
    <row r="737" spans="1:3">
      <c r="A737" s="1080" t="s">
        <v>632</v>
      </c>
      <c r="B737" s="2213">
        <v>274364308</v>
      </c>
      <c r="C737" s="2213">
        <v>274364308</v>
      </c>
    </row>
    <row r="738" spans="1:3">
      <c r="A738" s="1080" t="s">
        <v>633</v>
      </c>
      <c r="B738" s="2213">
        <v>1935348405</v>
      </c>
      <c r="C738" s="2213">
        <v>1935348405</v>
      </c>
    </row>
    <row r="739" spans="1:3">
      <c r="A739" s="1080" t="s">
        <v>191</v>
      </c>
      <c r="B739" s="2213">
        <v>488536296</v>
      </c>
      <c r="C739" s="2213">
        <v>488536296</v>
      </c>
    </row>
    <row r="740" spans="1:3">
      <c r="A740" s="1080" t="s">
        <v>869</v>
      </c>
      <c r="B740" s="2213">
        <v>2209872839</v>
      </c>
      <c r="C740" s="2213">
        <v>2209872839</v>
      </c>
    </row>
    <row r="741" spans="1:3">
      <c r="A741" s="1080" t="s">
        <v>1087</v>
      </c>
      <c r="B741" s="2213">
        <v>258811756</v>
      </c>
      <c r="C741" s="2213">
        <v>258811756</v>
      </c>
    </row>
    <row r="742" spans="1:3">
      <c r="A742" s="1080" t="s">
        <v>2452</v>
      </c>
      <c r="B742" s="2213">
        <v>2492896876</v>
      </c>
      <c r="C742" s="2213">
        <v>2492896876</v>
      </c>
    </row>
    <row r="743" spans="1:3">
      <c r="A743" s="1080" t="s">
        <v>2453</v>
      </c>
      <c r="B743" s="2213">
        <v>694239573</v>
      </c>
      <c r="C743" s="2213">
        <v>694239573</v>
      </c>
    </row>
    <row r="744" spans="1:3">
      <c r="A744" s="1080" t="s">
        <v>237</v>
      </c>
      <c r="B744" s="2213">
        <v>1689671612</v>
      </c>
      <c r="C744" s="2213">
        <v>1689671612</v>
      </c>
    </row>
    <row r="745" spans="1:3">
      <c r="A745" s="1080" t="s">
        <v>1097</v>
      </c>
      <c r="B745" s="2213">
        <v>220387873</v>
      </c>
      <c r="C745" s="2213">
        <v>450573183</v>
      </c>
    </row>
    <row r="746" spans="1:3">
      <c r="A746" s="1080" t="s">
        <v>1098</v>
      </c>
      <c r="B746" s="2213">
        <v>69541996</v>
      </c>
      <c r="C746" s="2213">
        <v>69541996</v>
      </c>
    </row>
    <row r="747" spans="1:3">
      <c r="A747" s="1080" t="s">
        <v>1099</v>
      </c>
      <c r="B747" s="2213">
        <v>79234253</v>
      </c>
      <c r="C747" s="2213">
        <v>249662683</v>
      </c>
    </row>
    <row r="748" spans="1:3">
      <c r="A748" s="1080" t="s">
        <v>2225</v>
      </c>
      <c r="B748" s="2213">
        <v>900555037</v>
      </c>
      <c r="C748" s="2213">
        <v>900555037</v>
      </c>
    </row>
    <row r="749" spans="1:3">
      <c r="A749" s="1080" t="s">
        <v>1100</v>
      </c>
      <c r="B749" s="2213">
        <v>450540960</v>
      </c>
      <c r="C749" s="2213">
        <v>450540960</v>
      </c>
    </row>
    <row r="750" spans="1:3">
      <c r="A750" s="1080" t="s">
        <v>1101</v>
      </c>
      <c r="B750" s="2213">
        <v>1742327800</v>
      </c>
      <c r="C750" s="2213">
        <v>1742327800</v>
      </c>
    </row>
    <row r="751" spans="1:3">
      <c r="A751" s="1080" t="s">
        <v>1655</v>
      </c>
      <c r="B751" s="2213">
        <v>1018367778</v>
      </c>
      <c r="C751" s="2213">
        <v>1018367778</v>
      </c>
    </row>
    <row r="752" spans="1:3">
      <c r="A752" s="1080" t="s">
        <v>1248</v>
      </c>
      <c r="B752" s="2213">
        <v>917305105</v>
      </c>
      <c r="C752" s="2213">
        <v>917305105</v>
      </c>
    </row>
    <row r="753" spans="1:3">
      <c r="A753" s="1080" t="s">
        <v>1249</v>
      </c>
      <c r="B753" s="2213">
        <v>153855879</v>
      </c>
      <c r="C753" s="2213">
        <v>153855879</v>
      </c>
    </row>
    <row r="754" spans="1:3">
      <c r="A754" s="1080" t="s">
        <v>1250</v>
      </c>
      <c r="B754" s="2213">
        <v>951740930</v>
      </c>
      <c r="C754" s="2213">
        <v>951740930</v>
      </c>
    </row>
    <row r="755" spans="1:3">
      <c r="A755" s="1080" t="s">
        <v>2902</v>
      </c>
      <c r="B755" s="2213">
        <v>741356293</v>
      </c>
      <c r="C755" s="2213">
        <v>741356293</v>
      </c>
    </row>
    <row r="756" spans="1:3">
      <c r="A756" s="1080" t="s">
        <v>1529</v>
      </c>
      <c r="B756" s="2213">
        <v>268349150</v>
      </c>
      <c r="C756" s="2213">
        <v>268349150</v>
      </c>
    </row>
    <row r="757" spans="1:3">
      <c r="A757" s="1080" t="s">
        <v>1530</v>
      </c>
      <c r="B757" s="2213">
        <v>64132467</v>
      </c>
      <c r="C757" s="2213">
        <v>64132467</v>
      </c>
    </row>
    <row r="758" spans="1:3">
      <c r="A758" s="1080" t="s">
        <v>1531</v>
      </c>
      <c r="B758" s="2213">
        <v>512658757</v>
      </c>
      <c r="C758" s="2213">
        <v>512658757</v>
      </c>
    </row>
    <row r="759" spans="1:3">
      <c r="A759" s="1080" t="s">
        <v>1532</v>
      </c>
      <c r="B759" s="2213">
        <v>469655821</v>
      </c>
      <c r="C759" s="2213">
        <v>469655821</v>
      </c>
    </row>
    <row r="760" spans="1:3">
      <c r="A760" s="1080" t="s">
        <v>1533</v>
      </c>
      <c r="B760" s="2213">
        <v>3411844952</v>
      </c>
      <c r="C760" s="2213">
        <v>3411844952</v>
      </c>
    </row>
    <row r="761" spans="1:3">
      <c r="A761" s="1080" t="s">
        <v>2974</v>
      </c>
      <c r="B761" s="2213">
        <v>268213073</v>
      </c>
      <c r="C761" s="2213">
        <v>268213073</v>
      </c>
    </row>
    <row r="762" spans="1:3">
      <c r="A762" s="1080" t="s">
        <v>805</v>
      </c>
      <c r="B762" s="2213">
        <v>170644581</v>
      </c>
      <c r="C762" s="2213">
        <v>170644581</v>
      </c>
    </row>
    <row r="763" spans="1:3">
      <c r="A763" s="1080" t="s">
        <v>1703</v>
      </c>
      <c r="B763" s="2213">
        <v>873515411</v>
      </c>
      <c r="C763" s="2213">
        <v>873515411</v>
      </c>
    </row>
    <row r="764" spans="1:3">
      <c r="A764" s="1080" t="s">
        <v>1656</v>
      </c>
      <c r="B764" s="2213">
        <v>3482307924</v>
      </c>
      <c r="C764" s="2213">
        <v>3482307924</v>
      </c>
    </row>
    <row r="765" spans="1:3">
      <c r="A765" s="1080" t="s">
        <v>2901</v>
      </c>
      <c r="B765" s="2213">
        <v>280527658</v>
      </c>
      <c r="C765" s="2213">
        <v>280527658</v>
      </c>
    </row>
    <row r="766" spans="1:3">
      <c r="A766" s="1080" t="s">
        <v>1563</v>
      </c>
      <c r="B766" s="2213">
        <v>2548747616</v>
      </c>
      <c r="C766" s="2213">
        <v>2548747616</v>
      </c>
    </row>
    <row r="767" spans="1:3">
      <c r="A767" s="1080" t="s">
        <v>236</v>
      </c>
      <c r="B767" s="2213">
        <v>257522673</v>
      </c>
      <c r="C767" s="2213">
        <v>257522673</v>
      </c>
    </row>
    <row r="768" spans="1:3">
      <c r="A768" s="1080" t="s">
        <v>2144</v>
      </c>
      <c r="B768" s="2213">
        <v>452090716</v>
      </c>
      <c r="C768" s="2213">
        <v>452090716</v>
      </c>
    </row>
    <row r="769" spans="1:3">
      <c r="A769" s="1080" t="s">
        <v>1834</v>
      </c>
      <c r="B769" s="2213">
        <v>161196490</v>
      </c>
      <c r="C769" s="2213">
        <v>161196490</v>
      </c>
    </row>
    <row r="770" spans="1:3">
      <c r="A770" s="1080" t="s">
        <v>1835</v>
      </c>
      <c r="B770" s="2213">
        <v>120354411</v>
      </c>
      <c r="C770" s="2213">
        <v>120354411</v>
      </c>
    </row>
    <row r="771" spans="1:3">
      <c r="A771" s="1080" t="s">
        <v>1836</v>
      </c>
      <c r="B771" s="2213">
        <v>149048671</v>
      </c>
      <c r="C771" s="2213">
        <v>149048671</v>
      </c>
    </row>
    <row r="772" spans="1:3">
      <c r="A772" s="1080" t="s">
        <v>1837</v>
      </c>
      <c r="B772" s="2213">
        <v>329702257</v>
      </c>
      <c r="C772" s="2213">
        <v>329702257</v>
      </c>
    </row>
    <row r="773" spans="1:3">
      <c r="A773" s="1080" t="s">
        <v>1838</v>
      </c>
      <c r="B773" s="2213">
        <v>61731161</v>
      </c>
      <c r="C773" s="2213">
        <v>61731161</v>
      </c>
    </row>
    <row r="774" spans="1:3">
      <c r="A774" s="1080" t="s">
        <v>2140</v>
      </c>
      <c r="B774" s="2213">
        <v>230985475</v>
      </c>
      <c r="C774" s="2213">
        <v>399910475</v>
      </c>
    </row>
    <row r="775" spans="1:3">
      <c r="A775" s="1080" t="s">
        <v>2625</v>
      </c>
      <c r="B775" s="2213">
        <v>1127527443</v>
      </c>
      <c r="C775" s="2213">
        <v>1424819003</v>
      </c>
    </row>
    <row r="776" spans="1:3">
      <c r="A776" s="1080" t="s">
        <v>2614</v>
      </c>
      <c r="B776" s="2213">
        <v>1992742173</v>
      </c>
      <c r="C776" s="2213">
        <v>2120418543</v>
      </c>
    </row>
    <row r="777" spans="1:3">
      <c r="A777" s="1080" t="s">
        <v>1477</v>
      </c>
      <c r="B777" s="2213">
        <v>314558910</v>
      </c>
      <c r="C777" s="2213">
        <v>314558910</v>
      </c>
    </row>
    <row r="778" spans="1:3">
      <c r="A778" s="1080" t="s">
        <v>790</v>
      </c>
      <c r="B778" s="2213">
        <v>107347326</v>
      </c>
      <c r="C778" s="2213">
        <v>107347326</v>
      </c>
    </row>
    <row r="779" spans="1:3">
      <c r="A779" s="1080" t="s">
        <v>2917</v>
      </c>
      <c r="B779" s="2213">
        <v>300985822</v>
      </c>
      <c r="C779" s="2213">
        <v>300985822</v>
      </c>
    </row>
    <row r="780" spans="1:3">
      <c r="A780" s="1080" t="s">
        <v>791</v>
      </c>
      <c r="B780" s="2213">
        <v>128265888</v>
      </c>
      <c r="C780" s="2213">
        <v>128265888</v>
      </c>
    </row>
    <row r="781" spans="1:3">
      <c r="A781" s="1080" t="s">
        <v>1992</v>
      </c>
      <c r="B781" s="2213">
        <v>1342022368</v>
      </c>
      <c r="C781" s="2213">
        <v>1342022368</v>
      </c>
    </row>
    <row r="782" spans="1:3">
      <c r="A782" s="1080" t="s">
        <v>1380</v>
      </c>
      <c r="B782" s="2213">
        <v>428946249</v>
      </c>
      <c r="C782" s="2213">
        <v>428946249</v>
      </c>
    </row>
    <row r="783" spans="1:3">
      <c r="A783" s="1080" t="s">
        <v>1839</v>
      </c>
      <c r="B783" s="2213">
        <v>7622446010</v>
      </c>
      <c r="C783" s="2213">
        <v>7622446010</v>
      </c>
    </row>
    <row r="784" spans="1:3">
      <c r="A784" s="1080" t="s">
        <v>227</v>
      </c>
      <c r="B784" s="2213">
        <v>247395851</v>
      </c>
      <c r="C784" s="2213">
        <v>247395851</v>
      </c>
    </row>
    <row r="785" spans="1:3">
      <c r="A785" s="1080" t="s">
        <v>625</v>
      </c>
      <c r="B785" s="2213">
        <v>971893491</v>
      </c>
      <c r="C785" s="2213">
        <v>971893491</v>
      </c>
    </row>
    <row r="786" spans="1:3">
      <c r="A786" s="1080" t="s">
        <v>2496</v>
      </c>
      <c r="B786" s="2213">
        <v>1108651181</v>
      </c>
      <c r="C786" s="2213">
        <v>1108651181</v>
      </c>
    </row>
    <row r="787" spans="1:3">
      <c r="A787" s="1080" t="s">
        <v>1657</v>
      </c>
      <c r="B787" s="2213">
        <v>235202934</v>
      </c>
      <c r="C787" s="2213">
        <v>235202934</v>
      </c>
    </row>
    <row r="788" spans="1:3">
      <c r="A788" s="1080" t="s">
        <v>245</v>
      </c>
      <c r="B788" s="2213">
        <v>174466036</v>
      </c>
      <c r="C788" s="2213">
        <v>174466036</v>
      </c>
    </row>
    <row r="789" spans="1:3">
      <c r="A789" s="1080" t="s">
        <v>1464</v>
      </c>
      <c r="B789" s="2213">
        <v>470362286</v>
      </c>
      <c r="C789" s="2213">
        <v>470362286</v>
      </c>
    </row>
    <row r="790" spans="1:3">
      <c r="A790" s="1080" t="s">
        <v>1465</v>
      </c>
      <c r="B790" s="2213">
        <v>3596185654</v>
      </c>
      <c r="C790" s="2213">
        <v>3596185654</v>
      </c>
    </row>
    <row r="791" spans="1:3">
      <c r="A791" s="1080" t="s">
        <v>2883</v>
      </c>
      <c r="B791" s="2213">
        <v>2993038404</v>
      </c>
      <c r="C791" s="2213">
        <v>2993038404</v>
      </c>
    </row>
    <row r="792" spans="1:3">
      <c r="A792" s="1080" t="s">
        <v>896</v>
      </c>
      <c r="B792" s="2213">
        <v>272823026</v>
      </c>
      <c r="C792" s="2213">
        <v>272823026</v>
      </c>
    </row>
    <row r="793" spans="1:3">
      <c r="A793" s="1080" t="s">
        <v>135</v>
      </c>
      <c r="B793" s="2213">
        <v>43679861</v>
      </c>
      <c r="C793" s="2213">
        <v>43679861</v>
      </c>
    </row>
    <row r="794" spans="1:3">
      <c r="A794" s="1080" t="s">
        <v>3051</v>
      </c>
      <c r="B794" s="2213">
        <v>218555673</v>
      </c>
      <c r="C794" s="2213">
        <v>218555673</v>
      </c>
    </row>
    <row r="795" spans="1:3">
      <c r="A795" s="1080" t="s">
        <v>2597</v>
      </c>
      <c r="B795" s="2213">
        <v>201062272</v>
      </c>
      <c r="C795" s="2213">
        <v>201062272</v>
      </c>
    </row>
    <row r="796" spans="1:3">
      <c r="A796" s="1080" t="s">
        <v>411</v>
      </c>
      <c r="B796" s="2213">
        <v>57079017</v>
      </c>
      <c r="C796" s="2213">
        <v>57079017</v>
      </c>
    </row>
    <row r="797" spans="1:3">
      <c r="A797" s="1080" t="s">
        <v>1113</v>
      </c>
      <c r="B797" s="2213">
        <v>3614777778</v>
      </c>
      <c r="C797" s="2213">
        <v>3785530658</v>
      </c>
    </row>
    <row r="798" spans="1:3">
      <c r="A798" s="1080" t="s">
        <v>1932</v>
      </c>
      <c r="B798" s="2213">
        <v>45196666</v>
      </c>
      <c r="C798" s="2213">
        <v>45196666</v>
      </c>
    </row>
    <row r="799" spans="1:3">
      <c r="A799" s="1080" t="s">
        <v>793</v>
      </c>
      <c r="B799" s="2213">
        <v>459024550</v>
      </c>
      <c r="C799" s="2213">
        <v>459024550</v>
      </c>
    </row>
    <row r="800" spans="1:3">
      <c r="A800" s="1080" t="s">
        <v>794</v>
      </c>
      <c r="B800" s="2213">
        <v>319731501</v>
      </c>
      <c r="C800" s="2213">
        <v>319731501</v>
      </c>
    </row>
    <row r="801" spans="1:3">
      <c r="A801" s="1080" t="s">
        <v>795</v>
      </c>
      <c r="B801" s="2213">
        <v>619347371</v>
      </c>
      <c r="C801" s="2213">
        <v>619347371</v>
      </c>
    </row>
    <row r="802" spans="1:3">
      <c r="A802" s="1080" t="s">
        <v>1644</v>
      </c>
      <c r="B802" s="2213">
        <v>924384563</v>
      </c>
      <c r="C802" s="2213">
        <v>924384563</v>
      </c>
    </row>
    <row r="803" spans="1:3">
      <c r="A803" s="1080" t="s">
        <v>1645</v>
      </c>
      <c r="B803" s="2213">
        <v>347509402</v>
      </c>
      <c r="C803" s="2213">
        <v>347509402</v>
      </c>
    </row>
    <row r="804" spans="1:3">
      <c r="A804" s="1080" t="s">
        <v>1646</v>
      </c>
      <c r="B804" s="2213">
        <v>101251840</v>
      </c>
      <c r="C804" s="2213">
        <v>101251840</v>
      </c>
    </row>
    <row r="805" spans="1:3">
      <c r="A805" s="1080" t="s">
        <v>1647</v>
      </c>
      <c r="B805" s="2213">
        <v>2053007054</v>
      </c>
      <c r="C805" s="2213">
        <v>2053007054</v>
      </c>
    </row>
    <row r="806" spans="1:3">
      <c r="A806" s="1080" t="s">
        <v>1648</v>
      </c>
      <c r="B806" s="2213">
        <v>421789644</v>
      </c>
      <c r="C806" s="2213">
        <v>421789644</v>
      </c>
    </row>
    <row r="807" spans="1:3">
      <c r="A807" s="1080" t="s">
        <v>1649</v>
      </c>
      <c r="B807" s="2213">
        <v>112926947</v>
      </c>
      <c r="C807" s="2213">
        <v>112926947</v>
      </c>
    </row>
    <row r="808" spans="1:3">
      <c r="A808" s="1080" t="s">
        <v>1885</v>
      </c>
      <c r="B808" s="2213">
        <v>6570930162</v>
      </c>
      <c r="C808" s="2213">
        <v>6570930162</v>
      </c>
    </row>
    <row r="809" spans="1:3">
      <c r="A809" s="1080" t="s">
        <v>2056</v>
      </c>
      <c r="B809" s="2213">
        <v>1135153518</v>
      </c>
      <c r="C809" s="2213">
        <v>1135153518</v>
      </c>
    </row>
    <row r="810" spans="1:3">
      <c r="A810" s="1080" t="s">
        <v>1886</v>
      </c>
      <c r="B810" s="2213">
        <v>267397943</v>
      </c>
      <c r="C810" s="2213">
        <v>267397943</v>
      </c>
    </row>
    <row r="811" spans="1:3">
      <c r="A811" s="1080" t="s">
        <v>412</v>
      </c>
      <c r="B811" s="2213">
        <v>71488312</v>
      </c>
      <c r="C811" s="2213">
        <v>71488312</v>
      </c>
    </row>
    <row r="812" spans="1:3">
      <c r="A812" s="1080" t="s">
        <v>1350</v>
      </c>
      <c r="B812" s="2213">
        <v>221072686</v>
      </c>
      <c r="C812" s="2213">
        <v>221072686</v>
      </c>
    </row>
    <row r="813" spans="1:3">
      <c r="A813" s="1080" t="s">
        <v>413</v>
      </c>
      <c r="B813" s="2213">
        <v>5286653</v>
      </c>
      <c r="C813" s="2213">
        <v>5286653</v>
      </c>
    </row>
    <row r="814" spans="1:3">
      <c r="A814" s="1080" t="s">
        <v>1887</v>
      </c>
      <c r="B814" s="2213">
        <v>1687796485</v>
      </c>
      <c r="C814" s="2213">
        <v>1687796485</v>
      </c>
    </row>
    <row r="815" spans="1:3">
      <c r="A815" s="1080" t="s">
        <v>1888</v>
      </c>
      <c r="B815" s="2213">
        <v>89409201</v>
      </c>
      <c r="C815" s="2213">
        <v>89409201</v>
      </c>
    </row>
    <row r="816" spans="1:3">
      <c r="A816" s="1080" t="s">
        <v>1889</v>
      </c>
      <c r="B816" s="2213">
        <v>46447045</v>
      </c>
      <c r="C816" s="2213">
        <v>46447045</v>
      </c>
    </row>
    <row r="817" spans="1:3">
      <c r="A817" s="1080" t="s">
        <v>2830</v>
      </c>
      <c r="B817" s="2213">
        <v>56786236</v>
      </c>
      <c r="C817" s="2213">
        <v>56786236</v>
      </c>
    </row>
    <row r="818" spans="1:3">
      <c r="A818" s="1080" t="s">
        <v>2831</v>
      </c>
      <c r="B818" s="2213">
        <v>71682337</v>
      </c>
      <c r="C818" s="2213">
        <v>71682337</v>
      </c>
    </row>
    <row r="819" spans="1:3">
      <c r="A819" s="1080" t="s">
        <v>1890</v>
      </c>
      <c r="B819" s="2213">
        <v>1240373669</v>
      </c>
      <c r="C819" s="2213">
        <v>1240373669</v>
      </c>
    </row>
    <row r="820" spans="1:3">
      <c r="A820" s="1080" t="s">
        <v>218</v>
      </c>
      <c r="B820" s="2213">
        <v>112802118</v>
      </c>
      <c r="C820" s="2213">
        <v>112802118</v>
      </c>
    </row>
    <row r="821" spans="1:3">
      <c r="A821" s="1080" t="s">
        <v>1891</v>
      </c>
      <c r="B821" s="2213">
        <v>530750132</v>
      </c>
      <c r="C821" s="2213">
        <v>530750132</v>
      </c>
    </row>
    <row r="822" spans="1:3">
      <c r="A822" s="1080" t="s">
        <v>1575</v>
      </c>
      <c r="B822" s="2213">
        <v>456227616</v>
      </c>
      <c r="C822" s="2213">
        <v>456227616</v>
      </c>
    </row>
    <row r="823" spans="1:3">
      <c r="A823" s="1080" t="s">
        <v>1576</v>
      </c>
      <c r="B823" s="2213">
        <v>95298615</v>
      </c>
      <c r="C823" s="2213">
        <v>95298615</v>
      </c>
    </row>
    <row r="824" spans="1:3">
      <c r="A824" s="1080" t="s">
        <v>1577</v>
      </c>
      <c r="B824" s="2213">
        <v>451180871</v>
      </c>
      <c r="C824" s="2213">
        <v>451180871</v>
      </c>
    </row>
    <row r="825" spans="1:3">
      <c r="A825" s="1080" t="s">
        <v>1832</v>
      </c>
      <c r="B825" s="2213">
        <v>170631011</v>
      </c>
      <c r="C825" s="2213">
        <v>170631011</v>
      </c>
    </row>
    <row r="826" spans="1:3">
      <c r="A826" s="1080" t="s">
        <v>1833</v>
      </c>
      <c r="B826" s="2213">
        <v>963369718</v>
      </c>
      <c r="C826" s="2213">
        <v>963369718</v>
      </c>
    </row>
    <row r="827" spans="1:3">
      <c r="A827" s="1080" t="s">
        <v>2790</v>
      </c>
      <c r="B827" s="2213">
        <v>306664626</v>
      </c>
      <c r="C827" s="2213">
        <v>306664626</v>
      </c>
    </row>
    <row r="828" spans="1:3">
      <c r="A828" s="1080" t="s">
        <v>1382</v>
      </c>
      <c r="B828" s="2213">
        <v>615463918</v>
      </c>
      <c r="C828" s="2213">
        <v>615463918</v>
      </c>
    </row>
    <row r="829" spans="1:3">
      <c r="A829" s="1080" t="s">
        <v>2791</v>
      </c>
      <c r="B829" s="2213">
        <v>1315286130</v>
      </c>
      <c r="C829" s="2213">
        <v>1388131400</v>
      </c>
    </row>
    <row r="830" spans="1:3">
      <c r="A830" s="1080" t="s">
        <v>1639</v>
      </c>
      <c r="B830" s="2213">
        <v>1499772868</v>
      </c>
      <c r="C830" s="2213">
        <v>1499772868</v>
      </c>
    </row>
    <row r="831" spans="1:3">
      <c r="A831" s="1080" t="s">
        <v>2892</v>
      </c>
      <c r="B831" s="2213">
        <v>350050896</v>
      </c>
      <c r="C831" s="2213">
        <v>350050896</v>
      </c>
    </row>
    <row r="832" spans="1:3">
      <c r="A832" s="1080" t="s">
        <v>1591</v>
      </c>
      <c r="B832" s="2213">
        <v>303600512</v>
      </c>
      <c r="C832" s="2213">
        <v>348018512</v>
      </c>
    </row>
    <row r="833" spans="1:3">
      <c r="A833" s="1080" t="s">
        <v>1493</v>
      </c>
      <c r="B833" s="2213">
        <v>382856498</v>
      </c>
      <c r="C833" s="2213">
        <v>439832498</v>
      </c>
    </row>
    <row r="834" spans="1:3">
      <c r="A834" s="1080" t="s">
        <v>219</v>
      </c>
      <c r="B834" s="2213">
        <v>287233313</v>
      </c>
      <c r="C834" s="2213">
        <v>497878013</v>
      </c>
    </row>
    <row r="835" spans="1:3">
      <c r="A835" s="1080" t="s">
        <v>531</v>
      </c>
      <c r="B835" s="2213">
        <v>183808836</v>
      </c>
      <c r="C835" s="2213">
        <v>183808836</v>
      </c>
    </row>
    <row r="836" spans="1:3">
      <c r="A836" s="1080" t="s">
        <v>1640</v>
      </c>
      <c r="B836" s="2213">
        <v>56674326</v>
      </c>
      <c r="C836" s="2213">
        <v>56674326</v>
      </c>
    </row>
    <row r="837" spans="1:3">
      <c r="A837" s="1080" t="s">
        <v>1641</v>
      </c>
      <c r="B837" s="2213">
        <v>43985050</v>
      </c>
      <c r="C837" s="2213">
        <v>43985050</v>
      </c>
    </row>
    <row r="838" spans="1:3">
      <c r="A838" s="1080" t="s">
        <v>1557</v>
      </c>
      <c r="B838" s="2213">
        <v>402005370</v>
      </c>
      <c r="C838" s="2213">
        <v>410616200</v>
      </c>
    </row>
    <row r="839" spans="1:3">
      <c r="A839" s="1080" t="s">
        <v>1558</v>
      </c>
      <c r="B839" s="2213">
        <v>138554484</v>
      </c>
      <c r="C839" s="2213">
        <v>404139294</v>
      </c>
    </row>
    <row r="840" spans="1:3">
      <c r="A840" s="1080" t="s">
        <v>1559</v>
      </c>
      <c r="B840" s="2213">
        <v>3316429935</v>
      </c>
      <c r="C840" s="2213">
        <v>3373327365</v>
      </c>
    </row>
    <row r="841" spans="1:3">
      <c r="A841" s="1080" t="s">
        <v>1662</v>
      </c>
      <c r="B841" s="2213">
        <v>255428029</v>
      </c>
      <c r="C841" s="2213">
        <v>255428029</v>
      </c>
    </row>
    <row r="842" spans="1:3">
      <c r="A842" s="1080" t="s">
        <v>1084</v>
      </c>
      <c r="B842" s="2213">
        <v>309217808</v>
      </c>
      <c r="C842" s="2213">
        <v>437766758</v>
      </c>
    </row>
    <row r="843" spans="1:3">
      <c r="A843" s="1080" t="s">
        <v>1085</v>
      </c>
      <c r="B843" s="2213">
        <v>78380815</v>
      </c>
      <c r="C843" s="2213">
        <v>78380815</v>
      </c>
    </row>
    <row r="844" spans="1:3">
      <c r="A844" s="1080" t="s">
        <v>1086</v>
      </c>
      <c r="B844" s="2213">
        <v>602466814</v>
      </c>
      <c r="C844" s="2213">
        <v>602466814</v>
      </c>
    </row>
    <row r="845" spans="1:3">
      <c r="A845" s="1080" t="s">
        <v>1245</v>
      </c>
      <c r="B845" s="2213">
        <v>188821665</v>
      </c>
      <c r="C845" s="2213">
        <v>188821665</v>
      </c>
    </row>
    <row r="846" spans="1:3">
      <c r="A846" s="1080" t="s">
        <v>220</v>
      </c>
      <c r="B846" s="2213">
        <v>251113412</v>
      </c>
      <c r="C846" s="2213">
        <v>251113412</v>
      </c>
    </row>
    <row r="847" spans="1:3">
      <c r="A847" s="1080" t="s">
        <v>1246</v>
      </c>
      <c r="B847" s="2213">
        <v>101311271</v>
      </c>
      <c r="C847" s="2213">
        <v>101311271</v>
      </c>
    </row>
    <row r="848" spans="1:3">
      <c r="A848" s="1080" t="s">
        <v>1247</v>
      </c>
      <c r="B848" s="2213">
        <v>133830129</v>
      </c>
      <c r="C848" s="2213">
        <v>133830129</v>
      </c>
    </row>
    <row r="849" spans="1:3">
      <c r="A849" s="1080" t="s">
        <v>1407</v>
      </c>
      <c r="B849" s="2213">
        <v>52925859</v>
      </c>
      <c r="C849" s="2213">
        <v>52925859</v>
      </c>
    </row>
    <row r="850" spans="1:3">
      <c r="A850" s="1080" t="s">
        <v>1408</v>
      </c>
      <c r="B850" s="2213">
        <v>127397983</v>
      </c>
      <c r="C850" s="2213">
        <v>127397983</v>
      </c>
    </row>
    <row r="851" spans="1:3">
      <c r="A851" s="1080" t="s">
        <v>2040</v>
      </c>
      <c r="B851" s="2213">
        <v>471749289</v>
      </c>
      <c r="C851" s="2213">
        <v>471749289</v>
      </c>
    </row>
    <row r="852" spans="1:3">
      <c r="A852" s="1080" t="s">
        <v>304</v>
      </c>
      <c r="B852" s="2213">
        <v>321791222</v>
      </c>
      <c r="C852" s="2213">
        <v>321791222</v>
      </c>
    </row>
    <row r="853" spans="1:3">
      <c r="A853" s="1080" t="s">
        <v>1943</v>
      </c>
      <c r="B853" s="2213">
        <v>823014148</v>
      </c>
      <c r="C853" s="2213">
        <v>823014148</v>
      </c>
    </row>
    <row r="854" spans="1:3">
      <c r="A854" s="1080" t="s">
        <v>1944</v>
      </c>
      <c r="B854" s="2213">
        <v>1158474396</v>
      </c>
      <c r="C854" s="2213">
        <v>1158474396</v>
      </c>
    </row>
    <row r="855" spans="1:3">
      <c r="A855" s="1080" t="s">
        <v>1136</v>
      </c>
      <c r="B855" s="2213">
        <v>283099906</v>
      </c>
      <c r="C855" s="2213">
        <v>283099906</v>
      </c>
    </row>
    <row r="856" spans="1:3">
      <c r="A856" s="1080" t="s">
        <v>217</v>
      </c>
      <c r="B856" s="2213">
        <v>7526764967</v>
      </c>
      <c r="C856" s="2213">
        <v>7526764967</v>
      </c>
    </row>
    <row r="857" spans="1:3">
      <c r="A857" s="1080" t="s">
        <v>1348</v>
      </c>
      <c r="B857" s="2213">
        <v>1671410074</v>
      </c>
      <c r="C857" s="2213">
        <v>1671410074</v>
      </c>
    </row>
    <row r="858" spans="1:3">
      <c r="A858" s="1080" t="s">
        <v>1516</v>
      </c>
      <c r="B858" s="2213">
        <v>1100900506</v>
      </c>
      <c r="C858" s="2213">
        <v>1100900506</v>
      </c>
    </row>
    <row r="859" spans="1:3">
      <c r="A859" s="1080" t="s">
        <v>1517</v>
      </c>
      <c r="B859" s="2213">
        <v>402203687</v>
      </c>
      <c r="C859" s="2213">
        <v>402203687</v>
      </c>
    </row>
    <row r="860" spans="1:3">
      <c r="A860" s="1080" t="s">
        <v>1518</v>
      </c>
      <c r="B860" s="2213">
        <v>2700848349</v>
      </c>
      <c r="C860" s="2213">
        <v>2700848349</v>
      </c>
    </row>
    <row r="861" spans="1:3">
      <c r="A861" s="1080" t="s">
        <v>3050</v>
      </c>
      <c r="B861" s="2213">
        <v>1180205702</v>
      </c>
      <c r="C861" s="2213">
        <v>1180205702</v>
      </c>
    </row>
    <row r="862" spans="1:3">
      <c r="A862" s="1080" t="s">
        <v>1945</v>
      </c>
      <c r="B862" s="2213">
        <v>183273741</v>
      </c>
      <c r="C862" s="2213">
        <v>183273741</v>
      </c>
    </row>
    <row r="863" spans="1:3">
      <c r="A863" s="1080" t="s">
        <v>221</v>
      </c>
      <c r="B863" s="2213">
        <v>524094793</v>
      </c>
      <c r="C863" s="2213">
        <v>524094793</v>
      </c>
    </row>
    <row r="864" spans="1:3">
      <c r="A864" s="1080" t="s">
        <v>1946</v>
      </c>
      <c r="B864" s="2213">
        <v>703056667</v>
      </c>
      <c r="C864" s="2213">
        <v>703056667</v>
      </c>
    </row>
    <row r="865" spans="1:3">
      <c r="A865" s="1080" t="s">
        <v>2979</v>
      </c>
      <c r="B865" s="2213">
        <v>521612185</v>
      </c>
      <c r="C865" s="2213">
        <v>1199590265</v>
      </c>
    </row>
    <row r="866" spans="1:3">
      <c r="A866" s="1080" t="s">
        <v>849</v>
      </c>
      <c r="B866" s="2213">
        <v>332301299</v>
      </c>
      <c r="C866" s="2213">
        <v>332301299</v>
      </c>
    </row>
    <row r="867" spans="1:3">
      <c r="A867" s="1080" t="s">
        <v>850</v>
      </c>
      <c r="B867" s="2213">
        <v>614678788</v>
      </c>
      <c r="C867" s="2213">
        <v>614678788</v>
      </c>
    </row>
    <row r="868" spans="1:3">
      <c r="A868" s="1080" t="s">
        <v>906</v>
      </c>
      <c r="B868" s="2213">
        <v>71941509</v>
      </c>
      <c r="C868" s="2213">
        <v>71941509</v>
      </c>
    </row>
    <row r="869" spans="1:3">
      <c r="A869" s="1080" t="s">
        <v>617</v>
      </c>
      <c r="B869" s="2213">
        <v>145611783</v>
      </c>
      <c r="C869" s="2213">
        <v>145611783</v>
      </c>
    </row>
    <row r="870" spans="1:3">
      <c r="A870" s="1080" t="s">
        <v>618</v>
      </c>
      <c r="B870" s="2213">
        <v>95776311</v>
      </c>
      <c r="C870" s="2213">
        <v>95776311</v>
      </c>
    </row>
    <row r="871" spans="1:3">
      <c r="A871" s="1080" t="s">
        <v>2621</v>
      </c>
      <c r="B871" s="2213">
        <v>20467794920</v>
      </c>
      <c r="C871" s="2213">
        <v>20467794920</v>
      </c>
    </row>
    <row r="872" spans="1:3">
      <c r="A872" s="1080" t="s">
        <v>985</v>
      </c>
      <c r="B872" s="2213">
        <v>7312923551</v>
      </c>
      <c r="C872" s="2213">
        <v>7312923551</v>
      </c>
    </row>
    <row r="873" spans="1:3">
      <c r="A873" s="1080" t="s">
        <v>2111</v>
      </c>
      <c r="B873" s="2213">
        <v>1047598994</v>
      </c>
      <c r="C873" s="2213">
        <v>1047598994</v>
      </c>
    </row>
    <row r="874" spans="1:3">
      <c r="A874" s="1080" t="s">
        <v>2297</v>
      </c>
      <c r="B874" s="2213">
        <v>27052737400</v>
      </c>
      <c r="C874" s="2213">
        <v>27052737400</v>
      </c>
    </row>
    <row r="875" spans="1:3">
      <c r="A875" s="1080" t="s">
        <v>2497</v>
      </c>
      <c r="B875" s="2213">
        <v>10750855367</v>
      </c>
      <c r="C875" s="2213">
        <v>10750855367</v>
      </c>
    </row>
    <row r="876" spans="1:3">
      <c r="A876" s="1080" t="s">
        <v>57</v>
      </c>
      <c r="B876" s="2213">
        <v>12319945447</v>
      </c>
      <c r="C876" s="2213">
        <v>12319945447</v>
      </c>
    </row>
    <row r="877" spans="1:3">
      <c r="A877" s="1080" t="s">
        <v>379</v>
      </c>
      <c r="B877" s="2213">
        <v>9847636204</v>
      </c>
      <c r="C877" s="2213">
        <v>9847636204</v>
      </c>
    </row>
    <row r="878" spans="1:3">
      <c r="A878" s="1080" t="s">
        <v>1986</v>
      </c>
      <c r="B878" s="2213">
        <v>730596775</v>
      </c>
      <c r="C878" s="2213">
        <v>730596775</v>
      </c>
    </row>
    <row r="879" spans="1:3">
      <c r="A879" s="1080" t="s">
        <v>2759</v>
      </c>
      <c r="B879" s="2213">
        <v>4964793523</v>
      </c>
      <c r="C879" s="2213">
        <v>4964793523</v>
      </c>
    </row>
    <row r="880" spans="1:3">
      <c r="A880" s="1080" t="s">
        <v>59</v>
      </c>
      <c r="B880" s="2213">
        <v>1022509679</v>
      </c>
      <c r="C880" s="2213">
        <v>1022509679</v>
      </c>
    </row>
    <row r="881" spans="1:3">
      <c r="A881" s="1080" t="s">
        <v>1894</v>
      </c>
      <c r="B881" s="2213">
        <v>2201182836</v>
      </c>
      <c r="C881" s="2213">
        <v>2201182836</v>
      </c>
    </row>
    <row r="882" spans="1:3">
      <c r="A882" s="1080" t="s">
        <v>1280</v>
      </c>
      <c r="B882" s="2213">
        <v>9222907533</v>
      </c>
      <c r="C882" s="2213">
        <v>9222907533</v>
      </c>
    </row>
    <row r="883" spans="1:3">
      <c r="A883" s="1080" t="s">
        <v>2108</v>
      </c>
      <c r="B883" s="2213">
        <v>447775596</v>
      </c>
      <c r="C883" s="2213">
        <v>447775596</v>
      </c>
    </row>
    <row r="884" spans="1:3">
      <c r="A884" s="1080" t="s">
        <v>2542</v>
      </c>
      <c r="B884" s="2213">
        <v>6597383151</v>
      </c>
      <c r="C884" s="2213">
        <v>6597383151</v>
      </c>
    </row>
    <row r="885" spans="1:3">
      <c r="A885" s="1080" t="s">
        <v>2107</v>
      </c>
      <c r="B885" s="2213">
        <v>5972072267</v>
      </c>
      <c r="C885" s="2213">
        <v>5972072267</v>
      </c>
    </row>
    <row r="886" spans="1:3">
      <c r="A886" s="1080" t="s">
        <v>1347</v>
      </c>
      <c r="B886" s="2213">
        <v>1579913973</v>
      </c>
      <c r="C886" s="2213">
        <v>1579913973</v>
      </c>
    </row>
    <row r="887" spans="1:3">
      <c r="A887" s="1080" t="s">
        <v>2543</v>
      </c>
      <c r="B887" s="2213">
        <v>4000847920</v>
      </c>
      <c r="C887" s="2213">
        <v>4000847920</v>
      </c>
    </row>
    <row r="888" spans="1:3">
      <c r="A888" s="1080" t="s">
        <v>2544</v>
      </c>
      <c r="B888" s="2213">
        <v>386472565</v>
      </c>
      <c r="C888" s="2213">
        <v>386472565</v>
      </c>
    </row>
    <row r="889" spans="1:3">
      <c r="A889" s="1080" t="s">
        <v>3052</v>
      </c>
      <c r="B889" s="2213">
        <v>148009175</v>
      </c>
      <c r="C889" s="2213">
        <v>184500629</v>
      </c>
    </row>
    <row r="890" spans="1:3">
      <c r="A890" s="1080" t="s">
        <v>3053</v>
      </c>
      <c r="B890" s="2213">
        <v>405245446</v>
      </c>
      <c r="C890" s="2213">
        <v>486944266</v>
      </c>
    </row>
    <row r="891" spans="1:3">
      <c r="A891" s="1080" t="s">
        <v>3054</v>
      </c>
      <c r="B891" s="2213">
        <v>1516290565</v>
      </c>
      <c r="C891" s="2213">
        <v>1516290565</v>
      </c>
    </row>
    <row r="892" spans="1:3">
      <c r="A892" s="1080" t="s">
        <v>3055</v>
      </c>
      <c r="B892" s="2213">
        <v>368840960</v>
      </c>
      <c r="C892" s="2213">
        <v>368840960</v>
      </c>
    </row>
    <row r="893" spans="1:3">
      <c r="A893" s="1080" t="s">
        <v>1335</v>
      </c>
      <c r="B893" s="2213">
        <v>881211996</v>
      </c>
      <c r="C893" s="2213">
        <v>881211996</v>
      </c>
    </row>
    <row r="894" spans="1:3">
      <c r="A894" s="1080" t="s">
        <v>2106</v>
      </c>
      <c r="B894" s="2213">
        <v>67877380</v>
      </c>
      <c r="C894" s="2213">
        <v>67877380</v>
      </c>
    </row>
    <row r="895" spans="1:3">
      <c r="A895" s="1080" t="s">
        <v>1336</v>
      </c>
      <c r="B895" s="2213">
        <v>332061938</v>
      </c>
      <c r="C895" s="2213">
        <v>332061938</v>
      </c>
    </row>
    <row r="896" spans="1:3">
      <c r="A896" s="1080" t="s">
        <v>1783</v>
      </c>
      <c r="B896" s="2213">
        <v>157269205</v>
      </c>
      <c r="C896" s="2213">
        <v>157269205</v>
      </c>
    </row>
    <row r="897" spans="1:3">
      <c r="A897" s="1080" t="s">
        <v>1784</v>
      </c>
      <c r="B897" s="2213">
        <v>46493276</v>
      </c>
      <c r="C897" s="2213">
        <v>46493276</v>
      </c>
    </row>
    <row r="898" spans="1:3">
      <c r="A898" s="1080" t="s">
        <v>1785</v>
      </c>
      <c r="B898" s="2213">
        <v>1551653068</v>
      </c>
      <c r="C898" s="2213">
        <v>1551653068</v>
      </c>
    </row>
    <row r="899" spans="1:3">
      <c r="A899" s="1080" t="s">
        <v>2062</v>
      </c>
      <c r="B899" s="2213">
        <v>69656978</v>
      </c>
      <c r="C899" s="2213">
        <v>69656978</v>
      </c>
    </row>
    <row r="900" spans="1:3">
      <c r="A900" s="1080" t="s">
        <v>305</v>
      </c>
      <c r="B900" s="2213">
        <v>102182265</v>
      </c>
      <c r="C900" s="2213">
        <v>102182265</v>
      </c>
    </row>
    <row r="901" spans="1:3">
      <c r="A901" s="1080" t="s">
        <v>2063</v>
      </c>
      <c r="B901" s="2213">
        <v>132547336</v>
      </c>
      <c r="C901" s="2213">
        <v>132547336</v>
      </c>
    </row>
    <row r="902" spans="1:3">
      <c r="A902" s="1080" t="s">
        <v>2797</v>
      </c>
      <c r="B902" s="2213">
        <v>222568871</v>
      </c>
      <c r="C902" s="2213">
        <v>251428261</v>
      </c>
    </row>
    <row r="903" spans="1:3">
      <c r="A903" s="1080" t="s">
        <v>1488</v>
      </c>
      <c r="B903" s="2213">
        <v>4093504667</v>
      </c>
      <c r="C903" s="2213">
        <v>4093504667</v>
      </c>
    </row>
    <row r="904" spans="1:3">
      <c r="A904" s="1080" t="s">
        <v>2785</v>
      </c>
      <c r="B904" s="2213">
        <v>118634943</v>
      </c>
      <c r="C904" s="2213">
        <v>118634943</v>
      </c>
    </row>
    <row r="905" spans="1:3">
      <c r="A905" s="1080" t="s">
        <v>374</v>
      </c>
      <c r="B905" s="2213">
        <v>351389642</v>
      </c>
      <c r="C905" s="2213">
        <v>351389642</v>
      </c>
    </row>
    <row r="906" spans="1:3">
      <c r="A906" s="1080" t="s">
        <v>1482</v>
      </c>
      <c r="B906" s="2213">
        <v>212866748</v>
      </c>
      <c r="C906" s="2213">
        <v>212866748</v>
      </c>
    </row>
    <row r="907" spans="1:3">
      <c r="A907" s="1080" t="s">
        <v>1422</v>
      </c>
      <c r="B907" s="2213">
        <v>106337878</v>
      </c>
      <c r="C907" s="2213">
        <v>106337878</v>
      </c>
    </row>
    <row r="908" spans="1:3">
      <c r="A908" s="1080" t="s">
        <v>292</v>
      </c>
      <c r="B908" s="2213">
        <v>74807135612</v>
      </c>
      <c r="C908" s="2213">
        <v>74807135612</v>
      </c>
    </row>
    <row r="909" spans="1:3">
      <c r="A909" s="1080" t="s">
        <v>238</v>
      </c>
      <c r="B909" s="2213">
        <v>8489473829</v>
      </c>
      <c r="C909" s="2213">
        <v>8489473829</v>
      </c>
    </row>
    <row r="910" spans="1:3">
      <c r="A910" s="1080" t="s">
        <v>293</v>
      </c>
      <c r="B910" s="2213">
        <v>3721012701</v>
      </c>
      <c r="C910" s="2213">
        <v>5032481797</v>
      </c>
    </row>
    <row r="911" spans="1:3">
      <c r="A911" s="1080" t="s">
        <v>294</v>
      </c>
      <c r="B911" s="2213">
        <v>11113104886</v>
      </c>
      <c r="C911" s="2213">
        <v>11113104886</v>
      </c>
    </row>
    <row r="912" spans="1:3">
      <c r="A912" s="1080" t="s">
        <v>1295</v>
      </c>
      <c r="B912" s="2213">
        <v>3635701289</v>
      </c>
      <c r="C912" s="2213">
        <v>3635701289</v>
      </c>
    </row>
    <row r="913" spans="1:3">
      <c r="A913" s="1080" t="s">
        <v>2804</v>
      </c>
      <c r="B913" s="2213">
        <v>1316408924</v>
      </c>
      <c r="C913" s="2213">
        <v>1316408924</v>
      </c>
    </row>
    <row r="914" spans="1:3">
      <c r="A914" s="1080" t="s">
        <v>1496</v>
      </c>
      <c r="B914" s="2213">
        <v>8423001026</v>
      </c>
      <c r="C914" s="2213">
        <v>8423001026</v>
      </c>
    </row>
    <row r="915" spans="1:3">
      <c r="A915" s="1080" t="s">
        <v>1497</v>
      </c>
      <c r="B915" s="2213">
        <v>233184441</v>
      </c>
      <c r="C915" s="2213">
        <v>233184441</v>
      </c>
    </row>
    <row r="916" spans="1:3">
      <c r="A916" s="1080" t="s">
        <v>1498</v>
      </c>
      <c r="B916" s="2213">
        <v>327786520</v>
      </c>
      <c r="C916" s="2213">
        <v>327786520</v>
      </c>
    </row>
    <row r="917" spans="1:3">
      <c r="A917" s="1080" t="s">
        <v>1499</v>
      </c>
      <c r="B917" s="2213">
        <v>27418005</v>
      </c>
      <c r="C917" s="2213">
        <v>27418005</v>
      </c>
    </row>
    <row r="918" spans="1:3">
      <c r="A918" s="1080" t="s">
        <v>1500</v>
      </c>
      <c r="B918" s="2213">
        <v>35847121</v>
      </c>
      <c r="C918" s="2213">
        <v>35847121</v>
      </c>
    </row>
    <row r="919" spans="1:3">
      <c r="A919" s="1080" t="s">
        <v>1615</v>
      </c>
      <c r="B919" s="2213">
        <v>115318169</v>
      </c>
      <c r="C919" s="2213">
        <v>115318169</v>
      </c>
    </row>
    <row r="920" spans="1:3">
      <c r="A920" s="1080" t="s">
        <v>2051</v>
      </c>
      <c r="B920" s="2213">
        <v>824780719</v>
      </c>
      <c r="C920" s="2213">
        <v>824780719</v>
      </c>
    </row>
    <row r="921" spans="1:3">
      <c r="A921" s="1080" t="s">
        <v>2052</v>
      </c>
      <c r="B921" s="2213">
        <v>321866926</v>
      </c>
      <c r="C921" s="2213">
        <v>321866926</v>
      </c>
    </row>
    <row r="922" spans="1:3">
      <c r="A922" s="1080" t="s">
        <v>1423</v>
      </c>
      <c r="B922" s="2213">
        <v>59625639</v>
      </c>
      <c r="C922" s="2213">
        <v>59625639</v>
      </c>
    </row>
    <row r="923" spans="1:3">
      <c r="A923" s="1080" t="s">
        <v>83</v>
      </c>
      <c r="B923" s="2213">
        <v>63370055</v>
      </c>
      <c r="C923" s="2213">
        <v>63370055</v>
      </c>
    </row>
    <row r="924" spans="1:3">
      <c r="A924" s="1080" t="s">
        <v>2053</v>
      </c>
      <c r="B924" s="2213">
        <v>208507439</v>
      </c>
      <c r="C924" s="2213">
        <v>208507439</v>
      </c>
    </row>
    <row r="925" spans="1:3">
      <c r="A925" s="1080" t="s">
        <v>2054</v>
      </c>
      <c r="B925" s="2213">
        <v>783674379</v>
      </c>
      <c r="C925" s="2213">
        <v>783674379</v>
      </c>
    </row>
    <row r="926" spans="1:3">
      <c r="A926" s="1080" t="s">
        <v>1594</v>
      </c>
      <c r="B926" s="2213">
        <v>132366866</v>
      </c>
      <c r="C926" s="2213">
        <v>132366866</v>
      </c>
    </row>
    <row r="927" spans="1:3">
      <c r="A927" s="1080" t="s">
        <v>1229</v>
      </c>
      <c r="B927" s="2213">
        <v>78866557</v>
      </c>
      <c r="C927" s="2213">
        <v>78866557</v>
      </c>
    </row>
    <row r="928" spans="1:3">
      <c r="A928" s="1080" t="s">
        <v>2127</v>
      </c>
      <c r="B928" s="2213">
        <v>373661665</v>
      </c>
      <c r="C928" s="2213">
        <v>373661665</v>
      </c>
    </row>
    <row r="929" spans="1:3">
      <c r="A929" s="1080" t="s">
        <v>1230</v>
      </c>
      <c r="B929" s="2213">
        <v>180090846</v>
      </c>
      <c r="C929" s="2213">
        <v>180090846</v>
      </c>
    </row>
    <row r="930" spans="1:3">
      <c r="A930" s="1080" t="s">
        <v>1231</v>
      </c>
      <c r="B930" s="2213">
        <v>158777228</v>
      </c>
      <c r="C930" s="2213">
        <v>158777228</v>
      </c>
    </row>
    <row r="931" spans="1:3">
      <c r="A931" s="1080" t="s">
        <v>1232</v>
      </c>
      <c r="B931" s="2213">
        <v>1265362609</v>
      </c>
      <c r="C931" s="2213">
        <v>1265362609</v>
      </c>
    </row>
    <row r="932" spans="1:3">
      <c r="A932" s="1080" t="s">
        <v>1233</v>
      </c>
      <c r="B932" s="2213">
        <v>3700215030</v>
      </c>
      <c r="C932" s="2213">
        <v>3700215030</v>
      </c>
    </row>
    <row r="933" spans="1:3">
      <c r="A933" s="1080" t="s">
        <v>63</v>
      </c>
      <c r="B933" s="2213">
        <v>57172486</v>
      </c>
      <c r="C933" s="2213">
        <v>57172486</v>
      </c>
    </row>
    <row r="934" spans="1:3">
      <c r="A934" s="1080" t="s">
        <v>1737</v>
      </c>
      <c r="B934" s="2213">
        <v>305725800</v>
      </c>
      <c r="C934" s="2213">
        <v>305725800</v>
      </c>
    </row>
    <row r="935" spans="1:3">
      <c r="A935" s="1080" t="s">
        <v>1714</v>
      </c>
      <c r="B935" s="2213">
        <v>1061760061</v>
      </c>
      <c r="C935" s="2213">
        <v>1061760061</v>
      </c>
    </row>
    <row r="936" spans="1:3">
      <c r="A936" s="1080" t="s">
        <v>1495</v>
      </c>
      <c r="B936" s="2213">
        <v>180854139</v>
      </c>
      <c r="C936" s="2213">
        <v>180854139</v>
      </c>
    </row>
    <row r="937" spans="1:3">
      <c r="A937" s="1080" t="s">
        <v>530</v>
      </c>
      <c r="B937" s="2213">
        <v>1580645829</v>
      </c>
      <c r="C937" s="2213">
        <v>1580645829</v>
      </c>
    </row>
    <row r="938" spans="1:3">
      <c r="A938" s="1080" t="s">
        <v>940</v>
      </c>
      <c r="B938" s="2213">
        <v>186166172</v>
      </c>
      <c r="C938" s="2213">
        <v>186166172</v>
      </c>
    </row>
    <row r="939" spans="1:3">
      <c r="A939" s="1080" t="s">
        <v>943</v>
      </c>
      <c r="B939" s="2213">
        <v>591639670</v>
      </c>
      <c r="C939" s="2213">
        <v>591639670</v>
      </c>
    </row>
    <row r="940" spans="1:3">
      <c r="A940" s="1080" t="s">
        <v>944</v>
      </c>
      <c r="B940" s="2213">
        <v>209837203</v>
      </c>
      <c r="C940" s="2213">
        <v>209837203</v>
      </c>
    </row>
    <row r="941" spans="1:3">
      <c r="A941" s="1080" t="s">
        <v>1726</v>
      </c>
      <c r="B941" s="2213">
        <v>224253771</v>
      </c>
      <c r="C941" s="2213">
        <v>224253771</v>
      </c>
    </row>
    <row r="942" spans="1:3">
      <c r="A942" s="1080" t="s">
        <v>2097</v>
      </c>
      <c r="B942" s="2213">
        <v>88675801</v>
      </c>
      <c r="C942" s="2213">
        <v>88675801</v>
      </c>
    </row>
    <row r="943" spans="1:3">
      <c r="A943" s="1080" t="s">
        <v>945</v>
      </c>
      <c r="B943" s="2213">
        <v>563614343</v>
      </c>
      <c r="C943" s="2213">
        <v>563614343</v>
      </c>
    </row>
    <row r="944" spans="1:3">
      <c r="A944" s="1080" t="s">
        <v>946</v>
      </c>
      <c r="B944" s="2213">
        <v>480747872</v>
      </c>
      <c r="C944" s="2213">
        <v>480747872</v>
      </c>
    </row>
    <row r="945" spans="1:3">
      <c r="A945" s="1080" t="s">
        <v>1606</v>
      </c>
      <c r="B945" s="2213">
        <v>55274146</v>
      </c>
      <c r="C945" s="2213">
        <v>55274146</v>
      </c>
    </row>
    <row r="946" spans="1:3">
      <c r="A946" s="1080" t="s">
        <v>989</v>
      </c>
      <c r="B946" s="2213">
        <v>172245689</v>
      </c>
      <c r="C946" s="2213">
        <v>172245689</v>
      </c>
    </row>
    <row r="947" spans="1:3">
      <c r="A947" s="1080" t="s">
        <v>372</v>
      </c>
      <c r="B947" s="2213">
        <v>5649948023</v>
      </c>
      <c r="C947" s="2213">
        <v>5649948023</v>
      </c>
    </row>
    <row r="948" spans="1:3">
      <c r="A948" s="1080" t="s">
        <v>2992</v>
      </c>
      <c r="B948" s="2213">
        <v>224815783</v>
      </c>
      <c r="C948" s="2213">
        <v>224815783</v>
      </c>
    </row>
    <row r="949" spans="1:3">
      <c r="A949" s="1080" t="s">
        <v>1160</v>
      </c>
      <c r="B949" s="2213">
        <v>259347724</v>
      </c>
      <c r="C949" s="2213">
        <v>259347724</v>
      </c>
    </row>
    <row r="950" spans="1:3">
      <c r="A950" s="1080" t="s">
        <v>1320</v>
      </c>
      <c r="B950" s="2213">
        <v>2035053946</v>
      </c>
      <c r="C950" s="2213">
        <v>2035053946</v>
      </c>
    </row>
    <row r="951" spans="1:3">
      <c r="A951" s="1080" t="s">
        <v>306</v>
      </c>
      <c r="B951" s="2213">
        <v>447585014</v>
      </c>
      <c r="C951" s="2213">
        <v>447585014</v>
      </c>
    </row>
    <row r="952" spans="1:3">
      <c r="A952" s="1080" t="s">
        <v>307</v>
      </c>
      <c r="B952" s="2213">
        <v>1879664460</v>
      </c>
      <c r="C952" s="2213">
        <v>2014567464</v>
      </c>
    </row>
    <row r="953" spans="1:3">
      <c r="A953" s="1080" t="s">
        <v>693</v>
      </c>
      <c r="B953" s="2213">
        <v>981570526</v>
      </c>
      <c r="C953" s="2213">
        <v>981570526</v>
      </c>
    </row>
    <row r="954" spans="1:3">
      <c r="A954" s="1080" t="s">
        <v>694</v>
      </c>
      <c r="B954" s="2213">
        <v>2367804800</v>
      </c>
      <c r="C954" s="2213">
        <v>2367804800</v>
      </c>
    </row>
    <row r="955" spans="1:3">
      <c r="A955" s="1080" t="s">
        <v>695</v>
      </c>
      <c r="B955" s="2213">
        <v>160094120</v>
      </c>
      <c r="C955" s="2213">
        <v>160094120</v>
      </c>
    </row>
    <row r="956" spans="1:3">
      <c r="A956" s="1080" t="s">
        <v>2669</v>
      </c>
      <c r="B956" s="2213">
        <v>2220277287</v>
      </c>
      <c r="C956" s="2213">
        <v>2220277287</v>
      </c>
    </row>
    <row r="957" spans="1:3">
      <c r="A957" s="1080" t="s">
        <v>2670</v>
      </c>
      <c r="B957" s="2213">
        <v>394928776</v>
      </c>
      <c r="C957" s="2213">
        <v>394928776</v>
      </c>
    </row>
    <row r="958" spans="1:3">
      <c r="A958" s="1080" t="s">
        <v>1987</v>
      </c>
      <c r="B958" s="2213">
        <v>2027321879</v>
      </c>
      <c r="C958" s="2213">
        <v>2027321879</v>
      </c>
    </row>
    <row r="959" spans="1:3">
      <c r="A959" s="1080" t="s">
        <v>1713</v>
      </c>
      <c r="B959" s="2213">
        <v>15035577665</v>
      </c>
      <c r="C959" s="2213">
        <v>15035577665</v>
      </c>
    </row>
    <row r="960" spans="1:3">
      <c r="A960" s="1080" t="s">
        <v>1043</v>
      </c>
      <c r="B960" s="2213">
        <v>938401962</v>
      </c>
      <c r="C960" s="2213">
        <v>1043344442</v>
      </c>
    </row>
    <row r="961" spans="1:3">
      <c r="A961" s="1080" t="s">
        <v>1044</v>
      </c>
      <c r="B961" s="2213">
        <v>243145565</v>
      </c>
      <c r="C961" s="2213">
        <v>243145565</v>
      </c>
    </row>
    <row r="962" spans="1:3">
      <c r="A962" s="1080" t="s">
        <v>1045</v>
      </c>
      <c r="B962" s="2213">
        <v>320754943</v>
      </c>
      <c r="C962" s="2213">
        <v>320754943</v>
      </c>
    </row>
    <row r="963" spans="1:3">
      <c r="A963" s="1080" t="s">
        <v>624</v>
      </c>
      <c r="B963" s="2213">
        <v>1217664530</v>
      </c>
      <c r="C963" s="2213">
        <v>1217664530</v>
      </c>
    </row>
    <row r="964" spans="1:3">
      <c r="A964" s="1080" t="s">
        <v>1014</v>
      </c>
      <c r="B964" s="2213">
        <v>979450840</v>
      </c>
      <c r="C964" s="2213">
        <v>979450840</v>
      </c>
    </row>
    <row r="965" spans="1:3">
      <c r="A965" s="1080" t="s">
        <v>1015</v>
      </c>
      <c r="B965" s="2213">
        <v>247773624</v>
      </c>
      <c r="C965" s="2213">
        <v>247773624</v>
      </c>
    </row>
    <row r="966" spans="1:3">
      <c r="A966" s="1080" t="s">
        <v>1016</v>
      </c>
      <c r="B966" s="2213">
        <v>170875816</v>
      </c>
      <c r="C966" s="2213">
        <v>170875816</v>
      </c>
    </row>
    <row r="967" spans="1:3">
      <c r="A967" s="1080" t="s">
        <v>1017</v>
      </c>
      <c r="B967" s="2213">
        <v>499525023</v>
      </c>
      <c r="C967" s="2213">
        <v>499525023</v>
      </c>
    </row>
    <row r="968" spans="1:3">
      <c r="A968" s="1080" t="s">
        <v>1940</v>
      </c>
      <c r="B968" s="2213">
        <v>1104783432</v>
      </c>
      <c r="C968" s="2213">
        <v>1104783432</v>
      </c>
    </row>
    <row r="969" spans="1:3">
      <c r="A969" s="1080" t="s">
        <v>2648</v>
      </c>
      <c r="B969" s="2213">
        <v>1978664216</v>
      </c>
      <c r="C969" s="2213">
        <v>1978664216</v>
      </c>
    </row>
    <row r="970" spans="1:3">
      <c r="A970" s="1080" t="s">
        <v>996</v>
      </c>
      <c r="B970" s="2213">
        <v>763315631</v>
      </c>
      <c r="C970" s="2213">
        <v>763315631</v>
      </c>
    </row>
    <row r="971" spans="1:3">
      <c r="A971" s="1080" t="s">
        <v>1424</v>
      </c>
      <c r="B971" s="2213">
        <v>304215746</v>
      </c>
      <c r="C971" s="2213">
        <v>304215746</v>
      </c>
    </row>
    <row r="972" spans="1:3">
      <c r="A972" s="1080" t="s">
        <v>714</v>
      </c>
      <c r="B972" s="2213">
        <v>595185753</v>
      </c>
      <c r="C972" s="2213">
        <v>595185753</v>
      </c>
    </row>
    <row r="973" spans="1:3">
      <c r="A973" s="1080" t="s">
        <v>2088</v>
      </c>
      <c r="B973" s="2213">
        <v>3966525449</v>
      </c>
      <c r="C973" s="2213">
        <v>3966525449</v>
      </c>
    </row>
    <row r="974" spans="1:3">
      <c r="A974" s="1080" t="s">
        <v>626</v>
      </c>
      <c r="B974" s="2213">
        <v>169207066</v>
      </c>
      <c r="C974" s="2213">
        <v>169207066</v>
      </c>
    </row>
    <row r="975" spans="1:3">
      <c r="A975" s="1080" t="s">
        <v>1534</v>
      </c>
      <c r="B975" s="2213">
        <v>94369553</v>
      </c>
      <c r="C975" s="2213">
        <v>94369553</v>
      </c>
    </row>
    <row r="976" spans="1:3">
      <c r="A976" s="1080" t="s">
        <v>9</v>
      </c>
      <c r="B976" s="2213">
        <v>791360129</v>
      </c>
      <c r="C976" s="2213">
        <v>791360129</v>
      </c>
    </row>
    <row r="977" spans="1:3">
      <c r="A977" s="1080" t="s">
        <v>10</v>
      </c>
      <c r="B977" s="2213">
        <v>101585644</v>
      </c>
      <c r="C977" s="2213">
        <v>101585644</v>
      </c>
    </row>
    <row r="978" spans="1:3">
      <c r="A978" s="1080" t="s">
        <v>1695</v>
      </c>
      <c r="B978" s="2213">
        <v>32173266</v>
      </c>
      <c r="C978" s="2213">
        <v>32173266</v>
      </c>
    </row>
    <row r="979" spans="1:3">
      <c r="A979" s="1080" t="s">
        <v>2387</v>
      </c>
      <c r="B979" s="2213">
        <v>247198788</v>
      </c>
      <c r="C979" s="2213">
        <v>677844957</v>
      </c>
    </row>
    <row r="980" spans="1:3">
      <c r="A980" s="1080" t="s">
        <v>465</v>
      </c>
      <c r="B980" s="2213">
        <v>247906363</v>
      </c>
      <c r="C980" s="2213">
        <v>329943614</v>
      </c>
    </row>
    <row r="981" spans="1:3">
      <c r="A981" s="1080" t="s">
        <v>308</v>
      </c>
      <c r="B981" s="2213">
        <v>79581818</v>
      </c>
      <c r="C981" s="2213">
        <v>111777853</v>
      </c>
    </row>
    <row r="982" spans="1:3">
      <c r="A982" s="1080" t="s">
        <v>1514</v>
      </c>
      <c r="B982" s="2213">
        <v>280792029</v>
      </c>
      <c r="C982" s="2213">
        <v>280792029</v>
      </c>
    </row>
    <row r="983" spans="1:3">
      <c r="A983" s="1080" t="s">
        <v>2975</v>
      </c>
      <c r="B983" s="2213">
        <v>6280657743</v>
      </c>
      <c r="C983" s="2213">
        <v>6280657743</v>
      </c>
    </row>
    <row r="984" spans="1:3">
      <c r="A984" s="1080" t="s">
        <v>2038</v>
      </c>
      <c r="B984" s="2213">
        <v>122600781</v>
      </c>
      <c r="C984" s="2213">
        <v>122600781</v>
      </c>
    </row>
    <row r="985" spans="1:3">
      <c r="A985" s="1080" t="s">
        <v>47</v>
      </c>
      <c r="B985" s="2213">
        <v>1698052897</v>
      </c>
      <c r="C985" s="2213">
        <v>1698052897</v>
      </c>
    </row>
    <row r="986" spans="1:3">
      <c r="A986" s="1080" t="s">
        <v>11</v>
      </c>
      <c r="B986" s="2213">
        <v>744460119</v>
      </c>
      <c r="C986" s="2213">
        <v>744460119</v>
      </c>
    </row>
    <row r="987" spans="1:3">
      <c r="A987" s="1080" t="s">
        <v>1990</v>
      </c>
      <c r="B987" s="2213">
        <v>1192695417</v>
      </c>
      <c r="C987" s="2213">
        <v>1192695417</v>
      </c>
    </row>
    <row r="988" spans="1:3">
      <c r="A988" s="1080" t="s">
        <v>1485</v>
      </c>
      <c r="B988" s="2213">
        <v>24533307639</v>
      </c>
      <c r="C988" s="2213">
        <v>24533307639</v>
      </c>
    </row>
    <row r="989" spans="1:3">
      <c r="A989" s="1080" t="s">
        <v>1738</v>
      </c>
      <c r="B989" s="2213">
        <v>818441877</v>
      </c>
      <c r="C989" s="2213">
        <v>818441877</v>
      </c>
    </row>
    <row r="990" spans="1:3">
      <c r="A990" s="1080" t="s">
        <v>1708</v>
      </c>
      <c r="B990" s="2213">
        <v>194866300</v>
      </c>
      <c r="C990" s="2213">
        <v>194866300</v>
      </c>
    </row>
    <row r="991" spans="1:3">
      <c r="A991" s="1080" t="s">
        <v>1988</v>
      </c>
      <c r="B991" s="2213">
        <v>16123255759</v>
      </c>
      <c r="C991" s="2213">
        <v>16123255759</v>
      </c>
    </row>
    <row r="992" spans="1:3">
      <c r="A992" s="1080" t="s">
        <v>12</v>
      </c>
      <c r="B992" s="2213">
        <v>58619544</v>
      </c>
      <c r="C992" s="2213">
        <v>58619544</v>
      </c>
    </row>
    <row r="993" spans="1:3">
      <c r="A993" s="1080" t="s">
        <v>2814</v>
      </c>
      <c r="B993" s="2213">
        <v>1087440844</v>
      </c>
      <c r="C993" s="2213">
        <v>1087440844</v>
      </c>
    </row>
    <row r="994" spans="1:3">
      <c r="A994" s="1080" t="s">
        <v>66</v>
      </c>
      <c r="B994" s="2213">
        <v>828410919</v>
      </c>
      <c r="C994" s="2213">
        <v>828410919</v>
      </c>
    </row>
    <row r="995" spans="1:3">
      <c r="A995" s="1080" t="s">
        <v>2815</v>
      </c>
      <c r="B995" s="2213">
        <v>457467186</v>
      </c>
      <c r="C995" s="2213">
        <v>457467186</v>
      </c>
    </row>
    <row r="996" spans="1:3">
      <c r="A996" s="1080" t="s">
        <v>1705</v>
      </c>
      <c r="B996" s="2213">
        <v>199099596</v>
      </c>
      <c r="C996" s="2213">
        <v>199099596</v>
      </c>
    </row>
    <row r="997" spans="1:3">
      <c r="A997" s="1080" t="s">
        <v>1339</v>
      </c>
      <c r="B997" s="2213">
        <v>851947458</v>
      </c>
      <c r="C997" s="2213">
        <v>941823528</v>
      </c>
    </row>
    <row r="998" spans="1:3">
      <c r="A998" s="1080" t="s">
        <v>1340</v>
      </c>
      <c r="B998" s="2213">
        <v>1618767837</v>
      </c>
      <c r="C998" s="2213">
        <v>1618767837</v>
      </c>
    </row>
    <row r="999" spans="1:3">
      <c r="A999" s="1080" t="s">
        <v>224</v>
      </c>
      <c r="B999" s="2213">
        <v>435975280</v>
      </c>
      <c r="C999" s="2213">
        <v>435975280</v>
      </c>
    </row>
    <row r="1000" spans="1:3">
      <c r="A1000" s="1080" t="s">
        <v>904</v>
      </c>
      <c r="B1000" s="2213">
        <v>871550334</v>
      </c>
      <c r="C1000" s="2213">
        <v>871550334</v>
      </c>
    </row>
    <row r="1001" spans="1:3">
      <c r="A1001" s="1080" t="s">
        <v>2491</v>
      </c>
      <c r="B1001" s="2213">
        <v>1452825011</v>
      </c>
      <c r="C1001" s="2213">
        <v>1452825011</v>
      </c>
    </row>
    <row r="1002" spans="1:3">
      <c r="A1002" s="1080" t="s">
        <v>2780</v>
      </c>
      <c r="B1002" s="2213">
        <v>590740665</v>
      </c>
      <c r="C1002" s="2213">
        <v>590740665</v>
      </c>
    </row>
    <row r="1003" spans="1:3">
      <c r="A1003" s="1080" t="s">
        <v>2781</v>
      </c>
      <c r="B1003" s="2213">
        <v>2242259514</v>
      </c>
      <c r="C1003" s="2213">
        <v>2242259514</v>
      </c>
    </row>
    <row r="1004" spans="1:3">
      <c r="A1004" s="1080" t="s">
        <v>2302</v>
      </c>
      <c r="B1004" s="2213">
        <v>377227369</v>
      </c>
      <c r="C1004" s="2213">
        <v>377227369</v>
      </c>
    </row>
    <row r="1005" spans="1:3">
      <c r="A1005" s="1080" t="s">
        <v>1314</v>
      </c>
      <c r="B1005" s="2213">
        <v>354719652</v>
      </c>
      <c r="C1005" s="2213">
        <v>354719652</v>
      </c>
    </row>
    <row r="1006" spans="1:3">
      <c r="A1006" s="1080" t="s">
        <v>2548</v>
      </c>
      <c r="B1006" s="2213">
        <v>919607044</v>
      </c>
      <c r="C1006" s="2213">
        <v>919607044</v>
      </c>
    </row>
    <row r="1007" spans="1:3">
      <c r="A1007" s="1080" t="s">
        <v>2549</v>
      </c>
      <c r="B1007" s="2213">
        <v>507539135</v>
      </c>
      <c r="C1007" s="2213">
        <v>507539135</v>
      </c>
    </row>
    <row r="1008" spans="1:3">
      <c r="A1008" s="1080" t="s">
        <v>2970</v>
      </c>
      <c r="B1008" s="2213">
        <v>454285521</v>
      </c>
      <c r="C1008" s="2213">
        <v>454285521</v>
      </c>
    </row>
    <row r="1009" spans="1:3">
      <c r="A1009" s="1080" t="s">
        <v>2971</v>
      </c>
      <c r="B1009" s="2213">
        <v>279716820</v>
      </c>
      <c r="C1009" s="2213">
        <v>279716820</v>
      </c>
    </row>
    <row r="1010" spans="1:3">
      <c r="A1010" s="1080" t="s">
        <v>705</v>
      </c>
      <c r="B1010" s="2213">
        <v>245647782</v>
      </c>
      <c r="C1010" s="2213">
        <v>245647782</v>
      </c>
    </row>
    <row r="1011" spans="1:3">
      <c r="A1011" s="1080" t="s">
        <v>777</v>
      </c>
      <c r="B1011" s="2213">
        <v>450994890</v>
      </c>
      <c r="C1011" s="2213">
        <v>450994890</v>
      </c>
    </row>
    <row r="1012" spans="1:3">
      <c r="A1012" s="1080" t="s">
        <v>778</v>
      </c>
      <c r="B1012" s="2213">
        <v>3082906562</v>
      </c>
      <c r="C1012" s="2213">
        <v>3082906562</v>
      </c>
    </row>
    <row r="1013" spans="1:3">
      <c r="A1013" s="1080" t="s">
        <v>1660</v>
      </c>
      <c r="B1013" s="2213">
        <v>1140590239</v>
      </c>
      <c r="C1013" s="2213">
        <v>1140590239</v>
      </c>
    </row>
    <row r="1014" spans="1:3">
      <c r="A1014" s="1080" t="s">
        <v>1020</v>
      </c>
      <c r="B1014" s="2213">
        <v>767278700</v>
      </c>
      <c r="C1014" s="2213">
        <v>789730060</v>
      </c>
    </row>
    <row r="1015" spans="1:3">
      <c r="A1015" s="1080" t="s">
        <v>1661</v>
      </c>
      <c r="B1015" s="2213">
        <v>87917688</v>
      </c>
      <c r="C1015" s="2213">
        <v>87917688</v>
      </c>
    </row>
    <row r="1016" spans="1:3">
      <c r="A1016" s="1080" t="s">
        <v>1696</v>
      </c>
      <c r="B1016" s="2213">
        <v>276654272</v>
      </c>
      <c r="C1016" s="2213">
        <v>526578272</v>
      </c>
    </row>
    <row r="1017" spans="1:3">
      <c r="A1017" s="1080" t="s">
        <v>556</v>
      </c>
      <c r="B1017" s="2213">
        <v>1494090668</v>
      </c>
      <c r="C1017" s="2213">
        <v>1494090668</v>
      </c>
    </row>
    <row r="1018" spans="1:3">
      <c r="A1018" s="1080" t="s">
        <v>2760</v>
      </c>
      <c r="B1018" s="2213">
        <v>794832646</v>
      </c>
      <c r="C1018" s="2213">
        <v>794832646</v>
      </c>
    </row>
    <row r="1019" spans="1:3">
      <c r="A1019" s="1080" t="s">
        <v>1901</v>
      </c>
      <c r="B1019" s="2213">
        <v>76883595</v>
      </c>
      <c r="C1019" s="2213">
        <v>76883595</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0"/>
  <sheetViews>
    <sheetView workbookViewId="0">
      <selection activeCell="G2" sqref="G2"/>
    </sheetView>
  </sheetViews>
  <sheetFormatPr defaultRowHeight="15"/>
  <cols>
    <col min="1" max="1" width="9.140625" style="1076"/>
    <col min="2" max="2" width="18.5703125" style="125" customWidth="1"/>
    <col min="3" max="3" width="16.85546875" style="173" customWidth="1"/>
    <col min="4" max="4" width="24.5703125" style="121" customWidth="1"/>
    <col min="5" max="6" width="20.7109375" customWidth="1"/>
    <col min="7" max="7" width="23.28515625" customWidth="1"/>
  </cols>
  <sheetData>
    <row r="1" spans="1:7" s="72" customFormat="1">
      <c r="A1" s="1089"/>
      <c r="B1" s="422" t="s">
        <v>7322</v>
      </c>
      <c r="C1" s="1537" t="s">
        <v>7323</v>
      </c>
      <c r="D1" s="424" t="s">
        <v>7324</v>
      </c>
      <c r="E1" s="72" t="s">
        <v>7325</v>
      </c>
      <c r="F1" s="72" t="s">
        <v>7331</v>
      </c>
      <c r="G1" s="72" t="s">
        <v>7334</v>
      </c>
    </row>
    <row r="2" spans="1:7" ht="21">
      <c r="A2" s="1080" t="s">
        <v>225</v>
      </c>
      <c r="B2" s="2492">
        <v>558.005</v>
      </c>
      <c r="C2" s="2493">
        <v>1.04</v>
      </c>
      <c r="D2" s="2494">
        <v>0</v>
      </c>
      <c r="E2" s="2500">
        <v>0</v>
      </c>
      <c r="F2" s="2500">
        <v>0</v>
      </c>
      <c r="G2" s="2501">
        <v>281597876</v>
      </c>
    </row>
    <row r="3" spans="1:7" ht="21">
      <c r="A3" s="1080" t="s">
        <v>2228</v>
      </c>
      <c r="B3" s="2492">
        <v>1137.8009999999999</v>
      </c>
      <c r="C3" s="2493">
        <v>1.17</v>
      </c>
      <c r="D3" s="2494">
        <v>572226</v>
      </c>
      <c r="E3" s="2500">
        <v>365840</v>
      </c>
      <c r="F3" s="2500">
        <v>227405</v>
      </c>
      <c r="G3" s="2501">
        <v>285147976</v>
      </c>
    </row>
    <row r="4" spans="1:7" ht="21">
      <c r="A4" s="1080" t="s">
        <v>15</v>
      </c>
      <c r="B4" s="2492">
        <v>748.13699999999994</v>
      </c>
      <c r="C4" s="2493">
        <v>1.17</v>
      </c>
      <c r="D4" s="2494">
        <v>901015</v>
      </c>
      <c r="E4" s="2500">
        <v>759359</v>
      </c>
      <c r="F4" s="2500">
        <v>0</v>
      </c>
      <c r="G4" s="2501">
        <v>270352537</v>
      </c>
    </row>
    <row r="5" spans="1:7" ht="21">
      <c r="A5" s="1080" t="s">
        <v>16</v>
      </c>
      <c r="B5" s="2492">
        <v>358.11099999999999</v>
      </c>
      <c r="C5" s="2493">
        <v>1.04</v>
      </c>
      <c r="D5" s="2494">
        <v>349138</v>
      </c>
      <c r="E5" s="2500">
        <v>307719</v>
      </c>
      <c r="F5" s="2500">
        <v>0</v>
      </c>
      <c r="G5" s="2501">
        <v>117206395</v>
      </c>
    </row>
    <row r="6" spans="1:7" ht="21">
      <c r="A6" s="1080" t="s">
        <v>17</v>
      </c>
      <c r="B6" s="2492">
        <v>3110.645</v>
      </c>
      <c r="C6" s="2493">
        <v>1.17</v>
      </c>
      <c r="D6" s="2494">
        <v>3988400</v>
      </c>
      <c r="E6" s="2500">
        <v>2948395</v>
      </c>
      <c r="F6" s="2500">
        <v>701840</v>
      </c>
      <c r="G6" s="2501">
        <v>1022392619</v>
      </c>
    </row>
    <row r="7" spans="1:7" ht="21">
      <c r="A7" s="1080" t="s">
        <v>1254</v>
      </c>
      <c r="B7" s="2492">
        <v>1510.3989999999999</v>
      </c>
      <c r="C7" s="2493">
        <v>1.17</v>
      </c>
      <c r="D7" s="2494">
        <v>0</v>
      </c>
      <c r="E7" s="2500">
        <v>0</v>
      </c>
      <c r="F7" s="2500">
        <v>0</v>
      </c>
      <c r="G7" s="2501">
        <v>438215392</v>
      </c>
    </row>
    <row r="8" spans="1:7" ht="21">
      <c r="A8" s="1080" t="s">
        <v>1255</v>
      </c>
      <c r="B8" s="2492">
        <v>373.99200000000002</v>
      </c>
      <c r="C8" s="2493">
        <v>1.04</v>
      </c>
      <c r="D8" s="2494">
        <v>175788</v>
      </c>
      <c r="E8" s="2500">
        <v>0</v>
      </c>
      <c r="F8" s="2500">
        <v>0</v>
      </c>
      <c r="G8" s="2501">
        <v>117898261</v>
      </c>
    </row>
    <row r="9" spans="1:7" ht="21">
      <c r="A9" s="1080" t="s">
        <v>2102</v>
      </c>
      <c r="B9" s="2492">
        <v>3753.9929999999999</v>
      </c>
      <c r="C9" s="2493">
        <v>1.06</v>
      </c>
      <c r="D9" s="2494">
        <v>7506856</v>
      </c>
      <c r="E9" s="2500">
        <v>1832839</v>
      </c>
      <c r="F9" s="2500">
        <v>0</v>
      </c>
      <c r="G9" s="2501">
        <v>5677048132</v>
      </c>
    </row>
    <row r="10" spans="1:7" ht="21">
      <c r="A10" s="1080" t="s">
        <v>774</v>
      </c>
      <c r="B10" s="2492">
        <v>2649.5639999999999</v>
      </c>
      <c r="C10" s="2493">
        <v>1.17</v>
      </c>
      <c r="D10" s="2494">
        <v>396385</v>
      </c>
      <c r="E10" s="2500">
        <v>200891</v>
      </c>
      <c r="F10" s="2500">
        <v>476927</v>
      </c>
      <c r="G10" s="2501">
        <v>408089872</v>
      </c>
    </row>
    <row r="11" spans="1:7" ht="21">
      <c r="A11" s="1080" t="s">
        <v>1637</v>
      </c>
      <c r="B11" s="2492">
        <v>7612.6890000000003</v>
      </c>
      <c r="C11" s="2493">
        <v>1.04</v>
      </c>
      <c r="D11" s="2494">
        <v>3863087</v>
      </c>
      <c r="E11" s="2500">
        <v>3391553</v>
      </c>
      <c r="F11" s="2500">
        <v>0</v>
      </c>
      <c r="G11" s="2501">
        <v>2250539479</v>
      </c>
    </row>
    <row r="12" spans="1:7" ht="21">
      <c r="A12" s="1080" t="s">
        <v>1279</v>
      </c>
      <c r="B12" s="2492">
        <v>1639.876</v>
      </c>
      <c r="C12" s="2493">
        <v>1.17</v>
      </c>
      <c r="D12" s="2494">
        <v>623595</v>
      </c>
      <c r="E12" s="2500">
        <v>333065</v>
      </c>
      <c r="F12" s="2500">
        <v>287473</v>
      </c>
      <c r="G12" s="2501">
        <v>243657175</v>
      </c>
    </row>
    <row r="13" spans="1:7" ht="21">
      <c r="A13" s="1080" t="s">
        <v>369</v>
      </c>
      <c r="B13" s="2492">
        <v>1744.78</v>
      </c>
      <c r="C13" s="2493">
        <v>1.17</v>
      </c>
      <c r="D13" s="2494">
        <v>297428</v>
      </c>
      <c r="E13" s="2500">
        <v>279683</v>
      </c>
      <c r="F13" s="2500">
        <v>196346</v>
      </c>
      <c r="G13" s="2501">
        <v>274066811</v>
      </c>
    </row>
    <row r="14" spans="1:7" ht="21">
      <c r="A14" s="1080" t="s">
        <v>370</v>
      </c>
      <c r="B14" s="2492">
        <v>382.52</v>
      </c>
      <c r="C14" s="2493">
        <v>1.17</v>
      </c>
      <c r="D14" s="2494">
        <v>301444</v>
      </c>
      <c r="E14" s="2500">
        <v>226444</v>
      </c>
      <c r="F14" s="2500">
        <v>0</v>
      </c>
      <c r="G14" s="2501">
        <v>97925004</v>
      </c>
    </row>
    <row r="15" spans="1:7" ht="21">
      <c r="A15" s="1080" t="s">
        <v>371</v>
      </c>
      <c r="B15" s="2492">
        <v>1476.211</v>
      </c>
      <c r="C15" s="2493">
        <v>1.17</v>
      </c>
      <c r="D15" s="2494">
        <v>410944</v>
      </c>
      <c r="E15" s="2500">
        <v>48681</v>
      </c>
      <c r="F15" s="2500">
        <v>189686</v>
      </c>
      <c r="G15" s="2501">
        <v>249159736</v>
      </c>
    </row>
    <row r="16" spans="1:7" ht="21">
      <c r="A16" s="1080" t="s">
        <v>2839</v>
      </c>
      <c r="B16" s="2492">
        <v>3064.2649999999999</v>
      </c>
      <c r="C16" s="2493">
        <v>1.0401</v>
      </c>
      <c r="D16" s="2494">
        <v>3064196</v>
      </c>
      <c r="E16" s="2500">
        <v>1278733</v>
      </c>
      <c r="F16" s="2500">
        <v>0</v>
      </c>
      <c r="G16" s="2501">
        <v>2546914631</v>
      </c>
    </row>
    <row r="17" spans="1:7" ht="21">
      <c r="A17" s="1080" t="s">
        <v>2840</v>
      </c>
      <c r="B17" s="2492">
        <v>440.25599999999997</v>
      </c>
      <c r="C17" s="2493">
        <v>1.04</v>
      </c>
      <c r="D17" s="2494">
        <v>315297</v>
      </c>
      <c r="E17" s="2500">
        <v>127564</v>
      </c>
      <c r="F17" s="2500">
        <v>0</v>
      </c>
      <c r="G17" s="2501">
        <v>502021699</v>
      </c>
    </row>
    <row r="18" spans="1:7" ht="21">
      <c r="A18" s="1080" t="s">
        <v>2841</v>
      </c>
      <c r="B18" s="2492">
        <v>870.22199999999998</v>
      </c>
      <c r="C18" s="2493">
        <v>1.04</v>
      </c>
      <c r="D18" s="2494">
        <v>1468761</v>
      </c>
      <c r="E18" s="2500">
        <v>469485</v>
      </c>
      <c r="F18" s="2500">
        <v>0</v>
      </c>
      <c r="G18" s="2501">
        <v>312808951</v>
      </c>
    </row>
    <row r="19" spans="1:7" ht="21">
      <c r="A19" s="1080" t="s">
        <v>2219</v>
      </c>
      <c r="B19" s="2492">
        <v>431.73399999999998</v>
      </c>
      <c r="C19" s="2493">
        <v>1.17</v>
      </c>
      <c r="D19" s="2494">
        <v>95176</v>
      </c>
      <c r="E19" s="2500">
        <v>29975</v>
      </c>
      <c r="F19" s="2500">
        <v>54327</v>
      </c>
      <c r="G19" s="2501">
        <v>75419016</v>
      </c>
    </row>
    <row r="20" spans="1:7" ht="21">
      <c r="A20" s="1080" t="s">
        <v>2843</v>
      </c>
      <c r="B20" s="2492">
        <v>336.25200000000001</v>
      </c>
      <c r="C20" s="2493">
        <v>0.95</v>
      </c>
      <c r="D20" s="2494">
        <v>152509</v>
      </c>
      <c r="E20" s="2500">
        <v>137910</v>
      </c>
      <c r="F20" s="2500">
        <v>0</v>
      </c>
      <c r="G20" s="2501">
        <v>123317777</v>
      </c>
    </row>
    <row r="21" spans="1:7" ht="21">
      <c r="A21" s="1080" t="s">
        <v>806</v>
      </c>
      <c r="B21" s="2492">
        <v>477.27199999999999</v>
      </c>
      <c r="C21" s="2493">
        <v>1.04</v>
      </c>
      <c r="D21" s="2494">
        <v>372590</v>
      </c>
      <c r="E21" s="2500">
        <v>101581</v>
      </c>
      <c r="F21" s="2500">
        <v>234051</v>
      </c>
      <c r="G21" s="2501">
        <v>225970761</v>
      </c>
    </row>
    <row r="22" spans="1:7" ht="21">
      <c r="A22" s="1080" t="s">
        <v>2844</v>
      </c>
      <c r="B22" s="2492">
        <v>1514.923</v>
      </c>
      <c r="C22" s="2493">
        <v>1.17</v>
      </c>
      <c r="D22" s="2494">
        <v>0</v>
      </c>
      <c r="E22" s="2500">
        <v>0</v>
      </c>
      <c r="F22" s="2500">
        <v>0</v>
      </c>
      <c r="G22" s="2501">
        <v>752758879</v>
      </c>
    </row>
    <row r="23" spans="1:7" ht="21">
      <c r="A23" s="1080" t="s">
        <v>2388</v>
      </c>
      <c r="B23" s="2492">
        <v>1576.4059999999999</v>
      </c>
      <c r="C23" s="2493">
        <v>1.17</v>
      </c>
      <c r="D23" s="2494">
        <v>637877</v>
      </c>
      <c r="E23" s="2500">
        <v>426277</v>
      </c>
      <c r="F23" s="2500">
        <v>186962</v>
      </c>
      <c r="G23" s="2501">
        <v>258393729</v>
      </c>
    </row>
    <row r="24" spans="1:7" ht="21">
      <c r="A24" s="1080" t="s">
        <v>241</v>
      </c>
      <c r="B24" s="2492">
        <v>3286.4940000000001</v>
      </c>
      <c r="C24" s="2493">
        <v>1.04</v>
      </c>
      <c r="D24" s="2494">
        <v>1980236</v>
      </c>
      <c r="E24" s="2500">
        <v>321918</v>
      </c>
      <c r="F24" s="2500">
        <v>934139</v>
      </c>
      <c r="G24" s="2501">
        <v>1761075531</v>
      </c>
    </row>
    <row r="25" spans="1:7" ht="21">
      <c r="A25" s="1080" t="s">
        <v>2447</v>
      </c>
      <c r="B25" s="2492">
        <v>1583.902</v>
      </c>
      <c r="C25" s="2493">
        <v>1.17</v>
      </c>
      <c r="D25" s="2494">
        <v>553775</v>
      </c>
      <c r="E25" s="2500">
        <v>530973</v>
      </c>
      <c r="F25" s="2500">
        <v>270245</v>
      </c>
      <c r="G25" s="2501">
        <v>218756496</v>
      </c>
    </row>
    <row r="26" spans="1:7" ht="21">
      <c r="A26" s="1080" t="s">
        <v>2845</v>
      </c>
      <c r="B26" s="2492">
        <v>2045.029</v>
      </c>
      <c r="C26" s="2493">
        <v>1.08</v>
      </c>
      <c r="D26" s="2494">
        <v>1975428</v>
      </c>
      <c r="E26" s="2500">
        <v>1667450</v>
      </c>
      <c r="F26" s="2500">
        <v>0</v>
      </c>
      <c r="G26" s="2501">
        <v>1048318933</v>
      </c>
    </row>
    <row r="27" spans="1:7" ht="21">
      <c r="A27" s="1080" t="s">
        <v>783</v>
      </c>
      <c r="B27" s="2492">
        <v>2617.944</v>
      </c>
      <c r="C27" s="2493">
        <v>1.04</v>
      </c>
      <c r="D27" s="2494">
        <v>2374981</v>
      </c>
      <c r="E27" s="2500">
        <v>1962749</v>
      </c>
      <c r="F27" s="2500">
        <v>0</v>
      </c>
      <c r="G27" s="2501">
        <v>1125849768</v>
      </c>
    </row>
    <row r="28" spans="1:7" ht="21">
      <c r="A28" s="1080" t="s">
        <v>784</v>
      </c>
      <c r="B28" s="2492">
        <v>791.93</v>
      </c>
      <c r="C28" s="2493">
        <v>1.04</v>
      </c>
      <c r="D28" s="2494">
        <v>1154217</v>
      </c>
      <c r="E28" s="2500">
        <v>803809</v>
      </c>
      <c r="F28" s="2500">
        <v>0</v>
      </c>
      <c r="G28" s="2501">
        <v>322702881</v>
      </c>
    </row>
    <row r="29" spans="1:7" ht="21">
      <c r="A29" s="1080" t="s">
        <v>785</v>
      </c>
      <c r="B29" s="2492">
        <v>1333.1510000000001</v>
      </c>
      <c r="C29" s="2493">
        <v>1.04</v>
      </c>
      <c r="D29" s="2494">
        <v>827568</v>
      </c>
      <c r="E29" s="2500">
        <v>669264</v>
      </c>
      <c r="F29" s="2500">
        <v>142458</v>
      </c>
      <c r="G29" s="2501">
        <v>251798648</v>
      </c>
    </row>
    <row r="30" spans="1:7" ht="21">
      <c r="A30" s="1080" t="s">
        <v>216</v>
      </c>
      <c r="B30" s="2492">
        <v>246.619</v>
      </c>
      <c r="C30" s="2493">
        <v>1.04</v>
      </c>
      <c r="D30" s="2494">
        <v>0</v>
      </c>
      <c r="E30" s="2500">
        <v>0</v>
      </c>
      <c r="F30" s="2500">
        <v>0</v>
      </c>
      <c r="G30" s="2501">
        <v>214781106</v>
      </c>
    </row>
    <row r="31" spans="1:7" ht="21">
      <c r="A31" s="1080" t="s">
        <v>2220</v>
      </c>
      <c r="B31" s="2492">
        <v>2071.1060000000002</v>
      </c>
      <c r="C31" s="2493">
        <v>1.04</v>
      </c>
      <c r="D31" s="2494">
        <v>1824380</v>
      </c>
      <c r="E31" s="2500">
        <v>661095</v>
      </c>
      <c r="F31" s="2500">
        <v>691574</v>
      </c>
      <c r="G31" s="2501">
        <v>1366917825</v>
      </c>
    </row>
    <row r="32" spans="1:7" ht="21">
      <c r="A32" s="1080" t="s">
        <v>1896</v>
      </c>
      <c r="B32" s="2492">
        <v>9214.5570000000007</v>
      </c>
      <c r="C32" s="2493">
        <v>1.04</v>
      </c>
      <c r="D32" s="2494">
        <v>12166868</v>
      </c>
      <c r="E32" s="2500">
        <v>6863411</v>
      </c>
      <c r="F32" s="2500">
        <v>4894098</v>
      </c>
      <c r="G32" s="2501">
        <v>2885198135</v>
      </c>
    </row>
    <row r="33" spans="1:7" ht="21">
      <c r="A33" s="1080" t="s">
        <v>876</v>
      </c>
      <c r="B33" s="2492">
        <v>3936.8719999999998</v>
      </c>
      <c r="C33" s="2493">
        <v>1.17</v>
      </c>
      <c r="D33" s="2494">
        <v>3376943</v>
      </c>
      <c r="E33" s="2500">
        <v>2551628</v>
      </c>
      <c r="F33" s="2500">
        <v>1013637</v>
      </c>
      <c r="G33" s="2501">
        <v>879871960</v>
      </c>
    </row>
    <row r="34" spans="1:7" ht="21">
      <c r="A34" s="1080" t="s">
        <v>2710</v>
      </c>
      <c r="B34" s="2492">
        <v>1659.7329999999999</v>
      </c>
      <c r="C34" s="2493">
        <v>1.17</v>
      </c>
      <c r="D34" s="2494">
        <v>1403734</v>
      </c>
      <c r="E34" s="2500">
        <v>762156</v>
      </c>
      <c r="F34" s="2500">
        <v>449656</v>
      </c>
      <c r="G34" s="2501">
        <v>609535319</v>
      </c>
    </row>
    <row r="35" spans="1:7" ht="21">
      <c r="A35" s="1080" t="s">
        <v>2448</v>
      </c>
      <c r="B35" s="2492">
        <v>191.88900000000001</v>
      </c>
      <c r="C35" s="2493">
        <v>1.04</v>
      </c>
      <c r="D35" s="2494">
        <v>50296</v>
      </c>
      <c r="E35" s="2500">
        <v>0</v>
      </c>
      <c r="F35" s="2500">
        <v>50456</v>
      </c>
      <c r="G35" s="2501">
        <v>74513519</v>
      </c>
    </row>
    <row r="36" spans="1:7" ht="21">
      <c r="A36" s="1080" t="s">
        <v>492</v>
      </c>
      <c r="B36" s="2492">
        <v>559.08399999999995</v>
      </c>
      <c r="C36" s="2493">
        <v>1.04</v>
      </c>
      <c r="D36" s="2494">
        <v>0</v>
      </c>
      <c r="E36" s="2500">
        <v>0</v>
      </c>
      <c r="F36" s="2500">
        <v>0</v>
      </c>
      <c r="G36" s="2501">
        <v>160308886</v>
      </c>
    </row>
    <row r="37" spans="1:7" ht="21">
      <c r="A37" s="1080" t="s">
        <v>2711</v>
      </c>
      <c r="B37" s="2492">
        <v>3088.5250000000001</v>
      </c>
      <c r="C37" s="2493">
        <v>1.04</v>
      </c>
      <c r="D37" s="2494">
        <v>1649492</v>
      </c>
      <c r="E37" s="2500">
        <v>826362</v>
      </c>
      <c r="F37" s="2500">
        <v>846058</v>
      </c>
      <c r="G37" s="2501">
        <v>723931173</v>
      </c>
    </row>
    <row r="38" spans="1:7" ht="21">
      <c r="A38" s="1080" t="s">
        <v>3048</v>
      </c>
      <c r="B38" s="2492">
        <v>149.114</v>
      </c>
      <c r="C38" s="2493">
        <v>0.9173</v>
      </c>
      <c r="D38" s="2494">
        <v>838415</v>
      </c>
      <c r="E38" s="2500">
        <v>151351</v>
      </c>
      <c r="F38" s="2500">
        <v>0</v>
      </c>
      <c r="G38" s="2501">
        <v>314327877</v>
      </c>
    </row>
    <row r="39" spans="1:7" ht="21">
      <c r="A39" s="1080" t="s">
        <v>3049</v>
      </c>
      <c r="B39" s="2492">
        <v>398.28100000000001</v>
      </c>
      <c r="C39" s="2493">
        <v>1.04</v>
      </c>
      <c r="D39" s="2494">
        <v>0</v>
      </c>
      <c r="E39" s="2500">
        <v>0</v>
      </c>
      <c r="F39" s="2500">
        <v>0</v>
      </c>
      <c r="G39" s="2501">
        <v>258737482</v>
      </c>
    </row>
    <row r="40" spans="1:7" ht="21">
      <c r="A40" s="1080" t="s">
        <v>1313</v>
      </c>
      <c r="B40" s="2492">
        <v>764.86400000000003</v>
      </c>
      <c r="C40" s="2493">
        <v>1.17</v>
      </c>
      <c r="D40" s="2494">
        <v>467572</v>
      </c>
      <c r="E40" s="2500">
        <v>205339</v>
      </c>
      <c r="F40" s="2500">
        <v>197330</v>
      </c>
      <c r="G40" s="2501">
        <v>137894959</v>
      </c>
    </row>
    <row r="41" spans="1:7" ht="21">
      <c r="A41" s="1080" t="s">
        <v>2449</v>
      </c>
      <c r="B41" s="2492">
        <v>1282.5229999999999</v>
      </c>
      <c r="C41" s="2493">
        <v>1.04</v>
      </c>
      <c r="D41" s="2494">
        <v>1322268</v>
      </c>
      <c r="E41" s="2500">
        <v>267740</v>
      </c>
      <c r="F41" s="2500">
        <v>0</v>
      </c>
      <c r="G41" s="2501">
        <v>272093880</v>
      </c>
    </row>
    <row r="42" spans="1:7" ht="21">
      <c r="A42" s="1080" t="s">
        <v>1895</v>
      </c>
      <c r="B42" s="2492">
        <v>350.71300000000002</v>
      </c>
      <c r="C42" s="2493">
        <v>1.04</v>
      </c>
      <c r="D42" s="2494">
        <v>117621</v>
      </c>
      <c r="E42" s="2500">
        <v>34805</v>
      </c>
      <c r="F42" s="2500">
        <v>75674</v>
      </c>
      <c r="G42" s="2501">
        <v>95631478</v>
      </c>
    </row>
    <row r="43" spans="1:7" ht="21">
      <c r="A43" s="1080" t="s">
        <v>1898</v>
      </c>
      <c r="B43" s="2492">
        <v>9858.17</v>
      </c>
      <c r="C43" s="2493">
        <v>1.17</v>
      </c>
      <c r="D43" s="2494">
        <v>6615487</v>
      </c>
      <c r="E43" s="2500">
        <v>5659873</v>
      </c>
      <c r="F43" s="2500">
        <v>627795</v>
      </c>
      <c r="G43" s="2501">
        <v>2262560690</v>
      </c>
    </row>
    <row r="44" spans="1:7" ht="21">
      <c r="A44" s="1080" t="s">
        <v>198</v>
      </c>
      <c r="B44" s="2492">
        <v>609.29399999999998</v>
      </c>
      <c r="C44" s="2493">
        <v>1.04</v>
      </c>
      <c r="D44" s="2494">
        <v>209299</v>
      </c>
      <c r="E44" s="2500">
        <v>56865</v>
      </c>
      <c r="F44" s="2500">
        <v>143561</v>
      </c>
      <c r="G44" s="2501">
        <v>90358444</v>
      </c>
    </row>
    <row r="45" spans="1:7" ht="21">
      <c r="A45" s="1080" t="s">
        <v>60</v>
      </c>
      <c r="B45" s="2492">
        <v>38386.938999999998</v>
      </c>
      <c r="C45" s="2493">
        <v>1.04</v>
      </c>
      <c r="D45" s="2494">
        <v>5938579</v>
      </c>
      <c r="E45" s="2500">
        <v>54618</v>
      </c>
      <c r="F45" s="2500">
        <v>5729435</v>
      </c>
      <c r="G45" s="2501">
        <v>6691878611</v>
      </c>
    </row>
    <row r="46" spans="1:7" ht="21">
      <c r="A46" s="1080" t="s">
        <v>192</v>
      </c>
      <c r="B46" s="2492">
        <v>820.12</v>
      </c>
      <c r="C46" s="2493">
        <v>1.04</v>
      </c>
      <c r="D46" s="2494">
        <v>478856</v>
      </c>
      <c r="E46" s="2500">
        <v>193682</v>
      </c>
      <c r="F46" s="2500">
        <v>104176</v>
      </c>
      <c r="G46" s="2501">
        <v>155437297</v>
      </c>
    </row>
    <row r="47" spans="1:7" ht="21">
      <c r="A47" s="1080" t="s">
        <v>1487</v>
      </c>
      <c r="B47" s="2492">
        <v>1469.03</v>
      </c>
      <c r="C47" s="2493">
        <v>1.04</v>
      </c>
      <c r="D47" s="2494">
        <v>1686100</v>
      </c>
      <c r="E47" s="2500">
        <v>1192800</v>
      </c>
      <c r="F47" s="2500">
        <v>211190</v>
      </c>
      <c r="G47" s="2501">
        <v>652315775</v>
      </c>
    </row>
    <row r="48" spans="1:7" ht="21">
      <c r="A48" s="1080" t="s">
        <v>1707</v>
      </c>
      <c r="B48" s="2492">
        <v>7809.7539999999999</v>
      </c>
      <c r="C48" s="2493">
        <v>1.1200000000000001</v>
      </c>
      <c r="D48" s="2494">
        <v>8237315</v>
      </c>
      <c r="E48" s="2500">
        <v>5042231</v>
      </c>
      <c r="F48" s="2500">
        <v>2174828</v>
      </c>
      <c r="G48" s="2501">
        <v>2870145855</v>
      </c>
    </row>
    <row r="49" spans="1:7" ht="21">
      <c r="A49" s="1080" t="s">
        <v>1712</v>
      </c>
      <c r="B49" s="2492">
        <v>1381.92</v>
      </c>
      <c r="C49" s="2493">
        <v>1.04</v>
      </c>
      <c r="D49" s="2494">
        <v>835509</v>
      </c>
      <c r="E49" s="2500">
        <v>418674</v>
      </c>
      <c r="F49" s="2500">
        <v>324360</v>
      </c>
      <c r="G49" s="2501">
        <v>272913610</v>
      </c>
    </row>
    <row r="50" spans="1:7" ht="21">
      <c r="A50" s="1080" t="s">
        <v>463</v>
      </c>
      <c r="B50" s="2492">
        <v>4529.232</v>
      </c>
      <c r="C50" s="2493">
        <v>1.06</v>
      </c>
      <c r="D50" s="2494">
        <v>7896718</v>
      </c>
      <c r="E50" s="2500">
        <v>2541320</v>
      </c>
      <c r="F50" s="2500">
        <v>0</v>
      </c>
      <c r="G50" s="2501">
        <v>5199767055</v>
      </c>
    </row>
    <row r="51" spans="1:7" ht="21">
      <c r="A51" s="1080" t="s">
        <v>2125</v>
      </c>
      <c r="B51" s="2492">
        <v>13782.022000000001</v>
      </c>
      <c r="C51" s="2493">
        <v>1.17</v>
      </c>
      <c r="D51" s="2494">
        <v>4252437</v>
      </c>
      <c r="E51" s="2500">
        <v>2310625</v>
      </c>
      <c r="F51" s="2500">
        <v>1499248</v>
      </c>
      <c r="G51" s="2501">
        <v>1164327686</v>
      </c>
    </row>
    <row r="52" spans="1:7" ht="21">
      <c r="A52" s="1080" t="s">
        <v>874</v>
      </c>
      <c r="B52" s="2492">
        <v>10625.8</v>
      </c>
      <c r="C52" s="2493">
        <v>1.17</v>
      </c>
      <c r="D52" s="2494">
        <v>1901627</v>
      </c>
      <c r="E52" s="2500">
        <v>268465</v>
      </c>
      <c r="F52" s="2500">
        <v>1622141</v>
      </c>
      <c r="G52" s="2501">
        <v>926988931</v>
      </c>
    </row>
    <row r="53" spans="1:7" ht="21">
      <c r="A53" s="1080" t="s">
        <v>1489</v>
      </c>
      <c r="B53" s="2492">
        <v>48294.031999999999</v>
      </c>
      <c r="C53" s="2493">
        <v>1.04</v>
      </c>
      <c r="D53" s="2494">
        <v>43316660</v>
      </c>
      <c r="E53" s="2500">
        <v>13847857</v>
      </c>
      <c r="F53" s="2500">
        <v>24761163</v>
      </c>
      <c r="G53" s="2501">
        <v>12244792815</v>
      </c>
    </row>
    <row r="54" spans="1:7" ht="21">
      <c r="A54" s="1080" t="s">
        <v>1699</v>
      </c>
      <c r="B54" s="2492">
        <v>9085.5229999999992</v>
      </c>
      <c r="C54" s="2493">
        <v>1.04</v>
      </c>
      <c r="D54" s="2494">
        <v>5650113</v>
      </c>
      <c r="E54" s="2500">
        <v>2669222</v>
      </c>
      <c r="F54" s="2500">
        <v>2538458</v>
      </c>
      <c r="G54" s="2501">
        <v>1322016213</v>
      </c>
    </row>
    <row r="55" spans="1:7" ht="21">
      <c r="A55" s="1080" t="s">
        <v>1316</v>
      </c>
      <c r="B55" s="2492">
        <v>3625.6480000000001</v>
      </c>
      <c r="C55" s="2493">
        <v>1.17</v>
      </c>
      <c r="D55" s="2494">
        <v>470461</v>
      </c>
      <c r="E55" s="2500">
        <v>78649</v>
      </c>
      <c r="F55" s="2500">
        <v>650308</v>
      </c>
      <c r="G55" s="2501">
        <v>368222760</v>
      </c>
    </row>
    <row r="56" spans="1:7" ht="21">
      <c r="A56" s="1080" t="s">
        <v>1587</v>
      </c>
      <c r="B56" s="2492">
        <v>63844.451000000001</v>
      </c>
      <c r="C56" s="2493">
        <v>1.04</v>
      </c>
      <c r="D56" s="2494">
        <v>122228219</v>
      </c>
      <c r="E56" s="2500">
        <v>64802118</v>
      </c>
      <c r="F56" s="2500">
        <v>2282526</v>
      </c>
      <c r="G56" s="2501">
        <v>28725236983</v>
      </c>
    </row>
    <row r="57" spans="1:7" ht="21">
      <c r="A57" s="1080" t="s">
        <v>871</v>
      </c>
      <c r="B57" s="2492">
        <v>9027.8639999999996</v>
      </c>
      <c r="C57" s="2493">
        <v>1.04</v>
      </c>
      <c r="D57" s="2494">
        <v>5899354</v>
      </c>
      <c r="E57" s="2500">
        <v>1833806</v>
      </c>
      <c r="F57" s="2500">
        <v>4203766</v>
      </c>
      <c r="G57" s="2501">
        <v>2386434961</v>
      </c>
    </row>
    <row r="58" spans="1:7" ht="21">
      <c r="A58" s="1080" t="s">
        <v>807</v>
      </c>
      <c r="B58" s="2492">
        <v>12551.973</v>
      </c>
      <c r="C58" s="2493">
        <v>1.04</v>
      </c>
      <c r="D58" s="2494">
        <v>10531657</v>
      </c>
      <c r="E58" s="2500">
        <v>457371</v>
      </c>
      <c r="F58" s="2500">
        <v>4465863</v>
      </c>
      <c r="G58" s="2501">
        <v>2306182633</v>
      </c>
    </row>
    <row r="59" spans="1:7" ht="21">
      <c r="A59" s="1080" t="s">
        <v>1589</v>
      </c>
      <c r="B59" s="2492">
        <v>96475.442999999999</v>
      </c>
      <c r="C59" s="2493">
        <v>1.04</v>
      </c>
      <c r="D59" s="2494">
        <v>126740037</v>
      </c>
      <c r="E59" s="2500">
        <v>97922575</v>
      </c>
      <c r="F59" s="2500">
        <v>2386976</v>
      </c>
      <c r="G59" s="2501">
        <v>35379831954</v>
      </c>
    </row>
    <row r="60" spans="1:7" ht="21">
      <c r="A60" s="1080" t="s">
        <v>53</v>
      </c>
      <c r="B60" s="2492">
        <v>21716.407999999999</v>
      </c>
      <c r="C60" s="2493">
        <v>1.04</v>
      </c>
      <c r="D60" s="2494">
        <v>26069427</v>
      </c>
      <c r="E60" s="2500">
        <v>17736534</v>
      </c>
      <c r="F60" s="2500">
        <v>7379632</v>
      </c>
      <c r="G60" s="2501">
        <v>6379848331</v>
      </c>
    </row>
    <row r="61" spans="1:7" ht="21">
      <c r="A61" s="1080" t="s">
        <v>1700</v>
      </c>
      <c r="B61" s="2492">
        <v>4861.8999999999996</v>
      </c>
      <c r="C61" s="2493">
        <v>1.1507000000000001</v>
      </c>
      <c r="D61" s="2494">
        <v>2654633</v>
      </c>
      <c r="E61" s="2500">
        <v>32749</v>
      </c>
      <c r="F61" s="2500">
        <v>1987775</v>
      </c>
      <c r="G61" s="2501">
        <v>777266802</v>
      </c>
    </row>
    <row r="62" spans="1:7" ht="21">
      <c r="A62" s="1080" t="s">
        <v>1377</v>
      </c>
      <c r="B62" s="2492">
        <v>660.80399999999997</v>
      </c>
      <c r="C62" s="2493">
        <v>1.04</v>
      </c>
      <c r="D62" s="2494">
        <v>671644</v>
      </c>
      <c r="E62" s="2500">
        <v>363388</v>
      </c>
      <c r="F62" s="2500">
        <v>0</v>
      </c>
      <c r="G62" s="2501">
        <v>582059852</v>
      </c>
    </row>
    <row r="63" spans="1:7" ht="21">
      <c r="A63" s="1080" t="s">
        <v>986</v>
      </c>
      <c r="B63" s="2492">
        <v>939.91</v>
      </c>
      <c r="C63" s="2493">
        <v>1.04</v>
      </c>
      <c r="D63" s="2494">
        <v>1124595</v>
      </c>
      <c r="E63" s="2500">
        <v>427054</v>
      </c>
      <c r="F63" s="2500">
        <v>248495</v>
      </c>
      <c r="G63" s="2501">
        <v>689159621</v>
      </c>
    </row>
    <row r="64" spans="1:7" ht="21">
      <c r="A64" s="1080" t="s">
        <v>1378</v>
      </c>
      <c r="B64" s="2492">
        <v>240.39599999999999</v>
      </c>
      <c r="C64" s="2493">
        <v>1.04</v>
      </c>
      <c r="D64" s="2494">
        <v>2684914</v>
      </c>
      <c r="E64" s="2500">
        <v>244002</v>
      </c>
      <c r="F64" s="2500">
        <v>0</v>
      </c>
      <c r="G64" s="2501">
        <v>881721650</v>
      </c>
    </row>
    <row r="65" spans="1:7" ht="21">
      <c r="A65" s="1080" t="s">
        <v>628</v>
      </c>
      <c r="B65" s="2492">
        <v>950.851</v>
      </c>
      <c r="C65" s="2493">
        <v>1.04</v>
      </c>
      <c r="D65" s="2494">
        <v>595126</v>
      </c>
      <c r="E65" s="2500">
        <v>124063</v>
      </c>
      <c r="F65" s="2500">
        <v>314735</v>
      </c>
      <c r="G65" s="2501">
        <v>652383388</v>
      </c>
    </row>
    <row r="66" spans="1:7" ht="21">
      <c r="A66" s="1080" t="s">
        <v>1379</v>
      </c>
      <c r="B66" s="2492">
        <v>466.315</v>
      </c>
      <c r="C66" s="2493">
        <v>1.04</v>
      </c>
      <c r="D66" s="2494">
        <v>471986</v>
      </c>
      <c r="E66" s="2500">
        <v>335068</v>
      </c>
      <c r="F66" s="2500">
        <v>113769</v>
      </c>
      <c r="G66" s="2501">
        <v>147709936</v>
      </c>
    </row>
    <row r="67" spans="1:7" ht="21">
      <c r="A67" s="1080" t="s">
        <v>1273</v>
      </c>
      <c r="B67" s="2492">
        <v>99.376000000000005</v>
      </c>
      <c r="C67" s="2493">
        <v>1.04</v>
      </c>
      <c r="D67" s="2494">
        <v>0</v>
      </c>
      <c r="E67" s="2500">
        <v>0</v>
      </c>
      <c r="F67" s="2500">
        <v>0</v>
      </c>
      <c r="G67" s="2501">
        <v>56523524</v>
      </c>
    </row>
    <row r="68" spans="1:7" ht="21">
      <c r="A68" s="1080" t="s">
        <v>1274</v>
      </c>
      <c r="B68" s="2492">
        <v>576.68299999999999</v>
      </c>
      <c r="C68" s="2493">
        <v>1.04</v>
      </c>
      <c r="D68" s="2494">
        <v>548058</v>
      </c>
      <c r="E68" s="2500">
        <v>362360</v>
      </c>
      <c r="F68" s="2500">
        <v>158403</v>
      </c>
      <c r="G68" s="2501">
        <v>197716489</v>
      </c>
    </row>
    <row r="69" spans="1:7" ht="21">
      <c r="A69" s="1080" t="s">
        <v>2174</v>
      </c>
      <c r="B69" s="2492">
        <v>157.999</v>
      </c>
      <c r="C69" s="2493">
        <v>0.89990000000000003</v>
      </c>
      <c r="D69" s="2494">
        <v>0</v>
      </c>
      <c r="E69" s="2500">
        <v>0</v>
      </c>
      <c r="F69" s="2500">
        <v>0</v>
      </c>
      <c r="G69" s="2501">
        <v>69716543</v>
      </c>
    </row>
    <row r="70" spans="1:7" ht="21">
      <c r="A70" s="1080" t="s">
        <v>1846</v>
      </c>
      <c r="B70" s="2492">
        <v>131.101</v>
      </c>
      <c r="C70" s="2493">
        <v>1.0349999999999999</v>
      </c>
      <c r="D70" s="2494">
        <v>70152</v>
      </c>
      <c r="E70" s="2500">
        <v>35613</v>
      </c>
      <c r="F70" s="2500">
        <v>0</v>
      </c>
      <c r="G70" s="2501">
        <v>97375199</v>
      </c>
    </row>
    <row r="71" spans="1:7" ht="21">
      <c r="A71" s="1080" t="s">
        <v>1847</v>
      </c>
      <c r="B71" s="2492">
        <v>208.739</v>
      </c>
      <c r="C71" s="2493">
        <v>1.04</v>
      </c>
      <c r="D71" s="2494">
        <v>22274</v>
      </c>
      <c r="E71" s="2500">
        <v>16265</v>
      </c>
      <c r="F71" s="2500">
        <v>0</v>
      </c>
      <c r="G71" s="2501">
        <v>99680918</v>
      </c>
    </row>
    <row r="72" spans="1:7" ht="21">
      <c r="A72" s="1080" t="s">
        <v>1848</v>
      </c>
      <c r="B72" s="2492">
        <v>114.93300000000001</v>
      </c>
      <c r="C72" s="2493">
        <v>1.04</v>
      </c>
      <c r="D72" s="2494">
        <v>0</v>
      </c>
      <c r="E72" s="2500">
        <v>0</v>
      </c>
      <c r="F72" s="2500">
        <v>0</v>
      </c>
      <c r="G72" s="2501">
        <v>74524232</v>
      </c>
    </row>
    <row r="73" spans="1:7" ht="21">
      <c r="A73" s="1080" t="s">
        <v>997</v>
      </c>
      <c r="B73" s="2492">
        <v>736.31200000000001</v>
      </c>
      <c r="C73" s="2493">
        <v>1.17</v>
      </c>
      <c r="D73" s="2494">
        <v>0</v>
      </c>
      <c r="E73" s="2500">
        <v>0</v>
      </c>
      <c r="F73" s="2500">
        <v>0</v>
      </c>
      <c r="G73" s="2501">
        <v>170003116</v>
      </c>
    </row>
    <row r="74" spans="1:7" ht="21">
      <c r="A74" s="1080" t="s">
        <v>808</v>
      </c>
      <c r="B74" s="2492">
        <v>803.65300000000002</v>
      </c>
      <c r="C74" s="2493">
        <v>1.17</v>
      </c>
      <c r="D74" s="2494">
        <v>337620</v>
      </c>
      <c r="E74" s="2500">
        <v>0</v>
      </c>
      <c r="F74" s="2500">
        <v>369995</v>
      </c>
      <c r="G74" s="2501">
        <v>149902693</v>
      </c>
    </row>
    <row r="75" spans="1:7" ht="21">
      <c r="A75" s="1080" t="s">
        <v>2450</v>
      </c>
      <c r="B75" s="2492">
        <v>434.30900000000003</v>
      </c>
      <c r="C75" s="2493">
        <v>1.17</v>
      </c>
      <c r="D75" s="2494">
        <v>23983</v>
      </c>
      <c r="E75" s="2500">
        <v>1509</v>
      </c>
      <c r="F75" s="2500">
        <v>24344</v>
      </c>
      <c r="G75" s="2501">
        <v>55436980</v>
      </c>
    </row>
    <row r="76" spans="1:7" ht="21">
      <c r="A76" s="1080" t="s">
        <v>3034</v>
      </c>
      <c r="B76" s="2492">
        <v>1225.289</v>
      </c>
      <c r="C76" s="2493">
        <v>1.17</v>
      </c>
      <c r="D76" s="2494">
        <v>972419</v>
      </c>
      <c r="E76" s="2500">
        <v>752172</v>
      </c>
      <c r="F76" s="2500">
        <v>172713</v>
      </c>
      <c r="G76" s="2501">
        <v>390277289</v>
      </c>
    </row>
    <row r="77" spans="1:7" ht="21">
      <c r="A77" s="1080" t="s">
        <v>1252</v>
      </c>
      <c r="B77" s="2492">
        <v>1062.02</v>
      </c>
      <c r="C77" s="2493">
        <v>1.17</v>
      </c>
      <c r="D77" s="2494">
        <v>219374</v>
      </c>
      <c r="E77" s="2500">
        <v>215611</v>
      </c>
      <c r="F77" s="2500">
        <v>0</v>
      </c>
      <c r="G77" s="2501">
        <v>208173112</v>
      </c>
    </row>
    <row r="78" spans="1:7" ht="21">
      <c r="A78" s="1080" t="s">
        <v>1253</v>
      </c>
      <c r="B78" s="2492">
        <v>6480.5820000000003</v>
      </c>
      <c r="C78" s="2493">
        <v>1.17</v>
      </c>
      <c r="D78" s="2494">
        <v>3161780</v>
      </c>
      <c r="E78" s="2500">
        <v>3147601</v>
      </c>
      <c r="F78" s="2500">
        <v>0</v>
      </c>
      <c r="G78" s="2501">
        <v>1854466819</v>
      </c>
    </row>
    <row r="79" spans="1:7" ht="21">
      <c r="A79" s="1080" t="s">
        <v>1285</v>
      </c>
      <c r="B79" s="2492">
        <v>2328.018</v>
      </c>
      <c r="C79" s="2493">
        <v>1.17</v>
      </c>
      <c r="D79" s="2494">
        <v>487322</v>
      </c>
      <c r="E79" s="2500">
        <v>263308</v>
      </c>
      <c r="F79" s="2500">
        <v>0</v>
      </c>
      <c r="G79" s="2501">
        <v>514942376</v>
      </c>
    </row>
    <row r="80" spans="1:7" ht="21">
      <c r="A80" s="1080" t="s">
        <v>2451</v>
      </c>
      <c r="B80" s="2492">
        <v>463.40300000000002</v>
      </c>
      <c r="C80" s="2493">
        <v>1.04</v>
      </c>
      <c r="D80" s="2494">
        <v>81112</v>
      </c>
      <c r="E80" s="2500">
        <v>0</v>
      </c>
      <c r="F80" s="2500">
        <v>75292</v>
      </c>
      <c r="G80" s="2501">
        <v>102490297</v>
      </c>
    </row>
    <row r="81" spans="1:7" ht="21">
      <c r="A81" s="1080" t="s">
        <v>1110</v>
      </c>
      <c r="B81" s="2492">
        <v>116.036</v>
      </c>
      <c r="C81" s="2493">
        <v>1.04</v>
      </c>
      <c r="D81" s="2494">
        <v>1220</v>
      </c>
      <c r="E81" s="2500">
        <v>0</v>
      </c>
      <c r="F81" s="2500">
        <v>10247</v>
      </c>
      <c r="G81" s="2501">
        <v>19151534</v>
      </c>
    </row>
    <row r="82" spans="1:7" ht="21">
      <c r="A82" s="1080" t="s">
        <v>953</v>
      </c>
      <c r="B82" s="2492">
        <v>506.77499999999998</v>
      </c>
      <c r="C82" s="2493">
        <v>1.04</v>
      </c>
      <c r="D82" s="2494">
        <v>472811</v>
      </c>
      <c r="E82" s="2500">
        <v>267074</v>
      </c>
      <c r="F82" s="2500">
        <v>0</v>
      </c>
      <c r="G82" s="2501">
        <v>179404607</v>
      </c>
    </row>
    <row r="83" spans="1:7" ht="21">
      <c r="A83" s="1080" t="s">
        <v>1286</v>
      </c>
      <c r="B83" s="2492">
        <v>1978.7460000000001</v>
      </c>
      <c r="C83" s="2493">
        <v>1.0900000000000001</v>
      </c>
      <c r="D83" s="2494">
        <v>2957924</v>
      </c>
      <c r="E83" s="2500">
        <v>2008427</v>
      </c>
      <c r="F83" s="2500">
        <v>0</v>
      </c>
      <c r="G83" s="2501">
        <v>844577637</v>
      </c>
    </row>
    <row r="84" spans="1:7" ht="21">
      <c r="A84" s="1080" t="s">
        <v>1287</v>
      </c>
      <c r="B84" s="2492">
        <v>75.882999999999996</v>
      </c>
      <c r="C84" s="2493">
        <v>1.04</v>
      </c>
      <c r="D84" s="2494">
        <v>0</v>
      </c>
      <c r="E84" s="2500">
        <v>0</v>
      </c>
      <c r="F84" s="2500">
        <v>0</v>
      </c>
      <c r="G84" s="2501">
        <v>19052984</v>
      </c>
    </row>
    <row r="85" spans="1:7" ht="21">
      <c r="A85" s="1080" t="s">
        <v>954</v>
      </c>
      <c r="B85" s="2492">
        <v>104.59699999999999</v>
      </c>
      <c r="C85" s="2493">
        <v>1.04</v>
      </c>
      <c r="D85" s="2494">
        <v>0</v>
      </c>
      <c r="E85" s="2500">
        <v>0</v>
      </c>
      <c r="F85" s="2500">
        <v>0</v>
      </c>
      <c r="G85" s="2501">
        <v>38267273</v>
      </c>
    </row>
    <row r="86" spans="1:7" ht="21">
      <c r="A86" s="1080" t="s">
        <v>207</v>
      </c>
      <c r="B86" s="2492">
        <v>19589.008000000002</v>
      </c>
      <c r="C86" s="2493">
        <v>1.04</v>
      </c>
      <c r="D86" s="2494">
        <v>23207747</v>
      </c>
      <c r="E86" s="2500">
        <v>12750245</v>
      </c>
      <c r="F86" s="2500">
        <v>1353122</v>
      </c>
      <c r="G86" s="2501">
        <v>4410904148</v>
      </c>
    </row>
    <row r="87" spans="1:7" ht="21">
      <c r="A87" s="1080" t="s">
        <v>1035</v>
      </c>
      <c r="B87" s="2492">
        <v>6291.8729999999996</v>
      </c>
      <c r="C87" s="2493">
        <v>1.04</v>
      </c>
      <c r="D87" s="2494">
        <v>9456944</v>
      </c>
      <c r="E87" s="2500">
        <v>6180026</v>
      </c>
      <c r="F87" s="2500">
        <v>0</v>
      </c>
      <c r="G87" s="2501">
        <v>2131043563</v>
      </c>
    </row>
    <row r="88" spans="1:7" ht="21">
      <c r="A88" s="1080" t="s">
        <v>809</v>
      </c>
      <c r="B88" s="2492">
        <v>749.11699999999996</v>
      </c>
      <c r="C88" s="2493">
        <v>1.17</v>
      </c>
      <c r="D88" s="2494">
        <v>156188</v>
      </c>
      <c r="E88" s="2500">
        <v>48984</v>
      </c>
      <c r="F88" s="2500">
        <v>151459</v>
      </c>
      <c r="G88" s="2501">
        <v>211376736</v>
      </c>
    </row>
    <row r="89" spans="1:7" ht="21">
      <c r="A89" s="1080" t="s">
        <v>1321</v>
      </c>
      <c r="B89" s="2492">
        <v>11480.455</v>
      </c>
      <c r="C89" s="2493">
        <v>1.04</v>
      </c>
      <c r="D89" s="2494">
        <v>14411882</v>
      </c>
      <c r="E89" s="2500">
        <v>8470344</v>
      </c>
      <c r="F89" s="2500">
        <v>0</v>
      </c>
      <c r="G89" s="2501">
        <v>6871026202</v>
      </c>
    </row>
    <row r="90" spans="1:7" ht="21">
      <c r="A90" s="1080" t="s">
        <v>1322</v>
      </c>
      <c r="B90" s="2492">
        <v>1810.473</v>
      </c>
      <c r="C90" s="2493">
        <v>1.04</v>
      </c>
      <c r="D90" s="2494">
        <v>2454897</v>
      </c>
      <c r="E90" s="2500">
        <v>1021716</v>
      </c>
      <c r="F90" s="2500">
        <v>0</v>
      </c>
      <c r="G90" s="2501">
        <v>1517233633</v>
      </c>
    </row>
    <row r="91" spans="1:7" ht="21">
      <c r="A91" s="1080" t="s">
        <v>1616</v>
      </c>
      <c r="B91" s="2492">
        <v>2845.585</v>
      </c>
      <c r="C91" s="2493">
        <v>1.04</v>
      </c>
      <c r="D91" s="2494">
        <v>2388812</v>
      </c>
      <c r="E91" s="2500">
        <v>2084888</v>
      </c>
      <c r="F91" s="2500">
        <v>320068</v>
      </c>
      <c r="G91" s="2501">
        <v>882119676</v>
      </c>
    </row>
    <row r="92" spans="1:7" ht="21">
      <c r="A92" s="1080" t="s">
        <v>235</v>
      </c>
      <c r="B92" s="2492">
        <v>19597.310000000001</v>
      </c>
      <c r="C92" s="2493">
        <v>1.04</v>
      </c>
      <c r="D92" s="2494">
        <v>22642369</v>
      </c>
      <c r="E92" s="2500">
        <v>16541167</v>
      </c>
      <c r="F92" s="2500">
        <v>305812</v>
      </c>
      <c r="G92" s="2501">
        <v>5729594934</v>
      </c>
    </row>
    <row r="93" spans="1:7" ht="21">
      <c r="A93" s="1080" t="s">
        <v>1323</v>
      </c>
      <c r="B93" s="2492">
        <v>165.58199999999999</v>
      </c>
      <c r="C93" s="2493">
        <v>1.17</v>
      </c>
      <c r="D93" s="2494">
        <v>0</v>
      </c>
      <c r="E93" s="2500">
        <v>0</v>
      </c>
      <c r="F93" s="2500">
        <v>0</v>
      </c>
      <c r="G93" s="2501">
        <v>46160658</v>
      </c>
    </row>
    <row r="94" spans="1:7" ht="21">
      <c r="A94" s="1080" t="s">
        <v>631</v>
      </c>
      <c r="B94" s="2492">
        <v>11715.695</v>
      </c>
      <c r="C94" s="2493">
        <v>1.04</v>
      </c>
      <c r="D94" s="2494">
        <v>24352205</v>
      </c>
      <c r="E94" s="2500">
        <v>11663069</v>
      </c>
      <c r="F94" s="2500">
        <v>1632000</v>
      </c>
      <c r="G94" s="2501">
        <v>6720740444</v>
      </c>
    </row>
    <row r="95" spans="1:7" ht="21">
      <c r="A95" s="1080" t="s">
        <v>994</v>
      </c>
      <c r="B95" s="2492">
        <v>14823.186</v>
      </c>
      <c r="C95" s="2493">
        <v>1.04</v>
      </c>
      <c r="D95" s="2494">
        <v>15657219</v>
      </c>
      <c r="E95" s="2500">
        <v>11552887</v>
      </c>
      <c r="F95" s="2500">
        <v>1289677</v>
      </c>
      <c r="G95" s="2501">
        <v>5558215024</v>
      </c>
    </row>
    <row r="96" spans="1:7" ht="21">
      <c r="A96" s="1080" t="s">
        <v>2918</v>
      </c>
      <c r="B96" s="2492">
        <v>84.406000000000006</v>
      </c>
      <c r="C96" s="2493">
        <v>1.04</v>
      </c>
      <c r="D96" s="2494">
        <v>0</v>
      </c>
      <c r="E96" s="2500">
        <v>0</v>
      </c>
      <c r="F96" s="2500">
        <v>0</v>
      </c>
      <c r="G96" s="2501">
        <v>63652371</v>
      </c>
    </row>
    <row r="97" spans="1:7" ht="21">
      <c r="A97" s="1080" t="s">
        <v>440</v>
      </c>
      <c r="B97" s="2492">
        <v>949.89300000000003</v>
      </c>
      <c r="C97" s="2493">
        <v>1.17</v>
      </c>
      <c r="D97" s="2494">
        <v>353452</v>
      </c>
      <c r="E97" s="2500">
        <v>285282</v>
      </c>
      <c r="F97" s="2500">
        <v>0</v>
      </c>
      <c r="G97" s="2501">
        <v>408360911</v>
      </c>
    </row>
    <row r="98" spans="1:7" ht="21">
      <c r="A98" s="1080" t="s">
        <v>441</v>
      </c>
      <c r="B98" s="2492">
        <v>39.725000000000001</v>
      </c>
      <c r="C98" s="2493">
        <v>1.1463000000000001</v>
      </c>
      <c r="D98" s="2494">
        <v>0</v>
      </c>
      <c r="E98" s="2500">
        <v>0</v>
      </c>
      <c r="F98" s="2500">
        <v>0</v>
      </c>
      <c r="G98" s="2501">
        <v>67399603</v>
      </c>
    </row>
    <row r="99" spans="1:7" ht="21">
      <c r="A99" s="1080" t="s">
        <v>442</v>
      </c>
      <c r="B99" s="2492">
        <v>26.419</v>
      </c>
      <c r="C99" s="2493">
        <v>1.04</v>
      </c>
      <c r="D99" s="2494">
        <v>0</v>
      </c>
      <c r="E99" s="2500">
        <v>0</v>
      </c>
      <c r="F99" s="2500">
        <v>0</v>
      </c>
      <c r="G99" s="2501">
        <v>6906579</v>
      </c>
    </row>
    <row r="100" spans="1:7" ht="21">
      <c r="A100" s="1080" t="s">
        <v>443</v>
      </c>
      <c r="B100" s="2492">
        <v>171.05199999999999</v>
      </c>
      <c r="C100" s="2493">
        <v>0.95499999999999996</v>
      </c>
      <c r="D100" s="2494">
        <v>0</v>
      </c>
      <c r="E100" s="2500">
        <v>0</v>
      </c>
      <c r="F100" s="2500">
        <v>0</v>
      </c>
      <c r="G100" s="2501">
        <v>108276202</v>
      </c>
    </row>
    <row r="101" spans="1:7" ht="21">
      <c r="A101" s="1080" t="s">
        <v>745</v>
      </c>
      <c r="B101" s="2492">
        <v>1408.761</v>
      </c>
      <c r="C101" s="2493">
        <v>1.0385</v>
      </c>
      <c r="D101" s="2494">
        <v>2576181</v>
      </c>
      <c r="E101" s="2500">
        <v>1429892</v>
      </c>
      <c r="F101" s="2500">
        <v>0</v>
      </c>
      <c r="G101" s="2501">
        <v>531592166</v>
      </c>
    </row>
    <row r="102" spans="1:7" ht="21">
      <c r="A102" s="1080" t="s">
        <v>746</v>
      </c>
      <c r="B102" s="2492">
        <v>963.37699999999995</v>
      </c>
      <c r="C102" s="2493">
        <v>1.04</v>
      </c>
      <c r="D102" s="2494">
        <v>509771</v>
      </c>
      <c r="E102" s="2500">
        <v>468224</v>
      </c>
      <c r="F102" s="2500">
        <v>0</v>
      </c>
      <c r="G102" s="2501">
        <v>288740568</v>
      </c>
    </row>
    <row r="103" spans="1:7" ht="21">
      <c r="A103" s="1080" t="s">
        <v>747</v>
      </c>
      <c r="B103" s="2492">
        <v>3315.8870000000002</v>
      </c>
      <c r="C103" s="2493">
        <v>1.04</v>
      </c>
      <c r="D103" s="2494">
        <v>2719649</v>
      </c>
      <c r="E103" s="2500">
        <v>2608028</v>
      </c>
      <c r="F103" s="2500">
        <v>0</v>
      </c>
      <c r="G103" s="2501">
        <v>1171228039</v>
      </c>
    </row>
    <row r="104" spans="1:7" ht="21">
      <c r="A104" s="1080" t="s">
        <v>988</v>
      </c>
      <c r="B104" s="2492">
        <v>187.78</v>
      </c>
      <c r="C104" s="2493">
        <v>1.04</v>
      </c>
      <c r="D104" s="2494">
        <v>28337</v>
      </c>
      <c r="E104" s="2500">
        <v>0</v>
      </c>
      <c r="F104" s="2500">
        <v>26925</v>
      </c>
      <c r="G104" s="2501">
        <v>38159808</v>
      </c>
    </row>
    <row r="105" spans="1:7" ht="21">
      <c r="A105" s="1080" t="s">
        <v>2893</v>
      </c>
      <c r="B105" s="2492">
        <v>275.541</v>
      </c>
      <c r="C105" s="2493">
        <v>1.04</v>
      </c>
      <c r="D105" s="2494">
        <v>414703</v>
      </c>
      <c r="E105" s="2500">
        <v>205160</v>
      </c>
      <c r="F105" s="2500">
        <v>90280</v>
      </c>
      <c r="G105" s="2501">
        <v>145855603</v>
      </c>
    </row>
    <row r="106" spans="1:7" ht="21">
      <c r="A106" s="1080" t="s">
        <v>1354</v>
      </c>
      <c r="B106" s="2492">
        <v>199</v>
      </c>
      <c r="C106" s="2493">
        <v>1.04</v>
      </c>
      <c r="D106" s="2494">
        <v>122562</v>
      </c>
      <c r="E106" s="2500">
        <v>46374</v>
      </c>
      <c r="F106" s="2500">
        <v>68467</v>
      </c>
      <c r="G106" s="2501">
        <v>39568740</v>
      </c>
    </row>
    <row r="107" spans="1:7" ht="21">
      <c r="A107" s="1080" t="s">
        <v>810</v>
      </c>
      <c r="B107" s="2492">
        <v>173.548</v>
      </c>
      <c r="C107" s="2493">
        <v>1.17</v>
      </c>
      <c r="D107" s="2494">
        <v>48787</v>
      </c>
      <c r="E107" s="2500">
        <v>0</v>
      </c>
      <c r="F107" s="2500">
        <v>47692</v>
      </c>
      <c r="G107" s="2501">
        <v>72996916</v>
      </c>
    </row>
    <row r="108" spans="1:7" ht="21">
      <c r="A108" s="1080" t="s">
        <v>872</v>
      </c>
      <c r="B108" s="2492">
        <v>1170.336</v>
      </c>
      <c r="C108" s="2493">
        <v>1.17</v>
      </c>
      <c r="D108" s="2494">
        <v>626837</v>
      </c>
      <c r="E108" s="2500">
        <v>480990</v>
      </c>
      <c r="F108" s="2500">
        <v>378160</v>
      </c>
      <c r="G108" s="2501">
        <v>248200271</v>
      </c>
    </row>
    <row r="109" spans="1:7" ht="21">
      <c r="A109" s="1080" t="s">
        <v>748</v>
      </c>
      <c r="B109" s="2492">
        <v>1654.39</v>
      </c>
      <c r="C109" s="2493">
        <v>1.04</v>
      </c>
      <c r="D109" s="2494">
        <v>679209</v>
      </c>
      <c r="E109" s="2500">
        <v>541421</v>
      </c>
      <c r="F109" s="2500">
        <v>0</v>
      </c>
      <c r="G109" s="2501">
        <v>904672595</v>
      </c>
    </row>
    <row r="110" spans="1:7" ht="21">
      <c r="A110" s="1080" t="s">
        <v>749</v>
      </c>
      <c r="B110" s="2492">
        <v>427.06099999999998</v>
      </c>
      <c r="C110" s="2493">
        <v>1.04</v>
      </c>
      <c r="D110" s="2494">
        <v>203209</v>
      </c>
      <c r="E110" s="2500">
        <v>152684</v>
      </c>
      <c r="F110" s="2500">
        <v>0</v>
      </c>
      <c r="G110" s="2501">
        <v>206104615</v>
      </c>
    </row>
    <row r="111" spans="1:7" ht="21">
      <c r="A111" s="1080" t="s">
        <v>750</v>
      </c>
      <c r="B111" s="2492">
        <v>472.61599999999999</v>
      </c>
      <c r="C111" s="2493">
        <v>1.04</v>
      </c>
      <c r="D111" s="2494">
        <v>503664</v>
      </c>
      <c r="E111" s="2500">
        <v>379880</v>
      </c>
      <c r="F111" s="2500">
        <v>87398</v>
      </c>
      <c r="G111" s="2501">
        <v>134388490</v>
      </c>
    </row>
    <row r="112" spans="1:7" ht="21">
      <c r="A112" s="1080" t="s">
        <v>2154</v>
      </c>
      <c r="B112" s="2492">
        <v>2909.0410000000002</v>
      </c>
      <c r="C112" s="2493">
        <v>1.04</v>
      </c>
      <c r="D112" s="2494">
        <v>4087988</v>
      </c>
      <c r="E112" s="2500">
        <v>2001189</v>
      </c>
      <c r="F112" s="2500">
        <v>546449</v>
      </c>
      <c r="G112" s="2501">
        <v>1782215954</v>
      </c>
    </row>
    <row r="113" spans="1:7" ht="21">
      <c r="A113" s="1080" t="s">
        <v>380</v>
      </c>
      <c r="B113" s="2492">
        <v>3780.1489999999999</v>
      </c>
      <c r="C113" s="2493">
        <v>1.0532999999999999</v>
      </c>
      <c r="D113" s="2494">
        <v>6870770</v>
      </c>
      <c r="E113" s="2500">
        <v>3044377</v>
      </c>
      <c r="F113" s="2500">
        <v>0</v>
      </c>
      <c r="G113" s="2501">
        <v>2937657372</v>
      </c>
    </row>
    <row r="114" spans="1:7" ht="21">
      <c r="A114" s="1080" t="s">
        <v>497</v>
      </c>
      <c r="B114" s="2492">
        <v>4927.3760000000002</v>
      </c>
      <c r="C114" s="2493">
        <v>1.04</v>
      </c>
      <c r="D114" s="2494">
        <v>3950951</v>
      </c>
      <c r="E114" s="2500">
        <v>254585</v>
      </c>
      <c r="F114" s="2500">
        <v>1125413</v>
      </c>
      <c r="G114" s="2501">
        <v>1037165629</v>
      </c>
    </row>
    <row r="115" spans="1:7" ht="21">
      <c r="A115" s="1080" t="s">
        <v>1318</v>
      </c>
      <c r="B115" s="2492">
        <v>1249.836</v>
      </c>
      <c r="C115" s="2493">
        <v>1.0389999999999999</v>
      </c>
      <c r="D115" s="2494">
        <v>362248</v>
      </c>
      <c r="E115" s="2500">
        <v>13313</v>
      </c>
      <c r="F115" s="2500">
        <v>352232</v>
      </c>
      <c r="G115" s="2501">
        <v>465562637</v>
      </c>
    </row>
    <row r="116" spans="1:7" ht="21">
      <c r="A116" s="1080" t="s">
        <v>2631</v>
      </c>
      <c r="B116" s="2492">
        <v>147.392</v>
      </c>
      <c r="C116" s="2493">
        <v>0.98</v>
      </c>
      <c r="D116" s="2494">
        <v>0</v>
      </c>
      <c r="E116" s="2500">
        <v>0</v>
      </c>
      <c r="F116" s="2500">
        <v>0</v>
      </c>
      <c r="G116" s="2501">
        <v>143495846</v>
      </c>
    </row>
    <row r="117" spans="1:7" ht="21">
      <c r="A117" s="1080" t="s">
        <v>1535</v>
      </c>
      <c r="B117" s="2492">
        <v>3848.29</v>
      </c>
      <c r="C117" s="2493">
        <v>1.0401</v>
      </c>
      <c r="D117" s="2494">
        <v>8570422</v>
      </c>
      <c r="E117" s="2500">
        <v>908619</v>
      </c>
      <c r="F117" s="2500">
        <v>0</v>
      </c>
      <c r="G117" s="2501">
        <v>3700904119</v>
      </c>
    </row>
    <row r="118" spans="1:7" ht="21">
      <c r="A118" s="1080" t="s">
        <v>2671</v>
      </c>
      <c r="B118" s="2492">
        <v>313.24599999999998</v>
      </c>
      <c r="C118" s="2493">
        <v>1.04</v>
      </c>
      <c r="D118" s="2494">
        <v>93485</v>
      </c>
      <c r="E118" s="2500">
        <v>0</v>
      </c>
      <c r="F118" s="2500">
        <v>0</v>
      </c>
      <c r="G118" s="2501">
        <v>122376263</v>
      </c>
    </row>
    <row r="119" spans="1:7" ht="21">
      <c r="A119" s="1080" t="s">
        <v>811</v>
      </c>
      <c r="B119" s="2492">
        <v>1347.893</v>
      </c>
      <c r="C119" s="2493">
        <v>1.04</v>
      </c>
      <c r="D119" s="2494">
        <v>2054401</v>
      </c>
      <c r="E119" s="2500">
        <v>1047004</v>
      </c>
      <c r="F119" s="2500">
        <v>717278</v>
      </c>
      <c r="G119" s="2501">
        <v>562872135</v>
      </c>
    </row>
    <row r="120" spans="1:7" ht="21">
      <c r="A120" s="1080" t="s">
        <v>171</v>
      </c>
      <c r="B120" s="2492">
        <v>294.72500000000002</v>
      </c>
      <c r="C120" s="2493">
        <v>1.17</v>
      </c>
      <c r="D120" s="2494">
        <v>82329</v>
      </c>
      <c r="E120" s="2500">
        <v>0</v>
      </c>
      <c r="F120" s="2500">
        <v>94130</v>
      </c>
      <c r="G120" s="2501">
        <v>143538605</v>
      </c>
    </row>
    <row r="121" spans="1:7" ht="21">
      <c r="A121" s="1080" t="s">
        <v>2090</v>
      </c>
      <c r="B121" s="2492">
        <v>385.39100000000002</v>
      </c>
      <c r="C121" s="2493">
        <v>1.17</v>
      </c>
      <c r="D121" s="2494">
        <v>599659</v>
      </c>
      <c r="E121" s="2500">
        <v>229581</v>
      </c>
      <c r="F121" s="2500">
        <v>0</v>
      </c>
      <c r="G121" s="2501">
        <v>221134633</v>
      </c>
    </row>
    <row r="122" spans="1:7" ht="21">
      <c r="A122" s="1080" t="s">
        <v>993</v>
      </c>
      <c r="B122" s="2492">
        <v>44450.947</v>
      </c>
      <c r="C122" s="2493">
        <v>1.04</v>
      </c>
      <c r="D122" s="2494">
        <v>5698726</v>
      </c>
      <c r="E122" s="2500">
        <v>593852</v>
      </c>
      <c r="F122" s="2500">
        <v>4812562</v>
      </c>
      <c r="G122" s="2501">
        <v>5276914867</v>
      </c>
    </row>
    <row r="123" spans="1:7" ht="21">
      <c r="A123" s="1080" t="s">
        <v>2126</v>
      </c>
      <c r="B123" s="2492">
        <v>17305.152999999998</v>
      </c>
      <c r="C123" s="2493">
        <v>1.04</v>
      </c>
      <c r="D123" s="2494">
        <v>5864673</v>
      </c>
      <c r="E123" s="2500">
        <v>1956777</v>
      </c>
      <c r="F123" s="2500">
        <v>3868612</v>
      </c>
      <c r="G123" s="2501">
        <v>3250123434</v>
      </c>
    </row>
    <row r="124" spans="1:7" ht="21">
      <c r="A124" s="1080" t="s">
        <v>64</v>
      </c>
      <c r="B124" s="2492">
        <v>3292.5279999999998</v>
      </c>
      <c r="C124" s="2493">
        <v>1.17</v>
      </c>
      <c r="D124" s="2494">
        <v>491543</v>
      </c>
      <c r="E124" s="2500">
        <v>62323</v>
      </c>
      <c r="F124" s="2500">
        <v>835105</v>
      </c>
      <c r="G124" s="2501">
        <v>358770710</v>
      </c>
    </row>
    <row r="125" spans="1:7" ht="21">
      <c r="A125" s="1080" t="s">
        <v>2606</v>
      </c>
      <c r="B125" s="2492">
        <v>9806.9629999999997</v>
      </c>
      <c r="C125" s="2493">
        <v>1.17</v>
      </c>
      <c r="D125" s="2494">
        <v>331945</v>
      </c>
      <c r="E125" s="2500">
        <v>0</v>
      </c>
      <c r="F125" s="2500">
        <v>1715351</v>
      </c>
      <c r="G125" s="2501">
        <v>1415641612</v>
      </c>
    </row>
    <row r="126" spans="1:7" ht="21">
      <c r="A126" s="1080" t="s">
        <v>1892</v>
      </c>
      <c r="B126" s="2492">
        <v>2330.3919999999998</v>
      </c>
      <c r="C126" s="2493">
        <v>0.98060000000000003</v>
      </c>
      <c r="D126" s="2494">
        <v>3620699</v>
      </c>
      <c r="E126" s="2500">
        <v>830655</v>
      </c>
      <c r="F126" s="2500">
        <v>0</v>
      </c>
      <c r="G126" s="2501">
        <v>3639381647</v>
      </c>
    </row>
    <row r="127" spans="1:7" ht="21">
      <c r="A127" s="1080" t="s">
        <v>812</v>
      </c>
      <c r="B127" s="2492">
        <v>1998.473</v>
      </c>
      <c r="C127" s="2493">
        <v>1.17</v>
      </c>
      <c r="D127" s="2494">
        <v>564554</v>
      </c>
      <c r="E127" s="2500">
        <v>242756</v>
      </c>
      <c r="F127" s="2500">
        <v>525887</v>
      </c>
      <c r="G127" s="2501">
        <v>305787388</v>
      </c>
    </row>
    <row r="128" spans="1:7" ht="21">
      <c r="A128" s="1080" t="s">
        <v>1490</v>
      </c>
      <c r="B128" s="2492">
        <v>10104.788</v>
      </c>
      <c r="C128" s="2493">
        <v>1.17</v>
      </c>
      <c r="D128" s="2494">
        <v>1184461</v>
      </c>
      <c r="E128" s="2500">
        <v>240413</v>
      </c>
      <c r="F128" s="2500">
        <v>1483983</v>
      </c>
      <c r="G128" s="2501">
        <v>857321638</v>
      </c>
    </row>
    <row r="129" spans="1:7" ht="21">
      <c r="A129" s="1080" t="s">
        <v>813</v>
      </c>
      <c r="B129" s="2492">
        <v>660.18700000000001</v>
      </c>
      <c r="C129" s="2493">
        <v>1.17</v>
      </c>
      <c r="D129" s="2494">
        <v>50181</v>
      </c>
      <c r="E129" s="2500">
        <v>34405</v>
      </c>
      <c r="F129" s="2500">
        <v>49871</v>
      </c>
      <c r="G129" s="2501">
        <v>40939694</v>
      </c>
    </row>
    <row r="130" spans="1:7" ht="21">
      <c r="A130" s="1080" t="s">
        <v>534</v>
      </c>
      <c r="B130" s="2492">
        <v>1064.751</v>
      </c>
      <c r="C130" s="2493">
        <v>1.17</v>
      </c>
      <c r="D130" s="2494">
        <v>159095</v>
      </c>
      <c r="E130" s="2500">
        <v>46</v>
      </c>
      <c r="F130" s="2500">
        <v>211823</v>
      </c>
      <c r="G130" s="2501">
        <v>71335890</v>
      </c>
    </row>
    <row r="131" spans="1:7" ht="21">
      <c r="A131" s="1080" t="s">
        <v>1050</v>
      </c>
      <c r="B131" s="2492">
        <v>2284.5709999999999</v>
      </c>
      <c r="C131" s="2493">
        <v>1.04</v>
      </c>
      <c r="D131" s="2494">
        <v>791695</v>
      </c>
      <c r="E131" s="2500">
        <v>486590</v>
      </c>
      <c r="F131" s="2500">
        <v>0</v>
      </c>
      <c r="G131" s="2501">
        <v>665796172</v>
      </c>
    </row>
    <row r="132" spans="1:7" ht="21">
      <c r="A132" s="1080" t="s">
        <v>1051</v>
      </c>
      <c r="B132" s="2492">
        <v>129.845</v>
      </c>
      <c r="C132" s="2493">
        <v>1.105</v>
      </c>
      <c r="D132" s="2494">
        <v>163317</v>
      </c>
      <c r="E132" s="2500">
        <v>116540</v>
      </c>
      <c r="F132" s="2500">
        <v>0</v>
      </c>
      <c r="G132" s="2501">
        <v>73755509</v>
      </c>
    </row>
    <row r="133" spans="1:7" ht="21">
      <c r="A133" s="1080" t="s">
        <v>879</v>
      </c>
      <c r="B133" s="2492">
        <v>598.15599999999995</v>
      </c>
      <c r="C133" s="2493">
        <v>1.04</v>
      </c>
      <c r="D133" s="2494">
        <v>3126751</v>
      </c>
      <c r="E133" s="2500">
        <v>607128</v>
      </c>
      <c r="F133" s="2500">
        <v>0</v>
      </c>
      <c r="G133" s="2501">
        <v>637740227</v>
      </c>
    </row>
    <row r="134" spans="1:7" ht="21">
      <c r="A134" s="1080" t="s">
        <v>2050</v>
      </c>
      <c r="B134" s="2492">
        <v>341.16699999999997</v>
      </c>
      <c r="C134" s="2493">
        <v>1.04</v>
      </c>
      <c r="D134" s="2494">
        <v>440155</v>
      </c>
      <c r="E134" s="2500">
        <v>139709</v>
      </c>
      <c r="F134" s="2500">
        <v>0</v>
      </c>
      <c r="G134" s="2501">
        <v>356597772</v>
      </c>
    </row>
    <row r="135" spans="1:7" ht="21">
      <c r="A135" s="1080" t="s">
        <v>1941</v>
      </c>
      <c r="B135" s="2492">
        <v>1642.135</v>
      </c>
      <c r="C135" s="2493">
        <v>1.04</v>
      </c>
      <c r="D135" s="2494">
        <v>883259</v>
      </c>
      <c r="E135" s="2500">
        <v>760984</v>
      </c>
      <c r="F135" s="2500">
        <v>0</v>
      </c>
      <c r="G135" s="2501">
        <v>525439612</v>
      </c>
    </row>
    <row r="136" spans="1:7" ht="21">
      <c r="A136" s="1080" t="s">
        <v>1942</v>
      </c>
      <c r="B136" s="2492">
        <v>146.33699999999999</v>
      </c>
      <c r="C136" s="2493">
        <v>1.17</v>
      </c>
      <c r="D136" s="2494">
        <v>0</v>
      </c>
      <c r="E136" s="2500">
        <v>0</v>
      </c>
      <c r="F136" s="2500">
        <v>0</v>
      </c>
      <c r="G136" s="2501">
        <v>55359694</v>
      </c>
    </row>
    <row r="137" spans="1:7" ht="21">
      <c r="A137" s="1080" t="s">
        <v>842</v>
      </c>
      <c r="B137" s="2492">
        <v>1138.308</v>
      </c>
      <c r="C137" s="2493">
        <v>1.119</v>
      </c>
      <c r="D137" s="2494">
        <v>88</v>
      </c>
      <c r="E137" s="2500">
        <v>584</v>
      </c>
      <c r="F137" s="2500">
        <v>0</v>
      </c>
      <c r="G137" s="2501">
        <v>361403925</v>
      </c>
    </row>
    <row r="138" spans="1:7" ht="21">
      <c r="A138" s="1080" t="s">
        <v>843</v>
      </c>
      <c r="B138" s="2492">
        <v>685.39700000000005</v>
      </c>
      <c r="C138" s="2493">
        <v>1.17</v>
      </c>
      <c r="D138" s="2494">
        <v>94</v>
      </c>
      <c r="E138" s="2500">
        <v>0</v>
      </c>
      <c r="F138" s="2500">
        <v>0</v>
      </c>
      <c r="G138" s="2501">
        <v>217793997</v>
      </c>
    </row>
    <row r="139" spans="1:7" ht="21">
      <c r="A139" s="1080" t="s">
        <v>2142</v>
      </c>
      <c r="B139" s="2492">
        <v>350.68</v>
      </c>
      <c r="C139" s="2493">
        <v>1.0401</v>
      </c>
      <c r="D139" s="2494">
        <v>0</v>
      </c>
      <c r="E139" s="2500">
        <v>0</v>
      </c>
      <c r="F139" s="2500">
        <v>0</v>
      </c>
      <c r="G139" s="2501">
        <v>31622312</v>
      </c>
    </row>
    <row r="140" spans="1:7" ht="21">
      <c r="A140" s="1080" t="s">
        <v>844</v>
      </c>
      <c r="B140" s="2492">
        <v>971.58399999999995</v>
      </c>
      <c r="C140" s="2493">
        <v>1.17</v>
      </c>
      <c r="D140" s="2494">
        <v>266133</v>
      </c>
      <c r="E140" s="2500">
        <v>315651</v>
      </c>
      <c r="F140" s="2500">
        <v>0</v>
      </c>
      <c r="G140" s="2501">
        <v>395054247</v>
      </c>
    </row>
    <row r="141" spans="1:7" ht="21">
      <c r="A141" s="1080" t="s">
        <v>2226</v>
      </c>
      <c r="B141" s="2492">
        <v>251.095</v>
      </c>
      <c r="C141" s="2493">
        <v>1.17</v>
      </c>
      <c r="D141" s="2494">
        <v>0</v>
      </c>
      <c r="E141" s="2500">
        <v>0</v>
      </c>
      <c r="F141" s="2500">
        <v>0</v>
      </c>
      <c r="G141" s="2501">
        <v>38047412</v>
      </c>
    </row>
    <row r="142" spans="1:7" ht="21">
      <c r="A142" s="1080" t="s">
        <v>2227</v>
      </c>
      <c r="B142" s="2492">
        <v>1099.8920000000001</v>
      </c>
      <c r="C142" s="2493">
        <v>1.04</v>
      </c>
      <c r="D142" s="2494">
        <v>886650</v>
      </c>
      <c r="E142" s="2500">
        <v>667881</v>
      </c>
      <c r="F142" s="2500">
        <v>0</v>
      </c>
      <c r="G142" s="2501">
        <v>251279754</v>
      </c>
    </row>
    <row r="143" spans="1:7" ht="21">
      <c r="A143" s="1080" t="s">
        <v>2788</v>
      </c>
      <c r="B143" s="2492">
        <v>223.16200000000001</v>
      </c>
      <c r="C143" s="2493">
        <v>1.17</v>
      </c>
      <c r="D143" s="2494">
        <v>0</v>
      </c>
      <c r="E143" s="2500">
        <v>0</v>
      </c>
      <c r="F143" s="2500">
        <v>0</v>
      </c>
      <c r="G143" s="2501">
        <v>80678962</v>
      </c>
    </row>
    <row r="144" spans="1:7" ht="21">
      <c r="A144" s="1080" t="s">
        <v>2904</v>
      </c>
      <c r="B144" s="2492">
        <v>217.15299999999999</v>
      </c>
      <c r="C144" s="2493">
        <v>1.17</v>
      </c>
      <c r="D144" s="2494">
        <v>98473</v>
      </c>
      <c r="E144" s="2500">
        <v>51791</v>
      </c>
      <c r="F144" s="2500">
        <v>39034</v>
      </c>
      <c r="G144" s="2501">
        <v>54648092</v>
      </c>
    </row>
    <row r="145" spans="1:7" ht="21">
      <c r="A145" s="1080" t="s">
        <v>1840</v>
      </c>
      <c r="B145" s="2492">
        <v>1156.904</v>
      </c>
      <c r="C145" s="2493">
        <v>1.04</v>
      </c>
      <c r="D145" s="2494">
        <v>1256027</v>
      </c>
      <c r="E145" s="2500">
        <v>570200</v>
      </c>
      <c r="F145" s="2500">
        <v>664000</v>
      </c>
      <c r="G145" s="2501">
        <v>489347906</v>
      </c>
    </row>
    <row r="146" spans="1:7" ht="21">
      <c r="A146" s="1080" t="s">
        <v>2789</v>
      </c>
      <c r="B146" s="2492">
        <v>4656.5739999999996</v>
      </c>
      <c r="C146" s="2493">
        <v>1.06</v>
      </c>
      <c r="D146" s="2494">
        <v>15669788</v>
      </c>
      <c r="E146" s="2500">
        <v>4726423</v>
      </c>
      <c r="F146" s="2500">
        <v>0</v>
      </c>
      <c r="G146" s="2501">
        <v>4534145142</v>
      </c>
    </row>
    <row r="147" spans="1:7" ht="21">
      <c r="A147" s="1080" t="s">
        <v>316</v>
      </c>
      <c r="B147" s="2492">
        <v>1322.28</v>
      </c>
      <c r="C147" s="2493">
        <v>1.04</v>
      </c>
      <c r="D147" s="2494">
        <v>512834</v>
      </c>
      <c r="E147" s="2500">
        <v>227221</v>
      </c>
      <c r="F147" s="2500">
        <v>159789</v>
      </c>
      <c r="G147" s="2501">
        <v>246501330</v>
      </c>
    </row>
    <row r="148" spans="1:7" ht="21">
      <c r="A148" s="1080" t="s">
        <v>1658</v>
      </c>
      <c r="B148" s="2492">
        <v>603.48800000000006</v>
      </c>
      <c r="C148" s="2493">
        <v>1.04</v>
      </c>
      <c r="D148" s="2494">
        <v>336504</v>
      </c>
      <c r="E148" s="2500">
        <v>299981</v>
      </c>
      <c r="F148" s="2500">
        <v>0</v>
      </c>
      <c r="G148" s="2501">
        <v>118546088</v>
      </c>
    </row>
    <row r="149" spans="1:7" ht="21">
      <c r="A149" s="1080" t="s">
        <v>50</v>
      </c>
      <c r="B149" s="2492">
        <v>4578.8440000000001</v>
      </c>
      <c r="C149" s="2493">
        <v>1.04</v>
      </c>
      <c r="D149" s="2494">
        <v>3408570</v>
      </c>
      <c r="E149" s="2500">
        <v>1954279</v>
      </c>
      <c r="F149" s="2500">
        <v>495256</v>
      </c>
      <c r="G149" s="2501">
        <v>986110717</v>
      </c>
    </row>
    <row r="150" spans="1:7" ht="21">
      <c r="A150" s="1080" t="s">
        <v>1486</v>
      </c>
      <c r="B150" s="2492">
        <v>2038.1590000000001</v>
      </c>
      <c r="C150" s="2493">
        <v>1.04</v>
      </c>
      <c r="D150" s="2494">
        <v>401278</v>
      </c>
      <c r="E150" s="2500">
        <v>226026</v>
      </c>
      <c r="F150" s="2500">
        <v>189000</v>
      </c>
      <c r="G150" s="2501">
        <v>365556862</v>
      </c>
    </row>
    <row r="151" spans="1:7" ht="21">
      <c r="A151" s="1080" t="s">
        <v>2907</v>
      </c>
      <c r="B151" s="2492">
        <v>505.83</v>
      </c>
      <c r="C151" s="2493">
        <v>1.17</v>
      </c>
      <c r="D151" s="2494">
        <v>0</v>
      </c>
      <c r="E151" s="2500">
        <v>0</v>
      </c>
      <c r="F151" s="2500">
        <v>0</v>
      </c>
      <c r="G151" s="2501">
        <v>54625070</v>
      </c>
    </row>
    <row r="152" spans="1:7" ht="21">
      <c r="A152" s="1080" t="s">
        <v>1659</v>
      </c>
      <c r="B152" s="2492">
        <v>284.07499999999999</v>
      </c>
      <c r="C152" s="2493">
        <v>1.17</v>
      </c>
      <c r="D152" s="2494">
        <v>8700</v>
      </c>
      <c r="E152" s="2500">
        <v>0</v>
      </c>
      <c r="F152" s="2500">
        <v>0</v>
      </c>
      <c r="G152" s="2501">
        <v>58024410</v>
      </c>
    </row>
    <row r="153" spans="1:7" ht="21">
      <c r="A153" s="1080" t="s">
        <v>84</v>
      </c>
      <c r="B153" s="2492">
        <v>1082.5609999999999</v>
      </c>
      <c r="C153" s="2493">
        <v>1.04</v>
      </c>
      <c r="D153" s="2494">
        <v>241868</v>
      </c>
      <c r="E153" s="2500">
        <v>22370</v>
      </c>
      <c r="F153" s="2500">
        <v>200565</v>
      </c>
      <c r="G153" s="2501">
        <v>278041864</v>
      </c>
    </row>
    <row r="154" spans="1:7" ht="21">
      <c r="A154" s="1080" t="s">
        <v>2482</v>
      </c>
      <c r="B154" s="2492">
        <v>924.88800000000003</v>
      </c>
      <c r="C154" s="2493">
        <v>1.04</v>
      </c>
      <c r="D154" s="2494">
        <v>939130</v>
      </c>
      <c r="E154" s="2500">
        <v>897652</v>
      </c>
      <c r="F154" s="2500">
        <v>0</v>
      </c>
      <c r="G154" s="2501">
        <v>333585928</v>
      </c>
    </row>
    <row r="155" spans="1:7" ht="21">
      <c r="A155" s="1080" t="s">
        <v>814</v>
      </c>
      <c r="B155" s="2492">
        <v>468.93299999999999</v>
      </c>
      <c r="C155" s="2493">
        <v>1.17</v>
      </c>
      <c r="D155" s="2494">
        <v>287151</v>
      </c>
      <c r="E155" s="2500">
        <v>82454</v>
      </c>
      <c r="F155" s="2500">
        <v>175215</v>
      </c>
      <c r="G155" s="2501">
        <v>127961458</v>
      </c>
    </row>
    <row r="156" spans="1:7" ht="21">
      <c r="A156" s="1080" t="s">
        <v>2483</v>
      </c>
      <c r="B156" s="2492">
        <v>145.16999999999999</v>
      </c>
      <c r="C156" s="2493">
        <v>1.17</v>
      </c>
      <c r="D156" s="2494">
        <v>0</v>
      </c>
      <c r="E156" s="2500">
        <v>0</v>
      </c>
      <c r="F156" s="2500">
        <v>0</v>
      </c>
      <c r="G156" s="2501">
        <v>64571715</v>
      </c>
    </row>
    <row r="157" spans="1:7" ht="21">
      <c r="A157" s="1080" t="s">
        <v>1883</v>
      </c>
      <c r="B157" s="2492">
        <v>96.013999999999996</v>
      </c>
      <c r="C157" s="2493">
        <v>1.04</v>
      </c>
      <c r="D157" s="2494">
        <v>0</v>
      </c>
      <c r="E157" s="2500">
        <v>0</v>
      </c>
      <c r="F157" s="2500">
        <v>0</v>
      </c>
      <c r="G157" s="2501">
        <v>95427802</v>
      </c>
    </row>
    <row r="158" spans="1:7" ht="21">
      <c r="A158" s="1080" t="s">
        <v>1884</v>
      </c>
      <c r="B158" s="2492">
        <v>396.786</v>
      </c>
      <c r="C158" s="2493">
        <v>1.04</v>
      </c>
      <c r="D158" s="2494">
        <v>0</v>
      </c>
      <c r="E158" s="2500">
        <v>0</v>
      </c>
      <c r="F158" s="2500">
        <v>0</v>
      </c>
      <c r="G158" s="2501">
        <v>64504125</v>
      </c>
    </row>
    <row r="159" spans="1:7" ht="21">
      <c r="A159" s="1080" t="s">
        <v>899</v>
      </c>
      <c r="B159" s="2492">
        <v>327.27199999999999</v>
      </c>
      <c r="C159" s="2493">
        <v>1.04</v>
      </c>
      <c r="D159" s="2494">
        <v>1064314</v>
      </c>
      <c r="E159" s="2500">
        <v>0</v>
      </c>
      <c r="F159" s="2500">
        <v>0</v>
      </c>
      <c r="G159" s="2501">
        <v>996491515</v>
      </c>
    </row>
    <row r="160" spans="1:7" ht="21">
      <c r="A160" s="1080" t="s">
        <v>900</v>
      </c>
      <c r="B160" s="2492">
        <v>247.81</v>
      </c>
      <c r="C160" s="2493">
        <v>1.04</v>
      </c>
      <c r="D160" s="2494">
        <v>0</v>
      </c>
      <c r="E160" s="2500">
        <v>0</v>
      </c>
      <c r="F160" s="2500">
        <v>0</v>
      </c>
      <c r="G160" s="2501">
        <v>115805432</v>
      </c>
    </row>
    <row r="161" spans="1:7" ht="21">
      <c r="A161" s="1080" t="s">
        <v>922</v>
      </c>
      <c r="B161" s="2492">
        <v>248.63</v>
      </c>
      <c r="C161" s="2493">
        <v>1.04</v>
      </c>
      <c r="D161" s="2494">
        <v>1521653</v>
      </c>
      <c r="E161" s="2500">
        <v>252359</v>
      </c>
      <c r="F161" s="2500">
        <v>0</v>
      </c>
      <c r="G161" s="2501">
        <v>395373561</v>
      </c>
    </row>
    <row r="162" spans="1:7" ht="21">
      <c r="A162" s="1080" t="s">
        <v>630</v>
      </c>
      <c r="B162" s="2492">
        <v>839.35599999999999</v>
      </c>
      <c r="C162" s="2493">
        <v>1.17</v>
      </c>
      <c r="D162" s="2494">
        <v>132221</v>
      </c>
      <c r="E162" s="2500">
        <v>0</v>
      </c>
      <c r="F162" s="2500">
        <v>0</v>
      </c>
      <c r="G162" s="2501">
        <v>185362245</v>
      </c>
    </row>
    <row r="163" spans="1:7" ht="21">
      <c r="A163" s="1080" t="s">
        <v>2712</v>
      </c>
      <c r="B163" s="2492">
        <v>253.684</v>
      </c>
      <c r="C163" s="2493">
        <v>1.04</v>
      </c>
      <c r="D163" s="2494">
        <v>50731</v>
      </c>
      <c r="E163" s="2500">
        <v>0</v>
      </c>
      <c r="F163" s="2500">
        <v>52427</v>
      </c>
      <c r="G163" s="2501">
        <v>79756178</v>
      </c>
    </row>
    <row r="164" spans="1:7" ht="21">
      <c r="A164" s="1080" t="s">
        <v>923</v>
      </c>
      <c r="B164" s="2492">
        <v>134.679</v>
      </c>
      <c r="C164" s="2493">
        <v>1.1000000000000001</v>
      </c>
      <c r="D164" s="2494">
        <v>86875</v>
      </c>
      <c r="E164" s="2500">
        <v>34311</v>
      </c>
      <c r="F164" s="2500">
        <v>0</v>
      </c>
      <c r="G164" s="2501">
        <v>123844628</v>
      </c>
    </row>
    <row r="165" spans="1:7" ht="21">
      <c r="A165" s="1080" t="s">
        <v>638</v>
      </c>
      <c r="B165" s="2492">
        <v>19847.278999999999</v>
      </c>
      <c r="C165" s="2493">
        <v>1.1599999999999999</v>
      </c>
      <c r="D165" s="2494">
        <v>44191521</v>
      </c>
      <c r="E165" s="2500">
        <v>20144988</v>
      </c>
      <c r="F165" s="2500">
        <v>1385015</v>
      </c>
      <c r="G165" s="2501">
        <v>8251331755</v>
      </c>
    </row>
    <row r="166" spans="1:7" ht="21">
      <c r="A166" s="1080" t="s">
        <v>1841</v>
      </c>
      <c r="B166" s="2492">
        <v>2730.681</v>
      </c>
      <c r="C166" s="2493">
        <v>1.04</v>
      </c>
      <c r="D166" s="2494">
        <v>3218527</v>
      </c>
      <c r="E166" s="2500">
        <v>1629266</v>
      </c>
      <c r="F166" s="2500">
        <v>918568</v>
      </c>
      <c r="G166" s="2501">
        <v>561815787</v>
      </c>
    </row>
    <row r="167" spans="1:7" ht="21">
      <c r="A167" s="1080" t="s">
        <v>2862</v>
      </c>
      <c r="B167" s="2492">
        <v>2107.0839999999998</v>
      </c>
      <c r="C167" s="2493">
        <v>1.1399999999999999</v>
      </c>
      <c r="D167" s="2494">
        <v>3815236</v>
      </c>
      <c r="E167" s="2500">
        <v>2010881</v>
      </c>
      <c r="F167" s="2500">
        <v>203372</v>
      </c>
      <c r="G167" s="2501">
        <v>693407227</v>
      </c>
    </row>
    <row r="168" spans="1:7" ht="21">
      <c r="A168" s="1080" t="s">
        <v>1900</v>
      </c>
      <c r="B168" s="2492">
        <v>1470.3579999999999</v>
      </c>
      <c r="C168" s="2493">
        <v>1.17</v>
      </c>
      <c r="D168" s="2494">
        <v>946710</v>
      </c>
      <c r="E168" s="2500">
        <v>551563</v>
      </c>
      <c r="F168" s="2500">
        <v>112937</v>
      </c>
      <c r="G168" s="2501">
        <v>337746758</v>
      </c>
    </row>
    <row r="169" spans="1:7" ht="21">
      <c r="A169" s="1080" t="s">
        <v>1605</v>
      </c>
      <c r="B169" s="2492">
        <v>47900.125999999997</v>
      </c>
      <c r="C169" s="2493">
        <v>1.04</v>
      </c>
      <c r="D169" s="2494">
        <v>97230344</v>
      </c>
      <c r="E169" s="2500">
        <v>48618628</v>
      </c>
      <c r="F169" s="2500">
        <v>933751</v>
      </c>
      <c r="G169" s="2501">
        <v>18908439846</v>
      </c>
    </row>
    <row r="170" spans="1:7" ht="21">
      <c r="A170" s="1080" t="s">
        <v>2895</v>
      </c>
      <c r="B170" s="2492">
        <v>23378.675999999999</v>
      </c>
      <c r="C170" s="2493">
        <v>1.17</v>
      </c>
      <c r="D170" s="2494">
        <v>51936644</v>
      </c>
      <c r="E170" s="2500">
        <v>23729356</v>
      </c>
      <c r="F170" s="2500">
        <v>1347187</v>
      </c>
      <c r="G170" s="2501">
        <v>9531092427</v>
      </c>
    </row>
    <row r="171" spans="1:7" ht="21">
      <c r="A171" s="1080" t="s">
        <v>724</v>
      </c>
      <c r="B171" s="2492">
        <v>2015.7840000000001</v>
      </c>
      <c r="C171" s="2493">
        <v>1.17</v>
      </c>
      <c r="D171" s="2494">
        <v>2134456</v>
      </c>
      <c r="E171" s="2500">
        <v>1399980</v>
      </c>
      <c r="F171" s="2500">
        <v>311747</v>
      </c>
      <c r="G171" s="2501">
        <v>482751662</v>
      </c>
    </row>
    <row r="172" spans="1:7" ht="21">
      <c r="A172" s="1080" t="s">
        <v>725</v>
      </c>
      <c r="B172" s="2492">
        <v>51867.275000000001</v>
      </c>
      <c r="C172" s="2493">
        <v>1.17</v>
      </c>
      <c r="D172" s="2494">
        <v>105722388</v>
      </c>
      <c r="E172" s="2500">
        <v>52645284</v>
      </c>
      <c r="F172" s="2500">
        <v>0</v>
      </c>
      <c r="G172" s="2501">
        <v>35712524315</v>
      </c>
    </row>
    <row r="173" spans="1:7" ht="21">
      <c r="A173" s="1080" t="s">
        <v>246</v>
      </c>
      <c r="B173" s="2492">
        <v>3549.1190000000001</v>
      </c>
      <c r="C173" s="2493">
        <v>1.17</v>
      </c>
      <c r="D173" s="2494">
        <v>2601008</v>
      </c>
      <c r="E173" s="2500">
        <v>1542388</v>
      </c>
      <c r="F173" s="2500">
        <v>704666</v>
      </c>
      <c r="G173" s="2501">
        <v>531857794</v>
      </c>
    </row>
    <row r="174" spans="1:7" ht="21">
      <c r="A174" s="1080" t="s">
        <v>1780</v>
      </c>
      <c r="B174" s="2492">
        <v>6822.6689999999999</v>
      </c>
      <c r="C174" s="2493">
        <v>1.17</v>
      </c>
      <c r="D174" s="2494">
        <v>15803488</v>
      </c>
      <c r="E174" s="2500">
        <v>6925009</v>
      </c>
      <c r="F174" s="2500">
        <v>210751</v>
      </c>
      <c r="G174" s="2501">
        <v>2406599293</v>
      </c>
    </row>
    <row r="175" spans="1:7" ht="21">
      <c r="A175" s="1080" t="s">
        <v>1351</v>
      </c>
      <c r="B175" s="2492">
        <v>13410.338</v>
      </c>
      <c r="C175" s="2493">
        <v>1.17</v>
      </c>
      <c r="D175" s="2494">
        <v>18208730</v>
      </c>
      <c r="E175" s="2500">
        <v>10163188</v>
      </c>
      <c r="F175" s="2500">
        <v>1166182</v>
      </c>
      <c r="G175" s="2501">
        <v>3504547577</v>
      </c>
    </row>
    <row r="176" spans="1:7" ht="21">
      <c r="A176" s="1080" t="s">
        <v>990</v>
      </c>
      <c r="B176" s="2492">
        <v>667.50800000000004</v>
      </c>
      <c r="C176" s="2493">
        <v>1.17</v>
      </c>
      <c r="D176" s="2494">
        <v>568605</v>
      </c>
      <c r="E176" s="2500">
        <v>268570</v>
      </c>
      <c r="F176" s="2500">
        <v>284657</v>
      </c>
      <c r="G176" s="2501">
        <v>127043059</v>
      </c>
    </row>
    <row r="177" spans="1:7" ht="21">
      <c r="A177" s="1080" t="s">
        <v>1619</v>
      </c>
      <c r="B177" s="2492">
        <v>1735.7059999999999</v>
      </c>
      <c r="C177" s="2493">
        <v>1.17</v>
      </c>
      <c r="D177" s="2494">
        <v>2363517</v>
      </c>
      <c r="E177" s="2500">
        <v>1402765</v>
      </c>
      <c r="F177" s="2500">
        <v>491326</v>
      </c>
      <c r="G177" s="2501">
        <v>488918284</v>
      </c>
    </row>
    <row r="178" spans="1:7" ht="21">
      <c r="A178" s="1080" t="s">
        <v>281</v>
      </c>
      <c r="B178" s="2492">
        <v>3682.8029999999999</v>
      </c>
      <c r="C178" s="2493">
        <v>1.06</v>
      </c>
      <c r="D178" s="2494">
        <v>9297804</v>
      </c>
      <c r="E178" s="2500">
        <v>3738045</v>
      </c>
      <c r="F178" s="2500">
        <v>0</v>
      </c>
      <c r="G178" s="2501">
        <v>1671253590</v>
      </c>
    </row>
    <row r="179" spans="1:7" ht="21">
      <c r="A179" s="1080" t="s">
        <v>282</v>
      </c>
      <c r="B179" s="2492">
        <v>555.35599999999999</v>
      </c>
      <c r="C179" s="2493">
        <v>1</v>
      </c>
      <c r="D179" s="2494">
        <v>0</v>
      </c>
      <c r="E179" s="2500">
        <v>0</v>
      </c>
      <c r="F179" s="2500">
        <v>0</v>
      </c>
      <c r="G179" s="2501">
        <v>130066811</v>
      </c>
    </row>
    <row r="180" spans="1:7" ht="21">
      <c r="A180" s="1080" t="s">
        <v>1617</v>
      </c>
      <c r="B180" s="2492">
        <v>1501.7809999999999</v>
      </c>
      <c r="C180" s="2493">
        <v>1.04</v>
      </c>
      <c r="D180" s="2494">
        <v>1270958</v>
      </c>
      <c r="E180" s="2500">
        <v>639240</v>
      </c>
      <c r="F180" s="2500">
        <v>289660</v>
      </c>
      <c r="G180" s="2501">
        <v>884044432</v>
      </c>
    </row>
    <row r="181" spans="1:7" ht="21">
      <c r="A181" s="1080" t="s">
        <v>643</v>
      </c>
      <c r="B181" s="2492">
        <v>1182.1690000000001</v>
      </c>
      <c r="C181" s="2493">
        <v>1.04</v>
      </c>
      <c r="D181" s="2494">
        <v>1112401</v>
      </c>
      <c r="E181" s="2500">
        <v>903593</v>
      </c>
      <c r="F181" s="2500">
        <v>0</v>
      </c>
      <c r="G181" s="2501">
        <v>584019581</v>
      </c>
    </row>
    <row r="182" spans="1:7" ht="21">
      <c r="A182" s="1080" t="s">
        <v>34</v>
      </c>
      <c r="B182" s="2492">
        <v>586.59500000000003</v>
      </c>
      <c r="C182" s="2493">
        <v>1.04</v>
      </c>
      <c r="D182" s="2494">
        <v>749223</v>
      </c>
      <c r="E182" s="2500">
        <v>510481</v>
      </c>
      <c r="F182" s="2500">
        <v>0</v>
      </c>
      <c r="G182" s="2501">
        <v>300224415</v>
      </c>
    </row>
    <row r="183" spans="1:7" ht="21">
      <c r="A183" s="1080" t="s">
        <v>35</v>
      </c>
      <c r="B183" s="2492">
        <v>7920.82</v>
      </c>
      <c r="C183" s="2493">
        <v>1.0133000000000001</v>
      </c>
      <c r="D183" s="2494">
        <v>11668131</v>
      </c>
      <c r="E183" s="2500">
        <v>8039632</v>
      </c>
      <c r="F183" s="2500">
        <v>789719</v>
      </c>
      <c r="G183" s="2501">
        <v>3274558456</v>
      </c>
    </row>
    <row r="184" spans="1:7" ht="21">
      <c r="A184" s="1080" t="s">
        <v>1437</v>
      </c>
      <c r="B184" s="2492">
        <v>19234.805</v>
      </c>
      <c r="C184" s="2493">
        <v>1.04</v>
      </c>
      <c r="D184" s="2494">
        <v>40028905</v>
      </c>
      <c r="E184" s="2500">
        <v>19523327</v>
      </c>
      <c r="F184" s="2500">
        <v>0</v>
      </c>
      <c r="G184" s="2501">
        <v>11159273329</v>
      </c>
    </row>
    <row r="185" spans="1:7" ht="21">
      <c r="A185" s="1080" t="s">
        <v>2644</v>
      </c>
      <c r="B185" s="2492">
        <v>1155.394</v>
      </c>
      <c r="C185" s="2493">
        <v>1.04</v>
      </c>
      <c r="D185" s="2494">
        <v>544876</v>
      </c>
      <c r="E185" s="2500">
        <v>64333</v>
      </c>
      <c r="F185" s="2500">
        <v>229392</v>
      </c>
      <c r="G185" s="2501">
        <v>258162433</v>
      </c>
    </row>
    <row r="186" spans="1:7" ht="21">
      <c r="A186" s="1080" t="s">
        <v>2763</v>
      </c>
      <c r="B186" s="2492">
        <v>602.63499999999999</v>
      </c>
      <c r="C186" s="2493">
        <v>1.04</v>
      </c>
      <c r="D186" s="2494">
        <v>370752</v>
      </c>
      <c r="E186" s="2500">
        <v>215518</v>
      </c>
      <c r="F186" s="2500">
        <v>127426</v>
      </c>
      <c r="G186" s="2501">
        <v>170762445</v>
      </c>
    </row>
    <row r="187" spans="1:7" ht="21">
      <c r="A187" s="1080" t="s">
        <v>2672</v>
      </c>
      <c r="B187" s="2492">
        <v>198.00800000000001</v>
      </c>
      <c r="C187" s="2493">
        <v>1.04</v>
      </c>
      <c r="D187" s="2494">
        <v>31686</v>
      </c>
      <c r="E187" s="2500">
        <v>0</v>
      </c>
      <c r="F187" s="2500">
        <v>31272</v>
      </c>
      <c r="G187" s="2501">
        <v>43780687</v>
      </c>
    </row>
    <row r="188" spans="1:7" ht="21">
      <c r="A188" s="1080" t="s">
        <v>2645</v>
      </c>
      <c r="B188" s="2492">
        <v>133.649</v>
      </c>
      <c r="C188" s="2493">
        <v>1.04</v>
      </c>
      <c r="D188" s="2494">
        <v>20864</v>
      </c>
      <c r="E188" s="2500">
        <v>0</v>
      </c>
      <c r="F188" s="2500">
        <v>15155</v>
      </c>
      <c r="G188" s="2501">
        <v>22577200</v>
      </c>
    </row>
    <row r="189" spans="1:7" ht="21">
      <c r="A189" s="1080" t="s">
        <v>2646</v>
      </c>
      <c r="B189" s="2492">
        <v>234.42599999999999</v>
      </c>
      <c r="C189" s="2493">
        <v>1.04</v>
      </c>
      <c r="D189" s="2494">
        <v>0</v>
      </c>
      <c r="E189" s="2500">
        <v>0</v>
      </c>
      <c r="F189" s="2500">
        <v>0</v>
      </c>
      <c r="G189" s="2501">
        <v>156991498</v>
      </c>
    </row>
    <row r="190" spans="1:7" ht="21">
      <c r="A190" s="1080" t="s">
        <v>331</v>
      </c>
      <c r="B190" s="2492">
        <v>195.124</v>
      </c>
      <c r="C190" s="2493">
        <v>1.17</v>
      </c>
      <c r="D190" s="2494">
        <v>194965</v>
      </c>
      <c r="E190" s="2500">
        <v>159604</v>
      </c>
      <c r="F190" s="2500">
        <v>0</v>
      </c>
      <c r="G190" s="2501">
        <v>69290337</v>
      </c>
    </row>
    <row r="191" spans="1:7" ht="21">
      <c r="A191" s="1080" t="s">
        <v>1607</v>
      </c>
      <c r="B191" s="2492">
        <v>2664.0569999999998</v>
      </c>
      <c r="C191" s="2493">
        <v>1.04</v>
      </c>
      <c r="D191" s="2494">
        <v>2377496</v>
      </c>
      <c r="E191" s="2500">
        <v>2135493</v>
      </c>
      <c r="F191" s="2500">
        <v>213872</v>
      </c>
      <c r="G191" s="2501">
        <v>983926675</v>
      </c>
    </row>
    <row r="192" spans="1:7" ht="21">
      <c r="A192" s="1080" t="s">
        <v>332</v>
      </c>
      <c r="B192" s="2492">
        <v>453.80799999999999</v>
      </c>
      <c r="C192" s="2493">
        <v>1.04</v>
      </c>
      <c r="D192" s="2494">
        <v>1234065</v>
      </c>
      <c r="E192" s="2500">
        <v>380542</v>
      </c>
      <c r="F192" s="2500">
        <v>0</v>
      </c>
      <c r="G192" s="2501">
        <v>435943037</v>
      </c>
    </row>
    <row r="193" spans="1:7" ht="21">
      <c r="A193" s="1080" t="s">
        <v>2863</v>
      </c>
      <c r="B193" s="2492">
        <v>706.47</v>
      </c>
      <c r="C193" s="2493">
        <v>1.1200000000000001</v>
      </c>
      <c r="D193" s="2494">
        <v>609705</v>
      </c>
      <c r="E193" s="2500">
        <v>0</v>
      </c>
      <c r="F193" s="2500">
        <v>144979</v>
      </c>
      <c r="G193" s="2501">
        <v>230358979</v>
      </c>
    </row>
    <row r="194" spans="1:7" ht="21">
      <c r="A194" s="1080" t="s">
        <v>333</v>
      </c>
      <c r="B194" s="2492">
        <v>1073.828</v>
      </c>
      <c r="C194" s="2493">
        <v>1.04</v>
      </c>
      <c r="D194" s="2494">
        <v>1167104</v>
      </c>
      <c r="E194" s="2500">
        <v>917330</v>
      </c>
      <c r="F194" s="2500">
        <v>0</v>
      </c>
      <c r="G194" s="2501">
        <v>584650581</v>
      </c>
    </row>
    <row r="195" spans="1:7" ht="21">
      <c r="A195" s="1080" t="s">
        <v>334</v>
      </c>
      <c r="B195" s="2492">
        <v>456.93599999999998</v>
      </c>
      <c r="C195" s="2493">
        <v>1.04</v>
      </c>
      <c r="D195" s="2494">
        <v>221836</v>
      </c>
      <c r="E195" s="2500">
        <v>164521</v>
      </c>
      <c r="F195" s="2500">
        <v>43739</v>
      </c>
      <c r="G195" s="2501">
        <v>183627672</v>
      </c>
    </row>
    <row r="196" spans="1:7" ht="21">
      <c r="A196" s="1080" t="s">
        <v>335</v>
      </c>
      <c r="B196" s="2492">
        <v>486.94799999999998</v>
      </c>
      <c r="C196" s="2493">
        <v>1.04</v>
      </c>
      <c r="D196" s="2494">
        <v>134219</v>
      </c>
      <c r="E196" s="2500">
        <v>81635</v>
      </c>
      <c r="F196" s="2500">
        <v>0</v>
      </c>
      <c r="G196" s="2501">
        <v>418248901</v>
      </c>
    </row>
    <row r="197" spans="1:7" ht="21">
      <c r="A197" s="1080" t="s">
        <v>1962</v>
      </c>
      <c r="B197" s="2492">
        <v>74.287999999999997</v>
      </c>
      <c r="C197" s="2493">
        <v>1.04</v>
      </c>
      <c r="D197" s="2494">
        <v>0</v>
      </c>
      <c r="E197" s="2500">
        <v>0</v>
      </c>
      <c r="F197" s="2500">
        <v>0</v>
      </c>
      <c r="G197" s="2501">
        <v>29356683</v>
      </c>
    </row>
    <row r="198" spans="1:7" ht="21">
      <c r="A198" s="1080" t="s">
        <v>1963</v>
      </c>
      <c r="B198" s="2492">
        <v>54.447000000000003</v>
      </c>
      <c r="C198" s="2493">
        <v>1.0085999999999999</v>
      </c>
      <c r="D198" s="2494">
        <v>0</v>
      </c>
      <c r="E198" s="2500">
        <v>0</v>
      </c>
      <c r="F198" s="2500">
        <v>0</v>
      </c>
      <c r="G198" s="2501">
        <v>124792162</v>
      </c>
    </row>
    <row r="199" spans="1:7" ht="21">
      <c r="A199" s="1080" t="s">
        <v>1492</v>
      </c>
      <c r="B199" s="2492">
        <v>236.04499999999999</v>
      </c>
      <c r="C199" s="2493">
        <v>1.04</v>
      </c>
      <c r="D199" s="2494">
        <v>0</v>
      </c>
      <c r="E199" s="2500">
        <v>0</v>
      </c>
      <c r="F199" s="2500">
        <v>0</v>
      </c>
      <c r="G199" s="2501">
        <v>81687715</v>
      </c>
    </row>
    <row r="200" spans="1:7" ht="21">
      <c r="A200" s="1080" t="s">
        <v>1267</v>
      </c>
      <c r="B200" s="2492">
        <v>2656.7510000000002</v>
      </c>
      <c r="C200" s="2493">
        <v>1.04</v>
      </c>
      <c r="D200" s="2494">
        <v>899962</v>
      </c>
      <c r="E200" s="2500">
        <v>545701</v>
      </c>
      <c r="F200" s="2500">
        <v>0</v>
      </c>
      <c r="G200" s="2501">
        <v>598573193</v>
      </c>
    </row>
    <row r="201" spans="1:7" ht="21">
      <c r="A201" s="1080" t="s">
        <v>2462</v>
      </c>
      <c r="B201" s="2492">
        <v>166.13</v>
      </c>
      <c r="C201" s="2493">
        <v>1.04</v>
      </c>
      <c r="D201" s="2494">
        <v>32270</v>
      </c>
      <c r="E201" s="2500">
        <v>349</v>
      </c>
      <c r="F201" s="2500">
        <v>25996</v>
      </c>
      <c r="G201" s="2501">
        <v>38835854</v>
      </c>
    </row>
    <row r="202" spans="1:7" ht="21">
      <c r="A202" s="1080" t="s">
        <v>1268</v>
      </c>
      <c r="B202" s="2492">
        <v>170.251</v>
      </c>
      <c r="C202" s="2493">
        <v>1.17</v>
      </c>
      <c r="D202" s="2494">
        <v>56367</v>
      </c>
      <c r="E202" s="2500">
        <v>0</v>
      </c>
      <c r="F202" s="2500">
        <v>0</v>
      </c>
      <c r="G202" s="2501">
        <v>61969324</v>
      </c>
    </row>
    <row r="203" spans="1:7" ht="21">
      <c r="A203" s="1080" t="s">
        <v>2752</v>
      </c>
      <c r="B203" s="2492">
        <v>7221.3649999999998</v>
      </c>
      <c r="C203" s="2493">
        <v>1.04</v>
      </c>
      <c r="D203" s="2494">
        <v>2347872</v>
      </c>
      <c r="E203" s="2500">
        <v>1967118</v>
      </c>
      <c r="F203" s="2500">
        <v>401072</v>
      </c>
      <c r="G203" s="2501">
        <v>1285773277</v>
      </c>
    </row>
    <row r="204" spans="1:7" ht="21">
      <c r="A204" s="1080" t="s">
        <v>1269</v>
      </c>
      <c r="B204" s="2492">
        <v>183.33799999999999</v>
      </c>
      <c r="C204" s="2493">
        <v>0.99</v>
      </c>
      <c r="D204" s="2494">
        <v>0</v>
      </c>
      <c r="E204" s="2500">
        <v>0</v>
      </c>
      <c r="F204" s="2500">
        <v>0</v>
      </c>
      <c r="G204" s="2501">
        <v>130498671</v>
      </c>
    </row>
    <row r="205" spans="1:7" ht="21">
      <c r="A205" s="1080" t="s">
        <v>779</v>
      </c>
      <c r="B205" s="2492">
        <v>1037.925</v>
      </c>
      <c r="C205" s="2493">
        <v>1.06</v>
      </c>
      <c r="D205" s="2494">
        <v>1504906</v>
      </c>
      <c r="E205" s="2500">
        <v>291789</v>
      </c>
      <c r="F205" s="2500">
        <v>0</v>
      </c>
      <c r="G205" s="2501">
        <v>2449084319</v>
      </c>
    </row>
    <row r="206" spans="1:7" ht="21">
      <c r="A206" s="1080" t="s">
        <v>780</v>
      </c>
      <c r="B206" s="2492">
        <v>765.42899999999997</v>
      </c>
      <c r="C206" s="2493">
        <v>1.06</v>
      </c>
      <c r="D206" s="2494">
        <v>0</v>
      </c>
      <c r="E206" s="2500">
        <v>0</v>
      </c>
      <c r="F206" s="2500">
        <v>0</v>
      </c>
      <c r="G206" s="2501">
        <v>1944986093</v>
      </c>
    </row>
    <row r="207" spans="1:7" ht="21">
      <c r="A207" s="1080" t="s">
        <v>781</v>
      </c>
      <c r="B207" s="2492">
        <v>334.964</v>
      </c>
      <c r="C207" s="2493">
        <v>1.08</v>
      </c>
      <c r="D207" s="2494">
        <v>0</v>
      </c>
      <c r="E207" s="2500">
        <v>0</v>
      </c>
      <c r="F207" s="2500">
        <v>0</v>
      </c>
      <c r="G207" s="2501">
        <v>89358396</v>
      </c>
    </row>
    <row r="208" spans="1:7" ht="21">
      <c r="A208" s="1080" t="s">
        <v>782</v>
      </c>
      <c r="B208" s="2492">
        <v>264.56</v>
      </c>
      <c r="C208" s="2493">
        <v>1.0071000000000001</v>
      </c>
      <c r="D208" s="2494">
        <v>0</v>
      </c>
      <c r="E208" s="2500">
        <v>0</v>
      </c>
      <c r="F208" s="2500">
        <v>0</v>
      </c>
      <c r="G208" s="2501">
        <v>181021671</v>
      </c>
    </row>
    <row r="209" spans="1:7" ht="21">
      <c r="A209" s="1080" t="s">
        <v>428</v>
      </c>
      <c r="B209" s="2492">
        <v>519.03899999999999</v>
      </c>
      <c r="C209" s="2493">
        <v>1.0107999999999999</v>
      </c>
      <c r="D209" s="2494">
        <v>0</v>
      </c>
      <c r="E209" s="2500">
        <v>0</v>
      </c>
      <c r="F209" s="2500">
        <v>0</v>
      </c>
      <c r="G209" s="2501">
        <v>133117357</v>
      </c>
    </row>
    <row r="210" spans="1:7" ht="21">
      <c r="A210" s="1080" t="s">
        <v>2928</v>
      </c>
      <c r="B210" s="2492">
        <v>396.10300000000001</v>
      </c>
      <c r="C210" s="2493">
        <v>1.04</v>
      </c>
      <c r="D210" s="2494">
        <v>143123</v>
      </c>
      <c r="E210" s="2500">
        <v>65631</v>
      </c>
      <c r="F210" s="2500">
        <v>0</v>
      </c>
      <c r="G210" s="2501">
        <v>404803574</v>
      </c>
    </row>
    <row r="211" spans="1:7" ht="21">
      <c r="A211" s="1080" t="s">
        <v>2929</v>
      </c>
      <c r="B211" s="2492">
        <v>1626.702</v>
      </c>
      <c r="C211" s="2493">
        <v>1.04</v>
      </c>
      <c r="D211" s="2494">
        <v>1421418</v>
      </c>
      <c r="E211" s="2500">
        <v>1081277</v>
      </c>
      <c r="F211" s="2500">
        <v>0</v>
      </c>
      <c r="G211" s="2501">
        <v>907527882</v>
      </c>
    </row>
    <row r="212" spans="1:7" ht="21">
      <c r="A212" s="1080" t="s">
        <v>2930</v>
      </c>
      <c r="B212" s="2492">
        <v>160.423</v>
      </c>
      <c r="C212" s="2493">
        <v>1.17</v>
      </c>
      <c r="D212" s="2494">
        <v>0</v>
      </c>
      <c r="E212" s="2500">
        <v>0</v>
      </c>
      <c r="F212" s="2500">
        <v>0</v>
      </c>
      <c r="G212" s="2501">
        <v>131216755</v>
      </c>
    </row>
    <row r="213" spans="1:7" ht="21">
      <c r="A213" s="1080" t="s">
        <v>1843</v>
      </c>
      <c r="B213" s="2492">
        <v>24503.399000000001</v>
      </c>
      <c r="C213" s="2493">
        <v>1.04</v>
      </c>
      <c r="D213" s="2494">
        <v>41121429</v>
      </c>
      <c r="E213" s="2500">
        <v>24870950</v>
      </c>
      <c r="F213" s="2500">
        <v>0</v>
      </c>
      <c r="G213" s="2501">
        <v>13766005374</v>
      </c>
    </row>
    <row r="214" spans="1:7" ht="21">
      <c r="A214" s="1080" t="s">
        <v>421</v>
      </c>
      <c r="B214" s="2492">
        <v>7435.1120000000001</v>
      </c>
      <c r="C214" s="2493">
        <v>1.04</v>
      </c>
      <c r="D214" s="2494">
        <v>12762111</v>
      </c>
      <c r="E214" s="2500">
        <v>7282121</v>
      </c>
      <c r="F214" s="2500">
        <v>0</v>
      </c>
      <c r="G214" s="2501">
        <v>2511076205</v>
      </c>
    </row>
    <row r="215" spans="1:7" ht="21">
      <c r="A215" s="1080" t="s">
        <v>422</v>
      </c>
      <c r="B215" s="2492">
        <v>147633.818</v>
      </c>
      <c r="C215" s="2493">
        <v>1.0401</v>
      </c>
      <c r="D215" s="2494">
        <v>199030843</v>
      </c>
      <c r="E215" s="2500">
        <v>128648538</v>
      </c>
      <c r="F215" s="2500">
        <v>0</v>
      </c>
      <c r="G215" s="2501">
        <v>79741494848</v>
      </c>
    </row>
    <row r="216" spans="1:7" ht="21">
      <c r="A216" s="1080" t="s">
        <v>423</v>
      </c>
      <c r="B216" s="2492">
        <v>8994.5040000000008</v>
      </c>
      <c r="C216" s="2493">
        <v>1.04</v>
      </c>
      <c r="D216" s="2494">
        <v>9315415</v>
      </c>
      <c r="E216" s="2500">
        <v>5930964</v>
      </c>
      <c r="F216" s="2500">
        <v>1170425</v>
      </c>
      <c r="G216" s="2501">
        <v>2051090625</v>
      </c>
    </row>
    <row r="217" spans="1:7" ht="21">
      <c r="A217" s="1080" t="s">
        <v>424</v>
      </c>
      <c r="B217" s="2492">
        <v>12162.782999999999</v>
      </c>
      <c r="C217" s="2493">
        <v>1.04</v>
      </c>
      <c r="D217" s="2494">
        <v>12715788</v>
      </c>
      <c r="E217" s="2500">
        <v>9590441</v>
      </c>
      <c r="F217" s="2500">
        <v>0</v>
      </c>
      <c r="G217" s="2501">
        <v>3307048690</v>
      </c>
    </row>
    <row r="218" spans="1:7" ht="21">
      <c r="A218" s="1080" t="s">
        <v>2973</v>
      </c>
      <c r="B218" s="2492">
        <v>54043.836000000003</v>
      </c>
      <c r="C218" s="2493">
        <v>1.04</v>
      </c>
      <c r="D218" s="2494">
        <v>29199890</v>
      </c>
      <c r="E218" s="2500">
        <v>25756660</v>
      </c>
      <c r="F218" s="2500">
        <v>1750297</v>
      </c>
      <c r="G218" s="2501">
        <v>13135636320</v>
      </c>
    </row>
    <row r="219" spans="1:7" ht="21">
      <c r="A219" s="1080" t="s">
        <v>741</v>
      </c>
      <c r="B219" s="2492">
        <v>26420.733</v>
      </c>
      <c r="C219" s="2493">
        <v>1.04</v>
      </c>
      <c r="D219" s="2494">
        <v>21779609</v>
      </c>
      <c r="E219" s="2500">
        <v>13358854</v>
      </c>
      <c r="F219" s="2500">
        <v>4413673</v>
      </c>
      <c r="G219" s="2501">
        <v>4658201134</v>
      </c>
    </row>
    <row r="220" spans="1:7" ht="21">
      <c r="A220" s="1080" t="s">
        <v>579</v>
      </c>
      <c r="B220" s="2492">
        <v>6826.5720000000001</v>
      </c>
      <c r="C220" s="2493">
        <v>1.0266999999999999</v>
      </c>
      <c r="D220" s="2494">
        <v>10776070</v>
      </c>
      <c r="E220" s="2500">
        <v>2263974</v>
      </c>
      <c r="F220" s="2500">
        <v>0</v>
      </c>
      <c r="G220" s="2501">
        <v>12493774292</v>
      </c>
    </row>
    <row r="221" spans="1:7" ht="21">
      <c r="A221" s="1080" t="s">
        <v>48</v>
      </c>
      <c r="B221" s="2492">
        <v>32554.705000000002</v>
      </c>
      <c r="C221" s="2493">
        <v>1.04</v>
      </c>
      <c r="D221" s="2494">
        <v>37536164</v>
      </c>
      <c r="E221" s="2500">
        <v>23448825</v>
      </c>
      <c r="F221" s="2500">
        <v>11125105</v>
      </c>
      <c r="G221" s="2501">
        <v>8806725558</v>
      </c>
    </row>
    <row r="222" spans="1:7" ht="21">
      <c r="A222" s="1080" t="s">
        <v>2028</v>
      </c>
      <c r="B222" s="2492">
        <v>6531.5690000000004</v>
      </c>
      <c r="C222" s="2493">
        <v>1.04</v>
      </c>
      <c r="D222" s="2494">
        <v>5306189</v>
      </c>
      <c r="E222" s="2500">
        <v>3999284</v>
      </c>
      <c r="F222" s="2500">
        <v>0</v>
      </c>
      <c r="G222" s="2501">
        <v>1379063619</v>
      </c>
    </row>
    <row r="223" spans="1:7" ht="21">
      <c r="A223" s="1080" t="s">
        <v>2898</v>
      </c>
      <c r="B223" s="2492">
        <v>38140.391000000003</v>
      </c>
      <c r="C223" s="2493">
        <v>1.04</v>
      </c>
      <c r="D223" s="2494">
        <v>22917972</v>
      </c>
      <c r="E223" s="2500">
        <v>10806205</v>
      </c>
      <c r="F223" s="2500">
        <v>8861658</v>
      </c>
      <c r="G223" s="2501">
        <v>5825818685</v>
      </c>
    </row>
    <row r="224" spans="1:7" ht="21">
      <c r="A224" s="1080" t="s">
        <v>2029</v>
      </c>
      <c r="B224" s="2492">
        <v>36048.856</v>
      </c>
      <c r="C224" s="2493">
        <v>1.0401</v>
      </c>
      <c r="D224" s="2494">
        <v>50338987</v>
      </c>
      <c r="E224" s="2500">
        <v>36589589</v>
      </c>
      <c r="F224" s="2500">
        <v>0</v>
      </c>
      <c r="G224" s="2501">
        <v>16733776160</v>
      </c>
    </row>
    <row r="225" spans="1:7" ht="21">
      <c r="A225" s="1080" t="s">
        <v>3087</v>
      </c>
      <c r="B225" s="2492">
        <v>1469.5029999999999</v>
      </c>
      <c r="C225" s="2493">
        <v>1.024</v>
      </c>
      <c r="D225" s="2494">
        <v>3378136</v>
      </c>
      <c r="E225" s="2500">
        <v>1491546</v>
      </c>
      <c r="F225" s="2500">
        <v>0</v>
      </c>
      <c r="G225" s="2501">
        <v>848680858</v>
      </c>
    </row>
    <row r="226" spans="1:7" ht="21">
      <c r="A226" s="1080" t="s">
        <v>277</v>
      </c>
      <c r="B226" s="2492">
        <v>11152.244000000001</v>
      </c>
      <c r="C226" s="2493">
        <v>1.17</v>
      </c>
      <c r="D226" s="2494">
        <v>23946557</v>
      </c>
      <c r="E226" s="2500">
        <v>10092850</v>
      </c>
      <c r="F226" s="2500">
        <v>0</v>
      </c>
      <c r="G226" s="2501">
        <v>7863912233</v>
      </c>
    </row>
    <row r="227" spans="1:7" ht="21">
      <c r="A227" s="1080" t="s">
        <v>278</v>
      </c>
      <c r="B227" s="2492">
        <v>153.572</v>
      </c>
      <c r="C227" s="2493">
        <v>1.04</v>
      </c>
      <c r="D227" s="2494">
        <v>0</v>
      </c>
      <c r="E227" s="2500">
        <v>0</v>
      </c>
      <c r="F227" s="2500">
        <v>0</v>
      </c>
      <c r="G227" s="2501">
        <v>240999731</v>
      </c>
    </row>
    <row r="228" spans="1:7" ht="21">
      <c r="A228" s="1080" t="s">
        <v>279</v>
      </c>
      <c r="B228" s="2492">
        <v>225.923</v>
      </c>
      <c r="C228" s="2493">
        <v>1.04</v>
      </c>
      <c r="D228" s="2494">
        <v>1035584</v>
      </c>
      <c r="E228" s="2500">
        <v>106877</v>
      </c>
      <c r="F228" s="2500">
        <v>0</v>
      </c>
      <c r="G228" s="2501">
        <v>1246738465</v>
      </c>
    </row>
    <row r="229" spans="1:7" ht="21">
      <c r="A229" s="1080" t="s">
        <v>280</v>
      </c>
      <c r="B229" s="2492">
        <v>1851.075</v>
      </c>
      <c r="C229" s="2493">
        <v>1.17</v>
      </c>
      <c r="D229" s="2494">
        <v>0</v>
      </c>
      <c r="E229" s="2500">
        <v>0</v>
      </c>
      <c r="F229" s="2500">
        <v>0</v>
      </c>
      <c r="G229" s="2501">
        <v>512294744</v>
      </c>
    </row>
    <row r="230" spans="1:7" ht="21">
      <c r="A230" s="1080" t="s">
        <v>408</v>
      </c>
      <c r="B230" s="2492">
        <v>223.839</v>
      </c>
      <c r="C230" s="2493">
        <v>1.06</v>
      </c>
      <c r="D230" s="2494">
        <v>1026438</v>
      </c>
      <c r="E230" s="2500">
        <v>103248</v>
      </c>
      <c r="F230" s="2500">
        <v>0</v>
      </c>
      <c r="G230" s="2501">
        <v>981468474</v>
      </c>
    </row>
    <row r="231" spans="1:7" ht="21">
      <c r="A231" s="1080" t="s">
        <v>2130</v>
      </c>
      <c r="B231" s="2492">
        <v>3883.5250000000001</v>
      </c>
      <c r="C231" s="2493">
        <v>1.04</v>
      </c>
      <c r="D231" s="2494">
        <v>0</v>
      </c>
      <c r="E231" s="2500">
        <v>0</v>
      </c>
      <c r="F231" s="2500">
        <v>0</v>
      </c>
      <c r="G231" s="2501">
        <v>1127249128</v>
      </c>
    </row>
    <row r="232" spans="1:7" ht="21">
      <c r="A232" s="1080" t="s">
        <v>1220</v>
      </c>
      <c r="B232" s="2492">
        <v>125.88800000000001</v>
      </c>
      <c r="C232" s="2493">
        <v>1.04</v>
      </c>
      <c r="D232" s="2494">
        <v>0</v>
      </c>
      <c r="E232" s="2500">
        <v>0</v>
      </c>
      <c r="F232" s="2500">
        <v>0</v>
      </c>
      <c r="G232" s="2501">
        <v>48057737</v>
      </c>
    </row>
    <row r="233" spans="1:7" ht="21">
      <c r="A233" s="1080" t="s">
        <v>1221</v>
      </c>
      <c r="B233" s="2492">
        <v>754.74</v>
      </c>
      <c r="C233" s="2493">
        <v>1.17</v>
      </c>
      <c r="D233" s="2494">
        <v>560717</v>
      </c>
      <c r="E233" s="2500">
        <v>389234</v>
      </c>
      <c r="F233" s="2500">
        <v>125045</v>
      </c>
      <c r="G233" s="2501">
        <v>163684331</v>
      </c>
    </row>
    <row r="234" spans="1:7" ht="21">
      <c r="A234" s="1080" t="s">
        <v>711</v>
      </c>
      <c r="B234" s="2492">
        <v>159.239</v>
      </c>
      <c r="C234" s="2493">
        <v>1.17</v>
      </c>
      <c r="D234" s="2494">
        <v>41815</v>
      </c>
      <c r="E234" s="2500">
        <v>426</v>
      </c>
      <c r="F234" s="2500">
        <v>37681</v>
      </c>
      <c r="G234" s="2501">
        <v>52753073</v>
      </c>
    </row>
    <row r="235" spans="1:7" ht="21">
      <c r="A235" s="1080" t="s">
        <v>1222</v>
      </c>
      <c r="B235" s="2492">
        <v>25255.041000000001</v>
      </c>
      <c r="C235" s="2493">
        <v>1.04</v>
      </c>
      <c r="D235" s="2494">
        <v>59329208</v>
      </c>
      <c r="E235" s="2500">
        <v>25633867</v>
      </c>
      <c r="F235" s="2500">
        <v>0</v>
      </c>
      <c r="G235" s="2501">
        <v>10572724068</v>
      </c>
    </row>
    <row r="236" spans="1:7" ht="21">
      <c r="A236" s="1080" t="s">
        <v>1989</v>
      </c>
      <c r="B236" s="2492">
        <v>50372.709000000003</v>
      </c>
      <c r="C236" s="2493">
        <v>1.04</v>
      </c>
      <c r="D236" s="2494">
        <v>119199731</v>
      </c>
      <c r="E236" s="2500">
        <v>51128300</v>
      </c>
      <c r="F236" s="2500">
        <v>468743</v>
      </c>
      <c r="G236" s="2501">
        <v>24746215827</v>
      </c>
    </row>
    <row r="237" spans="1:7" ht="21">
      <c r="A237" s="1080" t="s">
        <v>240</v>
      </c>
      <c r="B237" s="2492">
        <v>1309.77</v>
      </c>
      <c r="C237" s="2493">
        <v>1.17</v>
      </c>
      <c r="D237" s="2494">
        <v>1140606</v>
      </c>
      <c r="E237" s="2500">
        <v>929435</v>
      </c>
      <c r="F237" s="2500">
        <v>0</v>
      </c>
      <c r="G237" s="2501">
        <v>535316255</v>
      </c>
    </row>
    <row r="238" spans="1:7" ht="21">
      <c r="A238" s="1080" t="s">
        <v>815</v>
      </c>
      <c r="B238" s="2492">
        <v>1969.6959999999999</v>
      </c>
      <c r="C238" s="2493">
        <v>1.17</v>
      </c>
      <c r="D238" s="2494">
        <v>2903185</v>
      </c>
      <c r="E238" s="2500">
        <v>1979068</v>
      </c>
      <c r="F238" s="2500">
        <v>307659</v>
      </c>
      <c r="G238" s="2501">
        <v>682437151</v>
      </c>
    </row>
    <row r="239" spans="1:7" ht="21">
      <c r="A239" s="1080" t="s">
        <v>242</v>
      </c>
      <c r="B239" s="2492">
        <v>1212.097</v>
      </c>
      <c r="C239" s="2493">
        <v>1.04</v>
      </c>
      <c r="D239" s="2494">
        <v>2596205</v>
      </c>
      <c r="E239" s="2500">
        <v>1165278</v>
      </c>
      <c r="F239" s="2500">
        <v>139761</v>
      </c>
      <c r="G239" s="2501">
        <v>734718972</v>
      </c>
    </row>
    <row r="240" spans="1:7" ht="21">
      <c r="A240" s="1080" t="s">
        <v>1893</v>
      </c>
      <c r="B240" s="2492">
        <v>2071.1350000000002</v>
      </c>
      <c r="C240" s="2493">
        <v>1.04</v>
      </c>
      <c r="D240" s="2494">
        <v>3233073</v>
      </c>
      <c r="E240" s="2500">
        <v>1740636</v>
      </c>
      <c r="F240" s="2500">
        <v>390198</v>
      </c>
      <c r="G240" s="2501">
        <v>600219171</v>
      </c>
    </row>
    <row r="241" spans="1:7" ht="21">
      <c r="A241" s="1080" t="s">
        <v>532</v>
      </c>
      <c r="B241" s="2492">
        <v>2504.5390000000002</v>
      </c>
      <c r="C241" s="2493">
        <v>1.17</v>
      </c>
      <c r="D241" s="2494">
        <v>1615387</v>
      </c>
      <c r="E241" s="2500">
        <v>1524251</v>
      </c>
      <c r="F241" s="2500">
        <v>1027099</v>
      </c>
      <c r="G241" s="2501">
        <v>755485937</v>
      </c>
    </row>
    <row r="242" spans="1:7" ht="21">
      <c r="A242" s="1080" t="s">
        <v>2099</v>
      </c>
      <c r="B242" s="2492">
        <v>1966.789</v>
      </c>
      <c r="C242" s="2493">
        <v>1.1001000000000001</v>
      </c>
      <c r="D242" s="2494">
        <v>5608173</v>
      </c>
      <c r="E242" s="2500">
        <v>1996291</v>
      </c>
      <c r="F242" s="2500">
        <v>0</v>
      </c>
      <c r="G242" s="2501">
        <v>1088043854</v>
      </c>
    </row>
    <row r="243" spans="1:7" ht="21">
      <c r="A243" s="1080" t="s">
        <v>1590</v>
      </c>
      <c r="B243" s="2492">
        <v>18887.857</v>
      </c>
      <c r="C243" s="2493">
        <v>1.04</v>
      </c>
      <c r="D243" s="2494">
        <v>47952873</v>
      </c>
      <c r="E243" s="2500">
        <v>19171175</v>
      </c>
      <c r="F243" s="2500">
        <v>0</v>
      </c>
      <c r="G243" s="2501">
        <v>10275640580</v>
      </c>
    </row>
    <row r="244" spans="1:7" ht="21">
      <c r="A244" s="1080" t="s">
        <v>68</v>
      </c>
      <c r="B244" s="2492">
        <v>3803.5120000000002</v>
      </c>
      <c r="C244" s="2493">
        <v>1.17</v>
      </c>
      <c r="D244" s="2494">
        <v>6816822</v>
      </c>
      <c r="E244" s="2500">
        <v>3654484</v>
      </c>
      <c r="F244" s="2500">
        <v>985925</v>
      </c>
      <c r="G244" s="2501">
        <v>1260166927</v>
      </c>
    </row>
    <row r="245" spans="1:7" ht="21">
      <c r="A245" s="1080" t="s">
        <v>712</v>
      </c>
      <c r="B245" s="2492">
        <v>6511.223</v>
      </c>
      <c r="C245" s="2493">
        <v>1.04</v>
      </c>
      <c r="D245" s="2494">
        <v>11998170</v>
      </c>
      <c r="E245" s="2500">
        <v>5871574</v>
      </c>
      <c r="F245" s="2500">
        <v>1310087</v>
      </c>
      <c r="G245" s="2501">
        <v>2024680644</v>
      </c>
    </row>
    <row r="246" spans="1:7" ht="21">
      <c r="A246" s="1080" t="s">
        <v>2864</v>
      </c>
      <c r="B246" s="2492">
        <v>1962.373</v>
      </c>
      <c r="C246" s="2493">
        <v>0.94</v>
      </c>
      <c r="D246" s="2494">
        <v>10315148</v>
      </c>
      <c r="E246" s="2500">
        <v>366101</v>
      </c>
      <c r="F246" s="2500">
        <v>364208</v>
      </c>
      <c r="G246" s="2501">
        <v>1430147481</v>
      </c>
    </row>
    <row r="247" spans="1:7" ht="21">
      <c r="A247" s="1080" t="s">
        <v>2100</v>
      </c>
      <c r="B247" s="2492">
        <v>150.624</v>
      </c>
      <c r="C247" s="2493">
        <v>0.91469999999999996</v>
      </c>
      <c r="D247" s="2494">
        <v>1709416</v>
      </c>
      <c r="E247" s="2500">
        <v>0</v>
      </c>
      <c r="F247" s="2500">
        <v>0</v>
      </c>
      <c r="G247" s="2501">
        <v>644012177</v>
      </c>
    </row>
    <row r="248" spans="1:7" ht="21">
      <c r="A248" s="1080" t="s">
        <v>1352</v>
      </c>
      <c r="B248" s="2492">
        <v>1511.2529999999999</v>
      </c>
      <c r="C248" s="2493">
        <v>1.04</v>
      </c>
      <c r="D248" s="2494">
        <v>4887150</v>
      </c>
      <c r="E248" s="2500">
        <v>923265</v>
      </c>
      <c r="F248" s="2500">
        <v>677970</v>
      </c>
      <c r="G248" s="2501">
        <v>1140897205</v>
      </c>
    </row>
    <row r="249" spans="1:7" ht="21">
      <c r="A249" s="1080" t="s">
        <v>2101</v>
      </c>
      <c r="B249" s="2492">
        <v>470.38600000000002</v>
      </c>
      <c r="C249" s="2493">
        <v>0.98</v>
      </c>
      <c r="D249" s="2494">
        <v>300340</v>
      </c>
      <c r="E249" s="2500">
        <v>188936</v>
      </c>
      <c r="F249" s="2500">
        <v>0</v>
      </c>
      <c r="G249" s="2501">
        <v>1902881833</v>
      </c>
    </row>
    <row r="250" spans="1:7" ht="21">
      <c r="A250" s="1080" t="s">
        <v>796</v>
      </c>
      <c r="B250" s="2492">
        <v>57.515999999999998</v>
      </c>
      <c r="C250" s="2493">
        <v>0.96</v>
      </c>
      <c r="D250" s="2494">
        <v>61</v>
      </c>
      <c r="E250" s="2500">
        <v>0</v>
      </c>
      <c r="F250" s="2500">
        <v>0</v>
      </c>
      <c r="G250" s="2501">
        <v>1568500957</v>
      </c>
    </row>
    <row r="251" spans="1:7" ht="21">
      <c r="A251" s="1080" t="s">
        <v>330</v>
      </c>
      <c r="B251" s="2492">
        <v>97.774000000000001</v>
      </c>
      <c r="C251" s="2493">
        <v>1.04</v>
      </c>
      <c r="D251" s="2494">
        <v>0</v>
      </c>
      <c r="E251" s="2500">
        <v>0</v>
      </c>
      <c r="F251" s="2500">
        <v>0</v>
      </c>
      <c r="G251" s="2501">
        <v>63503018</v>
      </c>
    </row>
    <row r="252" spans="1:7" ht="21">
      <c r="A252" s="1080" t="s">
        <v>203</v>
      </c>
      <c r="B252" s="2492">
        <v>244.399</v>
      </c>
      <c r="C252" s="2493">
        <v>1.04</v>
      </c>
      <c r="D252" s="2494">
        <v>614056</v>
      </c>
      <c r="E252" s="2500">
        <v>122095</v>
      </c>
      <c r="F252" s="2500">
        <v>0</v>
      </c>
      <c r="G252" s="2501">
        <v>323932860</v>
      </c>
    </row>
    <row r="253" spans="1:7" ht="21">
      <c r="A253" s="1080" t="s">
        <v>204</v>
      </c>
      <c r="B253" s="2492">
        <v>92.664000000000001</v>
      </c>
      <c r="C253" s="2493">
        <v>1.17</v>
      </c>
      <c r="D253" s="2494">
        <v>0</v>
      </c>
      <c r="E253" s="2500">
        <v>0</v>
      </c>
      <c r="F253" s="2500">
        <v>0</v>
      </c>
      <c r="G253" s="2501">
        <v>35773856</v>
      </c>
    </row>
    <row r="254" spans="1:7" ht="21">
      <c r="A254" s="1080" t="s">
        <v>816</v>
      </c>
      <c r="B254" s="2492">
        <v>2245.3449999999998</v>
      </c>
      <c r="C254" s="2493">
        <v>1.06</v>
      </c>
      <c r="D254" s="2494">
        <v>3089141</v>
      </c>
      <c r="E254" s="2500">
        <v>1605596</v>
      </c>
      <c r="F254" s="2500">
        <v>508870</v>
      </c>
      <c r="G254" s="2501">
        <v>5116656212</v>
      </c>
    </row>
    <row r="255" spans="1:7" ht="21">
      <c r="A255" s="1080" t="s">
        <v>3025</v>
      </c>
      <c r="B255" s="2492">
        <v>442.89</v>
      </c>
      <c r="C255" s="2493">
        <v>1.17</v>
      </c>
      <c r="D255" s="2494">
        <v>0</v>
      </c>
      <c r="E255" s="2500">
        <v>0</v>
      </c>
      <c r="F255" s="2500">
        <v>0</v>
      </c>
      <c r="G255" s="2501">
        <v>137437743</v>
      </c>
    </row>
    <row r="256" spans="1:7" ht="21">
      <c r="A256" s="1080" t="s">
        <v>1753</v>
      </c>
      <c r="B256" s="2492">
        <v>106.76</v>
      </c>
      <c r="C256" s="2493">
        <v>0.99</v>
      </c>
      <c r="D256" s="2494">
        <v>32198</v>
      </c>
      <c r="E256" s="2500">
        <v>3653</v>
      </c>
      <c r="F256" s="2500">
        <v>27946</v>
      </c>
      <c r="G256" s="2501">
        <v>43795069</v>
      </c>
    </row>
    <row r="257" spans="1:7" ht="21">
      <c r="A257" s="1080" t="s">
        <v>3026</v>
      </c>
      <c r="B257" s="2492">
        <v>32.049999999999997</v>
      </c>
      <c r="C257" s="2493">
        <v>1.04</v>
      </c>
      <c r="D257" s="2494">
        <v>0</v>
      </c>
      <c r="E257" s="2500">
        <v>0</v>
      </c>
      <c r="F257" s="2500">
        <v>0</v>
      </c>
      <c r="G257" s="2501">
        <v>24675621</v>
      </c>
    </row>
    <row r="258" spans="1:7" ht="21">
      <c r="A258" s="1080" t="s">
        <v>3027</v>
      </c>
      <c r="B258" s="2492">
        <v>325.41300000000001</v>
      </c>
      <c r="C258" s="2493">
        <v>1.04</v>
      </c>
      <c r="D258" s="2494">
        <v>539034</v>
      </c>
      <c r="E258" s="2500">
        <v>247833</v>
      </c>
      <c r="F258" s="2500">
        <v>0</v>
      </c>
      <c r="G258" s="2501">
        <v>238402395</v>
      </c>
    </row>
    <row r="259" spans="1:7" ht="21">
      <c r="A259" s="1080" t="s">
        <v>817</v>
      </c>
      <c r="B259" s="2492">
        <v>1231.009</v>
      </c>
      <c r="C259" s="2493">
        <v>1.04</v>
      </c>
      <c r="D259" s="2494">
        <v>814341</v>
      </c>
      <c r="E259" s="2500">
        <v>133922</v>
      </c>
      <c r="F259" s="2500">
        <v>513233</v>
      </c>
      <c r="G259" s="2501">
        <v>185261063</v>
      </c>
    </row>
    <row r="260" spans="1:7" ht="21">
      <c r="A260" s="1080" t="s">
        <v>776</v>
      </c>
      <c r="B260" s="2492">
        <v>699.11</v>
      </c>
      <c r="C260" s="2493">
        <v>1.17</v>
      </c>
      <c r="D260" s="2494">
        <v>1074051</v>
      </c>
      <c r="E260" s="2500">
        <v>709597</v>
      </c>
      <c r="F260" s="2500">
        <v>0</v>
      </c>
      <c r="G260" s="2501">
        <v>355803334</v>
      </c>
    </row>
    <row r="261" spans="1:7" ht="21">
      <c r="A261" s="1080" t="s">
        <v>2463</v>
      </c>
      <c r="B261" s="2492">
        <v>815.68700000000001</v>
      </c>
      <c r="C261" s="2493">
        <v>1.17</v>
      </c>
      <c r="D261" s="2494">
        <v>0</v>
      </c>
      <c r="E261" s="2500">
        <v>0</v>
      </c>
      <c r="F261" s="2500">
        <v>0</v>
      </c>
      <c r="G261" s="2501">
        <v>567416812</v>
      </c>
    </row>
    <row r="262" spans="1:7" ht="21">
      <c r="A262" s="1080" t="s">
        <v>2620</v>
      </c>
      <c r="B262" s="2492">
        <v>1027.202</v>
      </c>
      <c r="C262" s="2493">
        <v>1.04</v>
      </c>
      <c r="D262" s="2494">
        <v>0</v>
      </c>
      <c r="E262" s="2500">
        <v>0</v>
      </c>
      <c r="F262" s="2500">
        <v>0</v>
      </c>
      <c r="G262" s="2501">
        <v>422961159</v>
      </c>
    </row>
    <row r="263" spans="1:7" ht="21">
      <c r="A263" s="1080" t="s">
        <v>2007</v>
      </c>
      <c r="B263" s="2492">
        <v>295.67</v>
      </c>
      <c r="C263" s="2493">
        <v>1.04</v>
      </c>
      <c r="D263" s="2494">
        <v>334495</v>
      </c>
      <c r="E263" s="2500">
        <v>235759</v>
      </c>
      <c r="F263" s="2500">
        <v>0</v>
      </c>
      <c r="G263" s="2501">
        <v>87524128</v>
      </c>
    </row>
    <row r="264" spans="1:7" ht="21">
      <c r="A264" s="1080" t="s">
        <v>672</v>
      </c>
      <c r="B264" s="2492">
        <v>415.94499999999999</v>
      </c>
      <c r="C264" s="2493">
        <v>1.04</v>
      </c>
      <c r="D264" s="2494">
        <v>0</v>
      </c>
      <c r="E264" s="2500">
        <v>0</v>
      </c>
      <c r="F264" s="2500">
        <v>0</v>
      </c>
      <c r="G264" s="2501">
        <v>102102532</v>
      </c>
    </row>
    <row r="265" spans="1:7" ht="21">
      <c r="A265" s="1080" t="s">
        <v>1034</v>
      </c>
      <c r="B265" s="2492">
        <v>154.38300000000001</v>
      </c>
      <c r="C265" s="2493">
        <v>1.1140000000000001</v>
      </c>
      <c r="D265" s="2494">
        <v>0</v>
      </c>
      <c r="E265" s="2500">
        <v>0</v>
      </c>
      <c r="F265" s="2500">
        <v>0</v>
      </c>
      <c r="G265" s="2501">
        <v>42891925</v>
      </c>
    </row>
    <row r="266" spans="1:7" ht="21">
      <c r="A266" s="1080" t="s">
        <v>2442</v>
      </c>
      <c r="B266" s="2492">
        <v>29008.871999999999</v>
      </c>
      <c r="C266" s="2493">
        <v>1.04</v>
      </c>
      <c r="D266" s="2494">
        <v>16984367</v>
      </c>
      <c r="E266" s="2500">
        <v>8701989</v>
      </c>
      <c r="F266" s="2500">
        <v>0</v>
      </c>
      <c r="G266" s="2501">
        <v>13941893116</v>
      </c>
    </row>
    <row r="267" spans="1:7" ht="21">
      <c r="A267" s="1080" t="s">
        <v>2976</v>
      </c>
      <c r="B267" s="2492">
        <v>236.79400000000001</v>
      </c>
      <c r="C267" s="2493">
        <v>1.04</v>
      </c>
      <c r="D267" s="2494">
        <v>284962</v>
      </c>
      <c r="E267" s="2500">
        <v>0</v>
      </c>
      <c r="F267" s="2500">
        <v>0</v>
      </c>
      <c r="G267" s="2501">
        <v>251061263</v>
      </c>
    </row>
    <row r="268" spans="1:7" ht="21">
      <c r="A268" s="1080" t="s">
        <v>2745</v>
      </c>
      <c r="B268" s="2492">
        <v>277.52800000000002</v>
      </c>
      <c r="C268" s="2493">
        <v>1.17</v>
      </c>
      <c r="D268" s="2494">
        <v>0</v>
      </c>
      <c r="E268" s="2500">
        <v>0</v>
      </c>
      <c r="F268" s="2500">
        <v>0</v>
      </c>
      <c r="G268" s="2501">
        <v>209545330</v>
      </c>
    </row>
    <row r="269" spans="1:7" ht="21">
      <c r="A269" s="1080" t="s">
        <v>274</v>
      </c>
      <c r="B269" s="2492">
        <v>328.54300000000001</v>
      </c>
      <c r="C269" s="2493">
        <v>1.17</v>
      </c>
      <c r="D269" s="2494">
        <v>17980</v>
      </c>
      <c r="E269" s="2500">
        <v>0</v>
      </c>
      <c r="F269" s="2500">
        <v>20402</v>
      </c>
      <c r="G269" s="2501">
        <v>35305971</v>
      </c>
    </row>
    <row r="270" spans="1:7" ht="21">
      <c r="A270" s="1080" t="s">
        <v>1585</v>
      </c>
      <c r="B270" s="2492">
        <v>5352.6149999999998</v>
      </c>
      <c r="C270" s="2493">
        <v>1.04</v>
      </c>
      <c r="D270" s="2494">
        <v>8742397</v>
      </c>
      <c r="E270" s="2500">
        <v>5083166</v>
      </c>
      <c r="F270" s="2500">
        <v>0</v>
      </c>
      <c r="G270" s="2501">
        <v>1752815836</v>
      </c>
    </row>
    <row r="271" spans="1:7" ht="21">
      <c r="A271" s="1080" t="s">
        <v>1586</v>
      </c>
      <c r="B271" s="2492">
        <v>2284.174</v>
      </c>
      <c r="C271" s="2493">
        <v>1.04</v>
      </c>
      <c r="D271" s="2494">
        <v>896505</v>
      </c>
      <c r="E271" s="2500">
        <v>594124</v>
      </c>
      <c r="F271" s="2500">
        <v>141924</v>
      </c>
      <c r="G271" s="2501">
        <v>308350264</v>
      </c>
    </row>
    <row r="272" spans="1:7" ht="21">
      <c r="A272" s="1080" t="s">
        <v>818</v>
      </c>
      <c r="B272" s="2492">
        <v>516.68299999999999</v>
      </c>
      <c r="C272" s="2493">
        <v>1.17</v>
      </c>
      <c r="D272" s="2494">
        <v>76275</v>
      </c>
      <c r="E272" s="2500">
        <v>5148</v>
      </c>
      <c r="F272" s="2500">
        <v>72521</v>
      </c>
      <c r="G272" s="2501">
        <v>95511169</v>
      </c>
    </row>
    <row r="273" spans="1:7" ht="21">
      <c r="A273" s="1080" t="s">
        <v>1581</v>
      </c>
      <c r="B273" s="2492">
        <v>7557.3459999999995</v>
      </c>
      <c r="C273" s="2493">
        <v>1.04</v>
      </c>
      <c r="D273" s="2494">
        <v>16270568</v>
      </c>
      <c r="E273" s="2500">
        <v>7670706</v>
      </c>
      <c r="F273" s="2500">
        <v>0</v>
      </c>
      <c r="G273" s="2501">
        <v>2729856688</v>
      </c>
    </row>
    <row r="274" spans="1:7" ht="21">
      <c r="A274" s="1080" t="s">
        <v>1049</v>
      </c>
      <c r="B274" s="2492">
        <v>225.20599999999999</v>
      </c>
      <c r="C274" s="2493">
        <v>1.17</v>
      </c>
      <c r="D274" s="2494">
        <v>479</v>
      </c>
      <c r="E274" s="2500">
        <v>0</v>
      </c>
      <c r="F274" s="2500">
        <v>0</v>
      </c>
      <c r="G274" s="2501">
        <v>76000762</v>
      </c>
    </row>
    <row r="275" spans="1:7" ht="21">
      <c r="A275" s="1080" t="s">
        <v>275</v>
      </c>
      <c r="B275" s="2492">
        <v>1074.587</v>
      </c>
      <c r="C275" s="2493">
        <v>1.17</v>
      </c>
      <c r="D275" s="2494">
        <v>808190</v>
      </c>
      <c r="E275" s="2500">
        <v>73449</v>
      </c>
      <c r="F275" s="2500">
        <v>129016</v>
      </c>
      <c r="G275" s="2501">
        <v>211895903</v>
      </c>
    </row>
    <row r="276" spans="1:7" ht="21">
      <c r="A276" s="1080" t="s">
        <v>2382</v>
      </c>
      <c r="B276" s="2492">
        <v>5352.44</v>
      </c>
      <c r="C276" s="2493">
        <v>1.17</v>
      </c>
      <c r="D276" s="2494">
        <v>5096859</v>
      </c>
      <c r="E276" s="2500">
        <v>2919372</v>
      </c>
      <c r="F276" s="2500">
        <v>2005529</v>
      </c>
      <c r="G276" s="2501">
        <v>1202742672</v>
      </c>
    </row>
    <row r="277" spans="1:7" ht="21">
      <c r="A277" s="1080" t="s">
        <v>375</v>
      </c>
      <c r="B277" s="2492">
        <v>7534.442</v>
      </c>
      <c r="C277" s="2493">
        <v>1.17</v>
      </c>
      <c r="D277" s="2494">
        <v>7651481</v>
      </c>
      <c r="E277" s="2500">
        <v>7647459</v>
      </c>
      <c r="F277" s="2500">
        <v>918324</v>
      </c>
      <c r="G277" s="2501">
        <v>2777589925</v>
      </c>
    </row>
    <row r="278" spans="1:7" ht="21">
      <c r="A278" s="1080" t="s">
        <v>819</v>
      </c>
      <c r="B278" s="2492">
        <v>1000.802</v>
      </c>
      <c r="C278" s="2493">
        <v>1.04</v>
      </c>
      <c r="D278" s="2494">
        <v>822878</v>
      </c>
      <c r="E278" s="2500">
        <v>646503</v>
      </c>
      <c r="F278" s="2500">
        <v>164251</v>
      </c>
      <c r="G278" s="2501">
        <v>267896212</v>
      </c>
    </row>
    <row r="279" spans="1:7" ht="21">
      <c r="A279" s="1080" t="s">
        <v>629</v>
      </c>
      <c r="B279" s="2492">
        <v>10889.18</v>
      </c>
      <c r="C279" s="2493">
        <v>1.0401</v>
      </c>
      <c r="D279" s="2494">
        <v>3120664</v>
      </c>
      <c r="E279" s="2500">
        <v>1159087</v>
      </c>
      <c r="F279" s="2500">
        <v>1861123</v>
      </c>
      <c r="G279" s="2501">
        <v>1051502161</v>
      </c>
    </row>
    <row r="280" spans="1:7" ht="21">
      <c r="A280" s="1080" t="s">
        <v>2767</v>
      </c>
      <c r="B280" s="2492">
        <v>56188.196000000004</v>
      </c>
      <c r="C280" s="2493">
        <v>1.04</v>
      </c>
      <c r="D280" s="2494">
        <v>30334229</v>
      </c>
      <c r="E280" s="2500">
        <v>18707019</v>
      </c>
      <c r="F280" s="2500">
        <v>5306697</v>
      </c>
      <c r="G280" s="2501">
        <v>15596550877</v>
      </c>
    </row>
    <row r="281" spans="1:7" ht="21">
      <c r="A281" s="1080" t="s">
        <v>878</v>
      </c>
      <c r="B281" s="2492">
        <v>2226.3220000000001</v>
      </c>
      <c r="C281" s="2493">
        <v>1.04</v>
      </c>
      <c r="D281" s="2494">
        <v>362655</v>
      </c>
      <c r="E281" s="2500">
        <v>0</v>
      </c>
      <c r="F281" s="2500">
        <v>335271</v>
      </c>
      <c r="G281" s="2501">
        <v>147893954</v>
      </c>
    </row>
    <row r="282" spans="1:7" ht="21">
      <c r="A282" s="1080" t="s">
        <v>212</v>
      </c>
      <c r="B282" s="2492">
        <v>3671.1120000000001</v>
      </c>
      <c r="C282" s="2493">
        <v>1.1089</v>
      </c>
      <c r="D282" s="2494">
        <v>99385</v>
      </c>
      <c r="E282" s="2500">
        <v>89431</v>
      </c>
      <c r="F282" s="2500">
        <v>0</v>
      </c>
      <c r="G282" s="2501">
        <v>179786016</v>
      </c>
    </row>
    <row r="283" spans="1:7" ht="21">
      <c r="A283" s="1080" t="s">
        <v>1353</v>
      </c>
      <c r="B283" s="2492">
        <v>39510.938000000002</v>
      </c>
      <c r="C283" s="2493">
        <v>1.17</v>
      </c>
      <c r="D283" s="2494">
        <v>12164513</v>
      </c>
      <c r="E283" s="2500">
        <v>8397402</v>
      </c>
      <c r="F283" s="2500">
        <v>0</v>
      </c>
      <c r="G283" s="2501">
        <v>6928008849</v>
      </c>
    </row>
    <row r="284" spans="1:7" ht="21">
      <c r="A284" s="1080" t="s">
        <v>2401</v>
      </c>
      <c r="B284" s="2492">
        <v>786.5</v>
      </c>
      <c r="C284" s="2493">
        <v>1.04</v>
      </c>
      <c r="D284" s="2494">
        <v>307404</v>
      </c>
      <c r="E284" s="2500">
        <v>47090</v>
      </c>
      <c r="F284" s="2500">
        <v>126009</v>
      </c>
      <c r="G284" s="2501">
        <v>174046289</v>
      </c>
    </row>
    <row r="285" spans="1:7" ht="21">
      <c r="A285" s="1080" t="s">
        <v>2157</v>
      </c>
      <c r="B285" s="2492">
        <v>5454.0150000000003</v>
      </c>
      <c r="C285" s="2493">
        <v>1.17</v>
      </c>
      <c r="D285" s="2494">
        <v>5893445</v>
      </c>
      <c r="E285" s="2500">
        <v>3610050</v>
      </c>
      <c r="F285" s="2500">
        <v>899873</v>
      </c>
      <c r="G285" s="2501">
        <v>1604058253</v>
      </c>
    </row>
    <row r="286" spans="1:7" ht="21">
      <c r="A286" s="1080" t="s">
        <v>1710</v>
      </c>
      <c r="B286" s="2492">
        <v>1189.106</v>
      </c>
      <c r="C286" s="2493">
        <v>1.0901000000000001</v>
      </c>
      <c r="D286" s="2494">
        <v>130614</v>
      </c>
      <c r="E286" s="2500">
        <v>33244</v>
      </c>
      <c r="F286" s="2500">
        <v>106745</v>
      </c>
      <c r="G286" s="2501">
        <v>61177612</v>
      </c>
    </row>
    <row r="287" spans="1:7" ht="21">
      <c r="A287" s="1080" t="s">
        <v>1315</v>
      </c>
      <c r="B287" s="2492">
        <v>41859.78</v>
      </c>
      <c r="C287" s="2493">
        <v>0.97609999999999997</v>
      </c>
      <c r="D287" s="2494">
        <v>25241778</v>
      </c>
      <c r="E287" s="2500">
        <v>18762124</v>
      </c>
      <c r="F287" s="2500">
        <v>6966833</v>
      </c>
      <c r="G287" s="2501">
        <v>8134129707</v>
      </c>
    </row>
    <row r="288" spans="1:7" ht="21">
      <c r="A288" s="1080" t="s">
        <v>2768</v>
      </c>
      <c r="B288" s="2492">
        <v>72.304000000000002</v>
      </c>
      <c r="C288" s="2493">
        <v>1.04</v>
      </c>
      <c r="D288" s="2494">
        <v>0</v>
      </c>
      <c r="E288" s="2500">
        <v>0</v>
      </c>
      <c r="F288" s="2500">
        <v>0</v>
      </c>
      <c r="G288" s="2501">
        <v>44359165</v>
      </c>
    </row>
    <row r="289" spans="1:7" ht="21">
      <c r="A289" s="1080" t="s">
        <v>2769</v>
      </c>
      <c r="B289" s="2492">
        <v>1089.4639999999999</v>
      </c>
      <c r="C289" s="2493">
        <v>1.04</v>
      </c>
      <c r="D289" s="2494">
        <v>576039</v>
      </c>
      <c r="E289" s="2500">
        <v>585705</v>
      </c>
      <c r="F289" s="2500">
        <v>0</v>
      </c>
      <c r="G289" s="2501">
        <v>262035789</v>
      </c>
    </row>
    <row r="290" spans="1:7" ht="21">
      <c r="A290" s="1080" t="s">
        <v>1704</v>
      </c>
      <c r="B290" s="2492">
        <v>3372.7510000000002</v>
      </c>
      <c r="C290" s="2493">
        <v>1.04</v>
      </c>
      <c r="D290" s="2494">
        <v>2780076</v>
      </c>
      <c r="E290" s="2500">
        <v>1364274</v>
      </c>
      <c r="F290" s="2500">
        <v>583662</v>
      </c>
      <c r="G290" s="2501">
        <v>1399503654</v>
      </c>
    </row>
    <row r="291" spans="1:7" ht="21">
      <c r="A291" s="1080" t="s">
        <v>2091</v>
      </c>
      <c r="B291" s="2492">
        <v>95.418000000000006</v>
      </c>
      <c r="C291" s="2493">
        <v>1.04</v>
      </c>
      <c r="D291" s="2494">
        <v>72104</v>
      </c>
      <c r="E291" s="2500">
        <v>19408</v>
      </c>
      <c r="F291" s="2500">
        <v>0</v>
      </c>
      <c r="G291" s="2501">
        <v>118353570</v>
      </c>
    </row>
    <row r="292" spans="1:7" ht="21">
      <c r="A292" s="1080" t="s">
        <v>2092</v>
      </c>
      <c r="B292" s="2492">
        <v>180.42699999999999</v>
      </c>
      <c r="C292" s="2493">
        <v>1.04</v>
      </c>
      <c r="D292" s="2494">
        <v>0</v>
      </c>
      <c r="E292" s="2500">
        <v>0</v>
      </c>
      <c r="F292" s="2500">
        <v>0</v>
      </c>
      <c r="G292" s="2501">
        <v>116355938</v>
      </c>
    </row>
    <row r="293" spans="1:7" ht="21">
      <c r="A293" s="1080" t="s">
        <v>1400</v>
      </c>
      <c r="B293" s="2492">
        <v>215.63399999999999</v>
      </c>
      <c r="C293" s="2493">
        <v>1.04</v>
      </c>
      <c r="D293" s="2494">
        <v>94590</v>
      </c>
      <c r="E293" s="2500">
        <v>0</v>
      </c>
      <c r="F293" s="2500">
        <v>80388</v>
      </c>
      <c r="G293" s="2501">
        <v>119999446</v>
      </c>
    </row>
    <row r="294" spans="1:7" ht="21">
      <c r="A294" s="1080" t="s">
        <v>2093</v>
      </c>
      <c r="B294" s="2492">
        <v>117.102</v>
      </c>
      <c r="C294" s="2493">
        <v>1.04</v>
      </c>
      <c r="D294" s="2494">
        <v>0</v>
      </c>
      <c r="E294" s="2500">
        <v>0</v>
      </c>
      <c r="F294" s="2500">
        <v>0</v>
      </c>
      <c r="G294" s="2501">
        <v>78614321</v>
      </c>
    </row>
    <row r="295" spans="1:7" ht="21">
      <c r="A295" s="1080" t="s">
        <v>229</v>
      </c>
      <c r="B295" s="2492">
        <v>456.61599999999999</v>
      </c>
      <c r="C295" s="2493">
        <v>1.04</v>
      </c>
      <c r="D295" s="2494">
        <v>118080</v>
      </c>
      <c r="E295" s="2500">
        <v>124377</v>
      </c>
      <c r="F295" s="2500">
        <v>0</v>
      </c>
      <c r="G295" s="2501">
        <v>59285104</v>
      </c>
    </row>
    <row r="296" spans="1:7" ht="21">
      <c r="A296" s="1080" t="s">
        <v>2095</v>
      </c>
      <c r="B296" s="2492">
        <v>848.45</v>
      </c>
      <c r="C296" s="2493">
        <v>1.04</v>
      </c>
      <c r="D296" s="2494">
        <v>260443</v>
      </c>
      <c r="E296" s="2500">
        <v>241902</v>
      </c>
      <c r="F296" s="2500">
        <v>0</v>
      </c>
      <c r="G296" s="2501">
        <v>211070613</v>
      </c>
    </row>
    <row r="297" spans="1:7" ht="21">
      <c r="A297" s="1080" t="s">
        <v>2103</v>
      </c>
      <c r="B297" s="2492">
        <v>155.80000000000001</v>
      </c>
      <c r="C297" s="2493">
        <v>0.96179999999999999</v>
      </c>
      <c r="D297" s="2494">
        <v>0</v>
      </c>
      <c r="E297" s="2500">
        <v>0</v>
      </c>
      <c r="F297" s="2500">
        <v>0</v>
      </c>
      <c r="G297" s="2501">
        <v>16442823</v>
      </c>
    </row>
    <row r="298" spans="1:7" ht="21">
      <c r="A298" s="1080" t="s">
        <v>230</v>
      </c>
      <c r="B298" s="2492">
        <v>579.76099999999997</v>
      </c>
      <c r="C298" s="2493">
        <v>0.99</v>
      </c>
      <c r="D298" s="2494">
        <v>0</v>
      </c>
      <c r="E298" s="2500">
        <v>0</v>
      </c>
      <c r="F298" s="2500">
        <v>0</v>
      </c>
      <c r="G298" s="2501">
        <v>146131422</v>
      </c>
    </row>
    <row r="299" spans="1:7" ht="21">
      <c r="A299" s="1080" t="s">
        <v>231</v>
      </c>
      <c r="B299" s="2492">
        <v>1736.5809999999999</v>
      </c>
      <c r="C299" s="2493">
        <v>1.0401</v>
      </c>
      <c r="D299" s="2494">
        <v>881911</v>
      </c>
      <c r="E299" s="2500">
        <v>813026</v>
      </c>
      <c r="F299" s="2500">
        <v>0</v>
      </c>
      <c r="G299" s="2501">
        <v>557976682</v>
      </c>
    </row>
    <row r="300" spans="1:7" ht="21">
      <c r="A300" s="1080" t="s">
        <v>1401</v>
      </c>
      <c r="B300" s="2492">
        <v>356.589</v>
      </c>
      <c r="C300" s="2493">
        <v>1.04</v>
      </c>
      <c r="D300" s="2494">
        <v>91689</v>
      </c>
      <c r="E300" s="2500">
        <v>0</v>
      </c>
      <c r="F300" s="2500">
        <v>27596</v>
      </c>
      <c r="G300" s="2501">
        <v>40433342</v>
      </c>
    </row>
    <row r="301" spans="1:7" ht="21">
      <c r="A301" s="1080" t="s">
        <v>820</v>
      </c>
      <c r="B301" s="2492">
        <v>245.089</v>
      </c>
      <c r="C301" s="2493">
        <v>1.17</v>
      </c>
      <c r="D301" s="2494">
        <v>47189</v>
      </c>
      <c r="E301" s="2500">
        <v>0</v>
      </c>
      <c r="F301" s="2500">
        <v>41737</v>
      </c>
      <c r="G301" s="2501">
        <v>36371885</v>
      </c>
    </row>
    <row r="302" spans="1:7" ht="21">
      <c r="A302" s="1080" t="s">
        <v>232</v>
      </c>
      <c r="B302" s="2492">
        <v>559.26900000000001</v>
      </c>
      <c r="C302" s="2493">
        <v>1.04</v>
      </c>
      <c r="D302" s="2494">
        <v>643109</v>
      </c>
      <c r="E302" s="2500">
        <v>433595</v>
      </c>
      <c r="F302" s="2500">
        <v>132301</v>
      </c>
      <c r="G302" s="2501">
        <v>159979695</v>
      </c>
    </row>
    <row r="303" spans="1:7" ht="21">
      <c r="A303" s="1080" t="s">
        <v>233</v>
      </c>
      <c r="B303" s="2492">
        <v>812.69399999999996</v>
      </c>
      <c r="C303" s="2493">
        <v>1.17</v>
      </c>
      <c r="D303" s="2494">
        <v>144973</v>
      </c>
      <c r="E303" s="2500">
        <v>132022</v>
      </c>
      <c r="F303" s="2500">
        <v>0</v>
      </c>
      <c r="G303" s="2501">
        <v>139336943</v>
      </c>
    </row>
    <row r="304" spans="1:7" ht="21">
      <c r="A304" s="1080" t="s">
        <v>1960</v>
      </c>
      <c r="B304" s="2492">
        <v>264.92700000000002</v>
      </c>
      <c r="C304" s="2493">
        <v>1.04</v>
      </c>
      <c r="D304" s="2494">
        <v>231775</v>
      </c>
      <c r="E304" s="2500">
        <v>177133</v>
      </c>
      <c r="F304" s="2500">
        <v>0</v>
      </c>
      <c r="G304" s="2501">
        <v>80660062</v>
      </c>
    </row>
    <row r="305" spans="1:7" ht="21">
      <c r="A305" s="1080" t="s">
        <v>1961</v>
      </c>
      <c r="B305" s="2492">
        <v>477.90899999999999</v>
      </c>
      <c r="C305" s="2493">
        <v>1.17</v>
      </c>
      <c r="D305" s="2494">
        <v>424582</v>
      </c>
      <c r="E305" s="2500">
        <v>415011</v>
      </c>
      <c r="F305" s="2500">
        <v>22774</v>
      </c>
      <c r="G305" s="2501">
        <v>147488949</v>
      </c>
    </row>
    <row r="306" spans="1:7" ht="21">
      <c r="A306" s="1080" t="s">
        <v>1402</v>
      </c>
      <c r="B306" s="2492">
        <v>433.63600000000002</v>
      </c>
      <c r="C306" s="2493">
        <v>1.17</v>
      </c>
      <c r="D306" s="2494">
        <v>33139</v>
      </c>
      <c r="E306" s="2500">
        <v>4012</v>
      </c>
      <c r="F306" s="2500">
        <v>27381</v>
      </c>
      <c r="G306" s="2501">
        <v>91364342</v>
      </c>
    </row>
    <row r="307" spans="1:7" ht="21">
      <c r="A307" s="1080" t="s">
        <v>2948</v>
      </c>
      <c r="B307" s="2492">
        <v>556.42200000000003</v>
      </c>
      <c r="C307" s="2493">
        <v>1.17</v>
      </c>
      <c r="D307" s="2494">
        <v>671196</v>
      </c>
      <c r="E307" s="2500">
        <v>328703</v>
      </c>
      <c r="F307" s="2500">
        <v>0</v>
      </c>
      <c r="G307" s="2501">
        <v>328434425</v>
      </c>
    </row>
    <row r="308" spans="1:7" ht="21">
      <c r="A308" s="1080" t="s">
        <v>1911</v>
      </c>
      <c r="B308" s="2492">
        <v>1781.771</v>
      </c>
      <c r="C308" s="2493">
        <v>1.04</v>
      </c>
      <c r="D308" s="2494">
        <v>3301</v>
      </c>
      <c r="E308" s="2500">
        <v>0</v>
      </c>
      <c r="F308" s="2500">
        <v>0</v>
      </c>
      <c r="G308" s="2501">
        <v>1024025826</v>
      </c>
    </row>
    <row r="309" spans="1:7" ht="21">
      <c r="A309" s="1080" t="s">
        <v>1912</v>
      </c>
      <c r="B309" s="2492">
        <v>660.53399999999999</v>
      </c>
      <c r="C309" s="2493">
        <v>1.04</v>
      </c>
      <c r="D309" s="2494">
        <v>492354</v>
      </c>
      <c r="E309" s="2500">
        <v>334017</v>
      </c>
      <c r="F309" s="2500">
        <v>0</v>
      </c>
      <c r="G309" s="2501">
        <v>399816205</v>
      </c>
    </row>
    <row r="310" spans="1:7" ht="21">
      <c r="A310" s="1080" t="s">
        <v>1037</v>
      </c>
      <c r="B310" s="2492">
        <v>196.434</v>
      </c>
      <c r="C310" s="2493">
        <v>1.04</v>
      </c>
      <c r="D310" s="2494">
        <v>0</v>
      </c>
      <c r="E310" s="2500">
        <v>0</v>
      </c>
      <c r="F310" s="2500">
        <v>0</v>
      </c>
      <c r="G310" s="2501">
        <v>164422782</v>
      </c>
    </row>
    <row r="311" spans="1:7" ht="21">
      <c r="A311" s="1080" t="s">
        <v>73</v>
      </c>
      <c r="B311" s="2492">
        <v>273.65600000000001</v>
      </c>
      <c r="C311" s="2493">
        <v>1.06</v>
      </c>
      <c r="D311" s="2494">
        <v>271135</v>
      </c>
      <c r="E311" s="2500">
        <v>85458</v>
      </c>
      <c r="F311" s="2500">
        <v>0</v>
      </c>
      <c r="G311" s="2501">
        <v>349310358</v>
      </c>
    </row>
    <row r="312" spans="1:7" ht="21">
      <c r="A312" s="1080" t="s">
        <v>853</v>
      </c>
      <c r="B312" s="2492">
        <v>257.50200000000001</v>
      </c>
      <c r="C312" s="2493">
        <v>1.17</v>
      </c>
      <c r="D312" s="2494">
        <v>89479</v>
      </c>
      <c r="E312" s="2500">
        <v>81462</v>
      </c>
      <c r="F312" s="2500">
        <v>0</v>
      </c>
      <c r="G312" s="2501">
        <v>97529156</v>
      </c>
    </row>
    <row r="313" spans="1:7" ht="21">
      <c r="A313" s="1080" t="s">
        <v>2865</v>
      </c>
      <c r="B313" s="2492">
        <v>230.126</v>
      </c>
      <c r="C313" s="2493">
        <v>1.17</v>
      </c>
      <c r="D313" s="2494">
        <v>66656</v>
      </c>
      <c r="E313" s="2500">
        <v>15814</v>
      </c>
      <c r="F313" s="2500">
        <v>35105</v>
      </c>
      <c r="G313" s="2501">
        <v>120381926</v>
      </c>
    </row>
    <row r="314" spans="1:7" ht="21">
      <c r="A314" s="1080" t="s">
        <v>697</v>
      </c>
      <c r="B314" s="2492">
        <v>695.91</v>
      </c>
      <c r="C314" s="2493">
        <v>1.17</v>
      </c>
      <c r="D314" s="2494">
        <v>378128</v>
      </c>
      <c r="E314" s="2500">
        <v>312639</v>
      </c>
      <c r="F314" s="2500">
        <v>0</v>
      </c>
      <c r="G314" s="2501">
        <v>231450695</v>
      </c>
    </row>
    <row r="315" spans="1:7" ht="21">
      <c r="A315" s="1080" t="s">
        <v>698</v>
      </c>
      <c r="B315" s="2492">
        <v>458.61799999999999</v>
      </c>
      <c r="C315" s="2493">
        <v>1.1399999999999999</v>
      </c>
      <c r="D315" s="2494">
        <v>0</v>
      </c>
      <c r="E315" s="2500">
        <v>0</v>
      </c>
      <c r="F315" s="2500">
        <v>0</v>
      </c>
      <c r="G315" s="2501">
        <v>95588453</v>
      </c>
    </row>
    <row r="316" spans="1:7" ht="21">
      <c r="A316" s="1080" t="s">
        <v>699</v>
      </c>
      <c r="B316" s="2492">
        <v>186.93100000000001</v>
      </c>
      <c r="C316" s="2493">
        <v>1.17</v>
      </c>
      <c r="D316" s="2494">
        <v>0</v>
      </c>
      <c r="E316" s="2500">
        <v>0</v>
      </c>
      <c r="F316" s="2500">
        <v>0</v>
      </c>
      <c r="G316" s="2501">
        <v>124916056</v>
      </c>
    </row>
    <row r="317" spans="1:7" ht="21">
      <c r="A317" s="1080" t="s">
        <v>700</v>
      </c>
      <c r="B317" s="2492">
        <v>26698.816999999999</v>
      </c>
      <c r="C317" s="2493">
        <v>1.0401</v>
      </c>
      <c r="D317" s="2494">
        <v>40771794</v>
      </c>
      <c r="E317" s="2500">
        <v>27099299</v>
      </c>
      <c r="F317" s="2500">
        <v>0</v>
      </c>
      <c r="G317" s="2501">
        <v>10764956282</v>
      </c>
    </row>
    <row r="318" spans="1:7" ht="21">
      <c r="A318" s="1080" t="s">
        <v>2906</v>
      </c>
      <c r="B318" s="2492">
        <v>2785.3989999999999</v>
      </c>
      <c r="C318" s="2493">
        <v>1.04</v>
      </c>
      <c r="D318" s="2494">
        <v>3996340</v>
      </c>
      <c r="E318" s="2500">
        <v>1823454</v>
      </c>
      <c r="F318" s="2500">
        <v>994171</v>
      </c>
      <c r="G318" s="2501">
        <v>628777103</v>
      </c>
    </row>
    <row r="319" spans="1:7" ht="21">
      <c r="A319" s="1080" t="s">
        <v>1602</v>
      </c>
      <c r="B319" s="2492">
        <v>68767.766000000003</v>
      </c>
      <c r="C319" s="2493">
        <v>1.04</v>
      </c>
      <c r="D319" s="2494">
        <v>84500970</v>
      </c>
      <c r="E319" s="2500">
        <v>51116395</v>
      </c>
      <c r="F319" s="2500">
        <v>22610465</v>
      </c>
      <c r="G319" s="2501">
        <v>25769547334</v>
      </c>
    </row>
    <row r="320" spans="1:7" ht="21">
      <c r="A320" s="1080" t="s">
        <v>2647</v>
      </c>
      <c r="B320" s="2492">
        <v>3161.4270000000001</v>
      </c>
      <c r="C320" s="2493">
        <v>1.0401</v>
      </c>
      <c r="D320" s="2494">
        <v>4237693</v>
      </c>
      <c r="E320" s="2500">
        <v>2242515</v>
      </c>
      <c r="F320" s="2500">
        <v>0</v>
      </c>
      <c r="G320" s="2501">
        <v>2135670628</v>
      </c>
    </row>
    <row r="321" spans="1:7" ht="21">
      <c r="A321" s="1080" t="s">
        <v>2290</v>
      </c>
      <c r="B321" s="2492">
        <v>1562.675</v>
      </c>
      <c r="C321" s="2493">
        <v>0.99019999999999997</v>
      </c>
      <c r="D321" s="2494">
        <v>2512921</v>
      </c>
      <c r="E321" s="2500">
        <v>1059732</v>
      </c>
      <c r="F321" s="2500">
        <v>0</v>
      </c>
      <c r="G321" s="2501">
        <v>946576769</v>
      </c>
    </row>
    <row r="322" spans="1:7" ht="21">
      <c r="A322" s="1080" t="s">
        <v>1478</v>
      </c>
      <c r="B322" s="2492">
        <v>1666.6079999999999</v>
      </c>
      <c r="C322" s="2493">
        <v>1.1367</v>
      </c>
      <c r="D322" s="2494">
        <v>4347533</v>
      </c>
      <c r="E322" s="2500">
        <v>1235783</v>
      </c>
      <c r="F322" s="2500">
        <v>0</v>
      </c>
      <c r="G322" s="2501">
        <v>1714181290</v>
      </c>
    </row>
    <row r="323" spans="1:7" ht="21">
      <c r="A323" s="1080" t="s">
        <v>2192</v>
      </c>
      <c r="B323" s="2492">
        <v>1209.2629999999999</v>
      </c>
      <c r="C323" s="2493">
        <v>1.04</v>
      </c>
      <c r="D323" s="2494">
        <v>4531442</v>
      </c>
      <c r="E323" s="2500">
        <v>1214125</v>
      </c>
      <c r="F323" s="2500">
        <v>0</v>
      </c>
      <c r="G323" s="2501">
        <v>912213984</v>
      </c>
    </row>
    <row r="324" spans="1:7" ht="21">
      <c r="A324" s="1080" t="s">
        <v>2198</v>
      </c>
      <c r="B324" s="2492">
        <v>466.77499999999998</v>
      </c>
      <c r="C324" s="2493">
        <v>1.04</v>
      </c>
      <c r="D324" s="2494">
        <v>418269</v>
      </c>
      <c r="E324" s="2500">
        <v>356671</v>
      </c>
      <c r="F324" s="2500">
        <v>0</v>
      </c>
      <c r="G324" s="2501">
        <v>130695044</v>
      </c>
    </row>
    <row r="325" spans="1:7" ht="21">
      <c r="A325" s="1080" t="s">
        <v>2199</v>
      </c>
      <c r="B325" s="2492">
        <v>133.52799999999999</v>
      </c>
      <c r="C325" s="2493">
        <v>0.92669999999999997</v>
      </c>
      <c r="D325" s="2494">
        <v>518051</v>
      </c>
      <c r="E325" s="2500">
        <v>43400</v>
      </c>
      <c r="F325" s="2500">
        <v>0</v>
      </c>
      <c r="G325" s="2501">
        <v>182689476</v>
      </c>
    </row>
    <row r="326" spans="1:7" ht="21">
      <c r="A326" s="1080" t="s">
        <v>1403</v>
      </c>
      <c r="B326" s="2492">
        <v>929.03700000000003</v>
      </c>
      <c r="C326" s="2493">
        <v>1.04</v>
      </c>
      <c r="D326" s="2494">
        <v>3086085</v>
      </c>
      <c r="E326" s="2500">
        <v>57858</v>
      </c>
      <c r="F326" s="2500">
        <v>366731</v>
      </c>
      <c r="G326" s="2501">
        <v>469561773</v>
      </c>
    </row>
    <row r="327" spans="1:7" ht="21">
      <c r="A327" s="1080" t="s">
        <v>2866</v>
      </c>
      <c r="B327" s="2492">
        <v>2070.73</v>
      </c>
      <c r="C327" s="2493">
        <v>1.17</v>
      </c>
      <c r="D327" s="2494">
        <v>1542064</v>
      </c>
      <c r="E327" s="2500">
        <v>985859</v>
      </c>
      <c r="F327" s="2500">
        <v>759699</v>
      </c>
      <c r="G327" s="2501">
        <v>1171889806</v>
      </c>
    </row>
    <row r="328" spans="1:7" ht="21">
      <c r="A328" s="1080" t="s">
        <v>2200</v>
      </c>
      <c r="B328" s="2492">
        <v>532.58699999999999</v>
      </c>
      <c r="C328" s="2493">
        <v>1</v>
      </c>
      <c r="D328" s="2494">
        <v>907434</v>
      </c>
      <c r="E328" s="2500">
        <v>540576</v>
      </c>
      <c r="F328" s="2500">
        <v>0</v>
      </c>
      <c r="G328" s="2501">
        <v>256922542</v>
      </c>
    </row>
    <row r="329" spans="1:7" ht="21">
      <c r="A329" s="1080" t="s">
        <v>2420</v>
      </c>
      <c r="B329" s="2492">
        <v>107.813</v>
      </c>
      <c r="C329" s="2493">
        <v>0.84670000000000001</v>
      </c>
      <c r="D329" s="2494">
        <v>442117</v>
      </c>
      <c r="E329" s="2500">
        <v>38688</v>
      </c>
      <c r="F329" s="2500">
        <v>0</v>
      </c>
      <c r="G329" s="2501">
        <v>522813349</v>
      </c>
    </row>
    <row r="330" spans="1:7" ht="21">
      <c r="A330" s="1080" t="s">
        <v>2490</v>
      </c>
      <c r="B330" s="2492">
        <v>2622.6390000000001</v>
      </c>
      <c r="C330" s="2493">
        <v>0.74</v>
      </c>
      <c r="D330" s="2494">
        <v>14709379</v>
      </c>
      <c r="E330" s="2500">
        <v>2661979</v>
      </c>
      <c r="F330" s="2500">
        <v>0</v>
      </c>
      <c r="G330" s="2501">
        <v>5609426280</v>
      </c>
    </row>
    <row r="331" spans="1:7" ht="21">
      <c r="A331" s="1080" t="s">
        <v>2270</v>
      </c>
      <c r="B331" s="2492">
        <v>9701.0660000000007</v>
      </c>
      <c r="C331" s="2493">
        <v>1.04</v>
      </c>
      <c r="D331" s="2494">
        <v>14756209</v>
      </c>
      <c r="E331" s="2500">
        <v>7983524</v>
      </c>
      <c r="F331" s="2500">
        <v>0</v>
      </c>
      <c r="G331" s="2501">
        <v>2752939305</v>
      </c>
    </row>
    <row r="332" spans="1:7" ht="21">
      <c r="A332" s="1080" t="s">
        <v>2550</v>
      </c>
      <c r="B332" s="2492">
        <v>6197.1059999999998</v>
      </c>
      <c r="C332" s="2493">
        <v>1.06</v>
      </c>
      <c r="D332" s="2494">
        <v>5284926</v>
      </c>
      <c r="E332" s="2500">
        <v>2802359</v>
      </c>
      <c r="F332" s="2500">
        <v>0</v>
      </c>
      <c r="G332" s="2501">
        <v>5477376931</v>
      </c>
    </row>
    <row r="333" spans="1:7" ht="21">
      <c r="A333" s="1080" t="s">
        <v>2132</v>
      </c>
      <c r="B333" s="2492">
        <v>140.596</v>
      </c>
      <c r="C333" s="2493">
        <v>1.17</v>
      </c>
      <c r="D333" s="2494">
        <v>131236</v>
      </c>
      <c r="E333" s="2500">
        <v>142705</v>
      </c>
      <c r="F333" s="2500">
        <v>0</v>
      </c>
      <c r="G333" s="2501">
        <v>79437440</v>
      </c>
    </row>
    <row r="334" spans="1:7" ht="21">
      <c r="A334" s="1080" t="s">
        <v>862</v>
      </c>
      <c r="B334" s="2492">
        <v>1996.5119999999999</v>
      </c>
      <c r="C334" s="2493">
        <v>1.04</v>
      </c>
      <c r="D334" s="2494">
        <v>2640484</v>
      </c>
      <c r="E334" s="2500">
        <v>1233856</v>
      </c>
      <c r="F334" s="2500">
        <v>0</v>
      </c>
      <c r="G334" s="2501">
        <v>1414410525</v>
      </c>
    </row>
    <row r="335" spans="1:7" ht="21">
      <c r="A335" s="1080" t="s">
        <v>863</v>
      </c>
      <c r="B335" s="2492">
        <v>5827.415</v>
      </c>
      <c r="C335" s="2493">
        <v>1.04</v>
      </c>
      <c r="D335" s="2494">
        <v>8778818</v>
      </c>
      <c r="E335" s="2500">
        <v>5103146</v>
      </c>
      <c r="F335" s="2500">
        <v>0</v>
      </c>
      <c r="G335" s="2501">
        <v>3814715872</v>
      </c>
    </row>
    <row r="336" spans="1:7" ht="21">
      <c r="A336" s="1080" t="s">
        <v>2817</v>
      </c>
      <c r="B336" s="2492">
        <v>1291.0920000000001</v>
      </c>
      <c r="C336" s="2493">
        <v>1.04</v>
      </c>
      <c r="D336" s="2494">
        <v>2665693</v>
      </c>
      <c r="E336" s="2500">
        <v>1310458</v>
      </c>
      <c r="F336" s="2500">
        <v>0</v>
      </c>
      <c r="G336" s="2501">
        <v>497848302</v>
      </c>
    </row>
    <row r="337" spans="1:7" ht="21">
      <c r="A337" s="1080" t="s">
        <v>533</v>
      </c>
      <c r="B337" s="2492">
        <v>4276.4440000000004</v>
      </c>
      <c r="C337" s="2493">
        <v>1.04</v>
      </c>
      <c r="D337" s="2494">
        <v>4364723</v>
      </c>
      <c r="E337" s="2500">
        <v>2478113</v>
      </c>
      <c r="F337" s="2500">
        <v>1450481</v>
      </c>
      <c r="G337" s="2501">
        <v>1043741169</v>
      </c>
    </row>
    <row r="338" spans="1:7" ht="21">
      <c r="A338" s="1080" t="s">
        <v>2818</v>
      </c>
      <c r="B338" s="2492">
        <v>38228.256000000001</v>
      </c>
      <c r="C338" s="2493">
        <v>1.04</v>
      </c>
      <c r="D338" s="2494">
        <v>62049254</v>
      </c>
      <c r="E338" s="2500">
        <v>38801680</v>
      </c>
      <c r="F338" s="2500">
        <v>0</v>
      </c>
      <c r="G338" s="2501">
        <v>16488828854</v>
      </c>
    </row>
    <row r="339" spans="1:7" ht="21">
      <c r="A339" s="1080" t="s">
        <v>1604</v>
      </c>
      <c r="B339" s="2492">
        <v>5850.1120000000001</v>
      </c>
      <c r="C339" s="2493">
        <v>1.04</v>
      </c>
      <c r="D339" s="2494">
        <v>7607749</v>
      </c>
      <c r="E339" s="2500">
        <v>5830473</v>
      </c>
      <c r="F339" s="2500">
        <v>1100400</v>
      </c>
      <c r="G339" s="2501">
        <v>2226956155</v>
      </c>
    </row>
    <row r="340" spans="1:7" ht="21">
      <c r="A340" s="1080" t="s">
        <v>1872</v>
      </c>
      <c r="B340" s="2492">
        <v>819.21699999999998</v>
      </c>
      <c r="C340" s="2493">
        <v>1.0401</v>
      </c>
      <c r="D340" s="2494">
        <v>1941907</v>
      </c>
      <c r="E340" s="2500">
        <v>0</v>
      </c>
      <c r="F340" s="2500">
        <v>0</v>
      </c>
      <c r="G340" s="2501">
        <v>835788766</v>
      </c>
    </row>
    <row r="341" spans="1:7" ht="21">
      <c r="A341" s="1080" t="s">
        <v>1873</v>
      </c>
      <c r="B341" s="2492">
        <v>152.26300000000001</v>
      </c>
      <c r="C341" s="2493">
        <v>1.0682</v>
      </c>
      <c r="D341" s="2494">
        <v>0</v>
      </c>
      <c r="E341" s="2500">
        <v>0</v>
      </c>
      <c r="F341" s="2500">
        <v>0</v>
      </c>
      <c r="G341" s="2501">
        <v>81465402</v>
      </c>
    </row>
    <row r="342" spans="1:7" ht="21">
      <c r="A342" s="1080" t="s">
        <v>2139</v>
      </c>
      <c r="B342" s="2492">
        <v>18.527999999999999</v>
      </c>
      <c r="C342" s="2493">
        <v>0.92669999999999997</v>
      </c>
      <c r="D342" s="2494">
        <v>0</v>
      </c>
      <c r="E342" s="2500">
        <v>0</v>
      </c>
      <c r="F342" s="2500">
        <v>0</v>
      </c>
      <c r="G342" s="2501">
        <v>37254743</v>
      </c>
    </row>
    <row r="343" spans="1:7" ht="21">
      <c r="A343" s="1080" t="s">
        <v>1636</v>
      </c>
      <c r="B343" s="2492">
        <v>2844.768</v>
      </c>
      <c r="C343" s="2493">
        <v>1.04</v>
      </c>
      <c r="D343" s="2494">
        <v>2760430</v>
      </c>
      <c r="E343" s="2500">
        <v>1077919</v>
      </c>
      <c r="F343" s="2500">
        <v>0</v>
      </c>
      <c r="G343" s="2501">
        <v>2469940131</v>
      </c>
    </row>
    <row r="344" spans="1:7" ht="21">
      <c r="A344" s="1080" t="s">
        <v>2474</v>
      </c>
      <c r="B344" s="2492">
        <v>573.83000000000004</v>
      </c>
      <c r="C344" s="2493">
        <v>1.04</v>
      </c>
      <c r="D344" s="2494">
        <v>0</v>
      </c>
      <c r="E344" s="2500">
        <v>0</v>
      </c>
      <c r="F344" s="2500">
        <v>0</v>
      </c>
      <c r="G344" s="2501">
        <v>356294535</v>
      </c>
    </row>
    <row r="345" spans="1:7" ht="21">
      <c r="A345" s="1080" t="s">
        <v>2475</v>
      </c>
      <c r="B345" s="2492">
        <v>284.45400000000001</v>
      </c>
      <c r="C345" s="2493">
        <v>1.0370999999999999</v>
      </c>
      <c r="D345" s="2494">
        <v>2782161</v>
      </c>
      <c r="E345" s="2500">
        <v>152343</v>
      </c>
      <c r="F345" s="2500">
        <v>0</v>
      </c>
      <c r="G345" s="2501">
        <v>3160684547</v>
      </c>
    </row>
    <row r="346" spans="1:7" ht="21">
      <c r="A346" s="1080" t="s">
        <v>2794</v>
      </c>
      <c r="B346" s="2492">
        <v>1304.53</v>
      </c>
      <c r="C346" s="2493">
        <v>1.04</v>
      </c>
      <c r="D346" s="2494">
        <v>1309637</v>
      </c>
      <c r="E346" s="2500">
        <v>742074</v>
      </c>
      <c r="F346" s="2500">
        <v>0</v>
      </c>
      <c r="G346" s="2501">
        <v>845446140</v>
      </c>
    </row>
    <row r="347" spans="1:7" ht="21">
      <c r="A347" s="1080" t="s">
        <v>1019</v>
      </c>
      <c r="B347" s="2492">
        <v>2577.6770000000001</v>
      </c>
      <c r="C347" s="2493">
        <v>1.04</v>
      </c>
      <c r="D347" s="2494">
        <v>2093330</v>
      </c>
      <c r="E347" s="2500">
        <v>8152</v>
      </c>
      <c r="F347" s="2500">
        <v>566258</v>
      </c>
      <c r="G347" s="2501">
        <v>1843614071</v>
      </c>
    </row>
    <row r="348" spans="1:7" ht="21">
      <c r="A348" s="1080" t="s">
        <v>2795</v>
      </c>
      <c r="B348" s="2492">
        <v>996.98900000000003</v>
      </c>
      <c r="C348" s="2493">
        <v>0.94</v>
      </c>
      <c r="D348" s="2494">
        <v>3406932</v>
      </c>
      <c r="E348" s="2500">
        <v>152438</v>
      </c>
      <c r="F348" s="2500">
        <v>0</v>
      </c>
      <c r="G348" s="2501">
        <v>873191724</v>
      </c>
    </row>
    <row r="349" spans="1:7" ht="21">
      <c r="A349" s="1080" t="s">
        <v>2796</v>
      </c>
      <c r="B349" s="2492">
        <v>278.22699999999998</v>
      </c>
      <c r="C349" s="2493">
        <v>1.04</v>
      </c>
      <c r="D349" s="2494">
        <v>205625</v>
      </c>
      <c r="E349" s="2500">
        <v>211849</v>
      </c>
      <c r="F349" s="2500">
        <v>0</v>
      </c>
      <c r="G349" s="2501">
        <v>219877349</v>
      </c>
    </row>
    <row r="350" spans="1:7" ht="21">
      <c r="A350" s="1080" t="s">
        <v>2118</v>
      </c>
      <c r="B350" s="2492">
        <v>148.375</v>
      </c>
      <c r="C350" s="2493">
        <v>1.04</v>
      </c>
      <c r="D350" s="2494">
        <v>502539</v>
      </c>
      <c r="E350" s="2500">
        <v>150601</v>
      </c>
      <c r="F350" s="2500">
        <v>0</v>
      </c>
      <c r="G350" s="2501">
        <v>182633742</v>
      </c>
    </row>
    <row r="351" spans="1:7" ht="21">
      <c r="A351" s="1080" t="s">
        <v>2119</v>
      </c>
      <c r="B351" s="2492">
        <v>191.905</v>
      </c>
      <c r="C351" s="2493">
        <v>1.04</v>
      </c>
      <c r="D351" s="2494">
        <v>231403</v>
      </c>
      <c r="E351" s="2500">
        <v>125702</v>
      </c>
      <c r="F351" s="2500">
        <v>0</v>
      </c>
      <c r="G351" s="2501">
        <v>126584440</v>
      </c>
    </row>
    <row r="352" spans="1:7" ht="21">
      <c r="A352" s="1080" t="s">
        <v>2301</v>
      </c>
      <c r="B352" s="2492">
        <v>3523.5509999999999</v>
      </c>
      <c r="C352" s="2493">
        <v>1.04</v>
      </c>
      <c r="D352" s="2494">
        <v>3276704</v>
      </c>
      <c r="E352" s="2500">
        <v>2544978</v>
      </c>
      <c r="F352" s="2500">
        <v>779066</v>
      </c>
      <c r="G352" s="2501">
        <v>1249407896</v>
      </c>
    </row>
    <row r="353" spans="1:7" ht="21">
      <c r="A353" s="1080" t="s">
        <v>2313</v>
      </c>
      <c r="B353" s="2492">
        <v>41.774999999999999</v>
      </c>
      <c r="C353" s="2493">
        <v>0.97</v>
      </c>
      <c r="D353" s="2494">
        <v>111078</v>
      </c>
      <c r="E353" s="2500">
        <v>17288</v>
      </c>
      <c r="F353" s="2500">
        <v>0</v>
      </c>
      <c r="G353" s="2501">
        <v>145621837</v>
      </c>
    </row>
    <row r="354" spans="1:7" ht="21">
      <c r="A354" s="1080" t="s">
        <v>1897</v>
      </c>
      <c r="B354" s="2492">
        <v>712.58199999999999</v>
      </c>
      <c r="C354" s="2493">
        <v>1.17</v>
      </c>
      <c r="D354" s="2494">
        <v>573293</v>
      </c>
      <c r="E354" s="2500">
        <v>297380</v>
      </c>
      <c r="F354" s="2500">
        <v>228577</v>
      </c>
      <c r="G354" s="2501">
        <v>181392891</v>
      </c>
    </row>
    <row r="355" spans="1:7" ht="21">
      <c r="A355" s="1080" t="s">
        <v>1107</v>
      </c>
      <c r="B355" s="2492">
        <v>506.94299999999998</v>
      </c>
      <c r="C355" s="2493">
        <v>1.17</v>
      </c>
      <c r="D355" s="2494">
        <v>103176</v>
      </c>
      <c r="E355" s="2500">
        <v>104223</v>
      </c>
      <c r="F355" s="2500">
        <v>0</v>
      </c>
      <c r="G355" s="2501">
        <v>132929997</v>
      </c>
    </row>
    <row r="356" spans="1:7" ht="21">
      <c r="A356" s="1080" t="s">
        <v>1108</v>
      </c>
      <c r="B356" s="2492">
        <v>4207.57</v>
      </c>
      <c r="C356" s="2493">
        <v>1.17</v>
      </c>
      <c r="D356" s="2494">
        <v>4443653</v>
      </c>
      <c r="E356" s="2500">
        <v>3860518</v>
      </c>
      <c r="F356" s="2500">
        <v>0</v>
      </c>
      <c r="G356" s="2501">
        <v>1331213060</v>
      </c>
    </row>
    <row r="357" spans="1:7" ht="21">
      <c r="A357" s="1080" t="s">
        <v>1276</v>
      </c>
      <c r="B357" s="2492">
        <v>969.11599999999999</v>
      </c>
      <c r="C357" s="2493">
        <v>1.17</v>
      </c>
      <c r="D357" s="2494">
        <v>607982</v>
      </c>
      <c r="E357" s="2500">
        <v>329202</v>
      </c>
      <c r="F357" s="2500">
        <v>284323</v>
      </c>
      <c r="G357" s="2501">
        <v>209094244</v>
      </c>
    </row>
    <row r="358" spans="1:7" ht="21">
      <c r="A358" s="1080" t="s">
        <v>897</v>
      </c>
      <c r="B358" s="2492">
        <v>6635.4679999999998</v>
      </c>
      <c r="C358" s="2493">
        <v>1.04</v>
      </c>
      <c r="D358" s="2494">
        <v>10425130</v>
      </c>
      <c r="E358" s="2500">
        <v>5857975</v>
      </c>
      <c r="F358" s="2500">
        <v>1512500</v>
      </c>
      <c r="G358" s="2501">
        <v>2344417869</v>
      </c>
    </row>
    <row r="359" spans="1:7" ht="21">
      <c r="A359" s="1080" t="s">
        <v>898</v>
      </c>
      <c r="B359" s="2492">
        <v>341.947</v>
      </c>
      <c r="C359" s="2493">
        <v>1.04</v>
      </c>
      <c r="D359" s="2494">
        <v>363595</v>
      </c>
      <c r="E359" s="2500">
        <v>170466</v>
      </c>
      <c r="F359" s="2500">
        <v>0</v>
      </c>
      <c r="G359" s="2501">
        <v>73268539</v>
      </c>
    </row>
    <row r="360" spans="1:7" ht="21">
      <c r="A360" s="1080" t="s">
        <v>1404</v>
      </c>
      <c r="B360" s="2492">
        <v>1340.652</v>
      </c>
      <c r="C360" s="2493">
        <v>1.1200000000000001</v>
      </c>
      <c r="D360" s="2494">
        <v>1991366</v>
      </c>
      <c r="E360" s="2500">
        <v>1322974</v>
      </c>
      <c r="F360" s="2500">
        <v>595436</v>
      </c>
      <c r="G360" s="2501">
        <v>456198122</v>
      </c>
    </row>
    <row r="361" spans="1:7" ht="21">
      <c r="A361" s="1080" t="s">
        <v>1405</v>
      </c>
      <c r="B361" s="2492">
        <v>1475.4839999999999</v>
      </c>
      <c r="C361" s="2493">
        <v>1.17</v>
      </c>
      <c r="D361" s="2494">
        <v>1464856</v>
      </c>
      <c r="E361" s="2500">
        <v>853135</v>
      </c>
      <c r="F361" s="2500">
        <v>323783</v>
      </c>
      <c r="G361" s="2501">
        <v>590386669</v>
      </c>
    </row>
    <row r="362" spans="1:7" ht="21">
      <c r="A362" s="1080" t="s">
        <v>1650</v>
      </c>
      <c r="B362" s="2492">
        <v>718.505</v>
      </c>
      <c r="C362" s="2493">
        <v>1.17</v>
      </c>
      <c r="D362" s="2494">
        <v>344778</v>
      </c>
      <c r="E362" s="2500">
        <v>344234</v>
      </c>
      <c r="F362" s="2500">
        <v>0</v>
      </c>
      <c r="G362" s="2501">
        <v>162681448</v>
      </c>
    </row>
    <row r="363" spans="1:7" ht="21">
      <c r="A363" s="1080" t="s">
        <v>243</v>
      </c>
      <c r="B363" s="2492">
        <v>1322.7059999999999</v>
      </c>
      <c r="C363" s="2493">
        <v>1.04</v>
      </c>
      <c r="D363" s="2494">
        <v>1102142</v>
      </c>
      <c r="E363" s="2500">
        <v>487632</v>
      </c>
      <c r="F363" s="2500">
        <v>315852</v>
      </c>
      <c r="G363" s="2501">
        <v>701318004</v>
      </c>
    </row>
    <row r="364" spans="1:7" ht="21">
      <c r="A364" s="1080" t="s">
        <v>2977</v>
      </c>
      <c r="B364" s="2492">
        <v>797.34299999999996</v>
      </c>
      <c r="C364" s="2493">
        <v>1.04</v>
      </c>
      <c r="D364" s="2494">
        <v>993608</v>
      </c>
      <c r="E364" s="2500">
        <v>746945</v>
      </c>
      <c r="F364" s="2500">
        <v>0</v>
      </c>
      <c r="G364" s="2501">
        <v>369805391</v>
      </c>
    </row>
    <row r="365" spans="1:7" ht="21">
      <c r="A365" s="1080" t="s">
        <v>1483</v>
      </c>
      <c r="B365" s="2492">
        <v>736.56100000000004</v>
      </c>
      <c r="C365" s="2493">
        <v>1.17</v>
      </c>
      <c r="D365" s="2494">
        <v>931369</v>
      </c>
      <c r="E365" s="2500">
        <v>590547</v>
      </c>
      <c r="F365" s="2500">
        <v>216763</v>
      </c>
      <c r="G365" s="2501">
        <v>203636921</v>
      </c>
    </row>
    <row r="366" spans="1:7" ht="21">
      <c r="A366" s="1080" t="s">
        <v>1461</v>
      </c>
      <c r="B366" s="2492">
        <v>642.44000000000005</v>
      </c>
      <c r="C366" s="2493">
        <v>1.04</v>
      </c>
      <c r="D366" s="2494">
        <v>376425</v>
      </c>
      <c r="E366" s="2500">
        <v>0</v>
      </c>
      <c r="F366" s="2500">
        <v>0</v>
      </c>
      <c r="G366" s="2501">
        <v>160470442</v>
      </c>
    </row>
    <row r="367" spans="1:7" ht="21">
      <c r="A367" s="1080" t="s">
        <v>1462</v>
      </c>
      <c r="B367" s="2492">
        <v>1715.6120000000001</v>
      </c>
      <c r="C367" s="2493">
        <v>1.17</v>
      </c>
      <c r="D367" s="2494">
        <v>1558146</v>
      </c>
      <c r="E367" s="2500">
        <v>0</v>
      </c>
      <c r="F367" s="2500">
        <v>0</v>
      </c>
      <c r="G367" s="2501">
        <v>532092914</v>
      </c>
    </row>
    <row r="368" spans="1:7" ht="21">
      <c r="A368" s="1080" t="s">
        <v>1463</v>
      </c>
      <c r="B368" s="2492">
        <v>3765.4050000000002</v>
      </c>
      <c r="C368" s="2493">
        <v>1.04</v>
      </c>
      <c r="D368" s="2494">
        <v>4277260</v>
      </c>
      <c r="E368" s="2500">
        <v>3340250</v>
      </c>
      <c r="F368" s="2500">
        <v>0</v>
      </c>
      <c r="G368" s="2501">
        <v>1707379371</v>
      </c>
    </row>
    <row r="369" spans="1:7" ht="21">
      <c r="A369" s="1080" t="s">
        <v>498</v>
      </c>
      <c r="B369" s="2492">
        <v>8021.674</v>
      </c>
      <c r="C369" s="2493">
        <v>1.04</v>
      </c>
      <c r="D369" s="2494">
        <v>18928080</v>
      </c>
      <c r="E369" s="2500">
        <v>8141999</v>
      </c>
      <c r="F369" s="2500">
        <v>0</v>
      </c>
      <c r="G369" s="2501">
        <v>3918583169</v>
      </c>
    </row>
    <row r="370" spans="1:7" ht="21">
      <c r="A370" s="1080" t="s">
        <v>2504</v>
      </c>
      <c r="B370" s="2492">
        <v>4314.4669999999996</v>
      </c>
      <c r="C370" s="2493">
        <v>1.17</v>
      </c>
      <c r="D370" s="2494">
        <v>5822615</v>
      </c>
      <c r="E370" s="2500">
        <v>4379184</v>
      </c>
      <c r="F370" s="2500">
        <v>0</v>
      </c>
      <c r="G370" s="2501">
        <v>1597225647</v>
      </c>
    </row>
    <row r="371" spans="1:7" ht="21">
      <c r="A371" s="1080" t="s">
        <v>3035</v>
      </c>
      <c r="B371" s="2492">
        <v>1320.4690000000001</v>
      </c>
      <c r="C371" s="2493">
        <v>1.04</v>
      </c>
      <c r="D371" s="2494">
        <v>1019150</v>
      </c>
      <c r="E371" s="2500">
        <v>0</v>
      </c>
      <c r="F371" s="2500">
        <v>0</v>
      </c>
      <c r="G371" s="2501">
        <v>460885397</v>
      </c>
    </row>
    <row r="372" spans="1:7" ht="21">
      <c r="A372" s="1080" t="s">
        <v>1702</v>
      </c>
      <c r="B372" s="2492">
        <v>1777.1959999999999</v>
      </c>
      <c r="C372" s="2493">
        <v>1.17</v>
      </c>
      <c r="D372" s="2494">
        <v>2260543</v>
      </c>
      <c r="E372" s="2500">
        <v>1396286</v>
      </c>
      <c r="F372" s="2500">
        <v>879150</v>
      </c>
      <c r="G372" s="2501">
        <v>497176860</v>
      </c>
    </row>
    <row r="373" spans="1:7" ht="21">
      <c r="A373" s="1080" t="s">
        <v>3036</v>
      </c>
      <c r="B373" s="2492">
        <v>1382.509</v>
      </c>
      <c r="C373" s="2493">
        <v>1.17</v>
      </c>
      <c r="D373" s="2494">
        <v>277676</v>
      </c>
      <c r="E373" s="2500">
        <v>261910</v>
      </c>
      <c r="F373" s="2500">
        <v>0</v>
      </c>
      <c r="G373" s="2501">
        <v>397095270</v>
      </c>
    </row>
    <row r="374" spans="1:7" ht="21">
      <c r="A374" s="1080" t="s">
        <v>3037</v>
      </c>
      <c r="B374" s="2492">
        <v>772.08799999999997</v>
      </c>
      <c r="C374" s="2493">
        <v>1.04</v>
      </c>
      <c r="D374" s="2494">
        <v>2027556</v>
      </c>
      <c r="E374" s="2500">
        <v>783669</v>
      </c>
      <c r="F374" s="2500">
        <v>0</v>
      </c>
      <c r="G374" s="2501">
        <v>465398367</v>
      </c>
    </row>
    <row r="375" spans="1:7" ht="21">
      <c r="A375" s="1080" t="s">
        <v>3038</v>
      </c>
      <c r="B375" s="2492">
        <v>422.02199999999999</v>
      </c>
      <c r="C375" s="2493">
        <v>1.04</v>
      </c>
      <c r="D375" s="2494">
        <v>769253</v>
      </c>
      <c r="E375" s="2500">
        <v>428352</v>
      </c>
      <c r="F375" s="2500">
        <v>119954</v>
      </c>
      <c r="G375" s="2501">
        <v>265085354</v>
      </c>
    </row>
    <row r="376" spans="1:7" ht="21">
      <c r="A376" s="1080" t="s">
        <v>3039</v>
      </c>
      <c r="B376" s="2492">
        <v>2801.241</v>
      </c>
      <c r="C376" s="2493">
        <v>1.04</v>
      </c>
      <c r="D376" s="2494">
        <v>2319475</v>
      </c>
      <c r="E376" s="2500">
        <v>1727401</v>
      </c>
      <c r="F376" s="2500">
        <v>0</v>
      </c>
      <c r="G376" s="2501">
        <v>1673227948</v>
      </c>
    </row>
    <row r="377" spans="1:7" ht="21">
      <c r="A377" s="1080" t="s">
        <v>2456</v>
      </c>
      <c r="B377" s="2492">
        <v>134.37299999999999</v>
      </c>
      <c r="C377" s="2493">
        <v>1.04</v>
      </c>
      <c r="D377" s="2494">
        <v>0</v>
      </c>
      <c r="E377" s="2500">
        <v>0</v>
      </c>
      <c r="F377" s="2500">
        <v>0</v>
      </c>
      <c r="G377" s="2501">
        <v>120060642</v>
      </c>
    </row>
    <row r="378" spans="1:7" ht="21">
      <c r="A378" s="1080" t="s">
        <v>537</v>
      </c>
      <c r="B378" s="2492">
        <v>6648.8059999999996</v>
      </c>
      <c r="C378" s="2493">
        <v>1.04</v>
      </c>
      <c r="D378" s="2494">
        <v>7956433</v>
      </c>
      <c r="E378" s="2500">
        <v>3496142</v>
      </c>
      <c r="F378" s="2500">
        <v>2513617</v>
      </c>
      <c r="G378" s="2501">
        <v>2777087736</v>
      </c>
    </row>
    <row r="379" spans="1:7" ht="21">
      <c r="A379" s="1080" t="s">
        <v>535</v>
      </c>
      <c r="B379" s="2492">
        <v>13817.374</v>
      </c>
      <c r="C379" s="2493">
        <v>1.04</v>
      </c>
      <c r="D379" s="2494">
        <v>19396315</v>
      </c>
      <c r="E379" s="2500">
        <v>11322773</v>
      </c>
      <c r="F379" s="2500">
        <v>4033034</v>
      </c>
      <c r="G379" s="2501">
        <v>3904404473</v>
      </c>
    </row>
    <row r="380" spans="1:7" ht="21">
      <c r="A380" s="1080" t="s">
        <v>2457</v>
      </c>
      <c r="B380" s="2492">
        <v>1663.11</v>
      </c>
      <c r="C380" s="2493">
        <v>1.1399999999999999</v>
      </c>
      <c r="D380" s="2494">
        <v>1596946</v>
      </c>
      <c r="E380" s="2500">
        <v>1155595</v>
      </c>
      <c r="F380" s="2500">
        <v>386152</v>
      </c>
      <c r="G380" s="2501">
        <v>578178289</v>
      </c>
    </row>
    <row r="381" spans="1:7" ht="21">
      <c r="A381" s="1080" t="s">
        <v>381</v>
      </c>
      <c r="B381" s="2492">
        <v>1308.4290000000001</v>
      </c>
      <c r="C381" s="2493">
        <v>1.17</v>
      </c>
      <c r="D381" s="2494">
        <v>691267</v>
      </c>
      <c r="E381" s="2500">
        <v>426113</v>
      </c>
      <c r="F381" s="2500">
        <v>0</v>
      </c>
      <c r="G381" s="2501">
        <v>574191355</v>
      </c>
    </row>
    <row r="382" spans="1:7" ht="21">
      <c r="A382" s="1080" t="s">
        <v>2458</v>
      </c>
      <c r="B382" s="2492">
        <v>733.09500000000003</v>
      </c>
      <c r="C382" s="2493">
        <v>1.17</v>
      </c>
      <c r="D382" s="2494">
        <v>1996297</v>
      </c>
      <c r="E382" s="2500">
        <v>744091</v>
      </c>
      <c r="F382" s="2500">
        <v>0</v>
      </c>
      <c r="G382" s="2501">
        <v>554343026</v>
      </c>
    </row>
    <row r="383" spans="1:7" ht="21">
      <c r="A383" s="1080" t="s">
        <v>2459</v>
      </c>
      <c r="B383" s="2492">
        <v>109.92400000000001</v>
      </c>
      <c r="C383" s="2493">
        <v>1.17</v>
      </c>
      <c r="D383" s="2494">
        <v>0</v>
      </c>
      <c r="E383" s="2500">
        <v>0</v>
      </c>
      <c r="F383" s="2500">
        <v>0</v>
      </c>
      <c r="G383" s="2501">
        <v>48893293</v>
      </c>
    </row>
    <row r="384" spans="1:7" ht="21">
      <c r="A384" s="1080" t="s">
        <v>547</v>
      </c>
      <c r="B384" s="2492">
        <v>587.053</v>
      </c>
      <c r="C384" s="2493">
        <v>1.04</v>
      </c>
      <c r="D384" s="2494">
        <v>272786</v>
      </c>
      <c r="E384" s="2500">
        <v>266120</v>
      </c>
      <c r="F384" s="2500">
        <v>0</v>
      </c>
      <c r="G384" s="2501">
        <v>99250045</v>
      </c>
    </row>
    <row r="385" spans="1:7" ht="21">
      <c r="A385" s="1080" t="s">
        <v>2232</v>
      </c>
      <c r="B385" s="2492">
        <v>224.071</v>
      </c>
      <c r="C385" s="2493">
        <v>1.17</v>
      </c>
      <c r="D385" s="2494">
        <v>0</v>
      </c>
      <c r="E385" s="2500">
        <v>0</v>
      </c>
      <c r="F385" s="2500">
        <v>0</v>
      </c>
      <c r="G385" s="2501">
        <v>69725748</v>
      </c>
    </row>
    <row r="386" spans="1:7" ht="21">
      <c r="A386" s="1080" t="s">
        <v>2366</v>
      </c>
      <c r="B386" s="2492">
        <v>5127.4359999999997</v>
      </c>
      <c r="C386" s="2493">
        <v>1.04</v>
      </c>
      <c r="D386" s="2494">
        <v>1150</v>
      </c>
      <c r="E386" s="2500">
        <v>0</v>
      </c>
      <c r="F386" s="2500">
        <v>0</v>
      </c>
      <c r="G386" s="2501">
        <v>1220965936</v>
      </c>
    </row>
    <row r="387" spans="1:7" ht="21">
      <c r="A387" s="1080" t="s">
        <v>2367</v>
      </c>
      <c r="B387" s="2492">
        <v>478.78500000000003</v>
      </c>
      <c r="C387" s="2493">
        <v>1.04</v>
      </c>
      <c r="D387" s="2494">
        <v>0</v>
      </c>
      <c r="E387" s="2500">
        <v>0</v>
      </c>
      <c r="F387" s="2500">
        <v>0</v>
      </c>
      <c r="G387" s="2501">
        <v>123355294</v>
      </c>
    </row>
    <row r="388" spans="1:7" ht="21">
      <c r="A388" s="1080" t="s">
        <v>169</v>
      </c>
      <c r="B388" s="2492">
        <v>177.64500000000001</v>
      </c>
      <c r="C388" s="2493">
        <v>1.01</v>
      </c>
      <c r="D388" s="2494">
        <v>149550</v>
      </c>
      <c r="E388" s="2500">
        <v>0</v>
      </c>
      <c r="F388" s="2500">
        <v>0</v>
      </c>
      <c r="G388" s="2501">
        <v>57122906</v>
      </c>
    </row>
    <row r="389" spans="1:7" ht="21">
      <c r="A389" s="1080" t="s">
        <v>170</v>
      </c>
      <c r="B389" s="2492">
        <v>710.63599999999997</v>
      </c>
      <c r="C389" s="2493">
        <v>1.04</v>
      </c>
      <c r="D389" s="2494">
        <v>414219</v>
      </c>
      <c r="E389" s="2500">
        <v>415900</v>
      </c>
      <c r="F389" s="2500">
        <v>0</v>
      </c>
      <c r="G389" s="2501">
        <v>298113266</v>
      </c>
    </row>
    <row r="390" spans="1:7" ht="21">
      <c r="A390" s="1080" t="s">
        <v>2867</v>
      </c>
      <c r="B390" s="2492">
        <v>525.90200000000004</v>
      </c>
      <c r="C390" s="2493">
        <v>1.17</v>
      </c>
      <c r="D390" s="2494">
        <v>314056</v>
      </c>
      <c r="E390" s="2500">
        <v>49594</v>
      </c>
      <c r="F390" s="2500">
        <v>164035</v>
      </c>
      <c r="G390" s="2501">
        <v>171049274</v>
      </c>
    </row>
    <row r="391" spans="1:7" ht="21">
      <c r="A391" s="1080" t="s">
        <v>2674</v>
      </c>
      <c r="B391" s="2492">
        <v>413.3</v>
      </c>
      <c r="C391" s="2493">
        <v>1.04</v>
      </c>
      <c r="D391" s="2494">
        <v>361770</v>
      </c>
      <c r="E391" s="2500">
        <v>0</v>
      </c>
      <c r="F391" s="2500">
        <v>0</v>
      </c>
      <c r="G391" s="2501">
        <v>494760781</v>
      </c>
    </row>
    <row r="392" spans="1:7" ht="21">
      <c r="A392" s="1080" t="s">
        <v>1281</v>
      </c>
      <c r="B392" s="2492">
        <v>115.947</v>
      </c>
      <c r="C392" s="2493">
        <v>1.04</v>
      </c>
      <c r="D392" s="2494">
        <v>193900</v>
      </c>
      <c r="E392" s="2500">
        <v>0</v>
      </c>
      <c r="F392" s="2500">
        <v>0</v>
      </c>
      <c r="G392" s="2501">
        <v>220315572</v>
      </c>
    </row>
    <row r="393" spans="1:7" ht="21">
      <c r="A393" s="1080" t="s">
        <v>1282</v>
      </c>
      <c r="B393" s="2492">
        <v>810.26400000000001</v>
      </c>
      <c r="C393" s="2493">
        <v>1.04</v>
      </c>
      <c r="D393" s="2494">
        <v>938005</v>
      </c>
      <c r="E393" s="2500">
        <v>586227</v>
      </c>
      <c r="F393" s="2500">
        <v>0</v>
      </c>
      <c r="G393" s="2501">
        <v>405248724</v>
      </c>
    </row>
    <row r="394" spans="1:7" ht="21">
      <c r="A394" s="1080" t="s">
        <v>2416</v>
      </c>
      <c r="B394" s="2492">
        <v>174.488</v>
      </c>
      <c r="C394" s="2493">
        <v>1.04</v>
      </c>
      <c r="D394" s="2494">
        <v>0</v>
      </c>
      <c r="E394" s="2500">
        <v>0</v>
      </c>
      <c r="F394" s="2500">
        <v>0</v>
      </c>
      <c r="G394" s="2501">
        <v>240306456</v>
      </c>
    </row>
    <row r="395" spans="1:7" ht="21">
      <c r="A395" s="1080" t="s">
        <v>2417</v>
      </c>
      <c r="B395" s="2492">
        <v>499.06</v>
      </c>
      <c r="C395" s="2493">
        <v>1.04</v>
      </c>
      <c r="D395" s="2494">
        <v>0</v>
      </c>
      <c r="E395" s="2500">
        <v>0</v>
      </c>
      <c r="F395" s="2500">
        <v>0</v>
      </c>
      <c r="G395" s="2501">
        <v>281469971</v>
      </c>
    </row>
    <row r="396" spans="1:7" ht="21">
      <c r="A396" s="1080" t="s">
        <v>1158</v>
      </c>
      <c r="B396" s="2492">
        <v>1136.2260000000001</v>
      </c>
      <c r="C396" s="2493">
        <v>1.04</v>
      </c>
      <c r="D396" s="2494">
        <v>681871</v>
      </c>
      <c r="E396" s="2500">
        <v>703687</v>
      </c>
      <c r="F396" s="2500">
        <v>0</v>
      </c>
      <c r="G396" s="2501">
        <v>392147859</v>
      </c>
    </row>
    <row r="397" spans="1:7" ht="21">
      <c r="A397" s="1080" t="s">
        <v>1312</v>
      </c>
      <c r="B397" s="2492">
        <v>2607.2820000000002</v>
      </c>
      <c r="C397" s="2493">
        <v>1.17</v>
      </c>
      <c r="D397" s="2494">
        <v>2646376</v>
      </c>
      <c r="E397" s="2500">
        <v>68275</v>
      </c>
      <c r="F397" s="2500">
        <v>1193321</v>
      </c>
      <c r="G397" s="2501">
        <v>741898522</v>
      </c>
    </row>
    <row r="398" spans="1:7" ht="21">
      <c r="A398" s="1080" t="s">
        <v>416</v>
      </c>
      <c r="B398" s="2492">
        <v>2074.723</v>
      </c>
      <c r="C398" s="2493">
        <v>1.04</v>
      </c>
      <c r="D398" s="2494">
        <v>2224931</v>
      </c>
      <c r="E398" s="2500">
        <v>1601933</v>
      </c>
      <c r="F398" s="2500">
        <v>0</v>
      </c>
      <c r="G398" s="2501">
        <v>842626755</v>
      </c>
    </row>
    <row r="399" spans="1:7" ht="21">
      <c r="A399" s="1080" t="s">
        <v>2608</v>
      </c>
      <c r="B399" s="2492">
        <v>3667.2489999999998</v>
      </c>
      <c r="C399" s="2493">
        <v>1.04</v>
      </c>
      <c r="D399" s="2494">
        <v>1238521</v>
      </c>
      <c r="E399" s="2500">
        <v>54673</v>
      </c>
      <c r="F399" s="2500">
        <v>1145896</v>
      </c>
      <c r="G399" s="2501">
        <v>968364307</v>
      </c>
    </row>
    <row r="400" spans="1:7" ht="21">
      <c r="A400" s="1080" t="s">
        <v>1346</v>
      </c>
      <c r="B400" s="2492">
        <v>537.80799999999999</v>
      </c>
      <c r="C400" s="2493">
        <v>1.04</v>
      </c>
      <c r="D400" s="2494">
        <v>285866</v>
      </c>
      <c r="E400" s="2500">
        <v>258499</v>
      </c>
      <c r="F400" s="2500">
        <v>1101</v>
      </c>
      <c r="G400" s="2501">
        <v>206698577</v>
      </c>
    </row>
    <row r="401" spans="1:7" ht="21">
      <c r="A401" s="1080" t="s">
        <v>639</v>
      </c>
      <c r="B401" s="2492">
        <v>63542.947</v>
      </c>
      <c r="C401" s="2493">
        <v>1.1334</v>
      </c>
      <c r="D401" s="2494">
        <v>25486620</v>
      </c>
      <c r="E401" s="2500">
        <v>12487998</v>
      </c>
      <c r="F401" s="2500">
        <v>10478739</v>
      </c>
      <c r="G401" s="2501">
        <v>14753608812</v>
      </c>
    </row>
    <row r="402" spans="1:7" ht="21">
      <c r="A402" s="1080" t="s">
        <v>222</v>
      </c>
      <c r="B402" s="2492">
        <v>43588.940999999999</v>
      </c>
      <c r="C402" s="2493">
        <v>1.125</v>
      </c>
      <c r="D402" s="2494">
        <v>19522667</v>
      </c>
      <c r="E402" s="2500">
        <v>17134279</v>
      </c>
      <c r="F402" s="2500">
        <v>2333094</v>
      </c>
      <c r="G402" s="2501">
        <v>11571889001</v>
      </c>
    </row>
    <row r="403" spans="1:7" ht="21">
      <c r="A403" s="1080" t="s">
        <v>2641</v>
      </c>
      <c r="B403" s="2492">
        <v>8574.7569999999996</v>
      </c>
      <c r="C403" s="2493">
        <v>1.04</v>
      </c>
      <c r="D403" s="2494">
        <v>11031871</v>
      </c>
      <c r="E403" s="2500">
        <v>7666121</v>
      </c>
      <c r="F403" s="2500">
        <v>1261560</v>
      </c>
      <c r="G403" s="2501">
        <v>2643489960</v>
      </c>
    </row>
    <row r="404" spans="1:7" ht="21">
      <c r="A404" s="1080" t="s">
        <v>2758</v>
      </c>
      <c r="B404" s="2492">
        <v>5096.5969999999998</v>
      </c>
      <c r="C404" s="2493">
        <v>1.17</v>
      </c>
      <c r="D404" s="2494">
        <v>7533454</v>
      </c>
      <c r="E404" s="2500">
        <v>3022674</v>
      </c>
      <c r="F404" s="2500">
        <v>661629</v>
      </c>
      <c r="G404" s="2501">
        <v>1274063387</v>
      </c>
    </row>
    <row r="405" spans="1:7" ht="21">
      <c r="A405" s="1080" t="s">
        <v>2642</v>
      </c>
      <c r="B405" s="2492">
        <v>106390.11</v>
      </c>
      <c r="C405" s="2493">
        <v>1.04</v>
      </c>
      <c r="D405" s="2494">
        <v>158378864</v>
      </c>
      <c r="E405" s="2500">
        <v>107985962</v>
      </c>
      <c r="F405" s="2500">
        <v>0</v>
      </c>
      <c r="G405" s="2501">
        <v>38884224880</v>
      </c>
    </row>
    <row r="406" spans="1:7" ht="21">
      <c r="A406" s="1080" t="s">
        <v>2481</v>
      </c>
      <c r="B406" s="2492">
        <v>12329.072</v>
      </c>
      <c r="C406" s="2493">
        <v>1.2366999999999999</v>
      </c>
      <c r="D406" s="2494">
        <v>25153025</v>
      </c>
      <c r="E406" s="2500">
        <v>12319891</v>
      </c>
      <c r="F406" s="2500">
        <v>0</v>
      </c>
      <c r="G406" s="2501">
        <v>7294160287</v>
      </c>
    </row>
    <row r="407" spans="1:7" ht="21">
      <c r="A407" s="1080" t="s">
        <v>1608</v>
      </c>
      <c r="B407" s="2492">
        <v>21023.100999999999</v>
      </c>
      <c r="C407" s="2493">
        <v>1.2433000000000001</v>
      </c>
      <c r="D407" s="2494">
        <v>19605181</v>
      </c>
      <c r="E407" s="2500">
        <v>13363920</v>
      </c>
      <c r="F407" s="2500">
        <v>4512160</v>
      </c>
      <c r="G407" s="2501">
        <v>6572790801</v>
      </c>
    </row>
    <row r="408" spans="1:7" ht="21">
      <c r="A408" s="1080" t="s">
        <v>2300</v>
      </c>
      <c r="B408" s="2492">
        <v>21434.194</v>
      </c>
      <c r="C408" s="2493">
        <v>1.04</v>
      </c>
      <c r="D408" s="2494">
        <v>37268285</v>
      </c>
      <c r="E408" s="2500">
        <v>21755707</v>
      </c>
      <c r="F408" s="2500">
        <v>0</v>
      </c>
      <c r="G408" s="2501">
        <v>9251992949</v>
      </c>
    </row>
    <row r="409" spans="1:7" ht="21">
      <c r="A409" s="1080" t="s">
        <v>2921</v>
      </c>
      <c r="B409" s="2492">
        <v>194063.68599999999</v>
      </c>
      <c r="C409" s="2493">
        <v>1.0266999999999999</v>
      </c>
      <c r="D409" s="2494">
        <v>228848018</v>
      </c>
      <c r="E409" s="2500">
        <v>104267173</v>
      </c>
      <c r="F409" s="2500">
        <v>0</v>
      </c>
      <c r="G409" s="2501">
        <v>126481138018</v>
      </c>
    </row>
    <row r="410" spans="1:7" ht="21">
      <c r="A410" s="1080" t="s">
        <v>1278</v>
      </c>
      <c r="B410" s="2492">
        <v>37253.42</v>
      </c>
      <c r="C410" s="2493">
        <v>1.17</v>
      </c>
      <c r="D410" s="2494">
        <v>43596074</v>
      </c>
      <c r="E410" s="2500">
        <v>31159501</v>
      </c>
      <c r="F410" s="2500">
        <v>2241787</v>
      </c>
      <c r="G410" s="2501">
        <v>10744655665</v>
      </c>
    </row>
    <row r="411" spans="1:7" ht="21">
      <c r="A411" s="1080" t="s">
        <v>55</v>
      </c>
      <c r="B411" s="2492">
        <v>67112.467000000004</v>
      </c>
      <c r="C411" s="2493">
        <v>1.1266</v>
      </c>
      <c r="D411" s="2494">
        <v>113119100</v>
      </c>
      <c r="E411" s="2500">
        <v>68119154</v>
      </c>
      <c r="F411" s="2500">
        <v>12294201</v>
      </c>
      <c r="G411" s="2501">
        <v>23930890073</v>
      </c>
    </row>
    <row r="412" spans="1:7" ht="21">
      <c r="A412" s="1080" t="s">
        <v>62</v>
      </c>
      <c r="B412" s="2492">
        <v>46484.231</v>
      </c>
      <c r="C412" s="2493">
        <v>1.04</v>
      </c>
      <c r="D412" s="2494">
        <v>54308868</v>
      </c>
      <c r="E412" s="2500">
        <v>38127298</v>
      </c>
      <c r="F412" s="2500">
        <v>13183021</v>
      </c>
      <c r="G412" s="2501">
        <v>13738506140</v>
      </c>
    </row>
    <row r="413" spans="1:7" ht="21">
      <c r="A413" s="1080" t="s">
        <v>2922</v>
      </c>
      <c r="B413" s="2492">
        <v>7128.4920000000002</v>
      </c>
      <c r="C413" s="2493">
        <v>1.04</v>
      </c>
      <c r="D413" s="2494">
        <v>29188403</v>
      </c>
      <c r="E413" s="2500">
        <v>7235419</v>
      </c>
      <c r="F413" s="2500">
        <v>0</v>
      </c>
      <c r="G413" s="2501">
        <v>6901696228</v>
      </c>
    </row>
    <row r="414" spans="1:7" ht="21">
      <c r="A414" s="1080" t="s">
        <v>234</v>
      </c>
      <c r="B414" s="2492">
        <v>51436.184999999998</v>
      </c>
      <c r="C414" s="2493">
        <v>1.07</v>
      </c>
      <c r="D414" s="2494">
        <v>30249477</v>
      </c>
      <c r="E414" s="2500">
        <v>23050242</v>
      </c>
      <c r="F414" s="2500">
        <v>2102965</v>
      </c>
      <c r="G414" s="2501">
        <v>10494091701</v>
      </c>
    </row>
    <row r="415" spans="1:7" ht="21">
      <c r="A415" s="1080" t="s">
        <v>743</v>
      </c>
      <c r="B415" s="2492">
        <v>33898.455999999998</v>
      </c>
      <c r="C415" s="2493">
        <v>1.04</v>
      </c>
      <c r="D415" s="2494">
        <v>42509904</v>
      </c>
      <c r="E415" s="2500">
        <v>22320642</v>
      </c>
      <c r="F415" s="2500">
        <v>0</v>
      </c>
      <c r="G415" s="2501">
        <v>7696773102</v>
      </c>
    </row>
    <row r="416" spans="1:7" ht="21">
      <c r="A416" s="1080" t="s">
        <v>918</v>
      </c>
      <c r="B416" s="2492">
        <v>32454.503000000001</v>
      </c>
      <c r="C416" s="2493">
        <v>1.0900000000000001</v>
      </c>
      <c r="D416" s="2494">
        <v>72414438</v>
      </c>
      <c r="E416" s="2500">
        <v>32941321</v>
      </c>
      <c r="F416" s="2500">
        <v>0</v>
      </c>
      <c r="G416" s="2501">
        <v>22349544402</v>
      </c>
    </row>
    <row r="417" spans="1:7" ht="21">
      <c r="A417" s="1080" t="s">
        <v>2221</v>
      </c>
      <c r="B417" s="2492">
        <v>12619.816000000001</v>
      </c>
      <c r="C417" s="2493">
        <v>1.02</v>
      </c>
      <c r="D417" s="2494">
        <v>25919752</v>
      </c>
      <c r="E417" s="2500">
        <v>12809113</v>
      </c>
      <c r="F417" s="2500">
        <v>0</v>
      </c>
      <c r="G417" s="2501">
        <v>6630124900</v>
      </c>
    </row>
    <row r="418" spans="1:7" ht="21">
      <c r="A418" s="1080" t="s">
        <v>2222</v>
      </c>
      <c r="B418" s="2492">
        <v>7287.3670000000002</v>
      </c>
      <c r="C418" s="2493">
        <v>1.17</v>
      </c>
      <c r="D418" s="2494">
        <v>12697235</v>
      </c>
      <c r="E418" s="2500">
        <v>7396678</v>
      </c>
      <c r="F418" s="2500">
        <v>0</v>
      </c>
      <c r="G418" s="2501">
        <v>4764300110</v>
      </c>
    </row>
    <row r="419" spans="1:7" ht="21">
      <c r="A419" s="1080" t="s">
        <v>979</v>
      </c>
      <c r="B419" s="2492">
        <v>3197.8739999999998</v>
      </c>
      <c r="C419" s="2493">
        <v>1.04</v>
      </c>
      <c r="D419" s="2494">
        <v>3270522</v>
      </c>
      <c r="E419" s="2500">
        <v>2326370</v>
      </c>
      <c r="F419" s="2500">
        <v>428977</v>
      </c>
      <c r="G419" s="2501">
        <v>802196593</v>
      </c>
    </row>
    <row r="420" spans="1:7" ht="21">
      <c r="A420" s="1080" t="s">
        <v>2223</v>
      </c>
      <c r="B420" s="2492">
        <v>144.62899999999999</v>
      </c>
      <c r="C420" s="2493">
        <v>1.04</v>
      </c>
      <c r="D420" s="2494">
        <v>0</v>
      </c>
      <c r="E420" s="2500">
        <v>0</v>
      </c>
      <c r="F420" s="2500">
        <v>0</v>
      </c>
      <c r="G420" s="2501">
        <v>218286852</v>
      </c>
    </row>
    <row r="421" spans="1:7" ht="21">
      <c r="A421" s="1080" t="s">
        <v>1692</v>
      </c>
      <c r="B421" s="2492">
        <v>5091.4549999999999</v>
      </c>
      <c r="C421" s="2493">
        <v>1.04</v>
      </c>
      <c r="D421" s="2494">
        <v>0</v>
      </c>
      <c r="E421" s="2500">
        <v>0</v>
      </c>
      <c r="F421" s="2500">
        <v>0</v>
      </c>
      <c r="G421" s="2501">
        <v>2669961990</v>
      </c>
    </row>
    <row r="422" spans="1:7" ht="21">
      <c r="A422" s="1080" t="s">
        <v>1693</v>
      </c>
      <c r="B422" s="2492">
        <v>851.40499999999997</v>
      </c>
      <c r="C422" s="2493">
        <v>1.04</v>
      </c>
      <c r="D422" s="2494">
        <v>480829</v>
      </c>
      <c r="E422" s="2500">
        <v>417680</v>
      </c>
      <c r="F422" s="2500">
        <v>0</v>
      </c>
      <c r="G422" s="2501">
        <v>499546812</v>
      </c>
    </row>
    <row r="423" spans="1:7" ht="21">
      <c r="A423" s="1080" t="s">
        <v>1694</v>
      </c>
      <c r="B423" s="2492">
        <v>4570.9269999999997</v>
      </c>
      <c r="C423" s="2493">
        <v>1.04</v>
      </c>
      <c r="D423" s="2494">
        <v>8103888</v>
      </c>
      <c r="E423" s="2500">
        <v>4639491</v>
      </c>
      <c r="F423" s="2500">
        <v>0</v>
      </c>
      <c r="G423" s="2501">
        <v>2395270966</v>
      </c>
    </row>
    <row r="424" spans="1:7" ht="21">
      <c r="A424" s="1080" t="s">
        <v>1765</v>
      </c>
      <c r="B424" s="2492">
        <v>705.63499999999999</v>
      </c>
      <c r="C424" s="2493">
        <v>1.17</v>
      </c>
      <c r="D424" s="2494">
        <v>121242</v>
      </c>
      <c r="E424" s="2500">
        <v>102588</v>
      </c>
      <c r="F424" s="2500">
        <v>0</v>
      </c>
      <c r="G424" s="2501">
        <v>157638854</v>
      </c>
    </row>
    <row r="425" spans="1:7" ht="21">
      <c r="A425" s="1080" t="s">
        <v>1766</v>
      </c>
      <c r="B425" s="2492">
        <v>911.50300000000004</v>
      </c>
      <c r="C425" s="2493">
        <v>1.04</v>
      </c>
      <c r="D425" s="2494">
        <v>1090092</v>
      </c>
      <c r="E425" s="2500">
        <v>511829</v>
      </c>
      <c r="F425" s="2500">
        <v>0</v>
      </c>
      <c r="G425" s="2501">
        <v>521658694</v>
      </c>
    </row>
    <row r="426" spans="1:7" ht="21">
      <c r="A426" s="1080" t="s">
        <v>539</v>
      </c>
      <c r="B426" s="2492">
        <v>131.61000000000001</v>
      </c>
      <c r="C426" s="2493">
        <v>1.04</v>
      </c>
      <c r="D426" s="2494">
        <v>287289</v>
      </c>
      <c r="E426" s="2500">
        <v>0</v>
      </c>
      <c r="F426" s="2500">
        <v>0</v>
      </c>
      <c r="G426" s="2501">
        <v>265510459</v>
      </c>
    </row>
    <row r="427" spans="1:7" ht="21">
      <c r="A427" s="1080" t="s">
        <v>506</v>
      </c>
      <c r="B427" s="2492">
        <v>209.22399999999999</v>
      </c>
      <c r="C427" s="2493">
        <v>1.04</v>
      </c>
      <c r="D427" s="2494">
        <v>425916</v>
      </c>
      <c r="E427" s="2500">
        <v>0</v>
      </c>
      <c r="F427" s="2500">
        <v>0</v>
      </c>
      <c r="G427" s="2501">
        <v>162248889</v>
      </c>
    </row>
    <row r="428" spans="1:7" ht="21">
      <c r="A428" s="1080" t="s">
        <v>507</v>
      </c>
      <c r="B428" s="2492">
        <v>554.86800000000005</v>
      </c>
      <c r="C428" s="2493">
        <v>1.0813999999999999</v>
      </c>
      <c r="D428" s="2494">
        <v>83529</v>
      </c>
      <c r="E428" s="2500">
        <v>0</v>
      </c>
      <c r="F428" s="2500">
        <v>76449</v>
      </c>
      <c r="G428" s="2501">
        <v>177489481</v>
      </c>
    </row>
    <row r="429" spans="1:7" ht="21">
      <c r="A429" s="1080" t="s">
        <v>508</v>
      </c>
      <c r="B429" s="2492">
        <v>117.04900000000001</v>
      </c>
      <c r="C429" s="2493">
        <v>1.0833999999999999</v>
      </c>
      <c r="D429" s="2494">
        <v>0</v>
      </c>
      <c r="E429" s="2500">
        <v>0</v>
      </c>
      <c r="F429" s="2500">
        <v>0</v>
      </c>
      <c r="G429" s="2501">
        <v>36343023</v>
      </c>
    </row>
    <row r="430" spans="1:7" ht="21">
      <c r="A430" s="1080" t="s">
        <v>509</v>
      </c>
      <c r="B430" s="2492">
        <v>131.07</v>
      </c>
      <c r="C430" s="2493">
        <v>1.04</v>
      </c>
      <c r="D430" s="2494">
        <v>0</v>
      </c>
      <c r="E430" s="2500">
        <v>0</v>
      </c>
      <c r="F430" s="2500">
        <v>0</v>
      </c>
      <c r="G430" s="2501">
        <v>54032386</v>
      </c>
    </row>
    <row r="431" spans="1:7" ht="21">
      <c r="A431" s="1080" t="s">
        <v>1304</v>
      </c>
      <c r="B431" s="2492">
        <v>7160.3209999999999</v>
      </c>
      <c r="C431" s="2493">
        <v>1.06</v>
      </c>
      <c r="D431" s="2494">
        <v>14398424</v>
      </c>
      <c r="E431" s="2500">
        <v>7267726</v>
      </c>
      <c r="F431" s="2500">
        <v>0</v>
      </c>
      <c r="G431" s="2501">
        <v>3794689495</v>
      </c>
    </row>
    <row r="432" spans="1:7" ht="21">
      <c r="A432" s="1080" t="s">
        <v>1678</v>
      </c>
      <c r="B432" s="2492">
        <v>5093.701</v>
      </c>
      <c r="C432" s="2493">
        <v>1.04</v>
      </c>
      <c r="D432" s="2494">
        <v>14903045</v>
      </c>
      <c r="E432" s="2500">
        <v>5170107</v>
      </c>
      <c r="F432" s="2500">
        <v>427814</v>
      </c>
      <c r="G432" s="2501">
        <v>2794952223</v>
      </c>
    </row>
    <row r="433" spans="1:7" ht="21">
      <c r="A433" s="1080" t="s">
        <v>1467</v>
      </c>
      <c r="B433" s="2492">
        <v>2012.2829999999999</v>
      </c>
      <c r="C433" s="2493">
        <v>1.0900000000000001</v>
      </c>
      <c r="D433" s="2494">
        <v>3238301</v>
      </c>
      <c r="E433" s="2500">
        <v>1147991</v>
      </c>
      <c r="F433" s="2500">
        <v>0</v>
      </c>
      <c r="G433" s="2501">
        <v>1505243126</v>
      </c>
    </row>
    <row r="434" spans="1:7" ht="21">
      <c r="A434" s="1080" t="s">
        <v>2129</v>
      </c>
      <c r="B434" s="2492">
        <v>16779.938999999998</v>
      </c>
      <c r="C434" s="2493">
        <v>1.04</v>
      </c>
      <c r="D434" s="2494">
        <v>22770490</v>
      </c>
      <c r="E434" s="2500">
        <v>12299609</v>
      </c>
      <c r="F434" s="2500">
        <v>3603866</v>
      </c>
      <c r="G434" s="2501">
        <v>4241244512</v>
      </c>
    </row>
    <row r="435" spans="1:7" ht="21">
      <c r="A435" s="1080" t="s">
        <v>1918</v>
      </c>
      <c r="B435" s="2492">
        <v>948.36</v>
      </c>
      <c r="C435" s="2493">
        <v>0.93979999999999997</v>
      </c>
      <c r="D435" s="2494">
        <v>4969538</v>
      </c>
      <c r="E435" s="2500">
        <v>0</v>
      </c>
      <c r="F435" s="2500">
        <v>0</v>
      </c>
      <c r="G435" s="2501">
        <v>1601137530</v>
      </c>
    </row>
    <row r="436" spans="1:7" ht="21">
      <c r="A436" s="1080" t="s">
        <v>1919</v>
      </c>
      <c r="B436" s="2492">
        <v>3018.2170000000001</v>
      </c>
      <c r="C436" s="2493">
        <v>1.0374000000000001</v>
      </c>
      <c r="D436" s="2494">
        <v>1989569</v>
      </c>
      <c r="E436" s="2500">
        <v>1610123</v>
      </c>
      <c r="F436" s="2500">
        <v>0</v>
      </c>
      <c r="G436" s="2501">
        <v>1213824594</v>
      </c>
    </row>
    <row r="437" spans="1:7" ht="21">
      <c r="A437" s="1080" t="s">
        <v>2912</v>
      </c>
      <c r="B437" s="2492">
        <v>2498.66</v>
      </c>
      <c r="C437" s="2493">
        <v>1.17</v>
      </c>
      <c r="D437" s="2494">
        <v>1745649</v>
      </c>
      <c r="E437" s="2500">
        <v>1324751</v>
      </c>
      <c r="F437" s="2500">
        <v>0</v>
      </c>
      <c r="G437" s="2501">
        <v>648198057</v>
      </c>
    </row>
    <row r="438" spans="1:7" ht="21">
      <c r="A438" s="1080" t="s">
        <v>2879</v>
      </c>
      <c r="B438" s="2492">
        <v>561.81399999999996</v>
      </c>
      <c r="C438" s="2493">
        <v>1.04</v>
      </c>
      <c r="D438" s="2494">
        <v>382208</v>
      </c>
      <c r="E438" s="2500">
        <v>77565</v>
      </c>
      <c r="F438" s="2500">
        <v>0</v>
      </c>
      <c r="G438" s="2501">
        <v>256015271</v>
      </c>
    </row>
    <row r="439" spans="1:7" ht="21">
      <c r="A439" s="1080" t="s">
        <v>2284</v>
      </c>
      <c r="B439" s="2492">
        <v>1420.2380000000001</v>
      </c>
      <c r="C439" s="2493">
        <v>1.04</v>
      </c>
      <c r="D439" s="2494">
        <v>1022027</v>
      </c>
      <c r="E439" s="2500">
        <v>1070780</v>
      </c>
      <c r="F439" s="2500">
        <v>0</v>
      </c>
      <c r="G439" s="2501">
        <v>536745398</v>
      </c>
    </row>
    <row r="440" spans="1:7" ht="21">
      <c r="A440" s="1080" t="s">
        <v>71</v>
      </c>
      <c r="B440" s="2492">
        <v>1146.0050000000001</v>
      </c>
      <c r="C440" s="2493">
        <v>0.99</v>
      </c>
      <c r="D440" s="2494">
        <v>2030645</v>
      </c>
      <c r="E440" s="2500">
        <v>767374</v>
      </c>
      <c r="F440" s="2500">
        <v>0</v>
      </c>
      <c r="G440" s="2501">
        <v>1049829700</v>
      </c>
    </row>
    <row r="441" spans="1:7" ht="21">
      <c r="A441" s="1080" t="s">
        <v>1711</v>
      </c>
      <c r="B441" s="2492">
        <v>170.947</v>
      </c>
      <c r="C441" s="2493">
        <v>1.17</v>
      </c>
      <c r="D441" s="2494">
        <v>93442</v>
      </c>
      <c r="E441" s="2500">
        <v>76503</v>
      </c>
      <c r="F441" s="2500">
        <v>11573</v>
      </c>
      <c r="G441" s="2501">
        <v>42926991</v>
      </c>
    </row>
    <row r="442" spans="1:7" ht="21">
      <c r="A442" s="1080" t="s">
        <v>980</v>
      </c>
      <c r="B442" s="2492">
        <v>198.45099999999999</v>
      </c>
      <c r="C442" s="2493">
        <v>1.04</v>
      </c>
      <c r="D442" s="2494">
        <v>0</v>
      </c>
      <c r="E442" s="2500">
        <v>0</v>
      </c>
      <c r="F442" s="2500">
        <v>0</v>
      </c>
      <c r="G442" s="2501">
        <v>37595044</v>
      </c>
    </row>
    <row r="443" spans="1:7" ht="21">
      <c r="A443" s="1080" t="s">
        <v>72</v>
      </c>
      <c r="B443" s="2492">
        <v>447.59399999999999</v>
      </c>
      <c r="C443" s="2493">
        <v>1.04</v>
      </c>
      <c r="D443" s="2494">
        <v>0</v>
      </c>
      <c r="E443" s="2500">
        <v>0</v>
      </c>
      <c r="F443" s="2500">
        <v>0</v>
      </c>
      <c r="G443" s="2501">
        <v>256340853</v>
      </c>
    </row>
    <row r="444" spans="1:7" ht="21">
      <c r="A444" s="1080" t="s">
        <v>2437</v>
      </c>
      <c r="B444" s="2492">
        <v>14181.971</v>
      </c>
      <c r="C444" s="2493">
        <v>1.17</v>
      </c>
      <c r="D444" s="2494">
        <v>1038187</v>
      </c>
      <c r="E444" s="2500">
        <v>0</v>
      </c>
      <c r="F444" s="2500">
        <v>1821455</v>
      </c>
      <c r="G444" s="2501">
        <v>1004080105</v>
      </c>
    </row>
    <row r="445" spans="1:7" ht="21">
      <c r="A445" s="1080" t="s">
        <v>873</v>
      </c>
      <c r="B445" s="2492">
        <v>4717.098</v>
      </c>
      <c r="C445" s="2493">
        <v>1.17</v>
      </c>
      <c r="D445" s="2494">
        <v>289673</v>
      </c>
      <c r="E445" s="2500">
        <v>63452</v>
      </c>
      <c r="F445" s="2500">
        <v>555267</v>
      </c>
      <c r="G445" s="2501">
        <v>258757398</v>
      </c>
    </row>
    <row r="446" spans="1:7" ht="21">
      <c r="A446" s="1080" t="s">
        <v>875</v>
      </c>
      <c r="B446" s="2492">
        <v>31931.834999999999</v>
      </c>
      <c r="C446" s="2493">
        <v>1.17</v>
      </c>
      <c r="D446" s="2494">
        <v>3796140</v>
      </c>
      <c r="E446" s="2500">
        <v>2212017</v>
      </c>
      <c r="F446" s="2500">
        <v>6561932</v>
      </c>
      <c r="G446" s="2501">
        <v>4991518794</v>
      </c>
    </row>
    <row r="447" spans="1:7" ht="21">
      <c r="A447" s="1080" t="s">
        <v>2131</v>
      </c>
      <c r="B447" s="2492">
        <v>2937.0439999999999</v>
      </c>
      <c r="C447" s="2493">
        <v>1.17</v>
      </c>
      <c r="D447" s="2494">
        <v>1489742</v>
      </c>
      <c r="E447" s="2500">
        <v>287964</v>
      </c>
      <c r="F447" s="2500">
        <v>1122579</v>
      </c>
      <c r="G447" s="2501">
        <v>411093795</v>
      </c>
    </row>
    <row r="448" spans="1:7" ht="21">
      <c r="A448" s="1080" t="s">
        <v>2894</v>
      </c>
      <c r="B448" s="2492">
        <v>22769.772000000001</v>
      </c>
      <c r="C448" s="2493">
        <v>1.04</v>
      </c>
      <c r="D448" s="2494">
        <v>7775300</v>
      </c>
      <c r="E448" s="2500">
        <v>6344738</v>
      </c>
      <c r="F448" s="2500">
        <v>1193601</v>
      </c>
      <c r="G448" s="2501">
        <v>6142854314</v>
      </c>
    </row>
    <row r="449" spans="1:7" ht="21">
      <c r="A449" s="1080" t="s">
        <v>2897</v>
      </c>
      <c r="B449" s="2492">
        <v>5327.9290000000001</v>
      </c>
      <c r="C449" s="2493">
        <v>1.04</v>
      </c>
      <c r="D449" s="2494">
        <v>1577882</v>
      </c>
      <c r="E449" s="2500">
        <v>154291</v>
      </c>
      <c r="F449" s="2500">
        <v>937376</v>
      </c>
      <c r="G449" s="2501">
        <v>444260865</v>
      </c>
    </row>
    <row r="450" spans="1:7" ht="21">
      <c r="A450" s="1080" t="s">
        <v>2903</v>
      </c>
      <c r="B450" s="2492">
        <v>14147.078</v>
      </c>
      <c r="C450" s="2493">
        <v>1.17</v>
      </c>
      <c r="D450" s="2494">
        <v>2728045</v>
      </c>
      <c r="E450" s="2500">
        <v>0</v>
      </c>
      <c r="F450" s="2500">
        <v>4213951</v>
      </c>
      <c r="G450" s="2501">
        <v>1678223921</v>
      </c>
    </row>
    <row r="451" spans="1:7" ht="21">
      <c r="A451" s="1080" t="s">
        <v>239</v>
      </c>
      <c r="B451" s="2492">
        <v>29079.330999999998</v>
      </c>
      <c r="C451" s="2493">
        <v>1.17</v>
      </c>
      <c r="D451" s="2494">
        <v>7172893</v>
      </c>
      <c r="E451" s="2500">
        <v>926595</v>
      </c>
      <c r="F451" s="2500">
        <v>9388922</v>
      </c>
      <c r="G451" s="2501">
        <v>3545259218</v>
      </c>
    </row>
    <row r="452" spans="1:7" ht="21">
      <c r="A452" s="1080" t="s">
        <v>1218</v>
      </c>
      <c r="B452" s="2492">
        <v>1875.9179999999999</v>
      </c>
      <c r="C452" s="2493">
        <v>1.04</v>
      </c>
      <c r="D452" s="2494">
        <v>469134</v>
      </c>
      <c r="E452" s="2500">
        <v>45164</v>
      </c>
      <c r="F452" s="2500">
        <v>387245</v>
      </c>
      <c r="G452" s="2501">
        <v>129180031</v>
      </c>
    </row>
    <row r="453" spans="1:7" ht="21">
      <c r="A453" s="1080" t="s">
        <v>1759</v>
      </c>
      <c r="B453" s="2492">
        <v>9697.7270000000008</v>
      </c>
      <c r="C453" s="2493">
        <v>1.17</v>
      </c>
      <c r="D453" s="2494">
        <v>4472293</v>
      </c>
      <c r="E453" s="2500">
        <v>6233033</v>
      </c>
      <c r="F453" s="2500">
        <v>446285</v>
      </c>
      <c r="G453" s="2501">
        <v>2688110969</v>
      </c>
    </row>
    <row r="454" spans="1:7" ht="21">
      <c r="A454" s="1080" t="s">
        <v>65</v>
      </c>
      <c r="B454" s="2492">
        <v>26774.308000000001</v>
      </c>
      <c r="C454" s="2493">
        <v>1.17</v>
      </c>
      <c r="D454" s="2494">
        <v>3035918</v>
      </c>
      <c r="E454" s="2500">
        <v>408615</v>
      </c>
      <c r="F454" s="2500">
        <v>4714042</v>
      </c>
      <c r="G454" s="2501">
        <v>2094947920</v>
      </c>
    </row>
    <row r="455" spans="1:7" ht="21">
      <c r="A455" s="1080" t="s">
        <v>821</v>
      </c>
      <c r="B455" s="2492">
        <v>16055.696</v>
      </c>
      <c r="C455" s="2493">
        <v>1.1396999999999999</v>
      </c>
      <c r="D455" s="2494">
        <v>36385</v>
      </c>
      <c r="E455" s="2500">
        <v>69743</v>
      </c>
      <c r="F455" s="2500">
        <v>1483824</v>
      </c>
      <c r="G455" s="2501">
        <v>1842818934</v>
      </c>
    </row>
    <row r="456" spans="1:7" ht="21">
      <c r="A456" s="1080" t="s">
        <v>67</v>
      </c>
      <c r="B456" s="2492">
        <v>575.79399999999998</v>
      </c>
      <c r="C456" s="2493">
        <v>1.17</v>
      </c>
      <c r="D456" s="2494">
        <v>138119</v>
      </c>
      <c r="E456" s="2500">
        <v>83282</v>
      </c>
      <c r="F456" s="2500">
        <v>165795</v>
      </c>
      <c r="G456" s="2501">
        <v>101816955</v>
      </c>
    </row>
    <row r="457" spans="1:7" ht="21">
      <c r="A457" s="1080" t="s">
        <v>554</v>
      </c>
      <c r="B457" s="2492">
        <v>975.37099999999998</v>
      </c>
      <c r="C457" s="2493">
        <v>1.17</v>
      </c>
      <c r="D457" s="2494">
        <v>158517</v>
      </c>
      <c r="E457" s="2500">
        <v>104201</v>
      </c>
      <c r="F457" s="2500">
        <v>114681</v>
      </c>
      <c r="G457" s="2501">
        <v>77042635</v>
      </c>
    </row>
    <row r="458" spans="1:7" ht="21">
      <c r="A458" s="1080" t="s">
        <v>1715</v>
      </c>
      <c r="B458" s="2492">
        <v>4216.4179999999997</v>
      </c>
      <c r="C458" s="2493">
        <v>1.04</v>
      </c>
      <c r="D458" s="2494">
        <v>1082175</v>
      </c>
      <c r="E458" s="2500">
        <v>97236</v>
      </c>
      <c r="F458" s="2500">
        <v>1033993</v>
      </c>
      <c r="G458" s="2501">
        <v>454511199</v>
      </c>
    </row>
    <row r="459" spans="1:7" ht="21">
      <c r="A459" s="1080" t="s">
        <v>172</v>
      </c>
      <c r="B459" s="2492">
        <v>245.53100000000001</v>
      </c>
      <c r="C459" s="2493">
        <v>1.081</v>
      </c>
      <c r="D459" s="2494">
        <v>171965</v>
      </c>
      <c r="E459" s="2500">
        <v>159985</v>
      </c>
      <c r="F459" s="2500">
        <v>51285</v>
      </c>
      <c r="G459" s="2501">
        <v>79012909</v>
      </c>
    </row>
    <row r="460" spans="1:7" ht="21">
      <c r="A460" s="1080" t="s">
        <v>2869</v>
      </c>
      <c r="B460" s="2492">
        <v>195.10900000000001</v>
      </c>
      <c r="C460" s="2493">
        <v>1.17</v>
      </c>
      <c r="D460" s="2494">
        <v>123102</v>
      </c>
      <c r="E460" s="2500">
        <v>52307</v>
      </c>
      <c r="F460" s="2500">
        <v>41069</v>
      </c>
      <c r="G460" s="2501">
        <v>64512584</v>
      </c>
    </row>
    <row r="461" spans="1:7" ht="21">
      <c r="A461" s="1080" t="s">
        <v>2756</v>
      </c>
      <c r="B461" s="2492">
        <v>266.14600000000002</v>
      </c>
      <c r="C461" s="2493">
        <v>1.17</v>
      </c>
      <c r="D461" s="2494">
        <v>144302</v>
      </c>
      <c r="E461" s="2500">
        <v>96630</v>
      </c>
      <c r="F461" s="2500">
        <v>0</v>
      </c>
      <c r="G461" s="2501">
        <v>77445235</v>
      </c>
    </row>
    <row r="462" spans="1:7" ht="21">
      <c r="A462" s="1080" t="s">
        <v>2133</v>
      </c>
      <c r="B462" s="2492">
        <v>1801.5360000000001</v>
      </c>
      <c r="C462" s="2493">
        <v>1.1499999999999999</v>
      </c>
      <c r="D462" s="2494">
        <v>1454403</v>
      </c>
      <c r="E462" s="2500">
        <v>581343</v>
      </c>
      <c r="F462" s="2500">
        <v>710864</v>
      </c>
      <c r="G462" s="2501">
        <v>522009819</v>
      </c>
    </row>
    <row r="463" spans="1:7" ht="21">
      <c r="A463" s="1080" t="s">
        <v>555</v>
      </c>
      <c r="B463" s="2492">
        <v>341.154</v>
      </c>
      <c r="C463" s="2493">
        <v>1.04</v>
      </c>
      <c r="D463" s="2494">
        <v>336455</v>
      </c>
      <c r="E463" s="2500">
        <v>175383</v>
      </c>
      <c r="F463" s="2500">
        <v>144495</v>
      </c>
      <c r="G463" s="2501">
        <v>68786640</v>
      </c>
    </row>
    <row r="464" spans="1:7" ht="21">
      <c r="A464" s="1080" t="s">
        <v>49</v>
      </c>
      <c r="B464" s="2492">
        <v>614.07500000000005</v>
      </c>
      <c r="C464" s="2493">
        <v>1.17</v>
      </c>
      <c r="D464" s="2494">
        <v>447636</v>
      </c>
      <c r="E464" s="2500">
        <v>331486</v>
      </c>
      <c r="F464" s="2500">
        <v>84185</v>
      </c>
      <c r="G464" s="2501">
        <v>163372538</v>
      </c>
    </row>
    <row r="465" spans="1:7" ht="21">
      <c r="A465" s="1080" t="s">
        <v>173</v>
      </c>
      <c r="B465" s="2492">
        <v>83.292000000000002</v>
      </c>
      <c r="C465" s="2493">
        <v>1.04</v>
      </c>
      <c r="D465" s="2494">
        <v>20601</v>
      </c>
      <c r="E465" s="2500">
        <v>2802</v>
      </c>
      <c r="F465" s="2500">
        <v>18678</v>
      </c>
      <c r="G465" s="2501">
        <v>35600706</v>
      </c>
    </row>
    <row r="466" spans="1:7" ht="21">
      <c r="A466" s="1080" t="s">
        <v>567</v>
      </c>
      <c r="B466" s="2492">
        <v>145.916</v>
      </c>
      <c r="C466" s="2493">
        <v>1.17</v>
      </c>
      <c r="D466" s="2494">
        <v>16430</v>
      </c>
      <c r="E466" s="2500">
        <v>1608</v>
      </c>
      <c r="F466" s="2500">
        <v>14808</v>
      </c>
      <c r="G466" s="2501">
        <v>24389473</v>
      </c>
    </row>
    <row r="467" spans="1:7" ht="21">
      <c r="A467" s="1080" t="s">
        <v>1760</v>
      </c>
      <c r="B467" s="2492">
        <v>1403.56</v>
      </c>
      <c r="C467" s="2493">
        <v>1.17</v>
      </c>
      <c r="D467" s="2494">
        <v>725327</v>
      </c>
      <c r="E467" s="2500">
        <v>639942</v>
      </c>
      <c r="F467" s="2500">
        <v>0</v>
      </c>
      <c r="G467" s="2501">
        <v>552528689</v>
      </c>
    </row>
    <row r="468" spans="1:7" ht="21">
      <c r="A468" s="1080" t="s">
        <v>568</v>
      </c>
      <c r="B468" s="2492">
        <v>246.05600000000001</v>
      </c>
      <c r="C468" s="2493">
        <v>1.1432</v>
      </c>
      <c r="D468" s="2494">
        <v>140869</v>
      </c>
      <c r="E468" s="2500">
        <v>80529</v>
      </c>
      <c r="F468" s="2500">
        <v>38526</v>
      </c>
      <c r="G468" s="2501">
        <v>60672573</v>
      </c>
    </row>
    <row r="469" spans="1:7" ht="21">
      <c r="A469" s="1080" t="s">
        <v>1733</v>
      </c>
      <c r="B469" s="2492">
        <v>343.15100000000001</v>
      </c>
      <c r="C469" s="2493">
        <v>1.17</v>
      </c>
      <c r="D469" s="2494">
        <v>265806</v>
      </c>
      <c r="E469" s="2500">
        <v>207743</v>
      </c>
      <c r="F469" s="2500">
        <v>0</v>
      </c>
      <c r="G469" s="2501">
        <v>106018991</v>
      </c>
    </row>
    <row r="470" spans="1:7" ht="21">
      <c r="A470" s="1080" t="s">
        <v>569</v>
      </c>
      <c r="B470" s="2492">
        <v>170.40199999999999</v>
      </c>
      <c r="C470" s="2493">
        <v>1.17</v>
      </c>
      <c r="D470" s="2494">
        <v>0</v>
      </c>
      <c r="E470" s="2500">
        <v>0</v>
      </c>
      <c r="F470" s="2500">
        <v>0</v>
      </c>
      <c r="G470" s="2501">
        <v>22504300</v>
      </c>
    </row>
    <row r="471" spans="1:7" ht="21">
      <c r="A471" s="1080" t="s">
        <v>1761</v>
      </c>
      <c r="B471" s="2492">
        <v>228.65899999999999</v>
      </c>
      <c r="C471" s="2493">
        <v>1.17</v>
      </c>
      <c r="D471" s="2494">
        <v>0</v>
      </c>
      <c r="E471" s="2500">
        <v>0</v>
      </c>
      <c r="F471" s="2500">
        <v>0</v>
      </c>
      <c r="G471" s="2501">
        <v>106339144</v>
      </c>
    </row>
    <row r="472" spans="1:7" ht="21">
      <c r="A472" s="1080" t="s">
        <v>1762</v>
      </c>
      <c r="B472" s="2492">
        <v>2819.5160000000001</v>
      </c>
      <c r="C472" s="2493">
        <v>1.04</v>
      </c>
      <c r="D472" s="2494">
        <v>3850924</v>
      </c>
      <c r="E472" s="2500">
        <v>811583</v>
      </c>
      <c r="F472" s="2500">
        <v>0</v>
      </c>
      <c r="G472" s="2501">
        <v>1759526873</v>
      </c>
    </row>
    <row r="473" spans="1:7" ht="21">
      <c r="A473" s="1080" t="s">
        <v>1410</v>
      </c>
      <c r="B473" s="2492">
        <v>288.01499999999999</v>
      </c>
      <c r="C473" s="2493">
        <v>1.17</v>
      </c>
      <c r="D473" s="2494">
        <v>258925</v>
      </c>
      <c r="E473" s="2500">
        <v>0</v>
      </c>
      <c r="F473" s="2500">
        <v>0</v>
      </c>
      <c r="G473" s="2501">
        <v>93262566</v>
      </c>
    </row>
    <row r="474" spans="1:7" ht="21">
      <c r="A474" s="1080" t="s">
        <v>2104</v>
      </c>
      <c r="B474" s="2492">
        <v>380.471</v>
      </c>
      <c r="C474" s="2493">
        <v>1.17</v>
      </c>
      <c r="D474" s="2494">
        <v>210047</v>
      </c>
      <c r="E474" s="2500">
        <v>59433</v>
      </c>
      <c r="F474" s="2500">
        <v>41494</v>
      </c>
      <c r="G474" s="2501">
        <v>120583816</v>
      </c>
    </row>
    <row r="475" spans="1:7" ht="21">
      <c r="A475" s="1080" t="s">
        <v>1411</v>
      </c>
      <c r="B475" s="2492">
        <v>590.49699999999996</v>
      </c>
      <c r="C475" s="2493">
        <v>1.04</v>
      </c>
      <c r="D475" s="2494">
        <v>0</v>
      </c>
      <c r="E475" s="2500">
        <v>0</v>
      </c>
      <c r="F475" s="2500">
        <v>0</v>
      </c>
      <c r="G475" s="2501">
        <v>1671942319</v>
      </c>
    </row>
    <row r="476" spans="1:7" ht="21">
      <c r="A476" s="1080" t="s">
        <v>1412</v>
      </c>
      <c r="B476" s="2492">
        <v>176.75</v>
      </c>
      <c r="C476" s="2493">
        <v>1.17</v>
      </c>
      <c r="D476" s="2494">
        <v>0</v>
      </c>
      <c r="E476" s="2500">
        <v>0</v>
      </c>
      <c r="F476" s="2500">
        <v>0</v>
      </c>
      <c r="G476" s="2501">
        <v>85609590</v>
      </c>
    </row>
    <row r="477" spans="1:7" ht="21">
      <c r="A477" s="1080" t="s">
        <v>1413</v>
      </c>
      <c r="B477" s="2492">
        <v>6349.5820000000003</v>
      </c>
      <c r="C477" s="2493">
        <v>1.04</v>
      </c>
      <c r="D477" s="2494">
        <v>10377202</v>
      </c>
      <c r="E477" s="2500">
        <v>2403227</v>
      </c>
      <c r="F477" s="2500">
        <v>0</v>
      </c>
      <c r="G477" s="2501">
        <v>4634812405</v>
      </c>
    </row>
    <row r="478" spans="1:7" ht="21">
      <c r="A478" s="1080" t="s">
        <v>1991</v>
      </c>
      <c r="B478" s="2492">
        <v>308.53899999999999</v>
      </c>
      <c r="C478" s="2493">
        <v>1.17</v>
      </c>
      <c r="D478" s="2494">
        <v>389247</v>
      </c>
      <c r="E478" s="2500">
        <v>127636</v>
      </c>
      <c r="F478" s="2500">
        <v>187280</v>
      </c>
      <c r="G478" s="2501">
        <v>172278499</v>
      </c>
    </row>
    <row r="479" spans="1:7" ht="21">
      <c r="A479" s="1080" t="s">
        <v>1709</v>
      </c>
      <c r="B479" s="2492">
        <v>691.81799999999998</v>
      </c>
      <c r="C479" s="2493">
        <v>1.04</v>
      </c>
      <c r="D479" s="2494">
        <v>912354</v>
      </c>
      <c r="E479" s="2500">
        <v>504474</v>
      </c>
      <c r="F479" s="2500">
        <v>121608</v>
      </c>
      <c r="G479" s="2501">
        <v>206807631</v>
      </c>
    </row>
    <row r="480" spans="1:7" ht="21">
      <c r="A480" s="1080" t="s">
        <v>208</v>
      </c>
      <c r="B480" s="2492">
        <v>4057.578</v>
      </c>
      <c r="C480" s="2493">
        <v>1.04</v>
      </c>
      <c r="D480" s="2494">
        <v>3701161</v>
      </c>
      <c r="E480" s="2500">
        <v>2624686</v>
      </c>
      <c r="F480" s="2500">
        <v>735600</v>
      </c>
      <c r="G480" s="2501">
        <v>1132537030</v>
      </c>
    </row>
    <row r="481" spans="1:7" ht="21">
      <c r="A481" s="1080" t="s">
        <v>1687</v>
      </c>
      <c r="B481" s="2492">
        <v>341.26</v>
      </c>
      <c r="C481" s="2493">
        <v>1.17</v>
      </c>
      <c r="D481" s="2494">
        <v>89646</v>
      </c>
      <c r="E481" s="2500">
        <v>33251</v>
      </c>
      <c r="F481" s="2500">
        <v>45561</v>
      </c>
      <c r="G481" s="2501">
        <v>67214671</v>
      </c>
    </row>
    <row r="482" spans="1:7" ht="21">
      <c r="A482" s="1080" t="s">
        <v>209</v>
      </c>
      <c r="B482" s="2492">
        <v>446.20800000000003</v>
      </c>
      <c r="C482" s="2493">
        <v>1.04</v>
      </c>
      <c r="D482" s="2494">
        <v>205903</v>
      </c>
      <c r="E482" s="2500">
        <v>81948</v>
      </c>
      <c r="F482" s="2500">
        <v>0</v>
      </c>
      <c r="G482" s="2501">
        <v>100764379</v>
      </c>
    </row>
    <row r="483" spans="1:7" ht="21">
      <c r="A483" s="1080" t="s">
        <v>2217</v>
      </c>
      <c r="B483" s="2492">
        <v>207.17400000000001</v>
      </c>
      <c r="C483" s="2493">
        <v>1.17</v>
      </c>
      <c r="D483" s="2494">
        <v>74850</v>
      </c>
      <c r="E483" s="2500">
        <v>4779</v>
      </c>
      <c r="F483" s="2500">
        <v>62933</v>
      </c>
      <c r="G483" s="2501">
        <v>50327367</v>
      </c>
    </row>
    <row r="484" spans="1:7" ht="21">
      <c r="A484" s="1080" t="s">
        <v>210</v>
      </c>
      <c r="B484" s="2492">
        <v>694.76099999999997</v>
      </c>
      <c r="C484" s="2493">
        <v>1.04</v>
      </c>
      <c r="D484" s="2494">
        <v>0</v>
      </c>
      <c r="E484" s="2500">
        <v>0</v>
      </c>
      <c r="F484" s="2500">
        <v>0</v>
      </c>
      <c r="G484" s="2501">
        <v>143419039</v>
      </c>
    </row>
    <row r="485" spans="1:7" ht="21">
      <c r="A485" s="1080" t="s">
        <v>211</v>
      </c>
      <c r="B485" s="2492">
        <v>250.89699999999999</v>
      </c>
      <c r="C485" s="2493">
        <v>1.04</v>
      </c>
      <c r="D485" s="2494">
        <v>0</v>
      </c>
      <c r="E485" s="2500">
        <v>0</v>
      </c>
      <c r="F485" s="2500">
        <v>0</v>
      </c>
      <c r="G485" s="2501">
        <v>48840458</v>
      </c>
    </row>
    <row r="486" spans="1:7" ht="21">
      <c r="A486" s="1080" t="s">
        <v>1688</v>
      </c>
      <c r="B486" s="2492">
        <v>199.91800000000001</v>
      </c>
      <c r="C486" s="2493">
        <v>1.17</v>
      </c>
      <c r="D486" s="2494">
        <v>49631</v>
      </c>
      <c r="E486" s="2500">
        <v>0</v>
      </c>
      <c r="F486" s="2500">
        <v>45646</v>
      </c>
      <c r="G486" s="2501">
        <v>73622710</v>
      </c>
    </row>
    <row r="487" spans="1:7" ht="21">
      <c r="A487" s="1080" t="s">
        <v>1601</v>
      </c>
      <c r="B487" s="2492">
        <v>1187.683</v>
      </c>
      <c r="C487" s="2493">
        <v>1.04</v>
      </c>
      <c r="D487" s="2494">
        <v>888149</v>
      </c>
      <c r="E487" s="2500">
        <v>874301</v>
      </c>
      <c r="F487" s="2500">
        <v>0</v>
      </c>
      <c r="G487" s="2501">
        <v>418970350</v>
      </c>
    </row>
    <row r="488" spans="1:7" ht="21">
      <c r="A488" s="1080" t="s">
        <v>1432</v>
      </c>
      <c r="B488" s="2492">
        <v>446.166</v>
      </c>
      <c r="C488" s="2493">
        <v>1.04</v>
      </c>
      <c r="D488" s="2494">
        <v>278933</v>
      </c>
      <c r="E488" s="2500">
        <v>184659</v>
      </c>
      <c r="F488" s="2500">
        <v>0</v>
      </c>
      <c r="G488" s="2501">
        <v>260791848</v>
      </c>
    </row>
    <row r="489" spans="1:7" ht="21">
      <c r="A489" s="1080" t="s">
        <v>1104</v>
      </c>
      <c r="B489" s="2492">
        <v>472.93200000000002</v>
      </c>
      <c r="C489" s="2493">
        <v>1.0256000000000001</v>
      </c>
      <c r="D489" s="2494">
        <v>0</v>
      </c>
      <c r="E489" s="2500">
        <v>0</v>
      </c>
      <c r="F489" s="2500">
        <v>0</v>
      </c>
      <c r="G489" s="2501">
        <v>390000845</v>
      </c>
    </row>
    <row r="490" spans="1:7" ht="21">
      <c r="A490" s="1080" t="s">
        <v>1105</v>
      </c>
      <c r="B490" s="2492">
        <v>482.52499999999998</v>
      </c>
      <c r="C490" s="2493">
        <v>1.04</v>
      </c>
      <c r="D490" s="2494">
        <v>267198</v>
      </c>
      <c r="E490" s="2500">
        <v>204315</v>
      </c>
      <c r="F490" s="2500">
        <v>0</v>
      </c>
      <c r="G490" s="2501">
        <v>143460758</v>
      </c>
    </row>
    <row r="491" spans="1:7" ht="21">
      <c r="A491" s="1080" t="s">
        <v>1011</v>
      </c>
      <c r="B491" s="2492">
        <v>259.71899999999999</v>
      </c>
      <c r="C491" s="2493">
        <v>1.04</v>
      </c>
      <c r="D491" s="2494">
        <v>249</v>
      </c>
      <c r="E491" s="2500">
        <v>0</v>
      </c>
      <c r="F491" s="2500">
        <v>0</v>
      </c>
      <c r="G491" s="2501">
        <v>111849102</v>
      </c>
    </row>
    <row r="492" spans="1:7" ht="21">
      <c r="A492" s="1080" t="s">
        <v>2036</v>
      </c>
      <c r="B492" s="2492">
        <v>3895.3589999999999</v>
      </c>
      <c r="C492" s="2493">
        <v>1.0505</v>
      </c>
      <c r="D492" s="2494">
        <v>5687070</v>
      </c>
      <c r="E492" s="2500">
        <v>3067767</v>
      </c>
      <c r="F492" s="2500">
        <v>889573</v>
      </c>
      <c r="G492" s="2501">
        <v>1565558803</v>
      </c>
    </row>
    <row r="493" spans="1:7" ht="21">
      <c r="A493" s="1080" t="s">
        <v>3076</v>
      </c>
      <c r="B493" s="2492">
        <v>833.08600000000001</v>
      </c>
      <c r="C493" s="2493">
        <v>1.04</v>
      </c>
      <c r="D493" s="2494">
        <v>1171956</v>
      </c>
      <c r="E493" s="2500">
        <v>784810</v>
      </c>
      <c r="F493" s="2500">
        <v>0</v>
      </c>
      <c r="G493" s="2501">
        <v>447686551</v>
      </c>
    </row>
    <row r="494" spans="1:7" ht="21">
      <c r="A494" s="1080" t="s">
        <v>3077</v>
      </c>
      <c r="B494" s="2492">
        <v>701.529</v>
      </c>
      <c r="C494" s="2493">
        <v>1.04</v>
      </c>
      <c r="D494" s="2494">
        <v>3251600</v>
      </c>
      <c r="E494" s="2500">
        <v>115946</v>
      </c>
      <c r="F494" s="2500">
        <v>0</v>
      </c>
      <c r="G494" s="2501">
        <v>887171372</v>
      </c>
    </row>
    <row r="495" spans="1:7" ht="21">
      <c r="A495" s="1080" t="s">
        <v>1507</v>
      </c>
      <c r="B495" s="2492">
        <v>418.36</v>
      </c>
      <c r="C495" s="2493">
        <v>1.0314000000000001</v>
      </c>
      <c r="D495" s="2494">
        <v>3122</v>
      </c>
      <c r="E495" s="2500">
        <v>100275</v>
      </c>
      <c r="F495" s="2500">
        <v>0</v>
      </c>
      <c r="G495" s="2501">
        <v>180168486</v>
      </c>
    </row>
    <row r="496" spans="1:7" ht="21">
      <c r="A496" s="1080" t="s">
        <v>2492</v>
      </c>
      <c r="B496" s="2492">
        <v>125.925</v>
      </c>
      <c r="C496" s="2493">
        <v>0.95050000000000001</v>
      </c>
      <c r="D496" s="2494">
        <v>0</v>
      </c>
      <c r="E496" s="2500">
        <v>0</v>
      </c>
      <c r="F496" s="2500">
        <v>0</v>
      </c>
      <c r="G496" s="2501">
        <v>92062303</v>
      </c>
    </row>
    <row r="497" spans="1:7" ht="21">
      <c r="A497" s="1080" t="s">
        <v>1271</v>
      </c>
      <c r="B497" s="2492">
        <v>66.085999999999999</v>
      </c>
      <c r="C497" s="2493">
        <v>1.0401</v>
      </c>
      <c r="D497" s="2494">
        <v>0</v>
      </c>
      <c r="E497" s="2500">
        <v>0</v>
      </c>
      <c r="F497" s="2500">
        <v>0</v>
      </c>
      <c r="G497" s="2501">
        <v>59219869</v>
      </c>
    </row>
    <row r="498" spans="1:7" ht="21">
      <c r="A498" s="1080" t="s">
        <v>2155</v>
      </c>
      <c r="B498" s="2492">
        <v>1524.2729999999999</v>
      </c>
      <c r="C498" s="2493">
        <v>1.04</v>
      </c>
      <c r="D498" s="2494">
        <v>1693034</v>
      </c>
      <c r="E498" s="2500">
        <v>996852</v>
      </c>
      <c r="F498" s="2500">
        <v>596867</v>
      </c>
      <c r="G498" s="2501">
        <v>353230401</v>
      </c>
    </row>
    <row r="499" spans="1:7" ht="21">
      <c r="A499" s="1080" t="s">
        <v>1272</v>
      </c>
      <c r="B499" s="2492">
        <v>427.81599999999997</v>
      </c>
      <c r="C499" s="2493">
        <v>1.17</v>
      </c>
      <c r="D499" s="2494">
        <v>306730</v>
      </c>
      <c r="E499" s="2500">
        <v>218625</v>
      </c>
      <c r="F499" s="2500">
        <v>67204</v>
      </c>
      <c r="G499" s="2501">
        <v>81479532</v>
      </c>
    </row>
    <row r="500" spans="1:7" ht="21">
      <c r="A500" s="1080" t="s">
        <v>1618</v>
      </c>
      <c r="B500" s="2492">
        <v>1439.0530000000001</v>
      </c>
      <c r="C500" s="2493">
        <v>1.17</v>
      </c>
      <c r="D500" s="2494">
        <v>1809824</v>
      </c>
      <c r="E500" s="2500">
        <v>1215235</v>
      </c>
      <c r="F500" s="2500">
        <v>472740</v>
      </c>
      <c r="G500" s="2501">
        <v>419046679</v>
      </c>
    </row>
    <row r="501" spans="1:7" ht="21">
      <c r="A501" s="1080" t="s">
        <v>1209</v>
      </c>
      <c r="B501" s="2492">
        <v>4407.1639999999998</v>
      </c>
      <c r="C501" s="2493">
        <v>1.04</v>
      </c>
      <c r="D501" s="2494">
        <v>5361331</v>
      </c>
      <c r="E501" s="2500">
        <v>2027731</v>
      </c>
      <c r="F501" s="2500">
        <v>0</v>
      </c>
      <c r="G501" s="2501">
        <v>1584236251</v>
      </c>
    </row>
    <row r="502" spans="1:7" ht="21">
      <c r="A502" s="1080" t="s">
        <v>2218</v>
      </c>
      <c r="B502" s="2492">
        <v>934.07899999999995</v>
      </c>
      <c r="C502" s="2493">
        <v>1.0401</v>
      </c>
      <c r="D502" s="2494">
        <v>668581</v>
      </c>
      <c r="E502" s="2500">
        <v>441006</v>
      </c>
      <c r="F502" s="2500">
        <v>109366</v>
      </c>
      <c r="G502" s="2501">
        <v>199811862</v>
      </c>
    </row>
    <row r="503" spans="1:7" ht="21">
      <c r="A503" s="1080" t="s">
        <v>1781</v>
      </c>
      <c r="B503" s="2492">
        <v>2293.7539999999999</v>
      </c>
      <c r="C503" s="2493">
        <v>1.04</v>
      </c>
      <c r="D503" s="2494">
        <v>1340303</v>
      </c>
      <c r="E503" s="2500">
        <v>303046</v>
      </c>
      <c r="F503" s="2500">
        <v>1015114</v>
      </c>
      <c r="G503" s="2501">
        <v>668535684</v>
      </c>
    </row>
    <row r="504" spans="1:7" ht="21">
      <c r="A504" s="1080" t="s">
        <v>273</v>
      </c>
      <c r="B504" s="2492">
        <v>586.43100000000004</v>
      </c>
      <c r="C504" s="2493">
        <v>1.1259999999999999</v>
      </c>
      <c r="D504" s="2494">
        <v>217063</v>
      </c>
      <c r="E504" s="2500">
        <v>126754</v>
      </c>
      <c r="F504" s="2500">
        <v>57194</v>
      </c>
      <c r="G504" s="2501">
        <v>97989078</v>
      </c>
    </row>
    <row r="505" spans="1:7" ht="21">
      <c r="A505" s="1080" t="s">
        <v>1210</v>
      </c>
      <c r="B505" s="2492">
        <v>340.185</v>
      </c>
      <c r="C505" s="2493">
        <v>1.04</v>
      </c>
      <c r="D505" s="2494">
        <v>48998</v>
      </c>
      <c r="E505" s="2500">
        <v>39129</v>
      </c>
      <c r="F505" s="2500">
        <v>0</v>
      </c>
      <c r="G505" s="2501">
        <v>80618904</v>
      </c>
    </row>
    <row r="506" spans="1:7" ht="21">
      <c r="A506" s="1080" t="s">
        <v>987</v>
      </c>
      <c r="B506" s="2492">
        <v>555.53200000000004</v>
      </c>
      <c r="C506" s="2493">
        <v>1.04</v>
      </c>
      <c r="D506" s="2494">
        <v>603407</v>
      </c>
      <c r="E506" s="2500">
        <v>352574</v>
      </c>
      <c r="F506" s="2500">
        <v>85462</v>
      </c>
      <c r="G506" s="2501">
        <v>121577265</v>
      </c>
    </row>
    <row r="507" spans="1:7" ht="21">
      <c r="A507" s="1080" t="s">
        <v>2105</v>
      </c>
      <c r="B507" s="2492">
        <v>462.851</v>
      </c>
      <c r="C507" s="2493">
        <v>1.17</v>
      </c>
      <c r="D507" s="2494">
        <v>53834</v>
      </c>
      <c r="E507" s="2500">
        <v>41192</v>
      </c>
      <c r="F507" s="2500">
        <v>13395</v>
      </c>
      <c r="G507" s="2501">
        <v>15570875</v>
      </c>
    </row>
    <row r="508" spans="1:7" ht="21">
      <c r="A508" s="1080" t="s">
        <v>1211</v>
      </c>
      <c r="B508" s="2492">
        <v>2480.527</v>
      </c>
      <c r="C508" s="2493">
        <v>1.04</v>
      </c>
      <c r="D508" s="2494">
        <v>1669688</v>
      </c>
      <c r="E508" s="2500">
        <v>1695429</v>
      </c>
      <c r="F508" s="2500">
        <v>0</v>
      </c>
      <c r="G508" s="2501">
        <v>633194394</v>
      </c>
    </row>
    <row r="509" spans="1:7" ht="21">
      <c r="A509" s="1080" t="s">
        <v>2454</v>
      </c>
      <c r="B509" s="2492">
        <v>746.548</v>
      </c>
      <c r="C509" s="2493">
        <v>1.04</v>
      </c>
      <c r="D509" s="2494">
        <v>398176</v>
      </c>
      <c r="E509" s="2500">
        <v>211583</v>
      </c>
      <c r="F509" s="2500">
        <v>0</v>
      </c>
      <c r="G509" s="2501">
        <v>153499156</v>
      </c>
    </row>
    <row r="510" spans="1:7" ht="21">
      <c r="A510" s="1080" t="s">
        <v>2455</v>
      </c>
      <c r="B510" s="2492">
        <v>607.11300000000006</v>
      </c>
      <c r="C510" s="2493">
        <v>0.99570000000000003</v>
      </c>
      <c r="D510" s="2494">
        <v>4140816</v>
      </c>
      <c r="E510" s="2500">
        <v>0</v>
      </c>
      <c r="F510" s="2500">
        <v>0</v>
      </c>
      <c r="G510" s="2501">
        <v>1646482596</v>
      </c>
    </row>
    <row r="511" spans="1:7" ht="21">
      <c r="A511" s="1080" t="s">
        <v>1428</v>
      </c>
      <c r="B511" s="2492">
        <v>105.202</v>
      </c>
      <c r="C511" s="2493">
        <v>1.1200000000000001</v>
      </c>
      <c r="D511" s="2494">
        <v>0</v>
      </c>
      <c r="E511" s="2500">
        <v>0</v>
      </c>
      <c r="F511" s="2500">
        <v>0</v>
      </c>
      <c r="G511" s="2501">
        <v>55641584</v>
      </c>
    </row>
    <row r="512" spans="1:7" ht="21">
      <c r="A512" s="1080" t="s">
        <v>1429</v>
      </c>
      <c r="B512" s="2492">
        <v>313.67200000000003</v>
      </c>
      <c r="C512" s="2493">
        <v>1.04</v>
      </c>
      <c r="D512" s="2494">
        <v>3732039</v>
      </c>
      <c r="E512" s="2500">
        <v>0</v>
      </c>
      <c r="F512" s="2500">
        <v>0</v>
      </c>
      <c r="G512" s="2501">
        <v>992582962</v>
      </c>
    </row>
    <row r="513" spans="1:7" ht="21">
      <c r="A513" s="1080" t="s">
        <v>1039</v>
      </c>
      <c r="B513" s="2492">
        <v>241.64</v>
      </c>
      <c r="C513" s="2493">
        <v>1.04</v>
      </c>
      <c r="D513" s="2494">
        <v>1350336</v>
      </c>
      <c r="E513" s="2500">
        <v>245265</v>
      </c>
      <c r="F513" s="2500">
        <v>0</v>
      </c>
      <c r="G513" s="2501">
        <v>483797646</v>
      </c>
    </row>
    <row r="514" spans="1:7" ht="21">
      <c r="A514" s="1080" t="s">
        <v>1040</v>
      </c>
      <c r="B514" s="2492">
        <v>917.25099999999998</v>
      </c>
      <c r="C514" s="2493">
        <v>1.04</v>
      </c>
      <c r="D514" s="2494">
        <v>5214183</v>
      </c>
      <c r="E514" s="2500">
        <v>931010</v>
      </c>
      <c r="F514" s="2500">
        <v>0</v>
      </c>
      <c r="G514" s="2501">
        <v>1064826883</v>
      </c>
    </row>
    <row r="515" spans="1:7" ht="21">
      <c r="A515" s="1080" t="s">
        <v>1041</v>
      </c>
      <c r="B515" s="2492">
        <v>319.95</v>
      </c>
      <c r="C515" s="2493">
        <v>1.04</v>
      </c>
      <c r="D515" s="2494">
        <v>573961</v>
      </c>
      <c r="E515" s="2500">
        <v>222106</v>
      </c>
      <c r="F515" s="2500">
        <v>0</v>
      </c>
      <c r="G515" s="2501">
        <v>309830358</v>
      </c>
    </row>
    <row r="516" spans="1:7" ht="21">
      <c r="A516" s="1080" t="s">
        <v>1042</v>
      </c>
      <c r="B516" s="2492">
        <v>1434.4749999999999</v>
      </c>
      <c r="C516" s="2493">
        <v>1.04</v>
      </c>
      <c r="D516" s="2494">
        <v>1625269</v>
      </c>
      <c r="E516" s="2500">
        <v>1455992</v>
      </c>
      <c r="F516" s="2500">
        <v>0</v>
      </c>
      <c r="G516" s="2501">
        <v>503886056</v>
      </c>
    </row>
    <row r="517" spans="1:7" ht="21">
      <c r="A517" s="1080" t="s">
        <v>2972</v>
      </c>
      <c r="B517" s="2492">
        <v>744.08600000000001</v>
      </c>
      <c r="C517" s="2493">
        <v>1.17</v>
      </c>
      <c r="D517" s="2494">
        <v>140854</v>
      </c>
      <c r="E517" s="2500">
        <v>254565</v>
      </c>
      <c r="F517" s="2500">
        <v>152500</v>
      </c>
      <c r="G517" s="2501">
        <v>310140592</v>
      </c>
    </row>
    <row r="518" spans="1:7" ht="21">
      <c r="A518" s="1080" t="s">
        <v>544</v>
      </c>
      <c r="B518" s="2492">
        <v>1151.308</v>
      </c>
      <c r="C518" s="2493">
        <v>1.17</v>
      </c>
      <c r="D518" s="2494">
        <v>501507</v>
      </c>
      <c r="E518" s="2500">
        <v>563450</v>
      </c>
      <c r="F518" s="2500">
        <v>0</v>
      </c>
      <c r="G518" s="2501">
        <v>678373307</v>
      </c>
    </row>
    <row r="519" spans="1:7" ht="21">
      <c r="A519" s="1080" t="s">
        <v>3042</v>
      </c>
      <c r="B519" s="2492">
        <v>389.07</v>
      </c>
      <c r="C519" s="2493">
        <v>1.04</v>
      </c>
      <c r="D519" s="2494">
        <v>0</v>
      </c>
      <c r="E519" s="2500">
        <v>0</v>
      </c>
      <c r="F519" s="2500">
        <v>0</v>
      </c>
      <c r="G519" s="2501">
        <v>235789153</v>
      </c>
    </row>
    <row r="520" spans="1:7" ht="21">
      <c r="A520" s="1080" t="s">
        <v>995</v>
      </c>
      <c r="B520" s="2492">
        <v>1358.627</v>
      </c>
      <c r="C520" s="2493">
        <v>1.04</v>
      </c>
      <c r="D520" s="2494">
        <v>1380578</v>
      </c>
      <c r="E520" s="2500">
        <v>120651</v>
      </c>
      <c r="F520" s="2500">
        <v>462290</v>
      </c>
      <c r="G520" s="2501">
        <v>304214397</v>
      </c>
    </row>
    <row r="521" spans="1:7" ht="21">
      <c r="A521" s="1080" t="s">
        <v>51</v>
      </c>
      <c r="B521" s="2492">
        <v>2310.9720000000002</v>
      </c>
      <c r="C521" s="2493">
        <v>1.17</v>
      </c>
      <c r="D521" s="2494">
        <v>1593325</v>
      </c>
      <c r="E521" s="2500">
        <v>261841</v>
      </c>
      <c r="F521" s="2500">
        <v>1046141</v>
      </c>
      <c r="G521" s="2501">
        <v>712993362</v>
      </c>
    </row>
    <row r="522" spans="1:7" ht="21">
      <c r="A522" s="1080" t="s">
        <v>61</v>
      </c>
      <c r="B522" s="2492">
        <v>1389.1389999999999</v>
      </c>
      <c r="C522" s="2493">
        <v>1.04</v>
      </c>
      <c r="D522" s="2494">
        <v>729285</v>
      </c>
      <c r="E522" s="2500">
        <v>17592</v>
      </c>
      <c r="F522" s="2500">
        <v>217885</v>
      </c>
      <c r="G522" s="2501">
        <v>220779369</v>
      </c>
    </row>
    <row r="523" spans="1:7" ht="21">
      <c r="A523" s="1080" t="s">
        <v>3043</v>
      </c>
      <c r="B523" s="2492">
        <v>438.27300000000002</v>
      </c>
      <c r="C523" s="2493">
        <v>1.17</v>
      </c>
      <c r="D523" s="2494">
        <v>853970</v>
      </c>
      <c r="E523" s="2500">
        <v>375986</v>
      </c>
      <c r="F523" s="2500">
        <v>0</v>
      </c>
      <c r="G523" s="2501">
        <v>373883599</v>
      </c>
    </row>
    <row r="524" spans="1:7" ht="21">
      <c r="A524" s="1080" t="s">
        <v>3044</v>
      </c>
      <c r="B524" s="2492">
        <v>204.70099999999999</v>
      </c>
      <c r="C524" s="2493">
        <v>1.17</v>
      </c>
      <c r="D524" s="2494">
        <v>0</v>
      </c>
      <c r="E524" s="2500">
        <v>0</v>
      </c>
      <c r="F524" s="2500">
        <v>0</v>
      </c>
      <c r="G524" s="2501">
        <v>165072425</v>
      </c>
    </row>
    <row r="525" spans="1:7" ht="21">
      <c r="A525" s="1080" t="s">
        <v>3045</v>
      </c>
      <c r="B525" s="2492">
        <v>36.667000000000002</v>
      </c>
      <c r="C525" s="2493">
        <v>1.04</v>
      </c>
      <c r="D525" s="2494">
        <v>0</v>
      </c>
      <c r="E525" s="2500">
        <v>0</v>
      </c>
      <c r="F525" s="2500">
        <v>0</v>
      </c>
      <c r="G525" s="2501">
        <v>40545183</v>
      </c>
    </row>
    <row r="526" spans="1:7" ht="21">
      <c r="A526" s="1080" t="s">
        <v>2905</v>
      </c>
      <c r="B526" s="2492">
        <v>4893.43</v>
      </c>
      <c r="C526" s="2493">
        <v>1.04</v>
      </c>
      <c r="D526" s="2494">
        <v>2215326</v>
      </c>
      <c r="E526" s="2500">
        <v>492586</v>
      </c>
      <c r="F526" s="2500">
        <v>804378</v>
      </c>
      <c r="G526" s="2501">
        <v>2241078804</v>
      </c>
    </row>
    <row r="527" spans="1:7" ht="21">
      <c r="A527" s="1080" t="s">
        <v>2615</v>
      </c>
      <c r="B527" s="2492">
        <v>8019.2790000000005</v>
      </c>
      <c r="C527" s="2493">
        <v>1.04</v>
      </c>
      <c r="D527" s="2494">
        <v>25461299</v>
      </c>
      <c r="E527" s="2500">
        <v>8139568</v>
      </c>
      <c r="F527" s="2500">
        <v>0</v>
      </c>
      <c r="G527" s="2501">
        <v>9083788240</v>
      </c>
    </row>
    <row r="528" spans="1:7" ht="21">
      <c r="A528" s="1080" t="s">
        <v>2616</v>
      </c>
      <c r="B528" s="2492">
        <v>4651.8609999999999</v>
      </c>
      <c r="C528" s="2493">
        <v>1.04</v>
      </c>
      <c r="D528" s="2494">
        <v>10585162</v>
      </c>
      <c r="E528" s="2500">
        <v>4721639</v>
      </c>
      <c r="F528" s="2500">
        <v>0</v>
      </c>
      <c r="G528" s="2501">
        <v>2962020723</v>
      </c>
    </row>
    <row r="529" spans="1:7" ht="21">
      <c r="A529" s="1080" t="s">
        <v>1501</v>
      </c>
      <c r="B529" s="2492">
        <v>17623.439999999999</v>
      </c>
      <c r="C529" s="2493">
        <v>1.04</v>
      </c>
      <c r="D529" s="2494">
        <v>26662585</v>
      </c>
      <c r="E529" s="2500">
        <v>17571145</v>
      </c>
      <c r="F529" s="2500">
        <v>0</v>
      </c>
      <c r="G529" s="2501">
        <v>9759583340</v>
      </c>
    </row>
    <row r="530" spans="1:7" ht="21">
      <c r="A530" s="1080" t="s">
        <v>1502</v>
      </c>
      <c r="B530" s="2492">
        <v>340.70100000000002</v>
      </c>
      <c r="C530" s="2493">
        <v>1.04</v>
      </c>
      <c r="D530" s="2494">
        <v>1627295</v>
      </c>
      <c r="E530" s="2500">
        <v>53658</v>
      </c>
      <c r="F530" s="2500">
        <v>0</v>
      </c>
      <c r="G530" s="2501">
        <v>1220279078</v>
      </c>
    </row>
    <row r="531" spans="1:7" ht="21">
      <c r="A531" s="1080" t="s">
        <v>1484</v>
      </c>
      <c r="B531" s="2492">
        <v>1705.299</v>
      </c>
      <c r="C531" s="2493">
        <v>1.17</v>
      </c>
      <c r="D531" s="2494">
        <v>1300725</v>
      </c>
      <c r="E531" s="2500">
        <v>701117</v>
      </c>
      <c r="F531" s="2500">
        <v>512950</v>
      </c>
      <c r="G531" s="2501">
        <v>687791006</v>
      </c>
    </row>
    <row r="532" spans="1:7" ht="21">
      <c r="A532" s="1080" t="s">
        <v>1503</v>
      </c>
      <c r="B532" s="2492">
        <v>1035.079</v>
      </c>
      <c r="C532" s="2493">
        <v>1.0401</v>
      </c>
      <c r="D532" s="2494">
        <v>967740</v>
      </c>
      <c r="E532" s="2500">
        <v>0</v>
      </c>
      <c r="F532" s="2500">
        <v>0</v>
      </c>
      <c r="G532" s="2501">
        <v>367242333</v>
      </c>
    </row>
    <row r="533" spans="1:7" ht="21">
      <c r="A533" s="1080" t="s">
        <v>2299</v>
      </c>
      <c r="B533" s="2492">
        <v>4727.5209999999997</v>
      </c>
      <c r="C533" s="2493">
        <v>1.04</v>
      </c>
      <c r="D533" s="2494">
        <v>3699369</v>
      </c>
      <c r="E533" s="2500">
        <v>38885</v>
      </c>
      <c r="F533" s="2500">
        <v>3701615</v>
      </c>
      <c r="G533" s="2501">
        <v>1810922524</v>
      </c>
    </row>
    <row r="534" spans="1:7" ht="21">
      <c r="A534" s="1080" t="s">
        <v>2652</v>
      </c>
      <c r="B534" s="2492">
        <v>534.61300000000006</v>
      </c>
      <c r="C534" s="2493">
        <v>1.04</v>
      </c>
      <c r="D534" s="2494">
        <v>186769</v>
      </c>
      <c r="E534" s="2500">
        <v>8493</v>
      </c>
      <c r="F534" s="2500">
        <v>171005</v>
      </c>
      <c r="G534" s="2501">
        <v>77022180</v>
      </c>
    </row>
    <row r="535" spans="1:7" ht="21">
      <c r="A535" s="1080" t="s">
        <v>1593</v>
      </c>
      <c r="B535" s="2492">
        <v>1741.527</v>
      </c>
      <c r="C535" s="2493">
        <v>1.06</v>
      </c>
      <c r="D535" s="2494">
        <v>457317</v>
      </c>
      <c r="E535" s="2500">
        <v>72490</v>
      </c>
      <c r="F535" s="2500">
        <v>376932</v>
      </c>
      <c r="G535" s="2501">
        <v>246893110</v>
      </c>
    </row>
    <row r="536" spans="1:7" ht="21">
      <c r="A536" s="1080" t="s">
        <v>244</v>
      </c>
      <c r="B536" s="2492">
        <v>460.92700000000002</v>
      </c>
      <c r="C536" s="2493">
        <v>1.17</v>
      </c>
      <c r="D536" s="2494">
        <v>193930</v>
      </c>
      <c r="E536" s="2500">
        <v>2368</v>
      </c>
      <c r="F536" s="2500">
        <v>198398</v>
      </c>
      <c r="G536" s="2501">
        <v>139827045</v>
      </c>
    </row>
    <row r="537" spans="1:7" ht="21">
      <c r="A537" s="1080" t="s">
        <v>1504</v>
      </c>
      <c r="B537" s="2492">
        <v>109.851</v>
      </c>
      <c r="C537" s="2493">
        <v>1.04</v>
      </c>
      <c r="D537" s="2494">
        <v>0</v>
      </c>
      <c r="E537" s="2500">
        <v>0</v>
      </c>
      <c r="F537" s="2500">
        <v>0</v>
      </c>
      <c r="G537" s="2501">
        <v>53324809</v>
      </c>
    </row>
    <row r="538" spans="1:7" ht="21">
      <c r="A538" s="1080" t="s">
        <v>223</v>
      </c>
      <c r="B538" s="2492">
        <v>3318.4160000000002</v>
      </c>
      <c r="C538" s="2493">
        <v>1.04</v>
      </c>
      <c r="D538" s="2494">
        <v>6149139</v>
      </c>
      <c r="E538" s="2500">
        <v>1509227</v>
      </c>
      <c r="F538" s="2500">
        <v>2046959</v>
      </c>
      <c r="G538" s="2501">
        <v>1327773377</v>
      </c>
    </row>
    <row r="539" spans="1:7" ht="21">
      <c r="A539" s="1080" t="s">
        <v>2153</v>
      </c>
      <c r="B539" s="2492">
        <v>10392.067999999999</v>
      </c>
      <c r="C539" s="2493">
        <v>1.04</v>
      </c>
      <c r="D539" s="2494">
        <v>17751424</v>
      </c>
      <c r="E539" s="2500">
        <v>9711449</v>
      </c>
      <c r="F539" s="2500">
        <v>2179196</v>
      </c>
      <c r="G539" s="2501">
        <v>3348775641</v>
      </c>
    </row>
    <row r="540" spans="1:7" ht="21">
      <c r="A540" s="1080" t="s">
        <v>627</v>
      </c>
      <c r="B540" s="2492">
        <v>6056.4390000000003</v>
      </c>
      <c r="C540" s="2493">
        <v>1.17</v>
      </c>
      <c r="D540" s="2494">
        <v>5067079</v>
      </c>
      <c r="E540" s="2500">
        <v>3450864</v>
      </c>
      <c r="F540" s="2500">
        <v>0</v>
      </c>
      <c r="G540" s="2501">
        <v>2660720291</v>
      </c>
    </row>
    <row r="541" spans="1:7" ht="21">
      <c r="A541" s="1080" t="s">
        <v>2037</v>
      </c>
      <c r="B541" s="2492">
        <v>1068.01</v>
      </c>
      <c r="C541" s="2493">
        <v>1.04</v>
      </c>
      <c r="D541" s="2494">
        <v>1020197</v>
      </c>
      <c r="E541" s="2500">
        <v>802904</v>
      </c>
      <c r="F541" s="2500">
        <v>0</v>
      </c>
      <c r="G541" s="2501">
        <v>276863616</v>
      </c>
    </row>
    <row r="542" spans="1:7" ht="21">
      <c r="A542" s="1080" t="s">
        <v>52</v>
      </c>
      <c r="B542" s="2492">
        <v>4761.7669999999998</v>
      </c>
      <c r="C542" s="2493">
        <v>1.1000000000000001</v>
      </c>
      <c r="D542" s="2494">
        <v>4303903</v>
      </c>
      <c r="E542" s="2500">
        <v>3134600</v>
      </c>
      <c r="F542" s="2500">
        <v>587764</v>
      </c>
      <c r="G542" s="2501">
        <v>1287459836</v>
      </c>
    </row>
    <row r="543" spans="1:7" ht="21">
      <c r="A543" s="1080" t="s">
        <v>1505</v>
      </c>
      <c r="B543" s="2492">
        <v>896.00599999999997</v>
      </c>
      <c r="C543" s="2493">
        <v>1.17</v>
      </c>
      <c r="D543" s="2494">
        <v>497469</v>
      </c>
      <c r="E543" s="2500">
        <v>322858</v>
      </c>
      <c r="F543" s="2500">
        <v>91896</v>
      </c>
      <c r="G543" s="2501">
        <v>146998255</v>
      </c>
    </row>
    <row r="544" spans="1:7" ht="21">
      <c r="A544" s="1080" t="s">
        <v>2653</v>
      </c>
      <c r="B544" s="2492">
        <v>710.298</v>
      </c>
      <c r="C544" s="2493">
        <v>1.17</v>
      </c>
      <c r="D544" s="2494">
        <v>1234959</v>
      </c>
      <c r="E544" s="2500">
        <v>685201</v>
      </c>
      <c r="F544" s="2500">
        <v>140320</v>
      </c>
      <c r="G544" s="2501">
        <v>288313614</v>
      </c>
    </row>
    <row r="545" spans="1:7" ht="21">
      <c r="A545" s="1080" t="s">
        <v>283</v>
      </c>
      <c r="B545" s="2492">
        <v>1852.854</v>
      </c>
      <c r="C545" s="2493">
        <v>1.17</v>
      </c>
      <c r="D545" s="2494">
        <v>523727</v>
      </c>
      <c r="E545" s="2500">
        <v>120794</v>
      </c>
      <c r="F545" s="2500">
        <v>297314</v>
      </c>
      <c r="G545" s="2501">
        <v>241905592</v>
      </c>
    </row>
    <row r="546" spans="1:7" ht="21">
      <c r="A546" s="1080" t="s">
        <v>1435</v>
      </c>
      <c r="B546" s="2492">
        <v>1699.4649999999999</v>
      </c>
      <c r="C546" s="2493">
        <v>0.9415</v>
      </c>
      <c r="D546" s="2494">
        <v>2573332</v>
      </c>
      <c r="E546" s="2500">
        <v>866426</v>
      </c>
      <c r="F546" s="2500">
        <v>476266</v>
      </c>
      <c r="G546" s="2501">
        <v>1035248322</v>
      </c>
    </row>
    <row r="547" spans="1:7" ht="21">
      <c r="A547" s="1080" t="s">
        <v>2400</v>
      </c>
      <c r="B547" s="2492">
        <v>668.28499999999997</v>
      </c>
      <c r="C547" s="2493">
        <v>1.17</v>
      </c>
      <c r="D547" s="2494">
        <v>343188</v>
      </c>
      <c r="E547" s="2500">
        <v>325351</v>
      </c>
      <c r="F547" s="2500">
        <v>0</v>
      </c>
      <c r="G547" s="2501">
        <v>135129916</v>
      </c>
    </row>
    <row r="548" spans="1:7" ht="21">
      <c r="A548" s="1080" t="s">
        <v>1506</v>
      </c>
      <c r="B548" s="2492">
        <v>389.10500000000002</v>
      </c>
      <c r="C548" s="2493">
        <v>1.17</v>
      </c>
      <c r="D548" s="2494">
        <v>345762</v>
      </c>
      <c r="E548" s="2500">
        <v>279081</v>
      </c>
      <c r="F548" s="2500">
        <v>0</v>
      </c>
      <c r="G548" s="2501">
        <v>154096484</v>
      </c>
    </row>
    <row r="549" spans="1:7" ht="21">
      <c r="A549" s="1080" t="s">
        <v>2128</v>
      </c>
      <c r="B549" s="2492">
        <v>697.65700000000004</v>
      </c>
      <c r="C549" s="2493">
        <v>1.17</v>
      </c>
      <c r="D549" s="2494">
        <v>160484</v>
      </c>
      <c r="E549" s="2500">
        <v>151219</v>
      </c>
      <c r="F549" s="2500">
        <v>0</v>
      </c>
      <c r="G549" s="2501">
        <v>110973099</v>
      </c>
    </row>
    <row r="550" spans="1:7" ht="21">
      <c r="A550" s="1080" t="s">
        <v>2870</v>
      </c>
      <c r="B550" s="2492">
        <v>105.672</v>
      </c>
      <c r="C550" s="2493">
        <v>1.0518000000000001</v>
      </c>
      <c r="D550" s="2494">
        <v>52402</v>
      </c>
      <c r="E550" s="2500">
        <v>0</v>
      </c>
      <c r="F550" s="2500">
        <v>49173</v>
      </c>
      <c r="G550" s="2501">
        <v>72010515</v>
      </c>
    </row>
    <row r="551" spans="1:7" ht="21">
      <c r="A551" s="1080" t="s">
        <v>288</v>
      </c>
      <c r="B551" s="2492">
        <v>621.06700000000001</v>
      </c>
      <c r="C551" s="2493">
        <v>1.17</v>
      </c>
      <c r="D551" s="2494">
        <v>286126</v>
      </c>
      <c r="E551" s="2500">
        <v>128379</v>
      </c>
      <c r="F551" s="2500">
        <v>116878</v>
      </c>
      <c r="G551" s="2501">
        <v>80374331</v>
      </c>
    </row>
    <row r="552" spans="1:7" ht="21">
      <c r="A552" s="1080" t="s">
        <v>54</v>
      </c>
      <c r="B552" s="2492">
        <v>996.14400000000001</v>
      </c>
      <c r="C552" s="2493">
        <v>1.04</v>
      </c>
      <c r="D552" s="2494">
        <v>8290450</v>
      </c>
      <c r="E552" s="2500">
        <v>200347</v>
      </c>
      <c r="F552" s="2500">
        <v>0</v>
      </c>
      <c r="G552" s="2501">
        <v>4127867210</v>
      </c>
    </row>
    <row r="553" spans="1:7" ht="21">
      <c r="A553" s="1080" t="s">
        <v>2871</v>
      </c>
      <c r="B553" s="2492">
        <v>687.13199999999995</v>
      </c>
      <c r="C553" s="2493">
        <v>1.04</v>
      </c>
      <c r="D553" s="2494">
        <v>1495805</v>
      </c>
      <c r="E553" s="2500">
        <v>0</v>
      </c>
      <c r="F553" s="2500">
        <v>195337</v>
      </c>
      <c r="G553" s="2501">
        <v>1246165215</v>
      </c>
    </row>
    <row r="554" spans="1:7" ht="21">
      <c r="A554" s="1080" t="s">
        <v>1317</v>
      </c>
      <c r="B554" s="2492">
        <v>292.75799999999998</v>
      </c>
      <c r="C554" s="2493">
        <v>1.04</v>
      </c>
      <c r="D554" s="2494">
        <v>5477418</v>
      </c>
      <c r="E554" s="2500">
        <v>0</v>
      </c>
      <c r="F554" s="2500">
        <v>0</v>
      </c>
      <c r="G554" s="2501">
        <v>518779726</v>
      </c>
    </row>
    <row r="555" spans="1:7" ht="21">
      <c r="A555" s="1080" t="s">
        <v>1899</v>
      </c>
      <c r="B555" s="2492">
        <v>349.96</v>
      </c>
      <c r="C555" s="2493">
        <v>1.04</v>
      </c>
      <c r="D555" s="2494">
        <v>4129217</v>
      </c>
      <c r="E555" s="2500">
        <v>4870</v>
      </c>
      <c r="F555" s="2500">
        <v>80680</v>
      </c>
      <c r="G555" s="2501">
        <v>737028823</v>
      </c>
    </row>
    <row r="556" spans="1:7" ht="21">
      <c r="A556" s="1080" t="s">
        <v>2757</v>
      </c>
      <c r="B556" s="2492">
        <v>3109.2919999999999</v>
      </c>
      <c r="C556" s="2493">
        <v>1.04</v>
      </c>
      <c r="D556" s="2494">
        <v>2758354</v>
      </c>
      <c r="E556" s="2500">
        <v>1590063</v>
      </c>
      <c r="F556" s="2500">
        <v>656756</v>
      </c>
      <c r="G556" s="2501">
        <v>548297715</v>
      </c>
    </row>
    <row r="557" spans="1:7" ht="21">
      <c r="A557" s="1080" t="s">
        <v>1515</v>
      </c>
      <c r="B557" s="2492">
        <v>8600.4670000000006</v>
      </c>
      <c r="C557" s="2493">
        <v>1.04</v>
      </c>
      <c r="D557" s="2494">
        <v>12621587</v>
      </c>
      <c r="E557" s="2500">
        <v>6812309</v>
      </c>
      <c r="F557" s="2500">
        <v>3863876</v>
      </c>
      <c r="G557" s="2501">
        <v>2359884358</v>
      </c>
    </row>
    <row r="558" spans="1:7" ht="21">
      <c r="A558" s="1080" t="s">
        <v>56</v>
      </c>
      <c r="B558" s="2492">
        <v>3536.6039999999998</v>
      </c>
      <c r="C558" s="2493">
        <v>1.17</v>
      </c>
      <c r="D558" s="2494">
        <v>774863</v>
      </c>
      <c r="E558" s="2500">
        <v>517042</v>
      </c>
      <c r="F558" s="2500">
        <v>747729</v>
      </c>
      <c r="G558" s="2501">
        <v>595541109</v>
      </c>
    </row>
    <row r="559" spans="1:7" ht="21">
      <c r="A559" s="1080" t="s">
        <v>58</v>
      </c>
      <c r="B559" s="2492">
        <v>1337.288</v>
      </c>
      <c r="C559" s="2493">
        <v>1.17</v>
      </c>
      <c r="D559" s="2494">
        <v>1270364</v>
      </c>
      <c r="E559" s="2500">
        <v>767774</v>
      </c>
      <c r="F559" s="2500">
        <v>574845</v>
      </c>
      <c r="G559" s="2501">
        <v>322278736</v>
      </c>
    </row>
    <row r="560" spans="1:7" ht="21">
      <c r="A560" s="1080" t="s">
        <v>2923</v>
      </c>
      <c r="B560" s="2492">
        <v>3199.9</v>
      </c>
      <c r="C560" s="2493">
        <v>1.04</v>
      </c>
      <c r="D560" s="2494">
        <v>3621989</v>
      </c>
      <c r="E560" s="2500">
        <v>3062257</v>
      </c>
      <c r="F560" s="2500">
        <v>0</v>
      </c>
      <c r="G560" s="2501">
        <v>1071041718</v>
      </c>
    </row>
    <row r="561" spans="1:7" ht="21">
      <c r="A561" s="1080" t="s">
        <v>2924</v>
      </c>
      <c r="B561" s="2492">
        <v>3853.2429999999999</v>
      </c>
      <c r="C561" s="2493">
        <v>1.17</v>
      </c>
      <c r="D561" s="2494">
        <v>3876771</v>
      </c>
      <c r="E561" s="2500">
        <v>1883797</v>
      </c>
      <c r="F561" s="2500">
        <v>0</v>
      </c>
      <c r="G561" s="2501">
        <v>1340292265</v>
      </c>
    </row>
    <row r="562" spans="1:7" ht="21">
      <c r="A562" s="1080" t="s">
        <v>536</v>
      </c>
      <c r="B562" s="2492">
        <v>944.346</v>
      </c>
      <c r="C562" s="2493">
        <v>1.04</v>
      </c>
      <c r="D562" s="2494">
        <v>320228</v>
      </c>
      <c r="E562" s="2500">
        <v>200171</v>
      </c>
      <c r="F562" s="2500">
        <v>85227</v>
      </c>
      <c r="G562" s="2501">
        <v>151247410</v>
      </c>
    </row>
    <row r="563" spans="1:7" ht="21">
      <c r="A563" s="1080" t="s">
        <v>2925</v>
      </c>
      <c r="B563" s="2492">
        <v>7185.6170000000002</v>
      </c>
      <c r="C563" s="2493">
        <v>1.04</v>
      </c>
      <c r="D563" s="2494">
        <v>13202550</v>
      </c>
      <c r="E563" s="2500">
        <v>6685076</v>
      </c>
      <c r="F563" s="2500">
        <v>0</v>
      </c>
      <c r="G563" s="2501">
        <v>4980724764</v>
      </c>
    </row>
    <row r="564" spans="1:7" ht="21">
      <c r="A564" s="1080" t="s">
        <v>1732</v>
      </c>
      <c r="B564" s="2492">
        <v>1053.9110000000001</v>
      </c>
      <c r="C564" s="2493">
        <v>1.0149999999999999</v>
      </c>
      <c r="D564" s="2494">
        <v>1425862</v>
      </c>
      <c r="E564" s="2500">
        <v>873433</v>
      </c>
      <c r="F564" s="2500">
        <v>0</v>
      </c>
      <c r="G564" s="2501">
        <v>712076530</v>
      </c>
    </row>
    <row r="565" spans="1:7" ht="21">
      <c r="A565" s="1080" t="s">
        <v>3088</v>
      </c>
      <c r="B565" s="2492">
        <v>66.712999999999994</v>
      </c>
      <c r="C565" s="2493">
        <v>1.06</v>
      </c>
      <c r="D565" s="2494">
        <v>302414</v>
      </c>
      <c r="E565" s="2500">
        <v>7069</v>
      </c>
      <c r="F565" s="2500">
        <v>0</v>
      </c>
      <c r="G565" s="2501">
        <v>962286635</v>
      </c>
    </row>
    <row r="566" spans="1:7" ht="21">
      <c r="A566" s="1080" t="s">
        <v>2649</v>
      </c>
      <c r="B566" s="2492">
        <v>111.32599999999999</v>
      </c>
      <c r="C566" s="2493">
        <v>1.0266999999999999</v>
      </c>
      <c r="D566" s="2494">
        <v>0</v>
      </c>
      <c r="E566" s="2500">
        <v>0</v>
      </c>
      <c r="F566" s="2500">
        <v>0</v>
      </c>
      <c r="G566" s="2501">
        <v>821033375</v>
      </c>
    </row>
    <row r="567" spans="1:7" ht="21">
      <c r="A567" s="1080" t="s">
        <v>1734</v>
      </c>
      <c r="B567" s="2492">
        <v>547.04</v>
      </c>
      <c r="C567" s="2493">
        <v>1.04</v>
      </c>
      <c r="D567" s="2494">
        <v>146308</v>
      </c>
      <c r="E567" s="2500">
        <v>0</v>
      </c>
      <c r="F567" s="2500">
        <v>129875</v>
      </c>
      <c r="G567" s="2501">
        <v>232721008</v>
      </c>
    </row>
    <row r="568" spans="1:7" ht="21">
      <c r="A568" s="1080" t="s">
        <v>2913</v>
      </c>
      <c r="B568" s="2492">
        <v>160.667</v>
      </c>
      <c r="C568" s="2493">
        <v>1.04</v>
      </c>
      <c r="D568" s="2494">
        <v>363283</v>
      </c>
      <c r="E568" s="2500">
        <v>0</v>
      </c>
      <c r="F568" s="2500">
        <v>0</v>
      </c>
      <c r="G568" s="2501">
        <v>332232883</v>
      </c>
    </row>
    <row r="569" spans="1:7" ht="21">
      <c r="A569" s="1080" t="s">
        <v>2914</v>
      </c>
      <c r="B569" s="2492">
        <v>4717.9750000000004</v>
      </c>
      <c r="C569" s="2493">
        <v>1.04</v>
      </c>
      <c r="D569" s="2494">
        <v>3316472</v>
      </c>
      <c r="E569" s="2500">
        <v>2332882</v>
      </c>
      <c r="F569" s="2500">
        <v>0</v>
      </c>
      <c r="G569" s="2501">
        <v>2302575939</v>
      </c>
    </row>
    <row r="570" spans="1:7" ht="21">
      <c r="A570" s="1080" t="s">
        <v>529</v>
      </c>
      <c r="B570" s="2492">
        <v>928.57600000000002</v>
      </c>
      <c r="C570" s="2493">
        <v>1.04</v>
      </c>
      <c r="D570" s="2494">
        <v>1051196</v>
      </c>
      <c r="E570" s="2500">
        <v>261976</v>
      </c>
      <c r="F570" s="2500">
        <v>0</v>
      </c>
      <c r="G570" s="2501">
        <v>463107010</v>
      </c>
    </row>
    <row r="571" spans="1:7" ht="21">
      <c r="A571" s="1080" t="s">
        <v>2601</v>
      </c>
      <c r="B571" s="2492">
        <v>7.9669999999999996</v>
      </c>
      <c r="C571" s="2493">
        <v>0.85</v>
      </c>
      <c r="D571" s="2494">
        <v>0</v>
      </c>
      <c r="E571" s="2500">
        <v>0</v>
      </c>
      <c r="F571" s="2500">
        <v>0</v>
      </c>
      <c r="G571" s="2501">
        <v>54677290</v>
      </c>
    </row>
    <row r="572" spans="1:7" ht="21">
      <c r="A572" s="1080" t="s">
        <v>2602</v>
      </c>
      <c r="B572" s="2492">
        <v>612.28599999999994</v>
      </c>
      <c r="C572" s="2493">
        <v>0.95330000000000004</v>
      </c>
      <c r="D572" s="2494">
        <v>0</v>
      </c>
      <c r="E572" s="2500">
        <v>0</v>
      </c>
      <c r="F572" s="2500">
        <v>0</v>
      </c>
      <c r="G572" s="2501">
        <v>344293616</v>
      </c>
    </row>
    <row r="573" spans="1:7" ht="21">
      <c r="A573" s="1080" t="s">
        <v>1727</v>
      </c>
      <c r="B573" s="2492">
        <v>108.89100000000001</v>
      </c>
      <c r="C573" s="2493">
        <v>1.03</v>
      </c>
      <c r="D573" s="2494">
        <v>877341</v>
      </c>
      <c r="E573" s="2500">
        <v>110524</v>
      </c>
      <c r="F573" s="2500">
        <v>0</v>
      </c>
      <c r="G573" s="2501">
        <v>286182014</v>
      </c>
    </row>
    <row r="574" spans="1:7" ht="21">
      <c r="A574" s="1080" t="s">
        <v>1728</v>
      </c>
      <c r="B574" s="2492">
        <v>581.01700000000005</v>
      </c>
      <c r="C574" s="2493">
        <v>1.04</v>
      </c>
      <c r="D574" s="2494">
        <v>0</v>
      </c>
      <c r="E574" s="2500">
        <v>0</v>
      </c>
      <c r="F574" s="2500">
        <v>0</v>
      </c>
      <c r="G574" s="2501">
        <v>352985360</v>
      </c>
    </row>
    <row r="575" spans="1:7" ht="21">
      <c r="A575" s="1080" t="s">
        <v>2872</v>
      </c>
      <c r="B575" s="2492">
        <v>3052.98</v>
      </c>
      <c r="C575" s="2493">
        <v>1.17</v>
      </c>
      <c r="D575" s="2494">
        <v>2641203</v>
      </c>
      <c r="E575" s="2500">
        <v>1546365</v>
      </c>
      <c r="F575" s="2500">
        <v>2022438</v>
      </c>
      <c r="G575" s="2501">
        <v>739371256</v>
      </c>
    </row>
    <row r="576" spans="1:7" ht="21">
      <c r="A576" s="1080" t="s">
        <v>429</v>
      </c>
      <c r="B576" s="2492">
        <v>621.34</v>
      </c>
      <c r="C576" s="2493">
        <v>1.17</v>
      </c>
      <c r="D576" s="2494">
        <v>0</v>
      </c>
      <c r="E576" s="2500">
        <v>0</v>
      </c>
      <c r="F576" s="2500">
        <v>0</v>
      </c>
      <c r="G576" s="2501">
        <v>142887767</v>
      </c>
    </row>
    <row r="577" spans="1:7" ht="21">
      <c r="A577" s="1080" t="s">
        <v>430</v>
      </c>
      <c r="B577" s="2492">
        <v>390.59500000000003</v>
      </c>
      <c r="C577" s="2493">
        <v>1.04</v>
      </c>
      <c r="D577" s="2494">
        <v>0</v>
      </c>
      <c r="E577" s="2500">
        <v>0</v>
      </c>
      <c r="F577" s="2500">
        <v>0</v>
      </c>
      <c r="G577" s="2501">
        <v>231319233</v>
      </c>
    </row>
    <row r="578" spans="1:7" ht="21">
      <c r="A578" s="1080" t="s">
        <v>431</v>
      </c>
      <c r="B578" s="2492">
        <v>591.19399999999996</v>
      </c>
      <c r="C578" s="2493">
        <v>1.04</v>
      </c>
      <c r="D578" s="2494">
        <v>635401</v>
      </c>
      <c r="E578" s="2500">
        <v>523397</v>
      </c>
      <c r="F578" s="2500">
        <v>0</v>
      </c>
      <c r="G578" s="2501">
        <v>180481781</v>
      </c>
    </row>
    <row r="579" spans="1:7" ht="21">
      <c r="A579" s="1080" t="s">
        <v>2873</v>
      </c>
      <c r="B579" s="2492">
        <v>277.89699999999999</v>
      </c>
      <c r="C579" s="2493">
        <v>1.17</v>
      </c>
      <c r="D579" s="2494">
        <v>71746</v>
      </c>
      <c r="E579" s="2500">
        <v>853</v>
      </c>
      <c r="F579" s="2500">
        <v>61074</v>
      </c>
      <c r="G579" s="2501">
        <v>96499436</v>
      </c>
    </row>
    <row r="580" spans="1:7" ht="21">
      <c r="A580" s="1080" t="s">
        <v>270</v>
      </c>
      <c r="B580" s="2492">
        <v>349.78800000000001</v>
      </c>
      <c r="C580" s="2493">
        <v>1.17</v>
      </c>
      <c r="D580" s="2494">
        <v>0</v>
      </c>
      <c r="E580" s="2500">
        <v>0</v>
      </c>
      <c r="F580" s="2500">
        <v>0</v>
      </c>
      <c r="G580" s="2501">
        <v>53906559</v>
      </c>
    </row>
    <row r="581" spans="1:7" ht="21">
      <c r="A581" s="1080" t="s">
        <v>271</v>
      </c>
      <c r="B581" s="2492">
        <v>90.375</v>
      </c>
      <c r="C581" s="2493">
        <v>1.17</v>
      </c>
      <c r="D581" s="2494">
        <v>0</v>
      </c>
      <c r="E581" s="2500">
        <v>0</v>
      </c>
      <c r="F581" s="2500">
        <v>0</v>
      </c>
      <c r="G581" s="2501">
        <v>29341814</v>
      </c>
    </row>
    <row r="582" spans="1:7" ht="21">
      <c r="A582" s="1080" t="s">
        <v>272</v>
      </c>
      <c r="B582" s="2492">
        <v>844.03899999999999</v>
      </c>
      <c r="C582" s="2493">
        <v>1.04</v>
      </c>
      <c r="D582" s="2494">
        <v>1108413</v>
      </c>
      <c r="E582" s="2500">
        <v>476712</v>
      </c>
      <c r="F582" s="2500">
        <v>0</v>
      </c>
      <c r="G582" s="2501">
        <v>832579722</v>
      </c>
    </row>
    <row r="583" spans="1:7" ht="21">
      <c r="A583" s="1080" t="s">
        <v>2654</v>
      </c>
      <c r="B583" s="2492">
        <v>142.63399999999999</v>
      </c>
      <c r="C583" s="2493">
        <v>1.04</v>
      </c>
      <c r="D583" s="2494">
        <v>39606</v>
      </c>
      <c r="E583" s="2500">
        <v>0</v>
      </c>
      <c r="F583" s="2500">
        <v>35728</v>
      </c>
      <c r="G583" s="2501">
        <v>66211307</v>
      </c>
    </row>
    <row r="584" spans="1:7" ht="21">
      <c r="A584" s="1080" t="s">
        <v>2303</v>
      </c>
      <c r="B584" s="2492">
        <v>3253.8130000000001</v>
      </c>
      <c r="C584" s="2493">
        <v>1.17</v>
      </c>
      <c r="D584" s="2494">
        <v>1962741</v>
      </c>
      <c r="E584" s="2500">
        <v>1494945</v>
      </c>
      <c r="F584" s="2500">
        <v>620601</v>
      </c>
      <c r="G584" s="2501">
        <v>686754133</v>
      </c>
    </row>
    <row r="585" spans="1:7" ht="21">
      <c r="A585" s="1080" t="s">
        <v>2370</v>
      </c>
      <c r="B585" s="2492">
        <v>2681.1909999999998</v>
      </c>
      <c r="C585" s="2493">
        <v>1.04</v>
      </c>
      <c r="D585" s="2494">
        <v>737376</v>
      </c>
      <c r="E585" s="2500">
        <v>716600</v>
      </c>
      <c r="F585" s="2500">
        <v>0</v>
      </c>
      <c r="G585" s="2501">
        <v>983620815</v>
      </c>
    </row>
    <row r="586" spans="1:7" ht="21">
      <c r="A586" s="1080" t="s">
        <v>2874</v>
      </c>
      <c r="B586" s="2492">
        <v>1054.752</v>
      </c>
      <c r="C586" s="2493">
        <v>1.04</v>
      </c>
      <c r="D586" s="2494">
        <v>270529</v>
      </c>
      <c r="E586" s="2500">
        <v>162202</v>
      </c>
      <c r="F586" s="2500">
        <v>123393</v>
      </c>
      <c r="G586" s="2501">
        <v>198820013</v>
      </c>
    </row>
    <row r="587" spans="1:7" ht="21">
      <c r="A587" s="1080" t="s">
        <v>1754</v>
      </c>
      <c r="B587" s="2492">
        <v>150.69999999999999</v>
      </c>
      <c r="C587" s="2493">
        <v>1.17</v>
      </c>
      <c r="D587" s="2494">
        <v>0</v>
      </c>
      <c r="E587" s="2500">
        <v>0</v>
      </c>
      <c r="F587" s="2500">
        <v>0</v>
      </c>
      <c r="G587" s="2501">
        <v>51526828</v>
      </c>
    </row>
    <row r="588" spans="1:7" ht="21">
      <c r="A588" s="1080" t="s">
        <v>1755</v>
      </c>
      <c r="B588" s="2492">
        <v>1328.56</v>
      </c>
      <c r="C588" s="2493">
        <v>1.04</v>
      </c>
      <c r="D588" s="2494">
        <v>0</v>
      </c>
      <c r="E588" s="2500">
        <v>0</v>
      </c>
      <c r="F588" s="2500">
        <v>0</v>
      </c>
      <c r="G588" s="2501">
        <v>231070341</v>
      </c>
    </row>
    <row r="589" spans="1:7" ht="21">
      <c r="A589" s="1080" t="s">
        <v>1592</v>
      </c>
      <c r="B589" s="2492">
        <v>600.43899999999996</v>
      </c>
      <c r="C589" s="2493">
        <v>1.04</v>
      </c>
      <c r="D589" s="2494">
        <v>104083</v>
      </c>
      <c r="E589" s="2500">
        <v>0</v>
      </c>
      <c r="F589" s="2500">
        <v>133047</v>
      </c>
      <c r="G589" s="2501">
        <v>151484465</v>
      </c>
    </row>
    <row r="590" spans="1:7" ht="21">
      <c r="A590" s="1080" t="s">
        <v>2584</v>
      </c>
      <c r="B590" s="2492">
        <v>355.23899999999998</v>
      </c>
      <c r="C590" s="2493">
        <v>1.04</v>
      </c>
      <c r="D590" s="2494">
        <v>0</v>
      </c>
      <c r="E590" s="2500">
        <v>0</v>
      </c>
      <c r="F590" s="2500">
        <v>0</v>
      </c>
      <c r="G590" s="2501">
        <v>89697622</v>
      </c>
    </row>
    <row r="591" spans="1:7" ht="21">
      <c r="A591" s="1080" t="s">
        <v>2585</v>
      </c>
      <c r="B591" s="2492">
        <v>399.32499999999999</v>
      </c>
      <c r="C591" s="2493">
        <v>0.96099999999999997</v>
      </c>
      <c r="D591" s="2494">
        <v>599604</v>
      </c>
      <c r="E591" s="2500">
        <v>224758</v>
      </c>
      <c r="F591" s="2500">
        <v>0</v>
      </c>
      <c r="G591" s="2501">
        <v>437824035</v>
      </c>
    </row>
    <row r="592" spans="1:7" ht="21">
      <c r="A592" s="1080" t="s">
        <v>2586</v>
      </c>
      <c r="B592" s="2492">
        <v>3138.4960000000001</v>
      </c>
      <c r="C592" s="2493">
        <v>1.17</v>
      </c>
      <c r="D592" s="2494">
        <v>2942121</v>
      </c>
      <c r="E592" s="2500">
        <v>2299751</v>
      </c>
      <c r="F592" s="2500">
        <v>747553</v>
      </c>
      <c r="G592" s="2501">
        <v>1026452708</v>
      </c>
    </row>
    <row r="593" spans="1:7" ht="21">
      <c r="A593" s="1080" t="s">
        <v>2587</v>
      </c>
      <c r="B593" s="2492">
        <v>245.86500000000001</v>
      </c>
      <c r="C593" s="2493">
        <v>1.04</v>
      </c>
      <c r="D593" s="2494">
        <v>397784</v>
      </c>
      <c r="E593" s="2500">
        <v>0</v>
      </c>
      <c r="F593" s="2500">
        <v>0</v>
      </c>
      <c r="G593" s="2501">
        <v>100244414</v>
      </c>
    </row>
    <row r="594" spans="1:7" ht="21">
      <c r="A594" s="1080" t="s">
        <v>2755</v>
      </c>
      <c r="B594" s="2492">
        <v>1226.991</v>
      </c>
      <c r="C594" s="2493">
        <v>1.06</v>
      </c>
      <c r="D594" s="2494">
        <v>5856834</v>
      </c>
      <c r="E594" s="2500">
        <v>737855</v>
      </c>
      <c r="F594" s="2500">
        <v>235700</v>
      </c>
      <c r="G594" s="2501">
        <v>4650987300</v>
      </c>
    </row>
    <row r="595" spans="1:7" ht="21">
      <c r="A595" s="1080" t="s">
        <v>2588</v>
      </c>
      <c r="B595" s="2492">
        <v>973.27099999999996</v>
      </c>
      <c r="C595" s="2493">
        <v>1.02</v>
      </c>
      <c r="D595" s="2494">
        <v>2004958</v>
      </c>
      <c r="E595" s="2500">
        <v>502271</v>
      </c>
      <c r="F595" s="2500">
        <v>0</v>
      </c>
      <c r="G595" s="2501">
        <v>742522686</v>
      </c>
    </row>
    <row r="596" spans="1:7" ht="21">
      <c r="A596" s="1080" t="s">
        <v>2589</v>
      </c>
      <c r="B596" s="2492">
        <v>300.23399999999998</v>
      </c>
      <c r="C596" s="2493">
        <v>0.98</v>
      </c>
      <c r="D596" s="2494">
        <v>49899</v>
      </c>
      <c r="E596" s="2500">
        <v>0</v>
      </c>
      <c r="F596" s="2500">
        <v>0</v>
      </c>
      <c r="G596" s="2501">
        <v>460160651</v>
      </c>
    </row>
    <row r="597" spans="1:7" ht="21">
      <c r="A597" s="1080" t="s">
        <v>2590</v>
      </c>
      <c r="B597" s="2492">
        <v>556.19299999999998</v>
      </c>
      <c r="C597" s="2493">
        <v>1.04</v>
      </c>
      <c r="D597" s="2494">
        <v>0</v>
      </c>
      <c r="E597" s="2500">
        <v>0</v>
      </c>
      <c r="F597" s="2500">
        <v>0</v>
      </c>
      <c r="G597" s="2501">
        <v>478852535</v>
      </c>
    </row>
    <row r="598" spans="1:7" ht="21">
      <c r="A598" s="1080" t="s">
        <v>2591</v>
      </c>
      <c r="B598" s="2492">
        <v>99.638000000000005</v>
      </c>
      <c r="C598" s="2493">
        <v>1.04</v>
      </c>
      <c r="D598" s="2494">
        <v>0</v>
      </c>
      <c r="E598" s="2500">
        <v>0</v>
      </c>
      <c r="F598" s="2500">
        <v>0</v>
      </c>
      <c r="G598" s="2501">
        <v>58149862</v>
      </c>
    </row>
    <row r="599" spans="1:7" ht="21">
      <c r="A599" s="1080" t="s">
        <v>2592</v>
      </c>
      <c r="B599" s="2492">
        <v>138.37299999999999</v>
      </c>
      <c r="C599" s="2493">
        <v>1.04</v>
      </c>
      <c r="D599" s="2494">
        <v>0</v>
      </c>
      <c r="E599" s="2500">
        <v>0</v>
      </c>
      <c r="F599" s="2500">
        <v>0</v>
      </c>
      <c r="G599" s="2501">
        <v>60573627</v>
      </c>
    </row>
    <row r="600" spans="1:7" ht="21">
      <c r="A600" s="1080" t="s">
        <v>2981</v>
      </c>
      <c r="B600" s="2492">
        <v>71.2</v>
      </c>
      <c r="C600" s="2493">
        <v>0.96</v>
      </c>
      <c r="D600" s="2494">
        <v>256579</v>
      </c>
      <c r="E600" s="2500">
        <v>0</v>
      </c>
      <c r="F600" s="2500">
        <v>0</v>
      </c>
      <c r="G600" s="2501">
        <v>99522858</v>
      </c>
    </row>
    <row r="601" spans="1:7" ht="21">
      <c r="A601" s="1080" t="s">
        <v>2982</v>
      </c>
      <c r="B601" s="2492">
        <v>1832.5540000000001</v>
      </c>
      <c r="C601" s="2493">
        <v>1.04</v>
      </c>
      <c r="D601" s="2494">
        <v>2875039</v>
      </c>
      <c r="E601" s="2500">
        <v>1860042</v>
      </c>
      <c r="F601" s="2500">
        <v>0</v>
      </c>
      <c r="G601" s="2501">
        <v>779019325</v>
      </c>
    </row>
    <row r="602" spans="1:7" ht="21">
      <c r="A602" s="1080" t="s">
        <v>2983</v>
      </c>
      <c r="B602" s="2492">
        <v>918.00199999999995</v>
      </c>
      <c r="C602" s="2493">
        <v>1.04</v>
      </c>
      <c r="D602" s="2494">
        <v>300611</v>
      </c>
      <c r="E602" s="2500">
        <v>176032</v>
      </c>
      <c r="F602" s="2500">
        <v>0</v>
      </c>
      <c r="G602" s="2501">
        <v>332355218</v>
      </c>
    </row>
    <row r="603" spans="1:7" ht="21">
      <c r="A603" s="1080" t="s">
        <v>2984</v>
      </c>
      <c r="B603" s="2492">
        <v>176.315</v>
      </c>
      <c r="C603" s="2493">
        <v>1.17</v>
      </c>
      <c r="D603" s="2494">
        <v>0</v>
      </c>
      <c r="E603" s="2500">
        <v>0</v>
      </c>
      <c r="F603" s="2500">
        <v>0</v>
      </c>
      <c r="G603" s="2501">
        <v>175206763</v>
      </c>
    </row>
    <row r="604" spans="1:7" ht="21">
      <c r="A604" s="1080" t="s">
        <v>2985</v>
      </c>
      <c r="B604" s="2492">
        <v>884.93100000000004</v>
      </c>
      <c r="C604" s="2493">
        <v>1.0401</v>
      </c>
      <c r="D604" s="2494">
        <v>1095391</v>
      </c>
      <c r="E604" s="2500">
        <v>709667</v>
      </c>
      <c r="F604" s="2500">
        <v>0</v>
      </c>
      <c r="G604" s="2501">
        <v>395302977</v>
      </c>
    </row>
    <row r="605" spans="1:7" ht="21">
      <c r="A605" s="1080" t="s">
        <v>1561</v>
      </c>
      <c r="B605" s="2492">
        <v>652.9</v>
      </c>
      <c r="C605" s="2493">
        <v>1.04</v>
      </c>
      <c r="D605" s="2494">
        <v>1332240</v>
      </c>
      <c r="E605" s="2500">
        <v>0</v>
      </c>
      <c r="F605" s="2500">
        <v>0</v>
      </c>
      <c r="G605" s="2501">
        <v>433979650</v>
      </c>
    </row>
    <row r="606" spans="1:7" ht="21">
      <c r="A606" s="1080" t="s">
        <v>1562</v>
      </c>
      <c r="B606" s="2492">
        <v>492.69400000000002</v>
      </c>
      <c r="C606" s="2493">
        <v>1.04</v>
      </c>
      <c r="D606" s="2494">
        <v>666461</v>
      </c>
      <c r="E606" s="2500">
        <v>218907</v>
      </c>
      <c r="F606" s="2500">
        <v>0</v>
      </c>
      <c r="G606" s="2501">
        <v>301867015</v>
      </c>
    </row>
    <row r="607" spans="1:7" ht="21">
      <c r="A607" s="1080" t="s">
        <v>2783</v>
      </c>
      <c r="B607" s="2492">
        <v>168.012</v>
      </c>
      <c r="C607" s="2493">
        <v>1.04</v>
      </c>
      <c r="D607" s="2494">
        <v>150005</v>
      </c>
      <c r="E607" s="2500">
        <v>98438</v>
      </c>
      <c r="F607" s="2500">
        <v>0</v>
      </c>
      <c r="G607" s="2501">
        <v>83661985</v>
      </c>
    </row>
    <row r="608" spans="1:7" ht="21">
      <c r="A608" s="1080" t="s">
        <v>2421</v>
      </c>
      <c r="B608" s="2492">
        <v>691.09</v>
      </c>
      <c r="C608" s="2493">
        <v>0.87939999999999996</v>
      </c>
      <c r="D608" s="2494">
        <v>1365427</v>
      </c>
      <c r="E608" s="2500">
        <v>403891</v>
      </c>
      <c r="F608" s="2500">
        <v>0</v>
      </c>
      <c r="G608" s="2501">
        <v>731293930</v>
      </c>
    </row>
    <row r="609" spans="1:7" ht="21">
      <c r="A609" s="1080" t="s">
        <v>3029</v>
      </c>
      <c r="B609" s="2492">
        <v>3577.538</v>
      </c>
      <c r="C609" s="2493">
        <v>1.04</v>
      </c>
      <c r="D609" s="2494">
        <v>2274772</v>
      </c>
      <c r="E609" s="2500">
        <v>1282386</v>
      </c>
      <c r="F609" s="2500">
        <v>452518</v>
      </c>
      <c r="G609" s="2501">
        <v>754643857</v>
      </c>
    </row>
    <row r="610" spans="1:7" ht="21">
      <c r="A610" s="1080" t="s">
        <v>2762</v>
      </c>
      <c r="B610" s="2492">
        <v>4783.1660000000002</v>
      </c>
      <c r="C610" s="2493">
        <v>1.04</v>
      </c>
      <c r="D610" s="2494">
        <v>2402308</v>
      </c>
      <c r="E610" s="2500">
        <v>1434067</v>
      </c>
      <c r="F610" s="2500">
        <v>825616</v>
      </c>
      <c r="G610" s="2501">
        <v>1428595046</v>
      </c>
    </row>
    <row r="611" spans="1:7" ht="21">
      <c r="A611" s="1080" t="s">
        <v>2422</v>
      </c>
      <c r="B611" s="2492">
        <v>156.91800000000001</v>
      </c>
      <c r="C611" s="2493">
        <v>1.04</v>
      </c>
      <c r="D611" s="2494">
        <v>140960</v>
      </c>
      <c r="E611" s="2500">
        <v>37056</v>
      </c>
      <c r="F611" s="2500">
        <v>0</v>
      </c>
      <c r="G611" s="2501">
        <v>272782744</v>
      </c>
    </row>
    <row r="612" spans="1:7" ht="21">
      <c r="A612" s="1080" t="s">
        <v>2875</v>
      </c>
      <c r="B612" s="2492">
        <v>1218.355</v>
      </c>
      <c r="C612" s="2493">
        <v>1.04</v>
      </c>
      <c r="D612" s="2494">
        <v>912685</v>
      </c>
      <c r="E612" s="2500">
        <v>462925</v>
      </c>
      <c r="F612" s="2500">
        <v>54180</v>
      </c>
      <c r="G612" s="2501">
        <v>286377862</v>
      </c>
    </row>
    <row r="613" spans="1:7" ht="21">
      <c r="A613" s="1080" t="s">
        <v>1277</v>
      </c>
      <c r="B613" s="2492">
        <v>454.48099999999999</v>
      </c>
      <c r="C613" s="2493">
        <v>1.17</v>
      </c>
      <c r="D613" s="2494">
        <v>356941</v>
      </c>
      <c r="E613" s="2500">
        <v>1688</v>
      </c>
      <c r="F613" s="2500">
        <v>159897</v>
      </c>
      <c r="G613" s="2501">
        <v>254748904</v>
      </c>
    </row>
    <row r="614" spans="1:7" ht="21">
      <c r="A614" s="1080" t="s">
        <v>2423</v>
      </c>
      <c r="B614" s="2492">
        <v>1937.731</v>
      </c>
      <c r="C614" s="2493">
        <v>1.06</v>
      </c>
      <c r="D614" s="2494">
        <v>895859</v>
      </c>
      <c r="E614" s="2500">
        <v>817310</v>
      </c>
      <c r="F614" s="2500">
        <v>0</v>
      </c>
      <c r="G614" s="2501">
        <v>966639704</v>
      </c>
    </row>
    <row r="615" spans="1:7" ht="21">
      <c r="A615" s="1080" t="s">
        <v>2424</v>
      </c>
      <c r="B615" s="2492">
        <v>1743.5360000000001</v>
      </c>
      <c r="C615" s="2493">
        <v>1.04</v>
      </c>
      <c r="D615" s="2494">
        <v>489393</v>
      </c>
      <c r="E615" s="2500">
        <v>462299</v>
      </c>
      <c r="F615" s="2500">
        <v>0</v>
      </c>
      <c r="G615" s="2501">
        <v>397080767</v>
      </c>
    </row>
    <row r="616" spans="1:7" ht="21">
      <c r="A616" s="1080" t="s">
        <v>1093</v>
      </c>
      <c r="B616" s="2492">
        <v>309.95800000000003</v>
      </c>
      <c r="C616" s="2493">
        <v>1.04</v>
      </c>
      <c r="D616" s="2494">
        <v>59255</v>
      </c>
      <c r="E616" s="2500">
        <v>19072</v>
      </c>
      <c r="F616" s="2500">
        <v>23734</v>
      </c>
      <c r="G616" s="2501">
        <v>37094674</v>
      </c>
    </row>
    <row r="617" spans="1:7" ht="21">
      <c r="A617" s="1080" t="s">
        <v>1513</v>
      </c>
      <c r="B617" s="2492">
        <v>1657.009</v>
      </c>
      <c r="C617" s="2493">
        <v>0.81669999999999998</v>
      </c>
      <c r="D617" s="2494">
        <v>5288647</v>
      </c>
      <c r="E617" s="2500">
        <v>1439747</v>
      </c>
      <c r="F617" s="2500">
        <v>0</v>
      </c>
      <c r="G617" s="2501">
        <v>1812251290</v>
      </c>
    </row>
    <row r="618" spans="1:7" ht="21">
      <c r="A618" s="1080" t="s">
        <v>1902</v>
      </c>
      <c r="B618" s="2492">
        <v>1785.808</v>
      </c>
      <c r="C618" s="2493">
        <v>1.04</v>
      </c>
      <c r="D618" s="2494">
        <v>309197</v>
      </c>
      <c r="E618" s="2500">
        <v>305003</v>
      </c>
      <c r="F618" s="2500">
        <v>0</v>
      </c>
      <c r="G618" s="2501">
        <v>435293123</v>
      </c>
    </row>
    <row r="619" spans="1:7" ht="21">
      <c r="A619" s="1080" t="s">
        <v>1903</v>
      </c>
      <c r="B619" s="2492">
        <v>382.31799999999998</v>
      </c>
      <c r="C619" s="2493">
        <v>1.1299999999999999</v>
      </c>
      <c r="D619" s="2494">
        <v>185406</v>
      </c>
      <c r="E619" s="2500">
        <v>116701</v>
      </c>
      <c r="F619" s="2500">
        <v>0</v>
      </c>
      <c r="G619" s="2501">
        <v>354841259</v>
      </c>
    </row>
    <row r="620" spans="1:7" ht="21">
      <c r="A620" s="1080" t="s">
        <v>2926</v>
      </c>
      <c r="B620" s="2492">
        <v>165.327</v>
      </c>
      <c r="C620" s="2493">
        <v>1.04</v>
      </c>
      <c r="D620" s="2494">
        <v>281228</v>
      </c>
      <c r="E620" s="2500">
        <v>0</v>
      </c>
      <c r="F620" s="2500">
        <v>0</v>
      </c>
      <c r="G620" s="2501">
        <v>296424436</v>
      </c>
    </row>
    <row r="621" spans="1:7" ht="21">
      <c r="A621" s="1080" t="s">
        <v>2927</v>
      </c>
      <c r="B621" s="2492">
        <v>133.749</v>
      </c>
      <c r="C621" s="2493">
        <v>1.04</v>
      </c>
      <c r="D621" s="2494">
        <v>481427</v>
      </c>
      <c r="E621" s="2500">
        <v>0</v>
      </c>
      <c r="F621" s="2500">
        <v>0</v>
      </c>
      <c r="G621" s="2501">
        <v>465460271</v>
      </c>
    </row>
    <row r="622" spans="1:7" ht="21">
      <c r="A622" s="1080" t="s">
        <v>3056</v>
      </c>
      <c r="B622" s="2492">
        <v>100.084</v>
      </c>
      <c r="C622" s="2493">
        <v>1.04</v>
      </c>
      <c r="D622" s="2494">
        <v>634709</v>
      </c>
      <c r="E622" s="2500">
        <v>101585</v>
      </c>
      <c r="F622" s="2500">
        <v>0</v>
      </c>
      <c r="G622" s="2501">
        <v>161527660</v>
      </c>
    </row>
    <row r="623" spans="1:7" ht="21">
      <c r="A623" s="1080" t="s">
        <v>947</v>
      </c>
      <c r="B623" s="2492">
        <v>1051.9079999999999</v>
      </c>
      <c r="C623" s="2493">
        <v>1.04</v>
      </c>
      <c r="D623" s="2494">
        <v>1105606</v>
      </c>
      <c r="E623" s="2500">
        <v>777130</v>
      </c>
      <c r="F623" s="2500">
        <v>0</v>
      </c>
      <c r="G623" s="2501">
        <v>675119241</v>
      </c>
    </row>
    <row r="624" spans="1:7" ht="21">
      <c r="A624" s="1080" t="s">
        <v>95</v>
      </c>
      <c r="B624" s="2492">
        <v>658.03899999999999</v>
      </c>
      <c r="C624" s="2493">
        <v>1.0233000000000001</v>
      </c>
      <c r="D624" s="2494">
        <v>2893595</v>
      </c>
      <c r="E624" s="2500">
        <v>664810</v>
      </c>
      <c r="F624" s="2500">
        <v>0</v>
      </c>
      <c r="G624" s="2501">
        <v>1993862476</v>
      </c>
    </row>
    <row r="625" spans="1:7" ht="21">
      <c r="A625" s="1080" t="s">
        <v>96</v>
      </c>
      <c r="B625" s="2492">
        <v>1683.068</v>
      </c>
      <c r="C625" s="2493">
        <v>1.04</v>
      </c>
      <c r="D625" s="2494">
        <v>3940569</v>
      </c>
      <c r="E625" s="2500">
        <v>758590</v>
      </c>
      <c r="F625" s="2500">
        <v>0</v>
      </c>
      <c r="G625" s="2501">
        <v>3033960368</v>
      </c>
    </row>
    <row r="626" spans="1:7" ht="21">
      <c r="A626" s="1080" t="s">
        <v>2607</v>
      </c>
      <c r="B626" s="2492">
        <v>26638.062999999998</v>
      </c>
      <c r="C626" s="2493">
        <v>1.04</v>
      </c>
      <c r="D626" s="2494">
        <v>18636474</v>
      </c>
      <c r="E626" s="2500">
        <v>18359794</v>
      </c>
      <c r="F626" s="2500">
        <v>0</v>
      </c>
      <c r="G626" s="2501">
        <v>9309217575</v>
      </c>
    </row>
    <row r="627" spans="1:7" ht="21">
      <c r="A627" s="1080" t="s">
        <v>2764</v>
      </c>
      <c r="B627" s="2492">
        <v>661.31700000000001</v>
      </c>
      <c r="C627" s="2493">
        <v>1.17</v>
      </c>
      <c r="D627" s="2494">
        <v>0</v>
      </c>
      <c r="E627" s="2500">
        <v>0</v>
      </c>
      <c r="F627" s="2500">
        <v>0</v>
      </c>
      <c r="G627" s="2501">
        <v>215119806</v>
      </c>
    </row>
    <row r="628" spans="1:7" ht="21">
      <c r="A628" s="1080" t="s">
        <v>2765</v>
      </c>
      <c r="B628" s="2492">
        <v>1178.143</v>
      </c>
      <c r="C628" s="2493">
        <v>1.17</v>
      </c>
      <c r="D628" s="2494">
        <v>417553</v>
      </c>
      <c r="E628" s="2500">
        <v>381632</v>
      </c>
      <c r="F628" s="2500">
        <v>0</v>
      </c>
      <c r="G628" s="2501">
        <v>364737391</v>
      </c>
    </row>
    <row r="629" spans="1:7" ht="21">
      <c r="A629" s="1080" t="s">
        <v>2414</v>
      </c>
      <c r="B629" s="2492">
        <v>5042.7780000000002</v>
      </c>
      <c r="C629" s="2493">
        <v>1.04</v>
      </c>
      <c r="D629" s="2494">
        <v>10322855</v>
      </c>
      <c r="E629" s="2500">
        <v>5118420</v>
      </c>
      <c r="F629" s="2500">
        <v>445840</v>
      </c>
      <c r="G629" s="2501">
        <v>1850077755</v>
      </c>
    </row>
    <row r="630" spans="1:7" ht="21">
      <c r="A630" s="1080" t="s">
        <v>1603</v>
      </c>
      <c r="B630" s="2492">
        <v>8389.8160000000007</v>
      </c>
      <c r="C630" s="2493">
        <v>1.0401</v>
      </c>
      <c r="D630" s="2494">
        <v>14218511</v>
      </c>
      <c r="E630" s="2500">
        <v>8028912</v>
      </c>
      <c r="F630" s="2500">
        <v>2485317</v>
      </c>
      <c r="G630" s="2501">
        <v>2768590407</v>
      </c>
    </row>
    <row r="631" spans="1:7" ht="21">
      <c r="A631" s="1080" t="s">
        <v>2766</v>
      </c>
      <c r="B631" s="2492">
        <v>999.74400000000003</v>
      </c>
      <c r="C631" s="2493">
        <v>1.06</v>
      </c>
      <c r="D631" s="2494">
        <v>720156</v>
      </c>
      <c r="E631" s="2500">
        <v>497021</v>
      </c>
      <c r="F631" s="2500">
        <v>0</v>
      </c>
      <c r="G631" s="2501">
        <v>283984506</v>
      </c>
    </row>
    <row r="632" spans="1:7" ht="21">
      <c r="A632" s="1080" t="s">
        <v>538</v>
      </c>
      <c r="B632" s="2492">
        <v>1531.5170000000001</v>
      </c>
      <c r="C632" s="2493">
        <v>1.17</v>
      </c>
      <c r="D632" s="2494">
        <v>1073800</v>
      </c>
      <c r="E632" s="2500">
        <v>712338</v>
      </c>
      <c r="F632" s="2500">
        <v>271371</v>
      </c>
      <c r="G632" s="2501">
        <v>279796054</v>
      </c>
    </row>
    <row r="633" spans="1:7" ht="21">
      <c r="A633" s="1080" t="s">
        <v>775</v>
      </c>
      <c r="B633" s="2492">
        <v>915.67</v>
      </c>
      <c r="C633" s="2493">
        <v>1.17</v>
      </c>
      <c r="D633" s="2494">
        <v>693734</v>
      </c>
      <c r="E633" s="2500">
        <v>485238</v>
      </c>
      <c r="F633" s="2500">
        <v>154190</v>
      </c>
      <c r="G633" s="2501">
        <v>223936453</v>
      </c>
    </row>
    <row r="634" spans="1:7" ht="21">
      <c r="A634" s="1080" t="s">
        <v>2679</v>
      </c>
      <c r="B634" s="2492">
        <v>296.83999999999997</v>
      </c>
      <c r="C634" s="2493">
        <v>1.17</v>
      </c>
      <c r="D634" s="2494">
        <v>918302</v>
      </c>
      <c r="E634" s="2500">
        <v>0</v>
      </c>
      <c r="F634" s="2500">
        <v>0</v>
      </c>
      <c r="G634" s="2501">
        <v>246831522</v>
      </c>
    </row>
    <row r="635" spans="1:7" ht="21">
      <c r="A635" s="1080" t="s">
        <v>2680</v>
      </c>
      <c r="B635" s="2492">
        <v>544.39200000000005</v>
      </c>
      <c r="C635" s="2493">
        <v>1.17</v>
      </c>
      <c r="D635" s="2494">
        <v>0</v>
      </c>
      <c r="E635" s="2500">
        <v>0</v>
      </c>
      <c r="F635" s="2500">
        <v>0</v>
      </c>
      <c r="G635" s="2501">
        <v>131868902</v>
      </c>
    </row>
    <row r="636" spans="1:7" ht="21">
      <c r="A636" s="1080" t="s">
        <v>2681</v>
      </c>
      <c r="B636" s="2492">
        <v>310.44799999999998</v>
      </c>
      <c r="C636" s="2493">
        <v>1.17</v>
      </c>
      <c r="D636" s="2494">
        <v>194642</v>
      </c>
      <c r="E636" s="2500">
        <v>30574</v>
      </c>
      <c r="F636" s="2500">
        <v>0</v>
      </c>
      <c r="G636" s="2501">
        <v>59712516</v>
      </c>
    </row>
    <row r="637" spans="1:7" ht="21">
      <c r="A637" s="1080" t="s">
        <v>1651</v>
      </c>
      <c r="B637" s="2492">
        <v>100.869</v>
      </c>
      <c r="C637" s="2493">
        <v>1.17</v>
      </c>
      <c r="D637" s="2494">
        <v>0</v>
      </c>
      <c r="E637" s="2500">
        <v>0</v>
      </c>
      <c r="F637" s="2500">
        <v>0</v>
      </c>
      <c r="G637" s="2501">
        <v>52425928</v>
      </c>
    </row>
    <row r="638" spans="1:7" ht="21">
      <c r="A638" s="1080" t="s">
        <v>2389</v>
      </c>
      <c r="B638" s="2492">
        <v>2149.3470000000002</v>
      </c>
      <c r="C638" s="2493">
        <v>1.04</v>
      </c>
      <c r="D638" s="2494">
        <v>1537214</v>
      </c>
      <c r="E638" s="2500">
        <v>203880</v>
      </c>
      <c r="F638" s="2500">
        <v>709718</v>
      </c>
      <c r="G638" s="2501">
        <v>588632761</v>
      </c>
    </row>
    <row r="639" spans="1:7" ht="21">
      <c r="A639" s="1080" t="s">
        <v>1652</v>
      </c>
      <c r="B639" s="2492">
        <v>328.08199999999999</v>
      </c>
      <c r="C639" s="2493">
        <v>1.04</v>
      </c>
      <c r="D639" s="2494">
        <v>1031518</v>
      </c>
      <c r="E639" s="2500">
        <v>333003</v>
      </c>
      <c r="F639" s="2500">
        <v>100000</v>
      </c>
      <c r="G639" s="2501">
        <v>462385274</v>
      </c>
    </row>
    <row r="640" spans="1:7" ht="21">
      <c r="A640" s="1080" t="s">
        <v>418</v>
      </c>
      <c r="B640" s="2492">
        <v>1067.269</v>
      </c>
      <c r="C640" s="2493">
        <v>1.04</v>
      </c>
      <c r="D640" s="2494">
        <v>396635</v>
      </c>
      <c r="E640" s="2500">
        <v>365022</v>
      </c>
      <c r="F640" s="2500">
        <v>0</v>
      </c>
      <c r="G640" s="2501">
        <v>585785664</v>
      </c>
    </row>
    <row r="641" spans="1:7" ht="21">
      <c r="A641" s="1080" t="s">
        <v>419</v>
      </c>
      <c r="B641" s="2492">
        <v>907.55100000000004</v>
      </c>
      <c r="C641" s="2493">
        <v>0.97330000000000005</v>
      </c>
      <c r="D641" s="2494">
        <v>5813373</v>
      </c>
      <c r="E641" s="2500">
        <v>242832</v>
      </c>
      <c r="F641" s="2500">
        <v>0</v>
      </c>
      <c r="G641" s="2501">
        <v>2060216028</v>
      </c>
    </row>
    <row r="642" spans="1:7" ht="21">
      <c r="A642" s="1080" t="s">
        <v>420</v>
      </c>
      <c r="B642" s="2492">
        <v>204.50399999999999</v>
      </c>
      <c r="C642" s="2493">
        <v>0.9</v>
      </c>
      <c r="D642" s="2494">
        <v>890691</v>
      </c>
      <c r="E642" s="2500">
        <v>58431</v>
      </c>
      <c r="F642" s="2500">
        <v>0</v>
      </c>
      <c r="G642" s="2501">
        <v>2023295304</v>
      </c>
    </row>
    <row r="643" spans="1:7" ht="21">
      <c r="A643" s="1080" t="s">
        <v>1856</v>
      </c>
      <c r="B643" s="2492">
        <v>616.48199999999997</v>
      </c>
      <c r="C643" s="2493">
        <v>1.1375</v>
      </c>
      <c r="D643" s="2494">
        <v>0</v>
      </c>
      <c r="E643" s="2500">
        <v>0</v>
      </c>
      <c r="F643" s="2500">
        <v>0</v>
      </c>
      <c r="G643" s="2501">
        <v>314905995</v>
      </c>
    </row>
    <row r="644" spans="1:7" ht="21">
      <c r="A644" s="1080" t="s">
        <v>1857</v>
      </c>
      <c r="B644" s="2492">
        <v>3441.3960000000002</v>
      </c>
      <c r="C644" s="2493">
        <v>1.1473</v>
      </c>
      <c r="D644" s="2494">
        <v>2150965</v>
      </c>
      <c r="E644" s="2500">
        <v>1588426</v>
      </c>
      <c r="F644" s="2500">
        <v>0</v>
      </c>
      <c r="G644" s="2501">
        <v>1066310008</v>
      </c>
    </row>
    <row r="645" spans="1:7" ht="21">
      <c r="A645" s="1080" t="s">
        <v>201</v>
      </c>
      <c r="B645" s="2492">
        <v>770.45799999999997</v>
      </c>
      <c r="C645" s="2493">
        <v>1.0049999999999999</v>
      </c>
      <c r="D645" s="2494">
        <v>2656759</v>
      </c>
      <c r="E645" s="2500">
        <v>604629</v>
      </c>
      <c r="F645" s="2500">
        <v>0</v>
      </c>
      <c r="G645" s="2501">
        <v>1306753417</v>
      </c>
    </row>
    <row r="646" spans="1:7" ht="21">
      <c r="A646" s="1080" t="s">
        <v>2438</v>
      </c>
      <c r="B646" s="2492">
        <v>167.9</v>
      </c>
      <c r="C646" s="2493">
        <v>1.02</v>
      </c>
      <c r="D646" s="2494">
        <v>327321</v>
      </c>
      <c r="E646" s="2500">
        <v>87621</v>
      </c>
      <c r="F646" s="2500">
        <v>0</v>
      </c>
      <c r="G646" s="2501">
        <v>249093656</v>
      </c>
    </row>
    <row r="647" spans="1:7" ht="21">
      <c r="A647" s="1080" t="s">
        <v>2439</v>
      </c>
      <c r="B647" s="2492">
        <v>1349.298</v>
      </c>
      <c r="C647" s="2493">
        <v>1</v>
      </c>
      <c r="D647" s="2494">
        <v>1268258</v>
      </c>
      <c r="E647" s="2500">
        <v>338317</v>
      </c>
      <c r="F647" s="2500">
        <v>0</v>
      </c>
      <c r="G647" s="2501">
        <v>1503824542</v>
      </c>
    </row>
    <row r="648" spans="1:7" ht="21">
      <c r="A648" s="1080" t="s">
        <v>2440</v>
      </c>
      <c r="B648" s="2492">
        <v>905.81</v>
      </c>
      <c r="C648" s="2493">
        <v>0.98839999999999995</v>
      </c>
      <c r="D648" s="2494">
        <v>0</v>
      </c>
      <c r="E648" s="2500">
        <v>0</v>
      </c>
      <c r="F648" s="2500">
        <v>0</v>
      </c>
      <c r="G648" s="2501">
        <v>535868011</v>
      </c>
    </row>
    <row r="649" spans="1:7" ht="21">
      <c r="A649" s="1080" t="s">
        <v>2057</v>
      </c>
      <c r="B649" s="2492">
        <v>13995.169</v>
      </c>
      <c r="C649" s="2493">
        <v>1.0401</v>
      </c>
      <c r="D649" s="2494">
        <v>2461527</v>
      </c>
      <c r="E649" s="2500">
        <v>549998</v>
      </c>
      <c r="F649" s="2500">
        <v>1921013</v>
      </c>
      <c r="G649" s="2501">
        <v>2001590193</v>
      </c>
    </row>
    <row r="650" spans="1:7" ht="21">
      <c r="A650" s="1080" t="s">
        <v>992</v>
      </c>
      <c r="B650" s="2492">
        <v>1178.654</v>
      </c>
      <c r="C650" s="2493">
        <v>1.04</v>
      </c>
      <c r="D650" s="2494">
        <v>1514025</v>
      </c>
      <c r="E650" s="2500">
        <v>814679</v>
      </c>
      <c r="F650" s="2500">
        <v>657732</v>
      </c>
      <c r="G650" s="2501">
        <v>432621689</v>
      </c>
    </row>
    <row r="651" spans="1:7" ht="21">
      <c r="A651" s="1080" t="s">
        <v>1583</v>
      </c>
      <c r="B651" s="2492">
        <v>186.55699999999999</v>
      </c>
      <c r="C651" s="2493">
        <v>1.04</v>
      </c>
      <c r="D651" s="2494">
        <v>0</v>
      </c>
      <c r="E651" s="2500">
        <v>0</v>
      </c>
      <c r="F651" s="2500">
        <v>0</v>
      </c>
      <c r="G651" s="2501">
        <v>52089528</v>
      </c>
    </row>
    <row r="652" spans="1:7" ht="21">
      <c r="A652" s="1080" t="s">
        <v>2265</v>
      </c>
      <c r="B652" s="2492">
        <v>114.193</v>
      </c>
      <c r="C652" s="2493">
        <v>1.17</v>
      </c>
      <c r="D652" s="2494">
        <v>14354</v>
      </c>
      <c r="E652" s="2500">
        <v>0</v>
      </c>
      <c r="F652" s="2500">
        <v>14272</v>
      </c>
      <c r="G652" s="2501">
        <v>21320081</v>
      </c>
    </row>
    <row r="653" spans="1:7" ht="21">
      <c r="A653" s="1080" t="s">
        <v>1094</v>
      </c>
      <c r="B653" s="2492">
        <v>564.197</v>
      </c>
      <c r="C653" s="2493">
        <v>1.04</v>
      </c>
      <c r="D653" s="2494">
        <v>313019</v>
      </c>
      <c r="E653" s="2500">
        <v>127892</v>
      </c>
      <c r="F653" s="2500">
        <v>182554</v>
      </c>
      <c r="G653" s="2501">
        <v>146616289</v>
      </c>
    </row>
    <row r="654" spans="1:7" ht="21">
      <c r="A654" s="1080" t="s">
        <v>1012</v>
      </c>
      <c r="B654" s="2492">
        <v>7289.3190000000004</v>
      </c>
      <c r="C654" s="2493">
        <v>1.04</v>
      </c>
      <c r="D654" s="2494">
        <v>11747011</v>
      </c>
      <c r="E654" s="2500">
        <v>7398659</v>
      </c>
      <c r="F654" s="2500">
        <v>0</v>
      </c>
      <c r="G654" s="2501">
        <v>3894965220</v>
      </c>
    </row>
    <row r="655" spans="1:7" ht="21">
      <c r="A655" s="1080" t="s">
        <v>800</v>
      </c>
      <c r="B655" s="2492">
        <v>2702.52</v>
      </c>
      <c r="C655" s="2493">
        <v>1.17</v>
      </c>
      <c r="D655" s="2494">
        <v>1977903</v>
      </c>
      <c r="E655" s="2500">
        <v>795575</v>
      </c>
      <c r="F655" s="2500">
        <v>817728</v>
      </c>
      <c r="G655" s="2501">
        <v>660578512</v>
      </c>
    </row>
    <row r="656" spans="1:7" ht="21">
      <c r="A656" s="1080" t="s">
        <v>1095</v>
      </c>
      <c r="B656" s="2492">
        <v>1579.798</v>
      </c>
      <c r="C656" s="2493">
        <v>1.17</v>
      </c>
      <c r="D656" s="2494">
        <v>2023202</v>
      </c>
      <c r="E656" s="2500">
        <v>328352</v>
      </c>
      <c r="F656" s="2500">
        <v>488332</v>
      </c>
      <c r="G656" s="2501">
        <v>404534442</v>
      </c>
    </row>
    <row r="657" spans="1:7" ht="21">
      <c r="A657" s="1080" t="s">
        <v>2096</v>
      </c>
      <c r="B657" s="2492">
        <v>469.14499999999998</v>
      </c>
      <c r="C657" s="2493">
        <v>1.04</v>
      </c>
      <c r="D657" s="2494">
        <v>206500</v>
      </c>
      <c r="E657" s="2500">
        <v>81147</v>
      </c>
      <c r="F657" s="2500">
        <v>112768</v>
      </c>
      <c r="G657" s="2501">
        <v>104576948</v>
      </c>
    </row>
    <row r="658" spans="1:7" ht="21">
      <c r="A658" s="1080" t="s">
        <v>1735</v>
      </c>
      <c r="B658" s="2492">
        <v>1277.508</v>
      </c>
      <c r="C658" s="2493">
        <v>1.04</v>
      </c>
      <c r="D658" s="2494">
        <v>1028049</v>
      </c>
      <c r="E658" s="2500">
        <v>280811</v>
      </c>
      <c r="F658" s="2500">
        <v>155742</v>
      </c>
      <c r="G658" s="2501">
        <v>289154426</v>
      </c>
    </row>
    <row r="659" spans="1:7" ht="21">
      <c r="A659" s="1080" t="s">
        <v>134</v>
      </c>
      <c r="B659" s="2492">
        <v>637.16200000000003</v>
      </c>
      <c r="C659" s="2493">
        <v>1.04</v>
      </c>
      <c r="D659" s="2494">
        <v>464608</v>
      </c>
      <c r="E659" s="2500">
        <v>355283</v>
      </c>
      <c r="F659" s="2500">
        <v>122178</v>
      </c>
      <c r="G659" s="2501">
        <v>146512364</v>
      </c>
    </row>
    <row r="660" spans="1:7" ht="21">
      <c r="A660" s="1080" t="s">
        <v>2384</v>
      </c>
      <c r="B660" s="2492">
        <v>564.12400000000002</v>
      </c>
      <c r="C660" s="2493">
        <v>1.04</v>
      </c>
      <c r="D660" s="2494">
        <v>1067479</v>
      </c>
      <c r="E660" s="2500">
        <v>364955</v>
      </c>
      <c r="F660" s="2500">
        <v>390544</v>
      </c>
      <c r="G660" s="2501">
        <v>560265447</v>
      </c>
    </row>
    <row r="661" spans="1:7" ht="21">
      <c r="A661" s="1080" t="s">
        <v>373</v>
      </c>
      <c r="B661" s="2492">
        <v>13483.804</v>
      </c>
      <c r="C661" s="2493">
        <v>1.04</v>
      </c>
      <c r="D661" s="2494">
        <v>13644467</v>
      </c>
      <c r="E661" s="2500">
        <v>9636392</v>
      </c>
      <c r="F661" s="2500">
        <v>2638090</v>
      </c>
      <c r="G661" s="2501">
        <v>3920874339</v>
      </c>
    </row>
    <row r="662" spans="1:7" ht="21">
      <c r="A662" s="1080" t="s">
        <v>376</v>
      </c>
      <c r="B662" s="2492">
        <v>1262.297</v>
      </c>
      <c r="C662" s="2493">
        <v>1.04</v>
      </c>
      <c r="D662" s="2494">
        <v>838324</v>
      </c>
      <c r="E662" s="2500">
        <v>322323</v>
      </c>
      <c r="F662" s="2500">
        <v>367813</v>
      </c>
      <c r="G662" s="2501">
        <v>333232859</v>
      </c>
    </row>
    <row r="663" spans="1:7" ht="21">
      <c r="A663" s="1080" t="s">
        <v>2819</v>
      </c>
      <c r="B663" s="2492">
        <v>719.81700000000001</v>
      </c>
      <c r="C663" s="2493">
        <v>1.17</v>
      </c>
      <c r="D663" s="2494">
        <v>0</v>
      </c>
      <c r="E663" s="2500">
        <v>0</v>
      </c>
      <c r="F663" s="2500">
        <v>0</v>
      </c>
      <c r="G663" s="2501">
        <v>111700238</v>
      </c>
    </row>
    <row r="664" spans="1:7" ht="21">
      <c r="A664" s="1080" t="s">
        <v>2820</v>
      </c>
      <c r="B664" s="2492">
        <v>747.84</v>
      </c>
      <c r="C664" s="2493">
        <v>1.17</v>
      </c>
      <c r="D664" s="2494">
        <v>244839</v>
      </c>
      <c r="E664" s="2500">
        <v>135628</v>
      </c>
      <c r="F664" s="2500">
        <v>115191</v>
      </c>
      <c r="G664" s="2501">
        <v>147662112</v>
      </c>
    </row>
    <row r="665" spans="1:7" ht="21">
      <c r="A665" s="1080" t="s">
        <v>85</v>
      </c>
      <c r="B665" s="2492">
        <v>2358.2719999999999</v>
      </c>
      <c r="C665" s="2493">
        <v>1.04</v>
      </c>
      <c r="D665" s="2494">
        <v>3182419</v>
      </c>
      <c r="E665" s="2500">
        <v>1217967</v>
      </c>
      <c r="F665" s="2500">
        <v>916658</v>
      </c>
      <c r="G665" s="2501">
        <v>618826239</v>
      </c>
    </row>
    <row r="666" spans="1:7" ht="21">
      <c r="A666" s="1080" t="s">
        <v>2638</v>
      </c>
      <c r="B666" s="2492">
        <v>2156.127</v>
      </c>
      <c r="C666" s="2493">
        <v>1.04</v>
      </c>
      <c r="D666" s="2494">
        <v>1380049</v>
      </c>
      <c r="E666" s="2500">
        <v>799027</v>
      </c>
      <c r="F666" s="2500">
        <v>439306</v>
      </c>
      <c r="G666" s="2501">
        <v>563601669</v>
      </c>
    </row>
    <row r="667" spans="1:7" ht="21">
      <c r="A667" s="1080" t="s">
        <v>190</v>
      </c>
      <c r="B667" s="2492">
        <v>2209.424</v>
      </c>
      <c r="C667" s="2493">
        <v>1.17</v>
      </c>
      <c r="D667" s="2494">
        <v>1847308</v>
      </c>
      <c r="E667" s="2500">
        <v>406116</v>
      </c>
      <c r="F667" s="2500">
        <v>334635</v>
      </c>
      <c r="G667" s="2501">
        <v>533701566</v>
      </c>
    </row>
    <row r="668" spans="1:7" ht="21">
      <c r="A668" s="1080" t="s">
        <v>991</v>
      </c>
      <c r="B668" s="2492">
        <v>585.76599999999996</v>
      </c>
      <c r="C668" s="2493">
        <v>1.17</v>
      </c>
      <c r="D668" s="2494">
        <v>436248</v>
      </c>
      <c r="E668" s="2500">
        <v>256277</v>
      </c>
      <c r="F668" s="2500">
        <v>171049</v>
      </c>
      <c r="G668" s="2501">
        <v>137423188</v>
      </c>
    </row>
    <row r="669" spans="1:7" ht="21">
      <c r="A669" s="1080" t="s">
        <v>2098</v>
      </c>
      <c r="B669" s="2492">
        <v>157.14400000000001</v>
      </c>
      <c r="C669" s="2493">
        <v>1.04</v>
      </c>
      <c r="D669" s="2494">
        <v>145555</v>
      </c>
      <c r="E669" s="2500">
        <v>0</v>
      </c>
      <c r="F669" s="2500">
        <v>0</v>
      </c>
      <c r="G669" s="2501">
        <v>60174047</v>
      </c>
    </row>
    <row r="670" spans="1:7" ht="21">
      <c r="A670" s="1080" t="s">
        <v>287</v>
      </c>
      <c r="B670" s="2492">
        <v>231.44</v>
      </c>
      <c r="C670" s="2493">
        <v>1.04</v>
      </c>
      <c r="D670" s="2494">
        <v>0</v>
      </c>
      <c r="E670" s="2500">
        <v>0</v>
      </c>
      <c r="F670" s="2500">
        <v>0</v>
      </c>
      <c r="G670" s="2501">
        <v>37154151</v>
      </c>
    </row>
    <row r="671" spans="1:7" ht="21">
      <c r="A671" s="1080" t="s">
        <v>1782</v>
      </c>
      <c r="B671" s="2492">
        <v>236.75700000000001</v>
      </c>
      <c r="C671" s="2493">
        <v>0.99329999999999996</v>
      </c>
      <c r="D671" s="2494">
        <v>2186403</v>
      </c>
      <c r="E671" s="2500">
        <v>215143</v>
      </c>
      <c r="F671" s="2500">
        <v>0</v>
      </c>
      <c r="G671" s="2501">
        <v>2719689974</v>
      </c>
    </row>
    <row r="672" spans="1:7" ht="21">
      <c r="A672" s="1080" t="s">
        <v>1296</v>
      </c>
      <c r="B672" s="2492">
        <v>1846.3810000000001</v>
      </c>
      <c r="C672" s="2493">
        <v>1.17</v>
      </c>
      <c r="D672" s="2494">
        <v>757026</v>
      </c>
      <c r="E672" s="2500">
        <v>108925</v>
      </c>
      <c r="F672" s="2500">
        <v>643230</v>
      </c>
      <c r="G672" s="2501">
        <v>347172661</v>
      </c>
    </row>
    <row r="673" spans="1:7" ht="21">
      <c r="A673" s="1080" t="s">
        <v>2266</v>
      </c>
      <c r="B673" s="2492">
        <v>318.42200000000003</v>
      </c>
      <c r="C673" s="2493">
        <v>1.0401</v>
      </c>
      <c r="D673" s="2494">
        <v>298886</v>
      </c>
      <c r="E673" s="2500">
        <v>67820</v>
      </c>
      <c r="F673" s="2500">
        <v>129501</v>
      </c>
      <c r="G673" s="2501">
        <v>97168953</v>
      </c>
    </row>
    <row r="674" spans="1:7" ht="21">
      <c r="A674" s="1080" t="s">
        <v>1036</v>
      </c>
      <c r="B674" s="2492">
        <v>1023.1180000000001</v>
      </c>
      <c r="C674" s="2493">
        <v>1.17</v>
      </c>
      <c r="D674" s="2494">
        <v>321733</v>
      </c>
      <c r="E674" s="2500">
        <v>53385</v>
      </c>
      <c r="F674" s="2500">
        <v>222680</v>
      </c>
      <c r="G674" s="2501">
        <v>162238797</v>
      </c>
    </row>
    <row r="675" spans="1:7" ht="21">
      <c r="A675" s="1080" t="s">
        <v>199</v>
      </c>
      <c r="B675" s="2492">
        <v>1970.78</v>
      </c>
      <c r="C675" s="2493">
        <v>1.04</v>
      </c>
      <c r="D675" s="2494">
        <v>562956</v>
      </c>
      <c r="E675" s="2500">
        <v>0</v>
      </c>
      <c r="F675" s="2500">
        <v>553735</v>
      </c>
      <c r="G675" s="2501">
        <v>519725170</v>
      </c>
    </row>
    <row r="676" spans="1:7" ht="21">
      <c r="A676" s="1080" t="s">
        <v>2896</v>
      </c>
      <c r="B676" s="2492">
        <v>3952.5369999999998</v>
      </c>
      <c r="C676" s="2493">
        <v>1.04</v>
      </c>
      <c r="D676" s="2494">
        <v>4355643</v>
      </c>
      <c r="E676" s="2500">
        <v>2448513</v>
      </c>
      <c r="F676" s="2500">
        <v>1547976</v>
      </c>
      <c r="G676" s="2501">
        <v>1145335788</v>
      </c>
    </row>
    <row r="677" spans="1:7" ht="21">
      <c r="A677" s="1080" t="s">
        <v>2978</v>
      </c>
      <c r="B677" s="2492">
        <v>285.83300000000003</v>
      </c>
      <c r="C677" s="2493">
        <v>1.04</v>
      </c>
      <c r="D677" s="2494">
        <v>0</v>
      </c>
      <c r="E677" s="2500">
        <v>0</v>
      </c>
      <c r="F677" s="2500">
        <v>0</v>
      </c>
      <c r="G677" s="2501">
        <v>175886417</v>
      </c>
    </row>
    <row r="678" spans="1:7" ht="21">
      <c r="A678" s="1080" t="s">
        <v>2899</v>
      </c>
      <c r="B678" s="2492">
        <v>22287.434000000001</v>
      </c>
      <c r="C678" s="2493">
        <v>1.0401</v>
      </c>
      <c r="D678" s="2494">
        <v>18854413</v>
      </c>
      <c r="E678" s="2500">
        <v>8434100</v>
      </c>
      <c r="F678" s="2500">
        <v>184694</v>
      </c>
      <c r="G678" s="2501">
        <v>16980270448</v>
      </c>
    </row>
    <row r="679" spans="1:7" ht="21">
      <c r="A679" s="1080" t="s">
        <v>1475</v>
      </c>
      <c r="B679" s="2492">
        <v>2046.27</v>
      </c>
      <c r="C679" s="2493">
        <v>1.0633999999999999</v>
      </c>
      <c r="D679" s="2494">
        <v>3820078</v>
      </c>
      <c r="E679" s="2500">
        <v>989175</v>
      </c>
      <c r="F679" s="2500">
        <v>0</v>
      </c>
      <c r="G679" s="2501">
        <v>1143618096</v>
      </c>
    </row>
    <row r="680" spans="1:7" ht="21">
      <c r="A680" s="1080" t="s">
        <v>2156</v>
      </c>
      <c r="B680" s="2492">
        <v>1527.154</v>
      </c>
      <c r="C680" s="2493">
        <v>1.04</v>
      </c>
      <c r="D680" s="2494">
        <v>915163</v>
      </c>
      <c r="E680" s="2500">
        <v>336308</v>
      </c>
      <c r="F680" s="2500">
        <v>432667</v>
      </c>
      <c r="G680" s="2501">
        <v>289828807</v>
      </c>
    </row>
    <row r="681" spans="1:7" ht="21">
      <c r="A681" s="1080" t="s">
        <v>1536</v>
      </c>
      <c r="B681" s="2492">
        <v>176.90600000000001</v>
      </c>
      <c r="C681" s="2493">
        <v>1.04</v>
      </c>
      <c r="D681" s="2494">
        <v>0</v>
      </c>
      <c r="E681" s="2500">
        <v>0</v>
      </c>
      <c r="F681" s="2500">
        <v>0</v>
      </c>
      <c r="G681" s="2501">
        <v>93262634</v>
      </c>
    </row>
    <row r="682" spans="1:7" ht="21">
      <c r="A682" s="1080" t="s">
        <v>2900</v>
      </c>
      <c r="B682" s="2492">
        <v>407.726</v>
      </c>
      <c r="C682" s="2493">
        <v>1.04</v>
      </c>
      <c r="D682" s="2494">
        <v>166787</v>
      </c>
      <c r="E682" s="2500">
        <v>154318</v>
      </c>
      <c r="F682" s="2500">
        <v>0</v>
      </c>
      <c r="G682" s="2501">
        <v>86673858</v>
      </c>
    </row>
    <row r="683" spans="1:7" ht="21">
      <c r="A683" s="1080" t="s">
        <v>2513</v>
      </c>
      <c r="B683" s="2492">
        <v>1479.451</v>
      </c>
      <c r="C683" s="2493">
        <v>1.04</v>
      </c>
      <c r="D683" s="2494">
        <v>1932579</v>
      </c>
      <c r="E683" s="2500">
        <v>1067106</v>
      </c>
      <c r="F683" s="2500">
        <v>0</v>
      </c>
      <c r="G683" s="2501">
        <v>914475853</v>
      </c>
    </row>
    <row r="684" spans="1:7" ht="21">
      <c r="A684" s="1080" t="s">
        <v>1046</v>
      </c>
      <c r="B684" s="2492">
        <v>567.23400000000004</v>
      </c>
      <c r="C684" s="2493">
        <v>1.17</v>
      </c>
      <c r="D684" s="2494">
        <v>175422</v>
      </c>
      <c r="E684" s="2500">
        <v>182882</v>
      </c>
      <c r="F684" s="2500">
        <v>0</v>
      </c>
      <c r="G684" s="2501">
        <v>125820644</v>
      </c>
    </row>
    <row r="685" spans="1:7" ht="21">
      <c r="A685" s="1080" t="s">
        <v>409</v>
      </c>
      <c r="B685" s="2492">
        <v>154.00800000000001</v>
      </c>
      <c r="C685" s="2493">
        <v>1.04</v>
      </c>
      <c r="D685" s="2494">
        <v>17924</v>
      </c>
      <c r="E685" s="2500">
        <v>0</v>
      </c>
      <c r="F685" s="2500">
        <v>17434</v>
      </c>
      <c r="G685" s="2501">
        <v>28612097</v>
      </c>
    </row>
    <row r="686" spans="1:7" ht="21">
      <c r="A686" s="1080" t="s">
        <v>1436</v>
      </c>
      <c r="B686" s="2492">
        <v>574.87199999999996</v>
      </c>
      <c r="C686" s="2493">
        <v>0.90890000000000004</v>
      </c>
      <c r="D686" s="2494">
        <v>575772</v>
      </c>
      <c r="E686" s="2500">
        <v>9407</v>
      </c>
      <c r="F686" s="2500">
        <v>147360</v>
      </c>
      <c r="G686" s="2501">
        <v>231986079</v>
      </c>
    </row>
    <row r="687" spans="1:7" ht="21">
      <c r="A687" s="1080" t="s">
        <v>3070</v>
      </c>
      <c r="B687" s="2492">
        <v>273.78699999999998</v>
      </c>
      <c r="C687" s="2493">
        <v>1.04</v>
      </c>
      <c r="D687" s="2494">
        <v>0</v>
      </c>
      <c r="E687" s="2500">
        <v>0</v>
      </c>
      <c r="F687" s="2500">
        <v>0</v>
      </c>
      <c r="G687" s="2501">
        <v>70712217</v>
      </c>
    </row>
    <row r="688" spans="1:7" ht="21">
      <c r="A688" s="1080" t="s">
        <v>2267</v>
      </c>
      <c r="B688" s="2492">
        <v>102.122</v>
      </c>
      <c r="C688" s="2493">
        <v>1.04</v>
      </c>
      <c r="D688" s="2494">
        <v>10717</v>
      </c>
      <c r="E688" s="2500">
        <v>0</v>
      </c>
      <c r="F688" s="2500">
        <v>10240</v>
      </c>
      <c r="G688" s="2501">
        <v>19511598</v>
      </c>
    </row>
    <row r="689" spans="1:7" ht="21">
      <c r="A689" s="1080" t="s">
        <v>3072</v>
      </c>
      <c r="B689" s="2492">
        <v>919.11</v>
      </c>
      <c r="C689" s="2493">
        <v>1.17</v>
      </c>
      <c r="D689" s="2494">
        <v>1854039</v>
      </c>
      <c r="E689" s="2500">
        <v>0</v>
      </c>
      <c r="F689" s="2500">
        <v>0</v>
      </c>
      <c r="G689" s="2501">
        <v>419237851</v>
      </c>
    </row>
    <row r="690" spans="1:7" ht="21">
      <c r="A690" s="1080" t="s">
        <v>3073</v>
      </c>
      <c r="B690" s="2492">
        <v>150.256</v>
      </c>
      <c r="C690" s="2493">
        <v>1.17</v>
      </c>
      <c r="D690" s="2494">
        <v>787517</v>
      </c>
      <c r="E690" s="2500">
        <v>136919</v>
      </c>
      <c r="F690" s="2500">
        <v>0</v>
      </c>
      <c r="G690" s="2501">
        <v>288812362</v>
      </c>
    </row>
    <row r="691" spans="1:7" ht="21">
      <c r="A691" s="1080" t="s">
        <v>1676</v>
      </c>
      <c r="B691" s="2492">
        <v>266.11200000000002</v>
      </c>
      <c r="C691" s="2493">
        <v>1.04</v>
      </c>
      <c r="D691" s="2494">
        <v>0</v>
      </c>
      <c r="E691" s="2500">
        <v>0</v>
      </c>
      <c r="F691" s="2500">
        <v>0</v>
      </c>
      <c r="G691" s="2501">
        <v>755358820</v>
      </c>
    </row>
    <row r="692" spans="1:7" ht="21">
      <c r="A692" s="1080" t="s">
        <v>1494</v>
      </c>
      <c r="B692" s="2492">
        <v>1561.9</v>
      </c>
      <c r="C692" s="2493">
        <v>1.04</v>
      </c>
      <c r="D692" s="2494">
        <v>1602919</v>
      </c>
      <c r="E692" s="2500">
        <v>1404806</v>
      </c>
      <c r="F692" s="2500">
        <v>357946</v>
      </c>
      <c r="G692" s="2501">
        <v>866297487</v>
      </c>
    </row>
    <row r="693" spans="1:7" ht="21">
      <c r="A693" s="1080" t="s">
        <v>1612</v>
      </c>
      <c r="B693" s="2492">
        <v>735.91600000000005</v>
      </c>
      <c r="C693" s="2493">
        <v>1.04</v>
      </c>
      <c r="D693" s="2494">
        <v>0</v>
      </c>
      <c r="E693" s="2500">
        <v>0</v>
      </c>
      <c r="F693" s="2500">
        <v>0</v>
      </c>
      <c r="G693" s="2501">
        <v>216854165</v>
      </c>
    </row>
    <row r="694" spans="1:7" ht="21">
      <c r="A694" s="1080" t="s">
        <v>910</v>
      </c>
      <c r="B694" s="2492">
        <v>118.60299999999999</v>
      </c>
      <c r="C694" s="2493">
        <v>1.04</v>
      </c>
      <c r="D694" s="2494">
        <v>97717</v>
      </c>
      <c r="E694" s="2500">
        <v>64996</v>
      </c>
      <c r="F694" s="2500">
        <v>0</v>
      </c>
      <c r="G694" s="2501">
        <v>81869134</v>
      </c>
    </row>
    <row r="695" spans="1:7" ht="21">
      <c r="A695" s="1080" t="s">
        <v>1685</v>
      </c>
      <c r="B695" s="2492">
        <v>106.111</v>
      </c>
      <c r="C695" s="2493">
        <v>1.17</v>
      </c>
      <c r="D695" s="2494">
        <v>0</v>
      </c>
      <c r="E695" s="2500">
        <v>0</v>
      </c>
      <c r="F695" s="2500">
        <v>0</v>
      </c>
      <c r="G695" s="2501">
        <v>36005124</v>
      </c>
    </row>
    <row r="696" spans="1:7" ht="21">
      <c r="A696" s="1080" t="s">
        <v>1686</v>
      </c>
      <c r="B696" s="2492">
        <v>130.50299999999999</v>
      </c>
      <c r="C696" s="2493">
        <v>1.04</v>
      </c>
      <c r="D696" s="2494">
        <v>0</v>
      </c>
      <c r="E696" s="2500">
        <v>0</v>
      </c>
      <c r="F696" s="2500">
        <v>0</v>
      </c>
      <c r="G696" s="2501">
        <v>147962999</v>
      </c>
    </row>
    <row r="697" spans="1:7" ht="21">
      <c r="A697" s="1080" t="s">
        <v>1445</v>
      </c>
      <c r="B697" s="2492">
        <v>172.61699999999999</v>
      </c>
      <c r="C697" s="2493">
        <v>1.04</v>
      </c>
      <c r="D697" s="2494">
        <v>1764</v>
      </c>
      <c r="E697" s="2500">
        <v>23379</v>
      </c>
      <c r="F697" s="2500">
        <v>0</v>
      </c>
      <c r="G697" s="2501">
        <v>319021924</v>
      </c>
    </row>
    <row r="698" spans="1:7" ht="21">
      <c r="A698" s="1080" t="s">
        <v>1724</v>
      </c>
      <c r="B698" s="2492">
        <v>242.49700000000001</v>
      </c>
      <c r="C698" s="2493">
        <v>1.17</v>
      </c>
      <c r="D698" s="2494">
        <v>159198</v>
      </c>
      <c r="E698" s="2500">
        <v>64009</v>
      </c>
      <c r="F698" s="2500">
        <v>0</v>
      </c>
      <c r="G698" s="2501">
        <v>258497161</v>
      </c>
    </row>
    <row r="699" spans="1:7" ht="21">
      <c r="A699" s="1080" t="s">
        <v>2639</v>
      </c>
      <c r="B699" s="2492">
        <v>53164.976999999999</v>
      </c>
      <c r="C699" s="2493">
        <v>1.04</v>
      </c>
      <c r="D699" s="2494">
        <v>63999422</v>
      </c>
      <c r="E699" s="2500">
        <v>48074075</v>
      </c>
      <c r="F699" s="2500">
        <v>398132</v>
      </c>
      <c r="G699" s="2501">
        <v>23941559184</v>
      </c>
    </row>
    <row r="700" spans="1:7" ht="21">
      <c r="A700" s="1080" t="s">
        <v>1725</v>
      </c>
      <c r="B700" s="2492">
        <v>7497.3249999999998</v>
      </c>
      <c r="C700" s="2493">
        <v>1.04</v>
      </c>
      <c r="D700" s="2494">
        <v>13054977</v>
      </c>
      <c r="E700" s="2500">
        <v>7609785</v>
      </c>
      <c r="F700" s="2500">
        <v>0</v>
      </c>
      <c r="G700" s="2501">
        <v>3990558709</v>
      </c>
    </row>
    <row r="701" spans="1:7" ht="21">
      <c r="A701" s="1080" t="s">
        <v>1349</v>
      </c>
      <c r="B701" s="2492">
        <v>6440.6409999999996</v>
      </c>
      <c r="C701" s="2493">
        <v>1.04</v>
      </c>
      <c r="D701" s="2494">
        <v>8906690</v>
      </c>
      <c r="E701" s="2500">
        <v>5141600</v>
      </c>
      <c r="F701" s="2500">
        <v>2629269</v>
      </c>
      <c r="G701" s="2501">
        <v>2373605330</v>
      </c>
    </row>
    <row r="702" spans="1:7" ht="21">
      <c r="A702" s="1080" t="s">
        <v>378</v>
      </c>
      <c r="B702" s="2492">
        <v>11710.385</v>
      </c>
      <c r="C702" s="2493">
        <v>1.04</v>
      </c>
      <c r="D702" s="2494">
        <v>15521221</v>
      </c>
      <c r="E702" s="2500">
        <v>11886041</v>
      </c>
      <c r="F702" s="2500">
        <v>2148277</v>
      </c>
      <c r="G702" s="2501">
        <v>4136570929</v>
      </c>
    </row>
    <row r="703" spans="1:7" ht="21">
      <c r="A703" s="1080" t="s">
        <v>1701</v>
      </c>
      <c r="B703" s="2492">
        <v>3353.95</v>
      </c>
      <c r="C703" s="2493">
        <v>1.17</v>
      </c>
      <c r="D703" s="2494">
        <v>708465</v>
      </c>
      <c r="E703" s="2500">
        <v>753682</v>
      </c>
      <c r="F703" s="2500">
        <v>537317</v>
      </c>
      <c r="G703" s="2501">
        <v>436483098</v>
      </c>
    </row>
    <row r="704" spans="1:7" ht="21">
      <c r="A704" s="1080" t="s">
        <v>801</v>
      </c>
      <c r="B704" s="2492">
        <v>11981.169</v>
      </c>
      <c r="C704" s="2493">
        <v>1.17</v>
      </c>
      <c r="D704" s="2494">
        <v>13614299</v>
      </c>
      <c r="E704" s="2500">
        <v>7241719</v>
      </c>
      <c r="F704" s="2500">
        <v>2768143</v>
      </c>
      <c r="G704" s="2501">
        <v>2497144427</v>
      </c>
    </row>
    <row r="705" spans="1:7" ht="21">
      <c r="A705" s="1080" t="s">
        <v>2134</v>
      </c>
      <c r="B705" s="2492">
        <v>4202.5450000000001</v>
      </c>
      <c r="C705" s="2493">
        <v>1.04</v>
      </c>
      <c r="D705" s="2494">
        <v>2154252</v>
      </c>
      <c r="E705" s="2500">
        <v>1606387</v>
      </c>
      <c r="F705" s="2500">
        <v>0</v>
      </c>
      <c r="G705" s="2501">
        <v>2161936161</v>
      </c>
    </row>
    <row r="706" spans="1:7" ht="21">
      <c r="A706" s="1080" t="s">
        <v>2135</v>
      </c>
      <c r="B706" s="2492">
        <v>483.96699999999998</v>
      </c>
      <c r="C706" s="2493">
        <v>1.04</v>
      </c>
      <c r="D706" s="2494">
        <v>793068</v>
      </c>
      <c r="E706" s="2500">
        <v>342902</v>
      </c>
      <c r="F706" s="2500">
        <v>0</v>
      </c>
      <c r="G706" s="2501">
        <v>387251211</v>
      </c>
    </row>
    <row r="707" spans="1:7" ht="21">
      <c r="A707" s="1080" t="s">
        <v>2136</v>
      </c>
      <c r="B707" s="2492">
        <v>999.52200000000005</v>
      </c>
      <c r="C707" s="2493">
        <v>1.04</v>
      </c>
      <c r="D707" s="2494">
        <v>959048</v>
      </c>
      <c r="E707" s="2500">
        <v>430643</v>
      </c>
      <c r="F707" s="2500">
        <v>0</v>
      </c>
      <c r="G707" s="2501">
        <v>783655544</v>
      </c>
    </row>
    <row r="708" spans="1:7" ht="21">
      <c r="A708" s="1080" t="s">
        <v>2137</v>
      </c>
      <c r="B708" s="2492">
        <v>910.98199999999997</v>
      </c>
      <c r="C708" s="2493">
        <v>1.04</v>
      </c>
      <c r="D708" s="2494">
        <v>168618</v>
      </c>
      <c r="E708" s="2500">
        <v>160999</v>
      </c>
      <c r="F708" s="2500">
        <v>0</v>
      </c>
      <c r="G708" s="2501">
        <v>287905583</v>
      </c>
    </row>
    <row r="709" spans="1:7" ht="21">
      <c r="A709" s="1080" t="s">
        <v>2685</v>
      </c>
      <c r="B709" s="2492">
        <v>160.023</v>
      </c>
      <c r="C709" s="2493">
        <v>1.17</v>
      </c>
      <c r="D709" s="2494">
        <v>0</v>
      </c>
      <c r="E709" s="2500">
        <v>0</v>
      </c>
      <c r="F709" s="2500">
        <v>0</v>
      </c>
      <c r="G709" s="2501">
        <v>92368663</v>
      </c>
    </row>
    <row r="710" spans="1:7" ht="21">
      <c r="A710" s="1080" t="s">
        <v>802</v>
      </c>
      <c r="B710" s="2492">
        <v>353.47500000000002</v>
      </c>
      <c r="C710" s="2493">
        <v>1.1116999999999999</v>
      </c>
      <c r="D710" s="2494">
        <v>143</v>
      </c>
      <c r="E710" s="2500">
        <v>0</v>
      </c>
      <c r="F710" s="2500">
        <v>83706</v>
      </c>
      <c r="G710" s="2501">
        <v>279528752</v>
      </c>
    </row>
    <row r="711" spans="1:7" ht="21">
      <c r="A711" s="1080" t="s">
        <v>570</v>
      </c>
      <c r="B711" s="2492">
        <v>477.13499999999999</v>
      </c>
      <c r="C711" s="2493">
        <v>1.04</v>
      </c>
      <c r="D711" s="2494">
        <v>1385760</v>
      </c>
      <c r="E711" s="2500">
        <v>484292</v>
      </c>
      <c r="F711" s="2500">
        <v>0</v>
      </c>
      <c r="G711" s="2501">
        <v>535986925</v>
      </c>
    </row>
    <row r="712" spans="1:7" ht="21">
      <c r="A712" s="1080" t="s">
        <v>803</v>
      </c>
      <c r="B712" s="2492">
        <v>675.47400000000005</v>
      </c>
      <c r="C712" s="2493">
        <v>1.04</v>
      </c>
      <c r="D712" s="2494">
        <v>101473</v>
      </c>
      <c r="E712" s="2500">
        <v>0</v>
      </c>
      <c r="F712" s="2500">
        <v>96738</v>
      </c>
      <c r="G712" s="2501">
        <v>163252853</v>
      </c>
    </row>
    <row r="713" spans="1:7" ht="21">
      <c r="A713" s="1080" t="s">
        <v>571</v>
      </c>
      <c r="B713" s="2492">
        <v>5953.22</v>
      </c>
      <c r="C713" s="2493">
        <v>1.17</v>
      </c>
      <c r="D713" s="2494">
        <v>3540778</v>
      </c>
      <c r="E713" s="2500">
        <v>3360690</v>
      </c>
      <c r="F713" s="2500">
        <v>0</v>
      </c>
      <c r="G713" s="2501">
        <v>1871704882</v>
      </c>
    </row>
    <row r="714" spans="1:7" ht="21">
      <c r="A714" s="1080" t="s">
        <v>410</v>
      </c>
      <c r="B714" s="2492">
        <v>713.87900000000002</v>
      </c>
      <c r="C714" s="2493">
        <v>1.109</v>
      </c>
      <c r="D714" s="2494">
        <v>1215</v>
      </c>
      <c r="E714" s="2500">
        <v>0</v>
      </c>
      <c r="F714" s="2500">
        <v>146995</v>
      </c>
      <c r="G714" s="2501">
        <v>209156074</v>
      </c>
    </row>
    <row r="715" spans="1:7" ht="21">
      <c r="A715" s="1080" t="s">
        <v>572</v>
      </c>
      <c r="B715" s="2492">
        <v>1081.7629999999999</v>
      </c>
      <c r="C715" s="2493">
        <v>1.04</v>
      </c>
      <c r="D715" s="2494">
        <v>361766</v>
      </c>
      <c r="E715" s="2500">
        <v>219635</v>
      </c>
      <c r="F715" s="2500">
        <v>50038</v>
      </c>
      <c r="G715" s="2501">
        <v>108716536</v>
      </c>
    </row>
    <row r="716" spans="1:7" ht="21">
      <c r="A716" s="1080" t="s">
        <v>573</v>
      </c>
      <c r="B716" s="2492">
        <v>344.09500000000003</v>
      </c>
      <c r="C716" s="2493">
        <v>1.04</v>
      </c>
      <c r="D716" s="2494">
        <v>106100</v>
      </c>
      <c r="E716" s="2500">
        <v>71535</v>
      </c>
      <c r="F716" s="2500">
        <v>53322</v>
      </c>
      <c r="G716" s="2501">
        <v>75819560</v>
      </c>
    </row>
    <row r="717" spans="1:7" ht="21">
      <c r="A717" s="1080" t="s">
        <v>877</v>
      </c>
      <c r="B717" s="2492">
        <v>114.768</v>
      </c>
      <c r="C717" s="2493">
        <v>1.17</v>
      </c>
      <c r="D717" s="2494">
        <v>64118</v>
      </c>
      <c r="E717" s="2500">
        <v>56460</v>
      </c>
      <c r="F717" s="2500">
        <v>0</v>
      </c>
      <c r="G717" s="2501">
        <v>47025739</v>
      </c>
    </row>
    <row r="718" spans="1:7" ht="21">
      <c r="A718" s="1080" t="s">
        <v>574</v>
      </c>
      <c r="B718" s="2492">
        <v>440.23</v>
      </c>
      <c r="C718" s="2493">
        <v>1.04</v>
      </c>
      <c r="D718" s="2494">
        <v>0</v>
      </c>
      <c r="E718" s="2500">
        <v>0</v>
      </c>
      <c r="F718" s="2500">
        <v>0</v>
      </c>
      <c r="G718" s="2501">
        <v>136829072</v>
      </c>
    </row>
    <row r="719" spans="1:7" ht="21">
      <c r="A719" s="1080" t="s">
        <v>575</v>
      </c>
      <c r="B719" s="2492">
        <v>804.97</v>
      </c>
      <c r="C719" s="2493">
        <v>1.04</v>
      </c>
      <c r="D719" s="2494">
        <v>139478</v>
      </c>
      <c r="E719" s="2500">
        <v>121130</v>
      </c>
      <c r="F719" s="2500">
        <v>0</v>
      </c>
      <c r="G719" s="2501">
        <v>139591008</v>
      </c>
    </row>
    <row r="720" spans="1:7" ht="21">
      <c r="A720" s="1080" t="s">
        <v>2754</v>
      </c>
      <c r="B720" s="2492">
        <v>5484.8320000000003</v>
      </c>
      <c r="C720" s="2493">
        <v>1.04</v>
      </c>
      <c r="D720" s="2494">
        <v>3410315</v>
      </c>
      <c r="E720" s="2500">
        <v>2086533</v>
      </c>
      <c r="F720" s="2500">
        <v>811099</v>
      </c>
      <c r="G720" s="2501">
        <v>1332623236</v>
      </c>
    </row>
    <row r="721" spans="1:7" ht="21">
      <c r="A721" s="1080" t="s">
        <v>2761</v>
      </c>
      <c r="B721" s="2492">
        <v>421.88499999999999</v>
      </c>
      <c r="C721" s="2493">
        <v>1.04</v>
      </c>
      <c r="D721" s="2494">
        <v>374940</v>
      </c>
      <c r="E721" s="2500">
        <v>172098</v>
      </c>
      <c r="F721" s="2500">
        <v>153537</v>
      </c>
      <c r="G721" s="2501">
        <v>134130756</v>
      </c>
    </row>
    <row r="722" spans="1:7" ht="21">
      <c r="A722" s="1080" t="s">
        <v>20</v>
      </c>
      <c r="B722" s="2492">
        <v>377.68900000000002</v>
      </c>
      <c r="C722" s="2493">
        <v>1.1254</v>
      </c>
      <c r="D722" s="2494">
        <v>81898</v>
      </c>
      <c r="E722" s="2500">
        <v>59593</v>
      </c>
      <c r="F722" s="2500">
        <v>0</v>
      </c>
      <c r="G722" s="2501">
        <v>78228751</v>
      </c>
    </row>
    <row r="723" spans="1:7" ht="21">
      <c r="A723" s="1080" t="s">
        <v>804</v>
      </c>
      <c r="B723" s="2492">
        <v>574.90700000000004</v>
      </c>
      <c r="C723" s="2493">
        <v>1.04</v>
      </c>
      <c r="D723" s="2494">
        <v>177242</v>
      </c>
      <c r="E723" s="2500">
        <v>0</v>
      </c>
      <c r="F723" s="2500">
        <v>156500</v>
      </c>
      <c r="G723" s="2501">
        <v>251610029</v>
      </c>
    </row>
    <row r="724" spans="1:7" ht="21">
      <c r="A724" s="1080" t="s">
        <v>21</v>
      </c>
      <c r="B724" s="2492">
        <v>659.48099999999999</v>
      </c>
      <c r="C724" s="2493">
        <v>1.0401</v>
      </c>
      <c r="D724" s="2494">
        <v>1006065</v>
      </c>
      <c r="E724" s="2500">
        <v>587437</v>
      </c>
      <c r="F724" s="2500">
        <v>0</v>
      </c>
      <c r="G724" s="2501">
        <v>395187812</v>
      </c>
    </row>
    <row r="725" spans="1:7" ht="21">
      <c r="A725" s="1080" t="s">
        <v>2383</v>
      </c>
      <c r="B725" s="2492">
        <v>831.84</v>
      </c>
      <c r="C725" s="2493">
        <v>1.04</v>
      </c>
      <c r="D725" s="2494">
        <v>371130</v>
      </c>
      <c r="E725" s="2500">
        <v>195661</v>
      </c>
      <c r="F725" s="2500">
        <v>104961</v>
      </c>
      <c r="G725" s="2501">
        <v>106496292</v>
      </c>
    </row>
    <row r="726" spans="1:7" ht="21">
      <c r="A726" s="1080" t="s">
        <v>22</v>
      </c>
      <c r="B726" s="2492">
        <v>273.928</v>
      </c>
      <c r="C726" s="2493">
        <v>1.1469</v>
      </c>
      <c r="D726" s="2494">
        <v>88316</v>
      </c>
      <c r="E726" s="2500">
        <v>19012</v>
      </c>
      <c r="F726" s="2500">
        <v>0</v>
      </c>
      <c r="G726" s="2501">
        <v>232932332</v>
      </c>
    </row>
    <row r="727" spans="1:7" ht="21">
      <c r="A727" s="1080" t="s">
        <v>1159</v>
      </c>
      <c r="B727" s="2492">
        <v>921.89800000000002</v>
      </c>
      <c r="C727" s="2493">
        <v>1.17</v>
      </c>
      <c r="D727" s="2494">
        <v>308944</v>
      </c>
      <c r="E727" s="2500">
        <v>222666</v>
      </c>
      <c r="F727" s="2500">
        <v>312695</v>
      </c>
      <c r="G727" s="2501">
        <v>293557356</v>
      </c>
    </row>
    <row r="728" spans="1:7" ht="21">
      <c r="A728" s="1080" t="s">
        <v>2268</v>
      </c>
      <c r="B728" s="2492">
        <v>599.04</v>
      </c>
      <c r="C728" s="2493">
        <v>1.04</v>
      </c>
      <c r="D728" s="2494">
        <v>1137375</v>
      </c>
      <c r="E728" s="2500">
        <v>291579</v>
      </c>
      <c r="F728" s="2500">
        <v>173765</v>
      </c>
      <c r="G728" s="2501">
        <v>570119715</v>
      </c>
    </row>
    <row r="729" spans="1:7" ht="21">
      <c r="A729" s="1080" t="s">
        <v>1736</v>
      </c>
      <c r="B729" s="2492">
        <v>511.01100000000002</v>
      </c>
      <c r="C729" s="2493">
        <v>1.17</v>
      </c>
      <c r="D729" s="2494">
        <v>974712</v>
      </c>
      <c r="E729" s="2500">
        <v>402362</v>
      </c>
      <c r="F729" s="2500">
        <v>100000</v>
      </c>
      <c r="G729" s="2501">
        <v>432794630</v>
      </c>
    </row>
    <row r="730" spans="1:7" ht="21">
      <c r="A730" s="1080" t="s">
        <v>2145</v>
      </c>
      <c r="B730" s="2492">
        <v>2004.2</v>
      </c>
      <c r="C730" s="2493">
        <v>1.095</v>
      </c>
      <c r="D730" s="2494">
        <v>930611</v>
      </c>
      <c r="E730" s="2500">
        <v>894168</v>
      </c>
      <c r="F730" s="2500">
        <v>0</v>
      </c>
      <c r="G730" s="2501">
        <v>733818721</v>
      </c>
    </row>
    <row r="731" spans="1:7" ht="21">
      <c r="A731" s="1080" t="s">
        <v>2637</v>
      </c>
      <c r="B731" s="2492">
        <v>120.486</v>
      </c>
      <c r="C731" s="2493">
        <v>1.04</v>
      </c>
      <c r="D731" s="2494">
        <v>903749</v>
      </c>
      <c r="E731" s="2500">
        <v>33331</v>
      </c>
      <c r="F731" s="2500">
        <v>0</v>
      </c>
      <c r="G731" s="2501">
        <v>1061358789</v>
      </c>
    </row>
    <row r="732" spans="1:7" ht="21">
      <c r="A732" s="1080" t="s">
        <v>464</v>
      </c>
      <c r="B732" s="2492">
        <v>200.886</v>
      </c>
      <c r="C732" s="2493">
        <v>1.1599999999999999</v>
      </c>
      <c r="D732" s="2494">
        <v>616973</v>
      </c>
      <c r="E732" s="2500">
        <v>105099</v>
      </c>
      <c r="F732" s="2500">
        <v>0</v>
      </c>
      <c r="G732" s="2501">
        <v>536062283</v>
      </c>
    </row>
    <row r="733" spans="1:7" ht="21">
      <c r="A733" s="1080" t="s">
        <v>2858</v>
      </c>
      <c r="B733" s="2492">
        <v>370.399</v>
      </c>
      <c r="C733" s="2493">
        <v>1.17</v>
      </c>
      <c r="D733" s="2494">
        <v>300253</v>
      </c>
      <c r="E733" s="2500">
        <v>278385</v>
      </c>
      <c r="F733" s="2500">
        <v>0</v>
      </c>
      <c r="G733" s="2501">
        <v>131883356</v>
      </c>
    </row>
    <row r="734" spans="1:7" ht="21">
      <c r="A734" s="1080" t="s">
        <v>1337</v>
      </c>
      <c r="B734" s="2492">
        <v>1266.8330000000001</v>
      </c>
      <c r="C734" s="2493">
        <v>1.0391999999999999</v>
      </c>
      <c r="D734" s="2494">
        <v>2394173</v>
      </c>
      <c r="E734" s="2500">
        <v>1285835</v>
      </c>
      <c r="F734" s="2500">
        <v>0</v>
      </c>
      <c r="G734" s="2501">
        <v>489708626</v>
      </c>
    </row>
    <row r="735" spans="1:7" ht="21">
      <c r="A735" s="1080" t="s">
        <v>1338</v>
      </c>
      <c r="B735" s="2492">
        <v>3756.4879999999998</v>
      </c>
      <c r="C735" s="2493">
        <v>1.17</v>
      </c>
      <c r="D735" s="2494">
        <v>2556522</v>
      </c>
      <c r="E735" s="2500">
        <v>2275487</v>
      </c>
      <c r="F735" s="2500">
        <v>0</v>
      </c>
      <c r="G735" s="2501">
        <v>1193838415</v>
      </c>
    </row>
    <row r="736" spans="1:7" ht="21">
      <c r="A736" s="1080" t="s">
        <v>2753</v>
      </c>
      <c r="B736" s="2492">
        <v>35743.021999999997</v>
      </c>
      <c r="C736" s="2493">
        <v>1.0601</v>
      </c>
      <c r="D736" s="2494">
        <v>23784265</v>
      </c>
      <c r="E736" s="2500">
        <v>21006089</v>
      </c>
      <c r="F736" s="2500">
        <v>1166852</v>
      </c>
      <c r="G736" s="2501">
        <v>12377339102</v>
      </c>
    </row>
    <row r="737" spans="1:7" ht="21">
      <c r="A737" s="1080" t="s">
        <v>619</v>
      </c>
      <c r="B737" s="2492">
        <v>269.36500000000001</v>
      </c>
      <c r="C737" s="2493">
        <v>1.04</v>
      </c>
      <c r="D737" s="2494">
        <v>571431</v>
      </c>
      <c r="E737" s="2500">
        <v>218363</v>
      </c>
      <c r="F737" s="2500">
        <v>0</v>
      </c>
      <c r="G737" s="2501">
        <v>116957983</v>
      </c>
    </row>
    <row r="738" spans="1:7" ht="21">
      <c r="A738" s="1080" t="s">
        <v>632</v>
      </c>
      <c r="B738" s="2492">
        <v>730.87400000000002</v>
      </c>
      <c r="C738" s="2493">
        <v>0.95889999999999997</v>
      </c>
      <c r="D738" s="2494">
        <v>1207586</v>
      </c>
      <c r="E738" s="2500">
        <v>741837</v>
      </c>
      <c r="F738" s="2500">
        <v>0</v>
      </c>
      <c r="G738" s="2501">
        <v>261346560</v>
      </c>
    </row>
    <row r="739" spans="1:7" ht="21">
      <c r="A739" s="1080" t="s">
        <v>633</v>
      </c>
      <c r="B739" s="2492">
        <v>477.65699999999998</v>
      </c>
      <c r="C739" s="2493">
        <v>1.0333000000000001</v>
      </c>
      <c r="D739" s="2494">
        <v>1795379</v>
      </c>
      <c r="E739" s="2500">
        <v>85904</v>
      </c>
      <c r="F739" s="2500">
        <v>0</v>
      </c>
      <c r="G739" s="2501">
        <v>1744876723</v>
      </c>
    </row>
    <row r="740" spans="1:7" ht="21">
      <c r="A740" s="1080" t="s">
        <v>191</v>
      </c>
      <c r="B740" s="2492">
        <v>2581.7359999999999</v>
      </c>
      <c r="C740" s="2493">
        <v>1.17</v>
      </c>
      <c r="D740" s="2494">
        <v>2407400</v>
      </c>
      <c r="E740" s="2500">
        <v>975462</v>
      </c>
      <c r="F740" s="2500">
        <v>1459291</v>
      </c>
      <c r="G740" s="2501">
        <v>471123316</v>
      </c>
    </row>
    <row r="741" spans="1:7" ht="21">
      <c r="A741" s="1080" t="s">
        <v>869</v>
      </c>
      <c r="B741" s="2492">
        <v>3659.107</v>
      </c>
      <c r="C741" s="2493">
        <v>1.0900000000000001</v>
      </c>
      <c r="D741" s="2494">
        <v>6653906</v>
      </c>
      <c r="E741" s="2500">
        <v>3649367</v>
      </c>
      <c r="F741" s="2500">
        <v>0</v>
      </c>
      <c r="G741" s="2501">
        <v>2222282117</v>
      </c>
    </row>
    <row r="742" spans="1:7" ht="21">
      <c r="A742" s="1080" t="s">
        <v>1087</v>
      </c>
      <c r="B742" s="2492">
        <v>845.78099999999995</v>
      </c>
      <c r="C742" s="2493">
        <v>1.17</v>
      </c>
      <c r="D742" s="2494">
        <v>902003</v>
      </c>
      <c r="E742" s="2500">
        <v>725244</v>
      </c>
      <c r="F742" s="2500">
        <v>135701</v>
      </c>
      <c r="G742" s="2501">
        <v>250084202</v>
      </c>
    </row>
    <row r="743" spans="1:7" ht="21">
      <c r="A743" s="1080" t="s">
        <v>2452</v>
      </c>
      <c r="B743" s="2492">
        <v>5427.1229999999996</v>
      </c>
      <c r="C743" s="2493">
        <v>1.04</v>
      </c>
      <c r="D743" s="2494">
        <v>3245736</v>
      </c>
      <c r="E743" s="2500">
        <v>606512</v>
      </c>
      <c r="F743" s="2500">
        <v>0</v>
      </c>
      <c r="G743" s="2501">
        <v>2311999235</v>
      </c>
    </row>
    <row r="744" spans="1:7" ht="21">
      <c r="A744" s="1080" t="s">
        <v>2453</v>
      </c>
      <c r="B744" s="2492">
        <v>1828.3589999999999</v>
      </c>
      <c r="C744" s="2493">
        <v>1.17</v>
      </c>
      <c r="D744" s="2494">
        <v>1972696</v>
      </c>
      <c r="E744" s="2500">
        <v>1855784</v>
      </c>
      <c r="F744" s="2500">
        <v>243416</v>
      </c>
      <c r="G744" s="2501">
        <v>672496374</v>
      </c>
    </row>
    <row r="745" spans="1:7" ht="21">
      <c r="A745" s="1080" t="s">
        <v>237</v>
      </c>
      <c r="B745" s="2492">
        <v>2252.7669999999998</v>
      </c>
      <c r="C745" s="2493">
        <v>1.04</v>
      </c>
      <c r="D745" s="2494">
        <v>2552166</v>
      </c>
      <c r="E745" s="2500">
        <v>453205</v>
      </c>
      <c r="F745" s="2500">
        <v>477623</v>
      </c>
      <c r="G745" s="2501">
        <v>1481114346</v>
      </c>
    </row>
    <row r="746" spans="1:7" ht="21">
      <c r="A746" s="1080" t="s">
        <v>1097</v>
      </c>
      <c r="B746" s="2492">
        <v>336.67</v>
      </c>
      <c r="C746" s="2493">
        <v>0.97299999999999998</v>
      </c>
      <c r="D746" s="2494">
        <v>240575</v>
      </c>
      <c r="E746" s="2500">
        <v>187198</v>
      </c>
      <c r="F746" s="2500">
        <v>0</v>
      </c>
      <c r="G746" s="2501">
        <v>406269281</v>
      </c>
    </row>
    <row r="747" spans="1:7" ht="21">
      <c r="A747" s="1080" t="s">
        <v>1098</v>
      </c>
      <c r="B747" s="2492">
        <v>107.467</v>
      </c>
      <c r="C747" s="2493">
        <v>1.0065999999999999</v>
      </c>
      <c r="D747" s="2494">
        <v>0</v>
      </c>
      <c r="E747" s="2500">
        <v>0</v>
      </c>
      <c r="F747" s="2500">
        <v>0</v>
      </c>
      <c r="G747" s="2501">
        <v>44154613</v>
      </c>
    </row>
    <row r="748" spans="1:7" ht="21">
      <c r="A748" s="1080" t="s">
        <v>1099</v>
      </c>
      <c r="B748" s="2492">
        <v>85.478999999999999</v>
      </c>
      <c r="C748" s="2493">
        <v>1.04</v>
      </c>
      <c r="D748" s="2494">
        <v>0</v>
      </c>
      <c r="E748" s="2500">
        <v>0</v>
      </c>
      <c r="F748" s="2500">
        <v>0</v>
      </c>
      <c r="G748" s="2501">
        <v>251362855</v>
      </c>
    </row>
    <row r="749" spans="1:7" ht="21">
      <c r="A749" s="1080" t="s">
        <v>2225</v>
      </c>
      <c r="B749" s="2492">
        <v>2640.6469999999999</v>
      </c>
      <c r="C749" s="2493">
        <v>1.04</v>
      </c>
      <c r="D749" s="2494">
        <v>1332421</v>
      </c>
      <c r="E749" s="2500">
        <v>911733</v>
      </c>
      <c r="F749" s="2500">
        <v>649545</v>
      </c>
      <c r="G749" s="2501">
        <v>926392214</v>
      </c>
    </row>
    <row r="750" spans="1:7" ht="21">
      <c r="A750" s="1080" t="s">
        <v>1100</v>
      </c>
      <c r="B750" s="2492">
        <v>1682.4839999999999</v>
      </c>
      <c r="C750" s="2493">
        <v>1.04</v>
      </c>
      <c r="D750" s="2494">
        <v>550882</v>
      </c>
      <c r="E750" s="2500">
        <v>537195</v>
      </c>
      <c r="F750" s="2500">
        <v>0</v>
      </c>
      <c r="G750" s="2501">
        <v>477454638</v>
      </c>
    </row>
    <row r="751" spans="1:7" ht="21">
      <c r="A751" s="1080" t="s">
        <v>1101</v>
      </c>
      <c r="B751" s="2492">
        <v>2126.88</v>
      </c>
      <c r="C751" s="2493">
        <v>1.17</v>
      </c>
      <c r="D751" s="2494">
        <v>4439823</v>
      </c>
      <c r="E751" s="2500">
        <v>2123789</v>
      </c>
      <c r="F751" s="2500">
        <v>0</v>
      </c>
      <c r="G751" s="2501">
        <v>1713297432</v>
      </c>
    </row>
    <row r="752" spans="1:7" ht="21">
      <c r="A752" s="1080" t="s">
        <v>1655</v>
      </c>
      <c r="B752" s="2492">
        <v>4539.5540000000001</v>
      </c>
      <c r="C752" s="2493">
        <v>1.125</v>
      </c>
      <c r="D752" s="2494">
        <v>886919</v>
      </c>
      <c r="E752" s="2500">
        <v>146396</v>
      </c>
      <c r="F752" s="2500">
        <v>709420</v>
      </c>
      <c r="G752" s="2501">
        <v>944567658</v>
      </c>
    </row>
    <row r="753" spans="1:7" ht="21">
      <c r="A753" s="1080" t="s">
        <v>1248</v>
      </c>
      <c r="B753" s="2492">
        <v>3141.585</v>
      </c>
      <c r="C753" s="2493">
        <v>1.04</v>
      </c>
      <c r="D753" s="2494">
        <v>3262568</v>
      </c>
      <c r="E753" s="2500">
        <v>1016092</v>
      </c>
      <c r="F753" s="2500">
        <v>0</v>
      </c>
      <c r="G753" s="2501">
        <v>988788990</v>
      </c>
    </row>
    <row r="754" spans="1:7" ht="21">
      <c r="A754" s="1080" t="s">
        <v>1249</v>
      </c>
      <c r="B754" s="2492">
        <v>182.364</v>
      </c>
      <c r="C754" s="2493">
        <v>1.04</v>
      </c>
      <c r="D754" s="2494">
        <v>77890</v>
      </c>
      <c r="E754" s="2500">
        <v>33290</v>
      </c>
      <c r="F754" s="2500">
        <v>0</v>
      </c>
      <c r="G754" s="2501">
        <v>142349521</v>
      </c>
    </row>
    <row r="755" spans="1:7" ht="21">
      <c r="A755" s="1080" t="s">
        <v>1250</v>
      </c>
      <c r="B755" s="2492">
        <v>299.20999999999998</v>
      </c>
      <c r="C755" s="2493">
        <v>1.0401</v>
      </c>
      <c r="D755" s="2494">
        <v>770820</v>
      </c>
      <c r="E755" s="2500">
        <v>37916</v>
      </c>
      <c r="F755" s="2500">
        <v>0</v>
      </c>
      <c r="G755" s="2501">
        <v>881962525</v>
      </c>
    </row>
    <row r="756" spans="1:7" ht="21">
      <c r="A756" s="1080" t="s">
        <v>2902</v>
      </c>
      <c r="B756" s="2492">
        <v>3059.4</v>
      </c>
      <c r="C756" s="2493">
        <v>1.0401</v>
      </c>
      <c r="D756" s="2494">
        <v>2754549</v>
      </c>
      <c r="E756" s="2500">
        <v>1398561</v>
      </c>
      <c r="F756" s="2500">
        <v>548869</v>
      </c>
      <c r="G756" s="2501">
        <v>760565241</v>
      </c>
    </row>
    <row r="757" spans="1:7" ht="21">
      <c r="A757" s="1080" t="s">
        <v>1529</v>
      </c>
      <c r="B757" s="2492">
        <v>440.09199999999998</v>
      </c>
      <c r="C757" s="2493">
        <v>1.17</v>
      </c>
      <c r="D757" s="2494">
        <v>323182</v>
      </c>
      <c r="E757" s="2500">
        <v>209013</v>
      </c>
      <c r="F757" s="2500">
        <v>0</v>
      </c>
      <c r="G757" s="2501">
        <v>262554946</v>
      </c>
    </row>
    <row r="758" spans="1:7" ht="21">
      <c r="A758" s="1080" t="s">
        <v>1530</v>
      </c>
      <c r="B758" s="2492">
        <v>162.84100000000001</v>
      </c>
      <c r="C758" s="2493">
        <v>1.17</v>
      </c>
      <c r="D758" s="2494">
        <v>0</v>
      </c>
      <c r="E758" s="2500">
        <v>0</v>
      </c>
      <c r="F758" s="2500">
        <v>0</v>
      </c>
      <c r="G758" s="2501">
        <v>67539622</v>
      </c>
    </row>
    <row r="759" spans="1:7" ht="21">
      <c r="A759" s="1080" t="s">
        <v>1531</v>
      </c>
      <c r="B759" s="2492">
        <v>105.58199999999999</v>
      </c>
      <c r="C759" s="2493">
        <v>1.0401</v>
      </c>
      <c r="D759" s="2494">
        <v>250311</v>
      </c>
      <c r="E759" s="2500">
        <v>0</v>
      </c>
      <c r="F759" s="2500">
        <v>0</v>
      </c>
      <c r="G759" s="2501">
        <v>482629909</v>
      </c>
    </row>
    <row r="760" spans="1:7" ht="21">
      <c r="A760" s="1080" t="s">
        <v>1532</v>
      </c>
      <c r="B760" s="2492">
        <v>649.15899999999999</v>
      </c>
      <c r="C760" s="2493">
        <v>1.01</v>
      </c>
      <c r="D760" s="2494">
        <v>511259</v>
      </c>
      <c r="E760" s="2500">
        <v>312392</v>
      </c>
      <c r="F760" s="2500">
        <v>0</v>
      </c>
      <c r="G760" s="2501">
        <v>492282813</v>
      </c>
    </row>
    <row r="761" spans="1:7" ht="21">
      <c r="A761" s="1080" t="s">
        <v>1533</v>
      </c>
      <c r="B761" s="2492">
        <v>2501.4989999999998</v>
      </c>
      <c r="C761" s="2493">
        <v>0.9</v>
      </c>
      <c r="D761" s="2494">
        <v>8234818</v>
      </c>
      <c r="E761" s="2500">
        <v>1946949</v>
      </c>
      <c r="F761" s="2500">
        <v>0</v>
      </c>
      <c r="G761" s="2501">
        <v>3283029822</v>
      </c>
    </row>
    <row r="762" spans="1:7" ht="21">
      <c r="A762" s="1080" t="s">
        <v>2974</v>
      </c>
      <c r="B762" s="2492">
        <v>412.72399999999999</v>
      </c>
      <c r="C762" s="2493">
        <v>0.9</v>
      </c>
      <c r="D762" s="2494">
        <v>1065178</v>
      </c>
      <c r="E762" s="2500">
        <v>214996</v>
      </c>
      <c r="F762" s="2500">
        <v>100000</v>
      </c>
      <c r="G762" s="2501">
        <v>271877727</v>
      </c>
    </row>
    <row r="763" spans="1:7" ht="21">
      <c r="A763" s="1080" t="s">
        <v>805</v>
      </c>
      <c r="B763" s="2492">
        <v>493.58300000000003</v>
      </c>
      <c r="C763" s="2493">
        <v>1.17</v>
      </c>
      <c r="D763" s="2494">
        <v>378723</v>
      </c>
      <c r="E763" s="2500">
        <v>230730</v>
      </c>
      <c r="F763" s="2500">
        <v>104041</v>
      </c>
      <c r="G763" s="2501">
        <v>166536749</v>
      </c>
    </row>
    <row r="764" spans="1:7" ht="21">
      <c r="A764" s="1080" t="s">
        <v>1703</v>
      </c>
      <c r="B764" s="2492">
        <v>3104.13</v>
      </c>
      <c r="C764" s="2493">
        <v>1.04</v>
      </c>
      <c r="D764" s="2494">
        <v>3583856</v>
      </c>
      <c r="E764" s="2500">
        <v>2244218</v>
      </c>
      <c r="F764" s="2500">
        <v>1187079</v>
      </c>
      <c r="G764" s="2501">
        <v>829434921</v>
      </c>
    </row>
    <row r="765" spans="1:7" ht="21">
      <c r="A765" s="1080" t="s">
        <v>1656</v>
      </c>
      <c r="B765" s="2492">
        <v>7275.2659999999996</v>
      </c>
      <c r="C765" s="2493">
        <v>1.17</v>
      </c>
      <c r="D765" s="2494">
        <v>7513649</v>
      </c>
      <c r="E765" s="2500">
        <v>5786004</v>
      </c>
      <c r="F765" s="2500">
        <v>239999</v>
      </c>
      <c r="G765" s="2501">
        <v>3445477079</v>
      </c>
    </row>
    <row r="766" spans="1:7" ht="21">
      <c r="A766" s="1080" t="s">
        <v>2901</v>
      </c>
      <c r="B766" s="2492">
        <v>814.51599999999996</v>
      </c>
      <c r="C766" s="2493">
        <v>1.17</v>
      </c>
      <c r="D766" s="2494">
        <v>1446647</v>
      </c>
      <c r="E766" s="2500">
        <v>807737</v>
      </c>
      <c r="F766" s="2500">
        <v>352281</v>
      </c>
      <c r="G766" s="2501">
        <v>278529878</v>
      </c>
    </row>
    <row r="767" spans="1:7" ht="21">
      <c r="A767" s="1080" t="s">
        <v>1563</v>
      </c>
      <c r="B767" s="2492">
        <v>4840.0360000000001</v>
      </c>
      <c r="C767" s="2493">
        <v>1.17</v>
      </c>
      <c r="D767" s="2494">
        <v>6681248</v>
      </c>
      <c r="E767" s="2500">
        <v>4431150</v>
      </c>
      <c r="F767" s="2500">
        <v>0</v>
      </c>
      <c r="G767" s="2501">
        <v>2503292456</v>
      </c>
    </row>
    <row r="768" spans="1:7" ht="21">
      <c r="A768" s="1080" t="s">
        <v>236</v>
      </c>
      <c r="B768" s="2492">
        <v>1032.316</v>
      </c>
      <c r="C768" s="2493">
        <v>1.04</v>
      </c>
      <c r="D768" s="2494">
        <v>952091</v>
      </c>
      <c r="E768" s="2500">
        <v>414702</v>
      </c>
      <c r="F768" s="2500">
        <v>320976</v>
      </c>
      <c r="G768" s="2501">
        <v>261272277</v>
      </c>
    </row>
    <row r="769" spans="1:7" ht="21">
      <c r="A769" s="1080" t="s">
        <v>2144</v>
      </c>
      <c r="B769" s="2492">
        <v>1119.8699999999999</v>
      </c>
      <c r="C769" s="2493">
        <v>1.17</v>
      </c>
      <c r="D769" s="2494">
        <v>1717183</v>
      </c>
      <c r="E769" s="2500">
        <v>901357</v>
      </c>
      <c r="F769" s="2500">
        <v>167169</v>
      </c>
      <c r="G769" s="2501">
        <v>445969460</v>
      </c>
    </row>
    <row r="770" spans="1:7" ht="21">
      <c r="A770" s="1080" t="s">
        <v>1834</v>
      </c>
      <c r="B770" s="2492">
        <v>177.30500000000001</v>
      </c>
      <c r="C770" s="2493">
        <v>1.04</v>
      </c>
      <c r="D770" s="2494">
        <v>178019</v>
      </c>
      <c r="E770" s="2500">
        <v>51905</v>
      </c>
      <c r="F770" s="2500">
        <v>0</v>
      </c>
      <c r="G770" s="2501">
        <v>147318033</v>
      </c>
    </row>
    <row r="771" spans="1:7" ht="21">
      <c r="A771" s="1080" t="s">
        <v>1835</v>
      </c>
      <c r="B771" s="2492">
        <v>444.90199999999999</v>
      </c>
      <c r="C771" s="2493">
        <v>1.04</v>
      </c>
      <c r="D771" s="2494">
        <v>0</v>
      </c>
      <c r="E771" s="2500">
        <v>0</v>
      </c>
      <c r="F771" s="2500">
        <v>0</v>
      </c>
      <c r="G771" s="2501">
        <v>84262611</v>
      </c>
    </row>
    <row r="772" spans="1:7" ht="21">
      <c r="A772" s="1080" t="s">
        <v>1836</v>
      </c>
      <c r="B772" s="2492">
        <v>518.505</v>
      </c>
      <c r="C772" s="2493">
        <v>1.04</v>
      </c>
      <c r="D772" s="2494">
        <v>0</v>
      </c>
      <c r="E772" s="2500">
        <v>0</v>
      </c>
      <c r="F772" s="2500">
        <v>0</v>
      </c>
      <c r="G772" s="2501">
        <v>162573621</v>
      </c>
    </row>
    <row r="773" spans="1:7" ht="21">
      <c r="A773" s="1080" t="s">
        <v>1837</v>
      </c>
      <c r="B773" s="2492">
        <v>1059.67</v>
      </c>
      <c r="C773" s="2493">
        <v>0.94</v>
      </c>
      <c r="D773" s="2494">
        <v>267849</v>
      </c>
      <c r="E773" s="2500">
        <v>260924</v>
      </c>
      <c r="F773" s="2500">
        <v>0</v>
      </c>
      <c r="G773" s="2501">
        <v>321237572</v>
      </c>
    </row>
    <row r="774" spans="1:7" ht="21">
      <c r="A774" s="1080" t="s">
        <v>1838</v>
      </c>
      <c r="B774" s="2492">
        <v>171.321</v>
      </c>
      <c r="C774" s="2493">
        <v>1.17</v>
      </c>
      <c r="D774" s="2494">
        <v>0</v>
      </c>
      <c r="E774" s="2500">
        <v>0</v>
      </c>
      <c r="F774" s="2500">
        <v>0</v>
      </c>
      <c r="G774" s="2501">
        <v>65961032</v>
      </c>
    </row>
    <row r="775" spans="1:7" ht="21">
      <c r="A775" s="1080" t="s">
        <v>2140</v>
      </c>
      <c r="B775" s="2492">
        <v>152.84</v>
      </c>
      <c r="C775" s="2493">
        <v>1.04</v>
      </c>
      <c r="D775" s="2494">
        <v>81317</v>
      </c>
      <c r="E775" s="2500">
        <v>21310</v>
      </c>
      <c r="F775" s="2500">
        <v>0</v>
      </c>
      <c r="G775" s="2501">
        <v>429376818</v>
      </c>
    </row>
    <row r="776" spans="1:7" ht="21">
      <c r="A776" s="1080" t="s">
        <v>2625</v>
      </c>
      <c r="B776" s="2492">
        <v>2301.21</v>
      </c>
      <c r="C776" s="2493">
        <v>1.04</v>
      </c>
      <c r="D776" s="2494">
        <v>2831482</v>
      </c>
      <c r="E776" s="2500">
        <v>1265922</v>
      </c>
      <c r="F776" s="2500">
        <v>0</v>
      </c>
      <c r="G776" s="2501">
        <v>1520168948</v>
      </c>
    </row>
    <row r="777" spans="1:7" ht="21">
      <c r="A777" s="1080" t="s">
        <v>2614</v>
      </c>
      <c r="B777" s="2492">
        <v>496.32900000000001</v>
      </c>
      <c r="C777" s="2493">
        <v>1.06</v>
      </c>
      <c r="D777" s="2494">
        <v>2265671</v>
      </c>
      <c r="E777" s="2500">
        <v>284673</v>
      </c>
      <c r="F777" s="2500">
        <v>0</v>
      </c>
      <c r="G777" s="2501">
        <v>2102501782</v>
      </c>
    </row>
    <row r="778" spans="1:7" ht="21">
      <c r="A778" s="1080" t="s">
        <v>1477</v>
      </c>
      <c r="B778" s="2492">
        <v>455.28</v>
      </c>
      <c r="C778" s="2493">
        <v>1.04</v>
      </c>
      <c r="D778" s="2494">
        <v>404518</v>
      </c>
      <c r="E778" s="2500">
        <v>277201</v>
      </c>
      <c r="F778" s="2500">
        <v>0</v>
      </c>
      <c r="G778" s="2501">
        <v>309772345</v>
      </c>
    </row>
    <row r="779" spans="1:7" ht="21">
      <c r="A779" s="1080" t="s">
        <v>790</v>
      </c>
      <c r="B779" s="2492">
        <v>225.197</v>
      </c>
      <c r="C779" s="2493">
        <v>1.17</v>
      </c>
      <c r="D779" s="2494">
        <v>0</v>
      </c>
      <c r="E779" s="2500">
        <v>0</v>
      </c>
      <c r="F779" s="2500">
        <v>0</v>
      </c>
      <c r="G779" s="2501">
        <v>117293755</v>
      </c>
    </row>
    <row r="780" spans="1:7" ht="21">
      <c r="A780" s="1080" t="s">
        <v>2917</v>
      </c>
      <c r="B780" s="2492">
        <v>911.34100000000001</v>
      </c>
      <c r="C780" s="2493">
        <v>1.04</v>
      </c>
      <c r="D780" s="2494">
        <v>427242</v>
      </c>
      <c r="E780" s="2500">
        <v>418294</v>
      </c>
      <c r="F780" s="2500">
        <v>0</v>
      </c>
      <c r="G780" s="2501">
        <v>276416866</v>
      </c>
    </row>
    <row r="781" spans="1:7" ht="21">
      <c r="A781" s="1080" t="s">
        <v>791</v>
      </c>
      <c r="B781" s="2492">
        <v>149.886</v>
      </c>
      <c r="C781" s="2493">
        <v>1.04</v>
      </c>
      <c r="D781" s="2494">
        <v>129673</v>
      </c>
      <c r="E781" s="2500">
        <v>48258</v>
      </c>
      <c r="F781" s="2500">
        <v>0</v>
      </c>
      <c r="G781" s="2501">
        <v>130167645</v>
      </c>
    </row>
    <row r="782" spans="1:7" ht="21">
      <c r="A782" s="1080" t="s">
        <v>1992</v>
      </c>
      <c r="B782" s="2492">
        <v>3825.5030000000002</v>
      </c>
      <c r="C782" s="2493">
        <v>1.04</v>
      </c>
      <c r="D782" s="2494">
        <v>4893105</v>
      </c>
      <c r="E782" s="2500">
        <v>2833525</v>
      </c>
      <c r="F782" s="2500">
        <v>1879000</v>
      </c>
      <c r="G782" s="2501">
        <v>1344585262</v>
      </c>
    </row>
    <row r="783" spans="1:7" ht="21">
      <c r="A783" s="1080" t="s">
        <v>1380</v>
      </c>
      <c r="B783" s="2492">
        <v>846.24800000000005</v>
      </c>
      <c r="C783" s="2493">
        <v>1.04</v>
      </c>
      <c r="D783" s="2494">
        <v>1140855</v>
      </c>
      <c r="E783" s="2500">
        <v>350176</v>
      </c>
      <c r="F783" s="2500">
        <v>0</v>
      </c>
      <c r="G783" s="2501">
        <v>433861935</v>
      </c>
    </row>
    <row r="784" spans="1:7" ht="21">
      <c r="A784" s="1080" t="s">
        <v>1839</v>
      </c>
      <c r="B784" s="2492">
        <v>30275.185000000001</v>
      </c>
      <c r="C784" s="2493">
        <v>1.08</v>
      </c>
      <c r="D784" s="2494">
        <v>8642816</v>
      </c>
      <c r="E784" s="2500">
        <v>5810417</v>
      </c>
      <c r="F784" s="2500">
        <v>1311380</v>
      </c>
      <c r="G784" s="2501">
        <v>7724626862</v>
      </c>
    </row>
    <row r="785" spans="1:7" ht="21">
      <c r="A785" s="1080" t="s">
        <v>227</v>
      </c>
      <c r="B785" s="2492">
        <v>1226.2950000000001</v>
      </c>
      <c r="C785" s="2493">
        <v>1.0900000000000001</v>
      </c>
      <c r="D785" s="2494">
        <v>695203</v>
      </c>
      <c r="E785" s="2500">
        <v>529061</v>
      </c>
      <c r="F785" s="2500">
        <v>171031</v>
      </c>
      <c r="G785" s="2501">
        <v>235995483</v>
      </c>
    </row>
    <row r="786" spans="1:7" ht="21">
      <c r="A786" s="1080" t="s">
        <v>625</v>
      </c>
      <c r="B786" s="2492">
        <v>822.26499999999999</v>
      </c>
      <c r="C786" s="2493">
        <v>1.04</v>
      </c>
      <c r="D786" s="2494">
        <v>1192982</v>
      </c>
      <c r="E786" s="2500">
        <v>380333</v>
      </c>
      <c r="F786" s="2500">
        <v>0</v>
      </c>
      <c r="G786" s="2501">
        <v>944915364</v>
      </c>
    </row>
    <row r="787" spans="1:7" ht="21">
      <c r="A787" s="1080" t="s">
        <v>2496</v>
      </c>
      <c r="B787" s="2492">
        <v>1404.7460000000001</v>
      </c>
      <c r="C787" s="2493">
        <v>1.04</v>
      </c>
      <c r="D787" s="2494">
        <v>2820258</v>
      </c>
      <c r="E787" s="2500">
        <v>1239916</v>
      </c>
      <c r="F787" s="2500">
        <v>0</v>
      </c>
      <c r="G787" s="2501">
        <v>1015810830</v>
      </c>
    </row>
    <row r="788" spans="1:7" ht="21">
      <c r="A788" s="1080" t="s">
        <v>1657</v>
      </c>
      <c r="B788" s="2492">
        <v>310.79399999999998</v>
      </c>
      <c r="C788" s="2493">
        <v>1.04</v>
      </c>
      <c r="D788" s="2494">
        <v>448766</v>
      </c>
      <c r="E788" s="2500">
        <v>153918</v>
      </c>
      <c r="F788" s="2500">
        <v>241412</v>
      </c>
      <c r="G788" s="2501">
        <v>172771729</v>
      </c>
    </row>
    <row r="789" spans="1:7" ht="21">
      <c r="A789" s="1080" t="s">
        <v>245</v>
      </c>
      <c r="B789" s="2492">
        <v>1261.4059999999999</v>
      </c>
      <c r="C789" s="2493">
        <v>1.17</v>
      </c>
      <c r="D789" s="2494">
        <v>416464</v>
      </c>
      <c r="E789" s="2500">
        <v>89158</v>
      </c>
      <c r="F789" s="2500">
        <v>213733</v>
      </c>
      <c r="G789" s="2501">
        <v>227712996</v>
      </c>
    </row>
    <row r="790" spans="1:7" ht="21">
      <c r="A790" s="1080" t="s">
        <v>1464</v>
      </c>
      <c r="B790" s="2492">
        <v>1531.0830000000001</v>
      </c>
      <c r="C790" s="2493">
        <v>1.04</v>
      </c>
      <c r="D790" s="2494">
        <v>962619</v>
      </c>
      <c r="E790" s="2500">
        <v>980992</v>
      </c>
      <c r="F790" s="2500">
        <v>0</v>
      </c>
      <c r="G790" s="2501">
        <v>503571849</v>
      </c>
    </row>
    <row r="791" spans="1:7" ht="21">
      <c r="A791" s="1080" t="s">
        <v>1465</v>
      </c>
      <c r="B791" s="2492">
        <v>8879.2870000000003</v>
      </c>
      <c r="C791" s="2493">
        <v>1.04</v>
      </c>
      <c r="D791" s="2494">
        <v>6518459</v>
      </c>
      <c r="E791" s="2500">
        <v>6327283</v>
      </c>
      <c r="F791" s="2500">
        <v>0</v>
      </c>
      <c r="G791" s="2501">
        <v>3481875907</v>
      </c>
    </row>
    <row r="792" spans="1:7" ht="21">
      <c r="A792" s="1080" t="s">
        <v>2883</v>
      </c>
      <c r="B792" s="2492">
        <v>803.75699999999995</v>
      </c>
      <c r="C792" s="2493">
        <v>1.1000000000000001</v>
      </c>
      <c r="D792" s="2494">
        <v>3055076</v>
      </c>
      <c r="E792" s="2500">
        <v>353407</v>
      </c>
      <c r="F792" s="2500">
        <v>0</v>
      </c>
      <c r="G792" s="2501">
        <v>2464086717</v>
      </c>
    </row>
    <row r="793" spans="1:7" ht="21">
      <c r="A793" s="1080" t="s">
        <v>896</v>
      </c>
      <c r="B793" s="2492">
        <v>231.899</v>
      </c>
      <c r="C793" s="2493">
        <v>1.04</v>
      </c>
      <c r="D793" s="2494">
        <v>464982</v>
      </c>
      <c r="E793" s="2500">
        <v>0</v>
      </c>
      <c r="F793" s="2500">
        <v>0</v>
      </c>
      <c r="G793" s="2501">
        <v>275447864</v>
      </c>
    </row>
    <row r="794" spans="1:7" ht="21">
      <c r="A794" s="1080" t="s">
        <v>135</v>
      </c>
      <c r="B794" s="2492">
        <v>332.64600000000002</v>
      </c>
      <c r="C794" s="2493">
        <v>1.04</v>
      </c>
      <c r="D794" s="2494">
        <v>0</v>
      </c>
      <c r="E794" s="2500">
        <v>0</v>
      </c>
      <c r="F794" s="2500">
        <v>0</v>
      </c>
      <c r="G794" s="2501">
        <v>46982011</v>
      </c>
    </row>
    <row r="795" spans="1:7" ht="21">
      <c r="A795" s="1080" t="s">
        <v>3051</v>
      </c>
      <c r="B795" s="2492">
        <v>639.303</v>
      </c>
      <c r="C795" s="2493">
        <v>1.04</v>
      </c>
      <c r="D795" s="2494">
        <v>591329</v>
      </c>
      <c r="E795" s="2500">
        <v>165557</v>
      </c>
      <c r="F795" s="2500">
        <v>319738</v>
      </c>
      <c r="G795" s="2501">
        <v>211057151</v>
      </c>
    </row>
    <row r="796" spans="1:7" ht="21">
      <c r="A796" s="1080" t="s">
        <v>2597</v>
      </c>
      <c r="B796" s="2492">
        <v>543.06200000000001</v>
      </c>
      <c r="C796" s="2493">
        <v>1.04</v>
      </c>
      <c r="D796" s="2494">
        <v>0</v>
      </c>
      <c r="E796" s="2500">
        <v>0</v>
      </c>
      <c r="F796" s="2500">
        <v>0</v>
      </c>
      <c r="G796" s="2501">
        <v>200713097</v>
      </c>
    </row>
    <row r="797" spans="1:7" ht="21">
      <c r="A797" s="1080" t="s">
        <v>411</v>
      </c>
      <c r="B797" s="2492">
        <v>497.62200000000001</v>
      </c>
      <c r="C797" s="2493">
        <v>1.17</v>
      </c>
      <c r="D797" s="2494">
        <v>132917</v>
      </c>
      <c r="E797" s="2500">
        <v>0</v>
      </c>
      <c r="F797" s="2500">
        <v>114350</v>
      </c>
      <c r="G797" s="2501">
        <v>61336286</v>
      </c>
    </row>
    <row r="798" spans="1:7" ht="21">
      <c r="A798" s="1080" t="s">
        <v>1113</v>
      </c>
      <c r="B798" s="2492">
        <v>2227.7289999999998</v>
      </c>
      <c r="C798" s="2493">
        <v>1.04</v>
      </c>
      <c r="D798" s="2494">
        <v>1838920</v>
      </c>
      <c r="E798" s="2500">
        <v>1456196</v>
      </c>
      <c r="F798" s="2500">
        <v>0</v>
      </c>
      <c r="G798" s="2501">
        <v>2280495234</v>
      </c>
    </row>
    <row r="799" spans="1:7" ht="21">
      <c r="A799" s="1080" t="s">
        <v>1932</v>
      </c>
      <c r="B799" s="2492">
        <v>149.12899999999999</v>
      </c>
      <c r="C799" s="2493">
        <v>1.17</v>
      </c>
      <c r="D799" s="2494">
        <v>29136</v>
      </c>
      <c r="E799" s="2500">
        <v>0</v>
      </c>
      <c r="F799" s="2500">
        <v>21770</v>
      </c>
      <c r="G799" s="2501">
        <v>32591888</v>
      </c>
    </row>
    <row r="800" spans="1:7" ht="21">
      <c r="A800" s="1080" t="s">
        <v>793</v>
      </c>
      <c r="B800" s="2492">
        <v>151.50200000000001</v>
      </c>
      <c r="C800" s="2493">
        <v>1.04</v>
      </c>
      <c r="D800" s="2494">
        <v>106111</v>
      </c>
      <c r="E800" s="2500">
        <v>12869</v>
      </c>
      <c r="F800" s="2500">
        <v>0</v>
      </c>
      <c r="G800" s="2501">
        <v>519010690</v>
      </c>
    </row>
    <row r="801" spans="1:7" ht="21">
      <c r="A801" s="1080" t="s">
        <v>794</v>
      </c>
      <c r="B801" s="2492">
        <v>485.55900000000003</v>
      </c>
      <c r="C801" s="2493">
        <v>1.17</v>
      </c>
      <c r="D801" s="2494">
        <v>928534</v>
      </c>
      <c r="E801" s="2500">
        <v>492842</v>
      </c>
      <c r="F801" s="2500">
        <v>0</v>
      </c>
      <c r="G801" s="2501">
        <v>279255909</v>
      </c>
    </row>
    <row r="802" spans="1:7" ht="21">
      <c r="A802" s="1080" t="s">
        <v>795</v>
      </c>
      <c r="B802" s="2492">
        <v>679.95399999999995</v>
      </c>
      <c r="C802" s="2493">
        <v>1.04</v>
      </c>
      <c r="D802" s="2494">
        <v>683372</v>
      </c>
      <c r="E802" s="2500">
        <v>298950</v>
      </c>
      <c r="F802" s="2500">
        <v>0</v>
      </c>
      <c r="G802" s="2501">
        <v>600262292</v>
      </c>
    </row>
    <row r="803" spans="1:7" ht="21">
      <c r="A803" s="1080" t="s">
        <v>1644</v>
      </c>
      <c r="B803" s="2492">
        <v>187.31200000000001</v>
      </c>
      <c r="C803" s="2493">
        <v>1.04</v>
      </c>
      <c r="D803" s="2494">
        <v>2274948</v>
      </c>
      <c r="E803" s="2500">
        <v>0</v>
      </c>
      <c r="F803" s="2500">
        <v>0</v>
      </c>
      <c r="G803" s="2501">
        <v>889202400</v>
      </c>
    </row>
    <row r="804" spans="1:7" ht="21">
      <c r="A804" s="1080" t="s">
        <v>1645</v>
      </c>
      <c r="B804" s="2492">
        <v>410.62299999999999</v>
      </c>
      <c r="C804" s="2493">
        <v>1.04</v>
      </c>
      <c r="D804" s="2494">
        <v>1135742</v>
      </c>
      <c r="E804" s="2500">
        <v>344145</v>
      </c>
      <c r="F804" s="2500">
        <v>0</v>
      </c>
      <c r="G804" s="2501">
        <v>358580340</v>
      </c>
    </row>
    <row r="805" spans="1:7" ht="21">
      <c r="A805" s="1080" t="s">
        <v>1646</v>
      </c>
      <c r="B805" s="2492">
        <v>151.58799999999999</v>
      </c>
      <c r="C805" s="2493">
        <v>1.17</v>
      </c>
      <c r="D805" s="2494">
        <v>0</v>
      </c>
      <c r="E805" s="2500">
        <v>0</v>
      </c>
      <c r="F805" s="2500">
        <v>0</v>
      </c>
      <c r="G805" s="2501">
        <v>104807388</v>
      </c>
    </row>
    <row r="806" spans="1:7" ht="21">
      <c r="A806" s="1080" t="s">
        <v>1647</v>
      </c>
      <c r="B806" s="2492">
        <v>1008.547</v>
      </c>
      <c r="C806" s="2493">
        <v>0.93200000000000005</v>
      </c>
      <c r="D806" s="2494">
        <v>6156360</v>
      </c>
      <c r="E806" s="2500">
        <v>0</v>
      </c>
      <c r="F806" s="2500">
        <v>0</v>
      </c>
      <c r="G806" s="2501">
        <v>2081263089</v>
      </c>
    </row>
    <row r="807" spans="1:7" ht="21">
      <c r="A807" s="1080" t="s">
        <v>1648</v>
      </c>
      <c r="B807" s="2492">
        <v>854.375</v>
      </c>
      <c r="C807" s="2493">
        <v>1.04</v>
      </c>
      <c r="D807" s="2494">
        <v>1018597</v>
      </c>
      <c r="E807" s="2500">
        <v>826697</v>
      </c>
      <c r="F807" s="2500">
        <v>0</v>
      </c>
      <c r="G807" s="2501">
        <v>447079833</v>
      </c>
    </row>
    <row r="808" spans="1:7" ht="21">
      <c r="A808" s="1080" t="s">
        <v>1649</v>
      </c>
      <c r="B808" s="2492">
        <v>532.80499999999995</v>
      </c>
      <c r="C808" s="2493">
        <v>1.04</v>
      </c>
      <c r="D808" s="2494">
        <v>0</v>
      </c>
      <c r="E808" s="2500">
        <v>0</v>
      </c>
      <c r="F808" s="2500">
        <v>0</v>
      </c>
      <c r="G808" s="2501">
        <v>112115305</v>
      </c>
    </row>
    <row r="809" spans="1:7" ht="21">
      <c r="A809" s="1080" t="s">
        <v>1885</v>
      </c>
      <c r="B809" s="2492">
        <v>14265.522999999999</v>
      </c>
      <c r="C809" s="2493">
        <v>1.04</v>
      </c>
      <c r="D809" s="2494">
        <v>26929688</v>
      </c>
      <c r="E809" s="2500">
        <v>14479506</v>
      </c>
      <c r="F809" s="2500">
        <v>0</v>
      </c>
      <c r="G809" s="2501">
        <v>6084997506</v>
      </c>
    </row>
    <row r="810" spans="1:7" ht="21">
      <c r="A810" s="1080" t="s">
        <v>2056</v>
      </c>
      <c r="B810" s="2492">
        <v>4797.3509999999997</v>
      </c>
      <c r="C810" s="2493">
        <v>1.17</v>
      </c>
      <c r="D810" s="2494">
        <v>5876461</v>
      </c>
      <c r="E810" s="2500">
        <v>3178635</v>
      </c>
      <c r="F810" s="2500">
        <v>662496</v>
      </c>
      <c r="G810" s="2501">
        <v>1096080897</v>
      </c>
    </row>
    <row r="811" spans="1:7" ht="21">
      <c r="A811" s="1080" t="s">
        <v>1886</v>
      </c>
      <c r="B811" s="2492">
        <v>893.88699999999994</v>
      </c>
      <c r="C811" s="2493">
        <v>1.17</v>
      </c>
      <c r="D811" s="2494">
        <v>2</v>
      </c>
      <c r="E811" s="2500">
        <v>0</v>
      </c>
      <c r="F811" s="2500">
        <v>0</v>
      </c>
      <c r="G811" s="2501">
        <v>260263945</v>
      </c>
    </row>
    <row r="812" spans="1:7" ht="21">
      <c r="A812" s="1080" t="s">
        <v>412</v>
      </c>
      <c r="B812" s="2492">
        <v>419.10399999999998</v>
      </c>
      <c r="C812" s="2493">
        <v>1.17</v>
      </c>
      <c r="D812" s="2494">
        <v>45635</v>
      </c>
      <c r="E812" s="2500">
        <v>0</v>
      </c>
      <c r="F812" s="2500">
        <v>44925</v>
      </c>
      <c r="G812" s="2501">
        <v>67636919</v>
      </c>
    </row>
    <row r="813" spans="1:7" ht="21">
      <c r="A813" s="1080" t="s">
        <v>1350</v>
      </c>
      <c r="B813" s="2492">
        <v>532.44100000000003</v>
      </c>
      <c r="C813" s="2493">
        <v>1.04</v>
      </c>
      <c r="D813" s="2494">
        <v>0</v>
      </c>
      <c r="E813" s="2500">
        <v>0</v>
      </c>
      <c r="F813" s="2500">
        <v>0</v>
      </c>
      <c r="G813" s="2501">
        <v>5227699</v>
      </c>
    </row>
    <row r="814" spans="1:7" ht="21">
      <c r="A814" s="1080" t="s">
        <v>413</v>
      </c>
      <c r="B814" s="2492">
        <v>46.128999999999998</v>
      </c>
      <c r="C814" s="2493">
        <v>1.17</v>
      </c>
      <c r="D814" s="2494">
        <v>3048</v>
      </c>
      <c r="E814" s="2500">
        <v>0</v>
      </c>
      <c r="F814" s="2500">
        <v>3174</v>
      </c>
      <c r="G814" s="2501">
        <v>205929776</v>
      </c>
    </row>
    <row r="815" spans="1:7" ht="21">
      <c r="A815" s="1080" t="s">
        <v>1887</v>
      </c>
      <c r="B815" s="2492">
        <v>3243.7379999999998</v>
      </c>
      <c r="C815" s="2493">
        <v>1.04</v>
      </c>
      <c r="D815" s="2494">
        <v>3934421</v>
      </c>
      <c r="E815" s="2500">
        <v>1518578</v>
      </c>
      <c r="F815" s="2500">
        <v>0</v>
      </c>
      <c r="G815" s="2501">
        <v>1666562921</v>
      </c>
    </row>
    <row r="816" spans="1:7" ht="21">
      <c r="A816" s="1080" t="s">
        <v>1888</v>
      </c>
      <c r="B816" s="2492">
        <v>146.47399999999999</v>
      </c>
      <c r="C816" s="2493">
        <v>1.17</v>
      </c>
      <c r="D816" s="2494">
        <v>0</v>
      </c>
      <c r="E816" s="2500">
        <v>0</v>
      </c>
      <c r="F816" s="2500">
        <v>0</v>
      </c>
      <c r="G816" s="2501">
        <v>87573197</v>
      </c>
    </row>
    <row r="817" spans="1:7" ht="21">
      <c r="A817" s="1080" t="s">
        <v>1889</v>
      </c>
      <c r="B817" s="2492">
        <v>257.16699999999997</v>
      </c>
      <c r="C817" s="2493">
        <v>1.17</v>
      </c>
      <c r="D817" s="2494">
        <v>0</v>
      </c>
      <c r="E817" s="2500">
        <v>0</v>
      </c>
      <c r="F817" s="2500">
        <v>0</v>
      </c>
      <c r="G817" s="2501">
        <v>48241193</v>
      </c>
    </row>
    <row r="818" spans="1:7" ht="21">
      <c r="A818" s="1080" t="s">
        <v>2830</v>
      </c>
      <c r="B818" s="2492">
        <v>378.173</v>
      </c>
      <c r="C818" s="2493">
        <v>1.17</v>
      </c>
      <c r="D818" s="2494">
        <v>37247</v>
      </c>
      <c r="E818" s="2500">
        <v>27179</v>
      </c>
      <c r="F818" s="2500">
        <v>0</v>
      </c>
      <c r="G818" s="2501">
        <v>59434058</v>
      </c>
    </row>
    <row r="819" spans="1:7" ht="21">
      <c r="A819" s="1080" t="s">
        <v>2831</v>
      </c>
      <c r="B819" s="2492">
        <v>484.32600000000002</v>
      </c>
      <c r="C819" s="2493">
        <v>1.04</v>
      </c>
      <c r="D819" s="2494">
        <v>344294</v>
      </c>
      <c r="E819" s="2500">
        <v>138818</v>
      </c>
      <c r="F819" s="2500">
        <v>160046</v>
      </c>
      <c r="G819" s="2501">
        <v>76194381</v>
      </c>
    </row>
    <row r="820" spans="1:7" ht="21">
      <c r="A820" s="1080" t="s">
        <v>1890</v>
      </c>
      <c r="B820" s="2492">
        <v>1606.9780000000001</v>
      </c>
      <c r="C820" s="2493">
        <v>0.94669999999999999</v>
      </c>
      <c r="D820" s="2494">
        <v>2767209</v>
      </c>
      <c r="E820" s="2500">
        <v>1607278</v>
      </c>
      <c r="F820" s="2500">
        <v>0</v>
      </c>
      <c r="G820" s="2501">
        <v>1347417055</v>
      </c>
    </row>
    <row r="821" spans="1:7" ht="21">
      <c r="A821" s="1080" t="s">
        <v>218</v>
      </c>
      <c r="B821" s="2492">
        <v>598.61599999999999</v>
      </c>
      <c r="C821" s="2493">
        <v>1.17</v>
      </c>
      <c r="D821" s="2494">
        <v>440520</v>
      </c>
      <c r="E821" s="2500">
        <v>213278</v>
      </c>
      <c r="F821" s="2500">
        <v>108583</v>
      </c>
      <c r="G821" s="2501">
        <v>107432437</v>
      </c>
    </row>
    <row r="822" spans="1:7" ht="21">
      <c r="A822" s="1080" t="s">
        <v>1891</v>
      </c>
      <c r="B822" s="2492">
        <v>1024.5709999999999</v>
      </c>
      <c r="C822" s="2493">
        <v>1.04</v>
      </c>
      <c r="D822" s="2494">
        <v>1710461</v>
      </c>
      <c r="E822" s="2500">
        <v>1039940</v>
      </c>
      <c r="F822" s="2500">
        <v>0</v>
      </c>
      <c r="G822" s="2501">
        <v>512034493</v>
      </c>
    </row>
    <row r="823" spans="1:7" ht="21">
      <c r="A823" s="1080" t="s">
        <v>1575</v>
      </c>
      <c r="B823" s="2492">
        <v>816.88699999999994</v>
      </c>
      <c r="C823" s="2493">
        <v>1.04</v>
      </c>
      <c r="D823" s="2494">
        <v>0</v>
      </c>
      <c r="E823" s="2500">
        <v>0</v>
      </c>
      <c r="F823" s="2500">
        <v>0</v>
      </c>
      <c r="G823" s="2501">
        <v>418980296</v>
      </c>
    </row>
    <row r="824" spans="1:7" ht="21">
      <c r="A824" s="1080" t="s">
        <v>1576</v>
      </c>
      <c r="B824" s="2492">
        <v>615.76400000000001</v>
      </c>
      <c r="C824" s="2493">
        <v>1.04</v>
      </c>
      <c r="D824" s="2494">
        <v>283673</v>
      </c>
      <c r="E824" s="2500">
        <v>224541</v>
      </c>
      <c r="F824" s="2500">
        <v>66392</v>
      </c>
      <c r="G824" s="2501">
        <v>100355808</v>
      </c>
    </row>
    <row r="825" spans="1:7" ht="21">
      <c r="A825" s="1080" t="s">
        <v>1577</v>
      </c>
      <c r="B825" s="2492">
        <v>699.67499999999995</v>
      </c>
      <c r="C825" s="2493">
        <v>1.04</v>
      </c>
      <c r="D825" s="2494">
        <v>1020761</v>
      </c>
      <c r="E825" s="2500">
        <v>710170</v>
      </c>
      <c r="F825" s="2500">
        <v>152660</v>
      </c>
      <c r="G825" s="2501">
        <v>466109402</v>
      </c>
    </row>
    <row r="826" spans="1:7" ht="21">
      <c r="A826" s="1080" t="s">
        <v>1832</v>
      </c>
      <c r="B826" s="2492">
        <v>380.18900000000002</v>
      </c>
      <c r="C826" s="2493">
        <v>1.17</v>
      </c>
      <c r="D826" s="2494">
        <v>0</v>
      </c>
      <c r="E826" s="2500">
        <v>0</v>
      </c>
      <c r="F826" s="2500">
        <v>0</v>
      </c>
      <c r="G826" s="2501">
        <v>143317134</v>
      </c>
    </row>
    <row r="827" spans="1:7" ht="21">
      <c r="A827" s="1080" t="s">
        <v>1833</v>
      </c>
      <c r="B827" s="2492">
        <v>1397.6089999999999</v>
      </c>
      <c r="C827" s="2493">
        <v>1.04</v>
      </c>
      <c r="D827" s="2494">
        <v>532038</v>
      </c>
      <c r="E827" s="2500">
        <v>283556</v>
      </c>
      <c r="F827" s="2500">
        <v>0</v>
      </c>
      <c r="G827" s="2501">
        <v>941972957</v>
      </c>
    </row>
    <row r="828" spans="1:7" ht="21">
      <c r="A828" s="1080" t="s">
        <v>2790</v>
      </c>
      <c r="B828" s="2492">
        <v>1765.665</v>
      </c>
      <c r="C828" s="2493">
        <v>1.04</v>
      </c>
      <c r="D828" s="2494">
        <v>868946</v>
      </c>
      <c r="E828" s="2500">
        <v>476636</v>
      </c>
      <c r="F828" s="2500">
        <v>276646</v>
      </c>
      <c r="G828" s="2501">
        <v>300245046</v>
      </c>
    </row>
    <row r="829" spans="1:7" ht="21">
      <c r="A829" s="1080" t="s">
        <v>1382</v>
      </c>
      <c r="B829" s="2492">
        <v>1690.451</v>
      </c>
      <c r="C829" s="2493">
        <v>1.0314000000000001</v>
      </c>
      <c r="D829" s="2494">
        <v>259880</v>
      </c>
      <c r="E829" s="2500">
        <v>0</v>
      </c>
      <c r="F829" s="2500">
        <v>248775</v>
      </c>
      <c r="G829" s="2501">
        <v>625335636</v>
      </c>
    </row>
    <row r="830" spans="1:7" ht="21">
      <c r="A830" s="1080" t="s">
        <v>2791</v>
      </c>
      <c r="B830" s="2492">
        <v>4311.3270000000002</v>
      </c>
      <c r="C830" s="2493">
        <v>1.17</v>
      </c>
      <c r="D830" s="2494">
        <v>2527412</v>
      </c>
      <c r="E830" s="2500">
        <v>2494746</v>
      </c>
      <c r="F830" s="2500">
        <v>0</v>
      </c>
      <c r="G830" s="2501">
        <v>1332953303</v>
      </c>
    </row>
    <row r="831" spans="1:7" ht="21">
      <c r="A831" s="1080" t="s">
        <v>1639</v>
      </c>
      <c r="B831" s="2492">
        <v>2116.0549999999998</v>
      </c>
      <c r="C831" s="2493">
        <v>1.04</v>
      </c>
      <c r="D831" s="2494">
        <v>601900</v>
      </c>
      <c r="E831" s="2500">
        <v>411078</v>
      </c>
      <c r="F831" s="2500">
        <v>0</v>
      </c>
      <c r="G831" s="2501">
        <v>1489045406</v>
      </c>
    </row>
    <row r="832" spans="1:7" ht="21">
      <c r="A832" s="1080" t="s">
        <v>2892</v>
      </c>
      <c r="B832" s="2492">
        <v>1579.826</v>
      </c>
      <c r="C832" s="2493">
        <v>1.17</v>
      </c>
      <c r="D832" s="2494">
        <v>823933</v>
      </c>
      <c r="E832" s="2500">
        <v>9267</v>
      </c>
      <c r="F832" s="2500">
        <v>803611</v>
      </c>
      <c r="G832" s="2501">
        <v>347991376</v>
      </c>
    </row>
    <row r="833" spans="1:7" ht="21">
      <c r="A833" s="1080" t="s">
        <v>1591</v>
      </c>
      <c r="B833" s="2492">
        <v>912.56799999999998</v>
      </c>
      <c r="C833" s="2493">
        <v>1.17</v>
      </c>
      <c r="D833" s="2494">
        <v>454378</v>
      </c>
      <c r="E833" s="2500">
        <v>15767</v>
      </c>
      <c r="F833" s="2500">
        <v>429747</v>
      </c>
      <c r="G833" s="2501">
        <v>335613706</v>
      </c>
    </row>
    <row r="834" spans="1:7" ht="21">
      <c r="A834" s="1080" t="s">
        <v>1493</v>
      </c>
      <c r="B834" s="2492">
        <v>2009.424</v>
      </c>
      <c r="C834" s="2493">
        <v>1.17</v>
      </c>
      <c r="D834" s="2494">
        <v>1639805</v>
      </c>
      <c r="E834" s="2500">
        <v>459255</v>
      </c>
      <c r="F834" s="2500">
        <v>283011</v>
      </c>
      <c r="G834" s="2501">
        <v>442164273</v>
      </c>
    </row>
    <row r="835" spans="1:7" ht="21">
      <c r="A835" s="1080" t="s">
        <v>219</v>
      </c>
      <c r="B835" s="2492">
        <v>1034.223</v>
      </c>
      <c r="C835" s="2493">
        <v>1.1155999999999999</v>
      </c>
      <c r="D835" s="2494">
        <v>1925152</v>
      </c>
      <c r="E835" s="2500">
        <v>608791</v>
      </c>
      <c r="F835" s="2500">
        <v>619651</v>
      </c>
      <c r="G835" s="2501">
        <v>514369951</v>
      </c>
    </row>
    <row r="836" spans="1:7" ht="21">
      <c r="A836" s="1080" t="s">
        <v>531</v>
      </c>
      <c r="B836" s="2492">
        <v>658.68299999999999</v>
      </c>
      <c r="C836" s="2493">
        <v>1.04</v>
      </c>
      <c r="D836" s="2494">
        <v>552481</v>
      </c>
      <c r="E836" s="2500">
        <v>277437</v>
      </c>
      <c r="F836" s="2500">
        <v>143605</v>
      </c>
      <c r="G836" s="2501">
        <v>184002935</v>
      </c>
    </row>
    <row r="837" spans="1:7" ht="21">
      <c r="A837" s="1080" t="s">
        <v>1640</v>
      </c>
      <c r="B837" s="2492">
        <v>107.211</v>
      </c>
      <c r="C837" s="2493">
        <v>1.17</v>
      </c>
      <c r="D837" s="2494">
        <v>0</v>
      </c>
      <c r="E837" s="2500">
        <v>0</v>
      </c>
      <c r="F837" s="2500">
        <v>0</v>
      </c>
      <c r="G837" s="2501">
        <v>54259121</v>
      </c>
    </row>
    <row r="838" spans="1:7" ht="21">
      <c r="A838" s="1080" t="s">
        <v>1641</v>
      </c>
      <c r="B838" s="2492">
        <v>107.303</v>
      </c>
      <c r="C838" s="2493">
        <v>1.17</v>
      </c>
      <c r="D838" s="2494">
        <v>0</v>
      </c>
      <c r="E838" s="2500">
        <v>0</v>
      </c>
      <c r="F838" s="2500">
        <v>0</v>
      </c>
      <c r="G838" s="2501">
        <v>41013617</v>
      </c>
    </row>
    <row r="839" spans="1:7" ht="21">
      <c r="A839" s="1080" t="s">
        <v>1557</v>
      </c>
      <c r="B839" s="2492">
        <v>557.75699999999995</v>
      </c>
      <c r="C839" s="2493">
        <v>1.17</v>
      </c>
      <c r="D839" s="2494">
        <v>0</v>
      </c>
      <c r="E839" s="2500">
        <v>0</v>
      </c>
      <c r="F839" s="2500">
        <v>0</v>
      </c>
      <c r="G839" s="2501">
        <v>433013260</v>
      </c>
    </row>
    <row r="840" spans="1:7" ht="21">
      <c r="A840" s="1080" t="s">
        <v>1558</v>
      </c>
      <c r="B840" s="2492">
        <v>221.24199999999999</v>
      </c>
      <c r="C840" s="2493">
        <v>1.04</v>
      </c>
      <c r="D840" s="2494">
        <v>1015536</v>
      </c>
      <c r="E840" s="2500">
        <v>194118</v>
      </c>
      <c r="F840" s="2500">
        <v>0</v>
      </c>
      <c r="G840" s="2501">
        <v>408242608</v>
      </c>
    </row>
    <row r="841" spans="1:7" ht="21">
      <c r="A841" s="1080" t="s">
        <v>1559</v>
      </c>
      <c r="B841" s="2492">
        <v>2603.0039999999999</v>
      </c>
      <c r="C841" s="2493">
        <v>1.04</v>
      </c>
      <c r="D841" s="2494">
        <v>4425828</v>
      </c>
      <c r="E841" s="2500">
        <v>1346037</v>
      </c>
      <c r="F841" s="2500">
        <v>0</v>
      </c>
      <c r="G841" s="2501">
        <v>3217338825</v>
      </c>
    </row>
    <row r="842" spans="1:7" ht="21">
      <c r="A842" s="1080" t="s">
        <v>1662</v>
      </c>
      <c r="B842" s="2492">
        <v>252.67500000000001</v>
      </c>
      <c r="C842" s="2493">
        <v>1.04</v>
      </c>
      <c r="D842" s="2494">
        <v>812440</v>
      </c>
      <c r="E842" s="2500">
        <v>0</v>
      </c>
      <c r="F842" s="2500">
        <v>0</v>
      </c>
      <c r="G842" s="2501">
        <v>238561316</v>
      </c>
    </row>
    <row r="843" spans="1:7" ht="21">
      <c r="A843" s="1080" t="s">
        <v>1084</v>
      </c>
      <c r="B843" s="2492">
        <v>463.334</v>
      </c>
      <c r="C843" s="2493">
        <v>1.04</v>
      </c>
      <c r="D843" s="2494">
        <v>0</v>
      </c>
      <c r="E843" s="2500">
        <v>0</v>
      </c>
      <c r="F843" s="2500">
        <v>0</v>
      </c>
      <c r="G843" s="2501">
        <v>433467987</v>
      </c>
    </row>
    <row r="844" spans="1:7" ht="21">
      <c r="A844" s="1080" t="s">
        <v>1085</v>
      </c>
      <c r="B844" s="2492">
        <v>97.137</v>
      </c>
      <c r="C844" s="2493">
        <v>1.04</v>
      </c>
      <c r="D844" s="2494">
        <v>0</v>
      </c>
      <c r="E844" s="2500">
        <v>0</v>
      </c>
      <c r="F844" s="2500">
        <v>0</v>
      </c>
      <c r="G844" s="2501">
        <v>71189149</v>
      </c>
    </row>
    <row r="845" spans="1:7" ht="21">
      <c r="A845" s="1080" t="s">
        <v>1086</v>
      </c>
      <c r="B845" s="2492">
        <v>2535.8690000000001</v>
      </c>
      <c r="C845" s="2493">
        <v>1.17</v>
      </c>
      <c r="D845" s="2494">
        <v>963433</v>
      </c>
      <c r="E845" s="2500">
        <v>696581</v>
      </c>
      <c r="F845" s="2500">
        <v>164453</v>
      </c>
      <c r="G845" s="2501">
        <v>591629619</v>
      </c>
    </row>
    <row r="846" spans="1:7" ht="21">
      <c r="A846" s="1080" t="s">
        <v>1245</v>
      </c>
      <c r="B846" s="2492">
        <v>664.57600000000002</v>
      </c>
      <c r="C846" s="2493">
        <v>1.04</v>
      </c>
      <c r="D846" s="2494">
        <v>758606</v>
      </c>
      <c r="E846" s="2500">
        <v>546954</v>
      </c>
      <c r="F846" s="2500">
        <v>0</v>
      </c>
      <c r="G846" s="2501">
        <v>188604918</v>
      </c>
    </row>
    <row r="847" spans="1:7" ht="21">
      <c r="A847" s="1080" t="s">
        <v>220</v>
      </c>
      <c r="B847" s="2492">
        <v>763.38599999999997</v>
      </c>
      <c r="C847" s="2493">
        <v>1.1100000000000001</v>
      </c>
      <c r="D847" s="2494">
        <v>181958</v>
      </c>
      <c r="E847" s="2500">
        <v>0</v>
      </c>
      <c r="F847" s="2500">
        <v>138401</v>
      </c>
      <c r="G847" s="2501">
        <v>235871340</v>
      </c>
    </row>
    <row r="848" spans="1:7" ht="21">
      <c r="A848" s="1080" t="s">
        <v>1246</v>
      </c>
      <c r="B848" s="2492">
        <v>513.93399999999997</v>
      </c>
      <c r="C848" s="2493">
        <v>1.04</v>
      </c>
      <c r="D848" s="2494">
        <v>146506</v>
      </c>
      <c r="E848" s="2500">
        <v>151384</v>
      </c>
      <c r="F848" s="2500">
        <v>0</v>
      </c>
      <c r="G848" s="2501">
        <v>108566180</v>
      </c>
    </row>
    <row r="849" spans="1:7" ht="21">
      <c r="A849" s="1080" t="s">
        <v>1247</v>
      </c>
      <c r="B849" s="2492">
        <v>575.49199999999996</v>
      </c>
      <c r="C849" s="2493">
        <v>1.17</v>
      </c>
      <c r="D849" s="2494">
        <v>0</v>
      </c>
      <c r="E849" s="2500">
        <v>0</v>
      </c>
      <c r="F849" s="2500">
        <v>0</v>
      </c>
      <c r="G849" s="2501">
        <v>141853728</v>
      </c>
    </row>
    <row r="850" spans="1:7" ht="21">
      <c r="A850" s="1080" t="s">
        <v>1407</v>
      </c>
      <c r="B850" s="2492">
        <v>87.438999999999993</v>
      </c>
      <c r="C850" s="2493">
        <v>1.17</v>
      </c>
      <c r="D850" s="2494">
        <v>60</v>
      </c>
      <c r="E850" s="2500">
        <v>0</v>
      </c>
      <c r="F850" s="2500">
        <v>0</v>
      </c>
      <c r="G850" s="2501">
        <v>48483171</v>
      </c>
    </row>
    <row r="851" spans="1:7" ht="21">
      <c r="A851" s="1080" t="s">
        <v>1408</v>
      </c>
      <c r="B851" s="2492">
        <v>93.974000000000004</v>
      </c>
      <c r="C851" s="2493">
        <v>1.04</v>
      </c>
      <c r="D851" s="2494">
        <v>226515</v>
      </c>
      <c r="E851" s="2500">
        <v>48518</v>
      </c>
      <c r="F851" s="2500">
        <v>0</v>
      </c>
      <c r="G851" s="2501">
        <v>126954222</v>
      </c>
    </row>
    <row r="852" spans="1:7" ht="21">
      <c r="A852" s="1080" t="s">
        <v>2040</v>
      </c>
      <c r="B852" s="2492">
        <v>535.471</v>
      </c>
      <c r="C852" s="2493">
        <v>1.04</v>
      </c>
      <c r="D852" s="2494">
        <v>219773</v>
      </c>
      <c r="E852" s="2500">
        <v>0</v>
      </c>
      <c r="F852" s="2500">
        <v>0</v>
      </c>
      <c r="G852" s="2501">
        <v>455942753</v>
      </c>
    </row>
    <row r="853" spans="1:7" ht="21">
      <c r="A853" s="1080" t="s">
        <v>304</v>
      </c>
      <c r="B853" s="2492">
        <v>794.649</v>
      </c>
      <c r="C853" s="2493">
        <v>1.04</v>
      </c>
      <c r="D853" s="2494">
        <v>703158</v>
      </c>
      <c r="E853" s="2500">
        <v>373210</v>
      </c>
      <c r="F853" s="2500">
        <v>219258</v>
      </c>
      <c r="G853" s="2501">
        <v>329419309</v>
      </c>
    </row>
    <row r="854" spans="1:7" ht="21">
      <c r="A854" s="1080" t="s">
        <v>1943</v>
      </c>
      <c r="B854" s="2492">
        <v>2265.7530000000002</v>
      </c>
      <c r="C854" s="2493">
        <v>1.17</v>
      </c>
      <c r="D854" s="2494">
        <v>2544078</v>
      </c>
      <c r="E854" s="2500">
        <v>2299739</v>
      </c>
      <c r="F854" s="2500">
        <v>0</v>
      </c>
      <c r="G854" s="2501">
        <v>800357004</v>
      </c>
    </row>
    <row r="855" spans="1:7" ht="21">
      <c r="A855" s="1080" t="s">
        <v>1944</v>
      </c>
      <c r="B855" s="2492">
        <v>3659.933</v>
      </c>
      <c r="C855" s="2493">
        <v>1.08</v>
      </c>
      <c r="D855" s="2494">
        <v>4312070</v>
      </c>
      <c r="E855" s="2500">
        <v>3271844</v>
      </c>
      <c r="F855" s="2500">
        <v>775764</v>
      </c>
      <c r="G855" s="2501">
        <v>1151013317</v>
      </c>
    </row>
    <row r="856" spans="1:7" ht="21">
      <c r="A856" s="1080" t="s">
        <v>1136</v>
      </c>
      <c r="B856" s="2492">
        <v>1001.462</v>
      </c>
      <c r="C856" s="2493">
        <v>0.99299999999999999</v>
      </c>
      <c r="D856" s="2494">
        <v>364960</v>
      </c>
      <c r="E856" s="2500">
        <v>307090</v>
      </c>
      <c r="F856" s="2500">
        <v>0</v>
      </c>
      <c r="G856" s="2501">
        <v>285869339</v>
      </c>
    </row>
    <row r="857" spans="1:7" ht="21">
      <c r="A857" s="1080" t="s">
        <v>217</v>
      </c>
      <c r="B857" s="2492">
        <v>16842.677</v>
      </c>
      <c r="C857" s="2493">
        <v>1.04</v>
      </c>
      <c r="D857" s="2494">
        <v>25928432</v>
      </c>
      <c r="E857" s="2500">
        <v>17095317</v>
      </c>
      <c r="F857" s="2500">
        <v>0</v>
      </c>
      <c r="G857" s="2501">
        <v>7502314633</v>
      </c>
    </row>
    <row r="858" spans="1:7" ht="21">
      <c r="A858" s="1080" t="s">
        <v>1348</v>
      </c>
      <c r="B858" s="2492">
        <v>4486.9440000000004</v>
      </c>
      <c r="C858" s="2493">
        <v>1.04</v>
      </c>
      <c r="D858" s="2494">
        <v>2639550</v>
      </c>
      <c r="E858" s="2500">
        <v>1476303</v>
      </c>
      <c r="F858" s="2500">
        <v>962500</v>
      </c>
      <c r="G858" s="2501">
        <v>1674300338</v>
      </c>
    </row>
    <row r="859" spans="1:7" ht="21">
      <c r="A859" s="1080" t="s">
        <v>1516</v>
      </c>
      <c r="B859" s="2492">
        <v>3302.0810000000001</v>
      </c>
      <c r="C859" s="2493">
        <v>1.08</v>
      </c>
      <c r="D859" s="2494">
        <v>1872944</v>
      </c>
      <c r="E859" s="2500">
        <v>1295659</v>
      </c>
      <c r="F859" s="2500">
        <v>713847</v>
      </c>
      <c r="G859" s="2501">
        <v>1136060076</v>
      </c>
    </row>
    <row r="860" spans="1:7" ht="21">
      <c r="A860" s="1080" t="s">
        <v>1517</v>
      </c>
      <c r="B860" s="2492">
        <v>918.18200000000002</v>
      </c>
      <c r="C860" s="2493">
        <v>1.04</v>
      </c>
      <c r="D860" s="2494">
        <v>1905302</v>
      </c>
      <c r="E860" s="2500">
        <v>931955</v>
      </c>
      <c r="F860" s="2500">
        <v>0</v>
      </c>
      <c r="G860" s="2501">
        <v>393977280</v>
      </c>
    </row>
    <row r="861" spans="1:7" ht="21">
      <c r="A861" s="1080" t="s">
        <v>1518</v>
      </c>
      <c r="B861" s="2492">
        <v>1573.6</v>
      </c>
      <c r="C861" s="2493">
        <v>0.82499999999999996</v>
      </c>
      <c r="D861" s="2494">
        <v>1846049</v>
      </c>
      <c r="E861" s="2500">
        <v>357991</v>
      </c>
      <c r="F861" s="2500">
        <v>0</v>
      </c>
      <c r="G861" s="2501">
        <v>3013524758</v>
      </c>
    </row>
    <row r="862" spans="1:7" ht="21">
      <c r="A862" s="1080" t="s">
        <v>3050</v>
      </c>
      <c r="B862" s="2492">
        <v>9958.5679999999993</v>
      </c>
      <c r="C862" s="2493">
        <v>1.17</v>
      </c>
      <c r="D862" s="2494">
        <v>2802724</v>
      </c>
      <c r="E862" s="2500">
        <v>0</v>
      </c>
      <c r="F862" s="2500">
        <v>2855232</v>
      </c>
      <c r="G862" s="2501">
        <v>1061850601</v>
      </c>
    </row>
    <row r="863" spans="1:7" ht="21">
      <c r="A863" s="1080" t="s">
        <v>1945</v>
      </c>
      <c r="B863" s="2492">
        <v>224.21799999999999</v>
      </c>
      <c r="C863" s="2493">
        <v>1.17</v>
      </c>
      <c r="D863" s="2494">
        <v>164340</v>
      </c>
      <c r="E863" s="2500">
        <v>60770</v>
      </c>
      <c r="F863" s="2500">
        <v>0</v>
      </c>
      <c r="G863" s="2501">
        <v>198326833</v>
      </c>
    </row>
    <row r="864" spans="1:7" ht="21">
      <c r="A864" s="1080" t="s">
        <v>221</v>
      </c>
      <c r="B864" s="2492">
        <v>5952.34</v>
      </c>
      <c r="C864" s="2493">
        <v>1.17</v>
      </c>
      <c r="D864" s="2494">
        <v>903593</v>
      </c>
      <c r="E864" s="2500">
        <v>0</v>
      </c>
      <c r="F864" s="2500">
        <v>962068</v>
      </c>
      <c r="G864" s="2501">
        <v>397221442</v>
      </c>
    </row>
    <row r="865" spans="1:7" ht="21">
      <c r="A865" s="1080" t="s">
        <v>1946</v>
      </c>
      <c r="B865" s="2492">
        <v>1370.7860000000001</v>
      </c>
      <c r="C865" s="2493">
        <v>1.04</v>
      </c>
      <c r="D865" s="2494">
        <v>638598</v>
      </c>
      <c r="E865" s="2500">
        <v>304064</v>
      </c>
      <c r="F865" s="2500">
        <v>0</v>
      </c>
      <c r="G865" s="2501">
        <v>736114880</v>
      </c>
    </row>
    <row r="866" spans="1:7" ht="21">
      <c r="A866" s="1080" t="s">
        <v>2979</v>
      </c>
      <c r="B866" s="2492">
        <v>312.73500000000001</v>
      </c>
      <c r="C866" s="2493">
        <v>1.04</v>
      </c>
      <c r="D866" s="2494">
        <v>2394658</v>
      </c>
      <c r="E866" s="2500">
        <v>211103</v>
      </c>
      <c r="F866" s="2500">
        <v>0</v>
      </c>
      <c r="G866" s="2501">
        <v>1169270185</v>
      </c>
    </row>
    <row r="867" spans="1:7" ht="21">
      <c r="A867" s="1080" t="s">
        <v>849</v>
      </c>
      <c r="B867" s="2492">
        <v>231.29300000000001</v>
      </c>
      <c r="C867" s="2493">
        <v>1.04</v>
      </c>
      <c r="D867" s="2494">
        <v>586450</v>
      </c>
      <c r="E867" s="2500">
        <v>0</v>
      </c>
      <c r="F867" s="2500">
        <v>0</v>
      </c>
      <c r="G867" s="2501">
        <v>309404968</v>
      </c>
    </row>
    <row r="868" spans="1:7" ht="21">
      <c r="A868" s="1080" t="s">
        <v>850</v>
      </c>
      <c r="B868" s="2492">
        <v>854.202</v>
      </c>
      <c r="C868" s="2493">
        <v>1.04</v>
      </c>
      <c r="D868" s="2494">
        <v>304618</v>
      </c>
      <c r="E868" s="2500">
        <v>141424</v>
      </c>
      <c r="F868" s="2500">
        <v>0</v>
      </c>
      <c r="G868" s="2501">
        <v>642439099</v>
      </c>
    </row>
    <row r="869" spans="1:7" ht="21">
      <c r="A869" s="1080" t="s">
        <v>906</v>
      </c>
      <c r="B869" s="2492">
        <v>241.36</v>
      </c>
      <c r="C869" s="2493">
        <v>1.04</v>
      </c>
      <c r="D869" s="2494">
        <v>0</v>
      </c>
      <c r="E869" s="2500">
        <v>0</v>
      </c>
      <c r="F869" s="2500">
        <v>0</v>
      </c>
      <c r="G869" s="2501">
        <v>80605763</v>
      </c>
    </row>
    <row r="870" spans="1:7" ht="21">
      <c r="A870" s="1080" t="s">
        <v>617</v>
      </c>
      <c r="B870" s="2492">
        <v>1014.821</v>
      </c>
      <c r="C870" s="2493">
        <v>1.1599999999999999</v>
      </c>
      <c r="D870" s="2494">
        <v>0</v>
      </c>
      <c r="E870" s="2500">
        <v>0</v>
      </c>
      <c r="F870" s="2500">
        <v>0</v>
      </c>
      <c r="G870" s="2501">
        <v>152325870</v>
      </c>
    </row>
    <row r="871" spans="1:7" ht="21">
      <c r="A871" s="1080" t="s">
        <v>618</v>
      </c>
      <c r="B871" s="2492">
        <v>207.28200000000001</v>
      </c>
      <c r="C871" s="2493">
        <v>1.17</v>
      </c>
      <c r="D871" s="2494">
        <v>0</v>
      </c>
      <c r="E871" s="2500">
        <v>0</v>
      </c>
      <c r="F871" s="2500">
        <v>0</v>
      </c>
      <c r="G871" s="2501">
        <v>83199846</v>
      </c>
    </row>
    <row r="872" spans="1:7" ht="21">
      <c r="A872" s="1080" t="s">
        <v>2621</v>
      </c>
      <c r="B872" s="2492">
        <v>58513.752</v>
      </c>
      <c r="C872" s="2493">
        <v>1.04</v>
      </c>
      <c r="D872" s="2494">
        <v>65023062</v>
      </c>
      <c r="E872" s="2500">
        <v>49088737</v>
      </c>
      <c r="F872" s="2500">
        <v>4383841</v>
      </c>
      <c r="G872" s="2501">
        <v>19961084955</v>
      </c>
    </row>
    <row r="873" spans="1:7" ht="21">
      <c r="A873" s="1080" t="s">
        <v>985</v>
      </c>
      <c r="B873" s="2492">
        <v>22671.645</v>
      </c>
      <c r="C873" s="2493">
        <v>1.04</v>
      </c>
      <c r="D873" s="2494">
        <v>29596652</v>
      </c>
      <c r="E873" s="2500">
        <v>18941441</v>
      </c>
      <c r="F873" s="2500">
        <v>5032012</v>
      </c>
      <c r="G873" s="2501">
        <v>7203349373</v>
      </c>
    </row>
    <row r="874" spans="1:7" ht="21">
      <c r="A874" s="1080" t="s">
        <v>2111</v>
      </c>
      <c r="B874" s="2492">
        <v>5116.6120000000001</v>
      </c>
      <c r="C874" s="2493">
        <v>1.17</v>
      </c>
      <c r="D874" s="2494">
        <v>3652486</v>
      </c>
      <c r="E874" s="2500">
        <v>1784349</v>
      </c>
      <c r="F874" s="2500">
        <v>694709</v>
      </c>
      <c r="G874" s="2501">
        <v>1087156834</v>
      </c>
    </row>
    <row r="875" spans="1:7" ht="21">
      <c r="A875" s="1080" t="s">
        <v>2297</v>
      </c>
      <c r="B875" s="2492">
        <v>78485.892000000007</v>
      </c>
      <c r="C875" s="2493">
        <v>1.04</v>
      </c>
      <c r="D875" s="2494">
        <v>78806878</v>
      </c>
      <c r="E875" s="2500">
        <v>70341729</v>
      </c>
      <c r="F875" s="2500">
        <v>0</v>
      </c>
      <c r="G875" s="2501">
        <v>26677217935</v>
      </c>
    </row>
    <row r="876" spans="1:7" ht="21">
      <c r="A876" s="1080" t="s">
        <v>2497</v>
      </c>
      <c r="B876" s="2492">
        <v>13116.793</v>
      </c>
      <c r="C876" s="2493">
        <v>1.04</v>
      </c>
      <c r="D876" s="2494">
        <v>32203696</v>
      </c>
      <c r="E876" s="2500">
        <v>13313545</v>
      </c>
      <c r="F876" s="2500">
        <v>0</v>
      </c>
      <c r="G876" s="2501">
        <v>10389451792</v>
      </c>
    </row>
    <row r="877" spans="1:7" ht="21">
      <c r="A877" s="1080" t="s">
        <v>57</v>
      </c>
      <c r="B877" s="2492">
        <v>31957.609</v>
      </c>
      <c r="C877" s="2493">
        <v>1.04</v>
      </c>
      <c r="D877" s="2494">
        <v>63898004</v>
      </c>
      <c r="E877" s="2500">
        <v>32436973</v>
      </c>
      <c r="F877" s="2500">
        <v>8082239</v>
      </c>
      <c r="G877" s="2501">
        <v>11751784473</v>
      </c>
    </row>
    <row r="878" spans="1:7" ht="21">
      <c r="A878" s="1080" t="s">
        <v>379</v>
      </c>
      <c r="B878" s="2492">
        <v>31734.803</v>
      </c>
      <c r="C878" s="2493">
        <v>1.04</v>
      </c>
      <c r="D878" s="2494">
        <v>49330940</v>
      </c>
      <c r="E878" s="2500">
        <v>27566269</v>
      </c>
      <c r="F878" s="2500">
        <v>13972169</v>
      </c>
      <c r="G878" s="2501">
        <v>9505609972</v>
      </c>
    </row>
    <row r="879" spans="1:7" ht="21">
      <c r="A879" s="1080" t="s">
        <v>1986</v>
      </c>
      <c r="B879" s="2492">
        <v>2980.326</v>
      </c>
      <c r="C879" s="2493">
        <v>1.17</v>
      </c>
      <c r="D879" s="2494">
        <v>3730455</v>
      </c>
      <c r="E879" s="2500">
        <v>2023711</v>
      </c>
      <c r="F879" s="2500">
        <v>851201</v>
      </c>
      <c r="G879" s="2501">
        <v>697831420</v>
      </c>
    </row>
    <row r="880" spans="1:7" ht="21">
      <c r="A880" s="1080" t="s">
        <v>2759</v>
      </c>
      <c r="B880" s="2492">
        <v>13952.73</v>
      </c>
      <c r="C880" s="2493">
        <v>1.17</v>
      </c>
      <c r="D880" s="2494">
        <v>23145765</v>
      </c>
      <c r="E880" s="2500">
        <v>13203713</v>
      </c>
      <c r="F880" s="2500">
        <v>8894219</v>
      </c>
      <c r="G880" s="2501">
        <v>4843329987</v>
      </c>
    </row>
    <row r="881" spans="1:7" ht="21">
      <c r="A881" s="1080" t="s">
        <v>59</v>
      </c>
      <c r="B881" s="2492">
        <v>2988.24</v>
      </c>
      <c r="C881" s="2493">
        <v>1.17</v>
      </c>
      <c r="D881" s="2494">
        <v>3649647</v>
      </c>
      <c r="E881" s="2500">
        <v>2904248</v>
      </c>
      <c r="F881" s="2500">
        <v>492110</v>
      </c>
      <c r="G881" s="2501">
        <v>1001464684</v>
      </c>
    </row>
    <row r="882" spans="1:7" ht="21">
      <c r="A882" s="1080" t="s">
        <v>1894</v>
      </c>
      <c r="B882" s="2492">
        <v>5744.9549999999999</v>
      </c>
      <c r="C882" s="2493">
        <v>1.04</v>
      </c>
      <c r="D882" s="2494">
        <v>3713836</v>
      </c>
      <c r="E882" s="2500">
        <v>1639890</v>
      </c>
      <c r="F882" s="2500">
        <v>1377910</v>
      </c>
      <c r="G882" s="2501">
        <v>2214147930</v>
      </c>
    </row>
    <row r="883" spans="1:7" ht="21">
      <c r="A883" s="1080" t="s">
        <v>1280</v>
      </c>
      <c r="B883" s="2492">
        <v>21142.277999999998</v>
      </c>
      <c r="C883" s="2493">
        <v>1.04</v>
      </c>
      <c r="D883" s="2494">
        <v>31048929</v>
      </c>
      <c r="E883" s="2500">
        <v>21459412</v>
      </c>
      <c r="F883" s="2500">
        <v>4462566</v>
      </c>
      <c r="G883" s="2501">
        <v>8847723538</v>
      </c>
    </row>
    <row r="884" spans="1:7" ht="21">
      <c r="A884" s="1080" t="s">
        <v>2108</v>
      </c>
      <c r="B884" s="2492">
        <v>3768.8919999999998</v>
      </c>
      <c r="C884" s="2493">
        <v>1.17</v>
      </c>
      <c r="D884" s="2494">
        <v>1098274</v>
      </c>
      <c r="E884" s="2500">
        <v>604027</v>
      </c>
      <c r="F884" s="2500">
        <v>466313</v>
      </c>
      <c r="G884" s="2501">
        <v>456724084</v>
      </c>
    </row>
    <row r="885" spans="1:7" ht="21">
      <c r="A885" s="1080" t="s">
        <v>2542</v>
      </c>
      <c r="B885" s="2492">
        <v>17540.266</v>
      </c>
      <c r="C885" s="2493">
        <v>1.17</v>
      </c>
      <c r="D885" s="2494">
        <v>24566560</v>
      </c>
      <c r="E885" s="2500">
        <v>17803370</v>
      </c>
      <c r="F885" s="2500">
        <v>4072151</v>
      </c>
      <c r="G885" s="2501">
        <v>6270539680</v>
      </c>
    </row>
    <row r="886" spans="1:7" ht="21">
      <c r="A886" s="1080" t="s">
        <v>2107</v>
      </c>
      <c r="B886" s="2492">
        <v>7538.4449999999997</v>
      </c>
      <c r="C886" s="2493">
        <v>1.04</v>
      </c>
      <c r="D886" s="2494">
        <v>22392775</v>
      </c>
      <c r="E886" s="2500">
        <v>7651522</v>
      </c>
      <c r="F886" s="2500">
        <v>0</v>
      </c>
      <c r="G886" s="2501">
        <v>5635303883</v>
      </c>
    </row>
    <row r="887" spans="1:7" ht="21">
      <c r="A887" s="1080" t="s">
        <v>1347</v>
      </c>
      <c r="B887" s="2492">
        <v>6115.357</v>
      </c>
      <c r="C887" s="2493">
        <v>1.04</v>
      </c>
      <c r="D887" s="2494">
        <v>7870202</v>
      </c>
      <c r="E887" s="2500">
        <v>4346834</v>
      </c>
      <c r="F887" s="2500">
        <v>1125966</v>
      </c>
      <c r="G887" s="2501">
        <v>1498908313</v>
      </c>
    </row>
    <row r="888" spans="1:7" ht="21">
      <c r="A888" s="1080" t="s">
        <v>2543</v>
      </c>
      <c r="B888" s="2492">
        <v>15778.073</v>
      </c>
      <c r="C888" s="2493">
        <v>1.04</v>
      </c>
      <c r="D888" s="2494">
        <v>7186147</v>
      </c>
      <c r="E888" s="2500">
        <v>4388230</v>
      </c>
      <c r="F888" s="2500">
        <v>0</v>
      </c>
      <c r="G888" s="2501">
        <v>4087843967</v>
      </c>
    </row>
    <row r="889" spans="1:7" ht="21">
      <c r="A889" s="1080" t="s">
        <v>2544</v>
      </c>
      <c r="B889" s="2492">
        <v>1028.086</v>
      </c>
      <c r="C889" s="2493">
        <v>1.04</v>
      </c>
      <c r="D889" s="2494">
        <v>1072487</v>
      </c>
      <c r="E889" s="2500">
        <v>0</v>
      </c>
      <c r="F889" s="2500">
        <v>0</v>
      </c>
      <c r="G889" s="2501">
        <v>376143863</v>
      </c>
    </row>
    <row r="890" spans="1:7" ht="21">
      <c r="A890" s="1080" t="s">
        <v>3052</v>
      </c>
      <c r="B890" s="2492">
        <v>193.87200000000001</v>
      </c>
      <c r="C890" s="2493">
        <v>1.0857000000000001</v>
      </c>
      <c r="D890" s="2494">
        <v>565632</v>
      </c>
      <c r="E890" s="2500">
        <v>196780</v>
      </c>
      <c r="F890" s="2500">
        <v>0</v>
      </c>
      <c r="G890" s="2501">
        <v>170982259</v>
      </c>
    </row>
    <row r="891" spans="1:7" ht="21">
      <c r="A891" s="1080" t="s">
        <v>3053</v>
      </c>
      <c r="B891" s="2492">
        <v>1076.0609999999999</v>
      </c>
      <c r="C891" s="2493">
        <v>1.04</v>
      </c>
      <c r="D891" s="2494">
        <v>327003</v>
      </c>
      <c r="E891" s="2500">
        <v>251663</v>
      </c>
      <c r="F891" s="2500">
        <v>0</v>
      </c>
      <c r="G891" s="2501">
        <v>493712457</v>
      </c>
    </row>
    <row r="892" spans="1:7" ht="21">
      <c r="A892" s="1080" t="s">
        <v>3054</v>
      </c>
      <c r="B892" s="2492">
        <v>3779.2829999999999</v>
      </c>
      <c r="C892" s="2493">
        <v>1.04</v>
      </c>
      <c r="D892" s="2494">
        <v>1016</v>
      </c>
      <c r="E892" s="2500">
        <v>0</v>
      </c>
      <c r="F892" s="2500">
        <v>0</v>
      </c>
      <c r="G892" s="2501">
        <v>1438912716</v>
      </c>
    </row>
    <row r="893" spans="1:7" ht="21">
      <c r="A893" s="1080" t="s">
        <v>3055</v>
      </c>
      <c r="B893" s="2492">
        <v>125.90600000000001</v>
      </c>
      <c r="C893" s="2493">
        <v>1.04</v>
      </c>
      <c r="D893" s="2494">
        <v>1211516</v>
      </c>
      <c r="E893" s="2500">
        <v>101088</v>
      </c>
      <c r="F893" s="2500">
        <v>0</v>
      </c>
      <c r="G893" s="2501">
        <v>394557893</v>
      </c>
    </row>
    <row r="894" spans="1:7" ht="21">
      <c r="A894" s="1080" t="s">
        <v>1335</v>
      </c>
      <c r="B894" s="2492">
        <v>1653.7190000000001</v>
      </c>
      <c r="C894" s="2493">
        <v>1.17</v>
      </c>
      <c r="D894" s="2494">
        <v>800751</v>
      </c>
      <c r="E894" s="2500">
        <v>536265</v>
      </c>
      <c r="F894" s="2500">
        <v>0</v>
      </c>
      <c r="G894" s="2501">
        <v>902525072</v>
      </c>
    </row>
    <row r="895" spans="1:7" ht="21">
      <c r="A895" s="1080" t="s">
        <v>2106</v>
      </c>
      <c r="B895" s="2492">
        <v>327.55500000000001</v>
      </c>
      <c r="C895" s="2493">
        <v>1.17</v>
      </c>
      <c r="D895" s="2494">
        <v>48678</v>
      </c>
      <c r="E895" s="2500">
        <v>0</v>
      </c>
      <c r="F895" s="2500">
        <v>48437</v>
      </c>
      <c r="G895" s="2501">
        <v>75894538</v>
      </c>
    </row>
    <row r="896" spans="1:7" ht="21">
      <c r="A896" s="1080" t="s">
        <v>1336</v>
      </c>
      <c r="B896" s="2492">
        <v>226.67</v>
      </c>
      <c r="C896" s="2493">
        <v>1.04</v>
      </c>
      <c r="D896" s="2494">
        <v>1251921</v>
      </c>
      <c r="E896" s="2500">
        <v>0</v>
      </c>
      <c r="F896" s="2500">
        <v>0</v>
      </c>
      <c r="G896" s="2501">
        <v>270987541</v>
      </c>
    </row>
    <row r="897" spans="1:7" ht="21">
      <c r="A897" s="1080" t="s">
        <v>1783</v>
      </c>
      <c r="B897" s="2492">
        <v>179.58699999999999</v>
      </c>
      <c r="C897" s="2493">
        <v>1.04</v>
      </c>
      <c r="D897" s="2494">
        <v>0</v>
      </c>
      <c r="E897" s="2500">
        <v>0</v>
      </c>
      <c r="F897" s="2500">
        <v>0</v>
      </c>
      <c r="G897" s="2501">
        <v>143864716</v>
      </c>
    </row>
    <row r="898" spans="1:7" ht="21">
      <c r="A898" s="1080" t="s">
        <v>1784</v>
      </c>
      <c r="B898" s="2492">
        <v>133.61600000000001</v>
      </c>
      <c r="C898" s="2493">
        <v>1.17</v>
      </c>
      <c r="D898" s="2494">
        <v>0</v>
      </c>
      <c r="E898" s="2500">
        <v>0</v>
      </c>
      <c r="F898" s="2500">
        <v>0</v>
      </c>
      <c r="G898" s="2501">
        <v>42245561</v>
      </c>
    </row>
    <row r="899" spans="1:7" ht="21">
      <c r="A899" s="1080" t="s">
        <v>1785</v>
      </c>
      <c r="B899" s="2492">
        <v>4901.0209999999997</v>
      </c>
      <c r="C899" s="2493">
        <v>1.04</v>
      </c>
      <c r="D899" s="2494">
        <v>2637513</v>
      </c>
      <c r="E899" s="2500">
        <v>2390188</v>
      </c>
      <c r="F899" s="2500">
        <v>0</v>
      </c>
      <c r="G899" s="2501">
        <v>1677850707</v>
      </c>
    </row>
    <row r="900" spans="1:7" ht="21">
      <c r="A900" s="1080" t="s">
        <v>2062</v>
      </c>
      <c r="B900" s="2492">
        <v>139.84200000000001</v>
      </c>
      <c r="C900" s="2493">
        <v>1.04</v>
      </c>
      <c r="D900" s="2494">
        <v>0</v>
      </c>
      <c r="E900" s="2500">
        <v>0</v>
      </c>
      <c r="F900" s="2500">
        <v>0</v>
      </c>
      <c r="G900" s="2501">
        <v>57370973</v>
      </c>
    </row>
    <row r="901" spans="1:7" ht="21">
      <c r="A901" s="1080" t="s">
        <v>305</v>
      </c>
      <c r="B901" s="2492">
        <v>948.91099999999994</v>
      </c>
      <c r="C901" s="2493">
        <v>1.04</v>
      </c>
      <c r="D901" s="2494">
        <v>113954</v>
      </c>
      <c r="E901" s="2500">
        <v>8799</v>
      </c>
      <c r="F901" s="2500">
        <v>95285</v>
      </c>
      <c r="G901" s="2501">
        <v>104976420</v>
      </c>
    </row>
    <row r="902" spans="1:7" ht="21">
      <c r="A902" s="1080" t="s">
        <v>2063</v>
      </c>
      <c r="B902" s="2492">
        <v>521.39300000000003</v>
      </c>
      <c r="C902" s="2493">
        <v>1.04</v>
      </c>
      <c r="D902" s="2494">
        <v>0</v>
      </c>
      <c r="E902" s="2500">
        <v>0</v>
      </c>
      <c r="F902" s="2500">
        <v>0</v>
      </c>
      <c r="G902" s="2501">
        <v>138272822</v>
      </c>
    </row>
    <row r="903" spans="1:7" ht="21">
      <c r="A903" s="1080" t="s">
        <v>2797</v>
      </c>
      <c r="B903" s="2492">
        <v>467.16800000000001</v>
      </c>
      <c r="C903" s="2493">
        <v>1.17</v>
      </c>
      <c r="D903" s="2494">
        <v>182999</v>
      </c>
      <c r="E903" s="2500">
        <v>102525</v>
      </c>
      <c r="F903" s="2500">
        <v>0</v>
      </c>
      <c r="G903" s="2501">
        <v>268514925</v>
      </c>
    </row>
    <row r="904" spans="1:7" ht="21">
      <c r="A904" s="1080" t="s">
        <v>1488</v>
      </c>
      <c r="B904" s="2492">
        <v>13768.993</v>
      </c>
      <c r="C904" s="2493">
        <v>1.04</v>
      </c>
      <c r="D904" s="2494">
        <v>8571595</v>
      </c>
      <c r="E904" s="2500">
        <v>4670335</v>
      </c>
      <c r="F904" s="2500">
        <v>3626085</v>
      </c>
      <c r="G904" s="2501">
        <v>3869227850</v>
      </c>
    </row>
    <row r="905" spans="1:7" ht="21">
      <c r="A905" s="1080" t="s">
        <v>2785</v>
      </c>
      <c r="B905" s="2492">
        <v>286.58</v>
      </c>
      <c r="C905" s="2493">
        <v>1.17</v>
      </c>
      <c r="D905" s="2494">
        <v>235056</v>
      </c>
      <c r="E905" s="2500">
        <v>200352</v>
      </c>
      <c r="F905" s="2500">
        <v>0</v>
      </c>
      <c r="G905" s="2501">
        <v>119348323</v>
      </c>
    </row>
    <row r="906" spans="1:7" ht="21">
      <c r="A906" s="1080" t="s">
        <v>374</v>
      </c>
      <c r="B906" s="2492">
        <v>1071.5129999999999</v>
      </c>
      <c r="C906" s="2493">
        <v>1.04</v>
      </c>
      <c r="D906" s="2494">
        <v>201438</v>
      </c>
      <c r="E906" s="2500">
        <v>0</v>
      </c>
      <c r="F906" s="2500">
        <v>186231</v>
      </c>
      <c r="G906" s="2501">
        <v>330245803</v>
      </c>
    </row>
    <row r="907" spans="1:7" ht="21">
      <c r="A907" s="1080" t="s">
        <v>1482</v>
      </c>
      <c r="B907" s="2492">
        <v>1035.2560000000001</v>
      </c>
      <c r="C907" s="2493">
        <v>1.17</v>
      </c>
      <c r="D907" s="2494">
        <v>405506</v>
      </c>
      <c r="E907" s="2500">
        <v>82176</v>
      </c>
      <c r="F907" s="2500">
        <v>269366</v>
      </c>
      <c r="G907" s="2501">
        <v>195634284</v>
      </c>
    </row>
    <row r="908" spans="1:7" ht="21">
      <c r="A908" s="1080" t="s">
        <v>1422</v>
      </c>
      <c r="B908" s="2492">
        <v>256.02199999999999</v>
      </c>
      <c r="C908" s="2493">
        <v>1.17</v>
      </c>
      <c r="D908" s="2494">
        <v>126224</v>
      </c>
      <c r="E908" s="2500">
        <v>8166</v>
      </c>
      <c r="F908" s="2500">
        <v>68689</v>
      </c>
      <c r="G908" s="2501">
        <v>100871110</v>
      </c>
    </row>
    <row r="909" spans="1:7" ht="21">
      <c r="A909" s="1080" t="s">
        <v>292</v>
      </c>
      <c r="B909" s="2492">
        <v>77359.464000000007</v>
      </c>
      <c r="C909" s="2493">
        <v>1.079</v>
      </c>
      <c r="D909" s="2494">
        <v>107293079</v>
      </c>
      <c r="E909" s="2500">
        <v>45264531</v>
      </c>
      <c r="F909" s="2500">
        <v>0</v>
      </c>
      <c r="G909" s="2501">
        <v>67562039782</v>
      </c>
    </row>
    <row r="910" spans="1:7" ht="21">
      <c r="A910" s="1080" t="s">
        <v>238</v>
      </c>
      <c r="B910" s="2492">
        <v>22621.120999999999</v>
      </c>
      <c r="C910" s="2493">
        <v>1.04</v>
      </c>
      <c r="D910" s="2494">
        <v>43264022</v>
      </c>
      <c r="E910" s="2500">
        <v>21693044</v>
      </c>
      <c r="F910" s="2500">
        <v>6055112</v>
      </c>
      <c r="G910" s="2501">
        <v>7759133707</v>
      </c>
    </row>
    <row r="911" spans="1:7" ht="21">
      <c r="A911" s="1080" t="s">
        <v>293</v>
      </c>
      <c r="B911" s="2492">
        <v>7985.4709999999995</v>
      </c>
      <c r="C911" s="2493">
        <v>1.04</v>
      </c>
      <c r="D911" s="2494">
        <v>24184947</v>
      </c>
      <c r="E911" s="2500">
        <v>8105253</v>
      </c>
      <c r="F911" s="2500">
        <v>0</v>
      </c>
      <c r="G911" s="2501">
        <v>4629394127</v>
      </c>
    </row>
    <row r="912" spans="1:7" ht="21">
      <c r="A912" s="1080" t="s">
        <v>294</v>
      </c>
      <c r="B912" s="2492">
        <v>7644.5550000000003</v>
      </c>
      <c r="C912" s="2493">
        <v>1.04</v>
      </c>
      <c r="D912" s="2494">
        <v>19250411</v>
      </c>
      <c r="E912" s="2500">
        <v>4782153</v>
      </c>
      <c r="F912" s="2500">
        <v>0</v>
      </c>
      <c r="G912" s="2501">
        <v>10214095210</v>
      </c>
    </row>
    <row r="913" spans="1:7" ht="21">
      <c r="A913" s="1080" t="s">
        <v>1295</v>
      </c>
      <c r="B913" s="2492">
        <v>10686.517</v>
      </c>
      <c r="C913" s="2493">
        <v>1.04</v>
      </c>
      <c r="D913" s="2494">
        <v>14746113</v>
      </c>
      <c r="E913" s="2500">
        <v>10161415</v>
      </c>
      <c r="F913" s="2500">
        <v>1066090</v>
      </c>
      <c r="G913" s="2501">
        <v>3503936071</v>
      </c>
    </row>
    <row r="914" spans="1:7" ht="21">
      <c r="A914" s="1080" t="s">
        <v>2804</v>
      </c>
      <c r="B914" s="2492">
        <v>1291.7940000000001</v>
      </c>
      <c r="C914" s="2493">
        <v>1.04</v>
      </c>
      <c r="D914" s="2494">
        <v>3433425</v>
      </c>
      <c r="E914" s="2500">
        <v>1115818</v>
      </c>
      <c r="F914" s="2500">
        <v>0</v>
      </c>
      <c r="G914" s="2501">
        <v>1282706701</v>
      </c>
    </row>
    <row r="915" spans="1:7" ht="21">
      <c r="A915" s="1080" t="s">
        <v>1496</v>
      </c>
      <c r="B915" s="2492">
        <v>8391.7009999999991</v>
      </c>
      <c r="C915" s="2493">
        <v>1.04</v>
      </c>
      <c r="D915" s="2494">
        <v>28132254</v>
      </c>
      <c r="E915" s="2500">
        <v>8517577</v>
      </c>
      <c r="F915" s="2500">
        <v>0</v>
      </c>
      <c r="G915" s="2501">
        <v>7714891892</v>
      </c>
    </row>
    <row r="916" spans="1:7" ht="21">
      <c r="A916" s="1080" t="s">
        <v>1497</v>
      </c>
      <c r="B916" s="2492">
        <v>662.822</v>
      </c>
      <c r="C916" s="2493">
        <v>1.04</v>
      </c>
      <c r="D916" s="2494">
        <v>0</v>
      </c>
      <c r="E916" s="2500">
        <v>0</v>
      </c>
      <c r="F916" s="2500">
        <v>0</v>
      </c>
      <c r="G916" s="2501">
        <v>262474664</v>
      </c>
    </row>
    <row r="917" spans="1:7" ht="21">
      <c r="A917" s="1080" t="s">
        <v>1498</v>
      </c>
      <c r="B917" s="2492">
        <v>1146.0930000000001</v>
      </c>
      <c r="C917" s="2493">
        <v>1.04</v>
      </c>
      <c r="D917" s="2494">
        <v>294787</v>
      </c>
      <c r="E917" s="2500">
        <v>274242</v>
      </c>
      <c r="F917" s="2500">
        <v>0</v>
      </c>
      <c r="G917" s="2501">
        <v>316294548</v>
      </c>
    </row>
    <row r="918" spans="1:7" ht="21">
      <c r="A918" s="1080" t="s">
        <v>1499</v>
      </c>
      <c r="B918" s="2492">
        <v>109.432</v>
      </c>
      <c r="C918" s="2493">
        <v>1.1200000000000001</v>
      </c>
      <c r="D918" s="2494">
        <v>0</v>
      </c>
      <c r="E918" s="2500">
        <v>0</v>
      </c>
      <c r="F918" s="2500">
        <v>0</v>
      </c>
      <c r="G918" s="2501">
        <v>28687617</v>
      </c>
    </row>
    <row r="919" spans="1:7" ht="21">
      <c r="A919" s="1080" t="s">
        <v>1500</v>
      </c>
      <c r="B919" s="2492">
        <v>171.83</v>
      </c>
      <c r="C919" s="2493">
        <v>1.04</v>
      </c>
      <c r="D919" s="2494">
        <v>0</v>
      </c>
      <c r="E919" s="2500">
        <v>0</v>
      </c>
      <c r="F919" s="2500">
        <v>0</v>
      </c>
      <c r="G919" s="2501">
        <v>37852454</v>
      </c>
    </row>
    <row r="920" spans="1:7" ht="21">
      <c r="A920" s="1080" t="s">
        <v>1615</v>
      </c>
      <c r="B920" s="2492">
        <v>376.63799999999998</v>
      </c>
      <c r="C920" s="2493">
        <v>1.04</v>
      </c>
      <c r="D920" s="2494">
        <v>93866</v>
      </c>
      <c r="E920" s="2500">
        <v>68897</v>
      </c>
      <c r="F920" s="2500">
        <v>0</v>
      </c>
      <c r="G920" s="2501">
        <v>116150580</v>
      </c>
    </row>
    <row r="921" spans="1:7" ht="21">
      <c r="A921" s="1080" t="s">
        <v>2051</v>
      </c>
      <c r="B921" s="2492">
        <v>1223.7139999999999</v>
      </c>
      <c r="C921" s="2493">
        <v>1.04</v>
      </c>
      <c r="D921" s="2494">
        <v>634900</v>
      </c>
      <c r="E921" s="2500">
        <v>270083</v>
      </c>
      <c r="F921" s="2500">
        <v>0</v>
      </c>
      <c r="G921" s="2501">
        <v>760931107</v>
      </c>
    </row>
    <row r="922" spans="1:7" ht="21">
      <c r="A922" s="1080" t="s">
        <v>2052</v>
      </c>
      <c r="B922" s="2492">
        <v>1141.8330000000001</v>
      </c>
      <c r="C922" s="2493">
        <v>1.04</v>
      </c>
      <c r="D922" s="2494">
        <v>1241064</v>
      </c>
      <c r="E922" s="2500">
        <v>659511</v>
      </c>
      <c r="F922" s="2500">
        <v>449547</v>
      </c>
      <c r="G922" s="2501">
        <v>315515836</v>
      </c>
    </row>
    <row r="923" spans="1:7" ht="21">
      <c r="A923" s="1080" t="s">
        <v>1423</v>
      </c>
      <c r="B923" s="2492">
        <v>366.61</v>
      </c>
      <c r="C923" s="2493">
        <v>1.04</v>
      </c>
      <c r="D923" s="2494">
        <v>85315</v>
      </c>
      <c r="E923" s="2500">
        <v>45227</v>
      </c>
      <c r="F923" s="2500">
        <v>47203</v>
      </c>
      <c r="G923" s="2501">
        <v>63952044</v>
      </c>
    </row>
    <row r="924" spans="1:7" ht="21">
      <c r="A924" s="1080" t="s">
        <v>83</v>
      </c>
      <c r="B924" s="2492">
        <v>156.60400000000001</v>
      </c>
      <c r="C924" s="2493">
        <v>1.04</v>
      </c>
      <c r="D924" s="2494">
        <v>34149</v>
      </c>
      <c r="E924" s="2500">
        <v>0</v>
      </c>
      <c r="F924" s="2500">
        <v>24315</v>
      </c>
      <c r="G924" s="2501">
        <v>51725359</v>
      </c>
    </row>
    <row r="925" spans="1:7" ht="21">
      <c r="A925" s="1080" t="s">
        <v>2053</v>
      </c>
      <c r="B925" s="2492">
        <v>627.70500000000004</v>
      </c>
      <c r="C925" s="2493">
        <v>1.04</v>
      </c>
      <c r="D925" s="2494">
        <v>539145</v>
      </c>
      <c r="E925" s="2500">
        <v>496489</v>
      </c>
      <c r="F925" s="2500">
        <v>0</v>
      </c>
      <c r="G925" s="2501">
        <v>204961393</v>
      </c>
    </row>
    <row r="926" spans="1:7" ht="21">
      <c r="A926" s="1080" t="s">
        <v>2054</v>
      </c>
      <c r="B926" s="2492">
        <v>2265.2730000000001</v>
      </c>
      <c r="C926" s="2493">
        <v>1.17</v>
      </c>
      <c r="D926" s="2494">
        <v>132804</v>
      </c>
      <c r="E926" s="2500">
        <v>1111625</v>
      </c>
      <c r="F926" s="2500">
        <v>0</v>
      </c>
      <c r="G926" s="2501">
        <v>816738720</v>
      </c>
    </row>
    <row r="927" spans="1:7" ht="21">
      <c r="A927" s="1080" t="s">
        <v>1594</v>
      </c>
      <c r="B927" s="2492">
        <v>803.99400000000003</v>
      </c>
      <c r="C927" s="2493">
        <v>1.17</v>
      </c>
      <c r="D927" s="2494">
        <v>232691</v>
      </c>
      <c r="E927" s="2500">
        <v>109623</v>
      </c>
      <c r="F927" s="2500">
        <v>176377</v>
      </c>
      <c r="G927" s="2501">
        <v>134370850</v>
      </c>
    </row>
    <row r="928" spans="1:7" ht="21">
      <c r="A928" s="1080" t="s">
        <v>1229</v>
      </c>
      <c r="B928" s="2492">
        <v>272.2</v>
      </c>
      <c r="C928" s="2493">
        <v>1.04</v>
      </c>
      <c r="D928" s="2494">
        <v>0</v>
      </c>
      <c r="E928" s="2500">
        <v>0</v>
      </c>
      <c r="F928" s="2500">
        <v>0</v>
      </c>
      <c r="G928" s="2501">
        <v>79858764</v>
      </c>
    </row>
    <row r="929" spans="1:7" ht="21">
      <c r="A929" s="1080" t="s">
        <v>2127</v>
      </c>
      <c r="B929" s="2492">
        <v>1006.372</v>
      </c>
      <c r="C929" s="2493">
        <v>1.04</v>
      </c>
      <c r="D929" s="2494">
        <v>283491</v>
      </c>
      <c r="E929" s="2500">
        <v>21504</v>
      </c>
      <c r="F929" s="2500">
        <v>223024</v>
      </c>
      <c r="G929" s="2501">
        <v>379241633</v>
      </c>
    </row>
    <row r="930" spans="1:7" ht="21">
      <c r="A930" s="1080" t="s">
        <v>1230</v>
      </c>
      <c r="B930" s="2492">
        <v>951.96100000000001</v>
      </c>
      <c r="C930" s="2493">
        <v>1.04</v>
      </c>
      <c r="D930" s="2494">
        <v>151698</v>
      </c>
      <c r="E930" s="2500">
        <v>30732</v>
      </c>
      <c r="F930" s="2500">
        <v>113691</v>
      </c>
      <c r="G930" s="2501">
        <v>182556581</v>
      </c>
    </row>
    <row r="931" spans="1:7" ht="21">
      <c r="A931" s="1080" t="s">
        <v>1231</v>
      </c>
      <c r="B931" s="2492">
        <v>725.64400000000001</v>
      </c>
      <c r="C931" s="2493">
        <v>1.17</v>
      </c>
      <c r="D931" s="2494">
        <v>204991</v>
      </c>
      <c r="E931" s="2500">
        <v>164733</v>
      </c>
      <c r="F931" s="2500">
        <v>0</v>
      </c>
      <c r="G931" s="2501">
        <v>165921620</v>
      </c>
    </row>
    <row r="932" spans="1:7" ht="21">
      <c r="A932" s="1080" t="s">
        <v>1232</v>
      </c>
      <c r="B932" s="2492">
        <v>505.97300000000001</v>
      </c>
      <c r="C932" s="2493">
        <v>1.04</v>
      </c>
      <c r="D932" s="2494">
        <v>95993</v>
      </c>
      <c r="E932" s="2500">
        <v>0</v>
      </c>
      <c r="F932" s="2500">
        <v>0</v>
      </c>
      <c r="G932" s="2501">
        <v>1301154346</v>
      </c>
    </row>
    <row r="933" spans="1:7" ht="21">
      <c r="A933" s="1080" t="s">
        <v>1233</v>
      </c>
      <c r="B933" s="2492">
        <v>246.69800000000001</v>
      </c>
      <c r="C933" s="2493">
        <v>1.0363</v>
      </c>
      <c r="D933" s="2494">
        <v>1571033</v>
      </c>
      <c r="E933" s="2500">
        <v>50295</v>
      </c>
      <c r="F933" s="2500">
        <v>0</v>
      </c>
      <c r="G933" s="2501">
        <v>3438234039</v>
      </c>
    </row>
    <row r="934" spans="1:7" ht="21">
      <c r="A934" s="1080" t="s">
        <v>63</v>
      </c>
      <c r="B934" s="2492">
        <v>358.72899999999998</v>
      </c>
      <c r="C934" s="2493">
        <v>1.1200000000000001</v>
      </c>
      <c r="D934" s="2494">
        <v>111432</v>
      </c>
      <c r="E934" s="2500">
        <v>38542</v>
      </c>
      <c r="F934" s="2500">
        <v>31390</v>
      </c>
      <c r="G934" s="2501">
        <v>50727496</v>
      </c>
    </row>
    <row r="935" spans="1:7" ht="21">
      <c r="A935" s="1080" t="s">
        <v>1737</v>
      </c>
      <c r="B935" s="2492">
        <v>478.62900000000002</v>
      </c>
      <c r="C935" s="2493">
        <v>0.86</v>
      </c>
      <c r="D935" s="2494">
        <v>24381</v>
      </c>
      <c r="E935" s="2500">
        <v>0</v>
      </c>
      <c r="F935" s="2500">
        <v>114222</v>
      </c>
      <c r="G935" s="2501">
        <v>224431244</v>
      </c>
    </row>
    <row r="936" spans="1:7" ht="21">
      <c r="A936" s="1080" t="s">
        <v>1714</v>
      </c>
      <c r="B936" s="2492">
        <v>4296.4260000000004</v>
      </c>
      <c r="C936" s="2493">
        <v>1.17</v>
      </c>
      <c r="D936" s="2494">
        <v>709573</v>
      </c>
      <c r="E936" s="2500">
        <v>238214</v>
      </c>
      <c r="F936" s="2500">
        <v>1335399</v>
      </c>
      <c r="G936" s="2501">
        <v>904610048</v>
      </c>
    </row>
    <row r="937" spans="1:7" ht="21">
      <c r="A937" s="1080" t="s">
        <v>1495</v>
      </c>
      <c r="B937" s="2492">
        <v>185.49100000000001</v>
      </c>
      <c r="C937" s="2493">
        <v>1.04</v>
      </c>
      <c r="D937" s="2494">
        <v>0</v>
      </c>
      <c r="E937" s="2500">
        <v>0</v>
      </c>
      <c r="F937" s="2500">
        <v>0</v>
      </c>
      <c r="G937" s="2501">
        <v>176648317</v>
      </c>
    </row>
    <row r="938" spans="1:7" ht="21">
      <c r="A938" s="1080" t="s">
        <v>530</v>
      </c>
      <c r="B938" s="2492">
        <v>9944.8970000000008</v>
      </c>
      <c r="C938" s="2493">
        <v>1.04</v>
      </c>
      <c r="D938" s="2494">
        <v>1949633</v>
      </c>
      <c r="E938" s="2500">
        <v>10519</v>
      </c>
      <c r="F938" s="2500">
        <v>1973861</v>
      </c>
      <c r="G938" s="2501">
        <v>1611789559</v>
      </c>
    </row>
    <row r="939" spans="1:7" ht="21">
      <c r="A939" s="1080" t="s">
        <v>940</v>
      </c>
      <c r="B939" s="2492">
        <v>193.08199999999999</v>
      </c>
      <c r="C939" s="2493">
        <v>1.04</v>
      </c>
      <c r="D939" s="2494">
        <v>330656</v>
      </c>
      <c r="E939" s="2500">
        <v>111056</v>
      </c>
      <c r="F939" s="2500">
        <v>0</v>
      </c>
      <c r="G939" s="2501">
        <v>175617482</v>
      </c>
    </row>
    <row r="940" spans="1:7" ht="21">
      <c r="A940" s="1080" t="s">
        <v>943</v>
      </c>
      <c r="B940" s="2492">
        <v>1966.2750000000001</v>
      </c>
      <c r="C940" s="2493">
        <v>1.04</v>
      </c>
      <c r="D940" s="2494">
        <v>2671013</v>
      </c>
      <c r="E940" s="2500">
        <v>1630127</v>
      </c>
      <c r="F940" s="2500">
        <v>866189</v>
      </c>
      <c r="G940" s="2501">
        <v>601961866</v>
      </c>
    </row>
    <row r="941" spans="1:7" ht="21">
      <c r="A941" s="1080" t="s">
        <v>944</v>
      </c>
      <c r="B941" s="2492">
        <v>868.87199999999996</v>
      </c>
      <c r="C941" s="2493">
        <v>1.17</v>
      </c>
      <c r="D941" s="2494">
        <v>225785</v>
      </c>
      <c r="E941" s="2500">
        <v>105245</v>
      </c>
      <c r="F941" s="2500">
        <v>0</v>
      </c>
      <c r="G941" s="2501">
        <v>216413443</v>
      </c>
    </row>
    <row r="942" spans="1:7" ht="21">
      <c r="A942" s="1080" t="s">
        <v>1726</v>
      </c>
      <c r="B942" s="2492">
        <v>1013.878</v>
      </c>
      <c r="C942" s="2493">
        <v>1.17</v>
      </c>
      <c r="D942" s="2494">
        <v>345687</v>
      </c>
      <c r="E942" s="2500">
        <v>437796</v>
      </c>
      <c r="F942" s="2500">
        <v>192826</v>
      </c>
      <c r="G942" s="2501">
        <v>238003348</v>
      </c>
    </row>
    <row r="943" spans="1:7" ht="21">
      <c r="A943" s="1080" t="s">
        <v>2097</v>
      </c>
      <c r="B943" s="2492">
        <v>474.649</v>
      </c>
      <c r="C943" s="2493">
        <v>1.04</v>
      </c>
      <c r="D943" s="2494">
        <v>131500</v>
      </c>
      <c r="E943" s="2500">
        <v>15693</v>
      </c>
      <c r="F943" s="2500">
        <v>112792</v>
      </c>
      <c r="G943" s="2501">
        <v>90073017</v>
      </c>
    </row>
    <row r="944" spans="1:7" ht="21">
      <c r="A944" s="1080" t="s">
        <v>945</v>
      </c>
      <c r="B944" s="2492">
        <v>2182.8069999999998</v>
      </c>
      <c r="C944" s="2493">
        <v>1.17</v>
      </c>
      <c r="D944" s="2494">
        <v>1920273</v>
      </c>
      <c r="E944" s="2500">
        <v>1300337</v>
      </c>
      <c r="F944" s="2500">
        <v>418350</v>
      </c>
      <c r="G944" s="2501">
        <v>575668388</v>
      </c>
    </row>
    <row r="945" spans="1:7" ht="21">
      <c r="A945" s="1080" t="s">
        <v>946</v>
      </c>
      <c r="B945" s="2492">
        <v>2252.7919999999999</v>
      </c>
      <c r="C945" s="2493">
        <v>1.04</v>
      </c>
      <c r="D945" s="2494">
        <v>529631</v>
      </c>
      <c r="E945" s="2500">
        <v>508821</v>
      </c>
      <c r="F945" s="2500">
        <v>0</v>
      </c>
      <c r="G945" s="2501">
        <v>497606905</v>
      </c>
    </row>
    <row r="946" spans="1:7" ht="21">
      <c r="A946" s="1080" t="s">
        <v>1606</v>
      </c>
      <c r="B946" s="2492">
        <v>352.63600000000002</v>
      </c>
      <c r="C946" s="2493">
        <v>1.17</v>
      </c>
      <c r="D946" s="2494">
        <v>142</v>
      </c>
      <c r="E946" s="2500">
        <v>0</v>
      </c>
      <c r="F946" s="2500">
        <v>36634</v>
      </c>
      <c r="G946" s="2501">
        <v>59429855</v>
      </c>
    </row>
    <row r="947" spans="1:7" ht="21">
      <c r="A947" s="1080" t="s">
        <v>989</v>
      </c>
      <c r="B947" s="2492">
        <v>816.43700000000001</v>
      </c>
      <c r="C947" s="2493">
        <v>1.04</v>
      </c>
      <c r="D947" s="2494">
        <v>804949</v>
      </c>
      <c r="E947" s="2500">
        <v>170332</v>
      </c>
      <c r="F947" s="2500">
        <v>360612</v>
      </c>
      <c r="G947" s="2501">
        <v>160682750</v>
      </c>
    </row>
    <row r="948" spans="1:7" ht="21">
      <c r="A948" s="1080" t="s">
        <v>372</v>
      </c>
      <c r="B948" s="2492">
        <v>13254.924999999999</v>
      </c>
      <c r="C948" s="2493">
        <v>1.04</v>
      </c>
      <c r="D948" s="2494">
        <v>13458029</v>
      </c>
      <c r="E948" s="2500">
        <v>7613803</v>
      </c>
      <c r="F948" s="2500">
        <v>5050536</v>
      </c>
      <c r="G948" s="2501">
        <v>5399889284</v>
      </c>
    </row>
    <row r="949" spans="1:7" ht="21">
      <c r="A949" s="1080" t="s">
        <v>2992</v>
      </c>
      <c r="B949" s="2492">
        <v>115.35</v>
      </c>
      <c r="C949" s="2493">
        <v>0.99</v>
      </c>
      <c r="D949" s="2494">
        <v>237982</v>
      </c>
      <c r="E949" s="2500">
        <v>56932</v>
      </c>
      <c r="F949" s="2500">
        <v>0</v>
      </c>
      <c r="G949" s="2501">
        <v>207418029</v>
      </c>
    </row>
    <row r="950" spans="1:7" ht="21">
      <c r="A950" s="1080" t="s">
        <v>1160</v>
      </c>
      <c r="B950" s="2492">
        <v>897.58799999999997</v>
      </c>
      <c r="C950" s="2493">
        <v>1.04</v>
      </c>
      <c r="D950" s="2494">
        <v>532851</v>
      </c>
      <c r="E950" s="2500">
        <v>139520</v>
      </c>
      <c r="F950" s="2500">
        <v>335009</v>
      </c>
      <c r="G950" s="2501">
        <v>241790939</v>
      </c>
    </row>
    <row r="951" spans="1:7" ht="21">
      <c r="A951" s="1080" t="s">
        <v>1320</v>
      </c>
      <c r="B951" s="2492">
        <v>6111.4170000000004</v>
      </c>
      <c r="C951" s="2493">
        <v>1.04</v>
      </c>
      <c r="D951" s="2494">
        <v>3609473</v>
      </c>
      <c r="E951" s="2500">
        <v>2498684</v>
      </c>
      <c r="F951" s="2500">
        <v>0</v>
      </c>
      <c r="G951" s="2501">
        <v>2020289118</v>
      </c>
    </row>
    <row r="952" spans="1:7" ht="21">
      <c r="A952" s="1080" t="s">
        <v>306</v>
      </c>
      <c r="B952" s="2492">
        <v>1403.854</v>
      </c>
      <c r="C952" s="2493">
        <v>1.17</v>
      </c>
      <c r="D952" s="2494">
        <v>992142</v>
      </c>
      <c r="E952" s="2500">
        <v>814600</v>
      </c>
      <c r="F952" s="2500">
        <v>586208</v>
      </c>
      <c r="G952" s="2501">
        <v>440352360</v>
      </c>
    </row>
    <row r="953" spans="1:7" ht="21">
      <c r="A953" s="1080" t="s">
        <v>307</v>
      </c>
      <c r="B953" s="2492">
        <v>5880.8959999999997</v>
      </c>
      <c r="C953" s="2493">
        <v>1.04</v>
      </c>
      <c r="D953" s="2494">
        <v>8201036</v>
      </c>
      <c r="E953" s="2500">
        <v>4855647</v>
      </c>
      <c r="F953" s="2500">
        <v>2153320</v>
      </c>
      <c r="G953" s="2501">
        <v>1968352175</v>
      </c>
    </row>
    <row r="954" spans="1:7" ht="21">
      <c r="A954" s="1080" t="s">
        <v>693</v>
      </c>
      <c r="B954" s="2492">
        <v>2060.7260000000001</v>
      </c>
      <c r="C954" s="2493">
        <v>1.04</v>
      </c>
      <c r="D954" s="2494">
        <v>5013112</v>
      </c>
      <c r="E954" s="2500">
        <v>2091637</v>
      </c>
      <c r="F954" s="2500">
        <v>472481</v>
      </c>
      <c r="G954" s="2501">
        <v>881091086</v>
      </c>
    </row>
    <row r="955" spans="1:7" ht="21">
      <c r="A955" s="1080" t="s">
        <v>694</v>
      </c>
      <c r="B955" s="2492">
        <v>2108.4699999999998</v>
      </c>
      <c r="C955" s="2493">
        <v>1.0134000000000001</v>
      </c>
      <c r="D955" s="2494">
        <v>3206662</v>
      </c>
      <c r="E955" s="2500">
        <v>1329853</v>
      </c>
      <c r="F955" s="2500">
        <v>0</v>
      </c>
      <c r="G955" s="2501">
        <v>1798525719</v>
      </c>
    </row>
    <row r="956" spans="1:7" ht="21">
      <c r="A956" s="1080" t="s">
        <v>695</v>
      </c>
      <c r="B956" s="2492">
        <v>128.36000000000001</v>
      </c>
      <c r="C956" s="2493">
        <v>1.04</v>
      </c>
      <c r="D956" s="2494">
        <v>0</v>
      </c>
      <c r="E956" s="2500">
        <v>0</v>
      </c>
      <c r="F956" s="2500">
        <v>0</v>
      </c>
      <c r="G956" s="2501">
        <v>152990946</v>
      </c>
    </row>
    <row r="957" spans="1:7" ht="21">
      <c r="A957" s="1080" t="s">
        <v>2669</v>
      </c>
      <c r="B957" s="2492">
        <v>4537.4070000000002</v>
      </c>
      <c r="C957" s="2493">
        <v>1.0333000000000001</v>
      </c>
      <c r="D957" s="2494">
        <v>2332646</v>
      </c>
      <c r="E957" s="2500">
        <v>1873579</v>
      </c>
      <c r="F957" s="2500">
        <v>0</v>
      </c>
      <c r="G957" s="2501">
        <v>2217922718</v>
      </c>
    </row>
    <row r="958" spans="1:7" ht="21">
      <c r="A958" s="1080" t="s">
        <v>2670</v>
      </c>
      <c r="B958" s="2492">
        <v>366.36</v>
      </c>
      <c r="C958" s="2493">
        <v>1.04</v>
      </c>
      <c r="D958" s="2494">
        <v>535318</v>
      </c>
      <c r="E958" s="2500">
        <v>170072</v>
      </c>
      <c r="F958" s="2500">
        <v>0</v>
      </c>
      <c r="G958" s="2501">
        <v>393682970</v>
      </c>
    </row>
    <row r="959" spans="1:7" ht="21">
      <c r="A959" s="1080" t="s">
        <v>1987</v>
      </c>
      <c r="B959" s="2492">
        <v>22358.239000000001</v>
      </c>
      <c r="C959" s="2493">
        <v>1.04</v>
      </c>
      <c r="D959" s="2494">
        <v>7537864</v>
      </c>
      <c r="E959" s="2500">
        <v>1171204</v>
      </c>
      <c r="F959" s="2500">
        <v>4884305</v>
      </c>
      <c r="G959" s="2501">
        <v>2129795949</v>
      </c>
    </row>
    <row r="960" spans="1:7" ht="21">
      <c r="A960" s="1080" t="s">
        <v>1713</v>
      </c>
      <c r="B960" s="2492">
        <v>40372.769</v>
      </c>
      <c r="C960" s="2493">
        <v>1.04</v>
      </c>
      <c r="D960" s="2494">
        <v>25868254</v>
      </c>
      <c r="E960" s="2500">
        <v>17653913</v>
      </c>
      <c r="F960" s="2500">
        <v>3739378</v>
      </c>
      <c r="G960" s="2501">
        <v>13334306024</v>
      </c>
    </row>
    <row r="961" spans="1:7" ht="21">
      <c r="A961" s="1080" t="s">
        <v>1043</v>
      </c>
      <c r="B961" s="2492">
        <v>289.86900000000003</v>
      </c>
      <c r="C961" s="2493">
        <v>0.80330000000000001</v>
      </c>
      <c r="D961" s="2494">
        <v>640601</v>
      </c>
      <c r="E961" s="2500">
        <v>47924</v>
      </c>
      <c r="F961" s="2500">
        <v>0</v>
      </c>
      <c r="G961" s="2501">
        <v>1021307356</v>
      </c>
    </row>
    <row r="962" spans="1:7" ht="21">
      <c r="A962" s="1080" t="s">
        <v>1044</v>
      </c>
      <c r="B962" s="2492">
        <v>1051.0709999999999</v>
      </c>
      <c r="C962" s="2493">
        <v>1.04</v>
      </c>
      <c r="D962" s="2494">
        <v>0</v>
      </c>
      <c r="E962" s="2500">
        <v>0</v>
      </c>
      <c r="F962" s="2500">
        <v>0</v>
      </c>
      <c r="G962" s="2501">
        <v>231908930</v>
      </c>
    </row>
    <row r="963" spans="1:7" ht="21">
      <c r="A963" s="1080" t="s">
        <v>1045</v>
      </c>
      <c r="B963" s="2492">
        <v>930.68899999999996</v>
      </c>
      <c r="C963" s="2493">
        <v>1.17</v>
      </c>
      <c r="D963" s="2494">
        <v>279684</v>
      </c>
      <c r="E963" s="2500">
        <v>301539</v>
      </c>
      <c r="F963" s="2500">
        <v>0</v>
      </c>
      <c r="G963" s="2501">
        <v>317979309</v>
      </c>
    </row>
    <row r="964" spans="1:7" ht="21">
      <c r="A964" s="1080" t="s">
        <v>624</v>
      </c>
      <c r="B964" s="2492">
        <v>3348.6669999999999</v>
      </c>
      <c r="C964" s="2493">
        <v>1.0401</v>
      </c>
      <c r="D964" s="2494">
        <v>1727367</v>
      </c>
      <c r="E964" s="2500">
        <v>1619945</v>
      </c>
      <c r="F964" s="2500">
        <v>0</v>
      </c>
      <c r="G964" s="2501">
        <v>1159280279</v>
      </c>
    </row>
    <row r="965" spans="1:7" ht="21">
      <c r="A965" s="1080" t="s">
        <v>1014</v>
      </c>
      <c r="B965" s="2492">
        <v>2042.519</v>
      </c>
      <c r="C965" s="2493">
        <v>1.0401</v>
      </c>
      <c r="D965" s="2494">
        <v>2235390</v>
      </c>
      <c r="E965" s="2500">
        <v>1425818</v>
      </c>
      <c r="F965" s="2500">
        <v>0</v>
      </c>
      <c r="G965" s="2501">
        <v>954732908</v>
      </c>
    </row>
    <row r="966" spans="1:7" ht="21">
      <c r="A966" s="1080" t="s">
        <v>1015</v>
      </c>
      <c r="B966" s="2492">
        <v>451.267</v>
      </c>
      <c r="C966" s="2493">
        <v>1.1499999999999999</v>
      </c>
      <c r="D966" s="2494">
        <v>125835</v>
      </c>
      <c r="E966" s="2500">
        <v>52692</v>
      </c>
      <c r="F966" s="2500">
        <v>0</v>
      </c>
      <c r="G966" s="2501">
        <v>211165507</v>
      </c>
    </row>
    <row r="967" spans="1:7" ht="21">
      <c r="A967" s="1080" t="s">
        <v>1016</v>
      </c>
      <c r="B967" s="2492">
        <v>393.55599999999998</v>
      </c>
      <c r="C967" s="2493">
        <v>1.04</v>
      </c>
      <c r="D967" s="2494">
        <v>0</v>
      </c>
      <c r="E967" s="2500">
        <v>0</v>
      </c>
      <c r="F967" s="2500">
        <v>0</v>
      </c>
      <c r="G967" s="2501">
        <v>174179493</v>
      </c>
    </row>
    <row r="968" spans="1:7" ht="21">
      <c r="A968" s="1080" t="s">
        <v>1017</v>
      </c>
      <c r="B968" s="2492">
        <v>435.94600000000003</v>
      </c>
      <c r="C968" s="2493">
        <v>1.0309999999999999</v>
      </c>
      <c r="D968" s="2494">
        <v>527287</v>
      </c>
      <c r="E968" s="2500">
        <v>160162</v>
      </c>
      <c r="F968" s="2500">
        <v>0</v>
      </c>
      <c r="G968" s="2501">
        <v>403149528</v>
      </c>
    </row>
    <row r="969" spans="1:7" ht="21">
      <c r="A969" s="1080" t="s">
        <v>1940</v>
      </c>
      <c r="B969" s="2492">
        <v>104.828</v>
      </c>
      <c r="C969" s="2493">
        <v>0.70660000000000001</v>
      </c>
      <c r="D969" s="2494">
        <v>5587</v>
      </c>
      <c r="E969" s="2500">
        <v>0</v>
      </c>
      <c r="F969" s="2500">
        <v>0</v>
      </c>
      <c r="G969" s="2501">
        <v>945277996</v>
      </c>
    </row>
    <row r="970" spans="1:7" ht="21">
      <c r="A970" s="1080" t="s">
        <v>2648</v>
      </c>
      <c r="B970" s="2492">
        <v>152.13999999999999</v>
      </c>
      <c r="C970" s="2493">
        <v>0.80669999999999997</v>
      </c>
      <c r="D970" s="2494">
        <v>1382092</v>
      </c>
      <c r="E970" s="2500">
        <v>36236</v>
      </c>
      <c r="F970" s="2500">
        <v>0</v>
      </c>
      <c r="G970" s="2501">
        <v>1729031240</v>
      </c>
    </row>
    <row r="971" spans="1:7" ht="21">
      <c r="A971" s="1080" t="s">
        <v>996</v>
      </c>
      <c r="B971" s="2492">
        <v>3024.6239999999998</v>
      </c>
      <c r="C971" s="2493">
        <v>1.17</v>
      </c>
      <c r="D971" s="2494">
        <v>1106684</v>
      </c>
      <c r="E971" s="2500">
        <v>483953</v>
      </c>
      <c r="F971" s="2500">
        <v>642991</v>
      </c>
      <c r="G971" s="2501">
        <v>781045922</v>
      </c>
    </row>
    <row r="972" spans="1:7" ht="21">
      <c r="A972" s="1080" t="s">
        <v>1424</v>
      </c>
      <c r="B972" s="2492">
        <v>385.625</v>
      </c>
      <c r="C972" s="2493">
        <v>1.04</v>
      </c>
      <c r="D972" s="2494">
        <v>823444</v>
      </c>
      <c r="E972" s="2500">
        <v>111754</v>
      </c>
      <c r="F972" s="2500">
        <v>0</v>
      </c>
      <c r="G972" s="2501">
        <v>311975257</v>
      </c>
    </row>
    <row r="973" spans="1:7" ht="21">
      <c r="A973" s="1080" t="s">
        <v>714</v>
      </c>
      <c r="B973" s="2492">
        <v>1609.683</v>
      </c>
      <c r="C973" s="2493">
        <v>1.04</v>
      </c>
      <c r="D973" s="2494">
        <v>1437899</v>
      </c>
      <c r="E973" s="2500">
        <v>1384425</v>
      </c>
      <c r="F973" s="2500">
        <v>0</v>
      </c>
      <c r="G973" s="2501">
        <v>596467474</v>
      </c>
    </row>
    <row r="974" spans="1:7" ht="21">
      <c r="A974" s="1080" t="s">
        <v>2088</v>
      </c>
      <c r="B974" s="2492">
        <v>13013.558999999999</v>
      </c>
      <c r="C974" s="2493">
        <v>1.04</v>
      </c>
      <c r="D974" s="2494">
        <v>3937241</v>
      </c>
      <c r="E974" s="2500">
        <v>797048</v>
      </c>
      <c r="F974" s="2500">
        <v>3007388</v>
      </c>
      <c r="G974" s="2501">
        <v>4024609493</v>
      </c>
    </row>
    <row r="975" spans="1:7" ht="21">
      <c r="A975" s="1080" t="s">
        <v>626</v>
      </c>
      <c r="B975" s="2492">
        <v>971.59100000000001</v>
      </c>
      <c r="C975" s="2493">
        <v>1.17</v>
      </c>
      <c r="D975" s="2494">
        <v>437815</v>
      </c>
      <c r="E975" s="2500">
        <v>193136</v>
      </c>
      <c r="F975" s="2500">
        <v>180313</v>
      </c>
      <c r="G975" s="2501">
        <v>176871113</v>
      </c>
    </row>
    <row r="976" spans="1:7" ht="21">
      <c r="A976" s="1080" t="s">
        <v>1534</v>
      </c>
      <c r="B976" s="2492">
        <v>109.776</v>
      </c>
      <c r="C976" s="2493">
        <v>1.17</v>
      </c>
      <c r="D976" s="2494">
        <v>0</v>
      </c>
      <c r="E976" s="2500">
        <v>0</v>
      </c>
      <c r="F976" s="2500">
        <v>0</v>
      </c>
      <c r="G976" s="2501">
        <v>86554238</v>
      </c>
    </row>
    <row r="977" spans="1:7" ht="21">
      <c r="A977" s="1080" t="s">
        <v>9</v>
      </c>
      <c r="B977" s="2492">
        <v>2000.15</v>
      </c>
      <c r="C977" s="2493">
        <v>1.04</v>
      </c>
      <c r="D977" s="2494">
        <v>821028</v>
      </c>
      <c r="E977" s="2500">
        <v>748146</v>
      </c>
      <c r="F977" s="2500">
        <v>0</v>
      </c>
      <c r="G977" s="2501">
        <v>779737560</v>
      </c>
    </row>
    <row r="978" spans="1:7" ht="21">
      <c r="A978" s="1080" t="s">
        <v>10</v>
      </c>
      <c r="B978" s="2492">
        <v>189.29300000000001</v>
      </c>
      <c r="C978" s="2493">
        <v>1.17</v>
      </c>
      <c r="D978" s="2494">
        <v>122550</v>
      </c>
      <c r="E978" s="2500">
        <v>36260</v>
      </c>
      <c r="F978" s="2500">
        <v>75469</v>
      </c>
      <c r="G978" s="2501">
        <v>105656509</v>
      </c>
    </row>
    <row r="979" spans="1:7" ht="21">
      <c r="A979" s="1080" t="s">
        <v>1695</v>
      </c>
      <c r="B979" s="2492">
        <v>438.28199999999998</v>
      </c>
      <c r="C979" s="2493">
        <v>1.17</v>
      </c>
      <c r="D979" s="2494">
        <v>75656</v>
      </c>
      <c r="E979" s="2500">
        <v>12585</v>
      </c>
      <c r="F979" s="2500">
        <v>108244</v>
      </c>
      <c r="G979" s="2501">
        <v>35958236</v>
      </c>
    </row>
    <row r="980" spans="1:7" ht="21">
      <c r="A980" s="1080" t="s">
        <v>2387</v>
      </c>
      <c r="B980" s="2492">
        <v>1439.915</v>
      </c>
      <c r="C980" s="2493">
        <v>1.17</v>
      </c>
      <c r="D980" s="2494">
        <v>751427</v>
      </c>
      <c r="E980" s="2500">
        <v>116096</v>
      </c>
      <c r="F980" s="2500">
        <v>752024</v>
      </c>
      <c r="G980" s="2501">
        <v>819152825</v>
      </c>
    </row>
    <row r="981" spans="1:7" ht="21">
      <c r="A981" s="1080" t="s">
        <v>465</v>
      </c>
      <c r="B981" s="2492">
        <v>1909.319</v>
      </c>
      <c r="C981" s="2493">
        <v>1.04</v>
      </c>
      <c r="D981" s="2494">
        <v>1021291</v>
      </c>
      <c r="E981" s="2500">
        <v>38556</v>
      </c>
      <c r="F981" s="2500">
        <v>904602</v>
      </c>
      <c r="G981" s="2501">
        <v>348307136</v>
      </c>
    </row>
    <row r="982" spans="1:7" ht="21">
      <c r="A982" s="1080" t="s">
        <v>308</v>
      </c>
      <c r="B982" s="2492">
        <v>257.59899999999999</v>
      </c>
      <c r="C982" s="2493">
        <v>1.04</v>
      </c>
      <c r="D982" s="2494">
        <v>279013</v>
      </c>
      <c r="E982" s="2500">
        <v>92400</v>
      </c>
      <c r="F982" s="2500">
        <v>154666</v>
      </c>
      <c r="G982" s="2501">
        <v>114325789</v>
      </c>
    </row>
    <row r="983" spans="1:7" ht="21">
      <c r="A983" s="1080" t="s">
        <v>1514</v>
      </c>
      <c r="B983" s="2492">
        <v>925.04499999999996</v>
      </c>
      <c r="C983" s="2493">
        <v>1.17</v>
      </c>
      <c r="D983" s="2494">
        <v>597083</v>
      </c>
      <c r="E983" s="2500">
        <v>370357</v>
      </c>
      <c r="F983" s="2500">
        <v>195615</v>
      </c>
      <c r="G983" s="2501">
        <v>274170956</v>
      </c>
    </row>
    <row r="984" spans="1:7" ht="21">
      <c r="A984" s="1080" t="s">
        <v>2975</v>
      </c>
      <c r="B984" s="2492">
        <v>10049.754000000001</v>
      </c>
      <c r="C984" s="2493">
        <v>1.08</v>
      </c>
      <c r="D984" s="2494">
        <v>20787013</v>
      </c>
      <c r="E984" s="2500">
        <v>10200500</v>
      </c>
      <c r="F984" s="2500">
        <v>1703750</v>
      </c>
      <c r="G984" s="2501">
        <v>5679309424</v>
      </c>
    </row>
    <row r="985" spans="1:7" ht="21">
      <c r="A985" s="1080" t="s">
        <v>2038</v>
      </c>
      <c r="B985" s="2492">
        <v>390.52100000000002</v>
      </c>
      <c r="C985" s="2493">
        <v>1.04</v>
      </c>
      <c r="D985" s="2494">
        <v>83351</v>
      </c>
      <c r="E985" s="2500">
        <v>0</v>
      </c>
      <c r="F985" s="2500">
        <v>84251</v>
      </c>
      <c r="G985" s="2501">
        <v>117960857</v>
      </c>
    </row>
    <row r="986" spans="1:7" ht="21">
      <c r="A986" s="1080" t="s">
        <v>47</v>
      </c>
      <c r="B986" s="2492">
        <v>5840.8980000000001</v>
      </c>
      <c r="C986" s="2493">
        <v>1.17</v>
      </c>
      <c r="D986" s="2494">
        <v>8809764</v>
      </c>
      <c r="E986" s="2500">
        <v>4431381</v>
      </c>
      <c r="F986" s="2500">
        <v>1432678</v>
      </c>
      <c r="G986" s="2501">
        <v>1528062489</v>
      </c>
    </row>
    <row r="987" spans="1:7" ht="21">
      <c r="A987" s="1080" t="s">
        <v>11</v>
      </c>
      <c r="B987" s="2492">
        <v>1207.1600000000001</v>
      </c>
      <c r="C987" s="2493">
        <v>1.04</v>
      </c>
      <c r="D987" s="2494">
        <v>2694389</v>
      </c>
      <c r="E987" s="2500">
        <v>1225267</v>
      </c>
      <c r="F987" s="2500">
        <v>0</v>
      </c>
      <c r="G987" s="2501">
        <v>688185295</v>
      </c>
    </row>
    <row r="988" spans="1:7" ht="21">
      <c r="A988" s="1080" t="s">
        <v>1990</v>
      </c>
      <c r="B988" s="2492">
        <v>3086.0219999999999</v>
      </c>
      <c r="C988" s="2493">
        <v>1.04</v>
      </c>
      <c r="D988" s="2494">
        <v>6368094</v>
      </c>
      <c r="E988" s="2500">
        <v>3132312</v>
      </c>
      <c r="F988" s="2500">
        <v>293067</v>
      </c>
      <c r="G988" s="2501">
        <v>1082527650</v>
      </c>
    </row>
    <row r="989" spans="1:7" ht="21">
      <c r="A989" s="1080" t="s">
        <v>1485</v>
      </c>
      <c r="B989" s="2492">
        <v>44781.080999999998</v>
      </c>
      <c r="C989" s="2493">
        <v>1.04</v>
      </c>
      <c r="D989" s="2494">
        <v>74017901</v>
      </c>
      <c r="E989" s="2500">
        <v>45452797</v>
      </c>
      <c r="F989" s="2500">
        <v>0</v>
      </c>
      <c r="G989" s="2501">
        <v>21953219149</v>
      </c>
    </row>
    <row r="990" spans="1:7" ht="21">
      <c r="A990" s="1080" t="s">
        <v>1738</v>
      </c>
      <c r="B990" s="2492">
        <v>2975.7370000000001</v>
      </c>
      <c r="C990" s="2493">
        <v>1.17</v>
      </c>
      <c r="D990" s="2494">
        <v>2366473</v>
      </c>
      <c r="E990" s="2500">
        <v>2241918</v>
      </c>
      <c r="F990" s="2500">
        <v>354643</v>
      </c>
      <c r="G990" s="2501">
        <v>781753757</v>
      </c>
    </row>
    <row r="991" spans="1:7" ht="21">
      <c r="A991" s="1080" t="s">
        <v>1708</v>
      </c>
      <c r="B991" s="2492">
        <v>602.55899999999997</v>
      </c>
      <c r="C991" s="2493">
        <v>1.04</v>
      </c>
      <c r="D991" s="2494">
        <v>322787</v>
      </c>
      <c r="E991" s="2500">
        <v>138815</v>
      </c>
      <c r="F991" s="2500">
        <v>102808</v>
      </c>
      <c r="G991" s="2501">
        <v>189622992</v>
      </c>
    </row>
    <row r="992" spans="1:7" ht="21">
      <c r="A992" s="1080" t="s">
        <v>1988</v>
      </c>
      <c r="B992" s="2492">
        <v>34436.080999999998</v>
      </c>
      <c r="C992" s="2493">
        <v>1.04</v>
      </c>
      <c r="D992" s="2494">
        <v>77574075</v>
      </c>
      <c r="E992" s="2500">
        <v>34952622</v>
      </c>
      <c r="F992" s="2500">
        <v>379027</v>
      </c>
      <c r="G992" s="2501">
        <v>14523504103</v>
      </c>
    </row>
    <row r="993" spans="1:7" ht="21">
      <c r="A993" s="1080" t="s">
        <v>12</v>
      </c>
      <c r="B993" s="2492">
        <v>134.727</v>
      </c>
      <c r="C993" s="2493">
        <v>1.0401</v>
      </c>
      <c r="D993" s="2494">
        <v>0</v>
      </c>
      <c r="E993" s="2500">
        <v>0</v>
      </c>
      <c r="F993" s="2500">
        <v>0</v>
      </c>
      <c r="G993" s="2501">
        <v>57490342</v>
      </c>
    </row>
    <row r="994" spans="1:7" ht="21">
      <c r="A994" s="1080" t="s">
        <v>2814</v>
      </c>
      <c r="B994" s="2492">
        <v>3688.1149999999998</v>
      </c>
      <c r="C994" s="2493">
        <v>1.04</v>
      </c>
      <c r="D994" s="2494">
        <v>5121681</v>
      </c>
      <c r="E994" s="2500">
        <v>2750922</v>
      </c>
      <c r="F994" s="2500">
        <v>1313180</v>
      </c>
      <c r="G994" s="2501">
        <v>1038650296</v>
      </c>
    </row>
    <row r="995" spans="1:7" ht="21">
      <c r="A995" s="1080" t="s">
        <v>66</v>
      </c>
      <c r="B995" s="2492">
        <v>3044.819</v>
      </c>
      <c r="C995" s="2493">
        <v>1.04</v>
      </c>
      <c r="D995" s="2494">
        <v>2891507</v>
      </c>
      <c r="E995" s="2500">
        <v>1655082</v>
      </c>
      <c r="F995" s="2500">
        <v>973778</v>
      </c>
      <c r="G995" s="2501">
        <v>825776514</v>
      </c>
    </row>
    <row r="996" spans="1:7" ht="21">
      <c r="A996" s="1080" t="s">
        <v>2815</v>
      </c>
      <c r="B996" s="2492">
        <v>778.87400000000002</v>
      </c>
      <c r="C996" s="2493">
        <v>1.04</v>
      </c>
      <c r="D996" s="2494">
        <v>468914</v>
      </c>
      <c r="E996" s="2500">
        <v>0</v>
      </c>
      <c r="F996" s="2500">
        <v>138525</v>
      </c>
      <c r="G996" s="2501">
        <v>466494046</v>
      </c>
    </row>
    <row r="997" spans="1:7" ht="21">
      <c r="A997" s="1080" t="s">
        <v>1705</v>
      </c>
      <c r="B997" s="2492">
        <v>769.13300000000004</v>
      </c>
      <c r="C997" s="2493">
        <v>1.04</v>
      </c>
      <c r="D997" s="2494">
        <v>643546</v>
      </c>
      <c r="E997" s="2500">
        <v>314345</v>
      </c>
      <c r="F997" s="2500">
        <v>254346</v>
      </c>
      <c r="G997" s="2501">
        <v>189350038</v>
      </c>
    </row>
    <row r="998" spans="1:7" ht="21">
      <c r="A998" s="1080" t="s">
        <v>1339</v>
      </c>
      <c r="B998" s="2492">
        <v>1349.09</v>
      </c>
      <c r="C998" s="2493">
        <v>1.0701000000000001</v>
      </c>
      <c r="D998" s="2494">
        <v>2063095</v>
      </c>
      <c r="E998" s="2500">
        <v>1130596</v>
      </c>
      <c r="F998" s="2500">
        <v>0</v>
      </c>
      <c r="G998" s="2501">
        <v>819480888</v>
      </c>
    </row>
    <row r="999" spans="1:7" ht="21">
      <c r="A999" s="1080" t="s">
        <v>1340</v>
      </c>
      <c r="B999" s="2492">
        <v>369.471</v>
      </c>
      <c r="C999" s="2493">
        <v>1.04</v>
      </c>
      <c r="D999" s="2494">
        <v>5363799</v>
      </c>
      <c r="E999" s="2500">
        <v>375013</v>
      </c>
      <c r="F999" s="2500">
        <v>0</v>
      </c>
      <c r="G999" s="2501">
        <v>1164189803</v>
      </c>
    </row>
    <row r="1000" spans="1:7" ht="21">
      <c r="A1000" s="1080" t="s">
        <v>224</v>
      </c>
      <c r="B1000" s="2492">
        <v>649.00599999999997</v>
      </c>
      <c r="C1000" s="2493">
        <v>1.17</v>
      </c>
      <c r="D1000" s="2494">
        <v>816318</v>
      </c>
      <c r="E1000" s="2500">
        <v>227697</v>
      </c>
      <c r="F1000" s="2500">
        <v>466170</v>
      </c>
      <c r="G1000" s="2501">
        <v>436650191</v>
      </c>
    </row>
    <row r="1001" spans="1:7" ht="21">
      <c r="A1001" s="1080" t="s">
        <v>904</v>
      </c>
      <c r="B1001" s="2492">
        <v>1062.3599999999999</v>
      </c>
      <c r="C1001" s="2493">
        <v>1.04</v>
      </c>
      <c r="D1001" s="2494">
        <v>1574802</v>
      </c>
      <c r="E1001" s="2500">
        <v>689725</v>
      </c>
      <c r="F1001" s="2500">
        <v>0</v>
      </c>
      <c r="G1001" s="2501">
        <v>786732190</v>
      </c>
    </row>
    <row r="1002" spans="1:7" ht="21">
      <c r="A1002" s="1080" t="s">
        <v>2491</v>
      </c>
      <c r="B1002" s="2492">
        <v>1946.229</v>
      </c>
      <c r="C1002" s="2493">
        <v>1.04</v>
      </c>
      <c r="D1002" s="2494">
        <v>2812673</v>
      </c>
      <c r="E1002" s="2500">
        <v>1349351</v>
      </c>
      <c r="F1002" s="2500">
        <v>0</v>
      </c>
      <c r="G1002" s="2501">
        <v>1369900577</v>
      </c>
    </row>
    <row r="1003" spans="1:7" ht="21">
      <c r="A1003" s="1080" t="s">
        <v>2780</v>
      </c>
      <c r="B1003" s="2492">
        <v>556.94500000000005</v>
      </c>
      <c r="C1003" s="2493">
        <v>1.04</v>
      </c>
      <c r="D1003" s="2494">
        <v>1098822</v>
      </c>
      <c r="E1003" s="2500">
        <v>441309</v>
      </c>
      <c r="F1003" s="2500">
        <v>0</v>
      </c>
      <c r="G1003" s="2501">
        <v>574539553</v>
      </c>
    </row>
    <row r="1004" spans="1:7" ht="21">
      <c r="A1004" s="1080" t="s">
        <v>2781</v>
      </c>
      <c r="B1004" s="2492">
        <v>2828.2829999999999</v>
      </c>
      <c r="C1004" s="2493">
        <v>1.04</v>
      </c>
      <c r="D1004" s="2494">
        <v>5658759</v>
      </c>
      <c r="E1004" s="2500">
        <v>2749540</v>
      </c>
      <c r="F1004" s="2500">
        <v>0</v>
      </c>
      <c r="G1004" s="2501">
        <v>2238956458</v>
      </c>
    </row>
    <row r="1005" spans="1:7" ht="21">
      <c r="A1005" s="1080" t="s">
        <v>2302</v>
      </c>
      <c r="B1005" s="2492">
        <v>1067.345</v>
      </c>
      <c r="C1005" s="2493">
        <v>1.04</v>
      </c>
      <c r="D1005" s="2494">
        <v>1159338</v>
      </c>
      <c r="E1005" s="2500">
        <v>790937</v>
      </c>
      <c r="F1005" s="2500">
        <v>399025</v>
      </c>
      <c r="G1005" s="2501">
        <v>380333993</v>
      </c>
    </row>
    <row r="1006" spans="1:7" ht="21">
      <c r="A1006" s="1080" t="s">
        <v>1314</v>
      </c>
      <c r="B1006" s="2492">
        <v>232.98099999999999</v>
      </c>
      <c r="C1006" s="2493">
        <v>1.07</v>
      </c>
      <c r="D1006" s="2494">
        <v>196744</v>
      </c>
      <c r="E1006" s="2500">
        <v>18836</v>
      </c>
      <c r="F1006" s="2500">
        <v>169216</v>
      </c>
      <c r="G1006" s="2501">
        <v>339516106</v>
      </c>
    </row>
    <row r="1007" spans="1:7" ht="21">
      <c r="A1007" s="1080" t="s">
        <v>2548</v>
      </c>
      <c r="B1007" s="2492">
        <v>694.06600000000003</v>
      </c>
      <c r="C1007" s="2493">
        <v>1.03</v>
      </c>
      <c r="D1007" s="2494">
        <v>2131717</v>
      </c>
      <c r="E1007" s="2500">
        <v>354816</v>
      </c>
      <c r="F1007" s="2500">
        <v>0</v>
      </c>
      <c r="G1007" s="2501">
        <v>908338486</v>
      </c>
    </row>
    <row r="1008" spans="1:7" ht="21">
      <c r="A1008" s="1080" t="s">
        <v>2549</v>
      </c>
      <c r="B1008" s="2492">
        <v>1484.1890000000001</v>
      </c>
      <c r="C1008" s="2493">
        <v>1.17</v>
      </c>
      <c r="D1008" s="2494">
        <v>0</v>
      </c>
      <c r="E1008" s="2500">
        <v>0</v>
      </c>
      <c r="F1008" s="2500">
        <v>0</v>
      </c>
      <c r="G1008" s="2501">
        <v>546195942</v>
      </c>
    </row>
    <row r="1009" spans="1:7" ht="21">
      <c r="A1009" s="1080" t="s">
        <v>2970</v>
      </c>
      <c r="B1009" s="2492">
        <v>1047.239</v>
      </c>
      <c r="C1009" s="2493">
        <v>1.04</v>
      </c>
      <c r="D1009" s="2494">
        <v>331151</v>
      </c>
      <c r="E1009" s="2500">
        <v>294275</v>
      </c>
      <c r="F1009" s="2500">
        <v>0</v>
      </c>
      <c r="G1009" s="2501">
        <v>464275345</v>
      </c>
    </row>
    <row r="1010" spans="1:7" ht="21">
      <c r="A1010" s="1080" t="s">
        <v>2971</v>
      </c>
      <c r="B1010" s="2492">
        <v>323.53399999999999</v>
      </c>
      <c r="C1010" s="2493">
        <v>1.04</v>
      </c>
      <c r="D1010" s="2494">
        <v>260509</v>
      </c>
      <c r="E1010" s="2500">
        <v>107735</v>
      </c>
      <c r="F1010" s="2500">
        <v>0</v>
      </c>
      <c r="G1010" s="2501">
        <v>283980725</v>
      </c>
    </row>
    <row r="1011" spans="1:7" ht="21">
      <c r="A1011" s="1080" t="s">
        <v>705</v>
      </c>
      <c r="B1011" s="2492">
        <v>792.75199999999995</v>
      </c>
      <c r="C1011" s="2493">
        <v>1.04</v>
      </c>
      <c r="D1011" s="2494">
        <v>157176</v>
      </c>
      <c r="E1011" s="2500">
        <v>123752</v>
      </c>
      <c r="F1011" s="2500">
        <v>0</v>
      </c>
      <c r="G1011" s="2501">
        <v>253071650</v>
      </c>
    </row>
    <row r="1012" spans="1:7" ht="21">
      <c r="A1012" s="1080" t="s">
        <v>777</v>
      </c>
      <c r="B1012" s="2492">
        <v>1350.847</v>
      </c>
      <c r="C1012" s="2493">
        <v>1.17</v>
      </c>
      <c r="D1012" s="2494">
        <v>0</v>
      </c>
      <c r="E1012" s="2500">
        <v>0</v>
      </c>
      <c r="F1012" s="2500">
        <v>0</v>
      </c>
      <c r="G1012" s="2501">
        <v>436765477</v>
      </c>
    </row>
    <row r="1013" spans="1:7" ht="21">
      <c r="A1013" s="1080" t="s">
        <v>778</v>
      </c>
      <c r="B1013" s="2492">
        <v>1607.0329999999999</v>
      </c>
      <c r="C1013" s="2493">
        <v>1.04</v>
      </c>
      <c r="D1013" s="2494">
        <v>6581477</v>
      </c>
      <c r="E1013" s="2500">
        <v>1347026</v>
      </c>
      <c r="F1013" s="2500">
        <v>0</v>
      </c>
      <c r="G1013" s="2501">
        <v>3006023705</v>
      </c>
    </row>
    <row r="1014" spans="1:7" ht="21">
      <c r="A1014" s="1080" t="s">
        <v>1660</v>
      </c>
      <c r="B1014" s="2492">
        <v>434.245</v>
      </c>
      <c r="C1014" s="2493">
        <v>0.97789999999999999</v>
      </c>
      <c r="D1014" s="2494">
        <v>3535150</v>
      </c>
      <c r="E1014" s="2500">
        <v>440759</v>
      </c>
      <c r="F1014" s="2500">
        <v>0</v>
      </c>
      <c r="G1014" s="2501">
        <v>1126567056</v>
      </c>
    </row>
    <row r="1015" spans="1:7" ht="21">
      <c r="A1015" s="1080" t="s">
        <v>1020</v>
      </c>
      <c r="B1015" s="2492">
        <v>2325.6909999999998</v>
      </c>
      <c r="C1015" s="2493">
        <v>1.04</v>
      </c>
      <c r="D1015" s="2494">
        <v>2441565</v>
      </c>
      <c r="E1015" s="2500">
        <v>1460117</v>
      </c>
      <c r="F1015" s="2500">
        <v>974909</v>
      </c>
      <c r="G1015" s="2501">
        <v>783794790</v>
      </c>
    </row>
    <row r="1016" spans="1:7" ht="21">
      <c r="A1016" s="1080" t="s">
        <v>1661</v>
      </c>
      <c r="B1016" s="2492">
        <v>194.81200000000001</v>
      </c>
      <c r="C1016" s="2493">
        <v>1.17</v>
      </c>
      <c r="D1016" s="2494">
        <v>357416</v>
      </c>
      <c r="E1016" s="2500">
        <v>197734</v>
      </c>
      <c r="F1016" s="2500">
        <v>0</v>
      </c>
      <c r="G1016" s="2501">
        <v>77460627</v>
      </c>
    </row>
    <row r="1017" spans="1:7" ht="21">
      <c r="A1017" s="1080" t="s">
        <v>1696</v>
      </c>
      <c r="B1017" s="2492">
        <v>653.57899999999995</v>
      </c>
      <c r="C1017" s="2493">
        <v>1.17</v>
      </c>
      <c r="D1017" s="2494">
        <v>1016445</v>
      </c>
      <c r="E1017" s="2500">
        <v>65693</v>
      </c>
      <c r="F1017" s="2500">
        <v>374758</v>
      </c>
      <c r="G1017" s="2501">
        <v>562969933</v>
      </c>
    </row>
    <row r="1018" spans="1:7" ht="21">
      <c r="A1018" s="1080" t="s">
        <v>556</v>
      </c>
      <c r="B1018" s="2492">
        <v>3240.9690000000001</v>
      </c>
      <c r="C1018" s="2493">
        <v>1.04</v>
      </c>
      <c r="D1018" s="2494">
        <v>42254</v>
      </c>
      <c r="E1018" s="2500">
        <v>0</v>
      </c>
      <c r="F1018" s="2500">
        <v>0</v>
      </c>
      <c r="G1018" s="2501">
        <v>1365456820</v>
      </c>
    </row>
    <row r="1019" spans="1:7" ht="21">
      <c r="A1019" s="1080" t="s">
        <v>2760</v>
      </c>
      <c r="B1019" s="2492">
        <v>1823.789</v>
      </c>
      <c r="C1019" s="2493">
        <v>1.0847</v>
      </c>
      <c r="D1019" s="2494">
        <v>1426737</v>
      </c>
      <c r="E1019" s="2500">
        <v>162893</v>
      </c>
      <c r="F1019" s="2500">
        <v>1102424</v>
      </c>
      <c r="G1019" s="2501">
        <v>476371456</v>
      </c>
    </row>
    <row r="1020" spans="1:7" ht="21">
      <c r="A1020" s="1080" t="s">
        <v>1901</v>
      </c>
      <c r="B1020" s="2492">
        <v>445.61</v>
      </c>
      <c r="C1020" s="2493">
        <v>1.1332</v>
      </c>
      <c r="D1020" s="2494">
        <v>74462</v>
      </c>
      <c r="E1020" s="2500">
        <v>0</v>
      </c>
      <c r="F1020" s="2500">
        <v>76488</v>
      </c>
      <c r="G1020" s="2501">
        <v>63444123</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728" workbookViewId="0">
      <selection activeCell="C739" sqref="C739:M741"/>
    </sheetView>
  </sheetViews>
  <sheetFormatPr defaultColWidth="8.85546875" defaultRowHeight="12.75"/>
  <cols>
    <col min="1" max="1" width="11.28515625" style="1692" bestFit="1" customWidth="1"/>
    <col min="2" max="2" width="11.28515625" style="1692" customWidth="1"/>
    <col min="3" max="3" width="24.42578125" style="1692" bestFit="1" customWidth="1"/>
    <col min="4" max="4" width="8.42578125" style="1693" customWidth="1"/>
    <col min="5" max="5" width="10.42578125" style="1693" bestFit="1" customWidth="1"/>
    <col min="6" max="6" width="20" style="1692" bestFit="1" customWidth="1"/>
    <col min="7" max="7" width="20.85546875" style="1692" bestFit="1" customWidth="1"/>
    <col min="8" max="8" width="16.7109375" style="2246" bestFit="1" customWidth="1"/>
    <col min="9" max="9" width="20.7109375" style="2246" bestFit="1" customWidth="1"/>
    <col min="10" max="10" width="16" style="2247" bestFit="1" customWidth="1"/>
    <col min="11" max="11" width="13.85546875" style="1692" bestFit="1" customWidth="1"/>
    <col min="12" max="12" width="11.85546875" style="1692" bestFit="1" customWidth="1"/>
    <col min="13" max="16384" width="8.85546875" style="1692"/>
  </cols>
  <sheetData>
    <row r="1" spans="1:13" s="2245" customFormat="1" ht="90">
      <c r="A1" s="2241" t="s">
        <v>4752</v>
      </c>
      <c r="B1" s="2241"/>
      <c r="C1" s="2241" t="s">
        <v>4753</v>
      </c>
      <c r="D1" s="2242" t="s">
        <v>4754</v>
      </c>
      <c r="E1" s="2242" t="s">
        <v>4755</v>
      </c>
      <c r="F1" s="2241" t="s">
        <v>4756</v>
      </c>
      <c r="G1" s="2241" t="s">
        <v>4757</v>
      </c>
      <c r="H1" s="2243" t="s">
        <v>4758</v>
      </c>
      <c r="I1" s="2243" t="s">
        <v>4759</v>
      </c>
      <c r="J1" s="2244" t="s">
        <v>4760</v>
      </c>
      <c r="K1" s="2245" t="s">
        <v>4761</v>
      </c>
      <c r="L1" s="2245" t="s">
        <v>4762</v>
      </c>
      <c r="M1" s="2245" t="s">
        <v>4763</v>
      </c>
    </row>
    <row r="2" spans="1:13" ht="15">
      <c r="A2" s="2266" t="s">
        <v>3997</v>
      </c>
      <c r="B2" s="1694" t="str">
        <f>CONCATENATE(LEFT(RIGHT(CONCATENATE("000",IFAData_TEA!A2),6),3),"-",(RIGHT(RIGHT(CONCATENATE("000",IFAData_TEA!A2),6),3)))</f>
        <v>001-903</v>
      </c>
      <c r="C2" s="2266" t="s">
        <v>311</v>
      </c>
      <c r="D2" s="2266">
        <v>10</v>
      </c>
      <c r="E2" s="2266">
        <v>1801</v>
      </c>
      <c r="F2" s="2266" t="s">
        <v>4764</v>
      </c>
      <c r="G2" s="2266" t="s">
        <v>4764</v>
      </c>
      <c r="H2" s="2436">
        <v>319250</v>
      </c>
      <c r="I2" s="2436">
        <v>1034794</v>
      </c>
      <c r="J2" s="2446">
        <v>1</v>
      </c>
      <c r="K2" s="2436">
        <v>319250</v>
      </c>
      <c r="L2" s="2436">
        <v>319250</v>
      </c>
      <c r="M2" s="2266">
        <v>599</v>
      </c>
    </row>
    <row r="3" spans="1:13" ht="15">
      <c r="A3" s="2266" t="s">
        <v>3998</v>
      </c>
      <c r="B3" s="1694" t="str">
        <f>CONCATENATE(LEFT(RIGHT(CONCATENATE("000",IFAData_TEA!A3),6),3),"-",(RIGHT(RIGHT(CONCATENATE("000",IFAData_TEA!A3),6),3)))</f>
        <v>001-907</v>
      </c>
      <c r="C3" s="2266" t="s">
        <v>314</v>
      </c>
      <c r="D3" s="2266">
        <v>10</v>
      </c>
      <c r="E3" s="2266">
        <v>2170</v>
      </c>
      <c r="F3" s="2266" t="s">
        <v>4765</v>
      </c>
      <c r="G3" s="2266" t="s">
        <v>4765</v>
      </c>
      <c r="H3" s="2436">
        <v>751572</v>
      </c>
      <c r="I3" s="2436">
        <v>3940262</v>
      </c>
      <c r="J3" s="2446">
        <v>1</v>
      </c>
      <c r="K3" s="2436">
        <v>751572</v>
      </c>
      <c r="L3" s="2436">
        <v>751572</v>
      </c>
      <c r="M3" s="2266">
        <v>599</v>
      </c>
    </row>
    <row r="4" spans="1:13" ht="15">
      <c r="A4" s="2266" t="s">
        <v>3999</v>
      </c>
      <c r="B4" s="1694" t="str">
        <f>CONCATENATE(LEFT(RIGHT(CONCATENATE("000",IFAData_TEA!A4),6),3),"-",(RIGHT(RIGHT(CONCATENATE("000",IFAData_TEA!A4),6),3)))</f>
        <v>003-902</v>
      </c>
      <c r="C4" s="2266" t="s">
        <v>2733</v>
      </c>
      <c r="D4" s="2266">
        <v>4</v>
      </c>
      <c r="E4" s="2266">
        <v>1909</v>
      </c>
      <c r="F4" s="2266" t="s">
        <v>4766</v>
      </c>
      <c r="G4" s="2266" t="s">
        <v>4768</v>
      </c>
      <c r="H4" s="2436">
        <v>522310</v>
      </c>
      <c r="I4" s="2436">
        <v>444330</v>
      </c>
      <c r="J4" s="2446">
        <v>1</v>
      </c>
      <c r="K4" s="2436">
        <v>522310</v>
      </c>
      <c r="L4" s="2436">
        <v>444330</v>
      </c>
      <c r="M4" s="2266">
        <v>599</v>
      </c>
    </row>
    <row r="5" spans="1:13" ht="15">
      <c r="A5" s="2266" t="s">
        <v>3999</v>
      </c>
      <c r="B5" s="1694" t="str">
        <f>CONCATENATE(LEFT(RIGHT(CONCATENATE("000",IFAData_TEA!A5),6),3),"-",(RIGHT(RIGHT(CONCATENATE("000",IFAData_TEA!A5),6),3)))</f>
        <v>003-902</v>
      </c>
      <c r="C5" s="2266" t="s">
        <v>2733</v>
      </c>
      <c r="D5" s="2266">
        <v>4</v>
      </c>
      <c r="E5" s="2266">
        <v>1909</v>
      </c>
      <c r="F5" s="2266" t="s">
        <v>4766</v>
      </c>
      <c r="G5" s="2266" t="s">
        <v>4766</v>
      </c>
      <c r="H5" s="2436">
        <v>522310</v>
      </c>
      <c r="I5" s="2436">
        <v>0</v>
      </c>
      <c r="J5" s="2446">
        <v>0</v>
      </c>
      <c r="K5" s="2436">
        <v>0</v>
      </c>
      <c r="L5" s="2436">
        <v>0</v>
      </c>
      <c r="M5" s="2266">
        <v>599</v>
      </c>
    </row>
    <row r="6" spans="1:13" ht="15">
      <c r="A6" s="2266" t="s">
        <v>3999</v>
      </c>
      <c r="B6" s="1694" t="str">
        <f>CONCATENATE(LEFT(RIGHT(CONCATENATE("000",IFAData_TEA!A6),6),3),"-",(RIGHT(RIGHT(CONCATENATE("000",IFAData_TEA!A6),6),3)))</f>
        <v>003-902</v>
      </c>
      <c r="C6" s="2266" t="s">
        <v>2733</v>
      </c>
      <c r="D6" s="2266">
        <v>10</v>
      </c>
      <c r="E6" s="2266">
        <v>1908</v>
      </c>
      <c r="F6" s="2266" t="s">
        <v>4770</v>
      </c>
      <c r="G6" s="2266" t="s">
        <v>4770</v>
      </c>
      <c r="H6" s="2436">
        <v>61268</v>
      </c>
      <c r="I6" s="2436">
        <v>158125</v>
      </c>
      <c r="J6" s="2446">
        <v>1</v>
      </c>
      <c r="K6" s="2436">
        <v>61268</v>
      </c>
      <c r="L6" s="2436">
        <v>61268</v>
      </c>
      <c r="M6" s="2266">
        <v>599</v>
      </c>
    </row>
    <row r="7" spans="1:13" ht="15">
      <c r="A7" s="2266" t="s">
        <v>3999</v>
      </c>
      <c r="B7" s="1694" t="str">
        <f>CONCATENATE(LEFT(RIGHT(CONCATENATE("000",IFAData_TEA!A7),6),3),"-",(RIGHT(RIGHT(CONCATENATE("000",IFAData_TEA!A7),6),3)))</f>
        <v>003-902</v>
      </c>
      <c r="C7" s="2266" t="s">
        <v>2733</v>
      </c>
      <c r="D7" s="2266">
        <v>4</v>
      </c>
      <c r="E7" s="2266">
        <v>1909</v>
      </c>
      <c r="F7" s="2266" t="s">
        <v>4766</v>
      </c>
      <c r="G7" s="2266" t="s">
        <v>4767</v>
      </c>
      <c r="H7" s="2436">
        <v>522310</v>
      </c>
      <c r="I7" s="2436">
        <v>0</v>
      </c>
      <c r="J7" s="2446">
        <v>0</v>
      </c>
      <c r="K7" s="2436">
        <v>0</v>
      </c>
      <c r="L7" s="2436">
        <v>0</v>
      </c>
      <c r="M7" s="2266">
        <v>599</v>
      </c>
    </row>
    <row r="8" spans="1:13" ht="15">
      <c r="A8" s="2266" t="s">
        <v>3999</v>
      </c>
      <c r="B8" s="1694" t="str">
        <f>CONCATENATE(LEFT(RIGHT(CONCATENATE("000",IFAData_TEA!A8),6),3),"-",(RIGHT(RIGHT(CONCATENATE("000",IFAData_TEA!A8),6),3)))</f>
        <v>003-902</v>
      </c>
      <c r="C8" s="2266" t="s">
        <v>2733</v>
      </c>
      <c r="D8" s="2266">
        <v>9</v>
      </c>
      <c r="E8" s="2266">
        <v>1910</v>
      </c>
      <c r="F8" s="2266" t="s">
        <v>4769</v>
      </c>
      <c r="G8" s="2266" t="s">
        <v>4769</v>
      </c>
      <c r="H8" s="2436">
        <v>578788</v>
      </c>
      <c r="I8" s="2436">
        <v>578178</v>
      </c>
      <c r="J8" s="2446">
        <v>1</v>
      </c>
      <c r="K8" s="2436">
        <v>578788</v>
      </c>
      <c r="L8" s="2436">
        <v>578178</v>
      </c>
      <c r="M8" s="2266">
        <v>599</v>
      </c>
    </row>
    <row r="9" spans="1:13" ht="15">
      <c r="A9" s="2445" t="s">
        <v>4000</v>
      </c>
      <c r="B9" s="1694" t="str">
        <f>CONCATENATE(LEFT(RIGHT(CONCATENATE("000",IFAData_TEA!A9),6),3),"-",(RIGHT(RIGHT(CONCATENATE("000",IFAData_TEA!A9),6),3)))</f>
        <v>003-904</v>
      </c>
      <c r="C9" s="2445" t="s">
        <v>1438</v>
      </c>
      <c r="D9" s="2445">
        <v>3</v>
      </c>
      <c r="E9" s="2445">
        <v>1917</v>
      </c>
      <c r="F9" s="2445" t="s">
        <v>4773</v>
      </c>
      <c r="G9" s="2445" t="s">
        <v>4773</v>
      </c>
      <c r="H9" s="2447">
        <v>254314</v>
      </c>
      <c r="I9" s="2447">
        <v>0</v>
      </c>
      <c r="J9" s="2448">
        <v>0</v>
      </c>
      <c r="K9" s="2447">
        <v>0</v>
      </c>
      <c r="L9" s="2447">
        <v>0</v>
      </c>
      <c r="M9" s="2445">
        <v>599</v>
      </c>
    </row>
    <row r="10" spans="1:13" ht="15">
      <c r="A10" s="2445" t="s">
        <v>4000</v>
      </c>
      <c r="B10" s="1694" t="str">
        <f>CONCATENATE(LEFT(RIGHT(CONCATENATE("000",IFAData_TEA!A10),6),3),"-",(RIGHT(RIGHT(CONCATENATE("000",IFAData_TEA!A10),6),3)))</f>
        <v>003-904</v>
      </c>
      <c r="C10" s="2445" t="s">
        <v>1438</v>
      </c>
      <c r="D10" s="2445">
        <v>3</v>
      </c>
      <c r="E10" s="2445">
        <v>1916</v>
      </c>
      <c r="F10" s="2445" t="s">
        <v>4771</v>
      </c>
      <c r="G10" s="2445" t="s">
        <v>4771</v>
      </c>
      <c r="H10" s="2447">
        <v>73837</v>
      </c>
      <c r="I10" s="2447">
        <v>0</v>
      </c>
      <c r="J10" s="2448">
        <v>0</v>
      </c>
      <c r="K10" s="2447">
        <v>0</v>
      </c>
      <c r="L10" s="2447">
        <v>0</v>
      </c>
      <c r="M10" s="2445">
        <v>599</v>
      </c>
    </row>
    <row r="11" spans="1:13" ht="15">
      <c r="A11" s="2445" t="s">
        <v>4000</v>
      </c>
      <c r="B11" s="1694" t="str">
        <f>CONCATENATE(LEFT(RIGHT(CONCATENATE("000",IFAData_TEA!A11),6),3),"-",(RIGHT(RIGHT(CONCATENATE("000",IFAData_TEA!A11),6),3)))</f>
        <v>003-904</v>
      </c>
      <c r="C11" s="2445" t="s">
        <v>1438</v>
      </c>
      <c r="D11" s="2445">
        <v>9</v>
      </c>
      <c r="E11" s="2445">
        <v>1918</v>
      </c>
      <c r="F11" s="2445" t="s">
        <v>4774</v>
      </c>
      <c r="G11" s="2445" t="s">
        <v>6900</v>
      </c>
      <c r="H11" s="2447">
        <v>393008</v>
      </c>
      <c r="I11" s="2447">
        <v>193754</v>
      </c>
      <c r="J11" s="2448">
        <v>0.26367151086440282</v>
      </c>
      <c r="K11" s="2447">
        <v>103625.01314179723</v>
      </c>
      <c r="L11" s="2447">
        <v>103625.01314179723</v>
      </c>
      <c r="M11" s="2445">
        <v>599</v>
      </c>
    </row>
    <row r="12" spans="1:13" ht="15">
      <c r="A12" s="2445" t="s">
        <v>4000</v>
      </c>
      <c r="B12" s="1694" t="str">
        <f>CONCATENATE(LEFT(RIGHT(CONCATENATE("000",IFAData_TEA!A12),6),3),"-",(RIGHT(RIGHT(CONCATENATE("000",IFAData_TEA!A12),6),3)))</f>
        <v>003-904</v>
      </c>
      <c r="C12" s="2445" t="s">
        <v>1438</v>
      </c>
      <c r="D12" s="2445">
        <v>3</v>
      </c>
      <c r="E12" s="2445">
        <v>1917</v>
      </c>
      <c r="F12" s="2445" t="s">
        <v>4773</v>
      </c>
      <c r="G12" s="2445" t="s">
        <v>4772</v>
      </c>
      <c r="H12" s="2447">
        <v>254314</v>
      </c>
      <c r="I12" s="2447">
        <v>210328</v>
      </c>
      <c r="J12" s="2448">
        <v>1</v>
      </c>
      <c r="K12" s="2447">
        <v>254314</v>
      </c>
      <c r="L12" s="2447">
        <v>210328</v>
      </c>
      <c r="M12" s="2445">
        <v>599</v>
      </c>
    </row>
    <row r="13" spans="1:13" ht="15">
      <c r="A13" s="2445" t="s">
        <v>4000</v>
      </c>
      <c r="B13" s="1694" t="str">
        <f>CONCATENATE(LEFT(RIGHT(CONCATENATE("000",IFAData_TEA!A13),6),3),"-",(RIGHT(RIGHT(CONCATENATE("000",IFAData_TEA!A13),6),3)))</f>
        <v>003-904</v>
      </c>
      <c r="C13" s="2445" t="s">
        <v>1438</v>
      </c>
      <c r="D13" s="2445">
        <v>3</v>
      </c>
      <c r="E13" s="2445">
        <v>1916</v>
      </c>
      <c r="F13" s="2445" t="s">
        <v>4771</v>
      </c>
      <c r="G13" s="2445" t="s">
        <v>4772</v>
      </c>
      <c r="H13" s="2447">
        <v>73837</v>
      </c>
      <c r="I13" s="2447">
        <v>443843</v>
      </c>
      <c r="J13" s="2448">
        <v>1</v>
      </c>
      <c r="K13" s="2447">
        <v>73837</v>
      </c>
      <c r="L13" s="2447">
        <v>73837</v>
      </c>
      <c r="M13" s="2445">
        <v>599</v>
      </c>
    </row>
    <row r="14" spans="1:13" ht="15">
      <c r="A14" s="2445" t="s">
        <v>4000</v>
      </c>
      <c r="B14" s="1694" t="str">
        <f>CONCATENATE(LEFT(RIGHT(CONCATENATE("000",IFAData_TEA!A14),6),3),"-",(RIGHT(RIGHT(CONCATENATE("000",IFAData_TEA!A14),6),3)))</f>
        <v>003-904</v>
      </c>
      <c r="C14" s="2445" t="s">
        <v>1438</v>
      </c>
      <c r="D14" s="2445">
        <v>9</v>
      </c>
      <c r="E14" s="2445">
        <v>1918</v>
      </c>
      <c r="F14" s="2445" t="s">
        <v>4774</v>
      </c>
      <c r="G14" s="2445" t="s">
        <v>4774</v>
      </c>
      <c r="H14" s="2447">
        <v>393008</v>
      </c>
      <c r="I14" s="2447">
        <v>541077</v>
      </c>
      <c r="J14" s="2448">
        <v>0.73632848913559712</v>
      </c>
      <c r="K14" s="2447">
        <v>289382.98685820273</v>
      </c>
      <c r="L14" s="2447">
        <v>289382.98685820273</v>
      </c>
      <c r="M14" s="2445">
        <v>599</v>
      </c>
    </row>
    <row r="15" spans="1:13" ht="15">
      <c r="A15" s="2266" t="s">
        <v>4001</v>
      </c>
      <c r="B15" s="1694" t="str">
        <f>CONCATENATE(LEFT(RIGHT(CONCATENATE("000",IFAData_TEA!A15),6),3),"-",(RIGHT(RIGHT(CONCATENATE("000",IFAData_TEA!A15),6),3)))</f>
        <v>003-905</v>
      </c>
      <c r="C15" s="2266" t="s">
        <v>1359</v>
      </c>
      <c r="D15" s="2266">
        <v>10</v>
      </c>
      <c r="E15" s="2266">
        <v>1762</v>
      </c>
      <c r="F15" s="2266" t="s">
        <v>4775</v>
      </c>
      <c r="G15" s="2266" t="s">
        <v>4775</v>
      </c>
      <c r="H15" s="2436">
        <v>437500</v>
      </c>
      <c r="I15" s="2436">
        <v>475512</v>
      </c>
      <c r="J15" s="2446">
        <v>1</v>
      </c>
      <c r="K15" s="2436">
        <v>437500</v>
      </c>
      <c r="L15" s="2436">
        <v>437500</v>
      </c>
      <c r="M15" s="2266">
        <v>599</v>
      </c>
    </row>
    <row r="16" spans="1:13" ht="15">
      <c r="A16" s="2266" t="s">
        <v>4002</v>
      </c>
      <c r="B16" s="1694" t="str">
        <f>CONCATENATE(LEFT(RIGHT(CONCATENATE("000",IFAData_TEA!A16),6),3),"-",(RIGHT(RIGHT(CONCATENATE("000",IFAData_TEA!A16),6),3)))</f>
        <v>003-907</v>
      </c>
      <c r="C16" s="2266" t="s">
        <v>1361</v>
      </c>
      <c r="D16" s="2266">
        <v>9</v>
      </c>
      <c r="E16" s="2266">
        <v>1676</v>
      </c>
      <c r="F16" s="2266" t="s">
        <v>4776</v>
      </c>
      <c r="G16" s="2266" t="s">
        <v>4776</v>
      </c>
      <c r="H16" s="2436">
        <v>393343</v>
      </c>
      <c r="I16" s="2436">
        <v>640573</v>
      </c>
      <c r="J16" s="2446">
        <v>1</v>
      </c>
      <c r="K16" s="2436">
        <v>393343</v>
      </c>
      <c r="L16" s="2436">
        <v>393343</v>
      </c>
      <c r="M16" s="2266">
        <v>599</v>
      </c>
    </row>
    <row r="17" spans="1:13" ht="15">
      <c r="A17" s="2266" t="s">
        <v>4003</v>
      </c>
      <c r="B17" s="1694" t="str">
        <f>CONCATENATE(LEFT(RIGHT(CONCATENATE("000",IFAData_TEA!A17),6),3),"-",(RIGHT(RIGHT(CONCATENATE("000",IFAData_TEA!A17),6),3)))</f>
        <v>005-904</v>
      </c>
      <c r="C17" s="2266" t="s">
        <v>1289</v>
      </c>
      <c r="D17" s="2266">
        <v>6</v>
      </c>
      <c r="E17" s="2266">
        <v>2458</v>
      </c>
      <c r="F17" s="2266" t="s">
        <v>4777</v>
      </c>
      <c r="G17" s="2266" t="s">
        <v>4778</v>
      </c>
      <c r="H17" s="2436">
        <v>108848</v>
      </c>
      <c r="I17" s="2436">
        <v>169924</v>
      </c>
      <c r="J17" s="2446">
        <v>1</v>
      </c>
      <c r="K17" s="2436">
        <v>108848</v>
      </c>
      <c r="L17" s="2436">
        <v>108848</v>
      </c>
      <c r="M17" s="2266">
        <v>599</v>
      </c>
    </row>
    <row r="18" spans="1:13" ht="15">
      <c r="A18" s="2266" t="s">
        <v>4003</v>
      </c>
      <c r="B18" s="1694" t="str">
        <f>CONCATENATE(LEFT(RIGHT(CONCATENATE("000",IFAData_TEA!A18),6),3),"-",(RIGHT(RIGHT(CONCATENATE("000",IFAData_TEA!A18),6),3)))</f>
        <v>005-904</v>
      </c>
      <c r="C18" s="2266" t="s">
        <v>1289</v>
      </c>
      <c r="D18" s="2266">
        <v>6</v>
      </c>
      <c r="E18" s="2266">
        <v>2458</v>
      </c>
      <c r="F18" s="2266" t="s">
        <v>4777</v>
      </c>
      <c r="G18" s="2266" t="s">
        <v>4777</v>
      </c>
      <c r="H18" s="2436">
        <v>108848</v>
      </c>
      <c r="I18" s="2436">
        <v>0</v>
      </c>
      <c r="J18" s="2446">
        <v>0</v>
      </c>
      <c r="K18" s="2436">
        <v>0</v>
      </c>
      <c r="L18" s="2436">
        <v>0</v>
      </c>
      <c r="M18" s="2266">
        <v>599</v>
      </c>
    </row>
    <row r="19" spans="1:13" ht="15">
      <c r="A19" s="2266" t="s">
        <v>4004</v>
      </c>
      <c r="B19" s="1694" t="str">
        <f>CONCATENATE(LEFT(RIGHT(CONCATENATE("000",IFAData_TEA!A19),6),3),"-",(RIGHT(RIGHT(CONCATENATE("000",IFAData_TEA!A19),6),3)))</f>
        <v>007-901</v>
      </c>
      <c r="C19" s="2266" t="s">
        <v>736</v>
      </c>
      <c r="D19" s="2266">
        <v>9</v>
      </c>
      <c r="E19" s="2266">
        <v>1682</v>
      </c>
      <c r="F19" s="2266" t="s">
        <v>4783</v>
      </c>
      <c r="G19" s="2266" t="s">
        <v>4783</v>
      </c>
      <c r="H19" s="2436">
        <v>35459</v>
      </c>
      <c r="I19" s="2436">
        <v>30968</v>
      </c>
      <c r="J19" s="2446">
        <v>1</v>
      </c>
      <c r="K19" s="2436">
        <v>35459</v>
      </c>
      <c r="L19" s="2436">
        <v>30968</v>
      </c>
      <c r="M19" s="2266">
        <v>599</v>
      </c>
    </row>
    <row r="20" spans="1:13" ht="15">
      <c r="A20" s="2266" t="s">
        <v>4004</v>
      </c>
      <c r="B20" s="1694" t="str">
        <f>CONCATENATE(LEFT(RIGHT(CONCATENATE("000",IFAData_TEA!A20),6),3),"-",(RIGHT(RIGHT(CONCATENATE("000",IFAData_TEA!A20),6),3)))</f>
        <v>007-901</v>
      </c>
      <c r="C20" s="2266" t="s">
        <v>736</v>
      </c>
      <c r="D20" s="2266">
        <v>5</v>
      </c>
      <c r="E20" s="2266">
        <v>1683</v>
      </c>
      <c r="F20" s="2266" t="s">
        <v>4782</v>
      </c>
      <c r="G20" s="2266" t="s">
        <v>4782</v>
      </c>
      <c r="H20" s="2436">
        <v>116170</v>
      </c>
      <c r="I20" s="2436">
        <v>0</v>
      </c>
      <c r="J20" s="2446">
        <v>0</v>
      </c>
      <c r="K20" s="2436">
        <v>0</v>
      </c>
      <c r="L20" s="2436">
        <v>0</v>
      </c>
      <c r="M20" s="2266">
        <v>599</v>
      </c>
    </row>
    <row r="21" spans="1:13" ht="15">
      <c r="A21" s="2266" t="s">
        <v>4004</v>
      </c>
      <c r="B21" s="1694" t="str">
        <f>CONCATENATE(LEFT(RIGHT(CONCATENATE("000",IFAData_TEA!A21),6),3),"-",(RIGHT(RIGHT(CONCATENATE("000",IFAData_TEA!A21),6),3)))</f>
        <v>007-901</v>
      </c>
      <c r="C21" s="2266" t="s">
        <v>736</v>
      </c>
      <c r="D21" s="2266">
        <v>4</v>
      </c>
      <c r="E21" s="2266">
        <v>1684</v>
      </c>
      <c r="F21" s="2266" t="s">
        <v>4779</v>
      </c>
      <c r="G21" s="2266" t="s">
        <v>4779</v>
      </c>
      <c r="H21" s="2436">
        <v>121726</v>
      </c>
      <c r="I21" s="2436">
        <v>0</v>
      </c>
      <c r="J21" s="2446">
        <v>0</v>
      </c>
      <c r="K21" s="2436">
        <v>0</v>
      </c>
      <c r="L21" s="2436">
        <v>0</v>
      </c>
      <c r="M21" s="2266">
        <v>599</v>
      </c>
    </row>
    <row r="22" spans="1:13" ht="15">
      <c r="A22" s="2266" t="s">
        <v>4004</v>
      </c>
      <c r="B22" s="1694" t="str">
        <f>CONCATENATE(LEFT(RIGHT(CONCATENATE("000",IFAData_TEA!A22),6),3),"-",(RIGHT(RIGHT(CONCATENATE("000",IFAData_TEA!A22),6),3)))</f>
        <v>007-901</v>
      </c>
      <c r="C22" s="2266" t="s">
        <v>736</v>
      </c>
      <c r="D22" s="2266">
        <v>4</v>
      </c>
      <c r="E22" s="2266">
        <v>1684</v>
      </c>
      <c r="F22" s="2266" t="s">
        <v>4779</v>
      </c>
      <c r="G22" s="2266" t="s">
        <v>4780</v>
      </c>
      <c r="H22" s="2436">
        <v>121726</v>
      </c>
      <c r="I22" s="2436">
        <v>63182</v>
      </c>
      <c r="J22" s="2446">
        <v>0.61550901120311741</v>
      </c>
      <c r="K22" s="2436">
        <v>74923.44989771067</v>
      </c>
      <c r="L22" s="2436">
        <v>63182</v>
      </c>
      <c r="M22" s="2266">
        <v>599</v>
      </c>
    </row>
    <row r="23" spans="1:13" ht="15">
      <c r="A23" s="2266" t="s">
        <v>4004</v>
      </c>
      <c r="B23" s="1694" t="str">
        <f>CONCATENATE(LEFT(RIGHT(CONCATENATE("000",IFAData_TEA!A23),6),3),"-",(RIGHT(RIGHT(CONCATENATE("000",IFAData_TEA!A23),6),3)))</f>
        <v>007-901</v>
      </c>
      <c r="C23" s="2266" t="s">
        <v>736</v>
      </c>
      <c r="D23" s="2266">
        <v>5</v>
      </c>
      <c r="E23" s="2266">
        <v>1683</v>
      </c>
      <c r="F23" s="2266" t="s">
        <v>4782</v>
      </c>
      <c r="G23" s="2266" t="s">
        <v>4780</v>
      </c>
      <c r="H23" s="2436">
        <v>116170</v>
      </c>
      <c r="I23" s="2436">
        <v>61818</v>
      </c>
      <c r="J23" s="2446">
        <v>0.6155148208258242</v>
      </c>
      <c r="K23" s="2436">
        <v>71504.356735335998</v>
      </c>
      <c r="L23" s="2436">
        <v>61818</v>
      </c>
      <c r="M23" s="2266">
        <v>599</v>
      </c>
    </row>
    <row r="24" spans="1:13" ht="15">
      <c r="A24" s="2266" t="s">
        <v>4004</v>
      </c>
      <c r="B24" s="1694" t="str">
        <f>CONCATENATE(LEFT(RIGHT(CONCATENATE("000",IFAData_TEA!A24),6),3),"-",(RIGHT(RIGHT(CONCATENATE("000",IFAData_TEA!A24),6),3)))</f>
        <v>007-901</v>
      </c>
      <c r="C24" s="2266" t="s">
        <v>736</v>
      </c>
      <c r="D24" s="2266">
        <v>5</v>
      </c>
      <c r="E24" s="2266">
        <v>1683</v>
      </c>
      <c r="F24" s="2266" t="s">
        <v>4782</v>
      </c>
      <c r="G24" s="2266" t="s">
        <v>4781</v>
      </c>
      <c r="H24" s="2436">
        <v>116170</v>
      </c>
      <c r="I24" s="2436">
        <v>38615</v>
      </c>
      <c r="J24" s="2446">
        <v>0.3844851791741758</v>
      </c>
      <c r="K24" s="2436">
        <v>44665.643264664002</v>
      </c>
      <c r="L24" s="2436">
        <v>38615</v>
      </c>
      <c r="M24" s="2266">
        <v>599</v>
      </c>
    </row>
    <row r="25" spans="1:13" ht="15">
      <c r="A25" s="2266" t="s">
        <v>4004</v>
      </c>
      <c r="B25" s="1694" t="str">
        <f>CONCATENATE(LEFT(RIGHT(CONCATENATE("000",IFAData_TEA!A25),6),3),"-",(RIGHT(RIGHT(CONCATENATE("000",IFAData_TEA!A25),6),3)))</f>
        <v>007-901</v>
      </c>
      <c r="C25" s="2266" t="s">
        <v>736</v>
      </c>
      <c r="D25" s="2266">
        <v>4</v>
      </c>
      <c r="E25" s="2266">
        <v>1684</v>
      </c>
      <c r="F25" s="2266" t="s">
        <v>4779</v>
      </c>
      <c r="G25" s="2266" t="s">
        <v>4781</v>
      </c>
      <c r="H25" s="2436">
        <v>121726</v>
      </c>
      <c r="I25" s="2436">
        <v>39468</v>
      </c>
      <c r="J25" s="2446">
        <v>0.38449098879688259</v>
      </c>
      <c r="K25" s="2436">
        <v>46802.55010228933</v>
      </c>
      <c r="L25" s="2436">
        <v>39468</v>
      </c>
      <c r="M25" s="2266">
        <v>599</v>
      </c>
    </row>
    <row r="26" spans="1:13" ht="15">
      <c r="A26" s="2266" t="s">
        <v>4005</v>
      </c>
      <c r="B26" s="1694" t="str">
        <f>CONCATENATE(LEFT(RIGHT(CONCATENATE("000",IFAData_TEA!A26),6),3),"-",(RIGHT(RIGHT(CONCATENATE("000",IFAData_TEA!A26),6),3)))</f>
        <v>007-904</v>
      </c>
      <c r="C26" s="2266" t="s">
        <v>1367</v>
      </c>
      <c r="D26" s="2266">
        <v>10</v>
      </c>
      <c r="E26" s="2266">
        <v>2048</v>
      </c>
      <c r="F26" s="2266" t="s">
        <v>4784</v>
      </c>
      <c r="G26" s="2266" t="s">
        <v>4784</v>
      </c>
      <c r="H26" s="2436">
        <v>399219</v>
      </c>
      <c r="I26" s="2436">
        <v>632650</v>
      </c>
      <c r="J26" s="2446">
        <v>1</v>
      </c>
      <c r="K26" s="2436">
        <v>399219</v>
      </c>
      <c r="L26" s="2436">
        <v>399219</v>
      </c>
      <c r="M26" s="2266">
        <v>599</v>
      </c>
    </row>
    <row r="27" spans="1:13" ht="15">
      <c r="A27" s="2266" t="s">
        <v>4006</v>
      </c>
      <c r="B27" s="1694" t="str">
        <f>CONCATENATE(LEFT(RIGHT(CONCATENATE("000",IFAData_TEA!A27),6),3),"-",(RIGHT(RIGHT(CONCATENATE("000",IFAData_TEA!A27),6),3)))</f>
        <v>007-905</v>
      </c>
      <c r="C27" s="2266" t="s">
        <v>1128</v>
      </c>
      <c r="D27" s="2266">
        <v>6</v>
      </c>
      <c r="E27" s="2266">
        <v>2199</v>
      </c>
      <c r="F27" s="2266" t="s">
        <v>4787</v>
      </c>
      <c r="G27" s="2266" t="s">
        <v>4787</v>
      </c>
      <c r="H27" s="2436">
        <v>406232</v>
      </c>
      <c r="I27" s="2436">
        <v>0</v>
      </c>
      <c r="J27" s="2446">
        <v>0</v>
      </c>
      <c r="K27" s="2436">
        <v>0</v>
      </c>
      <c r="L27" s="2436">
        <v>0</v>
      </c>
      <c r="M27" s="2266">
        <v>599</v>
      </c>
    </row>
    <row r="28" spans="1:13" ht="15">
      <c r="A28" s="2266" t="s">
        <v>4006</v>
      </c>
      <c r="B28" s="1694" t="str">
        <f>CONCATENATE(LEFT(RIGHT(CONCATENATE("000",IFAData_TEA!A28),6),3),"-",(RIGHT(RIGHT(CONCATENATE("000",IFAData_TEA!A28),6),3)))</f>
        <v>007-905</v>
      </c>
      <c r="C28" s="2266" t="s">
        <v>1128</v>
      </c>
      <c r="D28" s="2266">
        <v>6</v>
      </c>
      <c r="E28" s="2266">
        <v>2199</v>
      </c>
      <c r="F28" s="2266" t="s">
        <v>4787</v>
      </c>
      <c r="G28" s="2266" t="s">
        <v>4786</v>
      </c>
      <c r="H28" s="2436">
        <v>406232</v>
      </c>
      <c r="I28" s="2436">
        <v>325072</v>
      </c>
      <c r="J28" s="2446">
        <v>1</v>
      </c>
      <c r="K28" s="2436">
        <v>406232</v>
      </c>
      <c r="L28" s="2436">
        <v>325072</v>
      </c>
      <c r="M28" s="2266">
        <v>599</v>
      </c>
    </row>
    <row r="29" spans="1:13" ht="15">
      <c r="A29" s="2266" t="s">
        <v>4006</v>
      </c>
      <c r="B29" s="1694" t="str">
        <f>CONCATENATE(LEFT(RIGHT(CONCATENATE("000",IFAData_TEA!A29),6),3),"-",(RIGHT(RIGHT(CONCATENATE("000",IFAData_TEA!A29),6),3)))</f>
        <v>007-905</v>
      </c>
      <c r="C29" s="2266" t="s">
        <v>1128</v>
      </c>
      <c r="D29" s="2266">
        <v>9</v>
      </c>
      <c r="E29" s="2266">
        <v>2198</v>
      </c>
      <c r="F29" s="2266" t="s">
        <v>4788</v>
      </c>
      <c r="G29" s="2266" t="s">
        <v>4788</v>
      </c>
      <c r="H29" s="2436">
        <v>212024</v>
      </c>
      <c r="I29" s="2436">
        <v>298396</v>
      </c>
      <c r="J29" s="2446">
        <v>1</v>
      </c>
      <c r="K29" s="2436">
        <v>212024</v>
      </c>
      <c r="L29" s="2436">
        <v>212024</v>
      </c>
      <c r="M29" s="2266">
        <v>599</v>
      </c>
    </row>
    <row r="30" spans="1:13" ht="15">
      <c r="A30" s="2266" t="s">
        <v>4006</v>
      </c>
      <c r="B30" s="1694" t="str">
        <f>CONCATENATE(LEFT(RIGHT(CONCATENATE("000",IFAData_TEA!A30),6),3),"-",(RIGHT(RIGHT(CONCATENATE("000",IFAData_TEA!A30),6),3)))</f>
        <v>007-905</v>
      </c>
      <c r="C30" s="2266" t="s">
        <v>1128</v>
      </c>
      <c r="D30" s="2266">
        <v>3</v>
      </c>
      <c r="E30" s="2266">
        <v>2200</v>
      </c>
      <c r="F30" s="2266" t="s">
        <v>4785</v>
      </c>
      <c r="G30" s="2266" t="s">
        <v>4786</v>
      </c>
      <c r="H30" s="2436">
        <v>450000</v>
      </c>
      <c r="I30" s="2436">
        <v>397043</v>
      </c>
      <c r="J30" s="2446">
        <v>1</v>
      </c>
      <c r="K30" s="2436">
        <v>450000</v>
      </c>
      <c r="L30" s="2436">
        <v>397043</v>
      </c>
      <c r="M30" s="2266">
        <v>599</v>
      </c>
    </row>
    <row r="31" spans="1:13" ht="15">
      <c r="A31" s="2266" t="s">
        <v>4006</v>
      </c>
      <c r="B31" s="1694" t="str">
        <f>CONCATENATE(LEFT(RIGHT(CONCATENATE("000",IFAData_TEA!A31),6),3),"-",(RIGHT(RIGHT(CONCATENATE("000",IFAData_TEA!A31),6),3)))</f>
        <v>007-905</v>
      </c>
      <c r="C31" s="2266" t="s">
        <v>1128</v>
      </c>
      <c r="D31" s="2266">
        <v>3</v>
      </c>
      <c r="E31" s="2266">
        <v>2200</v>
      </c>
      <c r="F31" s="2266" t="s">
        <v>4785</v>
      </c>
      <c r="G31" s="2266" t="s">
        <v>4785</v>
      </c>
      <c r="H31" s="2436">
        <v>450000</v>
      </c>
      <c r="I31" s="2436">
        <v>0</v>
      </c>
      <c r="J31" s="2446">
        <v>0</v>
      </c>
      <c r="K31" s="2436">
        <v>0</v>
      </c>
      <c r="L31" s="2436">
        <v>0</v>
      </c>
      <c r="M31" s="2266">
        <v>599</v>
      </c>
    </row>
    <row r="32" spans="1:13" ht="15">
      <c r="A32" s="2266" t="s">
        <v>4007</v>
      </c>
      <c r="B32" s="1694" t="str">
        <f>CONCATENATE(LEFT(RIGHT(CONCATENATE("000",IFAData_TEA!A32),6),3),"-",(RIGHT(RIGHT(CONCATENATE("000",IFAData_TEA!A32),6),3)))</f>
        <v>007-906</v>
      </c>
      <c r="C32" s="2266" t="s">
        <v>1131</v>
      </c>
      <c r="D32" s="2266">
        <v>5</v>
      </c>
      <c r="E32" s="2266">
        <v>2205</v>
      </c>
      <c r="F32" s="2266" t="s">
        <v>4789</v>
      </c>
      <c r="G32" s="2266" t="s">
        <v>4789</v>
      </c>
      <c r="H32" s="2436">
        <v>362375</v>
      </c>
      <c r="I32" s="2436">
        <v>167200</v>
      </c>
      <c r="J32" s="2446">
        <v>0.47818427254215573</v>
      </c>
      <c r="K32" s="2436">
        <v>173282.02576246369</v>
      </c>
      <c r="L32" s="2436">
        <v>167200</v>
      </c>
      <c r="M32" s="2266">
        <v>599</v>
      </c>
    </row>
    <row r="33" spans="1:13" ht="15">
      <c r="A33" s="2266" t="s">
        <v>4007</v>
      </c>
      <c r="B33" s="1694" t="str">
        <f>CONCATENATE(LEFT(RIGHT(CONCATENATE("000",IFAData_TEA!A33),6),3),"-",(RIGHT(RIGHT(CONCATENATE("000",IFAData_TEA!A33),6),3)))</f>
        <v>007-906</v>
      </c>
      <c r="C33" s="2266" t="s">
        <v>1131</v>
      </c>
      <c r="D33" s="2266">
        <v>6</v>
      </c>
      <c r="E33" s="2266">
        <v>2203</v>
      </c>
      <c r="F33" s="2266" t="s">
        <v>4791</v>
      </c>
      <c r="G33" s="2266" t="s">
        <v>4791</v>
      </c>
      <c r="H33" s="2436">
        <v>28625</v>
      </c>
      <c r="I33" s="2436">
        <v>26792</v>
      </c>
      <c r="J33" s="2446">
        <v>1</v>
      </c>
      <c r="K33" s="2436">
        <v>28625</v>
      </c>
      <c r="L33" s="2436">
        <v>26792</v>
      </c>
      <c r="M33" s="2266">
        <v>599</v>
      </c>
    </row>
    <row r="34" spans="1:13" ht="15">
      <c r="A34" s="2266" t="s">
        <v>4007</v>
      </c>
      <c r="B34" s="1694" t="str">
        <f>CONCATENATE(LEFT(RIGHT(CONCATENATE("000",IFAData_TEA!A34),6),3),"-",(RIGHT(RIGHT(CONCATENATE("000",IFAData_TEA!A34),6),3)))</f>
        <v>007-906</v>
      </c>
      <c r="C34" s="2266" t="s">
        <v>1131</v>
      </c>
      <c r="D34" s="2266">
        <v>8</v>
      </c>
      <c r="E34" s="2266">
        <v>2204</v>
      </c>
      <c r="F34" s="2266" t="s">
        <v>4790</v>
      </c>
      <c r="G34" s="2266" t="s">
        <v>4790</v>
      </c>
      <c r="H34" s="2436">
        <v>308669</v>
      </c>
      <c r="I34" s="2436">
        <v>308394</v>
      </c>
      <c r="J34" s="2446">
        <v>1</v>
      </c>
      <c r="K34" s="2436">
        <v>308669</v>
      </c>
      <c r="L34" s="2436">
        <v>308394</v>
      </c>
      <c r="M34" s="2266">
        <v>599</v>
      </c>
    </row>
    <row r="35" spans="1:13" ht="15">
      <c r="A35" s="2266" t="s">
        <v>4007</v>
      </c>
      <c r="B35" s="1694" t="str">
        <f>CONCATENATE(LEFT(RIGHT(CONCATENATE("000",IFAData_TEA!A35),6),3),"-",(RIGHT(RIGHT(CONCATENATE("000",IFAData_TEA!A35),6),3)))</f>
        <v>007-906</v>
      </c>
      <c r="C35" s="2266" t="s">
        <v>1131</v>
      </c>
      <c r="D35" s="2266">
        <v>5</v>
      </c>
      <c r="E35" s="2266">
        <v>2205</v>
      </c>
      <c r="F35" s="2266" t="s">
        <v>4789</v>
      </c>
      <c r="G35" s="2266" t="s">
        <v>4790</v>
      </c>
      <c r="H35" s="2436">
        <v>362375</v>
      </c>
      <c r="I35" s="2436">
        <v>182456</v>
      </c>
      <c r="J35" s="2446">
        <v>0.52181572745784432</v>
      </c>
      <c r="K35" s="2436">
        <v>189092.97423753634</v>
      </c>
      <c r="L35" s="2436">
        <v>182456</v>
      </c>
      <c r="M35" s="2266">
        <v>599</v>
      </c>
    </row>
    <row r="36" spans="1:13" ht="15">
      <c r="A36" s="2266" t="s">
        <v>4008</v>
      </c>
      <c r="B36" s="1694" t="str">
        <f>CONCATENATE(LEFT(RIGHT(CONCATENATE("000",IFAData_TEA!A36),6),3),"-",(RIGHT(RIGHT(CONCATENATE("000",IFAData_TEA!A36),6),3)))</f>
        <v>009-901</v>
      </c>
      <c r="C36" s="2266" t="s">
        <v>1371</v>
      </c>
      <c r="D36" s="2266">
        <v>9</v>
      </c>
      <c r="E36" s="2266">
        <v>2123</v>
      </c>
      <c r="F36" s="2266" t="s">
        <v>4792</v>
      </c>
      <c r="G36" s="2266" t="s">
        <v>4792</v>
      </c>
      <c r="H36" s="2436">
        <v>263987</v>
      </c>
      <c r="I36" s="2436">
        <v>267711</v>
      </c>
      <c r="J36" s="2446">
        <v>1</v>
      </c>
      <c r="K36" s="2436">
        <v>263987</v>
      </c>
      <c r="L36" s="2436">
        <v>263987</v>
      </c>
      <c r="M36" s="2266">
        <v>599</v>
      </c>
    </row>
    <row r="37" spans="1:13" ht="15">
      <c r="A37" s="2266" t="s">
        <v>4009</v>
      </c>
      <c r="B37" s="1694" t="str">
        <f>CONCATENATE(LEFT(RIGHT(CONCATENATE("000",IFAData_TEA!A37),6),3),"-",(RIGHT(RIGHT(CONCATENATE("000",IFAData_TEA!A37),6),3)))</f>
        <v>010-902</v>
      </c>
      <c r="C37" s="2266" t="s">
        <v>2431</v>
      </c>
      <c r="D37" s="2266">
        <v>6</v>
      </c>
      <c r="E37" s="2266">
        <v>1591</v>
      </c>
      <c r="F37" s="2266" t="s">
        <v>4793</v>
      </c>
      <c r="G37" s="2266" t="s">
        <v>4794</v>
      </c>
      <c r="H37" s="2436">
        <v>691574</v>
      </c>
      <c r="I37" s="2436">
        <v>1257320</v>
      </c>
      <c r="J37" s="2446">
        <v>1</v>
      </c>
      <c r="K37" s="2436">
        <v>691574</v>
      </c>
      <c r="L37" s="2436">
        <v>691574</v>
      </c>
      <c r="M37" s="2266">
        <v>599</v>
      </c>
    </row>
    <row r="38" spans="1:13" ht="15">
      <c r="A38" s="2266" t="s">
        <v>4009</v>
      </c>
      <c r="B38" s="1694" t="str">
        <f>CONCATENATE(LEFT(RIGHT(CONCATENATE("000",IFAData_TEA!A38),6),3),"-",(RIGHT(RIGHT(CONCATENATE("000",IFAData_TEA!A38),6),3)))</f>
        <v>010-902</v>
      </c>
      <c r="C38" s="2266" t="s">
        <v>2431</v>
      </c>
      <c r="D38" s="2266">
        <v>6</v>
      </c>
      <c r="E38" s="2266">
        <v>1591</v>
      </c>
      <c r="F38" s="2266" t="s">
        <v>4793</v>
      </c>
      <c r="G38" s="2266" t="s">
        <v>4793</v>
      </c>
      <c r="H38" s="2436">
        <v>691574</v>
      </c>
      <c r="I38" s="2436">
        <v>0</v>
      </c>
      <c r="J38" s="2446">
        <v>0</v>
      </c>
      <c r="K38" s="2436">
        <v>0</v>
      </c>
      <c r="L38" s="2436">
        <v>0</v>
      </c>
      <c r="M38" s="2266">
        <v>599</v>
      </c>
    </row>
    <row r="39" spans="1:13" ht="15">
      <c r="A39" s="2266" t="s">
        <v>4010</v>
      </c>
      <c r="B39" s="1694" t="str">
        <f>CONCATENATE(LEFT(RIGHT(CONCATENATE("000",IFAData_TEA!A39),6),3),"-",(RIGHT(RIGHT(CONCATENATE("000",IFAData_TEA!A39),6),3)))</f>
        <v>011-901</v>
      </c>
      <c r="C39" s="2266" t="s">
        <v>2433</v>
      </c>
      <c r="D39" s="2266">
        <v>9</v>
      </c>
      <c r="E39" s="2266">
        <v>1595</v>
      </c>
      <c r="F39" s="2266" t="s">
        <v>4799</v>
      </c>
      <c r="G39" s="2266" t="s">
        <v>4798</v>
      </c>
      <c r="H39" s="2436">
        <v>1091461</v>
      </c>
      <c r="I39" s="2436">
        <v>11660</v>
      </c>
      <c r="J39" s="2446">
        <v>5.2823641071060483E-3</v>
      </c>
      <c r="K39" s="2436">
        <v>5765.4944107060746</v>
      </c>
      <c r="L39" s="2436">
        <v>5765.4944107060746</v>
      </c>
      <c r="M39" s="2266">
        <v>599</v>
      </c>
    </row>
    <row r="40" spans="1:13" ht="15">
      <c r="A40" s="2266" t="s">
        <v>4010</v>
      </c>
      <c r="B40" s="1694" t="str">
        <f>CONCATENATE(LEFT(RIGHT(CONCATENATE("000",IFAData_TEA!A40),6),3),"-",(RIGHT(RIGHT(CONCATENATE("000",IFAData_TEA!A40),6),3)))</f>
        <v>011-901</v>
      </c>
      <c r="C40" s="2266" t="s">
        <v>2433</v>
      </c>
      <c r="D40" s="2266">
        <v>9</v>
      </c>
      <c r="E40" s="2266">
        <v>1595</v>
      </c>
      <c r="F40" s="2266" t="s">
        <v>4799</v>
      </c>
      <c r="G40" s="2266" t="s">
        <v>6901</v>
      </c>
      <c r="H40" s="2436">
        <v>1091461</v>
      </c>
      <c r="I40" s="2436">
        <v>168970</v>
      </c>
      <c r="J40" s="2446">
        <v>7.654897625880866E-2</v>
      </c>
      <c r="K40" s="2436">
        <v>83550.222176415555</v>
      </c>
      <c r="L40" s="2436">
        <v>83550.222176415555</v>
      </c>
      <c r="M40" s="2266">
        <v>599</v>
      </c>
    </row>
    <row r="41" spans="1:13" ht="15">
      <c r="A41" s="2266" t="s">
        <v>4010</v>
      </c>
      <c r="B41" s="1694" t="str">
        <f>CONCATENATE(LEFT(RIGHT(CONCATENATE("000",IFAData_TEA!A41),6),3),"-",(RIGHT(RIGHT(CONCATENATE("000",IFAData_TEA!A41),6),3)))</f>
        <v>011-901</v>
      </c>
      <c r="C41" s="2266" t="s">
        <v>2433</v>
      </c>
      <c r="D41" s="2266">
        <v>9</v>
      </c>
      <c r="E41" s="2266">
        <v>1595</v>
      </c>
      <c r="F41" s="2266" t="s">
        <v>4799</v>
      </c>
      <c r="G41" s="2266" t="s">
        <v>4800</v>
      </c>
      <c r="H41" s="2436">
        <v>1091461</v>
      </c>
      <c r="I41" s="2436">
        <v>314548</v>
      </c>
      <c r="J41" s="2446">
        <v>0.1425006059315603</v>
      </c>
      <c r="K41" s="2436">
        <v>155533.85385066675</v>
      </c>
      <c r="L41" s="2436">
        <v>155533.85385066675</v>
      </c>
      <c r="M41" s="2266">
        <v>599</v>
      </c>
    </row>
    <row r="42" spans="1:13" ht="15">
      <c r="A42" s="2266" t="s">
        <v>4010</v>
      </c>
      <c r="B42" s="1694" t="str">
        <f>CONCATENATE(LEFT(RIGHT(CONCATENATE("000",IFAData_TEA!A42),6),3),"-",(RIGHT(RIGHT(CONCATENATE("000",IFAData_TEA!A42),6),3)))</f>
        <v>011-901</v>
      </c>
      <c r="C42" s="2266" t="s">
        <v>2433</v>
      </c>
      <c r="D42" s="2266">
        <v>9</v>
      </c>
      <c r="E42" s="2266">
        <v>1595</v>
      </c>
      <c r="F42" s="2266" t="s">
        <v>4799</v>
      </c>
      <c r="G42" s="2266" t="s">
        <v>4799</v>
      </c>
      <c r="H42" s="2436">
        <v>1091461</v>
      </c>
      <c r="I42" s="2436">
        <v>1405277</v>
      </c>
      <c r="J42" s="2446">
        <v>0.63663677404302454</v>
      </c>
      <c r="K42" s="2436">
        <v>694864.21003377356</v>
      </c>
      <c r="L42" s="2436">
        <v>694864.21003377356</v>
      </c>
      <c r="M42" s="2266">
        <v>599</v>
      </c>
    </row>
    <row r="43" spans="1:13" ht="15">
      <c r="A43" s="2266" t="s">
        <v>4010</v>
      </c>
      <c r="B43" s="1694" t="str">
        <f>CONCATENATE(LEFT(RIGHT(CONCATENATE("000",IFAData_TEA!A43),6),3),"-",(RIGHT(RIGHT(CONCATENATE("000",IFAData_TEA!A43),6),3)))</f>
        <v>011-901</v>
      </c>
      <c r="C43" s="2266" t="s">
        <v>2433</v>
      </c>
      <c r="D43" s="2266">
        <v>3</v>
      </c>
      <c r="E43" s="2266">
        <v>1596</v>
      </c>
      <c r="F43" s="2266" t="s">
        <v>4795</v>
      </c>
      <c r="G43" s="2266" t="s">
        <v>4796</v>
      </c>
      <c r="H43" s="2436">
        <v>1423475</v>
      </c>
      <c r="I43" s="2436">
        <v>893202</v>
      </c>
      <c r="J43" s="2446">
        <v>0.20615262183911176</v>
      </c>
      <c r="K43" s="2436">
        <v>293453.10337242961</v>
      </c>
      <c r="L43" s="2436">
        <v>293453.10337242961</v>
      </c>
      <c r="M43" s="2266">
        <v>599</v>
      </c>
    </row>
    <row r="44" spans="1:13" ht="15">
      <c r="A44" s="2266" t="s">
        <v>4010</v>
      </c>
      <c r="B44" s="1694" t="str">
        <f>CONCATENATE(LEFT(RIGHT(CONCATENATE("000",IFAData_TEA!A44),6),3),"-",(RIGHT(RIGHT(CONCATENATE("000",IFAData_TEA!A44),6),3)))</f>
        <v>011-901</v>
      </c>
      <c r="C44" s="2266" t="s">
        <v>2433</v>
      </c>
      <c r="D44" s="2266">
        <v>9</v>
      </c>
      <c r="E44" s="2266">
        <v>1595</v>
      </c>
      <c r="F44" s="2266" t="s">
        <v>4799</v>
      </c>
      <c r="G44" s="2266" t="s">
        <v>6902</v>
      </c>
      <c r="H44" s="2436">
        <v>1091461</v>
      </c>
      <c r="I44" s="2436">
        <v>306890</v>
      </c>
      <c r="J44" s="2446">
        <v>0.13903127965950043</v>
      </c>
      <c r="K44" s="2436">
        <v>151747.219528438</v>
      </c>
      <c r="L44" s="2436">
        <v>151747.219528438</v>
      </c>
      <c r="M44" s="2266">
        <v>599</v>
      </c>
    </row>
    <row r="45" spans="1:13" ht="15">
      <c r="A45" s="2266" t="s">
        <v>4010</v>
      </c>
      <c r="B45" s="1694" t="str">
        <f>CONCATENATE(LEFT(RIGHT(CONCATENATE("000",IFAData_TEA!A45),6),3),"-",(RIGHT(RIGHT(CONCATENATE("000",IFAData_TEA!A45),6),3)))</f>
        <v>011-901</v>
      </c>
      <c r="C45" s="2266" t="s">
        <v>2433</v>
      </c>
      <c r="D45" s="2266">
        <v>3</v>
      </c>
      <c r="E45" s="2266">
        <v>1596</v>
      </c>
      <c r="F45" s="2266" t="s">
        <v>4795</v>
      </c>
      <c r="G45" s="2266" t="s">
        <v>4795</v>
      </c>
      <c r="H45" s="2436">
        <v>1423475</v>
      </c>
      <c r="I45" s="2436">
        <v>2706700</v>
      </c>
      <c r="J45" s="2446">
        <v>0.62471120925829071</v>
      </c>
      <c r="K45" s="2436">
        <v>889260.78859894536</v>
      </c>
      <c r="L45" s="2436">
        <v>889260.78859894536</v>
      </c>
      <c r="M45" s="2266">
        <v>599</v>
      </c>
    </row>
    <row r="46" spans="1:13" ht="15">
      <c r="A46" s="2266" t="s">
        <v>4010</v>
      </c>
      <c r="B46" s="1694" t="str">
        <f>CONCATENATE(LEFT(RIGHT(CONCATENATE("000",IFAData_TEA!A46),6),3),"-",(RIGHT(RIGHT(CONCATENATE("000",IFAData_TEA!A46),6),3)))</f>
        <v>011-901</v>
      </c>
      <c r="C46" s="2266" t="s">
        <v>2433</v>
      </c>
      <c r="D46" s="2266">
        <v>9</v>
      </c>
      <c r="E46" s="2266">
        <v>1594</v>
      </c>
      <c r="F46" s="2266" t="s">
        <v>4801</v>
      </c>
      <c r="G46" s="2266" t="s">
        <v>4801</v>
      </c>
      <c r="H46" s="2436">
        <v>871791</v>
      </c>
      <c r="I46" s="2436">
        <v>1409756</v>
      </c>
      <c r="J46" s="2446">
        <v>0.797113610045596</v>
      </c>
      <c r="K46" s="2436">
        <v>694916.47121526022</v>
      </c>
      <c r="L46" s="2436">
        <v>694916.47121526022</v>
      </c>
      <c r="M46" s="2266">
        <v>599</v>
      </c>
    </row>
    <row r="47" spans="1:13" ht="15">
      <c r="A47" s="2266" t="s">
        <v>4010</v>
      </c>
      <c r="B47" s="1694" t="str">
        <f>CONCATENATE(LEFT(RIGHT(CONCATENATE("000",IFAData_TEA!A47),6),3),"-",(RIGHT(RIGHT(CONCATENATE("000",IFAData_TEA!A47),6),3)))</f>
        <v>011-901</v>
      </c>
      <c r="C47" s="2266" t="s">
        <v>2433</v>
      </c>
      <c r="D47" s="2266">
        <v>10</v>
      </c>
      <c r="E47" s="2266">
        <v>1597</v>
      </c>
      <c r="F47" s="2266" t="s">
        <v>4803</v>
      </c>
      <c r="G47" s="2266" t="s">
        <v>4803</v>
      </c>
      <c r="H47" s="2436">
        <v>2083922</v>
      </c>
      <c r="I47" s="2436">
        <v>2231254</v>
      </c>
      <c r="J47" s="2446">
        <v>1</v>
      </c>
      <c r="K47" s="2436">
        <v>2083922</v>
      </c>
      <c r="L47" s="2436">
        <v>2083922</v>
      </c>
      <c r="M47" s="2266">
        <v>599</v>
      </c>
    </row>
    <row r="48" spans="1:13" ht="15">
      <c r="A48" s="2266" t="s">
        <v>4010</v>
      </c>
      <c r="B48" s="1694" t="str">
        <f>CONCATENATE(LEFT(RIGHT(CONCATENATE("000",IFAData_TEA!A48),6),3),"-",(RIGHT(RIGHT(CONCATENATE("000",IFAData_TEA!A48),6),3)))</f>
        <v>011-901</v>
      </c>
      <c r="C48" s="2266" t="s">
        <v>2433</v>
      </c>
      <c r="D48" s="2266">
        <v>9</v>
      </c>
      <c r="E48" s="2266">
        <v>1594</v>
      </c>
      <c r="F48" s="2266" t="s">
        <v>4801</v>
      </c>
      <c r="G48" s="2266" t="s">
        <v>6903</v>
      </c>
      <c r="H48" s="2436">
        <v>871791</v>
      </c>
      <c r="I48" s="2436">
        <v>349798</v>
      </c>
      <c r="J48" s="2446">
        <v>0.1977851107331548</v>
      </c>
      <c r="K48" s="2436">
        <v>172427.27947116777</v>
      </c>
      <c r="L48" s="2436">
        <v>172427.27947116777</v>
      </c>
      <c r="M48" s="2266">
        <v>599</v>
      </c>
    </row>
    <row r="49" spans="1:13" ht="15">
      <c r="A49" s="2266" t="s">
        <v>4010</v>
      </c>
      <c r="B49" s="1694" t="str">
        <f>CONCATENATE(LEFT(RIGHT(CONCATENATE("000",IFAData_TEA!A49),6),3),"-",(RIGHT(RIGHT(CONCATENATE("000",IFAData_TEA!A49),6),3)))</f>
        <v>011-901</v>
      </c>
      <c r="C49" s="2266" t="s">
        <v>2433</v>
      </c>
      <c r="D49" s="2266">
        <v>3</v>
      </c>
      <c r="E49" s="2266">
        <v>1596</v>
      </c>
      <c r="F49" s="2266" t="s">
        <v>4795</v>
      </c>
      <c r="G49" s="2266" t="s">
        <v>4798</v>
      </c>
      <c r="H49" s="2436">
        <v>1423475</v>
      </c>
      <c r="I49" s="2436">
        <v>592965</v>
      </c>
      <c r="J49" s="2446">
        <v>0.1368573843417602</v>
      </c>
      <c r="K49" s="2436">
        <v>194813.06517588711</v>
      </c>
      <c r="L49" s="2436">
        <v>194813.06517588711</v>
      </c>
      <c r="M49" s="2266">
        <v>599</v>
      </c>
    </row>
    <row r="50" spans="1:13" ht="15">
      <c r="A50" s="2266" t="s">
        <v>4010</v>
      </c>
      <c r="B50" s="1694" t="str">
        <f>CONCATENATE(LEFT(RIGHT(CONCATENATE("000",IFAData_TEA!A50),6),3),"-",(RIGHT(RIGHT(CONCATENATE("000",IFAData_TEA!A50),6),3)))</f>
        <v>011-901</v>
      </c>
      <c r="C50" s="2266" t="s">
        <v>2433</v>
      </c>
      <c r="D50" s="2266">
        <v>9</v>
      </c>
      <c r="E50" s="2266">
        <v>1594</v>
      </c>
      <c r="F50" s="2266" t="s">
        <v>4801</v>
      </c>
      <c r="G50" s="2266" t="s">
        <v>4802</v>
      </c>
      <c r="H50" s="2436">
        <v>871791</v>
      </c>
      <c r="I50" s="2436">
        <v>9022</v>
      </c>
      <c r="J50" s="2446">
        <v>5.1012792212491859E-3</v>
      </c>
      <c r="K50" s="2436">
        <v>4447.2493135720488</v>
      </c>
      <c r="L50" s="2436">
        <v>4447.2493135720488</v>
      </c>
      <c r="M50" s="2266">
        <v>599</v>
      </c>
    </row>
    <row r="51" spans="1:13" ht="15">
      <c r="A51" s="2266" t="s">
        <v>4010</v>
      </c>
      <c r="B51" s="1694" t="str">
        <f>CONCATENATE(LEFT(RIGHT(CONCATENATE("000",IFAData_TEA!A51),6),3),"-",(RIGHT(RIGHT(CONCATENATE("000",IFAData_TEA!A51),6),3)))</f>
        <v>011-901</v>
      </c>
      <c r="C51" s="2266" t="s">
        <v>2433</v>
      </c>
      <c r="D51" s="2266">
        <v>3</v>
      </c>
      <c r="E51" s="2266">
        <v>1596</v>
      </c>
      <c r="F51" s="2266" t="s">
        <v>4795</v>
      </c>
      <c r="G51" s="2266" t="s">
        <v>4797</v>
      </c>
      <c r="H51" s="2436">
        <v>1423475</v>
      </c>
      <c r="I51" s="2436">
        <v>86864</v>
      </c>
      <c r="J51" s="2446">
        <v>2.0048366823442632E-2</v>
      </c>
      <c r="K51" s="2436">
        <v>28538.348964000001</v>
      </c>
      <c r="L51" s="2436">
        <v>28538.348964000001</v>
      </c>
      <c r="M51" s="2266">
        <v>599</v>
      </c>
    </row>
    <row r="52" spans="1:13" ht="15">
      <c r="A52" s="2266" t="s">
        <v>4010</v>
      </c>
      <c r="B52" s="1694" t="str">
        <f>CONCATENATE(LEFT(RIGHT(CONCATENATE("000",IFAData_TEA!A52),6),3),"-",(RIGHT(RIGHT(CONCATENATE("000",IFAData_TEA!A52),6),3)))</f>
        <v>011-901</v>
      </c>
      <c r="C52" s="2266" t="s">
        <v>2433</v>
      </c>
      <c r="D52" s="2266">
        <v>3</v>
      </c>
      <c r="E52" s="2266">
        <v>1596</v>
      </c>
      <c r="F52" s="2266" t="s">
        <v>4795</v>
      </c>
      <c r="G52" s="2266" t="s">
        <v>6902</v>
      </c>
      <c r="H52" s="2436">
        <v>1423475</v>
      </c>
      <c r="I52" s="2436">
        <v>52991</v>
      </c>
      <c r="J52" s="2446">
        <v>1.2230417737394644E-2</v>
      </c>
      <c r="K52" s="2436">
        <v>17409.693888737842</v>
      </c>
      <c r="L52" s="2436">
        <v>17409.693888737842</v>
      </c>
      <c r="M52" s="2266">
        <v>599</v>
      </c>
    </row>
    <row r="53" spans="1:13" ht="15">
      <c r="A53" s="2266" t="s">
        <v>4011</v>
      </c>
      <c r="B53" s="1694" t="str">
        <f>CONCATENATE(LEFT(RIGHT(CONCATENATE("000",IFAData_TEA!A53),6),3),"-",(RIGHT(RIGHT(CONCATENATE("000",IFAData_TEA!A53),6),3)))</f>
        <v>011-902</v>
      </c>
      <c r="C53" s="2266" t="s">
        <v>1002</v>
      </c>
      <c r="D53" s="2266">
        <v>9</v>
      </c>
      <c r="E53" s="2266">
        <v>1800</v>
      </c>
      <c r="F53" s="2266" t="s">
        <v>4806</v>
      </c>
      <c r="G53" s="2266" t="s">
        <v>4807</v>
      </c>
      <c r="H53" s="2436">
        <v>945091</v>
      </c>
      <c r="I53" s="2436">
        <v>194690</v>
      </c>
      <c r="J53" s="2446">
        <v>8.1260567651123411E-2</v>
      </c>
      <c r="K53" s="2436">
        <v>76798.631141967882</v>
      </c>
      <c r="L53" s="2436">
        <v>76798.631141967882</v>
      </c>
      <c r="M53" s="2266">
        <v>599</v>
      </c>
    </row>
    <row r="54" spans="1:13" ht="15">
      <c r="A54" s="2266" t="s">
        <v>4011</v>
      </c>
      <c r="B54" s="1694" t="str">
        <f>CONCATENATE(LEFT(RIGHT(CONCATENATE("000",IFAData_TEA!A54),6),3),"-",(RIGHT(RIGHT(CONCATENATE("000",IFAData_TEA!A54),6),3)))</f>
        <v>011-902</v>
      </c>
      <c r="C54" s="2266" t="s">
        <v>1002</v>
      </c>
      <c r="D54" s="2266">
        <v>9</v>
      </c>
      <c r="E54" s="2266">
        <v>1800</v>
      </c>
      <c r="F54" s="2266" t="s">
        <v>4806</v>
      </c>
      <c r="G54" s="2266" t="s">
        <v>4808</v>
      </c>
      <c r="H54" s="2436">
        <v>945091</v>
      </c>
      <c r="I54" s="2436">
        <v>202218</v>
      </c>
      <c r="J54" s="2446">
        <v>8.4402637368508268E-2</v>
      </c>
      <c r="K54" s="2436">
        <v>79768.17295324085</v>
      </c>
      <c r="L54" s="2436">
        <v>79768.17295324085</v>
      </c>
      <c r="M54" s="2266">
        <v>599</v>
      </c>
    </row>
    <row r="55" spans="1:13" ht="15">
      <c r="A55" s="2266" t="s">
        <v>4011</v>
      </c>
      <c r="B55" s="1694" t="str">
        <f>CONCATENATE(LEFT(RIGHT(CONCATENATE("000",IFAData_TEA!A55),6),3),"-",(RIGHT(RIGHT(CONCATENATE("000",IFAData_TEA!A55),6),3)))</f>
        <v>011-902</v>
      </c>
      <c r="C55" s="2266" t="s">
        <v>1002</v>
      </c>
      <c r="D55" s="2266">
        <v>1</v>
      </c>
      <c r="E55" s="2266">
        <v>1799</v>
      </c>
      <c r="F55" s="2266" t="s">
        <v>4804</v>
      </c>
      <c r="G55" s="2266" t="s">
        <v>4804</v>
      </c>
      <c r="H55" s="2436">
        <v>597138</v>
      </c>
      <c r="I55" s="2436">
        <v>0</v>
      </c>
      <c r="J55" s="2446">
        <v>0</v>
      </c>
      <c r="K55" s="2436">
        <v>0</v>
      </c>
      <c r="L55" s="2436">
        <v>0</v>
      </c>
      <c r="M55" s="2266">
        <v>599</v>
      </c>
    </row>
    <row r="56" spans="1:13" ht="15">
      <c r="A56" s="2266" t="s">
        <v>4011</v>
      </c>
      <c r="B56" s="1694" t="str">
        <f>CONCATENATE(LEFT(RIGHT(CONCATENATE("000",IFAData_TEA!A56),6),3),"-",(RIGHT(RIGHT(CONCATENATE("000",IFAData_TEA!A56),6),3)))</f>
        <v>011-902</v>
      </c>
      <c r="C56" s="2266" t="s">
        <v>1002</v>
      </c>
      <c r="D56" s="2266">
        <v>9</v>
      </c>
      <c r="E56" s="2266">
        <v>1800</v>
      </c>
      <c r="F56" s="2266" t="s">
        <v>4806</v>
      </c>
      <c r="G56" s="2266" t="s">
        <v>4806</v>
      </c>
      <c r="H56" s="2436">
        <v>945091</v>
      </c>
      <c r="I56" s="2436">
        <v>1998965</v>
      </c>
      <c r="J56" s="2446">
        <v>0.83433679498036828</v>
      </c>
      <c r="K56" s="2436">
        <v>788524.19590479124</v>
      </c>
      <c r="L56" s="2436">
        <v>788524.19590479124</v>
      </c>
      <c r="M56" s="2266">
        <v>599</v>
      </c>
    </row>
    <row r="57" spans="1:13" ht="15">
      <c r="A57" s="2266" t="s">
        <v>4011</v>
      </c>
      <c r="B57" s="1694" t="str">
        <f>CONCATENATE(LEFT(RIGHT(CONCATENATE("000",IFAData_TEA!A57),6),3),"-",(RIGHT(RIGHT(CONCATENATE("000",IFAData_TEA!A57),6),3)))</f>
        <v>011-902</v>
      </c>
      <c r="C57" s="2266" t="s">
        <v>1002</v>
      </c>
      <c r="D57" s="2266">
        <v>1</v>
      </c>
      <c r="E57" s="2266">
        <v>1799</v>
      </c>
      <c r="F57" s="2266" t="s">
        <v>4804</v>
      </c>
      <c r="G57" s="2266" t="s">
        <v>4805</v>
      </c>
      <c r="H57" s="2436">
        <v>597138</v>
      </c>
      <c r="I57" s="2436">
        <v>1098272</v>
      </c>
      <c r="J57" s="2446">
        <v>1</v>
      </c>
      <c r="K57" s="2436">
        <v>597138</v>
      </c>
      <c r="L57" s="2436">
        <v>597138</v>
      </c>
      <c r="M57" s="2266">
        <v>599</v>
      </c>
    </row>
    <row r="58" spans="1:13" ht="15">
      <c r="A58" s="2266" t="s">
        <v>4012</v>
      </c>
      <c r="B58" s="1694" t="str">
        <f>CONCATENATE(LEFT(RIGHT(CONCATENATE("000",IFAData_TEA!A58),6),3),"-",(RIGHT(RIGHT(CONCATENATE("000",IFAData_TEA!A58),6),3)))</f>
        <v>011-904</v>
      </c>
      <c r="C58" s="2266" t="s">
        <v>2202</v>
      </c>
      <c r="D58" s="2266">
        <v>6</v>
      </c>
      <c r="E58" s="2266">
        <v>2342</v>
      </c>
      <c r="F58" s="2266" t="s">
        <v>4809</v>
      </c>
      <c r="G58" s="2266" t="s">
        <v>4811</v>
      </c>
      <c r="H58" s="2436">
        <v>449656</v>
      </c>
      <c r="I58" s="2436">
        <v>422712</v>
      </c>
      <c r="J58" s="2446">
        <v>0.50500148736456918</v>
      </c>
      <c r="K58" s="2436">
        <v>227076.94880240271</v>
      </c>
      <c r="L58" s="2436">
        <v>227076.94880240271</v>
      </c>
      <c r="M58" s="2266">
        <v>599</v>
      </c>
    </row>
    <row r="59" spans="1:13" ht="15">
      <c r="A59" s="2266" t="s">
        <v>4012</v>
      </c>
      <c r="B59" s="1694" t="str">
        <f>CONCATENATE(LEFT(RIGHT(CONCATENATE("000",IFAData_TEA!A59),6),3),"-",(RIGHT(RIGHT(CONCATENATE("000",IFAData_TEA!A59),6),3)))</f>
        <v>011-904</v>
      </c>
      <c r="C59" s="2266" t="s">
        <v>2202</v>
      </c>
      <c r="D59" s="2266">
        <v>6</v>
      </c>
      <c r="E59" s="2266">
        <v>2342</v>
      </c>
      <c r="F59" s="2266" t="s">
        <v>4809</v>
      </c>
      <c r="G59" s="2266" t="s">
        <v>4809</v>
      </c>
      <c r="H59" s="2436">
        <v>449656</v>
      </c>
      <c r="I59" s="2436">
        <v>0</v>
      </c>
      <c r="J59" s="2446">
        <v>0</v>
      </c>
      <c r="K59" s="2436">
        <v>0</v>
      </c>
      <c r="L59" s="2436">
        <v>0</v>
      </c>
      <c r="M59" s="2266">
        <v>599</v>
      </c>
    </row>
    <row r="60" spans="1:13" ht="15">
      <c r="A60" s="2266" t="s">
        <v>4012</v>
      </c>
      <c r="B60" s="1694" t="str">
        <f>CONCATENATE(LEFT(RIGHT(CONCATENATE("000",IFAData_TEA!A60),6),3),"-",(RIGHT(RIGHT(CONCATENATE("000",IFAData_TEA!A60),6),3)))</f>
        <v>011-904</v>
      </c>
      <c r="C60" s="2266" t="s">
        <v>2202</v>
      </c>
      <c r="D60" s="2266">
        <v>6</v>
      </c>
      <c r="E60" s="2266">
        <v>2342</v>
      </c>
      <c r="F60" s="2266" t="s">
        <v>4809</v>
      </c>
      <c r="G60" s="2266" t="s">
        <v>4810</v>
      </c>
      <c r="H60" s="2436">
        <v>449656</v>
      </c>
      <c r="I60" s="2436">
        <v>324928</v>
      </c>
      <c r="J60" s="2446">
        <v>0.38818184316128884</v>
      </c>
      <c r="K60" s="2436">
        <v>174548.29486853251</v>
      </c>
      <c r="L60" s="2436">
        <v>174548.29486853251</v>
      </c>
      <c r="M60" s="2266">
        <v>599</v>
      </c>
    </row>
    <row r="61" spans="1:13" ht="15">
      <c r="A61" s="2266" t="s">
        <v>4012</v>
      </c>
      <c r="B61" s="1694" t="str">
        <f>CONCATENATE(LEFT(RIGHT(CONCATENATE("000",IFAData_TEA!A61),6),3),"-",(RIGHT(RIGHT(CONCATENATE("000",IFAData_TEA!A61),6),3)))</f>
        <v>011-904</v>
      </c>
      <c r="C61" s="2266" t="s">
        <v>2202</v>
      </c>
      <c r="D61" s="2266">
        <v>6</v>
      </c>
      <c r="E61" s="2266">
        <v>2342</v>
      </c>
      <c r="F61" s="2266" t="s">
        <v>4809</v>
      </c>
      <c r="G61" s="2266" t="s">
        <v>6904</v>
      </c>
      <c r="H61" s="2436">
        <v>449656</v>
      </c>
      <c r="I61" s="2436">
        <v>89411</v>
      </c>
      <c r="J61" s="2446">
        <v>0.10681666947414196</v>
      </c>
      <c r="K61" s="2436">
        <v>48030.756329064781</v>
      </c>
      <c r="L61" s="2436">
        <v>48030.756329064781</v>
      </c>
      <c r="M61" s="2266">
        <v>599</v>
      </c>
    </row>
    <row r="62" spans="1:13" ht="15">
      <c r="A62" s="2266" t="s">
        <v>4013</v>
      </c>
      <c r="B62" s="1694" t="str">
        <f>CONCATENATE(LEFT(RIGHT(CONCATENATE("000",IFAData_TEA!A62),6),3),"-",(RIGHT(RIGHT(CONCATENATE("000",IFAData_TEA!A62),6),3)))</f>
        <v>011-905</v>
      </c>
      <c r="C62" s="2266" t="s">
        <v>926</v>
      </c>
      <c r="D62" s="2266">
        <v>5</v>
      </c>
      <c r="E62" s="2266">
        <v>2080</v>
      </c>
      <c r="F62" s="2266" t="s">
        <v>4812</v>
      </c>
      <c r="G62" s="2266" t="s">
        <v>4812</v>
      </c>
      <c r="H62" s="2436">
        <v>100000</v>
      </c>
      <c r="I62" s="2436">
        <v>0</v>
      </c>
      <c r="J62" s="2446">
        <v>0</v>
      </c>
      <c r="K62" s="2436">
        <v>0</v>
      </c>
      <c r="L62" s="2436">
        <v>0</v>
      </c>
      <c r="M62" s="2266">
        <v>599</v>
      </c>
    </row>
    <row r="63" spans="1:13" ht="15">
      <c r="A63" s="2266" t="s">
        <v>4013</v>
      </c>
      <c r="B63" s="1694" t="str">
        <f>CONCATENATE(LEFT(RIGHT(CONCATENATE("000",IFAData_TEA!A63),6),3),"-",(RIGHT(RIGHT(CONCATENATE("000",IFAData_TEA!A63),6),3)))</f>
        <v>011-905</v>
      </c>
      <c r="C63" s="2266" t="s">
        <v>926</v>
      </c>
      <c r="D63" s="2266">
        <v>5</v>
      </c>
      <c r="E63" s="2266">
        <v>2080</v>
      </c>
      <c r="F63" s="2266" t="s">
        <v>4812</v>
      </c>
      <c r="G63" s="2266" t="s">
        <v>4813</v>
      </c>
      <c r="H63" s="2436">
        <v>100000</v>
      </c>
      <c r="I63" s="2436">
        <v>94800</v>
      </c>
      <c r="J63" s="2446">
        <v>1</v>
      </c>
      <c r="K63" s="2436">
        <v>100000</v>
      </c>
      <c r="L63" s="2436">
        <v>94800</v>
      </c>
      <c r="M63" s="2266">
        <v>599</v>
      </c>
    </row>
    <row r="64" spans="1:13" ht="15">
      <c r="A64" s="2266" t="s">
        <v>4014</v>
      </c>
      <c r="B64" s="1694" t="str">
        <f>CONCATENATE(LEFT(RIGHT(CONCATENATE("000",IFAData_TEA!A64),6),3),"-",(RIGHT(RIGHT(CONCATENATE("000",IFAData_TEA!A64),6),3)))</f>
        <v>013-901</v>
      </c>
      <c r="C64" s="2266" t="s">
        <v>2434</v>
      </c>
      <c r="D64" s="2266">
        <v>6</v>
      </c>
      <c r="E64" s="2266">
        <v>1599</v>
      </c>
      <c r="F64" s="2266" t="s">
        <v>4814</v>
      </c>
      <c r="G64" s="2266" t="s">
        <v>4814</v>
      </c>
      <c r="H64" s="2436">
        <v>855519</v>
      </c>
      <c r="I64" s="2436">
        <v>0</v>
      </c>
      <c r="J64" s="2446">
        <v>0</v>
      </c>
      <c r="K64" s="2436">
        <v>0</v>
      </c>
      <c r="L64" s="2436">
        <v>0</v>
      </c>
      <c r="M64" s="2266">
        <v>599</v>
      </c>
    </row>
    <row r="65" spans="1:13" ht="15">
      <c r="A65" s="2266" t="s">
        <v>4014</v>
      </c>
      <c r="B65" s="1694" t="str">
        <f>CONCATENATE(LEFT(RIGHT(CONCATENATE("000",IFAData_TEA!A65),6),3),"-",(RIGHT(RIGHT(CONCATENATE("000",IFAData_TEA!A65),6),3)))</f>
        <v>013-901</v>
      </c>
      <c r="C65" s="2266" t="s">
        <v>2434</v>
      </c>
      <c r="D65" s="2266">
        <v>9</v>
      </c>
      <c r="E65" s="2266">
        <v>1598</v>
      </c>
      <c r="F65" s="2266" t="s">
        <v>4817</v>
      </c>
      <c r="G65" s="2266" t="s">
        <v>4817</v>
      </c>
      <c r="H65" s="2436">
        <v>605485</v>
      </c>
      <c r="I65" s="2436">
        <v>605033</v>
      </c>
      <c r="J65" s="2446">
        <v>0.82903491896454395</v>
      </c>
      <c r="K65" s="2436">
        <v>501968.20790924691</v>
      </c>
      <c r="L65" s="2436">
        <v>501968.20790924691</v>
      </c>
      <c r="M65" s="2266">
        <v>599</v>
      </c>
    </row>
    <row r="66" spans="1:13" ht="15">
      <c r="A66" s="2266" t="s">
        <v>4014</v>
      </c>
      <c r="B66" s="1694" t="str">
        <f>CONCATENATE(LEFT(RIGHT(CONCATENATE("000",IFAData_TEA!A66),6),3),"-",(RIGHT(RIGHT(CONCATENATE("000",IFAData_TEA!A66),6),3)))</f>
        <v>013-901</v>
      </c>
      <c r="C66" s="2266" t="s">
        <v>2434</v>
      </c>
      <c r="D66" s="2266">
        <v>9</v>
      </c>
      <c r="E66" s="2266">
        <v>1598</v>
      </c>
      <c r="F66" s="2266" t="s">
        <v>4817</v>
      </c>
      <c r="G66" s="2266" t="s">
        <v>6905</v>
      </c>
      <c r="H66" s="2436">
        <v>605485</v>
      </c>
      <c r="I66" s="2436">
        <v>124771</v>
      </c>
      <c r="J66" s="2446">
        <v>0.1709650810354561</v>
      </c>
      <c r="K66" s="2436">
        <v>103516.79209075314</v>
      </c>
      <c r="L66" s="2436">
        <v>103516.79209075314</v>
      </c>
      <c r="M66" s="2266">
        <v>599</v>
      </c>
    </row>
    <row r="67" spans="1:13" ht="15">
      <c r="A67" s="2266" t="s">
        <v>4014</v>
      </c>
      <c r="B67" s="1694" t="str">
        <f>CONCATENATE(LEFT(RIGHT(CONCATENATE("000",IFAData_TEA!A67),6),3),"-",(RIGHT(RIGHT(CONCATENATE("000",IFAData_TEA!A67),6),3)))</f>
        <v>013-901</v>
      </c>
      <c r="C67" s="2266" t="s">
        <v>2434</v>
      </c>
      <c r="D67" s="2266">
        <v>6</v>
      </c>
      <c r="E67" s="2266">
        <v>1599</v>
      </c>
      <c r="F67" s="2266" t="s">
        <v>4814</v>
      </c>
      <c r="G67" s="2266" t="s">
        <v>4816</v>
      </c>
      <c r="H67" s="2436">
        <v>855519</v>
      </c>
      <c r="I67" s="2436">
        <v>578150</v>
      </c>
      <c r="J67" s="2446">
        <v>0.68304848858612566</v>
      </c>
      <c r="K67" s="2436">
        <v>584360.95990671369</v>
      </c>
      <c r="L67" s="2436">
        <v>578150</v>
      </c>
      <c r="M67" s="2266">
        <v>599</v>
      </c>
    </row>
    <row r="68" spans="1:13" ht="15">
      <c r="A68" s="2266" t="s">
        <v>4014</v>
      </c>
      <c r="B68" s="1694" t="str">
        <f>CONCATENATE(LEFT(RIGHT(CONCATENATE("000",IFAData_TEA!A68),6),3),"-",(RIGHT(RIGHT(CONCATENATE("000",IFAData_TEA!A68),6),3)))</f>
        <v>013-901</v>
      </c>
      <c r="C68" s="2266" t="s">
        <v>2434</v>
      </c>
      <c r="D68" s="2266">
        <v>6</v>
      </c>
      <c r="E68" s="2266">
        <v>1599</v>
      </c>
      <c r="F68" s="2266" t="s">
        <v>4814</v>
      </c>
      <c r="G68" s="2266" t="s">
        <v>4815</v>
      </c>
      <c r="H68" s="2436">
        <v>855519</v>
      </c>
      <c r="I68" s="2436">
        <v>268276</v>
      </c>
      <c r="J68" s="2446">
        <v>0.31695151141387434</v>
      </c>
      <c r="K68" s="2436">
        <v>271158.04009328637</v>
      </c>
      <c r="L68" s="2436">
        <v>268276</v>
      </c>
      <c r="M68" s="2266">
        <v>599</v>
      </c>
    </row>
    <row r="69" spans="1:13" ht="15">
      <c r="A69" s="2266" t="s">
        <v>4015</v>
      </c>
      <c r="B69" s="1694" t="str">
        <f>CONCATENATE(LEFT(RIGHT(CONCATENATE("000",IFAData_TEA!A69),6),3),"-",(RIGHT(RIGHT(CONCATENATE("000",IFAData_TEA!A69),6),3)))</f>
        <v>013-905</v>
      </c>
      <c r="C69" s="2266" t="s">
        <v>2089</v>
      </c>
      <c r="D69" s="2266">
        <v>3</v>
      </c>
      <c r="E69" s="2266">
        <v>2338</v>
      </c>
      <c r="F69" s="2266" t="s">
        <v>4818</v>
      </c>
      <c r="G69" s="2266" t="s">
        <v>4818</v>
      </c>
      <c r="H69" s="2436">
        <v>176917</v>
      </c>
      <c r="I69" s="2436">
        <v>0</v>
      </c>
      <c r="J69" s="2446">
        <v>0</v>
      </c>
      <c r="K69" s="2436">
        <v>0</v>
      </c>
      <c r="L69" s="2436">
        <v>0</v>
      </c>
      <c r="M69" s="2266">
        <v>599</v>
      </c>
    </row>
    <row r="70" spans="1:13" ht="15">
      <c r="A70" s="2266" t="s">
        <v>4015</v>
      </c>
      <c r="B70" s="1694" t="str">
        <f>CONCATENATE(LEFT(RIGHT(CONCATENATE("000",IFAData_TEA!A70),6),3),"-",(RIGHT(RIGHT(CONCATENATE("000",IFAData_TEA!A70),6),3)))</f>
        <v>013-905</v>
      </c>
      <c r="C70" s="2266" t="s">
        <v>2089</v>
      </c>
      <c r="D70" s="2266">
        <v>9</v>
      </c>
      <c r="E70" s="2266">
        <v>2339</v>
      </c>
      <c r="F70" s="2266" t="s">
        <v>4820</v>
      </c>
      <c r="G70" s="2266" t="s">
        <v>4820</v>
      </c>
      <c r="H70" s="2436">
        <v>182500</v>
      </c>
      <c r="I70" s="2436">
        <v>251933</v>
      </c>
      <c r="J70" s="2446">
        <v>0.81883629319535089</v>
      </c>
      <c r="K70" s="2436">
        <v>149437.62350815153</v>
      </c>
      <c r="L70" s="2436">
        <v>149437.62350815153</v>
      </c>
      <c r="M70" s="2266">
        <v>599</v>
      </c>
    </row>
    <row r="71" spans="1:13" ht="15">
      <c r="A71" s="2266" t="s">
        <v>4015</v>
      </c>
      <c r="B71" s="1694" t="str">
        <f>CONCATENATE(LEFT(RIGHT(CONCATENATE("000",IFAData_TEA!A71),6),3),"-",(RIGHT(RIGHT(CONCATENATE("000",IFAData_TEA!A71),6),3)))</f>
        <v>013-905</v>
      </c>
      <c r="C71" s="2266" t="s">
        <v>2089</v>
      </c>
      <c r="D71" s="2266">
        <v>9</v>
      </c>
      <c r="E71" s="2266">
        <v>2339</v>
      </c>
      <c r="F71" s="2266" t="s">
        <v>4820</v>
      </c>
      <c r="G71" s="2266" t="s">
        <v>6906</v>
      </c>
      <c r="H71" s="2436">
        <v>182500</v>
      </c>
      <c r="I71" s="2436">
        <v>55739</v>
      </c>
      <c r="J71" s="2446">
        <v>0.18116370680464911</v>
      </c>
      <c r="K71" s="2436">
        <v>33062.376491848459</v>
      </c>
      <c r="L71" s="2436">
        <v>33062.376491848459</v>
      </c>
      <c r="M71" s="2266">
        <v>599</v>
      </c>
    </row>
    <row r="72" spans="1:13" ht="15">
      <c r="A72" s="2266" t="s">
        <v>4015</v>
      </c>
      <c r="B72" s="1694" t="str">
        <f>CONCATENATE(LEFT(RIGHT(CONCATENATE("000",IFAData_TEA!A72),6),3),"-",(RIGHT(RIGHT(CONCATENATE("000",IFAData_TEA!A72),6),3)))</f>
        <v>013-905</v>
      </c>
      <c r="C72" s="2266" t="s">
        <v>2089</v>
      </c>
      <c r="D72" s="2266">
        <v>3</v>
      </c>
      <c r="E72" s="2266">
        <v>2338</v>
      </c>
      <c r="F72" s="2266" t="s">
        <v>4818</v>
      </c>
      <c r="G72" s="2266" t="s">
        <v>4819</v>
      </c>
      <c r="H72" s="2436">
        <v>176917</v>
      </c>
      <c r="I72" s="2436">
        <v>169460</v>
      </c>
      <c r="J72" s="2446">
        <v>1</v>
      </c>
      <c r="K72" s="2436">
        <v>176917</v>
      </c>
      <c r="L72" s="2436">
        <v>169460</v>
      </c>
      <c r="M72" s="2266">
        <v>599</v>
      </c>
    </row>
    <row r="73" spans="1:13" ht="15">
      <c r="A73" s="2266" t="s">
        <v>4016</v>
      </c>
      <c r="B73" s="1694" t="str">
        <f>CONCATENATE(LEFT(RIGHT(CONCATENATE("000",IFAData_TEA!A73),6),3),"-",(RIGHT(RIGHT(CONCATENATE("000",IFAData_TEA!A73),6),3)))</f>
        <v>014-902</v>
      </c>
      <c r="C73" s="2266" t="s">
        <v>2432</v>
      </c>
      <c r="D73" s="2266">
        <v>2</v>
      </c>
      <c r="E73" s="2266">
        <v>1593</v>
      </c>
      <c r="F73" s="2266" t="s">
        <v>4821</v>
      </c>
      <c r="G73" s="2266" t="s">
        <v>4822</v>
      </c>
      <c r="H73" s="2436">
        <v>134523</v>
      </c>
      <c r="I73" s="2436">
        <v>47948</v>
      </c>
      <c r="J73" s="2446">
        <v>0.43280618139803584</v>
      </c>
      <c r="K73" s="2436">
        <v>58222.385940207976</v>
      </c>
      <c r="L73" s="2436">
        <v>47948</v>
      </c>
      <c r="M73" s="2266">
        <v>599</v>
      </c>
    </row>
    <row r="74" spans="1:13" ht="15">
      <c r="A74" s="2266" t="s">
        <v>4016</v>
      </c>
      <c r="B74" s="1694" t="str">
        <f>CONCATENATE(LEFT(RIGHT(CONCATENATE("000",IFAData_TEA!A74),6),3),"-",(RIGHT(RIGHT(CONCATENATE("000",IFAData_TEA!A74),6),3)))</f>
        <v>014-902</v>
      </c>
      <c r="C74" s="2266" t="s">
        <v>2432</v>
      </c>
      <c r="D74" s="2266">
        <v>2</v>
      </c>
      <c r="E74" s="2266">
        <v>1593</v>
      </c>
      <c r="F74" s="2266" t="s">
        <v>4821</v>
      </c>
      <c r="G74" s="2266" t="s">
        <v>4821</v>
      </c>
      <c r="H74" s="2436">
        <v>134523</v>
      </c>
      <c r="I74" s="2436">
        <v>62836</v>
      </c>
      <c r="J74" s="2446">
        <v>0.56719381860196416</v>
      </c>
      <c r="K74" s="2436">
        <v>76300.614059792031</v>
      </c>
      <c r="L74" s="2436">
        <v>62836</v>
      </c>
      <c r="M74" s="2266">
        <v>599</v>
      </c>
    </row>
    <row r="75" spans="1:13" ht="15">
      <c r="A75" s="2266" t="s">
        <v>4017</v>
      </c>
      <c r="B75" s="1694" t="str">
        <f>CONCATENATE(LEFT(RIGHT(CONCATENATE("000",IFAData_TEA!A75),6),3),"-",(RIGHT(RIGHT(CONCATENATE("000",IFAData_TEA!A75),6),3)))</f>
        <v>014-903</v>
      </c>
      <c r="C75" s="2266" t="s">
        <v>3079</v>
      </c>
      <c r="D75" s="2266">
        <v>2</v>
      </c>
      <c r="E75" s="2266">
        <v>1604</v>
      </c>
      <c r="F75" s="2266" t="s">
        <v>4825</v>
      </c>
      <c r="G75" s="2266" t="s">
        <v>4825</v>
      </c>
      <c r="H75" s="2436">
        <v>1175975</v>
      </c>
      <c r="I75" s="2436">
        <v>0</v>
      </c>
      <c r="J75" s="2446">
        <v>0</v>
      </c>
      <c r="K75" s="2436">
        <v>0</v>
      </c>
      <c r="L75" s="2436">
        <v>0</v>
      </c>
      <c r="M75" s="2266">
        <v>599</v>
      </c>
    </row>
    <row r="76" spans="1:13" ht="15">
      <c r="A76" s="2266" t="s">
        <v>4017</v>
      </c>
      <c r="B76" s="1694" t="str">
        <f>CONCATENATE(LEFT(RIGHT(CONCATENATE("000",IFAData_TEA!A76),6),3),"-",(RIGHT(RIGHT(CONCATENATE("000",IFAData_TEA!A76),6),3)))</f>
        <v>014-903</v>
      </c>
      <c r="C76" s="2266" t="s">
        <v>3079</v>
      </c>
      <c r="D76" s="2266">
        <v>1</v>
      </c>
      <c r="E76" s="2266">
        <v>1603</v>
      </c>
      <c r="F76" s="2266" t="s">
        <v>4823</v>
      </c>
      <c r="G76" s="2266" t="s">
        <v>4824</v>
      </c>
      <c r="H76" s="2436">
        <v>428025</v>
      </c>
      <c r="I76" s="2436">
        <v>927663</v>
      </c>
      <c r="J76" s="2446">
        <v>1</v>
      </c>
      <c r="K76" s="2436">
        <v>428025</v>
      </c>
      <c r="L76" s="2436">
        <v>428025</v>
      </c>
      <c r="M76" s="2266">
        <v>599</v>
      </c>
    </row>
    <row r="77" spans="1:13" ht="15">
      <c r="A77" s="2266" t="s">
        <v>4017</v>
      </c>
      <c r="B77" s="1694" t="str">
        <f>CONCATENATE(LEFT(RIGHT(CONCATENATE("000",IFAData_TEA!A77),6),3),"-",(RIGHT(RIGHT(CONCATENATE("000",IFAData_TEA!A77),6),3)))</f>
        <v>014-903</v>
      </c>
      <c r="C77" s="2266" t="s">
        <v>3079</v>
      </c>
      <c r="D77" s="2266">
        <v>1</v>
      </c>
      <c r="E77" s="2266">
        <v>1603</v>
      </c>
      <c r="F77" s="2266" t="s">
        <v>4823</v>
      </c>
      <c r="G77" s="2266" t="s">
        <v>4823</v>
      </c>
      <c r="H77" s="2436">
        <v>428025</v>
      </c>
      <c r="I77" s="2436">
        <v>0</v>
      </c>
      <c r="J77" s="2446">
        <v>0</v>
      </c>
      <c r="K77" s="2436">
        <v>0</v>
      </c>
      <c r="L77" s="2436">
        <v>0</v>
      </c>
      <c r="M77" s="2266">
        <v>599</v>
      </c>
    </row>
    <row r="78" spans="1:13" ht="15">
      <c r="A78" s="2266" t="s">
        <v>4017</v>
      </c>
      <c r="B78" s="1694" t="str">
        <f>CONCATENATE(LEFT(RIGHT(CONCATENATE("000",IFAData_TEA!A78),6),3),"-",(RIGHT(RIGHT(CONCATENATE("000",IFAData_TEA!A78),6),3)))</f>
        <v>014-903</v>
      </c>
      <c r="C78" s="2266" t="s">
        <v>3079</v>
      </c>
      <c r="D78" s="2266">
        <v>2</v>
      </c>
      <c r="E78" s="2266">
        <v>1604</v>
      </c>
      <c r="F78" s="2266" t="s">
        <v>4825</v>
      </c>
      <c r="G78" s="2266" t="s">
        <v>4824</v>
      </c>
      <c r="H78" s="2436">
        <v>1175975</v>
      </c>
      <c r="I78" s="2436">
        <v>318833</v>
      </c>
      <c r="J78" s="2446">
        <v>0.60231606985992125</v>
      </c>
      <c r="K78" s="2436">
        <v>708308.64025352092</v>
      </c>
      <c r="L78" s="2436">
        <v>318833</v>
      </c>
      <c r="M78" s="2266">
        <v>599</v>
      </c>
    </row>
    <row r="79" spans="1:13" ht="15">
      <c r="A79" s="2266" t="s">
        <v>4017</v>
      </c>
      <c r="B79" s="1694" t="str">
        <f>CONCATENATE(LEFT(RIGHT(CONCATENATE("000",IFAData_TEA!A79),6),3),"-",(RIGHT(RIGHT(CONCATENATE("000",IFAData_TEA!A79),6),3)))</f>
        <v>014-903</v>
      </c>
      <c r="C79" s="2266" t="s">
        <v>3079</v>
      </c>
      <c r="D79" s="2266">
        <v>2</v>
      </c>
      <c r="E79" s="2266">
        <v>1604</v>
      </c>
      <c r="F79" s="2266" t="s">
        <v>4825</v>
      </c>
      <c r="G79" s="2266" t="s">
        <v>4826</v>
      </c>
      <c r="H79" s="2436">
        <v>1175975</v>
      </c>
      <c r="I79" s="2436">
        <v>210512</v>
      </c>
      <c r="J79" s="2446">
        <v>0.3976839301400788</v>
      </c>
      <c r="K79" s="2436">
        <v>467666.3597464792</v>
      </c>
      <c r="L79" s="2436">
        <v>210512</v>
      </c>
      <c r="M79" s="2266">
        <v>599</v>
      </c>
    </row>
    <row r="80" spans="1:13" ht="15">
      <c r="A80" s="2266" t="s">
        <v>4018</v>
      </c>
      <c r="B80" s="1694" t="str">
        <f>CONCATENATE(LEFT(RIGHT(CONCATENATE("000",IFAData_TEA!A80),6),3),"-",(RIGHT(RIGHT(CONCATENATE("000",IFAData_TEA!A80),6),3)))</f>
        <v>014-905</v>
      </c>
      <c r="C80" s="2266" t="s">
        <v>2728</v>
      </c>
      <c r="D80" s="2266">
        <v>2</v>
      </c>
      <c r="E80" s="2266">
        <v>1894</v>
      </c>
      <c r="F80" s="2266" t="s">
        <v>4827</v>
      </c>
      <c r="G80" s="2266" t="s">
        <v>4828</v>
      </c>
      <c r="H80" s="2436">
        <v>88580</v>
      </c>
      <c r="I80" s="2436">
        <v>35923</v>
      </c>
      <c r="J80" s="2446">
        <v>1</v>
      </c>
      <c r="K80" s="2436">
        <v>88580</v>
      </c>
      <c r="L80" s="2436">
        <v>35923</v>
      </c>
      <c r="M80" s="2266">
        <v>599</v>
      </c>
    </row>
    <row r="81" spans="1:13" ht="15">
      <c r="A81" s="2266" t="s">
        <v>4018</v>
      </c>
      <c r="B81" s="1694" t="str">
        <f>CONCATENATE(LEFT(RIGHT(CONCATENATE("000",IFAData_TEA!A81),6),3),"-",(RIGHT(RIGHT(CONCATENATE("000",IFAData_TEA!A81),6),3)))</f>
        <v>014-905</v>
      </c>
      <c r="C81" s="2266" t="s">
        <v>2728</v>
      </c>
      <c r="D81" s="2266">
        <v>9</v>
      </c>
      <c r="E81" s="2266">
        <v>1896</v>
      </c>
      <c r="F81" s="2266" t="s">
        <v>4830</v>
      </c>
      <c r="G81" s="2266" t="s">
        <v>4830</v>
      </c>
      <c r="H81" s="2436">
        <v>137250</v>
      </c>
      <c r="I81" s="2436">
        <v>225000</v>
      </c>
      <c r="J81" s="2446">
        <v>1</v>
      </c>
      <c r="K81" s="2436">
        <v>137250</v>
      </c>
      <c r="L81" s="2436">
        <v>137250</v>
      </c>
      <c r="M81" s="2266">
        <v>599</v>
      </c>
    </row>
    <row r="82" spans="1:13" ht="15">
      <c r="A82" s="2266" t="s">
        <v>4018</v>
      </c>
      <c r="B82" s="1694" t="str">
        <f>CONCATENATE(LEFT(RIGHT(CONCATENATE("000",IFAData_TEA!A82),6),3),"-",(RIGHT(RIGHT(CONCATENATE("000",IFAData_TEA!A82),6),3)))</f>
        <v>014-905</v>
      </c>
      <c r="C82" s="2266" t="s">
        <v>2728</v>
      </c>
      <c r="D82" s="2266">
        <v>2</v>
      </c>
      <c r="E82" s="2266">
        <v>1894</v>
      </c>
      <c r="F82" s="2266" t="s">
        <v>4827</v>
      </c>
      <c r="G82" s="2266" t="s">
        <v>4827</v>
      </c>
      <c r="H82" s="2436">
        <v>88580</v>
      </c>
      <c r="I82" s="2436">
        <v>0</v>
      </c>
      <c r="J82" s="2446">
        <v>0</v>
      </c>
      <c r="K82" s="2436">
        <v>0</v>
      </c>
      <c r="L82" s="2436">
        <v>0</v>
      </c>
      <c r="M82" s="2266">
        <v>599</v>
      </c>
    </row>
    <row r="83" spans="1:13" ht="15">
      <c r="A83" s="2266" t="s">
        <v>4018</v>
      </c>
      <c r="B83" s="1694" t="str">
        <f>CONCATENATE(LEFT(RIGHT(CONCATENATE("000",IFAData_TEA!A83),6),3),"-",(RIGHT(RIGHT(CONCATENATE("000",IFAData_TEA!A83),6),3)))</f>
        <v>014-905</v>
      </c>
      <c r="C83" s="2266" t="s">
        <v>2728</v>
      </c>
      <c r="D83" s="2266">
        <v>4</v>
      </c>
      <c r="E83" s="2266">
        <v>1895</v>
      </c>
      <c r="F83" s="2266" t="s">
        <v>4829</v>
      </c>
      <c r="G83" s="2266" t="s">
        <v>4829</v>
      </c>
      <c r="H83" s="2436">
        <v>114590</v>
      </c>
      <c r="I83" s="2436">
        <v>0</v>
      </c>
      <c r="J83" s="2446">
        <v>0</v>
      </c>
      <c r="K83" s="2436">
        <v>0</v>
      </c>
      <c r="L83" s="2436">
        <v>0</v>
      </c>
      <c r="M83" s="2266">
        <v>599</v>
      </c>
    </row>
    <row r="84" spans="1:13" ht="15">
      <c r="A84" s="2266" t="s">
        <v>4018</v>
      </c>
      <c r="B84" s="1694" t="str">
        <f>CONCATENATE(LEFT(RIGHT(CONCATENATE("000",IFAData_TEA!A84),6),3),"-",(RIGHT(RIGHT(CONCATENATE("000",IFAData_TEA!A84),6),3)))</f>
        <v>014-905</v>
      </c>
      <c r="C84" s="2266" t="s">
        <v>2728</v>
      </c>
      <c r="D84" s="2266">
        <v>4</v>
      </c>
      <c r="E84" s="2266">
        <v>1895</v>
      </c>
      <c r="F84" s="2266" t="s">
        <v>4829</v>
      </c>
      <c r="G84" s="2266" t="s">
        <v>4828</v>
      </c>
      <c r="H84" s="2436">
        <v>114590</v>
      </c>
      <c r="I84" s="2436">
        <v>130471</v>
      </c>
      <c r="J84" s="2446">
        <v>1</v>
      </c>
      <c r="K84" s="2436">
        <v>114590</v>
      </c>
      <c r="L84" s="2436">
        <v>114590</v>
      </c>
      <c r="M84" s="2266">
        <v>599</v>
      </c>
    </row>
    <row r="85" spans="1:13" ht="15">
      <c r="A85" s="2266" t="s">
        <v>4019</v>
      </c>
      <c r="B85" s="1694" t="str">
        <f>CONCATENATE(LEFT(RIGHT(CONCATENATE("000",IFAData_TEA!A85),6),3),"-",(RIGHT(RIGHT(CONCATENATE("000",IFAData_TEA!A85),6),3)))</f>
        <v>014-906</v>
      </c>
      <c r="C85" s="2266" t="s">
        <v>2878</v>
      </c>
      <c r="D85" s="2266">
        <v>2</v>
      </c>
      <c r="E85" s="2266">
        <v>1957</v>
      </c>
      <c r="F85" s="2266" t="s">
        <v>4831</v>
      </c>
      <c r="G85" s="2266" t="s">
        <v>4833</v>
      </c>
      <c r="H85" s="2436">
        <v>5126526</v>
      </c>
      <c r="I85" s="2436">
        <v>4396800</v>
      </c>
      <c r="J85" s="2446">
        <v>0.98812443787612581</v>
      </c>
      <c r="K85" s="2436">
        <v>5065645.6220073439</v>
      </c>
      <c r="L85" s="2436">
        <v>4396800</v>
      </c>
      <c r="M85" s="2266">
        <v>599</v>
      </c>
    </row>
    <row r="86" spans="1:13" ht="15">
      <c r="A86" s="2266" t="s">
        <v>4019</v>
      </c>
      <c r="B86" s="1694" t="str">
        <f>CONCATENATE(LEFT(RIGHT(CONCATENATE("000",IFAData_TEA!A86),6),3),"-",(RIGHT(RIGHT(CONCATENATE("000",IFAData_TEA!A86),6),3)))</f>
        <v>014-906</v>
      </c>
      <c r="C86" s="2266" t="s">
        <v>2878</v>
      </c>
      <c r="D86" s="2266">
        <v>6</v>
      </c>
      <c r="E86" s="2266">
        <v>1958</v>
      </c>
      <c r="F86" s="2266" t="s">
        <v>4834</v>
      </c>
      <c r="G86" s="2266" t="s">
        <v>4836</v>
      </c>
      <c r="H86" s="2436">
        <v>7058303</v>
      </c>
      <c r="I86" s="2436">
        <v>1319250</v>
      </c>
      <c r="J86" s="2446">
        <v>0.18703745711288172</v>
      </c>
      <c r="K86" s="2436">
        <v>1320167.0446522243</v>
      </c>
      <c r="L86" s="2436">
        <v>1319250</v>
      </c>
      <c r="M86" s="2266">
        <v>599</v>
      </c>
    </row>
    <row r="87" spans="1:13" ht="15">
      <c r="A87" s="2266" t="s">
        <v>4019</v>
      </c>
      <c r="B87" s="1694" t="str">
        <f>CONCATENATE(LEFT(RIGHT(CONCATENATE("000",IFAData_TEA!A87),6),3),"-",(RIGHT(RIGHT(CONCATENATE("000",IFAData_TEA!A87),6),3)))</f>
        <v>014-906</v>
      </c>
      <c r="C87" s="2266" t="s">
        <v>2878</v>
      </c>
      <c r="D87" s="2266">
        <v>2</v>
      </c>
      <c r="E87" s="2266">
        <v>1957</v>
      </c>
      <c r="F87" s="2266" t="s">
        <v>4831</v>
      </c>
      <c r="G87" s="2266" t="s">
        <v>6907</v>
      </c>
      <c r="H87" s="2436">
        <v>5126526</v>
      </c>
      <c r="I87" s="2436">
        <v>52842</v>
      </c>
      <c r="J87" s="2446">
        <v>1.1875562123874235E-2</v>
      </c>
      <c r="K87" s="2436">
        <v>60880.377992656482</v>
      </c>
      <c r="L87" s="2436">
        <v>52842</v>
      </c>
      <c r="M87" s="2266">
        <v>599</v>
      </c>
    </row>
    <row r="88" spans="1:13" ht="15">
      <c r="A88" s="2266" t="s">
        <v>4019</v>
      </c>
      <c r="B88" s="1694" t="str">
        <f>CONCATENATE(LEFT(RIGHT(CONCATENATE("000",IFAData_TEA!A88),6),3),"-",(RIGHT(RIGHT(CONCATENATE("000",IFAData_TEA!A88),6),3)))</f>
        <v>014-906</v>
      </c>
      <c r="C88" s="2266" t="s">
        <v>2878</v>
      </c>
      <c r="D88" s="2266">
        <v>2</v>
      </c>
      <c r="E88" s="2266">
        <v>1957</v>
      </c>
      <c r="F88" s="2266" t="s">
        <v>4831</v>
      </c>
      <c r="G88" s="2266" t="s">
        <v>4832</v>
      </c>
      <c r="H88" s="2436">
        <v>5126526</v>
      </c>
      <c r="I88" s="2436">
        <v>0</v>
      </c>
      <c r="J88" s="2446">
        <v>0</v>
      </c>
      <c r="K88" s="2436">
        <v>0</v>
      </c>
      <c r="L88" s="2436">
        <v>0</v>
      </c>
      <c r="M88" s="2266">
        <v>599</v>
      </c>
    </row>
    <row r="89" spans="1:13" ht="15">
      <c r="A89" s="2266" t="s">
        <v>4019</v>
      </c>
      <c r="B89" s="1694" t="str">
        <f>CONCATENATE(LEFT(RIGHT(CONCATENATE("000",IFAData_TEA!A89),6),3),"-",(RIGHT(RIGHT(CONCATENATE("000",IFAData_TEA!A89),6),3)))</f>
        <v>014-906</v>
      </c>
      <c r="C89" s="2266" t="s">
        <v>2878</v>
      </c>
      <c r="D89" s="2266">
        <v>6</v>
      </c>
      <c r="E89" s="2266">
        <v>1958</v>
      </c>
      <c r="F89" s="2266" t="s">
        <v>4834</v>
      </c>
      <c r="G89" s="2266" t="s">
        <v>4834</v>
      </c>
      <c r="H89" s="2436">
        <v>7058303</v>
      </c>
      <c r="I89" s="2436">
        <v>0</v>
      </c>
      <c r="J89" s="2446">
        <v>0</v>
      </c>
      <c r="K89" s="2436">
        <v>0</v>
      </c>
      <c r="L89" s="2436">
        <v>0</v>
      </c>
      <c r="M89" s="2266">
        <v>599</v>
      </c>
    </row>
    <row r="90" spans="1:13" ht="15">
      <c r="A90" s="2266" t="s">
        <v>4019</v>
      </c>
      <c r="B90" s="1694" t="str">
        <f>CONCATENATE(LEFT(RIGHT(CONCATENATE("000",IFAData_TEA!A90),6),3),"-",(RIGHT(RIGHT(CONCATENATE("000",IFAData_TEA!A90),6),3)))</f>
        <v>014-906</v>
      </c>
      <c r="C90" s="2266" t="s">
        <v>2878</v>
      </c>
      <c r="D90" s="2266">
        <v>6</v>
      </c>
      <c r="E90" s="2266">
        <v>1958</v>
      </c>
      <c r="F90" s="2266" t="s">
        <v>4834</v>
      </c>
      <c r="G90" s="2266" t="s">
        <v>4835</v>
      </c>
      <c r="H90" s="2436">
        <v>7058303</v>
      </c>
      <c r="I90" s="2436">
        <v>5734150</v>
      </c>
      <c r="J90" s="2446">
        <v>0.81296254288711822</v>
      </c>
      <c r="K90" s="2436">
        <v>5738135.9553477755</v>
      </c>
      <c r="L90" s="2436">
        <v>5734150</v>
      </c>
      <c r="M90" s="2266">
        <v>599</v>
      </c>
    </row>
    <row r="91" spans="1:13" ht="15">
      <c r="A91" s="2266" t="s">
        <v>4019</v>
      </c>
      <c r="B91" s="1694" t="str">
        <f>CONCATENATE(LEFT(RIGHT(CONCATENATE("000",IFAData_TEA!A91),6),3),"-",(RIGHT(RIGHT(CONCATENATE("000",IFAData_TEA!A91),6),3)))</f>
        <v>014-906</v>
      </c>
      <c r="C91" s="2266" t="s">
        <v>2878</v>
      </c>
      <c r="D91" s="2266">
        <v>2</v>
      </c>
      <c r="E91" s="2266">
        <v>1957</v>
      </c>
      <c r="F91" s="2266" t="s">
        <v>4831</v>
      </c>
      <c r="G91" s="2266" t="s">
        <v>4831</v>
      </c>
      <c r="H91" s="2436">
        <v>5126526</v>
      </c>
      <c r="I91" s="2436">
        <v>0</v>
      </c>
      <c r="J91" s="2446">
        <v>0</v>
      </c>
      <c r="K91" s="2436">
        <v>0</v>
      </c>
      <c r="L91" s="2436">
        <v>0</v>
      </c>
      <c r="M91" s="2266">
        <v>599</v>
      </c>
    </row>
    <row r="92" spans="1:13" ht="15">
      <c r="A92" s="2266" t="s">
        <v>4020</v>
      </c>
      <c r="B92" s="1694" t="str">
        <f>CONCATENATE(LEFT(RIGHT(CONCATENATE("000",IFAData_TEA!A92),6),3),"-",(RIGHT(RIGHT(CONCATENATE("000",IFAData_TEA!A92),6),3)))</f>
        <v>014-907</v>
      </c>
      <c r="C92" s="2266" t="s">
        <v>1582</v>
      </c>
      <c r="D92" s="2266">
        <v>2</v>
      </c>
      <c r="E92" s="2266">
        <v>2257</v>
      </c>
      <c r="F92" s="2266" t="s">
        <v>4837</v>
      </c>
      <c r="G92" s="2266" t="s">
        <v>6908</v>
      </c>
      <c r="H92" s="2436">
        <v>188100</v>
      </c>
      <c r="I92" s="2436">
        <v>0</v>
      </c>
      <c r="J92" s="2446">
        <v>0</v>
      </c>
      <c r="K92" s="2436">
        <v>0</v>
      </c>
      <c r="L92" s="2436">
        <v>0</v>
      </c>
      <c r="M92" s="2266">
        <v>599</v>
      </c>
    </row>
    <row r="93" spans="1:13" ht="15">
      <c r="A93" s="2266" t="s">
        <v>4020</v>
      </c>
      <c r="B93" s="1694" t="str">
        <f>CONCATENATE(LEFT(RIGHT(CONCATENATE("000",IFAData_TEA!A93),6),3),"-",(RIGHT(RIGHT(CONCATENATE("000",IFAData_TEA!A93),6),3)))</f>
        <v>014-907</v>
      </c>
      <c r="C93" s="2266" t="s">
        <v>1582</v>
      </c>
      <c r="D93" s="2266">
        <v>9</v>
      </c>
      <c r="E93" s="2266">
        <v>2258</v>
      </c>
      <c r="F93" s="2266" t="s">
        <v>4838</v>
      </c>
      <c r="G93" s="2266" t="s">
        <v>4838</v>
      </c>
      <c r="H93" s="2436">
        <v>192381</v>
      </c>
      <c r="I93" s="2436">
        <v>550049</v>
      </c>
      <c r="J93" s="2446">
        <v>1</v>
      </c>
      <c r="K93" s="2436">
        <v>192381</v>
      </c>
      <c r="L93" s="2436">
        <v>192381</v>
      </c>
      <c r="M93" s="2266">
        <v>599</v>
      </c>
    </row>
    <row r="94" spans="1:13" ht="15">
      <c r="A94" s="2266" t="s">
        <v>4020</v>
      </c>
      <c r="B94" s="1694" t="str">
        <f>CONCATENATE(LEFT(RIGHT(CONCATENATE("000",IFAData_TEA!A94),6),3),"-",(RIGHT(RIGHT(CONCATENATE("000",IFAData_TEA!A94),6),3)))</f>
        <v>014-907</v>
      </c>
      <c r="C94" s="2266" t="s">
        <v>1582</v>
      </c>
      <c r="D94" s="2266">
        <v>2</v>
      </c>
      <c r="E94" s="2266">
        <v>2257</v>
      </c>
      <c r="F94" s="2266" t="s">
        <v>4837</v>
      </c>
      <c r="G94" s="2266" t="s">
        <v>4837</v>
      </c>
      <c r="H94" s="2436">
        <v>188100</v>
      </c>
      <c r="I94" s="2436">
        <v>176750</v>
      </c>
      <c r="J94" s="2446">
        <v>1</v>
      </c>
      <c r="K94" s="2436">
        <v>188100</v>
      </c>
      <c r="L94" s="2436">
        <v>176750</v>
      </c>
      <c r="M94" s="2266">
        <v>599</v>
      </c>
    </row>
    <row r="95" spans="1:13" ht="15">
      <c r="A95" s="2266" t="s">
        <v>4021</v>
      </c>
      <c r="B95" s="1694" t="str">
        <f>CONCATENATE(LEFT(RIGHT(CONCATENATE("000",IFAData_TEA!A95),6),3),"-",(RIGHT(RIGHT(CONCATENATE("000",IFAData_TEA!A95),6),3)))</f>
        <v>014-908</v>
      </c>
      <c r="C95" s="2266" t="s">
        <v>2305</v>
      </c>
      <c r="D95" s="2266">
        <v>1</v>
      </c>
      <c r="E95" s="2266">
        <v>2275</v>
      </c>
      <c r="F95" s="2266" t="s">
        <v>4839</v>
      </c>
      <c r="G95" s="2266" t="s">
        <v>4841</v>
      </c>
      <c r="H95" s="2436">
        <v>211190</v>
      </c>
      <c r="I95" s="2436">
        <v>66881</v>
      </c>
      <c r="J95" s="2446">
        <v>0.12178360789469371</v>
      </c>
      <c r="K95" s="2436">
        <v>25719.480151280364</v>
      </c>
      <c r="L95" s="2436">
        <v>25719.480151280364</v>
      </c>
      <c r="M95" s="2266">
        <v>599</v>
      </c>
    </row>
    <row r="96" spans="1:13" ht="15">
      <c r="A96" s="2266" t="s">
        <v>4021</v>
      </c>
      <c r="B96" s="1694" t="str">
        <f>CONCATENATE(LEFT(RIGHT(CONCATENATE("000",IFAData_TEA!A96),6),3),"-",(RIGHT(RIGHT(CONCATENATE("000",IFAData_TEA!A96),6),3)))</f>
        <v>014-908</v>
      </c>
      <c r="C96" s="2266" t="s">
        <v>2305</v>
      </c>
      <c r="D96" s="2266">
        <v>1</v>
      </c>
      <c r="E96" s="2266">
        <v>2275</v>
      </c>
      <c r="F96" s="2266" t="s">
        <v>4839</v>
      </c>
      <c r="G96" s="2266" t="s">
        <v>4839</v>
      </c>
      <c r="H96" s="2436">
        <v>211190</v>
      </c>
      <c r="I96" s="2436">
        <v>0</v>
      </c>
      <c r="J96" s="2446">
        <v>0</v>
      </c>
      <c r="K96" s="2436">
        <v>0</v>
      </c>
      <c r="L96" s="2436">
        <v>0</v>
      </c>
      <c r="M96" s="2266">
        <v>599</v>
      </c>
    </row>
    <row r="97" spans="1:13" ht="15">
      <c r="A97" s="2266" t="s">
        <v>4021</v>
      </c>
      <c r="B97" s="1694" t="str">
        <f>CONCATENATE(LEFT(RIGHT(CONCATENATE("000",IFAData_TEA!A97),6),3),"-",(RIGHT(RIGHT(CONCATENATE("000",IFAData_TEA!A97),6),3)))</f>
        <v>014-908</v>
      </c>
      <c r="C97" s="2266" t="s">
        <v>2305</v>
      </c>
      <c r="D97" s="2266">
        <v>1</v>
      </c>
      <c r="E97" s="2266">
        <v>2275</v>
      </c>
      <c r="F97" s="2266" t="s">
        <v>4839</v>
      </c>
      <c r="G97" s="2266" t="s">
        <v>4840</v>
      </c>
      <c r="H97" s="2436">
        <v>211190</v>
      </c>
      <c r="I97" s="2436">
        <v>482298</v>
      </c>
      <c r="J97" s="2446">
        <v>0.87821639210530633</v>
      </c>
      <c r="K97" s="2436">
        <v>185470.51984871965</v>
      </c>
      <c r="L97" s="2436">
        <v>185470.51984871965</v>
      </c>
      <c r="M97" s="2266">
        <v>599</v>
      </c>
    </row>
    <row r="98" spans="1:13" ht="15">
      <c r="A98" s="2266" t="s">
        <v>4022</v>
      </c>
      <c r="B98" s="1694" t="str">
        <f>CONCATENATE(LEFT(RIGHT(CONCATENATE("000",IFAData_TEA!A98),6),3),"-",(RIGHT(RIGHT(CONCATENATE("000",IFAData_TEA!A98),6),3)))</f>
        <v>014-909</v>
      </c>
      <c r="C98" s="2266" t="s">
        <v>658</v>
      </c>
      <c r="D98" s="2266">
        <v>1</v>
      </c>
      <c r="E98" s="2266">
        <v>2391</v>
      </c>
      <c r="F98" s="2266" t="s">
        <v>4842</v>
      </c>
      <c r="G98" s="2266" t="s">
        <v>4843</v>
      </c>
      <c r="H98" s="2436">
        <v>767280</v>
      </c>
      <c r="I98" s="2436">
        <v>1481233</v>
      </c>
      <c r="J98" s="2446">
        <v>0.98208067574556113</v>
      </c>
      <c r="K98" s="2436">
        <v>753530.86088605411</v>
      </c>
      <c r="L98" s="2436">
        <v>753530.86088605411</v>
      </c>
      <c r="M98" s="2266">
        <v>599</v>
      </c>
    </row>
    <row r="99" spans="1:13" ht="15">
      <c r="A99" s="2266" t="s">
        <v>4022</v>
      </c>
      <c r="B99" s="1694" t="str">
        <f>CONCATENATE(LEFT(RIGHT(CONCATENATE("000",IFAData_TEA!A99),6),3),"-",(RIGHT(RIGHT(CONCATENATE("000",IFAData_TEA!A99),6),3)))</f>
        <v>014-909</v>
      </c>
      <c r="C99" s="2266" t="s">
        <v>658</v>
      </c>
      <c r="D99" s="2266">
        <v>9</v>
      </c>
      <c r="E99" s="2266">
        <v>2392</v>
      </c>
      <c r="F99" s="2266" t="s">
        <v>4845</v>
      </c>
      <c r="G99" s="2266" t="s">
        <v>4845</v>
      </c>
      <c r="H99" s="2436">
        <v>1498738</v>
      </c>
      <c r="I99" s="2436">
        <v>901548</v>
      </c>
      <c r="J99" s="2446">
        <v>0.64050959540989005</v>
      </c>
      <c r="K99" s="2436">
        <v>959956.07000542781</v>
      </c>
      <c r="L99" s="2436">
        <v>901548</v>
      </c>
      <c r="M99" s="2266">
        <v>599</v>
      </c>
    </row>
    <row r="100" spans="1:13" ht="15">
      <c r="A100" s="2266" t="s">
        <v>4022</v>
      </c>
      <c r="B100" s="1694" t="str">
        <f>CONCATENATE(LEFT(RIGHT(CONCATENATE("000",IFAData_TEA!A100),6),3),"-",(RIGHT(RIGHT(CONCATENATE("000",IFAData_TEA!A100),6),3)))</f>
        <v>014-909</v>
      </c>
      <c r="C100" s="2266" t="s">
        <v>658</v>
      </c>
      <c r="D100" s="2266">
        <v>9</v>
      </c>
      <c r="E100" s="2266">
        <v>2392</v>
      </c>
      <c r="F100" s="2266" t="s">
        <v>4845</v>
      </c>
      <c r="G100" s="2266" t="s">
        <v>4846</v>
      </c>
      <c r="H100" s="2436">
        <v>1498738</v>
      </c>
      <c r="I100" s="2436">
        <v>211800</v>
      </c>
      <c r="J100" s="2446">
        <v>0.15047444207941754</v>
      </c>
      <c r="K100" s="2436">
        <v>225521.76437322207</v>
      </c>
      <c r="L100" s="2436">
        <v>211800</v>
      </c>
      <c r="M100" s="2266">
        <v>599</v>
      </c>
    </row>
    <row r="101" spans="1:13" ht="15">
      <c r="A101" s="2266" t="s">
        <v>4022</v>
      </c>
      <c r="B101" s="1694" t="str">
        <f>CONCATENATE(LEFT(RIGHT(CONCATENATE("000",IFAData_TEA!A101),6),3),"-",(RIGHT(RIGHT(CONCATENATE("000",IFAData_TEA!A101),6),3)))</f>
        <v>014-909</v>
      </c>
      <c r="C101" s="2266" t="s">
        <v>658</v>
      </c>
      <c r="D101" s="2266">
        <v>1</v>
      </c>
      <c r="E101" s="2266">
        <v>2391</v>
      </c>
      <c r="F101" s="2266" t="s">
        <v>4842</v>
      </c>
      <c r="G101" s="2266" t="s">
        <v>4842</v>
      </c>
      <c r="H101" s="2436">
        <v>767280</v>
      </c>
      <c r="I101" s="2436">
        <v>0</v>
      </c>
      <c r="J101" s="2446">
        <v>0</v>
      </c>
      <c r="K101" s="2436">
        <v>0</v>
      </c>
      <c r="L101" s="2436">
        <v>0</v>
      </c>
      <c r="M101" s="2266">
        <v>599</v>
      </c>
    </row>
    <row r="102" spans="1:13" ht="15">
      <c r="A102" s="2266" t="s">
        <v>4022</v>
      </c>
      <c r="B102" s="1694" t="str">
        <f>CONCATENATE(LEFT(RIGHT(CONCATENATE("000",IFAData_TEA!A102),6),3),"-",(RIGHT(RIGHT(CONCATENATE("000",IFAData_TEA!A102),6),3)))</f>
        <v>014-909</v>
      </c>
      <c r="C102" s="2266" t="s">
        <v>658</v>
      </c>
      <c r="D102" s="2266">
        <v>1</v>
      </c>
      <c r="E102" s="2266">
        <v>2391</v>
      </c>
      <c r="F102" s="2266" t="s">
        <v>4842</v>
      </c>
      <c r="G102" s="2266" t="s">
        <v>6909</v>
      </c>
      <c r="H102" s="2436">
        <v>767280</v>
      </c>
      <c r="I102" s="2436">
        <v>27027</v>
      </c>
      <c r="J102" s="2446">
        <v>1.791932425443889E-2</v>
      </c>
      <c r="K102" s="2436">
        <v>13749.139113945872</v>
      </c>
      <c r="L102" s="2436">
        <v>13749.139113945872</v>
      </c>
      <c r="M102" s="2266">
        <v>599</v>
      </c>
    </row>
    <row r="103" spans="1:13" ht="15">
      <c r="A103" s="2266" t="s">
        <v>4022</v>
      </c>
      <c r="B103" s="1694" t="str">
        <f>CONCATENATE(LEFT(RIGHT(CONCATENATE("000",IFAData_TEA!A103),6),3),"-",(RIGHT(RIGHT(CONCATENATE("000",IFAData_TEA!A103),6),3)))</f>
        <v>014-909</v>
      </c>
      <c r="C103" s="2266" t="s">
        <v>658</v>
      </c>
      <c r="D103" s="2266">
        <v>1</v>
      </c>
      <c r="E103" s="2266">
        <v>2391</v>
      </c>
      <c r="F103" s="2266" t="s">
        <v>4842</v>
      </c>
      <c r="G103" s="2266" t="s">
        <v>4844</v>
      </c>
      <c r="H103" s="2436">
        <v>767280</v>
      </c>
      <c r="I103" s="2436">
        <v>0</v>
      </c>
      <c r="J103" s="2446">
        <v>0</v>
      </c>
      <c r="K103" s="2436">
        <v>0</v>
      </c>
      <c r="L103" s="2436">
        <v>0</v>
      </c>
      <c r="M103" s="2266">
        <v>599</v>
      </c>
    </row>
    <row r="104" spans="1:13" ht="15">
      <c r="A104" s="2266" t="s">
        <v>4022</v>
      </c>
      <c r="B104" s="1694" t="str">
        <f>CONCATENATE(LEFT(RIGHT(CONCATENATE("000",IFAData_TEA!A104),6),3),"-",(RIGHT(RIGHT(CONCATENATE("000",IFAData_TEA!A104),6),3)))</f>
        <v>014-909</v>
      </c>
      <c r="C104" s="2266" t="s">
        <v>658</v>
      </c>
      <c r="D104" s="2266">
        <v>9</v>
      </c>
      <c r="E104" s="2266">
        <v>2392</v>
      </c>
      <c r="F104" s="2266" t="s">
        <v>4845</v>
      </c>
      <c r="G104" s="2266" t="s">
        <v>6910</v>
      </c>
      <c r="H104" s="2436">
        <v>1498738</v>
      </c>
      <c r="I104" s="2436">
        <v>294200</v>
      </c>
      <c r="J104" s="2446">
        <v>0.20901596251069235</v>
      </c>
      <c r="K104" s="2436">
        <v>313260.16562135005</v>
      </c>
      <c r="L104" s="2436">
        <v>294200</v>
      </c>
      <c r="M104" s="2266">
        <v>599</v>
      </c>
    </row>
    <row r="105" spans="1:13" ht="15">
      <c r="A105" s="2266" t="s">
        <v>4023</v>
      </c>
      <c r="B105" s="1694" t="str">
        <f>CONCATENATE(LEFT(RIGHT(CONCATENATE("000",IFAData_TEA!A105),6),3),"-",(RIGHT(RIGHT(CONCATENATE("000",IFAData_TEA!A105),6),3)))</f>
        <v>014-910</v>
      </c>
      <c r="C105" s="2266" t="s">
        <v>2640</v>
      </c>
      <c r="D105" s="2266">
        <v>3</v>
      </c>
      <c r="E105" s="2266">
        <v>2403</v>
      </c>
      <c r="F105" s="2266" t="s">
        <v>4847</v>
      </c>
      <c r="G105" s="2266" t="s">
        <v>4848</v>
      </c>
      <c r="H105" s="2436">
        <v>290625</v>
      </c>
      <c r="I105" s="2436">
        <v>563783</v>
      </c>
      <c r="J105" s="2446">
        <v>1</v>
      </c>
      <c r="K105" s="2436">
        <v>290625</v>
      </c>
      <c r="L105" s="2436">
        <v>290625</v>
      </c>
      <c r="M105" s="2266">
        <v>599</v>
      </c>
    </row>
    <row r="106" spans="1:13" ht="15">
      <c r="A106" s="2266" t="s">
        <v>4023</v>
      </c>
      <c r="B106" s="1694" t="str">
        <f>CONCATENATE(LEFT(RIGHT(CONCATENATE("000",IFAData_TEA!A106),6),3),"-",(RIGHT(RIGHT(CONCATENATE("000",IFAData_TEA!A106),6),3)))</f>
        <v>014-910</v>
      </c>
      <c r="C106" s="2266" t="s">
        <v>2640</v>
      </c>
      <c r="D106" s="2266">
        <v>9</v>
      </c>
      <c r="E106" s="2266">
        <v>2402</v>
      </c>
      <c r="F106" s="2266" t="s">
        <v>4849</v>
      </c>
      <c r="G106" s="2266" t="s">
        <v>4849</v>
      </c>
      <c r="H106" s="2436">
        <v>284227</v>
      </c>
      <c r="I106" s="2436">
        <v>0</v>
      </c>
      <c r="J106" s="2446">
        <v>0</v>
      </c>
      <c r="K106" s="2436">
        <v>0</v>
      </c>
      <c r="L106" s="2436">
        <v>0</v>
      </c>
      <c r="M106" s="2266">
        <v>599</v>
      </c>
    </row>
    <row r="107" spans="1:13" ht="15">
      <c r="A107" s="2266" t="s">
        <v>4023</v>
      </c>
      <c r="B107" s="1694" t="str">
        <f>CONCATENATE(LEFT(RIGHT(CONCATENATE("000",IFAData_TEA!A107),6),3),"-",(RIGHT(RIGHT(CONCATENATE("000",IFAData_TEA!A107),6),3)))</f>
        <v>014-910</v>
      </c>
      <c r="C107" s="2266" t="s">
        <v>2640</v>
      </c>
      <c r="D107" s="2266">
        <v>9</v>
      </c>
      <c r="E107" s="2266">
        <v>2402</v>
      </c>
      <c r="F107" s="2266" t="s">
        <v>4849</v>
      </c>
      <c r="G107" s="2266" t="s">
        <v>4850</v>
      </c>
      <c r="H107" s="2436">
        <v>284227</v>
      </c>
      <c r="I107" s="2436">
        <v>348354</v>
      </c>
      <c r="J107" s="2446">
        <v>0.48455587177325798</v>
      </c>
      <c r="K107" s="2436">
        <v>137723.86176649781</v>
      </c>
      <c r="L107" s="2436">
        <v>137723.86176649781</v>
      </c>
      <c r="M107" s="2266">
        <v>599</v>
      </c>
    </row>
    <row r="108" spans="1:13" ht="15">
      <c r="A108" s="2266" t="s">
        <v>4023</v>
      </c>
      <c r="B108" s="1694" t="str">
        <f>CONCATENATE(LEFT(RIGHT(CONCATENATE("000",IFAData_TEA!A108),6),3),"-",(RIGHT(RIGHT(CONCATENATE("000",IFAData_TEA!A108),6),3)))</f>
        <v>014-910</v>
      </c>
      <c r="C108" s="2266" t="s">
        <v>2640</v>
      </c>
      <c r="D108" s="2266">
        <v>3</v>
      </c>
      <c r="E108" s="2266">
        <v>2403</v>
      </c>
      <c r="F108" s="2266" t="s">
        <v>4847</v>
      </c>
      <c r="G108" s="2266" t="s">
        <v>4847</v>
      </c>
      <c r="H108" s="2436">
        <v>290625</v>
      </c>
      <c r="I108" s="2436">
        <v>0</v>
      </c>
      <c r="J108" s="2446">
        <v>0</v>
      </c>
      <c r="K108" s="2436">
        <v>0</v>
      </c>
      <c r="L108" s="2436">
        <v>0</v>
      </c>
      <c r="M108" s="2266">
        <v>599</v>
      </c>
    </row>
    <row r="109" spans="1:13" ht="15">
      <c r="A109" s="2266" t="s">
        <v>4023</v>
      </c>
      <c r="B109" s="1694" t="str">
        <f>CONCATENATE(LEFT(RIGHT(CONCATENATE("000",IFAData_TEA!A109),6),3),"-",(RIGHT(RIGHT(CONCATENATE("000",IFAData_TEA!A109),6),3)))</f>
        <v>014-910</v>
      </c>
      <c r="C109" s="2266" t="s">
        <v>2640</v>
      </c>
      <c r="D109" s="2266">
        <v>9</v>
      </c>
      <c r="E109" s="2266">
        <v>2402</v>
      </c>
      <c r="F109" s="2266" t="s">
        <v>4849</v>
      </c>
      <c r="G109" s="2266" t="s">
        <v>4851</v>
      </c>
      <c r="H109" s="2436">
        <v>284227</v>
      </c>
      <c r="I109" s="2436">
        <v>370560</v>
      </c>
      <c r="J109" s="2446">
        <v>0.51544412822674202</v>
      </c>
      <c r="K109" s="2436">
        <v>146503.13823350219</v>
      </c>
      <c r="L109" s="2436">
        <v>146503.13823350219</v>
      </c>
      <c r="M109" s="2266">
        <v>599</v>
      </c>
    </row>
    <row r="110" spans="1:13" ht="15">
      <c r="A110" s="2266" t="s">
        <v>4024</v>
      </c>
      <c r="B110" s="1694" t="str">
        <f>CONCATENATE(LEFT(RIGHT(CONCATENATE("000",IFAData_TEA!A110),6),3),"-",(RIGHT(RIGHT(CONCATENATE("000",IFAData_TEA!A110),6),3)))</f>
        <v>015-904</v>
      </c>
      <c r="C110" s="2266" t="s">
        <v>822</v>
      </c>
      <c r="D110" s="2266">
        <v>4</v>
      </c>
      <c r="E110" s="2266">
        <v>1869</v>
      </c>
      <c r="F110" s="2266" t="s">
        <v>4857</v>
      </c>
      <c r="G110" s="2266" t="s">
        <v>4858</v>
      </c>
      <c r="H110" s="2436">
        <v>3515081</v>
      </c>
      <c r="I110" s="2436">
        <v>0</v>
      </c>
      <c r="J110" s="2446">
        <v>0</v>
      </c>
      <c r="K110" s="2436">
        <v>0</v>
      </c>
      <c r="L110" s="2436">
        <v>0</v>
      </c>
      <c r="M110" s="2266">
        <v>599</v>
      </c>
    </row>
    <row r="111" spans="1:13" ht="15">
      <c r="A111" s="2266" t="s">
        <v>4024</v>
      </c>
      <c r="B111" s="1694" t="str">
        <f>CONCATENATE(LEFT(RIGHT(CONCATENATE("000",IFAData_TEA!A111),6),3),"-",(RIGHT(RIGHT(CONCATENATE("000",IFAData_TEA!A111),6),3)))</f>
        <v>015-904</v>
      </c>
      <c r="C111" s="2266" t="s">
        <v>822</v>
      </c>
      <c r="D111" s="2266">
        <v>4</v>
      </c>
      <c r="E111" s="2266">
        <v>1869</v>
      </c>
      <c r="F111" s="2266" t="s">
        <v>4857</v>
      </c>
      <c r="G111" s="2266" t="s">
        <v>4856</v>
      </c>
      <c r="H111" s="2436">
        <v>3515081</v>
      </c>
      <c r="I111" s="2436">
        <v>0</v>
      </c>
      <c r="J111" s="2446">
        <v>0</v>
      </c>
      <c r="K111" s="2436">
        <v>0</v>
      </c>
      <c r="L111" s="2436">
        <v>0</v>
      </c>
      <c r="M111" s="2266">
        <v>599</v>
      </c>
    </row>
    <row r="112" spans="1:13" ht="15">
      <c r="A112" s="2266" t="s">
        <v>4024</v>
      </c>
      <c r="B112" s="1694" t="str">
        <f>CONCATENATE(LEFT(RIGHT(CONCATENATE("000",IFAData_TEA!A112),6),3),"-",(RIGHT(RIGHT(CONCATENATE("000",IFAData_TEA!A112),6),3)))</f>
        <v>015-904</v>
      </c>
      <c r="C112" s="2266" t="s">
        <v>822</v>
      </c>
      <c r="D112" s="2266">
        <v>5</v>
      </c>
      <c r="E112" s="2266">
        <v>1867</v>
      </c>
      <c r="F112" s="2266" t="s">
        <v>4859</v>
      </c>
      <c r="G112" s="2266" t="s">
        <v>4856</v>
      </c>
      <c r="H112" s="2436">
        <v>3411660</v>
      </c>
      <c r="I112" s="2436">
        <v>206892</v>
      </c>
      <c r="J112" s="2446">
        <v>6.368357060407849E-2</v>
      </c>
      <c r="K112" s="2436">
        <v>217266.69048711043</v>
      </c>
      <c r="L112" s="2436">
        <v>206892</v>
      </c>
      <c r="M112" s="2266">
        <v>599</v>
      </c>
    </row>
    <row r="113" spans="1:13" ht="15">
      <c r="A113" s="2266" t="s">
        <v>4024</v>
      </c>
      <c r="B113" s="1694" t="str">
        <f>CONCATENATE(LEFT(RIGHT(CONCATENATE("000",IFAData_TEA!A113),6),3),"-",(RIGHT(RIGHT(CONCATENATE("000",IFAData_TEA!A113),6),3)))</f>
        <v>015-904</v>
      </c>
      <c r="C113" s="2266" t="s">
        <v>822</v>
      </c>
      <c r="D113" s="2266">
        <v>2</v>
      </c>
      <c r="E113" s="2266">
        <v>1868</v>
      </c>
      <c r="F113" s="2266" t="s">
        <v>4852</v>
      </c>
      <c r="G113" s="2266" t="s">
        <v>4854</v>
      </c>
      <c r="H113" s="2436">
        <v>3489913</v>
      </c>
      <c r="I113" s="2436">
        <v>0</v>
      </c>
      <c r="J113" s="2446">
        <v>0</v>
      </c>
      <c r="K113" s="2436"/>
      <c r="L113" s="2436">
        <v>0</v>
      </c>
      <c r="M113" s="2266">
        <v>599</v>
      </c>
    </row>
    <row r="114" spans="1:13" ht="15">
      <c r="A114" s="2266" t="s">
        <v>4024</v>
      </c>
      <c r="B114" s="1694" t="str">
        <f>CONCATENATE(LEFT(RIGHT(CONCATENATE("000",IFAData_TEA!A114),6),3),"-",(RIGHT(RIGHT(CONCATENATE("000",IFAData_TEA!A114),6),3)))</f>
        <v>015-904</v>
      </c>
      <c r="C114" s="2266" t="s">
        <v>822</v>
      </c>
      <c r="D114" s="2266">
        <v>8</v>
      </c>
      <c r="E114" s="2266">
        <v>1866</v>
      </c>
      <c r="F114" s="2266" t="s">
        <v>4861</v>
      </c>
      <c r="G114" s="2266" t="s">
        <v>4862</v>
      </c>
      <c r="H114" s="2436">
        <v>3182950</v>
      </c>
      <c r="I114" s="2436">
        <v>327213</v>
      </c>
      <c r="J114" s="2446">
        <v>0.11045518759251352</v>
      </c>
      <c r="K114" s="2436">
        <v>351573.33934759093</v>
      </c>
      <c r="L114" s="2436">
        <v>327213</v>
      </c>
      <c r="M114" s="2266">
        <v>599</v>
      </c>
    </row>
    <row r="115" spans="1:13" ht="15">
      <c r="A115" s="2266" t="s">
        <v>4024</v>
      </c>
      <c r="B115" s="1694" t="str">
        <f>CONCATENATE(LEFT(RIGHT(CONCATENATE("000",IFAData_TEA!A115),6),3),"-",(RIGHT(RIGHT(CONCATENATE("000",IFAData_TEA!A115),6),3)))</f>
        <v>015-904</v>
      </c>
      <c r="C115" s="2266" t="s">
        <v>822</v>
      </c>
      <c r="D115" s="2266">
        <v>2</v>
      </c>
      <c r="E115" s="2266">
        <v>1868</v>
      </c>
      <c r="F115" s="2266" t="s">
        <v>4852</v>
      </c>
      <c r="G115" s="2266" t="s">
        <v>4852</v>
      </c>
      <c r="H115" s="2436">
        <v>3489913</v>
      </c>
      <c r="I115" s="2436">
        <v>0</v>
      </c>
      <c r="J115" s="2446">
        <v>0</v>
      </c>
      <c r="K115" s="2436"/>
      <c r="L115" s="2436">
        <v>0</v>
      </c>
      <c r="M115" s="2266">
        <v>599</v>
      </c>
    </row>
    <row r="116" spans="1:13" ht="15">
      <c r="A116" s="2266" t="s">
        <v>4024</v>
      </c>
      <c r="B116" s="1694" t="str">
        <f>CONCATENATE(LEFT(RIGHT(CONCATENATE("000",IFAData_TEA!A116),6),3),"-",(RIGHT(RIGHT(CONCATENATE("000",IFAData_TEA!A116),6),3)))</f>
        <v>015-904</v>
      </c>
      <c r="C116" s="2266" t="s">
        <v>822</v>
      </c>
      <c r="D116" s="2266">
        <v>4</v>
      </c>
      <c r="E116" s="2266">
        <v>1869</v>
      </c>
      <c r="F116" s="2266" t="s">
        <v>4857</v>
      </c>
      <c r="G116" s="2266" t="s">
        <v>4857</v>
      </c>
      <c r="H116" s="2436">
        <v>3515081</v>
      </c>
      <c r="I116" s="2436">
        <v>0</v>
      </c>
      <c r="J116" s="2446">
        <v>0</v>
      </c>
      <c r="K116" s="2436">
        <v>0</v>
      </c>
      <c r="L116" s="2436">
        <v>0</v>
      </c>
      <c r="M116" s="2266">
        <v>599</v>
      </c>
    </row>
    <row r="117" spans="1:13" ht="15">
      <c r="A117" s="2266" t="s">
        <v>4024</v>
      </c>
      <c r="B117" s="1694" t="str">
        <f>CONCATENATE(LEFT(RIGHT(CONCATENATE("000",IFAData_TEA!A117),6),3),"-",(RIGHT(RIGHT(CONCATENATE("000",IFAData_TEA!A117),6),3)))</f>
        <v>015-904</v>
      </c>
      <c r="C117" s="2266" t="s">
        <v>822</v>
      </c>
      <c r="D117" s="2266">
        <v>2</v>
      </c>
      <c r="E117" s="2266">
        <v>1868</v>
      </c>
      <c r="F117" s="2266" t="s">
        <v>4852</v>
      </c>
      <c r="G117" s="2266" t="s">
        <v>4853</v>
      </c>
      <c r="H117" s="2436">
        <v>3489913</v>
      </c>
      <c r="I117" s="2436">
        <v>0</v>
      </c>
      <c r="J117" s="2446">
        <v>0</v>
      </c>
      <c r="K117" s="2436"/>
      <c r="L117" s="2436">
        <v>0</v>
      </c>
      <c r="M117" s="2266">
        <v>599</v>
      </c>
    </row>
    <row r="118" spans="1:13" ht="15">
      <c r="A118" s="2266" t="s">
        <v>4024</v>
      </c>
      <c r="B118" s="1694" t="str">
        <f>CONCATENATE(LEFT(RIGHT(CONCATENATE("000",IFAData_TEA!A118),6),3),"-",(RIGHT(RIGHT(CONCATENATE("000",IFAData_TEA!A118),6),3)))</f>
        <v>015-904</v>
      </c>
      <c r="C118" s="2266" t="s">
        <v>822</v>
      </c>
      <c r="D118" s="2266">
        <v>5</v>
      </c>
      <c r="E118" s="2266">
        <v>1867</v>
      </c>
      <c r="F118" s="2266" t="s">
        <v>4859</v>
      </c>
      <c r="G118" s="2266" t="s">
        <v>4854</v>
      </c>
      <c r="H118" s="2436">
        <v>3411660</v>
      </c>
      <c r="I118" s="2436">
        <v>1434980</v>
      </c>
      <c r="J118" s="2446">
        <v>0.44170219315121201</v>
      </c>
      <c r="K118" s="2436">
        <v>1506937.704286264</v>
      </c>
      <c r="L118" s="2436">
        <v>1434980</v>
      </c>
      <c r="M118" s="2266">
        <v>599</v>
      </c>
    </row>
    <row r="119" spans="1:13" ht="15">
      <c r="A119" s="2266" t="s">
        <v>4024</v>
      </c>
      <c r="B119" s="1694" t="str">
        <f>CONCATENATE(LEFT(RIGHT(CONCATENATE("000",IFAData_TEA!A119),6),3),"-",(RIGHT(RIGHT(CONCATENATE("000",IFAData_TEA!A119),6),3)))</f>
        <v>015-904</v>
      </c>
      <c r="C119" s="2266" t="s">
        <v>822</v>
      </c>
      <c r="D119" s="2266">
        <v>4</v>
      </c>
      <c r="E119" s="2266">
        <v>1869</v>
      </c>
      <c r="F119" s="2266" t="s">
        <v>4857</v>
      </c>
      <c r="G119" s="2266" t="s">
        <v>6911</v>
      </c>
      <c r="H119" s="2436">
        <v>3515081</v>
      </c>
      <c r="I119" s="2436">
        <v>891147</v>
      </c>
      <c r="J119" s="2446">
        <v>1</v>
      </c>
      <c r="K119" s="2436">
        <v>3515081</v>
      </c>
      <c r="L119" s="2436">
        <v>891147</v>
      </c>
      <c r="M119" s="2266">
        <v>599</v>
      </c>
    </row>
    <row r="120" spans="1:13" ht="15">
      <c r="A120" s="2266" t="s">
        <v>4024</v>
      </c>
      <c r="B120" s="1694" t="str">
        <f>CONCATENATE(LEFT(RIGHT(CONCATENATE("000",IFAData_TEA!A120),6),3),"-",(RIGHT(RIGHT(CONCATENATE("000",IFAData_TEA!A120),6),3)))</f>
        <v>015-904</v>
      </c>
      <c r="C120" s="2266" t="s">
        <v>822</v>
      </c>
      <c r="D120" s="2266">
        <v>2</v>
      </c>
      <c r="E120" s="2266">
        <v>1868</v>
      </c>
      <c r="F120" s="2266" t="s">
        <v>4852</v>
      </c>
      <c r="G120" s="2266" t="s">
        <v>4855</v>
      </c>
      <c r="H120" s="2436">
        <v>3489913</v>
      </c>
      <c r="I120" s="2436">
        <v>0</v>
      </c>
      <c r="J120" s="2446">
        <v>0</v>
      </c>
      <c r="K120" s="2436"/>
      <c r="L120" s="2436">
        <v>0</v>
      </c>
      <c r="M120" s="2266">
        <v>599</v>
      </c>
    </row>
    <row r="121" spans="1:13" ht="15">
      <c r="A121" s="2266" t="s">
        <v>4024</v>
      </c>
      <c r="B121" s="1694" t="str">
        <f>CONCATENATE(LEFT(RIGHT(CONCATENATE("000",IFAData_TEA!A121),6),3),"-",(RIGHT(RIGHT(CONCATENATE("000",IFAData_TEA!A121),6),3)))</f>
        <v>015-904</v>
      </c>
      <c r="C121" s="2266" t="s">
        <v>822</v>
      </c>
      <c r="D121" s="2266">
        <v>8</v>
      </c>
      <c r="E121" s="2266">
        <v>1866</v>
      </c>
      <c r="F121" s="2266" t="s">
        <v>4861</v>
      </c>
      <c r="G121" s="2266" t="s">
        <v>4861</v>
      </c>
      <c r="H121" s="2436">
        <v>3182950</v>
      </c>
      <c r="I121" s="2436">
        <v>1505893</v>
      </c>
      <c r="J121" s="2446">
        <v>0.50833461326185991</v>
      </c>
      <c r="K121" s="2436">
        <v>1618003.657281837</v>
      </c>
      <c r="L121" s="2436">
        <v>1505893</v>
      </c>
      <c r="M121" s="2266">
        <v>599</v>
      </c>
    </row>
    <row r="122" spans="1:13" ht="15">
      <c r="A122" s="2266" t="s">
        <v>4024</v>
      </c>
      <c r="B122" s="1694" t="str">
        <f>CONCATENATE(LEFT(RIGHT(CONCATENATE("000",IFAData_TEA!A122),6),3),"-",(RIGHT(RIGHT(CONCATENATE("000",IFAData_TEA!A122),6),3)))</f>
        <v>015-904</v>
      </c>
      <c r="C122" s="2266" t="s">
        <v>822</v>
      </c>
      <c r="D122" s="2266">
        <v>8</v>
      </c>
      <c r="E122" s="2266">
        <v>1866</v>
      </c>
      <c r="F122" s="2266" t="s">
        <v>4861</v>
      </c>
      <c r="G122" s="2266" t="s">
        <v>6912</v>
      </c>
      <c r="H122" s="2436">
        <v>3182950</v>
      </c>
      <c r="I122" s="2436">
        <v>423818</v>
      </c>
      <c r="J122" s="2446">
        <v>0.14306551602498646</v>
      </c>
      <c r="K122" s="2436">
        <v>455370.38423173066</v>
      </c>
      <c r="L122" s="2436">
        <v>423818</v>
      </c>
      <c r="M122" s="2266">
        <v>599</v>
      </c>
    </row>
    <row r="123" spans="1:13" ht="15">
      <c r="A123" s="2266" t="s">
        <v>4024</v>
      </c>
      <c r="B123" s="1694" t="str">
        <f>CONCATENATE(LEFT(RIGHT(CONCATENATE("000",IFAData_TEA!A123),6),3),"-",(RIGHT(RIGHT(CONCATENATE("000",IFAData_TEA!A123),6),3)))</f>
        <v>015-904</v>
      </c>
      <c r="C123" s="2266" t="s">
        <v>822</v>
      </c>
      <c r="D123" s="2266">
        <v>2</v>
      </c>
      <c r="E123" s="2266">
        <v>1868</v>
      </c>
      <c r="F123" s="2266" t="s">
        <v>4852</v>
      </c>
      <c r="G123" s="2266" t="s">
        <v>4856</v>
      </c>
      <c r="H123" s="2436">
        <v>3489913</v>
      </c>
      <c r="I123" s="2436">
        <v>0</v>
      </c>
      <c r="J123" s="2446">
        <v>0</v>
      </c>
      <c r="K123" s="2436"/>
      <c r="L123" s="2436">
        <v>0</v>
      </c>
      <c r="M123" s="2266">
        <v>599</v>
      </c>
    </row>
    <row r="124" spans="1:13" ht="15">
      <c r="A124" s="2266" t="s">
        <v>4024</v>
      </c>
      <c r="B124" s="1694" t="str">
        <f>CONCATENATE(LEFT(RIGHT(CONCATENATE("000",IFAData_TEA!A124),6),3),"-",(RIGHT(RIGHT(CONCATENATE("000",IFAData_TEA!A124),6),3)))</f>
        <v>015-904</v>
      </c>
      <c r="C124" s="2266" t="s">
        <v>822</v>
      </c>
      <c r="D124" s="2266">
        <v>8</v>
      </c>
      <c r="E124" s="2266">
        <v>1866</v>
      </c>
      <c r="F124" s="2266" t="s">
        <v>4861</v>
      </c>
      <c r="G124" s="2266" t="s">
        <v>6913</v>
      </c>
      <c r="H124" s="2436">
        <v>3182950</v>
      </c>
      <c r="I124" s="2436">
        <v>365181</v>
      </c>
      <c r="J124" s="2446">
        <v>0.1232718011210486</v>
      </c>
      <c r="K124" s="2436">
        <v>392367.97937824164</v>
      </c>
      <c r="L124" s="2436">
        <v>365181</v>
      </c>
      <c r="M124" s="2266">
        <v>599</v>
      </c>
    </row>
    <row r="125" spans="1:13" ht="15">
      <c r="A125" s="2266" t="s">
        <v>4024</v>
      </c>
      <c r="B125" s="1694" t="str">
        <f>CONCATENATE(LEFT(RIGHT(CONCATENATE("000",IFAData_TEA!A125),6),3),"-",(RIGHT(RIGHT(CONCATENATE("000",IFAData_TEA!A125),6),3)))</f>
        <v>015-904</v>
      </c>
      <c r="C125" s="2266" t="s">
        <v>822</v>
      </c>
      <c r="D125" s="2266">
        <v>4</v>
      </c>
      <c r="E125" s="2266">
        <v>1869</v>
      </c>
      <c r="F125" s="2266" t="s">
        <v>4857</v>
      </c>
      <c r="G125" s="2266" t="s">
        <v>4855</v>
      </c>
      <c r="H125" s="2436">
        <v>3515081</v>
      </c>
      <c r="I125" s="2436">
        <v>0</v>
      </c>
      <c r="J125" s="2446">
        <v>0</v>
      </c>
      <c r="K125" s="2436">
        <v>0</v>
      </c>
      <c r="L125" s="2436">
        <v>0</v>
      </c>
      <c r="M125" s="2266">
        <v>599</v>
      </c>
    </row>
    <row r="126" spans="1:13" ht="15">
      <c r="A126" s="2266" t="s">
        <v>4024</v>
      </c>
      <c r="B126" s="1694" t="str">
        <f>CONCATENATE(LEFT(RIGHT(CONCATENATE("000",IFAData_TEA!A126),6),3),"-",(RIGHT(RIGHT(CONCATENATE("000",IFAData_TEA!A126),6),3)))</f>
        <v>015-904</v>
      </c>
      <c r="C126" s="2266" t="s">
        <v>822</v>
      </c>
      <c r="D126" s="2266">
        <v>5</v>
      </c>
      <c r="E126" s="2266">
        <v>1867</v>
      </c>
      <c r="F126" s="2266" t="s">
        <v>4859</v>
      </c>
      <c r="G126" s="2266" t="s">
        <v>4853</v>
      </c>
      <c r="H126" s="2436">
        <v>3411660</v>
      </c>
      <c r="I126" s="2436">
        <v>1367378</v>
      </c>
      <c r="J126" s="2446">
        <v>0.42089357445171222</v>
      </c>
      <c r="K126" s="2436">
        <v>1435945.7722139284</v>
      </c>
      <c r="L126" s="2436">
        <v>1367378</v>
      </c>
      <c r="M126" s="2266">
        <v>599</v>
      </c>
    </row>
    <row r="127" spans="1:13" ht="15">
      <c r="A127" s="2266" t="s">
        <v>4024</v>
      </c>
      <c r="B127" s="1694" t="str">
        <f>CONCATENATE(LEFT(RIGHT(CONCATENATE("000",IFAData_TEA!A127),6),3),"-",(RIGHT(RIGHT(CONCATENATE("000",IFAData_TEA!A127),6),3)))</f>
        <v>015-904</v>
      </c>
      <c r="C127" s="2266" t="s">
        <v>822</v>
      </c>
      <c r="D127" s="2266">
        <v>5</v>
      </c>
      <c r="E127" s="2266">
        <v>1867</v>
      </c>
      <c r="F127" s="2266" t="s">
        <v>4859</v>
      </c>
      <c r="G127" s="2266" t="s">
        <v>4860</v>
      </c>
      <c r="H127" s="2436">
        <v>3411660</v>
      </c>
      <c r="I127" s="2436">
        <v>239500</v>
      </c>
      <c r="J127" s="2446">
        <v>7.3720661792997313E-2</v>
      </c>
      <c r="K127" s="2436">
        <v>251509.83301269723</v>
      </c>
      <c r="L127" s="2436">
        <v>239500</v>
      </c>
      <c r="M127" s="2266">
        <v>599</v>
      </c>
    </row>
    <row r="128" spans="1:13" ht="15">
      <c r="A128" s="2266" t="s">
        <v>4024</v>
      </c>
      <c r="B128" s="1694" t="str">
        <f>CONCATENATE(LEFT(RIGHT(CONCATENATE("000",IFAData_TEA!A128),6),3),"-",(RIGHT(RIGHT(CONCATENATE("000",IFAData_TEA!A128),6),3)))</f>
        <v>015-904</v>
      </c>
      <c r="C128" s="2266" t="s">
        <v>822</v>
      </c>
      <c r="D128" s="2266">
        <v>8</v>
      </c>
      <c r="E128" s="2266">
        <v>1866</v>
      </c>
      <c r="F128" s="2266" t="s">
        <v>4861</v>
      </c>
      <c r="G128" s="2266" t="s">
        <v>4863</v>
      </c>
      <c r="H128" s="2436">
        <v>3182950</v>
      </c>
      <c r="I128" s="2436">
        <v>340300</v>
      </c>
      <c r="J128" s="2446">
        <v>0.11487288199959154</v>
      </c>
      <c r="K128" s="2436">
        <v>365634.63976059988</v>
      </c>
      <c r="L128" s="2436">
        <v>340300</v>
      </c>
      <c r="M128" s="2266">
        <v>599</v>
      </c>
    </row>
    <row r="129" spans="1:13" ht="15">
      <c r="A129" s="2266" t="s">
        <v>4024</v>
      </c>
      <c r="B129" s="1694" t="str">
        <f>CONCATENATE(LEFT(RIGHT(CONCATENATE("000",IFAData_TEA!A129),6),3),"-",(RIGHT(RIGHT(CONCATENATE("000",IFAData_TEA!A129),6),3)))</f>
        <v>015-904</v>
      </c>
      <c r="C129" s="2266" t="s">
        <v>822</v>
      </c>
      <c r="D129" s="2266">
        <v>5</v>
      </c>
      <c r="E129" s="2266">
        <v>1867</v>
      </c>
      <c r="F129" s="2266" t="s">
        <v>4859</v>
      </c>
      <c r="G129" s="2266" t="s">
        <v>4859</v>
      </c>
      <c r="H129" s="2436">
        <v>3411660</v>
      </c>
      <c r="I129" s="2436">
        <v>0</v>
      </c>
      <c r="J129" s="2446">
        <v>0</v>
      </c>
      <c r="K129" s="2436">
        <v>0</v>
      </c>
      <c r="L129" s="2436">
        <v>0</v>
      </c>
      <c r="M129" s="2266">
        <v>599</v>
      </c>
    </row>
    <row r="130" spans="1:13" ht="15">
      <c r="A130" s="2266" t="s">
        <v>4024</v>
      </c>
      <c r="B130" s="1694" t="str">
        <f>CONCATENATE(LEFT(RIGHT(CONCATENATE("000",IFAData_TEA!A130),6),3),"-",(RIGHT(RIGHT(CONCATENATE("000",IFAData_TEA!A130),6),3)))</f>
        <v>015-904</v>
      </c>
      <c r="C130" s="2266" t="s">
        <v>822</v>
      </c>
      <c r="D130" s="2266">
        <v>4</v>
      </c>
      <c r="E130" s="2266">
        <v>1869</v>
      </c>
      <c r="F130" s="2266" t="s">
        <v>4857</v>
      </c>
      <c r="G130" s="2266" t="s">
        <v>4853</v>
      </c>
      <c r="H130" s="2436">
        <v>3515081</v>
      </c>
      <c r="I130" s="2436">
        <v>0</v>
      </c>
      <c r="J130" s="2446">
        <v>0</v>
      </c>
      <c r="K130" s="2436">
        <v>0</v>
      </c>
      <c r="L130" s="2436">
        <v>0</v>
      </c>
      <c r="M130" s="2266">
        <v>599</v>
      </c>
    </row>
    <row r="131" spans="1:13" ht="15">
      <c r="A131" s="2266" t="s">
        <v>4025</v>
      </c>
      <c r="B131" s="1694" t="str">
        <f>CONCATENATE(LEFT(RIGHT(CONCATENATE("000",IFAData_TEA!A131),6),3),"-",(RIGHT(RIGHT(CONCATENATE("000",IFAData_TEA!A131),6),3)))</f>
        <v>015-905</v>
      </c>
      <c r="C131" s="2266" t="s">
        <v>1000</v>
      </c>
      <c r="D131" s="2266">
        <v>5</v>
      </c>
      <c r="E131" s="2266">
        <v>1793</v>
      </c>
      <c r="F131" s="2266" t="s">
        <v>4870</v>
      </c>
      <c r="G131" s="2266" t="s">
        <v>6914</v>
      </c>
      <c r="H131" s="2436">
        <v>2880403</v>
      </c>
      <c r="I131" s="2436">
        <v>86930</v>
      </c>
      <c r="J131" s="2446">
        <v>3.4976416166644334E-2</v>
      </c>
      <c r="K131" s="2436">
        <v>100746.17405565084</v>
      </c>
      <c r="L131" s="2436">
        <v>86930</v>
      </c>
      <c r="M131" s="2266">
        <v>599</v>
      </c>
    </row>
    <row r="132" spans="1:13" ht="15">
      <c r="A132" s="2266" t="s">
        <v>4025</v>
      </c>
      <c r="B132" s="1694" t="str">
        <f>CONCATENATE(LEFT(RIGHT(CONCATENATE("000",IFAData_TEA!A132),6),3),"-",(RIGHT(RIGHT(CONCATENATE("000",IFAData_TEA!A132),6),3)))</f>
        <v>015-905</v>
      </c>
      <c r="C132" s="2266" t="s">
        <v>1000</v>
      </c>
      <c r="D132" s="2266">
        <v>5</v>
      </c>
      <c r="E132" s="2266">
        <v>1793</v>
      </c>
      <c r="F132" s="2266" t="s">
        <v>4870</v>
      </c>
      <c r="G132" s="2266" t="s">
        <v>4870</v>
      </c>
      <c r="H132" s="2436">
        <v>2880403</v>
      </c>
      <c r="I132" s="2436">
        <v>0</v>
      </c>
      <c r="J132" s="2446">
        <v>0</v>
      </c>
      <c r="K132" s="2436">
        <v>0</v>
      </c>
      <c r="L132" s="2436">
        <v>0</v>
      </c>
      <c r="M132" s="2266">
        <v>599</v>
      </c>
    </row>
    <row r="133" spans="1:13" ht="15">
      <c r="A133" s="2266" t="s">
        <v>4025</v>
      </c>
      <c r="B133" s="1694" t="str">
        <f>CONCATENATE(LEFT(RIGHT(CONCATENATE("000",IFAData_TEA!A133),6),3),"-",(RIGHT(RIGHT(CONCATENATE("000",IFAData_TEA!A133),6),3)))</f>
        <v>015-905</v>
      </c>
      <c r="C133" s="2266" t="s">
        <v>1000</v>
      </c>
      <c r="D133" s="2266">
        <v>1</v>
      </c>
      <c r="E133" s="2266">
        <v>1790</v>
      </c>
      <c r="F133" s="2266" t="s">
        <v>4864</v>
      </c>
      <c r="G133" s="2266" t="s">
        <v>4865</v>
      </c>
      <c r="H133" s="2436">
        <v>394754</v>
      </c>
      <c r="I133" s="2436">
        <v>357521</v>
      </c>
      <c r="J133" s="2446">
        <v>0.86760937302827634</v>
      </c>
      <c r="K133" s="2436">
        <v>342492.27044040419</v>
      </c>
      <c r="L133" s="2436">
        <v>342492.27044040419</v>
      </c>
      <c r="M133" s="2266">
        <v>599</v>
      </c>
    </row>
    <row r="134" spans="1:13" ht="15">
      <c r="A134" s="2266" t="s">
        <v>4025</v>
      </c>
      <c r="B134" s="1694" t="str">
        <f>CONCATENATE(LEFT(RIGHT(CONCATENATE("000",IFAData_TEA!A134),6),3),"-",(RIGHT(RIGHT(CONCATENATE("000",IFAData_TEA!A134),6),3)))</f>
        <v>015-905</v>
      </c>
      <c r="C134" s="2266" t="s">
        <v>1000</v>
      </c>
      <c r="D134" s="2266">
        <v>2</v>
      </c>
      <c r="E134" s="2266">
        <v>1791</v>
      </c>
      <c r="F134" s="2266" t="s">
        <v>4868</v>
      </c>
      <c r="G134" s="2266" t="s">
        <v>4868</v>
      </c>
      <c r="H134" s="2436">
        <v>591537</v>
      </c>
      <c r="I134" s="2436">
        <v>0</v>
      </c>
      <c r="J134" s="2446">
        <v>0</v>
      </c>
      <c r="K134" s="2436">
        <v>0</v>
      </c>
      <c r="L134" s="2436">
        <v>0</v>
      </c>
      <c r="M134" s="2266">
        <v>599</v>
      </c>
    </row>
    <row r="135" spans="1:13" ht="15">
      <c r="A135" s="2266" t="s">
        <v>4025</v>
      </c>
      <c r="B135" s="1694" t="str">
        <f>CONCATENATE(LEFT(RIGHT(CONCATENATE("000",IFAData_TEA!A135),6),3),"-",(RIGHT(RIGHT(CONCATENATE("000",IFAData_TEA!A135),6),3)))</f>
        <v>015-905</v>
      </c>
      <c r="C135" s="2266" t="s">
        <v>1000</v>
      </c>
      <c r="D135" s="2266">
        <v>1</v>
      </c>
      <c r="E135" s="2266">
        <v>1789</v>
      </c>
      <c r="F135" s="2266" t="s">
        <v>4866</v>
      </c>
      <c r="G135" s="2266" t="s">
        <v>4865</v>
      </c>
      <c r="H135" s="2436">
        <v>355472</v>
      </c>
      <c r="I135" s="2436">
        <v>270307</v>
      </c>
      <c r="J135" s="2446">
        <v>0.76969096412473059</v>
      </c>
      <c r="K135" s="2436">
        <v>273603.58639934624</v>
      </c>
      <c r="L135" s="2436">
        <v>270307</v>
      </c>
      <c r="M135" s="2266">
        <v>599</v>
      </c>
    </row>
    <row r="136" spans="1:13" ht="15">
      <c r="A136" s="2266" t="s">
        <v>4025</v>
      </c>
      <c r="B136" s="1694" t="str">
        <f>CONCATENATE(LEFT(RIGHT(CONCATENATE("000",IFAData_TEA!A136),6),3),"-",(RIGHT(RIGHT(CONCATENATE("000",IFAData_TEA!A136),6),3)))</f>
        <v>015-905</v>
      </c>
      <c r="C136" s="2266" t="s">
        <v>1000</v>
      </c>
      <c r="D136" s="2266">
        <v>2</v>
      </c>
      <c r="E136" s="2266">
        <v>1791</v>
      </c>
      <c r="F136" s="2266" t="s">
        <v>4868</v>
      </c>
      <c r="G136" s="2266" t="s">
        <v>6914</v>
      </c>
      <c r="H136" s="2436">
        <v>591537</v>
      </c>
      <c r="I136" s="2436">
        <v>89381</v>
      </c>
      <c r="J136" s="2446">
        <v>0.1366159724875812</v>
      </c>
      <c r="K136" s="2436">
        <v>80813.402517386319</v>
      </c>
      <c r="L136" s="2436">
        <v>80813.402517386319</v>
      </c>
      <c r="M136" s="2266">
        <v>599</v>
      </c>
    </row>
    <row r="137" spans="1:13" ht="15">
      <c r="A137" s="2266" t="s">
        <v>4025</v>
      </c>
      <c r="B137" s="1694" t="str">
        <f>CONCATENATE(LEFT(RIGHT(CONCATENATE("000",IFAData_TEA!A137),6),3),"-",(RIGHT(RIGHT(CONCATENATE("000",IFAData_TEA!A137),6),3)))</f>
        <v>015-905</v>
      </c>
      <c r="C137" s="2266" t="s">
        <v>1000</v>
      </c>
      <c r="D137" s="2266">
        <v>1</v>
      </c>
      <c r="E137" s="2266">
        <v>1790</v>
      </c>
      <c r="F137" s="2266" t="s">
        <v>4864</v>
      </c>
      <c r="G137" s="2266" t="s">
        <v>6914</v>
      </c>
      <c r="H137" s="2436">
        <v>394754</v>
      </c>
      <c r="I137" s="2436">
        <v>54555</v>
      </c>
      <c r="J137" s="2446">
        <v>0.13239062697172366</v>
      </c>
      <c r="K137" s="2436">
        <v>52261.729559595798</v>
      </c>
      <c r="L137" s="2436">
        <v>52261.729559595798</v>
      </c>
      <c r="M137" s="2266">
        <v>599</v>
      </c>
    </row>
    <row r="138" spans="1:13" ht="15">
      <c r="A138" s="2266" t="s">
        <v>4025</v>
      </c>
      <c r="B138" s="1694" t="str">
        <f>CONCATENATE(LEFT(RIGHT(CONCATENATE("000",IFAData_TEA!A138),6),3),"-",(RIGHT(RIGHT(CONCATENATE("000",IFAData_TEA!A138),6),3)))</f>
        <v>015-905</v>
      </c>
      <c r="C138" s="2266" t="s">
        <v>1000</v>
      </c>
      <c r="D138" s="2266">
        <v>5</v>
      </c>
      <c r="E138" s="2266">
        <v>1793</v>
      </c>
      <c r="F138" s="2266" t="s">
        <v>4870</v>
      </c>
      <c r="G138" s="2266" t="s">
        <v>4867</v>
      </c>
      <c r="H138" s="2436">
        <v>2880403</v>
      </c>
      <c r="I138" s="2436">
        <v>1178900</v>
      </c>
      <c r="J138" s="2446">
        <v>0.47433218703390095</v>
      </c>
      <c r="K138" s="2436">
        <v>1366267.8545290094</v>
      </c>
      <c r="L138" s="2436">
        <v>1178900</v>
      </c>
      <c r="M138" s="2266">
        <v>599</v>
      </c>
    </row>
    <row r="139" spans="1:13" ht="15">
      <c r="A139" s="2266" t="s">
        <v>4025</v>
      </c>
      <c r="B139" s="1694" t="str">
        <f>CONCATENATE(LEFT(RIGHT(CONCATENATE("000",IFAData_TEA!A139),6),3),"-",(RIGHT(RIGHT(CONCATENATE("000",IFAData_TEA!A139),6),3)))</f>
        <v>015-905</v>
      </c>
      <c r="C139" s="2266" t="s">
        <v>1000</v>
      </c>
      <c r="D139" s="2266">
        <v>1</v>
      </c>
      <c r="E139" s="2266">
        <v>1789</v>
      </c>
      <c r="F139" s="2266" t="s">
        <v>4866</v>
      </c>
      <c r="G139" s="2266" t="s">
        <v>4866</v>
      </c>
      <c r="H139" s="2436">
        <v>355472</v>
      </c>
      <c r="I139" s="2436">
        <v>0</v>
      </c>
      <c r="J139" s="2446">
        <v>0</v>
      </c>
      <c r="K139" s="2436">
        <v>0</v>
      </c>
      <c r="L139" s="2436">
        <v>0</v>
      </c>
      <c r="M139" s="2266">
        <v>599</v>
      </c>
    </row>
    <row r="140" spans="1:13" ht="15">
      <c r="A140" s="2266" t="s">
        <v>4025</v>
      </c>
      <c r="B140" s="1694" t="str">
        <f>CONCATENATE(LEFT(RIGHT(CONCATENATE("000",IFAData_TEA!A140),6),3),"-",(RIGHT(RIGHT(CONCATENATE("000",IFAData_TEA!A140),6),3)))</f>
        <v>015-905</v>
      </c>
      <c r="C140" s="2266" t="s">
        <v>1000</v>
      </c>
      <c r="D140" s="2266">
        <v>1</v>
      </c>
      <c r="E140" s="2266">
        <v>1790</v>
      </c>
      <c r="F140" s="2266" t="s">
        <v>4864</v>
      </c>
      <c r="G140" s="2266" t="s">
        <v>4864</v>
      </c>
      <c r="H140" s="2436">
        <v>394754</v>
      </c>
      <c r="I140" s="2436">
        <v>0</v>
      </c>
      <c r="J140" s="2446">
        <v>0</v>
      </c>
      <c r="K140" s="2436">
        <v>0</v>
      </c>
      <c r="L140" s="2436">
        <v>0</v>
      </c>
      <c r="M140" s="2266">
        <v>599</v>
      </c>
    </row>
    <row r="141" spans="1:13" ht="15">
      <c r="A141" s="2266" t="s">
        <v>4025</v>
      </c>
      <c r="B141" s="1694" t="str">
        <f>CONCATENATE(LEFT(RIGHT(CONCATENATE("000",IFAData_TEA!A141),6),3),"-",(RIGHT(RIGHT(CONCATENATE("000",IFAData_TEA!A141),6),3)))</f>
        <v>015-905</v>
      </c>
      <c r="C141" s="2266" t="s">
        <v>1000</v>
      </c>
      <c r="D141" s="2266">
        <v>5</v>
      </c>
      <c r="E141" s="2266">
        <v>1793</v>
      </c>
      <c r="F141" s="2266" t="s">
        <v>4870</v>
      </c>
      <c r="G141" s="2266" t="s">
        <v>4865</v>
      </c>
      <c r="H141" s="2436">
        <v>2880403</v>
      </c>
      <c r="I141" s="2436">
        <v>1219559</v>
      </c>
      <c r="J141" s="2446">
        <v>0.49069139679945473</v>
      </c>
      <c r="K141" s="2436">
        <v>1413388.9714153397</v>
      </c>
      <c r="L141" s="2436">
        <v>1219559</v>
      </c>
      <c r="M141" s="2266">
        <v>599</v>
      </c>
    </row>
    <row r="142" spans="1:13" ht="15">
      <c r="A142" s="2266" t="s">
        <v>4025</v>
      </c>
      <c r="B142" s="1694" t="str">
        <f>CONCATENATE(LEFT(RIGHT(CONCATENATE("000",IFAData_TEA!A142),6),3),"-",(RIGHT(RIGHT(CONCATENATE("000",IFAData_TEA!A142),6),3)))</f>
        <v>015-905</v>
      </c>
      <c r="C142" s="2266" t="s">
        <v>1000</v>
      </c>
      <c r="D142" s="2266">
        <v>2</v>
      </c>
      <c r="E142" s="2266">
        <v>1791</v>
      </c>
      <c r="F142" s="2266" t="s">
        <v>4868</v>
      </c>
      <c r="G142" s="2266" t="s">
        <v>4865</v>
      </c>
      <c r="H142" s="2436">
        <v>591537</v>
      </c>
      <c r="I142" s="2436">
        <v>564869</v>
      </c>
      <c r="J142" s="2446">
        <v>0.86338402751241883</v>
      </c>
      <c r="K142" s="2436">
        <v>510723.5974826137</v>
      </c>
      <c r="L142" s="2436">
        <v>510723.5974826137</v>
      </c>
      <c r="M142" s="2266">
        <v>599</v>
      </c>
    </row>
    <row r="143" spans="1:13" ht="15">
      <c r="A143" s="2266" t="s">
        <v>4025</v>
      </c>
      <c r="B143" s="1694" t="str">
        <f>CONCATENATE(LEFT(RIGHT(CONCATENATE("000",IFAData_TEA!A143),6),3),"-",(RIGHT(RIGHT(CONCATENATE("000",IFAData_TEA!A143),6),3)))</f>
        <v>015-905</v>
      </c>
      <c r="C143" s="2266" t="s">
        <v>1000</v>
      </c>
      <c r="D143" s="2266">
        <v>2</v>
      </c>
      <c r="E143" s="2266">
        <v>1792</v>
      </c>
      <c r="F143" s="2266" t="s">
        <v>4869</v>
      </c>
      <c r="G143" s="2266" t="s">
        <v>4869</v>
      </c>
      <c r="H143" s="2436">
        <v>892783</v>
      </c>
      <c r="I143" s="2436">
        <v>0</v>
      </c>
      <c r="J143" s="2446">
        <v>0</v>
      </c>
      <c r="K143" s="2436"/>
      <c r="L143" s="2436">
        <v>0</v>
      </c>
      <c r="M143" s="2266">
        <v>199</v>
      </c>
    </row>
    <row r="144" spans="1:13" ht="15">
      <c r="A144" s="2266" t="s">
        <v>4025</v>
      </c>
      <c r="B144" s="1694" t="str">
        <f>CONCATENATE(LEFT(RIGHT(CONCATENATE("000",IFAData_TEA!A144),6),3),"-",(RIGHT(RIGHT(CONCATENATE("000",IFAData_TEA!A144),6),3)))</f>
        <v>015-905</v>
      </c>
      <c r="C144" s="2266" t="s">
        <v>1000</v>
      </c>
      <c r="D144" s="2266">
        <v>7</v>
      </c>
      <c r="E144" s="2266">
        <v>1794</v>
      </c>
      <c r="F144" s="2266" t="s">
        <v>4871</v>
      </c>
      <c r="G144" s="2266" t="s">
        <v>4871</v>
      </c>
      <c r="H144" s="2436">
        <v>3107457</v>
      </c>
      <c r="I144" s="2436">
        <v>0</v>
      </c>
      <c r="J144" s="2446">
        <v>0</v>
      </c>
      <c r="K144" s="2436">
        <v>0</v>
      </c>
      <c r="L144" s="2436">
        <v>0</v>
      </c>
      <c r="M144" s="2266">
        <v>599</v>
      </c>
    </row>
    <row r="145" spans="1:13" ht="15">
      <c r="A145" s="2266" t="s">
        <v>4025</v>
      </c>
      <c r="B145" s="1694" t="str">
        <f>CONCATENATE(LEFT(RIGHT(CONCATENATE("000",IFAData_TEA!A145),6),3),"-",(RIGHT(RIGHT(CONCATENATE("000",IFAData_TEA!A145),6),3)))</f>
        <v>015-905</v>
      </c>
      <c r="C145" s="2266" t="s">
        <v>1000</v>
      </c>
      <c r="D145" s="2266">
        <v>1</v>
      </c>
      <c r="E145" s="2266">
        <v>1789</v>
      </c>
      <c r="F145" s="2266" t="s">
        <v>4866</v>
      </c>
      <c r="G145" s="2266" t="s">
        <v>6914</v>
      </c>
      <c r="H145" s="2436">
        <v>355472</v>
      </c>
      <c r="I145" s="2436">
        <v>32733</v>
      </c>
      <c r="J145" s="2446">
        <v>9.3206222290561497E-2</v>
      </c>
      <c r="K145" s="2436">
        <v>33132.202250070477</v>
      </c>
      <c r="L145" s="2436">
        <v>32733</v>
      </c>
      <c r="M145" s="2266">
        <v>599</v>
      </c>
    </row>
    <row r="146" spans="1:13" ht="15">
      <c r="A146" s="2266" t="s">
        <v>4025</v>
      </c>
      <c r="B146" s="1694" t="str">
        <f>CONCATENATE(LEFT(RIGHT(CONCATENATE("000",IFAData_TEA!A146),6),3),"-",(RIGHT(RIGHT(CONCATENATE("000",IFAData_TEA!A146),6),3)))</f>
        <v>015-905</v>
      </c>
      <c r="C146" s="2266" t="s">
        <v>1000</v>
      </c>
      <c r="D146" s="2266">
        <v>1</v>
      </c>
      <c r="E146" s="2266">
        <v>1789</v>
      </c>
      <c r="F146" s="2266" t="s">
        <v>4866</v>
      </c>
      <c r="G146" s="2266" t="s">
        <v>4867</v>
      </c>
      <c r="H146" s="2436">
        <v>355472</v>
      </c>
      <c r="I146" s="2436">
        <v>48149</v>
      </c>
      <c r="J146" s="2446">
        <v>0.13710281358470794</v>
      </c>
      <c r="K146" s="2436">
        <v>48736.211350583304</v>
      </c>
      <c r="L146" s="2436">
        <v>48149</v>
      </c>
      <c r="M146" s="2266">
        <v>599</v>
      </c>
    </row>
    <row r="147" spans="1:13" ht="15">
      <c r="A147" s="2266" t="s">
        <v>4025</v>
      </c>
      <c r="B147" s="1694" t="str">
        <f>CONCATENATE(LEFT(RIGHT(CONCATENATE("000",IFAData_TEA!A147),6),3),"-",(RIGHT(RIGHT(CONCATENATE("000",IFAData_TEA!A147),6),3)))</f>
        <v>015-905</v>
      </c>
      <c r="C147" s="2266" t="s">
        <v>1000</v>
      </c>
      <c r="D147" s="2266">
        <v>7</v>
      </c>
      <c r="E147" s="2266">
        <v>1794</v>
      </c>
      <c r="F147" s="2266" t="s">
        <v>4871</v>
      </c>
      <c r="G147" s="2266" t="s">
        <v>4872</v>
      </c>
      <c r="H147" s="2436">
        <v>3107457</v>
      </c>
      <c r="I147" s="2436">
        <v>2809094</v>
      </c>
      <c r="J147" s="2446">
        <v>1</v>
      </c>
      <c r="K147" s="2436">
        <v>3107457</v>
      </c>
      <c r="L147" s="2436">
        <v>2809094</v>
      </c>
      <c r="M147" s="2266">
        <v>599</v>
      </c>
    </row>
    <row r="148" spans="1:13" ht="15">
      <c r="A148" s="2266" t="s">
        <v>4026</v>
      </c>
      <c r="B148" s="1694" t="str">
        <f>CONCATENATE(LEFT(RIGHT(CONCATENATE("000",IFAData_TEA!A148),6),3),"-",(RIGHT(RIGHT(CONCATENATE("000",IFAData_TEA!A148),6),3)))</f>
        <v>015-907</v>
      </c>
      <c r="C148" s="2266" t="s">
        <v>2308</v>
      </c>
      <c r="D148" s="2266">
        <v>1</v>
      </c>
      <c r="E148" s="2266">
        <v>2281</v>
      </c>
      <c r="F148" s="2266" t="s">
        <v>4873</v>
      </c>
      <c r="G148" s="2266" t="s">
        <v>4875</v>
      </c>
      <c r="H148" s="2436">
        <v>13875000</v>
      </c>
      <c r="I148" s="2436">
        <v>15587190</v>
      </c>
      <c r="J148" s="2446">
        <v>0.92990986063513492</v>
      </c>
      <c r="K148" s="2436">
        <v>12902499.316312497</v>
      </c>
      <c r="L148" s="2436">
        <v>12902499.316312497</v>
      </c>
      <c r="M148" s="2266">
        <v>599</v>
      </c>
    </row>
    <row r="149" spans="1:13" ht="15">
      <c r="A149" s="2266" t="s">
        <v>4026</v>
      </c>
      <c r="B149" s="1694" t="str">
        <f>CONCATENATE(LEFT(RIGHT(CONCATENATE("000",IFAData_TEA!A149),6),3),"-",(RIGHT(RIGHT(CONCATENATE("000",IFAData_TEA!A149),6),3)))</f>
        <v>015-907</v>
      </c>
      <c r="C149" s="2266" t="s">
        <v>2308</v>
      </c>
      <c r="D149" s="2266">
        <v>1</v>
      </c>
      <c r="E149" s="2266">
        <v>2281</v>
      </c>
      <c r="F149" s="2266" t="s">
        <v>4873</v>
      </c>
      <c r="G149" s="2266" t="s">
        <v>4874</v>
      </c>
      <c r="H149" s="2436">
        <v>13875000</v>
      </c>
      <c r="I149" s="2436">
        <v>0</v>
      </c>
      <c r="J149" s="2446">
        <v>0</v>
      </c>
      <c r="K149" s="2436">
        <v>0</v>
      </c>
      <c r="L149" s="2436">
        <v>0</v>
      </c>
      <c r="M149" s="2266">
        <v>599</v>
      </c>
    </row>
    <row r="150" spans="1:13" ht="15">
      <c r="A150" s="2266" t="s">
        <v>4026</v>
      </c>
      <c r="B150" s="1694" t="str">
        <f>CONCATENATE(LEFT(RIGHT(CONCATENATE("000",IFAData_TEA!A150),6),3),"-",(RIGHT(RIGHT(CONCATENATE("000",IFAData_TEA!A150),6),3)))</f>
        <v>015-907</v>
      </c>
      <c r="C150" s="2266" t="s">
        <v>2308</v>
      </c>
      <c r="D150" s="2266">
        <v>1</v>
      </c>
      <c r="E150" s="2266">
        <v>2281</v>
      </c>
      <c r="F150" s="2266" t="s">
        <v>4873</v>
      </c>
      <c r="G150" s="2266" t="s">
        <v>4873</v>
      </c>
      <c r="H150" s="2436">
        <v>13875000</v>
      </c>
      <c r="I150" s="2436">
        <v>0</v>
      </c>
      <c r="J150" s="2446">
        <v>0</v>
      </c>
      <c r="K150" s="2436">
        <v>0</v>
      </c>
      <c r="L150" s="2436">
        <v>0</v>
      </c>
      <c r="M150" s="2266">
        <v>599</v>
      </c>
    </row>
    <row r="151" spans="1:13" ht="15">
      <c r="A151" s="2266" t="s">
        <v>4026</v>
      </c>
      <c r="B151" s="1694" t="str">
        <f>CONCATENATE(LEFT(RIGHT(CONCATENATE("000",IFAData_TEA!A151),6),3),"-",(RIGHT(RIGHT(CONCATENATE("000",IFAData_TEA!A151),6),3)))</f>
        <v>015-907</v>
      </c>
      <c r="C151" s="2266" t="s">
        <v>2308</v>
      </c>
      <c r="D151" s="2266">
        <v>3</v>
      </c>
      <c r="E151" s="2266">
        <v>2282</v>
      </c>
      <c r="F151" s="2266" t="s">
        <v>4877</v>
      </c>
      <c r="G151" s="2266" t="s">
        <v>6915</v>
      </c>
      <c r="H151" s="2436">
        <v>14004279</v>
      </c>
      <c r="I151" s="2436">
        <v>407330</v>
      </c>
      <c r="J151" s="2446">
        <v>2.9643754598064152E-2</v>
      </c>
      <c r="K151" s="2436">
        <v>415139.40999882325</v>
      </c>
      <c r="L151" s="2436">
        <v>407330</v>
      </c>
      <c r="M151" s="2266">
        <v>599</v>
      </c>
    </row>
    <row r="152" spans="1:13" ht="15">
      <c r="A152" s="2266" t="s">
        <v>4026</v>
      </c>
      <c r="B152" s="1694" t="str">
        <f>CONCATENATE(LEFT(RIGHT(CONCATENATE("000",IFAData_TEA!A152),6),3),"-",(RIGHT(RIGHT(CONCATENATE("000",IFAData_TEA!A152),6),3)))</f>
        <v>015-907</v>
      </c>
      <c r="C152" s="2266" t="s">
        <v>2308</v>
      </c>
      <c r="D152" s="2266">
        <v>1</v>
      </c>
      <c r="E152" s="2266">
        <v>2281</v>
      </c>
      <c r="F152" s="2266" t="s">
        <v>4873</v>
      </c>
      <c r="G152" s="2266" t="s">
        <v>6915</v>
      </c>
      <c r="H152" s="2436">
        <v>13875000</v>
      </c>
      <c r="I152" s="2436">
        <v>1174854</v>
      </c>
      <c r="J152" s="2446">
        <v>7.0090139364865051E-2</v>
      </c>
      <c r="K152" s="2436">
        <v>972500.68368750263</v>
      </c>
      <c r="L152" s="2436">
        <v>972500.68368750263</v>
      </c>
      <c r="M152" s="2266">
        <v>599</v>
      </c>
    </row>
    <row r="153" spans="1:13" ht="15">
      <c r="A153" s="2266" t="s">
        <v>4026</v>
      </c>
      <c r="B153" s="1694" t="str">
        <f>CONCATENATE(LEFT(RIGHT(CONCATENATE("000",IFAData_TEA!A153),6),3),"-",(RIGHT(RIGHT(CONCATENATE("000",IFAData_TEA!A153),6),3)))</f>
        <v>015-907</v>
      </c>
      <c r="C153" s="2266" t="s">
        <v>2308</v>
      </c>
      <c r="D153" s="2266">
        <v>3</v>
      </c>
      <c r="E153" s="2266">
        <v>2282</v>
      </c>
      <c r="F153" s="2266" t="s">
        <v>4877</v>
      </c>
      <c r="G153" s="2266" t="s">
        <v>4877</v>
      </c>
      <c r="H153" s="2436">
        <v>14004279</v>
      </c>
      <c r="I153" s="2436">
        <v>0</v>
      </c>
      <c r="J153" s="2446">
        <v>0</v>
      </c>
      <c r="K153" s="2436">
        <v>0</v>
      </c>
      <c r="L153" s="2436">
        <v>0</v>
      </c>
      <c r="M153" s="2266">
        <v>599</v>
      </c>
    </row>
    <row r="154" spans="1:13" ht="15">
      <c r="A154" s="2266" t="s">
        <v>4026</v>
      </c>
      <c r="B154" s="1694" t="str">
        <f>CONCATENATE(LEFT(RIGHT(CONCATENATE("000",IFAData_TEA!A154),6),3),"-",(RIGHT(RIGHT(CONCATENATE("000",IFAData_TEA!A154),6),3)))</f>
        <v>015-907</v>
      </c>
      <c r="C154" s="2266" t="s">
        <v>2308</v>
      </c>
      <c r="D154" s="2266">
        <v>5</v>
      </c>
      <c r="E154" s="2266">
        <v>2280</v>
      </c>
      <c r="F154" s="2266" t="s">
        <v>4878</v>
      </c>
      <c r="G154" s="2266" t="s">
        <v>4875</v>
      </c>
      <c r="H154" s="2436">
        <v>8227563</v>
      </c>
      <c r="I154" s="2436">
        <v>5653675</v>
      </c>
      <c r="J154" s="2446">
        <v>0.68554422535839754</v>
      </c>
      <c r="K154" s="2436">
        <v>5640358.3034224138</v>
      </c>
      <c r="L154" s="2436">
        <v>5640358.3034224138</v>
      </c>
      <c r="M154" s="2266">
        <v>599</v>
      </c>
    </row>
    <row r="155" spans="1:13" ht="15">
      <c r="A155" s="2266" t="s">
        <v>4026</v>
      </c>
      <c r="B155" s="1694" t="str">
        <f>CONCATENATE(LEFT(RIGHT(CONCATENATE("000",IFAData_TEA!A155),6),3),"-",(RIGHT(RIGHT(CONCATENATE("000",IFAData_TEA!A155),6),3)))</f>
        <v>015-907</v>
      </c>
      <c r="C155" s="2266" t="s">
        <v>2308</v>
      </c>
      <c r="D155" s="2266">
        <v>5</v>
      </c>
      <c r="E155" s="2266">
        <v>2280</v>
      </c>
      <c r="F155" s="2266" t="s">
        <v>4878</v>
      </c>
      <c r="G155" s="2266" t="s">
        <v>4878</v>
      </c>
      <c r="H155" s="2436">
        <v>8227563</v>
      </c>
      <c r="I155" s="2436">
        <v>0</v>
      </c>
      <c r="J155" s="2446">
        <v>0</v>
      </c>
      <c r="K155" s="2436">
        <v>0</v>
      </c>
      <c r="L155" s="2436">
        <v>0</v>
      </c>
      <c r="M155" s="2266">
        <v>599</v>
      </c>
    </row>
    <row r="156" spans="1:13" ht="15">
      <c r="A156" s="2266" t="s">
        <v>4026</v>
      </c>
      <c r="B156" s="1694" t="str">
        <f>CONCATENATE(LEFT(RIGHT(CONCATENATE("000",IFAData_TEA!A156),6),3),"-",(RIGHT(RIGHT(CONCATENATE("000",IFAData_TEA!A156),6),3)))</f>
        <v>015-907</v>
      </c>
      <c r="C156" s="2266" t="s">
        <v>2308</v>
      </c>
      <c r="D156" s="2266">
        <v>3</v>
      </c>
      <c r="E156" s="2266">
        <v>2282</v>
      </c>
      <c r="F156" s="2266" t="s">
        <v>4877</v>
      </c>
      <c r="G156" s="2266" t="s">
        <v>4876</v>
      </c>
      <c r="H156" s="2436">
        <v>14004279</v>
      </c>
      <c r="I156" s="2436">
        <v>10650554</v>
      </c>
      <c r="J156" s="2446">
        <v>0.77510227360967898</v>
      </c>
      <c r="K156" s="2436">
        <v>10854748.493164282</v>
      </c>
      <c r="L156" s="2436">
        <v>10650554</v>
      </c>
      <c r="M156" s="2266">
        <v>599</v>
      </c>
    </row>
    <row r="157" spans="1:13" ht="15">
      <c r="A157" s="2266" t="s">
        <v>4026</v>
      </c>
      <c r="B157" s="1694" t="str">
        <f>CONCATENATE(LEFT(RIGHT(CONCATENATE("000",IFAData_TEA!A157),6),3),"-",(RIGHT(RIGHT(CONCATENATE("000",IFAData_TEA!A157),6),3)))</f>
        <v>015-907</v>
      </c>
      <c r="C157" s="2266" t="s">
        <v>2308</v>
      </c>
      <c r="D157" s="2266">
        <v>3</v>
      </c>
      <c r="E157" s="2266">
        <v>2282</v>
      </c>
      <c r="F157" s="2266" t="s">
        <v>4877</v>
      </c>
      <c r="G157" s="2266" t="s">
        <v>4874</v>
      </c>
      <c r="H157" s="2436">
        <v>14004279</v>
      </c>
      <c r="I157" s="2436">
        <v>0</v>
      </c>
      <c r="J157" s="2446">
        <v>0</v>
      </c>
      <c r="K157" s="2436">
        <v>0</v>
      </c>
      <c r="L157" s="2436">
        <v>0</v>
      </c>
      <c r="M157" s="2266">
        <v>599</v>
      </c>
    </row>
    <row r="158" spans="1:13" ht="15">
      <c r="A158" s="2266" t="s">
        <v>4026</v>
      </c>
      <c r="B158" s="1694" t="str">
        <f>CONCATENATE(LEFT(RIGHT(CONCATENATE("000",IFAData_TEA!A158),6),3),"-",(RIGHT(RIGHT(CONCATENATE("000",IFAData_TEA!A158),6),3)))</f>
        <v>015-907</v>
      </c>
      <c r="C158" s="2266" t="s">
        <v>2308</v>
      </c>
      <c r="D158" s="2266">
        <v>5</v>
      </c>
      <c r="E158" s="2266">
        <v>2280</v>
      </c>
      <c r="F158" s="2266" t="s">
        <v>4878</v>
      </c>
      <c r="G158" s="2266" t="s">
        <v>4879</v>
      </c>
      <c r="H158" s="2436">
        <v>8227563</v>
      </c>
      <c r="I158" s="2436">
        <v>2241462</v>
      </c>
      <c r="J158" s="2446">
        <v>0.27179159227587091</v>
      </c>
      <c r="K158" s="2436">
        <v>2236182.4483200414</v>
      </c>
      <c r="L158" s="2436">
        <v>2236182.4483200414</v>
      </c>
      <c r="M158" s="2266">
        <v>599</v>
      </c>
    </row>
    <row r="159" spans="1:13" ht="15">
      <c r="A159" s="2266" t="s">
        <v>4026</v>
      </c>
      <c r="B159" s="1694" t="str">
        <f>CONCATENATE(LEFT(RIGHT(CONCATENATE("000",IFAData_TEA!A159),6),3),"-",(RIGHT(RIGHT(CONCATENATE("000",IFAData_TEA!A159),6),3)))</f>
        <v>015-907</v>
      </c>
      <c r="C159" s="2266" t="s">
        <v>2308</v>
      </c>
      <c r="D159" s="2266">
        <v>5</v>
      </c>
      <c r="E159" s="2266">
        <v>2280</v>
      </c>
      <c r="F159" s="2266" t="s">
        <v>4878</v>
      </c>
      <c r="G159" s="2266" t="s">
        <v>6915</v>
      </c>
      <c r="H159" s="2436">
        <v>8227563</v>
      </c>
      <c r="I159" s="2436">
        <v>351851</v>
      </c>
      <c r="J159" s="2446">
        <v>4.2664182365731586E-2</v>
      </c>
      <c r="K159" s="2436">
        <v>351022.24825754564</v>
      </c>
      <c r="L159" s="2436">
        <v>351022.24825754564</v>
      </c>
      <c r="M159" s="2266">
        <v>599</v>
      </c>
    </row>
    <row r="160" spans="1:13" ht="15">
      <c r="A160" s="2266" t="s">
        <v>4026</v>
      </c>
      <c r="B160" s="1694" t="str">
        <f>CONCATENATE(LEFT(RIGHT(CONCATENATE("000",IFAData_TEA!A160),6),3),"-",(RIGHT(RIGHT(CONCATENATE("000",IFAData_TEA!A160),6),3)))</f>
        <v>015-907</v>
      </c>
      <c r="C160" s="2266" t="s">
        <v>2308</v>
      </c>
      <c r="D160" s="2266">
        <v>3</v>
      </c>
      <c r="E160" s="2266">
        <v>2282</v>
      </c>
      <c r="F160" s="2266" t="s">
        <v>4877</v>
      </c>
      <c r="G160" s="2266" t="s">
        <v>4875</v>
      </c>
      <c r="H160" s="2436">
        <v>14004279</v>
      </c>
      <c r="I160" s="2436">
        <v>2682953</v>
      </c>
      <c r="J160" s="2446">
        <v>0.1952539717922569</v>
      </c>
      <c r="K160" s="2436">
        <v>2734391.0968368957</v>
      </c>
      <c r="L160" s="2436">
        <v>2682953</v>
      </c>
      <c r="M160" s="2266">
        <v>599</v>
      </c>
    </row>
    <row r="161" spans="1:13" ht="15">
      <c r="A161" s="2266" t="s">
        <v>4026</v>
      </c>
      <c r="B161" s="1694" t="str">
        <f>CONCATENATE(LEFT(RIGHT(CONCATENATE("000",IFAData_TEA!A161),6),3),"-",(RIGHT(RIGHT(CONCATENATE("000",IFAData_TEA!A161),6),3)))</f>
        <v>015-907</v>
      </c>
      <c r="C161" s="2266" t="s">
        <v>2308</v>
      </c>
      <c r="D161" s="2266">
        <v>1</v>
      </c>
      <c r="E161" s="2266">
        <v>2281</v>
      </c>
      <c r="F161" s="2266" t="s">
        <v>4873</v>
      </c>
      <c r="G161" s="2266" t="s">
        <v>4876</v>
      </c>
      <c r="H161" s="2436">
        <v>13875000</v>
      </c>
      <c r="I161" s="2436">
        <v>0</v>
      </c>
      <c r="J161" s="2446">
        <v>0</v>
      </c>
      <c r="K161" s="2436">
        <v>0</v>
      </c>
      <c r="L161" s="2436">
        <v>0</v>
      </c>
      <c r="M161" s="2266">
        <v>599</v>
      </c>
    </row>
    <row r="162" spans="1:13" ht="15">
      <c r="A162" s="2266" t="s">
        <v>4027</v>
      </c>
      <c r="B162" s="1694" t="str">
        <f>CONCATENATE(LEFT(RIGHT(CONCATENATE("000",IFAData_TEA!A162),6),3),"-",(RIGHT(RIGHT(CONCATENATE("000",IFAData_TEA!A162),6),3)))</f>
        <v>015-908</v>
      </c>
      <c r="C162" s="2266" t="s">
        <v>2206</v>
      </c>
      <c r="D162" s="2266">
        <v>3</v>
      </c>
      <c r="E162" s="2266">
        <v>2358</v>
      </c>
      <c r="F162" s="2266" t="s">
        <v>4880</v>
      </c>
      <c r="G162" s="2266" t="s">
        <v>4881</v>
      </c>
      <c r="H162" s="2436">
        <v>2400433</v>
      </c>
      <c r="I162" s="2436">
        <v>0</v>
      </c>
      <c r="J162" s="2446">
        <v>0</v>
      </c>
      <c r="K162" s="2436">
        <v>0</v>
      </c>
      <c r="L162" s="2436">
        <v>0</v>
      </c>
      <c r="M162" s="2266">
        <v>599</v>
      </c>
    </row>
    <row r="163" spans="1:13" ht="15">
      <c r="A163" s="2266" t="s">
        <v>4027</v>
      </c>
      <c r="B163" s="1694" t="str">
        <f>CONCATENATE(LEFT(RIGHT(CONCATENATE("000",IFAData_TEA!A163),6),3),"-",(RIGHT(RIGHT(CONCATENATE("000",IFAData_TEA!A163),6),3)))</f>
        <v>015-908</v>
      </c>
      <c r="C163" s="2266" t="s">
        <v>2206</v>
      </c>
      <c r="D163" s="2266">
        <v>8</v>
      </c>
      <c r="E163" s="2266">
        <v>2356</v>
      </c>
      <c r="F163" s="2266" t="s">
        <v>4887</v>
      </c>
      <c r="G163" s="2266" t="s">
        <v>4887</v>
      </c>
      <c r="H163" s="2436">
        <v>1990738</v>
      </c>
      <c r="I163" s="2436">
        <v>1442050</v>
      </c>
      <c r="J163" s="2446">
        <v>0.55781242988904478</v>
      </c>
      <c r="K163" s="2436">
        <v>1110458.4010524573</v>
      </c>
      <c r="L163" s="2436">
        <v>1110458.4010524573</v>
      </c>
      <c r="M163" s="2266">
        <v>599</v>
      </c>
    </row>
    <row r="164" spans="1:13" ht="15">
      <c r="A164" s="2266" t="s">
        <v>4027</v>
      </c>
      <c r="B164" s="1694" t="str">
        <f>CONCATENATE(LEFT(RIGHT(CONCATENATE("000",IFAData_TEA!A164),6),3),"-",(RIGHT(RIGHT(CONCATENATE("000",IFAData_TEA!A164),6),3)))</f>
        <v>015-908</v>
      </c>
      <c r="C164" s="2266" t="s">
        <v>2206</v>
      </c>
      <c r="D164" s="2266">
        <v>6</v>
      </c>
      <c r="E164" s="2266">
        <v>2357</v>
      </c>
      <c r="F164" s="2266" t="s">
        <v>4884</v>
      </c>
      <c r="G164" s="2266" t="s">
        <v>4884</v>
      </c>
      <c r="H164" s="2436">
        <v>2270472</v>
      </c>
      <c r="I164" s="2436">
        <v>0</v>
      </c>
      <c r="J164" s="2446">
        <v>0</v>
      </c>
      <c r="K164" s="2436">
        <v>0</v>
      </c>
      <c r="L164" s="2436">
        <v>0</v>
      </c>
      <c r="M164" s="2266">
        <v>599</v>
      </c>
    </row>
    <row r="165" spans="1:13" ht="15">
      <c r="A165" s="2266" t="s">
        <v>4027</v>
      </c>
      <c r="B165" s="1694" t="str">
        <f>CONCATENATE(LEFT(RIGHT(CONCATENATE("000",IFAData_TEA!A165),6),3),"-",(RIGHT(RIGHT(CONCATENATE("000",IFAData_TEA!A165),6),3)))</f>
        <v>015-908</v>
      </c>
      <c r="C165" s="2266" t="s">
        <v>2206</v>
      </c>
      <c r="D165" s="2266">
        <v>6</v>
      </c>
      <c r="E165" s="2266">
        <v>2357</v>
      </c>
      <c r="F165" s="2266" t="s">
        <v>4884</v>
      </c>
      <c r="G165" s="2266" t="s">
        <v>4885</v>
      </c>
      <c r="H165" s="2436">
        <v>2270472</v>
      </c>
      <c r="I165" s="2436">
        <v>288018</v>
      </c>
      <c r="J165" s="2446">
        <v>0.15313378271036235</v>
      </c>
      <c r="K165" s="2436">
        <v>347685.96589796181</v>
      </c>
      <c r="L165" s="2436">
        <v>288018</v>
      </c>
      <c r="M165" s="2266">
        <v>599</v>
      </c>
    </row>
    <row r="166" spans="1:13" ht="15">
      <c r="A166" s="2266" t="s">
        <v>4027</v>
      </c>
      <c r="B166" s="1694" t="str">
        <f>CONCATENATE(LEFT(RIGHT(CONCATENATE("000",IFAData_TEA!A166),6),3),"-",(RIGHT(RIGHT(CONCATENATE("000",IFAData_TEA!A166),6),3)))</f>
        <v>015-908</v>
      </c>
      <c r="C166" s="2266" t="s">
        <v>2206</v>
      </c>
      <c r="D166" s="2266">
        <v>6</v>
      </c>
      <c r="E166" s="2266">
        <v>2357</v>
      </c>
      <c r="F166" s="2266" t="s">
        <v>4884</v>
      </c>
      <c r="G166" s="2266" t="s">
        <v>4882</v>
      </c>
      <c r="H166" s="2436">
        <v>2270472</v>
      </c>
      <c r="I166" s="2436">
        <v>1326070</v>
      </c>
      <c r="J166" s="2446">
        <v>0.70504661249897649</v>
      </c>
      <c r="K166" s="2436">
        <v>1600788.5923737762</v>
      </c>
      <c r="L166" s="2436">
        <v>1326070</v>
      </c>
      <c r="M166" s="2266">
        <v>599</v>
      </c>
    </row>
    <row r="167" spans="1:13" ht="15">
      <c r="A167" s="2266" t="s">
        <v>4027</v>
      </c>
      <c r="B167" s="1694" t="str">
        <f>CONCATENATE(LEFT(RIGHT(CONCATENATE("000",IFAData_TEA!A167),6),3),"-",(RIGHT(RIGHT(CONCATENATE("000",IFAData_TEA!A167),6),3)))</f>
        <v>015-908</v>
      </c>
      <c r="C167" s="2266" t="s">
        <v>2206</v>
      </c>
      <c r="D167" s="2266">
        <v>3</v>
      </c>
      <c r="E167" s="2266">
        <v>2358</v>
      </c>
      <c r="F167" s="2266" t="s">
        <v>4880</v>
      </c>
      <c r="G167" s="2266" t="s">
        <v>4883</v>
      </c>
      <c r="H167" s="2436">
        <v>2400433</v>
      </c>
      <c r="I167" s="2436">
        <v>2056537</v>
      </c>
      <c r="J167" s="2446">
        <v>0.92043370825842219</v>
      </c>
      <c r="K167" s="2436">
        <v>2209439.4476158894</v>
      </c>
      <c r="L167" s="2436">
        <v>2056537</v>
      </c>
      <c r="M167" s="2266">
        <v>599</v>
      </c>
    </row>
    <row r="168" spans="1:13" ht="15">
      <c r="A168" s="2266" t="s">
        <v>4027</v>
      </c>
      <c r="B168" s="1694" t="str">
        <f>CONCATENATE(LEFT(RIGHT(CONCATENATE("000",IFAData_TEA!A168),6),3),"-",(RIGHT(RIGHT(CONCATENATE("000",IFAData_TEA!A168),6),3)))</f>
        <v>015-908</v>
      </c>
      <c r="C168" s="2266" t="s">
        <v>2206</v>
      </c>
      <c r="D168" s="2266">
        <v>3</v>
      </c>
      <c r="E168" s="2266">
        <v>2358</v>
      </c>
      <c r="F168" s="2266" t="s">
        <v>4880</v>
      </c>
      <c r="G168" s="2266" t="s">
        <v>4882</v>
      </c>
      <c r="H168" s="2436">
        <v>2400433</v>
      </c>
      <c r="I168" s="2436">
        <v>177776</v>
      </c>
      <c r="J168" s="2446">
        <v>7.9566291741577838E-2</v>
      </c>
      <c r="K168" s="2436">
        <v>190993.55238411092</v>
      </c>
      <c r="L168" s="2436">
        <v>177776</v>
      </c>
      <c r="M168" s="2266">
        <v>599</v>
      </c>
    </row>
    <row r="169" spans="1:13" ht="15">
      <c r="A169" s="2266" t="s">
        <v>4027</v>
      </c>
      <c r="B169" s="1694" t="str">
        <f>CONCATENATE(LEFT(RIGHT(CONCATENATE("000",IFAData_TEA!A169),6),3),"-",(RIGHT(RIGHT(CONCATENATE("000",IFAData_TEA!A169),6),3)))</f>
        <v>015-908</v>
      </c>
      <c r="C169" s="2266" t="s">
        <v>2206</v>
      </c>
      <c r="D169" s="2266">
        <v>8</v>
      </c>
      <c r="E169" s="2266">
        <v>2356</v>
      </c>
      <c r="F169" s="2266" t="s">
        <v>4887</v>
      </c>
      <c r="G169" s="2266" t="s">
        <v>4888</v>
      </c>
      <c r="H169" s="2436">
        <v>1990738</v>
      </c>
      <c r="I169" s="2436">
        <v>828600</v>
      </c>
      <c r="J169" s="2446">
        <v>0.32051827565345342</v>
      </c>
      <c r="K169" s="2436">
        <v>638067.91103780456</v>
      </c>
      <c r="L169" s="2436">
        <v>638067.91103780456</v>
      </c>
      <c r="M169" s="2266">
        <v>599</v>
      </c>
    </row>
    <row r="170" spans="1:13" ht="15">
      <c r="A170" s="2266" t="s">
        <v>4027</v>
      </c>
      <c r="B170" s="1694" t="str">
        <f>CONCATENATE(LEFT(RIGHT(CONCATENATE("000",IFAData_TEA!A170),6),3),"-",(RIGHT(RIGHT(CONCATENATE("000",IFAData_TEA!A170),6),3)))</f>
        <v>015-908</v>
      </c>
      <c r="C170" s="2266" t="s">
        <v>2206</v>
      </c>
      <c r="D170" s="2266">
        <v>6</v>
      </c>
      <c r="E170" s="2266">
        <v>2357</v>
      </c>
      <c r="F170" s="2266" t="s">
        <v>4884</v>
      </c>
      <c r="G170" s="2266" t="s">
        <v>4886</v>
      </c>
      <c r="H170" s="2436">
        <v>2270472</v>
      </c>
      <c r="I170" s="2436">
        <v>266738</v>
      </c>
      <c r="J170" s="2446">
        <v>0.14181960479066114</v>
      </c>
      <c r="K170" s="2436">
        <v>321997.441728262</v>
      </c>
      <c r="L170" s="2436">
        <v>266738</v>
      </c>
      <c r="M170" s="2266">
        <v>599</v>
      </c>
    </row>
    <row r="171" spans="1:13" ht="15">
      <c r="A171" s="2266" t="s">
        <v>4027</v>
      </c>
      <c r="B171" s="1694" t="str">
        <f>CONCATENATE(LEFT(RIGHT(CONCATENATE("000",IFAData_TEA!A171),6),3),"-",(RIGHT(RIGHT(CONCATENATE("000",IFAData_TEA!A171),6),3)))</f>
        <v>015-908</v>
      </c>
      <c r="C171" s="2266" t="s">
        <v>2206</v>
      </c>
      <c r="D171" s="2266">
        <v>3</v>
      </c>
      <c r="E171" s="2266">
        <v>2358</v>
      </c>
      <c r="F171" s="2266" t="s">
        <v>4880</v>
      </c>
      <c r="G171" s="2266" t="s">
        <v>4880</v>
      </c>
      <c r="H171" s="2436">
        <v>2400433</v>
      </c>
      <c r="I171" s="2436">
        <v>0</v>
      </c>
      <c r="J171" s="2446">
        <v>0</v>
      </c>
      <c r="K171" s="2436">
        <v>0</v>
      </c>
      <c r="L171" s="2436">
        <v>0</v>
      </c>
      <c r="M171" s="2266">
        <v>599</v>
      </c>
    </row>
    <row r="172" spans="1:13" ht="15">
      <c r="A172" s="2266" t="s">
        <v>4027</v>
      </c>
      <c r="B172" s="1694" t="str">
        <f>CONCATENATE(LEFT(RIGHT(CONCATENATE("000",IFAData_TEA!A172),6),3),"-",(RIGHT(RIGHT(CONCATENATE("000",IFAData_TEA!A172),6),3)))</f>
        <v>015-908</v>
      </c>
      <c r="C172" s="2266" t="s">
        <v>2206</v>
      </c>
      <c r="D172" s="2266">
        <v>8</v>
      </c>
      <c r="E172" s="2266">
        <v>2356</v>
      </c>
      <c r="F172" s="2266" t="s">
        <v>4887</v>
      </c>
      <c r="G172" s="2266" t="s">
        <v>4882</v>
      </c>
      <c r="H172" s="2436">
        <v>1990738</v>
      </c>
      <c r="I172" s="2436">
        <v>314538</v>
      </c>
      <c r="J172" s="2446">
        <v>0.12166929445750174</v>
      </c>
      <c r="K172" s="2436">
        <v>242211.6879097381</v>
      </c>
      <c r="L172" s="2436">
        <v>242211.6879097381</v>
      </c>
      <c r="M172" s="2266">
        <v>599</v>
      </c>
    </row>
    <row r="173" spans="1:13" ht="15">
      <c r="A173" s="2266" t="s">
        <v>4028</v>
      </c>
      <c r="B173" s="1694" t="str">
        <f>CONCATENATE(LEFT(RIGHT(CONCATENATE("000",IFAData_TEA!A173),6),3),"-",(RIGHT(RIGHT(CONCATENATE("000",IFAData_TEA!A173),6),3)))</f>
        <v>015-909</v>
      </c>
      <c r="C173" s="2266" t="s">
        <v>2205</v>
      </c>
      <c r="D173" s="2266">
        <v>7</v>
      </c>
      <c r="E173" s="2266">
        <v>2352</v>
      </c>
      <c r="F173" s="2266" t="s">
        <v>4895</v>
      </c>
      <c r="G173" s="2266" t="s">
        <v>4895</v>
      </c>
      <c r="H173" s="2436">
        <v>305924</v>
      </c>
      <c r="I173" s="2436">
        <v>0</v>
      </c>
      <c r="J173" s="2446">
        <v>0</v>
      </c>
      <c r="K173" s="2436">
        <v>0</v>
      </c>
      <c r="L173" s="2436">
        <v>0</v>
      </c>
      <c r="M173" s="2266">
        <v>599</v>
      </c>
    </row>
    <row r="174" spans="1:13" ht="15">
      <c r="A174" s="2266" t="s">
        <v>4028</v>
      </c>
      <c r="B174" s="1694" t="str">
        <f>CONCATENATE(LEFT(RIGHT(CONCATENATE("000",IFAData_TEA!A174),6),3),"-",(RIGHT(RIGHT(CONCATENATE("000",IFAData_TEA!A174),6),3)))</f>
        <v>015-909</v>
      </c>
      <c r="C174" s="2266" t="s">
        <v>2205</v>
      </c>
      <c r="D174" s="2266">
        <v>7</v>
      </c>
      <c r="E174" s="2266">
        <v>2352</v>
      </c>
      <c r="F174" s="2266" t="s">
        <v>4895</v>
      </c>
      <c r="G174" s="2266" t="s">
        <v>6916</v>
      </c>
      <c r="H174" s="2436">
        <v>305924</v>
      </c>
      <c r="I174" s="2436">
        <v>292112</v>
      </c>
      <c r="J174" s="2446">
        <v>1</v>
      </c>
      <c r="K174" s="2436">
        <v>305924</v>
      </c>
      <c r="L174" s="2436">
        <v>292112</v>
      </c>
      <c r="M174" s="2266">
        <v>599</v>
      </c>
    </row>
    <row r="175" spans="1:13" ht="15">
      <c r="A175" s="2266" t="s">
        <v>4028</v>
      </c>
      <c r="B175" s="1694" t="str">
        <f>CONCATENATE(LEFT(RIGHT(CONCATENATE("000",IFAData_TEA!A175),6),3),"-",(RIGHT(RIGHT(CONCATENATE("000",IFAData_TEA!A175),6),3)))</f>
        <v>015-909</v>
      </c>
      <c r="C175" s="2266" t="s">
        <v>2205</v>
      </c>
      <c r="D175" s="2266">
        <v>5</v>
      </c>
      <c r="E175" s="2266">
        <v>2353</v>
      </c>
      <c r="F175" s="2266" t="s">
        <v>4892</v>
      </c>
      <c r="G175" s="2266" t="s">
        <v>4891</v>
      </c>
      <c r="H175" s="2436">
        <v>460677</v>
      </c>
      <c r="I175" s="2436">
        <v>271447</v>
      </c>
      <c r="J175" s="2446">
        <v>0.65087087461515591</v>
      </c>
      <c r="K175" s="2436">
        <v>299841.24190508621</v>
      </c>
      <c r="L175" s="2436">
        <v>271447</v>
      </c>
      <c r="M175" s="2266">
        <v>599</v>
      </c>
    </row>
    <row r="176" spans="1:13" ht="15">
      <c r="A176" s="2266" t="s">
        <v>4028</v>
      </c>
      <c r="B176" s="1694" t="str">
        <f>CONCATENATE(LEFT(RIGHT(CONCATENATE("000",IFAData_TEA!A176),6),3),"-",(RIGHT(RIGHT(CONCATENATE("000",IFAData_TEA!A176),6),3)))</f>
        <v>015-909</v>
      </c>
      <c r="C176" s="2266" t="s">
        <v>2205</v>
      </c>
      <c r="D176" s="2266">
        <v>4</v>
      </c>
      <c r="E176" s="2266">
        <v>2354</v>
      </c>
      <c r="F176" s="2266" t="s">
        <v>4889</v>
      </c>
      <c r="G176" s="2266" t="s">
        <v>4890</v>
      </c>
      <c r="H176" s="2436">
        <v>637500</v>
      </c>
      <c r="I176" s="2436">
        <v>285431</v>
      </c>
      <c r="J176" s="2446">
        <v>0.49954321437072091</v>
      </c>
      <c r="K176" s="2436">
        <v>318458.79916133458</v>
      </c>
      <c r="L176" s="2436">
        <v>285431</v>
      </c>
      <c r="M176" s="2266">
        <v>599</v>
      </c>
    </row>
    <row r="177" spans="1:13" ht="15">
      <c r="A177" s="2266" t="s">
        <v>4028</v>
      </c>
      <c r="B177" s="1694" t="str">
        <f>CONCATENATE(LEFT(RIGHT(CONCATENATE("000",IFAData_TEA!A177),6),3),"-",(RIGHT(RIGHT(CONCATENATE("000",IFAData_TEA!A177),6),3)))</f>
        <v>015-909</v>
      </c>
      <c r="C177" s="2266" t="s">
        <v>2205</v>
      </c>
      <c r="D177" s="2266">
        <v>4</v>
      </c>
      <c r="E177" s="2266">
        <v>2354</v>
      </c>
      <c r="F177" s="2266" t="s">
        <v>4889</v>
      </c>
      <c r="G177" s="2266" t="s">
        <v>4891</v>
      </c>
      <c r="H177" s="2436">
        <v>637500</v>
      </c>
      <c r="I177" s="2436">
        <v>285953</v>
      </c>
      <c r="J177" s="2446">
        <v>0.50045678562927909</v>
      </c>
      <c r="K177" s="2436">
        <v>319041.20083866542</v>
      </c>
      <c r="L177" s="2436">
        <v>285953</v>
      </c>
      <c r="M177" s="2266">
        <v>599</v>
      </c>
    </row>
    <row r="178" spans="1:13" ht="15">
      <c r="A178" s="2266" t="s">
        <v>4028</v>
      </c>
      <c r="B178" s="1694" t="str">
        <f>CONCATENATE(LEFT(RIGHT(CONCATENATE("000",IFAData_TEA!A178),6),3),"-",(RIGHT(RIGHT(CONCATENATE("000",IFAData_TEA!A178),6),3)))</f>
        <v>015-909</v>
      </c>
      <c r="C178" s="2266" t="s">
        <v>2205</v>
      </c>
      <c r="D178" s="2266">
        <v>4</v>
      </c>
      <c r="E178" s="2266">
        <v>2354</v>
      </c>
      <c r="F178" s="2266" t="s">
        <v>4889</v>
      </c>
      <c r="G178" s="2266" t="s">
        <v>4889</v>
      </c>
      <c r="H178" s="2436">
        <v>637500</v>
      </c>
      <c r="I178" s="2436">
        <v>0</v>
      </c>
      <c r="J178" s="2446">
        <v>0</v>
      </c>
      <c r="K178" s="2436">
        <v>0</v>
      </c>
      <c r="L178" s="2436">
        <v>0</v>
      </c>
      <c r="M178" s="2266">
        <v>599</v>
      </c>
    </row>
    <row r="179" spans="1:13" ht="15">
      <c r="A179" s="2266" t="s">
        <v>4028</v>
      </c>
      <c r="B179" s="1694" t="str">
        <f>CONCATENATE(LEFT(RIGHT(CONCATENATE("000",IFAData_TEA!A179),6),3),"-",(RIGHT(RIGHT(CONCATENATE("000",IFAData_TEA!A179),6),3)))</f>
        <v>015-909</v>
      </c>
      <c r="C179" s="2266" t="s">
        <v>2205</v>
      </c>
      <c r="D179" s="2266">
        <v>6</v>
      </c>
      <c r="E179" s="2266">
        <v>2351</v>
      </c>
      <c r="F179" s="2266" t="s">
        <v>4893</v>
      </c>
      <c r="G179" s="2266" t="s">
        <v>4893</v>
      </c>
      <c r="H179" s="2436">
        <v>230217</v>
      </c>
      <c r="I179" s="2436">
        <v>0</v>
      </c>
      <c r="J179" s="2446">
        <v>0</v>
      </c>
      <c r="K179" s="2436">
        <v>0</v>
      </c>
      <c r="L179" s="2436">
        <v>0</v>
      </c>
      <c r="M179" s="2266">
        <v>599</v>
      </c>
    </row>
    <row r="180" spans="1:13" ht="15">
      <c r="A180" s="2266" t="s">
        <v>4028</v>
      </c>
      <c r="B180" s="1694" t="str">
        <f>CONCATENATE(LEFT(RIGHT(CONCATENATE("000",IFAData_TEA!A180),6),3),"-",(RIGHT(RIGHT(CONCATENATE("000",IFAData_TEA!A180),6),3)))</f>
        <v>015-909</v>
      </c>
      <c r="C180" s="2266" t="s">
        <v>2205</v>
      </c>
      <c r="D180" s="2266">
        <v>5</v>
      </c>
      <c r="E180" s="2266">
        <v>2353</v>
      </c>
      <c r="F180" s="2266" t="s">
        <v>4892</v>
      </c>
      <c r="G180" s="2266" t="s">
        <v>4892</v>
      </c>
      <c r="H180" s="2436">
        <v>460677</v>
      </c>
      <c r="I180" s="2436">
        <v>0</v>
      </c>
      <c r="J180" s="2446">
        <v>0</v>
      </c>
      <c r="K180" s="2436">
        <v>0</v>
      </c>
      <c r="L180" s="2436">
        <v>0</v>
      </c>
      <c r="M180" s="2266">
        <v>599</v>
      </c>
    </row>
    <row r="181" spans="1:13" ht="15">
      <c r="A181" s="2266" t="s">
        <v>4028</v>
      </c>
      <c r="B181" s="1694" t="str">
        <f>CONCATENATE(LEFT(RIGHT(CONCATENATE("000",IFAData_TEA!A181),6),3),"-",(RIGHT(RIGHT(CONCATENATE("000",IFAData_TEA!A181),6),3)))</f>
        <v>015-909</v>
      </c>
      <c r="C181" s="2266" t="s">
        <v>2205</v>
      </c>
      <c r="D181" s="2266">
        <v>5</v>
      </c>
      <c r="E181" s="2266">
        <v>2353</v>
      </c>
      <c r="F181" s="2266" t="s">
        <v>4892</v>
      </c>
      <c r="G181" s="2266" t="s">
        <v>4890</v>
      </c>
      <c r="H181" s="2436">
        <v>460677</v>
      </c>
      <c r="I181" s="2436">
        <v>145605</v>
      </c>
      <c r="J181" s="2446">
        <v>0.34912912538484409</v>
      </c>
      <c r="K181" s="2436">
        <v>160835.75809491382</v>
      </c>
      <c r="L181" s="2436">
        <v>145605</v>
      </c>
      <c r="M181" s="2266">
        <v>599</v>
      </c>
    </row>
    <row r="182" spans="1:13" ht="15">
      <c r="A182" s="2266" t="s">
        <v>4028</v>
      </c>
      <c r="B182" s="1694" t="str">
        <f>CONCATENATE(LEFT(RIGHT(CONCATENATE("000",IFAData_TEA!A182),6),3),"-",(RIGHT(RIGHT(CONCATENATE("000",IFAData_TEA!A182),6),3)))</f>
        <v>015-909</v>
      </c>
      <c r="C182" s="2266" t="s">
        <v>2205</v>
      </c>
      <c r="D182" s="2266">
        <v>6</v>
      </c>
      <c r="E182" s="2266">
        <v>2351</v>
      </c>
      <c r="F182" s="2266" t="s">
        <v>4893</v>
      </c>
      <c r="G182" s="2266" t="s">
        <v>4894</v>
      </c>
      <c r="H182" s="2436">
        <v>230217</v>
      </c>
      <c r="I182" s="2436">
        <v>229984</v>
      </c>
      <c r="J182" s="2446">
        <v>1</v>
      </c>
      <c r="K182" s="2436">
        <v>230217</v>
      </c>
      <c r="L182" s="2436">
        <v>229984</v>
      </c>
      <c r="M182" s="2266">
        <v>599</v>
      </c>
    </row>
    <row r="183" spans="1:13" ht="15">
      <c r="A183" s="2266" t="s">
        <v>4028</v>
      </c>
      <c r="B183" s="1694" t="str">
        <f>CONCATENATE(LEFT(RIGHT(CONCATENATE("000",IFAData_TEA!A183),6),3),"-",(RIGHT(RIGHT(CONCATENATE("000",IFAData_TEA!A183),6),3)))</f>
        <v>015-909</v>
      </c>
      <c r="C183" s="2266" t="s">
        <v>2205</v>
      </c>
      <c r="D183" s="2266">
        <v>10</v>
      </c>
      <c r="E183" s="2266">
        <v>2355</v>
      </c>
      <c r="F183" s="2266" t="s">
        <v>4891</v>
      </c>
      <c r="G183" s="2266" t="s">
        <v>4891</v>
      </c>
      <c r="H183" s="2436">
        <v>732634</v>
      </c>
      <c r="I183" s="2436">
        <v>730600</v>
      </c>
      <c r="J183" s="2446">
        <v>1</v>
      </c>
      <c r="K183" s="2436">
        <v>732634</v>
      </c>
      <c r="L183" s="2436">
        <v>730600</v>
      </c>
      <c r="M183" s="2266">
        <v>599</v>
      </c>
    </row>
    <row r="184" spans="1:13" ht="15">
      <c r="A184" s="2266" t="s">
        <v>4029</v>
      </c>
      <c r="B184" s="1694" t="str">
        <f>CONCATENATE(LEFT(RIGHT(CONCATENATE("000",IFAData_TEA!A184),6),3),"-",(RIGHT(RIGHT(CONCATENATE("000",IFAData_TEA!A184),6),3)))</f>
        <v>015-910</v>
      </c>
      <c r="C184" s="2266" t="s">
        <v>2610</v>
      </c>
      <c r="D184" s="2266">
        <v>1</v>
      </c>
      <c r="E184" s="2266">
        <v>2147</v>
      </c>
      <c r="F184" s="2266" t="s">
        <v>4896</v>
      </c>
      <c r="G184" s="2266" t="s">
        <v>4896</v>
      </c>
      <c r="H184" s="2436">
        <v>6051325</v>
      </c>
      <c r="I184" s="2436">
        <v>0</v>
      </c>
      <c r="J184" s="2446">
        <v>0</v>
      </c>
      <c r="K184" s="2436">
        <v>0</v>
      </c>
      <c r="L184" s="2436">
        <v>0</v>
      </c>
      <c r="M184" s="2266">
        <v>599</v>
      </c>
    </row>
    <row r="185" spans="1:13" ht="15">
      <c r="A185" s="2266" t="s">
        <v>4029</v>
      </c>
      <c r="B185" s="1694" t="str">
        <f>CONCATENATE(LEFT(RIGHT(CONCATENATE("000",IFAData_TEA!A185),6),3),"-",(RIGHT(RIGHT(CONCATENATE("000",IFAData_TEA!A185),6),3)))</f>
        <v>015-910</v>
      </c>
      <c r="C185" s="2266" t="s">
        <v>2610</v>
      </c>
      <c r="D185" s="2266">
        <v>1</v>
      </c>
      <c r="E185" s="2266">
        <v>2147</v>
      </c>
      <c r="F185" s="2266" t="s">
        <v>4896</v>
      </c>
      <c r="G185" s="2266" t="s">
        <v>4900</v>
      </c>
      <c r="H185" s="2436">
        <v>6051325</v>
      </c>
      <c r="I185" s="2436">
        <v>813480</v>
      </c>
      <c r="J185" s="2446">
        <v>0.35639462595387744</v>
      </c>
      <c r="K185" s="2436">
        <v>2156659.7099003475</v>
      </c>
      <c r="L185" s="2436">
        <v>813480</v>
      </c>
      <c r="M185" s="2266">
        <v>599</v>
      </c>
    </row>
    <row r="186" spans="1:13" ht="15">
      <c r="A186" s="2266" t="s">
        <v>4029</v>
      </c>
      <c r="B186" s="1694" t="str">
        <f>CONCATENATE(LEFT(RIGHT(CONCATENATE("000",IFAData_TEA!A186),6),3),"-",(RIGHT(RIGHT(CONCATENATE("000",IFAData_TEA!A186),6),3)))</f>
        <v>015-910</v>
      </c>
      <c r="C186" s="2266" t="s">
        <v>2610</v>
      </c>
      <c r="D186" s="2266">
        <v>1</v>
      </c>
      <c r="E186" s="2266">
        <v>2147</v>
      </c>
      <c r="F186" s="2266" t="s">
        <v>4896</v>
      </c>
      <c r="G186" s="2266" t="s">
        <v>4898</v>
      </c>
      <c r="H186" s="2436">
        <v>6051325</v>
      </c>
      <c r="I186" s="2436">
        <v>448875</v>
      </c>
      <c r="J186" s="2446">
        <v>0.19665712460668575</v>
      </c>
      <c r="K186" s="2436">
        <v>1190036.1745605527</v>
      </c>
      <c r="L186" s="2436">
        <v>448875</v>
      </c>
      <c r="M186" s="2266">
        <v>599</v>
      </c>
    </row>
    <row r="187" spans="1:13" ht="15">
      <c r="A187" s="2266" t="s">
        <v>4029</v>
      </c>
      <c r="B187" s="1694" t="str">
        <f>CONCATENATE(LEFT(RIGHT(CONCATENATE("000",IFAData_TEA!A187),6),3),"-",(RIGHT(RIGHT(CONCATENATE("000",IFAData_TEA!A187),6),3)))</f>
        <v>015-910</v>
      </c>
      <c r="C187" s="2266" t="s">
        <v>2610</v>
      </c>
      <c r="D187" s="2266">
        <v>1</v>
      </c>
      <c r="E187" s="2266">
        <v>2147</v>
      </c>
      <c r="F187" s="2266" t="s">
        <v>4896</v>
      </c>
      <c r="G187" s="2266" t="s">
        <v>4899</v>
      </c>
      <c r="H187" s="2436">
        <v>6051325</v>
      </c>
      <c r="I187" s="2436">
        <v>1020171</v>
      </c>
      <c r="J187" s="2446">
        <v>0.44694824943943684</v>
      </c>
      <c r="K187" s="2436">
        <v>2704629.1155391</v>
      </c>
      <c r="L187" s="2436">
        <v>1020171</v>
      </c>
      <c r="M187" s="2266">
        <v>599</v>
      </c>
    </row>
    <row r="188" spans="1:13" ht="15">
      <c r="A188" s="2266" t="s">
        <v>4029</v>
      </c>
      <c r="B188" s="1694" t="str">
        <f>CONCATENATE(LEFT(RIGHT(CONCATENATE("000",IFAData_TEA!A188),6),3),"-",(RIGHT(RIGHT(CONCATENATE("000",IFAData_TEA!A188),6),3)))</f>
        <v>015-910</v>
      </c>
      <c r="C188" s="2266" t="s">
        <v>2610</v>
      </c>
      <c r="D188" s="2266">
        <v>1</v>
      </c>
      <c r="E188" s="2266">
        <v>2147</v>
      </c>
      <c r="F188" s="2266" t="s">
        <v>4896</v>
      </c>
      <c r="G188" s="2266" t="s">
        <v>4897</v>
      </c>
      <c r="H188" s="2436">
        <v>6051325</v>
      </c>
      <c r="I188" s="2436">
        <v>0</v>
      </c>
      <c r="J188" s="2446">
        <v>0</v>
      </c>
      <c r="K188" s="2436">
        <v>0</v>
      </c>
      <c r="L188" s="2436">
        <v>0</v>
      </c>
      <c r="M188" s="2266">
        <v>599</v>
      </c>
    </row>
    <row r="189" spans="1:13" ht="15">
      <c r="A189" s="2266" t="s">
        <v>4030</v>
      </c>
      <c r="B189" s="1694" t="str">
        <f>CONCATENATE(LEFT(RIGHT(CONCATENATE("000",IFAData_TEA!A189),6),3),"-",(RIGHT(RIGHT(CONCATENATE("000",IFAData_TEA!A189),6),3)))</f>
        <v>015-911</v>
      </c>
      <c r="C189" s="2266" t="s">
        <v>1215</v>
      </c>
      <c r="D189" s="2266">
        <v>3</v>
      </c>
      <c r="E189" s="2266">
        <v>1780</v>
      </c>
      <c r="F189" s="2266" t="s">
        <v>4901</v>
      </c>
      <c r="G189" s="2266" t="s">
        <v>4903</v>
      </c>
      <c r="H189" s="2436">
        <v>1803880</v>
      </c>
      <c r="I189" s="2436">
        <v>281466</v>
      </c>
      <c r="J189" s="2446">
        <v>0.13208239558364476</v>
      </c>
      <c r="K189" s="2436">
        <v>238260.79174542511</v>
      </c>
      <c r="L189" s="2436">
        <v>238260.79174542511</v>
      </c>
      <c r="M189" s="2266">
        <v>599</v>
      </c>
    </row>
    <row r="190" spans="1:13" ht="15">
      <c r="A190" s="2266" t="s">
        <v>4030</v>
      </c>
      <c r="B190" s="1694" t="str">
        <f>CONCATENATE(LEFT(RIGHT(CONCATENATE("000",IFAData_TEA!A190),6),3),"-",(RIGHT(RIGHT(CONCATENATE("000",IFAData_TEA!A190),6),3)))</f>
        <v>015-911</v>
      </c>
      <c r="C190" s="2266" t="s">
        <v>1215</v>
      </c>
      <c r="D190" s="2266">
        <v>6</v>
      </c>
      <c r="E190" s="2266">
        <v>1779</v>
      </c>
      <c r="F190" s="2266" t="s">
        <v>4904</v>
      </c>
      <c r="G190" s="2266" t="s">
        <v>4904</v>
      </c>
      <c r="H190" s="2436">
        <v>1625293</v>
      </c>
      <c r="I190" s="2436">
        <v>0</v>
      </c>
      <c r="J190" s="2446">
        <v>0</v>
      </c>
      <c r="K190" s="2436">
        <v>0</v>
      </c>
      <c r="L190" s="2436">
        <v>0</v>
      </c>
      <c r="M190" s="2266">
        <v>599</v>
      </c>
    </row>
    <row r="191" spans="1:13" ht="15">
      <c r="A191" s="2266" t="s">
        <v>4030</v>
      </c>
      <c r="B191" s="1694" t="str">
        <f>CONCATENATE(LEFT(RIGHT(CONCATENATE("000",IFAData_TEA!A191),6),3),"-",(RIGHT(RIGHT(CONCATENATE("000",IFAData_TEA!A191),6),3)))</f>
        <v>015-911</v>
      </c>
      <c r="C191" s="2266" t="s">
        <v>1215</v>
      </c>
      <c r="D191" s="2266">
        <v>9</v>
      </c>
      <c r="E191" s="2266">
        <v>1781</v>
      </c>
      <c r="F191" s="2266" t="s">
        <v>4906</v>
      </c>
      <c r="G191" s="2266" t="s">
        <v>6917</v>
      </c>
      <c r="H191" s="2436">
        <v>2096250</v>
      </c>
      <c r="I191" s="2436">
        <v>398901</v>
      </c>
      <c r="J191" s="2446">
        <v>0.10825906881150621</v>
      </c>
      <c r="K191" s="2436">
        <v>226938.07299611988</v>
      </c>
      <c r="L191" s="2436">
        <v>226938.07299611988</v>
      </c>
      <c r="M191" s="2266">
        <v>599</v>
      </c>
    </row>
    <row r="192" spans="1:13" ht="15">
      <c r="A192" s="2266" t="s">
        <v>4030</v>
      </c>
      <c r="B192" s="1694" t="str">
        <f>CONCATENATE(LEFT(RIGHT(CONCATENATE("000",IFAData_TEA!A192),6),3),"-",(RIGHT(RIGHT(CONCATENATE("000",IFAData_TEA!A192),6),3)))</f>
        <v>015-911</v>
      </c>
      <c r="C192" s="2266" t="s">
        <v>1215</v>
      </c>
      <c r="D192" s="2266">
        <v>6</v>
      </c>
      <c r="E192" s="2266">
        <v>1779</v>
      </c>
      <c r="F192" s="2266" t="s">
        <v>4904</v>
      </c>
      <c r="G192" s="2266" t="s">
        <v>4905</v>
      </c>
      <c r="H192" s="2436">
        <v>1625293</v>
      </c>
      <c r="I192" s="2436">
        <v>1634100</v>
      </c>
      <c r="J192" s="2446">
        <v>1</v>
      </c>
      <c r="K192" s="2436">
        <v>1625293</v>
      </c>
      <c r="L192" s="2436">
        <v>1625293</v>
      </c>
      <c r="M192" s="2266">
        <v>599</v>
      </c>
    </row>
    <row r="193" spans="1:13" ht="15">
      <c r="A193" s="2266" t="s">
        <v>4030</v>
      </c>
      <c r="B193" s="1694" t="str">
        <f>CONCATENATE(LEFT(RIGHT(CONCATENATE("000",IFAData_TEA!A193),6),3),"-",(RIGHT(RIGHT(CONCATENATE("000",IFAData_TEA!A193),6),3)))</f>
        <v>015-911</v>
      </c>
      <c r="C193" s="2266" t="s">
        <v>1215</v>
      </c>
      <c r="D193" s="2266">
        <v>3</v>
      </c>
      <c r="E193" s="2266">
        <v>1780</v>
      </c>
      <c r="F193" s="2266" t="s">
        <v>4901</v>
      </c>
      <c r="G193" s="2266" t="s">
        <v>4901</v>
      </c>
      <c r="H193" s="2436">
        <v>1803880</v>
      </c>
      <c r="I193" s="2436">
        <v>0</v>
      </c>
      <c r="J193" s="2446">
        <v>0</v>
      </c>
      <c r="K193" s="2436">
        <v>0</v>
      </c>
      <c r="L193" s="2436">
        <v>0</v>
      </c>
      <c r="M193" s="2266">
        <v>599</v>
      </c>
    </row>
    <row r="194" spans="1:13" ht="15">
      <c r="A194" s="2266" t="s">
        <v>4030</v>
      </c>
      <c r="B194" s="1694" t="str">
        <f>CONCATENATE(LEFT(RIGHT(CONCATENATE("000",IFAData_TEA!A194),6),3),"-",(RIGHT(RIGHT(CONCATENATE("000",IFAData_TEA!A194),6),3)))</f>
        <v>015-911</v>
      </c>
      <c r="C194" s="2266" t="s">
        <v>1215</v>
      </c>
      <c r="D194" s="2266">
        <v>9</v>
      </c>
      <c r="E194" s="2266">
        <v>1781</v>
      </c>
      <c r="F194" s="2266" t="s">
        <v>4906</v>
      </c>
      <c r="G194" s="2266" t="s">
        <v>6918</v>
      </c>
      <c r="H194" s="2436">
        <v>2096250</v>
      </c>
      <c r="I194" s="2436">
        <v>220025</v>
      </c>
      <c r="J194" s="2446">
        <v>5.971331637486909E-2</v>
      </c>
      <c r="K194" s="2436">
        <v>125174.03945081933</v>
      </c>
      <c r="L194" s="2436">
        <v>125174.03945081933</v>
      </c>
      <c r="M194" s="2266">
        <v>599</v>
      </c>
    </row>
    <row r="195" spans="1:13" ht="15">
      <c r="A195" s="2266" t="s">
        <v>4030</v>
      </c>
      <c r="B195" s="1694" t="str">
        <f>CONCATENATE(LEFT(RIGHT(CONCATENATE("000",IFAData_TEA!A195),6),3),"-",(RIGHT(RIGHT(CONCATENATE("000",IFAData_TEA!A195),6),3)))</f>
        <v>015-911</v>
      </c>
      <c r="C195" s="2266" t="s">
        <v>1215</v>
      </c>
      <c r="D195" s="2266">
        <v>3</v>
      </c>
      <c r="E195" s="2266">
        <v>1780</v>
      </c>
      <c r="F195" s="2266" t="s">
        <v>4901</v>
      </c>
      <c r="G195" s="2266" t="s">
        <v>4902</v>
      </c>
      <c r="H195" s="2436">
        <v>1803880</v>
      </c>
      <c r="I195" s="2436">
        <v>1849522</v>
      </c>
      <c r="J195" s="2446">
        <v>0.86791760441635524</v>
      </c>
      <c r="K195" s="2436">
        <v>1565619.2082545748</v>
      </c>
      <c r="L195" s="2436">
        <v>1565619.2082545748</v>
      </c>
      <c r="M195" s="2266">
        <v>599</v>
      </c>
    </row>
    <row r="196" spans="1:13" ht="15">
      <c r="A196" s="2266" t="s">
        <v>4030</v>
      </c>
      <c r="B196" s="1694" t="str">
        <f>CONCATENATE(LEFT(RIGHT(CONCATENATE("000",IFAData_TEA!A196),6),3),"-",(RIGHT(RIGHT(CONCATENATE("000",IFAData_TEA!A196),6),3)))</f>
        <v>015-911</v>
      </c>
      <c r="C196" s="2266" t="s">
        <v>1215</v>
      </c>
      <c r="D196" s="2266">
        <v>9</v>
      </c>
      <c r="E196" s="2266">
        <v>1781</v>
      </c>
      <c r="F196" s="2266" t="s">
        <v>4906</v>
      </c>
      <c r="G196" s="2266" t="s">
        <v>4906</v>
      </c>
      <c r="H196" s="2436">
        <v>2096250</v>
      </c>
      <c r="I196" s="2436">
        <v>3065763</v>
      </c>
      <c r="J196" s="2446">
        <v>0.83202761481362475</v>
      </c>
      <c r="K196" s="2436">
        <v>1744137.8875530609</v>
      </c>
      <c r="L196" s="2436">
        <v>1744137.8875530609</v>
      </c>
      <c r="M196" s="2266">
        <v>599</v>
      </c>
    </row>
    <row r="197" spans="1:13" ht="15">
      <c r="A197" s="2266" t="s">
        <v>4031</v>
      </c>
      <c r="B197" s="1694" t="str">
        <f>CONCATENATE(LEFT(RIGHT(CONCATENATE("000",IFAData_TEA!A197),6),3),"-",(RIGHT(RIGHT(CONCATENATE("000",IFAData_TEA!A197),6),3)))</f>
        <v>015-912</v>
      </c>
      <c r="C197" s="2266" t="s">
        <v>2208</v>
      </c>
      <c r="D197" s="2266">
        <v>9</v>
      </c>
      <c r="E197" s="2266">
        <v>2366</v>
      </c>
      <c r="F197" s="2266" t="s">
        <v>4913</v>
      </c>
      <c r="G197" s="2266" t="s">
        <v>6919</v>
      </c>
      <c r="H197" s="2436">
        <v>907250</v>
      </c>
      <c r="I197" s="2436">
        <v>515694</v>
      </c>
      <c r="J197" s="2446">
        <v>0.44083682180051925</v>
      </c>
      <c r="K197" s="2436">
        <v>399949.20657852112</v>
      </c>
      <c r="L197" s="2436">
        <v>399949.20657852112</v>
      </c>
      <c r="M197" s="2266">
        <v>599</v>
      </c>
    </row>
    <row r="198" spans="1:13" ht="15">
      <c r="A198" s="2266" t="s">
        <v>4031</v>
      </c>
      <c r="B198" s="1694" t="str">
        <f>CONCATENATE(LEFT(RIGHT(CONCATENATE("000",IFAData_TEA!A198),6),3),"-",(RIGHT(RIGHT(CONCATENATE("000",IFAData_TEA!A198),6),3)))</f>
        <v>015-912</v>
      </c>
      <c r="C198" s="2266" t="s">
        <v>2208</v>
      </c>
      <c r="D198" s="2266">
        <v>8</v>
      </c>
      <c r="E198" s="2266">
        <v>2370</v>
      </c>
      <c r="F198" s="2266" t="s">
        <v>4912</v>
      </c>
      <c r="G198" s="2266" t="s">
        <v>4912</v>
      </c>
      <c r="H198" s="2436">
        <v>2355500</v>
      </c>
      <c r="I198" s="2436">
        <v>1056584</v>
      </c>
      <c r="J198" s="2446">
        <v>0.44797310933490714</v>
      </c>
      <c r="K198" s="2436">
        <v>1055200.6590383737</v>
      </c>
      <c r="L198" s="2436">
        <v>1055200.6590383737</v>
      </c>
      <c r="M198" s="2266">
        <v>599</v>
      </c>
    </row>
    <row r="199" spans="1:13" ht="15">
      <c r="A199" s="2266" t="s">
        <v>4031</v>
      </c>
      <c r="B199" s="1694" t="str">
        <f>CONCATENATE(LEFT(RIGHT(CONCATENATE("000",IFAData_TEA!A199),6),3),"-",(RIGHT(RIGHT(CONCATENATE("000",IFAData_TEA!A199),6),3)))</f>
        <v>015-912</v>
      </c>
      <c r="C199" s="2266" t="s">
        <v>2208</v>
      </c>
      <c r="D199" s="2266">
        <v>9</v>
      </c>
      <c r="E199" s="2266">
        <v>2366</v>
      </c>
      <c r="F199" s="2266" t="s">
        <v>4913</v>
      </c>
      <c r="G199" s="2266" t="s">
        <v>4913</v>
      </c>
      <c r="H199" s="2436">
        <v>907250</v>
      </c>
      <c r="I199" s="2436">
        <v>654113</v>
      </c>
      <c r="J199" s="2446">
        <v>0.5591631781994808</v>
      </c>
      <c r="K199" s="2436">
        <v>507300.79342147894</v>
      </c>
      <c r="L199" s="2436">
        <v>507300.79342147894</v>
      </c>
      <c r="M199" s="2266">
        <v>599</v>
      </c>
    </row>
    <row r="200" spans="1:13" ht="15">
      <c r="A200" s="2266" t="s">
        <v>4031</v>
      </c>
      <c r="B200" s="1694" t="str">
        <f>CONCATENATE(LEFT(RIGHT(CONCATENATE("000",IFAData_TEA!A200),6),3),"-",(RIGHT(RIGHT(CONCATENATE("000",IFAData_TEA!A200),6),3)))</f>
        <v>015-912</v>
      </c>
      <c r="C200" s="2266" t="s">
        <v>2208</v>
      </c>
      <c r="D200" s="2266">
        <v>4</v>
      </c>
      <c r="E200" s="2266">
        <v>2369</v>
      </c>
      <c r="F200" s="2266" t="s">
        <v>4907</v>
      </c>
      <c r="G200" s="2266" t="s">
        <v>4907</v>
      </c>
      <c r="H200" s="2436">
        <v>2212705</v>
      </c>
      <c r="I200" s="2436">
        <v>0</v>
      </c>
      <c r="J200" s="2446">
        <v>0</v>
      </c>
      <c r="K200" s="2436">
        <v>0</v>
      </c>
      <c r="L200" s="2436">
        <v>0</v>
      </c>
      <c r="M200" s="2266">
        <v>599</v>
      </c>
    </row>
    <row r="201" spans="1:13" ht="15">
      <c r="A201" s="2266" t="s">
        <v>4031</v>
      </c>
      <c r="B201" s="1694" t="str">
        <f>CONCATENATE(LEFT(RIGHT(CONCATENATE("000",IFAData_TEA!A201),6),3),"-",(RIGHT(RIGHT(CONCATENATE("000",IFAData_TEA!A201),6),3)))</f>
        <v>015-912</v>
      </c>
      <c r="C201" s="2266" t="s">
        <v>2208</v>
      </c>
      <c r="D201" s="2266">
        <v>4</v>
      </c>
      <c r="E201" s="2266">
        <v>2369</v>
      </c>
      <c r="F201" s="2266" t="s">
        <v>4907</v>
      </c>
      <c r="G201" s="2266" t="s">
        <v>4908</v>
      </c>
      <c r="H201" s="2436">
        <v>2212705</v>
      </c>
      <c r="I201" s="2436">
        <v>2128512</v>
      </c>
      <c r="J201" s="2446">
        <v>1</v>
      </c>
      <c r="K201" s="2436">
        <v>2212705</v>
      </c>
      <c r="L201" s="2436">
        <v>2128512</v>
      </c>
      <c r="M201" s="2266">
        <v>599</v>
      </c>
    </row>
    <row r="202" spans="1:13" ht="15">
      <c r="A202" s="2266" t="s">
        <v>4031</v>
      </c>
      <c r="B202" s="1694" t="str">
        <f>CONCATENATE(LEFT(RIGHT(CONCATENATE("000",IFAData_TEA!A202),6),3),"-",(RIGHT(RIGHT(CONCATENATE("000",IFAData_TEA!A202),6),3)))</f>
        <v>015-912</v>
      </c>
      <c r="C202" s="2266" t="s">
        <v>2208</v>
      </c>
      <c r="D202" s="2266">
        <v>6</v>
      </c>
      <c r="E202" s="2266">
        <v>2368</v>
      </c>
      <c r="F202" s="2266" t="s">
        <v>4909</v>
      </c>
      <c r="G202" s="2266" t="s">
        <v>4909</v>
      </c>
      <c r="H202" s="2436">
        <v>1856996</v>
      </c>
      <c r="I202" s="2436">
        <v>0</v>
      </c>
      <c r="J202" s="2446">
        <v>0</v>
      </c>
      <c r="K202" s="2436">
        <v>0</v>
      </c>
      <c r="L202" s="2436">
        <v>0</v>
      </c>
      <c r="M202" s="2266">
        <v>599</v>
      </c>
    </row>
    <row r="203" spans="1:13" ht="15">
      <c r="A203" s="2266" t="s">
        <v>4031</v>
      </c>
      <c r="B203" s="1694" t="str">
        <f>CONCATENATE(LEFT(RIGHT(CONCATENATE("000",IFAData_TEA!A203),6),3),"-",(RIGHT(RIGHT(CONCATENATE("000",IFAData_TEA!A203),6),3)))</f>
        <v>015-912</v>
      </c>
      <c r="C203" s="2266" t="s">
        <v>2208</v>
      </c>
      <c r="D203" s="2266">
        <v>8</v>
      </c>
      <c r="E203" s="2266">
        <v>2370</v>
      </c>
      <c r="F203" s="2266" t="s">
        <v>4912</v>
      </c>
      <c r="G203" s="2266" t="s">
        <v>6919</v>
      </c>
      <c r="H203" s="2436">
        <v>2355500</v>
      </c>
      <c r="I203" s="2436">
        <v>1302004</v>
      </c>
      <c r="J203" s="2446">
        <v>0.55202689066509281</v>
      </c>
      <c r="K203" s="2436">
        <v>1300299.340961626</v>
      </c>
      <c r="L203" s="2436">
        <v>1300299.340961626</v>
      </c>
      <c r="M203" s="2266">
        <v>599</v>
      </c>
    </row>
    <row r="204" spans="1:13" ht="15">
      <c r="A204" s="2266" t="s">
        <v>4031</v>
      </c>
      <c r="B204" s="1694" t="str">
        <f>CONCATENATE(LEFT(RIGHT(CONCATENATE("000",IFAData_TEA!A204),6),3),"-",(RIGHT(RIGHT(CONCATENATE("000",IFAData_TEA!A204),6),3)))</f>
        <v>015-912</v>
      </c>
      <c r="C204" s="2266" t="s">
        <v>2208</v>
      </c>
      <c r="D204" s="2266">
        <v>6</v>
      </c>
      <c r="E204" s="2266">
        <v>2368</v>
      </c>
      <c r="F204" s="2266" t="s">
        <v>4909</v>
      </c>
      <c r="G204" s="2266" t="s">
        <v>4911</v>
      </c>
      <c r="H204" s="2436">
        <v>1856996</v>
      </c>
      <c r="I204" s="2436">
        <v>1227200</v>
      </c>
      <c r="J204" s="2446">
        <v>0.70626069721374629</v>
      </c>
      <c r="K204" s="2436">
        <v>1311523.289683138</v>
      </c>
      <c r="L204" s="2436">
        <v>1227200</v>
      </c>
      <c r="M204" s="2266">
        <v>599</v>
      </c>
    </row>
    <row r="205" spans="1:13" ht="15">
      <c r="A205" s="2266" t="s">
        <v>4031</v>
      </c>
      <c r="B205" s="1694" t="str">
        <f>CONCATENATE(LEFT(RIGHT(CONCATENATE("000",IFAData_TEA!A205),6),3),"-",(RIGHT(RIGHT(CONCATENATE("000",IFAData_TEA!A205),6),3)))</f>
        <v>015-912</v>
      </c>
      <c r="C205" s="2266" t="s">
        <v>2208</v>
      </c>
      <c r="D205" s="2266">
        <v>6</v>
      </c>
      <c r="E205" s="2266">
        <v>2368</v>
      </c>
      <c r="F205" s="2266" t="s">
        <v>4909</v>
      </c>
      <c r="G205" s="2266" t="s">
        <v>4910</v>
      </c>
      <c r="H205" s="2436">
        <v>1856996</v>
      </c>
      <c r="I205" s="2436">
        <v>510402</v>
      </c>
      <c r="J205" s="2446">
        <v>0.29373930278625371</v>
      </c>
      <c r="K205" s="2436">
        <v>545472.71031686198</v>
      </c>
      <c r="L205" s="2436">
        <v>510402</v>
      </c>
      <c r="M205" s="2266">
        <v>599</v>
      </c>
    </row>
    <row r="206" spans="1:13" ht="15">
      <c r="A206" s="2266" t="s">
        <v>4031</v>
      </c>
      <c r="B206" s="1694" t="str">
        <f>CONCATENATE(LEFT(RIGHT(CONCATENATE("000",IFAData_TEA!A206),6),3),"-",(RIGHT(RIGHT(CONCATENATE("000",IFAData_TEA!A206),6),3)))</f>
        <v>015-912</v>
      </c>
      <c r="C206" s="2266" t="s">
        <v>2208</v>
      </c>
      <c r="D206" s="2266">
        <v>9</v>
      </c>
      <c r="E206" s="2266">
        <v>2367</v>
      </c>
      <c r="F206" s="2266" t="s">
        <v>4914</v>
      </c>
      <c r="G206" s="2266" t="s">
        <v>4914</v>
      </c>
      <c r="H206" s="2436">
        <v>1378513</v>
      </c>
      <c r="I206" s="2436">
        <v>1380354</v>
      </c>
      <c r="J206" s="2446">
        <v>1</v>
      </c>
      <c r="K206" s="2436">
        <v>1378513</v>
      </c>
      <c r="L206" s="2436">
        <v>1378513</v>
      </c>
      <c r="M206" s="2266">
        <v>599</v>
      </c>
    </row>
    <row r="207" spans="1:13" ht="15">
      <c r="A207" s="2266" t="s">
        <v>4032</v>
      </c>
      <c r="B207" s="1694" t="str">
        <f>CONCATENATE(LEFT(RIGHT(CONCATENATE("000",IFAData_TEA!A207),6),3),"-",(RIGHT(RIGHT(CONCATENATE("000",IFAData_TEA!A207),6),3)))</f>
        <v>015-915</v>
      </c>
      <c r="C207" s="2266" t="s">
        <v>2612</v>
      </c>
      <c r="D207" s="2266">
        <v>1</v>
      </c>
      <c r="E207" s="2266">
        <v>2152</v>
      </c>
      <c r="F207" s="2266" t="s">
        <v>4915</v>
      </c>
      <c r="G207" s="2266" t="s">
        <v>4920</v>
      </c>
      <c r="H207" s="2436">
        <v>1368888</v>
      </c>
      <c r="I207" s="2436">
        <v>233463</v>
      </c>
      <c r="J207" s="2446">
        <v>0.16115411536183624</v>
      </c>
      <c r="K207" s="2436">
        <v>220601.93466943328</v>
      </c>
      <c r="L207" s="2436">
        <v>220601.93466943328</v>
      </c>
      <c r="M207" s="2266">
        <v>599</v>
      </c>
    </row>
    <row r="208" spans="1:13" ht="15">
      <c r="A208" s="2266" t="s">
        <v>4032</v>
      </c>
      <c r="B208" s="1694" t="str">
        <f>CONCATENATE(LEFT(RIGHT(CONCATENATE("000",IFAData_TEA!A208),6),3),"-",(RIGHT(RIGHT(CONCATENATE("000",IFAData_TEA!A208),6),3)))</f>
        <v>015-915</v>
      </c>
      <c r="C208" s="2266" t="s">
        <v>2612</v>
      </c>
      <c r="D208" s="2266">
        <v>1</v>
      </c>
      <c r="E208" s="2266">
        <v>2153</v>
      </c>
      <c r="F208" s="2266" t="s">
        <v>4921</v>
      </c>
      <c r="G208" s="2266" t="s">
        <v>4921</v>
      </c>
      <c r="H208" s="2436">
        <v>3069626</v>
      </c>
      <c r="I208" s="2436">
        <v>0</v>
      </c>
      <c r="J208" s="2446">
        <v>0</v>
      </c>
      <c r="K208" s="2436">
        <v>0</v>
      </c>
      <c r="L208" s="2436">
        <v>0</v>
      </c>
      <c r="M208" s="2266">
        <v>599</v>
      </c>
    </row>
    <row r="209" spans="1:13" ht="15">
      <c r="A209" s="2266" t="s">
        <v>4032</v>
      </c>
      <c r="B209" s="1694" t="str">
        <f>CONCATENATE(LEFT(RIGHT(CONCATENATE("000",IFAData_TEA!A209),6),3),"-",(RIGHT(RIGHT(CONCATENATE("000",IFAData_TEA!A209),6),3)))</f>
        <v>015-915</v>
      </c>
      <c r="C209" s="2266" t="s">
        <v>2612</v>
      </c>
      <c r="D209" s="2266">
        <v>1</v>
      </c>
      <c r="E209" s="2266">
        <v>2152</v>
      </c>
      <c r="F209" s="2266" t="s">
        <v>4915</v>
      </c>
      <c r="G209" s="2266" t="s">
        <v>4915</v>
      </c>
      <c r="H209" s="2436">
        <v>1368888</v>
      </c>
      <c r="I209" s="2436">
        <v>0</v>
      </c>
      <c r="J209" s="2446">
        <v>0</v>
      </c>
      <c r="K209" s="2436">
        <v>0</v>
      </c>
      <c r="L209" s="2436">
        <v>0</v>
      </c>
      <c r="M209" s="2266">
        <v>599</v>
      </c>
    </row>
    <row r="210" spans="1:13" ht="15">
      <c r="A210" s="2266" t="s">
        <v>4032</v>
      </c>
      <c r="B210" s="1694" t="str">
        <f>CONCATENATE(LEFT(RIGHT(CONCATENATE("000",IFAData_TEA!A210),6),3),"-",(RIGHT(RIGHT(CONCATENATE("000",IFAData_TEA!A210),6),3)))</f>
        <v>015-915</v>
      </c>
      <c r="C210" s="2266" t="s">
        <v>2612</v>
      </c>
      <c r="D210" s="2266">
        <v>1</v>
      </c>
      <c r="E210" s="2266">
        <v>2152</v>
      </c>
      <c r="F210" s="2266" t="s">
        <v>4915</v>
      </c>
      <c r="G210" s="2266" t="s">
        <v>4916</v>
      </c>
      <c r="H210" s="2436">
        <v>1368888</v>
      </c>
      <c r="I210" s="2436">
        <v>0</v>
      </c>
      <c r="J210" s="2446">
        <v>0</v>
      </c>
      <c r="K210" s="2436">
        <v>0</v>
      </c>
      <c r="L210" s="2436">
        <v>0</v>
      </c>
      <c r="M210" s="2266">
        <v>599</v>
      </c>
    </row>
    <row r="211" spans="1:13" ht="15">
      <c r="A211" s="2266" t="s">
        <v>4032</v>
      </c>
      <c r="B211" s="1694" t="str">
        <f>CONCATENATE(LEFT(RIGHT(CONCATENATE("000",IFAData_TEA!A211),6),3),"-",(RIGHT(RIGHT(CONCATENATE("000",IFAData_TEA!A211),6),3)))</f>
        <v>015-915</v>
      </c>
      <c r="C211" s="2266" t="s">
        <v>2612</v>
      </c>
      <c r="D211" s="2266">
        <v>1</v>
      </c>
      <c r="E211" s="2266">
        <v>2153</v>
      </c>
      <c r="F211" s="2266" t="s">
        <v>4921</v>
      </c>
      <c r="G211" s="2266" t="s">
        <v>4918</v>
      </c>
      <c r="H211" s="2436">
        <v>3069626</v>
      </c>
      <c r="I211" s="2436">
        <v>48162</v>
      </c>
      <c r="J211" s="2446">
        <v>4.7306369691391799E-2</v>
      </c>
      <c r="K211" s="2436">
        <v>145212.86237030826</v>
      </c>
      <c r="L211" s="2436">
        <v>48162</v>
      </c>
      <c r="M211" s="2266">
        <v>599</v>
      </c>
    </row>
    <row r="212" spans="1:13" ht="15">
      <c r="A212" s="2266" t="s">
        <v>4032</v>
      </c>
      <c r="B212" s="1694" t="str">
        <f>CONCATENATE(LEFT(RIGHT(CONCATENATE("000",IFAData_TEA!A212),6),3),"-",(RIGHT(RIGHT(CONCATENATE("000",IFAData_TEA!A212),6),3)))</f>
        <v>015-915</v>
      </c>
      <c r="C212" s="2266" t="s">
        <v>2612</v>
      </c>
      <c r="D212" s="2266">
        <v>1</v>
      </c>
      <c r="E212" s="2266">
        <v>2153</v>
      </c>
      <c r="F212" s="2266" t="s">
        <v>4921</v>
      </c>
      <c r="G212" s="2266" t="s">
        <v>4919</v>
      </c>
      <c r="H212" s="2436">
        <v>3069626</v>
      </c>
      <c r="I212" s="2436">
        <v>122882</v>
      </c>
      <c r="J212" s="2446">
        <v>0.12069891865822861</v>
      </c>
      <c r="K212" s="2436">
        <v>370500.53888518369</v>
      </c>
      <c r="L212" s="2436">
        <v>122882</v>
      </c>
      <c r="M212" s="2266">
        <v>599</v>
      </c>
    </row>
    <row r="213" spans="1:13" ht="15">
      <c r="A213" s="2266" t="s">
        <v>4032</v>
      </c>
      <c r="B213" s="1694" t="str">
        <f>CONCATENATE(LEFT(RIGHT(CONCATENATE("000",IFAData_TEA!A213),6),3),"-",(RIGHT(RIGHT(CONCATENATE("000",IFAData_TEA!A213),6),3)))</f>
        <v>015-915</v>
      </c>
      <c r="C213" s="2266" t="s">
        <v>2612</v>
      </c>
      <c r="D213" s="2266">
        <v>1</v>
      </c>
      <c r="E213" s="2266">
        <v>2153</v>
      </c>
      <c r="F213" s="2266" t="s">
        <v>4921</v>
      </c>
      <c r="G213" s="2266" t="s">
        <v>6920</v>
      </c>
      <c r="H213" s="2436">
        <v>3069626</v>
      </c>
      <c r="I213" s="2436">
        <v>137010</v>
      </c>
      <c r="J213" s="2446">
        <v>0.13457592524018086</v>
      </c>
      <c r="K213" s="2436">
        <v>413097.75909131544</v>
      </c>
      <c r="L213" s="2436">
        <v>137010</v>
      </c>
      <c r="M213" s="2266">
        <v>599</v>
      </c>
    </row>
    <row r="214" spans="1:13" ht="15">
      <c r="A214" s="2266" t="s">
        <v>4032</v>
      </c>
      <c r="B214" s="1694" t="str">
        <f>CONCATENATE(LEFT(RIGHT(CONCATENATE("000",IFAData_TEA!A214),6),3),"-",(RIGHT(RIGHT(CONCATENATE("000",IFAData_TEA!A214),6),3)))</f>
        <v>015-915</v>
      </c>
      <c r="C214" s="2266" t="s">
        <v>2612</v>
      </c>
      <c r="D214" s="2266">
        <v>1</v>
      </c>
      <c r="E214" s="2266">
        <v>2153</v>
      </c>
      <c r="F214" s="2266" t="s">
        <v>4921</v>
      </c>
      <c r="G214" s="2266" t="s">
        <v>4922</v>
      </c>
      <c r="H214" s="2436">
        <v>3069626</v>
      </c>
      <c r="I214" s="2436">
        <v>169000</v>
      </c>
      <c r="J214" s="2446">
        <v>0.16599760138377173</v>
      </c>
      <c r="K214" s="2436">
        <v>509550.55314526166</v>
      </c>
      <c r="L214" s="2436">
        <v>169000</v>
      </c>
      <c r="M214" s="2266">
        <v>599</v>
      </c>
    </row>
    <row r="215" spans="1:13" ht="15">
      <c r="A215" s="2266" t="s">
        <v>4032</v>
      </c>
      <c r="B215" s="1694" t="str">
        <f>CONCATENATE(LEFT(RIGHT(CONCATENATE("000",IFAData_TEA!A215),6),3),"-",(RIGHT(RIGHT(CONCATENATE("000",IFAData_TEA!A215),6),3)))</f>
        <v>015-915</v>
      </c>
      <c r="C215" s="2266" t="s">
        <v>2612</v>
      </c>
      <c r="D215" s="2266">
        <v>1</v>
      </c>
      <c r="E215" s="2266">
        <v>2153</v>
      </c>
      <c r="F215" s="2266" t="s">
        <v>4921</v>
      </c>
      <c r="G215" s="2266" t="s">
        <v>4916</v>
      </c>
      <c r="H215" s="2436">
        <v>3069626</v>
      </c>
      <c r="I215" s="2436">
        <v>0</v>
      </c>
      <c r="J215" s="2446">
        <v>0</v>
      </c>
      <c r="K215" s="2436">
        <v>0</v>
      </c>
      <c r="L215" s="2436">
        <v>0</v>
      </c>
      <c r="M215" s="2266">
        <v>599</v>
      </c>
    </row>
    <row r="216" spans="1:13" ht="15">
      <c r="A216" s="2266" t="s">
        <v>4032</v>
      </c>
      <c r="B216" s="1694" t="str">
        <f>CONCATENATE(LEFT(RIGHT(CONCATENATE("000",IFAData_TEA!A216),6),3),"-",(RIGHT(RIGHT(CONCATENATE("000",IFAData_TEA!A216),6),3)))</f>
        <v>015-915</v>
      </c>
      <c r="C216" s="2266" t="s">
        <v>2612</v>
      </c>
      <c r="D216" s="2266">
        <v>1</v>
      </c>
      <c r="E216" s="2266">
        <v>2153</v>
      </c>
      <c r="F216" s="2266" t="s">
        <v>4921</v>
      </c>
      <c r="G216" s="2266" t="s">
        <v>4917</v>
      </c>
      <c r="H216" s="2436">
        <v>3069626</v>
      </c>
      <c r="I216" s="2436">
        <v>142713</v>
      </c>
      <c r="J216" s="2446">
        <v>0.14017760761113734</v>
      </c>
      <c r="K216" s="2436">
        <v>430292.8289409451</v>
      </c>
      <c r="L216" s="2436">
        <v>142713</v>
      </c>
      <c r="M216" s="2266">
        <v>599</v>
      </c>
    </row>
    <row r="217" spans="1:13" ht="15">
      <c r="A217" s="2266" t="s">
        <v>4032</v>
      </c>
      <c r="B217" s="1694" t="str">
        <f>CONCATENATE(LEFT(RIGHT(CONCATENATE("000",IFAData_TEA!A217),6),3),"-",(RIGHT(RIGHT(CONCATENATE("000",IFAData_TEA!A217),6),3)))</f>
        <v>015-915</v>
      </c>
      <c r="C217" s="2266" t="s">
        <v>2612</v>
      </c>
      <c r="D217" s="2266">
        <v>1</v>
      </c>
      <c r="E217" s="2266">
        <v>2152</v>
      </c>
      <c r="F217" s="2266" t="s">
        <v>4915</v>
      </c>
      <c r="G217" s="2266" t="s">
        <v>4918</v>
      </c>
      <c r="H217" s="2436">
        <v>1368888</v>
      </c>
      <c r="I217" s="2436">
        <v>277143</v>
      </c>
      <c r="J217" s="2446">
        <v>0.1913054102522686</v>
      </c>
      <c r="K217" s="2436">
        <v>261875.68042940745</v>
      </c>
      <c r="L217" s="2436">
        <v>261875.68042940745</v>
      </c>
      <c r="M217" s="2266">
        <v>599</v>
      </c>
    </row>
    <row r="218" spans="1:13" ht="15">
      <c r="A218" s="2266" t="s">
        <v>4032</v>
      </c>
      <c r="B218" s="1694" t="str">
        <f>CONCATENATE(LEFT(RIGHT(CONCATENATE("000",IFAData_TEA!A218),6),3),"-",(RIGHT(RIGHT(CONCATENATE("000",IFAData_TEA!A218),6),3)))</f>
        <v>015-915</v>
      </c>
      <c r="C218" s="2266" t="s">
        <v>2612</v>
      </c>
      <c r="D218" s="2266">
        <v>1</v>
      </c>
      <c r="E218" s="2266">
        <v>2153</v>
      </c>
      <c r="F218" s="2266" t="s">
        <v>4921</v>
      </c>
      <c r="G218" s="2266" t="s">
        <v>4920</v>
      </c>
      <c r="H218" s="2436">
        <v>3069626</v>
      </c>
      <c r="I218" s="2436">
        <v>398320</v>
      </c>
      <c r="J218" s="2446">
        <v>0.39124357741528965</v>
      </c>
      <c r="K218" s="2436">
        <v>1200971.4575669859</v>
      </c>
      <c r="L218" s="2436">
        <v>398320</v>
      </c>
      <c r="M218" s="2266">
        <v>599</v>
      </c>
    </row>
    <row r="219" spans="1:13" ht="15">
      <c r="A219" s="2266" t="s">
        <v>4032</v>
      </c>
      <c r="B219" s="1694" t="str">
        <f>CONCATENATE(LEFT(RIGHT(CONCATENATE("000",IFAData_TEA!A219),6),3),"-",(RIGHT(RIGHT(CONCATENATE("000",IFAData_TEA!A219),6),3)))</f>
        <v>015-915</v>
      </c>
      <c r="C219" s="2266" t="s">
        <v>2612</v>
      </c>
      <c r="D219" s="2266">
        <v>1</v>
      </c>
      <c r="E219" s="2266">
        <v>2152</v>
      </c>
      <c r="F219" s="2266" t="s">
        <v>4915</v>
      </c>
      <c r="G219" s="2266" t="s">
        <v>4917</v>
      </c>
      <c r="H219" s="2436">
        <v>1368888</v>
      </c>
      <c r="I219" s="2436">
        <v>231577</v>
      </c>
      <c r="J219" s="2446">
        <v>0.1598522531328217</v>
      </c>
      <c r="K219" s="2436">
        <v>218819.83108648204</v>
      </c>
      <c r="L219" s="2436">
        <v>218819.83108648204</v>
      </c>
      <c r="M219" s="2266">
        <v>599</v>
      </c>
    </row>
    <row r="220" spans="1:13" ht="15">
      <c r="A220" s="2266" t="s">
        <v>4032</v>
      </c>
      <c r="B220" s="1694" t="str">
        <f>CONCATENATE(LEFT(RIGHT(CONCATENATE("000",IFAData_TEA!A220),6),3),"-",(RIGHT(RIGHT(CONCATENATE("000",IFAData_TEA!A220),6),3)))</f>
        <v>015-915</v>
      </c>
      <c r="C220" s="2266" t="s">
        <v>2612</v>
      </c>
      <c r="D220" s="2266">
        <v>1</v>
      </c>
      <c r="E220" s="2266">
        <v>2152</v>
      </c>
      <c r="F220" s="2266" t="s">
        <v>4915</v>
      </c>
      <c r="G220" s="2266" t="s">
        <v>4919</v>
      </c>
      <c r="H220" s="2436">
        <v>1368888</v>
      </c>
      <c r="I220" s="2436">
        <v>706511</v>
      </c>
      <c r="J220" s="2446">
        <v>0.48768822125307348</v>
      </c>
      <c r="K220" s="2436">
        <v>667590.55381467729</v>
      </c>
      <c r="L220" s="2436">
        <v>667590.55381467729</v>
      </c>
      <c r="M220" s="2266">
        <v>599</v>
      </c>
    </row>
    <row r="221" spans="1:13" ht="15">
      <c r="A221" s="2266" t="s">
        <v>4033</v>
      </c>
      <c r="B221" s="1694" t="str">
        <f>CONCATENATE(LEFT(RIGHT(CONCATENATE("000",IFAData_TEA!A221),6),3),"-",(RIGHT(RIGHT(CONCATENATE("000",IFAData_TEA!A221),6),3)))</f>
        <v>015-916</v>
      </c>
      <c r="C221" s="2266" t="s">
        <v>448</v>
      </c>
      <c r="D221" s="2266">
        <v>6</v>
      </c>
      <c r="E221" s="2266">
        <v>1938</v>
      </c>
      <c r="F221" s="2266" t="s">
        <v>4924</v>
      </c>
      <c r="G221" s="2266" t="s">
        <v>4926</v>
      </c>
      <c r="H221" s="2436">
        <v>3992710</v>
      </c>
      <c r="I221" s="2436">
        <v>0</v>
      </c>
      <c r="J221" s="2446">
        <v>0</v>
      </c>
      <c r="K221" s="2436">
        <v>0</v>
      </c>
      <c r="L221" s="2436">
        <v>0</v>
      </c>
      <c r="M221" s="2266">
        <v>599</v>
      </c>
    </row>
    <row r="222" spans="1:13" ht="15">
      <c r="A222" s="2266" t="s">
        <v>4033</v>
      </c>
      <c r="B222" s="1694" t="str">
        <f>CONCATENATE(LEFT(RIGHT(CONCATENATE("000",IFAData_TEA!A222),6),3),"-",(RIGHT(RIGHT(CONCATENATE("000",IFAData_TEA!A222),6),3)))</f>
        <v>015-916</v>
      </c>
      <c r="C222" s="2266" t="s">
        <v>448</v>
      </c>
      <c r="D222" s="2266">
        <v>1</v>
      </c>
      <c r="E222" s="2266">
        <v>1937</v>
      </c>
      <c r="F222" s="2266" t="s">
        <v>4923</v>
      </c>
      <c r="G222" s="2266" t="s">
        <v>4923</v>
      </c>
      <c r="H222" s="2436">
        <v>738000</v>
      </c>
      <c r="I222" s="2436">
        <v>0</v>
      </c>
      <c r="J222" s="2446">
        <v>0</v>
      </c>
      <c r="K222" s="2436"/>
      <c r="L222" s="2436">
        <v>0</v>
      </c>
      <c r="M222" s="2266">
        <v>599</v>
      </c>
    </row>
    <row r="223" spans="1:13" ht="15">
      <c r="A223" s="2266" t="s">
        <v>4033</v>
      </c>
      <c r="B223" s="1694" t="str">
        <f>CONCATENATE(LEFT(RIGHT(CONCATENATE("000",IFAData_TEA!A223),6),3),"-",(RIGHT(RIGHT(CONCATENATE("000",IFAData_TEA!A223),6),3)))</f>
        <v>015-916</v>
      </c>
      <c r="C223" s="2266" t="s">
        <v>448</v>
      </c>
      <c r="D223" s="2266">
        <v>6</v>
      </c>
      <c r="E223" s="2266">
        <v>1938</v>
      </c>
      <c r="F223" s="2266" t="s">
        <v>4924</v>
      </c>
      <c r="G223" s="2266" t="s">
        <v>4924</v>
      </c>
      <c r="H223" s="2436">
        <v>3992710</v>
      </c>
      <c r="I223" s="2436">
        <v>0</v>
      </c>
      <c r="J223" s="2446">
        <v>0</v>
      </c>
      <c r="K223" s="2436">
        <v>0</v>
      </c>
      <c r="L223" s="2436">
        <v>0</v>
      </c>
      <c r="M223" s="2266">
        <v>599</v>
      </c>
    </row>
    <row r="224" spans="1:13" ht="15">
      <c r="A224" s="2266" t="s">
        <v>4033</v>
      </c>
      <c r="B224" s="1694" t="str">
        <f>CONCATENATE(LEFT(RIGHT(CONCATENATE("000",IFAData_TEA!A224),6),3),"-",(RIGHT(RIGHT(CONCATENATE("000",IFAData_TEA!A224),6),3)))</f>
        <v>015-916</v>
      </c>
      <c r="C224" s="2266" t="s">
        <v>448</v>
      </c>
      <c r="D224" s="2266">
        <v>6</v>
      </c>
      <c r="E224" s="2266">
        <v>1938</v>
      </c>
      <c r="F224" s="2266" t="s">
        <v>4924</v>
      </c>
      <c r="G224" s="2266" t="s">
        <v>4927</v>
      </c>
      <c r="H224" s="2436">
        <v>3992710</v>
      </c>
      <c r="I224" s="2436">
        <v>258386</v>
      </c>
      <c r="J224" s="2446">
        <v>6.4111989666095895E-2</v>
      </c>
      <c r="K224" s="2436">
        <v>255980.58225971775</v>
      </c>
      <c r="L224" s="2436">
        <v>255980.58225971775</v>
      </c>
      <c r="M224" s="2266">
        <v>599</v>
      </c>
    </row>
    <row r="225" spans="1:13" ht="15">
      <c r="A225" s="2266" t="s">
        <v>4033</v>
      </c>
      <c r="B225" s="1694" t="str">
        <f>CONCATENATE(LEFT(RIGHT(CONCATENATE("000",IFAData_TEA!A225),6),3),"-",(RIGHT(RIGHT(CONCATENATE("000",IFAData_TEA!A225),6),3)))</f>
        <v>015-916</v>
      </c>
      <c r="C225" s="2266" t="s">
        <v>448</v>
      </c>
      <c r="D225" s="2266">
        <v>9</v>
      </c>
      <c r="E225" s="2266">
        <v>1939</v>
      </c>
      <c r="F225" s="2266" t="s">
        <v>4925</v>
      </c>
      <c r="G225" s="2266" t="s">
        <v>4925</v>
      </c>
      <c r="H225" s="2436">
        <v>4799160</v>
      </c>
      <c r="I225" s="2436">
        <v>7569130</v>
      </c>
      <c r="J225" s="2446">
        <v>1</v>
      </c>
      <c r="K225" s="2436">
        <v>4799160</v>
      </c>
      <c r="L225" s="2436">
        <v>4799160</v>
      </c>
      <c r="M225" s="2266">
        <v>599</v>
      </c>
    </row>
    <row r="226" spans="1:13" ht="15">
      <c r="A226" s="2266" t="s">
        <v>4033</v>
      </c>
      <c r="B226" s="1694" t="str">
        <f>CONCATENATE(LEFT(RIGHT(CONCATENATE("000",IFAData_TEA!A226),6),3),"-",(RIGHT(RIGHT(CONCATENATE("000",IFAData_TEA!A226),6),3)))</f>
        <v>015-916</v>
      </c>
      <c r="C226" s="2266" t="s">
        <v>448</v>
      </c>
      <c r="D226" s="2266">
        <v>6</v>
      </c>
      <c r="E226" s="2266">
        <v>1938</v>
      </c>
      <c r="F226" s="2266" t="s">
        <v>4924</v>
      </c>
      <c r="G226" s="2266" t="s">
        <v>4925</v>
      </c>
      <c r="H226" s="2436">
        <v>3992710</v>
      </c>
      <c r="I226" s="2436">
        <v>3771843</v>
      </c>
      <c r="J226" s="2446">
        <v>0.93588801033390412</v>
      </c>
      <c r="K226" s="2436">
        <v>3736729.4177402821</v>
      </c>
      <c r="L226" s="2436">
        <v>3736729.4177402821</v>
      </c>
      <c r="M226" s="2266">
        <v>599</v>
      </c>
    </row>
    <row r="227" spans="1:13" ht="15">
      <c r="A227" s="2266" t="s">
        <v>4034</v>
      </c>
      <c r="B227" s="1694" t="str">
        <f>CONCATENATE(LEFT(RIGHT(CONCATENATE("000",IFAData_TEA!A227),6),3),"-",(RIGHT(RIGHT(CONCATENATE("000",IFAData_TEA!A227),6),3)))</f>
        <v>015-917</v>
      </c>
      <c r="C227" s="2266" t="s">
        <v>2207</v>
      </c>
      <c r="D227" s="2266">
        <v>4</v>
      </c>
      <c r="E227" s="2266">
        <v>2361</v>
      </c>
      <c r="F227" s="2266" t="s">
        <v>4932</v>
      </c>
      <c r="G227" s="2266" t="s">
        <v>4932</v>
      </c>
      <c r="H227" s="2436">
        <v>518175</v>
      </c>
      <c r="I227" s="2436">
        <v>0</v>
      </c>
      <c r="J227" s="2446">
        <v>0</v>
      </c>
      <c r="K227" s="2436">
        <v>0</v>
      </c>
      <c r="L227" s="2436">
        <v>0</v>
      </c>
      <c r="M227" s="2266">
        <v>599</v>
      </c>
    </row>
    <row r="228" spans="1:13" ht="15">
      <c r="A228" s="2266" t="s">
        <v>4034</v>
      </c>
      <c r="B228" s="1694" t="str">
        <f>CONCATENATE(LEFT(RIGHT(CONCATENATE("000",IFAData_TEA!A228),6),3),"-",(RIGHT(RIGHT(CONCATENATE("000",IFAData_TEA!A228),6),3)))</f>
        <v>015-917</v>
      </c>
      <c r="C228" s="2266" t="s">
        <v>2207</v>
      </c>
      <c r="D228" s="2266">
        <v>3</v>
      </c>
      <c r="E228" s="2266">
        <v>2360</v>
      </c>
      <c r="F228" s="2266" t="s">
        <v>4929</v>
      </c>
      <c r="G228" s="2266" t="s">
        <v>4930</v>
      </c>
      <c r="H228" s="2436">
        <v>441314</v>
      </c>
      <c r="I228" s="2436">
        <v>301922</v>
      </c>
      <c r="J228" s="2446">
        <v>1</v>
      </c>
      <c r="K228" s="2436">
        <v>441314</v>
      </c>
      <c r="L228" s="2436">
        <v>301922</v>
      </c>
      <c r="M228" s="2266">
        <v>599</v>
      </c>
    </row>
    <row r="229" spans="1:13" ht="15">
      <c r="A229" s="2266" t="s">
        <v>4034</v>
      </c>
      <c r="B229" s="1694" t="str">
        <f>CONCATENATE(LEFT(RIGHT(CONCATENATE("000",IFAData_TEA!A229),6),3),"-",(RIGHT(RIGHT(CONCATENATE("000",IFAData_TEA!A229),6),3)))</f>
        <v>015-917</v>
      </c>
      <c r="C229" s="2266" t="s">
        <v>2207</v>
      </c>
      <c r="D229" s="2266">
        <v>6</v>
      </c>
      <c r="E229" s="2266">
        <v>2363</v>
      </c>
      <c r="F229" s="2266" t="s">
        <v>4934</v>
      </c>
      <c r="G229" s="2266" t="s">
        <v>4934</v>
      </c>
      <c r="H229" s="2436">
        <v>1121000</v>
      </c>
      <c r="I229" s="2436">
        <v>0</v>
      </c>
      <c r="J229" s="2446">
        <v>0</v>
      </c>
      <c r="K229" s="2436">
        <v>0</v>
      </c>
      <c r="L229" s="2436">
        <v>0</v>
      </c>
      <c r="M229" s="2266">
        <v>599</v>
      </c>
    </row>
    <row r="230" spans="1:13" ht="15">
      <c r="A230" s="2266" t="s">
        <v>4034</v>
      </c>
      <c r="B230" s="1694" t="str">
        <f>CONCATENATE(LEFT(RIGHT(CONCATENATE("000",IFAData_TEA!A230),6),3),"-",(RIGHT(RIGHT(CONCATENATE("000",IFAData_TEA!A230),6),3)))</f>
        <v>015-917</v>
      </c>
      <c r="C230" s="2266" t="s">
        <v>2207</v>
      </c>
      <c r="D230" s="2266">
        <v>7</v>
      </c>
      <c r="E230" s="2266">
        <v>2365</v>
      </c>
      <c r="F230" s="2266" t="s">
        <v>4937</v>
      </c>
      <c r="G230" s="2266" t="s">
        <v>4938</v>
      </c>
      <c r="H230" s="2436">
        <v>1207669</v>
      </c>
      <c r="I230" s="2436">
        <v>1055965</v>
      </c>
      <c r="J230" s="2446">
        <v>1</v>
      </c>
      <c r="K230" s="2436">
        <v>1207669</v>
      </c>
      <c r="L230" s="2436">
        <v>1055965</v>
      </c>
      <c r="M230" s="2266">
        <v>599</v>
      </c>
    </row>
    <row r="231" spans="1:13" ht="15">
      <c r="A231" s="2266" t="s">
        <v>4034</v>
      </c>
      <c r="B231" s="1694" t="str">
        <f>CONCATENATE(LEFT(RIGHT(CONCATENATE("000",IFAData_TEA!A231),6),3),"-",(RIGHT(RIGHT(CONCATENATE("000",IFAData_TEA!A231),6),3)))</f>
        <v>015-917</v>
      </c>
      <c r="C231" s="2266" t="s">
        <v>2207</v>
      </c>
      <c r="D231" s="2266">
        <v>8</v>
      </c>
      <c r="E231" s="2266">
        <v>2364</v>
      </c>
      <c r="F231" s="2266" t="s">
        <v>4939</v>
      </c>
      <c r="G231" s="2266" t="s">
        <v>4939</v>
      </c>
      <c r="H231" s="2436">
        <v>1193500</v>
      </c>
      <c r="I231" s="2436">
        <v>1189268</v>
      </c>
      <c r="J231" s="2446">
        <v>1</v>
      </c>
      <c r="K231" s="2436">
        <v>1193500</v>
      </c>
      <c r="L231" s="2436">
        <v>1189268</v>
      </c>
      <c r="M231" s="2266">
        <v>599</v>
      </c>
    </row>
    <row r="232" spans="1:13" ht="15">
      <c r="A232" s="2266" t="s">
        <v>4034</v>
      </c>
      <c r="B232" s="1694" t="str">
        <f>CONCATENATE(LEFT(RIGHT(CONCATENATE("000",IFAData_TEA!A232),6),3),"-",(RIGHT(RIGHT(CONCATENATE("000",IFAData_TEA!A232),6),3)))</f>
        <v>015-917</v>
      </c>
      <c r="C232" s="2266" t="s">
        <v>2207</v>
      </c>
      <c r="D232" s="2266">
        <v>4</v>
      </c>
      <c r="E232" s="2266">
        <v>2361</v>
      </c>
      <c r="F232" s="2266" t="s">
        <v>4932</v>
      </c>
      <c r="G232" s="2266" t="s">
        <v>4933</v>
      </c>
      <c r="H232" s="2436">
        <v>518175</v>
      </c>
      <c r="I232" s="2436">
        <v>502564</v>
      </c>
      <c r="J232" s="2446">
        <v>1</v>
      </c>
      <c r="K232" s="2436">
        <v>518175</v>
      </c>
      <c r="L232" s="2436">
        <v>502564</v>
      </c>
      <c r="M232" s="2266">
        <v>599</v>
      </c>
    </row>
    <row r="233" spans="1:13" ht="15">
      <c r="A233" s="2266" t="s">
        <v>4034</v>
      </c>
      <c r="B233" s="1694" t="str">
        <f>CONCATENATE(LEFT(RIGHT(CONCATENATE("000",IFAData_TEA!A233),6),3),"-",(RIGHT(RIGHT(CONCATENATE("000",IFAData_TEA!A233),6),3)))</f>
        <v>015-917</v>
      </c>
      <c r="C233" s="2266" t="s">
        <v>2207</v>
      </c>
      <c r="D233" s="2266">
        <v>2</v>
      </c>
      <c r="E233" s="2266">
        <v>2362</v>
      </c>
      <c r="F233" s="2266" t="s">
        <v>4928</v>
      </c>
      <c r="G233" s="2266" t="s">
        <v>4928</v>
      </c>
      <c r="H233" s="2436">
        <v>520585</v>
      </c>
      <c r="I233" s="2436">
        <v>0</v>
      </c>
      <c r="J233" s="2446">
        <v>0</v>
      </c>
      <c r="K233" s="2436"/>
      <c r="L233" s="2436">
        <v>0</v>
      </c>
      <c r="M233" s="2266">
        <v>199</v>
      </c>
    </row>
    <row r="234" spans="1:13" ht="15">
      <c r="A234" s="2266" t="s">
        <v>4034</v>
      </c>
      <c r="B234" s="1694" t="str">
        <f>CONCATENATE(LEFT(RIGHT(CONCATENATE("000",IFAData_TEA!A234),6),3),"-",(RIGHT(RIGHT(CONCATENATE("000",IFAData_TEA!A234),6),3)))</f>
        <v>015-917</v>
      </c>
      <c r="C234" s="2266" t="s">
        <v>2207</v>
      </c>
      <c r="D234" s="2266">
        <v>7</v>
      </c>
      <c r="E234" s="2266">
        <v>2365</v>
      </c>
      <c r="F234" s="2266" t="s">
        <v>4937</v>
      </c>
      <c r="G234" s="2266" t="s">
        <v>4937</v>
      </c>
      <c r="H234" s="2436">
        <v>1207669</v>
      </c>
      <c r="I234" s="2436">
        <v>0</v>
      </c>
      <c r="J234" s="2446">
        <v>0</v>
      </c>
      <c r="K234" s="2436">
        <v>0</v>
      </c>
      <c r="L234" s="2436">
        <v>0</v>
      </c>
      <c r="M234" s="2266">
        <v>599</v>
      </c>
    </row>
    <row r="235" spans="1:13" ht="15">
      <c r="A235" s="2266" t="s">
        <v>4034</v>
      </c>
      <c r="B235" s="1694" t="str">
        <f>CONCATENATE(LEFT(RIGHT(CONCATENATE("000",IFAData_TEA!A235),6),3),"-",(RIGHT(RIGHT(CONCATENATE("000",IFAData_TEA!A235),6),3)))</f>
        <v>015-917</v>
      </c>
      <c r="C235" s="2266" t="s">
        <v>2207</v>
      </c>
      <c r="D235" s="2266">
        <v>6</v>
      </c>
      <c r="E235" s="2266">
        <v>2363</v>
      </c>
      <c r="F235" s="2266" t="s">
        <v>4934</v>
      </c>
      <c r="G235" s="2266" t="s">
        <v>4936</v>
      </c>
      <c r="H235" s="2436">
        <v>1121000</v>
      </c>
      <c r="I235" s="2436">
        <v>609500</v>
      </c>
      <c r="J235" s="2446">
        <v>0.63732697017163387</v>
      </c>
      <c r="K235" s="2436">
        <v>714443.53356240154</v>
      </c>
      <c r="L235" s="2436">
        <v>609500</v>
      </c>
      <c r="M235" s="2266">
        <v>599</v>
      </c>
    </row>
    <row r="236" spans="1:13" ht="15">
      <c r="A236" s="2266" t="s">
        <v>4034</v>
      </c>
      <c r="B236" s="1694" t="str">
        <f>CONCATENATE(LEFT(RIGHT(CONCATENATE("000",IFAData_TEA!A236),6),3),"-",(RIGHT(RIGHT(CONCATENATE("000",IFAData_TEA!A236),6),3)))</f>
        <v>015-917</v>
      </c>
      <c r="C236" s="2266" t="s">
        <v>2207</v>
      </c>
      <c r="D236" s="2266">
        <v>4</v>
      </c>
      <c r="E236" s="2266">
        <v>2359</v>
      </c>
      <c r="F236" s="2266" t="s">
        <v>4931</v>
      </c>
      <c r="G236" s="2266" t="s">
        <v>4931</v>
      </c>
      <c r="H236" s="2436">
        <v>366250</v>
      </c>
      <c r="I236" s="2436">
        <v>0</v>
      </c>
      <c r="J236" s="2446">
        <v>0</v>
      </c>
      <c r="K236" s="2436">
        <v>0</v>
      </c>
      <c r="L236" s="2436">
        <v>0</v>
      </c>
      <c r="M236" s="2266">
        <v>199</v>
      </c>
    </row>
    <row r="237" spans="1:13" ht="15">
      <c r="A237" s="2266" t="s">
        <v>4034</v>
      </c>
      <c r="B237" s="1694" t="str">
        <f>CONCATENATE(LEFT(RIGHT(CONCATENATE("000",IFAData_TEA!A237),6),3),"-",(RIGHT(RIGHT(CONCATENATE("000",IFAData_TEA!A237),6),3)))</f>
        <v>015-917</v>
      </c>
      <c r="C237" s="2266" t="s">
        <v>2207</v>
      </c>
      <c r="D237" s="2266">
        <v>4</v>
      </c>
      <c r="E237" s="2266">
        <v>2359</v>
      </c>
      <c r="F237" s="2266" t="s">
        <v>4931</v>
      </c>
      <c r="G237" s="2266" t="s">
        <v>4930</v>
      </c>
      <c r="H237" s="2436">
        <v>366250</v>
      </c>
      <c r="I237" s="2436">
        <v>346037</v>
      </c>
      <c r="J237" s="2446">
        <v>1</v>
      </c>
      <c r="K237" s="2436">
        <v>366250</v>
      </c>
      <c r="L237" s="2436">
        <v>346037</v>
      </c>
      <c r="M237" s="2266">
        <v>599</v>
      </c>
    </row>
    <row r="238" spans="1:13" ht="15">
      <c r="A238" s="2266" t="s">
        <v>4034</v>
      </c>
      <c r="B238" s="1694" t="str">
        <f>CONCATENATE(LEFT(RIGHT(CONCATENATE("000",IFAData_TEA!A238),6),3),"-",(RIGHT(RIGHT(CONCATENATE("000",IFAData_TEA!A238),6),3)))</f>
        <v>015-917</v>
      </c>
      <c r="C238" s="2266" t="s">
        <v>2207</v>
      </c>
      <c r="D238" s="2266">
        <v>6</v>
      </c>
      <c r="E238" s="2266">
        <v>2363</v>
      </c>
      <c r="F238" s="2266" t="s">
        <v>4934</v>
      </c>
      <c r="G238" s="2266" t="s">
        <v>4935</v>
      </c>
      <c r="H238" s="2436">
        <v>1121000</v>
      </c>
      <c r="I238" s="2436">
        <v>346838</v>
      </c>
      <c r="J238" s="2446">
        <v>0.36267302982836613</v>
      </c>
      <c r="K238" s="2436">
        <v>406556.46643759846</v>
      </c>
      <c r="L238" s="2436">
        <v>346838</v>
      </c>
      <c r="M238" s="2266">
        <v>599</v>
      </c>
    </row>
    <row r="239" spans="1:13" ht="15">
      <c r="A239" s="2266" t="s">
        <v>4034</v>
      </c>
      <c r="B239" s="1694" t="str">
        <f>CONCATENATE(LEFT(RIGHT(CONCATENATE("000",IFAData_TEA!A239),6),3),"-",(RIGHT(RIGHT(CONCATENATE("000",IFAData_TEA!A239),6),3)))</f>
        <v>015-917</v>
      </c>
      <c r="C239" s="2266" t="s">
        <v>2207</v>
      </c>
      <c r="D239" s="2266">
        <v>3</v>
      </c>
      <c r="E239" s="2266">
        <v>2360</v>
      </c>
      <c r="F239" s="2266" t="s">
        <v>4929</v>
      </c>
      <c r="G239" s="2266" t="s">
        <v>4929</v>
      </c>
      <c r="H239" s="2436">
        <v>441314</v>
      </c>
      <c r="I239" s="2436">
        <v>0</v>
      </c>
      <c r="J239" s="2446">
        <v>0</v>
      </c>
      <c r="K239" s="2436">
        <v>0</v>
      </c>
      <c r="L239" s="2436">
        <v>0</v>
      </c>
      <c r="M239" s="2266">
        <v>199</v>
      </c>
    </row>
    <row r="240" spans="1:13" ht="15">
      <c r="A240" s="2266" t="s">
        <v>4035</v>
      </c>
      <c r="B240" s="1694" t="str">
        <f>CONCATENATE(LEFT(RIGHT(CONCATENATE("000",IFAData_TEA!A240),6),3),"-",(RIGHT(RIGHT(CONCATENATE("000",IFAData_TEA!A240),6),3)))</f>
        <v>016-902</v>
      </c>
      <c r="C240" s="2266" t="s">
        <v>902</v>
      </c>
      <c r="D240" s="2266">
        <v>2</v>
      </c>
      <c r="E240" s="2266">
        <v>1613</v>
      </c>
      <c r="F240" s="2266" t="s">
        <v>4940</v>
      </c>
      <c r="G240" s="2266" t="s">
        <v>4941</v>
      </c>
      <c r="H240" s="2436">
        <v>248495</v>
      </c>
      <c r="I240" s="2436">
        <v>632401</v>
      </c>
      <c r="J240" s="2446">
        <v>0.99023700511715596</v>
      </c>
      <c r="K240" s="2436">
        <v>246068.94458658766</v>
      </c>
      <c r="L240" s="2436">
        <v>246068.94458658766</v>
      </c>
      <c r="M240" s="2266">
        <v>599</v>
      </c>
    </row>
    <row r="241" spans="1:13" ht="15">
      <c r="A241" s="2266" t="s">
        <v>4035</v>
      </c>
      <c r="B241" s="1694" t="str">
        <f>CONCATENATE(LEFT(RIGHT(CONCATENATE("000",IFAData_TEA!A241),6),3),"-",(RIGHT(RIGHT(CONCATENATE("000",IFAData_TEA!A241),6),3)))</f>
        <v>016-902</v>
      </c>
      <c r="C241" s="2266" t="s">
        <v>902</v>
      </c>
      <c r="D241" s="2266">
        <v>2</v>
      </c>
      <c r="E241" s="2266">
        <v>1613</v>
      </c>
      <c r="F241" s="2266" t="s">
        <v>4940</v>
      </c>
      <c r="G241" s="2266" t="s">
        <v>6921</v>
      </c>
      <c r="H241" s="2436">
        <v>248495</v>
      </c>
      <c r="I241" s="2436">
        <v>6235</v>
      </c>
      <c r="J241" s="2446">
        <v>9.7629948828440605E-3</v>
      </c>
      <c r="K241" s="2436">
        <v>2426.0554134123349</v>
      </c>
      <c r="L241" s="2436">
        <v>2426.0554134123349</v>
      </c>
      <c r="M241" s="2266">
        <v>599</v>
      </c>
    </row>
    <row r="242" spans="1:13" ht="15">
      <c r="A242" s="2266" t="s">
        <v>4035</v>
      </c>
      <c r="B242" s="1694" t="str">
        <f>CONCATENATE(LEFT(RIGHT(CONCATENATE("000",IFAData_TEA!A242),6),3),"-",(RIGHT(RIGHT(CONCATENATE("000",IFAData_TEA!A242),6),3)))</f>
        <v>016-902</v>
      </c>
      <c r="C242" s="2266" t="s">
        <v>902</v>
      </c>
      <c r="D242" s="2266">
        <v>2</v>
      </c>
      <c r="E242" s="2266">
        <v>1613</v>
      </c>
      <c r="F242" s="2266" t="s">
        <v>4940</v>
      </c>
      <c r="G242" s="2266" t="s">
        <v>4940</v>
      </c>
      <c r="H242" s="2436">
        <v>248495</v>
      </c>
      <c r="I242" s="2436">
        <v>0</v>
      </c>
      <c r="J242" s="2446">
        <v>0</v>
      </c>
      <c r="K242" s="2436">
        <v>0</v>
      </c>
      <c r="L242" s="2436">
        <v>0</v>
      </c>
      <c r="M242" s="2266">
        <v>599</v>
      </c>
    </row>
    <row r="243" spans="1:13" ht="15">
      <c r="A243" s="2266" t="s">
        <v>4036</v>
      </c>
      <c r="B243" s="1694" t="str">
        <f>CONCATENATE(LEFT(RIGHT(CONCATENATE("000",IFAData_TEA!A243),6),3),"-",(RIGHT(RIGHT(CONCATENATE("000",IFAData_TEA!A243),6),3)))</f>
        <v>018-901</v>
      </c>
      <c r="C243" s="2266" t="s">
        <v>1330</v>
      </c>
      <c r="D243" s="2266">
        <v>2</v>
      </c>
      <c r="E243" s="2266">
        <v>1695</v>
      </c>
      <c r="F243" s="2266" t="s">
        <v>4942</v>
      </c>
      <c r="G243" s="2266" t="s">
        <v>4942</v>
      </c>
      <c r="H243" s="2436">
        <v>314735</v>
      </c>
      <c r="I243" s="2436">
        <v>0</v>
      </c>
      <c r="J243" s="2446">
        <v>0</v>
      </c>
      <c r="K243" s="2436">
        <v>0</v>
      </c>
      <c r="L243" s="2436">
        <v>0</v>
      </c>
      <c r="M243" s="2266">
        <v>599</v>
      </c>
    </row>
    <row r="244" spans="1:13" ht="15">
      <c r="A244" s="2266" t="s">
        <v>4036</v>
      </c>
      <c r="B244" s="1694" t="str">
        <f>CONCATENATE(LEFT(RIGHT(CONCATENATE("000",IFAData_TEA!A244),6),3),"-",(RIGHT(RIGHT(CONCATENATE("000",IFAData_TEA!A244),6),3)))</f>
        <v>018-901</v>
      </c>
      <c r="C244" s="2266" t="s">
        <v>1330</v>
      </c>
      <c r="D244" s="2266">
        <v>2</v>
      </c>
      <c r="E244" s="2266">
        <v>1695</v>
      </c>
      <c r="F244" s="2266" t="s">
        <v>4942</v>
      </c>
      <c r="G244" s="2266" t="s">
        <v>4943</v>
      </c>
      <c r="H244" s="2436">
        <v>314735</v>
      </c>
      <c r="I244" s="2436">
        <v>528750</v>
      </c>
      <c r="J244" s="2446">
        <v>1</v>
      </c>
      <c r="K244" s="2436">
        <v>314735</v>
      </c>
      <c r="L244" s="2436">
        <v>314735</v>
      </c>
      <c r="M244" s="2266">
        <v>599</v>
      </c>
    </row>
    <row r="245" spans="1:13" ht="15">
      <c r="A245" s="2266" t="s">
        <v>4037</v>
      </c>
      <c r="B245" s="1694" t="str">
        <f>CONCATENATE(LEFT(RIGHT(CONCATENATE("000",IFAData_TEA!A245),6),3),"-",(RIGHT(RIGHT(CONCATENATE("000",IFAData_TEA!A245),6),3)))</f>
        <v>018-902</v>
      </c>
      <c r="C245" s="2266" t="s">
        <v>3081</v>
      </c>
      <c r="D245" s="2266">
        <v>9</v>
      </c>
      <c r="E245" s="2266">
        <v>2095</v>
      </c>
      <c r="F245" s="2266" t="s">
        <v>4944</v>
      </c>
      <c r="G245" s="2266" t="s">
        <v>4944</v>
      </c>
      <c r="H245" s="2436">
        <v>125707</v>
      </c>
      <c r="I245" s="2436">
        <v>0</v>
      </c>
      <c r="J245" s="2446">
        <v>0</v>
      </c>
      <c r="K245" s="2436">
        <v>0</v>
      </c>
      <c r="L245" s="2436">
        <v>0</v>
      </c>
      <c r="M245" s="2266">
        <v>599</v>
      </c>
    </row>
    <row r="246" spans="1:13" ht="15">
      <c r="A246" s="2266" t="s">
        <v>4037</v>
      </c>
      <c r="B246" s="1694" t="str">
        <f>CONCATENATE(LEFT(RIGHT(CONCATENATE("000",IFAData_TEA!A246),6),3),"-",(RIGHT(RIGHT(CONCATENATE("000",IFAData_TEA!A246),6),3)))</f>
        <v>018-902</v>
      </c>
      <c r="C246" s="2266" t="s">
        <v>3081</v>
      </c>
      <c r="D246" s="2266">
        <v>9</v>
      </c>
      <c r="E246" s="2266">
        <v>2095</v>
      </c>
      <c r="F246" s="2266" t="s">
        <v>4944</v>
      </c>
      <c r="G246" s="2266" t="s">
        <v>4945</v>
      </c>
      <c r="H246" s="2436">
        <v>125707</v>
      </c>
      <c r="I246" s="2436">
        <v>333440</v>
      </c>
      <c r="J246" s="2446">
        <v>1</v>
      </c>
      <c r="K246" s="2436">
        <v>125707</v>
      </c>
      <c r="L246" s="2436">
        <v>125707</v>
      </c>
      <c r="M246" s="2266">
        <v>599</v>
      </c>
    </row>
    <row r="247" spans="1:13" ht="15">
      <c r="A247" s="2266" t="s">
        <v>4038</v>
      </c>
      <c r="B247" s="1694" t="str">
        <f>CONCATENATE(LEFT(RIGHT(CONCATENATE("000",IFAData_TEA!A247),6),3),"-",(RIGHT(RIGHT(CONCATENATE("000",IFAData_TEA!A247),6),3)))</f>
        <v>018-904</v>
      </c>
      <c r="C247" s="2266" t="s">
        <v>3083</v>
      </c>
      <c r="D247" s="2266">
        <v>9</v>
      </c>
      <c r="E247" s="2266">
        <v>2410</v>
      </c>
      <c r="F247" s="2266" t="s">
        <v>4946</v>
      </c>
      <c r="G247" s="2266" t="s">
        <v>4946</v>
      </c>
      <c r="H247" s="2436">
        <v>161705</v>
      </c>
      <c r="I247" s="2436">
        <v>466196</v>
      </c>
      <c r="J247" s="2446">
        <v>1</v>
      </c>
      <c r="K247" s="2436">
        <v>161705</v>
      </c>
      <c r="L247" s="2436">
        <v>161705</v>
      </c>
      <c r="M247" s="2266">
        <v>599</v>
      </c>
    </row>
    <row r="248" spans="1:13" ht="15">
      <c r="A248" s="2266" t="s">
        <v>4947</v>
      </c>
      <c r="B248" s="1694" t="str">
        <f>CONCATENATE(LEFT(RIGHT(CONCATENATE("000",IFAData_TEA!A248),6),3),"-",(RIGHT(RIGHT(CONCATENATE("000",IFAData_TEA!A248),6),3)))</f>
        <v>018-905</v>
      </c>
      <c r="C248" s="2266" t="s">
        <v>2304</v>
      </c>
      <c r="D248" s="2266">
        <v>5</v>
      </c>
      <c r="E248" s="2266">
        <v>2435</v>
      </c>
      <c r="F248" s="2266" t="s">
        <v>4948</v>
      </c>
      <c r="G248" s="2266" t="s">
        <v>4948</v>
      </c>
      <c r="H248" s="2436">
        <v>100000</v>
      </c>
      <c r="I248" s="2436">
        <v>110619</v>
      </c>
      <c r="J248" s="2446">
        <v>1</v>
      </c>
      <c r="K248" s="2436">
        <v>100000</v>
      </c>
      <c r="L248" s="2436">
        <v>100000</v>
      </c>
      <c r="M248" s="2266">
        <v>199</v>
      </c>
    </row>
    <row r="249" spans="1:13" ht="15">
      <c r="A249" s="2266" t="s">
        <v>4949</v>
      </c>
      <c r="B249" s="1694" t="str">
        <f>CONCATENATE(LEFT(RIGHT(CONCATENATE("000",IFAData_TEA!A249),6),3),"-",(RIGHT(RIGHT(CONCATENATE("000",IFAData_TEA!A249),6),3)))</f>
        <v>019-901</v>
      </c>
      <c r="C249" s="2266" t="s">
        <v>3063</v>
      </c>
      <c r="D249" s="2266">
        <v>4</v>
      </c>
      <c r="E249" s="2266">
        <v>1750</v>
      </c>
      <c r="F249" s="2266" t="s">
        <v>4950</v>
      </c>
      <c r="G249" s="2266" t="s">
        <v>4952</v>
      </c>
      <c r="H249" s="2436">
        <v>243750</v>
      </c>
      <c r="I249" s="2436">
        <v>206750</v>
      </c>
      <c r="J249" s="2446">
        <v>1</v>
      </c>
      <c r="K249" s="2436">
        <v>243750</v>
      </c>
      <c r="L249" s="2436">
        <v>206750</v>
      </c>
      <c r="M249" s="2266">
        <v>199</v>
      </c>
    </row>
    <row r="250" spans="1:13" ht="15">
      <c r="A250" s="2266" t="s">
        <v>4949</v>
      </c>
      <c r="B250" s="1694" t="str">
        <f>CONCATENATE(LEFT(RIGHT(CONCATENATE("000",IFAData_TEA!A250),6),3),"-",(RIGHT(RIGHT(CONCATENATE("000",IFAData_TEA!A250),6),3)))</f>
        <v>019-901</v>
      </c>
      <c r="C250" s="2266" t="s">
        <v>3063</v>
      </c>
      <c r="D250" s="2266">
        <v>4</v>
      </c>
      <c r="E250" s="2266">
        <v>1750</v>
      </c>
      <c r="F250" s="2266" t="s">
        <v>4950</v>
      </c>
      <c r="G250" s="2266" t="s">
        <v>4951</v>
      </c>
      <c r="H250" s="2436">
        <v>243750</v>
      </c>
      <c r="I250" s="2436">
        <v>0</v>
      </c>
      <c r="J250" s="2446">
        <v>0</v>
      </c>
      <c r="K250" s="2436">
        <v>0</v>
      </c>
      <c r="L250" s="2436">
        <v>0</v>
      </c>
      <c r="M250" s="2266">
        <v>199</v>
      </c>
    </row>
    <row r="251" spans="1:13" ht="15">
      <c r="A251" s="2266" t="s">
        <v>4949</v>
      </c>
      <c r="B251" s="1694" t="str">
        <f>CONCATENATE(LEFT(RIGHT(CONCATENATE("000",IFAData_TEA!A251),6),3),"-",(RIGHT(RIGHT(CONCATENATE("000",IFAData_TEA!A251),6),3)))</f>
        <v>019-901</v>
      </c>
      <c r="C251" s="2266" t="s">
        <v>3063</v>
      </c>
      <c r="D251" s="2266">
        <v>4</v>
      </c>
      <c r="E251" s="2266">
        <v>1750</v>
      </c>
      <c r="F251" s="2266" t="s">
        <v>4950</v>
      </c>
      <c r="G251" s="2266" t="s">
        <v>4950</v>
      </c>
      <c r="H251" s="2436">
        <v>243750</v>
      </c>
      <c r="I251" s="2436">
        <v>0</v>
      </c>
      <c r="J251" s="2446">
        <v>0</v>
      </c>
      <c r="K251" s="2436">
        <v>0</v>
      </c>
      <c r="L251" s="2436">
        <v>0</v>
      </c>
      <c r="M251" s="2266">
        <v>199</v>
      </c>
    </row>
    <row r="252" spans="1:13" ht="15">
      <c r="A252" s="2266" t="s">
        <v>4039</v>
      </c>
      <c r="B252" s="1694" t="str">
        <f>CONCATENATE(LEFT(RIGHT(CONCATENATE("000",IFAData_TEA!A252),6),3),"-",(RIGHT(RIGHT(CONCATENATE("000",IFAData_TEA!A252),6),3)))</f>
        <v>019-902</v>
      </c>
      <c r="C252" s="2266" t="s">
        <v>2730</v>
      </c>
      <c r="D252" s="2266">
        <v>6</v>
      </c>
      <c r="E252" s="2266">
        <v>1900</v>
      </c>
      <c r="F252" s="2266" t="s">
        <v>4955</v>
      </c>
      <c r="G252" s="2266" t="s">
        <v>4956</v>
      </c>
      <c r="H252" s="2436">
        <v>233415</v>
      </c>
      <c r="I252" s="2436">
        <v>195150</v>
      </c>
      <c r="J252" s="2446">
        <v>1</v>
      </c>
      <c r="K252" s="2436">
        <v>233415</v>
      </c>
      <c r="L252" s="2436">
        <v>195150</v>
      </c>
      <c r="M252" s="2266">
        <v>599</v>
      </c>
    </row>
    <row r="253" spans="1:13" ht="15">
      <c r="A253" s="2266" t="s">
        <v>4039</v>
      </c>
      <c r="B253" s="1694" t="str">
        <f>CONCATENATE(LEFT(RIGHT(CONCATENATE("000",IFAData_TEA!A253),6),3),"-",(RIGHT(RIGHT(CONCATENATE("000",IFAData_TEA!A253),6),3)))</f>
        <v>019-902</v>
      </c>
      <c r="C253" s="2266" t="s">
        <v>2730</v>
      </c>
      <c r="D253" s="2266">
        <v>6</v>
      </c>
      <c r="E253" s="2266">
        <v>1900</v>
      </c>
      <c r="F253" s="2266" t="s">
        <v>4955</v>
      </c>
      <c r="G253" s="2266" t="s">
        <v>4955</v>
      </c>
      <c r="H253" s="2436">
        <v>233415</v>
      </c>
      <c r="I253" s="2436">
        <v>0</v>
      </c>
      <c r="J253" s="2446">
        <v>0</v>
      </c>
      <c r="K253" s="2436">
        <v>0</v>
      </c>
      <c r="L253" s="2436">
        <v>0</v>
      </c>
      <c r="M253" s="2266">
        <v>599</v>
      </c>
    </row>
    <row r="254" spans="1:13" ht="15">
      <c r="A254" s="2266" t="s">
        <v>4039</v>
      </c>
      <c r="B254" s="1694" t="str">
        <f>CONCATENATE(LEFT(RIGHT(CONCATENATE("000",IFAData_TEA!A254),6),3),"-",(RIGHT(RIGHT(CONCATENATE("000",IFAData_TEA!A254),6),3)))</f>
        <v>019-902</v>
      </c>
      <c r="C254" s="2266" t="s">
        <v>2730</v>
      </c>
      <c r="D254" s="2266">
        <v>9</v>
      </c>
      <c r="E254" s="2266">
        <v>1901</v>
      </c>
      <c r="F254" s="2266" t="s">
        <v>4957</v>
      </c>
      <c r="G254" s="2266" t="s">
        <v>4957</v>
      </c>
      <c r="H254" s="2436">
        <v>245486</v>
      </c>
      <c r="I254" s="2436">
        <v>234405</v>
      </c>
      <c r="J254" s="2446">
        <v>1</v>
      </c>
      <c r="K254" s="2436">
        <v>245486</v>
      </c>
      <c r="L254" s="2436">
        <v>234405</v>
      </c>
      <c r="M254" s="2266">
        <v>599</v>
      </c>
    </row>
    <row r="255" spans="1:13" ht="15">
      <c r="A255" s="2266" t="s">
        <v>4039</v>
      </c>
      <c r="B255" s="1694" t="str">
        <f>CONCATENATE(LEFT(RIGHT(CONCATENATE("000",IFAData_TEA!A255),6),3),"-",(RIGHT(RIGHT(CONCATENATE("000",IFAData_TEA!A255),6),3)))</f>
        <v>019-902</v>
      </c>
      <c r="C255" s="2266" t="s">
        <v>2730</v>
      </c>
      <c r="D255" s="2266">
        <v>4</v>
      </c>
      <c r="E255" s="2266">
        <v>1902</v>
      </c>
      <c r="F255" s="2266" t="s">
        <v>4953</v>
      </c>
      <c r="G255" s="2266" t="s">
        <v>4954</v>
      </c>
      <c r="H255" s="2436">
        <v>271149</v>
      </c>
      <c r="I255" s="2436">
        <v>264712</v>
      </c>
      <c r="J255" s="2446">
        <v>1</v>
      </c>
      <c r="K255" s="2436">
        <v>271149</v>
      </c>
      <c r="L255" s="2436">
        <v>264712</v>
      </c>
      <c r="M255" s="2266">
        <v>599</v>
      </c>
    </row>
    <row r="256" spans="1:13" ht="15">
      <c r="A256" s="2266" t="s">
        <v>4039</v>
      </c>
      <c r="B256" s="1694" t="str">
        <f>CONCATENATE(LEFT(RIGHT(CONCATENATE("000",IFAData_TEA!A256),6),3),"-",(RIGHT(RIGHT(CONCATENATE("000",IFAData_TEA!A256),6),3)))</f>
        <v>019-902</v>
      </c>
      <c r="C256" s="2266" t="s">
        <v>2730</v>
      </c>
      <c r="D256" s="2266">
        <v>4</v>
      </c>
      <c r="E256" s="2266">
        <v>1902</v>
      </c>
      <c r="F256" s="2266" t="s">
        <v>4953</v>
      </c>
      <c r="G256" s="2266" t="s">
        <v>4953</v>
      </c>
      <c r="H256" s="2436">
        <v>271149</v>
      </c>
      <c r="I256" s="2436">
        <v>0</v>
      </c>
      <c r="J256" s="2446">
        <v>0</v>
      </c>
      <c r="K256" s="2436">
        <v>0</v>
      </c>
      <c r="L256" s="2436">
        <v>0</v>
      </c>
      <c r="M256" s="2266">
        <v>599</v>
      </c>
    </row>
    <row r="257" spans="1:13" ht="15">
      <c r="A257" s="2266" t="s">
        <v>4040</v>
      </c>
      <c r="B257" s="1694" t="str">
        <f>CONCATENATE(LEFT(RIGHT(CONCATENATE("000",IFAData_TEA!A257),6),3),"-",(RIGHT(RIGHT(CONCATENATE("000",IFAData_TEA!A257),6),3)))</f>
        <v>019-903</v>
      </c>
      <c r="C257" s="2266" t="s">
        <v>2361</v>
      </c>
      <c r="D257" s="2266">
        <v>5</v>
      </c>
      <c r="E257" s="2266">
        <v>2076</v>
      </c>
      <c r="F257" s="2266" t="s">
        <v>4958</v>
      </c>
      <c r="G257" s="2266" t="s">
        <v>4958</v>
      </c>
      <c r="H257" s="2436">
        <v>71216</v>
      </c>
      <c r="I257" s="2436">
        <v>0</v>
      </c>
      <c r="J257" s="2446">
        <v>0</v>
      </c>
      <c r="K257" s="2436">
        <v>0</v>
      </c>
      <c r="L257" s="2436">
        <v>0</v>
      </c>
      <c r="M257" s="2266">
        <v>599</v>
      </c>
    </row>
    <row r="258" spans="1:13" ht="15">
      <c r="A258" s="2266" t="s">
        <v>4040</v>
      </c>
      <c r="B258" s="1694" t="str">
        <f>CONCATENATE(LEFT(RIGHT(CONCATENATE("000",IFAData_TEA!A258),6),3),"-",(RIGHT(RIGHT(CONCATENATE("000",IFAData_TEA!A258),6),3)))</f>
        <v>019-903</v>
      </c>
      <c r="C258" s="2266" t="s">
        <v>2361</v>
      </c>
      <c r="D258" s="2266">
        <v>5</v>
      </c>
      <c r="E258" s="2266">
        <v>2076</v>
      </c>
      <c r="F258" s="2266" t="s">
        <v>4958</v>
      </c>
      <c r="G258" s="2266" t="s">
        <v>4959</v>
      </c>
      <c r="H258" s="2436">
        <v>71216</v>
      </c>
      <c r="I258" s="2436">
        <v>66750</v>
      </c>
      <c r="J258" s="2446">
        <v>1</v>
      </c>
      <c r="K258" s="2436">
        <v>71216</v>
      </c>
      <c r="L258" s="2436">
        <v>66750</v>
      </c>
      <c r="M258" s="2266">
        <v>599</v>
      </c>
    </row>
    <row r="259" spans="1:13" ht="15">
      <c r="A259" s="2266" t="s">
        <v>4041</v>
      </c>
      <c r="B259" s="1694" t="str">
        <f>CONCATENATE(LEFT(RIGHT(CONCATENATE("000",IFAData_TEA!A259),6),3),"-",(RIGHT(RIGHT(CONCATENATE("000",IFAData_TEA!A259),6),3)))</f>
        <v>019-905</v>
      </c>
      <c r="C259" s="2266" t="s">
        <v>1578</v>
      </c>
      <c r="D259" s="2266">
        <v>9</v>
      </c>
      <c r="E259" s="2266">
        <v>2134</v>
      </c>
      <c r="F259" s="2266" t="s">
        <v>4960</v>
      </c>
      <c r="G259" s="2266" t="s">
        <v>6922</v>
      </c>
      <c r="H259" s="2436">
        <v>323346</v>
      </c>
      <c r="I259" s="2436">
        <v>134524</v>
      </c>
      <c r="J259" s="2446">
        <v>0.25881945513313837</v>
      </c>
      <c r="K259" s="2436">
        <v>83688.235539479763</v>
      </c>
      <c r="L259" s="2436">
        <v>83688.235539479763</v>
      </c>
      <c r="M259" s="2266">
        <v>599</v>
      </c>
    </row>
    <row r="260" spans="1:13" ht="15">
      <c r="A260" s="2266" t="s">
        <v>4041</v>
      </c>
      <c r="B260" s="1694" t="str">
        <f>CONCATENATE(LEFT(RIGHT(CONCATENATE("000",IFAData_TEA!A260),6),3),"-",(RIGHT(RIGHT(CONCATENATE("000",IFAData_TEA!A260),6),3)))</f>
        <v>019-905</v>
      </c>
      <c r="C260" s="2266" t="s">
        <v>1578</v>
      </c>
      <c r="D260" s="2266">
        <v>9</v>
      </c>
      <c r="E260" s="2266">
        <v>2134</v>
      </c>
      <c r="F260" s="2266" t="s">
        <v>4960</v>
      </c>
      <c r="G260" s="2266" t="s">
        <v>4960</v>
      </c>
      <c r="H260" s="2436">
        <v>323346</v>
      </c>
      <c r="I260" s="2436">
        <v>385236</v>
      </c>
      <c r="J260" s="2446">
        <v>0.74118054486686158</v>
      </c>
      <c r="K260" s="2436">
        <v>239657.76446052024</v>
      </c>
      <c r="L260" s="2436">
        <v>239657.76446052024</v>
      </c>
      <c r="M260" s="2266">
        <v>599</v>
      </c>
    </row>
    <row r="261" spans="1:13" ht="15">
      <c r="A261" s="2266" t="s">
        <v>4042</v>
      </c>
      <c r="B261" s="1694" t="str">
        <f>CONCATENATE(LEFT(RIGHT(CONCATENATE("000",IFAData_TEA!A261),6),3),"-",(RIGHT(RIGHT(CONCATENATE("000",IFAData_TEA!A261),6),3)))</f>
        <v>019-909</v>
      </c>
      <c r="C261" s="2266" t="s">
        <v>295</v>
      </c>
      <c r="D261" s="2266">
        <v>5</v>
      </c>
      <c r="E261" s="2266">
        <v>2335</v>
      </c>
      <c r="F261" s="2266" t="s">
        <v>4961</v>
      </c>
      <c r="G261" s="2266" t="s">
        <v>4961</v>
      </c>
      <c r="H261" s="2436">
        <v>130653</v>
      </c>
      <c r="I261" s="2436">
        <v>0</v>
      </c>
      <c r="J261" s="2446">
        <v>0</v>
      </c>
      <c r="K261" s="2436">
        <v>0</v>
      </c>
      <c r="L261" s="2436">
        <v>0</v>
      </c>
      <c r="M261" s="2266">
        <v>599</v>
      </c>
    </row>
    <row r="262" spans="1:13" ht="15">
      <c r="A262" s="2266" t="s">
        <v>4042</v>
      </c>
      <c r="B262" s="1694" t="str">
        <f>CONCATENATE(LEFT(RIGHT(CONCATENATE("000",IFAData_TEA!A262),6),3),"-",(RIGHT(RIGHT(CONCATENATE("000",IFAData_TEA!A262),6),3)))</f>
        <v>019-909</v>
      </c>
      <c r="C262" s="2266" t="s">
        <v>295</v>
      </c>
      <c r="D262" s="2266">
        <v>5</v>
      </c>
      <c r="E262" s="2266">
        <v>2335</v>
      </c>
      <c r="F262" s="2266" t="s">
        <v>4961</v>
      </c>
      <c r="G262" s="2266" t="s">
        <v>4962</v>
      </c>
      <c r="H262" s="2436">
        <v>130653</v>
      </c>
      <c r="I262" s="2436">
        <v>119150</v>
      </c>
      <c r="J262" s="2446">
        <v>1</v>
      </c>
      <c r="K262" s="2436">
        <v>130653</v>
      </c>
      <c r="L262" s="2436">
        <v>119150</v>
      </c>
      <c r="M262" s="2266">
        <v>599</v>
      </c>
    </row>
    <row r="263" spans="1:13" ht="15">
      <c r="A263" s="2266" t="s">
        <v>4043</v>
      </c>
      <c r="B263" s="1694" t="str">
        <f>CONCATENATE(LEFT(RIGHT(CONCATENATE("000",IFAData_TEA!A263),6),3),"-",(RIGHT(RIGHT(CONCATENATE("000",IFAData_TEA!A263),6),3)))</f>
        <v>019-910</v>
      </c>
      <c r="C263" s="2266" t="s">
        <v>320</v>
      </c>
      <c r="D263" s="2266">
        <v>5</v>
      </c>
      <c r="E263" s="2266">
        <v>2055</v>
      </c>
      <c r="F263" s="2266" t="s">
        <v>4963</v>
      </c>
      <c r="G263" s="2266" t="s">
        <v>4964</v>
      </c>
      <c r="H263" s="2436">
        <v>82900</v>
      </c>
      <c r="I263" s="2436">
        <v>74906</v>
      </c>
      <c r="J263" s="2446">
        <v>1</v>
      </c>
      <c r="K263" s="2436">
        <v>82900</v>
      </c>
      <c r="L263" s="2436">
        <v>74906</v>
      </c>
      <c r="M263" s="2266">
        <v>599</v>
      </c>
    </row>
    <row r="264" spans="1:13" ht="15">
      <c r="A264" s="2266" t="s">
        <v>4043</v>
      </c>
      <c r="B264" s="1694" t="str">
        <f>CONCATENATE(LEFT(RIGHT(CONCATENATE("000",IFAData_TEA!A264),6),3),"-",(RIGHT(RIGHT(CONCATENATE("000",IFAData_TEA!A264),6),3)))</f>
        <v>019-910</v>
      </c>
      <c r="C264" s="2266" t="s">
        <v>320</v>
      </c>
      <c r="D264" s="2266">
        <v>5</v>
      </c>
      <c r="E264" s="2266">
        <v>2055</v>
      </c>
      <c r="F264" s="2266" t="s">
        <v>4963</v>
      </c>
      <c r="G264" s="2266" t="s">
        <v>4963</v>
      </c>
      <c r="H264" s="2436">
        <v>82900</v>
      </c>
      <c r="I264" s="2436">
        <v>0</v>
      </c>
      <c r="J264" s="2446">
        <v>0</v>
      </c>
      <c r="K264" s="2436">
        <v>0</v>
      </c>
      <c r="L264" s="2436">
        <v>0</v>
      </c>
      <c r="M264" s="2266">
        <v>599</v>
      </c>
    </row>
    <row r="265" spans="1:13" ht="15">
      <c r="A265" s="2266" t="s">
        <v>4044</v>
      </c>
      <c r="B265" s="1694" t="str">
        <f>CONCATENATE(LEFT(RIGHT(CONCATENATE("000",IFAData_TEA!A265),6),3),"-",(RIGHT(RIGHT(CONCATENATE("000",IFAData_TEA!A265),6),3)))</f>
        <v>020-901</v>
      </c>
      <c r="C265" s="2266" t="s">
        <v>1202</v>
      </c>
      <c r="D265" s="2266">
        <v>6</v>
      </c>
      <c r="E265" s="2266">
        <v>1565</v>
      </c>
      <c r="F265" s="2266" t="s">
        <v>4970</v>
      </c>
      <c r="G265" s="2266" t="s">
        <v>4967</v>
      </c>
      <c r="H265" s="2436">
        <v>310452</v>
      </c>
      <c r="I265" s="2436">
        <v>576195</v>
      </c>
      <c r="J265" s="2446">
        <v>0.73651803666771909</v>
      </c>
      <c r="K265" s="2436">
        <v>228653.49751956674</v>
      </c>
      <c r="L265" s="2436">
        <v>228653.49751956674</v>
      </c>
      <c r="M265" s="2266">
        <v>599</v>
      </c>
    </row>
    <row r="266" spans="1:13" ht="15">
      <c r="A266" s="2266" t="s">
        <v>4044</v>
      </c>
      <c r="B266" s="1694" t="str">
        <f>CONCATENATE(LEFT(RIGHT(CONCATENATE("000",IFAData_TEA!A266),6),3),"-",(RIGHT(RIGHT(CONCATENATE("000",IFAData_TEA!A266),6),3)))</f>
        <v>020-901</v>
      </c>
      <c r="C266" s="2266" t="s">
        <v>1202</v>
      </c>
      <c r="D266" s="2266">
        <v>5</v>
      </c>
      <c r="E266" s="2266">
        <v>1566</v>
      </c>
      <c r="F266" s="2266" t="s">
        <v>4969</v>
      </c>
      <c r="G266" s="2266" t="s">
        <v>4968</v>
      </c>
      <c r="H266" s="2436">
        <v>348271</v>
      </c>
      <c r="I266" s="2436">
        <v>112361</v>
      </c>
      <c r="J266" s="2446">
        <v>0.206733307942676</v>
      </c>
      <c r="K266" s="2436">
        <v>71999.215890503707</v>
      </c>
      <c r="L266" s="2436">
        <v>71999.215890503707</v>
      </c>
      <c r="M266" s="2266">
        <v>599</v>
      </c>
    </row>
    <row r="267" spans="1:13" ht="15">
      <c r="A267" s="2266" t="s">
        <v>4044</v>
      </c>
      <c r="B267" s="1694" t="str">
        <f>CONCATENATE(LEFT(RIGHT(CONCATENATE("000",IFAData_TEA!A267),6),3),"-",(RIGHT(RIGHT(CONCATENATE("000",IFAData_TEA!A267),6),3)))</f>
        <v>020-901</v>
      </c>
      <c r="C267" s="2266" t="s">
        <v>1202</v>
      </c>
      <c r="D267" s="2266">
        <v>5</v>
      </c>
      <c r="E267" s="2266">
        <v>1567</v>
      </c>
      <c r="F267" s="2266" t="s">
        <v>4965</v>
      </c>
      <c r="G267" s="2266" t="s">
        <v>4965</v>
      </c>
      <c r="H267" s="2436">
        <v>532173</v>
      </c>
      <c r="I267" s="2436">
        <v>0</v>
      </c>
      <c r="J267" s="2446">
        <v>0</v>
      </c>
      <c r="K267" s="2436">
        <v>0</v>
      </c>
      <c r="L267" s="2436">
        <v>0</v>
      </c>
      <c r="M267" s="2266">
        <v>599</v>
      </c>
    </row>
    <row r="268" spans="1:13" ht="15">
      <c r="A268" s="2266" t="s">
        <v>4044</v>
      </c>
      <c r="B268" s="1694" t="str">
        <f>CONCATENATE(LEFT(RIGHT(CONCATENATE("000",IFAData_TEA!A268),6),3),"-",(RIGHT(RIGHT(CONCATENATE("000",IFAData_TEA!A268),6),3)))</f>
        <v>020-901</v>
      </c>
      <c r="C268" s="2266" t="s">
        <v>1202</v>
      </c>
      <c r="D268" s="2266">
        <v>5</v>
      </c>
      <c r="E268" s="2266">
        <v>1566</v>
      </c>
      <c r="F268" s="2266" t="s">
        <v>4969</v>
      </c>
      <c r="G268" s="2266" t="s">
        <v>6923</v>
      </c>
      <c r="H268" s="2436">
        <v>348271</v>
      </c>
      <c r="I268" s="2436">
        <v>63715</v>
      </c>
      <c r="J268" s="2446">
        <v>0.11722940090927991</v>
      </c>
      <c r="K268" s="2436">
        <v>40827.600684075827</v>
      </c>
      <c r="L268" s="2436">
        <v>40827.600684075827</v>
      </c>
      <c r="M268" s="2266">
        <v>599</v>
      </c>
    </row>
    <row r="269" spans="1:13" ht="15">
      <c r="A269" s="2266" t="s">
        <v>4044</v>
      </c>
      <c r="B269" s="1694" t="str">
        <f>CONCATENATE(LEFT(RIGHT(CONCATENATE("000",IFAData_TEA!A269),6),3),"-",(RIGHT(RIGHT(CONCATENATE("000",IFAData_TEA!A269),6),3)))</f>
        <v>020-901</v>
      </c>
      <c r="C269" s="2266" t="s">
        <v>1202</v>
      </c>
      <c r="D269" s="2266">
        <v>5</v>
      </c>
      <c r="E269" s="2266">
        <v>1567</v>
      </c>
      <c r="F269" s="2266" t="s">
        <v>4965</v>
      </c>
      <c r="G269" s="2266" t="s">
        <v>4967</v>
      </c>
      <c r="H269" s="2436">
        <v>532173</v>
      </c>
      <c r="I269" s="2436">
        <v>515545</v>
      </c>
      <c r="J269" s="2446">
        <v>0.52980414886248495</v>
      </c>
      <c r="K269" s="2436">
        <v>281947.46331259521</v>
      </c>
      <c r="L269" s="2436">
        <v>281947.46331259521</v>
      </c>
      <c r="M269" s="2266">
        <v>599</v>
      </c>
    </row>
    <row r="270" spans="1:13" ht="15">
      <c r="A270" s="2266" t="s">
        <v>4044</v>
      </c>
      <c r="B270" s="1694" t="str">
        <f>CONCATENATE(LEFT(RIGHT(CONCATENATE("000",IFAData_TEA!A270),6),3),"-",(RIGHT(RIGHT(CONCATENATE("000",IFAData_TEA!A270),6),3)))</f>
        <v>020-901</v>
      </c>
      <c r="C270" s="2266" t="s">
        <v>1202</v>
      </c>
      <c r="D270" s="2266">
        <v>5</v>
      </c>
      <c r="E270" s="2266">
        <v>1567</v>
      </c>
      <c r="F270" s="2266" t="s">
        <v>4965</v>
      </c>
      <c r="G270" s="2266" t="s">
        <v>4966</v>
      </c>
      <c r="H270" s="2436">
        <v>532173</v>
      </c>
      <c r="I270" s="2436">
        <v>171511</v>
      </c>
      <c r="J270" s="2446">
        <v>0.1762547195211934</v>
      </c>
      <c r="K270" s="2436">
        <v>93798.002851752055</v>
      </c>
      <c r="L270" s="2436">
        <v>93798.002851752055</v>
      </c>
      <c r="M270" s="2266">
        <v>599</v>
      </c>
    </row>
    <row r="271" spans="1:13" ht="15">
      <c r="A271" s="2266" t="s">
        <v>4044</v>
      </c>
      <c r="B271" s="1694" t="str">
        <f>CONCATENATE(LEFT(RIGHT(CONCATENATE("000",IFAData_TEA!A271),6),3),"-",(RIGHT(RIGHT(CONCATENATE("000",IFAData_TEA!A271),6),3)))</f>
        <v>020-901</v>
      </c>
      <c r="C271" s="2266" t="s">
        <v>1202</v>
      </c>
      <c r="D271" s="2266">
        <v>6</v>
      </c>
      <c r="E271" s="2266">
        <v>1565</v>
      </c>
      <c r="F271" s="2266" t="s">
        <v>4970</v>
      </c>
      <c r="G271" s="2266" t="s">
        <v>4971</v>
      </c>
      <c r="H271" s="2436">
        <v>310452</v>
      </c>
      <c r="I271" s="2436">
        <v>126628</v>
      </c>
      <c r="J271" s="2446">
        <v>0.16186153289625896</v>
      </c>
      <c r="K271" s="2436">
        <v>50250.236610709384</v>
      </c>
      <c r="L271" s="2436">
        <v>50250.236610709384</v>
      </c>
      <c r="M271" s="2266">
        <v>599</v>
      </c>
    </row>
    <row r="272" spans="1:13" ht="15">
      <c r="A272" s="2266" t="s">
        <v>4044</v>
      </c>
      <c r="B272" s="1694" t="str">
        <f>CONCATENATE(LEFT(RIGHT(CONCATENATE("000",IFAData_TEA!A272),6),3),"-",(RIGHT(RIGHT(CONCATENATE("000",IFAData_TEA!A272),6),3)))</f>
        <v>020-901</v>
      </c>
      <c r="C272" s="2266" t="s">
        <v>1202</v>
      </c>
      <c r="D272" s="2266">
        <v>5</v>
      </c>
      <c r="E272" s="2266">
        <v>1567</v>
      </c>
      <c r="F272" s="2266" t="s">
        <v>4965</v>
      </c>
      <c r="G272" s="2266" t="s">
        <v>4968</v>
      </c>
      <c r="H272" s="2436">
        <v>532173</v>
      </c>
      <c r="I272" s="2436">
        <v>78352</v>
      </c>
      <c r="J272" s="2446">
        <v>8.0519090810062005E-2</v>
      </c>
      <c r="K272" s="2436">
        <v>42850.086113663128</v>
      </c>
      <c r="L272" s="2436">
        <v>42850.086113663128</v>
      </c>
      <c r="M272" s="2266">
        <v>599</v>
      </c>
    </row>
    <row r="273" spans="1:13" ht="15">
      <c r="A273" s="2266" t="s">
        <v>4044</v>
      </c>
      <c r="B273" s="1694" t="str">
        <f>CONCATENATE(LEFT(RIGHT(CONCATENATE("000",IFAData_TEA!A273),6),3),"-",(RIGHT(RIGHT(CONCATENATE("000",IFAData_TEA!A273),6),3)))</f>
        <v>020-901</v>
      </c>
      <c r="C273" s="2266" t="s">
        <v>1202</v>
      </c>
      <c r="D273" s="2266">
        <v>6</v>
      </c>
      <c r="E273" s="2266">
        <v>1565</v>
      </c>
      <c r="F273" s="2266" t="s">
        <v>4970</v>
      </c>
      <c r="G273" s="2266" t="s">
        <v>4970</v>
      </c>
      <c r="H273" s="2436">
        <v>310452</v>
      </c>
      <c r="I273" s="2436">
        <v>0</v>
      </c>
      <c r="J273" s="2446">
        <v>0</v>
      </c>
      <c r="K273" s="2436">
        <v>0</v>
      </c>
      <c r="L273" s="2436">
        <v>0</v>
      </c>
      <c r="M273" s="2266">
        <v>599</v>
      </c>
    </row>
    <row r="274" spans="1:13" ht="15">
      <c r="A274" s="2266" t="s">
        <v>4044</v>
      </c>
      <c r="B274" s="1694" t="str">
        <f>CONCATENATE(LEFT(RIGHT(CONCATENATE("000",IFAData_TEA!A274),6),3),"-",(RIGHT(RIGHT(CONCATENATE("000",IFAData_TEA!A274),6),3)))</f>
        <v>020-901</v>
      </c>
      <c r="C274" s="2266" t="s">
        <v>1202</v>
      </c>
      <c r="D274" s="2266">
        <v>10</v>
      </c>
      <c r="E274" s="2266">
        <v>1568</v>
      </c>
      <c r="F274" s="2266" t="s">
        <v>4972</v>
      </c>
      <c r="G274" s="2266" t="s">
        <v>4972</v>
      </c>
      <c r="H274" s="2436">
        <v>750900</v>
      </c>
      <c r="I274" s="2436">
        <v>835127</v>
      </c>
      <c r="J274" s="2446">
        <v>1</v>
      </c>
      <c r="K274" s="2436">
        <v>750900</v>
      </c>
      <c r="L274" s="2436">
        <v>750900</v>
      </c>
      <c r="M274" s="2266">
        <v>599</v>
      </c>
    </row>
    <row r="275" spans="1:13" ht="15">
      <c r="A275" s="2266" t="s">
        <v>4044</v>
      </c>
      <c r="B275" s="1694" t="str">
        <f>CONCATENATE(LEFT(RIGHT(CONCATENATE("000",IFAData_TEA!A275),6),3),"-",(RIGHT(RIGHT(CONCATENATE("000",IFAData_TEA!A275),6),3)))</f>
        <v>020-901</v>
      </c>
      <c r="C275" s="2266" t="s">
        <v>1202</v>
      </c>
      <c r="D275" s="2266">
        <v>5</v>
      </c>
      <c r="E275" s="2266">
        <v>1566</v>
      </c>
      <c r="F275" s="2266" t="s">
        <v>4969</v>
      </c>
      <c r="G275" s="2266" t="s">
        <v>4969</v>
      </c>
      <c r="H275" s="2436">
        <v>348271</v>
      </c>
      <c r="I275" s="2436">
        <v>182627</v>
      </c>
      <c r="J275" s="2446">
        <v>0.33601591147860099</v>
      </c>
      <c r="K275" s="2436">
        <v>117024.59750656385</v>
      </c>
      <c r="L275" s="2436">
        <v>117024.59750656385</v>
      </c>
      <c r="M275" s="2266">
        <v>599</v>
      </c>
    </row>
    <row r="276" spans="1:13" ht="15">
      <c r="A276" s="2266" t="s">
        <v>4044</v>
      </c>
      <c r="B276" s="1694" t="str">
        <f>CONCATENATE(LEFT(RIGHT(CONCATENATE("000",IFAData_TEA!A276),6),3),"-",(RIGHT(RIGHT(CONCATENATE("000",IFAData_TEA!A276),6),3)))</f>
        <v>020-901</v>
      </c>
      <c r="C276" s="2266" t="s">
        <v>1202</v>
      </c>
      <c r="D276" s="2266">
        <v>6</v>
      </c>
      <c r="E276" s="2266">
        <v>1565</v>
      </c>
      <c r="F276" s="2266" t="s">
        <v>4970</v>
      </c>
      <c r="G276" s="2266" t="s">
        <v>6923</v>
      </c>
      <c r="H276" s="2436">
        <v>310452</v>
      </c>
      <c r="I276" s="2436">
        <v>79500</v>
      </c>
      <c r="J276" s="2446">
        <v>0.10162043043602195</v>
      </c>
      <c r="K276" s="2436">
        <v>31548.265869723888</v>
      </c>
      <c r="L276" s="2436">
        <v>31548.265869723888</v>
      </c>
      <c r="M276" s="2266">
        <v>599</v>
      </c>
    </row>
    <row r="277" spans="1:13" ht="15">
      <c r="A277" s="2266" t="s">
        <v>4044</v>
      </c>
      <c r="B277" s="1694" t="str">
        <f>CONCATENATE(LEFT(RIGHT(CONCATENATE("000",IFAData_TEA!A277),6),3),"-",(RIGHT(RIGHT(CONCATENATE("000",IFAData_TEA!A277),6),3)))</f>
        <v>020-901</v>
      </c>
      <c r="C277" s="2266" t="s">
        <v>1202</v>
      </c>
      <c r="D277" s="2266">
        <v>5</v>
      </c>
      <c r="E277" s="2266">
        <v>1567</v>
      </c>
      <c r="F277" s="2266" t="s">
        <v>4965</v>
      </c>
      <c r="G277" s="2266" t="s">
        <v>6923</v>
      </c>
      <c r="H277" s="2436">
        <v>532173</v>
      </c>
      <c r="I277" s="2436">
        <v>207678</v>
      </c>
      <c r="J277" s="2446">
        <v>0.21342204080625968</v>
      </c>
      <c r="K277" s="2436">
        <v>113577.44772198964</v>
      </c>
      <c r="L277" s="2436">
        <v>113577.44772198964</v>
      </c>
      <c r="M277" s="2266">
        <v>599</v>
      </c>
    </row>
    <row r="278" spans="1:13" ht="15">
      <c r="A278" s="2266" t="s">
        <v>4044</v>
      </c>
      <c r="B278" s="1694" t="str">
        <f>CONCATENATE(LEFT(RIGHT(CONCATENATE("000",IFAData_TEA!A278),6),3),"-",(RIGHT(RIGHT(CONCATENATE("000",IFAData_TEA!A278),6),3)))</f>
        <v>020-901</v>
      </c>
      <c r="C278" s="2266" t="s">
        <v>1202</v>
      </c>
      <c r="D278" s="2266">
        <v>5</v>
      </c>
      <c r="E278" s="2266">
        <v>1566</v>
      </c>
      <c r="F278" s="2266" t="s">
        <v>4969</v>
      </c>
      <c r="G278" s="2266" t="s">
        <v>4966</v>
      </c>
      <c r="H278" s="2436">
        <v>348271</v>
      </c>
      <c r="I278" s="2436">
        <v>184804</v>
      </c>
      <c r="J278" s="2446">
        <v>0.34002137966944307</v>
      </c>
      <c r="K278" s="2436">
        <v>118419.58591885661</v>
      </c>
      <c r="L278" s="2436">
        <v>118419.58591885661</v>
      </c>
      <c r="M278" s="2266">
        <v>599</v>
      </c>
    </row>
    <row r="279" spans="1:13" ht="15">
      <c r="A279" s="2266" t="s">
        <v>4045</v>
      </c>
      <c r="B279" s="1694" t="str">
        <f>CONCATENATE(LEFT(RIGHT(CONCATENATE("000",IFAData_TEA!A279),6),3),"-",(RIGHT(RIGHT(CONCATENATE("000",IFAData_TEA!A279),6),3)))</f>
        <v>020-904</v>
      </c>
      <c r="C279" s="2266" t="s">
        <v>3059</v>
      </c>
      <c r="D279" s="2266">
        <v>4</v>
      </c>
      <c r="E279" s="2266">
        <v>1744</v>
      </c>
      <c r="F279" s="2266" t="s">
        <v>4973</v>
      </c>
      <c r="G279" s="2266" t="s">
        <v>4973</v>
      </c>
      <c r="H279" s="2436">
        <v>187870</v>
      </c>
      <c r="I279" s="2436">
        <v>0</v>
      </c>
      <c r="J279" s="2446">
        <v>0</v>
      </c>
      <c r="K279" s="2436">
        <v>0</v>
      </c>
      <c r="L279" s="2436">
        <v>0</v>
      </c>
      <c r="M279" s="2266">
        <v>599</v>
      </c>
    </row>
    <row r="280" spans="1:13" ht="15">
      <c r="A280" s="2266" t="s">
        <v>4045</v>
      </c>
      <c r="B280" s="1694" t="str">
        <f>CONCATENATE(LEFT(RIGHT(CONCATENATE("000",IFAData_TEA!A280),6),3),"-",(RIGHT(RIGHT(CONCATENATE("000",IFAData_TEA!A280),6),3)))</f>
        <v>020-904</v>
      </c>
      <c r="C280" s="2266" t="s">
        <v>3059</v>
      </c>
      <c r="D280" s="2266">
        <v>4</v>
      </c>
      <c r="E280" s="2266">
        <v>1744</v>
      </c>
      <c r="F280" s="2266" t="s">
        <v>4973</v>
      </c>
      <c r="G280" s="2266" t="s">
        <v>4974</v>
      </c>
      <c r="H280" s="2436">
        <v>187870</v>
      </c>
      <c r="I280" s="2436">
        <v>217725</v>
      </c>
      <c r="J280" s="2446">
        <v>1</v>
      </c>
      <c r="K280" s="2436">
        <v>187870</v>
      </c>
      <c r="L280" s="2436">
        <v>187870</v>
      </c>
      <c r="M280" s="2266">
        <v>599</v>
      </c>
    </row>
    <row r="281" spans="1:13" ht="15">
      <c r="A281" s="2266" t="s">
        <v>4046</v>
      </c>
      <c r="B281" s="1694" t="str">
        <f>CONCATENATE(LEFT(RIGHT(CONCATENATE("000",IFAData_TEA!A281),6),3),"-",(RIGHT(RIGHT(CONCATENATE("000",IFAData_TEA!A281),6),3)))</f>
        <v>020-907</v>
      </c>
      <c r="C281" s="2266" t="s">
        <v>1741</v>
      </c>
      <c r="D281" s="2266">
        <v>3</v>
      </c>
      <c r="E281" s="2266">
        <v>1708</v>
      </c>
      <c r="F281" s="2266" t="s">
        <v>4975</v>
      </c>
      <c r="G281" s="2266" t="s">
        <v>4975</v>
      </c>
      <c r="H281" s="2436">
        <v>361373</v>
      </c>
      <c r="I281" s="2436">
        <v>0</v>
      </c>
      <c r="J281" s="2446">
        <v>0</v>
      </c>
      <c r="K281" s="2436">
        <v>0</v>
      </c>
      <c r="L281" s="2436">
        <v>0</v>
      </c>
      <c r="M281" s="2266">
        <v>599</v>
      </c>
    </row>
    <row r="282" spans="1:13" ht="15">
      <c r="A282" s="2266" t="s">
        <v>4046</v>
      </c>
      <c r="B282" s="1694" t="str">
        <f>CONCATENATE(LEFT(RIGHT(CONCATENATE("000",IFAData_TEA!A282),6),3),"-",(RIGHT(RIGHT(CONCATENATE("000",IFAData_TEA!A282),6),3)))</f>
        <v>020-907</v>
      </c>
      <c r="C282" s="2266" t="s">
        <v>1741</v>
      </c>
      <c r="D282" s="2266">
        <v>3</v>
      </c>
      <c r="E282" s="2266">
        <v>1708</v>
      </c>
      <c r="F282" s="2266" t="s">
        <v>4975</v>
      </c>
      <c r="G282" s="2266" t="s">
        <v>4977</v>
      </c>
      <c r="H282" s="2436">
        <v>361373</v>
      </c>
      <c r="I282" s="2436">
        <v>0</v>
      </c>
      <c r="J282" s="2446">
        <v>0</v>
      </c>
      <c r="K282" s="2436">
        <v>0</v>
      </c>
      <c r="L282" s="2436">
        <v>0</v>
      </c>
      <c r="M282" s="2266">
        <v>599</v>
      </c>
    </row>
    <row r="283" spans="1:13" ht="15">
      <c r="A283" s="2266" t="s">
        <v>4046</v>
      </c>
      <c r="B283" s="1694" t="str">
        <f>CONCATENATE(LEFT(RIGHT(CONCATENATE("000",IFAData_TEA!A283),6),3),"-",(RIGHT(RIGHT(CONCATENATE("000",IFAData_TEA!A283),6),3)))</f>
        <v>020-907</v>
      </c>
      <c r="C283" s="2266" t="s">
        <v>1741</v>
      </c>
      <c r="D283" s="2266">
        <v>3</v>
      </c>
      <c r="E283" s="2266">
        <v>1708</v>
      </c>
      <c r="F283" s="2266" t="s">
        <v>4975</v>
      </c>
      <c r="G283" s="2266" t="s">
        <v>4976</v>
      </c>
      <c r="H283" s="2436">
        <v>361373</v>
      </c>
      <c r="I283" s="2436">
        <v>388543</v>
      </c>
      <c r="J283" s="2446">
        <v>1</v>
      </c>
      <c r="K283" s="2436">
        <v>361373</v>
      </c>
      <c r="L283" s="2436">
        <v>361373</v>
      </c>
      <c r="M283" s="2266">
        <v>599</v>
      </c>
    </row>
    <row r="284" spans="1:13" ht="15">
      <c r="A284" s="2266" t="s">
        <v>4047</v>
      </c>
      <c r="B284" s="1694" t="str">
        <f>CONCATENATE(LEFT(RIGHT(CONCATENATE("000",IFAData_TEA!A284),6),3),"-",(RIGHT(RIGHT(CONCATENATE("000",IFAData_TEA!A284),6),3)))</f>
        <v>020-908</v>
      </c>
      <c r="C284" s="2266" t="s">
        <v>303</v>
      </c>
      <c r="D284" s="2266">
        <v>1</v>
      </c>
      <c r="E284" s="2266">
        <v>2180</v>
      </c>
      <c r="F284" s="2266" t="s">
        <v>4978</v>
      </c>
      <c r="G284" s="2266" t="s">
        <v>4983</v>
      </c>
      <c r="H284" s="2436">
        <v>1598791</v>
      </c>
      <c r="I284" s="2436">
        <v>29271</v>
      </c>
      <c r="J284" s="2446">
        <v>8.4806605823554981E-2</v>
      </c>
      <c r="K284" s="2436">
        <v>135588.0381312473</v>
      </c>
      <c r="L284" s="2436">
        <v>29271</v>
      </c>
      <c r="M284" s="2266">
        <v>599</v>
      </c>
    </row>
    <row r="285" spans="1:13" ht="15">
      <c r="A285" s="2266" t="s">
        <v>4047</v>
      </c>
      <c r="B285" s="1694" t="str">
        <f>CONCATENATE(LEFT(RIGHT(CONCATENATE("000",IFAData_TEA!A285),6),3),"-",(RIGHT(RIGHT(CONCATENATE("000",IFAData_TEA!A285),6),3)))</f>
        <v>020-908</v>
      </c>
      <c r="C285" s="2266" t="s">
        <v>303</v>
      </c>
      <c r="D285" s="2266">
        <v>1</v>
      </c>
      <c r="E285" s="2266">
        <v>2180</v>
      </c>
      <c r="F285" s="2266" t="s">
        <v>4978</v>
      </c>
      <c r="G285" s="2266" t="s">
        <v>4981</v>
      </c>
      <c r="H285" s="2436">
        <v>1598791</v>
      </c>
      <c r="I285" s="2436">
        <v>0</v>
      </c>
      <c r="J285" s="2446">
        <v>0</v>
      </c>
      <c r="K285" s="2436">
        <v>0</v>
      </c>
      <c r="L285" s="2436">
        <v>0</v>
      </c>
      <c r="M285" s="2266">
        <v>599</v>
      </c>
    </row>
    <row r="286" spans="1:13" ht="15">
      <c r="A286" s="2266" t="s">
        <v>4047</v>
      </c>
      <c r="B286" s="1694" t="str">
        <f>CONCATENATE(LEFT(RIGHT(CONCATENATE("000",IFAData_TEA!A286),6),3),"-",(RIGHT(RIGHT(CONCATENATE("000",IFAData_TEA!A286),6),3)))</f>
        <v>020-908</v>
      </c>
      <c r="C286" s="2266" t="s">
        <v>303</v>
      </c>
      <c r="D286" s="2266">
        <v>1</v>
      </c>
      <c r="E286" s="2266">
        <v>2180</v>
      </c>
      <c r="F286" s="2266" t="s">
        <v>4978</v>
      </c>
      <c r="G286" s="2266" t="s">
        <v>6924</v>
      </c>
      <c r="H286" s="2436">
        <v>1598791</v>
      </c>
      <c r="I286" s="2436">
        <v>12847</v>
      </c>
      <c r="J286" s="2446">
        <v>3.7221497899464003E-2</v>
      </c>
      <c r="K286" s="2436">
        <v>59509.39584818195</v>
      </c>
      <c r="L286" s="2436">
        <v>12847</v>
      </c>
      <c r="M286" s="2266">
        <v>599</v>
      </c>
    </row>
    <row r="287" spans="1:13" ht="15">
      <c r="A287" s="2266" t="s">
        <v>4047</v>
      </c>
      <c r="B287" s="1694" t="str">
        <f>CONCATENATE(LEFT(RIGHT(CONCATENATE("000",IFAData_TEA!A287),6),3),"-",(RIGHT(RIGHT(CONCATENATE("000",IFAData_TEA!A287),6),3)))</f>
        <v>020-908</v>
      </c>
      <c r="C287" s="2266" t="s">
        <v>303</v>
      </c>
      <c r="D287" s="2266">
        <v>1</v>
      </c>
      <c r="E287" s="2266">
        <v>2180</v>
      </c>
      <c r="F287" s="2266" t="s">
        <v>4978</v>
      </c>
      <c r="G287" s="2266" t="s">
        <v>6925</v>
      </c>
      <c r="H287" s="2436">
        <v>1598791</v>
      </c>
      <c r="I287" s="2436">
        <v>10070</v>
      </c>
      <c r="J287" s="2446">
        <v>2.9175720701144429E-2</v>
      </c>
      <c r="K287" s="2436">
        <v>46645.879675503405</v>
      </c>
      <c r="L287" s="2436">
        <v>10070</v>
      </c>
      <c r="M287" s="2266">
        <v>599</v>
      </c>
    </row>
    <row r="288" spans="1:13" ht="15">
      <c r="A288" s="2266" t="s">
        <v>4047</v>
      </c>
      <c r="B288" s="1694" t="str">
        <f>CONCATENATE(LEFT(RIGHT(CONCATENATE("000",IFAData_TEA!A288),6),3),"-",(RIGHT(RIGHT(CONCATENATE("000",IFAData_TEA!A288),6),3)))</f>
        <v>020-908</v>
      </c>
      <c r="C288" s="2266" t="s">
        <v>303</v>
      </c>
      <c r="D288" s="2266">
        <v>1</v>
      </c>
      <c r="E288" s="2266">
        <v>2180</v>
      </c>
      <c r="F288" s="2266" t="s">
        <v>4978</v>
      </c>
      <c r="G288" s="2266" t="s">
        <v>4980</v>
      </c>
      <c r="H288" s="2436">
        <v>1598791</v>
      </c>
      <c r="I288" s="2436">
        <v>0</v>
      </c>
      <c r="J288" s="2446">
        <v>0</v>
      </c>
      <c r="K288" s="2436">
        <v>0</v>
      </c>
      <c r="L288" s="2436">
        <v>0</v>
      </c>
      <c r="M288" s="2266">
        <v>599</v>
      </c>
    </row>
    <row r="289" spans="1:13" ht="15">
      <c r="A289" s="2266" t="s">
        <v>4047</v>
      </c>
      <c r="B289" s="1694" t="str">
        <f>CONCATENATE(LEFT(RIGHT(CONCATENATE("000",IFAData_TEA!A289),6),3),"-",(RIGHT(RIGHT(CONCATENATE("000",IFAData_TEA!A289),6),3)))</f>
        <v>020-908</v>
      </c>
      <c r="C289" s="2266" t="s">
        <v>303</v>
      </c>
      <c r="D289" s="2266">
        <v>1</v>
      </c>
      <c r="E289" s="2266">
        <v>2180</v>
      </c>
      <c r="F289" s="2266" t="s">
        <v>4978</v>
      </c>
      <c r="G289" s="2266" t="s">
        <v>4979</v>
      </c>
      <c r="H289" s="2436">
        <v>1598791</v>
      </c>
      <c r="I289" s="2436">
        <v>0</v>
      </c>
      <c r="J289" s="2446">
        <v>0</v>
      </c>
      <c r="K289" s="2436">
        <v>0</v>
      </c>
      <c r="L289" s="2436">
        <v>0</v>
      </c>
      <c r="M289" s="2266">
        <v>599</v>
      </c>
    </row>
    <row r="290" spans="1:13" ht="15">
      <c r="A290" s="2266" t="s">
        <v>4047</v>
      </c>
      <c r="B290" s="1694" t="str">
        <f>CONCATENATE(LEFT(RIGHT(CONCATENATE("000",IFAData_TEA!A290),6),3),"-",(RIGHT(RIGHT(CONCATENATE("000",IFAData_TEA!A290),6),3)))</f>
        <v>020-908</v>
      </c>
      <c r="C290" s="2266" t="s">
        <v>303</v>
      </c>
      <c r="D290" s="2266">
        <v>1</v>
      </c>
      <c r="E290" s="2266">
        <v>2180</v>
      </c>
      <c r="F290" s="2266" t="s">
        <v>4978</v>
      </c>
      <c r="G290" s="2266" t="s">
        <v>4984</v>
      </c>
      <c r="H290" s="2436">
        <v>1598791</v>
      </c>
      <c r="I290" s="2436">
        <v>59394</v>
      </c>
      <c r="J290" s="2446">
        <v>0.17208170360712732</v>
      </c>
      <c r="K290" s="2436">
        <v>275122.67899174272</v>
      </c>
      <c r="L290" s="2436">
        <v>59394</v>
      </c>
      <c r="M290" s="2266">
        <v>599</v>
      </c>
    </row>
    <row r="291" spans="1:13" ht="15">
      <c r="A291" s="2266" t="s">
        <v>4047</v>
      </c>
      <c r="B291" s="1694" t="str">
        <f>CONCATENATE(LEFT(RIGHT(CONCATENATE("000",IFAData_TEA!A291),6),3),"-",(RIGHT(RIGHT(CONCATENATE("000",IFAData_TEA!A291),6),3)))</f>
        <v>020-908</v>
      </c>
      <c r="C291" s="2266" t="s">
        <v>303</v>
      </c>
      <c r="D291" s="2266">
        <v>1</v>
      </c>
      <c r="E291" s="2266">
        <v>2180</v>
      </c>
      <c r="F291" s="2266" t="s">
        <v>4978</v>
      </c>
      <c r="G291" s="2266" t="s">
        <v>4978</v>
      </c>
      <c r="H291" s="2436">
        <v>1598791</v>
      </c>
      <c r="I291" s="2436">
        <v>0</v>
      </c>
      <c r="J291" s="2446">
        <v>0</v>
      </c>
      <c r="K291" s="2436">
        <v>0</v>
      </c>
      <c r="L291" s="2436">
        <v>0</v>
      </c>
      <c r="M291" s="2266">
        <v>599</v>
      </c>
    </row>
    <row r="292" spans="1:13" ht="15">
      <c r="A292" s="2266" t="s">
        <v>4047</v>
      </c>
      <c r="B292" s="1694" t="str">
        <f>CONCATENATE(LEFT(RIGHT(CONCATENATE("000",IFAData_TEA!A292),6),3),"-",(RIGHT(RIGHT(CONCATENATE("000",IFAData_TEA!A292),6),3)))</f>
        <v>020-908</v>
      </c>
      <c r="C292" s="2266" t="s">
        <v>303</v>
      </c>
      <c r="D292" s="2266">
        <v>1</v>
      </c>
      <c r="E292" s="2266">
        <v>2180</v>
      </c>
      <c r="F292" s="2266" t="s">
        <v>4978</v>
      </c>
      <c r="G292" s="2266" t="s">
        <v>4982</v>
      </c>
      <c r="H292" s="2436">
        <v>1598791</v>
      </c>
      <c r="I292" s="2436">
        <v>233568</v>
      </c>
      <c r="J292" s="2446">
        <v>0.67671447196870926</v>
      </c>
      <c r="K292" s="2436">
        <v>1081925.0073533247</v>
      </c>
      <c r="L292" s="2436">
        <v>233568</v>
      </c>
      <c r="M292" s="2266">
        <v>599</v>
      </c>
    </row>
    <row r="293" spans="1:13" ht="15">
      <c r="A293" s="2266" t="s">
        <v>4048</v>
      </c>
      <c r="B293" s="1694" t="str">
        <f>CONCATENATE(LEFT(RIGHT(CONCATENATE("000",IFAData_TEA!A293),6),3),"-",(RIGHT(RIGHT(CONCATENATE("000",IFAData_TEA!A293),6),3)))</f>
        <v>020-910</v>
      </c>
      <c r="C293" s="2266" t="s">
        <v>2853</v>
      </c>
      <c r="D293" s="2266">
        <v>10</v>
      </c>
      <c r="E293" s="2266">
        <v>1743</v>
      </c>
      <c r="F293" s="2266" t="s">
        <v>4985</v>
      </c>
      <c r="G293" s="2266" t="s">
        <v>4985</v>
      </c>
      <c r="H293" s="2436">
        <v>100000</v>
      </c>
      <c r="I293" s="2436">
        <v>162631</v>
      </c>
      <c r="J293" s="2446">
        <v>1</v>
      </c>
      <c r="K293" s="2436">
        <v>100000</v>
      </c>
      <c r="L293" s="2436">
        <v>100000</v>
      </c>
      <c r="M293" s="2266">
        <v>199</v>
      </c>
    </row>
    <row r="294" spans="1:13" ht="15">
      <c r="A294" s="2266" t="s">
        <v>4049</v>
      </c>
      <c r="B294" s="1694" t="str">
        <f>CONCATENATE(LEFT(RIGHT(CONCATENATE("000",IFAData_TEA!A294),6),3),"-",(RIGHT(RIGHT(CONCATENATE("000",IFAData_TEA!A294),6),3)))</f>
        <v>021-901</v>
      </c>
      <c r="C294" s="2266" t="s">
        <v>1334</v>
      </c>
      <c r="D294" s="2266">
        <v>2</v>
      </c>
      <c r="E294" s="2266">
        <v>1705</v>
      </c>
      <c r="F294" s="2266" t="s">
        <v>4986</v>
      </c>
      <c r="G294" s="2266" t="s">
        <v>6926</v>
      </c>
      <c r="H294" s="2436">
        <v>1632000</v>
      </c>
      <c r="I294" s="2436">
        <v>106608</v>
      </c>
      <c r="J294" s="2446">
        <v>8.2724392475283487E-2</v>
      </c>
      <c r="K294" s="2436">
        <v>135006.20851966264</v>
      </c>
      <c r="L294" s="2436">
        <v>106608</v>
      </c>
      <c r="M294" s="2266">
        <v>599</v>
      </c>
    </row>
    <row r="295" spans="1:13" ht="15">
      <c r="A295" s="2266" t="s">
        <v>4049</v>
      </c>
      <c r="B295" s="1694" t="str">
        <f>CONCATENATE(LEFT(RIGHT(CONCATENATE("000",IFAData_TEA!A295),6),3),"-",(RIGHT(RIGHT(CONCATENATE("000",IFAData_TEA!A295),6),3)))</f>
        <v>021-901</v>
      </c>
      <c r="C295" s="2266" t="s">
        <v>1334</v>
      </c>
      <c r="D295" s="2266">
        <v>2</v>
      </c>
      <c r="E295" s="2266">
        <v>1705</v>
      </c>
      <c r="F295" s="2266" t="s">
        <v>4986</v>
      </c>
      <c r="G295" s="2266" t="s">
        <v>4988</v>
      </c>
      <c r="H295" s="2436">
        <v>1632000</v>
      </c>
      <c r="I295" s="2436">
        <v>195885</v>
      </c>
      <c r="J295" s="2446">
        <v>0.15200048420400819</v>
      </c>
      <c r="K295" s="2436">
        <v>248064.79022094136</v>
      </c>
      <c r="L295" s="2436">
        <v>195885</v>
      </c>
      <c r="M295" s="2266">
        <v>599</v>
      </c>
    </row>
    <row r="296" spans="1:13" ht="15">
      <c r="A296" s="2266" t="s">
        <v>4049</v>
      </c>
      <c r="B296" s="1694" t="str">
        <f>CONCATENATE(LEFT(RIGHT(CONCATENATE("000",IFAData_TEA!A296),6),3),"-",(RIGHT(RIGHT(CONCATENATE("000",IFAData_TEA!A296),6),3)))</f>
        <v>021-901</v>
      </c>
      <c r="C296" s="2266" t="s">
        <v>1334</v>
      </c>
      <c r="D296" s="2266">
        <v>2</v>
      </c>
      <c r="E296" s="2266">
        <v>1705</v>
      </c>
      <c r="F296" s="2266" t="s">
        <v>4986</v>
      </c>
      <c r="G296" s="2266" t="s">
        <v>4986</v>
      </c>
      <c r="H296" s="2436">
        <v>1632000</v>
      </c>
      <c r="I296" s="2436">
        <v>0</v>
      </c>
      <c r="J296" s="2446">
        <v>0</v>
      </c>
      <c r="K296" s="2436">
        <v>0</v>
      </c>
      <c r="L296" s="2436">
        <v>0</v>
      </c>
      <c r="M296" s="2266">
        <v>599</v>
      </c>
    </row>
    <row r="297" spans="1:13" ht="15">
      <c r="A297" s="2266" t="s">
        <v>4049</v>
      </c>
      <c r="B297" s="1694" t="str">
        <f>CONCATENATE(LEFT(RIGHT(CONCATENATE("000",IFAData_TEA!A297),6),3),"-",(RIGHT(RIGHT(CONCATENATE("000",IFAData_TEA!A297),6),3)))</f>
        <v>021-901</v>
      </c>
      <c r="C297" s="2266" t="s">
        <v>1334</v>
      </c>
      <c r="D297" s="2266">
        <v>2</v>
      </c>
      <c r="E297" s="2266">
        <v>1705</v>
      </c>
      <c r="F297" s="2266" t="s">
        <v>4986</v>
      </c>
      <c r="G297" s="2266" t="s">
        <v>4987</v>
      </c>
      <c r="H297" s="2436">
        <v>1632000</v>
      </c>
      <c r="I297" s="2436">
        <v>986220</v>
      </c>
      <c r="J297" s="2446">
        <v>0.76527512332070835</v>
      </c>
      <c r="K297" s="2436">
        <v>1248929.0012593961</v>
      </c>
      <c r="L297" s="2436">
        <v>986220</v>
      </c>
      <c r="M297" s="2266">
        <v>599</v>
      </c>
    </row>
    <row r="298" spans="1:13" ht="15">
      <c r="A298" s="2266" t="s">
        <v>4050</v>
      </c>
      <c r="B298" s="1694" t="str">
        <f>CONCATENATE(LEFT(RIGHT(CONCATENATE("000",IFAData_TEA!A298),6),3),"-",(RIGHT(RIGHT(CONCATENATE("000",IFAData_TEA!A298),6),3)))</f>
        <v>021-902</v>
      </c>
      <c r="C298" s="2266" t="s">
        <v>3032</v>
      </c>
      <c r="D298" s="2266">
        <v>9</v>
      </c>
      <c r="E298" s="2266">
        <v>1648</v>
      </c>
      <c r="F298" s="2266" t="s">
        <v>4991</v>
      </c>
      <c r="G298" s="2266" t="s">
        <v>4991</v>
      </c>
      <c r="H298" s="2436">
        <v>2150873</v>
      </c>
      <c r="I298" s="2436">
        <v>1289677</v>
      </c>
      <c r="J298" s="2446">
        <v>1</v>
      </c>
      <c r="K298" s="2436">
        <v>2150873</v>
      </c>
      <c r="L298" s="2436">
        <v>1289677</v>
      </c>
      <c r="M298" s="2266">
        <v>599</v>
      </c>
    </row>
    <row r="299" spans="1:13" ht="15">
      <c r="A299" s="2266" t="s">
        <v>4050</v>
      </c>
      <c r="B299" s="1694" t="str">
        <f>CONCATENATE(LEFT(RIGHT(CONCATENATE("000",IFAData_TEA!A299),6),3),"-",(RIGHT(RIGHT(CONCATENATE("000",IFAData_TEA!A299),6),3)))</f>
        <v>021-902</v>
      </c>
      <c r="C299" s="2266" t="s">
        <v>3032</v>
      </c>
      <c r="D299" s="2266">
        <v>2</v>
      </c>
      <c r="E299" s="2266">
        <v>1647</v>
      </c>
      <c r="F299" s="2266" t="s">
        <v>4989</v>
      </c>
      <c r="G299" s="2266" t="s">
        <v>4989</v>
      </c>
      <c r="H299" s="2436">
        <v>1547958</v>
      </c>
      <c r="I299" s="2436">
        <v>0</v>
      </c>
      <c r="J299" s="2446">
        <v>0</v>
      </c>
      <c r="K299" s="2436"/>
      <c r="L299" s="2436">
        <v>0</v>
      </c>
      <c r="M299" s="2266">
        <v>199</v>
      </c>
    </row>
    <row r="300" spans="1:13" ht="15">
      <c r="A300" s="2266" t="s">
        <v>4050</v>
      </c>
      <c r="B300" s="1694" t="str">
        <f>CONCATENATE(LEFT(RIGHT(CONCATENATE("000",IFAData_TEA!A300),6),3),"-",(RIGHT(RIGHT(CONCATENATE("000",IFAData_TEA!A300),6),3)))</f>
        <v>021-902</v>
      </c>
      <c r="C300" s="2266" t="s">
        <v>3032</v>
      </c>
      <c r="D300" s="2266">
        <v>6</v>
      </c>
      <c r="E300" s="2266">
        <v>1646</v>
      </c>
      <c r="F300" s="2266" t="s">
        <v>4990</v>
      </c>
      <c r="G300" s="2266" t="s">
        <v>4990</v>
      </c>
      <c r="H300" s="2436">
        <v>424846</v>
      </c>
      <c r="I300" s="2436">
        <v>0</v>
      </c>
      <c r="J300" s="2446">
        <v>0</v>
      </c>
      <c r="K300" s="2436"/>
      <c r="L300" s="2436">
        <v>0</v>
      </c>
      <c r="M300" s="2266">
        <v>599</v>
      </c>
    </row>
    <row r="301" spans="1:13" ht="15">
      <c r="A301" s="2266" t="s">
        <v>4051</v>
      </c>
      <c r="B301" s="1694" t="str">
        <f>CONCATENATE(LEFT(RIGHT(CONCATENATE("000",IFAData_TEA!A301),6),3),"-",(RIGHT(RIGHT(CONCATENATE("000",IFAData_TEA!A301),6),3)))</f>
        <v>025-904</v>
      </c>
      <c r="C301" s="2266" t="s">
        <v>1519</v>
      </c>
      <c r="D301" s="2266">
        <v>4</v>
      </c>
      <c r="E301" s="2266">
        <v>1617</v>
      </c>
      <c r="F301" s="2266" t="s">
        <v>4993</v>
      </c>
      <c r="G301" s="2266" t="s">
        <v>4994</v>
      </c>
      <c r="H301" s="2436">
        <v>100000</v>
      </c>
      <c r="I301" s="2436">
        <v>98782</v>
      </c>
      <c r="J301" s="2446">
        <v>1</v>
      </c>
      <c r="K301" s="2436">
        <v>100000</v>
      </c>
      <c r="L301" s="2436">
        <v>98782</v>
      </c>
      <c r="M301" s="2266">
        <v>599</v>
      </c>
    </row>
    <row r="302" spans="1:13" ht="15">
      <c r="A302" s="2266" t="s">
        <v>4051</v>
      </c>
      <c r="B302" s="1694" t="str">
        <f>CONCATENATE(LEFT(RIGHT(CONCATENATE("000",IFAData_TEA!A302),6),3),"-",(RIGHT(RIGHT(CONCATENATE("000",IFAData_TEA!A302),6),3)))</f>
        <v>025-904</v>
      </c>
      <c r="C302" s="2266" t="s">
        <v>1519</v>
      </c>
      <c r="D302" s="2266">
        <v>4</v>
      </c>
      <c r="E302" s="2266">
        <v>1617</v>
      </c>
      <c r="F302" s="2266" t="s">
        <v>4993</v>
      </c>
      <c r="G302" s="2266" t="s">
        <v>4993</v>
      </c>
      <c r="H302" s="2436">
        <v>100000</v>
      </c>
      <c r="I302" s="2436">
        <v>0</v>
      </c>
      <c r="J302" s="2446">
        <v>0</v>
      </c>
      <c r="K302" s="2436">
        <v>0</v>
      </c>
      <c r="L302" s="2436">
        <v>0</v>
      </c>
      <c r="M302" s="2266">
        <v>599</v>
      </c>
    </row>
    <row r="303" spans="1:13" ht="15">
      <c r="A303" s="2266" t="s">
        <v>4051</v>
      </c>
      <c r="B303" s="1694" t="str">
        <f>CONCATENATE(LEFT(RIGHT(CONCATENATE("000",IFAData_TEA!A303),6),3),"-",(RIGHT(RIGHT(CONCATENATE("000",IFAData_TEA!A303),6),3)))</f>
        <v>025-904</v>
      </c>
      <c r="C303" s="2266" t="s">
        <v>1519</v>
      </c>
      <c r="D303" s="2266">
        <v>2</v>
      </c>
      <c r="E303" s="2266">
        <v>1616</v>
      </c>
      <c r="F303" s="2266" t="s">
        <v>4992</v>
      </c>
      <c r="G303" s="2266" t="s">
        <v>4992</v>
      </c>
      <c r="H303" s="2436">
        <v>100000</v>
      </c>
      <c r="I303" s="2436">
        <v>0</v>
      </c>
      <c r="J303" s="2446">
        <v>0</v>
      </c>
      <c r="K303" s="2436"/>
      <c r="L303" s="2436">
        <v>0</v>
      </c>
      <c r="M303" s="2266">
        <v>199</v>
      </c>
    </row>
    <row r="304" spans="1:13" ht="15">
      <c r="A304" s="2266" t="s">
        <v>4052</v>
      </c>
      <c r="B304" s="1694" t="str">
        <f>CONCATENATE(LEFT(RIGHT(CONCATENATE("000",IFAData_TEA!A304),6),3),"-",(RIGHT(RIGHT(CONCATENATE("000",IFAData_TEA!A304),6),3)))</f>
        <v>025-905</v>
      </c>
      <c r="C304" s="2266" t="s">
        <v>2362</v>
      </c>
      <c r="D304" s="2266">
        <v>1</v>
      </c>
      <c r="E304" s="2266">
        <v>2077</v>
      </c>
      <c r="F304" s="2266" t="s">
        <v>4995</v>
      </c>
      <c r="G304" s="2266" t="s">
        <v>4995</v>
      </c>
      <c r="H304" s="2436">
        <v>92069</v>
      </c>
      <c r="I304" s="2436">
        <v>0</v>
      </c>
      <c r="J304" s="2446">
        <v>0</v>
      </c>
      <c r="K304" s="2436">
        <v>0</v>
      </c>
      <c r="L304" s="2436">
        <v>0</v>
      </c>
      <c r="M304" s="2266">
        <v>599</v>
      </c>
    </row>
    <row r="305" spans="1:13" ht="15">
      <c r="A305" s="2266" t="s">
        <v>4052</v>
      </c>
      <c r="B305" s="1694" t="str">
        <f>CONCATENATE(LEFT(RIGHT(CONCATENATE("000",IFAData_TEA!A305),6),3),"-",(RIGHT(RIGHT(CONCATENATE("000",IFAData_TEA!A305),6),3)))</f>
        <v>025-905</v>
      </c>
      <c r="C305" s="2266" t="s">
        <v>2362</v>
      </c>
      <c r="D305" s="2266">
        <v>1</v>
      </c>
      <c r="E305" s="2266">
        <v>2077</v>
      </c>
      <c r="F305" s="2266" t="s">
        <v>4995</v>
      </c>
      <c r="G305" s="2266" t="s">
        <v>4996</v>
      </c>
      <c r="H305" s="2436">
        <v>92069</v>
      </c>
      <c r="I305" s="2436">
        <v>90280</v>
      </c>
      <c r="J305" s="2446">
        <v>1</v>
      </c>
      <c r="K305" s="2436">
        <v>92069</v>
      </c>
      <c r="L305" s="2436">
        <v>90280</v>
      </c>
      <c r="M305" s="2266">
        <v>599</v>
      </c>
    </row>
    <row r="306" spans="1:13" ht="15">
      <c r="A306" s="2266" t="s">
        <v>4053</v>
      </c>
      <c r="B306" s="1694" t="str">
        <f>CONCATENATE(LEFT(RIGHT(CONCATENATE("000",IFAData_TEA!A306),6),3),"-",(RIGHT(RIGHT(CONCATENATE("000",IFAData_TEA!A306),6),3)))</f>
        <v>025-906</v>
      </c>
      <c r="C306" s="2266" t="s">
        <v>3074</v>
      </c>
      <c r="D306" s="2266">
        <v>2</v>
      </c>
      <c r="E306" s="2266">
        <v>2470</v>
      </c>
      <c r="F306" s="2266" t="s">
        <v>4997</v>
      </c>
      <c r="G306" s="2266" t="s">
        <v>4997</v>
      </c>
      <c r="H306" s="2436">
        <v>43725</v>
      </c>
      <c r="I306" s="2436">
        <v>42250</v>
      </c>
      <c r="J306" s="2446">
        <v>1</v>
      </c>
      <c r="K306" s="2436">
        <v>43725</v>
      </c>
      <c r="L306" s="2436">
        <v>42250</v>
      </c>
      <c r="M306" s="2266">
        <v>599</v>
      </c>
    </row>
    <row r="307" spans="1:13" ht="15">
      <c r="A307" s="2266" t="s">
        <v>4053</v>
      </c>
      <c r="B307" s="1694" t="str">
        <f>CONCATENATE(LEFT(RIGHT(CONCATENATE("000",IFAData_TEA!A307),6),3),"-",(RIGHT(RIGHT(CONCATENATE("000",IFAData_TEA!A307),6),3)))</f>
        <v>025-906</v>
      </c>
      <c r="C307" s="2266" t="s">
        <v>3074</v>
      </c>
      <c r="D307" s="2266">
        <v>9</v>
      </c>
      <c r="E307" s="2266">
        <v>2471</v>
      </c>
      <c r="F307" s="2266" t="s">
        <v>4998</v>
      </c>
      <c r="G307" s="2266" t="s">
        <v>4998</v>
      </c>
      <c r="H307" s="2436">
        <v>100000</v>
      </c>
      <c r="I307" s="2436">
        <v>100554</v>
      </c>
      <c r="J307" s="2446">
        <v>1</v>
      </c>
      <c r="K307" s="2436">
        <v>100000</v>
      </c>
      <c r="L307" s="2436">
        <v>100000</v>
      </c>
      <c r="M307" s="2266">
        <v>599</v>
      </c>
    </row>
    <row r="308" spans="1:13" ht="15">
      <c r="A308" s="2266" t="s">
        <v>4053</v>
      </c>
      <c r="B308" s="1694" t="str">
        <f>CONCATENATE(LEFT(RIGHT(CONCATENATE("000",IFAData_TEA!A308),6),3),"-",(RIGHT(RIGHT(CONCATENATE("000",IFAData_TEA!A308),6),3)))</f>
        <v>025-906</v>
      </c>
      <c r="C308" s="2266" t="s">
        <v>3074</v>
      </c>
      <c r="D308" s="2266">
        <v>10</v>
      </c>
      <c r="E308" s="2266">
        <v>2472</v>
      </c>
      <c r="F308" s="2266" t="s">
        <v>4999</v>
      </c>
      <c r="G308" s="2266" t="s">
        <v>4999</v>
      </c>
      <c r="H308" s="2436">
        <v>100000</v>
      </c>
      <c r="I308" s="2436">
        <v>101258</v>
      </c>
      <c r="J308" s="2446">
        <v>1</v>
      </c>
      <c r="K308" s="2436">
        <v>100000</v>
      </c>
      <c r="L308" s="2436">
        <v>100000</v>
      </c>
      <c r="M308" s="2266">
        <v>599</v>
      </c>
    </row>
    <row r="309" spans="1:13" ht="15">
      <c r="A309" s="2266" t="s">
        <v>4054</v>
      </c>
      <c r="B309" s="1694" t="str">
        <f>CONCATENATE(LEFT(RIGHT(CONCATENATE("000",IFAData_TEA!A309),6),3),"-",(RIGHT(RIGHT(CONCATENATE("000",IFAData_TEA!A309),6),3)))</f>
        <v>025-908</v>
      </c>
      <c r="C309" s="2266" t="s">
        <v>2770</v>
      </c>
      <c r="D309" s="2266">
        <v>4</v>
      </c>
      <c r="E309" s="2266">
        <v>1636</v>
      </c>
      <c r="F309" s="2266" t="s">
        <v>5000</v>
      </c>
      <c r="G309" s="2266" t="s">
        <v>5001</v>
      </c>
      <c r="H309" s="2436">
        <v>100000</v>
      </c>
      <c r="I309" s="2436">
        <v>91468</v>
      </c>
      <c r="J309" s="2446">
        <v>1</v>
      </c>
      <c r="K309" s="2436">
        <v>100000</v>
      </c>
      <c r="L309" s="2436">
        <v>91468</v>
      </c>
      <c r="M309" s="2266">
        <v>599</v>
      </c>
    </row>
    <row r="310" spans="1:13" ht="15">
      <c r="A310" s="2266" t="s">
        <v>4054</v>
      </c>
      <c r="B310" s="1694" t="str">
        <f>CONCATENATE(LEFT(RIGHT(CONCATENATE("000",IFAData_TEA!A310),6),3),"-",(RIGHT(RIGHT(CONCATENATE("000",IFAData_TEA!A310),6),3)))</f>
        <v>025-908</v>
      </c>
      <c r="C310" s="2266" t="s">
        <v>2770</v>
      </c>
      <c r="D310" s="2266">
        <v>4</v>
      </c>
      <c r="E310" s="2266">
        <v>1636</v>
      </c>
      <c r="F310" s="2266" t="s">
        <v>5000</v>
      </c>
      <c r="G310" s="2266" t="s">
        <v>5000</v>
      </c>
      <c r="H310" s="2436">
        <v>100000</v>
      </c>
      <c r="I310" s="2436">
        <v>0</v>
      </c>
      <c r="J310" s="2446">
        <v>0</v>
      </c>
      <c r="K310" s="2436">
        <v>0</v>
      </c>
      <c r="L310" s="2436">
        <v>0</v>
      </c>
      <c r="M310" s="2266">
        <v>599</v>
      </c>
    </row>
    <row r="311" spans="1:13" ht="15">
      <c r="A311" s="2266" t="s">
        <v>4055</v>
      </c>
      <c r="B311" s="1694" t="str">
        <f>CONCATENATE(LEFT(RIGHT(CONCATENATE("000",IFAData_TEA!A311),6),3),"-",(RIGHT(RIGHT(CONCATENATE("000",IFAData_TEA!A311),6),3)))</f>
        <v>025-909</v>
      </c>
      <c r="C311" s="2266" t="s">
        <v>1214</v>
      </c>
      <c r="D311" s="2266">
        <v>9</v>
      </c>
      <c r="E311" s="2266">
        <v>1778</v>
      </c>
      <c r="F311" s="2266" t="s">
        <v>5005</v>
      </c>
      <c r="G311" s="2266" t="s">
        <v>5006</v>
      </c>
      <c r="H311" s="2436">
        <v>323704</v>
      </c>
      <c r="I311" s="2436">
        <v>342950</v>
      </c>
      <c r="J311" s="2446">
        <v>0.33737388443800859</v>
      </c>
      <c r="K311" s="2436">
        <v>109209.27588812113</v>
      </c>
      <c r="L311" s="2436">
        <v>109209.27588812113</v>
      </c>
      <c r="M311" s="2266">
        <v>599</v>
      </c>
    </row>
    <row r="312" spans="1:13" ht="15">
      <c r="A312" s="2266" t="s">
        <v>4055</v>
      </c>
      <c r="B312" s="1694" t="str">
        <f>CONCATENATE(LEFT(RIGHT(CONCATENATE("000",IFAData_TEA!A312),6),3),"-",(RIGHT(RIGHT(CONCATENATE("000",IFAData_TEA!A312),6),3)))</f>
        <v>025-909</v>
      </c>
      <c r="C312" s="2266" t="s">
        <v>1214</v>
      </c>
      <c r="D312" s="2266">
        <v>1</v>
      </c>
      <c r="E312" s="2266">
        <v>1777</v>
      </c>
      <c r="F312" s="2266" t="s">
        <v>5002</v>
      </c>
      <c r="G312" s="2266" t="s">
        <v>5003</v>
      </c>
      <c r="H312" s="2436">
        <v>209945</v>
      </c>
      <c r="I312" s="2436">
        <v>0</v>
      </c>
      <c r="J312" s="2446">
        <v>0</v>
      </c>
      <c r="K312" s="2436">
        <v>0</v>
      </c>
      <c r="L312" s="2436">
        <v>0</v>
      </c>
      <c r="M312" s="2266">
        <v>599</v>
      </c>
    </row>
    <row r="313" spans="1:13" ht="15">
      <c r="A313" s="2266" t="s">
        <v>4055</v>
      </c>
      <c r="B313" s="1694" t="str">
        <f>CONCATENATE(LEFT(RIGHT(CONCATENATE("000",IFAData_TEA!A313),6),3),"-",(RIGHT(RIGHT(CONCATENATE("000",IFAData_TEA!A313),6),3)))</f>
        <v>025-909</v>
      </c>
      <c r="C313" s="2266" t="s">
        <v>1214</v>
      </c>
      <c r="D313" s="2266">
        <v>1</v>
      </c>
      <c r="E313" s="2266">
        <v>1777</v>
      </c>
      <c r="F313" s="2266" t="s">
        <v>5002</v>
      </c>
      <c r="G313" s="2266" t="s">
        <v>5002</v>
      </c>
      <c r="H313" s="2436">
        <v>209945</v>
      </c>
      <c r="I313" s="2436">
        <v>0</v>
      </c>
      <c r="J313" s="2446">
        <v>0</v>
      </c>
      <c r="K313" s="2436">
        <v>0</v>
      </c>
      <c r="L313" s="2436">
        <v>0</v>
      </c>
      <c r="M313" s="2266">
        <v>599</v>
      </c>
    </row>
    <row r="314" spans="1:13" ht="15">
      <c r="A314" s="2266" t="s">
        <v>4055</v>
      </c>
      <c r="B314" s="1694" t="str">
        <f>CONCATENATE(LEFT(RIGHT(CONCATENATE("000",IFAData_TEA!A314),6),3),"-",(RIGHT(RIGHT(CONCATENATE("000",IFAData_TEA!A314),6),3)))</f>
        <v>025-909</v>
      </c>
      <c r="C314" s="2266" t="s">
        <v>1214</v>
      </c>
      <c r="D314" s="2266">
        <v>1</v>
      </c>
      <c r="E314" s="2266">
        <v>1777</v>
      </c>
      <c r="F314" s="2266" t="s">
        <v>5002</v>
      </c>
      <c r="G314" s="2266" t="s">
        <v>5004</v>
      </c>
      <c r="H314" s="2436">
        <v>209945</v>
      </c>
      <c r="I314" s="2436">
        <v>330050</v>
      </c>
      <c r="J314" s="2446">
        <v>1</v>
      </c>
      <c r="K314" s="2436">
        <v>209945</v>
      </c>
      <c r="L314" s="2436">
        <v>209945</v>
      </c>
      <c r="M314" s="2266">
        <v>599</v>
      </c>
    </row>
    <row r="315" spans="1:13" ht="15">
      <c r="A315" s="2266" t="s">
        <v>4055</v>
      </c>
      <c r="B315" s="1694" t="str">
        <f>CONCATENATE(LEFT(RIGHT(CONCATENATE("000",IFAData_TEA!A315),6),3),"-",(RIGHT(RIGHT(CONCATENATE("000",IFAData_TEA!A315),6),3)))</f>
        <v>025-909</v>
      </c>
      <c r="C315" s="2266" t="s">
        <v>1214</v>
      </c>
      <c r="D315" s="2266">
        <v>10</v>
      </c>
      <c r="E315" s="2266">
        <v>1776</v>
      </c>
      <c r="F315" s="2266" t="s">
        <v>5007</v>
      </c>
      <c r="G315" s="2266" t="s">
        <v>5007</v>
      </c>
      <c r="H315" s="2436">
        <v>160450</v>
      </c>
      <c r="I315" s="2436">
        <v>90450</v>
      </c>
      <c r="J315" s="2446">
        <v>1</v>
      </c>
      <c r="K315" s="2436">
        <v>160450</v>
      </c>
      <c r="L315" s="2436">
        <v>90450</v>
      </c>
      <c r="M315" s="2266">
        <v>599</v>
      </c>
    </row>
    <row r="316" spans="1:13" ht="15">
      <c r="A316" s="2266" t="s">
        <v>4055</v>
      </c>
      <c r="B316" s="1694" t="str">
        <f>CONCATENATE(LEFT(RIGHT(CONCATENATE("000",IFAData_TEA!A316),6),3),"-",(RIGHT(RIGHT(CONCATENATE("000",IFAData_TEA!A316),6),3)))</f>
        <v>025-909</v>
      </c>
      <c r="C316" s="2266" t="s">
        <v>1214</v>
      </c>
      <c r="D316" s="2266">
        <v>9</v>
      </c>
      <c r="E316" s="2266">
        <v>1778</v>
      </c>
      <c r="F316" s="2266" t="s">
        <v>5005</v>
      </c>
      <c r="G316" s="2266" t="s">
        <v>5005</v>
      </c>
      <c r="H316" s="2436">
        <v>323704</v>
      </c>
      <c r="I316" s="2436">
        <v>673578</v>
      </c>
      <c r="J316" s="2446">
        <v>0.66262611556199136</v>
      </c>
      <c r="K316" s="2436">
        <v>214494.72411187884</v>
      </c>
      <c r="L316" s="2436">
        <v>214494.72411187884</v>
      </c>
      <c r="M316" s="2266">
        <v>599</v>
      </c>
    </row>
    <row r="317" spans="1:13" ht="15">
      <c r="A317" s="2266" t="s">
        <v>4056</v>
      </c>
      <c r="B317" s="1694" t="str">
        <f>CONCATENATE(LEFT(RIGHT(CONCATENATE("000",IFAData_TEA!A317),6),3),"-",(RIGHT(RIGHT(CONCATENATE("000",IFAData_TEA!A317),6),3)))</f>
        <v>026-903</v>
      </c>
      <c r="C317" s="2266" t="s">
        <v>1794</v>
      </c>
      <c r="D317" s="2266">
        <v>9</v>
      </c>
      <c r="E317" s="2266">
        <v>2345</v>
      </c>
      <c r="F317" s="2266" t="s">
        <v>5008</v>
      </c>
      <c r="G317" s="2266" t="s">
        <v>5008</v>
      </c>
      <c r="H317" s="2436">
        <v>110365</v>
      </c>
      <c r="I317" s="2436">
        <v>520449</v>
      </c>
      <c r="J317" s="2446">
        <v>1</v>
      </c>
      <c r="K317" s="2436">
        <v>110365</v>
      </c>
      <c r="L317" s="2436">
        <v>110365</v>
      </c>
      <c r="M317" s="2266">
        <v>599</v>
      </c>
    </row>
    <row r="318" spans="1:13" ht="15">
      <c r="A318" s="2266" t="s">
        <v>4057</v>
      </c>
      <c r="B318" s="1694" t="str">
        <f>CONCATENATE(LEFT(RIGHT(CONCATENATE("000",IFAData_TEA!A318),6),3),"-",(RIGHT(RIGHT(CONCATENATE("000",IFAData_TEA!A318),6),3)))</f>
        <v>027-903</v>
      </c>
      <c r="C318" s="2266" t="s">
        <v>154</v>
      </c>
      <c r="D318" s="2266">
        <v>2</v>
      </c>
      <c r="E318" s="2266">
        <v>1655</v>
      </c>
      <c r="F318" s="2266" t="s">
        <v>5009</v>
      </c>
      <c r="G318" s="2266" t="s">
        <v>5009</v>
      </c>
      <c r="H318" s="2436">
        <v>546449</v>
      </c>
      <c r="I318" s="2436">
        <v>0</v>
      </c>
      <c r="J318" s="2446">
        <v>0</v>
      </c>
      <c r="K318" s="2436">
        <v>0</v>
      </c>
      <c r="L318" s="2436">
        <v>0</v>
      </c>
      <c r="M318" s="2266">
        <v>599</v>
      </c>
    </row>
    <row r="319" spans="1:13" ht="15">
      <c r="A319" s="2266" t="s">
        <v>4057</v>
      </c>
      <c r="B319" s="1694" t="str">
        <f>CONCATENATE(LEFT(RIGHT(CONCATENATE("000",IFAData_TEA!A319),6),3),"-",(RIGHT(RIGHT(CONCATENATE("000",IFAData_TEA!A319),6),3)))</f>
        <v>027-903</v>
      </c>
      <c r="C319" s="2266" t="s">
        <v>154</v>
      </c>
      <c r="D319" s="2266">
        <v>2</v>
      </c>
      <c r="E319" s="2266">
        <v>1655</v>
      </c>
      <c r="F319" s="2266" t="s">
        <v>5009</v>
      </c>
      <c r="G319" s="2266" t="s">
        <v>5010</v>
      </c>
      <c r="H319" s="2436">
        <v>546449</v>
      </c>
      <c r="I319" s="2436">
        <v>591702</v>
      </c>
      <c r="J319" s="2446">
        <v>1</v>
      </c>
      <c r="K319" s="2436">
        <v>546449</v>
      </c>
      <c r="L319" s="2436">
        <v>546449</v>
      </c>
      <c r="M319" s="2266">
        <v>599</v>
      </c>
    </row>
    <row r="320" spans="1:13" ht="15">
      <c r="A320" s="2266" t="s">
        <v>5011</v>
      </c>
      <c r="B320" s="1694" t="str">
        <f>CONCATENATE(LEFT(RIGHT(CONCATENATE("000",IFAData_TEA!A320),6),3),"-",(RIGHT(RIGHT(CONCATENATE("000",IFAData_TEA!A320),6),3)))</f>
        <v>027-904</v>
      </c>
      <c r="C320" s="2266" t="s">
        <v>322</v>
      </c>
      <c r="D320" s="2266">
        <v>1</v>
      </c>
      <c r="E320" s="2266">
        <v>2062</v>
      </c>
      <c r="F320" s="2266" t="s">
        <v>5012</v>
      </c>
      <c r="G320" s="2266" t="s">
        <v>5015</v>
      </c>
      <c r="H320" s="2436">
        <v>539135</v>
      </c>
      <c r="I320" s="2436">
        <v>0</v>
      </c>
      <c r="J320" s="2446">
        <v>0</v>
      </c>
      <c r="K320" s="2436"/>
      <c r="L320" s="2436">
        <v>0</v>
      </c>
      <c r="M320" s="2266">
        <v>599</v>
      </c>
    </row>
    <row r="321" spans="1:13" ht="15">
      <c r="A321" s="2266" t="s">
        <v>5011</v>
      </c>
      <c r="B321" s="1694" t="str">
        <f>CONCATENATE(LEFT(RIGHT(CONCATENATE("000",IFAData_TEA!A321),6),3),"-",(RIGHT(RIGHT(CONCATENATE("000",IFAData_TEA!A321),6),3)))</f>
        <v>027-904</v>
      </c>
      <c r="C321" s="2266" t="s">
        <v>322</v>
      </c>
      <c r="D321" s="2266">
        <v>1</v>
      </c>
      <c r="E321" s="2266">
        <v>2062</v>
      </c>
      <c r="F321" s="2266" t="s">
        <v>5012</v>
      </c>
      <c r="G321" s="2266" t="s">
        <v>5014</v>
      </c>
      <c r="H321" s="2436">
        <v>539135</v>
      </c>
      <c r="I321" s="2436">
        <v>0</v>
      </c>
      <c r="J321" s="2446">
        <v>0</v>
      </c>
      <c r="K321" s="2436"/>
      <c r="L321" s="2436">
        <v>0</v>
      </c>
      <c r="M321" s="2266">
        <v>599</v>
      </c>
    </row>
    <row r="322" spans="1:13" ht="15">
      <c r="A322" s="2266" t="s">
        <v>5011</v>
      </c>
      <c r="B322" s="1694" t="str">
        <f>CONCATENATE(LEFT(RIGHT(CONCATENATE("000",IFAData_TEA!A322),6),3),"-",(RIGHT(RIGHT(CONCATENATE("000",IFAData_TEA!A322),6),3)))</f>
        <v>027-904</v>
      </c>
      <c r="C322" s="2266" t="s">
        <v>322</v>
      </c>
      <c r="D322" s="2266">
        <v>1</v>
      </c>
      <c r="E322" s="2266">
        <v>2062</v>
      </c>
      <c r="F322" s="2266" t="s">
        <v>5012</v>
      </c>
      <c r="G322" s="2266" t="s">
        <v>5013</v>
      </c>
      <c r="H322" s="2436">
        <v>539135</v>
      </c>
      <c r="I322" s="2436">
        <v>0</v>
      </c>
      <c r="J322" s="2446">
        <v>0</v>
      </c>
      <c r="K322" s="2436"/>
      <c r="L322" s="2436">
        <v>0</v>
      </c>
      <c r="M322" s="2266">
        <v>599</v>
      </c>
    </row>
    <row r="323" spans="1:13" ht="15">
      <c r="A323" s="2266" t="s">
        <v>5011</v>
      </c>
      <c r="B323" s="1694" t="str">
        <f>CONCATENATE(LEFT(RIGHT(CONCATENATE("000",IFAData_TEA!A323),6),3),"-",(RIGHT(RIGHT(CONCATENATE("000",IFAData_TEA!A323),6),3)))</f>
        <v>027-904</v>
      </c>
      <c r="C323" s="2266" t="s">
        <v>322</v>
      </c>
      <c r="D323" s="2266">
        <v>1</v>
      </c>
      <c r="E323" s="2266">
        <v>2062</v>
      </c>
      <c r="F323" s="2266" t="s">
        <v>5012</v>
      </c>
      <c r="G323" s="2266" t="s">
        <v>5012</v>
      </c>
      <c r="H323" s="2436">
        <v>539135</v>
      </c>
      <c r="I323" s="2436">
        <v>0</v>
      </c>
      <c r="J323" s="2446">
        <v>0</v>
      </c>
      <c r="K323" s="2436"/>
      <c r="L323" s="2436">
        <v>0</v>
      </c>
      <c r="M323" s="2266">
        <v>599</v>
      </c>
    </row>
    <row r="324" spans="1:13" ht="15">
      <c r="A324" s="2266" t="s">
        <v>4058</v>
      </c>
      <c r="B324" s="1694" t="str">
        <f>CONCATENATE(LEFT(RIGHT(CONCATENATE("000",IFAData_TEA!A324),6),3),"-",(RIGHT(RIGHT(CONCATENATE("000",IFAData_TEA!A324),6),3)))</f>
        <v>028-902</v>
      </c>
      <c r="C324" s="2266" t="s">
        <v>2546</v>
      </c>
      <c r="D324" s="2266">
        <v>1</v>
      </c>
      <c r="E324" s="2266">
        <v>2030</v>
      </c>
      <c r="F324" s="2266" t="s">
        <v>5016</v>
      </c>
      <c r="G324" s="2266" t="s">
        <v>5017</v>
      </c>
      <c r="H324" s="2436">
        <v>930541</v>
      </c>
      <c r="I324" s="2436">
        <v>953483</v>
      </c>
      <c r="J324" s="2446">
        <v>0.83684078414301066</v>
      </c>
      <c r="K324" s="2436">
        <v>778714.6601172213</v>
      </c>
      <c r="L324" s="2436">
        <v>778714.6601172213</v>
      </c>
      <c r="M324" s="2266">
        <v>599</v>
      </c>
    </row>
    <row r="325" spans="1:13" ht="15">
      <c r="A325" s="2266" t="s">
        <v>4058</v>
      </c>
      <c r="B325" s="1694" t="str">
        <f>CONCATENATE(LEFT(RIGHT(CONCATENATE("000",IFAData_TEA!A325),6),3),"-",(RIGHT(RIGHT(CONCATENATE("000",IFAData_TEA!A325),6),3)))</f>
        <v>028-902</v>
      </c>
      <c r="C325" s="2266" t="s">
        <v>2546</v>
      </c>
      <c r="D325" s="2266">
        <v>6</v>
      </c>
      <c r="E325" s="2266">
        <v>2031</v>
      </c>
      <c r="F325" s="2266" t="s">
        <v>5019</v>
      </c>
      <c r="G325" s="2266" t="s">
        <v>5020</v>
      </c>
      <c r="H325" s="2436">
        <v>954099</v>
      </c>
      <c r="I325" s="2436">
        <v>391794</v>
      </c>
      <c r="J325" s="2446">
        <v>0.36210233290634547</v>
      </c>
      <c r="K325" s="2436">
        <v>345481.47372361133</v>
      </c>
      <c r="L325" s="2436">
        <v>345481.47372361133</v>
      </c>
      <c r="M325" s="2266">
        <v>599</v>
      </c>
    </row>
    <row r="326" spans="1:13" ht="15">
      <c r="A326" s="2266" t="s">
        <v>4058</v>
      </c>
      <c r="B326" s="1694" t="str">
        <f>CONCATENATE(LEFT(RIGHT(CONCATENATE("000",IFAData_TEA!A326),6),3),"-",(RIGHT(RIGHT(CONCATENATE("000",IFAData_TEA!A326),6),3)))</f>
        <v>028-902</v>
      </c>
      <c r="C326" s="2266" t="s">
        <v>2546</v>
      </c>
      <c r="D326" s="2266">
        <v>1</v>
      </c>
      <c r="E326" s="2266">
        <v>2030</v>
      </c>
      <c r="F326" s="2266" t="s">
        <v>5016</v>
      </c>
      <c r="G326" s="2266" t="s">
        <v>5018</v>
      </c>
      <c r="H326" s="2436">
        <v>930541</v>
      </c>
      <c r="I326" s="2436">
        <v>185901</v>
      </c>
      <c r="J326" s="2446">
        <v>0.16315921585698939</v>
      </c>
      <c r="K326" s="2436">
        <v>151826.33988277876</v>
      </c>
      <c r="L326" s="2436">
        <v>151826.33988277876</v>
      </c>
      <c r="M326" s="2266">
        <v>599</v>
      </c>
    </row>
    <row r="327" spans="1:13" ht="15">
      <c r="A327" s="2266" t="s">
        <v>4058</v>
      </c>
      <c r="B327" s="1694" t="str">
        <f>CONCATENATE(LEFT(RIGHT(CONCATENATE("000",IFAData_TEA!A327),6),3),"-",(RIGHT(RIGHT(CONCATENATE("000",IFAData_TEA!A327),6),3)))</f>
        <v>028-902</v>
      </c>
      <c r="C327" s="2266" t="s">
        <v>2546</v>
      </c>
      <c r="D327" s="2266">
        <v>6</v>
      </c>
      <c r="E327" s="2266">
        <v>2031</v>
      </c>
      <c r="F327" s="2266" t="s">
        <v>5019</v>
      </c>
      <c r="G327" s="2266" t="s">
        <v>5019</v>
      </c>
      <c r="H327" s="2436">
        <v>954099</v>
      </c>
      <c r="I327" s="2436">
        <v>0</v>
      </c>
      <c r="J327" s="2446">
        <v>0</v>
      </c>
      <c r="K327" s="2436">
        <v>0</v>
      </c>
      <c r="L327" s="2436">
        <v>0</v>
      </c>
      <c r="M327" s="2266">
        <v>599</v>
      </c>
    </row>
    <row r="328" spans="1:13" ht="15">
      <c r="A328" s="2266" t="s">
        <v>4058</v>
      </c>
      <c r="B328" s="1694" t="str">
        <f>CONCATENATE(LEFT(RIGHT(CONCATENATE("000",IFAData_TEA!A328),6),3),"-",(RIGHT(RIGHT(CONCATENATE("000",IFAData_TEA!A328),6),3)))</f>
        <v>028-902</v>
      </c>
      <c r="C328" s="2266" t="s">
        <v>2546</v>
      </c>
      <c r="D328" s="2266">
        <v>6</v>
      </c>
      <c r="E328" s="2266">
        <v>2031</v>
      </c>
      <c r="F328" s="2266" t="s">
        <v>5019</v>
      </c>
      <c r="G328" s="2266" t="s">
        <v>5021</v>
      </c>
      <c r="H328" s="2436">
        <v>954099</v>
      </c>
      <c r="I328" s="2436">
        <v>690204</v>
      </c>
      <c r="J328" s="2446">
        <v>0.63789766709365447</v>
      </c>
      <c r="K328" s="2436">
        <v>608617.52627638867</v>
      </c>
      <c r="L328" s="2436">
        <v>608617.52627638867</v>
      </c>
      <c r="M328" s="2266">
        <v>599</v>
      </c>
    </row>
    <row r="329" spans="1:13" ht="15">
      <c r="A329" s="2266" t="s">
        <v>4058</v>
      </c>
      <c r="B329" s="1694" t="str">
        <f>CONCATENATE(LEFT(RIGHT(CONCATENATE("000",IFAData_TEA!A329),6),3),"-",(RIGHT(RIGHT(CONCATENATE("000",IFAData_TEA!A329),6),3)))</f>
        <v>028-902</v>
      </c>
      <c r="C329" s="2266" t="s">
        <v>2546</v>
      </c>
      <c r="D329" s="2266">
        <v>1</v>
      </c>
      <c r="E329" s="2266">
        <v>2030</v>
      </c>
      <c r="F329" s="2266" t="s">
        <v>5016</v>
      </c>
      <c r="G329" s="2266" t="s">
        <v>5016</v>
      </c>
      <c r="H329" s="2436">
        <v>930541</v>
      </c>
      <c r="I329" s="2436">
        <v>0</v>
      </c>
      <c r="J329" s="2446">
        <v>0</v>
      </c>
      <c r="K329" s="2436">
        <v>0</v>
      </c>
      <c r="L329" s="2436">
        <v>0</v>
      </c>
      <c r="M329" s="2266">
        <v>599</v>
      </c>
    </row>
    <row r="330" spans="1:13" ht="15">
      <c r="A330" s="2266" t="s">
        <v>4059</v>
      </c>
      <c r="B330" s="1694" t="str">
        <f>CONCATENATE(LEFT(RIGHT(CONCATENATE("000",IFAData_TEA!A330),6),3),"-",(RIGHT(RIGHT(CONCATENATE("000",IFAData_TEA!A330),6),3)))</f>
        <v>028-903</v>
      </c>
      <c r="C330" s="2266" t="s">
        <v>948</v>
      </c>
      <c r="D330" s="2266">
        <v>5</v>
      </c>
      <c r="E330" s="2266">
        <v>2043</v>
      </c>
      <c r="F330" s="2266" t="s">
        <v>5022</v>
      </c>
      <c r="G330" s="2266" t="s">
        <v>5022</v>
      </c>
      <c r="H330" s="2436">
        <v>352232</v>
      </c>
      <c r="I330" s="2436">
        <v>0</v>
      </c>
      <c r="J330" s="2446">
        <v>0</v>
      </c>
      <c r="K330" s="2436">
        <v>0</v>
      </c>
      <c r="L330" s="2436">
        <v>0</v>
      </c>
      <c r="M330" s="2266">
        <v>599</v>
      </c>
    </row>
    <row r="331" spans="1:13" ht="15">
      <c r="A331" s="2266" t="s">
        <v>4059</v>
      </c>
      <c r="B331" s="1694" t="str">
        <f>CONCATENATE(LEFT(RIGHT(CONCATENATE("000",IFAData_TEA!A331),6),3),"-",(RIGHT(RIGHT(CONCATENATE("000",IFAData_TEA!A331),6),3)))</f>
        <v>028-903</v>
      </c>
      <c r="C331" s="2266" t="s">
        <v>948</v>
      </c>
      <c r="D331" s="2266">
        <v>5</v>
      </c>
      <c r="E331" s="2266">
        <v>2043</v>
      </c>
      <c r="F331" s="2266" t="s">
        <v>5022</v>
      </c>
      <c r="G331" s="2266" t="s">
        <v>5023</v>
      </c>
      <c r="H331" s="2436">
        <v>352232</v>
      </c>
      <c r="I331" s="2436">
        <v>365545</v>
      </c>
      <c r="J331" s="2446">
        <v>1</v>
      </c>
      <c r="K331" s="2436">
        <v>352232</v>
      </c>
      <c r="L331" s="2436">
        <v>352232</v>
      </c>
      <c r="M331" s="2266">
        <v>599</v>
      </c>
    </row>
    <row r="332" spans="1:13" ht="15">
      <c r="A332" s="2266" t="s">
        <v>4060</v>
      </c>
      <c r="B332" s="1694" t="str">
        <f>CONCATENATE(LEFT(RIGHT(CONCATENATE("000",IFAData_TEA!A332),6),3),"-",(RIGHT(RIGHT(CONCATENATE("000",IFAData_TEA!A332),6),3)))</f>
        <v>030-902</v>
      </c>
      <c r="C332" s="2266" t="s">
        <v>38</v>
      </c>
      <c r="D332" s="2266">
        <v>9</v>
      </c>
      <c r="E332" s="2266">
        <v>1702</v>
      </c>
      <c r="F332" s="2266" t="s">
        <v>5026</v>
      </c>
      <c r="G332" s="2266" t="s">
        <v>6927</v>
      </c>
      <c r="H332" s="2436">
        <v>342278</v>
      </c>
      <c r="I332" s="2436">
        <v>70765</v>
      </c>
      <c r="J332" s="2446">
        <v>8.8725865724470235E-2</v>
      </c>
      <c r="K332" s="2436">
        <v>30368.911868440224</v>
      </c>
      <c r="L332" s="2436">
        <v>30368.911868440224</v>
      </c>
      <c r="M332" s="2266">
        <v>599</v>
      </c>
    </row>
    <row r="333" spans="1:13" ht="15">
      <c r="A333" s="2266" t="s">
        <v>4060</v>
      </c>
      <c r="B333" s="1694" t="str">
        <f>CONCATENATE(LEFT(RIGHT(CONCATENATE("000",IFAData_TEA!A333),6),3),"-",(RIGHT(RIGHT(CONCATENATE("000",IFAData_TEA!A333),6),3)))</f>
        <v>030-902</v>
      </c>
      <c r="C333" s="2266" t="s">
        <v>38</v>
      </c>
      <c r="D333" s="2266">
        <v>9</v>
      </c>
      <c r="E333" s="2266">
        <v>1702</v>
      </c>
      <c r="F333" s="2266" t="s">
        <v>5026</v>
      </c>
      <c r="G333" s="2266" t="s">
        <v>5026</v>
      </c>
      <c r="H333" s="2436">
        <v>342278</v>
      </c>
      <c r="I333" s="2436">
        <v>676992</v>
      </c>
      <c r="J333" s="2446">
        <v>0.84881934979920237</v>
      </c>
      <c r="K333" s="2436">
        <v>290532.18941057142</v>
      </c>
      <c r="L333" s="2436">
        <v>290532.18941057142</v>
      </c>
      <c r="M333" s="2266">
        <v>599</v>
      </c>
    </row>
    <row r="334" spans="1:13" ht="15">
      <c r="A334" s="2266" t="s">
        <v>4060</v>
      </c>
      <c r="B334" s="1694" t="str">
        <f>CONCATENATE(LEFT(RIGHT(CONCATENATE("000",IFAData_TEA!A334),6),3),"-",(RIGHT(RIGHT(CONCATENATE("000",IFAData_TEA!A334),6),3)))</f>
        <v>030-902</v>
      </c>
      <c r="C334" s="2266" t="s">
        <v>38</v>
      </c>
      <c r="D334" s="2266">
        <v>4</v>
      </c>
      <c r="E334" s="2266">
        <v>1703</v>
      </c>
      <c r="F334" s="2266" t="s">
        <v>5024</v>
      </c>
      <c r="G334" s="2266" t="s">
        <v>5024</v>
      </c>
      <c r="H334" s="2436">
        <v>375000</v>
      </c>
      <c r="I334" s="2436">
        <v>0</v>
      </c>
      <c r="J334" s="2446">
        <v>0</v>
      </c>
      <c r="K334" s="2436">
        <v>0</v>
      </c>
      <c r="L334" s="2436">
        <v>0</v>
      </c>
      <c r="M334" s="2266">
        <v>599</v>
      </c>
    </row>
    <row r="335" spans="1:13" ht="15">
      <c r="A335" s="2266" t="s">
        <v>4060</v>
      </c>
      <c r="B335" s="1694" t="str">
        <f>CONCATENATE(LEFT(RIGHT(CONCATENATE("000",IFAData_TEA!A335),6),3),"-",(RIGHT(RIGHT(CONCATENATE("000",IFAData_TEA!A335),6),3)))</f>
        <v>030-902</v>
      </c>
      <c r="C335" s="2266" t="s">
        <v>38</v>
      </c>
      <c r="D335" s="2266">
        <v>4</v>
      </c>
      <c r="E335" s="2266">
        <v>1703</v>
      </c>
      <c r="F335" s="2266" t="s">
        <v>5024</v>
      </c>
      <c r="G335" s="2266" t="s">
        <v>5025</v>
      </c>
      <c r="H335" s="2436">
        <v>375000</v>
      </c>
      <c r="I335" s="2436">
        <v>528749</v>
      </c>
      <c r="J335" s="2446">
        <v>0.64363063139827881</v>
      </c>
      <c r="K335" s="2436">
        <v>241361.48677435456</v>
      </c>
      <c r="L335" s="2436">
        <v>241361.48677435456</v>
      </c>
      <c r="M335" s="2266">
        <v>599</v>
      </c>
    </row>
    <row r="336" spans="1:13" ht="15">
      <c r="A336" s="2266" t="s">
        <v>4060</v>
      </c>
      <c r="B336" s="1694" t="str">
        <f>CONCATENATE(LEFT(RIGHT(CONCATENATE("000",IFAData_TEA!A336),6),3),"-",(RIGHT(RIGHT(CONCATENATE("000",IFAData_TEA!A336),6),3)))</f>
        <v>030-902</v>
      </c>
      <c r="C336" s="2266" t="s">
        <v>38</v>
      </c>
      <c r="D336" s="2266">
        <v>4</v>
      </c>
      <c r="E336" s="2266">
        <v>1703</v>
      </c>
      <c r="F336" s="2266" t="s">
        <v>5024</v>
      </c>
      <c r="G336" s="2266" t="s">
        <v>6927</v>
      </c>
      <c r="H336" s="2436">
        <v>375000</v>
      </c>
      <c r="I336" s="2436">
        <v>292761</v>
      </c>
      <c r="J336" s="2446">
        <v>0.35636936860172125</v>
      </c>
      <c r="K336" s="2436">
        <v>133638.51322564547</v>
      </c>
      <c r="L336" s="2436">
        <v>133638.51322564547</v>
      </c>
      <c r="M336" s="2266">
        <v>599</v>
      </c>
    </row>
    <row r="337" spans="1:13" ht="15">
      <c r="A337" s="2266" t="s">
        <v>4060</v>
      </c>
      <c r="B337" s="1694" t="str">
        <f>CONCATENATE(LEFT(RIGHT(CONCATENATE("000",IFAData_TEA!A337),6),3),"-",(RIGHT(RIGHT(CONCATENATE("000",IFAData_TEA!A337),6),3)))</f>
        <v>030-902</v>
      </c>
      <c r="C337" s="2266" t="s">
        <v>38</v>
      </c>
      <c r="D337" s="2266">
        <v>9</v>
      </c>
      <c r="E337" s="2266">
        <v>1702</v>
      </c>
      <c r="F337" s="2266" t="s">
        <v>5026</v>
      </c>
      <c r="G337" s="2266" t="s">
        <v>6928</v>
      </c>
      <c r="H337" s="2436">
        <v>342278</v>
      </c>
      <c r="I337" s="2436">
        <v>49812</v>
      </c>
      <c r="J337" s="2446">
        <v>6.2454784476327442E-2</v>
      </c>
      <c r="K337" s="2436">
        <v>21376.898720988404</v>
      </c>
      <c r="L337" s="2436">
        <v>21376.898720988404</v>
      </c>
      <c r="M337" s="2266">
        <v>599</v>
      </c>
    </row>
    <row r="338" spans="1:13" ht="15">
      <c r="A338" s="2266" t="s">
        <v>4061</v>
      </c>
      <c r="B338" s="1694" t="str">
        <f>CONCATENATE(LEFT(RIGHT(CONCATENATE("000",IFAData_TEA!A338),6),3),"-",(RIGHT(RIGHT(CONCATENATE("000",IFAData_TEA!A338),6),3)))</f>
        <v>030-903</v>
      </c>
      <c r="C338" s="2266" t="s">
        <v>1798</v>
      </c>
      <c r="D338" s="2266">
        <v>9</v>
      </c>
      <c r="E338" s="2266">
        <v>1589</v>
      </c>
      <c r="F338" s="2266" t="s">
        <v>5027</v>
      </c>
      <c r="G338" s="2266" t="s">
        <v>5027</v>
      </c>
      <c r="H338" s="2436">
        <v>94523</v>
      </c>
      <c r="I338" s="2436">
        <v>94130</v>
      </c>
      <c r="J338" s="2446">
        <v>1</v>
      </c>
      <c r="K338" s="2436">
        <v>94523</v>
      </c>
      <c r="L338" s="2436">
        <v>94130</v>
      </c>
      <c r="M338" s="2266">
        <v>599</v>
      </c>
    </row>
    <row r="339" spans="1:13" ht="15">
      <c r="A339" s="2266" t="s">
        <v>4062</v>
      </c>
      <c r="B339" s="1694" t="str">
        <f>CONCATENATE(LEFT(RIGHT(CONCATENATE("000",IFAData_TEA!A339),6),3),"-",(RIGHT(RIGHT(CONCATENATE("000",IFAData_TEA!A339),6),3)))</f>
        <v>031-901</v>
      </c>
      <c r="C339" s="2266" t="s">
        <v>3031</v>
      </c>
      <c r="D339" s="2266">
        <v>10</v>
      </c>
      <c r="E339" s="2266">
        <v>1637</v>
      </c>
      <c r="F339" s="2266" t="s">
        <v>5038</v>
      </c>
      <c r="G339" s="2266" t="s">
        <v>5038</v>
      </c>
      <c r="H339" s="2436">
        <v>276579</v>
      </c>
      <c r="I339" s="2436">
        <v>198207</v>
      </c>
      <c r="J339" s="2446">
        <v>1</v>
      </c>
      <c r="K339" s="2436">
        <v>276579</v>
      </c>
      <c r="L339" s="2436">
        <v>198207</v>
      </c>
      <c r="M339" s="2266">
        <v>199</v>
      </c>
    </row>
    <row r="340" spans="1:13" ht="15">
      <c r="A340" s="2266" t="s">
        <v>4062</v>
      </c>
      <c r="B340" s="1694" t="str">
        <f>CONCATENATE(LEFT(RIGHT(CONCATENATE("000",IFAData_TEA!A340),6),3),"-",(RIGHT(RIGHT(CONCATENATE("000",IFAData_TEA!A340),6),3)))</f>
        <v>031-901</v>
      </c>
      <c r="C340" s="2266" t="s">
        <v>3031</v>
      </c>
      <c r="D340" s="2266">
        <v>5</v>
      </c>
      <c r="E340" s="2266">
        <v>1643</v>
      </c>
      <c r="F340" s="2266" t="s">
        <v>5031</v>
      </c>
      <c r="G340" s="2266" t="s">
        <v>6929</v>
      </c>
      <c r="H340" s="2436">
        <v>3118521</v>
      </c>
      <c r="I340" s="2436">
        <v>16878</v>
      </c>
      <c r="J340" s="2446">
        <v>6.7872975633609788E-3</v>
      </c>
      <c r="K340" s="2436">
        <v>21166.329984590044</v>
      </c>
      <c r="L340" s="2436">
        <v>16878</v>
      </c>
      <c r="M340" s="2266">
        <v>599</v>
      </c>
    </row>
    <row r="341" spans="1:13" ht="15">
      <c r="A341" s="2266" t="s">
        <v>4062</v>
      </c>
      <c r="B341" s="1694" t="str">
        <f>CONCATENATE(LEFT(RIGHT(CONCATENATE("000",IFAData_TEA!A341),6),3),"-",(RIGHT(RIGHT(CONCATENATE("000",IFAData_TEA!A341),6),3)))</f>
        <v>031-901</v>
      </c>
      <c r="C341" s="2266" t="s">
        <v>3031</v>
      </c>
      <c r="D341" s="2266">
        <v>8</v>
      </c>
      <c r="E341" s="2266">
        <v>1644</v>
      </c>
      <c r="F341" s="2266" t="s">
        <v>5033</v>
      </c>
      <c r="G341" s="2266" t="s">
        <v>5033</v>
      </c>
      <c r="H341" s="2436">
        <v>9847713</v>
      </c>
      <c r="I341" s="2436">
        <v>5629125</v>
      </c>
      <c r="J341" s="2446">
        <v>0.60188934955372542</v>
      </c>
      <c r="K341" s="2436">
        <v>5927233.5721617658</v>
      </c>
      <c r="L341" s="2436">
        <v>5629125</v>
      </c>
      <c r="M341" s="2266">
        <v>599</v>
      </c>
    </row>
    <row r="342" spans="1:13" ht="15">
      <c r="A342" s="2266" t="s">
        <v>4062</v>
      </c>
      <c r="B342" s="1694" t="str">
        <f>CONCATENATE(LEFT(RIGHT(CONCATENATE("000",IFAData_TEA!A342),6),3),"-",(RIGHT(RIGHT(CONCATENATE("000",IFAData_TEA!A342),6),3)))</f>
        <v>031-901</v>
      </c>
      <c r="C342" s="2266" t="s">
        <v>3031</v>
      </c>
      <c r="D342" s="2266">
        <v>10</v>
      </c>
      <c r="E342" s="2266">
        <v>1640</v>
      </c>
      <c r="F342" s="2266" t="s">
        <v>5036</v>
      </c>
      <c r="G342" s="2266" t="s">
        <v>5036</v>
      </c>
      <c r="H342" s="2436">
        <v>651339</v>
      </c>
      <c r="I342" s="2436">
        <v>488155</v>
      </c>
      <c r="J342" s="2446">
        <v>1</v>
      </c>
      <c r="K342" s="2436">
        <v>651339</v>
      </c>
      <c r="L342" s="2436">
        <v>488155</v>
      </c>
      <c r="M342" s="2266">
        <v>199</v>
      </c>
    </row>
    <row r="343" spans="1:13" ht="15">
      <c r="A343" s="2266" t="s">
        <v>4062</v>
      </c>
      <c r="B343" s="1694" t="str">
        <f>CONCATENATE(LEFT(RIGHT(CONCATENATE("000",IFAData_TEA!A343),6),3),"-",(RIGHT(RIGHT(CONCATENATE("000",IFAData_TEA!A343),6),3)))</f>
        <v>031-901</v>
      </c>
      <c r="C343" s="2266" t="s">
        <v>3031</v>
      </c>
      <c r="D343" s="2266">
        <v>5</v>
      </c>
      <c r="E343" s="2266">
        <v>1643</v>
      </c>
      <c r="F343" s="2266" t="s">
        <v>5031</v>
      </c>
      <c r="G343" s="2266" t="s">
        <v>5030</v>
      </c>
      <c r="H343" s="2436">
        <v>3118521</v>
      </c>
      <c r="I343" s="2436">
        <v>865826</v>
      </c>
      <c r="J343" s="2446">
        <v>0.34818217206390467</v>
      </c>
      <c r="K343" s="2436">
        <v>1085813.4154069</v>
      </c>
      <c r="L343" s="2436">
        <v>865826</v>
      </c>
      <c r="M343" s="2266">
        <v>599</v>
      </c>
    </row>
    <row r="344" spans="1:13" ht="15">
      <c r="A344" s="2266" t="s">
        <v>4062</v>
      </c>
      <c r="B344" s="1694" t="str">
        <f>CONCATENATE(LEFT(RIGHT(CONCATENATE("000",IFAData_TEA!A344),6),3),"-",(RIGHT(RIGHT(CONCATENATE("000",IFAData_TEA!A344),6),3)))</f>
        <v>031-901</v>
      </c>
      <c r="C344" s="2266" t="s">
        <v>3031</v>
      </c>
      <c r="D344" s="2266">
        <v>5</v>
      </c>
      <c r="E344" s="2266">
        <v>1643</v>
      </c>
      <c r="F344" s="2266" t="s">
        <v>5031</v>
      </c>
      <c r="G344" s="2266" t="s">
        <v>5029</v>
      </c>
      <c r="H344" s="2436">
        <v>3118521</v>
      </c>
      <c r="I344" s="2436">
        <v>1604000</v>
      </c>
      <c r="J344" s="2446">
        <v>0.64503053037273439</v>
      </c>
      <c r="K344" s="2436">
        <v>2011541.2546085101</v>
      </c>
      <c r="L344" s="2436">
        <v>1604000</v>
      </c>
      <c r="M344" s="2266">
        <v>599</v>
      </c>
    </row>
    <row r="345" spans="1:13" ht="15">
      <c r="A345" s="2266" t="s">
        <v>4062</v>
      </c>
      <c r="B345" s="1694" t="str">
        <f>CONCATENATE(LEFT(RIGHT(CONCATENATE("000",IFAData_TEA!A345),6),3),"-",(RIGHT(RIGHT(CONCATENATE("000",IFAData_TEA!A345),6),3)))</f>
        <v>031-901</v>
      </c>
      <c r="C345" s="2266" t="s">
        <v>3031</v>
      </c>
      <c r="D345" s="2266">
        <v>10</v>
      </c>
      <c r="E345" s="2266">
        <v>1641</v>
      </c>
      <c r="F345" s="2266" t="s">
        <v>5034</v>
      </c>
      <c r="G345" s="2266" t="s">
        <v>5034</v>
      </c>
      <c r="H345" s="2436">
        <v>1323878</v>
      </c>
      <c r="I345" s="2436">
        <v>1206014</v>
      </c>
      <c r="J345" s="2446">
        <v>1</v>
      </c>
      <c r="K345" s="2436">
        <v>1323878</v>
      </c>
      <c r="L345" s="2436">
        <v>1206014</v>
      </c>
      <c r="M345" s="2266">
        <v>199</v>
      </c>
    </row>
    <row r="346" spans="1:13" ht="15">
      <c r="A346" s="2266" t="s">
        <v>4062</v>
      </c>
      <c r="B346" s="1694" t="str">
        <f>CONCATENATE(LEFT(RIGHT(CONCATENATE("000",IFAData_TEA!A346),6),3),"-",(RIGHT(RIGHT(CONCATENATE("000",IFAData_TEA!A346),6),3)))</f>
        <v>031-901</v>
      </c>
      <c r="C346" s="2266" t="s">
        <v>3031</v>
      </c>
      <c r="D346" s="2266">
        <v>10</v>
      </c>
      <c r="E346" s="2266">
        <v>1639</v>
      </c>
      <c r="F346" s="2266" t="s">
        <v>5037</v>
      </c>
      <c r="G346" s="2266" t="s">
        <v>5037</v>
      </c>
      <c r="H346" s="2436">
        <v>427251</v>
      </c>
      <c r="I346" s="2436">
        <v>315347</v>
      </c>
      <c r="J346" s="2446">
        <v>1</v>
      </c>
      <c r="K346" s="2436">
        <v>427251</v>
      </c>
      <c r="L346" s="2436">
        <v>315347</v>
      </c>
      <c r="M346" s="2266">
        <v>199</v>
      </c>
    </row>
    <row r="347" spans="1:13" ht="15">
      <c r="A347" s="2266" t="s">
        <v>4062</v>
      </c>
      <c r="B347" s="1694" t="str">
        <f>CONCATENATE(LEFT(RIGHT(CONCATENATE("000",IFAData_TEA!A347),6),3),"-",(RIGHT(RIGHT(CONCATENATE("000",IFAData_TEA!A347),6),3)))</f>
        <v>031-901</v>
      </c>
      <c r="C347" s="2266" t="s">
        <v>3031</v>
      </c>
      <c r="D347" s="2266">
        <v>5</v>
      </c>
      <c r="E347" s="2266">
        <v>1643</v>
      </c>
      <c r="F347" s="2266" t="s">
        <v>5031</v>
      </c>
      <c r="G347" s="2266" t="s">
        <v>5031</v>
      </c>
      <c r="H347" s="2436">
        <v>3118521</v>
      </c>
      <c r="I347" s="2436">
        <v>0</v>
      </c>
      <c r="J347" s="2446">
        <v>0</v>
      </c>
      <c r="K347" s="2436">
        <v>0</v>
      </c>
      <c r="L347" s="2436">
        <v>0</v>
      </c>
      <c r="M347" s="2266">
        <v>599</v>
      </c>
    </row>
    <row r="348" spans="1:13" ht="15">
      <c r="A348" s="2266" t="s">
        <v>4062</v>
      </c>
      <c r="B348" s="1694" t="str">
        <f>CONCATENATE(LEFT(RIGHT(CONCATENATE("000",IFAData_TEA!A348),6),3),"-",(RIGHT(RIGHT(CONCATENATE("000",IFAData_TEA!A348),6),3)))</f>
        <v>031-901</v>
      </c>
      <c r="C348" s="2266" t="s">
        <v>3031</v>
      </c>
      <c r="D348" s="2266">
        <v>3</v>
      </c>
      <c r="E348" s="2266">
        <v>1642</v>
      </c>
      <c r="F348" s="2266" t="s">
        <v>5028</v>
      </c>
      <c r="G348" s="2266" t="s">
        <v>5029</v>
      </c>
      <c r="H348" s="2436">
        <v>2472263</v>
      </c>
      <c r="I348" s="2436">
        <v>1617750</v>
      </c>
      <c r="J348" s="2446">
        <v>0.67899996138587759</v>
      </c>
      <c r="K348" s="2436">
        <v>1678666.4815357339</v>
      </c>
      <c r="L348" s="2436">
        <v>1617750</v>
      </c>
      <c r="M348" s="2266">
        <v>599</v>
      </c>
    </row>
    <row r="349" spans="1:13" ht="15">
      <c r="A349" s="2266" t="s">
        <v>4062</v>
      </c>
      <c r="B349" s="1694" t="str">
        <f>CONCATENATE(LEFT(RIGHT(CONCATENATE("000",IFAData_TEA!A349),6),3),"-",(RIGHT(RIGHT(CONCATENATE("000",IFAData_TEA!A349),6),3)))</f>
        <v>031-901</v>
      </c>
      <c r="C349" s="2266" t="s">
        <v>3031</v>
      </c>
      <c r="D349" s="2266">
        <v>8</v>
      </c>
      <c r="E349" s="2266">
        <v>1644</v>
      </c>
      <c r="F349" s="2266" t="s">
        <v>5033</v>
      </c>
      <c r="G349" s="2266" t="s">
        <v>5032</v>
      </c>
      <c r="H349" s="2436">
        <v>9847713</v>
      </c>
      <c r="I349" s="2436">
        <v>3723300</v>
      </c>
      <c r="J349" s="2446">
        <v>0.39811065044627464</v>
      </c>
      <c r="K349" s="2436">
        <v>3920479.4278382347</v>
      </c>
      <c r="L349" s="2436">
        <v>3723300</v>
      </c>
      <c r="M349" s="2266">
        <v>599</v>
      </c>
    </row>
    <row r="350" spans="1:13" ht="15">
      <c r="A350" s="2266" t="s">
        <v>4062</v>
      </c>
      <c r="B350" s="1694" t="str">
        <f>CONCATENATE(LEFT(RIGHT(CONCATENATE("000",IFAData_TEA!A350),6),3),"-",(RIGHT(RIGHT(CONCATENATE("000",IFAData_TEA!A350),6),3)))</f>
        <v>031-901</v>
      </c>
      <c r="C350" s="2266" t="s">
        <v>3031</v>
      </c>
      <c r="D350" s="2266">
        <v>3</v>
      </c>
      <c r="E350" s="2266">
        <v>1642</v>
      </c>
      <c r="F350" s="2266" t="s">
        <v>5028</v>
      </c>
      <c r="G350" s="2266" t="s">
        <v>6929</v>
      </c>
      <c r="H350" s="2436">
        <v>2472263</v>
      </c>
      <c r="I350" s="2436">
        <v>21087</v>
      </c>
      <c r="J350" s="2446">
        <v>8.8506086760896316E-3</v>
      </c>
      <c r="K350" s="2436">
        <v>21881.032357375381</v>
      </c>
      <c r="L350" s="2436">
        <v>21087</v>
      </c>
      <c r="M350" s="2266">
        <v>599</v>
      </c>
    </row>
    <row r="351" spans="1:13" ht="15">
      <c r="A351" s="2266" t="s">
        <v>4062</v>
      </c>
      <c r="B351" s="1694" t="str">
        <f>CONCATENATE(LEFT(RIGHT(CONCATENATE("000",IFAData_TEA!A351),6),3),"-",(RIGHT(RIGHT(CONCATENATE("000",IFAData_TEA!A351),6),3)))</f>
        <v>031-901</v>
      </c>
      <c r="C351" s="2266" t="s">
        <v>3031</v>
      </c>
      <c r="D351" s="2266">
        <v>3</v>
      </c>
      <c r="E351" s="2266">
        <v>1642</v>
      </c>
      <c r="F351" s="2266" t="s">
        <v>5028</v>
      </c>
      <c r="G351" s="2266" t="s">
        <v>5030</v>
      </c>
      <c r="H351" s="2436">
        <v>2472263</v>
      </c>
      <c r="I351" s="2436">
        <v>743711</v>
      </c>
      <c r="J351" s="2446">
        <v>0.31214942993803274</v>
      </c>
      <c r="K351" s="2436">
        <v>771715.4861068906</v>
      </c>
      <c r="L351" s="2436">
        <v>743711</v>
      </c>
      <c r="M351" s="2266">
        <v>599</v>
      </c>
    </row>
    <row r="352" spans="1:13" ht="15">
      <c r="A352" s="2266" t="s">
        <v>4062</v>
      </c>
      <c r="B352" s="1694" t="str">
        <f>CONCATENATE(LEFT(RIGHT(CONCATENATE("000",IFAData_TEA!A352),6),3),"-",(RIGHT(RIGHT(CONCATENATE("000",IFAData_TEA!A352),6),3)))</f>
        <v>031-901</v>
      </c>
      <c r="C352" s="2266" t="s">
        <v>3031</v>
      </c>
      <c r="D352" s="2266">
        <v>3</v>
      </c>
      <c r="E352" s="2266">
        <v>1642</v>
      </c>
      <c r="F352" s="2266" t="s">
        <v>5028</v>
      </c>
      <c r="G352" s="2266" t="s">
        <v>5028</v>
      </c>
      <c r="H352" s="2436">
        <v>2472263</v>
      </c>
      <c r="I352" s="2436">
        <v>0</v>
      </c>
      <c r="J352" s="2446">
        <v>0</v>
      </c>
      <c r="K352" s="2436">
        <v>0</v>
      </c>
      <c r="L352" s="2436">
        <v>0</v>
      </c>
      <c r="M352" s="2266">
        <v>599</v>
      </c>
    </row>
    <row r="353" spans="1:13" ht="15">
      <c r="A353" s="2266" t="s">
        <v>4062</v>
      </c>
      <c r="B353" s="1694" t="str">
        <f>CONCATENATE(LEFT(RIGHT(CONCATENATE("000",IFAData_TEA!A353),6),3),"-",(RIGHT(RIGHT(CONCATENATE("000",IFAData_TEA!A353),6),3)))</f>
        <v>031-901</v>
      </c>
      <c r="C353" s="2266" t="s">
        <v>3031</v>
      </c>
      <c r="D353" s="2266">
        <v>5</v>
      </c>
      <c r="E353" s="2266">
        <v>1643</v>
      </c>
      <c r="F353" s="2266" t="s">
        <v>5031</v>
      </c>
      <c r="G353" s="2266" t="s">
        <v>5032</v>
      </c>
      <c r="H353" s="2436">
        <v>3118521</v>
      </c>
      <c r="I353" s="2436">
        <v>0</v>
      </c>
      <c r="J353" s="2446">
        <v>0</v>
      </c>
      <c r="K353" s="2436">
        <v>0</v>
      </c>
      <c r="L353" s="2436">
        <v>0</v>
      </c>
      <c r="M353" s="2266">
        <v>599</v>
      </c>
    </row>
    <row r="354" spans="1:13" ht="15">
      <c r="A354" s="2266" t="s">
        <v>4062</v>
      </c>
      <c r="B354" s="1694" t="str">
        <f>CONCATENATE(LEFT(RIGHT(CONCATENATE("000",IFAData_TEA!A354),6),3),"-",(RIGHT(RIGHT(CONCATENATE("000",IFAData_TEA!A354),6),3)))</f>
        <v>031-901</v>
      </c>
      <c r="C354" s="2266" t="s">
        <v>3031</v>
      </c>
      <c r="D354" s="2266">
        <v>10</v>
      </c>
      <c r="E354" s="2266">
        <v>1638</v>
      </c>
      <c r="F354" s="2266" t="s">
        <v>5035</v>
      </c>
      <c r="G354" s="2266" t="s">
        <v>5035</v>
      </c>
      <c r="H354" s="2436">
        <v>414217</v>
      </c>
      <c r="I354" s="2436">
        <v>299709</v>
      </c>
      <c r="J354" s="2446">
        <v>1</v>
      </c>
      <c r="K354" s="2436">
        <v>414217</v>
      </c>
      <c r="L354" s="2436">
        <v>299709</v>
      </c>
      <c r="M354" s="2266">
        <v>199</v>
      </c>
    </row>
    <row r="355" spans="1:13" ht="15">
      <c r="A355" s="2266" t="s">
        <v>4063</v>
      </c>
      <c r="B355" s="1694" t="str">
        <f>CONCATENATE(LEFT(RIGHT(CONCATENATE("000",IFAData_TEA!A355),6),3),"-",(RIGHT(RIGHT(CONCATENATE("000",IFAData_TEA!A355),6),3)))</f>
        <v>031-903</v>
      </c>
      <c r="C355" s="2266" t="s">
        <v>41</v>
      </c>
      <c r="D355" s="2266">
        <v>3</v>
      </c>
      <c r="E355" s="2266">
        <v>1872</v>
      </c>
      <c r="F355" s="2266" t="s">
        <v>5039</v>
      </c>
      <c r="G355" s="2266" t="s">
        <v>5040</v>
      </c>
      <c r="H355" s="2436">
        <v>3617370</v>
      </c>
      <c r="I355" s="2436">
        <v>3276664</v>
      </c>
      <c r="J355" s="2446">
        <v>0.92879702074176451</v>
      </c>
      <c r="K355" s="2436">
        <v>3359802.4789206367</v>
      </c>
      <c r="L355" s="2436">
        <v>3276664</v>
      </c>
      <c r="M355" s="2266">
        <v>599</v>
      </c>
    </row>
    <row r="356" spans="1:13" ht="15">
      <c r="A356" s="2266" t="s">
        <v>4063</v>
      </c>
      <c r="B356" s="1694" t="str">
        <f>CONCATENATE(LEFT(RIGHT(CONCATENATE("000",IFAData_TEA!A356),6),3),"-",(RIGHT(RIGHT(CONCATENATE("000",IFAData_TEA!A356),6),3)))</f>
        <v>031-903</v>
      </c>
      <c r="C356" s="2266" t="s">
        <v>41</v>
      </c>
      <c r="D356" s="2266">
        <v>5</v>
      </c>
      <c r="E356" s="2266">
        <v>1871</v>
      </c>
      <c r="F356" s="2266" t="s">
        <v>5041</v>
      </c>
      <c r="G356" s="2266" t="s">
        <v>5042</v>
      </c>
      <c r="H356" s="2436">
        <v>830941</v>
      </c>
      <c r="I356" s="2436">
        <v>745425</v>
      </c>
      <c r="J356" s="2446">
        <v>1</v>
      </c>
      <c r="K356" s="2436">
        <v>830941</v>
      </c>
      <c r="L356" s="2436">
        <v>745425</v>
      </c>
      <c r="M356" s="2266">
        <v>599</v>
      </c>
    </row>
    <row r="357" spans="1:13" ht="15">
      <c r="A357" s="2266" t="s">
        <v>4063</v>
      </c>
      <c r="B357" s="1694" t="str">
        <f>CONCATENATE(LEFT(RIGHT(CONCATENATE("000",IFAData_TEA!A357),6),3),"-",(RIGHT(RIGHT(CONCATENATE("000",IFAData_TEA!A357),6),3)))</f>
        <v>031-903</v>
      </c>
      <c r="C357" s="2266" t="s">
        <v>41</v>
      </c>
      <c r="D357" s="2266">
        <v>3</v>
      </c>
      <c r="E357" s="2266">
        <v>1872</v>
      </c>
      <c r="F357" s="2266" t="s">
        <v>5039</v>
      </c>
      <c r="G357" s="2266" t="s">
        <v>5039</v>
      </c>
      <c r="H357" s="2436">
        <v>3617370</v>
      </c>
      <c r="I357" s="2436">
        <v>0</v>
      </c>
      <c r="J357" s="2446">
        <v>0</v>
      </c>
      <c r="K357" s="2436">
        <v>0</v>
      </c>
      <c r="L357" s="2436">
        <v>0</v>
      </c>
      <c r="M357" s="2266">
        <v>599</v>
      </c>
    </row>
    <row r="358" spans="1:13" ht="15">
      <c r="A358" s="2266" t="s">
        <v>4063</v>
      </c>
      <c r="B358" s="1694" t="str">
        <f>CONCATENATE(LEFT(RIGHT(CONCATENATE("000",IFAData_TEA!A358),6),3),"-",(RIGHT(RIGHT(CONCATENATE("000",IFAData_TEA!A358),6),3)))</f>
        <v>031-903</v>
      </c>
      <c r="C358" s="2266" t="s">
        <v>41</v>
      </c>
      <c r="D358" s="2266">
        <v>5</v>
      </c>
      <c r="E358" s="2266">
        <v>1871</v>
      </c>
      <c r="F358" s="2266" t="s">
        <v>5041</v>
      </c>
      <c r="G358" s="2266" t="s">
        <v>5041</v>
      </c>
      <c r="H358" s="2436">
        <v>830941</v>
      </c>
      <c r="I358" s="2436">
        <v>0</v>
      </c>
      <c r="J358" s="2446">
        <v>0</v>
      </c>
      <c r="K358" s="2436">
        <v>0</v>
      </c>
      <c r="L358" s="2436">
        <v>0</v>
      </c>
      <c r="M358" s="2266">
        <v>599</v>
      </c>
    </row>
    <row r="359" spans="1:13" ht="15">
      <c r="A359" s="2266" t="s">
        <v>4063</v>
      </c>
      <c r="B359" s="1694" t="str">
        <f>CONCATENATE(LEFT(RIGHT(CONCATENATE("000",IFAData_TEA!A359),6),3),"-",(RIGHT(RIGHT(CONCATENATE("000",IFAData_TEA!A359),6),3)))</f>
        <v>031-903</v>
      </c>
      <c r="C359" s="2266" t="s">
        <v>41</v>
      </c>
      <c r="D359" s="2266">
        <v>9</v>
      </c>
      <c r="E359" s="2266">
        <v>1870</v>
      </c>
      <c r="F359" s="2266" t="s">
        <v>5043</v>
      </c>
      <c r="G359" s="2266" t="s">
        <v>5043</v>
      </c>
      <c r="H359" s="2436">
        <v>462864</v>
      </c>
      <c r="I359" s="2436">
        <v>452658</v>
      </c>
      <c r="J359" s="2446">
        <v>1</v>
      </c>
      <c r="K359" s="2436">
        <v>462864</v>
      </c>
      <c r="L359" s="2436">
        <v>452658</v>
      </c>
      <c r="M359" s="2266">
        <v>199</v>
      </c>
    </row>
    <row r="360" spans="1:13" ht="15">
      <c r="A360" s="2266" t="s">
        <v>4063</v>
      </c>
      <c r="B360" s="1694" t="str">
        <f>CONCATENATE(LEFT(RIGHT(CONCATENATE("000",IFAData_TEA!A360),6),3),"-",(RIGHT(RIGHT(CONCATENATE("000",IFAData_TEA!A360),6),3)))</f>
        <v>031-903</v>
      </c>
      <c r="C360" s="2266" t="s">
        <v>41</v>
      </c>
      <c r="D360" s="2266">
        <v>3</v>
      </c>
      <c r="E360" s="2266">
        <v>1872</v>
      </c>
      <c r="F360" s="2266" t="s">
        <v>5039</v>
      </c>
      <c r="G360" s="2266" t="s">
        <v>6930</v>
      </c>
      <c r="H360" s="2436">
        <v>3617370</v>
      </c>
      <c r="I360" s="2436">
        <v>251194</v>
      </c>
      <c r="J360" s="2446">
        <v>7.1202979258235446E-2</v>
      </c>
      <c r="K360" s="2436">
        <v>257567.52107936316</v>
      </c>
      <c r="L360" s="2436">
        <v>251194</v>
      </c>
      <c r="M360" s="2266">
        <v>599</v>
      </c>
    </row>
    <row r="361" spans="1:13" ht="15">
      <c r="A361" s="2266" t="s">
        <v>4063</v>
      </c>
      <c r="B361" s="1694" t="str">
        <f>CONCATENATE(LEFT(RIGHT(CONCATENATE("000",IFAData_TEA!A361),6),3),"-",(RIGHT(RIGHT(CONCATENATE("000",IFAData_TEA!A361),6),3)))</f>
        <v>031-903</v>
      </c>
      <c r="C361" s="2266" t="s">
        <v>41</v>
      </c>
      <c r="D361" s="2266">
        <v>10</v>
      </c>
      <c r="E361" s="2266">
        <v>1873</v>
      </c>
      <c r="F361" s="2266" t="s">
        <v>5044</v>
      </c>
      <c r="G361" s="2266" t="s">
        <v>5044</v>
      </c>
      <c r="H361" s="2436">
        <v>3813436</v>
      </c>
      <c r="I361" s="2436">
        <v>3811070</v>
      </c>
      <c r="J361" s="2446">
        <v>1</v>
      </c>
      <c r="K361" s="2436">
        <v>3813436</v>
      </c>
      <c r="L361" s="2436">
        <v>3811070</v>
      </c>
      <c r="M361" s="2266">
        <v>599</v>
      </c>
    </row>
    <row r="362" spans="1:13" ht="15">
      <c r="A362" s="2266" t="s">
        <v>4064</v>
      </c>
      <c r="B362" s="1694" t="str">
        <f>CONCATENATE(LEFT(RIGHT(CONCATENATE("000",IFAData_TEA!A362),6),3),"-",(RIGHT(RIGHT(CONCATENATE("000",IFAData_TEA!A362),6),3)))</f>
        <v>031-905</v>
      </c>
      <c r="C362" s="2266" t="s">
        <v>2148</v>
      </c>
      <c r="D362" s="2266">
        <v>9</v>
      </c>
      <c r="E362" s="2266">
        <v>1980</v>
      </c>
      <c r="F362" s="2266" t="s">
        <v>5053</v>
      </c>
      <c r="G362" s="2266" t="s">
        <v>5053</v>
      </c>
      <c r="H362" s="2436">
        <v>790500</v>
      </c>
      <c r="I362" s="2436">
        <v>790550</v>
      </c>
      <c r="J362" s="2446">
        <v>1</v>
      </c>
      <c r="K362" s="2436">
        <v>790500</v>
      </c>
      <c r="L362" s="2436">
        <v>790500</v>
      </c>
      <c r="M362" s="2266">
        <v>599</v>
      </c>
    </row>
    <row r="363" spans="1:13" ht="15">
      <c r="A363" s="2266" t="s">
        <v>4064</v>
      </c>
      <c r="B363" s="1694" t="str">
        <f>CONCATENATE(LEFT(RIGHT(CONCATENATE("000",IFAData_TEA!A363),6),3),"-",(RIGHT(RIGHT(CONCATENATE("000",IFAData_TEA!A363),6),3)))</f>
        <v>031-905</v>
      </c>
      <c r="C363" s="2266" t="s">
        <v>2148</v>
      </c>
      <c r="D363" s="2266">
        <v>4</v>
      </c>
      <c r="E363" s="2266">
        <v>1976</v>
      </c>
      <c r="F363" s="2266" t="s">
        <v>5049</v>
      </c>
      <c r="G363" s="2266" t="s">
        <v>6931</v>
      </c>
      <c r="H363" s="2436">
        <v>159423</v>
      </c>
      <c r="I363" s="2436">
        <v>22161</v>
      </c>
      <c r="J363" s="2446">
        <v>0.11234354484667522</v>
      </c>
      <c r="K363" s="2436">
        <v>17910.144950091504</v>
      </c>
      <c r="L363" s="2436">
        <v>17910.144950091504</v>
      </c>
      <c r="M363" s="2266">
        <v>599</v>
      </c>
    </row>
    <row r="364" spans="1:13" ht="15">
      <c r="A364" s="2266" t="s">
        <v>4064</v>
      </c>
      <c r="B364" s="1694" t="str">
        <f>CONCATENATE(LEFT(RIGHT(CONCATENATE("000",IFAData_TEA!A364),6),3),"-",(RIGHT(RIGHT(CONCATENATE("000",IFAData_TEA!A364),6),3)))</f>
        <v>031-905</v>
      </c>
      <c r="C364" s="2266" t="s">
        <v>2148</v>
      </c>
      <c r="D364" s="2266">
        <v>5</v>
      </c>
      <c r="E364" s="2266">
        <v>1979</v>
      </c>
      <c r="F364" s="2266" t="s">
        <v>5050</v>
      </c>
      <c r="G364" s="2266" t="s">
        <v>6931</v>
      </c>
      <c r="H364" s="2436">
        <v>562519</v>
      </c>
      <c r="I364" s="2436">
        <v>94037</v>
      </c>
      <c r="J364" s="2446">
        <v>0.15736092424881357</v>
      </c>
      <c r="K364" s="2436">
        <v>88518.509747518357</v>
      </c>
      <c r="L364" s="2436">
        <v>88518.509747518357</v>
      </c>
      <c r="M364" s="2266">
        <v>599</v>
      </c>
    </row>
    <row r="365" spans="1:13" ht="15">
      <c r="A365" s="2266" t="s">
        <v>4064</v>
      </c>
      <c r="B365" s="1694" t="str">
        <f>CONCATENATE(LEFT(RIGHT(CONCATENATE("000",IFAData_TEA!A365),6),3),"-",(RIGHT(RIGHT(CONCATENATE("000",IFAData_TEA!A365),6),3)))</f>
        <v>031-905</v>
      </c>
      <c r="C365" s="2266" t="s">
        <v>2148</v>
      </c>
      <c r="D365" s="2266">
        <v>6</v>
      </c>
      <c r="E365" s="2266">
        <v>1974</v>
      </c>
      <c r="F365" s="2266" t="s">
        <v>5051</v>
      </c>
      <c r="G365" s="2266" t="s">
        <v>6931</v>
      </c>
      <c r="H365" s="2436">
        <v>89560</v>
      </c>
      <c r="I365" s="2436">
        <v>18390</v>
      </c>
      <c r="J365" s="2446">
        <v>0.17420546582674182</v>
      </c>
      <c r="K365" s="2436">
        <v>15601.841519442996</v>
      </c>
      <c r="L365" s="2436">
        <v>15601.841519442996</v>
      </c>
      <c r="M365" s="2266">
        <v>599</v>
      </c>
    </row>
    <row r="366" spans="1:13" ht="15">
      <c r="A366" s="2266" t="s">
        <v>4064</v>
      </c>
      <c r="B366" s="1694" t="str">
        <f>CONCATENATE(LEFT(RIGHT(CONCATENATE("000",IFAData_TEA!A366),6),3),"-",(RIGHT(RIGHT(CONCATENATE("000",IFAData_TEA!A366),6),3)))</f>
        <v>031-905</v>
      </c>
      <c r="C366" s="2266" t="s">
        <v>2148</v>
      </c>
      <c r="D366" s="2266">
        <v>3</v>
      </c>
      <c r="E366" s="2266">
        <v>1975</v>
      </c>
      <c r="F366" s="2266" t="s">
        <v>5047</v>
      </c>
      <c r="G366" s="2266" t="s">
        <v>6931</v>
      </c>
      <c r="H366" s="2436">
        <v>124856</v>
      </c>
      <c r="I366" s="2436">
        <v>23181</v>
      </c>
      <c r="J366" s="2446">
        <v>0.15314535628873063</v>
      </c>
      <c r="K366" s="2436">
        <v>19121.116604785751</v>
      </c>
      <c r="L366" s="2436">
        <v>19121.116604785751</v>
      </c>
      <c r="M366" s="2266">
        <v>599</v>
      </c>
    </row>
    <row r="367" spans="1:13" ht="15">
      <c r="A367" s="2266" t="s">
        <v>4064</v>
      </c>
      <c r="B367" s="1694" t="str">
        <f>CONCATENATE(LEFT(RIGHT(CONCATENATE("000",IFAData_TEA!A367),6),3),"-",(RIGHT(RIGHT(CONCATENATE("000",IFAData_TEA!A367),6),3)))</f>
        <v>031-905</v>
      </c>
      <c r="C367" s="2266" t="s">
        <v>2148</v>
      </c>
      <c r="D367" s="2266">
        <v>6</v>
      </c>
      <c r="E367" s="2266">
        <v>1974</v>
      </c>
      <c r="F367" s="2266" t="s">
        <v>5051</v>
      </c>
      <c r="G367" s="2266" t="s">
        <v>5048</v>
      </c>
      <c r="H367" s="2436">
        <v>89560</v>
      </c>
      <c r="I367" s="2436">
        <v>87175</v>
      </c>
      <c r="J367" s="2446">
        <v>0.82579453417325821</v>
      </c>
      <c r="K367" s="2436">
        <v>73958.158480557002</v>
      </c>
      <c r="L367" s="2436">
        <v>73958.158480557002</v>
      </c>
      <c r="M367" s="2266">
        <v>599</v>
      </c>
    </row>
    <row r="368" spans="1:13" ht="15">
      <c r="A368" s="2266" t="s">
        <v>4064</v>
      </c>
      <c r="B368" s="1694" t="str">
        <f>CONCATENATE(LEFT(RIGHT(CONCATENATE("000",IFAData_TEA!A368),6),3),"-",(RIGHT(RIGHT(CONCATENATE("000",IFAData_TEA!A368),6),3)))</f>
        <v>031-905</v>
      </c>
      <c r="C368" s="2266" t="s">
        <v>2148</v>
      </c>
      <c r="D368" s="2266">
        <v>1</v>
      </c>
      <c r="E368" s="2266">
        <v>1978</v>
      </c>
      <c r="F368" s="2266" t="s">
        <v>5045</v>
      </c>
      <c r="G368" s="2266" t="s">
        <v>5046</v>
      </c>
      <c r="H368" s="2436">
        <v>531801</v>
      </c>
      <c r="I368" s="2436">
        <v>497300</v>
      </c>
      <c r="J368" s="2446">
        <v>1</v>
      </c>
      <c r="K368" s="2436">
        <v>531801</v>
      </c>
      <c r="L368" s="2436">
        <v>497300</v>
      </c>
      <c r="M368" s="2266">
        <v>599</v>
      </c>
    </row>
    <row r="369" spans="1:13" ht="15">
      <c r="A369" s="2266" t="s">
        <v>4064</v>
      </c>
      <c r="B369" s="1694" t="str">
        <f>CONCATENATE(LEFT(RIGHT(CONCATENATE("000",IFAData_TEA!A369),6),3),"-",(RIGHT(RIGHT(CONCATENATE("000",IFAData_TEA!A369),6),3)))</f>
        <v>031-905</v>
      </c>
      <c r="C369" s="2266" t="s">
        <v>2148</v>
      </c>
      <c r="D369" s="2266">
        <v>4</v>
      </c>
      <c r="E369" s="2266">
        <v>1976</v>
      </c>
      <c r="F369" s="2266" t="s">
        <v>5049</v>
      </c>
      <c r="G369" s="2266" t="s">
        <v>5048</v>
      </c>
      <c r="H369" s="2436">
        <v>159423</v>
      </c>
      <c r="I369" s="2436">
        <v>175100</v>
      </c>
      <c r="J369" s="2446">
        <v>0.88765645515332481</v>
      </c>
      <c r="K369" s="2436">
        <v>141512.85504990851</v>
      </c>
      <c r="L369" s="2436">
        <v>141512.85504990851</v>
      </c>
      <c r="M369" s="2266">
        <v>599</v>
      </c>
    </row>
    <row r="370" spans="1:13" ht="15">
      <c r="A370" s="2266" t="s">
        <v>4064</v>
      </c>
      <c r="B370" s="1694" t="str">
        <f>CONCATENATE(LEFT(RIGHT(CONCATENATE("000",IFAData_TEA!A370),6),3),"-",(RIGHT(RIGHT(CONCATENATE("000",IFAData_TEA!A370),6),3)))</f>
        <v>031-905</v>
      </c>
      <c r="C370" s="2266" t="s">
        <v>2148</v>
      </c>
      <c r="D370" s="2266">
        <v>3</v>
      </c>
      <c r="E370" s="2266">
        <v>1975</v>
      </c>
      <c r="F370" s="2266" t="s">
        <v>5047</v>
      </c>
      <c r="G370" s="2266" t="s">
        <v>5047</v>
      </c>
      <c r="H370" s="2436">
        <v>124856</v>
      </c>
      <c r="I370" s="2436">
        <v>0</v>
      </c>
      <c r="J370" s="2446">
        <v>0</v>
      </c>
      <c r="K370" s="2436">
        <v>0</v>
      </c>
      <c r="L370" s="2436">
        <v>0</v>
      </c>
      <c r="M370" s="2266">
        <v>199</v>
      </c>
    </row>
    <row r="371" spans="1:13" ht="15">
      <c r="A371" s="2266" t="s">
        <v>4064</v>
      </c>
      <c r="B371" s="1694" t="str">
        <f>CONCATENATE(LEFT(RIGHT(CONCATENATE("000",IFAData_TEA!A371),6),3),"-",(RIGHT(RIGHT(CONCATENATE("000",IFAData_TEA!A371),6),3)))</f>
        <v>031-905</v>
      </c>
      <c r="C371" s="2266" t="s">
        <v>2148</v>
      </c>
      <c r="D371" s="2266">
        <v>4</v>
      </c>
      <c r="E371" s="2266">
        <v>1976</v>
      </c>
      <c r="F371" s="2266" t="s">
        <v>5049</v>
      </c>
      <c r="G371" s="2266" t="s">
        <v>5049</v>
      </c>
      <c r="H371" s="2436">
        <v>159423</v>
      </c>
      <c r="I371" s="2436">
        <v>0</v>
      </c>
      <c r="J371" s="2446">
        <v>0</v>
      </c>
      <c r="K371" s="2436">
        <v>0</v>
      </c>
      <c r="L371" s="2436">
        <v>0</v>
      </c>
      <c r="M371" s="2266">
        <v>199</v>
      </c>
    </row>
    <row r="372" spans="1:13" ht="15">
      <c r="A372" s="2266" t="s">
        <v>4064</v>
      </c>
      <c r="B372" s="1694" t="str">
        <f>CONCATENATE(LEFT(RIGHT(CONCATENATE("000",IFAData_TEA!A372),6),3),"-",(RIGHT(RIGHT(CONCATENATE("000",IFAData_TEA!A372),6),3)))</f>
        <v>031-905</v>
      </c>
      <c r="C372" s="2266" t="s">
        <v>2148</v>
      </c>
      <c r="D372" s="2266">
        <v>5</v>
      </c>
      <c r="E372" s="2266">
        <v>1979</v>
      </c>
      <c r="F372" s="2266" t="s">
        <v>5050</v>
      </c>
      <c r="G372" s="2266" t="s">
        <v>5048</v>
      </c>
      <c r="H372" s="2436">
        <v>562519</v>
      </c>
      <c r="I372" s="2436">
        <v>503551</v>
      </c>
      <c r="J372" s="2446">
        <v>0.84263907575118646</v>
      </c>
      <c r="K372" s="2436">
        <v>474000.49025248166</v>
      </c>
      <c r="L372" s="2436">
        <v>474000.49025248166</v>
      </c>
      <c r="M372" s="2266">
        <v>599</v>
      </c>
    </row>
    <row r="373" spans="1:13" ht="15">
      <c r="A373" s="2266" t="s">
        <v>4064</v>
      </c>
      <c r="B373" s="1694" t="str">
        <f>CONCATENATE(LEFT(RIGHT(CONCATENATE("000",IFAData_TEA!A373),6),3),"-",(RIGHT(RIGHT(CONCATENATE("000",IFAData_TEA!A373),6),3)))</f>
        <v>031-905</v>
      </c>
      <c r="C373" s="2266" t="s">
        <v>2148</v>
      </c>
      <c r="D373" s="2266">
        <v>6</v>
      </c>
      <c r="E373" s="2266">
        <v>1974</v>
      </c>
      <c r="F373" s="2266" t="s">
        <v>5051</v>
      </c>
      <c r="G373" s="2266" t="s">
        <v>5051</v>
      </c>
      <c r="H373" s="2436">
        <v>89560</v>
      </c>
      <c r="I373" s="2436">
        <v>0</v>
      </c>
      <c r="J373" s="2446">
        <v>0</v>
      </c>
      <c r="K373" s="2436">
        <v>0</v>
      </c>
      <c r="L373" s="2436">
        <v>0</v>
      </c>
      <c r="M373" s="2266">
        <v>199</v>
      </c>
    </row>
    <row r="374" spans="1:13" ht="15">
      <c r="A374" s="2266" t="s">
        <v>4064</v>
      </c>
      <c r="B374" s="1694" t="str">
        <f>CONCATENATE(LEFT(RIGHT(CONCATENATE("000",IFAData_TEA!A374),6),3),"-",(RIGHT(RIGHT(CONCATENATE("000",IFAData_TEA!A374),6),3)))</f>
        <v>031-905</v>
      </c>
      <c r="C374" s="2266" t="s">
        <v>2148</v>
      </c>
      <c r="D374" s="2266">
        <v>1</v>
      </c>
      <c r="E374" s="2266">
        <v>1978</v>
      </c>
      <c r="F374" s="2266" t="s">
        <v>5045</v>
      </c>
      <c r="G374" s="2266" t="s">
        <v>5045</v>
      </c>
      <c r="H374" s="2436">
        <v>531801</v>
      </c>
      <c r="I374" s="2436">
        <v>0</v>
      </c>
      <c r="J374" s="2446">
        <v>0</v>
      </c>
      <c r="K374" s="2436">
        <v>0</v>
      </c>
      <c r="L374" s="2436">
        <v>0</v>
      </c>
      <c r="M374" s="2266">
        <v>599</v>
      </c>
    </row>
    <row r="375" spans="1:13" ht="15">
      <c r="A375" s="2266" t="s">
        <v>4064</v>
      </c>
      <c r="B375" s="1694" t="str">
        <f>CONCATENATE(LEFT(RIGHT(CONCATENATE("000",IFAData_TEA!A375),6),3),"-",(RIGHT(RIGHT(CONCATENATE("000",IFAData_TEA!A375),6),3)))</f>
        <v>031-905</v>
      </c>
      <c r="C375" s="2266" t="s">
        <v>2148</v>
      </c>
      <c r="D375" s="2266">
        <v>5</v>
      </c>
      <c r="E375" s="2266">
        <v>1979</v>
      </c>
      <c r="F375" s="2266" t="s">
        <v>5050</v>
      </c>
      <c r="G375" s="2266" t="s">
        <v>5050</v>
      </c>
      <c r="H375" s="2436">
        <v>562519</v>
      </c>
      <c r="I375" s="2436">
        <v>0</v>
      </c>
      <c r="J375" s="2446">
        <v>0</v>
      </c>
      <c r="K375" s="2436">
        <v>0</v>
      </c>
      <c r="L375" s="2436">
        <v>0</v>
      </c>
      <c r="M375" s="2266">
        <v>199</v>
      </c>
    </row>
    <row r="376" spans="1:13" ht="15">
      <c r="A376" s="2266" t="s">
        <v>4064</v>
      </c>
      <c r="B376" s="1694" t="str">
        <f>CONCATENATE(LEFT(RIGHT(CONCATENATE("000",IFAData_TEA!A376),6),3),"-",(RIGHT(RIGHT(CONCATENATE("000",IFAData_TEA!A376),6),3)))</f>
        <v>031-905</v>
      </c>
      <c r="C376" s="2266" t="s">
        <v>2148</v>
      </c>
      <c r="D376" s="2266">
        <v>8</v>
      </c>
      <c r="E376" s="2266">
        <v>1977</v>
      </c>
      <c r="F376" s="2266" t="s">
        <v>5052</v>
      </c>
      <c r="G376" s="2266" t="s">
        <v>5052</v>
      </c>
      <c r="H376" s="2436">
        <v>520989</v>
      </c>
      <c r="I376" s="2436">
        <v>709426</v>
      </c>
      <c r="J376" s="2446">
        <v>0.61961578940473128</v>
      </c>
      <c r="K376" s="2436">
        <v>322813.01050618157</v>
      </c>
      <c r="L376" s="2436">
        <v>322813.01050618157</v>
      </c>
      <c r="M376" s="2266">
        <v>599</v>
      </c>
    </row>
    <row r="377" spans="1:13" ht="15">
      <c r="A377" s="2266" t="s">
        <v>4064</v>
      </c>
      <c r="B377" s="1694" t="str">
        <f>CONCATENATE(LEFT(RIGHT(CONCATENATE("000",IFAData_TEA!A377),6),3),"-",(RIGHT(RIGHT(CONCATENATE("000",IFAData_TEA!A377),6),3)))</f>
        <v>031-905</v>
      </c>
      <c r="C377" s="2266" t="s">
        <v>2148</v>
      </c>
      <c r="D377" s="2266">
        <v>8</v>
      </c>
      <c r="E377" s="2266">
        <v>1977</v>
      </c>
      <c r="F377" s="2266" t="s">
        <v>5052</v>
      </c>
      <c r="G377" s="2266" t="s">
        <v>6932</v>
      </c>
      <c r="H377" s="2436">
        <v>520989</v>
      </c>
      <c r="I377" s="2436">
        <v>260411</v>
      </c>
      <c r="J377" s="2446">
        <v>0.22744411303599738</v>
      </c>
      <c r="K377" s="2436">
        <v>118495.88100651123</v>
      </c>
      <c r="L377" s="2436">
        <v>118495.88100651123</v>
      </c>
      <c r="M377" s="2266">
        <v>599</v>
      </c>
    </row>
    <row r="378" spans="1:13" ht="15">
      <c r="A378" s="2266" t="s">
        <v>4064</v>
      </c>
      <c r="B378" s="1694" t="str">
        <f>CONCATENATE(LEFT(RIGHT(CONCATENATE("000",IFAData_TEA!A378),6),3),"-",(RIGHT(RIGHT(CONCATENATE("000",IFAData_TEA!A378),6),3)))</f>
        <v>031-905</v>
      </c>
      <c r="C378" s="2266" t="s">
        <v>2148</v>
      </c>
      <c r="D378" s="2266">
        <v>3</v>
      </c>
      <c r="E378" s="2266">
        <v>1975</v>
      </c>
      <c r="F378" s="2266" t="s">
        <v>5047</v>
      </c>
      <c r="G378" s="2266" t="s">
        <v>5048</v>
      </c>
      <c r="H378" s="2436">
        <v>124856</v>
      </c>
      <c r="I378" s="2436">
        <v>128185</v>
      </c>
      <c r="J378" s="2446">
        <v>0.84685464371126939</v>
      </c>
      <c r="K378" s="2436">
        <v>105734.88339521424</v>
      </c>
      <c r="L378" s="2436">
        <v>105734.88339521424</v>
      </c>
      <c r="M378" s="2266">
        <v>599</v>
      </c>
    </row>
    <row r="379" spans="1:13" ht="15">
      <c r="A379" s="2266" t="s">
        <v>4064</v>
      </c>
      <c r="B379" s="1694" t="str">
        <f>CONCATENATE(LEFT(RIGHT(CONCATENATE("000",IFAData_TEA!A379),6),3),"-",(RIGHT(RIGHT(CONCATENATE("000",IFAData_TEA!A379),6),3)))</f>
        <v>031-905</v>
      </c>
      <c r="C379" s="2266" t="s">
        <v>2148</v>
      </c>
      <c r="D379" s="2266">
        <v>8</v>
      </c>
      <c r="E379" s="2266">
        <v>1977</v>
      </c>
      <c r="F379" s="2266" t="s">
        <v>5052</v>
      </c>
      <c r="G379" s="2266" t="s">
        <v>6933</v>
      </c>
      <c r="H379" s="2436">
        <v>520989</v>
      </c>
      <c r="I379" s="2436">
        <v>175108</v>
      </c>
      <c r="J379" s="2446">
        <v>0.1529400975592714</v>
      </c>
      <c r="K379" s="2436">
        <v>79680.108487307254</v>
      </c>
      <c r="L379" s="2436">
        <v>79680.108487307254</v>
      </c>
      <c r="M379" s="2266">
        <v>599</v>
      </c>
    </row>
    <row r="380" spans="1:13" ht="15">
      <c r="A380" s="2266" t="s">
        <v>4065</v>
      </c>
      <c r="B380" s="1694" t="str">
        <f>CONCATENATE(LEFT(RIGHT(CONCATENATE("000",IFAData_TEA!A380),6),3),"-",(RIGHT(RIGHT(CONCATENATE("000",IFAData_TEA!A380),6),3)))</f>
        <v>031-906</v>
      </c>
      <c r="C380" s="2266" t="s">
        <v>43</v>
      </c>
      <c r="D380" s="2266">
        <v>1</v>
      </c>
      <c r="E380" s="2266">
        <v>2037</v>
      </c>
      <c r="F380" s="2266" t="s">
        <v>5054</v>
      </c>
      <c r="G380" s="2266" t="s">
        <v>5055</v>
      </c>
      <c r="H380" s="2436">
        <v>680974</v>
      </c>
      <c r="I380" s="2436">
        <v>650640</v>
      </c>
      <c r="J380" s="2446">
        <v>1</v>
      </c>
      <c r="K380" s="2436">
        <v>680974</v>
      </c>
      <c r="L380" s="2436">
        <v>650640</v>
      </c>
      <c r="M380" s="2266">
        <v>599</v>
      </c>
    </row>
    <row r="381" spans="1:13" ht="15">
      <c r="A381" s="2266" t="s">
        <v>4065</v>
      </c>
      <c r="B381" s="1694" t="str">
        <f>CONCATENATE(LEFT(RIGHT(CONCATENATE("000",IFAData_TEA!A381),6),3),"-",(RIGHT(RIGHT(CONCATENATE("000",IFAData_TEA!A381),6),3)))</f>
        <v>031-906</v>
      </c>
      <c r="C381" s="2266" t="s">
        <v>43</v>
      </c>
      <c r="D381" s="2266">
        <v>8</v>
      </c>
      <c r="E381" s="2266">
        <v>2039</v>
      </c>
      <c r="F381" s="2266" t="s">
        <v>5057</v>
      </c>
      <c r="G381" s="2266" t="s">
        <v>5057</v>
      </c>
      <c r="H381" s="2436">
        <v>1935141</v>
      </c>
      <c r="I381" s="2436">
        <v>1931808</v>
      </c>
      <c r="J381" s="2446">
        <v>1</v>
      </c>
      <c r="K381" s="2436">
        <v>1935141</v>
      </c>
      <c r="L381" s="2436">
        <v>1931808</v>
      </c>
      <c r="M381" s="2266">
        <v>599</v>
      </c>
    </row>
    <row r="382" spans="1:13" ht="15">
      <c r="A382" s="2266" t="s">
        <v>4065</v>
      </c>
      <c r="B382" s="1694" t="str">
        <f>CONCATENATE(LEFT(RIGHT(CONCATENATE("000",IFAData_TEA!A382),6),3),"-",(RIGHT(RIGHT(CONCATENATE("000",IFAData_TEA!A382),6),3)))</f>
        <v>031-906</v>
      </c>
      <c r="C382" s="2266" t="s">
        <v>43</v>
      </c>
      <c r="D382" s="2266">
        <v>1</v>
      </c>
      <c r="E382" s="2266">
        <v>2037</v>
      </c>
      <c r="F382" s="2266" t="s">
        <v>5054</v>
      </c>
      <c r="G382" s="2266" t="s">
        <v>5054</v>
      </c>
      <c r="H382" s="2436">
        <v>680974</v>
      </c>
      <c r="I382" s="2436">
        <v>0</v>
      </c>
      <c r="J382" s="2446">
        <v>0</v>
      </c>
      <c r="K382" s="2436">
        <v>0</v>
      </c>
      <c r="L382" s="2436">
        <v>0</v>
      </c>
      <c r="M382" s="2266">
        <v>599</v>
      </c>
    </row>
    <row r="383" spans="1:13" ht="15">
      <c r="A383" s="2266" t="s">
        <v>4065</v>
      </c>
      <c r="B383" s="1694" t="str">
        <f>CONCATENATE(LEFT(RIGHT(CONCATENATE("000",IFAData_TEA!A383),6),3),"-",(RIGHT(RIGHT(CONCATENATE("000",IFAData_TEA!A383),6),3)))</f>
        <v>031-906</v>
      </c>
      <c r="C383" s="2266" t="s">
        <v>43</v>
      </c>
      <c r="D383" s="2266">
        <v>4</v>
      </c>
      <c r="E383" s="2266">
        <v>2038</v>
      </c>
      <c r="F383" s="2266" t="s">
        <v>5056</v>
      </c>
      <c r="G383" s="2266" t="s">
        <v>5056</v>
      </c>
      <c r="H383" s="2436">
        <v>1668879</v>
      </c>
      <c r="I383" s="2436">
        <v>0</v>
      </c>
      <c r="J383" s="2446">
        <v>0</v>
      </c>
      <c r="K383" s="2436">
        <v>0</v>
      </c>
      <c r="L383" s="2436">
        <v>0</v>
      </c>
      <c r="M383" s="2266">
        <v>599</v>
      </c>
    </row>
    <row r="384" spans="1:13" ht="15">
      <c r="A384" s="2266" t="s">
        <v>4065</v>
      </c>
      <c r="B384" s="1694" t="str">
        <f>CONCATENATE(LEFT(RIGHT(CONCATENATE("000",IFAData_TEA!A384),6),3),"-",(RIGHT(RIGHT(CONCATENATE("000",IFAData_TEA!A384),6),3)))</f>
        <v>031-906</v>
      </c>
      <c r="C384" s="2266" t="s">
        <v>43</v>
      </c>
      <c r="D384" s="2266">
        <v>4</v>
      </c>
      <c r="E384" s="2266">
        <v>2038</v>
      </c>
      <c r="F384" s="2266" t="s">
        <v>5056</v>
      </c>
      <c r="G384" s="2266" t="s">
        <v>5055</v>
      </c>
      <c r="H384" s="2436">
        <v>1668879</v>
      </c>
      <c r="I384" s="2436">
        <v>1576685</v>
      </c>
      <c r="J384" s="2446">
        <v>1</v>
      </c>
      <c r="K384" s="2436">
        <v>1668879</v>
      </c>
      <c r="L384" s="2436">
        <v>1576685</v>
      </c>
      <c r="M384" s="2266">
        <v>599</v>
      </c>
    </row>
    <row r="385" spans="1:13" ht="15">
      <c r="A385" s="2266" t="s">
        <v>4066</v>
      </c>
      <c r="B385" s="1694" t="str">
        <f>CONCATENATE(LEFT(RIGHT(CONCATENATE("000",IFAData_TEA!A385),6),3),"-",(RIGHT(RIGHT(CONCATENATE("000",IFAData_TEA!A385),6),3)))</f>
        <v>031-911</v>
      </c>
      <c r="C385" s="2266" t="s">
        <v>3093</v>
      </c>
      <c r="D385" s="2266">
        <v>8</v>
      </c>
      <c r="E385" s="2266">
        <v>2245</v>
      </c>
      <c r="F385" s="2266" t="s">
        <v>5062</v>
      </c>
      <c r="G385" s="2266" t="s">
        <v>5062</v>
      </c>
      <c r="H385" s="2436">
        <v>262428</v>
      </c>
      <c r="I385" s="2436">
        <v>258490</v>
      </c>
      <c r="J385" s="2446">
        <v>1</v>
      </c>
      <c r="K385" s="2436">
        <v>262428</v>
      </c>
      <c r="L385" s="2436">
        <v>258490</v>
      </c>
      <c r="M385" s="2266">
        <v>599</v>
      </c>
    </row>
    <row r="386" spans="1:13" ht="15">
      <c r="A386" s="2266" t="s">
        <v>4066</v>
      </c>
      <c r="B386" s="1694" t="str">
        <f>CONCATENATE(LEFT(RIGHT(CONCATENATE("000",IFAData_TEA!A386),6),3),"-",(RIGHT(RIGHT(CONCATENATE("000",IFAData_TEA!A386),6),3)))</f>
        <v>031-911</v>
      </c>
      <c r="C386" s="2266" t="s">
        <v>3093</v>
      </c>
      <c r="D386" s="2266">
        <v>5</v>
      </c>
      <c r="E386" s="2266">
        <v>2246</v>
      </c>
      <c r="F386" s="2266" t="s">
        <v>5060</v>
      </c>
      <c r="G386" s="2266" t="s">
        <v>5061</v>
      </c>
      <c r="H386" s="2436">
        <v>476290</v>
      </c>
      <c r="I386" s="2436">
        <v>275636</v>
      </c>
      <c r="J386" s="2446">
        <v>0.61302712668832893</v>
      </c>
      <c r="K386" s="2436">
        <v>291978.69017038419</v>
      </c>
      <c r="L386" s="2436">
        <v>275636</v>
      </c>
      <c r="M386" s="2266">
        <v>599</v>
      </c>
    </row>
    <row r="387" spans="1:13" ht="15">
      <c r="A387" s="2266" t="s">
        <v>4066</v>
      </c>
      <c r="B387" s="1694" t="str">
        <f>CONCATENATE(LEFT(RIGHT(CONCATENATE("000",IFAData_TEA!A387),6),3),"-",(RIGHT(RIGHT(CONCATENATE("000",IFAData_TEA!A387),6),3)))</f>
        <v>031-911</v>
      </c>
      <c r="C387" s="2266" t="s">
        <v>3093</v>
      </c>
      <c r="D387" s="2266">
        <v>5</v>
      </c>
      <c r="E387" s="2266">
        <v>2246</v>
      </c>
      <c r="F387" s="2266" t="s">
        <v>5060</v>
      </c>
      <c r="G387" s="2266" t="s">
        <v>5060</v>
      </c>
      <c r="H387" s="2436">
        <v>476290</v>
      </c>
      <c r="I387" s="2436">
        <v>173995</v>
      </c>
      <c r="J387" s="2446">
        <v>0.38697287331167113</v>
      </c>
      <c r="K387" s="2436">
        <v>184311.30982961584</v>
      </c>
      <c r="L387" s="2436">
        <v>173995</v>
      </c>
      <c r="M387" s="2266">
        <v>599</v>
      </c>
    </row>
    <row r="388" spans="1:13" ht="15">
      <c r="A388" s="2266" t="s">
        <v>4066</v>
      </c>
      <c r="B388" s="1694" t="str">
        <f>CONCATENATE(LEFT(RIGHT(CONCATENATE("000",IFAData_TEA!A388),6),3),"-",(RIGHT(RIGHT(CONCATENATE("000",IFAData_TEA!A388),6),3)))</f>
        <v>031-911</v>
      </c>
      <c r="C388" s="2266" t="s">
        <v>3093</v>
      </c>
      <c r="D388" s="2266">
        <v>4</v>
      </c>
      <c r="E388" s="2266">
        <v>2247</v>
      </c>
      <c r="F388" s="2266" t="s">
        <v>5058</v>
      </c>
      <c r="G388" s="2266" t="s">
        <v>5058</v>
      </c>
      <c r="H388" s="2436">
        <v>501695</v>
      </c>
      <c r="I388" s="2436">
        <v>0</v>
      </c>
      <c r="J388" s="2446">
        <v>0</v>
      </c>
      <c r="K388" s="2436">
        <v>0</v>
      </c>
      <c r="L388" s="2436">
        <v>0</v>
      </c>
      <c r="M388" s="2266">
        <v>599</v>
      </c>
    </row>
    <row r="389" spans="1:13" ht="15">
      <c r="A389" s="2266" t="s">
        <v>4066</v>
      </c>
      <c r="B389" s="1694" t="str">
        <f>CONCATENATE(LEFT(RIGHT(CONCATENATE("000",IFAData_TEA!A389),6),3),"-",(RIGHT(RIGHT(CONCATENATE("000",IFAData_TEA!A389),6),3)))</f>
        <v>031-911</v>
      </c>
      <c r="C389" s="2266" t="s">
        <v>3093</v>
      </c>
      <c r="D389" s="2266">
        <v>4</v>
      </c>
      <c r="E389" s="2266">
        <v>2247</v>
      </c>
      <c r="F389" s="2266" t="s">
        <v>5058</v>
      </c>
      <c r="G389" s="2266" t="s">
        <v>6934</v>
      </c>
      <c r="H389" s="2436">
        <v>501695</v>
      </c>
      <c r="I389" s="2436">
        <v>259814</v>
      </c>
      <c r="J389" s="2446">
        <v>0.5250740682357411</v>
      </c>
      <c r="K389" s="2436">
        <v>263427.03466353012</v>
      </c>
      <c r="L389" s="2436">
        <v>259814</v>
      </c>
      <c r="M389" s="2266">
        <v>599</v>
      </c>
    </row>
    <row r="390" spans="1:13" ht="15">
      <c r="A390" s="2266" t="s">
        <v>4066</v>
      </c>
      <c r="B390" s="1694" t="str">
        <f>CONCATENATE(LEFT(RIGHT(CONCATENATE("000",IFAData_TEA!A390),6),3),"-",(RIGHT(RIGHT(CONCATENATE("000",IFAData_TEA!A390),6),3)))</f>
        <v>031-911</v>
      </c>
      <c r="C390" s="2266" t="s">
        <v>3093</v>
      </c>
      <c r="D390" s="2266">
        <v>4</v>
      </c>
      <c r="E390" s="2266">
        <v>2247</v>
      </c>
      <c r="F390" s="2266" t="s">
        <v>5058</v>
      </c>
      <c r="G390" s="2266" t="s">
        <v>5059</v>
      </c>
      <c r="H390" s="2436">
        <v>501695</v>
      </c>
      <c r="I390" s="2436">
        <v>235000</v>
      </c>
      <c r="J390" s="2446">
        <v>0.4749259317642589</v>
      </c>
      <c r="K390" s="2436">
        <v>238267.96533646988</v>
      </c>
      <c r="L390" s="2436">
        <v>235000</v>
      </c>
      <c r="M390" s="2266">
        <v>599</v>
      </c>
    </row>
    <row r="391" spans="1:13" ht="15">
      <c r="A391" s="2266" t="s">
        <v>4067</v>
      </c>
      <c r="B391" s="1694" t="str">
        <f>CONCATENATE(LEFT(RIGHT(CONCATENATE("000",IFAData_TEA!A391),6),3),"-",(RIGHT(RIGHT(CONCATENATE("000",IFAData_TEA!A391),6),3)))</f>
        <v>031-912</v>
      </c>
      <c r="C391" s="2266" t="s">
        <v>46</v>
      </c>
      <c r="D391" s="2266">
        <v>4</v>
      </c>
      <c r="E391" s="2266">
        <v>2285</v>
      </c>
      <c r="F391" s="2266" t="s">
        <v>5065</v>
      </c>
      <c r="G391" s="2266" t="s">
        <v>6935</v>
      </c>
      <c r="H391" s="2436">
        <v>1943392</v>
      </c>
      <c r="I391" s="2436">
        <v>285820</v>
      </c>
      <c r="J391" s="2446">
        <v>0.16320065595449429</v>
      </c>
      <c r="K391" s="2436">
        <v>317162.84917671658</v>
      </c>
      <c r="L391" s="2436">
        <v>285820</v>
      </c>
      <c r="M391" s="2266">
        <v>599</v>
      </c>
    </row>
    <row r="392" spans="1:13" ht="15">
      <c r="A392" s="2266" t="s">
        <v>4067</v>
      </c>
      <c r="B392" s="1694" t="str">
        <f>CONCATENATE(LEFT(RIGHT(CONCATENATE("000",IFAData_TEA!A392),6),3),"-",(RIGHT(RIGHT(CONCATENATE("000",IFAData_TEA!A392),6),3)))</f>
        <v>031-912</v>
      </c>
      <c r="C392" s="2266" t="s">
        <v>46</v>
      </c>
      <c r="D392" s="2266">
        <v>7</v>
      </c>
      <c r="E392" s="2266">
        <v>2286</v>
      </c>
      <c r="F392" s="2266" t="s">
        <v>5067</v>
      </c>
      <c r="G392" s="2266" t="s">
        <v>5068</v>
      </c>
      <c r="H392" s="2436">
        <v>2335517</v>
      </c>
      <c r="I392" s="2436">
        <v>351900</v>
      </c>
      <c r="J392" s="2446">
        <v>1</v>
      </c>
      <c r="K392" s="2436">
        <v>2335517</v>
      </c>
      <c r="L392" s="2436">
        <v>351900</v>
      </c>
      <c r="M392" s="2266">
        <v>599</v>
      </c>
    </row>
    <row r="393" spans="1:13" ht="15">
      <c r="A393" s="2266" t="s">
        <v>4067</v>
      </c>
      <c r="B393" s="1694" t="str">
        <f>CONCATENATE(LEFT(RIGHT(CONCATENATE("000",IFAData_TEA!A393),6),3),"-",(RIGHT(RIGHT(CONCATENATE("000",IFAData_TEA!A393),6),3)))</f>
        <v>031-912</v>
      </c>
      <c r="C393" s="2266" t="s">
        <v>46</v>
      </c>
      <c r="D393" s="2266">
        <v>9</v>
      </c>
      <c r="E393" s="2266">
        <v>2287</v>
      </c>
      <c r="F393" s="2266" t="s">
        <v>5070</v>
      </c>
      <c r="G393" s="2266" t="s">
        <v>5070</v>
      </c>
      <c r="H393" s="2436">
        <v>2359625</v>
      </c>
      <c r="I393" s="2436">
        <v>2351675</v>
      </c>
      <c r="J393" s="2446">
        <v>1</v>
      </c>
      <c r="K393" s="2436">
        <v>2359625</v>
      </c>
      <c r="L393" s="2436">
        <v>2351675</v>
      </c>
      <c r="M393" s="2266">
        <v>599</v>
      </c>
    </row>
    <row r="394" spans="1:13" ht="15">
      <c r="A394" s="2266" t="s">
        <v>4067</v>
      </c>
      <c r="B394" s="1694" t="str">
        <f>CONCATENATE(LEFT(RIGHT(CONCATENATE("000",IFAData_TEA!A394),6),3),"-",(RIGHT(RIGHT(CONCATENATE("000",IFAData_TEA!A394),6),3)))</f>
        <v>031-912</v>
      </c>
      <c r="C394" s="2266" t="s">
        <v>46</v>
      </c>
      <c r="D394" s="2266">
        <v>2</v>
      </c>
      <c r="E394" s="2266">
        <v>2284</v>
      </c>
      <c r="F394" s="2266" t="s">
        <v>5063</v>
      </c>
      <c r="G394" s="2266" t="s">
        <v>6935</v>
      </c>
      <c r="H394" s="2436">
        <v>1925904</v>
      </c>
      <c r="I394" s="2436">
        <v>296618</v>
      </c>
      <c r="J394" s="2446">
        <v>0.17794887669839077</v>
      </c>
      <c r="K394" s="2436">
        <v>342712.45342893759</v>
      </c>
      <c r="L394" s="2436">
        <v>296618</v>
      </c>
      <c r="M394" s="2266">
        <v>599</v>
      </c>
    </row>
    <row r="395" spans="1:13" ht="15">
      <c r="A395" s="2266" t="s">
        <v>4067</v>
      </c>
      <c r="B395" s="1694" t="str">
        <f>CONCATENATE(LEFT(RIGHT(CONCATENATE("000",IFAData_TEA!A395),6),3),"-",(RIGHT(RIGHT(CONCATENATE("000",IFAData_TEA!A395),6),3)))</f>
        <v>031-912</v>
      </c>
      <c r="C395" s="2266" t="s">
        <v>46</v>
      </c>
      <c r="D395" s="2266">
        <v>4</v>
      </c>
      <c r="E395" s="2266">
        <v>2285</v>
      </c>
      <c r="F395" s="2266" t="s">
        <v>5065</v>
      </c>
      <c r="G395" s="2266" t="s">
        <v>5064</v>
      </c>
      <c r="H395" s="2436">
        <v>1943392</v>
      </c>
      <c r="I395" s="2436">
        <v>1320371</v>
      </c>
      <c r="J395" s="2446">
        <v>0.75391999616294025</v>
      </c>
      <c r="K395" s="2436">
        <v>1465162.0891830889</v>
      </c>
      <c r="L395" s="2436">
        <v>1320371</v>
      </c>
      <c r="M395" s="2266">
        <v>599</v>
      </c>
    </row>
    <row r="396" spans="1:13" ht="15">
      <c r="A396" s="2266" t="s">
        <v>4067</v>
      </c>
      <c r="B396" s="1694" t="str">
        <f>CONCATENATE(LEFT(RIGHT(CONCATENATE("000",IFAData_TEA!A396),6),3),"-",(RIGHT(RIGHT(CONCATENATE("000",IFAData_TEA!A396),6),3)))</f>
        <v>031-912</v>
      </c>
      <c r="C396" s="2266" t="s">
        <v>46</v>
      </c>
      <c r="D396" s="2266">
        <v>7</v>
      </c>
      <c r="E396" s="2266">
        <v>2286</v>
      </c>
      <c r="F396" s="2266" t="s">
        <v>5067</v>
      </c>
      <c r="G396" s="2266" t="s">
        <v>5067</v>
      </c>
      <c r="H396" s="2436">
        <v>2335517</v>
      </c>
      <c r="I396" s="2436">
        <v>0</v>
      </c>
      <c r="J396" s="2446">
        <v>0</v>
      </c>
      <c r="K396" s="2436">
        <v>0</v>
      </c>
      <c r="L396" s="2436">
        <v>0</v>
      </c>
      <c r="M396" s="2266">
        <v>599</v>
      </c>
    </row>
    <row r="397" spans="1:13" ht="15">
      <c r="A397" s="2266" t="s">
        <v>4067</v>
      </c>
      <c r="B397" s="1694" t="str">
        <f>CONCATENATE(LEFT(RIGHT(CONCATENATE("000",IFAData_TEA!A397),6),3),"-",(RIGHT(RIGHT(CONCATENATE("000",IFAData_TEA!A397),6),3)))</f>
        <v>031-912</v>
      </c>
      <c r="C397" s="2266" t="s">
        <v>46</v>
      </c>
      <c r="D397" s="2266">
        <v>4</v>
      </c>
      <c r="E397" s="2266">
        <v>2285</v>
      </c>
      <c r="F397" s="2266" t="s">
        <v>5065</v>
      </c>
      <c r="G397" s="2266" t="s">
        <v>5065</v>
      </c>
      <c r="H397" s="2436">
        <v>1943392</v>
      </c>
      <c r="I397" s="2436">
        <v>0</v>
      </c>
      <c r="J397" s="2446">
        <v>0</v>
      </c>
      <c r="K397" s="2436">
        <v>0</v>
      </c>
      <c r="L397" s="2436">
        <v>0</v>
      </c>
      <c r="M397" s="2266">
        <v>599</v>
      </c>
    </row>
    <row r="398" spans="1:13" ht="15">
      <c r="A398" s="2266" t="s">
        <v>4067</v>
      </c>
      <c r="B398" s="1694" t="str">
        <f>CONCATENATE(LEFT(RIGHT(CONCATENATE("000",IFAData_TEA!A398),6),3),"-",(RIGHT(RIGHT(CONCATENATE("000",IFAData_TEA!A398),6),3)))</f>
        <v>031-912</v>
      </c>
      <c r="C398" s="2266" t="s">
        <v>46</v>
      </c>
      <c r="D398" s="2266">
        <v>4</v>
      </c>
      <c r="E398" s="2266">
        <v>2285</v>
      </c>
      <c r="F398" s="2266" t="s">
        <v>5065</v>
      </c>
      <c r="G398" s="2266" t="s">
        <v>5066</v>
      </c>
      <c r="H398" s="2436">
        <v>1943392</v>
      </c>
      <c r="I398" s="2436">
        <v>145150</v>
      </c>
      <c r="J398" s="2446">
        <v>8.2879347882565416E-2</v>
      </c>
      <c r="K398" s="2436">
        <v>161067.06164019456</v>
      </c>
      <c r="L398" s="2436">
        <v>145150</v>
      </c>
      <c r="M398" s="2266">
        <v>599</v>
      </c>
    </row>
    <row r="399" spans="1:13" ht="15">
      <c r="A399" s="2266" t="s">
        <v>4067</v>
      </c>
      <c r="B399" s="1694" t="str">
        <f>CONCATENATE(LEFT(RIGHT(CONCATENATE("000",IFAData_TEA!A399),6),3),"-",(RIGHT(RIGHT(CONCATENATE("000",IFAData_TEA!A399),6),3)))</f>
        <v>031-912</v>
      </c>
      <c r="C399" s="2266" t="s">
        <v>46</v>
      </c>
      <c r="D399" s="2266">
        <v>7</v>
      </c>
      <c r="E399" s="2266">
        <v>2286</v>
      </c>
      <c r="F399" s="2266" t="s">
        <v>5067</v>
      </c>
      <c r="G399" s="2266" t="s">
        <v>5069</v>
      </c>
      <c r="H399" s="2436">
        <v>2335517</v>
      </c>
      <c r="I399" s="2436">
        <v>0</v>
      </c>
      <c r="J399" s="2446">
        <v>0</v>
      </c>
      <c r="K399" s="2436">
        <v>0</v>
      </c>
      <c r="L399" s="2436">
        <v>0</v>
      </c>
      <c r="M399" s="2266">
        <v>599</v>
      </c>
    </row>
    <row r="400" spans="1:13" ht="15">
      <c r="A400" s="2266" t="s">
        <v>4067</v>
      </c>
      <c r="B400" s="1694" t="str">
        <f>CONCATENATE(LEFT(RIGHT(CONCATENATE("000",IFAData_TEA!A400),6),3),"-",(RIGHT(RIGHT(CONCATENATE("000",IFAData_TEA!A400),6),3)))</f>
        <v>031-912</v>
      </c>
      <c r="C400" s="2266" t="s">
        <v>46</v>
      </c>
      <c r="D400" s="2266">
        <v>2</v>
      </c>
      <c r="E400" s="2266">
        <v>2284</v>
      </c>
      <c r="F400" s="2266" t="s">
        <v>5063</v>
      </c>
      <c r="G400" s="2266" t="s">
        <v>5064</v>
      </c>
      <c r="H400" s="2436">
        <v>1925904</v>
      </c>
      <c r="I400" s="2436">
        <v>1370254</v>
      </c>
      <c r="J400" s="2446">
        <v>0.82205112330160923</v>
      </c>
      <c r="K400" s="2436">
        <v>1583191.5465710624</v>
      </c>
      <c r="L400" s="2436">
        <v>1370254</v>
      </c>
      <c r="M400" s="2266">
        <v>599</v>
      </c>
    </row>
    <row r="401" spans="1:13" ht="15">
      <c r="A401" s="2266" t="s">
        <v>4067</v>
      </c>
      <c r="B401" s="1694" t="str">
        <f>CONCATENATE(LEFT(RIGHT(CONCATENATE("000",IFAData_TEA!A401),6),3),"-",(RIGHT(RIGHT(CONCATENATE("000",IFAData_TEA!A401),6),3)))</f>
        <v>031-912</v>
      </c>
      <c r="C401" s="2266" t="s">
        <v>46</v>
      </c>
      <c r="D401" s="2266">
        <v>2</v>
      </c>
      <c r="E401" s="2266">
        <v>2284</v>
      </c>
      <c r="F401" s="2266" t="s">
        <v>5063</v>
      </c>
      <c r="G401" s="2266" t="s">
        <v>5063</v>
      </c>
      <c r="H401" s="2436">
        <v>1925904</v>
      </c>
      <c r="I401" s="2436">
        <v>0</v>
      </c>
      <c r="J401" s="2446">
        <v>0</v>
      </c>
      <c r="K401" s="2436">
        <v>0</v>
      </c>
      <c r="L401" s="2436">
        <v>0</v>
      </c>
      <c r="M401" s="2266">
        <v>599</v>
      </c>
    </row>
    <row r="402" spans="1:13" ht="15">
      <c r="A402" s="2266" t="s">
        <v>4068</v>
      </c>
      <c r="B402" s="1694" t="str">
        <f>CONCATENATE(LEFT(RIGHT(CONCATENATE("000",IFAData_TEA!A402),6),3),"-",(RIGHT(RIGHT(CONCATENATE("000",IFAData_TEA!A402),6),3)))</f>
        <v>031-913</v>
      </c>
      <c r="C402" s="2266" t="s">
        <v>99</v>
      </c>
      <c r="D402" s="2266">
        <v>4</v>
      </c>
      <c r="E402" s="2266">
        <v>2310</v>
      </c>
      <c r="F402" s="2266" t="s">
        <v>5071</v>
      </c>
      <c r="G402" s="2266" t="s">
        <v>5071</v>
      </c>
      <c r="H402" s="2436">
        <v>103380</v>
      </c>
      <c r="I402" s="2436">
        <v>0</v>
      </c>
      <c r="J402" s="2446">
        <v>0</v>
      </c>
      <c r="K402" s="2436">
        <v>0</v>
      </c>
      <c r="L402" s="2436">
        <v>0</v>
      </c>
      <c r="M402" s="2266">
        <v>599</v>
      </c>
    </row>
    <row r="403" spans="1:13" ht="15">
      <c r="A403" s="2266" t="s">
        <v>4068</v>
      </c>
      <c r="B403" s="1694" t="str">
        <f>CONCATENATE(LEFT(RIGHT(CONCATENATE("000",IFAData_TEA!A403),6),3),"-",(RIGHT(RIGHT(CONCATENATE("000",IFAData_TEA!A403),6),3)))</f>
        <v>031-913</v>
      </c>
      <c r="C403" s="2266" t="s">
        <v>99</v>
      </c>
      <c r="D403" s="2266">
        <v>4</v>
      </c>
      <c r="E403" s="2266">
        <v>2310</v>
      </c>
      <c r="F403" s="2266" t="s">
        <v>5071</v>
      </c>
      <c r="G403" s="2266" t="s">
        <v>5072</v>
      </c>
      <c r="H403" s="2436">
        <v>103380</v>
      </c>
      <c r="I403" s="2436">
        <v>109313</v>
      </c>
      <c r="J403" s="2446">
        <v>1</v>
      </c>
      <c r="K403" s="2436">
        <v>103380</v>
      </c>
      <c r="L403" s="2436">
        <v>103380</v>
      </c>
      <c r="M403" s="2266">
        <v>599</v>
      </c>
    </row>
    <row r="404" spans="1:13" ht="15">
      <c r="A404" s="2266" t="s">
        <v>4068</v>
      </c>
      <c r="B404" s="1694" t="str">
        <f>CONCATENATE(LEFT(RIGHT(CONCATENATE("000",IFAData_TEA!A404),6),3),"-",(RIGHT(RIGHT(CONCATENATE("000",IFAData_TEA!A404),6),3)))</f>
        <v>031-913</v>
      </c>
      <c r="C404" s="2266" t="s">
        <v>99</v>
      </c>
      <c r="D404" s="2266">
        <v>7</v>
      </c>
      <c r="E404" s="2266">
        <v>2311</v>
      </c>
      <c r="F404" s="2266" t="s">
        <v>5073</v>
      </c>
      <c r="G404" s="2266" t="s">
        <v>5073</v>
      </c>
      <c r="H404" s="2436">
        <v>128701</v>
      </c>
      <c r="I404" s="2436">
        <v>124190</v>
      </c>
      <c r="J404" s="2446">
        <v>1</v>
      </c>
      <c r="K404" s="2436">
        <v>128701</v>
      </c>
      <c r="L404" s="2436">
        <v>124190</v>
      </c>
      <c r="M404" s="2266">
        <v>599</v>
      </c>
    </row>
    <row r="405" spans="1:13" ht="15">
      <c r="A405" s="2266" t="s">
        <v>4068</v>
      </c>
      <c r="B405" s="1694" t="str">
        <f>CONCATENATE(LEFT(RIGHT(CONCATENATE("000",IFAData_TEA!A405),6),3),"-",(RIGHT(RIGHT(CONCATENATE("000",IFAData_TEA!A405),6),3)))</f>
        <v>031-913</v>
      </c>
      <c r="C405" s="2266" t="s">
        <v>99</v>
      </c>
      <c r="D405" s="2266">
        <v>10</v>
      </c>
      <c r="E405" s="2266">
        <v>2309</v>
      </c>
      <c r="F405" s="2266" t="s">
        <v>5074</v>
      </c>
      <c r="G405" s="2266" t="s">
        <v>5074</v>
      </c>
      <c r="H405" s="2436">
        <v>60163</v>
      </c>
      <c r="I405" s="2436">
        <v>53900</v>
      </c>
      <c r="J405" s="2446">
        <v>1</v>
      </c>
      <c r="K405" s="2436">
        <v>60163</v>
      </c>
      <c r="L405" s="2436">
        <v>53900</v>
      </c>
      <c r="M405" s="2266">
        <v>599</v>
      </c>
    </row>
    <row r="406" spans="1:13" ht="15">
      <c r="A406" s="2266" t="s">
        <v>4069</v>
      </c>
      <c r="B406" s="1694" t="str">
        <f>CONCATENATE(LEFT(RIGHT(CONCATENATE("000",IFAData_TEA!A406),6),3),"-",(RIGHT(RIGHT(CONCATENATE("000",IFAData_TEA!A406),6),3)))</f>
        <v>031-914</v>
      </c>
      <c r="C406" s="2266" t="s">
        <v>100</v>
      </c>
      <c r="D406" s="2266">
        <v>1</v>
      </c>
      <c r="E406" s="2266">
        <v>2314</v>
      </c>
      <c r="F406" s="2266" t="s">
        <v>5075</v>
      </c>
      <c r="G406" s="2266" t="s">
        <v>5076</v>
      </c>
      <c r="H406" s="2436">
        <v>290250</v>
      </c>
      <c r="I406" s="2436">
        <v>275883</v>
      </c>
      <c r="J406" s="2446">
        <v>1</v>
      </c>
      <c r="K406" s="2436">
        <v>290250</v>
      </c>
      <c r="L406" s="2436">
        <v>275883</v>
      </c>
      <c r="M406" s="2266">
        <v>599</v>
      </c>
    </row>
    <row r="407" spans="1:13" ht="15">
      <c r="A407" s="2266" t="s">
        <v>4069</v>
      </c>
      <c r="B407" s="1694" t="str">
        <f>CONCATENATE(LEFT(RIGHT(CONCATENATE("000",IFAData_TEA!A407),6),3),"-",(RIGHT(RIGHT(CONCATENATE("000",IFAData_TEA!A407),6),3)))</f>
        <v>031-914</v>
      </c>
      <c r="C407" s="2266" t="s">
        <v>100</v>
      </c>
      <c r="D407" s="2266">
        <v>4</v>
      </c>
      <c r="E407" s="2266">
        <v>2315</v>
      </c>
      <c r="F407" s="2266" t="s">
        <v>5077</v>
      </c>
      <c r="G407" s="2266" t="s">
        <v>5077</v>
      </c>
      <c r="H407" s="2436">
        <v>307688</v>
      </c>
      <c r="I407" s="2436">
        <v>0</v>
      </c>
      <c r="J407" s="2446">
        <v>0</v>
      </c>
      <c r="K407" s="2436">
        <v>0</v>
      </c>
      <c r="L407" s="2436">
        <v>0</v>
      </c>
      <c r="M407" s="2266">
        <v>599</v>
      </c>
    </row>
    <row r="408" spans="1:13" ht="15">
      <c r="A408" s="2266" t="s">
        <v>4069</v>
      </c>
      <c r="B408" s="1694" t="str">
        <f>CONCATENATE(LEFT(RIGHT(CONCATENATE("000",IFAData_TEA!A408),6),3),"-",(RIGHT(RIGHT(CONCATENATE("000",IFAData_TEA!A408),6),3)))</f>
        <v>031-914</v>
      </c>
      <c r="C408" s="2266" t="s">
        <v>100</v>
      </c>
      <c r="D408" s="2266">
        <v>9</v>
      </c>
      <c r="E408" s="2266">
        <v>2313</v>
      </c>
      <c r="F408" s="2266" t="s">
        <v>5079</v>
      </c>
      <c r="G408" s="2266" t="s">
        <v>5079</v>
      </c>
      <c r="H408" s="2436">
        <v>284877</v>
      </c>
      <c r="I408" s="2436">
        <v>285119</v>
      </c>
      <c r="J408" s="2446">
        <v>1</v>
      </c>
      <c r="K408" s="2436">
        <v>284877</v>
      </c>
      <c r="L408" s="2436">
        <v>284877</v>
      </c>
      <c r="M408" s="2266">
        <v>599</v>
      </c>
    </row>
    <row r="409" spans="1:13" ht="15">
      <c r="A409" s="2266" t="s">
        <v>4069</v>
      </c>
      <c r="B409" s="1694" t="str">
        <f>CONCATENATE(LEFT(RIGHT(CONCATENATE("000",IFAData_TEA!A409),6),3),"-",(RIGHT(RIGHT(CONCATENATE("000",IFAData_TEA!A409),6),3)))</f>
        <v>031-914</v>
      </c>
      <c r="C409" s="2266" t="s">
        <v>100</v>
      </c>
      <c r="D409" s="2266">
        <v>5</v>
      </c>
      <c r="E409" s="2266">
        <v>2312</v>
      </c>
      <c r="F409" s="2266" t="s">
        <v>5078</v>
      </c>
      <c r="G409" s="2266" t="s">
        <v>5078</v>
      </c>
      <c r="H409" s="2436">
        <v>265690</v>
      </c>
      <c r="I409" s="2436">
        <v>120290</v>
      </c>
      <c r="J409" s="2446">
        <v>0.46096953439356197</v>
      </c>
      <c r="K409" s="2436">
        <v>122474.99559302548</v>
      </c>
      <c r="L409" s="2436">
        <v>120290</v>
      </c>
      <c r="M409" s="2266">
        <v>599</v>
      </c>
    </row>
    <row r="410" spans="1:13" ht="15">
      <c r="A410" s="2266" t="s">
        <v>4069</v>
      </c>
      <c r="B410" s="1694" t="str">
        <f>CONCATENATE(LEFT(RIGHT(CONCATENATE("000",IFAData_TEA!A410),6),3),"-",(RIGHT(RIGHT(CONCATENATE("000",IFAData_TEA!A410),6),3)))</f>
        <v>031-914</v>
      </c>
      <c r="C410" s="2266" t="s">
        <v>100</v>
      </c>
      <c r="D410" s="2266">
        <v>1</v>
      </c>
      <c r="E410" s="2266">
        <v>2314</v>
      </c>
      <c r="F410" s="2266" t="s">
        <v>5075</v>
      </c>
      <c r="G410" s="2266" t="s">
        <v>5075</v>
      </c>
      <c r="H410" s="2436">
        <v>290250</v>
      </c>
      <c r="I410" s="2436">
        <v>0</v>
      </c>
      <c r="J410" s="2446">
        <v>0</v>
      </c>
      <c r="K410" s="2436">
        <v>0</v>
      </c>
      <c r="L410" s="2436">
        <v>0</v>
      </c>
      <c r="M410" s="2266">
        <v>599</v>
      </c>
    </row>
    <row r="411" spans="1:13" ht="15">
      <c r="A411" s="2266" t="s">
        <v>4069</v>
      </c>
      <c r="B411" s="1694" t="str">
        <f>CONCATENATE(LEFT(RIGHT(CONCATENATE("000",IFAData_TEA!A411),6),3),"-",(RIGHT(RIGHT(CONCATENATE("000",IFAData_TEA!A411),6),3)))</f>
        <v>031-914</v>
      </c>
      <c r="C411" s="2266" t="s">
        <v>100</v>
      </c>
      <c r="D411" s="2266">
        <v>5</v>
      </c>
      <c r="E411" s="2266">
        <v>2312</v>
      </c>
      <c r="F411" s="2266" t="s">
        <v>5078</v>
      </c>
      <c r="G411" s="2266" t="s">
        <v>5076</v>
      </c>
      <c r="H411" s="2436">
        <v>265690</v>
      </c>
      <c r="I411" s="2436">
        <v>140660</v>
      </c>
      <c r="J411" s="2446">
        <v>0.53903046560643797</v>
      </c>
      <c r="K411" s="2436">
        <v>143215.00440697451</v>
      </c>
      <c r="L411" s="2436">
        <v>140660</v>
      </c>
      <c r="M411" s="2266">
        <v>599</v>
      </c>
    </row>
    <row r="412" spans="1:13" ht="15">
      <c r="A412" s="2266" t="s">
        <v>4069</v>
      </c>
      <c r="B412" s="1694" t="str">
        <f>CONCATENATE(LEFT(RIGHT(CONCATENATE("000",IFAData_TEA!A412),6),3),"-",(RIGHT(RIGHT(CONCATENATE("000",IFAData_TEA!A412),6),3)))</f>
        <v>031-914</v>
      </c>
      <c r="C412" s="2266" t="s">
        <v>100</v>
      </c>
      <c r="D412" s="2266">
        <v>4</v>
      </c>
      <c r="E412" s="2266">
        <v>2315</v>
      </c>
      <c r="F412" s="2266" t="s">
        <v>5077</v>
      </c>
      <c r="G412" s="2266" t="s">
        <v>5076</v>
      </c>
      <c r="H412" s="2436">
        <v>307688</v>
      </c>
      <c r="I412" s="2436">
        <v>284876</v>
      </c>
      <c r="J412" s="2446">
        <v>1</v>
      </c>
      <c r="K412" s="2436">
        <v>307688</v>
      </c>
      <c r="L412" s="2436">
        <v>284876</v>
      </c>
      <c r="M412" s="2266">
        <v>599</v>
      </c>
    </row>
    <row r="413" spans="1:13" ht="15">
      <c r="A413" s="2266" t="s">
        <v>5080</v>
      </c>
      <c r="B413" s="1694" t="str">
        <f>CONCATENATE(LEFT(RIGHT(CONCATENATE("000",IFAData_TEA!A413),6),3),"-",(RIGHT(RIGHT(CONCATENATE("000",IFAData_TEA!A413),6),3)))</f>
        <v>034-906</v>
      </c>
      <c r="C413" s="2266" t="s">
        <v>929</v>
      </c>
      <c r="D413" s="2266">
        <v>4</v>
      </c>
      <c r="E413" s="2266">
        <v>2083</v>
      </c>
      <c r="F413" s="2266" t="s">
        <v>5081</v>
      </c>
      <c r="G413" s="2266" t="s">
        <v>5081</v>
      </c>
      <c r="H413" s="2436">
        <v>80006</v>
      </c>
      <c r="I413" s="2436">
        <v>79611</v>
      </c>
      <c r="J413" s="2446">
        <v>1</v>
      </c>
      <c r="K413" s="2436">
        <v>80006</v>
      </c>
      <c r="L413" s="2436">
        <v>79611</v>
      </c>
      <c r="M413" s="2266">
        <v>199</v>
      </c>
    </row>
    <row r="414" spans="1:13" ht="15">
      <c r="A414" s="2266" t="s">
        <v>4070</v>
      </c>
      <c r="B414" s="1694" t="str">
        <f>CONCATENATE(LEFT(RIGHT(CONCATENATE("000",IFAData_TEA!A414),6),3),"-",(RIGHT(RIGHT(CONCATENATE("000",IFAData_TEA!A414),6),3)))</f>
        <v>035-903</v>
      </c>
      <c r="C414" s="2266" t="s">
        <v>425</v>
      </c>
      <c r="D414" s="2266">
        <v>3</v>
      </c>
      <c r="E414" s="2266">
        <v>2128</v>
      </c>
      <c r="F414" s="2266" t="s">
        <v>5082</v>
      </c>
      <c r="G414" s="2266" t="s">
        <v>5082</v>
      </c>
      <c r="H414" s="2436">
        <v>100000</v>
      </c>
      <c r="I414" s="2436">
        <v>105000</v>
      </c>
      <c r="J414" s="2446">
        <v>1</v>
      </c>
      <c r="K414" s="2436">
        <v>100000</v>
      </c>
      <c r="L414" s="2436">
        <v>100000</v>
      </c>
      <c r="M414" s="2266">
        <v>599</v>
      </c>
    </row>
    <row r="415" spans="1:13" ht="15">
      <c r="A415" s="2266" t="s">
        <v>4071</v>
      </c>
      <c r="B415" s="1694" t="str">
        <f>CONCATENATE(LEFT(RIGHT(CONCATENATE("000",IFAData_TEA!A415),6),3),"-",(RIGHT(RIGHT(CONCATENATE("000",IFAData_TEA!A415),6),3)))</f>
        <v>036-901</v>
      </c>
      <c r="C415" s="2266" t="s">
        <v>1205</v>
      </c>
      <c r="D415" s="2266">
        <v>3</v>
      </c>
      <c r="E415" s="2266">
        <v>1573</v>
      </c>
      <c r="F415" s="2266" t="s">
        <v>5083</v>
      </c>
      <c r="G415" s="2266" t="s">
        <v>5084</v>
      </c>
      <c r="H415" s="2436">
        <v>342500</v>
      </c>
      <c r="I415" s="2436">
        <v>518700</v>
      </c>
      <c r="J415" s="2446">
        <v>1</v>
      </c>
      <c r="K415" s="2436">
        <v>342500</v>
      </c>
      <c r="L415" s="2436">
        <v>342500</v>
      </c>
      <c r="M415" s="2266">
        <v>599</v>
      </c>
    </row>
    <row r="416" spans="1:13" ht="15">
      <c r="A416" s="2266" t="s">
        <v>4071</v>
      </c>
      <c r="B416" s="1694" t="str">
        <f>CONCATENATE(LEFT(RIGHT(CONCATENATE("000",IFAData_TEA!A416),6),3),"-",(RIGHT(RIGHT(CONCATENATE("000",IFAData_TEA!A416),6),3)))</f>
        <v>036-901</v>
      </c>
      <c r="C416" s="2266" t="s">
        <v>1205</v>
      </c>
      <c r="D416" s="2266">
        <v>3</v>
      </c>
      <c r="E416" s="2266">
        <v>1573</v>
      </c>
      <c r="F416" s="2266" t="s">
        <v>5083</v>
      </c>
      <c r="G416" s="2266" t="s">
        <v>5083</v>
      </c>
      <c r="H416" s="2436">
        <v>342500</v>
      </c>
      <c r="I416" s="2436">
        <v>0</v>
      </c>
      <c r="J416" s="2446">
        <v>0</v>
      </c>
      <c r="K416" s="2436">
        <v>0</v>
      </c>
      <c r="L416" s="2436">
        <v>0</v>
      </c>
      <c r="M416" s="2266">
        <v>599</v>
      </c>
    </row>
    <row r="417" spans="1:13" ht="15">
      <c r="A417" s="2266" t="s">
        <v>4071</v>
      </c>
      <c r="B417" s="1694" t="str">
        <f>CONCATENATE(LEFT(RIGHT(CONCATENATE("000",IFAData_TEA!A417),6),3),"-",(RIGHT(RIGHT(CONCATENATE("000",IFAData_TEA!A417),6),3)))</f>
        <v>036-901</v>
      </c>
      <c r="C417" s="2266" t="s">
        <v>1205</v>
      </c>
      <c r="D417" s="2266">
        <v>10</v>
      </c>
      <c r="E417" s="2266">
        <v>1572</v>
      </c>
      <c r="F417" s="2266" t="s">
        <v>5085</v>
      </c>
      <c r="G417" s="2266" t="s">
        <v>5085</v>
      </c>
      <c r="H417" s="2436">
        <v>321500</v>
      </c>
      <c r="I417" s="2436">
        <v>715500</v>
      </c>
      <c r="J417" s="2446">
        <v>1</v>
      </c>
      <c r="K417" s="2436">
        <v>321500</v>
      </c>
      <c r="L417" s="2436">
        <v>321500</v>
      </c>
      <c r="M417" s="2266">
        <v>599</v>
      </c>
    </row>
    <row r="418" spans="1:13" ht="15">
      <c r="A418" s="2266" t="s">
        <v>4072</v>
      </c>
      <c r="B418" s="1694" t="str">
        <f>CONCATENATE(LEFT(RIGHT(CONCATENATE("000",IFAData_TEA!A418),6),3),"-",(RIGHT(RIGHT(CONCATENATE("000",IFAData_TEA!A418),6),3)))</f>
        <v>036-903</v>
      </c>
      <c r="C418" s="2266" t="s">
        <v>2716</v>
      </c>
      <c r="D418" s="2266">
        <v>9</v>
      </c>
      <c r="E418" s="2266">
        <v>1782</v>
      </c>
      <c r="F418" s="2266" t="s">
        <v>5086</v>
      </c>
      <c r="G418" s="2266" t="s">
        <v>5086</v>
      </c>
      <c r="H418" s="2436">
        <v>300000</v>
      </c>
      <c r="I418" s="2436">
        <v>542647</v>
      </c>
      <c r="J418" s="2446">
        <v>1</v>
      </c>
      <c r="K418" s="2436">
        <v>300000</v>
      </c>
      <c r="L418" s="2436">
        <v>300000</v>
      </c>
      <c r="M418" s="2266">
        <v>599</v>
      </c>
    </row>
    <row r="419" spans="1:13" ht="15">
      <c r="A419" s="2266" t="s">
        <v>4073</v>
      </c>
      <c r="B419" s="1694" t="str">
        <f>CONCATENATE(LEFT(RIGHT(CONCATENATE("000",IFAData_TEA!A419),6),3),"-",(RIGHT(RIGHT(CONCATENATE("000",IFAData_TEA!A419),6),3)))</f>
        <v>037-904</v>
      </c>
      <c r="C419" s="2266" t="s">
        <v>445</v>
      </c>
      <c r="D419" s="2266">
        <v>2</v>
      </c>
      <c r="E419" s="2266">
        <v>1932</v>
      </c>
      <c r="F419" s="2266" t="s">
        <v>5087</v>
      </c>
      <c r="G419" s="2266" t="s">
        <v>5087</v>
      </c>
      <c r="H419" s="2436">
        <v>895013</v>
      </c>
      <c r="I419" s="2436">
        <v>0</v>
      </c>
      <c r="J419" s="2446">
        <v>0</v>
      </c>
      <c r="K419" s="2436">
        <v>0</v>
      </c>
      <c r="L419" s="2436">
        <v>0</v>
      </c>
      <c r="M419" s="2266">
        <v>599</v>
      </c>
    </row>
    <row r="420" spans="1:13" ht="15">
      <c r="A420" s="2266" t="s">
        <v>4073</v>
      </c>
      <c r="B420" s="1694" t="str">
        <f>CONCATENATE(LEFT(RIGHT(CONCATENATE("000",IFAData_TEA!A420),6),3),"-",(RIGHT(RIGHT(CONCATENATE("000",IFAData_TEA!A420),6),3)))</f>
        <v>037-904</v>
      </c>
      <c r="C420" s="2266" t="s">
        <v>445</v>
      </c>
      <c r="D420" s="2266">
        <v>2</v>
      </c>
      <c r="E420" s="2266">
        <v>1932</v>
      </c>
      <c r="F420" s="2266" t="s">
        <v>5087</v>
      </c>
      <c r="G420" s="2266" t="s">
        <v>5088</v>
      </c>
      <c r="H420" s="2436">
        <v>895013</v>
      </c>
      <c r="I420" s="2436">
        <v>0</v>
      </c>
      <c r="J420" s="2446">
        <v>0</v>
      </c>
      <c r="K420" s="2436">
        <v>0</v>
      </c>
      <c r="L420" s="2436">
        <v>0</v>
      </c>
      <c r="M420" s="2266">
        <v>599</v>
      </c>
    </row>
    <row r="421" spans="1:13" ht="15">
      <c r="A421" s="2266" t="s">
        <v>4073</v>
      </c>
      <c r="B421" s="1694" t="str">
        <f>CONCATENATE(LEFT(RIGHT(CONCATENATE("000",IFAData_TEA!A421),6),3),"-",(RIGHT(RIGHT(CONCATENATE("000",IFAData_TEA!A421),6),3)))</f>
        <v>037-904</v>
      </c>
      <c r="C421" s="2266" t="s">
        <v>445</v>
      </c>
      <c r="D421" s="2266">
        <v>2</v>
      </c>
      <c r="E421" s="2266">
        <v>1932</v>
      </c>
      <c r="F421" s="2266" t="s">
        <v>5087</v>
      </c>
      <c r="G421" s="2266" t="s">
        <v>5089</v>
      </c>
      <c r="H421" s="2436">
        <v>895013</v>
      </c>
      <c r="I421" s="2436">
        <v>804875</v>
      </c>
      <c r="J421" s="2446">
        <v>1</v>
      </c>
      <c r="K421" s="2436">
        <v>895013</v>
      </c>
      <c r="L421" s="2436">
        <v>804875</v>
      </c>
      <c r="M421" s="2266">
        <v>599</v>
      </c>
    </row>
    <row r="422" spans="1:13" ht="15">
      <c r="A422" s="2266" t="s">
        <v>4074</v>
      </c>
      <c r="B422" s="1694" t="str">
        <f>CONCATENATE(LEFT(RIGHT(CONCATENATE("000",IFAData_TEA!A422),6),3),"-",(RIGHT(RIGHT(CONCATENATE("000",IFAData_TEA!A422),6),3)))</f>
        <v>037-907</v>
      </c>
      <c r="C422" s="2266" t="s">
        <v>669</v>
      </c>
      <c r="D422" s="2266">
        <v>1</v>
      </c>
      <c r="E422" s="2266">
        <v>2272</v>
      </c>
      <c r="F422" s="2266" t="s">
        <v>5090</v>
      </c>
      <c r="G422" s="2266" t="s">
        <v>5090</v>
      </c>
      <c r="H422" s="2436">
        <v>30292</v>
      </c>
      <c r="I422" s="2436">
        <v>0</v>
      </c>
      <c r="J422" s="2446">
        <v>0</v>
      </c>
      <c r="K422" s="2436">
        <v>0</v>
      </c>
      <c r="L422" s="2436">
        <v>0</v>
      </c>
      <c r="M422" s="2266">
        <v>599</v>
      </c>
    </row>
    <row r="423" spans="1:13" ht="15">
      <c r="A423" s="2266" t="s">
        <v>4074</v>
      </c>
      <c r="B423" s="1694" t="str">
        <f>CONCATENATE(LEFT(RIGHT(CONCATENATE("000",IFAData_TEA!A423),6),3),"-",(RIGHT(RIGHT(CONCATENATE("000",IFAData_TEA!A423),6),3)))</f>
        <v>037-907</v>
      </c>
      <c r="C423" s="2266" t="s">
        <v>669</v>
      </c>
      <c r="D423" s="2266">
        <v>1</v>
      </c>
      <c r="E423" s="2266">
        <v>2272</v>
      </c>
      <c r="F423" s="2266" t="s">
        <v>5090</v>
      </c>
      <c r="G423" s="2266" t="s">
        <v>5091</v>
      </c>
      <c r="H423" s="2436">
        <v>30292</v>
      </c>
      <c r="I423" s="2436">
        <v>17927</v>
      </c>
      <c r="J423" s="2446">
        <v>1</v>
      </c>
      <c r="K423" s="2436">
        <v>30292</v>
      </c>
      <c r="L423" s="2436">
        <v>17927</v>
      </c>
      <c r="M423" s="2266">
        <v>599</v>
      </c>
    </row>
    <row r="424" spans="1:13" ht="15">
      <c r="A424" s="2266" t="s">
        <v>4074</v>
      </c>
      <c r="B424" s="1694" t="str">
        <f>CONCATENATE(LEFT(RIGHT(CONCATENATE("000",IFAData_TEA!A424),6),3),"-",(RIGHT(RIGHT(CONCATENATE("000",IFAData_TEA!A424),6),3)))</f>
        <v>037-907</v>
      </c>
      <c r="C424" s="2266" t="s">
        <v>669</v>
      </c>
      <c r="D424" s="2266">
        <v>5</v>
      </c>
      <c r="E424" s="2266">
        <v>2273</v>
      </c>
      <c r="F424" s="2266" t="s">
        <v>5092</v>
      </c>
      <c r="G424" s="2266" t="s">
        <v>5093</v>
      </c>
      <c r="H424" s="2436">
        <v>387158</v>
      </c>
      <c r="I424" s="2436">
        <v>350888</v>
      </c>
      <c r="J424" s="2446">
        <v>1</v>
      </c>
      <c r="K424" s="2436">
        <v>387158</v>
      </c>
      <c r="L424" s="2436">
        <v>350888</v>
      </c>
      <c r="M424" s="2266">
        <v>599</v>
      </c>
    </row>
    <row r="425" spans="1:13" ht="15">
      <c r="A425" s="2266" t="s">
        <v>4074</v>
      </c>
      <c r="B425" s="1694" t="str">
        <f>CONCATENATE(LEFT(RIGHT(CONCATENATE("000",IFAData_TEA!A425),6),3),"-",(RIGHT(RIGHT(CONCATENATE("000",IFAData_TEA!A425),6),3)))</f>
        <v>037-907</v>
      </c>
      <c r="C425" s="2266" t="s">
        <v>669</v>
      </c>
      <c r="D425" s="2266">
        <v>5</v>
      </c>
      <c r="E425" s="2266">
        <v>2273</v>
      </c>
      <c r="F425" s="2266" t="s">
        <v>5092</v>
      </c>
      <c r="G425" s="2266" t="s">
        <v>5092</v>
      </c>
      <c r="H425" s="2436">
        <v>387158</v>
      </c>
      <c r="I425" s="2436">
        <v>0</v>
      </c>
      <c r="J425" s="2446">
        <v>0</v>
      </c>
      <c r="K425" s="2436">
        <v>0</v>
      </c>
      <c r="L425" s="2436">
        <v>0</v>
      </c>
      <c r="M425" s="2266">
        <v>599</v>
      </c>
    </row>
    <row r="426" spans="1:13" ht="15">
      <c r="A426" s="2266" t="s">
        <v>5094</v>
      </c>
      <c r="B426" s="1694" t="str">
        <f>CONCATENATE(LEFT(RIGHT(CONCATENATE("000",IFAData_TEA!A426),6),3),"-",(RIGHT(RIGHT(CONCATENATE("000",IFAData_TEA!A426),6),3)))</f>
        <v>037-908</v>
      </c>
      <c r="C426" s="2266" t="s">
        <v>1306</v>
      </c>
      <c r="D426" s="2266">
        <v>6</v>
      </c>
      <c r="E426" s="2266">
        <v>2143</v>
      </c>
      <c r="F426" s="2266" t="s">
        <v>5095</v>
      </c>
      <c r="G426" s="2266" t="s">
        <v>5095</v>
      </c>
      <c r="H426" s="2436">
        <v>100400</v>
      </c>
      <c r="I426" s="2436">
        <v>0</v>
      </c>
      <c r="J426" s="2446">
        <v>0</v>
      </c>
      <c r="K426" s="2436"/>
      <c r="L426" s="2436">
        <v>0</v>
      </c>
      <c r="M426" s="2266">
        <v>199</v>
      </c>
    </row>
    <row r="427" spans="1:13" ht="15">
      <c r="A427" s="2266" t="s">
        <v>4075</v>
      </c>
      <c r="B427" s="1694" t="str">
        <f>CONCATENATE(LEFT(RIGHT(CONCATENATE("000",IFAData_TEA!A427),6),3),"-",(RIGHT(RIGHT(CONCATENATE("000",IFAData_TEA!A427),6),3)))</f>
        <v>038-901</v>
      </c>
      <c r="C427" s="2266" t="s">
        <v>2500</v>
      </c>
      <c r="D427" s="2266">
        <v>5</v>
      </c>
      <c r="E427" s="2266">
        <v>1687</v>
      </c>
      <c r="F427" s="2266" t="s">
        <v>5098</v>
      </c>
      <c r="G427" s="2266" t="s">
        <v>5098</v>
      </c>
      <c r="H427" s="2436">
        <v>198700</v>
      </c>
      <c r="I427" s="2436">
        <v>0</v>
      </c>
      <c r="J427" s="2446">
        <v>0</v>
      </c>
      <c r="K427" s="2436">
        <v>0</v>
      </c>
      <c r="L427" s="2436">
        <v>0</v>
      </c>
      <c r="M427" s="2266">
        <v>599</v>
      </c>
    </row>
    <row r="428" spans="1:13" ht="15">
      <c r="A428" s="2266" t="s">
        <v>4075</v>
      </c>
      <c r="B428" s="1694" t="str">
        <f>CONCATENATE(LEFT(RIGHT(CONCATENATE("000",IFAData_TEA!A428),6),3),"-",(RIGHT(RIGHT(CONCATENATE("000",IFAData_TEA!A428),6),3)))</f>
        <v>038-901</v>
      </c>
      <c r="C428" s="2266" t="s">
        <v>2500</v>
      </c>
      <c r="D428" s="2266">
        <v>2</v>
      </c>
      <c r="E428" s="2266">
        <v>1686</v>
      </c>
      <c r="F428" s="2266" t="s">
        <v>5096</v>
      </c>
      <c r="G428" s="2266" t="s">
        <v>5097</v>
      </c>
      <c r="H428" s="2436">
        <v>143416</v>
      </c>
      <c r="I428" s="2436">
        <v>100816</v>
      </c>
      <c r="J428" s="2446">
        <v>1</v>
      </c>
      <c r="K428" s="2436">
        <v>143416</v>
      </c>
      <c r="L428" s="2436">
        <v>100816</v>
      </c>
      <c r="M428" s="2266">
        <v>599</v>
      </c>
    </row>
    <row r="429" spans="1:13" ht="15">
      <c r="A429" s="2266" t="s">
        <v>4075</v>
      </c>
      <c r="B429" s="1694" t="str">
        <f>CONCATENATE(LEFT(RIGHT(CONCATENATE("000",IFAData_TEA!A429),6),3),"-",(RIGHT(RIGHT(CONCATENATE("000",IFAData_TEA!A429),6),3)))</f>
        <v>038-901</v>
      </c>
      <c r="C429" s="2266" t="s">
        <v>2500</v>
      </c>
      <c r="D429" s="2266">
        <v>2</v>
      </c>
      <c r="E429" s="2266">
        <v>1686</v>
      </c>
      <c r="F429" s="2266" t="s">
        <v>5096</v>
      </c>
      <c r="G429" s="2266" t="s">
        <v>5096</v>
      </c>
      <c r="H429" s="2436">
        <v>143416</v>
      </c>
      <c r="I429" s="2436">
        <v>0</v>
      </c>
      <c r="J429" s="2446">
        <v>0</v>
      </c>
      <c r="K429" s="2436">
        <v>0</v>
      </c>
      <c r="L429" s="2436">
        <v>0</v>
      </c>
      <c r="M429" s="2266">
        <v>599</v>
      </c>
    </row>
    <row r="430" spans="1:13" ht="15">
      <c r="A430" s="2266" t="s">
        <v>4075</v>
      </c>
      <c r="B430" s="1694" t="str">
        <f>CONCATENATE(LEFT(RIGHT(CONCATENATE("000",IFAData_TEA!A430),6),3),"-",(RIGHT(RIGHT(CONCATENATE("000",IFAData_TEA!A430),6),3)))</f>
        <v>038-901</v>
      </c>
      <c r="C430" s="2266" t="s">
        <v>2500</v>
      </c>
      <c r="D430" s="2266">
        <v>5</v>
      </c>
      <c r="E430" s="2266">
        <v>1687</v>
      </c>
      <c r="F430" s="2266" t="s">
        <v>5098</v>
      </c>
      <c r="G430" s="2266" t="s">
        <v>5097</v>
      </c>
      <c r="H430" s="2436">
        <v>198700</v>
      </c>
      <c r="I430" s="2436">
        <v>172500</v>
      </c>
      <c r="J430" s="2446">
        <v>1</v>
      </c>
      <c r="K430" s="2436">
        <v>198700</v>
      </c>
      <c r="L430" s="2436">
        <v>172500</v>
      </c>
      <c r="M430" s="2266">
        <v>599</v>
      </c>
    </row>
    <row r="431" spans="1:13" ht="15">
      <c r="A431" s="2266" t="s">
        <v>4076</v>
      </c>
      <c r="B431" s="1694" t="str">
        <f>CONCATENATE(LEFT(RIGHT(CONCATENATE("000",IFAData_TEA!A431),6),3),"-",(RIGHT(RIGHT(CONCATENATE("000",IFAData_TEA!A431),6),3)))</f>
        <v>039-903</v>
      </c>
      <c r="C431" s="2266" t="s">
        <v>4581</v>
      </c>
      <c r="D431" s="2266">
        <v>5</v>
      </c>
      <c r="E431" s="2266">
        <v>2187</v>
      </c>
      <c r="F431" s="2266" t="s">
        <v>5099</v>
      </c>
      <c r="G431" s="2266" t="s">
        <v>5100</v>
      </c>
      <c r="H431" s="2436">
        <v>232853</v>
      </c>
      <c r="I431" s="2436">
        <v>224735</v>
      </c>
      <c r="J431" s="2446">
        <v>1</v>
      </c>
      <c r="K431" s="2436">
        <v>232853</v>
      </c>
      <c r="L431" s="2436">
        <v>224735</v>
      </c>
      <c r="M431" s="2266">
        <v>599</v>
      </c>
    </row>
    <row r="432" spans="1:13" ht="15">
      <c r="A432" s="2266" t="s">
        <v>4076</v>
      </c>
      <c r="B432" s="1694" t="str">
        <f>CONCATENATE(LEFT(RIGHT(CONCATENATE("000",IFAData_TEA!A432),6),3),"-",(RIGHT(RIGHT(CONCATENATE("000",IFAData_TEA!A432),6),3)))</f>
        <v>039-903</v>
      </c>
      <c r="C432" s="2266" t="s">
        <v>4581</v>
      </c>
      <c r="D432" s="2266">
        <v>5</v>
      </c>
      <c r="E432" s="2266">
        <v>2187</v>
      </c>
      <c r="F432" s="2266" t="s">
        <v>5099</v>
      </c>
      <c r="G432" s="2266" t="s">
        <v>5099</v>
      </c>
      <c r="H432" s="2436">
        <v>232853</v>
      </c>
      <c r="I432" s="2436">
        <v>0</v>
      </c>
      <c r="J432" s="2446">
        <v>0</v>
      </c>
      <c r="K432" s="2436">
        <v>0</v>
      </c>
      <c r="L432" s="2436">
        <v>0</v>
      </c>
      <c r="M432" s="2266">
        <v>599</v>
      </c>
    </row>
    <row r="433" spans="1:13" ht="15">
      <c r="A433" s="2266" t="s">
        <v>5101</v>
      </c>
      <c r="B433" s="1694" t="str">
        <f>CONCATENATE(LEFT(RIGHT(CONCATENATE("000",IFAData_TEA!A433),6),3),"-",(RIGHT(RIGHT(CONCATENATE("000",IFAData_TEA!A433),6),3)))</f>
        <v>042-901</v>
      </c>
      <c r="C433" s="2266" t="s">
        <v>1333</v>
      </c>
      <c r="D433" s="2266">
        <v>2</v>
      </c>
      <c r="E433" s="2266">
        <v>1704</v>
      </c>
      <c r="F433" s="2266" t="s">
        <v>5102</v>
      </c>
      <c r="G433" s="2266" t="s">
        <v>5102</v>
      </c>
      <c r="H433" s="2436">
        <v>71550</v>
      </c>
      <c r="I433" s="2436">
        <v>0</v>
      </c>
      <c r="J433" s="2446">
        <v>0</v>
      </c>
      <c r="K433" s="2436"/>
      <c r="L433" s="2436">
        <v>0</v>
      </c>
      <c r="M433" s="2266">
        <v>599</v>
      </c>
    </row>
    <row r="434" spans="1:13" ht="15">
      <c r="A434" s="2266" t="s">
        <v>4077</v>
      </c>
      <c r="B434" s="1694" t="str">
        <f>CONCATENATE(LEFT(RIGHT(CONCATENATE("000",IFAData_TEA!A434),6),3),"-",(RIGHT(RIGHT(CONCATENATE("000",IFAData_TEA!A434),6),3)))</f>
        <v>042-903</v>
      </c>
      <c r="C434" s="2266" t="s">
        <v>97</v>
      </c>
      <c r="D434" s="2266">
        <v>6</v>
      </c>
      <c r="E434" s="2266">
        <v>2306</v>
      </c>
      <c r="F434" s="2266" t="s">
        <v>5103</v>
      </c>
      <c r="G434" s="2266" t="s">
        <v>5103</v>
      </c>
      <c r="H434" s="2436">
        <v>100000</v>
      </c>
      <c r="I434" s="2436">
        <v>0</v>
      </c>
      <c r="J434" s="2446">
        <v>0</v>
      </c>
      <c r="K434" s="2436">
        <v>0</v>
      </c>
      <c r="L434" s="2436">
        <v>0</v>
      </c>
      <c r="M434" s="2266">
        <v>599</v>
      </c>
    </row>
    <row r="435" spans="1:13" ht="15">
      <c r="A435" s="2266" t="s">
        <v>4077</v>
      </c>
      <c r="B435" s="1694" t="str">
        <f>CONCATENATE(LEFT(RIGHT(CONCATENATE("000",IFAData_TEA!A435),6),3),"-",(RIGHT(RIGHT(CONCATENATE("000",IFAData_TEA!A435),6),3)))</f>
        <v>042-903</v>
      </c>
      <c r="C435" s="2266" t="s">
        <v>97</v>
      </c>
      <c r="D435" s="2266">
        <v>6</v>
      </c>
      <c r="E435" s="2266">
        <v>2306</v>
      </c>
      <c r="F435" s="2266" t="s">
        <v>5103</v>
      </c>
      <c r="G435" s="2266" t="s">
        <v>5104</v>
      </c>
      <c r="H435" s="2436">
        <v>100000</v>
      </c>
      <c r="I435" s="2436">
        <v>92028</v>
      </c>
      <c r="J435" s="2446">
        <v>1</v>
      </c>
      <c r="K435" s="2436">
        <v>100000</v>
      </c>
      <c r="L435" s="2436">
        <v>92028</v>
      </c>
      <c r="M435" s="2266">
        <v>599</v>
      </c>
    </row>
    <row r="436" spans="1:13" ht="15">
      <c r="A436" s="2266" t="s">
        <v>4078</v>
      </c>
      <c r="B436" s="1694" t="str">
        <f>CONCATENATE(LEFT(RIGHT(CONCATENATE("000",IFAData_TEA!A436),6),3),"-",(RIGHT(RIGHT(CONCATENATE("000",IFAData_TEA!A436),6),3)))</f>
        <v>043-901</v>
      </c>
      <c r="C436" s="2266" t="s">
        <v>2234</v>
      </c>
      <c r="D436" s="2266">
        <v>1</v>
      </c>
      <c r="E436" s="2266">
        <v>1560</v>
      </c>
      <c r="F436" s="2266" t="s">
        <v>5105</v>
      </c>
      <c r="G436" s="2266" t="s">
        <v>5106</v>
      </c>
      <c r="H436" s="2436">
        <v>1385015</v>
      </c>
      <c r="I436" s="2436">
        <v>1025811</v>
      </c>
      <c r="J436" s="2446">
        <v>0.72496399247481591</v>
      </c>
      <c r="K436" s="2436">
        <v>1004086.0040375071</v>
      </c>
      <c r="L436" s="2436">
        <v>1004086.0040375071</v>
      </c>
      <c r="M436" s="2266">
        <v>599</v>
      </c>
    </row>
    <row r="437" spans="1:13" ht="15">
      <c r="A437" s="2266" t="s">
        <v>4078</v>
      </c>
      <c r="B437" s="1694" t="str">
        <f>CONCATENATE(LEFT(RIGHT(CONCATENATE("000",IFAData_TEA!A437),6),3),"-",(RIGHT(RIGHT(CONCATENATE("000",IFAData_TEA!A437),6),3)))</f>
        <v>043-901</v>
      </c>
      <c r="C437" s="2266" t="s">
        <v>2234</v>
      </c>
      <c r="D437" s="2266">
        <v>1</v>
      </c>
      <c r="E437" s="2266">
        <v>1560</v>
      </c>
      <c r="F437" s="2266" t="s">
        <v>5105</v>
      </c>
      <c r="G437" s="2266" t="s">
        <v>5107</v>
      </c>
      <c r="H437" s="2436">
        <v>1385015</v>
      </c>
      <c r="I437" s="2436">
        <v>112812</v>
      </c>
      <c r="J437" s="2446">
        <v>7.9726809245629984E-2</v>
      </c>
      <c r="K437" s="2436">
        <v>110422.82670733621</v>
      </c>
      <c r="L437" s="2436">
        <v>110422.82670733621</v>
      </c>
      <c r="M437" s="2266">
        <v>599</v>
      </c>
    </row>
    <row r="438" spans="1:13" ht="15">
      <c r="A438" s="2266" t="s">
        <v>4078</v>
      </c>
      <c r="B438" s="1694" t="str">
        <f>CONCATENATE(LEFT(RIGHT(CONCATENATE("000",IFAData_TEA!A438),6),3),"-",(RIGHT(RIGHT(CONCATENATE("000",IFAData_TEA!A438),6),3)))</f>
        <v>043-901</v>
      </c>
      <c r="C438" s="2266" t="s">
        <v>2234</v>
      </c>
      <c r="D438" s="2266">
        <v>1</v>
      </c>
      <c r="E438" s="2266">
        <v>1560</v>
      </c>
      <c r="F438" s="2266" t="s">
        <v>5105</v>
      </c>
      <c r="G438" s="2266" t="s">
        <v>5105</v>
      </c>
      <c r="H438" s="2436">
        <v>1385015</v>
      </c>
      <c r="I438" s="2436">
        <v>0</v>
      </c>
      <c r="J438" s="2446">
        <v>0</v>
      </c>
      <c r="K438" s="2436">
        <v>0</v>
      </c>
      <c r="L438" s="2436">
        <v>0</v>
      </c>
      <c r="M438" s="2266">
        <v>599</v>
      </c>
    </row>
    <row r="439" spans="1:13" ht="15">
      <c r="A439" s="2266" t="s">
        <v>4078</v>
      </c>
      <c r="B439" s="1694" t="str">
        <f>CONCATENATE(LEFT(RIGHT(CONCATENATE("000",IFAData_TEA!A439),6),3),"-",(RIGHT(RIGHT(CONCATENATE("000",IFAData_TEA!A439),6),3)))</f>
        <v>043-901</v>
      </c>
      <c r="C439" s="2266" t="s">
        <v>2234</v>
      </c>
      <c r="D439" s="2266">
        <v>1</v>
      </c>
      <c r="E439" s="2266">
        <v>1560</v>
      </c>
      <c r="F439" s="2266" t="s">
        <v>5105</v>
      </c>
      <c r="G439" s="2266" t="s">
        <v>6936</v>
      </c>
      <c r="H439" s="2436">
        <v>1385015</v>
      </c>
      <c r="I439" s="2436">
        <v>276359</v>
      </c>
      <c r="J439" s="2446">
        <v>0.19530919827955409</v>
      </c>
      <c r="K439" s="2436">
        <v>270506.16925515659</v>
      </c>
      <c r="L439" s="2436">
        <v>270506.16925515659</v>
      </c>
      <c r="M439" s="2266">
        <v>599</v>
      </c>
    </row>
    <row r="440" spans="1:13" ht="15">
      <c r="A440" s="2266" t="s">
        <v>4079</v>
      </c>
      <c r="B440" s="1694" t="str">
        <f>CONCATENATE(LEFT(RIGHT(CONCATENATE("000",IFAData_TEA!A440),6),3),"-",(RIGHT(RIGHT(CONCATENATE("000",IFAData_TEA!A440),6),3)))</f>
        <v>043-902</v>
      </c>
      <c r="C440" s="2266" t="s">
        <v>1206</v>
      </c>
      <c r="D440" s="2266">
        <v>2</v>
      </c>
      <c r="E440" s="2266">
        <v>1575</v>
      </c>
      <c r="F440" s="2266" t="s">
        <v>5108</v>
      </c>
      <c r="G440" s="2266" t="s">
        <v>5108</v>
      </c>
      <c r="H440" s="2436">
        <v>200000</v>
      </c>
      <c r="I440" s="2436">
        <v>0</v>
      </c>
      <c r="J440" s="2446">
        <v>0</v>
      </c>
      <c r="K440" s="2436">
        <v>0</v>
      </c>
      <c r="L440" s="2436">
        <v>0</v>
      </c>
      <c r="M440" s="2266">
        <v>599</v>
      </c>
    </row>
    <row r="441" spans="1:13" ht="15">
      <c r="A441" s="2266" t="s">
        <v>4079</v>
      </c>
      <c r="B441" s="1694" t="str">
        <f>CONCATENATE(LEFT(RIGHT(CONCATENATE("000",IFAData_TEA!A441),6),3),"-",(RIGHT(RIGHT(CONCATENATE("000",IFAData_TEA!A441),6),3)))</f>
        <v>043-902</v>
      </c>
      <c r="C441" s="2266" t="s">
        <v>1206</v>
      </c>
      <c r="D441" s="2266">
        <v>2</v>
      </c>
      <c r="E441" s="2266">
        <v>1575</v>
      </c>
      <c r="F441" s="2266" t="s">
        <v>5108</v>
      </c>
      <c r="G441" s="2266" t="s">
        <v>5109</v>
      </c>
      <c r="H441" s="2436">
        <v>200000</v>
      </c>
      <c r="I441" s="2436">
        <v>493156</v>
      </c>
      <c r="J441" s="2446">
        <v>1</v>
      </c>
      <c r="K441" s="2436">
        <v>200000</v>
      </c>
      <c r="L441" s="2436">
        <v>200000</v>
      </c>
      <c r="M441" s="2266">
        <v>599</v>
      </c>
    </row>
    <row r="442" spans="1:13" ht="15">
      <c r="A442" s="2266" t="s">
        <v>4079</v>
      </c>
      <c r="B442" s="1694" t="str">
        <f>CONCATENATE(LEFT(RIGHT(CONCATENATE("000",IFAData_TEA!A442),6),3),"-",(RIGHT(RIGHT(CONCATENATE("000",IFAData_TEA!A442),6),3)))</f>
        <v>043-902</v>
      </c>
      <c r="C442" s="2266" t="s">
        <v>1206</v>
      </c>
      <c r="D442" s="2266">
        <v>10</v>
      </c>
      <c r="E442" s="2266">
        <v>1574</v>
      </c>
      <c r="F442" s="2266" t="s">
        <v>5111</v>
      </c>
      <c r="G442" s="2266" t="s">
        <v>5111</v>
      </c>
      <c r="H442" s="2436">
        <v>180500</v>
      </c>
      <c r="I442" s="2436">
        <v>180500</v>
      </c>
      <c r="J442" s="2446">
        <v>1</v>
      </c>
      <c r="K442" s="2436">
        <v>180500</v>
      </c>
      <c r="L442" s="2436">
        <v>180500</v>
      </c>
      <c r="M442" s="2266">
        <v>599</v>
      </c>
    </row>
    <row r="443" spans="1:13" ht="15">
      <c r="A443" s="2266" t="s">
        <v>4079</v>
      </c>
      <c r="B443" s="1694" t="str">
        <f>CONCATENATE(LEFT(RIGHT(CONCATENATE("000",IFAData_TEA!A443),6),3),"-",(RIGHT(RIGHT(CONCATENATE("000",IFAData_TEA!A443),6),3)))</f>
        <v>043-902</v>
      </c>
      <c r="C443" s="2266" t="s">
        <v>1206</v>
      </c>
      <c r="D443" s="2266">
        <v>10</v>
      </c>
      <c r="E443" s="2266">
        <v>1577</v>
      </c>
      <c r="F443" s="2266" t="s">
        <v>5113</v>
      </c>
      <c r="G443" s="2266" t="s">
        <v>5113</v>
      </c>
      <c r="H443" s="2436">
        <v>285928</v>
      </c>
      <c r="I443" s="2436">
        <v>844750</v>
      </c>
      <c r="J443" s="2446">
        <v>1</v>
      </c>
      <c r="K443" s="2436">
        <v>285928</v>
      </c>
      <c r="L443" s="2436">
        <v>285928</v>
      </c>
      <c r="M443" s="2266">
        <v>599</v>
      </c>
    </row>
    <row r="444" spans="1:13" ht="15">
      <c r="A444" s="2266" t="s">
        <v>4079</v>
      </c>
      <c r="B444" s="1694" t="str">
        <f>CONCATENATE(LEFT(RIGHT(CONCATENATE("000",IFAData_TEA!A444),6),3),"-",(RIGHT(RIGHT(CONCATENATE("000",IFAData_TEA!A444),6),3)))</f>
        <v>043-902</v>
      </c>
      <c r="C444" s="2266" t="s">
        <v>1206</v>
      </c>
      <c r="D444" s="2266">
        <v>9</v>
      </c>
      <c r="E444" s="2266">
        <v>1578</v>
      </c>
      <c r="F444" s="2266" t="s">
        <v>5110</v>
      </c>
      <c r="G444" s="2266" t="s">
        <v>6937</v>
      </c>
      <c r="H444" s="2436">
        <v>634691</v>
      </c>
      <c r="I444" s="2436">
        <v>65677</v>
      </c>
      <c r="J444" s="2446">
        <v>6.8044823777820604E-2</v>
      </c>
      <c r="K444" s="2436">
        <v>43187.43724836874</v>
      </c>
      <c r="L444" s="2436">
        <v>43187.43724836874</v>
      </c>
      <c r="M444" s="2266">
        <v>599</v>
      </c>
    </row>
    <row r="445" spans="1:13" ht="15">
      <c r="A445" s="2266" t="s">
        <v>4079</v>
      </c>
      <c r="B445" s="1694" t="str">
        <f>CONCATENATE(LEFT(RIGHT(CONCATENATE("000",IFAData_TEA!A445),6),3),"-",(RIGHT(RIGHT(CONCATENATE("000",IFAData_TEA!A445),6),3)))</f>
        <v>043-902</v>
      </c>
      <c r="C445" s="2266" t="s">
        <v>1206</v>
      </c>
      <c r="D445" s="2266">
        <v>9</v>
      </c>
      <c r="E445" s="2266">
        <v>1578</v>
      </c>
      <c r="F445" s="2266" t="s">
        <v>5110</v>
      </c>
      <c r="G445" s="2266" t="s">
        <v>5110</v>
      </c>
      <c r="H445" s="2436">
        <v>634691</v>
      </c>
      <c r="I445" s="2436">
        <v>899525</v>
      </c>
      <c r="J445" s="2446">
        <v>0.93195517622217938</v>
      </c>
      <c r="K445" s="2436">
        <v>591503.56275163125</v>
      </c>
      <c r="L445" s="2436">
        <v>591503.56275163125</v>
      </c>
      <c r="M445" s="2266">
        <v>599</v>
      </c>
    </row>
    <row r="446" spans="1:13" ht="15">
      <c r="A446" s="2266" t="s">
        <v>4079</v>
      </c>
      <c r="B446" s="1694" t="str">
        <f>CONCATENATE(LEFT(RIGHT(CONCATENATE("000",IFAData_TEA!A446),6),3),"-",(RIGHT(RIGHT(CONCATENATE("000",IFAData_TEA!A446),6),3)))</f>
        <v>043-902</v>
      </c>
      <c r="C446" s="2266" t="s">
        <v>1206</v>
      </c>
      <c r="D446" s="2266">
        <v>10</v>
      </c>
      <c r="E446" s="2266">
        <v>1576</v>
      </c>
      <c r="F446" s="2266" t="s">
        <v>5112</v>
      </c>
      <c r="G446" s="2266" t="s">
        <v>5112</v>
      </c>
      <c r="H446" s="2436">
        <v>261525</v>
      </c>
      <c r="I446" s="2436">
        <v>261525</v>
      </c>
      <c r="J446" s="2446">
        <v>1</v>
      </c>
      <c r="K446" s="2436">
        <v>261525</v>
      </c>
      <c r="L446" s="2436">
        <v>261525</v>
      </c>
      <c r="M446" s="2266">
        <v>599</v>
      </c>
    </row>
    <row r="447" spans="1:13" ht="15">
      <c r="A447" s="2266" t="s">
        <v>4080</v>
      </c>
      <c r="B447" s="1694" t="str">
        <f>CONCATENATE(LEFT(RIGHT(CONCATENATE("000",IFAData_TEA!A447),6),3),"-",(RIGHT(RIGHT(CONCATENATE("000",IFAData_TEA!A447),6),3)))</f>
        <v>043-903</v>
      </c>
      <c r="C447" s="2266" t="s">
        <v>733</v>
      </c>
      <c r="D447" s="2266">
        <v>6</v>
      </c>
      <c r="E447" s="2266">
        <v>1671</v>
      </c>
      <c r="F447" s="2266" t="s">
        <v>5114</v>
      </c>
      <c r="G447" s="2266" t="s">
        <v>6938</v>
      </c>
      <c r="H447" s="2436">
        <v>129550</v>
      </c>
      <c r="I447" s="2436">
        <v>54705</v>
      </c>
      <c r="J447" s="2446">
        <v>0.75099872328157824</v>
      </c>
      <c r="K447" s="2436">
        <v>97291.884601128462</v>
      </c>
      <c r="L447" s="2436">
        <v>54705</v>
      </c>
      <c r="M447" s="2266">
        <v>599</v>
      </c>
    </row>
    <row r="448" spans="1:13" ht="15">
      <c r="A448" s="2266" t="s">
        <v>4080</v>
      </c>
      <c r="B448" s="1694" t="str">
        <f>CONCATENATE(LEFT(RIGHT(CONCATENATE("000",IFAData_TEA!A448),6),3),"-",(RIGHT(RIGHT(CONCATENATE("000",IFAData_TEA!A448),6),3)))</f>
        <v>043-903</v>
      </c>
      <c r="C448" s="2266" t="s">
        <v>733</v>
      </c>
      <c r="D448" s="2266">
        <v>6</v>
      </c>
      <c r="E448" s="2266">
        <v>1671</v>
      </c>
      <c r="F448" s="2266" t="s">
        <v>5114</v>
      </c>
      <c r="G448" s="2266" t="s">
        <v>5115</v>
      </c>
      <c r="H448" s="2436">
        <v>129550</v>
      </c>
      <c r="I448" s="2436">
        <v>18138</v>
      </c>
      <c r="J448" s="2446">
        <v>0.24900127671842182</v>
      </c>
      <c r="K448" s="2436">
        <v>32258.115398871545</v>
      </c>
      <c r="L448" s="2436">
        <v>18138</v>
      </c>
      <c r="M448" s="2266">
        <v>599</v>
      </c>
    </row>
    <row r="449" spans="1:13" ht="15">
      <c r="A449" s="2266" t="s">
        <v>4080</v>
      </c>
      <c r="B449" s="1694" t="str">
        <f>CONCATENATE(LEFT(RIGHT(CONCATENATE("000",IFAData_TEA!A449),6),3),"-",(RIGHT(RIGHT(CONCATENATE("000",IFAData_TEA!A449),6),3)))</f>
        <v>043-903</v>
      </c>
      <c r="C449" s="2266" t="s">
        <v>733</v>
      </c>
      <c r="D449" s="2266">
        <v>6</v>
      </c>
      <c r="E449" s="2266">
        <v>1672</v>
      </c>
      <c r="F449" s="2266" t="s">
        <v>5116</v>
      </c>
      <c r="G449" s="2266" t="s">
        <v>6938</v>
      </c>
      <c r="H449" s="2436">
        <v>143455</v>
      </c>
      <c r="I449" s="2436">
        <v>20460</v>
      </c>
      <c r="J449" s="2446">
        <v>4.5308991376675836E-2</v>
      </c>
      <c r="K449" s="2436">
        <v>6499.8013579410317</v>
      </c>
      <c r="L449" s="2436">
        <v>6499.8013579410317</v>
      </c>
      <c r="M449" s="2266">
        <v>599</v>
      </c>
    </row>
    <row r="450" spans="1:13" ht="15">
      <c r="A450" s="2266" t="s">
        <v>4080</v>
      </c>
      <c r="B450" s="1694" t="str">
        <f>CONCATENATE(LEFT(RIGHT(CONCATENATE("000",IFAData_TEA!A450),6),3),"-",(RIGHT(RIGHT(CONCATENATE("000",IFAData_TEA!A450),6),3)))</f>
        <v>043-903</v>
      </c>
      <c r="C450" s="2266" t="s">
        <v>733</v>
      </c>
      <c r="D450" s="2266">
        <v>6</v>
      </c>
      <c r="E450" s="2266">
        <v>1672</v>
      </c>
      <c r="F450" s="2266" t="s">
        <v>5116</v>
      </c>
      <c r="G450" s="2266" t="s">
        <v>5116</v>
      </c>
      <c r="H450" s="2436">
        <v>143455</v>
      </c>
      <c r="I450" s="2436">
        <v>193325</v>
      </c>
      <c r="J450" s="2446">
        <v>0.42812124916402033</v>
      </c>
      <c r="K450" s="2436">
        <v>61416.133798824536</v>
      </c>
      <c r="L450" s="2436">
        <v>61416.133798824536</v>
      </c>
      <c r="M450" s="2266">
        <v>599</v>
      </c>
    </row>
    <row r="451" spans="1:13" ht="15">
      <c r="A451" s="2266" t="s">
        <v>4080</v>
      </c>
      <c r="B451" s="1694" t="str">
        <f>CONCATENATE(LEFT(RIGHT(CONCATENATE("000",IFAData_TEA!A451),6),3),"-",(RIGHT(RIGHT(CONCATENATE("000",IFAData_TEA!A451),6),3)))</f>
        <v>043-903</v>
      </c>
      <c r="C451" s="2266" t="s">
        <v>733</v>
      </c>
      <c r="D451" s="2266">
        <v>6</v>
      </c>
      <c r="E451" s="2266">
        <v>1671</v>
      </c>
      <c r="F451" s="2266" t="s">
        <v>5114</v>
      </c>
      <c r="G451" s="2266" t="s">
        <v>5114</v>
      </c>
      <c r="H451" s="2436">
        <v>129550</v>
      </c>
      <c r="I451" s="2436">
        <v>0</v>
      </c>
      <c r="J451" s="2446">
        <v>0</v>
      </c>
      <c r="K451" s="2436">
        <v>0</v>
      </c>
      <c r="L451" s="2436">
        <v>0</v>
      </c>
      <c r="M451" s="2266">
        <v>599</v>
      </c>
    </row>
    <row r="452" spans="1:13" ht="15">
      <c r="A452" s="2266" t="s">
        <v>4080</v>
      </c>
      <c r="B452" s="1694" t="str">
        <f>CONCATENATE(LEFT(RIGHT(CONCATENATE("000",IFAData_TEA!A452),6),3),"-",(RIGHT(RIGHT(CONCATENATE("000",IFAData_TEA!A452),6),3)))</f>
        <v>043-903</v>
      </c>
      <c r="C452" s="2266" t="s">
        <v>733</v>
      </c>
      <c r="D452" s="2266">
        <v>6</v>
      </c>
      <c r="E452" s="2266">
        <v>1672</v>
      </c>
      <c r="F452" s="2266" t="s">
        <v>5116</v>
      </c>
      <c r="G452" s="2266" t="s">
        <v>5115</v>
      </c>
      <c r="H452" s="2436">
        <v>143455</v>
      </c>
      <c r="I452" s="2436">
        <v>237781</v>
      </c>
      <c r="J452" s="2446">
        <v>0.52656975945930384</v>
      </c>
      <c r="K452" s="2436">
        <v>75539.064843234431</v>
      </c>
      <c r="L452" s="2436">
        <v>75539.064843234431</v>
      </c>
      <c r="M452" s="2266">
        <v>599</v>
      </c>
    </row>
    <row r="453" spans="1:13" ht="15">
      <c r="A453" s="2266" t="s">
        <v>4081</v>
      </c>
      <c r="B453" s="1694" t="str">
        <f>CONCATENATE(LEFT(RIGHT(CONCATENATE("000",IFAData_TEA!A453),6),3),"-",(RIGHT(RIGHT(CONCATENATE("000",IFAData_TEA!A453),6),3)))</f>
        <v>043-904</v>
      </c>
      <c r="C453" s="2266" t="s">
        <v>129</v>
      </c>
      <c r="D453" s="2266">
        <v>3</v>
      </c>
      <c r="E453" s="2266">
        <v>1811</v>
      </c>
      <c r="F453" s="2266" t="s">
        <v>5117</v>
      </c>
      <c r="G453" s="2266" t="s">
        <v>5117</v>
      </c>
      <c r="H453" s="2436">
        <v>172081</v>
      </c>
      <c r="I453" s="2436">
        <v>0</v>
      </c>
      <c r="J453" s="2446">
        <v>0</v>
      </c>
      <c r="K453" s="2436">
        <v>0</v>
      </c>
      <c r="L453" s="2436">
        <v>0</v>
      </c>
      <c r="M453" s="2266">
        <v>599</v>
      </c>
    </row>
    <row r="454" spans="1:13" ht="15">
      <c r="A454" s="2266" t="s">
        <v>4081</v>
      </c>
      <c r="B454" s="1694" t="str">
        <f>CONCATENATE(LEFT(RIGHT(CONCATENATE("000",IFAData_TEA!A454),6),3),"-",(RIGHT(RIGHT(CONCATENATE("000",IFAData_TEA!A454),6),3)))</f>
        <v>043-904</v>
      </c>
      <c r="C454" s="2266" t="s">
        <v>129</v>
      </c>
      <c r="D454" s="2266">
        <v>3</v>
      </c>
      <c r="E454" s="2266">
        <v>1811</v>
      </c>
      <c r="F454" s="2266" t="s">
        <v>5117</v>
      </c>
      <c r="G454" s="2266" t="s">
        <v>5118</v>
      </c>
      <c r="H454" s="2436">
        <v>172081</v>
      </c>
      <c r="I454" s="2436">
        <v>632500</v>
      </c>
      <c r="J454" s="2446">
        <v>1</v>
      </c>
      <c r="K454" s="2436">
        <v>172081</v>
      </c>
      <c r="L454" s="2436">
        <v>172081</v>
      </c>
      <c r="M454" s="2266">
        <v>599</v>
      </c>
    </row>
    <row r="455" spans="1:13" ht="15">
      <c r="A455" s="2266" t="s">
        <v>4082</v>
      </c>
      <c r="B455" s="1694" t="str">
        <f>CONCATENATE(LEFT(RIGHT(CONCATENATE("000",IFAData_TEA!A455),6),3),"-",(RIGHT(RIGHT(CONCATENATE("000",IFAData_TEA!A455),6),3)))</f>
        <v>043-905</v>
      </c>
      <c r="C455" s="2266" t="s">
        <v>1667</v>
      </c>
      <c r="D455" s="2266">
        <v>2</v>
      </c>
      <c r="E455" s="2266">
        <v>1830</v>
      </c>
      <c r="F455" s="2266" t="s">
        <v>5127</v>
      </c>
      <c r="G455" s="2266" t="s">
        <v>5125</v>
      </c>
      <c r="H455" s="2436">
        <v>364536</v>
      </c>
      <c r="I455" s="2436">
        <v>569</v>
      </c>
      <c r="J455" s="2446">
        <v>4.6324678190032135E-4</v>
      </c>
      <c r="K455" s="2436">
        <v>168.87012888681554</v>
      </c>
      <c r="L455" s="2436">
        <v>168.87012888681554</v>
      </c>
      <c r="M455" s="2266">
        <v>599</v>
      </c>
    </row>
    <row r="456" spans="1:13" ht="15">
      <c r="A456" s="2266" t="s">
        <v>4082</v>
      </c>
      <c r="B456" s="1694" t="str">
        <f>CONCATENATE(LEFT(RIGHT(CONCATENATE("000",IFAData_TEA!A456),6),3),"-",(RIGHT(RIGHT(CONCATENATE("000",IFAData_TEA!A456),6),3)))</f>
        <v>043-905</v>
      </c>
      <c r="C456" s="2266" t="s">
        <v>1667</v>
      </c>
      <c r="D456" s="2266">
        <v>2</v>
      </c>
      <c r="E456" s="2266">
        <v>1830</v>
      </c>
      <c r="F456" s="2266" t="s">
        <v>5127</v>
      </c>
      <c r="G456" s="2266" t="s">
        <v>5128</v>
      </c>
      <c r="H456" s="2436">
        <v>364536</v>
      </c>
      <c r="I456" s="2436">
        <v>1193694</v>
      </c>
      <c r="J456" s="2446">
        <v>0.97183638677279827</v>
      </c>
      <c r="K456" s="2436">
        <v>354269.34908860881</v>
      </c>
      <c r="L456" s="2436">
        <v>354269.34908860881</v>
      </c>
      <c r="M456" s="2266">
        <v>599</v>
      </c>
    </row>
    <row r="457" spans="1:13" ht="15">
      <c r="A457" s="2266" t="s">
        <v>4082</v>
      </c>
      <c r="B457" s="1694" t="str">
        <f>CONCATENATE(LEFT(RIGHT(CONCATENATE("000",IFAData_TEA!A457),6),3),"-",(RIGHT(RIGHT(CONCATENATE("000",IFAData_TEA!A457),6),3)))</f>
        <v>043-905</v>
      </c>
      <c r="C457" s="2266" t="s">
        <v>1667</v>
      </c>
      <c r="D457" s="2266">
        <v>1</v>
      </c>
      <c r="E457" s="2266">
        <v>1831</v>
      </c>
      <c r="F457" s="2266" t="s">
        <v>5119</v>
      </c>
      <c r="G457" s="2266" t="s">
        <v>5125</v>
      </c>
      <c r="H457" s="2436">
        <v>569214</v>
      </c>
      <c r="I457" s="2436">
        <v>239</v>
      </c>
      <c r="J457" s="2446">
        <v>3.9351733699079434E-4</v>
      </c>
      <c r="K457" s="2436">
        <v>223.995577457878</v>
      </c>
      <c r="L457" s="2436">
        <v>223.995577457878</v>
      </c>
      <c r="M457" s="2266">
        <v>599</v>
      </c>
    </row>
    <row r="458" spans="1:13" ht="15">
      <c r="A458" s="2266" t="s">
        <v>4082</v>
      </c>
      <c r="B458" s="1694" t="str">
        <f>CONCATENATE(LEFT(RIGHT(CONCATENATE("000",IFAData_TEA!A458),6),3),"-",(RIGHT(RIGHT(CONCATENATE("000",IFAData_TEA!A458),6),3)))</f>
        <v>043-905</v>
      </c>
      <c r="C458" s="2266" t="s">
        <v>1667</v>
      </c>
      <c r="D458" s="2266">
        <v>2</v>
      </c>
      <c r="E458" s="2266">
        <v>1830</v>
      </c>
      <c r="F458" s="2266" t="s">
        <v>5127</v>
      </c>
      <c r="G458" s="2266" t="s">
        <v>5124</v>
      </c>
      <c r="H458" s="2436">
        <v>364536</v>
      </c>
      <c r="I458" s="2436">
        <v>12417</v>
      </c>
      <c r="J458" s="2446">
        <v>1.0109200862664832E-2</v>
      </c>
      <c r="K458" s="2436">
        <v>3685.1676456723872</v>
      </c>
      <c r="L458" s="2436">
        <v>3685.1676456723872</v>
      </c>
      <c r="M458" s="2266">
        <v>599</v>
      </c>
    </row>
    <row r="459" spans="1:13" ht="15">
      <c r="A459" s="2266" t="s">
        <v>4082</v>
      </c>
      <c r="B459" s="1694" t="str">
        <f>CONCATENATE(LEFT(RIGHT(CONCATENATE("000",IFAData_TEA!A459),6),3),"-",(RIGHT(RIGHT(CONCATENATE("000",IFAData_TEA!A459),6),3)))</f>
        <v>043-905</v>
      </c>
      <c r="C459" s="2266" t="s">
        <v>1667</v>
      </c>
      <c r="D459" s="2266">
        <v>2</v>
      </c>
      <c r="E459" s="2266">
        <v>1830</v>
      </c>
      <c r="F459" s="2266" t="s">
        <v>5127</v>
      </c>
      <c r="G459" s="2266" t="s">
        <v>5123</v>
      </c>
      <c r="H459" s="2436">
        <v>364536</v>
      </c>
      <c r="I459" s="2436">
        <v>21607</v>
      </c>
      <c r="J459" s="2446">
        <v>1.7591165582636632E-2</v>
      </c>
      <c r="K459" s="2436">
        <v>6412.6131368320275</v>
      </c>
      <c r="L459" s="2436">
        <v>6412.6131368320275</v>
      </c>
      <c r="M459" s="2266">
        <v>599</v>
      </c>
    </row>
    <row r="460" spans="1:13" ht="15">
      <c r="A460" s="2266" t="s">
        <v>4082</v>
      </c>
      <c r="B460" s="1694" t="str">
        <f>CONCATENATE(LEFT(RIGHT(CONCATENATE("000",IFAData_TEA!A460),6),3),"-",(RIGHT(RIGHT(CONCATENATE("000",IFAData_TEA!A460),6),3)))</f>
        <v>043-905</v>
      </c>
      <c r="C460" s="2266" t="s">
        <v>1667</v>
      </c>
      <c r="D460" s="2266">
        <v>1</v>
      </c>
      <c r="E460" s="2266">
        <v>1831</v>
      </c>
      <c r="F460" s="2266" t="s">
        <v>5119</v>
      </c>
      <c r="G460" s="2266" t="s">
        <v>5122</v>
      </c>
      <c r="H460" s="2436">
        <v>569214</v>
      </c>
      <c r="I460" s="2436">
        <v>484843</v>
      </c>
      <c r="J460" s="2446">
        <v>0.79830178334153845</v>
      </c>
      <c r="K460" s="2436">
        <v>454404.55130297045</v>
      </c>
      <c r="L460" s="2436">
        <v>454404.55130297045</v>
      </c>
      <c r="M460" s="2266">
        <v>599</v>
      </c>
    </row>
    <row r="461" spans="1:13" ht="15">
      <c r="A461" s="2266" t="s">
        <v>4082</v>
      </c>
      <c r="B461" s="1694" t="str">
        <f>CONCATENATE(LEFT(RIGHT(CONCATENATE("000",IFAData_TEA!A461),6),3),"-",(RIGHT(RIGHT(CONCATENATE("000",IFAData_TEA!A461),6),3)))</f>
        <v>043-905</v>
      </c>
      <c r="C461" s="2266" t="s">
        <v>1667</v>
      </c>
      <c r="D461" s="2266">
        <v>1</v>
      </c>
      <c r="E461" s="2266">
        <v>1831</v>
      </c>
      <c r="F461" s="2266" t="s">
        <v>5119</v>
      </c>
      <c r="G461" s="2266" t="s">
        <v>5123</v>
      </c>
      <c r="H461" s="2436">
        <v>569214</v>
      </c>
      <c r="I461" s="2436">
        <v>9092</v>
      </c>
      <c r="J461" s="2446">
        <v>1.4970123966193733E-2</v>
      </c>
      <c r="K461" s="2436">
        <v>8521.204143293</v>
      </c>
      <c r="L461" s="2436">
        <v>8521.204143293</v>
      </c>
      <c r="M461" s="2266">
        <v>599</v>
      </c>
    </row>
    <row r="462" spans="1:13" ht="15">
      <c r="A462" s="2266" t="s">
        <v>4082</v>
      </c>
      <c r="B462" s="1694" t="str">
        <f>CONCATENATE(LEFT(RIGHT(CONCATENATE("000",IFAData_TEA!A462),6),3),"-",(RIGHT(RIGHT(CONCATENATE("000",IFAData_TEA!A462),6),3)))</f>
        <v>043-905</v>
      </c>
      <c r="C462" s="2266" t="s">
        <v>1667</v>
      </c>
      <c r="D462" s="2266">
        <v>1</v>
      </c>
      <c r="E462" s="2266">
        <v>1831</v>
      </c>
      <c r="F462" s="2266" t="s">
        <v>5119</v>
      </c>
      <c r="G462" s="2266" t="s">
        <v>5119</v>
      </c>
      <c r="H462" s="2436">
        <v>569214</v>
      </c>
      <c r="I462" s="2436">
        <v>0</v>
      </c>
      <c r="J462" s="2446">
        <v>0</v>
      </c>
      <c r="K462" s="2436">
        <v>0</v>
      </c>
      <c r="L462" s="2436">
        <v>0</v>
      </c>
      <c r="M462" s="2266">
        <v>599</v>
      </c>
    </row>
    <row r="463" spans="1:13" ht="15">
      <c r="A463" s="2266" t="s">
        <v>4082</v>
      </c>
      <c r="B463" s="1694" t="str">
        <f>CONCATENATE(LEFT(RIGHT(CONCATENATE("000",IFAData_TEA!A463),6),3),"-",(RIGHT(RIGHT(CONCATENATE("000",IFAData_TEA!A463),6),3)))</f>
        <v>043-905</v>
      </c>
      <c r="C463" s="2266" t="s">
        <v>1667</v>
      </c>
      <c r="D463" s="2266">
        <v>1</v>
      </c>
      <c r="E463" s="2266">
        <v>1831</v>
      </c>
      <c r="F463" s="2266" t="s">
        <v>5119</v>
      </c>
      <c r="G463" s="2266" t="s">
        <v>5120</v>
      </c>
      <c r="H463" s="2436">
        <v>569214</v>
      </c>
      <c r="I463" s="2436">
        <v>0</v>
      </c>
      <c r="J463" s="2446">
        <v>0</v>
      </c>
      <c r="K463" s="2436">
        <v>0</v>
      </c>
      <c r="L463" s="2436">
        <v>0</v>
      </c>
      <c r="M463" s="2266">
        <v>599</v>
      </c>
    </row>
    <row r="464" spans="1:13" ht="15">
      <c r="A464" s="2266" t="s">
        <v>4082</v>
      </c>
      <c r="B464" s="1694" t="str">
        <f>CONCATENATE(LEFT(RIGHT(CONCATENATE("000",IFAData_TEA!A464),6),3),"-",(RIGHT(RIGHT(CONCATENATE("000",IFAData_TEA!A464),6),3)))</f>
        <v>043-905</v>
      </c>
      <c r="C464" s="2266" t="s">
        <v>1667</v>
      </c>
      <c r="D464" s="2266">
        <v>1</v>
      </c>
      <c r="E464" s="2266">
        <v>1831</v>
      </c>
      <c r="F464" s="2266" t="s">
        <v>5119</v>
      </c>
      <c r="G464" s="2266" t="s">
        <v>5121</v>
      </c>
      <c r="H464" s="2436">
        <v>569214</v>
      </c>
      <c r="I464" s="2436">
        <v>0</v>
      </c>
      <c r="J464" s="2446">
        <v>0</v>
      </c>
      <c r="K464" s="2436">
        <v>0</v>
      </c>
      <c r="L464" s="2436">
        <v>0</v>
      </c>
      <c r="M464" s="2266">
        <v>599</v>
      </c>
    </row>
    <row r="465" spans="1:13" ht="15">
      <c r="A465" s="2266" t="s">
        <v>4082</v>
      </c>
      <c r="B465" s="1694" t="str">
        <f>CONCATENATE(LEFT(RIGHT(CONCATENATE("000",IFAData_TEA!A465),6),3),"-",(RIGHT(RIGHT(CONCATENATE("000",IFAData_TEA!A465),6),3)))</f>
        <v>043-905</v>
      </c>
      <c r="C465" s="2266" t="s">
        <v>1667</v>
      </c>
      <c r="D465" s="2266">
        <v>2</v>
      </c>
      <c r="E465" s="2266">
        <v>1830</v>
      </c>
      <c r="F465" s="2266" t="s">
        <v>5127</v>
      </c>
      <c r="G465" s="2266" t="s">
        <v>5121</v>
      </c>
      <c r="H465" s="2436">
        <v>364536</v>
      </c>
      <c r="I465" s="2436">
        <v>0</v>
      </c>
      <c r="J465" s="2446">
        <v>0</v>
      </c>
      <c r="K465" s="2436">
        <v>0</v>
      </c>
      <c r="L465" s="2436">
        <v>0</v>
      </c>
      <c r="M465" s="2266">
        <v>599</v>
      </c>
    </row>
    <row r="466" spans="1:13" ht="15">
      <c r="A466" s="2266" t="s">
        <v>4082</v>
      </c>
      <c r="B466" s="1694" t="str">
        <f>CONCATENATE(LEFT(RIGHT(CONCATENATE("000",IFAData_TEA!A466),6),3),"-",(RIGHT(RIGHT(CONCATENATE("000",IFAData_TEA!A466),6),3)))</f>
        <v>043-905</v>
      </c>
      <c r="C466" s="2266" t="s">
        <v>1667</v>
      </c>
      <c r="D466" s="2266">
        <v>2</v>
      </c>
      <c r="E466" s="2266">
        <v>1830</v>
      </c>
      <c r="F466" s="2266" t="s">
        <v>5127</v>
      </c>
      <c r="G466" s="2266" t="s">
        <v>5127</v>
      </c>
      <c r="H466" s="2436">
        <v>364536</v>
      </c>
      <c r="I466" s="2436">
        <v>0</v>
      </c>
      <c r="J466" s="2446">
        <v>0</v>
      </c>
      <c r="K466" s="2436">
        <v>0</v>
      </c>
      <c r="L466" s="2436">
        <v>0</v>
      </c>
      <c r="M466" s="2266">
        <v>599</v>
      </c>
    </row>
    <row r="467" spans="1:13" ht="15">
      <c r="A467" s="2266" t="s">
        <v>4082</v>
      </c>
      <c r="B467" s="1694" t="str">
        <f>CONCATENATE(LEFT(RIGHT(CONCATENATE("000",IFAData_TEA!A467),6),3),"-",(RIGHT(RIGHT(CONCATENATE("000",IFAData_TEA!A467),6),3)))</f>
        <v>043-905</v>
      </c>
      <c r="C467" s="2266" t="s">
        <v>1667</v>
      </c>
      <c r="D467" s="2266">
        <v>2</v>
      </c>
      <c r="E467" s="2266">
        <v>1830</v>
      </c>
      <c r="F467" s="2266" t="s">
        <v>5127</v>
      </c>
      <c r="G467" s="2266" t="s">
        <v>5120</v>
      </c>
      <c r="H467" s="2436">
        <v>364536</v>
      </c>
      <c r="I467" s="2436">
        <v>0</v>
      </c>
      <c r="J467" s="2446">
        <v>0</v>
      </c>
      <c r="K467" s="2436">
        <v>0</v>
      </c>
      <c r="L467" s="2436">
        <v>0</v>
      </c>
      <c r="M467" s="2266">
        <v>599</v>
      </c>
    </row>
    <row r="468" spans="1:13" ht="15">
      <c r="A468" s="2266" t="s">
        <v>4082</v>
      </c>
      <c r="B468" s="1694" t="str">
        <f>CONCATENATE(LEFT(RIGHT(CONCATENATE("000",IFAData_TEA!A468),6),3),"-",(RIGHT(RIGHT(CONCATENATE("000",IFAData_TEA!A468),6),3)))</f>
        <v>043-905</v>
      </c>
      <c r="C468" s="2266" t="s">
        <v>1667</v>
      </c>
      <c r="D468" s="2266">
        <v>1</v>
      </c>
      <c r="E468" s="2266">
        <v>1831</v>
      </c>
      <c r="F468" s="2266" t="s">
        <v>5119</v>
      </c>
      <c r="G468" s="2266" t="s">
        <v>5126</v>
      </c>
      <c r="H468" s="2436">
        <v>569214</v>
      </c>
      <c r="I468" s="2436">
        <v>107939</v>
      </c>
      <c r="J468" s="2446">
        <v>0.17772329639100146</v>
      </c>
      <c r="K468" s="2436">
        <v>101162.5884319075</v>
      </c>
      <c r="L468" s="2436">
        <v>101162.5884319075</v>
      </c>
      <c r="M468" s="2266">
        <v>599</v>
      </c>
    </row>
    <row r="469" spans="1:13" ht="15">
      <c r="A469" s="2266" t="s">
        <v>4082</v>
      </c>
      <c r="B469" s="1694" t="str">
        <f>CONCATENATE(LEFT(RIGHT(CONCATENATE("000",IFAData_TEA!A469),6),3),"-",(RIGHT(RIGHT(CONCATENATE("000",IFAData_TEA!A469),6),3)))</f>
        <v>043-905</v>
      </c>
      <c r="C469" s="2266" t="s">
        <v>1667</v>
      </c>
      <c r="D469" s="2266">
        <v>1</v>
      </c>
      <c r="E469" s="2266">
        <v>1831</v>
      </c>
      <c r="F469" s="2266" t="s">
        <v>5119</v>
      </c>
      <c r="G469" s="2266" t="s">
        <v>6939</v>
      </c>
      <c r="H469" s="2436">
        <v>569214</v>
      </c>
      <c r="I469" s="2436">
        <v>0</v>
      </c>
      <c r="J469" s="2446">
        <v>0</v>
      </c>
      <c r="K469" s="2436">
        <v>0</v>
      </c>
      <c r="L469" s="2436">
        <v>0</v>
      </c>
      <c r="M469" s="2266">
        <v>599</v>
      </c>
    </row>
    <row r="470" spans="1:13" ht="15">
      <c r="A470" s="2266" t="s">
        <v>4082</v>
      </c>
      <c r="B470" s="1694" t="str">
        <f>CONCATENATE(LEFT(RIGHT(CONCATENATE("000",IFAData_TEA!A470),6),3),"-",(RIGHT(RIGHT(CONCATENATE("000",IFAData_TEA!A470),6),3)))</f>
        <v>043-905</v>
      </c>
      <c r="C470" s="2266" t="s">
        <v>1667</v>
      </c>
      <c r="D470" s="2266">
        <v>1</v>
      </c>
      <c r="E470" s="2266">
        <v>1831</v>
      </c>
      <c r="F470" s="2266" t="s">
        <v>5119</v>
      </c>
      <c r="G470" s="2266" t="s">
        <v>5124</v>
      </c>
      <c r="H470" s="2436">
        <v>569214</v>
      </c>
      <c r="I470" s="2436">
        <v>5230</v>
      </c>
      <c r="J470" s="2446">
        <v>8.6112789642755413E-3</v>
      </c>
      <c r="K470" s="2436">
        <v>4901.6605443711378</v>
      </c>
      <c r="L470" s="2436">
        <v>4901.6605443711378</v>
      </c>
      <c r="M470" s="2266">
        <v>599</v>
      </c>
    </row>
    <row r="471" spans="1:13" ht="15">
      <c r="A471" s="2266" t="s">
        <v>4083</v>
      </c>
      <c r="B471" s="1694" t="str">
        <f>CONCATENATE(LEFT(RIGHT(CONCATENATE("000",IFAData_TEA!A471),6),3),"-",(RIGHT(RIGHT(CONCATENATE("000",IFAData_TEA!A471),6),3)))</f>
        <v>043-907</v>
      </c>
      <c r="C471" s="2266" t="s">
        <v>928</v>
      </c>
      <c r="D471" s="2266">
        <v>1</v>
      </c>
      <c r="E471" s="2266">
        <v>2082</v>
      </c>
      <c r="F471" s="2266" t="s">
        <v>5129</v>
      </c>
      <c r="G471" s="2266" t="s">
        <v>6940</v>
      </c>
      <c r="H471" s="2436">
        <v>1347187</v>
      </c>
      <c r="I471" s="2436">
        <v>410018</v>
      </c>
      <c r="J471" s="2446">
        <v>0.23938910582168746</v>
      </c>
      <c r="K471" s="2436">
        <v>322501.89130460168</v>
      </c>
      <c r="L471" s="2436">
        <v>322501.89130460168</v>
      </c>
      <c r="M471" s="2266">
        <v>599</v>
      </c>
    </row>
    <row r="472" spans="1:13" ht="15">
      <c r="A472" s="2266" t="s">
        <v>4083</v>
      </c>
      <c r="B472" s="1694" t="str">
        <f>CONCATENATE(LEFT(RIGHT(CONCATENATE("000",IFAData_TEA!A472),6),3),"-",(RIGHT(RIGHT(CONCATENATE("000",IFAData_TEA!A472),6),3)))</f>
        <v>043-907</v>
      </c>
      <c r="C472" s="2266" t="s">
        <v>928</v>
      </c>
      <c r="D472" s="2266">
        <v>1</v>
      </c>
      <c r="E472" s="2266">
        <v>2082</v>
      </c>
      <c r="F472" s="2266" t="s">
        <v>5129</v>
      </c>
      <c r="G472" s="2266" t="s">
        <v>5130</v>
      </c>
      <c r="H472" s="2436">
        <v>1347187</v>
      </c>
      <c r="I472" s="2436">
        <v>1302750</v>
      </c>
      <c r="J472" s="2446">
        <v>0.76061089417831251</v>
      </c>
      <c r="K472" s="2436">
        <v>1024685.1086953983</v>
      </c>
      <c r="L472" s="2436">
        <v>1024685.1086953983</v>
      </c>
      <c r="M472" s="2266">
        <v>599</v>
      </c>
    </row>
    <row r="473" spans="1:13" ht="15">
      <c r="A473" s="2266" t="s">
        <v>4083</v>
      </c>
      <c r="B473" s="1694" t="str">
        <f>CONCATENATE(LEFT(RIGHT(CONCATENATE("000",IFAData_TEA!A473),6),3),"-",(RIGHT(RIGHT(CONCATENATE("000",IFAData_TEA!A473),6),3)))</f>
        <v>043-907</v>
      </c>
      <c r="C473" s="2266" t="s">
        <v>928</v>
      </c>
      <c r="D473" s="2266">
        <v>1</v>
      </c>
      <c r="E473" s="2266">
        <v>2082</v>
      </c>
      <c r="F473" s="2266" t="s">
        <v>5129</v>
      </c>
      <c r="G473" s="2266" t="s">
        <v>5129</v>
      </c>
      <c r="H473" s="2436">
        <v>1347187</v>
      </c>
      <c r="I473" s="2436">
        <v>0</v>
      </c>
      <c r="J473" s="2446">
        <v>0</v>
      </c>
      <c r="K473" s="2436">
        <v>0</v>
      </c>
      <c r="L473" s="2436">
        <v>0</v>
      </c>
      <c r="M473" s="2266">
        <v>599</v>
      </c>
    </row>
    <row r="474" spans="1:13" ht="15">
      <c r="A474" s="2266" t="s">
        <v>4084</v>
      </c>
      <c r="B474" s="1694" t="str">
        <f>CONCATENATE(LEFT(RIGHT(CONCATENATE("000",IFAData_TEA!A474),6),3),"-",(RIGHT(RIGHT(CONCATENATE("000",IFAData_TEA!A474),6),3)))</f>
        <v>043-908</v>
      </c>
      <c r="C474" s="2266" t="s">
        <v>2518</v>
      </c>
      <c r="D474" s="2266">
        <v>10</v>
      </c>
      <c r="E474" s="2266">
        <v>2088</v>
      </c>
      <c r="F474" s="2266" t="s">
        <v>5132</v>
      </c>
      <c r="G474" s="2266" t="s">
        <v>5132</v>
      </c>
      <c r="H474" s="2436">
        <v>121098</v>
      </c>
      <c r="I474" s="2436">
        <v>226098</v>
      </c>
      <c r="J474" s="2446">
        <v>1</v>
      </c>
      <c r="K474" s="2436">
        <v>121098</v>
      </c>
      <c r="L474" s="2436">
        <v>121098</v>
      </c>
      <c r="M474" s="2266">
        <v>599</v>
      </c>
    </row>
    <row r="475" spans="1:13" ht="15">
      <c r="A475" s="2266" t="s">
        <v>4084</v>
      </c>
      <c r="B475" s="1694" t="str">
        <f>CONCATENATE(LEFT(RIGHT(CONCATENATE("000",IFAData_TEA!A475),6),3),"-",(RIGHT(RIGHT(CONCATENATE("000",IFAData_TEA!A475),6),3)))</f>
        <v>043-908</v>
      </c>
      <c r="C475" s="2266" t="s">
        <v>2518</v>
      </c>
      <c r="D475" s="2266">
        <v>9</v>
      </c>
      <c r="E475" s="2266">
        <v>2089</v>
      </c>
      <c r="F475" s="2266" t="s">
        <v>5131</v>
      </c>
      <c r="G475" s="2266" t="s">
        <v>5131</v>
      </c>
      <c r="H475" s="2436">
        <v>334507</v>
      </c>
      <c r="I475" s="2436">
        <v>610422</v>
      </c>
      <c r="J475" s="2446">
        <v>1</v>
      </c>
      <c r="K475" s="2436">
        <v>334507</v>
      </c>
      <c r="L475" s="2436">
        <v>334507</v>
      </c>
      <c r="M475" s="2266">
        <v>599</v>
      </c>
    </row>
    <row r="476" spans="1:13" ht="15">
      <c r="A476" s="2266" t="s">
        <v>4085</v>
      </c>
      <c r="B476" s="1694" t="str">
        <f>CONCATENATE(LEFT(RIGHT(CONCATENATE("000",IFAData_TEA!A476),6),3),"-",(RIGHT(RIGHT(CONCATENATE("000",IFAData_TEA!A476),6),3)))</f>
        <v>043-911</v>
      </c>
      <c r="C476" s="2266" t="s">
        <v>87</v>
      </c>
      <c r="D476" s="2266">
        <v>6</v>
      </c>
      <c r="E476" s="2266">
        <v>2215</v>
      </c>
      <c r="F476" s="2266" t="s">
        <v>5135</v>
      </c>
      <c r="G476" s="2266" t="s">
        <v>5137</v>
      </c>
      <c r="H476" s="2436">
        <v>556250</v>
      </c>
      <c r="I476" s="2436">
        <v>528628</v>
      </c>
      <c r="J476" s="2446">
        <v>0.32759017083238573</v>
      </c>
      <c r="K476" s="2436">
        <v>182222.03252551457</v>
      </c>
      <c r="L476" s="2436">
        <v>182222.03252551457</v>
      </c>
      <c r="M476" s="2266">
        <v>599</v>
      </c>
    </row>
    <row r="477" spans="1:13" ht="15">
      <c r="A477" s="2266" t="s">
        <v>4085</v>
      </c>
      <c r="B477" s="1694" t="str">
        <f>CONCATENATE(LEFT(RIGHT(CONCATENATE("000",IFAData_TEA!A477),6),3),"-",(RIGHT(RIGHT(CONCATENATE("000",IFAData_TEA!A477),6),3)))</f>
        <v>043-911</v>
      </c>
      <c r="C477" s="2266" t="s">
        <v>87</v>
      </c>
      <c r="D477" s="2266">
        <v>2</v>
      </c>
      <c r="E477" s="2266">
        <v>2214</v>
      </c>
      <c r="F477" s="2266" t="s">
        <v>5133</v>
      </c>
      <c r="G477" s="2266" t="s">
        <v>5134</v>
      </c>
      <c r="H477" s="2436">
        <v>470750</v>
      </c>
      <c r="I477" s="2436">
        <v>321633</v>
      </c>
      <c r="J477" s="2446">
        <v>1</v>
      </c>
      <c r="K477" s="2436">
        <v>470750</v>
      </c>
      <c r="L477" s="2436">
        <v>321633</v>
      </c>
      <c r="M477" s="2266">
        <v>599</v>
      </c>
    </row>
    <row r="478" spans="1:13" ht="15">
      <c r="A478" s="2266" t="s">
        <v>4085</v>
      </c>
      <c r="B478" s="1694" t="str">
        <f>CONCATENATE(LEFT(RIGHT(CONCATENATE("000",IFAData_TEA!A478),6),3),"-",(RIGHT(RIGHT(CONCATENATE("000",IFAData_TEA!A478),6),3)))</f>
        <v>043-911</v>
      </c>
      <c r="C478" s="2266" t="s">
        <v>87</v>
      </c>
      <c r="D478" s="2266">
        <v>10</v>
      </c>
      <c r="E478" s="2266">
        <v>2213</v>
      </c>
      <c r="F478" s="2266" t="s">
        <v>5139</v>
      </c>
      <c r="G478" s="2266" t="s">
        <v>5139</v>
      </c>
      <c r="H478" s="2436">
        <v>251143</v>
      </c>
      <c r="I478" s="2436">
        <v>247375</v>
      </c>
      <c r="J478" s="2446">
        <v>1</v>
      </c>
      <c r="K478" s="2436">
        <v>251143</v>
      </c>
      <c r="L478" s="2436">
        <v>247375</v>
      </c>
      <c r="M478" s="2266">
        <v>599</v>
      </c>
    </row>
    <row r="479" spans="1:13" ht="15">
      <c r="A479" s="2266" t="s">
        <v>4085</v>
      </c>
      <c r="B479" s="1694" t="str">
        <f>CONCATENATE(LEFT(RIGHT(CONCATENATE("000",IFAData_TEA!A479),6),3),"-",(RIGHT(RIGHT(CONCATENATE("000",IFAData_TEA!A479),6),3)))</f>
        <v>043-911</v>
      </c>
      <c r="C479" s="2266" t="s">
        <v>87</v>
      </c>
      <c r="D479" s="2266">
        <v>6</v>
      </c>
      <c r="E479" s="2266">
        <v>2215</v>
      </c>
      <c r="F479" s="2266" t="s">
        <v>5135</v>
      </c>
      <c r="G479" s="2266" t="s">
        <v>5135</v>
      </c>
      <c r="H479" s="2436">
        <v>556250</v>
      </c>
      <c r="I479" s="2436">
        <v>0</v>
      </c>
      <c r="J479" s="2446">
        <v>0</v>
      </c>
      <c r="K479" s="2436">
        <v>0</v>
      </c>
      <c r="L479" s="2436">
        <v>0</v>
      </c>
      <c r="M479" s="2266">
        <v>599</v>
      </c>
    </row>
    <row r="480" spans="1:13" ht="15">
      <c r="A480" s="2266" t="s">
        <v>4085</v>
      </c>
      <c r="B480" s="1694" t="str">
        <f>CONCATENATE(LEFT(RIGHT(CONCATENATE("000",IFAData_TEA!A480),6),3),"-",(RIGHT(RIGHT(CONCATENATE("000",IFAData_TEA!A480),6),3)))</f>
        <v>043-911</v>
      </c>
      <c r="C480" s="2266" t="s">
        <v>87</v>
      </c>
      <c r="D480" s="2266">
        <v>2</v>
      </c>
      <c r="E480" s="2266">
        <v>2214</v>
      </c>
      <c r="F480" s="2266" t="s">
        <v>5133</v>
      </c>
      <c r="G480" s="2266" t="s">
        <v>5133</v>
      </c>
      <c r="H480" s="2436">
        <v>470750</v>
      </c>
      <c r="I480" s="2436">
        <v>0</v>
      </c>
      <c r="J480" s="2446">
        <v>0</v>
      </c>
      <c r="K480" s="2436">
        <v>0</v>
      </c>
      <c r="L480" s="2436">
        <v>0</v>
      </c>
      <c r="M480" s="2266">
        <v>599</v>
      </c>
    </row>
    <row r="481" spans="1:13" ht="15">
      <c r="A481" s="2266" t="s">
        <v>4085</v>
      </c>
      <c r="B481" s="1694" t="str">
        <f>CONCATENATE(LEFT(RIGHT(CONCATENATE("000",IFAData_TEA!A481),6),3),"-",(RIGHT(RIGHT(CONCATENATE("000",IFAData_TEA!A481),6),3)))</f>
        <v>043-911</v>
      </c>
      <c r="C481" s="2266" t="s">
        <v>87</v>
      </c>
      <c r="D481" s="2266">
        <v>6</v>
      </c>
      <c r="E481" s="2266">
        <v>2215</v>
      </c>
      <c r="F481" s="2266" t="s">
        <v>5135</v>
      </c>
      <c r="G481" s="2266" t="s">
        <v>5136</v>
      </c>
      <c r="H481" s="2436">
        <v>556250</v>
      </c>
      <c r="I481" s="2436">
        <v>934202</v>
      </c>
      <c r="J481" s="2446">
        <v>0.57892391771142726</v>
      </c>
      <c r="K481" s="2436">
        <v>322026.42922698142</v>
      </c>
      <c r="L481" s="2436">
        <v>322026.42922698142</v>
      </c>
      <c r="M481" s="2266">
        <v>599</v>
      </c>
    </row>
    <row r="482" spans="1:13" ht="15">
      <c r="A482" s="2266" t="s">
        <v>4085</v>
      </c>
      <c r="B482" s="1694" t="str">
        <f>CONCATENATE(LEFT(RIGHT(CONCATENATE("000",IFAData_TEA!A482),6),3),"-",(RIGHT(RIGHT(CONCATENATE("000",IFAData_TEA!A482),6),3)))</f>
        <v>043-911</v>
      </c>
      <c r="C482" s="2266" t="s">
        <v>87</v>
      </c>
      <c r="D482" s="2266">
        <v>9</v>
      </c>
      <c r="E482" s="2266">
        <v>2216</v>
      </c>
      <c r="F482" s="2266" t="s">
        <v>5138</v>
      </c>
      <c r="G482" s="2266" t="s">
        <v>5138</v>
      </c>
      <c r="H482" s="2436">
        <v>607244</v>
      </c>
      <c r="I482" s="2436">
        <v>520543</v>
      </c>
      <c r="J482" s="2446">
        <v>1</v>
      </c>
      <c r="K482" s="2436">
        <v>607244</v>
      </c>
      <c r="L482" s="2436">
        <v>520543</v>
      </c>
      <c r="M482" s="2266">
        <v>599</v>
      </c>
    </row>
    <row r="483" spans="1:13" ht="15">
      <c r="A483" s="2266" t="s">
        <v>4085</v>
      </c>
      <c r="B483" s="1694" t="str">
        <f>CONCATENATE(LEFT(RIGHT(CONCATENATE("000",IFAData_TEA!A483),6),3),"-",(RIGHT(RIGHT(CONCATENATE("000",IFAData_TEA!A483),6),3)))</f>
        <v>043-911</v>
      </c>
      <c r="C483" s="2266" t="s">
        <v>87</v>
      </c>
      <c r="D483" s="2266">
        <v>6</v>
      </c>
      <c r="E483" s="2266">
        <v>2215</v>
      </c>
      <c r="F483" s="2266" t="s">
        <v>5135</v>
      </c>
      <c r="G483" s="2266" t="s">
        <v>6941</v>
      </c>
      <c r="H483" s="2436">
        <v>556250</v>
      </c>
      <c r="I483" s="2436">
        <v>150857</v>
      </c>
      <c r="J483" s="2446">
        <v>9.3485911456186982E-2</v>
      </c>
      <c r="K483" s="2436">
        <v>52001.53824750401</v>
      </c>
      <c r="L483" s="2436">
        <v>52001.53824750401</v>
      </c>
      <c r="M483" s="2266">
        <v>599</v>
      </c>
    </row>
    <row r="484" spans="1:13" ht="15">
      <c r="A484" s="2266" t="s">
        <v>4086</v>
      </c>
      <c r="B484" s="1694" t="str">
        <f>CONCATENATE(LEFT(RIGHT(CONCATENATE("000",IFAData_TEA!A484),6),3),"-",(RIGHT(RIGHT(CONCATENATE("000",IFAData_TEA!A484),6),3)))</f>
        <v>043-912</v>
      </c>
      <c r="C484" s="2266" t="s">
        <v>89</v>
      </c>
      <c r="D484" s="2266">
        <v>2</v>
      </c>
      <c r="E484" s="2266">
        <v>2222</v>
      </c>
      <c r="F484" s="2266" t="s">
        <v>5140</v>
      </c>
      <c r="G484" s="2266" t="s">
        <v>6942</v>
      </c>
      <c r="H484" s="2436">
        <v>210750</v>
      </c>
      <c r="I484" s="2436">
        <v>120893</v>
      </c>
      <c r="J484" s="2446">
        <v>9.6197090525987447E-2</v>
      </c>
      <c r="K484" s="2436">
        <v>20273.536828351855</v>
      </c>
      <c r="L484" s="2436">
        <v>20273.536828351855</v>
      </c>
      <c r="M484" s="2266">
        <v>599</v>
      </c>
    </row>
    <row r="485" spans="1:13" ht="15">
      <c r="A485" s="2266" t="s">
        <v>4086</v>
      </c>
      <c r="B485" s="1694" t="str">
        <f>CONCATENATE(LEFT(RIGHT(CONCATENATE("000",IFAData_TEA!A485),6),3),"-",(RIGHT(RIGHT(CONCATENATE("000",IFAData_TEA!A485),6),3)))</f>
        <v>043-912</v>
      </c>
      <c r="C485" s="2266" t="s">
        <v>89</v>
      </c>
      <c r="D485" s="2266">
        <v>2</v>
      </c>
      <c r="E485" s="2266">
        <v>2222</v>
      </c>
      <c r="F485" s="2266" t="s">
        <v>5140</v>
      </c>
      <c r="G485" s="2266" t="s">
        <v>5142</v>
      </c>
      <c r="H485" s="2436">
        <v>210750</v>
      </c>
      <c r="I485" s="2436">
        <v>1004960</v>
      </c>
      <c r="J485" s="2446">
        <v>0.799667706939164</v>
      </c>
      <c r="K485" s="2436">
        <v>168529.96923742883</v>
      </c>
      <c r="L485" s="2436">
        <v>168529.96923742883</v>
      </c>
      <c r="M485" s="2266">
        <v>599</v>
      </c>
    </row>
    <row r="486" spans="1:13" ht="15">
      <c r="A486" s="2266" t="s">
        <v>4086</v>
      </c>
      <c r="B486" s="1694" t="str">
        <f>CONCATENATE(LEFT(RIGHT(CONCATENATE("000",IFAData_TEA!A486),6),3),"-",(RIGHT(RIGHT(CONCATENATE("000",IFAData_TEA!A486),6),3)))</f>
        <v>043-912</v>
      </c>
      <c r="C486" s="2266" t="s">
        <v>89</v>
      </c>
      <c r="D486" s="2266">
        <v>2</v>
      </c>
      <c r="E486" s="2266">
        <v>2222</v>
      </c>
      <c r="F486" s="2266" t="s">
        <v>5140</v>
      </c>
      <c r="G486" s="2266" t="s">
        <v>5143</v>
      </c>
      <c r="H486" s="2436">
        <v>210750</v>
      </c>
      <c r="I486" s="2436">
        <v>970</v>
      </c>
      <c r="J486" s="2446">
        <v>7.7184930318718056E-4</v>
      </c>
      <c r="K486" s="2436">
        <v>162.6672406466983</v>
      </c>
      <c r="L486" s="2436">
        <v>162.6672406466983</v>
      </c>
      <c r="M486" s="2266">
        <v>599</v>
      </c>
    </row>
    <row r="487" spans="1:13" ht="15">
      <c r="A487" s="2266" t="s">
        <v>4086</v>
      </c>
      <c r="B487" s="1694" t="str">
        <f>CONCATENATE(LEFT(RIGHT(CONCATENATE("000",IFAData_TEA!A487),6),3),"-",(RIGHT(RIGHT(CONCATENATE("000",IFAData_TEA!A487),6),3)))</f>
        <v>043-912</v>
      </c>
      <c r="C487" s="2266" t="s">
        <v>89</v>
      </c>
      <c r="D487" s="2266">
        <v>2</v>
      </c>
      <c r="E487" s="2266">
        <v>2222</v>
      </c>
      <c r="F487" s="2266" t="s">
        <v>5140</v>
      </c>
      <c r="G487" s="2266" t="s">
        <v>5140</v>
      </c>
      <c r="H487" s="2436">
        <v>210750</v>
      </c>
      <c r="I487" s="2436">
        <v>0</v>
      </c>
      <c r="J487" s="2446">
        <v>0</v>
      </c>
      <c r="K487" s="2436">
        <v>0</v>
      </c>
      <c r="L487" s="2436">
        <v>0</v>
      </c>
      <c r="M487" s="2266">
        <v>599</v>
      </c>
    </row>
    <row r="488" spans="1:13" ht="15">
      <c r="A488" s="2266" t="s">
        <v>4086</v>
      </c>
      <c r="B488" s="1694" t="str">
        <f>CONCATENATE(LEFT(RIGHT(CONCATENATE("000",IFAData_TEA!A488),6),3),"-",(RIGHT(RIGHT(CONCATENATE("000",IFAData_TEA!A488),6),3)))</f>
        <v>043-912</v>
      </c>
      <c r="C488" s="2266" t="s">
        <v>89</v>
      </c>
      <c r="D488" s="2266">
        <v>2</v>
      </c>
      <c r="E488" s="2266">
        <v>2222</v>
      </c>
      <c r="F488" s="2266" t="s">
        <v>5140</v>
      </c>
      <c r="G488" s="2266" t="s">
        <v>5141</v>
      </c>
      <c r="H488" s="2436">
        <v>210750</v>
      </c>
      <c r="I488" s="2436">
        <v>129899</v>
      </c>
      <c r="J488" s="2446">
        <v>0.10336335323166142</v>
      </c>
      <c r="K488" s="2436">
        <v>21783.826693572642</v>
      </c>
      <c r="L488" s="2436">
        <v>21783.826693572642</v>
      </c>
      <c r="M488" s="2266">
        <v>599</v>
      </c>
    </row>
    <row r="489" spans="1:13" ht="15">
      <c r="A489" s="2266" t="s">
        <v>4087</v>
      </c>
      <c r="B489" s="1694" t="str">
        <f>CONCATENATE(LEFT(RIGHT(CONCATENATE("000",IFAData_TEA!A489),6),3),"-",(RIGHT(RIGHT(CONCATENATE("000",IFAData_TEA!A489),6),3)))</f>
        <v>043-914</v>
      </c>
      <c r="C489" s="2266" t="s">
        <v>1293</v>
      </c>
      <c r="D489" s="2266">
        <v>5</v>
      </c>
      <c r="E489" s="2266">
        <v>2463</v>
      </c>
      <c r="F489" s="2266" t="s">
        <v>5144</v>
      </c>
      <c r="G489" s="2266" t="s">
        <v>5148</v>
      </c>
      <c r="H489" s="2436">
        <v>440511</v>
      </c>
      <c r="I489" s="2436">
        <v>27056</v>
      </c>
      <c r="J489" s="2446">
        <v>0.89687406768985978</v>
      </c>
      <c r="K489" s="2436">
        <v>395082.89243212785</v>
      </c>
      <c r="L489" s="2436">
        <v>27056</v>
      </c>
      <c r="M489" s="2266">
        <v>599</v>
      </c>
    </row>
    <row r="490" spans="1:13" ht="15">
      <c r="A490" s="2266" t="s">
        <v>4087</v>
      </c>
      <c r="B490" s="1694" t="str">
        <f>CONCATENATE(LEFT(RIGHT(CONCATENATE("000",IFAData_TEA!A490),6),3),"-",(RIGHT(RIGHT(CONCATENATE("000",IFAData_TEA!A490),6),3)))</f>
        <v>043-914</v>
      </c>
      <c r="C490" s="2266" t="s">
        <v>1293</v>
      </c>
      <c r="D490" s="2266">
        <v>5</v>
      </c>
      <c r="E490" s="2266">
        <v>2463</v>
      </c>
      <c r="F490" s="2266" t="s">
        <v>5144</v>
      </c>
      <c r="G490" s="2266" t="s">
        <v>5147</v>
      </c>
      <c r="H490" s="2436">
        <v>440511</v>
      </c>
      <c r="I490" s="2436">
        <v>3111</v>
      </c>
      <c r="J490" s="2446">
        <v>0.10312593231014022</v>
      </c>
      <c r="K490" s="2436">
        <v>45428.107567872183</v>
      </c>
      <c r="L490" s="2436">
        <v>3111</v>
      </c>
      <c r="M490" s="2266">
        <v>599</v>
      </c>
    </row>
    <row r="491" spans="1:13" ht="15">
      <c r="A491" s="2266" t="s">
        <v>4087</v>
      </c>
      <c r="B491" s="1694" t="str">
        <f>CONCATENATE(LEFT(RIGHT(CONCATENATE("000",IFAData_TEA!A491),6),3),"-",(RIGHT(RIGHT(CONCATENATE("000",IFAData_TEA!A491),6),3)))</f>
        <v>043-914</v>
      </c>
      <c r="C491" s="2266" t="s">
        <v>1293</v>
      </c>
      <c r="D491" s="2266">
        <v>9</v>
      </c>
      <c r="E491" s="2266">
        <v>2465</v>
      </c>
      <c r="F491" s="2266" t="s">
        <v>5149</v>
      </c>
      <c r="G491" s="2266" t="s">
        <v>5148</v>
      </c>
      <c r="H491" s="2436">
        <v>897102</v>
      </c>
      <c r="I491" s="2436">
        <v>1151552</v>
      </c>
      <c r="J491" s="2446">
        <v>0.43721543363433962</v>
      </c>
      <c r="K491" s="2436">
        <v>392226.83994423336</v>
      </c>
      <c r="L491" s="2436">
        <v>392226.83994423336</v>
      </c>
      <c r="M491" s="2266">
        <v>599</v>
      </c>
    </row>
    <row r="492" spans="1:13" ht="15">
      <c r="A492" s="2266" t="s">
        <v>4087</v>
      </c>
      <c r="B492" s="1694" t="str">
        <f>CONCATENATE(LEFT(RIGHT(CONCATENATE("000",IFAData_TEA!A492),6),3),"-",(RIGHT(RIGHT(CONCATENATE("000",IFAData_TEA!A492),6),3)))</f>
        <v>043-914</v>
      </c>
      <c r="C492" s="2266" t="s">
        <v>1293</v>
      </c>
      <c r="D492" s="2266">
        <v>5</v>
      </c>
      <c r="E492" s="2266">
        <v>2463</v>
      </c>
      <c r="F492" s="2266" t="s">
        <v>5144</v>
      </c>
      <c r="G492" s="2266" t="s">
        <v>5146</v>
      </c>
      <c r="H492" s="2436">
        <v>440511</v>
      </c>
      <c r="I492" s="2436">
        <v>0</v>
      </c>
      <c r="J492" s="2446">
        <v>0</v>
      </c>
      <c r="K492" s="2436">
        <v>0</v>
      </c>
      <c r="L492" s="2436">
        <v>0</v>
      </c>
      <c r="M492" s="2266">
        <v>599</v>
      </c>
    </row>
    <row r="493" spans="1:13" ht="15">
      <c r="A493" s="2266" t="s">
        <v>4087</v>
      </c>
      <c r="B493" s="1694" t="str">
        <f>CONCATENATE(LEFT(RIGHT(CONCATENATE("000",IFAData_TEA!A493),6),3),"-",(RIGHT(RIGHT(CONCATENATE("000",IFAData_TEA!A493),6),3)))</f>
        <v>043-914</v>
      </c>
      <c r="C493" s="2266" t="s">
        <v>1293</v>
      </c>
      <c r="D493" s="2266">
        <v>10</v>
      </c>
      <c r="E493" s="2266">
        <v>2462</v>
      </c>
      <c r="F493" s="2266" t="s">
        <v>5151</v>
      </c>
      <c r="G493" s="2266" t="s">
        <v>5151</v>
      </c>
      <c r="H493" s="2436">
        <v>92075</v>
      </c>
      <c r="I493" s="2436">
        <v>0</v>
      </c>
      <c r="J493" s="2446">
        <v>0</v>
      </c>
      <c r="K493" s="2436"/>
      <c r="L493" s="2436">
        <v>0</v>
      </c>
      <c r="M493" s="2266">
        <v>599</v>
      </c>
    </row>
    <row r="494" spans="1:13" ht="15">
      <c r="A494" s="2266" t="s">
        <v>4087</v>
      </c>
      <c r="B494" s="1694" t="str">
        <f>CONCATENATE(LEFT(RIGHT(CONCATENATE("000",IFAData_TEA!A494),6),3),"-",(RIGHT(RIGHT(CONCATENATE("000",IFAData_TEA!A494),6),3)))</f>
        <v>043-914</v>
      </c>
      <c r="C494" s="2266" t="s">
        <v>1293</v>
      </c>
      <c r="D494" s="2266">
        <v>9</v>
      </c>
      <c r="E494" s="2266">
        <v>2465</v>
      </c>
      <c r="F494" s="2266" t="s">
        <v>5149</v>
      </c>
      <c r="G494" s="2266" t="s">
        <v>5149</v>
      </c>
      <c r="H494" s="2436">
        <v>897102</v>
      </c>
      <c r="I494" s="2436">
        <v>1482280</v>
      </c>
      <c r="J494" s="2446">
        <v>0.56278456636566032</v>
      </c>
      <c r="K494" s="2436">
        <v>504875.16005576658</v>
      </c>
      <c r="L494" s="2436">
        <v>504875.16005576658</v>
      </c>
      <c r="M494" s="2266">
        <v>599</v>
      </c>
    </row>
    <row r="495" spans="1:13" ht="15">
      <c r="A495" s="2266" t="s">
        <v>4087</v>
      </c>
      <c r="B495" s="1694" t="str">
        <f>CONCATENATE(LEFT(RIGHT(CONCATENATE("000",IFAData_TEA!A495),6),3),"-",(RIGHT(RIGHT(CONCATENATE("000",IFAData_TEA!A495),6),3)))</f>
        <v>043-914</v>
      </c>
      <c r="C495" s="2266" t="s">
        <v>1293</v>
      </c>
      <c r="D495" s="2266">
        <v>5</v>
      </c>
      <c r="E495" s="2266">
        <v>2463</v>
      </c>
      <c r="F495" s="2266" t="s">
        <v>5144</v>
      </c>
      <c r="G495" s="2266" t="s">
        <v>5145</v>
      </c>
      <c r="H495" s="2436">
        <v>440511</v>
      </c>
      <c r="I495" s="2436">
        <v>0</v>
      </c>
      <c r="J495" s="2446">
        <v>0</v>
      </c>
      <c r="K495" s="2436">
        <v>0</v>
      </c>
      <c r="L495" s="2436">
        <v>0</v>
      </c>
      <c r="M495" s="2266">
        <v>599</v>
      </c>
    </row>
    <row r="496" spans="1:13" ht="15">
      <c r="A496" s="2266" t="s">
        <v>4087</v>
      </c>
      <c r="B496" s="1694" t="str">
        <f>CONCATENATE(LEFT(RIGHT(CONCATENATE("000",IFAData_TEA!A496),6),3),"-",(RIGHT(RIGHT(CONCATENATE("000",IFAData_TEA!A496),6),3)))</f>
        <v>043-914</v>
      </c>
      <c r="C496" s="2266" t="s">
        <v>1293</v>
      </c>
      <c r="D496" s="2266">
        <v>5</v>
      </c>
      <c r="E496" s="2266">
        <v>2463</v>
      </c>
      <c r="F496" s="2266" t="s">
        <v>5144</v>
      </c>
      <c r="G496" s="2266" t="s">
        <v>5144</v>
      </c>
      <c r="H496" s="2436">
        <v>440511</v>
      </c>
      <c r="I496" s="2436">
        <v>0</v>
      </c>
      <c r="J496" s="2446">
        <v>0</v>
      </c>
      <c r="K496" s="2436">
        <v>0</v>
      </c>
      <c r="L496" s="2436">
        <v>0</v>
      </c>
      <c r="M496" s="2266">
        <v>599</v>
      </c>
    </row>
    <row r="497" spans="1:13" ht="15">
      <c r="A497" s="2266" t="s">
        <v>4087</v>
      </c>
      <c r="B497" s="1694" t="str">
        <f>CONCATENATE(LEFT(RIGHT(CONCATENATE("000",IFAData_TEA!A497),6),3),"-",(RIGHT(RIGHT(CONCATENATE("000",IFAData_TEA!A497),6),3)))</f>
        <v>043-914</v>
      </c>
      <c r="C497" s="2266" t="s">
        <v>1293</v>
      </c>
      <c r="D497" s="2266">
        <v>9</v>
      </c>
      <c r="E497" s="2266">
        <v>2464</v>
      </c>
      <c r="F497" s="2266" t="s">
        <v>5150</v>
      </c>
      <c r="G497" s="2266" t="s">
        <v>5150</v>
      </c>
      <c r="H497" s="2436">
        <v>633540</v>
      </c>
      <c r="I497" s="2436">
        <v>1243600</v>
      </c>
      <c r="J497" s="2446">
        <v>1</v>
      </c>
      <c r="K497" s="2436">
        <v>633540</v>
      </c>
      <c r="L497" s="2436">
        <v>633540</v>
      </c>
      <c r="M497" s="2266">
        <v>599</v>
      </c>
    </row>
    <row r="498" spans="1:13" ht="15">
      <c r="A498" s="2266" t="s">
        <v>4088</v>
      </c>
      <c r="B498" s="1694" t="str">
        <f>CONCATENATE(LEFT(RIGHT(CONCATENATE("000",IFAData_TEA!A498),6),3),"-",(RIGHT(RIGHT(CONCATENATE("000",IFAData_TEA!A498),6),3)))</f>
        <v>043-917</v>
      </c>
      <c r="C498" s="2266" t="s">
        <v>1521</v>
      </c>
      <c r="D498" s="2266">
        <v>4</v>
      </c>
      <c r="E498" s="2266">
        <v>1623</v>
      </c>
      <c r="F498" s="2266" t="s">
        <v>5153</v>
      </c>
      <c r="G498" s="2266" t="s">
        <v>5153</v>
      </c>
      <c r="H498" s="2436">
        <v>172750</v>
      </c>
      <c r="I498" s="2436">
        <v>0</v>
      </c>
      <c r="J498" s="2446">
        <v>0</v>
      </c>
      <c r="K498" s="2436">
        <v>0</v>
      </c>
      <c r="L498" s="2436">
        <v>0</v>
      </c>
      <c r="M498" s="2266">
        <v>599</v>
      </c>
    </row>
    <row r="499" spans="1:13" ht="15">
      <c r="A499" s="2266" t="s">
        <v>4088</v>
      </c>
      <c r="B499" s="1694" t="str">
        <f>CONCATENATE(LEFT(RIGHT(CONCATENATE("000",IFAData_TEA!A499),6),3),"-",(RIGHT(RIGHT(CONCATENATE("000",IFAData_TEA!A499),6),3)))</f>
        <v>043-917</v>
      </c>
      <c r="C499" s="2266" t="s">
        <v>1521</v>
      </c>
      <c r="D499" s="2266">
        <v>4</v>
      </c>
      <c r="E499" s="2266">
        <v>1623</v>
      </c>
      <c r="F499" s="2266" t="s">
        <v>5153</v>
      </c>
      <c r="G499" s="2266" t="s">
        <v>5154</v>
      </c>
      <c r="H499" s="2436">
        <v>172750</v>
      </c>
      <c r="I499" s="2436">
        <v>256194</v>
      </c>
      <c r="J499" s="2446">
        <v>1</v>
      </c>
      <c r="K499" s="2436">
        <v>172750</v>
      </c>
      <c r="L499" s="2436">
        <v>172750</v>
      </c>
      <c r="M499" s="2266">
        <v>599</v>
      </c>
    </row>
    <row r="500" spans="1:13" ht="15">
      <c r="A500" s="2266" t="s">
        <v>4088</v>
      </c>
      <c r="B500" s="1694" t="str">
        <f>CONCATENATE(LEFT(RIGHT(CONCATENATE("000",IFAData_TEA!A500),6),3),"-",(RIGHT(RIGHT(CONCATENATE("000",IFAData_TEA!A500),6),3)))</f>
        <v>043-917</v>
      </c>
      <c r="C500" s="2266" t="s">
        <v>1521</v>
      </c>
      <c r="D500" s="2266">
        <v>10</v>
      </c>
      <c r="E500" s="2266">
        <v>1622</v>
      </c>
      <c r="F500" s="2266" t="s">
        <v>5157</v>
      </c>
      <c r="G500" s="2266" t="s">
        <v>5157</v>
      </c>
      <c r="H500" s="2436">
        <v>158475</v>
      </c>
      <c r="I500" s="2436">
        <v>342100</v>
      </c>
      <c r="J500" s="2446">
        <v>1</v>
      </c>
      <c r="K500" s="2436">
        <v>158475</v>
      </c>
      <c r="L500" s="2436">
        <v>158475</v>
      </c>
      <c r="M500" s="2266">
        <v>599</v>
      </c>
    </row>
    <row r="501" spans="1:13" ht="15">
      <c r="A501" s="2266" t="s">
        <v>4088</v>
      </c>
      <c r="B501" s="1694" t="str">
        <f>CONCATENATE(LEFT(RIGHT(CONCATENATE("000",IFAData_TEA!A501),6),3),"-",(RIGHT(RIGHT(CONCATENATE("000",IFAData_TEA!A501),6),3)))</f>
        <v>043-917</v>
      </c>
      <c r="C501" s="2266" t="s">
        <v>1521</v>
      </c>
      <c r="D501" s="2266">
        <v>2</v>
      </c>
      <c r="E501" s="2266">
        <v>1621</v>
      </c>
      <c r="F501" s="2266" t="s">
        <v>5152</v>
      </c>
      <c r="G501" s="2266" t="s">
        <v>5152</v>
      </c>
      <c r="H501" s="2436">
        <v>95044</v>
      </c>
      <c r="I501" s="2436">
        <v>0</v>
      </c>
      <c r="J501" s="2446">
        <v>0</v>
      </c>
      <c r="K501" s="2436"/>
      <c r="L501" s="2436">
        <v>0</v>
      </c>
      <c r="M501" s="2266">
        <v>199</v>
      </c>
    </row>
    <row r="502" spans="1:13" ht="15">
      <c r="A502" s="2266" t="s">
        <v>4088</v>
      </c>
      <c r="B502" s="1694" t="str">
        <f>CONCATENATE(LEFT(RIGHT(CONCATENATE("000",IFAData_TEA!A502),6),3),"-",(RIGHT(RIGHT(CONCATENATE("000",IFAData_TEA!A502),6),3)))</f>
        <v>043-917</v>
      </c>
      <c r="C502" s="2266" t="s">
        <v>1521</v>
      </c>
      <c r="D502" s="2266">
        <v>6</v>
      </c>
      <c r="E502" s="2266">
        <v>1624</v>
      </c>
      <c r="F502" s="2266" t="s">
        <v>5155</v>
      </c>
      <c r="G502" s="2266" t="s">
        <v>5156</v>
      </c>
      <c r="H502" s="2436">
        <v>192252</v>
      </c>
      <c r="I502" s="2436">
        <v>211413</v>
      </c>
      <c r="J502" s="2446">
        <v>0.46242027349799208</v>
      </c>
      <c r="K502" s="2436">
        <v>88901.222420535967</v>
      </c>
      <c r="L502" s="2436">
        <v>88901.222420535967</v>
      </c>
      <c r="M502" s="2266">
        <v>599</v>
      </c>
    </row>
    <row r="503" spans="1:13" ht="15">
      <c r="A503" s="2266" t="s">
        <v>4088</v>
      </c>
      <c r="B503" s="1694" t="str">
        <f>CONCATENATE(LEFT(RIGHT(CONCATENATE("000",IFAData_TEA!A503),6),3),"-",(RIGHT(RIGHT(CONCATENATE("000",IFAData_TEA!A503),6),3)))</f>
        <v>043-917</v>
      </c>
      <c r="C503" s="2266" t="s">
        <v>1521</v>
      </c>
      <c r="D503" s="2266">
        <v>6</v>
      </c>
      <c r="E503" s="2266">
        <v>1624</v>
      </c>
      <c r="F503" s="2266" t="s">
        <v>5155</v>
      </c>
      <c r="G503" s="2266" t="s">
        <v>5155</v>
      </c>
      <c r="H503" s="2436">
        <v>192252</v>
      </c>
      <c r="I503" s="2436">
        <v>245775</v>
      </c>
      <c r="J503" s="2446">
        <v>0.53757972650200792</v>
      </c>
      <c r="K503" s="2436">
        <v>103350.77757946403</v>
      </c>
      <c r="L503" s="2436">
        <v>103350.77757946403</v>
      </c>
      <c r="M503" s="2266">
        <v>599</v>
      </c>
    </row>
    <row r="504" spans="1:13" ht="15">
      <c r="A504" s="2266" t="s">
        <v>4089</v>
      </c>
      <c r="B504" s="1694" t="str">
        <f>CONCATENATE(LEFT(RIGHT(CONCATENATE("000",IFAData_TEA!A504),6),3),"-",(RIGHT(RIGHT(CONCATENATE("000",IFAData_TEA!A504),6),3)))</f>
        <v>043-918</v>
      </c>
      <c r="C504" s="2266" t="s">
        <v>1744</v>
      </c>
      <c r="D504" s="2266">
        <v>2</v>
      </c>
      <c r="E504" s="2266">
        <v>1713</v>
      </c>
      <c r="F504" s="2266" t="s">
        <v>5158</v>
      </c>
      <c r="G504" s="2266" t="s">
        <v>6943</v>
      </c>
      <c r="H504" s="2436">
        <v>245000</v>
      </c>
      <c r="I504" s="2436">
        <v>27136</v>
      </c>
      <c r="J504" s="2446">
        <v>0.13856704436943723</v>
      </c>
      <c r="K504" s="2436">
        <v>33948.925870512125</v>
      </c>
      <c r="L504" s="2436">
        <v>27136</v>
      </c>
      <c r="M504" s="2266">
        <v>599</v>
      </c>
    </row>
    <row r="505" spans="1:13" ht="15">
      <c r="A505" s="2266" t="s">
        <v>4089</v>
      </c>
      <c r="B505" s="1694" t="str">
        <f>CONCATENATE(LEFT(RIGHT(CONCATENATE("000",IFAData_TEA!A505),6),3),"-",(RIGHT(RIGHT(CONCATENATE("000",IFAData_TEA!A505),6),3)))</f>
        <v>043-918</v>
      </c>
      <c r="C505" s="2266" t="s">
        <v>1744</v>
      </c>
      <c r="D505" s="2266">
        <v>2</v>
      </c>
      <c r="E505" s="2266">
        <v>1713</v>
      </c>
      <c r="F505" s="2266" t="s">
        <v>5158</v>
      </c>
      <c r="G505" s="2266" t="s">
        <v>5159</v>
      </c>
      <c r="H505" s="2436">
        <v>245000</v>
      </c>
      <c r="I505" s="2436">
        <v>0</v>
      </c>
      <c r="J505" s="2446">
        <v>0</v>
      </c>
      <c r="K505" s="2436">
        <v>0</v>
      </c>
      <c r="L505" s="2436">
        <v>0</v>
      </c>
      <c r="M505" s="2266">
        <v>599</v>
      </c>
    </row>
    <row r="506" spans="1:13" ht="15">
      <c r="A506" s="2266" t="s">
        <v>4089</v>
      </c>
      <c r="B506" s="1694" t="str">
        <f>CONCATENATE(LEFT(RIGHT(CONCATENATE("000",IFAData_TEA!A506),6),3),"-",(RIGHT(RIGHT(CONCATENATE("000",IFAData_TEA!A506),6),3)))</f>
        <v>043-918</v>
      </c>
      <c r="C506" s="2266" t="s">
        <v>1744</v>
      </c>
      <c r="D506" s="2266">
        <v>2</v>
      </c>
      <c r="E506" s="2266">
        <v>1713</v>
      </c>
      <c r="F506" s="2266" t="s">
        <v>5158</v>
      </c>
      <c r="G506" s="2266" t="s">
        <v>5160</v>
      </c>
      <c r="H506" s="2436">
        <v>245000</v>
      </c>
      <c r="I506" s="2436">
        <v>0</v>
      </c>
      <c r="J506" s="2446">
        <v>0</v>
      </c>
      <c r="K506" s="2436">
        <v>0</v>
      </c>
      <c r="L506" s="2436">
        <v>0</v>
      </c>
      <c r="M506" s="2266">
        <v>599</v>
      </c>
    </row>
    <row r="507" spans="1:13" ht="15">
      <c r="A507" s="2266" t="s">
        <v>4089</v>
      </c>
      <c r="B507" s="1694" t="str">
        <f>CONCATENATE(LEFT(RIGHT(CONCATENATE("000",IFAData_TEA!A507),6),3),"-",(RIGHT(RIGHT(CONCATENATE("000",IFAData_TEA!A507),6),3)))</f>
        <v>043-918</v>
      </c>
      <c r="C507" s="2266" t="s">
        <v>1744</v>
      </c>
      <c r="D507" s="2266">
        <v>2</v>
      </c>
      <c r="E507" s="2266">
        <v>1713</v>
      </c>
      <c r="F507" s="2266" t="s">
        <v>5158</v>
      </c>
      <c r="G507" s="2266" t="s">
        <v>5161</v>
      </c>
      <c r="H507" s="2436">
        <v>245000</v>
      </c>
      <c r="I507" s="2436">
        <v>168697</v>
      </c>
      <c r="J507" s="2446">
        <v>0.86143295563056277</v>
      </c>
      <c r="K507" s="2436">
        <v>211051.07412948788</v>
      </c>
      <c r="L507" s="2436">
        <v>168697</v>
      </c>
      <c r="M507" s="2266">
        <v>599</v>
      </c>
    </row>
    <row r="508" spans="1:13" ht="15">
      <c r="A508" s="2266" t="s">
        <v>4089</v>
      </c>
      <c r="B508" s="1694" t="str">
        <f>CONCATENATE(LEFT(RIGHT(CONCATENATE("000",IFAData_TEA!A508),6),3),"-",(RIGHT(RIGHT(CONCATENATE("000",IFAData_TEA!A508),6),3)))</f>
        <v>043-918</v>
      </c>
      <c r="C508" s="2266" t="s">
        <v>1744</v>
      </c>
      <c r="D508" s="2266">
        <v>2</v>
      </c>
      <c r="E508" s="2266">
        <v>1713</v>
      </c>
      <c r="F508" s="2266" t="s">
        <v>5158</v>
      </c>
      <c r="G508" s="2266" t="s">
        <v>5163</v>
      </c>
      <c r="H508" s="2436">
        <v>245000</v>
      </c>
      <c r="I508" s="2436">
        <v>0</v>
      </c>
      <c r="J508" s="2446">
        <v>0</v>
      </c>
      <c r="K508" s="2436">
        <v>0</v>
      </c>
      <c r="L508" s="2436">
        <v>0</v>
      </c>
      <c r="M508" s="2266">
        <v>599</v>
      </c>
    </row>
    <row r="509" spans="1:13" ht="15">
      <c r="A509" s="2266" t="s">
        <v>4089</v>
      </c>
      <c r="B509" s="1694" t="str">
        <f>CONCATENATE(LEFT(RIGHT(CONCATENATE("000",IFAData_TEA!A509),6),3),"-",(RIGHT(RIGHT(CONCATENATE("000",IFAData_TEA!A509),6),3)))</f>
        <v>043-918</v>
      </c>
      <c r="C509" s="2266" t="s">
        <v>1744</v>
      </c>
      <c r="D509" s="2266">
        <v>9</v>
      </c>
      <c r="E509" s="2266">
        <v>1714</v>
      </c>
      <c r="F509" s="2266" t="s">
        <v>5161</v>
      </c>
      <c r="G509" s="2266" t="s">
        <v>6943</v>
      </c>
      <c r="H509" s="2436">
        <v>347968</v>
      </c>
      <c r="I509" s="2436">
        <v>119752</v>
      </c>
      <c r="J509" s="2446">
        <v>0.13741821027675966</v>
      </c>
      <c r="K509" s="2436">
        <v>47817.139793583505</v>
      </c>
      <c r="L509" s="2436">
        <v>47817.139793583505</v>
      </c>
      <c r="M509" s="2266">
        <v>599</v>
      </c>
    </row>
    <row r="510" spans="1:13" ht="15">
      <c r="A510" s="2266" t="s">
        <v>4089</v>
      </c>
      <c r="B510" s="1694" t="str">
        <f>CONCATENATE(LEFT(RIGHT(CONCATENATE("000",IFAData_TEA!A510),6),3),"-",(RIGHT(RIGHT(CONCATENATE("000",IFAData_TEA!A510),6),3)))</f>
        <v>043-918</v>
      </c>
      <c r="C510" s="2266" t="s">
        <v>1744</v>
      </c>
      <c r="D510" s="2266">
        <v>2</v>
      </c>
      <c r="E510" s="2266">
        <v>1713</v>
      </c>
      <c r="F510" s="2266" t="s">
        <v>5158</v>
      </c>
      <c r="G510" s="2266" t="s">
        <v>5158</v>
      </c>
      <c r="H510" s="2436">
        <v>245000</v>
      </c>
      <c r="I510" s="2436">
        <v>0</v>
      </c>
      <c r="J510" s="2446">
        <v>0</v>
      </c>
      <c r="K510" s="2436">
        <v>0</v>
      </c>
      <c r="L510" s="2436">
        <v>0</v>
      </c>
      <c r="M510" s="2266">
        <v>599</v>
      </c>
    </row>
    <row r="511" spans="1:13" ht="15">
      <c r="A511" s="2266" t="s">
        <v>4089</v>
      </c>
      <c r="B511" s="1694" t="str">
        <f>CONCATENATE(LEFT(RIGHT(CONCATENATE("000",IFAData_TEA!A511),6),3),"-",(RIGHT(RIGHT(CONCATENATE("000",IFAData_TEA!A511),6),3)))</f>
        <v>043-918</v>
      </c>
      <c r="C511" s="2266" t="s">
        <v>1744</v>
      </c>
      <c r="D511" s="2266">
        <v>2</v>
      </c>
      <c r="E511" s="2266">
        <v>1713</v>
      </c>
      <c r="F511" s="2266" t="s">
        <v>5158</v>
      </c>
      <c r="G511" s="2266" t="s">
        <v>5162</v>
      </c>
      <c r="H511" s="2436">
        <v>245000</v>
      </c>
      <c r="I511" s="2436">
        <v>0</v>
      </c>
      <c r="J511" s="2446">
        <v>0</v>
      </c>
      <c r="K511" s="2436">
        <v>0</v>
      </c>
      <c r="L511" s="2436">
        <v>0</v>
      </c>
      <c r="M511" s="2266">
        <v>599</v>
      </c>
    </row>
    <row r="512" spans="1:13" ht="15">
      <c r="A512" s="2266" t="s">
        <v>4089</v>
      </c>
      <c r="B512" s="1694" t="str">
        <f>CONCATENATE(LEFT(RIGHT(CONCATENATE("000",IFAData_TEA!A512),6),3),"-",(RIGHT(RIGHT(CONCATENATE("000",IFAData_TEA!A512),6),3)))</f>
        <v>043-918</v>
      </c>
      <c r="C512" s="2266" t="s">
        <v>1744</v>
      </c>
      <c r="D512" s="2266">
        <v>5</v>
      </c>
      <c r="E512" s="2266">
        <v>1712</v>
      </c>
      <c r="F512" s="2266" t="s">
        <v>5160</v>
      </c>
      <c r="G512" s="2266" t="s">
        <v>5160</v>
      </c>
      <c r="H512" s="2436">
        <v>12352</v>
      </c>
      <c r="I512" s="2436">
        <v>94239</v>
      </c>
      <c r="J512" s="2446">
        <v>1</v>
      </c>
      <c r="K512" s="2436">
        <v>12352</v>
      </c>
      <c r="L512" s="2436">
        <v>12352</v>
      </c>
      <c r="M512" s="2266">
        <v>599</v>
      </c>
    </row>
    <row r="513" spans="1:13" ht="15">
      <c r="A513" s="2266" t="s">
        <v>4089</v>
      </c>
      <c r="B513" s="1694" t="str">
        <f>CONCATENATE(LEFT(RIGHT(CONCATENATE("000",IFAData_TEA!A513),6),3),"-",(RIGHT(RIGHT(CONCATENATE("000",IFAData_TEA!A513),6),3)))</f>
        <v>043-918</v>
      </c>
      <c r="C513" s="2266" t="s">
        <v>1744</v>
      </c>
      <c r="D513" s="2266">
        <v>9</v>
      </c>
      <c r="E513" s="2266">
        <v>1714</v>
      </c>
      <c r="F513" s="2266" t="s">
        <v>5161</v>
      </c>
      <c r="G513" s="2266" t="s">
        <v>5161</v>
      </c>
      <c r="H513" s="2436">
        <v>347968</v>
      </c>
      <c r="I513" s="2436">
        <v>751690</v>
      </c>
      <c r="J513" s="2446">
        <v>0.86258178972324029</v>
      </c>
      <c r="K513" s="2436">
        <v>300150.86020641646</v>
      </c>
      <c r="L513" s="2436">
        <v>300150.86020641646</v>
      </c>
      <c r="M513" s="2266">
        <v>599</v>
      </c>
    </row>
    <row r="514" spans="1:13" ht="15">
      <c r="A514" s="2266" t="s">
        <v>4090</v>
      </c>
      <c r="B514" s="1694" t="str">
        <f>CONCATENATE(LEFT(RIGHT(CONCATENATE("000",IFAData_TEA!A514),6),3),"-",(RIGHT(RIGHT(CONCATENATE("000",IFAData_TEA!A514),6),3)))</f>
        <v>045-902</v>
      </c>
      <c r="C514" s="2266" t="s">
        <v>1742</v>
      </c>
      <c r="D514" s="2266">
        <v>2</v>
      </c>
      <c r="E514" s="2266">
        <v>1709</v>
      </c>
      <c r="F514" s="2266" t="s">
        <v>5164</v>
      </c>
      <c r="G514" s="2266" t="s">
        <v>5165</v>
      </c>
      <c r="H514" s="2436">
        <v>289660</v>
      </c>
      <c r="I514" s="2436">
        <v>319460</v>
      </c>
      <c r="J514" s="2446">
        <v>1</v>
      </c>
      <c r="K514" s="2436">
        <v>289660</v>
      </c>
      <c r="L514" s="2436">
        <v>289660</v>
      </c>
      <c r="M514" s="2266">
        <v>599</v>
      </c>
    </row>
    <row r="515" spans="1:13" ht="15">
      <c r="A515" s="2266" t="s">
        <v>4090</v>
      </c>
      <c r="B515" s="1694" t="str">
        <f>CONCATENATE(LEFT(RIGHT(CONCATENATE("000",IFAData_TEA!A515),6),3),"-",(RIGHT(RIGHT(CONCATENATE("000",IFAData_TEA!A515),6),3)))</f>
        <v>045-902</v>
      </c>
      <c r="C515" s="2266" t="s">
        <v>1742</v>
      </c>
      <c r="D515" s="2266">
        <v>2</v>
      </c>
      <c r="E515" s="2266">
        <v>1709</v>
      </c>
      <c r="F515" s="2266" t="s">
        <v>5164</v>
      </c>
      <c r="G515" s="2266" t="s">
        <v>5164</v>
      </c>
      <c r="H515" s="2436">
        <v>289660</v>
      </c>
      <c r="I515" s="2436">
        <v>0</v>
      </c>
      <c r="J515" s="2446">
        <v>0</v>
      </c>
      <c r="K515" s="2436">
        <v>0</v>
      </c>
      <c r="L515" s="2436">
        <v>0</v>
      </c>
      <c r="M515" s="2266">
        <v>599</v>
      </c>
    </row>
    <row r="516" spans="1:13" ht="15">
      <c r="A516" s="2266" t="s">
        <v>4091</v>
      </c>
      <c r="B516" s="1694" t="str">
        <f>CONCATENATE(LEFT(RIGHT(CONCATENATE("000",IFAData_TEA!A516),6),3),"-",(RIGHT(RIGHT(CONCATENATE("000",IFAData_TEA!A516),6),3)))</f>
        <v>046-901</v>
      </c>
      <c r="C516" s="2266" t="s">
        <v>2525</v>
      </c>
      <c r="D516" s="2266">
        <v>9</v>
      </c>
      <c r="E516" s="2266">
        <v>2135</v>
      </c>
      <c r="F516" s="2266" t="s">
        <v>5166</v>
      </c>
      <c r="G516" s="2266" t="s">
        <v>5166</v>
      </c>
      <c r="H516" s="2436">
        <v>1200408</v>
      </c>
      <c r="I516" s="2436">
        <v>0</v>
      </c>
      <c r="J516" s="2446">
        <v>0</v>
      </c>
      <c r="K516" s="2436">
        <v>0</v>
      </c>
      <c r="L516" s="2436">
        <v>0</v>
      </c>
      <c r="M516" s="2266">
        <v>599</v>
      </c>
    </row>
    <row r="517" spans="1:13" ht="15">
      <c r="A517" s="2266" t="s">
        <v>4091</v>
      </c>
      <c r="B517" s="1694" t="str">
        <f>CONCATENATE(LEFT(RIGHT(CONCATENATE("000",IFAData_TEA!A517),6),3),"-",(RIGHT(RIGHT(CONCATENATE("000",IFAData_TEA!A517),6),3)))</f>
        <v>046-901</v>
      </c>
      <c r="C517" s="2266" t="s">
        <v>2525</v>
      </c>
      <c r="D517" s="2266">
        <v>9</v>
      </c>
      <c r="E517" s="2266">
        <v>2135</v>
      </c>
      <c r="F517" s="2266" t="s">
        <v>5166</v>
      </c>
      <c r="G517" s="2266" t="s">
        <v>6944</v>
      </c>
      <c r="H517" s="2436">
        <v>1200408</v>
      </c>
      <c r="I517" s="2436">
        <v>45806</v>
      </c>
      <c r="J517" s="2446">
        <v>5.8002909895798378E-2</v>
      </c>
      <c r="K517" s="2436">
        <v>69627.157062195532</v>
      </c>
      <c r="L517" s="2436">
        <v>45806</v>
      </c>
      <c r="M517" s="2266">
        <v>599</v>
      </c>
    </row>
    <row r="518" spans="1:13" ht="15">
      <c r="A518" s="2266" t="s">
        <v>4091</v>
      </c>
      <c r="B518" s="1694" t="str">
        <f>CONCATENATE(LEFT(RIGHT(CONCATENATE("000",IFAData_TEA!A518),6),3),"-",(RIGHT(RIGHT(CONCATENATE("000",IFAData_TEA!A518),6),3)))</f>
        <v>046-901</v>
      </c>
      <c r="C518" s="2266" t="s">
        <v>2525</v>
      </c>
      <c r="D518" s="2266">
        <v>9</v>
      </c>
      <c r="E518" s="2266">
        <v>2135</v>
      </c>
      <c r="F518" s="2266" t="s">
        <v>5166</v>
      </c>
      <c r="G518" s="2266" t="s">
        <v>5168</v>
      </c>
      <c r="H518" s="2436">
        <v>1200408</v>
      </c>
      <c r="I518" s="2436">
        <v>436438</v>
      </c>
      <c r="J518" s="2446">
        <v>0.55264973997079969</v>
      </c>
      <c r="K518" s="2436">
        <v>663405.16905886773</v>
      </c>
      <c r="L518" s="2436">
        <v>436438</v>
      </c>
      <c r="M518" s="2266">
        <v>599</v>
      </c>
    </row>
    <row r="519" spans="1:13" ht="15">
      <c r="A519" s="2266" t="s">
        <v>4091</v>
      </c>
      <c r="B519" s="1694" t="str">
        <f>CONCATENATE(LEFT(RIGHT(CONCATENATE("000",IFAData_TEA!A519),6),3),"-",(RIGHT(RIGHT(CONCATENATE("000",IFAData_TEA!A519),6),3)))</f>
        <v>046-901</v>
      </c>
      <c r="C519" s="2266" t="s">
        <v>2525</v>
      </c>
      <c r="D519" s="2266">
        <v>9</v>
      </c>
      <c r="E519" s="2266">
        <v>2135</v>
      </c>
      <c r="F519" s="2266" t="s">
        <v>5166</v>
      </c>
      <c r="G519" s="2266" t="s">
        <v>5167</v>
      </c>
      <c r="H519" s="2436">
        <v>1200408</v>
      </c>
      <c r="I519" s="2436">
        <v>307475</v>
      </c>
      <c r="J519" s="2446">
        <v>0.38934735013340188</v>
      </c>
      <c r="K519" s="2436">
        <v>467375.67387893668</v>
      </c>
      <c r="L519" s="2436">
        <v>307475</v>
      </c>
      <c r="M519" s="2266">
        <v>599</v>
      </c>
    </row>
    <row r="520" spans="1:13" ht="15">
      <c r="A520" s="2266" t="s">
        <v>4092</v>
      </c>
      <c r="B520" s="1694" t="str">
        <f>CONCATENATE(LEFT(RIGHT(CONCATENATE("000",IFAData_TEA!A520),6),3),"-",(RIGHT(RIGHT(CONCATENATE("000",IFAData_TEA!A520),6),3)))</f>
        <v>047-901</v>
      </c>
      <c r="C520" s="2266" t="s">
        <v>2527</v>
      </c>
      <c r="D520" s="2266">
        <v>9</v>
      </c>
      <c r="E520" s="2266">
        <v>1710</v>
      </c>
      <c r="F520" s="2266" t="s">
        <v>5169</v>
      </c>
      <c r="G520" s="2266" t="s">
        <v>6945</v>
      </c>
      <c r="H520" s="2436">
        <v>312761</v>
      </c>
      <c r="I520" s="2436">
        <v>148396</v>
      </c>
      <c r="J520" s="2446">
        <v>0.26283572678517025</v>
      </c>
      <c r="K520" s="2436">
        <v>82204.764745056629</v>
      </c>
      <c r="L520" s="2436">
        <v>82204.764745056629</v>
      </c>
      <c r="M520" s="2266">
        <v>599</v>
      </c>
    </row>
    <row r="521" spans="1:13" ht="15">
      <c r="A521" s="2266" t="s">
        <v>4092</v>
      </c>
      <c r="B521" s="1694" t="str">
        <f>CONCATENATE(LEFT(RIGHT(CONCATENATE("000",IFAData_TEA!A521),6),3),"-",(RIGHT(RIGHT(CONCATENATE("000",IFAData_TEA!A521),6),3)))</f>
        <v>047-901</v>
      </c>
      <c r="C521" s="2266" t="s">
        <v>2527</v>
      </c>
      <c r="D521" s="2266">
        <v>9</v>
      </c>
      <c r="E521" s="2266">
        <v>1710</v>
      </c>
      <c r="F521" s="2266" t="s">
        <v>5169</v>
      </c>
      <c r="G521" s="2266" t="s">
        <v>5169</v>
      </c>
      <c r="H521" s="2436">
        <v>312761</v>
      </c>
      <c r="I521" s="2436">
        <v>416200</v>
      </c>
      <c r="J521" s="2446">
        <v>0.73716427321482969</v>
      </c>
      <c r="K521" s="2436">
        <v>230556.23525494334</v>
      </c>
      <c r="L521" s="2436">
        <v>230556.23525494334</v>
      </c>
      <c r="M521" s="2266">
        <v>599</v>
      </c>
    </row>
    <row r="522" spans="1:13" ht="15">
      <c r="A522" s="2266" t="s">
        <v>4093</v>
      </c>
      <c r="B522" s="1694" t="str">
        <f>CONCATENATE(LEFT(RIGHT(CONCATENATE("000",IFAData_TEA!A522),6),3),"-",(RIGHT(RIGHT(CONCATENATE("000",IFAData_TEA!A522),6),3)))</f>
        <v>047-902</v>
      </c>
      <c r="C522" s="2266" t="s">
        <v>3062</v>
      </c>
      <c r="D522" s="2266">
        <v>2</v>
      </c>
      <c r="E522" s="2266">
        <v>1748</v>
      </c>
      <c r="F522" s="2266" t="s">
        <v>5170</v>
      </c>
      <c r="G522" s="2266" t="s">
        <v>5170</v>
      </c>
      <c r="H522" s="2436">
        <v>129726</v>
      </c>
      <c r="I522" s="2436">
        <v>0</v>
      </c>
      <c r="J522" s="2446">
        <v>0</v>
      </c>
      <c r="K522" s="2436"/>
      <c r="L522" s="2436">
        <v>0</v>
      </c>
      <c r="M522" s="2266">
        <v>199</v>
      </c>
    </row>
    <row r="523" spans="1:13" ht="15">
      <c r="A523" s="2266" t="s">
        <v>4093</v>
      </c>
      <c r="B523" s="1694" t="str">
        <f>CONCATENATE(LEFT(RIGHT(CONCATENATE("000",IFAData_TEA!A523),6),3),"-",(RIGHT(RIGHT(CONCATENATE("000",IFAData_TEA!A523),6),3)))</f>
        <v>047-902</v>
      </c>
      <c r="C523" s="2266" t="s">
        <v>3062</v>
      </c>
      <c r="D523" s="2266">
        <v>10</v>
      </c>
      <c r="E523" s="2266">
        <v>1749</v>
      </c>
      <c r="F523" s="2266" t="s">
        <v>5171</v>
      </c>
      <c r="G523" s="2266" t="s">
        <v>5171</v>
      </c>
      <c r="H523" s="2436">
        <v>157394</v>
      </c>
      <c r="I523" s="2436">
        <v>387313</v>
      </c>
      <c r="J523" s="2446">
        <v>1</v>
      </c>
      <c r="K523" s="2436">
        <v>157394</v>
      </c>
      <c r="L523" s="2436">
        <v>157394</v>
      </c>
      <c r="M523" s="2266">
        <v>599</v>
      </c>
    </row>
    <row r="524" spans="1:13" ht="15">
      <c r="A524" s="2266" t="s">
        <v>4094</v>
      </c>
      <c r="B524" s="1694" t="str">
        <f>CONCATENATE(LEFT(RIGHT(CONCATENATE("000",IFAData_TEA!A524),6),3),"-",(RIGHT(RIGHT(CONCATENATE("000",IFAData_TEA!A524),6),3)))</f>
        <v>047-903</v>
      </c>
      <c r="C524" s="2266" t="s">
        <v>1949</v>
      </c>
      <c r="D524" s="2266">
        <v>5</v>
      </c>
      <c r="E524" s="2266">
        <v>1863</v>
      </c>
      <c r="F524" s="2266" t="s">
        <v>5172</v>
      </c>
      <c r="G524" s="2266" t="s">
        <v>5172</v>
      </c>
      <c r="H524" s="2436">
        <v>100000</v>
      </c>
      <c r="I524" s="2436">
        <v>102265</v>
      </c>
      <c r="J524" s="2446">
        <v>0.54482347112193197</v>
      </c>
      <c r="K524" s="2436">
        <v>54482.347112193194</v>
      </c>
      <c r="L524" s="2436">
        <v>54482.347112193194</v>
      </c>
      <c r="M524" s="2266">
        <v>599</v>
      </c>
    </row>
    <row r="525" spans="1:13" ht="15">
      <c r="A525" s="2266" t="s">
        <v>4094</v>
      </c>
      <c r="B525" s="1694" t="str">
        <f>CONCATENATE(LEFT(RIGHT(CONCATENATE("000",IFAData_TEA!A525),6),3),"-",(RIGHT(RIGHT(CONCATENATE("000",IFAData_TEA!A525),6),3)))</f>
        <v>047-903</v>
      </c>
      <c r="C525" s="2266" t="s">
        <v>1949</v>
      </c>
      <c r="D525" s="2266">
        <v>5</v>
      </c>
      <c r="E525" s="2266">
        <v>1863</v>
      </c>
      <c r="F525" s="2266" t="s">
        <v>5172</v>
      </c>
      <c r="G525" s="2266" t="s">
        <v>5173</v>
      </c>
      <c r="H525" s="2436">
        <v>100000</v>
      </c>
      <c r="I525" s="2436">
        <v>85438</v>
      </c>
      <c r="J525" s="2446">
        <v>0.45517652887806803</v>
      </c>
      <c r="K525" s="2436">
        <v>45517.652887806806</v>
      </c>
      <c r="L525" s="2436">
        <v>45517.652887806806</v>
      </c>
      <c r="M525" s="2266">
        <v>599</v>
      </c>
    </row>
    <row r="526" spans="1:13" ht="15">
      <c r="A526" s="2266" t="s">
        <v>4095</v>
      </c>
      <c r="B526" s="1694" t="str">
        <f>CONCATENATE(LEFT(RIGHT(CONCATENATE("000",IFAData_TEA!A526),6),3),"-",(RIGHT(RIGHT(CONCATENATE("000",IFAData_TEA!A526),6),3)))</f>
        <v>047-905</v>
      </c>
      <c r="C526" s="2266" t="s">
        <v>2528</v>
      </c>
      <c r="D526" s="2266">
        <v>10</v>
      </c>
      <c r="E526" s="2266">
        <v>2332</v>
      </c>
      <c r="F526" s="2266" t="s">
        <v>5174</v>
      </c>
      <c r="G526" s="2266" t="s">
        <v>5174</v>
      </c>
      <c r="H526" s="2436">
        <v>99680</v>
      </c>
      <c r="I526" s="2436">
        <v>93975</v>
      </c>
      <c r="J526" s="2446">
        <v>1</v>
      </c>
      <c r="K526" s="2436">
        <v>99680</v>
      </c>
      <c r="L526" s="2436">
        <v>93975</v>
      </c>
      <c r="M526" s="2266">
        <v>599</v>
      </c>
    </row>
    <row r="527" spans="1:13" ht="15">
      <c r="A527" s="2266" t="s">
        <v>4096</v>
      </c>
      <c r="B527" s="1694" t="str">
        <f>CONCATENATE(LEFT(RIGHT(CONCATENATE("000",IFAData_TEA!A527),6),3),"-",(RIGHT(RIGHT(CONCATENATE("000",IFAData_TEA!A527),6),3)))</f>
        <v>049-901</v>
      </c>
      <c r="C527" s="2266" t="s">
        <v>1669</v>
      </c>
      <c r="D527" s="2266">
        <v>1</v>
      </c>
      <c r="E527" s="2266">
        <v>1833</v>
      </c>
      <c r="F527" s="2266" t="s">
        <v>5175</v>
      </c>
      <c r="G527" s="2266" t="s">
        <v>6946</v>
      </c>
      <c r="H527" s="2436">
        <v>301682</v>
      </c>
      <c r="I527" s="2436">
        <v>129193</v>
      </c>
      <c r="J527" s="2446">
        <v>0.60406691853070993</v>
      </c>
      <c r="K527" s="2436">
        <v>182236.11611618163</v>
      </c>
      <c r="L527" s="2436">
        <v>129193</v>
      </c>
      <c r="M527" s="2266">
        <v>599</v>
      </c>
    </row>
    <row r="528" spans="1:13" ht="15">
      <c r="A528" s="2266" t="s">
        <v>4096</v>
      </c>
      <c r="B528" s="1694" t="str">
        <f>CONCATENATE(LEFT(RIGHT(CONCATENATE("000",IFAData_TEA!A528),6),3),"-",(RIGHT(RIGHT(CONCATENATE("000",IFAData_TEA!A528),6),3)))</f>
        <v>049-901</v>
      </c>
      <c r="C528" s="2266" t="s">
        <v>1669</v>
      </c>
      <c r="D528" s="2266">
        <v>1</v>
      </c>
      <c r="E528" s="2266">
        <v>1833</v>
      </c>
      <c r="F528" s="2266" t="s">
        <v>5175</v>
      </c>
      <c r="G528" s="2266" t="s">
        <v>5176</v>
      </c>
      <c r="H528" s="2436">
        <v>301682</v>
      </c>
      <c r="I528" s="2436">
        <v>84679</v>
      </c>
      <c r="J528" s="2446">
        <v>0.39593308146929002</v>
      </c>
      <c r="K528" s="2436">
        <v>119445.88388381834</v>
      </c>
      <c r="L528" s="2436">
        <v>84679</v>
      </c>
      <c r="M528" s="2266">
        <v>599</v>
      </c>
    </row>
    <row r="529" spans="1:13" ht="15">
      <c r="A529" s="2266" t="s">
        <v>4096</v>
      </c>
      <c r="B529" s="1694" t="str">
        <f>CONCATENATE(LEFT(RIGHT(CONCATENATE("000",IFAData_TEA!A529),6),3),"-",(RIGHT(RIGHT(CONCATENATE("000",IFAData_TEA!A529),6),3)))</f>
        <v>049-901</v>
      </c>
      <c r="C529" s="2266" t="s">
        <v>1669</v>
      </c>
      <c r="D529" s="2266">
        <v>1</v>
      </c>
      <c r="E529" s="2266">
        <v>1833</v>
      </c>
      <c r="F529" s="2266" t="s">
        <v>5175</v>
      </c>
      <c r="G529" s="2266" t="s">
        <v>5175</v>
      </c>
      <c r="H529" s="2436">
        <v>301682</v>
      </c>
      <c r="I529" s="2436">
        <v>0</v>
      </c>
      <c r="J529" s="2446">
        <v>0</v>
      </c>
      <c r="K529" s="2436">
        <v>0</v>
      </c>
      <c r="L529" s="2436">
        <v>0</v>
      </c>
      <c r="M529" s="2266">
        <v>599</v>
      </c>
    </row>
    <row r="530" spans="1:13" ht="15">
      <c r="A530" s="2266" t="s">
        <v>4097</v>
      </c>
      <c r="B530" s="1694" t="str">
        <f>CONCATENATE(LEFT(RIGHT(CONCATENATE("000",IFAData_TEA!A530),6),3),"-",(RIGHT(RIGHT(CONCATENATE("000",IFAData_TEA!A530),6),3)))</f>
        <v>049-903</v>
      </c>
      <c r="C530" s="2266" t="s">
        <v>2705</v>
      </c>
      <c r="D530" s="2266">
        <v>6</v>
      </c>
      <c r="E530" s="2266">
        <v>2411</v>
      </c>
      <c r="F530" s="2266" t="s">
        <v>5177</v>
      </c>
      <c r="G530" s="2266" t="s">
        <v>5177</v>
      </c>
      <c r="H530" s="2436">
        <v>163056</v>
      </c>
      <c r="I530" s="2436">
        <v>0</v>
      </c>
      <c r="J530" s="2446">
        <v>0</v>
      </c>
      <c r="K530" s="2436">
        <v>0</v>
      </c>
      <c r="L530" s="2436">
        <v>0</v>
      </c>
      <c r="M530" s="2266">
        <v>599</v>
      </c>
    </row>
    <row r="531" spans="1:13" ht="15">
      <c r="A531" s="2266" t="s">
        <v>4097</v>
      </c>
      <c r="B531" s="1694" t="str">
        <f>CONCATENATE(LEFT(RIGHT(CONCATENATE("000",IFAData_TEA!A531),6),3),"-",(RIGHT(RIGHT(CONCATENATE("000",IFAData_TEA!A531),6),3)))</f>
        <v>049-903</v>
      </c>
      <c r="C531" s="2266" t="s">
        <v>2705</v>
      </c>
      <c r="D531" s="2266">
        <v>6</v>
      </c>
      <c r="E531" s="2266">
        <v>2411</v>
      </c>
      <c r="F531" s="2266" t="s">
        <v>5177</v>
      </c>
      <c r="G531" s="2266" t="s">
        <v>5178</v>
      </c>
      <c r="H531" s="2436">
        <v>163056</v>
      </c>
      <c r="I531" s="2436">
        <v>155619</v>
      </c>
      <c r="J531" s="2446">
        <v>1</v>
      </c>
      <c r="K531" s="2436">
        <v>163056</v>
      </c>
      <c r="L531" s="2436">
        <v>155619</v>
      </c>
      <c r="M531" s="2266">
        <v>599</v>
      </c>
    </row>
    <row r="532" spans="1:13" ht="15">
      <c r="A532" s="2266" t="s">
        <v>4098</v>
      </c>
      <c r="B532" s="1694" t="str">
        <f>CONCATENATE(LEFT(RIGHT(CONCATENATE("000",IFAData_TEA!A532),6),3),"-",(RIGHT(RIGHT(CONCATENATE("000",IFAData_TEA!A532),6),3)))</f>
        <v>049-906</v>
      </c>
      <c r="C532" s="2266" t="s">
        <v>2533</v>
      </c>
      <c r="D532" s="2266">
        <v>9</v>
      </c>
      <c r="E532" s="2266">
        <v>1802</v>
      </c>
      <c r="F532" s="2266" t="s">
        <v>5179</v>
      </c>
      <c r="G532" s="2266" t="s">
        <v>5179</v>
      </c>
      <c r="H532" s="2436">
        <v>43739</v>
      </c>
      <c r="I532" s="2436">
        <v>156351</v>
      </c>
      <c r="J532" s="2446">
        <v>1</v>
      </c>
      <c r="K532" s="2436">
        <v>43739</v>
      </c>
      <c r="L532" s="2436">
        <v>43739</v>
      </c>
      <c r="M532" s="2266">
        <v>599</v>
      </c>
    </row>
    <row r="533" spans="1:13" ht="15">
      <c r="A533" s="2266" t="s">
        <v>4099</v>
      </c>
      <c r="B533" s="1694" t="str">
        <f>CONCATENATE(LEFT(RIGHT(CONCATENATE("000",IFAData_TEA!A533),6),3),"-",(RIGHT(RIGHT(CONCATENATE("000",IFAData_TEA!A533),6),3)))</f>
        <v>050-904</v>
      </c>
      <c r="C533" s="2266" t="s">
        <v>290</v>
      </c>
      <c r="D533" s="2266">
        <v>5</v>
      </c>
      <c r="E533" s="2266">
        <v>2157</v>
      </c>
      <c r="F533" s="2266" t="s">
        <v>5180</v>
      </c>
      <c r="G533" s="2266" t="s">
        <v>5180</v>
      </c>
      <c r="H533" s="2436">
        <v>93713</v>
      </c>
      <c r="I533" s="2436">
        <v>94235</v>
      </c>
      <c r="J533" s="2446">
        <v>1</v>
      </c>
      <c r="K533" s="2436">
        <v>93713</v>
      </c>
      <c r="L533" s="2436">
        <v>93713</v>
      </c>
      <c r="M533" s="2266">
        <v>599</v>
      </c>
    </row>
    <row r="534" spans="1:13" ht="15">
      <c r="A534" s="2266" t="s">
        <v>4100</v>
      </c>
      <c r="B534" s="1694" t="str">
        <f>CONCATENATE(LEFT(RIGHT(CONCATENATE("000",IFAData_TEA!A534),6),3),"-",(RIGHT(RIGHT(CONCATENATE("000",IFAData_TEA!A534),6),3)))</f>
        <v>050-910</v>
      </c>
      <c r="C534" s="2266" t="s">
        <v>2951</v>
      </c>
      <c r="D534" s="2266">
        <v>1</v>
      </c>
      <c r="E534" s="2266">
        <v>1720</v>
      </c>
      <c r="F534" s="2266" t="s">
        <v>5181</v>
      </c>
      <c r="G534" s="2266" t="s">
        <v>5184</v>
      </c>
      <c r="H534" s="2436">
        <v>767600</v>
      </c>
      <c r="I534" s="2436">
        <v>0</v>
      </c>
      <c r="J534" s="2446">
        <v>0</v>
      </c>
      <c r="K534" s="2436">
        <v>0</v>
      </c>
      <c r="L534" s="2436">
        <v>0</v>
      </c>
      <c r="M534" s="2266">
        <v>599</v>
      </c>
    </row>
    <row r="535" spans="1:13" ht="15">
      <c r="A535" s="2266" t="s">
        <v>4100</v>
      </c>
      <c r="B535" s="1694" t="str">
        <f>CONCATENATE(LEFT(RIGHT(CONCATENATE("000",IFAData_TEA!A535),6),3),"-",(RIGHT(RIGHT(CONCATENATE("000",IFAData_TEA!A535),6),3)))</f>
        <v>050-910</v>
      </c>
      <c r="C535" s="2266" t="s">
        <v>2951</v>
      </c>
      <c r="D535" s="2266">
        <v>1</v>
      </c>
      <c r="E535" s="2266">
        <v>1720</v>
      </c>
      <c r="F535" s="2266" t="s">
        <v>5181</v>
      </c>
      <c r="G535" s="2266" t="s">
        <v>5182</v>
      </c>
      <c r="H535" s="2436">
        <v>767600</v>
      </c>
      <c r="I535" s="2436">
        <v>2427967</v>
      </c>
      <c r="J535" s="2446">
        <v>0.97194802969685856</v>
      </c>
      <c r="K535" s="2436">
        <v>746067.30759530864</v>
      </c>
      <c r="L535" s="2436">
        <v>746067.30759530864</v>
      </c>
      <c r="M535" s="2266">
        <v>599</v>
      </c>
    </row>
    <row r="536" spans="1:13" ht="15">
      <c r="A536" s="2266" t="s">
        <v>4100</v>
      </c>
      <c r="B536" s="1694" t="str">
        <f>CONCATENATE(LEFT(RIGHT(CONCATENATE("000",IFAData_TEA!A536),6),3),"-",(RIGHT(RIGHT(CONCATENATE("000",IFAData_TEA!A536),6),3)))</f>
        <v>050-910</v>
      </c>
      <c r="C536" s="2266" t="s">
        <v>2951</v>
      </c>
      <c r="D536" s="2266">
        <v>1</v>
      </c>
      <c r="E536" s="2266">
        <v>1720</v>
      </c>
      <c r="F536" s="2266" t="s">
        <v>5181</v>
      </c>
      <c r="G536" s="2266" t="s">
        <v>5183</v>
      </c>
      <c r="H536" s="2436">
        <v>767600</v>
      </c>
      <c r="I536" s="2436">
        <v>0</v>
      </c>
      <c r="J536" s="2446">
        <v>0</v>
      </c>
      <c r="K536" s="2436">
        <v>0</v>
      </c>
      <c r="L536" s="2436">
        <v>0</v>
      </c>
      <c r="M536" s="2266">
        <v>599</v>
      </c>
    </row>
    <row r="537" spans="1:13" ht="15">
      <c r="A537" s="2266" t="s">
        <v>4100</v>
      </c>
      <c r="B537" s="1694" t="str">
        <f>CONCATENATE(LEFT(RIGHT(CONCATENATE("000",IFAData_TEA!A537),6),3),"-",(RIGHT(RIGHT(CONCATENATE("000",IFAData_TEA!A537),6),3)))</f>
        <v>050-910</v>
      </c>
      <c r="C537" s="2266" t="s">
        <v>2951</v>
      </c>
      <c r="D537" s="2266">
        <v>1</v>
      </c>
      <c r="E537" s="2266">
        <v>1720</v>
      </c>
      <c r="F537" s="2266" t="s">
        <v>5181</v>
      </c>
      <c r="G537" s="2266" t="s">
        <v>5181</v>
      </c>
      <c r="H537" s="2436">
        <v>767600</v>
      </c>
      <c r="I537" s="2436">
        <v>0</v>
      </c>
      <c r="J537" s="2446">
        <v>0</v>
      </c>
      <c r="K537" s="2436">
        <v>0</v>
      </c>
      <c r="L537" s="2436">
        <v>0</v>
      </c>
      <c r="M537" s="2266">
        <v>599</v>
      </c>
    </row>
    <row r="538" spans="1:13" ht="15">
      <c r="A538" s="2266" t="s">
        <v>4100</v>
      </c>
      <c r="B538" s="1694" t="str">
        <f>CONCATENATE(LEFT(RIGHT(CONCATENATE("000",IFAData_TEA!A538),6),3),"-",(RIGHT(RIGHT(CONCATENATE("000",IFAData_TEA!A538),6),3)))</f>
        <v>050-910</v>
      </c>
      <c r="C538" s="2266" t="s">
        <v>2951</v>
      </c>
      <c r="D538" s="2266">
        <v>1</v>
      </c>
      <c r="E538" s="2266">
        <v>1720</v>
      </c>
      <c r="F538" s="2266" t="s">
        <v>5181</v>
      </c>
      <c r="G538" s="2266" t="s">
        <v>6947</v>
      </c>
      <c r="H538" s="2436">
        <v>767600</v>
      </c>
      <c r="I538" s="2436">
        <v>70075</v>
      </c>
      <c r="J538" s="2446">
        <v>2.8051970303141421E-2</v>
      </c>
      <c r="K538" s="2436">
        <v>21532.692404691355</v>
      </c>
      <c r="L538" s="2436">
        <v>21532.692404691355</v>
      </c>
      <c r="M538" s="2266">
        <v>599</v>
      </c>
    </row>
    <row r="539" spans="1:13" ht="15">
      <c r="A539" s="2266" t="s">
        <v>4101</v>
      </c>
      <c r="B539" s="1694" t="str">
        <f>CONCATENATE(LEFT(RIGHT(CONCATENATE("000",IFAData_TEA!A539),6),3),"-",(RIGHT(RIGHT(CONCATENATE("000",IFAData_TEA!A539),6),3)))</f>
        <v>057-906</v>
      </c>
      <c r="C539" s="2266" t="s">
        <v>149</v>
      </c>
      <c r="D539" s="2266">
        <v>9</v>
      </c>
      <c r="E539" s="2266">
        <v>1752</v>
      </c>
      <c r="F539" s="2266" t="s">
        <v>5185</v>
      </c>
      <c r="G539" s="2266" t="s">
        <v>5185</v>
      </c>
      <c r="H539" s="2436">
        <v>1796397</v>
      </c>
      <c r="I539" s="2436">
        <v>1922953</v>
      </c>
      <c r="J539" s="2446">
        <v>1</v>
      </c>
      <c r="K539" s="2436">
        <v>1796397</v>
      </c>
      <c r="L539" s="2436">
        <v>1796397</v>
      </c>
      <c r="M539" s="2266">
        <v>599</v>
      </c>
    </row>
    <row r="540" spans="1:13" ht="15">
      <c r="A540" s="2266" t="s">
        <v>4102</v>
      </c>
      <c r="B540" s="1694" t="str">
        <f>CONCATENATE(LEFT(RIGHT(CONCATENATE("000",IFAData_TEA!A540),6),3),"-",(RIGHT(RIGHT(CONCATENATE("000",IFAData_TEA!A540),6),3)))</f>
        <v>057-909</v>
      </c>
      <c r="C540" s="2266" t="s">
        <v>1672</v>
      </c>
      <c r="D540" s="2266">
        <v>1</v>
      </c>
      <c r="E540" s="2266">
        <v>1842</v>
      </c>
      <c r="F540" s="2266" t="s">
        <v>5186</v>
      </c>
      <c r="G540" s="2266" t="s">
        <v>5189</v>
      </c>
      <c r="H540" s="2436">
        <v>1619723</v>
      </c>
      <c r="I540" s="2436">
        <v>0</v>
      </c>
      <c r="J540" s="2446">
        <v>0</v>
      </c>
      <c r="K540" s="2436">
        <v>0</v>
      </c>
      <c r="L540" s="2436">
        <v>0</v>
      </c>
      <c r="M540" s="2266">
        <v>599</v>
      </c>
    </row>
    <row r="541" spans="1:13" ht="15">
      <c r="A541" s="2266" t="s">
        <v>4102</v>
      </c>
      <c r="B541" s="1694" t="str">
        <f>CONCATENATE(LEFT(RIGHT(CONCATENATE("000",IFAData_TEA!A541),6),3),"-",(RIGHT(RIGHT(CONCATENATE("000",IFAData_TEA!A541),6),3)))</f>
        <v>057-909</v>
      </c>
      <c r="C541" s="2266" t="s">
        <v>1672</v>
      </c>
      <c r="D541" s="2266">
        <v>1</v>
      </c>
      <c r="E541" s="2266">
        <v>1842</v>
      </c>
      <c r="F541" s="2266" t="s">
        <v>5186</v>
      </c>
      <c r="G541" s="2266" t="s">
        <v>5186</v>
      </c>
      <c r="H541" s="2436">
        <v>1619723</v>
      </c>
      <c r="I541" s="2436">
        <v>0</v>
      </c>
      <c r="J541" s="2446">
        <v>0</v>
      </c>
      <c r="K541" s="2436">
        <v>0</v>
      </c>
      <c r="L541" s="2436">
        <v>0</v>
      </c>
      <c r="M541" s="2266">
        <v>599</v>
      </c>
    </row>
    <row r="542" spans="1:13" ht="15">
      <c r="A542" s="2266" t="s">
        <v>4102</v>
      </c>
      <c r="B542" s="1694" t="str">
        <f>CONCATENATE(LEFT(RIGHT(CONCATENATE("000",IFAData_TEA!A542),6),3),"-",(RIGHT(RIGHT(CONCATENATE("000",IFAData_TEA!A542),6),3)))</f>
        <v>057-909</v>
      </c>
      <c r="C542" s="2266" t="s">
        <v>1672</v>
      </c>
      <c r="D542" s="2266">
        <v>1</v>
      </c>
      <c r="E542" s="2266">
        <v>1842</v>
      </c>
      <c r="F542" s="2266" t="s">
        <v>5186</v>
      </c>
      <c r="G542" s="2266" t="s">
        <v>5190</v>
      </c>
      <c r="H542" s="2436">
        <v>1619723</v>
      </c>
      <c r="I542" s="2436">
        <v>19627</v>
      </c>
      <c r="J542" s="2446">
        <v>4.019693981416058E-2</v>
      </c>
      <c r="K542" s="2436">
        <v>65107.907946611616</v>
      </c>
      <c r="L542" s="2436">
        <v>19627</v>
      </c>
      <c r="M542" s="2266">
        <v>599</v>
      </c>
    </row>
    <row r="543" spans="1:13" ht="15">
      <c r="A543" s="2266" t="s">
        <v>4102</v>
      </c>
      <c r="B543" s="1694" t="str">
        <f>CONCATENATE(LEFT(RIGHT(CONCATENATE("000",IFAData_TEA!A543),6),3),"-",(RIGHT(RIGHT(CONCATENATE("000",IFAData_TEA!A543),6),3)))</f>
        <v>057-909</v>
      </c>
      <c r="C543" s="2266" t="s">
        <v>1672</v>
      </c>
      <c r="D543" s="2266">
        <v>1</v>
      </c>
      <c r="E543" s="2266">
        <v>1843</v>
      </c>
      <c r="F543" s="2266" t="s">
        <v>5191</v>
      </c>
      <c r="G543" s="2266" t="s">
        <v>5190</v>
      </c>
      <c r="H543" s="2436">
        <v>8781971</v>
      </c>
      <c r="I543" s="2436">
        <v>104442</v>
      </c>
      <c r="J543" s="2446">
        <v>3.5241443467821203E-2</v>
      </c>
      <c r="K543" s="2436">
        <v>309489.33453254524</v>
      </c>
      <c r="L543" s="2436">
        <v>104442</v>
      </c>
      <c r="M543" s="2266">
        <v>599</v>
      </c>
    </row>
    <row r="544" spans="1:13" ht="15">
      <c r="A544" s="2266" t="s">
        <v>4102</v>
      </c>
      <c r="B544" s="1694" t="str">
        <f>CONCATENATE(LEFT(RIGHT(CONCATENATE("000",IFAData_TEA!A544),6),3),"-",(RIGHT(RIGHT(CONCATENATE("000",IFAData_TEA!A544),6),3)))</f>
        <v>057-909</v>
      </c>
      <c r="C544" s="2266" t="s">
        <v>1672</v>
      </c>
      <c r="D544" s="2266">
        <v>1</v>
      </c>
      <c r="E544" s="2266">
        <v>1843</v>
      </c>
      <c r="F544" s="2266" t="s">
        <v>5191</v>
      </c>
      <c r="G544" s="2266" t="s">
        <v>5189</v>
      </c>
      <c r="H544" s="2436">
        <v>8781971</v>
      </c>
      <c r="I544" s="2436">
        <v>0</v>
      </c>
      <c r="J544" s="2446">
        <v>0</v>
      </c>
      <c r="K544" s="2436">
        <v>0</v>
      </c>
      <c r="L544" s="2436">
        <v>0</v>
      </c>
      <c r="M544" s="2266">
        <v>599</v>
      </c>
    </row>
    <row r="545" spans="1:13" ht="15">
      <c r="A545" s="2266" t="s">
        <v>4102</v>
      </c>
      <c r="B545" s="1694" t="str">
        <f>CONCATENATE(LEFT(RIGHT(CONCATENATE("000",IFAData_TEA!A545),6),3),"-",(RIGHT(RIGHT(CONCATENATE("000",IFAData_TEA!A545),6),3)))</f>
        <v>057-909</v>
      </c>
      <c r="C545" s="2266" t="s">
        <v>1672</v>
      </c>
      <c r="D545" s="2266">
        <v>1</v>
      </c>
      <c r="E545" s="2266">
        <v>1842</v>
      </c>
      <c r="F545" s="2266" t="s">
        <v>5186</v>
      </c>
      <c r="G545" s="2266" t="s">
        <v>5187</v>
      </c>
      <c r="H545" s="2436">
        <v>1619723</v>
      </c>
      <c r="I545" s="2436">
        <v>0</v>
      </c>
      <c r="J545" s="2446">
        <v>0</v>
      </c>
      <c r="K545" s="2436">
        <v>0</v>
      </c>
      <c r="L545" s="2436">
        <v>0</v>
      </c>
      <c r="M545" s="2266">
        <v>599</v>
      </c>
    </row>
    <row r="546" spans="1:13" ht="15">
      <c r="A546" s="2266" t="s">
        <v>4102</v>
      </c>
      <c r="B546" s="1694" t="str">
        <f>CONCATENATE(LEFT(RIGHT(CONCATENATE("000",IFAData_TEA!A546),6),3),"-",(RIGHT(RIGHT(CONCATENATE("000",IFAData_TEA!A546),6),3)))</f>
        <v>057-909</v>
      </c>
      <c r="C546" s="2266" t="s">
        <v>1672</v>
      </c>
      <c r="D546" s="2266">
        <v>1</v>
      </c>
      <c r="E546" s="2266">
        <v>1843</v>
      </c>
      <c r="F546" s="2266" t="s">
        <v>5191</v>
      </c>
      <c r="G546" s="2266" t="s">
        <v>5188</v>
      </c>
      <c r="H546" s="2436">
        <v>8781971</v>
      </c>
      <c r="I546" s="2436">
        <v>2053148</v>
      </c>
      <c r="J546" s="2446">
        <v>0.69278546152955867</v>
      </c>
      <c r="K546" s="2436">
        <v>6084021.8323742002</v>
      </c>
      <c r="L546" s="2436">
        <v>2053148</v>
      </c>
      <c r="M546" s="2266">
        <v>599</v>
      </c>
    </row>
    <row r="547" spans="1:13" ht="15">
      <c r="A547" s="2266" t="s">
        <v>4102</v>
      </c>
      <c r="B547" s="1694" t="str">
        <f>CONCATENATE(LEFT(RIGHT(CONCATENATE("000",IFAData_TEA!A547),6),3),"-",(RIGHT(RIGHT(CONCATENATE("000",IFAData_TEA!A547),6),3)))</f>
        <v>057-909</v>
      </c>
      <c r="C547" s="2266" t="s">
        <v>1672</v>
      </c>
      <c r="D547" s="2266">
        <v>1</v>
      </c>
      <c r="E547" s="2266">
        <v>1843</v>
      </c>
      <c r="F547" s="2266" t="s">
        <v>5191</v>
      </c>
      <c r="G547" s="2266" t="s">
        <v>5187</v>
      </c>
      <c r="H547" s="2436">
        <v>8781971</v>
      </c>
      <c r="I547" s="2436">
        <v>798849</v>
      </c>
      <c r="J547" s="2446">
        <v>0.26955240107260969</v>
      </c>
      <c r="K547" s="2436">
        <v>2367201.3692000271</v>
      </c>
      <c r="L547" s="2436">
        <v>798849</v>
      </c>
      <c r="M547" s="2266">
        <v>599</v>
      </c>
    </row>
    <row r="548" spans="1:13" ht="15">
      <c r="A548" s="2266" t="s">
        <v>4102</v>
      </c>
      <c r="B548" s="1694" t="str">
        <f>CONCATENATE(LEFT(RIGHT(CONCATENATE("000",IFAData_TEA!A548),6),3),"-",(RIGHT(RIGHT(CONCATENATE("000",IFAData_TEA!A548),6),3)))</f>
        <v>057-909</v>
      </c>
      <c r="C548" s="2266" t="s">
        <v>1672</v>
      </c>
      <c r="D548" s="2266">
        <v>1</v>
      </c>
      <c r="E548" s="2266">
        <v>1842</v>
      </c>
      <c r="F548" s="2266" t="s">
        <v>5186</v>
      </c>
      <c r="G548" s="2266" t="s">
        <v>6948</v>
      </c>
      <c r="H548" s="2436">
        <v>1619723</v>
      </c>
      <c r="I548" s="2436">
        <v>1348</v>
      </c>
      <c r="J548" s="2446">
        <v>2.7607619539149367E-3</v>
      </c>
      <c r="K548" s="2436">
        <v>4471.6696342809628</v>
      </c>
      <c r="L548" s="2436">
        <v>1348</v>
      </c>
      <c r="M548" s="2266">
        <v>599</v>
      </c>
    </row>
    <row r="549" spans="1:13" ht="15">
      <c r="A549" s="2266" t="s">
        <v>4102</v>
      </c>
      <c r="B549" s="1694" t="str">
        <f>CONCATENATE(LEFT(RIGHT(CONCATENATE("000",IFAData_TEA!A549),6),3),"-",(RIGHT(RIGHT(CONCATENATE("000",IFAData_TEA!A549),6),3)))</f>
        <v>057-909</v>
      </c>
      <c r="C549" s="2266" t="s">
        <v>1672</v>
      </c>
      <c r="D549" s="2266">
        <v>1</v>
      </c>
      <c r="E549" s="2266">
        <v>1843</v>
      </c>
      <c r="F549" s="2266" t="s">
        <v>5191</v>
      </c>
      <c r="G549" s="2266" t="s">
        <v>5191</v>
      </c>
      <c r="H549" s="2436">
        <v>8781971</v>
      </c>
      <c r="I549" s="2436">
        <v>0</v>
      </c>
      <c r="J549" s="2446">
        <v>0</v>
      </c>
      <c r="K549" s="2436">
        <v>0</v>
      </c>
      <c r="L549" s="2436">
        <v>0</v>
      </c>
      <c r="M549" s="2266">
        <v>599</v>
      </c>
    </row>
    <row r="550" spans="1:13" ht="15">
      <c r="A550" s="2266" t="s">
        <v>4102</v>
      </c>
      <c r="B550" s="1694" t="str">
        <f>CONCATENATE(LEFT(RIGHT(CONCATENATE("000",IFAData_TEA!A550),6),3),"-",(RIGHT(RIGHT(CONCATENATE("000",IFAData_TEA!A550),6),3)))</f>
        <v>057-909</v>
      </c>
      <c r="C550" s="2266" t="s">
        <v>1672</v>
      </c>
      <c r="D550" s="2266">
        <v>1</v>
      </c>
      <c r="E550" s="2266">
        <v>1842</v>
      </c>
      <c r="F550" s="2266" t="s">
        <v>5186</v>
      </c>
      <c r="G550" s="2266" t="s">
        <v>5188</v>
      </c>
      <c r="H550" s="2436">
        <v>1619723</v>
      </c>
      <c r="I550" s="2436">
        <v>467296</v>
      </c>
      <c r="J550" s="2446">
        <v>0.95704229823192444</v>
      </c>
      <c r="K550" s="2436">
        <v>1550143.4224191073</v>
      </c>
      <c r="L550" s="2436">
        <v>467296</v>
      </c>
      <c r="M550" s="2266">
        <v>599</v>
      </c>
    </row>
    <row r="551" spans="1:13" ht="15">
      <c r="A551" s="2266" t="s">
        <v>4102</v>
      </c>
      <c r="B551" s="1694" t="str">
        <f>CONCATENATE(LEFT(RIGHT(CONCATENATE("000",IFAData_TEA!A551),6),3),"-",(RIGHT(RIGHT(CONCATENATE("000",IFAData_TEA!A551),6),3)))</f>
        <v>057-909</v>
      </c>
      <c r="C551" s="2266" t="s">
        <v>1672</v>
      </c>
      <c r="D551" s="2266">
        <v>1</v>
      </c>
      <c r="E551" s="2266">
        <v>1843</v>
      </c>
      <c r="F551" s="2266" t="s">
        <v>5191</v>
      </c>
      <c r="G551" s="2266" t="s">
        <v>6948</v>
      </c>
      <c r="H551" s="2436">
        <v>8781971</v>
      </c>
      <c r="I551" s="2436">
        <v>7174</v>
      </c>
      <c r="J551" s="2446">
        <v>2.42069393001043E-3</v>
      </c>
      <c r="K551" s="2436">
        <v>21258.463893227625</v>
      </c>
      <c r="L551" s="2436">
        <v>7174</v>
      </c>
      <c r="M551" s="2266">
        <v>599</v>
      </c>
    </row>
    <row r="552" spans="1:13" ht="15">
      <c r="A552" s="2266" t="s">
        <v>4103</v>
      </c>
      <c r="B552" s="1694" t="str">
        <f>CONCATENATE(LEFT(RIGHT(CONCATENATE("000",IFAData_TEA!A552),6),3),"-",(RIGHT(RIGHT(CONCATENATE("000",IFAData_TEA!A552),6),3)))</f>
        <v>057-910</v>
      </c>
      <c r="C552" s="2266" t="s">
        <v>975</v>
      </c>
      <c r="D552" s="2266">
        <v>5</v>
      </c>
      <c r="E552" s="2266">
        <v>1854</v>
      </c>
      <c r="F552" s="2266" t="s">
        <v>5192</v>
      </c>
      <c r="G552" s="2266" t="s">
        <v>5192</v>
      </c>
      <c r="H552" s="2436">
        <v>1848646</v>
      </c>
      <c r="I552" s="2436">
        <v>0</v>
      </c>
      <c r="J552" s="2446">
        <v>0</v>
      </c>
      <c r="K552" s="2436"/>
      <c r="L552" s="2436">
        <v>0</v>
      </c>
      <c r="M552" s="2266">
        <v>599</v>
      </c>
    </row>
    <row r="553" spans="1:13" ht="15">
      <c r="A553" s="2266" t="s">
        <v>4103</v>
      </c>
      <c r="B553" s="1694" t="str">
        <f>CONCATENATE(LEFT(RIGHT(CONCATENATE("000",IFAData_TEA!A553),6),3),"-",(RIGHT(RIGHT(CONCATENATE("000",IFAData_TEA!A553),6),3)))</f>
        <v>057-910</v>
      </c>
      <c r="C553" s="2266" t="s">
        <v>975</v>
      </c>
      <c r="D553" s="2266">
        <v>5</v>
      </c>
      <c r="E553" s="2266">
        <v>1855</v>
      </c>
      <c r="F553" s="2266" t="s">
        <v>5193</v>
      </c>
      <c r="G553" s="2266" t="s">
        <v>5193</v>
      </c>
      <c r="H553" s="2436">
        <v>2988473</v>
      </c>
      <c r="I553" s="2436">
        <v>3710388</v>
      </c>
      <c r="J553" s="2446">
        <v>0.62761653628775049</v>
      </c>
      <c r="K553" s="2436">
        <v>1875615.0730494626</v>
      </c>
      <c r="L553" s="2436">
        <v>1875615.0730494626</v>
      </c>
      <c r="M553" s="2266">
        <v>599</v>
      </c>
    </row>
    <row r="554" spans="1:13" ht="15">
      <c r="A554" s="2266" t="s">
        <v>4103</v>
      </c>
      <c r="B554" s="1694" t="str">
        <f>CONCATENATE(LEFT(RIGHT(CONCATENATE("000",IFAData_TEA!A554),6),3),"-",(RIGHT(RIGHT(CONCATENATE("000",IFAData_TEA!A554),6),3)))</f>
        <v>057-910</v>
      </c>
      <c r="C554" s="2266" t="s">
        <v>975</v>
      </c>
      <c r="D554" s="2266">
        <v>5</v>
      </c>
      <c r="E554" s="2266">
        <v>1855</v>
      </c>
      <c r="F554" s="2266" t="s">
        <v>5193</v>
      </c>
      <c r="G554" s="2266" t="s">
        <v>5195</v>
      </c>
      <c r="H554" s="2436">
        <v>2988473</v>
      </c>
      <c r="I554" s="2436">
        <v>1978016</v>
      </c>
      <c r="J554" s="2446">
        <v>0.33458375529506651</v>
      </c>
      <c r="K554" s="2436">
        <v>999894.51893791335</v>
      </c>
      <c r="L554" s="2436">
        <v>999894.51893791335</v>
      </c>
      <c r="M554" s="2266">
        <v>599</v>
      </c>
    </row>
    <row r="555" spans="1:13" ht="15">
      <c r="A555" s="2266" t="s">
        <v>4103</v>
      </c>
      <c r="B555" s="1694" t="str">
        <f>CONCATENATE(LEFT(RIGHT(CONCATENATE("000",IFAData_TEA!A555),6),3),"-",(RIGHT(RIGHT(CONCATENATE("000",IFAData_TEA!A555),6),3)))</f>
        <v>057-910</v>
      </c>
      <c r="C555" s="2266" t="s">
        <v>975</v>
      </c>
      <c r="D555" s="2266">
        <v>9</v>
      </c>
      <c r="E555" s="2266">
        <v>1856</v>
      </c>
      <c r="F555" s="2266" t="s">
        <v>5196</v>
      </c>
      <c r="G555" s="2266" t="s">
        <v>6949</v>
      </c>
      <c r="H555" s="2436">
        <v>5871653</v>
      </c>
      <c r="I555" s="2436">
        <v>2040957</v>
      </c>
      <c r="J555" s="2446">
        <v>0.24136421788185841</v>
      </c>
      <c r="K555" s="2436">
        <v>1417206.9340186676</v>
      </c>
      <c r="L555" s="2436">
        <v>1417206.9340186676</v>
      </c>
      <c r="M555" s="2266">
        <v>599</v>
      </c>
    </row>
    <row r="556" spans="1:13" ht="15">
      <c r="A556" s="2266" t="s">
        <v>4103</v>
      </c>
      <c r="B556" s="1694" t="str">
        <f>CONCATENATE(LEFT(RIGHT(CONCATENATE("000",IFAData_TEA!A556),6),3),"-",(RIGHT(RIGHT(CONCATENATE("000",IFAData_TEA!A556),6),3)))</f>
        <v>057-910</v>
      </c>
      <c r="C556" s="2266" t="s">
        <v>975</v>
      </c>
      <c r="D556" s="2266">
        <v>9</v>
      </c>
      <c r="E556" s="2266">
        <v>1856</v>
      </c>
      <c r="F556" s="2266" t="s">
        <v>5196</v>
      </c>
      <c r="G556" s="2266" t="s">
        <v>5196</v>
      </c>
      <c r="H556" s="2436">
        <v>5871653</v>
      </c>
      <c r="I556" s="2436">
        <v>6414965</v>
      </c>
      <c r="J556" s="2446">
        <v>0.75863578211814153</v>
      </c>
      <c r="K556" s="2436">
        <v>4454446.0659813322</v>
      </c>
      <c r="L556" s="2436">
        <v>4454446.0659813322</v>
      </c>
      <c r="M556" s="2266">
        <v>599</v>
      </c>
    </row>
    <row r="557" spans="1:13" ht="15">
      <c r="A557" s="2266" t="s">
        <v>4103</v>
      </c>
      <c r="B557" s="1694" t="str">
        <f>CONCATENATE(LEFT(RIGHT(CONCATENATE("000",IFAData_TEA!A557),6),3),"-",(RIGHT(RIGHT(CONCATENATE("000",IFAData_TEA!A557),6),3)))</f>
        <v>057-910</v>
      </c>
      <c r="C557" s="2266" t="s">
        <v>975</v>
      </c>
      <c r="D557" s="2266">
        <v>5</v>
      </c>
      <c r="E557" s="2266">
        <v>1855</v>
      </c>
      <c r="F557" s="2266" t="s">
        <v>5193</v>
      </c>
      <c r="G557" s="2266" t="s">
        <v>5194</v>
      </c>
      <c r="H557" s="2436">
        <v>2988473</v>
      </c>
      <c r="I557" s="2436">
        <v>223467</v>
      </c>
      <c r="J557" s="2446">
        <v>3.7799708417182984E-2</v>
      </c>
      <c r="K557" s="2436">
        <v>112963.40801262409</v>
      </c>
      <c r="L557" s="2436">
        <v>112963.40801262409</v>
      </c>
      <c r="M557" s="2266">
        <v>599</v>
      </c>
    </row>
    <row r="558" spans="1:13" ht="15">
      <c r="A558" s="2266" t="s">
        <v>4104</v>
      </c>
      <c r="B558" s="1694" t="str">
        <f>CONCATENATE(LEFT(RIGHT(CONCATENATE("000",IFAData_TEA!A558),6),3),"-",(RIGHT(RIGHT(CONCATENATE("000",IFAData_TEA!A558),6),3)))</f>
        <v>057-912</v>
      </c>
      <c r="C558" s="2266" t="s">
        <v>1441</v>
      </c>
      <c r="D558" s="2266">
        <v>2</v>
      </c>
      <c r="E558" s="2266">
        <v>1929</v>
      </c>
      <c r="F558" s="2266" t="s">
        <v>5197</v>
      </c>
      <c r="G558" s="2266" t="s">
        <v>5201</v>
      </c>
      <c r="H558" s="2436">
        <v>6225000</v>
      </c>
      <c r="I558" s="2436">
        <v>1533419</v>
      </c>
      <c r="J558" s="2446">
        <v>0.2158767240078297</v>
      </c>
      <c r="K558" s="2436">
        <v>1343832.6069487398</v>
      </c>
      <c r="L558" s="2436">
        <v>1343832.6069487398</v>
      </c>
      <c r="M558" s="2266">
        <v>599</v>
      </c>
    </row>
    <row r="559" spans="1:13" ht="15">
      <c r="A559" s="2266" t="s">
        <v>4104</v>
      </c>
      <c r="B559" s="1694" t="str">
        <f>CONCATENATE(LEFT(RIGHT(CONCATENATE("000",IFAData_TEA!A559),6),3),"-",(RIGHT(RIGHT(CONCATENATE("000",IFAData_TEA!A559),6),3)))</f>
        <v>057-912</v>
      </c>
      <c r="C559" s="2266" t="s">
        <v>1441</v>
      </c>
      <c r="D559" s="2266">
        <v>2</v>
      </c>
      <c r="E559" s="2266">
        <v>1929</v>
      </c>
      <c r="F559" s="2266" t="s">
        <v>5197</v>
      </c>
      <c r="G559" s="2266" t="s">
        <v>5200</v>
      </c>
      <c r="H559" s="2436">
        <v>6225000</v>
      </c>
      <c r="I559" s="2436">
        <v>3651606</v>
      </c>
      <c r="J559" s="2446">
        <v>0.51407784868149864</v>
      </c>
      <c r="K559" s="2436">
        <v>3200134.6080423291</v>
      </c>
      <c r="L559" s="2436">
        <v>3200134.6080423291</v>
      </c>
      <c r="M559" s="2266">
        <v>599</v>
      </c>
    </row>
    <row r="560" spans="1:13" ht="15">
      <c r="A560" s="2266" t="s">
        <v>4104</v>
      </c>
      <c r="B560" s="1694" t="str">
        <f>CONCATENATE(LEFT(RIGHT(CONCATENATE("000",IFAData_TEA!A560),6),3),"-",(RIGHT(RIGHT(CONCATENATE("000",IFAData_TEA!A560),6),3)))</f>
        <v>057-912</v>
      </c>
      <c r="C560" s="2266" t="s">
        <v>1441</v>
      </c>
      <c r="D560" s="2266">
        <v>10</v>
      </c>
      <c r="E560" s="2266">
        <v>1926</v>
      </c>
      <c r="F560" s="2266" t="s">
        <v>5206</v>
      </c>
      <c r="G560" s="2266" t="s">
        <v>5206</v>
      </c>
      <c r="H560" s="2436">
        <v>1178718</v>
      </c>
      <c r="I560" s="2436">
        <v>1301639</v>
      </c>
      <c r="J560" s="2446">
        <v>1</v>
      </c>
      <c r="K560" s="2436">
        <v>1178718</v>
      </c>
      <c r="L560" s="2436">
        <v>1178718</v>
      </c>
      <c r="M560" s="2266">
        <v>599</v>
      </c>
    </row>
    <row r="561" spans="1:13" ht="15">
      <c r="A561" s="2266" t="s">
        <v>4104</v>
      </c>
      <c r="B561" s="1694" t="str">
        <f>CONCATENATE(LEFT(RIGHT(CONCATENATE("000",IFAData_TEA!A561),6),3),"-",(RIGHT(RIGHT(CONCATENATE("000",IFAData_TEA!A561),6),3)))</f>
        <v>057-912</v>
      </c>
      <c r="C561" s="2266" t="s">
        <v>1441</v>
      </c>
      <c r="D561" s="2266">
        <v>2</v>
      </c>
      <c r="E561" s="2266">
        <v>1929</v>
      </c>
      <c r="F561" s="2266" t="s">
        <v>5197</v>
      </c>
      <c r="G561" s="2266" t="s">
        <v>5199</v>
      </c>
      <c r="H561" s="2436">
        <v>6225000</v>
      </c>
      <c r="I561" s="2436">
        <v>0</v>
      </c>
      <c r="J561" s="2446">
        <v>0</v>
      </c>
      <c r="K561" s="2436">
        <v>0</v>
      </c>
      <c r="L561" s="2436">
        <v>0</v>
      </c>
      <c r="M561" s="2266">
        <v>599</v>
      </c>
    </row>
    <row r="562" spans="1:13" ht="15">
      <c r="A562" s="2266" t="s">
        <v>4104</v>
      </c>
      <c r="B562" s="1694" t="str">
        <f>CONCATENATE(LEFT(RIGHT(CONCATENATE("000",IFAData_TEA!A562),6),3),"-",(RIGHT(RIGHT(CONCATENATE("000",IFAData_TEA!A562),6),3)))</f>
        <v>057-912</v>
      </c>
      <c r="C562" s="2266" t="s">
        <v>1441</v>
      </c>
      <c r="D562" s="2266">
        <v>10</v>
      </c>
      <c r="E562" s="2266">
        <v>1925</v>
      </c>
      <c r="F562" s="2266" t="s">
        <v>5205</v>
      </c>
      <c r="G562" s="2266" t="s">
        <v>5205</v>
      </c>
      <c r="H562" s="2436">
        <v>223714</v>
      </c>
      <c r="I562" s="2436">
        <v>276073</v>
      </c>
      <c r="J562" s="2446">
        <v>1</v>
      </c>
      <c r="K562" s="2436">
        <v>223714</v>
      </c>
      <c r="L562" s="2436">
        <v>223714</v>
      </c>
      <c r="M562" s="2266">
        <v>599</v>
      </c>
    </row>
    <row r="563" spans="1:13" ht="15">
      <c r="A563" s="2266" t="s">
        <v>4104</v>
      </c>
      <c r="B563" s="1694" t="str">
        <f>CONCATENATE(LEFT(RIGHT(CONCATENATE("000",IFAData_TEA!A563),6),3),"-",(RIGHT(RIGHT(CONCATENATE("000",IFAData_TEA!A563),6),3)))</f>
        <v>057-912</v>
      </c>
      <c r="C563" s="2266" t="s">
        <v>1441</v>
      </c>
      <c r="D563" s="2266">
        <v>10</v>
      </c>
      <c r="E563" s="2266">
        <v>1927</v>
      </c>
      <c r="F563" s="2266" t="s">
        <v>5204</v>
      </c>
      <c r="G563" s="2266" t="s">
        <v>5204</v>
      </c>
      <c r="H563" s="2436">
        <v>3568037</v>
      </c>
      <c r="I563" s="2436">
        <v>3429907</v>
      </c>
      <c r="J563" s="2446">
        <v>1</v>
      </c>
      <c r="K563" s="2436">
        <v>3568037</v>
      </c>
      <c r="L563" s="2436">
        <v>3429907</v>
      </c>
      <c r="M563" s="2266">
        <v>599</v>
      </c>
    </row>
    <row r="564" spans="1:13" ht="15">
      <c r="A564" s="2266" t="s">
        <v>4104</v>
      </c>
      <c r="B564" s="1694" t="str">
        <f>CONCATENATE(LEFT(RIGHT(CONCATENATE("000",IFAData_TEA!A564),6),3),"-",(RIGHT(RIGHT(CONCATENATE("000",IFAData_TEA!A564),6),3)))</f>
        <v>057-912</v>
      </c>
      <c r="C564" s="2266" t="s">
        <v>1441</v>
      </c>
      <c r="D564" s="2266">
        <v>9</v>
      </c>
      <c r="E564" s="2266">
        <v>1928</v>
      </c>
      <c r="F564" s="2266" t="s">
        <v>5203</v>
      </c>
      <c r="G564" s="2266" t="s">
        <v>6950</v>
      </c>
      <c r="H564" s="2436">
        <v>4239880</v>
      </c>
      <c r="I564" s="2436">
        <v>1435032</v>
      </c>
      <c r="J564" s="2446">
        <v>0.32208311983177534</v>
      </c>
      <c r="K564" s="2436">
        <v>1365593.7781123477</v>
      </c>
      <c r="L564" s="2436">
        <v>1365593.7781123477</v>
      </c>
      <c r="M564" s="2266">
        <v>599</v>
      </c>
    </row>
    <row r="565" spans="1:13" ht="15">
      <c r="A565" s="2266" t="s">
        <v>4104</v>
      </c>
      <c r="B565" s="1694" t="str">
        <f>CONCATENATE(LEFT(RIGHT(CONCATENATE("000",IFAData_TEA!A565),6),3),"-",(RIGHT(RIGHT(CONCATENATE("000",IFAData_TEA!A565),6),3)))</f>
        <v>057-912</v>
      </c>
      <c r="C565" s="2266" t="s">
        <v>1441</v>
      </c>
      <c r="D565" s="2266">
        <v>2</v>
      </c>
      <c r="E565" s="2266">
        <v>1929</v>
      </c>
      <c r="F565" s="2266" t="s">
        <v>5197</v>
      </c>
      <c r="G565" s="2266" t="s">
        <v>5202</v>
      </c>
      <c r="H565" s="2436">
        <v>6225000</v>
      </c>
      <c r="I565" s="2436">
        <v>1731228</v>
      </c>
      <c r="J565" s="2446">
        <v>0.24372453266238842</v>
      </c>
      <c r="K565" s="2436">
        <v>1517185.2158233679</v>
      </c>
      <c r="L565" s="2436">
        <v>1517185.2158233679</v>
      </c>
      <c r="M565" s="2266">
        <v>599</v>
      </c>
    </row>
    <row r="566" spans="1:13" ht="15">
      <c r="A566" s="2266" t="s">
        <v>4104</v>
      </c>
      <c r="B566" s="1694" t="str">
        <f>CONCATENATE(LEFT(RIGHT(CONCATENATE("000",IFAData_TEA!A566),6),3),"-",(RIGHT(RIGHT(CONCATENATE("000",IFAData_TEA!A566),6),3)))</f>
        <v>057-912</v>
      </c>
      <c r="C566" s="2266" t="s">
        <v>1441</v>
      </c>
      <c r="D566" s="2266">
        <v>2</v>
      </c>
      <c r="E566" s="2266">
        <v>1929</v>
      </c>
      <c r="F566" s="2266" t="s">
        <v>5197</v>
      </c>
      <c r="G566" s="2266" t="s">
        <v>5198</v>
      </c>
      <c r="H566" s="2436">
        <v>6225000</v>
      </c>
      <c r="I566" s="2436">
        <v>0</v>
      </c>
      <c r="J566" s="2446">
        <v>0</v>
      </c>
      <c r="K566" s="2436">
        <v>0</v>
      </c>
      <c r="L566" s="2436">
        <v>0</v>
      </c>
      <c r="M566" s="2266">
        <v>599</v>
      </c>
    </row>
    <row r="567" spans="1:13" ht="15">
      <c r="A567" s="2266" t="s">
        <v>4104</v>
      </c>
      <c r="B567" s="1694" t="str">
        <f>CONCATENATE(LEFT(RIGHT(CONCATENATE("000",IFAData_TEA!A567),6),3),"-",(RIGHT(RIGHT(CONCATENATE("000",IFAData_TEA!A567),6),3)))</f>
        <v>057-912</v>
      </c>
      <c r="C567" s="2266" t="s">
        <v>1441</v>
      </c>
      <c r="D567" s="2266">
        <v>9</v>
      </c>
      <c r="E567" s="2266">
        <v>1928</v>
      </c>
      <c r="F567" s="2266" t="s">
        <v>5203</v>
      </c>
      <c r="G567" s="2266" t="s">
        <v>5203</v>
      </c>
      <c r="H567" s="2436">
        <v>4239880</v>
      </c>
      <c r="I567" s="2436">
        <v>3020439</v>
      </c>
      <c r="J567" s="2446">
        <v>0.6779168801682246</v>
      </c>
      <c r="K567" s="2436">
        <v>2874286.2218876523</v>
      </c>
      <c r="L567" s="2436">
        <v>2874286.2218876523</v>
      </c>
      <c r="M567" s="2266">
        <v>599</v>
      </c>
    </row>
    <row r="568" spans="1:13" ht="15">
      <c r="A568" s="2266" t="s">
        <v>4104</v>
      </c>
      <c r="B568" s="1694" t="str">
        <f>CONCATENATE(LEFT(RIGHT(CONCATENATE("000",IFAData_TEA!A568),6),3),"-",(RIGHT(RIGHT(CONCATENATE("000",IFAData_TEA!A568),6),3)))</f>
        <v>057-912</v>
      </c>
      <c r="C568" s="2266" t="s">
        <v>1441</v>
      </c>
      <c r="D568" s="2266">
        <v>2</v>
      </c>
      <c r="E568" s="2266">
        <v>1929</v>
      </c>
      <c r="F568" s="2266" t="s">
        <v>5197</v>
      </c>
      <c r="G568" s="2266" t="s">
        <v>5197</v>
      </c>
      <c r="H568" s="2436">
        <v>6225000</v>
      </c>
      <c r="I568" s="2436">
        <v>0</v>
      </c>
      <c r="J568" s="2446">
        <v>0</v>
      </c>
      <c r="K568" s="2436">
        <v>0</v>
      </c>
      <c r="L568" s="2436">
        <v>0</v>
      </c>
      <c r="M568" s="2266">
        <v>599</v>
      </c>
    </row>
    <row r="569" spans="1:13" ht="15">
      <c r="A569" s="2266" t="s">
        <v>4104</v>
      </c>
      <c r="B569" s="1694" t="str">
        <f>CONCATENATE(LEFT(RIGHT(CONCATENATE("000",IFAData_TEA!A569),6),3),"-",(RIGHT(RIGHT(CONCATENATE("000",IFAData_TEA!A569),6),3)))</f>
        <v>057-912</v>
      </c>
      <c r="C569" s="2266" t="s">
        <v>1441</v>
      </c>
      <c r="D569" s="2266">
        <v>2</v>
      </c>
      <c r="E569" s="2266">
        <v>1929</v>
      </c>
      <c r="F569" s="2266" t="s">
        <v>5197</v>
      </c>
      <c r="G569" s="2266" t="s">
        <v>6950</v>
      </c>
      <c r="H569" s="2436">
        <v>6225000</v>
      </c>
      <c r="I569" s="2436">
        <v>186963</v>
      </c>
      <c r="J569" s="2446">
        <v>2.6320894648283258E-2</v>
      </c>
      <c r="K569" s="2436">
        <v>163847.56918556328</v>
      </c>
      <c r="L569" s="2436">
        <v>163847.56918556328</v>
      </c>
      <c r="M569" s="2266">
        <v>599</v>
      </c>
    </row>
    <row r="570" spans="1:13" ht="15">
      <c r="A570" s="2266" t="s">
        <v>4105</v>
      </c>
      <c r="B570" s="1694" t="str">
        <f>CONCATENATE(LEFT(RIGHT(CONCATENATE("000",IFAData_TEA!A570),6),3),"-",(RIGHT(RIGHT(CONCATENATE("000",IFAData_TEA!A570),6),3)))</f>
        <v>057-914</v>
      </c>
      <c r="C570" s="2266" t="s">
        <v>2554</v>
      </c>
      <c r="D570" s="2266">
        <v>6</v>
      </c>
      <c r="E570" s="2266">
        <v>2101</v>
      </c>
      <c r="F570" s="2266" t="s">
        <v>5217</v>
      </c>
      <c r="G570" s="2266" t="s">
        <v>5211</v>
      </c>
      <c r="H570" s="2436">
        <v>3859835</v>
      </c>
      <c r="I570" s="2436">
        <v>1444334</v>
      </c>
      <c r="J570" s="2446">
        <v>0.28988458477715257</v>
      </c>
      <c r="K570" s="2436">
        <v>1118906.6662833206</v>
      </c>
      <c r="L570" s="2436">
        <v>1118906.6662833206</v>
      </c>
      <c r="M570" s="2266">
        <v>599</v>
      </c>
    </row>
    <row r="571" spans="1:13" ht="15">
      <c r="A571" s="2266" t="s">
        <v>4105</v>
      </c>
      <c r="B571" s="1694" t="str">
        <f>CONCATENATE(LEFT(RIGHT(CONCATENATE("000",IFAData_TEA!A571),6),3),"-",(RIGHT(RIGHT(CONCATENATE("000",IFAData_TEA!A571),6),3)))</f>
        <v>057-914</v>
      </c>
      <c r="C571" s="2266" t="s">
        <v>2554</v>
      </c>
      <c r="D571" s="2266">
        <v>10</v>
      </c>
      <c r="E571" s="2266">
        <v>2098</v>
      </c>
      <c r="F571" s="2266" t="s">
        <v>5218</v>
      </c>
      <c r="G571" s="2266" t="s">
        <v>5218</v>
      </c>
      <c r="H571" s="2436">
        <v>1093194</v>
      </c>
      <c r="I571" s="2436">
        <v>2298131</v>
      </c>
      <c r="J571" s="2446">
        <v>1</v>
      </c>
      <c r="K571" s="2436">
        <v>1093194</v>
      </c>
      <c r="L571" s="2436">
        <v>1093194</v>
      </c>
      <c r="M571" s="2266">
        <v>599</v>
      </c>
    </row>
    <row r="572" spans="1:13" ht="15">
      <c r="A572" s="2266" t="s">
        <v>4105</v>
      </c>
      <c r="B572" s="1694" t="str">
        <f>CONCATENATE(LEFT(RIGHT(CONCATENATE("000",IFAData_TEA!A572),6),3),"-",(RIGHT(RIGHT(CONCATENATE("000",IFAData_TEA!A572),6),3)))</f>
        <v>057-914</v>
      </c>
      <c r="C572" s="2266" t="s">
        <v>2554</v>
      </c>
      <c r="D572" s="2266">
        <v>1</v>
      </c>
      <c r="E572" s="2266">
        <v>2097</v>
      </c>
      <c r="F572" s="2266" t="s">
        <v>5207</v>
      </c>
      <c r="G572" s="2266" t="s">
        <v>5208</v>
      </c>
      <c r="H572" s="2436">
        <v>838538</v>
      </c>
      <c r="I572" s="2436">
        <v>795713</v>
      </c>
      <c r="J572" s="2446">
        <v>0.82302764136150564</v>
      </c>
      <c r="K572" s="2436">
        <v>690139.95233199419</v>
      </c>
      <c r="L572" s="2436">
        <v>690139.95233199419</v>
      </c>
      <c r="M572" s="2266">
        <v>599</v>
      </c>
    </row>
    <row r="573" spans="1:13" ht="15">
      <c r="A573" s="2266" t="s">
        <v>4105</v>
      </c>
      <c r="B573" s="1694" t="str">
        <f>CONCATENATE(LEFT(RIGHT(CONCATENATE("000",IFAData_TEA!A573),6),3),"-",(RIGHT(RIGHT(CONCATENATE("000",IFAData_TEA!A573),6),3)))</f>
        <v>057-914</v>
      </c>
      <c r="C573" s="2266" t="s">
        <v>2554</v>
      </c>
      <c r="D573" s="2266">
        <v>9</v>
      </c>
      <c r="E573" s="2266">
        <v>2100</v>
      </c>
      <c r="F573" s="2266" t="s">
        <v>5214</v>
      </c>
      <c r="G573" s="2266" t="s">
        <v>6951</v>
      </c>
      <c r="H573" s="2436">
        <v>3273731</v>
      </c>
      <c r="I573" s="2436">
        <v>191443</v>
      </c>
      <c r="J573" s="2446">
        <v>0.17380903095538996</v>
      </c>
      <c r="K573" s="2436">
        <v>569004.01271861978</v>
      </c>
      <c r="L573" s="2436">
        <v>191443</v>
      </c>
      <c r="M573" s="2266">
        <v>599</v>
      </c>
    </row>
    <row r="574" spans="1:13" ht="15">
      <c r="A574" s="2266" t="s">
        <v>4105</v>
      </c>
      <c r="B574" s="1694" t="str">
        <f>CONCATENATE(LEFT(RIGHT(CONCATENATE("000",IFAData_TEA!A574),6),3),"-",(RIGHT(RIGHT(CONCATENATE("000",IFAData_TEA!A574),6),3)))</f>
        <v>057-914</v>
      </c>
      <c r="C574" s="2266" t="s">
        <v>2554</v>
      </c>
      <c r="D574" s="2266">
        <v>1</v>
      </c>
      <c r="E574" s="2266">
        <v>2102</v>
      </c>
      <c r="F574" s="2266" t="s">
        <v>5212</v>
      </c>
      <c r="G574" s="2266" t="s">
        <v>6952</v>
      </c>
      <c r="H574" s="2436">
        <v>5978212</v>
      </c>
      <c r="I574" s="2436">
        <v>35393</v>
      </c>
      <c r="J574" s="2446">
        <v>3.9403403546495585E-3</v>
      </c>
      <c r="K574" s="2436">
        <v>23556.189992250245</v>
      </c>
      <c r="L574" s="2436">
        <v>23556.189992250245</v>
      </c>
      <c r="M574" s="2266">
        <v>599</v>
      </c>
    </row>
    <row r="575" spans="1:13" ht="15">
      <c r="A575" s="2266" t="s">
        <v>4105</v>
      </c>
      <c r="B575" s="1694" t="str">
        <f>CONCATENATE(LEFT(RIGHT(CONCATENATE("000",IFAData_TEA!A575),6),3),"-",(RIGHT(RIGHT(CONCATENATE("000",IFAData_TEA!A575),6),3)))</f>
        <v>057-914</v>
      </c>
      <c r="C575" s="2266" t="s">
        <v>2554</v>
      </c>
      <c r="D575" s="2266">
        <v>1</v>
      </c>
      <c r="E575" s="2266">
        <v>2102</v>
      </c>
      <c r="F575" s="2266" t="s">
        <v>5212</v>
      </c>
      <c r="G575" s="2266" t="s">
        <v>5212</v>
      </c>
      <c r="H575" s="2436">
        <v>5978212</v>
      </c>
      <c r="I575" s="2436">
        <v>0</v>
      </c>
      <c r="J575" s="2446">
        <v>0</v>
      </c>
      <c r="K575" s="2436">
        <v>0</v>
      </c>
      <c r="L575" s="2436">
        <v>0</v>
      </c>
      <c r="M575" s="2266">
        <v>599</v>
      </c>
    </row>
    <row r="576" spans="1:13" ht="15">
      <c r="A576" s="2266" t="s">
        <v>4105</v>
      </c>
      <c r="B576" s="1694" t="str">
        <f>CONCATENATE(LEFT(RIGHT(CONCATENATE("000",IFAData_TEA!A576),6),3),"-",(RIGHT(RIGHT(CONCATENATE("000",IFAData_TEA!A576),6),3)))</f>
        <v>057-914</v>
      </c>
      <c r="C576" s="2266" t="s">
        <v>2554</v>
      </c>
      <c r="D576" s="2266">
        <v>1</v>
      </c>
      <c r="E576" s="2266">
        <v>2102</v>
      </c>
      <c r="F576" s="2266" t="s">
        <v>5212</v>
      </c>
      <c r="G576" s="2266" t="s">
        <v>6951</v>
      </c>
      <c r="H576" s="2436">
        <v>5978212</v>
      </c>
      <c r="I576" s="2436">
        <v>38828</v>
      </c>
      <c r="J576" s="2446">
        <v>4.3227625601201664E-3</v>
      </c>
      <c r="K576" s="2436">
        <v>25842.391010061099</v>
      </c>
      <c r="L576" s="2436">
        <v>25842.391010061099</v>
      </c>
      <c r="M576" s="2266">
        <v>599</v>
      </c>
    </row>
    <row r="577" spans="1:13" ht="15">
      <c r="A577" s="2266" t="s">
        <v>4105</v>
      </c>
      <c r="B577" s="1694" t="str">
        <f>CONCATENATE(LEFT(RIGHT(CONCATENATE("000",IFAData_TEA!A577),6),3),"-",(RIGHT(RIGHT(CONCATENATE("000",IFAData_TEA!A577),6),3)))</f>
        <v>057-914</v>
      </c>
      <c r="C577" s="2266" t="s">
        <v>2554</v>
      </c>
      <c r="D577" s="2266">
        <v>1</v>
      </c>
      <c r="E577" s="2266">
        <v>2097</v>
      </c>
      <c r="F577" s="2266" t="s">
        <v>5207</v>
      </c>
      <c r="G577" s="2266" t="s">
        <v>5211</v>
      </c>
      <c r="H577" s="2436">
        <v>838538</v>
      </c>
      <c r="I577" s="2436">
        <v>146554</v>
      </c>
      <c r="J577" s="2446">
        <v>0.15158479621684465</v>
      </c>
      <c r="K577" s="2436">
        <v>127109.61185008047</v>
      </c>
      <c r="L577" s="2436">
        <v>127109.61185008047</v>
      </c>
      <c r="M577" s="2266">
        <v>599</v>
      </c>
    </row>
    <row r="578" spans="1:13" ht="15">
      <c r="A578" s="2266" t="s">
        <v>4105</v>
      </c>
      <c r="B578" s="1694" t="str">
        <f>CONCATENATE(LEFT(RIGHT(CONCATENATE("000",IFAData_TEA!A578),6),3),"-",(RIGHT(RIGHT(CONCATENATE("000",IFAData_TEA!A578),6),3)))</f>
        <v>057-914</v>
      </c>
      <c r="C578" s="2266" t="s">
        <v>2554</v>
      </c>
      <c r="D578" s="2266">
        <v>1</v>
      </c>
      <c r="E578" s="2266">
        <v>2102</v>
      </c>
      <c r="F578" s="2266" t="s">
        <v>5212</v>
      </c>
      <c r="G578" s="2266" t="s">
        <v>5211</v>
      </c>
      <c r="H578" s="2436">
        <v>5978212</v>
      </c>
      <c r="I578" s="2436">
        <v>2930615</v>
      </c>
      <c r="J578" s="2446">
        <v>0.32626848666237152</v>
      </c>
      <c r="K578" s="2436">
        <v>1950502.1821868294</v>
      </c>
      <c r="L578" s="2436">
        <v>1950502.1821868294</v>
      </c>
      <c r="M578" s="2266">
        <v>599</v>
      </c>
    </row>
    <row r="579" spans="1:13" ht="15">
      <c r="A579" s="2266" t="s">
        <v>4105</v>
      </c>
      <c r="B579" s="1694" t="str">
        <f>CONCATENATE(LEFT(RIGHT(CONCATENATE("000",IFAData_TEA!A579),6),3),"-",(RIGHT(RIGHT(CONCATENATE("000",IFAData_TEA!A579),6),3)))</f>
        <v>057-914</v>
      </c>
      <c r="C579" s="2266" t="s">
        <v>2554</v>
      </c>
      <c r="D579" s="2266">
        <v>1</v>
      </c>
      <c r="E579" s="2266">
        <v>2102</v>
      </c>
      <c r="F579" s="2266" t="s">
        <v>5212</v>
      </c>
      <c r="G579" s="2266" t="s">
        <v>5208</v>
      </c>
      <c r="H579" s="2436">
        <v>5978212</v>
      </c>
      <c r="I579" s="2436">
        <v>5135653</v>
      </c>
      <c r="J579" s="2446">
        <v>0.57175771376761131</v>
      </c>
      <c r="K579" s="2436">
        <v>3418088.8255380993</v>
      </c>
      <c r="L579" s="2436">
        <v>3418088.8255380993</v>
      </c>
      <c r="M579" s="2266">
        <v>599</v>
      </c>
    </row>
    <row r="580" spans="1:13" ht="15">
      <c r="A580" s="2266" t="s">
        <v>4105</v>
      </c>
      <c r="B580" s="1694" t="str">
        <f>CONCATENATE(LEFT(RIGHT(CONCATENATE("000",IFAData_TEA!A580),6),3),"-",(RIGHT(RIGHT(CONCATENATE("000",IFAData_TEA!A580),6),3)))</f>
        <v>057-914</v>
      </c>
      <c r="C580" s="2266" t="s">
        <v>2554</v>
      </c>
      <c r="D580" s="2266">
        <v>6</v>
      </c>
      <c r="E580" s="2266">
        <v>2101</v>
      </c>
      <c r="F580" s="2266" t="s">
        <v>5217</v>
      </c>
      <c r="G580" s="2266" t="s">
        <v>5217</v>
      </c>
      <c r="H580" s="2436">
        <v>3859835</v>
      </c>
      <c r="I580" s="2436">
        <v>0</v>
      </c>
      <c r="J580" s="2446">
        <v>0</v>
      </c>
      <c r="K580" s="2436">
        <v>0</v>
      </c>
      <c r="L580" s="2436">
        <v>0</v>
      </c>
      <c r="M580" s="2266">
        <v>599</v>
      </c>
    </row>
    <row r="581" spans="1:13" ht="15">
      <c r="A581" s="2266" t="s">
        <v>4105</v>
      </c>
      <c r="B581" s="1694" t="str">
        <f>CONCATENATE(LEFT(RIGHT(CONCATENATE("000",IFAData_TEA!A581),6),3),"-",(RIGHT(RIGHT(CONCATENATE("000",IFAData_TEA!A581),6),3)))</f>
        <v>057-914</v>
      </c>
      <c r="C581" s="2266" t="s">
        <v>2554</v>
      </c>
      <c r="D581" s="2266">
        <v>6</v>
      </c>
      <c r="E581" s="2266">
        <v>2101</v>
      </c>
      <c r="F581" s="2266" t="s">
        <v>5217</v>
      </c>
      <c r="G581" s="2266" t="s">
        <v>6951</v>
      </c>
      <c r="H581" s="2436">
        <v>3859835</v>
      </c>
      <c r="I581" s="2436">
        <v>36902</v>
      </c>
      <c r="J581" s="2446">
        <v>7.406403884036853E-3</v>
      </c>
      <c r="K581" s="2436">
        <v>28587.496935741387</v>
      </c>
      <c r="L581" s="2436">
        <v>28587.496935741387</v>
      </c>
      <c r="M581" s="2266">
        <v>599</v>
      </c>
    </row>
    <row r="582" spans="1:13" ht="15">
      <c r="A582" s="2266" t="s">
        <v>4105</v>
      </c>
      <c r="B582" s="1694" t="str">
        <f>CONCATENATE(LEFT(RIGHT(CONCATENATE("000",IFAData_TEA!A582),6),3),"-",(RIGHT(RIGHT(CONCATENATE("000",IFAData_TEA!A582),6),3)))</f>
        <v>057-914</v>
      </c>
      <c r="C582" s="2266" t="s">
        <v>2554</v>
      </c>
      <c r="D582" s="2266">
        <v>6</v>
      </c>
      <c r="E582" s="2266">
        <v>2101</v>
      </c>
      <c r="F582" s="2266" t="s">
        <v>5217</v>
      </c>
      <c r="G582" s="2266" t="s">
        <v>5216</v>
      </c>
      <c r="H582" s="2436">
        <v>3859835</v>
      </c>
      <c r="I582" s="2436">
        <v>1257749</v>
      </c>
      <c r="J582" s="2446">
        <v>0.25243610315818837</v>
      </c>
      <c r="K582" s="2436">
        <v>974361.70623358607</v>
      </c>
      <c r="L582" s="2436">
        <v>974361.70623358607</v>
      </c>
      <c r="M582" s="2266">
        <v>599</v>
      </c>
    </row>
    <row r="583" spans="1:13" ht="15">
      <c r="A583" s="2266" t="s">
        <v>4105</v>
      </c>
      <c r="B583" s="1694" t="str">
        <f>CONCATENATE(LEFT(RIGHT(CONCATENATE("000",IFAData_TEA!A583),6),3),"-",(RIGHT(RIGHT(CONCATENATE("000",IFAData_TEA!A583),6),3)))</f>
        <v>057-914</v>
      </c>
      <c r="C583" s="2266" t="s">
        <v>2554</v>
      </c>
      <c r="D583" s="2266">
        <v>10</v>
      </c>
      <c r="E583" s="2266">
        <v>2099</v>
      </c>
      <c r="F583" s="2266" t="s">
        <v>5219</v>
      </c>
      <c r="G583" s="2266" t="s">
        <v>5219</v>
      </c>
      <c r="H583" s="2436">
        <v>2344293</v>
      </c>
      <c r="I583" s="2436">
        <v>3168924</v>
      </c>
      <c r="J583" s="2446">
        <v>1</v>
      </c>
      <c r="K583" s="2436">
        <v>2344293</v>
      </c>
      <c r="L583" s="2436">
        <v>2344293</v>
      </c>
      <c r="M583" s="2266">
        <v>599</v>
      </c>
    </row>
    <row r="584" spans="1:13" ht="15">
      <c r="A584" s="2266" t="s">
        <v>4105</v>
      </c>
      <c r="B584" s="1694" t="str">
        <f>CONCATENATE(LEFT(RIGHT(CONCATENATE("000",IFAData_TEA!A584),6),3),"-",(RIGHT(RIGHT(CONCATENATE("000",IFAData_TEA!A584),6),3)))</f>
        <v>057-914</v>
      </c>
      <c r="C584" s="2266" t="s">
        <v>2554</v>
      </c>
      <c r="D584" s="2266">
        <v>1</v>
      </c>
      <c r="E584" s="2266">
        <v>2097</v>
      </c>
      <c r="F584" s="2266" t="s">
        <v>5207</v>
      </c>
      <c r="G584" s="2266" t="s">
        <v>6952</v>
      </c>
      <c r="H584" s="2436">
        <v>838538</v>
      </c>
      <c r="I584" s="2436">
        <v>11012</v>
      </c>
      <c r="J584" s="2446">
        <v>1.1390011708584502E-2</v>
      </c>
      <c r="K584" s="2436">
        <v>9550.9576380930321</v>
      </c>
      <c r="L584" s="2436">
        <v>9550.9576380930321</v>
      </c>
      <c r="M584" s="2266">
        <v>599</v>
      </c>
    </row>
    <row r="585" spans="1:13" ht="15">
      <c r="A585" s="2266" t="s">
        <v>4105</v>
      </c>
      <c r="B585" s="1694" t="str">
        <f>CONCATENATE(LEFT(RIGHT(CONCATENATE("000",IFAData_TEA!A585),6),3),"-",(RIGHT(RIGHT(CONCATENATE("000",IFAData_TEA!A585),6),3)))</f>
        <v>057-914</v>
      </c>
      <c r="C585" s="2266" t="s">
        <v>2554</v>
      </c>
      <c r="D585" s="2266">
        <v>1</v>
      </c>
      <c r="E585" s="2266">
        <v>2102</v>
      </c>
      <c r="F585" s="2266" t="s">
        <v>5212</v>
      </c>
      <c r="G585" s="2266" t="s">
        <v>5213</v>
      </c>
      <c r="H585" s="2436">
        <v>5978212</v>
      </c>
      <c r="I585" s="2436">
        <v>0</v>
      </c>
      <c r="J585" s="2446">
        <v>0</v>
      </c>
      <c r="K585" s="2436">
        <v>0</v>
      </c>
      <c r="L585" s="2436">
        <v>0</v>
      </c>
      <c r="M585" s="2266">
        <v>599</v>
      </c>
    </row>
    <row r="586" spans="1:13" ht="15">
      <c r="A586" s="2266" t="s">
        <v>4105</v>
      </c>
      <c r="B586" s="1694" t="str">
        <f>CONCATENATE(LEFT(RIGHT(CONCATENATE("000",IFAData_TEA!A586),6),3),"-",(RIGHT(RIGHT(CONCATENATE("000",IFAData_TEA!A586),6),3)))</f>
        <v>057-914</v>
      </c>
      <c r="C586" s="2266" t="s">
        <v>2554</v>
      </c>
      <c r="D586" s="2266">
        <v>6</v>
      </c>
      <c r="E586" s="2266">
        <v>2101</v>
      </c>
      <c r="F586" s="2266" t="s">
        <v>5217</v>
      </c>
      <c r="G586" s="2266" t="s">
        <v>5213</v>
      </c>
      <c r="H586" s="2436">
        <v>3859835</v>
      </c>
      <c r="I586" s="2436">
        <v>2243460</v>
      </c>
      <c r="J586" s="2446">
        <v>0.45027290818062216</v>
      </c>
      <c r="K586" s="2436">
        <v>1737979.1305473517</v>
      </c>
      <c r="L586" s="2436">
        <v>1737979.1305473517</v>
      </c>
      <c r="M586" s="2266">
        <v>599</v>
      </c>
    </row>
    <row r="587" spans="1:13" ht="15">
      <c r="A587" s="2266" t="s">
        <v>4105</v>
      </c>
      <c r="B587" s="1694" t="str">
        <f>CONCATENATE(LEFT(RIGHT(CONCATENATE("000",IFAData_TEA!A587),6),3),"-",(RIGHT(RIGHT(CONCATENATE("000",IFAData_TEA!A587),6),3)))</f>
        <v>057-914</v>
      </c>
      <c r="C587" s="2266" t="s">
        <v>2554</v>
      </c>
      <c r="D587" s="2266">
        <v>1</v>
      </c>
      <c r="E587" s="2266">
        <v>2102</v>
      </c>
      <c r="F587" s="2266" t="s">
        <v>5212</v>
      </c>
      <c r="G587" s="2266" t="s">
        <v>5209</v>
      </c>
      <c r="H587" s="2436">
        <v>5978212</v>
      </c>
      <c r="I587" s="2436">
        <v>0</v>
      </c>
      <c r="J587" s="2446">
        <v>0</v>
      </c>
      <c r="K587" s="2436">
        <v>0</v>
      </c>
      <c r="L587" s="2436">
        <v>0</v>
      </c>
      <c r="M587" s="2266">
        <v>599</v>
      </c>
    </row>
    <row r="588" spans="1:13" ht="15">
      <c r="A588" s="2266" t="s">
        <v>4105</v>
      </c>
      <c r="B588" s="1694" t="str">
        <f>CONCATENATE(LEFT(RIGHT(CONCATENATE("000",IFAData_TEA!A588),6),3),"-",(RIGHT(RIGHT(CONCATENATE("000",IFAData_TEA!A588),6),3)))</f>
        <v>057-914</v>
      </c>
      <c r="C588" s="2266" t="s">
        <v>2554</v>
      </c>
      <c r="D588" s="2266">
        <v>1</v>
      </c>
      <c r="E588" s="2266">
        <v>2102</v>
      </c>
      <c r="F588" s="2266" t="s">
        <v>5212</v>
      </c>
      <c r="G588" s="2266" t="s">
        <v>5210</v>
      </c>
      <c r="H588" s="2436">
        <v>5978212</v>
      </c>
      <c r="I588" s="2436">
        <v>0</v>
      </c>
      <c r="J588" s="2446">
        <v>0</v>
      </c>
      <c r="K588" s="2436">
        <v>0</v>
      </c>
      <c r="L588" s="2436">
        <v>0</v>
      </c>
      <c r="M588" s="2266">
        <v>599</v>
      </c>
    </row>
    <row r="589" spans="1:13" ht="15">
      <c r="A589" s="2266" t="s">
        <v>4105</v>
      </c>
      <c r="B589" s="1694" t="str">
        <f>CONCATENATE(LEFT(RIGHT(CONCATENATE("000",IFAData_TEA!A589),6),3),"-",(RIGHT(RIGHT(CONCATENATE("000",IFAData_TEA!A589),6),3)))</f>
        <v>057-914</v>
      </c>
      <c r="C589" s="2266" t="s">
        <v>2554</v>
      </c>
      <c r="D589" s="2266">
        <v>1</v>
      </c>
      <c r="E589" s="2266">
        <v>2097</v>
      </c>
      <c r="F589" s="2266" t="s">
        <v>5207</v>
      </c>
      <c r="G589" s="2266" t="s">
        <v>5207</v>
      </c>
      <c r="H589" s="2436">
        <v>838538</v>
      </c>
      <c r="I589" s="2436">
        <v>0</v>
      </c>
      <c r="J589" s="2446">
        <v>0</v>
      </c>
      <c r="K589" s="2436">
        <v>0</v>
      </c>
      <c r="L589" s="2436">
        <v>0</v>
      </c>
      <c r="M589" s="2266">
        <v>599</v>
      </c>
    </row>
    <row r="590" spans="1:13" ht="15">
      <c r="A590" s="2266" t="s">
        <v>4105</v>
      </c>
      <c r="B590" s="1694" t="str">
        <f>CONCATENATE(LEFT(RIGHT(CONCATENATE("000",IFAData_TEA!A590),6),3),"-",(RIGHT(RIGHT(CONCATENATE("000",IFAData_TEA!A590),6),3)))</f>
        <v>057-914</v>
      </c>
      <c r="C590" s="2266" t="s">
        <v>2554</v>
      </c>
      <c r="D590" s="2266">
        <v>5</v>
      </c>
      <c r="E590" s="2266">
        <v>2096</v>
      </c>
      <c r="F590" s="2266" t="s">
        <v>5215</v>
      </c>
      <c r="G590" s="2266" t="s">
        <v>5215</v>
      </c>
      <c r="H590" s="2436">
        <v>684105</v>
      </c>
      <c r="I590" s="2436">
        <v>0</v>
      </c>
      <c r="J590" s="2446">
        <v>0</v>
      </c>
      <c r="K590" s="2436">
        <v>0</v>
      </c>
      <c r="L590" s="2436">
        <v>0</v>
      </c>
      <c r="M590" s="2266">
        <v>599</v>
      </c>
    </row>
    <row r="591" spans="1:13" ht="15">
      <c r="A591" s="2266" t="s">
        <v>4105</v>
      </c>
      <c r="B591" s="1694" t="str">
        <f>CONCATENATE(LEFT(RIGHT(CONCATENATE("000",IFAData_TEA!A591),6),3),"-",(RIGHT(RIGHT(CONCATENATE("000",IFAData_TEA!A591),6),3)))</f>
        <v>057-914</v>
      </c>
      <c r="C591" s="2266" t="s">
        <v>2554</v>
      </c>
      <c r="D591" s="2266">
        <v>5</v>
      </c>
      <c r="E591" s="2266">
        <v>2096</v>
      </c>
      <c r="F591" s="2266" t="s">
        <v>5215</v>
      </c>
      <c r="G591" s="2266" t="s">
        <v>5216</v>
      </c>
      <c r="H591" s="2436">
        <v>684105</v>
      </c>
      <c r="I591" s="2436">
        <v>633525</v>
      </c>
      <c r="J591" s="2446">
        <v>1</v>
      </c>
      <c r="K591" s="2436">
        <v>684105</v>
      </c>
      <c r="L591" s="2436">
        <v>633525</v>
      </c>
      <c r="M591" s="2266">
        <v>599</v>
      </c>
    </row>
    <row r="592" spans="1:13" ht="15">
      <c r="A592" s="2266" t="s">
        <v>4105</v>
      </c>
      <c r="B592" s="1694" t="str">
        <f>CONCATENATE(LEFT(RIGHT(CONCATENATE("000",IFAData_TEA!A592),6),3),"-",(RIGHT(RIGHT(CONCATENATE("000",IFAData_TEA!A592),6),3)))</f>
        <v>057-914</v>
      </c>
      <c r="C592" s="2266" t="s">
        <v>2554</v>
      </c>
      <c r="D592" s="2266">
        <v>9</v>
      </c>
      <c r="E592" s="2266">
        <v>2100</v>
      </c>
      <c r="F592" s="2266" t="s">
        <v>5214</v>
      </c>
      <c r="G592" s="2266" t="s">
        <v>5214</v>
      </c>
      <c r="H592" s="2436">
        <v>3273731</v>
      </c>
      <c r="I592" s="2436">
        <v>910013</v>
      </c>
      <c r="J592" s="2446">
        <v>0.82619096904461009</v>
      </c>
      <c r="K592" s="2436">
        <v>2704726.9872813802</v>
      </c>
      <c r="L592" s="2436">
        <v>910013</v>
      </c>
      <c r="M592" s="2266">
        <v>599</v>
      </c>
    </row>
    <row r="593" spans="1:13" ht="15">
      <c r="A593" s="2266" t="s">
        <v>4105</v>
      </c>
      <c r="B593" s="1694" t="str">
        <f>CONCATENATE(LEFT(RIGHT(CONCATENATE("000",IFAData_TEA!A593),6),3),"-",(RIGHT(RIGHT(CONCATENATE("000",IFAData_TEA!A593),6),3)))</f>
        <v>057-914</v>
      </c>
      <c r="C593" s="2266" t="s">
        <v>2554</v>
      </c>
      <c r="D593" s="2266">
        <v>6</v>
      </c>
      <c r="E593" s="2266">
        <v>2101</v>
      </c>
      <c r="F593" s="2266" t="s">
        <v>5217</v>
      </c>
      <c r="G593" s="2266" t="s">
        <v>5214</v>
      </c>
      <c r="H593" s="2436">
        <v>3859835</v>
      </c>
      <c r="I593" s="2436">
        <v>0</v>
      </c>
      <c r="J593" s="2446">
        <v>0</v>
      </c>
      <c r="K593" s="2436">
        <v>0</v>
      </c>
      <c r="L593" s="2436">
        <v>0</v>
      </c>
      <c r="M593" s="2266">
        <v>599</v>
      </c>
    </row>
    <row r="594" spans="1:13" ht="15">
      <c r="A594" s="2266" t="s">
        <v>4105</v>
      </c>
      <c r="B594" s="1694" t="str">
        <f>CONCATENATE(LEFT(RIGHT(CONCATENATE("000",IFAData_TEA!A594),6),3),"-",(RIGHT(RIGHT(CONCATENATE("000",IFAData_TEA!A594),6),3)))</f>
        <v>057-914</v>
      </c>
      <c r="C594" s="2266" t="s">
        <v>2554</v>
      </c>
      <c r="D594" s="2266">
        <v>1</v>
      </c>
      <c r="E594" s="2266">
        <v>2102</v>
      </c>
      <c r="F594" s="2266" t="s">
        <v>5212</v>
      </c>
      <c r="G594" s="2266" t="s">
        <v>5214</v>
      </c>
      <c r="H594" s="2436">
        <v>5978212</v>
      </c>
      <c r="I594" s="2436">
        <v>841730</v>
      </c>
      <c r="J594" s="2446">
        <v>9.3710696655247436E-2</v>
      </c>
      <c r="K594" s="2436">
        <v>560222.41127276013</v>
      </c>
      <c r="L594" s="2436">
        <v>560222.41127276013</v>
      </c>
      <c r="M594" s="2266">
        <v>599</v>
      </c>
    </row>
    <row r="595" spans="1:13" ht="15">
      <c r="A595" s="2266" t="s">
        <v>4105</v>
      </c>
      <c r="B595" s="1694" t="str">
        <f>CONCATENATE(LEFT(RIGHT(CONCATENATE("000",IFAData_TEA!A595),6),3),"-",(RIGHT(RIGHT(CONCATENATE("000",IFAData_TEA!A595),6),3)))</f>
        <v>057-914</v>
      </c>
      <c r="C595" s="2266" t="s">
        <v>2554</v>
      </c>
      <c r="D595" s="2266">
        <v>1</v>
      </c>
      <c r="E595" s="2266">
        <v>2097</v>
      </c>
      <c r="F595" s="2266" t="s">
        <v>5207</v>
      </c>
      <c r="G595" s="2266" t="s">
        <v>5209</v>
      </c>
      <c r="H595" s="2436">
        <v>838538</v>
      </c>
      <c r="I595" s="2436">
        <v>0</v>
      </c>
      <c r="J595" s="2446">
        <v>0</v>
      </c>
      <c r="K595" s="2436">
        <v>0</v>
      </c>
      <c r="L595" s="2436">
        <v>0</v>
      </c>
      <c r="M595" s="2266">
        <v>599</v>
      </c>
    </row>
    <row r="596" spans="1:13" ht="15">
      <c r="A596" s="2266" t="s">
        <v>4105</v>
      </c>
      <c r="B596" s="1694" t="str">
        <f>CONCATENATE(LEFT(RIGHT(CONCATENATE("000",IFAData_TEA!A596),6),3),"-",(RIGHT(RIGHT(CONCATENATE("000",IFAData_TEA!A596),6),3)))</f>
        <v>057-914</v>
      </c>
      <c r="C596" s="2266" t="s">
        <v>2554</v>
      </c>
      <c r="D596" s="2266">
        <v>1</v>
      </c>
      <c r="E596" s="2266">
        <v>2097</v>
      </c>
      <c r="F596" s="2266" t="s">
        <v>5207</v>
      </c>
      <c r="G596" s="2266" t="s">
        <v>5210</v>
      </c>
      <c r="H596" s="2436">
        <v>838538</v>
      </c>
      <c r="I596" s="2436">
        <v>13533</v>
      </c>
      <c r="J596" s="2446">
        <v>1.3997550713065209E-2</v>
      </c>
      <c r="K596" s="2436">
        <v>11737.478179832275</v>
      </c>
      <c r="L596" s="2436">
        <v>11737.478179832275</v>
      </c>
      <c r="M596" s="2266">
        <v>599</v>
      </c>
    </row>
    <row r="597" spans="1:13" ht="15">
      <c r="A597" s="2266" t="s">
        <v>5220</v>
      </c>
      <c r="B597" s="1694" t="str">
        <f>CONCATENATE(LEFT(RIGHT(CONCATENATE("000",IFAData_TEA!A597),6),3),"-",(RIGHT(RIGHT(CONCATENATE("000",IFAData_TEA!A597),6),3)))</f>
        <v>059-901</v>
      </c>
      <c r="C597" s="2266" t="s">
        <v>2723</v>
      </c>
      <c r="D597" s="2266">
        <v>2</v>
      </c>
      <c r="E597" s="2266">
        <v>1883</v>
      </c>
      <c r="F597" s="2266" t="s">
        <v>5221</v>
      </c>
      <c r="G597" s="2266" t="s">
        <v>5222</v>
      </c>
      <c r="H597" s="2436">
        <v>1022728</v>
      </c>
      <c r="I597" s="2436">
        <v>945806</v>
      </c>
      <c r="J597" s="2446">
        <v>1</v>
      </c>
      <c r="K597" s="2436">
        <v>1022728</v>
      </c>
      <c r="L597" s="2436">
        <v>945806</v>
      </c>
      <c r="M597" s="2266">
        <v>199</v>
      </c>
    </row>
    <row r="598" spans="1:13" ht="15">
      <c r="A598" s="2266" t="s">
        <v>5220</v>
      </c>
      <c r="B598" s="1694" t="str">
        <f>CONCATENATE(LEFT(RIGHT(CONCATENATE("000",IFAData_TEA!A598),6),3),"-",(RIGHT(RIGHT(CONCATENATE("000",IFAData_TEA!A598),6),3)))</f>
        <v>059-901</v>
      </c>
      <c r="C598" s="2266" t="s">
        <v>2723</v>
      </c>
      <c r="D598" s="2266">
        <v>2</v>
      </c>
      <c r="E598" s="2266">
        <v>1883</v>
      </c>
      <c r="F598" s="2266" t="s">
        <v>5221</v>
      </c>
      <c r="G598" s="2266" t="s">
        <v>5221</v>
      </c>
      <c r="H598" s="2436">
        <v>1022728</v>
      </c>
      <c r="I598" s="2436">
        <v>0</v>
      </c>
      <c r="J598" s="2446">
        <v>0</v>
      </c>
      <c r="K598" s="2436">
        <v>0</v>
      </c>
      <c r="L598" s="2436">
        <v>0</v>
      </c>
      <c r="M598" s="2266">
        <v>199</v>
      </c>
    </row>
    <row r="599" spans="1:13" ht="15">
      <c r="A599" s="2266" t="s">
        <v>4106</v>
      </c>
      <c r="B599" s="1694" t="str">
        <f>CONCATENATE(LEFT(RIGHT(CONCATENATE("000",IFAData_TEA!A599),6),3),"-",(RIGHT(RIGHT(CONCATENATE("000",IFAData_TEA!A599),6),3)))</f>
        <v>060-902</v>
      </c>
      <c r="C599" s="2266" t="s">
        <v>3013</v>
      </c>
      <c r="D599" s="2266">
        <v>9</v>
      </c>
      <c r="E599" s="2266">
        <v>1719</v>
      </c>
      <c r="F599" s="2266" t="s">
        <v>5223</v>
      </c>
      <c r="G599" s="2266" t="s">
        <v>5223</v>
      </c>
      <c r="H599" s="2436">
        <v>201802</v>
      </c>
      <c r="I599" s="2436">
        <v>255269</v>
      </c>
      <c r="J599" s="2446">
        <v>1</v>
      </c>
      <c r="K599" s="2436">
        <v>201802</v>
      </c>
      <c r="L599" s="2436">
        <v>201802</v>
      </c>
      <c r="M599" s="2266">
        <v>599</v>
      </c>
    </row>
    <row r="600" spans="1:13" ht="15">
      <c r="A600" s="2266" t="s">
        <v>4107</v>
      </c>
      <c r="B600" s="1694" t="str">
        <f>CONCATENATE(LEFT(RIGHT(CONCATENATE("000",IFAData_TEA!A600),6),3),"-",(RIGHT(RIGHT(CONCATENATE("000",IFAData_TEA!A600),6),3)))</f>
        <v>060-914</v>
      </c>
      <c r="C600" s="2266" t="s">
        <v>128</v>
      </c>
      <c r="D600" s="2266">
        <v>5</v>
      </c>
      <c r="E600" s="2266">
        <v>1810</v>
      </c>
      <c r="F600" s="2266" t="s">
        <v>5224</v>
      </c>
      <c r="G600" s="2266" t="s">
        <v>5225</v>
      </c>
      <c r="H600" s="2436">
        <v>100000</v>
      </c>
      <c r="I600" s="2436">
        <v>100450</v>
      </c>
      <c r="J600" s="2446">
        <v>1</v>
      </c>
      <c r="K600" s="2436">
        <v>100000</v>
      </c>
      <c r="L600" s="2436">
        <v>100000</v>
      </c>
      <c r="M600" s="2266">
        <v>599</v>
      </c>
    </row>
    <row r="601" spans="1:13" ht="15">
      <c r="A601" s="2266" t="s">
        <v>4107</v>
      </c>
      <c r="B601" s="1694" t="str">
        <f>CONCATENATE(LEFT(RIGHT(CONCATENATE("000",IFAData_TEA!A601),6),3),"-",(RIGHT(RIGHT(CONCATENATE("000",IFAData_TEA!A601),6),3)))</f>
        <v>060-914</v>
      </c>
      <c r="C601" s="2266" t="s">
        <v>128</v>
      </c>
      <c r="D601" s="2266">
        <v>5</v>
      </c>
      <c r="E601" s="2266">
        <v>1810</v>
      </c>
      <c r="F601" s="2266" t="s">
        <v>5224</v>
      </c>
      <c r="G601" s="2266" t="s">
        <v>5224</v>
      </c>
      <c r="H601" s="2436">
        <v>100000</v>
      </c>
      <c r="I601" s="2436">
        <v>0</v>
      </c>
      <c r="J601" s="2446">
        <v>0</v>
      </c>
      <c r="K601" s="2436">
        <v>0</v>
      </c>
      <c r="L601" s="2436">
        <v>0</v>
      </c>
      <c r="M601" s="2266">
        <v>599</v>
      </c>
    </row>
    <row r="602" spans="1:13" ht="15">
      <c r="A602" s="2266" t="s">
        <v>4108</v>
      </c>
      <c r="B602" s="1694" t="str">
        <f>CONCATENATE(LEFT(RIGHT(CONCATENATE("000",IFAData_TEA!A602),6),3),"-",(RIGHT(RIGHT(CONCATENATE("000",IFAData_TEA!A602),6),3)))</f>
        <v>061-902</v>
      </c>
      <c r="C602" s="2266" t="s">
        <v>2825</v>
      </c>
      <c r="D602" s="2266">
        <v>1</v>
      </c>
      <c r="E602" s="2266">
        <v>2019</v>
      </c>
      <c r="F602" s="2266" t="s">
        <v>5226</v>
      </c>
      <c r="G602" s="2266" t="s">
        <v>5226</v>
      </c>
      <c r="H602" s="2436">
        <v>3797900</v>
      </c>
      <c r="I602" s="2436">
        <v>0</v>
      </c>
      <c r="J602" s="2446">
        <v>0</v>
      </c>
      <c r="K602" s="2436">
        <v>0</v>
      </c>
      <c r="L602" s="2436">
        <v>0</v>
      </c>
      <c r="M602" s="2266">
        <v>599</v>
      </c>
    </row>
    <row r="603" spans="1:13" ht="15">
      <c r="A603" s="2266" t="s">
        <v>4108</v>
      </c>
      <c r="B603" s="1694" t="str">
        <f>CONCATENATE(LEFT(RIGHT(CONCATENATE("000",IFAData_TEA!A603),6),3),"-",(RIGHT(RIGHT(CONCATENATE("000",IFAData_TEA!A603),6),3)))</f>
        <v>061-902</v>
      </c>
      <c r="C603" s="2266" t="s">
        <v>2825</v>
      </c>
      <c r="D603" s="2266">
        <v>2</v>
      </c>
      <c r="E603" s="2266">
        <v>2018</v>
      </c>
      <c r="F603" s="2266" t="s">
        <v>5229</v>
      </c>
      <c r="G603" s="2266" t="s">
        <v>5227</v>
      </c>
      <c r="H603" s="2436">
        <v>1811486</v>
      </c>
      <c r="I603" s="2436">
        <v>0</v>
      </c>
      <c r="J603" s="2446">
        <v>0</v>
      </c>
      <c r="K603" s="2436">
        <v>0</v>
      </c>
      <c r="L603" s="2436">
        <v>0</v>
      </c>
      <c r="M603" s="2266">
        <v>599</v>
      </c>
    </row>
    <row r="604" spans="1:13" ht="15">
      <c r="A604" s="2266" t="s">
        <v>4108</v>
      </c>
      <c r="B604" s="1694" t="str">
        <f>CONCATENATE(LEFT(RIGHT(CONCATENATE("000",IFAData_TEA!A604),6),3),"-",(RIGHT(RIGHT(CONCATENATE("000",IFAData_TEA!A604),6),3)))</f>
        <v>061-902</v>
      </c>
      <c r="C604" s="2266" t="s">
        <v>2825</v>
      </c>
      <c r="D604" s="2266">
        <v>1</v>
      </c>
      <c r="E604" s="2266">
        <v>2019</v>
      </c>
      <c r="F604" s="2266" t="s">
        <v>5226</v>
      </c>
      <c r="G604" s="2266" t="s">
        <v>5227</v>
      </c>
      <c r="H604" s="2436">
        <v>3797900</v>
      </c>
      <c r="I604" s="2436">
        <v>0</v>
      </c>
      <c r="J604" s="2446">
        <v>0</v>
      </c>
      <c r="K604" s="2436">
        <v>0</v>
      </c>
      <c r="L604" s="2436">
        <v>0</v>
      </c>
      <c r="M604" s="2266">
        <v>599</v>
      </c>
    </row>
    <row r="605" spans="1:13" ht="15">
      <c r="A605" s="2266" t="s">
        <v>4108</v>
      </c>
      <c r="B605" s="1694" t="str">
        <f>CONCATENATE(LEFT(RIGHT(CONCATENATE("000",IFAData_TEA!A605),6),3),"-",(RIGHT(RIGHT(CONCATENATE("000",IFAData_TEA!A605),6),3)))</f>
        <v>061-902</v>
      </c>
      <c r="C605" s="2266" t="s">
        <v>2825</v>
      </c>
      <c r="D605" s="2266">
        <v>1</v>
      </c>
      <c r="E605" s="2266">
        <v>2019</v>
      </c>
      <c r="F605" s="2266" t="s">
        <v>5226</v>
      </c>
      <c r="G605" s="2266" t="s">
        <v>5228</v>
      </c>
      <c r="H605" s="2436">
        <v>3797900</v>
      </c>
      <c r="I605" s="2436">
        <v>293411</v>
      </c>
      <c r="J605" s="2446">
        <v>1</v>
      </c>
      <c r="K605" s="2436">
        <v>3797900</v>
      </c>
      <c r="L605" s="2436">
        <v>293411</v>
      </c>
      <c r="M605" s="2266">
        <v>599</v>
      </c>
    </row>
    <row r="606" spans="1:13" ht="15">
      <c r="A606" s="2266" t="s">
        <v>4108</v>
      </c>
      <c r="B606" s="1694" t="str">
        <f>CONCATENATE(LEFT(RIGHT(CONCATENATE("000",IFAData_TEA!A606),6),3),"-",(RIGHT(RIGHT(CONCATENATE("000",IFAData_TEA!A606),6),3)))</f>
        <v>061-902</v>
      </c>
      <c r="C606" s="2266" t="s">
        <v>2825</v>
      </c>
      <c r="D606" s="2266">
        <v>2</v>
      </c>
      <c r="E606" s="2266">
        <v>2018</v>
      </c>
      <c r="F606" s="2266" t="s">
        <v>5229</v>
      </c>
      <c r="G606" s="2266" t="s">
        <v>5229</v>
      </c>
      <c r="H606" s="2436">
        <v>1811486</v>
      </c>
      <c r="I606" s="2436">
        <v>0</v>
      </c>
      <c r="J606" s="2446">
        <v>0</v>
      </c>
      <c r="K606" s="2436">
        <v>0</v>
      </c>
      <c r="L606" s="2436">
        <v>0</v>
      </c>
      <c r="M606" s="2266">
        <v>599</v>
      </c>
    </row>
    <row r="607" spans="1:13" ht="15">
      <c r="A607" s="2266" t="s">
        <v>4108</v>
      </c>
      <c r="B607" s="1694" t="str">
        <f>CONCATENATE(LEFT(RIGHT(CONCATENATE("000",IFAData_TEA!A607),6),3),"-",(RIGHT(RIGHT(CONCATENATE("000",IFAData_TEA!A607),6),3)))</f>
        <v>061-902</v>
      </c>
      <c r="C607" s="2266" t="s">
        <v>2825</v>
      </c>
      <c r="D607" s="2266">
        <v>2</v>
      </c>
      <c r="E607" s="2266">
        <v>2018</v>
      </c>
      <c r="F607" s="2266" t="s">
        <v>5229</v>
      </c>
      <c r="G607" s="2266" t="s">
        <v>5228</v>
      </c>
      <c r="H607" s="2436">
        <v>1811486</v>
      </c>
      <c r="I607" s="2436">
        <v>175332</v>
      </c>
      <c r="J607" s="2446">
        <v>1</v>
      </c>
      <c r="K607" s="2436">
        <v>1811486</v>
      </c>
      <c r="L607" s="2436">
        <v>175332</v>
      </c>
      <c r="M607" s="2266">
        <v>599</v>
      </c>
    </row>
    <row r="608" spans="1:13" ht="15">
      <c r="A608" s="2266" t="s">
        <v>5230</v>
      </c>
      <c r="B608" s="1694" t="str">
        <f>CONCATENATE(LEFT(RIGHT(CONCATENATE("000",IFAData_TEA!A608),6),3),"-",(RIGHT(RIGHT(CONCATENATE("000",IFAData_TEA!A608),6),3)))</f>
        <v>061-903</v>
      </c>
      <c r="C608" s="2266" t="s">
        <v>1127</v>
      </c>
      <c r="D608" s="2266">
        <v>1</v>
      </c>
      <c r="E608" s="2266">
        <v>2197</v>
      </c>
      <c r="F608" s="2266" t="s">
        <v>5231</v>
      </c>
      <c r="G608" s="2266" t="s">
        <v>5231</v>
      </c>
      <c r="H608" s="2436">
        <v>294250</v>
      </c>
      <c r="I608" s="2436">
        <v>0</v>
      </c>
      <c r="J608" s="2446">
        <v>0</v>
      </c>
      <c r="K608" s="2436"/>
      <c r="L608" s="2436">
        <v>0</v>
      </c>
      <c r="M608" s="2266">
        <v>599</v>
      </c>
    </row>
    <row r="609" spans="1:13" ht="15">
      <c r="A609" s="2266" t="s">
        <v>4109</v>
      </c>
      <c r="B609" s="1694" t="str">
        <f>CONCATENATE(LEFT(RIGHT(CONCATENATE("000",IFAData_TEA!A609),6),3),"-",(RIGHT(RIGHT(CONCATENATE("000",IFAData_TEA!A609),6),3)))</f>
        <v>061-905</v>
      </c>
      <c r="C609" s="2266" t="s">
        <v>1905</v>
      </c>
      <c r="D609" s="2266">
        <v>4</v>
      </c>
      <c r="E609" s="2266">
        <v>1973</v>
      </c>
      <c r="F609" s="2266" t="s">
        <v>5234</v>
      </c>
      <c r="G609" s="2266" t="s">
        <v>5236</v>
      </c>
      <c r="H609" s="2436">
        <v>236619</v>
      </c>
      <c r="I609" s="2436">
        <v>3033</v>
      </c>
      <c r="J609" s="2446">
        <v>5.9300941033396618E-3</v>
      </c>
      <c r="K609" s="2436">
        <v>1403.1729366381273</v>
      </c>
      <c r="L609" s="2436">
        <v>1403.1729366381273</v>
      </c>
      <c r="M609" s="2266">
        <v>599</v>
      </c>
    </row>
    <row r="610" spans="1:13" ht="15">
      <c r="A610" s="2266" t="s">
        <v>4109</v>
      </c>
      <c r="B610" s="1694" t="str">
        <f>CONCATENATE(LEFT(RIGHT(CONCATENATE("000",IFAData_TEA!A610),6),3),"-",(RIGHT(RIGHT(CONCATENATE("000",IFAData_TEA!A610),6),3)))</f>
        <v>061-905</v>
      </c>
      <c r="C610" s="2266" t="s">
        <v>1905</v>
      </c>
      <c r="D610" s="2266">
        <v>4</v>
      </c>
      <c r="E610" s="2266">
        <v>1973</v>
      </c>
      <c r="F610" s="2266" t="s">
        <v>5234</v>
      </c>
      <c r="G610" s="2266" t="s">
        <v>5235</v>
      </c>
      <c r="H610" s="2436">
        <v>236619</v>
      </c>
      <c r="I610" s="2436">
        <v>0</v>
      </c>
      <c r="J610" s="2446">
        <v>0</v>
      </c>
      <c r="K610" s="2436">
        <v>0</v>
      </c>
      <c r="L610" s="2436">
        <v>0</v>
      </c>
      <c r="M610" s="2266">
        <v>599</v>
      </c>
    </row>
    <row r="611" spans="1:13" ht="15">
      <c r="A611" s="2266" t="s">
        <v>4109</v>
      </c>
      <c r="B611" s="1694" t="str">
        <f>CONCATENATE(LEFT(RIGHT(CONCATENATE("000",IFAData_TEA!A611),6),3),"-",(RIGHT(RIGHT(CONCATENATE("000",IFAData_TEA!A611),6),3)))</f>
        <v>061-905</v>
      </c>
      <c r="C611" s="2266" t="s">
        <v>1905</v>
      </c>
      <c r="D611" s="2266">
        <v>4</v>
      </c>
      <c r="E611" s="2266">
        <v>1973</v>
      </c>
      <c r="F611" s="2266" t="s">
        <v>5234</v>
      </c>
      <c r="G611" s="2266" t="s">
        <v>5233</v>
      </c>
      <c r="H611" s="2436">
        <v>236619</v>
      </c>
      <c r="I611" s="2436">
        <v>383828</v>
      </c>
      <c r="J611" s="2446">
        <v>0.75045702588086238</v>
      </c>
      <c r="K611" s="2436">
        <v>177572.39100690378</v>
      </c>
      <c r="L611" s="2436">
        <v>177572.39100690378</v>
      </c>
      <c r="M611" s="2266">
        <v>599</v>
      </c>
    </row>
    <row r="612" spans="1:13" ht="15">
      <c r="A612" s="2266" t="s">
        <v>4109</v>
      </c>
      <c r="B612" s="1694" t="str">
        <f>CONCATENATE(LEFT(RIGHT(CONCATENATE("000",IFAData_TEA!A612),6),3),"-",(RIGHT(RIGHT(CONCATENATE("000",IFAData_TEA!A612),6),3)))</f>
        <v>061-905</v>
      </c>
      <c r="C612" s="2266" t="s">
        <v>1905</v>
      </c>
      <c r="D612" s="2266">
        <v>4</v>
      </c>
      <c r="E612" s="2266">
        <v>1972</v>
      </c>
      <c r="F612" s="2266" t="s">
        <v>5232</v>
      </c>
      <c r="G612" s="2266" t="s">
        <v>5233</v>
      </c>
      <c r="H612" s="2436">
        <v>90131</v>
      </c>
      <c r="I612" s="2436">
        <v>74003</v>
      </c>
      <c r="J612" s="2446">
        <v>0.79766100781460525</v>
      </c>
      <c r="K612" s="2436">
        <v>71893.984295338189</v>
      </c>
      <c r="L612" s="2436">
        <v>71893.984295338189</v>
      </c>
      <c r="M612" s="2266">
        <v>599</v>
      </c>
    </row>
    <row r="613" spans="1:13" ht="15">
      <c r="A613" s="2266" t="s">
        <v>4109</v>
      </c>
      <c r="B613" s="1694" t="str">
        <f>CONCATENATE(LEFT(RIGHT(CONCATENATE("000",IFAData_TEA!A613),6),3),"-",(RIGHT(RIGHT(CONCATENATE("000",IFAData_TEA!A613),6),3)))</f>
        <v>061-905</v>
      </c>
      <c r="C613" s="2266" t="s">
        <v>1905</v>
      </c>
      <c r="D613" s="2266">
        <v>4</v>
      </c>
      <c r="E613" s="2266">
        <v>1973</v>
      </c>
      <c r="F613" s="2266" t="s">
        <v>5234</v>
      </c>
      <c r="G613" s="2266" t="s">
        <v>5234</v>
      </c>
      <c r="H613" s="2436">
        <v>236619</v>
      </c>
      <c r="I613" s="2436">
        <v>0</v>
      </c>
      <c r="J613" s="2446">
        <v>0</v>
      </c>
      <c r="K613" s="2436">
        <v>0</v>
      </c>
      <c r="L613" s="2436">
        <v>0</v>
      </c>
      <c r="M613" s="2266">
        <v>599</v>
      </c>
    </row>
    <row r="614" spans="1:13" ht="15">
      <c r="A614" s="2266" t="s">
        <v>4109</v>
      </c>
      <c r="B614" s="1694" t="str">
        <f>CONCATENATE(LEFT(RIGHT(CONCATENATE("000",IFAData_TEA!A614),6),3),"-",(RIGHT(RIGHT(CONCATENATE("000",IFAData_TEA!A614),6),3)))</f>
        <v>061-905</v>
      </c>
      <c r="C614" s="2266" t="s">
        <v>1905</v>
      </c>
      <c r="D614" s="2266">
        <v>4</v>
      </c>
      <c r="E614" s="2266">
        <v>1972</v>
      </c>
      <c r="F614" s="2266" t="s">
        <v>5232</v>
      </c>
      <c r="G614" s="2266" t="s">
        <v>6953</v>
      </c>
      <c r="H614" s="2436">
        <v>90131</v>
      </c>
      <c r="I614" s="2436">
        <v>18772</v>
      </c>
      <c r="J614" s="2446">
        <v>0.20233899218539478</v>
      </c>
      <c r="K614" s="2436">
        <v>18237.015704661815</v>
      </c>
      <c r="L614" s="2436">
        <v>18237.015704661815</v>
      </c>
      <c r="M614" s="2266">
        <v>599</v>
      </c>
    </row>
    <row r="615" spans="1:13" ht="15">
      <c r="A615" s="2266" t="s">
        <v>4109</v>
      </c>
      <c r="B615" s="1694" t="str">
        <f>CONCATENATE(LEFT(RIGHT(CONCATENATE("000",IFAData_TEA!A615),6),3),"-",(RIGHT(RIGHT(CONCATENATE("000",IFAData_TEA!A615),6),3)))</f>
        <v>061-905</v>
      </c>
      <c r="C615" s="2266" t="s">
        <v>1905</v>
      </c>
      <c r="D615" s="2266">
        <v>4</v>
      </c>
      <c r="E615" s="2266">
        <v>1972</v>
      </c>
      <c r="F615" s="2266" t="s">
        <v>5232</v>
      </c>
      <c r="G615" s="2266" t="s">
        <v>5232</v>
      </c>
      <c r="H615" s="2436">
        <v>90131</v>
      </c>
      <c r="I615" s="2436">
        <v>0</v>
      </c>
      <c r="J615" s="2446">
        <v>0</v>
      </c>
      <c r="K615" s="2436">
        <v>0</v>
      </c>
      <c r="L615" s="2436">
        <v>0</v>
      </c>
      <c r="M615" s="2266">
        <v>599</v>
      </c>
    </row>
    <row r="616" spans="1:13" ht="15">
      <c r="A616" s="2266" t="s">
        <v>4109</v>
      </c>
      <c r="B616" s="1694" t="str">
        <f>CONCATENATE(LEFT(RIGHT(CONCATENATE("000",IFAData_TEA!A616),6),3),"-",(RIGHT(RIGHT(CONCATENATE("000",IFAData_TEA!A616),6),3)))</f>
        <v>061-905</v>
      </c>
      <c r="C616" s="2266" t="s">
        <v>1905</v>
      </c>
      <c r="D616" s="2266">
        <v>4</v>
      </c>
      <c r="E616" s="2266">
        <v>1973</v>
      </c>
      <c r="F616" s="2266" t="s">
        <v>5234</v>
      </c>
      <c r="G616" s="2266" t="s">
        <v>6953</v>
      </c>
      <c r="H616" s="2436">
        <v>236619</v>
      </c>
      <c r="I616" s="2436">
        <v>124598</v>
      </c>
      <c r="J616" s="2446">
        <v>0.24361288001579795</v>
      </c>
      <c r="K616" s="2436">
        <v>57643.436056458093</v>
      </c>
      <c r="L616" s="2436">
        <v>57643.436056458093</v>
      </c>
      <c r="M616" s="2266">
        <v>599</v>
      </c>
    </row>
    <row r="617" spans="1:13" ht="15">
      <c r="A617" s="2266" t="s">
        <v>4110</v>
      </c>
      <c r="B617" s="1694" t="str">
        <f>CONCATENATE(LEFT(RIGHT(CONCATENATE("000",IFAData_TEA!A617),6),3),"-",(RIGHT(RIGHT(CONCATENATE("000",IFAData_TEA!A617),6),3)))</f>
        <v>061-906</v>
      </c>
      <c r="C617" s="2266" t="s">
        <v>1129</v>
      </c>
      <c r="D617" s="2266">
        <v>2</v>
      </c>
      <c r="E617" s="2266">
        <v>2201</v>
      </c>
      <c r="F617" s="2266" t="s">
        <v>5237</v>
      </c>
      <c r="G617" s="2266" t="s">
        <v>5238</v>
      </c>
      <c r="H617" s="2436">
        <v>139761</v>
      </c>
      <c r="I617" s="2436">
        <v>467100</v>
      </c>
      <c r="J617" s="2446">
        <v>0.47602547770700637</v>
      </c>
      <c r="K617" s="2436">
        <v>66529.796789808912</v>
      </c>
      <c r="L617" s="2436">
        <v>66529.796789808912</v>
      </c>
      <c r="M617" s="2266">
        <v>599</v>
      </c>
    </row>
    <row r="618" spans="1:13" ht="15">
      <c r="A618" s="2266" t="s">
        <v>4110</v>
      </c>
      <c r="B618" s="1694" t="str">
        <f>CONCATENATE(LEFT(RIGHT(CONCATENATE("000",IFAData_TEA!A618),6),3),"-",(RIGHT(RIGHT(CONCATENATE("000",IFAData_TEA!A618),6),3)))</f>
        <v>061-906</v>
      </c>
      <c r="C618" s="2266" t="s">
        <v>1129</v>
      </c>
      <c r="D618" s="2266">
        <v>2</v>
      </c>
      <c r="E618" s="2266">
        <v>2201</v>
      </c>
      <c r="F618" s="2266" t="s">
        <v>5237</v>
      </c>
      <c r="G618" s="2266" t="s">
        <v>5237</v>
      </c>
      <c r="H618" s="2436">
        <v>139761</v>
      </c>
      <c r="I618" s="2436">
        <v>514150</v>
      </c>
      <c r="J618" s="2446">
        <v>0.52397452229299368</v>
      </c>
      <c r="K618" s="2436">
        <v>73231.203210191088</v>
      </c>
      <c r="L618" s="2436">
        <v>73231.203210191088</v>
      </c>
      <c r="M618" s="2266">
        <v>599</v>
      </c>
    </row>
    <row r="619" spans="1:13" ht="15">
      <c r="A619" s="2266" t="s">
        <v>4111</v>
      </c>
      <c r="B619" s="1694" t="str">
        <f>CONCATENATE(LEFT(RIGHT(CONCATENATE("000",IFAData_TEA!A619),6),3),"-",(RIGHT(RIGHT(CONCATENATE("000",IFAData_TEA!A619),6),3)))</f>
        <v>061-907</v>
      </c>
      <c r="C619" s="2266" t="s">
        <v>2426</v>
      </c>
      <c r="D619" s="2266">
        <v>1</v>
      </c>
      <c r="E619" s="2266">
        <v>1585</v>
      </c>
      <c r="F619" s="2266" t="s">
        <v>5239</v>
      </c>
      <c r="G619" s="2266" t="s">
        <v>6954</v>
      </c>
      <c r="H619" s="2436">
        <v>223500</v>
      </c>
      <c r="I619" s="2436">
        <v>9222</v>
      </c>
      <c r="J619" s="2446">
        <v>3.4038186844620955E-2</v>
      </c>
      <c r="K619" s="2436">
        <v>7607.5347597727832</v>
      </c>
      <c r="L619" s="2436">
        <v>7607.5347597727832</v>
      </c>
      <c r="M619" s="2266">
        <v>599</v>
      </c>
    </row>
    <row r="620" spans="1:13" ht="15">
      <c r="A620" s="2266" t="s">
        <v>4111</v>
      </c>
      <c r="B620" s="1694" t="str">
        <f>CONCATENATE(LEFT(RIGHT(CONCATENATE("000",IFAData_TEA!A620),6),3),"-",(RIGHT(RIGHT(CONCATENATE("000",IFAData_TEA!A620),6),3)))</f>
        <v>061-907</v>
      </c>
      <c r="C620" s="2266" t="s">
        <v>2426</v>
      </c>
      <c r="D620" s="2266">
        <v>1</v>
      </c>
      <c r="E620" s="2266">
        <v>1585</v>
      </c>
      <c r="F620" s="2266" t="s">
        <v>5239</v>
      </c>
      <c r="G620" s="2266" t="s">
        <v>5241</v>
      </c>
      <c r="H620" s="2436">
        <v>223500</v>
      </c>
      <c r="I620" s="2436">
        <v>26108</v>
      </c>
      <c r="J620" s="2446">
        <v>9.636401888303664E-2</v>
      </c>
      <c r="K620" s="2436">
        <v>21537.358220358688</v>
      </c>
      <c r="L620" s="2436">
        <v>21537.358220358688</v>
      </c>
      <c r="M620" s="2266">
        <v>599</v>
      </c>
    </row>
    <row r="621" spans="1:13" ht="15">
      <c r="A621" s="2266" t="s">
        <v>4111</v>
      </c>
      <c r="B621" s="1694" t="str">
        <f>CONCATENATE(LEFT(RIGHT(CONCATENATE("000",IFAData_TEA!A621),6),3),"-",(RIGHT(RIGHT(CONCATENATE("000",IFAData_TEA!A621),6),3)))</f>
        <v>061-907</v>
      </c>
      <c r="C621" s="2266" t="s">
        <v>2426</v>
      </c>
      <c r="D621" s="2266">
        <v>9</v>
      </c>
      <c r="E621" s="2266">
        <v>1586</v>
      </c>
      <c r="F621" s="2266" t="s">
        <v>5243</v>
      </c>
      <c r="G621" s="2266" t="s">
        <v>5243</v>
      </c>
      <c r="H621" s="2436">
        <v>244398</v>
      </c>
      <c r="I621" s="2436">
        <v>365140</v>
      </c>
      <c r="J621" s="2446">
        <v>1</v>
      </c>
      <c r="K621" s="2436">
        <v>244398</v>
      </c>
      <c r="L621" s="2436">
        <v>244398</v>
      </c>
      <c r="M621" s="2266">
        <v>599</v>
      </c>
    </row>
    <row r="622" spans="1:13" ht="15">
      <c r="A622" s="2266" t="s">
        <v>4111</v>
      </c>
      <c r="B622" s="1694" t="str">
        <f>CONCATENATE(LEFT(RIGHT(CONCATENATE("000",IFAData_TEA!A622),6),3),"-",(RIGHT(RIGHT(CONCATENATE("000",IFAData_TEA!A622),6),3)))</f>
        <v>061-907</v>
      </c>
      <c r="C622" s="2266" t="s">
        <v>2426</v>
      </c>
      <c r="D622" s="2266">
        <v>1</v>
      </c>
      <c r="E622" s="2266">
        <v>1585</v>
      </c>
      <c r="F622" s="2266" t="s">
        <v>5239</v>
      </c>
      <c r="G622" s="2266" t="s">
        <v>5239</v>
      </c>
      <c r="H622" s="2436">
        <v>223500</v>
      </c>
      <c r="I622" s="2436">
        <v>150000</v>
      </c>
      <c r="J622" s="2446">
        <v>0.55364650040047092</v>
      </c>
      <c r="K622" s="2436">
        <v>123739.99283950526</v>
      </c>
      <c r="L622" s="2436">
        <v>123739.99283950526</v>
      </c>
      <c r="M622" s="2266">
        <v>599</v>
      </c>
    </row>
    <row r="623" spans="1:13" ht="15">
      <c r="A623" s="2266" t="s">
        <v>4111</v>
      </c>
      <c r="B623" s="1694" t="str">
        <f>CONCATENATE(LEFT(RIGHT(CONCATENATE("000",IFAData_TEA!A623),6),3),"-",(RIGHT(RIGHT(CONCATENATE("000",IFAData_TEA!A623),6),3)))</f>
        <v>061-907</v>
      </c>
      <c r="C623" s="2266" t="s">
        <v>2426</v>
      </c>
      <c r="D623" s="2266">
        <v>1</v>
      </c>
      <c r="E623" s="2266">
        <v>1585</v>
      </c>
      <c r="F623" s="2266" t="s">
        <v>5239</v>
      </c>
      <c r="G623" s="2266" t="s">
        <v>5240</v>
      </c>
      <c r="H623" s="2436">
        <v>223500</v>
      </c>
      <c r="I623" s="2436">
        <v>76000</v>
      </c>
      <c r="J623" s="2446">
        <v>0.28051422686957195</v>
      </c>
      <c r="K623" s="2436">
        <v>62694.929705349328</v>
      </c>
      <c r="L623" s="2436">
        <v>62694.929705349328</v>
      </c>
      <c r="M623" s="2266">
        <v>599</v>
      </c>
    </row>
    <row r="624" spans="1:13" ht="15">
      <c r="A624" s="2266" t="s">
        <v>4111</v>
      </c>
      <c r="B624" s="1694" t="str">
        <f>CONCATENATE(LEFT(RIGHT(CONCATENATE("000",IFAData_TEA!A624),6),3),"-",(RIGHT(RIGHT(CONCATENATE("000",IFAData_TEA!A624),6),3)))</f>
        <v>061-907</v>
      </c>
      <c r="C624" s="2266" t="s">
        <v>2426</v>
      </c>
      <c r="D624" s="2266">
        <v>1</v>
      </c>
      <c r="E624" s="2266">
        <v>1585</v>
      </c>
      <c r="F624" s="2266" t="s">
        <v>5239</v>
      </c>
      <c r="G624" s="2266" t="s">
        <v>5242</v>
      </c>
      <c r="H624" s="2436">
        <v>223500</v>
      </c>
      <c r="I624" s="2436">
        <v>9601</v>
      </c>
      <c r="J624" s="2446">
        <v>3.5437067002299476E-2</v>
      </c>
      <c r="K624" s="2436">
        <v>7920.1844750139326</v>
      </c>
      <c r="L624" s="2436">
        <v>7920.1844750139326</v>
      </c>
      <c r="M624" s="2266">
        <v>599</v>
      </c>
    </row>
    <row r="625" spans="1:13" ht="15">
      <c r="A625" s="2266" t="s">
        <v>4112</v>
      </c>
      <c r="B625" s="1694" t="str">
        <f>CONCATENATE(LEFT(RIGHT(CONCATENATE("000",IFAData_TEA!A625),6),3),"-",(RIGHT(RIGHT(CONCATENATE("000",IFAData_TEA!A625),6),3)))</f>
        <v>061-908</v>
      </c>
      <c r="C625" s="2266" t="s">
        <v>2353</v>
      </c>
      <c r="D625" s="2266">
        <v>1</v>
      </c>
      <c r="E625" s="2266">
        <v>2303</v>
      </c>
      <c r="F625" s="2266" t="s">
        <v>5244</v>
      </c>
      <c r="G625" s="2266" t="s">
        <v>5245</v>
      </c>
      <c r="H625" s="2436">
        <v>161107</v>
      </c>
      <c r="I625" s="2436">
        <v>29603</v>
      </c>
      <c r="J625" s="2446">
        <v>5.5751524065832864E-2</v>
      </c>
      <c r="K625" s="2436">
        <v>8981.9607876741356</v>
      </c>
      <c r="L625" s="2436">
        <v>8981.9607876741356</v>
      </c>
      <c r="M625" s="2266">
        <v>599</v>
      </c>
    </row>
    <row r="626" spans="1:13" ht="15">
      <c r="A626" s="2266" t="s">
        <v>4112</v>
      </c>
      <c r="B626" s="1694" t="str">
        <f>CONCATENATE(LEFT(RIGHT(CONCATENATE("000",IFAData_TEA!A626),6),3),"-",(RIGHT(RIGHT(CONCATENATE("000",IFAData_TEA!A626),6),3)))</f>
        <v>061-908</v>
      </c>
      <c r="C626" s="2266" t="s">
        <v>2353</v>
      </c>
      <c r="D626" s="2266">
        <v>1</v>
      </c>
      <c r="E626" s="2266">
        <v>2303</v>
      </c>
      <c r="F626" s="2266" t="s">
        <v>5244</v>
      </c>
      <c r="G626" s="2266" t="s">
        <v>5246</v>
      </c>
      <c r="H626" s="2436">
        <v>161107</v>
      </c>
      <c r="I626" s="2436">
        <v>14320</v>
      </c>
      <c r="J626" s="2446">
        <v>2.6968949924761901E-2</v>
      </c>
      <c r="K626" s="2436">
        <v>4344.8866155286159</v>
      </c>
      <c r="L626" s="2436">
        <v>4344.8866155286159</v>
      </c>
      <c r="M626" s="2266">
        <v>599</v>
      </c>
    </row>
    <row r="627" spans="1:13" ht="15">
      <c r="A627" s="2266" t="s">
        <v>4112</v>
      </c>
      <c r="B627" s="1694" t="str">
        <f>CONCATENATE(LEFT(RIGHT(CONCATENATE("000",IFAData_TEA!A627),6),3),"-",(RIGHT(RIGHT(CONCATENATE("000",IFAData_TEA!A627),6),3)))</f>
        <v>061-908</v>
      </c>
      <c r="C627" s="2266" t="s">
        <v>2353</v>
      </c>
      <c r="D627" s="2266">
        <v>9</v>
      </c>
      <c r="E627" s="2266">
        <v>2305</v>
      </c>
      <c r="F627" s="2266" t="s">
        <v>5245</v>
      </c>
      <c r="G627" s="2266" t="s">
        <v>6955</v>
      </c>
      <c r="H627" s="2436">
        <v>566674</v>
      </c>
      <c r="I627" s="2436">
        <v>359856</v>
      </c>
      <c r="J627" s="2446">
        <v>0.51142715428967744</v>
      </c>
      <c r="K627" s="2436">
        <v>289812.47122994869</v>
      </c>
      <c r="L627" s="2436">
        <v>289812.47122994869</v>
      </c>
      <c r="M627" s="2266">
        <v>599</v>
      </c>
    </row>
    <row r="628" spans="1:13" ht="15">
      <c r="A628" s="2266" t="s">
        <v>4112</v>
      </c>
      <c r="B628" s="1694" t="str">
        <f>CONCATENATE(LEFT(RIGHT(CONCATENATE("000",IFAData_TEA!A628),6),3),"-",(RIGHT(RIGHT(CONCATENATE("000",IFAData_TEA!A628),6),3)))</f>
        <v>061-908</v>
      </c>
      <c r="C628" s="2266" t="s">
        <v>2353</v>
      </c>
      <c r="D628" s="2266">
        <v>1</v>
      </c>
      <c r="E628" s="2266">
        <v>2303</v>
      </c>
      <c r="F628" s="2266" t="s">
        <v>5244</v>
      </c>
      <c r="G628" s="2266" t="s">
        <v>6955</v>
      </c>
      <c r="H628" s="2436">
        <v>161107</v>
      </c>
      <c r="I628" s="2436">
        <v>45978</v>
      </c>
      <c r="J628" s="2446">
        <v>8.6590668969322826E-2</v>
      </c>
      <c r="K628" s="2436">
        <v>13950.362905640692</v>
      </c>
      <c r="L628" s="2436">
        <v>13950.362905640692</v>
      </c>
      <c r="M628" s="2266">
        <v>599</v>
      </c>
    </row>
    <row r="629" spans="1:13" ht="15">
      <c r="A629" s="2266" t="s">
        <v>4112</v>
      </c>
      <c r="B629" s="1694" t="str">
        <f>CONCATENATE(LEFT(RIGHT(CONCATENATE("000",IFAData_TEA!A629),6),3),"-",(RIGHT(RIGHT(CONCATENATE("000",IFAData_TEA!A629),6),3)))</f>
        <v>061-908</v>
      </c>
      <c r="C629" s="2266" t="s">
        <v>2353</v>
      </c>
      <c r="D629" s="2266">
        <v>9</v>
      </c>
      <c r="E629" s="2266">
        <v>2305</v>
      </c>
      <c r="F629" s="2266" t="s">
        <v>5245</v>
      </c>
      <c r="G629" s="2266" t="s">
        <v>5246</v>
      </c>
      <c r="H629" s="2436">
        <v>566674</v>
      </c>
      <c r="I629" s="2436">
        <v>0</v>
      </c>
      <c r="J629" s="2446">
        <v>0</v>
      </c>
      <c r="K629" s="2436">
        <v>0</v>
      </c>
      <c r="L629" s="2436">
        <v>0</v>
      </c>
      <c r="M629" s="2266">
        <v>599</v>
      </c>
    </row>
    <row r="630" spans="1:13" ht="15">
      <c r="A630" s="2266" t="s">
        <v>4112</v>
      </c>
      <c r="B630" s="1694" t="str">
        <f>CONCATENATE(LEFT(RIGHT(CONCATENATE("000",IFAData_TEA!A630),6),3),"-",(RIGHT(RIGHT(CONCATENATE("000",IFAData_TEA!A630),6),3)))</f>
        <v>061-908</v>
      </c>
      <c r="C630" s="2266" t="s">
        <v>2353</v>
      </c>
      <c r="D630" s="2266">
        <v>5</v>
      </c>
      <c r="E630" s="2266">
        <v>2304</v>
      </c>
      <c r="F630" s="2266" t="s">
        <v>5247</v>
      </c>
      <c r="G630" s="2266" t="s">
        <v>5247</v>
      </c>
      <c r="H630" s="2436">
        <v>461721</v>
      </c>
      <c r="I630" s="2436">
        <v>1386827</v>
      </c>
      <c r="J630" s="2446">
        <v>1</v>
      </c>
      <c r="K630" s="2436">
        <v>461721</v>
      </c>
      <c r="L630" s="2436">
        <v>461721</v>
      </c>
      <c r="M630" s="2266">
        <v>599</v>
      </c>
    </row>
    <row r="631" spans="1:13" ht="15">
      <c r="A631" s="2266" t="s">
        <v>4112</v>
      </c>
      <c r="B631" s="1694" t="str">
        <f>CONCATENATE(LEFT(RIGHT(CONCATENATE("000",IFAData_TEA!A631),6),3),"-",(RIGHT(RIGHT(CONCATENATE("000",IFAData_TEA!A631),6),3)))</f>
        <v>061-908</v>
      </c>
      <c r="C631" s="2266" t="s">
        <v>2353</v>
      </c>
      <c r="D631" s="2266">
        <v>9</v>
      </c>
      <c r="E631" s="2266">
        <v>2305</v>
      </c>
      <c r="F631" s="2266" t="s">
        <v>5245</v>
      </c>
      <c r="G631" s="2266" t="s">
        <v>5245</v>
      </c>
      <c r="H631" s="2436">
        <v>566674</v>
      </c>
      <c r="I631" s="2436">
        <v>343775</v>
      </c>
      <c r="J631" s="2446">
        <v>0.48857284571032261</v>
      </c>
      <c r="K631" s="2436">
        <v>276861.52877005137</v>
      </c>
      <c r="L631" s="2436">
        <v>276861.52877005137</v>
      </c>
      <c r="M631" s="2266">
        <v>599</v>
      </c>
    </row>
    <row r="632" spans="1:13" ht="15">
      <c r="A632" s="2266" t="s">
        <v>4112</v>
      </c>
      <c r="B632" s="1694" t="str">
        <f>CONCATENATE(LEFT(RIGHT(CONCATENATE("000",IFAData_TEA!A632),6),3),"-",(RIGHT(RIGHT(CONCATENATE("000",IFAData_TEA!A632),6),3)))</f>
        <v>061-908</v>
      </c>
      <c r="C632" s="2266" t="s">
        <v>2353</v>
      </c>
      <c r="D632" s="2266">
        <v>1</v>
      </c>
      <c r="E632" s="2266">
        <v>2303</v>
      </c>
      <c r="F632" s="2266" t="s">
        <v>5244</v>
      </c>
      <c r="G632" s="2266" t="s">
        <v>5244</v>
      </c>
      <c r="H632" s="2436">
        <v>161107</v>
      </c>
      <c r="I632" s="2436">
        <v>441080</v>
      </c>
      <c r="J632" s="2446">
        <v>0.83068885704008244</v>
      </c>
      <c r="K632" s="2436">
        <v>133829.78969115656</v>
      </c>
      <c r="L632" s="2436">
        <v>133829.78969115656</v>
      </c>
      <c r="M632" s="2266">
        <v>599</v>
      </c>
    </row>
    <row r="633" spans="1:13" ht="15">
      <c r="A633" s="2266" t="s">
        <v>4113</v>
      </c>
      <c r="B633" s="1694" t="str">
        <f>CONCATENATE(LEFT(RIGHT(CONCATENATE("000",IFAData_TEA!A633),6),3),"-",(RIGHT(RIGHT(CONCATENATE("000",IFAData_TEA!A633),6),3)))</f>
        <v>061-911</v>
      </c>
      <c r="C633" s="2266" t="s">
        <v>1425</v>
      </c>
      <c r="D633" s="2266">
        <v>1</v>
      </c>
      <c r="E633" s="2266">
        <v>2154</v>
      </c>
      <c r="F633" s="2266" t="s">
        <v>5248</v>
      </c>
      <c r="G633" s="2266" t="s">
        <v>5248</v>
      </c>
      <c r="H633" s="2436">
        <v>740900</v>
      </c>
      <c r="I633" s="2436">
        <v>0</v>
      </c>
      <c r="J633" s="2446">
        <v>0</v>
      </c>
      <c r="K633" s="2436">
        <v>0</v>
      </c>
      <c r="L633" s="2436">
        <v>0</v>
      </c>
      <c r="M633" s="2266">
        <v>599</v>
      </c>
    </row>
    <row r="634" spans="1:13" ht="15">
      <c r="A634" s="2266" t="s">
        <v>4113</v>
      </c>
      <c r="B634" s="1694" t="str">
        <f>CONCATENATE(LEFT(RIGHT(CONCATENATE("000",IFAData_TEA!A634),6),3),"-",(RIGHT(RIGHT(CONCATENATE("000",IFAData_TEA!A634),6),3)))</f>
        <v>061-911</v>
      </c>
      <c r="C634" s="2266" t="s">
        <v>1425</v>
      </c>
      <c r="D634" s="2266">
        <v>1</v>
      </c>
      <c r="E634" s="2266">
        <v>2154</v>
      </c>
      <c r="F634" s="2266" t="s">
        <v>5248</v>
      </c>
      <c r="G634" s="2266" t="s">
        <v>5249</v>
      </c>
      <c r="H634" s="2436">
        <v>740900</v>
      </c>
      <c r="I634" s="2436">
        <v>0</v>
      </c>
      <c r="J634" s="2446">
        <v>0</v>
      </c>
      <c r="K634" s="2436">
        <v>0</v>
      </c>
      <c r="L634" s="2436">
        <v>0</v>
      </c>
      <c r="M634" s="2266">
        <v>599</v>
      </c>
    </row>
    <row r="635" spans="1:13" ht="15">
      <c r="A635" s="2266" t="s">
        <v>4113</v>
      </c>
      <c r="B635" s="1694" t="str">
        <f>CONCATENATE(LEFT(RIGHT(CONCATENATE("000",IFAData_TEA!A635),6),3),"-",(RIGHT(RIGHT(CONCATENATE("000",IFAData_TEA!A635),6),3)))</f>
        <v>061-911</v>
      </c>
      <c r="C635" s="2266" t="s">
        <v>1425</v>
      </c>
      <c r="D635" s="2266">
        <v>1</v>
      </c>
      <c r="E635" s="2266">
        <v>2154</v>
      </c>
      <c r="F635" s="2266" t="s">
        <v>5248</v>
      </c>
      <c r="G635" s="2266" t="s">
        <v>5250</v>
      </c>
      <c r="H635" s="2436">
        <v>740900</v>
      </c>
      <c r="I635" s="2436">
        <v>52857</v>
      </c>
      <c r="J635" s="2446">
        <v>1</v>
      </c>
      <c r="K635" s="2436">
        <v>740900</v>
      </c>
      <c r="L635" s="2436">
        <v>52857</v>
      </c>
      <c r="M635" s="2266">
        <v>599</v>
      </c>
    </row>
    <row r="636" spans="1:13" ht="15">
      <c r="A636" s="2266" t="s">
        <v>4113</v>
      </c>
      <c r="B636" s="1694" t="str">
        <f>CONCATENATE(LEFT(RIGHT(CONCATENATE("000",IFAData_TEA!A636),6),3),"-",(RIGHT(RIGHT(CONCATENATE("000",IFAData_TEA!A636),6),3)))</f>
        <v>061-911</v>
      </c>
      <c r="C636" s="2266" t="s">
        <v>1425</v>
      </c>
      <c r="D636" s="2266">
        <v>1</v>
      </c>
      <c r="E636" s="2266">
        <v>2154</v>
      </c>
      <c r="F636" s="2266" t="s">
        <v>5248</v>
      </c>
      <c r="G636" s="2266" t="s">
        <v>6956</v>
      </c>
      <c r="H636" s="2436">
        <v>740900</v>
      </c>
      <c r="I636" s="2436">
        <v>0</v>
      </c>
      <c r="J636" s="2446">
        <v>0</v>
      </c>
      <c r="K636" s="2436">
        <v>0</v>
      </c>
      <c r="L636" s="2436">
        <v>0</v>
      </c>
      <c r="M636" s="2266">
        <v>599</v>
      </c>
    </row>
    <row r="637" spans="1:13" ht="15">
      <c r="A637" s="2266" t="s">
        <v>4114</v>
      </c>
      <c r="B637" s="1694" t="str">
        <f>CONCATENATE(LEFT(RIGHT(CONCATENATE("000",IFAData_TEA!A637),6),3),"-",(RIGHT(RIGHT(CONCATENATE("000",IFAData_TEA!A637),6),3)))</f>
        <v>061-912</v>
      </c>
      <c r="C637" s="2266" t="s">
        <v>2623</v>
      </c>
      <c r="D637" s="2266">
        <v>3</v>
      </c>
      <c r="E637" s="2266">
        <v>1997</v>
      </c>
      <c r="F637" s="2266" t="s">
        <v>5251</v>
      </c>
      <c r="G637" s="2266" t="s">
        <v>5255</v>
      </c>
      <c r="H637" s="2436">
        <v>661840</v>
      </c>
      <c r="I637" s="2436">
        <v>2110</v>
      </c>
      <c r="J637" s="2446">
        <v>3.7437766367046251E-3</v>
      </c>
      <c r="K637" s="2436">
        <v>2477.7811292365891</v>
      </c>
      <c r="L637" s="2436">
        <v>2110</v>
      </c>
      <c r="M637" s="2266">
        <v>599</v>
      </c>
    </row>
    <row r="638" spans="1:13" ht="15">
      <c r="A638" s="2266" t="s">
        <v>4114</v>
      </c>
      <c r="B638" s="1694" t="str">
        <f>CONCATENATE(LEFT(RIGHT(CONCATENATE("000",IFAData_TEA!A638),6),3),"-",(RIGHT(RIGHT(CONCATENATE("000",IFAData_TEA!A638),6),3)))</f>
        <v>061-912</v>
      </c>
      <c r="C638" s="2266" t="s">
        <v>2623</v>
      </c>
      <c r="D638" s="2266">
        <v>3</v>
      </c>
      <c r="E638" s="2266">
        <v>1997</v>
      </c>
      <c r="F638" s="2266" t="s">
        <v>5251</v>
      </c>
      <c r="G638" s="2266" t="s">
        <v>5254</v>
      </c>
      <c r="H638" s="2436">
        <v>661840</v>
      </c>
      <c r="I638" s="2436">
        <v>0</v>
      </c>
      <c r="J638" s="2446">
        <v>0</v>
      </c>
      <c r="K638" s="2436">
        <v>0</v>
      </c>
      <c r="L638" s="2436">
        <v>0</v>
      </c>
      <c r="M638" s="2266">
        <v>599</v>
      </c>
    </row>
    <row r="639" spans="1:13" ht="15">
      <c r="A639" s="2266" t="s">
        <v>4114</v>
      </c>
      <c r="B639" s="1694" t="str">
        <f>CONCATENATE(LEFT(RIGHT(CONCATENATE("000",IFAData_TEA!A639),6),3),"-",(RIGHT(RIGHT(CONCATENATE("000",IFAData_TEA!A639),6),3)))</f>
        <v>061-912</v>
      </c>
      <c r="C639" s="2266" t="s">
        <v>2623</v>
      </c>
      <c r="D639" s="2266">
        <v>9</v>
      </c>
      <c r="E639" s="2266">
        <v>1996</v>
      </c>
      <c r="F639" s="2266" t="s">
        <v>5256</v>
      </c>
      <c r="G639" s="2266" t="s">
        <v>5256</v>
      </c>
      <c r="H639" s="2436">
        <v>296517</v>
      </c>
      <c r="I639" s="2436">
        <v>488602</v>
      </c>
      <c r="J639" s="2446">
        <v>0.91203542102600765</v>
      </c>
      <c r="K639" s="2436">
        <v>270434.00693636871</v>
      </c>
      <c r="L639" s="2436">
        <v>270434.00693636871</v>
      </c>
      <c r="M639" s="2266">
        <v>599</v>
      </c>
    </row>
    <row r="640" spans="1:13" ht="15">
      <c r="A640" s="2266" t="s">
        <v>4114</v>
      </c>
      <c r="B640" s="1694" t="str">
        <f>CONCATENATE(LEFT(RIGHT(CONCATENATE("000",IFAData_TEA!A640),6),3),"-",(RIGHT(RIGHT(CONCATENATE("000",IFAData_TEA!A640),6),3)))</f>
        <v>061-912</v>
      </c>
      <c r="C640" s="2266" t="s">
        <v>2623</v>
      </c>
      <c r="D640" s="2266">
        <v>10</v>
      </c>
      <c r="E640" s="2266">
        <v>1995</v>
      </c>
      <c r="F640" s="2266" t="s">
        <v>5257</v>
      </c>
      <c r="G640" s="2266" t="s">
        <v>6957</v>
      </c>
      <c r="H640" s="2436">
        <v>177100</v>
      </c>
      <c r="I640" s="2436">
        <v>117304</v>
      </c>
      <c r="J640" s="2446">
        <v>0.38153970251976749</v>
      </c>
      <c r="K640" s="2436">
        <v>67570.681316250819</v>
      </c>
      <c r="L640" s="2436">
        <v>67570.681316250819</v>
      </c>
      <c r="M640" s="2266">
        <v>599</v>
      </c>
    </row>
    <row r="641" spans="1:13" ht="15">
      <c r="A641" s="2266" t="s">
        <v>4114</v>
      </c>
      <c r="B641" s="1694" t="str">
        <f>CONCATENATE(LEFT(RIGHT(CONCATENATE("000",IFAData_TEA!A641),6),3),"-",(RIGHT(RIGHT(CONCATENATE("000",IFAData_TEA!A641),6),3)))</f>
        <v>061-912</v>
      </c>
      <c r="C641" s="2266" t="s">
        <v>2623</v>
      </c>
      <c r="D641" s="2266">
        <v>3</v>
      </c>
      <c r="E641" s="2266">
        <v>1997</v>
      </c>
      <c r="F641" s="2266" t="s">
        <v>5251</v>
      </c>
      <c r="G641" s="2266" t="s">
        <v>5251</v>
      </c>
      <c r="H641" s="2436">
        <v>661840</v>
      </c>
      <c r="I641" s="2436">
        <v>0</v>
      </c>
      <c r="J641" s="2446">
        <v>0</v>
      </c>
      <c r="K641" s="2436">
        <v>0</v>
      </c>
      <c r="L641" s="2436">
        <v>0</v>
      </c>
      <c r="M641" s="2266">
        <v>599</v>
      </c>
    </row>
    <row r="642" spans="1:13" ht="15">
      <c r="A642" s="2266" t="s">
        <v>4114</v>
      </c>
      <c r="B642" s="1694" t="str">
        <f>CONCATENATE(LEFT(RIGHT(CONCATENATE("000",IFAData_TEA!A642),6),3),"-",(RIGHT(RIGHT(CONCATENATE("000",IFAData_TEA!A642),6),3)))</f>
        <v>061-912</v>
      </c>
      <c r="C642" s="2266" t="s">
        <v>2623</v>
      </c>
      <c r="D642" s="2266">
        <v>3</v>
      </c>
      <c r="E642" s="2266">
        <v>1997</v>
      </c>
      <c r="F642" s="2266" t="s">
        <v>5251</v>
      </c>
      <c r="G642" s="2266" t="s">
        <v>6957</v>
      </c>
      <c r="H642" s="2436">
        <v>661840</v>
      </c>
      <c r="I642" s="2436">
        <v>2953</v>
      </c>
      <c r="J642" s="2446">
        <v>5.2395129896629184E-3</v>
      </c>
      <c r="K642" s="2436">
        <v>3467.7192770785059</v>
      </c>
      <c r="L642" s="2436">
        <v>2953</v>
      </c>
      <c r="M642" s="2266">
        <v>599</v>
      </c>
    </row>
    <row r="643" spans="1:13" ht="15">
      <c r="A643" s="2266" t="s">
        <v>4114</v>
      </c>
      <c r="B643" s="1694" t="str">
        <f>CONCATENATE(LEFT(RIGHT(CONCATENATE("000",IFAData_TEA!A643),6),3),"-",(RIGHT(RIGHT(CONCATENATE("000",IFAData_TEA!A643),6),3)))</f>
        <v>061-912</v>
      </c>
      <c r="C643" s="2266" t="s">
        <v>2623</v>
      </c>
      <c r="D643" s="2266">
        <v>3</v>
      </c>
      <c r="E643" s="2266">
        <v>1997</v>
      </c>
      <c r="F643" s="2266" t="s">
        <v>5251</v>
      </c>
      <c r="G643" s="2266" t="s">
        <v>5253</v>
      </c>
      <c r="H643" s="2436">
        <v>661840</v>
      </c>
      <c r="I643" s="2436">
        <v>557275</v>
      </c>
      <c r="J643" s="2446">
        <v>0.98877399299505675</v>
      </c>
      <c r="K643" s="2436">
        <v>654410.17952384835</v>
      </c>
      <c r="L643" s="2436">
        <v>557275</v>
      </c>
      <c r="M643" s="2266">
        <v>599</v>
      </c>
    </row>
    <row r="644" spans="1:13" ht="15">
      <c r="A644" s="2266" t="s">
        <v>4114</v>
      </c>
      <c r="B644" s="1694" t="str">
        <f>CONCATENATE(LEFT(RIGHT(CONCATENATE("000",IFAData_TEA!A644),6),3),"-",(RIGHT(RIGHT(CONCATENATE("000",IFAData_TEA!A644),6),3)))</f>
        <v>061-912</v>
      </c>
      <c r="C644" s="2266" t="s">
        <v>2623</v>
      </c>
      <c r="D644" s="2266">
        <v>3</v>
      </c>
      <c r="E644" s="2266">
        <v>1997</v>
      </c>
      <c r="F644" s="2266" t="s">
        <v>5251</v>
      </c>
      <c r="G644" s="2266" t="s">
        <v>5252</v>
      </c>
      <c r="H644" s="2436">
        <v>661840</v>
      </c>
      <c r="I644" s="2436">
        <v>1264</v>
      </c>
      <c r="J644" s="2446">
        <v>2.2427173785756617E-3</v>
      </c>
      <c r="K644" s="2436">
        <v>1484.3200698365158</v>
      </c>
      <c r="L644" s="2436">
        <v>1264</v>
      </c>
      <c r="M644" s="2266">
        <v>599</v>
      </c>
    </row>
    <row r="645" spans="1:13" ht="15">
      <c r="A645" s="2266" t="s">
        <v>4114</v>
      </c>
      <c r="B645" s="1694" t="str">
        <f>CONCATENATE(LEFT(RIGHT(CONCATENATE("000",IFAData_TEA!A645),6),3),"-",(RIGHT(RIGHT(CONCATENATE("000",IFAData_TEA!A645),6),3)))</f>
        <v>061-912</v>
      </c>
      <c r="C645" s="2266" t="s">
        <v>2623</v>
      </c>
      <c r="D645" s="2266">
        <v>10</v>
      </c>
      <c r="E645" s="2266">
        <v>1995</v>
      </c>
      <c r="F645" s="2266" t="s">
        <v>5257</v>
      </c>
      <c r="G645" s="2266" t="s">
        <v>5257</v>
      </c>
      <c r="H645" s="2436">
        <v>177100</v>
      </c>
      <c r="I645" s="2436">
        <v>190145</v>
      </c>
      <c r="J645" s="2446">
        <v>0.61846029748023246</v>
      </c>
      <c r="K645" s="2436">
        <v>109529.31868374917</v>
      </c>
      <c r="L645" s="2436">
        <v>109529.31868374917</v>
      </c>
      <c r="M645" s="2266">
        <v>599</v>
      </c>
    </row>
    <row r="646" spans="1:13" ht="15">
      <c r="A646" s="2266" t="s">
        <v>4114</v>
      </c>
      <c r="B646" s="1694" t="str">
        <f>CONCATENATE(LEFT(RIGHT(CONCATENATE("000",IFAData_TEA!A646),6),3),"-",(RIGHT(RIGHT(CONCATENATE("000",IFAData_TEA!A646),6),3)))</f>
        <v>061-912</v>
      </c>
      <c r="C646" s="2266" t="s">
        <v>2623</v>
      </c>
      <c r="D646" s="2266">
        <v>9</v>
      </c>
      <c r="E646" s="2266">
        <v>1996</v>
      </c>
      <c r="F646" s="2266" t="s">
        <v>5256</v>
      </c>
      <c r="G646" s="2266" t="s">
        <v>6957</v>
      </c>
      <c r="H646" s="2436">
        <v>296517</v>
      </c>
      <c r="I646" s="2436">
        <v>47125</v>
      </c>
      <c r="J646" s="2446">
        <v>8.7964578973992347E-2</v>
      </c>
      <c r="K646" s="2436">
        <v>26082.993063631289</v>
      </c>
      <c r="L646" s="2436">
        <v>26082.993063631289</v>
      </c>
      <c r="M646" s="2266">
        <v>599</v>
      </c>
    </row>
    <row r="647" spans="1:13" ht="15">
      <c r="A647" s="2266" t="s">
        <v>4115</v>
      </c>
      <c r="B647" s="1694" t="str">
        <f>CONCATENATE(LEFT(RIGHT(CONCATENATE("000",IFAData_TEA!A647),6),3),"-",(RIGHT(RIGHT(CONCATENATE("000",IFAData_TEA!A647),6),3)))</f>
        <v>061-914</v>
      </c>
      <c r="C647" s="2266" t="s">
        <v>1764</v>
      </c>
      <c r="D647" s="2266">
        <v>5</v>
      </c>
      <c r="E647" s="2266">
        <v>2026</v>
      </c>
      <c r="F647" s="2266" t="s">
        <v>5258</v>
      </c>
      <c r="G647" s="2266" t="s">
        <v>5266</v>
      </c>
      <c r="H647" s="2436">
        <v>512028</v>
      </c>
      <c r="I647" s="2436">
        <v>14057</v>
      </c>
      <c r="J647" s="2446">
        <v>1.6370933179294153E-2</v>
      </c>
      <c r="K647" s="2436">
        <v>8382.376173927627</v>
      </c>
      <c r="L647" s="2436">
        <v>8382.376173927627</v>
      </c>
      <c r="M647" s="2266">
        <v>599</v>
      </c>
    </row>
    <row r="648" spans="1:13" ht="15">
      <c r="A648" s="2266" t="s">
        <v>4115</v>
      </c>
      <c r="B648" s="1694" t="str">
        <f>CONCATENATE(LEFT(RIGHT(CONCATENATE("000",IFAData_TEA!A648),6),3),"-",(RIGHT(RIGHT(CONCATENATE("000",IFAData_TEA!A648),6),3)))</f>
        <v>061-914</v>
      </c>
      <c r="C648" s="2266" t="s">
        <v>1764</v>
      </c>
      <c r="D648" s="2266">
        <v>5</v>
      </c>
      <c r="E648" s="2266">
        <v>2026</v>
      </c>
      <c r="F648" s="2266" t="s">
        <v>5258</v>
      </c>
      <c r="G648" s="2266" t="s">
        <v>5264</v>
      </c>
      <c r="H648" s="2436">
        <v>512028</v>
      </c>
      <c r="I648" s="2436">
        <v>0</v>
      </c>
      <c r="J648" s="2446">
        <v>0</v>
      </c>
      <c r="K648" s="2436">
        <v>0</v>
      </c>
      <c r="L648" s="2436">
        <v>0</v>
      </c>
      <c r="M648" s="2266">
        <v>599</v>
      </c>
    </row>
    <row r="649" spans="1:13" ht="15">
      <c r="A649" s="2266" t="s">
        <v>4115</v>
      </c>
      <c r="B649" s="1694" t="str">
        <f>CONCATENATE(LEFT(RIGHT(CONCATENATE("000",IFAData_TEA!A649),6),3),"-",(RIGHT(RIGHT(CONCATENATE("000",IFAData_TEA!A649),6),3)))</f>
        <v>061-914</v>
      </c>
      <c r="C649" s="2266" t="s">
        <v>1764</v>
      </c>
      <c r="D649" s="2266">
        <v>5</v>
      </c>
      <c r="E649" s="2266">
        <v>2026</v>
      </c>
      <c r="F649" s="2266" t="s">
        <v>5258</v>
      </c>
      <c r="G649" s="2266" t="s">
        <v>5267</v>
      </c>
      <c r="H649" s="2436">
        <v>512028</v>
      </c>
      <c r="I649" s="2436">
        <v>2</v>
      </c>
      <c r="J649" s="2446">
        <v>2.3292214810121867E-6</v>
      </c>
      <c r="K649" s="2436">
        <v>1.1926266164797079</v>
      </c>
      <c r="L649" s="2436">
        <v>1.1926266164797079</v>
      </c>
      <c r="M649" s="2266">
        <v>599</v>
      </c>
    </row>
    <row r="650" spans="1:13" ht="15">
      <c r="A650" s="2266" t="s">
        <v>4115</v>
      </c>
      <c r="B650" s="1694" t="str">
        <f>CONCATENATE(LEFT(RIGHT(CONCATENATE("000",IFAData_TEA!A650),6),3),"-",(RIGHT(RIGHT(CONCATENATE("000",IFAData_TEA!A650),6),3)))</f>
        <v>061-914</v>
      </c>
      <c r="C650" s="2266" t="s">
        <v>1764</v>
      </c>
      <c r="D650" s="2266">
        <v>5</v>
      </c>
      <c r="E650" s="2266">
        <v>2026</v>
      </c>
      <c r="F650" s="2266" t="s">
        <v>5258</v>
      </c>
      <c r="G650" s="2266" t="s">
        <v>5268</v>
      </c>
      <c r="H650" s="2436">
        <v>512028</v>
      </c>
      <c r="I650" s="2436">
        <v>3</v>
      </c>
      <c r="J650" s="2446">
        <v>3.4938322215182798E-6</v>
      </c>
      <c r="K650" s="2436">
        <v>1.7889399247195616</v>
      </c>
      <c r="L650" s="2436">
        <v>1.7889399247195616</v>
      </c>
      <c r="M650" s="2266">
        <v>599</v>
      </c>
    </row>
    <row r="651" spans="1:13" ht="15">
      <c r="A651" s="2266" t="s">
        <v>4115</v>
      </c>
      <c r="B651" s="1694" t="str">
        <f>CONCATENATE(LEFT(RIGHT(CONCATENATE("000",IFAData_TEA!A651),6),3),"-",(RIGHT(RIGHT(CONCATENATE("000",IFAData_TEA!A651),6),3)))</f>
        <v>061-914</v>
      </c>
      <c r="C651" s="2266" t="s">
        <v>1764</v>
      </c>
      <c r="D651" s="2266">
        <v>5</v>
      </c>
      <c r="E651" s="2266">
        <v>2026</v>
      </c>
      <c r="F651" s="2266" t="s">
        <v>5258</v>
      </c>
      <c r="G651" s="2266" t="s">
        <v>5261</v>
      </c>
      <c r="H651" s="2436">
        <v>512028</v>
      </c>
      <c r="I651" s="2436">
        <v>0</v>
      </c>
      <c r="J651" s="2446">
        <v>0</v>
      </c>
      <c r="K651" s="2436">
        <v>0</v>
      </c>
      <c r="L651" s="2436">
        <v>0</v>
      </c>
      <c r="M651" s="2266">
        <v>599</v>
      </c>
    </row>
    <row r="652" spans="1:13" ht="15">
      <c r="A652" s="2266" t="s">
        <v>4115</v>
      </c>
      <c r="B652" s="1694" t="str">
        <f>CONCATENATE(LEFT(RIGHT(CONCATENATE("000",IFAData_TEA!A652),6),3),"-",(RIGHT(RIGHT(CONCATENATE("000",IFAData_TEA!A652),6),3)))</f>
        <v>061-914</v>
      </c>
      <c r="C652" s="2266" t="s">
        <v>1764</v>
      </c>
      <c r="D652" s="2266">
        <v>5</v>
      </c>
      <c r="E652" s="2266">
        <v>2026</v>
      </c>
      <c r="F652" s="2266" t="s">
        <v>5258</v>
      </c>
      <c r="G652" s="2266" t="s">
        <v>5265</v>
      </c>
      <c r="H652" s="2436">
        <v>512028</v>
      </c>
      <c r="I652" s="2436">
        <v>202107</v>
      </c>
      <c r="J652" s="2446">
        <v>0.235375982931465</v>
      </c>
      <c r="K652" s="2436">
        <v>120519.09378843216</v>
      </c>
      <c r="L652" s="2436">
        <v>120519.09378843216</v>
      </c>
      <c r="M652" s="2266">
        <v>599</v>
      </c>
    </row>
    <row r="653" spans="1:13" ht="15">
      <c r="A653" s="2266" t="s">
        <v>4115</v>
      </c>
      <c r="B653" s="1694" t="str">
        <f>CONCATENATE(LEFT(RIGHT(CONCATENATE("000",IFAData_TEA!A653),6),3),"-",(RIGHT(RIGHT(CONCATENATE("000",IFAData_TEA!A653),6),3)))</f>
        <v>061-914</v>
      </c>
      <c r="C653" s="2266" t="s">
        <v>1764</v>
      </c>
      <c r="D653" s="2266">
        <v>5</v>
      </c>
      <c r="E653" s="2266">
        <v>2026</v>
      </c>
      <c r="F653" s="2266" t="s">
        <v>5258</v>
      </c>
      <c r="G653" s="2266" t="s">
        <v>6958</v>
      </c>
      <c r="H653" s="2436">
        <v>512028</v>
      </c>
      <c r="I653" s="2436">
        <v>1704</v>
      </c>
      <c r="J653" s="2446">
        <v>1.9844967018223829E-3</v>
      </c>
      <c r="K653" s="2436">
        <v>1016.1178772407111</v>
      </c>
      <c r="L653" s="2436">
        <v>1016.1178772407111</v>
      </c>
      <c r="M653" s="2266">
        <v>599</v>
      </c>
    </row>
    <row r="654" spans="1:13" ht="15">
      <c r="A654" s="2266" t="s">
        <v>4115</v>
      </c>
      <c r="B654" s="1694" t="str">
        <f>CONCATENATE(LEFT(RIGHT(CONCATENATE("000",IFAData_TEA!A654),6),3),"-",(RIGHT(RIGHT(CONCATENATE("000",IFAData_TEA!A654),6),3)))</f>
        <v>061-914</v>
      </c>
      <c r="C654" s="2266" t="s">
        <v>1764</v>
      </c>
      <c r="D654" s="2266">
        <v>9</v>
      </c>
      <c r="E654" s="2266">
        <v>2027</v>
      </c>
      <c r="F654" s="2266" t="s">
        <v>5263</v>
      </c>
      <c r="G654" s="2266" t="s">
        <v>5263</v>
      </c>
      <c r="H654" s="2436">
        <v>606882</v>
      </c>
      <c r="I654" s="2436">
        <v>965467</v>
      </c>
      <c r="J654" s="2446">
        <v>0.96718956461457861</v>
      </c>
      <c r="K654" s="2436">
        <v>586969.93735242472</v>
      </c>
      <c r="L654" s="2436">
        <v>586969.93735242472</v>
      </c>
      <c r="M654" s="2266">
        <v>599</v>
      </c>
    </row>
    <row r="655" spans="1:13" ht="15">
      <c r="A655" s="2266" t="s">
        <v>4115</v>
      </c>
      <c r="B655" s="1694" t="str">
        <f>CONCATENATE(LEFT(RIGHT(CONCATENATE("000",IFAData_TEA!A655),6),3),"-",(RIGHT(RIGHT(CONCATENATE("000",IFAData_TEA!A655),6),3)))</f>
        <v>061-914</v>
      </c>
      <c r="C655" s="2266" t="s">
        <v>1764</v>
      </c>
      <c r="D655" s="2266">
        <v>5</v>
      </c>
      <c r="E655" s="2266">
        <v>2026</v>
      </c>
      <c r="F655" s="2266" t="s">
        <v>5258</v>
      </c>
      <c r="G655" s="2266" t="s">
        <v>5262</v>
      </c>
      <c r="H655" s="2436">
        <v>512028</v>
      </c>
      <c r="I655" s="2436">
        <v>0</v>
      </c>
      <c r="J655" s="2446">
        <v>0</v>
      </c>
      <c r="K655" s="2436">
        <v>0</v>
      </c>
      <c r="L655" s="2436">
        <v>0</v>
      </c>
      <c r="M655" s="2266">
        <v>599</v>
      </c>
    </row>
    <row r="656" spans="1:13" ht="15">
      <c r="A656" s="2266" t="s">
        <v>4115</v>
      </c>
      <c r="B656" s="1694" t="str">
        <f>CONCATENATE(LEFT(RIGHT(CONCATENATE("000",IFAData_TEA!A656),6),3),"-",(RIGHT(RIGHT(CONCATENATE("000",IFAData_TEA!A656),6),3)))</f>
        <v>061-914</v>
      </c>
      <c r="C656" s="2266" t="s">
        <v>1764</v>
      </c>
      <c r="D656" s="2266">
        <v>5</v>
      </c>
      <c r="E656" s="2266">
        <v>2026</v>
      </c>
      <c r="F656" s="2266" t="s">
        <v>5258</v>
      </c>
      <c r="G656" s="2266" t="s">
        <v>5263</v>
      </c>
      <c r="H656" s="2436">
        <v>512028</v>
      </c>
      <c r="I656" s="2436">
        <v>252895</v>
      </c>
      <c r="J656" s="2446">
        <v>0.29452423322028848</v>
      </c>
      <c r="K656" s="2436">
        <v>150804.65408731787</v>
      </c>
      <c r="L656" s="2436">
        <v>150804.65408731787</v>
      </c>
      <c r="M656" s="2266">
        <v>599</v>
      </c>
    </row>
    <row r="657" spans="1:13" ht="15">
      <c r="A657" s="2266" t="s">
        <v>4115</v>
      </c>
      <c r="B657" s="1694" t="str">
        <f>CONCATENATE(LEFT(RIGHT(CONCATENATE("000",IFAData_TEA!A657),6),3),"-",(RIGHT(RIGHT(CONCATENATE("000",IFAData_TEA!A657),6),3)))</f>
        <v>061-914</v>
      </c>
      <c r="C657" s="2266" t="s">
        <v>1764</v>
      </c>
      <c r="D657" s="2266">
        <v>9</v>
      </c>
      <c r="E657" s="2266">
        <v>2025</v>
      </c>
      <c r="F657" s="2266" t="s">
        <v>5269</v>
      </c>
      <c r="G657" s="2266" t="s">
        <v>5269</v>
      </c>
      <c r="H657" s="2436">
        <v>353398</v>
      </c>
      <c r="I657" s="2436">
        <v>417912</v>
      </c>
      <c r="J657" s="2446">
        <v>1</v>
      </c>
      <c r="K657" s="2436">
        <v>353398</v>
      </c>
      <c r="L657" s="2436">
        <v>353398</v>
      </c>
      <c r="M657" s="2266">
        <v>599</v>
      </c>
    </row>
    <row r="658" spans="1:13" ht="15">
      <c r="A658" s="2266" t="s">
        <v>4115</v>
      </c>
      <c r="B658" s="1694" t="str">
        <f>CONCATENATE(LEFT(RIGHT(CONCATENATE("000",IFAData_TEA!A658),6),3),"-",(RIGHT(RIGHT(CONCATENATE("000",IFAData_TEA!A658),6),3)))</f>
        <v>061-914</v>
      </c>
      <c r="C658" s="2266" t="s">
        <v>1764</v>
      </c>
      <c r="D658" s="2266">
        <v>5</v>
      </c>
      <c r="E658" s="2266">
        <v>2026</v>
      </c>
      <c r="F658" s="2266" t="s">
        <v>5258</v>
      </c>
      <c r="G658" s="2266" t="s">
        <v>5260</v>
      </c>
      <c r="H658" s="2436">
        <v>512028</v>
      </c>
      <c r="I658" s="2436">
        <v>0</v>
      </c>
      <c r="J658" s="2446">
        <v>0</v>
      </c>
      <c r="K658" s="2436">
        <v>0</v>
      </c>
      <c r="L658" s="2436">
        <v>0</v>
      </c>
      <c r="M658" s="2266">
        <v>599</v>
      </c>
    </row>
    <row r="659" spans="1:13" ht="15">
      <c r="A659" s="2266" t="s">
        <v>4115</v>
      </c>
      <c r="B659" s="1694" t="str">
        <f>CONCATENATE(LEFT(RIGHT(CONCATENATE("000",IFAData_TEA!A659),6),3),"-",(RIGHT(RIGHT(CONCATENATE("000",IFAData_TEA!A659),6),3)))</f>
        <v>061-914</v>
      </c>
      <c r="C659" s="2266" t="s">
        <v>1764</v>
      </c>
      <c r="D659" s="2266">
        <v>5</v>
      </c>
      <c r="E659" s="2266">
        <v>2026</v>
      </c>
      <c r="F659" s="2266" t="s">
        <v>5258</v>
      </c>
      <c r="G659" s="2266" t="s">
        <v>6959</v>
      </c>
      <c r="H659" s="2436">
        <v>512028</v>
      </c>
      <c r="I659" s="2436">
        <v>28804</v>
      </c>
      <c r="J659" s="2446">
        <v>3.3545447769537509E-2</v>
      </c>
      <c r="K659" s="2436">
        <v>17176.208530540753</v>
      </c>
      <c r="L659" s="2436">
        <v>17176.208530540753</v>
      </c>
      <c r="M659" s="2266">
        <v>599</v>
      </c>
    </row>
    <row r="660" spans="1:13" ht="15">
      <c r="A660" s="2266" t="s">
        <v>4115</v>
      </c>
      <c r="B660" s="1694" t="str">
        <f>CONCATENATE(LEFT(RIGHT(CONCATENATE("000",IFAData_TEA!A660),6),3),"-",(RIGHT(RIGHT(CONCATENATE("000",IFAData_TEA!A660),6),3)))</f>
        <v>061-914</v>
      </c>
      <c r="C660" s="2266" t="s">
        <v>1764</v>
      </c>
      <c r="D660" s="2266">
        <v>9</v>
      </c>
      <c r="E660" s="2266">
        <v>2027</v>
      </c>
      <c r="F660" s="2266" t="s">
        <v>5263</v>
      </c>
      <c r="G660" s="2266" t="s">
        <v>6959</v>
      </c>
      <c r="H660" s="2436">
        <v>606882</v>
      </c>
      <c r="I660" s="2436">
        <v>32752</v>
      </c>
      <c r="J660" s="2446">
        <v>3.2810435385421437E-2</v>
      </c>
      <c r="K660" s="2436">
        <v>19912.062647575331</v>
      </c>
      <c r="L660" s="2436">
        <v>19912.062647575331</v>
      </c>
      <c r="M660" s="2266">
        <v>599</v>
      </c>
    </row>
    <row r="661" spans="1:13" ht="15">
      <c r="A661" s="2266" t="s">
        <v>4115</v>
      </c>
      <c r="B661" s="1694" t="str">
        <f>CONCATENATE(LEFT(RIGHT(CONCATENATE("000",IFAData_TEA!A661),6),3),"-",(RIGHT(RIGHT(CONCATENATE("000",IFAData_TEA!A661),6),3)))</f>
        <v>061-914</v>
      </c>
      <c r="C661" s="2266" t="s">
        <v>1764</v>
      </c>
      <c r="D661" s="2266">
        <v>5</v>
      </c>
      <c r="E661" s="2266">
        <v>2026</v>
      </c>
      <c r="F661" s="2266" t="s">
        <v>5258</v>
      </c>
      <c r="G661" s="2266" t="s">
        <v>5259</v>
      </c>
      <c r="H661" s="2436">
        <v>512028</v>
      </c>
      <c r="I661" s="2436">
        <v>0</v>
      </c>
      <c r="J661" s="2446">
        <v>0</v>
      </c>
      <c r="K661" s="2436">
        <v>0</v>
      </c>
      <c r="L661" s="2436">
        <v>0</v>
      </c>
      <c r="M661" s="2266">
        <v>599</v>
      </c>
    </row>
    <row r="662" spans="1:13" ht="15">
      <c r="A662" s="2266" t="s">
        <v>4115</v>
      </c>
      <c r="B662" s="1694" t="str">
        <f>CONCATENATE(LEFT(RIGHT(CONCATENATE("000",IFAData_TEA!A662),6),3),"-",(RIGHT(RIGHT(CONCATENATE("000",IFAData_TEA!A662),6),3)))</f>
        <v>061-914</v>
      </c>
      <c r="C662" s="2266" t="s">
        <v>1764</v>
      </c>
      <c r="D662" s="2266">
        <v>5</v>
      </c>
      <c r="E662" s="2266">
        <v>2026</v>
      </c>
      <c r="F662" s="2266" t="s">
        <v>5258</v>
      </c>
      <c r="G662" s="2266" t="s">
        <v>5258</v>
      </c>
      <c r="H662" s="2436">
        <v>512028</v>
      </c>
      <c r="I662" s="2436">
        <v>359084</v>
      </c>
      <c r="J662" s="2446">
        <v>0.41819308314388998</v>
      </c>
      <c r="K662" s="2436">
        <v>214126.5679759997</v>
      </c>
      <c r="L662" s="2436">
        <v>214126.5679759997</v>
      </c>
      <c r="M662" s="2266">
        <v>599</v>
      </c>
    </row>
    <row r="663" spans="1:13" ht="15">
      <c r="A663" s="2266" t="s">
        <v>4116</v>
      </c>
      <c r="B663" s="1694" t="str">
        <f>CONCATENATE(LEFT(RIGHT(CONCATENATE("000",IFAData_TEA!A663),6),3),"-",(RIGHT(RIGHT(CONCATENATE("000",IFAData_TEA!A663),6),3)))</f>
        <v>062-901</v>
      </c>
      <c r="C663" s="2266" t="s">
        <v>461</v>
      </c>
      <c r="D663" s="2266">
        <v>6</v>
      </c>
      <c r="E663" s="2266">
        <v>1741</v>
      </c>
      <c r="F663" s="2266" t="s">
        <v>5270</v>
      </c>
      <c r="G663" s="2266" t="s">
        <v>6960</v>
      </c>
      <c r="H663" s="2436">
        <v>487605</v>
      </c>
      <c r="I663" s="2436">
        <v>364208</v>
      </c>
      <c r="J663" s="2446">
        <v>1</v>
      </c>
      <c r="K663" s="2436">
        <v>487605</v>
      </c>
      <c r="L663" s="2436">
        <v>364208</v>
      </c>
      <c r="M663" s="2266">
        <v>599</v>
      </c>
    </row>
    <row r="664" spans="1:13" ht="15">
      <c r="A664" s="2266" t="s">
        <v>4116</v>
      </c>
      <c r="B664" s="1694" t="str">
        <f>CONCATENATE(LEFT(RIGHT(CONCATENATE("000",IFAData_TEA!A664),6),3),"-",(RIGHT(RIGHT(CONCATENATE("000",IFAData_TEA!A664),6),3)))</f>
        <v>062-901</v>
      </c>
      <c r="C664" s="2266" t="s">
        <v>461</v>
      </c>
      <c r="D664" s="2266">
        <v>6</v>
      </c>
      <c r="E664" s="2266">
        <v>1741</v>
      </c>
      <c r="F664" s="2266" t="s">
        <v>5270</v>
      </c>
      <c r="G664" s="2266" t="s">
        <v>5270</v>
      </c>
      <c r="H664" s="2436">
        <v>487605</v>
      </c>
      <c r="I664" s="2436">
        <v>0</v>
      </c>
      <c r="J664" s="2446">
        <v>0</v>
      </c>
      <c r="K664" s="2436">
        <v>0</v>
      </c>
      <c r="L664" s="2436">
        <v>0</v>
      </c>
      <c r="M664" s="2266">
        <v>599</v>
      </c>
    </row>
    <row r="665" spans="1:13" ht="15">
      <c r="A665" s="2266" t="s">
        <v>4117</v>
      </c>
      <c r="B665" s="1694" t="str">
        <f>CONCATENATE(LEFT(RIGHT(CONCATENATE("000",IFAData_TEA!A665),6),3),"-",(RIGHT(RIGHT(CONCATENATE("000",IFAData_TEA!A665),6),3)))</f>
        <v>062-903</v>
      </c>
      <c r="C665" s="2266" t="s">
        <v>2511</v>
      </c>
      <c r="D665" s="2266">
        <v>3</v>
      </c>
      <c r="E665" s="2266">
        <v>2466</v>
      </c>
      <c r="F665" s="2266" t="s">
        <v>5271</v>
      </c>
      <c r="G665" s="2266" t="s">
        <v>5273</v>
      </c>
      <c r="H665" s="2436">
        <v>5516</v>
      </c>
      <c r="I665" s="2436">
        <v>0</v>
      </c>
      <c r="J665" s="2446">
        <v>0</v>
      </c>
      <c r="K665" s="2436">
        <v>0</v>
      </c>
      <c r="L665" s="2436">
        <v>0</v>
      </c>
      <c r="M665" s="2266">
        <v>599</v>
      </c>
    </row>
    <row r="666" spans="1:13" ht="15">
      <c r="A666" s="2266" t="s">
        <v>4117</v>
      </c>
      <c r="B666" s="1694" t="str">
        <f>CONCATENATE(LEFT(RIGHT(CONCATENATE("000",IFAData_TEA!A666),6),3),"-",(RIGHT(RIGHT(CONCATENATE("000",IFAData_TEA!A666),6),3)))</f>
        <v>062-903</v>
      </c>
      <c r="C666" s="2266" t="s">
        <v>2511</v>
      </c>
      <c r="D666" s="2266">
        <v>3</v>
      </c>
      <c r="E666" s="2266">
        <v>2467</v>
      </c>
      <c r="F666" s="2266" t="s">
        <v>5274</v>
      </c>
      <c r="G666" s="2266" t="s">
        <v>5273</v>
      </c>
      <c r="H666" s="2436">
        <v>324334</v>
      </c>
      <c r="I666" s="2436">
        <v>0</v>
      </c>
      <c r="J666" s="2446">
        <v>0</v>
      </c>
      <c r="K666" s="2436">
        <v>0</v>
      </c>
      <c r="L666" s="2436">
        <v>0</v>
      </c>
      <c r="M666" s="2266">
        <v>599</v>
      </c>
    </row>
    <row r="667" spans="1:13" ht="15">
      <c r="A667" s="2266" t="s">
        <v>4117</v>
      </c>
      <c r="B667" s="1694" t="str">
        <f>CONCATENATE(LEFT(RIGHT(CONCATENATE("000",IFAData_TEA!A667),6),3),"-",(RIGHT(RIGHT(CONCATENATE("000",IFAData_TEA!A667),6),3)))</f>
        <v>062-903</v>
      </c>
      <c r="C667" s="2266" t="s">
        <v>2511</v>
      </c>
      <c r="D667" s="2266">
        <v>3</v>
      </c>
      <c r="E667" s="2266">
        <v>2466</v>
      </c>
      <c r="F667" s="2266" t="s">
        <v>5271</v>
      </c>
      <c r="G667" s="2266" t="s">
        <v>5272</v>
      </c>
      <c r="H667" s="2436">
        <v>5516</v>
      </c>
      <c r="I667" s="2436">
        <v>303704</v>
      </c>
      <c r="J667" s="2446">
        <v>1</v>
      </c>
      <c r="K667" s="2436">
        <v>5516</v>
      </c>
      <c r="L667" s="2436">
        <v>5516</v>
      </c>
      <c r="M667" s="2266">
        <v>599</v>
      </c>
    </row>
    <row r="668" spans="1:13" ht="15">
      <c r="A668" s="2266" t="s">
        <v>4117</v>
      </c>
      <c r="B668" s="1694" t="str">
        <f>CONCATENATE(LEFT(RIGHT(CONCATENATE("000",IFAData_TEA!A668),6),3),"-",(RIGHT(RIGHT(CONCATENATE("000",IFAData_TEA!A668),6),3)))</f>
        <v>062-903</v>
      </c>
      <c r="C668" s="2266" t="s">
        <v>2511</v>
      </c>
      <c r="D668" s="2266">
        <v>3</v>
      </c>
      <c r="E668" s="2266">
        <v>2466</v>
      </c>
      <c r="F668" s="2266" t="s">
        <v>5271</v>
      </c>
      <c r="G668" s="2266" t="s">
        <v>5271</v>
      </c>
      <c r="H668" s="2436">
        <v>5516</v>
      </c>
      <c r="I668" s="2436">
        <v>0</v>
      </c>
      <c r="J668" s="2446">
        <v>0</v>
      </c>
      <c r="K668" s="2436">
        <v>0</v>
      </c>
      <c r="L668" s="2436">
        <v>0</v>
      </c>
      <c r="M668" s="2266">
        <v>599</v>
      </c>
    </row>
    <row r="669" spans="1:13" ht="15">
      <c r="A669" s="2266" t="s">
        <v>4117</v>
      </c>
      <c r="B669" s="1694" t="str">
        <f>CONCATENATE(LEFT(RIGHT(CONCATENATE("000",IFAData_TEA!A669),6),3),"-",(RIGHT(RIGHT(CONCATENATE("000",IFAData_TEA!A669),6),3)))</f>
        <v>062-903</v>
      </c>
      <c r="C669" s="2266" t="s">
        <v>2511</v>
      </c>
      <c r="D669" s="2266">
        <v>3</v>
      </c>
      <c r="E669" s="2266">
        <v>2467</v>
      </c>
      <c r="F669" s="2266" t="s">
        <v>5274</v>
      </c>
      <c r="G669" s="2266" t="s">
        <v>5272</v>
      </c>
      <c r="H669" s="2436">
        <v>324334</v>
      </c>
      <c r="I669" s="2436">
        <v>303704</v>
      </c>
      <c r="J669" s="2446">
        <v>1</v>
      </c>
      <c r="K669" s="2436">
        <v>324334</v>
      </c>
      <c r="L669" s="2436">
        <v>303704</v>
      </c>
      <c r="M669" s="2266">
        <v>599</v>
      </c>
    </row>
    <row r="670" spans="1:13" ht="15">
      <c r="A670" s="2266" t="s">
        <v>4117</v>
      </c>
      <c r="B670" s="1694" t="str">
        <f>CONCATENATE(LEFT(RIGHT(CONCATENATE("000",IFAData_TEA!A670),6),3),"-",(RIGHT(RIGHT(CONCATENATE("000",IFAData_TEA!A670),6),3)))</f>
        <v>062-903</v>
      </c>
      <c r="C670" s="2266" t="s">
        <v>2511</v>
      </c>
      <c r="D670" s="2266">
        <v>9</v>
      </c>
      <c r="E670" s="2266">
        <v>2468</v>
      </c>
      <c r="F670" s="2266" t="s">
        <v>5275</v>
      </c>
      <c r="G670" s="2266" t="s">
        <v>5275</v>
      </c>
      <c r="H670" s="2436">
        <v>368750</v>
      </c>
      <c r="I670" s="2436">
        <v>495875</v>
      </c>
      <c r="J670" s="2446">
        <v>1</v>
      </c>
      <c r="K670" s="2436">
        <v>368750</v>
      </c>
      <c r="L670" s="2436">
        <v>368750</v>
      </c>
      <c r="M670" s="2266">
        <v>599</v>
      </c>
    </row>
    <row r="671" spans="1:13" ht="15">
      <c r="A671" s="2266" t="s">
        <v>4117</v>
      </c>
      <c r="B671" s="1694" t="str">
        <f>CONCATENATE(LEFT(RIGHT(CONCATENATE("000",IFAData_TEA!A671),6),3),"-",(RIGHT(RIGHT(CONCATENATE("000",IFAData_TEA!A671),6),3)))</f>
        <v>062-903</v>
      </c>
      <c r="C671" s="2266" t="s">
        <v>2511</v>
      </c>
      <c r="D671" s="2266">
        <v>3</v>
      </c>
      <c r="E671" s="2266">
        <v>2467</v>
      </c>
      <c r="F671" s="2266" t="s">
        <v>5274</v>
      </c>
      <c r="G671" s="2266" t="s">
        <v>5274</v>
      </c>
      <c r="H671" s="2436">
        <v>324334</v>
      </c>
      <c r="I671" s="2436">
        <v>0</v>
      </c>
      <c r="J671" s="2446">
        <v>0</v>
      </c>
      <c r="K671" s="2436">
        <v>0</v>
      </c>
      <c r="L671" s="2436">
        <v>0</v>
      </c>
      <c r="M671" s="2266">
        <v>599</v>
      </c>
    </row>
    <row r="672" spans="1:13" ht="15">
      <c r="A672" s="2266" t="s">
        <v>4118</v>
      </c>
      <c r="B672" s="1694" t="str">
        <f>CONCATENATE(LEFT(RIGHT(CONCATENATE("000",IFAData_TEA!A672),6),3),"-",(RIGHT(RIGHT(CONCATENATE("000",IFAData_TEA!A672),6),3)))</f>
        <v>064-903</v>
      </c>
      <c r="C672" s="2266" t="s">
        <v>37</v>
      </c>
      <c r="D672" s="2266">
        <v>4</v>
      </c>
      <c r="E672" s="2266">
        <v>1665</v>
      </c>
      <c r="F672" s="2266" t="s">
        <v>5276</v>
      </c>
      <c r="G672" s="2266" t="s">
        <v>5276</v>
      </c>
      <c r="H672" s="2436">
        <v>551763</v>
      </c>
      <c r="I672" s="2436">
        <v>0</v>
      </c>
      <c r="J672" s="2446">
        <v>0</v>
      </c>
      <c r="K672" s="2436">
        <v>0</v>
      </c>
      <c r="L672" s="2436">
        <v>0</v>
      </c>
      <c r="M672" s="2266">
        <v>599</v>
      </c>
    </row>
    <row r="673" spans="1:13" ht="15">
      <c r="A673" s="2266" t="s">
        <v>4118</v>
      </c>
      <c r="B673" s="1694" t="str">
        <f>CONCATENATE(LEFT(RIGHT(CONCATENATE("000",IFAData_TEA!A673),6),3),"-",(RIGHT(RIGHT(CONCATENATE("000",IFAData_TEA!A673),6),3)))</f>
        <v>064-903</v>
      </c>
      <c r="C673" s="2266" t="s">
        <v>37</v>
      </c>
      <c r="D673" s="2266">
        <v>4</v>
      </c>
      <c r="E673" s="2266">
        <v>1665</v>
      </c>
      <c r="F673" s="2266" t="s">
        <v>5276</v>
      </c>
      <c r="G673" s="2266" t="s">
        <v>6961</v>
      </c>
      <c r="H673" s="2436">
        <v>551763</v>
      </c>
      <c r="I673" s="2436">
        <v>111240</v>
      </c>
      <c r="J673" s="2446">
        <v>0.17778488093335465</v>
      </c>
      <c r="K673" s="2436">
        <v>98095.119258430568</v>
      </c>
      <c r="L673" s="2436">
        <v>98095.119258430568</v>
      </c>
      <c r="M673" s="2266">
        <v>599</v>
      </c>
    </row>
    <row r="674" spans="1:13" ht="15">
      <c r="A674" s="2266" t="s">
        <v>4118</v>
      </c>
      <c r="B674" s="1694" t="str">
        <f>CONCATENATE(LEFT(RIGHT(CONCATENATE("000",IFAData_TEA!A674),6),3),"-",(RIGHT(RIGHT(CONCATENATE("000",IFAData_TEA!A674),6),3)))</f>
        <v>064-903</v>
      </c>
      <c r="C674" s="2266" t="s">
        <v>37</v>
      </c>
      <c r="D674" s="2266">
        <v>4</v>
      </c>
      <c r="E674" s="2266">
        <v>1665</v>
      </c>
      <c r="F674" s="2266" t="s">
        <v>5276</v>
      </c>
      <c r="G674" s="2266" t="s">
        <v>5277</v>
      </c>
      <c r="H674" s="2436">
        <v>551763</v>
      </c>
      <c r="I674" s="2436">
        <v>514460</v>
      </c>
      <c r="J674" s="2446">
        <v>0.82221511906664535</v>
      </c>
      <c r="K674" s="2436">
        <v>453667.88074156945</v>
      </c>
      <c r="L674" s="2436">
        <v>453667.88074156945</v>
      </c>
      <c r="M674" s="2266">
        <v>599</v>
      </c>
    </row>
    <row r="675" spans="1:13" ht="15">
      <c r="A675" s="2266" t="s">
        <v>4119</v>
      </c>
      <c r="B675" s="1694" t="str">
        <f>CONCATENATE(LEFT(RIGHT(CONCATENATE("000",IFAData_TEA!A675),6),3),"-",(RIGHT(RIGHT(CONCATENATE("000",IFAData_TEA!A675),6),3)))</f>
        <v>065-902</v>
      </c>
      <c r="C675" s="2266" t="s">
        <v>2721</v>
      </c>
      <c r="D675" s="2266">
        <v>6</v>
      </c>
      <c r="E675" s="2266">
        <v>1880</v>
      </c>
      <c r="F675" s="2266" t="s">
        <v>5278</v>
      </c>
      <c r="G675" s="2266" t="s">
        <v>5278</v>
      </c>
      <c r="H675" s="2436">
        <v>89335</v>
      </c>
      <c r="I675" s="2436">
        <v>92988</v>
      </c>
      <c r="J675" s="2446">
        <v>1</v>
      </c>
      <c r="K675" s="2436">
        <v>89335</v>
      </c>
      <c r="L675" s="2436">
        <v>89335</v>
      </c>
      <c r="M675" s="2266">
        <v>599</v>
      </c>
    </row>
    <row r="676" spans="1:13" ht="15">
      <c r="A676" s="2266" t="s">
        <v>4120</v>
      </c>
      <c r="B676" s="1694" t="str">
        <f>CONCATENATE(LEFT(RIGHT(CONCATENATE("000",IFAData_TEA!A676),6),3),"-",(RIGHT(RIGHT(CONCATENATE("000",IFAData_TEA!A676),6),3)))</f>
        <v>066-902</v>
      </c>
      <c r="C676" s="2266" t="s">
        <v>2310</v>
      </c>
      <c r="D676" s="2266">
        <v>8</v>
      </c>
      <c r="E676" s="2266">
        <v>2290</v>
      </c>
      <c r="F676" s="2266" t="s">
        <v>5282</v>
      </c>
      <c r="G676" s="2266" t="s">
        <v>5282</v>
      </c>
      <c r="H676" s="2436">
        <v>346350</v>
      </c>
      <c r="I676" s="2436">
        <v>508811</v>
      </c>
      <c r="J676" s="2446">
        <v>1</v>
      </c>
      <c r="K676" s="2436">
        <v>346350</v>
      </c>
      <c r="L676" s="2436">
        <v>346350</v>
      </c>
      <c r="M676" s="2266">
        <v>599</v>
      </c>
    </row>
    <row r="677" spans="1:13" ht="15">
      <c r="A677" s="2266" t="s">
        <v>4120</v>
      </c>
      <c r="B677" s="1694" t="str">
        <f>CONCATENATE(LEFT(RIGHT(CONCATENATE("000",IFAData_TEA!A677),6),3),"-",(RIGHT(RIGHT(CONCATENATE("000",IFAData_TEA!A677),6),3)))</f>
        <v>066-902</v>
      </c>
      <c r="C677" s="2266" t="s">
        <v>2310</v>
      </c>
      <c r="D677" s="2266">
        <v>5</v>
      </c>
      <c r="E677" s="2266">
        <v>2288</v>
      </c>
      <c r="F677" s="2266" t="s">
        <v>5281</v>
      </c>
      <c r="G677" s="2266" t="s">
        <v>5281</v>
      </c>
      <c r="H677" s="2436">
        <v>221765</v>
      </c>
      <c r="I677" s="2436">
        <v>0</v>
      </c>
      <c r="J677" s="2446">
        <v>0</v>
      </c>
      <c r="K677" s="2436">
        <v>0</v>
      </c>
      <c r="L677" s="2436">
        <v>0</v>
      </c>
      <c r="M677" s="2266">
        <v>599</v>
      </c>
    </row>
    <row r="678" spans="1:13" ht="15">
      <c r="A678" s="2266" t="s">
        <v>4120</v>
      </c>
      <c r="B678" s="1694" t="str">
        <f>CONCATENATE(LEFT(RIGHT(CONCATENATE("000",IFAData_TEA!A678),6),3),"-",(RIGHT(RIGHT(CONCATENATE("000",IFAData_TEA!A678),6),3)))</f>
        <v>066-902</v>
      </c>
      <c r="C678" s="2266" t="s">
        <v>2310</v>
      </c>
      <c r="D678" s="2266">
        <v>5</v>
      </c>
      <c r="E678" s="2266">
        <v>2288</v>
      </c>
      <c r="F678" s="2266" t="s">
        <v>5281</v>
      </c>
      <c r="G678" s="2266" t="s">
        <v>5280</v>
      </c>
      <c r="H678" s="2436">
        <v>221765</v>
      </c>
      <c r="I678" s="2436">
        <v>207524</v>
      </c>
      <c r="J678" s="2446">
        <v>0.80083045196344782</v>
      </c>
      <c r="K678" s="2436">
        <v>177596.16517967402</v>
      </c>
      <c r="L678" s="2436">
        <v>177596.16517967402</v>
      </c>
      <c r="M678" s="2266">
        <v>599</v>
      </c>
    </row>
    <row r="679" spans="1:13" ht="15">
      <c r="A679" s="2266" t="s">
        <v>4120</v>
      </c>
      <c r="B679" s="1694" t="str">
        <f>CONCATENATE(LEFT(RIGHT(CONCATENATE("000",IFAData_TEA!A679),6),3),"-",(RIGHT(RIGHT(CONCATENATE("000",IFAData_TEA!A679),6),3)))</f>
        <v>066-902</v>
      </c>
      <c r="C679" s="2266" t="s">
        <v>2310</v>
      </c>
      <c r="D679" s="2266">
        <v>4</v>
      </c>
      <c r="E679" s="2266">
        <v>2291</v>
      </c>
      <c r="F679" s="2266" t="s">
        <v>5279</v>
      </c>
      <c r="G679" s="2266" t="s">
        <v>5279</v>
      </c>
      <c r="H679" s="2436">
        <v>395737</v>
      </c>
      <c r="I679" s="2436">
        <v>0</v>
      </c>
      <c r="J679" s="2446">
        <v>0</v>
      </c>
      <c r="K679" s="2436">
        <v>0</v>
      </c>
      <c r="L679" s="2436">
        <v>0</v>
      </c>
      <c r="M679" s="2266">
        <v>599</v>
      </c>
    </row>
    <row r="680" spans="1:13" ht="15">
      <c r="A680" s="2266" t="s">
        <v>4120</v>
      </c>
      <c r="B680" s="1694" t="str">
        <f>CONCATENATE(LEFT(RIGHT(CONCATENATE("000",IFAData_TEA!A680),6),3),"-",(RIGHT(RIGHT(CONCATENATE("000",IFAData_TEA!A680),6),3)))</f>
        <v>066-902</v>
      </c>
      <c r="C680" s="2266" t="s">
        <v>2310</v>
      </c>
      <c r="D680" s="2266">
        <v>10</v>
      </c>
      <c r="E680" s="2266">
        <v>2289</v>
      </c>
      <c r="F680" s="2266" t="s">
        <v>5283</v>
      </c>
      <c r="G680" s="2266" t="s">
        <v>5283</v>
      </c>
      <c r="H680" s="2436">
        <v>275767</v>
      </c>
      <c r="I680" s="2436">
        <v>272381</v>
      </c>
      <c r="J680" s="2446">
        <v>1</v>
      </c>
      <c r="K680" s="2436">
        <v>275767</v>
      </c>
      <c r="L680" s="2436">
        <v>272381</v>
      </c>
      <c r="M680" s="2266">
        <v>599</v>
      </c>
    </row>
    <row r="681" spans="1:13" ht="15">
      <c r="A681" s="2266" t="s">
        <v>4120</v>
      </c>
      <c r="B681" s="1694" t="str">
        <f>CONCATENATE(LEFT(RIGHT(CONCATENATE("000",IFAData_TEA!A681),6),3),"-",(RIGHT(RIGHT(CONCATENATE("000",IFAData_TEA!A681),6),3)))</f>
        <v>066-902</v>
      </c>
      <c r="C681" s="2266" t="s">
        <v>2310</v>
      </c>
      <c r="D681" s="2266">
        <v>4</v>
      </c>
      <c r="E681" s="2266">
        <v>2291</v>
      </c>
      <c r="F681" s="2266" t="s">
        <v>5279</v>
      </c>
      <c r="G681" s="2266" t="s">
        <v>5280</v>
      </c>
      <c r="H681" s="2436">
        <v>395737</v>
      </c>
      <c r="I681" s="2436">
        <v>373235</v>
      </c>
      <c r="J681" s="2446">
        <v>0.80941496409804892</v>
      </c>
      <c r="K681" s="2436">
        <v>320315.44964726956</v>
      </c>
      <c r="L681" s="2436">
        <v>320315.44964726956</v>
      </c>
      <c r="M681" s="2266">
        <v>599</v>
      </c>
    </row>
    <row r="682" spans="1:13" ht="15">
      <c r="A682" s="2266" t="s">
        <v>4120</v>
      </c>
      <c r="B682" s="1694" t="str">
        <f>CONCATENATE(LEFT(RIGHT(CONCATENATE("000",IFAData_TEA!A682),6),3),"-",(RIGHT(RIGHT(CONCATENATE("000",IFAData_TEA!A682),6),3)))</f>
        <v>066-902</v>
      </c>
      <c r="C682" s="2266" t="s">
        <v>2310</v>
      </c>
      <c r="D682" s="2266">
        <v>4</v>
      </c>
      <c r="E682" s="2266">
        <v>2291</v>
      </c>
      <c r="F682" s="2266" t="s">
        <v>5279</v>
      </c>
      <c r="G682" s="2266" t="s">
        <v>6962</v>
      </c>
      <c r="H682" s="2436">
        <v>395737</v>
      </c>
      <c r="I682" s="2436">
        <v>87882</v>
      </c>
      <c r="J682" s="2446">
        <v>0.19058503590195114</v>
      </c>
      <c r="K682" s="2436">
        <v>75421.550352730439</v>
      </c>
      <c r="L682" s="2436">
        <v>75421.550352730439</v>
      </c>
      <c r="M682" s="2266">
        <v>599</v>
      </c>
    </row>
    <row r="683" spans="1:13" ht="15">
      <c r="A683" s="2266" t="s">
        <v>4120</v>
      </c>
      <c r="B683" s="1694" t="str">
        <f>CONCATENATE(LEFT(RIGHT(CONCATENATE("000",IFAData_TEA!A683),6),3),"-",(RIGHT(RIGHT(CONCATENATE("000",IFAData_TEA!A683),6),3)))</f>
        <v>066-902</v>
      </c>
      <c r="C683" s="2266" t="s">
        <v>2310</v>
      </c>
      <c r="D683" s="2266">
        <v>5</v>
      </c>
      <c r="E683" s="2266">
        <v>2288</v>
      </c>
      <c r="F683" s="2266" t="s">
        <v>5281</v>
      </c>
      <c r="G683" s="2266" t="s">
        <v>6962</v>
      </c>
      <c r="H683" s="2436">
        <v>221765</v>
      </c>
      <c r="I683" s="2436">
        <v>51612</v>
      </c>
      <c r="J683" s="2446">
        <v>0.19916954803655224</v>
      </c>
      <c r="K683" s="2436">
        <v>44168.834820326003</v>
      </c>
      <c r="L683" s="2436">
        <v>44168.834820326003</v>
      </c>
      <c r="M683" s="2266">
        <v>599</v>
      </c>
    </row>
    <row r="684" spans="1:13" ht="15">
      <c r="A684" s="2266" t="s">
        <v>5284</v>
      </c>
      <c r="B684" s="1694" t="str">
        <f>CONCATENATE(LEFT(RIGHT(CONCATENATE("000",IFAData_TEA!A684),6),3),"-",(RIGHT(RIGHT(CONCATENATE("000",IFAData_TEA!A684),6),3)))</f>
        <v>067-902</v>
      </c>
      <c r="C684" s="2266" t="s">
        <v>2465</v>
      </c>
      <c r="D684" s="2266">
        <v>5</v>
      </c>
      <c r="E684" s="2266">
        <v>1692</v>
      </c>
      <c r="F684" s="2266" t="s">
        <v>5285</v>
      </c>
      <c r="G684" s="2266" t="s">
        <v>5285</v>
      </c>
      <c r="H684" s="2436">
        <v>108854</v>
      </c>
      <c r="I684" s="2436">
        <v>107646</v>
      </c>
      <c r="J684" s="2446">
        <v>1</v>
      </c>
      <c r="K684" s="2436">
        <v>108854</v>
      </c>
      <c r="L684" s="2436">
        <v>107646</v>
      </c>
      <c r="M684" s="2266">
        <v>199</v>
      </c>
    </row>
    <row r="685" spans="1:13" ht="15">
      <c r="A685" s="2266" t="s">
        <v>4121</v>
      </c>
      <c r="B685" s="1694" t="str">
        <f>CONCATENATE(LEFT(RIGHT(CONCATENATE("000",IFAData_TEA!A685),6),3),"-",(RIGHT(RIGHT(CONCATENATE("000",IFAData_TEA!A685),6),3)))</f>
        <v>070-901</v>
      </c>
      <c r="C685" s="2266" t="s">
        <v>2427</v>
      </c>
      <c r="D685" s="2266">
        <v>5</v>
      </c>
      <c r="E685" s="2266">
        <v>1587</v>
      </c>
      <c r="F685" s="2266" t="s">
        <v>5286</v>
      </c>
      <c r="G685" s="2266" t="s">
        <v>5286</v>
      </c>
      <c r="H685" s="2436">
        <v>100000</v>
      </c>
      <c r="I685" s="2436">
        <v>0</v>
      </c>
      <c r="J685" s="2446">
        <v>0</v>
      </c>
      <c r="K685" s="2436">
        <v>0</v>
      </c>
      <c r="L685" s="2436">
        <v>0</v>
      </c>
      <c r="M685" s="2266">
        <v>599</v>
      </c>
    </row>
    <row r="686" spans="1:13" ht="15">
      <c r="A686" s="2266" t="s">
        <v>4121</v>
      </c>
      <c r="B686" s="1694" t="str">
        <f>CONCATENATE(LEFT(RIGHT(CONCATENATE("000",IFAData_TEA!A686),6),3),"-",(RIGHT(RIGHT(CONCATENATE("000",IFAData_TEA!A686),6),3)))</f>
        <v>070-901</v>
      </c>
      <c r="C686" s="2266" t="s">
        <v>2427</v>
      </c>
      <c r="D686" s="2266">
        <v>5</v>
      </c>
      <c r="E686" s="2266">
        <v>1587</v>
      </c>
      <c r="F686" s="2266" t="s">
        <v>5286</v>
      </c>
      <c r="G686" s="2266" t="s">
        <v>5287</v>
      </c>
      <c r="H686" s="2436">
        <v>100000</v>
      </c>
      <c r="I686" s="2436">
        <v>80900</v>
      </c>
      <c r="J686" s="2446">
        <v>1</v>
      </c>
      <c r="K686" s="2436">
        <v>100000</v>
      </c>
      <c r="L686" s="2436">
        <v>80900</v>
      </c>
      <c r="M686" s="2266">
        <v>599</v>
      </c>
    </row>
    <row r="687" spans="1:13" ht="15">
      <c r="A687" s="2266" t="s">
        <v>4122</v>
      </c>
      <c r="B687" s="1694" t="str">
        <f>CONCATENATE(LEFT(RIGHT(CONCATENATE("000",IFAData_TEA!A687),6),3),"-",(RIGHT(RIGHT(CONCATENATE("000",IFAData_TEA!A687),6),3)))</f>
        <v>070-905</v>
      </c>
      <c r="C687" s="2266" t="s">
        <v>2247</v>
      </c>
      <c r="D687" s="2266">
        <v>9</v>
      </c>
      <c r="E687" s="2266">
        <v>1812</v>
      </c>
      <c r="F687" s="2266" t="s">
        <v>5288</v>
      </c>
      <c r="G687" s="2266" t="s">
        <v>6963</v>
      </c>
      <c r="H687" s="2436">
        <v>367965</v>
      </c>
      <c r="I687" s="2436">
        <v>0</v>
      </c>
      <c r="J687" s="2446">
        <v>0</v>
      </c>
      <c r="K687" s="2436">
        <v>0</v>
      </c>
      <c r="L687" s="2436">
        <v>0</v>
      </c>
      <c r="M687" s="2266">
        <v>599</v>
      </c>
    </row>
    <row r="688" spans="1:13" ht="15">
      <c r="A688" s="2266" t="s">
        <v>4122</v>
      </c>
      <c r="B688" s="1694" t="str">
        <f>CONCATENATE(LEFT(RIGHT(CONCATENATE("000",IFAData_TEA!A688),6),3),"-",(RIGHT(RIGHT(CONCATENATE("000",IFAData_TEA!A688),6),3)))</f>
        <v>070-905</v>
      </c>
      <c r="C688" s="2266" t="s">
        <v>2247</v>
      </c>
      <c r="D688" s="2266">
        <v>9</v>
      </c>
      <c r="E688" s="2266">
        <v>1812</v>
      </c>
      <c r="F688" s="2266" t="s">
        <v>5288</v>
      </c>
      <c r="G688" s="2266" t="s">
        <v>5288</v>
      </c>
      <c r="H688" s="2436">
        <v>367965</v>
      </c>
      <c r="I688" s="2436">
        <v>324850</v>
      </c>
      <c r="J688" s="2446">
        <v>0.4751352932572766</v>
      </c>
      <c r="K688" s="2436">
        <v>174833.15818341379</v>
      </c>
      <c r="L688" s="2436">
        <v>174833.15818341379</v>
      </c>
      <c r="M688" s="2266">
        <v>599</v>
      </c>
    </row>
    <row r="689" spans="1:13" ht="15">
      <c r="A689" s="2266" t="s">
        <v>4122</v>
      </c>
      <c r="B689" s="1694" t="str">
        <f>CONCATENATE(LEFT(RIGHT(CONCATENATE("000",IFAData_TEA!A689),6),3),"-",(RIGHT(RIGHT(CONCATENATE("000",IFAData_TEA!A689),6),3)))</f>
        <v>070-905</v>
      </c>
      <c r="C689" s="2266" t="s">
        <v>2247</v>
      </c>
      <c r="D689" s="2266">
        <v>9</v>
      </c>
      <c r="E689" s="2266">
        <v>1812</v>
      </c>
      <c r="F689" s="2266" t="s">
        <v>5288</v>
      </c>
      <c r="G689" s="2266" t="s">
        <v>5289</v>
      </c>
      <c r="H689" s="2436">
        <v>367965</v>
      </c>
      <c r="I689" s="2436">
        <v>358850</v>
      </c>
      <c r="J689" s="2446">
        <v>0.52486470674272345</v>
      </c>
      <c r="K689" s="2436">
        <v>193131.84181658624</v>
      </c>
      <c r="L689" s="2436">
        <v>193131.84181658624</v>
      </c>
      <c r="M689" s="2266">
        <v>599</v>
      </c>
    </row>
    <row r="690" spans="1:13" ht="15">
      <c r="A690" s="2266" t="s">
        <v>4123</v>
      </c>
      <c r="B690" s="1694" t="str">
        <f>CONCATENATE(LEFT(RIGHT(CONCATENATE("000",IFAData_TEA!A690),6),3),"-",(RIGHT(RIGHT(CONCATENATE("000",IFAData_TEA!A690),6),3)))</f>
        <v>070-907</v>
      </c>
      <c r="C690" s="2266" t="s">
        <v>1442</v>
      </c>
      <c r="D690" s="2266">
        <v>4</v>
      </c>
      <c r="E690" s="2266">
        <v>1930</v>
      </c>
      <c r="F690" s="2266" t="s">
        <v>5290</v>
      </c>
      <c r="G690" s="2266" t="s">
        <v>5290</v>
      </c>
      <c r="H690" s="2436">
        <v>137308</v>
      </c>
      <c r="I690" s="2436">
        <v>0</v>
      </c>
      <c r="J690" s="2446">
        <v>0</v>
      </c>
      <c r="K690" s="2436">
        <v>0</v>
      </c>
      <c r="L690" s="2436">
        <v>0</v>
      </c>
      <c r="M690" s="2266">
        <v>599</v>
      </c>
    </row>
    <row r="691" spans="1:13" ht="15">
      <c r="A691" s="2266" t="s">
        <v>4123</v>
      </c>
      <c r="B691" s="1694" t="str">
        <f>CONCATENATE(LEFT(RIGHT(CONCATENATE("000",IFAData_TEA!A691),6),3),"-",(RIGHT(RIGHT(CONCATENATE("000",IFAData_TEA!A691),6),3)))</f>
        <v>070-907</v>
      </c>
      <c r="C691" s="2266" t="s">
        <v>1442</v>
      </c>
      <c r="D691" s="2266">
        <v>4</v>
      </c>
      <c r="E691" s="2266">
        <v>1930</v>
      </c>
      <c r="F691" s="2266" t="s">
        <v>5290</v>
      </c>
      <c r="G691" s="2266" t="s">
        <v>5291</v>
      </c>
      <c r="H691" s="2436">
        <v>137308</v>
      </c>
      <c r="I691" s="2436">
        <v>137768</v>
      </c>
      <c r="J691" s="2446">
        <v>1</v>
      </c>
      <c r="K691" s="2436">
        <v>137308</v>
      </c>
      <c r="L691" s="2436">
        <v>137308</v>
      </c>
      <c r="M691" s="2266">
        <v>599</v>
      </c>
    </row>
    <row r="692" spans="1:13" ht="15">
      <c r="A692" s="2266" t="s">
        <v>4124</v>
      </c>
      <c r="B692" s="1694" t="str">
        <f>CONCATENATE(LEFT(RIGHT(CONCATENATE("000",IFAData_TEA!A692),6),3),"-",(RIGHT(RIGHT(CONCATENATE("000",IFAData_TEA!A692),6),3)))</f>
        <v>070-910</v>
      </c>
      <c r="C692" s="2266" t="s">
        <v>1539</v>
      </c>
      <c r="D692" s="2266">
        <v>5</v>
      </c>
      <c r="E692" s="2266">
        <v>2171</v>
      </c>
      <c r="F692" s="2266" t="s">
        <v>5292</v>
      </c>
      <c r="G692" s="2266" t="s">
        <v>5293</v>
      </c>
      <c r="H692" s="2436">
        <v>229000</v>
      </c>
      <c r="I692" s="2436">
        <v>350293</v>
      </c>
      <c r="J692" s="2446">
        <v>1</v>
      </c>
      <c r="K692" s="2436">
        <v>229000</v>
      </c>
      <c r="L692" s="2436">
        <v>229000</v>
      </c>
      <c r="M692" s="2266">
        <v>599</v>
      </c>
    </row>
    <row r="693" spans="1:13" ht="15">
      <c r="A693" s="2266" t="s">
        <v>4124</v>
      </c>
      <c r="B693" s="1694" t="str">
        <f>CONCATENATE(LEFT(RIGHT(CONCATENATE("000",IFAData_TEA!A693),6),3),"-",(RIGHT(RIGHT(CONCATENATE("000",IFAData_TEA!A693),6),3)))</f>
        <v>070-910</v>
      </c>
      <c r="C693" s="2266" t="s">
        <v>1539</v>
      </c>
      <c r="D693" s="2266">
        <v>5</v>
      </c>
      <c r="E693" s="2266">
        <v>2171</v>
      </c>
      <c r="F693" s="2266" t="s">
        <v>5292</v>
      </c>
      <c r="G693" s="2266" t="s">
        <v>5292</v>
      </c>
      <c r="H693" s="2436">
        <v>229000</v>
      </c>
      <c r="I693" s="2436">
        <v>0</v>
      </c>
      <c r="J693" s="2446">
        <v>0</v>
      </c>
      <c r="K693" s="2436">
        <v>0</v>
      </c>
      <c r="L693" s="2436">
        <v>0</v>
      </c>
      <c r="M693" s="2266">
        <v>599</v>
      </c>
    </row>
    <row r="694" spans="1:13" ht="15">
      <c r="A694" s="2266" t="s">
        <v>4125</v>
      </c>
      <c r="B694" s="1694" t="str">
        <f>CONCATENATE(LEFT(RIGHT(CONCATENATE("000",IFAData_TEA!A694),6),3),"-",(RIGHT(RIGHT(CONCATENATE("000",IFAData_TEA!A694),6),3)))</f>
        <v>070-911</v>
      </c>
      <c r="C694" s="2266" t="s">
        <v>92</v>
      </c>
      <c r="D694" s="2266">
        <v>9</v>
      </c>
      <c r="E694" s="2266">
        <v>2231</v>
      </c>
      <c r="F694" s="2266" t="s">
        <v>5298</v>
      </c>
      <c r="G694" s="2266" t="s">
        <v>6964</v>
      </c>
      <c r="H694" s="2436">
        <v>1269033</v>
      </c>
      <c r="I694" s="2436">
        <v>443854</v>
      </c>
      <c r="J694" s="2446">
        <v>0.19543207778289512</v>
      </c>
      <c r="K694" s="2436">
        <v>248009.75596506073</v>
      </c>
      <c r="L694" s="2436">
        <v>248009.75596506073</v>
      </c>
      <c r="M694" s="2266">
        <v>599</v>
      </c>
    </row>
    <row r="695" spans="1:13" ht="15">
      <c r="A695" s="2266" t="s">
        <v>4125</v>
      </c>
      <c r="B695" s="1694" t="str">
        <f>CONCATENATE(LEFT(RIGHT(CONCATENATE("000",IFAData_TEA!A695),6),3),"-",(RIGHT(RIGHT(CONCATENATE("000",IFAData_TEA!A695),6),3)))</f>
        <v>070-911</v>
      </c>
      <c r="C695" s="2266" t="s">
        <v>92</v>
      </c>
      <c r="D695" s="2266">
        <v>3</v>
      </c>
      <c r="E695" s="2266">
        <v>2230</v>
      </c>
      <c r="F695" s="2266" t="s">
        <v>5294</v>
      </c>
      <c r="G695" s="2266" t="s">
        <v>5295</v>
      </c>
      <c r="H695" s="2436">
        <v>350000</v>
      </c>
      <c r="I695" s="2436">
        <v>0</v>
      </c>
      <c r="J695" s="2446">
        <v>0</v>
      </c>
      <c r="K695" s="2436">
        <v>0</v>
      </c>
      <c r="L695" s="2436">
        <v>0</v>
      </c>
      <c r="M695" s="2266">
        <v>599</v>
      </c>
    </row>
    <row r="696" spans="1:13" ht="15">
      <c r="A696" s="2266" t="s">
        <v>4125</v>
      </c>
      <c r="B696" s="1694" t="str">
        <f>CONCATENATE(LEFT(RIGHT(CONCATENATE("000",IFAData_TEA!A696),6),3),"-",(RIGHT(RIGHT(CONCATENATE("000",IFAData_TEA!A696),6),3)))</f>
        <v>070-911</v>
      </c>
      <c r="C696" s="2266" t="s">
        <v>92</v>
      </c>
      <c r="D696" s="2266">
        <v>3</v>
      </c>
      <c r="E696" s="2266">
        <v>2230</v>
      </c>
      <c r="F696" s="2266" t="s">
        <v>5294</v>
      </c>
      <c r="G696" s="2266" t="s">
        <v>5294</v>
      </c>
      <c r="H696" s="2436">
        <v>350000</v>
      </c>
      <c r="I696" s="2436">
        <v>300000</v>
      </c>
      <c r="J696" s="2446">
        <v>1</v>
      </c>
      <c r="K696" s="2436">
        <v>350000</v>
      </c>
      <c r="L696" s="2436">
        <v>300000</v>
      </c>
      <c r="M696" s="2266">
        <v>599</v>
      </c>
    </row>
    <row r="697" spans="1:13" ht="15">
      <c r="A697" s="2266" t="s">
        <v>4125</v>
      </c>
      <c r="B697" s="1694" t="str">
        <f>CONCATENATE(LEFT(RIGHT(CONCATENATE("000",IFAData_TEA!A697),6),3),"-",(RIGHT(RIGHT(CONCATENATE("000",IFAData_TEA!A697),6),3)))</f>
        <v>070-911</v>
      </c>
      <c r="C697" s="2266" t="s">
        <v>92</v>
      </c>
      <c r="D697" s="2266">
        <v>6</v>
      </c>
      <c r="E697" s="2266">
        <v>2229</v>
      </c>
      <c r="F697" s="2266" t="s">
        <v>5296</v>
      </c>
      <c r="G697" s="2266" t="s">
        <v>5297</v>
      </c>
      <c r="H697" s="2436">
        <v>67680</v>
      </c>
      <c r="I697" s="2436">
        <v>93922</v>
      </c>
      <c r="J697" s="2446">
        <v>1</v>
      </c>
      <c r="K697" s="2436">
        <v>67680</v>
      </c>
      <c r="L697" s="2436">
        <v>67680</v>
      </c>
      <c r="M697" s="2266">
        <v>599</v>
      </c>
    </row>
    <row r="698" spans="1:13" ht="15">
      <c r="A698" s="2266" t="s">
        <v>4125</v>
      </c>
      <c r="B698" s="1694" t="str">
        <f>CONCATENATE(LEFT(RIGHT(CONCATENATE("000",IFAData_TEA!A698),6),3),"-",(RIGHT(RIGHT(CONCATENATE("000",IFAData_TEA!A698),6),3)))</f>
        <v>070-911</v>
      </c>
      <c r="C698" s="2266" t="s">
        <v>92</v>
      </c>
      <c r="D698" s="2266">
        <v>9</v>
      </c>
      <c r="E698" s="2266">
        <v>2231</v>
      </c>
      <c r="F698" s="2266" t="s">
        <v>5298</v>
      </c>
      <c r="G698" s="2266" t="s">
        <v>6965</v>
      </c>
      <c r="H698" s="2436">
        <v>1269033</v>
      </c>
      <c r="I698" s="2436">
        <v>223100</v>
      </c>
      <c r="J698" s="2446">
        <v>9.8232519146755251E-2</v>
      </c>
      <c r="K698" s="2436">
        <v>124660.30847036425</v>
      </c>
      <c r="L698" s="2436">
        <v>124660.30847036425</v>
      </c>
      <c r="M698" s="2266">
        <v>599</v>
      </c>
    </row>
    <row r="699" spans="1:13" ht="15">
      <c r="A699" s="2266" t="s">
        <v>4125</v>
      </c>
      <c r="B699" s="1694" t="str">
        <f>CONCATENATE(LEFT(RIGHT(CONCATENATE("000",IFAData_TEA!A699),6),3),"-",(RIGHT(RIGHT(CONCATENATE("000",IFAData_TEA!A699),6),3)))</f>
        <v>070-911</v>
      </c>
      <c r="C699" s="2266" t="s">
        <v>92</v>
      </c>
      <c r="D699" s="2266">
        <v>10</v>
      </c>
      <c r="E699" s="2266">
        <v>2232</v>
      </c>
      <c r="F699" s="2266" t="s">
        <v>5299</v>
      </c>
      <c r="G699" s="2266" t="s">
        <v>5299</v>
      </c>
      <c r="H699" s="2436">
        <v>1279231</v>
      </c>
      <c r="I699" s="2436">
        <v>2626694</v>
      </c>
      <c r="J699" s="2446">
        <v>1</v>
      </c>
      <c r="K699" s="2436">
        <v>1279231</v>
      </c>
      <c r="L699" s="2436">
        <v>1279231</v>
      </c>
      <c r="M699" s="2266">
        <v>599</v>
      </c>
    </row>
    <row r="700" spans="1:13" ht="15">
      <c r="A700" s="2266" t="s">
        <v>4125</v>
      </c>
      <c r="B700" s="1694" t="str">
        <f>CONCATENATE(LEFT(RIGHT(CONCATENATE("000",IFAData_TEA!A700),6),3),"-",(RIGHT(RIGHT(CONCATENATE("000",IFAData_TEA!A700),6),3)))</f>
        <v>070-911</v>
      </c>
      <c r="C700" s="2266" t="s">
        <v>92</v>
      </c>
      <c r="D700" s="2266">
        <v>9</v>
      </c>
      <c r="E700" s="2266">
        <v>2231</v>
      </c>
      <c r="F700" s="2266" t="s">
        <v>5298</v>
      </c>
      <c r="G700" s="2266" t="s">
        <v>5298</v>
      </c>
      <c r="H700" s="2436">
        <v>1269033</v>
      </c>
      <c r="I700" s="2436">
        <v>1604188</v>
      </c>
      <c r="J700" s="2446">
        <v>0.70633540307034959</v>
      </c>
      <c r="K700" s="2436">
        <v>896362.9355645749</v>
      </c>
      <c r="L700" s="2436">
        <v>896362.9355645749</v>
      </c>
      <c r="M700" s="2266">
        <v>599</v>
      </c>
    </row>
    <row r="701" spans="1:13" ht="15">
      <c r="A701" s="2266" t="s">
        <v>4125</v>
      </c>
      <c r="B701" s="1694" t="str">
        <f>CONCATENATE(LEFT(RIGHT(CONCATENATE("000",IFAData_TEA!A701),6),3),"-",(RIGHT(RIGHT(CONCATENATE("000",IFAData_TEA!A701),6),3)))</f>
        <v>070-911</v>
      </c>
      <c r="C701" s="2266" t="s">
        <v>92</v>
      </c>
      <c r="D701" s="2266">
        <v>6</v>
      </c>
      <c r="E701" s="2266">
        <v>2229</v>
      </c>
      <c r="F701" s="2266" t="s">
        <v>5296</v>
      </c>
      <c r="G701" s="2266" t="s">
        <v>5296</v>
      </c>
      <c r="H701" s="2436">
        <v>67680</v>
      </c>
      <c r="I701" s="2436">
        <v>0</v>
      </c>
      <c r="J701" s="2446">
        <v>0</v>
      </c>
      <c r="K701" s="2436">
        <v>0</v>
      </c>
      <c r="L701" s="2436">
        <v>0</v>
      </c>
      <c r="M701" s="2266">
        <v>599</v>
      </c>
    </row>
    <row r="702" spans="1:13" ht="15">
      <c r="A702" s="2266" t="s">
        <v>4126</v>
      </c>
      <c r="B702" s="1694" t="str">
        <f>CONCATENATE(LEFT(RIGHT(CONCATENATE("000",IFAData_TEA!A702),6),3),"-",(RIGHT(RIGHT(CONCATENATE("000",IFAData_TEA!A702),6),3)))</f>
        <v>070-912</v>
      </c>
      <c r="C702" s="2266" t="s">
        <v>160</v>
      </c>
      <c r="D702" s="2266">
        <v>1</v>
      </c>
      <c r="E702" s="2266">
        <v>2438</v>
      </c>
      <c r="F702" s="2266" t="s">
        <v>5300</v>
      </c>
      <c r="G702" s="2266" t="s">
        <v>5301</v>
      </c>
      <c r="H702" s="2436">
        <v>1270445</v>
      </c>
      <c r="I702" s="2436">
        <v>125540</v>
      </c>
      <c r="J702" s="2446">
        <v>0.17430059007289136</v>
      </c>
      <c r="K702" s="2436">
        <v>221439.31315515446</v>
      </c>
      <c r="L702" s="2436">
        <v>125540</v>
      </c>
      <c r="M702" s="2266">
        <v>599</v>
      </c>
    </row>
    <row r="703" spans="1:13" ht="15">
      <c r="A703" s="2266" t="s">
        <v>4126</v>
      </c>
      <c r="B703" s="1694" t="str">
        <f>CONCATENATE(LEFT(RIGHT(CONCATENATE("000",IFAData_TEA!A703),6),3),"-",(RIGHT(RIGHT(CONCATENATE("000",IFAData_TEA!A703),6),3)))</f>
        <v>070-912</v>
      </c>
      <c r="C703" s="2266" t="s">
        <v>160</v>
      </c>
      <c r="D703" s="2266">
        <v>1</v>
      </c>
      <c r="E703" s="2266">
        <v>2438</v>
      </c>
      <c r="F703" s="2266" t="s">
        <v>5300</v>
      </c>
      <c r="G703" s="2266" t="s">
        <v>5300</v>
      </c>
      <c r="H703" s="2436">
        <v>1270445</v>
      </c>
      <c r="I703" s="2436">
        <v>541843</v>
      </c>
      <c r="J703" s="2446">
        <v>0.75229850746268656</v>
      </c>
      <c r="K703" s="2436">
        <v>955753.87731343287</v>
      </c>
      <c r="L703" s="2436">
        <v>541843</v>
      </c>
      <c r="M703" s="2266">
        <v>599</v>
      </c>
    </row>
    <row r="704" spans="1:13" ht="15">
      <c r="A704" s="2266" t="s">
        <v>4126</v>
      </c>
      <c r="B704" s="1694" t="str">
        <f>CONCATENATE(LEFT(RIGHT(CONCATENATE("000",IFAData_TEA!A704),6),3),"-",(RIGHT(RIGHT(CONCATENATE("000",IFAData_TEA!A704),6),3)))</f>
        <v>070-912</v>
      </c>
      <c r="C704" s="2266" t="s">
        <v>160</v>
      </c>
      <c r="D704" s="2266">
        <v>1</v>
      </c>
      <c r="E704" s="2266">
        <v>2438</v>
      </c>
      <c r="F704" s="2266" t="s">
        <v>5300</v>
      </c>
      <c r="G704" s="2266" t="s">
        <v>5302</v>
      </c>
      <c r="H704" s="2436">
        <v>1270445</v>
      </c>
      <c r="I704" s="2436">
        <v>52867</v>
      </c>
      <c r="J704" s="2446">
        <v>7.3400902464422074E-2</v>
      </c>
      <c r="K704" s="2436">
        <v>93251.809531412699</v>
      </c>
      <c r="L704" s="2436">
        <v>52867</v>
      </c>
      <c r="M704" s="2266">
        <v>599</v>
      </c>
    </row>
    <row r="705" spans="1:13" ht="15">
      <c r="A705" s="2266" t="s">
        <v>4127</v>
      </c>
      <c r="B705" s="1694" t="str">
        <f>CONCATENATE(LEFT(RIGHT(CONCATENATE("000",IFAData_TEA!A705),6),3),"-",(RIGHT(RIGHT(CONCATENATE("000",IFAData_TEA!A705),6),3)))</f>
        <v>070-915</v>
      </c>
      <c r="C705" s="2266" t="s">
        <v>2269</v>
      </c>
      <c r="D705" s="2266">
        <v>4</v>
      </c>
      <c r="E705" s="2266">
        <v>2078</v>
      </c>
      <c r="F705" s="2266" t="s">
        <v>5303</v>
      </c>
      <c r="G705" s="2266" t="s">
        <v>5306</v>
      </c>
      <c r="H705" s="2436">
        <v>207500</v>
      </c>
      <c r="I705" s="2436">
        <v>24968</v>
      </c>
      <c r="J705" s="2446">
        <v>9.5105683562577842E-2</v>
      </c>
      <c r="K705" s="2436">
        <v>19734.429339234903</v>
      </c>
      <c r="L705" s="2436">
        <v>19734.429339234903</v>
      </c>
      <c r="M705" s="2266">
        <v>599</v>
      </c>
    </row>
    <row r="706" spans="1:13" ht="15">
      <c r="A706" s="2266" t="s">
        <v>4127</v>
      </c>
      <c r="B706" s="1694" t="str">
        <f>CONCATENATE(LEFT(RIGHT(CONCATENATE("000",IFAData_TEA!A706),6),3),"-",(RIGHT(RIGHT(CONCATENATE("000",IFAData_TEA!A706),6),3)))</f>
        <v>070-915</v>
      </c>
      <c r="C706" s="2266" t="s">
        <v>2269</v>
      </c>
      <c r="D706" s="2266">
        <v>4</v>
      </c>
      <c r="E706" s="2266">
        <v>2078</v>
      </c>
      <c r="F706" s="2266" t="s">
        <v>5303</v>
      </c>
      <c r="G706" s="2266" t="s">
        <v>5304</v>
      </c>
      <c r="H706" s="2436">
        <v>207500</v>
      </c>
      <c r="I706" s="2436">
        <v>207678</v>
      </c>
      <c r="J706" s="2446">
        <v>0.79106689165768351</v>
      </c>
      <c r="K706" s="2436">
        <v>164146.38001896933</v>
      </c>
      <c r="L706" s="2436">
        <v>164146.38001896933</v>
      </c>
      <c r="M706" s="2266">
        <v>599</v>
      </c>
    </row>
    <row r="707" spans="1:13" ht="15">
      <c r="A707" s="2266" t="s">
        <v>4127</v>
      </c>
      <c r="B707" s="1694" t="str">
        <f>CONCATENATE(LEFT(RIGHT(CONCATENATE("000",IFAData_TEA!A707),6),3),"-",(RIGHT(RIGHT(CONCATENATE("000",IFAData_TEA!A707),6),3)))</f>
        <v>070-915</v>
      </c>
      <c r="C707" s="2266" t="s">
        <v>2269</v>
      </c>
      <c r="D707" s="2266">
        <v>4</v>
      </c>
      <c r="E707" s="2266">
        <v>2078</v>
      </c>
      <c r="F707" s="2266" t="s">
        <v>5303</v>
      </c>
      <c r="G707" s="2266" t="s">
        <v>6966</v>
      </c>
      <c r="H707" s="2436">
        <v>207500</v>
      </c>
      <c r="I707" s="2436">
        <v>29883</v>
      </c>
      <c r="J707" s="2446">
        <v>0.11382742477973862</v>
      </c>
      <c r="K707" s="2436">
        <v>23619.190641795762</v>
      </c>
      <c r="L707" s="2436">
        <v>23619.190641795762</v>
      </c>
      <c r="M707" s="2266">
        <v>599</v>
      </c>
    </row>
    <row r="708" spans="1:13" ht="15">
      <c r="A708" s="2266" t="s">
        <v>4127</v>
      </c>
      <c r="B708" s="1694" t="str">
        <f>CONCATENATE(LEFT(RIGHT(CONCATENATE("000",IFAData_TEA!A708),6),3),"-",(RIGHT(RIGHT(CONCATENATE("000",IFAData_TEA!A708),6),3)))</f>
        <v>070-915</v>
      </c>
      <c r="C708" s="2266" t="s">
        <v>2269</v>
      </c>
      <c r="D708" s="2266">
        <v>4</v>
      </c>
      <c r="E708" s="2266">
        <v>2078</v>
      </c>
      <c r="F708" s="2266" t="s">
        <v>5303</v>
      </c>
      <c r="G708" s="2266" t="s">
        <v>5303</v>
      </c>
      <c r="H708" s="2436">
        <v>207500</v>
      </c>
      <c r="I708" s="2436">
        <v>0</v>
      </c>
      <c r="J708" s="2446">
        <v>0</v>
      </c>
      <c r="K708" s="2436">
        <v>0</v>
      </c>
      <c r="L708" s="2436">
        <v>0</v>
      </c>
      <c r="M708" s="2266">
        <v>599</v>
      </c>
    </row>
    <row r="709" spans="1:13" ht="15">
      <c r="A709" s="2266" t="s">
        <v>4127</v>
      </c>
      <c r="B709" s="1694" t="str">
        <f>CONCATENATE(LEFT(RIGHT(CONCATENATE("000",IFAData_TEA!A709),6),3),"-",(RIGHT(RIGHT(CONCATENATE("000",IFAData_TEA!A709),6),3)))</f>
        <v>070-915</v>
      </c>
      <c r="C709" s="2266" t="s">
        <v>2269</v>
      </c>
      <c r="D709" s="2266">
        <v>4</v>
      </c>
      <c r="E709" s="2266">
        <v>2078</v>
      </c>
      <c r="F709" s="2266" t="s">
        <v>5303</v>
      </c>
      <c r="G709" s="2266" t="s">
        <v>5305</v>
      </c>
      <c r="H709" s="2436">
        <v>207500</v>
      </c>
      <c r="I709" s="2436">
        <v>0</v>
      </c>
      <c r="J709" s="2446">
        <v>0</v>
      </c>
      <c r="K709" s="2436">
        <v>0</v>
      </c>
      <c r="L709" s="2436">
        <v>0</v>
      </c>
      <c r="M709" s="2266">
        <v>599</v>
      </c>
    </row>
    <row r="710" spans="1:13" ht="15">
      <c r="A710" s="2266" t="s">
        <v>4128</v>
      </c>
      <c r="B710" s="1694" t="str">
        <f>CONCATENATE(LEFT(RIGHT(CONCATENATE("000",IFAData_TEA!A710),6),3),"-",(RIGHT(RIGHT(CONCATENATE("000",IFAData_TEA!A710),6),3)))</f>
        <v>071-901</v>
      </c>
      <c r="C710" s="2266" t="s">
        <v>1331</v>
      </c>
      <c r="D710" s="2266">
        <v>3</v>
      </c>
      <c r="E710" s="2266">
        <v>1698</v>
      </c>
      <c r="F710" s="2266" t="s">
        <v>5308</v>
      </c>
      <c r="G710" s="2266" t="s">
        <v>5309</v>
      </c>
      <c r="H710" s="2436">
        <v>1037938</v>
      </c>
      <c r="I710" s="2436">
        <v>0</v>
      </c>
      <c r="J710" s="2446">
        <v>0</v>
      </c>
      <c r="K710" s="2436">
        <v>0</v>
      </c>
      <c r="L710" s="2436">
        <v>0</v>
      </c>
      <c r="M710" s="2266">
        <v>599</v>
      </c>
    </row>
    <row r="711" spans="1:13" ht="15">
      <c r="A711" s="2266" t="s">
        <v>4128</v>
      </c>
      <c r="B711" s="1694" t="str">
        <f>CONCATENATE(LEFT(RIGHT(CONCATENATE("000",IFAData_TEA!A711),6),3),"-",(RIGHT(RIGHT(CONCATENATE("000",IFAData_TEA!A711),6),3)))</f>
        <v>071-901</v>
      </c>
      <c r="C711" s="2266" t="s">
        <v>1331</v>
      </c>
      <c r="D711" s="2266">
        <v>4</v>
      </c>
      <c r="E711" s="2266">
        <v>1697</v>
      </c>
      <c r="F711" s="2266" t="s">
        <v>5312</v>
      </c>
      <c r="G711" s="2266" t="s">
        <v>5310</v>
      </c>
      <c r="H711" s="2436">
        <v>732644</v>
      </c>
      <c r="I711" s="2436">
        <v>129109</v>
      </c>
      <c r="J711" s="2446">
        <v>0.196475257408777</v>
      </c>
      <c r="K711" s="2436">
        <v>143946.41848899602</v>
      </c>
      <c r="L711" s="2436">
        <v>129109</v>
      </c>
      <c r="M711" s="2266">
        <v>599</v>
      </c>
    </row>
    <row r="712" spans="1:13" ht="15">
      <c r="A712" s="2266" t="s">
        <v>4128</v>
      </c>
      <c r="B712" s="1694" t="str">
        <f>CONCATENATE(LEFT(RIGHT(CONCATENATE("000",IFAData_TEA!A712),6),3),"-",(RIGHT(RIGHT(CONCATENATE("000",IFAData_TEA!A712),6),3)))</f>
        <v>071-901</v>
      </c>
      <c r="C712" s="2266" t="s">
        <v>1331</v>
      </c>
      <c r="D712" s="2266">
        <v>3</v>
      </c>
      <c r="E712" s="2266">
        <v>1698</v>
      </c>
      <c r="F712" s="2266" t="s">
        <v>5308</v>
      </c>
      <c r="G712" s="2266" t="s">
        <v>5310</v>
      </c>
      <c r="H712" s="2436">
        <v>1037938</v>
      </c>
      <c r="I712" s="2436">
        <v>94686</v>
      </c>
      <c r="J712" s="2446">
        <v>0.11174142962848448</v>
      </c>
      <c r="K712" s="2436">
        <v>115980.67598572992</v>
      </c>
      <c r="L712" s="2436">
        <v>94686</v>
      </c>
      <c r="M712" s="2266">
        <v>599</v>
      </c>
    </row>
    <row r="713" spans="1:13" ht="15">
      <c r="A713" s="2266" t="s">
        <v>4128</v>
      </c>
      <c r="B713" s="1694" t="str">
        <f>CONCATENATE(LEFT(RIGHT(CONCATENATE("000",IFAData_TEA!A713),6),3),"-",(RIGHT(RIGHT(CONCATENATE("000",IFAData_TEA!A713),6),3)))</f>
        <v>071-901</v>
      </c>
      <c r="C713" s="2266" t="s">
        <v>1331</v>
      </c>
      <c r="D713" s="2266">
        <v>6</v>
      </c>
      <c r="E713" s="2266">
        <v>1699</v>
      </c>
      <c r="F713" s="2266" t="s">
        <v>5313</v>
      </c>
      <c r="G713" s="2266" t="s">
        <v>5310</v>
      </c>
      <c r="H713" s="2436">
        <v>1200698</v>
      </c>
      <c r="I713" s="2436">
        <v>1196364</v>
      </c>
      <c r="J713" s="2446">
        <v>0.82865038961038961</v>
      </c>
      <c r="K713" s="2436">
        <v>994958.86550441559</v>
      </c>
      <c r="L713" s="2436">
        <v>994958.86550441559</v>
      </c>
      <c r="M713" s="2266">
        <v>599</v>
      </c>
    </row>
    <row r="714" spans="1:13" ht="15">
      <c r="A714" s="2266" t="s">
        <v>4128</v>
      </c>
      <c r="B714" s="1694" t="str">
        <f>CONCATENATE(LEFT(RIGHT(CONCATENATE("000",IFAData_TEA!A714),6),3),"-",(RIGHT(RIGHT(CONCATENATE("000",IFAData_TEA!A714),6),3)))</f>
        <v>071-901</v>
      </c>
      <c r="C714" s="2266" t="s">
        <v>1331</v>
      </c>
      <c r="D714" s="2266">
        <v>4</v>
      </c>
      <c r="E714" s="2266">
        <v>1697</v>
      </c>
      <c r="F714" s="2266" t="s">
        <v>5312</v>
      </c>
      <c r="G714" s="2266" t="s">
        <v>5312</v>
      </c>
      <c r="H714" s="2436">
        <v>732644</v>
      </c>
      <c r="I714" s="2436">
        <v>0</v>
      </c>
      <c r="J714" s="2446">
        <v>0</v>
      </c>
      <c r="K714" s="2436">
        <v>0</v>
      </c>
      <c r="L714" s="2436">
        <v>0</v>
      </c>
      <c r="M714" s="2266">
        <v>199</v>
      </c>
    </row>
    <row r="715" spans="1:13" ht="15">
      <c r="A715" s="2266" t="s">
        <v>4128</v>
      </c>
      <c r="B715" s="1694" t="str">
        <f>CONCATENATE(LEFT(RIGHT(CONCATENATE("000",IFAData_TEA!A715),6),3),"-",(RIGHT(RIGHT(CONCATENATE("000",IFAData_TEA!A715),6),3)))</f>
        <v>071-901</v>
      </c>
      <c r="C715" s="2266" t="s">
        <v>1331</v>
      </c>
      <c r="D715" s="2266">
        <v>2</v>
      </c>
      <c r="E715" s="2266">
        <v>1696</v>
      </c>
      <c r="F715" s="2266" t="s">
        <v>5307</v>
      </c>
      <c r="G715" s="2266" t="s">
        <v>5307</v>
      </c>
      <c r="H715" s="2436">
        <v>530747</v>
      </c>
      <c r="I715" s="2436">
        <v>0</v>
      </c>
      <c r="J715" s="2446">
        <v>0</v>
      </c>
      <c r="K715" s="2436"/>
      <c r="L715" s="2436">
        <v>0</v>
      </c>
      <c r="M715" s="2266">
        <v>199</v>
      </c>
    </row>
    <row r="716" spans="1:13" ht="15">
      <c r="A716" s="2266" t="s">
        <v>4128</v>
      </c>
      <c r="B716" s="1694" t="str">
        <f>CONCATENATE(LEFT(RIGHT(CONCATENATE("000",IFAData_TEA!A716),6),3),"-",(RIGHT(RIGHT(CONCATENATE("000",IFAData_TEA!A716),6),3)))</f>
        <v>071-901</v>
      </c>
      <c r="C716" s="2266" t="s">
        <v>1331</v>
      </c>
      <c r="D716" s="2266">
        <v>8</v>
      </c>
      <c r="E716" s="2266">
        <v>1700</v>
      </c>
      <c r="F716" s="2266" t="s">
        <v>5315</v>
      </c>
      <c r="G716" s="2266" t="s">
        <v>5316</v>
      </c>
      <c r="H716" s="2436">
        <v>2334930</v>
      </c>
      <c r="I716" s="2436">
        <v>1061650</v>
      </c>
      <c r="J716" s="2446">
        <v>0.48435147588849858</v>
      </c>
      <c r="K716" s="2436">
        <v>1130926.7915963321</v>
      </c>
      <c r="L716" s="2436">
        <v>1061650</v>
      </c>
      <c r="M716" s="2266">
        <v>599</v>
      </c>
    </row>
    <row r="717" spans="1:13" ht="15">
      <c r="A717" s="2266" t="s">
        <v>4128</v>
      </c>
      <c r="B717" s="1694" t="str">
        <f>CONCATENATE(LEFT(RIGHT(CONCATENATE("000",IFAData_TEA!A717),6),3),"-",(RIGHT(RIGHT(CONCATENATE("000",IFAData_TEA!A717),6),3)))</f>
        <v>071-901</v>
      </c>
      <c r="C717" s="2266" t="s">
        <v>1331</v>
      </c>
      <c r="D717" s="2266">
        <v>8</v>
      </c>
      <c r="E717" s="2266">
        <v>1700</v>
      </c>
      <c r="F717" s="2266" t="s">
        <v>5315</v>
      </c>
      <c r="G717" s="2266" t="s">
        <v>5315</v>
      </c>
      <c r="H717" s="2436">
        <v>2334930</v>
      </c>
      <c r="I717" s="2436">
        <v>1130250</v>
      </c>
      <c r="J717" s="2446">
        <v>0.51564852411150142</v>
      </c>
      <c r="K717" s="2436">
        <v>1204003.2084036679</v>
      </c>
      <c r="L717" s="2436">
        <v>1130250</v>
      </c>
      <c r="M717" s="2266">
        <v>599</v>
      </c>
    </row>
    <row r="718" spans="1:13" ht="15">
      <c r="A718" s="2266" t="s">
        <v>4128</v>
      </c>
      <c r="B718" s="1694" t="str">
        <f>CONCATENATE(LEFT(RIGHT(CONCATENATE("000",IFAData_TEA!A718),6),3),"-",(RIGHT(RIGHT(CONCATENATE("000",IFAData_TEA!A718),6),3)))</f>
        <v>071-901</v>
      </c>
      <c r="C718" s="2266" t="s">
        <v>1331</v>
      </c>
      <c r="D718" s="2266">
        <v>4</v>
      </c>
      <c r="E718" s="2266">
        <v>1697</v>
      </c>
      <c r="F718" s="2266" t="s">
        <v>5312</v>
      </c>
      <c r="G718" s="2266" t="s">
        <v>5311</v>
      </c>
      <c r="H718" s="2436">
        <v>732644</v>
      </c>
      <c r="I718" s="2436">
        <v>528017</v>
      </c>
      <c r="J718" s="2446">
        <v>0.80352474259122297</v>
      </c>
      <c r="K718" s="2436">
        <v>588697.58151100401</v>
      </c>
      <c r="L718" s="2436">
        <v>528017</v>
      </c>
      <c r="M718" s="2266">
        <v>599</v>
      </c>
    </row>
    <row r="719" spans="1:13" ht="15">
      <c r="A719" s="2266" t="s">
        <v>4128</v>
      </c>
      <c r="B719" s="1694" t="str">
        <f>CONCATENATE(LEFT(RIGHT(CONCATENATE("000",IFAData_TEA!A719),6),3),"-",(RIGHT(RIGHT(CONCATENATE("000",IFAData_TEA!A719),6),3)))</f>
        <v>071-901</v>
      </c>
      <c r="C719" s="2266" t="s">
        <v>1331</v>
      </c>
      <c r="D719" s="2266">
        <v>3</v>
      </c>
      <c r="E719" s="2266">
        <v>1698</v>
      </c>
      <c r="F719" s="2266" t="s">
        <v>5308</v>
      </c>
      <c r="G719" s="2266" t="s">
        <v>5311</v>
      </c>
      <c r="H719" s="2436">
        <v>1037938</v>
      </c>
      <c r="I719" s="2436">
        <v>752681</v>
      </c>
      <c r="J719" s="2446">
        <v>0.88825857037151557</v>
      </c>
      <c r="K719" s="2436">
        <v>921957.3240142701</v>
      </c>
      <c r="L719" s="2436">
        <v>752681</v>
      </c>
      <c r="M719" s="2266">
        <v>599</v>
      </c>
    </row>
    <row r="720" spans="1:13" ht="15">
      <c r="A720" s="2266" t="s">
        <v>4128</v>
      </c>
      <c r="B720" s="1694" t="str">
        <f>CONCATENATE(LEFT(RIGHT(CONCATENATE("000",IFAData_TEA!A720),6),3),"-",(RIGHT(RIGHT(CONCATENATE("000",IFAData_TEA!A720),6),3)))</f>
        <v>071-901</v>
      </c>
      <c r="C720" s="2266" t="s">
        <v>1331</v>
      </c>
      <c r="D720" s="2266">
        <v>6</v>
      </c>
      <c r="E720" s="2266">
        <v>1699</v>
      </c>
      <c r="F720" s="2266" t="s">
        <v>5313</v>
      </c>
      <c r="G720" s="2266" t="s">
        <v>5314</v>
      </c>
      <c r="H720" s="2436">
        <v>1200698</v>
      </c>
      <c r="I720" s="2436">
        <v>247386</v>
      </c>
      <c r="J720" s="2446">
        <v>0.17134961038961039</v>
      </c>
      <c r="K720" s="2436">
        <v>205739.13449558441</v>
      </c>
      <c r="L720" s="2436">
        <v>205739.13449558441</v>
      </c>
      <c r="M720" s="2266">
        <v>599</v>
      </c>
    </row>
    <row r="721" spans="1:13" ht="15">
      <c r="A721" s="2266" t="s">
        <v>4128</v>
      </c>
      <c r="B721" s="1694" t="str">
        <f>CONCATENATE(LEFT(RIGHT(CONCATENATE("000",IFAData_TEA!A721),6),3),"-",(RIGHT(RIGHT(CONCATENATE("000",IFAData_TEA!A721),6),3)))</f>
        <v>071-901</v>
      </c>
      <c r="C721" s="2266" t="s">
        <v>1331</v>
      </c>
      <c r="D721" s="2266">
        <v>3</v>
      </c>
      <c r="E721" s="2266">
        <v>1698</v>
      </c>
      <c r="F721" s="2266" t="s">
        <v>5308</v>
      </c>
      <c r="G721" s="2266" t="s">
        <v>5308</v>
      </c>
      <c r="H721" s="2436">
        <v>1037938</v>
      </c>
      <c r="I721" s="2436">
        <v>0</v>
      </c>
      <c r="J721" s="2446">
        <v>0</v>
      </c>
      <c r="K721" s="2436">
        <v>0</v>
      </c>
      <c r="L721" s="2436">
        <v>0</v>
      </c>
      <c r="M721" s="2266">
        <v>199</v>
      </c>
    </row>
    <row r="722" spans="1:13" ht="15">
      <c r="A722" s="2266" t="s">
        <v>4128</v>
      </c>
      <c r="B722" s="1694" t="str">
        <f>CONCATENATE(LEFT(RIGHT(CONCATENATE("000",IFAData_TEA!A722),6),3),"-",(RIGHT(RIGHT(CONCATENATE("000",IFAData_TEA!A722),6),3)))</f>
        <v>071-901</v>
      </c>
      <c r="C722" s="2266" t="s">
        <v>1331</v>
      </c>
      <c r="D722" s="2266">
        <v>6</v>
      </c>
      <c r="E722" s="2266">
        <v>1699</v>
      </c>
      <c r="F722" s="2266" t="s">
        <v>5313</v>
      </c>
      <c r="G722" s="2266" t="s">
        <v>5313</v>
      </c>
      <c r="H722" s="2436">
        <v>1200698</v>
      </c>
      <c r="I722" s="2436">
        <v>0</v>
      </c>
      <c r="J722" s="2446">
        <v>0</v>
      </c>
      <c r="K722" s="2436">
        <v>0</v>
      </c>
      <c r="L722" s="2436">
        <v>0</v>
      </c>
      <c r="M722" s="2266">
        <v>599</v>
      </c>
    </row>
    <row r="723" spans="1:13" ht="15">
      <c r="A723" s="2266" t="s">
        <v>4128</v>
      </c>
      <c r="B723" s="1694" t="str">
        <f>CONCATENATE(LEFT(RIGHT(CONCATENATE("000",IFAData_TEA!A723),6),3),"-",(RIGHT(RIGHT(CONCATENATE("000",IFAData_TEA!A723),6),3)))</f>
        <v>071-901</v>
      </c>
      <c r="C723" s="2266" t="s">
        <v>1331</v>
      </c>
      <c r="D723" s="2266">
        <v>9</v>
      </c>
      <c r="E723" s="2266">
        <v>1701</v>
      </c>
      <c r="F723" s="2266" t="s">
        <v>5317</v>
      </c>
      <c r="G723" s="2266" t="s">
        <v>5317</v>
      </c>
      <c r="H723" s="2436">
        <v>2567970</v>
      </c>
      <c r="I723" s="2436">
        <v>1848550</v>
      </c>
      <c r="J723" s="2446">
        <v>1</v>
      </c>
      <c r="K723" s="2436">
        <v>2567970</v>
      </c>
      <c r="L723" s="2436">
        <v>1848550</v>
      </c>
      <c r="M723" s="2266">
        <v>599</v>
      </c>
    </row>
    <row r="724" spans="1:13" ht="15">
      <c r="A724" s="2266" t="s">
        <v>4128</v>
      </c>
      <c r="B724" s="1694" t="str">
        <f>CONCATENATE(LEFT(RIGHT(CONCATENATE("000",IFAData_TEA!A724),6),3),"-",(RIGHT(RIGHT(CONCATENATE("000",IFAData_TEA!A724),6),3)))</f>
        <v>071-901</v>
      </c>
      <c r="C724" s="2266" t="s">
        <v>1331</v>
      </c>
      <c r="D724" s="2266">
        <v>4</v>
      </c>
      <c r="E724" s="2266">
        <v>1697</v>
      </c>
      <c r="F724" s="2266" t="s">
        <v>5312</v>
      </c>
      <c r="G724" s="2266" t="s">
        <v>5309</v>
      </c>
      <c r="H724" s="2436">
        <v>732644</v>
      </c>
      <c r="I724" s="2436">
        <v>0</v>
      </c>
      <c r="J724" s="2446">
        <v>0</v>
      </c>
      <c r="K724" s="2436">
        <v>0</v>
      </c>
      <c r="L724" s="2436">
        <v>0</v>
      </c>
      <c r="M724" s="2266">
        <v>599</v>
      </c>
    </row>
    <row r="725" spans="1:13" ht="15">
      <c r="A725" s="2266" t="s">
        <v>4129</v>
      </c>
      <c r="B725" s="1694" t="str">
        <f>CONCATENATE(LEFT(RIGHT(CONCATENATE("000",IFAData_TEA!A725),6),3),"-",(RIGHT(RIGHT(CONCATENATE("000",IFAData_TEA!A725),6),3)))</f>
        <v>071-902</v>
      </c>
      <c r="C725" s="2266" t="s">
        <v>2250</v>
      </c>
      <c r="D725" s="2266">
        <v>9</v>
      </c>
      <c r="E725" s="2266">
        <v>1798</v>
      </c>
      <c r="F725" s="2266" t="s">
        <v>5318</v>
      </c>
      <c r="G725" s="2266" t="s">
        <v>6967</v>
      </c>
      <c r="H725" s="2436">
        <v>9773773</v>
      </c>
      <c r="I725" s="2436">
        <v>2709375</v>
      </c>
      <c r="J725" s="2446">
        <v>0.40491313282271624</v>
      </c>
      <c r="K725" s="2436">
        <v>3957529.0449280776</v>
      </c>
      <c r="L725" s="2436">
        <v>2709375</v>
      </c>
      <c r="M725" s="2266">
        <v>599</v>
      </c>
    </row>
    <row r="726" spans="1:13" ht="15">
      <c r="A726" s="2266" t="s">
        <v>4129</v>
      </c>
      <c r="B726" s="1694" t="str">
        <f>CONCATENATE(LEFT(RIGHT(CONCATENATE("000",IFAData_TEA!A726),6),3),"-",(RIGHT(RIGHT(CONCATENATE("000",IFAData_TEA!A726),6),3)))</f>
        <v>071-902</v>
      </c>
      <c r="C726" s="2266" t="s">
        <v>2250</v>
      </c>
      <c r="D726" s="2266">
        <v>9</v>
      </c>
      <c r="E726" s="2266">
        <v>1798</v>
      </c>
      <c r="F726" s="2266" t="s">
        <v>5318</v>
      </c>
      <c r="G726" s="2266" t="s">
        <v>5318</v>
      </c>
      <c r="H726" s="2436">
        <v>9773773</v>
      </c>
      <c r="I726" s="2436">
        <v>3981875</v>
      </c>
      <c r="J726" s="2446">
        <v>0.59508686717728376</v>
      </c>
      <c r="K726" s="2436">
        <v>5816243.9550719224</v>
      </c>
      <c r="L726" s="2436">
        <v>3981875</v>
      </c>
      <c r="M726" s="2266">
        <v>599</v>
      </c>
    </row>
    <row r="727" spans="1:13" ht="15">
      <c r="A727" s="2266" t="s">
        <v>4130</v>
      </c>
      <c r="B727" s="1694" t="str">
        <f>CONCATENATE(LEFT(RIGHT(CONCATENATE("000",IFAData_TEA!A727),6),3),"-",(RIGHT(RIGHT(CONCATENATE("000",IFAData_TEA!A727),6),3)))</f>
        <v>071-903</v>
      </c>
      <c r="C727" s="2266" t="s">
        <v>1004</v>
      </c>
      <c r="D727" s="2266">
        <v>8</v>
      </c>
      <c r="E727" s="2266">
        <v>1806</v>
      </c>
      <c r="F727" s="2266" t="s">
        <v>5321</v>
      </c>
      <c r="G727" s="2266" t="s">
        <v>5321</v>
      </c>
      <c r="H727" s="2436">
        <v>601866</v>
      </c>
      <c r="I727" s="2436">
        <v>251675</v>
      </c>
      <c r="J727" s="2446">
        <v>0.42062978729093858</v>
      </c>
      <c r="K727" s="2436">
        <v>253162.76755764804</v>
      </c>
      <c r="L727" s="2436">
        <v>251675</v>
      </c>
      <c r="M727" s="2266">
        <v>599</v>
      </c>
    </row>
    <row r="728" spans="1:13" ht="15">
      <c r="A728" s="2266" t="s">
        <v>4130</v>
      </c>
      <c r="B728" s="1694" t="str">
        <f>CONCATENATE(LEFT(RIGHT(CONCATENATE("000",IFAData_TEA!A728),6),3),"-",(RIGHT(RIGHT(CONCATENATE("000",IFAData_TEA!A728),6),3)))</f>
        <v>071-903</v>
      </c>
      <c r="C728" s="2266" t="s">
        <v>1004</v>
      </c>
      <c r="D728" s="2266">
        <v>8</v>
      </c>
      <c r="E728" s="2266">
        <v>1806</v>
      </c>
      <c r="F728" s="2266" t="s">
        <v>5321</v>
      </c>
      <c r="G728" s="2266" t="s">
        <v>6968</v>
      </c>
      <c r="H728" s="2436">
        <v>601866</v>
      </c>
      <c r="I728" s="2436">
        <v>346654</v>
      </c>
      <c r="J728" s="2446">
        <v>0.57937021270906142</v>
      </c>
      <c r="K728" s="2436">
        <v>348703.23244235193</v>
      </c>
      <c r="L728" s="2436">
        <v>346654</v>
      </c>
      <c r="M728" s="2266">
        <v>599</v>
      </c>
    </row>
    <row r="729" spans="1:13" ht="15">
      <c r="A729" s="2266" t="s">
        <v>4130</v>
      </c>
      <c r="B729" s="1694" t="str">
        <f>CONCATENATE(LEFT(RIGHT(CONCATENATE("000",IFAData_TEA!A729),6),3),"-",(RIGHT(RIGHT(CONCATENATE("000",IFAData_TEA!A729),6),3)))</f>
        <v>071-903</v>
      </c>
      <c r="C729" s="2266" t="s">
        <v>1004</v>
      </c>
      <c r="D729" s="2266">
        <v>2</v>
      </c>
      <c r="E729" s="2266">
        <v>1807</v>
      </c>
      <c r="F729" s="2266" t="s">
        <v>5319</v>
      </c>
      <c r="G729" s="2266" t="s">
        <v>5319</v>
      </c>
      <c r="H729" s="2436">
        <v>665953</v>
      </c>
      <c r="I729" s="2436">
        <v>0</v>
      </c>
      <c r="J729" s="2446">
        <v>0</v>
      </c>
      <c r="K729" s="2436">
        <v>0</v>
      </c>
      <c r="L729" s="2436">
        <v>0</v>
      </c>
      <c r="M729" s="2266">
        <v>599</v>
      </c>
    </row>
    <row r="730" spans="1:13" ht="15">
      <c r="A730" s="2266" t="s">
        <v>4130</v>
      </c>
      <c r="B730" s="1694" t="str">
        <f>CONCATENATE(LEFT(RIGHT(CONCATENATE("000",IFAData_TEA!A730),6),3),"-",(RIGHT(RIGHT(CONCATENATE("000",IFAData_TEA!A730),6),3)))</f>
        <v>071-903</v>
      </c>
      <c r="C730" s="2266" t="s">
        <v>1004</v>
      </c>
      <c r="D730" s="2266">
        <v>9</v>
      </c>
      <c r="E730" s="2266">
        <v>1805</v>
      </c>
      <c r="F730" s="2266" t="s">
        <v>5322</v>
      </c>
      <c r="G730" s="2266" t="s">
        <v>5322</v>
      </c>
      <c r="H730" s="2436">
        <v>586545</v>
      </c>
      <c r="I730" s="2436">
        <v>580855</v>
      </c>
      <c r="J730" s="2446">
        <v>1</v>
      </c>
      <c r="K730" s="2436">
        <v>586545</v>
      </c>
      <c r="L730" s="2436">
        <v>580855</v>
      </c>
      <c r="M730" s="2266">
        <v>599</v>
      </c>
    </row>
    <row r="731" spans="1:13" ht="15">
      <c r="A731" s="2266" t="s">
        <v>4130</v>
      </c>
      <c r="B731" s="1694" t="str">
        <f>CONCATENATE(LEFT(RIGHT(CONCATENATE("000",IFAData_TEA!A731),6),3),"-",(RIGHT(RIGHT(CONCATENATE("000",IFAData_TEA!A731),6),3)))</f>
        <v>071-903</v>
      </c>
      <c r="C731" s="2266" t="s">
        <v>1004</v>
      </c>
      <c r="D731" s="2266">
        <v>2</v>
      </c>
      <c r="E731" s="2266">
        <v>1807</v>
      </c>
      <c r="F731" s="2266" t="s">
        <v>5319</v>
      </c>
      <c r="G731" s="2266" t="s">
        <v>5320</v>
      </c>
      <c r="H731" s="2436">
        <v>665953</v>
      </c>
      <c r="I731" s="2436">
        <v>587262</v>
      </c>
      <c r="J731" s="2446">
        <v>1</v>
      </c>
      <c r="K731" s="2436">
        <v>665953</v>
      </c>
      <c r="L731" s="2436">
        <v>587262</v>
      </c>
      <c r="M731" s="2266">
        <v>599</v>
      </c>
    </row>
    <row r="732" spans="1:13" ht="15">
      <c r="A732" s="2266" t="s">
        <v>5323</v>
      </c>
      <c r="B732" s="1694" t="str">
        <f>CONCATENATE(LEFT(RIGHT(CONCATENATE("000",IFAData_TEA!A732),6),3),"-",(RIGHT(RIGHT(CONCATENATE("000",IFAData_TEA!A732),6),3)))</f>
        <v>071-904</v>
      </c>
      <c r="C732" s="2266" t="s">
        <v>2311</v>
      </c>
      <c r="D732" s="2266">
        <v>8</v>
      </c>
      <c r="E732" s="2266">
        <v>2295</v>
      </c>
      <c r="F732" s="2266" t="s">
        <v>5328</v>
      </c>
      <c r="G732" s="2266" t="s">
        <v>5328</v>
      </c>
      <c r="H732" s="2436">
        <v>837604</v>
      </c>
      <c r="I732" s="2436">
        <v>836513</v>
      </c>
      <c r="J732" s="2446">
        <v>1</v>
      </c>
      <c r="K732" s="2436">
        <v>837604</v>
      </c>
      <c r="L732" s="2436">
        <v>836513</v>
      </c>
      <c r="M732" s="2266">
        <v>199</v>
      </c>
    </row>
    <row r="733" spans="1:13" ht="15">
      <c r="A733" s="2266" t="s">
        <v>5323</v>
      </c>
      <c r="B733" s="1694" t="str">
        <f>CONCATENATE(LEFT(RIGHT(CONCATENATE("000",IFAData_TEA!A733),6),3),"-",(RIGHT(RIGHT(CONCATENATE("000",IFAData_TEA!A733),6),3)))</f>
        <v>071-904</v>
      </c>
      <c r="C733" s="2266" t="s">
        <v>2311</v>
      </c>
      <c r="D733" s="2266">
        <v>2</v>
      </c>
      <c r="E733" s="2266">
        <v>2293</v>
      </c>
      <c r="F733" s="2266" t="s">
        <v>5324</v>
      </c>
      <c r="G733" s="2266" t="s">
        <v>5324</v>
      </c>
      <c r="H733" s="2436">
        <v>204473</v>
      </c>
      <c r="I733" s="2436">
        <v>0</v>
      </c>
      <c r="J733" s="2446">
        <v>0</v>
      </c>
      <c r="K733" s="2436"/>
      <c r="L733" s="2436">
        <v>0</v>
      </c>
      <c r="M733" s="2266">
        <v>199</v>
      </c>
    </row>
    <row r="734" spans="1:13" ht="15">
      <c r="A734" s="2266" t="s">
        <v>5323</v>
      </c>
      <c r="B734" s="1694" t="str">
        <f>CONCATENATE(LEFT(RIGHT(CONCATENATE("000",IFAData_TEA!A734),6),3),"-",(RIGHT(RIGHT(CONCATENATE("000",IFAData_TEA!A734),6),3)))</f>
        <v>071-904</v>
      </c>
      <c r="C734" s="2266" t="s">
        <v>2311</v>
      </c>
      <c r="D734" s="2266">
        <v>7</v>
      </c>
      <c r="E734" s="2266">
        <v>2292</v>
      </c>
      <c r="F734" s="2266" t="s">
        <v>5327</v>
      </c>
      <c r="G734" s="2266" t="s">
        <v>5327</v>
      </c>
      <c r="H734" s="2436">
        <v>177544</v>
      </c>
      <c r="I734" s="2436">
        <v>170677</v>
      </c>
      <c r="J734" s="2446">
        <v>1</v>
      </c>
      <c r="K734" s="2436">
        <v>177544</v>
      </c>
      <c r="L734" s="2436">
        <v>170677</v>
      </c>
      <c r="M734" s="2266">
        <v>199</v>
      </c>
    </row>
    <row r="735" spans="1:13" ht="15">
      <c r="A735" s="2266" t="s">
        <v>5323</v>
      </c>
      <c r="B735" s="1694" t="str">
        <f>CONCATENATE(LEFT(RIGHT(CONCATENATE("000",IFAData_TEA!A735),6),3),"-",(RIGHT(RIGHT(CONCATENATE("000",IFAData_TEA!A735),6),3)))</f>
        <v>071-904</v>
      </c>
      <c r="C735" s="2266" t="s">
        <v>2311</v>
      </c>
      <c r="D735" s="2266">
        <v>3</v>
      </c>
      <c r="E735" s="2266">
        <v>2294</v>
      </c>
      <c r="F735" s="2266" t="s">
        <v>5325</v>
      </c>
      <c r="G735" s="2266" t="s">
        <v>5326</v>
      </c>
      <c r="H735" s="2436">
        <v>828370</v>
      </c>
      <c r="I735" s="2436">
        <v>725530</v>
      </c>
      <c r="J735" s="2446">
        <v>1</v>
      </c>
      <c r="K735" s="2436">
        <v>828370</v>
      </c>
      <c r="L735" s="2436">
        <v>725530</v>
      </c>
      <c r="M735" s="2266">
        <v>199</v>
      </c>
    </row>
    <row r="736" spans="1:13" ht="15">
      <c r="A736" s="2266" t="s">
        <v>5323</v>
      </c>
      <c r="B736" s="1694" t="str">
        <f>CONCATENATE(LEFT(RIGHT(CONCATENATE("000",IFAData_TEA!A736),6),3),"-",(RIGHT(RIGHT(CONCATENATE("000",IFAData_TEA!A736),6),3)))</f>
        <v>071-904</v>
      </c>
      <c r="C736" s="2266" t="s">
        <v>2311</v>
      </c>
      <c r="D736" s="2266">
        <v>3</v>
      </c>
      <c r="E736" s="2266">
        <v>2294</v>
      </c>
      <c r="F736" s="2266" t="s">
        <v>5325</v>
      </c>
      <c r="G736" s="2266" t="s">
        <v>5325</v>
      </c>
      <c r="H736" s="2436">
        <v>828370</v>
      </c>
      <c r="I736" s="2436">
        <v>0</v>
      </c>
      <c r="J736" s="2446">
        <v>0</v>
      </c>
      <c r="K736" s="2436">
        <v>0</v>
      </c>
      <c r="L736" s="2436">
        <v>0</v>
      </c>
      <c r="M736" s="2266">
        <v>199</v>
      </c>
    </row>
    <row r="737" spans="1:13" ht="15">
      <c r="A737" s="2266" t="s">
        <v>5329</v>
      </c>
      <c r="B737" s="1694" t="str">
        <f>CONCATENATE(LEFT(RIGHT(CONCATENATE("000",IFAData_TEA!A737),6),3),"-",(RIGHT(RIGHT(CONCATENATE("000",IFAData_TEA!A737),6),3)))</f>
        <v>071-905</v>
      </c>
      <c r="C737" s="2266" t="s">
        <v>861</v>
      </c>
      <c r="D737" s="2266">
        <v>3</v>
      </c>
      <c r="E737" s="2266">
        <v>2469</v>
      </c>
      <c r="F737" s="2266" t="s">
        <v>5330</v>
      </c>
      <c r="G737" s="2266" t="s">
        <v>5331</v>
      </c>
      <c r="H737" s="2436">
        <v>5086781</v>
      </c>
      <c r="I737" s="2436">
        <v>3535350</v>
      </c>
      <c r="J737" s="2446">
        <v>1</v>
      </c>
      <c r="K737" s="2436">
        <v>5086781</v>
      </c>
      <c r="L737" s="2436">
        <v>3535350</v>
      </c>
      <c r="M737" s="2266">
        <v>199</v>
      </c>
    </row>
    <row r="738" spans="1:13" ht="15">
      <c r="A738" s="2266" t="s">
        <v>5329</v>
      </c>
      <c r="B738" s="1694" t="str">
        <f>CONCATENATE(LEFT(RIGHT(CONCATENATE("000",IFAData_TEA!A738),6),3),"-",(RIGHT(RIGHT(CONCATENATE("000",IFAData_TEA!A738),6),3)))</f>
        <v>071-905</v>
      </c>
      <c r="C738" s="2266" t="s">
        <v>861</v>
      </c>
      <c r="D738" s="2266">
        <v>3</v>
      </c>
      <c r="E738" s="2266">
        <v>2469</v>
      </c>
      <c r="F738" s="2266" t="s">
        <v>5330</v>
      </c>
      <c r="G738" s="2266" t="s">
        <v>5330</v>
      </c>
      <c r="H738" s="2436">
        <v>5086781</v>
      </c>
      <c r="I738" s="2436">
        <v>0</v>
      </c>
      <c r="J738" s="2446">
        <v>0</v>
      </c>
      <c r="K738" s="2436">
        <v>0</v>
      </c>
      <c r="L738" s="2436">
        <v>0</v>
      </c>
      <c r="M738" s="2266">
        <v>199</v>
      </c>
    </row>
    <row r="739" spans="1:13" ht="15">
      <c r="A739" s="2266" t="s">
        <v>4131</v>
      </c>
      <c r="B739" s="1694" t="str">
        <f>CONCATENATE(LEFT(RIGHT(CONCATENATE("000",IFAData_TEA!A739),6),3),"-",(RIGHT(RIGHT(CONCATENATE("000",IFAData_TEA!A739),6),3)))</f>
        <v>071-906</v>
      </c>
      <c r="C739" s="2266" t="s">
        <v>153</v>
      </c>
      <c r="D739" s="2266">
        <v>2</v>
      </c>
      <c r="E739" s="2266">
        <v>1580</v>
      </c>
      <c r="F739" s="2266" t="s">
        <v>5332</v>
      </c>
      <c r="G739" s="2266" t="s">
        <v>5332</v>
      </c>
      <c r="H739" s="2436">
        <v>199299</v>
      </c>
      <c r="I739" s="2436">
        <v>0</v>
      </c>
      <c r="J739" s="2446">
        <v>0</v>
      </c>
      <c r="K739" s="2436">
        <v>0</v>
      </c>
      <c r="L739" s="2436">
        <v>0</v>
      </c>
      <c r="M739" s="2266">
        <v>599</v>
      </c>
    </row>
    <row r="740" spans="1:13" ht="15">
      <c r="A740" s="2266" t="s">
        <v>4131</v>
      </c>
      <c r="B740" s="1694" t="str">
        <f>CONCATENATE(LEFT(RIGHT(CONCATENATE("000",IFAData_TEA!A740),6),3),"-",(RIGHT(RIGHT(CONCATENATE("000",IFAData_TEA!A740),6),3)))</f>
        <v>071-906</v>
      </c>
      <c r="C740" s="2266" t="s">
        <v>153</v>
      </c>
      <c r="D740" s="2266">
        <v>2</v>
      </c>
      <c r="E740" s="2266">
        <v>1580</v>
      </c>
      <c r="F740" s="2266" t="s">
        <v>5332</v>
      </c>
      <c r="G740" s="2266" t="s">
        <v>5333</v>
      </c>
      <c r="H740" s="2436">
        <v>199299</v>
      </c>
      <c r="I740" s="2436">
        <v>273778</v>
      </c>
      <c r="J740" s="2446">
        <v>1</v>
      </c>
      <c r="K740" s="2436">
        <v>199299</v>
      </c>
      <c r="L740" s="2436">
        <v>199299</v>
      </c>
      <c r="M740" s="2266">
        <v>599</v>
      </c>
    </row>
    <row r="741" spans="1:13" ht="15">
      <c r="A741" s="2266" t="s">
        <v>4131</v>
      </c>
      <c r="B741" s="1694" t="str">
        <f>CONCATENATE(LEFT(RIGHT(CONCATENATE("000",IFAData_TEA!A741),6),3),"-",(RIGHT(RIGHT(CONCATENATE("000",IFAData_TEA!A741),6),3)))</f>
        <v>071-906</v>
      </c>
      <c r="C741" s="2266" t="s">
        <v>153</v>
      </c>
      <c r="D741" s="2266">
        <v>3</v>
      </c>
      <c r="E741" s="2266">
        <v>1579</v>
      </c>
      <c r="F741" s="2266" t="s">
        <v>5334</v>
      </c>
      <c r="G741" s="2266" t="s">
        <v>5334</v>
      </c>
      <c r="H741" s="2436">
        <v>91971</v>
      </c>
      <c r="I741" s="2436">
        <v>0</v>
      </c>
      <c r="J741" s="2446">
        <v>0</v>
      </c>
      <c r="K741" s="2436"/>
      <c r="L741" s="2436">
        <v>0</v>
      </c>
      <c r="M741" s="2266">
        <v>199</v>
      </c>
    </row>
    <row r="742" spans="1:13" ht="15">
      <c r="A742" s="2266" t="s">
        <v>4132</v>
      </c>
      <c r="B742" s="1694" t="str">
        <f>CONCATENATE(LEFT(RIGHT(CONCATENATE("000",IFAData_TEA!A742),6),3),"-",(RIGHT(RIGHT(CONCATENATE("000",IFAData_TEA!A742),6),3)))</f>
        <v>071-907</v>
      </c>
      <c r="C742" s="2266" t="s">
        <v>728</v>
      </c>
      <c r="D742" s="2266">
        <v>5</v>
      </c>
      <c r="E742" s="2266">
        <v>1662</v>
      </c>
      <c r="F742" s="2266" t="s">
        <v>5335</v>
      </c>
      <c r="G742" s="2266" t="s">
        <v>5338</v>
      </c>
      <c r="H742" s="2436">
        <v>1070895</v>
      </c>
      <c r="I742" s="2436">
        <v>204161</v>
      </c>
      <c r="J742" s="2446">
        <v>0.14145881459535189</v>
      </c>
      <c r="K742" s="2436">
        <v>151487.53725608936</v>
      </c>
      <c r="L742" s="2436">
        <v>151487.53725608936</v>
      </c>
      <c r="M742" s="2266">
        <v>599</v>
      </c>
    </row>
    <row r="743" spans="1:13" ht="15">
      <c r="A743" s="2266" t="s">
        <v>4132</v>
      </c>
      <c r="B743" s="1694" t="str">
        <f>CONCATENATE(LEFT(RIGHT(CONCATENATE("000",IFAData_TEA!A743),6),3),"-",(RIGHT(RIGHT(CONCATENATE("000",IFAData_TEA!A743),6),3)))</f>
        <v>071-907</v>
      </c>
      <c r="C743" s="2266" t="s">
        <v>728</v>
      </c>
      <c r="D743" s="2266">
        <v>5</v>
      </c>
      <c r="E743" s="2266">
        <v>1662</v>
      </c>
      <c r="F743" s="2266" t="s">
        <v>5335</v>
      </c>
      <c r="G743" s="2266" t="s">
        <v>5335</v>
      </c>
      <c r="H743" s="2436">
        <v>1070895</v>
      </c>
      <c r="I743" s="2436">
        <v>0</v>
      </c>
      <c r="J743" s="2446">
        <v>0</v>
      </c>
      <c r="K743" s="2436">
        <v>0</v>
      </c>
      <c r="L743" s="2436">
        <v>0</v>
      </c>
      <c r="M743" s="2266">
        <v>599</v>
      </c>
    </row>
    <row r="744" spans="1:13" ht="15">
      <c r="A744" s="2266" t="s">
        <v>4132</v>
      </c>
      <c r="B744" s="1694" t="str">
        <f>CONCATENATE(LEFT(RIGHT(CONCATENATE("000",IFAData_TEA!A744),6),3),"-",(RIGHT(RIGHT(CONCATENATE("000",IFAData_TEA!A744),6),3)))</f>
        <v>071-907</v>
      </c>
      <c r="C744" s="2266" t="s">
        <v>728</v>
      </c>
      <c r="D744" s="2266">
        <v>5</v>
      </c>
      <c r="E744" s="2266">
        <v>1662</v>
      </c>
      <c r="F744" s="2266" t="s">
        <v>5335</v>
      </c>
      <c r="G744" s="2266" t="s">
        <v>5337</v>
      </c>
      <c r="H744" s="2436">
        <v>1070895</v>
      </c>
      <c r="I744" s="2436">
        <v>1239093</v>
      </c>
      <c r="J744" s="2446">
        <v>0.85854118540464808</v>
      </c>
      <c r="K744" s="2436">
        <v>919407.46274391061</v>
      </c>
      <c r="L744" s="2436">
        <v>919407.46274391061</v>
      </c>
      <c r="M744" s="2266">
        <v>599</v>
      </c>
    </row>
    <row r="745" spans="1:13" ht="15">
      <c r="A745" s="2266" t="s">
        <v>4132</v>
      </c>
      <c r="B745" s="1694" t="str">
        <f>CONCATENATE(LEFT(RIGHT(CONCATENATE("000",IFAData_TEA!A745),6),3),"-",(RIGHT(RIGHT(CONCATENATE("000",IFAData_TEA!A745),6),3)))</f>
        <v>071-907</v>
      </c>
      <c r="C745" s="2266" t="s">
        <v>728</v>
      </c>
      <c r="D745" s="2266">
        <v>5</v>
      </c>
      <c r="E745" s="2266">
        <v>1662</v>
      </c>
      <c r="F745" s="2266" t="s">
        <v>5335</v>
      </c>
      <c r="G745" s="2266" t="s">
        <v>5336</v>
      </c>
      <c r="H745" s="2436">
        <v>1070895</v>
      </c>
      <c r="I745" s="2436">
        <v>0</v>
      </c>
      <c r="J745" s="2446">
        <v>0</v>
      </c>
      <c r="K745" s="2436">
        <v>0</v>
      </c>
      <c r="L745" s="2436">
        <v>0</v>
      </c>
      <c r="M745" s="2266">
        <v>599</v>
      </c>
    </row>
    <row r="746" spans="1:13" ht="15">
      <c r="A746" s="2266" t="s">
        <v>4133</v>
      </c>
      <c r="B746" s="1694" t="str">
        <f>CONCATENATE(LEFT(RIGHT(CONCATENATE("000",IFAData_TEA!A746),6),3),"-",(RIGHT(RIGHT(CONCATENATE("000",IFAData_TEA!A746),6),3)))</f>
        <v>071-908</v>
      </c>
      <c r="C746" s="2266" t="s">
        <v>661</v>
      </c>
      <c r="D746" s="2266">
        <v>1</v>
      </c>
      <c r="E746" s="2266">
        <v>2396</v>
      </c>
      <c r="F746" s="2266" t="s">
        <v>5339</v>
      </c>
      <c r="G746" s="2266" t="s">
        <v>5339</v>
      </c>
      <c r="H746" s="2436">
        <v>44910</v>
      </c>
      <c r="I746" s="2436">
        <v>0</v>
      </c>
      <c r="J746" s="2446">
        <v>0</v>
      </c>
      <c r="K746" s="2436">
        <v>0</v>
      </c>
      <c r="L746" s="2436">
        <v>0</v>
      </c>
      <c r="M746" s="2266">
        <v>599</v>
      </c>
    </row>
    <row r="747" spans="1:13" ht="15">
      <c r="A747" s="2266" t="s">
        <v>4133</v>
      </c>
      <c r="B747" s="1694" t="str">
        <f>CONCATENATE(LEFT(RIGHT(CONCATENATE("000",IFAData_TEA!A747),6),3),"-",(RIGHT(RIGHT(CONCATENATE("000",IFAData_TEA!A747),6),3)))</f>
        <v>071-908</v>
      </c>
      <c r="C747" s="2266" t="s">
        <v>661</v>
      </c>
      <c r="D747" s="2266">
        <v>8</v>
      </c>
      <c r="E747" s="2266">
        <v>2399</v>
      </c>
      <c r="F747" s="2266" t="s">
        <v>5346</v>
      </c>
      <c r="G747" s="2266" t="s">
        <v>5347</v>
      </c>
      <c r="H747" s="2436">
        <v>317310</v>
      </c>
      <c r="I747" s="2436">
        <v>146775</v>
      </c>
      <c r="J747" s="2446">
        <v>0.49290571740408023</v>
      </c>
      <c r="K747" s="2436">
        <v>156403.9131894887</v>
      </c>
      <c r="L747" s="2436">
        <v>146775</v>
      </c>
      <c r="M747" s="2266">
        <v>599</v>
      </c>
    </row>
    <row r="748" spans="1:13" ht="15">
      <c r="A748" s="2266" t="s">
        <v>4133</v>
      </c>
      <c r="B748" s="1694" t="str">
        <f>CONCATENATE(LEFT(RIGHT(CONCATENATE("000",IFAData_TEA!A748),6),3),"-",(RIGHT(RIGHT(CONCATENATE("000",IFAData_TEA!A748),6),3)))</f>
        <v>071-908</v>
      </c>
      <c r="C748" s="2266" t="s">
        <v>661</v>
      </c>
      <c r="D748" s="2266">
        <v>5</v>
      </c>
      <c r="E748" s="2266">
        <v>2398</v>
      </c>
      <c r="F748" s="2266" t="s">
        <v>5344</v>
      </c>
      <c r="G748" s="2266" t="s">
        <v>5344</v>
      </c>
      <c r="H748" s="2436">
        <v>229390</v>
      </c>
      <c r="I748" s="2436">
        <v>0</v>
      </c>
      <c r="J748" s="2446">
        <v>0</v>
      </c>
      <c r="K748" s="2436">
        <v>0</v>
      </c>
      <c r="L748" s="2436">
        <v>0</v>
      </c>
      <c r="M748" s="2266">
        <v>599</v>
      </c>
    </row>
    <row r="749" spans="1:13" ht="15">
      <c r="A749" s="2266" t="s">
        <v>4133</v>
      </c>
      <c r="B749" s="1694" t="str">
        <f>CONCATENATE(LEFT(RIGHT(CONCATENATE("000",IFAData_TEA!A749),6),3),"-",(RIGHT(RIGHT(CONCATENATE("000",IFAData_TEA!A749),6),3)))</f>
        <v>071-908</v>
      </c>
      <c r="C749" s="2266" t="s">
        <v>661</v>
      </c>
      <c r="D749" s="2266">
        <v>3</v>
      </c>
      <c r="E749" s="2266">
        <v>2395</v>
      </c>
      <c r="F749" s="2266" t="s">
        <v>5342</v>
      </c>
      <c r="G749" s="2266" t="s">
        <v>5341</v>
      </c>
      <c r="H749" s="2436">
        <v>37010</v>
      </c>
      <c r="I749" s="2436">
        <v>8988</v>
      </c>
      <c r="J749" s="2446">
        <v>0.32216208466253271</v>
      </c>
      <c r="K749" s="2436">
        <v>11923.218753360336</v>
      </c>
      <c r="L749" s="2436">
        <v>8988</v>
      </c>
      <c r="M749" s="2266">
        <v>599</v>
      </c>
    </row>
    <row r="750" spans="1:13" ht="15">
      <c r="A750" s="2266" t="s">
        <v>4133</v>
      </c>
      <c r="B750" s="1694" t="str">
        <f>CONCATENATE(LEFT(RIGHT(CONCATENATE("000",IFAData_TEA!A750),6),3),"-",(RIGHT(RIGHT(CONCATENATE("000",IFAData_TEA!A750),6),3)))</f>
        <v>071-908</v>
      </c>
      <c r="C750" s="2266" t="s">
        <v>661</v>
      </c>
      <c r="D750" s="2266">
        <v>4</v>
      </c>
      <c r="E750" s="2266">
        <v>2397</v>
      </c>
      <c r="F750" s="2266" t="s">
        <v>5343</v>
      </c>
      <c r="G750" s="2266" t="s">
        <v>5341</v>
      </c>
      <c r="H750" s="2436">
        <v>170176</v>
      </c>
      <c r="I750" s="2436">
        <v>70023</v>
      </c>
      <c r="J750" s="2446">
        <v>0.43818052113839451</v>
      </c>
      <c r="K750" s="2436">
        <v>74567.808365247431</v>
      </c>
      <c r="L750" s="2436">
        <v>70023</v>
      </c>
      <c r="M750" s="2266">
        <v>599</v>
      </c>
    </row>
    <row r="751" spans="1:13" ht="15">
      <c r="A751" s="2266" t="s">
        <v>4133</v>
      </c>
      <c r="B751" s="1694" t="str">
        <f>CONCATENATE(LEFT(RIGHT(CONCATENATE("000",IFAData_TEA!A751),6),3),"-",(RIGHT(RIGHT(CONCATENATE("000",IFAData_TEA!A751),6),3)))</f>
        <v>071-908</v>
      </c>
      <c r="C751" s="2266" t="s">
        <v>661</v>
      </c>
      <c r="D751" s="2266">
        <v>8</v>
      </c>
      <c r="E751" s="2266">
        <v>2399</v>
      </c>
      <c r="F751" s="2266" t="s">
        <v>5346</v>
      </c>
      <c r="G751" s="2266" t="s">
        <v>5346</v>
      </c>
      <c r="H751" s="2436">
        <v>317310</v>
      </c>
      <c r="I751" s="2436">
        <v>151000</v>
      </c>
      <c r="J751" s="2446">
        <v>0.50709428259591971</v>
      </c>
      <c r="K751" s="2436">
        <v>160906.08681051127</v>
      </c>
      <c r="L751" s="2436">
        <v>151000</v>
      </c>
      <c r="M751" s="2266">
        <v>599</v>
      </c>
    </row>
    <row r="752" spans="1:13" ht="15">
      <c r="A752" s="2266" t="s">
        <v>4133</v>
      </c>
      <c r="B752" s="1694" t="str">
        <f>CONCATENATE(LEFT(RIGHT(CONCATENATE("000",IFAData_TEA!A752),6),3),"-",(RIGHT(RIGHT(CONCATENATE("000",IFAData_TEA!A752),6),3)))</f>
        <v>071-908</v>
      </c>
      <c r="C752" s="2266" t="s">
        <v>661</v>
      </c>
      <c r="D752" s="2266">
        <v>3</v>
      </c>
      <c r="E752" s="2266">
        <v>2395</v>
      </c>
      <c r="F752" s="2266" t="s">
        <v>5342</v>
      </c>
      <c r="G752" s="2266" t="s">
        <v>5340</v>
      </c>
      <c r="H752" s="2436">
        <v>37010</v>
      </c>
      <c r="I752" s="2436">
        <v>18911</v>
      </c>
      <c r="J752" s="2446">
        <v>0.67783791533746729</v>
      </c>
      <c r="K752" s="2436">
        <v>25086.781246639664</v>
      </c>
      <c r="L752" s="2436">
        <v>18911</v>
      </c>
      <c r="M752" s="2266">
        <v>599</v>
      </c>
    </row>
    <row r="753" spans="1:13" ht="15">
      <c r="A753" s="2266" t="s">
        <v>4133</v>
      </c>
      <c r="B753" s="1694" t="str">
        <f>CONCATENATE(LEFT(RIGHT(CONCATENATE("000",IFAData_TEA!A753),6),3),"-",(RIGHT(RIGHT(CONCATENATE("000",IFAData_TEA!A753),6),3)))</f>
        <v>071-908</v>
      </c>
      <c r="C753" s="2266" t="s">
        <v>661</v>
      </c>
      <c r="D753" s="2266">
        <v>1</v>
      </c>
      <c r="E753" s="2266">
        <v>2396</v>
      </c>
      <c r="F753" s="2266" t="s">
        <v>5339</v>
      </c>
      <c r="G753" s="2266" t="s">
        <v>5340</v>
      </c>
      <c r="H753" s="2436">
        <v>44910</v>
      </c>
      <c r="I753" s="2436">
        <v>19030</v>
      </c>
      <c r="J753" s="2446">
        <v>0.631407810478118</v>
      </c>
      <c r="K753" s="2436">
        <v>28356.524768572279</v>
      </c>
      <c r="L753" s="2436">
        <v>19030</v>
      </c>
      <c r="M753" s="2266">
        <v>599</v>
      </c>
    </row>
    <row r="754" spans="1:13" ht="15">
      <c r="A754" s="2266" t="s">
        <v>4133</v>
      </c>
      <c r="B754" s="1694" t="str">
        <f>CONCATENATE(LEFT(RIGHT(CONCATENATE("000",IFAData_TEA!A754),6),3),"-",(RIGHT(RIGHT(CONCATENATE("000",IFAData_TEA!A754),6),3)))</f>
        <v>071-908</v>
      </c>
      <c r="C754" s="2266" t="s">
        <v>661</v>
      </c>
      <c r="D754" s="2266">
        <v>4</v>
      </c>
      <c r="E754" s="2266">
        <v>2397</v>
      </c>
      <c r="F754" s="2266" t="s">
        <v>5343</v>
      </c>
      <c r="G754" s="2266" t="s">
        <v>5340</v>
      </c>
      <c r="H754" s="2436">
        <v>170176</v>
      </c>
      <c r="I754" s="2436">
        <v>89781</v>
      </c>
      <c r="J754" s="2446">
        <v>0.56181947886160544</v>
      </c>
      <c r="K754" s="2436">
        <v>95608.191634752569</v>
      </c>
      <c r="L754" s="2436">
        <v>89781</v>
      </c>
      <c r="M754" s="2266">
        <v>599</v>
      </c>
    </row>
    <row r="755" spans="1:13" ht="15">
      <c r="A755" s="2266" t="s">
        <v>4133</v>
      </c>
      <c r="B755" s="1694" t="str">
        <f>CONCATENATE(LEFT(RIGHT(CONCATENATE("000",IFAData_TEA!A755),6),3),"-",(RIGHT(RIGHT(CONCATENATE("000",IFAData_TEA!A755),6),3)))</f>
        <v>071-908</v>
      </c>
      <c r="C755" s="2266" t="s">
        <v>661</v>
      </c>
      <c r="D755" s="2266">
        <v>1</v>
      </c>
      <c r="E755" s="2266">
        <v>2396</v>
      </c>
      <c r="F755" s="2266" t="s">
        <v>5339</v>
      </c>
      <c r="G755" s="2266" t="s">
        <v>5341</v>
      </c>
      <c r="H755" s="2436">
        <v>44910</v>
      </c>
      <c r="I755" s="2436">
        <v>11109</v>
      </c>
      <c r="J755" s="2446">
        <v>0.36859218952188194</v>
      </c>
      <c r="K755" s="2436">
        <v>16553.475231427718</v>
      </c>
      <c r="L755" s="2436">
        <v>11109</v>
      </c>
      <c r="M755" s="2266">
        <v>599</v>
      </c>
    </row>
    <row r="756" spans="1:13" ht="15">
      <c r="A756" s="2266" t="s">
        <v>4133</v>
      </c>
      <c r="B756" s="1694" t="str">
        <f>CONCATENATE(LEFT(RIGHT(CONCATENATE("000",IFAData_TEA!A756),6),3),"-",(RIGHT(RIGHT(CONCATENATE("000",IFAData_TEA!A756),6),3)))</f>
        <v>071-908</v>
      </c>
      <c r="C756" s="2266" t="s">
        <v>661</v>
      </c>
      <c r="D756" s="2266">
        <v>4</v>
      </c>
      <c r="E756" s="2266">
        <v>2397</v>
      </c>
      <c r="F756" s="2266" t="s">
        <v>5343</v>
      </c>
      <c r="G756" s="2266" t="s">
        <v>5343</v>
      </c>
      <c r="H756" s="2436">
        <v>170176</v>
      </c>
      <c r="I756" s="2436">
        <v>0</v>
      </c>
      <c r="J756" s="2446">
        <v>0</v>
      </c>
      <c r="K756" s="2436">
        <v>0</v>
      </c>
      <c r="L756" s="2436">
        <v>0</v>
      </c>
      <c r="M756" s="2266">
        <v>599</v>
      </c>
    </row>
    <row r="757" spans="1:13" ht="15">
      <c r="A757" s="2266" t="s">
        <v>4133</v>
      </c>
      <c r="B757" s="1694" t="str">
        <f>CONCATENATE(LEFT(RIGHT(CONCATENATE("000",IFAData_TEA!A757),6),3),"-",(RIGHT(RIGHT(CONCATENATE("000",IFAData_TEA!A757),6),3)))</f>
        <v>071-908</v>
      </c>
      <c r="C757" s="2266" t="s">
        <v>661</v>
      </c>
      <c r="D757" s="2266">
        <v>3</v>
      </c>
      <c r="E757" s="2266">
        <v>2395</v>
      </c>
      <c r="F757" s="2266" t="s">
        <v>5342</v>
      </c>
      <c r="G757" s="2266" t="s">
        <v>5342</v>
      </c>
      <c r="H757" s="2436">
        <v>37010</v>
      </c>
      <c r="I757" s="2436">
        <v>0</v>
      </c>
      <c r="J757" s="2446">
        <v>0</v>
      </c>
      <c r="K757" s="2436">
        <v>0</v>
      </c>
      <c r="L757" s="2436">
        <v>0</v>
      </c>
      <c r="M757" s="2266">
        <v>599</v>
      </c>
    </row>
    <row r="758" spans="1:13" ht="15">
      <c r="A758" s="2266" t="s">
        <v>4133</v>
      </c>
      <c r="B758" s="1694" t="str">
        <f>CONCATENATE(LEFT(RIGHT(CONCATENATE("000",IFAData_TEA!A758),6),3),"-",(RIGHT(RIGHT(CONCATENATE("000",IFAData_TEA!A758),6),3)))</f>
        <v>071-908</v>
      </c>
      <c r="C758" s="2266" t="s">
        <v>661</v>
      </c>
      <c r="D758" s="2266">
        <v>5</v>
      </c>
      <c r="E758" s="2266">
        <v>2398</v>
      </c>
      <c r="F758" s="2266" t="s">
        <v>5344</v>
      </c>
      <c r="G758" s="2266" t="s">
        <v>5345</v>
      </c>
      <c r="H758" s="2436">
        <v>229390</v>
      </c>
      <c r="I758" s="2436">
        <v>210541</v>
      </c>
      <c r="J758" s="2446">
        <v>1</v>
      </c>
      <c r="K758" s="2436">
        <v>229390</v>
      </c>
      <c r="L758" s="2436">
        <v>210541</v>
      </c>
      <c r="M758" s="2266">
        <v>599</v>
      </c>
    </row>
    <row r="759" spans="1:13" ht="15">
      <c r="A759" s="2266" t="s">
        <v>4134</v>
      </c>
      <c r="B759" s="1694" t="str">
        <f>CONCATENATE(LEFT(RIGHT(CONCATENATE("000",IFAData_TEA!A759),6),3),"-",(RIGHT(RIGHT(CONCATENATE("000",IFAData_TEA!A759),6),3)))</f>
        <v>071-909</v>
      </c>
      <c r="C759" s="2266" t="s">
        <v>2204</v>
      </c>
      <c r="D759" s="2266">
        <v>5</v>
      </c>
      <c r="E759" s="2266">
        <v>2348</v>
      </c>
      <c r="F759" s="2266" t="s">
        <v>5355</v>
      </c>
      <c r="G759" s="2266" t="s">
        <v>5357</v>
      </c>
      <c r="H759" s="2436">
        <v>2358164</v>
      </c>
      <c r="I759" s="2436">
        <v>480873</v>
      </c>
      <c r="J759" s="2446">
        <v>0.22683009665231113</v>
      </c>
      <c r="K759" s="2436">
        <v>534902.56804200064</v>
      </c>
      <c r="L759" s="2436">
        <v>480873</v>
      </c>
      <c r="M759" s="2266">
        <v>599</v>
      </c>
    </row>
    <row r="760" spans="1:13" ht="15">
      <c r="A760" s="2266" t="s">
        <v>4134</v>
      </c>
      <c r="B760" s="1694" t="str">
        <f>CONCATENATE(LEFT(RIGHT(CONCATENATE("000",IFAData_TEA!A760),6),3),"-",(RIGHT(RIGHT(CONCATENATE("000",IFAData_TEA!A760),6),3)))</f>
        <v>071-909</v>
      </c>
      <c r="C760" s="2266" t="s">
        <v>2204</v>
      </c>
      <c r="D760" s="2266">
        <v>2</v>
      </c>
      <c r="E760" s="2266">
        <v>2346</v>
      </c>
      <c r="F760" s="2266" t="s">
        <v>5348</v>
      </c>
      <c r="G760" s="2266" t="s">
        <v>5349</v>
      </c>
      <c r="H760" s="2436">
        <v>1524945</v>
      </c>
      <c r="I760" s="2436">
        <v>962615</v>
      </c>
      <c r="J760" s="2446">
        <v>0.63239028107621609</v>
      </c>
      <c r="K760" s="2436">
        <v>964360.39717577037</v>
      </c>
      <c r="L760" s="2436">
        <v>962615</v>
      </c>
      <c r="M760" s="2266">
        <v>599</v>
      </c>
    </row>
    <row r="761" spans="1:13" ht="15">
      <c r="A761" s="2266" t="s">
        <v>4134</v>
      </c>
      <c r="B761" s="1694" t="str">
        <f>CONCATENATE(LEFT(RIGHT(CONCATENATE("000",IFAData_TEA!A761),6),3),"-",(RIGHT(RIGHT(CONCATENATE("000",IFAData_TEA!A761),6),3)))</f>
        <v>071-909</v>
      </c>
      <c r="C761" s="2266" t="s">
        <v>2204</v>
      </c>
      <c r="D761" s="2266">
        <v>4</v>
      </c>
      <c r="E761" s="2266">
        <v>2347</v>
      </c>
      <c r="F761" s="2266" t="s">
        <v>5352</v>
      </c>
      <c r="G761" s="2266" t="s">
        <v>5351</v>
      </c>
      <c r="H761" s="2436">
        <v>1767522</v>
      </c>
      <c r="I761" s="2436">
        <v>442052</v>
      </c>
      <c r="J761" s="2446">
        <v>0.23853198137942683</v>
      </c>
      <c r="K761" s="2436">
        <v>421610.52479172725</v>
      </c>
      <c r="L761" s="2436">
        <v>421610.52479172725</v>
      </c>
      <c r="M761" s="2266">
        <v>599</v>
      </c>
    </row>
    <row r="762" spans="1:13" ht="15">
      <c r="A762" s="2266" t="s">
        <v>4134</v>
      </c>
      <c r="B762" s="1694" t="str">
        <f>CONCATENATE(LEFT(RIGHT(CONCATENATE("000",IFAData_TEA!A762),6),3),"-",(RIGHT(RIGHT(CONCATENATE("000",IFAData_TEA!A762),6),3)))</f>
        <v>071-909</v>
      </c>
      <c r="C762" s="2266" t="s">
        <v>2204</v>
      </c>
      <c r="D762" s="2266">
        <v>5</v>
      </c>
      <c r="E762" s="2266">
        <v>2348</v>
      </c>
      <c r="F762" s="2266" t="s">
        <v>5355</v>
      </c>
      <c r="G762" s="2266" t="s">
        <v>5350</v>
      </c>
      <c r="H762" s="2436">
        <v>2358164</v>
      </c>
      <c r="I762" s="2436">
        <v>1479972</v>
      </c>
      <c r="J762" s="2446">
        <v>0.69810987891338083</v>
      </c>
      <c r="K762" s="2436">
        <v>1646257.5844978937</v>
      </c>
      <c r="L762" s="2436">
        <v>1479972</v>
      </c>
      <c r="M762" s="2266">
        <v>599</v>
      </c>
    </row>
    <row r="763" spans="1:13" ht="15">
      <c r="A763" s="2266" t="s">
        <v>4134</v>
      </c>
      <c r="B763" s="1694" t="str">
        <f>CONCATENATE(LEFT(RIGHT(CONCATENATE("000",IFAData_TEA!A763),6),3),"-",(RIGHT(RIGHT(CONCATENATE("000",IFAData_TEA!A763),6),3)))</f>
        <v>071-909</v>
      </c>
      <c r="C763" s="2266" t="s">
        <v>2204</v>
      </c>
      <c r="D763" s="2266">
        <v>4</v>
      </c>
      <c r="E763" s="2266">
        <v>2349</v>
      </c>
      <c r="F763" s="2266" t="s">
        <v>5354</v>
      </c>
      <c r="G763" s="2266" t="s">
        <v>5350</v>
      </c>
      <c r="H763" s="2436">
        <v>3395093</v>
      </c>
      <c r="I763" s="2436">
        <v>0</v>
      </c>
      <c r="J763" s="2446">
        <v>0</v>
      </c>
      <c r="K763" s="2436">
        <v>0</v>
      </c>
      <c r="L763" s="2436">
        <v>0</v>
      </c>
      <c r="M763" s="2266">
        <v>599</v>
      </c>
    </row>
    <row r="764" spans="1:13" ht="15">
      <c r="A764" s="2266" t="s">
        <v>4134</v>
      </c>
      <c r="B764" s="1694" t="str">
        <f>CONCATENATE(LEFT(RIGHT(CONCATENATE("000",IFAData_TEA!A764),6),3),"-",(RIGHT(RIGHT(CONCATENATE("000",IFAData_TEA!A764),6),3)))</f>
        <v>071-909</v>
      </c>
      <c r="C764" s="2266" t="s">
        <v>2204</v>
      </c>
      <c r="D764" s="2266">
        <v>2</v>
      </c>
      <c r="E764" s="2266">
        <v>2346</v>
      </c>
      <c r="F764" s="2266" t="s">
        <v>5348</v>
      </c>
      <c r="G764" s="2266" t="s">
        <v>5350</v>
      </c>
      <c r="H764" s="2436">
        <v>1524945</v>
      </c>
      <c r="I764" s="2436">
        <v>130004</v>
      </c>
      <c r="J764" s="2446">
        <v>8.5406175990434804E-2</v>
      </c>
      <c r="K764" s="2436">
        <v>130239.7210457336</v>
      </c>
      <c r="L764" s="2436">
        <v>130004</v>
      </c>
      <c r="M764" s="2266">
        <v>599</v>
      </c>
    </row>
    <row r="765" spans="1:13" ht="15">
      <c r="A765" s="2266" t="s">
        <v>4134</v>
      </c>
      <c r="B765" s="1694" t="str">
        <f>CONCATENATE(LEFT(RIGHT(CONCATENATE("000",IFAData_TEA!A765),6),3),"-",(RIGHT(RIGHT(CONCATENATE("000",IFAData_TEA!A765),6),3)))</f>
        <v>071-909</v>
      </c>
      <c r="C765" s="2266" t="s">
        <v>2204</v>
      </c>
      <c r="D765" s="2266">
        <v>2</v>
      </c>
      <c r="E765" s="2266">
        <v>2346</v>
      </c>
      <c r="F765" s="2266" t="s">
        <v>5348</v>
      </c>
      <c r="G765" s="2266" t="s">
        <v>5348</v>
      </c>
      <c r="H765" s="2436">
        <v>1524945</v>
      </c>
      <c r="I765" s="2436">
        <v>0</v>
      </c>
      <c r="J765" s="2446">
        <v>0</v>
      </c>
      <c r="K765" s="2436">
        <v>0</v>
      </c>
      <c r="L765" s="2436">
        <v>0</v>
      </c>
      <c r="M765" s="2266">
        <v>599</v>
      </c>
    </row>
    <row r="766" spans="1:13" ht="15">
      <c r="A766" s="2266" t="s">
        <v>4134</v>
      </c>
      <c r="B766" s="1694" t="str">
        <f>CONCATENATE(LEFT(RIGHT(CONCATENATE("000",IFAData_TEA!A766),6),3),"-",(RIGHT(RIGHT(CONCATENATE("000",IFAData_TEA!A766),6),3)))</f>
        <v>071-909</v>
      </c>
      <c r="C766" s="2266" t="s">
        <v>2204</v>
      </c>
      <c r="D766" s="2266">
        <v>4</v>
      </c>
      <c r="E766" s="2266">
        <v>2347</v>
      </c>
      <c r="F766" s="2266" t="s">
        <v>5352</v>
      </c>
      <c r="G766" s="2266" t="s">
        <v>5349</v>
      </c>
      <c r="H766" s="2436">
        <v>1767522</v>
      </c>
      <c r="I766" s="2436">
        <v>1245115</v>
      </c>
      <c r="J766" s="2446">
        <v>0.6718660881417684</v>
      </c>
      <c r="K766" s="2436">
        <v>1187538.0918445147</v>
      </c>
      <c r="L766" s="2436">
        <v>1187538.0918445147</v>
      </c>
      <c r="M766" s="2266">
        <v>599</v>
      </c>
    </row>
    <row r="767" spans="1:13" ht="15">
      <c r="A767" s="2266" t="s">
        <v>4134</v>
      </c>
      <c r="B767" s="1694" t="str">
        <f>CONCATENATE(LEFT(RIGHT(CONCATENATE("000",IFAData_TEA!A767),6),3),"-",(RIGHT(RIGHT(CONCATENATE("000",IFAData_TEA!A767),6),3)))</f>
        <v>071-909</v>
      </c>
      <c r="C767" s="2266" t="s">
        <v>2204</v>
      </c>
      <c r="D767" s="2266">
        <v>5</v>
      </c>
      <c r="E767" s="2266">
        <v>2348</v>
      </c>
      <c r="F767" s="2266" t="s">
        <v>5355</v>
      </c>
      <c r="G767" s="2266" t="s">
        <v>5356</v>
      </c>
      <c r="H767" s="2436">
        <v>2358164</v>
      </c>
      <c r="I767" s="2436">
        <v>159125</v>
      </c>
      <c r="J767" s="2446">
        <v>7.5060024434308037E-2</v>
      </c>
      <c r="K767" s="2436">
        <v>177003.84746010558</v>
      </c>
      <c r="L767" s="2436">
        <v>159125</v>
      </c>
      <c r="M767" s="2266">
        <v>599</v>
      </c>
    </row>
    <row r="768" spans="1:13" ht="15">
      <c r="A768" s="2266" t="s">
        <v>4134</v>
      </c>
      <c r="B768" s="1694" t="str">
        <f>CONCATENATE(LEFT(RIGHT(CONCATENATE("000",IFAData_TEA!A768),6),3),"-",(RIGHT(RIGHT(CONCATENATE("000",IFAData_TEA!A768),6),3)))</f>
        <v>071-909</v>
      </c>
      <c r="C768" s="2266" t="s">
        <v>2204</v>
      </c>
      <c r="D768" s="2266">
        <v>4</v>
      </c>
      <c r="E768" s="2266">
        <v>2347</v>
      </c>
      <c r="F768" s="2266" t="s">
        <v>5352</v>
      </c>
      <c r="G768" s="2266" t="s">
        <v>5353</v>
      </c>
      <c r="H768" s="2436">
        <v>1767522</v>
      </c>
      <c r="I768" s="2436">
        <v>57349</v>
      </c>
      <c r="J768" s="2446">
        <v>3.0945614090941223E-2</v>
      </c>
      <c r="K768" s="2436">
        <v>54697.053709248612</v>
      </c>
      <c r="L768" s="2436">
        <v>54697.053709248612</v>
      </c>
      <c r="M768" s="2266">
        <v>599</v>
      </c>
    </row>
    <row r="769" spans="1:13" ht="15">
      <c r="A769" s="2266" t="s">
        <v>4134</v>
      </c>
      <c r="B769" s="1694" t="str">
        <f>CONCATENATE(LEFT(RIGHT(CONCATENATE("000",IFAData_TEA!A769),6),3),"-",(RIGHT(RIGHT(CONCATENATE("000",IFAData_TEA!A769),6),3)))</f>
        <v>071-909</v>
      </c>
      <c r="C769" s="2266" t="s">
        <v>2204</v>
      </c>
      <c r="D769" s="2266">
        <v>5</v>
      </c>
      <c r="E769" s="2266">
        <v>2348</v>
      </c>
      <c r="F769" s="2266" t="s">
        <v>5355</v>
      </c>
      <c r="G769" s="2266" t="s">
        <v>5355</v>
      </c>
      <c r="H769" s="2436">
        <v>2358164</v>
      </c>
      <c r="I769" s="2436">
        <v>0</v>
      </c>
      <c r="J769" s="2446">
        <v>0</v>
      </c>
      <c r="K769" s="2436">
        <v>0</v>
      </c>
      <c r="L769" s="2436">
        <v>0</v>
      </c>
      <c r="M769" s="2266">
        <v>599</v>
      </c>
    </row>
    <row r="770" spans="1:13" ht="15">
      <c r="A770" s="2266" t="s">
        <v>4134</v>
      </c>
      <c r="B770" s="1694" t="str">
        <f>CONCATENATE(LEFT(RIGHT(CONCATENATE("000",IFAData_TEA!A770),6),3),"-",(RIGHT(RIGHT(CONCATENATE("000",IFAData_TEA!A770),6),3)))</f>
        <v>071-909</v>
      </c>
      <c r="C770" s="2266" t="s">
        <v>2204</v>
      </c>
      <c r="D770" s="2266">
        <v>4</v>
      </c>
      <c r="E770" s="2266">
        <v>2347</v>
      </c>
      <c r="F770" s="2266" t="s">
        <v>5352</v>
      </c>
      <c r="G770" s="2266" t="s">
        <v>5352</v>
      </c>
      <c r="H770" s="2436">
        <v>1767522</v>
      </c>
      <c r="I770" s="2436">
        <v>0</v>
      </c>
      <c r="J770" s="2446">
        <v>0</v>
      </c>
      <c r="K770" s="2436">
        <v>0</v>
      </c>
      <c r="L770" s="2436">
        <v>0</v>
      </c>
      <c r="M770" s="2266">
        <v>599</v>
      </c>
    </row>
    <row r="771" spans="1:13" ht="15">
      <c r="A771" s="2266" t="s">
        <v>4134</v>
      </c>
      <c r="B771" s="1694" t="str">
        <f>CONCATENATE(LEFT(RIGHT(CONCATENATE("000",IFAData_TEA!A771),6),3),"-",(RIGHT(RIGHT(CONCATENATE("000",IFAData_TEA!A771),6),3)))</f>
        <v>071-909</v>
      </c>
      <c r="C771" s="2266" t="s">
        <v>2204</v>
      </c>
      <c r="D771" s="2266">
        <v>4</v>
      </c>
      <c r="E771" s="2266">
        <v>2349</v>
      </c>
      <c r="F771" s="2266" t="s">
        <v>5354</v>
      </c>
      <c r="G771" s="2266" t="s">
        <v>6969</v>
      </c>
      <c r="H771" s="2436">
        <v>3395093</v>
      </c>
      <c r="I771" s="2436">
        <v>168733</v>
      </c>
      <c r="J771" s="2446">
        <v>5.0339944466836581E-2</v>
      </c>
      <c r="K771" s="2436">
        <v>170908.79307974561</v>
      </c>
      <c r="L771" s="2436">
        <v>168733</v>
      </c>
      <c r="M771" s="2266">
        <v>599</v>
      </c>
    </row>
    <row r="772" spans="1:13" ht="15">
      <c r="A772" s="2266" t="s">
        <v>4134</v>
      </c>
      <c r="B772" s="1694" t="str">
        <f>CONCATENATE(LEFT(RIGHT(CONCATENATE("000",IFAData_TEA!A772),6),3),"-",(RIGHT(RIGHT(CONCATENATE("000",IFAData_TEA!A772),6),3)))</f>
        <v>071-909</v>
      </c>
      <c r="C772" s="2266" t="s">
        <v>2204</v>
      </c>
      <c r="D772" s="2266">
        <v>2</v>
      </c>
      <c r="E772" s="2266">
        <v>2346</v>
      </c>
      <c r="F772" s="2266" t="s">
        <v>5348</v>
      </c>
      <c r="G772" s="2266" t="s">
        <v>5351</v>
      </c>
      <c r="H772" s="2436">
        <v>1524945</v>
      </c>
      <c r="I772" s="2436">
        <v>331141</v>
      </c>
      <c r="J772" s="2446">
        <v>0.21754320269875213</v>
      </c>
      <c r="K772" s="2436">
        <v>331741.41923944856</v>
      </c>
      <c r="L772" s="2436">
        <v>331141</v>
      </c>
      <c r="M772" s="2266">
        <v>599</v>
      </c>
    </row>
    <row r="773" spans="1:13" ht="15">
      <c r="A773" s="2266" t="s">
        <v>4134</v>
      </c>
      <c r="B773" s="1694" t="str">
        <f>CONCATENATE(LEFT(RIGHT(CONCATENATE("000",IFAData_TEA!A773),6),3),"-",(RIGHT(RIGHT(CONCATENATE("000",IFAData_TEA!A773),6),3)))</f>
        <v>071-909</v>
      </c>
      <c r="C773" s="2266" t="s">
        <v>2204</v>
      </c>
      <c r="D773" s="2266">
        <v>4</v>
      </c>
      <c r="E773" s="2266">
        <v>2347</v>
      </c>
      <c r="F773" s="2266" t="s">
        <v>5352</v>
      </c>
      <c r="G773" s="2266" t="s">
        <v>6969</v>
      </c>
      <c r="H773" s="2436">
        <v>1767522</v>
      </c>
      <c r="I773" s="2436">
        <v>108703</v>
      </c>
      <c r="J773" s="2446">
        <v>5.8656316387863498E-2</v>
      </c>
      <c r="K773" s="2436">
        <v>103676.32965450926</v>
      </c>
      <c r="L773" s="2436">
        <v>103676.32965450926</v>
      </c>
      <c r="M773" s="2266">
        <v>599</v>
      </c>
    </row>
    <row r="774" spans="1:13" ht="15">
      <c r="A774" s="2266" t="s">
        <v>4134</v>
      </c>
      <c r="B774" s="1694" t="str">
        <f>CONCATENATE(LEFT(RIGHT(CONCATENATE("000",IFAData_TEA!A774),6),3),"-",(RIGHT(RIGHT(CONCATENATE("000",IFAData_TEA!A774),6),3)))</f>
        <v>071-909</v>
      </c>
      <c r="C774" s="2266" t="s">
        <v>2204</v>
      </c>
      <c r="D774" s="2266">
        <v>8</v>
      </c>
      <c r="E774" s="2266">
        <v>2350</v>
      </c>
      <c r="F774" s="2266" t="s">
        <v>5358</v>
      </c>
      <c r="G774" s="2266" t="s">
        <v>5359</v>
      </c>
      <c r="H774" s="2436">
        <v>4042418</v>
      </c>
      <c r="I774" s="2436">
        <v>1689710</v>
      </c>
      <c r="J774" s="2446">
        <v>0.48106800622022344</v>
      </c>
      <c r="K774" s="2436">
        <v>1944677.9675687433</v>
      </c>
      <c r="L774" s="2436">
        <v>1689710</v>
      </c>
      <c r="M774" s="2266">
        <v>599</v>
      </c>
    </row>
    <row r="775" spans="1:13" ht="15">
      <c r="A775" s="2266" t="s">
        <v>4134</v>
      </c>
      <c r="B775" s="1694" t="str">
        <f>CONCATENATE(LEFT(RIGHT(CONCATENATE("000",IFAData_TEA!A775),6),3),"-",(RIGHT(RIGHT(CONCATENATE("000",IFAData_TEA!A775),6),3)))</f>
        <v>071-909</v>
      </c>
      <c r="C775" s="2266" t="s">
        <v>2204</v>
      </c>
      <c r="D775" s="2266">
        <v>4</v>
      </c>
      <c r="E775" s="2266">
        <v>2349</v>
      </c>
      <c r="F775" s="2266" t="s">
        <v>5354</v>
      </c>
      <c r="G775" s="2266" t="s">
        <v>5349</v>
      </c>
      <c r="H775" s="2436">
        <v>3395093</v>
      </c>
      <c r="I775" s="2436">
        <v>2368405</v>
      </c>
      <c r="J775" s="2446">
        <v>0.70659193029803358</v>
      </c>
      <c r="K775" s="2436">
        <v>2398945.3164113415</v>
      </c>
      <c r="L775" s="2436">
        <v>2368405</v>
      </c>
      <c r="M775" s="2266">
        <v>599</v>
      </c>
    </row>
    <row r="776" spans="1:13" ht="15">
      <c r="A776" s="2266" t="s">
        <v>4134</v>
      </c>
      <c r="B776" s="1694" t="str">
        <f>CONCATENATE(LEFT(RIGHT(CONCATENATE("000",IFAData_TEA!A776),6),3),"-",(RIGHT(RIGHT(CONCATENATE("000",IFAData_TEA!A776),6),3)))</f>
        <v>071-909</v>
      </c>
      <c r="C776" s="2266" t="s">
        <v>2204</v>
      </c>
      <c r="D776" s="2266">
        <v>2</v>
      </c>
      <c r="E776" s="2266">
        <v>2346</v>
      </c>
      <c r="F776" s="2266" t="s">
        <v>5348</v>
      </c>
      <c r="G776" s="2266" t="s">
        <v>6969</v>
      </c>
      <c r="H776" s="2436">
        <v>1524945</v>
      </c>
      <c r="I776" s="2436">
        <v>98425</v>
      </c>
      <c r="J776" s="2446">
        <v>6.4660340234596977E-2</v>
      </c>
      <c r="K776" s="2436">
        <v>98603.462539047483</v>
      </c>
      <c r="L776" s="2436">
        <v>98425</v>
      </c>
      <c r="M776" s="2266">
        <v>599</v>
      </c>
    </row>
    <row r="777" spans="1:13" ht="15">
      <c r="A777" s="2266" t="s">
        <v>4134</v>
      </c>
      <c r="B777" s="1694" t="str">
        <f>CONCATENATE(LEFT(RIGHT(CONCATENATE("000",IFAData_TEA!A777),6),3),"-",(RIGHT(RIGHT(CONCATENATE("000",IFAData_TEA!A777),6),3)))</f>
        <v>071-909</v>
      </c>
      <c r="C777" s="2266" t="s">
        <v>2204</v>
      </c>
      <c r="D777" s="2266">
        <v>4</v>
      </c>
      <c r="E777" s="2266">
        <v>2349</v>
      </c>
      <c r="F777" s="2266" t="s">
        <v>5354</v>
      </c>
      <c r="G777" s="2266" t="s">
        <v>5351</v>
      </c>
      <c r="H777" s="2436">
        <v>3395093</v>
      </c>
      <c r="I777" s="2436">
        <v>814733</v>
      </c>
      <c r="J777" s="2446">
        <v>0.24306812523512988</v>
      </c>
      <c r="K777" s="2436">
        <v>825238.89050891285</v>
      </c>
      <c r="L777" s="2436">
        <v>814733</v>
      </c>
      <c r="M777" s="2266">
        <v>599</v>
      </c>
    </row>
    <row r="778" spans="1:13" ht="15">
      <c r="A778" s="2266" t="s">
        <v>4134</v>
      </c>
      <c r="B778" s="1694" t="str">
        <f>CONCATENATE(LEFT(RIGHT(CONCATENATE("000",IFAData_TEA!A778),6),3),"-",(RIGHT(RIGHT(CONCATENATE("000",IFAData_TEA!A778),6),3)))</f>
        <v>071-909</v>
      </c>
      <c r="C778" s="2266" t="s">
        <v>2204</v>
      </c>
      <c r="D778" s="2266">
        <v>4</v>
      </c>
      <c r="E778" s="2266">
        <v>2349</v>
      </c>
      <c r="F778" s="2266" t="s">
        <v>5354</v>
      </c>
      <c r="G778" s="2266" t="s">
        <v>5354</v>
      </c>
      <c r="H778" s="2436">
        <v>3395093</v>
      </c>
      <c r="I778" s="2436">
        <v>0</v>
      </c>
      <c r="J778" s="2446">
        <v>0</v>
      </c>
      <c r="K778" s="2436">
        <v>0</v>
      </c>
      <c r="L778" s="2436">
        <v>0</v>
      </c>
      <c r="M778" s="2266">
        <v>599</v>
      </c>
    </row>
    <row r="779" spans="1:13" ht="15">
      <c r="A779" s="2266" t="s">
        <v>4134</v>
      </c>
      <c r="B779" s="1694" t="str">
        <f>CONCATENATE(LEFT(RIGHT(CONCATENATE("000",IFAData_TEA!A779),6),3),"-",(RIGHT(RIGHT(CONCATENATE("000",IFAData_TEA!A779),6),3)))</f>
        <v>071-909</v>
      </c>
      <c r="C779" s="2266" t="s">
        <v>2204</v>
      </c>
      <c r="D779" s="2266">
        <v>8</v>
      </c>
      <c r="E779" s="2266">
        <v>2350</v>
      </c>
      <c r="F779" s="2266" t="s">
        <v>5358</v>
      </c>
      <c r="G779" s="2266" t="s">
        <v>5358</v>
      </c>
      <c r="H779" s="2436">
        <v>4042418</v>
      </c>
      <c r="I779" s="2436">
        <v>1822704</v>
      </c>
      <c r="J779" s="2446">
        <v>0.5189319937797765</v>
      </c>
      <c r="K779" s="2436">
        <v>2097740.0324312565</v>
      </c>
      <c r="L779" s="2436">
        <v>1822704</v>
      </c>
      <c r="M779" s="2266">
        <v>599</v>
      </c>
    </row>
    <row r="780" spans="1:13" ht="15">
      <c r="A780" s="2266" t="s">
        <v>4135</v>
      </c>
      <c r="B780" s="1694" t="str">
        <f>CONCATENATE(LEFT(RIGHT(CONCATENATE("000",IFAData_TEA!A780),6),3),"-",(RIGHT(RIGHT(CONCATENATE("000",IFAData_TEA!A780),6),3)))</f>
        <v>072-903</v>
      </c>
      <c r="C780" s="2266" t="s">
        <v>2409</v>
      </c>
      <c r="D780" s="2266">
        <v>2</v>
      </c>
      <c r="E780" s="2266">
        <v>2383</v>
      </c>
      <c r="F780" s="2266" t="s">
        <v>5360</v>
      </c>
      <c r="G780" s="2266" t="s">
        <v>5360</v>
      </c>
      <c r="H780" s="2436">
        <v>583662</v>
      </c>
      <c r="I780" s="2436">
        <v>0</v>
      </c>
      <c r="J780" s="2446">
        <v>0</v>
      </c>
      <c r="K780" s="2436">
        <v>0</v>
      </c>
      <c r="L780" s="2436">
        <v>0</v>
      </c>
      <c r="M780" s="2266">
        <v>599</v>
      </c>
    </row>
    <row r="781" spans="1:13" ht="15">
      <c r="A781" s="2266" t="s">
        <v>4135</v>
      </c>
      <c r="B781" s="1694" t="str">
        <f>CONCATENATE(LEFT(RIGHT(CONCATENATE("000",IFAData_TEA!A781),6),3),"-",(RIGHT(RIGHT(CONCATENATE("000",IFAData_TEA!A781),6),3)))</f>
        <v>072-903</v>
      </c>
      <c r="C781" s="2266" t="s">
        <v>2409</v>
      </c>
      <c r="D781" s="2266">
        <v>2</v>
      </c>
      <c r="E781" s="2266">
        <v>2383</v>
      </c>
      <c r="F781" s="2266" t="s">
        <v>5360</v>
      </c>
      <c r="G781" s="2266" t="s">
        <v>5361</v>
      </c>
      <c r="H781" s="2436">
        <v>583662</v>
      </c>
      <c r="I781" s="2436">
        <v>0</v>
      </c>
      <c r="J781" s="2446">
        <v>0</v>
      </c>
      <c r="K781" s="2436">
        <v>0</v>
      </c>
      <c r="L781" s="2436">
        <v>0</v>
      </c>
      <c r="M781" s="2266">
        <v>599</v>
      </c>
    </row>
    <row r="782" spans="1:13" ht="15">
      <c r="A782" s="2266" t="s">
        <v>4135</v>
      </c>
      <c r="B782" s="1694" t="str">
        <f>CONCATENATE(LEFT(RIGHT(CONCATENATE("000",IFAData_TEA!A782),6),3),"-",(RIGHT(RIGHT(CONCATENATE("000",IFAData_TEA!A782),6),3)))</f>
        <v>072-903</v>
      </c>
      <c r="C782" s="2266" t="s">
        <v>2409</v>
      </c>
      <c r="D782" s="2266">
        <v>2</v>
      </c>
      <c r="E782" s="2266">
        <v>2383</v>
      </c>
      <c r="F782" s="2266" t="s">
        <v>5360</v>
      </c>
      <c r="G782" s="2266" t="s">
        <v>5362</v>
      </c>
      <c r="H782" s="2436">
        <v>583662</v>
      </c>
      <c r="I782" s="2436">
        <v>1412267</v>
      </c>
      <c r="J782" s="2446">
        <v>1</v>
      </c>
      <c r="K782" s="2436">
        <v>583662</v>
      </c>
      <c r="L782" s="2436">
        <v>583662</v>
      </c>
      <c r="M782" s="2266">
        <v>599</v>
      </c>
    </row>
    <row r="783" spans="1:13" ht="15">
      <c r="A783" s="2266" t="s">
        <v>4136</v>
      </c>
      <c r="B783" s="1694" t="str">
        <f>CONCATENATE(LEFT(RIGHT(CONCATENATE("000",IFAData_TEA!A783),6),3),"-",(RIGHT(RIGHT(CONCATENATE("000",IFAData_TEA!A783),6),3)))</f>
        <v>072-909</v>
      </c>
      <c r="C783" s="2266" t="s">
        <v>2827</v>
      </c>
      <c r="D783" s="2266">
        <v>5</v>
      </c>
      <c r="E783" s="2266">
        <v>2022</v>
      </c>
      <c r="F783" s="2266" t="s">
        <v>5363</v>
      </c>
      <c r="G783" s="2266" t="s">
        <v>5363</v>
      </c>
      <c r="H783" s="2436">
        <v>100000</v>
      </c>
      <c r="I783" s="2436">
        <v>0</v>
      </c>
      <c r="J783" s="2446">
        <v>0</v>
      </c>
      <c r="K783" s="2436">
        <v>0</v>
      </c>
      <c r="L783" s="2436">
        <v>0</v>
      </c>
      <c r="M783" s="2266">
        <v>599</v>
      </c>
    </row>
    <row r="784" spans="1:13" ht="15">
      <c r="A784" s="2266" t="s">
        <v>4136</v>
      </c>
      <c r="B784" s="1694" t="str">
        <f>CONCATENATE(LEFT(RIGHT(CONCATENATE("000",IFAData_TEA!A784),6),3),"-",(RIGHT(RIGHT(CONCATENATE("000",IFAData_TEA!A784),6),3)))</f>
        <v>072-909</v>
      </c>
      <c r="C784" s="2266" t="s">
        <v>2827</v>
      </c>
      <c r="D784" s="2266">
        <v>5</v>
      </c>
      <c r="E784" s="2266">
        <v>2022</v>
      </c>
      <c r="F784" s="2266" t="s">
        <v>5363</v>
      </c>
      <c r="G784" s="2266" t="s">
        <v>5364</v>
      </c>
      <c r="H784" s="2436">
        <v>100000</v>
      </c>
      <c r="I784" s="2436">
        <v>93786</v>
      </c>
      <c r="J784" s="2446">
        <v>1</v>
      </c>
      <c r="K784" s="2436">
        <v>100000</v>
      </c>
      <c r="L784" s="2436">
        <v>93786</v>
      </c>
      <c r="M784" s="2266">
        <v>599</v>
      </c>
    </row>
    <row r="785" spans="1:13" ht="15">
      <c r="A785" s="2266" t="s">
        <v>5365</v>
      </c>
      <c r="B785" s="1694" t="str">
        <f>CONCATENATE(LEFT(RIGHT(CONCATENATE("000",IFAData_TEA!A785),6),3),"-",(RIGHT(RIGHT(CONCATENATE("000",IFAData_TEA!A785),6),3)))</f>
        <v>073-903</v>
      </c>
      <c r="C785" s="2266" t="s">
        <v>2357</v>
      </c>
      <c r="D785" s="2266">
        <v>2</v>
      </c>
      <c r="E785" s="2266">
        <v>2068</v>
      </c>
      <c r="F785" s="2266" t="s">
        <v>5366</v>
      </c>
      <c r="G785" s="2266" t="s">
        <v>5366</v>
      </c>
      <c r="H785" s="2436">
        <v>386120</v>
      </c>
      <c r="I785" s="2436">
        <v>373765</v>
      </c>
      <c r="J785" s="2446">
        <v>1</v>
      </c>
      <c r="K785" s="2436">
        <v>386120</v>
      </c>
      <c r="L785" s="2436">
        <v>373765</v>
      </c>
      <c r="M785" s="2266">
        <v>199</v>
      </c>
    </row>
    <row r="786" spans="1:13" ht="15">
      <c r="A786" s="2266" t="s">
        <v>5367</v>
      </c>
      <c r="B786" s="1694" t="str">
        <f>CONCATENATE(LEFT(RIGHT(CONCATENATE("000",IFAData_TEA!A786),6),3),"-",(RIGHT(RIGHT(CONCATENATE("000",IFAData_TEA!A786),6),3)))</f>
        <v>073-904</v>
      </c>
      <c r="C786" s="2266" t="s">
        <v>1508</v>
      </c>
      <c r="D786" s="2266">
        <v>4</v>
      </c>
      <c r="E786" s="2266">
        <v>2448</v>
      </c>
      <c r="F786" s="2266" t="s">
        <v>5368</v>
      </c>
      <c r="G786" s="2266" t="s">
        <v>5369</v>
      </c>
      <c r="H786" s="2436">
        <v>100000</v>
      </c>
      <c r="I786" s="2436">
        <v>95808</v>
      </c>
      <c r="J786" s="2446">
        <v>1</v>
      </c>
      <c r="K786" s="2436">
        <v>100000</v>
      </c>
      <c r="L786" s="2436">
        <v>95808</v>
      </c>
      <c r="M786" s="2266">
        <v>199</v>
      </c>
    </row>
    <row r="787" spans="1:13" ht="15">
      <c r="A787" s="2266" t="s">
        <v>5367</v>
      </c>
      <c r="B787" s="1694" t="str">
        <f>CONCATENATE(LEFT(RIGHT(CONCATENATE("000",IFAData_TEA!A787),6),3),"-",(RIGHT(RIGHT(CONCATENATE("000",IFAData_TEA!A787),6),3)))</f>
        <v>073-904</v>
      </c>
      <c r="C787" s="2266" t="s">
        <v>1508</v>
      </c>
      <c r="D787" s="2266">
        <v>8</v>
      </c>
      <c r="E787" s="2266">
        <v>2447</v>
      </c>
      <c r="F787" s="2266" t="s">
        <v>5370</v>
      </c>
      <c r="G787" s="2266" t="s">
        <v>5370</v>
      </c>
      <c r="H787" s="2436">
        <v>91803</v>
      </c>
      <c r="I787" s="2436">
        <v>92310</v>
      </c>
      <c r="J787" s="2446">
        <v>1</v>
      </c>
      <c r="K787" s="2436">
        <v>91803</v>
      </c>
      <c r="L787" s="2436">
        <v>91803</v>
      </c>
      <c r="M787" s="2266">
        <v>199</v>
      </c>
    </row>
    <row r="788" spans="1:13" ht="15">
      <c r="A788" s="2266" t="s">
        <v>5367</v>
      </c>
      <c r="B788" s="1694" t="str">
        <f>CONCATENATE(LEFT(RIGHT(CONCATENATE("000",IFAData_TEA!A788),6),3),"-",(RIGHT(RIGHT(CONCATENATE("000",IFAData_TEA!A788),6),3)))</f>
        <v>073-904</v>
      </c>
      <c r="C788" s="2266" t="s">
        <v>1508</v>
      </c>
      <c r="D788" s="2266">
        <v>4</v>
      </c>
      <c r="E788" s="2266">
        <v>2448</v>
      </c>
      <c r="F788" s="2266" t="s">
        <v>5368</v>
      </c>
      <c r="G788" s="2266" t="s">
        <v>5368</v>
      </c>
      <c r="H788" s="2436">
        <v>100000</v>
      </c>
      <c r="I788" s="2436">
        <v>0</v>
      </c>
      <c r="J788" s="2446">
        <v>0</v>
      </c>
      <c r="K788" s="2436">
        <v>0</v>
      </c>
      <c r="L788" s="2436">
        <v>0</v>
      </c>
      <c r="M788" s="2266">
        <v>199</v>
      </c>
    </row>
    <row r="789" spans="1:13" ht="15">
      <c r="A789" s="2266" t="s">
        <v>4137</v>
      </c>
      <c r="B789" s="1694" t="str">
        <f>CONCATENATE(LEFT(RIGHT(CONCATENATE("000",IFAData_TEA!A789),6),3),"-",(RIGHT(RIGHT(CONCATENATE("000",IFAData_TEA!A789),6),3)))</f>
        <v>074-904</v>
      </c>
      <c r="C789" s="2266" t="s">
        <v>2495</v>
      </c>
      <c r="D789" s="2266">
        <v>5</v>
      </c>
      <c r="E789" s="2266">
        <v>1765</v>
      </c>
      <c r="F789" s="2266" t="s">
        <v>5371</v>
      </c>
      <c r="G789" s="2266" t="s">
        <v>5371</v>
      </c>
      <c r="H789" s="2436">
        <v>100000</v>
      </c>
      <c r="I789" s="2436">
        <v>0</v>
      </c>
      <c r="J789" s="2446">
        <v>0</v>
      </c>
      <c r="K789" s="2436">
        <v>0</v>
      </c>
      <c r="L789" s="2436">
        <v>0</v>
      </c>
      <c r="M789" s="2266">
        <v>599</v>
      </c>
    </row>
    <row r="790" spans="1:13" ht="15">
      <c r="A790" s="2266" t="s">
        <v>4137</v>
      </c>
      <c r="B790" s="1694" t="str">
        <f>CONCATENATE(LEFT(RIGHT(CONCATENATE("000",IFAData_TEA!A790),6),3),"-",(RIGHT(RIGHT(CONCATENATE("000",IFAData_TEA!A790),6),3)))</f>
        <v>074-904</v>
      </c>
      <c r="C790" s="2266" t="s">
        <v>2495</v>
      </c>
      <c r="D790" s="2266">
        <v>5</v>
      </c>
      <c r="E790" s="2266">
        <v>1765</v>
      </c>
      <c r="F790" s="2266" t="s">
        <v>5371</v>
      </c>
      <c r="G790" s="2266" t="s">
        <v>5372</v>
      </c>
      <c r="H790" s="2436">
        <v>100000</v>
      </c>
      <c r="I790" s="2436">
        <v>95550</v>
      </c>
      <c r="J790" s="2446">
        <v>1</v>
      </c>
      <c r="K790" s="2436">
        <v>100000</v>
      </c>
      <c r="L790" s="2436">
        <v>95550</v>
      </c>
      <c r="M790" s="2266">
        <v>599</v>
      </c>
    </row>
    <row r="791" spans="1:13" ht="15">
      <c r="A791" s="2266" t="s">
        <v>4138</v>
      </c>
      <c r="B791" s="1694" t="str">
        <f>CONCATENATE(LEFT(RIGHT(CONCATENATE("000",IFAData_TEA!A791),6),3),"-",(RIGHT(RIGHT(CONCATENATE("000",IFAData_TEA!A791),6),3)))</f>
        <v>074-905</v>
      </c>
      <c r="C791" s="2266" t="s">
        <v>1216</v>
      </c>
      <c r="D791" s="2266">
        <v>5</v>
      </c>
      <c r="E791" s="2266">
        <v>1784</v>
      </c>
      <c r="F791" s="2266" t="s">
        <v>5373</v>
      </c>
      <c r="G791" s="2266" t="s">
        <v>5374</v>
      </c>
      <c r="H791" s="2436">
        <v>110298</v>
      </c>
      <c r="I791" s="2436">
        <v>91561</v>
      </c>
      <c r="J791" s="2446">
        <v>1</v>
      </c>
      <c r="K791" s="2436">
        <v>110298</v>
      </c>
      <c r="L791" s="2436">
        <v>91561</v>
      </c>
      <c r="M791" s="2266">
        <v>599</v>
      </c>
    </row>
    <row r="792" spans="1:13" ht="15">
      <c r="A792" s="2266" t="s">
        <v>4138</v>
      </c>
      <c r="B792" s="1694" t="str">
        <f>CONCATENATE(LEFT(RIGHT(CONCATENATE("000",IFAData_TEA!A792),6),3),"-",(RIGHT(RIGHT(CONCATENATE("000",IFAData_TEA!A792),6),3)))</f>
        <v>074-905</v>
      </c>
      <c r="C792" s="2266" t="s">
        <v>1216</v>
      </c>
      <c r="D792" s="2266">
        <v>5</v>
      </c>
      <c r="E792" s="2266">
        <v>1784</v>
      </c>
      <c r="F792" s="2266" t="s">
        <v>5373</v>
      </c>
      <c r="G792" s="2266" t="s">
        <v>5373</v>
      </c>
      <c r="H792" s="2436">
        <v>110298</v>
      </c>
      <c r="I792" s="2436">
        <v>0</v>
      </c>
      <c r="J792" s="2446">
        <v>0</v>
      </c>
      <c r="K792" s="2436">
        <v>0</v>
      </c>
      <c r="L792" s="2436">
        <v>0</v>
      </c>
      <c r="M792" s="2266">
        <v>599</v>
      </c>
    </row>
    <row r="793" spans="1:13" ht="15">
      <c r="A793" s="2266" t="s">
        <v>4138</v>
      </c>
      <c r="B793" s="1694" t="str">
        <f>CONCATENATE(LEFT(RIGHT(CONCATENATE("000",IFAData_TEA!A793),6),3),"-",(RIGHT(RIGHT(CONCATENATE("000",IFAData_TEA!A793),6),3)))</f>
        <v>074-905</v>
      </c>
      <c r="C793" s="2266" t="s">
        <v>1216</v>
      </c>
      <c r="D793" s="2266">
        <v>6</v>
      </c>
      <c r="E793" s="2266">
        <v>1783</v>
      </c>
      <c r="F793" s="2266" t="s">
        <v>5375</v>
      </c>
      <c r="G793" s="2266" t="s">
        <v>5375</v>
      </c>
      <c r="H793" s="2436">
        <v>79936</v>
      </c>
      <c r="I793" s="2436">
        <v>0</v>
      </c>
      <c r="J793" s="2446">
        <v>0</v>
      </c>
      <c r="K793" s="2436">
        <v>0</v>
      </c>
      <c r="L793" s="2436">
        <v>0</v>
      </c>
      <c r="M793" s="2266">
        <v>599</v>
      </c>
    </row>
    <row r="794" spans="1:13" ht="15">
      <c r="A794" s="2266" t="s">
        <v>4138</v>
      </c>
      <c r="B794" s="1694" t="str">
        <f>CONCATENATE(LEFT(RIGHT(CONCATENATE("000",IFAData_TEA!A794),6),3),"-",(RIGHT(RIGHT(CONCATENATE("000",IFAData_TEA!A794),6),3)))</f>
        <v>074-905</v>
      </c>
      <c r="C794" s="2266" t="s">
        <v>1216</v>
      </c>
      <c r="D794" s="2266">
        <v>6</v>
      </c>
      <c r="E794" s="2266">
        <v>1783</v>
      </c>
      <c r="F794" s="2266" t="s">
        <v>5375</v>
      </c>
      <c r="G794" s="2266" t="s">
        <v>5374</v>
      </c>
      <c r="H794" s="2436">
        <v>79936</v>
      </c>
      <c r="I794" s="2436">
        <v>69089</v>
      </c>
      <c r="J794" s="2446">
        <v>1</v>
      </c>
      <c r="K794" s="2436">
        <v>79936</v>
      </c>
      <c r="L794" s="2436">
        <v>69089</v>
      </c>
      <c r="M794" s="2266">
        <v>599</v>
      </c>
    </row>
    <row r="795" spans="1:13" ht="15">
      <c r="A795" s="2266" t="s">
        <v>4139</v>
      </c>
      <c r="B795" s="1694" t="str">
        <f>CONCATENATE(LEFT(RIGHT(CONCATENATE("000",IFAData_TEA!A795),6),3),"-",(RIGHT(RIGHT(CONCATENATE("000",IFAData_TEA!A795),6),3)))</f>
        <v>074-907</v>
      </c>
      <c r="C795" s="2266" t="s">
        <v>2</v>
      </c>
      <c r="D795" s="2266">
        <v>9</v>
      </c>
      <c r="E795" s="2266">
        <v>1899</v>
      </c>
      <c r="F795" s="2266" t="s">
        <v>5376</v>
      </c>
      <c r="G795" s="2266" t="s">
        <v>5376</v>
      </c>
      <c r="H795" s="2436">
        <v>162500</v>
      </c>
      <c r="I795" s="2436">
        <v>397303</v>
      </c>
      <c r="J795" s="2446">
        <v>0.88029379832938204</v>
      </c>
      <c r="K795" s="2436">
        <v>143047.74222852458</v>
      </c>
      <c r="L795" s="2436">
        <v>143047.74222852458</v>
      </c>
      <c r="M795" s="2266">
        <v>599</v>
      </c>
    </row>
    <row r="796" spans="1:13" ht="15">
      <c r="A796" s="2266" t="s">
        <v>4139</v>
      </c>
      <c r="B796" s="1694" t="str">
        <f>CONCATENATE(LEFT(RIGHT(CONCATENATE("000",IFAData_TEA!A796),6),3),"-",(RIGHT(RIGHT(CONCATENATE("000",IFAData_TEA!A796),6),3)))</f>
        <v>074-907</v>
      </c>
      <c r="C796" s="2266" t="s">
        <v>2</v>
      </c>
      <c r="D796" s="2266">
        <v>9</v>
      </c>
      <c r="E796" s="2266">
        <v>1899</v>
      </c>
      <c r="F796" s="2266" t="s">
        <v>5376</v>
      </c>
      <c r="G796" s="2266" t="s">
        <v>6970</v>
      </c>
      <c r="H796" s="2436">
        <v>162500</v>
      </c>
      <c r="I796" s="2436">
        <v>54027</v>
      </c>
      <c r="J796" s="2446">
        <v>0.11970620167061795</v>
      </c>
      <c r="K796" s="2436">
        <v>19452.257771475415</v>
      </c>
      <c r="L796" s="2436">
        <v>19452.257771475415</v>
      </c>
      <c r="M796" s="2266">
        <v>599</v>
      </c>
    </row>
    <row r="797" spans="1:13" ht="15">
      <c r="A797" s="2266" t="s">
        <v>4140</v>
      </c>
      <c r="B797" s="1694" t="str">
        <f>CONCATENATE(LEFT(RIGHT(CONCATENATE("000",IFAData_TEA!A797),6),3),"-",(RIGHT(RIGHT(CONCATENATE("000",IFAData_TEA!A797),6),3)))</f>
        <v>074-912</v>
      </c>
      <c r="C797" s="2266" t="s">
        <v>5</v>
      </c>
      <c r="D797" s="2266">
        <v>9</v>
      </c>
      <c r="E797" s="2266">
        <v>2400</v>
      </c>
      <c r="F797" s="2266" t="s">
        <v>5377</v>
      </c>
      <c r="G797" s="2266" t="s">
        <v>5377</v>
      </c>
      <c r="H797" s="2436">
        <v>25828</v>
      </c>
      <c r="I797" s="2436">
        <v>31093</v>
      </c>
      <c r="J797" s="2446">
        <v>1</v>
      </c>
      <c r="K797" s="2436">
        <v>25828</v>
      </c>
      <c r="L797" s="2436">
        <v>25828</v>
      </c>
      <c r="M797" s="2266">
        <v>599</v>
      </c>
    </row>
    <row r="798" spans="1:13" ht="15">
      <c r="A798" s="2266" t="s">
        <v>4141</v>
      </c>
      <c r="B798" s="1694" t="str">
        <f>CONCATENATE(LEFT(RIGHT(CONCATENATE("000",IFAData_TEA!A798),6),3),"-",(RIGHT(RIGHT(CONCATENATE("000",IFAData_TEA!A798),6),3)))</f>
        <v>074-917</v>
      </c>
      <c r="C798" s="2266" t="s">
        <v>2306</v>
      </c>
      <c r="D798" s="2266">
        <v>5</v>
      </c>
      <c r="E798" s="2266">
        <v>2276</v>
      </c>
      <c r="F798" s="2266" t="s">
        <v>5378</v>
      </c>
      <c r="G798" s="2266" t="s">
        <v>5378</v>
      </c>
      <c r="H798" s="2436">
        <v>45485</v>
      </c>
      <c r="I798" s="2436">
        <v>52150</v>
      </c>
      <c r="J798" s="2446">
        <v>1</v>
      </c>
      <c r="K798" s="2436">
        <v>45485</v>
      </c>
      <c r="L798" s="2436">
        <v>45485</v>
      </c>
      <c r="M798" s="2266">
        <v>599</v>
      </c>
    </row>
    <row r="799" spans="1:13" ht="15">
      <c r="A799" s="2266" t="s">
        <v>4142</v>
      </c>
      <c r="B799" s="1694" t="str">
        <f>CONCATENATE(LEFT(RIGHT(CONCATENATE("000",IFAData_TEA!A799),6),3),"-",(RIGHT(RIGHT(CONCATENATE("000",IFAData_TEA!A799),6),3)))</f>
        <v>076-904</v>
      </c>
      <c r="C799" s="2266" t="s">
        <v>665</v>
      </c>
      <c r="D799" s="2266">
        <v>6</v>
      </c>
      <c r="E799" s="2266">
        <v>2265</v>
      </c>
      <c r="F799" s="2266" t="s">
        <v>5379</v>
      </c>
      <c r="G799" s="2266" t="s">
        <v>5379</v>
      </c>
      <c r="H799" s="2436">
        <v>42457</v>
      </c>
      <c r="I799" s="2436">
        <v>40826</v>
      </c>
      <c r="J799" s="2446">
        <v>1</v>
      </c>
      <c r="K799" s="2436">
        <v>42457</v>
      </c>
      <c r="L799" s="2436">
        <v>40826</v>
      </c>
      <c r="M799" s="2266">
        <v>599</v>
      </c>
    </row>
    <row r="800" spans="1:13" ht="15">
      <c r="A800" s="2266" t="s">
        <v>4143</v>
      </c>
      <c r="B800" s="1694" t="str">
        <f>CONCATENATE(LEFT(RIGHT(CONCATENATE("000",IFAData_TEA!A800),6),3),"-",(RIGHT(RIGHT(CONCATENATE("000",IFAData_TEA!A800),6),3)))</f>
        <v>079-906</v>
      </c>
      <c r="C800" s="2266" t="s">
        <v>1006</v>
      </c>
      <c r="D800" s="2266">
        <v>10</v>
      </c>
      <c r="E800" s="2266">
        <v>2133</v>
      </c>
      <c r="F800" s="2266" t="s">
        <v>5384</v>
      </c>
      <c r="G800" s="2266" t="s">
        <v>6971</v>
      </c>
      <c r="H800" s="2436">
        <v>639148</v>
      </c>
      <c r="I800" s="2436">
        <v>18219</v>
      </c>
      <c r="J800" s="2446">
        <v>1.2491712301858022E-2</v>
      </c>
      <c r="K800" s="2436">
        <v>7984.0529343079506</v>
      </c>
      <c r="L800" s="2436">
        <v>7984.0529343079506</v>
      </c>
      <c r="M800" s="2266">
        <v>599</v>
      </c>
    </row>
    <row r="801" spans="1:13" ht="15">
      <c r="A801" s="2266" t="s">
        <v>4143</v>
      </c>
      <c r="B801" s="1694" t="str">
        <f>CONCATENATE(LEFT(RIGHT(CONCATENATE("000",IFAData_TEA!A801),6),3),"-",(RIGHT(RIGHT(CONCATENATE("000",IFAData_TEA!A801),6),3)))</f>
        <v>079-906</v>
      </c>
      <c r="C801" s="2266" t="s">
        <v>1006</v>
      </c>
      <c r="D801" s="2266">
        <v>3</v>
      </c>
      <c r="E801" s="2266">
        <v>2132</v>
      </c>
      <c r="F801" s="2266" t="s">
        <v>5380</v>
      </c>
      <c r="G801" s="2266" t="s">
        <v>5380</v>
      </c>
      <c r="H801" s="2436">
        <v>559413</v>
      </c>
      <c r="I801" s="2436">
        <v>0</v>
      </c>
      <c r="J801" s="2446">
        <v>0</v>
      </c>
      <c r="K801" s="2436">
        <v>0</v>
      </c>
      <c r="L801" s="2436">
        <v>0</v>
      </c>
      <c r="M801" s="2266">
        <v>599</v>
      </c>
    </row>
    <row r="802" spans="1:13" ht="15">
      <c r="A802" s="2266" t="s">
        <v>4143</v>
      </c>
      <c r="B802" s="1694" t="str">
        <f>CONCATENATE(LEFT(RIGHT(CONCATENATE("000",IFAData_TEA!A802),6),3),"-",(RIGHT(RIGHT(CONCATENATE("000",IFAData_TEA!A802),6),3)))</f>
        <v>079-906</v>
      </c>
      <c r="C802" s="2266" t="s">
        <v>1006</v>
      </c>
      <c r="D802" s="2266">
        <v>3</v>
      </c>
      <c r="E802" s="2266">
        <v>2132</v>
      </c>
      <c r="F802" s="2266" t="s">
        <v>5380</v>
      </c>
      <c r="G802" s="2266" t="s">
        <v>6972</v>
      </c>
      <c r="H802" s="2436">
        <v>559413</v>
      </c>
      <c r="I802" s="2436">
        <v>210892</v>
      </c>
      <c r="J802" s="2446">
        <v>0.20121055303038976</v>
      </c>
      <c r="K802" s="2436">
        <v>112559.79910238943</v>
      </c>
      <c r="L802" s="2436">
        <v>112559.79910238943</v>
      </c>
      <c r="M802" s="2266">
        <v>599</v>
      </c>
    </row>
    <row r="803" spans="1:13" ht="15">
      <c r="A803" s="2266" t="s">
        <v>4143</v>
      </c>
      <c r="B803" s="1694" t="str">
        <f>CONCATENATE(LEFT(RIGHT(CONCATENATE("000",IFAData_TEA!A803),6),3),"-",(RIGHT(RIGHT(CONCATENATE("000",IFAData_TEA!A803),6),3)))</f>
        <v>079-906</v>
      </c>
      <c r="C803" s="2266" t="s">
        <v>1006</v>
      </c>
      <c r="D803" s="2266">
        <v>3</v>
      </c>
      <c r="E803" s="2266">
        <v>2132</v>
      </c>
      <c r="F803" s="2266" t="s">
        <v>5380</v>
      </c>
      <c r="G803" s="2266" t="s">
        <v>5381</v>
      </c>
      <c r="H803" s="2436">
        <v>559413</v>
      </c>
      <c r="I803" s="2436">
        <v>0</v>
      </c>
      <c r="J803" s="2446">
        <v>0</v>
      </c>
      <c r="K803" s="2436">
        <v>0</v>
      </c>
      <c r="L803" s="2436">
        <v>0</v>
      </c>
      <c r="M803" s="2266">
        <v>599</v>
      </c>
    </row>
    <row r="804" spans="1:13" ht="15">
      <c r="A804" s="2266" t="s">
        <v>4143</v>
      </c>
      <c r="B804" s="1694" t="str">
        <f>CONCATENATE(LEFT(RIGHT(CONCATENATE("000",IFAData_TEA!A804),6),3),"-",(RIGHT(RIGHT(CONCATENATE("000",IFAData_TEA!A804),6),3)))</f>
        <v>079-906</v>
      </c>
      <c r="C804" s="2266" t="s">
        <v>1006</v>
      </c>
      <c r="D804" s="2266">
        <v>3</v>
      </c>
      <c r="E804" s="2266">
        <v>2132</v>
      </c>
      <c r="F804" s="2266" t="s">
        <v>5380</v>
      </c>
      <c r="G804" s="2266" t="s">
        <v>5382</v>
      </c>
      <c r="H804" s="2436">
        <v>559413</v>
      </c>
      <c r="I804" s="2436">
        <v>837224</v>
      </c>
      <c r="J804" s="2446">
        <v>0.79878944696961018</v>
      </c>
      <c r="K804" s="2436">
        <v>446853.20089761051</v>
      </c>
      <c r="L804" s="2436">
        <v>446853.20089761051</v>
      </c>
      <c r="M804" s="2266">
        <v>599</v>
      </c>
    </row>
    <row r="805" spans="1:13" ht="15">
      <c r="A805" s="2266" t="s">
        <v>4143</v>
      </c>
      <c r="B805" s="1694" t="str">
        <f>CONCATENATE(LEFT(RIGHT(CONCATENATE("000",IFAData_TEA!A805),6),3),"-",(RIGHT(RIGHT(CONCATENATE("000",IFAData_TEA!A805),6),3)))</f>
        <v>079-906</v>
      </c>
      <c r="C805" s="2266" t="s">
        <v>1006</v>
      </c>
      <c r="D805" s="2266">
        <v>10</v>
      </c>
      <c r="E805" s="2266">
        <v>2133</v>
      </c>
      <c r="F805" s="2266" t="s">
        <v>5384</v>
      </c>
      <c r="G805" s="2266" t="s">
        <v>5384</v>
      </c>
      <c r="H805" s="2436">
        <v>639148</v>
      </c>
      <c r="I805" s="2436">
        <v>1440268</v>
      </c>
      <c r="J805" s="2446">
        <v>0.98750828769814203</v>
      </c>
      <c r="K805" s="2436">
        <v>631163.94706569205</v>
      </c>
      <c r="L805" s="2436">
        <v>631163.94706569205</v>
      </c>
      <c r="M805" s="2266">
        <v>599</v>
      </c>
    </row>
    <row r="806" spans="1:13" ht="15">
      <c r="A806" s="2266" t="s">
        <v>4143</v>
      </c>
      <c r="B806" s="1694" t="str">
        <f>CONCATENATE(LEFT(RIGHT(CONCATENATE("000",IFAData_TEA!A806),6),3),"-",(RIGHT(RIGHT(CONCATENATE("000",IFAData_TEA!A806),6),3)))</f>
        <v>079-906</v>
      </c>
      <c r="C806" s="2266" t="s">
        <v>1006</v>
      </c>
      <c r="D806" s="2266">
        <v>9</v>
      </c>
      <c r="E806" s="2266">
        <v>2131</v>
      </c>
      <c r="F806" s="2266" t="s">
        <v>5383</v>
      </c>
      <c r="G806" s="2266" t="s">
        <v>5383</v>
      </c>
      <c r="H806" s="2436">
        <v>338364</v>
      </c>
      <c r="I806" s="2436">
        <v>536669</v>
      </c>
      <c r="J806" s="2446">
        <v>0.87832664771453306</v>
      </c>
      <c r="K806" s="2436">
        <v>297194.11782728025</v>
      </c>
      <c r="L806" s="2436">
        <v>297194.11782728025</v>
      </c>
      <c r="M806" s="2266">
        <v>599</v>
      </c>
    </row>
    <row r="807" spans="1:13" ht="15">
      <c r="A807" s="2266" t="s">
        <v>4143</v>
      </c>
      <c r="B807" s="1694" t="str">
        <f>CONCATENATE(LEFT(RIGHT(CONCATENATE("000",IFAData_TEA!A807),6),3),"-",(RIGHT(RIGHT(CONCATENATE("000",IFAData_TEA!A807),6),3)))</f>
        <v>079-906</v>
      </c>
      <c r="C807" s="2266" t="s">
        <v>1006</v>
      </c>
      <c r="D807" s="2266">
        <v>9</v>
      </c>
      <c r="E807" s="2266">
        <v>2131</v>
      </c>
      <c r="F807" s="2266" t="s">
        <v>5383</v>
      </c>
      <c r="G807" s="2266" t="s">
        <v>6971</v>
      </c>
      <c r="H807" s="2436">
        <v>338364</v>
      </c>
      <c r="I807" s="2436">
        <v>74344</v>
      </c>
      <c r="J807" s="2446">
        <v>0.12167335228546693</v>
      </c>
      <c r="K807" s="2436">
        <v>41169.882172719728</v>
      </c>
      <c r="L807" s="2436">
        <v>41169.882172719728</v>
      </c>
      <c r="M807" s="2266">
        <v>599</v>
      </c>
    </row>
    <row r="808" spans="1:13" ht="15">
      <c r="A808" s="2266" t="s">
        <v>4144</v>
      </c>
      <c r="B808" s="1694" t="str">
        <f>CONCATENATE(LEFT(RIGHT(CONCATENATE("000",IFAData_TEA!A808),6),3),"-",(RIGHT(RIGHT(CONCATENATE("000",IFAData_TEA!A808),6),3)))</f>
        <v>079-907</v>
      </c>
      <c r="C808" s="2266" t="s">
        <v>133</v>
      </c>
      <c r="D808" s="2266">
        <v>2</v>
      </c>
      <c r="E808" s="2266">
        <v>1821</v>
      </c>
      <c r="F808" s="2266" t="s">
        <v>5389</v>
      </c>
      <c r="G808" s="2266" t="s">
        <v>5389</v>
      </c>
      <c r="H808" s="2436">
        <v>2155774</v>
      </c>
      <c r="I808" s="2436">
        <v>0</v>
      </c>
      <c r="J808" s="2446">
        <v>0</v>
      </c>
      <c r="K808" s="2436">
        <v>0</v>
      </c>
      <c r="L808" s="2436">
        <v>0</v>
      </c>
      <c r="M808" s="2266">
        <v>599</v>
      </c>
    </row>
    <row r="809" spans="1:13" ht="15">
      <c r="A809" s="2266" t="s">
        <v>4144</v>
      </c>
      <c r="B809" s="1694" t="str">
        <f>CONCATENATE(LEFT(RIGHT(CONCATENATE("000",IFAData_TEA!A809),6),3),"-",(RIGHT(RIGHT(CONCATENATE("000",IFAData_TEA!A809),6),3)))</f>
        <v>079-907</v>
      </c>
      <c r="C809" s="2266" t="s">
        <v>133</v>
      </c>
      <c r="D809" s="2266">
        <v>2</v>
      </c>
      <c r="E809" s="2266">
        <v>1821</v>
      </c>
      <c r="F809" s="2266" t="s">
        <v>5389</v>
      </c>
      <c r="G809" s="2266" t="s">
        <v>5391</v>
      </c>
      <c r="H809" s="2436">
        <v>2155774</v>
      </c>
      <c r="I809" s="2436">
        <v>40748</v>
      </c>
      <c r="J809" s="2446">
        <v>1.9186029813022375E-2</v>
      </c>
      <c r="K809" s="2436">
        <v>41360.744234138496</v>
      </c>
      <c r="L809" s="2436">
        <v>40748</v>
      </c>
      <c r="M809" s="2266">
        <v>599</v>
      </c>
    </row>
    <row r="810" spans="1:13" ht="15">
      <c r="A810" s="2266" t="s">
        <v>4144</v>
      </c>
      <c r="B810" s="1694" t="str">
        <f>CONCATENATE(LEFT(RIGHT(CONCATENATE("000",IFAData_TEA!A810),6),3),"-",(RIGHT(RIGHT(CONCATENATE("000",IFAData_TEA!A810),6),3)))</f>
        <v>079-907</v>
      </c>
      <c r="C810" s="2266" t="s">
        <v>133</v>
      </c>
      <c r="D810" s="2266">
        <v>1</v>
      </c>
      <c r="E810" s="2266">
        <v>1822</v>
      </c>
      <c r="F810" s="2266" t="s">
        <v>5385</v>
      </c>
      <c r="G810" s="2266" t="s">
        <v>5388</v>
      </c>
      <c r="H810" s="2436">
        <v>4738980</v>
      </c>
      <c r="I810" s="2436">
        <v>51302</v>
      </c>
      <c r="J810" s="2446">
        <v>1.1178715857490657E-2</v>
      </c>
      <c r="K810" s="2436">
        <v>52975.710874331075</v>
      </c>
      <c r="L810" s="2436">
        <v>51302</v>
      </c>
      <c r="M810" s="2266">
        <v>599</v>
      </c>
    </row>
    <row r="811" spans="1:13" ht="15">
      <c r="A811" s="2266" t="s">
        <v>4144</v>
      </c>
      <c r="B811" s="1694" t="str">
        <f>CONCATENATE(LEFT(RIGHT(CONCATENATE("000",IFAData_TEA!A811),6),3),"-",(RIGHT(RIGHT(CONCATENATE("000",IFAData_TEA!A811),6),3)))</f>
        <v>079-907</v>
      </c>
      <c r="C811" s="2266" t="s">
        <v>133</v>
      </c>
      <c r="D811" s="2266">
        <v>10</v>
      </c>
      <c r="E811" s="2266">
        <v>1820</v>
      </c>
      <c r="F811" s="2266" t="s">
        <v>5387</v>
      </c>
      <c r="G811" s="2266" t="s">
        <v>5387</v>
      </c>
      <c r="H811" s="2436">
        <v>653006</v>
      </c>
      <c r="I811" s="2436">
        <v>653006</v>
      </c>
      <c r="J811" s="2446">
        <v>1</v>
      </c>
      <c r="K811" s="2436">
        <v>653006</v>
      </c>
      <c r="L811" s="2436">
        <v>653006</v>
      </c>
      <c r="M811" s="2266">
        <v>599</v>
      </c>
    </row>
    <row r="812" spans="1:13" ht="15">
      <c r="A812" s="2266" t="s">
        <v>4144</v>
      </c>
      <c r="B812" s="1694" t="str">
        <f>CONCATENATE(LEFT(RIGHT(CONCATENATE("000",IFAData_TEA!A812),6),3),"-",(RIGHT(RIGHT(CONCATENATE("000",IFAData_TEA!A812),6),3)))</f>
        <v>079-907</v>
      </c>
      <c r="C812" s="2266" t="s">
        <v>133</v>
      </c>
      <c r="D812" s="2266">
        <v>1</v>
      </c>
      <c r="E812" s="2266">
        <v>1822</v>
      </c>
      <c r="F812" s="2266" t="s">
        <v>5385</v>
      </c>
      <c r="G812" s="2266" t="s">
        <v>5387</v>
      </c>
      <c r="H812" s="2436">
        <v>4738980</v>
      </c>
      <c r="I812" s="2436">
        <v>790314</v>
      </c>
      <c r="J812" s="2446">
        <v>0.17220957553695512</v>
      </c>
      <c r="K812" s="2436">
        <v>816097.73427811963</v>
      </c>
      <c r="L812" s="2436">
        <v>790314</v>
      </c>
      <c r="M812" s="2266">
        <v>599</v>
      </c>
    </row>
    <row r="813" spans="1:13" ht="15">
      <c r="A813" s="2266" t="s">
        <v>4144</v>
      </c>
      <c r="B813" s="1694" t="str">
        <f>CONCATENATE(LEFT(RIGHT(CONCATENATE("000",IFAData_TEA!A813),6),3),"-",(RIGHT(RIGHT(CONCATENATE("000",IFAData_TEA!A813),6),3)))</f>
        <v>079-907</v>
      </c>
      <c r="C813" s="2266" t="s">
        <v>133</v>
      </c>
      <c r="D813" s="2266">
        <v>9</v>
      </c>
      <c r="E813" s="2266">
        <v>1823</v>
      </c>
      <c r="F813" s="2266" t="s">
        <v>5392</v>
      </c>
      <c r="G813" s="2266" t="s">
        <v>5392</v>
      </c>
      <c r="H813" s="2436">
        <v>7005446</v>
      </c>
      <c r="I813" s="2436">
        <v>6462375</v>
      </c>
      <c r="J813" s="2446">
        <v>1</v>
      </c>
      <c r="K813" s="2436">
        <v>7005446</v>
      </c>
      <c r="L813" s="2436">
        <v>6462375</v>
      </c>
      <c r="M813" s="2266">
        <v>599</v>
      </c>
    </row>
    <row r="814" spans="1:13" ht="15">
      <c r="A814" s="2266" t="s">
        <v>4144</v>
      </c>
      <c r="B814" s="1694" t="str">
        <f>CONCATENATE(LEFT(RIGHT(CONCATENATE("000",IFAData_TEA!A814),6),3),"-",(RIGHT(RIGHT(CONCATENATE("000",IFAData_TEA!A814),6),3)))</f>
        <v>079-907</v>
      </c>
      <c r="C814" s="2266" t="s">
        <v>133</v>
      </c>
      <c r="D814" s="2266">
        <v>10</v>
      </c>
      <c r="E814" s="2266">
        <v>1824</v>
      </c>
      <c r="F814" s="2266" t="s">
        <v>5393</v>
      </c>
      <c r="G814" s="2266" t="s">
        <v>5393</v>
      </c>
      <c r="H814" s="2436">
        <v>8781990</v>
      </c>
      <c r="I814" s="2436">
        <v>13976452</v>
      </c>
      <c r="J814" s="2446">
        <v>1</v>
      </c>
      <c r="K814" s="2436">
        <v>8781990</v>
      </c>
      <c r="L814" s="2436">
        <v>8781990</v>
      </c>
      <c r="M814" s="2266">
        <v>599</v>
      </c>
    </row>
    <row r="815" spans="1:13" ht="15">
      <c r="A815" s="2266" t="s">
        <v>4144</v>
      </c>
      <c r="B815" s="1694" t="str">
        <f>CONCATENATE(LEFT(RIGHT(CONCATENATE("000",IFAData_TEA!A815),6),3),"-",(RIGHT(RIGHT(CONCATENATE("000",IFAData_TEA!A815),6),3)))</f>
        <v>079-907</v>
      </c>
      <c r="C815" s="2266" t="s">
        <v>133</v>
      </c>
      <c r="D815" s="2266">
        <v>2</v>
      </c>
      <c r="E815" s="2266">
        <v>1821</v>
      </c>
      <c r="F815" s="2266" t="s">
        <v>5389</v>
      </c>
      <c r="G815" s="2266" t="s">
        <v>5390</v>
      </c>
      <c r="H815" s="2436">
        <v>2155774</v>
      </c>
      <c r="I815" s="2436">
        <v>0</v>
      </c>
      <c r="J815" s="2446">
        <v>0</v>
      </c>
      <c r="K815" s="2436">
        <v>0</v>
      </c>
      <c r="L815" s="2436">
        <v>0</v>
      </c>
      <c r="M815" s="2266">
        <v>599</v>
      </c>
    </row>
    <row r="816" spans="1:13" ht="15">
      <c r="A816" s="2266" t="s">
        <v>4144</v>
      </c>
      <c r="B816" s="1694" t="str">
        <f>CONCATENATE(LEFT(RIGHT(CONCATENATE("000",IFAData_TEA!A816),6),3),"-",(RIGHT(RIGHT(CONCATENATE("000",IFAData_TEA!A816),6),3)))</f>
        <v>079-907</v>
      </c>
      <c r="C816" s="2266" t="s">
        <v>133</v>
      </c>
      <c r="D816" s="2266">
        <v>2</v>
      </c>
      <c r="E816" s="2266">
        <v>1821</v>
      </c>
      <c r="F816" s="2266" t="s">
        <v>5389</v>
      </c>
      <c r="G816" s="2266" t="s">
        <v>5386</v>
      </c>
      <c r="H816" s="2436">
        <v>2155774</v>
      </c>
      <c r="I816" s="2436">
        <v>2026073</v>
      </c>
      <c r="J816" s="2446">
        <v>0.95396821884165306</v>
      </c>
      <c r="K816" s="2436">
        <v>2056539.8830051457</v>
      </c>
      <c r="L816" s="2436">
        <v>2026073</v>
      </c>
      <c r="M816" s="2266">
        <v>599</v>
      </c>
    </row>
    <row r="817" spans="1:13" ht="15">
      <c r="A817" s="2266" t="s">
        <v>4144</v>
      </c>
      <c r="B817" s="1694" t="str">
        <f>CONCATENATE(LEFT(RIGHT(CONCATENATE("000",IFAData_TEA!A817),6),3),"-",(RIGHT(RIGHT(CONCATENATE("000",IFAData_TEA!A817),6),3)))</f>
        <v>079-907</v>
      </c>
      <c r="C817" s="2266" t="s">
        <v>133</v>
      </c>
      <c r="D817" s="2266">
        <v>1</v>
      </c>
      <c r="E817" s="2266">
        <v>1822</v>
      </c>
      <c r="F817" s="2266" t="s">
        <v>5385</v>
      </c>
      <c r="G817" s="2266" t="s">
        <v>5386</v>
      </c>
      <c r="H817" s="2436">
        <v>4738980</v>
      </c>
      <c r="I817" s="2436">
        <v>3747641</v>
      </c>
      <c r="J817" s="2446">
        <v>0.81661170860555421</v>
      </c>
      <c r="K817" s="2436">
        <v>3869906.5548475492</v>
      </c>
      <c r="L817" s="2436">
        <v>3747641</v>
      </c>
      <c r="M817" s="2266">
        <v>599</v>
      </c>
    </row>
    <row r="818" spans="1:13" ht="15">
      <c r="A818" s="2266" t="s">
        <v>4144</v>
      </c>
      <c r="B818" s="1694" t="str">
        <f>CONCATENATE(LEFT(RIGHT(CONCATENATE("000",IFAData_TEA!A818),6),3),"-",(RIGHT(RIGHT(CONCATENATE("000",IFAData_TEA!A818),6),3)))</f>
        <v>079-907</v>
      </c>
      <c r="C818" s="2266" t="s">
        <v>133</v>
      </c>
      <c r="D818" s="2266">
        <v>2</v>
      </c>
      <c r="E818" s="2266">
        <v>1821</v>
      </c>
      <c r="F818" s="2266" t="s">
        <v>5389</v>
      </c>
      <c r="G818" s="2266" t="s">
        <v>5388</v>
      </c>
      <c r="H818" s="2436">
        <v>2155774</v>
      </c>
      <c r="I818" s="2436">
        <v>57016</v>
      </c>
      <c r="J818" s="2446">
        <v>2.6845751345324523E-2</v>
      </c>
      <c r="K818" s="2436">
        <v>57873.372760715632</v>
      </c>
      <c r="L818" s="2436">
        <v>57016</v>
      </c>
      <c r="M818" s="2266">
        <v>599</v>
      </c>
    </row>
    <row r="819" spans="1:13" ht="15">
      <c r="A819" s="2266" t="s">
        <v>4144</v>
      </c>
      <c r="B819" s="1694" t="str">
        <f>CONCATENATE(LEFT(RIGHT(CONCATENATE("000",IFAData_TEA!A819),6),3),"-",(RIGHT(RIGHT(CONCATENATE("000",IFAData_TEA!A819),6),3)))</f>
        <v>079-907</v>
      </c>
      <c r="C819" s="2266" t="s">
        <v>133</v>
      </c>
      <c r="D819" s="2266">
        <v>1</v>
      </c>
      <c r="E819" s="2266">
        <v>1822</v>
      </c>
      <c r="F819" s="2266" t="s">
        <v>5385</v>
      </c>
      <c r="G819" s="2266" t="s">
        <v>5385</v>
      </c>
      <c r="H819" s="2436">
        <v>4738980</v>
      </c>
      <c r="I819" s="2436">
        <v>0</v>
      </c>
      <c r="J819" s="2446">
        <v>0</v>
      </c>
      <c r="K819" s="2436">
        <v>0</v>
      </c>
      <c r="L819" s="2436">
        <v>0</v>
      </c>
      <c r="M819" s="2266">
        <v>599</v>
      </c>
    </row>
    <row r="820" spans="1:13" ht="15">
      <c r="A820" s="2266" t="s">
        <v>4145</v>
      </c>
      <c r="B820" s="1694" t="str">
        <f>CONCATENATE(LEFT(RIGHT(CONCATENATE("000",IFAData_TEA!A820),6),3),"-",(RIGHT(RIGHT(CONCATENATE("000",IFAData_TEA!A820),6),3)))</f>
        <v>082-902</v>
      </c>
      <c r="C820" s="2266" t="s">
        <v>2494</v>
      </c>
      <c r="D820" s="2266">
        <v>5</v>
      </c>
      <c r="E820" s="2266">
        <v>1764</v>
      </c>
      <c r="F820" s="2266" t="s">
        <v>5394</v>
      </c>
      <c r="G820" s="2266" t="s">
        <v>5394</v>
      </c>
      <c r="H820" s="2436">
        <v>192327</v>
      </c>
      <c r="I820" s="2436">
        <v>0</v>
      </c>
      <c r="J820" s="2446">
        <v>0</v>
      </c>
      <c r="K820" s="2436">
        <v>0</v>
      </c>
      <c r="L820" s="2436">
        <v>0</v>
      </c>
      <c r="M820" s="2266">
        <v>599</v>
      </c>
    </row>
    <row r="821" spans="1:13" ht="15">
      <c r="A821" s="2266" t="s">
        <v>4145</v>
      </c>
      <c r="B821" s="1694" t="str">
        <f>CONCATENATE(LEFT(RIGHT(CONCATENATE("000",IFAData_TEA!A821),6),3),"-",(RIGHT(RIGHT(CONCATENATE("000",IFAData_TEA!A821),6),3)))</f>
        <v>082-902</v>
      </c>
      <c r="C821" s="2266" t="s">
        <v>2494</v>
      </c>
      <c r="D821" s="2266">
        <v>5</v>
      </c>
      <c r="E821" s="2266">
        <v>1764</v>
      </c>
      <c r="F821" s="2266" t="s">
        <v>5394</v>
      </c>
      <c r="G821" s="2266" t="s">
        <v>5396</v>
      </c>
      <c r="H821" s="2436">
        <v>192327</v>
      </c>
      <c r="I821" s="2436">
        <v>109483</v>
      </c>
      <c r="J821" s="2446">
        <v>0.59851959567686952</v>
      </c>
      <c r="K821" s="2436">
        <v>115111.47827774528</v>
      </c>
      <c r="L821" s="2436">
        <v>109483</v>
      </c>
      <c r="M821" s="2266">
        <v>599</v>
      </c>
    </row>
    <row r="822" spans="1:13" ht="15">
      <c r="A822" s="2266" t="s">
        <v>4145</v>
      </c>
      <c r="B822" s="1694" t="str">
        <f>CONCATENATE(LEFT(RIGHT(CONCATENATE("000",IFAData_TEA!A822),6),3),"-",(RIGHT(RIGHT(CONCATENATE("000",IFAData_TEA!A822),6),3)))</f>
        <v>082-902</v>
      </c>
      <c r="C822" s="2266" t="s">
        <v>2494</v>
      </c>
      <c r="D822" s="2266">
        <v>9</v>
      </c>
      <c r="E822" s="2266">
        <v>1763</v>
      </c>
      <c r="F822" s="2266" t="s">
        <v>5397</v>
      </c>
      <c r="G822" s="2266" t="s">
        <v>5397</v>
      </c>
      <c r="H822" s="2436">
        <v>183808</v>
      </c>
      <c r="I822" s="2436">
        <v>197410</v>
      </c>
      <c r="J822" s="2446">
        <v>1</v>
      </c>
      <c r="K822" s="2436">
        <v>183808</v>
      </c>
      <c r="L822" s="2436">
        <v>183808</v>
      </c>
      <c r="M822" s="2266">
        <v>599</v>
      </c>
    </row>
    <row r="823" spans="1:13" ht="15">
      <c r="A823" s="2266" t="s">
        <v>4145</v>
      </c>
      <c r="B823" s="1694" t="str">
        <f>CONCATENATE(LEFT(RIGHT(CONCATENATE("000",IFAData_TEA!A823),6),3),"-",(RIGHT(RIGHT(CONCATENATE("000",IFAData_TEA!A823),6),3)))</f>
        <v>082-902</v>
      </c>
      <c r="C823" s="2266" t="s">
        <v>2494</v>
      </c>
      <c r="D823" s="2266">
        <v>5</v>
      </c>
      <c r="E823" s="2266">
        <v>1764</v>
      </c>
      <c r="F823" s="2266" t="s">
        <v>5394</v>
      </c>
      <c r="G823" s="2266" t="s">
        <v>5395</v>
      </c>
      <c r="H823" s="2436">
        <v>192327</v>
      </c>
      <c r="I823" s="2436">
        <v>73440</v>
      </c>
      <c r="J823" s="2446">
        <v>0.40148040432313048</v>
      </c>
      <c r="K823" s="2436">
        <v>77215.521722254722</v>
      </c>
      <c r="L823" s="2436">
        <v>73440</v>
      </c>
      <c r="M823" s="2266">
        <v>599</v>
      </c>
    </row>
    <row r="824" spans="1:13" ht="15">
      <c r="A824" s="2266" t="s">
        <v>4146</v>
      </c>
      <c r="B824" s="1694" t="str">
        <f>CONCATENATE(LEFT(RIGHT(CONCATENATE("000",IFAData_TEA!A824),6),3),"-",(RIGHT(RIGHT(CONCATENATE("000",IFAData_TEA!A824),6),3)))</f>
        <v>082-903</v>
      </c>
      <c r="C824" s="2266" t="s">
        <v>2987</v>
      </c>
      <c r="D824" s="2266">
        <v>6</v>
      </c>
      <c r="E824" s="2266">
        <v>2182</v>
      </c>
      <c r="F824" s="2266" t="s">
        <v>5398</v>
      </c>
      <c r="G824" s="2266" t="s">
        <v>5400</v>
      </c>
      <c r="H824" s="2436">
        <v>496016</v>
      </c>
      <c r="I824" s="2436">
        <v>304050</v>
      </c>
      <c r="J824" s="2446">
        <v>0.64118109754683117</v>
      </c>
      <c r="K824" s="2436">
        <v>318036.08328078903</v>
      </c>
      <c r="L824" s="2436">
        <v>304050</v>
      </c>
      <c r="M824" s="2266">
        <v>599</v>
      </c>
    </row>
    <row r="825" spans="1:13" ht="15">
      <c r="A825" s="2266" t="s">
        <v>4146</v>
      </c>
      <c r="B825" s="1694" t="str">
        <f>CONCATENATE(LEFT(RIGHT(CONCATENATE("000",IFAData_TEA!A825),6),3),"-",(RIGHT(RIGHT(CONCATENATE("000",IFAData_TEA!A825),6),3)))</f>
        <v>082-903</v>
      </c>
      <c r="C825" s="2266" t="s">
        <v>2987</v>
      </c>
      <c r="D825" s="2266">
        <v>6</v>
      </c>
      <c r="E825" s="2266">
        <v>2182</v>
      </c>
      <c r="F825" s="2266" t="s">
        <v>5398</v>
      </c>
      <c r="G825" s="2266" t="s">
        <v>5398</v>
      </c>
      <c r="H825" s="2436">
        <v>496016</v>
      </c>
      <c r="I825" s="2436">
        <v>0</v>
      </c>
      <c r="J825" s="2446">
        <v>0</v>
      </c>
      <c r="K825" s="2436">
        <v>0</v>
      </c>
      <c r="L825" s="2436">
        <v>0</v>
      </c>
      <c r="M825" s="2266">
        <v>599</v>
      </c>
    </row>
    <row r="826" spans="1:13" ht="15">
      <c r="A826" s="2266" t="s">
        <v>4146</v>
      </c>
      <c r="B826" s="1694" t="str">
        <f>CONCATENATE(LEFT(RIGHT(CONCATENATE("000",IFAData_TEA!A826),6),3),"-",(RIGHT(RIGHT(CONCATENATE("000",IFAData_TEA!A826),6),3)))</f>
        <v>082-903</v>
      </c>
      <c r="C826" s="2266" t="s">
        <v>2987</v>
      </c>
      <c r="D826" s="2266">
        <v>6</v>
      </c>
      <c r="E826" s="2266">
        <v>2182</v>
      </c>
      <c r="F826" s="2266" t="s">
        <v>5398</v>
      </c>
      <c r="G826" s="2266" t="s">
        <v>5399</v>
      </c>
      <c r="H826" s="2436">
        <v>496016</v>
      </c>
      <c r="I826" s="2436">
        <v>170153</v>
      </c>
      <c r="J826" s="2446">
        <v>0.35881890245316878</v>
      </c>
      <c r="K826" s="2436">
        <v>177979.91671921097</v>
      </c>
      <c r="L826" s="2436">
        <v>170153</v>
      </c>
      <c r="M826" s="2266">
        <v>599</v>
      </c>
    </row>
    <row r="827" spans="1:13" ht="15">
      <c r="A827" s="2266" t="s">
        <v>4146</v>
      </c>
      <c r="B827" s="1694" t="str">
        <f>CONCATENATE(LEFT(RIGHT(CONCATENATE("000",IFAData_TEA!A827),6),3),"-",(RIGHT(RIGHT(CONCATENATE("000",IFAData_TEA!A827),6),3)))</f>
        <v>082-903</v>
      </c>
      <c r="C827" s="2266" t="s">
        <v>2987</v>
      </c>
      <c r="D827" s="2266">
        <v>9</v>
      </c>
      <c r="E827" s="2266">
        <v>2181</v>
      </c>
      <c r="F827" s="2266" t="s">
        <v>5401</v>
      </c>
      <c r="G827" s="2266" t="s">
        <v>5401</v>
      </c>
      <c r="H827" s="2436">
        <v>285496</v>
      </c>
      <c r="I827" s="2436">
        <v>549954</v>
      </c>
      <c r="J827" s="2446">
        <v>1</v>
      </c>
      <c r="K827" s="2436">
        <v>285496</v>
      </c>
      <c r="L827" s="2436">
        <v>285496</v>
      </c>
      <c r="M827" s="2266">
        <v>599</v>
      </c>
    </row>
    <row r="828" spans="1:13" ht="15">
      <c r="A828" s="2266" t="s">
        <v>4147</v>
      </c>
      <c r="B828" s="1694" t="str">
        <f>CONCATENATE(LEFT(RIGHT(CONCATENATE("000",IFAData_TEA!A828),6),3),"-",(RIGHT(RIGHT(CONCATENATE("000",IFAData_TEA!A828),6),3)))</f>
        <v>084-909</v>
      </c>
      <c r="C828" s="2266" t="s">
        <v>98</v>
      </c>
      <c r="D828" s="2266">
        <v>10</v>
      </c>
      <c r="E828" s="2266">
        <v>2308</v>
      </c>
      <c r="F828" s="2266" t="s">
        <v>5406</v>
      </c>
      <c r="G828" s="2266" t="s">
        <v>6973</v>
      </c>
      <c r="H828" s="2436">
        <v>1049443</v>
      </c>
      <c r="I828" s="2436">
        <v>54324</v>
      </c>
      <c r="J828" s="2446">
        <v>3.951643935960731E-2</v>
      </c>
      <c r="K828" s="2436">
        <v>41470.25067086437</v>
      </c>
      <c r="L828" s="2436">
        <v>41470.25067086437</v>
      </c>
      <c r="M828" s="2266">
        <v>599</v>
      </c>
    </row>
    <row r="829" spans="1:13" ht="15">
      <c r="A829" s="2266" t="s">
        <v>4147</v>
      </c>
      <c r="B829" s="1694" t="str">
        <f>CONCATENATE(LEFT(RIGHT(CONCATENATE("000",IFAData_TEA!A829),6),3),"-",(RIGHT(RIGHT(CONCATENATE("000",IFAData_TEA!A829),6),3)))</f>
        <v>084-909</v>
      </c>
      <c r="C829" s="2266" t="s">
        <v>98</v>
      </c>
      <c r="D829" s="2266">
        <v>1</v>
      </c>
      <c r="E829" s="2266">
        <v>2307</v>
      </c>
      <c r="F829" s="2266" t="s">
        <v>5402</v>
      </c>
      <c r="G829" s="2266" t="s">
        <v>5405</v>
      </c>
      <c r="H829" s="2436">
        <v>1012578</v>
      </c>
      <c r="I829" s="2436">
        <v>0</v>
      </c>
      <c r="J829" s="2446">
        <v>0</v>
      </c>
      <c r="K829" s="2436">
        <v>0</v>
      </c>
      <c r="L829" s="2436">
        <v>0</v>
      </c>
      <c r="M829" s="2266">
        <v>599</v>
      </c>
    </row>
    <row r="830" spans="1:13" ht="15">
      <c r="A830" s="2266" t="s">
        <v>4147</v>
      </c>
      <c r="B830" s="1694" t="str">
        <f>CONCATENATE(LEFT(RIGHT(CONCATENATE("000",IFAData_TEA!A830),6),3),"-",(RIGHT(RIGHT(CONCATENATE("000",IFAData_TEA!A830),6),3)))</f>
        <v>084-909</v>
      </c>
      <c r="C830" s="2266" t="s">
        <v>98</v>
      </c>
      <c r="D830" s="2266">
        <v>1</v>
      </c>
      <c r="E830" s="2266">
        <v>2307</v>
      </c>
      <c r="F830" s="2266" t="s">
        <v>5402</v>
      </c>
      <c r="G830" s="2266" t="s">
        <v>5402</v>
      </c>
      <c r="H830" s="2436">
        <v>1012578</v>
      </c>
      <c r="I830" s="2436">
        <v>0</v>
      </c>
      <c r="J830" s="2446">
        <v>0</v>
      </c>
      <c r="K830" s="2436">
        <v>0</v>
      </c>
      <c r="L830" s="2436">
        <v>0</v>
      </c>
      <c r="M830" s="2266">
        <v>599</v>
      </c>
    </row>
    <row r="831" spans="1:13" ht="15">
      <c r="A831" s="2266" t="s">
        <v>4147</v>
      </c>
      <c r="B831" s="1694" t="str">
        <f>CONCATENATE(LEFT(RIGHT(CONCATENATE("000",IFAData_TEA!A831),6),3),"-",(RIGHT(RIGHT(CONCATENATE("000",IFAData_TEA!A831),6),3)))</f>
        <v>084-909</v>
      </c>
      <c r="C831" s="2266" t="s">
        <v>98</v>
      </c>
      <c r="D831" s="2266">
        <v>1</v>
      </c>
      <c r="E831" s="2266">
        <v>2307</v>
      </c>
      <c r="F831" s="2266" t="s">
        <v>5402</v>
      </c>
      <c r="G831" s="2266" t="s">
        <v>5403</v>
      </c>
      <c r="H831" s="2436">
        <v>1012578</v>
      </c>
      <c r="I831" s="2436">
        <v>1117575</v>
      </c>
      <c r="J831" s="2446">
        <v>0.77530390914256098</v>
      </c>
      <c r="K831" s="2436">
        <v>785055.68171175616</v>
      </c>
      <c r="L831" s="2436">
        <v>785055.68171175616</v>
      </c>
      <c r="M831" s="2266">
        <v>599</v>
      </c>
    </row>
    <row r="832" spans="1:13" ht="15">
      <c r="A832" s="2266" t="s">
        <v>4147</v>
      </c>
      <c r="B832" s="1694" t="str">
        <f>CONCATENATE(LEFT(RIGHT(CONCATENATE("000",IFAData_TEA!A832),6),3),"-",(RIGHT(RIGHT(CONCATENATE("000",IFAData_TEA!A832),6),3)))</f>
        <v>084-909</v>
      </c>
      <c r="C832" s="2266" t="s">
        <v>98</v>
      </c>
      <c r="D832" s="2266">
        <v>1</v>
      </c>
      <c r="E832" s="2266">
        <v>2307</v>
      </c>
      <c r="F832" s="2266" t="s">
        <v>5402</v>
      </c>
      <c r="G832" s="2266" t="s">
        <v>5404</v>
      </c>
      <c r="H832" s="2436">
        <v>1012578</v>
      </c>
      <c r="I832" s="2436">
        <v>323892</v>
      </c>
      <c r="J832" s="2446">
        <v>0.224696090857439</v>
      </c>
      <c r="K832" s="2436">
        <v>227522.31828824387</v>
      </c>
      <c r="L832" s="2436">
        <v>227522.31828824387</v>
      </c>
      <c r="M832" s="2266">
        <v>599</v>
      </c>
    </row>
    <row r="833" spans="1:13" ht="15">
      <c r="A833" s="2266" t="s">
        <v>4147</v>
      </c>
      <c r="B833" s="1694" t="str">
        <f>CONCATENATE(LEFT(RIGHT(CONCATENATE("000",IFAData_TEA!A833),6),3),"-",(RIGHT(RIGHT(CONCATENATE("000",IFAData_TEA!A833),6),3)))</f>
        <v>084-909</v>
      </c>
      <c r="C833" s="2266" t="s">
        <v>98</v>
      </c>
      <c r="D833" s="2266">
        <v>10</v>
      </c>
      <c r="E833" s="2266">
        <v>2308</v>
      </c>
      <c r="F833" s="2266" t="s">
        <v>5406</v>
      </c>
      <c r="G833" s="2266" t="s">
        <v>5406</v>
      </c>
      <c r="H833" s="2436">
        <v>1049443</v>
      </c>
      <c r="I833" s="2436">
        <v>1320395</v>
      </c>
      <c r="J833" s="2446">
        <v>0.96048356064039264</v>
      </c>
      <c r="K833" s="2436">
        <v>1007972.7493291355</v>
      </c>
      <c r="L833" s="2436">
        <v>1007972.7493291355</v>
      </c>
      <c r="M833" s="2266">
        <v>599</v>
      </c>
    </row>
    <row r="834" spans="1:13" ht="15">
      <c r="A834" s="2266" t="s">
        <v>4148</v>
      </c>
      <c r="B834" s="1694" t="str">
        <f>CONCATENATE(LEFT(RIGHT(CONCATENATE("000",IFAData_TEA!A834),6),3),"-",(RIGHT(RIGHT(CONCATENATE("000",IFAData_TEA!A834),6),3)))</f>
        <v>084-911</v>
      </c>
      <c r="C834" s="2266" t="s">
        <v>1666</v>
      </c>
      <c r="D834" s="2266">
        <v>2</v>
      </c>
      <c r="E834" s="2266">
        <v>1829</v>
      </c>
      <c r="F834" s="2266" t="s">
        <v>5407</v>
      </c>
      <c r="G834" s="2266" t="s">
        <v>5407</v>
      </c>
      <c r="H834" s="2436">
        <v>1100400</v>
      </c>
      <c r="I834" s="2436">
        <v>0</v>
      </c>
      <c r="J834" s="2446">
        <v>0</v>
      </c>
      <c r="K834" s="2436">
        <v>0</v>
      </c>
      <c r="L834" s="2436">
        <v>0</v>
      </c>
      <c r="M834" s="2266">
        <v>599</v>
      </c>
    </row>
    <row r="835" spans="1:13" ht="15">
      <c r="A835" s="2266" t="s">
        <v>4148</v>
      </c>
      <c r="B835" s="1694" t="str">
        <f>CONCATENATE(LEFT(RIGHT(CONCATENATE("000",IFAData_TEA!A835),6),3),"-",(RIGHT(RIGHT(CONCATENATE("000",IFAData_TEA!A835),6),3)))</f>
        <v>084-911</v>
      </c>
      <c r="C835" s="2266" t="s">
        <v>1666</v>
      </c>
      <c r="D835" s="2266">
        <v>2</v>
      </c>
      <c r="E835" s="2266">
        <v>1829</v>
      </c>
      <c r="F835" s="2266" t="s">
        <v>5407</v>
      </c>
      <c r="G835" s="2266" t="s">
        <v>5409</v>
      </c>
      <c r="H835" s="2436">
        <v>1100400</v>
      </c>
      <c r="I835" s="2436">
        <v>0</v>
      </c>
      <c r="J835" s="2446">
        <v>0</v>
      </c>
      <c r="K835" s="2436">
        <v>0</v>
      </c>
      <c r="L835" s="2436">
        <v>0</v>
      </c>
      <c r="M835" s="2266">
        <v>599</v>
      </c>
    </row>
    <row r="836" spans="1:13" ht="15">
      <c r="A836" s="2266" t="s">
        <v>4148</v>
      </c>
      <c r="B836" s="1694" t="str">
        <f>CONCATENATE(LEFT(RIGHT(CONCATENATE("000",IFAData_TEA!A836),6),3),"-",(RIGHT(RIGHT(CONCATENATE("000",IFAData_TEA!A836),6),3)))</f>
        <v>084-911</v>
      </c>
      <c r="C836" s="2266" t="s">
        <v>1666</v>
      </c>
      <c r="D836" s="2266">
        <v>2</v>
      </c>
      <c r="E836" s="2266">
        <v>1829</v>
      </c>
      <c r="F836" s="2266" t="s">
        <v>5407</v>
      </c>
      <c r="G836" s="2266" t="s">
        <v>5408</v>
      </c>
      <c r="H836" s="2436">
        <v>1100400</v>
      </c>
      <c r="I836" s="2436">
        <v>1250170</v>
      </c>
      <c r="J836" s="2446">
        <v>1</v>
      </c>
      <c r="K836" s="2436">
        <v>1100400</v>
      </c>
      <c r="L836" s="2436">
        <v>1100400</v>
      </c>
      <c r="M836" s="2266">
        <v>599</v>
      </c>
    </row>
    <row r="837" spans="1:13" ht="15">
      <c r="A837" s="2266" t="s">
        <v>4149</v>
      </c>
      <c r="B837" s="1694" t="str">
        <f>CONCATENATE(LEFT(RIGHT(CONCATENATE("000",IFAData_TEA!A837),6),3),"-",(RIGHT(RIGHT(CONCATENATE("000",IFAData_TEA!A837),6),3)))</f>
        <v>089-901</v>
      </c>
      <c r="C837" s="2266" t="s">
        <v>973</v>
      </c>
      <c r="D837" s="2266">
        <v>2</v>
      </c>
      <c r="E837" s="2266">
        <v>1850</v>
      </c>
      <c r="F837" s="2266" t="s">
        <v>5410</v>
      </c>
      <c r="G837" s="2266" t="s">
        <v>5411</v>
      </c>
      <c r="H837" s="2436">
        <v>566258</v>
      </c>
      <c r="I837" s="2436">
        <v>574410</v>
      </c>
      <c r="J837" s="2446">
        <v>1</v>
      </c>
      <c r="K837" s="2436">
        <v>566258</v>
      </c>
      <c r="L837" s="2436">
        <v>566258</v>
      </c>
      <c r="M837" s="2266">
        <v>599</v>
      </c>
    </row>
    <row r="838" spans="1:13" ht="15">
      <c r="A838" s="2266" t="s">
        <v>4149</v>
      </c>
      <c r="B838" s="1694" t="str">
        <f>CONCATENATE(LEFT(RIGHT(CONCATENATE("000",IFAData_TEA!A838),6),3),"-",(RIGHT(RIGHT(CONCATENATE("000",IFAData_TEA!A838),6),3)))</f>
        <v>089-901</v>
      </c>
      <c r="C838" s="2266" t="s">
        <v>973</v>
      </c>
      <c r="D838" s="2266">
        <v>2</v>
      </c>
      <c r="E838" s="2266">
        <v>1850</v>
      </c>
      <c r="F838" s="2266" t="s">
        <v>5410</v>
      </c>
      <c r="G838" s="2266" t="s">
        <v>5410</v>
      </c>
      <c r="H838" s="2436">
        <v>566258</v>
      </c>
      <c r="I838" s="2436">
        <v>0</v>
      </c>
      <c r="J838" s="2446">
        <v>0</v>
      </c>
      <c r="K838" s="2436">
        <v>0</v>
      </c>
      <c r="L838" s="2436">
        <v>0</v>
      </c>
      <c r="M838" s="2266">
        <v>599</v>
      </c>
    </row>
    <row r="839" spans="1:13" ht="15">
      <c r="A839" s="2266" t="s">
        <v>4150</v>
      </c>
      <c r="B839" s="1694" t="str">
        <f>CONCATENATE(LEFT(RIGHT(CONCATENATE("000",IFAData_TEA!A839),6),3),"-",(RIGHT(RIGHT(CONCATENATE("000",IFAData_TEA!A839),6),3)))</f>
        <v>090-904</v>
      </c>
      <c r="C839" s="2266" t="s">
        <v>1540</v>
      </c>
      <c r="D839" s="2266">
        <v>1</v>
      </c>
      <c r="E839" s="2266">
        <v>2172</v>
      </c>
      <c r="F839" s="2266" t="s">
        <v>5412</v>
      </c>
      <c r="G839" s="2266" t="s">
        <v>5413</v>
      </c>
      <c r="H839" s="2436">
        <v>779066</v>
      </c>
      <c r="I839" s="2436">
        <v>585860</v>
      </c>
      <c r="J839" s="2446">
        <v>0.5265163429824482</v>
      </c>
      <c r="K839" s="2436">
        <v>410190.98126196401</v>
      </c>
      <c r="L839" s="2436">
        <v>410190.98126196401</v>
      </c>
      <c r="M839" s="2266">
        <v>599</v>
      </c>
    </row>
    <row r="840" spans="1:13" ht="15">
      <c r="A840" s="2266" t="s">
        <v>4150</v>
      </c>
      <c r="B840" s="1694" t="str">
        <f>CONCATENATE(LEFT(RIGHT(CONCATENATE("000",IFAData_TEA!A840),6),3),"-",(RIGHT(RIGHT(CONCATENATE("000",IFAData_TEA!A840),6),3)))</f>
        <v>090-904</v>
      </c>
      <c r="C840" s="2266" t="s">
        <v>1540</v>
      </c>
      <c r="D840" s="2266">
        <v>1</v>
      </c>
      <c r="E840" s="2266">
        <v>2172</v>
      </c>
      <c r="F840" s="2266" t="s">
        <v>5412</v>
      </c>
      <c r="G840" s="2266" t="s">
        <v>5412</v>
      </c>
      <c r="H840" s="2436">
        <v>779066</v>
      </c>
      <c r="I840" s="2436">
        <v>0</v>
      </c>
      <c r="J840" s="2446">
        <v>0</v>
      </c>
      <c r="K840" s="2436">
        <v>0</v>
      </c>
      <c r="L840" s="2436">
        <v>0</v>
      </c>
      <c r="M840" s="2266">
        <v>599</v>
      </c>
    </row>
    <row r="841" spans="1:13" ht="15">
      <c r="A841" s="2266" t="s">
        <v>4150</v>
      </c>
      <c r="B841" s="1694" t="str">
        <f>CONCATENATE(LEFT(RIGHT(CONCATENATE("000",IFAData_TEA!A841),6),3),"-",(RIGHT(RIGHT(CONCATENATE("000",IFAData_TEA!A841),6),3)))</f>
        <v>090-904</v>
      </c>
      <c r="C841" s="2266" t="s">
        <v>1540</v>
      </c>
      <c r="D841" s="2266">
        <v>1</v>
      </c>
      <c r="E841" s="2266">
        <v>2172</v>
      </c>
      <c r="F841" s="2266" t="s">
        <v>5412</v>
      </c>
      <c r="G841" s="2266" t="s">
        <v>5414</v>
      </c>
      <c r="H841" s="2436">
        <v>779066</v>
      </c>
      <c r="I841" s="2436">
        <v>526850</v>
      </c>
      <c r="J841" s="2446">
        <v>0.47348365701755174</v>
      </c>
      <c r="K841" s="2436">
        <v>368875.01873803599</v>
      </c>
      <c r="L841" s="2436">
        <v>368875.01873803599</v>
      </c>
      <c r="M841" s="2266">
        <v>599</v>
      </c>
    </row>
    <row r="842" spans="1:13" ht="15">
      <c r="A842" s="2266" t="s">
        <v>4151</v>
      </c>
      <c r="B842" s="1694" t="str">
        <f>CONCATENATE(LEFT(RIGHT(CONCATENATE("000",IFAData_TEA!A842),6),3),"-",(RIGHT(RIGHT(CONCATENATE("000",IFAData_TEA!A842),6),3)))</f>
        <v>091-901</v>
      </c>
      <c r="C842" s="2266" t="s">
        <v>1757</v>
      </c>
      <c r="D842" s="2266">
        <v>3</v>
      </c>
      <c r="E842" s="2266">
        <v>1600</v>
      </c>
      <c r="F842" s="2266" t="s">
        <v>5418</v>
      </c>
      <c r="G842" s="2266" t="s">
        <v>5418</v>
      </c>
      <c r="H842" s="2436">
        <v>51750</v>
      </c>
      <c r="I842" s="2436">
        <v>0</v>
      </c>
      <c r="J842" s="2446">
        <v>0</v>
      </c>
      <c r="K842" s="2436">
        <v>0</v>
      </c>
      <c r="L842" s="2436">
        <v>0</v>
      </c>
      <c r="M842" s="2266">
        <v>599</v>
      </c>
    </row>
    <row r="843" spans="1:13" ht="15">
      <c r="A843" s="2266" t="s">
        <v>4151</v>
      </c>
      <c r="B843" s="1694" t="str">
        <f>CONCATENATE(LEFT(RIGHT(CONCATENATE("000",IFAData_TEA!A843),6),3),"-",(RIGHT(RIGHT(CONCATENATE("000",IFAData_TEA!A843),6),3)))</f>
        <v>091-901</v>
      </c>
      <c r="C843" s="2266" t="s">
        <v>1757</v>
      </c>
      <c r="D843" s="2266">
        <v>2</v>
      </c>
      <c r="E843" s="2266">
        <v>1601</v>
      </c>
      <c r="F843" s="2266" t="s">
        <v>5415</v>
      </c>
      <c r="G843" s="2266" t="s">
        <v>5415</v>
      </c>
      <c r="H843" s="2436">
        <v>85000</v>
      </c>
      <c r="I843" s="2436">
        <v>0</v>
      </c>
      <c r="J843" s="2446">
        <v>0</v>
      </c>
      <c r="K843" s="2436">
        <v>0</v>
      </c>
      <c r="L843" s="2436">
        <v>0</v>
      </c>
      <c r="M843" s="2266">
        <v>599</v>
      </c>
    </row>
    <row r="844" spans="1:13" ht="15">
      <c r="A844" s="2266" t="s">
        <v>4151</v>
      </c>
      <c r="B844" s="1694" t="str">
        <f>CONCATENATE(LEFT(RIGHT(CONCATENATE("000",IFAData_TEA!A844),6),3),"-",(RIGHT(RIGHT(CONCATENATE("000",IFAData_TEA!A844),6),3)))</f>
        <v>091-901</v>
      </c>
      <c r="C844" s="2266" t="s">
        <v>1757</v>
      </c>
      <c r="D844" s="2266">
        <v>3</v>
      </c>
      <c r="E844" s="2266">
        <v>1600</v>
      </c>
      <c r="F844" s="2266" t="s">
        <v>5418</v>
      </c>
      <c r="G844" s="2266" t="s">
        <v>5417</v>
      </c>
      <c r="H844" s="2436">
        <v>51750</v>
      </c>
      <c r="I844" s="2436">
        <v>48814</v>
      </c>
      <c r="J844" s="2446">
        <v>1</v>
      </c>
      <c r="K844" s="2436">
        <v>51750</v>
      </c>
      <c r="L844" s="2436">
        <v>48814</v>
      </c>
      <c r="M844" s="2266">
        <v>599</v>
      </c>
    </row>
    <row r="845" spans="1:13" ht="15">
      <c r="A845" s="2266" t="s">
        <v>4151</v>
      </c>
      <c r="B845" s="1694" t="str">
        <f>CONCATENATE(LEFT(RIGHT(CONCATENATE("000",IFAData_TEA!A845),6),3),"-",(RIGHT(RIGHT(CONCATENATE("000",IFAData_TEA!A845),6),3)))</f>
        <v>091-901</v>
      </c>
      <c r="C845" s="2266" t="s">
        <v>1757</v>
      </c>
      <c r="D845" s="2266">
        <v>2</v>
      </c>
      <c r="E845" s="2266">
        <v>1601</v>
      </c>
      <c r="F845" s="2266" t="s">
        <v>5415</v>
      </c>
      <c r="G845" s="2266" t="s">
        <v>5417</v>
      </c>
      <c r="H845" s="2436">
        <v>85000</v>
      </c>
      <c r="I845" s="2436">
        <v>129571</v>
      </c>
      <c r="J845" s="2446">
        <v>0.53450957258540244</v>
      </c>
      <c r="K845" s="2436">
        <v>45433.313669759205</v>
      </c>
      <c r="L845" s="2436">
        <v>45433.313669759205</v>
      </c>
      <c r="M845" s="2266">
        <v>599</v>
      </c>
    </row>
    <row r="846" spans="1:13" ht="15">
      <c r="A846" s="2266" t="s">
        <v>4151</v>
      </c>
      <c r="B846" s="1694" t="str">
        <f>CONCATENATE(LEFT(RIGHT(CONCATENATE("000",IFAData_TEA!A846),6),3),"-",(RIGHT(RIGHT(CONCATENATE("000",IFAData_TEA!A846),6),3)))</f>
        <v>091-901</v>
      </c>
      <c r="C846" s="2266" t="s">
        <v>1757</v>
      </c>
      <c r="D846" s="2266">
        <v>2</v>
      </c>
      <c r="E846" s="2266">
        <v>1601</v>
      </c>
      <c r="F846" s="2266" t="s">
        <v>5415</v>
      </c>
      <c r="G846" s="2266" t="s">
        <v>5416</v>
      </c>
      <c r="H846" s="2436">
        <v>85000</v>
      </c>
      <c r="I846" s="2436">
        <v>112840</v>
      </c>
      <c r="J846" s="2446">
        <v>0.46549042741459751</v>
      </c>
      <c r="K846" s="2436">
        <v>39566.686330240787</v>
      </c>
      <c r="L846" s="2436">
        <v>39566.686330240787</v>
      </c>
      <c r="M846" s="2266">
        <v>599</v>
      </c>
    </row>
    <row r="847" spans="1:13" ht="15">
      <c r="A847" s="2266" t="s">
        <v>4151</v>
      </c>
      <c r="B847" s="1694" t="str">
        <f>CONCATENATE(LEFT(RIGHT(CONCATENATE("000",IFAData_TEA!A847),6),3),"-",(RIGHT(RIGHT(CONCATENATE("000",IFAData_TEA!A847),6),3)))</f>
        <v>091-901</v>
      </c>
      <c r="C847" s="2266" t="s">
        <v>1757</v>
      </c>
      <c r="D847" s="2266">
        <v>9</v>
      </c>
      <c r="E847" s="2266">
        <v>1602</v>
      </c>
      <c r="F847" s="2266" t="s">
        <v>5416</v>
      </c>
      <c r="G847" s="2266" t="s">
        <v>5416</v>
      </c>
      <c r="H847" s="2436">
        <v>180464</v>
      </c>
      <c r="I847" s="2436">
        <v>430406</v>
      </c>
      <c r="J847" s="2446">
        <v>1</v>
      </c>
      <c r="K847" s="2436">
        <v>180464</v>
      </c>
      <c r="L847" s="2436">
        <v>180464</v>
      </c>
      <c r="M847" s="2266">
        <v>599</v>
      </c>
    </row>
    <row r="848" spans="1:13" ht="15">
      <c r="A848" s="2266" t="s">
        <v>5419</v>
      </c>
      <c r="B848" s="1694" t="str">
        <f>CONCATENATE(LEFT(RIGHT(CONCATENATE("000",IFAData_TEA!A848),6),3),"-",(RIGHT(RIGHT(CONCATENATE("000",IFAData_TEA!A848),6),3)))</f>
        <v>091-902</v>
      </c>
      <c r="C848" s="2266" t="s">
        <v>1630</v>
      </c>
      <c r="D848" s="2266">
        <v>9</v>
      </c>
      <c r="E848" s="2266">
        <v>1706</v>
      </c>
      <c r="F848" s="2266" t="s">
        <v>5420</v>
      </c>
      <c r="G848" s="2266" t="s">
        <v>5420</v>
      </c>
      <c r="H848" s="2436">
        <v>147510</v>
      </c>
      <c r="I848" s="2436">
        <v>0</v>
      </c>
      <c r="J848" s="2446">
        <v>0</v>
      </c>
      <c r="K848" s="2436"/>
      <c r="L848" s="2436">
        <v>0</v>
      </c>
      <c r="M848" s="2266">
        <v>199</v>
      </c>
    </row>
    <row r="849" spans="1:13" ht="15">
      <c r="A849" s="2266" t="s">
        <v>4152</v>
      </c>
      <c r="B849" s="1694" t="str">
        <f>CONCATENATE(LEFT(RIGHT(CONCATENATE("000",IFAData_TEA!A849),6),3),"-",(RIGHT(RIGHT(CONCATENATE("000",IFAData_TEA!A849),6),3)))</f>
        <v>091-905</v>
      </c>
      <c r="C849" s="2266" t="s">
        <v>2731</v>
      </c>
      <c r="D849" s="2266">
        <v>5</v>
      </c>
      <c r="E849" s="2266">
        <v>1904</v>
      </c>
      <c r="F849" s="2266" t="s">
        <v>5421</v>
      </c>
      <c r="G849" s="2266" t="s">
        <v>5423</v>
      </c>
      <c r="H849" s="2436">
        <v>308470</v>
      </c>
      <c r="I849" s="2436">
        <v>31406</v>
      </c>
      <c r="J849" s="2446">
        <v>5.5832293344426548E-2</v>
      </c>
      <c r="K849" s="2436">
        <v>17222.587527955257</v>
      </c>
      <c r="L849" s="2436">
        <v>17222.587527955257</v>
      </c>
      <c r="M849" s="2266">
        <v>599</v>
      </c>
    </row>
    <row r="850" spans="1:13" ht="15">
      <c r="A850" s="2266" t="s">
        <v>4152</v>
      </c>
      <c r="B850" s="1694" t="str">
        <f>CONCATENATE(LEFT(RIGHT(CONCATENATE("000",IFAData_TEA!A850),6),3),"-",(RIGHT(RIGHT(CONCATENATE("000",IFAData_TEA!A850),6),3)))</f>
        <v>091-905</v>
      </c>
      <c r="C850" s="2266" t="s">
        <v>2731</v>
      </c>
      <c r="D850" s="2266">
        <v>5</v>
      </c>
      <c r="E850" s="2266">
        <v>1904</v>
      </c>
      <c r="F850" s="2266" t="s">
        <v>5421</v>
      </c>
      <c r="G850" s="2266" t="s">
        <v>5422</v>
      </c>
      <c r="H850" s="2436">
        <v>308470</v>
      </c>
      <c r="I850" s="2436">
        <v>531100</v>
      </c>
      <c r="J850" s="2446">
        <v>0.94416770665557348</v>
      </c>
      <c r="K850" s="2436">
        <v>291247.41247204476</v>
      </c>
      <c r="L850" s="2436">
        <v>291247.41247204476</v>
      </c>
      <c r="M850" s="2266">
        <v>599</v>
      </c>
    </row>
    <row r="851" spans="1:13" ht="15">
      <c r="A851" s="2266" t="s">
        <v>4152</v>
      </c>
      <c r="B851" s="1694" t="str">
        <f>CONCATENATE(LEFT(RIGHT(CONCATENATE("000",IFAData_TEA!A851),6),3),"-",(RIGHT(RIGHT(CONCATENATE("000",IFAData_TEA!A851),6),3)))</f>
        <v>091-905</v>
      </c>
      <c r="C851" s="2266" t="s">
        <v>2731</v>
      </c>
      <c r="D851" s="2266">
        <v>5</v>
      </c>
      <c r="E851" s="2266">
        <v>1904</v>
      </c>
      <c r="F851" s="2266" t="s">
        <v>5421</v>
      </c>
      <c r="G851" s="2266" t="s">
        <v>5421</v>
      </c>
      <c r="H851" s="2436">
        <v>308470</v>
      </c>
      <c r="I851" s="2436">
        <v>0</v>
      </c>
      <c r="J851" s="2446">
        <v>0</v>
      </c>
      <c r="K851" s="2436">
        <v>0</v>
      </c>
      <c r="L851" s="2436">
        <v>0</v>
      </c>
      <c r="M851" s="2266">
        <v>599</v>
      </c>
    </row>
    <row r="852" spans="1:13" ht="15">
      <c r="A852" s="2266" t="s">
        <v>4152</v>
      </c>
      <c r="B852" s="1694" t="str">
        <f>CONCATENATE(LEFT(RIGHT(CONCATENATE("000",IFAData_TEA!A852),6),3),"-",(RIGHT(RIGHT(CONCATENATE("000",IFAData_TEA!A852),6),3)))</f>
        <v>091-905</v>
      </c>
      <c r="C852" s="2266" t="s">
        <v>2731</v>
      </c>
      <c r="D852" s="2266">
        <v>5</v>
      </c>
      <c r="E852" s="2266">
        <v>1903</v>
      </c>
      <c r="F852" s="2266" t="s">
        <v>5424</v>
      </c>
      <c r="G852" s="2266" t="s">
        <v>5424</v>
      </c>
      <c r="H852" s="2436">
        <v>153973</v>
      </c>
      <c r="I852" s="2436">
        <v>152757</v>
      </c>
      <c r="J852" s="2446">
        <v>1</v>
      </c>
      <c r="K852" s="2436">
        <v>153973</v>
      </c>
      <c r="L852" s="2436">
        <v>152757</v>
      </c>
      <c r="M852" s="2266">
        <v>599</v>
      </c>
    </row>
    <row r="853" spans="1:13" ht="15">
      <c r="A853" s="2266" t="s">
        <v>4153</v>
      </c>
      <c r="B853" s="1694" t="str">
        <f>CONCATENATE(LEFT(RIGHT(CONCATENATE("000",IFAData_TEA!A853),6),3),"-",(RIGHT(RIGHT(CONCATENATE("000",IFAData_TEA!A853),6),3)))</f>
        <v>091-906</v>
      </c>
      <c r="C853" s="2266" t="s">
        <v>1849</v>
      </c>
      <c r="D853" s="2266">
        <v>9</v>
      </c>
      <c r="E853" s="2266">
        <v>2331</v>
      </c>
      <c r="F853" s="2266" t="s">
        <v>5425</v>
      </c>
      <c r="G853" s="2266" t="s">
        <v>5427</v>
      </c>
      <c r="H853" s="2436">
        <v>1512500</v>
      </c>
      <c r="I853" s="2436">
        <v>776224</v>
      </c>
      <c r="J853" s="2446">
        <v>0.2162888138226626</v>
      </c>
      <c r="K853" s="2436">
        <v>327136.83090677718</v>
      </c>
      <c r="L853" s="2436">
        <v>327136.83090677718</v>
      </c>
      <c r="M853" s="2266">
        <v>599</v>
      </c>
    </row>
    <row r="854" spans="1:13" ht="15">
      <c r="A854" s="2266" t="s">
        <v>4153</v>
      </c>
      <c r="B854" s="1694" t="str">
        <f>CONCATENATE(LEFT(RIGHT(CONCATENATE("000",IFAData_TEA!A854),6),3),"-",(RIGHT(RIGHT(CONCATENATE("000",IFAData_TEA!A854),6),3)))</f>
        <v>091-906</v>
      </c>
      <c r="C854" s="2266" t="s">
        <v>1849</v>
      </c>
      <c r="D854" s="2266">
        <v>9</v>
      </c>
      <c r="E854" s="2266">
        <v>2331</v>
      </c>
      <c r="F854" s="2266" t="s">
        <v>5425</v>
      </c>
      <c r="G854" s="2266" t="s">
        <v>5426</v>
      </c>
      <c r="H854" s="2436">
        <v>1512500</v>
      </c>
      <c r="I854" s="2436">
        <v>156248</v>
      </c>
      <c r="J854" s="2446">
        <v>4.3537296685188021E-2</v>
      </c>
      <c r="K854" s="2436">
        <v>65850.161236346874</v>
      </c>
      <c r="L854" s="2436">
        <v>65850.161236346874</v>
      </c>
      <c r="M854" s="2266">
        <v>599</v>
      </c>
    </row>
    <row r="855" spans="1:13" ht="15">
      <c r="A855" s="2266" t="s">
        <v>4153</v>
      </c>
      <c r="B855" s="1694" t="str">
        <f>CONCATENATE(LEFT(RIGHT(CONCATENATE("000",IFAData_TEA!A855),6),3),"-",(RIGHT(RIGHT(CONCATENATE("000",IFAData_TEA!A855),6),3)))</f>
        <v>091-906</v>
      </c>
      <c r="C855" s="2266" t="s">
        <v>1849</v>
      </c>
      <c r="D855" s="2266">
        <v>9</v>
      </c>
      <c r="E855" s="2266">
        <v>2331</v>
      </c>
      <c r="F855" s="2266" t="s">
        <v>5425</v>
      </c>
      <c r="G855" s="2266" t="s">
        <v>5425</v>
      </c>
      <c r="H855" s="2436">
        <v>1512500</v>
      </c>
      <c r="I855" s="2436">
        <v>2656359</v>
      </c>
      <c r="J855" s="2446">
        <v>0.74017388949214935</v>
      </c>
      <c r="K855" s="2436">
        <v>1119513.0078568759</v>
      </c>
      <c r="L855" s="2436">
        <v>1119513.0078568759</v>
      </c>
      <c r="M855" s="2266">
        <v>599</v>
      </c>
    </row>
    <row r="856" spans="1:13" ht="15">
      <c r="A856" s="2266" t="s">
        <v>4154</v>
      </c>
      <c r="B856" s="1694" t="str">
        <f>CONCATENATE(LEFT(RIGHT(CONCATENATE("000",IFAData_TEA!A856),6),3),"-",(RIGHT(RIGHT(CONCATENATE("000",IFAData_TEA!A856),6),3)))</f>
        <v>091-908</v>
      </c>
      <c r="C856" s="2266" t="s">
        <v>2706</v>
      </c>
      <c r="D856" s="2266">
        <v>6</v>
      </c>
      <c r="E856" s="2266">
        <v>2418</v>
      </c>
      <c r="F856" s="2266" t="s">
        <v>5430</v>
      </c>
      <c r="G856" s="2266" t="s">
        <v>5430</v>
      </c>
      <c r="H856" s="2436">
        <v>15230</v>
      </c>
      <c r="I856" s="2436">
        <v>0</v>
      </c>
      <c r="J856" s="2446">
        <v>0</v>
      </c>
      <c r="K856" s="2436">
        <v>0</v>
      </c>
      <c r="L856" s="2436">
        <v>0</v>
      </c>
      <c r="M856" s="2266">
        <v>599</v>
      </c>
    </row>
    <row r="857" spans="1:13" ht="15">
      <c r="A857" s="2266" t="s">
        <v>4154</v>
      </c>
      <c r="B857" s="1694" t="str">
        <f>CONCATENATE(LEFT(RIGHT(CONCATENATE("000",IFAData_TEA!A857),6),3),"-",(RIGHT(RIGHT(CONCATENATE("000",IFAData_TEA!A857),6),3)))</f>
        <v>091-908</v>
      </c>
      <c r="C857" s="2266" t="s">
        <v>2706</v>
      </c>
      <c r="D857" s="2266">
        <v>6</v>
      </c>
      <c r="E857" s="2266">
        <v>2418</v>
      </c>
      <c r="F857" s="2266" t="s">
        <v>5430</v>
      </c>
      <c r="G857" s="2266" t="s">
        <v>5431</v>
      </c>
      <c r="H857" s="2436">
        <v>15230</v>
      </c>
      <c r="I857" s="2436">
        <v>283950</v>
      </c>
      <c r="J857" s="2446">
        <v>1</v>
      </c>
      <c r="K857" s="2436">
        <v>15230</v>
      </c>
      <c r="L857" s="2436">
        <v>15230</v>
      </c>
      <c r="M857" s="2266">
        <v>599</v>
      </c>
    </row>
    <row r="858" spans="1:13" ht="15">
      <c r="A858" s="2266" t="s">
        <v>4154</v>
      </c>
      <c r="B858" s="1694" t="str">
        <f>CONCATENATE(LEFT(RIGHT(CONCATENATE("000",IFAData_TEA!A858),6),3),"-",(RIGHT(RIGHT(CONCATENATE("000",IFAData_TEA!A858),6),3)))</f>
        <v>091-908</v>
      </c>
      <c r="C858" s="2266" t="s">
        <v>2706</v>
      </c>
      <c r="D858" s="2266">
        <v>5</v>
      </c>
      <c r="E858" s="2266">
        <v>2420</v>
      </c>
      <c r="F858" s="2266" t="s">
        <v>5428</v>
      </c>
      <c r="G858" s="2266" t="s">
        <v>5428</v>
      </c>
      <c r="H858" s="2436">
        <v>304630</v>
      </c>
      <c r="I858" s="2436">
        <v>0</v>
      </c>
      <c r="J858" s="2446">
        <v>0</v>
      </c>
      <c r="K858" s="2436">
        <v>0</v>
      </c>
      <c r="L858" s="2436">
        <v>0</v>
      </c>
      <c r="M858" s="2266">
        <v>599</v>
      </c>
    </row>
    <row r="859" spans="1:13" ht="15">
      <c r="A859" s="2266" t="s">
        <v>4154</v>
      </c>
      <c r="B859" s="1694" t="str">
        <f>CONCATENATE(LEFT(RIGHT(CONCATENATE("000",IFAData_TEA!A859),6),3),"-",(RIGHT(RIGHT(CONCATENATE("000",IFAData_TEA!A859),6),3)))</f>
        <v>091-908</v>
      </c>
      <c r="C859" s="2266" t="s">
        <v>2706</v>
      </c>
      <c r="D859" s="2266">
        <v>5</v>
      </c>
      <c r="E859" s="2266">
        <v>2420</v>
      </c>
      <c r="F859" s="2266" t="s">
        <v>5428</v>
      </c>
      <c r="G859" s="2266" t="s">
        <v>5429</v>
      </c>
      <c r="H859" s="2436">
        <v>304630</v>
      </c>
      <c r="I859" s="2436">
        <v>419605</v>
      </c>
      <c r="J859" s="2446">
        <v>1</v>
      </c>
      <c r="K859" s="2436">
        <v>304630</v>
      </c>
      <c r="L859" s="2436">
        <v>304630</v>
      </c>
      <c r="M859" s="2266">
        <v>599</v>
      </c>
    </row>
    <row r="860" spans="1:13" ht="15">
      <c r="A860" s="2266" t="s">
        <v>4154</v>
      </c>
      <c r="B860" s="1694" t="str">
        <f>CONCATENATE(LEFT(RIGHT(CONCATENATE("000",IFAData_TEA!A860),6),3),"-",(RIGHT(RIGHT(CONCATENATE("000",IFAData_TEA!A860),6),3)))</f>
        <v>091-908</v>
      </c>
      <c r="C860" s="2266" t="s">
        <v>2706</v>
      </c>
      <c r="D860" s="2266">
        <v>9</v>
      </c>
      <c r="E860" s="2266">
        <v>2419</v>
      </c>
      <c r="F860" s="2266" t="s">
        <v>5432</v>
      </c>
      <c r="G860" s="2266" t="s">
        <v>5432</v>
      </c>
      <c r="H860" s="2436">
        <v>292584</v>
      </c>
      <c r="I860" s="2436">
        <v>401305</v>
      </c>
      <c r="J860" s="2446">
        <v>1</v>
      </c>
      <c r="K860" s="2436">
        <v>292584</v>
      </c>
      <c r="L860" s="2436">
        <v>292584</v>
      </c>
      <c r="M860" s="2266">
        <v>599</v>
      </c>
    </row>
    <row r="861" spans="1:13" ht="15">
      <c r="A861" s="2266" t="s">
        <v>4155</v>
      </c>
      <c r="B861" s="1694" t="str">
        <f>CONCATENATE(LEFT(RIGHT(CONCATENATE("000",IFAData_TEA!A861),6),3),"-",(RIGHT(RIGHT(CONCATENATE("000",IFAData_TEA!A861),6),3)))</f>
        <v>091-909</v>
      </c>
      <c r="C861" s="2266" t="s">
        <v>1511</v>
      </c>
      <c r="D861" s="2266">
        <v>5</v>
      </c>
      <c r="E861" s="2266">
        <v>2452</v>
      </c>
      <c r="F861" s="2266" t="s">
        <v>5433</v>
      </c>
      <c r="G861" s="2266" t="s">
        <v>5433</v>
      </c>
      <c r="H861" s="2436">
        <v>323783</v>
      </c>
      <c r="I861" s="2436">
        <v>0</v>
      </c>
      <c r="J861" s="2446">
        <v>0</v>
      </c>
      <c r="K861" s="2436">
        <v>0</v>
      </c>
      <c r="L861" s="2436">
        <v>0</v>
      </c>
      <c r="M861" s="2266">
        <v>599</v>
      </c>
    </row>
    <row r="862" spans="1:13" ht="15">
      <c r="A862" s="2266" t="s">
        <v>4155</v>
      </c>
      <c r="B862" s="1694" t="str">
        <f>CONCATENATE(LEFT(RIGHT(CONCATENATE("000",IFAData_TEA!A862),6),3),"-",(RIGHT(RIGHT(CONCATENATE("000",IFAData_TEA!A862),6),3)))</f>
        <v>091-909</v>
      </c>
      <c r="C862" s="2266" t="s">
        <v>1511</v>
      </c>
      <c r="D862" s="2266">
        <v>5</v>
      </c>
      <c r="E862" s="2266">
        <v>2452</v>
      </c>
      <c r="F862" s="2266" t="s">
        <v>5433</v>
      </c>
      <c r="G862" s="2266" t="s">
        <v>5434</v>
      </c>
      <c r="H862" s="2436">
        <v>323783</v>
      </c>
      <c r="I862" s="2436">
        <v>342021</v>
      </c>
      <c r="J862" s="2446">
        <v>1</v>
      </c>
      <c r="K862" s="2436">
        <v>323783</v>
      </c>
      <c r="L862" s="2436">
        <v>323783</v>
      </c>
      <c r="M862" s="2266">
        <v>599</v>
      </c>
    </row>
    <row r="863" spans="1:13" ht="15">
      <c r="A863" s="2266" t="s">
        <v>4156</v>
      </c>
      <c r="B863" s="1694" t="str">
        <f>CONCATENATE(LEFT(RIGHT(CONCATENATE("000",IFAData_TEA!A863),6),3),"-",(RIGHT(RIGHT(CONCATENATE("000",IFAData_TEA!A863),6),3)))</f>
        <v>091-913</v>
      </c>
      <c r="C863" s="2266" t="s">
        <v>2410</v>
      </c>
      <c r="D863" s="2266">
        <v>2</v>
      </c>
      <c r="E863" s="2266">
        <v>2207</v>
      </c>
      <c r="F863" s="2266" t="s">
        <v>5435</v>
      </c>
      <c r="G863" s="2266" t="s">
        <v>6974</v>
      </c>
      <c r="H863" s="2436">
        <v>315852</v>
      </c>
      <c r="I863" s="2436">
        <v>0</v>
      </c>
      <c r="J863" s="2446">
        <v>0</v>
      </c>
      <c r="K863" s="2436">
        <v>0</v>
      </c>
      <c r="L863" s="2436">
        <v>0</v>
      </c>
      <c r="M863" s="2266">
        <v>599</v>
      </c>
    </row>
    <row r="864" spans="1:13" ht="15">
      <c r="A864" s="2266" t="s">
        <v>4156</v>
      </c>
      <c r="B864" s="1694" t="str">
        <f>CONCATENATE(LEFT(RIGHT(CONCATENATE("000",IFAData_TEA!A864),6),3),"-",(RIGHT(RIGHT(CONCATENATE("000",IFAData_TEA!A864),6),3)))</f>
        <v>091-913</v>
      </c>
      <c r="C864" s="2266" t="s">
        <v>2410</v>
      </c>
      <c r="D864" s="2266">
        <v>2</v>
      </c>
      <c r="E864" s="2266">
        <v>2207</v>
      </c>
      <c r="F864" s="2266" t="s">
        <v>5435</v>
      </c>
      <c r="G864" s="2266" t="s">
        <v>5436</v>
      </c>
      <c r="H864" s="2436">
        <v>315852</v>
      </c>
      <c r="I864" s="2436">
        <v>947094</v>
      </c>
      <c r="J864" s="2446">
        <v>0.98060621748246313</v>
      </c>
      <c r="K864" s="2436">
        <v>309726.43500427093</v>
      </c>
      <c r="L864" s="2436">
        <v>309726.43500427093</v>
      </c>
      <c r="M864" s="2266">
        <v>599</v>
      </c>
    </row>
    <row r="865" spans="1:13" ht="15">
      <c r="A865" s="2266" t="s">
        <v>4156</v>
      </c>
      <c r="B865" s="1694" t="str">
        <f>CONCATENATE(LEFT(RIGHT(CONCATENATE("000",IFAData_TEA!A865),6),3),"-",(RIGHT(RIGHT(CONCATENATE("000",IFAData_TEA!A865),6),3)))</f>
        <v>091-913</v>
      </c>
      <c r="C865" s="2266" t="s">
        <v>2410</v>
      </c>
      <c r="D865" s="2266">
        <v>2</v>
      </c>
      <c r="E865" s="2266">
        <v>2207</v>
      </c>
      <c r="F865" s="2266" t="s">
        <v>5435</v>
      </c>
      <c r="G865" s="2266" t="s">
        <v>5435</v>
      </c>
      <c r="H865" s="2436">
        <v>315852</v>
      </c>
      <c r="I865" s="2436">
        <v>18731</v>
      </c>
      <c r="J865" s="2446">
        <v>1.9393782517536821E-2</v>
      </c>
      <c r="K865" s="2436">
        <v>6125.5649957290398</v>
      </c>
      <c r="L865" s="2436">
        <v>6125.5649957290398</v>
      </c>
      <c r="M865" s="2266">
        <v>599</v>
      </c>
    </row>
    <row r="866" spans="1:13" ht="15">
      <c r="A866" s="2266" t="s">
        <v>4157</v>
      </c>
      <c r="B866" s="1694" t="str">
        <f>CONCATENATE(LEFT(RIGHT(CONCATENATE("000",IFAData_TEA!A866),6),3),"-",(RIGHT(RIGHT(CONCATENATE("000",IFAData_TEA!A866),6),3)))</f>
        <v>091-917</v>
      </c>
      <c r="C866" s="2266" t="s">
        <v>1948</v>
      </c>
      <c r="D866" s="2266">
        <v>3</v>
      </c>
      <c r="E866" s="2266">
        <v>1862</v>
      </c>
      <c r="F866" s="2266" t="s">
        <v>5437</v>
      </c>
      <c r="G866" s="2266" t="s">
        <v>5438</v>
      </c>
      <c r="H866" s="2436">
        <v>145000</v>
      </c>
      <c r="I866" s="2436">
        <v>145125</v>
      </c>
      <c r="J866" s="2446">
        <v>1</v>
      </c>
      <c r="K866" s="2436">
        <v>145000</v>
      </c>
      <c r="L866" s="2436">
        <v>145000</v>
      </c>
      <c r="M866" s="2266">
        <v>599</v>
      </c>
    </row>
    <row r="867" spans="1:13" ht="15">
      <c r="A867" s="2266" t="s">
        <v>4157</v>
      </c>
      <c r="B867" s="1694" t="str">
        <f>CONCATENATE(LEFT(RIGHT(CONCATENATE("000",IFAData_TEA!A867),6),3),"-",(RIGHT(RIGHT(CONCATENATE("000",IFAData_TEA!A867),6),3)))</f>
        <v>091-917</v>
      </c>
      <c r="C867" s="2266" t="s">
        <v>1948</v>
      </c>
      <c r="D867" s="2266">
        <v>9</v>
      </c>
      <c r="E867" s="2266">
        <v>1861</v>
      </c>
      <c r="F867" s="2266" t="s">
        <v>5439</v>
      </c>
      <c r="G867" s="2266" t="s">
        <v>5439</v>
      </c>
      <c r="H867" s="2436">
        <v>129415</v>
      </c>
      <c r="I867" s="2436">
        <v>132515</v>
      </c>
      <c r="J867" s="2446">
        <v>1</v>
      </c>
      <c r="K867" s="2436">
        <v>129415</v>
      </c>
      <c r="L867" s="2436">
        <v>129415</v>
      </c>
      <c r="M867" s="2266">
        <v>599</v>
      </c>
    </row>
    <row r="868" spans="1:13" ht="15">
      <c r="A868" s="2266" t="s">
        <v>4157</v>
      </c>
      <c r="B868" s="1694" t="str">
        <f>CONCATENATE(LEFT(RIGHT(CONCATENATE("000",IFAData_TEA!A868),6),3),"-",(RIGHT(RIGHT(CONCATENATE("000",IFAData_TEA!A868),6),3)))</f>
        <v>091-917</v>
      </c>
      <c r="C868" s="2266" t="s">
        <v>1948</v>
      </c>
      <c r="D868" s="2266">
        <v>3</v>
      </c>
      <c r="E868" s="2266">
        <v>1862</v>
      </c>
      <c r="F868" s="2266" t="s">
        <v>5437</v>
      </c>
      <c r="G868" s="2266" t="s">
        <v>5437</v>
      </c>
      <c r="H868" s="2436">
        <v>145000</v>
      </c>
      <c r="I868" s="2436">
        <v>0</v>
      </c>
      <c r="J868" s="2446">
        <v>0</v>
      </c>
      <c r="K868" s="2436">
        <v>0</v>
      </c>
      <c r="L868" s="2436">
        <v>0</v>
      </c>
      <c r="M868" s="2266">
        <v>599</v>
      </c>
    </row>
    <row r="869" spans="1:13" ht="15">
      <c r="A869" s="2266" t="s">
        <v>5440</v>
      </c>
      <c r="B869" s="1694" t="str">
        <f>CONCATENATE(LEFT(RIGHT(CONCATENATE("000",IFAData_TEA!A869),6),3),"-",(RIGHT(RIGHT(CONCATENATE("000",IFAData_TEA!A869),6),3)))</f>
        <v>092-903</v>
      </c>
      <c r="C869" s="2266" t="s">
        <v>2436</v>
      </c>
      <c r="D869" s="2266">
        <v>1</v>
      </c>
      <c r="E869" s="2266">
        <v>2034</v>
      </c>
      <c r="F869" s="2266" t="s">
        <v>5441</v>
      </c>
      <c r="G869" s="2266" t="s">
        <v>5441</v>
      </c>
      <c r="H869" s="2436">
        <v>346003</v>
      </c>
      <c r="I869" s="2436">
        <v>0</v>
      </c>
      <c r="J869" s="2446">
        <v>0</v>
      </c>
      <c r="K869" s="2436"/>
      <c r="L869" s="2436">
        <v>0</v>
      </c>
      <c r="M869" s="2266">
        <v>599</v>
      </c>
    </row>
    <row r="870" spans="1:13" ht="15">
      <c r="A870" s="2266" t="s">
        <v>4158</v>
      </c>
      <c r="B870" s="1694" t="str">
        <f>CONCATENATE(LEFT(RIGHT(CONCATENATE("000",IFAData_TEA!A870),6),3),"-",(RIGHT(RIGHT(CONCATENATE("000",IFAData_TEA!A870),6),3)))</f>
        <v>092-907</v>
      </c>
      <c r="C870" s="2266" t="s">
        <v>2210</v>
      </c>
      <c r="D870" s="2266">
        <v>9</v>
      </c>
      <c r="E870" s="2266">
        <v>2376</v>
      </c>
      <c r="F870" s="2266" t="s">
        <v>5445</v>
      </c>
      <c r="G870" s="2266" t="s">
        <v>6975</v>
      </c>
      <c r="H870" s="2436">
        <v>437500</v>
      </c>
      <c r="I870" s="2436">
        <v>126935</v>
      </c>
      <c r="J870" s="2446">
        <v>7.0984352517683869E-2</v>
      </c>
      <c r="K870" s="2436">
        <v>31055.654226486691</v>
      </c>
      <c r="L870" s="2436">
        <v>31055.654226486691</v>
      </c>
      <c r="M870" s="2266">
        <v>599</v>
      </c>
    </row>
    <row r="871" spans="1:13" ht="15">
      <c r="A871" s="2266" t="s">
        <v>4158</v>
      </c>
      <c r="B871" s="1694" t="str">
        <f>CONCATENATE(LEFT(RIGHT(CONCATENATE("000",IFAData_TEA!A871),6),3),"-",(RIGHT(RIGHT(CONCATENATE("000",IFAData_TEA!A871),6),3)))</f>
        <v>092-907</v>
      </c>
      <c r="C871" s="2266" t="s">
        <v>2210</v>
      </c>
      <c r="D871" s="2266">
        <v>2</v>
      </c>
      <c r="E871" s="2266">
        <v>2375</v>
      </c>
      <c r="F871" s="2266" t="s">
        <v>5442</v>
      </c>
      <c r="G871" s="2266" t="s">
        <v>5444</v>
      </c>
      <c r="H871" s="2436">
        <v>398517</v>
      </c>
      <c r="I871" s="2436">
        <v>75968</v>
      </c>
      <c r="J871" s="2446">
        <v>0.10497399417425285</v>
      </c>
      <c r="K871" s="2436">
        <v>41833.92123634072</v>
      </c>
      <c r="L871" s="2436">
        <v>41833.92123634072</v>
      </c>
      <c r="M871" s="2266">
        <v>599</v>
      </c>
    </row>
    <row r="872" spans="1:13" ht="15">
      <c r="A872" s="2266" t="s">
        <v>4158</v>
      </c>
      <c r="B872" s="1694" t="str">
        <f>CONCATENATE(LEFT(RIGHT(CONCATENATE("000",IFAData_TEA!A872),6),3),"-",(RIGHT(RIGHT(CONCATENATE("000",IFAData_TEA!A872),6),3)))</f>
        <v>092-907</v>
      </c>
      <c r="C872" s="2266" t="s">
        <v>2210</v>
      </c>
      <c r="D872" s="2266">
        <v>10</v>
      </c>
      <c r="E872" s="2266">
        <v>2377</v>
      </c>
      <c r="F872" s="2266" t="s">
        <v>5446</v>
      </c>
      <c r="G872" s="2266" t="s">
        <v>5446</v>
      </c>
      <c r="H872" s="2436">
        <v>456338</v>
      </c>
      <c r="I872" s="2436">
        <v>263882</v>
      </c>
      <c r="J872" s="2446">
        <v>1</v>
      </c>
      <c r="K872" s="2436">
        <v>456338</v>
      </c>
      <c r="L872" s="2436">
        <v>263882</v>
      </c>
      <c r="M872" s="2266">
        <v>599</v>
      </c>
    </row>
    <row r="873" spans="1:13" ht="15">
      <c r="A873" s="2266" t="s">
        <v>4158</v>
      </c>
      <c r="B873" s="1694" t="str">
        <f>CONCATENATE(LEFT(RIGHT(CONCATENATE("000",IFAData_TEA!A873),6),3),"-",(RIGHT(RIGHT(CONCATENATE("000",IFAData_TEA!A873),6),3)))</f>
        <v>092-907</v>
      </c>
      <c r="C873" s="2266" t="s">
        <v>2210</v>
      </c>
      <c r="D873" s="2266">
        <v>9</v>
      </c>
      <c r="E873" s="2266">
        <v>2376</v>
      </c>
      <c r="F873" s="2266" t="s">
        <v>5445</v>
      </c>
      <c r="G873" s="2266" t="s">
        <v>5445</v>
      </c>
      <c r="H873" s="2436">
        <v>437500</v>
      </c>
      <c r="I873" s="2436">
        <v>1661276</v>
      </c>
      <c r="J873" s="2446">
        <v>0.92901564748231613</v>
      </c>
      <c r="K873" s="2436">
        <v>406444.34577351331</v>
      </c>
      <c r="L873" s="2436">
        <v>406444.34577351331</v>
      </c>
      <c r="M873" s="2266">
        <v>599</v>
      </c>
    </row>
    <row r="874" spans="1:13" ht="15">
      <c r="A874" s="2266" t="s">
        <v>4158</v>
      </c>
      <c r="B874" s="1694" t="str">
        <f>CONCATENATE(LEFT(RIGHT(CONCATENATE("000",IFAData_TEA!A874),6),3),"-",(RIGHT(RIGHT(CONCATENATE("000",IFAData_TEA!A874),6),3)))</f>
        <v>092-907</v>
      </c>
      <c r="C874" s="2266" t="s">
        <v>2210</v>
      </c>
      <c r="D874" s="2266">
        <v>2</v>
      </c>
      <c r="E874" s="2266">
        <v>2375</v>
      </c>
      <c r="F874" s="2266" t="s">
        <v>5442</v>
      </c>
      <c r="G874" s="2266" t="s">
        <v>5442</v>
      </c>
      <c r="H874" s="2436">
        <v>398517</v>
      </c>
      <c r="I874" s="2436">
        <v>0</v>
      </c>
      <c r="J874" s="2446">
        <v>0</v>
      </c>
      <c r="K874" s="2436">
        <v>0</v>
      </c>
      <c r="L874" s="2436">
        <v>0</v>
      </c>
      <c r="M874" s="2266">
        <v>599</v>
      </c>
    </row>
    <row r="875" spans="1:13" ht="15">
      <c r="A875" s="2266" t="s">
        <v>4158</v>
      </c>
      <c r="B875" s="1694" t="str">
        <f>CONCATENATE(LEFT(RIGHT(CONCATENATE("000",IFAData_TEA!A875),6),3),"-",(RIGHT(RIGHT(CONCATENATE("000",IFAData_TEA!A875),6),3)))</f>
        <v>092-907</v>
      </c>
      <c r="C875" s="2266" t="s">
        <v>2210</v>
      </c>
      <c r="D875" s="2266">
        <v>2</v>
      </c>
      <c r="E875" s="2266">
        <v>2375</v>
      </c>
      <c r="F875" s="2266" t="s">
        <v>5442</v>
      </c>
      <c r="G875" s="2266" t="s">
        <v>5443</v>
      </c>
      <c r="H875" s="2436">
        <v>398517</v>
      </c>
      <c r="I875" s="2436">
        <v>647716</v>
      </c>
      <c r="J875" s="2446">
        <v>0.8950260058257471</v>
      </c>
      <c r="K875" s="2436">
        <v>356683.07876365923</v>
      </c>
      <c r="L875" s="2436">
        <v>356683.07876365923</v>
      </c>
      <c r="M875" s="2266">
        <v>599</v>
      </c>
    </row>
    <row r="876" spans="1:13" ht="15">
      <c r="A876" s="2266" t="s">
        <v>4159</v>
      </c>
      <c r="B876" s="1694" t="str">
        <f>CONCATENATE(LEFT(RIGHT(CONCATENATE("000",IFAData_TEA!A876),6),3),"-",(RIGHT(RIGHT(CONCATENATE("000",IFAData_TEA!A876),6),3)))</f>
        <v>093-903</v>
      </c>
      <c r="C876" s="2266" t="s">
        <v>257</v>
      </c>
      <c r="D876" s="2266">
        <v>10</v>
      </c>
      <c r="E876" s="2266">
        <v>1924</v>
      </c>
      <c r="F876" s="2266" t="s">
        <v>5447</v>
      </c>
      <c r="G876" s="2266" t="s">
        <v>5447</v>
      </c>
      <c r="H876" s="2436">
        <v>119954</v>
      </c>
      <c r="I876" s="2436">
        <v>518748</v>
      </c>
      <c r="J876" s="2446">
        <v>1</v>
      </c>
      <c r="K876" s="2436">
        <v>119954</v>
      </c>
      <c r="L876" s="2436">
        <v>119954</v>
      </c>
      <c r="M876" s="2266">
        <v>599</v>
      </c>
    </row>
    <row r="877" spans="1:13" ht="15">
      <c r="A877" s="2266" t="s">
        <v>4160</v>
      </c>
      <c r="B877" s="1694" t="str">
        <f>CONCATENATE(LEFT(RIGHT(CONCATENATE("000",IFAData_TEA!A877),6),3),"-",(RIGHT(RIGHT(CONCATENATE("000",IFAData_TEA!A877),6),3)))</f>
        <v>094-901</v>
      </c>
      <c r="C877" s="2266" t="s">
        <v>1416</v>
      </c>
      <c r="D877" s="2266">
        <v>6</v>
      </c>
      <c r="E877" s="2266">
        <v>2323</v>
      </c>
      <c r="F877" s="2266" t="s">
        <v>5451</v>
      </c>
      <c r="G877" s="2266" t="s">
        <v>5452</v>
      </c>
      <c r="H877" s="2436">
        <v>931261</v>
      </c>
      <c r="I877" s="2436">
        <v>311771</v>
      </c>
      <c r="J877" s="2446">
        <v>0.24548897637795275</v>
      </c>
      <c r="K877" s="2436">
        <v>228614.30963070865</v>
      </c>
      <c r="L877" s="2436">
        <v>228614.30963070865</v>
      </c>
      <c r="M877" s="2266">
        <v>599</v>
      </c>
    </row>
    <row r="878" spans="1:13" ht="15">
      <c r="A878" s="2266" t="s">
        <v>4160</v>
      </c>
      <c r="B878" s="1694" t="str">
        <f>CONCATENATE(LEFT(RIGHT(CONCATENATE("000",IFAData_TEA!A878),6),3),"-",(RIGHT(RIGHT(CONCATENATE("000",IFAData_TEA!A878),6),3)))</f>
        <v>094-901</v>
      </c>
      <c r="C878" s="2266" t="s">
        <v>1416</v>
      </c>
      <c r="D878" s="2266">
        <v>2</v>
      </c>
      <c r="E878" s="2266">
        <v>2324</v>
      </c>
      <c r="F878" s="2266" t="s">
        <v>5448</v>
      </c>
      <c r="G878" s="2266" t="s">
        <v>5450</v>
      </c>
      <c r="H878" s="2436">
        <v>1582356</v>
      </c>
      <c r="I878" s="2436">
        <v>404634</v>
      </c>
      <c r="J878" s="2446">
        <v>0.20995821943823512</v>
      </c>
      <c r="K878" s="2436">
        <v>332228.64827740798</v>
      </c>
      <c r="L878" s="2436">
        <v>332228.64827740798</v>
      </c>
      <c r="M878" s="2266">
        <v>599</v>
      </c>
    </row>
    <row r="879" spans="1:13" ht="15">
      <c r="A879" s="2266" t="s">
        <v>4160</v>
      </c>
      <c r="B879" s="1694" t="str">
        <f>CONCATENATE(LEFT(RIGHT(CONCATENATE("000",IFAData_TEA!A879),6),3),"-",(RIGHT(RIGHT(CONCATENATE("000",IFAData_TEA!A879),6),3)))</f>
        <v>094-901</v>
      </c>
      <c r="C879" s="2266" t="s">
        <v>1416</v>
      </c>
      <c r="D879" s="2266">
        <v>2</v>
      </c>
      <c r="E879" s="2266">
        <v>2324</v>
      </c>
      <c r="F879" s="2266" t="s">
        <v>5448</v>
      </c>
      <c r="G879" s="2266" t="s">
        <v>5449</v>
      </c>
      <c r="H879" s="2436">
        <v>1582356</v>
      </c>
      <c r="I879" s="2436">
        <v>1522578</v>
      </c>
      <c r="J879" s="2446">
        <v>0.79004178056176488</v>
      </c>
      <c r="K879" s="2436">
        <v>1250127.351722592</v>
      </c>
      <c r="L879" s="2436">
        <v>1250127.351722592</v>
      </c>
      <c r="M879" s="2266">
        <v>599</v>
      </c>
    </row>
    <row r="880" spans="1:13" ht="15">
      <c r="A880" s="2266" t="s">
        <v>4160</v>
      </c>
      <c r="B880" s="1694" t="str">
        <f>CONCATENATE(LEFT(RIGHT(CONCATENATE("000",IFAData_TEA!A880),6),3),"-",(RIGHT(RIGHT(CONCATENATE("000",IFAData_TEA!A880),6),3)))</f>
        <v>094-901</v>
      </c>
      <c r="C880" s="2266" t="s">
        <v>1416</v>
      </c>
      <c r="D880" s="2266">
        <v>6</v>
      </c>
      <c r="E880" s="2266">
        <v>2323</v>
      </c>
      <c r="F880" s="2266" t="s">
        <v>5451</v>
      </c>
      <c r="G880" s="2266" t="s">
        <v>5453</v>
      </c>
      <c r="H880" s="2436">
        <v>931261</v>
      </c>
      <c r="I880" s="2436">
        <v>958229</v>
      </c>
      <c r="J880" s="2446">
        <v>0.75451102362204725</v>
      </c>
      <c r="K880" s="2436">
        <v>702646.69036929135</v>
      </c>
      <c r="L880" s="2436">
        <v>702646.69036929135</v>
      </c>
      <c r="M880" s="2266">
        <v>599</v>
      </c>
    </row>
    <row r="881" spans="1:13" ht="15">
      <c r="A881" s="2266" t="s">
        <v>4160</v>
      </c>
      <c r="B881" s="1694" t="str">
        <f>CONCATENATE(LEFT(RIGHT(CONCATENATE("000",IFAData_TEA!A881),6),3),"-",(RIGHT(RIGHT(CONCATENATE("000",IFAData_TEA!A881),6),3)))</f>
        <v>094-901</v>
      </c>
      <c r="C881" s="2266" t="s">
        <v>1416</v>
      </c>
      <c r="D881" s="2266">
        <v>2</v>
      </c>
      <c r="E881" s="2266">
        <v>2324</v>
      </c>
      <c r="F881" s="2266" t="s">
        <v>5448</v>
      </c>
      <c r="G881" s="2266" t="s">
        <v>5448</v>
      </c>
      <c r="H881" s="2436">
        <v>1582356</v>
      </c>
      <c r="I881" s="2436">
        <v>0</v>
      </c>
      <c r="J881" s="2446">
        <v>0</v>
      </c>
      <c r="K881" s="2436">
        <v>0</v>
      </c>
      <c r="L881" s="2436">
        <v>0</v>
      </c>
      <c r="M881" s="2266">
        <v>599</v>
      </c>
    </row>
    <row r="882" spans="1:13" ht="15">
      <c r="A882" s="2266" t="s">
        <v>4160</v>
      </c>
      <c r="B882" s="1694" t="str">
        <f>CONCATENATE(LEFT(RIGHT(CONCATENATE("000",IFAData_TEA!A882),6),3),"-",(RIGHT(RIGHT(CONCATENATE("000",IFAData_TEA!A882),6),3)))</f>
        <v>094-901</v>
      </c>
      <c r="C882" s="2266" t="s">
        <v>1416</v>
      </c>
      <c r="D882" s="2266">
        <v>6</v>
      </c>
      <c r="E882" s="2266">
        <v>2323</v>
      </c>
      <c r="F882" s="2266" t="s">
        <v>5451</v>
      </c>
      <c r="G882" s="2266" t="s">
        <v>5451</v>
      </c>
      <c r="H882" s="2436">
        <v>931261</v>
      </c>
      <c r="I882" s="2436">
        <v>0</v>
      </c>
      <c r="J882" s="2446">
        <v>0</v>
      </c>
      <c r="K882" s="2436">
        <v>0</v>
      </c>
      <c r="L882" s="2436">
        <v>0</v>
      </c>
      <c r="M882" s="2266">
        <v>599</v>
      </c>
    </row>
    <row r="883" spans="1:13" ht="15">
      <c r="A883" s="2266" t="s">
        <v>4161</v>
      </c>
      <c r="B883" s="1694" t="str">
        <f>CONCATENATE(LEFT(RIGHT(CONCATENATE("000",IFAData_TEA!A883),6),3),"-",(RIGHT(RIGHT(CONCATENATE("000",IFAData_TEA!A883),6),3)))</f>
        <v>094-902</v>
      </c>
      <c r="C883" s="2266" t="s">
        <v>1414</v>
      </c>
      <c r="D883" s="2266">
        <v>1</v>
      </c>
      <c r="E883" s="2266">
        <v>2316</v>
      </c>
      <c r="F883" s="2266" t="s">
        <v>5454</v>
      </c>
      <c r="G883" s="2266" t="s">
        <v>5459</v>
      </c>
      <c r="H883" s="2436">
        <v>328404</v>
      </c>
      <c r="I883" s="2436">
        <v>198451</v>
      </c>
      <c r="J883" s="2446">
        <v>0.3164103667918271</v>
      </c>
      <c r="K883" s="2436">
        <v>103910.43009590318</v>
      </c>
      <c r="L883" s="2436">
        <v>103910.43009590318</v>
      </c>
      <c r="M883" s="2266">
        <v>599</v>
      </c>
    </row>
    <row r="884" spans="1:13" ht="15">
      <c r="A884" s="2266" t="s">
        <v>4161</v>
      </c>
      <c r="B884" s="1694" t="str">
        <f>CONCATENATE(LEFT(RIGHT(CONCATENATE("000",IFAData_TEA!A884),6),3),"-",(RIGHT(RIGHT(CONCATENATE("000",IFAData_TEA!A884),6),3)))</f>
        <v>094-902</v>
      </c>
      <c r="C884" s="2266" t="s">
        <v>1414</v>
      </c>
      <c r="D884" s="2266">
        <v>1</v>
      </c>
      <c r="E884" s="2266">
        <v>2317</v>
      </c>
      <c r="F884" s="2266" t="s">
        <v>5460</v>
      </c>
      <c r="G884" s="2266" t="s">
        <v>5458</v>
      </c>
      <c r="H884" s="2436">
        <v>445556</v>
      </c>
      <c r="I884" s="2436">
        <v>1304</v>
      </c>
      <c r="J884" s="2446">
        <v>4.7753498200088619E-3</v>
      </c>
      <c r="K884" s="2436">
        <v>2127.6857644038687</v>
      </c>
      <c r="L884" s="2436">
        <v>1304</v>
      </c>
      <c r="M884" s="2266">
        <v>599</v>
      </c>
    </row>
    <row r="885" spans="1:13" ht="15">
      <c r="A885" s="2266" t="s">
        <v>4161</v>
      </c>
      <c r="B885" s="1694" t="str">
        <f>CONCATENATE(LEFT(RIGHT(CONCATENATE("000",IFAData_TEA!A885),6),3),"-",(RIGHT(RIGHT(CONCATENATE("000",IFAData_TEA!A885),6),3)))</f>
        <v>094-902</v>
      </c>
      <c r="C885" s="2266" t="s">
        <v>1414</v>
      </c>
      <c r="D885" s="2266">
        <v>6</v>
      </c>
      <c r="E885" s="2266">
        <v>2320</v>
      </c>
      <c r="F885" s="2266" t="s">
        <v>5461</v>
      </c>
      <c r="G885" s="2266" t="s">
        <v>5458</v>
      </c>
      <c r="H885" s="2436">
        <v>1730235</v>
      </c>
      <c r="I885" s="2436">
        <v>34438</v>
      </c>
      <c r="J885" s="2446">
        <v>1.6161807674582532E-2</v>
      </c>
      <c r="K885" s="2436">
        <v>27963.725301831309</v>
      </c>
      <c r="L885" s="2436">
        <v>27963.725301831309</v>
      </c>
      <c r="M885" s="2266">
        <v>599</v>
      </c>
    </row>
    <row r="886" spans="1:13" ht="15">
      <c r="A886" s="2266" t="s">
        <v>4161</v>
      </c>
      <c r="B886" s="1694" t="str">
        <f>CONCATENATE(LEFT(RIGHT(CONCATENATE("000",IFAData_TEA!A886),6),3),"-",(RIGHT(RIGHT(CONCATENATE("000",IFAData_TEA!A886),6),3)))</f>
        <v>094-902</v>
      </c>
      <c r="C886" s="2266" t="s">
        <v>1414</v>
      </c>
      <c r="D886" s="2266">
        <v>9</v>
      </c>
      <c r="E886" s="2266">
        <v>2319</v>
      </c>
      <c r="F886" s="2266" t="s">
        <v>5462</v>
      </c>
      <c r="G886" s="2266" t="s">
        <v>5462</v>
      </c>
      <c r="H886" s="2436">
        <v>1351905</v>
      </c>
      <c r="I886" s="2436">
        <v>3035424</v>
      </c>
      <c r="J886" s="2446">
        <v>0.95601225666430134</v>
      </c>
      <c r="K886" s="2436">
        <v>1292437.7498457523</v>
      </c>
      <c r="L886" s="2436">
        <v>1292437.7498457523</v>
      </c>
      <c r="M886" s="2266">
        <v>599</v>
      </c>
    </row>
    <row r="887" spans="1:13" ht="15">
      <c r="A887" s="2266" t="s">
        <v>4161</v>
      </c>
      <c r="B887" s="1694" t="str">
        <f>CONCATENATE(LEFT(RIGHT(CONCATENATE("000",IFAData_TEA!A887),6),3),"-",(RIGHT(RIGHT(CONCATENATE("000",IFAData_TEA!A887),6),3)))</f>
        <v>094-902</v>
      </c>
      <c r="C887" s="2266" t="s">
        <v>1414</v>
      </c>
      <c r="D887" s="2266">
        <v>9</v>
      </c>
      <c r="E887" s="2266">
        <v>2319</v>
      </c>
      <c r="F887" s="2266" t="s">
        <v>5462</v>
      </c>
      <c r="G887" s="2266" t="s">
        <v>6976</v>
      </c>
      <c r="H887" s="2436">
        <v>1351905</v>
      </c>
      <c r="I887" s="2436">
        <v>139665</v>
      </c>
      <c r="J887" s="2446">
        <v>4.3987743335698624E-2</v>
      </c>
      <c r="K887" s="2436">
        <v>59467.250154247646</v>
      </c>
      <c r="L887" s="2436">
        <v>59467.250154247646</v>
      </c>
      <c r="M887" s="2266">
        <v>599</v>
      </c>
    </row>
    <row r="888" spans="1:13" ht="15">
      <c r="A888" s="2266" t="s">
        <v>4161</v>
      </c>
      <c r="B888" s="1694" t="str">
        <f>CONCATENATE(LEFT(RIGHT(CONCATENATE("000",IFAData_TEA!A888),6),3),"-",(RIGHT(RIGHT(CONCATENATE("000",IFAData_TEA!A888),6),3)))</f>
        <v>094-902</v>
      </c>
      <c r="C888" s="2266" t="s">
        <v>1414</v>
      </c>
      <c r="D888" s="2266">
        <v>1</v>
      </c>
      <c r="E888" s="2266">
        <v>2316</v>
      </c>
      <c r="F888" s="2266" t="s">
        <v>5454</v>
      </c>
      <c r="G888" s="2266" t="s">
        <v>5457</v>
      </c>
      <c r="H888" s="2436">
        <v>328404</v>
      </c>
      <c r="I888" s="2436">
        <v>0</v>
      </c>
      <c r="J888" s="2446">
        <v>0</v>
      </c>
      <c r="K888" s="2436">
        <v>0</v>
      </c>
      <c r="L888" s="2436">
        <v>0</v>
      </c>
      <c r="M888" s="2266">
        <v>599</v>
      </c>
    </row>
    <row r="889" spans="1:13" ht="15">
      <c r="A889" s="2266" t="s">
        <v>4161</v>
      </c>
      <c r="B889" s="1694" t="str">
        <f>CONCATENATE(LEFT(RIGHT(CONCATENATE("000",IFAData_TEA!A889),6),3),"-",(RIGHT(RIGHT(CONCATENATE("000",IFAData_TEA!A889),6),3)))</f>
        <v>094-902</v>
      </c>
      <c r="C889" s="2266" t="s">
        <v>1414</v>
      </c>
      <c r="D889" s="2266">
        <v>1</v>
      </c>
      <c r="E889" s="2266">
        <v>2316</v>
      </c>
      <c r="F889" s="2266" t="s">
        <v>5454</v>
      </c>
      <c r="G889" s="2266" t="s">
        <v>5456</v>
      </c>
      <c r="H889" s="2436">
        <v>328404</v>
      </c>
      <c r="I889" s="2436">
        <v>428600</v>
      </c>
      <c r="J889" s="2446">
        <v>0.68336003954113156</v>
      </c>
      <c r="K889" s="2436">
        <v>224418.17042546577</v>
      </c>
      <c r="L889" s="2436">
        <v>224418.17042546577</v>
      </c>
      <c r="M889" s="2266">
        <v>599</v>
      </c>
    </row>
    <row r="890" spans="1:13" ht="15">
      <c r="A890" s="2266" t="s">
        <v>4161</v>
      </c>
      <c r="B890" s="1694" t="str">
        <f>CONCATENATE(LEFT(RIGHT(CONCATENATE("000",IFAData_TEA!A890),6),3),"-",(RIGHT(RIGHT(CONCATENATE("000",IFAData_TEA!A890),6),3)))</f>
        <v>094-902</v>
      </c>
      <c r="C890" s="2266" t="s">
        <v>1414</v>
      </c>
      <c r="D890" s="2266">
        <v>1</v>
      </c>
      <c r="E890" s="2266">
        <v>2316</v>
      </c>
      <c r="F890" s="2266" t="s">
        <v>5454</v>
      </c>
      <c r="G890" s="2266" t="s">
        <v>5455</v>
      </c>
      <c r="H890" s="2436">
        <v>328404</v>
      </c>
      <c r="I890" s="2436">
        <v>0</v>
      </c>
      <c r="J890" s="2446">
        <v>0</v>
      </c>
      <c r="K890" s="2436">
        <v>0</v>
      </c>
      <c r="L890" s="2436">
        <v>0</v>
      </c>
      <c r="M890" s="2266">
        <v>599</v>
      </c>
    </row>
    <row r="891" spans="1:13" ht="15">
      <c r="A891" s="2266" t="s">
        <v>4161</v>
      </c>
      <c r="B891" s="1694" t="str">
        <f>CONCATENATE(LEFT(RIGHT(CONCATENATE("000",IFAData_TEA!A891),6),3),"-",(RIGHT(RIGHT(CONCATENATE("000",IFAData_TEA!A891),6),3)))</f>
        <v>094-902</v>
      </c>
      <c r="C891" s="2266" t="s">
        <v>1414</v>
      </c>
      <c r="D891" s="2266">
        <v>1</v>
      </c>
      <c r="E891" s="2266">
        <v>2317</v>
      </c>
      <c r="F891" s="2266" t="s">
        <v>5460</v>
      </c>
      <c r="G891" s="2266" t="s">
        <v>5457</v>
      </c>
      <c r="H891" s="2436">
        <v>445556</v>
      </c>
      <c r="I891" s="2436">
        <v>271765</v>
      </c>
      <c r="J891" s="2446">
        <v>0.99522465017999118</v>
      </c>
      <c r="K891" s="2436">
        <v>443428.31423559616</v>
      </c>
      <c r="L891" s="2436">
        <v>271765</v>
      </c>
      <c r="M891" s="2266">
        <v>599</v>
      </c>
    </row>
    <row r="892" spans="1:13" ht="15">
      <c r="A892" s="2266" t="s">
        <v>4161</v>
      </c>
      <c r="B892" s="1694" t="str">
        <f>CONCATENATE(LEFT(RIGHT(CONCATENATE("000",IFAData_TEA!A892),6),3),"-",(RIGHT(RIGHT(CONCATENATE("000",IFAData_TEA!A892),6),3)))</f>
        <v>094-902</v>
      </c>
      <c r="C892" s="2266" t="s">
        <v>1414</v>
      </c>
      <c r="D892" s="2266">
        <v>6</v>
      </c>
      <c r="E892" s="2266">
        <v>2320</v>
      </c>
      <c r="F892" s="2266" t="s">
        <v>5461</v>
      </c>
      <c r="G892" s="2266" t="s">
        <v>5457</v>
      </c>
      <c r="H892" s="2436">
        <v>1730235</v>
      </c>
      <c r="I892" s="2436">
        <v>2014800</v>
      </c>
      <c r="J892" s="2446">
        <v>0.94554881534203172</v>
      </c>
      <c r="K892" s="2436">
        <v>1636021.6545133202</v>
      </c>
      <c r="L892" s="2436">
        <v>1636021.6545133202</v>
      </c>
      <c r="M892" s="2266">
        <v>599</v>
      </c>
    </row>
    <row r="893" spans="1:13" ht="15">
      <c r="A893" s="2266" t="s">
        <v>4161</v>
      </c>
      <c r="B893" s="1694" t="str">
        <f>CONCATENATE(LEFT(RIGHT(CONCATENATE("000",IFAData_TEA!A893),6),3),"-",(RIGHT(RIGHT(CONCATENATE("000",IFAData_TEA!A893),6),3)))</f>
        <v>094-902</v>
      </c>
      <c r="C893" s="2266" t="s">
        <v>1414</v>
      </c>
      <c r="D893" s="2266">
        <v>1</v>
      </c>
      <c r="E893" s="2266">
        <v>2316</v>
      </c>
      <c r="F893" s="2266" t="s">
        <v>5454</v>
      </c>
      <c r="G893" s="2266" t="s">
        <v>5458</v>
      </c>
      <c r="H893" s="2436">
        <v>328404</v>
      </c>
      <c r="I893" s="2436">
        <v>144</v>
      </c>
      <c r="J893" s="2446">
        <v>2.2959366704135078E-4</v>
      </c>
      <c r="K893" s="2436">
        <v>75.399478631047756</v>
      </c>
      <c r="L893" s="2436">
        <v>75.399478631047756</v>
      </c>
      <c r="M893" s="2266">
        <v>599</v>
      </c>
    </row>
    <row r="894" spans="1:13" ht="15">
      <c r="A894" s="2266" t="s">
        <v>4161</v>
      </c>
      <c r="B894" s="1694" t="str">
        <f>CONCATENATE(LEFT(RIGHT(CONCATENATE("000",IFAData_TEA!A894),6),3),"-",(RIGHT(RIGHT(CONCATENATE("000",IFAData_TEA!A894),6),3)))</f>
        <v>094-902</v>
      </c>
      <c r="C894" s="2266" t="s">
        <v>1414</v>
      </c>
      <c r="D894" s="2266">
        <v>1</v>
      </c>
      <c r="E894" s="2266">
        <v>2317</v>
      </c>
      <c r="F894" s="2266" t="s">
        <v>5460</v>
      </c>
      <c r="G894" s="2266" t="s">
        <v>5460</v>
      </c>
      <c r="H894" s="2436">
        <v>445556</v>
      </c>
      <c r="I894" s="2436">
        <v>0</v>
      </c>
      <c r="J894" s="2446">
        <v>0</v>
      </c>
      <c r="K894" s="2436">
        <v>0</v>
      </c>
      <c r="L894" s="2436">
        <v>0</v>
      </c>
      <c r="M894" s="2266">
        <v>599</v>
      </c>
    </row>
    <row r="895" spans="1:13" ht="15">
      <c r="A895" s="2266" t="s">
        <v>4161</v>
      </c>
      <c r="B895" s="1694" t="str">
        <f>CONCATENATE(LEFT(RIGHT(CONCATENATE("000",IFAData_TEA!A895),6),3),"-",(RIGHT(RIGHT(CONCATENATE("000",IFAData_TEA!A895),6),3)))</f>
        <v>094-902</v>
      </c>
      <c r="C895" s="2266" t="s">
        <v>1414</v>
      </c>
      <c r="D895" s="2266">
        <v>6</v>
      </c>
      <c r="E895" s="2266">
        <v>2320</v>
      </c>
      <c r="F895" s="2266" t="s">
        <v>5461</v>
      </c>
      <c r="G895" s="2266" t="s">
        <v>5461</v>
      </c>
      <c r="H895" s="2436">
        <v>1730235</v>
      </c>
      <c r="I895" s="2436">
        <v>81588</v>
      </c>
      <c r="J895" s="2446">
        <v>3.8289376983385782E-2</v>
      </c>
      <c r="K895" s="2436">
        <v>66249.620184848492</v>
      </c>
      <c r="L895" s="2436">
        <v>66249.620184848492</v>
      </c>
      <c r="M895" s="2266">
        <v>599</v>
      </c>
    </row>
    <row r="896" spans="1:13" ht="15">
      <c r="A896" s="2266" t="s">
        <v>4161</v>
      </c>
      <c r="B896" s="1694" t="str">
        <f>CONCATENATE(LEFT(RIGHT(CONCATENATE("000",IFAData_TEA!A896),6),3),"-",(RIGHT(RIGHT(CONCATENATE("000",IFAData_TEA!A896),6),3)))</f>
        <v>094-902</v>
      </c>
      <c r="C896" s="2266" t="s">
        <v>1414</v>
      </c>
      <c r="D896" s="2266">
        <v>1</v>
      </c>
      <c r="E896" s="2266">
        <v>2317</v>
      </c>
      <c r="F896" s="2266" t="s">
        <v>5460</v>
      </c>
      <c r="G896" s="2266" t="s">
        <v>5455</v>
      </c>
      <c r="H896" s="2436">
        <v>445556</v>
      </c>
      <c r="I896" s="2436">
        <v>0</v>
      </c>
      <c r="J896" s="2446">
        <v>0</v>
      </c>
      <c r="K896" s="2436">
        <v>0</v>
      </c>
      <c r="L896" s="2436">
        <v>0</v>
      </c>
      <c r="M896" s="2266">
        <v>599</v>
      </c>
    </row>
    <row r="897" spans="1:13" ht="15">
      <c r="A897" s="2266" t="s">
        <v>4161</v>
      </c>
      <c r="B897" s="1694" t="str">
        <f>CONCATENATE(LEFT(RIGHT(CONCATENATE("000",IFAData_TEA!A897),6),3),"-",(RIGHT(RIGHT(CONCATENATE("000",IFAData_TEA!A897),6),3)))</f>
        <v>094-902</v>
      </c>
      <c r="C897" s="2266" t="s">
        <v>1414</v>
      </c>
      <c r="D897" s="2266">
        <v>9</v>
      </c>
      <c r="E897" s="2266">
        <v>2318</v>
      </c>
      <c r="F897" s="2266" t="s">
        <v>5463</v>
      </c>
      <c r="G897" s="2266" t="s">
        <v>5463</v>
      </c>
      <c r="H897" s="2436">
        <v>1272470</v>
      </c>
      <c r="I897" s="2436">
        <v>5586375</v>
      </c>
      <c r="J897" s="2446">
        <v>1</v>
      </c>
      <c r="K897" s="2436">
        <v>1272470</v>
      </c>
      <c r="L897" s="2436">
        <v>1272470</v>
      </c>
      <c r="M897" s="2266">
        <v>599</v>
      </c>
    </row>
    <row r="898" spans="1:13" ht="15">
      <c r="A898" s="2266" t="s">
        <v>4161</v>
      </c>
      <c r="B898" s="1694" t="str">
        <f>CONCATENATE(LEFT(RIGHT(CONCATENATE("000",IFAData_TEA!A898),6),3),"-",(RIGHT(RIGHT(CONCATENATE("000",IFAData_TEA!A898),6),3)))</f>
        <v>094-902</v>
      </c>
      <c r="C898" s="2266" t="s">
        <v>1414</v>
      </c>
      <c r="D898" s="2266">
        <v>1</v>
      </c>
      <c r="E898" s="2266">
        <v>2316</v>
      </c>
      <c r="F898" s="2266" t="s">
        <v>5454</v>
      </c>
      <c r="G898" s="2266" t="s">
        <v>5454</v>
      </c>
      <c r="H898" s="2436">
        <v>328404</v>
      </c>
      <c r="I898" s="2436">
        <v>0</v>
      </c>
      <c r="J898" s="2446">
        <v>0</v>
      </c>
      <c r="K898" s="2436">
        <v>0</v>
      </c>
      <c r="L898" s="2436">
        <v>0</v>
      </c>
      <c r="M898" s="2266">
        <v>599</v>
      </c>
    </row>
    <row r="899" spans="1:13" ht="15">
      <c r="A899" s="2266" t="s">
        <v>4162</v>
      </c>
      <c r="B899" s="1694" t="str">
        <f>CONCATENATE(LEFT(RIGHT(CONCATENATE("000",IFAData_TEA!A899),6),3),"-",(RIGHT(RIGHT(CONCATENATE("000",IFAData_TEA!A899),6),3)))</f>
        <v>094-903</v>
      </c>
      <c r="C899" s="2266" t="s">
        <v>260</v>
      </c>
      <c r="D899" s="2266">
        <v>9</v>
      </c>
      <c r="E899" s="2266">
        <v>2127</v>
      </c>
      <c r="F899" s="2266" t="s">
        <v>5464</v>
      </c>
      <c r="G899" s="2266" t="s">
        <v>5466</v>
      </c>
      <c r="H899" s="2436">
        <v>388765</v>
      </c>
      <c r="I899" s="2436">
        <v>650697</v>
      </c>
      <c r="J899" s="2446">
        <v>0.66370563035495711</v>
      </c>
      <c r="K899" s="2436">
        <v>258025.5193849449</v>
      </c>
      <c r="L899" s="2436">
        <v>258025.5193849449</v>
      </c>
      <c r="M899" s="2266">
        <v>599</v>
      </c>
    </row>
    <row r="900" spans="1:13" ht="15">
      <c r="A900" s="2266" t="s">
        <v>4162</v>
      </c>
      <c r="B900" s="1694" t="str">
        <f>CONCATENATE(LEFT(RIGHT(CONCATENATE("000",IFAData_TEA!A900),6),3),"-",(RIGHT(RIGHT(CONCATENATE("000",IFAData_TEA!A900),6),3)))</f>
        <v>094-903</v>
      </c>
      <c r="C900" s="2266" t="s">
        <v>260</v>
      </c>
      <c r="D900" s="2266">
        <v>9</v>
      </c>
      <c r="E900" s="2266">
        <v>2127</v>
      </c>
      <c r="F900" s="2266" t="s">
        <v>5464</v>
      </c>
      <c r="G900" s="2266" t="s">
        <v>5465</v>
      </c>
      <c r="H900" s="2436">
        <v>388765</v>
      </c>
      <c r="I900" s="2436">
        <v>329703</v>
      </c>
      <c r="J900" s="2446">
        <v>0.33629436964504283</v>
      </c>
      <c r="K900" s="2436">
        <v>130739.48061505507</v>
      </c>
      <c r="L900" s="2436">
        <v>130739.48061505507</v>
      </c>
      <c r="M900" s="2266">
        <v>599</v>
      </c>
    </row>
    <row r="901" spans="1:13" ht="15">
      <c r="A901" s="2266" t="s">
        <v>4162</v>
      </c>
      <c r="B901" s="1694" t="str">
        <f>CONCATENATE(LEFT(RIGHT(CONCATENATE("000",IFAData_TEA!A901),6),3),"-",(RIGHT(RIGHT(CONCATENATE("000",IFAData_TEA!A901),6),3)))</f>
        <v>094-903</v>
      </c>
      <c r="C901" s="2266" t="s">
        <v>260</v>
      </c>
      <c r="D901" s="2266">
        <v>9</v>
      </c>
      <c r="E901" s="2266">
        <v>2127</v>
      </c>
      <c r="F901" s="2266" t="s">
        <v>5464</v>
      </c>
      <c r="G901" s="2266" t="s">
        <v>5464</v>
      </c>
      <c r="H901" s="2436">
        <v>388765</v>
      </c>
      <c r="I901" s="2436">
        <v>0</v>
      </c>
      <c r="J901" s="2446">
        <v>0</v>
      </c>
      <c r="K901" s="2436">
        <v>0</v>
      </c>
      <c r="L901" s="2436">
        <v>0</v>
      </c>
      <c r="M901" s="2266">
        <v>599</v>
      </c>
    </row>
    <row r="902" spans="1:13" ht="15">
      <c r="A902" s="2266" t="s">
        <v>5467</v>
      </c>
      <c r="B902" s="1694" t="str">
        <f>CONCATENATE(LEFT(RIGHT(CONCATENATE("000",IFAData_TEA!A902),6),3),"-",(RIGHT(RIGHT(CONCATENATE("000",IFAData_TEA!A902),6),3)))</f>
        <v>094-904</v>
      </c>
      <c r="C902" s="2266" t="s">
        <v>324</v>
      </c>
      <c r="D902" s="2266">
        <v>3</v>
      </c>
      <c r="E902" s="2266">
        <v>2065</v>
      </c>
      <c r="F902" s="2266" t="s">
        <v>5469</v>
      </c>
      <c r="G902" s="2266" t="s">
        <v>5469</v>
      </c>
      <c r="H902" s="2436">
        <v>167150</v>
      </c>
      <c r="I902" s="2436">
        <v>0</v>
      </c>
      <c r="J902" s="2446">
        <v>0</v>
      </c>
      <c r="K902" s="2436"/>
      <c r="L902" s="2436">
        <v>0</v>
      </c>
      <c r="M902" s="2266">
        <v>199</v>
      </c>
    </row>
    <row r="903" spans="1:13" ht="15">
      <c r="A903" s="2266" t="s">
        <v>5467</v>
      </c>
      <c r="B903" s="1694" t="str">
        <f>CONCATENATE(LEFT(RIGHT(CONCATENATE("000",IFAData_TEA!A903),6),3),"-",(RIGHT(RIGHT(CONCATENATE("000",IFAData_TEA!A903),6),3)))</f>
        <v>094-904</v>
      </c>
      <c r="C903" s="2266" t="s">
        <v>324</v>
      </c>
      <c r="D903" s="2266">
        <v>5</v>
      </c>
      <c r="E903" s="2266">
        <v>2067</v>
      </c>
      <c r="F903" s="2266" t="s">
        <v>5470</v>
      </c>
      <c r="G903" s="2266" t="s">
        <v>5470</v>
      </c>
      <c r="H903" s="2436">
        <v>325000</v>
      </c>
      <c r="I903" s="2436">
        <v>0</v>
      </c>
      <c r="J903" s="2446">
        <v>0</v>
      </c>
      <c r="K903" s="2436"/>
      <c r="L903" s="2436">
        <v>0</v>
      </c>
      <c r="M903" s="2266">
        <v>599</v>
      </c>
    </row>
    <row r="904" spans="1:13" ht="15">
      <c r="A904" s="2266" t="s">
        <v>5467</v>
      </c>
      <c r="B904" s="1694" t="str">
        <f>CONCATENATE(LEFT(RIGHT(CONCATENATE("000",IFAData_TEA!A904),6),3),"-",(RIGHT(RIGHT(CONCATENATE("000",IFAData_TEA!A904),6),3)))</f>
        <v>094-904</v>
      </c>
      <c r="C904" s="2266" t="s">
        <v>324</v>
      </c>
      <c r="D904" s="2266">
        <v>1</v>
      </c>
      <c r="E904" s="2266">
        <v>2066</v>
      </c>
      <c r="F904" s="2266" t="s">
        <v>5468</v>
      </c>
      <c r="G904" s="2266" t="s">
        <v>5468</v>
      </c>
      <c r="H904" s="2436">
        <v>213569</v>
      </c>
      <c r="I904" s="2436">
        <v>0</v>
      </c>
      <c r="J904" s="2446">
        <v>0</v>
      </c>
      <c r="K904" s="2436"/>
      <c r="L904" s="2436">
        <v>0</v>
      </c>
      <c r="M904" s="2266">
        <v>599</v>
      </c>
    </row>
    <row r="905" spans="1:13" ht="15">
      <c r="A905" s="2266" t="s">
        <v>4163</v>
      </c>
      <c r="B905" s="1694" t="str">
        <f>CONCATENATE(LEFT(RIGHT(CONCATENATE("000",IFAData_TEA!A905),6),3),"-",(RIGHT(RIGHT(CONCATENATE("000",IFAData_TEA!A905),6),3)))</f>
        <v>097-903</v>
      </c>
      <c r="C905" s="2266" t="s">
        <v>2724</v>
      </c>
      <c r="D905" s="2266">
        <v>6</v>
      </c>
      <c r="E905" s="2266">
        <v>1884</v>
      </c>
      <c r="F905" s="2266" t="s">
        <v>5471</v>
      </c>
      <c r="G905" s="2266" t="s">
        <v>5472</v>
      </c>
      <c r="H905" s="2436">
        <v>176577</v>
      </c>
      <c r="I905" s="2436">
        <v>213052</v>
      </c>
      <c r="J905" s="2446">
        <v>1</v>
      </c>
      <c r="K905" s="2436">
        <v>176577</v>
      </c>
      <c r="L905" s="2436">
        <v>176577</v>
      </c>
      <c r="M905" s="2266">
        <v>599</v>
      </c>
    </row>
    <row r="906" spans="1:13" ht="15">
      <c r="A906" s="2266" t="s">
        <v>4163</v>
      </c>
      <c r="B906" s="1694" t="str">
        <f>CONCATENATE(LEFT(RIGHT(CONCATENATE("000",IFAData_TEA!A906),6),3),"-",(RIGHT(RIGHT(CONCATENATE("000",IFAData_TEA!A906),6),3)))</f>
        <v>097-903</v>
      </c>
      <c r="C906" s="2266" t="s">
        <v>2724</v>
      </c>
      <c r="D906" s="2266">
        <v>6</v>
      </c>
      <c r="E906" s="2266">
        <v>1884</v>
      </c>
      <c r="F906" s="2266" t="s">
        <v>5471</v>
      </c>
      <c r="G906" s="2266" t="s">
        <v>5471</v>
      </c>
      <c r="H906" s="2436">
        <v>176577</v>
      </c>
      <c r="I906" s="2436">
        <v>0</v>
      </c>
      <c r="J906" s="2446">
        <v>0</v>
      </c>
      <c r="K906" s="2436">
        <v>0</v>
      </c>
      <c r="L906" s="2436">
        <v>0</v>
      </c>
      <c r="M906" s="2266">
        <v>599</v>
      </c>
    </row>
    <row r="907" spans="1:13" ht="15">
      <c r="A907" s="2266" t="s">
        <v>4164</v>
      </c>
      <c r="B907" s="1694" t="str">
        <f>CONCATENATE(LEFT(RIGHT(CONCATENATE("000",IFAData_TEA!A907),6),3),"-",(RIGHT(RIGHT(CONCATENATE("000",IFAData_TEA!A907),6),3)))</f>
        <v>100-904</v>
      </c>
      <c r="C907" s="2266" t="s">
        <v>1684</v>
      </c>
      <c r="D907" s="2266">
        <v>3</v>
      </c>
      <c r="E907" s="2266">
        <v>2333</v>
      </c>
      <c r="F907" s="2266" t="s">
        <v>5475</v>
      </c>
      <c r="G907" s="2266" t="s">
        <v>5476</v>
      </c>
      <c r="H907" s="2436">
        <v>701598</v>
      </c>
      <c r="I907" s="2436">
        <v>672909</v>
      </c>
      <c r="J907" s="2446">
        <v>1</v>
      </c>
      <c r="K907" s="2436">
        <v>701598</v>
      </c>
      <c r="L907" s="2436">
        <v>672909</v>
      </c>
      <c r="M907" s="2266">
        <v>599</v>
      </c>
    </row>
    <row r="908" spans="1:13" ht="15">
      <c r="A908" s="2266" t="s">
        <v>4164</v>
      </c>
      <c r="B908" s="1694" t="str">
        <f>CONCATENATE(LEFT(RIGHT(CONCATENATE("000",IFAData_TEA!A908),6),3),"-",(RIGHT(RIGHT(CONCATENATE("000",IFAData_TEA!A908),6),3)))</f>
        <v>100-904</v>
      </c>
      <c r="C908" s="2266" t="s">
        <v>1684</v>
      </c>
      <c r="D908" s="2266">
        <v>2</v>
      </c>
      <c r="E908" s="2266">
        <v>2334</v>
      </c>
      <c r="F908" s="2266" t="s">
        <v>5473</v>
      </c>
      <c r="G908" s="2266" t="s">
        <v>5473</v>
      </c>
      <c r="H908" s="2436">
        <v>831475</v>
      </c>
      <c r="I908" s="2436">
        <v>0</v>
      </c>
      <c r="J908" s="2446">
        <v>0</v>
      </c>
      <c r="K908" s="2436">
        <v>0</v>
      </c>
      <c r="L908" s="2436">
        <v>0</v>
      </c>
      <c r="M908" s="2266">
        <v>599</v>
      </c>
    </row>
    <row r="909" spans="1:13" ht="15">
      <c r="A909" s="2266" t="s">
        <v>4164</v>
      </c>
      <c r="B909" s="1694" t="str">
        <f>CONCATENATE(LEFT(RIGHT(CONCATENATE("000",IFAData_TEA!A909),6),3),"-",(RIGHT(RIGHT(CONCATENATE("000",IFAData_TEA!A909),6),3)))</f>
        <v>100-904</v>
      </c>
      <c r="C909" s="2266" t="s">
        <v>1684</v>
      </c>
      <c r="D909" s="2266">
        <v>2</v>
      </c>
      <c r="E909" s="2266">
        <v>2334</v>
      </c>
      <c r="F909" s="2266" t="s">
        <v>5473</v>
      </c>
      <c r="G909" s="2266" t="s">
        <v>5474</v>
      </c>
      <c r="H909" s="2436">
        <v>831475</v>
      </c>
      <c r="I909" s="2436">
        <v>794890</v>
      </c>
      <c r="J909" s="2446">
        <v>1</v>
      </c>
      <c r="K909" s="2436">
        <v>831475</v>
      </c>
      <c r="L909" s="2436">
        <v>794890</v>
      </c>
      <c r="M909" s="2266">
        <v>599</v>
      </c>
    </row>
    <row r="910" spans="1:13" ht="15">
      <c r="A910" s="2266" t="s">
        <v>4164</v>
      </c>
      <c r="B910" s="1694" t="str">
        <f>CONCATENATE(LEFT(RIGHT(CONCATENATE("000",IFAData_TEA!A910),6),3),"-",(RIGHT(RIGHT(CONCATENATE("000",IFAData_TEA!A910),6),3)))</f>
        <v>100-904</v>
      </c>
      <c r="C910" s="2266" t="s">
        <v>1684</v>
      </c>
      <c r="D910" s="2266">
        <v>3</v>
      </c>
      <c r="E910" s="2266">
        <v>2333</v>
      </c>
      <c r="F910" s="2266" t="s">
        <v>5475</v>
      </c>
      <c r="G910" s="2266" t="s">
        <v>5475</v>
      </c>
      <c r="H910" s="2436">
        <v>701598</v>
      </c>
      <c r="I910" s="2436">
        <v>0</v>
      </c>
      <c r="J910" s="2446">
        <v>0</v>
      </c>
      <c r="K910" s="2436">
        <v>0</v>
      </c>
      <c r="L910" s="2436">
        <v>0</v>
      </c>
      <c r="M910" s="2266">
        <v>599</v>
      </c>
    </row>
    <row r="911" spans="1:13" ht="15">
      <c r="A911" s="2266" t="s">
        <v>4165</v>
      </c>
      <c r="B911" s="1694" t="str">
        <f>CONCATENATE(LEFT(RIGHT(CONCATENATE("000",IFAData_TEA!A911),6),3),"-",(RIGHT(RIGHT(CONCATENATE("000",IFAData_TEA!A911),6),3)))</f>
        <v>100-907</v>
      </c>
      <c r="C911" s="2266" t="s">
        <v>949</v>
      </c>
      <c r="D911" s="2266">
        <v>5</v>
      </c>
      <c r="E911" s="2266">
        <v>2044</v>
      </c>
      <c r="F911" s="2266" t="s">
        <v>5479</v>
      </c>
      <c r="G911" s="2266" t="s">
        <v>5479</v>
      </c>
      <c r="H911" s="2436">
        <v>663791</v>
      </c>
      <c r="I911" s="2436">
        <v>0</v>
      </c>
      <c r="J911" s="2446">
        <v>0</v>
      </c>
      <c r="K911" s="2436">
        <v>0</v>
      </c>
      <c r="L911" s="2436">
        <v>0</v>
      </c>
      <c r="M911" s="2266">
        <v>599</v>
      </c>
    </row>
    <row r="912" spans="1:13" ht="15">
      <c r="A912" s="2266" t="s">
        <v>4165</v>
      </c>
      <c r="B912" s="1694" t="str">
        <f>CONCATENATE(LEFT(RIGHT(CONCATENATE("000",IFAData_TEA!A912),6),3),"-",(RIGHT(RIGHT(CONCATENATE("000",IFAData_TEA!A912),6),3)))</f>
        <v>100-907</v>
      </c>
      <c r="C912" s="2266" t="s">
        <v>949</v>
      </c>
      <c r="D912" s="2266">
        <v>5</v>
      </c>
      <c r="E912" s="2266">
        <v>2044</v>
      </c>
      <c r="F912" s="2266" t="s">
        <v>5479</v>
      </c>
      <c r="G912" s="2266" t="s">
        <v>5480</v>
      </c>
      <c r="H912" s="2436">
        <v>663791</v>
      </c>
      <c r="I912" s="2436">
        <v>0</v>
      </c>
      <c r="J912" s="2446">
        <v>0</v>
      </c>
      <c r="K912" s="2436">
        <v>0</v>
      </c>
      <c r="L912" s="2436">
        <v>0</v>
      </c>
      <c r="M912" s="2266">
        <v>599</v>
      </c>
    </row>
    <row r="913" spans="1:13" ht="15">
      <c r="A913" s="2266" t="s">
        <v>4165</v>
      </c>
      <c r="B913" s="1694" t="str">
        <f>CONCATENATE(LEFT(RIGHT(CONCATENATE("000",IFAData_TEA!A913),6),3),"-",(RIGHT(RIGHT(CONCATENATE("000",IFAData_TEA!A913),6),3)))</f>
        <v>100-907</v>
      </c>
      <c r="C913" s="2266" t="s">
        <v>949</v>
      </c>
      <c r="D913" s="2266">
        <v>1</v>
      </c>
      <c r="E913" s="2266">
        <v>2045</v>
      </c>
      <c r="F913" s="2266" t="s">
        <v>5477</v>
      </c>
      <c r="G913" s="2266" t="s">
        <v>5478</v>
      </c>
      <c r="H913" s="2436">
        <v>855058</v>
      </c>
      <c r="I913" s="2436">
        <v>875356</v>
      </c>
      <c r="J913" s="2446">
        <v>1</v>
      </c>
      <c r="K913" s="2436">
        <v>855058</v>
      </c>
      <c r="L913" s="2436">
        <v>855058</v>
      </c>
      <c r="M913" s="2266">
        <v>599</v>
      </c>
    </row>
    <row r="914" spans="1:13" ht="15">
      <c r="A914" s="2266" t="s">
        <v>4165</v>
      </c>
      <c r="B914" s="1694" t="str">
        <f>CONCATENATE(LEFT(RIGHT(CONCATENATE("000",IFAData_TEA!A914),6),3),"-",(RIGHT(RIGHT(CONCATENATE("000",IFAData_TEA!A914),6),3)))</f>
        <v>100-907</v>
      </c>
      <c r="C914" s="2266" t="s">
        <v>949</v>
      </c>
      <c r="D914" s="2266">
        <v>1</v>
      </c>
      <c r="E914" s="2266">
        <v>2045</v>
      </c>
      <c r="F914" s="2266" t="s">
        <v>5477</v>
      </c>
      <c r="G914" s="2266" t="s">
        <v>5477</v>
      </c>
      <c r="H914" s="2436">
        <v>855058</v>
      </c>
      <c r="I914" s="2436">
        <v>0</v>
      </c>
      <c r="J914" s="2446">
        <v>0</v>
      </c>
      <c r="K914" s="2436">
        <v>0</v>
      </c>
      <c r="L914" s="2436">
        <v>0</v>
      </c>
      <c r="M914" s="2266">
        <v>599</v>
      </c>
    </row>
    <row r="915" spans="1:13" ht="15">
      <c r="A915" s="2266" t="s">
        <v>4165</v>
      </c>
      <c r="B915" s="1694" t="str">
        <f>CONCATENATE(LEFT(RIGHT(CONCATENATE("000",IFAData_TEA!A915),6),3),"-",(RIGHT(RIGHT(CONCATENATE("000",IFAData_TEA!A915),6),3)))</f>
        <v>100-907</v>
      </c>
      <c r="C915" s="2266" t="s">
        <v>949</v>
      </c>
      <c r="D915" s="2266">
        <v>5</v>
      </c>
      <c r="E915" s="2266">
        <v>2044</v>
      </c>
      <c r="F915" s="2266" t="s">
        <v>5479</v>
      </c>
      <c r="G915" s="2266" t="s">
        <v>5478</v>
      </c>
      <c r="H915" s="2436">
        <v>663791</v>
      </c>
      <c r="I915" s="2436">
        <v>689191</v>
      </c>
      <c r="J915" s="2446">
        <v>1</v>
      </c>
      <c r="K915" s="2436">
        <v>663791</v>
      </c>
      <c r="L915" s="2436">
        <v>663791</v>
      </c>
      <c r="M915" s="2266">
        <v>599</v>
      </c>
    </row>
    <row r="916" spans="1:13" ht="15">
      <c r="A916" s="2266" t="s">
        <v>4166</v>
      </c>
      <c r="B916" s="1694" t="str">
        <f>CONCATENATE(LEFT(RIGHT(CONCATENATE("000",IFAData_TEA!A916),6),3),"-",(RIGHT(RIGHT(CONCATENATE("000",IFAData_TEA!A916),6),3)))</f>
        <v>100-908</v>
      </c>
      <c r="C916" s="2266" t="s">
        <v>328</v>
      </c>
      <c r="D916" s="2266">
        <v>3</v>
      </c>
      <c r="E916" s="2266">
        <v>2443</v>
      </c>
      <c r="F916" s="2266" t="s">
        <v>5481</v>
      </c>
      <c r="G916" s="2266" t="s">
        <v>5482</v>
      </c>
      <c r="H916" s="2436">
        <v>1101</v>
      </c>
      <c r="I916" s="2436">
        <v>245426</v>
      </c>
      <c r="J916" s="2446">
        <v>1</v>
      </c>
      <c r="K916" s="2436">
        <v>1101</v>
      </c>
      <c r="L916" s="2436">
        <v>1101</v>
      </c>
      <c r="M916" s="2266">
        <v>599</v>
      </c>
    </row>
    <row r="917" spans="1:13" ht="15">
      <c r="A917" s="2266" t="s">
        <v>4166</v>
      </c>
      <c r="B917" s="1694" t="str">
        <f>CONCATENATE(LEFT(RIGHT(CONCATENATE("000",IFAData_TEA!A917),6),3),"-",(RIGHT(RIGHT(CONCATENATE("000",IFAData_TEA!A917),6),3)))</f>
        <v>100-908</v>
      </c>
      <c r="C917" s="2266" t="s">
        <v>328</v>
      </c>
      <c r="D917" s="2266">
        <v>3</v>
      </c>
      <c r="E917" s="2266">
        <v>2443</v>
      </c>
      <c r="F917" s="2266" t="s">
        <v>5481</v>
      </c>
      <c r="G917" s="2266" t="s">
        <v>5481</v>
      </c>
      <c r="H917" s="2436">
        <v>1101</v>
      </c>
      <c r="I917" s="2436">
        <v>0</v>
      </c>
      <c r="J917" s="2446">
        <v>0</v>
      </c>
      <c r="K917" s="2436">
        <v>0</v>
      </c>
      <c r="L917" s="2436">
        <v>0</v>
      </c>
      <c r="M917" s="2266">
        <v>599</v>
      </c>
    </row>
    <row r="918" spans="1:13" ht="15">
      <c r="A918" s="2266" t="s">
        <v>4167</v>
      </c>
      <c r="B918" s="1694" t="str">
        <f>CONCATENATE(LEFT(RIGHT(CONCATENATE("000",IFAData_TEA!A918),6),3),"-",(RIGHT(RIGHT(CONCATENATE("000",IFAData_TEA!A918),6),3)))</f>
        <v>101-902</v>
      </c>
      <c r="C918" s="2266" t="s">
        <v>797</v>
      </c>
      <c r="D918" s="2266">
        <v>1</v>
      </c>
      <c r="E918" s="2266">
        <v>1545</v>
      </c>
      <c r="F918" s="2266" t="s">
        <v>5483</v>
      </c>
      <c r="G918" s="2266" t="s">
        <v>5486</v>
      </c>
      <c r="H918" s="2436">
        <v>3458574</v>
      </c>
      <c r="I918" s="2436">
        <v>77510</v>
      </c>
      <c r="J918" s="2446">
        <v>1.525859189044524E-2</v>
      </c>
      <c r="K918" s="2436">
        <v>52772.969188904754</v>
      </c>
      <c r="L918" s="2436">
        <v>52772.969188904754</v>
      </c>
      <c r="M918" s="2266">
        <v>599</v>
      </c>
    </row>
    <row r="919" spans="1:13" ht="15">
      <c r="A919" s="2266" t="s">
        <v>4167</v>
      </c>
      <c r="B919" s="1694" t="str">
        <f>CONCATENATE(LEFT(RIGHT(CONCATENATE("000",IFAData_TEA!A919),6),3),"-",(RIGHT(RIGHT(CONCATENATE("000",IFAData_TEA!A919),6),3)))</f>
        <v>101-902</v>
      </c>
      <c r="C919" s="2266" t="s">
        <v>797</v>
      </c>
      <c r="D919" s="2266">
        <v>1</v>
      </c>
      <c r="E919" s="2266">
        <v>1545</v>
      </c>
      <c r="F919" s="2266" t="s">
        <v>5483</v>
      </c>
      <c r="G919" s="2266" t="s">
        <v>5487</v>
      </c>
      <c r="H919" s="2436">
        <v>3458574</v>
      </c>
      <c r="I919" s="2436">
        <v>4368151</v>
      </c>
      <c r="J919" s="2446">
        <v>0.85991270061721403</v>
      </c>
      <c r="K919" s="2436">
        <v>2974071.7086244803</v>
      </c>
      <c r="L919" s="2436">
        <v>2974071.7086244803</v>
      </c>
      <c r="M919" s="2266">
        <v>599</v>
      </c>
    </row>
    <row r="920" spans="1:13" ht="15">
      <c r="A920" s="2266" t="s">
        <v>4167</v>
      </c>
      <c r="B920" s="1694" t="str">
        <f>CONCATENATE(LEFT(RIGHT(CONCATENATE("000",IFAData_TEA!A920),6),3),"-",(RIGHT(RIGHT(CONCATENATE("000",IFAData_TEA!A920),6),3)))</f>
        <v>101-902</v>
      </c>
      <c r="C920" s="2266" t="s">
        <v>797</v>
      </c>
      <c r="D920" s="2266">
        <v>2</v>
      </c>
      <c r="E920" s="2266">
        <v>1543</v>
      </c>
      <c r="F920" s="2266" t="s">
        <v>5489</v>
      </c>
      <c r="G920" s="2266" t="s">
        <v>5489</v>
      </c>
      <c r="H920" s="2436">
        <v>871986</v>
      </c>
      <c r="I920" s="2436">
        <v>0</v>
      </c>
      <c r="J920" s="2446">
        <v>0</v>
      </c>
      <c r="K920" s="2436"/>
      <c r="L920" s="2436">
        <v>0</v>
      </c>
      <c r="M920" s="2266">
        <v>199</v>
      </c>
    </row>
    <row r="921" spans="1:13" ht="15">
      <c r="A921" s="2266" t="s">
        <v>4167</v>
      </c>
      <c r="B921" s="1694" t="str">
        <f>CONCATENATE(LEFT(RIGHT(CONCATENATE("000",IFAData_TEA!A921),6),3),"-",(RIGHT(RIGHT(CONCATENATE("000",IFAData_TEA!A921),6),3)))</f>
        <v>101-902</v>
      </c>
      <c r="C921" s="2266" t="s">
        <v>797</v>
      </c>
      <c r="D921" s="2266">
        <v>1</v>
      </c>
      <c r="E921" s="2266">
        <v>1548</v>
      </c>
      <c r="F921" s="2266" t="s">
        <v>5488</v>
      </c>
      <c r="G921" s="2266" t="s">
        <v>5487</v>
      </c>
      <c r="H921" s="2436">
        <v>6381926</v>
      </c>
      <c r="I921" s="2436">
        <v>1854730</v>
      </c>
      <c r="J921" s="2446">
        <v>0.86613772427126434</v>
      </c>
      <c r="K921" s="2436">
        <v>5527626.8621076131</v>
      </c>
      <c r="L921" s="2436">
        <v>1854730</v>
      </c>
      <c r="M921" s="2266">
        <v>599</v>
      </c>
    </row>
    <row r="922" spans="1:13" ht="15">
      <c r="A922" s="2266" t="s">
        <v>4167</v>
      </c>
      <c r="B922" s="1694" t="str">
        <f>CONCATENATE(LEFT(RIGHT(CONCATENATE("000",IFAData_TEA!A922),6),3),"-",(RIGHT(RIGHT(CONCATENATE("000",IFAData_TEA!A922),6),3)))</f>
        <v>101-902</v>
      </c>
      <c r="C922" s="2266" t="s">
        <v>797</v>
      </c>
      <c r="D922" s="2266">
        <v>5</v>
      </c>
      <c r="E922" s="2266">
        <v>1546</v>
      </c>
      <c r="F922" s="2266" t="s">
        <v>5490</v>
      </c>
      <c r="G922" s="2266" t="s">
        <v>5490</v>
      </c>
      <c r="H922" s="2436">
        <v>5192317</v>
      </c>
      <c r="I922" s="2436">
        <v>0</v>
      </c>
      <c r="J922" s="2446">
        <v>0</v>
      </c>
      <c r="K922" s="2436">
        <v>0</v>
      </c>
      <c r="L922" s="2436">
        <v>0</v>
      </c>
      <c r="M922" s="2266">
        <v>599</v>
      </c>
    </row>
    <row r="923" spans="1:13" ht="15">
      <c r="A923" s="2266" t="s">
        <v>4167</v>
      </c>
      <c r="B923" s="1694" t="str">
        <f>CONCATENATE(LEFT(RIGHT(CONCATENATE("000",IFAData_TEA!A923),6),3),"-",(RIGHT(RIGHT(CONCATENATE("000",IFAData_TEA!A923),6),3)))</f>
        <v>101-902</v>
      </c>
      <c r="C923" s="2266" t="s">
        <v>797</v>
      </c>
      <c r="D923" s="2266">
        <v>5</v>
      </c>
      <c r="E923" s="2266">
        <v>1542</v>
      </c>
      <c r="F923" s="2266" t="s">
        <v>5491</v>
      </c>
      <c r="G923" s="2266" t="s">
        <v>5492</v>
      </c>
      <c r="H923" s="2436">
        <v>871410</v>
      </c>
      <c r="I923" s="2436">
        <v>334188</v>
      </c>
      <c r="J923" s="2446">
        <v>1</v>
      </c>
      <c r="K923" s="2436">
        <v>871410</v>
      </c>
      <c r="L923" s="2436">
        <v>334188</v>
      </c>
      <c r="M923" s="2266">
        <v>199</v>
      </c>
    </row>
    <row r="924" spans="1:13" ht="15">
      <c r="A924" s="2266" t="s">
        <v>4167</v>
      </c>
      <c r="B924" s="1694" t="str">
        <f>CONCATENATE(LEFT(RIGHT(CONCATENATE("000",IFAData_TEA!A924),6),3),"-",(RIGHT(RIGHT(CONCATENATE("000",IFAData_TEA!A924),6),3)))</f>
        <v>101-902</v>
      </c>
      <c r="C924" s="2266" t="s">
        <v>797</v>
      </c>
      <c r="D924" s="2266">
        <v>1</v>
      </c>
      <c r="E924" s="2266">
        <v>1545</v>
      </c>
      <c r="F924" s="2266" t="s">
        <v>5483</v>
      </c>
      <c r="G924" s="2266" t="s">
        <v>5483</v>
      </c>
      <c r="H924" s="2436">
        <v>3458574</v>
      </c>
      <c r="I924" s="2436">
        <v>0</v>
      </c>
      <c r="J924" s="2446">
        <v>0</v>
      </c>
      <c r="K924" s="2436">
        <v>0</v>
      </c>
      <c r="L924" s="2436">
        <v>0</v>
      </c>
      <c r="M924" s="2266">
        <v>599</v>
      </c>
    </row>
    <row r="925" spans="1:13" ht="15">
      <c r="A925" s="2266" t="s">
        <v>4167</v>
      </c>
      <c r="B925" s="1694" t="str">
        <f>CONCATENATE(LEFT(RIGHT(CONCATENATE("000",IFAData_TEA!A925),6),3),"-",(RIGHT(RIGHT(CONCATENATE("000",IFAData_TEA!A925),6),3)))</f>
        <v>101-902</v>
      </c>
      <c r="C925" s="2266" t="s">
        <v>797</v>
      </c>
      <c r="D925" s="2266">
        <v>5</v>
      </c>
      <c r="E925" s="2266">
        <v>1546</v>
      </c>
      <c r="F925" s="2266" t="s">
        <v>5490</v>
      </c>
      <c r="G925" s="2266" t="s">
        <v>5486</v>
      </c>
      <c r="H925" s="2436">
        <v>5192317</v>
      </c>
      <c r="I925" s="2436">
        <v>1169413</v>
      </c>
      <c r="J925" s="2446">
        <v>0.23495295166661243</v>
      </c>
      <c r="K925" s="2436">
        <v>1219950.2051387301</v>
      </c>
      <c r="L925" s="2436">
        <v>1169413</v>
      </c>
      <c r="M925" s="2266">
        <v>599</v>
      </c>
    </row>
    <row r="926" spans="1:13" ht="15">
      <c r="A926" s="2266" t="s">
        <v>4167</v>
      </c>
      <c r="B926" s="1694" t="str">
        <f>CONCATENATE(LEFT(RIGHT(CONCATENATE("000",IFAData_TEA!A926),6),3),"-",(RIGHT(RIGHT(CONCATENATE("000",IFAData_TEA!A926),6),3)))</f>
        <v>101-902</v>
      </c>
      <c r="C926" s="2266" t="s">
        <v>797</v>
      </c>
      <c r="D926" s="2266">
        <v>1</v>
      </c>
      <c r="E926" s="2266">
        <v>1548</v>
      </c>
      <c r="F926" s="2266" t="s">
        <v>5488</v>
      </c>
      <c r="G926" s="2266" t="s">
        <v>5486</v>
      </c>
      <c r="H926" s="2436">
        <v>6381926</v>
      </c>
      <c r="I926" s="2436">
        <v>0</v>
      </c>
      <c r="J926" s="2446">
        <v>0</v>
      </c>
      <c r="K926" s="2436">
        <v>0</v>
      </c>
      <c r="L926" s="2436">
        <v>0</v>
      </c>
      <c r="M926" s="2266">
        <v>599</v>
      </c>
    </row>
    <row r="927" spans="1:13" ht="15">
      <c r="A927" s="2266" t="s">
        <v>4167</v>
      </c>
      <c r="B927" s="1694" t="str">
        <f>CONCATENATE(LEFT(RIGHT(CONCATENATE("000",IFAData_TEA!A927),6),3),"-",(RIGHT(RIGHT(CONCATENATE("000",IFAData_TEA!A927),6),3)))</f>
        <v>101-902</v>
      </c>
      <c r="C927" s="2266" t="s">
        <v>797</v>
      </c>
      <c r="D927" s="2266">
        <v>1</v>
      </c>
      <c r="E927" s="2266">
        <v>1548</v>
      </c>
      <c r="F927" s="2266" t="s">
        <v>5488</v>
      </c>
      <c r="G927" s="2266" t="s">
        <v>5488</v>
      </c>
      <c r="H927" s="2436">
        <v>6381926</v>
      </c>
      <c r="I927" s="2436">
        <v>0</v>
      </c>
      <c r="J927" s="2446">
        <v>0</v>
      </c>
      <c r="K927" s="2436">
        <v>0</v>
      </c>
      <c r="L927" s="2436">
        <v>0</v>
      </c>
      <c r="M927" s="2266">
        <v>599</v>
      </c>
    </row>
    <row r="928" spans="1:13" ht="15">
      <c r="A928" s="2266" t="s">
        <v>4167</v>
      </c>
      <c r="B928" s="1694" t="str">
        <f>CONCATENATE(LEFT(RIGHT(CONCATENATE("000",IFAData_TEA!A928),6),3),"-",(RIGHT(RIGHT(CONCATENATE("000",IFAData_TEA!A928),6),3)))</f>
        <v>101-902</v>
      </c>
      <c r="C928" s="2266" t="s">
        <v>797</v>
      </c>
      <c r="D928" s="2266">
        <v>1</v>
      </c>
      <c r="E928" s="2266">
        <v>1548</v>
      </c>
      <c r="F928" s="2266" t="s">
        <v>5488</v>
      </c>
      <c r="G928" s="2266" t="s">
        <v>5484</v>
      </c>
      <c r="H928" s="2436">
        <v>6381926</v>
      </c>
      <c r="I928" s="2436">
        <v>0</v>
      </c>
      <c r="J928" s="2446">
        <v>0</v>
      </c>
      <c r="K928" s="2436">
        <v>0</v>
      </c>
      <c r="L928" s="2436">
        <v>0</v>
      </c>
      <c r="M928" s="2266">
        <v>599</v>
      </c>
    </row>
    <row r="929" spans="1:13" ht="15">
      <c r="A929" s="2266" t="s">
        <v>4167</v>
      </c>
      <c r="B929" s="1694" t="str">
        <f>CONCATENATE(LEFT(RIGHT(CONCATENATE("000",IFAData_TEA!A929),6),3),"-",(RIGHT(RIGHT(CONCATENATE("000",IFAData_TEA!A929),6),3)))</f>
        <v>101-902</v>
      </c>
      <c r="C929" s="2266" t="s">
        <v>797</v>
      </c>
      <c r="D929" s="2266">
        <v>1</v>
      </c>
      <c r="E929" s="2266">
        <v>1545</v>
      </c>
      <c r="F929" s="2266" t="s">
        <v>5483</v>
      </c>
      <c r="G929" s="2266" t="s">
        <v>5484</v>
      </c>
      <c r="H929" s="2436">
        <v>3458574</v>
      </c>
      <c r="I929" s="2436">
        <v>0</v>
      </c>
      <c r="J929" s="2446">
        <v>0</v>
      </c>
      <c r="K929" s="2436">
        <v>0</v>
      </c>
      <c r="L929" s="2436">
        <v>0</v>
      </c>
      <c r="M929" s="2266">
        <v>599</v>
      </c>
    </row>
    <row r="930" spans="1:13" ht="15">
      <c r="A930" s="2266" t="s">
        <v>4167</v>
      </c>
      <c r="B930" s="1694" t="str">
        <f>CONCATENATE(LEFT(RIGHT(CONCATENATE("000",IFAData_TEA!A930),6),3),"-",(RIGHT(RIGHT(CONCATENATE("000",IFAData_TEA!A930),6),3)))</f>
        <v>101-902</v>
      </c>
      <c r="C930" s="2266" t="s">
        <v>797</v>
      </c>
      <c r="D930" s="2266">
        <v>1</v>
      </c>
      <c r="E930" s="2266">
        <v>1548</v>
      </c>
      <c r="F930" s="2266" t="s">
        <v>5488</v>
      </c>
      <c r="G930" s="2266" t="s">
        <v>5485</v>
      </c>
      <c r="H930" s="2436">
        <v>6381926</v>
      </c>
      <c r="I930" s="2436">
        <v>286650</v>
      </c>
      <c r="J930" s="2446">
        <v>0.13386227572873569</v>
      </c>
      <c r="K930" s="2436">
        <v>854299.13789238723</v>
      </c>
      <c r="L930" s="2436">
        <v>286650</v>
      </c>
      <c r="M930" s="2266">
        <v>599</v>
      </c>
    </row>
    <row r="931" spans="1:13" ht="15">
      <c r="A931" s="2266" t="s">
        <v>4167</v>
      </c>
      <c r="B931" s="1694" t="str">
        <f>CONCATENATE(LEFT(RIGHT(CONCATENATE("000",IFAData_TEA!A931),6),3),"-",(RIGHT(RIGHT(CONCATENATE("000",IFAData_TEA!A931),6),3)))</f>
        <v>101-902</v>
      </c>
      <c r="C931" s="2266" t="s">
        <v>797</v>
      </c>
      <c r="D931" s="2266">
        <v>9</v>
      </c>
      <c r="E931" s="2266">
        <v>1544</v>
      </c>
      <c r="F931" s="2266" t="s">
        <v>5494</v>
      </c>
      <c r="G931" s="2266" t="s">
        <v>5494</v>
      </c>
      <c r="H931" s="2436">
        <v>1073703</v>
      </c>
      <c r="I931" s="2436">
        <v>0</v>
      </c>
      <c r="J931" s="2446">
        <v>0</v>
      </c>
      <c r="K931" s="2436"/>
      <c r="L931" s="2436">
        <v>0</v>
      </c>
      <c r="M931" s="2266">
        <v>199</v>
      </c>
    </row>
    <row r="932" spans="1:13" ht="15">
      <c r="A932" s="2266" t="s">
        <v>4167</v>
      </c>
      <c r="B932" s="1694" t="str">
        <f>CONCATENATE(LEFT(RIGHT(CONCATENATE("000",IFAData_TEA!A932),6),3),"-",(RIGHT(RIGHT(CONCATENATE("000",IFAData_TEA!A932),6),3)))</f>
        <v>101-902</v>
      </c>
      <c r="C932" s="2266" t="s">
        <v>797</v>
      </c>
      <c r="D932" s="2266">
        <v>9</v>
      </c>
      <c r="E932" s="2266">
        <v>1547</v>
      </c>
      <c r="F932" s="2266" t="s">
        <v>5493</v>
      </c>
      <c r="G932" s="2266" t="s">
        <v>5493</v>
      </c>
      <c r="H932" s="2436">
        <v>6114066</v>
      </c>
      <c r="I932" s="2436">
        <v>5288404</v>
      </c>
      <c r="J932" s="2446">
        <v>1</v>
      </c>
      <c r="K932" s="2436">
        <v>6114066</v>
      </c>
      <c r="L932" s="2436">
        <v>5288404</v>
      </c>
      <c r="M932" s="2266">
        <v>599</v>
      </c>
    </row>
    <row r="933" spans="1:13" ht="15">
      <c r="A933" s="2266" t="s">
        <v>4167</v>
      </c>
      <c r="B933" s="1694" t="str">
        <f>CONCATENATE(LEFT(RIGHT(CONCATENATE("000",IFAData_TEA!A933),6),3),"-",(RIGHT(RIGHT(CONCATENATE("000",IFAData_TEA!A933),6),3)))</f>
        <v>101-902</v>
      </c>
      <c r="C933" s="2266" t="s">
        <v>797</v>
      </c>
      <c r="D933" s="2266">
        <v>5</v>
      </c>
      <c r="E933" s="2266">
        <v>1542</v>
      </c>
      <c r="F933" s="2266" t="s">
        <v>5491</v>
      </c>
      <c r="G933" s="2266" t="s">
        <v>5491</v>
      </c>
      <c r="H933" s="2436">
        <v>871410</v>
      </c>
      <c r="I933" s="2436">
        <v>0</v>
      </c>
      <c r="J933" s="2446">
        <v>0</v>
      </c>
      <c r="K933" s="2436">
        <v>0</v>
      </c>
      <c r="L933" s="2436">
        <v>0</v>
      </c>
      <c r="M933" s="2266">
        <v>199</v>
      </c>
    </row>
    <row r="934" spans="1:13" ht="15">
      <c r="A934" s="2266" t="s">
        <v>4167</v>
      </c>
      <c r="B934" s="1694" t="str">
        <f>CONCATENATE(LEFT(RIGHT(CONCATENATE("000",IFAData_TEA!A934),6),3),"-",(RIGHT(RIGHT(CONCATENATE("000",IFAData_TEA!A934),6),3)))</f>
        <v>101-902</v>
      </c>
      <c r="C934" s="2266" t="s">
        <v>797</v>
      </c>
      <c r="D934" s="2266">
        <v>5</v>
      </c>
      <c r="E934" s="2266">
        <v>1546</v>
      </c>
      <c r="F934" s="2266" t="s">
        <v>5490</v>
      </c>
      <c r="G934" s="2266" t="s">
        <v>5485</v>
      </c>
      <c r="H934" s="2436">
        <v>5192317</v>
      </c>
      <c r="I934" s="2436">
        <v>3807809</v>
      </c>
      <c r="J934" s="2446">
        <v>0.76504704833338755</v>
      </c>
      <c r="K934" s="2436">
        <v>3972366.7948612696</v>
      </c>
      <c r="L934" s="2436">
        <v>3807809</v>
      </c>
      <c r="M934" s="2266">
        <v>599</v>
      </c>
    </row>
    <row r="935" spans="1:13" ht="15">
      <c r="A935" s="2266" t="s">
        <v>4167</v>
      </c>
      <c r="B935" s="1694" t="str">
        <f>CONCATENATE(LEFT(RIGHT(CONCATENATE("000",IFAData_TEA!A935),6),3),"-",(RIGHT(RIGHT(CONCATENATE("000",IFAData_TEA!A935),6),3)))</f>
        <v>101-902</v>
      </c>
      <c r="C935" s="2266" t="s">
        <v>797</v>
      </c>
      <c r="D935" s="2266">
        <v>1</v>
      </c>
      <c r="E935" s="2266">
        <v>1545</v>
      </c>
      <c r="F935" s="2266" t="s">
        <v>5483</v>
      </c>
      <c r="G935" s="2266" t="s">
        <v>5485</v>
      </c>
      <c r="H935" s="2436">
        <v>3458574</v>
      </c>
      <c r="I935" s="2436">
        <v>634100</v>
      </c>
      <c r="J935" s="2446">
        <v>0.12482870749234068</v>
      </c>
      <c r="K935" s="2436">
        <v>431729.32218661468</v>
      </c>
      <c r="L935" s="2436">
        <v>431729.32218661468</v>
      </c>
      <c r="M935" s="2266">
        <v>599</v>
      </c>
    </row>
    <row r="936" spans="1:13" ht="15">
      <c r="A936" s="2266" t="s">
        <v>4168</v>
      </c>
      <c r="B936" s="1694" t="str">
        <f>CONCATENATE(LEFT(RIGHT(CONCATENATE("000",IFAData_TEA!A936),6),3),"-",(RIGHT(RIGHT(CONCATENATE("000",IFAData_TEA!A936),6),3)))</f>
        <v>101-903</v>
      </c>
      <c r="C936" s="2266" t="s">
        <v>2264</v>
      </c>
      <c r="D936" s="2266">
        <v>3</v>
      </c>
      <c r="E936" s="2266">
        <v>1555</v>
      </c>
      <c r="F936" s="2266" t="s">
        <v>5501</v>
      </c>
      <c r="G936" s="2266" t="s">
        <v>5501</v>
      </c>
      <c r="H936" s="2436">
        <v>2098629</v>
      </c>
      <c r="I936" s="2436">
        <v>0</v>
      </c>
      <c r="J936" s="2446">
        <v>0</v>
      </c>
      <c r="K936" s="2436">
        <v>0</v>
      </c>
      <c r="L936" s="2436">
        <v>0</v>
      </c>
      <c r="M936" s="2266">
        <v>599</v>
      </c>
    </row>
    <row r="937" spans="1:13" ht="15">
      <c r="A937" s="2266" t="s">
        <v>4168</v>
      </c>
      <c r="B937" s="1694" t="str">
        <f>CONCATENATE(LEFT(RIGHT(CONCATENATE("000",IFAData_TEA!A937),6),3),"-",(RIGHT(RIGHT(CONCATENATE("000",IFAData_TEA!A937),6),3)))</f>
        <v>101-903</v>
      </c>
      <c r="C937" s="2266" t="s">
        <v>2264</v>
      </c>
      <c r="D937" s="2266">
        <v>2</v>
      </c>
      <c r="E937" s="2266">
        <v>1559</v>
      </c>
      <c r="F937" s="2266" t="s">
        <v>5500</v>
      </c>
      <c r="G937" s="2266" t="s">
        <v>5499</v>
      </c>
      <c r="H937" s="2436">
        <v>4312614</v>
      </c>
      <c r="I937" s="2436">
        <v>585457</v>
      </c>
      <c r="J937" s="2446">
        <v>0.19645001666005074</v>
      </c>
      <c r="K937" s="2436">
        <v>847213.09214836801</v>
      </c>
      <c r="L937" s="2436">
        <v>585457</v>
      </c>
      <c r="M937" s="2266">
        <v>599</v>
      </c>
    </row>
    <row r="938" spans="1:13" ht="15">
      <c r="A938" s="2266" t="s">
        <v>4168</v>
      </c>
      <c r="B938" s="1694" t="str">
        <f>CONCATENATE(LEFT(RIGHT(CONCATENATE("000",IFAData_TEA!A938),6),3),"-",(RIGHT(RIGHT(CONCATENATE("000",IFAData_TEA!A938),6),3)))</f>
        <v>101-903</v>
      </c>
      <c r="C938" s="2266" t="s">
        <v>2264</v>
      </c>
      <c r="D938" s="2266">
        <v>3</v>
      </c>
      <c r="E938" s="2266">
        <v>1555</v>
      </c>
      <c r="F938" s="2266" t="s">
        <v>5501</v>
      </c>
      <c r="G938" s="2266" t="s">
        <v>6977</v>
      </c>
      <c r="H938" s="2436">
        <v>2098629</v>
      </c>
      <c r="I938" s="2436">
        <v>25660</v>
      </c>
      <c r="J938" s="2446">
        <v>2.069515059230392E-2</v>
      </c>
      <c r="K938" s="2436">
        <v>43431.44319237618</v>
      </c>
      <c r="L938" s="2436">
        <v>25660</v>
      </c>
      <c r="M938" s="2266">
        <v>599</v>
      </c>
    </row>
    <row r="939" spans="1:13" ht="15">
      <c r="A939" s="2266" t="s">
        <v>4168</v>
      </c>
      <c r="B939" s="1694" t="str">
        <f>CONCATENATE(LEFT(RIGHT(CONCATENATE("000",IFAData_TEA!A939),6),3),"-",(RIGHT(RIGHT(CONCATENATE("000",IFAData_TEA!A939),6),3)))</f>
        <v>101-903</v>
      </c>
      <c r="C939" s="2266" t="s">
        <v>2264</v>
      </c>
      <c r="D939" s="2266">
        <v>1</v>
      </c>
      <c r="E939" s="2266">
        <v>1554</v>
      </c>
      <c r="F939" s="2266" t="s">
        <v>5495</v>
      </c>
      <c r="G939" s="2266" t="s">
        <v>5496</v>
      </c>
      <c r="H939" s="2436">
        <v>1417777</v>
      </c>
      <c r="I939" s="2436">
        <v>1010298</v>
      </c>
      <c r="J939" s="2446">
        <v>0.61239831731060657</v>
      </c>
      <c r="K939" s="2436">
        <v>868244.24912167981</v>
      </c>
      <c r="L939" s="2436">
        <v>868244.24912167981</v>
      </c>
      <c r="M939" s="2266">
        <v>599</v>
      </c>
    </row>
    <row r="940" spans="1:13" ht="15">
      <c r="A940" s="2266" t="s">
        <v>4168</v>
      </c>
      <c r="B940" s="1694" t="str">
        <f>CONCATENATE(LEFT(RIGHT(CONCATENATE("000",IFAData_TEA!A940),6),3),"-",(RIGHT(RIGHT(CONCATENATE("000",IFAData_TEA!A940),6),3)))</f>
        <v>101-903</v>
      </c>
      <c r="C940" s="2266" t="s">
        <v>2264</v>
      </c>
      <c r="D940" s="2266">
        <v>1</v>
      </c>
      <c r="E940" s="2266">
        <v>1554</v>
      </c>
      <c r="F940" s="2266" t="s">
        <v>5495</v>
      </c>
      <c r="G940" s="2266" t="s">
        <v>5498</v>
      </c>
      <c r="H940" s="2436">
        <v>1417777</v>
      </c>
      <c r="I940" s="2436">
        <v>0</v>
      </c>
      <c r="J940" s="2446">
        <v>0</v>
      </c>
      <c r="K940" s="2436">
        <v>0</v>
      </c>
      <c r="L940" s="2436">
        <v>0</v>
      </c>
      <c r="M940" s="2266">
        <v>599</v>
      </c>
    </row>
    <row r="941" spans="1:13" ht="15">
      <c r="A941" s="2266" t="s">
        <v>4168</v>
      </c>
      <c r="B941" s="1694" t="str">
        <f>CONCATENATE(LEFT(RIGHT(CONCATENATE("000",IFAData_TEA!A941),6),3),"-",(RIGHT(RIGHT(CONCATENATE("000",IFAData_TEA!A941),6),3)))</f>
        <v>101-903</v>
      </c>
      <c r="C941" s="2266" t="s">
        <v>2264</v>
      </c>
      <c r="D941" s="2266">
        <v>3</v>
      </c>
      <c r="E941" s="2266">
        <v>1558</v>
      </c>
      <c r="F941" s="2266" t="s">
        <v>5503</v>
      </c>
      <c r="G941" s="2266" t="s">
        <v>5498</v>
      </c>
      <c r="H941" s="2436">
        <v>3113521</v>
      </c>
      <c r="I941" s="2436">
        <v>0</v>
      </c>
      <c r="J941" s="2446">
        <v>0</v>
      </c>
      <c r="K941" s="2436">
        <v>0</v>
      </c>
      <c r="L941" s="2436">
        <v>0</v>
      </c>
      <c r="M941" s="2266">
        <v>599</v>
      </c>
    </row>
    <row r="942" spans="1:13" ht="15">
      <c r="A942" s="2266" t="s">
        <v>4168</v>
      </c>
      <c r="B942" s="1694" t="str">
        <f>CONCATENATE(LEFT(RIGHT(CONCATENATE("000",IFAData_TEA!A942),6),3),"-",(RIGHT(RIGHT(CONCATENATE("000",IFAData_TEA!A942),6),3)))</f>
        <v>101-903</v>
      </c>
      <c r="C942" s="2266" t="s">
        <v>2264</v>
      </c>
      <c r="D942" s="2266">
        <v>2</v>
      </c>
      <c r="E942" s="2266">
        <v>1559</v>
      </c>
      <c r="F942" s="2266" t="s">
        <v>5500</v>
      </c>
      <c r="G942" s="2266" t="s">
        <v>5498</v>
      </c>
      <c r="H942" s="2436">
        <v>4312614</v>
      </c>
      <c r="I942" s="2436">
        <v>0</v>
      </c>
      <c r="J942" s="2446">
        <v>0</v>
      </c>
      <c r="K942" s="2436">
        <v>0</v>
      </c>
      <c r="L942" s="2436">
        <v>0</v>
      </c>
      <c r="M942" s="2266">
        <v>599</v>
      </c>
    </row>
    <row r="943" spans="1:13" ht="15">
      <c r="A943" s="2266" t="s">
        <v>4168</v>
      </c>
      <c r="B943" s="1694" t="str">
        <f>CONCATENATE(LEFT(RIGHT(CONCATENATE("000",IFAData_TEA!A943),6),3),"-",(RIGHT(RIGHT(CONCATENATE("000",IFAData_TEA!A943),6),3)))</f>
        <v>101-903</v>
      </c>
      <c r="C943" s="2266" t="s">
        <v>2264</v>
      </c>
      <c r="D943" s="2266">
        <v>5</v>
      </c>
      <c r="E943" s="2266">
        <v>1556</v>
      </c>
      <c r="F943" s="2266" t="s">
        <v>5505</v>
      </c>
      <c r="G943" s="2266" t="s">
        <v>5505</v>
      </c>
      <c r="H943" s="2436">
        <v>2380440</v>
      </c>
      <c r="I943" s="2436">
        <v>0</v>
      </c>
      <c r="J943" s="2446">
        <v>0</v>
      </c>
      <c r="K943" s="2436">
        <v>0</v>
      </c>
      <c r="L943" s="2436">
        <v>0</v>
      </c>
      <c r="M943" s="2266">
        <v>599</v>
      </c>
    </row>
    <row r="944" spans="1:13" ht="15">
      <c r="A944" s="2266" t="s">
        <v>4168</v>
      </c>
      <c r="B944" s="1694" t="str">
        <f>CONCATENATE(LEFT(RIGHT(CONCATENATE("000",IFAData_TEA!A944),6),3),"-",(RIGHT(RIGHT(CONCATENATE("000",IFAData_TEA!A944),6),3)))</f>
        <v>101-903</v>
      </c>
      <c r="C944" s="2266" t="s">
        <v>2264</v>
      </c>
      <c r="D944" s="2266">
        <v>3</v>
      </c>
      <c r="E944" s="2266">
        <v>1555</v>
      </c>
      <c r="F944" s="2266" t="s">
        <v>5501</v>
      </c>
      <c r="G944" s="2266" t="s">
        <v>5497</v>
      </c>
      <c r="H944" s="2436">
        <v>2098629</v>
      </c>
      <c r="I944" s="2436">
        <v>78815</v>
      </c>
      <c r="J944" s="2446">
        <v>6.3565405063617825E-2</v>
      </c>
      <c r="K944" s="2436">
        <v>133400.20246325521</v>
      </c>
      <c r="L944" s="2436">
        <v>78815</v>
      </c>
      <c r="M944" s="2266">
        <v>599</v>
      </c>
    </row>
    <row r="945" spans="1:13" ht="15">
      <c r="A945" s="2266" t="s">
        <v>4168</v>
      </c>
      <c r="B945" s="1694" t="str">
        <f>CONCATENATE(LEFT(RIGHT(CONCATENATE("000",IFAData_TEA!A945),6),3),"-",(RIGHT(RIGHT(CONCATENATE("000",IFAData_TEA!A945),6),3)))</f>
        <v>101-903</v>
      </c>
      <c r="C945" s="2266" t="s">
        <v>2264</v>
      </c>
      <c r="D945" s="2266">
        <v>3</v>
      </c>
      <c r="E945" s="2266">
        <v>1555</v>
      </c>
      <c r="F945" s="2266" t="s">
        <v>5501</v>
      </c>
      <c r="G945" s="2266" t="s">
        <v>5502</v>
      </c>
      <c r="H945" s="2436">
        <v>2098629</v>
      </c>
      <c r="I945" s="2436">
        <v>1135429</v>
      </c>
      <c r="J945" s="2446">
        <v>0.91573944434407828</v>
      </c>
      <c r="K945" s="2436">
        <v>1921797.3543443687</v>
      </c>
      <c r="L945" s="2436">
        <v>1135429</v>
      </c>
      <c r="M945" s="2266">
        <v>599</v>
      </c>
    </row>
    <row r="946" spans="1:13" ht="15">
      <c r="A946" s="2266" t="s">
        <v>4168</v>
      </c>
      <c r="B946" s="1694" t="str">
        <f>CONCATENATE(LEFT(RIGHT(CONCATENATE("000",IFAData_TEA!A946),6),3),"-",(RIGHT(RIGHT(CONCATENATE("000",IFAData_TEA!A946),6),3)))</f>
        <v>101-903</v>
      </c>
      <c r="C946" s="2266" t="s">
        <v>2264</v>
      </c>
      <c r="D946" s="2266">
        <v>5</v>
      </c>
      <c r="E946" s="2266">
        <v>1556</v>
      </c>
      <c r="F946" s="2266" t="s">
        <v>5505</v>
      </c>
      <c r="G946" s="2266" t="s">
        <v>6977</v>
      </c>
      <c r="H946" s="2436">
        <v>2380440</v>
      </c>
      <c r="I946" s="2436">
        <v>68995</v>
      </c>
      <c r="J946" s="2446">
        <v>4.320185242930976E-2</v>
      </c>
      <c r="K946" s="2436">
        <v>102839.41759682613</v>
      </c>
      <c r="L946" s="2436">
        <v>68995</v>
      </c>
      <c r="M946" s="2266">
        <v>599</v>
      </c>
    </row>
    <row r="947" spans="1:13" ht="15">
      <c r="A947" s="2266" t="s">
        <v>4168</v>
      </c>
      <c r="B947" s="1694" t="str">
        <f>CONCATENATE(LEFT(RIGHT(CONCATENATE("000",IFAData_TEA!A947),6),3),"-",(RIGHT(RIGHT(CONCATENATE("000",IFAData_TEA!A947),6),3)))</f>
        <v>101-903</v>
      </c>
      <c r="C947" s="2266" t="s">
        <v>2264</v>
      </c>
      <c r="D947" s="2266">
        <v>3</v>
      </c>
      <c r="E947" s="2266">
        <v>1558</v>
      </c>
      <c r="F947" s="2266" t="s">
        <v>5503</v>
      </c>
      <c r="G947" s="2266" t="s">
        <v>5496</v>
      </c>
      <c r="H947" s="2436">
        <v>3113521</v>
      </c>
      <c r="I947" s="2436">
        <v>0</v>
      </c>
      <c r="J947" s="2446">
        <v>0</v>
      </c>
      <c r="K947" s="2436">
        <v>0</v>
      </c>
      <c r="L947" s="2436">
        <v>0</v>
      </c>
      <c r="M947" s="2266">
        <v>599</v>
      </c>
    </row>
    <row r="948" spans="1:13" ht="15">
      <c r="A948" s="2266" t="s">
        <v>4168</v>
      </c>
      <c r="B948" s="1694" t="str">
        <f>CONCATENATE(LEFT(RIGHT(CONCATENATE("000",IFAData_TEA!A948),6),3),"-",(RIGHT(RIGHT(CONCATENATE("000",IFAData_TEA!A948),6),3)))</f>
        <v>101-903</v>
      </c>
      <c r="C948" s="2266" t="s">
        <v>2264</v>
      </c>
      <c r="D948" s="2266">
        <v>2</v>
      </c>
      <c r="E948" s="2266">
        <v>1559</v>
      </c>
      <c r="F948" s="2266" t="s">
        <v>5500</v>
      </c>
      <c r="G948" s="2266" t="s">
        <v>5496</v>
      </c>
      <c r="H948" s="2436">
        <v>4312614</v>
      </c>
      <c r="I948" s="2436">
        <v>0</v>
      </c>
      <c r="J948" s="2446">
        <v>0</v>
      </c>
      <c r="K948" s="2436">
        <v>0</v>
      </c>
      <c r="L948" s="2436">
        <v>0</v>
      </c>
      <c r="M948" s="2266">
        <v>599</v>
      </c>
    </row>
    <row r="949" spans="1:13" ht="15">
      <c r="A949" s="2266" t="s">
        <v>4168</v>
      </c>
      <c r="B949" s="1694" t="str">
        <f>CONCATENATE(LEFT(RIGHT(CONCATENATE("000",IFAData_TEA!A949),6),3),"-",(RIGHT(RIGHT(CONCATENATE("000",IFAData_TEA!A949),6),3)))</f>
        <v>101-903</v>
      </c>
      <c r="C949" s="2266" t="s">
        <v>2264</v>
      </c>
      <c r="D949" s="2266">
        <v>10</v>
      </c>
      <c r="E949" s="2266">
        <v>1552</v>
      </c>
      <c r="F949" s="2266" t="s">
        <v>5508</v>
      </c>
      <c r="G949" s="2266" t="s">
        <v>5508</v>
      </c>
      <c r="H949" s="2436">
        <v>901072</v>
      </c>
      <c r="I949" s="2436">
        <v>910461</v>
      </c>
      <c r="J949" s="2446">
        <v>1</v>
      </c>
      <c r="K949" s="2436">
        <v>901072</v>
      </c>
      <c r="L949" s="2436">
        <v>901072</v>
      </c>
      <c r="M949" s="2266">
        <v>599</v>
      </c>
    </row>
    <row r="950" spans="1:13" ht="15">
      <c r="A950" s="2266" t="s">
        <v>4168</v>
      </c>
      <c r="B950" s="1694" t="str">
        <f>CONCATENATE(LEFT(RIGHT(CONCATENATE("000",IFAData_TEA!A950),6),3),"-",(RIGHT(RIGHT(CONCATENATE("000",IFAData_TEA!A950),6),3)))</f>
        <v>101-903</v>
      </c>
      <c r="C950" s="2266" t="s">
        <v>2264</v>
      </c>
      <c r="D950" s="2266">
        <v>5</v>
      </c>
      <c r="E950" s="2266">
        <v>1556</v>
      </c>
      <c r="F950" s="2266" t="s">
        <v>5505</v>
      </c>
      <c r="G950" s="2266" t="s">
        <v>5504</v>
      </c>
      <c r="H950" s="2436">
        <v>2380440</v>
      </c>
      <c r="I950" s="2436">
        <v>1432276</v>
      </c>
      <c r="J950" s="2446">
        <v>0.89683276165000458</v>
      </c>
      <c r="K950" s="2436">
        <v>2134856.579142137</v>
      </c>
      <c r="L950" s="2436">
        <v>1432276</v>
      </c>
      <c r="M950" s="2266">
        <v>599</v>
      </c>
    </row>
    <row r="951" spans="1:13" ht="15">
      <c r="A951" s="2266" t="s">
        <v>4168</v>
      </c>
      <c r="B951" s="1694" t="str">
        <f>CONCATENATE(LEFT(RIGHT(CONCATENATE("000",IFAData_TEA!A951),6),3),"-",(RIGHT(RIGHT(CONCATENATE("000",IFAData_TEA!A951),6),3)))</f>
        <v>101-903</v>
      </c>
      <c r="C951" s="2266" t="s">
        <v>2264</v>
      </c>
      <c r="D951" s="2266">
        <v>6</v>
      </c>
      <c r="E951" s="2266">
        <v>1557</v>
      </c>
      <c r="F951" s="2266" t="s">
        <v>5506</v>
      </c>
      <c r="G951" s="2266" t="s">
        <v>5504</v>
      </c>
      <c r="H951" s="2436">
        <v>2566718</v>
      </c>
      <c r="I951" s="2436">
        <v>1742096</v>
      </c>
      <c r="J951" s="2446">
        <v>1</v>
      </c>
      <c r="K951" s="2436">
        <v>2566718</v>
      </c>
      <c r="L951" s="2436">
        <v>1742096</v>
      </c>
      <c r="M951" s="2266">
        <v>599</v>
      </c>
    </row>
    <row r="952" spans="1:13" ht="15">
      <c r="A952" s="2266" t="s">
        <v>4168</v>
      </c>
      <c r="B952" s="1694" t="str">
        <f>CONCATENATE(LEFT(RIGHT(CONCATENATE("000",IFAData_TEA!A952),6),3),"-",(RIGHT(RIGHT(CONCATENATE("000",IFAData_TEA!A952),6),3)))</f>
        <v>101-903</v>
      </c>
      <c r="C952" s="2266" t="s">
        <v>2264</v>
      </c>
      <c r="D952" s="2266">
        <v>3</v>
      </c>
      <c r="E952" s="2266">
        <v>1558</v>
      </c>
      <c r="F952" s="2266" t="s">
        <v>5503</v>
      </c>
      <c r="G952" s="2266" t="s">
        <v>5504</v>
      </c>
      <c r="H952" s="2436">
        <v>3113521</v>
      </c>
      <c r="I952" s="2436">
        <v>114203</v>
      </c>
      <c r="J952" s="2446">
        <v>8.0870575072406303E-2</v>
      </c>
      <c r="K952" s="2436">
        <v>251792.23377001355</v>
      </c>
      <c r="L952" s="2436">
        <v>114203</v>
      </c>
      <c r="M952" s="2266">
        <v>599</v>
      </c>
    </row>
    <row r="953" spans="1:13" ht="15">
      <c r="A953" s="2266" t="s">
        <v>4168</v>
      </c>
      <c r="B953" s="1694" t="str">
        <f>CONCATENATE(LEFT(RIGHT(CONCATENATE("000",IFAData_TEA!A953),6),3),"-",(RIGHT(RIGHT(CONCATENATE("000",IFAData_TEA!A953),6),3)))</f>
        <v>101-903</v>
      </c>
      <c r="C953" s="2266" t="s">
        <v>2264</v>
      </c>
      <c r="D953" s="2266">
        <v>1</v>
      </c>
      <c r="E953" s="2266">
        <v>1554</v>
      </c>
      <c r="F953" s="2266" t="s">
        <v>5495</v>
      </c>
      <c r="G953" s="2266" t="s">
        <v>5495</v>
      </c>
      <c r="H953" s="2436">
        <v>1417777</v>
      </c>
      <c r="I953" s="2436">
        <v>0</v>
      </c>
      <c r="J953" s="2446">
        <v>0</v>
      </c>
      <c r="K953" s="2436">
        <v>0</v>
      </c>
      <c r="L953" s="2436">
        <v>0</v>
      </c>
      <c r="M953" s="2266">
        <v>599</v>
      </c>
    </row>
    <row r="954" spans="1:13" ht="15">
      <c r="A954" s="2266" t="s">
        <v>4168</v>
      </c>
      <c r="B954" s="1694" t="str">
        <f>CONCATENATE(LEFT(RIGHT(CONCATENATE("000",IFAData_TEA!A954),6),3),"-",(RIGHT(RIGHT(CONCATENATE("000",IFAData_TEA!A954),6),3)))</f>
        <v>101-903</v>
      </c>
      <c r="C954" s="2266" t="s">
        <v>2264</v>
      </c>
      <c r="D954" s="2266">
        <v>1</v>
      </c>
      <c r="E954" s="2266">
        <v>1554</v>
      </c>
      <c r="F954" s="2266" t="s">
        <v>5495</v>
      </c>
      <c r="G954" s="2266" t="s">
        <v>5497</v>
      </c>
      <c r="H954" s="2436">
        <v>1417777</v>
      </c>
      <c r="I954" s="2436">
        <v>0</v>
      </c>
      <c r="J954" s="2446">
        <v>0</v>
      </c>
      <c r="K954" s="2436">
        <v>0</v>
      </c>
      <c r="L954" s="2436">
        <v>0</v>
      </c>
      <c r="M954" s="2266">
        <v>599</v>
      </c>
    </row>
    <row r="955" spans="1:13" ht="15">
      <c r="A955" s="2266" t="s">
        <v>4168</v>
      </c>
      <c r="B955" s="1694" t="str">
        <f>CONCATENATE(LEFT(RIGHT(CONCATENATE("000",IFAData_TEA!A955),6),3),"-",(RIGHT(RIGHT(CONCATENATE("000",IFAData_TEA!A955),6),3)))</f>
        <v>101-903</v>
      </c>
      <c r="C955" s="2266" t="s">
        <v>2264</v>
      </c>
      <c r="D955" s="2266">
        <v>2</v>
      </c>
      <c r="E955" s="2266">
        <v>1559</v>
      </c>
      <c r="F955" s="2266" t="s">
        <v>5500</v>
      </c>
      <c r="G955" s="2266" t="s">
        <v>5497</v>
      </c>
      <c r="H955" s="2436">
        <v>4312614</v>
      </c>
      <c r="I955" s="2436">
        <v>2394726</v>
      </c>
      <c r="J955" s="2446">
        <v>0.8035499833399492</v>
      </c>
      <c r="K955" s="2436">
        <v>3465400.9078516318</v>
      </c>
      <c r="L955" s="2436">
        <v>2394726</v>
      </c>
      <c r="M955" s="2266">
        <v>599</v>
      </c>
    </row>
    <row r="956" spans="1:13" ht="15">
      <c r="A956" s="2266" t="s">
        <v>4168</v>
      </c>
      <c r="B956" s="1694" t="str">
        <f>CONCATENATE(LEFT(RIGHT(CONCATENATE("000",IFAData_TEA!A956),6),3),"-",(RIGHT(RIGHT(CONCATENATE("000",IFAData_TEA!A956),6),3)))</f>
        <v>101-903</v>
      </c>
      <c r="C956" s="2266" t="s">
        <v>2264</v>
      </c>
      <c r="D956" s="2266">
        <v>10</v>
      </c>
      <c r="E956" s="2266">
        <v>1553</v>
      </c>
      <c r="F956" s="2266" t="s">
        <v>5507</v>
      </c>
      <c r="G956" s="2266" t="s">
        <v>5507</v>
      </c>
      <c r="H956" s="2436">
        <v>967583</v>
      </c>
      <c r="I956" s="2436">
        <v>1032089</v>
      </c>
      <c r="J956" s="2446">
        <v>1</v>
      </c>
      <c r="K956" s="2436">
        <v>967583</v>
      </c>
      <c r="L956" s="2436">
        <v>967583</v>
      </c>
      <c r="M956" s="2266">
        <v>599</v>
      </c>
    </row>
    <row r="957" spans="1:13" ht="15">
      <c r="A957" s="2266" t="s">
        <v>4168</v>
      </c>
      <c r="B957" s="1694" t="str">
        <f>CONCATENATE(LEFT(RIGHT(CONCATENATE("000",IFAData_TEA!A957),6),3),"-",(RIGHT(RIGHT(CONCATENATE("000",IFAData_TEA!A957),6),3)))</f>
        <v>101-903</v>
      </c>
      <c r="C957" s="2266" t="s">
        <v>2264</v>
      </c>
      <c r="D957" s="2266">
        <v>3</v>
      </c>
      <c r="E957" s="2266">
        <v>1558</v>
      </c>
      <c r="F957" s="2266" t="s">
        <v>5503</v>
      </c>
      <c r="G957" s="2266" t="s">
        <v>5503</v>
      </c>
      <c r="H957" s="2436">
        <v>3113521</v>
      </c>
      <c r="I957" s="2436">
        <v>0</v>
      </c>
      <c r="J957" s="2446">
        <v>0</v>
      </c>
      <c r="K957" s="2436">
        <v>0</v>
      </c>
      <c r="L957" s="2436">
        <v>0</v>
      </c>
      <c r="M957" s="2266">
        <v>599</v>
      </c>
    </row>
    <row r="958" spans="1:13" ht="15">
      <c r="A958" s="2266" t="s">
        <v>4168</v>
      </c>
      <c r="B958" s="1694" t="str">
        <f>CONCATENATE(LEFT(RIGHT(CONCATENATE("000",IFAData_TEA!A958),6),3),"-",(RIGHT(RIGHT(CONCATENATE("000",IFAData_TEA!A958),6),3)))</f>
        <v>101-903</v>
      </c>
      <c r="C958" s="2266" t="s">
        <v>2264</v>
      </c>
      <c r="D958" s="2266">
        <v>2</v>
      </c>
      <c r="E958" s="2266">
        <v>1559</v>
      </c>
      <c r="F958" s="2266" t="s">
        <v>5500</v>
      </c>
      <c r="G958" s="2266" t="s">
        <v>5500</v>
      </c>
      <c r="H958" s="2436">
        <v>4312614</v>
      </c>
      <c r="I958" s="2436">
        <v>0</v>
      </c>
      <c r="J958" s="2446">
        <v>0</v>
      </c>
      <c r="K958" s="2436">
        <v>0</v>
      </c>
      <c r="L958" s="2436">
        <v>0</v>
      </c>
      <c r="M958" s="2266">
        <v>599</v>
      </c>
    </row>
    <row r="959" spans="1:13" ht="15">
      <c r="A959" s="2266" t="s">
        <v>4168</v>
      </c>
      <c r="B959" s="1694" t="str">
        <f>CONCATENATE(LEFT(RIGHT(CONCATENATE("000",IFAData_TEA!A959),6),3),"-",(RIGHT(RIGHT(CONCATENATE("000",IFAData_TEA!A959),6),3)))</f>
        <v>101-903</v>
      </c>
      <c r="C959" s="2266" t="s">
        <v>2264</v>
      </c>
      <c r="D959" s="2266">
        <v>3</v>
      </c>
      <c r="E959" s="2266">
        <v>1558</v>
      </c>
      <c r="F959" s="2266" t="s">
        <v>5503</v>
      </c>
      <c r="G959" s="2266" t="s">
        <v>6977</v>
      </c>
      <c r="H959" s="2436">
        <v>3113521</v>
      </c>
      <c r="I959" s="2436">
        <v>42067</v>
      </c>
      <c r="J959" s="2446">
        <v>2.9788906434777683E-2</v>
      </c>
      <c r="K959" s="2436">
        <v>92748.385751715439</v>
      </c>
      <c r="L959" s="2436">
        <v>42067</v>
      </c>
      <c r="M959" s="2266">
        <v>599</v>
      </c>
    </row>
    <row r="960" spans="1:13" ht="15">
      <c r="A960" s="2266" t="s">
        <v>4168</v>
      </c>
      <c r="B960" s="1694" t="str">
        <f>CONCATENATE(LEFT(RIGHT(CONCATENATE("000",IFAData_TEA!A960),6),3),"-",(RIGHT(RIGHT(CONCATENATE("000",IFAData_TEA!A960),6),3)))</f>
        <v>101-903</v>
      </c>
      <c r="C960" s="2266" t="s">
        <v>2264</v>
      </c>
      <c r="D960" s="2266">
        <v>6</v>
      </c>
      <c r="E960" s="2266">
        <v>1557</v>
      </c>
      <c r="F960" s="2266" t="s">
        <v>5506</v>
      </c>
      <c r="G960" s="2266" t="s">
        <v>5506</v>
      </c>
      <c r="H960" s="2436">
        <v>2566718</v>
      </c>
      <c r="I960" s="2436">
        <v>0</v>
      </c>
      <c r="J960" s="2446">
        <v>0</v>
      </c>
      <c r="K960" s="2436">
        <v>0</v>
      </c>
      <c r="L960" s="2436">
        <v>0</v>
      </c>
      <c r="M960" s="2266">
        <v>599</v>
      </c>
    </row>
    <row r="961" spans="1:13" ht="15">
      <c r="A961" s="2266" t="s">
        <v>4168</v>
      </c>
      <c r="B961" s="1694" t="str">
        <f>CONCATENATE(LEFT(RIGHT(CONCATENATE("000",IFAData_TEA!A961),6),3),"-",(RIGHT(RIGHT(CONCATENATE("000",IFAData_TEA!A961),6),3)))</f>
        <v>101-903</v>
      </c>
      <c r="C961" s="2266" t="s">
        <v>2264</v>
      </c>
      <c r="D961" s="2266">
        <v>3</v>
      </c>
      <c r="E961" s="2266">
        <v>1558</v>
      </c>
      <c r="F961" s="2266" t="s">
        <v>5503</v>
      </c>
      <c r="G961" s="2266" t="s">
        <v>5499</v>
      </c>
      <c r="H961" s="2436">
        <v>3113521</v>
      </c>
      <c r="I961" s="2436">
        <v>1137385</v>
      </c>
      <c r="J961" s="2446">
        <v>0.80541648668361454</v>
      </c>
      <c r="K961" s="2436">
        <v>2507681.1450356543</v>
      </c>
      <c r="L961" s="2436">
        <v>1137385</v>
      </c>
      <c r="M961" s="2266">
        <v>599</v>
      </c>
    </row>
    <row r="962" spans="1:13" ht="15">
      <c r="A962" s="2266" t="s">
        <v>4168</v>
      </c>
      <c r="B962" s="1694" t="str">
        <f>CONCATENATE(LEFT(RIGHT(CONCATENATE("000",IFAData_TEA!A962),6),3),"-",(RIGHT(RIGHT(CONCATENATE("000",IFAData_TEA!A962),6),3)))</f>
        <v>101-903</v>
      </c>
      <c r="C962" s="2266" t="s">
        <v>2264</v>
      </c>
      <c r="D962" s="2266">
        <v>5</v>
      </c>
      <c r="E962" s="2266">
        <v>1556</v>
      </c>
      <c r="F962" s="2266" t="s">
        <v>5505</v>
      </c>
      <c r="G962" s="2266" t="s">
        <v>5502</v>
      </c>
      <c r="H962" s="2436">
        <v>2380440</v>
      </c>
      <c r="I962" s="2436">
        <v>95767</v>
      </c>
      <c r="J962" s="2446">
        <v>5.996538592068567E-2</v>
      </c>
      <c r="K962" s="2436">
        <v>142744.003261037</v>
      </c>
      <c r="L962" s="2436">
        <v>95767</v>
      </c>
      <c r="M962" s="2266">
        <v>599</v>
      </c>
    </row>
    <row r="963" spans="1:13" ht="15">
      <c r="A963" s="2266" t="s">
        <v>4168</v>
      </c>
      <c r="B963" s="1694" t="str">
        <f>CONCATENATE(LEFT(RIGHT(CONCATENATE("000",IFAData_TEA!A963),6),3),"-",(RIGHT(RIGHT(CONCATENATE("000",IFAData_TEA!A963),6),3)))</f>
        <v>101-903</v>
      </c>
      <c r="C963" s="2266" t="s">
        <v>2264</v>
      </c>
      <c r="D963" s="2266">
        <v>3</v>
      </c>
      <c r="E963" s="2266">
        <v>1558</v>
      </c>
      <c r="F963" s="2266" t="s">
        <v>5503</v>
      </c>
      <c r="G963" s="2266" t="s">
        <v>5502</v>
      </c>
      <c r="H963" s="2436">
        <v>3113521</v>
      </c>
      <c r="I963" s="2436">
        <v>118515</v>
      </c>
      <c r="J963" s="2446">
        <v>8.3924031809201438E-2</v>
      </c>
      <c r="K963" s="2436">
        <v>261299.23544261666</v>
      </c>
      <c r="L963" s="2436">
        <v>118515</v>
      </c>
      <c r="M963" s="2266">
        <v>599</v>
      </c>
    </row>
    <row r="964" spans="1:13" ht="15">
      <c r="A964" s="2266" t="s">
        <v>4168</v>
      </c>
      <c r="B964" s="1694" t="str">
        <f>CONCATENATE(LEFT(RIGHT(CONCATENATE("000",IFAData_TEA!A964),6),3),"-",(RIGHT(RIGHT(CONCATENATE("000",IFAData_TEA!A964),6),3)))</f>
        <v>101-903</v>
      </c>
      <c r="C964" s="2266" t="s">
        <v>2264</v>
      </c>
      <c r="D964" s="2266">
        <v>1</v>
      </c>
      <c r="E964" s="2266">
        <v>1554</v>
      </c>
      <c r="F964" s="2266" t="s">
        <v>5495</v>
      </c>
      <c r="G964" s="2266" t="s">
        <v>5499</v>
      </c>
      <c r="H964" s="2436">
        <v>1417777</v>
      </c>
      <c r="I964" s="2436">
        <v>639442</v>
      </c>
      <c r="J964" s="2446">
        <v>0.38760168268939349</v>
      </c>
      <c r="K964" s="2436">
        <v>549532.75087832019</v>
      </c>
      <c r="L964" s="2436">
        <v>549532.75087832019</v>
      </c>
      <c r="M964" s="2266">
        <v>599</v>
      </c>
    </row>
    <row r="965" spans="1:13" ht="15">
      <c r="A965" s="2266" t="s">
        <v>4169</v>
      </c>
      <c r="B965" s="1694" t="str">
        <f>CONCATENATE(LEFT(RIGHT(CONCATENATE("000",IFAData_TEA!A965),6),3),"-",(RIGHT(RIGHT(CONCATENATE("000",IFAData_TEA!A965),6),3)))</f>
        <v>101-905</v>
      </c>
      <c r="C965" s="2266" t="s">
        <v>522</v>
      </c>
      <c r="D965" s="2266">
        <v>10</v>
      </c>
      <c r="E965" s="2266">
        <v>1678</v>
      </c>
      <c r="F965" s="2266" t="s">
        <v>5510</v>
      </c>
      <c r="G965" s="2266" t="s">
        <v>5510</v>
      </c>
      <c r="H965" s="2436">
        <v>1101389</v>
      </c>
      <c r="I965" s="2436">
        <v>1112329</v>
      </c>
      <c r="J965" s="2446">
        <v>1</v>
      </c>
      <c r="K965" s="2436">
        <v>1101389</v>
      </c>
      <c r="L965" s="2436">
        <v>1101389</v>
      </c>
      <c r="M965" s="2266">
        <v>599</v>
      </c>
    </row>
    <row r="966" spans="1:13" ht="15">
      <c r="A966" s="2266" t="s">
        <v>4169</v>
      </c>
      <c r="B966" s="1694" t="str">
        <f>CONCATENATE(LEFT(RIGHT(CONCATENATE("000",IFAData_TEA!A966),6),3),"-",(RIGHT(RIGHT(CONCATENATE("000",IFAData_TEA!A966),6),3)))</f>
        <v>101-905</v>
      </c>
      <c r="C966" s="2266" t="s">
        <v>522</v>
      </c>
      <c r="D966" s="2266">
        <v>10</v>
      </c>
      <c r="E966" s="2266">
        <v>1677</v>
      </c>
      <c r="F966" s="2266" t="s">
        <v>5509</v>
      </c>
      <c r="G966" s="2266" t="s">
        <v>5509</v>
      </c>
      <c r="H966" s="2436">
        <v>330868</v>
      </c>
      <c r="I966" s="2436">
        <v>1364901</v>
      </c>
      <c r="J966" s="2446">
        <v>1</v>
      </c>
      <c r="K966" s="2436">
        <v>330868</v>
      </c>
      <c r="L966" s="2436">
        <v>330868</v>
      </c>
      <c r="M966" s="2266">
        <v>599</v>
      </c>
    </row>
    <row r="967" spans="1:13" ht="15">
      <c r="A967" s="2266" t="s">
        <v>4170</v>
      </c>
      <c r="B967" s="1694" t="str">
        <f>CONCATENATE(LEFT(RIGHT(CONCATENATE("000",IFAData_TEA!A967),6),3),"-",(RIGHT(RIGHT(CONCATENATE("000",IFAData_TEA!A967),6),3)))</f>
        <v>101-906</v>
      </c>
      <c r="C967" s="2266" t="s">
        <v>458</v>
      </c>
      <c r="D967" s="2266">
        <v>3</v>
      </c>
      <c r="E967" s="2266">
        <v>1732</v>
      </c>
      <c r="F967" s="2266" t="s">
        <v>5511</v>
      </c>
      <c r="G967" s="2266" t="s">
        <v>5511</v>
      </c>
      <c r="H967" s="2436">
        <v>926340</v>
      </c>
      <c r="I967" s="2436">
        <v>1290569</v>
      </c>
      <c r="J967" s="2446">
        <v>0.73057223305961216</v>
      </c>
      <c r="K967" s="2436">
        <v>676758.28237244114</v>
      </c>
      <c r="L967" s="2436">
        <v>676758.28237244114</v>
      </c>
      <c r="M967" s="2266">
        <v>599</v>
      </c>
    </row>
    <row r="968" spans="1:13" ht="15">
      <c r="A968" s="2266" t="s">
        <v>4170</v>
      </c>
      <c r="B968" s="1694" t="str">
        <f>CONCATENATE(LEFT(RIGHT(CONCATENATE("000",IFAData_TEA!A968),6),3),"-",(RIGHT(RIGHT(CONCATENATE("000",IFAData_TEA!A968),6),3)))</f>
        <v>101-906</v>
      </c>
      <c r="C968" s="2266" t="s">
        <v>458</v>
      </c>
      <c r="D968" s="2266">
        <v>3</v>
      </c>
      <c r="E968" s="2266">
        <v>1732</v>
      </c>
      <c r="F968" s="2266" t="s">
        <v>5511</v>
      </c>
      <c r="G968" s="2266" t="s">
        <v>5512</v>
      </c>
      <c r="H968" s="2436">
        <v>926340</v>
      </c>
      <c r="I968" s="2436">
        <v>333867</v>
      </c>
      <c r="J968" s="2446">
        <v>0.18899722504950417</v>
      </c>
      <c r="K968" s="2436">
        <v>175075.68945235771</v>
      </c>
      <c r="L968" s="2436">
        <v>175075.68945235771</v>
      </c>
      <c r="M968" s="2266">
        <v>599</v>
      </c>
    </row>
    <row r="969" spans="1:13" ht="15">
      <c r="A969" s="2266" t="s">
        <v>4170</v>
      </c>
      <c r="B969" s="1694" t="str">
        <f>CONCATENATE(LEFT(RIGHT(CONCATENATE("000",IFAData_TEA!A969),6),3),"-",(RIGHT(RIGHT(CONCATENATE("000",IFAData_TEA!A969),6),3)))</f>
        <v>101-906</v>
      </c>
      <c r="C969" s="2266" t="s">
        <v>458</v>
      </c>
      <c r="D969" s="2266">
        <v>3</v>
      </c>
      <c r="E969" s="2266">
        <v>1732</v>
      </c>
      <c r="F969" s="2266" t="s">
        <v>5511</v>
      </c>
      <c r="G969" s="2266" t="s">
        <v>5513</v>
      </c>
      <c r="H969" s="2436">
        <v>926340</v>
      </c>
      <c r="I969" s="2436">
        <v>142082</v>
      </c>
      <c r="J969" s="2446">
        <v>8.0430541890883653E-2</v>
      </c>
      <c r="K969" s="2436">
        <v>74506.028175201165</v>
      </c>
      <c r="L969" s="2436">
        <v>74506.028175201165</v>
      </c>
      <c r="M969" s="2266">
        <v>599</v>
      </c>
    </row>
    <row r="970" spans="1:13" ht="15">
      <c r="A970" s="2266" t="s">
        <v>4171</v>
      </c>
      <c r="B970" s="1694" t="str">
        <f>CONCATENATE(LEFT(RIGHT(CONCATENATE("000",IFAData_TEA!A970),6),3),"-",(RIGHT(RIGHT(CONCATENATE("000",IFAData_TEA!A970),6),3)))</f>
        <v>101-910</v>
      </c>
      <c r="C970" s="2266" t="s">
        <v>1670</v>
      </c>
      <c r="D970" s="2266">
        <v>6</v>
      </c>
      <c r="E970" s="2266">
        <v>1838</v>
      </c>
      <c r="F970" s="2266" t="s">
        <v>5518</v>
      </c>
      <c r="G970" s="2266" t="s">
        <v>5519</v>
      </c>
      <c r="H970" s="2436">
        <v>907274</v>
      </c>
      <c r="I970" s="2436">
        <v>1003926</v>
      </c>
      <c r="J970" s="2446">
        <v>0.92041744557997451</v>
      </c>
      <c r="K970" s="2436">
        <v>835070.81752112578</v>
      </c>
      <c r="L970" s="2436">
        <v>835070.81752112578</v>
      </c>
      <c r="M970" s="2266">
        <v>599</v>
      </c>
    </row>
    <row r="971" spans="1:13" ht="15">
      <c r="A971" s="2266" t="s">
        <v>4171</v>
      </c>
      <c r="B971" s="1694" t="str">
        <f>CONCATENATE(LEFT(RIGHT(CONCATENATE("000",IFAData_TEA!A971),6),3),"-",(RIGHT(RIGHT(CONCATENATE("000",IFAData_TEA!A971),6),3)))</f>
        <v>101-910</v>
      </c>
      <c r="C971" s="2266" t="s">
        <v>1670</v>
      </c>
      <c r="D971" s="2266">
        <v>10</v>
      </c>
      <c r="E971" s="2266">
        <v>1835</v>
      </c>
      <c r="F971" s="2266" t="s">
        <v>5524</v>
      </c>
      <c r="G971" s="2266" t="s">
        <v>5524</v>
      </c>
      <c r="H971" s="2436">
        <v>663147</v>
      </c>
      <c r="I971" s="2436">
        <v>651042</v>
      </c>
      <c r="J971" s="2446">
        <v>1</v>
      </c>
      <c r="K971" s="2436">
        <v>663147</v>
      </c>
      <c r="L971" s="2436">
        <v>651042</v>
      </c>
      <c r="M971" s="2266">
        <v>599</v>
      </c>
    </row>
    <row r="972" spans="1:13" ht="15">
      <c r="A972" s="2266" t="s">
        <v>4171</v>
      </c>
      <c r="B972" s="1694" t="str">
        <f>CONCATENATE(LEFT(RIGHT(CONCATENATE("000",IFAData_TEA!A972),6),3),"-",(RIGHT(RIGHT(CONCATENATE("000",IFAData_TEA!A972),6),3)))</f>
        <v>101-910</v>
      </c>
      <c r="C972" s="2266" t="s">
        <v>1670</v>
      </c>
      <c r="D972" s="2266">
        <v>1</v>
      </c>
      <c r="E972" s="2266">
        <v>1837</v>
      </c>
      <c r="F972" s="2266" t="s">
        <v>5514</v>
      </c>
      <c r="G972" s="2266" t="s">
        <v>5516</v>
      </c>
      <c r="H972" s="2436">
        <v>827390</v>
      </c>
      <c r="I972" s="2436">
        <v>1090838</v>
      </c>
      <c r="J972" s="2446">
        <v>1</v>
      </c>
      <c r="K972" s="2436">
        <v>827390</v>
      </c>
      <c r="L972" s="2436">
        <v>827390</v>
      </c>
      <c r="M972" s="2266">
        <v>599</v>
      </c>
    </row>
    <row r="973" spans="1:13" ht="15">
      <c r="A973" s="2266" t="s">
        <v>4171</v>
      </c>
      <c r="B973" s="1694" t="str">
        <f>CONCATENATE(LEFT(RIGHT(CONCATENATE("000",IFAData_TEA!A973),6),3),"-",(RIGHT(RIGHT(CONCATENATE("000",IFAData_TEA!A973),6),3)))</f>
        <v>101-910</v>
      </c>
      <c r="C973" s="2266" t="s">
        <v>1670</v>
      </c>
      <c r="D973" s="2266">
        <v>2</v>
      </c>
      <c r="E973" s="2266">
        <v>1839</v>
      </c>
      <c r="F973" s="2266" t="s">
        <v>5517</v>
      </c>
      <c r="G973" s="2266" t="s">
        <v>5516</v>
      </c>
      <c r="H973" s="2436">
        <v>1792083</v>
      </c>
      <c r="I973" s="2436">
        <v>1573120</v>
      </c>
      <c r="J973" s="2446">
        <v>1</v>
      </c>
      <c r="K973" s="2436">
        <v>1792083</v>
      </c>
      <c r="L973" s="2436">
        <v>1573120</v>
      </c>
      <c r="M973" s="2266">
        <v>599</v>
      </c>
    </row>
    <row r="974" spans="1:13" ht="15">
      <c r="A974" s="2266" t="s">
        <v>4171</v>
      </c>
      <c r="B974" s="1694" t="str">
        <f>CONCATENATE(LEFT(RIGHT(CONCATENATE("000",IFAData_TEA!A974),6),3),"-",(RIGHT(RIGHT(CONCATENATE("000",IFAData_TEA!A974),6),3)))</f>
        <v>101-910</v>
      </c>
      <c r="C974" s="2266" t="s">
        <v>1670</v>
      </c>
      <c r="D974" s="2266">
        <v>1</v>
      </c>
      <c r="E974" s="2266">
        <v>1837</v>
      </c>
      <c r="F974" s="2266" t="s">
        <v>5514</v>
      </c>
      <c r="G974" s="2266" t="s">
        <v>5514</v>
      </c>
      <c r="H974" s="2436">
        <v>827390</v>
      </c>
      <c r="I974" s="2436">
        <v>0</v>
      </c>
      <c r="J974" s="2446">
        <v>0</v>
      </c>
      <c r="K974" s="2436">
        <v>0</v>
      </c>
      <c r="L974" s="2436">
        <v>0</v>
      </c>
      <c r="M974" s="2266">
        <v>599</v>
      </c>
    </row>
    <row r="975" spans="1:13" ht="15">
      <c r="A975" s="2266" t="s">
        <v>4171</v>
      </c>
      <c r="B975" s="1694" t="str">
        <f>CONCATENATE(LEFT(RIGHT(CONCATENATE("000",IFAData_TEA!A975),6),3),"-",(RIGHT(RIGHT(CONCATENATE("000",IFAData_TEA!A975),6),3)))</f>
        <v>101-910</v>
      </c>
      <c r="C975" s="2266" t="s">
        <v>1670</v>
      </c>
      <c r="D975" s="2266">
        <v>6</v>
      </c>
      <c r="E975" s="2266">
        <v>1834</v>
      </c>
      <c r="F975" s="2266" t="s">
        <v>5521</v>
      </c>
      <c r="G975" s="2266" t="s">
        <v>5522</v>
      </c>
      <c r="H975" s="2436">
        <v>608673</v>
      </c>
      <c r="I975" s="2436">
        <v>155949</v>
      </c>
      <c r="J975" s="2446">
        <v>0.39621793015137424</v>
      </c>
      <c r="K975" s="2436">
        <v>241167.15619902741</v>
      </c>
      <c r="L975" s="2436">
        <v>155949</v>
      </c>
      <c r="M975" s="2266">
        <v>599</v>
      </c>
    </row>
    <row r="976" spans="1:13" ht="15">
      <c r="A976" s="2266" t="s">
        <v>4171</v>
      </c>
      <c r="B976" s="1694" t="str">
        <f>CONCATENATE(LEFT(RIGHT(CONCATENATE("000",IFAData_TEA!A976),6),3),"-",(RIGHT(RIGHT(CONCATENATE("000",IFAData_TEA!A976),6),3)))</f>
        <v>101-910</v>
      </c>
      <c r="C976" s="2266" t="s">
        <v>1670</v>
      </c>
      <c r="D976" s="2266">
        <v>6</v>
      </c>
      <c r="E976" s="2266">
        <v>1838</v>
      </c>
      <c r="F976" s="2266" t="s">
        <v>5518</v>
      </c>
      <c r="G976" s="2266" t="s">
        <v>6978</v>
      </c>
      <c r="H976" s="2436">
        <v>907274</v>
      </c>
      <c r="I976" s="2436">
        <v>0</v>
      </c>
      <c r="J976" s="2446">
        <v>0</v>
      </c>
      <c r="K976" s="2436">
        <v>0</v>
      </c>
      <c r="L976" s="2436">
        <v>0</v>
      </c>
      <c r="M976" s="2266">
        <v>599</v>
      </c>
    </row>
    <row r="977" spans="1:13" ht="15">
      <c r="A977" s="2266" t="s">
        <v>4171</v>
      </c>
      <c r="B977" s="1694" t="str">
        <f>CONCATENATE(LEFT(RIGHT(CONCATENATE("000",IFAData_TEA!A977),6),3),"-",(RIGHT(RIGHT(CONCATENATE("000",IFAData_TEA!A977),6),3)))</f>
        <v>101-910</v>
      </c>
      <c r="C977" s="2266" t="s">
        <v>1670</v>
      </c>
      <c r="D977" s="2266">
        <v>6</v>
      </c>
      <c r="E977" s="2266">
        <v>1838</v>
      </c>
      <c r="F977" s="2266" t="s">
        <v>5518</v>
      </c>
      <c r="G977" s="2266" t="s">
        <v>5518</v>
      </c>
      <c r="H977" s="2436">
        <v>907274</v>
      </c>
      <c r="I977" s="2436">
        <v>0</v>
      </c>
      <c r="J977" s="2446">
        <v>0</v>
      </c>
      <c r="K977" s="2436">
        <v>0</v>
      </c>
      <c r="L977" s="2436">
        <v>0</v>
      </c>
      <c r="M977" s="2266">
        <v>599</v>
      </c>
    </row>
    <row r="978" spans="1:13" ht="15">
      <c r="A978" s="2266" t="s">
        <v>4171</v>
      </c>
      <c r="B978" s="1694" t="str">
        <f>CONCATENATE(LEFT(RIGHT(CONCATENATE("000",IFAData_TEA!A978),6),3),"-",(RIGHT(RIGHT(CONCATENATE("000",IFAData_TEA!A978),6),3)))</f>
        <v>101-910</v>
      </c>
      <c r="C978" s="2266" t="s">
        <v>1670</v>
      </c>
      <c r="D978" s="2266">
        <v>2</v>
      </c>
      <c r="E978" s="2266">
        <v>1839</v>
      </c>
      <c r="F978" s="2266" t="s">
        <v>5517</v>
      </c>
      <c r="G978" s="2266" t="s">
        <v>5517</v>
      </c>
      <c r="H978" s="2436">
        <v>1792083</v>
      </c>
      <c r="I978" s="2436">
        <v>0</v>
      </c>
      <c r="J978" s="2446">
        <v>0</v>
      </c>
      <c r="K978" s="2436">
        <v>0</v>
      </c>
      <c r="L978" s="2436">
        <v>0</v>
      </c>
      <c r="M978" s="2266">
        <v>599</v>
      </c>
    </row>
    <row r="979" spans="1:13" ht="15">
      <c r="A979" s="2266" t="s">
        <v>4171</v>
      </c>
      <c r="B979" s="1694" t="str">
        <f>CONCATENATE(LEFT(RIGHT(CONCATENATE("000",IFAData_TEA!A979),6),3),"-",(RIGHT(RIGHT(CONCATENATE("000",IFAData_TEA!A979),6),3)))</f>
        <v>101-910</v>
      </c>
      <c r="C979" s="2266" t="s">
        <v>1670</v>
      </c>
      <c r="D979" s="2266">
        <v>6</v>
      </c>
      <c r="E979" s="2266">
        <v>1834</v>
      </c>
      <c r="F979" s="2266" t="s">
        <v>5521</v>
      </c>
      <c r="G979" s="2266" t="s">
        <v>5520</v>
      </c>
      <c r="H979" s="2436">
        <v>608673</v>
      </c>
      <c r="I979" s="2436">
        <v>237645</v>
      </c>
      <c r="J979" s="2446">
        <v>0.6037820698486257</v>
      </c>
      <c r="K979" s="2436">
        <v>367505.84380097257</v>
      </c>
      <c r="L979" s="2436">
        <v>237645</v>
      </c>
      <c r="M979" s="2266">
        <v>599</v>
      </c>
    </row>
    <row r="980" spans="1:13" ht="15">
      <c r="A980" s="2266" t="s">
        <v>4171</v>
      </c>
      <c r="B980" s="1694" t="str">
        <f>CONCATENATE(LEFT(RIGHT(CONCATENATE("000",IFAData_TEA!A980),6),3),"-",(RIGHT(RIGHT(CONCATENATE("000",IFAData_TEA!A980),6),3)))</f>
        <v>101-910</v>
      </c>
      <c r="C980" s="2266" t="s">
        <v>1670</v>
      </c>
      <c r="D980" s="2266">
        <v>6</v>
      </c>
      <c r="E980" s="2266">
        <v>1838</v>
      </c>
      <c r="F980" s="2266" t="s">
        <v>5518</v>
      </c>
      <c r="G980" s="2266" t="s">
        <v>5520</v>
      </c>
      <c r="H980" s="2436">
        <v>907274</v>
      </c>
      <c r="I980" s="2436">
        <v>86803</v>
      </c>
      <c r="J980" s="2446">
        <v>7.95825544200255E-2</v>
      </c>
      <c r="K980" s="2436">
        <v>72203.182478874209</v>
      </c>
      <c r="L980" s="2436">
        <v>72203.182478874209</v>
      </c>
      <c r="M980" s="2266">
        <v>599</v>
      </c>
    </row>
    <row r="981" spans="1:13" ht="15">
      <c r="A981" s="2266" t="s">
        <v>4171</v>
      </c>
      <c r="B981" s="1694" t="str">
        <f>CONCATENATE(LEFT(RIGHT(CONCATENATE("000",IFAData_TEA!A981),6),3),"-",(RIGHT(RIGHT(CONCATENATE("000",IFAData_TEA!A981),6),3)))</f>
        <v>101-910</v>
      </c>
      <c r="C981" s="2266" t="s">
        <v>1670</v>
      </c>
      <c r="D981" s="2266">
        <v>2</v>
      </c>
      <c r="E981" s="2266">
        <v>1839</v>
      </c>
      <c r="F981" s="2266" t="s">
        <v>5517</v>
      </c>
      <c r="G981" s="2266" t="s">
        <v>5515</v>
      </c>
      <c r="H981" s="2436">
        <v>1792083</v>
      </c>
      <c r="I981" s="2436">
        <v>0</v>
      </c>
      <c r="J981" s="2446">
        <v>0</v>
      </c>
      <c r="K981" s="2436">
        <v>0</v>
      </c>
      <c r="L981" s="2436">
        <v>0</v>
      </c>
      <c r="M981" s="2266">
        <v>599</v>
      </c>
    </row>
    <row r="982" spans="1:13" ht="15">
      <c r="A982" s="2266" t="s">
        <v>4171</v>
      </c>
      <c r="B982" s="1694" t="str">
        <f>CONCATENATE(LEFT(RIGHT(CONCATENATE("000",IFAData_TEA!A982),6),3),"-",(RIGHT(RIGHT(CONCATENATE("000",IFAData_TEA!A982),6),3)))</f>
        <v>101-910</v>
      </c>
      <c r="C982" s="2266" t="s">
        <v>1670</v>
      </c>
      <c r="D982" s="2266">
        <v>1</v>
      </c>
      <c r="E982" s="2266">
        <v>1837</v>
      </c>
      <c r="F982" s="2266" t="s">
        <v>5514</v>
      </c>
      <c r="G982" s="2266" t="s">
        <v>5515</v>
      </c>
      <c r="H982" s="2436">
        <v>827390</v>
      </c>
      <c r="I982" s="2436">
        <v>0</v>
      </c>
      <c r="J982" s="2446">
        <v>0</v>
      </c>
      <c r="K982" s="2436">
        <v>0</v>
      </c>
      <c r="L982" s="2436">
        <v>0</v>
      </c>
      <c r="M982" s="2266">
        <v>599</v>
      </c>
    </row>
    <row r="983" spans="1:13" ht="15">
      <c r="A983" s="2266" t="s">
        <v>4171</v>
      </c>
      <c r="B983" s="1694" t="str">
        <f>CONCATENATE(LEFT(RIGHT(CONCATENATE("000",IFAData_TEA!A983),6),3),"-",(RIGHT(RIGHT(CONCATENATE("000",IFAData_TEA!A983),6),3)))</f>
        <v>101-910</v>
      </c>
      <c r="C983" s="2266" t="s">
        <v>1670</v>
      </c>
      <c r="D983" s="2266">
        <v>9</v>
      </c>
      <c r="E983" s="2266">
        <v>1836</v>
      </c>
      <c r="F983" s="2266" t="s">
        <v>5523</v>
      </c>
      <c r="G983" s="2266" t="s">
        <v>5523</v>
      </c>
      <c r="H983" s="2436">
        <v>792979</v>
      </c>
      <c r="I983" s="2436">
        <v>698863</v>
      </c>
      <c r="J983" s="2446">
        <v>1</v>
      </c>
      <c r="K983" s="2436">
        <v>792979</v>
      </c>
      <c r="L983" s="2436">
        <v>698863</v>
      </c>
      <c r="M983" s="2266">
        <v>599</v>
      </c>
    </row>
    <row r="984" spans="1:13" ht="15">
      <c r="A984" s="2266" t="s">
        <v>4171</v>
      </c>
      <c r="B984" s="1694" t="str">
        <f>CONCATENATE(LEFT(RIGHT(CONCATENATE("000",IFAData_TEA!A984),6),3),"-",(RIGHT(RIGHT(CONCATENATE("000",IFAData_TEA!A984),6),3)))</f>
        <v>101-910</v>
      </c>
      <c r="C984" s="2266" t="s">
        <v>1670</v>
      </c>
      <c r="D984" s="2266">
        <v>6</v>
      </c>
      <c r="E984" s="2266">
        <v>1834</v>
      </c>
      <c r="F984" s="2266" t="s">
        <v>5521</v>
      </c>
      <c r="G984" s="2266" t="s">
        <v>5521</v>
      </c>
      <c r="H984" s="2436">
        <v>608673</v>
      </c>
      <c r="I984" s="2436">
        <v>0</v>
      </c>
      <c r="J984" s="2446">
        <v>0</v>
      </c>
      <c r="K984" s="2436">
        <v>0</v>
      </c>
      <c r="L984" s="2436">
        <v>0</v>
      </c>
      <c r="M984" s="2266">
        <v>599</v>
      </c>
    </row>
    <row r="985" spans="1:13" ht="15">
      <c r="A985" s="2266" t="s">
        <v>4172</v>
      </c>
      <c r="B985" s="1694" t="str">
        <f>CONCATENATE(LEFT(RIGHT(CONCATENATE("000",IFAData_TEA!A985),6),3),"-",(RIGHT(RIGHT(CONCATENATE("000",IFAData_TEA!A985),6),3)))</f>
        <v>101-913</v>
      </c>
      <c r="C985" s="2266" t="s">
        <v>2736</v>
      </c>
      <c r="D985" s="2266">
        <v>1</v>
      </c>
      <c r="E985" s="2266">
        <v>1915</v>
      </c>
      <c r="F985" s="2266" t="s">
        <v>5528</v>
      </c>
      <c r="G985" s="2266" t="s">
        <v>5528</v>
      </c>
      <c r="H985" s="2436">
        <v>1479767</v>
      </c>
      <c r="I985" s="2436">
        <v>0</v>
      </c>
      <c r="J985" s="2446">
        <v>0</v>
      </c>
      <c r="K985" s="2436">
        <v>0</v>
      </c>
      <c r="L985" s="2436">
        <v>0</v>
      </c>
      <c r="M985" s="2266">
        <v>599</v>
      </c>
    </row>
    <row r="986" spans="1:13" ht="15">
      <c r="A986" s="2266" t="s">
        <v>4172</v>
      </c>
      <c r="B986" s="1694" t="str">
        <f>CONCATENATE(LEFT(RIGHT(CONCATENATE("000",IFAData_TEA!A986),6),3),"-",(RIGHT(RIGHT(CONCATENATE("000",IFAData_TEA!A986),6),3)))</f>
        <v>101-913</v>
      </c>
      <c r="C986" s="2266" t="s">
        <v>2736</v>
      </c>
      <c r="D986" s="2266">
        <v>1</v>
      </c>
      <c r="E986" s="2266">
        <v>1914</v>
      </c>
      <c r="F986" s="2266" t="s">
        <v>5525</v>
      </c>
      <c r="G986" s="2266" t="s">
        <v>6979</v>
      </c>
      <c r="H986" s="2436">
        <v>1259509</v>
      </c>
      <c r="I986" s="2436">
        <v>18025</v>
      </c>
      <c r="J986" s="2446">
        <v>1.3798303631575724E-2</v>
      </c>
      <c r="K986" s="2436">
        <v>17379.08760870231</v>
      </c>
      <c r="L986" s="2436">
        <v>17379.08760870231</v>
      </c>
      <c r="M986" s="2266">
        <v>599</v>
      </c>
    </row>
    <row r="987" spans="1:13" ht="15">
      <c r="A987" s="2266" t="s">
        <v>4172</v>
      </c>
      <c r="B987" s="1694" t="str">
        <f>CONCATENATE(LEFT(RIGHT(CONCATENATE("000",IFAData_TEA!A987),6),3),"-",(RIGHT(RIGHT(CONCATENATE("000",IFAData_TEA!A987),6),3)))</f>
        <v>101-913</v>
      </c>
      <c r="C987" s="2266" t="s">
        <v>2736</v>
      </c>
      <c r="D987" s="2266">
        <v>1</v>
      </c>
      <c r="E987" s="2266">
        <v>1914</v>
      </c>
      <c r="F987" s="2266" t="s">
        <v>5525</v>
      </c>
      <c r="G987" s="2266" t="s">
        <v>5527</v>
      </c>
      <c r="H987" s="2436">
        <v>1259509</v>
      </c>
      <c r="I987" s="2436">
        <v>1288295</v>
      </c>
      <c r="J987" s="2446">
        <v>0.98620169636842425</v>
      </c>
      <c r="K987" s="2436">
        <v>1242129.9123912978</v>
      </c>
      <c r="L987" s="2436">
        <v>1242129.9123912978</v>
      </c>
      <c r="M987" s="2266">
        <v>599</v>
      </c>
    </row>
    <row r="988" spans="1:13" ht="15">
      <c r="A988" s="2266" t="s">
        <v>4172</v>
      </c>
      <c r="B988" s="1694" t="str">
        <f>CONCATENATE(LEFT(RIGHT(CONCATENATE("000",IFAData_TEA!A988),6),3),"-",(RIGHT(RIGHT(CONCATENATE("000",IFAData_TEA!A988),6),3)))</f>
        <v>101-913</v>
      </c>
      <c r="C988" s="2266" t="s">
        <v>2736</v>
      </c>
      <c r="D988" s="2266">
        <v>1</v>
      </c>
      <c r="E988" s="2266">
        <v>1915</v>
      </c>
      <c r="F988" s="2266" t="s">
        <v>5528</v>
      </c>
      <c r="G988" s="2266" t="s">
        <v>5527</v>
      </c>
      <c r="H988" s="2436">
        <v>1479767</v>
      </c>
      <c r="I988" s="2436">
        <v>75964</v>
      </c>
      <c r="J988" s="2446">
        <v>5.0472238740519509E-2</v>
      </c>
      <c r="K988" s="2436">
        <v>74687.153304342326</v>
      </c>
      <c r="L988" s="2436">
        <v>74687.153304342326</v>
      </c>
      <c r="M988" s="2266">
        <v>599</v>
      </c>
    </row>
    <row r="989" spans="1:13" ht="15">
      <c r="A989" s="2266" t="s">
        <v>4172</v>
      </c>
      <c r="B989" s="1694" t="str">
        <f>CONCATENATE(LEFT(RIGHT(CONCATENATE("000",IFAData_TEA!A989),6),3),"-",(RIGHT(RIGHT(CONCATENATE("000",IFAData_TEA!A989),6),3)))</f>
        <v>101-913</v>
      </c>
      <c r="C989" s="2266" t="s">
        <v>2736</v>
      </c>
      <c r="D989" s="2266">
        <v>1</v>
      </c>
      <c r="E989" s="2266">
        <v>1915</v>
      </c>
      <c r="F989" s="2266" t="s">
        <v>5528</v>
      </c>
      <c r="G989" s="2266" t="s">
        <v>5526</v>
      </c>
      <c r="H989" s="2436">
        <v>1479767</v>
      </c>
      <c r="I989" s="2436">
        <v>1393248</v>
      </c>
      <c r="J989" s="2446">
        <v>0.92570619873560278</v>
      </c>
      <c r="K989" s="2436">
        <v>1369829.4845843867</v>
      </c>
      <c r="L989" s="2436">
        <v>1369829.4845843867</v>
      </c>
      <c r="M989" s="2266">
        <v>599</v>
      </c>
    </row>
    <row r="990" spans="1:13" ht="15">
      <c r="A990" s="2266" t="s">
        <v>4172</v>
      </c>
      <c r="B990" s="1694" t="str">
        <f>CONCATENATE(LEFT(RIGHT(CONCATENATE("000",IFAData_TEA!A990),6),3),"-",(RIGHT(RIGHT(CONCATENATE("000",IFAData_TEA!A990),6),3)))</f>
        <v>101-913</v>
      </c>
      <c r="C990" s="2266" t="s">
        <v>2736</v>
      </c>
      <c r="D990" s="2266">
        <v>1</v>
      </c>
      <c r="E990" s="2266">
        <v>1914</v>
      </c>
      <c r="F990" s="2266" t="s">
        <v>5525</v>
      </c>
      <c r="G990" s="2266" t="s">
        <v>5526</v>
      </c>
      <c r="H990" s="2436">
        <v>1259509</v>
      </c>
      <c r="I990" s="2436">
        <v>0</v>
      </c>
      <c r="J990" s="2446">
        <v>0</v>
      </c>
      <c r="K990" s="2436">
        <v>0</v>
      </c>
      <c r="L990" s="2436">
        <v>0</v>
      </c>
      <c r="M990" s="2266">
        <v>599</v>
      </c>
    </row>
    <row r="991" spans="1:13" ht="15">
      <c r="A991" s="2266" t="s">
        <v>4172</v>
      </c>
      <c r="B991" s="1694" t="str">
        <f>CONCATENATE(LEFT(RIGHT(CONCATENATE("000",IFAData_TEA!A991),6),3),"-",(RIGHT(RIGHT(CONCATENATE("000",IFAData_TEA!A991),6),3)))</f>
        <v>101-913</v>
      </c>
      <c r="C991" s="2266" t="s">
        <v>2736</v>
      </c>
      <c r="D991" s="2266">
        <v>1</v>
      </c>
      <c r="E991" s="2266">
        <v>1914</v>
      </c>
      <c r="F991" s="2266" t="s">
        <v>5525</v>
      </c>
      <c r="G991" s="2266" t="s">
        <v>5525</v>
      </c>
      <c r="H991" s="2436">
        <v>1259509</v>
      </c>
      <c r="I991" s="2436">
        <v>0</v>
      </c>
      <c r="J991" s="2446">
        <v>0</v>
      </c>
      <c r="K991" s="2436">
        <v>0</v>
      </c>
      <c r="L991" s="2436">
        <v>0</v>
      </c>
      <c r="M991" s="2266">
        <v>599</v>
      </c>
    </row>
    <row r="992" spans="1:13" ht="15">
      <c r="A992" s="2266" t="s">
        <v>4172</v>
      </c>
      <c r="B992" s="1694" t="str">
        <f>CONCATENATE(LEFT(RIGHT(CONCATENATE("000",IFAData_TEA!A992),6),3),"-",(RIGHT(RIGHT(CONCATENATE("000",IFAData_TEA!A992),6),3)))</f>
        <v>101-913</v>
      </c>
      <c r="C992" s="2266" t="s">
        <v>2736</v>
      </c>
      <c r="D992" s="2266">
        <v>1</v>
      </c>
      <c r="E992" s="2266">
        <v>1915</v>
      </c>
      <c r="F992" s="2266" t="s">
        <v>5528</v>
      </c>
      <c r="G992" s="2266" t="s">
        <v>6979</v>
      </c>
      <c r="H992" s="2436">
        <v>1479767</v>
      </c>
      <c r="I992" s="2436">
        <v>35853</v>
      </c>
      <c r="J992" s="2446">
        <v>2.3821562523877706E-2</v>
      </c>
      <c r="K992" s="2436">
        <v>35250.362111270944</v>
      </c>
      <c r="L992" s="2436">
        <v>35250.362111270944</v>
      </c>
      <c r="M992" s="2266">
        <v>599</v>
      </c>
    </row>
    <row r="993" spans="1:13" ht="15">
      <c r="A993" s="2266" t="s">
        <v>4173</v>
      </c>
      <c r="B993" s="1694" t="str">
        <f>CONCATENATE(LEFT(RIGHT(CONCATENATE("000",IFAData_TEA!A993),6),3),"-",(RIGHT(RIGHT(CONCATENATE("000",IFAData_TEA!A993),6),3)))</f>
        <v>101-914</v>
      </c>
      <c r="C993" s="2266" t="s">
        <v>450</v>
      </c>
      <c r="D993" s="2266">
        <v>2</v>
      </c>
      <c r="E993" s="2266">
        <v>1944</v>
      </c>
      <c r="F993" s="2266" t="s">
        <v>5533</v>
      </c>
      <c r="G993" s="2266" t="s">
        <v>6980</v>
      </c>
      <c r="H993" s="2436">
        <v>1987951</v>
      </c>
      <c r="I993" s="2436">
        <v>321964</v>
      </c>
      <c r="J993" s="2446">
        <v>0.16004708495324563</v>
      </c>
      <c r="K993" s="2436">
        <v>318165.76257988962</v>
      </c>
      <c r="L993" s="2436">
        <v>318165.76257988962</v>
      </c>
      <c r="M993" s="2266">
        <v>599</v>
      </c>
    </row>
    <row r="994" spans="1:13" ht="15">
      <c r="A994" s="2266" t="s">
        <v>4173</v>
      </c>
      <c r="B994" s="1694" t="str">
        <f>CONCATENATE(LEFT(RIGHT(CONCATENATE("000",IFAData_TEA!A994),6),3),"-",(RIGHT(RIGHT(CONCATENATE("000",IFAData_TEA!A994),6),3)))</f>
        <v>101-914</v>
      </c>
      <c r="C994" s="2266" t="s">
        <v>450</v>
      </c>
      <c r="D994" s="2266">
        <v>9</v>
      </c>
      <c r="E994" s="2266">
        <v>1945</v>
      </c>
      <c r="F994" s="2266" t="s">
        <v>5534</v>
      </c>
      <c r="G994" s="2266" t="s">
        <v>6981</v>
      </c>
      <c r="H994" s="2436">
        <v>5681065</v>
      </c>
      <c r="I994" s="2436">
        <v>1737259</v>
      </c>
      <c r="J994" s="2446">
        <v>0.39256932097666269</v>
      </c>
      <c r="K994" s="2436">
        <v>2230211.8294742843</v>
      </c>
      <c r="L994" s="2436">
        <v>1737259</v>
      </c>
      <c r="M994" s="2266">
        <v>599</v>
      </c>
    </row>
    <row r="995" spans="1:13" ht="15">
      <c r="A995" s="2266" t="s">
        <v>4173</v>
      </c>
      <c r="B995" s="1694" t="str">
        <f>CONCATENATE(LEFT(RIGHT(CONCATENATE("000",IFAData_TEA!A995),6),3),"-",(RIGHT(RIGHT(CONCATENATE("000",IFAData_TEA!A995),6),3)))</f>
        <v>101-914</v>
      </c>
      <c r="C995" s="2266" t="s">
        <v>450</v>
      </c>
      <c r="D995" s="2266">
        <v>9</v>
      </c>
      <c r="E995" s="2266">
        <v>1946</v>
      </c>
      <c r="F995" s="2266" t="s">
        <v>5535</v>
      </c>
      <c r="G995" s="2266" t="s">
        <v>6981</v>
      </c>
      <c r="H995" s="2436">
        <v>5902797</v>
      </c>
      <c r="I995" s="2436">
        <v>663372</v>
      </c>
      <c r="J995" s="2446">
        <v>0.14650224919375088</v>
      </c>
      <c r="K995" s="2436">
        <v>864773.03703412507</v>
      </c>
      <c r="L995" s="2436">
        <v>663372</v>
      </c>
      <c r="M995" s="2266">
        <v>599</v>
      </c>
    </row>
    <row r="996" spans="1:13" ht="15">
      <c r="A996" s="2266" t="s">
        <v>4173</v>
      </c>
      <c r="B996" s="1694" t="str">
        <f>CONCATENATE(LEFT(RIGHT(CONCATENATE("000",IFAData_TEA!A996),6),3),"-",(RIGHT(RIGHT(CONCATENATE("000",IFAData_TEA!A996),6),3)))</f>
        <v>101-914</v>
      </c>
      <c r="C996" s="2266" t="s">
        <v>450</v>
      </c>
      <c r="D996" s="2266">
        <v>1</v>
      </c>
      <c r="E996" s="2266">
        <v>1943</v>
      </c>
      <c r="F996" s="2266" t="s">
        <v>5531</v>
      </c>
      <c r="G996" s="2266" t="s">
        <v>5531</v>
      </c>
      <c r="H996" s="2436">
        <v>1506643</v>
      </c>
      <c r="I996" s="2436">
        <v>0</v>
      </c>
      <c r="J996" s="2446">
        <v>0</v>
      </c>
      <c r="K996" s="2436"/>
      <c r="L996" s="2436">
        <v>0</v>
      </c>
      <c r="M996" s="2266">
        <v>599</v>
      </c>
    </row>
    <row r="997" spans="1:13" ht="15">
      <c r="A997" s="2266" t="s">
        <v>4173</v>
      </c>
      <c r="B997" s="1694" t="str">
        <f>CONCATENATE(LEFT(RIGHT(CONCATENATE("000",IFAData_TEA!A997),6),3),"-",(RIGHT(RIGHT(CONCATENATE("000",IFAData_TEA!A997),6),3)))</f>
        <v>101-914</v>
      </c>
      <c r="C997" s="2266" t="s">
        <v>450</v>
      </c>
      <c r="D997" s="2266">
        <v>1</v>
      </c>
      <c r="E997" s="2266">
        <v>1942</v>
      </c>
      <c r="F997" s="2266" t="s">
        <v>5529</v>
      </c>
      <c r="G997" s="2266" t="s">
        <v>5530</v>
      </c>
      <c r="H997" s="2436">
        <v>1428934</v>
      </c>
      <c r="I997" s="2436">
        <v>951675</v>
      </c>
      <c r="J997" s="2446">
        <v>0.8343086330462226</v>
      </c>
      <c r="K997" s="2436">
        <v>1192171.9722532711</v>
      </c>
      <c r="L997" s="2436">
        <v>951675</v>
      </c>
      <c r="M997" s="2266">
        <v>599</v>
      </c>
    </row>
    <row r="998" spans="1:13" ht="15">
      <c r="A998" s="2266" t="s">
        <v>4173</v>
      </c>
      <c r="B998" s="1694" t="str">
        <f>CONCATENATE(LEFT(RIGHT(CONCATENATE("000",IFAData_TEA!A998),6),3),"-",(RIGHT(RIGHT(CONCATENATE("000",IFAData_TEA!A998),6),3)))</f>
        <v>101-914</v>
      </c>
      <c r="C998" s="2266" t="s">
        <v>450</v>
      </c>
      <c r="D998" s="2266">
        <v>1</v>
      </c>
      <c r="E998" s="2266">
        <v>1942</v>
      </c>
      <c r="F998" s="2266" t="s">
        <v>5529</v>
      </c>
      <c r="G998" s="2266" t="s">
        <v>5529</v>
      </c>
      <c r="H998" s="2436">
        <v>1428934</v>
      </c>
      <c r="I998" s="2436">
        <v>189000</v>
      </c>
      <c r="J998" s="2446">
        <v>0.16569136695377737</v>
      </c>
      <c r="K998" s="2436">
        <v>236762.02774672891</v>
      </c>
      <c r="L998" s="2436">
        <v>189000</v>
      </c>
      <c r="M998" s="2266">
        <v>599</v>
      </c>
    </row>
    <row r="999" spans="1:13" ht="15">
      <c r="A999" s="2266" t="s">
        <v>4173</v>
      </c>
      <c r="B999" s="1694" t="str">
        <f>CONCATENATE(LEFT(RIGHT(CONCATENATE("000",IFAData_TEA!A999),6),3),"-",(RIGHT(RIGHT(CONCATENATE("000",IFAData_TEA!A999),6),3)))</f>
        <v>101-914</v>
      </c>
      <c r="C999" s="2266" t="s">
        <v>450</v>
      </c>
      <c r="D999" s="2266">
        <v>9</v>
      </c>
      <c r="E999" s="2266">
        <v>1941</v>
      </c>
      <c r="F999" s="2266" t="s">
        <v>5536</v>
      </c>
      <c r="G999" s="2266" t="s">
        <v>6982</v>
      </c>
      <c r="H999" s="2436">
        <v>212152</v>
      </c>
      <c r="I999" s="2436">
        <v>101949</v>
      </c>
      <c r="J999" s="2446">
        <v>0.13541435605492072</v>
      </c>
      <c r="K999" s="2436">
        <v>28728.426465763539</v>
      </c>
      <c r="L999" s="2436">
        <v>28728.426465763539</v>
      </c>
      <c r="M999" s="2266">
        <v>599</v>
      </c>
    </row>
    <row r="1000" spans="1:13" ht="15">
      <c r="A1000" s="2266" t="s">
        <v>4173</v>
      </c>
      <c r="B1000" s="1694" t="str">
        <f>CONCATENATE(LEFT(RIGHT(CONCATENATE("000",IFAData_TEA!A1000),6),3),"-",(RIGHT(RIGHT(CONCATENATE("000",IFAData_TEA!A1000),6),3)))</f>
        <v>101-914</v>
      </c>
      <c r="C1000" s="2266" t="s">
        <v>450</v>
      </c>
      <c r="D1000" s="2266">
        <v>2</v>
      </c>
      <c r="E1000" s="2266">
        <v>1944</v>
      </c>
      <c r="F1000" s="2266" t="s">
        <v>5533</v>
      </c>
      <c r="G1000" s="2266" t="s">
        <v>5532</v>
      </c>
      <c r="H1000" s="2436">
        <v>1987951</v>
      </c>
      <c r="I1000" s="2436">
        <v>485858</v>
      </c>
      <c r="J1000" s="2446">
        <v>0.24151817160059513</v>
      </c>
      <c r="K1000" s="2436">
        <v>480126.29075157468</v>
      </c>
      <c r="L1000" s="2436">
        <v>480126.29075157468</v>
      </c>
      <c r="M1000" s="2266">
        <v>599</v>
      </c>
    </row>
    <row r="1001" spans="1:13" ht="15">
      <c r="A1001" s="2266" t="s">
        <v>4173</v>
      </c>
      <c r="B1001" s="1694" t="str">
        <f>CONCATENATE(LEFT(RIGHT(CONCATENATE("000",IFAData_TEA!A1001),6),3),"-",(RIGHT(RIGHT(CONCATENATE("000",IFAData_TEA!A1001),6),3)))</f>
        <v>101-914</v>
      </c>
      <c r="C1001" s="2266" t="s">
        <v>450</v>
      </c>
      <c r="D1001" s="2266">
        <v>9</v>
      </c>
      <c r="E1001" s="2266">
        <v>1946</v>
      </c>
      <c r="F1001" s="2266" t="s">
        <v>5535</v>
      </c>
      <c r="G1001" s="2266" t="s">
        <v>6982</v>
      </c>
      <c r="H1001" s="2436">
        <v>5902797</v>
      </c>
      <c r="I1001" s="2436">
        <v>274720</v>
      </c>
      <c r="J1001" s="2446">
        <v>6.0670480361708426E-2</v>
      </c>
      <c r="K1001" s="2436">
        <v>358125.52946765139</v>
      </c>
      <c r="L1001" s="2436">
        <v>274720</v>
      </c>
      <c r="M1001" s="2266">
        <v>599</v>
      </c>
    </row>
    <row r="1002" spans="1:13" ht="15">
      <c r="A1002" s="2266" t="s">
        <v>4173</v>
      </c>
      <c r="B1002" s="1694" t="str">
        <f>CONCATENATE(LEFT(RIGHT(CONCATENATE("000",IFAData_TEA!A1002),6),3),"-",(RIGHT(RIGHT(CONCATENATE("000",IFAData_TEA!A1002),6),3)))</f>
        <v>101-914</v>
      </c>
      <c r="C1002" s="2266" t="s">
        <v>450</v>
      </c>
      <c r="D1002" s="2266">
        <v>9</v>
      </c>
      <c r="E1002" s="2266">
        <v>1941</v>
      </c>
      <c r="F1002" s="2266" t="s">
        <v>5536</v>
      </c>
      <c r="G1002" s="2266" t="s">
        <v>5536</v>
      </c>
      <c r="H1002" s="2436">
        <v>212152</v>
      </c>
      <c r="I1002" s="2436">
        <v>650918</v>
      </c>
      <c r="J1002" s="2446">
        <v>0.86458564394507931</v>
      </c>
      <c r="K1002" s="2436">
        <v>183423.57353423646</v>
      </c>
      <c r="L1002" s="2436">
        <v>183423.57353423646</v>
      </c>
      <c r="M1002" s="2266">
        <v>599</v>
      </c>
    </row>
    <row r="1003" spans="1:13" ht="15">
      <c r="A1003" s="2266" t="s">
        <v>4173</v>
      </c>
      <c r="B1003" s="1694" t="str">
        <f>CONCATENATE(LEFT(RIGHT(CONCATENATE("000",IFAData_TEA!A1003),6),3),"-",(RIGHT(RIGHT(CONCATENATE("000",IFAData_TEA!A1003),6),3)))</f>
        <v>101-914</v>
      </c>
      <c r="C1003" s="2266" t="s">
        <v>450</v>
      </c>
      <c r="D1003" s="2266">
        <v>9</v>
      </c>
      <c r="E1003" s="2266">
        <v>1946</v>
      </c>
      <c r="F1003" s="2266" t="s">
        <v>5535</v>
      </c>
      <c r="G1003" s="2266" t="s">
        <v>5535</v>
      </c>
      <c r="H1003" s="2436">
        <v>5902797</v>
      </c>
      <c r="I1003" s="2436">
        <v>3589975</v>
      </c>
      <c r="J1003" s="2446">
        <v>0.79282727044454071</v>
      </c>
      <c r="K1003" s="2436">
        <v>4679898.4334982233</v>
      </c>
      <c r="L1003" s="2436">
        <v>3589975</v>
      </c>
      <c r="M1003" s="2266">
        <v>599</v>
      </c>
    </row>
    <row r="1004" spans="1:13" ht="15">
      <c r="A1004" s="2266" t="s">
        <v>4173</v>
      </c>
      <c r="B1004" s="1694" t="str">
        <f>CONCATENATE(LEFT(RIGHT(CONCATENATE("000",IFAData_TEA!A1004),6),3),"-",(RIGHT(RIGHT(CONCATENATE("000",IFAData_TEA!A1004),6),3)))</f>
        <v>101-914</v>
      </c>
      <c r="C1004" s="2266" t="s">
        <v>450</v>
      </c>
      <c r="D1004" s="2266">
        <v>9</v>
      </c>
      <c r="E1004" s="2266">
        <v>1945</v>
      </c>
      <c r="F1004" s="2266" t="s">
        <v>5534</v>
      </c>
      <c r="G1004" s="2266" t="s">
        <v>5534</v>
      </c>
      <c r="H1004" s="2436">
        <v>5681065</v>
      </c>
      <c r="I1004" s="2436">
        <v>2688097</v>
      </c>
      <c r="J1004" s="2446">
        <v>0.60743067902333736</v>
      </c>
      <c r="K1004" s="2436">
        <v>3450853.1705257162</v>
      </c>
      <c r="L1004" s="2436">
        <v>2688097</v>
      </c>
      <c r="M1004" s="2266">
        <v>599</v>
      </c>
    </row>
    <row r="1005" spans="1:13" ht="15">
      <c r="A1005" s="2266" t="s">
        <v>4173</v>
      </c>
      <c r="B1005" s="1694" t="str">
        <f>CONCATENATE(LEFT(RIGHT(CONCATENATE("000",IFAData_TEA!A1005),6),3),"-",(RIGHT(RIGHT(CONCATENATE("000",IFAData_TEA!A1005),6),3)))</f>
        <v>101-914</v>
      </c>
      <c r="C1005" s="2266" t="s">
        <v>450</v>
      </c>
      <c r="D1005" s="2266">
        <v>2</v>
      </c>
      <c r="E1005" s="2266">
        <v>1944</v>
      </c>
      <c r="F1005" s="2266" t="s">
        <v>5533</v>
      </c>
      <c r="G1005" s="2266" t="s">
        <v>5533</v>
      </c>
      <c r="H1005" s="2436">
        <v>1987951</v>
      </c>
      <c r="I1005" s="2436">
        <v>0</v>
      </c>
      <c r="J1005" s="2446">
        <v>0</v>
      </c>
      <c r="K1005" s="2436">
        <v>0</v>
      </c>
      <c r="L1005" s="2436">
        <v>0</v>
      </c>
      <c r="M1005" s="2266">
        <v>599</v>
      </c>
    </row>
    <row r="1006" spans="1:13" ht="15">
      <c r="A1006" s="2266" t="s">
        <v>4173</v>
      </c>
      <c r="B1006" s="1694" t="str">
        <f>CONCATENATE(LEFT(RIGHT(CONCATENATE("000",IFAData_TEA!A1006),6),3),"-",(RIGHT(RIGHT(CONCATENATE("000",IFAData_TEA!A1006),6),3)))</f>
        <v>101-914</v>
      </c>
      <c r="C1006" s="2266" t="s">
        <v>450</v>
      </c>
      <c r="D1006" s="2266">
        <v>2</v>
      </c>
      <c r="E1006" s="2266">
        <v>1944</v>
      </c>
      <c r="F1006" s="2266" t="s">
        <v>5533</v>
      </c>
      <c r="G1006" s="2266" t="s">
        <v>5530</v>
      </c>
      <c r="H1006" s="2436">
        <v>1987951</v>
      </c>
      <c r="I1006" s="2436">
        <v>1203861</v>
      </c>
      <c r="J1006" s="2446">
        <v>0.59843474344615921</v>
      </c>
      <c r="K1006" s="2436">
        <v>1189658.9466685357</v>
      </c>
      <c r="L1006" s="2436">
        <v>1189658.9466685357</v>
      </c>
      <c r="M1006" s="2266">
        <v>599</v>
      </c>
    </row>
    <row r="1007" spans="1:13" ht="15">
      <c r="A1007" s="2266" t="s">
        <v>4174</v>
      </c>
      <c r="B1007" s="1694" t="str">
        <f>CONCATENATE(LEFT(RIGHT(CONCATENATE("000",IFAData_TEA!A1007),6),3),"-",(RIGHT(RIGHT(CONCATENATE("000",IFAData_TEA!A1007),6),3)))</f>
        <v>101-915</v>
      </c>
      <c r="C1007" s="2266" t="s">
        <v>2980</v>
      </c>
      <c r="D1007" s="2266">
        <v>6</v>
      </c>
      <c r="E1007" s="2266">
        <v>1966</v>
      </c>
      <c r="F1007" s="2266" t="s">
        <v>5541</v>
      </c>
      <c r="G1007" s="2266" t="s">
        <v>5543</v>
      </c>
      <c r="H1007" s="2436">
        <v>2380705</v>
      </c>
      <c r="I1007" s="2436">
        <v>768436</v>
      </c>
      <c r="J1007" s="2446">
        <v>0.26415676784066083</v>
      </c>
      <c r="K1007" s="2436">
        <v>628879.33798210043</v>
      </c>
      <c r="L1007" s="2436">
        <v>628879.33798210043</v>
      </c>
      <c r="M1007" s="2266">
        <v>599</v>
      </c>
    </row>
    <row r="1008" spans="1:13" ht="15">
      <c r="A1008" s="2266" t="s">
        <v>4174</v>
      </c>
      <c r="B1008" s="1694" t="str">
        <f>CONCATENATE(LEFT(RIGHT(CONCATENATE("000",IFAData_TEA!A1008),6),3),"-",(RIGHT(RIGHT(CONCATENATE("000",IFAData_TEA!A1008),6),3)))</f>
        <v>101-915</v>
      </c>
      <c r="C1008" s="2266" t="s">
        <v>2980</v>
      </c>
      <c r="D1008" s="2266">
        <v>2</v>
      </c>
      <c r="E1008" s="2266">
        <v>1965</v>
      </c>
      <c r="F1008" s="2266" t="s">
        <v>5539</v>
      </c>
      <c r="G1008" s="2266" t="s">
        <v>5538</v>
      </c>
      <c r="H1008" s="2436">
        <v>1172621</v>
      </c>
      <c r="I1008" s="2436">
        <v>1160461</v>
      </c>
      <c r="J1008" s="2446">
        <v>0.89145883826065586</v>
      </c>
      <c r="K1008" s="2436">
        <v>1045343.3543800486</v>
      </c>
      <c r="L1008" s="2436">
        <v>1045343.3543800486</v>
      </c>
      <c r="M1008" s="2266">
        <v>599</v>
      </c>
    </row>
    <row r="1009" spans="1:13" ht="15">
      <c r="A1009" s="2266" t="s">
        <v>4174</v>
      </c>
      <c r="B1009" s="1694" t="str">
        <f>CONCATENATE(LEFT(RIGHT(CONCATENATE("000",IFAData_TEA!A1009),6),3),"-",(RIGHT(RIGHT(CONCATENATE("000",IFAData_TEA!A1009),6),3)))</f>
        <v>101-915</v>
      </c>
      <c r="C1009" s="2266" t="s">
        <v>2980</v>
      </c>
      <c r="D1009" s="2266">
        <v>6</v>
      </c>
      <c r="E1009" s="2266">
        <v>1966</v>
      </c>
      <c r="F1009" s="2266" t="s">
        <v>5541</v>
      </c>
      <c r="G1009" s="2266" t="s">
        <v>5538</v>
      </c>
      <c r="H1009" s="2436">
        <v>2380705</v>
      </c>
      <c r="I1009" s="2436">
        <v>1933544</v>
      </c>
      <c r="J1009" s="2446">
        <v>0.66467309381354167</v>
      </c>
      <c r="K1009" s="2436">
        <v>1582390.5578073678</v>
      </c>
      <c r="L1009" s="2436">
        <v>1582390.5578073678</v>
      </c>
      <c r="M1009" s="2266">
        <v>599</v>
      </c>
    </row>
    <row r="1010" spans="1:13" ht="15">
      <c r="A1010" s="2266" t="s">
        <v>4174</v>
      </c>
      <c r="B1010" s="1694" t="str">
        <f>CONCATENATE(LEFT(RIGHT(CONCATENATE("000",IFAData_TEA!A1010),6),3),"-",(RIGHT(RIGHT(CONCATENATE("000",IFAData_TEA!A1010),6),3)))</f>
        <v>101-915</v>
      </c>
      <c r="C1010" s="2266" t="s">
        <v>2980</v>
      </c>
      <c r="D1010" s="2266">
        <v>6</v>
      </c>
      <c r="E1010" s="2266">
        <v>1966</v>
      </c>
      <c r="F1010" s="2266" t="s">
        <v>5541</v>
      </c>
      <c r="G1010" s="2266" t="s">
        <v>5541</v>
      </c>
      <c r="H1010" s="2436">
        <v>2380705</v>
      </c>
      <c r="I1010" s="2436">
        <v>0</v>
      </c>
      <c r="J1010" s="2446">
        <v>0</v>
      </c>
      <c r="K1010" s="2436">
        <v>0</v>
      </c>
      <c r="L1010" s="2436">
        <v>0</v>
      </c>
      <c r="M1010" s="2266">
        <v>599</v>
      </c>
    </row>
    <row r="1011" spans="1:13" ht="15">
      <c r="A1011" s="2266" t="s">
        <v>4174</v>
      </c>
      <c r="B1011" s="1694" t="str">
        <f>CONCATENATE(LEFT(RIGHT(CONCATENATE("000",IFAData_TEA!A1011),6),3),"-",(RIGHT(RIGHT(CONCATENATE("000",IFAData_TEA!A1011),6),3)))</f>
        <v>101-915</v>
      </c>
      <c r="C1011" s="2266" t="s">
        <v>2980</v>
      </c>
      <c r="D1011" s="2266">
        <v>9</v>
      </c>
      <c r="E1011" s="2266">
        <v>1964</v>
      </c>
      <c r="F1011" s="2266" t="s">
        <v>5544</v>
      </c>
      <c r="G1011" s="2266" t="s">
        <v>6983</v>
      </c>
      <c r="H1011" s="2436">
        <v>1083584</v>
      </c>
      <c r="I1011" s="2436">
        <v>14207</v>
      </c>
      <c r="J1011" s="2446">
        <v>1.6935514633657889E-2</v>
      </c>
      <c r="K1011" s="2436">
        <v>18351.05268879755</v>
      </c>
      <c r="L1011" s="2436">
        <v>14207</v>
      </c>
      <c r="M1011" s="2266">
        <v>599</v>
      </c>
    </row>
    <row r="1012" spans="1:13" ht="15">
      <c r="A1012" s="2266" t="s">
        <v>4174</v>
      </c>
      <c r="B1012" s="1694" t="str">
        <f>CONCATENATE(LEFT(RIGHT(CONCATENATE("000",IFAData_TEA!A1012),6),3),"-",(RIGHT(RIGHT(CONCATENATE("000",IFAData_TEA!A1012),6),3)))</f>
        <v>101-915</v>
      </c>
      <c r="C1012" s="2266" t="s">
        <v>2980</v>
      </c>
      <c r="D1012" s="2266">
        <v>2</v>
      </c>
      <c r="E1012" s="2266">
        <v>1965</v>
      </c>
      <c r="F1012" s="2266" t="s">
        <v>5539</v>
      </c>
      <c r="G1012" s="2266" t="s">
        <v>5539</v>
      </c>
      <c r="H1012" s="2436">
        <v>1172621</v>
      </c>
      <c r="I1012" s="2436">
        <v>0</v>
      </c>
      <c r="J1012" s="2446">
        <v>0</v>
      </c>
      <c r="K1012" s="2436">
        <v>0</v>
      </c>
      <c r="L1012" s="2436">
        <v>0</v>
      </c>
      <c r="M1012" s="2266">
        <v>599</v>
      </c>
    </row>
    <row r="1013" spans="1:13" ht="15">
      <c r="A1013" s="2266" t="s">
        <v>4174</v>
      </c>
      <c r="B1013" s="1694" t="str">
        <f>CONCATENATE(LEFT(RIGHT(CONCATENATE("000",IFAData_TEA!A1013),6),3),"-",(RIGHT(RIGHT(CONCATENATE("000",IFAData_TEA!A1013),6),3)))</f>
        <v>101-915</v>
      </c>
      <c r="C1013" s="2266" t="s">
        <v>2980</v>
      </c>
      <c r="D1013" s="2266">
        <v>6</v>
      </c>
      <c r="E1013" s="2266">
        <v>1966</v>
      </c>
      <c r="F1013" s="2266" t="s">
        <v>5541</v>
      </c>
      <c r="G1013" s="2266" t="s">
        <v>5542</v>
      </c>
      <c r="H1013" s="2436">
        <v>2380705</v>
      </c>
      <c r="I1013" s="2436">
        <v>196590</v>
      </c>
      <c r="J1013" s="2446">
        <v>6.7579575904558764E-2</v>
      </c>
      <c r="K1013" s="2436">
        <v>160887.03425386257</v>
      </c>
      <c r="L1013" s="2436">
        <v>160887.03425386257</v>
      </c>
      <c r="M1013" s="2266">
        <v>599</v>
      </c>
    </row>
    <row r="1014" spans="1:13" ht="15">
      <c r="A1014" s="2266" t="s">
        <v>4174</v>
      </c>
      <c r="B1014" s="1694" t="str">
        <f>CONCATENATE(LEFT(RIGHT(CONCATENATE("000",IFAData_TEA!A1014),6),3),"-",(RIGHT(RIGHT(CONCATENATE("000",IFAData_TEA!A1014),6),3)))</f>
        <v>101-915</v>
      </c>
      <c r="C1014" s="2266" t="s">
        <v>2980</v>
      </c>
      <c r="D1014" s="2266">
        <v>10</v>
      </c>
      <c r="E1014" s="2266">
        <v>1967</v>
      </c>
      <c r="F1014" s="2266" t="s">
        <v>5545</v>
      </c>
      <c r="G1014" s="2266" t="s">
        <v>5545</v>
      </c>
      <c r="H1014" s="2436">
        <v>3671148</v>
      </c>
      <c r="I1014" s="2436">
        <v>2936918</v>
      </c>
      <c r="J1014" s="2446">
        <v>1</v>
      </c>
      <c r="K1014" s="2436">
        <v>3671148</v>
      </c>
      <c r="L1014" s="2436">
        <v>2936918</v>
      </c>
      <c r="M1014" s="2266">
        <v>599</v>
      </c>
    </row>
    <row r="1015" spans="1:13" ht="15">
      <c r="A1015" s="2266" t="s">
        <v>4174</v>
      </c>
      <c r="B1015" s="1694" t="str">
        <f>CONCATENATE(LEFT(RIGHT(CONCATENATE("000",IFAData_TEA!A1015),6),3),"-",(RIGHT(RIGHT(CONCATENATE("000",IFAData_TEA!A1015),6),3)))</f>
        <v>101-915</v>
      </c>
      <c r="C1015" s="2266" t="s">
        <v>2980</v>
      </c>
      <c r="D1015" s="2266">
        <v>2</v>
      </c>
      <c r="E1015" s="2266">
        <v>1965</v>
      </c>
      <c r="F1015" s="2266" t="s">
        <v>5539</v>
      </c>
      <c r="G1015" s="2266" t="s">
        <v>5540</v>
      </c>
      <c r="H1015" s="2436">
        <v>1172621</v>
      </c>
      <c r="I1015" s="2436">
        <v>134616</v>
      </c>
      <c r="J1015" s="2446">
        <v>0.10341116415915437</v>
      </c>
      <c r="K1015" s="2436">
        <v>121262.10272747176</v>
      </c>
      <c r="L1015" s="2436">
        <v>121262.10272747176</v>
      </c>
      <c r="M1015" s="2266">
        <v>599</v>
      </c>
    </row>
    <row r="1016" spans="1:13" ht="15">
      <c r="A1016" s="2266" t="s">
        <v>4174</v>
      </c>
      <c r="B1016" s="1694" t="str">
        <f>CONCATENATE(LEFT(RIGHT(CONCATENATE("000",IFAData_TEA!A1016),6),3),"-",(RIGHT(RIGHT(CONCATENATE("000",IFAData_TEA!A1016),6),3)))</f>
        <v>101-915</v>
      </c>
      <c r="C1016" s="2266" t="s">
        <v>2980</v>
      </c>
      <c r="D1016" s="2266">
        <v>1</v>
      </c>
      <c r="E1016" s="2266">
        <v>1963</v>
      </c>
      <c r="F1016" s="2266" t="s">
        <v>5537</v>
      </c>
      <c r="G1016" s="2266" t="s">
        <v>5537</v>
      </c>
      <c r="H1016" s="2436">
        <v>282821</v>
      </c>
      <c r="I1016" s="2436">
        <v>0</v>
      </c>
      <c r="J1016" s="2446">
        <v>0</v>
      </c>
      <c r="K1016" s="2436"/>
      <c r="L1016" s="2436">
        <v>0</v>
      </c>
      <c r="M1016" s="2266">
        <v>599</v>
      </c>
    </row>
    <row r="1017" spans="1:13" ht="15">
      <c r="A1017" s="2266" t="s">
        <v>4174</v>
      </c>
      <c r="B1017" s="1694" t="str">
        <f>CONCATENATE(LEFT(RIGHT(CONCATENATE("000",IFAData_TEA!A1017),6),3),"-",(RIGHT(RIGHT(CONCATENATE("000",IFAData_TEA!A1017),6),3)))</f>
        <v>101-915</v>
      </c>
      <c r="C1017" s="2266" t="s">
        <v>2980</v>
      </c>
      <c r="D1017" s="2266">
        <v>9</v>
      </c>
      <c r="E1017" s="2266">
        <v>1968</v>
      </c>
      <c r="F1017" s="2266" t="s">
        <v>5542</v>
      </c>
      <c r="G1017" s="2266" t="s">
        <v>5542</v>
      </c>
      <c r="H1017" s="2436">
        <v>8267781</v>
      </c>
      <c r="I1017" s="2436">
        <v>10203701</v>
      </c>
      <c r="J1017" s="2446">
        <v>0.99374566611348747</v>
      </c>
      <c r="K1017" s="2436">
        <v>8216071.5371254357</v>
      </c>
      <c r="L1017" s="2436">
        <v>8216071.5371254357</v>
      </c>
      <c r="M1017" s="2266">
        <v>599</v>
      </c>
    </row>
    <row r="1018" spans="1:13" ht="15">
      <c r="A1018" s="2266" t="s">
        <v>4174</v>
      </c>
      <c r="B1018" s="1694" t="str">
        <f>CONCATENATE(LEFT(RIGHT(CONCATENATE("000",IFAData_TEA!A1018),6),3),"-",(RIGHT(RIGHT(CONCATENATE("000",IFAData_TEA!A1018),6),3)))</f>
        <v>101-915</v>
      </c>
      <c r="C1018" s="2266" t="s">
        <v>2980</v>
      </c>
      <c r="D1018" s="2266">
        <v>9</v>
      </c>
      <c r="E1018" s="2266">
        <v>1964</v>
      </c>
      <c r="F1018" s="2266" t="s">
        <v>5544</v>
      </c>
      <c r="G1018" s="2266" t="s">
        <v>5544</v>
      </c>
      <c r="H1018" s="2436">
        <v>1083584</v>
      </c>
      <c r="I1018" s="2436">
        <v>824681</v>
      </c>
      <c r="J1018" s="2446">
        <v>0.98306448536634206</v>
      </c>
      <c r="K1018" s="2436">
        <v>1065232.9473112023</v>
      </c>
      <c r="L1018" s="2436">
        <v>824681</v>
      </c>
      <c r="M1018" s="2266">
        <v>599</v>
      </c>
    </row>
    <row r="1019" spans="1:13" ht="15">
      <c r="A1019" s="2266" t="s">
        <v>4174</v>
      </c>
      <c r="B1019" s="1694" t="str">
        <f>CONCATENATE(LEFT(RIGHT(CONCATENATE("000",IFAData_TEA!A1019),6),3),"-",(RIGHT(RIGHT(CONCATENATE("000",IFAData_TEA!A1019),6),3)))</f>
        <v>101-915</v>
      </c>
      <c r="C1019" s="2266" t="s">
        <v>2980</v>
      </c>
      <c r="D1019" s="2266">
        <v>6</v>
      </c>
      <c r="E1019" s="2266">
        <v>1966</v>
      </c>
      <c r="F1019" s="2266" t="s">
        <v>5541</v>
      </c>
      <c r="G1019" s="2266" t="s">
        <v>6983</v>
      </c>
      <c r="H1019" s="2436">
        <v>2380705</v>
      </c>
      <c r="I1019" s="2436">
        <v>10445</v>
      </c>
      <c r="J1019" s="2446">
        <v>3.5905624412387012E-3</v>
      </c>
      <c r="K1019" s="2436">
        <v>8548.0699566691819</v>
      </c>
      <c r="L1019" s="2436">
        <v>8548.0699566691819</v>
      </c>
      <c r="M1019" s="2266">
        <v>599</v>
      </c>
    </row>
    <row r="1020" spans="1:13" ht="15">
      <c r="A1020" s="2266" t="s">
        <v>4174</v>
      </c>
      <c r="B1020" s="1694" t="str">
        <f>CONCATENATE(LEFT(RIGHT(CONCATENATE("000",IFAData_TEA!A1020),6),3),"-",(RIGHT(RIGHT(CONCATENATE("000",IFAData_TEA!A1020),6),3)))</f>
        <v>101-915</v>
      </c>
      <c r="C1020" s="2266" t="s">
        <v>2980</v>
      </c>
      <c r="D1020" s="2266">
        <v>2</v>
      </c>
      <c r="E1020" s="2266">
        <v>1965</v>
      </c>
      <c r="F1020" s="2266" t="s">
        <v>5539</v>
      </c>
      <c r="G1020" s="2266" t="s">
        <v>6983</v>
      </c>
      <c r="H1020" s="2436">
        <v>1172621</v>
      </c>
      <c r="I1020" s="2436">
        <v>6678</v>
      </c>
      <c r="J1020" s="2446">
        <v>5.1299975801898205E-3</v>
      </c>
      <c r="K1020" s="2436">
        <v>6015.5428924797679</v>
      </c>
      <c r="L1020" s="2436">
        <v>6015.5428924797679</v>
      </c>
      <c r="M1020" s="2266">
        <v>599</v>
      </c>
    </row>
    <row r="1021" spans="1:13" ht="15">
      <c r="A1021" s="2266" t="s">
        <v>4174</v>
      </c>
      <c r="B1021" s="1694" t="str">
        <f>CONCATENATE(LEFT(RIGHT(CONCATENATE("000",IFAData_TEA!A1021),6),3),"-",(RIGHT(RIGHT(CONCATENATE("000",IFAData_TEA!A1021),6),3)))</f>
        <v>101-915</v>
      </c>
      <c r="C1021" s="2266" t="s">
        <v>2980</v>
      </c>
      <c r="D1021" s="2266">
        <v>9</v>
      </c>
      <c r="E1021" s="2266">
        <v>1968</v>
      </c>
      <c r="F1021" s="2266" t="s">
        <v>5542</v>
      </c>
      <c r="G1021" s="2266" t="s">
        <v>6983</v>
      </c>
      <c r="H1021" s="2436">
        <v>8267781</v>
      </c>
      <c r="I1021" s="2436">
        <v>64219</v>
      </c>
      <c r="J1021" s="2446">
        <v>6.254333886512556E-3</v>
      </c>
      <c r="K1021" s="2436">
        <v>51709.46287456467</v>
      </c>
      <c r="L1021" s="2436">
        <v>51709.46287456467</v>
      </c>
      <c r="M1021" s="2266">
        <v>599</v>
      </c>
    </row>
    <row r="1022" spans="1:13" ht="15">
      <c r="A1022" s="2266" t="s">
        <v>4175</v>
      </c>
      <c r="B1022" s="1694" t="str">
        <f>CONCATENATE(LEFT(RIGHT(CONCATENATE("000",IFAData_TEA!A1022),6),3),"-",(RIGHT(RIGHT(CONCATENATE("000",IFAData_TEA!A1022),6),3)))</f>
        <v>101-917</v>
      </c>
      <c r="C1022" s="2266" t="s">
        <v>302</v>
      </c>
      <c r="D1022" s="2266">
        <v>2</v>
      </c>
      <c r="E1022" s="2266">
        <v>2178</v>
      </c>
      <c r="F1022" s="2266" t="s">
        <v>5546</v>
      </c>
      <c r="G1022" s="2266" t="s">
        <v>5546</v>
      </c>
      <c r="H1022" s="2436">
        <v>1635967</v>
      </c>
      <c r="I1022" s="2436">
        <v>0</v>
      </c>
      <c r="J1022" s="2446">
        <v>0</v>
      </c>
      <c r="K1022" s="2436">
        <v>0</v>
      </c>
      <c r="L1022" s="2436">
        <v>0</v>
      </c>
      <c r="M1022" s="2266">
        <v>599</v>
      </c>
    </row>
    <row r="1023" spans="1:13" ht="15">
      <c r="A1023" s="2266" t="s">
        <v>4175</v>
      </c>
      <c r="B1023" s="1694" t="str">
        <f>CONCATENATE(LEFT(RIGHT(CONCATENATE("000",IFAData_TEA!A1023),6),3),"-",(RIGHT(RIGHT(CONCATENATE("000",IFAData_TEA!A1023),6),3)))</f>
        <v>101-917</v>
      </c>
      <c r="C1023" s="2266" t="s">
        <v>302</v>
      </c>
      <c r="D1023" s="2266">
        <v>2</v>
      </c>
      <c r="E1023" s="2266">
        <v>2178</v>
      </c>
      <c r="F1023" s="2266" t="s">
        <v>5546</v>
      </c>
      <c r="G1023" s="2266" t="s">
        <v>5548</v>
      </c>
      <c r="H1023" s="2436">
        <v>1635967</v>
      </c>
      <c r="I1023" s="2436">
        <v>1552272</v>
      </c>
      <c r="J1023" s="2446">
        <v>1</v>
      </c>
      <c r="K1023" s="2436">
        <v>1635967</v>
      </c>
      <c r="L1023" s="2436">
        <v>1552272</v>
      </c>
      <c r="M1023" s="2266">
        <v>599</v>
      </c>
    </row>
    <row r="1024" spans="1:13" ht="15">
      <c r="A1024" s="2266" t="s">
        <v>4175</v>
      </c>
      <c r="B1024" s="1694" t="str">
        <f>CONCATENATE(LEFT(RIGHT(CONCATENATE("000",IFAData_TEA!A1024),6),3),"-",(RIGHT(RIGHT(CONCATENATE("000",IFAData_TEA!A1024),6),3)))</f>
        <v>101-917</v>
      </c>
      <c r="C1024" s="2266" t="s">
        <v>302</v>
      </c>
      <c r="D1024" s="2266">
        <v>6</v>
      </c>
      <c r="E1024" s="2266">
        <v>2179</v>
      </c>
      <c r="F1024" s="2266" t="s">
        <v>5549</v>
      </c>
      <c r="G1024" s="2266" t="s">
        <v>5551</v>
      </c>
      <c r="H1024" s="2436">
        <v>7578719</v>
      </c>
      <c r="I1024" s="2436">
        <v>2055367</v>
      </c>
      <c r="J1024" s="2446">
        <v>1</v>
      </c>
      <c r="K1024" s="2436">
        <v>7578719</v>
      </c>
      <c r="L1024" s="2436">
        <v>2055367</v>
      </c>
      <c r="M1024" s="2266">
        <v>599</v>
      </c>
    </row>
    <row r="1025" spans="1:13" ht="15">
      <c r="A1025" s="2266" t="s">
        <v>4175</v>
      </c>
      <c r="B1025" s="1694" t="str">
        <f>CONCATENATE(LEFT(RIGHT(CONCATENATE("000",IFAData_TEA!A1025),6),3),"-",(RIGHT(RIGHT(CONCATENATE("000",IFAData_TEA!A1025),6),3)))</f>
        <v>101-917</v>
      </c>
      <c r="C1025" s="2266" t="s">
        <v>302</v>
      </c>
      <c r="D1025" s="2266">
        <v>2</v>
      </c>
      <c r="E1025" s="2266">
        <v>2178</v>
      </c>
      <c r="F1025" s="2266" t="s">
        <v>5546</v>
      </c>
      <c r="G1025" s="2266" t="s">
        <v>5547</v>
      </c>
      <c r="H1025" s="2436">
        <v>1635967</v>
      </c>
      <c r="I1025" s="2436">
        <v>0</v>
      </c>
      <c r="J1025" s="2446">
        <v>0</v>
      </c>
      <c r="K1025" s="2436">
        <v>0</v>
      </c>
      <c r="L1025" s="2436">
        <v>0</v>
      </c>
      <c r="M1025" s="2266">
        <v>599</v>
      </c>
    </row>
    <row r="1026" spans="1:13" ht="15">
      <c r="A1026" s="2266" t="s">
        <v>4175</v>
      </c>
      <c r="B1026" s="1694" t="str">
        <f>CONCATENATE(LEFT(RIGHT(CONCATENATE("000",IFAData_TEA!A1026),6),3),"-",(RIGHT(RIGHT(CONCATENATE("000",IFAData_TEA!A1026),6),3)))</f>
        <v>101-917</v>
      </c>
      <c r="C1026" s="2266" t="s">
        <v>302</v>
      </c>
      <c r="D1026" s="2266">
        <v>6</v>
      </c>
      <c r="E1026" s="2266">
        <v>2179</v>
      </c>
      <c r="F1026" s="2266" t="s">
        <v>5549</v>
      </c>
      <c r="G1026" s="2266" t="s">
        <v>5550</v>
      </c>
      <c r="H1026" s="2436">
        <v>7578719</v>
      </c>
      <c r="I1026" s="2436">
        <v>0</v>
      </c>
      <c r="J1026" s="2446">
        <v>0</v>
      </c>
      <c r="K1026" s="2436">
        <v>0</v>
      </c>
      <c r="L1026" s="2436">
        <v>0</v>
      </c>
      <c r="M1026" s="2266">
        <v>599</v>
      </c>
    </row>
    <row r="1027" spans="1:13" ht="15">
      <c r="A1027" s="2266" t="s">
        <v>4175</v>
      </c>
      <c r="B1027" s="1694" t="str">
        <f>CONCATENATE(LEFT(RIGHT(CONCATENATE("000",IFAData_TEA!A1027),6),3),"-",(RIGHT(RIGHT(CONCATENATE("000",IFAData_TEA!A1027),6),3)))</f>
        <v>101-917</v>
      </c>
      <c r="C1027" s="2266" t="s">
        <v>302</v>
      </c>
      <c r="D1027" s="2266">
        <v>6</v>
      </c>
      <c r="E1027" s="2266">
        <v>2179</v>
      </c>
      <c r="F1027" s="2266" t="s">
        <v>5549</v>
      </c>
      <c r="G1027" s="2266" t="s">
        <v>5549</v>
      </c>
      <c r="H1027" s="2436">
        <v>7578719</v>
      </c>
      <c r="I1027" s="2436">
        <v>0</v>
      </c>
      <c r="J1027" s="2446">
        <v>0</v>
      </c>
      <c r="K1027" s="2436">
        <v>0</v>
      </c>
      <c r="L1027" s="2436">
        <v>0</v>
      </c>
      <c r="M1027" s="2266">
        <v>599</v>
      </c>
    </row>
    <row r="1028" spans="1:13" ht="15">
      <c r="A1028" s="2266" t="s">
        <v>4176</v>
      </c>
      <c r="B1028" s="1694" t="str">
        <f>CONCATENATE(LEFT(RIGHT(CONCATENATE("000",IFAData_TEA!A1028),6),3),"-",(RIGHT(RIGHT(CONCATENATE("000",IFAData_TEA!A1028),6),3)))</f>
        <v>101-925</v>
      </c>
      <c r="C1028" s="2266" t="s">
        <v>2734</v>
      </c>
      <c r="D1028" s="2266">
        <v>5</v>
      </c>
      <c r="E1028" s="2266">
        <v>1912</v>
      </c>
      <c r="F1028" s="2266" t="s">
        <v>5552</v>
      </c>
      <c r="G1028" s="2266" t="s">
        <v>5554</v>
      </c>
      <c r="H1028" s="2436">
        <v>409219</v>
      </c>
      <c r="I1028" s="2436">
        <v>413755</v>
      </c>
      <c r="J1028" s="2446">
        <v>1</v>
      </c>
      <c r="K1028" s="2436">
        <v>409219</v>
      </c>
      <c r="L1028" s="2436">
        <v>409219</v>
      </c>
      <c r="M1028" s="2266">
        <v>599</v>
      </c>
    </row>
    <row r="1029" spans="1:13" ht="15">
      <c r="A1029" s="2266" t="s">
        <v>4176</v>
      </c>
      <c r="B1029" s="1694" t="str">
        <f>CONCATENATE(LEFT(RIGHT(CONCATENATE("000",IFAData_TEA!A1029),6),3),"-",(RIGHT(RIGHT(CONCATENATE("000",IFAData_TEA!A1029),6),3)))</f>
        <v>101-925</v>
      </c>
      <c r="C1029" s="2266" t="s">
        <v>2734</v>
      </c>
      <c r="D1029" s="2266">
        <v>5</v>
      </c>
      <c r="E1029" s="2266">
        <v>1911</v>
      </c>
      <c r="F1029" s="2266" t="s">
        <v>5555</v>
      </c>
      <c r="G1029" s="2266" t="s">
        <v>5555</v>
      </c>
      <c r="H1029" s="2436">
        <v>189309</v>
      </c>
      <c r="I1029" s="2436">
        <v>0</v>
      </c>
      <c r="J1029" s="2446">
        <v>0</v>
      </c>
      <c r="K1029" s="2436">
        <v>0</v>
      </c>
      <c r="L1029" s="2436">
        <v>0</v>
      </c>
      <c r="M1029" s="2266">
        <v>599</v>
      </c>
    </row>
    <row r="1030" spans="1:13" ht="15">
      <c r="A1030" s="2266" t="s">
        <v>4176</v>
      </c>
      <c r="B1030" s="1694" t="str">
        <f>CONCATENATE(LEFT(RIGHT(CONCATENATE("000",IFAData_TEA!A1030),6),3),"-",(RIGHT(RIGHT(CONCATENATE("000",IFAData_TEA!A1030),6),3)))</f>
        <v>101-925</v>
      </c>
      <c r="C1030" s="2266" t="s">
        <v>2734</v>
      </c>
      <c r="D1030" s="2266">
        <v>5</v>
      </c>
      <c r="E1030" s="2266">
        <v>1912</v>
      </c>
      <c r="F1030" s="2266" t="s">
        <v>5552</v>
      </c>
      <c r="G1030" s="2266" t="s">
        <v>5553</v>
      </c>
      <c r="H1030" s="2436">
        <v>409219</v>
      </c>
      <c r="I1030" s="2436">
        <v>0</v>
      </c>
      <c r="J1030" s="2446">
        <v>0</v>
      </c>
      <c r="K1030" s="2436">
        <v>0</v>
      </c>
      <c r="L1030" s="2436">
        <v>0</v>
      </c>
      <c r="M1030" s="2266">
        <v>599</v>
      </c>
    </row>
    <row r="1031" spans="1:13" ht="15">
      <c r="A1031" s="2266" t="s">
        <v>4176</v>
      </c>
      <c r="B1031" s="1694" t="str">
        <f>CONCATENATE(LEFT(RIGHT(CONCATENATE("000",IFAData_TEA!A1031),6),3),"-",(RIGHT(RIGHT(CONCATENATE("000",IFAData_TEA!A1031),6),3)))</f>
        <v>101-925</v>
      </c>
      <c r="C1031" s="2266" t="s">
        <v>2734</v>
      </c>
      <c r="D1031" s="2266">
        <v>5</v>
      </c>
      <c r="E1031" s="2266">
        <v>1911</v>
      </c>
      <c r="F1031" s="2266" t="s">
        <v>5555</v>
      </c>
      <c r="G1031" s="2266" t="s">
        <v>5556</v>
      </c>
      <c r="H1031" s="2436">
        <v>189309</v>
      </c>
      <c r="I1031" s="2436">
        <v>292198</v>
      </c>
      <c r="J1031" s="2446">
        <v>1</v>
      </c>
      <c r="K1031" s="2436">
        <v>189309</v>
      </c>
      <c r="L1031" s="2436">
        <v>189309</v>
      </c>
      <c r="M1031" s="2266">
        <v>599</v>
      </c>
    </row>
    <row r="1032" spans="1:13" ht="15">
      <c r="A1032" s="2266" t="s">
        <v>4176</v>
      </c>
      <c r="B1032" s="1694" t="str">
        <f>CONCATENATE(LEFT(RIGHT(CONCATENATE("000",IFAData_TEA!A1032),6),3),"-",(RIGHT(RIGHT(CONCATENATE("000",IFAData_TEA!A1032),6),3)))</f>
        <v>101-925</v>
      </c>
      <c r="C1032" s="2266" t="s">
        <v>2734</v>
      </c>
      <c r="D1032" s="2266">
        <v>5</v>
      </c>
      <c r="E1032" s="2266">
        <v>1912</v>
      </c>
      <c r="F1032" s="2266" t="s">
        <v>5552</v>
      </c>
      <c r="G1032" s="2266" t="s">
        <v>5552</v>
      </c>
      <c r="H1032" s="2436">
        <v>409219</v>
      </c>
      <c r="I1032" s="2436">
        <v>0</v>
      </c>
      <c r="J1032" s="2446">
        <v>0</v>
      </c>
      <c r="K1032" s="2436">
        <v>0</v>
      </c>
      <c r="L1032" s="2436">
        <v>0</v>
      </c>
      <c r="M1032" s="2266">
        <v>599</v>
      </c>
    </row>
    <row r="1033" spans="1:13" ht="15">
      <c r="A1033" s="2266" t="s">
        <v>4177</v>
      </c>
      <c r="B1033" s="1694" t="str">
        <f>CONCATENATE(LEFT(RIGHT(CONCATENATE("000",IFAData_TEA!A1033),6),3),"-",(RIGHT(RIGHT(CONCATENATE("000",IFAData_TEA!A1033),6),3)))</f>
        <v>104-901</v>
      </c>
      <c r="C1033" s="2266" t="s">
        <v>936</v>
      </c>
      <c r="D1033" s="2266">
        <v>6</v>
      </c>
      <c r="E1033" s="2266">
        <v>1875</v>
      </c>
      <c r="F1033" s="2266" t="s">
        <v>5557</v>
      </c>
      <c r="G1033" s="2266" t="s">
        <v>5558</v>
      </c>
      <c r="H1033" s="2436">
        <v>90011</v>
      </c>
      <c r="I1033" s="2436">
        <v>83649</v>
      </c>
      <c r="J1033" s="2446">
        <v>0.47623358212779038</v>
      </c>
      <c r="K1033" s="2436">
        <v>42866.260960904539</v>
      </c>
      <c r="L1033" s="2436">
        <v>42866.260960904539</v>
      </c>
      <c r="M1033" s="2266">
        <v>599</v>
      </c>
    </row>
    <row r="1034" spans="1:13" ht="15">
      <c r="A1034" s="2266" t="s">
        <v>4177</v>
      </c>
      <c r="B1034" s="1694" t="str">
        <f>CONCATENATE(LEFT(RIGHT(CONCATENATE("000",IFAData_TEA!A1034),6),3),"-",(RIGHT(RIGHT(CONCATENATE("000",IFAData_TEA!A1034),6),3)))</f>
        <v>104-901</v>
      </c>
      <c r="C1034" s="2266" t="s">
        <v>936</v>
      </c>
      <c r="D1034" s="2266">
        <v>6</v>
      </c>
      <c r="E1034" s="2266">
        <v>1875</v>
      </c>
      <c r="F1034" s="2266" t="s">
        <v>5557</v>
      </c>
      <c r="G1034" s="2266" t="s">
        <v>5557</v>
      </c>
      <c r="H1034" s="2436">
        <v>90011</v>
      </c>
      <c r="I1034" s="2436">
        <v>91998</v>
      </c>
      <c r="J1034" s="2446">
        <v>0.52376641787220957</v>
      </c>
      <c r="K1034" s="2436">
        <v>47144.739039095453</v>
      </c>
      <c r="L1034" s="2436">
        <v>47144.739039095453</v>
      </c>
      <c r="M1034" s="2266">
        <v>599</v>
      </c>
    </row>
    <row r="1035" spans="1:13" ht="15">
      <c r="A1035" s="2266" t="s">
        <v>4178</v>
      </c>
      <c r="B1035" s="1694" t="str">
        <f>CONCATENATE(LEFT(RIGHT(CONCATENATE("000",IFAData_TEA!A1035),6),3),"-",(RIGHT(RIGHT(CONCATENATE("000",IFAData_TEA!A1035),6),3)))</f>
        <v>105-904</v>
      </c>
      <c r="C1035" s="2266" t="s">
        <v>1212</v>
      </c>
      <c r="D1035" s="2266">
        <v>1</v>
      </c>
      <c r="E1035" s="2266">
        <v>1771</v>
      </c>
      <c r="F1035" s="2266" t="s">
        <v>5559</v>
      </c>
      <c r="G1035" s="2266" t="s">
        <v>6984</v>
      </c>
      <c r="H1035" s="2436">
        <v>687500</v>
      </c>
      <c r="I1035" s="2436">
        <v>238420</v>
      </c>
      <c r="J1035" s="2446">
        <v>0.55729826513391334</v>
      </c>
      <c r="K1035" s="2436">
        <v>383142.55727956543</v>
      </c>
      <c r="L1035" s="2436">
        <v>238420</v>
      </c>
      <c r="M1035" s="2266">
        <v>599</v>
      </c>
    </row>
    <row r="1036" spans="1:13" ht="15">
      <c r="A1036" s="2266" t="s">
        <v>4178</v>
      </c>
      <c r="B1036" s="1694" t="str">
        <f>CONCATENATE(LEFT(RIGHT(CONCATENATE("000",IFAData_TEA!A1036),6),3),"-",(RIGHT(RIGHT(CONCATENATE("000",IFAData_TEA!A1036),6),3)))</f>
        <v>105-904</v>
      </c>
      <c r="C1036" s="2266" t="s">
        <v>1212</v>
      </c>
      <c r="D1036" s="2266">
        <v>1</v>
      </c>
      <c r="E1036" s="2266">
        <v>1771</v>
      </c>
      <c r="F1036" s="2266" t="s">
        <v>5559</v>
      </c>
      <c r="G1036" s="2266" t="s">
        <v>5560</v>
      </c>
      <c r="H1036" s="2436">
        <v>687500</v>
      </c>
      <c r="I1036" s="2436">
        <v>189394</v>
      </c>
      <c r="J1036" s="2446">
        <v>0.44270173486608666</v>
      </c>
      <c r="K1036" s="2436">
        <v>304357.44272043457</v>
      </c>
      <c r="L1036" s="2436">
        <v>189394</v>
      </c>
      <c r="M1036" s="2266">
        <v>599</v>
      </c>
    </row>
    <row r="1037" spans="1:13" ht="15">
      <c r="A1037" s="2266" t="s">
        <v>4178</v>
      </c>
      <c r="B1037" s="1694" t="str">
        <f>CONCATENATE(LEFT(RIGHT(CONCATENATE("000",IFAData_TEA!A1037),6),3),"-",(RIGHT(RIGHT(CONCATENATE("000",IFAData_TEA!A1037),6),3)))</f>
        <v>105-904</v>
      </c>
      <c r="C1037" s="2266" t="s">
        <v>1212</v>
      </c>
      <c r="D1037" s="2266">
        <v>1</v>
      </c>
      <c r="E1037" s="2266">
        <v>1771</v>
      </c>
      <c r="F1037" s="2266" t="s">
        <v>5559</v>
      </c>
      <c r="G1037" s="2266" t="s">
        <v>5559</v>
      </c>
      <c r="H1037" s="2436">
        <v>687500</v>
      </c>
      <c r="I1037" s="2436">
        <v>0</v>
      </c>
      <c r="J1037" s="2446">
        <v>0</v>
      </c>
      <c r="K1037" s="2436">
        <v>0</v>
      </c>
      <c r="L1037" s="2436">
        <v>0</v>
      </c>
      <c r="M1037" s="2266">
        <v>599</v>
      </c>
    </row>
    <row r="1038" spans="1:13" ht="15">
      <c r="A1038" s="2266" t="s">
        <v>4179</v>
      </c>
      <c r="B1038" s="1694" t="str">
        <f>CONCATENATE(LEFT(RIGHT(CONCATENATE("000",IFAData_TEA!A1038),6),3),"-",(RIGHT(RIGHT(CONCATENATE("000",IFAData_TEA!A1038),6),3)))</f>
        <v>105-906</v>
      </c>
      <c r="C1038" s="2266" t="s">
        <v>42</v>
      </c>
      <c r="D1038" s="2266">
        <v>9</v>
      </c>
      <c r="E1038" s="2266">
        <v>1878</v>
      </c>
      <c r="F1038" s="2266" t="s">
        <v>5569</v>
      </c>
      <c r="G1038" s="2266" t="s">
        <v>5569</v>
      </c>
      <c r="H1038" s="2436">
        <v>1795685</v>
      </c>
      <c r="I1038" s="2436">
        <v>307781</v>
      </c>
      <c r="J1038" s="2446">
        <v>0.82281624774767548</v>
      </c>
      <c r="K1038" s="2436">
        <v>1477518.7938367845</v>
      </c>
      <c r="L1038" s="2436">
        <v>307781</v>
      </c>
      <c r="M1038" s="2266">
        <v>599</v>
      </c>
    </row>
    <row r="1039" spans="1:13" ht="15">
      <c r="A1039" s="2266" t="s">
        <v>4179</v>
      </c>
      <c r="B1039" s="1694" t="str">
        <f>CONCATENATE(LEFT(RIGHT(CONCATENATE("000",IFAData_TEA!A1039),6),3),"-",(RIGHT(RIGHT(CONCATENATE("000",IFAData_TEA!A1039),6),3)))</f>
        <v>105-906</v>
      </c>
      <c r="C1039" s="2266" t="s">
        <v>42</v>
      </c>
      <c r="D1039" s="2266">
        <v>9</v>
      </c>
      <c r="E1039" s="2266">
        <v>1878</v>
      </c>
      <c r="F1039" s="2266" t="s">
        <v>5569</v>
      </c>
      <c r="G1039" s="2266" t="s">
        <v>5568</v>
      </c>
      <c r="H1039" s="2436">
        <v>1795685</v>
      </c>
      <c r="I1039" s="2436">
        <v>66277</v>
      </c>
      <c r="J1039" s="2446">
        <v>0.17718375225232449</v>
      </c>
      <c r="K1039" s="2436">
        <v>318166.20616321533</v>
      </c>
      <c r="L1039" s="2436">
        <v>66277</v>
      </c>
      <c r="M1039" s="2266">
        <v>599</v>
      </c>
    </row>
    <row r="1040" spans="1:13" ht="15">
      <c r="A1040" s="2266" t="s">
        <v>4179</v>
      </c>
      <c r="B1040" s="1694" t="str">
        <f>CONCATENATE(LEFT(RIGHT(CONCATENATE("000",IFAData_TEA!A1040),6),3),"-",(RIGHT(RIGHT(CONCATENATE("000",IFAData_TEA!A1040),6),3)))</f>
        <v>105-906</v>
      </c>
      <c r="C1040" s="2266" t="s">
        <v>42</v>
      </c>
      <c r="D1040" s="2266">
        <v>5</v>
      </c>
      <c r="E1040" s="2266">
        <v>1879</v>
      </c>
      <c r="F1040" s="2266" t="s">
        <v>5564</v>
      </c>
      <c r="G1040" s="2266" t="s">
        <v>5568</v>
      </c>
      <c r="H1040" s="2436">
        <v>1891253</v>
      </c>
      <c r="I1040" s="2436">
        <v>0</v>
      </c>
      <c r="J1040" s="2446">
        <v>0</v>
      </c>
      <c r="K1040" s="2436">
        <v>0</v>
      </c>
      <c r="L1040" s="2436">
        <v>0</v>
      </c>
      <c r="M1040" s="2266">
        <v>599</v>
      </c>
    </row>
    <row r="1041" spans="1:13" ht="15">
      <c r="A1041" s="2266" t="s">
        <v>4179</v>
      </c>
      <c r="B1041" s="1694" t="str">
        <f>CONCATENATE(LEFT(RIGHT(CONCATENATE("000",IFAData_TEA!A1041),6),3),"-",(RIGHT(RIGHT(CONCATENATE("000",IFAData_TEA!A1041),6),3)))</f>
        <v>105-906</v>
      </c>
      <c r="C1041" s="2266" t="s">
        <v>42</v>
      </c>
      <c r="D1041" s="2266">
        <v>1</v>
      </c>
      <c r="E1041" s="2266">
        <v>1876</v>
      </c>
      <c r="F1041" s="2266" t="s">
        <v>5561</v>
      </c>
      <c r="G1041" s="2266" t="s">
        <v>5561</v>
      </c>
      <c r="H1041" s="2436">
        <v>1147081</v>
      </c>
      <c r="I1041" s="2436">
        <v>0</v>
      </c>
      <c r="J1041" s="2446">
        <v>0</v>
      </c>
      <c r="K1041" s="2436">
        <v>0</v>
      </c>
      <c r="L1041" s="2436">
        <v>0</v>
      </c>
      <c r="M1041" s="2266">
        <v>599</v>
      </c>
    </row>
    <row r="1042" spans="1:13" ht="15">
      <c r="A1042" s="2266" t="s">
        <v>4179</v>
      </c>
      <c r="B1042" s="1694" t="str">
        <f>CONCATENATE(LEFT(RIGHT(CONCATENATE("000",IFAData_TEA!A1042),6),3),"-",(RIGHT(RIGHT(CONCATENATE("000",IFAData_TEA!A1042),6),3)))</f>
        <v>105-906</v>
      </c>
      <c r="C1042" s="2266" t="s">
        <v>42</v>
      </c>
      <c r="D1042" s="2266">
        <v>1</v>
      </c>
      <c r="E1042" s="2266">
        <v>1876</v>
      </c>
      <c r="F1042" s="2266" t="s">
        <v>5561</v>
      </c>
      <c r="G1042" s="2266" t="s">
        <v>5563</v>
      </c>
      <c r="H1042" s="2436">
        <v>1147081</v>
      </c>
      <c r="I1042" s="2436">
        <v>549402</v>
      </c>
      <c r="J1042" s="2446">
        <v>0.34704516813689729</v>
      </c>
      <c r="K1042" s="2436">
        <v>398088.91851164028</v>
      </c>
      <c r="L1042" s="2436">
        <v>398088.91851164028</v>
      </c>
      <c r="M1042" s="2266">
        <v>599</v>
      </c>
    </row>
    <row r="1043" spans="1:13" ht="15">
      <c r="A1043" s="2266" t="s">
        <v>4179</v>
      </c>
      <c r="B1043" s="1694" t="str">
        <f>CONCATENATE(LEFT(RIGHT(CONCATENATE("000",IFAData_TEA!A1043),6),3),"-",(RIGHT(RIGHT(CONCATENATE("000",IFAData_TEA!A1043),6),3)))</f>
        <v>105-906</v>
      </c>
      <c r="C1043" s="2266" t="s">
        <v>42</v>
      </c>
      <c r="D1043" s="2266">
        <v>5</v>
      </c>
      <c r="E1043" s="2266">
        <v>1879</v>
      </c>
      <c r="F1043" s="2266" t="s">
        <v>5564</v>
      </c>
      <c r="G1043" s="2266" t="s">
        <v>5563</v>
      </c>
      <c r="H1043" s="2436">
        <v>1891253</v>
      </c>
      <c r="I1043" s="2436">
        <v>2043163</v>
      </c>
      <c r="J1043" s="2446">
        <v>0.34704496022380321</v>
      </c>
      <c r="K1043" s="2436">
        <v>656349.82215814851</v>
      </c>
      <c r="L1043" s="2436">
        <v>656349.82215814851</v>
      </c>
      <c r="M1043" s="2266">
        <v>599</v>
      </c>
    </row>
    <row r="1044" spans="1:13" ht="15">
      <c r="A1044" s="2266" t="s">
        <v>4179</v>
      </c>
      <c r="B1044" s="1694" t="str">
        <f>CONCATENATE(LEFT(RIGHT(CONCATENATE("000",IFAData_TEA!A1044),6),3),"-",(RIGHT(RIGHT(CONCATENATE("000",IFAData_TEA!A1044),6),3)))</f>
        <v>105-906</v>
      </c>
      <c r="C1044" s="2266" t="s">
        <v>42</v>
      </c>
      <c r="D1044" s="2266">
        <v>5</v>
      </c>
      <c r="E1044" s="2266">
        <v>1879</v>
      </c>
      <c r="F1044" s="2266" t="s">
        <v>5564</v>
      </c>
      <c r="G1044" s="2266" t="s">
        <v>5564</v>
      </c>
      <c r="H1044" s="2436">
        <v>1891253</v>
      </c>
      <c r="I1044" s="2436">
        <v>0</v>
      </c>
      <c r="J1044" s="2446">
        <v>0</v>
      </c>
      <c r="K1044" s="2436">
        <v>0</v>
      </c>
      <c r="L1044" s="2436">
        <v>0</v>
      </c>
      <c r="M1044" s="2266">
        <v>599</v>
      </c>
    </row>
    <row r="1045" spans="1:13" ht="15">
      <c r="A1045" s="2266" t="s">
        <v>4179</v>
      </c>
      <c r="B1045" s="1694" t="str">
        <f>CONCATENATE(LEFT(RIGHT(CONCATENATE("000",IFAData_TEA!A1045),6),3),"-",(RIGHT(RIGHT(CONCATENATE("000",IFAData_TEA!A1045),6),3)))</f>
        <v>105-906</v>
      </c>
      <c r="C1045" s="2266" t="s">
        <v>42</v>
      </c>
      <c r="D1045" s="2266">
        <v>5</v>
      </c>
      <c r="E1045" s="2266">
        <v>1879</v>
      </c>
      <c r="F1045" s="2266" t="s">
        <v>5564</v>
      </c>
      <c r="G1045" s="2266" t="s">
        <v>5567</v>
      </c>
      <c r="H1045" s="2436">
        <v>1891253</v>
      </c>
      <c r="I1045" s="2436">
        <v>0</v>
      </c>
      <c r="J1045" s="2446">
        <v>0</v>
      </c>
      <c r="K1045" s="2436">
        <v>0</v>
      </c>
      <c r="L1045" s="2436">
        <v>0</v>
      </c>
      <c r="M1045" s="2266">
        <v>599</v>
      </c>
    </row>
    <row r="1046" spans="1:13" ht="15">
      <c r="A1046" s="2266" t="s">
        <v>4179</v>
      </c>
      <c r="B1046" s="1694" t="str">
        <f>CONCATENATE(LEFT(RIGHT(CONCATENATE("000",IFAData_TEA!A1046),6),3),"-",(RIGHT(RIGHT(CONCATENATE("000",IFAData_TEA!A1046),6),3)))</f>
        <v>105-906</v>
      </c>
      <c r="C1046" s="2266" t="s">
        <v>42</v>
      </c>
      <c r="D1046" s="2266">
        <v>5</v>
      </c>
      <c r="E1046" s="2266">
        <v>1879</v>
      </c>
      <c r="F1046" s="2266" t="s">
        <v>5564</v>
      </c>
      <c r="G1046" s="2266" t="s">
        <v>5566</v>
      </c>
      <c r="H1046" s="2436">
        <v>1891253</v>
      </c>
      <c r="I1046" s="2436">
        <v>0</v>
      </c>
      <c r="J1046" s="2446">
        <v>0</v>
      </c>
      <c r="K1046" s="2436">
        <v>0</v>
      </c>
      <c r="L1046" s="2436">
        <v>0</v>
      </c>
      <c r="M1046" s="2266">
        <v>599</v>
      </c>
    </row>
    <row r="1047" spans="1:13" ht="15">
      <c r="A1047" s="2266" t="s">
        <v>4179</v>
      </c>
      <c r="B1047" s="1694" t="str">
        <f>CONCATENATE(LEFT(RIGHT(CONCATENATE("000",IFAData_TEA!A1047),6),3),"-",(RIGHT(RIGHT(CONCATENATE("000",IFAData_TEA!A1047),6),3)))</f>
        <v>105-906</v>
      </c>
      <c r="C1047" s="2266" t="s">
        <v>42</v>
      </c>
      <c r="D1047" s="2266">
        <v>1</v>
      </c>
      <c r="E1047" s="2266">
        <v>1876</v>
      </c>
      <c r="F1047" s="2266" t="s">
        <v>5561</v>
      </c>
      <c r="G1047" s="2266" t="s">
        <v>5562</v>
      </c>
      <c r="H1047" s="2436">
        <v>1147081</v>
      </c>
      <c r="I1047" s="2436">
        <v>1033683</v>
      </c>
      <c r="J1047" s="2446">
        <v>0.65295483186310277</v>
      </c>
      <c r="K1047" s="2436">
        <v>748992.08148835984</v>
      </c>
      <c r="L1047" s="2436">
        <v>748992.08148835984</v>
      </c>
      <c r="M1047" s="2266">
        <v>599</v>
      </c>
    </row>
    <row r="1048" spans="1:13" ht="15">
      <c r="A1048" s="2266" t="s">
        <v>4179</v>
      </c>
      <c r="B1048" s="1694" t="str">
        <f>CONCATENATE(LEFT(RIGHT(CONCATENATE("000",IFAData_TEA!A1048),6),3),"-",(RIGHT(RIGHT(CONCATENATE("000",IFAData_TEA!A1048),6),3)))</f>
        <v>105-906</v>
      </c>
      <c r="C1048" s="2266" t="s">
        <v>42</v>
      </c>
      <c r="D1048" s="2266">
        <v>5</v>
      </c>
      <c r="E1048" s="2266">
        <v>1879</v>
      </c>
      <c r="F1048" s="2266" t="s">
        <v>5564</v>
      </c>
      <c r="G1048" s="2266" t="s">
        <v>5562</v>
      </c>
      <c r="H1048" s="2436">
        <v>1891253</v>
      </c>
      <c r="I1048" s="2436">
        <v>3844152</v>
      </c>
      <c r="J1048" s="2446">
        <v>0.65295503977619684</v>
      </c>
      <c r="K1048" s="2436">
        <v>1234903.1778418517</v>
      </c>
      <c r="L1048" s="2436">
        <v>1234903.1778418517</v>
      </c>
      <c r="M1048" s="2266">
        <v>599</v>
      </c>
    </row>
    <row r="1049" spans="1:13" ht="15">
      <c r="A1049" s="2266" t="s">
        <v>4179</v>
      </c>
      <c r="B1049" s="1694" t="str">
        <f>CONCATENATE(LEFT(RIGHT(CONCATENATE("000",IFAData_TEA!A1049),6),3),"-",(RIGHT(RIGHT(CONCATENATE("000",IFAData_TEA!A1049),6),3)))</f>
        <v>105-906</v>
      </c>
      <c r="C1049" s="2266" t="s">
        <v>42</v>
      </c>
      <c r="D1049" s="2266">
        <v>5</v>
      </c>
      <c r="E1049" s="2266">
        <v>1879</v>
      </c>
      <c r="F1049" s="2266" t="s">
        <v>5564</v>
      </c>
      <c r="G1049" s="2266" t="s">
        <v>5565</v>
      </c>
      <c r="H1049" s="2436">
        <v>1891253</v>
      </c>
      <c r="I1049" s="2436">
        <v>0</v>
      </c>
      <c r="J1049" s="2446">
        <v>0</v>
      </c>
      <c r="K1049" s="2436">
        <v>0</v>
      </c>
      <c r="L1049" s="2436">
        <v>0</v>
      </c>
      <c r="M1049" s="2266">
        <v>599</v>
      </c>
    </row>
    <row r="1050" spans="1:13" ht="15">
      <c r="A1050" s="2266" t="s">
        <v>4179</v>
      </c>
      <c r="B1050" s="1694" t="str">
        <f>CONCATENATE(LEFT(RIGHT(CONCATENATE("000",IFAData_TEA!A1050),6),3),"-",(RIGHT(RIGHT(CONCATENATE("000",IFAData_TEA!A1050),6),3)))</f>
        <v>105-906</v>
      </c>
      <c r="C1050" s="2266" t="s">
        <v>42</v>
      </c>
      <c r="D1050" s="2266">
        <v>9</v>
      </c>
      <c r="E1050" s="2266">
        <v>1877</v>
      </c>
      <c r="F1050" s="2266" t="s">
        <v>5570</v>
      </c>
      <c r="G1050" s="2266" t="s">
        <v>5570</v>
      </c>
      <c r="H1050" s="2436">
        <v>1578006</v>
      </c>
      <c r="I1050" s="2436">
        <v>4877742</v>
      </c>
      <c r="J1050" s="2446">
        <v>1</v>
      </c>
      <c r="K1050" s="2436">
        <v>1578006</v>
      </c>
      <c r="L1050" s="2436">
        <v>1578006</v>
      </c>
      <c r="M1050" s="2266">
        <v>599</v>
      </c>
    </row>
    <row r="1051" spans="1:13" ht="15">
      <c r="A1051" s="2266" t="s">
        <v>4180</v>
      </c>
      <c r="B1051" s="1694" t="str">
        <f>CONCATENATE(LEFT(RIGHT(CONCATENATE("000",IFAData_TEA!A1051),6),3),"-",(RIGHT(RIGHT(CONCATENATE("000",IFAData_TEA!A1051),6),3)))</f>
        <v>107-907</v>
      </c>
      <c r="C1051" s="2266" t="s">
        <v>662</v>
      </c>
      <c r="D1051" s="2266">
        <v>3</v>
      </c>
      <c r="E1051" s="2266">
        <v>2401</v>
      </c>
      <c r="F1051" s="2266" t="s">
        <v>5571</v>
      </c>
      <c r="G1051" s="2266" t="s">
        <v>5572</v>
      </c>
      <c r="H1051" s="2436">
        <v>68908</v>
      </c>
      <c r="I1051" s="2436">
        <v>37745</v>
      </c>
      <c r="J1051" s="2446">
        <v>1</v>
      </c>
      <c r="K1051" s="2436">
        <v>68908</v>
      </c>
      <c r="L1051" s="2436">
        <v>37745</v>
      </c>
      <c r="M1051" s="2266">
        <v>599</v>
      </c>
    </row>
    <row r="1052" spans="1:13" ht="15">
      <c r="A1052" s="2266" t="s">
        <v>4180</v>
      </c>
      <c r="B1052" s="1694" t="str">
        <f>CONCATENATE(LEFT(RIGHT(CONCATENATE("000",IFAData_TEA!A1052),6),3),"-",(RIGHT(RIGHT(CONCATENATE("000",IFAData_TEA!A1052),6),3)))</f>
        <v>107-907</v>
      </c>
      <c r="C1052" s="2266" t="s">
        <v>662</v>
      </c>
      <c r="D1052" s="2266">
        <v>3</v>
      </c>
      <c r="E1052" s="2266">
        <v>2401</v>
      </c>
      <c r="F1052" s="2266" t="s">
        <v>5571</v>
      </c>
      <c r="G1052" s="2266" t="s">
        <v>5571</v>
      </c>
      <c r="H1052" s="2436">
        <v>68908</v>
      </c>
      <c r="I1052" s="2436">
        <v>0</v>
      </c>
      <c r="J1052" s="2446">
        <v>0</v>
      </c>
      <c r="K1052" s="2436">
        <v>0</v>
      </c>
      <c r="L1052" s="2436">
        <v>0</v>
      </c>
      <c r="M1052" s="2266">
        <v>599</v>
      </c>
    </row>
    <row r="1053" spans="1:13" ht="15">
      <c r="A1053" s="2266" t="s">
        <v>5573</v>
      </c>
      <c r="B1053" s="1694" t="str">
        <f>CONCATENATE(LEFT(RIGHT(CONCATENATE("000",IFAData_TEA!A1053),6),3),"-",(RIGHT(RIGHT(CONCATENATE("000",IFAData_TEA!A1053),6),3)))</f>
        <v>107-908</v>
      </c>
      <c r="C1053" s="2266" t="s">
        <v>2415</v>
      </c>
      <c r="D1053" s="2266">
        <v>5</v>
      </c>
      <c r="E1053" s="2266">
        <v>2124</v>
      </c>
      <c r="F1053" s="2266" t="s">
        <v>5574</v>
      </c>
      <c r="G1053" s="2266" t="s">
        <v>5574</v>
      </c>
      <c r="H1053" s="2436">
        <v>100000</v>
      </c>
      <c r="I1053" s="2436">
        <v>102760</v>
      </c>
      <c r="J1053" s="2446">
        <v>1</v>
      </c>
      <c r="K1053" s="2436">
        <v>100000</v>
      </c>
      <c r="L1053" s="2436">
        <v>100000</v>
      </c>
      <c r="M1053" s="2266">
        <v>199</v>
      </c>
    </row>
    <row r="1054" spans="1:13" ht="15">
      <c r="A1054" s="2266" t="s">
        <v>4181</v>
      </c>
      <c r="B1054" s="1694" t="str">
        <f>CONCATENATE(LEFT(RIGHT(CONCATENATE("000",IFAData_TEA!A1054),6),3),"-",(RIGHT(RIGHT(CONCATENATE("000",IFAData_TEA!A1054),6),3)))</f>
        <v>108-902</v>
      </c>
      <c r="C1054" s="2266" t="s">
        <v>39</v>
      </c>
      <c r="D1054" s="2266">
        <v>2</v>
      </c>
      <c r="E1054" s="2266">
        <v>1769</v>
      </c>
      <c r="F1054" s="2266" t="s">
        <v>5575</v>
      </c>
      <c r="G1054" s="2266" t="s">
        <v>6985</v>
      </c>
      <c r="H1054" s="2436">
        <v>2278200</v>
      </c>
      <c r="I1054" s="2436">
        <v>290425</v>
      </c>
      <c r="J1054" s="2446">
        <v>0.13816327171388584</v>
      </c>
      <c r="K1054" s="2436">
        <v>314763.56561857474</v>
      </c>
      <c r="L1054" s="2436">
        <v>290425</v>
      </c>
      <c r="M1054" s="2266">
        <v>599</v>
      </c>
    </row>
    <row r="1055" spans="1:13" ht="15">
      <c r="A1055" s="2266" t="s">
        <v>4181</v>
      </c>
      <c r="B1055" s="1694" t="str">
        <f>CONCATENATE(LEFT(RIGHT(CONCATENATE("000",IFAData_TEA!A1055),6),3),"-",(RIGHT(RIGHT(CONCATENATE("000",IFAData_TEA!A1055),6),3)))</f>
        <v>108-902</v>
      </c>
      <c r="C1055" s="2266" t="s">
        <v>39</v>
      </c>
      <c r="D1055" s="2266">
        <v>7</v>
      </c>
      <c r="E1055" s="2266">
        <v>1766</v>
      </c>
      <c r="F1055" s="2266" t="s">
        <v>5582</v>
      </c>
      <c r="G1055" s="2266" t="s">
        <v>5583</v>
      </c>
      <c r="H1055" s="2436">
        <v>1010853</v>
      </c>
      <c r="I1055" s="2436">
        <v>639275</v>
      </c>
      <c r="J1055" s="2446">
        <v>0.70381481889243647</v>
      </c>
      <c r="K1055" s="2436">
        <v>711453.32112187613</v>
      </c>
      <c r="L1055" s="2436">
        <v>639275</v>
      </c>
      <c r="M1055" s="2266">
        <v>599</v>
      </c>
    </row>
    <row r="1056" spans="1:13" ht="15">
      <c r="A1056" s="2266" t="s">
        <v>4181</v>
      </c>
      <c r="B1056" s="1694" t="str">
        <f>CONCATENATE(LEFT(RIGHT(CONCATENATE("000",IFAData_TEA!A1056),6),3),"-",(RIGHT(RIGHT(CONCATENATE("000",IFAData_TEA!A1056),6),3)))</f>
        <v>108-902</v>
      </c>
      <c r="C1056" s="2266" t="s">
        <v>39</v>
      </c>
      <c r="D1056" s="2266">
        <v>7</v>
      </c>
      <c r="E1056" s="2266">
        <v>1766</v>
      </c>
      <c r="F1056" s="2266" t="s">
        <v>5582</v>
      </c>
      <c r="G1056" s="2266" t="s">
        <v>5581</v>
      </c>
      <c r="H1056" s="2436">
        <v>1010853</v>
      </c>
      <c r="I1056" s="2436">
        <v>269025</v>
      </c>
      <c r="J1056" s="2446">
        <v>0.29618518110756359</v>
      </c>
      <c r="K1056" s="2436">
        <v>299399.67887812399</v>
      </c>
      <c r="L1056" s="2436">
        <v>269025</v>
      </c>
      <c r="M1056" s="2266">
        <v>599</v>
      </c>
    </row>
    <row r="1057" spans="1:13" ht="15">
      <c r="A1057" s="2266" t="s">
        <v>4181</v>
      </c>
      <c r="B1057" s="1694" t="str">
        <f>CONCATENATE(LEFT(RIGHT(CONCATENATE("000",IFAData_TEA!A1057),6),3),"-",(RIGHT(RIGHT(CONCATENATE("000",IFAData_TEA!A1057),6),3)))</f>
        <v>108-902</v>
      </c>
      <c r="C1057" s="2266" t="s">
        <v>39</v>
      </c>
      <c r="D1057" s="2266">
        <v>6</v>
      </c>
      <c r="E1057" s="2266">
        <v>1767</v>
      </c>
      <c r="F1057" s="2266" t="s">
        <v>5580</v>
      </c>
      <c r="G1057" s="2266" t="s">
        <v>5581</v>
      </c>
      <c r="H1057" s="2436">
        <v>1121326</v>
      </c>
      <c r="I1057" s="2436">
        <v>96700</v>
      </c>
      <c r="J1057" s="2446">
        <v>9.3842495996894565E-2</v>
      </c>
      <c r="K1057" s="2436">
        <v>105228.03066621379</v>
      </c>
      <c r="L1057" s="2436">
        <v>96700</v>
      </c>
      <c r="M1057" s="2266">
        <v>599</v>
      </c>
    </row>
    <row r="1058" spans="1:13" ht="15">
      <c r="A1058" s="2266" t="s">
        <v>4181</v>
      </c>
      <c r="B1058" s="1694" t="str">
        <f>CONCATENATE(LEFT(RIGHT(CONCATENATE("000",IFAData_TEA!A1058),6),3),"-",(RIGHT(RIGHT(CONCATENATE("000",IFAData_TEA!A1058),6),3)))</f>
        <v>108-902</v>
      </c>
      <c r="C1058" s="2266" t="s">
        <v>39</v>
      </c>
      <c r="D1058" s="2266">
        <v>6</v>
      </c>
      <c r="E1058" s="2266">
        <v>1767</v>
      </c>
      <c r="F1058" s="2266" t="s">
        <v>5580</v>
      </c>
      <c r="G1058" s="2266" t="s">
        <v>5579</v>
      </c>
      <c r="H1058" s="2436">
        <v>1121326</v>
      </c>
      <c r="I1058" s="2436">
        <v>690300</v>
      </c>
      <c r="J1058" s="2446">
        <v>0.66990149934494636</v>
      </c>
      <c r="K1058" s="2436">
        <v>751177.96865447133</v>
      </c>
      <c r="L1058" s="2436">
        <v>690300</v>
      </c>
      <c r="M1058" s="2266">
        <v>599</v>
      </c>
    </row>
    <row r="1059" spans="1:13" ht="15">
      <c r="A1059" s="2266" t="s">
        <v>4181</v>
      </c>
      <c r="B1059" s="1694" t="str">
        <f>CONCATENATE(LEFT(RIGHT(CONCATENATE("000",IFAData_TEA!A1059),6),3),"-",(RIGHT(RIGHT(CONCATENATE("000",IFAData_TEA!A1059),6),3)))</f>
        <v>108-902</v>
      </c>
      <c r="C1059" s="2266" t="s">
        <v>39</v>
      </c>
      <c r="D1059" s="2266">
        <v>4</v>
      </c>
      <c r="E1059" s="2266">
        <v>1768</v>
      </c>
      <c r="F1059" s="2266" t="s">
        <v>5577</v>
      </c>
      <c r="G1059" s="2266" t="s">
        <v>5579</v>
      </c>
      <c r="H1059" s="2436">
        <v>2119597</v>
      </c>
      <c r="I1059" s="2436">
        <v>5400</v>
      </c>
      <c r="J1059" s="2446">
        <v>2.6439638305747978E-3</v>
      </c>
      <c r="K1059" s="2436">
        <v>5604.1378033948495</v>
      </c>
      <c r="L1059" s="2436">
        <v>5400</v>
      </c>
      <c r="M1059" s="2266">
        <v>599</v>
      </c>
    </row>
    <row r="1060" spans="1:13" ht="15">
      <c r="A1060" s="2266" t="s">
        <v>4181</v>
      </c>
      <c r="B1060" s="1694" t="str">
        <f>CONCATENATE(LEFT(RIGHT(CONCATENATE("000",IFAData_TEA!A1060),6),3),"-",(RIGHT(RIGHT(CONCATENATE("000",IFAData_TEA!A1060),6),3)))</f>
        <v>108-902</v>
      </c>
      <c r="C1060" s="2266" t="s">
        <v>39</v>
      </c>
      <c r="D1060" s="2266">
        <v>2</v>
      </c>
      <c r="E1060" s="2266">
        <v>1769</v>
      </c>
      <c r="F1060" s="2266" t="s">
        <v>5575</v>
      </c>
      <c r="G1060" s="2266" t="s">
        <v>5576</v>
      </c>
      <c r="H1060" s="2436">
        <v>2278200</v>
      </c>
      <c r="I1060" s="2436">
        <v>1811617</v>
      </c>
      <c r="J1060" s="2446">
        <v>0.86183672828611413</v>
      </c>
      <c r="K1060" s="2436">
        <v>1963436.4343814251</v>
      </c>
      <c r="L1060" s="2436">
        <v>1811617</v>
      </c>
      <c r="M1060" s="2266">
        <v>599</v>
      </c>
    </row>
    <row r="1061" spans="1:13" ht="15">
      <c r="A1061" s="2266" t="s">
        <v>4181</v>
      </c>
      <c r="B1061" s="1694" t="str">
        <f>CONCATENATE(LEFT(RIGHT(CONCATENATE("000",IFAData_TEA!A1061),6),3),"-",(RIGHT(RIGHT(CONCATENATE("000",IFAData_TEA!A1061),6),3)))</f>
        <v>108-902</v>
      </c>
      <c r="C1061" s="2266" t="s">
        <v>39</v>
      </c>
      <c r="D1061" s="2266">
        <v>4</v>
      </c>
      <c r="E1061" s="2266">
        <v>1768</v>
      </c>
      <c r="F1061" s="2266" t="s">
        <v>5577</v>
      </c>
      <c r="G1061" s="2266" t="s">
        <v>5577</v>
      </c>
      <c r="H1061" s="2436">
        <v>2119597</v>
      </c>
      <c r="I1061" s="2436">
        <v>0</v>
      </c>
      <c r="J1061" s="2446">
        <v>0</v>
      </c>
      <c r="K1061" s="2436">
        <v>0</v>
      </c>
      <c r="L1061" s="2436">
        <v>0</v>
      </c>
      <c r="M1061" s="2266">
        <v>599</v>
      </c>
    </row>
    <row r="1062" spans="1:13" ht="15">
      <c r="A1062" s="2266" t="s">
        <v>4181</v>
      </c>
      <c r="B1062" s="1694" t="str">
        <f>CONCATENATE(LEFT(RIGHT(CONCATENATE("000",IFAData_TEA!A1062),6),3),"-",(RIGHT(RIGHT(CONCATENATE("000",IFAData_TEA!A1062),6),3)))</f>
        <v>108-902</v>
      </c>
      <c r="C1062" s="2266" t="s">
        <v>39</v>
      </c>
      <c r="D1062" s="2266">
        <v>10</v>
      </c>
      <c r="E1062" s="2266">
        <v>1770</v>
      </c>
      <c r="F1062" s="2266" t="s">
        <v>5584</v>
      </c>
      <c r="G1062" s="2266" t="s">
        <v>5584</v>
      </c>
      <c r="H1062" s="2436">
        <v>2922800</v>
      </c>
      <c r="I1062" s="2436">
        <v>2921000</v>
      </c>
      <c r="J1062" s="2446">
        <v>1</v>
      </c>
      <c r="K1062" s="2436">
        <v>2922800</v>
      </c>
      <c r="L1062" s="2436">
        <v>2921000</v>
      </c>
      <c r="M1062" s="2266">
        <v>599</v>
      </c>
    </row>
    <row r="1063" spans="1:13" ht="15">
      <c r="A1063" s="2266" t="s">
        <v>4181</v>
      </c>
      <c r="B1063" s="1694" t="str">
        <f>CONCATENATE(LEFT(RIGHT(CONCATENATE("000",IFAData_TEA!A1063),6),3),"-",(RIGHT(RIGHT(CONCATENATE("000",IFAData_TEA!A1063),6),3)))</f>
        <v>108-902</v>
      </c>
      <c r="C1063" s="2266" t="s">
        <v>39</v>
      </c>
      <c r="D1063" s="2266">
        <v>2</v>
      </c>
      <c r="E1063" s="2266">
        <v>1769</v>
      </c>
      <c r="F1063" s="2266" t="s">
        <v>5575</v>
      </c>
      <c r="G1063" s="2266" t="s">
        <v>5575</v>
      </c>
      <c r="H1063" s="2436">
        <v>2278200</v>
      </c>
      <c r="I1063" s="2436">
        <v>0</v>
      </c>
      <c r="J1063" s="2446">
        <v>0</v>
      </c>
      <c r="K1063" s="2436">
        <v>0</v>
      </c>
      <c r="L1063" s="2436">
        <v>0</v>
      </c>
      <c r="M1063" s="2266">
        <v>599</v>
      </c>
    </row>
    <row r="1064" spans="1:13" ht="15">
      <c r="A1064" s="2266" t="s">
        <v>4181</v>
      </c>
      <c r="B1064" s="1694" t="str">
        <f>CONCATENATE(LEFT(RIGHT(CONCATENATE("000",IFAData_TEA!A1064),6),3),"-",(RIGHT(RIGHT(CONCATENATE("000",IFAData_TEA!A1064),6),3)))</f>
        <v>108-902</v>
      </c>
      <c r="C1064" s="2266" t="s">
        <v>39</v>
      </c>
      <c r="D1064" s="2266">
        <v>7</v>
      </c>
      <c r="E1064" s="2266">
        <v>1766</v>
      </c>
      <c r="F1064" s="2266" t="s">
        <v>5582</v>
      </c>
      <c r="G1064" s="2266" t="s">
        <v>5582</v>
      </c>
      <c r="H1064" s="2436">
        <v>1010853</v>
      </c>
      <c r="I1064" s="2436">
        <v>0</v>
      </c>
      <c r="J1064" s="2446">
        <v>0</v>
      </c>
      <c r="K1064" s="2436">
        <v>0</v>
      </c>
      <c r="L1064" s="2436">
        <v>0</v>
      </c>
      <c r="M1064" s="2266">
        <v>599</v>
      </c>
    </row>
    <row r="1065" spans="1:13" ht="15">
      <c r="A1065" s="2266" t="s">
        <v>4181</v>
      </c>
      <c r="B1065" s="1694" t="str">
        <f>CONCATENATE(LEFT(RIGHT(CONCATENATE("000",IFAData_TEA!A1065),6),3),"-",(RIGHT(RIGHT(CONCATENATE("000",IFAData_TEA!A1065),6),3)))</f>
        <v>108-902</v>
      </c>
      <c r="C1065" s="2266" t="s">
        <v>39</v>
      </c>
      <c r="D1065" s="2266">
        <v>6</v>
      </c>
      <c r="E1065" s="2266">
        <v>1767</v>
      </c>
      <c r="F1065" s="2266" t="s">
        <v>5580</v>
      </c>
      <c r="G1065" s="2266" t="s">
        <v>5580</v>
      </c>
      <c r="H1065" s="2436">
        <v>1121326</v>
      </c>
      <c r="I1065" s="2436">
        <v>243450</v>
      </c>
      <c r="J1065" s="2446">
        <v>0.23625600465815905</v>
      </c>
      <c r="K1065" s="2436">
        <v>264920.00067931483</v>
      </c>
      <c r="L1065" s="2436">
        <v>243450</v>
      </c>
      <c r="M1065" s="2266">
        <v>599</v>
      </c>
    </row>
    <row r="1066" spans="1:13" ht="15">
      <c r="A1066" s="2266" t="s">
        <v>4181</v>
      </c>
      <c r="B1066" s="1694" t="str">
        <f>CONCATENATE(LEFT(RIGHT(CONCATENATE("000",IFAData_TEA!A1066),6),3),"-",(RIGHT(RIGHT(CONCATENATE("000",IFAData_TEA!A1066),6),3)))</f>
        <v>108-902</v>
      </c>
      <c r="C1066" s="2266" t="s">
        <v>39</v>
      </c>
      <c r="D1066" s="2266">
        <v>4</v>
      </c>
      <c r="E1066" s="2266">
        <v>1768</v>
      </c>
      <c r="F1066" s="2266" t="s">
        <v>5577</v>
      </c>
      <c r="G1066" s="2266" t="s">
        <v>5576</v>
      </c>
      <c r="H1066" s="2436">
        <v>2119597</v>
      </c>
      <c r="I1066" s="2436">
        <v>1242884</v>
      </c>
      <c r="J1066" s="2446">
        <v>0.60854450770372726</v>
      </c>
      <c r="K1066" s="2436">
        <v>1289869.1128952971</v>
      </c>
      <c r="L1066" s="2436">
        <v>1242884</v>
      </c>
      <c r="M1066" s="2266">
        <v>599</v>
      </c>
    </row>
    <row r="1067" spans="1:13" ht="15">
      <c r="A1067" s="2266" t="s">
        <v>4181</v>
      </c>
      <c r="B1067" s="1694" t="str">
        <f>CONCATENATE(LEFT(RIGHT(CONCATENATE("000",IFAData_TEA!A1067),6),3),"-",(RIGHT(RIGHT(CONCATENATE("000",IFAData_TEA!A1067),6),3)))</f>
        <v>108-902</v>
      </c>
      <c r="C1067" s="2266" t="s">
        <v>39</v>
      </c>
      <c r="D1067" s="2266">
        <v>4</v>
      </c>
      <c r="E1067" s="2266">
        <v>1768</v>
      </c>
      <c r="F1067" s="2266" t="s">
        <v>5577</v>
      </c>
      <c r="G1067" s="2266" t="s">
        <v>5578</v>
      </c>
      <c r="H1067" s="2436">
        <v>2119597</v>
      </c>
      <c r="I1067" s="2436">
        <v>446830</v>
      </c>
      <c r="J1067" s="2446">
        <v>0.21877821452143276</v>
      </c>
      <c r="K1067" s="2436">
        <v>463721.6471649853</v>
      </c>
      <c r="L1067" s="2436">
        <v>446830</v>
      </c>
      <c r="M1067" s="2266">
        <v>599</v>
      </c>
    </row>
    <row r="1068" spans="1:13" ht="15">
      <c r="A1068" s="2266" t="s">
        <v>4181</v>
      </c>
      <c r="B1068" s="1694" t="str">
        <f>CONCATENATE(LEFT(RIGHT(CONCATENATE("000",IFAData_TEA!A1068),6),3),"-",(RIGHT(RIGHT(CONCATENATE("000",IFAData_TEA!A1068),6),3)))</f>
        <v>108-902</v>
      </c>
      <c r="C1068" s="2266" t="s">
        <v>39</v>
      </c>
      <c r="D1068" s="2266">
        <v>4</v>
      </c>
      <c r="E1068" s="2266">
        <v>1768</v>
      </c>
      <c r="F1068" s="2266" t="s">
        <v>5577</v>
      </c>
      <c r="G1068" s="2266" t="s">
        <v>6985</v>
      </c>
      <c r="H1068" s="2436">
        <v>2119597</v>
      </c>
      <c r="I1068" s="2436">
        <v>347274</v>
      </c>
      <c r="J1068" s="2446">
        <v>0.17003331394426524</v>
      </c>
      <c r="K1068" s="2436">
        <v>360402.10213632276</v>
      </c>
      <c r="L1068" s="2436">
        <v>347274</v>
      </c>
      <c r="M1068" s="2266">
        <v>599</v>
      </c>
    </row>
    <row r="1069" spans="1:13" ht="15">
      <c r="A1069" s="2266" t="s">
        <v>4182</v>
      </c>
      <c r="B1069" s="1694" t="str">
        <f>CONCATENATE(LEFT(RIGHT(CONCATENATE("000",IFAData_TEA!A1069),6),3),"-",(RIGHT(RIGHT(CONCATENATE("000",IFAData_TEA!A1069),6),3)))</f>
        <v>108-903</v>
      </c>
      <c r="C1069" s="2266" t="s">
        <v>1217</v>
      </c>
      <c r="D1069" s="2266">
        <v>4</v>
      </c>
      <c r="E1069" s="2266">
        <v>1787</v>
      </c>
      <c r="F1069" s="2266" t="s">
        <v>5588</v>
      </c>
      <c r="G1069" s="2266" t="s">
        <v>6986</v>
      </c>
      <c r="H1069" s="2436">
        <v>1123190</v>
      </c>
      <c r="I1069" s="2436">
        <v>197848</v>
      </c>
      <c r="J1069" s="2446">
        <v>0.18709260728500682</v>
      </c>
      <c r="K1069" s="2436">
        <v>210140.54557644681</v>
      </c>
      <c r="L1069" s="2436">
        <v>197848</v>
      </c>
      <c r="M1069" s="2266">
        <v>599</v>
      </c>
    </row>
    <row r="1070" spans="1:13" ht="15">
      <c r="A1070" s="2266" t="s">
        <v>4182</v>
      </c>
      <c r="B1070" s="1694" t="str">
        <f>CONCATENATE(LEFT(RIGHT(CONCATENATE("000",IFAData_TEA!A1070),6),3),"-",(RIGHT(RIGHT(CONCATENATE("000",IFAData_TEA!A1070),6),3)))</f>
        <v>108-903</v>
      </c>
      <c r="C1070" s="2266" t="s">
        <v>1217</v>
      </c>
      <c r="D1070" s="2266">
        <v>1</v>
      </c>
      <c r="E1070" s="2266">
        <v>1786</v>
      </c>
      <c r="F1070" s="2266" t="s">
        <v>5585</v>
      </c>
      <c r="G1070" s="2266" t="s">
        <v>6986</v>
      </c>
      <c r="H1070" s="2436">
        <v>1057575</v>
      </c>
      <c r="I1070" s="2436">
        <v>177772</v>
      </c>
      <c r="J1070" s="2446">
        <v>0.18709218425062935</v>
      </c>
      <c r="K1070" s="2436">
        <v>197864.01675885933</v>
      </c>
      <c r="L1070" s="2436">
        <v>177772</v>
      </c>
      <c r="M1070" s="2266">
        <v>599</v>
      </c>
    </row>
    <row r="1071" spans="1:13" ht="15">
      <c r="A1071" s="2266" t="s">
        <v>4182</v>
      </c>
      <c r="B1071" s="1694" t="str">
        <f>CONCATENATE(LEFT(RIGHT(CONCATENATE("000",IFAData_TEA!A1071),6),3),"-",(RIGHT(RIGHT(CONCATENATE("000",IFAData_TEA!A1071),6),3)))</f>
        <v>108-903</v>
      </c>
      <c r="C1071" s="2266" t="s">
        <v>1217</v>
      </c>
      <c r="D1071" s="2266">
        <v>8</v>
      </c>
      <c r="E1071" s="2266">
        <v>1788</v>
      </c>
      <c r="F1071" s="2266" t="s">
        <v>5590</v>
      </c>
      <c r="G1071" s="2266" t="s">
        <v>5590</v>
      </c>
      <c r="H1071" s="2436">
        <v>1293870</v>
      </c>
      <c r="I1071" s="2436">
        <v>540063</v>
      </c>
      <c r="J1071" s="2446">
        <v>0.41766469149780289</v>
      </c>
      <c r="K1071" s="2436">
        <v>540403.81438826222</v>
      </c>
      <c r="L1071" s="2436">
        <v>540063</v>
      </c>
      <c r="M1071" s="2266">
        <v>599</v>
      </c>
    </row>
    <row r="1072" spans="1:13" ht="15">
      <c r="A1072" s="2266" t="s">
        <v>4182</v>
      </c>
      <c r="B1072" s="1694" t="str">
        <f>CONCATENATE(LEFT(RIGHT(CONCATENATE("000",IFAData_TEA!A1072),6),3),"-",(RIGHT(RIGHT(CONCATENATE("000",IFAData_TEA!A1072),6),3)))</f>
        <v>108-903</v>
      </c>
      <c r="C1072" s="2266" t="s">
        <v>1217</v>
      </c>
      <c r="D1072" s="2266">
        <v>1</v>
      </c>
      <c r="E1072" s="2266">
        <v>1786</v>
      </c>
      <c r="F1072" s="2266" t="s">
        <v>5585</v>
      </c>
      <c r="G1072" s="2266" t="s">
        <v>5587</v>
      </c>
      <c r="H1072" s="2436">
        <v>1057575</v>
      </c>
      <c r="I1072" s="2436">
        <v>199983</v>
      </c>
      <c r="J1072" s="2446">
        <v>0.21046765679068474</v>
      </c>
      <c r="K1072" s="2436">
        <v>222585.33213040841</v>
      </c>
      <c r="L1072" s="2436">
        <v>199983</v>
      </c>
      <c r="M1072" s="2266">
        <v>599</v>
      </c>
    </row>
    <row r="1073" spans="1:13" ht="15">
      <c r="A1073" s="2266" t="s">
        <v>4182</v>
      </c>
      <c r="B1073" s="1694" t="str">
        <f>CONCATENATE(LEFT(RIGHT(CONCATENATE("000",IFAData_TEA!A1073),6),3),"-",(RIGHT(RIGHT(CONCATENATE("000",IFAData_TEA!A1073),6),3)))</f>
        <v>108-903</v>
      </c>
      <c r="C1073" s="2266" t="s">
        <v>1217</v>
      </c>
      <c r="D1073" s="2266">
        <v>4</v>
      </c>
      <c r="E1073" s="2266">
        <v>1787</v>
      </c>
      <c r="F1073" s="2266" t="s">
        <v>5588</v>
      </c>
      <c r="G1073" s="2266" t="s">
        <v>5587</v>
      </c>
      <c r="H1073" s="2436">
        <v>1123190</v>
      </c>
      <c r="I1073" s="2436">
        <v>222567</v>
      </c>
      <c r="J1073" s="2446">
        <v>0.21046783553840379</v>
      </c>
      <c r="K1073" s="2436">
        <v>236395.36819837976</v>
      </c>
      <c r="L1073" s="2436">
        <v>222567</v>
      </c>
      <c r="M1073" s="2266">
        <v>599</v>
      </c>
    </row>
    <row r="1074" spans="1:13" ht="15">
      <c r="A1074" s="2266" t="s">
        <v>4182</v>
      </c>
      <c r="B1074" s="1694" t="str">
        <f>CONCATENATE(LEFT(RIGHT(CONCATENATE("000",IFAData_TEA!A1074),6),3),"-",(RIGHT(RIGHT(CONCATENATE("000",IFAData_TEA!A1074),6),3)))</f>
        <v>108-903</v>
      </c>
      <c r="C1074" s="2266" t="s">
        <v>1217</v>
      </c>
      <c r="D1074" s="2266">
        <v>8</v>
      </c>
      <c r="E1074" s="2266">
        <v>1788</v>
      </c>
      <c r="F1074" s="2266" t="s">
        <v>5590</v>
      </c>
      <c r="G1074" s="2266" t="s">
        <v>5589</v>
      </c>
      <c r="H1074" s="2436">
        <v>1293870</v>
      </c>
      <c r="I1074" s="2436">
        <v>333018</v>
      </c>
      <c r="J1074" s="2446">
        <v>0.25754376847370641</v>
      </c>
      <c r="K1074" s="2436">
        <v>333228.15571507451</v>
      </c>
      <c r="L1074" s="2436">
        <v>333018</v>
      </c>
      <c r="M1074" s="2266">
        <v>599</v>
      </c>
    </row>
    <row r="1075" spans="1:13" ht="15">
      <c r="A1075" s="2266" t="s">
        <v>4182</v>
      </c>
      <c r="B1075" s="1694" t="str">
        <f>CONCATENATE(LEFT(RIGHT(CONCATENATE("000",IFAData_TEA!A1075),6),3),"-",(RIGHT(RIGHT(CONCATENATE("000",IFAData_TEA!A1075),6),3)))</f>
        <v>108-903</v>
      </c>
      <c r="C1075" s="2266" t="s">
        <v>1217</v>
      </c>
      <c r="D1075" s="2266">
        <v>8</v>
      </c>
      <c r="E1075" s="2266">
        <v>1788</v>
      </c>
      <c r="F1075" s="2266" t="s">
        <v>5590</v>
      </c>
      <c r="G1075" s="2266" t="s">
        <v>6986</v>
      </c>
      <c r="H1075" s="2436">
        <v>1293870</v>
      </c>
      <c r="I1075" s="2436">
        <v>419973</v>
      </c>
      <c r="J1075" s="2446">
        <v>0.3247915400284907</v>
      </c>
      <c r="K1075" s="2436">
        <v>420238.02989666327</v>
      </c>
      <c r="L1075" s="2436">
        <v>419973</v>
      </c>
      <c r="M1075" s="2266">
        <v>599</v>
      </c>
    </row>
    <row r="1076" spans="1:13" ht="15">
      <c r="A1076" s="2266" t="s">
        <v>4182</v>
      </c>
      <c r="B1076" s="1694" t="str">
        <f>CONCATENATE(LEFT(RIGHT(CONCATENATE("000",IFAData_TEA!A1076),6),3),"-",(RIGHT(RIGHT(CONCATENATE("000",IFAData_TEA!A1076),6),3)))</f>
        <v>108-903</v>
      </c>
      <c r="C1076" s="2266" t="s">
        <v>1217</v>
      </c>
      <c r="D1076" s="2266">
        <v>1</v>
      </c>
      <c r="E1076" s="2266">
        <v>1786</v>
      </c>
      <c r="F1076" s="2266" t="s">
        <v>5585</v>
      </c>
      <c r="G1076" s="2266" t="s">
        <v>5585</v>
      </c>
      <c r="H1076" s="2436">
        <v>1057575</v>
      </c>
      <c r="I1076" s="2436">
        <v>0</v>
      </c>
      <c r="J1076" s="2446">
        <v>0</v>
      </c>
      <c r="K1076" s="2436">
        <v>0</v>
      </c>
      <c r="L1076" s="2436">
        <v>0</v>
      </c>
      <c r="M1076" s="2266">
        <v>599</v>
      </c>
    </row>
    <row r="1077" spans="1:13" ht="15">
      <c r="A1077" s="2266" t="s">
        <v>4182</v>
      </c>
      <c r="B1077" s="1694" t="str">
        <f>CONCATENATE(LEFT(RIGHT(CONCATENATE("000",IFAData_TEA!A1077),6),3),"-",(RIGHT(RIGHT(CONCATENATE("000",IFAData_TEA!A1077),6),3)))</f>
        <v>108-903</v>
      </c>
      <c r="C1077" s="2266" t="s">
        <v>1217</v>
      </c>
      <c r="D1077" s="2266">
        <v>4</v>
      </c>
      <c r="E1077" s="2266">
        <v>1787</v>
      </c>
      <c r="F1077" s="2266" t="s">
        <v>5588</v>
      </c>
      <c r="G1077" s="2266" t="s">
        <v>5586</v>
      </c>
      <c r="H1077" s="2436">
        <v>1123190</v>
      </c>
      <c r="I1077" s="2436">
        <v>637072</v>
      </c>
      <c r="J1077" s="2446">
        <v>0.60243955717658937</v>
      </c>
      <c r="K1077" s="2436">
        <v>676654.08622517344</v>
      </c>
      <c r="L1077" s="2436">
        <v>637072</v>
      </c>
      <c r="M1077" s="2266">
        <v>599</v>
      </c>
    </row>
    <row r="1078" spans="1:13" ht="15">
      <c r="A1078" s="2266" t="s">
        <v>4182</v>
      </c>
      <c r="B1078" s="1694" t="str">
        <f>CONCATENATE(LEFT(RIGHT(CONCATENATE("000",IFAData_TEA!A1078),6),3),"-",(RIGHT(RIGHT(CONCATENATE("000",IFAData_TEA!A1078),6),3)))</f>
        <v>108-903</v>
      </c>
      <c r="C1078" s="2266" t="s">
        <v>1217</v>
      </c>
      <c r="D1078" s="2266">
        <v>1</v>
      </c>
      <c r="E1078" s="2266">
        <v>1786</v>
      </c>
      <c r="F1078" s="2266" t="s">
        <v>5585</v>
      </c>
      <c r="G1078" s="2266" t="s">
        <v>5586</v>
      </c>
      <c r="H1078" s="2436">
        <v>1057575</v>
      </c>
      <c r="I1078" s="2436">
        <v>572429</v>
      </c>
      <c r="J1078" s="2446">
        <v>0.60244015895868586</v>
      </c>
      <c r="K1078" s="2436">
        <v>637125.65111073223</v>
      </c>
      <c r="L1078" s="2436">
        <v>572429</v>
      </c>
      <c r="M1078" s="2266">
        <v>599</v>
      </c>
    </row>
    <row r="1079" spans="1:13" ht="15">
      <c r="A1079" s="2266" t="s">
        <v>4182</v>
      </c>
      <c r="B1079" s="1694" t="str">
        <f>CONCATENATE(LEFT(RIGHT(CONCATENATE("000",IFAData_TEA!A1079),6),3),"-",(RIGHT(RIGHT(CONCATENATE("000",IFAData_TEA!A1079),6),3)))</f>
        <v>108-903</v>
      </c>
      <c r="C1079" s="2266" t="s">
        <v>1217</v>
      </c>
      <c r="D1079" s="2266">
        <v>4</v>
      </c>
      <c r="E1079" s="2266">
        <v>1787</v>
      </c>
      <c r="F1079" s="2266" t="s">
        <v>5588</v>
      </c>
      <c r="G1079" s="2266" t="s">
        <v>5588</v>
      </c>
      <c r="H1079" s="2436">
        <v>1123190</v>
      </c>
      <c r="I1079" s="2436">
        <v>0</v>
      </c>
      <c r="J1079" s="2446">
        <v>0</v>
      </c>
      <c r="K1079" s="2436">
        <v>0</v>
      </c>
      <c r="L1079" s="2436">
        <v>0</v>
      </c>
      <c r="M1079" s="2266">
        <v>599</v>
      </c>
    </row>
    <row r="1080" spans="1:13" ht="15">
      <c r="A1080" s="2266" t="s">
        <v>4183</v>
      </c>
      <c r="B1080" s="1694" t="str">
        <f>CONCATENATE(LEFT(RIGHT(CONCATENATE("000",IFAData_TEA!A1080),6),3),"-",(RIGHT(RIGHT(CONCATENATE("000",IFAData_TEA!A1080),6),3)))</f>
        <v>108-904</v>
      </c>
      <c r="C1080" s="2266" t="s">
        <v>40</v>
      </c>
      <c r="D1080" s="2266">
        <v>3</v>
      </c>
      <c r="E1080" s="2266">
        <v>1795</v>
      </c>
      <c r="F1080" s="2266" t="s">
        <v>5591</v>
      </c>
      <c r="G1080" s="2266" t="s">
        <v>5591</v>
      </c>
      <c r="H1080" s="2436">
        <v>3968103</v>
      </c>
      <c r="I1080" s="2436">
        <v>0</v>
      </c>
      <c r="J1080" s="2446">
        <v>0</v>
      </c>
      <c r="K1080" s="2436">
        <v>0</v>
      </c>
      <c r="L1080" s="2436">
        <v>0</v>
      </c>
      <c r="M1080" s="2266">
        <v>199</v>
      </c>
    </row>
    <row r="1081" spans="1:13" ht="15">
      <c r="A1081" s="2266" t="s">
        <v>4183</v>
      </c>
      <c r="B1081" s="1694" t="str">
        <f>CONCATENATE(LEFT(RIGHT(CONCATENATE("000",IFAData_TEA!A1081),6),3),"-",(RIGHT(RIGHT(CONCATENATE("000",IFAData_TEA!A1081),6),3)))</f>
        <v>108-904</v>
      </c>
      <c r="C1081" s="2266" t="s">
        <v>40</v>
      </c>
      <c r="D1081" s="2266">
        <v>4</v>
      </c>
      <c r="E1081" s="2266">
        <v>1796</v>
      </c>
      <c r="F1081" s="2266" t="s">
        <v>5593</v>
      </c>
      <c r="G1081" s="2266" t="s">
        <v>6987</v>
      </c>
      <c r="H1081" s="2436">
        <v>3996878</v>
      </c>
      <c r="I1081" s="2436">
        <v>2003937</v>
      </c>
      <c r="J1081" s="2446">
        <v>0.52268631653407394</v>
      </c>
      <c r="K1081" s="2436">
        <v>2089113.4394560764</v>
      </c>
      <c r="L1081" s="2436">
        <v>2003937</v>
      </c>
      <c r="M1081" s="2266">
        <v>599</v>
      </c>
    </row>
    <row r="1082" spans="1:13" ht="15">
      <c r="A1082" s="2266" t="s">
        <v>4183</v>
      </c>
      <c r="B1082" s="1694" t="str">
        <f>CONCATENATE(LEFT(RIGHT(CONCATENATE("000",IFAData_TEA!A1082),6),3),"-",(RIGHT(RIGHT(CONCATENATE("000",IFAData_TEA!A1082),6),3)))</f>
        <v>108-904</v>
      </c>
      <c r="C1082" s="2266" t="s">
        <v>40</v>
      </c>
      <c r="D1082" s="2266">
        <v>4</v>
      </c>
      <c r="E1082" s="2266">
        <v>1796</v>
      </c>
      <c r="F1082" s="2266" t="s">
        <v>5593</v>
      </c>
      <c r="G1082" s="2266" t="s">
        <v>5594</v>
      </c>
      <c r="H1082" s="2436">
        <v>3996878</v>
      </c>
      <c r="I1082" s="2436">
        <v>1829982</v>
      </c>
      <c r="J1082" s="2446">
        <v>0.47731368346592612</v>
      </c>
      <c r="K1082" s="2436">
        <v>1907764.5605439239</v>
      </c>
      <c r="L1082" s="2436">
        <v>1829982</v>
      </c>
      <c r="M1082" s="2266">
        <v>599</v>
      </c>
    </row>
    <row r="1083" spans="1:13" ht="15">
      <c r="A1083" s="2266" t="s">
        <v>4183</v>
      </c>
      <c r="B1083" s="1694" t="str">
        <f>CONCATENATE(LEFT(RIGHT(CONCATENATE("000",IFAData_TEA!A1083),6),3),"-",(RIGHT(RIGHT(CONCATENATE("000",IFAData_TEA!A1083),6),3)))</f>
        <v>108-904</v>
      </c>
      <c r="C1083" s="2266" t="s">
        <v>40</v>
      </c>
      <c r="D1083" s="2266">
        <v>4</v>
      </c>
      <c r="E1083" s="2266">
        <v>1796</v>
      </c>
      <c r="F1083" s="2266" t="s">
        <v>5593</v>
      </c>
      <c r="G1083" s="2266" t="s">
        <v>5593</v>
      </c>
      <c r="H1083" s="2436">
        <v>3996878</v>
      </c>
      <c r="I1083" s="2436">
        <v>0</v>
      </c>
      <c r="J1083" s="2446">
        <v>0</v>
      </c>
      <c r="K1083" s="2436">
        <v>0</v>
      </c>
      <c r="L1083" s="2436">
        <v>0</v>
      </c>
      <c r="M1083" s="2266">
        <v>599</v>
      </c>
    </row>
    <row r="1084" spans="1:13" ht="15">
      <c r="A1084" s="2266" t="s">
        <v>4183</v>
      </c>
      <c r="B1084" s="1694" t="str">
        <f>CONCATENATE(LEFT(RIGHT(CONCATENATE("000",IFAData_TEA!A1084),6),3),"-",(RIGHT(RIGHT(CONCATENATE("000",IFAData_TEA!A1084),6),3)))</f>
        <v>108-904</v>
      </c>
      <c r="C1084" s="2266" t="s">
        <v>40</v>
      </c>
      <c r="D1084" s="2266">
        <v>9</v>
      </c>
      <c r="E1084" s="2266">
        <v>1797</v>
      </c>
      <c r="F1084" s="2266" t="s">
        <v>5595</v>
      </c>
      <c r="G1084" s="2266" t="s">
        <v>5595</v>
      </c>
      <c r="H1084" s="2436">
        <v>7109662</v>
      </c>
      <c r="I1084" s="2436">
        <v>7105144</v>
      </c>
      <c r="J1084" s="2446">
        <v>1</v>
      </c>
      <c r="K1084" s="2436">
        <v>7109662</v>
      </c>
      <c r="L1084" s="2436">
        <v>7105144</v>
      </c>
      <c r="M1084" s="2266">
        <v>599</v>
      </c>
    </row>
    <row r="1085" spans="1:13" ht="15">
      <c r="A1085" s="2266" t="s">
        <v>4183</v>
      </c>
      <c r="B1085" s="1694" t="str">
        <f>CONCATENATE(LEFT(RIGHT(CONCATENATE("000",IFAData_TEA!A1085),6),3),"-",(RIGHT(RIGHT(CONCATENATE("000",IFAData_TEA!A1085),6),3)))</f>
        <v>108-904</v>
      </c>
      <c r="C1085" s="2266" t="s">
        <v>40</v>
      </c>
      <c r="D1085" s="2266">
        <v>3</v>
      </c>
      <c r="E1085" s="2266">
        <v>1795</v>
      </c>
      <c r="F1085" s="2266" t="s">
        <v>5591</v>
      </c>
      <c r="G1085" s="2266" t="s">
        <v>5592</v>
      </c>
      <c r="H1085" s="2436">
        <v>3968103</v>
      </c>
      <c r="I1085" s="2436">
        <v>3770492</v>
      </c>
      <c r="J1085" s="2446">
        <v>1</v>
      </c>
      <c r="K1085" s="2436">
        <v>3968103</v>
      </c>
      <c r="L1085" s="2436">
        <v>3770492</v>
      </c>
      <c r="M1085" s="2266">
        <v>599</v>
      </c>
    </row>
    <row r="1086" spans="1:13" ht="15">
      <c r="A1086" s="2266" t="s">
        <v>4184</v>
      </c>
      <c r="B1086" s="1694" t="str">
        <f>CONCATENATE(LEFT(RIGHT(CONCATENATE("000",IFAData_TEA!A1086),6),3),"-",(RIGHT(RIGHT(CONCATENATE("000",IFAData_TEA!A1086),6),3)))</f>
        <v>108-905</v>
      </c>
      <c r="C1086" s="2266" t="s">
        <v>2725</v>
      </c>
      <c r="D1086" s="2266">
        <v>8</v>
      </c>
      <c r="E1086" s="2266">
        <v>1891</v>
      </c>
      <c r="F1086" s="2266" t="s">
        <v>5602</v>
      </c>
      <c r="G1086" s="2266" t="s">
        <v>5602</v>
      </c>
      <c r="H1086" s="2436">
        <v>750887</v>
      </c>
      <c r="I1086" s="2436">
        <v>751568</v>
      </c>
      <c r="J1086" s="2446">
        <v>1</v>
      </c>
      <c r="K1086" s="2436">
        <v>750887</v>
      </c>
      <c r="L1086" s="2436">
        <v>750887</v>
      </c>
      <c r="M1086" s="2266">
        <v>599</v>
      </c>
    </row>
    <row r="1087" spans="1:13" ht="15">
      <c r="A1087" s="2266" t="s">
        <v>4184</v>
      </c>
      <c r="B1087" s="1694" t="str">
        <f>CONCATENATE(LEFT(RIGHT(CONCATENATE("000",IFAData_TEA!A1087),6),3),"-",(RIGHT(RIGHT(CONCATENATE("000",IFAData_TEA!A1087),6),3)))</f>
        <v>108-905</v>
      </c>
      <c r="C1087" s="2266" t="s">
        <v>2725</v>
      </c>
      <c r="D1087" s="2266">
        <v>7</v>
      </c>
      <c r="E1087" s="2266">
        <v>1888</v>
      </c>
      <c r="F1087" s="2266" t="s">
        <v>5601</v>
      </c>
      <c r="G1087" s="2266" t="s">
        <v>6988</v>
      </c>
      <c r="H1087" s="2436">
        <v>437778</v>
      </c>
      <c r="I1087" s="2436">
        <v>328688</v>
      </c>
      <c r="J1087" s="2446">
        <v>1</v>
      </c>
      <c r="K1087" s="2436">
        <v>437778</v>
      </c>
      <c r="L1087" s="2436">
        <v>328688</v>
      </c>
      <c r="M1087" s="2266">
        <v>599</v>
      </c>
    </row>
    <row r="1088" spans="1:13" ht="15">
      <c r="A1088" s="2266" t="s">
        <v>4184</v>
      </c>
      <c r="B1088" s="1694" t="str">
        <f>CONCATENATE(LEFT(RIGHT(CONCATENATE("000",IFAData_TEA!A1088),6),3),"-",(RIGHT(RIGHT(CONCATENATE("000",IFAData_TEA!A1088),6),3)))</f>
        <v>108-905</v>
      </c>
      <c r="C1088" s="2266" t="s">
        <v>2725</v>
      </c>
      <c r="D1088" s="2266">
        <v>4</v>
      </c>
      <c r="E1088" s="2266">
        <v>1890</v>
      </c>
      <c r="F1088" s="2266" t="s">
        <v>5598</v>
      </c>
      <c r="G1088" s="2266" t="s">
        <v>5597</v>
      </c>
      <c r="H1088" s="2436">
        <v>613155</v>
      </c>
      <c r="I1088" s="2436">
        <v>541381</v>
      </c>
      <c r="J1088" s="2446">
        <v>1</v>
      </c>
      <c r="K1088" s="2436">
        <v>613155</v>
      </c>
      <c r="L1088" s="2436">
        <v>541381</v>
      </c>
      <c r="M1088" s="2266">
        <v>599</v>
      </c>
    </row>
    <row r="1089" spans="1:13" ht="15">
      <c r="A1089" s="2266" t="s">
        <v>4184</v>
      </c>
      <c r="B1089" s="1694" t="str">
        <f>CONCATENATE(LEFT(RIGHT(CONCATENATE("000",IFAData_TEA!A1089),6),3),"-",(RIGHT(RIGHT(CONCATENATE("000",IFAData_TEA!A1089),6),3)))</f>
        <v>108-905</v>
      </c>
      <c r="C1089" s="2266" t="s">
        <v>2725</v>
      </c>
      <c r="D1089" s="2266">
        <v>1</v>
      </c>
      <c r="E1089" s="2266">
        <v>1889</v>
      </c>
      <c r="F1089" s="2266" t="s">
        <v>5596</v>
      </c>
      <c r="G1089" s="2266" t="s">
        <v>5596</v>
      </c>
      <c r="H1089" s="2436">
        <v>551171</v>
      </c>
      <c r="I1089" s="2436">
        <v>0</v>
      </c>
      <c r="J1089" s="2446">
        <v>0</v>
      </c>
      <c r="K1089" s="2436">
        <v>0</v>
      </c>
      <c r="L1089" s="2436">
        <v>0</v>
      </c>
      <c r="M1089" s="2266">
        <v>599</v>
      </c>
    </row>
    <row r="1090" spans="1:13" ht="15">
      <c r="A1090" s="2266" t="s">
        <v>4184</v>
      </c>
      <c r="B1090" s="1694" t="str">
        <f>CONCATENATE(LEFT(RIGHT(CONCATENATE("000",IFAData_TEA!A1090),6),3),"-",(RIGHT(RIGHT(CONCATENATE("000",IFAData_TEA!A1090),6),3)))</f>
        <v>108-905</v>
      </c>
      <c r="C1090" s="2266" t="s">
        <v>2725</v>
      </c>
      <c r="D1090" s="2266">
        <v>7</v>
      </c>
      <c r="E1090" s="2266">
        <v>1888</v>
      </c>
      <c r="F1090" s="2266" t="s">
        <v>5601</v>
      </c>
      <c r="G1090" s="2266" t="s">
        <v>5601</v>
      </c>
      <c r="H1090" s="2436">
        <v>437778</v>
      </c>
      <c r="I1090" s="2436">
        <v>0</v>
      </c>
      <c r="J1090" s="2446">
        <v>0</v>
      </c>
      <c r="K1090" s="2436">
        <v>0</v>
      </c>
      <c r="L1090" s="2436">
        <v>0</v>
      </c>
      <c r="M1090" s="2266">
        <v>599</v>
      </c>
    </row>
    <row r="1091" spans="1:13" ht="15">
      <c r="A1091" s="2266" t="s">
        <v>4184</v>
      </c>
      <c r="B1091" s="1694" t="str">
        <f>CONCATENATE(LEFT(RIGHT(CONCATENATE("000",IFAData_TEA!A1091),6),3),"-",(RIGHT(RIGHT(CONCATENATE("000",IFAData_TEA!A1091),6),3)))</f>
        <v>108-905</v>
      </c>
      <c r="C1091" s="2266" t="s">
        <v>2725</v>
      </c>
      <c r="D1091" s="2266">
        <v>4</v>
      </c>
      <c r="E1091" s="2266">
        <v>1890</v>
      </c>
      <c r="F1091" s="2266" t="s">
        <v>5598</v>
      </c>
      <c r="G1091" s="2266" t="s">
        <v>5598</v>
      </c>
      <c r="H1091" s="2436">
        <v>613155</v>
      </c>
      <c r="I1091" s="2436">
        <v>0</v>
      </c>
      <c r="J1091" s="2446">
        <v>0</v>
      </c>
      <c r="K1091" s="2436">
        <v>0</v>
      </c>
      <c r="L1091" s="2436">
        <v>0</v>
      </c>
      <c r="M1091" s="2266">
        <v>599</v>
      </c>
    </row>
    <row r="1092" spans="1:13" ht="15">
      <c r="A1092" s="2266" t="s">
        <v>4184</v>
      </c>
      <c r="B1092" s="1694" t="str">
        <f>CONCATENATE(LEFT(RIGHT(CONCATENATE("000",IFAData_TEA!A1092),6),3),"-",(RIGHT(RIGHT(CONCATENATE("000",IFAData_TEA!A1092),6),3)))</f>
        <v>108-905</v>
      </c>
      <c r="C1092" s="2266" t="s">
        <v>2725</v>
      </c>
      <c r="D1092" s="2266">
        <v>7</v>
      </c>
      <c r="E1092" s="2266">
        <v>1885</v>
      </c>
      <c r="F1092" s="2266" t="s">
        <v>5599</v>
      </c>
      <c r="G1092" s="2266" t="s">
        <v>5599</v>
      </c>
      <c r="H1092" s="2436">
        <v>198684</v>
      </c>
      <c r="I1092" s="2436">
        <v>0</v>
      </c>
      <c r="J1092" s="2446">
        <v>0</v>
      </c>
      <c r="K1092" s="2436">
        <v>0</v>
      </c>
      <c r="L1092" s="2436">
        <v>0</v>
      </c>
      <c r="M1092" s="2266">
        <v>599</v>
      </c>
    </row>
    <row r="1093" spans="1:13" ht="15">
      <c r="A1093" s="2266" t="s">
        <v>4184</v>
      </c>
      <c r="B1093" s="1694" t="str">
        <f>CONCATENATE(LEFT(RIGHT(CONCATENATE("000",IFAData_TEA!A1093),6),3),"-",(RIGHT(RIGHT(CONCATENATE("000",IFAData_TEA!A1093),6),3)))</f>
        <v>108-905</v>
      </c>
      <c r="C1093" s="2266" t="s">
        <v>2725</v>
      </c>
      <c r="D1093" s="2266">
        <v>1</v>
      </c>
      <c r="E1093" s="2266">
        <v>1889</v>
      </c>
      <c r="F1093" s="2266" t="s">
        <v>5596</v>
      </c>
      <c r="G1093" s="2266" t="s">
        <v>5597</v>
      </c>
      <c r="H1093" s="2436">
        <v>551171</v>
      </c>
      <c r="I1093" s="2436">
        <v>470984</v>
      </c>
      <c r="J1093" s="2446">
        <v>1</v>
      </c>
      <c r="K1093" s="2436">
        <v>551171</v>
      </c>
      <c r="L1093" s="2436">
        <v>470984</v>
      </c>
      <c r="M1093" s="2266">
        <v>599</v>
      </c>
    </row>
    <row r="1094" spans="1:13" ht="15">
      <c r="A1094" s="2266" t="s">
        <v>4184</v>
      </c>
      <c r="B1094" s="1694" t="str">
        <f>CONCATENATE(LEFT(RIGHT(CONCATENATE("000",IFAData_TEA!A1094),6),3),"-",(RIGHT(RIGHT(CONCATENATE("000",IFAData_TEA!A1094),6),3)))</f>
        <v>108-905</v>
      </c>
      <c r="C1094" s="2266" t="s">
        <v>2725</v>
      </c>
      <c r="D1094" s="2266">
        <v>9</v>
      </c>
      <c r="E1094" s="2266">
        <v>1887</v>
      </c>
      <c r="F1094" s="2266" t="s">
        <v>5604</v>
      </c>
      <c r="G1094" s="2266" t="s">
        <v>5604</v>
      </c>
      <c r="H1094" s="2436">
        <v>342650</v>
      </c>
      <c r="I1094" s="2436">
        <v>340780</v>
      </c>
      <c r="J1094" s="2446">
        <v>1</v>
      </c>
      <c r="K1094" s="2436">
        <v>342650</v>
      </c>
      <c r="L1094" s="2436">
        <v>340780</v>
      </c>
      <c r="M1094" s="2266">
        <v>599</v>
      </c>
    </row>
    <row r="1095" spans="1:13" ht="15">
      <c r="A1095" s="2266" t="s">
        <v>4184</v>
      </c>
      <c r="B1095" s="1694" t="str">
        <f>CONCATENATE(LEFT(RIGHT(CONCATENATE("000",IFAData_TEA!A1095),6),3),"-",(RIGHT(RIGHT(CONCATENATE("000",IFAData_TEA!A1095),6),3)))</f>
        <v>108-905</v>
      </c>
      <c r="C1095" s="2266" t="s">
        <v>2725</v>
      </c>
      <c r="D1095" s="2266">
        <v>7</v>
      </c>
      <c r="E1095" s="2266">
        <v>1885</v>
      </c>
      <c r="F1095" s="2266" t="s">
        <v>5599</v>
      </c>
      <c r="G1095" s="2266" t="s">
        <v>5600</v>
      </c>
      <c r="H1095" s="2436">
        <v>198684</v>
      </c>
      <c r="I1095" s="2436">
        <v>256998</v>
      </c>
      <c r="J1095" s="2446">
        <v>1</v>
      </c>
      <c r="K1095" s="2436">
        <v>198684</v>
      </c>
      <c r="L1095" s="2436">
        <v>198684</v>
      </c>
      <c r="M1095" s="2266">
        <v>599</v>
      </c>
    </row>
    <row r="1096" spans="1:13" ht="15">
      <c r="A1096" s="2266" t="s">
        <v>4184</v>
      </c>
      <c r="B1096" s="1694" t="str">
        <f>CONCATENATE(LEFT(RIGHT(CONCATENATE("000",IFAData_TEA!A1096),6),3),"-",(RIGHT(RIGHT(CONCATENATE("000",IFAData_TEA!A1096),6),3)))</f>
        <v>108-905</v>
      </c>
      <c r="C1096" s="2266" t="s">
        <v>2725</v>
      </c>
      <c r="D1096" s="2266">
        <v>9</v>
      </c>
      <c r="E1096" s="2266">
        <v>1886</v>
      </c>
      <c r="F1096" s="2266" t="s">
        <v>5603</v>
      </c>
      <c r="G1096" s="2266" t="s">
        <v>5603</v>
      </c>
      <c r="H1096" s="2436">
        <v>199228</v>
      </c>
      <c r="I1096" s="2436">
        <v>198015</v>
      </c>
      <c r="J1096" s="2446">
        <v>1</v>
      </c>
      <c r="K1096" s="2436">
        <v>199228</v>
      </c>
      <c r="L1096" s="2436">
        <v>198015</v>
      </c>
      <c r="M1096" s="2266">
        <v>599</v>
      </c>
    </row>
    <row r="1097" spans="1:13" ht="15">
      <c r="A1097" s="2266" t="s">
        <v>4185</v>
      </c>
      <c r="B1097" s="1694" t="str">
        <f>CONCATENATE(LEFT(RIGHT(CONCATENATE("000",IFAData_TEA!A1097),6),3),"-",(RIGHT(RIGHT(CONCATENATE("000",IFAData_TEA!A1097),6),3)))</f>
        <v>108-906</v>
      </c>
      <c r="C1097" s="2266" t="s">
        <v>925</v>
      </c>
      <c r="D1097" s="2266">
        <v>2</v>
      </c>
      <c r="E1097" s="2266">
        <v>2079</v>
      </c>
      <c r="F1097" s="2266" t="s">
        <v>5605</v>
      </c>
      <c r="G1097" s="2266" t="s">
        <v>5609</v>
      </c>
      <c r="H1097" s="2436">
        <v>1567290</v>
      </c>
      <c r="I1097" s="2436">
        <v>0</v>
      </c>
      <c r="J1097" s="2446">
        <v>0</v>
      </c>
      <c r="K1097" s="2436">
        <v>0</v>
      </c>
      <c r="L1097" s="2436">
        <v>0</v>
      </c>
      <c r="M1097" s="2266">
        <v>599</v>
      </c>
    </row>
    <row r="1098" spans="1:13" ht="15">
      <c r="A1098" s="2266" t="s">
        <v>4185</v>
      </c>
      <c r="B1098" s="1694" t="str">
        <f>CONCATENATE(LEFT(RIGHT(CONCATENATE("000",IFAData_TEA!A1098),6),3),"-",(RIGHT(RIGHT(CONCATENATE("000",IFAData_TEA!A1098),6),3)))</f>
        <v>108-906</v>
      </c>
      <c r="C1098" s="2266" t="s">
        <v>925</v>
      </c>
      <c r="D1098" s="2266">
        <v>2</v>
      </c>
      <c r="E1098" s="2266">
        <v>2079</v>
      </c>
      <c r="F1098" s="2266" t="s">
        <v>5605</v>
      </c>
      <c r="G1098" s="2266" t="s">
        <v>5608</v>
      </c>
      <c r="H1098" s="2436">
        <v>1567290</v>
      </c>
      <c r="I1098" s="2436">
        <v>0</v>
      </c>
      <c r="J1098" s="2446">
        <v>0</v>
      </c>
      <c r="K1098" s="2436">
        <v>0</v>
      </c>
      <c r="L1098" s="2436">
        <v>0</v>
      </c>
      <c r="M1098" s="2266">
        <v>599</v>
      </c>
    </row>
    <row r="1099" spans="1:13" ht="15">
      <c r="A1099" s="2266" t="s">
        <v>4185</v>
      </c>
      <c r="B1099" s="1694" t="str">
        <f>CONCATENATE(LEFT(RIGHT(CONCATENATE("000",IFAData_TEA!A1099),6),3),"-",(RIGHT(RIGHT(CONCATENATE("000",IFAData_TEA!A1099),6),3)))</f>
        <v>108-906</v>
      </c>
      <c r="C1099" s="2266" t="s">
        <v>925</v>
      </c>
      <c r="D1099" s="2266">
        <v>2</v>
      </c>
      <c r="E1099" s="2266">
        <v>2079</v>
      </c>
      <c r="F1099" s="2266" t="s">
        <v>5605</v>
      </c>
      <c r="G1099" s="2266" t="s">
        <v>5606</v>
      </c>
      <c r="H1099" s="2436">
        <v>1567290</v>
      </c>
      <c r="I1099" s="2436">
        <v>0</v>
      </c>
      <c r="J1099" s="2446">
        <v>0</v>
      </c>
      <c r="K1099" s="2436">
        <v>0</v>
      </c>
      <c r="L1099" s="2436">
        <v>0</v>
      </c>
      <c r="M1099" s="2266">
        <v>599</v>
      </c>
    </row>
    <row r="1100" spans="1:13" ht="15">
      <c r="A1100" s="2266" t="s">
        <v>4185</v>
      </c>
      <c r="B1100" s="1694" t="str">
        <f>CONCATENATE(LEFT(RIGHT(CONCATENATE("000",IFAData_TEA!A1100),6),3),"-",(RIGHT(RIGHT(CONCATENATE("000",IFAData_TEA!A1100),6),3)))</f>
        <v>108-906</v>
      </c>
      <c r="C1100" s="2266" t="s">
        <v>925</v>
      </c>
      <c r="D1100" s="2266">
        <v>2</v>
      </c>
      <c r="E1100" s="2266">
        <v>2079</v>
      </c>
      <c r="F1100" s="2266" t="s">
        <v>5605</v>
      </c>
      <c r="G1100" s="2266" t="s">
        <v>5605</v>
      </c>
      <c r="H1100" s="2436">
        <v>1567290</v>
      </c>
      <c r="I1100" s="2436">
        <v>0</v>
      </c>
      <c r="J1100" s="2446">
        <v>0</v>
      </c>
      <c r="K1100" s="2436">
        <v>0</v>
      </c>
      <c r="L1100" s="2436">
        <v>0</v>
      </c>
      <c r="M1100" s="2266">
        <v>599</v>
      </c>
    </row>
    <row r="1101" spans="1:13" ht="15">
      <c r="A1101" s="2266" t="s">
        <v>4185</v>
      </c>
      <c r="B1101" s="1694" t="str">
        <f>CONCATENATE(LEFT(RIGHT(CONCATENATE("000",IFAData_TEA!A1101),6),3),"-",(RIGHT(RIGHT(CONCATENATE("000",IFAData_TEA!A1101),6),3)))</f>
        <v>108-906</v>
      </c>
      <c r="C1101" s="2266" t="s">
        <v>925</v>
      </c>
      <c r="D1101" s="2266">
        <v>2</v>
      </c>
      <c r="E1101" s="2266">
        <v>2079</v>
      </c>
      <c r="F1101" s="2266" t="s">
        <v>5605</v>
      </c>
      <c r="G1101" s="2266" t="s">
        <v>5607</v>
      </c>
      <c r="H1101" s="2436">
        <v>1567290</v>
      </c>
      <c r="I1101" s="2436">
        <v>1573700</v>
      </c>
      <c r="J1101" s="2446">
        <v>1</v>
      </c>
      <c r="K1101" s="2436">
        <v>1567290</v>
      </c>
      <c r="L1101" s="2436">
        <v>1567290</v>
      </c>
      <c r="M1101" s="2266">
        <v>599</v>
      </c>
    </row>
    <row r="1102" spans="1:13" ht="15">
      <c r="A1102" s="2266" t="s">
        <v>4186</v>
      </c>
      <c r="B1102" s="1694" t="str">
        <f>CONCATENATE(LEFT(RIGHT(CONCATENATE("000",IFAData_TEA!A1102),6),3),"-",(RIGHT(RIGHT(CONCATENATE("000",IFAData_TEA!A1102),6),3)))</f>
        <v>108-907</v>
      </c>
      <c r="C1102" s="2266" t="s">
        <v>2553</v>
      </c>
      <c r="D1102" s="2266">
        <v>2</v>
      </c>
      <c r="E1102" s="2266">
        <v>2092</v>
      </c>
      <c r="F1102" s="2266" t="s">
        <v>5610</v>
      </c>
      <c r="G1102" s="2266" t="s">
        <v>6989</v>
      </c>
      <c r="H1102" s="2436">
        <v>1136573</v>
      </c>
      <c r="I1102" s="2436">
        <v>132955</v>
      </c>
      <c r="J1102" s="2446">
        <v>0.12699657470785677</v>
      </c>
      <c r="K1102" s="2436">
        <v>144340.87790543289</v>
      </c>
      <c r="L1102" s="2436">
        <v>132955</v>
      </c>
      <c r="M1102" s="2266">
        <v>599</v>
      </c>
    </row>
    <row r="1103" spans="1:13" ht="15">
      <c r="A1103" s="2266" t="s">
        <v>4186</v>
      </c>
      <c r="B1103" s="1694" t="str">
        <f>CONCATENATE(LEFT(RIGHT(CONCATENATE("000",IFAData_TEA!A1103),6),3),"-",(RIGHT(RIGHT(CONCATENATE("000",IFAData_TEA!A1103),6),3)))</f>
        <v>108-907</v>
      </c>
      <c r="C1103" s="2266" t="s">
        <v>2553</v>
      </c>
      <c r="D1103" s="2266">
        <v>8</v>
      </c>
      <c r="E1103" s="2266">
        <v>2090</v>
      </c>
      <c r="F1103" s="2266" t="s">
        <v>5617</v>
      </c>
      <c r="G1103" s="2266" t="s">
        <v>5617</v>
      </c>
      <c r="H1103" s="2436">
        <v>547625</v>
      </c>
      <c r="I1103" s="2436">
        <v>544275</v>
      </c>
      <c r="J1103" s="2446">
        <v>0.8900319366565117</v>
      </c>
      <c r="K1103" s="2436">
        <v>487403.73931152222</v>
      </c>
      <c r="L1103" s="2436">
        <v>487403.73931152222</v>
      </c>
      <c r="M1103" s="2266">
        <v>599</v>
      </c>
    </row>
    <row r="1104" spans="1:13" ht="15">
      <c r="A1104" s="2266" t="s">
        <v>4186</v>
      </c>
      <c r="B1104" s="1694" t="str">
        <f>CONCATENATE(LEFT(RIGHT(CONCATENATE("000",IFAData_TEA!A1104),6),3),"-",(RIGHT(RIGHT(CONCATENATE("000",IFAData_TEA!A1104),6),3)))</f>
        <v>108-907</v>
      </c>
      <c r="C1104" s="2266" t="s">
        <v>2553</v>
      </c>
      <c r="D1104" s="2266">
        <v>7</v>
      </c>
      <c r="E1104" s="2266">
        <v>2094</v>
      </c>
      <c r="F1104" s="2266" t="s">
        <v>5615</v>
      </c>
      <c r="G1104" s="2266" t="s">
        <v>5616</v>
      </c>
      <c r="H1104" s="2436">
        <v>1254960</v>
      </c>
      <c r="I1104" s="2436">
        <v>294594</v>
      </c>
      <c r="J1104" s="2446">
        <v>0.51782270978311118</v>
      </c>
      <c r="K1104" s="2436">
        <v>649846.78786941315</v>
      </c>
      <c r="L1104" s="2436">
        <v>294594</v>
      </c>
      <c r="M1104" s="2266">
        <v>599</v>
      </c>
    </row>
    <row r="1105" spans="1:13" ht="15">
      <c r="A1105" s="2266" t="s">
        <v>4186</v>
      </c>
      <c r="B1105" s="1694" t="str">
        <f>CONCATENATE(LEFT(RIGHT(CONCATENATE("000",IFAData_TEA!A1105),6),3),"-",(RIGHT(RIGHT(CONCATENATE("000",IFAData_TEA!A1105),6),3)))</f>
        <v>108-907</v>
      </c>
      <c r="C1105" s="2266" t="s">
        <v>2553</v>
      </c>
      <c r="D1105" s="2266">
        <v>2</v>
      </c>
      <c r="E1105" s="2266">
        <v>2092</v>
      </c>
      <c r="F1105" s="2266" t="s">
        <v>5610</v>
      </c>
      <c r="G1105" s="2266" t="s">
        <v>5611</v>
      </c>
      <c r="H1105" s="2436">
        <v>1136573</v>
      </c>
      <c r="I1105" s="2436">
        <v>913963</v>
      </c>
      <c r="J1105" s="2446">
        <v>0.87300342529214325</v>
      </c>
      <c r="K1105" s="2436">
        <v>992232.12209456717</v>
      </c>
      <c r="L1105" s="2436">
        <v>913963</v>
      </c>
      <c r="M1105" s="2266">
        <v>599</v>
      </c>
    </row>
    <row r="1106" spans="1:13" ht="15">
      <c r="A1106" s="2266" t="s">
        <v>4186</v>
      </c>
      <c r="B1106" s="1694" t="str">
        <f>CONCATENATE(LEFT(RIGHT(CONCATENATE("000",IFAData_TEA!A1106),6),3),"-",(RIGHT(RIGHT(CONCATENATE("000",IFAData_TEA!A1106),6),3)))</f>
        <v>108-907</v>
      </c>
      <c r="C1106" s="2266" t="s">
        <v>2553</v>
      </c>
      <c r="D1106" s="2266">
        <v>4</v>
      </c>
      <c r="E1106" s="2266">
        <v>2093</v>
      </c>
      <c r="F1106" s="2266" t="s">
        <v>5612</v>
      </c>
      <c r="G1106" s="2266" t="s">
        <v>5611</v>
      </c>
      <c r="H1106" s="2436">
        <v>1178123</v>
      </c>
      <c r="I1106" s="2436">
        <v>1147269</v>
      </c>
      <c r="J1106" s="2446">
        <v>0.89294350868645112</v>
      </c>
      <c r="K1106" s="2436">
        <v>1051997.2852842079</v>
      </c>
      <c r="L1106" s="2436">
        <v>1051997.2852842079</v>
      </c>
      <c r="M1106" s="2266">
        <v>599</v>
      </c>
    </row>
    <row r="1107" spans="1:13" ht="15">
      <c r="A1107" s="2266" t="s">
        <v>4186</v>
      </c>
      <c r="B1107" s="1694" t="str">
        <f>CONCATENATE(LEFT(RIGHT(CONCATENATE("000",IFAData_TEA!A1107),6),3),"-",(RIGHT(RIGHT(CONCATENATE("000",IFAData_TEA!A1107),6),3)))</f>
        <v>108-907</v>
      </c>
      <c r="C1107" s="2266" t="s">
        <v>2553</v>
      </c>
      <c r="D1107" s="2266">
        <v>2</v>
      </c>
      <c r="E1107" s="2266">
        <v>2092</v>
      </c>
      <c r="F1107" s="2266" t="s">
        <v>5610</v>
      </c>
      <c r="G1107" s="2266" t="s">
        <v>5610</v>
      </c>
      <c r="H1107" s="2436">
        <v>1136573</v>
      </c>
      <c r="I1107" s="2436">
        <v>0</v>
      </c>
      <c r="J1107" s="2446">
        <v>0</v>
      </c>
      <c r="K1107" s="2436">
        <v>0</v>
      </c>
      <c r="L1107" s="2436">
        <v>0</v>
      </c>
      <c r="M1107" s="2266">
        <v>599</v>
      </c>
    </row>
    <row r="1108" spans="1:13" ht="15">
      <c r="A1108" s="2266" t="s">
        <v>4186</v>
      </c>
      <c r="B1108" s="1694" t="str">
        <f>CONCATENATE(LEFT(RIGHT(CONCATENATE("000",IFAData_TEA!A1108),6),3),"-",(RIGHT(RIGHT(CONCATENATE("000",IFAData_TEA!A1108),6),3)))</f>
        <v>108-907</v>
      </c>
      <c r="C1108" s="2266" t="s">
        <v>2553</v>
      </c>
      <c r="D1108" s="2266">
        <v>6</v>
      </c>
      <c r="E1108" s="2266">
        <v>2091</v>
      </c>
      <c r="F1108" s="2266" t="s">
        <v>5613</v>
      </c>
      <c r="G1108" s="2266" t="s">
        <v>5614</v>
      </c>
      <c r="H1108" s="2436">
        <v>668147</v>
      </c>
      <c r="I1108" s="2436">
        <v>641578</v>
      </c>
      <c r="J1108" s="2446">
        <v>1</v>
      </c>
      <c r="K1108" s="2436">
        <v>668147</v>
      </c>
      <c r="L1108" s="2436">
        <v>641578</v>
      </c>
      <c r="M1108" s="2266">
        <v>599</v>
      </c>
    </row>
    <row r="1109" spans="1:13" ht="15">
      <c r="A1109" s="2266" t="s">
        <v>4186</v>
      </c>
      <c r="B1109" s="1694" t="str">
        <f>CONCATENATE(LEFT(RIGHT(CONCATENATE("000",IFAData_TEA!A1109),6),3),"-",(RIGHT(RIGHT(CONCATENATE("000",IFAData_TEA!A1109),6),3)))</f>
        <v>108-907</v>
      </c>
      <c r="C1109" s="2266" t="s">
        <v>2553</v>
      </c>
      <c r="D1109" s="2266">
        <v>4</v>
      </c>
      <c r="E1109" s="2266">
        <v>2093</v>
      </c>
      <c r="F1109" s="2266" t="s">
        <v>5612</v>
      </c>
      <c r="G1109" s="2266" t="s">
        <v>5612</v>
      </c>
      <c r="H1109" s="2436">
        <v>1178123</v>
      </c>
      <c r="I1109" s="2436">
        <v>0</v>
      </c>
      <c r="J1109" s="2446">
        <v>0</v>
      </c>
      <c r="K1109" s="2436">
        <v>0</v>
      </c>
      <c r="L1109" s="2436">
        <v>0</v>
      </c>
      <c r="M1109" s="2266">
        <v>599</v>
      </c>
    </row>
    <row r="1110" spans="1:13" ht="15">
      <c r="A1110" s="2266" t="s">
        <v>4186</v>
      </c>
      <c r="B1110" s="1694" t="str">
        <f>CONCATENATE(LEFT(RIGHT(CONCATENATE("000",IFAData_TEA!A1110),6),3),"-",(RIGHT(RIGHT(CONCATENATE("000",IFAData_TEA!A1110),6),3)))</f>
        <v>108-907</v>
      </c>
      <c r="C1110" s="2266" t="s">
        <v>2553</v>
      </c>
      <c r="D1110" s="2266">
        <v>7</v>
      </c>
      <c r="E1110" s="2266">
        <v>2094</v>
      </c>
      <c r="F1110" s="2266" t="s">
        <v>5615</v>
      </c>
      <c r="G1110" s="2266" t="s">
        <v>5615</v>
      </c>
      <c r="H1110" s="2436">
        <v>1254960</v>
      </c>
      <c r="I1110" s="2436">
        <v>274315</v>
      </c>
      <c r="J1110" s="2446">
        <v>0.48217729021688882</v>
      </c>
      <c r="K1110" s="2436">
        <v>605113.21213058685</v>
      </c>
      <c r="L1110" s="2436">
        <v>274315</v>
      </c>
      <c r="M1110" s="2266">
        <v>599</v>
      </c>
    </row>
    <row r="1111" spans="1:13" ht="15">
      <c r="A1111" s="2266" t="s">
        <v>4186</v>
      </c>
      <c r="B1111" s="1694" t="str">
        <f>CONCATENATE(LEFT(RIGHT(CONCATENATE("000",IFAData_TEA!A1111),6),3),"-",(RIGHT(RIGHT(CONCATENATE("000",IFAData_TEA!A1111),6),3)))</f>
        <v>108-907</v>
      </c>
      <c r="C1111" s="2266" t="s">
        <v>2553</v>
      </c>
      <c r="D1111" s="2266">
        <v>6</v>
      </c>
      <c r="E1111" s="2266">
        <v>2091</v>
      </c>
      <c r="F1111" s="2266" t="s">
        <v>5613</v>
      </c>
      <c r="G1111" s="2266" t="s">
        <v>5613</v>
      </c>
      <c r="H1111" s="2436">
        <v>668147</v>
      </c>
      <c r="I1111" s="2436">
        <v>0</v>
      </c>
      <c r="J1111" s="2446">
        <v>0</v>
      </c>
      <c r="K1111" s="2436">
        <v>0</v>
      </c>
      <c r="L1111" s="2436">
        <v>0</v>
      </c>
      <c r="M1111" s="2266">
        <v>599</v>
      </c>
    </row>
    <row r="1112" spans="1:13" ht="15">
      <c r="A1112" s="2266" t="s">
        <v>4186</v>
      </c>
      <c r="B1112" s="1694" t="str">
        <f>CONCATENATE(LEFT(RIGHT(CONCATENATE("000",IFAData_TEA!A1112),6),3),"-",(RIGHT(RIGHT(CONCATENATE("000",IFAData_TEA!A1112),6),3)))</f>
        <v>108-907</v>
      </c>
      <c r="C1112" s="2266" t="s">
        <v>2553</v>
      </c>
      <c r="D1112" s="2266">
        <v>8</v>
      </c>
      <c r="E1112" s="2266">
        <v>2090</v>
      </c>
      <c r="F1112" s="2266" t="s">
        <v>5617</v>
      </c>
      <c r="G1112" s="2266" t="s">
        <v>6989</v>
      </c>
      <c r="H1112" s="2436">
        <v>547625</v>
      </c>
      <c r="I1112" s="2436">
        <v>67248</v>
      </c>
      <c r="J1112" s="2446">
        <v>0.10996806334348831</v>
      </c>
      <c r="K1112" s="2436">
        <v>60221.260688477785</v>
      </c>
      <c r="L1112" s="2436">
        <v>60221.260688477785</v>
      </c>
      <c r="M1112" s="2266">
        <v>599</v>
      </c>
    </row>
    <row r="1113" spans="1:13" ht="15">
      <c r="A1113" s="2266" t="s">
        <v>4186</v>
      </c>
      <c r="B1113" s="1694" t="str">
        <f>CONCATENATE(LEFT(RIGHT(CONCATENATE("000",IFAData_TEA!A1113),6),3),"-",(RIGHT(RIGHT(CONCATENATE("000",IFAData_TEA!A1113),6),3)))</f>
        <v>108-907</v>
      </c>
      <c r="C1113" s="2266" t="s">
        <v>2553</v>
      </c>
      <c r="D1113" s="2266">
        <v>4</v>
      </c>
      <c r="E1113" s="2266">
        <v>2093</v>
      </c>
      <c r="F1113" s="2266" t="s">
        <v>5612</v>
      </c>
      <c r="G1113" s="2266" t="s">
        <v>6989</v>
      </c>
      <c r="H1113" s="2436">
        <v>1178123</v>
      </c>
      <c r="I1113" s="2436">
        <v>137548</v>
      </c>
      <c r="J1113" s="2446">
        <v>0.10705649131354893</v>
      </c>
      <c r="K1113" s="2436">
        <v>126125.7147157922</v>
      </c>
      <c r="L1113" s="2436">
        <v>126125.7147157922</v>
      </c>
      <c r="M1113" s="2266">
        <v>599</v>
      </c>
    </row>
    <row r="1114" spans="1:13" ht="15">
      <c r="A1114" s="2266" t="s">
        <v>4187</v>
      </c>
      <c r="B1114" s="1694" t="str">
        <f>CONCATENATE(LEFT(RIGHT(CONCATENATE("000",IFAData_TEA!A1114),6),3),"-",(RIGHT(RIGHT(CONCATENATE("000",IFAData_TEA!A1114),6),3)))</f>
        <v>108-908</v>
      </c>
      <c r="C1114" s="2266" t="s">
        <v>45</v>
      </c>
      <c r="D1114" s="2266">
        <v>4</v>
      </c>
      <c r="E1114" s="2266">
        <v>2111</v>
      </c>
      <c r="F1114" s="2266" t="s">
        <v>5621</v>
      </c>
      <c r="G1114" s="2266" t="s">
        <v>6990</v>
      </c>
      <c r="H1114" s="2436">
        <v>2592893</v>
      </c>
      <c r="I1114" s="2436">
        <v>691370</v>
      </c>
      <c r="J1114" s="2446">
        <v>0.28279285812745703</v>
      </c>
      <c r="K1114" s="2436">
        <v>733251.62228867644</v>
      </c>
      <c r="L1114" s="2436">
        <v>691370</v>
      </c>
      <c r="M1114" s="2266">
        <v>599</v>
      </c>
    </row>
    <row r="1115" spans="1:13" ht="15">
      <c r="A1115" s="2266" t="s">
        <v>4187</v>
      </c>
      <c r="B1115" s="1694" t="str">
        <f>CONCATENATE(LEFT(RIGHT(CONCATENATE("000",IFAData_TEA!A1115),6),3),"-",(RIGHT(RIGHT(CONCATENATE("000",IFAData_TEA!A1115),6),3)))</f>
        <v>108-908</v>
      </c>
      <c r="C1115" s="2266" t="s">
        <v>45</v>
      </c>
      <c r="D1115" s="2266">
        <v>8</v>
      </c>
      <c r="E1115" s="2266">
        <v>2113</v>
      </c>
      <c r="F1115" s="2266" t="s">
        <v>5622</v>
      </c>
      <c r="G1115" s="2266" t="s">
        <v>6991</v>
      </c>
      <c r="H1115" s="2436">
        <v>3559524</v>
      </c>
      <c r="I1115" s="2436">
        <v>2190890</v>
      </c>
      <c r="J1115" s="2446">
        <v>0.61609087445147304</v>
      </c>
      <c r="K1115" s="2436">
        <v>2192990.2537910049</v>
      </c>
      <c r="L1115" s="2436">
        <v>2190890</v>
      </c>
      <c r="M1115" s="2266">
        <v>599</v>
      </c>
    </row>
    <row r="1116" spans="1:13" ht="15">
      <c r="A1116" s="2266" t="s">
        <v>4187</v>
      </c>
      <c r="B1116" s="1694" t="str">
        <f>CONCATENATE(LEFT(RIGHT(CONCATENATE("000",IFAData_TEA!A1116),6),3),"-",(RIGHT(RIGHT(CONCATENATE("000",IFAData_TEA!A1116),6),3)))</f>
        <v>108-908</v>
      </c>
      <c r="C1116" s="2266" t="s">
        <v>45</v>
      </c>
      <c r="D1116" s="2266">
        <v>8</v>
      </c>
      <c r="E1116" s="2266">
        <v>2113</v>
      </c>
      <c r="F1116" s="2266" t="s">
        <v>5622</v>
      </c>
      <c r="G1116" s="2266" t="s">
        <v>5622</v>
      </c>
      <c r="H1116" s="2436">
        <v>3559524</v>
      </c>
      <c r="I1116" s="2436">
        <v>1365225</v>
      </c>
      <c r="J1116" s="2446">
        <v>0.38390912554852696</v>
      </c>
      <c r="K1116" s="2436">
        <v>1366533.7462089949</v>
      </c>
      <c r="L1116" s="2436">
        <v>1365225</v>
      </c>
      <c r="M1116" s="2266">
        <v>599</v>
      </c>
    </row>
    <row r="1117" spans="1:13" ht="15">
      <c r="A1117" s="2266" t="s">
        <v>4187</v>
      </c>
      <c r="B1117" s="1694" t="str">
        <f>CONCATENATE(LEFT(RIGHT(CONCATENATE("000",IFAData_TEA!A1117),6),3),"-",(RIGHT(RIGHT(CONCATENATE("000",IFAData_TEA!A1117),6),3)))</f>
        <v>108-908</v>
      </c>
      <c r="C1117" s="2266" t="s">
        <v>45</v>
      </c>
      <c r="D1117" s="2266">
        <v>2</v>
      </c>
      <c r="E1117" s="2266">
        <v>2112</v>
      </c>
      <c r="F1117" s="2266" t="s">
        <v>5618</v>
      </c>
      <c r="G1117" s="2266" t="s">
        <v>5618</v>
      </c>
      <c r="H1117" s="2436">
        <v>2844700</v>
      </c>
      <c r="I1117" s="2436">
        <v>0</v>
      </c>
      <c r="J1117" s="2446">
        <v>0</v>
      </c>
      <c r="K1117" s="2436">
        <v>0</v>
      </c>
      <c r="L1117" s="2436">
        <v>0</v>
      </c>
      <c r="M1117" s="2266">
        <v>599</v>
      </c>
    </row>
    <row r="1118" spans="1:13" ht="15">
      <c r="A1118" s="2266" t="s">
        <v>4187</v>
      </c>
      <c r="B1118" s="1694" t="str">
        <f>CONCATENATE(LEFT(RIGHT(CONCATENATE("000",IFAData_TEA!A1118),6),3),"-",(RIGHT(RIGHT(CONCATENATE("000",IFAData_TEA!A1118),6),3)))</f>
        <v>108-908</v>
      </c>
      <c r="C1118" s="2266" t="s">
        <v>45</v>
      </c>
      <c r="D1118" s="2266">
        <v>2</v>
      </c>
      <c r="E1118" s="2266">
        <v>2112</v>
      </c>
      <c r="F1118" s="2266" t="s">
        <v>5618</v>
      </c>
      <c r="G1118" s="2266" t="s">
        <v>5620</v>
      </c>
      <c r="H1118" s="2436">
        <v>2844700</v>
      </c>
      <c r="I1118" s="2436">
        <v>146488</v>
      </c>
      <c r="J1118" s="2446">
        <v>5.4758737163818294E-2</v>
      </c>
      <c r="K1118" s="2436">
        <v>155772.1796099139</v>
      </c>
      <c r="L1118" s="2436">
        <v>146488</v>
      </c>
      <c r="M1118" s="2266">
        <v>599</v>
      </c>
    </row>
    <row r="1119" spans="1:13" ht="15">
      <c r="A1119" s="2266" t="s">
        <v>4187</v>
      </c>
      <c r="B1119" s="1694" t="str">
        <f>CONCATENATE(LEFT(RIGHT(CONCATENATE("000",IFAData_TEA!A1119),6),3),"-",(RIGHT(RIGHT(CONCATENATE("000",IFAData_TEA!A1119),6),3)))</f>
        <v>108-908</v>
      </c>
      <c r="C1119" s="2266" t="s">
        <v>45</v>
      </c>
      <c r="D1119" s="2266">
        <v>4</v>
      </c>
      <c r="E1119" s="2266">
        <v>2111</v>
      </c>
      <c r="F1119" s="2266" t="s">
        <v>5621</v>
      </c>
      <c r="G1119" s="2266" t="s">
        <v>5619</v>
      </c>
      <c r="H1119" s="2436">
        <v>2592893</v>
      </c>
      <c r="I1119" s="2436">
        <v>1753423</v>
      </c>
      <c r="J1119" s="2446">
        <v>0.71720714187254297</v>
      </c>
      <c r="K1119" s="2436">
        <v>1859641.3777113236</v>
      </c>
      <c r="L1119" s="2436">
        <v>1753423</v>
      </c>
      <c r="M1119" s="2266">
        <v>599</v>
      </c>
    </row>
    <row r="1120" spans="1:13" ht="15">
      <c r="A1120" s="2266" t="s">
        <v>4187</v>
      </c>
      <c r="B1120" s="1694" t="str">
        <f>CONCATENATE(LEFT(RIGHT(CONCATENATE("000",IFAData_TEA!A1120),6),3),"-",(RIGHT(RIGHT(CONCATENATE("000",IFAData_TEA!A1120),6),3)))</f>
        <v>108-908</v>
      </c>
      <c r="C1120" s="2266" t="s">
        <v>45</v>
      </c>
      <c r="D1120" s="2266">
        <v>2</v>
      </c>
      <c r="E1120" s="2266">
        <v>2112</v>
      </c>
      <c r="F1120" s="2266" t="s">
        <v>5618</v>
      </c>
      <c r="G1120" s="2266" t="s">
        <v>5619</v>
      </c>
      <c r="H1120" s="2436">
        <v>2844700</v>
      </c>
      <c r="I1120" s="2436">
        <v>1813577</v>
      </c>
      <c r="J1120" s="2446">
        <v>0.67793393499362464</v>
      </c>
      <c r="K1120" s="2436">
        <v>1928518.6648763639</v>
      </c>
      <c r="L1120" s="2436">
        <v>1813577</v>
      </c>
      <c r="M1120" s="2266">
        <v>599</v>
      </c>
    </row>
    <row r="1121" spans="1:13" ht="15">
      <c r="A1121" s="2266" t="s">
        <v>4187</v>
      </c>
      <c r="B1121" s="1694" t="str">
        <f>CONCATENATE(LEFT(RIGHT(CONCATENATE("000",IFAData_TEA!A1121),6),3),"-",(RIGHT(RIGHT(CONCATENATE("000",IFAData_TEA!A1121),6),3)))</f>
        <v>108-908</v>
      </c>
      <c r="C1121" s="2266" t="s">
        <v>45</v>
      </c>
      <c r="D1121" s="2266">
        <v>2</v>
      </c>
      <c r="E1121" s="2266">
        <v>2112</v>
      </c>
      <c r="F1121" s="2266" t="s">
        <v>5618</v>
      </c>
      <c r="G1121" s="2266" t="s">
        <v>6990</v>
      </c>
      <c r="H1121" s="2436">
        <v>2844700</v>
      </c>
      <c r="I1121" s="2436">
        <v>715088</v>
      </c>
      <c r="J1121" s="2446">
        <v>0.26730732784255706</v>
      </c>
      <c r="K1121" s="2436">
        <v>760409.1555137221</v>
      </c>
      <c r="L1121" s="2436">
        <v>715088</v>
      </c>
      <c r="M1121" s="2266">
        <v>599</v>
      </c>
    </row>
    <row r="1122" spans="1:13" ht="15">
      <c r="A1122" s="2266" t="s">
        <v>4187</v>
      </c>
      <c r="B1122" s="1694" t="str">
        <f>CONCATENATE(LEFT(RIGHT(CONCATENATE("000",IFAData_TEA!A1122),6),3),"-",(RIGHT(RIGHT(CONCATENATE("000",IFAData_TEA!A1122),6),3)))</f>
        <v>108-908</v>
      </c>
      <c r="C1122" s="2266" t="s">
        <v>45</v>
      </c>
      <c r="D1122" s="2266">
        <v>4</v>
      </c>
      <c r="E1122" s="2266">
        <v>2111</v>
      </c>
      <c r="F1122" s="2266" t="s">
        <v>5621</v>
      </c>
      <c r="G1122" s="2266" t="s">
        <v>5621</v>
      </c>
      <c r="H1122" s="2436">
        <v>2592893</v>
      </c>
      <c r="I1122" s="2436">
        <v>0</v>
      </c>
      <c r="J1122" s="2446">
        <v>0</v>
      </c>
      <c r="K1122" s="2436">
        <v>0</v>
      </c>
      <c r="L1122" s="2436">
        <v>0</v>
      </c>
      <c r="M1122" s="2266">
        <v>599</v>
      </c>
    </row>
    <row r="1123" spans="1:13" ht="15">
      <c r="A1123" s="2266" t="s">
        <v>4187</v>
      </c>
      <c r="B1123" s="1694" t="str">
        <f>CONCATENATE(LEFT(RIGHT(CONCATENATE("000",IFAData_TEA!A1123),6),3),"-",(RIGHT(RIGHT(CONCATENATE("000",IFAData_TEA!A1123),6),3)))</f>
        <v>108-908</v>
      </c>
      <c r="C1123" s="2266" t="s">
        <v>45</v>
      </c>
      <c r="D1123" s="2266">
        <v>9</v>
      </c>
      <c r="E1123" s="2266">
        <v>2114</v>
      </c>
      <c r="F1123" s="2266" t="s">
        <v>5623</v>
      </c>
      <c r="G1123" s="2266" t="s">
        <v>5623</v>
      </c>
      <c r="H1123" s="2436">
        <v>3776225</v>
      </c>
      <c r="I1123" s="2436">
        <v>3757038</v>
      </c>
      <c r="J1123" s="2446">
        <v>1</v>
      </c>
      <c r="K1123" s="2436">
        <v>3776225</v>
      </c>
      <c r="L1123" s="2436">
        <v>3757038</v>
      </c>
      <c r="M1123" s="2266">
        <v>599</v>
      </c>
    </row>
    <row r="1124" spans="1:13" ht="15">
      <c r="A1124" s="2266" t="s">
        <v>4188</v>
      </c>
      <c r="B1124" s="1694" t="str">
        <f>CONCATENATE(LEFT(RIGHT(CONCATENATE("000",IFAData_TEA!A1124),6),3),"-",(RIGHT(RIGHT(CONCATENATE("000",IFAData_TEA!A1124),6),3)))</f>
        <v>108-909</v>
      </c>
      <c r="C1124" s="2266" t="s">
        <v>1126</v>
      </c>
      <c r="D1124" s="2266">
        <v>8</v>
      </c>
      <c r="E1124" s="2266">
        <v>2191</v>
      </c>
      <c r="F1124" s="2266" t="s">
        <v>5628</v>
      </c>
      <c r="G1124" s="2266" t="s">
        <v>6992</v>
      </c>
      <c r="H1124" s="2436">
        <v>1734000</v>
      </c>
      <c r="I1124" s="2436">
        <v>333564</v>
      </c>
      <c r="J1124" s="2446">
        <v>0.14518310889037842</v>
      </c>
      <c r="K1124" s="2436">
        <v>251747.51081591618</v>
      </c>
      <c r="L1124" s="2436">
        <v>251747.51081591618</v>
      </c>
      <c r="M1124" s="2266">
        <v>599</v>
      </c>
    </row>
    <row r="1125" spans="1:13" ht="15">
      <c r="A1125" s="2266" t="s">
        <v>4188</v>
      </c>
      <c r="B1125" s="1694" t="str">
        <f>CONCATENATE(LEFT(RIGHT(CONCATENATE("000",IFAData_TEA!A1125),6),3),"-",(RIGHT(RIGHT(CONCATENATE("000",IFAData_TEA!A1125),6),3)))</f>
        <v>108-909</v>
      </c>
      <c r="C1125" s="2266" t="s">
        <v>1126</v>
      </c>
      <c r="D1125" s="2266">
        <v>4</v>
      </c>
      <c r="E1125" s="2266">
        <v>2193</v>
      </c>
      <c r="F1125" s="2266" t="s">
        <v>5627</v>
      </c>
      <c r="G1125" s="2266" t="s">
        <v>6992</v>
      </c>
      <c r="H1125" s="2436">
        <v>4254043</v>
      </c>
      <c r="I1125" s="2436">
        <v>126147</v>
      </c>
      <c r="J1125" s="2446">
        <v>3.090421034863669E-2</v>
      </c>
      <c r="K1125" s="2436">
        <v>131467.83970414547</v>
      </c>
      <c r="L1125" s="2436">
        <v>126147</v>
      </c>
      <c r="M1125" s="2266">
        <v>599</v>
      </c>
    </row>
    <row r="1126" spans="1:13" ht="15">
      <c r="A1126" s="2266" t="s">
        <v>4188</v>
      </c>
      <c r="B1126" s="1694" t="str">
        <f>CONCATENATE(LEFT(RIGHT(CONCATENATE("000",IFAData_TEA!A1126),6),3),"-",(RIGHT(RIGHT(CONCATENATE("000",IFAData_TEA!A1126),6),3)))</f>
        <v>108-909</v>
      </c>
      <c r="C1126" s="2266" t="s">
        <v>1126</v>
      </c>
      <c r="D1126" s="2266">
        <v>8</v>
      </c>
      <c r="E1126" s="2266">
        <v>2194</v>
      </c>
      <c r="F1126" s="2266" t="s">
        <v>5625</v>
      </c>
      <c r="G1126" s="2266" t="s">
        <v>6992</v>
      </c>
      <c r="H1126" s="2436">
        <v>4319089</v>
      </c>
      <c r="I1126" s="2436">
        <v>72008</v>
      </c>
      <c r="J1126" s="2446">
        <v>1.5288670039850162E-2</v>
      </c>
      <c r="K1126" s="2436">
        <v>66033.12659374639</v>
      </c>
      <c r="L1126" s="2436">
        <v>66033.12659374639</v>
      </c>
      <c r="M1126" s="2266">
        <v>599</v>
      </c>
    </row>
    <row r="1127" spans="1:13" ht="15">
      <c r="A1127" s="2266" t="s">
        <v>4188</v>
      </c>
      <c r="B1127" s="1694" t="str">
        <f>CONCATENATE(LEFT(RIGHT(CONCATENATE("000",IFAData_TEA!A1127),6),3),"-",(RIGHT(RIGHT(CONCATENATE("000",IFAData_TEA!A1127),6),3)))</f>
        <v>108-909</v>
      </c>
      <c r="C1127" s="2266" t="s">
        <v>1126</v>
      </c>
      <c r="D1127" s="2266">
        <v>9</v>
      </c>
      <c r="E1127" s="2266">
        <v>2196</v>
      </c>
      <c r="F1127" s="2266" t="s">
        <v>5629</v>
      </c>
      <c r="G1127" s="2266" t="s">
        <v>6992</v>
      </c>
      <c r="H1127" s="2436">
        <v>6721621</v>
      </c>
      <c r="I1127" s="2436">
        <v>1324276</v>
      </c>
      <c r="J1127" s="2446">
        <v>0.19757310247759341</v>
      </c>
      <c r="K1127" s="2436">
        <v>1328011.5146485439</v>
      </c>
      <c r="L1127" s="2436">
        <v>1324276</v>
      </c>
      <c r="M1127" s="2266">
        <v>599</v>
      </c>
    </row>
    <row r="1128" spans="1:13" ht="15">
      <c r="A1128" s="2266" t="s">
        <v>4188</v>
      </c>
      <c r="B1128" s="1694" t="str">
        <f>CONCATENATE(LEFT(RIGHT(CONCATENATE("000",IFAData_TEA!A1128),6),3),"-",(RIGHT(RIGHT(CONCATENATE("000",IFAData_TEA!A1128),6),3)))</f>
        <v>108-909</v>
      </c>
      <c r="C1128" s="2266" t="s">
        <v>1126</v>
      </c>
      <c r="D1128" s="2266">
        <v>1</v>
      </c>
      <c r="E1128" s="2266">
        <v>2192</v>
      </c>
      <c r="F1128" s="2266" t="s">
        <v>5624</v>
      </c>
      <c r="G1128" s="2266" t="s">
        <v>5625</v>
      </c>
      <c r="H1128" s="2436">
        <v>3945431</v>
      </c>
      <c r="I1128" s="2436">
        <v>3698686</v>
      </c>
      <c r="J1128" s="2446">
        <v>0.97643912920318288</v>
      </c>
      <c r="K1128" s="2436">
        <v>3852473.209971243</v>
      </c>
      <c r="L1128" s="2436">
        <v>3698686</v>
      </c>
      <c r="M1128" s="2266">
        <v>599</v>
      </c>
    </row>
    <row r="1129" spans="1:13" ht="15">
      <c r="A1129" s="2266" t="s">
        <v>4188</v>
      </c>
      <c r="B1129" s="1694" t="str">
        <f>CONCATENATE(LEFT(RIGHT(CONCATENATE("000",IFAData_TEA!A1129),6),3),"-",(RIGHT(RIGHT(CONCATENATE("000",IFAData_TEA!A1129),6),3)))</f>
        <v>108-909</v>
      </c>
      <c r="C1129" s="2266" t="s">
        <v>1126</v>
      </c>
      <c r="D1129" s="2266">
        <v>4</v>
      </c>
      <c r="E1129" s="2266">
        <v>2193</v>
      </c>
      <c r="F1129" s="2266" t="s">
        <v>5627</v>
      </c>
      <c r="G1129" s="2266" t="s">
        <v>5625</v>
      </c>
      <c r="H1129" s="2436">
        <v>4254043</v>
      </c>
      <c r="I1129" s="2436">
        <v>3162066</v>
      </c>
      <c r="J1129" s="2446">
        <v>0.77466093367477806</v>
      </c>
      <c r="K1129" s="2436">
        <v>3295440.9222726538</v>
      </c>
      <c r="L1129" s="2436">
        <v>3162066</v>
      </c>
      <c r="M1129" s="2266">
        <v>599</v>
      </c>
    </row>
    <row r="1130" spans="1:13" ht="15">
      <c r="A1130" s="2266" t="s">
        <v>4188</v>
      </c>
      <c r="B1130" s="1694" t="str">
        <f>CONCATENATE(LEFT(RIGHT(CONCATENATE("000",IFAData_TEA!A1130),6),3),"-",(RIGHT(RIGHT(CONCATENATE("000",IFAData_TEA!A1130),6),3)))</f>
        <v>108-909</v>
      </c>
      <c r="C1130" s="2266" t="s">
        <v>1126</v>
      </c>
      <c r="D1130" s="2266">
        <v>1</v>
      </c>
      <c r="E1130" s="2266">
        <v>2192</v>
      </c>
      <c r="F1130" s="2266" t="s">
        <v>5624</v>
      </c>
      <c r="G1130" s="2266" t="s">
        <v>5626</v>
      </c>
      <c r="H1130" s="2436">
        <v>3945431</v>
      </c>
      <c r="I1130" s="2436">
        <v>0</v>
      </c>
      <c r="J1130" s="2446">
        <v>0</v>
      </c>
      <c r="K1130" s="2436">
        <v>0</v>
      </c>
      <c r="L1130" s="2436">
        <v>0</v>
      </c>
      <c r="M1130" s="2266">
        <v>599</v>
      </c>
    </row>
    <row r="1131" spans="1:13" ht="15">
      <c r="A1131" s="2266" t="s">
        <v>4188</v>
      </c>
      <c r="B1131" s="1694" t="str">
        <f>CONCATENATE(LEFT(RIGHT(CONCATENATE("000",IFAData_TEA!A1131),6),3),"-",(RIGHT(RIGHT(CONCATENATE("000",IFAData_TEA!A1131),6),3)))</f>
        <v>108-909</v>
      </c>
      <c r="C1131" s="2266" t="s">
        <v>1126</v>
      </c>
      <c r="D1131" s="2266">
        <v>8</v>
      </c>
      <c r="E1131" s="2266">
        <v>2194</v>
      </c>
      <c r="F1131" s="2266" t="s">
        <v>5625</v>
      </c>
      <c r="G1131" s="2266" t="s">
        <v>5626</v>
      </c>
      <c r="H1131" s="2436">
        <v>4319089</v>
      </c>
      <c r="I1131" s="2436">
        <v>526714</v>
      </c>
      <c r="J1131" s="2446">
        <v>0.11183141527843626</v>
      </c>
      <c r="K1131" s="2436">
        <v>483009.835583526</v>
      </c>
      <c r="L1131" s="2436">
        <v>483009.835583526</v>
      </c>
      <c r="M1131" s="2266">
        <v>599</v>
      </c>
    </row>
    <row r="1132" spans="1:13" ht="15">
      <c r="A1132" s="2266" t="s">
        <v>4188</v>
      </c>
      <c r="B1132" s="1694" t="str">
        <f>CONCATENATE(LEFT(RIGHT(CONCATENATE("000",IFAData_TEA!A1132),6),3),"-",(RIGHT(RIGHT(CONCATENATE("000",IFAData_TEA!A1132),6),3)))</f>
        <v>108-909</v>
      </c>
      <c r="C1132" s="2266" t="s">
        <v>1126</v>
      </c>
      <c r="D1132" s="2266">
        <v>8</v>
      </c>
      <c r="E1132" s="2266">
        <v>2191</v>
      </c>
      <c r="F1132" s="2266" t="s">
        <v>5628</v>
      </c>
      <c r="G1132" s="2266" t="s">
        <v>5626</v>
      </c>
      <c r="H1132" s="2436">
        <v>1734000</v>
      </c>
      <c r="I1132" s="2436">
        <v>318306</v>
      </c>
      <c r="J1132" s="2446">
        <v>0.13854209284713215</v>
      </c>
      <c r="K1132" s="2436">
        <v>240231.98899692713</v>
      </c>
      <c r="L1132" s="2436">
        <v>240231.98899692713</v>
      </c>
      <c r="M1132" s="2266">
        <v>599</v>
      </c>
    </row>
    <row r="1133" spans="1:13" ht="15">
      <c r="A1133" s="2266" t="s">
        <v>4188</v>
      </c>
      <c r="B1133" s="1694" t="str">
        <f>CONCATENATE(LEFT(RIGHT(CONCATENATE("000",IFAData_TEA!A1133),6),3),"-",(RIGHT(RIGHT(CONCATENATE("000",IFAData_TEA!A1133),6),3)))</f>
        <v>108-909</v>
      </c>
      <c r="C1133" s="2266" t="s">
        <v>1126</v>
      </c>
      <c r="D1133" s="2266">
        <v>8</v>
      </c>
      <c r="E1133" s="2266">
        <v>2191</v>
      </c>
      <c r="F1133" s="2266" t="s">
        <v>5628</v>
      </c>
      <c r="G1133" s="2266" t="s">
        <v>5625</v>
      </c>
      <c r="H1133" s="2436">
        <v>1734000</v>
      </c>
      <c r="I1133" s="2436">
        <v>1645670</v>
      </c>
      <c r="J1133" s="2446">
        <v>0.71627479826248941</v>
      </c>
      <c r="K1133" s="2436">
        <v>1242020.5001871567</v>
      </c>
      <c r="L1133" s="2436">
        <v>1242020.5001871567</v>
      </c>
      <c r="M1133" s="2266">
        <v>599</v>
      </c>
    </row>
    <row r="1134" spans="1:13" ht="15">
      <c r="A1134" s="2266" t="s">
        <v>4188</v>
      </c>
      <c r="B1134" s="1694" t="str">
        <f>CONCATENATE(LEFT(RIGHT(CONCATENATE("000",IFAData_TEA!A1134),6),3),"-",(RIGHT(RIGHT(CONCATENATE("000",IFAData_TEA!A1134),6),3)))</f>
        <v>108-909</v>
      </c>
      <c r="C1134" s="2266" t="s">
        <v>1126</v>
      </c>
      <c r="D1134" s="2266">
        <v>8</v>
      </c>
      <c r="E1134" s="2266">
        <v>2191</v>
      </c>
      <c r="F1134" s="2266" t="s">
        <v>5628</v>
      </c>
      <c r="G1134" s="2266" t="s">
        <v>5628</v>
      </c>
      <c r="H1134" s="2436">
        <v>1734000</v>
      </c>
      <c r="I1134" s="2436">
        <v>0</v>
      </c>
      <c r="J1134" s="2446">
        <v>0</v>
      </c>
      <c r="K1134" s="2436">
        <v>0</v>
      </c>
      <c r="L1134" s="2436">
        <v>0</v>
      </c>
      <c r="M1134" s="2266">
        <v>599</v>
      </c>
    </row>
    <row r="1135" spans="1:13" ht="15">
      <c r="A1135" s="2266" t="s">
        <v>4188</v>
      </c>
      <c r="B1135" s="1694" t="str">
        <f>CONCATENATE(LEFT(RIGHT(CONCATENATE("000",IFAData_TEA!A1135),6),3),"-",(RIGHT(RIGHT(CONCATENATE("000",IFAData_TEA!A1135),6),3)))</f>
        <v>108-909</v>
      </c>
      <c r="C1135" s="2266" t="s">
        <v>1126</v>
      </c>
      <c r="D1135" s="2266">
        <v>10</v>
      </c>
      <c r="E1135" s="2266">
        <v>2195</v>
      </c>
      <c r="F1135" s="2266" t="s">
        <v>5630</v>
      </c>
      <c r="G1135" s="2266" t="s">
        <v>5630</v>
      </c>
      <c r="H1135" s="2436">
        <v>5985990</v>
      </c>
      <c r="I1135" s="2436">
        <v>6157600</v>
      </c>
      <c r="J1135" s="2446">
        <v>1</v>
      </c>
      <c r="K1135" s="2436">
        <v>5985990</v>
      </c>
      <c r="L1135" s="2436">
        <v>5985990</v>
      </c>
      <c r="M1135" s="2266">
        <v>599</v>
      </c>
    </row>
    <row r="1136" spans="1:13" ht="15">
      <c r="A1136" s="2266" t="s">
        <v>4188</v>
      </c>
      <c r="B1136" s="1694" t="str">
        <f>CONCATENATE(LEFT(RIGHT(CONCATENATE("000",IFAData_TEA!A1136),6),3),"-",(RIGHT(RIGHT(CONCATENATE("000",IFAData_TEA!A1136),6),3)))</f>
        <v>108-909</v>
      </c>
      <c r="C1136" s="2266" t="s">
        <v>1126</v>
      </c>
      <c r="D1136" s="2266">
        <v>1</v>
      </c>
      <c r="E1136" s="2266">
        <v>2192</v>
      </c>
      <c r="F1136" s="2266" t="s">
        <v>5624</v>
      </c>
      <c r="G1136" s="2266" t="s">
        <v>5624</v>
      </c>
      <c r="H1136" s="2436">
        <v>3945431</v>
      </c>
      <c r="I1136" s="2436">
        <v>0</v>
      </c>
      <c r="J1136" s="2446">
        <v>0</v>
      </c>
      <c r="K1136" s="2436">
        <v>0</v>
      </c>
      <c r="L1136" s="2436">
        <v>0</v>
      </c>
      <c r="M1136" s="2266">
        <v>599</v>
      </c>
    </row>
    <row r="1137" spans="1:13" ht="15">
      <c r="A1137" s="2266" t="s">
        <v>4188</v>
      </c>
      <c r="B1137" s="1694" t="str">
        <f>CONCATENATE(LEFT(RIGHT(CONCATENATE("000",IFAData_TEA!A1137),6),3),"-",(RIGHT(RIGHT(CONCATENATE("000",IFAData_TEA!A1137),6),3)))</f>
        <v>108-909</v>
      </c>
      <c r="C1137" s="2266" t="s">
        <v>1126</v>
      </c>
      <c r="D1137" s="2266">
        <v>4</v>
      </c>
      <c r="E1137" s="2266">
        <v>2193</v>
      </c>
      <c r="F1137" s="2266" t="s">
        <v>5627</v>
      </c>
      <c r="G1137" s="2266" t="s">
        <v>5627</v>
      </c>
      <c r="H1137" s="2436">
        <v>4254043</v>
      </c>
      <c r="I1137" s="2436">
        <v>0</v>
      </c>
      <c r="J1137" s="2446">
        <v>0</v>
      </c>
      <c r="K1137" s="2436">
        <v>0</v>
      </c>
      <c r="L1137" s="2436">
        <v>0</v>
      </c>
      <c r="M1137" s="2266">
        <v>599</v>
      </c>
    </row>
    <row r="1138" spans="1:13" ht="15">
      <c r="A1138" s="2266" t="s">
        <v>4188</v>
      </c>
      <c r="B1138" s="1694" t="str">
        <f>CONCATENATE(LEFT(RIGHT(CONCATENATE("000",IFAData_TEA!A1138),6),3),"-",(RIGHT(RIGHT(CONCATENATE("000",IFAData_TEA!A1138),6),3)))</f>
        <v>108-909</v>
      </c>
      <c r="C1138" s="2266" t="s">
        <v>1126</v>
      </c>
      <c r="D1138" s="2266">
        <v>8</v>
      </c>
      <c r="E1138" s="2266">
        <v>2194</v>
      </c>
      <c r="F1138" s="2266" t="s">
        <v>5625</v>
      </c>
      <c r="G1138" s="2266" t="s">
        <v>5625</v>
      </c>
      <c r="H1138" s="2436">
        <v>4319089</v>
      </c>
      <c r="I1138" s="2436">
        <v>4111171</v>
      </c>
      <c r="J1138" s="2446">
        <v>0.87287991468171355</v>
      </c>
      <c r="K1138" s="2436">
        <v>3770046.0378227276</v>
      </c>
      <c r="L1138" s="2436">
        <v>3770046.0378227276</v>
      </c>
      <c r="M1138" s="2266">
        <v>599</v>
      </c>
    </row>
    <row r="1139" spans="1:13" ht="15">
      <c r="A1139" s="2266" t="s">
        <v>4188</v>
      </c>
      <c r="B1139" s="1694" t="str">
        <f>CONCATENATE(LEFT(RIGHT(CONCATENATE("000",IFAData_TEA!A1139),6),3),"-",(RIGHT(RIGHT(CONCATENATE("000",IFAData_TEA!A1139),6),3)))</f>
        <v>108-909</v>
      </c>
      <c r="C1139" s="2266" t="s">
        <v>1126</v>
      </c>
      <c r="D1139" s="2266">
        <v>9</v>
      </c>
      <c r="E1139" s="2266">
        <v>2196</v>
      </c>
      <c r="F1139" s="2266" t="s">
        <v>5629</v>
      </c>
      <c r="G1139" s="2266" t="s">
        <v>5629</v>
      </c>
      <c r="H1139" s="2436">
        <v>6721621</v>
      </c>
      <c r="I1139" s="2436">
        <v>5378438</v>
      </c>
      <c r="J1139" s="2446">
        <v>0.80242689752240659</v>
      </c>
      <c r="K1139" s="2436">
        <v>5393609.4853514563</v>
      </c>
      <c r="L1139" s="2436">
        <v>5378438</v>
      </c>
      <c r="M1139" s="2266">
        <v>599</v>
      </c>
    </row>
    <row r="1140" spans="1:13" ht="15">
      <c r="A1140" s="2266" t="s">
        <v>4188</v>
      </c>
      <c r="B1140" s="1694" t="str">
        <f>CONCATENATE(LEFT(RIGHT(CONCATENATE("000",IFAData_TEA!A1140),6),3),"-",(RIGHT(RIGHT(CONCATENATE("000",IFAData_TEA!A1140),6),3)))</f>
        <v>108-909</v>
      </c>
      <c r="C1140" s="2266" t="s">
        <v>1126</v>
      </c>
      <c r="D1140" s="2266">
        <v>1</v>
      </c>
      <c r="E1140" s="2266">
        <v>2192</v>
      </c>
      <c r="F1140" s="2266" t="s">
        <v>5624</v>
      </c>
      <c r="G1140" s="2266" t="s">
        <v>6992</v>
      </c>
      <c r="H1140" s="2436">
        <v>3945431</v>
      </c>
      <c r="I1140" s="2436">
        <v>89247</v>
      </c>
      <c r="J1140" s="2446">
        <v>2.3560870796817155E-2</v>
      </c>
      <c r="K1140" s="2436">
        <v>92957.79002875711</v>
      </c>
      <c r="L1140" s="2436">
        <v>89247</v>
      </c>
      <c r="M1140" s="2266">
        <v>599</v>
      </c>
    </row>
    <row r="1141" spans="1:13" ht="15">
      <c r="A1141" s="2266" t="s">
        <v>4188</v>
      </c>
      <c r="B1141" s="1694" t="str">
        <f>CONCATENATE(LEFT(RIGHT(CONCATENATE("000",IFAData_TEA!A1141),6),3),"-",(RIGHT(RIGHT(CONCATENATE("000",IFAData_TEA!A1141),6),3)))</f>
        <v>108-909</v>
      </c>
      <c r="C1141" s="2266" t="s">
        <v>1126</v>
      </c>
      <c r="D1141" s="2266">
        <v>4</v>
      </c>
      <c r="E1141" s="2266">
        <v>2193</v>
      </c>
      <c r="F1141" s="2266" t="s">
        <v>5627</v>
      </c>
      <c r="G1141" s="2266" t="s">
        <v>5626</v>
      </c>
      <c r="H1141" s="2436">
        <v>4254043</v>
      </c>
      <c r="I1141" s="2436">
        <v>793658</v>
      </c>
      <c r="J1141" s="2446">
        <v>0.19443485597658525</v>
      </c>
      <c r="K1141" s="2436">
        <v>827134.23802320065</v>
      </c>
      <c r="L1141" s="2436">
        <v>793658</v>
      </c>
      <c r="M1141" s="2266">
        <v>599</v>
      </c>
    </row>
    <row r="1142" spans="1:13" ht="15">
      <c r="A1142" s="2266" t="s">
        <v>4189</v>
      </c>
      <c r="B1142" s="1694" t="str">
        <f>CONCATENATE(LEFT(RIGHT(CONCATENATE("000",IFAData_TEA!A1142),6),3),"-",(RIGHT(RIGHT(CONCATENATE("000",IFAData_TEA!A1142),6),3)))</f>
        <v>108-910</v>
      </c>
      <c r="C1142" s="2266" t="s">
        <v>88</v>
      </c>
      <c r="D1142" s="2266">
        <v>8</v>
      </c>
      <c r="E1142" s="2266">
        <v>2221</v>
      </c>
      <c r="F1142" s="2266" t="s">
        <v>5638</v>
      </c>
      <c r="G1142" s="2266" t="s">
        <v>5638</v>
      </c>
      <c r="H1142" s="2436">
        <v>486219</v>
      </c>
      <c r="I1142" s="2436">
        <v>482991</v>
      </c>
      <c r="J1142" s="2446">
        <v>1</v>
      </c>
      <c r="K1142" s="2436">
        <v>486219</v>
      </c>
      <c r="L1142" s="2436">
        <v>482991</v>
      </c>
      <c r="M1142" s="2266">
        <v>599</v>
      </c>
    </row>
    <row r="1143" spans="1:13" ht="15">
      <c r="A1143" s="2266" t="s">
        <v>4189</v>
      </c>
      <c r="B1143" s="1694" t="str">
        <f>CONCATENATE(LEFT(RIGHT(CONCATENATE("000",IFAData_TEA!A1143),6),3),"-",(RIGHT(RIGHT(CONCATENATE("000",IFAData_TEA!A1143),6),3)))</f>
        <v>108-910</v>
      </c>
      <c r="C1143" s="2266" t="s">
        <v>88</v>
      </c>
      <c r="D1143" s="2266">
        <v>7</v>
      </c>
      <c r="E1143" s="2266">
        <v>2217</v>
      </c>
      <c r="F1143" s="2266" t="s">
        <v>5636</v>
      </c>
      <c r="G1143" s="2266" t="s">
        <v>5637</v>
      </c>
      <c r="H1143" s="2436">
        <v>267450</v>
      </c>
      <c r="I1143" s="2436">
        <v>237075</v>
      </c>
      <c r="J1143" s="2446">
        <v>1</v>
      </c>
      <c r="K1143" s="2436">
        <v>267450</v>
      </c>
      <c r="L1143" s="2436">
        <v>237075</v>
      </c>
      <c r="M1143" s="2266">
        <v>599</v>
      </c>
    </row>
    <row r="1144" spans="1:13" ht="15">
      <c r="A1144" s="2266" t="s">
        <v>4189</v>
      </c>
      <c r="B1144" s="1694" t="str">
        <f>CONCATENATE(LEFT(RIGHT(CONCATENATE("000",IFAData_TEA!A1144),6),3),"-",(RIGHT(RIGHT(CONCATENATE("000",IFAData_TEA!A1144),6),3)))</f>
        <v>108-910</v>
      </c>
      <c r="C1144" s="2266" t="s">
        <v>88</v>
      </c>
      <c r="D1144" s="2266">
        <v>1</v>
      </c>
      <c r="E1144" s="2266">
        <v>2218</v>
      </c>
      <c r="F1144" s="2266" t="s">
        <v>5631</v>
      </c>
      <c r="G1144" s="2266" t="s">
        <v>5631</v>
      </c>
      <c r="H1144" s="2436">
        <v>426618</v>
      </c>
      <c r="I1144" s="2436">
        <v>0</v>
      </c>
      <c r="J1144" s="2446">
        <v>0</v>
      </c>
      <c r="K1144" s="2436">
        <v>0</v>
      </c>
      <c r="L1144" s="2436">
        <v>0</v>
      </c>
      <c r="M1144" s="2266">
        <v>599</v>
      </c>
    </row>
    <row r="1145" spans="1:13" ht="15">
      <c r="A1145" s="2266" t="s">
        <v>4189</v>
      </c>
      <c r="B1145" s="1694" t="str">
        <f>CONCATENATE(LEFT(RIGHT(CONCATENATE("000",IFAData_TEA!A1145),6),3),"-",(RIGHT(RIGHT(CONCATENATE("000",IFAData_TEA!A1145),6),3)))</f>
        <v>108-910</v>
      </c>
      <c r="C1145" s="2266" t="s">
        <v>88</v>
      </c>
      <c r="D1145" s="2266">
        <v>6</v>
      </c>
      <c r="E1145" s="2266">
        <v>2220</v>
      </c>
      <c r="F1145" s="2266" t="s">
        <v>5633</v>
      </c>
      <c r="G1145" s="2266" t="s">
        <v>5635</v>
      </c>
      <c r="H1145" s="2436">
        <v>448118</v>
      </c>
      <c r="I1145" s="2436">
        <v>0</v>
      </c>
      <c r="J1145" s="2446">
        <v>0</v>
      </c>
      <c r="K1145" s="2436">
        <v>0</v>
      </c>
      <c r="L1145" s="2436">
        <v>0</v>
      </c>
      <c r="M1145" s="2266">
        <v>599</v>
      </c>
    </row>
    <row r="1146" spans="1:13" ht="15">
      <c r="A1146" s="2266" t="s">
        <v>4189</v>
      </c>
      <c r="B1146" s="1694" t="str">
        <f>CONCATENATE(LEFT(RIGHT(CONCATENATE("000",IFAData_TEA!A1146),6),3),"-",(RIGHT(RIGHT(CONCATENATE("000",IFAData_TEA!A1146),6),3)))</f>
        <v>108-910</v>
      </c>
      <c r="C1146" s="2266" t="s">
        <v>88</v>
      </c>
      <c r="D1146" s="2266">
        <v>6</v>
      </c>
      <c r="E1146" s="2266">
        <v>2220</v>
      </c>
      <c r="F1146" s="2266" t="s">
        <v>5633</v>
      </c>
      <c r="G1146" s="2266" t="s">
        <v>5634</v>
      </c>
      <c r="H1146" s="2436">
        <v>448118</v>
      </c>
      <c r="I1146" s="2436">
        <v>427263</v>
      </c>
      <c r="J1146" s="2446">
        <v>1</v>
      </c>
      <c r="K1146" s="2436">
        <v>448118</v>
      </c>
      <c r="L1146" s="2436">
        <v>427263</v>
      </c>
      <c r="M1146" s="2266">
        <v>599</v>
      </c>
    </row>
    <row r="1147" spans="1:13" ht="15">
      <c r="A1147" s="2266" t="s">
        <v>4189</v>
      </c>
      <c r="B1147" s="1694" t="str">
        <f>CONCATENATE(LEFT(RIGHT(CONCATENATE("000",IFAData_TEA!A1147),6),3),"-",(RIGHT(RIGHT(CONCATENATE("000",IFAData_TEA!A1147),6),3)))</f>
        <v>108-910</v>
      </c>
      <c r="C1147" s="2266" t="s">
        <v>88</v>
      </c>
      <c r="D1147" s="2266">
        <v>10</v>
      </c>
      <c r="E1147" s="2266">
        <v>2219</v>
      </c>
      <c r="F1147" s="2266" t="s">
        <v>5639</v>
      </c>
      <c r="G1147" s="2266" t="s">
        <v>5639</v>
      </c>
      <c r="H1147" s="2436">
        <v>428983</v>
      </c>
      <c r="I1147" s="2436">
        <v>478881</v>
      </c>
      <c r="J1147" s="2446">
        <v>1</v>
      </c>
      <c r="K1147" s="2436">
        <v>428983</v>
      </c>
      <c r="L1147" s="2436">
        <v>428983</v>
      </c>
      <c r="M1147" s="2266">
        <v>599</v>
      </c>
    </row>
    <row r="1148" spans="1:13" ht="15">
      <c r="A1148" s="2266" t="s">
        <v>4189</v>
      </c>
      <c r="B1148" s="1694" t="str">
        <f>CONCATENATE(LEFT(RIGHT(CONCATENATE("000",IFAData_TEA!A1148),6),3),"-",(RIGHT(RIGHT(CONCATENATE("000",IFAData_TEA!A1148),6),3)))</f>
        <v>108-910</v>
      </c>
      <c r="C1148" s="2266" t="s">
        <v>88</v>
      </c>
      <c r="D1148" s="2266">
        <v>1</v>
      </c>
      <c r="E1148" s="2266">
        <v>2218</v>
      </c>
      <c r="F1148" s="2266" t="s">
        <v>5631</v>
      </c>
      <c r="G1148" s="2266" t="s">
        <v>5632</v>
      </c>
      <c r="H1148" s="2436">
        <v>426618</v>
      </c>
      <c r="I1148" s="2436">
        <v>391900</v>
      </c>
      <c r="J1148" s="2446">
        <v>1</v>
      </c>
      <c r="K1148" s="2436">
        <v>426618</v>
      </c>
      <c r="L1148" s="2436">
        <v>391900</v>
      </c>
      <c r="M1148" s="2266">
        <v>599</v>
      </c>
    </row>
    <row r="1149" spans="1:13" ht="15">
      <c r="A1149" s="2266" t="s">
        <v>4189</v>
      </c>
      <c r="B1149" s="1694" t="str">
        <f>CONCATENATE(LEFT(RIGHT(CONCATENATE("000",IFAData_TEA!A1149),6),3),"-",(RIGHT(RIGHT(CONCATENATE("000",IFAData_TEA!A1149),6),3)))</f>
        <v>108-910</v>
      </c>
      <c r="C1149" s="2266" t="s">
        <v>88</v>
      </c>
      <c r="D1149" s="2266">
        <v>7</v>
      </c>
      <c r="E1149" s="2266">
        <v>2217</v>
      </c>
      <c r="F1149" s="2266" t="s">
        <v>5636</v>
      </c>
      <c r="G1149" s="2266" t="s">
        <v>5636</v>
      </c>
      <c r="H1149" s="2436">
        <v>267450</v>
      </c>
      <c r="I1149" s="2436">
        <v>0</v>
      </c>
      <c r="J1149" s="2446">
        <v>0</v>
      </c>
      <c r="K1149" s="2436">
        <v>0</v>
      </c>
      <c r="L1149" s="2436">
        <v>0</v>
      </c>
      <c r="M1149" s="2266">
        <v>599</v>
      </c>
    </row>
    <row r="1150" spans="1:13" ht="15">
      <c r="A1150" s="2266" t="s">
        <v>4189</v>
      </c>
      <c r="B1150" s="1694" t="str">
        <f>CONCATENATE(LEFT(RIGHT(CONCATENATE("000",IFAData_TEA!A1150),6),3),"-",(RIGHT(RIGHT(CONCATENATE("000",IFAData_TEA!A1150),6),3)))</f>
        <v>108-910</v>
      </c>
      <c r="C1150" s="2266" t="s">
        <v>88</v>
      </c>
      <c r="D1150" s="2266">
        <v>6</v>
      </c>
      <c r="E1150" s="2266">
        <v>2220</v>
      </c>
      <c r="F1150" s="2266" t="s">
        <v>5633</v>
      </c>
      <c r="G1150" s="2266" t="s">
        <v>5633</v>
      </c>
      <c r="H1150" s="2436">
        <v>448118</v>
      </c>
      <c r="I1150" s="2436">
        <v>0</v>
      </c>
      <c r="J1150" s="2446">
        <v>0</v>
      </c>
      <c r="K1150" s="2436">
        <v>0</v>
      </c>
      <c r="L1150" s="2436">
        <v>0</v>
      </c>
      <c r="M1150" s="2266">
        <v>599</v>
      </c>
    </row>
    <row r="1151" spans="1:13" ht="15">
      <c r="A1151" s="2266" t="s">
        <v>4190</v>
      </c>
      <c r="B1151" s="1694" t="str">
        <f>CONCATENATE(LEFT(RIGHT(CONCATENATE("000",IFAData_TEA!A1151),6),3),"-",(RIGHT(RIGHT(CONCATENATE("000",IFAData_TEA!A1151),6),3)))</f>
        <v>108-911</v>
      </c>
      <c r="C1151" s="2266" t="s">
        <v>2998</v>
      </c>
      <c r="D1151" s="2266">
        <v>10</v>
      </c>
      <c r="E1151" s="2266">
        <v>2327</v>
      </c>
      <c r="F1151" s="2266" t="s">
        <v>5640</v>
      </c>
      <c r="G1151" s="2266" t="s">
        <v>5640</v>
      </c>
      <c r="H1151" s="2436">
        <v>570407</v>
      </c>
      <c r="I1151" s="2436">
        <v>563512</v>
      </c>
      <c r="J1151" s="2446">
        <v>1</v>
      </c>
      <c r="K1151" s="2436">
        <v>570407</v>
      </c>
      <c r="L1151" s="2436">
        <v>563512</v>
      </c>
      <c r="M1151" s="2266">
        <v>599</v>
      </c>
    </row>
    <row r="1152" spans="1:13" ht="15">
      <c r="A1152" s="2266" t="s">
        <v>4191</v>
      </c>
      <c r="B1152" s="1694" t="str">
        <f>CONCATENATE(LEFT(RIGHT(CONCATENATE("000",IFAData_TEA!A1152),6),3),"-",(RIGHT(RIGHT(CONCATENATE("000",IFAData_TEA!A1152),6),3)))</f>
        <v>108-912</v>
      </c>
      <c r="C1152" s="2266" t="s">
        <v>2170</v>
      </c>
      <c r="D1152" s="2266">
        <v>2</v>
      </c>
      <c r="E1152" s="2266">
        <v>1981</v>
      </c>
      <c r="F1152" s="2266" t="s">
        <v>5641</v>
      </c>
      <c r="G1152" s="2266" t="s">
        <v>6993</v>
      </c>
      <c r="H1152" s="2436">
        <v>3415997</v>
      </c>
      <c r="I1152" s="2436">
        <v>1504901</v>
      </c>
      <c r="J1152" s="2446">
        <v>0.30914763314970878</v>
      </c>
      <c r="K1152" s="2436">
        <v>1056047.3873965058</v>
      </c>
      <c r="L1152" s="2436">
        <v>1056047.3873965058</v>
      </c>
      <c r="M1152" s="2266">
        <v>599</v>
      </c>
    </row>
    <row r="1153" spans="1:13" ht="15">
      <c r="A1153" s="2266" t="s">
        <v>4191</v>
      </c>
      <c r="B1153" s="1694" t="str">
        <f>CONCATENATE(LEFT(RIGHT(CONCATENATE("000",IFAData_TEA!A1153),6),3),"-",(RIGHT(RIGHT(CONCATENATE("000",IFAData_TEA!A1153),6),3)))</f>
        <v>108-912</v>
      </c>
      <c r="C1153" s="2266" t="s">
        <v>2170</v>
      </c>
      <c r="D1153" s="2266">
        <v>4</v>
      </c>
      <c r="E1153" s="2266">
        <v>1982</v>
      </c>
      <c r="F1153" s="2266" t="s">
        <v>5645</v>
      </c>
      <c r="G1153" s="2266" t="s">
        <v>6993</v>
      </c>
      <c r="H1153" s="2436">
        <v>3469419</v>
      </c>
      <c r="I1153" s="2436">
        <v>245743</v>
      </c>
      <c r="J1153" s="2446">
        <v>6.6779368269562087E-2</v>
      </c>
      <c r="K1153" s="2436">
        <v>231685.60908241582</v>
      </c>
      <c r="L1153" s="2436">
        <v>231685.60908241582</v>
      </c>
      <c r="M1153" s="2266">
        <v>599</v>
      </c>
    </row>
    <row r="1154" spans="1:13" ht="15">
      <c r="A1154" s="2266" t="s">
        <v>4191</v>
      </c>
      <c r="B1154" s="1694" t="str">
        <f>CONCATENATE(LEFT(RIGHT(CONCATENATE("000",IFAData_TEA!A1154),6),3),"-",(RIGHT(RIGHT(CONCATENATE("000",IFAData_TEA!A1154),6),3)))</f>
        <v>108-912</v>
      </c>
      <c r="C1154" s="2266" t="s">
        <v>2170</v>
      </c>
      <c r="D1154" s="2266">
        <v>8</v>
      </c>
      <c r="E1154" s="2266">
        <v>1984</v>
      </c>
      <c r="F1154" s="2266" t="s">
        <v>5649</v>
      </c>
      <c r="G1154" s="2266" t="s">
        <v>6993</v>
      </c>
      <c r="H1154" s="2436">
        <v>5556579</v>
      </c>
      <c r="I1154" s="2436">
        <v>61418</v>
      </c>
      <c r="J1154" s="2446">
        <v>1.159892475108335E-2</v>
      </c>
      <c r="K1154" s="2436">
        <v>64450.34169444997</v>
      </c>
      <c r="L1154" s="2436">
        <v>61418</v>
      </c>
      <c r="M1154" s="2266">
        <v>599</v>
      </c>
    </row>
    <row r="1155" spans="1:13" ht="15">
      <c r="A1155" s="2266" t="s">
        <v>4191</v>
      </c>
      <c r="B1155" s="1694" t="str">
        <f>CONCATENATE(LEFT(RIGHT(CONCATENATE("000",IFAData_TEA!A1155),6),3),"-",(RIGHT(RIGHT(CONCATENATE("000",IFAData_TEA!A1155),6),3)))</f>
        <v>108-912</v>
      </c>
      <c r="C1155" s="2266" t="s">
        <v>2170</v>
      </c>
      <c r="D1155" s="2266">
        <v>9</v>
      </c>
      <c r="E1155" s="2266">
        <v>1985</v>
      </c>
      <c r="F1155" s="2266" t="s">
        <v>5651</v>
      </c>
      <c r="G1155" s="2266" t="s">
        <v>6993</v>
      </c>
      <c r="H1155" s="2436">
        <v>5948498</v>
      </c>
      <c r="I1155" s="2436">
        <v>623604</v>
      </c>
      <c r="J1155" s="2446">
        <v>0.12061737285209709</v>
      </c>
      <c r="K1155" s="2436">
        <v>717492.20117595384</v>
      </c>
      <c r="L1155" s="2436">
        <v>623604</v>
      </c>
      <c r="M1155" s="2266">
        <v>599</v>
      </c>
    </row>
    <row r="1156" spans="1:13" ht="15">
      <c r="A1156" s="2266" t="s">
        <v>4191</v>
      </c>
      <c r="B1156" s="1694" t="str">
        <f>CONCATENATE(LEFT(RIGHT(CONCATENATE("000",IFAData_TEA!A1156),6),3),"-",(RIGHT(RIGHT(CONCATENATE("000",IFAData_TEA!A1156),6),3)))</f>
        <v>108-912</v>
      </c>
      <c r="C1156" s="2266" t="s">
        <v>2170</v>
      </c>
      <c r="D1156" s="2266">
        <v>4</v>
      </c>
      <c r="E1156" s="2266">
        <v>1982</v>
      </c>
      <c r="F1156" s="2266" t="s">
        <v>5645</v>
      </c>
      <c r="G1156" s="2266" t="s">
        <v>5644</v>
      </c>
      <c r="H1156" s="2436">
        <v>3469419</v>
      </c>
      <c r="I1156" s="2436">
        <v>607494</v>
      </c>
      <c r="J1156" s="2446">
        <v>0.16508330063338264</v>
      </c>
      <c r="K1156" s="2436">
        <v>572743.13980016974</v>
      </c>
      <c r="L1156" s="2436">
        <v>572743.13980016974</v>
      </c>
      <c r="M1156" s="2266">
        <v>599</v>
      </c>
    </row>
    <row r="1157" spans="1:13" ht="15">
      <c r="A1157" s="2266" t="s">
        <v>4191</v>
      </c>
      <c r="B1157" s="1694" t="str">
        <f>CONCATENATE(LEFT(RIGHT(CONCATENATE("000",IFAData_TEA!A1157),6),3),"-",(RIGHT(RIGHT(CONCATENATE("000",IFAData_TEA!A1157),6),3)))</f>
        <v>108-912</v>
      </c>
      <c r="C1157" s="2266" t="s">
        <v>2170</v>
      </c>
      <c r="D1157" s="2266">
        <v>8</v>
      </c>
      <c r="E1157" s="2266">
        <v>1984</v>
      </c>
      <c r="F1157" s="2266" t="s">
        <v>5649</v>
      </c>
      <c r="G1157" s="2266" t="s">
        <v>5650</v>
      </c>
      <c r="H1157" s="2436">
        <v>5556579</v>
      </c>
      <c r="I1157" s="2436">
        <v>1772678</v>
      </c>
      <c r="J1157" s="2446">
        <v>0.33477414975904346</v>
      </c>
      <c r="K1157" s="2436">
        <v>1860199.0102939559</v>
      </c>
      <c r="L1157" s="2436">
        <v>1772678</v>
      </c>
      <c r="M1157" s="2266">
        <v>599</v>
      </c>
    </row>
    <row r="1158" spans="1:13" ht="15">
      <c r="A1158" s="2266" t="s">
        <v>4191</v>
      </c>
      <c r="B1158" s="1694" t="str">
        <f>CONCATENATE(LEFT(RIGHT(CONCATENATE("000",IFAData_TEA!A1158),6),3),"-",(RIGHT(RIGHT(CONCATENATE("000",IFAData_TEA!A1158),6),3)))</f>
        <v>108-912</v>
      </c>
      <c r="C1158" s="2266" t="s">
        <v>2170</v>
      </c>
      <c r="D1158" s="2266">
        <v>9</v>
      </c>
      <c r="E1158" s="2266">
        <v>1985</v>
      </c>
      <c r="F1158" s="2266" t="s">
        <v>5651</v>
      </c>
      <c r="G1158" s="2266" t="s">
        <v>5650</v>
      </c>
      <c r="H1158" s="2436">
        <v>5948498</v>
      </c>
      <c r="I1158" s="2436">
        <v>2192722</v>
      </c>
      <c r="J1158" s="2446">
        <v>0.42411589251351184</v>
      </c>
      <c r="K1158" s="2436">
        <v>2522852.5383848404</v>
      </c>
      <c r="L1158" s="2436">
        <v>2192722</v>
      </c>
      <c r="M1158" s="2266">
        <v>599</v>
      </c>
    </row>
    <row r="1159" spans="1:13" ht="15">
      <c r="A1159" s="2266" t="s">
        <v>4191</v>
      </c>
      <c r="B1159" s="1694" t="str">
        <f>CONCATENATE(LEFT(RIGHT(CONCATENATE("000",IFAData_TEA!A1159),6),3),"-",(RIGHT(RIGHT(CONCATENATE("000",IFAData_TEA!A1159),6),3)))</f>
        <v>108-912</v>
      </c>
      <c r="C1159" s="2266" t="s">
        <v>2170</v>
      </c>
      <c r="D1159" s="2266">
        <v>7</v>
      </c>
      <c r="E1159" s="2266">
        <v>1983</v>
      </c>
      <c r="F1159" s="2266" t="s">
        <v>5646</v>
      </c>
      <c r="G1159" s="2266" t="s">
        <v>5648</v>
      </c>
      <c r="H1159" s="2436">
        <v>5218175</v>
      </c>
      <c r="I1159" s="2436">
        <v>1637625</v>
      </c>
      <c r="J1159" s="2446">
        <v>0.43838480046514766</v>
      </c>
      <c r="K1159" s="2436">
        <v>2287568.6061672219</v>
      </c>
      <c r="L1159" s="2436">
        <v>1637625</v>
      </c>
      <c r="M1159" s="2266">
        <v>599</v>
      </c>
    </row>
    <row r="1160" spans="1:13" ht="15">
      <c r="A1160" s="2266" t="s">
        <v>4191</v>
      </c>
      <c r="B1160" s="1694" t="str">
        <f>CONCATENATE(LEFT(RIGHT(CONCATENATE("000",IFAData_TEA!A1160),6),3),"-",(RIGHT(RIGHT(CONCATENATE("000",IFAData_TEA!A1160),6),3)))</f>
        <v>108-912</v>
      </c>
      <c r="C1160" s="2266" t="s">
        <v>2170</v>
      </c>
      <c r="D1160" s="2266">
        <v>8</v>
      </c>
      <c r="E1160" s="2266">
        <v>1984</v>
      </c>
      <c r="F1160" s="2266" t="s">
        <v>5649</v>
      </c>
      <c r="G1160" s="2266" t="s">
        <v>5648</v>
      </c>
      <c r="H1160" s="2436">
        <v>5556579</v>
      </c>
      <c r="I1160" s="2436">
        <v>1349050</v>
      </c>
      <c r="J1160" s="2446">
        <v>0.2547710676910514</v>
      </c>
      <c r="K1160" s="2436">
        <v>1415655.5645396747</v>
      </c>
      <c r="L1160" s="2436">
        <v>1349050</v>
      </c>
      <c r="M1160" s="2266">
        <v>599</v>
      </c>
    </row>
    <row r="1161" spans="1:13" ht="15">
      <c r="A1161" s="2266" t="s">
        <v>4191</v>
      </c>
      <c r="B1161" s="1694" t="str">
        <f>CONCATENATE(LEFT(RIGHT(CONCATENATE("000",IFAData_TEA!A1161),6),3),"-",(RIGHT(RIGHT(CONCATENATE("000",IFAData_TEA!A1161),6),3)))</f>
        <v>108-912</v>
      </c>
      <c r="C1161" s="2266" t="s">
        <v>2170</v>
      </c>
      <c r="D1161" s="2266">
        <v>7</v>
      </c>
      <c r="E1161" s="2266">
        <v>1983</v>
      </c>
      <c r="F1161" s="2266" t="s">
        <v>5646</v>
      </c>
      <c r="G1161" s="2266" t="s">
        <v>5647</v>
      </c>
      <c r="H1161" s="2436">
        <v>5218175</v>
      </c>
      <c r="I1161" s="2436">
        <v>784300</v>
      </c>
      <c r="J1161" s="2446">
        <v>0.20995356018918573</v>
      </c>
      <c r="K1161" s="2436">
        <v>1095574.4189402042</v>
      </c>
      <c r="L1161" s="2436">
        <v>784300</v>
      </c>
      <c r="M1161" s="2266">
        <v>599</v>
      </c>
    </row>
    <row r="1162" spans="1:13" ht="15">
      <c r="A1162" s="2266" t="s">
        <v>4191</v>
      </c>
      <c r="B1162" s="1694" t="str">
        <f>CONCATENATE(LEFT(RIGHT(CONCATENATE("000",IFAData_TEA!A1162),6),3),"-",(RIGHT(RIGHT(CONCATENATE("000",IFAData_TEA!A1162),6),3)))</f>
        <v>108-912</v>
      </c>
      <c r="C1162" s="2266" t="s">
        <v>2170</v>
      </c>
      <c r="D1162" s="2266">
        <v>4</v>
      </c>
      <c r="E1162" s="2266">
        <v>1982</v>
      </c>
      <c r="F1162" s="2266" t="s">
        <v>5645</v>
      </c>
      <c r="G1162" s="2266" t="s">
        <v>5642</v>
      </c>
      <c r="H1162" s="2436">
        <v>3469419</v>
      </c>
      <c r="I1162" s="2436">
        <v>2826687</v>
      </c>
      <c r="J1162" s="2446">
        <v>0.76813733109705529</v>
      </c>
      <c r="K1162" s="2436">
        <v>2664990.2511174143</v>
      </c>
      <c r="L1162" s="2436">
        <v>2664990.2511174143</v>
      </c>
      <c r="M1162" s="2266">
        <v>599</v>
      </c>
    </row>
    <row r="1163" spans="1:13" ht="15">
      <c r="A1163" s="2266" t="s">
        <v>4191</v>
      </c>
      <c r="B1163" s="1694" t="str">
        <f>CONCATENATE(LEFT(RIGHT(CONCATENATE("000",IFAData_TEA!A1163),6),3),"-",(RIGHT(RIGHT(CONCATENATE("000",IFAData_TEA!A1163),6),3)))</f>
        <v>108-912</v>
      </c>
      <c r="C1163" s="2266" t="s">
        <v>2170</v>
      </c>
      <c r="D1163" s="2266">
        <v>2</v>
      </c>
      <c r="E1163" s="2266">
        <v>1981</v>
      </c>
      <c r="F1163" s="2266" t="s">
        <v>5641</v>
      </c>
      <c r="G1163" s="2266" t="s">
        <v>5643</v>
      </c>
      <c r="H1163" s="2436">
        <v>3415997</v>
      </c>
      <c r="I1163" s="2436">
        <v>1703962</v>
      </c>
      <c r="J1163" s="2446">
        <v>0.35004018156479666</v>
      </c>
      <c r="K1163" s="2436">
        <v>1195736.2101048008</v>
      </c>
      <c r="L1163" s="2436">
        <v>1195736.2101048008</v>
      </c>
      <c r="M1163" s="2266">
        <v>599</v>
      </c>
    </row>
    <row r="1164" spans="1:13" ht="15">
      <c r="A1164" s="2266" t="s">
        <v>4191</v>
      </c>
      <c r="B1164" s="1694" t="str">
        <f>CONCATENATE(LEFT(RIGHT(CONCATENATE("000",IFAData_TEA!A1164),6),3),"-",(RIGHT(RIGHT(CONCATENATE("000",IFAData_TEA!A1164),6),3)))</f>
        <v>108-912</v>
      </c>
      <c r="C1164" s="2266" t="s">
        <v>2170</v>
      </c>
      <c r="D1164" s="2266">
        <v>7</v>
      </c>
      <c r="E1164" s="2266">
        <v>1983</v>
      </c>
      <c r="F1164" s="2266" t="s">
        <v>5646</v>
      </c>
      <c r="G1164" s="2266" t="s">
        <v>5643</v>
      </c>
      <c r="H1164" s="2436">
        <v>5218175</v>
      </c>
      <c r="I1164" s="2436">
        <v>1313663</v>
      </c>
      <c r="J1164" s="2446">
        <v>0.35166163934566658</v>
      </c>
      <c r="K1164" s="2436">
        <v>1835031.9748925737</v>
      </c>
      <c r="L1164" s="2436">
        <v>1313663</v>
      </c>
      <c r="M1164" s="2266">
        <v>599</v>
      </c>
    </row>
    <row r="1165" spans="1:13" ht="15">
      <c r="A1165" s="2266" t="s">
        <v>4191</v>
      </c>
      <c r="B1165" s="1694" t="str">
        <f>CONCATENATE(LEFT(RIGHT(CONCATENATE("000",IFAData_TEA!A1165),6),3),"-",(RIGHT(RIGHT(CONCATENATE("000",IFAData_TEA!A1165),6),3)))</f>
        <v>108-912</v>
      </c>
      <c r="C1165" s="2266" t="s">
        <v>2170</v>
      </c>
      <c r="D1165" s="2266">
        <v>2</v>
      </c>
      <c r="E1165" s="2266">
        <v>1981</v>
      </c>
      <c r="F1165" s="2266" t="s">
        <v>5641</v>
      </c>
      <c r="G1165" s="2266" t="s">
        <v>5642</v>
      </c>
      <c r="H1165" s="2436">
        <v>3415997</v>
      </c>
      <c r="I1165" s="2436">
        <v>1365563</v>
      </c>
      <c r="J1165" s="2446">
        <v>0.28052381476709481</v>
      </c>
      <c r="K1165" s="2436">
        <v>958268.50967295154</v>
      </c>
      <c r="L1165" s="2436">
        <v>958268.50967295154</v>
      </c>
      <c r="M1165" s="2266">
        <v>599</v>
      </c>
    </row>
    <row r="1166" spans="1:13" ht="15">
      <c r="A1166" s="2266" t="s">
        <v>4191</v>
      </c>
      <c r="B1166" s="1694" t="str">
        <f>CONCATENATE(LEFT(RIGHT(CONCATENATE("000",IFAData_TEA!A1166),6),3),"-",(RIGHT(RIGHT(CONCATENATE("000",IFAData_TEA!A1166),6),3)))</f>
        <v>108-912</v>
      </c>
      <c r="C1166" s="2266" t="s">
        <v>2170</v>
      </c>
      <c r="D1166" s="2266">
        <v>4</v>
      </c>
      <c r="E1166" s="2266">
        <v>1982</v>
      </c>
      <c r="F1166" s="2266" t="s">
        <v>5645</v>
      </c>
      <c r="G1166" s="2266" t="s">
        <v>5645</v>
      </c>
      <c r="H1166" s="2436">
        <v>3469419</v>
      </c>
      <c r="I1166" s="2436">
        <v>0</v>
      </c>
      <c r="J1166" s="2446">
        <v>0</v>
      </c>
      <c r="K1166" s="2436">
        <v>0</v>
      </c>
      <c r="L1166" s="2436">
        <v>0</v>
      </c>
      <c r="M1166" s="2266">
        <v>599</v>
      </c>
    </row>
    <row r="1167" spans="1:13" ht="15">
      <c r="A1167" s="2266" t="s">
        <v>4191</v>
      </c>
      <c r="B1167" s="1694" t="str">
        <f>CONCATENATE(LEFT(RIGHT(CONCATENATE("000",IFAData_TEA!A1167),6),3),"-",(RIGHT(RIGHT(CONCATENATE("000",IFAData_TEA!A1167),6),3)))</f>
        <v>108-912</v>
      </c>
      <c r="C1167" s="2266" t="s">
        <v>2170</v>
      </c>
      <c r="D1167" s="2266">
        <v>7</v>
      </c>
      <c r="E1167" s="2266">
        <v>1983</v>
      </c>
      <c r="F1167" s="2266" t="s">
        <v>5646</v>
      </c>
      <c r="G1167" s="2266" t="s">
        <v>5646</v>
      </c>
      <c r="H1167" s="2436">
        <v>5218175</v>
      </c>
      <c r="I1167" s="2436">
        <v>0</v>
      </c>
      <c r="J1167" s="2446">
        <v>0</v>
      </c>
      <c r="K1167" s="2436">
        <v>0</v>
      </c>
      <c r="L1167" s="2436">
        <v>0</v>
      </c>
      <c r="M1167" s="2266">
        <v>599</v>
      </c>
    </row>
    <row r="1168" spans="1:13" ht="15">
      <c r="A1168" s="2266" t="s">
        <v>4191</v>
      </c>
      <c r="B1168" s="1694" t="str">
        <f>CONCATENATE(LEFT(RIGHT(CONCATENATE("000",IFAData_TEA!A1168),6),3),"-",(RIGHT(RIGHT(CONCATENATE("000",IFAData_TEA!A1168),6),3)))</f>
        <v>108-912</v>
      </c>
      <c r="C1168" s="2266" t="s">
        <v>2170</v>
      </c>
      <c r="D1168" s="2266">
        <v>8</v>
      </c>
      <c r="E1168" s="2266">
        <v>1984</v>
      </c>
      <c r="F1168" s="2266" t="s">
        <v>5649</v>
      </c>
      <c r="G1168" s="2266" t="s">
        <v>5649</v>
      </c>
      <c r="H1168" s="2436">
        <v>5556579</v>
      </c>
      <c r="I1168" s="2436">
        <v>2112000</v>
      </c>
      <c r="J1168" s="2446">
        <v>0.39885585779882177</v>
      </c>
      <c r="K1168" s="2436">
        <v>2216274.0834719194</v>
      </c>
      <c r="L1168" s="2436">
        <v>2112000</v>
      </c>
      <c r="M1168" s="2266">
        <v>599</v>
      </c>
    </row>
    <row r="1169" spans="1:13" ht="15">
      <c r="A1169" s="2266" t="s">
        <v>4191</v>
      </c>
      <c r="B1169" s="1694" t="str">
        <f>CONCATENATE(LEFT(RIGHT(CONCATENATE("000",IFAData_TEA!A1169),6),3),"-",(RIGHT(RIGHT(CONCATENATE("000",IFAData_TEA!A1169),6),3)))</f>
        <v>108-912</v>
      </c>
      <c r="C1169" s="2266" t="s">
        <v>2170</v>
      </c>
      <c r="D1169" s="2266">
        <v>2</v>
      </c>
      <c r="E1169" s="2266">
        <v>1981</v>
      </c>
      <c r="F1169" s="2266" t="s">
        <v>5641</v>
      </c>
      <c r="G1169" s="2266" t="s">
        <v>5641</v>
      </c>
      <c r="H1169" s="2436">
        <v>3415997</v>
      </c>
      <c r="I1169" s="2436">
        <v>0</v>
      </c>
      <c r="J1169" s="2446">
        <v>0</v>
      </c>
      <c r="K1169" s="2436">
        <v>0</v>
      </c>
      <c r="L1169" s="2436">
        <v>0</v>
      </c>
      <c r="M1169" s="2266">
        <v>599</v>
      </c>
    </row>
    <row r="1170" spans="1:13" ht="15">
      <c r="A1170" s="2266" t="s">
        <v>4191</v>
      </c>
      <c r="B1170" s="1694" t="str">
        <f>CONCATENATE(LEFT(RIGHT(CONCATENATE("000",IFAData_TEA!A1170),6),3),"-",(RIGHT(RIGHT(CONCATENATE("000",IFAData_TEA!A1170),6),3)))</f>
        <v>108-912</v>
      </c>
      <c r="C1170" s="2266" t="s">
        <v>2170</v>
      </c>
      <c r="D1170" s="2266">
        <v>2</v>
      </c>
      <c r="E1170" s="2266">
        <v>1981</v>
      </c>
      <c r="F1170" s="2266" t="s">
        <v>5641</v>
      </c>
      <c r="G1170" s="2266" t="s">
        <v>5644</v>
      </c>
      <c r="H1170" s="2436">
        <v>3415997</v>
      </c>
      <c r="I1170" s="2436">
        <v>293478</v>
      </c>
      <c r="J1170" s="2446">
        <v>6.0288370518399706E-2</v>
      </c>
      <c r="K1170" s="2436">
        <v>205944.89282574184</v>
      </c>
      <c r="L1170" s="2436">
        <v>205944.89282574184</v>
      </c>
      <c r="M1170" s="2266">
        <v>599</v>
      </c>
    </row>
    <row r="1171" spans="1:13" ht="15">
      <c r="A1171" s="2266" t="s">
        <v>4191</v>
      </c>
      <c r="B1171" s="1694" t="str">
        <f>CONCATENATE(LEFT(RIGHT(CONCATENATE("000",IFAData_TEA!A1171),6),3),"-",(RIGHT(RIGHT(CONCATENATE("000",IFAData_TEA!A1171),6),3)))</f>
        <v>108-912</v>
      </c>
      <c r="C1171" s="2266" t="s">
        <v>2170</v>
      </c>
      <c r="D1171" s="2266">
        <v>9</v>
      </c>
      <c r="E1171" s="2266">
        <v>1985</v>
      </c>
      <c r="F1171" s="2266" t="s">
        <v>5651</v>
      </c>
      <c r="G1171" s="2266" t="s">
        <v>5651</v>
      </c>
      <c r="H1171" s="2436">
        <v>5948498</v>
      </c>
      <c r="I1171" s="2436">
        <v>2353775</v>
      </c>
      <c r="J1171" s="2446">
        <v>0.4552667346343911</v>
      </c>
      <c r="K1171" s="2436">
        <v>2708153.2604392064</v>
      </c>
      <c r="L1171" s="2436">
        <v>2353775</v>
      </c>
      <c r="M1171" s="2266">
        <v>599</v>
      </c>
    </row>
    <row r="1172" spans="1:13" ht="15">
      <c r="A1172" s="2266" t="s">
        <v>4192</v>
      </c>
      <c r="B1172" s="1694" t="str">
        <f>CONCATENATE(LEFT(RIGHT(CONCATENATE("000",IFAData_TEA!A1172),6),3),"-",(RIGHT(RIGHT(CONCATENATE("000",IFAData_TEA!A1172),6),3)))</f>
        <v>108-913</v>
      </c>
      <c r="C1172" s="2266" t="s">
        <v>162</v>
      </c>
      <c r="D1172" s="2266">
        <v>8</v>
      </c>
      <c r="E1172" s="2266">
        <v>2441</v>
      </c>
      <c r="F1172" s="2266" t="s">
        <v>5654</v>
      </c>
      <c r="G1172" s="2266" t="s">
        <v>6994</v>
      </c>
      <c r="H1172" s="2436">
        <v>1506042</v>
      </c>
      <c r="I1172" s="2436">
        <v>457038</v>
      </c>
      <c r="J1172" s="2446">
        <v>0.23283031901724227</v>
      </c>
      <c r="K1172" s="2436">
        <v>350652.2393133656</v>
      </c>
      <c r="L1172" s="2436">
        <v>350652.2393133656</v>
      </c>
      <c r="M1172" s="2266">
        <v>599</v>
      </c>
    </row>
    <row r="1173" spans="1:13" ht="15">
      <c r="A1173" s="2266" t="s">
        <v>4192</v>
      </c>
      <c r="B1173" s="1694" t="str">
        <f>CONCATENATE(LEFT(RIGHT(CONCATENATE("000",IFAData_TEA!A1173),6),3),"-",(RIGHT(RIGHT(CONCATENATE("000",IFAData_TEA!A1173),6),3)))</f>
        <v>108-913</v>
      </c>
      <c r="C1173" s="2266" t="s">
        <v>162</v>
      </c>
      <c r="D1173" s="2266">
        <v>4</v>
      </c>
      <c r="E1173" s="2266">
        <v>2440</v>
      </c>
      <c r="F1173" s="2266" t="s">
        <v>5652</v>
      </c>
      <c r="G1173" s="2266" t="s">
        <v>6995</v>
      </c>
      <c r="H1173" s="2436">
        <v>1471397</v>
      </c>
      <c r="I1173" s="2436">
        <v>207886</v>
      </c>
      <c r="J1173" s="2446">
        <v>0.12650628070828815</v>
      </c>
      <c r="K1173" s="2436">
        <v>186140.96191533306</v>
      </c>
      <c r="L1173" s="2436">
        <v>186140.96191533306</v>
      </c>
      <c r="M1173" s="2266">
        <v>599</v>
      </c>
    </row>
    <row r="1174" spans="1:13" ht="15">
      <c r="A1174" s="2266" t="s">
        <v>4192</v>
      </c>
      <c r="B1174" s="1694" t="str">
        <f>CONCATENATE(LEFT(RIGHT(CONCATENATE("000",IFAData_TEA!A1174),6),3),"-",(RIGHT(RIGHT(CONCATENATE("000",IFAData_TEA!A1174),6),3)))</f>
        <v>108-913</v>
      </c>
      <c r="C1174" s="2266" t="s">
        <v>162</v>
      </c>
      <c r="D1174" s="2266">
        <v>8</v>
      </c>
      <c r="E1174" s="2266">
        <v>2441</v>
      </c>
      <c r="F1174" s="2266" t="s">
        <v>5654</v>
      </c>
      <c r="G1174" s="2266" t="s">
        <v>5654</v>
      </c>
      <c r="H1174" s="2436">
        <v>1506042</v>
      </c>
      <c r="I1174" s="2436">
        <v>1505928</v>
      </c>
      <c r="J1174" s="2446">
        <v>0.76716968098275773</v>
      </c>
      <c r="K1174" s="2436">
        <v>1155389.7606866343</v>
      </c>
      <c r="L1174" s="2436">
        <v>1155389.7606866343</v>
      </c>
      <c r="M1174" s="2266">
        <v>599</v>
      </c>
    </row>
    <row r="1175" spans="1:13" ht="15">
      <c r="A1175" s="2266" t="s">
        <v>4192</v>
      </c>
      <c r="B1175" s="1694" t="str">
        <f>CONCATENATE(LEFT(RIGHT(CONCATENATE("000",IFAData_TEA!A1175),6),3),"-",(RIGHT(RIGHT(CONCATENATE("000",IFAData_TEA!A1175),6),3)))</f>
        <v>108-913</v>
      </c>
      <c r="C1175" s="2266" t="s">
        <v>162</v>
      </c>
      <c r="D1175" s="2266">
        <v>4</v>
      </c>
      <c r="E1175" s="2266">
        <v>2440</v>
      </c>
      <c r="F1175" s="2266" t="s">
        <v>5652</v>
      </c>
      <c r="G1175" s="2266" t="s">
        <v>5653</v>
      </c>
      <c r="H1175" s="2436">
        <v>1471397</v>
      </c>
      <c r="I1175" s="2436">
        <v>1435400</v>
      </c>
      <c r="J1175" s="2446">
        <v>0.87349371929171182</v>
      </c>
      <c r="K1175" s="2436">
        <v>1285256.0380846669</v>
      </c>
      <c r="L1175" s="2436">
        <v>1285256.0380846669</v>
      </c>
      <c r="M1175" s="2266">
        <v>599</v>
      </c>
    </row>
    <row r="1176" spans="1:13" ht="15">
      <c r="A1176" s="2266" t="s">
        <v>4192</v>
      </c>
      <c r="B1176" s="1694" t="str">
        <f>CONCATENATE(LEFT(RIGHT(CONCATENATE("000",IFAData_TEA!A1176),6),3),"-",(RIGHT(RIGHT(CONCATENATE("000",IFAData_TEA!A1176),6),3)))</f>
        <v>108-913</v>
      </c>
      <c r="C1176" s="2266" t="s">
        <v>162</v>
      </c>
      <c r="D1176" s="2266">
        <v>4</v>
      </c>
      <c r="E1176" s="2266">
        <v>2440</v>
      </c>
      <c r="F1176" s="2266" t="s">
        <v>5652</v>
      </c>
      <c r="G1176" s="2266" t="s">
        <v>5652</v>
      </c>
      <c r="H1176" s="2436">
        <v>1471397</v>
      </c>
      <c r="I1176" s="2436">
        <v>0</v>
      </c>
      <c r="J1176" s="2446">
        <v>0</v>
      </c>
      <c r="K1176" s="2436">
        <v>0</v>
      </c>
      <c r="L1176" s="2436">
        <v>0</v>
      </c>
      <c r="M1176" s="2266">
        <v>599</v>
      </c>
    </row>
    <row r="1177" spans="1:13" ht="15">
      <c r="A1177" s="2266" t="s">
        <v>4192</v>
      </c>
      <c r="B1177" s="1694" t="str">
        <f>CONCATENATE(LEFT(RIGHT(CONCATENATE("000",IFAData_TEA!A1177),6),3),"-",(RIGHT(RIGHT(CONCATENATE("000",IFAData_TEA!A1177),6),3)))</f>
        <v>108-913</v>
      </c>
      <c r="C1177" s="2266" t="s">
        <v>162</v>
      </c>
      <c r="D1177" s="2266">
        <v>9</v>
      </c>
      <c r="E1177" s="2266">
        <v>2442</v>
      </c>
      <c r="F1177" s="2266" t="s">
        <v>5655</v>
      </c>
      <c r="G1177" s="2266" t="s">
        <v>5655</v>
      </c>
      <c r="H1177" s="2436">
        <v>1586343</v>
      </c>
      <c r="I1177" s="2436">
        <v>1584288</v>
      </c>
      <c r="J1177" s="2446">
        <v>1</v>
      </c>
      <c r="K1177" s="2436">
        <v>1586343</v>
      </c>
      <c r="L1177" s="2436">
        <v>1584288</v>
      </c>
      <c r="M1177" s="2266">
        <v>599</v>
      </c>
    </row>
    <row r="1178" spans="1:13" ht="15">
      <c r="A1178" s="2266" t="s">
        <v>4193</v>
      </c>
      <c r="B1178" s="1694" t="str">
        <f>CONCATENATE(LEFT(RIGHT(CONCATENATE("000",IFAData_TEA!A1178),6),3),"-",(RIGHT(RIGHT(CONCATENATE("000",IFAData_TEA!A1178),6),3)))</f>
        <v>108-914</v>
      </c>
      <c r="C1178" s="2266" t="s">
        <v>2622</v>
      </c>
      <c r="D1178" s="2266">
        <v>1</v>
      </c>
      <c r="E1178" s="2266">
        <v>1993</v>
      </c>
      <c r="F1178" s="2266" t="s">
        <v>5656</v>
      </c>
      <c r="G1178" s="2266" t="s">
        <v>5656</v>
      </c>
      <c r="H1178" s="2436">
        <v>163370</v>
      </c>
      <c r="I1178" s="2436">
        <v>0</v>
      </c>
      <c r="J1178" s="2446">
        <v>0</v>
      </c>
      <c r="K1178" s="2436">
        <v>0</v>
      </c>
      <c r="L1178" s="2436">
        <v>0</v>
      </c>
      <c r="M1178" s="2266">
        <v>599</v>
      </c>
    </row>
    <row r="1179" spans="1:13" ht="15">
      <c r="A1179" s="2266" t="s">
        <v>4193</v>
      </c>
      <c r="B1179" s="1694" t="str">
        <f>CONCATENATE(LEFT(RIGHT(CONCATENATE("000",IFAData_TEA!A1179),6),3),"-",(RIGHT(RIGHT(CONCATENATE("000",IFAData_TEA!A1179),6),3)))</f>
        <v>108-914</v>
      </c>
      <c r="C1179" s="2266" t="s">
        <v>2622</v>
      </c>
      <c r="D1179" s="2266">
        <v>4</v>
      </c>
      <c r="E1179" s="2266">
        <v>1994</v>
      </c>
      <c r="F1179" s="2266" t="s">
        <v>5658</v>
      </c>
      <c r="G1179" s="2266" t="s">
        <v>5658</v>
      </c>
      <c r="H1179" s="2436">
        <v>173535</v>
      </c>
      <c r="I1179" s="2436">
        <v>0</v>
      </c>
      <c r="J1179" s="2446">
        <v>0</v>
      </c>
      <c r="K1179" s="2436">
        <v>0</v>
      </c>
      <c r="L1179" s="2436">
        <v>0</v>
      </c>
      <c r="M1179" s="2266">
        <v>599</v>
      </c>
    </row>
    <row r="1180" spans="1:13" ht="15">
      <c r="A1180" s="2266" t="s">
        <v>4193</v>
      </c>
      <c r="B1180" s="1694" t="str">
        <f>CONCATENATE(LEFT(RIGHT(CONCATENATE("000",IFAData_TEA!A1180),6),3),"-",(RIGHT(RIGHT(CONCATENATE("000",IFAData_TEA!A1180),6),3)))</f>
        <v>108-914</v>
      </c>
      <c r="C1180" s="2266" t="s">
        <v>2622</v>
      </c>
      <c r="D1180" s="2266">
        <v>1</v>
      </c>
      <c r="E1180" s="2266">
        <v>1993</v>
      </c>
      <c r="F1180" s="2266" t="s">
        <v>5656</v>
      </c>
      <c r="G1180" s="2266" t="s">
        <v>5657</v>
      </c>
      <c r="H1180" s="2436">
        <v>163370</v>
      </c>
      <c r="I1180" s="2436">
        <v>154623</v>
      </c>
      <c r="J1180" s="2446">
        <v>1</v>
      </c>
      <c r="K1180" s="2436">
        <v>163370</v>
      </c>
      <c r="L1180" s="2436">
        <v>154623</v>
      </c>
      <c r="M1180" s="2266">
        <v>599</v>
      </c>
    </row>
    <row r="1181" spans="1:13" ht="15">
      <c r="A1181" s="2266" t="s">
        <v>4193</v>
      </c>
      <c r="B1181" s="1694" t="str">
        <f>CONCATENATE(LEFT(RIGHT(CONCATENATE("000",IFAData_TEA!A1181),6),3),"-",(RIGHT(RIGHT(CONCATENATE("000",IFAData_TEA!A1181),6),3)))</f>
        <v>108-914</v>
      </c>
      <c r="C1181" s="2266" t="s">
        <v>2622</v>
      </c>
      <c r="D1181" s="2266">
        <v>4</v>
      </c>
      <c r="E1181" s="2266">
        <v>1994</v>
      </c>
      <c r="F1181" s="2266" t="s">
        <v>5658</v>
      </c>
      <c r="G1181" s="2266" t="s">
        <v>5657</v>
      </c>
      <c r="H1181" s="2436">
        <v>173535</v>
      </c>
      <c r="I1181" s="2436">
        <v>174489</v>
      </c>
      <c r="J1181" s="2446">
        <v>1</v>
      </c>
      <c r="K1181" s="2436">
        <v>173535</v>
      </c>
      <c r="L1181" s="2436">
        <v>173535</v>
      </c>
      <c r="M1181" s="2266">
        <v>599</v>
      </c>
    </row>
    <row r="1182" spans="1:13" ht="15">
      <c r="A1182" s="2266" t="s">
        <v>4194</v>
      </c>
      <c r="B1182" s="1694" t="str">
        <f>CONCATENATE(LEFT(RIGHT(CONCATENATE("000",IFAData_TEA!A1182),6),3),"-",(RIGHT(RIGHT(CONCATENATE("000",IFAData_TEA!A1182),6),3)))</f>
        <v>108-915</v>
      </c>
      <c r="C1182" s="2266" t="s">
        <v>2561</v>
      </c>
      <c r="D1182" s="2266">
        <v>5</v>
      </c>
      <c r="E1182" s="2266">
        <v>2116</v>
      </c>
      <c r="F1182" s="2266" t="s">
        <v>5661</v>
      </c>
      <c r="G1182" s="2266" t="s">
        <v>5661</v>
      </c>
      <c r="H1182" s="2436">
        <v>110000</v>
      </c>
      <c r="I1182" s="2436">
        <v>0</v>
      </c>
      <c r="J1182" s="2446">
        <v>0</v>
      </c>
      <c r="K1182" s="2436">
        <v>0</v>
      </c>
      <c r="L1182" s="2436">
        <v>0</v>
      </c>
      <c r="M1182" s="2266">
        <v>599</v>
      </c>
    </row>
    <row r="1183" spans="1:13" ht="15">
      <c r="A1183" s="2266" t="s">
        <v>4194</v>
      </c>
      <c r="B1183" s="1694" t="str">
        <f>CONCATENATE(LEFT(RIGHT(CONCATENATE("000",IFAData_TEA!A1183),6),3),"-",(RIGHT(RIGHT(CONCATENATE("000",IFAData_TEA!A1183),6),3)))</f>
        <v>108-915</v>
      </c>
      <c r="C1183" s="2266" t="s">
        <v>2561</v>
      </c>
      <c r="D1183" s="2266">
        <v>4</v>
      </c>
      <c r="E1183" s="2266">
        <v>2115</v>
      </c>
      <c r="F1183" s="2266" t="s">
        <v>5659</v>
      </c>
      <c r="G1183" s="2266" t="s">
        <v>5660</v>
      </c>
      <c r="H1183" s="2436">
        <v>99356</v>
      </c>
      <c r="I1183" s="2436">
        <v>81875</v>
      </c>
      <c r="J1183" s="2446">
        <v>1</v>
      </c>
      <c r="K1183" s="2436">
        <v>99356</v>
      </c>
      <c r="L1183" s="2436">
        <v>81875</v>
      </c>
      <c r="M1183" s="2266">
        <v>599</v>
      </c>
    </row>
    <row r="1184" spans="1:13" ht="15">
      <c r="A1184" s="2266" t="s">
        <v>4194</v>
      </c>
      <c r="B1184" s="1694" t="str">
        <f>CONCATENATE(LEFT(RIGHT(CONCATENATE("000",IFAData_TEA!A1184),6),3),"-",(RIGHT(RIGHT(CONCATENATE("000",IFAData_TEA!A1184),6),3)))</f>
        <v>108-915</v>
      </c>
      <c r="C1184" s="2266" t="s">
        <v>2561</v>
      </c>
      <c r="D1184" s="2266">
        <v>5</v>
      </c>
      <c r="E1184" s="2266">
        <v>2116</v>
      </c>
      <c r="F1184" s="2266" t="s">
        <v>5661</v>
      </c>
      <c r="G1184" s="2266" t="s">
        <v>5660</v>
      </c>
      <c r="H1184" s="2436">
        <v>110000</v>
      </c>
      <c r="I1184" s="2436">
        <v>88950</v>
      </c>
      <c r="J1184" s="2446">
        <v>1</v>
      </c>
      <c r="K1184" s="2436">
        <v>110000</v>
      </c>
      <c r="L1184" s="2436">
        <v>88950</v>
      </c>
      <c r="M1184" s="2266">
        <v>599</v>
      </c>
    </row>
    <row r="1185" spans="1:13" ht="15">
      <c r="A1185" s="2266" t="s">
        <v>4194</v>
      </c>
      <c r="B1185" s="1694" t="str">
        <f>CONCATENATE(LEFT(RIGHT(CONCATENATE("000",IFAData_TEA!A1185),6),3),"-",(RIGHT(RIGHT(CONCATENATE("000",IFAData_TEA!A1185),6),3)))</f>
        <v>108-915</v>
      </c>
      <c r="C1185" s="2266" t="s">
        <v>2561</v>
      </c>
      <c r="D1185" s="2266">
        <v>4</v>
      </c>
      <c r="E1185" s="2266">
        <v>2115</v>
      </c>
      <c r="F1185" s="2266" t="s">
        <v>5659</v>
      </c>
      <c r="G1185" s="2266" t="s">
        <v>5659</v>
      </c>
      <c r="H1185" s="2436">
        <v>99356</v>
      </c>
      <c r="I1185" s="2436">
        <v>0</v>
      </c>
      <c r="J1185" s="2446">
        <v>0</v>
      </c>
      <c r="K1185" s="2436">
        <v>0</v>
      </c>
      <c r="L1185" s="2436">
        <v>0</v>
      </c>
      <c r="M1185" s="2266">
        <v>599</v>
      </c>
    </row>
    <row r="1186" spans="1:13" ht="15">
      <c r="A1186" s="2266" t="s">
        <v>4194</v>
      </c>
      <c r="B1186" s="1694" t="str">
        <f>CONCATENATE(LEFT(RIGHT(CONCATENATE("000",IFAData_TEA!A1186),6),3),"-",(RIGHT(RIGHT(CONCATENATE("000",IFAData_TEA!A1186),6),3)))</f>
        <v>108-915</v>
      </c>
      <c r="C1186" s="2266" t="s">
        <v>2561</v>
      </c>
      <c r="D1186" s="2266">
        <v>10</v>
      </c>
      <c r="E1186" s="2266">
        <v>2118</v>
      </c>
      <c r="F1186" s="2266" t="s">
        <v>5663</v>
      </c>
      <c r="G1186" s="2266" t="s">
        <v>5663</v>
      </c>
      <c r="H1186" s="2436">
        <v>184727</v>
      </c>
      <c r="I1186" s="2436">
        <v>633850</v>
      </c>
      <c r="J1186" s="2446">
        <v>1</v>
      </c>
      <c r="K1186" s="2436">
        <v>184727</v>
      </c>
      <c r="L1186" s="2436">
        <v>184727</v>
      </c>
      <c r="M1186" s="2266">
        <v>599</v>
      </c>
    </row>
    <row r="1187" spans="1:13" ht="15">
      <c r="A1187" s="2266" t="s">
        <v>4194</v>
      </c>
      <c r="B1187" s="1694" t="str">
        <f>CONCATENATE(LEFT(RIGHT(CONCATENATE("000",IFAData_TEA!A1187),6),3),"-",(RIGHT(RIGHT(CONCATENATE("000",IFAData_TEA!A1187),6),3)))</f>
        <v>108-915</v>
      </c>
      <c r="C1187" s="2266" t="s">
        <v>2561</v>
      </c>
      <c r="D1187" s="2266">
        <v>9</v>
      </c>
      <c r="E1187" s="2266">
        <v>2117</v>
      </c>
      <c r="F1187" s="2266" t="s">
        <v>5662</v>
      </c>
      <c r="G1187" s="2266" t="s">
        <v>5662</v>
      </c>
      <c r="H1187" s="2436">
        <v>152606</v>
      </c>
      <c r="I1187" s="2436">
        <v>165205</v>
      </c>
      <c r="J1187" s="2446">
        <v>1</v>
      </c>
      <c r="K1187" s="2436">
        <v>152606</v>
      </c>
      <c r="L1187" s="2436">
        <v>152606</v>
      </c>
      <c r="M1187" s="2266">
        <v>599</v>
      </c>
    </row>
    <row r="1188" spans="1:13" ht="15">
      <c r="A1188" s="2266" t="s">
        <v>4195</v>
      </c>
      <c r="B1188" s="1694" t="str">
        <f>CONCATENATE(LEFT(RIGHT(CONCATENATE("000",IFAData_TEA!A1188),6),3),"-",(RIGHT(RIGHT(CONCATENATE("000",IFAData_TEA!A1188),6),3)))</f>
        <v>108-916</v>
      </c>
      <c r="C1188" s="2266" t="s">
        <v>2705</v>
      </c>
      <c r="D1188" s="2266">
        <v>5</v>
      </c>
      <c r="E1188" s="2266">
        <v>2412</v>
      </c>
      <c r="F1188" s="2266" t="s">
        <v>5667</v>
      </c>
      <c r="G1188" s="2266" t="s">
        <v>5666</v>
      </c>
      <c r="H1188" s="2436">
        <v>164762</v>
      </c>
      <c r="I1188" s="2436">
        <v>159650</v>
      </c>
      <c r="J1188" s="2446">
        <v>1</v>
      </c>
      <c r="K1188" s="2436">
        <v>164762</v>
      </c>
      <c r="L1188" s="2436">
        <v>159650</v>
      </c>
      <c r="M1188" s="2266">
        <v>599</v>
      </c>
    </row>
    <row r="1189" spans="1:13" ht="15">
      <c r="A1189" s="2266" t="s">
        <v>4195</v>
      </c>
      <c r="B1189" s="1694" t="str">
        <f>CONCATENATE(LEFT(RIGHT(CONCATENATE("000",IFAData_TEA!A1189),6),3),"-",(RIGHT(RIGHT(CONCATENATE("000",IFAData_TEA!A1189),6),3)))</f>
        <v>108-916</v>
      </c>
      <c r="C1189" s="2266" t="s">
        <v>2705</v>
      </c>
      <c r="D1189" s="2266">
        <v>4</v>
      </c>
      <c r="E1189" s="2266">
        <v>2414</v>
      </c>
      <c r="F1189" s="2266" t="s">
        <v>5665</v>
      </c>
      <c r="G1189" s="2266" t="s">
        <v>5666</v>
      </c>
      <c r="H1189" s="2436">
        <v>511379</v>
      </c>
      <c r="I1189" s="2436">
        <v>481825</v>
      </c>
      <c r="J1189" s="2446">
        <v>1</v>
      </c>
      <c r="K1189" s="2436">
        <v>511379</v>
      </c>
      <c r="L1189" s="2436">
        <v>481825</v>
      </c>
      <c r="M1189" s="2266">
        <v>599</v>
      </c>
    </row>
    <row r="1190" spans="1:13" ht="15">
      <c r="A1190" s="2266" t="s">
        <v>4195</v>
      </c>
      <c r="B1190" s="1694" t="str">
        <f>CONCATENATE(LEFT(RIGHT(CONCATENATE("000",IFAData_TEA!A1190),6),3),"-",(RIGHT(RIGHT(CONCATENATE("000",IFAData_TEA!A1190),6),3)))</f>
        <v>108-916</v>
      </c>
      <c r="C1190" s="2266" t="s">
        <v>2705</v>
      </c>
      <c r="D1190" s="2266">
        <v>7</v>
      </c>
      <c r="E1190" s="2266">
        <v>2415</v>
      </c>
      <c r="F1190" s="2266" t="s">
        <v>5668</v>
      </c>
      <c r="G1190" s="2266" t="s">
        <v>6996</v>
      </c>
      <c r="H1190" s="2436">
        <v>753475</v>
      </c>
      <c r="I1190" s="2436">
        <v>25444</v>
      </c>
      <c r="J1190" s="2446">
        <v>3.4710153033523317E-2</v>
      </c>
      <c r="K1190" s="2436">
        <v>26153.232556933981</v>
      </c>
      <c r="L1190" s="2436">
        <v>25444</v>
      </c>
      <c r="M1190" s="2266">
        <v>599</v>
      </c>
    </row>
    <row r="1191" spans="1:13" ht="15">
      <c r="A1191" s="2266" t="s">
        <v>4195</v>
      </c>
      <c r="B1191" s="1694" t="str">
        <f>CONCATENATE(LEFT(RIGHT(CONCATENATE("000",IFAData_TEA!A1191),6),3),"-",(RIGHT(RIGHT(CONCATENATE("000",IFAData_TEA!A1191),6),3)))</f>
        <v>108-916</v>
      </c>
      <c r="C1191" s="2266" t="s">
        <v>2705</v>
      </c>
      <c r="D1191" s="2266">
        <v>8</v>
      </c>
      <c r="E1191" s="2266">
        <v>2416</v>
      </c>
      <c r="F1191" s="2266" t="s">
        <v>5671</v>
      </c>
      <c r="G1191" s="2266" t="s">
        <v>6996</v>
      </c>
      <c r="H1191" s="2436">
        <v>913768</v>
      </c>
      <c r="I1191" s="2436">
        <v>351424</v>
      </c>
      <c r="J1191" s="2446">
        <v>0.35137340223007885</v>
      </c>
      <c r="K1191" s="2436">
        <v>321073.7710089747</v>
      </c>
      <c r="L1191" s="2436">
        <v>321073.7710089747</v>
      </c>
      <c r="M1191" s="2266">
        <v>599</v>
      </c>
    </row>
    <row r="1192" spans="1:13" ht="15">
      <c r="A1192" s="2266" t="s">
        <v>4195</v>
      </c>
      <c r="B1192" s="1694" t="str">
        <f>CONCATENATE(LEFT(RIGHT(CONCATENATE("000",IFAData_TEA!A1192),6),3),"-",(RIGHT(RIGHT(CONCATENATE("000",IFAData_TEA!A1192),6),3)))</f>
        <v>108-916</v>
      </c>
      <c r="C1192" s="2266" t="s">
        <v>2705</v>
      </c>
      <c r="D1192" s="2266">
        <v>8</v>
      </c>
      <c r="E1192" s="2266">
        <v>2416</v>
      </c>
      <c r="F1192" s="2266" t="s">
        <v>5671</v>
      </c>
      <c r="G1192" s="2266" t="s">
        <v>5671</v>
      </c>
      <c r="H1192" s="2436">
        <v>913768</v>
      </c>
      <c r="I1192" s="2436">
        <v>414998</v>
      </c>
      <c r="J1192" s="2446">
        <v>0.41493824889215952</v>
      </c>
      <c r="K1192" s="2436">
        <v>379157.29381369083</v>
      </c>
      <c r="L1192" s="2436">
        <v>379157.29381369083</v>
      </c>
      <c r="M1192" s="2266">
        <v>599</v>
      </c>
    </row>
    <row r="1193" spans="1:13" ht="15">
      <c r="A1193" s="2266" t="s">
        <v>4195</v>
      </c>
      <c r="B1193" s="1694" t="str">
        <f>CONCATENATE(LEFT(RIGHT(CONCATENATE("000",IFAData_TEA!A1193),6),3),"-",(RIGHT(RIGHT(CONCATENATE("000",IFAData_TEA!A1193),6),3)))</f>
        <v>108-916</v>
      </c>
      <c r="C1193" s="2266" t="s">
        <v>2705</v>
      </c>
      <c r="D1193" s="2266">
        <v>5</v>
      </c>
      <c r="E1193" s="2266">
        <v>2412</v>
      </c>
      <c r="F1193" s="2266" t="s">
        <v>5667</v>
      </c>
      <c r="G1193" s="2266" t="s">
        <v>5667</v>
      </c>
      <c r="H1193" s="2436">
        <v>164762</v>
      </c>
      <c r="I1193" s="2436">
        <v>0</v>
      </c>
      <c r="J1193" s="2446">
        <v>0</v>
      </c>
      <c r="K1193" s="2436">
        <v>0</v>
      </c>
      <c r="L1193" s="2436">
        <v>0</v>
      </c>
      <c r="M1193" s="2266">
        <v>599</v>
      </c>
    </row>
    <row r="1194" spans="1:13" ht="15">
      <c r="A1194" s="2266" t="s">
        <v>4195</v>
      </c>
      <c r="B1194" s="1694" t="str">
        <f>CONCATENATE(LEFT(RIGHT(CONCATENATE("000",IFAData_TEA!A1194),6),3),"-",(RIGHT(RIGHT(CONCATENATE("000",IFAData_TEA!A1194),6),3)))</f>
        <v>108-916</v>
      </c>
      <c r="C1194" s="2266" t="s">
        <v>2705</v>
      </c>
      <c r="D1194" s="2266">
        <v>7</v>
      </c>
      <c r="E1194" s="2266">
        <v>2415</v>
      </c>
      <c r="F1194" s="2266" t="s">
        <v>5668</v>
      </c>
      <c r="G1194" s="2266" t="s">
        <v>5670</v>
      </c>
      <c r="H1194" s="2436">
        <v>753475</v>
      </c>
      <c r="I1194" s="2436">
        <v>103379</v>
      </c>
      <c r="J1194" s="2446">
        <v>0.14102738997219805</v>
      </c>
      <c r="K1194" s="2436">
        <v>106260.61265930193</v>
      </c>
      <c r="L1194" s="2436">
        <v>103379</v>
      </c>
      <c r="M1194" s="2266">
        <v>599</v>
      </c>
    </row>
    <row r="1195" spans="1:13" ht="15">
      <c r="A1195" s="2266" t="s">
        <v>4195</v>
      </c>
      <c r="B1195" s="1694" t="str">
        <f>CONCATENATE(LEFT(RIGHT(CONCATENATE("000",IFAData_TEA!A1195),6),3),"-",(RIGHT(RIGHT(CONCATENATE("000",IFAData_TEA!A1195),6),3)))</f>
        <v>108-916</v>
      </c>
      <c r="C1195" s="2266" t="s">
        <v>2705</v>
      </c>
      <c r="D1195" s="2266">
        <v>8</v>
      </c>
      <c r="E1195" s="2266">
        <v>2416</v>
      </c>
      <c r="F1195" s="2266" t="s">
        <v>5671</v>
      </c>
      <c r="G1195" s="2266" t="s">
        <v>5670</v>
      </c>
      <c r="H1195" s="2436">
        <v>913768</v>
      </c>
      <c r="I1195" s="2436">
        <v>233722</v>
      </c>
      <c r="J1195" s="2446">
        <v>0.2336883488777616</v>
      </c>
      <c r="K1195" s="2436">
        <v>213536.93517733447</v>
      </c>
      <c r="L1195" s="2436">
        <v>213536.93517733447</v>
      </c>
      <c r="M1195" s="2266">
        <v>599</v>
      </c>
    </row>
    <row r="1196" spans="1:13" ht="15">
      <c r="A1196" s="2266" t="s">
        <v>4195</v>
      </c>
      <c r="B1196" s="1694" t="str">
        <f>CONCATENATE(LEFT(RIGHT(CONCATENATE("000",IFAData_TEA!A1196),6),3),"-",(RIGHT(RIGHT(CONCATENATE("000",IFAData_TEA!A1196),6),3)))</f>
        <v>108-916</v>
      </c>
      <c r="C1196" s="2266" t="s">
        <v>2705</v>
      </c>
      <c r="D1196" s="2266">
        <v>7</v>
      </c>
      <c r="E1196" s="2266">
        <v>2415</v>
      </c>
      <c r="F1196" s="2266" t="s">
        <v>5668</v>
      </c>
      <c r="G1196" s="2266" t="s">
        <v>5668</v>
      </c>
      <c r="H1196" s="2436">
        <v>753475</v>
      </c>
      <c r="I1196" s="2436">
        <v>305626</v>
      </c>
      <c r="J1196" s="2446">
        <v>0.41692836153999363</v>
      </c>
      <c r="K1196" s="2436">
        <v>314145.09721134673</v>
      </c>
      <c r="L1196" s="2436">
        <v>305626</v>
      </c>
      <c r="M1196" s="2266">
        <v>599</v>
      </c>
    </row>
    <row r="1197" spans="1:13" ht="15">
      <c r="A1197" s="2266" t="s">
        <v>4195</v>
      </c>
      <c r="B1197" s="1694" t="str">
        <f>CONCATENATE(LEFT(RIGHT(CONCATENATE("000",IFAData_TEA!A1197),6),3),"-",(RIGHT(RIGHT(CONCATENATE("000",IFAData_TEA!A1197),6),3)))</f>
        <v>108-916</v>
      </c>
      <c r="C1197" s="2266" t="s">
        <v>2705</v>
      </c>
      <c r="D1197" s="2266">
        <v>4</v>
      </c>
      <c r="E1197" s="2266">
        <v>2414</v>
      </c>
      <c r="F1197" s="2266" t="s">
        <v>5665</v>
      </c>
      <c r="G1197" s="2266" t="s">
        <v>5665</v>
      </c>
      <c r="H1197" s="2436">
        <v>511379</v>
      </c>
      <c r="I1197" s="2436">
        <v>0</v>
      </c>
      <c r="J1197" s="2446">
        <v>0</v>
      </c>
      <c r="K1197" s="2436">
        <v>0</v>
      </c>
      <c r="L1197" s="2436">
        <v>0</v>
      </c>
      <c r="M1197" s="2266">
        <v>599</v>
      </c>
    </row>
    <row r="1198" spans="1:13" ht="15">
      <c r="A1198" s="2266" t="s">
        <v>4195</v>
      </c>
      <c r="B1198" s="1694" t="str">
        <f>CONCATENATE(LEFT(RIGHT(CONCATENATE("000",IFAData_TEA!A1198),6),3),"-",(RIGHT(RIGHT(CONCATENATE("000",IFAData_TEA!A1198),6),3)))</f>
        <v>108-916</v>
      </c>
      <c r="C1198" s="2266" t="s">
        <v>2705</v>
      </c>
      <c r="D1198" s="2266">
        <v>9</v>
      </c>
      <c r="E1198" s="2266">
        <v>2417</v>
      </c>
      <c r="F1198" s="2266" t="s">
        <v>5672</v>
      </c>
      <c r="G1198" s="2266" t="s">
        <v>5672</v>
      </c>
      <c r="H1198" s="2436">
        <v>1075060</v>
      </c>
      <c r="I1198" s="2436">
        <v>1068944</v>
      </c>
      <c r="J1198" s="2446">
        <v>1</v>
      </c>
      <c r="K1198" s="2436">
        <v>1075060</v>
      </c>
      <c r="L1198" s="2436">
        <v>1068944</v>
      </c>
      <c r="M1198" s="2266">
        <v>599</v>
      </c>
    </row>
    <row r="1199" spans="1:13" ht="15">
      <c r="A1199" s="2266" t="s">
        <v>4195</v>
      </c>
      <c r="B1199" s="1694" t="str">
        <f>CONCATENATE(LEFT(RIGHT(CONCATENATE("000",IFAData_TEA!A1199),6),3),"-",(RIGHT(RIGHT(CONCATENATE("000",IFAData_TEA!A1199),6),3)))</f>
        <v>108-916</v>
      </c>
      <c r="C1199" s="2266" t="s">
        <v>2705</v>
      </c>
      <c r="D1199" s="2266">
        <v>1</v>
      </c>
      <c r="E1199" s="2266">
        <v>2413</v>
      </c>
      <c r="F1199" s="2266" t="s">
        <v>5664</v>
      </c>
      <c r="G1199" s="2266" t="s">
        <v>5664</v>
      </c>
      <c r="H1199" s="2436">
        <v>401791</v>
      </c>
      <c r="I1199" s="2436">
        <v>0</v>
      </c>
      <c r="J1199" s="2446">
        <v>0</v>
      </c>
      <c r="K1199" s="2436"/>
      <c r="L1199" s="2436">
        <v>0</v>
      </c>
      <c r="M1199" s="2266">
        <v>599</v>
      </c>
    </row>
    <row r="1200" spans="1:13" ht="15">
      <c r="A1200" s="2266" t="s">
        <v>4195</v>
      </c>
      <c r="B1200" s="1694" t="str">
        <f>CONCATENATE(LEFT(RIGHT(CONCATENATE("000",IFAData_TEA!A1200),6),3),"-",(RIGHT(RIGHT(CONCATENATE("000",IFAData_TEA!A1200),6),3)))</f>
        <v>108-916</v>
      </c>
      <c r="C1200" s="2266" t="s">
        <v>2705</v>
      </c>
      <c r="D1200" s="2266">
        <v>7</v>
      </c>
      <c r="E1200" s="2266">
        <v>2415</v>
      </c>
      <c r="F1200" s="2266" t="s">
        <v>5668</v>
      </c>
      <c r="G1200" s="2266" t="s">
        <v>5669</v>
      </c>
      <c r="H1200" s="2436">
        <v>753475</v>
      </c>
      <c r="I1200" s="2436">
        <v>298593</v>
      </c>
      <c r="J1200" s="2446">
        <v>0.40733409545428501</v>
      </c>
      <c r="K1200" s="2436">
        <v>306916.05757241737</v>
      </c>
      <c r="L1200" s="2436">
        <v>298593</v>
      </c>
      <c r="M1200" s="2266">
        <v>599</v>
      </c>
    </row>
    <row r="1201" spans="1:13" ht="15">
      <c r="A1201" s="2266" t="s">
        <v>4196</v>
      </c>
      <c r="B1201" s="1694" t="str">
        <f>CONCATENATE(LEFT(RIGHT(CONCATENATE("000",IFAData_TEA!A1201),6),3),"-",(RIGHT(RIGHT(CONCATENATE("000",IFAData_TEA!A1201),6),3)))</f>
        <v>109-901</v>
      </c>
      <c r="C1201" s="2266" t="s">
        <v>2464</v>
      </c>
      <c r="D1201" s="2266">
        <v>9</v>
      </c>
      <c r="E1201" s="2266">
        <v>1541</v>
      </c>
      <c r="F1201" s="2266" t="s">
        <v>5673</v>
      </c>
      <c r="G1201" s="2266" t="s">
        <v>5673</v>
      </c>
      <c r="H1201" s="2436">
        <v>100000</v>
      </c>
      <c r="I1201" s="2436">
        <v>156678</v>
      </c>
      <c r="J1201" s="2446">
        <v>0.7310197454369004</v>
      </c>
      <c r="K1201" s="2436">
        <v>73101.974543690041</v>
      </c>
      <c r="L1201" s="2436">
        <v>73101.974543690041</v>
      </c>
      <c r="M1201" s="2266">
        <v>599</v>
      </c>
    </row>
    <row r="1202" spans="1:13" ht="15">
      <c r="A1202" s="2266" t="s">
        <v>4196</v>
      </c>
      <c r="B1202" s="1694" t="str">
        <f>CONCATENATE(LEFT(RIGHT(CONCATENATE("000",IFAData_TEA!A1202),6),3),"-",(RIGHT(RIGHT(CONCATENATE("000",IFAData_TEA!A1202),6),3)))</f>
        <v>109-901</v>
      </c>
      <c r="C1202" s="2266" t="s">
        <v>2464</v>
      </c>
      <c r="D1202" s="2266">
        <v>9</v>
      </c>
      <c r="E1202" s="2266">
        <v>1541</v>
      </c>
      <c r="F1202" s="2266" t="s">
        <v>5673</v>
      </c>
      <c r="G1202" s="2266" t="s">
        <v>6997</v>
      </c>
      <c r="H1202" s="2436">
        <v>100000</v>
      </c>
      <c r="I1202" s="2436">
        <v>57650</v>
      </c>
      <c r="J1202" s="2446">
        <v>0.26898025456309954</v>
      </c>
      <c r="K1202" s="2436">
        <v>26898.025456309955</v>
      </c>
      <c r="L1202" s="2436">
        <v>26898.025456309955</v>
      </c>
      <c r="M1202" s="2266">
        <v>599</v>
      </c>
    </row>
    <row r="1203" spans="1:13" ht="15">
      <c r="A1203" s="2266" t="s">
        <v>4197</v>
      </c>
      <c r="B1203" s="1694" t="str">
        <f>CONCATENATE(LEFT(RIGHT(CONCATENATE("000",IFAData_TEA!A1203),6),3),"-",(RIGHT(RIGHT(CONCATENATE("000",IFAData_TEA!A1203),6),3)))</f>
        <v>109-902</v>
      </c>
      <c r="C1203" s="2266" t="s">
        <v>1010</v>
      </c>
      <c r="D1203" s="2266">
        <v>6</v>
      </c>
      <c r="E1203" s="2266">
        <v>1656</v>
      </c>
      <c r="F1203" s="2266" t="s">
        <v>5674</v>
      </c>
      <c r="G1203" s="2266" t="s">
        <v>5675</v>
      </c>
      <c r="H1203" s="2436">
        <v>93778</v>
      </c>
      <c r="I1203" s="2436">
        <v>89125</v>
      </c>
      <c r="J1203" s="2446">
        <v>1</v>
      </c>
      <c r="K1203" s="2436">
        <v>93778</v>
      </c>
      <c r="L1203" s="2436">
        <v>89125</v>
      </c>
      <c r="M1203" s="2266">
        <v>599</v>
      </c>
    </row>
    <row r="1204" spans="1:13" ht="15">
      <c r="A1204" s="2266" t="s">
        <v>4197</v>
      </c>
      <c r="B1204" s="1694" t="str">
        <f>CONCATENATE(LEFT(RIGHT(CONCATENATE("000",IFAData_TEA!A1204),6),3),"-",(RIGHT(RIGHT(CONCATENATE("000",IFAData_TEA!A1204),6),3)))</f>
        <v>109-902</v>
      </c>
      <c r="C1204" s="2266" t="s">
        <v>1010</v>
      </c>
      <c r="D1204" s="2266">
        <v>6</v>
      </c>
      <c r="E1204" s="2266">
        <v>1656</v>
      </c>
      <c r="F1204" s="2266" t="s">
        <v>5674</v>
      </c>
      <c r="G1204" s="2266" t="s">
        <v>5674</v>
      </c>
      <c r="H1204" s="2436">
        <v>93778</v>
      </c>
      <c r="I1204" s="2436">
        <v>0</v>
      </c>
      <c r="J1204" s="2446">
        <v>0</v>
      </c>
      <c r="K1204" s="2436">
        <v>0</v>
      </c>
      <c r="L1204" s="2436">
        <v>0</v>
      </c>
      <c r="M1204" s="2266">
        <v>599</v>
      </c>
    </row>
    <row r="1205" spans="1:13" ht="15">
      <c r="A1205" s="2266" t="s">
        <v>5676</v>
      </c>
      <c r="B1205" s="1694" t="str">
        <f>CONCATENATE(LEFT(RIGHT(CONCATENATE("000",IFAData_TEA!A1205),6),3),"-",(RIGHT(RIGHT(CONCATENATE("000",IFAData_TEA!A1205),6),3)))</f>
        <v>109-903</v>
      </c>
      <c r="C1205" s="2266" t="s">
        <v>742</v>
      </c>
      <c r="D1205" s="2266">
        <v>3</v>
      </c>
      <c r="E1205" s="2266">
        <v>1727</v>
      </c>
      <c r="F1205" s="2266" t="s">
        <v>5677</v>
      </c>
      <c r="G1205" s="2266" t="s">
        <v>5677</v>
      </c>
      <c r="H1205" s="2436">
        <v>111000</v>
      </c>
      <c r="I1205" s="2436">
        <v>0</v>
      </c>
      <c r="J1205" s="2446">
        <v>0</v>
      </c>
      <c r="K1205" s="2436"/>
      <c r="L1205" s="2436">
        <v>0</v>
      </c>
      <c r="M1205" s="2266">
        <v>199</v>
      </c>
    </row>
    <row r="1206" spans="1:13" ht="15">
      <c r="A1206" s="2266" t="s">
        <v>4198</v>
      </c>
      <c r="B1206" s="1694" t="str">
        <f>CONCATENATE(LEFT(RIGHT(CONCATENATE("000",IFAData_TEA!A1206),6),3),"-",(RIGHT(RIGHT(CONCATENATE("000",IFAData_TEA!A1206),6),3)))</f>
        <v>109-904</v>
      </c>
      <c r="C1206" s="2266" t="s">
        <v>2727</v>
      </c>
      <c r="D1206" s="2266">
        <v>1</v>
      </c>
      <c r="E1206" s="2266">
        <v>1892</v>
      </c>
      <c r="F1206" s="2266" t="s">
        <v>5678</v>
      </c>
      <c r="G1206" s="2266" t="s">
        <v>5681</v>
      </c>
      <c r="H1206" s="2436">
        <v>373075</v>
      </c>
      <c r="I1206" s="2436">
        <v>0</v>
      </c>
      <c r="J1206" s="2446">
        <v>0</v>
      </c>
      <c r="K1206" s="2436">
        <v>0</v>
      </c>
      <c r="L1206" s="2436">
        <v>0</v>
      </c>
      <c r="M1206" s="2266">
        <v>599</v>
      </c>
    </row>
    <row r="1207" spans="1:13" ht="15">
      <c r="A1207" s="2266" t="s">
        <v>4198</v>
      </c>
      <c r="B1207" s="1694" t="str">
        <f>CONCATENATE(LEFT(RIGHT(CONCATENATE("000",IFAData_TEA!A1207),6),3),"-",(RIGHT(RIGHT(CONCATENATE("000",IFAData_TEA!A1207),6),3)))</f>
        <v>109-904</v>
      </c>
      <c r="C1207" s="2266" t="s">
        <v>2727</v>
      </c>
      <c r="D1207" s="2266">
        <v>6</v>
      </c>
      <c r="E1207" s="2266">
        <v>1893</v>
      </c>
      <c r="F1207" s="2266" t="s">
        <v>5679</v>
      </c>
      <c r="G1207" s="2266" t="s">
        <v>5681</v>
      </c>
      <c r="H1207" s="2436">
        <v>449169</v>
      </c>
      <c r="I1207" s="2436">
        <v>820946</v>
      </c>
      <c r="J1207" s="2446">
        <v>1</v>
      </c>
      <c r="K1207" s="2436">
        <v>449169</v>
      </c>
      <c r="L1207" s="2436">
        <v>449169</v>
      </c>
      <c r="M1207" s="2266">
        <v>599</v>
      </c>
    </row>
    <row r="1208" spans="1:13" ht="15">
      <c r="A1208" s="2266" t="s">
        <v>4198</v>
      </c>
      <c r="B1208" s="1694" t="str">
        <f>CONCATENATE(LEFT(RIGHT(CONCATENATE("000",IFAData_TEA!A1208),6),3),"-",(RIGHT(RIGHT(CONCATENATE("000",IFAData_TEA!A1208),6),3)))</f>
        <v>109-904</v>
      </c>
      <c r="C1208" s="2266" t="s">
        <v>2727</v>
      </c>
      <c r="D1208" s="2266">
        <v>1</v>
      </c>
      <c r="E1208" s="2266">
        <v>1892</v>
      </c>
      <c r="F1208" s="2266" t="s">
        <v>5678</v>
      </c>
      <c r="G1208" s="2266" t="s">
        <v>5682</v>
      </c>
      <c r="H1208" s="2436">
        <v>373075</v>
      </c>
      <c r="I1208" s="2436">
        <v>603157</v>
      </c>
      <c r="J1208" s="2446">
        <v>0.46944498493964182</v>
      </c>
      <c r="K1208" s="2436">
        <v>175138.18775635687</v>
      </c>
      <c r="L1208" s="2436">
        <v>175138.18775635687</v>
      </c>
      <c r="M1208" s="2266">
        <v>599</v>
      </c>
    </row>
    <row r="1209" spans="1:13" ht="15">
      <c r="A1209" s="2266" t="s">
        <v>4198</v>
      </c>
      <c r="B1209" s="1694" t="str">
        <f>CONCATENATE(LEFT(RIGHT(CONCATENATE("000",IFAData_TEA!A1209),6),3),"-",(RIGHT(RIGHT(CONCATENATE("000",IFAData_TEA!A1209),6),3)))</f>
        <v>109-904</v>
      </c>
      <c r="C1209" s="2266" t="s">
        <v>2727</v>
      </c>
      <c r="D1209" s="2266">
        <v>1</v>
      </c>
      <c r="E1209" s="2266">
        <v>1892</v>
      </c>
      <c r="F1209" s="2266" t="s">
        <v>5678</v>
      </c>
      <c r="G1209" s="2266" t="s">
        <v>5679</v>
      </c>
      <c r="H1209" s="2436">
        <v>373075</v>
      </c>
      <c r="I1209" s="2436">
        <v>0</v>
      </c>
      <c r="J1209" s="2446">
        <v>0</v>
      </c>
      <c r="K1209" s="2436">
        <v>0</v>
      </c>
      <c r="L1209" s="2436">
        <v>0</v>
      </c>
      <c r="M1209" s="2266">
        <v>599</v>
      </c>
    </row>
    <row r="1210" spans="1:13" ht="15">
      <c r="A1210" s="2266" t="s">
        <v>4198</v>
      </c>
      <c r="B1210" s="1694" t="str">
        <f>CONCATENATE(LEFT(RIGHT(CONCATENATE("000",IFAData_TEA!A1210),6),3),"-",(RIGHT(RIGHT(CONCATENATE("000",IFAData_TEA!A1210),6),3)))</f>
        <v>109-904</v>
      </c>
      <c r="C1210" s="2266" t="s">
        <v>2727</v>
      </c>
      <c r="D1210" s="2266">
        <v>6</v>
      </c>
      <c r="E1210" s="2266">
        <v>1893</v>
      </c>
      <c r="F1210" s="2266" t="s">
        <v>5679</v>
      </c>
      <c r="G1210" s="2266" t="s">
        <v>5679</v>
      </c>
      <c r="H1210" s="2436">
        <v>449169</v>
      </c>
      <c r="I1210" s="2436">
        <v>0</v>
      </c>
      <c r="J1210" s="2446">
        <v>0</v>
      </c>
      <c r="K1210" s="2436">
        <v>0</v>
      </c>
      <c r="L1210" s="2436">
        <v>0</v>
      </c>
      <c r="M1210" s="2266">
        <v>599</v>
      </c>
    </row>
    <row r="1211" spans="1:13" ht="15">
      <c r="A1211" s="2266" t="s">
        <v>4198</v>
      </c>
      <c r="B1211" s="1694" t="str">
        <f>CONCATENATE(LEFT(RIGHT(CONCATENATE("000",IFAData_TEA!A1211),6),3),"-",(RIGHT(RIGHT(CONCATENATE("000",IFAData_TEA!A1211),6),3)))</f>
        <v>109-904</v>
      </c>
      <c r="C1211" s="2266" t="s">
        <v>2727</v>
      </c>
      <c r="D1211" s="2266">
        <v>6</v>
      </c>
      <c r="E1211" s="2266">
        <v>1893</v>
      </c>
      <c r="F1211" s="2266" t="s">
        <v>5679</v>
      </c>
      <c r="G1211" s="2266" t="s">
        <v>6998</v>
      </c>
      <c r="H1211" s="2436">
        <v>449169</v>
      </c>
      <c r="I1211" s="2436">
        <v>0</v>
      </c>
      <c r="J1211" s="2446">
        <v>0</v>
      </c>
      <c r="K1211" s="2436">
        <v>0</v>
      </c>
      <c r="L1211" s="2436">
        <v>0</v>
      </c>
      <c r="M1211" s="2266">
        <v>599</v>
      </c>
    </row>
    <row r="1212" spans="1:13" ht="15">
      <c r="A1212" s="2266" t="s">
        <v>4198</v>
      </c>
      <c r="B1212" s="1694" t="str">
        <f>CONCATENATE(LEFT(RIGHT(CONCATENATE("000",IFAData_TEA!A1212),6),3),"-",(RIGHT(RIGHT(CONCATENATE("000",IFAData_TEA!A1212),6),3)))</f>
        <v>109-904</v>
      </c>
      <c r="C1212" s="2266" t="s">
        <v>2727</v>
      </c>
      <c r="D1212" s="2266">
        <v>1</v>
      </c>
      <c r="E1212" s="2266">
        <v>1892</v>
      </c>
      <c r="F1212" s="2266" t="s">
        <v>5678</v>
      </c>
      <c r="G1212" s="2266" t="s">
        <v>5680</v>
      </c>
      <c r="H1212" s="2436">
        <v>373075</v>
      </c>
      <c r="I1212" s="2436">
        <v>681673</v>
      </c>
      <c r="J1212" s="2446">
        <v>0.53055501506035818</v>
      </c>
      <c r="K1212" s="2436">
        <v>197936.81224364313</v>
      </c>
      <c r="L1212" s="2436">
        <v>197936.81224364313</v>
      </c>
      <c r="M1212" s="2266">
        <v>599</v>
      </c>
    </row>
    <row r="1213" spans="1:13" ht="15">
      <c r="A1213" s="2266" t="s">
        <v>4198</v>
      </c>
      <c r="B1213" s="1694" t="str">
        <f>CONCATENATE(LEFT(RIGHT(CONCATENATE("000",IFAData_TEA!A1213),6),3),"-",(RIGHT(RIGHT(CONCATENATE("000",IFAData_TEA!A1213),6),3)))</f>
        <v>109-904</v>
      </c>
      <c r="C1213" s="2266" t="s">
        <v>2727</v>
      </c>
      <c r="D1213" s="2266">
        <v>1</v>
      </c>
      <c r="E1213" s="2266">
        <v>1892</v>
      </c>
      <c r="F1213" s="2266" t="s">
        <v>5678</v>
      </c>
      <c r="G1213" s="2266" t="s">
        <v>5678</v>
      </c>
      <c r="H1213" s="2436">
        <v>373075</v>
      </c>
      <c r="I1213" s="2436">
        <v>0</v>
      </c>
      <c r="J1213" s="2446">
        <v>0</v>
      </c>
      <c r="K1213" s="2436">
        <v>0</v>
      </c>
      <c r="L1213" s="2436">
        <v>0</v>
      </c>
      <c r="M1213" s="2266">
        <v>599</v>
      </c>
    </row>
    <row r="1214" spans="1:13" ht="15">
      <c r="A1214" s="2266" t="s">
        <v>4198</v>
      </c>
      <c r="B1214" s="1694" t="str">
        <f>CONCATENATE(LEFT(RIGHT(CONCATENATE("000",IFAData_TEA!A1214),6),3),"-",(RIGHT(RIGHT(CONCATENATE("000",IFAData_TEA!A1214),6),3)))</f>
        <v>109-904</v>
      </c>
      <c r="C1214" s="2266" t="s">
        <v>2727</v>
      </c>
      <c r="D1214" s="2266">
        <v>1</v>
      </c>
      <c r="E1214" s="2266">
        <v>1892</v>
      </c>
      <c r="F1214" s="2266" t="s">
        <v>5678</v>
      </c>
      <c r="G1214" s="2266" t="s">
        <v>6998</v>
      </c>
      <c r="H1214" s="2436">
        <v>373075</v>
      </c>
      <c r="I1214" s="2436">
        <v>0</v>
      </c>
      <c r="J1214" s="2446">
        <v>0</v>
      </c>
      <c r="K1214" s="2436">
        <v>0</v>
      </c>
      <c r="L1214" s="2436">
        <v>0</v>
      </c>
      <c r="M1214" s="2266">
        <v>599</v>
      </c>
    </row>
    <row r="1215" spans="1:13" ht="15">
      <c r="A1215" s="2266" t="s">
        <v>4199</v>
      </c>
      <c r="B1215" s="1694" t="str">
        <f>CONCATENATE(LEFT(RIGHT(CONCATENATE("000",IFAData_TEA!A1215),6),3),"-",(RIGHT(RIGHT(CONCATENATE("000",IFAData_TEA!A1215),6),3)))</f>
        <v>109-905</v>
      </c>
      <c r="C1215" s="2266" t="s">
        <v>2732</v>
      </c>
      <c r="D1215" s="2266">
        <v>5</v>
      </c>
      <c r="E1215" s="2266">
        <v>1907</v>
      </c>
      <c r="F1215" s="2266" t="s">
        <v>5685</v>
      </c>
      <c r="G1215" s="2266" t="s">
        <v>5685</v>
      </c>
      <c r="H1215" s="2436">
        <v>109410</v>
      </c>
      <c r="I1215" s="2436">
        <v>0</v>
      </c>
      <c r="J1215" s="2446">
        <v>0</v>
      </c>
      <c r="K1215" s="2436">
        <v>0</v>
      </c>
      <c r="L1215" s="2436">
        <v>0</v>
      </c>
      <c r="M1215" s="2266">
        <v>599</v>
      </c>
    </row>
    <row r="1216" spans="1:13" ht="15">
      <c r="A1216" s="2266" t="s">
        <v>4199</v>
      </c>
      <c r="B1216" s="1694" t="str">
        <f>CONCATENATE(LEFT(RIGHT(CONCATENATE("000",IFAData_TEA!A1216),6),3),"-",(RIGHT(RIGHT(CONCATENATE("000",IFAData_TEA!A1216),6),3)))</f>
        <v>109-905</v>
      </c>
      <c r="C1216" s="2266" t="s">
        <v>2732</v>
      </c>
      <c r="D1216" s="2266">
        <v>10</v>
      </c>
      <c r="E1216" s="2266">
        <v>1905</v>
      </c>
      <c r="F1216" s="2266" t="s">
        <v>5686</v>
      </c>
      <c r="G1216" s="2266" t="s">
        <v>5686</v>
      </c>
      <c r="H1216" s="2436">
        <v>100000</v>
      </c>
      <c r="I1216" s="2436">
        <v>238144</v>
      </c>
      <c r="J1216" s="2446">
        <v>1</v>
      </c>
      <c r="K1216" s="2436">
        <v>100000</v>
      </c>
      <c r="L1216" s="2436">
        <v>100000</v>
      </c>
      <c r="M1216" s="2266">
        <v>599</v>
      </c>
    </row>
    <row r="1217" spans="1:13" ht="15">
      <c r="A1217" s="2266" t="s">
        <v>4199</v>
      </c>
      <c r="B1217" s="1694" t="str">
        <f>CONCATENATE(LEFT(RIGHT(CONCATENATE("000",IFAData_TEA!A1217),6),3),"-",(RIGHT(RIGHT(CONCATENATE("000",IFAData_TEA!A1217),6),3)))</f>
        <v>109-905</v>
      </c>
      <c r="C1217" s="2266" t="s">
        <v>2732</v>
      </c>
      <c r="D1217" s="2266">
        <v>5</v>
      </c>
      <c r="E1217" s="2266">
        <v>1907</v>
      </c>
      <c r="F1217" s="2266" t="s">
        <v>5685</v>
      </c>
      <c r="G1217" s="2266" t="s">
        <v>5686</v>
      </c>
      <c r="H1217" s="2436">
        <v>109410</v>
      </c>
      <c r="I1217" s="2436">
        <v>106125</v>
      </c>
      <c r="J1217" s="2446">
        <v>1</v>
      </c>
      <c r="K1217" s="2436">
        <v>109410</v>
      </c>
      <c r="L1217" s="2436">
        <v>106125</v>
      </c>
      <c r="M1217" s="2266">
        <v>599</v>
      </c>
    </row>
    <row r="1218" spans="1:13" ht="15">
      <c r="A1218" s="2266" t="s">
        <v>4199</v>
      </c>
      <c r="B1218" s="1694" t="str">
        <f>CONCATENATE(LEFT(RIGHT(CONCATENATE("000",IFAData_TEA!A1218),6),3),"-",(RIGHT(RIGHT(CONCATENATE("000",IFAData_TEA!A1218),6),3)))</f>
        <v>109-905</v>
      </c>
      <c r="C1218" s="2266" t="s">
        <v>2732</v>
      </c>
      <c r="D1218" s="2266">
        <v>4</v>
      </c>
      <c r="E1218" s="2266">
        <v>1906</v>
      </c>
      <c r="F1218" s="2266" t="s">
        <v>5683</v>
      </c>
      <c r="G1218" s="2266" t="s">
        <v>5683</v>
      </c>
      <c r="H1218" s="2436">
        <v>105808</v>
      </c>
      <c r="I1218" s="2436">
        <v>0</v>
      </c>
      <c r="J1218" s="2446">
        <v>0</v>
      </c>
      <c r="K1218" s="2436">
        <v>0</v>
      </c>
      <c r="L1218" s="2436">
        <v>0</v>
      </c>
      <c r="M1218" s="2266">
        <v>599</v>
      </c>
    </row>
    <row r="1219" spans="1:13" ht="15">
      <c r="A1219" s="2266" t="s">
        <v>4199</v>
      </c>
      <c r="B1219" s="1694" t="str">
        <f>CONCATENATE(LEFT(RIGHT(CONCATENATE("000",IFAData_TEA!A1219),6),3),"-",(RIGHT(RIGHT(CONCATENATE("000",IFAData_TEA!A1219),6),3)))</f>
        <v>109-905</v>
      </c>
      <c r="C1219" s="2266" t="s">
        <v>2732</v>
      </c>
      <c r="D1219" s="2266">
        <v>4</v>
      </c>
      <c r="E1219" s="2266">
        <v>1906</v>
      </c>
      <c r="F1219" s="2266" t="s">
        <v>5683</v>
      </c>
      <c r="G1219" s="2266" t="s">
        <v>5684</v>
      </c>
      <c r="H1219" s="2436">
        <v>105808</v>
      </c>
      <c r="I1219" s="2436">
        <v>87965</v>
      </c>
      <c r="J1219" s="2446">
        <v>1</v>
      </c>
      <c r="K1219" s="2436">
        <v>105808</v>
      </c>
      <c r="L1219" s="2436">
        <v>87965</v>
      </c>
      <c r="M1219" s="2266">
        <v>599</v>
      </c>
    </row>
    <row r="1220" spans="1:13" ht="15">
      <c r="A1220" s="2266" t="s">
        <v>4200</v>
      </c>
      <c r="B1220" s="1694" t="str">
        <f>CONCATENATE(LEFT(RIGHT(CONCATENATE("000",IFAData_TEA!A1220),6),3),"-",(RIGHT(RIGHT(CONCATENATE("000",IFAData_TEA!A1220),6),3)))</f>
        <v>109-907</v>
      </c>
      <c r="C1220" s="2266" t="s">
        <v>444</v>
      </c>
      <c r="D1220" s="2266">
        <v>2</v>
      </c>
      <c r="E1220" s="2266">
        <v>1931</v>
      </c>
      <c r="F1220" s="2266" t="s">
        <v>5687</v>
      </c>
      <c r="G1220" s="2266" t="s">
        <v>5687</v>
      </c>
      <c r="H1220" s="2436">
        <v>110751</v>
      </c>
      <c r="I1220" s="2436">
        <v>113250</v>
      </c>
      <c r="J1220" s="2446">
        <v>1</v>
      </c>
      <c r="K1220" s="2436">
        <v>110751</v>
      </c>
      <c r="L1220" s="2436">
        <v>110751</v>
      </c>
      <c r="M1220" s="2266">
        <v>599</v>
      </c>
    </row>
    <row r="1221" spans="1:13" ht="15">
      <c r="A1221" s="2266" t="s">
        <v>4201</v>
      </c>
      <c r="B1221" s="1694" t="str">
        <f>CONCATENATE(LEFT(RIGHT(CONCATENATE("000",IFAData_TEA!A1221),6),3),"-",(RIGHT(RIGHT(CONCATENATE("000",IFAData_TEA!A1221),6),3)))</f>
        <v>109-908</v>
      </c>
      <c r="C1221" s="2266" t="s">
        <v>2466</v>
      </c>
      <c r="D1221" s="2266">
        <v>9</v>
      </c>
      <c r="E1221" s="2266">
        <v>2054</v>
      </c>
      <c r="F1221" s="2266" t="s">
        <v>5689</v>
      </c>
      <c r="G1221" s="2266" t="s">
        <v>5689</v>
      </c>
      <c r="H1221" s="2436">
        <v>100000</v>
      </c>
      <c r="I1221" s="2436">
        <v>73452</v>
      </c>
      <c r="J1221" s="2446">
        <v>1</v>
      </c>
      <c r="K1221" s="2436">
        <v>100000</v>
      </c>
      <c r="L1221" s="2436">
        <v>73452</v>
      </c>
      <c r="M1221" s="2266">
        <v>599</v>
      </c>
    </row>
    <row r="1222" spans="1:13" ht="15">
      <c r="A1222" s="2266" t="s">
        <v>4201</v>
      </c>
      <c r="B1222" s="1694" t="str">
        <f>CONCATENATE(LEFT(RIGHT(CONCATENATE("000",IFAData_TEA!A1222),6),3),"-",(RIGHT(RIGHT(CONCATENATE("000",IFAData_TEA!A1222),6),3)))</f>
        <v>109-908</v>
      </c>
      <c r="C1222" s="2266" t="s">
        <v>2466</v>
      </c>
      <c r="D1222" s="2266">
        <v>5</v>
      </c>
      <c r="E1222" s="2266">
        <v>2053</v>
      </c>
      <c r="F1222" s="2266" t="s">
        <v>5688</v>
      </c>
      <c r="G1222" s="2266" t="s">
        <v>5688</v>
      </c>
      <c r="H1222" s="2436">
        <v>99613</v>
      </c>
      <c r="I1222" s="2436">
        <v>99112</v>
      </c>
      <c r="J1222" s="2446">
        <v>1</v>
      </c>
      <c r="K1222" s="2436">
        <v>99613</v>
      </c>
      <c r="L1222" s="2436">
        <v>99112</v>
      </c>
      <c r="M1222" s="2266">
        <v>199</v>
      </c>
    </row>
    <row r="1223" spans="1:13" ht="15">
      <c r="A1223" s="2266" t="s">
        <v>4202</v>
      </c>
      <c r="B1223" s="1694" t="str">
        <f>CONCATENATE(LEFT(RIGHT(CONCATENATE("000",IFAData_TEA!A1223),6),3),"-",(RIGHT(RIGHT(CONCATENATE("000",IFAData_TEA!A1223),6),3)))</f>
        <v>109-910</v>
      </c>
      <c r="C1223" s="2266" t="s">
        <v>2562</v>
      </c>
      <c r="D1223" s="2266">
        <v>5</v>
      </c>
      <c r="E1223" s="2266">
        <v>2121</v>
      </c>
      <c r="F1223" s="2266" t="s">
        <v>5690</v>
      </c>
      <c r="G1223" s="2266" t="s">
        <v>5690</v>
      </c>
      <c r="H1223" s="2436">
        <v>100000</v>
      </c>
      <c r="I1223" s="2436">
        <v>105055</v>
      </c>
      <c r="J1223" s="2446">
        <v>1</v>
      </c>
      <c r="K1223" s="2436">
        <v>100000</v>
      </c>
      <c r="L1223" s="2436">
        <v>100000</v>
      </c>
      <c r="M1223" s="2266">
        <v>199</v>
      </c>
    </row>
    <row r="1224" spans="1:13" ht="15">
      <c r="A1224" s="2266" t="s">
        <v>4202</v>
      </c>
      <c r="B1224" s="1694" t="str">
        <f>CONCATENATE(LEFT(RIGHT(CONCATENATE("000",IFAData_TEA!A1224),6),3),"-",(RIGHT(RIGHT(CONCATENATE("000",IFAData_TEA!A1224),6),3)))</f>
        <v>109-910</v>
      </c>
      <c r="C1224" s="2266" t="s">
        <v>2562</v>
      </c>
      <c r="D1224" s="2266">
        <v>10</v>
      </c>
      <c r="E1224" s="2266">
        <v>2120</v>
      </c>
      <c r="F1224" s="2266" t="s">
        <v>5691</v>
      </c>
      <c r="G1224" s="2266" t="s">
        <v>5691</v>
      </c>
      <c r="H1224" s="2436">
        <v>85000</v>
      </c>
      <c r="I1224" s="2436">
        <v>85000</v>
      </c>
      <c r="J1224" s="2446">
        <v>1</v>
      </c>
      <c r="K1224" s="2436">
        <v>85000</v>
      </c>
      <c r="L1224" s="2436">
        <v>85000</v>
      </c>
      <c r="M1224" s="2266">
        <v>599</v>
      </c>
    </row>
    <row r="1225" spans="1:13" ht="15">
      <c r="A1225" s="2266" t="s">
        <v>4203</v>
      </c>
      <c r="B1225" s="1694" t="str">
        <f>CONCATENATE(LEFT(RIGHT(CONCATENATE("000",IFAData_TEA!A1225),6),3),"-",(RIGHT(RIGHT(CONCATENATE("000",IFAData_TEA!A1225),6),3)))</f>
        <v>109-912</v>
      </c>
      <c r="C1225" s="2266" t="s">
        <v>2773</v>
      </c>
      <c r="D1225" s="2266">
        <v>5</v>
      </c>
      <c r="E1225" s="2266">
        <v>1581</v>
      </c>
      <c r="F1225" s="2266" t="s">
        <v>5692</v>
      </c>
      <c r="G1225" s="2266" t="s">
        <v>5692</v>
      </c>
      <c r="H1225" s="2436">
        <v>88897</v>
      </c>
      <c r="I1225" s="2436">
        <v>0</v>
      </c>
      <c r="J1225" s="2446">
        <v>0</v>
      </c>
      <c r="K1225" s="2436">
        <v>0</v>
      </c>
      <c r="L1225" s="2436">
        <v>0</v>
      </c>
      <c r="M1225" s="2266">
        <v>599</v>
      </c>
    </row>
    <row r="1226" spans="1:13" ht="15">
      <c r="A1226" s="2266" t="s">
        <v>4203</v>
      </c>
      <c r="B1226" s="1694" t="str">
        <f>CONCATENATE(LEFT(RIGHT(CONCATENATE("000",IFAData_TEA!A1226),6),3),"-",(RIGHT(RIGHT(CONCATENATE("000",IFAData_TEA!A1226),6),3)))</f>
        <v>109-912</v>
      </c>
      <c r="C1226" s="2266" t="s">
        <v>2773</v>
      </c>
      <c r="D1226" s="2266">
        <v>5</v>
      </c>
      <c r="E1226" s="2266">
        <v>1581</v>
      </c>
      <c r="F1226" s="2266" t="s">
        <v>5692</v>
      </c>
      <c r="G1226" s="2266" t="s">
        <v>5693</v>
      </c>
      <c r="H1226" s="2436">
        <v>88897</v>
      </c>
      <c r="I1226" s="2436">
        <v>91010</v>
      </c>
      <c r="J1226" s="2446">
        <v>1</v>
      </c>
      <c r="K1226" s="2436">
        <v>88897</v>
      </c>
      <c r="L1226" s="2436">
        <v>88897</v>
      </c>
      <c r="M1226" s="2266">
        <v>599</v>
      </c>
    </row>
    <row r="1227" spans="1:13" ht="15">
      <c r="A1227" s="2266" t="s">
        <v>5694</v>
      </c>
      <c r="B1227" s="1694" t="str">
        <f>CONCATENATE(LEFT(RIGHT(CONCATENATE("000",IFAData_TEA!A1227),6),3),"-",(RIGHT(RIGHT(CONCATENATE("000",IFAData_TEA!A1227),6),3)))</f>
        <v>109-913</v>
      </c>
      <c r="C1227" s="2266" t="s">
        <v>1522</v>
      </c>
      <c r="D1227" s="2266">
        <v>5</v>
      </c>
      <c r="E1227" s="2266">
        <v>1625</v>
      </c>
      <c r="F1227" s="2266" t="s">
        <v>5695</v>
      </c>
      <c r="G1227" s="2266" t="s">
        <v>5696</v>
      </c>
      <c r="H1227" s="2436">
        <v>91413</v>
      </c>
      <c r="I1227" s="2436">
        <v>0</v>
      </c>
      <c r="J1227" s="2446">
        <v>0</v>
      </c>
      <c r="K1227" s="2436"/>
      <c r="L1227" s="2436">
        <v>0</v>
      </c>
      <c r="M1227" s="2266">
        <v>599</v>
      </c>
    </row>
    <row r="1228" spans="1:13" ht="15">
      <c r="A1228" s="2266" t="s">
        <v>5694</v>
      </c>
      <c r="B1228" s="1694" t="str">
        <f>CONCATENATE(LEFT(RIGHT(CONCATENATE("000",IFAData_TEA!A1228),6),3),"-",(RIGHT(RIGHT(CONCATENATE("000",IFAData_TEA!A1228),6),3)))</f>
        <v>109-913</v>
      </c>
      <c r="C1228" s="2266" t="s">
        <v>1522</v>
      </c>
      <c r="D1228" s="2266">
        <v>5</v>
      </c>
      <c r="E1228" s="2266">
        <v>1625</v>
      </c>
      <c r="F1228" s="2266" t="s">
        <v>5695</v>
      </c>
      <c r="G1228" s="2266" t="s">
        <v>5695</v>
      </c>
      <c r="H1228" s="2436">
        <v>91413</v>
      </c>
      <c r="I1228" s="2436">
        <v>0</v>
      </c>
      <c r="J1228" s="2446">
        <v>0</v>
      </c>
      <c r="K1228" s="2436"/>
      <c r="L1228" s="2436">
        <v>0</v>
      </c>
      <c r="M1228" s="2266">
        <v>599</v>
      </c>
    </row>
    <row r="1229" spans="1:13" ht="15">
      <c r="A1229" s="2266" t="s">
        <v>5697</v>
      </c>
      <c r="B1229" s="1694" t="str">
        <f>CONCATENATE(LEFT(RIGHT(CONCATENATE("000",IFAData_TEA!A1229),6),3),"-",(RIGHT(RIGHT(CONCATENATE("000",IFAData_TEA!A1229),6),3)))</f>
        <v>109-914</v>
      </c>
      <c r="C1229" s="2266" t="s">
        <v>2989</v>
      </c>
      <c r="D1229" s="2266">
        <v>5</v>
      </c>
      <c r="E1229" s="2266">
        <v>2185</v>
      </c>
      <c r="F1229" s="2266" t="s">
        <v>5698</v>
      </c>
      <c r="G1229" s="2266" t="s">
        <v>5698</v>
      </c>
      <c r="H1229" s="2436">
        <v>99258</v>
      </c>
      <c r="I1229" s="2436">
        <v>150850</v>
      </c>
      <c r="J1229" s="2446">
        <v>1</v>
      </c>
      <c r="K1229" s="2436">
        <v>99258</v>
      </c>
      <c r="L1229" s="2436">
        <v>99258</v>
      </c>
      <c r="M1229" s="2266">
        <v>199</v>
      </c>
    </row>
    <row r="1230" spans="1:13" ht="15">
      <c r="A1230" s="2266" t="s">
        <v>4204</v>
      </c>
      <c r="B1230" s="1694" t="str">
        <f>CONCATENATE(LEFT(RIGHT(CONCATENATE("000",IFAData_TEA!A1230),6),3),"-",(RIGHT(RIGHT(CONCATENATE("000",IFAData_TEA!A1230),6),3)))</f>
        <v>110-906</v>
      </c>
      <c r="C1230" s="2266" t="s">
        <v>2203</v>
      </c>
      <c r="D1230" s="2266">
        <v>4</v>
      </c>
      <c r="E1230" s="2266">
        <v>2344</v>
      </c>
      <c r="F1230" s="2266" t="s">
        <v>5699</v>
      </c>
      <c r="G1230" s="2266" t="s">
        <v>5699</v>
      </c>
      <c r="H1230" s="2436">
        <v>97293</v>
      </c>
      <c r="I1230" s="2436">
        <v>99082</v>
      </c>
      <c r="J1230" s="2446">
        <v>1</v>
      </c>
      <c r="K1230" s="2436">
        <v>97293</v>
      </c>
      <c r="L1230" s="2436">
        <v>97293</v>
      </c>
      <c r="M1230" s="2266">
        <v>199</v>
      </c>
    </row>
    <row r="1231" spans="1:13" ht="15">
      <c r="A1231" s="2266" t="s">
        <v>4204</v>
      </c>
      <c r="B1231" s="1694" t="str">
        <f>CONCATENATE(LEFT(RIGHT(CONCATENATE("000",IFAData_TEA!A1231),6),3),"-",(RIGHT(RIGHT(CONCATENATE("000",IFAData_TEA!A1231),6),3)))</f>
        <v>110-906</v>
      </c>
      <c r="C1231" s="2266" t="s">
        <v>2203</v>
      </c>
      <c r="D1231" s="2266">
        <v>10</v>
      </c>
      <c r="E1231" s="2266">
        <v>2343</v>
      </c>
      <c r="F1231" s="2266" t="s">
        <v>5700</v>
      </c>
      <c r="G1231" s="2266" t="s">
        <v>5700</v>
      </c>
      <c r="H1231" s="2436">
        <v>51451</v>
      </c>
      <c r="I1231" s="2436">
        <v>48176</v>
      </c>
      <c r="J1231" s="2446">
        <v>1</v>
      </c>
      <c r="K1231" s="2436">
        <v>51451</v>
      </c>
      <c r="L1231" s="2436">
        <v>48176</v>
      </c>
      <c r="M1231" s="2266">
        <v>599</v>
      </c>
    </row>
    <row r="1232" spans="1:13" ht="15">
      <c r="A1232" s="2266" t="s">
        <v>4205</v>
      </c>
      <c r="B1232" s="1694" t="str">
        <f>CONCATENATE(LEFT(RIGHT(CONCATENATE("000",IFAData_TEA!A1232),6),3),"-",(RIGHT(RIGHT(CONCATENATE("000",IFAData_TEA!A1232),6),3)))</f>
        <v>111-902</v>
      </c>
      <c r="C1232" s="2266" t="s">
        <v>1763</v>
      </c>
      <c r="D1232" s="2266">
        <v>2</v>
      </c>
      <c r="E1232" s="2266">
        <v>2023</v>
      </c>
      <c r="F1232" s="2266" t="s">
        <v>5701</v>
      </c>
      <c r="G1232" s="2266" t="s">
        <v>5701</v>
      </c>
      <c r="H1232" s="2436">
        <v>100000</v>
      </c>
      <c r="I1232" s="2436">
        <v>0</v>
      </c>
      <c r="J1232" s="2446">
        <v>0</v>
      </c>
      <c r="K1232" s="2436">
        <v>0</v>
      </c>
      <c r="L1232" s="2436">
        <v>0</v>
      </c>
      <c r="M1232" s="2266">
        <v>599</v>
      </c>
    </row>
    <row r="1233" spans="1:13" ht="15">
      <c r="A1233" s="2266" t="s">
        <v>4205</v>
      </c>
      <c r="B1233" s="1694" t="str">
        <f>CONCATENATE(LEFT(RIGHT(CONCATENATE("000",IFAData_TEA!A1233),6),3),"-",(RIGHT(RIGHT(CONCATENATE("000",IFAData_TEA!A1233),6),3)))</f>
        <v>111-902</v>
      </c>
      <c r="C1233" s="2266" t="s">
        <v>1763</v>
      </c>
      <c r="D1233" s="2266">
        <v>2</v>
      </c>
      <c r="E1233" s="2266">
        <v>2023</v>
      </c>
      <c r="F1233" s="2266" t="s">
        <v>5701</v>
      </c>
      <c r="G1233" s="2266" t="s">
        <v>5702</v>
      </c>
      <c r="H1233" s="2436">
        <v>100000</v>
      </c>
      <c r="I1233" s="2436">
        <v>87280</v>
      </c>
      <c r="J1233" s="2446">
        <v>1</v>
      </c>
      <c r="K1233" s="2436">
        <v>100000</v>
      </c>
      <c r="L1233" s="2436">
        <v>87280</v>
      </c>
      <c r="M1233" s="2266">
        <v>599</v>
      </c>
    </row>
    <row r="1234" spans="1:13" ht="15">
      <c r="A1234" s="2266" t="s">
        <v>4205</v>
      </c>
      <c r="B1234" s="1694" t="str">
        <f>CONCATENATE(LEFT(RIGHT(CONCATENATE("000",IFAData_TEA!A1234),6),3),"-",(RIGHT(RIGHT(CONCATENATE("000",IFAData_TEA!A1234),6),3)))</f>
        <v>111-902</v>
      </c>
      <c r="C1234" s="2266" t="s">
        <v>1763</v>
      </c>
      <c r="D1234" s="2266">
        <v>3</v>
      </c>
      <c r="E1234" s="2266">
        <v>2024</v>
      </c>
      <c r="F1234" s="2266" t="s">
        <v>5703</v>
      </c>
      <c r="G1234" s="2266" t="s">
        <v>5703</v>
      </c>
      <c r="H1234" s="2436">
        <v>100000</v>
      </c>
      <c r="I1234" s="2436">
        <v>155000</v>
      </c>
      <c r="J1234" s="2446">
        <v>1</v>
      </c>
      <c r="K1234" s="2436">
        <v>100000</v>
      </c>
      <c r="L1234" s="2436">
        <v>100000</v>
      </c>
      <c r="M1234" s="2266">
        <v>599</v>
      </c>
    </row>
    <row r="1235" spans="1:13" ht="15">
      <c r="A1235" s="2266" t="s">
        <v>4206</v>
      </c>
      <c r="B1235" s="1694" t="str">
        <f>CONCATENATE(LEFT(RIGHT(CONCATENATE("000",IFAData_TEA!A1235),6),3),"-",(RIGHT(RIGHT(CONCATENATE("000",IFAData_TEA!A1235),6),3)))</f>
        <v>111-903</v>
      </c>
      <c r="C1235" s="2266" t="s">
        <v>660</v>
      </c>
      <c r="D1235" s="2266">
        <v>3</v>
      </c>
      <c r="E1235" s="2266">
        <v>2394</v>
      </c>
      <c r="F1235" s="2266" t="s">
        <v>5704</v>
      </c>
      <c r="G1235" s="2266" t="s">
        <v>5704</v>
      </c>
      <c r="H1235" s="2436">
        <v>142382</v>
      </c>
      <c r="I1235" s="2436">
        <v>0</v>
      </c>
      <c r="J1235" s="2446">
        <v>0</v>
      </c>
      <c r="K1235" s="2436">
        <v>0</v>
      </c>
      <c r="L1235" s="2436">
        <v>0</v>
      </c>
      <c r="M1235" s="2266">
        <v>599</v>
      </c>
    </row>
    <row r="1236" spans="1:13" ht="15">
      <c r="A1236" s="2266" t="s">
        <v>4206</v>
      </c>
      <c r="B1236" s="1694" t="str">
        <f>CONCATENATE(LEFT(RIGHT(CONCATENATE("000",IFAData_TEA!A1236),6),3),"-",(RIGHT(RIGHT(CONCATENATE("000",IFAData_TEA!A1236),6),3)))</f>
        <v>111-903</v>
      </c>
      <c r="C1236" s="2266" t="s">
        <v>660</v>
      </c>
      <c r="D1236" s="2266">
        <v>3</v>
      </c>
      <c r="E1236" s="2266">
        <v>2394</v>
      </c>
      <c r="F1236" s="2266" t="s">
        <v>5704</v>
      </c>
      <c r="G1236" s="2266" t="s">
        <v>5705</v>
      </c>
      <c r="H1236" s="2436">
        <v>142382</v>
      </c>
      <c r="I1236" s="2436">
        <v>208713</v>
      </c>
      <c r="J1236" s="2446">
        <v>1</v>
      </c>
      <c r="K1236" s="2436">
        <v>142382</v>
      </c>
      <c r="L1236" s="2436">
        <v>142382</v>
      </c>
      <c r="M1236" s="2266">
        <v>599</v>
      </c>
    </row>
    <row r="1237" spans="1:13" ht="15">
      <c r="A1237" s="2266" t="s">
        <v>4207</v>
      </c>
      <c r="B1237" s="1694" t="str">
        <f>CONCATENATE(LEFT(RIGHT(CONCATENATE("000",IFAData_TEA!A1237),6),3),"-",(RIGHT(RIGHT(CONCATENATE("000",IFAData_TEA!A1237),6),3)))</f>
        <v>112-901</v>
      </c>
      <c r="C1237" s="2266" t="s">
        <v>248</v>
      </c>
      <c r="D1237" s="2266">
        <v>10</v>
      </c>
      <c r="E1237" s="2266">
        <v>2387</v>
      </c>
      <c r="F1237" s="2266" t="s">
        <v>5706</v>
      </c>
      <c r="G1237" s="2266" t="s">
        <v>5706</v>
      </c>
      <c r="H1237" s="2436">
        <v>922406</v>
      </c>
      <c r="I1237" s="2436">
        <v>2082977</v>
      </c>
      <c r="J1237" s="2446">
        <v>1</v>
      </c>
      <c r="K1237" s="2436">
        <v>922406</v>
      </c>
      <c r="L1237" s="2436">
        <v>922406</v>
      </c>
      <c r="M1237" s="2266">
        <v>599</v>
      </c>
    </row>
    <row r="1238" spans="1:13" ht="15">
      <c r="A1238" s="2266" t="s">
        <v>4208</v>
      </c>
      <c r="B1238" s="1694" t="str">
        <f>CONCATENATE(LEFT(RIGHT(CONCATENATE("000",IFAData_TEA!A1238),6),3),"-",(RIGHT(RIGHT(CONCATENATE("000",IFAData_TEA!A1238),6),3)))</f>
        <v>112-905</v>
      </c>
      <c r="C1238" s="2266" t="s">
        <v>462</v>
      </c>
      <c r="D1238" s="2266">
        <v>5</v>
      </c>
      <c r="E1238" s="2266">
        <v>1742</v>
      </c>
      <c r="F1238" s="2266" t="s">
        <v>5707</v>
      </c>
      <c r="G1238" s="2266" t="s">
        <v>5707</v>
      </c>
      <c r="H1238" s="2436">
        <v>100000</v>
      </c>
      <c r="I1238" s="2436">
        <v>0</v>
      </c>
      <c r="J1238" s="2446">
        <v>0</v>
      </c>
      <c r="K1238" s="2436">
        <v>0</v>
      </c>
      <c r="L1238" s="2436">
        <v>0</v>
      </c>
      <c r="M1238" s="2266">
        <v>599</v>
      </c>
    </row>
    <row r="1239" spans="1:13" ht="15">
      <c r="A1239" s="2266" t="s">
        <v>4208</v>
      </c>
      <c r="B1239" s="1694" t="str">
        <f>CONCATENATE(LEFT(RIGHT(CONCATENATE("000",IFAData_TEA!A1239),6),3),"-",(RIGHT(RIGHT(CONCATENATE("000",IFAData_TEA!A1239),6),3)))</f>
        <v>112-905</v>
      </c>
      <c r="C1239" s="2266" t="s">
        <v>462</v>
      </c>
      <c r="D1239" s="2266">
        <v>5</v>
      </c>
      <c r="E1239" s="2266">
        <v>1742</v>
      </c>
      <c r="F1239" s="2266" t="s">
        <v>5707</v>
      </c>
      <c r="G1239" s="2266" t="s">
        <v>5708</v>
      </c>
      <c r="H1239" s="2436">
        <v>100000</v>
      </c>
      <c r="I1239" s="2436">
        <v>94900</v>
      </c>
      <c r="J1239" s="2446">
        <v>1</v>
      </c>
      <c r="K1239" s="2436">
        <v>100000</v>
      </c>
      <c r="L1239" s="2436">
        <v>94900</v>
      </c>
      <c r="M1239" s="2266">
        <v>599</v>
      </c>
    </row>
    <row r="1240" spans="1:13" ht="15">
      <c r="A1240" s="2266" t="s">
        <v>4209</v>
      </c>
      <c r="B1240" s="1694" t="str">
        <f>CONCATENATE(LEFT(RIGHT(CONCATENATE("000",IFAData_TEA!A1240),6),3),"-",(RIGHT(RIGHT(CONCATENATE("000",IFAData_TEA!A1240),6),3)))</f>
        <v>112-907</v>
      </c>
      <c r="C1240" s="2266" t="s">
        <v>2557</v>
      </c>
      <c r="D1240" s="2266">
        <v>6</v>
      </c>
      <c r="E1240" s="2266">
        <v>2106</v>
      </c>
      <c r="F1240" s="2266" t="s">
        <v>5711</v>
      </c>
      <c r="G1240" s="2266" t="s">
        <v>5710</v>
      </c>
      <c r="H1240" s="2436">
        <v>94341</v>
      </c>
      <c r="I1240" s="2436">
        <v>101226</v>
      </c>
      <c r="J1240" s="2446">
        <v>1</v>
      </c>
      <c r="K1240" s="2436">
        <v>94341</v>
      </c>
      <c r="L1240" s="2436">
        <v>94341</v>
      </c>
      <c r="M1240" s="2266">
        <v>599</v>
      </c>
    </row>
    <row r="1241" spans="1:13" ht="15">
      <c r="A1241" s="2266" t="s">
        <v>4209</v>
      </c>
      <c r="B1241" s="1694" t="str">
        <f>CONCATENATE(LEFT(RIGHT(CONCATENATE("000",IFAData_TEA!A1241),6),3),"-",(RIGHT(RIGHT(CONCATENATE("000",IFAData_TEA!A1241),6),3)))</f>
        <v>112-907</v>
      </c>
      <c r="C1241" s="2266" t="s">
        <v>2557</v>
      </c>
      <c r="D1241" s="2266">
        <v>4</v>
      </c>
      <c r="E1241" s="2266">
        <v>2107</v>
      </c>
      <c r="F1241" s="2266" t="s">
        <v>5709</v>
      </c>
      <c r="G1241" s="2266" t="s">
        <v>5710</v>
      </c>
      <c r="H1241" s="2436">
        <v>98475</v>
      </c>
      <c r="I1241" s="2436">
        <v>80724</v>
      </c>
      <c r="J1241" s="2446">
        <v>1</v>
      </c>
      <c r="K1241" s="2436">
        <v>98475</v>
      </c>
      <c r="L1241" s="2436">
        <v>80724</v>
      </c>
      <c r="M1241" s="2266">
        <v>599</v>
      </c>
    </row>
    <row r="1242" spans="1:13" ht="15">
      <c r="A1242" s="2266" t="s">
        <v>4209</v>
      </c>
      <c r="B1242" s="1694" t="str">
        <f>CONCATENATE(LEFT(RIGHT(CONCATENATE("000",IFAData_TEA!A1242),6),3),"-",(RIGHT(RIGHT(CONCATENATE("000",IFAData_TEA!A1242),6),3)))</f>
        <v>112-907</v>
      </c>
      <c r="C1242" s="2266" t="s">
        <v>2557</v>
      </c>
      <c r="D1242" s="2266">
        <v>4</v>
      </c>
      <c r="E1242" s="2266">
        <v>2107</v>
      </c>
      <c r="F1242" s="2266" t="s">
        <v>5709</v>
      </c>
      <c r="G1242" s="2266" t="s">
        <v>5709</v>
      </c>
      <c r="H1242" s="2436">
        <v>98475</v>
      </c>
      <c r="I1242" s="2436">
        <v>0</v>
      </c>
      <c r="J1242" s="2446">
        <v>0</v>
      </c>
      <c r="K1242" s="2436">
        <v>0</v>
      </c>
      <c r="L1242" s="2436">
        <v>0</v>
      </c>
      <c r="M1242" s="2266">
        <v>599</v>
      </c>
    </row>
    <row r="1243" spans="1:13" ht="15">
      <c r="A1243" s="2266" t="s">
        <v>4209</v>
      </c>
      <c r="B1243" s="1694" t="str">
        <f>CONCATENATE(LEFT(RIGHT(CONCATENATE("000",IFAData_TEA!A1243),6),3),"-",(RIGHT(RIGHT(CONCATENATE("000",IFAData_TEA!A1243),6),3)))</f>
        <v>112-907</v>
      </c>
      <c r="C1243" s="2266" t="s">
        <v>2557</v>
      </c>
      <c r="D1243" s="2266">
        <v>6</v>
      </c>
      <c r="E1243" s="2266">
        <v>2106</v>
      </c>
      <c r="F1243" s="2266" t="s">
        <v>5711</v>
      </c>
      <c r="G1243" s="2266" t="s">
        <v>5711</v>
      </c>
      <c r="H1243" s="2436">
        <v>94341</v>
      </c>
      <c r="I1243" s="2436">
        <v>0</v>
      </c>
      <c r="J1243" s="2446">
        <v>0</v>
      </c>
      <c r="K1243" s="2436">
        <v>0</v>
      </c>
      <c r="L1243" s="2436">
        <v>0</v>
      </c>
      <c r="M1243" s="2266">
        <v>599</v>
      </c>
    </row>
    <row r="1244" spans="1:13" ht="15">
      <c r="A1244" s="2266" t="s">
        <v>4210</v>
      </c>
      <c r="B1244" s="1694" t="str">
        <f>CONCATENATE(LEFT(RIGHT(CONCATENATE("000",IFAData_TEA!A1244),6),3),"-",(RIGHT(RIGHT(CONCATENATE("000",IFAData_TEA!A1244),6),3)))</f>
        <v>112-910</v>
      </c>
      <c r="C1244" s="2266" t="s">
        <v>2216</v>
      </c>
      <c r="D1244" s="2266">
        <v>5</v>
      </c>
      <c r="E1244" s="2266">
        <v>2386</v>
      </c>
      <c r="F1244" s="2266" t="s">
        <v>5712</v>
      </c>
      <c r="G1244" s="2266" t="s">
        <v>5712</v>
      </c>
      <c r="H1244" s="2436">
        <v>100000</v>
      </c>
      <c r="I1244" s="2436">
        <v>0</v>
      </c>
      <c r="J1244" s="2446">
        <v>0</v>
      </c>
      <c r="K1244" s="2436">
        <v>0</v>
      </c>
      <c r="L1244" s="2436">
        <v>0</v>
      </c>
      <c r="M1244" s="2266">
        <v>599</v>
      </c>
    </row>
    <row r="1245" spans="1:13" ht="15">
      <c r="A1245" s="2266" t="s">
        <v>4210</v>
      </c>
      <c r="B1245" s="1694" t="str">
        <f>CONCATENATE(LEFT(RIGHT(CONCATENATE("000",IFAData_TEA!A1245),6),3),"-",(RIGHT(RIGHT(CONCATENATE("000",IFAData_TEA!A1245),6),3)))</f>
        <v>112-910</v>
      </c>
      <c r="C1245" s="2266" t="s">
        <v>2216</v>
      </c>
      <c r="D1245" s="2266">
        <v>5</v>
      </c>
      <c r="E1245" s="2266">
        <v>2386</v>
      </c>
      <c r="F1245" s="2266" t="s">
        <v>5712</v>
      </c>
      <c r="G1245" s="2266" t="s">
        <v>5713</v>
      </c>
      <c r="H1245" s="2436">
        <v>100000</v>
      </c>
      <c r="I1245" s="2436">
        <v>86799</v>
      </c>
      <c r="J1245" s="2446">
        <v>1</v>
      </c>
      <c r="K1245" s="2436">
        <v>100000</v>
      </c>
      <c r="L1245" s="2436">
        <v>86799</v>
      </c>
      <c r="M1245" s="2266">
        <v>599</v>
      </c>
    </row>
    <row r="1246" spans="1:13" ht="15">
      <c r="A1246" s="2266" t="s">
        <v>4211</v>
      </c>
      <c r="B1246" s="1694" t="str">
        <f>CONCATENATE(LEFT(RIGHT(CONCATENATE("000",IFAData_TEA!A1246),6),3),"-",(RIGHT(RIGHT(CONCATENATE("000",IFAData_TEA!A1246),6),3)))</f>
        <v>114-901</v>
      </c>
      <c r="C1246" s="2266" t="s">
        <v>1769</v>
      </c>
      <c r="D1246" s="2266">
        <v>10</v>
      </c>
      <c r="E1246" s="2266">
        <v>1608</v>
      </c>
      <c r="F1246" s="2266" t="s">
        <v>5714</v>
      </c>
      <c r="G1246" s="2266" t="s">
        <v>5714</v>
      </c>
      <c r="H1246" s="2436">
        <v>889573</v>
      </c>
      <c r="I1246" s="2436">
        <v>2633638</v>
      </c>
      <c r="J1246" s="2446">
        <v>1</v>
      </c>
      <c r="K1246" s="2436">
        <v>889573</v>
      </c>
      <c r="L1246" s="2436">
        <v>889573</v>
      </c>
      <c r="M1246" s="2266">
        <v>599</v>
      </c>
    </row>
    <row r="1247" spans="1:13" ht="15">
      <c r="A1247" s="2266" t="s">
        <v>4212</v>
      </c>
      <c r="B1247" s="1694" t="str">
        <f>CONCATENATE(LEFT(RIGHT(CONCATENATE("000",IFAData_TEA!A1247),6),3),"-",(RIGHT(RIGHT(CONCATENATE("000",IFAData_TEA!A1247),6),3)))</f>
        <v>116-901</v>
      </c>
      <c r="C1247" s="2266" t="s">
        <v>726</v>
      </c>
      <c r="D1247" s="2266">
        <v>9</v>
      </c>
      <c r="E1247" s="2266">
        <v>1657</v>
      </c>
      <c r="F1247" s="2266" t="s">
        <v>5718</v>
      </c>
      <c r="G1247" s="2266" t="s">
        <v>6999</v>
      </c>
      <c r="H1247" s="2436">
        <v>355698</v>
      </c>
      <c r="I1247" s="2436">
        <v>163110</v>
      </c>
      <c r="J1247" s="2446">
        <v>0.17185465211839226</v>
      </c>
      <c r="K1247" s="2436">
        <v>61128.35604920789</v>
      </c>
      <c r="L1247" s="2436">
        <v>61128.35604920789</v>
      </c>
      <c r="M1247" s="2266">
        <v>599</v>
      </c>
    </row>
    <row r="1248" spans="1:13" ht="15">
      <c r="A1248" s="2266" t="s">
        <v>4212</v>
      </c>
      <c r="B1248" s="1694" t="str">
        <f>CONCATENATE(LEFT(RIGHT(CONCATENATE("000",IFAData_TEA!A1248),6),3),"-",(RIGHT(RIGHT(CONCATENATE("000",IFAData_TEA!A1248),6),3)))</f>
        <v>116-901</v>
      </c>
      <c r="C1248" s="2266" t="s">
        <v>726</v>
      </c>
      <c r="D1248" s="2266">
        <v>5</v>
      </c>
      <c r="E1248" s="2266">
        <v>1658</v>
      </c>
      <c r="F1248" s="2266" t="s">
        <v>5715</v>
      </c>
      <c r="G1248" s="2266" t="s">
        <v>5716</v>
      </c>
      <c r="H1248" s="2436">
        <v>490385</v>
      </c>
      <c r="I1248" s="2436">
        <v>181123</v>
      </c>
      <c r="J1248" s="2446">
        <v>0.3733994413119891</v>
      </c>
      <c r="K1248" s="2436">
        <v>183109.48502777977</v>
      </c>
      <c r="L1248" s="2436">
        <v>181123</v>
      </c>
      <c r="M1248" s="2266">
        <v>599</v>
      </c>
    </row>
    <row r="1249" spans="1:13" ht="15">
      <c r="A1249" s="2266" t="s">
        <v>4212</v>
      </c>
      <c r="B1249" s="1694" t="str">
        <f>CONCATENATE(LEFT(RIGHT(CONCATENATE("000",IFAData_TEA!A1249),6),3),"-",(RIGHT(RIGHT(CONCATENATE("000",IFAData_TEA!A1249),6),3)))</f>
        <v>116-901</v>
      </c>
      <c r="C1249" s="2266" t="s">
        <v>726</v>
      </c>
      <c r="D1249" s="2266">
        <v>5</v>
      </c>
      <c r="E1249" s="2266">
        <v>1658</v>
      </c>
      <c r="F1249" s="2266" t="s">
        <v>5715</v>
      </c>
      <c r="G1249" s="2266" t="s">
        <v>5717</v>
      </c>
      <c r="H1249" s="2436">
        <v>490385</v>
      </c>
      <c r="I1249" s="2436">
        <v>98509</v>
      </c>
      <c r="J1249" s="2446">
        <v>0.20308412274643606</v>
      </c>
      <c r="K1249" s="2436">
        <v>99589.40753301105</v>
      </c>
      <c r="L1249" s="2436">
        <v>98509</v>
      </c>
      <c r="M1249" s="2266">
        <v>599</v>
      </c>
    </row>
    <row r="1250" spans="1:13" ht="15">
      <c r="A1250" s="2266" t="s">
        <v>4212</v>
      </c>
      <c r="B1250" s="1694" t="str">
        <f>CONCATENATE(LEFT(RIGHT(CONCATENATE("000",IFAData_TEA!A1250),6),3),"-",(RIGHT(RIGHT(CONCATENATE("000",IFAData_TEA!A1250),6),3)))</f>
        <v>116-901</v>
      </c>
      <c r="C1250" s="2266" t="s">
        <v>726</v>
      </c>
      <c r="D1250" s="2266">
        <v>5</v>
      </c>
      <c r="E1250" s="2266">
        <v>1658</v>
      </c>
      <c r="F1250" s="2266" t="s">
        <v>5715</v>
      </c>
      <c r="G1250" s="2266" t="s">
        <v>5715</v>
      </c>
      <c r="H1250" s="2436">
        <v>490385</v>
      </c>
      <c r="I1250" s="2436">
        <v>138358</v>
      </c>
      <c r="J1250" s="2446">
        <v>0.28523599929906301</v>
      </c>
      <c r="K1250" s="2436">
        <v>139875.455516271</v>
      </c>
      <c r="L1250" s="2436">
        <v>138358</v>
      </c>
      <c r="M1250" s="2266">
        <v>599</v>
      </c>
    </row>
    <row r="1251" spans="1:13" ht="15">
      <c r="A1251" s="2266" t="s">
        <v>4212</v>
      </c>
      <c r="B1251" s="1694" t="str">
        <f>CONCATENATE(LEFT(RIGHT(CONCATENATE("000",IFAData_TEA!A1251),6),3),"-",(RIGHT(RIGHT(CONCATENATE("000",IFAData_TEA!A1251),6),3)))</f>
        <v>116-901</v>
      </c>
      <c r="C1251" s="2266" t="s">
        <v>726</v>
      </c>
      <c r="D1251" s="2266">
        <v>9</v>
      </c>
      <c r="E1251" s="2266">
        <v>1657</v>
      </c>
      <c r="F1251" s="2266" t="s">
        <v>5718</v>
      </c>
      <c r="G1251" s="2266" t="s">
        <v>5718</v>
      </c>
      <c r="H1251" s="2436">
        <v>355698</v>
      </c>
      <c r="I1251" s="2436">
        <v>786006</v>
      </c>
      <c r="J1251" s="2446">
        <v>0.82814534788160776</v>
      </c>
      <c r="K1251" s="2436">
        <v>294569.64395079215</v>
      </c>
      <c r="L1251" s="2436">
        <v>294569.64395079215</v>
      </c>
      <c r="M1251" s="2266">
        <v>599</v>
      </c>
    </row>
    <row r="1252" spans="1:13" ht="15">
      <c r="A1252" s="2266" t="s">
        <v>4212</v>
      </c>
      <c r="B1252" s="1694" t="str">
        <f>CONCATENATE(LEFT(RIGHT(CONCATENATE("000",IFAData_TEA!A1252),6),3),"-",(RIGHT(RIGHT(CONCATENATE("000",IFAData_TEA!A1252),6),3)))</f>
        <v>116-901</v>
      </c>
      <c r="C1252" s="2266" t="s">
        <v>726</v>
      </c>
      <c r="D1252" s="2266">
        <v>5</v>
      </c>
      <c r="E1252" s="2266">
        <v>1658</v>
      </c>
      <c r="F1252" s="2266" t="s">
        <v>5715</v>
      </c>
      <c r="G1252" s="2266" t="s">
        <v>7000</v>
      </c>
      <c r="H1252" s="2436">
        <v>490385</v>
      </c>
      <c r="I1252" s="2436">
        <v>67075</v>
      </c>
      <c r="J1252" s="2446">
        <v>0.13828043664251183</v>
      </c>
      <c r="K1252" s="2436">
        <v>67810.651922938167</v>
      </c>
      <c r="L1252" s="2436">
        <v>67075</v>
      </c>
      <c r="M1252" s="2266">
        <v>599</v>
      </c>
    </row>
    <row r="1253" spans="1:13" ht="15">
      <c r="A1253" s="2266" t="s">
        <v>4213</v>
      </c>
      <c r="B1253" s="1694" t="str">
        <f>CONCATENATE(LEFT(RIGHT(CONCATENATE("000",IFAData_TEA!A1253),6),3),"-",(RIGHT(RIGHT(CONCATENATE("000",IFAData_TEA!A1253),6),3)))</f>
        <v>116-902</v>
      </c>
      <c r="C1253" s="2266" t="s">
        <v>1775</v>
      </c>
      <c r="D1253" s="2266">
        <v>9</v>
      </c>
      <c r="E1253" s="2266">
        <v>1670</v>
      </c>
      <c r="F1253" s="2266" t="s">
        <v>5719</v>
      </c>
      <c r="G1253" s="2266" t="s">
        <v>7001</v>
      </c>
      <c r="H1253" s="2436">
        <v>123500</v>
      </c>
      <c r="I1253" s="2436">
        <v>0</v>
      </c>
      <c r="J1253" s="2446">
        <v>0</v>
      </c>
      <c r="K1253" s="2436">
        <v>0</v>
      </c>
      <c r="L1253" s="2436">
        <v>0</v>
      </c>
      <c r="M1253" s="2266">
        <v>599</v>
      </c>
    </row>
    <row r="1254" spans="1:13" ht="15">
      <c r="A1254" s="2266" t="s">
        <v>4213</v>
      </c>
      <c r="B1254" s="1694" t="str">
        <f>CONCATENATE(LEFT(RIGHT(CONCATENATE("000",IFAData_TEA!A1254),6),3),"-",(RIGHT(RIGHT(CONCATENATE("000",IFAData_TEA!A1254),6),3)))</f>
        <v>116-902</v>
      </c>
      <c r="C1254" s="2266" t="s">
        <v>1775</v>
      </c>
      <c r="D1254" s="2266">
        <v>9</v>
      </c>
      <c r="E1254" s="2266">
        <v>1670</v>
      </c>
      <c r="F1254" s="2266" t="s">
        <v>5719</v>
      </c>
      <c r="G1254" s="2266" t="s">
        <v>5719</v>
      </c>
      <c r="H1254" s="2436">
        <v>123500</v>
      </c>
      <c r="I1254" s="2436">
        <v>473227</v>
      </c>
      <c r="J1254" s="2446">
        <v>1</v>
      </c>
      <c r="K1254" s="2436">
        <v>123500</v>
      </c>
      <c r="L1254" s="2436">
        <v>123500</v>
      </c>
      <c r="M1254" s="2266">
        <v>599</v>
      </c>
    </row>
    <row r="1255" spans="1:13" ht="15">
      <c r="A1255" s="2266" t="s">
        <v>4214</v>
      </c>
      <c r="B1255" s="1694" t="str">
        <f>CONCATENATE(LEFT(RIGHT(CONCATENATE("000",IFAData_TEA!A1255),6),3),"-",(RIGHT(RIGHT(CONCATENATE("000",IFAData_TEA!A1255),6),3)))</f>
        <v>116-903</v>
      </c>
      <c r="C1255" s="2266" t="s">
        <v>1743</v>
      </c>
      <c r="D1255" s="2266">
        <v>5</v>
      </c>
      <c r="E1255" s="2266">
        <v>1711</v>
      </c>
      <c r="F1255" s="2266" t="s">
        <v>5720</v>
      </c>
      <c r="G1255" s="2266" t="s">
        <v>5722</v>
      </c>
      <c r="H1255" s="2436">
        <v>568204</v>
      </c>
      <c r="I1255" s="2436">
        <v>190983</v>
      </c>
      <c r="J1255" s="2446">
        <v>0.16144310863975034</v>
      </c>
      <c r="K1255" s="2436">
        <v>91732.620101540699</v>
      </c>
      <c r="L1255" s="2436">
        <v>91732.620101540699</v>
      </c>
      <c r="M1255" s="2266">
        <v>599</v>
      </c>
    </row>
    <row r="1256" spans="1:13" ht="15">
      <c r="A1256" s="2266" t="s">
        <v>4214</v>
      </c>
      <c r="B1256" s="1694" t="str">
        <f>CONCATENATE(LEFT(RIGHT(CONCATENATE("000",IFAData_TEA!A1256),6),3),"-",(RIGHT(RIGHT(CONCATENATE("000",IFAData_TEA!A1256),6),3)))</f>
        <v>116-903</v>
      </c>
      <c r="C1256" s="2266" t="s">
        <v>1743</v>
      </c>
      <c r="D1256" s="2266">
        <v>5</v>
      </c>
      <c r="E1256" s="2266">
        <v>1711</v>
      </c>
      <c r="F1256" s="2266" t="s">
        <v>5720</v>
      </c>
      <c r="G1256" s="2266" t="s">
        <v>7002</v>
      </c>
      <c r="H1256" s="2436">
        <v>568204</v>
      </c>
      <c r="I1256" s="2436">
        <v>0</v>
      </c>
      <c r="J1256" s="2446">
        <v>0</v>
      </c>
      <c r="K1256" s="2436">
        <v>0</v>
      </c>
      <c r="L1256" s="2436">
        <v>0</v>
      </c>
      <c r="M1256" s="2266">
        <v>599</v>
      </c>
    </row>
    <row r="1257" spans="1:13" ht="15">
      <c r="A1257" s="2266" t="s">
        <v>4214</v>
      </c>
      <c r="B1257" s="1694" t="str">
        <f>CONCATENATE(LEFT(RIGHT(CONCATENATE("000",IFAData_TEA!A1257),6),3),"-",(RIGHT(RIGHT(CONCATENATE("000",IFAData_TEA!A1257),6),3)))</f>
        <v>116-903</v>
      </c>
      <c r="C1257" s="2266" t="s">
        <v>1743</v>
      </c>
      <c r="D1257" s="2266">
        <v>5</v>
      </c>
      <c r="E1257" s="2266">
        <v>1711</v>
      </c>
      <c r="F1257" s="2266" t="s">
        <v>5720</v>
      </c>
      <c r="G1257" s="2266" t="s">
        <v>5720</v>
      </c>
      <c r="H1257" s="2436">
        <v>568204</v>
      </c>
      <c r="I1257" s="2436">
        <v>0</v>
      </c>
      <c r="J1257" s="2446">
        <v>0</v>
      </c>
      <c r="K1257" s="2436">
        <v>0</v>
      </c>
      <c r="L1257" s="2436">
        <v>0</v>
      </c>
      <c r="M1257" s="2266">
        <v>599</v>
      </c>
    </row>
    <row r="1258" spans="1:13" ht="15">
      <c r="A1258" s="2266" t="s">
        <v>4214</v>
      </c>
      <c r="B1258" s="1694" t="str">
        <f>CONCATENATE(LEFT(RIGHT(CONCATENATE("000",IFAData_TEA!A1258),6),3),"-",(RIGHT(RIGHT(CONCATENATE("000",IFAData_TEA!A1258),6),3)))</f>
        <v>116-903</v>
      </c>
      <c r="C1258" s="2266" t="s">
        <v>1743</v>
      </c>
      <c r="D1258" s="2266">
        <v>5</v>
      </c>
      <c r="E1258" s="2266">
        <v>1711</v>
      </c>
      <c r="F1258" s="2266" t="s">
        <v>5720</v>
      </c>
      <c r="G1258" s="2266" t="s">
        <v>5721</v>
      </c>
      <c r="H1258" s="2436">
        <v>568204</v>
      </c>
      <c r="I1258" s="2436">
        <v>991991</v>
      </c>
      <c r="J1258" s="2446">
        <v>0.83855689136024969</v>
      </c>
      <c r="K1258" s="2436">
        <v>476471.3798984593</v>
      </c>
      <c r="L1258" s="2436">
        <v>476471.3798984593</v>
      </c>
      <c r="M1258" s="2266">
        <v>599</v>
      </c>
    </row>
    <row r="1259" spans="1:13" ht="15">
      <c r="A1259" s="2266" t="s">
        <v>4215</v>
      </c>
      <c r="B1259" s="1694" t="str">
        <f>CONCATENATE(LEFT(RIGHT(CONCATENATE("000",IFAData_TEA!A1259),6),3),"-",(RIGHT(RIGHT(CONCATENATE("000",IFAData_TEA!A1259),6),3)))</f>
        <v>116-906</v>
      </c>
      <c r="C1259" s="2266" t="s">
        <v>2435</v>
      </c>
      <c r="D1259" s="2266">
        <v>4</v>
      </c>
      <c r="E1259" s="2266">
        <v>2033</v>
      </c>
      <c r="F1259" s="2266" t="s">
        <v>5723</v>
      </c>
      <c r="G1259" s="2266" t="s">
        <v>5724</v>
      </c>
      <c r="H1259" s="2436">
        <v>179503</v>
      </c>
      <c r="I1259" s="2436">
        <v>231027</v>
      </c>
      <c r="J1259" s="2446">
        <v>0.46370385832793076</v>
      </c>
      <c r="K1259" s="2436">
        <v>83236.233681438549</v>
      </c>
      <c r="L1259" s="2436">
        <v>83236.233681438549</v>
      </c>
      <c r="M1259" s="2266">
        <v>599</v>
      </c>
    </row>
    <row r="1260" spans="1:13" ht="15">
      <c r="A1260" s="2266" t="s">
        <v>4215</v>
      </c>
      <c r="B1260" s="1694" t="str">
        <f>CONCATENATE(LEFT(RIGHT(CONCATENATE("000",IFAData_TEA!A1260),6),3),"-",(RIGHT(RIGHT(CONCATENATE("000",IFAData_TEA!A1260),6),3)))</f>
        <v>116-906</v>
      </c>
      <c r="C1260" s="2266" t="s">
        <v>2435</v>
      </c>
      <c r="D1260" s="2266">
        <v>4</v>
      </c>
      <c r="E1260" s="2266">
        <v>2033</v>
      </c>
      <c r="F1260" s="2266" t="s">
        <v>5723</v>
      </c>
      <c r="G1260" s="2266" t="s">
        <v>5723</v>
      </c>
      <c r="H1260" s="2436">
        <v>179503</v>
      </c>
      <c r="I1260" s="2436">
        <v>267194</v>
      </c>
      <c r="J1260" s="2446">
        <v>0.53629614167206918</v>
      </c>
      <c r="K1260" s="2436">
        <v>96266.766318561436</v>
      </c>
      <c r="L1260" s="2436">
        <v>96266.766318561436</v>
      </c>
      <c r="M1260" s="2266">
        <v>599</v>
      </c>
    </row>
    <row r="1261" spans="1:13" ht="15">
      <c r="A1261" s="2266" t="s">
        <v>4216</v>
      </c>
      <c r="B1261" s="1694" t="str">
        <f>CONCATENATE(LEFT(RIGHT(CONCATENATE("000",IFAData_TEA!A1261),6),3),"-",(RIGHT(RIGHT(CONCATENATE("000",IFAData_TEA!A1261),6),3)))</f>
        <v>116-908</v>
      </c>
      <c r="C1261" s="2266" t="s">
        <v>90</v>
      </c>
      <c r="D1261" s="2266">
        <v>6</v>
      </c>
      <c r="E1261" s="2266">
        <v>2224</v>
      </c>
      <c r="F1261" s="2266" t="s">
        <v>5727</v>
      </c>
      <c r="G1261" s="2266" t="s">
        <v>5728</v>
      </c>
      <c r="H1261" s="2436">
        <v>685070</v>
      </c>
      <c r="I1261" s="2436">
        <v>625560</v>
      </c>
      <c r="J1261" s="2446">
        <v>1</v>
      </c>
      <c r="K1261" s="2436">
        <v>685070</v>
      </c>
      <c r="L1261" s="2436">
        <v>625560</v>
      </c>
      <c r="M1261" s="2266">
        <v>599</v>
      </c>
    </row>
    <row r="1262" spans="1:13" ht="15">
      <c r="A1262" s="2266" t="s">
        <v>4216</v>
      </c>
      <c r="B1262" s="1694" t="str">
        <f>CONCATENATE(LEFT(RIGHT(CONCATENATE("000",IFAData_TEA!A1262),6),3),"-",(RIGHT(RIGHT(CONCATENATE("000",IFAData_TEA!A1262),6),3)))</f>
        <v>116-908</v>
      </c>
      <c r="C1262" s="2266" t="s">
        <v>90</v>
      </c>
      <c r="D1262" s="2266">
        <v>1</v>
      </c>
      <c r="E1262" s="2266">
        <v>2223</v>
      </c>
      <c r="F1262" s="2266" t="s">
        <v>5725</v>
      </c>
      <c r="G1262" s="2266" t="s">
        <v>5725</v>
      </c>
      <c r="H1262" s="2436">
        <v>647776</v>
      </c>
      <c r="I1262" s="2436">
        <v>0</v>
      </c>
      <c r="J1262" s="2446">
        <v>0</v>
      </c>
      <c r="K1262" s="2436">
        <v>0</v>
      </c>
      <c r="L1262" s="2436">
        <v>0</v>
      </c>
      <c r="M1262" s="2266">
        <v>599</v>
      </c>
    </row>
    <row r="1263" spans="1:13" ht="15">
      <c r="A1263" s="2266" t="s">
        <v>4216</v>
      </c>
      <c r="B1263" s="1694" t="str">
        <f>CONCATENATE(LEFT(RIGHT(CONCATENATE("000",IFAData_TEA!A1263),6),3),"-",(RIGHT(RIGHT(CONCATENATE("000",IFAData_TEA!A1263),6),3)))</f>
        <v>116-908</v>
      </c>
      <c r="C1263" s="2266" t="s">
        <v>90</v>
      </c>
      <c r="D1263" s="2266">
        <v>6</v>
      </c>
      <c r="E1263" s="2266">
        <v>2224</v>
      </c>
      <c r="F1263" s="2266" t="s">
        <v>5727</v>
      </c>
      <c r="G1263" s="2266" t="s">
        <v>5727</v>
      </c>
      <c r="H1263" s="2436">
        <v>685070</v>
      </c>
      <c r="I1263" s="2436">
        <v>0</v>
      </c>
      <c r="J1263" s="2446">
        <v>0</v>
      </c>
      <c r="K1263" s="2436">
        <v>0</v>
      </c>
      <c r="L1263" s="2436">
        <v>0</v>
      </c>
      <c r="M1263" s="2266">
        <v>599</v>
      </c>
    </row>
    <row r="1264" spans="1:13" ht="15">
      <c r="A1264" s="2266" t="s">
        <v>4216</v>
      </c>
      <c r="B1264" s="1694" t="str">
        <f>CONCATENATE(LEFT(RIGHT(CONCATENATE("000",IFAData_TEA!A1264),6),3),"-",(RIGHT(RIGHT(CONCATENATE("000",IFAData_TEA!A1264),6),3)))</f>
        <v>116-908</v>
      </c>
      <c r="C1264" s="2266" t="s">
        <v>90</v>
      </c>
      <c r="D1264" s="2266">
        <v>1</v>
      </c>
      <c r="E1264" s="2266">
        <v>2223</v>
      </c>
      <c r="F1264" s="2266" t="s">
        <v>5725</v>
      </c>
      <c r="G1264" s="2266" t="s">
        <v>5726</v>
      </c>
      <c r="H1264" s="2436">
        <v>647776</v>
      </c>
      <c r="I1264" s="2436">
        <v>593445</v>
      </c>
      <c r="J1264" s="2446">
        <v>1</v>
      </c>
      <c r="K1264" s="2436">
        <v>647776</v>
      </c>
      <c r="L1264" s="2436">
        <v>593445</v>
      </c>
      <c r="M1264" s="2266">
        <v>599</v>
      </c>
    </row>
    <row r="1265" spans="1:13" ht="15">
      <c r="A1265" s="2266" t="s">
        <v>4217</v>
      </c>
      <c r="B1265" s="1694" t="str">
        <f>CONCATENATE(LEFT(RIGHT(CONCATENATE("000",IFAData_TEA!A1265),6),3),"-",(RIGHT(RIGHT(CONCATENATE("000",IFAData_TEA!A1265),6),3)))</f>
        <v>116-909</v>
      </c>
      <c r="C1265" s="2266" t="s">
        <v>1292</v>
      </c>
      <c r="D1265" s="2266">
        <v>5</v>
      </c>
      <c r="E1265" s="2266">
        <v>2461</v>
      </c>
      <c r="F1265" s="2266" t="s">
        <v>5729</v>
      </c>
      <c r="G1265" s="2266" t="s">
        <v>5729</v>
      </c>
      <c r="H1265" s="2436">
        <v>144000</v>
      </c>
      <c r="I1265" s="2436">
        <v>0</v>
      </c>
      <c r="J1265" s="2446">
        <v>0</v>
      </c>
      <c r="K1265" s="2436">
        <v>0</v>
      </c>
      <c r="L1265" s="2436">
        <v>0</v>
      </c>
      <c r="M1265" s="2266">
        <v>599</v>
      </c>
    </row>
    <row r="1266" spans="1:13" ht="15">
      <c r="A1266" s="2266" t="s">
        <v>4217</v>
      </c>
      <c r="B1266" s="1694" t="str">
        <f>CONCATENATE(LEFT(RIGHT(CONCATENATE("000",IFAData_TEA!A1266),6),3),"-",(RIGHT(RIGHT(CONCATENATE("000",IFAData_TEA!A1266),6),3)))</f>
        <v>116-909</v>
      </c>
      <c r="C1266" s="2266" t="s">
        <v>1292</v>
      </c>
      <c r="D1266" s="2266">
        <v>5</v>
      </c>
      <c r="E1266" s="2266">
        <v>2461</v>
      </c>
      <c r="F1266" s="2266" t="s">
        <v>5729</v>
      </c>
      <c r="G1266" s="2266" t="s">
        <v>5730</v>
      </c>
      <c r="H1266" s="2436">
        <v>144000</v>
      </c>
      <c r="I1266" s="2436">
        <v>119800</v>
      </c>
      <c r="J1266" s="2446">
        <v>1</v>
      </c>
      <c r="K1266" s="2436">
        <v>144000</v>
      </c>
      <c r="L1266" s="2436">
        <v>119800</v>
      </c>
      <c r="M1266" s="2266">
        <v>599</v>
      </c>
    </row>
    <row r="1267" spans="1:13" ht="15">
      <c r="A1267" s="2266" t="s">
        <v>4218</v>
      </c>
      <c r="B1267" s="1694" t="str">
        <f>CONCATENATE(LEFT(RIGHT(CONCATENATE("000",IFAData_TEA!A1267),6),3),"-",(RIGHT(RIGHT(CONCATENATE("000",IFAData_TEA!A1267),6),3)))</f>
        <v>116-915</v>
      </c>
      <c r="C1267" s="2266" t="s">
        <v>903</v>
      </c>
      <c r="D1267" s="2266">
        <v>2</v>
      </c>
      <c r="E1267" s="2266">
        <v>1614</v>
      </c>
      <c r="F1267" s="2266" t="s">
        <v>5731</v>
      </c>
      <c r="G1267" s="2266" t="s">
        <v>5731</v>
      </c>
      <c r="H1267" s="2436">
        <v>93784</v>
      </c>
      <c r="I1267" s="2436">
        <v>0</v>
      </c>
      <c r="J1267" s="2446">
        <v>0</v>
      </c>
      <c r="K1267" s="2436"/>
      <c r="L1267" s="2436">
        <v>0</v>
      </c>
      <c r="M1267" s="2266">
        <v>199</v>
      </c>
    </row>
    <row r="1268" spans="1:13" ht="15">
      <c r="A1268" s="2266" t="s">
        <v>4218</v>
      </c>
      <c r="B1268" s="1694" t="str">
        <f>CONCATENATE(LEFT(RIGHT(CONCATENATE("000",IFAData_TEA!A1268),6),3),"-",(RIGHT(RIGHT(CONCATENATE("000",IFAData_TEA!A1268),6),3)))</f>
        <v>116-915</v>
      </c>
      <c r="C1268" s="2266" t="s">
        <v>903</v>
      </c>
      <c r="D1268" s="2266">
        <v>9</v>
      </c>
      <c r="E1268" s="2266">
        <v>1615</v>
      </c>
      <c r="F1268" s="2266" t="s">
        <v>5732</v>
      </c>
      <c r="G1268" s="2266" t="s">
        <v>5732</v>
      </c>
      <c r="H1268" s="2436">
        <v>136678</v>
      </c>
      <c r="I1268" s="2436">
        <v>734138</v>
      </c>
      <c r="J1268" s="2446">
        <v>1</v>
      </c>
      <c r="K1268" s="2436">
        <v>136678</v>
      </c>
      <c r="L1268" s="2436">
        <v>136678</v>
      </c>
      <c r="M1268" s="2266">
        <v>599</v>
      </c>
    </row>
    <row r="1269" spans="1:13" ht="15">
      <c r="A1269" s="2266" t="s">
        <v>4219</v>
      </c>
      <c r="B1269" s="1694" t="str">
        <f>CONCATENATE(LEFT(RIGHT(CONCATENATE("000",IFAData_TEA!A1269),6),3),"-",(RIGHT(RIGHT(CONCATENATE("000",IFAData_TEA!A1269),6),3)))</f>
        <v>116-916</v>
      </c>
      <c r="C1269" s="2266" t="s">
        <v>1523</v>
      </c>
      <c r="D1269" s="2266">
        <v>5</v>
      </c>
      <c r="E1269" s="2266">
        <v>1626</v>
      </c>
      <c r="F1269" s="2266" t="s">
        <v>5733</v>
      </c>
      <c r="G1269" s="2266" t="s">
        <v>7003</v>
      </c>
      <c r="H1269" s="2436">
        <v>139355</v>
      </c>
      <c r="I1269" s="2436">
        <v>27738</v>
      </c>
      <c r="J1269" s="2446">
        <v>0.25810954162246663</v>
      </c>
      <c r="K1269" s="2436">
        <v>35968.855172798838</v>
      </c>
      <c r="L1269" s="2436">
        <v>27738</v>
      </c>
      <c r="M1269" s="2266">
        <v>599</v>
      </c>
    </row>
    <row r="1270" spans="1:13" ht="15">
      <c r="A1270" s="2266" t="s">
        <v>4219</v>
      </c>
      <c r="B1270" s="1694" t="str">
        <f>CONCATENATE(LEFT(RIGHT(CONCATENATE("000",IFAData_TEA!A1270),6),3),"-",(RIGHT(RIGHT(CONCATENATE("000",IFAData_TEA!A1270),6),3)))</f>
        <v>116-916</v>
      </c>
      <c r="C1270" s="2266" t="s">
        <v>1523</v>
      </c>
      <c r="D1270" s="2266">
        <v>5</v>
      </c>
      <c r="E1270" s="2266">
        <v>1626</v>
      </c>
      <c r="F1270" s="2266" t="s">
        <v>5733</v>
      </c>
      <c r="G1270" s="2266" t="s">
        <v>5733</v>
      </c>
      <c r="H1270" s="2436">
        <v>139355</v>
      </c>
      <c r="I1270" s="2436">
        <v>0</v>
      </c>
      <c r="J1270" s="2446">
        <v>0</v>
      </c>
      <c r="K1270" s="2436">
        <v>0</v>
      </c>
      <c r="L1270" s="2436">
        <v>0</v>
      </c>
      <c r="M1270" s="2266">
        <v>599</v>
      </c>
    </row>
    <row r="1271" spans="1:13" ht="15">
      <c r="A1271" s="2266" t="s">
        <v>4219</v>
      </c>
      <c r="B1271" s="1694" t="str">
        <f>CONCATENATE(LEFT(RIGHT(CONCATENATE("000",IFAData_TEA!A1271),6),3),"-",(RIGHT(RIGHT(CONCATENATE("000",IFAData_TEA!A1271),6),3)))</f>
        <v>116-916</v>
      </c>
      <c r="C1271" s="2266" t="s">
        <v>1523</v>
      </c>
      <c r="D1271" s="2266">
        <v>5</v>
      </c>
      <c r="E1271" s="2266">
        <v>1626</v>
      </c>
      <c r="F1271" s="2266" t="s">
        <v>5733</v>
      </c>
      <c r="G1271" s="2266" t="s">
        <v>5734</v>
      </c>
      <c r="H1271" s="2436">
        <v>139355</v>
      </c>
      <c r="I1271" s="2436">
        <v>79728</v>
      </c>
      <c r="J1271" s="2446">
        <v>0.74189045837753331</v>
      </c>
      <c r="K1271" s="2436">
        <v>103386.14482720115</v>
      </c>
      <c r="L1271" s="2436">
        <v>79728</v>
      </c>
      <c r="M1271" s="2266">
        <v>599</v>
      </c>
    </row>
    <row r="1272" spans="1:13" ht="15">
      <c r="A1272" s="2266" t="s">
        <v>4220</v>
      </c>
      <c r="B1272" s="1694" t="str">
        <f>CONCATENATE(LEFT(RIGHT(CONCATENATE("000",IFAData_TEA!A1272),6),3),"-",(RIGHT(RIGHT(CONCATENATE("000",IFAData_TEA!A1272),6),3)))</f>
        <v>120-902</v>
      </c>
      <c r="C1272" s="2266" t="s">
        <v>1671</v>
      </c>
      <c r="D1272" s="2266">
        <v>9</v>
      </c>
      <c r="E1272" s="2266">
        <v>1841</v>
      </c>
      <c r="F1272" s="2266" t="s">
        <v>5736</v>
      </c>
      <c r="G1272" s="2266" t="s">
        <v>5736</v>
      </c>
      <c r="H1272" s="2436">
        <v>152500</v>
      </c>
      <c r="I1272" s="2436">
        <v>371642</v>
      </c>
      <c r="J1272" s="2446">
        <v>1</v>
      </c>
      <c r="K1272" s="2436">
        <v>152500</v>
      </c>
      <c r="L1272" s="2436">
        <v>152500</v>
      </c>
      <c r="M1272" s="2266">
        <v>599</v>
      </c>
    </row>
    <row r="1273" spans="1:13" ht="15">
      <c r="A1273" s="2266" t="s">
        <v>4220</v>
      </c>
      <c r="B1273" s="1694" t="str">
        <f>CONCATENATE(LEFT(RIGHT(CONCATENATE("000",IFAData_TEA!A1273),6),3),"-",(RIGHT(RIGHT(CONCATENATE("000",IFAData_TEA!A1273),6),3)))</f>
        <v>120-902</v>
      </c>
      <c r="C1273" s="2266" t="s">
        <v>1671</v>
      </c>
      <c r="D1273" s="2266">
        <v>2</v>
      </c>
      <c r="E1273" s="2266">
        <v>1840</v>
      </c>
      <c r="F1273" s="2266" t="s">
        <v>5735</v>
      </c>
      <c r="G1273" s="2266" t="s">
        <v>5735</v>
      </c>
      <c r="H1273" s="2436">
        <v>137438</v>
      </c>
      <c r="I1273" s="2436">
        <v>0</v>
      </c>
      <c r="J1273" s="2446">
        <v>0</v>
      </c>
      <c r="K1273" s="2436"/>
      <c r="L1273" s="2436">
        <v>0</v>
      </c>
      <c r="M1273" s="2266">
        <v>599</v>
      </c>
    </row>
    <row r="1274" spans="1:13" ht="15">
      <c r="A1274" s="2266" t="s">
        <v>4221</v>
      </c>
      <c r="B1274" s="1694" t="str">
        <f>CONCATENATE(LEFT(RIGHT(CONCATENATE("000",IFAData_TEA!A1274),6),3),"-",(RIGHT(RIGHT(CONCATENATE("000",IFAData_TEA!A1274),6),3)))</f>
        <v>121-903</v>
      </c>
      <c r="C1274" s="2266" t="s">
        <v>1632</v>
      </c>
      <c r="D1274" s="2266">
        <v>2</v>
      </c>
      <c r="E1274" s="2266">
        <v>1651</v>
      </c>
      <c r="F1274" s="2266" t="s">
        <v>5737</v>
      </c>
      <c r="G1274" s="2266" t="s">
        <v>5737</v>
      </c>
      <c r="H1274" s="2436">
        <v>409486</v>
      </c>
      <c r="I1274" s="2436">
        <v>0</v>
      </c>
      <c r="J1274" s="2446">
        <v>0</v>
      </c>
      <c r="K1274" s="2436">
        <v>0</v>
      </c>
      <c r="L1274" s="2436">
        <v>0</v>
      </c>
      <c r="M1274" s="2266">
        <v>599</v>
      </c>
    </row>
    <row r="1275" spans="1:13" ht="15">
      <c r="A1275" s="2266" t="s">
        <v>4221</v>
      </c>
      <c r="B1275" s="1694" t="str">
        <f>CONCATENATE(LEFT(RIGHT(CONCATENATE("000",IFAData_TEA!A1275),6),3),"-",(RIGHT(RIGHT(CONCATENATE("000",IFAData_TEA!A1275),6),3)))</f>
        <v>121-903</v>
      </c>
      <c r="C1275" s="2266" t="s">
        <v>1632</v>
      </c>
      <c r="D1275" s="2266">
        <v>3</v>
      </c>
      <c r="E1275" s="2266">
        <v>1650</v>
      </c>
      <c r="F1275" s="2266" t="s">
        <v>5739</v>
      </c>
      <c r="G1275" s="2266" t="s">
        <v>5739</v>
      </c>
      <c r="H1275" s="2436">
        <v>319854</v>
      </c>
      <c r="I1275" s="2436">
        <v>0</v>
      </c>
      <c r="J1275" s="2446">
        <v>0</v>
      </c>
      <c r="K1275" s="2436">
        <v>0</v>
      </c>
      <c r="L1275" s="2436">
        <v>0</v>
      </c>
      <c r="M1275" s="2266">
        <v>599</v>
      </c>
    </row>
    <row r="1276" spans="1:13" ht="15">
      <c r="A1276" s="2266" t="s">
        <v>4221</v>
      </c>
      <c r="B1276" s="1694" t="str">
        <f>CONCATENATE(LEFT(RIGHT(CONCATENATE("000",IFAData_TEA!A1276),6),3),"-",(RIGHT(RIGHT(CONCATENATE("000",IFAData_TEA!A1276),6),3)))</f>
        <v>121-903</v>
      </c>
      <c r="C1276" s="2266" t="s">
        <v>1632</v>
      </c>
      <c r="D1276" s="2266">
        <v>3</v>
      </c>
      <c r="E1276" s="2266">
        <v>1650</v>
      </c>
      <c r="F1276" s="2266" t="s">
        <v>5739</v>
      </c>
      <c r="G1276" s="2266" t="s">
        <v>5738</v>
      </c>
      <c r="H1276" s="2436">
        <v>319854</v>
      </c>
      <c r="I1276" s="2436">
        <v>313124</v>
      </c>
      <c r="J1276" s="2446">
        <v>1</v>
      </c>
      <c r="K1276" s="2436">
        <v>319854</v>
      </c>
      <c r="L1276" s="2436">
        <v>313124</v>
      </c>
      <c r="M1276" s="2266">
        <v>599</v>
      </c>
    </row>
    <row r="1277" spans="1:13" ht="15">
      <c r="A1277" s="2266" t="s">
        <v>4221</v>
      </c>
      <c r="B1277" s="1694" t="str">
        <f>CONCATENATE(LEFT(RIGHT(CONCATENATE("000",IFAData_TEA!A1277),6),3),"-",(RIGHT(RIGHT(CONCATENATE("000",IFAData_TEA!A1277),6),3)))</f>
        <v>121-903</v>
      </c>
      <c r="C1277" s="2266" t="s">
        <v>1632</v>
      </c>
      <c r="D1277" s="2266">
        <v>2</v>
      </c>
      <c r="E1277" s="2266">
        <v>1651</v>
      </c>
      <c r="F1277" s="2266" t="s">
        <v>5737</v>
      </c>
      <c r="G1277" s="2266" t="s">
        <v>5738</v>
      </c>
      <c r="H1277" s="2436">
        <v>409486</v>
      </c>
      <c r="I1277" s="2436">
        <v>586304</v>
      </c>
      <c r="J1277" s="2446">
        <v>1</v>
      </c>
      <c r="K1277" s="2436">
        <v>409486</v>
      </c>
      <c r="L1277" s="2436">
        <v>409486</v>
      </c>
      <c r="M1277" s="2266">
        <v>599</v>
      </c>
    </row>
    <row r="1278" spans="1:13" ht="15">
      <c r="A1278" s="2266" t="s">
        <v>4222</v>
      </c>
      <c r="B1278" s="1694" t="str">
        <f>CONCATENATE(LEFT(RIGHT(CONCATENATE("000",IFAData_TEA!A1278),6),3),"-",(RIGHT(RIGHT(CONCATENATE("000",IFAData_TEA!A1278),6),3)))</f>
        <v>121-904</v>
      </c>
      <c r="C1278" s="2266" t="s">
        <v>446</v>
      </c>
      <c r="D1278" s="2266">
        <v>1</v>
      </c>
      <c r="E1278" s="2266">
        <v>1935</v>
      </c>
      <c r="F1278" s="2266" t="s">
        <v>5740</v>
      </c>
      <c r="G1278" s="2266" t="s">
        <v>5740</v>
      </c>
      <c r="H1278" s="2436">
        <v>422458</v>
      </c>
      <c r="I1278" s="2436">
        <v>0</v>
      </c>
      <c r="J1278" s="2446">
        <v>0</v>
      </c>
      <c r="K1278" s="2436">
        <v>0</v>
      </c>
      <c r="L1278" s="2436">
        <v>0</v>
      </c>
      <c r="M1278" s="2266">
        <v>599</v>
      </c>
    </row>
    <row r="1279" spans="1:13" ht="15">
      <c r="A1279" s="2266" t="s">
        <v>4222</v>
      </c>
      <c r="B1279" s="1694" t="str">
        <f>CONCATENATE(LEFT(RIGHT(CONCATENATE("000",IFAData_TEA!A1279),6),3),"-",(RIGHT(RIGHT(CONCATENATE("000",IFAData_TEA!A1279),6),3)))</f>
        <v>121-904</v>
      </c>
      <c r="C1279" s="2266" t="s">
        <v>446</v>
      </c>
      <c r="D1279" s="2266">
        <v>1</v>
      </c>
      <c r="E1279" s="2266">
        <v>1935</v>
      </c>
      <c r="F1279" s="2266" t="s">
        <v>5740</v>
      </c>
      <c r="G1279" s="2266" t="s">
        <v>5742</v>
      </c>
      <c r="H1279" s="2436">
        <v>422458</v>
      </c>
      <c r="I1279" s="2436">
        <v>514950</v>
      </c>
      <c r="J1279" s="2446">
        <v>1</v>
      </c>
      <c r="K1279" s="2436">
        <v>422458</v>
      </c>
      <c r="L1279" s="2436">
        <v>422458</v>
      </c>
      <c r="M1279" s="2266">
        <v>599</v>
      </c>
    </row>
    <row r="1280" spans="1:13" ht="15">
      <c r="A1280" s="2266" t="s">
        <v>4222</v>
      </c>
      <c r="B1280" s="1694" t="str">
        <f>CONCATENATE(LEFT(RIGHT(CONCATENATE("000",IFAData_TEA!A1280),6),3),"-",(RIGHT(RIGHT(CONCATENATE("000",IFAData_TEA!A1280),6),3)))</f>
        <v>121-904</v>
      </c>
      <c r="C1280" s="2266" t="s">
        <v>446</v>
      </c>
      <c r="D1280" s="2266">
        <v>3</v>
      </c>
      <c r="E1280" s="2266">
        <v>1933</v>
      </c>
      <c r="F1280" s="2266" t="s">
        <v>5745</v>
      </c>
      <c r="G1280" s="2266" t="s">
        <v>5744</v>
      </c>
      <c r="H1280" s="2436">
        <v>359938</v>
      </c>
      <c r="I1280" s="2436">
        <v>354273</v>
      </c>
      <c r="J1280" s="2446">
        <v>1</v>
      </c>
      <c r="K1280" s="2436">
        <v>359938</v>
      </c>
      <c r="L1280" s="2436">
        <v>354273</v>
      </c>
      <c r="M1280" s="2266">
        <v>599</v>
      </c>
    </row>
    <row r="1281" spans="1:13" ht="15">
      <c r="A1281" s="2266" t="s">
        <v>4222</v>
      </c>
      <c r="B1281" s="1694" t="str">
        <f>CONCATENATE(LEFT(RIGHT(CONCATENATE("000",IFAData_TEA!A1281),6),3),"-",(RIGHT(RIGHT(CONCATENATE("000",IFAData_TEA!A1281),6),3)))</f>
        <v>121-904</v>
      </c>
      <c r="C1281" s="2266" t="s">
        <v>446</v>
      </c>
      <c r="D1281" s="2266">
        <v>2</v>
      </c>
      <c r="E1281" s="2266">
        <v>1934</v>
      </c>
      <c r="F1281" s="2266" t="s">
        <v>5743</v>
      </c>
      <c r="G1281" s="2266" t="s">
        <v>5744</v>
      </c>
      <c r="H1281" s="2436">
        <v>410042</v>
      </c>
      <c r="I1281" s="2436">
        <v>440634</v>
      </c>
      <c r="J1281" s="2446">
        <v>1</v>
      </c>
      <c r="K1281" s="2436">
        <v>410042</v>
      </c>
      <c r="L1281" s="2436">
        <v>410042</v>
      </c>
      <c r="M1281" s="2266">
        <v>599</v>
      </c>
    </row>
    <row r="1282" spans="1:13" ht="15">
      <c r="A1282" s="2266" t="s">
        <v>4222</v>
      </c>
      <c r="B1282" s="1694" t="str">
        <f>CONCATENATE(LEFT(RIGHT(CONCATENATE("000",IFAData_TEA!A1282),6),3),"-",(RIGHT(RIGHT(CONCATENATE("000",IFAData_TEA!A1282),6),3)))</f>
        <v>121-904</v>
      </c>
      <c r="C1282" s="2266" t="s">
        <v>446</v>
      </c>
      <c r="D1282" s="2266">
        <v>1</v>
      </c>
      <c r="E1282" s="2266">
        <v>1935</v>
      </c>
      <c r="F1282" s="2266" t="s">
        <v>5740</v>
      </c>
      <c r="G1282" s="2266" t="s">
        <v>5741</v>
      </c>
      <c r="H1282" s="2436">
        <v>422458</v>
      </c>
      <c r="I1282" s="2436">
        <v>0</v>
      </c>
      <c r="J1282" s="2446">
        <v>0</v>
      </c>
      <c r="K1282" s="2436">
        <v>0</v>
      </c>
      <c r="L1282" s="2436">
        <v>0</v>
      </c>
      <c r="M1282" s="2266">
        <v>599</v>
      </c>
    </row>
    <row r="1283" spans="1:13" ht="15">
      <c r="A1283" s="2266" t="s">
        <v>4222</v>
      </c>
      <c r="B1283" s="1694" t="str">
        <f>CONCATENATE(LEFT(RIGHT(CONCATENATE("000",IFAData_TEA!A1283),6),3),"-",(RIGHT(RIGHT(CONCATENATE("000",IFAData_TEA!A1283),6),3)))</f>
        <v>121-904</v>
      </c>
      <c r="C1283" s="2266" t="s">
        <v>446</v>
      </c>
      <c r="D1283" s="2266">
        <v>2</v>
      </c>
      <c r="E1283" s="2266">
        <v>1934</v>
      </c>
      <c r="F1283" s="2266" t="s">
        <v>5743</v>
      </c>
      <c r="G1283" s="2266" t="s">
        <v>5743</v>
      </c>
      <c r="H1283" s="2436">
        <v>410042</v>
      </c>
      <c r="I1283" s="2436">
        <v>0</v>
      </c>
      <c r="J1283" s="2446">
        <v>0</v>
      </c>
      <c r="K1283" s="2436">
        <v>0</v>
      </c>
      <c r="L1283" s="2436">
        <v>0</v>
      </c>
      <c r="M1283" s="2266">
        <v>599</v>
      </c>
    </row>
    <row r="1284" spans="1:13" ht="15">
      <c r="A1284" s="2266" t="s">
        <v>4222</v>
      </c>
      <c r="B1284" s="1694" t="str">
        <f>CONCATENATE(LEFT(RIGHT(CONCATENATE("000",IFAData_TEA!A1284),6),3),"-",(RIGHT(RIGHT(CONCATENATE("000",IFAData_TEA!A1284),6),3)))</f>
        <v>121-904</v>
      </c>
      <c r="C1284" s="2266" t="s">
        <v>446</v>
      </c>
      <c r="D1284" s="2266">
        <v>3</v>
      </c>
      <c r="E1284" s="2266">
        <v>1933</v>
      </c>
      <c r="F1284" s="2266" t="s">
        <v>5745</v>
      </c>
      <c r="G1284" s="2266" t="s">
        <v>5745</v>
      </c>
      <c r="H1284" s="2436">
        <v>359938</v>
      </c>
      <c r="I1284" s="2436">
        <v>0</v>
      </c>
      <c r="J1284" s="2446">
        <v>0</v>
      </c>
      <c r="K1284" s="2436">
        <v>0</v>
      </c>
      <c r="L1284" s="2436">
        <v>0</v>
      </c>
      <c r="M1284" s="2266">
        <v>599</v>
      </c>
    </row>
    <row r="1285" spans="1:13" ht="15">
      <c r="A1285" s="2266" t="s">
        <v>4223</v>
      </c>
      <c r="B1285" s="1694" t="str">
        <f>CONCATENATE(LEFT(RIGHT(CONCATENATE("000",IFAData_TEA!A1285),6),3),"-",(RIGHT(RIGHT(CONCATENATE("000",IFAData_TEA!A1285),6),3)))</f>
        <v>121-905</v>
      </c>
      <c r="C1285" s="2266" t="s">
        <v>2296</v>
      </c>
      <c r="D1285" s="2266">
        <v>3</v>
      </c>
      <c r="E1285" s="2266">
        <v>1962</v>
      </c>
      <c r="F1285" s="2266" t="s">
        <v>5746</v>
      </c>
      <c r="G1285" s="2266" t="s">
        <v>5747</v>
      </c>
      <c r="H1285" s="2436">
        <v>413051</v>
      </c>
      <c r="I1285" s="2436">
        <v>400771</v>
      </c>
      <c r="J1285" s="2446">
        <v>0.86552507569573123</v>
      </c>
      <c r="K1285" s="2436">
        <v>357505.99804119748</v>
      </c>
      <c r="L1285" s="2436">
        <v>357505.99804119748</v>
      </c>
      <c r="M1285" s="2266">
        <v>599</v>
      </c>
    </row>
    <row r="1286" spans="1:13" ht="15">
      <c r="A1286" s="2266" t="s">
        <v>4223</v>
      </c>
      <c r="B1286" s="1694" t="str">
        <f>CONCATENATE(LEFT(RIGHT(CONCATENATE("000",IFAData_TEA!A1286),6),3),"-",(RIGHT(RIGHT(CONCATENATE("000",IFAData_TEA!A1286),6),3)))</f>
        <v>121-905</v>
      </c>
      <c r="C1286" s="2266" t="s">
        <v>2296</v>
      </c>
      <c r="D1286" s="2266">
        <v>3</v>
      </c>
      <c r="E1286" s="2266">
        <v>1962</v>
      </c>
      <c r="F1286" s="2266" t="s">
        <v>5746</v>
      </c>
      <c r="G1286" s="2266" t="s">
        <v>5746</v>
      </c>
      <c r="H1286" s="2436">
        <v>413051</v>
      </c>
      <c r="I1286" s="2436">
        <v>0</v>
      </c>
      <c r="J1286" s="2446">
        <v>0</v>
      </c>
      <c r="K1286" s="2436">
        <v>0</v>
      </c>
      <c r="L1286" s="2436">
        <v>0</v>
      </c>
      <c r="M1286" s="2266">
        <v>599</v>
      </c>
    </row>
    <row r="1287" spans="1:13" ht="15">
      <c r="A1287" s="2266" t="s">
        <v>4223</v>
      </c>
      <c r="B1287" s="1694" t="str">
        <f>CONCATENATE(LEFT(RIGHT(CONCATENATE("000",IFAData_TEA!A1287),6),3),"-",(RIGHT(RIGHT(CONCATENATE("000",IFAData_TEA!A1287),6),3)))</f>
        <v>121-905</v>
      </c>
      <c r="C1287" s="2266" t="s">
        <v>2296</v>
      </c>
      <c r="D1287" s="2266">
        <v>3</v>
      </c>
      <c r="E1287" s="2266">
        <v>1962</v>
      </c>
      <c r="F1287" s="2266" t="s">
        <v>5746</v>
      </c>
      <c r="G1287" s="2266" t="s">
        <v>7004</v>
      </c>
      <c r="H1287" s="2436">
        <v>413051</v>
      </c>
      <c r="I1287" s="2436">
        <v>62267</v>
      </c>
      <c r="J1287" s="2446">
        <v>0.13447492430426877</v>
      </c>
      <c r="K1287" s="2436">
        <v>55545.001958802524</v>
      </c>
      <c r="L1287" s="2436">
        <v>55545.001958802524</v>
      </c>
      <c r="M1287" s="2266">
        <v>599</v>
      </c>
    </row>
    <row r="1288" spans="1:13" ht="15">
      <c r="A1288" s="2266" t="s">
        <v>4224</v>
      </c>
      <c r="B1288" s="1694" t="str">
        <f>CONCATENATE(LEFT(RIGHT(CONCATENATE("000",IFAData_TEA!A1288),6),3),"-",(RIGHT(RIGHT(CONCATENATE("000",IFAData_TEA!A1288),6),3)))</f>
        <v>123-905</v>
      </c>
      <c r="C1288" s="2266" t="s">
        <v>426</v>
      </c>
      <c r="D1288" s="2266">
        <v>2</v>
      </c>
      <c r="E1288" s="2266">
        <v>2130</v>
      </c>
      <c r="F1288" s="2266" t="s">
        <v>5750</v>
      </c>
      <c r="G1288" s="2266" t="s">
        <v>5750</v>
      </c>
      <c r="H1288" s="2436">
        <v>539458</v>
      </c>
      <c r="I1288" s="2436">
        <v>0</v>
      </c>
      <c r="J1288" s="2446">
        <v>0</v>
      </c>
      <c r="K1288" s="2436">
        <v>0</v>
      </c>
      <c r="L1288" s="2436">
        <v>0</v>
      </c>
      <c r="M1288" s="2266">
        <v>599</v>
      </c>
    </row>
    <row r="1289" spans="1:13" ht="15">
      <c r="A1289" s="2266" t="s">
        <v>4224</v>
      </c>
      <c r="B1289" s="1694" t="str">
        <f>CONCATENATE(LEFT(RIGHT(CONCATENATE("000",IFAData_TEA!A1289),6),3),"-",(RIGHT(RIGHT(CONCATENATE("000",IFAData_TEA!A1289),6),3)))</f>
        <v>123-905</v>
      </c>
      <c r="C1289" s="2266" t="s">
        <v>426</v>
      </c>
      <c r="D1289" s="2266">
        <v>1</v>
      </c>
      <c r="E1289" s="2266">
        <v>2129</v>
      </c>
      <c r="F1289" s="2266" t="s">
        <v>5748</v>
      </c>
      <c r="G1289" s="2266" t="s">
        <v>5748</v>
      </c>
      <c r="H1289" s="2436">
        <v>285609</v>
      </c>
      <c r="I1289" s="2436">
        <v>0</v>
      </c>
      <c r="J1289" s="2446">
        <v>0</v>
      </c>
      <c r="K1289" s="2436">
        <v>0</v>
      </c>
      <c r="L1289" s="2436">
        <v>0</v>
      </c>
      <c r="M1289" s="2266">
        <v>599</v>
      </c>
    </row>
    <row r="1290" spans="1:13" ht="15">
      <c r="A1290" s="2266" t="s">
        <v>4224</v>
      </c>
      <c r="B1290" s="1694" t="str">
        <f>CONCATENATE(LEFT(RIGHT(CONCATENATE("000",IFAData_TEA!A1290),6),3),"-",(RIGHT(RIGHT(CONCATENATE("000",IFAData_TEA!A1290),6),3)))</f>
        <v>123-905</v>
      </c>
      <c r="C1290" s="2266" t="s">
        <v>426</v>
      </c>
      <c r="D1290" s="2266">
        <v>1</v>
      </c>
      <c r="E1290" s="2266">
        <v>2129</v>
      </c>
      <c r="F1290" s="2266" t="s">
        <v>5748</v>
      </c>
      <c r="G1290" s="2266" t="s">
        <v>5749</v>
      </c>
      <c r="H1290" s="2436">
        <v>285609</v>
      </c>
      <c r="I1290" s="2436">
        <v>287230</v>
      </c>
      <c r="J1290" s="2446">
        <v>1</v>
      </c>
      <c r="K1290" s="2436">
        <v>285609</v>
      </c>
      <c r="L1290" s="2436">
        <v>285609</v>
      </c>
      <c r="M1290" s="2266">
        <v>599</v>
      </c>
    </row>
    <row r="1291" spans="1:13" ht="15">
      <c r="A1291" s="2266" t="s">
        <v>4224</v>
      </c>
      <c r="B1291" s="1694" t="str">
        <f>CONCATENATE(LEFT(RIGHT(CONCATENATE("000",IFAData_TEA!A1291),6),3),"-",(RIGHT(RIGHT(CONCATENATE("000",IFAData_TEA!A1291),6),3)))</f>
        <v>123-905</v>
      </c>
      <c r="C1291" s="2266" t="s">
        <v>426</v>
      </c>
      <c r="D1291" s="2266">
        <v>2</v>
      </c>
      <c r="E1291" s="2266">
        <v>2130</v>
      </c>
      <c r="F1291" s="2266" t="s">
        <v>5750</v>
      </c>
      <c r="G1291" s="2266" t="s">
        <v>5749</v>
      </c>
      <c r="H1291" s="2436">
        <v>539458</v>
      </c>
      <c r="I1291" s="2436">
        <v>518769</v>
      </c>
      <c r="J1291" s="2446">
        <v>1</v>
      </c>
      <c r="K1291" s="2436">
        <v>539458</v>
      </c>
      <c r="L1291" s="2436">
        <v>518769</v>
      </c>
      <c r="M1291" s="2266">
        <v>599</v>
      </c>
    </row>
    <row r="1292" spans="1:13" ht="15">
      <c r="A1292" s="2266" t="s">
        <v>4225</v>
      </c>
      <c r="B1292" s="1694" t="str">
        <f>CONCATENATE(LEFT(RIGHT(CONCATENATE("000",IFAData_TEA!A1292),6),3),"-",(RIGHT(RIGHT(CONCATENATE("000",IFAData_TEA!A1292),6),3)))</f>
        <v>123-914</v>
      </c>
      <c r="C1292" s="2266" t="s">
        <v>1950</v>
      </c>
      <c r="D1292" s="2266">
        <v>2</v>
      </c>
      <c r="E1292" s="2266">
        <v>1864</v>
      </c>
      <c r="F1292" s="2266" t="s">
        <v>5751</v>
      </c>
      <c r="G1292" s="2266" t="s">
        <v>5752</v>
      </c>
      <c r="H1292" s="2436">
        <v>512950</v>
      </c>
      <c r="I1292" s="2436">
        <v>778196</v>
      </c>
      <c r="J1292" s="2446">
        <v>1</v>
      </c>
      <c r="K1292" s="2436">
        <v>512950</v>
      </c>
      <c r="L1292" s="2436">
        <v>512950</v>
      </c>
      <c r="M1292" s="2266">
        <v>599</v>
      </c>
    </row>
    <row r="1293" spans="1:13" ht="15">
      <c r="A1293" s="2266" t="s">
        <v>4225</v>
      </c>
      <c r="B1293" s="1694" t="str">
        <f>CONCATENATE(LEFT(RIGHT(CONCATENATE("000",IFAData_TEA!A1293),6),3),"-",(RIGHT(RIGHT(CONCATENATE("000",IFAData_TEA!A1293),6),3)))</f>
        <v>123-914</v>
      </c>
      <c r="C1293" s="2266" t="s">
        <v>1950</v>
      </c>
      <c r="D1293" s="2266">
        <v>2</v>
      </c>
      <c r="E1293" s="2266">
        <v>1864</v>
      </c>
      <c r="F1293" s="2266" t="s">
        <v>5751</v>
      </c>
      <c r="G1293" s="2266" t="s">
        <v>5751</v>
      </c>
      <c r="H1293" s="2436">
        <v>512950</v>
      </c>
      <c r="I1293" s="2436">
        <v>0</v>
      </c>
      <c r="J1293" s="2446">
        <v>0</v>
      </c>
      <c r="K1293" s="2436">
        <v>0</v>
      </c>
      <c r="L1293" s="2436">
        <v>0</v>
      </c>
      <c r="M1293" s="2266">
        <v>599</v>
      </c>
    </row>
    <row r="1294" spans="1:13" ht="15">
      <c r="A1294" s="2266" t="s">
        <v>4226</v>
      </c>
      <c r="B1294" s="1694" t="str">
        <f>CONCATENATE(LEFT(RIGHT(CONCATENATE("000",IFAData_TEA!A1294),6),3),"-",(RIGHT(RIGHT(CONCATENATE("000",IFAData_TEA!A1294),6),3)))</f>
        <v>125-901</v>
      </c>
      <c r="C1294" s="2266" t="s">
        <v>799</v>
      </c>
      <c r="D1294" s="2266">
        <v>6</v>
      </c>
      <c r="E1294" s="2266">
        <v>1549</v>
      </c>
      <c r="F1294" s="2266" t="s">
        <v>5757</v>
      </c>
      <c r="G1294" s="2266" t="s">
        <v>5758</v>
      </c>
      <c r="H1294" s="2436">
        <v>1226843</v>
      </c>
      <c r="I1294" s="2436">
        <v>424300</v>
      </c>
      <c r="J1294" s="2446">
        <v>0.4258654815100309</v>
      </c>
      <c r="K1294" s="2436">
        <v>522470.08493221086</v>
      </c>
      <c r="L1294" s="2436">
        <v>424300</v>
      </c>
      <c r="M1294" s="2266">
        <v>599</v>
      </c>
    </row>
    <row r="1295" spans="1:13" ht="15">
      <c r="A1295" s="2266" t="s">
        <v>4226</v>
      </c>
      <c r="B1295" s="1694" t="str">
        <f>CONCATENATE(LEFT(RIGHT(CONCATENATE("000",IFAData_TEA!A1295),6),3),"-",(RIGHT(RIGHT(CONCATENATE("000",IFAData_TEA!A1295),6),3)))</f>
        <v>125-901</v>
      </c>
      <c r="C1295" s="2266" t="s">
        <v>799</v>
      </c>
      <c r="D1295" s="2266">
        <v>3</v>
      </c>
      <c r="E1295" s="2266">
        <v>1551</v>
      </c>
      <c r="F1295" s="2266" t="s">
        <v>5753</v>
      </c>
      <c r="G1295" s="2266" t="s">
        <v>5756</v>
      </c>
      <c r="H1295" s="2436">
        <v>1313562</v>
      </c>
      <c r="I1295" s="2436">
        <v>1263900</v>
      </c>
      <c r="J1295" s="2446">
        <v>1</v>
      </c>
      <c r="K1295" s="2436">
        <v>1313562</v>
      </c>
      <c r="L1295" s="2436">
        <v>1263900</v>
      </c>
      <c r="M1295" s="2266">
        <v>599</v>
      </c>
    </row>
    <row r="1296" spans="1:13" ht="15">
      <c r="A1296" s="2266" t="s">
        <v>4226</v>
      </c>
      <c r="B1296" s="1694" t="str">
        <f>CONCATENATE(LEFT(RIGHT(CONCATENATE("000",IFAData_TEA!A1296),6),3),"-",(RIGHT(RIGHT(CONCATENATE("000",IFAData_TEA!A1296),6),3)))</f>
        <v>125-901</v>
      </c>
      <c r="C1296" s="2266" t="s">
        <v>799</v>
      </c>
      <c r="D1296" s="2266">
        <v>3</v>
      </c>
      <c r="E1296" s="2266">
        <v>1551</v>
      </c>
      <c r="F1296" s="2266" t="s">
        <v>5753</v>
      </c>
      <c r="G1296" s="2266" t="s">
        <v>5754</v>
      </c>
      <c r="H1296" s="2436">
        <v>1313562</v>
      </c>
      <c r="I1296" s="2436">
        <v>0</v>
      </c>
      <c r="J1296" s="2446">
        <v>0</v>
      </c>
      <c r="K1296" s="2436">
        <v>0</v>
      </c>
      <c r="L1296" s="2436">
        <v>0</v>
      </c>
      <c r="M1296" s="2266">
        <v>599</v>
      </c>
    </row>
    <row r="1297" spans="1:13" ht="15">
      <c r="A1297" s="2266" t="s">
        <v>4226</v>
      </c>
      <c r="B1297" s="1694" t="str">
        <f>CONCATENATE(LEFT(RIGHT(CONCATENATE("000",IFAData_TEA!A1297),6),3),"-",(RIGHT(RIGHT(CONCATENATE("000",IFAData_TEA!A1297),6),3)))</f>
        <v>125-901</v>
      </c>
      <c r="C1297" s="2266" t="s">
        <v>799</v>
      </c>
      <c r="D1297" s="2266">
        <v>6</v>
      </c>
      <c r="E1297" s="2266">
        <v>1549</v>
      </c>
      <c r="F1297" s="2266" t="s">
        <v>5757</v>
      </c>
      <c r="G1297" s="2266" t="s">
        <v>5755</v>
      </c>
      <c r="H1297" s="2436">
        <v>1226843</v>
      </c>
      <c r="I1297" s="2436">
        <v>572024</v>
      </c>
      <c r="J1297" s="2446">
        <v>0.5741345184899691</v>
      </c>
      <c r="K1297" s="2436">
        <v>704372.91506778914</v>
      </c>
      <c r="L1297" s="2436">
        <v>572024</v>
      </c>
      <c r="M1297" s="2266">
        <v>599</v>
      </c>
    </row>
    <row r="1298" spans="1:13" ht="15">
      <c r="A1298" s="2266" t="s">
        <v>4226</v>
      </c>
      <c r="B1298" s="1694" t="str">
        <f>CONCATENATE(LEFT(RIGHT(CONCATENATE("000",IFAData_TEA!A1298),6),3),"-",(RIGHT(RIGHT(CONCATENATE("000",IFAData_TEA!A1298),6),3)))</f>
        <v>125-901</v>
      </c>
      <c r="C1298" s="2266" t="s">
        <v>799</v>
      </c>
      <c r="D1298" s="2266">
        <v>3</v>
      </c>
      <c r="E1298" s="2266">
        <v>1551</v>
      </c>
      <c r="F1298" s="2266" t="s">
        <v>5753</v>
      </c>
      <c r="G1298" s="2266" t="s">
        <v>5755</v>
      </c>
      <c r="H1298" s="2436">
        <v>1313562</v>
      </c>
      <c r="I1298" s="2436">
        <v>0</v>
      </c>
      <c r="J1298" s="2446">
        <v>0</v>
      </c>
      <c r="K1298" s="2436">
        <v>0</v>
      </c>
      <c r="L1298" s="2436">
        <v>0</v>
      </c>
      <c r="M1298" s="2266">
        <v>599</v>
      </c>
    </row>
    <row r="1299" spans="1:13" ht="15">
      <c r="A1299" s="2266" t="s">
        <v>4226</v>
      </c>
      <c r="B1299" s="1694" t="str">
        <f>CONCATENATE(LEFT(RIGHT(CONCATENATE("000",IFAData_TEA!A1299),6),3),"-",(RIGHT(RIGHT(CONCATENATE("000",IFAData_TEA!A1299),6),3)))</f>
        <v>125-901</v>
      </c>
      <c r="C1299" s="2266" t="s">
        <v>799</v>
      </c>
      <c r="D1299" s="2266">
        <v>9</v>
      </c>
      <c r="E1299" s="2266">
        <v>1550</v>
      </c>
      <c r="F1299" s="2266" t="s">
        <v>5759</v>
      </c>
      <c r="G1299" s="2266" t="s">
        <v>5759</v>
      </c>
      <c r="H1299" s="2436">
        <v>1240465</v>
      </c>
      <c r="I1299" s="2436">
        <v>1279350</v>
      </c>
      <c r="J1299" s="2446">
        <v>1</v>
      </c>
      <c r="K1299" s="2436">
        <v>1240465</v>
      </c>
      <c r="L1299" s="2436">
        <v>1240465</v>
      </c>
      <c r="M1299" s="2266">
        <v>599</v>
      </c>
    </row>
    <row r="1300" spans="1:13" ht="15">
      <c r="A1300" s="2266" t="s">
        <v>4226</v>
      </c>
      <c r="B1300" s="1694" t="str">
        <f>CONCATENATE(LEFT(RIGHT(CONCATENATE("000",IFAData_TEA!A1300),6),3),"-",(RIGHT(RIGHT(CONCATENATE("000",IFAData_TEA!A1300),6),3)))</f>
        <v>125-901</v>
      </c>
      <c r="C1300" s="2266" t="s">
        <v>799</v>
      </c>
      <c r="D1300" s="2266">
        <v>3</v>
      </c>
      <c r="E1300" s="2266">
        <v>1551</v>
      </c>
      <c r="F1300" s="2266" t="s">
        <v>5753</v>
      </c>
      <c r="G1300" s="2266" t="s">
        <v>5753</v>
      </c>
      <c r="H1300" s="2436">
        <v>1313562</v>
      </c>
      <c r="I1300" s="2436">
        <v>0</v>
      </c>
      <c r="J1300" s="2446">
        <v>0</v>
      </c>
      <c r="K1300" s="2436">
        <v>0</v>
      </c>
      <c r="L1300" s="2436">
        <v>0</v>
      </c>
      <c r="M1300" s="2266">
        <v>599</v>
      </c>
    </row>
    <row r="1301" spans="1:13" ht="15">
      <c r="A1301" s="2266" t="s">
        <v>4226</v>
      </c>
      <c r="B1301" s="1694" t="str">
        <f>CONCATENATE(LEFT(RIGHT(CONCATENATE("000",IFAData_TEA!A1301),6),3),"-",(RIGHT(RIGHT(CONCATENATE("000",IFAData_TEA!A1301),6),3)))</f>
        <v>125-901</v>
      </c>
      <c r="C1301" s="2266" t="s">
        <v>799</v>
      </c>
      <c r="D1301" s="2266">
        <v>6</v>
      </c>
      <c r="E1301" s="2266">
        <v>1549</v>
      </c>
      <c r="F1301" s="2266" t="s">
        <v>5757</v>
      </c>
      <c r="G1301" s="2266" t="s">
        <v>5757</v>
      </c>
      <c r="H1301" s="2436">
        <v>1226843</v>
      </c>
      <c r="I1301" s="2436">
        <v>0</v>
      </c>
      <c r="J1301" s="2446">
        <v>0</v>
      </c>
      <c r="K1301" s="2436">
        <v>0</v>
      </c>
      <c r="L1301" s="2436">
        <v>0</v>
      </c>
      <c r="M1301" s="2266">
        <v>599</v>
      </c>
    </row>
    <row r="1302" spans="1:13" ht="15">
      <c r="A1302" s="2266" t="s">
        <v>4227</v>
      </c>
      <c r="B1302" s="1694" t="str">
        <f>CONCATENATE(LEFT(RIGHT(CONCATENATE("000",IFAData_TEA!A1302),6),3),"-",(RIGHT(RIGHT(CONCATENATE("000",IFAData_TEA!A1302),6),3)))</f>
        <v>125-902</v>
      </c>
      <c r="C1302" s="2266" t="s">
        <v>3080</v>
      </c>
      <c r="D1302" s="2266">
        <v>4</v>
      </c>
      <c r="E1302" s="2266">
        <v>1607</v>
      </c>
      <c r="F1302" s="2266" t="s">
        <v>5760</v>
      </c>
      <c r="G1302" s="2266" t="s">
        <v>5761</v>
      </c>
      <c r="H1302" s="2436">
        <v>148749</v>
      </c>
      <c r="I1302" s="2436">
        <v>144352</v>
      </c>
      <c r="J1302" s="2446">
        <v>1</v>
      </c>
      <c r="K1302" s="2436">
        <v>148749</v>
      </c>
      <c r="L1302" s="2436">
        <v>144352</v>
      </c>
      <c r="M1302" s="2266">
        <v>599</v>
      </c>
    </row>
    <row r="1303" spans="1:13" ht="15">
      <c r="A1303" s="2266" t="s">
        <v>4227</v>
      </c>
      <c r="B1303" s="1694" t="str">
        <f>CONCATENATE(LEFT(RIGHT(CONCATENATE("000",IFAData_TEA!A1303),6),3),"-",(RIGHT(RIGHT(CONCATENATE("000",IFAData_TEA!A1303),6),3)))</f>
        <v>125-902</v>
      </c>
      <c r="C1303" s="2266" t="s">
        <v>3080</v>
      </c>
      <c r="D1303" s="2266">
        <v>6</v>
      </c>
      <c r="E1303" s="2266">
        <v>1605</v>
      </c>
      <c r="F1303" s="2266" t="s">
        <v>5762</v>
      </c>
      <c r="G1303" s="2266" t="s">
        <v>5763</v>
      </c>
      <c r="H1303" s="2436">
        <v>134002</v>
      </c>
      <c r="I1303" s="2436">
        <v>128438</v>
      </c>
      <c r="J1303" s="2446">
        <v>1</v>
      </c>
      <c r="K1303" s="2436">
        <v>134002</v>
      </c>
      <c r="L1303" s="2436">
        <v>128438</v>
      </c>
      <c r="M1303" s="2266">
        <v>599</v>
      </c>
    </row>
    <row r="1304" spans="1:13" ht="15">
      <c r="A1304" s="2266" t="s">
        <v>4227</v>
      </c>
      <c r="B1304" s="1694" t="str">
        <f>CONCATENATE(LEFT(RIGHT(CONCATENATE("000",IFAData_TEA!A1304),6),3),"-",(RIGHT(RIGHT(CONCATENATE("000",IFAData_TEA!A1304),6),3)))</f>
        <v>125-902</v>
      </c>
      <c r="C1304" s="2266" t="s">
        <v>3080</v>
      </c>
      <c r="D1304" s="2266">
        <v>4</v>
      </c>
      <c r="E1304" s="2266">
        <v>1607</v>
      </c>
      <c r="F1304" s="2266" t="s">
        <v>5760</v>
      </c>
      <c r="G1304" s="2266" t="s">
        <v>5760</v>
      </c>
      <c r="H1304" s="2436">
        <v>148749</v>
      </c>
      <c r="I1304" s="2436">
        <v>0</v>
      </c>
      <c r="J1304" s="2446">
        <v>0</v>
      </c>
      <c r="K1304" s="2436">
        <v>0</v>
      </c>
      <c r="L1304" s="2436">
        <v>0</v>
      </c>
      <c r="M1304" s="2266">
        <v>599</v>
      </c>
    </row>
    <row r="1305" spans="1:13" ht="15">
      <c r="A1305" s="2266" t="s">
        <v>4227</v>
      </c>
      <c r="B1305" s="1694" t="str">
        <f>CONCATENATE(LEFT(RIGHT(CONCATENATE("000",IFAData_TEA!A1305),6),3),"-",(RIGHT(RIGHT(CONCATENATE("000",IFAData_TEA!A1305),6),3)))</f>
        <v>125-902</v>
      </c>
      <c r="C1305" s="2266" t="s">
        <v>3080</v>
      </c>
      <c r="D1305" s="2266">
        <v>10</v>
      </c>
      <c r="E1305" s="2266">
        <v>1606</v>
      </c>
      <c r="F1305" s="2266" t="s">
        <v>5764</v>
      </c>
      <c r="G1305" s="2266" t="s">
        <v>5764</v>
      </c>
      <c r="H1305" s="2436">
        <v>142643</v>
      </c>
      <c r="I1305" s="2436">
        <v>163275</v>
      </c>
      <c r="J1305" s="2446">
        <v>1</v>
      </c>
      <c r="K1305" s="2436">
        <v>142643</v>
      </c>
      <c r="L1305" s="2436">
        <v>142643</v>
      </c>
      <c r="M1305" s="2266">
        <v>599</v>
      </c>
    </row>
    <row r="1306" spans="1:13" ht="15">
      <c r="A1306" s="2266" t="s">
        <v>4227</v>
      </c>
      <c r="B1306" s="1694" t="str">
        <f>CONCATENATE(LEFT(RIGHT(CONCATENATE("000",IFAData_TEA!A1306),6),3),"-",(RIGHT(RIGHT(CONCATENATE("000",IFAData_TEA!A1306),6),3)))</f>
        <v>125-902</v>
      </c>
      <c r="C1306" s="2266" t="s">
        <v>3080</v>
      </c>
      <c r="D1306" s="2266">
        <v>6</v>
      </c>
      <c r="E1306" s="2266">
        <v>1605</v>
      </c>
      <c r="F1306" s="2266" t="s">
        <v>5762</v>
      </c>
      <c r="G1306" s="2266" t="s">
        <v>5762</v>
      </c>
      <c r="H1306" s="2436">
        <v>134002</v>
      </c>
      <c r="I1306" s="2436">
        <v>0</v>
      </c>
      <c r="J1306" s="2446">
        <v>0</v>
      </c>
      <c r="K1306" s="2436">
        <v>0</v>
      </c>
      <c r="L1306" s="2436">
        <v>0</v>
      </c>
      <c r="M1306" s="2266">
        <v>599</v>
      </c>
    </row>
    <row r="1307" spans="1:13" ht="15">
      <c r="A1307" s="2266" t="s">
        <v>4228</v>
      </c>
      <c r="B1307" s="1694" t="str">
        <f>CONCATENATE(LEFT(RIGHT(CONCATENATE("000",IFAData_TEA!A1307),6),3),"-",(RIGHT(RIGHT(CONCATENATE("000",IFAData_TEA!A1307),6),3)))</f>
        <v>125-903</v>
      </c>
      <c r="C1307" s="2266" t="s">
        <v>1151</v>
      </c>
      <c r="D1307" s="2266">
        <v>2</v>
      </c>
      <c r="E1307" s="2266">
        <v>2163</v>
      </c>
      <c r="F1307" s="2266" t="s">
        <v>5765</v>
      </c>
      <c r="G1307" s="2266" t="s">
        <v>5765</v>
      </c>
      <c r="H1307" s="2436">
        <v>340500</v>
      </c>
      <c r="I1307" s="2436">
        <v>0</v>
      </c>
      <c r="J1307" s="2446">
        <v>0</v>
      </c>
      <c r="K1307" s="2436">
        <v>0</v>
      </c>
      <c r="L1307" s="2436">
        <v>0</v>
      </c>
      <c r="M1307" s="2266">
        <v>599</v>
      </c>
    </row>
    <row r="1308" spans="1:13" ht="15">
      <c r="A1308" s="2266" t="s">
        <v>4228</v>
      </c>
      <c r="B1308" s="1694" t="str">
        <f>CONCATENATE(LEFT(RIGHT(CONCATENATE("000",IFAData_TEA!A1308),6),3),"-",(RIGHT(RIGHT(CONCATENATE("000",IFAData_TEA!A1308),6),3)))</f>
        <v>125-903</v>
      </c>
      <c r="C1308" s="2266" t="s">
        <v>1151</v>
      </c>
      <c r="D1308" s="2266">
        <v>6</v>
      </c>
      <c r="E1308" s="2266">
        <v>2162</v>
      </c>
      <c r="F1308" s="2266" t="s">
        <v>5767</v>
      </c>
      <c r="G1308" s="2266" t="s">
        <v>5766</v>
      </c>
      <c r="H1308" s="2436">
        <v>318941</v>
      </c>
      <c r="I1308" s="2436">
        <v>337400</v>
      </c>
      <c r="J1308" s="2446">
        <v>1</v>
      </c>
      <c r="K1308" s="2436">
        <v>318941</v>
      </c>
      <c r="L1308" s="2436">
        <v>318941</v>
      </c>
      <c r="M1308" s="2266">
        <v>599</v>
      </c>
    </row>
    <row r="1309" spans="1:13" ht="15">
      <c r="A1309" s="2266" t="s">
        <v>4228</v>
      </c>
      <c r="B1309" s="1694" t="str">
        <f>CONCATENATE(LEFT(RIGHT(CONCATENATE("000",IFAData_TEA!A1309),6),3),"-",(RIGHT(RIGHT(CONCATENATE("000",IFAData_TEA!A1309),6),3)))</f>
        <v>125-903</v>
      </c>
      <c r="C1309" s="2266" t="s">
        <v>1151</v>
      </c>
      <c r="D1309" s="2266">
        <v>2</v>
      </c>
      <c r="E1309" s="2266">
        <v>2163</v>
      </c>
      <c r="F1309" s="2266" t="s">
        <v>5765</v>
      </c>
      <c r="G1309" s="2266" t="s">
        <v>5766</v>
      </c>
      <c r="H1309" s="2436">
        <v>340500</v>
      </c>
      <c r="I1309" s="2436">
        <v>410346</v>
      </c>
      <c r="J1309" s="2446">
        <v>1</v>
      </c>
      <c r="K1309" s="2436">
        <v>340500</v>
      </c>
      <c r="L1309" s="2436">
        <v>340500</v>
      </c>
      <c r="M1309" s="2266">
        <v>599</v>
      </c>
    </row>
    <row r="1310" spans="1:13" ht="15">
      <c r="A1310" s="2266" t="s">
        <v>4228</v>
      </c>
      <c r="B1310" s="1694" t="str">
        <f>CONCATENATE(LEFT(RIGHT(CONCATENATE("000",IFAData_TEA!A1310),6),3),"-",(RIGHT(RIGHT(CONCATENATE("000",IFAData_TEA!A1310),6),3)))</f>
        <v>125-903</v>
      </c>
      <c r="C1310" s="2266" t="s">
        <v>1151</v>
      </c>
      <c r="D1310" s="2266">
        <v>9</v>
      </c>
      <c r="E1310" s="2266">
        <v>2164</v>
      </c>
      <c r="F1310" s="2266" t="s">
        <v>5768</v>
      </c>
      <c r="G1310" s="2266" t="s">
        <v>5768</v>
      </c>
      <c r="H1310" s="2436">
        <v>408114</v>
      </c>
      <c r="I1310" s="2436">
        <v>410793</v>
      </c>
      <c r="J1310" s="2446">
        <v>0.78478732245030514</v>
      </c>
      <c r="K1310" s="2436">
        <v>320282.69331448385</v>
      </c>
      <c r="L1310" s="2436">
        <v>320282.69331448385</v>
      </c>
      <c r="M1310" s="2266">
        <v>599</v>
      </c>
    </row>
    <row r="1311" spans="1:13" ht="15">
      <c r="A1311" s="2266" t="s">
        <v>4228</v>
      </c>
      <c r="B1311" s="1694" t="str">
        <f>CONCATENATE(LEFT(RIGHT(CONCATENATE("000",IFAData_TEA!A1311),6),3),"-",(RIGHT(RIGHT(CONCATENATE("000",IFAData_TEA!A1311),6),3)))</f>
        <v>125-903</v>
      </c>
      <c r="C1311" s="2266" t="s">
        <v>1151</v>
      </c>
      <c r="D1311" s="2266">
        <v>6</v>
      </c>
      <c r="E1311" s="2266">
        <v>2162</v>
      </c>
      <c r="F1311" s="2266" t="s">
        <v>5767</v>
      </c>
      <c r="G1311" s="2266" t="s">
        <v>5767</v>
      </c>
      <c r="H1311" s="2436">
        <v>318941</v>
      </c>
      <c r="I1311" s="2436">
        <v>0</v>
      </c>
      <c r="J1311" s="2446">
        <v>0</v>
      </c>
      <c r="K1311" s="2436">
        <v>0</v>
      </c>
      <c r="L1311" s="2436">
        <v>0</v>
      </c>
      <c r="M1311" s="2266">
        <v>599</v>
      </c>
    </row>
    <row r="1312" spans="1:13" ht="15">
      <c r="A1312" s="2266" t="s">
        <v>4228</v>
      </c>
      <c r="B1312" s="1694" t="str">
        <f>CONCATENATE(LEFT(RIGHT(CONCATENATE("000",IFAData_TEA!A1312),6),3),"-",(RIGHT(RIGHT(CONCATENATE("000",IFAData_TEA!A1312),6),3)))</f>
        <v>125-903</v>
      </c>
      <c r="C1312" s="2266" t="s">
        <v>1151</v>
      </c>
      <c r="D1312" s="2266">
        <v>9</v>
      </c>
      <c r="E1312" s="2266">
        <v>2164</v>
      </c>
      <c r="F1312" s="2266" t="s">
        <v>5768</v>
      </c>
      <c r="G1312" s="2266" t="s">
        <v>7005</v>
      </c>
      <c r="H1312" s="2436">
        <v>408114</v>
      </c>
      <c r="I1312" s="2436">
        <v>112652</v>
      </c>
      <c r="J1312" s="2446">
        <v>0.21521267754969481</v>
      </c>
      <c r="K1312" s="2436">
        <v>87831.306685516145</v>
      </c>
      <c r="L1312" s="2436">
        <v>87831.306685516145</v>
      </c>
      <c r="M1312" s="2266">
        <v>599</v>
      </c>
    </row>
    <row r="1313" spans="1:13" ht="15">
      <c r="A1313" s="2266" t="s">
        <v>4229</v>
      </c>
      <c r="B1313" s="1694" t="str">
        <f>CONCATENATE(LEFT(RIGHT(CONCATENATE("000",IFAData_TEA!A1313),6),3),"-",(RIGHT(RIGHT(CONCATENATE("000",IFAData_TEA!A1313),6),3)))</f>
        <v>125-905</v>
      </c>
      <c r="C1313" s="2266" t="s">
        <v>2412</v>
      </c>
      <c r="D1313" s="2266">
        <v>3</v>
      </c>
      <c r="E1313" s="2266">
        <v>2209</v>
      </c>
      <c r="F1313" s="2266" t="s">
        <v>5769</v>
      </c>
      <c r="G1313" s="2266" t="s">
        <v>5770</v>
      </c>
      <c r="H1313" s="2436">
        <v>228901</v>
      </c>
      <c r="I1313" s="2436">
        <v>235776</v>
      </c>
      <c r="J1313" s="2446">
        <v>1</v>
      </c>
      <c r="K1313" s="2436">
        <v>228901</v>
      </c>
      <c r="L1313" s="2436">
        <v>228901</v>
      </c>
      <c r="M1313" s="2266">
        <v>599</v>
      </c>
    </row>
    <row r="1314" spans="1:13" ht="15">
      <c r="A1314" s="2266" t="s">
        <v>4229</v>
      </c>
      <c r="B1314" s="1694" t="str">
        <f>CONCATENATE(LEFT(RIGHT(CONCATENATE("000",IFAData_TEA!A1314),6),3),"-",(RIGHT(RIGHT(CONCATENATE("000",IFAData_TEA!A1314),6),3)))</f>
        <v>125-905</v>
      </c>
      <c r="C1314" s="2266" t="s">
        <v>2412</v>
      </c>
      <c r="D1314" s="2266">
        <v>3</v>
      </c>
      <c r="E1314" s="2266">
        <v>2209</v>
      </c>
      <c r="F1314" s="2266" t="s">
        <v>5769</v>
      </c>
      <c r="G1314" s="2266" t="s">
        <v>5769</v>
      </c>
      <c r="H1314" s="2436">
        <v>228901</v>
      </c>
      <c r="I1314" s="2436">
        <v>0</v>
      </c>
      <c r="J1314" s="2446">
        <v>0</v>
      </c>
      <c r="K1314" s="2436">
        <v>0</v>
      </c>
      <c r="L1314" s="2436">
        <v>0</v>
      </c>
      <c r="M1314" s="2266">
        <v>599</v>
      </c>
    </row>
    <row r="1315" spans="1:13" ht="15">
      <c r="A1315" s="2266" t="s">
        <v>4230</v>
      </c>
      <c r="B1315" s="1694" t="str">
        <f>CONCATENATE(LEFT(RIGHT(CONCATENATE("000",IFAData_TEA!A1315),6),3),"-",(RIGHT(RIGHT(CONCATENATE("000",IFAData_TEA!A1315),6),3)))</f>
        <v>126-901</v>
      </c>
      <c r="C1315" s="2266" t="s">
        <v>1201</v>
      </c>
      <c r="D1315" s="2266">
        <v>9</v>
      </c>
      <c r="E1315" s="2266">
        <v>1563</v>
      </c>
      <c r="F1315" s="2266" t="s">
        <v>5777</v>
      </c>
      <c r="G1315" s="2266" t="s">
        <v>5777</v>
      </c>
      <c r="H1315" s="2436">
        <v>760564</v>
      </c>
      <c r="I1315" s="2436">
        <v>1187085</v>
      </c>
      <c r="J1315" s="2446">
        <v>0.82414595572563387</v>
      </c>
      <c r="K1315" s="2436">
        <v>626815.74467051099</v>
      </c>
      <c r="L1315" s="2436">
        <v>626815.74467051099</v>
      </c>
      <c r="M1315" s="2266">
        <v>599</v>
      </c>
    </row>
    <row r="1316" spans="1:13" ht="15">
      <c r="A1316" s="2266" t="s">
        <v>4230</v>
      </c>
      <c r="B1316" s="1694" t="str">
        <f>CONCATENATE(LEFT(RIGHT(CONCATENATE("000",IFAData_TEA!A1316),6),3),"-",(RIGHT(RIGHT(CONCATENATE("000",IFAData_TEA!A1316),6),3)))</f>
        <v>126-901</v>
      </c>
      <c r="C1316" s="2266" t="s">
        <v>1201</v>
      </c>
      <c r="D1316" s="2266">
        <v>3</v>
      </c>
      <c r="E1316" s="2266">
        <v>1561</v>
      </c>
      <c r="F1316" s="2266" t="s">
        <v>5773</v>
      </c>
      <c r="G1316" s="2266" t="s">
        <v>5773</v>
      </c>
      <c r="H1316" s="2436">
        <v>87080</v>
      </c>
      <c r="I1316" s="2436">
        <v>0</v>
      </c>
      <c r="J1316" s="2446">
        <v>0</v>
      </c>
      <c r="K1316" s="2436"/>
      <c r="L1316" s="2436">
        <v>0</v>
      </c>
      <c r="M1316" s="2266">
        <v>599</v>
      </c>
    </row>
    <row r="1317" spans="1:13" ht="15">
      <c r="A1317" s="2266" t="s">
        <v>4230</v>
      </c>
      <c r="B1317" s="1694" t="str">
        <f>CONCATENATE(LEFT(RIGHT(CONCATENATE("000",IFAData_TEA!A1317),6),3),"-",(RIGHT(RIGHT(CONCATENATE("000",IFAData_TEA!A1317),6),3)))</f>
        <v>126-901</v>
      </c>
      <c r="C1317" s="2266" t="s">
        <v>1201</v>
      </c>
      <c r="D1317" s="2266">
        <v>3</v>
      </c>
      <c r="E1317" s="2266">
        <v>1562</v>
      </c>
      <c r="F1317" s="2266" t="s">
        <v>5771</v>
      </c>
      <c r="G1317" s="2266" t="s">
        <v>5771</v>
      </c>
      <c r="H1317" s="2436">
        <v>590835</v>
      </c>
      <c r="I1317" s="2436">
        <v>0</v>
      </c>
      <c r="J1317" s="2446">
        <v>0</v>
      </c>
      <c r="K1317" s="2436">
        <v>0</v>
      </c>
      <c r="L1317" s="2436">
        <v>0</v>
      </c>
      <c r="M1317" s="2266">
        <v>599</v>
      </c>
    </row>
    <row r="1318" spans="1:13" ht="15">
      <c r="A1318" s="2266" t="s">
        <v>4230</v>
      </c>
      <c r="B1318" s="1694" t="str">
        <f>CONCATENATE(LEFT(RIGHT(CONCATENATE("000",IFAData_TEA!A1318),6),3),"-",(RIGHT(RIGHT(CONCATENATE("000",IFAData_TEA!A1318),6),3)))</f>
        <v>126-901</v>
      </c>
      <c r="C1318" s="2266" t="s">
        <v>1201</v>
      </c>
      <c r="D1318" s="2266">
        <v>5</v>
      </c>
      <c r="E1318" s="2266">
        <v>1564</v>
      </c>
      <c r="F1318" s="2266" t="s">
        <v>5774</v>
      </c>
      <c r="G1318" s="2266" t="s">
        <v>5774</v>
      </c>
      <c r="H1318" s="2436">
        <v>793345</v>
      </c>
      <c r="I1318" s="2436">
        <v>0</v>
      </c>
      <c r="J1318" s="2446">
        <v>0</v>
      </c>
      <c r="K1318" s="2436">
        <v>0</v>
      </c>
      <c r="L1318" s="2436">
        <v>0</v>
      </c>
      <c r="M1318" s="2266">
        <v>599</v>
      </c>
    </row>
    <row r="1319" spans="1:13" ht="15">
      <c r="A1319" s="2266" t="s">
        <v>4230</v>
      </c>
      <c r="B1319" s="1694" t="str">
        <f>CONCATENATE(LEFT(RIGHT(CONCATENATE("000",IFAData_TEA!A1319),6),3),"-",(RIGHT(RIGHT(CONCATENATE("000",IFAData_TEA!A1319),6),3)))</f>
        <v>126-901</v>
      </c>
      <c r="C1319" s="2266" t="s">
        <v>1201</v>
      </c>
      <c r="D1319" s="2266">
        <v>5</v>
      </c>
      <c r="E1319" s="2266">
        <v>1564</v>
      </c>
      <c r="F1319" s="2266" t="s">
        <v>5774</v>
      </c>
      <c r="G1319" s="2266" t="s">
        <v>5776</v>
      </c>
      <c r="H1319" s="2436">
        <v>793345</v>
      </c>
      <c r="I1319" s="2436">
        <v>400263</v>
      </c>
      <c r="J1319" s="2446">
        <v>0.42732415688292497</v>
      </c>
      <c r="K1319" s="2436">
        <v>339015.4832422841</v>
      </c>
      <c r="L1319" s="2436">
        <v>339015.4832422841</v>
      </c>
      <c r="M1319" s="2266">
        <v>599</v>
      </c>
    </row>
    <row r="1320" spans="1:13" ht="15">
      <c r="A1320" s="2266" t="s">
        <v>4230</v>
      </c>
      <c r="B1320" s="1694" t="str">
        <f>CONCATENATE(LEFT(RIGHT(CONCATENATE("000",IFAData_TEA!A1320),6),3),"-",(RIGHT(RIGHT(CONCATENATE("000",IFAData_TEA!A1320),6),3)))</f>
        <v>126-901</v>
      </c>
      <c r="C1320" s="2266" t="s">
        <v>1201</v>
      </c>
      <c r="D1320" s="2266">
        <v>5</v>
      </c>
      <c r="E1320" s="2266">
        <v>1564</v>
      </c>
      <c r="F1320" s="2266" t="s">
        <v>5774</v>
      </c>
      <c r="G1320" s="2266" t="s">
        <v>5775</v>
      </c>
      <c r="H1320" s="2436">
        <v>793345</v>
      </c>
      <c r="I1320" s="2436">
        <v>536410</v>
      </c>
      <c r="J1320" s="2446">
        <v>0.57267584311707498</v>
      </c>
      <c r="K1320" s="2436">
        <v>454329.51675771584</v>
      </c>
      <c r="L1320" s="2436">
        <v>454329.51675771584</v>
      </c>
      <c r="M1320" s="2266">
        <v>599</v>
      </c>
    </row>
    <row r="1321" spans="1:13" ht="15">
      <c r="A1321" s="2266" t="s">
        <v>4230</v>
      </c>
      <c r="B1321" s="1694" t="str">
        <f>CONCATENATE(LEFT(RIGHT(CONCATENATE("000",IFAData_TEA!A1321),6),3),"-",(RIGHT(RIGHT(CONCATENATE("000",IFAData_TEA!A1321),6),3)))</f>
        <v>126-901</v>
      </c>
      <c r="C1321" s="2266" t="s">
        <v>1201</v>
      </c>
      <c r="D1321" s="2266">
        <v>3</v>
      </c>
      <c r="E1321" s="2266">
        <v>1562</v>
      </c>
      <c r="F1321" s="2266" t="s">
        <v>5771</v>
      </c>
      <c r="G1321" s="2266" t="s">
        <v>5772</v>
      </c>
      <c r="H1321" s="2436">
        <v>590835</v>
      </c>
      <c r="I1321" s="2436">
        <v>493050</v>
      </c>
      <c r="J1321" s="2446">
        <v>1</v>
      </c>
      <c r="K1321" s="2436">
        <v>590835</v>
      </c>
      <c r="L1321" s="2436">
        <v>493050</v>
      </c>
      <c r="M1321" s="2266">
        <v>599</v>
      </c>
    </row>
    <row r="1322" spans="1:13" ht="15">
      <c r="A1322" s="2266" t="s">
        <v>4230</v>
      </c>
      <c r="B1322" s="1694" t="str">
        <f>CONCATENATE(LEFT(RIGHT(CONCATENATE("000",IFAData_TEA!A1322),6),3),"-",(RIGHT(RIGHT(CONCATENATE("000",IFAData_TEA!A1322),6),3)))</f>
        <v>126-901</v>
      </c>
      <c r="C1322" s="2266" t="s">
        <v>1201</v>
      </c>
      <c r="D1322" s="2266">
        <v>9</v>
      </c>
      <c r="E1322" s="2266">
        <v>1563</v>
      </c>
      <c r="F1322" s="2266" t="s">
        <v>5777</v>
      </c>
      <c r="G1322" s="2266" t="s">
        <v>7006</v>
      </c>
      <c r="H1322" s="2436">
        <v>760564</v>
      </c>
      <c r="I1322" s="2436">
        <v>253297</v>
      </c>
      <c r="J1322" s="2446">
        <v>0.1758540442743661</v>
      </c>
      <c r="K1322" s="2436">
        <v>133748.25532948898</v>
      </c>
      <c r="L1322" s="2436">
        <v>133748.25532948898</v>
      </c>
      <c r="M1322" s="2266">
        <v>599</v>
      </c>
    </row>
    <row r="1323" spans="1:13" ht="15">
      <c r="A1323" s="2266" t="s">
        <v>4231</v>
      </c>
      <c r="B1323" s="1694" t="str">
        <f>CONCATENATE(LEFT(RIGHT(CONCATENATE("000",IFAData_TEA!A1323),6),3),"-",(RIGHT(RIGHT(CONCATENATE("000",IFAData_TEA!A1323),6),3)))</f>
        <v>126-902</v>
      </c>
      <c r="C1323" s="2266" t="s">
        <v>1634</v>
      </c>
      <c r="D1323" s="2266">
        <v>1</v>
      </c>
      <c r="E1323" s="2266">
        <v>1653</v>
      </c>
      <c r="F1323" s="2266" t="s">
        <v>5778</v>
      </c>
      <c r="G1323" s="2266" t="s">
        <v>5778</v>
      </c>
      <c r="H1323" s="2436">
        <v>584119</v>
      </c>
      <c r="I1323" s="2436">
        <v>0</v>
      </c>
      <c r="J1323" s="2446">
        <v>0</v>
      </c>
      <c r="K1323" s="2436">
        <v>0</v>
      </c>
      <c r="L1323" s="2436">
        <v>0</v>
      </c>
      <c r="M1323" s="2266">
        <v>599</v>
      </c>
    </row>
    <row r="1324" spans="1:13" ht="15">
      <c r="A1324" s="2266" t="s">
        <v>4231</v>
      </c>
      <c r="B1324" s="1694" t="str">
        <f>CONCATENATE(LEFT(RIGHT(CONCATENATE("000",IFAData_TEA!A1324),6),3),"-",(RIGHT(RIGHT(CONCATENATE("000",IFAData_TEA!A1324),6),3)))</f>
        <v>126-902</v>
      </c>
      <c r="C1324" s="2266" t="s">
        <v>1634</v>
      </c>
      <c r="D1324" s="2266">
        <v>1</v>
      </c>
      <c r="E1324" s="2266">
        <v>1653</v>
      </c>
      <c r="F1324" s="2266" t="s">
        <v>5778</v>
      </c>
      <c r="G1324" s="2266" t="s">
        <v>5779</v>
      </c>
      <c r="H1324" s="2436">
        <v>584119</v>
      </c>
      <c r="I1324" s="2436">
        <v>210140</v>
      </c>
      <c r="J1324" s="2446">
        <v>1</v>
      </c>
      <c r="K1324" s="2436">
        <v>584119</v>
      </c>
      <c r="L1324" s="2436">
        <v>210140</v>
      </c>
      <c r="M1324" s="2266">
        <v>599</v>
      </c>
    </row>
    <row r="1325" spans="1:13" ht="15">
      <c r="A1325" s="2266" t="s">
        <v>4231</v>
      </c>
      <c r="B1325" s="1694" t="str">
        <f>CONCATENATE(LEFT(RIGHT(CONCATENATE("000",IFAData_TEA!A1325),6),3),"-",(RIGHT(RIGHT(CONCATENATE("000",IFAData_TEA!A1325),6),3)))</f>
        <v>126-902</v>
      </c>
      <c r="C1325" s="2266" t="s">
        <v>1634</v>
      </c>
      <c r="D1325" s="2266">
        <v>9</v>
      </c>
      <c r="E1325" s="2266">
        <v>1654</v>
      </c>
      <c r="F1325" s="2266" t="s">
        <v>5780</v>
      </c>
      <c r="G1325" s="2266" t="s">
        <v>5780</v>
      </c>
      <c r="H1325" s="2436">
        <v>2156750</v>
      </c>
      <c r="I1325" s="2436">
        <v>4252519</v>
      </c>
      <c r="J1325" s="2446">
        <v>1</v>
      </c>
      <c r="K1325" s="2436">
        <v>2156750</v>
      </c>
      <c r="L1325" s="2436">
        <v>2156750</v>
      </c>
      <c r="M1325" s="2266">
        <v>599</v>
      </c>
    </row>
    <row r="1326" spans="1:13" ht="15">
      <c r="A1326" s="2266" t="s">
        <v>5781</v>
      </c>
      <c r="B1326" s="1694" t="str">
        <f>CONCATENATE(LEFT(RIGHT(CONCATENATE("000",IFAData_TEA!A1326),6),3),"-",(RIGHT(RIGHT(CONCATENATE("000",IFAData_TEA!A1326),6),3)))</f>
        <v>126-904</v>
      </c>
      <c r="C1326" s="2266" t="s">
        <v>977</v>
      </c>
      <c r="D1326" s="2266">
        <v>6</v>
      </c>
      <c r="E1326" s="2266">
        <v>1858</v>
      </c>
      <c r="F1326" s="2266" t="s">
        <v>5782</v>
      </c>
      <c r="G1326" s="2266" t="s">
        <v>5782</v>
      </c>
      <c r="H1326" s="2436">
        <v>262527</v>
      </c>
      <c r="I1326" s="2436">
        <v>0</v>
      </c>
      <c r="J1326" s="2446">
        <v>0</v>
      </c>
      <c r="K1326" s="2436"/>
      <c r="L1326" s="2436">
        <v>0</v>
      </c>
      <c r="M1326" s="2266">
        <v>199</v>
      </c>
    </row>
    <row r="1327" spans="1:13" ht="15">
      <c r="A1327" s="2266" t="s">
        <v>4232</v>
      </c>
      <c r="B1327" s="1694" t="str">
        <f>CONCATENATE(LEFT(RIGHT(CONCATENATE("000",IFAData_TEA!A1327),6),3),"-",(RIGHT(RIGHT(CONCATENATE("000",IFAData_TEA!A1327),6),3)))</f>
        <v>126-905</v>
      </c>
      <c r="C1327" s="2266" t="s">
        <v>447</v>
      </c>
      <c r="D1327" s="2266">
        <v>2</v>
      </c>
      <c r="E1327" s="2266">
        <v>1936</v>
      </c>
      <c r="F1327" s="2266" t="s">
        <v>5783</v>
      </c>
      <c r="G1327" s="2266" t="s">
        <v>5784</v>
      </c>
      <c r="H1327" s="2436">
        <v>787721</v>
      </c>
      <c r="I1327" s="2436">
        <v>760860</v>
      </c>
      <c r="J1327" s="2446">
        <v>1</v>
      </c>
      <c r="K1327" s="2436">
        <v>787721</v>
      </c>
      <c r="L1327" s="2436">
        <v>760860</v>
      </c>
      <c r="M1327" s="2266">
        <v>599</v>
      </c>
    </row>
    <row r="1328" spans="1:13" ht="15">
      <c r="A1328" s="2266" t="s">
        <v>4232</v>
      </c>
      <c r="B1328" s="1694" t="str">
        <f>CONCATENATE(LEFT(RIGHT(CONCATENATE("000",IFAData_TEA!A1328),6),3),"-",(RIGHT(RIGHT(CONCATENATE("000",IFAData_TEA!A1328),6),3)))</f>
        <v>126-905</v>
      </c>
      <c r="C1328" s="2266" t="s">
        <v>447</v>
      </c>
      <c r="D1328" s="2266">
        <v>2</v>
      </c>
      <c r="E1328" s="2266">
        <v>1936</v>
      </c>
      <c r="F1328" s="2266" t="s">
        <v>5783</v>
      </c>
      <c r="G1328" s="2266" t="s">
        <v>5783</v>
      </c>
      <c r="H1328" s="2436">
        <v>787721</v>
      </c>
      <c r="I1328" s="2436">
        <v>0</v>
      </c>
      <c r="J1328" s="2446">
        <v>0</v>
      </c>
      <c r="K1328" s="2436">
        <v>0</v>
      </c>
      <c r="L1328" s="2436">
        <v>0</v>
      </c>
      <c r="M1328" s="2266">
        <v>599</v>
      </c>
    </row>
    <row r="1329" spans="1:13" ht="15">
      <c r="A1329" s="2266" t="s">
        <v>4233</v>
      </c>
      <c r="B1329" s="1694" t="str">
        <f>CONCATENATE(LEFT(RIGHT(CONCATENATE("000",IFAData_TEA!A1329),6),3),"-",(RIGHT(RIGHT(CONCATENATE("000",IFAData_TEA!A1329),6),3)))</f>
        <v>126-906</v>
      </c>
      <c r="C1329" s="2266" t="s">
        <v>2314</v>
      </c>
      <c r="D1329" s="2266">
        <v>9</v>
      </c>
      <c r="E1329" s="2266">
        <v>1949</v>
      </c>
      <c r="F1329" s="2266" t="s">
        <v>5785</v>
      </c>
      <c r="G1329" s="2266" t="s">
        <v>5786</v>
      </c>
      <c r="H1329" s="2436">
        <v>196049</v>
      </c>
      <c r="I1329" s="2436">
        <v>841512</v>
      </c>
      <c r="J1329" s="2446">
        <v>1</v>
      </c>
      <c r="K1329" s="2436">
        <v>196049</v>
      </c>
      <c r="L1329" s="2436">
        <v>196049</v>
      </c>
      <c r="M1329" s="2266">
        <v>599</v>
      </c>
    </row>
    <row r="1330" spans="1:13" ht="15">
      <c r="A1330" s="2266" t="s">
        <v>4233</v>
      </c>
      <c r="B1330" s="1694" t="str">
        <f>CONCATENATE(LEFT(RIGHT(CONCATENATE("000",IFAData_TEA!A1330),6),3),"-",(RIGHT(RIGHT(CONCATENATE("000",IFAData_TEA!A1330),6),3)))</f>
        <v>126-906</v>
      </c>
      <c r="C1330" s="2266" t="s">
        <v>2314</v>
      </c>
      <c r="D1330" s="2266">
        <v>9</v>
      </c>
      <c r="E1330" s="2266">
        <v>1949</v>
      </c>
      <c r="F1330" s="2266" t="s">
        <v>5785</v>
      </c>
      <c r="G1330" s="2266" t="s">
        <v>5785</v>
      </c>
      <c r="H1330" s="2436">
        <v>196049</v>
      </c>
      <c r="I1330" s="2436">
        <v>0</v>
      </c>
      <c r="J1330" s="2446">
        <v>0</v>
      </c>
      <c r="K1330" s="2436">
        <v>0</v>
      </c>
      <c r="L1330" s="2436">
        <v>0</v>
      </c>
      <c r="M1330" s="2266">
        <v>599</v>
      </c>
    </row>
    <row r="1331" spans="1:13" ht="15">
      <c r="A1331" s="2266" t="s">
        <v>4234</v>
      </c>
      <c r="B1331" s="1694" t="str">
        <f>CONCATENATE(LEFT(RIGHT(CONCATENATE("000",IFAData_TEA!A1331),6),3),"-",(RIGHT(RIGHT(CONCATENATE("000",IFAData_TEA!A1331),6),3)))</f>
        <v>126-907</v>
      </c>
      <c r="C1331" s="2266" t="s">
        <v>3094</v>
      </c>
      <c r="D1331" s="2266">
        <v>4</v>
      </c>
      <c r="E1331" s="2266">
        <v>2248</v>
      </c>
      <c r="F1331" s="2266" t="s">
        <v>5787</v>
      </c>
      <c r="G1331" s="2266" t="s">
        <v>5788</v>
      </c>
      <c r="H1331" s="2436">
        <v>140320</v>
      </c>
      <c r="I1331" s="2436">
        <v>276725</v>
      </c>
      <c r="J1331" s="2446">
        <v>1</v>
      </c>
      <c r="K1331" s="2436">
        <v>140320</v>
      </c>
      <c r="L1331" s="2436">
        <v>140320</v>
      </c>
      <c r="M1331" s="2266">
        <v>599</v>
      </c>
    </row>
    <row r="1332" spans="1:13" ht="15">
      <c r="A1332" s="2266" t="s">
        <v>4234</v>
      </c>
      <c r="B1332" s="1694" t="str">
        <f>CONCATENATE(LEFT(RIGHT(CONCATENATE("000",IFAData_TEA!A1332),6),3),"-",(RIGHT(RIGHT(CONCATENATE("000",IFAData_TEA!A1332),6),3)))</f>
        <v>126-907</v>
      </c>
      <c r="C1332" s="2266" t="s">
        <v>3094</v>
      </c>
      <c r="D1332" s="2266">
        <v>4</v>
      </c>
      <c r="E1332" s="2266">
        <v>2248</v>
      </c>
      <c r="F1332" s="2266" t="s">
        <v>5787</v>
      </c>
      <c r="G1332" s="2266" t="s">
        <v>5787</v>
      </c>
      <c r="H1332" s="2436">
        <v>140320</v>
      </c>
      <c r="I1332" s="2436">
        <v>0</v>
      </c>
      <c r="J1332" s="2446">
        <v>0</v>
      </c>
      <c r="K1332" s="2436">
        <v>0</v>
      </c>
      <c r="L1332" s="2436">
        <v>0</v>
      </c>
      <c r="M1332" s="2266">
        <v>599</v>
      </c>
    </row>
    <row r="1333" spans="1:13" ht="15">
      <c r="A1333" s="2266" t="s">
        <v>4235</v>
      </c>
      <c r="B1333" s="1694" t="str">
        <f>CONCATENATE(LEFT(RIGHT(CONCATENATE("000",IFAData_TEA!A1333),6),3),"-",(RIGHT(RIGHT(CONCATENATE("000",IFAData_TEA!A1333),6),3)))</f>
        <v>126-908</v>
      </c>
      <c r="C1333" s="2266" t="s">
        <v>3040</v>
      </c>
      <c r="D1333" s="2266">
        <v>3</v>
      </c>
      <c r="E1333" s="2266">
        <v>2422</v>
      </c>
      <c r="F1333" s="2266" t="s">
        <v>5789</v>
      </c>
      <c r="G1333" s="2266" t="s">
        <v>5791</v>
      </c>
      <c r="H1333" s="2436">
        <v>198161</v>
      </c>
      <c r="I1333" s="2436">
        <v>171172</v>
      </c>
      <c r="J1333" s="2446">
        <v>0.53919233919233922</v>
      </c>
      <c r="K1333" s="2436">
        <v>106846.89312669313</v>
      </c>
      <c r="L1333" s="2436">
        <v>106846.89312669313</v>
      </c>
      <c r="M1333" s="2266">
        <v>599</v>
      </c>
    </row>
    <row r="1334" spans="1:13" ht="15">
      <c r="A1334" s="2266" t="s">
        <v>4235</v>
      </c>
      <c r="B1334" s="1694" t="str">
        <f>CONCATENATE(LEFT(RIGHT(CONCATENATE("000",IFAData_TEA!A1334),6),3),"-",(RIGHT(RIGHT(CONCATENATE("000",IFAData_TEA!A1334),6),3)))</f>
        <v>126-908</v>
      </c>
      <c r="C1334" s="2266" t="s">
        <v>3040</v>
      </c>
      <c r="D1334" s="2266">
        <v>3</v>
      </c>
      <c r="E1334" s="2266">
        <v>2423</v>
      </c>
      <c r="F1334" s="2266" t="s">
        <v>5793</v>
      </c>
      <c r="G1334" s="2266" t="s">
        <v>5791</v>
      </c>
      <c r="H1334" s="2436">
        <v>260380</v>
      </c>
      <c r="I1334" s="2436">
        <v>164976</v>
      </c>
      <c r="J1334" s="2446">
        <v>0.57180289686294494</v>
      </c>
      <c r="K1334" s="2436">
        <v>148886.03828517359</v>
      </c>
      <c r="L1334" s="2436">
        <v>148886.03828517359</v>
      </c>
      <c r="M1334" s="2266">
        <v>599</v>
      </c>
    </row>
    <row r="1335" spans="1:13" ht="15">
      <c r="A1335" s="2266" t="s">
        <v>4235</v>
      </c>
      <c r="B1335" s="1694" t="str">
        <f>CONCATENATE(LEFT(RIGHT(CONCATENATE("000",IFAData_TEA!A1335),6),3),"-",(RIGHT(RIGHT(CONCATENATE("000",IFAData_TEA!A1335),6),3)))</f>
        <v>126-908</v>
      </c>
      <c r="C1335" s="2266" t="s">
        <v>3040</v>
      </c>
      <c r="D1335" s="2266">
        <v>3</v>
      </c>
      <c r="E1335" s="2266">
        <v>2422</v>
      </c>
      <c r="F1335" s="2266" t="s">
        <v>5789</v>
      </c>
      <c r="G1335" s="2266" t="s">
        <v>5790</v>
      </c>
      <c r="H1335" s="2436">
        <v>198161</v>
      </c>
      <c r="I1335" s="2436">
        <v>0</v>
      </c>
      <c r="J1335" s="2446">
        <v>0</v>
      </c>
      <c r="K1335" s="2436">
        <v>0</v>
      </c>
      <c r="L1335" s="2436">
        <v>0</v>
      </c>
      <c r="M1335" s="2266">
        <v>599</v>
      </c>
    </row>
    <row r="1336" spans="1:13" ht="15">
      <c r="A1336" s="2266" t="s">
        <v>4235</v>
      </c>
      <c r="B1336" s="1694" t="str">
        <f>CONCATENATE(LEFT(RIGHT(CONCATENATE("000",IFAData_TEA!A1336),6),3),"-",(RIGHT(RIGHT(CONCATENATE("000",IFAData_TEA!A1336),6),3)))</f>
        <v>126-908</v>
      </c>
      <c r="C1336" s="2266" t="s">
        <v>3040</v>
      </c>
      <c r="D1336" s="2266">
        <v>3</v>
      </c>
      <c r="E1336" s="2266">
        <v>2423</v>
      </c>
      <c r="F1336" s="2266" t="s">
        <v>5793</v>
      </c>
      <c r="G1336" s="2266" t="s">
        <v>5790</v>
      </c>
      <c r="H1336" s="2436">
        <v>260380</v>
      </c>
      <c r="I1336" s="2436">
        <v>98863</v>
      </c>
      <c r="J1336" s="2446">
        <v>0.34265680943022814</v>
      </c>
      <c r="K1336" s="2436">
        <v>89220.980039442802</v>
      </c>
      <c r="L1336" s="2436">
        <v>89220.980039442802</v>
      </c>
      <c r="M1336" s="2266">
        <v>599</v>
      </c>
    </row>
    <row r="1337" spans="1:13" ht="15">
      <c r="A1337" s="2266" t="s">
        <v>4235</v>
      </c>
      <c r="B1337" s="1694" t="str">
        <f>CONCATENATE(LEFT(RIGHT(CONCATENATE("000",IFAData_TEA!A1337),6),3),"-",(RIGHT(RIGHT(CONCATENATE("000",IFAData_TEA!A1337),6),3)))</f>
        <v>126-908</v>
      </c>
      <c r="C1337" s="2266" t="s">
        <v>3040</v>
      </c>
      <c r="D1337" s="2266">
        <v>8</v>
      </c>
      <c r="E1337" s="2266">
        <v>2424</v>
      </c>
      <c r="F1337" s="2266" t="s">
        <v>5790</v>
      </c>
      <c r="G1337" s="2266" t="s">
        <v>5790</v>
      </c>
      <c r="H1337" s="2436">
        <v>338505</v>
      </c>
      <c r="I1337" s="2436">
        <v>198770</v>
      </c>
      <c r="J1337" s="2446">
        <v>1</v>
      </c>
      <c r="K1337" s="2436">
        <v>338505</v>
      </c>
      <c r="L1337" s="2436">
        <v>198770</v>
      </c>
      <c r="M1337" s="2266">
        <v>599</v>
      </c>
    </row>
    <row r="1338" spans="1:13" ht="15">
      <c r="A1338" s="2266" t="s">
        <v>4235</v>
      </c>
      <c r="B1338" s="1694" t="str">
        <f>CONCATENATE(LEFT(RIGHT(CONCATENATE("000",IFAData_TEA!A1338),6),3),"-",(RIGHT(RIGHT(CONCATENATE("000",IFAData_TEA!A1338),6),3)))</f>
        <v>126-908</v>
      </c>
      <c r="C1338" s="2266" t="s">
        <v>3040</v>
      </c>
      <c r="D1338" s="2266">
        <v>3</v>
      </c>
      <c r="E1338" s="2266">
        <v>2422</v>
      </c>
      <c r="F1338" s="2266" t="s">
        <v>5789</v>
      </c>
      <c r="G1338" s="2266" t="s">
        <v>5792</v>
      </c>
      <c r="H1338" s="2436">
        <v>198161</v>
      </c>
      <c r="I1338" s="2436">
        <v>146288</v>
      </c>
      <c r="J1338" s="2446">
        <v>0.46080766080766083</v>
      </c>
      <c r="K1338" s="2436">
        <v>91314.106873306882</v>
      </c>
      <c r="L1338" s="2436">
        <v>91314.106873306882</v>
      </c>
      <c r="M1338" s="2266">
        <v>599</v>
      </c>
    </row>
    <row r="1339" spans="1:13" ht="15">
      <c r="A1339" s="2266" t="s">
        <v>4235</v>
      </c>
      <c r="B1339" s="1694" t="str">
        <f>CONCATENATE(LEFT(RIGHT(CONCATENATE("000",IFAData_TEA!A1339),6),3),"-",(RIGHT(RIGHT(CONCATENATE("000",IFAData_TEA!A1339),6),3)))</f>
        <v>126-908</v>
      </c>
      <c r="C1339" s="2266" t="s">
        <v>3040</v>
      </c>
      <c r="D1339" s="2266">
        <v>3</v>
      </c>
      <c r="E1339" s="2266">
        <v>2423</v>
      </c>
      <c r="F1339" s="2266" t="s">
        <v>5793</v>
      </c>
      <c r="G1339" s="2266" t="s">
        <v>5792</v>
      </c>
      <c r="H1339" s="2436">
        <v>260380</v>
      </c>
      <c r="I1339" s="2436">
        <v>24680</v>
      </c>
      <c r="J1339" s="2446">
        <v>8.5540293706826934E-2</v>
      </c>
      <c r="K1339" s="2436">
        <v>22272.981675383598</v>
      </c>
      <c r="L1339" s="2436">
        <v>22272.981675383598</v>
      </c>
      <c r="M1339" s="2266">
        <v>599</v>
      </c>
    </row>
    <row r="1340" spans="1:13" ht="15">
      <c r="A1340" s="2266" t="s">
        <v>4235</v>
      </c>
      <c r="B1340" s="1694" t="str">
        <f>CONCATENATE(LEFT(RIGHT(CONCATENATE("000",IFAData_TEA!A1340),6),3),"-",(RIGHT(RIGHT(CONCATENATE("000",IFAData_TEA!A1340),6),3)))</f>
        <v>126-908</v>
      </c>
      <c r="C1340" s="2266" t="s">
        <v>3040</v>
      </c>
      <c r="D1340" s="2266">
        <v>3</v>
      </c>
      <c r="E1340" s="2266">
        <v>2422</v>
      </c>
      <c r="F1340" s="2266" t="s">
        <v>5789</v>
      </c>
      <c r="G1340" s="2266" t="s">
        <v>5789</v>
      </c>
      <c r="H1340" s="2436">
        <v>198161</v>
      </c>
      <c r="I1340" s="2436">
        <v>0</v>
      </c>
      <c r="J1340" s="2446">
        <v>0</v>
      </c>
      <c r="K1340" s="2436">
        <v>0</v>
      </c>
      <c r="L1340" s="2436">
        <v>0</v>
      </c>
      <c r="M1340" s="2266">
        <v>599</v>
      </c>
    </row>
    <row r="1341" spans="1:13" ht="15">
      <c r="A1341" s="2266" t="s">
        <v>4235</v>
      </c>
      <c r="B1341" s="1694" t="str">
        <f>CONCATENATE(LEFT(RIGHT(CONCATENATE("000",IFAData_TEA!A1341),6),3),"-",(RIGHT(RIGHT(CONCATENATE("000",IFAData_TEA!A1341),6),3)))</f>
        <v>126-908</v>
      </c>
      <c r="C1341" s="2266" t="s">
        <v>3040</v>
      </c>
      <c r="D1341" s="2266">
        <v>3</v>
      </c>
      <c r="E1341" s="2266">
        <v>2423</v>
      </c>
      <c r="F1341" s="2266" t="s">
        <v>5793</v>
      </c>
      <c r="G1341" s="2266" t="s">
        <v>5793</v>
      </c>
      <c r="H1341" s="2436">
        <v>260380</v>
      </c>
      <c r="I1341" s="2436">
        <v>0</v>
      </c>
      <c r="J1341" s="2446">
        <v>0</v>
      </c>
      <c r="K1341" s="2436">
        <v>0</v>
      </c>
      <c r="L1341" s="2436">
        <v>0</v>
      </c>
      <c r="M1341" s="2266">
        <v>599</v>
      </c>
    </row>
    <row r="1342" spans="1:13" ht="15">
      <c r="A1342" s="2266" t="s">
        <v>4236</v>
      </c>
      <c r="B1342" s="1694" t="str">
        <f>CONCATENATE(LEFT(RIGHT(CONCATENATE("000",IFAData_TEA!A1342),6),3),"-",(RIGHT(RIGHT(CONCATENATE("000",IFAData_TEA!A1342),6),3)))</f>
        <v>126-911</v>
      </c>
      <c r="C1342" s="2266" t="s">
        <v>2651</v>
      </c>
      <c r="D1342" s="2266">
        <v>1</v>
      </c>
      <c r="E1342" s="2266">
        <v>1847</v>
      </c>
      <c r="F1342" s="2266" t="s">
        <v>5794</v>
      </c>
      <c r="G1342" s="2266" t="s">
        <v>7007</v>
      </c>
      <c r="H1342" s="2436">
        <v>212707</v>
      </c>
      <c r="I1342" s="2436">
        <v>33460</v>
      </c>
      <c r="J1342" s="2446">
        <v>0.13771644242127401</v>
      </c>
      <c r="K1342" s="2436">
        <v>29293.251318101931</v>
      </c>
      <c r="L1342" s="2436">
        <v>29293.251318101931</v>
      </c>
      <c r="M1342" s="2266">
        <v>599</v>
      </c>
    </row>
    <row r="1343" spans="1:13" ht="15">
      <c r="A1343" s="2266" t="s">
        <v>4236</v>
      </c>
      <c r="B1343" s="1694" t="str">
        <f>CONCATENATE(LEFT(RIGHT(CONCATENATE("000",IFAData_TEA!A1343),6),3),"-",(RIGHT(RIGHT(CONCATENATE("000",IFAData_TEA!A1343),6),3)))</f>
        <v>126-911</v>
      </c>
      <c r="C1343" s="2266" t="s">
        <v>2651</v>
      </c>
      <c r="D1343" s="2266">
        <v>1</v>
      </c>
      <c r="E1343" s="2266">
        <v>1847</v>
      </c>
      <c r="F1343" s="2266" t="s">
        <v>5794</v>
      </c>
      <c r="G1343" s="2266" t="s">
        <v>5795</v>
      </c>
      <c r="H1343" s="2436">
        <v>212707</v>
      </c>
      <c r="I1343" s="2436">
        <v>209503</v>
      </c>
      <c r="J1343" s="2446">
        <v>0.86228355757872599</v>
      </c>
      <c r="K1343" s="2436">
        <v>183413.74868189808</v>
      </c>
      <c r="L1343" s="2436">
        <v>183413.74868189808</v>
      </c>
      <c r="M1343" s="2266">
        <v>599</v>
      </c>
    </row>
    <row r="1344" spans="1:13" ht="15">
      <c r="A1344" s="2266" t="s">
        <v>4236</v>
      </c>
      <c r="B1344" s="1694" t="str">
        <f>CONCATENATE(LEFT(RIGHT(CONCATENATE("000",IFAData_TEA!A1344),6),3),"-",(RIGHT(RIGHT(CONCATENATE("000",IFAData_TEA!A1344),6),3)))</f>
        <v>126-911</v>
      </c>
      <c r="C1344" s="2266" t="s">
        <v>2651</v>
      </c>
      <c r="D1344" s="2266">
        <v>4</v>
      </c>
      <c r="E1344" s="2266">
        <v>1848</v>
      </c>
      <c r="F1344" s="2266" t="s">
        <v>5796</v>
      </c>
      <c r="G1344" s="2266" t="s">
        <v>5795</v>
      </c>
      <c r="H1344" s="2436">
        <v>279766</v>
      </c>
      <c r="I1344" s="2436">
        <v>270941</v>
      </c>
      <c r="J1344" s="2446">
        <v>0.8455623277688834</v>
      </c>
      <c r="K1344" s="2436">
        <v>236559.59019058943</v>
      </c>
      <c r="L1344" s="2436">
        <v>236559.59019058943</v>
      </c>
      <c r="M1344" s="2266">
        <v>599</v>
      </c>
    </row>
    <row r="1345" spans="1:13" ht="15">
      <c r="A1345" s="2266" t="s">
        <v>4236</v>
      </c>
      <c r="B1345" s="1694" t="str">
        <f>CONCATENATE(LEFT(RIGHT(CONCATENATE("000",IFAData_TEA!A1345),6),3),"-",(RIGHT(RIGHT(CONCATENATE("000",IFAData_TEA!A1345),6),3)))</f>
        <v>126-911</v>
      </c>
      <c r="C1345" s="2266" t="s">
        <v>2651</v>
      </c>
      <c r="D1345" s="2266">
        <v>1</v>
      </c>
      <c r="E1345" s="2266">
        <v>1847</v>
      </c>
      <c r="F1345" s="2266" t="s">
        <v>5794</v>
      </c>
      <c r="G1345" s="2266" t="s">
        <v>5794</v>
      </c>
      <c r="H1345" s="2436">
        <v>212707</v>
      </c>
      <c r="I1345" s="2436">
        <v>0</v>
      </c>
      <c r="J1345" s="2446">
        <v>0</v>
      </c>
      <c r="K1345" s="2436">
        <v>0</v>
      </c>
      <c r="L1345" s="2436">
        <v>0</v>
      </c>
      <c r="M1345" s="2266">
        <v>599</v>
      </c>
    </row>
    <row r="1346" spans="1:13" ht="15">
      <c r="A1346" s="2266" t="s">
        <v>4236</v>
      </c>
      <c r="B1346" s="1694" t="str">
        <f>CONCATENATE(LEFT(RIGHT(CONCATENATE("000",IFAData_TEA!A1346),6),3),"-",(RIGHT(RIGHT(CONCATENATE("000",IFAData_TEA!A1346),6),3)))</f>
        <v>126-911</v>
      </c>
      <c r="C1346" s="2266" t="s">
        <v>2651</v>
      </c>
      <c r="D1346" s="2266">
        <v>4</v>
      </c>
      <c r="E1346" s="2266">
        <v>1848</v>
      </c>
      <c r="F1346" s="2266" t="s">
        <v>5796</v>
      </c>
      <c r="G1346" s="2266" t="s">
        <v>5796</v>
      </c>
      <c r="H1346" s="2436">
        <v>279766</v>
      </c>
      <c r="I1346" s="2436">
        <v>0</v>
      </c>
      <c r="J1346" s="2446">
        <v>0</v>
      </c>
      <c r="K1346" s="2436">
        <v>0</v>
      </c>
      <c r="L1346" s="2436">
        <v>0</v>
      </c>
      <c r="M1346" s="2266">
        <v>599</v>
      </c>
    </row>
    <row r="1347" spans="1:13" ht="15">
      <c r="A1347" s="2266" t="s">
        <v>4236</v>
      </c>
      <c r="B1347" s="1694" t="str">
        <f>CONCATENATE(LEFT(RIGHT(CONCATENATE("000",IFAData_TEA!A1347),6),3),"-",(RIGHT(RIGHT(CONCATENATE("000",IFAData_TEA!A1347),6),3)))</f>
        <v>126-911</v>
      </c>
      <c r="C1347" s="2266" t="s">
        <v>2651</v>
      </c>
      <c r="D1347" s="2266">
        <v>4</v>
      </c>
      <c r="E1347" s="2266">
        <v>1848</v>
      </c>
      <c r="F1347" s="2266" t="s">
        <v>5796</v>
      </c>
      <c r="G1347" s="2266" t="s">
        <v>7007</v>
      </c>
      <c r="H1347" s="2436">
        <v>279766</v>
      </c>
      <c r="I1347" s="2436">
        <v>49486</v>
      </c>
      <c r="J1347" s="2446">
        <v>0.1544376722311166</v>
      </c>
      <c r="K1347" s="2436">
        <v>43206.409809410565</v>
      </c>
      <c r="L1347" s="2436">
        <v>43206.409809410565</v>
      </c>
      <c r="M1347" s="2266">
        <v>599</v>
      </c>
    </row>
    <row r="1348" spans="1:13" ht="15">
      <c r="A1348" s="2266" t="s">
        <v>4237</v>
      </c>
      <c r="B1348" s="1694" t="str">
        <f>CONCATENATE(LEFT(RIGHT(CONCATENATE("000",IFAData_TEA!A1348),6),3),"-",(RIGHT(RIGHT(CONCATENATE("000",IFAData_TEA!A1348),6),3)))</f>
        <v>127-905</v>
      </c>
      <c r="C1348" s="2266" t="s">
        <v>165</v>
      </c>
      <c r="D1348" s="2266">
        <v>6</v>
      </c>
      <c r="E1348" s="2266">
        <v>2042</v>
      </c>
      <c r="F1348" s="2266" t="s">
        <v>5797</v>
      </c>
      <c r="G1348" s="2266" t="s">
        <v>5798</v>
      </c>
      <c r="H1348" s="2436">
        <v>100000</v>
      </c>
      <c r="I1348" s="2436">
        <v>95600</v>
      </c>
      <c r="J1348" s="2446">
        <v>1</v>
      </c>
      <c r="K1348" s="2436">
        <v>100000</v>
      </c>
      <c r="L1348" s="2436">
        <v>95600</v>
      </c>
      <c r="M1348" s="2266">
        <v>599</v>
      </c>
    </row>
    <row r="1349" spans="1:13" ht="15">
      <c r="A1349" s="2266" t="s">
        <v>4237</v>
      </c>
      <c r="B1349" s="1694" t="str">
        <f>CONCATENATE(LEFT(RIGHT(CONCATENATE("000",IFAData_TEA!A1349),6),3),"-",(RIGHT(RIGHT(CONCATENATE("000",IFAData_TEA!A1349),6),3)))</f>
        <v>127-905</v>
      </c>
      <c r="C1349" s="2266" t="s">
        <v>165</v>
      </c>
      <c r="D1349" s="2266">
        <v>6</v>
      </c>
      <c r="E1349" s="2266">
        <v>2042</v>
      </c>
      <c r="F1349" s="2266" t="s">
        <v>5797</v>
      </c>
      <c r="G1349" s="2266" t="s">
        <v>5797</v>
      </c>
      <c r="H1349" s="2436">
        <v>100000</v>
      </c>
      <c r="I1349" s="2436">
        <v>0</v>
      </c>
      <c r="J1349" s="2446">
        <v>0</v>
      </c>
      <c r="K1349" s="2436">
        <v>0</v>
      </c>
      <c r="L1349" s="2436">
        <v>0</v>
      </c>
      <c r="M1349" s="2266">
        <v>599</v>
      </c>
    </row>
    <row r="1350" spans="1:13" ht="15">
      <c r="A1350" s="2266" t="s">
        <v>4238</v>
      </c>
      <c r="B1350" s="1694" t="str">
        <f>CONCATENATE(LEFT(RIGHT(CONCATENATE("000",IFAData_TEA!A1350),6),3),"-",(RIGHT(RIGHT(CONCATENATE("000",IFAData_TEA!A1350),6),3)))</f>
        <v>127-906</v>
      </c>
      <c r="C1350" s="2266" t="s">
        <v>2213</v>
      </c>
      <c r="D1350" s="2266">
        <v>5</v>
      </c>
      <c r="E1350" s="2266">
        <v>2382</v>
      </c>
      <c r="F1350" s="2266" t="s">
        <v>5799</v>
      </c>
      <c r="G1350" s="2266" t="s">
        <v>5799</v>
      </c>
      <c r="H1350" s="2436">
        <v>187854</v>
      </c>
      <c r="I1350" s="2436">
        <v>0</v>
      </c>
      <c r="J1350" s="2446">
        <v>0</v>
      </c>
      <c r="K1350" s="2436">
        <v>0</v>
      </c>
      <c r="L1350" s="2436">
        <v>0</v>
      </c>
      <c r="M1350" s="2266">
        <v>599</v>
      </c>
    </row>
    <row r="1351" spans="1:13" ht="15">
      <c r="A1351" s="2266" t="s">
        <v>4238</v>
      </c>
      <c r="B1351" s="1694" t="str">
        <f>CONCATENATE(LEFT(RIGHT(CONCATENATE("000",IFAData_TEA!A1351),6),3),"-",(RIGHT(RIGHT(CONCATENATE("000",IFAData_TEA!A1351),6),3)))</f>
        <v>127-906</v>
      </c>
      <c r="C1351" s="2266" t="s">
        <v>2213</v>
      </c>
      <c r="D1351" s="2266">
        <v>10</v>
      </c>
      <c r="E1351" s="2266">
        <v>2381</v>
      </c>
      <c r="F1351" s="2266" t="s">
        <v>5801</v>
      </c>
      <c r="G1351" s="2266" t="s">
        <v>5801</v>
      </c>
      <c r="H1351" s="2436">
        <v>143981</v>
      </c>
      <c r="I1351" s="2436">
        <v>448746</v>
      </c>
      <c r="J1351" s="2446">
        <v>1</v>
      </c>
      <c r="K1351" s="2436">
        <v>143981</v>
      </c>
      <c r="L1351" s="2436">
        <v>143981</v>
      </c>
      <c r="M1351" s="2266">
        <v>599</v>
      </c>
    </row>
    <row r="1352" spans="1:13" ht="15">
      <c r="A1352" s="2266" t="s">
        <v>4238</v>
      </c>
      <c r="B1352" s="1694" t="str">
        <f>CONCATENATE(LEFT(RIGHT(CONCATENATE("000",IFAData_TEA!A1352),6),3),"-",(RIGHT(RIGHT(CONCATENATE("000",IFAData_TEA!A1352),6),3)))</f>
        <v>127-906</v>
      </c>
      <c r="C1352" s="2266" t="s">
        <v>2213</v>
      </c>
      <c r="D1352" s="2266">
        <v>5</v>
      </c>
      <c r="E1352" s="2266">
        <v>2382</v>
      </c>
      <c r="F1352" s="2266" t="s">
        <v>5799</v>
      </c>
      <c r="G1352" s="2266" t="s">
        <v>5800</v>
      </c>
      <c r="H1352" s="2436">
        <v>187854</v>
      </c>
      <c r="I1352" s="2436">
        <v>172118</v>
      </c>
      <c r="J1352" s="2446">
        <v>1</v>
      </c>
      <c r="K1352" s="2436">
        <v>187854</v>
      </c>
      <c r="L1352" s="2436">
        <v>172118</v>
      </c>
      <c r="M1352" s="2266">
        <v>599</v>
      </c>
    </row>
    <row r="1353" spans="1:13" ht="15">
      <c r="A1353" s="2266" t="s">
        <v>5802</v>
      </c>
      <c r="B1353" s="1694" t="str">
        <f>CONCATENATE(LEFT(RIGHT(CONCATENATE("000",IFAData_TEA!A1353),6),3),"-",(RIGHT(RIGHT(CONCATENATE("000",IFAData_TEA!A1353),6),3)))</f>
        <v>128-901</v>
      </c>
      <c r="C1353" s="2266" t="s">
        <v>449</v>
      </c>
      <c r="D1353" s="2266">
        <v>2</v>
      </c>
      <c r="E1353" s="2266">
        <v>1940</v>
      </c>
      <c r="F1353" s="2266" t="s">
        <v>5803</v>
      </c>
      <c r="G1353" s="2266" t="s">
        <v>5803</v>
      </c>
      <c r="H1353" s="2436">
        <v>91832</v>
      </c>
      <c r="I1353" s="2436">
        <v>0</v>
      </c>
      <c r="J1353" s="2446">
        <v>0</v>
      </c>
      <c r="K1353" s="2436"/>
      <c r="L1353" s="2436">
        <v>0</v>
      </c>
      <c r="M1353" s="2266">
        <v>599</v>
      </c>
    </row>
    <row r="1354" spans="1:13" ht="15">
      <c r="A1354" s="2266" t="s">
        <v>4239</v>
      </c>
      <c r="B1354" s="1694" t="str">
        <f>CONCATENATE(LEFT(RIGHT(CONCATENATE("000",IFAData_TEA!A1354),6),3),"-",(RIGHT(RIGHT(CONCATENATE("000",IFAData_TEA!A1354),6),3)))</f>
        <v>128-902</v>
      </c>
      <c r="C1354" s="2266" t="s">
        <v>454</v>
      </c>
      <c r="D1354" s="2266">
        <v>6</v>
      </c>
      <c r="E1354" s="2266">
        <v>1954</v>
      </c>
      <c r="F1354" s="2266" t="s">
        <v>5804</v>
      </c>
      <c r="G1354" s="2266" t="s">
        <v>5805</v>
      </c>
      <c r="H1354" s="2436">
        <v>195337</v>
      </c>
      <c r="I1354" s="2436">
        <v>196225</v>
      </c>
      <c r="J1354" s="2446">
        <v>1</v>
      </c>
      <c r="K1354" s="2436">
        <v>195337</v>
      </c>
      <c r="L1354" s="2436">
        <v>195337</v>
      </c>
      <c r="M1354" s="2266">
        <v>599</v>
      </c>
    </row>
    <row r="1355" spans="1:13" ht="15">
      <c r="A1355" s="2266" t="s">
        <v>4239</v>
      </c>
      <c r="B1355" s="1694" t="str">
        <f>CONCATENATE(LEFT(RIGHT(CONCATENATE("000",IFAData_TEA!A1355),6),3),"-",(RIGHT(RIGHT(CONCATENATE("000",IFAData_TEA!A1355),6),3)))</f>
        <v>128-902</v>
      </c>
      <c r="C1355" s="2266" t="s">
        <v>454</v>
      </c>
      <c r="D1355" s="2266">
        <v>6</v>
      </c>
      <c r="E1355" s="2266">
        <v>1954</v>
      </c>
      <c r="F1355" s="2266" t="s">
        <v>5804</v>
      </c>
      <c r="G1355" s="2266" t="s">
        <v>5804</v>
      </c>
      <c r="H1355" s="2436">
        <v>195337</v>
      </c>
      <c r="I1355" s="2436">
        <v>0</v>
      </c>
      <c r="J1355" s="2446">
        <v>0</v>
      </c>
      <c r="K1355" s="2436">
        <v>0</v>
      </c>
      <c r="L1355" s="2436">
        <v>0</v>
      </c>
      <c r="M1355" s="2266">
        <v>599</v>
      </c>
    </row>
    <row r="1356" spans="1:13" ht="15">
      <c r="A1356" s="2266" t="s">
        <v>4240</v>
      </c>
      <c r="B1356" s="1694" t="str">
        <f>CONCATENATE(LEFT(RIGHT(CONCATENATE("000",IFAData_TEA!A1356),6),3),"-",(RIGHT(RIGHT(CONCATENATE("000",IFAData_TEA!A1356),6),3)))</f>
        <v>128-904</v>
      </c>
      <c r="C1356" s="2266" t="s">
        <v>1005</v>
      </c>
      <c r="D1356" s="2266">
        <v>5</v>
      </c>
      <c r="E1356" s="2266">
        <v>1808</v>
      </c>
      <c r="F1356" s="2266" t="s">
        <v>5807</v>
      </c>
      <c r="G1356" s="2266" t="s">
        <v>5807</v>
      </c>
      <c r="H1356" s="2436">
        <v>95588</v>
      </c>
      <c r="I1356" s="2436">
        <v>0</v>
      </c>
      <c r="J1356" s="2446">
        <v>0</v>
      </c>
      <c r="K1356" s="2436">
        <v>0</v>
      </c>
      <c r="L1356" s="2436">
        <v>0</v>
      </c>
      <c r="M1356" s="2266">
        <v>199</v>
      </c>
    </row>
    <row r="1357" spans="1:13" ht="15">
      <c r="A1357" s="2266" t="s">
        <v>4240</v>
      </c>
      <c r="B1357" s="1694" t="str">
        <f>CONCATENATE(LEFT(RIGHT(CONCATENATE("000",IFAData_TEA!A1357),6),3),"-",(RIGHT(RIGHT(CONCATENATE("000",IFAData_TEA!A1357),6),3)))</f>
        <v>128-904</v>
      </c>
      <c r="C1357" s="2266" t="s">
        <v>1005</v>
      </c>
      <c r="D1357" s="2266">
        <v>5</v>
      </c>
      <c r="E1357" s="2266">
        <v>1808</v>
      </c>
      <c r="F1357" s="2266" t="s">
        <v>5807</v>
      </c>
      <c r="G1357" s="2266" t="s">
        <v>5810</v>
      </c>
      <c r="H1357" s="2436">
        <v>95588</v>
      </c>
      <c r="I1357" s="2436">
        <v>0</v>
      </c>
      <c r="J1357" s="2446">
        <v>0</v>
      </c>
      <c r="K1357" s="2436">
        <v>0</v>
      </c>
      <c r="L1357" s="2436">
        <v>0</v>
      </c>
      <c r="M1357" s="2266">
        <v>599</v>
      </c>
    </row>
    <row r="1358" spans="1:13" ht="15">
      <c r="A1358" s="2266" t="s">
        <v>4240</v>
      </c>
      <c r="B1358" s="1694" t="str">
        <f>CONCATENATE(LEFT(RIGHT(CONCATENATE("000",IFAData_TEA!A1358),6),3),"-",(RIGHT(RIGHT(CONCATENATE("000",IFAData_TEA!A1358),6),3)))</f>
        <v>128-904</v>
      </c>
      <c r="C1358" s="2266" t="s">
        <v>1005</v>
      </c>
      <c r="D1358" s="2266">
        <v>3</v>
      </c>
      <c r="E1358" s="2266">
        <v>1809</v>
      </c>
      <c r="F1358" s="2266" t="s">
        <v>5806</v>
      </c>
      <c r="G1358" s="2266" t="s">
        <v>5806</v>
      </c>
      <c r="H1358" s="2436">
        <v>114000</v>
      </c>
      <c r="I1358" s="2436">
        <v>0</v>
      </c>
      <c r="J1358" s="2446">
        <v>0</v>
      </c>
      <c r="K1358" s="2436"/>
      <c r="L1358" s="2436">
        <v>0</v>
      </c>
      <c r="M1358" s="2266">
        <v>199</v>
      </c>
    </row>
    <row r="1359" spans="1:13" ht="15">
      <c r="A1359" s="2266" t="s">
        <v>4240</v>
      </c>
      <c r="B1359" s="1694" t="str">
        <f>CONCATENATE(LEFT(RIGHT(CONCATENATE("000",IFAData_TEA!A1359),6),3),"-",(RIGHT(RIGHT(CONCATENATE("000",IFAData_TEA!A1359),6),3)))</f>
        <v>128-904</v>
      </c>
      <c r="C1359" s="2266" t="s">
        <v>1005</v>
      </c>
      <c r="D1359" s="2266">
        <v>5</v>
      </c>
      <c r="E1359" s="2266">
        <v>1808</v>
      </c>
      <c r="F1359" s="2266" t="s">
        <v>5807</v>
      </c>
      <c r="G1359" s="2266" t="s">
        <v>5809</v>
      </c>
      <c r="H1359" s="2436">
        <v>95588</v>
      </c>
      <c r="I1359" s="2436">
        <v>80680</v>
      </c>
      <c r="J1359" s="2446">
        <v>1</v>
      </c>
      <c r="K1359" s="2436">
        <v>95588</v>
      </c>
      <c r="L1359" s="2436">
        <v>80680</v>
      </c>
      <c r="M1359" s="2266">
        <v>599</v>
      </c>
    </row>
    <row r="1360" spans="1:13" ht="15">
      <c r="A1360" s="2266" t="s">
        <v>4240</v>
      </c>
      <c r="B1360" s="1694" t="str">
        <f>CONCATENATE(LEFT(RIGHT(CONCATENATE("000",IFAData_TEA!A1360),6),3),"-",(RIGHT(RIGHT(CONCATENATE("000",IFAData_TEA!A1360),6),3)))</f>
        <v>128-904</v>
      </c>
      <c r="C1360" s="2266" t="s">
        <v>1005</v>
      </c>
      <c r="D1360" s="2266">
        <v>5</v>
      </c>
      <c r="E1360" s="2266">
        <v>1808</v>
      </c>
      <c r="F1360" s="2266" t="s">
        <v>5807</v>
      </c>
      <c r="G1360" s="2266" t="s">
        <v>5808</v>
      </c>
      <c r="H1360" s="2436">
        <v>95588</v>
      </c>
      <c r="I1360" s="2436">
        <v>0</v>
      </c>
      <c r="J1360" s="2446">
        <v>0</v>
      </c>
      <c r="K1360" s="2436">
        <v>0</v>
      </c>
      <c r="L1360" s="2436">
        <v>0</v>
      </c>
      <c r="M1360" s="2266">
        <v>599</v>
      </c>
    </row>
    <row r="1361" spans="1:13" ht="15">
      <c r="A1361" s="2266" t="s">
        <v>4241</v>
      </c>
      <c r="B1361" s="1694" t="str">
        <f>CONCATENATE(LEFT(RIGHT(CONCATENATE("000",IFAData_TEA!A1361),6),3),"-",(RIGHT(RIGHT(CONCATENATE("000",IFAData_TEA!A1361),6),3)))</f>
        <v>129-901</v>
      </c>
      <c r="C1361" s="2266" t="s">
        <v>456</v>
      </c>
      <c r="D1361" s="2266">
        <v>2</v>
      </c>
      <c r="E1361" s="2266">
        <v>1728</v>
      </c>
      <c r="F1361" s="2266" t="s">
        <v>5811</v>
      </c>
      <c r="G1361" s="2266" t="s">
        <v>5813</v>
      </c>
      <c r="H1361" s="2436">
        <v>347484</v>
      </c>
      <c r="I1361" s="2436">
        <v>281386</v>
      </c>
      <c r="J1361" s="2446">
        <v>1</v>
      </c>
      <c r="K1361" s="2436">
        <v>347484</v>
      </c>
      <c r="L1361" s="2436">
        <v>281386</v>
      </c>
      <c r="M1361" s="2266">
        <v>599</v>
      </c>
    </row>
    <row r="1362" spans="1:13" ht="15">
      <c r="A1362" s="2266" t="s">
        <v>4241</v>
      </c>
      <c r="B1362" s="1694" t="str">
        <f>CONCATENATE(LEFT(RIGHT(CONCATENATE("000",IFAData_TEA!A1362),6),3),"-",(RIGHT(RIGHT(CONCATENATE("000",IFAData_TEA!A1362),6),3)))</f>
        <v>129-901</v>
      </c>
      <c r="C1362" s="2266" t="s">
        <v>456</v>
      </c>
      <c r="D1362" s="2266">
        <v>6</v>
      </c>
      <c r="E1362" s="2266">
        <v>1729</v>
      </c>
      <c r="F1362" s="2266" t="s">
        <v>5814</v>
      </c>
      <c r="G1362" s="2266" t="s">
        <v>5815</v>
      </c>
      <c r="H1362" s="2436">
        <v>483733</v>
      </c>
      <c r="I1362" s="2436">
        <v>1043456</v>
      </c>
      <c r="J1362" s="2446">
        <v>0.7451899832530503</v>
      </c>
      <c r="K1362" s="2436">
        <v>360472.98616894777</v>
      </c>
      <c r="L1362" s="2436">
        <v>360472.98616894777</v>
      </c>
      <c r="M1362" s="2266">
        <v>599</v>
      </c>
    </row>
    <row r="1363" spans="1:13" ht="15">
      <c r="A1363" s="2266" t="s">
        <v>4241</v>
      </c>
      <c r="B1363" s="1694" t="str">
        <f>CONCATENATE(LEFT(RIGHT(CONCATENATE("000",IFAData_TEA!A1363),6),3),"-",(RIGHT(RIGHT(CONCATENATE("000",IFAData_TEA!A1363),6),3)))</f>
        <v>129-901</v>
      </c>
      <c r="C1363" s="2266" t="s">
        <v>456</v>
      </c>
      <c r="D1363" s="2266">
        <v>2</v>
      </c>
      <c r="E1363" s="2266">
        <v>1728</v>
      </c>
      <c r="F1363" s="2266" t="s">
        <v>5811</v>
      </c>
      <c r="G1363" s="2266" t="s">
        <v>5811</v>
      </c>
      <c r="H1363" s="2436">
        <v>347484</v>
      </c>
      <c r="I1363" s="2436">
        <v>0</v>
      </c>
      <c r="J1363" s="2446">
        <v>0</v>
      </c>
      <c r="K1363" s="2436">
        <v>0</v>
      </c>
      <c r="L1363" s="2436">
        <v>0</v>
      </c>
      <c r="M1363" s="2266">
        <v>599</v>
      </c>
    </row>
    <row r="1364" spans="1:13" ht="15">
      <c r="A1364" s="2266" t="s">
        <v>4241</v>
      </c>
      <c r="B1364" s="1694" t="str">
        <f>CONCATENATE(LEFT(RIGHT(CONCATENATE("000",IFAData_TEA!A1364),6),3),"-",(RIGHT(RIGHT(CONCATENATE("000",IFAData_TEA!A1364),6),3)))</f>
        <v>129-901</v>
      </c>
      <c r="C1364" s="2266" t="s">
        <v>456</v>
      </c>
      <c r="D1364" s="2266">
        <v>9</v>
      </c>
      <c r="E1364" s="2266">
        <v>1730</v>
      </c>
      <c r="F1364" s="2266" t="s">
        <v>5816</v>
      </c>
      <c r="G1364" s="2266" t="s">
        <v>5816</v>
      </c>
      <c r="H1364" s="2436">
        <v>538407</v>
      </c>
      <c r="I1364" s="2436">
        <v>1272900</v>
      </c>
      <c r="J1364" s="2446">
        <v>1</v>
      </c>
      <c r="K1364" s="2436">
        <v>538407</v>
      </c>
      <c r="L1364" s="2436">
        <v>538407</v>
      </c>
      <c r="M1364" s="2266">
        <v>599</v>
      </c>
    </row>
    <row r="1365" spans="1:13" ht="15">
      <c r="A1365" s="2266" t="s">
        <v>4241</v>
      </c>
      <c r="B1365" s="1694" t="str">
        <f>CONCATENATE(LEFT(RIGHT(CONCATENATE("000",IFAData_TEA!A1365),6),3),"-",(RIGHT(RIGHT(CONCATENATE("000",IFAData_TEA!A1365),6),3)))</f>
        <v>129-901</v>
      </c>
      <c r="C1365" s="2266" t="s">
        <v>456</v>
      </c>
      <c r="D1365" s="2266">
        <v>6</v>
      </c>
      <c r="E1365" s="2266">
        <v>1729</v>
      </c>
      <c r="F1365" s="2266" t="s">
        <v>5814</v>
      </c>
      <c r="G1365" s="2266" t="s">
        <v>5814</v>
      </c>
      <c r="H1365" s="2436">
        <v>483733</v>
      </c>
      <c r="I1365" s="2436">
        <v>356799</v>
      </c>
      <c r="J1365" s="2446">
        <v>0.25481001674694964</v>
      </c>
      <c r="K1365" s="2436">
        <v>123260.01383105219</v>
      </c>
      <c r="L1365" s="2436">
        <v>123260.01383105219</v>
      </c>
      <c r="M1365" s="2266">
        <v>599</v>
      </c>
    </row>
    <row r="1366" spans="1:13" ht="15">
      <c r="A1366" s="2266" t="s">
        <v>4241</v>
      </c>
      <c r="B1366" s="1694" t="str">
        <f>CONCATENATE(LEFT(RIGHT(CONCATENATE("000",IFAData_TEA!A1366),6),3),"-",(RIGHT(RIGHT(CONCATENATE("000",IFAData_TEA!A1366),6),3)))</f>
        <v>129-901</v>
      </c>
      <c r="C1366" s="2266" t="s">
        <v>456</v>
      </c>
      <c r="D1366" s="2266">
        <v>2</v>
      </c>
      <c r="E1366" s="2266">
        <v>1728</v>
      </c>
      <c r="F1366" s="2266" t="s">
        <v>5811</v>
      </c>
      <c r="G1366" s="2266" t="s">
        <v>5812</v>
      </c>
      <c r="H1366" s="2436">
        <v>347484</v>
      </c>
      <c r="I1366" s="2436">
        <v>0</v>
      </c>
      <c r="J1366" s="2446">
        <v>0</v>
      </c>
      <c r="K1366" s="2436">
        <v>0</v>
      </c>
      <c r="L1366" s="2436">
        <v>0</v>
      </c>
      <c r="M1366" s="2266">
        <v>599</v>
      </c>
    </row>
    <row r="1367" spans="1:13" ht="15">
      <c r="A1367" s="2266" t="s">
        <v>4242</v>
      </c>
      <c r="B1367" s="1694" t="str">
        <f>CONCATENATE(LEFT(RIGHT(CONCATENATE("000",IFAData_TEA!A1367),6),3),"-",(RIGHT(RIGHT(CONCATENATE("000",IFAData_TEA!A1367),6),3)))</f>
        <v>129-902</v>
      </c>
      <c r="C1367" s="2266" t="s">
        <v>132</v>
      </c>
      <c r="D1367" s="2266">
        <v>1</v>
      </c>
      <c r="E1367" s="2266">
        <v>1817</v>
      </c>
      <c r="F1367" s="2266" t="s">
        <v>5817</v>
      </c>
      <c r="G1367" s="2266" t="s">
        <v>5820</v>
      </c>
      <c r="H1367" s="2436">
        <v>553750</v>
      </c>
      <c r="I1367" s="2436">
        <v>18000</v>
      </c>
      <c r="J1367" s="2446">
        <v>2.470308267023855E-2</v>
      </c>
      <c r="K1367" s="2436">
        <v>13679.332028644598</v>
      </c>
      <c r="L1367" s="2436">
        <v>13679.332028644598</v>
      </c>
      <c r="M1367" s="2266">
        <v>599</v>
      </c>
    </row>
    <row r="1368" spans="1:13" ht="15">
      <c r="A1368" s="2266" t="s">
        <v>4242</v>
      </c>
      <c r="B1368" s="1694" t="str">
        <f>CONCATENATE(LEFT(RIGHT(CONCATENATE("000",IFAData_TEA!A1368),6),3),"-",(RIGHT(RIGHT(CONCATENATE("000",IFAData_TEA!A1368),6),3)))</f>
        <v>129-902</v>
      </c>
      <c r="C1368" s="2266" t="s">
        <v>132</v>
      </c>
      <c r="D1368" s="2266">
        <v>1</v>
      </c>
      <c r="E1368" s="2266">
        <v>1817</v>
      </c>
      <c r="F1368" s="2266" t="s">
        <v>5817</v>
      </c>
      <c r="G1368" s="2266" t="s">
        <v>5817</v>
      </c>
      <c r="H1368" s="2436">
        <v>553750</v>
      </c>
      <c r="I1368" s="2436">
        <v>0</v>
      </c>
      <c r="J1368" s="2446">
        <v>0</v>
      </c>
      <c r="K1368" s="2436">
        <v>0</v>
      </c>
      <c r="L1368" s="2436">
        <v>0</v>
      </c>
      <c r="M1368" s="2266">
        <v>599</v>
      </c>
    </row>
    <row r="1369" spans="1:13" ht="15">
      <c r="A1369" s="2266" t="s">
        <v>4242</v>
      </c>
      <c r="B1369" s="1694" t="str">
        <f>CONCATENATE(LEFT(RIGHT(CONCATENATE("000",IFAData_TEA!A1369),6),3),"-",(RIGHT(RIGHT(CONCATENATE("000",IFAData_TEA!A1369),6),3)))</f>
        <v>129-902</v>
      </c>
      <c r="C1369" s="2266" t="s">
        <v>132</v>
      </c>
      <c r="D1369" s="2266">
        <v>9</v>
      </c>
      <c r="E1369" s="2266">
        <v>1818</v>
      </c>
      <c r="F1369" s="2266" t="s">
        <v>5821</v>
      </c>
      <c r="G1369" s="2266" t="s">
        <v>7008</v>
      </c>
      <c r="H1369" s="2436">
        <v>1954750</v>
      </c>
      <c r="I1369" s="2436">
        <v>157505</v>
      </c>
      <c r="J1369" s="2446">
        <v>6.8846970064539256E-2</v>
      </c>
      <c r="K1369" s="2436">
        <v>134578.61473365812</v>
      </c>
      <c r="L1369" s="2436">
        <v>134578.61473365812</v>
      </c>
      <c r="M1369" s="2266">
        <v>599</v>
      </c>
    </row>
    <row r="1370" spans="1:13" ht="15">
      <c r="A1370" s="2266" t="s">
        <v>4242</v>
      </c>
      <c r="B1370" s="1694" t="str">
        <f>CONCATENATE(LEFT(RIGHT(CONCATENATE("000",IFAData_TEA!A1370),6),3),"-",(RIGHT(RIGHT(CONCATENATE("000",IFAData_TEA!A1370),6),3)))</f>
        <v>129-902</v>
      </c>
      <c r="C1370" s="2266" t="s">
        <v>132</v>
      </c>
      <c r="D1370" s="2266">
        <v>1</v>
      </c>
      <c r="E1370" s="2266">
        <v>1817</v>
      </c>
      <c r="F1370" s="2266" t="s">
        <v>5817</v>
      </c>
      <c r="G1370" s="2266" t="s">
        <v>5819</v>
      </c>
      <c r="H1370" s="2436">
        <v>553750</v>
      </c>
      <c r="I1370" s="2436">
        <v>32233</v>
      </c>
      <c r="J1370" s="2446">
        <v>4.4236359094988839E-2</v>
      </c>
      <c r="K1370" s="2436">
        <v>24495.88384885007</v>
      </c>
      <c r="L1370" s="2436">
        <v>24495.88384885007</v>
      </c>
      <c r="M1370" s="2266">
        <v>599</v>
      </c>
    </row>
    <row r="1371" spans="1:13" ht="15">
      <c r="A1371" s="2266" t="s">
        <v>4242</v>
      </c>
      <c r="B1371" s="1694" t="str">
        <f>CONCATENATE(LEFT(RIGHT(CONCATENATE("000",IFAData_TEA!A1371),6),3),"-",(RIGHT(RIGHT(CONCATENATE("000",IFAData_TEA!A1371),6),3)))</f>
        <v>129-902</v>
      </c>
      <c r="C1371" s="2266" t="s">
        <v>132</v>
      </c>
      <c r="D1371" s="2266">
        <v>10</v>
      </c>
      <c r="E1371" s="2266">
        <v>1816</v>
      </c>
      <c r="F1371" s="2266" t="s">
        <v>5823</v>
      </c>
      <c r="G1371" s="2266" t="s">
        <v>5823</v>
      </c>
      <c r="H1371" s="2436">
        <v>497282</v>
      </c>
      <c r="I1371" s="2436">
        <v>412492</v>
      </c>
      <c r="J1371" s="2446">
        <v>1</v>
      </c>
      <c r="K1371" s="2436">
        <v>497282</v>
      </c>
      <c r="L1371" s="2436">
        <v>412492</v>
      </c>
      <c r="M1371" s="2266">
        <v>599</v>
      </c>
    </row>
    <row r="1372" spans="1:13" ht="15">
      <c r="A1372" s="2266" t="s">
        <v>4242</v>
      </c>
      <c r="B1372" s="1694" t="str">
        <f>CONCATENATE(LEFT(RIGHT(CONCATENATE("000",IFAData_TEA!A1372),6),3),"-",(RIGHT(RIGHT(CONCATENATE("000",IFAData_TEA!A1372),6),3)))</f>
        <v>129-902</v>
      </c>
      <c r="C1372" s="2266" t="s">
        <v>132</v>
      </c>
      <c r="D1372" s="2266">
        <v>1</v>
      </c>
      <c r="E1372" s="2266">
        <v>1817</v>
      </c>
      <c r="F1372" s="2266" t="s">
        <v>5817</v>
      </c>
      <c r="G1372" s="2266" t="s">
        <v>5818</v>
      </c>
      <c r="H1372" s="2436">
        <v>553750</v>
      </c>
      <c r="I1372" s="2436">
        <v>652000</v>
      </c>
      <c r="J1372" s="2446">
        <v>0.89480055005530745</v>
      </c>
      <c r="K1372" s="2436">
        <v>495495.80459312652</v>
      </c>
      <c r="L1372" s="2436">
        <v>495495.80459312652</v>
      </c>
      <c r="M1372" s="2266">
        <v>599</v>
      </c>
    </row>
    <row r="1373" spans="1:13" ht="15">
      <c r="A1373" s="2266" t="s">
        <v>4242</v>
      </c>
      <c r="B1373" s="1694" t="str">
        <f>CONCATENATE(LEFT(RIGHT(CONCATENATE("000",IFAData_TEA!A1373),6),3),"-",(RIGHT(RIGHT(CONCATENATE("000",IFAData_TEA!A1373),6),3)))</f>
        <v>129-902</v>
      </c>
      <c r="C1373" s="2266" t="s">
        <v>132</v>
      </c>
      <c r="D1373" s="2266">
        <v>10</v>
      </c>
      <c r="E1373" s="2266">
        <v>1819</v>
      </c>
      <c r="F1373" s="2266" t="s">
        <v>5822</v>
      </c>
      <c r="G1373" s="2266" t="s">
        <v>5822</v>
      </c>
      <c r="H1373" s="2436">
        <v>2007613</v>
      </c>
      <c r="I1373" s="2436">
        <v>2397612</v>
      </c>
      <c r="J1373" s="2446">
        <v>0.86991030999651686</v>
      </c>
      <c r="K1373" s="2436">
        <v>1746443.2471830372</v>
      </c>
      <c r="L1373" s="2436">
        <v>1746443.2471830372</v>
      </c>
      <c r="M1373" s="2266">
        <v>599</v>
      </c>
    </row>
    <row r="1374" spans="1:13" ht="15">
      <c r="A1374" s="2266" t="s">
        <v>4242</v>
      </c>
      <c r="B1374" s="1694" t="str">
        <f>CONCATENATE(LEFT(RIGHT(CONCATENATE("000",IFAData_TEA!A1374),6),3),"-",(RIGHT(RIGHT(CONCATENATE("000",IFAData_TEA!A1374),6),3)))</f>
        <v>129-902</v>
      </c>
      <c r="C1374" s="2266" t="s">
        <v>132</v>
      </c>
      <c r="D1374" s="2266">
        <v>9</v>
      </c>
      <c r="E1374" s="2266">
        <v>1818</v>
      </c>
      <c r="F1374" s="2266" t="s">
        <v>5821</v>
      </c>
      <c r="G1374" s="2266" t="s">
        <v>5821</v>
      </c>
      <c r="H1374" s="2436">
        <v>1954750</v>
      </c>
      <c r="I1374" s="2436">
        <v>2130250</v>
      </c>
      <c r="J1374" s="2446">
        <v>0.93115302993546079</v>
      </c>
      <c r="K1374" s="2436">
        <v>1820171.385266342</v>
      </c>
      <c r="L1374" s="2436">
        <v>1820171.385266342</v>
      </c>
      <c r="M1374" s="2266">
        <v>599</v>
      </c>
    </row>
    <row r="1375" spans="1:13" ht="15">
      <c r="A1375" s="2266" t="s">
        <v>4242</v>
      </c>
      <c r="B1375" s="1694" t="str">
        <f>CONCATENATE(LEFT(RIGHT(CONCATENATE("000",IFAData_TEA!A1375),6),3),"-",(RIGHT(RIGHT(CONCATENATE("000",IFAData_TEA!A1375),6),3)))</f>
        <v>129-902</v>
      </c>
      <c r="C1375" s="2266" t="s">
        <v>132</v>
      </c>
      <c r="D1375" s="2266">
        <v>1</v>
      </c>
      <c r="E1375" s="2266">
        <v>1817</v>
      </c>
      <c r="F1375" s="2266" t="s">
        <v>5817</v>
      </c>
      <c r="G1375" s="2266" t="s">
        <v>7008</v>
      </c>
      <c r="H1375" s="2436">
        <v>553750</v>
      </c>
      <c r="I1375" s="2436">
        <v>26421</v>
      </c>
      <c r="J1375" s="2446">
        <v>3.6260008179465147E-2</v>
      </c>
      <c r="K1375" s="2436">
        <v>20078.979529378827</v>
      </c>
      <c r="L1375" s="2436">
        <v>20078.979529378827</v>
      </c>
      <c r="M1375" s="2266">
        <v>599</v>
      </c>
    </row>
    <row r="1376" spans="1:13" ht="15">
      <c r="A1376" s="2266" t="s">
        <v>4242</v>
      </c>
      <c r="B1376" s="1694" t="str">
        <f>CONCATENATE(LEFT(RIGHT(CONCATENATE("000",IFAData_TEA!A1376),6),3),"-",(RIGHT(RIGHT(CONCATENATE("000",IFAData_TEA!A1376),6),3)))</f>
        <v>129-902</v>
      </c>
      <c r="C1376" s="2266" t="s">
        <v>132</v>
      </c>
      <c r="D1376" s="2266">
        <v>10</v>
      </c>
      <c r="E1376" s="2266">
        <v>1819</v>
      </c>
      <c r="F1376" s="2266" t="s">
        <v>5822</v>
      </c>
      <c r="G1376" s="2266" t="s">
        <v>7008</v>
      </c>
      <c r="H1376" s="2436">
        <v>2007613</v>
      </c>
      <c r="I1376" s="2436">
        <v>358548</v>
      </c>
      <c r="J1376" s="2446">
        <v>0.13008969000348311</v>
      </c>
      <c r="K1376" s="2436">
        <v>261169.75281696275</v>
      </c>
      <c r="L1376" s="2436">
        <v>261169.75281696275</v>
      </c>
      <c r="M1376" s="2266">
        <v>599</v>
      </c>
    </row>
    <row r="1377" spans="1:13" ht="15">
      <c r="A1377" s="2266" t="s">
        <v>4243</v>
      </c>
      <c r="B1377" s="1694" t="str">
        <f>CONCATENATE(LEFT(RIGHT(CONCATENATE("000",IFAData_TEA!A1377),6),3),"-",(RIGHT(RIGHT(CONCATENATE("000",IFAData_TEA!A1377),6),3)))</f>
        <v>129-903</v>
      </c>
      <c r="C1377" s="2266" t="s">
        <v>451</v>
      </c>
      <c r="D1377" s="2266">
        <v>3</v>
      </c>
      <c r="E1377" s="2266">
        <v>1947</v>
      </c>
      <c r="F1377" s="2266" t="s">
        <v>5824</v>
      </c>
      <c r="G1377" s="2266" t="s">
        <v>5826</v>
      </c>
      <c r="H1377" s="2436">
        <v>709521</v>
      </c>
      <c r="I1377" s="2436">
        <v>763896</v>
      </c>
      <c r="J1377" s="2446">
        <v>0.93921446882280979</v>
      </c>
      <c r="K1377" s="2436">
        <v>666392.38913362881</v>
      </c>
      <c r="L1377" s="2436">
        <v>666392.38913362881</v>
      </c>
      <c r="M1377" s="2266">
        <v>599</v>
      </c>
    </row>
    <row r="1378" spans="1:13" ht="15">
      <c r="A1378" s="2266" t="s">
        <v>4243</v>
      </c>
      <c r="B1378" s="1694" t="str">
        <f>CONCATENATE(LEFT(RIGHT(CONCATENATE("000",IFAData_TEA!A1378),6),3),"-",(RIGHT(RIGHT(CONCATENATE("000",IFAData_TEA!A1378),6),3)))</f>
        <v>129-903</v>
      </c>
      <c r="C1378" s="2266" t="s">
        <v>451</v>
      </c>
      <c r="D1378" s="2266">
        <v>6</v>
      </c>
      <c r="E1378" s="2266">
        <v>1948</v>
      </c>
      <c r="F1378" s="2266" t="s">
        <v>5825</v>
      </c>
      <c r="G1378" s="2266" t="s">
        <v>5826</v>
      </c>
      <c r="H1378" s="2436">
        <v>812500</v>
      </c>
      <c r="I1378" s="2436">
        <v>526406</v>
      </c>
      <c r="J1378" s="2446">
        <v>0.42817948519812432</v>
      </c>
      <c r="K1378" s="2436">
        <v>347895.831723476</v>
      </c>
      <c r="L1378" s="2436">
        <v>347895.831723476</v>
      </c>
      <c r="M1378" s="2266">
        <v>599</v>
      </c>
    </row>
    <row r="1379" spans="1:13" ht="15">
      <c r="A1379" s="2266" t="s">
        <v>4243</v>
      </c>
      <c r="B1379" s="1694" t="str">
        <f>CONCATENATE(LEFT(RIGHT(CONCATENATE("000",IFAData_TEA!A1379),6),3),"-",(RIGHT(RIGHT(CONCATENATE("000",IFAData_TEA!A1379),6),3)))</f>
        <v>129-903</v>
      </c>
      <c r="C1379" s="2266" t="s">
        <v>451</v>
      </c>
      <c r="D1379" s="2266">
        <v>3</v>
      </c>
      <c r="E1379" s="2266">
        <v>1947</v>
      </c>
      <c r="F1379" s="2266" t="s">
        <v>5824</v>
      </c>
      <c r="G1379" s="2266" t="s">
        <v>7009</v>
      </c>
      <c r="H1379" s="2436">
        <v>709521</v>
      </c>
      <c r="I1379" s="2436">
        <v>15211</v>
      </c>
      <c r="J1379" s="2446">
        <v>1.8702010856535129E-2</v>
      </c>
      <c r="K1379" s="2436">
        <v>13269.469444939661</v>
      </c>
      <c r="L1379" s="2436">
        <v>13269.469444939661</v>
      </c>
      <c r="M1379" s="2266">
        <v>599</v>
      </c>
    </row>
    <row r="1380" spans="1:13" ht="15">
      <c r="A1380" s="2266" t="s">
        <v>4243</v>
      </c>
      <c r="B1380" s="1694" t="str">
        <f>CONCATENATE(LEFT(RIGHT(CONCATENATE("000",IFAData_TEA!A1380),6),3),"-",(RIGHT(RIGHT(CONCATENATE("000",IFAData_TEA!A1380),6),3)))</f>
        <v>129-903</v>
      </c>
      <c r="C1380" s="2266" t="s">
        <v>451</v>
      </c>
      <c r="D1380" s="2266">
        <v>6</v>
      </c>
      <c r="E1380" s="2266">
        <v>1948</v>
      </c>
      <c r="F1380" s="2266" t="s">
        <v>5825</v>
      </c>
      <c r="G1380" s="2266" t="s">
        <v>7009</v>
      </c>
      <c r="H1380" s="2436">
        <v>812500</v>
      </c>
      <c r="I1380" s="2436">
        <v>24986</v>
      </c>
      <c r="J1380" s="2446">
        <v>2.032365249856638E-2</v>
      </c>
      <c r="K1380" s="2436">
        <v>16512.967655085184</v>
      </c>
      <c r="L1380" s="2436">
        <v>16512.967655085184</v>
      </c>
      <c r="M1380" s="2266">
        <v>599</v>
      </c>
    </row>
    <row r="1381" spans="1:13" ht="15">
      <c r="A1381" s="2266" t="s">
        <v>4243</v>
      </c>
      <c r="B1381" s="1694" t="str">
        <f>CONCATENATE(LEFT(RIGHT(CONCATENATE("000",IFAData_TEA!A1381),6),3),"-",(RIGHT(RIGHT(CONCATENATE("000",IFAData_TEA!A1381),6),3)))</f>
        <v>129-903</v>
      </c>
      <c r="C1381" s="2266" t="s">
        <v>451</v>
      </c>
      <c r="D1381" s="2266">
        <v>3</v>
      </c>
      <c r="E1381" s="2266">
        <v>1947</v>
      </c>
      <c r="F1381" s="2266" t="s">
        <v>5824</v>
      </c>
      <c r="G1381" s="2266" t="s">
        <v>5825</v>
      </c>
      <c r="H1381" s="2436">
        <v>709521</v>
      </c>
      <c r="I1381" s="2436">
        <v>34228</v>
      </c>
      <c r="J1381" s="2446">
        <v>4.2083520320655078E-2</v>
      </c>
      <c r="K1381" s="2436">
        <v>29859.141421431512</v>
      </c>
      <c r="L1381" s="2436">
        <v>29859.141421431512</v>
      </c>
      <c r="M1381" s="2266">
        <v>599</v>
      </c>
    </row>
    <row r="1382" spans="1:13" ht="15">
      <c r="A1382" s="2266" t="s">
        <v>4243</v>
      </c>
      <c r="B1382" s="1694" t="str">
        <f>CONCATENATE(LEFT(RIGHT(CONCATENATE("000",IFAData_TEA!A1382),6),3),"-",(RIGHT(RIGHT(CONCATENATE("000",IFAData_TEA!A1382),6),3)))</f>
        <v>129-903</v>
      </c>
      <c r="C1382" s="2266" t="s">
        <v>451</v>
      </c>
      <c r="D1382" s="2266">
        <v>3</v>
      </c>
      <c r="E1382" s="2266">
        <v>1947</v>
      </c>
      <c r="F1382" s="2266" t="s">
        <v>5824</v>
      </c>
      <c r="G1382" s="2266" t="s">
        <v>5824</v>
      </c>
      <c r="H1382" s="2436">
        <v>709521</v>
      </c>
      <c r="I1382" s="2436">
        <v>0</v>
      </c>
      <c r="J1382" s="2446">
        <v>0</v>
      </c>
      <c r="K1382" s="2436">
        <v>0</v>
      </c>
      <c r="L1382" s="2436">
        <v>0</v>
      </c>
      <c r="M1382" s="2266">
        <v>199</v>
      </c>
    </row>
    <row r="1383" spans="1:13" ht="15">
      <c r="A1383" s="2266" t="s">
        <v>4243</v>
      </c>
      <c r="B1383" s="1694" t="str">
        <f>CONCATENATE(LEFT(RIGHT(CONCATENATE("000",IFAData_TEA!A1383),6),3),"-",(RIGHT(RIGHT(CONCATENATE("000",IFAData_TEA!A1383),6),3)))</f>
        <v>129-903</v>
      </c>
      <c r="C1383" s="2266" t="s">
        <v>451</v>
      </c>
      <c r="D1383" s="2266">
        <v>6</v>
      </c>
      <c r="E1383" s="2266">
        <v>1948</v>
      </c>
      <c r="F1383" s="2266" t="s">
        <v>5825</v>
      </c>
      <c r="G1383" s="2266" t="s">
        <v>5825</v>
      </c>
      <c r="H1383" s="2436">
        <v>812500</v>
      </c>
      <c r="I1383" s="2436">
        <v>678013</v>
      </c>
      <c r="J1383" s="2446">
        <v>0.5514968623033093</v>
      </c>
      <c r="K1383" s="2436">
        <v>448091.20062143879</v>
      </c>
      <c r="L1383" s="2436">
        <v>448091.20062143879</v>
      </c>
      <c r="M1383" s="2266">
        <v>599</v>
      </c>
    </row>
    <row r="1384" spans="1:13" ht="15">
      <c r="A1384" s="2266" t="s">
        <v>4244</v>
      </c>
      <c r="B1384" s="1694" t="str">
        <f>CONCATENATE(LEFT(RIGHT(CONCATENATE("000",IFAData_TEA!A1384),6),3),"-",(RIGHT(RIGHT(CONCATENATE("000",IFAData_TEA!A1384),6),3)))</f>
        <v>129-904</v>
      </c>
      <c r="C1384" s="2266" t="s">
        <v>453</v>
      </c>
      <c r="D1384" s="2266">
        <v>9</v>
      </c>
      <c r="E1384" s="2266">
        <v>1952</v>
      </c>
      <c r="F1384" s="2266" t="s">
        <v>5830</v>
      </c>
      <c r="G1384" s="2266" t="s">
        <v>7010</v>
      </c>
      <c r="H1384" s="2436">
        <v>395867</v>
      </c>
      <c r="I1384" s="2436">
        <v>205579</v>
      </c>
      <c r="J1384" s="2446">
        <v>0.16261485451761101</v>
      </c>
      <c r="K1384" s="2436">
        <v>64373.854613323121</v>
      </c>
      <c r="L1384" s="2436">
        <v>64373.854613323121</v>
      </c>
      <c r="M1384" s="2266">
        <v>599</v>
      </c>
    </row>
    <row r="1385" spans="1:13" ht="15">
      <c r="A1385" s="2266" t="s">
        <v>4244</v>
      </c>
      <c r="B1385" s="1694" t="str">
        <f>CONCATENATE(LEFT(RIGHT(CONCATENATE("000",IFAData_TEA!A1385),6),3),"-",(RIGHT(RIGHT(CONCATENATE("000",IFAData_TEA!A1385),6),3)))</f>
        <v>129-904</v>
      </c>
      <c r="C1385" s="2266" t="s">
        <v>453</v>
      </c>
      <c r="D1385" s="2266">
        <v>9</v>
      </c>
      <c r="E1385" s="2266">
        <v>1952</v>
      </c>
      <c r="F1385" s="2266" t="s">
        <v>5830</v>
      </c>
      <c r="G1385" s="2266" t="s">
        <v>7011</v>
      </c>
      <c r="H1385" s="2436">
        <v>395867</v>
      </c>
      <c r="I1385" s="2436">
        <v>370906</v>
      </c>
      <c r="J1385" s="2446">
        <v>0.29339001177021501</v>
      </c>
      <c r="K1385" s="2436">
        <v>116143.42378943971</v>
      </c>
      <c r="L1385" s="2436">
        <v>116143.42378943971</v>
      </c>
      <c r="M1385" s="2266">
        <v>599</v>
      </c>
    </row>
    <row r="1386" spans="1:13" ht="15">
      <c r="A1386" s="2266" t="s">
        <v>4244</v>
      </c>
      <c r="B1386" s="1694" t="str">
        <f>CONCATENATE(LEFT(RIGHT(CONCATENATE("000",IFAData_TEA!A1386),6),3),"-",(RIGHT(RIGHT(CONCATENATE("000",IFAData_TEA!A1386),6),3)))</f>
        <v>129-904</v>
      </c>
      <c r="C1386" s="2266" t="s">
        <v>453</v>
      </c>
      <c r="D1386" s="2266">
        <v>3</v>
      </c>
      <c r="E1386" s="2266">
        <v>1953</v>
      </c>
      <c r="F1386" s="2266" t="s">
        <v>5827</v>
      </c>
      <c r="G1386" s="2266" t="s">
        <v>5829</v>
      </c>
      <c r="H1386" s="2436">
        <v>438984</v>
      </c>
      <c r="I1386" s="2436">
        <v>602375</v>
      </c>
      <c r="J1386" s="2446">
        <v>1</v>
      </c>
      <c r="K1386" s="2436">
        <v>438984</v>
      </c>
      <c r="L1386" s="2436">
        <v>438984</v>
      </c>
      <c r="M1386" s="2266">
        <v>599</v>
      </c>
    </row>
    <row r="1387" spans="1:13" ht="15">
      <c r="A1387" s="2266" t="s">
        <v>4244</v>
      </c>
      <c r="B1387" s="1694" t="str">
        <f>CONCATENATE(LEFT(RIGHT(CONCATENATE("000",IFAData_TEA!A1387),6),3),"-",(RIGHT(RIGHT(CONCATENATE("000",IFAData_TEA!A1387),6),3)))</f>
        <v>129-904</v>
      </c>
      <c r="C1387" s="2266" t="s">
        <v>453</v>
      </c>
      <c r="D1387" s="2266">
        <v>3</v>
      </c>
      <c r="E1387" s="2266">
        <v>1953</v>
      </c>
      <c r="F1387" s="2266" t="s">
        <v>5827</v>
      </c>
      <c r="G1387" s="2266" t="s">
        <v>5828</v>
      </c>
      <c r="H1387" s="2436">
        <v>438984</v>
      </c>
      <c r="I1387" s="2436">
        <v>0</v>
      </c>
      <c r="J1387" s="2446">
        <v>0</v>
      </c>
      <c r="K1387" s="2436">
        <v>0</v>
      </c>
      <c r="L1387" s="2436">
        <v>0</v>
      </c>
      <c r="M1387" s="2266">
        <v>599</v>
      </c>
    </row>
    <row r="1388" spans="1:13" ht="15">
      <c r="A1388" s="2266" t="s">
        <v>4244</v>
      </c>
      <c r="B1388" s="1694" t="str">
        <f>CONCATENATE(LEFT(RIGHT(CONCATENATE("000",IFAData_TEA!A1388),6),3),"-",(RIGHT(RIGHT(CONCATENATE("000",IFAData_TEA!A1388),6),3)))</f>
        <v>129-904</v>
      </c>
      <c r="C1388" s="2266" t="s">
        <v>453</v>
      </c>
      <c r="D1388" s="2266">
        <v>3</v>
      </c>
      <c r="E1388" s="2266">
        <v>1953</v>
      </c>
      <c r="F1388" s="2266" t="s">
        <v>5827</v>
      </c>
      <c r="G1388" s="2266" t="s">
        <v>5827</v>
      </c>
      <c r="H1388" s="2436">
        <v>438984</v>
      </c>
      <c r="I1388" s="2436">
        <v>0</v>
      </c>
      <c r="J1388" s="2446">
        <v>0</v>
      </c>
      <c r="K1388" s="2436">
        <v>0</v>
      </c>
      <c r="L1388" s="2436">
        <v>0</v>
      </c>
      <c r="M1388" s="2266">
        <v>599</v>
      </c>
    </row>
    <row r="1389" spans="1:13" ht="15">
      <c r="A1389" s="2266" t="s">
        <v>4244</v>
      </c>
      <c r="B1389" s="1694" t="str">
        <f>CONCATENATE(LEFT(RIGHT(CONCATENATE("000",IFAData_TEA!A1389),6),3),"-",(RIGHT(RIGHT(CONCATENATE("000",IFAData_TEA!A1389),6),3)))</f>
        <v>129-904</v>
      </c>
      <c r="C1389" s="2266" t="s">
        <v>453</v>
      </c>
      <c r="D1389" s="2266">
        <v>9</v>
      </c>
      <c r="E1389" s="2266">
        <v>1952</v>
      </c>
      <c r="F1389" s="2266" t="s">
        <v>5830</v>
      </c>
      <c r="G1389" s="2266" t="s">
        <v>5830</v>
      </c>
      <c r="H1389" s="2436">
        <v>395867</v>
      </c>
      <c r="I1389" s="2436">
        <v>687723</v>
      </c>
      <c r="J1389" s="2446">
        <v>0.5439951337121739</v>
      </c>
      <c r="K1389" s="2436">
        <v>215349.72159723713</v>
      </c>
      <c r="L1389" s="2436">
        <v>215349.72159723713</v>
      </c>
      <c r="M1389" s="2266">
        <v>599</v>
      </c>
    </row>
    <row r="1390" spans="1:13" ht="15">
      <c r="A1390" s="2266" t="s">
        <v>4245</v>
      </c>
      <c r="B1390" s="1694" t="str">
        <f>CONCATENATE(LEFT(RIGHT(CONCATENATE("000",IFAData_TEA!A1390),6),3),"-",(RIGHT(RIGHT(CONCATENATE("000",IFAData_TEA!A1390),6),3)))</f>
        <v>129-910</v>
      </c>
      <c r="C1390" s="2266" t="s">
        <v>1415</v>
      </c>
      <c r="D1390" s="2266">
        <v>6</v>
      </c>
      <c r="E1390" s="2266">
        <v>2322</v>
      </c>
      <c r="F1390" s="2266" t="s">
        <v>5832</v>
      </c>
      <c r="G1390" s="2266" t="s">
        <v>5833</v>
      </c>
      <c r="H1390" s="2436">
        <v>186248</v>
      </c>
      <c r="I1390" s="2436">
        <v>249178</v>
      </c>
      <c r="J1390" s="2446">
        <v>0.41819335262249852</v>
      </c>
      <c r="K1390" s="2436">
        <v>77887.675539235104</v>
      </c>
      <c r="L1390" s="2436">
        <v>77887.675539235104</v>
      </c>
      <c r="M1390" s="2266">
        <v>599</v>
      </c>
    </row>
    <row r="1391" spans="1:13" ht="15">
      <c r="A1391" s="2266" t="s">
        <v>4245</v>
      </c>
      <c r="B1391" s="1694" t="str">
        <f>CONCATENATE(LEFT(RIGHT(CONCATENATE("000",IFAData_TEA!A1391),6),3),"-",(RIGHT(RIGHT(CONCATENATE("000",IFAData_TEA!A1391),6),3)))</f>
        <v>129-910</v>
      </c>
      <c r="C1391" s="2266" t="s">
        <v>1415</v>
      </c>
      <c r="D1391" s="2266">
        <v>6</v>
      </c>
      <c r="E1391" s="2266">
        <v>2322</v>
      </c>
      <c r="F1391" s="2266" t="s">
        <v>5832</v>
      </c>
      <c r="G1391" s="2266" t="s">
        <v>5834</v>
      </c>
      <c r="H1391" s="2436">
        <v>186248</v>
      </c>
      <c r="I1391" s="2436">
        <v>36173</v>
      </c>
      <c r="J1391" s="2446">
        <v>6.0708843254274607E-2</v>
      </c>
      <c r="K1391" s="2436">
        <v>11306.900638422137</v>
      </c>
      <c r="L1391" s="2436">
        <v>11306.900638422137</v>
      </c>
      <c r="M1391" s="2266">
        <v>599</v>
      </c>
    </row>
    <row r="1392" spans="1:13" ht="15">
      <c r="A1392" s="2266" t="s">
        <v>4245</v>
      </c>
      <c r="B1392" s="1694" t="str">
        <f>CONCATENATE(LEFT(RIGHT(CONCATENATE("000",IFAData_TEA!A1392),6),3),"-",(RIGHT(RIGHT(CONCATENATE("000",IFAData_TEA!A1392),6),3)))</f>
        <v>129-910</v>
      </c>
      <c r="C1392" s="2266" t="s">
        <v>1415</v>
      </c>
      <c r="D1392" s="2266">
        <v>2</v>
      </c>
      <c r="E1392" s="2266">
        <v>2321</v>
      </c>
      <c r="F1392" s="2266" t="s">
        <v>5831</v>
      </c>
      <c r="G1392" s="2266" t="s">
        <v>5831</v>
      </c>
      <c r="H1392" s="2436">
        <v>170846</v>
      </c>
      <c r="I1392" s="2436">
        <v>0</v>
      </c>
      <c r="J1392" s="2446">
        <v>0</v>
      </c>
      <c r="K1392" s="2436"/>
      <c r="L1392" s="2436">
        <v>0</v>
      </c>
      <c r="M1392" s="2266">
        <v>199</v>
      </c>
    </row>
    <row r="1393" spans="1:13" ht="15">
      <c r="A1393" s="2266" t="s">
        <v>4245</v>
      </c>
      <c r="B1393" s="1694" t="str">
        <f>CONCATENATE(LEFT(RIGHT(CONCATENATE("000",IFAData_TEA!A1393),6),3),"-",(RIGHT(RIGHT(CONCATENATE("000",IFAData_TEA!A1393),6),3)))</f>
        <v>129-910</v>
      </c>
      <c r="C1393" s="2266" t="s">
        <v>1415</v>
      </c>
      <c r="D1393" s="2266">
        <v>6</v>
      </c>
      <c r="E1393" s="2266">
        <v>2322</v>
      </c>
      <c r="F1393" s="2266" t="s">
        <v>5832</v>
      </c>
      <c r="G1393" s="2266" t="s">
        <v>5832</v>
      </c>
      <c r="H1393" s="2436">
        <v>186248</v>
      </c>
      <c r="I1393" s="2436">
        <v>310493</v>
      </c>
      <c r="J1393" s="2446">
        <v>0.52109780412322693</v>
      </c>
      <c r="K1393" s="2436">
        <v>97053.423822342767</v>
      </c>
      <c r="L1393" s="2436">
        <v>97053.423822342767</v>
      </c>
      <c r="M1393" s="2266">
        <v>599</v>
      </c>
    </row>
    <row r="1394" spans="1:13" ht="15">
      <c r="A1394" s="2266" t="s">
        <v>4246</v>
      </c>
      <c r="B1394" s="1694" t="str">
        <f>CONCATENATE(LEFT(RIGHT(CONCATENATE("000",IFAData_TEA!A1394),6),3),"-",(RIGHT(RIGHT(CONCATENATE("000",IFAData_TEA!A1394),6),3)))</f>
        <v>133-901</v>
      </c>
      <c r="C1394" s="2266" t="s">
        <v>734</v>
      </c>
      <c r="D1394" s="2266">
        <v>6</v>
      </c>
      <c r="E1394" s="2266">
        <v>1674</v>
      </c>
      <c r="F1394" s="2266" t="s">
        <v>5835</v>
      </c>
      <c r="G1394" s="2266" t="s">
        <v>5835</v>
      </c>
      <c r="H1394" s="2436">
        <v>140055</v>
      </c>
      <c r="I1394" s="2436">
        <v>0</v>
      </c>
      <c r="J1394" s="2446">
        <v>0</v>
      </c>
      <c r="K1394" s="2436">
        <v>0</v>
      </c>
      <c r="L1394" s="2436">
        <v>0</v>
      </c>
      <c r="M1394" s="2266">
        <v>599</v>
      </c>
    </row>
    <row r="1395" spans="1:13" ht="15">
      <c r="A1395" s="2266" t="s">
        <v>4246</v>
      </c>
      <c r="B1395" s="1694" t="str">
        <f>CONCATENATE(LEFT(RIGHT(CONCATENATE("000",IFAData_TEA!A1395),6),3),"-",(RIGHT(RIGHT(CONCATENATE("000",IFAData_TEA!A1395),6),3)))</f>
        <v>133-901</v>
      </c>
      <c r="C1395" s="2266" t="s">
        <v>734</v>
      </c>
      <c r="D1395" s="2266">
        <v>6</v>
      </c>
      <c r="E1395" s="2266">
        <v>1674</v>
      </c>
      <c r="F1395" s="2266" t="s">
        <v>5835</v>
      </c>
      <c r="G1395" s="2266" t="s">
        <v>5836</v>
      </c>
      <c r="H1395" s="2436">
        <v>140055</v>
      </c>
      <c r="I1395" s="2436">
        <v>129875</v>
      </c>
      <c r="J1395" s="2446">
        <v>1</v>
      </c>
      <c r="K1395" s="2436">
        <v>140055</v>
      </c>
      <c r="L1395" s="2436">
        <v>129875</v>
      </c>
      <c r="M1395" s="2266">
        <v>599</v>
      </c>
    </row>
    <row r="1396" spans="1:13" ht="15">
      <c r="A1396" s="2266" t="s">
        <v>4247</v>
      </c>
      <c r="B1396" s="1694" t="str">
        <f>CONCATENATE(LEFT(RIGHT(CONCATENATE("000",IFAData_TEA!A1396),6),3),"-",(RIGHT(RIGHT(CONCATENATE("000",IFAData_TEA!A1396),6),3)))</f>
        <v>137-901</v>
      </c>
      <c r="C1396" s="2266" t="s">
        <v>2295</v>
      </c>
      <c r="D1396" s="2266">
        <v>9</v>
      </c>
      <c r="E1396" s="2266">
        <v>1960</v>
      </c>
      <c r="F1396" s="2266" t="s">
        <v>5840</v>
      </c>
      <c r="G1396" s="2266" t="s">
        <v>7012</v>
      </c>
      <c r="H1396" s="2436">
        <v>889358</v>
      </c>
      <c r="I1396" s="2436">
        <v>204749</v>
      </c>
      <c r="J1396" s="2446">
        <v>9.1946688174138674E-2</v>
      </c>
      <c r="K1396" s="2436">
        <v>81773.522701175621</v>
      </c>
      <c r="L1396" s="2436">
        <v>81773.522701175621</v>
      </c>
      <c r="M1396" s="2266">
        <v>599</v>
      </c>
    </row>
    <row r="1397" spans="1:13" ht="15">
      <c r="A1397" s="2266" t="s">
        <v>4247</v>
      </c>
      <c r="B1397" s="1694" t="str">
        <f>CONCATENATE(LEFT(RIGHT(CONCATENATE("000",IFAData_TEA!A1397),6),3),"-",(RIGHT(RIGHT(CONCATENATE("000",IFAData_TEA!A1397),6),3)))</f>
        <v>137-901</v>
      </c>
      <c r="C1397" s="2266" t="s">
        <v>2295</v>
      </c>
      <c r="D1397" s="2266">
        <v>9</v>
      </c>
      <c r="E1397" s="2266">
        <v>1960</v>
      </c>
      <c r="F1397" s="2266" t="s">
        <v>5840</v>
      </c>
      <c r="G1397" s="2266" t="s">
        <v>7013</v>
      </c>
      <c r="H1397" s="2436">
        <v>889358</v>
      </c>
      <c r="I1397" s="2436">
        <v>428412</v>
      </c>
      <c r="J1397" s="2446">
        <v>0.19238709138535035</v>
      </c>
      <c r="K1397" s="2436">
        <v>171100.99882029241</v>
      </c>
      <c r="L1397" s="2436">
        <v>171100.99882029241</v>
      </c>
      <c r="M1397" s="2266">
        <v>599</v>
      </c>
    </row>
    <row r="1398" spans="1:13" ht="15">
      <c r="A1398" s="2266" t="s">
        <v>4247</v>
      </c>
      <c r="B1398" s="1694" t="str">
        <f>CONCATENATE(LEFT(RIGHT(CONCATENATE("000",IFAData_TEA!A1398),6),3),"-",(RIGHT(RIGHT(CONCATENATE("000",IFAData_TEA!A1398),6),3)))</f>
        <v>137-901</v>
      </c>
      <c r="C1398" s="2266" t="s">
        <v>2295</v>
      </c>
      <c r="D1398" s="2266">
        <v>6</v>
      </c>
      <c r="E1398" s="2266">
        <v>1961</v>
      </c>
      <c r="F1398" s="2266" t="s">
        <v>5837</v>
      </c>
      <c r="G1398" s="2266" t="s">
        <v>5838</v>
      </c>
      <c r="H1398" s="2436">
        <v>1060285</v>
      </c>
      <c r="I1398" s="2436">
        <v>438950</v>
      </c>
      <c r="J1398" s="2446">
        <v>0.35888316572643286</v>
      </c>
      <c r="K1398" s="2436">
        <v>380518.43737225089</v>
      </c>
      <c r="L1398" s="2436">
        <v>380518.43737225089</v>
      </c>
      <c r="M1398" s="2266">
        <v>599</v>
      </c>
    </row>
    <row r="1399" spans="1:13" ht="15">
      <c r="A1399" s="2266" t="s">
        <v>4247</v>
      </c>
      <c r="B1399" s="1694" t="str">
        <f>CONCATENATE(LEFT(RIGHT(CONCATENATE("000",IFAData_TEA!A1399),6),3),"-",(RIGHT(RIGHT(CONCATENATE("000",IFAData_TEA!A1399),6),3)))</f>
        <v>137-901</v>
      </c>
      <c r="C1399" s="2266" t="s">
        <v>2295</v>
      </c>
      <c r="D1399" s="2266">
        <v>10</v>
      </c>
      <c r="E1399" s="2266">
        <v>1959</v>
      </c>
      <c r="F1399" s="2266" t="s">
        <v>5841</v>
      </c>
      <c r="G1399" s="2266" t="s">
        <v>5841</v>
      </c>
      <c r="H1399" s="2436">
        <v>861411</v>
      </c>
      <c r="I1399" s="2436">
        <v>860625</v>
      </c>
      <c r="J1399" s="2446">
        <v>1</v>
      </c>
      <c r="K1399" s="2436">
        <v>861411</v>
      </c>
      <c r="L1399" s="2436">
        <v>860625</v>
      </c>
      <c r="M1399" s="2266">
        <v>599</v>
      </c>
    </row>
    <row r="1400" spans="1:13" ht="15">
      <c r="A1400" s="2266" t="s">
        <v>4247</v>
      </c>
      <c r="B1400" s="1694" t="str">
        <f>CONCATENATE(LEFT(RIGHT(CONCATENATE("000",IFAData_TEA!A1400),6),3),"-",(RIGHT(RIGHT(CONCATENATE("000",IFAData_TEA!A1400),6),3)))</f>
        <v>137-901</v>
      </c>
      <c r="C1400" s="2266" t="s">
        <v>2295</v>
      </c>
      <c r="D1400" s="2266">
        <v>6</v>
      </c>
      <c r="E1400" s="2266">
        <v>1961</v>
      </c>
      <c r="F1400" s="2266" t="s">
        <v>5837</v>
      </c>
      <c r="G1400" s="2266" t="s">
        <v>5839</v>
      </c>
      <c r="H1400" s="2436">
        <v>1060285</v>
      </c>
      <c r="I1400" s="2436">
        <v>784150</v>
      </c>
      <c r="J1400" s="2446">
        <v>0.64111683427356714</v>
      </c>
      <c r="K1400" s="2436">
        <v>679766.56262774917</v>
      </c>
      <c r="L1400" s="2436">
        <v>679766.56262774917</v>
      </c>
      <c r="M1400" s="2266">
        <v>599</v>
      </c>
    </row>
    <row r="1401" spans="1:13" ht="15">
      <c r="A1401" s="2266" t="s">
        <v>4247</v>
      </c>
      <c r="B1401" s="1694" t="str">
        <f>CONCATENATE(LEFT(RIGHT(CONCATENATE("000",IFAData_TEA!A1401),6),3),"-",(RIGHT(RIGHT(CONCATENATE("000",IFAData_TEA!A1401),6),3)))</f>
        <v>137-901</v>
      </c>
      <c r="C1401" s="2266" t="s">
        <v>2295</v>
      </c>
      <c r="D1401" s="2266">
        <v>6</v>
      </c>
      <c r="E1401" s="2266">
        <v>1961</v>
      </c>
      <c r="F1401" s="2266" t="s">
        <v>5837</v>
      </c>
      <c r="G1401" s="2266" t="s">
        <v>5837</v>
      </c>
      <c r="H1401" s="2436">
        <v>1060285</v>
      </c>
      <c r="I1401" s="2436">
        <v>0</v>
      </c>
      <c r="J1401" s="2446">
        <v>0</v>
      </c>
      <c r="K1401" s="2436">
        <v>0</v>
      </c>
      <c r="L1401" s="2436">
        <v>0</v>
      </c>
      <c r="M1401" s="2266">
        <v>599</v>
      </c>
    </row>
    <row r="1402" spans="1:13" ht="15">
      <c r="A1402" s="2266" t="s">
        <v>4247</v>
      </c>
      <c r="B1402" s="1694" t="str">
        <f>CONCATENATE(LEFT(RIGHT(CONCATENATE("000",IFAData_TEA!A1402),6),3),"-",(RIGHT(RIGHT(CONCATENATE("000",IFAData_TEA!A1402),6),3)))</f>
        <v>137-901</v>
      </c>
      <c r="C1402" s="2266" t="s">
        <v>2295</v>
      </c>
      <c r="D1402" s="2266">
        <v>9</v>
      </c>
      <c r="E1402" s="2266">
        <v>1960</v>
      </c>
      <c r="F1402" s="2266" t="s">
        <v>5840</v>
      </c>
      <c r="G1402" s="2266" t="s">
        <v>5840</v>
      </c>
      <c r="H1402" s="2436">
        <v>889358</v>
      </c>
      <c r="I1402" s="2436">
        <v>1593662</v>
      </c>
      <c r="J1402" s="2446">
        <v>0.71566622044051098</v>
      </c>
      <c r="K1402" s="2436">
        <v>636483.47847853194</v>
      </c>
      <c r="L1402" s="2436">
        <v>636483.47847853194</v>
      </c>
      <c r="M1402" s="2266">
        <v>599</v>
      </c>
    </row>
    <row r="1403" spans="1:13" ht="15">
      <c r="A1403" s="2266" t="s">
        <v>4248</v>
      </c>
      <c r="B1403" s="1694" t="str">
        <f>CONCATENATE(LEFT(RIGHT(CONCATENATE("000",IFAData_TEA!A1403),6),3),"-",(RIGHT(RIGHT(CONCATENATE("000",IFAData_TEA!A1403),6),3)))</f>
        <v>138-902</v>
      </c>
      <c r="C1403" s="2266" t="s">
        <v>1904</v>
      </c>
      <c r="D1403" s="2266">
        <v>6</v>
      </c>
      <c r="E1403" s="2266">
        <v>1971</v>
      </c>
      <c r="F1403" s="2266" t="s">
        <v>5842</v>
      </c>
      <c r="G1403" s="2266" t="s">
        <v>5842</v>
      </c>
      <c r="H1403" s="2436">
        <v>88605</v>
      </c>
      <c r="I1403" s="2436">
        <v>89465</v>
      </c>
      <c r="J1403" s="2446">
        <v>1</v>
      </c>
      <c r="K1403" s="2436">
        <v>88605</v>
      </c>
      <c r="L1403" s="2436">
        <v>88605</v>
      </c>
      <c r="M1403" s="2266">
        <v>599</v>
      </c>
    </row>
    <row r="1404" spans="1:13" ht="15">
      <c r="A1404" s="2266" t="s">
        <v>4249</v>
      </c>
      <c r="B1404" s="1694" t="str">
        <f>CONCATENATE(LEFT(RIGHT(CONCATENATE("000",IFAData_TEA!A1404),6),3),"-",(RIGHT(RIGHT(CONCATENATE("000",IFAData_TEA!A1404),6),3)))</f>
        <v>139-908</v>
      </c>
      <c r="C1404" s="2266" t="s">
        <v>667</v>
      </c>
      <c r="D1404" s="2266">
        <v>4</v>
      </c>
      <c r="E1404" s="2266">
        <v>2267</v>
      </c>
      <c r="F1404" s="2266" t="s">
        <v>5843</v>
      </c>
      <c r="G1404" s="2266" t="s">
        <v>5844</v>
      </c>
      <c r="H1404" s="2436">
        <v>84250</v>
      </c>
      <c r="I1404" s="2436">
        <v>75544</v>
      </c>
      <c r="J1404" s="2446">
        <v>1</v>
      </c>
      <c r="K1404" s="2436">
        <v>84250</v>
      </c>
      <c r="L1404" s="2436">
        <v>75544</v>
      </c>
      <c r="M1404" s="2266">
        <v>599</v>
      </c>
    </row>
    <row r="1405" spans="1:13" ht="15">
      <c r="A1405" s="2266" t="s">
        <v>4249</v>
      </c>
      <c r="B1405" s="1694" t="str">
        <f>CONCATENATE(LEFT(RIGHT(CONCATENATE("000",IFAData_TEA!A1405),6),3),"-",(RIGHT(RIGHT(CONCATENATE("000",IFAData_TEA!A1405),6),3)))</f>
        <v>139-908</v>
      </c>
      <c r="C1405" s="2266" t="s">
        <v>667</v>
      </c>
      <c r="D1405" s="2266">
        <v>4</v>
      </c>
      <c r="E1405" s="2266">
        <v>2267</v>
      </c>
      <c r="F1405" s="2266" t="s">
        <v>5843</v>
      </c>
      <c r="G1405" s="2266" t="s">
        <v>5843</v>
      </c>
      <c r="H1405" s="2436">
        <v>84250</v>
      </c>
      <c r="I1405" s="2436">
        <v>0</v>
      </c>
      <c r="J1405" s="2446">
        <v>0</v>
      </c>
      <c r="K1405" s="2436">
        <v>0</v>
      </c>
      <c r="L1405" s="2436">
        <v>0</v>
      </c>
      <c r="M1405" s="2266">
        <v>599</v>
      </c>
    </row>
    <row r="1406" spans="1:13" ht="15">
      <c r="A1406" s="2266" t="s">
        <v>4250</v>
      </c>
      <c r="B1406" s="1694" t="str">
        <f>CONCATENATE(LEFT(RIGHT(CONCATENATE("000",IFAData_TEA!A1406),6),3),"-",(RIGHT(RIGHT(CONCATENATE("000",IFAData_TEA!A1406),6),3)))</f>
        <v>139-909</v>
      </c>
      <c r="C1406" s="2266" t="s">
        <v>226</v>
      </c>
      <c r="D1406" s="2266">
        <v>1</v>
      </c>
      <c r="E1406" s="2266">
        <v>2177</v>
      </c>
      <c r="F1406" s="2266" t="s">
        <v>5845</v>
      </c>
      <c r="G1406" s="2266" t="s">
        <v>7014</v>
      </c>
      <c r="H1406" s="2436">
        <v>824548</v>
      </c>
      <c r="I1406" s="2436">
        <v>3813</v>
      </c>
      <c r="J1406" s="2446">
        <v>1.0689924892974592E-2</v>
      </c>
      <c r="K1406" s="2436">
        <v>8814.3561906524137</v>
      </c>
      <c r="L1406" s="2436">
        <v>3813</v>
      </c>
      <c r="M1406" s="2266">
        <v>599</v>
      </c>
    </row>
    <row r="1407" spans="1:13" ht="15">
      <c r="A1407" s="2266" t="s">
        <v>4250</v>
      </c>
      <c r="B1407" s="1694" t="str">
        <f>CONCATENATE(LEFT(RIGHT(CONCATENATE("000",IFAData_TEA!A1407),6),3),"-",(RIGHT(RIGHT(CONCATENATE("000",IFAData_TEA!A1407),6),3)))</f>
        <v>139-909</v>
      </c>
      <c r="C1407" s="2266" t="s">
        <v>226</v>
      </c>
      <c r="D1407" s="2266">
        <v>1</v>
      </c>
      <c r="E1407" s="2266">
        <v>2177</v>
      </c>
      <c r="F1407" s="2266" t="s">
        <v>5845</v>
      </c>
      <c r="G1407" s="2266" t="s">
        <v>5848</v>
      </c>
      <c r="H1407" s="2436">
        <v>824548</v>
      </c>
      <c r="I1407" s="2436">
        <v>3358</v>
      </c>
      <c r="J1407" s="2446">
        <v>9.4143109862598155E-3</v>
      </c>
      <c r="K1407" s="2436">
        <v>7762.5512950985585</v>
      </c>
      <c r="L1407" s="2436">
        <v>3358</v>
      </c>
      <c r="M1407" s="2266">
        <v>599</v>
      </c>
    </row>
    <row r="1408" spans="1:13" ht="15">
      <c r="A1408" s="2266" t="s">
        <v>4250</v>
      </c>
      <c r="B1408" s="1694" t="str">
        <f>CONCATENATE(LEFT(RIGHT(CONCATENATE("000",IFAData_TEA!A1408),6),3),"-",(RIGHT(RIGHT(CONCATENATE("000",IFAData_TEA!A1408),6),3)))</f>
        <v>139-909</v>
      </c>
      <c r="C1408" s="2266" t="s">
        <v>226</v>
      </c>
      <c r="D1408" s="2266">
        <v>1</v>
      </c>
      <c r="E1408" s="2266">
        <v>2177</v>
      </c>
      <c r="F1408" s="2266" t="s">
        <v>5845</v>
      </c>
      <c r="G1408" s="2266" t="s">
        <v>5846</v>
      </c>
      <c r="H1408" s="2436">
        <v>824548</v>
      </c>
      <c r="I1408" s="2436">
        <v>322976</v>
      </c>
      <c r="J1408" s="2446">
        <v>0.90547841128595896</v>
      </c>
      <c r="K1408" s="2436">
        <v>746610.4130690149</v>
      </c>
      <c r="L1408" s="2436">
        <v>322976</v>
      </c>
      <c r="M1408" s="2266">
        <v>599</v>
      </c>
    </row>
    <row r="1409" spans="1:13" ht="15">
      <c r="A1409" s="2266" t="s">
        <v>4250</v>
      </c>
      <c r="B1409" s="1694" t="str">
        <f>CONCATENATE(LEFT(RIGHT(CONCATENATE("000",IFAData_TEA!A1409),6),3),"-",(RIGHT(RIGHT(CONCATENATE("000",IFAData_TEA!A1409),6),3)))</f>
        <v>139-909</v>
      </c>
      <c r="C1409" s="2266" t="s">
        <v>226</v>
      </c>
      <c r="D1409" s="2266">
        <v>10</v>
      </c>
      <c r="E1409" s="2266">
        <v>2175</v>
      </c>
      <c r="F1409" s="2266" t="s">
        <v>5850</v>
      </c>
      <c r="G1409" s="2266" t="s">
        <v>5850</v>
      </c>
      <c r="H1409" s="2436">
        <v>185701</v>
      </c>
      <c r="I1409" s="2436">
        <v>178750</v>
      </c>
      <c r="J1409" s="2446">
        <v>1</v>
      </c>
      <c r="K1409" s="2436">
        <v>185701</v>
      </c>
      <c r="L1409" s="2436">
        <v>178750</v>
      </c>
      <c r="M1409" s="2266">
        <v>599</v>
      </c>
    </row>
    <row r="1410" spans="1:13" ht="15">
      <c r="A1410" s="2266" t="s">
        <v>4250</v>
      </c>
      <c r="B1410" s="1694" t="str">
        <f>CONCATENATE(LEFT(RIGHT(CONCATENATE("000",IFAData_TEA!A1410),6),3),"-",(RIGHT(RIGHT(CONCATENATE("000",IFAData_TEA!A1410),6),3)))</f>
        <v>139-909</v>
      </c>
      <c r="C1410" s="2266" t="s">
        <v>226</v>
      </c>
      <c r="D1410" s="2266">
        <v>1</v>
      </c>
      <c r="E1410" s="2266">
        <v>2177</v>
      </c>
      <c r="F1410" s="2266" t="s">
        <v>5845</v>
      </c>
      <c r="G1410" s="2266" t="s">
        <v>5845</v>
      </c>
      <c r="H1410" s="2436">
        <v>824548</v>
      </c>
      <c r="I1410" s="2436">
        <v>0</v>
      </c>
      <c r="J1410" s="2446">
        <v>0</v>
      </c>
      <c r="K1410" s="2436">
        <v>0</v>
      </c>
      <c r="L1410" s="2436">
        <v>0</v>
      </c>
      <c r="M1410" s="2266">
        <v>599</v>
      </c>
    </row>
    <row r="1411" spans="1:13" ht="15">
      <c r="A1411" s="2266" t="s">
        <v>4250</v>
      </c>
      <c r="B1411" s="1694" t="str">
        <f>CONCATENATE(LEFT(RIGHT(CONCATENATE("000",IFAData_TEA!A1411),6),3),"-",(RIGHT(RIGHT(CONCATENATE("000",IFAData_TEA!A1411),6),3)))</f>
        <v>139-909</v>
      </c>
      <c r="C1411" s="2266" t="s">
        <v>226</v>
      </c>
      <c r="D1411" s="2266">
        <v>10</v>
      </c>
      <c r="E1411" s="2266">
        <v>2176</v>
      </c>
      <c r="F1411" s="2266" t="s">
        <v>5849</v>
      </c>
      <c r="G1411" s="2266" t="s">
        <v>5849</v>
      </c>
      <c r="H1411" s="2436">
        <v>493697</v>
      </c>
      <c r="I1411" s="2436">
        <v>498697</v>
      </c>
      <c r="J1411" s="2446">
        <v>1</v>
      </c>
      <c r="K1411" s="2436">
        <v>493697</v>
      </c>
      <c r="L1411" s="2436">
        <v>493697</v>
      </c>
      <c r="M1411" s="2266">
        <v>599</v>
      </c>
    </row>
    <row r="1412" spans="1:13" ht="15">
      <c r="A1412" s="2266" t="s">
        <v>4250</v>
      </c>
      <c r="B1412" s="1694" t="str">
        <f>CONCATENATE(LEFT(RIGHT(CONCATENATE("000",IFAData_TEA!A1412),6),3),"-",(RIGHT(RIGHT(CONCATENATE("000",IFAData_TEA!A1412),6),3)))</f>
        <v>139-909</v>
      </c>
      <c r="C1412" s="2266" t="s">
        <v>226</v>
      </c>
      <c r="D1412" s="2266">
        <v>1</v>
      </c>
      <c r="E1412" s="2266">
        <v>2177</v>
      </c>
      <c r="F1412" s="2266" t="s">
        <v>5845</v>
      </c>
      <c r="G1412" s="2266" t="s">
        <v>5847</v>
      </c>
      <c r="H1412" s="2436">
        <v>824548</v>
      </c>
      <c r="I1412" s="2436">
        <v>26544</v>
      </c>
      <c r="J1412" s="2446">
        <v>7.4417352834806591E-2</v>
      </c>
      <c r="K1412" s="2436">
        <v>61360.679445234106</v>
      </c>
      <c r="L1412" s="2436">
        <v>26544</v>
      </c>
      <c r="M1412" s="2266">
        <v>599</v>
      </c>
    </row>
    <row r="1413" spans="1:13" ht="15">
      <c r="A1413" s="2266" t="s">
        <v>4251</v>
      </c>
      <c r="B1413" s="1694" t="str">
        <f>CONCATENATE(LEFT(RIGHT(CONCATENATE("000",IFAData_TEA!A1413),6),3),"-",(RIGHT(RIGHT(CONCATENATE("000",IFAData_TEA!A1413),6),3)))</f>
        <v>139-912</v>
      </c>
      <c r="C1413" s="2266" t="s">
        <v>2411</v>
      </c>
      <c r="D1413" s="2266">
        <v>6</v>
      </c>
      <c r="E1413" s="2266">
        <v>2208</v>
      </c>
      <c r="F1413" s="2266" t="s">
        <v>5851</v>
      </c>
      <c r="G1413" s="2266" t="s">
        <v>5853</v>
      </c>
      <c r="H1413" s="2436">
        <v>229112</v>
      </c>
      <c r="I1413" s="2436">
        <v>80886</v>
      </c>
      <c r="J1413" s="2446">
        <v>0.23642028714399288</v>
      </c>
      <c r="K1413" s="2436">
        <v>54166.724828134495</v>
      </c>
      <c r="L1413" s="2436">
        <v>54166.724828134495</v>
      </c>
      <c r="M1413" s="2266">
        <v>599</v>
      </c>
    </row>
    <row r="1414" spans="1:13" ht="15">
      <c r="A1414" s="2266" t="s">
        <v>4251</v>
      </c>
      <c r="B1414" s="1694" t="str">
        <f>CONCATENATE(LEFT(RIGHT(CONCATENATE("000",IFAData_TEA!A1414),6),3),"-",(RIGHT(RIGHT(CONCATENATE("000",IFAData_TEA!A1414),6),3)))</f>
        <v>139-912</v>
      </c>
      <c r="C1414" s="2266" t="s">
        <v>2411</v>
      </c>
      <c r="D1414" s="2266">
        <v>6</v>
      </c>
      <c r="E1414" s="2266">
        <v>2208</v>
      </c>
      <c r="F1414" s="2266" t="s">
        <v>5851</v>
      </c>
      <c r="G1414" s="2266" t="s">
        <v>5852</v>
      </c>
      <c r="H1414" s="2436">
        <v>229112</v>
      </c>
      <c r="I1414" s="2436">
        <v>261242</v>
      </c>
      <c r="J1414" s="2446">
        <v>0.76357971285600712</v>
      </c>
      <c r="K1414" s="2436">
        <v>174945.27517186551</v>
      </c>
      <c r="L1414" s="2436">
        <v>174945.27517186551</v>
      </c>
      <c r="M1414" s="2266">
        <v>599</v>
      </c>
    </row>
    <row r="1415" spans="1:13" ht="15">
      <c r="A1415" s="2266" t="s">
        <v>4251</v>
      </c>
      <c r="B1415" s="1694" t="str">
        <f>CONCATENATE(LEFT(RIGHT(CONCATENATE("000",IFAData_TEA!A1415),6),3),"-",(RIGHT(RIGHT(CONCATENATE("000",IFAData_TEA!A1415),6),3)))</f>
        <v>139-912</v>
      </c>
      <c r="C1415" s="2266" t="s">
        <v>2411</v>
      </c>
      <c r="D1415" s="2266">
        <v>6</v>
      </c>
      <c r="E1415" s="2266">
        <v>2208</v>
      </c>
      <c r="F1415" s="2266" t="s">
        <v>5851</v>
      </c>
      <c r="G1415" s="2266" t="s">
        <v>5851</v>
      </c>
      <c r="H1415" s="2436">
        <v>229112</v>
      </c>
      <c r="I1415" s="2436">
        <v>0</v>
      </c>
      <c r="J1415" s="2446">
        <v>0</v>
      </c>
      <c r="K1415" s="2436">
        <v>0</v>
      </c>
      <c r="L1415" s="2436">
        <v>0</v>
      </c>
      <c r="M1415" s="2266">
        <v>599</v>
      </c>
    </row>
    <row r="1416" spans="1:13" ht="15">
      <c r="A1416" s="2266" t="s">
        <v>5854</v>
      </c>
      <c r="B1416" s="1694" t="str">
        <f>CONCATENATE(LEFT(RIGHT(CONCATENATE("000",IFAData_TEA!A1416),6),3),"-",(RIGHT(RIGHT(CONCATENATE("000",IFAData_TEA!A1416),6),3)))</f>
        <v>140-905</v>
      </c>
      <c r="C1416" s="2266" t="s">
        <v>934</v>
      </c>
      <c r="D1416" s="2266">
        <v>2</v>
      </c>
      <c r="E1416" s="2266">
        <v>2161</v>
      </c>
      <c r="F1416" s="2266" t="s">
        <v>5855</v>
      </c>
      <c r="G1416" s="2266" t="s">
        <v>5855</v>
      </c>
      <c r="H1416" s="2436">
        <v>187763</v>
      </c>
      <c r="I1416" s="2436">
        <v>0</v>
      </c>
      <c r="J1416" s="2446">
        <v>0</v>
      </c>
      <c r="K1416" s="2436">
        <v>0</v>
      </c>
      <c r="L1416" s="2436">
        <v>0</v>
      </c>
      <c r="M1416" s="2266">
        <v>599</v>
      </c>
    </row>
    <row r="1417" spans="1:13" ht="15">
      <c r="A1417" s="2266" t="s">
        <v>5854</v>
      </c>
      <c r="B1417" s="1694" t="str">
        <f>CONCATENATE(LEFT(RIGHT(CONCATENATE("000",IFAData_TEA!A1417),6),3),"-",(RIGHT(RIGHT(CONCATENATE("000",IFAData_TEA!A1417),6),3)))</f>
        <v>140-905</v>
      </c>
      <c r="C1417" s="2266" t="s">
        <v>934</v>
      </c>
      <c r="D1417" s="2266">
        <v>2</v>
      </c>
      <c r="E1417" s="2266">
        <v>2161</v>
      </c>
      <c r="F1417" s="2266" t="s">
        <v>5855</v>
      </c>
      <c r="G1417" s="2266" t="s">
        <v>5856</v>
      </c>
      <c r="H1417" s="2436">
        <v>187763</v>
      </c>
      <c r="I1417" s="2436">
        <v>184575</v>
      </c>
      <c r="J1417" s="2446">
        <v>1</v>
      </c>
      <c r="K1417" s="2436">
        <v>187763</v>
      </c>
      <c r="L1417" s="2436">
        <v>184575</v>
      </c>
      <c r="M1417" s="2266">
        <v>599</v>
      </c>
    </row>
    <row r="1418" spans="1:13" ht="15">
      <c r="A1418" s="2266" t="s">
        <v>4252</v>
      </c>
      <c r="B1418" s="1694" t="str">
        <f>CONCATENATE(LEFT(RIGHT(CONCATENATE("000",IFAData_TEA!A1418),6),3),"-",(RIGHT(RIGHT(CONCATENATE("000",IFAData_TEA!A1418),6),3)))</f>
        <v>141-901</v>
      </c>
      <c r="C1418" s="2266" t="s">
        <v>1069</v>
      </c>
      <c r="D1418" s="2266">
        <v>9</v>
      </c>
      <c r="E1418" s="2266">
        <v>2002</v>
      </c>
      <c r="F1418" s="2266" t="s">
        <v>5857</v>
      </c>
      <c r="G1418" s="2266" t="s">
        <v>5859</v>
      </c>
      <c r="H1418" s="2436">
        <v>800000</v>
      </c>
      <c r="I1418" s="2436">
        <v>1122872</v>
      </c>
      <c r="J1418" s="2446">
        <v>0.48694508818917304</v>
      </c>
      <c r="K1418" s="2436">
        <v>389556.07055133843</v>
      </c>
      <c r="L1418" s="2436">
        <v>389556.07055133843</v>
      </c>
      <c r="M1418" s="2266">
        <v>599</v>
      </c>
    </row>
    <row r="1419" spans="1:13" ht="15">
      <c r="A1419" s="2266" t="s">
        <v>4252</v>
      </c>
      <c r="B1419" s="1694" t="str">
        <f>CONCATENATE(LEFT(RIGHT(CONCATENATE("000",IFAData_TEA!A1419),6),3),"-",(RIGHT(RIGHT(CONCATENATE("000",IFAData_TEA!A1419),6),3)))</f>
        <v>141-901</v>
      </c>
      <c r="C1419" s="2266" t="s">
        <v>1069</v>
      </c>
      <c r="D1419" s="2266">
        <v>9</v>
      </c>
      <c r="E1419" s="2266">
        <v>2002</v>
      </c>
      <c r="F1419" s="2266" t="s">
        <v>5857</v>
      </c>
      <c r="G1419" s="2266" t="s">
        <v>5858</v>
      </c>
      <c r="H1419" s="2436">
        <v>800000</v>
      </c>
      <c r="I1419" s="2436">
        <v>273979</v>
      </c>
      <c r="J1419" s="2446">
        <v>0.11881383480662217</v>
      </c>
      <c r="K1419" s="2436">
        <v>95051.06784529773</v>
      </c>
      <c r="L1419" s="2436">
        <v>95051.06784529773</v>
      </c>
      <c r="M1419" s="2266">
        <v>599</v>
      </c>
    </row>
    <row r="1420" spans="1:13" ht="15">
      <c r="A1420" s="2266" t="s">
        <v>4252</v>
      </c>
      <c r="B1420" s="1694" t="str">
        <f>CONCATENATE(LEFT(RIGHT(CONCATENATE("000",IFAData_TEA!A1420),6),3),"-",(RIGHT(RIGHT(CONCATENATE("000",IFAData_TEA!A1420),6),3)))</f>
        <v>141-901</v>
      </c>
      <c r="C1420" s="2266" t="s">
        <v>1069</v>
      </c>
      <c r="D1420" s="2266">
        <v>9</v>
      </c>
      <c r="E1420" s="2266">
        <v>2002</v>
      </c>
      <c r="F1420" s="2266" t="s">
        <v>5857</v>
      </c>
      <c r="G1420" s="2266" t="s">
        <v>5857</v>
      </c>
      <c r="H1420" s="2436">
        <v>800000</v>
      </c>
      <c r="I1420" s="2436">
        <v>909101</v>
      </c>
      <c r="J1420" s="2446">
        <v>0.3942410770042048</v>
      </c>
      <c r="K1420" s="2436">
        <v>315392.86160336382</v>
      </c>
      <c r="L1420" s="2436">
        <v>315392.86160336382</v>
      </c>
      <c r="M1420" s="2266">
        <v>599</v>
      </c>
    </row>
    <row r="1421" spans="1:13" ht="15">
      <c r="A1421" s="2266" t="s">
        <v>4253</v>
      </c>
      <c r="B1421" s="1694" t="str">
        <f>CONCATENATE(LEFT(RIGHT(CONCATENATE("000",IFAData_TEA!A1421),6),3),"-",(RIGHT(RIGHT(CONCATENATE("000",IFAData_TEA!A1421),6),3)))</f>
        <v>142-901</v>
      </c>
      <c r="C1421" s="2266" t="s">
        <v>1258</v>
      </c>
      <c r="D1421" s="2266">
        <v>2</v>
      </c>
      <c r="E1421" s="2266">
        <v>1726</v>
      </c>
      <c r="F1421" s="2266" t="s">
        <v>5860</v>
      </c>
      <c r="G1421" s="2266" t="s">
        <v>5860</v>
      </c>
      <c r="H1421" s="2436">
        <v>282771</v>
      </c>
      <c r="I1421" s="2436">
        <v>0</v>
      </c>
      <c r="J1421" s="2446">
        <v>0</v>
      </c>
      <c r="K1421" s="2436">
        <v>0</v>
      </c>
      <c r="L1421" s="2436">
        <v>0</v>
      </c>
      <c r="M1421" s="2266">
        <v>599</v>
      </c>
    </row>
    <row r="1422" spans="1:13" ht="15">
      <c r="A1422" s="2266" t="s">
        <v>4253</v>
      </c>
      <c r="B1422" s="1694" t="str">
        <f>CONCATENATE(LEFT(RIGHT(CONCATENATE("000",IFAData_TEA!A1422),6),3),"-",(RIGHT(RIGHT(CONCATENATE("000",IFAData_TEA!A1422),6),3)))</f>
        <v>142-901</v>
      </c>
      <c r="C1422" s="2266" t="s">
        <v>1258</v>
      </c>
      <c r="D1422" s="2266">
        <v>2</v>
      </c>
      <c r="E1422" s="2266">
        <v>1726</v>
      </c>
      <c r="F1422" s="2266" t="s">
        <v>5860</v>
      </c>
      <c r="G1422" s="2266" t="s">
        <v>5861</v>
      </c>
      <c r="H1422" s="2436">
        <v>282771</v>
      </c>
      <c r="I1422" s="2436">
        <v>235700</v>
      </c>
      <c r="J1422" s="2446">
        <v>1</v>
      </c>
      <c r="K1422" s="2436">
        <v>282771</v>
      </c>
      <c r="L1422" s="2436">
        <v>235700</v>
      </c>
      <c r="M1422" s="2266">
        <v>599</v>
      </c>
    </row>
    <row r="1423" spans="1:13" ht="15">
      <c r="A1423" s="2266" t="s">
        <v>4254</v>
      </c>
      <c r="B1423" s="1694" t="str">
        <f>CONCATENATE(LEFT(RIGHT(CONCATENATE("000",IFAData_TEA!A1423),6),3),"-",(RIGHT(RIGHT(CONCATENATE("000",IFAData_TEA!A1423),6),3)))</f>
        <v>146-901</v>
      </c>
      <c r="C1423" s="2266" t="s">
        <v>1329</v>
      </c>
      <c r="D1423" s="2266">
        <v>5</v>
      </c>
      <c r="E1423" s="2266">
        <v>1694</v>
      </c>
      <c r="F1423" s="2266" t="s">
        <v>5862</v>
      </c>
      <c r="G1423" s="2266" t="s">
        <v>5863</v>
      </c>
      <c r="H1423" s="2436">
        <v>754473</v>
      </c>
      <c r="I1423" s="2436">
        <v>165709</v>
      </c>
      <c r="J1423" s="2446">
        <v>0.14028940207959065</v>
      </c>
      <c r="K1423" s="2436">
        <v>105844.566055195</v>
      </c>
      <c r="L1423" s="2436">
        <v>105844.566055195</v>
      </c>
      <c r="M1423" s="2266">
        <v>599</v>
      </c>
    </row>
    <row r="1424" spans="1:13" ht="15">
      <c r="A1424" s="2266" t="s">
        <v>4254</v>
      </c>
      <c r="B1424" s="1694" t="str">
        <f>CONCATENATE(LEFT(RIGHT(CONCATENATE("000",IFAData_TEA!A1424),6),3),"-",(RIGHT(RIGHT(CONCATENATE("000",IFAData_TEA!A1424),6),3)))</f>
        <v>146-901</v>
      </c>
      <c r="C1424" s="2266" t="s">
        <v>1329</v>
      </c>
      <c r="D1424" s="2266">
        <v>5</v>
      </c>
      <c r="E1424" s="2266">
        <v>1694</v>
      </c>
      <c r="F1424" s="2266" t="s">
        <v>5862</v>
      </c>
      <c r="G1424" s="2266" t="s">
        <v>5862</v>
      </c>
      <c r="H1424" s="2436">
        <v>754473</v>
      </c>
      <c r="I1424" s="2436">
        <v>0</v>
      </c>
      <c r="J1424" s="2446">
        <v>0</v>
      </c>
      <c r="K1424" s="2436">
        <v>0</v>
      </c>
      <c r="L1424" s="2436">
        <v>0</v>
      </c>
      <c r="M1424" s="2266">
        <v>599</v>
      </c>
    </row>
    <row r="1425" spans="1:13" ht="15">
      <c r="A1425" s="2266" t="s">
        <v>4254</v>
      </c>
      <c r="B1425" s="1694" t="str">
        <f>CONCATENATE(LEFT(RIGHT(CONCATENATE("000",IFAData_TEA!A1425),6),3),"-",(RIGHT(RIGHT(CONCATENATE("000",IFAData_TEA!A1425),6),3)))</f>
        <v>146-901</v>
      </c>
      <c r="C1425" s="2266" t="s">
        <v>1329</v>
      </c>
      <c r="D1425" s="2266">
        <v>5</v>
      </c>
      <c r="E1425" s="2266">
        <v>1694</v>
      </c>
      <c r="F1425" s="2266" t="s">
        <v>5862</v>
      </c>
      <c r="G1425" s="2266" t="s">
        <v>5865</v>
      </c>
      <c r="H1425" s="2436">
        <v>754473</v>
      </c>
      <c r="I1425" s="2436">
        <v>223843</v>
      </c>
      <c r="J1425" s="2446">
        <v>0.18950570355081384</v>
      </c>
      <c r="K1425" s="2436">
        <v>142976.93667509317</v>
      </c>
      <c r="L1425" s="2436">
        <v>142976.93667509317</v>
      </c>
      <c r="M1425" s="2266">
        <v>599</v>
      </c>
    </row>
    <row r="1426" spans="1:13" ht="15">
      <c r="A1426" s="2266" t="s">
        <v>4254</v>
      </c>
      <c r="B1426" s="1694" t="str">
        <f>CONCATENATE(LEFT(RIGHT(CONCATENATE("000",IFAData_TEA!A1426),6),3),"-",(RIGHT(RIGHT(CONCATENATE("000",IFAData_TEA!A1426),6),3)))</f>
        <v>146-901</v>
      </c>
      <c r="C1426" s="2266" t="s">
        <v>1329</v>
      </c>
      <c r="D1426" s="2266">
        <v>5</v>
      </c>
      <c r="E1426" s="2266">
        <v>1694</v>
      </c>
      <c r="F1426" s="2266" t="s">
        <v>5862</v>
      </c>
      <c r="G1426" s="2266" t="s">
        <v>5864</v>
      </c>
      <c r="H1426" s="2436">
        <v>754473</v>
      </c>
      <c r="I1426" s="2436">
        <v>791642</v>
      </c>
      <c r="J1426" s="2446">
        <v>0.67020489436959552</v>
      </c>
      <c r="K1426" s="2436">
        <v>505651.49726971186</v>
      </c>
      <c r="L1426" s="2436">
        <v>505651.49726971186</v>
      </c>
      <c r="M1426" s="2266">
        <v>599</v>
      </c>
    </row>
    <row r="1427" spans="1:13" ht="15">
      <c r="A1427" s="2266" t="s">
        <v>4255</v>
      </c>
      <c r="B1427" s="1694" t="str">
        <f>CONCATENATE(LEFT(RIGHT(CONCATENATE("000",IFAData_TEA!A1427),6),3),"-",(RIGHT(RIGHT(CONCATENATE("000",IFAData_TEA!A1427),6),3)))</f>
        <v>146-902</v>
      </c>
      <c r="C1427" s="2266" t="s">
        <v>3061</v>
      </c>
      <c r="D1427" s="2266">
        <v>1</v>
      </c>
      <c r="E1427" s="2266">
        <v>1747</v>
      </c>
      <c r="F1427" s="2266" t="s">
        <v>5866</v>
      </c>
      <c r="G1427" s="2266" t="s">
        <v>5866</v>
      </c>
      <c r="H1427" s="2436">
        <v>967500</v>
      </c>
      <c r="I1427" s="2436">
        <v>0</v>
      </c>
      <c r="J1427" s="2446">
        <v>0</v>
      </c>
      <c r="K1427" s="2436">
        <v>0</v>
      </c>
      <c r="L1427" s="2436">
        <v>0</v>
      </c>
      <c r="M1427" s="2266">
        <v>599</v>
      </c>
    </row>
    <row r="1428" spans="1:13" ht="15">
      <c r="A1428" s="2266" t="s">
        <v>4255</v>
      </c>
      <c r="B1428" s="1694" t="str">
        <f>CONCATENATE(LEFT(RIGHT(CONCATENATE("000",IFAData_TEA!A1428),6),3),"-",(RIGHT(RIGHT(CONCATENATE("000",IFAData_TEA!A1428),6),3)))</f>
        <v>146-902</v>
      </c>
      <c r="C1428" s="2266" t="s">
        <v>3061</v>
      </c>
      <c r="D1428" s="2266">
        <v>1</v>
      </c>
      <c r="E1428" s="2266">
        <v>1747</v>
      </c>
      <c r="F1428" s="2266" t="s">
        <v>5866</v>
      </c>
      <c r="G1428" s="2266" t="s">
        <v>5869</v>
      </c>
      <c r="H1428" s="2436">
        <v>967500</v>
      </c>
      <c r="I1428" s="2436">
        <v>1388208</v>
      </c>
      <c r="J1428" s="2446">
        <v>0.46392752051518987</v>
      </c>
      <c r="K1428" s="2436">
        <v>448849.8760984462</v>
      </c>
      <c r="L1428" s="2436">
        <v>448849.8760984462</v>
      </c>
      <c r="M1428" s="2266">
        <v>599</v>
      </c>
    </row>
    <row r="1429" spans="1:13" ht="15">
      <c r="A1429" s="2266" t="s">
        <v>4255</v>
      </c>
      <c r="B1429" s="1694" t="str">
        <f>CONCATENATE(LEFT(RIGHT(CONCATENATE("000",IFAData_TEA!A1429),6),3),"-",(RIGHT(RIGHT(CONCATENATE("000",IFAData_TEA!A1429),6),3)))</f>
        <v>146-902</v>
      </c>
      <c r="C1429" s="2266" t="s">
        <v>3061</v>
      </c>
      <c r="D1429" s="2266">
        <v>1</v>
      </c>
      <c r="E1429" s="2266">
        <v>1747</v>
      </c>
      <c r="F1429" s="2266" t="s">
        <v>5866</v>
      </c>
      <c r="G1429" s="2266" t="s">
        <v>5867</v>
      </c>
      <c r="H1429" s="2436">
        <v>967500</v>
      </c>
      <c r="I1429" s="2436">
        <v>1452281</v>
      </c>
      <c r="J1429" s="2446">
        <v>0.48534018203419116</v>
      </c>
      <c r="K1429" s="2436">
        <v>469566.62611807993</v>
      </c>
      <c r="L1429" s="2436">
        <v>469566.62611807993</v>
      </c>
      <c r="M1429" s="2266">
        <v>599</v>
      </c>
    </row>
    <row r="1430" spans="1:13" ht="15">
      <c r="A1430" s="2266" t="s">
        <v>4255</v>
      </c>
      <c r="B1430" s="1694" t="str">
        <f>CONCATENATE(LEFT(RIGHT(CONCATENATE("000",IFAData_TEA!A1430),6),3),"-",(RIGHT(RIGHT(CONCATENATE("000",IFAData_TEA!A1430),6),3)))</f>
        <v>146-902</v>
      </c>
      <c r="C1430" s="2266" t="s">
        <v>3061</v>
      </c>
      <c r="D1430" s="2266">
        <v>1</v>
      </c>
      <c r="E1430" s="2266">
        <v>1747</v>
      </c>
      <c r="F1430" s="2266" t="s">
        <v>5866</v>
      </c>
      <c r="G1430" s="2266" t="s">
        <v>5868</v>
      </c>
      <c r="H1430" s="2436">
        <v>967500</v>
      </c>
      <c r="I1430" s="2436">
        <v>151806</v>
      </c>
      <c r="J1430" s="2446">
        <v>5.0732297450619003E-2</v>
      </c>
      <c r="K1430" s="2436">
        <v>49083.497783473882</v>
      </c>
      <c r="L1430" s="2436">
        <v>49083.497783473882</v>
      </c>
      <c r="M1430" s="2266">
        <v>599</v>
      </c>
    </row>
    <row r="1431" spans="1:13" ht="15">
      <c r="A1431" s="2266" t="s">
        <v>4256</v>
      </c>
      <c r="B1431" s="1694" t="str">
        <f>CONCATENATE(LEFT(RIGHT(CONCATENATE("000",IFAData_TEA!A1431),6),3),"-",(RIGHT(RIGHT(CONCATENATE("000",IFAData_TEA!A1431),6),3)))</f>
        <v>146-904</v>
      </c>
      <c r="C1431" s="2266" t="s">
        <v>1951</v>
      </c>
      <c r="D1431" s="2266">
        <v>9</v>
      </c>
      <c r="E1431" s="2266">
        <v>1865</v>
      </c>
      <c r="F1431" s="2266" t="s">
        <v>5870</v>
      </c>
      <c r="G1431" s="2266" t="s">
        <v>5870</v>
      </c>
      <c r="H1431" s="2436">
        <v>80675</v>
      </c>
      <c r="I1431" s="2436">
        <v>131255</v>
      </c>
      <c r="J1431" s="2446">
        <v>1</v>
      </c>
      <c r="K1431" s="2436">
        <v>80675</v>
      </c>
      <c r="L1431" s="2436">
        <v>80675</v>
      </c>
      <c r="M1431" s="2266">
        <v>599</v>
      </c>
    </row>
    <row r="1432" spans="1:13" ht="15">
      <c r="A1432" s="2266" t="s">
        <v>4257</v>
      </c>
      <c r="B1432" s="1694" t="str">
        <f>CONCATENATE(LEFT(RIGHT(CONCATENATE("000",IFAData_TEA!A1432),6),3),"-",(RIGHT(RIGHT(CONCATENATE("000",IFAData_TEA!A1432),6),3)))</f>
        <v>146-905</v>
      </c>
      <c r="C1432" s="2266" t="s">
        <v>2735</v>
      </c>
      <c r="D1432" s="2266">
        <v>2</v>
      </c>
      <c r="E1432" s="2266">
        <v>1913</v>
      </c>
      <c r="F1432" s="2266" t="s">
        <v>5871</v>
      </c>
      <c r="G1432" s="2266" t="s">
        <v>5872</v>
      </c>
      <c r="H1432" s="2436">
        <v>159897</v>
      </c>
      <c r="I1432" s="2436">
        <v>154157</v>
      </c>
      <c r="J1432" s="2446">
        <v>0.48475976943903748</v>
      </c>
      <c r="K1432" s="2436">
        <v>77511.632853993782</v>
      </c>
      <c r="L1432" s="2436">
        <v>77511.632853993782</v>
      </c>
      <c r="M1432" s="2266">
        <v>599</v>
      </c>
    </row>
    <row r="1433" spans="1:13" ht="15">
      <c r="A1433" s="2266" t="s">
        <v>4257</v>
      </c>
      <c r="B1433" s="1694" t="str">
        <f>CONCATENATE(LEFT(RIGHT(CONCATENATE("000",IFAData_TEA!A1433),6),3),"-",(RIGHT(RIGHT(CONCATENATE("000",IFAData_TEA!A1433),6),3)))</f>
        <v>146-905</v>
      </c>
      <c r="C1433" s="2266" t="s">
        <v>2735</v>
      </c>
      <c r="D1433" s="2266">
        <v>2</v>
      </c>
      <c r="E1433" s="2266">
        <v>1913</v>
      </c>
      <c r="F1433" s="2266" t="s">
        <v>5871</v>
      </c>
      <c r="G1433" s="2266" t="s">
        <v>5871</v>
      </c>
      <c r="H1433" s="2436">
        <v>159897</v>
      </c>
      <c r="I1433" s="2436">
        <v>163850</v>
      </c>
      <c r="J1433" s="2446">
        <v>0.51524023056096246</v>
      </c>
      <c r="K1433" s="2436">
        <v>82385.367146006218</v>
      </c>
      <c r="L1433" s="2436">
        <v>82385.367146006218</v>
      </c>
      <c r="M1433" s="2266">
        <v>599</v>
      </c>
    </row>
    <row r="1434" spans="1:13" ht="15">
      <c r="A1434" s="2266" t="s">
        <v>4258</v>
      </c>
      <c r="B1434" s="1694" t="str">
        <f>CONCATENATE(LEFT(RIGHT(CONCATENATE("000",IFAData_TEA!A1434),6),3),"-",(RIGHT(RIGHT(CONCATENATE("000",IFAData_TEA!A1434),6),3)))</f>
        <v>147-901</v>
      </c>
      <c r="C1434" s="2266" t="s">
        <v>1747</v>
      </c>
      <c r="D1434" s="2266">
        <v>4</v>
      </c>
      <c r="E1434" s="2266">
        <v>1718</v>
      </c>
      <c r="F1434" s="2266" t="s">
        <v>5873</v>
      </c>
      <c r="G1434" s="2266" t="s">
        <v>5874</v>
      </c>
      <c r="H1434" s="2436">
        <v>100000</v>
      </c>
      <c r="I1434" s="2436">
        <v>89575</v>
      </c>
      <c r="J1434" s="2446">
        <v>1</v>
      </c>
      <c r="K1434" s="2436">
        <v>100000</v>
      </c>
      <c r="L1434" s="2436">
        <v>89575</v>
      </c>
      <c r="M1434" s="2266">
        <v>599</v>
      </c>
    </row>
    <row r="1435" spans="1:13" ht="15">
      <c r="A1435" s="2266" t="s">
        <v>4258</v>
      </c>
      <c r="B1435" s="1694" t="str">
        <f>CONCATENATE(LEFT(RIGHT(CONCATENATE("000",IFAData_TEA!A1435),6),3),"-",(RIGHT(RIGHT(CONCATENATE("000",IFAData_TEA!A1435),6),3)))</f>
        <v>147-901</v>
      </c>
      <c r="C1435" s="2266" t="s">
        <v>1747</v>
      </c>
      <c r="D1435" s="2266">
        <v>4</v>
      </c>
      <c r="E1435" s="2266">
        <v>1718</v>
      </c>
      <c r="F1435" s="2266" t="s">
        <v>5873</v>
      </c>
      <c r="G1435" s="2266" t="s">
        <v>5873</v>
      </c>
      <c r="H1435" s="2436">
        <v>100000</v>
      </c>
      <c r="I1435" s="2436">
        <v>0</v>
      </c>
      <c r="J1435" s="2446">
        <v>0</v>
      </c>
      <c r="K1435" s="2436">
        <v>0</v>
      </c>
      <c r="L1435" s="2436">
        <v>0</v>
      </c>
      <c r="M1435" s="2266">
        <v>599</v>
      </c>
    </row>
    <row r="1436" spans="1:13" ht="15">
      <c r="A1436" s="2266" t="s">
        <v>5875</v>
      </c>
      <c r="B1436" s="1694" t="str">
        <f>CONCATENATE(LEFT(RIGHT(CONCATENATE("000",IFAData_TEA!A1436),6),3),"-",(RIGHT(RIGHT(CONCATENATE("000",IFAData_TEA!A1436),6),3)))</f>
        <v>152-901</v>
      </c>
      <c r="C1436" s="2266" t="s">
        <v>640</v>
      </c>
      <c r="D1436" s="2266">
        <v>1</v>
      </c>
      <c r="E1436" s="2266">
        <v>2040</v>
      </c>
      <c r="F1436" s="2266" t="s">
        <v>5876</v>
      </c>
      <c r="G1436" s="2266" t="s">
        <v>5876</v>
      </c>
      <c r="H1436" s="2436">
        <v>112803</v>
      </c>
      <c r="I1436" s="2436">
        <v>0</v>
      </c>
      <c r="J1436" s="2446">
        <v>0</v>
      </c>
      <c r="K1436" s="2436"/>
      <c r="L1436" s="2436">
        <v>0</v>
      </c>
      <c r="M1436" s="2266">
        <v>599</v>
      </c>
    </row>
    <row r="1437" spans="1:13" ht="15">
      <c r="A1437" s="2266" t="s">
        <v>4259</v>
      </c>
      <c r="B1437" s="1694" t="str">
        <f>CONCATENATE(LEFT(RIGHT(CONCATENATE("000",IFAData_TEA!A1437),6),3),"-",(RIGHT(RIGHT(CONCATENATE("000",IFAData_TEA!A1437),6),3)))</f>
        <v>152-906</v>
      </c>
      <c r="C1437" s="2266" t="s">
        <v>641</v>
      </c>
      <c r="D1437" s="2266">
        <v>5</v>
      </c>
      <c r="E1437" s="2266">
        <v>2041</v>
      </c>
      <c r="F1437" s="2266" t="s">
        <v>5877</v>
      </c>
      <c r="G1437" s="2266" t="s">
        <v>5877</v>
      </c>
      <c r="H1437" s="2436">
        <v>445840</v>
      </c>
      <c r="I1437" s="2436">
        <v>0</v>
      </c>
      <c r="J1437" s="2446">
        <v>0</v>
      </c>
      <c r="K1437" s="2436">
        <v>0</v>
      </c>
      <c r="L1437" s="2436">
        <v>0</v>
      </c>
      <c r="M1437" s="2266">
        <v>599</v>
      </c>
    </row>
    <row r="1438" spans="1:13" ht="15">
      <c r="A1438" s="2266" t="s">
        <v>4259</v>
      </c>
      <c r="B1438" s="1694" t="str">
        <f>CONCATENATE(LEFT(RIGHT(CONCATENATE("000",IFAData_TEA!A1438),6),3),"-",(RIGHT(RIGHT(CONCATENATE("000",IFAData_TEA!A1438),6),3)))</f>
        <v>152-906</v>
      </c>
      <c r="C1438" s="2266" t="s">
        <v>641</v>
      </c>
      <c r="D1438" s="2266">
        <v>5</v>
      </c>
      <c r="E1438" s="2266">
        <v>2041</v>
      </c>
      <c r="F1438" s="2266" t="s">
        <v>5877</v>
      </c>
      <c r="G1438" s="2266" t="s">
        <v>5878</v>
      </c>
      <c r="H1438" s="2436">
        <v>445840</v>
      </c>
      <c r="I1438" s="2436">
        <v>658600</v>
      </c>
      <c r="J1438" s="2446">
        <v>1</v>
      </c>
      <c r="K1438" s="2436">
        <v>445840</v>
      </c>
      <c r="L1438" s="2436">
        <v>445840</v>
      </c>
      <c r="M1438" s="2266">
        <v>599</v>
      </c>
    </row>
    <row r="1439" spans="1:13" ht="15">
      <c r="A1439" s="2266" t="s">
        <v>4260</v>
      </c>
      <c r="B1439" s="1694" t="str">
        <f>CONCATENATE(LEFT(RIGHT(CONCATENATE("000",IFAData_TEA!A1439),6),3),"-",(RIGHT(RIGHT(CONCATENATE("000",IFAData_TEA!A1439),6),3)))</f>
        <v>152-907</v>
      </c>
      <c r="C1439" s="2266" t="s">
        <v>2627</v>
      </c>
      <c r="D1439" s="2266">
        <v>1</v>
      </c>
      <c r="E1439" s="2266">
        <v>1825</v>
      </c>
      <c r="F1439" s="2266" t="s">
        <v>5879</v>
      </c>
      <c r="G1439" s="2266" t="s">
        <v>5880</v>
      </c>
      <c r="H1439" s="2436">
        <v>125335</v>
      </c>
      <c r="I1439" s="2436">
        <v>113403</v>
      </c>
      <c r="J1439" s="2446">
        <v>1</v>
      </c>
      <c r="K1439" s="2436">
        <v>125335</v>
      </c>
      <c r="L1439" s="2436">
        <v>113403</v>
      </c>
      <c r="M1439" s="2266">
        <v>599</v>
      </c>
    </row>
    <row r="1440" spans="1:13" ht="15">
      <c r="A1440" s="2266" t="s">
        <v>4260</v>
      </c>
      <c r="B1440" s="1694" t="str">
        <f>CONCATENATE(LEFT(RIGHT(CONCATENATE("000",IFAData_TEA!A1440),6),3),"-",(RIGHT(RIGHT(CONCATENATE("000",IFAData_TEA!A1440),6),3)))</f>
        <v>152-907</v>
      </c>
      <c r="C1440" s="2266" t="s">
        <v>2627</v>
      </c>
      <c r="D1440" s="2266">
        <v>2</v>
      </c>
      <c r="E1440" s="2266">
        <v>1826</v>
      </c>
      <c r="F1440" s="2266" t="s">
        <v>5881</v>
      </c>
      <c r="G1440" s="2266" t="s">
        <v>5881</v>
      </c>
      <c r="H1440" s="2436">
        <v>596622</v>
      </c>
      <c r="I1440" s="2436">
        <v>0</v>
      </c>
      <c r="J1440" s="2446">
        <v>0</v>
      </c>
      <c r="K1440" s="2436">
        <v>0</v>
      </c>
      <c r="L1440" s="2436">
        <v>0</v>
      </c>
      <c r="M1440" s="2266">
        <v>599</v>
      </c>
    </row>
    <row r="1441" spans="1:13" ht="15">
      <c r="A1441" s="2266" t="s">
        <v>4260</v>
      </c>
      <c r="B1441" s="1694" t="str">
        <f>CONCATENATE(LEFT(RIGHT(CONCATENATE("000",IFAData_TEA!A1441),6),3),"-",(RIGHT(RIGHT(CONCATENATE("000",IFAData_TEA!A1441),6),3)))</f>
        <v>152-907</v>
      </c>
      <c r="C1441" s="2266" t="s">
        <v>2627</v>
      </c>
      <c r="D1441" s="2266">
        <v>9</v>
      </c>
      <c r="E1441" s="2266">
        <v>1828</v>
      </c>
      <c r="F1441" s="2266" t="s">
        <v>5883</v>
      </c>
      <c r="G1441" s="2266" t="s">
        <v>7015</v>
      </c>
      <c r="H1441" s="2436">
        <v>1482602</v>
      </c>
      <c r="I1441" s="2436">
        <v>2551151</v>
      </c>
      <c r="J1441" s="2446">
        <v>0.59539961412173481</v>
      </c>
      <c r="K1441" s="2436">
        <v>882740.65869611222</v>
      </c>
      <c r="L1441" s="2436">
        <v>882740.65869611222</v>
      </c>
      <c r="M1441" s="2266">
        <v>599</v>
      </c>
    </row>
    <row r="1442" spans="1:13" ht="15">
      <c r="A1442" s="2266" t="s">
        <v>4260</v>
      </c>
      <c r="B1442" s="1694" t="str">
        <f>CONCATENATE(LEFT(RIGHT(CONCATENATE("000",IFAData_TEA!A1442),6),3),"-",(RIGHT(RIGHT(CONCATENATE("000",IFAData_TEA!A1442),6),3)))</f>
        <v>152-907</v>
      </c>
      <c r="C1442" s="2266" t="s">
        <v>2627</v>
      </c>
      <c r="D1442" s="2266">
        <v>10</v>
      </c>
      <c r="E1442" s="2266">
        <v>1827</v>
      </c>
      <c r="F1442" s="2266" t="s">
        <v>5884</v>
      </c>
      <c r="G1442" s="2266" t="s">
        <v>5884</v>
      </c>
      <c r="H1442" s="2436">
        <v>664408</v>
      </c>
      <c r="I1442" s="2436">
        <v>468994</v>
      </c>
      <c r="J1442" s="2446">
        <v>1</v>
      </c>
      <c r="K1442" s="2436">
        <v>664408</v>
      </c>
      <c r="L1442" s="2436">
        <v>468994</v>
      </c>
      <c r="M1442" s="2266">
        <v>599</v>
      </c>
    </row>
    <row r="1443" spans="1:13" ht="15">
      <c r="A1443" s="2266" t="s">
        <v>4260</v>
      </c>
      <c r="B1443" s="1694" t="str">
        <f>CONCATENATE(LEFT(RIGHT(CONCATENATE("000",IFAData_TEA!A1443),6),3),"-",(RIGHT(RIGHT(CONCATENATE("000",IFAData_TEA!A1443),6),3)))</f>
        <v>152-907</v>
      </c>
      <c r="C1443" s="2266" t="s">
        <v>2627</v>
      </c>
      <c r="D1443" s="2266">
        <v>2</v>
      </c>
      <c r="E1443" s="2266">
        <v>1826</v>
      </c>
      <c r="F1443" s="2266" t="s">
        <v>5881</v>
      </c>
      <c r="G1443" s="2266" t="s">
        <v>5882</v>
      </c>
      <c r="H1443" s="2436">
        <v>596622</v>
      </c>
      <c r="I1443" s="2436">
        <v>570992</v>
      </c>
      <c r="J1443" s="2446">
        <v>1</v>
      </c>
      <c r="K1443" s="2436">
        <v>596622</v>
      </c>
      <c r="L1443" s="2436">
        <v>570992</v>
      </c>
      <c r="M1443" s="2266">
        <v>599</v>
      </c>
    </row>
    <row r="1444" spans="1:13" ht="15">
      <c r="A1444" s="2266" t="s">
        <v>4260</v>
      </c>
      <c r="B1444" s="1694" t="str">
        <f>CONCATENATE(LEFT(RIGHT(CONCATENATE("000",IFAData_TEA!A1444),6),3),"-",(RIGHT(RIGHT(CONCATENATE("000",IFAData_TEA!A1444),6),3)))</f>
        <v>152-907</v>
      </c>
      <c r="C1444" s="2266" t="s">
        <v>2627</v>
      </c>
      <c r="D1444" s="2266">
        <v>1</v>
      </c>
      <c r="E1444" s="2266">
        <v>1825</v>
      </c>
      <c r="F1444" s="2266" t="s">
        <v>5879</v>
      </c>
      <c r="G1444" s="2266" t="s">
        <v>5879</v>
      </c>
      <c r="H1444" s="2436">
        <v>125335</v>
      </c>
      <c r="I1444" s="2436">
        <v>0</v>
      </c>
      <c r="J1444" s="2446">
        <v>0</v>
      </c>
      <c r="K1444" s="2436">
        <v>0</v>
      </c>
      <c r="L1444" s="2436">
        <v>0</v>
      </c>
      <c r="M1444" s="2266">
        <v>599</v>
      </c>
    </row>
    <row r="1445" spans="1:13" ht="15">
      <c r="A1445" s="2266" t="s">
        <v>4260</v>
      </c>
      <c r="B1445" s="1694" t="str">
        <f>CONCATENATE(LEFT(RIGHT(CONCATENATE("000",IFAData_TEA!A1445),6),3),"-",(RIGHT(RIGHT(CONCATENATE("000",IFAData_TEA!A1445),6),3)))</f>
        <v>152-907</v>
      </c>
      <c r="C1445" s="2266" t="s">
        <v>2627</v>
      </c>
      <c r="D1445" s="2266">
        <v>9</v>
      </c>
      <c r="E1445" s="2266">
        <v>1828</v>
      </c>
      <c r="F1445" s="2266" t="s">
        <v>5883</v>
      </c>
      <c r="G1445" s="2266" t="s">
        <v>5883</v>
      </c>
      <c r="H1445" s="2436">
        <v>1482602</v>
      </c>
      <c r="I1445" s="2436">
        <v>1733620</v>
      </c>
      <c r="J1445" s="2446">
        <v>0.40460038587826513</v>
      </c>
      <c r="K1445" s="2436">
        <v>599861.34130388766</v>
      </c>
      <c r="L1445" s="2436">
        <v>599861.34130388766</v>
      </c>
      <c r="M1445" s="2266">
        <v>599</v>
      </c>
    </row>
    <row r="1446" spans="1:13" ht="15">
      <c r="A1446" s="2266" t="s">
        <v>4261</v>
      </c>
      <c r="B1446" s="1694" t="str">
        <f>CONCATENATE(LEFT(RIGHT(CONCATENATE("000",IFAData_TEA!A1446),6),3),"-",(RIGHT(RIGHT(CONCATENATE("000",IFAData_TEA!A1446),6),3)))</f>
        <v>152-909</v>
      </c>
      <c r="C1446" s="2266" t="s">
        <v>1417</v>
      </c>
      <c r="D1446" s="2266">
        <v>5</v>
      </c>
      <c r="E1446" s="2266">
        <v>2326</v>
      </c>
      <c r="F1446" s="2266" t="s">
        <v>5888</v>
      </c>
      <c r="G1446" s="2266" t="s">
        <v>5888</v>
      </c>
      <c r="H1446" s="2436">
        <v>289979</v>
      </c>
      <c r="I1446" s="2436">
        <v>0</v>
      </c>
      <c r="J1446" s="2446">
        <v>0</v>
      </c>
      <c r="K1446" s="2436">
        <v>0</v>
      </c>
      <c r="L1446" s="2436">
        <v>0</v>
      </c>
      <c r="M1446" s="2266">
        <v>599</v>
      </c>
    </row>
    <row r="1447" spans="1:13" ht="15">
      <c r="A1447" s="2266" t="s">
        <v>4261</v>
      </c>
      <c r="B1447" s="1694" t="str">
        <f>CONCATENATE(LEFT(RIGHT(CONCATENATE("000",IFAData_TEA!A1447),6),3),"-",(RIGHT(RIGHT(CONCATENATE("000",IFAData_TEA!A1447),6),3)))</f>
        <v>152-909</v>
      </c>
      <c r="C1447" s="2266" t="s">
        <v>1417</v>
      </c>
      <c r="D1447" s="2266">
        <v>2</v>
      </c>
      <c r="E1447" s="2266">
        <v>2325</v>
      </c>
      <c r="F1447" s="2266" t="s">
        <v>5885</v>
      </c>
      <c r="G1447" s="2266" t="s">
        <v>5885</v>
      </c>
      <c r="H1447" s="2436">
        <v>281008</v>
      </c>
      <c r="I1447" s="2436">
        <v>0</v>
      </c>
      <c r="J1447" s="2446">
        <v>0</v>
      </c>
      <c r="K1447" s="2436">
        <v>0</v>
      </c>
      <c r="L1447" s="2436">
        <v>0</v>
      </c>
      <c r="M1447" s="2266">
        <v>599</v>
      </c>
    </row>
    <row r="1448" spans="1:13" ht="15">
      <c r="A1448" s="2266" t="s">
        <v>4261</v>
      </c>
      <c r="B1448" s="1694" t="str">
        <f>CONCATENATE(LEFT(RIGHT(CONCATENATE("000",IFAData_TEA!A1448),6),3),"-",(RIGHT(RIGHT(CONCATENATE("000",IFAData_TEA!A1448),6),3)))</f>
        <v>152-909</v>
      </c>
      <c r="C1448" s="2266" t="s">
        <v>1417</v>
      </c>
      <c r="D1448" s="2266">
        <v>2</v>
      </c>
      <c r="E1448" s="2266">
        <v>2325</v>
      </c>
      <c r="F1448" s="2266" t="s">
        <v>5885</v>
      </c>
      <c r="G1448" s="2266" t="s">
        <v>5887</v>
      </c>
      <c r="H1448" s="2436">
        <v>281008</v>
      </c>
      <c r="I1448" s="2436">
        <v>51571</v>
      </c>
      <c r="J1448" s="2446">
        <v>0.20208943175450353</v>
      </c>
      <c r="K1448" s="2436">
        <v>56788.747038469526</v>
      </c>
      <c r="L1448" s="2436">
        <v>51571</v>
      </c>
      <c r="M1448" s="2266">
        <v>599</v>
      </c>
    </row>
    <row r="1449" spans="1:13" ht="15">
      <c r="A1449" s="2266" t="s">
        <v>4261</v>
      </c>
      <c r="B1449" s="1694" t="str">
        <f>CONCATENATE(LEFT(RIGHT(CONCATENATE("000",IFAData_TEA!A1449),6),3),"-",(RIGHT(RIGHT(CONCATENATE("000",IFAData_TEA!A1449),6),3)))</f>
        <v>152-909</v>
      </c>
      <c r="C1449" s="2266" t="s">
        <v>1417</v>
      </c>
      <c r="D1449" s="2266">
        <v>5</v>
      </c>
      <c r="E1449" s="2266">
        <v>2326</v>
      </c>
      <c r="F1449" s="2266" t="s">
        <v>5888</v>
      </c>
      <c r="G1449" s="2266" t="s">
        <v>5887</v>
      </c>
      <c r="H1449" s="2436">
        <v>289979</v>
      </c>
      <c r="I1449" s="2436">
        <v>83718</v>
      </c>
      <c r="J1449" s="2446">
        <v>0.26777592262076111</v>
      </c>
      <c r="K1449" s="2436">
        <v>77649.394265645678</v>
      </c>
      <c r="L1449" s="2436">
        <v>77649.394265645678</v>
      </c>
      <c r="M1449" s="2266">
        <v>599</v>
      </c>
    </row>
    <row r="1450" spans="1:13" ht="15">
      <c r="A1450" s="2266" t="s">
        <v>4261</v>
      </c>
      <c r="B1450" s="1694" t="str">
        <f>CONCATENATE(LEFT(RIGHT(CONCATENATE("000",IFAData_TEA!A1450),6),3),"-",(RIGHT(RIGHT(CONCATENATE("000",IFAData_TEA!A1450),6),3)))</f>
        <v>152-909</v>
      </c>
      <c r="C1450" s="2266" t="s">
        <v>1417</v>
      </c>
      <c r="D1450" s="2266">
        <v>2</v>
      </c>
      <c r="E1450" s="2266">
        <v>2325</v>
      </c>
      <c r="F1450" s="2266" t="s">
        <v>5885</v>
      </c>
      <c r="G1450" s="2266" t="s">
        <v>5886</v>
      </c>
      <c r="H1450" s="2436">
        <v>281008</v>
      </c>
      <c r="I1450" s="2436">
        <v>203618</v>
      </c>
      <c r="J1450" s="2446">
        <v>0.79791056824549644</v>
      </c>
      <c r="K1450" s="2436">
        <v>224219.25296153047</v>
      </c>
      <c r="L1450" s="2436">
        <v>203618</v>
      </c>
      <c r="M1450" s="2266">
        <v>599</v>
      </c>
    </row>
    <row r="1451" spans="1:13" ht="15">
      <c r="A1451" s="2266" t="s">
        <v>4261</v>
      </c>
      <c r="B1451" s="1694" t="str">
        <f>CONCATENATE(LEFT(RIGHT(CONCATENATE("000",IFAData_TEA!A1451),6),3),"-",(RIGHT(RIGHT(CONCATENATE("000",IFAData_TEA!A1451),6),3)))</f>
        <v>152-909</v>
      </c>
      <c r="C1451" s="2266" t="s">
        <v>1417</v>
      </c>
      <c r="D1451" s="2266">
        <v>5</v>
      </c>
      <c r="E1451" s="2266">
        <v>2326</v>
      </c>
      <c r="F1451" s="2266" t="s">
        <v>5888</v>
      </c>
      <c r="G1451" s="2266" t="s">
        <v>5886</v>
      </c>
      <c r="H1451" s="2436">
        <v>289979</v>
      </c>
      <c r="I1451" s="2436">
        <v>228924</v>
      </c>
      <c r="J1451" s="2446">
        <v>0.73222407737923889</v>
      </c>
      <c r="K1451" s="2436">
        <v>212329.60573435432</v>
      </c>
      <c r="L1451" s="2436">
        <v>212329.60573435432</v>
      </c>
      <c r="M1451" s="2266">
        <v>599</v>
      </c>
    </row>
    <row r="1452" spans="1:13" ht="15">
      <c r="A1452" s="2266" t="s">
        <v>4262</v>
      </c>
      <c r="B1452" s="1694" t="str">
        <f>CONCATENATE(LEFT(RIGHT(CONCATENATE("000",IFAData_TEA!A1452),6),3),"-",(RIGHT(RIGHT(CONCATENATE("000",IFAData_TEA!A1452),6),3)))</f>
        <v>152-910</v>
      </c>
      <c r="C1452" s="2266" t="s">
        <v>604</v>
      </c>
      <c r="D1452" s="2266">
        <v>10</v>
      </c>
      <c r="E1452" s="2266">
        <v>1923</v>
      </c>
      <c r="F1452" s="2266" t="s">
        <v>5889</v>
      </c>
      <c r="G1452" s="2266" t="s">
        <v>5889</v>
      </c>
      <c r="H1452" s="2436">
        <v>220668</v>
      </c>
      <c r="I1452" s="2436">
        <v>834637</v>
      </c>
      <c r="J1452" s="2446">
        <v>1</v>
      </c>
      <c r="K1452" s="2436">
        <v>220668</v>
      </c>
      <c r="L1452" s="2436">
        <v>220668</v>
      </c>
      <c r="M1452" s="2266">
        <v>599</v>
      </c>
    </row>
    <row r="1453" spans="1:13" ht="15">
      <c r="A1453" s="2266" t="s">
        <v>4263</v>
      </c>
      <c r="B1453" s="1694" t="str">
        <f>CONCATENATE(LEFT(RIGHT(CONCATENATE("000",IFAData_TEA!A1453),6),3),"-",(RIGHT(RIGHT(CONCATENATE("000",IFAData_TEA!A1453),6),3)))</f>
        <v>154-901</v>
      </c>
      <c r="C1453" s="2266" t="s">
        <v>44</v>
      </c>
      <c r="D1453" s="2266">
        <v>6</v>
      </c>
      <c r="E1453" s="2266">
        <v>2050</v>
      </c>
      <c r="F1453" s="2266" t="s">
        <v>5892</v>
      </c>
      <c r="G1453" s="2266" t="s">
        <v>5893</v>
      </c>
      <c r="H1453" s="2436">
        <v>471900</v>
      </c>
      <c r="I1453" s="2436">
        <v>435380</v>
      </c>
      <c r="J1453" s="2446">
        <v>1</v>
      </c>
      <c r="K1453" s="2436">
        <v>471900</v>
      </c>
      <c r="L1453" s="2436">
        <v>435380</v>
      </c>
      <c r="M1453" s="2266">
        <v>599</v>
      </c>
    </row>
    <row r="1454" spans="1:13" ht="15">
      <c r="A1454" s="2266" t="s">
        <v>4263</v>
      </c>
      <c r="B1454" s="1694" t="str">
        <f>CONCATENATE(LEFT(RIGHT(CONCATENATE("000",IFAData_TEA!A1454),6),3),"-",(RIGHT(RIGHT(CONCATENATE("000",IFAData_TEA!A1454),6),3)))</f>
        <v>154-901</v>
      </c>
      <c r="C1454" s="2266" t="s">
        <v>44</v>
      </c>
      <c r="D1454" s="2266">
        <v>6</v>
      </c>
      <c r="E1454" s="2266">
        <v>2050</v>
      </c>
      <c r="F1454" s="2266" t="s">
        <v>5892</v>
      </c>
      <c r="G1454" s="2266" t="s">
        <v>5892</v>
      </c>
      <c r="H1454" s="2436">
        <v>471900</v>
      </c>
      <c r="I1454" s="2436">
        <v>0</v>
      </c>
      <c r="J1454" s="2446">
        <v>0</v>
      </c>
      <c r="K1454" s="2436">
        <v>0</v>
      </c>
      <c r="L1454" s="2436">
        <v>0</v>
      </c>
      <c r="M1454" s="2266">
        <v>599</v>
      </c>
    </row>
    <row r="1455" spans="1:13" ht="15">
      <c r="A1455" s="2266" t="s">
        <v>4263</v>
      </c>
      <c r="B1455" s="1694" t="str">
        <f>CONCATENATE(LEFT(RIGHT(CONCATENATE("000",IFAData_TEA!A1455),6),3),"-",(RIGHT(RIGHT(CONCATENATE("000",IFAData_TEA!A1455),6),3)))</f>
        <v>154-901</v>
      </c>
      <c r="C1455" s="2266" t="s">
        <v>44</v>
      </c>
      <c r="D1455" s="2266">
        <v>3</v>
      </c>
      <c r="E1455" s="2266">
        <v>2049</v>
      </c>
      <c r="F1455" s="2266" t="s">
        <v>5890</v>
      </c>
      <c r="G1455" s="2266" t="s">
        <v>5891</v>
      </c>
      <c r="H1455" s="2436">
        <v>471642</v>
      </c>
      <c r="I1455" s="2436">
        <v>722181</v>
      </c>
      <c r="J1455" s="2446">
        <v>1</v>
      </c>
      <c r="K1455" s="2436">
        <v>471642</v>
      </c>
      <c r="L1455" s="2436">
        <v>471642</v>
      </c>
      <c r="M1455" s="2266">
        <v>599</v>
      </c>
    </row>
    <row r="1456" spans="1:13" ht="15">
      <c r="A1456" s="2266" t="s">
        <v>4263</v>
      </c>
      <c r="B1456" s="1694" t="str">
        <f>CONCATENATE(LEFT(RIGHT(CONCATENATE("000",IFAData_TEA!A1456),6),3),"-",(RIGHT(RIGHT(CONCATENATE("000",IFAData_TEA!A1456),6),3)))</f>
        <v>154-901</v>
      </c>
      <c r="C1456" s="2266" t="s">
        <v>44</v>
      </c>
      <c r="D1456" s="2266">
        <v>3</v>
      </c>
      <c r="E1456" s="2266">
        <v>2049</v>
      </c>
      <c r="F1456" s="2266" t="s">
        <v>5890</v>
      </c>
      <c r="G1456" s="2266" t="s">
        <v>5890</v>
      </c>
      <c r="H1456" s="2436">
        <v>471642</v>
      </c>
      <c r="I1456" s="2436">
        <v>0</v>
      </c>
      <c r="J1456" s="2446">
        <v>0</v>
      </c>
      <c r="K1456" s="2436">
        <v>0</v>
      </c>
      <c r="L1456" s="2436">
        <v>0</v>
      </c>
      <c r="M1456" s="2266">
        <v>599</v>
      </c>
    </row>
    <row r="1457" spans="1:13" ht="15">
      <c r="A1457" s="2266" t="s">
        <v>4264</v>
      </c>
      <c r="B1457" s="1694" t="str">
        <f>CONCATENATE(LEFT(RIGHT(CONCATENATE("000",IFAData_TEA!A1457),6),3),"-",(RIGHT(RIGHT(CONCATENATE("000",IFAData_TEA!A1457),6),3)))</f>
        <v>154-903</v>
      </c>
      <c r="C1457" s="2266" t="s">
        <v>609</v>
      </c>
      <c r="D1457" s="2266">
        <v>9</v>
      </c>
      <c r="E1457" s="2266">
        <v>2150</v>
      </c>
      <c r="F1457" s="2266" t="s">
        <v>5894</v>
      </c>
      <c r="G1457" s="2266" t="s">
        <v>5894</v>
      </c>
      <c r="H1457" s="2436">
        <v>100000</v>
      </c>
      <c r="I1457" s="2436">
        <v>183094</v>
      </c>
      <c r="J1457" s="2446">
        <v>0.51507291713552683</v>
      </c>
      <c r="K1457" s="2436">
        <v>51507.29171355268</v>
      </c>
      <c r="L1457" s="2436">
        <v>51507.29171355268</v>
      </c>
      <c r="M1457" s="2266">
        <v>599</v>
      </c>
    </row>
    <row r="1458" spans="1:13" ht="15">
      <c r="A1458" s="2266" t="s">
        <v>4264</v>
      </c>
      <c r="B1458" s="1694" t="str">
        <f>CONCATENATE(LEFT(RIGHT(CONCATENATE("000",IFAData_TEA!A1458),6),3),"-",(RIGHT(RIGHT(CONCATENATE("000",IFAData_TEA!A1458),6),3)))</f>
        <v>154-903</v>
      </c>
      <c r="C1458" s="2266" t="s">
        <v>609</v>
      </c>
      <c r="D1458" s="2266">
        <v>9</v>
      </c>
      <c r="E1458" s="2266">
        <v>2150</v>
      </c>
      <c r="F1458" s="2266" t="s">
        <v>5894</v>
      </c>
      <c r="G1458" s="2266" t="s">
        <v>5895</v>
      </c>
      <c r="H1458" s="2436">
        <v>100000</v>
      </c>
      <c r="I1458" s="2436">
        <v>172378</v>
      </c>
      <c r="J1458" s="2446">
        <v>0.48492708286447317</v>
      </c>
      <c r="K1458" s="2436">
        <v>48492.70828644732</v>
      </c>
      <c r="L1458" s="2436">
        <v>48492.70828644732</v>
      </c>
      <c r="M1458" s="2266">
        <v>599</v>
      </c>
    </row>
    <row r="1459" spans="1:13" ht="15">
      <c r="A1459" s="2266" t="s">
        <v>4265</v>
      </c>
      <c r="B1459" s="1694" t="str">
        <f>CONCATENATE(LEFT(RIGHT(CONCATENATE("000",IFAData_TEA!A1459),6),3),"-",(RIGHT(RIGHT(CONCATENATE("000",IFAData_TEA!A1459),6),3)))</f>
        <v>159-901</v>
      </c>
      <c r="C1459" s="2266" t="s">
        <v>1213</v>
      </c>
      <c r="D1459" s="2266">
        <v>1</v>
      </c>
      <c r="E1459" s="2266">
        <v>1774</v>
      </c>
      <c r="F1459" s="2266" t="s">
        <v>5896</v>
      </c>
      <c r="G1459" s="2266" t="s">
        <v>7016</v>
      </c>
      <c r="H1459" s="2436">
        <v>1514140</v>
      </c>
      <c r="I1459" s="2436">
        <v>93630</v>
      </c>
      <c r="J1459" s="2446">
        <v>6.3986386747580781E-2</v>
      </c>
      <c r="K1459" s="2436">
        <v>96884.347629981959</v>
      </c>
      <c r="L1459" s="2436">
        <v>93630</v>
      </c>
      <c r="M1459" s="2266">
        <v>599</v>
      </c>
    </row>
    <row r="1460" spans="1:13" ht="15">
      <c r="A1460" s="2266" t="s">
        <v>4265</v>
      </c>
      <c r="B1460" s="1694" t="str">
        <f>CONCATENATE(LEFT(RIGHT(CONCATENATE("000",IFAData_TEA!A1460),6),3),"-",(RIGHT(RIGHT(CONCATENATE("000",IFAData_TEA!A1460),6),3)))</f>
        <v>159-901</v>
      </c>
      <c r="C1460" s="2266" t="s">
        <v>1213</v>
      </c>
      <c r="D1460" s="2266">
        <v>1</v>
      </c>
      <c r="E1460" s="2266">
        <v>1774</v>
      </c>
      <c r="F1460" s="2266" t="s">
        <v>5896</v>
      </c>
      <c r="G1460" s="2266" t="s">
        <v>5896</v>
      </c>
      <c r="H1460" s="2436">
        <v>1514140</v>
      </c>
      <c r="I1460" s="2436">
        <v>0</v>
      </c>
      <c r="J1460" s="2446">
        <v>0</v>
      </c>
      <c r="K1460" s="2436">
        <v>0</v>
      </c>
      <c r="L1460" s="2436">
        <v>0</v>
      </c>
      <c r="M1460" s="2266">
        <v>599</v>
      </c>
    </row>
    <row r="1461" spans="1:13" ht="15">
      <c r="A1461" s="2266" t="s">
        <v>4265</v>
      </c>
      <c r="B1461" s="1694" t="str">
        <f>CONCATENATE(LEFT(RIGHT(CONCATENATE("000",IFAData_TEA!A1461),6),3),"-",(RIGHT(RIGHT(CONCATENATE("000",IFAData_TEA!A1461),6),3)))</f>
        <v>159-901</v>
      </c>
      <c r="C1461" s="2266" t="s">
        <v>1213</v>
      </c>
      <c r="D1461" s="2266">
        <v>4</v>
      </c>
      <c r="E1461" s="2266">
        <v>1773</v>
      </c>
      <c r="F1461" s="2266" t="s">
        <v>5898</v>
      </c>
      <c r="G1461" s="2266" t="s">
        <v>5897</v>
      </c>
      <c r="H1461" s="2436">
        <v>1415215</v>
      </c>
      <c r="I1461" s="2436">
        <v>1385500</v>
      </c>
      <c r="J1461" s="2446">
        <v>0.92525069585797548</v>
      </c>
      <c r="K1461" s="2436">
        <v>1309428.6635386448</v>
      </c>
      <c r="L1461" s="2436">
        <v>1309428.6635386448</v>
      </c>
      <c r="M1461" s="2266">
        <v>599</v>
      </c>
    </row>
    <row r="1462" spans="1:13" ht="15">
      <c r="A1462" s="2266" t="s">
        <v>4265</v>
      </c>
      <c r="B1462" s="1694" t="str">
        <f>CONCATENATE(LEFT(RIGHT(CONCATENATE("000",IFAData_TEA!A1462),6),3),"-",(RIGHT(RIGHT(CONCATENATE("000",IFAData_TEA!A1462),6),3)))</f>
        <v>159-901</v>
      </c>
      <c r="C1462" s="2266" t="s">
        <v>1213</v>
      </c>
      <c r="D1462" s="2266">
        <v>1</v>
      </c>
      <c r="E1462" s="2266">
        <v>1774</v>
      </c>
      <c r="F1462" s="2266" t="s">
        <v>5896</v>
      </c>
      <c r="G1462" s="2266" t="s">
        <v>5897</v>
      </c>
      <c r="H1462" s="2436">
        <v>1514140</v>
      </c>
      <c r="I1462" s="2436">
        <v>1369650</v>
      </c>
      <c r="J1462" s="2446">
        <v>0.93601361325241927</v>
      </c>
      <c r="K1462" s="2436">
        <v>1417255.6523700182</v>
      </c>
      <c r="L1462" s="2436">
        <v>1369650</v>
      </c>
      <c r="M1462" s="2266">
        <v>599</v>
      </c>
    </row>
    <row r="1463" spans="1:13" ht="15">
      <c r="A1463" s="2266" t="s">
        <v>4265</v>
      </c>
      <c r="B1463" s="1694" t="str">
        <f>CONCATENATE(LEFT(RIGHT(CONCATENATE("000",IFAData_TEA!A1463),6),3),"-",(RIGHT(RIGHT(CONCATENATE("000",IFAData_TEA!A1463),6),3)))</f>
        <v>159-901</v>
      </c>
      <c r="C1463" s="2266" t="s">
        <v>1213</v>
      </c>
      <c r="D1463" s="2266">
        <v>4</v>
      </c>
      <c r="E1463" s="2266">
        <v>1773</v>
      </c>
      <c r="F1463" s="2266" t="s">
        <v>5898</v>
      </c>
      <c r="G1463" s="2266" t="s">
        <v>5898</v>
      </c>
      <c r="H1463" s="2436">
        <v>1415215</v>
      </c>
      <c r="I1463" s="2436">
        <v>0</v>
      </c>
      <c r="J1463" s="2446">
        <v>0</v>
      </c>
      <c r="K1463" s="2436">
        <v>0</v>
      </c>
      <c r="L1463" s="2436">
        <v>0</v>
      </c>
      <c r="M1463" s="2266">
        <v>599</v>
      </c>
    </row>
    <row r="1464" spans="1:13" ht="15">
      <c r="A1464" s="2266" t="s">
        <v>4265</v>
      </c>
      <c r="B1464" s="1694" t="str">
        <f>CONCATENATE(LEFT(RIGHT(CONCATENATE("000",IFAData_TEA!A1464),6),3),"-",(RIGHT(RIGHT(CONCATENATE("000",IFAData_TEA!A1464),6),3)))</f>
        <v>159-901</v>
      </c>
      <c r="C1464" s="2266" t="s">
        <v>1213</v>
      </c>
      <c r="D1464" s="2266">
        <v>9</v>
      </c>
      <c r="E1464" s="2266">
        <v>1775</v>
      </c>
      <c r="F1464" s="2266" t="s">
        <v>5899</v>
      </c>
      <c r="G1464" s="2266" t="s">
        <v>5899</v>
      </c>
      <c r="H1464" s="2436">
        <v>1955528</v>
      </c>
      <c r="I1464" s="2436">
        <v>1948744</v>
      </c>
      <c r="J1464" s="2446">
        <v>1</v>
      </c>
      <c r="K1464" s="2436">
        <v>1955528</v>
      </c>
      <c r="L1464" s="2436">
        <v>1948744</v>
      </c>
      <c r="M1464" s="2266">
        <v>599</v>
      </c>
    </row>
    <row r="1465" spans="1:13" ht="15">
      <c r="A1465" s="2266" t="s">
        <v>4265</v>
      </c>
      <c r="B1465" s="1694" t="str">
        <f>CONCATENATE(LEFT(RIGHT(CONCATENATE("000",IFAData_TEA!A1465),6),3),"-",(RIGHT(RIGHT(CONCATENATE("000",IFAData_TEA!A1465),6),3)))</f>
        <v>159-901</v>
      </c>
      <c r="C1465" s="2266" t="s">
        <v>1213</v>
      </c>
      <c r="D1465" s="2266">
        <v>4</v>
      </c>
      <c r="E1465" s="2266">
        <v>1773</v>
      </c>
      <c r="F1465" s="2266" t="s">
        <v>5898</v>
      </c>
      <c r="G1465" s="2266" t="s">
        <v>7016</v>
      </c>
      <c r="H1465" s="2436">
        <v>1415215</v>
      </c>
      <c r="I1465" s="2436">
        <v>111932</v>
      </c>
      <c r="J1465" s="2446">
        <v>7.4749304142024478E-2</v>
      </c>
      <c r="K1465" s="2436">
        <v>105786.33646135517</v>
      </c>
      <c r="L1465" s="2436">
        <v>105786.33646135517</v>
      </c>
      <c r="M1465" s="2266">
        <v>599</v>
      </c>
    </row>
    <row r="1466" spans="1:13" ht="15">
      <c r="A1466" s="2266" t="s">
        <v>4266</v>
      </c>
      <c r="B1466" s="1694" t="str">
        <f>CONCATENATE(LEFT(RIGHT(CONCATENATE("000",IFAData_TEA!A1466),6),3),"-",(RIGHT(RIGHT(CONCATENATE("000",IFAData_TEA!A1466),6),3)))</f>
        <v>160-901</v>
      </c>
      <c r="C1466" s="2266" t="s">
        <v>2120</v>
      </c>
      <c r="D1466" s="2266">
        <v>2</v>
      </c>
      <c r="E1466" s="2266">
        <v>1632</v>
      </c>
      <c r="F1466" s="2266" t="s">
        <v>5900</v>
      </c>
      <c r="G1466" s="2266" t="s">
        <v>5900</v>
      </c>
      <c r="H1466" s="2436">
        <v>348110</v>
      </c>
      <c r="I1466" s="2436">
        <v>0</v>
      </c>
      <c r="J1466" s="2446">
        <v>0</v>
      </c>
      <c r="K1466" s="2436">
        <v>0</v>
      </c>
      <c r="L1466" s="2436">
        <v>0</v>
      </c>
      <c r="M1466" s="2266">
        <v>599</v>
      </c>
    </row>
    <row r="1467" spans="1:13" ht="15">
      <c r="A1467" s="2266" t="s">
        <v>4266</v>
      </c>
      <c r="B1467" s="1694" t="str">
        <f>CONCATENATE(LEFT(RIGHT(CONCATENATE("000",IFAData_TEA!A1467),6),3),"-",(RIGHT(RIGHT(CONCATENATE("000",IFAData_TEA!A1467),6),3)))</f>
        <v>160-901</v>
      </c>
      <c r="C1467" s="2266" t="s">
        <v>2120</v>
      </c>
      <c r="D1467" s="2266">
        <v>2</v>
      </c>
      <c r="E1467" s="2266">
        <v>1632</v>
      </c>
      <c r="F1467" s="2266" t="s">
        <v>5900</v>
      </c>
      <c r="G1467" s="2266" t="s">
        <v>5902</v>
      </c>
      <c r="H1467" s="2436">
        <v>348110</v>
      </c>
      <c r="I1467" s="2436">
        <v>60770</v>
      </c>
      <c r="J1467" s="2446">
        <v>9.4700983631082244E-2</v>
      </c>
      <c r="K1467" s="2436">
        <v>32966.35941181604</v>
      </c>
      <c r="L1467" s="2436">
        <v>32966.35941181604</v>
      </c>
      <c r="M1467" s="2266">
        <v>599</v>
      </c>
    </row>
    <row r="1468" spans="1:13" ht="15">
      <c r="A1468" s="2266" t="s">
        <v>4266</v>
      </c>
      <c r="B1468" s="1694" t="str">
        <f>CONCATENATE(LEFT(RIGHT(CONCATENATE("000",IFAData_TEA!A1468),6),3),"-",(RIGHT(RIGHT(CONCATENATE("000",IFAData_TEA!A1468),6),3)))</f>
        <v>160-901</v>
      </c>
      <c r="C1468" s="2266" t="s">
        <v>2120</v>
      </c>
      <c r="D1468" s="2266">
        <v>2</v>
      </c>
      <c r="E1468" s="2266">
        <v>1632</v>
      </c>
      <c r="F1468" s="2266" t="s">
        <v>5900</v>
      </c>
      <c r="G1468" s="2266" t="s">
        <v>5901</v>
      </c>
      <c r="H1468" s="2436">
        <v>348110</v>
      </c>
      <c r="I1468" s="2436">
        <v>433970</v>
      </c>
      <c r="J1468" s="2446">
        <v>0.67627753606023966</v>
      </c>
      <c r="K1468" s="2436">
        <v>235418.97307793002</v>
      </c>
      <c r="L1468" s="2436">
        <v>235418.97307793002</v>
      </c>
      <c r="M1468" s="2266">
        <v>599</v>
      </c>
    </row>
    <row r="1469" spans="1:13" ht="15">
      <c r="A1469" s="2266" t="s">
        <v>4266</v>
      </c>
      <c r="B1469" s="1694" t="str">
        <f>CONCATENATE(LEFT(RIGHT(CONCATENATE("000",IFAData_TEA!A1469),6),3),"-",(RIGHT(RIGHT(CONCATENATE("000",IFAData_TEA!A1469),6),3)))</f>
        <v>160-901</v>
      </c>
      <c r="C1469" s="2266" t="s">
        <v>2120</v>
      </c>
      <c r="D1469" s="2266">
        <v>2</v>
      </c>
      <c r="E1469" s="2266">
        <v>1632</v>
      </c>
      <c r="F1469" s="2266" t="s">
        <v>5900</v>
      </c>
      <c r="G1469" s="2266" t="s">
        <v>5903</v>
      </c>
      <c r="H1469" s="2436">
        <v>348110</v>
      </c>
      <c r="I1469" s="2436">
        <v>146964</v>
      </c>
      <c r="J1469" s="2446">
        <v>0.22902148030867814</v>
      </c>
      <c r="K1469" s="2436">
        <v>79724.667510253945</v>
      </c>
      <c r="L1469" s="2436">
        <v>79724.667510253945</v>
      </c>
      <c r="M1469" s="2266">
        <v>599</v>
      </c>
    </row>
    <row r="1470" spans="1:13" ht="15">
      <c r="A1470" s="2266" t="s">
        <v>4266</v>
      </c>
      <c r="B1470" s="1694" t="str">
        <f>CONCATENATE(LEFT(RIGHT(CONCATENATE("000",IFAData_TEA!A1470),6),3),"-",(RIGHT(RIGHT(CONCATENATE("000",IFAData_TEA!A1470),6),3)))</f>
        <v>160-901</v>
      </c>
      <c r="C1470" s="2266" t="s">
        <v>2120</v>
      </c>
      <c r="D1470" s="2266">
        <v>9</v>
      </c>
      <c r="E1470" s="2266">
        <v>1631</v>
      </c>
      <c r="F1470" s="2266" t="s">
        <v>5904</v>
      </c>
      <c r="G1470" s="2266" t="s">
        <v>5904</v>
      </c>
      <c r="H1470" s="2436">
        <v>309622</v>
      </c>
      <c r="I1470" s="2436">
        <v>843080</v>
      </c>
      <c r="J1470" s="2446">
        <v>0.77337352414797089</v>
      </c>
      <c r="K1470" s="2436">
        <v>239453.45729374303</v>
      </c>
      <c r="L1470" s="2436">
        <v>239453.45729374303</v>
      </c>
      <c r="M1470" s="2266">
        <v>599</v>
      </c>
    </row>
    <row r="1471" spans="1:13" ht="15">
      <c r="A1471" s="2266" t="s">
        <v>4266</v>
      </c>
      <c r="B1471" s="1694" t="str">
        <f>CONCATENATE(LEFT(RIGHT(CONCATENATE("000",IFAData_TEA!A1471),6),3),"-",(RIGHT(RIGHT(CONCATENATE("000",IFAData_TEA!A1471),6),3)))</f>
        <v>160-901</v>
      </c>
      <c r="C1471" s="2266" t="s">
        <v>2120</v>
      </c>
      <c r="D1471" s="2266">
        <v>9</v>
      </c>
      <c r="E1471" s="2266">
        <v>1631</v>
      </c>
      <c r="F1471" s="2266" t="s">
        <v>5904</v>
      </c>
      <c r="G1471" s="2266" t="s">
        <v>7017</v>
      </c>
      <c r="H1471" s="2436">
        <v>309622</v>
      </c>
      <c r="I1471" s="2436">
        <v>247053</v>
      </c>
      <c r="J1471" s="2446">
        <v>0.22662647585202905</v>
      </c>
      <c r="K1471" s="2436">
        <v>70168.542706256936</v>
      </c>
      <c r="L1471" s="2436">
        <v>70168.542706256936</v>
      </c>
      <c r="M1471" s="2266">
        <v>599</v>
      </c>
    </row>
    <row r="1472" spans="1:13" ht="15">
      <c r="A1472" s="2266" t="s">
        <v>4267</v>
      </c>
      <c r="B1472" s="1694" t="str">
        <f>CONCATENATE(LEFT(RIGHT(CONCATENATE("000",IFAData_TEA!A1472),6),3),"-",(RIGHT(RIGHT(CONCATENATE("000",IFAData_TEA!A1472),6),3)))</f>
        <v>160-905</v>
      </c>
      <c r="C1472" s="2266" t="s">
        <v>2547</v>
      </c>
      <c r="D1472" s="2266">
        <v>6</v>
      </c>
      <c r="E1472" s="2266">
        <v>2032</v>
      </c>
      <c r="F1472" s="2266" t="s">
        <v>5905</v>
      </c>
      <c r="G1472" s="2266" t="s">
        <v>5905</v>
      </c>
      <c r="H1472" s="2436">
        <v>100000</v>
      </c>
      <c r="I1472" s="2436">
        <v>93718</v>
      </c>
      <c r="J1472" s="2446">
        <v>1</v>
      </c>
      <c r="K1472" s="2436">
        <v>100000</v>
      </c>
      <c r="L1472" s="2436">
        <v>93718</v>
      </c>
      <c r="M1472" s="2266">
        <v>599</v>
      </c>
    </row>
    <row r="1473" spans="1:13" ht="15">
      <c r="A1473" s="2266" t="s">
        <v>4268</v>
      </c>
      <c r="B1473" s="1694" t="str">
        <f>CONCATENATE(LEFT(RIGHT(CONCATENATE("000",IFAData_TEA!A1473),6),3),"-",(RIGHT(RIGHT(CONCATENATE("000",IFAData_TEA!A1473),6),3)))</f>
        <v>161-901</v>
      </c>
      <c r="C1473" s="2266" t="s">
        <v>457</v>
      </c>
      <c r="D1473" s="2266">
        <v>5</v>
      </c>
      <c r="E1473" s="2266">
        <v>1731</v>
      </c>
      <c r="F1473" s="2266" t="s">
        <v>5906</v>
      </c>
      <c r="G1473" s="2266" t="s">
        <v>7018</v>
      </c>
      <c r="H1473" s="2436">
        <v>257868</v>
      </c>
      <c r="I1473" s="2436">
        <v>103245</v>
      </c>
      <c r="J1473" s="2446">
        <v>0.41991702932443975</v>
      </c>
      <c r="K1473" s="2436">
        <v>108283.16451783462</v>
      </c>
      <c r="L1473" s="2436">
        <v>103245</v>
      </c>
      <c r="M1473" s="2266">
        <v>599</v>
      </c>
    </row>
    <row r="1474" spans="1:13" ht="15">
      <c r="A1474" s="2266" t="s">
        <v>4268</v>
      </c>
      <c r="B1474" s="1694" t="str">
        <f>CONCATENATE(LEFT(RIGHT(CONCATENATE("000",IFAData_TEA!A1474),6),3),"-",(RIGHT(RIGHT(CONCATENATE("000",IFAData_TEA!A1474),6),3)))</f>
        <v>161-901</v>
      </c>
      <c r="C1474" s="2266" t="s">
        <v>457</v>
      </c>
      <c r="D1474" s="2266">
        <v>5</v>
      </c>
      <c r="E1474" s="2266">
        <v>1731</v>
      </c>
      <c r="F1474" s="2266" t="s">
        <v>5906</v>
      </c>
      <c r="G1474" s="2266" t="s">
        <v>5907</v>
      </c>
      <c r="H1474" s="2436">
        <v>257868</v>
      </c>
      <c r="I1474" s="2436">
        <v>142625</v>
      </c>
      <c r="J1474" s="2446">
        <v>0.58008297067556025</v>
      </c>
      <c r="K1474" s="2436">
        <v>149584.83548216536</v>
      </c>
      <c r="L1474" s="2436">
        <v>142625</v>
      </c>
      <c r="M1474" s="2266">
        <v>599</v>
      </c>
    </row>
    <row r="1475" spans="1:13" ht="15">
      <c r="A1475" s="2266" t="s">
        <v>4268</v>
      </c>
      <c r="B1475" s="1694" t="str">
        <f>CONCATENATE(LEFT(RIGHT(CONCATENATE("000",IFAData_TEA!A1475),6),3),"-",(RIGHT(RIGHT(CONCATENATE("000",IFAData_TEA!A1475),6),3)))</f>
        <v>161-901</v>
      </c>
      <c r="C1475" s="2266" t="s">
        <v>457</v>
      </c>
      <c r="D1475" s="2266">
        <v>5</v>
      </c>
      <c r="E1475" s="2266">
        <v>1731</v>
      </c>
      <c r="F1475" s="2266" t="s">
        <v>5906</v>
      </c>
      <c r="G1475" s="2266" t="s">
        <v>5906</v>
      </c>
      <c r="H1475" s="2436">
        <v>257868</v>
      </c>
      <c r="I1475" s="2436">
        <v>0</v>
      </c>
      <c r="J1475" s="2446">
        <v>0</v>
      </c>
      <c r="K1475" s="2436">
        <v>0</v>
      </c>
      <c r="L1475" s="2436">
        <v>0</v>
      </c>
      <c r="M1475" s="2266">
        <v>599</v>
      </c>
    </row>
    <row r="1476" spans="1:13" ht="15">
      <c r="A1476" s="2266" t="s">
        <v>4269</v>
      </c>
      <c r="B1476" s="1694" t="str">
        <f>CONCATENATE(LEFT(RIGHT(CONCATENATE("000",IFAData_TEA!A1476),6),3),"-",(RIGHT(RIGHT(CONCATENATE("000",IFAData_TEA!A1476),6),3)))</f>
        <v>161-906</v>
      </c>
      <c r="C1476" s="2266" t="s">
        <v>2172</v>
      </c>
      <c r="D1476" s="2266">
        <v>5</v>
      </c>
      <c r="E1476" s="2266">
        <v>1988</v>
      </c>
      <c r="F1476" s="2266" t="s">
        <v>5908</v>
      </c>
      <c r="G1476" s="2266" t="s">
        <v>5909</v>
      </c>
      <c r="H1476" s="2436">
        <v>575000</v>
      </c>
      <c r="I1476" s="2436">
        <v>536480</v>
      </c>
      <c r="J1476" s="2446">
        <v>1</v>
      </c>
      <c r="K1476" s="2436">
        <v>575000</v>
      </c>
      <c r="L1476" s="2436">
        <v>536480</v>
      </c>
      <c r="M1476" s="2266">
        <v>599</v>
      </c>
    </row>
    <row r="1477" spans="1:13" ht="15">
      <c r="A1477" s="2266" t="s">
        <v>4269</v>
      </c>
      <c r="B1477" s="1694" t="str">
        <f>CONCATENATE(LEFT(RIGHT(CONCATENATE("000",IFAData_TEA!A1477),6),3),"-",(RIGHT(RIGHT(CONCATENATE("000",IFAData_TEA!A1477),6),3)))</f>
        <v>161-906</v>
      </c>
      <c r="C1477" s="2266" t="s">
        <v>2172</v>
      </c>
      <c r="D1477" s="2266">
        <v>5</v>
      </c>
      <c r="E1477" s="2266">
        <v>1988</v>
      </c>
      <c r="F1477" s="2266" t="s">
        <v>5908</v>
      </c>
      <c r="G1477" s="2266" t="s">
        <v>5908</v>
      </c>
      <c r="H1477" s="2436">
        <v>575000</v>
      </c>
      <c r="I1477" s="2436">
        <v>0</v>
      </c>
      <c r="J1477" s="2446">
        <v>0</v>
      </c>
      <c r="K1477" s="2436">
        <v>0</v>
      </c>
      <c r="L1477" s="2436">
        <v>0</v>
      </c>
      <c r="M1477" s="2266">
        <v>599</v>
      </c>
    </row>
    <row r="1478" spans="1:13" ht="15">
      <c r="A1478" s="2266" t="s">
        <v>4269</v>
      </c>
      <c r="B1478" s="1694" t="str">
        <f>CONCATENATE(LEFT(RIGHT(CONCATENATE("000",IFAData_TEA!A1478),6),3),"-",(RIGHT(RIGHT(CONCATENATE("000",IFAData_TEA!A1478),6),3)))</f>
        <v>161-906</v>
      </c>
      <c r="C1478" s="2266" t="s">
        <v>2172</v>
      </c>
      <c r="D1478" s="2266">
        <v>10</v>
      </c>
      <c r="E1478" s="2266">
        <v>1989</v>
      </c>
      <c r="F1478" s="2266" t="s">
        <v>5910</v>
      </c>
      <c r="G1478" s="2266" t="s">
        <v>5910</v>
      </c>
      <c r="H1478" s="2436">
        <v>634429</v>
      </c>
      <c r="I1478" s="2436">
        <v>1025350</v>
      </c>
      <c r="J1478" s="2446">
        <v>1</v>
      </c>
      <c r="K1478" s="2436">
        <v>634429</v>
      </c>
      <c r="L1478" s="2436">
        <v>634429</v>
      </c>
      <c r="M1478" s="2266">
        <v>599</v>
      </c>
    </row>
    <row r="1479" spans="1:13" ht="15">
      <c r="A1479" s="2266" t="s">
        <v>4270</v>
      </c>
      <c r="B1479" s="1694" t="str">
        <f>CONCATENATE(LEFT(RIGHT(CONCATENATE("000",IFAData_TEA!A1479),6),3),"-",(RIGHT(RIGHT(CONCATENATE("000",IFAData_TEA!A1479),6),3)))</f>
        <v>161-907</v>
      </c>
      <c r="C1479" s="2266" t="s">
        <v>1426</v>
      </c>
      <c r="D1479" s="2266">
        <v>4</v>
      </c>
      <c r="E1479" s="2266">
        <v>2036</v>
      </c>
      <c r="F1479" s="2266" t="s">
        <v>5911</v>
      </c>
      <c r="G1479" s="2266" t="s">
        <v>7019</v>
      </c>
      <c r="H1479" s="2436">
        <v>336827</v>
      </c>
      <c r="I1479" s="2436">
        <v>82323</v>
      </c>
      <c r="J1479" s="2446">
        <v>0.20080494676374813</v>
      </c>
      <c r="K1479" s="2436">
        <v>67636.527803592995</v>
      </c>
      <c r="L1479" s="2436">
        <v>67636.527803592995</v>
      </c>
      <c r="M1479" s="2266">
        <v>599</v>
      </c>
    </row>
    <row r="1480" spans="1:13" ht="15">
      <c r="A1480" s="2266" t="s">
        <v>4270</v>
      </c>
      <c r="B1480" s="1694" t="str">
        <f>CONCATENATE(LEFT(RIGHT(CONCATENATE("000",IFAData_TEA!A1480),6),3),"-",(RIGHT(RIGHT(CONCATENATE("000",IFAData_TEA!A1480),6),3)))</f>
        <v>161-907</v>
      </c>
      <c r="C1480" s="2266" t="s">
        <v>1426</v>
      </c>
      <c r="D1480" s="2266">
        <v>6</v>
      </c>
      <c r="E1480" s="2266">
        <v>2035</v>
      </c>
      <c r="F1480" s="2266" t="s">
        <v>5913</v>
      </c>
      <c r="G1480" s="2266" t="s">
        <v>5914</v>
      </c>
      <c r="H1480" s="2436">
        <v>330640</v>
      </c>
      <c r="I1480" s="2436">
        <v>138100</v>
      </c>
      <c r="J1480" s="2446">
        <v>0.36020762148204177</v>
      </c>
      <c r="K1480" s="2436">
        <v>119099.0479668223</v>
      </c>
      <c r="L1480" s="2436">
        <v>119099.0479668223</v>
      </c>
      <c r="M1480" s="2266">
        <v>599</v>
      </c>
    </row>
    <row r="1481" spans="1:13" ht="15">
      <c r="A1481" s="2266" t="s">
        <v>4270</v>
      </c>
      <c r="B1481" s="1694" t="str">
        <f>CONCATENATE(LEFT(RIGHT(CONCATENATE("000",IFAData_TEA!A1481),6),3),"-",(RIGHT(RIGHT(CONCATENATE("000",IFAData_TEA!A1481),6),3)))</f>
        <v>161-907</v>
      </c>
      <c r="C1481" s="2266" t="s">
        <v>1426</v>
      </c>
      <c r="D1481" s="2266">
        <v>6</v>
      </c>
      <c r="E1481" s="2266">
        <v>2035</v>
      </c>
      <c r="F1481" s="2266" t="s">
        <v>5913</v>
      </c>
      <c r="G1481" s="2266" t="s">
        <v>5915</v>
      </c>
      <c r="H1481" s="2436">
        <v>330640</v>
      </c>
      <c r="I1481" s="2436">
        <v>245290</v>
      </c>
      <c r="J1481" s="2446">
        <v>0.63979237851795823</v>
      </c>
      <c r="K1481" s="2436">
        <v>211540.95203317772</v>
      </c>
      <c r="L1481" s="2436">
        <v>211540.95203317772</v>
      </c>
      <c r="M1481" s="2266">
        <v>599</v>
      </c>
    </row>
    <row r="1482" spans="1:13" ht="15">
      <c r="A1482" s="2266" t="s">
        <v>4270</v>
      </c>
      <c r="B1482" s="1694" t="str">
        <f>CONCATENATE(LEFT(RIGHT(CONCATENATE("000",IFAData_TEA!A1482),6),3),"-",(RIGHT(RIGHT(CONCATENATE("000",IFAData_TEA!A1482),6),3)))</f>
        <v>161-907</v>
      </c>
      <c r="C1482" s="2266" t="s">
        <v>1426</v>
      </c>
      <c r="D1482" s="2266">
        <v>4</v>
      </c>
      <c r="E1482" s="2266">
        <v>2036</v>
      </c>
      <c r="F1482" s="2266" t="s">
        <v>5911</v>
      </c>
      <c r="G1482" s="2266" t="s">
        <v>5911</v>
      </c>
      <c r="H1482" s="2436">
        <v>336827</v>
      </c>
      <c r="I1482" s="2436">
        <v>0</v>
      </c>
      <c r="J1482" s="2446">
        <v>0</v>
      </c>
      <c r="K1482" s="2436">
        <v>0</v>
      </c>
      <c r="L1482" s="2436">
        <v>0</v>
      </c>
      <c r="M1482" s="2266">
        <v>599</v>
      </c>
    </row>
    <row r="1483" spans="1:13" ht="15">
      <c r="A1483" s="2266" t="s">
        <v>4270</v>
      </c>
      <c r="B1483" s="1694" t="str">
        <f>CONCATENATE(LEFT(RIGHT(CONCATENATE("000",IFAData_TEA!A1483),6),3),"-",(RIGHT(RIGHT(CONCATENATE("000",IFAData_TEA!A1483),6),3)))</f>
        <v>161-907</v>
      </c>
      <c r="C1483" s="2266" t="s">
        <v>1426</v>
      </c>
      <c r="D1483" s="2266">
        <v>4</v>
      </c>
      <c r="E1483" s="2266">
        <v>2036</v>
      </c>
      <c r="F1483" s="2266" t="s">
        <v>5911</v>
      </c>
      <c r="G1483" s="2266" t="s">
        <v>5912</v>
      </c>
      <c r="H1483" s="2436">
        <v>336827</v>
      </c>
      <c r="I1483" s="2436">
        <v>327642</v>
      </c>
      <c r="J1483" s="2446">
        <v>0.79919505323625184</v>
      </c>
      <c r="K1483" s="2436">
        <v>269190.47219640698</v>
      </c>
      <c r="L1483" s="2436">
        <v>269190.47219640698</v>
      </c>
      <c r="M1483" s="2266">
        <v>599</v>
      </c>
    </row>
    <row r="1484" spans="1:13" ht="15">
      <c r="A1484" s="2266" t="s">
        <v>4270</v>
      </c>
      <c r="B1484" s="1694" t="str">
        <f>CONCATENATE(LEFT(RIGHT(CONCATENATE("000",IFAData_TEA!A1484),6),3),"-",(RIGHT(RIGHT(CONCATENATE("000",IFAData_TEA!A1484),6),3)))</f>
        <v>161-907</v>
      </c>
      <c r="C1484" s="2266" t="s">
        <v>1426</v>
      </c>
      <c r="D1484" s="2266">
        <v>6</v>
      </c>
      <c r="E1484" s="2266">
        <v>2035</v>
      </c>
      <c r="F1484" s="2266" t="s">
        <v>5913</v>
      </c>
      <c r="G1484" s="2266" t="s">
        <v>5913</v>
      </c>
      <c r="H1484" s="2436">
        <v>330640</v>
      </c>
      <c r="I1484" s="2436">
        <v>0</v>
      </c>
      <c r="J1484" s="2446">
        <v>0</v>
      </c>
      <c r="K1484" s="2436">
        <v>0</v>
      </c>
      <c r="L1484" s="2436">
        <v>0</v>
      </c>
      <c r="M1484" s="2266">
        <v>599</v>
      </c>
    </row>
    <row r="1485" spans="1:13" ht="15">
      <c r="A1485" s="2266" t="s">
        <v>4271</v>
      </c>
      <c r="B1485" s="1694" t="str">
        <f>CONCATENATE(LEFT(RIGHT(CONCATENATE("000",IFAData_TEA!A1485),6),3),"-",(RIGHT(RIGHT(CONCATENATE("000",IFAData_TEA!A1485),6),3)))</f>
        <v>161-908</v>
      </c>
      <c r="C1485" s="2266" t="s">
        <v>2358</v>
      </c>
      <c r="D1485" s="2266">
        <v>2</v>
      </c>
      <c r="E1485" s="2266">
        <v>2069</v>
      </c>
      <c r="F1485" s="2266" t="s">
        <v>5916</v>
      </c>
      <c r="G1485" s="2266" t="s">
        <v>5917</v>
      </c>
      <c r="H1485" s="2436">
        <v>177063</v>
      </c>
      <c r="I1485" s="2436">
        <v>304475</v>
      </c>
      <c r="J1485" s="2446">
        <v>1</v>
      </c>
      <c r="K1485" s="2436">
        <v>177063</v>
      </c>
      <c r="L1485" s="2436">
        <v>177063</v>
      </c>
      <c r="M1485" s="2266">
        <v>599</v>
      </c>
    </row>
    <row r="1486" spans="1:13" ht="15">
      <c r="A1486" s="2266" t="s">
        <v>4271</v>
      </c>
      <c r="B1486" s="1694" t="str">
        <f>CONCATENATE(LEFT(RIGHT(CONCATENATE("000",IFAData_TEA!A1486),6),3),"-",(RIGHT(RIGHT(CONCATENATE("000",IFAData_TEA!A1486),6),3)))</f>
        <v>161-908</v>
      </c>
      <c r="C1486" s="2266" t="s">
        <v>2358</v>
      </c>
      <c r="D1486" s="2266">
        <v>2</v>
      </c>
      <c r="E1486" s="2266">
        <v>2069</v>
      </c>
      <c r="F1486" s="2266" t="s">
        <v>5916</v>
      </c>
      <c r="G1486" s="2266" t="s">
        <v>5916</v>
      </c>
      <c r="H1486" s="2436">
        <v>177063</v>
      </c>
      <c r="I1486" s="2436">
        <v>0</v>
      </c>
      <c r="J1486" s="2446">
        <v>0</v>
      </c>
      <c r="K1486" s="2436">
        <v>0</v>
      </c>
      <c r="L1486" s="2436">
        <v>0</v>
      </c>
      <c r="M1486" s="2266">
        <v>599</v>
      </c>
    </row>
    <row r="1487" spans="1:13" ht="15">
      <c r="A1487" s="2266" t="s">
        <v>4272</v>
      </c>
      <c r="B1487" s="1694" t="str">
        <f>CONCATENATE(LEFT(RIGHT(CONCATENATE("000",IFAData_TEA!A1487),6),3),"-",(RIGHT(RIGHT(CONCATENATE("000",IFAData_TEA!A1487),6),3)))</f>
        <v>161-909</v>
      </c>
      <c r="C1487" s="2266" t="s">
        <v>927</v>
      </c>
      <c r="D1487" s="2266">
        <v>5</v>
      </c>
      <c r="E1487" s="2266">
        <v>2081</v>
      </c>
      <c r="F1487" s="2266" t="s">
        <v>5918</v>
      </c>
      <c r="G1487" s="2266" t="s">
        <v>5918</v>
      </c>
      <c r="H1487" s="2436">
        <v>241790</v>
      </c>
      <c r="I1487" s="2436">
        <v>314365</v>
      </c>
      <c r="J1487" s="2446">
        <v>0.50724813068579711</v>
      </c>
      <c r="K1487" s="2436">
        <v>122647.52551851889</v>
      </c>
      <c r="L1487" s="2436">
        <v>122647.52551851889</v>
      </c>
      <c r="M1487" s="2266">
        <v>599</v>
      </c>
    </row>
    <row r="1488" spans="1:13" ht="15">
      <c r="A1488" s="2266" t="s">
        <v>4272</v>
      </c>
      <c r="B1488" s="1694" t="str">
        <f>CONCATENATE(LEFT(RIGHT(CONCATENATE("000",IFAData_TEA!A1488),6),3),"-",(RIGHT(RIGHT(CONCATENATE("000",IFAData_TEA!A1488),6),3)))</f>
        <v>161-909</v>
      </c>
      <c r="C1488" s="2266" t="s">
        <v>927</v>
      </c>
      <c r="D1488" s="2266">
        <v>5</v>
      </c>
      <c r="E1488" s="2266">
        <v>2081</v>
      </c>
      <c r="F1488" s="2266" t="s">
        <v>5918</v>
      </c>
      <c r="G1488" s="2266" t="s">
        <v>5919</v>
      </c>
      <c r="H1488" s="2436">
        <v>241790</v>
      </c>
      <c r="I1488" s="2436">
        <v>305381</v>
      </c>
      <c r="J1488" s="2446">
        <v>0.49275186931420289</v>
      </c>
      <c r="K1488" s="2436">
        <v>119142.47448148111</v>
      </c>
      <c r="L1488" s="2436">
        <v>119142.47448148111</v>
      </c>
      <c r="M1488" s="2266">
        <v>599</v>
      </c>
    </row>
    <row r="1489" spans="1:13" ht="15">
      <c r="A1489" s="2266" t="s">
        <v>4273</v>
      </c>
      <c r="B1489" s="1694" t="str">
        <f>CONCATENATE(LEFT(RIGHT(CONCATENATE("000",IFAData_TEA!A1489),6),3),"-",(RIGHT(RIGHT(CONCATENATE("000",IFAData_TEA!A1489),6),3)))</f>
        <v>161-910</v>
      </c>
      <c r="C1489" s="2266" t="s">
        <v>1969</v>
      </c>
      <c r="D1489" s="2266">
        <v>10</v>
      </c>
      <c r="E1489" s="2266">
        <v>2119</v>
      </c>
      <c r="F1489" s="2266" t="s">
        <v>5920</v>
      </c>
      <c r="G1489" s="2266" t="s">
        <v>5920</v>
      </c>
      <c r="H1489" s="2436">
        <v>185967</v>
      </c>
      <c r="I1489" s="2436">
        <v>726744</v>
      </c>
      <c r="J1489" s="2446">
        <v>1</v>
      </c>
      <c r="K1489" s="2436">
        <v>185967</v>
      </c>
      <c r="L1489" s="2436">
        <v>185967</v>
      </c>
      <c r="M1489" s="2266">
        <v>599</v>
      </c>
    </row>
    <row r="1490" spans="1:13" ht="15">
      <c r="A1490" s="2266" t="s">
        <v>4274</v>
      </c>
      <c r="B1490" s="1694" t="str">
        <f>CONCATENATE(LEFT(RIGHT(CONCATENATE("000",IFAData_TEA!A1490),6),3),"-",(RIGHT(RIGHT(CONCATENATE("000",IFAData_TEA!A1490),6),3)))</f>
        <v>161-912</v>
      </c>
      <c r="C1490" s="2266" t="s">
        <v>1958</v>
      </c>
      <c r="D1490" s="2266">
        <v>2</v>
      </c>
      <c r="E1490" s="2266">
        <v>2238</v>
      </c>
      <c r="F1490" s="2266" t="s">
        <v>5921</v>
      </c>
      <c r="G1490" s="2266" t="s">
        <v>5921</v>
      </c>
      <c r="H1490" s="2436">
        <v>154071</v>
      </c>
      <c r="I1490" s="2436">
        <v>0</v>
      </c>
      <c r="J1490" s="2446">
        <v>0</v>
      </c>
      <c r="K1490" s="2436">
        <v>0</v>
      </c>
      <c r="L1490" s="2436">
        <v>0</v>
      </c>
      <c r="M1490" s="2266">
        <v>599</v>
      </c>
    </row>
    <row r="1491" spans="1:13" ht="15">
      <c r="A1491" s="2266" t="s">
        <v>4274</v>
      </c>
      <c r="B1491" s="1694" t="str">
        <f>CONCATENATE(LEFT(RIGHT(CONCATENATE("000",IFAData_TEA!A1491),6),3),"-",(RIGHT(RIGHT(CONCATENATE("000",IFAData_TEA!A1491),6),3)))</f>
        <v>161-912</v>
      </c>
      <c r="C1491" s="2266" t="s">
        <v>1958</v>
      </c>
      <c r="D1491" s="2266">
        <v>10</v>
      </c>
      <c r="E1491" s="2266">
        <v>2237</v>
      </c>
      <c r="F1491" s="2266" t="s">
        <v>5924</v>
      </c>
      <c r="G1491" s="2266" t="s">
        <v>5924</v>
      </c>
      <c r="H1491" s="2436">
        <v>131250</v>
      </c>
      <c r="I1491" s="2436">
        <v>775000</v>
      </c>
      <c r="J1491" s="2446">
        <v>1</v>
      </c>
      <c r="K1491" s="2436">
        <v>131250</v>
      </c>
      <c r="L1491" s="2436">
        <v>131250</v>
      </c>
      <c r="M1491" s="2266">
        <v>599</v>
      </c>
    </row>
    <row r="1492" spans="1:13" ht="15">
      <c r="A1492" s="2266" t="s">
        <v>4274</v>
      </c>
      <c r="B1492" s="1694" t="str">
        <f>CONCATENATE(LEFT(RIGHT(CONCATENATE("000",IFAData_TEA!A1492),6),3),"-",(RIGHT(RIGHT(CONCATENATE("000",IFAData_TEA!A1492),6),3)))</f>
        <v>161-912</v>
      </c>
      <c r="C1492" s="2266" t="s">
        <v>1958</v>
      </c>
      <c r="D1492" s="2266">
        <v>2</v>
      </c>
      <c r="E1492" s="2266">
        <v>2238</v>
      </c>
      <c r="F1492" s="2266" t="s">
        <v>5921</v>
      </c>
      <c r="G1492" s="2266" t="s">
        <v>5922</v>
      </c>
      <c r="H1492" s="2436">
        <v>154071</v>
      </c>
      <c r="I1492" s="2436">
        <v>138800</v>
      </c>
      <c r="J1492" s="2446">
        <v>1</v>
      </c>
      <c r="K1492" s="2436">
        <v>154071</v>
      </c>
      <c r="L1492" s="2436">
        <v>138800</v>
      </c>
      <c r="M1492" s="2266">
        <v>599</v>
      </c>
    </row>
    <row r="1493" spans="1:13" ht="15">
      <c r="A1493" s="2266" t="s">
        <v>4274</v>
      </c>
      <c r="B1493" s="1694" t="str">
        <f>CONCATENATE(LEFT(RIGHT(CONCATENATE("000",IFAData_TEA!A1493),6),3),"-",(RIGHT(RIGHT(CONCATENATE("000",IFAData_TEA!A1493),6),3)))</f>
        <v>161-912</v>
      </c>
      <c r="C1493" s="2266" t="s">
        <v>1958</v>
      </c>
      <c r="D1493" s="2266">
        <v>6</v>
      </c>
      <c r="E1493" s="2266">
        <v>2236</v>
      </c>
      <c r="F1493" s="2266" t="s">
        <v>5923</v>
      </c>
      <c r="G1493" s="2266" t="s">
        <v>5923</v>
      </c>
      <c r="H1493" s="2436">
        <v>120494</v>
      </c>
      <c r="I1493" s="2436">
        <v>124844</v>
      </c>
      <c r="J1493" s="2446">
        <v>1</v>
      </c>
      <c r="K1493" s="2436">
        <v>120494</v>
      </c>
      <c r="L1493" s="2436">
        <v>120494</v>
      </c>
      <c r="M1493" s="2266">
        <v>599</v>
      </c>
    </row>
    <row r="1494" spans="1:13" ht="15">
      <c r="A1494" s="2266" t="s">
        <v>4275</v>
      </c>
      <c r="B1494" s="1694" t="str">
        <f>CONCATENATE(LEFT(RIGHT(CONCATENATE("000",IFAData_TEA!A1494),6),3),"-",(RIGHT(RIGHT(CONCATENATE("000",IFAData_TEA!A1494),6),3)))</f>
        <v>161-914</v>
      </c>
      <c r="C1494" s="2266" t="s">
        <v>157</v>
      </c>
      <c r="D1494" s="2266">
        <v>6</v>
      </c>
      <c r="E1494" s="2266">
        <v>2429</v>
      </c>
      <c r="F1494" s="2266" t="s">
        <v>5926</v>
      </c>
      <c r="G1494" s="2266" t="s">
        <v>5927</v>
      </c>
      <c r="H1494" s="2436">
        <v>908082</v>
      </c>
      <c r="I1494" s="2436">
        <v>216400</v>
      </c>
      <c r="J1494" s="2446">
        <v>0.10045697711772035</v>
      </c>
      <c r="K1494" s="2436">
        <v>91223.172695013738</v>
      </c>
      <c r="L1494" s="2436">
        <v>91223.172695013738</v>
      </c>
      <c r="M1494" s="2266">
        <v>599</v>
      </c>
    </row>
    <row r="1495" spans="1:13" ht="15">
      <c r="A1495" s="2266" t="s">
        <v>4275</v>
      </c>
      <c r="B1495" s="1694" t="str">
        <f>CONCATENATE(LEFT(RIGHT(CONCATENATE("000",IFAData_TEA!A1495),6),3),"-",(RIGHT(RIGHT(CONCATENATE("000",IFAData_TEA!A1495),6),3)))</f>
        <v>161-914</v>
      </c>
      <c r="C1495" s="2266" t="s">
        <v>157</v>
      </c>
      <c r="D1495" s="2266">
        <v>6</v>
      </c>
      <c r="E1495" s="2266">
        <v>2429</v>
      </c>
      <c r="F1495" s="2266" t="s">
        <v>5926</v>
      </c>
      <c r="G1495" s="2266" t="s">
        <v>5926</v>
      </c>
      <c r="H1495" s="2436">
        <v>908082</v>
      </c>
      <c r="I1495" s="2436">
        <v>1614150</v>
      </c>
      <c r="J1495" s="2446">
        <v>0.74931899082517706</v>
      </c>
      <c r="K1495" s="2436">
        <v>680443.08782650845</v>
      </c>
      <c r="L1495" s="2436">
        <v>680443.08782650845</v>
      </c>
      <c r="M1495" s="2266">
        <v>599</v>
      </c>
    </row>
    <row r="1496" spans="1:13" ht="15">
      <c r="A1496" s="2266" t="s">
        <v>4275</v>
      </c>
      <c r="B1496" s="1694" t="str">
        <f>CONCATENATE(LEFT(RIGHT(CONCATENATE("000",IFAData_TEA!A1496),6),3),"-",(RIGHT(RIGHT(CONCATENATE("000",IFAData_TEA!A1496),6),3)))</f>
        <v>161-914</v>
      </c>
      <c r="C1496" s="2266" t="s">
        <v>157</v>
      </c>
      <c r="D1496" s="2266">
        <v>2</v>
      </c>
      <c r="E1496" s="2266">
        <v>2430</v>
      </c>
      <c r="F1496" s="2266" t="s">
        <v>5925</v>
      </c>
      <c r="G1496" s="2266" t="s">
        <v>5925</v>
      </c>
      <c r="H1496" s="2436">
        <v>1464892</v>
      </c>
      <c r="I1496" s="2436">
        <v>0</v>
      </c>
      <c r="J1496" s="2446">
        <v>0</v>
      </c>
      <c r="K1496" s="2436"/>
      <c r="L1496" s="2436">
        <v>0</v>
      </c>
      <c r="M1496" s="2266">
        <v>599</v>
      </c>
    </row>
    <row r="1497" spans="1:13" ht="15">
      <c r="A1497" s="2266" t="s">
        <v>4275</v>
      </c>
      <c r="B1497" s="1694" t="str">
        <f>CONCATENATE(LEFT(RIGHT(CONCATENATE("000",IFAData_TEA!A1497),6),3),"-",(RIGHT(RIGHT(CONCATENATE("000",IFAData_TEA!A1497),6),3)))</f>
        <v>161-914</v>
      </c>
      <c r="C1497" s="2266" t="s">
        <v>157</v>
      </c>
      <c r="D1497" s="2266">
        <v>6</v>
      </c>
      <c r="E1497" s="2266">
        <v>2429</v>
      </c>
      <c r="F1497" s="2266" t="s">
        <v>5926</v>
      </c>
      <c r="G1497" s="2266" t="s">
        <v>5928</v>
      </c>
      <c r="H1497" s="2436">
        <v>908082</v>
      </c>
      <c r="I1497" s="2436">
        <v>323606</v>
      </c>
      <c r="J1497" s="2446">
        <v>0.15022403205710264</v>
      </c>
      <c r="K1497" s="2436">
        <v>136415.73947847789</v>
      </c>
      <c r="L1497" s="2436">
        <v>136415.73947847789</v>
      </c>
      <c r="M1497" s="2266">
        <v>599</v>
      </c>
    </row>
    <row r="1498" spans="1:13" ht="15">
      <c r="A1498" s="2266" t="s">
        <v>4275</v>
      </c>
      <c r="B1498" s="1694" t="str">
        <f>CONCATENATE(LEFT(RIGHT(CONCATENATE("000",IFAData_TEA!A1498),6),3),"-",(RIGHT(RIGHT(CONCATENATE("000",IFAData_TEA!A1498),6),3)))</f>
        <v>161-914</v>
      </c>
      <c r="C1498" s="2266" t="s">
        <v>157</v>
      </c>
      <c r="D1498" s="2266">
        <v>10</v>
      </c>
      <c r="E1498" s="2266">
        <v>2431</v>
      </c>
      <c r="F1498" s="2266" t="s">
        <v>5929</v>
      </c>
      <c r="G1498" s="2266" t="s">
        <v>5929</v>
      </c>
      <c r="H1498" s="2436">
        <v>2267241</v>
      </c>
      <c r="I1498" s="2436">
        <v>2362745</v>
      </c>
      <c r="J1498" s="2446">
        <v>1</v>
      </c>
      <c r="K1498" s="2436">
        <v>2267241</v>
      </c>
      <c r="L1498" s="2436">
        <v>2267241</v>
      </c>
      <c r="M1498" s="2266">
        <v>599</v>
      </c>
    </row>
    <row r="1499" spans="1:13" ht="15">
      <c r="A1499" s="2266" t="s">
        <v>4276</v>
      </c>
      <c r="B1499" s="1694" t="str">
        <f>CONCATENATE(LEFT(RIGHT(CONCATENATE("000",IFAData_TEA!A1499),6),3),"-",(RIGHT(RIGHT(CONCATENATE("000",IFAData_TEA!A1499),6),3)))</f>
        <v>161-916</v>
      </c>
      <c r="C1499" s="2266" t="s">
        <v>1610</v>
      </c>
      <c r="D1499" s="2266">
        <v>3</v>
      </c>
      <c r="E1499" s="2266">
        <v>2444</v>
      </c>
      <c r="F1499" s="2266" t="s">
        <v>5930</v>
      </c>
      <c r="G1499" s="2266" t="s">
        <v>5931</v>
      </c>
      <c r="H1499" s="2436">
        <v>489842</v>
      </c>
      <c r="I1499" s="2436">
        <v>643422</v>
      </c>
      <c r="J1499" s="2446">
        <v>0.94915259237842076</v>
      </c>
      <c r="K1499" s="2436">
        <v>464934.80415583035</v>
      </c>
      <c r="L1499" s="2436">
        <v>464934.80415583035</v>
      </c>
      <c r="M1499" s="2266">
        <v>599</v>
      </c>
    </row>
    <row r="1500" spans="1:13" ht="15">
      <c r="A1500" s="2266" t="s">
        <v>4276</v>
      </c>
      <c r="B1500" s="1694" t="str">
        <f>CONCATENATE(LEFT(RIGHT(CONCATENATE("000",IFAData_TEA!A1500),6),3),"-",(RIGHT(RIGHT(CONCATENATE("000",IFAData_TEA!A1500),6),3)))</f>
        <v>161-916</v>
      </c>
      <c r="C1500" s="2266" t="s">
        <v>1610</v>
      </c>
      <c r="D1500" s="2266">
        <v>3</v>
      </c>
      <c r="E1500" s="2266">
        <v>2444</v>
      </c>
      <c r="F1500" s="2266" t="s">
        <v>5930</v>
      </c>
      <c r="G1500" s="2266" t="s">
        <v>5930</v>
      </c>
      <c r="H1500" s="2436">
        <v>489842</v>
      </c>
      <c r="I1500" s="2436">
        <v>34469</v>
      </c>
      <c r="J1500" s="2446">
        <v>5.0847407621579278E-2</v>
      </c>
      <c r="K1500" s="2436">
        <v>24907.195844169637</v>
      </c>
      <c r="L1500" s="2436">
        <v>24907.195844169637</v>
      </c>
      <c r="M1500" s="2266">
        <v>599</v>
      </c>
    </row>
    <row r="1501" spans="1:13" ht="15">
      <c r="A1501" s="2266" t="s">
        <v>4277</v>
      </c>
      <c r="B1501" s="1694" t="str">
        <f>CONCATENATE(LEFT(RIGHT(CONCATENATE("000",IFAData_TEA!A1501),6),3),"-",(RIGHT(RIGHT(CONCATENATE("000",IFAData_TEA!A1501),6),3)))</f>
        <v>161-919</v>
      </c>
      <c r="C1501" s="2266" t="s">
        <v>1971</v>
      </c>
      <c r="D1501" s="2266">
        <v>9</v>
      </c>
      <c r="E1501" s="2266">
        <v>1645</v>
      </c>
      <c r="F1501" s="2266" t="s">
        <v>5932</v>
      </c>
      <c r="G1501" s="2266" t="s">
        <v>5932</v>
      </c>
      <c r="H1501" s="2436">
        <v>204185</v>
      </c>
      <c r="I1501" s="2436">
        <v>362935</v>
      </c>
      <c r="J1501" s="2446">
        <v>1</v>
      </c>
      <c r="K1501" s="2436">
        <v>204185</v>
      </c>
      <c r="L1501" s="2436">
        <v>204185</v>
      </c>
      <c r="M1501" s="2266">
        <v>599</v>
      </c>
    </row>
    <row r="1502" spans="1:13" ht="15">
      <c r="A1502" s="2266" t="s">
        <v>4278</v>
      </c>
      <c r="B1502" s="1694" t="str">
        <f>CONCATENATE(LEFT(RIGHT(CONCATENATE("000",IFAData_TEA!A1502),6),3),"-",(RIGHT(RIGHT(CONCATENATE("000",IFAData_TEA!A1502),6),3)))</f>
        <v>161-920</v>
      </c>
      <c r="C1502" s="2266" t="s">
        <v>1325</v>
      </c>
      <c r="D1502" s="2266">
        <v>2</v>
      </c>
      <c r="E1502" s="2266">
        <v>1688</v>
      </c>
      <c r="F1502" s="2266" t="s">
        <v>5933</v>
      </c>
      <c r="G1502" s="2266" t="s">
        <v>5934</v>
      </c>
      <c r="H1502" s="2436">
        <v>361316</v>
      </c>
      <c r="I1502" s="2436">
        <v>332054</v>
      </c>
      <c r="J1502" s="2446">
        <v>1</v>
      </c>
      <c r="K1502" s="2436">
        <v>361316</v>
      </c>
      <c r="L1502" s="2436">
        <v>332054</v>
      </c>
      <c r="M1502" s="2266">
        <v>599</v>
      </c>
    </row>
    <row r="1503" spans="1:13" ht="15">
      <c r="A1503" s="2266" t="s">
        <v>4278</v>
      </c>
      <c r="B1503" s="1694" t="str">
        <f>CONCATENATE(LEFT(RIGHT(CONCATENATE("000",IFAData_TEA!A1503),6),3),"-",(RIGHT(RIGHT(CONCATENATE("000",IFAData_TEA!A1503),6),3)))</f>
        <v>161-920</v>
      </c>
      <c r="C1503" s="2266" t="s">
        <v>1325</v>
      </c>
      <c r="D1503" s="2266">
        <v>6</v>
      </c>
      <c r="E1503" s="2266">
        <v>1689</v>
      </c>
      <c r="F1503" s="2266" t="s">
        <v>5935</v>
      </c>
      <c r="G1503" s="2266" t="s">
        <v>5934</v>
      </c>
      <c r="H1503" s="2436">
        <v>361625</v>
      </c>
      <c r="I1503" s="2436">
        <v>168337</v>
      </c>
      <c r="J1503" s="2446">
        <v>0.43080927251974427</v>
      </c>
      <c r="K1503" s="2436">
        <v>155791.40317495252</v>
      </c>
      <c r="L1503" s="2436">
        <v>155791.40317495252</v>
      </c>
      <c r="M1503" s="2266">
        <v>599</v>
      </c>
    </row>
    <row r="1504" spans="1:13" ht="15">
      <c r="A1504" s="2266" t="s">
        <v>4278</v>
      </c>
      <c r="B1504" s="1694" t="str">
        <f>CONCATENATE(LEFT(RIGHT(CONCATENATE("000",IFAData_TEA!A1504),6),3),"-",(RIGHT(RIGHT(CONCATENATE("000",IFAData_TEA!A1504),6),3)))</f>
        <v>161-920</v>
      </c>
      <c r="C1504" s="2266" t="s">
        <v>1325</v>
      </c>
      <c r="D1504" s="2266">
        <v>6</v>
      </c>
      <c r="E1504" s="2266">
        <v>1689</v>
      </c>
      <c r="F1504" s="2266" t="s">
        <v>5935</v>
      </c>
      <c r="G1504" s="2266" t="s">
        <v>5936</v>
      </c>
      <c r="H1504" s="2436">
        <v>361625</v>
      </c>
      <c r="I1504" s="2436">
        <v>222409</v>
      </c>
      <c r="J1504" s="2446">
        <v>0.56919072748025568</v>
      </c>
      <c r="K1504" s="2436">
        <v>205833.59682504745</v>
      </c>
      <c r="L1504" s="2436">
        <v>205833.59682504745</v>
      </c>
      <c r="M1504" s="2266">
        <v>599</v>
      </c>
    </row>
    <row r="1505" spans="1:13" ht="15">
      <c r="A1505" s="2266" t="s">
        <v>4278</v>
      </c>
      <c r="B1505" s="1694" t="str">
        <f>CONCATENATE(LEFT(RIGHT(CONCATENATE("000",IFAData_TEA!A1505),6),3),"-",(RIGHT(RIGHT(CONCATENATE("000",IFAData_TEA!A1505),6),3)))</f>
        <v>161-920</v>
      </c>
      <c r="C1505" s="2266" t="s">
        <v>1325</v>
      </c>
      <c r="D1505" s="2266">
        <v>2</v>
      </c>
      <c r="E1505" s="2266">
        <v>1688</v>
      </c>
      <c r="F1505" s="2266" t="s">
        <v>5933</v>
      </c>
      <c r="G1505" s="2266" t="s">
        <v>5933</v>
      </c>
      <c r="H1505" s="2436">
        <v>361316</v>
      </c>
      <c r="I1505" s="2436">
        <v>0</v>
      </c>
      <c r="J1505" s="2446">
        <v>0</v>
      </c>
      <c r="K1505" s="2436">
        <v>0</v>
      </c>
      <c r="L1505" s="2436">
        <v>0</v>
      </c>
      <c r="M1505" s="2266">
        <v>599</v>
      </c>
    </row>
    <row r="1506" spans="1:13" ht="15">
      <c r="A1506" s="2266" t="s">
        <v>4278</v>
      </c>
      <c r="B1506" s="1694" t="str">
        <f>CONCATENATE(LEFT(RIGHT(CONCATENATE("000",IFAData_TEA!A1506),6),3),"-",(RIGHT(RIGHT(CONCATENATE("000",IFAData_TEA!A1506),6),3)))</f>
        <v>161-920</v>
      </c>
      <c r="C1506" s="2266" t="s">
        <v>1325</v>
      </c>
      <c r="D1506" s="2266">
        <v>6</v>
      </c>
      <c r="E1506" s="2266">
        <v>1689</v>
      </c>
      <c r="F1506" s="2266" t="s">
        <v>5935</v>
      </c>
      <c r="G1506" s="2266" t="s">
        <v>5935</v>
      </c>
      <c r="H1506" s="2436">
        <v>361625</v>
      </c>
      <c r="I1506" s="2436">
        <v>0</v>
      </c>
      <c r="J1506" s="2446">
        <v>0</v>
      </c>
      <c r="K1506" s="2436">
        <v>0</v>
      </c>
      <c r="L1506" s="2436">
        <v>0</v>
      </c>
      <c r="M1506" s="2266">
        <v>599</v>
      </c>
    </row>
    <row r="1507" spans="1:13" ht="15">
      <c r="A1507" s="2266" t="s">
        <v>4278</v>
      </c>
      <c r="B1507" s="1694" t="str">
        <f>CONCATENATE(LEFT(RIGHT(CONCATENATE("000",IFAData_TEA!A1507),6),3),"-",(RIGHT(RIGHT(CONCATENATE("000",IFAData_TEA!A1507),6),3)))</f>
        <v>161-920</v>
      </c>
      <c r="C1507" s="2266" t="s">
        <v>1325</v>
      </c>
      <c r="D1507" s="2266">
        <v>9</v>
      </c>
      <c r="E1507" s="2266">
        <v>1690</v>
      </c>
      <c r="F1507" s="2266" t="s">
        <v>5937</v>
      </c>
      <c r="G1507" s="2266" t="s">
        <v>5937</v>
      </c>
      <c r="H1507" s="2436">
        <v>535250</v>
      </c>
      <c r="I1507" s="2436">
        <v>1407420</v>
      </c>
      <c r="J1507" s="2446">
        <v>0.89163218192737803</v>
      </c>
      <c r="K1507" s="2436">
        <v>477246.12537662912</v>
      </c>
      <c r="L1507" s="2436">
        <v>477246.12537662912</v>
      </c>
      <c r="M1507" s="2266">
        <v>599</v>
      </c>
    </row>
    <row r="1508" spans="1:13" ht="15">
      <c r="A1508" s="2266" t="s">
        <v>4278</v>
      </c>
      <c r="B1508" s="1694" t="str">
        <f>CONCATENATE(LEFT(RIGHT(CONCATENATE("000",IFAData_TEA!A1508),6),3),"-",(RIGHT(RIGHT(CONCATENATE("000",IFAData_TEA!A1508),6),3)))</f>
        <v>161-920</v>
      </c>
      <c r="C1508" s="2266" t="s">
        <v>1325</v>
      </c>
      <c r="D1508" s="2266">
        <v>9</v>
      </c>
      <c r="E1508" s="2266">
        <v>1690</v>
      </c>
      <c r="F1508" s="2266" t="s">
        <v>5937</v>
      </c>
      <c r="G1508" s="2266" t="s">
        <v>7020</v>
      </c>
      <c r="H1508" s="2436">
        <v>535250</v>
      </c>
      <c r="I1508" s="2436">
        <v>171056</v>
      </c>
      <c r="J1508" s="2446">
        <v>0.10836781807262194</v>
      </c>
      <c r="K1508" s="2436">
        <v>58003.874623370895</v>
      </c>
      <c r="L1508" s="2436">
        <v>58003.874623370895</v>
      </c>
      <c r="M1508" s="2266">
        <v>599</v>
      </c>
    </row>
    <row r="1509" spans="1:13" ht="15">
      <c r="A1509" s="2266" t="s">
        <v>4279</v>
      </c>
      <c r="B1509" s="1694" t="str">
        <f>CONCATENATE(LEFT(RIGHT(CONCATENATE("000",IFAData_TEA!A1509),6),3),"-",(RIGHT(RIGHT(CONCATENATE("000",IFAData_TEA!A1509),6),3)))</f>
        <v>161-921</v>
      </c>
      <c r="C1509" s="2266" t="s">
        <v>1745</v>
      </c>
      <c r="D1509" s="2266">
        <v>3</v>
      </c>
      <c r="E1509" s="2266">
        <v>1716</v>
      </c>
      <c r="F1509" s="2266" t="s">
        <v>5939</v>
      </c>
      <c r="G1509" s="2266" t="s">
        <v>5940</v>
      </c>
      <c r="H1509" s="2436">
        <v>590544</v>
      </c>
      <c r="I1509" s="2436">
        <v>805120</v>
      </c>
      <c r="J1509" s="2446">
        <v>0.92735567946610709</v>
      </c>
      <c r="K1509" s="2436">
        <v>547644.33237463271</v>
      </c>
      <c r="L1509" s="2436">
        <v>547644.33237463271</v>
      </c>
      <c r="M1509" s="2266">
        <v>599</v>
      </c>
    </row>
    <row r="1510" spans="1:13" ht="15">
      <c r="A1510" s="2266" t="s">
        <v>4279</v>
      </c>
      <c r="B1510" s="1694" t="str">
        <f>CONCATENATE(LEFT(RIGHT(CONCATENATE("000",IFAData_TEA!A1510),6),3),"-",(RIGHT(RIGHT(CONCATENATE("000",IFAData_TEA!A1510),6),3)))</f>
        <v>161-921</v>
      </c>
      <c r="C1510" s="2266" t="s">
        <v>1745</v>
      </c>
      <c r="D1510" s="2266">
        <v>3</v>
      </c>
      <c r="E1510" s="2266">
        <v>1716</v>
      </c>
      <c r="F1510" s="2266" t="s">
        <v>5939</v>
      </c>
      <c r="G1510" s="2266" t="s">
        <v>5941</v>
      </c>
      <c r="H1510" s="2436">
        <v>590544</v>
      </c>
      <c r="I1510" s="2436">
        <v>63069</v>
      </c>
      <c r="J1510" s="2446">
        <v>7.264432053389297E-2</v>
      </c>
      <c r="K1510" s="2436">
        <v>42899.667625367292</v>
      </c>
      <c r="L1510" s="2436">
        <v>42899.667625367292</v>
      </c>
      <c r="M1510" s="2266">
        <v>599</v>
      </c>
    </row>
    <row r="1511" spans="1:13" ht="15">
      <c r="A1511" s="2266" t="s">
        <v>4279</v>
      </c>
      <c r="B1511" s="1694" t="str">
        <f>CONCATENATE(LEFT(RIGHT(CONCATENATE("000",IFAData_TEA!A1511),6),3),"-",(RIGHT(RIGHT(CONCATENATE("000",IFAData_TEA!A1511),6),3)))</f>
        <v>161-921</v>
      </c>
      <c r="C1511" s="2266" t="s">
        <v>1745</v>
      </c>
      <c r="D1511" s="2266">
        <v>2</v>
      </c>
      <c r="E1511" s="2266">
        <v>1715</v>
      </c>
      <c r="F1511" s="2266" t="s">
        <v>5938</v>
      </c>
      <c r="G1511" s="2266" t="s">
        <v>5938</v>
      </c>
      <c r="H1511" s="2436">
        <v>141220</v>
      </c>
      <c r="I1511" s="2436">
        <v>0</v>
      </c>
      <c r="J1511" s="2446">
        <v>0</v>
      </c>
      <c r="K1511" s="2436"/>
      <c r="L1511" s="2436">
        <v>0</v>
      </c>
      <c r="M1511" s="2266">
        <v>599</v>
      </c>
    </row>
    <row r="1512" spans="1:13" ht="15">
      <c r="A1512" s="2266" t="s">
        <v>4279</v>
      </c>
      <c r="B1512" s="1694" t="str">
        <f>CONCATENATE(LEFT(RIGHT(CONCATENATE("000",IFAData_TEA!A1512),6),3),"-",(RIGHT(RIGHT(CONCATENATE("000",IFAData_TEA!A1512),6),3)))</f>
        <v>161-921</v>
      </c>
      <c r="C1512" s="2266" t="s">
        <v>1745</v>
      </c>
      <c r="D1512" s="2266">
        <v>3</v>
      </c>
      <c r="E1512" s="2266">
        <v>1716</v>
      </c>
      <c r="F1512" s="2266" t="s">
        <v>5939</v>
      </c>
      <c r="G1512" s="2266" t="s">
        <v>5939</v>
      </c>
      <c r="H1512" s="2436">
        <v>590544</v>
      </c>
      <c r="I1512" s="2436">
        <v>0</v>
      </c>
      <c r="J1512" s="2446">
        <v>0</v>
      </c>
      <c r="K1512" s="2436">
        <v>0</v>
      </c>
      <c r="L1512" s="2436">
        <v>0</v>
      </c>
      <c r="M1512" s="2266">
        <v>599</v>
      </c>
    </row>
    <row r="1513" spans="1:13" ht="15">
      <c r="A1513" s="2266" t="s">
        <v>4280</v>
      </c>
      <c r="B1513" s="1694" t="str">
        <f>CONCATENATE(LEFT(RIGHT(CONCATENATE("000",IFAData_TEA!A1513),6),3),"-",(RIGHT(RIGHT(CONCATENATE("000",IFAData_TEA!A1513),6),3)))</f>
        <v>161-922</v>
      </c>
      <c r="C1513" s="2266" t="s">
        <v>3097</v>
      </c>
      <c r="D1513" s="2266">
        <v>3</v>
      </c>
      <c r="E1513" s="2266">
        <v>2252</v>
      </c>
      <c r="F1513" s="2266" t="s">
        <v>5942</v>
      </c>
      <c r="G1513" s="2266" t="s">
        <v>5943</v>
      </c>
      <c r="H1513" s="2436">
        <v>486000</v>
      </c>
      <c r="I1513" s="2436">
        <v>1075814</v>
      </c>
      <c r="J1513" s="2446">
        <v>1</v>
      </c>
      <c r="K1513" s="2436">
        <v>486000</v>
      </c>
      <c r="L1513" s="2436">
        <v>486000</v>
      </c>
      <c r="M1513" s="2266">
        <v>599</v>
      </c>
    </row>
    <row r="1514" spans="1:13" ht="15">
      <c r="A1514" s="2266" t="s">
        <v>4280</v>
      </c>
      <c r="B1514" s="1694" t="str">
        <f>CONCATENATE(LEFT(RIGHT(CONCATENATE("000",IFAData_TEA!A1514),6),3),"-",(RIGHT(RIGHT(CONCATENATE("000",IFAData_TEA!A1514),6),3)))</f>
        <v>161-922</v>
      </c>
      <c r="C1514" s="2266" t="s">
        <v>3097</v>
      </c>
      <c r="D1514" s="2266">
        <v>3</v>
      </c>
      <c r="E1514" s="2266">
        <v>2252</v>
      </c>
      <c r="F1514" s="2266" t="s">
        <v>5942</v>
      </c>
      <c r="G1514" s="2266" t="s">
        <v>5944</v>
      </c>
      <c r="H1514" s="2436">
        <v>486000</v>
      </c>
      <c r="I1514" s="2436">
        <v>0</v>
      </c>
      <c r="J1514" s="2446">
        <v>0</v>
      </c>
      <c r="K1514" s="2436">
        <v>0</v>
      </c>
      <c r="L1514" s="2436">
        <v>0</v>
      </c>
      <c r="M1514" s="2266">
        <v>599</v>
      </c>
    </row>
    <row r="1515" spans="1:13" ht="15">
      <c r="A1515" s="2266" t="s">
        <v>4280</v>
      </c>
      <c r="B1515" s="1694" t="str">
        <f>CONCATENATE(LEFT(RIGHT(CONCATENATE("000",IFAData_TEA!A1515),6),3),"-",(RIGHT(RIGHT(CONCATENATE("000",IFAData_TEA!A1515),6),3)))</f>
        <v>161-922</v>
      </c>
      <c r="C1515" s="2266" t="s">
        <v>3097</v>
      </c>
      <c r="D1515" s="2266">
        <v>3</v>
      </c>
      <c r="E1515" s="2266">
        <v>2252</v>
      </c>
      <c r="F1515" s="2266" t="s">
        <v>5942</v>
      </c>
      <c r="G1515" s="2266" t="s">
        <v>5942</v>
      </c>
      <c r="H1515" s="2436">
        <v>486000</v>
      </c>
      <c r="I1515" s="2436">
        <v>0</v>
      </c>
      <c r="J1515" s="2446">
        <v>0</v>
      </c>
      <c r="K1515" s="2436">
        <v>0</v>
      </c>
      <c r="L1515" s="2436">
        <v>0</v>
      </c>
      <c r="M1515" s="2266">
        <v>599</v>
      </c>
    </row>
    <row r="1516" spans="1:13" ht="15">
      <c r="A1516" s="2266" t="s">
        <v>4281</v>
      </c>
      <c r="B1516" s="1694" t="str">
        <f>CONCATENATE(LEFT(RIGHT(CONCATENATE("000",IFAData_TEA!A1516),6),3),"-",(RIGHT(RIGHT(CONCATENATE("000",IFAData_TEA!A1516),6),3)))</f>
        <v>161-923</v>
      </c>
      <c r="C1516" s="2266" t="s">
        <v>1524</v>
      </c>
      <c r="D1516" s="2266">
        <v>5</v>
      </c>
      <c r="E1516" s="2266">
        <v>1627</v>
      </c>
      <c r="F1516" s="2266" t="s">
        <v>5947</v>
      </c>
      <c r="G1516" s="2266" t="s">
        <v>5947</v>
      </c>
      <c r="H1516" s="2436">
        <v>47466</v>
      </c>
      <c r="I1516" s="2436">
        <v>44190</v>
      </c>
      <c r="J1516" s="2446">
        <v>1</v>
      </c>
      <c r="K1516" s="2436">
        <v>47466</v>
      </c>
      <c r="L1516" s="2436">
        <v>44190</v>
      </c>
      <c r="M1516" s="2266">
        <v>599</v>
      </c>
    </row>
    <row r="1517" spans="1:13" ht="15">
      <c r="A1517" s="2266" t="s">
        <v>4281</v>
      </c>
      <c r="B1517" s="1694" t="str">
        <f>CONCATENATE(LEFT(RIGHT(CONCATENATE("000",IFAData_TEA!A1517),6),3),"-",(RIGHT(RIGHT(CONCATENATE("000",IFAData_TEA!A1517),6),3)))</f>
        <v>161-923</v>
      </c>
      <c r="C1517" s="2266" t="s">
        <v>1524</v>
      </c>
      <c r="D1517" s="2266">
        <v>3</v>
      </c>
      <c r="E1517" s="2266">
        <v>1628</v>
      </c>
      <c r="F1517" s="2266" t="s">
        <v>5945</v>
      </c>
      <c r="G1517" s="2266" t="s">
        <v>5945</v>
      </c>
      <c r="H1517" s="2436">
        <v>96640</v>
      </c>
      <c r="I1517" s="2436">
        <v>0</v>
      </c>
      <c r="J1517" s="2446">
        <v>0</v>
      </c>
      <c r="K1517" s="2436">
        <v>0</v>
      </c>
      <c r="L1517" s="2436">
        <v>0</v>
      </c>
      <c r="M1517" s="2266">
        <v>599</v>
      </c>
    </row>
    <row r="1518" spans="1:13" ht="15">
      <c r="A1518" s="2266" t="s">
        <v>4281</v>
      </c>
      <c r="B1518" s="1694" t="str">
        <f>CONCATENATE(LEFT(RIGHT(CONCATENATE("000",IFAData_TEA!A1518),6),3),"-",(RIGHT(RIGHT(CONCATENATE("000",IFAData_TEA!A1518),6),3)))</f>
        <v>161-923</v>
      </c>
      <c r="C1518" s="2266" t="s">
        <v>1524</v>
      </c>
      <c r="D1518" s="2266">
        <v>3</v>
      </c>
      <c r="E1518" s="2266">
        <v>1628</v>
      </c>
      <c r="F1518" s="2266" t="s">
        <v>5945</v>
      </c>
      <c r="G1518" s="2266" t="s">
        <v>7021</v>
      </c>
      <c r="H1518" s="2436">
        <v>96640</v>
      </c>
      <c r="I1518" s="2436">
        <v>14176</v>
      </c>
      <c r="J1518" s="2446">
        <v>0.12703191927881427</v>
      </c>
      <c r="K1518" s="2436">
        <v>12276.36467910461</v>
      </c>
      <c r="L1518" s="2436">
        <v>12276.36467910461</v>
      </c>
      <c r="M1518" s="2266">
        <v>599</v>
      </c>
    </row>
    <row r="1519" spans="1:13" ht="15">
      <c r="A1519" s="2266" t="s">
        <v>4281</v>
      </c>
      <c r="B1519" s="1694" t="str">
        <f>CONCATENATE(LEFT(RIGHT(CONCATENATE("000",IFAData_TEA!A1519),6),3),"-",(RIGHT(RIGHT(CONCATENATE("000",IFAData_TEA!A1519),6),3)))</f>
        <v>161-923</v>
      </c>
      <c r="C1519" s="2266" t="s">
        <v>1524</v>
      </c>
      <c r="D1519" s="2266">
        <v>9</v>
      </c>
      <c r="E1519" s="2266">
        <v>1629</v>
      </c>
      <c r="F1519" s="2266" t="s">
        <v>5946</v>
      </c>
      <c r="G1519" s="2266" t="s">
        <v>7021</v>
      </c>
      <c r="H1519" s="2436">
        <v>109337</v>
      </c>
      <c r="I1519" s="2436">
        <v>89355</v>
      </c>
      <c r="J1519" s="2446">
        <v>0.19905501497005987</v>
      </c>
      <c r="K1519" s="2436">
        <v>21764.078171781435</v>
      </c>
      <c r="L1519" s="2436">
        <v>21764.078171781435</v>
      </c>
      <c r="M1519" s="2266">
        <v>599</v>
      </c>
    </row>
    <row r="1520" spans="1:13" ht="15">
      <c r="A1520" s="2266" t="s">
        <v>4281</v>
      </c>
      <c r="B1520" s="1694" t="str">
        <f>CONCATENATE(LEFT(RIGHT(CONCATENATE("000",IFAData_TEA!A1520),6),3),"-",(RIGHT(RIGHT(CONCATENATE("000",IFAData_TEA!A1520),6),3)))</f>
        <v>161-923</v>
      </c>
      <c r="C1520" s="2266" t="s">
        <v>1524</v>
      </c>
      <c r="D1520" s="2266">
        <v>3</v>
      </c>
      <c r="E1520" s="2266">
        <v>1628</v>
      </c>
      <c r="F1520" s="2266" t="s">
        <v>5945</v>
      </c>
      <c r="G1520" s="2266" t="s">
        <v>5946</v>
      </c>
      <c r="H1520" s="2436">
        <v>96640</v>
      </c>
      <c r="I1520" s="2436">
        <v>97418</v>
      </c>
      <c r="J1520" s="2446">
        <v>0.8729680807211857</v>
      </c>
      <c r="K1520" s="2436">
        <v>84363.635320895381</v>
      </c>
      <c r="L1520" s="2436">
        <v>84363.635320895381</v>
      </c>
      <c r="M1520" s="2266">
        <v>599</v>
      </c>
    </row>
    <row r="1521" spans="1:13" ht="15">
      <c r="A1521" s="2266" t="s">
        <v>4281</v>
      </c>
      <c r="B1521" s="1694" t="str">
        <f>CONCATENATE(LEFT(RIGHT(CONCATENATE("000",IFAData_TEA!A1521),6),3),"-",(RIGHT(RIGHT(CONCATENATE("000",IFAData_TEA!A1521),6),3)))</f>
        <v>161-923</v>
      </c>
      <c r="C1521" s="2266" t="s">
        <v>1524</v>
      </c>
      <c r="D1521" s="2266">
        <v>9</v>
      </c>
      <c r="E1521" s="2266">
        <v>1629</v>
      </c>
      <c r="F1521" s="2266" t="s">
        <v>5946</v>
      </c>
      <c r="G1521" s="2266" t="s">
        <v>5946</v>
      </c>
      <c r="H1521" s="2436">
        <v>109337</v>
      </c>
      <c r="I1521" s="2436">
        <v>359541</v>
      </c>
      <c r="J1521" s="2446">
        <v>0.80094498502994016</v>
      </c>
      <c r="K1521" s="2436">
        <v>87572.921828218561</v>
      </c>
      <c r="L1521" s="2436">
        <v>87572.921828218561</v>
      </c>
      <c r="M1521" s="2266">
        <v>599</v>
      </c>
    </row>
    <row r="1522" spans="1:13" ht="15">
      <c r="A1522" s="2266" t="s">
        <v>4282</v>
      </c>
      <c r="B1522" s="1694" t="str">
        <f>CONCATENATE(LEFT(RIGHT(CONCATENATE("000",IFAData_TEA!A1522),6),3),"-",(RIGHT(RIGHT(CONCATENATE("000",IFAData_TEA!A1522),6),3)))</f>
        <v>163-901</v>
      </c>
      <c r="C1522" s="2266" t="s">
        <v>3066</v>
      </c>
      <c r="D1522" s="2266">
        <v>10</v>
      </c>
      <c r="E1522" s="2266">
        <v>1756</v>
      </c>
      <c r="F1522" s="2266" t="s">
        <v>5951</v>
      </c>
      <c r="G1522" s="2266" t="s">
        <v>5951</v>
      </c>
      <c r="H1522" s="2436">
        <v>403194</v>
      </c>
      <c r="I1522" s="2436">
        <v>401250</v>
      </c>
      <c r="J1522" s="2446">
        <v>1</v>
      </c>
      <c r="K1522" s="2436">
        <v>403194</v>
      </c>
      <c r="L1522" s="2436">
        <v>401250</v>
      </c>
      <c r="M1522" s="2266">
        <v>599</v>
      </c>
    </row>
    <row r="1523" spans="1:13" ht="15">
      <c r="A1523" s="2266" t="s">
        <v>4282</v>
      </c>
      <c r="B1523" s="1694" t="str">
        <f>CONCATENATE(LEFT(RIGHT(CONCATENATE("000",IFAData_TEA!A1523),6),3),"-",(RIGHT(RIGHT(CONCATENATE("000",IFAData_TEA!A1523),6),3)))</f>
        <v>163-901</v>
      </c>
      <c r="C1523" s="2266" t="s">
        <v>3066</v>
      </c>
      <c r="D1523" s="2266">
        <v>2</v>
      </c>
      <c r="E1523" s="2266">
        <v>1758</v>
      </c>
      <c r="F1523" s="2266" t="s">
        <v>5948</v>
      </c>
      <c r="G1523" s="2266" t="s">
        <v>5948</v>
      </c>
      <c r="H1523" s="2436">
        <v>429904</v>
      </c>
      <c r="I1523" s="2436">
        <v>0</v>
      </c>
      <c r="J1523" s="2446">
        <v>0</v>
      </c>
      <c r="K1523" s="2436">
        <v>0</v>
      </c>
      <c r="L1523" s="2436">
        <v>0</v>
      </c>
      <c r="M1523" s="2266">
        <v>599</v>
      </c>
    </row>
    <row r="1524" spans="1:13" ht="15">
      <c r="A1524" s="2266" t="s">
        <v>4282</v>
      </c>
      <c r="B1524" s="1694" t="str">
        <f>CONCATENATE(LEFT(RIGHT(CONCATENATE("000",IFAData_TEA!A1524),6),3),"-",(RIGHT(RIGHT(CONCATENATE("000",IFAData_TEA!A1524),6),3)))</f>
        <v>163-901</v>
      </c>
      <c r="C1524" s="2266" t="s">
        <v>3066</v>
      </c>
      <c r="D1524" s="2266">
        <v>2</v>
      </c>
      <c r="E1524" s="2266">
        <v>1758</v>
      </c>
      <c r="F1524" s="2266" t="s">
        <v>5948</v>
      </c>
      <c r="G1524" s="2266" t="s">
        <v>5949</v>
      </c>
      <c r="H1524" s="2436">
        <v>429904</v>
      </c>
      <c r="I1524" s="2436">
        <v>390491</v>
      </c>
      <c r="J1524" s="2446">
        <v>1</v>
      </c>
      <c r="K1524" s="2436">
        <v>429904</v>
      </c>
      <c r="L1524" s="2436">
        <v>390491</v>
      </c>
      <c r="M1524" s="2266">
        <v>599</v>
      </c>
    </row>
    <row r="1525" spans="1:13" ht="15">
      <c r="A1525" s="2266" t="s">
        <v>4282</v>
      </c>
      <c r="B1525" s="1694" t="str">
        <f>CONCATENATE(LEFT(RIGHT(CONCATENATE("000",IFAData_TEA!A1525),6),3),"-",(RIGHT(RIGHT(CONCATENATE("000",IFAData_TEA!A1525),6),3)))</f>
        <v>163-901</v>
      </c>
      <c r="C1525" s="2266" t="s">
        <v>3066</v>
      </c>
      <c r="D1525" s="2266">
        <v>9</v>
      </c>
      <c r="E1525" s="2266">
        <v>1757</v>
      </c>
      <c r="F1525" s="2266" t="s">
        <v>5950</v>
      </c>
      <c r="G1525" s="2266" t="s">
        <v>5950</v>
      </c>
      <c r="H1525" s="2436">
        <v>417950</v>
      </c>
      <c r="I1525" s="2436">
        <v>405588</v>
      </c>
      <c r="J1525" s="2446">
        <v>1</v>
      </c>
      <c r="K1525" s="2436">
        <v>417950</v>
      </c>
      <c r="L1525" s="2436">
        <v>405588</v>
      </c>
      <c r="M1525" s="2266">
        <v>599</v>
      </c>
    </row>
    <row r="1526" spans="1:13" ht="15">
      <c r="A1526" s="2266" t="s">
        <v>4283</v>
      </c>
      <c r="B1526" s="1694" t="str">
        <f>CONCATENATE(LEFT(RIGHT(CONCATENATE("000",IFAData_TEA!A1526),6),3),"-",(RIGHT(RIGHT(CONCATENATE("000",IFAData_TEA!A1526),6),3)))</f>
        <v>163-902</v>
      </c>
      <c r="C1526" s="2266" t="s">
        <v>2493</v>
      </c>
      <c r="D1526" s="2266">
        <v>6</v>
      </c>
      <c r="E1526" s="2266">
        <v>1760</v>
      </c>
      <c r="F1526" s="2266" t="s">
        <v>5952</v>
      </c>
      <c r="G1526" s="2266" t="s">
        <v>5953</v>
      </c>
      <c r="H1526" s="2436">
        <v>100000</v>
      </c>
      <c r="I1526" s="2436">
        <v>86585</v>
      </c>
      <c r="J1526" s="2446">
        <v>1</v>
      </c>
      <c r="K1526" s="2436">
        <v>100000</v>
      </c>
      <c r="L1526" s="2436">
        <v>86585</v>
      </c>
      <c r="M1526" s="2266">
        <v>599</v>
      </c>
    </row>
    <row r="1527" spans="1:13" ht="15">
      <c r="A1527" s="2266" t="s">
        <v>4283</v>
      </c>
      <c r="B1527" s="1694" t="str">
        <f>CONCATENATE(LEFT(RIGHT(CONCATENATE("000",IFAData_TEA!A1527),6),3),"-",(RIGHT(RIGHT(CONCATENATE("000",IFAData_TEA!A1527),6),3)))</f>
        <v>163-902</v>
      </c>
      <c r="C1527" s="2266" t="s">
        <v>2493</v>
      </c>
      <c r="D1527" s="2266">
        <v>6</v>
      </c>
      <c r="E1527" s="2266">
        <v>1760</v>
      </c>
      <c r="F1527" s="2266" t="s">
        <v>5952</v>
      </c>
      <c r="G1527" s="2266" t="s">
        <v>5952</v>
      </c>
      <c r="H1527" s="2436">
        <v>100000</v>
      </c>
      <c r="I1527" s="2436">
        <v>0</v>
      </c>
      <c r="J1527" s="2446">
        <v>0</v>
      </c>
      <c r="K1527" s="2436">
        <v>0</v>
      </c>
      <c r="L1527" s="2436">
        <v>0</v>
      </c>
      <c r="M1527" s="2266">
        <v>599</v>
      </c>
    </row>
    <row r="1528" spans="1:13" ht="15">
      <c r="A1528" s="2266" t="s">
        <v>4283</v>
      </c>
      <c r="B1528" s="1694" t="str">
        <f>CONCATENATE(LEFT(RIGHT(CONCATENATE("000",IFAData_TEA!A1528),6),3),"-",(RIGHT(RIGHT(CONCATENATE("000",IFAData_TEA!A1528),6),3)))</f>
        <v>163-902</v>
      </c>
      <c r="C1528" s="2266" t="s">
        <v>2493</v>
      </c>
      <c r="D1528" s="2266">
        <v>9</v>
      </c>
      <c r="E1528" s="2266">
        <v>1761</v>
      </c>
      <c r="F1528" s="2266" t="s">
        <v>5954</v>
      </c>
      <c r="G1528" s="2266" t="s">
        <v>7022</v>
      </c>
      <c r="H1528" s="2436">
        <v>100000</v>
      </c>
      <c r="I1528" s="2436">
        <v>481</v>
      </c>
      <c r="J1528" s="2446">
        <v>2.9699424535058905E-3</v>
      </c>
      <c r="K1528" s="2436">
        <v>296.99424535058904</v>
      </c>
      <c r="L1528" s="2436">
        <v>296.99424535058904</v>
      </c>
      <c r="M1528" s="2266">
        <v>599</v>
      </c>
    </row>
    <row r="1529" spans="1:13" ht="15">
      <c r="A1529" s="2266" t="s">
        <v>4283</v>
      </c>
      <c r="B1529" s="1694" t="str">
        <f>CONCATENATE(LEFT(RIGHT(CONCATENATE("000",IFAData_TEA!A1529),6),3),"-",(RIGHT(RIGHT(CONCATENATE("000",IFAData_TEA!A1529),6),3)))</f>
        <v>163-902</v>
      </c>
      <c r="C1529" s="2266" t="s">
        <v>2493</v>
      </c>
      <c r="D1529" s="2266">
        <v>9</v>
      </c>
      <c r="E1529" s="2266">
        <v>1761</v>
      </c>
      <c r="F1529" s="2266" t="s">
        <v>5954</v>
      </c>
      <c r="G1529" s="2266" t="s">
        <v>5954</v>
      </c>
      <c r="H1529" s="2436">
        <v>100000</v>
      </c>
      <c r="I1529" s="2436">
        <v>161475</v>
      </c>
      <c r="J1529" s="2446">
        <v>0.9970300575464941</v>
      </c>
      <c r="K1529" s="2436">
        <v>99703.005754649406</v>
      </c>
      <c r="L1529" s="2436">
        <v>99703.005754649406</v>
      </c>
      <c r="M1529" s="2266">
        <v>599</v>
      </c>
    </row>
    <row r="1530" spans="1:13" ht="15">
      <c r="A1530" s="2266" t="s">
        <v>4284</v>
      </c>
      <c r="B1530" s="1694" t="str">
        <f>CONCATENATE(LEFT(RIGHT(CONCATENATE("000",IFAData_TEA!A1530),6),3),"-",(RIGHT(RIGHT(CONCATENATE("000",IFAData_TEA!A1530),6),3)))</f>
        <v>163-903</v>
      </c>
      <c r="C1530" s="2266" t="s">
        <v>2563</v>
      </c>
      <c r="D1530" s="2266">
        <v>8</v>
      </c>
      <c r="E1530" s="2266">
        <v>2126</v>
      </c>
      <c r="F1530" s="2266" t="s">
        <v>5957</v>
      </c>
      <c r="G1530" s="2266" t="s">
        <v>5957</v>
      </c>
      <c r="H1530" s="2436">
        <v>260720</v>
      </c>
      <c r="I1530" s="2436">
        <v>256194</v>
      </c>
      <c r="J1530" s="2446">
        <v>1</v>
      </c>
      <c r="K1530" s="2436">
        <v>260720</v>
      </c>
      <c r="L1530" s="2436">
        <v>256194</v>
      </c>
      <c r="M1530" s="2266">
        <v>599</v>
      </c>
    </row>
    <row r="1531" spans="1:13" ht="15">
      <c r="A1531" s="2266" t="s">
        <v>4284</v>
      </c>
      <c r="B1531" s="1694" t="str">
        <f>CONCATENATE(LEFT(RIGHT(CONCATENATE("000",IFAData_TEA!A1531),6),3),"-",(RIGHT(RIGHT(CONCATENATE("000",IFAData_TEA!A1531),6),3)))</f>
        <v>163-903</v>
      </c>
      <c r="C1531" s="2266" t="s">
        <v>2563</v>
      </c>
      <c r="D1531" s="2266">
        <v>4</v>
      </c>
      <c r="E1531" s="2266">
        <v>2125</v>
      </c>
      <c r="F1531" s="2266" t="s">
        <v>5955</v>
      </c>
      <c r="G1531" s="2266" t="s">
        <v>5956</v>
      </c>
      <c r="H1531" s="2436">
        <v>240522</v>
      </c>
      <c r="I1531" s="2436">
        <v>235298</v>
      </c>
      <c r="J1531" s="2446">
        <v>1</v>
      </c>
      <c r="K1531" s="2436">
        <v>240522</v>
      </c>
      <c r="L1531" s="2436">
        <v>235298</v>
      </c>
      <c r="M1531" s="2266">
        <v>599</v>
      </c>
    </row>
    <row r="1532" spans="1:13" ht="15">
      <c r="A1532" s="2266" t="s">
        <v>4284</v>
      </c>
      <c r="B1532" s="1694" t="str">
        <f>CONCATENATE(LEFT(RIGHT(CONCATENATE("000",IFAData_TEA!A1532),6),3),"-",(RIGHT(RIGHT(CONCATENATE("000",IFAData_TEA!A1532),6),3)))</f>
        <v>163-903</v>
      </c>
      <c r="C1532" s="2266" t="s">
        <v>2563</v>
      </c>
      <c r="D1532" s="2266">
        <v>4</v>
      </c>
      <c r="E1532" s="2266">
        <v>2125</v>
      </c>
      <c r="F1532" s="2266" t="s">
        <v>5955</v>
      </c>
      <c r="G1532" s="2266" t="s">
        <v>5955</v>
      </c>
      <c r="H1532" s="2436">
        <v>240522</v>
      </c>
      <c r="I1532" s="2436">
        <v>0</v>
      </c>
      <c r="J1532" s="2446">
        <v>0</v>
      </c>
      <c r="K1532" s="2436">
        <v>0</v>
      </c>
      <c r="L1532" s="2436">
        <v>0</v>
      </c>
      <c r="M1532" s="2266">
        <v>599</v>
      </c>
    </row>
    <row r="1533" spans="1:13" ht="15">
      <c r="A1533" s="2266" t="s">
        <v>4285</v>
      </c>
      <c r="B1533" s="1694" t="str">
        <f>CONCATENATE(LEFT(RIGHT(CONCATENATE("000",IFAData_TEA!A1533),6),3),"-",(RIGHT(RIGHT(CONCATENATE("000",IFAData_TEA!A1533),6),3)))</f>
        <v>163-904</v>
      </c>
      <c r="C1533" s="2266" t="s">
        <v>2729</v>
      </c>
      <c r="D1533" s="2266">
        <v>5</v>
      </c>
      <c r="E1533" s="2266">
        <v>1897</v>
      </c>
      <c r="F1533" s="2266" t="s">
        <v>5961</v>
      </c>
      <c r="G1533" s="2266" t="s">
        <v>5961</v>
      </c>
      <c r="H1533" s="2436">
        <v>351045</v>
      </c>
      <c r="I1533" s="2436">
        <v>0</v>
      </c>
      <c r="J1533" s="2446">
        <v>0</v>
      </c>
      <c r="K1533" s="2436">
        <v>0</v>
      </c>
      <c r="L1533" s="2436">
        <v>0</v>
      </c>
      <c r="M1533" s="2266">
        <v>599</v>
      </c>
    </row>
    <row r="1534" spans="1:13" ht="15">
      <c r="A1534" s="2266" t="s">
        <v>4285</v>
      </c>
      <c r="B1534" s="1694" t="str">
        <f>CONCATENATE(LEFT(RIGHT(CONCATENATE("000",IFAData_TEA!A1534),6),3),"-",(RIGHT(RIGHT(CONCATENATE("000",IFAData_TEA!A1534),6),3)))</f>
        <v>163-904</v>
      </c>
      <c r="C1534" s="2266" t="s">
        <v>2729</v>
      </c>
      <c r="D1534" s="2266">
        <v>5</v>
      </c>
      <c r="E1534" s="2266">
        <v>1897</v>
      </c>
      <c r="F1534" s="2266" t="s">
        <v>5961</v>
      </c>
      <c r="G1534" s="2266" t="s">
        <v>5960</v>
      </c>
      <c r="H1534" s="2436">
        <v>351045</v>
      </c>
      <c r="I1534" s="2436">
        <v>185185</v>
      </c>
      <c r="J1534" s="2446">
        <v>0.57403016072286539</v>
      </c>
      <c r="K1534" s="2436">
        <v>201510.41777095827</v>
      </c>
      <c r="L1534" s="2436">
        <v>185185</v>
      </c>
      <c r="M1534" s="2266">
        <v>599</v>
      </c>
    </row>
    <row r="1535" spans="1:13" ht="15">
      <c r="A1535" s="2266" t="s">
        <v>4285</v>
      </c>
      <c r="B1535" s="1694" t="str">
        <f>CONCATENATE(LEFT(RIGHT(CONCATENATE("000",IFAData_TEA!A1535),6),3),"-",(RIGHT(RIGHT(CONCATENATE("000",IFAData_TEA!A1535),6),3)))</f>
        <v>163-904</v>
      </c>
      <c r="C1535" s="2266" t="s">
        <v>2729</v>
      </c>
      <c r="D1535" s="2266">
        <v>2</v>
      </c>
      <c r="E1535" s="2266">
        <v>1898</v>
      </c>
      <c r="F1535" s="2266" t="s">
        <v>5958</v>
      </c>
      <c r="G1535" s="2266" t="s">
        <v>5960</v>
      </c>
      <c r="H1535" s="2436">
        <v>468918</v>
      </c>
      <c r="I1535" s="2436">
        <v>412308</v>
      </c>
      <c r="J1535" s="2446">
        <v>1</v>
      </c>
      <c r="K1535" s="2436">
        <v>468918</v>
      </c>
      <c r="L1535" s="2436">
        <v>412308</v>
      </c>
      <c r="M1535" s="2266">
        <v>599</v>
      </c>
    </row>
    <row r="1536" spans="1:13" ht="15">
      <c r="A1536" s="2266" t="s">
        <v>4285</v>
      </c>
      <c r="B1536" s="1694" t="str">
        <f>CONCATENATE(LEFT(RIGHT(CONCATENATE("000",IFAData_TEA!A1536),6),3),"-",(RIGHT(RIGHT(CONCATENATE("000",IFAData_TEA!A1536),6),3)))</f>
        <v>163-904</v>
      </c>
      <c r="C1536" s="2266" t="s">
        <v>2729</v>
      </c>
      <c r="D1536" s="2266">
        <v>2</v>
      </c>
      <c r="E1536" s="2266">
        <v>1898</v>
      </c>
      <c r="F1536" s="2266" t="s">
        <v>5958</v>
      </c>
      <c r="G1536" s="2266" t="s">
        <v>5959</v>
      </c>
      <c r="H1536" s="2436">
        <v>468918</v>
      </c>
      <c r="I1536" s="2436">
        <v>0</v>
      </c>
      <c r="J1536" s="2446">
        <v>0</v>
      </c>
      <c r="K1536" s="2436">
        <v>0</v>
      </c>
      <c r="L1536" s="2436">
        <v>0</v>
      </c>
      <c r="M1536" s="2266">
        <v>599</v>
      </c>
    </row>
    <row r="1537" spans="1:13" ht="15">
      <c r="A1537" s="2266" t="s">
        <v>4285</v>
      </c>
      <c r="B1537" s="1694" t="str">
        <f>CONCATENATE(LEFT(RIGHT(CONCATENATE("000",IFAData_TEA!A1537),6),3),"-",(RIGHT(RIGHT(CONCATENATE("000",IFAData_TEA!A1537),6),3)))</f>
        <v>163-904</v>
      </c>
      <c r="C1537" s="2266" t="s">
        <v>2729</v>
      </c>
      <c r="D1537" s="2266">
        <v>2</v>
      </c>
      <c r="E1537" s="2266">
        <v>1898</v>
      </c>
      <c r="F1537" s="2266" t="s">
        <v>5958</v>
      </c>
      <c r="G1537" s="2266" t="s">
        <v>5958</v>
      </c>
      <c r="H1537" s="2436">
        <v>468918</v>
      </c>
      <c r="I1537" s="2436">
        <v>0</v>
      </c>
      <c r="J1537" s="2446">
        <v>0</v>
      </c>
      <c r="K1537" s="2436">
        <v>0</v>
      </c>
      <c r="L1537" s="2436">
        <v>0</v>
      </c>
      <c r="M1537" s="2266">
        <v>599</v>
      </c>
    </row>
    <row r="1538" spans="1:13" ht="15">
      <c r="A1538" s="2266" t="s">
        <v>4285</v>
      </c>
      <c r="B1538" s="1694" t="str">
        <f>CONCATENATE(LEFT(RIGHT(CONCATENATE("000",IFAData_TEA!A1538),6),3),"-",(RIGHT(RIGHT(CONCATENATE("000",IFAData_TEA!A1538),6),3)))</f>
        <v>163-904</v>
      </c>
      <c r="C1538" s="2266" t="s">
        <v>2729</v>
      </c>
      <c r="D1538" s="2266">
        <v>5</v>
      </c>
      <c r="E1538" s="2266">
        <v>1897</v>
      </c>
      <c r="F1538" s="2266" t="s">
        <v>5961</v>
      </c>
      <c r="G1538" s="2266" t="s">
        <v>5962</v>
      </c>
      <c r="H1538" s="2436">
        <v>351045</v>
      </c>
      <c r="I1538" s="2436">
        <v>137420</v>
      </c>
      <c r="J1538" s="2446">
        <v>0.42596983927713455</v>
      </c>
      <c r="K1538" s="2436">
        <v>149534.5822290417</v>
      </c>
      <c r="L1538" s="2436">
        <v>137420</v>
      </c>
      <c r="M1538" s="2266">
        <v>599</v>
      </c>
    </row>
    <row r="1539" spans="1:13" ht="15">
      <c r="A1539" s="2266" t="s">
        <v>4286</v>
      </c>
      <c r="B1539" s="1694" t="str">
        <f>CONCATENATE(LEFT(RIGHT(CONCATENATE("000",IFAData_TEA!A1539),6),3),"-",(RIGHT(RIGHT(CONCATENATE("000",IFAData_TEA!A1539),6),3)))</f>
        <v>163-908</v>
      </c>
      <c r="C1539" s="2266" t="s">
        <v>931</v>
      </c>
      <c r="D1539" s="2266">
        <v>9</v>
      </c>
      <c r="E1539" s="2266">
        <v>2087</v>
      </c>
      <c r="F1539" s="2266" t="s">
        <v>5967</v>
      </c>
      <c r="G1539" s="2266" t="s">
        <v>7023</v>
      </c>
      <c r="H1539" s="2436">
        <v>778750</v>
      </c>
      <c r="I1539" s="2436">
        <v>99191</v>
      </c>
      <c r="J1539" s="2446">
        <v>4.5075713165211119E-2</v>
      </c>
      <c r="K1539" s="2436">
        <v>35102.711627408156</v>
      </c>
      <c r="L1539" s="2436">
        <v>35102.711627408156</v>
      </c>
      <c r="M1539" s="2266">
        <v>599</v>
      </c>
    </row>
    <row r="1540" spans="1:13" ht="15">
      <c r="A1540" s="2266" t="s">
        <v>4286</v>
      </c>
      <c r="B1540" s="1694" t="str">
        <f>CONCATENATE(LEFT(RIGHT(CONCATENATE("000",IFAData_TEA!A1540),6),3),"-",(RIGHT(RIGHT(CONCATENATE("000",IFAData_TEA!A1540),6),3)))</f>
        <v>163-908</v>
      </c>
      <c r="C1540" s="2266" t="s">
        <v>931</v>
      </c>
      <c r="D1540" s="2266">
        <v>5</v>
      </c>
      <c r="E1540" s="2266">
        <v>2086</v>
      </c>
      <c r="F1540" s="2266" t="s">
        <v>5966</v>
      </c>
      <c r="G1540" s="2266" t="s">
        <v>5966</v>
      </c>
      <c r="H1540" s="2436">
        <v>728095</v>
      </c>
      <c r="I1540" s="2436">
        <v>0</v>
      </c>
      <c r="J1540" s="2446">
        <v>0</v>
      </c>
      <c r="K1540" s="2436">
        <v>0</v>
      </c>
      <c r="L1540" s="2436">
        <v>0</v>
      </c>
      <c r="M1540" s="2266">
        <v>599</v>
      </c>
    </row>
    <row r="1541" spans="1:13" ht="15">
      <c r="A1541" s="2266" t="s">
        <v>4286</v>
      </c>
      <c r="B1541" s="1694" t="str">
        <f>CONCATENATE(LEFT(RIGHT(CONCATENATE("000",IFAData_TEA!A1541),6),3),"-",(RIGHT(RIGHT(CONCATENATE("000",IFAData_TEA!A1541),6),3)))</f>
        <v>163-908</v>
      </c>
      <c r="C1541" s="2266" t="s">
        <v>931</v>
      </c>
      <c r="D1541" s="2266">
        <v>5</v>
      </c>
      <c r="E1541" s="2266">
        <v>2086</v>
      </c>
      <c r="F1541" s="2266" t="s">
        <v>5966</v>
      </c>
      <c r="G1541" s="2266" t="s">
        <v>5964</v>
      </c>
      <c r="H1541" s="2436">
        <v>728095</v>
      </c>
      <c r="I1541" s="2436">
        <v>343569</v>
      </c>
      <c r="J1541" s="2446">
        <v>0.49272674861354315</v>
      </c>
      <c r="K1541" s="2436">
        <v>358751.8820317777</v>
      </c>
      <c r="L1541" s="2436">
        <v>343569</v>
      </c>
      <c r="M1541" s="2266">
        <v>599</v>
      </c>
    </row>
    <row r="1542" spans="1:13" ht="15">
      <c r="A1542" s="2266" t="s">
        <v>4286</v>
      </c>
      <c r="B1542" s="1694" t="str">
        <f>CONCATENATE(LEFT(RIGHT(CONCATENATE("000",IFAData_TEA!A1542),6),3),"-",(RIGHT(RIGHT(CONCATENATE("000",IFAData_TEA!A1542),6),3)))</f>
        <v>163-908</v>
      </c>
      <c r="C1542" s="2266" t="s">
        <v>931</v>
      </c>
      <c r="D1542" s="2266">
        <v>2</v>
      </c>
      <c r="E1542" s="2266">
        <v>2085</v>
      </c>
      <c r="F1542" s="2266" t="s">
        <v>5963</v>
      </c>
      <c r="G1542" s="2266" t="s">
        <v>5964</v>
      </c>
      <c r="H1542" s="2436">
        <v>528404</v>
      </c>
      <c r="I1542" s="2436">
        <v>496171</v>
      </c>
      <c r="J1542" s="2446">
        <v>1</v>
      </c>
      <c r="K1542" s="2436">
        <v>528404</v>
      </c>
      <c r="L1542" s="2436">
        <v>496171</v>
      </c>
      <c r="M1542" s="2266">
        <v>599</v>
      </c>
    </row>
    <row r="1543" spans="1:13" ht="15">
      <c r="A1543" s="2266" t="s">
        <v>4286</v>
      </c>
      <c r="B1543" s="1694" t="str">
        <f>CONCATENATE(LEFT(RIGHT(CONCATENATE("000",IFAData_TEA!A1543),6),3),"-",(RIGHT(RIGHT(CONCATENATE("000",IFAData_TEA!A1543),6),3)))</f>
        <v>163-908</v>
      </c>
      <c r="C1543" s="2266" t="s">
        <v>931</v>
      </c>
      <c r="D1543" s="2266">
        <v>2</v>
      </c>
      <c r="E1543" s="2266">
        <v>2085</v>
      </c>
      <c r="F1543" s="2266" t="s">
        <v>5963</v>
      </c>
      <c r="G1543" s="2266" t="s">
        <v>5965</v>
      </c>
      <c r="H1543" s="2436">
        <v>528404</v>
      </c>
      <c r="I1543" s="2436">
        <v>0</v>
      </c>
      <c r="J1543" s="2446">
        <v>0</v>
      </c>
      <c r="K1543" s="2436">
        <v>0</v>
      </c>
      <c r="L1543" s="2436">
        <v>0</v>
      </c>
      <c r="M1543" s="2266">
        <v>599</v>
      </c>
    </row>
    <row r="1544" spans="1:13" ht="15">
      <c r="A1544" s="2266" t="s">
        <v>4286</v>
      </c>
      <c r="B1544" s="1694" t="str">
        <f>CONCATENATE(LEFT(RIGHT(CONCATENATE("000",IFAData_TEA!A1544),6),3),"-",(RIGHT(RIGHT(CONCATENATE("000",IFAData_TEA!A1544),6),3)))</f>
        <v>163-908</v>
      </c>
      <c r="C1544" s="2266" t="s">
        <v>931</v>
      </c>
      <c r="D1544" s="2266">
        <v>5</v>
      </c>
      <c r="E1544" s="2266">
        <v>2086</v>
      </c>
      <c r="F1544" s="2266" t="s">
        <v>5966</v>
      </c>
      <c r="G1544" s="2266" t="s">
        <v>5965</v>
      </c>
      <c r="H1544" s="2436">
        <v>728095</v>
      </c>
      <c r="I1544" s="2436">
        <v>353712</v>
      </c>
      <c r="J1544" s="2446">
        <v>0.50727325138645685</v>
      </c>
      <c r="K1544" s="2436">
        <v>369343.1179682223</v>
      </c>
      <c r="L1544" s="2436">
        <v>353712</v>
      </c>
      <c r="M1544" s="2266">
        <v>599</v>
      </c>
    </row>
    <row r="1545" spans="1:13" ht="15">
      <c r="A1545" s="2266" t="s">
        <v>4286</v>
      </c>
      <c r="B1545" s="1694" t="str">
        <f>CONCATENATE(LEFT(RIGHT(CONCATENATE("000",IFAData_TEA!A1545),6),3),"-",(RIGHT(RIGHT(CONCATENATE("000",IFAData_TEA!A1545),6),3)))</f>
        <v>163-908</v>
      </c>
      <c r="C1545" s="2266" t="s">
        <v>931</v>
      </c>
      <c r="D1545" s="2266">
        <v>2</v>
      </c>
      <c r="E1545" s="2266">
        <v>2085</v>
      </c>
      <c r="F1545" s="2266" t="s">
        <v>5963</v>
      </c>
      <c r="G1545" s="2266" t="s">
        <v>5963</v>
      </c>
      <c r="H1545" s="2436">
        <v>528404</v>
      </c>
      <c r="I1545" s="2436">
        <v>0</v>
      </c>
      <c r="J1545" s="2446">
        <v>0</v>
      </c>
      <c r="K1545" s="2436">
        <v>0</v>
      </c>
      <c r="L1545" s="2436">
        <v>0</v>
      </c>
      <c r="M1545" s="2266">
        <v>599</v>
      </c>
    </row>
    <row r="1546" spans="1:13" ht="15">
      <c r="A1546" s="2266" t="s">
        <v>4286</v>
      </c>
      <c r="B1546" s="1694" t="str">
        <f>CONCATENATE(LEFT(RIGHT(CONCATENATE("000",IFAData_TEA!A1546),6),3),"-",(RIGHT(RIGHT(CONCATENATE("000",IFAData_TEA!A1546),6),3)))</f>
        <v>163-908</v>
      </c>
      <c r="C1546" s="2266" t="s">
        <v>931</v>
      </c>
      <c r="D1546" s="2266">
        <v>9</v>
      </c>
      <c r="E1546" s="2266">
        <v>2087</v>
      </c>
      <c r="F1546" s="2266" t="s">
        <v>5967</v>
      </c>
      <c r="G1546" s="2266" t="s">
        <v>5967</v>
      </c>
      <c r="H1546" s="2436">
        <v>778750</v>
      </c>
      <c r="I1546" s="2436">
        <v>1941312</v>
      </c>
      <c r="J1546" s="2446">
        <v>0.88219720414334291</v>
      </c>
      <c r="K1546" s="2436">
        <v>687011.07272662828</v>
      </c>
      <c r="L1546" s="2436">
        <v>687011.07272662828</v>
      </c>
      <c r="M1546" s="2266">
        <v>599</v>
      </c>
    </row>
    <row r="1547" spans="1:13" ht="15">
      <c r="A1547" s="2266" t="s">
        <v>4286</v>
      </c>
      <c r="B1547" s="1694" t="str">
        <f>CONCATENATE(LEFT(RIGHT(CONCATENATE("000",IFAData_TEA!A1547),6),3),"-",(RIGHT(RIGHT(CONCATENATE("000",IFAData_TEA!A1547),6),3)))</f>
        <v>163-908</v>
      </c>
      <c r="C1547" s="2266" t="s">
        <v>931</v>
      </c>
      <c r="D1547" s="2266">
        <v>9</v>
      </c>
      <c r="E1547" s="2266">
        <v>2087</v>
      </c>
      <c r="F1547" s="2266" t="s">
        <v>5967</v>
      </c>
      <c r="G1547" s="2266" t="s">
        <v>7024</v>
      </c>
      <c r="H1547" s="2436">
        <v>778750</v>
      </c>
      <c r="I1547" s="2436">
        <v>160039</v>
      </c>
      <c r="J1547" s="2446">
        <v>7.272708269144601E-2</v>
      </c>
      <c r="K1547" s="2436">
        <v>56636.215645963581</v>
      </c>
      <c r="L1547" s="2436">
        <v>56636.215645963581</v>
      </c>
      <c r="M1547" s="2266">
        <v>599</v>
      </c>
    </row>
    <row r="1548" spans="1:13" ht="15">
      <c r="A1548" s="2266" t="s">
        <v>4287</v>
      </c>
      <c r="B1548" s="1694" t="str">
        <f>CONCATENATE(LEFT(RIGHT(CONCATENATE("000",IFAData_TEA!A1548),6),3),"-",(RIGHT(RIGHT(CONCATENATE("000",IFAData_TEA!A1548),6),3)))</f>
        <v>165-901</v>
      </c>
      <c r="C1548" s="2266" t="s">
        <v>2555</v>
      </c>
      <c r="D1548" s="2266">
        <v>1</v>
      </c>
      <c r="E1548" s="2266">
        <v>2104</v>
      </c>
      <c r="F1548" s="2266" t="s">
        <v>5970</v>
      </c>
      <c r="G1548" s="2266" t="s">
        <v>5970</v>
      </c>
      <c r="H1548" s="2436">
        <v>1498095</v>
      </c>
      <c r="I1548" s="2436">
        <v>0</v>
      </c>
      <c r="J1548" s="2446">
        <v>0</v>
      </c>
      <c r="K1548" s="2436">
        <v>0</v>
      </c>
      <c r="L1548" s="2436">
        <v>0</v>
      </c>
      <c r="M1548" s="2266">
        <v>599</v>
      </c>
    </row>
    <row r="1549" spans="1:13" ht="15">
      <c r="A1549" s="2266" t="s">
        <v>4287</v>
      </c>
      <c r="B1549" s="1694" t="str">
        <f>CONCATENATE(LEFT(RIGHT(CONCATENATE("000",IFAData_TEA!A1549),6),3),"-",(RIGHT(RIGHT(CONCATENATE("000",IFAData_TEA!A1549),6),3)))</f>
        <v>165-901</v>
      </c>
      <c r="C1549" s="2266" t="s">
        <v>2555</v>
      </c>
      <c r="D1549" s="2266">
        <v>1</v>
      </c>
      <c r="E1549" s="2266">
        <v>2103</v>
      </c>
      <c r="F1549" s="2266" t="s">
        <v>5968</v>
      </c>
      <c r="G1549" s="2266" t="s">
        <v>5969</v>
      </c>
      <c r="H1549" s="2436">
        <v>1268572</v>
      </c>
      <c r="I1549" s="2436">
        <v>80710</v>
      </c>
      <c r="J1549" s="2446">
        <v>1</v>
      </c>
      <c r="K1549" s="2436">
        <v>1268572</v>
      </c>
      <c r="L1549" s="2436">
        <v>80710</v>
      </c>
      <c r="M1549" s="2266">
        <v>599</v>
      </c>
    </row>
    <row r="1550" spans="1:13" ht="15">
      <c r="A1550" s="2266" t="s">
        <v>4287</v>
      </c>
      <c r="B1550" s="1694" t="str">
        <f>CONCATENATE(LEFT(RIGHT(CONCATENATE("000",IFAData_TEA!A1550),6),3),"-",(RIGHT(RIGHT(CONCATENATE("000",IFAData_TEA!A1550),6),3)))</f>
        <v>165-901</v>
      </c>
      <c r="C1550" s="2266" t="s">
        <v>2555</v>
      </c>
      <c r="D1550" s="2266">
        <v>1</v>
      </c>
      <c r="E1550" s="2266">
        <v>2103</v>
      </c>
      <c r="F1550" s="2266" t="s">
        <v>5968</v>
      </c>
      <c r="G1550" s="2266" t="s">
        <v>5968</v>
      </c>
      <c r="H1550" s="2436">
        <v>1268572</v>
      </c>
      <c r="I1550" s="2436">
        <v>0</v>
      </c>
      <c r="J1550" s="2446">
        <v>0</v>
      </c>
      <c r="K1550" s="2436">
        <v>0</v>
      </c>
      <c r="L1550" s="2436">
        <v>0</v>
      </c>
      <c r="M1550" s="2266">
        <v>599</v>
      </c>
    </row>
    <row r="1551" spans="1:13" ht="15">
      <c r="A1551" s="2266" t="s">
        <v>4287</v>
      </c>
      <c r="B1551" s="1694" t="str">
        <f>CONCATENATE(LEFT(RIGHT(CONCATENATE("000",IFAData_TEA!A1551),6),3),"-",(RIGHT(RIGHT(CONCATENATE("000",IFAData_TEA!A1551),6),3)))</f>
        <v>165-901</v>
      </c>
      <c r="C1551" s="2266" t="s">
        <v>2555</v>
      </c>
      <c r="D1551" s="2266">
        <v>1</v>
      </c>
      <c r="E1551" s="2266">
        <v>2104</v>
      </c>
      <c r="F1551" s="2266" t="s">
        <v>5970</v>
      </c>
      <c r="G1551" s="2266" t="s">
        <v>5971</v>
      </c>
      <c r="H1551" s="2436">
        <v>1498095</v>
      </c>
      <c r="I1551" s="2436">
        <v>103984</v>
      </c>
      <c r="J1551" s="2446">
        <v>1</v>
      </c>
      <c r="K1551" s="2436">
        <v>1498095</v>
      </c>
      <c r="L1551" s="2436">
        <v>103984</v>
      </c>
      <c r="M1551" s="2266">
        <v>599</v>
      </c>
    </row>
    <row r="1552" spans="1:13" ht="15">
      <c r="A1552" s="2266" t="s">
        <v>4288</v>
      </c>
      <c r="B1552" s="1694" t="str">
        <f>CONCATENATE(LEFT(RIGHT(CONCATENATE("000",IFAData_TEA!A1552),6),3),"-",(RIGHT(RIGHT(CONCATENATE("000",IFAData_TEA!A1552),6),3)))</f>
        <v>166-901</v>
      </c>
      <c r="C1552" s="2266" t="s">
        <v>727</v>
      </c>
      <c r="D1552" s="2266">
        <v>3</v>
      </c>
      <c r="E1552" s="2266">
        <v>1660</v>
      </c>
      <c r="F1552" s="2266" t="s">
        <v>5972</v>
      </c>
      <c r="G1552" s="2266" t="s">
        <v>5973</v>
      </c>
      <c r="H1552" s="2436">
        <v>407753</v>
      </c>
      <c r="I1552" s="2436">
        <v>536197</v>
      </c>
      <c r="J1552" s="2446">
        <v>1</v>
      </c>
      <c r="K1552" s="2436">
        <v>407753</v>
      </c>
      <c r="L1552" s="2436">
        <v>407753</v>
      </c>
      <c r="M1552" s="2266">
        <v>599</v>
      </c>
    </row>
    <row r="1553" spans="1:13" ht="15">
      <c r="A1553" s="2266" t="s">
        <v>4288</v>
      </c>
      <c r="B1553" s="1694" t="str">
        <f>CONCATENATE(LEFT(RIGHT(CONCATENATE("000",IFAData_TEA!A1553),6),3),"-",(RIGHT(RIGHT(CONCATENATE("000",IFAData_TEA!A1553),6),3)))</f>
        <v>166-901</v>
      </c>
      <c r="C1553" s="2266" t="s">
        <v>727</v>
      </c>
      <c r="D1553" s="2266">
        <v>6</v>
      </c>
      <c r="E1553" s="2266">
        <v>1659</v>
      </c>
      <c r="F1553" s="2266" t="s">
        <v>5974</v>
      </c>
      <c r="G1553" s="2266" t="s">
        <v>5975</v>
      </c>
      <c r="H1553" s="2436">
        <v>390173</v>
      </c>
      <c r="I1553" s="2436">
        <v>717290</v>
      </c>
      <c r="J1553" s="2446">
        <v>1</v>
      </c>
      <c r="K1553" s="2436">
        <v>390173</v>
      </c>
      <c r="L1553" s="2436">
        <v>390173</v>
      </c>
      <c r="M1553" s="2266">
        <v>599</v>
      </c>
    </row>
    <row r="1554" spans="1:13" ht="15">
      <c r="A1554" s="2266" t="s">
        <v>4288</v>
      </c>
      <c r="B1554" s="1694" t="str">
        <f>CONCATENATE(LEFT(RIGHT(CONCATENATE("000",IFAData_TEA!A1554),6),3),"-",(RIGHT(RIGHT(CONCATENATE("000",IFAData_TEA!A1554),6),3)))</f>
        <v>166-901</v>
      </c>
      <c r="C1554" s="2266" t="s">
        <v>727</v>
      </c>
      <c r="D1554" s="2266">
        <v>6</v>
      </c>
      <c r="E1554" s="2266">
        <v>1659</v>
      </c>
      <c r="F1554" s="2266" t="s">
        <v>5974</v>
      </c>
      <c r="G1554" s="2266" t="s">
        <v>5974</v>
      </c>
      <c r="H1554" s="2436">
        <v>390173</v>
      </c>
      <c r="I1554" s="2436">
        <v>0</v>
      </c>
      <c r="J1554" s="2446">
        <v>0</v>
      </c>
      <c r="K1554" s="2436">
        <v>0</v>
      </c>
      <c r="L1554" s="2436">
        <v>0</v>
      </c>
      <c r="M1554" s="2266">
        <v>599</v>
      </c>
    </row>
    <row r="1555" spans="1:13" ht="15">
      <c r="A1555" s="2266" t="s">
        <v>4288</v>
      </c>
      <c r="B1555" s="1694" t="str">
        <f>CONCATENATE(LEFT(RIGHT(CONCATENATE("000",IFAData_TEA!A1555),6),3),"-",(RIGHT(RIGHT(CONCATENATE("000",IFAData_TEA!A1555),6),3)))</f>
        <v>166-901</v>
      </c>
      <c r="C1555" s="2266" t="s">
        <v>727</v>
      </c>
      <c r="D1555" s="2266">
        <v>3</v>
      </c>
      <c r="E1555" s="2266">
        <v>1660</v>
      </c>
      <c r="F1555" s="2266" t="s">
        <v>5972</v>
      </c>
      <c r="G1555" s="2266" t="s">
        <v>5972</v>
      </c>
      <c r="H1555" s="2436">
        <v>407753</v>
      </c>
      <c r="I1555" s="2436">
        <v>0</v>
      </c>
      <c r="J1555" s="2446">
        <v>0</v>
      </c>
      <c r="K1555" s="2436">
        <v>0</v>
      </c>
      <c r="L1555" s="2436">
        <v>0</v>
      </c>
      <c r="M1555" s="2266">
        <v>599</v>
      </c>
    </row>
    <row r="1556" spans="1:13" ht="15">
      <c r="A1556" s="2266" t="s">
        <v>4289</v>
      </c>
      <c r="B1556" s="1694" t="str">
        <f>CONCATENATE(LEFT(RIGHT(CONCATENATE("000",IFAData_TEA!A1556),6),3),"-",(RIGHT(RIGHT(CONCATENATE("000",IFAData_TEA!A1556),6),3)))</f>
        <v>166-907</v>
      </c>
      <c r="C1556" s="2266" t="s">
        <v>3033</v>
      </c>
      <c r="D1556" s="2266">
        <v>4</v>
      </c>
      <c r="E1556" s="2266">
        <v>1649</v>
      </c>
      <c r="F1556" s="2266" t="s">
        <v>5976</v>
      </c>
      <c r="G1556" s="2266" t="s">
        <v>5977</v>
      </c>
      <c r="H1556" s="2436">
        <v>100000</v>
      </c>
      <c r="I1556" s="2436">
        <v>85304</v>
      </c>
      <c r="J1556" s="2446">
        <v>1</v>
      </c>
      <c r="K1556" s="2436">
        <v>100000</v>
      </c>
      <c r="L1556" s="2436">
        <v>85304</v>
      </c>
      <c r="M1556" s="2266">
        <v>599</v>
      </c>
    </row>
    <row r="1557" spans="1:13" ht="15">
      <c r="A1557" s="2266" t="s">
        <v>4289</v>
      </c>
      <c r="B1557" s="1694" t="str">
        <f>CONCATENATE(LEFT(RIGHT(CONCATENATE("000",IFAData_TEA!A1557),6),3),"-",(RIGHT(RIGHT(CONCATENATE("000",IFAData_TEA!A1557),6),3)))</f>
        <v>166-907</v>
      </c>
      <c r="C1557" s="2266" t="s">
        <v>3033</v>
      </c>
      <c r="D1557" s="2266">
        <v>4</v>
      </c>
      <c r="E1557" s="2266">
        <v>1649</v>
      </c>
      <c r="F1557" s="2266" t="s">
        <v>5976</v>
      </c>
      <c r="G1557" s="2266" t="s">
        <v>5976</v>
      </c>
      <c r="H1557" s="2436">
        <v>100000</v>
      </c>
      <c r="I1557" s="2436">
        <v>0</v>
      </c>
      <c r="J1557" s="2446">
        <v>0</v>
      </c>
      <c r="K1557" s="2436">
        <v>0</v>
      </c>
      <c r="L1557" s="2436">
        <v>0</v>
      </c>
      <c r="M1557" s="2266">
        <v>599</v>
      </c>
    </row>
    <row r="1558" spans="1:13" ht="15">
      <c r="A1558" s="2266" t="s">
        <v>4290</v>
      </c>
      <c r="B1558" s="1694" t="str">
        <f>CONCATENATE(LEFT(RIGHT(CONCATENATE("000",IFAData_TEA!A1558),6),3),"-",(RIGHT(RIGHT(CONCATENATE("000",IFAData_TEA!A1558),6),3)))</f>
        <v>167-901</v>
      </c>
      <c r="C1558" s="2266" t="s">
        <v>972</v>
      </c>
      <c r="D1558" s="2266">
        <v>2</v>
      </c>
      <c r="E1558" s="2266">
        <v>1849</v>
      </c>
      <c r="F1558" s="2266" t="s">
        <v>5978</v>
      </c>
      <c r="G1558" s="2266" t="s">
        <v>5978</v>
      </c>
      <c r="H1558" s="2436">
        <v>149754</v>
      </c>
      <c r="I1558" s="2436">
        <v>0</v>
      </c>
      <c r="J1558" s="2446">
        <v>0</v>
      </c>
      <c r="K1558" s="2436">
        <v>0</v>
      </c>
      <c r="L1558" s="2436">
        <v>0</v>
      </c>
      <c r="M1558" s="2266">
        <v>599</v>
      </c>
    </row>
    <row r="1559" spans="1:13" ht="15">
      <c r="A1559" s="2266" t="s">
        <v>4290</v>
      </c>
      <c r="B1559" s="1694" t="str">
        <f>CONCATENATE(LEFT(RIGHT(CONCATENATE("000",IFAData_TEA!A1559),6),3),"-",(RIGHT(RIGHT(CONCATENATE("000",IFAData_TEA!A1559),6),3)))</f>
        <v>167-901</v>
      </c>
      <c r="C1559" s="2266" t="s">
        <v>972</v>
      </c>
      <c r="D1559" s="2266">
        <v>2</v>
      </c>
      <c r="E1559" s="2266">
        <v>1849</v>
      </c>
      <c r="F1559" s="2266" t="s">
        <v>5978</v>
      </c>
      <c r="G1559" s="2266" t="s">
        <v>5979</v>
      </c>
      <c r="H1559" s="2436">
        <v>149754</v>
      </c>
      <c r="I1559" s="2436">
        <v>147360</v>
      </c>
      <c r="J1559" s="2446">
        <v>1</v>
      </c>
      <c r="K1559" s="2436">
        <v>149754</v>
      </c>
      <c r="L1559" s="2436">
        <v>147360</v>
      </c>
      <c r="M1559" s="2266">
        <v>599</v>
      </c>
    </row>
    <row r="1560" spans="1:13" ht="15">
      <c r="A1560" s="2266" t="s">
        <v>4291</v>
      </c>
      <c r="B1560" s="1694" t="str">
        <f>CONCATENATE(LEFT(RIGHT(CONCATENATE("000",IFAData_TEA!A1560),6),3),"-",(RIGHT(RIGHT(CONCATENATE("000",IFAData_TEA!A1560),6),3)))</f>
        <v>167-904</v>
      </c>
      <c r="C1560" s="2266" t="s">
        <v>86</v>
      </c>
      <c r="D1560" s="2266">
        <v>6</v>
      </c>
      <c r="E1560" s="2266">
        <v>2212</v>
      </c>
      <c r="F1560" s="2266" t="s">
        <v>5980</v>
      </c>
      <c r="G1560" s="2266" t="s">
        <v>5980</v>
      </c>
      <c r="H1560" s="2436">
        <v>73691</v>
      </c>
      <c r="I1560" s="2436">
        <v>73470</v>
      </c>
      <c r="J1560" s="2446">
        <v>1</v>
      </c>
      <c r="K1560" s="2436">
        <v>73691</v>
      </c>
      <c r="L1560" s="2436">
        <v>73470</v>
      </c>
      <c r="M1560" s="2266">
        <v>599</v>
      </c>
    </row>
    <row r="1561" spans="1:13" ht="15">
      <c r="A1561" s="2266" t="s">
        <v>4292</v>
      </c>
      <c r="B1561" s="1694" t="str">
        <f>CONCATENATE(LEFT(RIGHT(CONCATENATE("000",IFAData_TEA!A1561),6),3),"-",(RIGHT(RIGHT(CONCATENATE("000",IFAData_TEA!A1561),6),3)))</f>
        <v>169-901</v>
      </c>
      <c r="C1561" s="2266" t="s">
        <v>1542</v>
      </c>
      <c r="D1561" s="2266">
        <v>9</v>
      </c>
      <c r="E1561" s="2266">
        <v>1630</v>
      </c>
      <c r="F1561" s="2266" t="s">
        <v>5981</v>
      </c>
      <c r="G1561" s="2266" t="s">
        <v>5982</v>
      </c>
      <c r="H1561" s="2436">
        <v>357946</v>
      </c>
      <c r="I1561" s="2436">
        <v>327868</v>
      </c>
      <c r="J1561" s="2446">
        <v>0.3601259190752461</v>
      </c>
      <c r="K1561" s="2436">
        <v>128905.63222930804</v>
      </c>
      <c r="L1561" s="2436">
        <v>128905.63222930804</v>
      </c>
      <c r="M1561" s="2266">
        <v>599</v>
      </c>
    </row>
    <row r="1562" spans="1:13" ht="15">
      <c r="A1562" s="2266" t="s">
        <v>4292</v>
      </c>
      <c r="B1562" s="1694" t="str">
        <f>CONCATENATE(LEFT(RIGHT(CONCATENATE("000",IFAData_TEA!A1562),6),3),"-",(RIGHT(RIGHT(CONCATENATE("000",IFAData_TEA!A1562),6),3)))</f>
        <v>169-901</v>
      </c>
      <c r="C1562" s="2266" t="s">
        <v>1542</v>
      </c>
      <c r="D1562" s="2266">
        <v>9</v>
      </c>
      <c r="E1562" s="2266">
        <v>1630</v>
      </c>
      <c r="F1562" s="2266" t="s">
        <v>5981</v>
      </c>
      <c r="G1562" s="2266" t="s">
        <v>5981</v>
      </c>
      <c r="H1562" s="2436">
        <v>357946</v>
      </c>
      <c r="I1562" s="2436">
        <v>582558</v>
      </c>
      <c r="J1562" s="2446">
        <v>0.63987408092475395</v>
      </c>
      <c r="K1562" s="2436">
        <v>229040.36777069198</v>
      </c>
      <c r="L1562" s="2436">
        <v>229040.36777069198</v>
      </c>
      <c r="M1562" s="2266">
        <v>599</v>
      </c>
    </row>
    <row r="1563" spans="1:13" ht="15">
      <c r="A1563" s="2266" t="s">
        <v>4293</v>
      </c>
      <c r="B1563" s="1694" t="str">
        <f>CONCATENATE(LEFT(RIGHT(CONCATENATE("000",IFAData_TEA!A1563),6),3),"-",(RIGHT(RIGHT(CONCATENATE("000",IFAData_TEA!A1563),6),3)))</f>
        <v>170-902</v>
      </c>
      <c r="C1563" s="2266" t="s">
        <v>1746</v>
      </c>
      <c r="D1563" s="2266">
        <v>1</v>
      </c>
      <c r="E1563" s="2266">
        <v>1717</v>
      </c>
      <c r="F1563" s="2266" t="s">
        <v>5983</v>
      </c>
      <c r="G1563" s="2266" t="s">
        <v>5985</v>
      </c>
      <c r="H1563" s="2436">
        <v>398132</v>
      </c>
      <c r="I1563" s="2436">
        <v>635023</v>
      </c>
      <c r="J1563" s="2446">
        <v>0.6353730905729057</v>
      </c>
      <c r="K1563" s="2436">
        <v>252962.3592959721</v>
      </c>
      <c r="L1563" s="2436">
        <v>252962.3592959721</v>
      </c>
      <c r="M1563" s="2266">
        <v>599</v>
      </c>
    </row>
    <row r="1564" spans="1:13" ht="15">
      <c r="A1564" s="2266" t="s">
        <v>4293</v>
      </c>
      <c r="B1564" s="1694" t="str">
        <f>CONCATENATE(LEFT(RIGHT(CONCATENATE("000",IFAData_TEA!A1564),6),3),"-",(RIGHT(RIGHT(CONCATENATE("000",IFAData_TEA!A1564),6),3)))</f>
        <v>170-902</v>
      </c>
      <c r="C1564" s="2266" t="s">
        <v>1746</v>
      </c>
      <c r="D1564" s="2266">
        <v>1</v>
      </c>
      <c r="E1564" s="2266">
        <v>1717</v>
      </c>
      <c r="F1564" s="2266" t="s">
        <v>5983</v>
      </c>
      <c r="G1564" s="2266" t="s">
        <v>7025</v>
      </c>
      <c r="H1564" s="2436">
        <v>398132</v>
      </c>
      <c r="I1564" s="2436">
        <v>63444</v>
      </c>
      <c r="J1564" s="2446">
        <v>6.3478976916280877E-2</v>
      </c>
      <c r="K1564" s="2436">
        <v>25273.01203763274</v>
      </c>
      <c r="L1564" s="2436">
        <v>25273.01203763274</v>
      </c>
      <c r="M1564" s="2266">
        <v>599</v>
      </c>
    </row>
    <row r="1565" spans="1:13" ht="15">
      <c r="A1565" s="2266" t="s">
        <v>4293</v>
      </c>
      <c r="B1565" s="1694" t="str">
        <f>CONCATENATE(LEFT(RIGHT(CONCATENATE("000",IFAData_TEA!A1565),6),3),"-",(RIGHT(RIGHT(CONCATENATE("000",IFAData_TEA!A1565),6),3)))</f>
        <v>170-902</v>
      </c>
      <c r="C1565" s="2266" t="s">
        <v>1746</v>
      </c>
      <c r="D1565" s="2266">
        <v>1</v>
      </c>
      <c r="E1565" s="2266">
        <v>1717</v>
      </c>
      <c r="F1565" s="2266" t="s">
        <v>5983</v>
      </c>
      <c r="G1565" s="2266" t="s">
        <v>5987</v>
      </c>
      <c r="H1565" s="2436">
        <v>398132</v>
      </c>
      <c r="I1565" s="2436">
        <v>87580</v>
      </c>
      <c r="J1565" s="2446">
        <v>8.76282831840344E-2</v>
      </c>
      <c r="K1565" s="2436">
        <v>34887.623640625985</v>
      </c>
      <c r="L1565" s="2436">
        <v>34887.623640625985</v>
      </c>
      <c r="M1565" s="2266">
        <v>599</v>
      </c>
    </row>
    <row r="1566" spans="1:13" ht="15">
      <c r="A1566" s="2266" t="s">
        <v>4293</v>
      </c>
      <c r="B1566" s="1694" t="str">
        <f>CONCATENATE(LEFT(RIGHT(CONCATENATE("000",IFAData_TEA!A1566),6),3),"-",(RIGHT(RIGHT(CONCATENATE("000",IFAData_TEA!A1566),6),3)))</f>
        <v>170-902</v>
      </c>
      <c r="C1566" s="2266" t="s">
        <v>1746</v>
      </c>
      <c r="D1566" s="2266">
        <v>1</v>
      </c>
      <c r="E1566" s="2266">
        <v>1717</v>
      </c>
      <c r="F1566" s="2266" t="s">
        <v>5983</v>
      </c>
      <c r="G1566" s="2266" t="s">
        <v>5986</v>
      </c>
      <c r="H1566" s="2436">
        <v>398132</v>
      </c>
      <c r="I1566" s="2436">
        <v>48940</v>
      </c>
      <c r="J1566" s="2446">
        <v>4.8966980806424337E-2</v>
      </c>
      <c r="K1566" s="2436">
        <v>19495.322002423334</v>
      </c>
      <c r="L1566" s="2436">
        <v>19495.322002423334</v>
      </c>
      <c r="M1566" s="2266">
        <v>599</v>
      </c>
    </row>
    <row r="1567" spans="1:13" ht="15">
      <c r="A1567" s="2266" t="s">
        <v>4293</v>
      </c>
      <c r="B1567" s="1694" t="str">
        <f>CONCATENATE(LEFT(RIGHT(CONCATENATE("000",IFAData_TEA!A1567),6),3),"-",(RIGHT(RIGHT(CONCATENATE("000",IFAData_TEA!A1567),6),3)))</f>
        <v>170-902</v>
      </c>
      <c r="C1567" s="2266" t="s">
        <v>1746</v>
      </c>
      <c r="D1567" s="2266">
        <v>1</v>
      </c>
      <c r="E1567" s="2266">
        <v>1717</v>
      </c>
      <c r="F1567" s="2266" t="s">
        <v>5983</v>
      </c>
      <c r="G1567" s="2266" t="s">
        <v>5984</v>
      </c>
      <c r="H1567" s="2436">
        <v>398132</v>
      </c>
      <c r="I1567" s="2436">
        <v>164462</v>
      </c>
      <c r="J1567" s="2446">
        <v>0.16455266852035472</v>
      </c>
      <c r="K1567" s="2436">
        <v>65513.683023345868</v>
      </c>
      <c r="L1567" s="2436">
        <v>65513.683023345868</v>
      </c>
      <c r="M1567" s="2266">
        <v>599</v>
      </c>
    </row>
    <row r="1568" spans="1:13" ht="15">
      <c r="A1568" s="2266" t="s">
        <v>4293</v>
      </c>
      <c r="B1568" s="1694" t="str">
        <f>CONCATENATE(LEFT(RIGHT(CONCATENATE("000",IFAData_TEA!A1568),6),3),"-",(RIGHT(RIGHT(CONCATENATE("000",IFAData_TEA!A1568),6),3)))</f>
        <v>170-902</v>
      </c>
      <c r="C1568" s="2266" t="s">
        <v>1746</v>
      </c>
      <c r="D1568" s="2266">
        <v>1</v>
      </c>
      <c r="E1568" s="2266">
        <v>1717</v>
      </c>
      <c r="F1568" s="2266" t="s">
        <v>5983</v>
      </c>
      <c r="G1568" s="2266" t="s">
        <v>5983</v>
      </c>
      <c r="H1568" s="2436">
        <v>398132</v>
      </c>
      <c r="I1568" s="2436">
        <v>0</v>
      </c>
      <c r="J1568" s="2446">
        <v>0</v>
      </c>
      <c r="K1568" s="2436">
        <v>0</v>
      </c>
      <c r="L1568" s="2436">
        <v>0</v>
      </c>
      <c r="M1568" s="2266">
        <v>599</v>
      </c>
    </row>
    <row r="1569" spans="1:13" ht="15">
      <c r="A1569" s="2266" t="s">
        <v>4294</v>
      </c>
      <c r="B1569" s="1694" t="str">
        <f>CONCATENATE(LEFT(RIGHT(CONCATENATE("000",IFAData_TEA!A1569),6),3),"-",(RIGHT(RIGHT(CONCATENATE("000",IFAData_TEA!A1569),6),3)))</f>
        <v>170-904</v>
      </c>
      <c r="C1569" s="2266" t="s">
        <v>1288</v>
      </c>
      <c r="D1569" s="2266">
        <v>9</v>
      </c>
      <c r="E1569" s="2266">
        <v>2456</v>
      </c>
      <c r="F1569" s="2266" t="s">
        <v>5993</v>
      </c>
      <c r="G1569" s="2266" t="s">
        <v>5994</v>
      </c>
      <c r="H1569" s="2436">
        <v>798894</v>
      </c>
      <c r="I1569" s="2436">
        <v>167831</v>
      </c>
      <c r="J1569" s="2446">
        <v>0.10801735939258859</v>
      </c>
      <c r="K1569" s="2436">
        <v>86294.420314582676</v>
      </c>
      <c r="L1569" s="2436">
        <v>86294.420314582676</v>
      </c>
      <c r="M1569" s="2266">
        <v>599</v>
      </c>
    </row>
    <row r="1570" spans="1:13" ht="15">
      <c r="A1570" s="2266" t="s">
        <v>4294</v>
      </c>
      <c r="B1570" s="1694" t="str">
        <f>CONCATENATE(LEFT(RIGHT(CONCATENATE("000",IFAData_TEA!A1570),6),3),"-",(RIGHT(RIGHT(CONCATENATE("000",IFAData_TEA!A1570),6),3)))</f>
        <v>170-904</v>
      </c>
      <c r="C1570" s="2266" t="s">
        <v>1288</v>
      </c>
      <c r="D1570" s="2266">
        <v>2</v>
      </c>
      <c r="E1570" s="2266">
        <v>2457</v>
      </c>
      <c r="F1570" s="2266" t="s">
        <v>5988</v>
      </c>
      <c r="G1570" s="2266" t="s">
        <v>5989</v>
      </c>
      <c r="H1570" s="2436">
        <v>890114</v>
      </c>
      <c r="I1570" s="2436">
        <v>227294</v>
      </c>
      <c r="J1570" s="2446">
        <v>0.25329498333424344</v>
      </c>
      <c r="K1570" s="2436">
        <v>225461.41079557675</v>
      </c>
      <c r="L1570" s="2436">
        <v>225461.41079557675</v>
      </c>
      <c r="M1570" s="2266">
        <v>599</v>
      </c>
    </row>
    <row r="1571" spans="1:13" ht="15">
      <c r="A1571" s="2266" t="s">
        <v>4294</v>
      </c>
      <c r="B1571" s="1694" t="str">
        <f>CONCATENATE(LEFT(RIGHT(CONCATENATE("000",IFAData_TEA!A1571),6),3),"-",(RIGHT(RIGHT(CONCATENATE("000",IFAData_TEA!A1571),6),3)))</f>
        <v>170-904</v>
      </c>
      <c r="C1571" s="2266" t="s">
        <v>1288</v>
      </c>
      <c r="D1571" s="2266">
        <v>6</v>
      </c>
      <c r="E1571" s="2266">
        <v>2455</v>
      </c>
      <c r="F1571" s="2266" t="s">
        <v>5991</v>
      </c>
      <c r="G1571" s="2266" t="s">
        <v>5992</v>
      </c>
      <c r="H1571" s="2436">
        <v>700706</v>
      </c>
      <c r="I1571" s="2436">
        <v>624240</v>
      </c>
      <c r="J1571" s="2446">
        <v>0.91511201414359977</v>
      </c>
      <c r="K1571" s="2436">
        <v>641224.47898250527</v>
      </c>
      <c r="L1571" s="2436">
        <v>624240</v>
      </c>
      <c r="M1571" s="2266">
        <v>599</v>
      </c>
    </row>
    <row r="1572" spans="1:13" ht="15">
      <c r="A1572" s="2266" t="s">
        <v>4294</v>
      </c>
      <c r="B1572" s="1694" t="str">
        <f>CONCATENATE(LEFT(RIGHT(CONCATENATE("000",IFAData_TEA!A1572),6),3),"-",(RIGHT(RIGHT(CONCATENATE("000",IFAData_TEA!A1572),6),3)))</f>
        <v>170-904</v>
      </c>
      <c r="C1572" s="2266" t="s">
        <v>1288</v>
      </c>
      <c r="D1572" s="2266">
        <v>6</v>
      </c>
      <c r="E1572" s="2266">
        <v>2455</v>
      </c>
      <c r="F1572" s="2266" t="s">
        <v>5991</v>
      </c>
      <c r="G1572" s="2266" t="s">
        <v>5991</v>
      </c>
      <c r="H1572" s="2436">
        <v>700706</v>
      </c>
      <c r="I1572" s="2436">
        <v>53740</v>
      </c>
      <c r="J1572" s="2446">
        <v>7.8780788863381149E-2</v>
      </c>
      <c r="K1572" s="2436">
        <v>55202.171441304352</v>
      </c>
      <c r="L1572" s="2436">
        <v>53740</v>
      </c>
      <c r="M1572" s="2266">
        <v>599</v>
      </c>
    </row>
    <row r="1573" spans="1:13" ht="15">
      <c r="A1573" s="2266" t="s">
        <v>4294</v>
      </c>
      <c r="B1573" s="1694" t="str">
        <f>CONCATENATE(LEFT(RIGHT(CONCATENATE("000",IFAData_TEA!A1573),6),3),"-",(RIGHT(RIGHT(CONCATENATE("000",IFAData_TEA!A1573),6),3)))</f>
        <v>170-904</v>
      </c>
      <c r="C1573" s="2266" t="s">
        <v>1288</v>
      </c>
      <c r="D1573" s="2266">
        <v>10</v>
      </c>
      <c r="E1573" s="2266">
        <v>2454</v>
      </c>
      <c r="F1573" s="2266" t="s">
        <v>5995</v>
      </c>
      <c r="G1573" s="2266" t="s">
        <v>5995</v>
      </c>
      <c r="H1573" s="2436">
        <v>258116</v>
      </c>
      <c r="I1573" s="2436">
        <v>454267</v>
      </c>
      <c r="J1573" s="2446">
        <v>1</v>
      </c>
      <c r="K1573" s="2436">
        <v>258116</v>
      </c>
      <c r="L1573" s="2436">
        <v>258116</v>
      </c>
      <c r="M1573" s="2266">
        <v>599</v>
      </c>
    </row>
    <row r="1574" spans="1:13" ht="15">
      <c r="A1574" s="2266" t="s">
        <v>4294</v>
      </c>
      <c r="B1574" s="1694" t="str">
        <f>CONCATENATE(LEFT(RIGHT(CONCATENATE("000",IFAData_TEA!A1574),6),3),"-",(RIGHT(RIGHT(CONCATENATE("000",IFAData_TEA!A1574),6),3)))</f>
        <v>170-904</v>
      </c>
      <c r="C1574" s="2266" t="s">
        <v>1288</v>
      </c>
      <c r="D1574" s="2266">
        <v>2</v>
      </c>
      <c r="E1574" s="2266">
        <v>2457</v>
      </c>
      <c r="F1574" s="2266" t="s">
        <v>5988</v>
      </c>
      <c r="G1574" s="2266" t="s">
        <v>5990</v>
      </c>
      <c r="H1574" s="2436">
        <v>890114</v>
      </c>
      <c r="I1574" s="2436">
        <v>59360</v>
      </c>
      <c r="J1574" s="2446">
        <v>6.6150405249239708E-2</v>
      </c>
      <c r="K1574" s="2436">
        <v>58881.401818021754</v>
      </c>
      <c r="L1574" s="2436">
        <v>58881.401818021754</v>
      </c>
      <c r="M1574" s="2266">
        <v>599</v>
      </c>
    </row>
    <row r="1575" spans="1:13" ht="15">
      <c r="A1575" s="2266" t="s">
        <v>4294</v>
      </c>
      <c r="B1575" s="1694" t="str">
        <f>CONCATENATE(LEFT(RIGHT(CONCATENATE("000",IFAData_TEA!A1575),6),3),"-",(RIGHT(RIGHT(CONCATENATE("000",IFAData_TEA!A1575),6),3)))</f>
        <v>170-904</v>
      </c>
      <c r="C1575" s="2266" t="s">
        <v>1288</v>
      </c>
      <c r="D1575" s="2266">
        <v>2</v>
      </c>
      <c r="E1575" s="2266">
        <v>2457</v>
      </c>
      <c r="F1575" s="2266" t="s">
        <v>5988</v>
      </c>
      <c r="G1575" s="2266" t="s">
        <v>5988</v>
      </c>
      <c r="H1575" s="2436">
        <v>890114</v>
      </c>
      <c r="I1575" s="2436">
        <v>582027</v>
      </c>
      <c r="J1575" s="2446">
        <v>0.64860717513475807</v>
      </c>
      <c r="K1575" s="2436">
        <v>577334.32708790002</v>
      </c>
      <c r="L1575" s="2436">
        <v>577334.32708790002</v>
      </c>
      <c r="M1575" s="2266">
        <v>599</v>
      </c>
    </row>
    <row r="1576" spans="1:13" ht="15">
      <c r="A1576" s="2266" t="s">
        <v>4294</v>
      </c>
      <c r="B1576" s="1694" t="str">
        <f>CONCATENATE(LEFT(RIGHT(CONCATENATE("000",IFAData_TEA!A1576),6),3),"-",(RIGHT(RIGHT(CONCATENATE("000",IFAData_TEA!A1576),6),3)))</f>
        <v>170-904</v>
      </c>
      <c r="C1576" s="2266" t="s">
        <v>1288</v>
      </c>
      <c r="D1576" s="2266">
        <v>9</v>
      </c>
      <c r="E1576" s="2266">
        <v>2456</v>
      </c>
      <c r="F1576" s="2266" t="s">
        <v>5993</v>
      </c>
      <c r="G1576" s="2266" t="s">
        <v>5993</v>
      </c>
      <c r="H1576" s="2436">
        <v>798894</v>
      </c>
      <c r="I1576" s="2436">
        <v>1296460</v>
      </c>
      <c r="J1576" s="2446">
        <v>0.83441191292499839</v>
      </c>
      <c r="K1576" s="2436">
        <v>666606.67076430365</v>
      </c>
      <c r="L1576" s="2436">
        <v>666606.67076430365</v>
      </c>
      <c r="M1576" s="2266">
        <v>599</v>
      </c>
    </row>
    <row r="1577" spans="1:13" ht="15">
      <c r="A1577" s="2266" t="s">
        <v>4294</v>
      </c>
      <c r="B1577" s="1694" t="str">
        <f>CONCATENATE(LEFT(RIGHT(CONCATENATE("000",IFAData_TEA!A1577),6),3),"-",(RIGHT(RIGHT(CONCATENATE("000",IFAData_TEA!A1577),6),3)))</f>
        <v>170-904</v>
      </c>
      <c r="C1577" s="2266" t="s">
        <v>1288</v>
      </c>
      <c r="D1577" s="2266">
        <v>6</v>
      </c>
      <c r="E1577" s="2266">
        <v>2455</v>
      </c>
      <c r="F1577" s="2266" t="s">
        <v>5991</v>
      </c>
      <c r="G1577" s="2266" t="s">
        <v>7026</v>
      </c>
      <c r="H1577" s="2436">
        <v>700706</v>
      </c>
      <c r="I1577" s="2436">
        <v>4166</v>
      </c>
      <c r="J1577" s="2446">
        <v>6.1071969930190893E-3</v>
      </c>
      <c r="K1577" s="2436">
        <v>4279.3495761904342</v>
      </c>
      <c r="L1577" s="2436">
        <v>4166</v>
      </c>
      <c r="M1577" s="2266">
        <v>599</v>
      </c>
    </row>
    <row r="1578" spans="1:13" ht="15">
      <c r="A1578" s="2266" t="s">
        <v>4294</v>
      </c>
      <c r="B1578" s="1694" t="str">
        <f>CONCATENATE(LEFT(RIGHT(CONCATENATE("000",IFAData_TEA!A1578),6),3),"-",(RIGHT(RIGHT(CONCATENATE("000",IFAData_TEA!A1578),6),3)))</f>
        <v>170-904</v>
      </c>
      <c r="C1578" s="2266" t="s">
        <v>1288</v>
      </c>
      <c r="D1578" s="2266">
        <v>9</v>
      </c>
      <c r="E1578" s="2266">
        <v>2456</v>
      </c>
      <c r="F1578" s="2266" t="s">
        <v>5993</v>
      </c>
      <c r="G1578" s="2266" t="s">
        <v>7026</v>
      </c>
      <c r="H1578" s="2436">
        <v>798894</v>
      </c>
      <c r="I1578" s="2436">
        <v>89450</v>
      </c>
      <c r="J1578" s="2446">
        <v>5.7570727682412962E-2</v>
      </c>
      <c r="K1578" s="2436">
        <v>45992.908921113623</v>
      </c>
      <c r="L1578" s="2436">
        <v>45992.908921113623</v>
      </c>
      <c r="M1578" s="2266">
        <v>599</v>
      </c>
    </row>
    <row r="1579" spans="1:13" ht="15">
      <c r="A1579" s="2266" t="s">
        <v>4294</v>
      </c>
      <c r="B1579" s="1694" t="str">
        <f>CONCATENATE(LEFT(RIGHT(CONCATENATE("000",IFAData_TEA!A1579),6),3),"-",(RIGHT(RIGHT(CONCATENATE("000",IFAData_TEA!A1579),6),3)))</f>
        <v>170-904</v>
      </c>
      <c r="C1579" s="2266" t="s">
        <v>1288</v>
      </c>
      <c r="D1579" s="2266">
        <v>2</v>
      </c>
      <c r="E1579" s="2266">
        <v>2457</v>
      </c>
      <c r="F1579" s="2266" t="s">
        <v>5988</v>
      </c>
      <c r="G1579" s="2266" t="s">
        <v>7026</v>
      </c>
      <c r="H1579" s="2436">
        <v>890114</v>
      </c>
      <c r="I1579" s="2436">
        <v>28668</v>
      </c>
      <c r="J1579" s="2446">
        <v>3.1947436281758827E-2</v>
      </c>
      <c r="K1579" s="2436">
        <v>28436.860298501477</v>
      </c>
      <c r="L1579" s="2436">
        <v>28436.860298501477</v>
      </c>
      <c r="M1579" s="2266">
        <v>599</v>
      </c>
    </row>
    <row r="1580" spans="1:13" ht="15">
      <c r="A1580" s="2266" t="s">
        <v>4295</v>
      </c>
      <c r="B1580" s="1694" t="str">
        <f>CONCATENATE(LEFT(RIGHT(CONCATENATE("000",IFAData_TEA!A1580),6),3),"-",(RIGHT(RIGHT(CONCATENATE("000",IFAData_TEA!A1580),6),3)))</f>
        <v>170-906</v>
      </c>
      <c r="C1580" s="2266" t="s">
        <v>319</v>
      </c>
      <c r="D1580" s="2266">
        <v>9</v>
      </c>
      <c r="E1580" s="2266">
        <v>2051</v>
      </c>
      <c r="F1580" s="2266" t="s">
        <v>5997</v>
      </c>
      <c r="G1580" s="2266" t="s">
        <v>5997</v>
      </c>
      <c r="H1580" s="2436">
        <v>617287</v>
      </c>
      <c r="I1580" s="2436">
        <v>844996</v>
      </c>
      <c r="J1580" s="2446">
        <v>1</v>
      </c>
      <c r="K1580" s="2436">
        <v>617287</v>
      </c>
      <c r="L1580" s="2436">
        <v>617287</v>
      </c>
      <c r="M1580" s="2266">
        <v>599</v>
      </c>
    </row>
    <row r="1581" spans="1:13" ht="15">
      <c r="A1581" s="2266" t="s">
        <v>4295</v>
      </c>
      <c r="B1581" s="1694" t="str">
        <f>CONCATENATE(LEFT(RIGHT(CONCATENATE("000",IFAData_TEA!A1581),6),3),"-",(RIGHT(RIGHT(CONCATENATE("000",IFAData_TEA!A1581),6),3)))</f>
        <v>170-906</v>
      </c>
      <c r="C1581" s="2266" t="s">
        <v>319</v>
      </c>
      <c r="D1581" s="2266">
        <v>3</v>
      </c>
      <c r="E1581" s="2266">
        <v>2052</v>
      </c>
      <c r="F1581" s="2266" t="s">
        <v>5996</v>
      </c>
      <c r="G1581" s="2266" t="s">
        <v>5997</v>
      </c>
      <c r="H1581" s="2436">
        <v>1530990</v>
      </c>
      <c r="I1581" s="2436">
        <v>1794823</v>
      </c>
      <c r="J1581" s="2446">
        <v>0.60928285597509124</v>
      </c>
      <c r="K1581" s="2436">
        <v>932805.9596693049</v>
      </c>
      <c r="L1581" s="2436">
        <v>932805.9596693049</v>
      </c>
      <c r="M1581" s="2266">
        <v>599</v>
      </c>
    </row>
    <row r="1582" spans="1:13" ht="15">
      <c r="A1582" s="2266" t="s">
        <v>4295</v>
      </c>
      <c r="B1582" s="1694" t="str">
        <f>CONCATENATE(LEFT(RIGHT(CONCATENATE("000",IFAData_TEA!A1582),6),3),"-",(RIGHT(RIGHT(CONCATENATE("000",IFAData_TEA!A1582),6),3)))</f>
        <v>170-906</v>
      </c>
      <c r="C1582" s="2266" t="s">
        <v>319</v>
      </c>
      <c r="D1582" s="2266">
        <v>3</v>
      </c>
      <c r="E1582" s="2266">
        <v>2052</v>
      </c>
      <c r="F1582" s="2266" t="s">
        <v>5996</v>
      </c>
      <c r="G1582" s="2266" t="s">
        <v>5998</v>
      </c>
      <c r="H1582" s="2436">
        <v>1530990</v>
      </c>
      <c r="I1582" s="2436">
        <v>1150973</v>
      </c>
      <c r="J1582" s="2446">
        <v>0.3907171440249087</v>
      </c>
      <c r="K1582" s="2436">
        <v>598184.04033069499</v>
      </c>
      <c r="L1582" s="2436">
        <v>598184.04033069499</v>
      </c>
      <c r="M1582" s="2266">
        <v>599</v>
      </c>
    </row>
    <row r="1583" spans="1:13" ht="15">
      <c r="A1583" s="2266" t="s">
        <v>4295</v>
      </c>
      <c r="B1583" s="1694" t="str">
        <f>CONCATENATE(LEFT(RIGHT(CONCATENATE("000",IFAData_TEA!A1583),6),3),"-",(RIGHT(RIGHT(CONCATENATE("000",IFAData_TEA!A1583),6),3)))</f>
        <v>170-906</v>
      </c>
      <c r="C1583" s="2266" t="s">
        <v>319</v>
      </c>
      <c r="D1583" s="2266">
        <v>3</v>
      </c>
      <c r="E1583" s="2266">
        <v>2052</v>
      </c>
      <c r="F1583" s="2266" t="s">
        <v>5996</v>
      </c>
      <c r="G1583" s="2266" t="s">
        <v>5996</v>
      </c>
      <c r="H1583" s="2436">
        <v>1530990</v>
      </c>
      <c r="I1583" s="2436">
        <v>0</v>
      </c>
      <c r="J1583" s="2446">
        <v>0</v>
      </c>
      <c r="K1583" s="2436">
        <v>0</v>
      </c>
      <c r="L1583" s="2436">
        <v>0</v>
      </c>
      <c r="M1583" s="2266">
        <v>599</v>
      </c>
    </row>
    <row r="1584" spans="1:13" ht="15">
      <c r="A1584" s="2266" t="s">
        <v>4296</v>
      </c>
      <c r="B1584" s="1694" t="str">
        <f>CONCATENATE(LEFT(RIGHT(CONCATENATE("000",IFAData_TEA!A1584),6),3),"-",(RIGHT(RIGHT(CONCATENATE("000",IFAData_TEA!A1584),6),3)))</f>
        <v>170-907</v>
      </c>
      <c r="C1584" s="2266" t="s">
        <v>2209</v>
      </c>
      <c r="D1584" s="2266">
        <v>2</v>
      </c>
      <c r="E1584" s="2266">
        <v>2373</v>
      </c>
      <c r="F1584" s="2266" t="s">
        <v>5999</v>
      </c>
      <c r="G1584" s="2266" t="s">
        <v>5999</v>
      </c>
      <c r="H1584" s="2436">
        <v>605123</v>
      </c>
      <c r="I1584" s="2436">
        <v>0</v>
      </c>
      <c r="J1584" s="2446">
        <v>0</v>
      </c>
      <c r="K1584" s="2436"/>
      <c r="L1584" s="2436">
        <v>0</v>
      </c>
      <c r="M1584" s="2266">
        <v>199</v>
      </c>
    </row>
    <row r="1585" spans="1:13" ht="15">
      <c r="A1585" s="2266" t="s">
        <v>4296</v>
      </c>
      <c r="B1585" s="1694" t="str">
        <f>CONCATENATE(LEFT(RIGHT(CONCATENATE("000",IFAData_TEA!A1585),6),3),"-",(RIGHT(RIGHT(CONCATENATE("000",IFAData_TEA!A1585),6),3)))</f>
        <v>170-907</v>
      </c>
      <c r="C1585" s="2266" t="s">
        <v>2209</v>
      </c>
      <c r="D1585" s="2266">
        <v>6</v>
      </c>
      <c r="E1585" s="2266">
        <v>2374</v>
      </c>
      <c r="F1585" s="2266" t="s">
        <v>6000</v>
      </c>
      <c r="G1585" s="2266" t="s">
        <v>6001</v>
      </c>
      <c r="H1585" s="2436">
        <v>687496</v>
      </c>
      <c r="I1585" s="2436">
        <v>284442</v>
      </c>
      <c r="J1585" s="2446">
        <v>0.3997054645046787</v>
      </c>
      <c r="K1585" s="2436">
        <v>274795.90802510857</v>
      </c>
      <c r="L1585" s="2436">
        <v>274795.90802510857</v>
      </c>
      <c r="M1585" s="2266">
        <v>599</v>
      </c>
    </row>
    <row r="1586" spans="1:13" ht="15">
      <c r="A1586" s="2266" t="s">
        <v>4296</v>
      </c>
      <c r="B1586" s="1694" t="str">
        <f>CONCATENATE(LEFT(RIGHT(CONCATENATE("000",IFAData_TEA!A1586),6),3),"-",(RIGHT(RIGHT(CONCATENATE("000",IFAData_TEA!A1586),6),3)))</f>
        <v>170-907</v>
      </c>
      <c r="C1586" s="2266" t="s">
        <v>2209</v>
      </c>
      <c r="D1586" s="2266">
        <v>9</v>
      </c>
      <c r="E1586" s="2266">
        <v>2371</v>
      </c>
      <c r="F1586" s="2266" t="s">
        <v>6003</v>
      </c>
      <c r="G1586" s="2266" t="s">
        <v>6003</v>
      </c>
      <c r="H1586" s="2436">
        <v>207452</v>
      </c>
      <c r="I1586" s="2436">
        <v>506001</v>
      </c>
      <c r="J1586" s="2446">
        <v>1</v>
      </c>
      <c r="K1586" s="2436">
        <v>207452</v>
      </c>
      <c r="L1586" s="2436">
        <v>207452</v>
      </c>
      <c r="M1586" s="2266">
        <v>599</v>
      </c>
    </row>
    <row r="1587" spans="1:13" ht="15">
      <c r="A1587" s="2266" t="s">
        <v>4296</v>
      </c>
      <c r="B1587" s="1694" t="str">
        <f>CONCATENATE(LEFT(RIGHT(CONCATENATE("000",IFAData_TEA!A1587),6),3),"-",(RIGHT(RIGHT(CONCATENATE("000",IFAData_TEA!A1587),6),3)))</f>
        <v>170-907</v>
      </c>
      <c r="C1587" s="2266" t="s">
        <v>2209</v>
      </c>
      <c r="D1587" s="2266">
        <v>9</v>
      </c>
      <c r="E1587" s="2266">
        <v>2372</v>
      </c>
      <c r="F1587" s="2266" t="s">
        <v>6002</v>
      </c>
      <c r="G1587" s="2266" t="s">
        <v>6002</v>
      </c>
      <c r="H1587" s="2436">
        <v>565041</v>
      </c>
      <c r="I1587" s="2436">
        <v>550112</v>
      </c>
      <c r="J1587" s="2446">
        <v>1</v>
      </c>
      <c r="K1587" s="2436">
        <v>565041</v>
      </c>
      <c r="L1587" s="2436">
        <v>550112</v>
      </c>
      <c r="M1587" s="2266">
        <v>599</v>
      </c>
    </row>
    <row r="1588" spans="1:13" ht="15">
      <c r="A1588" s="2266" t="s">
        <v>4296</v>
      </c>
      <c r="B1588" s="1694" t="str">
        <f>CONCATENATE(LEFT(RIGHT(CONCATENATE("000",IFAData_TEA!A1588),6),3),"-",(RIGHT(RIGHT(CONCATENATE("000",IFAData_TEA!A1588),6),3)))</f>
        <v>170-907</v>
      </c>
      <c r="C1588" s="2266" t="s">
        <v>2209</v>
      </c>
      <c r="D1588" s="2266">
        <v>6</v>
      </c>
      <c r="E1588" s="2266">
        <v>2374</v>
      </c>
      <c r="F1588" s="2266" t="s">
        <v>6000</v>
      </c>
      <c r="G1588" s="2266" t="s">
        <v>6000</v>
      </c>
      <c r="H1588" s="2436">
        <v>687496</v>
      </c>
      <c r="I1588" s="2436">
        <v>427187</v>
      </c>
      <c r="J1588" s="2446">
        <v>0.6002945354953213</v>
      </c>
      <c r="K1588" s="2436">
        <v>412700.09197489143</v>
      </c>
      <c r="L1588" s="2436">
        <v>412700.09197489143</v>
      </c>
      <c r="M1588" s="2266">
        <v>599</v>
      </c>
    </row>
    <row r="1589" spans="1:13" ht="15">
      <c r="A1589" s="2266" t="s">
        <v>4297</v>
      </c>
      <c r="B1589" s="1694" t="str">
        <f>CONCATENATE(LEFT(RIGHT(CONCATENATE("000",IFAData_TEA!A1589),6),3),"-",(RIGHT(RIGHT(CONCATENATE("000",IFAData_TEA!A1589),6),3)))</f>
        <v>170-908</v>
      </c>
      <c r="C1589" s="2266" t="s">
        <v>1305</v>
      </c>
      <c r="D1589" s="2266">
        <v>9</v>
      </c>
      <c r="E1589" s="2266">
        <v>2137</v>
      </c>
      <c r="F1589" s="2266" t="s">
        <v>6009</v>
      </c>
      <c r="G1589" s="2266" t="s">
        <v>7027</v>
      </c>
      <c r="H1589" s="2436">
        <v>527036</v>
      </c>
      <c r="I1589" s="2436">
        <v>527337</v>
      </c>
      <c r="J1589" s="2446">
        <v>0.20664817295939941</v>
      </c>
      <c r="K1589" s="2436">
        <v>108911.02648383004</v>
      </c>
      <c r="L1589" s="2436">
        <v>108911.02648383004</v>
      </c>
      <c r="M1589" s="2266">
        <v>599</v>
      </c>
    </row>
    <row r="1590" spans="1:13" ht="15">
      <c r="A1590" s="2266" t="s">
        <v>4297</v>
      </c>
      <c r="B1590" s="1694" t="str">
        <f>CONCATENATE(LEFT(RIGHT(CONCATENATE("000",IFAData_TEA!A1590),6),3),"-",(RIGHT(RIGHT(CONCATENATE("000",IFAData_TEA!A1590),6),3)))</f>
        <v>170-908</v>
      </c>
      <c r="C1590" s="2266" t="s">
        <v>1305</v>
      </c>
      <c r="D1590" s="2266">
        <v>9</v>
      </c>
      <c r="E1590" s="2266">
        <v>2138</v>
      </c>
      <c r="F1590" s="2266" t="s">
        <v>6008</v>
      </c>
      <c r="G1590" s="2266" t="s">
        <v>7027</v>
      </c>
      <c r="H1590" s="2436">
        <v>571354</v>
      </c>
      <c r="I1590" s="2436">
        <v>225304</v>
      </c>
      <c r="J1590" s="2446">
        <v>0.21036886259973203</v>
      </c>
      <c r="K1590" s="2436">
        <v>120195.0911218073</v>
      </c>
      <c r="L1590" s="2436">
        <v>120195.0911218073</v>
      </c>
      <c r="M1590" s="2266">
        <v>599</v>
      </c>
    </row>
    <row r="1591" spans="1:13" ht="15">
      <c r="A1591" s="2266" t="s">
        <v>4297</v>
      </c>
      <c r="B1591" s="1694" t="str">
        <f>CONCATENATE(LEFT(RIGHT(CONCATENATE("000",IFAData_TEA!A1591),6),3),"-",(RIGHT(RIGHT(CONCATENATE("000",IFAData_TEA!A1591),6),3)))</f>
        <v>170-908</v>
      </c>
      <c r="C1591" s="2266" t="s">
        <v>1305</v>
      </c>
      <c r="D1591" s="2266">
        <v>9</v>
      </c>
      <c r="E1591" s="2266">
        <v>2138</v>
      </c>
      <c r="F1591" s="2266" t="s">
        <v>6008</v>
      </c>
      <c r="G1591" s="2266" t="s">
        <v>6008</v>
      </c>
      <c r="H1591" s="2436">
        <v>571354</v>
      </c>
      <c r="I1591" s="2436">
        <v>845691</v>
      </c>
      <c r="J1591" s="2446">
        <v>0.78963113740026802</v>
      </c>
      <c r="K1591" s="2436">
        <v>451158.90887819271</v>
      </c>
      <c r="L1591" s="2436">
        <v>451158.90887819271</v>
      </c>
      <c r="M1591" s="2266">
        <v>599</v>
      </c>
    </row>
    <row r="1592" spans="1:13" ht="15">
      <c r="A1592" s="2266" t="s">
        <v>4297</v>
      </c>
      <c r="B1592" s="1694" t="str">
        <f>CONCATENATE(LEFT(RIGHT(CONCATENATE("000",IFAData_TEA!A1592),6),3),"-",(RIGHT(RIGHT(CONCATENATE("000",IFAData_TEA!A1592),6),3)))</f>
        <v>170-908</v>
      </c>
      <c r="C1592" s="2266" t="s">
        <v>1305</v>
      </c>
      <c r="D1592" s="2266">
        <v>5</v>
      </c>
      <c r="E1592" s="2266">
        <v>2136</v>
      </c>
      <c r="F1592" s="2266" t="s">
        <v>6004</v>
      </c>
      <c r="G1592" s="2266" t="s">
        <v>6004</v>
      </c>
      <c r="H1592" s="2436">
        <v>342303</v>
      </c>
      <c r="I1592" s="2436">
        <v>0</v>
      </c>
      <c r="J1592" s="2446">
        <v>0</v>
      </c>
      <c r="K1592" s="2436">
        <v>0</v>
      </c>
      <c r="L1592" s="2436">
        <v>0</v>
      </c>
      <c r="M1592" s="2266">
        <v>599</v>
      </c>
    </row>
    <row r="1593" spans="1:13" ht="15">
      <c r="A1593" s="2266" t="s">
        <v>4297</v>
      </c>
      <c r="B1593" s="1694" t="str">
        <f>CONCATENATE(LEFT(RIGHT(CONCATENATE("000",IFAData_TEA!A1593),6),3),"-",(RIGHT(RIGHT(CONCATENATE("000",IFAData_TEA!A1593),6),3)))</f>
        <v>170-908</v>
      </c>
      <c r="C1593" s="2266" t="s">
        <v>1305</v>
      </c>
      <c r="D1593" s="2266">
        <v>5</v>
      </c>
      <c r="E1593" s="2266">
        <v>2136</v>
      </c>
      <c r="F1593" s="2266" t="s">
        <v>6004</v>
      </c>
      <c r="G1593" s="2266" t="s">
        <v>6005</v>
      </c>
      <c r="H1593" s="2436">
        <v>342303</v>
      </c>
      <c r="I1593" s="2436">
        <v>302300</v>
      </c>
      <c r="J1593" s="2446">
        <v>1</v>
      </c>
      <c r="K1593" s="2436">
        <v>342303</v>
      </c>
      <c r="L1593" s="2436">
        <v>302300</v>
      </c>
      <c r="M1593" s="2266">
        <v>599</v>
      </c>
    </row>
    <row r="1594" spans="1:13" ht="15">
      <c r="A1594" s="2266" t="s">
        <v>4297</v>
      </c>
      <c r="B1594" s="1694" t="str">
        <f>CONCATENATE(LEFT(RIGHT(CONCATENATE("000",IFAData_TEA!A1594),6),3),"-",(RIGHT(RIGHT(CONCATENATE("000",IFAData_TEA!A1594),6),3)))</f>
        <v>170-908</v>
      </c>
      <c r="C1594" s="2266" t="s">
        <v>1305</v>
      </c>
      <c r="D1594" s="2266">
        <v>6</v>
      </c>
      <c r="E1594" s="2266">
        <v>2139</v>
      </c>
      <c r="F1594" s="2266" t="s">
        <v>6006</v>
      </c>
      <c r="G1594" s="2266" t="s">
        <v>6007</v>
      </c>
      <c r="H1594" s="2436">
        <v>945263</v>
      </c>
      <c r="I1594" s="2436">
        <v>624000</v>
      </c>
      <c r="J1594" s="2446">
        <v>1</v>
      </c>
      <c r="K1594" s="2436">
        <v>945263</v>
      </c>
      <c r="L1594" s="2436">
        <v>624000</v>
      </c>
      <c r="M1594" s="2266">
        <v>599</v>
      </c>
    </row>
    <row r="1595" spans="1:13" ht="15">
      <c r="A1595" s="2266" t="s">
        <v>4297</v>
      </c>
      <c r="B1595" s="1694" t="str">
        <f>CONCATENATE(LEFT(RIGHT(CONCATENATE("000",IFAData_TEA!A1595),6),3),"-",(RIGHT(RIGHT(CONCATENATE("000",IFAData_TEA!A1595),6),3)))</f>
        <v>170-908</v>
      </c>
      <c r="C1595" s="2266" t="s">
        <v>1305</v>
      </c>
      <c r="D1595" s="2266">
        <v>10</v>
      </c>
      <c r="E1595" s="2266">
        <v>2141</v>
      </c>
      <c r="F1595" s="2266" t="s">
        <v>6011</v>
      </c>
      <c r="G1595" s="2266" t="s">
        <v>6011</v>
      </c>
      <c r="H1595" s="2436">
        <v>2229297</v>
      </c>
      <c r="I1595" s="2436">
        <v>1620294</v>
      </c>
      <c r="J1595" s="2446">
        <v>1</v>
      </c>
      <c r="K1595" s="2436">
        <v>2229297</v>
      </c>
      <c r="L1595" s="2436">
        <v>1620294</v>
      </c>
      <c r="M1595" s="2266">
        <v>599</v>
      </c>
    </row>
    <row r="1596" spans="1:13" ht="15">
      <c r="A1596" s="2266" t="s">
        <v>4297</v>
      </c>
      <c r="B1596" s="1694" t="str">
        <f>CONCATENATE(LEFT(RIGHT(CONCATENATE("000",IFAData_TEA!A1596),6),3),"-",(RIGHT(RIGHT(CONCATENATE("000",IFAData_TEA!A1596),6),3)))</f>
        <v>170-908</v>
      </c>
      <c r="C1596" s="2266" t="s">
        <v>1305</v>
      </c>
      <c r="D1596" s="2266">
        <v>9</v>
      </c>
      <c r="E1596" s="2266">
        <v>2140</v>
      </c>
      <c r="F1596" s="2266" t="s">
        <v>6010</v>
      </c>
      <c r="G1596" s="2266" t="s">
        <v>6010</v>
      </c>
      <c r="H1596" s="2436">
        <v>1003527</v>
      </c>
      <c r="I1596" s="2436">
        <v>1314494</v>
      </c>
      <c r="J1596" s="2446">
        <v>1</v>
      </c>
      <c r="K1596" s="2436">
        <v>1003527</v>
      </c>
      <c r="L1596" s="2436">
        <v>1003527</v>
      </c>
      <c r="M1596" s="2266">
        <v>599</v>
      </c>
    </row>
    <row r="1597" spans="1:13" ht="15">
      <c r="A1597" s="2266" t="s">
        <v>4297</v>
      </c>
      <c r="B1597" s="1694" t="str">
        <f>CONCATENATE(LEFT(RIGHT(CONCATENATE("000",IFAData_TEA!A1597),6),3),"-",(RIGHT(RIGHT(CONCATENATE("000",IFAData_TEA!A1597),6),3)))</f>
        <v>170-908</v>
      </c>
      <c r="C1597" s="2266" t="s">
        <v>1305</v>
      </c>
      <c r="D1597" s="2266">
        <v>9</v>
      </c>
      <c r="E1597" s="2266">
        <v>2137</v>
      </c>
      <c r="F1597" s="2266" t="s">
        <v>6009</v>
      </c>
      <c r="G1597" s="2266" t="s">
        <v>6009</v>
      </c>
      <c r="H1597" s="2436">
        <v>527036</v>
      </c>
      <c r="I1597" s="2436">
        <v>2024522</v>
      </c>
      <c r="J1597" s="2446">
        <v>0.79335182704060059</v>
      </c>
      <c r="K1597" s="2436">
        <v>418124.97351616999</v>
      </c>
      <c r="L1597" s="2436">
        <v>418124.97351616999</v>
      </c>
      <c r="M1597" s="2266">
        <v>599</v>
      </c>
    </row>
    <row r="1598" spans="1:13" ht="15">
      <c r="A1598" s="2266" t="s">
        <v>4297</v>
      </c>
      <c r="B1598" s="1694" t="str">
        <f>CONCATENATE(LEFT(RIGHT(CONCATENATE("000",IFAData_TEA!A1598),6),3),"-",(RIGHT(RIGHT(CONCATENATE("000",IFAData_TEA!A1598),6),3)))</f>
        <v>170-908</v>
      </c>
      <c r="C1598" s="2266" t="s">
        <v>1305</v>
      </c>
      <c r="D1598" s="2266">
        <v>6</v>
      </c>
      <c r="E1598" s="2266">
        <v>2139</v>
      </c>
      <c r="F1598" s="2266" t="s">
        <v>6006</v>
      </c>
      <c r="G1598" s="2266" t="s">
        <v>6006</v>
      </c>
      <c r="H1598" s="2436">
        <v>945263</v>
      </c>
      <c r="I1598" s="2436">
        <v>0</v>
      </c>
      <c r="J1598" s="2446">
        <v>0</v>
      </c>
      <c r="K1598" s="2436">
        <v>0</v>
      </c>
      <c r="L1598" s="2436">
        <v>0</v>
      </c>
      <c r="M1598" s="2266">
        <v>599</v>
      </c>
    </row>
    <row r="1599" spans="1:13" ht="15">
      <c r="A1599" s="2266" t="s">
        <v>4298</v>
      </c>
      <c r="B1599" s="1694" t="str">
        <f>CONCATENATE(LEFT(RIGHT(CONCATENATE("000",IFAData_TEA!A1599),6),3),"-",(RIGHT(RIGHT(CONCATENATE("000",IFAData_TEA!A1599),6),3)))</f>
        <v>174-901</v>
      </c>
      <c r="C1599" s="2266" t="s">
        <v>1326</v>
      </c>
      <c r="D1599" s="2266">
        <v>5</v>
      </c>
      <c r="E1599" s="2266">
        <v>1691</v>
      </c>
      <c r="F1599" s="2266" t="s">
        <v>6012</v>
      </c>
      <c r="G1599" s="2266" t="s">
        <v>6012</v>
      </c>
      <c r="H1599" s="2436">
        <v>91693</v>
      </c>
      <c r="I1599" s="2436">
        <v>0</v>
      </c>
      <c r="J1599" s="2446">
        <v>0</v>
      </c>
      <c r="K1599" s="2436">
        <v>0</v>
      </c>
      <c r="L1599" s="2436">
        <v>0</v>
      </c>
      <c r="M1599" s="2266">
        <v>599</v>
      </c>
    </row>
    <row r="1600" spans="1:13" ht="15">
      <c r="A1600" s="2266" t="s">
        <v>4298</v>
      </c>
      <c r="B1600" s="1694" t="str">
        <f>CONCATENATE(LEFT(RIGHT(CONCATENATE("000",IFAData_TEA!A1600),6),3),"-",(RIGHT(RIGHT(CONCATENATE("000",IFAData_TEA!A1600),6),3)))</f>
        <v>174-901</v>
      </c>
      <c r="C1600" s="2266" t="s">
        <v>1326</v>
      </c>
      <c r="D1600" s="2266">
        <v>5</v>
      </c>
      <c r="E1600" s="2266">
        <v>1691</v>
      </c>
      <c r="F1600" s="2266" t="s">
        <v>6012</v>
      </c>
      <c r="G1600" s="2266" t="s">
        <v>6013</v>
      </c>
      <c r="H1600" s="2436">
        <v>91693</v>
      </c>
      <c r="I1600" s="2436">
        <v>83706</v>
      </c>
      <c r="J1600" s="2446">
        <v>1</v>
      </c>
      <c r="K1600" s="2436">
        <v>91693</v>
      </c>
      <c r="L1600" s="2436">
        <v>83706</v>
      </c>
      <c r="M1600" s="2266">
        <v>599</v>
      </c>
    </row>
    <row r="1601" spans="1:13" ht="15">
      <c r="A1601" s="2266" t="s">
        <v>4299</v>
      </c>
      <c r="B1601" s="1694" t="str">
        <f>CONCATENATE(LEFT(RIGHT(CONCATENATE("000",IFAData_TEA!A1601),6),3),"-",(RIGHT(RIGHT(CONCATENATE("000",IFAData_TEA!A1601),6),3)))</f>
        <v>174-903</v>
      </c>
      <c r="C1601" s="2266" t="s">
        <v>493</v>
      </c>
      <c r="D1601" s="2266">
        <v>5</v>
      </c>
      <c r="E1601" s="2266">
        <v>1844</v>
      </c>
      <c r="F1601" s="2266" t="s">
        <v>6014</v>
      </c>
      <c r="G1601" s="2266" t="s">
        <v>6014</v>
      </c>
      <c r="H1601" s="2436">
        <v>152414</v>
      </c>
      <c r="I1601" s="2436">
        <v>0</v>
      </c>
      <c r="J1601" s="2446">
        <v>0</v>
      </c>
      <c r="K1601" s="2436">
        <v>0</v>
      </c>
      <c r="L1601" s="2436">
        <v>0</v>
      </c>
      <c r="M1601" s="2266">
        <v>599</v>
      </c>
    </row>
    <row r="1602" spans="1:13" ht="15">
      <c r="A1602" s="2266" t="s">
        <v>4299</v>
      </c>
      <c r="B1602" s="1694" t="str">
        <f>CONCATENATE(LEFT(RIGHT(CONCATENATE("000",IFAData_TEA!A1602),6),3),"-",(RIGHT(RIGHT(CONCATENATE("000",IFAData_TEA!A1602),6),3)))</f>
        <v>174-903</v>
      </c>
      <c r="C1602" s="2266" t="s">
        <v>493</v>
      </c>
      <c r="D1602" s="2266">
        <v>5</v>
      </c>
      <c r="E1602" s="2266">
        <v>1844</v>
      </c>
      <c r="F1602" s="2266" t="s">
        <v>6014</v>
      </c>
      <c r="G1602" s="2266" t="s">
        <v>6015</v>
      </c>
      <c r="H1602" s="2436">
        <v>152414</v>
      </c>
      <c r="I1602" s="2436">
        <v>142488</v>
      </c>
      <c r="J1602" s="2446">
        <v>1</v>
      </c>
      <c r="K1602" s="2436">
        <v>152414</v>
      </c>
      <c r="L1602" s="2436">
        <v>142488</v>
      </c>
      <c r="M1602" s="2266">
        <v>599</v>
      </c>
    </row>
    <row r="1603" spans="1:13" ht="15">
      <c r="A1603" s="2266" t="s">
        <v>4300</v>
      </c>
      <c r="B1603" s="1694" t="str">
        <f>CONCATENATE(LEFT(RIGHT(CONCATENATE("000",IFAData_TEA!A1603),6),3),"-",(RIGHT(RIGHT(CONCATENATE("000",IFAData_TEA!A1603),6),3)))</f>
        <v>174-906</v>
      </c>
      <c r="C1603" s="2266" t="s">
        <v>1291</v>
      </c>
      <c r="D1603" s="2266">
        <v>4</v>
      </c>
      <c r="E1603" s="2266">
        <v>2460</v>
      </c>
      <c r="F1603" s="2266" t="s">
        <v>6016</v>
      </c>
      <c r="G1603" s="2266" t="s">
        <v>6016</v>
      </c>
      <c r="H1603" s="2436">
        <v>188922</v>
      </c>
      <c r="I1603" s="2436">
        <v>0</v>
      </c>
      <c r="J1603" s="2446">
        <v>0</v>
      </c>
      <c r="K1603" s="2436">
        <v>0</v>
      </c>
      <c r="L1603" s="2436">
        <v>0</v>
      </c>
      <c r="M1603" s="2266">
        <v>599</v>
      </c>
    </row>
    <row r="1604" spans="1:13" ht="15">
      <c r="A1604" s="2266" t="s">
        <v>4300</v>
      </c>
      <c r="B1604" s="1694" t="str">
        <f>CONCATENATE(LEFT(RIGHT(CONCATENATE("000",IFAData_TEA!A1604),6),3),"-",(RIGHT(RIGHT(CONCATENATE("000",IFAData_TEA!A1604),6),3)))</f>
        <v>174-906</v>
      </c>
      <c r="C1604" s="2266" t="s">
        <v>1291</v>
      </c>
      <c r="D1604" s="2266">
        <v>4</v>
      </c>
      <c r="E1604" s="2266">
        <v>2460</v>
      </c>
      <c r="F1604" s="2266" t="s">
        <v>6016</v>
      </c>
      <c r="G1604" s="2266" t="s">
        <v>6017</v>
      </c>
      <c r="H1604" s="2436">
        <v>188922</v>
      </c>
      <c r="I1604" s="2436">
        <v>175600</v>
      </c>
      <c r="J1604" s="2446">
        <v>1</v>
      </c>
      <c r="K1604" s="2436">
        <v>188922</v>
      </c>
      <c r="L1604" s="2436">
        <v>175600</v>
      </c>
      <c r="M1604" s="2266">
        <v>599</v>
      </c>
    </row>
    <row r="1605" spans="1:13" ht="15">
      <c r="A1605" s="2266" t="s">
        <v>4301</v>
      </c>
      <c r="B1605" s="1694" t="str">
        <f>CONCATENATE(LEFT(RIGHT(CONCATENATE("000",IFAData_TEA!A1605),6),3),"-",(RIGHT(RIGHT(CONCATENATE("000",IFAData_TEA!A1605),6),3)))</f>
        <v>174-908</v>
      </c>
      <c r="C1605" s="2266" t="s">
        <v>2576</v>
      </c>
      <c r="D1605" s="2266">
        <v>10</v>
      </c>
      <c r="E1605" s="2266">
        <v>1675</v>
      </c>
      <c r="F1605" s="2266" t="s">
        <v>6018</v>
      </c>
      <c r="G1605" s="2266" t="s">
        <v>6018</v>
      </c>
      <c r="H1605" s="2436">
        <v>176552</v>
      </c>
      <c r="I1605" s="2436">
        <v>762631</v>
      </c>
      <c r="J1605" s="2446">
        <v>1</v>
      </c>
      <c r="K1605" s="2436">
        <v>176552</v>
      </c>
      <c r="L1605" s="2436">
        <v>176552</v>
      </c>
      <c r="M1605" s="2266">
        <v>599</v>
      </c>
    </row>
    <row r="1606" spans="1:13" ht="15">
      <c r="A1606" s="2266" t="s">
        <v>6019</v>
      </c>
      <c r="B1606" s="1694" t="str">
        <f>CONCATENATE(LEFT(RIGHT(CONCATENATE("000",IFAData_TEA!A1606),6),3),"-",(RIGHT(RIGHT(CONCATENATE("000",IFAData_TEA!A1606),6),3)))</f>
        <v>174-909</v>
      </c>
      <c r="C1606" s="2266" t="s">
        <v>2577</v>
      </c>
      <c r="D1606" s="2266">
        <v>10</v>
      </c>
      <c r="E1606" s="2266">
        <v>2072</v>
      </c>
      <c r="F1606" s="2266" t="s">
        <v>6020</v>
      </c>
      <c r="G1606" s="2266" t="s">
        <v>6020</v>
      </c>
      <c r="H1606" s="2436">
        <v>100000</v>
      </c>
      <c r="I1606" s="2436">
        <v>176471</v>
      </c>
      <c r="J1606" s="2446">
        <v>1</v>
      </c>
      <c r="K1606" s="2436">
        <v>100000</v>
      </c>
      <c r="L1606" s="2436">
        <v>100000</v>
      </c>
      <c r="M1606" s="2266">
        <v>599</v>
      </c>
    </row>
    <row r="1607" spans="1:13" ht="15">
      <c r="A1607" s="2266" t="s">
        <v>4302</v>
      </c>
      <c r="B1607" s="1694" t="str">
        <f>CONCATENATE(LEFT(RIGHT(CONCATENATE("000",IFAData_TEA!A1607),6),3),"-",(RIGHT(RIGHT(CONCATENATE("000",IFAData_TEA!A1607),6),3)))</f>
        <v>175-903</v>
      </c>
      <c r="C1607" s="2266" t="s">
        <v>1257</v>
      </c>
      <c r="D1607" s="2266">
        <v>2</v>
      </c>
      <c r="E1607" s="2266">
        <v>1725</v>
      </c>
      <c r="F1607" s="2266" t="s">
        <v>6021</v>
      </c>
      <c r="G1607" s="2266" t="s">
        <v>6022</v>
      </c>
      <c r="H1607" s="2436">
        <v>1169000</v>
      </c>
      <c r="I1607" s="2436">
        <v>1461860</v>
      </c>
      <c r="J1607" s="2446">
        <v>1</v>
      </c>
      <c r="K1607" s="2436">
        <v>1169000</v>
      </c>
      <c r="L1607" s="2436">
        <v>1169000</v>
      </c>
      <c r="M1607" s="2266">
        <v>599</v>
      </c>
    </row>
    <row r="1608" spans="1:13" ht="15">
      <c r="A1608" s="2266" t="s">
        <v>4302</v>
      </c>
      <c r="B1608" s="1694" t="str">
        <f>CONCATENATE(LEFT(RIGHT(CONCATENATE("000",IFAData_TEA!A1608),6),3),"-",(RIGHT(RIGHT(CONCATENATE("000",IFAData_TEA!A1608),6),3)))</f>
        <v>175-903</v>
      </c>
      <c r="C1608" s="2266" t="s">
        <v>1257</v>
      </c>
      <c r="D1608" s="2266">
        <v>2</v>
      </c>
      <c r="E1608" s="2266">
        <v>1725</v>
      </c>
      <c r="F1608" s="2266" t="s">
        <v>6021</v>
      </c>
      <c r="G1608" s="2266" t="s">
        <v>6021</v>
      </c>
      <c r="H1608" s="2436">
        <v>1169000</v>
      </c>
      <c r="I1608" s="2436">
        <v>0</v>
      </c>
      <c r="J1608" s="2446">
        <v>0</v>
      </c>
      <c r="K1608" s="2436">
        <v>0</v>
      </c>
      <c r="L1608" s="2436">
        <v>0</v>
      </c>
      <c r="M1608" s="2266">
        <v>599</v>
      </c>
    </row>
    <row r="1609" spans="1:13" ht="15">
      <c r="A1609" s="2266" t="s">
        <v>4303</v>
      </c>
      <c r="B1609" s="1694" t="str">
        <f>CONCATENATE(LEFT(RIGHT(CONCATENATE("000",IFAData_TEA!A1609),6),3),"-",(RIGHT(RIGHT(CONCATENATE("000",IFAData_TEA!A1609),6),3)))</f>
        <v>175-904</v>
      </c>
      <c r="C1609" s="2266" t="s">
        <v>3060</v>
      </c>
      <c r="D1609" s="2266">
        <v>4</v>
      </c>
      <c r="E1609" s="2266">
        <v>1746</v>
      </c>
      <c r="F1609" s="2266" t="s">
        <v>6023</v>
      </c>
      <c r="G1609" s="2266" t="s">
        <v>6023</v>
      </c>
      <c r="H1609" s="2436">
        <v>123498</v>
      </c>
      <c r="I1609" s="2436">
        <v>0</v>
      </c>
      <c r="J1609" s="2446">
        <v>0</v>
      </c>
      <c r="K1609" s="2436">
        <v>0</v>
      </c>
      <c r="L1609" s="2436">
        <v>0</v>
      </c>
      <c r="M1609" s="2266">
        <v>199</v>
      </c>
    </row>
    <row r="1610" spans="1:13" ht="15">
      <c r="A1610" s="2266" t="s">
        <v>4303</v>
      </c>
      <c r="B1610" s="1694" t="str">
        <f>CONCATENATE(LEFT(RIGHT(CONCATENATE("000",IFAData_TEA!A1610),6),3),"-",(RIGHT(RIGHT(CONCATENATE("000",IFAData_TEA!A1610),6),3)))</f>
        <v>175-904</v>
      </c>
      <c r="C1610" s="2266" t="s">
        <v>3060</v>
      </c>
      <c r="D1610" s="2266">
        <v>4</v>
      </c>
      <c r="E1610" s="2266">
        <v>1746</v>
      </c>
      <c r="F1610" s="2266" t="s">
        <v>6023</v>
      </c>
      <c r="G1610" s="2266" t="s">
        <v>6024</v>
      </c>
      <c r="H1610" s="2436">
        <v>123498</v>
      </c>
      <c r="I1610" s="2436">
        <v>123498</v>
      </c>
      <c r="J1610" s="2446">
        <v>1</v>
      </c>
      <c r="K1610" s="2436">
        <v>123498</v>
      </c>
      <c r="L1610" s="2436">
        <v>123498</v>
      </c>
      <c r="M1610" s="2266">
        <v>599</v>
      </c>
    </row>
    <row r="1611" spans="1:13" ht="15">
      <c r="A1611" s="2266" t="s">
        <v>4303</v>
      </c>
      <c r="B1611" s="1694" t="str">
        <f>CONCATENATE(LEFT(RIGHT(CONCATENATE("000",IFAData_TEA!A1611),6),3),"-",(RIGHT(RIGHT(CONCATENATE("000",IFAData_TEA!A1611),6),3)))</f>
        <v>175-904</v>
      </c>
      <c r="C1611" s="2266" t="s">
        <v>3060</v>
      </c>
      <c r="D1611" s="2266">
        <v>9</v>
      </c>
      <c r="E1611" s="2266">
        <v>1745</v>
      </c>
      <c r="F1611" s="2266" t="s">
        <v>6025</v>
      </c>
      <c r="G1611" s="2266" t="s">
        <v>6025</v>
      </c>
      <c r="H1611" s="2436">
        <v>45525</v>
      </c>
      <c r="I1611" s="2436">
        <v>169594</v>
      </c>
      <c r="J1611" s="2446">
        <v>1</v>
      </c>
      <c r="K1611" s="2436">
        <v>45525</v>
      </c>
      <c r="L1611" s="2436">
        <v>45525</v>
      </c>
      <c r="M1611" s="2266">
        <v>599</v>
      </c>
    </row>
    <row r="1612" spans="1:13" ht="15">
      <c r="A1612" s="2266" t="s">
        <v>4304</v>
      </c>
      <c r="B1612" s="1694" t="str">
        <f>CONCATENATE(LEFT(RIGHT(CONCATENATE("000",IFAData_TEA!A1612),6),3),"-",(RIGHT(RIGHT(CONCATENATE("000",IFAData_TEA!A1612),6),3)))</f>
        <v>175-907</v>
      </c>
      <c r="C1612" s="2266" t="s">
        <v>2877</v>
      </c>
      <c r="D1612" s="2266">
        <v>5</v>
      </c>
      <c r="E1612" s="2266">
        <v>1956</v>
      </c>
      <c r="F1612" s="2266" t="s">
        <v>6026</v>
      </c>
      <c r="G1612" s="2266" t="s">
        <v>6026</v>
      </c>
      <c r="H1612" s="2436">
        <v>172700</v>
      </c>
      <c r="I1612" s="2436">
        <v>0</v>
      </c>
      <c r="J1612" s="2446">
        <v>0</v>
      </c>
      <c r="K1612" s="2436">
        <v>0</v>
      </c>
      <c r="L1612" s="2436">
        <v>0</v>
      </c>
      <c r="M1612" s="2266">
        <v>599</v>
      </c>
    </row>
    <row r="1613" spans="1:13" ht="15">
      <c r="A1613" s="2266" t="s">
        <v>4304</v>
      </c>
      <c r="B1613" s="1694" t="str">
        <f>CONCATENATE(LEFT(RIGHT(CONCATENATE("000",IFAData_TEA!A1613),6),3),"-",(RIGHT(RIGHT(CONCATENATE("000",IFAData_TEA!A1613),6),3)))</f>
        <v>175-907</v>
      </c>
      <c r="C1613" s="2266" t="s">
        <v>2877</v>
      </c>
      <c r="D1613" s="2266">
        <v>5</v>
      </c>
      <c r="E1613" s="2266">
        <v>1956</v>
      </c>
      <c r="F1613" s="2266" t="s">
        <v>6026</v>
      </c>
      <c r="G1613" s="2266" t="s">
        <v>6027</v>
      </c>
      <c r="H1613" s="2436">
        <v>172700</v>
      </c>
      <c r="I1613" s="2436">
        <v>156500</v>
      </c>
      <c r="J1613" s="2446">
        <v>1</v>
      </c>
      <c r="K1613" s="2436">
        <v>172700</v>
      </c>
      <c r="L1613" s="2436">
        <v>156500</v>
      </c>
      <c r="M1613" s="2266">
        <v>599</v>
      </c>
    </row>
    <row r="1614" spans="1:13" ht="15">
      <c r="A1614" s="2266" t="s">
        <v>4305</v>
      </c>
      <c r="B1614" s="1694" t="str">
        <f>CONCATENATE(LEFT(RIGHT(CONCATENATE("000",IFAData_TEA!A1614),6),3),"-",(RIGHT(RIGHT(CONCATENATE("000",IFAData_TEA!A1614),6),3)))</f>
        <v>175-911</v>
      </c>
      <c r="C1614" s="2266" t="s">
        <v>93</v>
      </c>
      <c r="D1614" s="2266">
        <v>2</v>
      </c>
      <c r="E1614" s="2266">
        <v>2234</v>
      </c>
      <c r="F1614" s="2266" t="s">
        <v>6028</v>
      </c>
      <c r="G1614" s="2266" t="s">
        <v>7028</v>
      </c>
      <c r="H1614" s="2436">
        <v>81645</v>
      </c>
      <c r="I1614" s="2436">
        <v>16866</v>
      </c>
      <c r="J1614" s="2446">
        <v>0.24097039661675621</v>
      </c>
      <c r="K1614" s="2436">
        <v>19674.028031775062</v>
      </c>
      <c r="L1614" s="2436">
        <v>16866</v>
      </c>
      <c r="M1614" s="2266">
        <v>599</v>
      </c>
    </row>
    <row r="1615" spans="1:13" ht="15">
      <c r="A1615" s="2266" t="s">
        <v>4305</v>
      </c>
      <c r="B1615" s="1694" t="str">
        <f>CONCATENATE(LEFT(RIGHT(CONCATENATE("000",IFAData_TEA!A1615),6),3),"-",(RIGHT(RIGHT(CONCATENATE("000",IFAData_TEA!A1615),6),3)))</f>
        <v>175-911</v>
      </c>
      <c r="C1615" s="2266" t="s">
        <v>93</v>
      </c>
      <c r="D1615" s="2266">
        <v>2</v>
      </c>
      <c r="E1615" s="2266">
        <v>2234</v>
      </c>
      <c r="F1615" s="2266" t="s">
        <v>6028</v>
      </c>
      <c r="G1615" s="2266" t="s">
        <v>6028</v>
      </c>
      <c r="H1615" s="2436">
        <v>81645</v>
      </c>
      <c r="I1615" s="2436">
        <v>0</v>
      </c>
      <c r="J1615" s="2446">
        <v>0</v>
      </c>
      <c r="K1615" s="2436">
        <v>0</v>
      </c>
      <c r="L1615" s="2436">
        <v>0</v>
      </c>
      <c r="M1615" s="2266">
        <v>599</v>
      </c>
    </row>
    <row r="1616" spans="1:13" ht="15">
      <c r="A1616" s="2266" t="s">
        <v>4305</v>
      </c>
      <c r="B1616" s="1694" t="str">
        <f>CONCATENATE(LEFT(RIGHT(CONCATENATE("000",IFAData_TEA!A1616),6),3),"-",(RIGHT(RIGHT(CONCATENATE("000",IFAData_TEA!A1616),6),3)))</f>
        <v>175-911</v>
      </c>
      <c r="C1616" s="2266" t="s">
        <v>93</v>
      </c>
      <c r="D1616" s="2266">
        <v>2</v>
      </c>
      <c r="E1616" s="2266">
        <v>2234</v>
      </c>
      <c r="F1616" s="2266" t="s">
        <v>6028</v>
      </c>
      <c r="G1616" s="2266" t="s">
        <v>6029</v>
      </c>
      <c r="H1616" s="2436">
        <v>81645</v>
      </c>
      <c r="I1616" s="2436">
        <v>53126</v>
      </c>
      <c r="J1616" s="2446">
        <v>0.75902960338324377</v>
      </c>
      <c r="K1616" s="2436">
        <v>61970.971968224934</v>
      </c>
      <c r="L1616" s="2436">
        <v>53126</v>
      </c>
      <c r="M1616" s="2266">
        <v>599</v>
      </c>
    </row>
    <row r="1617" spans="1:13" ht="15">
      <c r="A1617" s="2266" t="s">
        <v>4305</v>
      </c>
      <c r="B1617" s="1694" t="str">
        <f>CONCATENATE(LEFT(RIGHT(CONCATENATE("000",IFAData_TEA!A1617),6),3),"-",(RIGHT(RIGHT(CONCATENATE("000",IFAData_TEA!A1617),6),3)))</f>
        <v>175-911</v>
      </c>
      <c r="C1617" s="2266" t="s">
        <v>93</v>
      </c>
      <c r="D1617" s="2266">
        <v>10</v>
      </c>
      <c r="E1617" s="2266">
        <v>2233</v>
      </c>
      <c r="F1617" s="2266" t="s">
        <v>6031</v>
      </c>
      <c r="G1617" s="2266" t="s">
        <v>6031</v>
      </c>
      <c r="H1617" s="2436">
        <v>62309</v>
      </c>
      <c r="I1617" s="2436">
        <v>43116</v>
      </c>
      <c r="J1617" s="2446">
        <v>1</v>
      </c>
      <c r="K1617" s="2436">
        <v>62309</v>
      </c>
      <c r="L1617" s="2436">
        <v>43116</v>
      </c>
      <c r="M1617" s="2266">
        <v>599</v>
      </c>
    </row>
    <row r="1618" spans="1:13" ht="15">
      <c r="A1618" s="2266" t="s">
        <v>4305</v>
      </c>
      <c r="B1618" s="1694" t="str">
        <f>CONCATENATE(LEFT(RIGHT(CONCATENATE("000",IFAData_TEA!A1618),6),3),"-",(RIGHT(RIGHT(CONCATENATE("000",IFAData_TEA!A1618),6),3)))</f>
        <v>175-911</v>
      </c>
      <c r="C1618" s="2266" t="s">
        <v>93</v>
      </c>
      <c r="D1618" s="2266">
        <v>9</v>
      </c>
      <c r="E1618" s="2266">
        <v>2235</v>
      </c>
      <c r="F1618" s="2266" t="s">
        <v>6030</v>
      </c>
      <c r="G1618" s="2266" t="s">
        <v>6031</v>
      </c>
      <c r="H1618" s="2436">
        <v>173838</v>
      </c>
      <c r="I1618" s="2436">
        <v>462163</v>
      </c>
      <c r="J1618" s="2446">
        <v>1</v>
      </c>
      <c r="K1618" s="2436">
        <v>173838</v>
      </c>
      <c r="L1618" s="2436">
        <v>173838</v>
      </c>
      <c r="M1618" s="2266">
        <v>599</v>
      </c>
    </row>
    <row r="1619" spans="1:13" ht="15">
      <c r="A1619" s="2266" t="s">
        <v>4305</v>
      </c>
      <c r="B1619" s="1694" t="str">
        <f>CONCATENATE(LEFT(RIGHT(CONCATENATE("000",IFAData_TEA!A1619),6),3),"-",(RIGHT(RIGHT(CONCATENATE("000",IFAData_TEA!A1619),6),3)))</f>
        <v>175-911</v>
      </c>
      <c r="C1619" s="2266" t="s">
        <v>93</v>
      </c>
      <c r="D1619" s="2266">
        <v>9</v>
      </c>
      <c r="E1619" s="2266">
        <v>2235</v>
      </c>
      <c r="F1619" s="2266" t="s">
        <v>6030</v>
      </c>
      <c r="G1619" s="2266" t="s">
        <v>6030</v>
      </c>
      <c r="H1619" s="2436">
        <v>173838</v>
      </c>
      <c r="I1619" s="2436">
        <v>0</v>
      </c>
      <c r="J1619" s="2446">
        <v>0</v>
      </c>
      <c r="K1619" s="2436">
        <v>0</v>
      </c>
      <c r="L1619" s="2436">
        <v>0</v>
      </c>
      <c r="M1619" s="2266">
        <v>599</v>
      </c>
    </row>
    <row r="1620" spans="1:13" ht="15">
      <c r="A1620" s="2266" t="s">
        <v>4306</v>
      </c>
      <c r="B1620" s="1694" t="str">
        <f>CONCATENATE(LEFT(RIGHT(CONCATENATE("000",IFAData_TEA!A1620),6),3),"-",(RIGHT(RIGHT(CONCATENATE("000",IFAData_TEA!A1620),6),3)))</f>
        <v>176-902</v>
      </c>
      <c r="C1620" s="2266" t="s">
        <v>2609</v>
      </c>
      <c r="D1620" s="2266">
        <v>3</v>
      </c>
      <c r="E1620" s="2266">
        <v>2146</v>
      </c>
      <c r="F1620" s="2266" t="s">
        <v>6032</v>
      </c>
      <c r="G1620" s="2266" t="s">
        <v>6033</v>
      </c>
      <c r="H1620" s="2436">
        <v>343700</v>
      </c>
      <c r="I1620" s="2436">
        <v>388645</v>
      </c>
      <c r="J1620" s="2446">
        <v>1</v>
      </c>
      <c r="K1620" s="2436">
        <v>343700</v>
      </c>
      <c r="L1620" s="2436">
        <v>343700</v>
      </c>
      <c r="M1620" s="2266">
        <v>599</v>
      </c>
    </row>
    <row r="1621" spans="1:13" ht="15">
      <c r="A1621" s="2266" t="s">
        <v>4306</v>
      </c>
      <c r="B1621" s="1694" t="str">
        <f>CONCATENATE(LEFT(RIGHT(CONCATENATE("000",IFAData_TEA!A1621),6),3),"-",(RIGHT(RIGHT(CONCATENATE("000",IFAData_TEA!A1621),6),3)))</f>
        <v>176-902</v>
      </c>
      <c r="C1621" s="2266" t="s">
        <v>2609</v>
      </c>
      <c r="D1621" s="2266">
        <v>3</v>
      </c>
      <c r="E1621" s="2266">
        <v>2146</v>
      </c>
      <c r="F1621" s="2266" t="s">
        <v>6032</v>
      </c>
      <c r="G1621" s="2266" t="s">
        <v>6032</v>
      </c>
      <c r="H1621" s="2436">
        <v>343700</v>
      </c>
      <c r="I1621" s="2436">
        <v>0</v>
      </c>
      <c r="J1621" s="2446">
        <v>0</v>
      </c>
      <c r="K1621" s="2436">
        <v>0</v>
      </c>
      <c r="L1621" s="2436">
        <v>0</v>
      </c>
      <c r="M1621" s="2266">
        <v>599</v>
      </c>
    </row>
    <row r="1622" spans="1:13" ht="15">
      <c r="A1622" s="2266" t="s">
        <v>4307</v>
      </c>
      <c r="B1622" s="1694" t="str">
        <f>CONCATENATE(LEFT(RIGHT(CONCATENATE("000",IFAData_TEA!A1622),6),3),"-",(RIGHT(RIGHT(CONCATENATE("000",IFAData_TEA!A1622),6),3)))</f>
        <v>176-903</v>
      </c>
      <c r="C1622" s="2266" t="s">
        <v>3067</v>
      </c>
      <c r="D1622" s="2266">
        <v>6</v>
      </c>
      <c r="E1622" s="2266">
        <v>1759</v>
      </c>
      <c r="F1622" s="2266" t="s">
        <v>6034</v>
      </c>
      <c r="G1622" s="2266" t="s">
        <v>6035</v>
      </c>
      <c r="H1622" s="2436">
        <v>173765</v>
      </c>
      <c r="I1622" s="2436">
        <v>549600</v>
      </c>
      <c r="J1622" s="2446">
        <v>1</v>
      </c>
      <c r="K1622" s="2436">
        <v>173765</v>
      </c>
      <c r="L1622" s="2436">
        <v>173765</v>
      </c>
      <c r="M1622" s="2266">
        <v>599</v>
      </c>
    </row>
    <row r="1623" spans="1:13" ht="15">
      <c r="A1623" s="2266" t="s">
        <v>4307</v>
      </c>
      <c r="B1623" s="1694" t="str">
        <f>CONCATENATE(LEFT(RIGHT(CONCATENATE("000",IFAData_TEA!A1623),6),3),"-",(RIGHT(RIGHT(CONCATENATE("000",IFAData_TEA!A1623),6),3)))</f>
        <v>176-903</v>
      </c>
      <c r="C1623" s="2266" t="s">
        <v>3067</v>
      </c>
      <c r="D1623" s="2266">
        <v>6</v>
      </c>
      <c r="E1623" s="2266">
        <v>1759</v>
      </c>
      <c r="F1623" s="2266" t="s">
        <v>6034</v>
      </c>
      <c r="G1623" s="2266" t="s">
        <v>6034</v>
      </c>
      <c r="H1623" s="2436">
        <v>173765</v>
      </c>
      <c r="I1623" s="2436">
        <v>0</v>
      </c>
      <c r="J1623" s="2446">
        <v>0</v>
      </c>
      <c r="K1623" s="2436">
        <v>0</v>
      </c>
      <c r="L1623" s="2436">
        <v>0</v>
      </c>
      <c r="M1623" s="2266">
        <v>599</v>
      </c>
    </row>
    <row r="1624" spans="1:13" ht="15">
      <c r="A1624" s="2266" t="s">
        <v>4308</v>
      </c>
      <c r="B1624" s="1694" t="str">
        <f>CONCATENATE(LEFT(RIGHT(CONCATENATE("000",IFAData_TEA!A1624),6),3),"-",(RIGHT(RIGHT(CONCATENATE("000",IFAData_TEA!A1624),6),3)))</f>
        <v>177-901</v>
      </c>
      <c r="C1624" s="2266" t="s">
        <v>4583</v>
      </c>
      <c r="D1624" s="2266">
        <v>5</v>
      </c>
      <c r="E1624" s="2266">
        <v>2264</v>
      </c>
      <c r="F1624" s="2266" t="s">
        <v>6036</v>
      </c>
      <c r="G1624" s="2266" t="s">
        <v>6036</v>
      </c>
      <c r="H1624" s="2436">
        <v>100000</v>
      </c>
      <c r="I1624" s="2436">
        <v>104138</v>
      </c>
      <c r="J1624" s="2446">
        <v>0.57778049024068179</v>
      </c>
      <c r="K1624" s="2436">
        <v>57778.049024068176</v>
      </c>
      <c r="L1624" s="2436">
        <v>57778.049024068176</v>
      </c>
      <c r="M1624" s="2266">
        <v>599</v>
      </c>
    </row>
    <row r="1625" spans="1:13" ht="15">
      <c r="A1625" s="2266" t="s">
        <v>4308</v>
      </c>
      <c r="B1625" s="1694" t="str">
        <f>CONCATENATE(LEFT(RIGHT(CONCATENATE("000",IFAData_TEA!A1625),6),3),"-",(RIGHT(RIGHT(CONCATENATE("000",IFAData_TEA!A1625),6),3)))</f>
        <v>177-901</v>
      </c>
      <c r="C1625" s="2266" t="s">
        <v>4583</v>
      </c>
      <c r="D1625" s="2266">
        <v>5</v>
      </c>
      <c r="E1625" s="2266">
        <v>2264</v>
      </c>
      <c r="F1625" s="2266" t="s">
        <v>6036</v>
      </c>
      <c r="G1625" s="2266" t="s">
        <v>6037</v>
      </c>
      <c r="H1625" s="2436">
        <v>100000</v>
      </c>
      <c r="I1625" s="2436">
        <v>76100</v>
      </c>
      <c r="J1625" s="2446">
        <v>0.42221950975931821</v>
      </c>
      <c r="K1625" s="2436">
        <v>42221.950975931824</v>
      </c>
      <c r="L1625" s="2436">
        <v>42221.950975931824</v>
      </c>
      <c r="M1625" s="2266">
        <v>599</v>
      </c>
    </row>
    <row r="1626" spans="1:13" ht="15">
      <c r="A1626" s="2266" t="s">
        <v>4309</v>
      </c>
      <c r="B1626" s="1694" t="str">
        <f>CONCATENATE(LEFT(RIGHT(CONCATENATE("000",IFAData_TEA!A1626),6),3),"-",(RIGHT(RIGHT(CONCATENATE("000",IFAData_TEA!A1626),6),3)))</f>
        <v>178-904</v>
      </c>
      <c r="C1626" s="2266" t="s">
        <v>1256</v>
      </c>
      <c r="D1626" s="2266">
        <v>9</v>
      </c>
      <c r="E1626" s="2266">
        <v>1721</v>
      </c>
      <c r="F1626" s="2266" t="s">
        <v>6041</v>
      </c>
      <c r="G1626" s="2266" t="s">
        <v>6041</v>
      </c>
      <c r="H1626" s="2436">
        <v>379812</v>
      </c>
      <c r="I1626" s="2436">
        <v>0</v>
      </c>
      <c r="J1626" s="2446">
        <v>0</v>
      </c>
      <c r="K1626" s="2436">
        <v>0</v>
      </c>
      <c r="L1626" s="2436">
        <v>0</v>
      </c>
      <c r="M1626" s="2266">
        <v>199</v>
      </c>
    </row>
    <row r="1627" spans="1:13" ht="15">
      <c r="A1627" s="2266" t="s">
        <v>4309</v>
      </c>
      <c r="B1627" s="1694" t="str">
        <f>CONCATENATE(LEFT(RIGHT(CONCATENATE("000",IFAData_TEA!A1627),6),3),"-",(RIGHT(RIGHT(CONCATENATE("000",IFAData_TEA!A1627),6),3)))</f>
        <v>178-904</v>
      </c>
      <c r="C1627" s="2266" t="s">
        <v>1256</v>
      </c>
      <c r="D1627" s="2266">
        <v>9</v>
      </c>
      <c r="E1627" s="2266">
        <v>1723</v>
      </c>
      <c r="F1627" s="2266" t="s">
        <v>6039</v>
      </c>
      <c r="G1627" s="2266" t="s">
        <v>6039</v>
      </c>
      <c r="H1627" s="2436">
        <v>822393</v>
      </c>
      <c r="I1627" s="2436">
        <v>0</v>
      </c>
      <c r="J1627" s="2446">
        <v>0</v>
      </c>
      <c r="K1627" s="2436">
        <v>0</v>
      </c>
      <c r="L1627" s="2436">
        <v>0</v>
      </c>
      <c r="M1627" s="2266">
        <v>199</v>
      </c>
    </row>
    <row r="1628" spans="1:13" ht="15">
      <c r="A1628" s="2266" t="s">
        <v>4309</v>
      </c>
      <c r="B1628" s="1694" t="str">
        <f>CONCATENATE(LEFT(RIGHT(CONCATENATE("000",IFAData_TEA!A1628),6),3),"-",(RIGHT(RIGHT(CONCATENATE("000",IFAData_TEA!A1628),6),3)))</f>
        <v>178-904</v>
      </c>
      <c r="C1628" s="2266" t="s">
        <v>1256</v>
      </c>
      <c r="D1628" s="2266">
        <v>9</v>
      </c>
      <c r="E1628" s="2266">
        <v>1721</v>
      </c>
      <c r="F1628" s="2266" t="s">
        <v>6041</v>
      </c>
      <c r="G1628" s="2266" t="s">
        <v>6040</v>
      </c>
      <c r="H1628" s="2436">
        <v>379812</v>
      </c>
      <c r="I1628" s="2436">
        <v>370838</v>
      </c>
      <c r="J1628" s="2446">
        <v>1</v>
      </c>
      <c r="K1628" s="2436">
        <v>379812</v>
      </c>
      <c r="L1628" s="2436">
        <v>370838</v>
      </c>
      <c r="M1628" s="2266">
        <v>599</v>
      </c>
    </row>
    <row r="1629" spans="1:13" ht="15">
      <c r="A1629" s="2266" t="s">
        <v>4309</v>
      </c>
      <c r="B1629" s="1694" t="str">
        <f>CONCATENATE(LEFT(RIGHT(CONCATENATE("000",IFAData_TEA!A1629),6),3),"-",(RIGHT(RIGHT(CONCATENATE("000",IFAData_TEA!A1629),6),3)))</f>
        <v>178-904</v>
      </c>
      <c r="C1629" s="2266" t="s">
        <v>1256</v>
      </c>
      <c r="D1629" s="2266">
        <v>9</v>
      </c>
      <c r="E1629" s="2266">
        <v>1723</v>
      </c>
      <c r="F1629" s="2266" t="s">
        <v>6039</v>
      </c>
      <c r="G1629" s="2266" t="s">
        <v>6040</v>
      </c>
      <c r="H1629" s="2436">
        <v>822393</v>
      </c>
      <c r="I1629" s="2436">
        <v>808527</v>
      </c>
      <c r="J1629" s="2446">
        <v>1</v>
      </c>
      <c r="K1629" s="2436">
        <v>822393</v>
      </c>
      <c r="L1629" s="2436">
        <v>808527</v>
      </c>
      <c r="M1629" s="2266">
        <v>599</v>
      </c>
    </row>
    <row r="1630" spans="1:13" ht="15">
      <c r="A1630" s="2266" t="s">
        <v>4309</v>
      </c>
      <c r="B1630" s="1694" t="str">
        <f>CONCATENATE(LEFT(RIGHT(CONCATENATE("000",IFAData_TEA!A1630),6),3),"-",(RIGHT(RIGHT(CONCATENATE("000",IFAData_TEA!A1630),6),3)))</f>
        <v>178-904</v>
      </c>
      <c r="C1630" s="2266" t="s">
        <v>1256</v>
      </c>
      <c r="D1630" s="2266">
        <v>1</v>
      </c>
      <c r="E1630" s="2266">
        <v>1724</v>
      </c>
      <c r="F1630" s="2266" t="s">
        <v>6038</v>
      </c>
      <c r="G1630" s="2266" t="s">
        <v>6038</v>
      </c>
      <c r="H1630" s="2436">
        <v>3668595</v>
      </c>
      <c r="I1630" s="2436">
        <v>0</v>
      </c>
      <c r="J1630" s="2446">
        <v>0</v>
      </c>
      <c r="K1630" s="2436"/>
      <c r="L1630" s="2436">
        <v>0</v>
      </c>
      <c r="M1630" s="2266">
        <v>599</v>
      </c>
    </row>
    <row r="1631" spans="1:13" ht="15">
      <c r="A1631" s="2266" t="s">
        <v>4310</v>
      </c>
      <c r="B1631" s="1694" t="str">
        <f>CONCATENATE(LEFT(RIGHT(CONCATENATE("000",IFAData_TEA!A1631),6),3),"-",(RIGHT(RIGHT(CONCATENATE("000",IFAData_TEA!A1631),6),3)))</f>
        <v>178-909</v>
      </c>
      <c r="C1631" s="2266" t="s">
        <v>3098</v>
      </c>
      <c r="D1631" s="2266">
        <v>9</v>
      </c>
      <c r="E1631" s="2266">
        <v>2255</v>
      </c>
      <c r="F1631" s="2266" t="s">
        <v>6047</v>
      </c>
      <c r="G1631" s="2266" t="s">
        <v>7029</v>
      </c>
      <c r="H1631" s="2436">
        <v>829400</v>
      </c>
      <c r="I1631" s="2436">
        <v>228612</v>
      </c>
      <c r="J1631" s="2446">
        <v>0.25036770141440468</v>
      </c>
      <c r="K1631" s="2436">
        <v>207654.97155310723</v>
      </c>
      <c r="L1631" s="2436">
        <v>207654.97155310723</v>
      </c>
      <c r="M1631" s="2266">
        <v>599</v>
      </c>
    </row>
    <row r="1632" spans="1:13" ht="15">
      <c r="A1632" s="2266" t="s">
        <v>4310</v>
      </c>
      <c r="B1632" s="1694" t="str">
        <f>CONCATENATE(LEFT(RIGHT(CONCATENATE("000",IFAData_TEA!A1632),6),3),"-",(RIGHT(RIGHT(CONCATENATE("000",IFAData_TEA!A1632),6),3)))</f>
        <v>178-909</v>
      </c>
      <c r="C1632" s="2266" t="s">
        <v>3098</v>
      </c>
      <c r="D1632" s="2266">
        <v>7</v>
      </c>
      <c r="E1632" s="2266">
        <v>2256</v>
      </c>
      <c r="F1632" s="2266" t="s">
        <v>6044</v>
      </c>
      <c r="G1632" s="2266" t="s">
        <v>6046</v>
      </c>
      <c r="H1632" s="2436">
        <v>883718</v>
      </c>
      <c r="I1632" s="2436">
        <v>463850</v>
      </c>
      <c r="J1632" s="2446">
        <v>0.54336430183807893</v>
      </c>
      <c r="K1632" s="2436">
        <v>480180.81409174344</v>
      </c>
      <c r="L1632" s="2436">
        <v>463850</v>
      </c>
      <c r="M1632" s="2266">
        <v>599</v>
      </c>
    </row>
    <row r="1633" spans="1:13" ht="15">
      <c r="A1633" s="2266" t="s">
        <v>4310</v>
      </c>
      <c r="B1633" s="1694" t="str">
        <f>CONCATENATE(LEFT(RIGHT(CONCATENATE("000",IFAData_TEA!A1633),6),3),"-",(RIGHT(RIGHT(CONCATENATE("000",IFAData_TEA!A1633),6),3)))</f>
        <v>178-909</v>
      </c>
      <c r="C1633" s="2266" t="s">
        <v>3098</v>
      </c>
      <c r="D1633" s="2266">
        <v>1</v>
      </c>
      <c r="E1633" s="2266">
        <v>2253</v>
      </c>
      <c r="F1633" s="2266" t="s">
        <v>6042</v>
      </c>
      <c r="G1633" s="2266" t="s">
        <v>6042</v>
      </c>
      <c r="H1633" s="2436">
        <v>485685</v>
      </c>
      <c r="I1633" s="2436">
        <v>0</v>
      </c>
      <c r="J1633" s="2446">
        <v>0</v>
      </c>
      <c r="K1633" s="2436">
        <v>0</v>
      </c>
      <c r="L1633" s="2436">
        <v>0</v>
      </c>
      <c r="M1633" s="2266">
        <v>599</v>
      </c>
    </row>
    <row r="1634" spans="1:13" ht="15">
      <c r="A1634" s="2266" t="s">
        <v>4310</v>
      </c>
      <c r="B1634" s="1694" t="str">
        <f>CONCATENATE(LEFT(RIGHT(CONCATENATE("000",IFAData_TEA!A1634),6),3),"-",(RIGHT(RIGHT(CONCATENATE("000",IFAData_TEA!A1634),6),3)))</f>
        <v>178-909</v>
      </c>
      <c r="C1634" s="2266" t="s">
        <v>3098</v>
      </c>
      <c r="D1634" s="2266">
        <v>7</v>
      </c>
      <c r="E1634" s="2266">
        <v>2256</v>
      </c>
      <c r="F1634" s="2266" t="s">
        <v>6044</v>
      </c>
      <c r="G1634" s="2266" t="s">
        <v>6045</v>
      </c>
      <c r="H1634" s="2436">
        <v>883718</v>
      </c>
      <c r="I1634" s="2436">
        <v>389813</v>
      </c>
      <c r="J1634" s="2446">
        <v>0.45663569816192107</v>
      </c>
      <c r="K1634" s="2436">
        <v>403537.18590825656</v>
      </c>
      <c r="L1634" s="2436">
        <v>389813</v>
      </c>
      <c r="M1634" s="2266">
        <v>599</v>
      </c>
    </row>
    <row r="1635" spans="1:13" ht="15">
      <c r="A1635" s="2266" t="s">
        <v>4310</v>
      </c>
      <c r="B1635" s="1694" t="str">
        <f>CONCATENATE(LEFT(RIGHT(CONCATENATE("000",IFAData_TEA!A1635),6),3),"-",(RIGHT(RIGHT(CONCATENATE("000",IFAData_TEA!A1635),6),3)))</f>
        <v>178-909</v>
      </c>
      <c r="C1635" s="2266" t="s">
        <v>3098</v>
      </c>
      <c r="D1635" s="2266">
        <v>10</v>
      </c>
      <c r="E1635" s="2266">
        <v>2254</v>
      </c>
      <c r="F1635" s="2266" t="s">
        <v>6048</v>
      </c>
      <c r="G1635" s="2266" t="s">
        <v>6048</v>
      </c>
      <c r="H1635" s="2436">
        <v>707375</v>
      </c>
      <c r="I1635" s="2436">
        <v>701262</v>
      </c>
      <c r="J1635" s="2446">
        <v>1</v>
      </c>
      <c r="K1635" s="2436">
        <v>707375</v>
      </c>
      <c r="L1635" s="2436">
        <v>701262</v>
      </c>
      <c r="M1635" s="2266">
        <v>599</v>
      </c>
    </row>
    <row r="1636" spans="1:13" ht="15">
      <c r="A1636" s="2266" t="s">
        <v>4310</v>
      </c>
      <c r="B1636" s="1694" t="str">
        <f>CONCATENATE(LEFT(RIGHT(CONCATENATE("000",IFAData_TEA!A1636),6),3),"-",(RIGHT(RIGHT(CONCATENATE("000",IFAData_TEA!A1636),6),3)))</f>
        <v>178-909</v>
      </c>
      <c r="C1636" s="2266" t="s">
        <v>3098</v>
      </c>
      <c r="D1636" s="2266">
        <v>1</v>
      </c>
      <c r="E1636" s="2266">
        <v>2253</v>
      </c>
      <c r="F1636" s="2266" t="s">
        <v>6042</v>
      </c>
      <c r="G1636" s="2266" t="s">
        <v>6043</v>
      </c>
      <c r="H1636" s="2436">
        <v>485685</v>
      </c>
      <c r="I1636" s="2436">
        <v>414575</v>
      </c>
      <c r="J1636" s="2446">
        <v>1</v>
      </c>
      <c r="K1636" s="2436">
        <v>485685</v>
      </c>
      <c r="L1636" s="2436">
        <v>414575</v>
      </c>
      <c r="M1636" s="2266">
        <v>599</v>
      </c>
    </row>
    <row r="1637" spans="1:13" ht="15">
      <c r="A1637" s="2266" t="s">
        <v>4310</v>
      </c>
      <c r="B1637" s="1694" t="str">
        <f>CONCATENATE(LEFT(RIGHT(CONCATENATE("000",IFAData_TEA!A1637),6),3),"-",(RIGHT(RIGHT(CONCATENATE("000",IFAData_TEA!A1637),6),3)))</f>
        <v>178-909</v>
      </c>
      <c r="C1637" s="2266" t="s">
        <v>3098</v>
      </c>
      <c r="D1637" s="2266">
        <v>7</v>
      </c>
      <c r="E1637" s="2266">
        <v>2256</v>
      </c>
      <c r="F1637" s="2266" t="s">
        <v>6044</v>
      </c>
      <c r="G1637" s="2266" t="s">
        <v>6044</v>
      </c>
      <c r="H1637" s="2436">
        <v>883718</v>
      </c>
      <c r="I1637" s="2436">
        <v>0</v>
      </c>
      <c r="J1637" s="2446">
        <v>0</v>
      </c>
      <c r="K1637" s="2436">
        <v>0</v>
      </c>
      <c r="L1637" s="2436">
        <v>0</v>
      </c>
      <c r="M1637" s="2266">
        <v>599</v>
      </c>
    </row>
    <row r="1638" spans="1:13" ht="15">
      <c r="A1638" s="2266" t="s">
        <v>4310</v>
      </c>
      <c r="B1638" s="1694" t="str">
        <f>CONCATENATE(LEFT(RIGHT(CONCATENATE("000",IFAData_TEA!A1638),6),3),"-",(RIGHT(RIGHT(CONCATENATE("000",IFAData_TEA!A1638),6),3)))</f>
        <v>178-909</v>
      </c>
      <c r="C1638" s="2266" t="s">
        <v>3098</v>
      </c>
      <c r="D1638" s="2266">
        <v>9</v>
      </c>
      <c r="E1638" s="2266">
        <v>2255</v>
      </c>
      <c r="F1638" s="2266" t="s">
        <v>6047</v>
      </c>
      <c r="G1638" s="2266" t="s">
        <v>6047</v>
      </c>
      <c r="H1638" s="2436">
        <v>829400</v>
      </c>
      <c r="I1638" s="2436">
        <v>684493</v>
      </c>
      <c r="J1638" s="2446">
        <v>0.74963229858559532</v>
      </c>
      <c r="K1638" s="2436">
        <v>621745.02844689274</v>
      </c>
      <c r="L1638" s="2436">
        <v>621745.02844689274</v>
      </c>
      <c r="M1638" s="2266">
        <v>599</v>
      </c>
    </row>
    <row r="1639" spans="1:13" ht="15">
      <c r="A1639" s="2266" t="s">
        <v>4311</v>
      </c>
      <c r="B1639" s="1694" t="str">
        <f>CONCATENATE(LEFT(RIGHT(CONCATENATE("000",IFAData_TEA!A1639),6),3),"-",(RIGHT(RIGHT(CONCATENATE("000",IFAData_TEA!A1639),6),3)))</f>
        <v>178-913</v>
      </c>
      <c r="C1639" s="2266" t="s">
        <v>353</v>
      </c>
      <c r="D1639" s="2266">
        <v>9</v>
      </c>
      <c r="E1639" s="2266">
        <v>1592</v>
      </c>
      <c r="F1639" s="2266" t="s">
        <v>6049</v>
      </c>
      <c r="G1639" s="2266" t="s">
        <v>6049</v>
      </c>
      <c r="H1639" s="2436">
        <v>156610</v>
      </c>
      <c r="I1639" s="2436">
        <v>155211</v>
      </c>
      <c r="J1639" s="2446">
        <v>0.8603094012072301</v>
      </c>
      <c r="K1639" s="2436">
        <v>134733.0553230643</v>
      </c>
      <c r="L1639" s="2436">
        <v>134733.0553230643</v>
      </c>
      <c r="M1639" s="2266">
        <v>599</v>
      </c>
    </row>
    <row r="1640" spans="1:13" ht="15">
      <c r="A1640" s="2266" t="s">
        <v>4311</v>
      </c>
      <c r="B1640" s="1694" t="str">
        <f>CONCATENATE(LEFT(RIGHT(CONCATENATE("000",IFAData_TEA!A1640),6),3),"-",(RIGHT(RIGHT(CONCATENATE("000",IFAData_TEA!A1640),6),3)))</f>
        <v>178-913</v>
      </c>
      <c r="C1640" s="2266" t="s">
        <v>353</v>
      </c>
      <c r="D1640" s="2266">
        <v>9</v>
      </c>
      <c r="E1640" s="2266">
        <v>1592</v>
      </c>
      <c r="F1640" s="2266" t="s">
        <v>6049</v>
      </c>
      <c r="G1640" s="2266" t="s">
        <v>7030</v>
      </c>
      <c r="H1640" s="2436">
        <v>156610</v>
      </c>
      <c r="I1640" s="2436">
        <v>25202</v>
      </c>
      <c r="J1640" s="2446">
        <v>0.13969059879276993</v>
      </c>
      <c r="K1640" s="2436">
        <v>21876.944676935698</v>
      </c>
      <c r="L1640" s="2436">
        <v>21876.944676935698</v>
      </c>
      <c r="M1640" s="2266">
        <v>599</v>
      </c>
    </row>
    <row r="1641" spans="1:13" ht="15">
      <c r="A1641" s="2266" t="s">
        <v>4312</v>
      </c>
      <c r="B1641" s="1694" t="str">
        <f>CONCATENATE(LEFT(RIGHT(CONCATENATE("000",IFAData_TEA!A1641),6),3),"-",(RIGHT(RIGHT(CONCATENATE("000",IFAData_TEA!A1641),6),3)))</f>
        <v>178-915</v>
      </c>
      <c r="C1641" s="2266" t="s">
        <v>355</v>
      </c>
      <c r="D1641" s="2266">
        <v>10</v>
      </c>
      <c r="E1641" s="2266">
        <v>2445</v>
      </c>
      <c r="F1641" s="2266" t="s">
        <v>6050</v>
      </c>
      <c r="G1641" s="2266" t="s">
        <v>6050</v>
      </c>
      <c r="H1641" s="2436">
        <v>243416</v>
      </c>
      <c r="I1641" s="2436">
        <v>578416</v>
      </c>
      <c r="J1641" s="2446">
        <v>1</v>
      </c>
      <c r="K1641" s="2436">
        <v>243416</v>
      </c>
      <c r="L1641" s="2436">
        <v>243416</v>
      </c>
      <c r="M1641" s="2266">
        <v>599</v>
      </c>
    </row>
    <row r="1642" spans="1:13" ht="15">
      <c r="A1642" s="2266" t="s">
        <v>4313</v>
      </c>
      <c r="B1642" s="1694" t="str">
        <f>CONCATENATE(LEFT(RIGHT(CONCATENATE("000",IFAData_TEA!A1642),6),3),"-",(RIGHT(RIGHT(CONCATENATE("000",IFAData_TEA!A1642),6),3)))</f>
        <v>179-901</v>
      </c>
      <c r="C1642" s="2266" t="s">
        <v>1123</v>
      </c>
      <c r="D1642" s="2266">
        <v>1</v>
      </c>
      <c r="E1642" s="2266">
        <v>2186</v>
      </c>
      <c r="F1642" s="2266" t="s">
        <v>6051</v>
      </c>
      <c r="G1642" s="2266" t="s">
        <v>6051</v>
      </c>
      <c r="H1642" s="2436">
        <v>477623</v>
      </c>
      <c r="I1642" s="2436">
        <v>0</v>
      </c>
      <c r="J1642" s="2446">
        <v>0</v>
      </c>
      <c r="K1642" s="2436">
        <v>0</v>
      </c>
      <c r="L1642" s="2436">
        <v>0</v>
      </c>
      <c r="M1642" s="2266">
        <v>599</v>
      </c>
    </row>
    <row r="1643" spans="1:13" ht="15">
      <c r="A1643" s="2266" t="s">
        <v>4313</v>
      </c>
      <c r="B1643" s="1694" t="str">
        <f>CONCATENATE(LEFT(RIGHT(CONCATENATE("000",IFAData_TEA!A1643),6),3),"-",(RIGHT(RIGHT(CONCATENATE("000",IFAData_TEA!A1643),6),3)))</f>
        <v>179-901</v>
      </c>
      <c r="C1643" s="2266" t="s">
        <v>1123</v>
      </c>
      <c r="D1643" s="2266">
        <v>1</v>
      </c>
      <c r="E1643" s="2266">
        <v>2186</v>
      </c>
      <c r="F1643" s="2266" t="s">
        <v>6051</v>
      </c>
      <c r="G1643" s="2266" t="s">
        <v>6052</v>
      </c>
      <c r="H1643" s="2436">
        <v>477623</v>
      </c>
      <c r="I1643" s="2436">
        <v>578371</v>
      </c>
      <c r="J1643" s="2446">
        <v>1</v>
      </c>
      <c r="K1643" s="2436">
        <v>477623</v>
      </c>
      <c r="L1643" s="2436">
        <v>477623</v>
      </c>
      <c r="M1643" s="2266">
        <v>599</v>
      </c>
    </row>
    <row r="1644" spans="1:13" ht="15">
      <c r="A1644" s="2266" t="s">
        <v>4314</v>
      </c>
      <c r="B1644" s="1694" t="str">
        <f>CONCATENATE(LEFT(RIGHT(CONCATENATE("000",IFAData_TEA!A1644),6),3),"-",(RIGHT(RIGHT(CONCATENATE("000",IFAData_TEA!A1644),6),3)))</f>
        <v>181-901</v>
      </c>
      <c r="C1644" s="2266" t="s">
        <v>2121</v>
      </c>
      <c r="D1644" s="2266">
        <v>6</v>
      </c>
      <c r="E1644" s="2266">
        <v>1633</v>
      </c>
      <c r="F1644" s="2266" t="s">
        <v>6053</v>
      </c>
      <c r="G1644" s="2266" t="s">
        <v>6055</v>
      </c>
      <c r="H1644" s="2436">
        <v>649545</v>
      </c>
      <c r="I1644" s="2436">
        <v>14736</v>
      </c>
      <c r="J1644" s="2446">
        <v>1.6767748028628973E-2</v>
      </c>
      <c r="K1644" s="2436">
        <v>10891.406893255806</v>
      </c>
      <c r="L1644" s="2436">
        <v>10891.406893255806</v>
      </c>
      <c r="M1644" s="2266">
        <v>599</v>
      </c>
    </row>
    <row r="1645" spans="1:13" ht="15">
      <c r="A1645" s="2266" t="s">
        <v>4314</v>
      </c>
      <c r="B1645" s="1694" t="str">
        <f>CONCATENATE(LEFT(RIGHT(CONCATENATE("000",IFAData_TEA!A1645),6),3),"-",(RIGHT(RIGHT(CONCATENATE("000",IFAData_TEA!A1645),6),3)))</f>
        <v>181-901</v>
      </c>
      <c r="C1645" s="2266" t="s">
        <v>2121</v>
      </c>
      <c r="D1645" s="2266">
        <v>6</v>
      </c>
      <c r="E1645" s="2266">
        <v>1633</v>
      </c>
      <c r="F1645" s="2266" t="s">
        <v>6053</v>
      </c>
      <c r="G1645" s="2266" t="s">
        <v>6054</v>
      </c>
      <c r="H1645" s="2436">
        <v>649545</v>
      </c>
      <c r="I1645" s="2436">
        <v>384094</v>
      </c>
      <c r="J1645" s="2446">
        <v>0.43705153442645334</v>
      </c>
      <c r="K1645" s="2436">
        <v>283884.63892903063</v>
      </c>
      <c r="L1645" s="2436">
        <v>283884.63892903063</v>
      </c>
      <c r="M1645" s="2266">
        <v>599</v>
      </c>
    </row>
    <row r="1646" spans="1:13" ht="15">
      <c r="A1646" s="2266" t="s">
        <v>4314</v>
      </c>
      <c r="B1646" s="1694" t="str">
        <f>CONCATENATE(LEFT(RIGHT(CONCATENATE("000",IFAData_TEA!A1646),6),3),"-",(RIGHT(RIGHT(CONCATENATE("000",IFAData_TEA!A1646),6),3)))</f>
        <v>181-901</v>
      </c>
      <c r="C1646" s="2266" t="s">
        <v>2121</v>
      </c>
      <c r="D1646" s="2266">
        <v>6</v>
      </c>
      <c r="E1646" s="2266">
        <v>1633</v>
      </c>
      <c r="F1646" s="2266" t="s">
        <v>6053</v>
      </c>
      <c r="G1646" s="2266" t="s">
        <v>6053</v>
      </c>
      <c r="H1646" s="2436">
        <v>649545</v>
      </c>
      <c r="I1646" s="2436">
        <v>480000</v>
      </c>
      <c r="J1646" s="2446">
        <v>0.5461807175449177</v>
      </c>
      <c r="K1646" s="2436">
        <v>354768.95417771355</v>
      </c>
      <c r="L1646" s="2436">
        <v>354768.95417771355</v>
      </c>
      <c r="M1646" s="2266">
        <v>599</v>
      </c>
    </row>
    <row r="1647" spans="1:13" ht="15">
      <c r="A1647" s="2266" t="s">
        <v>4315</v>
      </c>
      <c r="B1647" s="1694" t="str">
        <f>CONCATENATE(LEFT(RIGHT(CONCATENATE("000",IFAData_TEA!A1647),6),3),"-",(RIGHT(RIGHT(CONCATENATE("000",IFAData_TEA!A1647),6),3)))</f>
        <v>181-907</v>
      </c>
      <c r="C1647" s="2266" t="s">
        <v>156</v>
      </c>
      <c r="D1647" s="2266">
        <v>6</v>
      </c>
      <c r="E1647" s="2266">
        <v>2428</v>
      </c>
      <c r="F1647" s="2266" t="s">
        <v>6056</v>
      </c>
      <c r="G1647" s="2266" t="s">
        <v>6058</v>
      </c>
      <c r="H1647" s="2436">
        <v>1258064</v>
      </c>
      <c r="I1647" s="2436">
        <v>761950</v>
      </c>
      <c r="J1647" s="2446">
        <v>0.63852021191546848</v>
      </c>
      <c r="K1647" s="2436">
        <v>803299.29188322194</v>
      </c>
      <c r="L1647" s="2436">
        <v>761950</v>
      </c>
      <c r="M1647" s="2266">
        <v>599</v>
      </c>
    </row>
    <row r="1648" spans="1:13" ht="15">
      <c r="A1648" s="2266" t="s">
        <v>4315</v>
      </c>
      <c r="B1648" s="1694" t="str">
        <f>CONCATENATE(LEFT(RIGHT(CONCATENATE("000",IFAData_TEA!A1648),6),3),"-",(RIGHT(RIGHT(CONCATENATE("000",IFAData_TEA!A1648),6),3)))</f>
        <v>181-907</v>
      </c>
      <c r="C1648" s="2266" t="s">
        <v>156</v>
      </c>
      <c r="D1648" s="2266">
        <v>6</v>
      </c>
      <c r="E1648" s="2266">
        <v>2428</v>
      </c>
      <c r="F1648" s="2266" t="s">
        <v>6056</v>
      </c>
      <c r="G1648" s="2266" t="s">
        <v>6057</v>
      </c>
      <c r="H1648" s="2436">
        <v>1258064</v>
      </c>
      <c r="I1648" s="2436">
        <v>431356</v>
      </c>
      <c r="J1648" s="2446">
        <v>0.36147978808453157</v>
      </c>
      <c r="K1648" s="2436">
        <v>454764.70811677811</v>
      </c>
      <c r="L1648" s="2436">
        <v>431356</v>
      </c>
      <c r="M1648" s="2266">
        <v>599</v>
      </c>
    </row>
    <row r="1649" spans="1:13" ht="15">
      <c r="A1649" s="2266" t="s">
        <v>4315</v>
      </c>
      <c r="B1649" s="1694" t="str">
        <f>CONCATENATE(LEFT(RIGHT(CONCATENATE("000",IFAData_TEA!A1649),6),3),"-",(RIGHT(RIGHT(CONCATENATE("000",IFAData_TEA!A1649),6),3)))</f>
        <v>181-907</v>
      </c>
      <c r="C1649" s="2266" t="s">
        <v>156</v>
      </c>
      <c r="D1649" s="2266">
        <v>6</v>
      </c>
      <c r="E1649" s="2266">
        <v>2428</v>
      </c>
      <c r="F1649" s="2266" t="s">
        <v>6056</v>
      </c>
      <c r="G1649" s="2266" t="s">
        <v>6056</v>
      </c>
      <c r="H1649" s="2436">
        <v>1258064</v>
      </c>
      <c r="I1649" s="2436">
        <v>0</v>
      </c>
      <c r="J1649" s="2446">
        <v>0</v>
      </c>
      <c r="K1649" s="2436">
        <v>0</v>
      </c>
      <c r="L1649" s="2436">
        <v>0</v>
      </c>
      <c r="M1649" s="2266">
        <v>599</v>
      </c>
    </row>
    <row r="1650" spans="1:13" ht="15">
      <c r="A1650" s="2266" t="s">
        <v>4316</v>
      </c>
      <c r="B1650" s="1694" t="str">
        <f>CONCATENATE(LEFT(RIGHT(CONCATENATE("000",IFAData_TEA!A1650),6),3),"-",(RIGHT(RIGHT(CONCATENATE("000",IFAData_TEA!A1650),6),3)))</f>
        <v>182-903</v>
      </c>
      <c r="C1650" s="2266" t="s">
        <v>2559</v>
      </c>
      <c r="D1650" s="2266">
        <v>2</v>
      </c>
      <c r="E1650" s="2266">
        <v>2110</v>
      </c>
      <c r="F1650" s="2266" t="s">
        <v>6059</v>
      </c>
      <c r="G1650" s="2266" t="s">
        <v>7031</v>
      </c>
      <c r="H1650" s="2436">
        <v>772750</v>
      </c>
      <c r="I1650" s="2436">
        <v>56137</v>
      </c>
      <c r="J1650" s="2446">
        <v>3.5724581467408006E-2</v>
      </c>
      <c r="K1650" s="2436">
        <v>27606.170328939537</v>
      </c>
      <c r="L1650" s="2436">
        <v>27606.170328939537</v>
      </c>
      <c r="M1650" s="2266">
        <v>599</v>
      </c>
    </row>
    <row r="1651" spans="1:13" ht="15">
      <c r="A1651" s="2266" t="s">
        <v>4316</v>
      </c>
      <c r="B1651" s="1694" t="str">
        <f>CONCATENATE(LEFT(RIGHT(CONCATENATE("000",IFAData_TEA!A1651),6),3),"-",(RIGHT(RIGHT(CONCATENATE("000",IFAData_TEA!A1651),6),3)))</f>
        <v>182-903</v>
      </c>
      <c r="C1651" s="2266" t="s">
        <v>2559</v>
      </c>
      <c r="D1651" s="2266">
        <v>2</v>
      </c>
      <c r="E1651" s="2266">
        <v>2110</v>
      </c>
      <c r="F1651" s="2266" t="s">
        <v>6059</v>
      </c>
      <c r="G1651" s="2266" t="s">
        <v>6060</v>
      </c>
      <c r="H1651" s="2436">
        <v>772750</v>
      </c>
      <c r="I1651" s="2436">
        <v>934826</v>
      </c>
      <c r="J1651" s="2446">
        <v>0.59490652501649821</v>
      </c>
      <c r="K1651" s="2436">
        <v>459714.017206499</v>
      </c>
      <c r="L1651" s="2436">
        <v>459714.017206499</v>
      </c>
      <c r="M1651" s="2266">
        <v>599</v>
      </c>
    </row>
    <row r="1652" spans="1:13" ht="15">
      <c r="A1652" s="2266" t="s">
        <v>4316</v>
      </c>
      <c r="B1652" s="1694" t="str">
        <f>CONCATENATE(LEFT(RIGHT(CONCATENATE("000",IFAData_TEA!A1652),6),3),"-",(RIGHT(RIGHT(CONCATENATE("000",IFAData_TEA!A1652),6),3)))</f>
        <v>182-903</v>
      </c>
      <c r="C1652" s="2266" t="s">
        <v>2559</v>
      </c>
      <c r="D1652" s="2266">
        <v>2</v>
      </c>
      <c r="E1652" s="2266">
        <v>2110</v>
      </c>
      <c r="F1652" s="2266" t="s">
        <v>6059</v>
      </c>
      <c r="G1652" s="2266" t="s">
        <v>6059</v>
      </c>
      <c r="H1652" s="2436">
        <v>772750</v>
      </c>
      <c r="I1652" s="2436">
        <v>0</v>
      </c>
      <c r="J1652" s="2446">
        <v>0</v>
      </c>
      <c r="K1652" s="2436">
        <v>0</v>
      </c>
      <c r="L1652" s="2436">
        <v>0</v>
      </c>
      <c r="M1652" s="2266">
        <v>599</v>
      </c>
    </row>
    <row r="1653" spans="1:13" ht="15">
      <c r="A1653" s="2266" t="s">
        <v>4316</v>
      </c>
      <c r="B1653" s="1694" t="str">
        <f>CONCATENATE(LEFT(RIGHT(CONCATENATE("000",IFAData_TEA!A1653),6),3),"-",(RIGHT(RIGHT(CONCATENATE("000",IFAData_TEA!A1653),6),3)))</f>
        <v>182-903</v>
      </c>
      <c r="C1653" s="2266" t="s">
        <v>2559</v>
      </c>
      <c r="D1653" s="2266">
        <v>2</v>
      </c>
      <c r="E1653" s="2266">
        <v>2110</v>
      </c>
      <c r="F1653" s="2266" t="s">
        <v>6059</v>
      </c>
      <c r="G1653" s="2266" t="s">
        <v>6062</v>
      </c>
      <c r="H1653" s="2436">
        <v>772750</v>
      </c>
      <c r="I1653" s="2436">
        <v>284105</v>
      </c>
      <c r="J1653" s="2446">
        <v>0.18079933408977952</v>
      </c>
      <c r="K1653" s="2436">
        <v>139712.68541787713</v>
      </c>
      <c r="L1653" s="2436">
        <v>139712.68541787713</v>
      </c>
      <c r="M1653" s="2266">
        <v>599</v>
      </c>
    </row>
    <row r="1654" spans="1:13" ht="15">
      <c r="A1654" s="2266" t="s">
        <v>4316</v>
      </c>
      <c r="B1654" s="1694" t="str">
        <f>CONCATENATE(LEFT(RIGHT(CONCATENATE("000",IFAData_TEA!A1654),6),3),"-",(RIGHT(RIGHT(CONCATENATE("000",IFAData_TEA!A1654),6),3)))</f>
        <v>182-903</v>
      </c>
      <c r="C1654" s="2266" t="s">
        <v>2559</v>
      </c>
      <c r="D1654" s="2266">
        <v>2</v>
      </c>
      <c r="E1654" s="2266">
        <v>2110</v>
      </c>
      <c r="F1654" s="2266" t="s">
        <v>6059</v>
      </c>
      <c r="G1654" s="2266" t="s">
        <v>6061</v>
      </c>
      <c r="H1654" s="2436">
        <v>772750</v>
      </c>
      <c r="I1654" s="2436">
        <v>296315</v>
      </c>
      <c r="J1654" s="2446">
        <v>0.18856955942631426</v>
      </c>
      <c r="K1654" s="2436">
        <v>145717.12704668436</v>
      </c>
      <c r="L1654" s="2436">
        <v>145717.12704668436</v>
      </c>
      <c r="M1654" s="2266">
        <v>599</v>
      </c>
    </row>
    <row r="1655" spans="1:13" ht="15">
      <c r="A1655" s="2266" t="s">
        <v>4317</v>
      </c>
      <c r="B1655" s="1694" t="str">
        <f>CONCATENATE(LEFT(RIGHT(CONCATENATE("000",IFAData_TEA!A1655),6),3),"-",(RIGHT(RIGHT(CONCATENATE("000",IFAData_TEA!A1655),6),3)))</f>
        <v>183-904</v>
      </c>
      <c r="C1655" s="2266" t="s">
        <v>494</v>
      </c>
      <c r="D1655" s="2266">
        <v>1</v>
      </c>
      <c r="E1655" s="2266">
        <v>1845</v>
      </c>
      <c r="F1655" s="2266" t="s">
        <v>6063</v>
      </c>
      <c r="G1655" s="2266" t="s">
        <v>6063</v>
      </c>
      <c r="H1655" s="2436">
        <v>100000</v>
      </c>
      <c r="I1655" s="2436">
        <v>0</v>
      </c>
      <c r="J1655" s="2446">
        <v>0</v>
      </c>
      <c r="K1655" s="2436">
        <v>0</v>
      </c>
      <c r="L1655" s="2436">
        <v>0</v>
      </c>
      <c r="M1655" s="2266">
        <v>599</v>
      </c>
    </row>
    <row r="1656" spans="1:13" ht="15">
      <c r="A1656" s="2266" t="s">
        <v>4317</v>
      </c>
      <c r="B1656" s="1694" t="str">
        <f>CONCATENATE(LEFT(RIGHT(CONCATENATE("000",IFAData_TEA!A1656),6),3),"-",(RIGHT(RIGHT(CONCATENATE("000",IFAData_TEA!A1656),6),3)))</f>
        <v>183-904</v>
      </c>
      <c r="C1656" s="2266" t="s">
        <v>494</v>
      </c>
      <c r="D1656" s="2266">
        <v>1</v>
      </c>
      <c r="E1656" s="2266">
        <v>1845</v>
      </c>
      <c r="F1656" s="2266" t="s">
        <v>6063</v>
      </c>
      <c r="G1656" s="2266" t="s">
        <v>6064</v>
      </c>
      <c r="H1656" s="2436">
        <v>100000</v>
      </c>
      <c r="I1656" s="2436">
        <v>104082</v>
      </c>
      <c r="J1656" s="2446">
        <v>1</v>
      </c>
      <c r="K1656" s="2436">
        <v>100000</v>
      </c>
      <c r="L1656" s="2436">
        <v>100000</v>
      </c>
      <c r="M1656" s="2266">
        <v>599</v>
      </c>
    </row>
    <row r="1657" spans="1:13" ht="15">
      <c r="A1657" s="2266" t="s">
        <v>4318</v>
      </c>
      <c r="B1657" s="1694" t="str">
        <f>CONCATENATE(LEFT(RIGHT(CONCATENATE("000",IFAData_TEA!A1657),6),3),"-",(RIGHT(RIGHT(CONCATENATE("000",IFAData_TEA!A1657),6),3)))</f>
        <v>184-901</v>
      </c>
      <c r="C1657" s="2266" t="s">
        <v>1130</v>
      </c>
      <c r="D1657" s="2266">
        <v>5</v>
      </c>
      <c r="E1657" s="2266">
        <v>2202</v>
      </c>
      <c r="F1657" s="2266" t="s">
        <v>6065</v>
      </c>
      <c r="G1657" s="2266" t="s">
        <v>6065</v>
      </c>
      <c r="H1657" s="2436">
        <v>107925</v>
      </c>
      <c r="I1657" s="2436">
        <v>0</v>
      </c>
      <c r="J1657" s="2446">
        <v>0</v>
      </c>
      <c r="K1657" s="2436">
        <v>0</v>
      </c>
      <c r="L1657" s="2436">
        <v>0</v>
      </c>
      <c r="M1657" s="2266">
        <v>599</v>
      </c>
    </row>
    <row r="1658" spans="1:13" ht="15">
      <c r="A1658" s="2266" t="s">
        <v>4318</v>
      </c>
      <c r="B1658" s="1694" t="str">
        <f>CONCATENATE(LEFT(RIGHT(CONCATENATE("000",IFAData_TEA!A1658),6),3),"-",(RIGHT(RIGHT(CONCATENATE("000",IFAData_TEA!A1658),6),3)))</f>
        <v>184-901</v>
      </c>
      <c r="C1658" s="2266" t="s">
        <v>1130</v>
      </c>
      <c r="D1658" s="2266">
        <v>5</v>
      </c>
      <c r="E1658" s="2266">
        <v>2202</v>
      </c>
      <c r="F1658" s="2266" t="s">
        <v>6065</v>
      </c>
      <c r="G1658" s="2266" t="s">
        <v>6066</v>
      </c>
      <c r="H1658" s="2436">
        <v>107925</v>
      </c>
      <c r="I1658" s="2436">
        <v>110747</v>
      </c>
      <c r="J1658" s="2446">
        <v>1</v>
      </c>
      <c r="K1658" s="2436">
        <v>107925</v>
      </c>
      <c r="L1658" s="2436">
        <v>107925</v>
      </c>
      <c r="M1658" s="2266">
        <v>599</v>
      </c>
    </row>
    <row r="1659" spans="1:13" ht="15">
      <c r="A1659" s="2266" t="s">
        <v>4319</v>
      </c>
      <c r="B1659" s="1694" t="str">
        <f>CONCATENATE(LEFT(RIGHT(CONCATENATE("000",IFAData_TEA!A1659),6),3),"-",(RIGHT(RIGHT(CONCATENATE("000",IFAData_TEA!A1659),6),3)))</f>
        <v>184-902</v>
      </c>
      <c r="C1659" s="2266" t="s">
        <v>2211</v>
      </c>
      <c r="D1659" s="2266">
        <v>2</v>
      </c>
      <c r="E1659" s="2266">
        <v>2378</v>
      </c>
      <c r="F1659" s="2266" t="s">
        <v>6067</v>
      </c>
      <c r="G1659" s="2266" t="s">
        <v>7032</v>
      </c>
      <c r="H1659" s="2436">
        <v>700070</v>
      </c>
      <c r="I1659" s="2436">
        <v>239980</v>
      </c>
      <c r="J1659" s="2446">
        <v>0.13169440619805525</v>
      </c>
      <c r="K1659" s="2436">
        <v>92195.302947072545</v>
      </c>
      <c r="L1659" s="2436">
        <v>92195.302947072545</v>
      </c>
      <c r="M1659" s="2266">
        <v>599</v>
      </c>
    </row>
    <row r="1660" spans="1:13" ht="15">
      <c r="A1660" s="2266" t="s">
        <v>4319</v>
      </c>
      <c r="B1660" s="1694" t="str">
        <f>CONCATENATE(LEFT(RIGHT(CONCATENATE("000",IFAData_TEA!A1660),6),3),"-",(RIGHT(RIGHT(CONCATENATE("000",IFAData_TEA!A1660),6),3)))</f>
        <v>184-902</v>
      </c>
      <c r="C1660" s="2266" t="s">
        <v>2211</v>
      </c>
      <c r="D1660" s="2266">
        <v>2</v>
      </c>
      <c r="E1660" s="2266">
        <v>2378</v>
      </c>
      <c r="F1660" s="2266" t="s">
        <v>6067</v>
      </c>
      <c r="G1660" s="2266" t="s">
        <v>6070</v>
      </c>
      <c r="H1660" s="2436">
        <v>700070</v>
      </c>
      <c r="I1660" s="2436">
        <v>0</v>
      </c>
      <c r="J1660" s="2446">
        <v>0</v>
      </c>
      <c r="K1660" s="2436">
        <v>0</v>
      </c>
      <c r="L1660" s="2436">
        <v>0</v>
      </c>
      <c r="M1660" s="2266">
        <v>599</v>
      </c>
    </row>
    <row r="1661" spans="1:13" ht="15">
      <c r="A1661" s="2266" t="s">
        <v>4319</v>
      </c>
      <c r="B1661" s="1694" t="str">
        <f>CONCATENATE(LEFT(RIGHT(CONCATENATE("000",IFAData_TEA!A1661),6),3),"-",(RIGHT(RIGHT(CONCATENATE("000",IFAData_TEA!A1661),6),3)))</f>
        <v>184-902</v>
      </c>
      <c r="C1661" s="2266" t="s">
        <v>2211</v>
      </c>
      <c r="D1661" s="2266">
        <v>2</v>
      </c>
      <c r="E1661" s="2266">
        <v>2378</v>
      </c>
      <c r="F1661" s="2266" t="s">
        <v>6067</v>
      </c>
      <c r="G1661" s="2266" t="s">
        <v>6068</v>
      </c>
      <c r="H1661" s="2436">
        <v>700070</v>
      </c>
      <c r="I1661" s="2436">
        <v>1231192</v>
      </c>
      <c r="J1661" s="2446">
        <v>0.6756442176672891</v>
      </c>
      <c r="K1661" s="2436">
        <v>472998.24746233906</v>
      </c>
      <c r="L1661" s="2436">
        <v>472998.24746233906</v>
      </c>
      <c r="M1661" s="2266">
        <v>599</v>
      </c>
    </row>
    <row r="1662" spans="1:13" ht="15">
      <c r="A1662" s="2266" t="s">
        <v>4319</v>
      </c>
      <c r="B1662" s="1694" t="str">
        <f>CONCATENATE(LEFT(RIGHT(CONCATENATE("000",IFAData_TEA!A1662),6),3),"-",(RIGHT(RIGHT(CONCATENATE("000",IFAData_TEA!A1662),6),3)))</f>
        <v>184-902</v>
      </c>
      <c r="C1662" s="2266" t="s">
        <v>2211</v>
      </c>
      <c r="D1662" s="2266">
        <v>2</v>
      </c>
      <c r="E1662" s="2266">
        <v>2378</v>
      </c>
      <c r="F1662" s="2266" t="s">
        <v>6067</v>
      </c>
      <c r="G1662" s="2266" t="s">
        <v>6067</v>
      </c>
      <c r="H1662" s="2436">
        <v>700070</v>
      </c>
      <c r="I1662" s="2436">
        <v>0</v>
      </c>
      <c r="J1662" s="2446">
        <v>0</v>
      </c>
      <c r="K1662" s="2436">
        <v>0</v>
      </c>
      <c r="L1662" s="2436">
        <v>0</v>
      </c>
      <c r="M1662" s="2266">
        <v>599</v>
      </c>
    </row>
    <row r="1663" spans="1:13" ht="15">
      <c r="A1663" s="2266" t="s">
        <v>4319</v>
      </c>
      <c r="B1663" s="1694" t="str">
        <f>CONCATENATE(LEFT(RIGHT(CONCATENATE("000",IFAData_TEA!A1663),6),3),"-",(RIGHT(RIGHT(CONCATENATE("000",IFAData_TEA!A1663),6),3)))</f>
        <v>184-902</v>
      </c>
      <c r="C1663" s="2266" t="s">
        <v>2211</v>
      </c>
      <c r="D1663" s="2266">
        <v>9</v>
      </c>
      <c r="E1663" s="2266">
        <v>2379</v>
      </c>
      <c r="F1663" s="2266" t="s">
        <v>6071</v>
      </c>
      <c r="G1663" s="2266" t="s">
        <v>6071</v>
      </c>
      <c r="H1663" s="2436">
        <v>824218</v>
      </c>
      <c r="I1663" s="2436">
        <v>1241835</v>
      </c>
      <c r="J1663" s="2446">
        <v>0.91574944361935751</v>
      </c>
      <c r="K1663" s="2436">
        <v>754777.17492105963</v>
      </c>
      <c r="L1663" s="2436">
        <v>754777.17492105963</v>
      </c>
      <c r="M1663" s="2266">
        <v>599</v>
      </c>
    </row>
    <row r="1664" spans="1:13" ht="15">
      <c r="A1664" s="2266" t="s">
        <v>4319</v>
      </c>
      <c r="B1664" s="1694" t="str">
        <f>CONCATENATE(LEFT(RIGHT(CONCATENATE("000",IFAData_TEA!A1664),6),3),"-",(RIGHT(RIGHT(CONCATENATE("000",IFAData_TEA!A1664),6),3)))</f>
        <v>184-902</v>
      </c>
      <c r="C1664" s="2266" t="s">
        <v>2211</v>
      </c>
      <c r="D1664" s="2266">
        <v>2</v>
      </c>
      <c r="E1664" s="2266">
        <v>2378</v>
      </c>
      <c r="F1664" s="2266" t="s">
        <v>6067</v>
      </c>
      <c r="G1664" s="2266" t="s">
        <v>6069</v>
      </c>
      <c r="H1664" s="2436">
        <v>700070</v>
      </c>
      <c r="I1664" s="2436">
        <v>333834</v>
      </c>
      <c r="J1664" s="2446">
        <v>0.18319889323577623</v>
      </c>
      <c r="K1664" s="2436">
        <v>128252.04918756986</v>
      </c>
      <c r="L1664" s="2436">
        <v>128252.04918756986</v>
      </c>
      <c r="M1664" s="2266">
        <v>599</v>
      </c>
    </row>
    <row r="1665" spans="1:13" ht="15">
      <c r="A1665" s="2266" t="s">
        <v>4319</v>
      </c>
      <c r="B1665" s="1694" t="str">
        <f>CONCATENATE(LEFT(RIGHT(CONCATENATE("000",IFAData_TEA!A1665),6),3),"-",(RIGHT(RIGHT(CONCATENATE("000",IFAData_TEA!A1665),6),3)))</f>
        <v>184-902</v>
      </c>
      <c r="C1665" s="2266" t="s">
        <v>2211</v>
      </c>
      <c r="D1665" s="2266">
        <v>2</v>
      </c>
      <c r="E1665" s="2266">
        <v>2378</v>
      </c>
      <c r="F1665" s="2266" t="s">
        <v>6067</v>
      </c>
      <c r="G1665" s="2266" t="s">
        <v>7033</v>
      </c>
      <c r="H1665" s="2436">
        <v>700070</v>
      </c>
      <c r="I1665" s="2436">
        <v>17243</v>
      </c>
      <c r="J1665" s="2446">
        <v>9.4624828988793524E-3</v>
      </c>
      <c r="K1665" s="2436">
        <v>6624.4004030184678</v>
      </c>
      <c r="L1665" s="2436">
        <v>6624.4004030184678</v>
      </c>
      <c r="M1665" s="2266">
        <v>599</v>
      </c>
    </row>
    <row r="1666" spans="1:13" ht="15">
      <c r="A1666" s="2266" t="s">
        <v>4319</v>
      </c>
      <c r="B1666" s="1694" t="str">
        <f>CONCATENATE(LEFT(RIGHT(CONCATENATE("000",IFAData_TEA!A1666),6),3),"-",(RIGHT(RIGHT(CONCATENATE("000",IFAData_TEA!A1666),6),3)))</f>
        <v>184-902</v>
      </c>
      <c r="C1666" s="2266" t="s">
        <v>2211</v>
      </c>
      <c r="D1666" s="2266">
        <v>9</v>
      </c>
      <c r="E1666" s="2266">
        <v>2379</v>
      </c>
      <c r="F1666" s="2266" t="s">
        <v>6071</v>
      </c>
      <c r="G1666" s="2266" t="s">
        <v>7033</v>
      </c>
      <c r="H1666" s="2436">
        <v>824218</v>
      </c>
      <c r="I1666" s="2436">
        <v>114251</v>
      </c>
      <c r="J1666" s="2446">
        <v>8.4250556380642522E-2</v>
      </c>
      <c r="K1666" s="2436">
        <v>69440.825078940412</v>
      </c>
      <c r="L1666" s="2436">
        <v>69440.825078940412</v>
      </c>
      <c r="M1666" s="2266">
        <v>599</v>
      </c>
    </row>
    <row r="1667" spans="1:13" ht="15">
      <c r="A1667" s="2266" t="s">
        <v>4320</v>
      </c>
      <c r="B1667" s="1694" t="str">
        <f>CONCATENATE(LEFT(RIGHT(CONCATENATE("000",IFAData_TEA!A1667),6),3),"-",(RIGHT(RIGHT(CONCATENATE("000",IFAData_TEA!A1667),6),3)))</f>
        <v>184-903</v>
      </c>
      <c r="C1667" s="2266" t="s">
        <v>161</v>
      </c>
      <c r="D1667" s="2266">
        <v>6</v>
      </c>
      <c r="E1667" s="2266">
        <v>2439</v>
      </c>
      <c r="F1667" s="2266" t="s">
        <v>6072</v>
      </c>
      <c r="G1667" s="2266" t="s">
        <v>6075</v>
      </c>
      <c r="H1667" s="2436">
        <v>240000</v>
      </c>
      <c r="I1667" s="2436">
        <v>414325</v>
      </c>
      <c r="J1667" s="2446">
        <v>0.10150782577378815</v>
      </c>
      <c r="K1667" s="2436">
        <v>24361.878185709156</v>
      </c>
      <c r="L1667" s="2436">
        <v>24361.878185709156</v>
      </c>
      <c r="M1667" s="2266">
        <v>599</v>
      </c>
    </row>
    <row r="1668" spans="1:13" ht="15">
      <c r="A1668" s="2266" t="s">
        <v>4320</v>
      </c>
      <c r="B1668" s="1694" t="str">
        <f>CONCATENATE(LEFT(RIGHT(CONCATENATE("000",IFAData_TEA!A1668),6),3),"-",(RIGHT(RIGHT(CONCATENATE("000",IFAData_TEA!A1668),6),3)))</f>
        <v>184-903</v>
      </c>
      <c r="C1668" s="2266" t="s">
        <v>161</v>
      </c>
      <c r="D1668" s="2266">
        <v>6</v>
      </c>
      <c r="E1668" s="2266">
        <v>2439</v>
      </c>
      <c r="F1668" s="2266" t="s">
        <v>6072</v>
      </c>
      <c r="G1668" s="2266" t="s">
        <v>6077</v>
      </c>
      <c r="H1668" s="2436">
        <v>240000</v>
      </c>
      <c r="I1668" s="2436">
        <v>113632</v>
      </c>
      <c r="J1668" s="2446">
        <v>2.7839346547582446E-2</v>
      </c>
      <c r="K1668" s="2436">
        <v>6681.4431714197872</v>
      </c>
      <c r="L1668" s="2436">
        <v>6681.4431714197872</v>
      </c>
      <c r="M1668" s="2266">
        <v>599</v>
      </c>
    </row>
    <row r="1669" spans="1:13" ht="15">
      <c r="A1669" s="2266" t="s">
        <v>4320</v>
      </c>
      <c r="B1669" s="1694" t="str">
        <f>CONCATENATE(LEFT(RIGHT(CONCATENATE("000",IFAData_TEA!A1669),6),3),"-",(RIGHT(RIGHT(CONCATENATE("000",IFAData_TEA!A1669),6),3)))</f>
        <v>184-903</v>
      </c>
      <c r="C1669" s="2266" t="s">
        <v>161</v>
      </c>
      <c r="D1669" s="2266">
        <v>6</v>
      </c>
      <c r="E1669" s="2266">
        <v>2439</v>
      </c>
      <c r="F1669" s="2266" t="s">
        <v>6072</v>
      </c>
      <c r="G1669" s="2266" t="s">
        <v>6073</v>
      </c>
      <c r="H1669" s="2436">
        <v>240000</v>
      </c>
      <c r="I1669" s="2436">
        <v>0</v>
      </c>
      <c r="J1669" s="2446">
        <v>0</v>
      </c>
      <c r="K1669" s="2436">
        <v>0</v>
      </c>
      <c r="L1669" s="2436">
        <v>0</v>
      </c>
      <c r="M1669" s="2266">
        <v>599</v>
      </c>
    </row>
    <row r="1670" spans="1:13" ht="15">
      <c r="A1670" s="2266" t="s">
        <v>4320</v>
      </c>
      <c r="B1670" s="1694" t="str">
        <f>CONCATENATE(LEFT(RIGHT(CONCATENATE("000",IFAData_TEA!A1670),6),3),"-",(RIGHT(RIGHT(CONCATENATE("000",IFAData_TEA!A1670),6),3)))</f>
        <v>184-903</v>
      </c>
      <c r="C1670" s="2266" t="s">
        <v>161</v>
      </c>
      <c r="D1670" s="2266">
        <v>6</v>
      </c>
      <c r="E1670" s="2266">
        <v>2439</v>
      </c>
      <c r="F1670" s="2266" t="s">
        <v>6072</v>
      </c>
      <c r="G1670" s="2266" t="s">
        <v>6076</v>
      </c>
      <c r="H1670" s="2436">
        <v>240000</v>
      </c>
      <c r="I1670" s="2436">
        <v>58748</v>
      </c>
      <c r="J1670" s="2446">
        <v>1.4393004883988432E-2</v>
      </c>
      <c r="K1670" s="2436">
        <v>3454.3211721572238</v>
      </c>
      <c r="L1670" s="2436">
        <v>3454.3211721572238</v>
      </c>
      <c r="M1670" s="2266">
        <v>599</v>
      </c>
    </row>
    <row r="1671" spans="1:13" ht="15">
      <c r="A1671" s="2266" t="s">
        <v>4320</v>
      </c>
      <c r="B1671" s="1694" t="str">
        <f>CONCATENATE(LEFT(RIGHT(CONCATENATE("000",IFAData_TEA!A1671),6),3),"-",(RIGHT(RIGHT(CONCATENATE("000",IFAData_TEA!A1671),6),3)))</f>
        <v>184-903</v>
      </c>
      <c r="C1671" s="2266" t="s">
        <v>161</v>
      </c>
      <c r="D1671" s="2266">
        <v>6</v>
      </c>
      <c r="E1671" s="2266">
        <v>2439</v>
      </c>
      <c r="F1671" s="2266" t="s">
        <v>6072</v>
      </c>
      <c r="G1671" s="2266" t="s">
        <v>6072</v>
      </c>
      <c r="H1671" s="2436">
        <v>240000</v>
      </c>
      <c r="I1671" s="2436">
        <v>3495000</v>
      </c>
      <c r="J1671" s="2446">
        <v>0.85625982279464097</v>
      </c>
      <c r="K1671" s="2436">
        <v>205502.35747071385</v>
      </c>
      <c r="L1671" s="2436">
        <v>205502.35747071385</v>
      </c>
      <c r="M1671" s="2266">
        <v>599</v>
      </c>
    </row>
    <row r="1672" spans="1:13" ht="15">
      <c r="A1672" s="2266" t="s">
        <v>4320</v>
      </c>
      <c r="B1672" s="1694" t="str">
        <f>CONCATENATE(LEFT(RIGHT(CONCATENATE("000",IFAData_TEA!A1672),6),3),"-",(RIGHT(RIGHT(CONCATENATE("000",IFAData_TEA!A1672),6),3)))</f>
        <v>184-903</v>
      </c>
      <c r="C1672" s="2266" t="s">
        <v>161</v>
      </c>
      <c r="D1672" s="2266">
        <v>6</v>
      </c>
      <c r="E1672" s="2266">
        <v>2439</v>
      </c>
      <c r="F1672" s="2266" t="s">
        <v>6072</v>
      </c>
      <c r="G1672" s="2266" t="s">
        <v>6074</v>
      </c>
      <c r="H1672" s="2436">
        <v>240000</v>
      </c>
      <c r="I1672" s="2436">
        <v>0</v>
      </c>
      <c r="J1672" s="2446">
        <v>0</v>
      </c>
      <c r="K1672" s="2436">
        <v>0</v>
      </c>
      <c r="L1672" s="2436">
        <v>0</v>
      </c>
      <c r="M1672" s="2266">
        <v>599</v>
      </c>
    </row>
    <row r="1673" spans="1:13" ht="15">
      <c r="A1673" s="2266" t="s">
        <v>4321</v>
      </c>
      <c r="B1673" s="1694" t="str">
        <f>CONCATENATE(LEFT(RIGHT(CONCATENATE("000",IFAData_TEA!A1673),6),3),"-",(RIGHT(RIGHT(CONCATENATE("000",IFAData_TEA!A1673),6),3)))</f>
        <v>184-904</v>
      </c>
      <c r="C1673" s="2266" t="s">
        <v>2558</v>
      </c>
      <c r="D1673" s="2266">
        <v>9</v>
      </c>
      <c r="E1673" s="2266">
        <v>2109</v>
      </c>
      <c r="F1673" s="2266" t="s">
        <v>6080</v>
      </c>
      <c r="G1673" s="2266" t="s">
        <v>7034</v>
      </c>
      <c r="H1673" s="2436">
        <v>193685</v>
      </c>
      <c r="I1673" s="2436">
        <v>197344</v>
      </c>
      <c r="J1673" s="2446">
        <v>0.32183698098437652</v>
      </c>
      <c r="K1673" s="2436">
        <v>62334.995661958965</v>
      </c>
      <c r="L1673" s="2436">
        <v>62334.995661958965</v>
      </c>
      <c r="M1673" s="2266">
        <v>599</v>
      </c>
    </row>
    <row r="1674" spans="1:13" ht="15">
      <c r="A1674" s="2266" t="s">
        <v>4321</v>
      </c>
      <c r="B1674" s="1694" t="str">
        <f>CONCATENATE(LEFT(RIGHT(CONCATENATE("000",IFAData_TEA!A1674),6),3),"-",(RIGHT(RIGHT(CONCATENATE("000",IFAData_TEA!A1674),6),3)))</f>
        <v>184-904</v>
      </c>
      <c r="C1674" s="2266" t="s">
        <v>2558</v>
      </c>
      <c r="D1674" s="2266">
        <v>9</v>
      </c>
      <c r="E1674" s="2266">
        <v>2109</v>
      </c>
      <c r="F1674" s="2266" t="s">
        <v>6080</v>
      </c>
      <c r="G1674" s="2266" t="s">
        <v>7035</v>
      </c>
      <c r="H1674" s="2436">
        <v>193685</v>
      </c>
      <c r="I1674" s="2436">
        <v>136211</v>
      </c>
      <c r="J1674" s="2446">
        <v>0.22213868684562446</v>
      </c>
      <c r="K1674" s="2436">
        <v>43024.931561694772</v>
      </c>
      <c r="L1674" s="2436">
        <v>43024.931561694772</v>
      </c>
      <c r="M1674" s="2266">
        <v>599</v>
      </c>
    </row>
    <row r="1675" spans="1:13" ht="15">
      <c r="A1675" s="2266" t="s">
        <v>4321</v>
      </c>
      <c r="B1675" s="1694" t="str">
        <f>CONCATENATE(LEFT(RIGHT(CONCATENATE("000",IFAData_TEA!A1675),6),3),"-",(RIGHT(RIGHT(CONCATENATE("000",IFAData_TEA!A1675),6),3)))</f>
        <v>184-904</v>
      </c>
      <c r="C1675" s="2266" t="s">
        <v>2558</v>
      </c>
      <c r="D1675" s="2266">
        <v>3</v>
      </c>
      <c r="E1675" s="2266">
        <v>2108</v>
      </c>
      <c r="F1675" s="2266" t="s">
        <v>6078</v>
      </c>
      <c r="G1675" s="2266" t="s">
        <v>7036</v>
      </c>
      <c r="H1675" s="2436">
        <v>166883</v>
      </c>
      <c r="I1675" s="2436">
        <v>163806</v>
      </c>
      <c r="J1675" s="2446">
        <v>0.3279405964776706</v>
      </c>
      <c r="K1675" s="2436">
        <v>54727.710561983105</v>
      </c>
      <c r="L1675" s="2436">
        <v>54727.710561983105</v>
      </c>
      <c r="M1675" s="2266">
        <v>599</v>
      </c>
    </row>
    <row r="1676" spans="1:13" ht="15">
      <c r="A1676" s="2266" t="s">
        <v>4321</v>
      </c>
      <c r="B1676" s="1694" t="str">
        <f>CONCATENATE(LEFT(RIGHT(CONCATENATE("000",IFAData_TEA!A1676),6),3),"-",(RIGHT(RIGHT(CONCATENATE("000",IFAData_TEA!A1676),6),3)))</f>
        <v>184-904</v>
      </c>
      <c r="C1676" s="2266" t="s">
        <v>2558</v>
      </c>
      <c r="D1676" s="2266">
        <v>3</v>
      </c>
      <c r="E1676" s="2266">
        <v>2108</v>
      </c>
      <c r="F1676" s="2266" t="s">
        <v>6078</v>
      </c>
      <c r="G1676" s="2266" t="s">
        <v>6079</v>
      </c>
      <c r="H1676" s="2436">
        <v>166883</v>
      </c>
      <c r="I1676" s="2436">
        <v>335693</v>
      </c>
      <c r="J1676" s="2446">
        <v>0.6720594035223294</v>
      </c>
      <c r="K1676" s="2436">
        <v>112155.2894380169</v>
      </c>
      <c r="L1676" s="2436">
        <v>112155.2894380169</v>
      </c>
      <c r="M1676" s="2266">
        <v>599</v>
      </c>
    </row>
    <row r="1677" spans="1:13" ht="15">
      <c r="A1677" s="2266" t="s">
        <v>4321</v>
      </c>
      <c r="B1677" s="1694" t="str">
        <f>CONCATENATE(LEFT(RIGHT(CONCATENATE("000",IFAData_TEA!A1677),6),3),"-",(RIGHT(RIGHT(CONCATENATE("000",IFAData_TEA!A1677),6),3)))</f>
        <v>184-904</v>
      </c>
      <c r="C1677" s="2266" t="s">
        <v>2558</v>
      </c>
      <c r="D1677" s="2266">
        <v>3</v>
      </c>
      <c r="E1677" s="2266">
        <v>2108</v>
      </c>
      <c r="F1677" s="2266" t="s">
        <v>6078</v>
      </c>
      <c r="G1677" s="2266" t="s">
        <v>6078</v>
      </c>
      <c r="H1677" s="2436">
        <v>166883</v>
      </c>
      <c r="I1677" s="2436">
        <v>0</v>
      </c>
      <c r="J1677" s="2446">
        <v>0</v>
      </c>
      <c r="K1677" s="2436">
        <v>0</v>
      </c>
      <c r="L1677" s="2436">
        <v>0</v>
      </c>
      <c r="M1677" s="2266">
        <v>599</v>
      </c>
    </row>
    <row r="1678" spans="1:13" ht="15">
      <c r="A1678" s="2266" t="s">
        <v>4321</v>
      </c>
      <c r="B1678" s="1694" t="str">
        <f>CONCATENATE(LEFT(RIGHT(CONCATENATE("000",IFAData_TEA!A1678),6),3),"-",(RIGHT(RIGHT(CONCATENATE("000",IFAData_TEA!A1678),6),3)))</f>
        <v>184-904</v>
      </c>
      <c r="C1678" s="2266" t="s">
        <v>2558</v>
      </c>
      <c r="D1678" s="2266">
        <v>9</v>
      </c>
      <c r="E1678" s="2266">
        <v>2109</v>
      </c>
      <c r="F1678" s="2266" t="s">
        <v>6080</v>
      </c>
      <c r="G1678" s="2266" t="s">
        <v>6080</v>
      </c>
      <c r="H1678" s="2436">
        <v>193685</v>
      </c>
      <c r="I1678" s="2436">
        <v>279625</v>
      </c>
      <c r="J1678" s="2446">
        <v>0.45602433216999905</v>
      </c>
      <c r="K1678" s="2436">
        <v>88325.072776346264</v>
      </c>
      <c r="L1678" s="2436">
        <v>88325.072776346264</v>
      </c>
      <c r="M1678" s="2266">
        <v>599</v>
      </c>
    </row>
    <row r="1679" spans="1:13" ht="15">
      <c r="A1679" s="2266" t="s">
        <v>4322</v>
      </c>
      <c r="B1679" s="1694" t="str">
        <f>CONCATENATE(LEFT(RIGHT(CONCATENATE("000",IFAData_TEA!A1679),6),3),"-",(RIGHT(RIGHT(CONCATENATE("000",IFAData_TEA!A1679),6),3)))</f>
        <v>184-908</v>
      </c>
      <c r="C1679" s="2266" t="s">
        <v>2988</v>
      </c>
      <c r="D1679" s="2266">
        <v>6</v>
      </c>
      <c r="E1679" s="2266">
        <v>2184</v>
      </c>
      <c r="F1679" s="2266" t="s">
        <v>6081</v>
      </c>
      <c r="G1679" s="2266" t="s">
        <v>6082</v>
      </c>
      <c r="H1679" s="2436">
        <v>242636</v>
      </c>
      <c r="I1679" s="2436">
        <v>612997</v>
      </c>
      <c r="J1679" s="2446">
        <v>1</v>
      </c>
      <c r="K1679" s="2436">
        <v>242636</v>
      </c>
      <c r="L1679" s="2436">
        <v>242636</v>
      </c>
      <c r="M1679" s="2266">
        <v>599</v>
      </c>
    </row>
    <row r="1680" spans="1:13" ht="15">
      <c r="A1680" s="2266" t="s">
        <v>4322</v>
      </c>
      <c r="B1680" s="1694" t="str">
        <f>CONCATENATE(LEFT(RIGHT(CONCATENATE("000",IFAData_TEA!A1680),6),3),"-",(RIGHT(RIGHT(CONCATENATE("000",IFAData_TEA!A1680),6),3)))</f>
        <v>184-908</v>
      </c>
      <c r="C1680" s="2266" t="s">
        <v>2988</v>
      </c>
      <c r="D1680" s="2266">
        <v>6</v>
      </c>
      <c r="E1680" s="2266">
        <v>2184</v>
      </c>
      <c r="F1680" s="2266" t="s">
        <v>6081</v>
      </c>
      <c r="G1680" s="2266" t="s">
        <v>6081</v>
      </c>
      <c r="H1680" s="2436">
        <v>242636</v>
      </c>
      <c r="I1680" s="2436">
        <v>0</v>
      </c>
      <c r="J1680" s="2446">
        <v>0</v>
      </c>
      <c r="K1680" s="2436">
        <v>0</v>
      </c>
      <c r="L1680" s="2436">
        <v>0</v>
      </c>
      <c r="M1680" s="2266">
        <v>599</v>
      </c>
    </row>
    <row r="1681" spans="1:13" ht="15">
      <c r="A1681" s="2266" t="s">
        <v>4322</v>
      </c>
      <c r="B1681" s="1694" t="str">
        <f>CONCATENATE(LEFT(RIGHT(CONCATENATE("000",IFAData_TEA!A1681),6),3),"-",(RIGHT(RIGHT(CONCATENATE("000",IFAData_TEA!A1681),6),3)))</f>
        <v>184-908</v>
      </c>
      <c r="C1681" s="2266" t="s">
        <v>2988</v>
      </c>
      <c r="D1681" s="2266">
        <v>9</v>
      </c>
      <c r="E1681" s="2266">
        <v>2183</v>
      </c>
      <c r="F1681" s="2266" t="s">
        <v>6083</v>
      </c>
      <c r="G1681" s="2266" t="s">
        <v>6083</v>
      </c>
      <c r="H1681" s="2436">
        <v>201241</v>
      </c>
      <c r="I1681" s="2436">
        <v>275329</v>
      </c>
      <c r="J1681" s="2446">
        <v>1</v>
      </c>
      <c r="K1681" s="2436">
        <v>201241</v>
      </c>
      <c r="L1681" s="2436">
        <v>201241</v>
      </c>
      <c r="M1681" s="2266">
        <v>599</v>
      </c>
    </row>
    <row r="1682" spans="1:13" ht="15">
      <c r="A1682" s="2266" t="s">
        <v>4322</v>
      </c>
      <c r="B1682" s="1694" t="str">
        <f>CONCATENATE(LEFT(RIGHT(CONCATENATE("000",IFAData_TEA!A1682),6),3),"-",(RIGHT(RIGHT(CONCATENATE("000",IFAData_TEA!A1682),6),3)))</f>
        <v>184-908</v>
      </c>
      <c r="C1682" s="2266" t="s">
        <v>2988</v>
      </c>
      <c r="D1682" s="2266">
        <v>9</v>
      </c>
      <c r="E1682" s="2266">
        <v>2183</v>
      </c>
      <c r="F1682" s="2266" t="s">
        <v>6083</v>
      </c>
      <c r="G1682" s="2266" t="s">
        <v>7037</v>
      </c>
      <c r="H1682" s="2436">
        <v>201241</v>
      </c>
      <c r="I1682" s="2436">
        <v>0</v>
      </c>
      <c r="J1682" s="2446">
        <v>0</v>
      </c>
      <c r="K1682" s="2436">
        <v>0</v>
      </c>
      <c r="L1682" s="2436">
        <v>0</v>
      </c>
      <c r="M1682" s="2266">
        <v>599</v>
      </c>
    </row>
    <row r="1683" spans="1:13" ht="15">
      <c r="A1683" s="2266" t="s">
        <v>4323</v>
      </c>
      <c r="B1683" s="1694" t="str">
        <f>CONCATENATE(LEFT(RIGHT(CONCATENATE("000",IFAData_TEA!A1683),6),3),"-",(RIGHT(RIGHT(CONCATENATE("000",IFAData_TEA!A1683),6),3)))</f>
        <v>184-909</v>
      </c>
      <c r="C1683" s="2266" t="s">
        <v>2122</v>
      </c>
      <c r="D1683" s="2266">
        <v>5</v>
      </c>
      <c r="E1683" s="2266">
        <v>1634</v>
      </c>
      <c r="F1683" s="2266" t="s">
        <v>6084</v>
      </c>
      <c r="G1683" s="2266" t="s">
        <v>6085</v>
      </c>
      <c r="H1683" s="2436">
        <v>167169</v>
      </c>
      <c r="I1683" s="2436">
        <v>0</v>
      </c>
      <c r="J1683" s="2446">
        <v>0</v>
      </c>
      <c r="K1683" s="2436">
        <v>0</v>
      </c>
      <c r="L1683" s="2436">
        <v>0</v>
      </c>
      <c r="M1683" s="2266">
        <v>599</v>
      </c>
    </row>
    <row r="1684" spans="1:13" ht="15">
      <c r="A1684" s="2266" t="s">
        <v>4323</v>
      </c>
      <c r="B1684" s="1694" t="str">
        <f>CONCATENATE(LEFT(RIGHT(CONCATENATE("000",IFAData_TEA!A1684),6),3),"-",(RIGHT(RIGHT(CONCATENATE("000",IFAData_TEA!A1684),6),3)))</f>
        <v>184-909</v>
      </c>
      <c r="C1684" s="2266" t="s">
        <v>2122</v>
      </c>
      <c r="D1684" s="2266">
        <v>5</v>
      </c>
      <c r="E1684" s="2266">
        <v>1634</v>
      </c>
      <c r="F1684" s="2266" t="s">
        <v>6084</v>
      </c>
      <c r="G1684" s="2266" t="s">
        <v>6084</v>
      </c>
      <c r="H1684" s="2436">
        <v>167169</v>
      </c>
      <c r="I1684" s="2436">
        <v>195267</v>
      </c>
      <c r="J1684" s="2446">
        <v>1</v>
      </c>
      <c r="K1684" s="2436">
        <v>167169</v>
      </c>
      <c r="L1684" s="2436">
        <v>167169</v>
      </c>
      <c r="M1684" s="2266">
        <v>599</v>
      </c>
    </row>
    <row r="1685" spans="1:13" ht="15">
      <c r="A1685" s="2266" t="s">
        <v>4324</v>
      </c>
      <c r="B1685" s="1694" t="str">
        <f>CONCATENATE(LEFT(RIGHT(CONCATENATE("000",IFAData_TEA!A1685),6),3),"-",(RIGHT(RIGHT(CONCATENATE("000",IFAData_TEA!A1685),6),3)))</f>
        <v>187-907</v>
      </c>
      <c r="C1685" s="2266" t="s">
        <v>2545</v>
      </c>
      <c r="D1685" s="2266">
        <v>1</v>
      </c>
      <c r="E1685" s="2266">
        <v>2028</v>
      </c>
      <c r="F1685" s="2266" t="s">
        <v>6086</v>
      </c>
      <c r="G1685" s="2266" t="s">
        <v>6087</v>
      </c>
      <c r="H1685" s="2436">
        <v>925000</v>
      </c>
      <c r="I1685" s="2436">
        <v>947194</v>
      </c>
      <c r="J1685" s="2446">
        <v>1</v>
      </c>
      <c r="K1685" s="2436">
        <v>925000</v>
      </c>
      <c r="L1685" s="2436">
        <v>925000</v>
      </c>
      <c r="M1685" s="2266">
        <v>599</v>
      </c>
    </row>
    <row r="1686" spans="1:13" ht="15">
      <c r="A1686" s="2266" t="s">
        <v>4324</v>
      </c>
      <c r="B1686" s="1694" t="str">
        <f>CONCATENATE(LEFT(RIGHT(CONCATENATE("000",IFAData_TEA!A1686),6),3),"-",(RIGHT(RIGHT(CONCATENATE("000",IFAData_TEA!A1686),6),3)))</f>
        <v>187-907</v>
      </c>
      <c r="C1686" s="2266" t="s">
        <v>2545</v>
      </c>
      <c r="D1686" s="2266">
        <v>1</v>
      </c>
      <c r="E1686" s="2266">
        <v>2028</v>
      </c>
      <c r="F1686" s="2266" t="s">
        <v>6086</v>
      </c>
      <c r="G1686" s="2266" t="s">
        <v>6086</v>
      </c>
      <c r="H1686" s="2436">
        <v>925000</v>
      </c>
      <c r="I1686" s="2436">
        <v>0</v>
      </c>
      <c r="J1686" s="2446">
        <v>0</v>
      </c>
      <c r="K1686" s="2436">
        <v>0</v>
      </c>
      <c r="L1686" s="2436">
        <v>0</v>
      </c>
      <c r="M1686" s="2266">
        <v>599</v>
      </c>
    </row>
    <row r="1687" spans="1:13" ht="15">
      <c r="A1687" s="2266" t="s">
        <v>4324</v>
      </c>
      <c r="B1687" s="1694" t="str">
        <f>CONCATENATE(LEFT(RIGHT(CONCATENATE("000",IFAData_TEA!A1687),6),3),"-",(RIGHT(RIGHT(CONCATENATE("000",IFAData_TEA!A1687),6),3)))</f>
        <v>187-907</v>
      </c>
      <c r="C1687" s="2266" t="s">
        <v>2545</v>
      </c>
      <c r="D1687" s="2266">
        <v>9</v>
      </c>
      <c r="E1687" s="2266">
        <v>2029</v>
      </c>
      <c r="F1687" s="2266" t="s">
        <v>6088</v>
      </c>
      <c r="G1687" s="2266" t="s">
        <v>6088</v>
      </c>
      <c r="H1687" s="2436">
        <v>954000</v>
      </c>
      <c r="I1687" s="2436">
        <v>3233275</v>
      </c>
      <c r="J1687" s="2446">
        <v>1</v>
      </c>
      <c r="K1687" s="2436">
        <v>954000</v>
      </c>
      <c r="L1687" s="2436">
        <v>954000</v>
      </c>
      <c r="M1687" s="2266">
        <v>599</v>
      </c>
    </row>
    <row r="1688" spans="1:13" ht="15">
      <c r="A1688" s="2266" t="s">
        <v>4324</v>
      </c>
      <c r="B1688" s="1694" t="str">
        <f>CONCATENATE(LEFT(RIGHT(CONCATENATE("000",IFAData_TEA!A1688),6),3),"-",(RIGHT(RIGHT(CONCATENATE("000",IFAData_TEA!A1688),6),3)))</f>
        <v>187-907</v>
      </c>
      <c r="C1688" s="2266" t="s">
        <v>2545</v>
      </c>
      <c r="D1688" s="2266">
        <v>1</v>
      </c>
      <c r="E1688" s="2266">
        <v>2028</v>
      </c>
      <c r="F1688" s="2266" t="s">
        <v>6086</v>
      </c>
      <c r="G1688" s="2266" t="s">
        <v>7038</v>
      </c>
      <c r="H1688" s="2436">
        <v>925000</v>
      </c>
      <c r="I1688" s="2436">
        <v>0</v>
      </c>
      <c r="J1688" s="2446">
        <v>0</v>
      </c>
      <c r="K1688" s="2436">
        <v>0</v>
      </c>
      <c r="L1688" s="2436">
        <v>0</v>
      </c>
      <c r="M1688" s="2266">
        <v>599</v>
      </c>
    </row>
    <row r="1689" spans="1:13" ht="15">
      <c r="A1689" s="2266" t="s">
        <v>4325</v>
      </c>
      <c r="B1689" s="1694" t="str">
        <f>CONCATENATE(LEFT(RIGHT(CONCATENATE("000",IFAData_TEA!A1689),6),3),"-",(RIGHT(RIGHT(CONCATENATE("000",IFAData_TEA!A1689),6),3)))</f>
        <v>188-901</v>
      </c>
      <c r="C1689" s="2266" t="s">
        <v>1204</v>
      </c>
      <c r="D1689" s="2266">
        <v>1</v>
      </c>
      <c r="E1689" s="2266">
        <v>1571</v>
      </c>
      <c r="F1689" s="2266" t="s">
        <v>6089</v>
      </c>
      <c r="G1689" s="2266" t="s">
        <v>6091</v>
      </c>
      <c r="H1689" s="2436">
        <v>2142810</v>
      </c>
      <c r="I1689" s="2436">
        <v>1798900</v>
      </c>
      <c r="J1689" s="2446">
        <v>1</v>
      </c>
      <c r="K1689" s="2436">
        <v>2142810</v>
      </c>
      <c r="L1689" s="2436">
        <v>1798900</v>
      </c>
      <c r="M1689" s="2266">
        <v>599</v>
      </c>
    </row>
    <row r="1690" spans="1:13" ht="15">
      <c r="A1690" s="2266" t="s">
        <v>4325</v>
      </c>
      <c r="B1690" s="1694" t="str">
        <f>CONCATENATE(LEFT(RIGHT(CONCATENATE("000",IFAData_TEA!A1690),6),3),"-",(RIGHT(RIGHT(CONCATENATE("000",IFAData_TEA!A1690),6),3)))</f>
        <v>188-901</v>
      </c>
      <c r="C1690" s="2266" t="s">
        <v>1204</v>
      </c>
      <c r="D1690" s="2266">
        <v>1</v>
      </c>
      <c r="E1690" s="2266">
        <v>1571</v>
      </c>
      <c r="F1690" s="2266" t="s">
        <v>6089</v>
      </c>
      <c r="G1690" s="2266" t="s">
        <v>6090</v>
      </c>
      <c r="H1690" s="2436">
        <v>2142810</v>
      </c>
      <c r="I1690" s="2436">
        <v>0</v>
      </c>
      <c r="J1690" s="2446">
        <v>0</v>
      </c>
      <c r="K1690" s="2436">
        <v>0</v>
      </c>
      <c r="L1690" s="2436">
        <v>0</v>
      </c>
      <c r="M1690" s="2266">
        <v>599</v>
      </c>
    </row>
    <row r="1691" spans="1:13" ht="15">
      <c r="A1691" s="2266" t="s">
        <v>4325</v>
      </c>
      <c r="B1691" s="1694" t="str">
        <f>CONCATENATE(LEFT(RIGHT(CONCATENATE("000",IFAData_TEA!A1691),6),3),"-",(RIGHT(RIGHT(CONCATENATE("000",IFAData_TEA!A1691),6),3)))</f>
        <v>188-901</v>
      </c>
      <c r="C1691" s="2266" t="s">
        <v>1204</v>
      </c>
      <c r="D1691" s="2266">
        <v>1</v>
      </c>
      <c r="E1691" s="2266">
        <v>1571</v>
      </c>
      <c r="F1691" s="2266" t="s">
        <v>6089</v>
      </c>
      <c r="G1691" s="2266" t="s">
        <v>6089</v>
      </c>
      <c r="H1691" s="2436">
        <v>2142810</v>
      </c>
      <c r="I1691" s="2436">
        <v>0</v>
      </c>
      <c r="J1691" s="2446">
        <v>0</v>
      </c>
      <c r="K1691" s="2436">
        <v>0</v>
      </c>
      <c r="L1691" s="2436">
        <v>0</v>
      </c>
      <c r="M1691" s="2266">
        <v>599</v>
      </c>
    </row>
    <row r="1692" spans="1:13" ht="15">
      <c r="A1692" s="2266" t="s">
        <v>4326</v>
      </c>
      <c r="B1692" s="1694" t="str">
        <f>CONCATENATE(LEFT(RIGHT(CONCATENATE("000",IFAData_TEA!A1692),6),3),"-",(RIGHT(RIGHT(CONCATENATE("000",IFAData_TEA!A1692),6),3)))</f>
        <v>188-902</v>
      </c>
      <c r="C1692" s="2266" t="s">
        <v>3095</v>
      </c>
      <c r="D1692" s="2266">
        <v>1</v>
      </c>
      <c r="E1692" s="2266">
        <v>2249</v>
      </c>
      <c r="F1692" s="2266" t="s">
        <v>6092</v>
      </c>
      <c r="G1692" s="2266" t="s">
        <v>6093</v>
      </c>
      <c r="H1692" s="2436">
        <v>331772</v>
      </c>
      <c r="I1692" s="2436">
        <v>311050</v>
      </c>
      <c r="J1692" s="2446">
        <v>1</v>
      </c>
      <c r="K1692" s="2436">
        <v>331772</v>
      </c>
      <c r="L1692" s="2436">
        <v>311050</v>
      </c>
      <c r="M1692" s="2266">
        <v>599</v>
      </c>
    </row>
    <row r="1693" spans="1:13" ht="15">
      <c r="A1693" s="2266" t="s">
        <v>4326</v>
      </c>
      <c r="B1693" s="1694" t="str">
        <f>CONCATENATE(LEFT(RIGHT(CONCATENATE("000",IFAData_TEA!A1693),6),3),"-",(RIGHT(RIGHT(CONCATENATE("000",IFAData_TEA!A1693),6),3)))</f>
        <v>188-902</v>
      </c>
      <c r="C1693" s="2266" t="s">
        <v>3095</v>
      </c>
      <c r="D1693" s="2266">
        <v>1</v>
      </c>
      <c r="E1693" s="2266">
        <v>2249</v>
      </c>
      <c r="F1693" s="2266" t="s">
        <v>6092</v>
      </c>
      <c r="G1693" s="2266" t="s">
        <v>6092</v>
      </c>
      <c r="H1693" s="2436">
        <v>331772</v>
      </c>
      <c r="I1693" s="2436">
        <v>0</v>
      </c>
      <c r="J1693" s="2446">
        <v>0</v>
      </c>
      <c r="K1693" s="2436">
        <v>0</v>
      </c>
      <c r="L1693" s="2436">
        <v>0</v>
      </c>
      <c r="M1693" s="2266">
        <v>599</v>
      </c>
    </row>
    <row r="1694" spans="1:13" ht="15">
      <c r="A1694" s="2266" t="s">
        <v>4327</v>
      </c>
      <c r="B1694" s="1694" t="str">
        <f>CONCATENATE(LEFT(RIGHT(CONCATENATE("000",IFAData_TEA!A1694),6),3),"-",(RIGHT(RIGHT(CONCATENATE("000",IFAData_TEA!A1694),6),3)))</f>
        <v>189-901</v>
      </c>
      <c r="C1694" s="2266" t="s">
        <v>323</v>
      </c>
      <c r="D1694" s="2266">
        <v>6</v>
      </c>
      <c r="E1694" s="2266">
        <v>2064</v>
      </c>
      <c r="F1694" s="2266" t="s">
        <v>6094</v>
      </c>
      <c r="G1694" s="2266" t="s">
        <v>6095</v>
      </c>
      <c r="H1694" s="2436">
        <v>141412</v>
      </c>
      <c r="I1694" s="2436">
        <v>188950</v>
      </c>
      <c r="J1694" s="2446">
        <v>0.86200210767384888</v>
      </c>
      <c r="K1694" s="2436">
        <v>121897.44205037432</v>
      </c>
      <c r="L1694" s="2436">
        <v>121897.44205037432</v>
      </c>
      <c r="M1694" s="2266">
        <v>599</v>
      </c>
    </row>
    <row r="1695" spans="1:13" ht="15">
      <c r="A1695" s="2266" t="s">
        <v>4327</v>
      </c>
      <c r="B1695" s="1694" t="str">
        <f>CONCATENATE(LEFT(RIGHT(CONCATENATE("000",IFAData_TEA!A1695),6),3),"-",(RIGHT(RIGHT(CONCATENATE("000",IFAData_TEA!A1695),6),3)))</f>
        <v>189-901</v>
      </c>
      <c r="C1695" s="2266" t="s">
        <v>323</v>
      </c>
      <c r="D1695" s="2266">
        <v>6</v>
      </c>
      <c r="E1695" s="2266">
        <v>2064</v>
      </c>
      <c r="F1695" s="2266" t="s">
        <v>6094</v>
      </c>
      <c r="G1695" s="2266" t="s">
        <v>6094</v>
      </c>
      <c r="H1695" s="2436">
        <v>141412</v>
      </c>
      <c r="I1695" s="2436">
        <v>0</v>
      </c>
      <c r="J1695" s="2446">
        <v>0</v>
      </c>
      <c r="K1695" s="2436">
        <v>0</v>
      </c>
      <c r="L1695" s="2436">
        <v>0</v>
      </c>
      <c r="M1695" s="2266">
        <v>599</v>
      </c>
    </row>
    <row r="1696" spans="1:13" ht="15">
      <c r="A1696" s="2266" t="s">
        <v>4327</v>
      </c>
      <c r="B1696" s="1694" t="str">
        <f>CONCATENATE(LEFT(RIGHT(CONCATENATE("000",IFAData_TEA!A1696),6),3),"-",(RIGHT(RIGHT(CONCATENATE("000",IFAData_TEA!A1696),6),3)))</f>
        <v>189-901</v>
      </c>
      <c r="C1696" s="2266" t="s">
        <v>323</v>
      </c>
      <c r="D1696" s="2266">
        <v>9</v>
      </c>
      <c r="E1696" s="2266">
        <v>2063</v>
      </c>
      <c r="F1696" s="2266" t="s">
        <v>6096</v>
      </c>
      <c r="G1696" s="2266" t="s">
        <v>6096</v>
      </c>
      <c r="H1696" s="2436">
        <v>100000</v>
      </c>
      <c r="I1696" s="2436">
        <v>162398</v>
      </c>
      <c r="J1696" s="2446">
        <v>0.84421363442604203</v>
      </c>
      <c r="K1696" s="2436">
        <v>84421.363442604197</v>
      </c>
      <c r="L1696" s="2436">
        <v>84421.363442604197</v>
      </c>
      <c r="M1696" s="2266">
        <v>599</v>
      </c>
    </row>
    <row r="1697" spans="1:13" ht="15">
      <c r="A1697" s="2266" t="s">
        <v>4327</v>
      </c>
      <c r="B1697" s="1694" t="str">
        <f>CONCATENATE(LEFT(RIGHT(CONCATENATE("000",IFAData_TEA!A1697),6),3),"-",(RIGHT(RIGHT(CONCATENATE("000",IFAData_TEA!A1697),6),3)))</f>
        <v>189-901</v>
      </c>
      <c r="C1697" s="2266" t="s">
        <v>323</v>
      </c>
      <c r="D1697" s="2266">
        <v>9</v>
      </c>
      <c r="E1697" s="2266">
        <v>2063</v>
      </c>
      <c r="F1697" s="2266" t="s">
        <v>6096</v>
      </c>
      <c r="G1697" s="2266" t="s">
        <v>7039</v>
      </c>
      <c r="H1697" s="2436">
        <v>100000</v>
      </c>
      <c r="I1697" s="2436">
        <v>29968</v>
      </c>
      <c r="J1697" s="2446">
        <v>0.15578636557395797</v>
      </c>
      <c r="K1697" s="2436">
        <v>15578.636557395797</v>
      </c>
      <c r="L1697" s="2436">
        <v>15578.636557395797</v>
      </c>
      <c r="M1697" s="2266">
        <v>599</v>
      </c>
    </row>
    <row r="1698" spans="1:13" ht="15">
      <c r="A1698" s="2266" t="s">
        <v>4327</v>
      </c>
      <c r="B1698" s="1694" t="str">
        <f>CONCATENATE(LEFT(RIGHT(CONCATENATE("000",IFAData_TEA!A1698),6),3),"-",(RIGHT(RIGHT(CONCATENATE("000",IFAData_TEA!A1698),6),3)))</f>
        <v>189-901</v>
      </c>
      <c r="C1698" s="2266" t="s">
        <v>323</v>
      </c>
      <c r="D1698" s="2266">
        <v>6</v>
      </c>
      <c r="E1698" s="2266">
        <v>2064</v>
      </c>
      <c r="F1698" s="2266" t="s">
        <v>6094</v>
      </c>
      <c r="G1698" s="2266" t="s">
        <v>7039</v>
      </c>
      <c r="H1698" s="2436">
        <v>141412</v>
      </c>
      <c r="I1698" s="2436">
        <v>30249</v>
      </c>
      <c r="J1698" s="2446">
        <v>0.13799789232615112</v>
      </c>
      <c r="K1698" s="2436">
        <v>19514.557949625683</v>
      </c>
      <c r="L1698" s="2436">
        <v>19514.557949625683</v>
      </c>
      <c r="M1698" s="2266">
        <v>599</v>
      </c>
    </row>
    <row r="1699" spans="1:13" ht="15">
      <c r="A1699" s="2266" t="s">
        <v>4328</v>
      </c>
      <c r="B1699" s="1694" t="str">
        <f>CONCATENATE(LEFT(RIGHT(CONCATENATE("000",IFAData_TEA!A1699),6),3),"-",(RIGHT(RIGHT(CONCATENATE("000",IFAData_TEA!A1699),6),3)))</f>
        <v>189-902</v>
      </c>
      <c r="C1699" s="2266" t="s">
        <v>2413</v>
      </c>
      <c r="D1699" s="2266">
        <v>2</v>
      </c>
      <c r="E1699" s="2266">
        <v>2210</v>
      </c>
      <c r="F1699" s="2266" t="s">
        <v>6097</v>
      </c>
      <c r="G1699" s="2266" t="s">
        <v>6098</v>
      </c>
      <c r="H1699" s="2436">
        <v>292085</v>
      </c>
      <c r="I1699" s="2436">
        <v>281430</v>
      </c>
      <c r="J1699" s="2446">
        <v>0.99734212204975548</v>
      </c>
      <c r="K1699" s="2436">
        <v>291308.67371890281</v>
      </c>
      <c r="L1699" s="2436">
        <v>281430</v>
      </c>
      <c r="M1699" s="2266">
        <v>599</v>
      </c>
    </row>
    <row r="1700" spans="1:13" ht="15">
      <c r="A1700" s="2266" t="s">
        <v>4328</v>
      </c>
      <c r="B1700" s="1694" t="str">
        <f>CONCATENATE(LEFT(RIGHT(CONCATENATE("000",IFAData_TEA!A1700),6),3),"-",(RIGHT(RIGHT(CONCATENATE("000",IFAData_TEA!A1700),6),3)))</f>
        <v>189-902</v>
      </c>
      <c r="C1700" s="2266" t="s">
        <v>2413</v>
      </c>
      <c r="D1700" s="2266">
        <v>4</v>
      </c>
      <c r="E1700" s="2266">
        <v>2211</v>
      </c>
      <c r="F1700" s="2266" t="s">
        <v>6099</v>
      </c>
      <c r="G1700" s="2266" t="s">
        <v>6098</v>
      </c>
      <c r="H1700" s="2436">
        <v>333511</v>
      </c>
      <c r="I1700" s="2436">
        <v>287578</v>
      </c>
      <c r="J1700" s="2446">
        <v>1</v>
      </c>
      <c r="K1700" s="2436">
        <v>333511</v>
      </c>
      <c r="L1700" s="2436">
        <v>287578</v>
      </c>
      <c r="M1700" s="2266">
        <v>599</v>
      </c>
    </row>
    <row r="1701" spans="1:13" ht="15">
      <c r="A1701" s="2266" t="s">
        <v>4328</v>
      </c>
      <c r="B1701" s="1694" t="str">
        <f>CONCATENATE(LEFT(RIGHT(CONCATENATE("000",IFAData_TEA!A1701),6),3),"-",(RIGHT(RIGHT(CONCATENATE("000",IFAData_TEA!A1701),6),3)))</f>
        <v>189-902</v>
      </c>
      <c r="C1701" s="2266" t="s">
        <v>2413</v>
      </c>
      <c r="D1701" s="2266">
        <v>2</v>
      </c>
      <c r="E1701" s="2266">
        <v>2210</v>
      </c>
      <c r="F1701" s="2266" t="s">
        <v>6097</v>
      </c>
      <c r="G1701" s="2266" t="s">
        <v>6097</v>
      </c>
      <c r="H1701" s="2436">
        <v>292085</v>
      </c>
      <c r="I1701" s="2436">
        <v>750</v>
      </c>
      <c r="J1701" s="2446">
        <v>2.6578779502445249E-3</v>
      </c>
      <c r="K1701" s="2436">
        <v>776.326281097172</v>
      </c>
      <c r="L1701" s="2436">
        <v>750</v>
      </c>
      <c r="M1701" s="2266">
        <v>599</v>
      </c>
    </row>
    <row r="1702" spans="1:13" ht="15">
      <c r="A1702" s="2266" t="s">
        <v>4328</v>
      </c>
      <c r="B1702" s="1694" t="str">
        <f>CONCATENATE(LEFT(RIGHT(CONCATENATE("000",IFAData_TEA!A1702),6),3),"-",(RIGHT(RIGHT(CONCATENATE("000",IFAData_TEA!A1702),6),3)))</f>
        <v>189-902</v>
      </c>
      <c r="C1702" s="2266" t="s">
        <v>2413</v>
      </c>
      <c r="D1702" s="2266">
        <v>4</v>
      </c>
      <c r="E1702" s="2266">
        <v>2211</v>
      </c>
      <c r="F1702" s="2266" t="s">
        <v>6099</v>
      </c>
      <c r="G1702" s="2266" t="s">
        <v>6099</v>
      </c>
      <c r="H1702" s="2436">
        <v>333511</v>
      </c>
      <c r="I1702" s="2436">
        <v>0</v>
      </c>
      <c r="J1702" s="2446">
        <v>0</v>
      </c>
      <c r="K1702" s="2436">
        <v>0</v>
      </c>
      <c r="L1702" s="2436">
        <v>0</v>
      </c>
      <c r="M1702" s="2266">
        <v>599</v>
      </c>
    </row>
    <row r="1703" spans="1:13" ht="15">
      <c r="A1703" s="2266" t="s">
        <v>4329</v>
      </c>
      <c r="B1703" s="1694" t="str">
        <f>CONCATENATE(LEFT(RIGHT(CONCATENATE("000",IFAData_TEA!A1703),6),3),"-",(RIGHT(RIGHT(CONCATENATE("000",IFAData_TEA!A1703),6),3)))</f>
        <v>194-903</v>
      </c>
      <c r="C1703" s="2266" t="s">
        <v>3096</v>
      </c>
      <c r="D1703" s="2266">
        <v>3</v>
      </c>
      <c r="E1703" s="2266">
        <v>2251</v>
      </c>
      <c r="F1703" s="2266" t="s">
        <v>6100</v>
      </c>
      <c r="G1703" s="2266" t="s">
        <v>7040</v>
      </c>
      <c r="H1703" s="2436">
        <v>172500</v>
      </c>
      <c r="I1703" s="2436">
        <v>91768</v>
      </c>
      <c r="J1703" s="2446">
        <v>0.37258930238978799</v>
      </c>
      <c r="K1703" s="2436">
        <v>64271.654662238427</v>
      </c>
      <c r="L1703" s="2436">
        <v>64271.654662238427</v>
      </c>
      <c r="M1703" s="2266">
        <v>599</v>
      </c>
    </row>
    <row r="1704" spans="1:13" ht="15">
      <c r="A1704" s="2266" t="s">
        <v>4329</v>
      </c>
      <c r="B1704" s="1694" t="str">
        <f>CONCATENATE(LEFT(RIGHT(CONCATENATE("000",IFAData_TEA!A1704),6),3),"-",(RIGHT(RIGHT(CONCATENATE("000",IFAData_TEA!A1704),6),3)))</f>
        <v>194-903</v>
      </c>
      <c r="C1704" s="2266" t="s">
        <v>3096</v>
      </c>
      <c r="D1704" s="2266">
        <v>5</v>
      </c>
      <c r="E1704" s="2266">
        <v>2250</v>
      </c>
      <c r="F1704" s="2266" t="s">
        <v>6102</v>
      </c>
      <c r="G1704" s="2266" t="s">
        <v>6102</v>
      </c>
      <c r="H1704" s="2436">
        <v>166474</v>
      </c>
      <c r="I1704" s="2436">
        <v>0</v>
      </c>
      <c r="J1704" s="2446">
        <v>0</v>
      </c>
      <c r="K1704" s="2436">
        <v>0</v>
      </c>
      <c r="L1704" s="2436">
        <v>0</v>
      </c>
      <c r="M1704" s="2266">
        <v>599</v>
      </c>
    </row>
    <row r="1705" spans="1:13" ht="15">
      <c r="A1705" s="2266" t="s">
        <v>4329</v>
      </c>
      <c r="B1705" s="1694" t="str">
        <f>CONCATENATE(LEFT(RIGHT(CONCATENATE("000",IFAData_TEA!A1705),6),3),"-",(RIGHT(RIGHT(CONCATENATE("000",IFAData_TEA!A1705),6),3)))</f>
        <v>194-903</v>
      </c>
      <c r="C1705" s="2266" t="s">
        <v>3096</v>
      </c>
      <c r="D1705" s="2266">
        <v>3</v>
      </c>
      <c r="E1705" s="2266">
        <v>2251</v>
      </c>
      <c r="F1705" s="2266" t="s">
        <v>6100</v>
      </c>
      <c r="G1705" s="2266" t="s">
        <v>6101</v>
      </c>
      <c r="H1705" s="2436">
        <v>172500</v>
      </c>
      <c r="I1705" s="2436">
        <v>154530</v>
      </c>
      <c r="J1705" s="2446">
        <v>0.62741069761021206</v>
      </c>
      <c r="K1705" s="2436">
        <v>108228.34533776158</v>
      </c>
      <c r="L1705" s="2436">
        <v>108228.34533776158</v>
      </c>
      <c r="M1705" s="2266">
        <v>599</v>
      </c>
    </row>
    <row r="1706" spans="1:13" ht="15">
      <c r="A1706" s="2266" t="s">
        <v>4329</v>
      </c>
      <c r="B1706" s="1694" t="str">
        <f>CONCATENATE(LEFT(RIGHT(CONCATENATE("000",IFAData_TEA!A1706),6),3),"-",(RIGHT(RIGHT(CONCATENATE("000",IFAData_TEA!A1706),6),3)))</f>
        <v>194-903</v>
      </c>
      <c r="C1706" s="2266" t="s">
        <v>3096</v>
      </c>
      <c r="D1706" s="2266">
        <v>5</v>
      </c>
      <c r="E1706" s="2266">
        <v>2250</v>
      </c>
      <c r="F1706" s="2266" t="s">
        <v>6102</v>
      </c>
      <c r="G1706" s="2266" t="s">
        <v>6103</v>
      </c>
      <c r="H1706" s="2436">
        <v>166474</v>
      </c>
      <c r="I1706" s="2436">
        <v>197475</v>
      </c>
      <c r="J1706" s="2446">
        <v>1</v>
      </c>
      <c r="K1706" s="2436">
        <v>166474</v>
      </c>
      <c r="L1706" s="2436">
        <v>166474</v>
      </c>
      <c r="M1706" s="2266">
        <v>599</v>
      </c>
    </row>
    <row r="1707" spans="1:13" ht="15">
      <c r="A1707" s="2266" t="s">
        <v>4329</v>
      </c>
      <c r="B1707" s="1694" t="str">
        <f>CONCATENATE(LEFT(RIGHT(CONCATENATE("000",IFAData_TEA!A1707),6),3),"-",(RIGHT(RIGHT(CONCATENATE("000",IFAData_TEA!A1707),6),3)))</f>
        <v>194-903</v>
      </c>
      <c r="C1707" s="2266" t="s">
        <v>3096</v>
      </c>
      <c r="D1707" s="2266">
        <v>3</v>
      </c>
      <c r="E1707" s="2266">
        <v>2251</v>
      </c>
      <c r="F1707" s="2266" t="s">
        <v>6100</v>
      </c>
      <c r="G1707" s="2266" t="s">
        <v>6100</v>
      </c>
      <c r="H1707" s="2436">
        <v>172500</v>
      </c>
      <c r="I1707" s="2436">
        <v>0</v>
      </c>
      <c r="J1707" s="2446">
        <v>0</v>
      </c>
      <c r="K1707" s="2436">
        <v>0</v>
      </c>
      <c r="L1707" s="2436">
        <v>0</v>
      </c>
      <c r="M1707" s="2266">
        <v>599</v>
      </c>
    </row>
    <row r="1708" spans="1:13" ht="15">
      <c r="A1708" s="2266" t="s">
        <v>4330</v>
      </c>
      <c r="B1708" s="1694" t="str">
        <f>CONCATENATE(LEFT(RIGHT(CONCATENATE("000",IFAData_TEA!A1708),6),3),"-",(RIGHT(RIGHT(CONCATENATE("000",IFAData_TEA!A1708),6),3)))</f>
        <v>194-905</v>
      </c>
      <c r="C1708" s="2266" t="s">
        <v>3065</v>
      </c>
      <c r="D1708" s="2266">
        <v>8</v>
      </c>
      <c r="E1708" s="2266">
        <v>1755</v>
      </c>
      <c r="F1708" s="2266" t="s">
        <v>6106</v>
      </c>
      <c r="G1708" s="2266" t="s">
        <v>6106</v>
      </c>
      <c r="H1708" s="2436">
        <v>116500</v>
      </c>
      <c r="I1708" s="2436">
        <v>125550</v>
      </c>
      <c r="J1708" s="2446">
        <v>1</v>
      </c>
      <c r="K1708" s="2436">
        <v>116500</v>
      </c>
      <c r="L1708" s="2436">
        <v>116500</v>
      </c>
      <c r="M1708" s="2266">
        <v>599</v>
      </c>
    </row>
    <row r="1709" spans="1:13" ht="15">
      <c r="A1709" s="2266" t="s">
        <v>4330</v>
      </c>
      <c r="B1709" s="1694" t="str">
        <f>CONCATENATE(LEFT(RIGHT(CONCATENATE("000",IFAData_TEA!A1709),6),3),"-",(RIGHT(RIGHT(CONCATENATE("000",IFAData_TEA!A1709),6),3)))</f>
        <v>194-905</v>
      </c>
      <c r="C1709" s="2266" t="s">
        <v>3065</v>
      </c>
      <c r="D1709" s="2266">
        <v>4</v>
      </c>
      <c r="E1709" s="2266">
        <v>1753</v>
      </c>
      <c r="F1709" s="2266" t="s">
        <v>6104</v>
      </c>
      <c r="G1709" s="2266" t="s">
        <v>6104</v>
      </c>
      <c r="H1709" s="2436">
        <v>109658</v>
      </c>
      <c r="I1709" s="2436">
        <v>0</v>
      </c>
      <c r="J1709" s="2446">
        <v>0</v>
      </c>
      <c r="K1709" s="2436">
        <v>0</v>
      </c>
      <c r="L1709" s="2436">
        <v>0</v>
      </c>
      <c r="M1709" s="2266">
        <v>599</v>
      </c>
    </row>
    <row r="1710" spans="1:13" ht="15">
      <c r="A1710" s="2266" t="s">
        <v>4330</v>
      </c>
      <c r="B1710" s="1694" t="str">
        <f>CONCATENATE(LEFT(RIGHT(CONCATENATE("000",IFAData_TEA!A1710),6),3),"-",(RIGHT(RIGHT(CONCATENATE("000",IFAData_TEA!A1710),6),3)))</f>
        <v>194-905</v>
      </c>
      <c r="C1710" s="2266" t="s">
        <v>3065</v>
      </c>
      <c r="D1710" s="2266">
        <v>4</v>
      </c>
      <c r="E1710" s="2266">
        <v>1753</v>
      </c>
      <c r="F1710" s="2266" t="s">
        <v>6104</v>
      </c>
      <c r="G1710" s="2266" t="s">
        <v>6105</v>
      </c>
      <c r="H1710" s="2436">
        <v>109658</v>
      </c>
      <c r="I1710" s="2436">
        <v>93200</v>
      </c>
      <c r="J1710" s="2446">
        <v>1</v>
      </c>
      <c r="K1710" s="2436">
        <v>109658</v>
      </c>
      <c r="L1710" s="2436">
        <v>93200</v>
      </c>
      <c r="M1710" s="2266">
        <v>599</v>
      </c>
    </row>
    <row r="1711" spans="1:13" ht="15">
      <c r="A1711" s="2266" t="s">
        <v>4330</v>
      </c>
      <c r="B1711" s="1694" t="str">
        <f>CONCATENATE(LEFT(RIGHT(CONCATENATE("000",IFAData_TEA!A1711),6),3),"-",(RIGHT(RIGHT(CONCATENATE("000",IFAData_TEA!A1711),6),3)))</f>
        <v>194-905</v>
      </c>
      <c r="C1711" s="2266" t="s">
        <v>3065</v>
      </c>
      <c r="D1711" s="2266">
        <v>9</v>
      </c>
      <c r="E1711" s="2266">
        <v>1754</v>
      </c>
      <c r="F1711" s="2266" t="s">
        <v>6105</v>
      </c>
      <c r="G1711" s="2266" t="s">
        <v>6105</v>
      </c>
      <c r="H1711" s="2436">
        <v>115000</v>
      </c>
      <c r="I1711" s="2436">
        <v>212165</v>
      </c>
      <c r="J1711" s="2446">
        <v>1</v>
      </c>
      <c r="K1711" s="2436">
        <v>115000</v>
      </c>
      <c r="L1711" s="2436">
        <v>115000</v>
      </c>
      <c r="M1711" s="2266">
        <v>599</v>
      </c>
    </row>
    <row r="1712" spans="1:13" ht="15">
      <c r="A1712" s="2266" t="s">
        <v>4331</v>
      </c>
      <c r="B1712" s="1694" t="str">
        <f>CONCATENATE(LEFT(RIGHT(CONCATENATE("000",IFAData_TEA!A1712),6),3),"-",(RIGHT(RIGHT(CONCATENATE("000",IFAData_TEA!A1712),6),3)))</f>
        <v>195-902</v>
      </c>
      <c r="C1712" s="2266" t="s">
        <v>2430</v>
      </c>
      <c r="D1712" s="2266">
        <v>5</v>
      </c>
      <c r="E1712" s="2266">
        <v>1590</v>
      </c>
      <c r="F1712" s="2266" t="s">
        <v>6107</v>
      </c>
      <c r="G1712" s="2266" t="s">
        <v>6107</v>
      </c>
      <c r="H1712" s="2436">
        <v>100000</v>
      </c>
      <c r="I1712" s="2436">
        <v>0</v>
      </c>
      <c r="J1712" s="2446">
        <v>0</v>
      </c>
      <c r="K1712" s="2436">
        <v>0</v>
      </c>
      <c r="L1712" s="2436">
        <v>0</v>
      </c>
      <c r="M1712" s="2266">
        <v>599</v>
      </c>
    </row>
    <row r="1713" spans="1:13" ht="15">
      <c r="A1713" s="2266" t="s">
        <v>4331</v>
      </c>
      <c r="B1713" s="1694" t="str">
        <f>CONCATENATE(LEFT(RIGHT(CONCATENATE("000",IFAData_TEA!A1713),6),3),"-",(RIGHT(RIGHT(CONCATENATE("000",IFAData_TEA!A1713),6),3)))</f>
        <v>195-902</v>
      </c>
      <c r="C1713" s="2266" t="s">
        <v>2430</v>
      </c>
      <c r="D1713" s="2266">
        <v>5</v>
      </c>
      <c r="E1713" s="2266">
        <v>1590</v>
      </c>
      <c r="F1713" s="2266" t="s">
        <v>6107</v>
      </c>
      <c r="G1713" s="2266" t="s">
        <v>6108</v>
      </c>
      <c r="H1713" s="2436">
        <v>100000</v>
      </c>
      <c r="I1713" s="2436">
        <v>93512</v>
      </c>
      <c r="J1713" s="2446">
        <v>1</v>
      </c>
      <c r="K1713" s="2436">
        <v>100000</v>
      </c>
      <c r="L1713" s="2436">
        <v>93512</v>
      </c>
      <c r="M1713" s="2266">
        <v>599</v>
      </c>
    </row>
    <row r="1714" spans="1:13" ht="15">
      <c r="A1714" s="2266" t="s">
        <v>4332</v>
      </c>
      <c r="B1714" s="1694" t="str">
        <f>CONCATENATE(LEFT(RIGHT(CONCATENATE("000",IFAData_TEA!A1714),6),3),"-",(RIGHT(RIGHT(CONCATENATE("000",IFAData_TEA!A1714),6),3)))</f>
        <v>199-902</v>
      </c>
      <c r="C1714" s="2266" t="s">
        <v>668</v>
      </c>
      <c r="D1714" s="2266">
        <v>9</v>
      </c>
      <c r="E1714" s="2266">
        <v>2271</v>
      </c>
      <c r="F1714" s="2266" t="s">
        <v>6112</v>
      </c>
      <c r="G1714" s="2266" t="s">
        <v>7041</v>
      </c>
      <c r="H1714" s="2436">
        <v>523367</v>
      </c>
      <c r="I1714" s="2436">
        <v>105204</v>
      </c>
      <c r="J1714" s="2446">
        <v>6.0860389723084184E-2</v>
      </c>
      <c r="K1714" s="2436">
        <v>31852.319588201401</v>
      </c>
      <c r="L1714" s="2436">
        <v>31852.319588201401</v>
      </c>
      <c r="M1714" s="2266">
        <v>599</v>
      </c>
    </row>
    <row r="1715" spans="1:13" ht="15">
      <c r="A1715" s="2266" t="s">
        <v>4332</v>
      </c>
      <c r="B1715" s="1694" t="str">
        <f>CONCATENATE(LEFT(RIGHT(CONCATENATE("000",IFAData_TEA!A1715),6),3),"-",(RIGHT(RIGHT(CONCATENATE("000",IFAData_TEA!A1715),6),3)))</f>
        <v>199-902</v>
      </c>
      <c r="C1715" s="2266" t="s">
        <v>668</v>
      </c>
      <c r="D1715" s="2266">
        <v>5</v>
      </c>
      <c r="E1715" s="2266">
        <v>2270</v>
      </c>
      <c r="F1715" s="2266" t="s">
        <v>6109</v>
      </c>
      <c r="G1715" s="2266" t="s">
        <v>6111</v>
      </c>
      <c r="H1715" s="2436">
        <v>491500</v>
      </c>
      <c r="I1715" s="2436">
        <v>1389</v>
      </c>
      <c r="J1715" s="2446">
        <v>9.3878436548923232E-4</v>
      </c>
      <c r="K1715" s="2436">
        <v>461.41251563795771</v>
      </c>
      <c r="L1715" s="2436">
        <v>461.41251563795771</v>
      </c>
      <c r="M1715" s="2266">
        <v>599</v>
      </c>
    </row>
    <row r="1716" spans="1:13" ht="15">
      <c r="A1716" s="2266" t="s">
        <v>4332</v>
      </c>
      <c r="B1716" s="1694" t="str">
        <f>CONCATENATE(LEFT(RIGHT(CONCATENATE("000",IFAData_TEA!A1716),6),3),"-",(RIGHT(RIGHT(CONCATENATE("000",IFAData_TEA!A1716),6),3)))</f>
        <v>199-902</v>
      </c>
      <c r="C1716" s="2266" t="s">
        <v>668</v>
      </c>
      <c r="D1716" s="2266">
        <v>5</v>
      </c>
      <c r="E1716" s="2266">
        <v>2270</v>
      </c>
      <c r="F1716" s="2266" t="s">
        <v>6109</v>
      </c>
      <c r="G1716" s="2266" t="s">
        <v>6109</v>
      </c>
      <c r="H1716" s="2436">
        <v>491500</v>
      </c>
      <c r="I1716" s="2436">
        <v>865954</v>
      </c>
      <c r="J1716" s="2446">
        <v>0.5852729131986053</v>
      </c>
      <c r="K1716" s="2436">
        <v>287661.63683711452</v>
      </c>
      <c r="L1716" s="2436">
        <v>287661.63683711452</v>
      </c>
      <c r="M1716" s="2266">
        <v>599</v>
      </c>
    </row>
    <row r="1717" spans="1:13" ht="15">
      <c r="A1717" s="2266" t="s">
        <v>4332</v>
      </c>
      <c r="B1717" s="1694" t="str">
        <f>CONCATENATE(LEFT(RIGHT(CONCATENATE("000",IFAData_TEA!A1717),6),3),"-",(RIGHT(RIGHT(CONCATENATE("000",IFAData_TEA!A1717),6),3)))</f>
        <v>199-902</v>
      </c>
      <c r="C1717" s="2266" t="s">
        <v>668</v>
      </c>
      <c r="D1717" s="2266">
        <v>5</v>
      </c>
      <c r="E1717" s="2266">
        <v>2270</v>
      </c>
      <c r="F1717" s="2266" t="s">
        <v>6109</v>
      </c>
      <c r="G1717" s="2266" t="s">
        <v>6110</v>
      </c>
      <c r="H1717" s="2436">
        <v>491500</v>
      </c>
      <c r="I1717" s="2436">
        <v>612230</v>
      </c>
      <c r="J1717" s="2446">
        <v>0.41378830243590548</v>
      </c>
      <c r="K1717" s="2436">
        <v>203376.95064724755</v>
      </c>
      <c r="L1717" s="2436">
        <v>203376.95064724755</v>
      </c>
      <c r="M1717" s="2266">
        <v>599</v>
      </c>
    </row>
    <row r="1718" spans="1:13" ht="15">
      <c r="A1718" s="2266" t="s">
        <v>4332</v>
      </c>
      <c r="B1718" s="1694" t="str">
        <f>CONCATENATE(LEFT(RIGHT(CONCATENATE("000",IFAData_TEA!A1718),6),3),"-",(RIGHT(RIGHT(CONCATENATE("000",IFAData_TEA!A1718),6),3)))</f>
        <v>199-902</v>
      </c>
      <c r="C1718" s="2266" t="s">
        <v>668</v>
      </c>
      <c r="D1718" s="2266">
        <v>9</v>
      </c>
      <c r="E1718" s="2266">
        <v>2271</v>
      </c>
      <c r="F1718" s="2266" t="s">
        <v>6112</v>
      </c>
      <c r="G1718" s="2266" t="s">
        <v>6112</v>
      </c>
      <c r="H1718" s="2436">
        <v>523367</v>
      </c>
      <c r="I1718" s="2436">
        <v>1623408</v>
      </c>
      <c r="J1718" s="2446">
        <v>0.93913961027691584</v>
      </c>
      <c r="K1718" s="2436">
        <v>491514.68041179859</v>
      </c>
      <c r="L1718" s="2436">
        <v>491514.68041179859</v>
      </c>
      <c r="M1718" s="2266">
        <v>599</v>
      </c>
    </row>
    <row r="1719" spans="1:13" ht="15">
      <c r="A1719" s="2266" t="s">
        <v>4333</v>
      </c>
      <c r="B1719" s="1694" t="str">
        <f>CONCATENATE(LEFT(RIGHT(CONCATENATE("000",IFAData_TEA!A1719),6),3),"-",(RIGHT(RIGHT(CONCATENATE("000",IFAData_TEA!A1719),6),3)))</f>
        <v>200-902</v>
      </c>
      <c r="C1719" s="2266" t="s">
        <v>2556</v>
      </c>
      <c r="D1719" s="2266">
        <v>4</v>
      </c>
      <c r="E1719" s="2266">
        <v>2105</v>
      </c>
      <c r="F1719" s="2266" t="s">
        <v>6113</v>
      </c>
      <c r="G1719" s="2266" t="s">
        <v>6114</v>
      </c>
      <c r="H1719" s="2436">
        <v>116481</v>
      </c>
      <c r="I1719" s="2436">
        <v>97429</v>
      </c>
      <c r="J1719" s="2446">
        <v>1</v>
      </c>
      <c r="K1719" s="2436">
        <v>116481</v>
      </c>
      <c r="L1719" s="2436">
        <v>97429</v>
      </c>
      <c r="M1719" s="2266">
        <v>599</v>
      </c>
    </row>
    <row r="1720" spans="1:13" ht="15">
      <c r="A1720" s="2266" t="s">
        <v>4333</v>
      </c>
      <c r="B1720" s="1694" t="str">
        <f>CONCATENATE(LEFT(RIGHT(CONCATENATE("000",IFAData_TEA!A1720),6),3),"-",(RIGHT(RIGHT(CONCATENATE("000",IFAData_TEA!A1720),6),3)))</f>
        <v>200-902</v>
      </c>
      <c r="C1720" s="2266" t="s">
        <v>2556</v>
      </c>
      <c r="D1720" s="2266">
        <v>4</v>
      </c>
      <c r="E1720" s="2266">
        <v>2105</v>
      </c>
      <c r="F1720" s="2266" t="s">
        <v>6113</v>
      </c>
      <c r="G1720" s="2266" t="s">
        <v>6113</v>
      </c>
      <c r="H1720" s="2436">
        <v>116481</v>
      </c>
      <c r="I1720" s="2436">
        <v>0</v>
      </c>
      <c r="J1720" s="2446">
        <v>0</v>
      </c>
      <c r="K1720" s="2436">
        <v>0</v>
      </c>
      <c r="L1720" s="2436">
        <v>0</v>
      </c>
      <c r="M1720" s="2266">
        <v>599</v>
      </c>
    </row>
    <row r="1721" spans="1:13" ht="15">
      <c r="A1721" s="2266" t="s">
        <v>6115</v>
      </c>
      <c r="B1721" s="1694" t="str">
        <f>CONCATENATE(LEFT(RIGHT(CONCATENATE("000",IFAData_TEA!A1721),6),3),"-",(RIGHT(RIGHT(CONCATENATE("000",IFAData_TEA!A1721),6),3)))</f>
        <v>200-904</v>
      </c>
      <c r="C1721" s="2266" t="s">
        <v>1290</v>
      </c>
      <c r="D1721" s="2266">
        <v>2</v>
      </c>
      <c r="E1721" s="2266">
        <v>2459</v>
      </c>
      <c r="F1721" s="2266" t="s">
        <v>6116</v>
      </c>
      <c r="G1721" s="2266" t="s">
        <v>6116</v>
      </c>
      <c r="H1721" s="2436">
        <v>177666</v>
      </c>
      <c r="I1721" s="2436">
        <v>0</v>
      </c>
      <c r="J1721" s="2446">
        <v>0</v>
      </c>
      <c r="K1721" s="2436"/>
      <c r="L1721" s="2436">
        <v>0</v>
      </c>
      <c r="M1721" s="2266">
        <v>199</v>
      </c>
    </row>
    <row r="1722" spans="1:13" ht="15">
      <c r="A1722" s="2266" t="s">
        <v>4334</v>
      </c>
      <c r="B1722" s="1694" t="str">
        <f>CONCATENATE(LEFT(RIGHT(CONCATENATE("000",IFAData_TEA!A1722),6),3),"-",(RIGHT(RIGHT(CONCATENATE("000",IFAData_TEA!A1722),6),3)))</f>
        <v>200-906</v>
      </c>
      <c r="C1722" s="2266" t="s">
        <v>291</v>
      </c>
      <c r="D1722" s="2266">
        <v>4</v>
      </c>
      <c r="E1722" s="2266">
        <v>2158</v>
      </c>
      <c r="F1722" s="2266" t="s">
        <v>6117</v>
      </c>
      <c r="G1722" s="2266" t="s">
        <v>6118</v>
      </c>
      <c r="H1722" s="2436">
        <v>100000</v>
      </c>
      <c r="I1722" s="2436">
        <v>85000</v>
      </c>
      <c r="J1722" s="2446">
        <v>1</v>
      </c>
      <c r="K1722" s="2436">
        <v>100000</v>
      </c>
      <c r="L1722" s="2436">
        <v>85000</v>
      </c>
      <c r="M1722" s="2266">
        <v>599</v>
      </c>
    </row>
    <row r="1723" spans="1:13" ht="15">
      <c r="A1723" s="2266" t="s">
        <v>4334</v>
      </c>
      <c r="B1723" s="1694" t="str">
        <f>CONCATENATE(LEFT(RIGHT(CONCATENATE("000",IFAData_TEA!A1723),6),3),"-",(RIGHT(RIGHT(CONCATENATE("000",IFAData_TEA!A1723),6),3)))</f>
        <v>200-906</v>
      </c>
      <c r="C1723" s="2266" t="s">
        <v>291</v>
      </c>
      <c r="D1723" s="2266">
        <v>4</v>
      </c>
      <c r="E1723" s="2266">
        <v>2158</v>
      </c>
      <c r="F1723" s="2266" t="s">
        <v>6117</v>
      </c>
      <c r="G1723" s="2266" t="s">
        <v>6117</v>
      </c>
      <c r="H1723" s="2436">
        <v>100000</v>
      </c>
      <c r="I1723" s="2436">
        <v>0</v>
      </c>
      <c r="J1723" s="2446">
        <v>0</v>
      </c>
      <c r="K1723" s="2436">
        <v>0</v>
      </c>
      <c r="L1723" s="2436">
        <v>0</v>
      </c>
      <c r="M1723" s="2266">
        <v>599</v>
      </c>
    </row>
    <row r="1724" spans="1:13" ht="15">
      <c r="A1724" s="2266" t="s">
        <v>6119</v>
      </c>
      <c r="B1724" s="1694" t="str">
        <f>CONCATENATE(LEFT(RIGHT(CONCATENATE("000",IFAData_TEA!A1724),6),3),"-",(RIGHT(RIGHT(CONCATENATE("000",IFAData_TEA!A1724),6),3)))</f>
        <v>201-907</v>
      </c>
      <c r="C1724" s="2266" t="s">
        <v>2467</v>
      </c>
      <c r="D1724" s="2266">
        <v>5</v>
      </c>
      <c r="E1724" s="2266">
        <v>2122</v>
      </c>
      <c r="F1724" s="2266" t="s">
        <v>6120</v>
      </c>
      <c r="G1724" s="2266" t="s">
        <v>6120</v>
      </c>
      <c r="H1724" s="2436">
        <v>59747</v>
      </c>
      <c r="I1724" s="2436">
        <v>0</v>
      </c>
      <c r="J1724" s="2446">
        <v>0</v>
      </c>
      <c r="K1724" s="2436"/>
      <c r="L1724" s="2436">
        <v>0</v>
      </c>
      <c r="M1724" s="2266">
        <v>199</v>
      </c>
    </row>
    <row r="1725" spans="1:13" ht="15">
      <c r="A1725" s="2266" t="s">
        <v>4335</v>
      </c>
      <c r="B1725" s="1694" t="str">
        <f>CONCATENATE(LEFT(RIGHT(CONCATENATE("000",IFAData_TEA!A1725),6),3),"-",(RIGHT(RIGHT(CONCATENATE("000",IFAData_TEA!A1725),6),3)))</f>
        <v>201-908</v>
      </c>
      <c r="C1725" s="2266" t="s">
        <v>1538</v>
      </c>
      <c r="D1725" s="2266">
        <v>5</v>
      </c>
      <c r="E1725" s="2266">
        <v>2167</v>
      </c>
      <c r="F1725" s="2266" t="s">
        <v>6121</v>
      </c>
      <c r="G1725" s="2266" t="s">
        <v>7042</v>
      </c>
      <c r="H1725" s="2436">
        <v>112110</v>
      </c>
      <c r="I1725" s="2436">
        <v>3311</v>
      </c>
      <c r="J1725" s="2446">
        <v>3.0021942948334331E-2</v>
      </c>
      <c r="K1725" s="2436">
        <v>3365.7600239377616</v>
      </c>
      <c r="L1725" s="2436">
        <v>3311</v>
      </c>
      <c r="M1725" s="2266">
        <v>599</v>
      </c>
    </row>
    <row r="1726" spans="1:13" ht="15">
      <c r="A1726" s="2266" t="s">
        <v>4335</v>
      </c>
      <c r="B1726" s="1694" t="str">
        <f>CONCATENATE(LEFT(RIGHT(CONCATENATE("000",IFAData_TEA!A1726),6),3),"-",(RIGHT(RIGHT(CONCATENATE("000",IFAData_TEA!A1726),6),3)))</f>
        <v>201-908</v>
      </c>
      <c r="C1726" s="2266" t="s">
        <v>1538</v>
      </c>
      <c r="D1726" s="2266">
        <v>5</v>
      </c>
      <c r="E1726" s="2266">
        <v>2167</v>
      </c>
      <c r="F1726" s="2266" t="s">
        <v>6121</v>
      </c>
      <c r="G1726" s="2266" t="s">
        <v>6121</v>
      </c>
      <c r="H1726" s="2436">
        <v>112110</v>
      </c>
      <c r="I1726" s="2436">
        <v>106975</v>
      </c>
      <c r="J1726" s="2446">
        <v>0.96997805705166562</v>
      </c>
      <c r="K1726" s="2436">
        <v>108744.23997606224</v>
      </c>
      <c r="L1726" s="2436">
        <v>106975</v>
      </c>
      <c r="M1726" s="2266">
        <v>599</v>
      </c>
    </row>
    <row r="1727" spans="1:13" ht="15">
      <c r="A1727" s="2266" t="s">
        <v>4335</v>
      </c>
      <c r="B1727" s="1694" t="str">
        <f>CONCATENATE(LEFT(RIGHT(CONCATENATE("000",IFAData_TEA!A1727),6),3),"-",(RIGHT(RIGHT(CONCATENATE("000",IFAData_TEA!A1727),6),3)))</f>
        <v>201-908</v>
      </c>
      <c r="C1727" s="2266" t="s">
        <v>1538</v>
      </c>
      <c r="D1727" s="2266">
        <v>8</v>
      </c>
      <c r="E1727" s="2266">
        <v>2169</v>
      </c>
      <c r="F1727" s="2266" t="s">
        <v>6122</v>
      </c>
      <c r="G1727" s="2266" t="s">
        <v>6122</v>
      </c>
      <c r="H1727" s="2436">
        <v>126133</v>
      </c>
      <c r="I1727" s="2436">
        <v>122188</v>
      </c>
      <c r="J1727" s="2446">
        <v>1</v>
      </c>
      <c r="K1727" s="2436">
        <v>126133</v>
      </c>
      <c r="L1727" s="2436">
        <v>122188</v>
      </c>
      <c r="M1727" s="2266">
        <v>599</v>
      </c>
    </row>
    <row r="1728" spans="1:13" ht="15">
      <c r="A1728" s="2266" t="s">
        <v>4335</v>
      </c>
      <c r="B1728" s="1694" t="str">
        <f>CONCATENATE(LEFT(RIGHT(CONCATENATE("000",IFAData_TEA!A1728),6),3),"-",(RIGHT(RIGHT(CONCATENATE("000",IFAData_TEA!A1728),6),3)))</f>
        <v>201-908</v>
      </c>
      <c r="C1728" s="2266" t="s">
        <v>1538</v>
      </c>
      <c r="D1728" s="2266">
        <v>10</v>
      </c>
      <c r="E1728" s="2266">
        <v>2168</v>
      </c>
      <c r="F1728" s="2266" t="s">
        <v>6123</v>
      </c>
      <c r="G1728" s="2266" t="s">
        <v>6123</v>
      </c>
      <c r="H1728" s="2436">
        <v>123590</v>
      </c>
      <c r="I1728" s="2436">
        <v>355926</v>
      </c>
      <c r="J1728" s="2446">
        <v>1</v>
      </c>
      <c r="K1728" s="2436">
        <v>123590</v>
      </c>
      <c r="L1728" s="2436">
        <v>123590</v>
      </c>
      <c r="M1728" s="2266">
        <v>599</v>
      </c>
    </row>
    <row r="1729" spans="1:13" ht="15">
      <c r="A1729" s="2266" t="s">
        <v>4336</v>
      </c>
      <c r="B1729" s="1694" t="str">
        <f>CONCATENATE(LEFT(RIGHT(CONCATENATE("000",IFAData_TEA!A1729),6),3),"-",(RIGHT(RIGHT(CONCATENATE("000",IFAData_TEA!A1729),6),3)))</f>
        <v>201-913</v>
      </c>
      <c r="C1729" s="2266" t="s">
        <v>729</v>
      </c>
      <c r="D1729" s="2266">
        <v>8</v>
      </c>
      <c r="E1729" s="2266">
        <v>1664</v>
      </c>
      <c r="F1729" s="2266" t="s">
        <v>6126</v>
      </c>
      <c r="G1729" s="2266" t="s">
        <v>6126</v>
      </c>
      <c r="H1729" s="2436">
        <v>134790</v>
      </c>
      <c r="I1729" s="2436">
        <v>114725</v>
      </c>
      <c r="J1729" s="2446">
        <v>1</v>
      </c>
      <c r="K1729" s="2436">
        <v>134790</v>
      </c>
      <c r="L1729" s="2436">
        <v>114725</v>
      </c>
      <c r="M1729" s="2266">
        <v>599</v>
      </c>
    </row>
    <row r="1730" spans="1:13" ht="15">
      <c r="A1730" s="2266" t="s">
        <v>4336</v>
      </c>
      <c r="B1730" s="1694" t="str">
        <f>CONCATENATE(LEFT(RIGHT(CONCATENATE("000",IFAData_TEA!A1730),6),3),"-",(RIGHT(RIGHT(CONCATENATE("000",IFAData_TEA!A1730),6),3)))</f>
        <v>201-913</v>
      </c>
      <c r="C1730" s="2266" t="s">
        <v>729</v>
      </c>
      <c r="D1730" s="2266">
        <v>4</v>
      </c>
      <c r="E1730" s="2266">
        <v>1663</v>
      </c>
      <c r="F1730" s="2266" t="s">
        <v>6124</v>
      </c>
      <c r="G1730" s="2266" t="s">
        <v>6125</v>
      </c>
      <c r="H1730" s="2436">
        <v>113895</v>
      </c>
      <c r="I1730" s="2436">
        <v>97031</v>
      </c>
      <c r="J1730" s="2446">
        <v>1</v>
      </c>
      <c r="K1730" s="2436">
        <v>113895</v>
      </c>
      <c r="L1730" s="2436">
        <v>97031</v>
      </c>
      <c r="M1730" s="2266">
        <v>599</v>
      </c>
    </row>
    <row r="1731" spans="1:13" ht="15">
      <c r="A1731" s="2266" t="s">
        <v>4336</v>
      </c>
      <c r="B1731" s="1694" t="str">
        <f>CONCATENATE(LEFT(RIGHT(CONCATENATE("000",IFAData_TEA!A1731),6),3),"-",(RIGHT(RIGHT(CONCATENATE("000",IFAData_TEA!A1731),6),3)))</f>
        <v>201-913</v>
      </c>
      <c r="C1731" s="2266" t="s">
        <v>729</v>
      </c>
      <c r="D1731" s="2266">
        <v>4</v>
      </c>
      <c r="E1731" s="2266">
        <v>1663</v>
      </c>
      <c r="F1731" s="2266" t="s">
        <v>6124</v>
      </c>
      <c r="G1731" s="2266" t="s">
        <v>6124</v>
      </c>
      <c r="H1731" s="2436">
        <v>113895</v>
      </c>
      <c r="I1731" s="2436">
        <v>0</v>
      </c>
      <c r="J1731" s="2446">
        <v>0</v>
      </c>
      <c r="K1731" s="2436">
        <v>0</v>
      </c>
      <c r="L1731" s="2436">
        <v>0</v>
      </c>
      <c r="M1731" s="2266">
        <v>599</v>
      </c>
    </row>
    <row r="1732" spans="1:13" ht="15">
      <c r="A1732" s="2266" t="s">
        <v>4337</v>
      </c>
      <c r="B1732" s="1694" t="str">
        <f>CONCATENATE(LEFT(RIGHT(CONCATENATE("000",IFAData_TEA!A1732),6),3),"-",(RIGHT(RIGHT(CONCATENATE("000",IFAData_TEA!A1732),6),3)))</f>
        <v>202-905</v>
      </c>
      <c r="C1732" s="2266" t="s">
        <v>1723</v>
      </c>
      <c r="D1732" s="2266">
        <v>9</v>
      </c>
      <c r="E1732" s="2266">
        <v>2446</v>
      </c>
      <c r="F1732" s="2266" t="s">
        <v>6127</v>
      </c>
      <c r="G1732" s="2266" t="s">
        <v>7043</v>
      </c>
      <c r="H1732" s="2436">
        <v>142579</v>
      </c>
      <c r="I1732" s="2436">
        <v>202612</v>
      </c>
      <c r="J1732" s="2446">
        <v>0.24487793086777859</v>
      </c>
      <c r="K1732" s="2436">
        <v>34914.450505197005</v>
      </c>
      <c r="L1732" s="2436">
        <v>34914.450505197005</v>
      </c>
      <c r="M1732" s="2266">
        <v>599</v>
      </c>
    </row>
    <row r="1733" spans="1:13" ht="15">
      <c r="A1733" s="2266" t="s">
        <v>4337</v>
      </c>
      <c r="B1733" s="1694" t="str">
        <f>CONCATENATE(LEFT(RIGHT(CONCATENATE("000",IFAData_TEA!A1733),6),3),"-",(RIGHT(RIGHT(CONCATENATE("000",IFAData_TEA!A1733),6),3)))</f>
        <v>202-905</v>
      </c>
      <c r="C1733" s="2266" t="s">
        <v>1723</v>
      </c>
      <c r="D1733" s="2266">
        <v>9</v>
      </c>
      <c r="E1733" s="2266">
        <v>2446</v>
      </c>
      <c r="F1733" s="2266" t="s">
        <v>6127</v>
      </c>
      <c r="G1733" s="2266" t="s">
        <v>6127</v>
      </c>
      <c r="H1733" s="2436">
        <v>142579</v>
      </c>
      <c r="I1733" s="2436">
        <v>624788</v>
      </c>
      <c r="J1733" s="2446">
        <v>0.75512206913222146</v>
      </c>
      <c r="K1733" s="2436">
        <v>107664.54949480301</v>
      </c>
      <c r="L1733" s="2436">
        <v>107664.54949480301</v>
      </c>
      <c r="M1733" s="2266">
        <v>599</v>
      </c>
    </row>
    <row r="1734" spans="1:13" ht="15">
      <c r="A1734" s="2266" t="s">
        <v>4338</v>
      </c>
      <c r="B1734" s="1694" t="str">
        <f>CONCATENATE(LEFT(RIGHT(CONCATENATE("000",IFAData_TEA!A1734),6),3),"-",(RIGHT(RIGHT(CONCATENATE("000",IFAData_TEA!A1734),6),3)))</f>
        <v>203-901</v>
      </c>
      <c r="C1734" s="2266" t="s">
        <v>2364</v>
      </c>
      <c r="D1734" s="2266">
        <v>9</v>
      </c>
      <c r="E1734" s="2266">
        <v>2283</v>
      </c>
      <c r="F1734" s="2266" t="s">
        <v>6128</v>
      </c>
      <c r="G1734" s="2266" t="s">
        <v>6128</v>
      </c>
      <c r="H1734" s="2436">
        <v>152660</v>
      </c>
      <c r="I1734" s="2436">
        <v>207965</v>
      </c>
      <c r="J1734" s="2446">
        <v>1</v>
      </c>
      <c r="K1734" s="2436">
        <v>152660</v>
      </c>
      <c r="L1734" s="2436">
        <v>152660</v>
      </c>
      <c r="M1734" s="2266">
        <v>599</v>
      </c>
    </row>
    <row r="1735" spans="1:13" ht="15">
      <c r="A1735" s="2266" t="s">
        <v>4339</v>
      </c>
      <c r="B1735" s="1694" t="str">
        <f>CONCATENATE(LEFT(RIGHT(CONCATENATE("000",IFAData_TEA!A1735),6),3),"-",(RIGHT(RIGHT(CONCATENATE("000",IFAData_TEA!A1735),6),3)))</f>
        <v>204-904</v>
      </c>
      <c r="C1735" s="2266" t="s">
        <v>384</v>
      </c>
      <c r="D1735" s="2266">
        <v>10</v>
      </c>
      <c r="E1735" s="2266">
        <v>2329</v>
      </c>
      <c r="F1735" s="2266" t="s">
        <v>6130</v>
      </c>
      <c r="G1735" s="2266" t="s">
        <v>6130</v>
      </c>
      <c r="H1735" s="2436">
        <v>132650</v>
      </c>
      <c r="I1735" s="2436">
        <v>180750</v>
      </c>
      <c r="J1735" s="2446">
        <v>1</v>
      </c>
      <c r="K1735" s="2436">
        <v>132650</v>
      </c>
      <c r="L1735" s="2436">
        <v>132650</v>
      </c>
      <c r="M1735" s="2266">
        <v>599</v>
      </c>
    </row>
    <row r="1736" spans="1:13" ht="15">
      <c r="A1736" s="2266" t="s">
        <v>4339</v>
      </c>
      <c r="B1736" s="1694" t="str">
        <f>CONCATENATE(LEFT(RIGHT(CONCATENATE("000",IFAData_TEA!A1736),6),3),"-",(RIGHT(RIGHT(CONCATENATE("000",IFAData_TEA!A1736),6),3)))</f>
        <v>204-904</v>
      </c>
      <c r="C1736" s="2266" t="s">
        <v>384</v>
      </c>
      <c r="D1736" s="2266">
        <v>9</v>
      </c>
      <c r="E1736" s="2266">
        <v>2330</v>
      </c>
      <c r="F1736" s="2266" t="s">
        <v>6129</v>
      </c>
      <c r="G1736" s="2266" t="s">
        <v>6129</v>
      </c>
      <c r="H1736" s="2436">
        <v>436757</v>
      </c>
      <c r="I1736" s="2436">
        <v>438450</v>
      </c>
      <c r="J1736" s="2446">
        <v>1</v>
      </c>
      <c r="K1736" s="2436">
        <v>436757</v>
      </c>
      <c r="L1736" s="2436">
        <v>436757</v>
      </c>
      <c r="M1736" s="2266">
        <v>599</v>
      </c>
    </row>
    <row r="1737" spans="1:13" ht="15">
      <c r="A1737" s="2266" t="s">
        <v>4340</v>
      </c>
      <c r="B1737" s="1694" t="str">
        <f>CONCATENATE(LEFT(RIGHT(CONCATENATE("000",IFAData_TEA!A1737),6),3),"-",(RIGHT(RIGHT(CONCATENATE("000",IFAData_TEA!A1737),6),3)))</f>
        <v>205-901</v>
      </c>
      <c r="C1737" s="2266" t="s">
        <v>2774</v>
      </c>
      <c r="D1737" s="2266">
        <v>5</v>
      </c>
      <c r="E1737" s="2266">
        <v>1582</v>
      </c>
      <c r="F1737" s="2266" t="s">
        <v>6131</v>
      </c>
      <c r="G1737" s="2266" t="s">
        <v>6131</v>
      </c>
      <c r="H1737" s="2436">
        <v>270047</v>
      </c>
      <c r="I1737" s="2436">
        <v>0</v>
      </c>
      <c r="J1737" s="2446">
        <v>0</v>
      </c>
      <c r="K1737" s="2436">
        <v>0</v>
      </c>
      <c r="L1737" s="2436">
        <v>0</v>
      </c>
      <c r="M1737" s="2266">
        <v>599</v>
      </c>
    </row>
    <row r="1738" spans="1:13" ht="15">
      <c r="A1738" s="2266" t="s">
        <v>4340</v>
      </c>
      <c r="B1738" s="1694" t="str">
        <f>CONCATENATE(LEFT(RIGHT(CONCATENATE("000",IFAData_TEA!A1738),6),3),"-",(RIGHT(RIGHT(CONCATENATE("000",IFAData_TEA!A1738),6),3)))</f>
        <v>205-901</v>
      </c>
      <c r="C1738" s="2266" t="s">
        <v>2774</v>
      </c>
      <c r="D1738" s="2266">
        <v>5</v>
      </c>
      <c r="E1738" s="2266">
        <v>1582</v>
      </c>
      <c r="F1738" s="2266" t="s">
        <v>6131</v>
      </c>
      <c r="G1738" s="2266" t="s">
        <v>6132</v>
      </c>
      <c r="H1738" s="2436">
        <v>270047</v>
      </c>
      <c r="I1738" s="2436">
        <v>248775</v>
      </c>
      <c r="J1738" s="2446">
        <v>1</v>
      </c>
      <c r="K1738" s="2436">
        <v>270047</v>
      </c>
      <c r="L1738" s="2436">
        <v>248775</v>
      </c>
      <c r="M1738" s="2266">
        <v>599</v>
      </c>
    </row>
    <row r="1739" spans="1:13" ht="15">
      <c r="A1739" s="2266" t="s">
        <v>4341</v>
      </c>
      <c r="B1739" s="1694" t="str">
        <f>CONCATENATE(LEFT(RIGHT(CONCATENATE("000",IFAData_TEA!A1739),6),3),"-",(RIGHT(RIGHT(CONCATENATE("000",IFAData_TEA!A1739),6),3)))</f>
        <v>205-904</v>
      </c>
      <c r="C1739" s="2266" t="s">
        <v>2360</v>
      </c>
      <c r="D1739" s="2266">
        <v>10</v>
      </c>
      <c r="E1739" s="2266">
        <v>2073</v>
      </c>
      <c r="F1739" s="2266" t="s">
        <v>6135</v>
      </c>
      <c r="G1739" s="2266" t="s">
        <v>6135</v>
      </c>
      <c r="H1739" s="2436">
        <v>383389</v>
      </c>
      <c r="I1739" s="2436">
        <v>364956</v>
      </c>
      <c r="J1739" s="2446">
        <v>1</v>
      </c>
      <c r="K1739" s="2436">
        <v>383389</v>
      </c>
      <c r="L1739" s="2436">
        <v>364956</v>
      </c>
      <c r="M1739" s="2266">
        <v>599</v>
      </c>
    </row>
    <row r="1740" spans="1:13" ht="15">
      <c r="A1740" s="2266" t="s">
        <v>4341</v>
      </c>
      <c r="B1740" s="1694" t="str">
        <f>CONCATENATE(LEFT(RIGHT(CONCATENATE("000",IFAData_TEA!A1740),6),3),"-",(RIGHT(RIGHT(CONCATENATE("000",IFAData_TEA!A1740),6),3)))</f>
        <v>205-904</v>
      </c>
      <c r="C1740" s="2266" t="s">
        <v>2360</v>
      </c>
      <c r="D1740" s="2266">
        <v>3</v>
      </c>
      <c r="E1740" s="2266">
        <v>2075</v>
      </c>
      <c r="F1740" s="2266" t="s">
        <v>6133</v>
      </c>
      <c r="G1740" s="2266" t="s">
        <v>6135</v>
      </c>
      <c r="H1740" s="2436">
        <v>513813</v>
      </c>
      <c r="I1740" s="2436">
        <v>357000</v>
      </c>
      <c r="J1740" s="2446">
        <v>0.73360485617645976</v>
      </c>
      <c r="K1740" s="2436">
        <v>376935.71196659532</v>
      </c>
      <c r="L1740" s="2436">
        <v>357000</v>
      </c>
      <c r="M1740" s="2266">
        <v>599</v>
      </c>
    </row>
    <row r="1741" spans="1:13" ht="15">
      <c r="A1741" s="2266" t="s">
        <v>4341</v>
      </c>
      <c r="B1741" s="1694" t="str">
        <f>CONCATENATE(LEFT(RIGHT(CONCATENATE("000",IFAData_TEA!A1741),6),3),"-",(RIGHT(RIGHT(CONCATENATE("000",IFAData_TEA!A1741),6),3)))</f>
        <v>205-904</v>
      </c>
      <c r="C1741" s="2266" t="s">
        <v>2360</v>
      </c>
      <c r="D1741" s="2266">
        <v>3</v>
      </c>
      <c r="E1741" s="2266">
        <v>2075</v>
      </c>
      <c r="F1741" s="2266" t="s">
        <v>6133</v>
      </c>
      <c r="G1741" s="2266" t="s">
        <v>6133</v>
      </c>
      <c r="H1741" s="2436">
        <v>513813</v>
      </c>
      <c r="I1741" s="2436">
        <v>0</v>
      </c>
      <c r="J1741" s="2446">
        <v>0</v>
      </c>
      <c r="K1741" s="2436">
        <v>0</v>
      </c>
      <c r="L1741" s="2436">
        <v>0</v>
      </c>
      <c r="M1741" s="2266">
        <v>599</v>
      </c>
    </row>
    <row r="1742" spans="1:13" ht="15">
      <c r="A1742" s="2266" t="s">
        <v>4341</v>
      </c>
      <c r="B1742" s="1694" t="str">
        <f>CONCATENATE(LEFT(RIGHT(CONCATENATE("000",IFAData_TEA!A1742),6),3),"-",(RIGHT(RIGHT(CONCATENATE("000",IFAData_TEA!A1742),6),3)))</f>
        <v>205-904</v>
      </c>
      <c r="C1742" s="2266" t="s">
        <v>2360</v>
      </c>
      <c r="D1742" s="2266">
        <v>9</v>
      </c>
      <c r="E1742" s="2266">
        <v>2074</v>
      </c>
      <c r="F1742" s="2266" t="s">
        <v>6134</v>
      </c>
      <c r="G1742" s="2266" t="s">
        <v>6134</v>
      </c>
      <c r="H1742" s="2436">
        <v>425296</v>
      </c>
      <c r="I1742" s="2436">
        <v>440022</v>
      </c>
      <c r="J1742" s="2446">
        <v>1</v>
      </c>
      <c r="K1742" s="2436">
        <v>425296</v>
      </c>
      <c r="L1742" s="2436">
        <v>425296</v>
      </c>
      <c r="M1742" s="2266">
        <v>599</v>
      </c>
    </row>
    <row r="1743" spans="1:13" ht="15">
      <c r="A1743" s="2266" t="s">
        <v>4341</v>
      </c>
      <c r="B1743" s="1694" t="str">
        <f>CONCATENATE(LEFT(RIGHT(CONCATENATE("000",IFAData_TEA!A1743),6),3),"-",(RIGHT(RIGHT(CONCATENATE("000",IFAData_TEA!A1743),6),3)))</f>
        <v>205-904</v>
      </c>
      <c r="C1743" s="2266" t="s">
        <v>2360</v>
      </c>
      <c r="D1743" s="2266">
        <v>3</v>
      </c>
      <c r="E1743" s="2266">
        <v>2075</v>
      </c>
      <c r="F1743" s="2266" t="s">
        <v>6133</v>
      </c>
      <c r="G1743" s="2266" t="s">
        <v>6134</v>
      </c>
      <c r="H1743" s="2436">
        <v>513813</v>
      </c>
      <c r="I1743" s="2436">
        <v>129638</v>
      </c>
      <c r="J1743" s="2446">
        <v>0.26639514382354029</v>
      </c>
      <c r="K1743" s="2436">
        <v>136877.28803340471</v>
      </c>
      <c r="L1743" s="2436">
        <v>129638</v>
      </c>
      <c r="M1743" s="2266">
        <v>599</v>
      </c>
    </row>
    <row r="1744" spans="1:13" ht="15">
      <c r="A1744" s="2266" t="s">
        <v>4342</v>
      </c>
      <c r="B1744" s="1694" t="str">
        <f>CONCATENATE(LEFT(RIGHT(CONCATENATE("000",IFAData_TEA!A1744),6),3),"-",(RIGHT(RIGHT(CONCATENATE("000",IFAData_TEA!A1744),6),3)))</f>
        <v>205-905</v>
      </c>
      <c r="C1744" s="2266" t="s">
        <v>289</v>
      </c>
      <c r="D1744" s="2266">
        <v>5</v>
      </c>
      <c r="E1744" s="2266">
        <v>2156</v>
      </c>
      <c r="F1744" s="2266" t="s">
        <v>6138</v>
      </c>
      <c r="G1744" s="2266" t="s">
        <v>6138</v>
      </c>
      <c r="H1744" s="2436">
        <v>274260</v>
      </c>
      <c r="I1744" s="2436">
        <v>140273</v>
      </c>
      <c r="J1744" s="2446">
        <v>0.52209563298135653</v>
      </c>
      <c r="K1744" s="2436">
        <v>143189.94830146685</v>
      </c>
      <c r="L1744" s="2436">
        <v>140273</v>
      </c>
      <c r="M1744" s="2266">
        <v>599</v>
      </c>
    </row>
    <row r="1745" spans="1:13" ht="15">
      <c r="A1745" s="2266" t="s">
        <v>4342</v>
      </c>
      <c r="B1745" s="1694" t="str">
        <f>CONCATENATE(LEFT(RIGHT(CONCATENATE("000",IFAData_TEA!A1745),6),3),"-",(RIGHT(RIGHT(CONCATENATE("000",IFAData_TEA!A1745),6),3)))</f>
        <v>205-905</v>
      </c>
      <c r="C1745" s="2266" t="s">
        <v>289</v>
      </c>
      <c r="D1745" s="2266">
        <v>3</v>
      </c>
      <c r="E1745" s="2266">
        <v>2155</v>
      </c>
      <c r="F1745" s="2266" t="s">
        <v>6136</v>
      </c>
      <c r="G1745" s="2266" t="s">
        <v>6137</v>
      </c>
      <c r="H1745" s="2436">
        <v>175026</v>
      </c>
      <c r="I1745" s="2436">
        <v>161074</v>
      </c>
      <c r="J1745" s="2446">
        <v>1</v>
      </c>
      <c r="K1745" s="2436">
        <v>175026</v>
      </c>
      <c r="L1745" s="2436">
        <v>161074</v>
      </c>
      <c r="M1745" s="2266">
        <v>599</v>
      </c>
    </row>
    <row r="1746" spans="1:13" ht="15">
      <c r="A1746" s="2266" t="s">
        <v>4342</v>
      </c>
      <c r="B1746" s="1694" t="str">
        <f>CONCATENATE(LEFT(RIGHT(CONCATENATE("000",IFAData_TEA!A1746),6),3),"-",(RIGHT(RIGHT(CONCATENATE("000",IFAData_TEA!A1746),6),3)))</f>
        <v>205-905</v>
      </c>
      <c r="C1746" s="2266" t="s">
        <v>289</v>
      </c>
      <c r="D1746" s="2266">
        <v>5</v>
      </c>
      <c r="E1746" s="2266">
        <v>2156</v>
      </c>
      <c r="F1746" s="2266" t="s">
        <v>6138</v>
      </c>
      <c r="G1746" s="2266" t="s">
        <v>6137</v>
      </c>
      <c r="H1746" s="2436">
        <v>274260</v>
      </c>
      <c r="I1746" s="2436">
        <v>128400</v>
      </c>
      <c r="J1746" s="2446">
        <v>0.47790436701864347</v>
      </c>
      <c r="K1746" s="2436">
        <v>131070.05169853316</v>
      </c>
      <c r="L1746" s="2436">
        <v>128400</v>
      </c>
      <c r="M1746" s="2266">
        <v>599</v>
      </c>
    </row>
    <row r="1747" spans="1:13" ht="15">
      <c r="A1747" s="2266" t="s">
        <v>4342</v>
      </c>
      <c r="B1747" s="1694" t="str">
        <f>CONCATENATE(LEFT(RIGHT(CONCATENATE("000",IFAData_TEA!A1747),6),3),"-",(RIGHT(RIGHT(CONCATENATE("000",IFAData_TEA!A1747),6),3)))</f>
        <v>205-905</v>
      </c>
      <c r="C1747" s="2266" t="s">
        <v>289</v>
      </c>
      <c r="D1747" s="2266">
        <v>3</v>
      </c>
      <c r="E1747" s="2266">
        <v>2155</v>
      </c>
      <c r="F1747" s="2266" t="s">
        <v>6136</v>
      </c>
      <c r="G1747" s="2266" t="s">
        <v>6136</v>
      </c>
      <c r="H1747" s="2436">
        <v>175026</v>
      </c>
      <c r="I1747" s="2436">
        <v>0</v>
      </c>
      <c r="J1747" s="2446">
        <v>0</v>
      </c>
      <c r="K1747" s="2436">
        <v>0</v>
      </c>
      <c r="L1747" s="2436">
        <v>0</v>
      </c>
      <c r="M1747" s="2266">
        <v>599</v>
      </c>
    </row>
    <row r="1748" spans="1:13" ht="15">
      <c r="A1748" s="2266" t="s">
        <v>4343</v>
      </c>
      <c r="B1748" s="1694" t="str">
        <f>CONCATENATE(LEFT(RIGHT(CONCATENATE("000",IFAData_TEA!A1748),6),3),"-",(RIGHT(RIGHT(CONCATENATE("000",IFAData_TEA!A1748),6),3)))</f>
        <v>205-906</v>
      </c>
      <c r="C1748" s="2266" t="s">
        <v>296</v>
      </c>
      <c r="D1748" s="2266">
        <v>5</v>
      </c>
      <c r="E1748" s="2266">
        <v>2337</v>
      </c>
      <c r="F1748" s="2266" t="s">
        <v>6139</v>
      </c>
      <c r="G1748" s="2266" t="s">
        <v>6139</v>
      </c>
      <c r="H1748" s="2436">
        <v>463509</v>
      </c>
      <c r="I1748" s="2436">
        <v>0</v>
      </c>
      <c r="J1748" s="2446">
        <v>0</v>
      </c>
      <c r="K1748" s="2436">
        <v>0</v>
      </c>
      <c r="L1748" s="2436">
        <v>0</v>
      </c>
      <c r="M1748" s="2266">
        <v>599</v>
      </c>
    </row>
    <row r="1749" spans="1:13" ht="15">
      <c r="A1749" s="2266" t="s">
        <v>4343</v>
      </c>
      <c r="B1749" s="1694" t="str">
        <f>CONCATENATE(LEFT(RIGHT(CONCATENATE("000",IFAData_TEA!A1749),6),3),"-",(RIGHT(RIGHT(CONCATENATE("000",IFAData_TEA!A1749),6),3)))</f>
        <v>205-906</v>
      </c>
      <c r="C1749" s="2266" t="s">
        <v>296</v>
      </c>
      <c r="D1749" s="2266">
        <v>5</v>
      </c>
      <c r="E1749" s="2266">
        <v>2337</v>
      </c>
      <c r="F1749" s="2266" t="s">
        <v>6139</v>
      </c>
      <c r="G1749" s="2266" t="s">
        <v>6141</v>
      </c>
      <c r="H1749" s="2436">
        <v>463509</v>
      </c>
      <c r="I1749" s="2436">
        <v>305200</v>
      </c>
      <c r="J1749" s="2446">
        <v>0.67799321118200073</v>
      </c>
      <c r="K1749" s="2436">
        <v>314255.955321758</v>
      </c>
      <c r="L1749" s="2436">
        <v>305200</v>
      </c>
      <c r="M1749" s="2266">
        <v>599</v>
      </c>
    </row>
    <row r="1750" spans="1:13" ht="15">
      <c r="A1750" s="2266" t="s">
        <v>4343</v>
      </c>
      <c r="B1750" s="1694" t="str">
        <f>CONCATENATE(LEFT(RIGHT(CONCATENATE("000",IFAData_TEA!A1750),6),3),"-",(RIGHT(RIGHT(CONCATENATE("000",IFAData_TEA!A1750),6),3)))</f>
        <v>205-906</v>
      </c>
      <c r="C1750" s="2266" t="s">
        <v>296</v>
      </c>
      <c r="D1750" s="2266">
        <v>10</v>
      </c>
      <c r="E1750" s="2266">
        <v>2336</v>
      </c>
      <c r="F1750" s="2266" t="s">
        <v>6142</v>
      </c>
      <c r="G1750" s="2266" t="s">
        <v>6142</v>
      </c>
      <c r="H1750" s="2436">
        <v>359677</v>
      </c>
      <c r="I1750" s="2436">
        <v>352078</v>
      </c>
      <c r="J1750" s="2446">
        <v>1</v>
      </c>
      <c r="K1750" s="2436">
        <v>359677</v>
      </c>
      <c r="L1750" s="2436">
        <v>352078</v>
      </c>
      <c r="M1750" s="2266">
        <v>199</v>
      </c>
    </row>
    <row r="1751" spans="1:13" ht="15">
      <c r="A1751" s="2266" t="s">
        <v>4343</v>
      </c>
      <c r="B1751" s="1694" t="str">
        <f>CONCATENATE(LEFT(RIGHT(CONCATENATE("000",IFAData_TEA!A1751),6),3),"-",(RIGHT(RIGHT(CONCATENATE("000",IFAData_TEA!A1751),6),3)))</f>
        <v>205-906</v>
      </c>
      <c r="C1751" s="2266" t="s">
        <v>296</v>
      </c>
      <c r="D1751" s="2266">
        <v>5</v>
      </c>
      <c r="E1751" s="2266">
        <v>2337</v>
      </c>
      <c r="F1751" s="2266" t="s">
        <v>6139</v>
      </c>
      <c r="G1751" s="2266" t="s">
        <v>6140</v>
      </c>
      <c r="H1751" s="2436">
        <v>463509</v>
      </c>
      <c r="I1751" s="2436">
        <v>144952</v>
      </c>
      <c r="J1751" s="2446">
        <v>0.32200678881799927</v>
      </c>
      <c r="K1751" s="2436">
        <v>149253.04467824203</v>
      </c>
      <c r="L1751" s="2436">
        <v>144952</v>
      </c>
      <c r="M1751" s="2266">
        <v>599</v>
      </c>
    </row>
    <row r="1752" spans="1:13" ht="15">
      <c r="A1752" s="2266" t="s">
        <v>4344</v>
      </c>
      <c r="B1752" s="1694" t="str">
        <f>CONCATENATE(LEFT(RIGHT(CONCATENATE("000",IFAData_TEA!A1752),6),3),"-",(RIGHT(RIGHT(CONCATENATE("000",IFAData_TEA!A1752),6),3)))</f>
        <v>205-907</v>
      </c>
      <c r="C1752" s="2266" t="s">
        <v>656</v>
      </c>
      <c r="D1752" s="2266">
        <v>4</v>
      </c>
      <c r="E1752" s="2266">
        <v>2389</v>
      </c>
      <c r="F1752" s="2266" t="s">
        <v>6143</v>
      </c>
      <c r="G1752" s="2266" t="s">
        <v>6144</v>
      </c>
      <c r="H1752" s="2436">
        <v>347528</v>
      </c>
      <c r="I1752" s="2436">
        <v>335213</v>
      </c>
      <c r="J1752" s="2446">
        <v>1</v>
      </c>
      <c r="K1752" s="2436">
        <v>347528</v>
      </c>
      <c r="L1752" s="2436">
        <v>335213</v>
      </c>
      <c r="M1752" s="2266">
        <v>599</v>
      </c>
    </row>
    <row r="1753" spans="1:13" ht="15">
      <c r="A1753" s="2266" t="s">
        <v>4344</v>
      </c>
      <c r="B1753" s="1694" t="str">
        <f>CONCATENATE(LEFT(RIGHT(CONCATENATE("000",IFAData_TEA!A1753),6),3),"-",(RIGHT(RIGHT(CONCATENATE("000",IFAData_TEA!A1753),6),3)))</f>
        <v>205-907</v>
      </c>
      <c r="C1753" s="2266" t="s">
        <v>656</v>
      </c>
      <c r="D1753" s="2266">
        <v>10</v>
      </c>
      <c r="E1753" s="2266">
        <v>2388</v>
      </c>
      <c r="F1753" s="2266" t="s">
        <v>6145</v>
      </c>
      <c r="G1753" s="2266" t="s">
        <v>6145</v>
      </c>
      <c r="H1753" s="2436">
        <v>284438</v>
      </c>
      <c r="I1753" s="2436">
        <v>880937</v>
      </c>
      <c r="J1753" s="2446">
        <v>1</v>
      </c>
      <c r="K1753" s="2436">
        <v>284438</v>
      </c>
      <c r="L1753" s="2436">
        <v>284438</v>
      </c>
      <c r="M1753" s="2266">
        <v>599</v>
      </c>
    </row>
    <row r="1754" spans="1:13" ht="15">
      <c r="A1754" s="2266" t="s">
        <v>4344</v>
      </c>
      <c r="B1754" s="1694" t="str">
        <f>CONCATENATE(LEFT(RIGHT(CONCATENATE("000",IFAData_TEA!A1754),6),3),"-",(RIGHT(RIGHT(CONCATENATE("000",IFAData_TEA!A1754),6),3)))</f>
        <v>205-907</v>
      </c>
      <c r="C1754" s="2266" t="s">
        <v>656</v>
      </c>
      <c r="D1754" s="2266">
        <v>4</v>
      </c>
      <c r="E1754" s="2266">
        <v>2389</v>
      </c>
      <c r="F1754" s="2266" t="s">
        <v>6143</v>
      </c>
      <c r="G1754" s="2266" t="s">
        <v>6143</v>
      </c>
      <c r="H1754" s="2436">
        <v>347528</v>
      </c>
      <c r="I1754" s="2436">
        <v>0</v>
      </c>
      <c r="J1754" s="2446">
        <v>0</v>
      </c>
      <c r="K1754" s="2436">
        <v>0</v>
      </c>
      <c r="L1754" s="2436">
        <v>0</v>
      </c>
      <c r="M1754" s="2266">
        <v>599</v>
      </c>
    </row>
    <row r="1755" spans="1:13" ht="15">
      <c r="A1755" s="2266" t="s">
        <v>4345</v>
      </c>
      <c r="B1755" s="1694" t="str">
        <f>CONCATENATE(LEFT(RIGHT(CONCATENATE("000",IFAData_TEA!A1755),6),3),"-",(RIGHT(RIGHT(CONCATENATE("000",IFAData_TEA!A1755),6),3)))</f>
        <v>206-901</v>
      </c>
      <c r="C1755" s="2266" t="s">
        <v>1584</v>
      </c>
      <c r="D1755" s="2266">
        <v>2</v>
      </c>
      <c r="E1755" s="2266">
        <v>2302</v>
      </c>
      <c r="F1755" s="2266" t="s">
        <v>6146</v>
      </c>
      <c r="G1755" s="2266" t="s">
        <v>6146</v>
      </c>
      <c r="H1755" s="2436">
        <v>190287</v>
      </c>
      <c r="I1755" s="2436">
        <v>0</v>
      </c>
      <c r="J1755" s="2446">
        <v>0</v>
      </c>
      <c r="K1755" s="2436">
        <v>0</v>
      </c>
      <c r="L1755" s="2436">
        <v>0</v>
      </c>
      <c r="M1755" s="2266">
        <v>599</v>
      </c>
    </row>
    <row r="1756" spans="1:13" ht="15">
      <c r="A1756" s="2266" t="s">
        <v>4345</v>
      </c>
      <c r="B1756" s="1694" t="str">
        <f>CONCATENATE(LEFT(RIGHT(CONCATENATE("000",IFAData_TEA!A1756),6),3),"-",(RIGHT(RIGHT(CONCATENATE("000",IFAData_TEA!A1756),6),3)))</f>
        <v>206-901</v>
      </c>
      <c r="C1756" s="2266" t="s">
        <v>1584</v>
      </c>
      <c r="D1756" s="2266">
        <v>2</v>
      </c>
      <c r="E1756" s="2266">
        <v>2302</v>
      </c>
      <c r="F1756" s="2266" t="s">
        <v>6146</v>
      </c>
      <c r="G1756" s="2266" t="s">
        <v>6147</v>
      </c>
      <c r="H1756" s="2436">
        <v>190287</v>
      </c>
      <c r="I1756" s="2436">
        <v>179925</v>
      </c>
      <c r="J1756" s="2446">
        <v>1</v>
      </c>
      <c r="K1756" s="2436">
        <v>190287</v>
      </c>
      <c r="L1756" s="2436">
        <v>179925</v>
      </c>
      <c r="M1756" s="2266">
        <v>599</v>
      </c>
    </row>
    <row r="1757" spans="1:13" ht="15">
      <c r="A1757" s="2266" t="s">
        <v>4346</v>
      </c>
      <c r="B1757" s="1694" t="str">
        <f>CONCATENATE(LEFT(RIGHT(CONCATENATE("000",IFAData_TEA!A1757),6),3),"-",(RIGHT(RIGHT(CONCATENATE("000",IFAData_TEA!A1757),6),3)))</f>
        <v>210-901</v>
      </c>
      <c r="C1757" s="2266" t="s">
        <v>1995</v>
      </c>
      <c r="D1757" s="2266">
        <v>9</v>
      </c>
      <c r="E1757" s="2266">
        <v>1673</v>
      </c>
      <c r="F1757" s="2266" t="s">
        <v>6148</v>
      </c>
      <c r="G1757" s="2266" t="s">
        <v>6148</v>
      </c>
      <c r="H1757" s="2436">
        <v>246712</v>
      </c>
      <c r="I1757" s="2436">
        <v>1291712</v>
      </c>
      <c r="J1757" s="2446">
        <v>1</v>
      </c>
      <c r="K1757" s="2436">
        <v>246712</v>
      </c>
      <c r="L1757" s="2436">
        <v>246712</v>
      </c>
      <c r="M1757" s="2266">
        <v>599</v>
      </c>
    </row>
    <row r="1758" spans="1:13" ht="15">
      <c r="A1758" s="2266" t="s">
        <v>4347</v>
      </c>
      <c r="B1758" s="1694" t="str">
        <f>CONCATENATE(LEFT(RIGHT(CONCATENATE("000",IFAData_TEA!A1758),6),3),"-",(RIGHT(RIGHT(CONCATENATE("000",IFAData_TEA!A1758),6),3)))</f>
        <v>210-903</v>
      </c>
      <c r="C1758" s="2266" t="s">
        <v>1418</v>
      </c>
      <c r="D1758" s="2266">
        <v>4</v>
      </c>
      <c r="E1758" s="2266">
        <v>2328</v>
      </c>
      <c r="F1758" s="2266" t="s">
        <v>6149</v>
      </c>
      <c r="G1758" s="2266" t="s">
        <v>7044</v>
      </c>
      <c r="H1758" s="2436">
        <v>176318</v>
      </c>
      <c r="I1758" s="2436">
        <v>49675</v>
      </c>
      <c r="J1758" s="2446">
        <v>0.31685536597033964</v>
      </c>
      <c r="K1758" s="2436">
        <v>55867.304417158346</v>
      </c>
      <c r="L1758" s="2436">
        <v>49675</v>
      </c>
      <c r="M1758" s="2266">
        <v>599</v>
      </c>
    </row>
    <row r="1759" spans="1:13" ht="15">
      <c r="A1759" s="2266" t="s">
        <v>4347</v>
      </c>
      <c r="B1759" s="1694" t="str">
        <f>CONCATENATE(LEFT(RIGHT(CONCATENATE("000",IFAData_TEA!A1759),6),3),"-",(RIGHT(RIGHT(CONCATENATE("000",IFAData_TEA!A1759),6),3)))</f>
        <v>210-903</v>
      </c>
      <c r="C1759" s="2266" t="s">
        <v>1418</v>
      </c>
      <c r="D1759" s="2266">
        <v>4</v>
      </c>
      <c r="E1759" s="2266">
        <v>2328</v>
      </c>
      <c r="F1759" s="2266" t="s">
        <v>6149</v>
      </c>
      <c r="G1759" s="2266" t="s">
        <v>6150</v>
      </c>
      <c r="H1759" s="2436">
        <v>176318</v>
      </c>
      <c r="I1759" s="2436">
        <v>107100</v>
      </c>
      <c r="J1759" s="2446">
        <v>0.6831446340296603</v>
      </c>
      <c r="K1759" s="2436">
        <v>120450.69558284164</v>
      </c>
      <c r="L1759" s="2436">
        <v>107100</v>
      </c>
      <c r="M1759" s="2266">
        <v>599</v>
      </c>
    </row>
    <row r="1760" spans="1:13" ht="15">
      <c r="A1760" s="2266" t="s">
        <v>4347</v>
      </c>
      <c r="B1760" s="1694" t="str">
        <f>CONCATENATE(LEFT(RIGHT(CONCATENATE("000",IFAData_TEA!A1760),6),3),"-",(RIGHT(RIGHT(CONCATENATE("000",IFAData_TEA!A1760),6),3)))</f>
        <v>210-903</v>
      </c>
      <c r="C1760" s="2266" t="s">
        <v>1418</v>
      </c>
      <c r="D1760" s="2266">
        <v>4</v>
      </c>
      <c r="E1760" s="2266">
        <v>2328</v>
      </c>
      <c r="F1760" s="2266" t="s">
        <v>6149</v>
      </c>
      <c r="G1760" s="2266" t="s">
        <v>6149</v>
      </c>
      <c r="H1760" s="2436">
        <v>176318</v>
      </c>
      <c r="I1760" s="2436">
        <v>0</v>
      </c>
      <c r="J1760" s="2446">
        <v>0</v>
      </c>
      <c r="K1760" s="2436">
        <v>0</v>
      </c>
      <c r="L1760" s="2436">
        <v>0</v>
      </c>
      <c r="M1760" s="2266">
        <v>599</v>
      </c>
    </row>
    <row r="1761" spans="1:13" ht="15">
      <c r="A1761" s="2266" t="s">
        <v>4348</v>
      </c>
      <c r="B1761" s="1694" t="str">
        <f>CONCATENATE(LEFT(RIGHT(CONCATENATE("000",IFAData_TEA!A1761),6),3),"-",(RIGHT(RIGHT(CONCATENATE("000",IFAData_TEA!A1761),6),3)))</f>
        <v>212-901</v>
      </c>
      <c r="C1761" s="2266" t="s">
        <v>2425</v>
      </c>
      <c r="D1761" s="2266">
        <v>6</v>
      </c>
      <c r="E1761" s="2266">
        <v>1584</v>
      </c>
      <c r="F1761" s="2266" t="s">
        <v>6151</v>
      </c>
      <c r="G1761" s="2266" t="s">
        <v>6153</v>
      </c>
      <c r="H1761" s="2436">
        <v>219258</v>
      </c>
      <c r="I1761" s="2436">
        <v>187058</v>
      </c>
      <c r="J1761" s="2446">
        <v>0.46246767438525704</v>
      </c>
      <c r="K1761" s="2436">
        <v>101399.73735036269</v>
      </c>
      <c r="L1761" s="2436">
        <v>101399.73735036269</v>
      </c>
      <c r="M1761" s="2266">
        <v>599</v>
      </c>
    </row>
    <row r="1762" spans="1:13" ht="15">
      <c r="A1762" s="2266" t="s">
        <v>4348</v>
      </c>
      <c r="B1762" s="1694" t="str">
        <f>CONCATENATE(LEFT(RIGHT(CONCATENATE("000",IFAData_TEA!A1762),6),3),"-",(RIGHT(RIGHT(CONCATENATE("000",IFAData_TEA!A1762),6),3)))</f>
        <v>212-901</v>
      </c>
      <c r="C1762" s="2266" t="s">
        <v>2425</v>
      </c>
      <c r="D1762" s="2266">
        <v>6</v>
      </c>
      <c r="E1762" s="2266">
        <v>1584</v>
      </c>
      <c r="F1762" s="2266" t="s">
        <v>6151</v>
      </c>
      <c r="G1762" s="2266" t="s">
        <v>6151</v>
      </c>
      <c r="H1762" s="2436">
        <v>219258</v>
      </c>
      <c r="I1762" s="2436">
        <v>0</v>
      </c>
      <c r="J1762" s="2446">
        <v>0</v>
      </c>
      <c r="K1762" s="2436">
        <v>0</v>
      </c>
      <c r="L1762" s="2436">
        <v>0</v>
      </c>
      <c r="M1762" s="2266">
        <v>599</v>
      </c>
    </row>
    <row r="1763" spans="1:13" ht="15">
      <c r="A1763" s="2266" t="s">
        <v>4348</v>
      </c>
      <c r="B1763" s="1694" t="str">
        <f>CONCATENATE(LEFT(RIGHT(CONCATENATE("000",IFAData_TEA!A1763),6),3),"-",(RIGHT(RIGHT(CONCATENATE("000",IFAData_TEA!A1763),6),3)))</f>
        <v>212-901</v>
      </c>
      <c r="C1763" s="2266" t="s">
        <v>2425</v>
      </c>
      <c r="D1763" s="2266">
        <v>6</v>
      </c>
      <c r="E1763" s="2266">
        <v>1584</v>
      </c>
      <c r="F1763" s="2266" t="s">
        <v>6151</v>
      </c>
      <c r="G1763" s="2266" t="s">
        <v>6152</v>
      </c>
      <c r="H1763" s="2436">
        <v>219258</v>
      </c>
      <c r="I1763" s="2436">
        <v>217420</v>
      </c>
      <c r="J1763" s="2446">
        <v>0.53753232561474296</v>
      </c>
      <c r="K1763" s="2436">
        <v>117858.26264963731</v>
      </c>
      <c r="L1763" s="2436">
        <v>117858.26264963731</v>
      </c>
      <c r="M1763" s="2266">
        <v>599</v>
      </c>
    </row>
    <row r="1764" spans="1:13" ht="15">
      <c r="A1764" s="2266" t="s">
        <v>4349</v>
      </c>
      <c r="B1764" s="1694" t="str">
        <f>CONCATENATE(LEFT(RIGHT(CONCATENATE("000",IFAData_TEA!A1764),6),3),"-",(RIGHT(RIGHT(CONCATENATE("000",IFAData_TEA!A1764),6),3)))</f>
        <v>212-903</v>
      </c>
      <c r="C1764" s="2266" t="s">
        <v>2273</v>
      </c>
      <c r="D1764" s="2266">
        <v>10</v>
      </c>
      <c r="E1764" s="2266">
        <v>2021</v>
      </c>
      <c r="F1764" s="2266" t="s">
        <v>6154</v>
      </c>
      <c r="G1764" s="2266" t="s">
        <v>6154</v>
      </c>
      <c r="H1764" s="2436">
        <v>863361</v>
      </c>
      <c r="I1764" s="2436">
        <v>991065</v>
      </c>
      <c r="J1764" s="2446">
        <v>1</v>
      </c>
      <c r="K1764" s="2436">
        <v>863361</v>
      </c>
      <c r="L1764" s="2436">
        <v>863361</v>
      </c>
      <c r="M1764" s="2266">
        <v>599</v>
      </c>
    </row>
    <row r="1765" spans="1:13" ht="15">
      <c r="A1765" s="2266" t="s">
        <v>4350</v>
      </c>
      <c r="B1765" s="1694" t="str">
        <f>CONCATENATE(LEFT(RIGHT(CONCATENATE("000",IFAData_TEA!A1765),6),3),"-",(RIGHT(RIGHT(CONCATENATE("000",IFAData_TEA!A1765),6),3)))</f>
        <v>212-906</v>
      </c>
      <c r="C1765" s="2266" t="s">
        <v>1510</v>
      </c>
      <c r="D1765" s="2266">
        <v>2</v>
      </c>
      <c r="E1765" s="2266">
        <v>2451</v>
      </c>
      <c r="F1765" s="2266" t="s">
        <v>6155</v>
      </c>
      <c r="G1765" s="2266" t="s">
        <v>6156</v>
      </c>
      <c r="H1765" s="2436">
        <v>962500</v>
      </c>
      <c r="I1765" s="2436">
        <v>1729837</v>
      </c>
      <c r="J1765" s="2446">
        <v>0.97645229919737087</v>
      </c>
      <c r="K1765" s="2436">
        <v>939835.33797746943</v>
      </c>
      <c r="L1765" s="2436">
        <v>939835.33797746943</v>
      </c>
      <c r="M1765" s="2266">
        <v>599</v>
      </c>
    </row>
    <row r="1766" spans="1:13" ht="15">
      <c r="A1766" s="2266" t="s">
        <v>4350</v>
      </c>
      <c r="B1766" s="1694" t="str">
        <f>CONCATENATE(LEFT(RIGHT(CONCATENATE("000",IFAData_TEA!A1766),6),3),"-",(RIGHT(RIGHT(CONCATENATE("000",IFAData_TEA!A1766),6),3)))</f>
        <v>212-906</v>
      </c>
      <c r="C1766" s="2266" t="s">
        <v>1510</v>
      </c>
      <c r="D1766" s="2266">
        <v>2</v>
      </c>
      <c r="E1766" s="2266">
        <v>2451</v>
      </c>
      <c r="F1766" s="2266" t="s">
        <v>6155</v>
      </c>
      <c r="G1766" s="2266" t="s">
        <v>6155</v>
      </c>
      <c r="H1766" s="2436">
        <v>962500</v>
      </c>
      <c r="I1766" s="2436">
        <v>41716</v>
      </c>
      <c r="J1766" s="2446">
        <v>2.3547700802629107E-2</v>
      </c>
      <c r="K1766" s="2436">
        <v>22664.662022530516</v>
      </c>
      <c r="L1766" s="2436">
        <v>22664.662022530516</v>
      </c>
      <c r="M1766" s="2266">
        <v>599</v>
      </c>
    </row>
    <row r="1767" spans="1:13" ht="15">
      <c r="A1767" s="2266" t="s">
        <v>4351</v>
      </c>
      <c r="B1767" s="1694" t="str">
        <f>CONCATENATE(LEFT(RIGHT(CONCATENATE("000",IFAData_TEA!A1767),6),3),"-",(RIGHT(RIGHT(CONCATENATE("000",IFAData_TEA!A1767),6),3)))</f>
        <v>212-909</v>
      </c>
      <c r="C1767" s="2266" t="s">
        <v>735</v>
      </c>
      <c r="D1767" s="2266">
        <v>9</v>
      </c>
      <c r="E1767" s="2266">
        <v>1681</v>
      </c>
      <c r="F1767" s="2266" t="s">
        <v>6157</v>
      </c>
      <c r="G1767" s="2266" t="s">
        <v>7045</v>
      </c>
      <c r="H1767" s="2436">
        <v>722890</v>
      </c>
      <c r="I1767" s="2436">
        <v>279347</v>
      </c>
      <c r="J1767" s="2446">
        <v>0.26499638572732259</v>
      </c>
      <c r="K1767" s="2436">
        <v>191563.23727842423</v>
      </c>
      <c r="L1767" s="2436">
        <v>191563.23727842423</v>
      </c>
      <c r="M1767" s="2266">
        <v>599</v>
      </c>
    </row>
    <row r="1768" spans="1:13" ht="15">
      <c r="A1768" s="2266" t="s">
        <v>4351</v>
      </c>
      <c r="B1768" s="1694" t="str">
        <f>CONCATENATE(LEFT(RIGHT(CONCATENATE("000",IFAData_TEA!A1768),6),3),"-",(RIGHT(RIGHT(CONCATENATE("000",IFAData_TEA!A1768),6),3)))</f>
        <v>212-909</v>
      </c>
      <c r="C1768" s="2266" t="s">
        <v>735</v>
      </c>
      <c r="D1768" s="2266">
        <v>9</v>
      </c>
      <c r="E1768" s="2266">
        <v>1681</v>
      </c>
      <c r="F1768" s="2266" t="s">
        <v>6157</v>
      </c>
      <c r="G1768" s="2266" t="s">
        <v>6157</v>
      </c>
      <c r="H1768" s="2436">
        <v>722890</v>
      </c>
      <c r="I1768" s="2436">
        <v>774807</v>
      </c>
      <c r="J1768" s="2446">
        <v>0.73500361427267746</v>
      </c>
      <c r="K1768" s="2436">
        <v>531326.7627215758</v>
      </c>
      <c r="L1768" s="2436">
        <v>531326.7627215758</v>
      </c>
      <c r="M1768" s="2266">
        <v>599</v>
      </c>
    </row>
    <row r="1769" spans="1:13" ht="15">
      <c r="A1769" s="2266" t="s">
        <v>4351</v>
      </c>
      <c r="B1769" s="1694" t="str">
        <f>CONCATENATE(LEFT(RIGHT(CONCATENATE("000",IFAData_TEA!A1769),6),3),"-",(RIGHT(RIGHT(CONCATENATE("000",IFAData_TEA!A1769),6),3)))</f>
        <v>212-909</v>
      </c>
      <c r="C1769" s="2266" t="s">
        <v>735</v>
      </c>
      <c r="D1769" s="2266">
        <v>9</v>
      </c>
      <c r="E1769" s="2266">
        <v>1681</v>
      </c>
      <c r="F1769" s="2266" t="s">
        <v>6157</v>
      </c>
      <c r="G1769" s="2266" t="s">
        <v>7046</v>
      </c>
      <c r="H1769" s="2436">
        <v>722890</v>
      </c>
      <c r="I1769" s="2436">
        <v>0</v>
      </c>
      <c r="J1769" s="2446">
        <v>0</v>
      </c>
      <c r="K1769" s="2436">
        <v>0</v>
      </c>
      <c r="L1769" s="2436">
        <v>0</v>
      </c>
      <c r="M1769" s="2266">
        <v>599</v>
      </c>
    </row>
    <row r="1770" spans="1:13" ht="15">
      <c r="A1770" s="2266" t="s">
        <v>4352</v>
      </c>
      <c r="B1770" s="1694" t="str">
        <f>CONCATENATE(LEFT(RIGHT(CONCATENATE("000",IFAData_TEA!A1770),6),3),"-",(RIGHT(RIGHT(CONCATENATE("000",IFAData_TEA!A1770),6),3)))</f>
        <v>214-901</v>
      </c>
      <c r="C1770" s="2266" t="s">
        <v>3092</v>
      </c>
      <c r="D1770" s="2266">
        <v>2</v>
      </c>
      <c r="E1770" s="2266">
        <v>2239</v>
      </c>
      <c r="F1770" s="2266" t="s">
        <v>6158</v>
      </c>
      <c r="G1770" s="2266" t="s">
        <v>6158</v>
      </c>
      <c r="H1770" s="2436">
        <v>595803</v>
      </c>
      <c r="I1770" s="2436">
        <v>0</v>
      </c>
      <c r="J1770" s="2446">
        <v>0</v>
      </c>
      <c r="K1770" s="2436"/>
      <c r="L1770" s="2436">
        <v>0</v>
      </c>
      <c r="M1770" s="2266">
        <v>199</v>
      </c>
    </row>
    <row r="1771" spans="1:13" ht="15">
      <c r="A1771" s="2266" t="s">
        <v>4352</v>
      </c>
      <c r="B1771" s="1694" t="str">
        <f>CONCATENATE(LEFT(RIGHT(CONCATENATE("000",IFAData_TEA!A1771),6),3),"-",(RIGHT(RIGHT(CONCATENATE("000",IFAData_TEA!A1771),6),3)))</f>
        <v>214-901</v>
      </c>
      <c r="C1771" s="2266" t="s">
        <v>3092</v>
      </c>
      <c r="D1771" s="2266">
        <v>8</v>
      </c>
      <c r="E1771" s="2266">
        <v>2244</v>
      </c>
      <c r="F1771" s="2266" t="s">
        <v>6166</v>
      </c>
      <c r="G1771" s="2266" t="s">
        <v>6166</v>
      </c>
      <c r="H1771" s="2436">
        <v>2370209</v>
      </c>
      <c r="I1771" s="2436">
        <v>2367634</v>
      </c>
      <c r="J1771" s="2446">
        <v>1</v>
      </c>
      <c r="K1771" s="2436">
        <v>2370209</v>
      </c>
      <c r="L1771" s="2436">
        <v>2367634</v>
      </c>
      <c r="M1771" s="2266">
        <v>599</v>
      </c>
    </row>
    <row r="1772" spans="1:13" ht="15">
      <c r="A1772" s="2266" t="s">
        <v>4352</v>
      </c>
      <c r="B1772" s="1694" t="str">
        <f>CONCATENATE(LEFT(RIGHT(CONCATENATE("000",IFAData_TEA!A1772),6),3),"-",(RIGHT(RIGHT(CONCATENATE("000",IFAData_TEA!A1772),6),3)))</f>
        <v>214-901</v>
      </c>
      <c r="C1772" s="2266" t="s">
        <v>3092</v>
      </c>
      <c r="D1772" s="2266">
        <v>7</v>
      </c>
      <c r="E1772" s="2266">
        <v>2240</v>
      </c>
      <c r="F1772" s="2266" t="s">
        <v>6164</v>
      </c>
      <c r="G1772" s="2266" t="s">
        <v>6165</v>
      </c>
      <c r="H1772" s="2436">
        <v>1469426</v>
      </c>
      <c r="I1772" s="2436">
        <v>1354325</v>
      </c>
      <c r="J1772" s="2446">
        <v>1</v>
      </c>
      <c r="K1772" s="2436">
        <v>1469426</v>
      </c>
      <c r="L1772" s="2436">
        <v>1354325</v>
      </c>
      <c r="M1772" s="2266">
        <v>599</v>
      </c>
    </row>
    <row r="1773" spans="1:13" ht="15">
      <c r="A1773" s="2266" t="s">
        <v>4352</v>
      </c>
      <c r="B1773" s="1694" t="str">
        <f>CONCATENATE(LEFT(RIGHT(CONCATENATE("000",IFAData_TEA!A1773),6),3),"-",(RIGHT(RIGHT(CONCATENATE("000",IFAData_TEA!A1773),6),3)))</f>
        <v>214-901</v>
      </c>
      <c r="C1773" s="2266" t="s">
        <v>3092</v>
      </c>
      <c r="D1773" s="2266">
        <v>6</v>
      </c>
      <c r="E1773" s="2266">
        <v>2241</v>
      </c>
      <c r="F1773" s="2266" t="s">
        <v>6161</v>
      </c>
      <c r="G1773" s="2266" t="s">
        <v>6163</v>
      </c>
      <c r="H1773" s="2436">
        <v>1797043</v>
      </c>
      <c r="I1773" s="2436">
        <v>1242790</v>
      </c>
      <c r="J1773" s="2446">
        <v>0.76625468123228158</v>
      </c>
      <c r="K1773" s="2436">
        <v>1376992.611125703</v>
      </c>
      <c r="L1773" s="2436">
        <v>1242790</v>
      </c>
      <c r="M1773" s="2266">
        <v>599</v>
      </c>
    </row>
    <row r="1774" spans="1:13" ht="15">
      <c r="A1774" s="2266" t="s">
        <v>4352</v>
      </c>
      <c r="B1774" s="1694" t="str">
        <f>CONCATENATE(LEFT(RIGHT(CONCATENATE("000",IFAData_TEA!A1774),6),3),"-",(RIGHT(RIGHT(CONCATENATE("000",IFAData_TEA!A1774),6),3)))</f>
        <v>214-901</v>
      </c>
      <c r="C1774" s="2266" t="s">
        <v>3092</v>
      </c>
      <c r="D1774" s="2266">
        <v>6</v>
      </c>
      <c r="E1774" s="2266">
        <v>2241</v>
      </c>
      <c r="F1774" s="2266" t="s">
        <v>6161</v>
      </c>
      <c r="G1774" s="2266" t="s">
        <v>6162</v>
      </c>
      <c r="H1774" s="2436">
        <v>1797043</v>
      </c>
      <c r="I1774" s="2436">
        <v>379112</v>
      </c>
      <c r="J1774" s="2446">
        <v>0.2337453187677184</v>
      </c>
      <c r="K1774" s="2436">
        <v>420050.38887429697</v>
      </c>
      <c r="L1774" s="2436">
        <v>379112</v>
      </c>
      <c r="M1774" s="2266">
        <v>599</v>
      </c>
    </row>
    <row r="1775" spans="1:13" ht="15">
      <c r="A1775" s="2266" t="s">
        <v>4352</v>
      </c>
      <c r="B1775" s="1694" t="str">
        <f>CONCATENATE(LEFT(RIGHT(CONCATENATE("000",IFAData_TEA!A1775),6),3),"-",(RIGHT(RIGHT(CONCATENATE("000",IFAData_TEA!A1775),6),3)))</f>
        <v>214-901</v>
      </c>
      <c r="C1775" s="2266" t="s">
        <v>3092</v>
      </c>
      <c r="D1775" s="2266">
        <v>4</v>
      </c>
      <c r="E1775" s="2266">
        <v>2242</v>
      </c>
      <c r="F1775" s="2266" t="s">
        <v>6159</v>
      </c>
      <c r="G1775" s="2266" t="s">
        <v>6160</v>
      </c>
      <c r="H1775" s="2436">
        <v>1967288</v>
      </c>
      <c r="I1775" s="2436">
        <v>1908750</v>
      </c>
      <c r="J1775" s="2446">
        <v>0.83048636588303271</v>
      </c>
      <c r="K1775" s="2436">
        <v>1633805.8617652997</v>
      </c>
      <c r="L1775" s="2436">
        <v>1633805.8617652997</v>
      </c>
      <c r="M1775" s="2266">
        <v>599</v>
      </c>
    </row>
    <row r="1776" spans="1:13" ht="15">
      <c r="A1776" s="2266" t="s">
        <v>4352</v>
      </c>
      <c r="B1776" s="1694" t="str">
        <f>CONCATENATE(LEFT(RIGHT(CONCATENATE("000",IFAData_TEA!A1776),6),3),"-",(RIGHT(RIGHT(CONCATENATE("000",IFAData_TEA!A1776),6),3)))</f>
        <v>214-901</v>
      </c>
      <c r="C1776" s="2266" t="s">
        <v>3092</v>
      </c>
      <c r="D1776" s="2266">
        <v>4</v>
      </c>
      <c r="E1776" s="2266">
        <v>2242</v>
      </c>
      <c r="F1776" s="2266" t="s">
        <v>6159</v>
      </c>
      <c r="G1776" s="2266" t="s">
        <v>6159</v>
      </c>
      <c r="H1776" s="2436">
        <v>1967288</v>
      </c>
      <c r="I1776" s="2436">
        <v>0</v>
      </c>
      <c r="J1776" s="2446">
        <v>0</v>
      </c>
      <c r="K1776" s="2436">
        <v>0</v>
      </c>
      <c r="L1776" s="2436">
        <v>0</v>
      </c>
      <c r="M1776" s="2266">
        <v>599</v>
      </c>
    </row>
    <row r="1777" spans="1:13" ht="15">
      <c r="A1777" s="2266" t="s">
        <v>4352</v>
      </c>
      <c r="B1777" s="1694" t="str">
        <f>CONCATENATE(LEFT(RIGHT(CONCATENATE("000",IFAData_TEA!A1777),6),3),"-",(RIGHT(RIGHT(CONCATENATE("000",IFAData_TEA!A1777),6),3)))</f>
        <v>214-901</v>
      </c>
      <c r="C1777" s="2266" t="s">
        <v>3092</v>
      </c>
      <c r="D1777" s="2266">
        <v>10</v>
      </c>
      <c r="E1777" s="2266">
        <v>2243</v>
      </c>
      <c r="F1777" s="2266" t="s">
        <v>6167</v>
      </c>
      <c r="G1777" s="2266" t="s">
        <v>6167</v>
      </c>
      <c r="H1777" s="2436">
        <v>2133360</v>
      </c>
      <c r="I1777" s="2436">
        <v>2125260</v>
      </c>
      <c r="J1777" s="2446">
        <v>1</v>
      </c>
      <c r="K1777" s="2436">
        <v>2133360</v>
      </c>
      <c r="L1777" s="2436">
        <v>2125260</v>
      </c>
      <c r="M1777" s="2266">
        <v>599</v>
      </c>
    </row>
    <row r="1778" spans="1:13" ht="15">
      <c r="A1778" s="2266" t="s">
        <v>4352</v>
      </c>
      <c r="B1778" s="1694" t="str">
        <f>CONCATENATE(LEFT(RIGHT(CONCATENATE("000",IFAData_TEA!A1778),6),3),"-",(RIGHT(RIGHT(CONCATENATE("000",IFAData_TEA!A1778),6),3)))</f>
        <v>214-901</v>
      </c>
      <c r="C1778" s="2266" t="s">
        <v>3092</v>
      </c>
      <c r="D1778" s="2266">
        <v>7</v>
      </c>
      <c r="E1778" s="2266">
        <v>2240</v>
      </c>
      <c r="F1778" s="2266" t="s">
        <v>6164</v>
      </c>
      <c r="G1778" s="2266" t="s">
        <v>6164</v>
      </c>
      <c r="H1778" s="2436">
        <v>1469426</v>
      </c>
      <c r="I1778" s="2436">
        <v>0</v>
      </c>
      <c r="J1778" s="2446">
        <v>0</v>
      </c>
      <c r="K1778" s="2436">
        <v>0</v>
      </c>
      <c r="L1778" s="2436">
        <v>0</v>
      </c>
      <c r="M1778" s="2266">
        <v>599</v>
      </c>
    </row>
    <row r="1779" spans="1:13" ht="15">
      <c r="A1779" s="2266" t="s">
        <v>4352</v>
      </c>
      <c r="B1779" s="1694" t="str">
        <f>CONCATENATE(LEFT(RIGHT(CONCATENATE("000",IFAData_TEA!A1779),6),3),"-",(RIGHT(RIGHT(CONCATENATE("000",IFAData_TEA!A1779),6),3)))</f>
        <v>214-901</v>
      </c>
      <c r="C1779" s="2266" t="s">
        <v>3092</v>
      </c>
      <c r="D1779" s="2266">
        <v>6</v>
      </c>
      <c r="E1779" s="2266">
        <v>2241</v>
      </c>
      <c r="F1779" s="2266" t="s">
        <v>6161</v>
      </c>
      <c r="G1779" s="2266" t="s">
        <v>6161</v>
      </c>
      <c r="H1779" s="2436">
        <v>1797043</v>
      </c>
      <c r="I1779" s="2436">
        <v>0</v>
      </c>
      <c r="J1779" s="2446">
        <v>0</v>
      </c>
      <c r="K1779" s="2436">
        <v>0</v>
      </c>
      <c r="L1779" s="2436">
        <v>0</v>
      </c>
      <c r="M1779" s="2266">
        <v>599</v>
      </c>
    </row>
    <row r="1780" spans="1:13" ht="15">
      <c r="A1780" s="2266" t="s">
        <v>4352</v>
      </c>
      <c r="B1780" s="1694" t="str">
        <f>CONCATENATE(LEFT(RIGHT(CONCATENATE("000",IFAData_TEA!A1780),6),3),"-",(RIGHT(RIGHT(CONCATENATE("000",IFAData_TEA!A1780),6),3)))</f>
        <v>214-901</v>
      </c>
      <c r="C1780" s="2266" t="s">
        <v>3092</v>
      </c>
      <c r="D1780" s="2266">
        <v>4</v>
      </c>
      <c r="E1780" s="2266">
        <v>2242</v>
      </c>
      <c r="F1780" s="2266" t="s">
        <v>6159</v>
      </c>
      <c r="G1780" s="2266" t="s">
        <v>7047</v>
      </c>
      <c r="H1780" s="2436">
        <v>1967288</v>
      </c>
      <c r="I1780" s="2436">
        <v>389602</v>
      </c>
      <c r="J1780" s="2446">
        <v>0.16951363411696729</v>
      </c>
      <c r="K1780" s="2436">
        <v>333482.13823470037</v>
      </c>
      <c r="L1780" s="2436">
        <v>333482.13823470037</v>
      </c>
      <c r="M1780" s="2266">
        <v>599</v>
      </c>
    </row>
    <row r="1781" spans="1:13" ht="15">
      <c r="A1781" s="2266" t="s">
        <v>4353</v>
      </c>
      <c r="B1781" s="1694" t="str">
        <f>CONCATENATE(LEFT(RIGHT(CONCATENATE("000",IFAData_TEA!A1781),6),3),"-",(RIGHT(RIGHT(CONCATENATE("000",IFAData_TEA!A1781),6),3)))</f>
        <v>214-903</v>
      </c>
      <c r="C1781" s="2266" t="s">
        <v>663</v>
      </c>
      <c r="D1781" s="2266">
        <v>8</v>
      </c>
      <c r="E1781" s="2266">
        <v>2263</v>
      </c>
      <c r="F1781" s="2266" t="s">
        <v>6172</v>
      </c>
      <c r="G1781" s="2266" t="s">
        <v>6174</v>
      </c>
      <c r="H1781" s="2436">
        <v>1448810</v>
      </c>
      <c r="I1781" s="2436">
        <v>333975</v>
      </c>
      <c r="J1781" s="2446">
        <v>0.25251398760018146</v>
      </c>
      <c r="K1781" s="2436">
        <v>365844.7903750189</v>
      </c>
      <c r="L1781" s="2436">
        <v>333975</v>
      </c>
      <c r="M1781" s="2266">
        <v>599</v>
      </c>
    </row>
    <row r="1782" spans="1:13" ht="15">
      <c r="A1782" s="2266" t="s">
        <v>4353</v>
      </c>
      <c r="B1782" s="1694" t="str">
        <f>CONCATENATE(LEFT(RIGHT(CONCATENATE("000",IFAData_TEA!A1782),6),3),"-",(RIGHT(RIGHT(CONCATENATE("000",IFAData_TEA!A1782),6),3)))</f>
        <v>214-903</v>
      </c>
      <c r="C1782" s="2266" t="s">
        <v>663</v>
      </c>
      <c r="D1782" s="2266">
        <v>8</v>
      </c>
      <c r="E1782" s="2266">
        <v>2263</v>
      </c>
      <c r="F1782" s="2266" t="s">
        <v>6172</v>
      </c>
      <c r="G1782" s="2266" t="s">
        <v>6172</v>
      </c>
      <c r="H1782" s="2436">
        <v>1448810</v>
      </c>
      <c r="I1782" s="2436">
        <v>631900</v>
      </c>
      <c r="J1782" s="2446">
        <v>0.47777105700892181</v>
      </c>
      <c r="K1782" s="2436">
        <v>692199.48510509601</v>
      </c>
      <c r="L1782" s="2436">
        <v>631900</v>
      </c>
      <c r="M1782" s="2266">
        <v>599</v>
      </c>
    </row>
    <row r="1783" spans="1:13" ht="15">
      <c r="A1783" s="2266" t="s">
        <v>4353</v>
      </c>
      <c r="B1783" s="1694" t="str">
        <f>CONCATENATE(LEFT(RIGHT(CONCATENATE("000",IFAData_TEA!A1783),6),3),"-",(RIGHT(RIGHT(CONCATENATE("000",IFAData_TEA!A1783),6),3)))</f>
        <v>214-903</v>
      </c>
      <c r="C1783" s="2266" t="s">
        <v>663</v>
      </c>
      <c r="D1783" s="2266">
        <v>8</v>
      </c>
      <c r="E1783" s="2266">
        <v>2263</v>
      </c>
      <c r="F1783" s="2266" t="s">
        <v>6172</v>
      </c>
      <c r="G1783" s="2266" t="s">
        <v>6173</v>
      </c>
      <c r="H1783" s="2436">
        <v>1448810</v>
      </c>
      <c r="I1783" s="2436">
        <v>356725</v>
      </c>
      <c r="J1783" s="2446">
        <v>0.26971495539089674</v>
      </c>
      <c r="K1783" s="2436">
        <v>390765.72451988509</v>
      </c>
      <c r="L1783" s="2436">
        <v>356725</v>
      </c>
      <c r="M1783" s="2266">
        <v>599</v>
      </c>
    </row>
    <row r="1784" spans="1:13" ht="15">
      <c r="A1784" s="2266" t="s">
        <v>4353</v>
      </c>
      <c r="B1784" s="1694" t="str">
        <f>CONCATENATE(LEFT(RIGHT(CONCATENATE("000",IFAData_TEA!A1784),6),3),"-",(RIGHT(RIGHT(CONCATENATE("000",IFAData_TEA!A1784),6),3)))</f>
        <v>214-903</v>
      </c>
      <c r="C1784" s="2266" t="s">
        <v>663</v>
      </c>
      <c r="D1784" s="2266">
        <v>7</v>
      </c>
      <c r="E1784" s="2266">
        <v>2260</v>
      </c>
      <c r="F1784" s="2266" t="s">
        <v>6170</v>
      </c>
      <c r="G1784" s="2266" t="s">
        <v>6171</v>
      </c>
      <c r="H1784" s="2436">
        <v>816105</v>
      </c>
      <c r="I1784" s="2436">
        <v>740150</v>
      </c>
      <c r="J1784" s="2446">
        <v>0.47734921079209719</v>
      </c>
      <c r="K1784" s="2436">
        <v>389567.07767348445</v>
      </c>
      <c r="L1784" s="2436">
        <v>389567.07767348445</v>
      </c>
      <c r="M1784" s="2266">
        <v>599</v>
      </c>
    </row>
    <row r="1785" spans="1:13" ht="15">
      <c r="A1785" s="2266" t="s">
        <v>4353</v>
      </c>
      <c r="B1785" s="1694" t="str">
        <f>CONCATENATE(LEFT(RIGHT(CONCATENATE("000",IFAData_TEA!A1785),6),3),"-",(RIGHT(RIGHT(CONCATENATE("000",IFAData_TEA!A1785),6),3)))</f>
        <v>214-903</v>
      </c>
      <c r="C1785" s="2266" t="s">
        <v>663</v>
      </c>
      <c r="D1785" s="2266">
        <v>10</v>
      </c>
      <c r="E1785" s="2266">
        <v>2259</v>
      </c>
      <c r="F1785" s="2266" t="s">
        <v>6176</v>
      </c>
      <c r="G1785" s="2266" t="s">
        <v>6176</v>
      </c>
      <c r="H1785" s="2436">
        <v>623963</v>
      </c>
      <c r="I1785" s="2436">
        <v>619462</v>
      </c>
      <c r="J1785" s="2446">
        <v>1</v>
      </c>
      <c r="K1785" s="2436">
        <v>623963</v>
      </c>
      <c r="L1785" s="2436">
        <v>619462</v>
      </c>
      <c r="M1785" s="2266">
        <v>599</v>
      </c>
    </row>
    <row r="1786" spans="1:13" ht="15">
      <c r="A1786" s="2266" t="s">
        <v>4353</v>
      </c>
      <c r="B1786" s="1694" t="str">
        <f>CONCATENATE(LEFT(RIGHT(CONCATENATE("000",IFAData_TEA!A1786),6),3),"-",(RIGHT(RIGHT(CONCATENATE("000",IFAData_TEA!A1786),6),3)))</f>
        <v>214-903</v>
      </c>
      <c r="C1786" s="2266" t="s">
        <v>663</v>
      </c>
      <c r="D1786" s="2266">
        <v>4</v>
      </c>
      <c r="E1786" s="2266">
        <v>2262</v>
      </c>
      <c r="F1786" s="2266" t="s">
        <v>6168</v>
      </c>
      <c r="G1786" s="2266" t="s">
        <v>6169</v>
      </c>
      <c r="H1786" s="2436">
        <v>1385266</v>
      </c>
      <c r="I1786" s="2436">
        <v>1352275</v>
      </c>
      <c r="J1786" s="2446">
        <v>0.83898800900611925</v>
      </c>
      <c r="K1786" s="2436">
        <v>1162221.5632838707</v>
      </c>
      <c r="L1786" s="2436">
        <v>1162221.5632838707</v>
      </c>
      <c r="M1786" s="2266">
        <v>599</v>
      </c>
    </row>
    <row r="1787" spans="1:13" ht="15">
      <c r="A1787" s="2266" t="s">
        <v>4353</v>
      </c>
      <c r="B1787" s="1694" t="str">
        <f>CONCATENATE(LEFT(RIGHT(CONCATENATE("000",IFAData_TEA!A1787),6),3),"-",(RIGHT(RIGHT(CONCATENATE("000",IFAData_TEA!A1787),6),3)))</f>
        <v>214-903</v>
      </c>
      <c r="C1787" s="2266" t="s">
        <v>663</v>
      </c>
      <c r="D1787" s="2266">
        <v>4</v>
      </c>
      <c r="E1787" s="2266">
        <v>2262</v>
      </c>
      <c r="F1787" s="2266" t="s">
        <v>6168</v>
      </c>
      <c r="G1787" s="2266" t="s">
        <v>6168</v>
      </c>
      <c r="H1787" s="2436">
        <v>1385266</v>
      </c>
      <c r="I1787" s="2436">
        <v>0</v>
      </c>
      <c r="J1787" s="2446">
        <v>0</v>
      </c>
      <c r="K1787" s="2436">
        <v>0</v>
      </c>
      <c r="L1787" s="2436">
        <v>0</v>
      </c>
      <c r="M1787" s="2266">
        <v>599</v>
      </c>
    </row>
    <row r="1788" spans="1:13" ht="15">
      <c r="A1788" s="2266" t="s">
        <v>4353</v>
      </c>
      <c r="B1788" s="1694" t="str">
        <f>CONCATENATE(LEFT(RIGHT(CONCATENATE("000",IFAData_TEA!A1788),6),3),"-",(RIGHT(RIGHT(CONCATENATE("000",IFAData_TEA!A1788),6),3)))</f>
        <v>214-903</v>
      </c>
      <c r="C1788" s="2266" t="s">
        <v>663</v>
      </c>
      <c r="D1788" s="2266">
        <v>7</v>
      </c>
      <c r="E1788" s="2266">
        <v>2260</v>
      </c>
      <c r="F1788" s="2266" t="s">
        <v>6170</v>
      </c>
      <c r="G1788" s="2266" t="s">
        <v>6170</v>
      </c>
      <c r="H1788" s="2436">
        <v>816105</v>
      </c>
      <c r="I1788" s="2436">
        <v>810392</v>
      </c>
      <c r="J1788" s="2446">
        <v>0.52265078920790276</v>
      </c>
      <c r="K1788" s="2436">
        <v>426537.92232651549</v>
      </c>
      <c r="L1788" s="2436">
        <v>426537.92232651549</v>
      </c>
      <c r="M1788" s="2266">
        <v>599</v>
      </c>
    </row>
    <row r="1789" spans="1:13" ht="15">
      <c r="A1789" s="2266" t="s">
        <v>4353</v>
      </c>
      <c r="B1789" s="1694" t="str">
        <f>CONCATENATE(LEFT(RIGHT(CONCATENATE("000",IFAData_TEA!A1789),6),3),"-",(RIGHT(RIGHT(CONCATENATE("000",IFAData_TEA!A1789),6),3)))</f>
        <v>214-903</v>
      </c>
      <c r="C1789" s="2266" t="s">
        <v>663</v>
      </c>
      <c r="D1789" s="2266">
        <v>9</v>
      </c>
      <c r="E1789" s="2266">
        <v>2261</v>
      </c>
      <c r="F1789" s="2266" t="s">
        <v>6175</v>
      </c>
      <c r="G1789" s="2266" t="s">
        <v>6175</v>
      </c>
      <c r="H1789" s="2436">
        <v>1016430</v>
      </c>
      <c r="I1789" s="2436">
        <v>1012471</v>
      </c>
      <c r="J1789" s="2446">
        <v>1</v>
      </c>
      <c r="K1789" s="2436">
        <v>1016430</v>
      </c>
      <c r="L1789" s="2436">
        <v>1012471</v>
      </c>
      <c r="M1789" s="2266">
        <v>599</v>
      </c>
    </row>
    <row r="1790" spans="1:13" ht="15">
      <c r="A1790" s="2266" t="s">
        <v>4353</v>
      </c>
      <c r="B1790" s="1694" t="str">
        <f>CONCATENATE(LEFT(RIGHT(CONCATENATE("000",IFAData_TEA!A1790),6),3),"-",(RIGHT(RIGHT(CONCATENATE("000",IFAData_TEA!A1790),6),3)))</f>
        <v>214-903</v>
      </c>
      <c r="C1790" s="2266" t="s">
        <v>663</v>
      </c>
      <c r="D1790" s="2266">
        <v>4</v>
      </c>
      <c r="E1790" s="2266">
        <v>2262</v>
      </c>
      <c r="F1790" s="2266" t="s">
        <v>6168</v>
      </c>
      <c r="G1790" s="2266" t="s">
        <v>7048</v>
      </c>
      <c r="H1790" s="2436">
        <v>1385266</v>
      </c>
      <c r="I1790" s="2436">
        <v>259518</v>
      </c>
      <c r="J1790" s="2446">
        <v>0.16101199099388072</v>
      </c>
      <c r="K1790" s="2436">
        <v>223044.43671612916</v>
      </c>
      <c r="L1790" s="2436">
        <v>223044.43671612916</v>
      </c>
      <c r="M1790" s="2266">
        <v>599</v>
      </c>
    </row>
    <row r="1791" spans="1:13" ht="15">
      <c r="A1791" s="2266" t="s">
        <v>4354</v>
      </c>
      <c r="B1791" s="1694" t="str">
        <f>CONCATENATE(LEFT(RIGHT(CONCATENATE("000",IFAData_TEA!A1791),6),3),"-",(RIGHT(RIGHT(CONCATENATE("000",IFAData_TEA!A1791),6),3)))</f>
        <v>220-901</v>
      </c>
      <c r="C1791" s="2266" t="s">
        <v>2775</v>
      </c>
      <c r="D1791" s="2266">
        <v>1</v>
      </c>
      <c r="E1791" s="2266">
        <v>1583</v>
      </c>
      <c r="F1791" s="2266" t="s">
        <v>6177</v>
      </c>
      <c r="G1791" s="2266" t="s">
        <v>6177</v>
      </c>
      <c r="H1791" s="2436">
        <v>5173531</v>
      </c>
      <c r="I1791" s="2436">
        <v>0</v>
      </c>
      <c r="J1791" s="2446">
        <v>0</v>
      </c>
      <c r="K1791" s="2436">
        <v>0</v>
      </c>
      <c r="L1791" s="2436">
        <v>0</v>
      </c>
      <c r="M1791" s="2266">
        <v>599</v>
      </c>
    </row>
    <row r="1792" spans="1:13" ht="15">
      <c r="A1792" s="2266" t="s">
        <v>4354</v>
      </c>
      <c r="B1792" s="1694" t="str">
        <f>CONCATENATE(LEFT(RIGHT(CONCATENATE("000",IFAData_TEA!A1792),6),3),"-",(RIGHT(RIGHT(CONCATENATE("000",IFAData_TEA!A1792),6),3)))</f>
        <v>220-901</v>
      </c>
      <c r="C1792" s="2266" t="s">
        <v>2775</v>
      </c>
      <c r="D1792" s="2266">
        <v>1</v>
      </c>
      <c r="E1792" s="2266">
        <v>1583</v>
      </c>
      <c r="F1792" s="2266" t="s">
        <v>6177</v>
      </c>
      <c r="G1792" s="2266" t="s">
        <v>6180</v>
      </c>
      <c r="H1792" s="2436">
        <v>5173531</v>
      </c>
      <c r="I1792" s="2436">
        <v>0</v>
      </c>
      <c r="J1792" s="2446">
        <v>0</v>
      </c>
      <c r="K1792" s="2436">
        <v>0</v>
      </c>
      <c r="L1792" s="2436">
        <v>0</v>
      </c>
      <c r="M1792" s="2266">
        <v>599</v>
      </c>
    </row>
    <row r="1793" spans="1:13" ht="15">
      <c r="A1793" s="2266" t="s">
        <v>4354</v>
      </c>
      <c r="B1793" s="1694" t="str">
        <f>CONCATENATE(LEFT(RIGHT(CONCATENATE("000",IFAData_TEA!A1793),6),3),"-",(RIGHT(RIGHT(CONCATENATE("000",IFAData_TEA!A1793),6),3)))</f>
        <v>220-901</v>
      </c>
      <c r="C1793" s="2266" t="s">
        <v>2775</v>
      </c>
      <c r="D1793" s="2266">
        <v>1</v>
      </c>
      <c r="E1793" s="2266">
        <v>1583</v>
      </c>
      <c r="F1793" s="2266" t="s">
        <v>6177</v>
      </c>
      <c r="G1793" s="2266" t="s">
        <v>6178</v>
      </c>
      <c r="H1793" s="2436">
        <v>5173531</v>
      </c>
      <c r="I1793" s="2436">
        <v>4125106</v>
      </c>
      <c r="J1793" s="2446">
        <v>0.91714492229369715</v>
      </c>
      <c r="K1793" s="2436">
        <v>4744877.6869790331</v>
      </c>
      <c r="L1793" s="2436">
        <v>4125106</v>
      </c>
      <c r="M1793" s="2266">
        <v>599</v>
      </c>
    </row>
    <row r="1794" spans="1:13" ht="15">
      <c r="A1794" s="2266" t="s">
        <v>4354</v>
      </c>
      <c r="B1794" s="1694" t="str">
        <f>CONCATENATE(LEFT(RIGHT(CONCATENATE("000",IFAData_TEA!A1794),6),3),"-",(RIGHT(RIGHT(CONCATENATE("000",IFAData_TEA!A1794),6),3)))</f>
        <v>220-901</v>
      </c>
      <c r="C1794" s="2266" t="s">
        <v>2775</v>
      </c>
      <c r="D1794" s="2266">
        <v>1</v>
      </c>
      <c r="E1794" s="2266">
        <v>1583</v>
      </c>
      <c r="F1794" s="2266" t="s">
        <v>6177</v>
      </c>
      <c r="G1794" s="2266" t="s">
        <v>6179</v>
      </c>
      <c r="H1794" s="2436">
        <v>5173531</v>
      </c>
      <c r="I1794" s="2436">
        <v>372663</v>
      </c>
      <c r="J1794" s="2446">
        <v>8.2855077706302835E-2</v>
      </c>
      <c r="K1794" s="2436">
        <v>428653.3130209666</v>
      </c>
      <c r="L1794" s="2436">
        <v>372663</v>
      </c>
      <c r="M1794" s="2266">
        <v>599</v>
      </c>
    </row>
    <row r="1795" spans="1:13" ht="15">
      <c r="A1795" s="2266" t="s">
        <v>4355</v>
      </c>
      <c r="B1795" s="1694" t="str">
        <f>CONCATENATE(LEFT(RIGHT(CONCATENATE("000",IFAData_TEA!A1795),6),3),"-",(RIGHT(RIGHT(CONCATENATE("000",IFAData_TEA!A1795),6),3)))</f>
        <v>220-902</v>
      </c>
      <c r="C1795" s="2266" t="s">
        <v>901</v>
      </c>
      <c r="D1795" s="2266">
        <v>1</v>
      </c>
      <c r="E1795" s="2266">
        <v>1609</v>
      </c>
      <c r="F1795" s="2266" t="s">
        <v>6181</v>
      </c>
      <c r="G1795" s="2266" t="s">
        <v>7049</v>
      </c>
      <c r="H1795" s="2436">
        <v>796895</v>
      </c>
      <c r="I1795" s="2436">
        <v>12812</v>
      </c>
      <c r="J1795" s="2446">
        <v>3.1091382260924937E-3</v>
      </c>
      <c r="K1795" s="2436">
        <v>2477.6567066819775</v>
      </c>
      <c r="L1795" s="2436">
        <v>2477.6567066819775</v>
      </c>
      <c r="M1795" s="2266">
        <v>599</v>
      </c>
    </row>
    <row r="1796" spans="1:13" ht="15">
      <c r="A1796" s="2266" t="s">
        <v>4355</v>
      </c>
      <c r="B1796" s="1694" t="str">
        <f>CONCATENATE(LEFT(RIGHT(CONCATENATE("000",IFAData_TEA!A1796),6),3),"-",(RIGHT(RIGHT(CONCATENATE("000",IFAData_TEA!A1796),6),3)))</f>
        <v>220-902</v>
      </c>
      <c r="C1796" s="2266" t="s">
        <v>901</v>
      </c>
      <c r="D1796" s="2266">
        <v>9</v>
      </c>
      <c r="E1796" s="2266">
        <v>1610</v>
      </c>
      <c r="F1796" s="2266" t="s">
        <v>6184</v>
      </c>
      <c r="G1796" s="2266" t="s">
        <v>7049</v>
      </c>
      <c r="H1796" s="2436">
        <v>1653470</v>
      </c>
      <c r="I1796" s="2436">
        <v>896531</v>
      </c>
      <c r="J1796" s="2446">
        <v>0.24551293724917264</v>
      </c>
      <c r="K1796" s="2436">
        <v>405948.27635338949</v>
      </c>
      <c r="L1796" s="2436">
        <v>405948.27635338949</v>
      </c>
      <c r="M1796" s="2266">
        <v>599</v>
      </c>
    </row>
    <row r="1797" spans="1:13" ht="15">
      <c r="A1797" s="2266" t="s">
        <v>4355</v>
      </c>
      <c r="B1797" s="1694" t="str">
        <f>CONCATENATE(LEFT(RIGHT(CONCATENATE("000",IFAData_TEA!A1797),6),3),"-",(RIGHT(RIGHT(CONCATENATE("000",IFAData_TEA!A1797),6),3)))</f>
        <v>220-902</v>
      </c>
      <c r="C1797" s="2266" t="s">
        <v>901</v>
      </c>
      <c r="D1797" s="2266">
        <v>1</v>
      </c>
      <c r="E1797" s="2266">
        <v>1609</v>
      </c>
      <c r="F1797" s="2266" t="s">
        <v>6181</v>
      </c>
      <c r="G1797" s="2266" t="s">
        <v>6184</v>
      </c>
      <c r="H1797" s="2436">
        <v>796895</v>
      </c>
      <c r="I1797" s="2436">
        <v>2755134</v>
      </c>
      <c r="J1797" s="2446">
        <v>0.66859915995996855</v>
      </c>
      <c r="K1797" s="2436">
        <v>532803.32757629908</v>
      </c>
      <c r="L1797" s="2436">
        <v>532803.32757629908</v>
      </c>
      <c r="M1797" s="2266">
        <v>599</v>
      </c>
    </row>
    <row r="1798" spans="1:13" ht="15">
      <c r="A1798" s="2266" t="s">
        <v>4355</v>
      </c>
      <c r="B1798" s="1694" t="str">
        <f>CONCATENATE(LEFT(RIGHT(CONCATENATE("000",IFAData_TEA!A1798),6),3),"-",(RIGHT(RIGHT(CONCATENATE("000",IFAData_TEA!A1798),6),3)))</f>
        <v>220-902</v>
      </c>
      <c r="C1798" s="2266" t="s">
        <v>901</v>
      </c>
      <c r="D1798" s="2266">
        <v>9</v>
      </c>
      <c r="E1798" s="2266">
        <v>1610</v>
      </c>
      <c r="F1798" s="2266" t="s">
        <v>6184</v>
      </c>
      <c r="G1798" s="2266" t="s">
        <v>6184</v>
      </c>
      <c r="H1798" s="2436">
        <v>1653470</v>
      </c>
      <c r="I1798" s="2436">
        <v>2755134</v>
      </c>
      <c r="J1798" s="2446">
        <v>0.75448706275082733</v>
      </c>
      <c r="K1798" s="2436">
        <v>1247521.7236466105</v>
      </c>
      <c r="L1798" s="2436">
        <v>1247521.7236466105</v>
      </c>
      <c r="M1798" s="2266">
        <v>599</v>
      </c>
    </row>
    <row r="1799" spans="1:13" ht="15">
      <c r="A1799" s="2266" t="s">
        <v>4355</v>
      </c>
      <c r="B1799" s="1694" t="str">
        <f>CONCATENATE(LEFT(RIGHT(CONCATENATE("000",IFAData_TEA!A1799),6),3),"-",(RIGHT(RIGHT(CONCATENATE("000",IFAData_TEA!A1799),6),3)))</f>
        <v>220-902</v>
      </c>
      <c r="C1799" s="2266" t="s">
        <v>901</v>
      </c>
      <c r="D1799" s="2266">
        <v>1</v>
      </c>
      <c r="E1799" s="2266">
        <v>1611</v>
      </c>
      <c r="F1799" s="2266" t="s">
        <v>6186</v>
      </c>
      <c r="G1799" s="2266" t="s">
        <v>6186</v>
      </c>
      <c r="H1799" s="2436">
        <v>1775156</v>
      </c>
      <c r="I1799" s="2436">
        <v>0</v>
      </c>
      <c r="J1799" s="2446">
        <v>0</v>
      </c>
      <c r="K1799" s="2436">
        <v>0</v>
      </c>
      <c r="L1799" s="2436">
        <v>0</v>
      </c>
      <c r="M1799" s="2266">
        <v>599</v>
      </c>
    </row>
    <row r="1800" spans="1:13" ht="15">
      <c r="A1800" s="2266" t="s">
        <v>4355</v>
      </c>
      <c r="B1800" s="1694" t="str">
        <f>CONCATENATE(LEFT(RIGHT(CONCATENATE("000",IFAData_TEA!A1800),6),3),"-",(RIGHT(RIGHT(CONCATENATE("000",IFAData_TEA!A1800),6),3)))</f>
        <v>220-902</v>
      </c>
      <c r="C1800" s="2266" t="s">
        <v>901</v>
      </c>
      <c r="D1800" s="2266">
        <v>1</v>
      </c>
      <c r="E1800" s="2266">
        <v>1609</v>
      </c>
      <c r="F1800" s="2266" t="s">
        <v>6181</v>
      </c>
      <c r="G1800" s="2266" t="s">
        <v>6185</v>
      </c>
      <c r="H1800" s="2436">
        <v>796895</v>
      </c>
      <c r="I1800" s="2436">
        <v>1352810</v>
      </c>
      <c r="J1800" s="2446">
        <v>0.32829170181393902</v>
      </c>
      <c r="K1800" s="2436">
        <v>261614.01571701895</v>
      </c>
      <c r="L1800" s="2436">
        <v>261614.01571701895</v>
      </c>
      <c r="M1800" s="2266">
        <v>599</v>
      </c>
    </row>
    <row r="1801" spans="1:13" ht="15">
      <c r="A1801" s="2266" t="s">
        <v>4355</v>
      </c>
      <c r="B1801" s="1694" t="str">
        <f>CONCATENATE(LEFT(RIGHT(CONCATENATE("000",IFAData_TEA!A1801),6),3),"-",(RIGHT(RIGHT(CONCATENATE("000",IFAData_TEA!A1801),6),3)))</f>
        <v>220-902</v>
      </c>
      <c r="C1801" s="2266" t="s">
        <v>901</v>
      </c>
      <c r="D1801" s="2266">
        <v>1</v>
      </c>
      <c r="E1801" s="2266">
        <v>1611</v>
      </c>
      <c r="F1801" s="2266" t="s">
        <v>6186</v>
      </c>
      <c r="G1801" s="2266" t="s">
        <v>6185</v>
      </c>
      <c r="H1801" s="2436">
        <v>1775156</v>
      </c>
      <c r="I1801" s="2436">
        <v>5192169</v>
      </c>
      <c r="J1801" s="2446">
        <v>0.78316435463218648</v>
      </c>
      <c r="K1801" s="2436">
        <v>1390238.9031114536</v>
      </c>
      <c r="L1801" s="2436">
        <v>1390238.9031114536</v>
      </c>
      <c r="M1801" s="2266">
        <v>599</v>
      </c>
    </row>
    <row r="1802" spans="1:13" ht="15">
      <c r="A1802" s="2266" t="s">
        <v>4355</v>
      </c>
      <c r="B1802" s="1694" t="str">
        <f>CONCATENATE(LEFT(RIGHT(CONCATENATE("000",IFAData_TEA!A1802),6),3),"-",(RIGHT(RIGHT(CONCATENATE("000",IFAData_TEA!A1802),6),3)))</f>
        <v>220-902</v>
      </c>
      <c r="C1802" s="2266" t="s">
        <v>901</v>
      </c>
      <c r="D1802" s="2266">
        <v>1</v>
      </c>
      <c r="E1802" s="2266">
        <v>1609</v>
      </c>
      <c r="F1802" s="2266" t="s">
        <v>6181</v>
      </c>
      <c r="G1802" s="2266" t="s">
        <v>6181</v>
      </c>
      <c r="H1802" s="2436">
        <v>796895</v>
      </c>
      <c r="I1802" s="2436">
        <v>0</v>
      </c>
      <c r="J1802" s="2446">
        <v>0</v>
      </c>
      <c r="K1802" s="2436">
        <v>0</v>
      </c>
      <c r="L1802" s="2436">
        <v>0</v>
      </c>
      <c r="M1802" s="2266">
        <v>599</v>
      </c>
    </row>
    <row r="1803" spans="1:13" ht="15">
      <c r="A1803" s="2266" t="s">
        <v>4355</v>
      </c>
      <c r="B1803" s="1694" t="str">
        <f>CONCATENATE(LEFT(RIGHT(CONCATENATE("000",IFAData_TEA!A1803),6),3),"-",(RIGHT(RIGHT(CONCATENATE("000",IFAData_TEA!A1803),6),3)))</f>
        <v>220-902</v>
      </c>
      <c r="C1803" s="2266" t="s">
        <v>901</v>
      </c>
      <c r="D1803" s="2266">
        <v>9</v>
      </c>
      <c r="E1803" s="2266">
        <v>1612</v>
      </c>
      <c r="F1803" s="2266" t="s">
        <v>6188</v>
      </c>
      <c r="G1803" s="2266" t="s">
        <v>6189</v>
      </c>
      <c r="H1803" s="2436">
        <v>3559977</v>
      </c>
      <c r="I1803" s="2436">
        <v>707384</v>
      </c>
      <c r="J1803" s="2446">
        <v>0.53686291623185656</v>
      </c>
      <c r="K1803" s="2436">
        <v>1911219.633938336</v>
      </c>
      <c r="L1803" s="2436">
        <v>707384</v>
      </c>
      <c r="M1803" s="2266">
        <v>599</v>
      </c>
    </row>
    <row r="1804" spans="1:13" ht="15">
      <c r="A1804" s="2266" t="s">
        <v>4355</v>
      </c>
      <c r="B1804" s="1694" t="str">
        <f>CONCATENATE(LEFT(RIGHT(CONCATENATE("000",IFAData_TEA!A1804),6),3),"-",(RIGHT(RIGHT(CONCATENATE("000",IFAData_TEA!A1804),6),3)))</f>
        <v>220-902</v>
      </c>
      <c r="C1804" s="2266" t="s">
        <v>901</v>
      </c>
      <c r="D1804" s="2266">
        <v>9</v>
      </c>
      <c r="E1804" s="2266">
        <v>1612</v>
      </c>
      <c r="F1804" s="2266" t="s">
        <v>6188</v>
      </c>
      <c r="G1804" s="2266" t="s">
        <v>6188</v>
      </c>
      <c r="H1804" s="2436">
        <v>3559977</v>
      </c>
      <c r="I1804" s="2436">
        <v>610241</v>
      </c>
      <c r="J1804" s="2446">
        <v>0.46313708376814344</v>
      </c>
      <c r="K1804" s="2436">
        <v>1648757.366061664</v>
      </c>
      <c r="L1804" s="2436">
        <v>610241</v>
      </c>
      <c r="M1804" s="2266">
        <v>599</v>
      </c>
    </row>
    <row r="1805" spans="1:13" ht="15">
      <c r="A1805" s="2266" t="s">
        <v>4355</v>
      </c>
      <c r="B1805" s="1694" t="str">
        <f>CONCATENATE(LEFT(RIGHT(CONCATENATE("000",IFAData_TEA!A1805),6),3),"-",(RIGHT(RIGHT(CONCATENATE("000",IFAData_TEA!A1805),6),3)))</f>
        <v>220-902</v>
      </c>
      <c r="C1805" s="2266" t="s">
        <v>901</v>
      </c>
      <c r="D1805" s="2266">
        <v>1</v>
      </c>
      <c r="E1805" s="2266">
        <v>1609</v>
      </c>
      <c r="F1805" s="2266" t="s">
        <v>6181</v>
      </c>
      <c r="G1805" s="2266" t="s">
        <v>6183</v>
      </c>
      <c r="H1805" s="2436">
        <v>796895</v>
      </c>
      <c r="I1805" s="2436">
        <v>0</v>
      </c>
      <c r="J1805" s="2446">
        <v>0</v>
      </c>
      <c r="K1805" s="2436">
        <v>0</v>
      </c>
      <c r="L1805" s="2436">
        <v>0</v>
      </c>
      <c r="M1805" s="2266">
        <v>599</v>
      </c>
    </row>
    <row r="1806" spans="1:13" ht="15">
      <c r="A1806" s="2266" t="s">
        <v>4355</v>
      </c>
      <c r="B1806" s="1694" t="str">
        <f>CONCATENATE(LEFT(RIGHT(CONCATENATE("000",IFAData_TEA!A1806),6),3),"-",(RIGHT(RIGHT(CONCATENATE("000",IFAData_TEA!A1806),6),3)))</f>
        <v>220-902</v>
      </c>
      <c r="C1806" s="2266" t="s">
        <v>901</v>
      </c>
      <c r="D1806" s="2266">
        <v>1</v>
      </c>
      <c r="E1806" s="2266">
        <v>1611</v>
      </c>
      <c r="F1806" s="2266" t="s">
        <v>6186</v>
      </c>
      <c r="G1806" s="2266" t="s">
        <v>6183</v>
      </c>
      <c r="H1806" s="2436">
        <v>1775156</v>
      </c>
      <c r="I1806" s="2436">
        <v>0</v>
      </c>
      <c r="J1806" s="2446">
        <v>0</v>
      </c>
      <c r="K1806" s="2436">
        <v>0</v>
      </c>
      <c r="L1806" s="2436">
        <v>0</v>
      </c>
      <c r="M1806" s="2266">
        <v>599</v>
      </c>
    </row>
    <row r="1807" spans="1:13" ht="15">
      <c r="A1807" s="2266" t="s">
        <v>4355</v>
      </c>
      <c r="B1807" s="1694" t="str">
        <f>CONCATENATE(LEFT(RIGHT(CONCATENATE("000",IFAData_TEA!A1807),6),3),"-",(RIGHT(RIGHT(CONCATENATE("000",IFAData_TEA!A1807),6),3)))</f>
        <v>220-902</v>
      </c>
      <c r="C1807" s="2266" t="s">
        <v>901</v>
      </c>
      <c r="D1807" s="2266">
        <v>1</v>
      </c>
      <c r="E1807" s="2266">
        <v>1609</v>
      </c>
      <c r="F1807" s="2266" t="s">
        <v>6181</v>
      </c>
      <c r="G1807" s="2266" t="s">
        <v>6182</v>
      </c>
      <c r="H1807" s="2436">
        <v>796895</v>
      </c>
      <c r="I1807" s="2436">
        <v>0</v>
      </c>
      <c r="J1807" s="2446">
        <v>0</v>
      </c>
      <c r="K1807" s="2436">
        <v>0</v>
      </c>
      <c r="L1807" s="2436">
        <v>0</v>
      </c>
      <c r="M1807" s="2266">
        <v>599</v>
      </c>
    </row>
    <row r="1808" spans="1:13" ht="15">
      <c r="A1808" s="2266" t="s">
        <v>4355</v>
      </c>
      <c r="B1808" s="1694" t="str">
        <f>CONCATENATE(LEFT(RIGHT(CONCATENATE("000",IFAData_TEA!A1808),6),3),"-",(RIGHT(RIGHT(CONCATENATE("000",IFAData_TEA!A1808),6),3)))</f>
        <v>220-902</v>
      </c>
      <c r="C1808" s="2266" t="s">
        <v>901</v>
      </c>
      <c r="D1808" s="2266">
        <v>1</v>
      </c>
      <c r="E1808" s="2266">
        <v>1611</v>
      </c>
      <c r="F1808" s="2266" t="s">
        <v>6186</v>
      </c>
      <c r="G1808" s="2266" t="s">
        <v>6187</v>
      </c>
      <c r="H1808" s="2436">
        <v>1775156</v>
      </c>
      <c r="I1808" s="2436">
        <v>1437562</v>
      </c>
      <c r="J1808" s="2446">
        <v>0.21683564536781358</v>
      </c>
      <c r="K1808" s="2436">
        <v>384917.09688854648</v>
      </c>
      <c r="L1808" s="2436">
        <v>384917.09688854648</v>
      </c>
      <c r="M1808" s="2266">
        <v>599</v>
      </c>
    </row>
    <row r="1809" spans="1:13" ht="15">
      <c r="A1809" s="2266" t="s">
        <v>4356</v>
      </c>
      <c r="B1809" s="1694" t="str">
        <f>CONCATENATE(LEFT(RIGHT(CONCATENATE("000",IFAData_TEA!A1809),6),3),"-",(RIGHT(RIGHT(CONCATENATE("000",IFAData_TEA!A1809),6),3)))</f>
        <v>220-904</v>
      </c>
      <c r="C1809" s="2266" t="s">
        <v>2937</v>
      </c>
      <c r="D1809" s="2266">
        <v>9</v>
      </c>
      <c r="E1809" s="2266">
        <v>1804</v>
      </c>
      <c r="F1809" s="2266" t="s">
        <v>6190</v>
      </c>
      <c r="G1809" s="2266" t="s">
        <v>6191</v>
      </c>
      <c r="H1809" s="2436">
        <v>784151</v>
      </c>
      <c r="I1809" s="2436">
        <v>436065</v>
      </c>
      <c r="J1809" s="2446">
        <v>0.5524810429692697</v>
      </c>
      <c r="K1809" s="2436">
        <v>433228.56232539582</v>
      </c>
      <c r="L1809" s="2436">
        <v>433228.56232539582</v>
      </c>
      <c r="M1809" s="2266">
        <v>599</v>
      </c>
    </row>
    <row r="1810" spans="1:13" ht="15">
      <c r="A1810" s="2266" t="s">
        <v>4356</v>
      </c>
      <c r="B1810" s="1694" t="str">
        <f>CONCATENATE(LEFT(RIGHT(CONCATENATE("000",IFAData_TEA!A1810),6),3),"-",(RIGHT(RIGHT(CONCATENATE("000",IFAData_TEA!A1810),6),3)))</f>
        <v>220-904</v>
      </c>
      <c r="C1810" s="2266" t="s">
        <v>2937</v>
      </c>
      <c r="D1810" s="2266">
        <v>9</v>
      </c>
      <c r="E1810" s="2266">
        <v>1804</v>
      </c>
      <c r="F1810" s="2266" t="s">
        <v>6190</v>
      </c>
      <c r="G1810" s="2266" t="s">
        <v>6190</v>
      </c>
      <c r="H1810" s="2436">
        <v>784151</v>
      </c>
      <c r="I1810" s="2436">
        <v>349157</v>
      </c>
      <c r="J1810" s="2446">
        <v>0.44237126006448874</v>
      </c>
      <c r="K1810" s="2436">
        <v>346885.86595082888</v>
      </c>
      <c r="L1810" s="2436">
        <v>346885.86595082888</v>
      </c>
      <c r="M1810" s="2266">
        <v>599</v>
      </c>
    </row>
    <row r="1811" spans="1:13" ht="15">
      <c r="A1811" s="2266" t="s">
        <v>4356</v>
      </c>
      <c r="B1811" s="1694" t="str">
        <f>CONCATENATE(LEFT(RIGHT(CONCATENATE("000",IFAData_TEA!A1811),6),3),"-",(RIGHT(RIGHT(CONCATENATE("000",IFAData_TEA!A1811),6),3)))</f>
        <v>220-904</v>
      </c>
      <c r="C1811" s="2266" t="s">
        <v>2937</v>
      </c>
      <c r="D1811" s="2266">
        <v>9</v>
      </c>
      <c r="E1811" s="2266">
        <v>1803</v>
      </c>
      <c r="F1811" s="2266" t="s">
        <v>6192</v>
      </c>
      <c r="G1811" s="2266" t="s">
        <v>6192</v>
      </c>
      <c r="H1811" s="2436">
        <v>357599</v>
      </c>
      <c r="I1811" s="2436">
        <v>1269220</v>
      </c>
      <c r="J1811" s="2446">
        <v>1</v>
      </c>
      <c r="K1811" s="2436">
        <v>357599</v>
      </c>
      <c r="L1811" s="2436">
        <v>357599</v>
      </c>
      <c r="M1811" s="2266">
        <v>599</v>
      </c>
    </row>
    <row r="1812" spans="1:13" ht="15">
      <c r="A1812" s="2266" t="s">
        <v>4356</v>
      </c>
      <c r="B1812" s="1694" t="str">
        <f>CONCATENATE(LEFT(RIGHT(CONCATENATE("000",IFAData_TEA!A1812),6),3),"-",(RIGHT(RIGHT(CONCATENATE("000",IFAData_TEA!A1812),6),3)))</f>
        <v>220-904</v>
      </c>
      <c r="C1812" s="2266" t="s">
        <v>2937</v>
      </c>
      <c r="D1812" s="2266">
        <v>9</v>
      </c>
      <c r="E1812" s="2266">
        <v>1804</v>
      </c>
      <c r="F1812" s="2266" t="s">
        <v>6190</v>
      </c>
      <c r="G1812" s="2266" t="s">
        <v>7050</v>
      </c>
      <c r="H1812" s="2436">
        <v>784151</v>
      </c>
      <c r="I1812" s="2436">
        <v>4063</v>
      </c>
      <c r="J1812" s="2446">
        <v>5.1476969662415982E-3</v>
      </c>
      <c r="K1812" s="2436">
        <v>4036.5717237753156</v>
      </c>
      <c r="L1812" s="2436">
        <v>4036.5717237753156</v>
      </c>
      <c r="M1812" s="2266">
        <v>599</v>
      </c>
    </row>
    <row r="1813" spans="1:13" ht="15">
      <c r="A1813" s="2266" t="s">
        <v>4357</v>
      </c>
      <c r="B1813" s="1694" t="str">
        <f>CONCATENATE(LEFT(RIGHT(CONCATENATE("000",IFAData_TEA!A1813),6),3),"-",(RIGHT(RIGHT(CONCATENATE("000",IFAData_TEA!A1813),6),3)))</f>
        <v>220-907</v>
      </c>
      <c r="C1813" s="2266" t="s">
        <v>452</v>
      </c>
      <c r="D1813" s="2266">
        <v>2</v>
      </c>
      <c r="E1813" s="2266">
        <v>1950</v>
      </c>
      <c r="F1813" s="2266" t="s">
        <v>6193</v>
      </c>
      <c r="G1813" s="2266" t="s">
        <v>6198</v>
      </c>
      <c r="H1813" s="2436">
        <v>1280601</v>
      </c>
      <c r="I1813" s="2436">
        <v>1631759</v>
      </c>
      <c r="J1813" s="2446">
        <v>0.29657167398542333</v>
      </c>
      <c r="K1813" s="2436">
        <v>379789.98227740708</v>
      </c>
      <c r="L1813" s="2436">
        <v>379789.98227740708</v>
      </c>
      <c r="M1813" s="2266">
        <v>599</v>
      </c>
    </row>
    <row r="1814" spans="1:13" ht="15">
      <c r="A1814" s="2266" t="s">
        <v>4357</v>
      </c>
      <c r="B1814" s="1694" t="str">
        <f>CONCATENATE(LEFT(RIGHT(CONCATENATE("000",IFAData_TEA!A1814),6),3),"-",(RIGHT(RIGHT(CONCATENATE("000",IFAData_TEA!A1814),6),3)))</f>
        <v>220-907</v>
      </c>
      <c r="C1814" s="2266" t="s">
        <v>452</v>
      </c>
      <c r="D1814" s="2266">
        <v>2</v>
      </c>
      <c r="E1814" s="2266">
        <v>1950</v>
      </c>
      <c r="F1814" s="2266" t="s">
        <v>6193</v>
      </c>
      <c r="G1814" s="2266" t="s">
        <v>6205</v>
      </c>
      <c r="H1814" s="2436">
        <v>1280601</v>
      </c>
      <c r="I1814" s="2436">
        <v>103960</v>
      </c>
      <c r="J1814" s="2446">
        <v>1.8894696598900088E-2</v>
      </c>
      <c r="K1814" s="2436">
        <v>24196.567359248053</v>
      </c>
      <c r="L1814" s="2436">
        <v>24196.567359248053</v>
      </c>
      <c r="M1814" s="2266">
        <v>599</v>
      </c>
    </row>
    <row r="1815" spans="1:13" ht="15">
      <c r="A1815" s="2266" t="s">
        <v>4357</v>
      </c>
      <c r="B1815" s="1694" t="str">
        <f>CONCATENATE(LEFT(RIGHT(CONCATENATE("000",IFAData_TEA!A1815),6),3),"-",(RIGHT(RIGHT(CONCATENATE("000",IFAData_TEA!A1815),6),3)))</f>
        <v>220-907</v>
      </c>
      <c r="C1815" s="2266" t="s">
        <v>452</v>
      </c>
      <c r="D1815" s="2266">
        <v>2</v>
      </c>
      <c r="E1815" s="2266">
        <v>1950</v>
      </c>
      <c r="F1815" s="2266" t="s">
        <v>6193</v>
      </c>
      <c r="G1815" s="2266" t="s">
        <v>6204</v>
      </c>
      <c r="H1815" s="2436">
        <v>1280601</v>
      </c>
      <c r="I1815" s="2436">
        <v>0</v>
      </c>
      <c r="J1815" s="2446">
        <v>0</v>
      </c>
      <c r="K1815" s="2436">
        <v>0</v>
      </c>
      <c r="L1815" s="2436">
        <v>0</v>
      </c>
      <c r="M1815" s="2266">
        <v>599</v>
      </c>
    </row>
    <row r="1816" spans="1:13" ht="15">
      <c r="A1816" s="2266" t="s">
        <v>4357</v>
      </c>
      <c r="B1816" s="1694" t="str">
        <f>CONCATENATE(LEFT(RIGHT(CONCATENATE("000",IFAData_TEA!A1816),6),3),"-",(RIGHT(RIGHT(CONCATENATE("000",IFAData_TEA!A1816),6),3)))</f>
        <v>220-907</v>
      </c>
      <c r="C1816" s="2266" t="s">
        <v>452</v>
      </c>
      <c r="D1816" s="2266">
        <v>2</v>
      </c>
      <c r="E1816" s="2266">
        <v>1950</v>
      </c>
      <c r="F1816" s="2266" t="s">
        <v>6193</v>
      </c>
      <c r="G1816" s="2266" t="s">
        <v>6197</v>
      </c>
      <c r="H1816" s="2436">
        <v>1280601</v>
      </c>
      <c r="I1816" s="2436">
        <v>0</v>
      </c>
      <c r="J1816" s="2446">
        <v>0</v>
      </c>
      <c r="K1816" s="2436">
        <v>0</v>
      </c>
      <c r="L1816" s="2436">
        <v>0</v>
      </c>
      <c r="M1816" s="2266">
        <v>599</v>
      </c>
    </row>
    <row r="1817" spans="1:13" ht="15">
      <c r="A1817" s="2266" t="s">
        <v>4357</v>
      </c>
      <c r="B1817" s="1694" t="str">
        <f>CONCATENATE(LEFT(RIGHT(CONCATENATE("000",IFAData_TEA!A1817),6),3),"-",(RIGHT(RIGHT(CONCATENATE("000",IFAData_TEA!A1817),6),3)))</f>
        <v>220-907</v>
      </c>
      <c r="C1817" s="2266" t="s">
        <v>452</v>
      </c>
      <c r="D1817" s="2266">
        <v>2</v>
      </c>
      <c r="E1817" s="2266">
        <v>1950</v>
      </c>
      <c r="F1817" s="2266" t="s">
        <v>6193</v>
      </c>
      <c r="G1817" s="2266" t="s">
        <v>6194</v>
      </c>
      <c r="H1817" s="2436">
        <v>1280601</v>
      </c>
      <c r="I1817" s="2436">
        <v>0</v>
      </c>
      <c r="J1817" s="2446">
        <v>0</v>
      </c>
      <c r="K1817" s="2436">
        <v>0</v>
      </c>
      <c r="L1817" s="2436">
        <v>0</v>
      </c>
      <c r="M1817" s="2266">
        <v>599</v>
      </c>
    </row>
    <row r="1818" spans="1:13" ht="15">
      <c r="A1818" s="2266" t="s">
        <v>4357</v>
      </c>
      <c r="B1818" s="1694" t="str">
        <f>CONCATENATE(LEFT(RIGHT(CONCATENATE("000",IFAData_TEA!A1818),6),3),"-",(RIGHT(RIGHT(CONCATENATE("000",IFAData_TEA!A1818),6),3)))</f>
        <v>220-907</v>
      </c>
      <c r="C1818" s="2266" t="s">
        <v>452</v>
      </c>
      <c r="D1818" s="2266">
        <v>2</v>
      </c>
      <c r="E1818" s="2266">
        <v>1950</v>
      </c>
      <c r="F1818" s="2266" t="s">
        <v>6193</v>
      </c>
      <c r="G1818" s="2266" t="s">
        <v>6203</v>
      </c>
      <c r="H1818" s="2436">
        <v>1280601</v>
      </c>
      <c r="I1818" s="2436">
        <v>0</v>
      </c>
      <c r="J1818" s="2446">
        <v>0</v>
      </c>
      <c r="K1818" s="2436">
        <v>0</v>
      </c>
      <c r="L1818" s="2436">
        <v>0</v>
      </c>
      <c r="M1818" s="2266">
        <v>599</v>
      </c>
    </row>
    <row r="1819" spans="1:13" ht="15">
      <c r="A1819" s="2266" t="s">
        <v>4357</v>
      </c>
      <c r="B1819" s="1694" t="str">
        <f>CONCATENATE(LEFT(RIGHT(CONCATENATE("000",IFAData_TEA!A1819),6),3),"-",(RIGHT(RIGHT(CONCATENATE("000",IFAData_TEA!A1819),6),3)))</f>
        <v>220-907</v>
      </c>
      <c r="C1819" s="2266" t="s">
        <v>452</v>
      </c>
      <c r="D1819" s="2266">
        <v>2</v>
      </c>
      <c r="E1819" s="2266">
        <v>1950</v>
      </c>
      <c r="F1819" s="2266" t="s">
        <v>6193</v>
      </c>
      <c r="G1819" s="2266" t="s">
        <v>6202</v>
      </c>
      <c r="H1819" s="2436">
        <v>1280601</v>
      </c>
      <c r="I1819" s="2436">
        <v>0</v>
      </c>
      <c r="J1819" s="2446">
        <v>0</v>
      </c>
      <c r="K1819" s="2436">
        <v>0</v>
      </c>
      <c r="L1819" s="2436">
        <v>0</v>
      </c>
      <c r="M1819" s="2266">
        <v>599</v>
      </c>
    </row>
    <row r="1820" spans="1:13" ht="15">
      <c r="A1820" s="2266" t="s">
        <v>4357</v>
      </c>
      <c r="B1820" s="1694" t="str">
        <f>CONCATENATE(LEFT(RIGHT(CONCATENATE("000",IFAData_TEA!A1820),6),3),"-",(RIGHT(RIGHT(CONCATENATE("000",IFAData_TEA!A1820),6),3)))</f>
        <v>220-907</v>
      </c>
      <c r="C1820" s="2266" t="s">
        <v>452</v>
      </c>
      <c r="D1820" s="2266">
        <v>2</v>
      </c>
      <c r="E1820" s="2266">
        <v>1950</v>
      </c>
      <c r="F1820" s="2266" t="s">
        <v>6193</v>
      </c>
      <c r="G1820" s="2266" t="s">
        <v>6201</v>
      </c>
      <c r="H1820" s="2436">
        <v>1280601</v>
      </c>
      <c r="I1820" s="2436">
        <v>0</v>
      </c>
      <c r="J1820" s="2446">
        <v>0</v>
      </c>
      <c r="K1820" s="2436">
        <v>0</v>
      </c>
      <c r="L1820" s="2436">
        <v>0</v>
      </c>
      <c r="M1820" s="2266">
        <v>599</v>
      </c>
    </row>
    <row r="1821" spans="1:13" ht="15">
      <c r="A1821" s="2266" t="s">
        <v>4357</v>
      </c>
      <c r="B1821" s="1694" t="str">
        <f>CONCATENATE(LEFT(RIGHT(CONCATENATE("000",IFAData_TEA!A1821),6),3),"-",(RIGHT(RIGHT(CONCATENATE("000",IFAData_TEA!A1821),6),3)))</f>
        <v>220-907</v>
      </c>
      <c r="C1821" s="2266" t="s">
        <v>452</v>
      </c>
      <c r="D1821" s="2266">
        <v>2</v>
      </c>
      <c r="E1821" s="2266">
        <v>1950</v>
      </c>
      <c r="F1821" s="2266" t="s">
        <v>6193</v>
      </c>
      <c r="G1821" s="2266" t="s">
        <v>6196</v>
      </c>
      <c r="H1821" s="2436">
        <v>1280601</v>
      </c>
      <c r="I1821" s="2436">
        <v>138846</v>
      </c>
      <c r="J1821" s="2446">
        <v>2.523521589044711E-2</v>
      </c>
      <c r="K1821" s="2436">
        <v>32316.242704522461</v>
      </c>
      <c r="L1821" s="2436">
        <v>32316.242704522461</v>
      </c>
      <c r="M1821" s="2266">
        <v>599</v>
      </c>
    </row>
    <row r="1822" spans="1:13" ht="15">
      <c r="A1822" s="2266" t="s">
        <v>4357</v>
      </c>
      <c r="B1822" s="1694" t="str">
        <f>CONCATENATE(LEFT(RIGHT(CONCATENATE("000",IFAData_TEA!A1822),6),3),"-",(RIGHT(RIGHT(CONCATENATE("000",IFAData_TEA!A1822),6),3)))</f>
        <v>220-907</v>
      </c>
      <c r="C1822" s="2266" t="s">
        <v>452</v>
      </c>
      <c r="D1822" s="2266">
        <v>2</v>
      </c>
      <c r="E1822" s="2266">
        <v>1950</v>
      </c>
      <c r="F1822" s="2266" t="s">
        <v>6193</v>
      </c>
      <c r="G1822" s="2266" t="s">
        <v>6195</v>
      </c>
      <c r="H1822" s="2436">
        <v>1280601</v>
      </c>
      <c r="I1822" s="2436">
        <v>985685</v>
      </c>
      <c r="J1822" s="2446">
        <v>0.1791479320612431</v>
      </c>
      <c r="K1822" s="2436">
        <v>229417.02094555998</v>
      </c>
      <c r="L1822" s="2436">
        <v>229417.02094555998</v>
      </c>
      <c r="M1822" s="2266">
        <v>599</v>
      </c>
    </row>
    <row r="1823" spans="1:13" ht="15">
      <c r="A1823" s="2266" t="s">
        <v>4357</v>
      </c>
      <c r="B1823" s="1694" t="str">
        <f>CONCATENATE(LEFT(RIGHT(CONCATENATE("000",IFAData_TEA!A1823),6),3),"-",(RIGHT(RIGHT(CONCATENATE("000",IFAData_TEA!A1823),6),3)))</f>
        <v>220-907</v>
      </c>
      <c r="C1823" s="2266" t="s">
        <v>452</v>
      </c>
      <c r="D1823" s="2266">
        <v>2</v>
      </c>
      <c r="E1823" s="2266">
        <v>1950</v>
      </c>
      <c r="F1823" s="2266" t="s">
        <v>6193</v>
      </c>
      <c r="G1823" s="2266" t="s">
        <v>6200</v>
      </c>
      <c r="H1823" s="2436">
        <v>1280601</v>
      </c>
      <c r="I1823" s="2436">
        <v>637101</v>
      </c>
      <c r="J1823" s="2446">
        <v>0.11579290205709739</v>
      </c>
      <c r="K1823" s="2436">
        <v>148284.50616722097</v>
      </c>
      <c r="L1823" s="2436">
        <v>148284.50616722097</v>
      </c>
      <c r="M1823" s="2266">
        <v>599</v>
      </c>
    </row>
    <row r="1824" spans="1:13" ht="15">
      <c r="A1824" s="2266" t="s">
        <v>4357</v>
      </c>
      <c r="B1824" s="1694" t="str">
        <f>CONCATENATE(LEFT(RIGHT(CONCATENATE("000",IFAData_TEA!A1824),6),3),"-",(RIGHT(RIGHT(CONCATENATE("000",IFAData_TEA!A1824),6),3)))</f>
        <v>220-907</v>
      </c>
      <c r="C1824" s="2266" t="s">
        <v>452</v>
      </c>
      <c r="D1824" s="2266">
        <v>10</v>
      </c>
      <c r="E1824" s="2266">
        <v>1951</v>
      </c>
      <c r="F1824" s="2266" t="s">
        <v>6206</v>
      </c>
      <c r="G1824" s="2266" t="s">
        <v>6206</v>
      </c>
      <c r="H1824" s="2436">
        <v>6801638</v>
      </c>
      <c r="I1824" s="2436">
        <v>8475778</v>
      </c>
      <c r="J1824" s="2446">
        <v>0.77505292051082775</v>
      </c>
      <c r="K1824" s="2436">
        <v>5271629.3961574258</v>
      </c>
      <c r="L1824" s="2436">
        <v>5271629.3961574258</v>
      </c>
      <c r="M1824" s="2266">
        <v>599</v>
      </c>
    </row>
    <row r="1825" spans="1:13" ht="15">
      <c r="A1825" s="2266" t="s">
        <v>4357</v>
      </c>
      <c r="B1825" s="1694" t="str">
        <f>CONCATENATE(LEFT(RIGHT(CONCATENATE("000",IFAData_TEA!A1825),6),3),"-",(RIGHT(RIGHT(CONCATENATE("000",IFAData_TEA!A1825),6),3)))</f>
        <v>220-907</v>
      </c>
      <c r="C1825" s="2266" t="s">
        <v>452</v>
      </c>
      <c r="D1825" s="2266">
        <v>2</v>
      </c>
      <c r="E1825" s="2266">
        <v>1950</v>
      </c>
      <c r="F1825" s="2266" t="s">
        <v>6193</v>
      </c>
      <c r="G1825" s="2266" t="s">
        <v>6199</v>
      </c>
      <c r="H1825" s="2436">
        <v>1280601</v>
      </c>
      <c r="I1825" s="2436">
        <v>1936828</v>
      </c>
      <c r="J1825" s="2446">
        <v>0.35201786672041613</v>
      </c>
      <c r="K1825" s="2436">
        <v>450794.4321400316</v>
      </c>
      <c r="L1825" s="2436">
        <v>450794.4321400316</v>
      </c>
      <c r="M1825" s="2266">
        <v>599</v>
      </c>
    </row>
    <row r="1826" spans="1:13" ht="15">
      <c r="A1826" s="2266" t="s">
        <v>4357</v>
      </c>
      <c r="B1826" s="1694" t="str">
        <f>CONCATENATE(LEFT(RIGHT(CONCATENATE("000",IFAData_TEA!A1826),6),3),"-",(RIGHT(RIGHT(CONCATENATE("000",IFAData_TEA!A1826),6),3)))</f>
        <v>220-907</v>
      </c>
      <c r="C1826" s="2266" t="s">
        <v>452</v>
      </c>
      <c r="D1826" s="2266">
        <v>2</v>
      </c>
      <c r="E1826" s="2266">
        <v>1950</v>
      </c>
      <c r="F1826" s="2266" t="s">
        <v>6193</v>
      </c>
      <c r="G1826" s="2266" t="s">
        <v>6193</v>
      </c>
      <c r="H1826" s="2436">
        <v>1280601</v>
      </c>
      <c r="I1826" s="2436">
        <v>0</v>
      </c>
      <c r="J1826" s="2446">
        <v>0</v>
      </c>
      <c r="K1826" s="2436">
        <v>0</v>
      </c>
      <c r="L1826" s="2436">
        <v>0</v>
      </c>
      <c r="M1826" s="2266">
        <v>599</v>
      </c>
    </row>
    <row r="1827" spans="1:13" ht="15">
      <c r="A1827" s="2266" t="s">
        <v>4357</v>
      </c>
      <c r="B1827" s="1694" t="str">
        <f>CONCATENATE(LEFT(RIGHT(CONCATENATE("000",IFAData_TEA!A1827),6),3),"-",(RIGHT(RIGHT(CONCATENATE("000",IFAData_TEA!A1827),6),3)))</f>
        <v>220-907</v>
      </c>
      <c r="C1827" s="2266" t="s">
        <v>452</v>
      </c>
      <c r="D1827" s="2266">
        <v>10</v>
      </c>
      <c r="E1827" s="2266">
        <v>1951</v>
      </c>
      <c r="F1827" s="2266" t="s">
        <v>6206</v>
      </c>
      <c r="G1827" s="2266" t="s">
        <v>7051</v>
      </c>
      <c r="H1827" s="2436">
        <v>6801638</v>
      </c>
      <c r="I1827" s="2436">
        <v>2459963</v>
      </c>
      <c r="J1827" s="2446">
        <v>0.22494707948917225</v>
      </c>
      <c r="K1827" s="2436">
        <v>1530008.6038425746</v>
      </c>
      <c r="L1827" s="2436">
        <v>1530008.6038425746</v>
      </c>
      <c r="M1827" s="2266">
        <v>599</v>
      </c>
    </row>
    <row r="1828" spans="1:13" ht="15">
      <c r="A1828" s="2266" t="s">
        <v>4357</v>
      </c>
      <c r="B1828" s="1694" t="str">
        <f>CONCATENATE(LEFT(RIGHT(CONCATENATE("000",IFAData_TEA!A1828),6),3),"-",(RIGHT(RIGHT(CONCATENATE("000",IFAData_TEA!A1828),6),3)))</f>
        <v>220-907</v>
      </c>
      <c r="C1828" s="2266" t="s">
        <v>452</v>
      </c>
      <c r="D1828" s="2266">
        <v>2</v>
      </c>
      <c r="E1828" s="2266">
        <v>1950</v>
      </c>
      <c r="F1828" s="2266" t="s">
        <v>6193</v>
      </c>
      <c r="G1828" s="2266" t="s">
        <v>7052</v>
      </c>
      <c r="H1828" s="2436">
        <v>1280601</v>
      </c>
      <c r="I1828" s="2436">
        <v>67894</v>
      </c>
      <c r="J1828" s="2446">
        <v>1.2339712686472899E-2</v>
      </c>
      <c r="K1828" s="2436">
        <v>15802.24840600988</v>
      </c>
      <c r="L1828" s="2436">
        <v>15802.24840600988</v>
      </c>
      <c r="M1828" s="2266">
        <v>599</v>
      </c>
    </row>
    <row r="1829" spans="1:13" ht="15">
      <c r="A1829" s="2266" t="s">
        <v>4358</v>
      </c>
      <c r="B1829" s="1694" t="str">
        <f>CONCATENATE(LEFT(RIGHT(CONCATENATE("000",IFAData_TEA!A1829),6),3),"-",(RIGHT(RIGHT(CONCATENATE("000",IFAData_TEA!A1829),6),3)))</f>
        <v>220-908</v>
      </c>
      <c r="C1829" s="2266" t="s">
        <v>321</v>
      </c>
      <c r="D1829" s="2266">
        <v>9</v>
      </c>
      <c r="E1829" s="2266">
        <v>2059</v>
      </c>
      <c r="F1829" s="2266" t="s">
        <v>6217</v>
      </c>
      <c r="G1829" s="2266" t="s">
        <v>7053</v>
      </c>
      <c r="H1829" s="2436">
        <v>3920147</v>
      </c>
      <c r="I1829" s="2436">
        <v>936921</v>
      </c>
      <c r="J1829" s="2446">
        <v>0.19155132239824485</v>
      </c>
      <c r="K1829" s="2436">
        <v>750909.34184551239</v>
      </c>
      <c r="L1829" s="2436">
        <v>750909.34184551239</v>
      </c>
      <c r="M1829" s="2266">
        <v>599</v>
      </c>
    </row>
    <row r="1830" spans="1:13" ht="15">
      <c r="A1830" s="2266" t="s">
        <v>4358</v>
      </c>
      <c r="B1830" s="1694" t="str">
        <f>CONCATENATE(LEFT(RIGHT(CONCATENATE("000",IFAData_TEA!A1830),6),3),"-",(RIGHT(RIGHT(CONCATENATE("000",IFAData_TEA!A1830),6),3)))</f>
        <v>220-908</v>
      </c>
      <c r="C1830" s="2266" t="s">
        <v>321</v>
      </c>
      <c r="D1830" s="2266">
        <v>6</v>
      </c>
      <c r="E1830" s="2266">
        <v>2057</v>
      </c>
      <c r="F1830" s="2266" t="s">
        <v>6211</v>
      </c>
      <c r="G1830" s="2266" t="s">
        <v>6212</v>
      </c>
      <c r="H1830" s="2436">
        <v>2346513</v>
      </c>
      <c r="I1830" s="2436">
        <v>536407</v>
      </c>
      <c r="J1830" s="2446">
        <v>0.1553264941148127</v>
      </c>
      <c r="K1830" s="2436">
        <v>364475.63768483151</v>
      </c>
      <c r="L1830" s="2436">
        <v>364475.63768483151</v>
      </c>
      <c r="M1830" s="2266">
        <v>599</v>
      </c>
    </row>
    <row r="1831" spans="1:13" ht="15">
      <c r="A1831" s="2266" t="s">
        <v>4358</v>
      </c>
      <c r="B1831" s="1694" t="str">
        <f>CONCATENATE(LEFT(RIGHT(CONCATENATE("000",IFAData_TEA!A1831),6),3),"-",(RIGHT(RIGHT(CONCATENATE("000",IFAData_TEA!A1831),6),3)))</f>
        <v>220-908</v>
      </c>
      <c r="C1831" s="2266" t="s">
        <v>321</v>
      </c>
      <c r="D1831" s="2266">
        <v>6</v>
      </c>
      <c r="E1831" s="2266">
        <v>2056</v>
      </c>
      <c r="F1831" s="2266" t="s">
        <v>6214</v>
      </c>
      <c r="G1831" s="2266" t="s">
        <v>6212</v>
      </c>
      <c r="H1831" s="2436">
        <v>2153875</v>
      </c>
      <c r="I1831" s="2436">
        <v>3809170</v>
      </c>
      <c r="J1831" s="2446">
        <v>0.68520616157947634</v>
      </c>
      <c r="K1831" s="2436">
        <v>1475848.4212719945</v>
      </c>
      <c r="L1831" s="2436">
        <v>1475848.4212719945</v>
      </c>
      <c r="M1831" s="2266">
        <v>599</v>
      </c>
    </row>
    <row r="1832" spans="1:13" ht="15">
      <c r="A1832" s="2266" t="s">
        <v>4358</v>
      </c>
      <c r="B1832" s="1694" t="str">
        <f>CONCATENATE(LEFT(RIGHT(CONCATENATE("000",IFAData_TEA!A1832),6),3),"-",(RIGHT(RIGHT(CONCATENATE("000",IFAData_TEA!A1832),6),3)))</f>
        <v>220-908</v>
      </c>
      <c r="C1832" s="2266" t="s">
        <v>321</v>
      </c>
      <c r="D1832" s="2266">
        <v>9</v>
      </c>
      <c r="E1832" s="2266">
        <v>2060</v>
      </c>
      <c r="F1832" s="2266" t="s">
        <v>6215</v>
      </c>
      <c r="G1832" s="2266" t="s">
        <v>6216</v>
      </c>
      <c r="H1832" s="2436">
        <v>4155279</v>
      </c>
      <c r="I1832" s="2436">
        <v>3823066</v>
      </c>
      <c r="J1832" s="2446">
        <v>0.58558068827135679</v>
      </c>
      <c r="K1832" s="2436">
        <v>2433251.1367795151</v>
      </c>
      <c r="L1832" s="2436">
        <v>2433251.1367795151</v>
      </c>
      <c r="M1832" s="2266">
        <v>599</v>
      </c>
    </row>
    <row r="1833" spans="1:13" ht="15">
      <c r="A1833" s="2266" t="s">
        <v>4358</v>
      </c>
      <c r="B1833" s="1694" t="str">
        <f>CONCATENATE(LEFT(RIGHT(CONCATENATE("000",IFAData_TEA!A1833),6),3),"-",(RIGHT(RIGHT(CONCATENATE("000",IFAData_TEA!A1833),6),3)))</f>
        <v>220-908</v>
      </c>
      <c r="C1833" s="2266" t="s">
        <v>321</v>
      </c>
      <c r="D1833" s="2266">
        <v>9</v>
      </c>
      <c r="E1833" s="2266">
        <v>2060</v>
      </c>
      <c r="F1833" s="2266" t="s">
        <v>6215</v>
      </c>
      <c r="G1833" s="2266" t="s">
        <v>6215</v>
      </c>
      <c r="H1833" s="2436">
        <v>4155279</v>
      </c>
      <c r="I1833" s="2436">
        <v>2705609</v>
      </c>
      <c r="J1833" s="2446">
        <v>0.41441931172864327</v>
      </c>
      <c r="K1833" s="2436">
        <v>1722027.8632204852</v>
      </c>
      <c r="L1833" s="2436">
        <v>1722027.8632204852</v>
      </c>
      <c r="M1833" s="2266">
        <v>599</v>
      </c>
    </row>
    <row r="1834" spans="1:13" ht="15">
      <c r="A1834" s="2266" t="s">
        <v>4358</v>
      </c>
      <c r="B1834" s="1694" t="str">
        <f>CONCATENATE(LEFT(RIGHT(CONCATENATE("000",IFAData_TEA!A1834),6),3),"-",(RIGHT(RIGHT(CONCATENATE("000",IFAData_TEA!A1834),6),3)))</f>
        <v>220-908</v>
      </c>
      <c r="C1834" s="2266" t="s">
        <v>321</v>
      </c>
      <c r="D1834" s="2266">
        <v>1</v>
      </c>
      <c r="E1834" s="2266">
        <v>2058</v>
      </c>
      <c r="F1834" s="2266" t="s">
        <v>6207</v>
      </c>
      <c r="G1834" s="2266" t="s">
        <v>6210</v>
      </c>
      <c r="H1834" s="2436">
        <v>2772030</v>
      </c>
      <c r="I1834" s="2436">
        <v>716137</v>
      </c>
      <c r="J1834" s="2446">
        <v>0.50107998463462089</v>
      </c>
      <c r="K1834" s="2436">
        <v>1389008.7498067082</v>
      </c>
      <c r="L1834" s="2436">
        <v>716137</v>
      </c>
      <c r="M1834" s="2266">
        <v>599</v>
      </c>
    </row>
    <row r="1835" spans="1:13" ht="15">
      <c r="A1835" s="2266" t="s">
        <v>4358</v>
      </c>
      <c r="B1835" s="1694" t="str">
        <f>CONCATENATE(LEFT(RIGHT(CONCATENATE("000",IFAData_TEA!A1835),6),3),"-",(RIGHT(RIGHT(CONCATENATE("000",IFAData_TEA!A1835),6),3)))</f>
        <v>220-908</v>
      </c>
      <c r="C1835" s="2266" t="s">
        <v>321</v>
      </c>
      <c r="D1835" s="2266">
        <v>6</v>
      </c>
      <c r="E1835" s="2266">
        <v>2057</v>
      </c>
      <c r="F1835" s="2266" t="s">
        <v>6211</v>
      </c>
      <c r="G1835" s="2266" t="s">
        <v>6211</v>
      </c>
      <c r="H1835" s="2436">
        <v>2346513</v>
      </c>
      <c r="I1835" s="2436">
        <v>0</v>
      </c>
      <c r="J1835" s="2446">
        <v>0</v>
      </c>
      <c r="K1835" s="2436">
        <v>0</v>
      </c>
      <c r="L1835" s="2436">
        <v>0</v>
      </c>
      <c r="M1835" s="2266">
        <v>599</v>
      </c>
    </row>
    <row r="1836" spans="1:13" ht="15">
      <c r="A1836" s="2266" t="s">
        <v>4358</v>
      </c>
      <c r="B1836" s="1694" t="str">
        <f>CONCATENATE(LEFT(RIGHT(CONCATENATE("000",IFAData_TEA!A1836),6),3),"-",(RIGHT(RIGHT(CONCATENATE("000",IFAData_TEA!A1836),6),3)))</f>
        <v>220-908</v>
      </c>
      <c r="C1836" s="2266" t="s">
        <v>321</v>
      </c>
      <c r="D1836" s="2266">
        <v>10</v>
      </c>
      <c r="E1836" s="2266">
        <v>2061</v>
      </c>
      <c r="F1836" s="2266" t="s">
        <v>6218</v>
      </c>
      <c r="G1836" s="2266" t="s">
        <v>6218</v>
      </c>
      <c r="H1836" s="2436">
        <v>4627576</v>
      </c>
      <c r="I1836" s="2436">
        <v>2321250</v>
      </c>
      <c r="J1836" s="2446">
        <v>1</v>
      </c>
      <c r="K1836" s="2436">
        <v>4627576</v>
      </c>
      <c r="L1836" s="2436">
        <v>2321250</v>
      </c>
      <c r="M1836" s="2266">
        <v>599</v>
      </c>
    </row>
    <row r="1837" spans="1:13" ht="15">
      <c r="A1837" s="2266" t="s">
        <v>4358</v>
      </c>
      <c r="B1837" s="1694" t="str">
        <f>CONCATENATE(LEFT(RIGHT(CONCATENATE("000",IFAData_TEA!A1837),6),3),"-",(RIGHT(RIGHT(CONCATENATE("000",IFAData_TEA!A1837),6),3)))</f>
        <v>220-908</v>
      </c>
      <c r="C1837" s="2266" t="s">
        <v>321</v>
      </c>
      <c r="D1837" s="2266">
        <v>1</v>
      </c>
      <c r="E1837" s="2266">
        <v>2058</v>
      </c>
      <c r="F1837" s="2266" t="s">
        <v>6207</v>
      </c>
      <c r="G1837" s="2266" t="s">
        <v>6207</v>
      </c>
      <c r="H1837" s="2436">
        <v>2772030</v>
      </c>
      <c r="I1837" s="2436">
        <v>0</v>
      </c>
      <c r="J1837" s="2446">
        <v>0</v>
      </c>
      <c r="K1837" s="2436">
        <v>0</v>
      </c>
      <c r="L1837" s="2436">
        <v>0</v>
      </c>
      <c r="M1837" s="2266">
        <v>599</v>
      </c>
    </row>
    <row r="1838" spans="1:13" ht="15">
      <c r="A1838" s="2266" t="s">
        <v>4358</v>
      </c>
      <c r="B1838" s="1694" t="str">
        <f>CONCATENATE(LEFT(RIGHT(CONCATENATE("000",IFAData_TEA!A1838),6),3),"-",(RIGHT(RIGHT(CONCATENATE("000",IFAData_TEA!A1838),6),3)))</f>
        <v>220-908</v>
      </c>
      <c r="C1838" s="2266" t="s">
        <v>321</v>
      </c>
      <c r="D1838" s="2266">
        <v>6</v>
      </c>
      <c r="E1838" s="2266">
        <v>2056</v>
      </c>
      <c r="F1838" s="2266" t="s">
        <v>6214</v>
      </c>
      <c r="G1838" s="2266" t="s">
        <v>6209</v>
      </c>
      <c r="H1838" s="2436">
        <v>2153875</v>
      </c>
      <c r="I1838" s="2436">
        <v>1683024</v>
      </c>
      <c r="J1838" s="2446">
        <v>0.30274795162361789</v>
      </c>
      <c r="K1838" s="2436">
        <v>652081.24430331995</v>
      </c>
      <c r="L1838" s="2436">
        <v>652081.24430331995</v>
      </c>
      <c r="M1838" s="2266">
        <v>599</v>
      </c>
    </row>
    <row r="1839" spans="1:13" ht="15">
      <c r="A1839" s="2266" t="s">
        <v>4358</v>
      </c>
      <c r="B1839" s="1694" t="str">
        <f>CONCATENATE(LEFT(RIGHT(CONCATENATE("000",IFAData_TEA!A1839),6),3),"-",(RIGHT(RIGHT(CONCATENATE("000",IFAData_TEA!A1839),6),3)))</f>
        <v>220-908</v>
      </c>
      <c r="C1839" s="2266" t="s">
        <v>321</v>
      </c>
      <c r="D1839" s="2266">
        <v>1</v>
      </c>
      <c r="E1839" s="2266">
        <v>2058</v>
      </c>
      <c r="F1839" s="2266" t="s">
        <v>6207</v>
      </c>
      <c r="G1839" s="2266" t="s">
        <v>6209</v>
      </c>
      <c r="H1839" s="2436">
        <v>2772030</v>
      </c>
      <c r="I1839" s="2436">
        <v>713050</v>
      </c>
      <c r="J1839" s="2446">
        <v>0.49892001536537905</v>
      </c>
      <c r="K1839" s="2436">
        <v>1383021.2501932918</v>
      </c>
      <c r="L1839" s="2436">
        <v>713050</v>
      </c>
      <c r="M1839" s="2266">
        <v>599</v>
      </c>
    </row>
    <row r="1840" spans="1:13" ht="15">
      <c r="A1840" s="2266" t="s">
        <v>4358</v>
      </c>
      <c r="B1840" s="1694" t="str">
        <f>CONCATENATE(LEFT(RIGHT(CONCATENATE("000",IFAData_TEA!A1840),6),3),"-",(RIGHT(RIGHT(CONCATENATE("000",IFAData_TEA!A1840),6),3)))</f>
        <v>220-908</v>
      </c>
      <c r="C1840" s="2266" t="s">
        <v>321</v>
      </c>
      <c r="D1840" s="2266">
        <v>6</v>
      </c>
      <c r="E1840" s="2266">
        <v>2057</v>
      </c>
      <c r="F1840" s="2266" t="s">
        <v>6211</v>
      </c>
      <c r="G1840" s="2266" t="s">
        <v>6213</v>
      </c>
      <c r="H1840" s="2436">
        <v>2346513</v>
      </c>
      <c r="I1840" s="2436">
        <v>2917009</v>
      </c>
      <c r="J1840" s="2446">
        <v>0.8446735058851873</v>
      </c>
      <c r="K1840" s="2436">
        <v>1982037.3623151686</v>
      </c>
      <c r="L1840" s="2436">
        <v>1982037.3623151686</v>
      </c>
      <c r="M1840" s="2266">
        <v>599</v>
      </c>
    </row>
    <row r="1841" spans="1:13" ht="15">
      <c r="A1841" s="2266" t="s">
        <v>4358</v>
      </c>
      <c r="B1841" s="1694" t="str">
        <f>CONCATENATE(LEFT(RIGHT(CONCATENATE("000",IFAData_TEA!A1841),6),3),"-",(RIGHT(RIGHT(CONCATENATE("000",IFAData_TEA!A1841),6),3)))</f>
        <v>220-908</v>
      </c>
      <c r="C1841" s="2266" t="s">
        <v>321</v>
      </c>
      <c r="D1841" s="2266">
        <v>1</v>
      </c>
      <c r="E1841" s="2266">
        <v>2058</v>
      </c>
      <c r="F1841" s="2266" t="s">
        <v>6207</v>
      </c>
      <c r="G1841" s="2266" t="s">
        <v>6208</v>
      </c>
      <c r="H1841" s="2436">
        <v>2772030</v>
      </c>
      <c r="I1841" s="2436">
        <v>0</v>
      </c>
      <c r="J1841" s="2446">
        <v>0</v>
      </c>
      <c r="K1841" s="2436">
        <v>0</v>
      </c>
      <c r="L1841" s="2436">
        <v>0</v>
      </c>
      <c r="M1841" s="2266">
        <v>599</v>
      </c>
    </row>
    <row r="1842" spans="1:13" ht="15">
      <c r="A1842" s="2266" t="s">
        <v>4358</v>
      </c>
      <c r="B1842" s="1694" t="str">
        <f>CONCATENATE(LEFT(RIGHT(CONCATENATE("000",IFAData_TEA!A1842),6),3),"-",(RIGHT(RIGHT(CONCATENATE("000",IFAData_TEA!A1842),6),3)))</f>
        <v>220-908</v>
      </c>
      <c r="C1842" s="2266" t="s">
        <v>321</v>
      </c>
      <c r="D1842" s="2266">
        <v>9</v>
      </c>
      <c r="E1842" s="2266">
        <v>2059</v>
      </c>
      <c r="F1842" s="2266" t="s">
        <v>6217</v>
      </c>
      <c r="G1842" s="2266" t="s">
        <v>6217</v>
      </c>
      <c r="H1842" s="2436">
        <v>3920147</v>
      </c>
      <c r="I1842" s="2436">
        <v>3954306</v>
      </c>
      <c r="J1842" s="2446">
        <v>0.80844867760175509</v>
      </c>
      <c r="K1842" s="2436">
        <v>3169237.6581544876</v>
      </c>
      <c r="L1842" s="2436">
        <v>3169237.6581544876</v>
      </c>
      <c r="M1842" s="2266">
        <v>599</v>
      </c>
    </row>
    <row r="1843" spans="1:13" ht="15">
      <c r="A1843" s="2266" t="s">
        <v>4358</v>
      </c>
      <c r="B1843" s="1694" t="str">
        <f>CONCATENATE(LEFT(RIGHT(CONCATENATE("000",IFAData_TEA!A1843),6),3),"-",(RIGHT(RIGHT(CONCATENATE("000",IFAData_TEA!A1843),6),3)))</f>
        <v>220-908</v>
      </c>
      <c r="C1843" s="2266" t="s">
        <v>321</v>
      </c>
      <c r="D1843" s="2266">
        <v>6</v>
      </c>
      <c r="E1843" s="2266">
        <v>2056</v>
      </c>
      <c r="F1843" s="2266" t="s">
        <v>6214</v>
      </c>
      <c r="G1843" s="2266" t="s">
        <v>6214</v>
      </c>
      <c r="H1843" s="2436">
        <v>2153875</v>
      </c>
      <c r="I1843" s="2436">
        <v>66965</v>
      </c>
      <c r="J1843" s="2446">
        <v>1.2045886796905792E-2</v>
      </c>
      <c r="K1843" s="2436">
        <v>25945.334424685461</v>
      </c>
      <c r="L1843" s="2436">
        <v>25945.334424685461</v>
      </c>
      <c r="M1843" s="2266">
        <v>599</v>
      </c>
    </row>
    <row r="1844" spans="1:13" ht="15">
      <c r="A1844" s="2266" t="s">
        <v>4359</v>
      </c>
      <c r="B1844" s="1694" t="str">
        <f>CONCATENATE(LEFT(RIGHT(CONCATENATE("000",IFAData_TEA!A1844),6),3),"-",(RIGHT(RIGHT(CONCATENATE("000",IFAData_TEA!A1844),6),3)))</f>
        <v>220-910</v>
      </c>
      <c r="C1844" s="2266" t="s">
        <v>2624</v>
      </c>
      <c r="D1844" s="2266">
        <v>5</v>
      </c>
      <c r="E1844" s="2266">
        <v>2001</v>
      </c>
      <c r="F1844" s="2266" t="s">
        <v>6221</v>
      </c>
      <c r="G1844" s="2266" t="s">
        <v>6222</v>
      </c>
      <c r="H1844" s="2436">
        <v>464180</v>
      </c>
      <c r="I1844" s="2436">
        <v>646725</v>
      </c>
      <c r="J1844" s="2446">
        <v>1</v>
      </c>
      <c r="K1844" s="2436">
        <v>464180</v>
      </c>
      <c r="L1844" s="2436">
        <v>464180</v>
      </c>
      <c r="M1844" s="2266">
        <v>599</v>
      </c>
    </row>
    <row r="1845" spans="1:13" ht="15">
      <c r="A1845" s="2266" t="s">
        <v>4359</v>
      </c>
      <c r="B1845" s="1694" t="str">
        <f>CONCATENATE(LEFT(RIGHT(CONCATENATE("000",IFAData_TEA!A1845),6),3),"-",(RIGHT(RIGHT(CONCATENATE("000",IFAData_TEA!A1845),6),3)))</f>
        <v>220-910</v>
      </c>
      <c r="C1845" s="2266" t="s">
        <v>2624</v>
      </c>
      <c r="D1845" s="2266">
        <v>9</v>
      </c>
      <c r="E1845" s="2266">
        <v>1999</v>
      </c>
      <c r="F1845" s="2266" t="s">
        <v>6223</v>
      </c>
      <c r="G1845" s="2266" t="s">
        <v>7054</v>
      </c>
      <c r="H1845" s="2436">
        <v>335046</v>
      </c>
      <c r="I1845" s="2436">
        <v>161852</v>
      </c>
      <c r="J1845" s="2446">
        <v>0.49139127134724858</v>
      </c>
      <c r="K1845" s="2436">
        <v>164638.67989981026</v>
      </c>
      <c r="L1845" s="2436">
        <v>161852</v>
      </c>
      <c r="M1845" s="2266">
        <v>599</v>
      </c>
    </row>
    <row r="1846" spans="1:13" ht="15">
      <c r="A1846" s="2266" t="s">
        <v>4359</v>
      </c>
      <c r="B1846" s="1694" t="str">
        <f>CONCATENATE(LEFT(RIGHT(CONCATENATE("000",IFAData_TEA!A1846),6),3),"-",(RIGHT(RIGHT(CONCATENATE("000",IFAData_TEA!A1846),6),3)))</f>
        <v>220-910</v>
      </c>
      <c r="C1846" s="2266" t="s">
        <v>2624</v>
      </c>
      <c r="D1846" s="2266">
        <v>9</v>
      </c>
      <c r="E1846" s="2266">
        <v>1999</v>
      </c>
      <c r="F1846" s="2266" t="s">
        <v>6223</v>
      </c>
      <c r="G1846" s="2266" t="s">
        <v>6223</v>
      </c>
      <c r="H1846" s="2436">
        <v>335046</v>
      </c>
      <c r="I1846" s="2436">
        <v>167523</v>
      </c>
      <c r="J1846" s="2446">
        <v>0.50860872865275142</v>
      </c>
      <c r="K1846" s="2436">
        <v>170407.32010018974</v>
      </c>
      <c r="L1846" s="2436">
        <v>167523</v>
      </c>
      <c r="M1846" s="2266">
        <v>599</v>
      </c>
    </row>
    <row r="1847" spans="1:13" ht="15">
      <c r="A1847" s="2266" t="s">
        <v>4359</v>
      </c>
      <c r="B1847" s="1694" t="str">
        <f>CONCATENATE(LEFT(RIGHT(CONCATENATE("000",IFAData_TEA!A1847),6),3),"-",(RIGHT(RIGHT(CONCATENATE("000",IFAData_TEA!A1847),6),3)))</f>
        <v>220-910</v>
      </c>
      <c r="C1847" s="2266" t="s">
        <v>2624</v>
      </c>
      <c r="D1847" s="2266">
        <v>5</v>
      </c>
      <c r="E1847" s="2266">
        <v>2001</v>
      </c>
      <c r="F1847" s="2266" t="s">
        <v>6221</v>
      </c>
      <c r="G1847" s="2266" t="s">
        <v>6221</v>
      </c>
      <c r="H1847" s="2436">
        <v>464180</v>
      </c>
      <c r="I1847" s="2436">
        <v>0</v>
      </c>
      <c r="J1847" s="2446">
        <v>0</v>
      </c>
      <c r="K1847" s="2436">
        <v>0</v>
      </c>
      <c r="L1847" s="2436">
        <v>0</v>
      </c>
      <c r="M1847" s="2266">
        <v>599</v>
      </c>
    </row>
    <row r="1848" spans="1:13" ht="15">
      <c r="A1848" s="2266" t="s">
        <v>4359</v>
      </c>
      <c r="B1848" s="1694" t="str">
        <f>CONCATENATE(LEFT(RIGHT(CONCATENATE("000",IFAData_TEA!A1848),6),3),"-",(RIGHT(RIGHT(CONCATENATE("000",IFAData_TEA!A1848),6),3)))</f>
        <v>220-910</v>
      </c>
      <c r="C1848" s="2266" t="s">
        <v>2624</v>
      </c>
      <c r="D1848" s="2266">
        <v>2</v>
      </c>
      <c r="E1848" s="2266">
        <v>2000</v>
      </c>
      <c r="F1848" s="2266" t="s">
        <v>6219</v>
      </c>
      <c r="G1848" s="2266" t="s">
        <v>6220</v>
      </c>
      <c r="H1848" s="2436">
        <v>425000</v>
      </c>
      <c r="I1848" s="2436">
        <v>395231</v>
      </c>
      <c r="J1848" s="2446">
        <v>1</v>
      </c>
      <c r="K1848" s="2436">
        <v>425000</v>
      </c>
      <c r="L1848" s="2436">
        <v>395231</v>
      </c>
      <c r="M1848" s="2266">
        <v>599</v>
      </c>
    </row>
    <row r="1849" spans="1:13" ht="15">
      <c r="A1849" s="2266" t="s">
        <v>4359</v>
      </c>
      <c r="B1849" s="1694" t="str">
        <f>CONCATENATE(LEFT(RIGHT(CONCATENATE("000",IFAData_TEA!A1849),6),3),"-",(RIGHT(RIGHT(CONCATENATE("000",IFAData_TEA!A1849),6),3)))</f>
        <v>220-910</v>
      </c>
      <c r="C1849" s="2266" t="s">
        <v>2624</v>
      </c>
      <c r="D1849" s="2266">
        <v>9</v>
      </c>
      <c r="E1849" s="2266">
        <v>1998</v>
      </c>
      <c r="F1849" s="2266" t="s">
        <v>6224</v>
      </c>
      <c r="G1849" s="2266" t="s">
        <v>6224</v>
      </c>
      <c r="H1849" s="2436">
        <v>83579</v>
      </c>
      <c r="I1849" s="2436">
        <v>513775</v>
      </c>
      <c r="J1849" s="2446">
        <v>1</v>
      </c>
      <c r="K1849" s="2436">
        <v>83579</v>
      </c>
      <c r="L1849" s="2436">
        <v>83579</v>
      </c>
      <c r="M1849" s="2266">
        <v>599</v>
      </c>
    </row>
    <row r="1850" spans="1:13" ht="15">
      <c r="A1850" s="2266" t="s">
        <v>4359</v>
      </c>
      <c r="B1850" s="1694" t="str">
        <f>CONCATENATE(LEFT(RIGHT(CONCATENATE("000",IFAData_TEA!A1850),6),3),"-",(RIGHT(RIGHT(CONCATENATE("000",IFAData_TEA!A1850),6),3)))</f>
        <v>220-910</v>
      </c>
      <c r="C1850" s="2266" t="s">
        <v>2624</v>
      </c>
      <c r="D1850" s="2266">
        <v>2</v>
      </c>
      <c r="E1850" s="2266">
        <v>2000</v>
      </c>
      <c r="F1850" s="2266" t="s">
        <v>6219</v>
      </c>
      <c r="G1850" s="2266" t="s">
        <v>6219</v>
      </c>
      <c r="H1850" s="2436">
        <v>425000</v>
      </c>
      <c r="I1850" s="2436">
        <v>0</v>
      </c>
      <c r="J1850" s="2446">
        <v>0</v>
      </c>
      <c r="K1850" s="2436">
        <v>0</v>
      </c>
      <c r="L1850" s="2436">
        <v>0</v>
      </c>
      <c r="M1850" s="2266">
        <v>599</v>
      </c>
    </row>
    <row r="1851" spans="1:13" ht="15">
      <c r="A1851" s="2266" t="s">
        <v>4360</v>
      </c>
      <c r="B1851" s="1694" t="str">
        <f>CONCATENATE(LEFT(RIGHT(CONCATENATE("000",IFAData_TEA!A1851),6),3),"-",(RIGHT(RIGHT(CONCATENATE("000",IFAData_TEA!A1851),6),3)))</f>
        <v>220-912</v>
      </c>
      <c r="C1851" s="2266" t="s">
        <v>459</v>
      </c>
      <c r="D1851" s="2266">
        <v>1</v>
      </c>
      <c r="E1851" s="2266">
        <v>1733</v>
      </c>
      <c r="F1851" s="2266" t="s">
        <v>6225</v>
      </c>
      <c r="G1851" s="2266" t="s">
        <v>6227</v>
      </c>
      <c r="H1851" s="2436">
        <v>1863688</v>
      </c>
      <c r="I1851" s="2436">
        <v>377211</v>
      </c>
      <c r="J1851" s="2446">
        <v>0.16653583771441086</v>
      </c>
      <c r="K1851" s="2436">
        <v>310370.84231829492</v>
      </c>
      <c r="L1851" s="2436">
        <v>310370.84231829492</v>
      </c>
      <c r="M1851" s="2266">
        <v>599</v>
      </c>
    </row>
    <row r="1852" spans="1:13" ht="15">
      <c r="A1852" s="2266" t="s">
        <v>4360</v>
      </c>
      <c r="B1852" s="1694" t="str">
        <f>CONCATENATE(LEFT(RIGHT(CONCATENATE("000",IFAData_TEA!A1852),6),3),"-",(RIGHT(RIGHT(CONCATENATE("000",IFAData_TEA!A1852),6),3)))</f>
        <v>220-912</v>
      </c>
      <c r="C1852" s="2266" t="s">
        <v>459</v>
      </c>
      <c r="D1852" s="2266">
        <v>1</v>
      </c>
      <c r="E1852" s="2266">
        <v>1733</v>
      </c>
      <c r="F1852" s="2266" t="s">
        <v>6225</v>
      </c>
      <c r="G1852" s="2266" t="s">
        <v>6225</v>
      </c>
      <c r="H1852" s="2436">
        <v>1863688</v>
      </c>
      <c r="I1852" s="2436">
        <v>0</v>
      </c>
      <c r="J1852" s="2446">
        <v>0</v>
      </c>
      <c r="K1852" s="2436">
        <v>0</v>
      </c>
      <c r="L1852" s="2436">
        <v>0</v>
      </c>
      <c r="M1852" s="2266">
        <v>599</v>
      </c>
    </row>
    <row r="1853" spans="1:13" ht="15">
      <c r="A1853" s="2266" t="s">
        <v>4360</v>
      </c>
      <c r="B1853" s="1694" t="str">
        <f>CONCATENATE(LEFT(RIGHT(CONCATENATE("000",IFAData_TEA!A1853),6),3),"-",(RIGHT(RIGHT(CONCATENATE("000",IFAData_TEA!A1853),6),3)))</f>
        <v>220-912</v>
      </c>
      <c r="C1853" s="2266" t="s">
        <v>459</v>
      </c>
      <c r="D1853" s="2266">
        <v>1</v>
      </c>
      <c r="E1853" s="2266">
        <v>1733</v>
      </c>
      <c r="F1853" s="2266" t="s">
        <v>6225</v>
      </c>
      <c r="G1853" s="2266" t="s">
        <v>6226</v>
      </c>
      <c r="H1853" s="2436">
        <v>1863688</v>
      </c>
      <c r="I1853" s="2436">
        <v>1484921</v>
      </c>
      <c r="J1853" s="2446">
        <v>0.65558152512710566</v>
      </c>
      <c r="K1853" s="2436">
        <v>1221799.4214010853</v>
      </c>
      <c r="L1853" s="2436">
        <v>1221799.4214010853</v>
      </c>
      <c r="M1853" s="2266">
        <v>599</v>
      </c>
    </row>
    <row r="1854" spans="1:13" ht="15">
      <c r="A1854" s="2266" t="s">
        <v>4360</v>
      </c>
      <c r="B1854" s="1694" t="str">
        <f>CONCATENATE(LEFT(RIGHT(CONCATENATE("000",IFAData_TEA!A1854),6),3),"-",(RIGHT(RIGHT(CONCATENATE("000",IFAData_TEA!A1854),6),3)))</f>
        <v>220-912</v>
      </c>
      <c r="C1854" s="2266" t="s">
        <v>459</v>
      </c>
      <c r="D1854" s="2266">
        <v>10</v>
      </c>
      <c r="E1854" s="2266">
        <v>1734</v>
      </c>
      <c r="F1854" s="2266" t="s">
        <v>6229</v>
      </c>
      <c r="G1854" s="2266" t="s">
        <v>6229</v>
      </c>
      <c r="H1854" s="2436">
        <v>3735112</v>
      </c>
      <c r="I1854" s="2436">
        <v>4239445</v>
      </c>
      <c r="J1854" s="2446">
        <v>1</v>
      </c>
      <c r="K1854" s="2436">
        <v>3735112</v>
      </c>
      <c r="L1854" s="2436">
        <v>3735112</v>
      </c>
      <c r="M1854" s="2266">
        <v>599</v>
      </c>
    </row>
    <row r="1855" spans="1:13" ht="15">
      <c r="A1855" s="2266" t="s">
        <v>4360</v>
      </c>
      <c r="B1855" s="1694" t="str">
        <f>CONCATENATE(LEFT(RIGHT(CONCATENATE("000",IFAData_TEA!A1855),6),3),"-",(RIGHT(RIGHT(CONCATENATE("000",IFAData_TEA!A1855),6),3)))</f>
        <v>220-912</v>
      </c>
      <c r="C1855" s="2266" t="s">
        <v>459</v>
      </c>
      <c r="D1855" s="2266">
        <v>9</v>
      </c>
      <c r="E1855" s="2266">
        <v>1735</v>
      </c>
      <c r="F1855" s="2266" t="s">
        <v>6228</v>
      </c>
      <c r="G1855" s="2266" t="s">
        <v>6228</v>
      </c>
      <c r="H1855" s="2436">
        <v>3761388</v>
      </c>
      <c r="I1855" s="2436">
        <v>3366388</v>
      </c>
      <c r="J1855" s="2446">
        <v>1</v>
      </c>
      <c r="K1855" s="2436">
        <v>3761388</v>
      </c>
      <c r="L1855" s="2436">
        <v>3366388</v>
      </c>
      <c r="M1855" s="2266">
        <v>599</v>
      </c>
    </row>
    <row r="1856" spans="1:13" ht="15">
      <c r="A1856" s="2266" t="s">
        <v>4360</v>
      </c>
      <c r="B1856" s="1694" t="str">
        <f>CONCATENATE(LEFT(RIGHT(CONCATENATE("000",IFAData_TEA!A1856),6),3),"-",(RIGHT(RIGHT(CONCATENATE("000",IFAData_TEA!A1856),6),3)))</f>
        <v>220-912</v>
      </c>
      <c r="C1856" s="2266" t="s">
        <v>459</v>
      </c>
      <c r="D1856" s="2266">
        <v>9</v>
      </c>
      <c r="E1856" s="2266">
        <v>1735</v>
      </c>
      <c r="F1856" s="2266" t="s">
        <v>6228</v>
      </c>
      <c r="G1856" s="2266" t="s">
        <v>7055</v>
      </c>
      <c r="H1856" s="2436">
        <v>3761388</v>
      </c>
      <c r="I1856" s="2436">
        <v>0</v>
      </c>
      <c r="J1856" s="2446">
        <v>0</v>
      </c>
      <c r="K1856" s="2436">
        <v>0</v>
      </c>
      <c r="L1856" s="2436">
        <v>0</v>
      </c>
      <c r="M1856" s="2266">
        <v>599</v>
      </c>
    </row>
    <row r="1857" spans="1:13" ht="15">
      <c r="A1857" s="2266" t="s">
        <v>4360</v>
      </c>
      <c r="B1857" s="1694" t="str">
        <f>CONCATENATE(LEFT(RIGHT(CONCATENATE("000",IFAData_TEA!A1857),6),3),"-",(RIGHT(RIGHT(CONCATENATE("000",IFAData_TEA!A1857),6),3)))</f>
        <v>220-912</v>
      </c>
      <c r="C1857" s="2266" t="s">
        <v>459</v>
      </c>
      <c r="D1857" s="2266">
        <v>1</v>
      </c>
      <c r="E1857" s="2266">
        <v>1733</v>
      </c>
      <c r="F1857" s="2266" t="s">
        <v>6225</v>
      </c>
      <c r="G1857" s="2266" t="s">
        <v>7056</v>
      </c>
      <c r="H1857" s="2436">
        <v>1863688</v>
      </c>
      <c r="I1857" s="2436">
        <v>402912</v>
      </c>
      <c r="J1857" s="2446">
        <v>0.17788263715848346</v>
      </c>
      <c r="K1857" s="2436">
        <v>331517.73628061975</v>
      </c>
      <c r="L1857" s="2436">
        <v>331517.73628061975</v>
      </c>
      <c r="M1857" s="2266">
        <v>599</v>
      </c>
    </row>
    <row r="1858" spans="1:13" ht="15">
      <c r="A1858" s="2266" t="s">
        <v>4361</v>
      </c>
      <c r="B1858" s="1694" t="str">
        <f>CONCATENATE(LEFT(RIGHT(CONCATENATE("000",IFAData_TEA!A1858),6),3),"-",(RIGHT(RIGHT(CONCATENATE("000",IFAData_TEA!A1858),6),3)))</f>
        <v>220-914</v>
      </c>
      <c r="C1858" s="2266" t="s">
        <v>2876</v>
      </c>
      <c r="D1858" s="2266">
        <v>1</v>
      </c>
      <c r="E1858" s="2266">
        <v>1955</v>
      </c>
      <c r="F1858" s="2266" t="s">
        <v>6230</v>
      </c>
      <c r="G1858" s="2266" t="s">
        <v>7057</v>
      </c>
      <c r="H1858" s="2436">
        <v>565360</v>
      </c>
      <c r="I1858" s="2436">
        <v>115311</v>
      </c>
      <c r="J1858" s="2446">
        <v>0.22436796728003627</v>
      </c>
      <c r="K1858" s="2436">
        <v>126848.6739814413</v>
      </c>
      <c r="L1858" s="2436">
        <v>115311</v>
      </c>
      <c r="M1858" s="2266">
        <v>599</v>
      </c>
    </row>
    <row r="1859" spans="1:13" ht="15">
      <c r="A1859" s="2266" t="s">
        <v>4361</v>
      </c>
      <c r="B1859" s="1694" t="str">
        <f>CONCATENATE(LEFT(RIGHT(CONCATENATE("000",IFAData_TEA!A1859),6),3),"-",(RIGHT(RIGHT(CONCATENATE("000",IFAData_TEA!A1859),6),3)))</f>
        <v>220-914</v>
      </c>
      <c r="C1859" s="2266" t="s">
        <v>2876</v>
      </c>
      <c r="D1859" s="2266">
        <v>1</v>
      </c>
      <c r="E1859" s="2266">
        <v>1955</v>
      </c>
      <c r="F1859" s="2266" t="s">
        <v>6230</v>
      </c>
      <c r="G1859" s="2266" t="s">
        <v>6232</v>
      </c>
      <c r="H1859" s="2436">
        <v>565360</v>
      </c>
      <c r="I1859" s="2436">
        <v>0</v>
      </c>
      <c r="J1859" s="2446">
        <v>0</v>
      </c>
      <c r="K1859" s="2436">
        <v>0</v>
      </c>
      <c r="L1859" s="2436">
        <v>0</v>
      </c>
      <c r="M1859" s="2266">
        <v>599</v>
      </c>
    </row>
    <row r="1860" spans="1:13" ht="15">
      <c r="A1860" s="2266" t="s">
        <v>4361</v>
      </c>
      <c r="B1860" s="1694" t="str">
        <f>CONCATENATE(LEFT(RIGHT(CONCATENATE("000",IFAData_TEA!A1860),6),3),"-",(RIGHT(RIGHT(CONCATENATE("000",IFAData_TEA!A1860),6),3)))</f>
        <v>220-914</v>
      </c>
      <c r="C1860" s="2266" t="s">
        <v>2876</v>
      </c>
      <c r="D1860" s="2266">
        <v>1</v>
      </c>
      <c r="E1860" s="2266">
        <v>1955</v>
      </c>
      <c r="F1860" s="2266" t="s">
        <v>6230</v>
      </c>
      <c r="G1860" s="2266" t="s">
        <v>6231</v>
      </c>
      <c r="H1860" s="2436">
        <v>565360</v>
      </c>
      <c r="I1860" s="2436">
        <v>398626</v>
      </c>
      <c r="J1860" s="2446">
        <v>0.77563203271996373</v>
      </c>
      <c r="K1860" s="2436">
        <v>438511.3260185587</v>
      </c>
      <c r="L1860" s="2436">
        <v>398626</v>
      </c>
      <c r="M1860" s="2266">
        <v>599</v>
      </c>
    </row>
    <row r="1861" spans="1:13" ht="15">
      <c r="A1861" s="2266" t="s">
        <v>4361</v>
      </c>
      <c r="B1861" s="1694" t="str">
        <f>CONCATENATE(LEFT(RIGHT(CONCATENATE("000",IFAData_TEA!A1861),6),3),"-",(RIGHT(RIGHT(CONCATENATE("000",IFAData_TEA!A1861),6),3)))</f>
        <v>220-914</v>
      </c>
      <c r="C1861" s="2266" t="s">
        <v>2876</v>
      </c>
      <c r="D1861" s="2266">
        <v>1</v>
      </c>
      <c r="E1861" s="2266">
        <v>1955</v>
      </c>
      <c r="F1861" s="2266" t="s">
        <v>6230</v>
      </c>
      <c r="G1861" s="2266" t="s">
        <v>6230</v>
      </c>
      <c r="H1861" s="2436">
        <v>565360</v>
      </c>
      <c r="I1861" s="2436">
        <v>0</v>
      </c>
      <c r="J1861" s="2446">
        <v>0</v>
      </c>
      <c r="K1861" s="2436">
        <v>0</v>
      </c>
      <c r="L1861" s="2436">
        <v>0</v>
      </c>
      <c r="M1861" s="2266">
        <v>599</v>
      </c>
    </row>
    <row r="1862" spans="1:13" ht="15">
      <c r="A1862" s="2266" t="s">
        <v>4362</v>
      </c>
      <c r="B1862" s="1694" t="str">
        <f>CONCATENATE(LEFT(RIGHT(CONCATENATE("000",IFAData_TEA!A1862),6),3),"-",(RIGHT(RIGHT(CONCATENATE("000",IFAData_TEA!A1862),6),3)))</f>
        <v>220-915</v>
      </c>
      <c r="C1862" s="2266" t="s">
        <v>2429</v>
      </c>
      <c r="D1862" s="2266">
        <v>3</v>
      </c>
      <c r="E1862" s="2266">
        <v>1588</v>
      </c>
      <c r="F1862" s="2266" t="s">
        <v>6233</v>
      </c>
      <c r="G1862" s="2266" t="s">
        <v>6234</v>
      </c>
      <c r="H1862" s="2436">
        <v>1377910</v>
      </c>
      <c r="I1862" s="2436">
        <v>0</v>
      </c>
      <c r="J1862" s="2446">
        <v>0</v>
      </c>
      <c r="K1862" s="2436">
        <v>0</v>
      </c>
      <c r="L1862" s="2436">
        <v>0</v>
      </c>
      <c r="M1862" s="2266">
        <v>599</v>
      </c>
    </row>
    <row r="1863" spans="1:13" ht="15">
      <c r="A1863" s="2266" t="s">
        <v>4362</v>
      </c>
      <c r="B1863" s="1694" t="str">
        <f>CONCATENATE(LEFT(RIGHT(CONCATENATE("000",IFAData_TEA!A1863),6),3),"-",(RIGHT(RIGHT(CONCATENATE("000",IFAData_TEA!A1863),6),3)))</f>
        <v>220-915</v>
      </c>
      <c r="C1863" s="2266" t="s">
        <v>2429</v>
      </c>
      <c r="D1863" s="2266">
        <v>3</v>
      </c>
      <c r="E1863" s="2266">
        <v>1588</v>
      </c>
      <c r="F1863" s="2266" t="s">
        <v>6233</v>
      </c>
      <c r="G1863" s="2266" t="s">
        <v>6236</v>
      </c>
      <c r="H1863" s="2436">
        <v>1377910</v>
      </c>
      <c r="I1863" s="2436">
        <v>495565</v>
      </c>
      <c r="J1863" s="2446">
        <v>0.19033991286609703</v>
      </c>
      <c r="K1863" s="2436">
        <v>262271.26933732373</v>
      </c>
      <c r="L1863" s="2436">
        <v>262271.26933732373</v>
      </c>
      <c r="M1863" s="2266">
        <v>599</v>
      </c>
    </row>
    <row r="1864" spans="1:13" ht="15">
      <c r="A1864" s="2266" t="s">
        <v>4362</v>
      </c>
      <c r="B1864" s="1694" t="str">
        <f>CONCATENATE(LEFT(RIGHT(CONCATENATE("000",IFAData_TEA!A1864),6),3),"-",(RIGHT(RIGHT(CONCATENATE("000",IFAData_TEA!A1864),6),3)))</f>
        <v>220-915</v>
      </c>
      <c r="C1864" s="2266" t="s">
        <v>2429</v>
      </c>
      <c r="D1864" s="2266">
        <v>3</v>
      </c>
      <c r="E1864" s="2266">
        <v>1588</v>
      </c>
      <c r="F1864" s="2266" t="s">
        <v>6233</v>
      </c>
      <c r="G1864" s="2266" t="s">
        <v>6235</v>
      </c>
      <c r="H1864" s="2436">
        <v>1377910</v>
      </c>
      <c r="I1864" s="2436">
        <v>2108014</v>
      </c>
      <c r="J1864" s="2446">
        <v>0.80966008713390303</v>
      </c>
      <c r="K1864" s="2436">
        <v>1115638.7306626763</v>
      </c>
      <c r="L1864" s="2436">
        <v>1115638.7306626763</v>
      </c>
      <c r="M1864" s="2266">
        <v>599</v>
      </c>
    </row>
    <row r="1865" spans="1:13" ht="15">
      <c r="A1865" s="2266" t="s">
        <v>4362</v>
      </c>
      <c r="B1865" s="1694" t="str">
        <f>CONCATENATE(LEFT(RIGHT(CONCATENATE("000",IFAData_TEA!A1865),6),3),"-",(RIGHT(RIGHT(CONCATENATE("000",IFAData_TEA!A1865),6),3)))</f>
        <v>220-915</v>
      </c>
      <c r="C1865" s="2266" t="s">
        <v>2429</v>
      </c>
      <c r="D1865" s="2266">
        <v>3</v>
      </c>
      <c r="E1865" s="2266">
        <v>1588</v>
      </c>
      <c r="F1865" s="2266" t="s">
        <v>6233</v>
      </c>
      <c r="G1865" s="2266" t="s">
        <v>6233</v>
      </c>
      <c r="H1865" s="2436">
        <v>1377910</v>
      </c>
      <c r="I1865" s="2436">
        <v>0</v>
      </c>
      <c r="J1865" s="2446">
        <v>0</v>
      </c>
      <c r="K1865" s="2436">
        <v>0</v>
      </c>
      <c r="L1865" s="2436">
        <v>0</v>
      </c>
      <c r="M1865" s="2266">
        <v>599</v>
      </c>
    </row>
    <row r="1866" spans="1:13" ht="15">
      <c r="A1866" s="2266" t="s">
        <v>4363</v>
      </c>
      <c r="B1866" s="1694" t="str">
        <f>CONCATENATE(LEFT(RIGHT(CONCATENATE("000",IFAData_TEA!A1866),6),3),"-",(RIGHT(RIGHT(CONCATENATE("000",IFAData_TEA!A1866),6),3)))</f>
        <v>220-916</v>
      </c>
      <c r="C1866" s="2266" t="s">
        <v>1439</v>
      </c>
      <c r="D1866" s="2266">
        <v>2</v>
      </c>
      <c r="E1866" s="2266">
        <v>1920</v>
      </c>
      <c r="F1866" s="2266" t="s">
        <v>6237</v>
      </c>
      <c r="G1866" s="2266" t="s">
        <v>6237</v>
      </c>
      <c r="H1866" s="2436">
        <v>4462566</v>
      </c>
      <c r="I1866" s="2436">
        <v>0</v>
      </c>
      <c r="J1866" s="2446">
        <v>0</v>
      </c>
      <c r="K1866" s="2436">
        <v>0</v>
      </c>
      <c r="L1866" s="2436">
        <v>0</v>
      </c>
      <c r="M1866" s="2266">
        <v>599</v>
      </c>
    </row>
    <row r="1867" spans="1:13" ht="15">
      <c r="A1867" s="2266" t="s">
        <v>4363</v>
      </c>
      <c r="B1867" s="1694" t="str">
        <f>CONCATENATE(LEFT(RIGHT(CONCATENATE("000",IFAData_TEA!A1867),6),3),"-",(RIGHT(RIGHT(CONCATENATE("000",IFAData_TEA!A1867),6),3)))</f>
        <v>220-916</v>
      </c>
      <c r="C1867" s="2266" t="s">
        <v>1439</v>
      </c>
      <c r="D1867" s="2266">
        <v>2</v>
      </c>
      <c r="E1867" s="2266">
        <v>1920</v>
      </c>
      <c r="F1867" s="2266" t="s">
        <v>6237</v>
      </c>
      <c r="G1867" s="2266" t="s">
        <v>6238</v>
      </c>
      <c r="H1867" s="2436">
        <v>4462566</v>
      </c>
      <c r="I1867" s="2436">
        <v>5173652</v>
      </c>
      <c r="J1867" s="2446">
        <v>0.58395017736958466</v>
      </c>
      <c r="K1867" s="2436">
        <v>2605916.2072234778</v>
      </c>
      <c r="L1867" s="2436">
        <v>2605916.2072234778</v>
      </c>
      <c r="M1867" s="2266">
        <v>599</v>
      </c>
    </row>
    <row r="1868" spans="1:13" ht="15">
      <c r="A1868" s="2266" t="s">
        <v>4363</v>
      </c>
      <c r="B1868" s="1694" t="str">
        <f>CONCATENATE(LEFT(RIGHT(CONCATENATE("000",IFAData_TEA!A1868),6),3),"-",(RIGHT(RIGHT(CONCATENATE("000",IFAData_TEA!A1868),6),3)))</f>
        <v>220-916</v>
      </c>
      <c r="C1868" s="2266" t="s">
        <v>1439</v>
      </c>
      <c r="D1868" s="2266">
        <v>2</v>
      </c>
      <c r="E1868" s="2266">
        <v>1920</v>
      </c>
      <c r="F1868" s="2266" t="s">
        <v>6237</v>
      </c>
      <c r="G1868" s="2266" t="s">
        <v>6239</v>
      </c>
      <c r="H1868" s="2436">
        <v>4462566</v>
      </c>
      <c r="I1868" s="2436">
        <v>3648505</v>
      </c>
      <c r="J1868" s="2446">
        <v>0.41180681303725419</v>
      </c>
      <c r="K1868" s="2436">
        <v>1837715.0824284074</v>
      </c>
      <c r="L1868" s="2436">
        <v>1837715.0824284074</v>
      </c>
      <c r="M1868" s="2266">
        <v>599</v>
      </c>
    </row>
    <row r="1869" spans="1:13" ht="15">
      <c r="A1869" s="2266" t="s">
        <v>4363</v>
      </c>
      <c r="B1869" s="1694" t="str">
        <f>CONCATENATE(LEFT(RIGHT(CONCATENATE("000",IFAData_TEA!A1869),6),3),"-",(RIGHT(RIGHT(CONCATENATE("000",IFAData_TEA!A1869),6),3)))</f>
        <v>220-916</v>
      </c>
      <c r="C1869" s="2266" t="s">
        <v>1439</v>
      </c>
      <c r="D1869" s="2266">
        <v>2</v>
      </c>
      <c r="E1869" s="2266">
        <v>1920</v>
      </c>
      <c r="F1869" s="2266" t="s">
        <v>6237</v>
      </c>
      <c r="G1869" s="2266" t="s">
        <v>7058</v>
      </c>
      <c r="H1869" s="2436">
        <v>4462566</v>
      </c>
      <c r="I1869" s="2436">
        <v>37592</v>
      </c>
      <c r="J1869" s="2446">
        <v>4.2430095931611607E-3</v>
      </c>
      <c r="K1869" s="2436">
        <v>18934.71034811483</v>
      </c>
      <c r="L1869" s="2436">
        <v>18934.71034811483</v>
      </c>
      <c r="M1869" s="2266">
        <v>599</v>
      </c>
    </row>
    <row r="1870" spans="1:13" ht="15">
      <c r="A1870" s="2266" t="s">
        <v>4364</v>
      </c>
      <c r="B1870" s="1694" t="str">
        <f>CONCATENATE(LEFT(RIGHT(CONCATENATE("000",IFAData_TEA!A1870),6),3),"-",(RIGHT(RIGHT(CONCATENATE("000",IFAData_TEA!A1870),6),3)))</f>
        <v>220-917</v>
      </c>
      <c r="C1870" s="2266" t="s">
        <v>732</v>
      </c>
      <c r="D1870" s="2266">
        <v>5</v>
      </c>
      <c r="E1870" s="2266">
        <v>1668</v>
      </c>
      <c r="F1870" s="2266" t="s">
        <v>6240</v>
      </c>
      <c r="G1870" s="2266" t="s">
        <v>6240</v>
      </c>
      <c r="H1870" s="2436">
        <v>711722</v>
      </c>
      <c r="I1870" s="2436">
        <v>0</v>
      </c>
      <c r="J1870" s="2446">
        <v>0</v>
      </c>
      <c r="K1870" s="2436">
        <v>0</v>
      </c>
      <c r="L1870" s="2436">
        <v>0</v>
      </c>
      <c r="M1870" s="2266">
        <v>199</v>
      </c>
    </row>
    <row r="1871" spans="1:13" ht="15">
      <c r="A1871" s="2266" t="s">
        <v>4364</v>
      </c>
      <c r="B1871" s="1694" t="str">
        <f>CONCATENATE(LEFT(RIGHT(CONCATENATE("000",IFAData_TEA!A1871),6),3),"-",(RIGHT(RIGHT(CONCATENATE("000",IFAData_TEA!A1871),6),3)))</f>
        <v>220-917</v>
      </c>
      <c r="C1871" s="2266" t="s">
        <v>732</v>
      </c>
      <c r="D1871" s="2266">
        <v>5</v>
      </c>
      <c r="E1871" s="2266">
        <v>1668</v>
      </c>
      <c r="F1871" s="2266" t="s">
        <v>6240</v>
      </c>
      <c r="G1871" s="2266" t="s">
        <v>6241</v>
      </c>
      <c r="H1871" s="2436">
        <v>711722</v>
      </c>
      <c r="I1871" s="2436">
        <v>0</v>
      </c>
      <c r="J1871" s="2446">
        <v>0</v>
      </c>
      <c r="K1871" s="2436">
        <v>0</v>
      </c>
      <c r="L1871" s="2436">
        <v>0</v>
      </c>
      <c r="M1871" s="2266">
        <v>599</v>
      </c>
    </row>
    <row r="1872" spans="1:13" ht="15">
      <c r="A1872" s="2266" t="s">
        <v>4364</v>
      </c>
      <c r="B1872" s="1694" t="str">
        <f>CONCATENATE(LEFT(RIGHT(CONCATENATE("000",IFAData_TEA!A1872),6),3),"-",(RIGHT(RIGHT(CONCATENATE("000",IFAData_TEA!A1872),6),3)))</f>
        <v>220-917</v>
      </c>
      <c r="C1872" s="2266" t="s">
        <v>732</v>
      </c>
      <c r="D1872" s="2266">
        <v>5</v>
      </c>
      <c r="E1872" s="2266">
        <v>1668</v>
      </c>
      <c r="F1872" s="2266" t="s">
        <v>6240</v>
      </c>
      <c r="G1872" s="2266" t="s">
        <v>6242</v>
      </c>
      <c r="H1872" s="2436">
        <v>711722</v>
      </c>
      <c r="I1872" s="2436">
        <v>502948</v>
      </c>
      <c r="J1872" s="2446">
        <v>1</v>
      </c>
      <c r="K1872" s="2436">
        <v>711722</v>
      </c>
      <c r="L1872" s="2436">
        <v>502948</v>
      </c>
      <c r="M1872" s="2266">
        <v>599</v>
      </c>
    </row>
    <row r="1873" spans="1:13" ht="15">
      <c r="A1873" s="2266" t="s">
        <v>4364</v>
      </c>
      <c r="B1873" s="1694" t="str">
        <f>CONCATENATE(LEFT(RIGHT(CONCATENATE("000",IFAData_TEA!A1873),6),3),"-",(RIGHT(RIGHT(CONCATENATE("000",IFAData_TEA!A1873),6),3)))</f>
        <v>220-917</v>
      </c>
      <c r="C1873" s="2266" t="s">
        <v>732</v>
      </c>
      <c r="D1873" s="2266">
        <v>10</v>
      </c>
      <c r="E1873" s="2266">
        <v>1669</v>
      </c>
      <c r="F1873" s="2266" t="s">
        <v>6243</v>
      </c>
      <c r="G1873" s="2266" t="s">
        <v>6243</v>
      </c>
      <c r="H1873" s="2436">
        <v>843841</v>
      </c>
      <c r="I1873" s="2436">
        <v>1446850</v>
      </c>
      <c r="J1873" s="2446">
        <v>1</v>
      </c>
      <c r="K1873" s="2436">
        <v>843841</v>
      </c>
      <c r="L1873" s="2436">
        <v>843841</v>
      </c>
      <c r="M1873" s="2266">
        <v>599</v>
      </c>
    </row>
    <row r="1874" spans="1:13" ht="15">
      <c r="A1874" s="2266" t="s">
        <v>4365</v>
      </c>
      <c r="B1874" s="1694" t="str">
        <f>CONCATENATE(LEFT(RIGHT(CONCATENATE("000",IFAData_TEA!A1874),6),3),"-",(RIGHT(RIGHT(CONCATENATE("000",IFAData_TEA!A1874),6),3)))</f>
        <v>220-918</v>
      </c>
      <c r="C1874" s="2266" t="s">
        <v>1455</v>
      </c>
      <c r="D1874" s="2266">
        <v>10</v>
      </c>
      <c r="E1874" s="2266">
        <v>1772</v>
      </c>
      <c r="F1874" s="2266" t="s">
        <v>6244</v>
      </c>
      <c r="G1874" s="2266" t="s">
        <v>7059</v>
      </c>
      <c r="H1874" s="2436">
        <v>4072151</v>
      </c>
      <c r="I1874" s="2436">
        <v>0</v>
      </c>
      <c r="J1874" s="2446">
        <v>0</v>
      </c>
      <c r="K1874" s="2436">
        <v>0</v>
      </c>
      <c r="L1874" s="2436">
        <v>0</v>
      </c>
      <c r="M1874" s="2266">
        <v>599</v>
      </c>
    </row>
    <row r="1875" spans="1:13" ht="15">
      <c r="A1875" s="2266" t="s">
        <v>4365</v>
      </c>
      <c r="B1875" s="1694" t="str">
        <f>CONCATENATE(LEFT(RIGHT(CONCATENATE("000",IFAData_TEA!A1875),6),3),"-",(RIGHT(RIGHT(CONCATENATE("000",IFAData_TEA!A1875),6),3)))</f>
        <v>220-918</v>
      </c>
      <c r="C1875" s="2266" t="s">
        <v>1455</v>
      </c>
      <c r="D1875" s="2266">
        <v>10</v>
      </c>
      <c r="E1875" s="2266">
        <v>1772</v>
      </c>
      <c r="F1875" s="2266" t="s">
        <v>6244</v>
      </c>
      <c r="G1875" s="2266" t="s">
        <v>6244</v>
      </c>
      <c r="H1875" s="2436">
        <v>4072151</v>
      </c>
      <c r="I1875" s="2436">
        <v>4405954</v>
      </c>
      <c r="J1875" s="2446">
        <v>1</v>
      </c>
      <c r="K1875" s="2436">
        <v>4072151</v>
      </c>
      <c r="L1875" s="2436">
        <v>4072151</v>
      </c>
      <c r="M1875" s="2266">
        <v>599</v>
      </c>
    </row>
    <row r="1876" spans="1:13" ht="15">
      <c r="A1876" s="2266" t="s">
        <v>6245</v>
      </c>
      <c r="B1876" s="1694" t="str">
        <f>CONCATENATE(LEFT(RIGHT(CONCATENATE("000",IFAData_TEA!A1876),6),3),"-",(RIGHT(RIGHT(CONCATENATE("000",IFAData_TEA!A1876),6),3)))</f>
        <v>220-919</v>
      </c>
      <c r="C1876" s="2266" t="s">
        <v>731</v>
      </c>
      <c r="D1876" s="2266">
        <v>1</v>
      </c>
      <c r="E1876" s="2266">
        <v>1667</v>
      </c>
      <c r="F1876" s="2266" t="s">
        <v>6247</v>
      </c>
      <c r="G1876" s="2266" t="s">
        <v>6247</v>
      </c>
      <c r="H1876" s="2436">
        <v>693277</v>
      </c>
      <c r="I1876" s="2436">
        <v>0</v>
      </c>
      <c r="J1876" s="2446">
        <v>0</v>
      </c>
      <c r="K1876" s="2436"/>
      <c r="L1876" s="2436">
        <v>0</v>
      </c>
      <c r="M1876" s="2266">
        <v>599</v>
      </c>
    </row>
    <row r="1877" spans="1:13" ht="15">
      <c r="A1877" s="2266" t="s">
        <v>6245</v>
      </c>
      <c r="B1877" s="1694" t="str">
        <f>CONCATENATE(LEFT(RIGHT(CONCATENATE("000",IFAData_TEA!A1877),6),3),"-",(RIGHT(RIGHT(CONCATENATE("000",IFAData_TEA!A1877),6),3)))</f>
        <v>220-919</v>
      </c>
      <c r="C1877" s="2266" t="s">
        <v>731</v>
      </c>
      <c r="D1877" s="2266">
        <v>1</v>
      </c>
      <c r="E1877" s="2266">
        <v>1666</v>
      </c>
      <c r="F1877" s="2266" t="s">
        <v>6246</v>
      </c>
      <c r="G1877" s="2266" t="s">
        <v>6246</v>
      </c>
      <c r="H1877" s="2436">
        <v>602473</v>
      </c>
      <c r="I1877" s="2436">
        <v>0</v>
      </c>
      <c r="J1877" s="2446">
        <v>0</v>
      </c>
      <c r="K1877" s="2436"/>
      <c r="L1877" s="2436">
        <v>0</v>
      </c>
      <c r="M1877" s="2266">
        <v>599</v>
      </c>
    </row>
    <row r="1878" spans="1:13" ht="15">
      <c r="A1878" s="2266" t="s">
        <v>4366</v>
      </c>
      <c r="B1878" s="1694" t="str">
        <f>CONCATENATE(LEFT(RIGHT(CONCATENATE("000",IFAData_TEA!A1878),6),3),"-",(RIGHT(RIGHT(CONCATENATE("000",IFAData_TEA!A1878),6),3)))</f>
        <v>220-920</v>
      </c>
      <c r="C1878" s="2266" t="s">
        <v>1509</v>
      </c>
      <c r="D1878" s="2266">
        <v>1</v>
      </c>
      <c r="E1878" s="2266">
        <v>2449</v>
      </c>
      <c r="F1878" s="2266" t="s">
        <v>6248</v>
      </c>
      <c r="G1878" s="2266" t="s">
        <v>6252</v>
      </c>
      <c r="H1878" s="2436">
        <v>729878</v>
      </c>
      <c r="I1878" s="2436">
        <v>5346</v>
      </c>
      <c r="J1878" s="2446">
        <v>5.8251855919820338E-3</v>
      </c>
      <c r="K1878" s="2436">
        <v>4251.6748095046632</v>
      </c>
      <c r="L1878" s="2436">
        <v>4251.6748095046632</v>
      </c>
      <c r="M1878" s="2266">
        <v>599</v>
      </c>
    </row>
    <row r="1879" spans="1:13" ht="15">
      <c r="A1879" s="2266" t="s">
        <v>4366</v>
      </c>
      <c r="B1879" s="1694" t="str">
        <f>CONCATENATE(LEFT(RIGHT(CONCATENATE("000",IFAData_TEA!A1879),6),3),"-",(RIGHT(RIGHT(CONCATENATE("000",IFAData_TEA!A1879),6),3)))</f>
        <v>220-920</v>
      </c>
      <c r="C1879" s="2266" t="s">
        <v>1509</v>
      </c>
      <c r="D1879" s="2266">
        <v>9</v>
      </c>
      <c r="E1879" s="2266">
        <v>2450</v>
      </c>
      <c r="F1879" s="2266" t="s">
        <v>6249</v>
      </c>
      <c r="G1879" s="2266" t="s">
        <v>6252</v>
      </c>
      <c r="H1879" s="2436">
        <v>1433532</v>
      </c>
      <c r="I1879" s="2436">
        <v>361</v>
      </c>
      <c r="J1879" s="2446">
        <v>3.9114304783863669E-4</v>
      </c>
      <c r="K1879" s="2436">
        <v>560.71607565421652</v>
      </c>
      <c r="L1879" s="2436">
        <v>361</v>
      </c>
      <c r="M1879" s="2266">
        <v>599</v>
      </c>
    </row>
    <row r="1880" spans="1:13" ht="15">
      <c r="A1880" s="2266" t="s">
        <v>4366</v>
      </c>
      <c r="B1880" s="1694" t="str">
        <f>CONCATENATE(LEFT(RIGHT(CONCATENATE("000",IFAData_TEA!A1880),6),3),"-",(RIGHT(RIGHT(CONCATENATE("000",IFAData_TEA!A1880),6),3)))</f>
        <v>220-920</v>
      </c>
      <c r="C1880" s="2266" t="s">
        <v>1509</v>
      </c>
      <c r="D1880" s="2266">
        <v>1</v>
      </c>
      <c r="E1880" s="2266">
        <v>2449</v>
      </c>
      <c r="F1880" s="2266" t="s">
        <v>6248</v>
      </c>
      <c r="G1880" s="2266" t="s">
        <v>6251</v>
      </c>
      <c r="H1880" s="2436">
        <v>729878</v>
      </c>
      <c r="I1880" s="2436">
        <v>662028</v>
      </c>
      <c r="J1880" s="2446">
        <v>0.7213684936566932</v>
      </c>
      <c r="K1880" s="2436">
        <v>526510.99341315997</v>
      </c>
      <c r="L1880" s="2436">
        <v>526510.99341315997</v>
      </c>
      <c r="M1880" s="2266">
        <v>599</v>
      </c>
    </row>
    <row r="1881" spans="1:13" ht="15">
      <c r="A1881" s="2266" t="s">
        <v>4366</v>
      </c>
      <c r="B1881" s="1694" t="str">
        <f>CONCATENATE(LEFT(RIGHT(CONCATENATE("000",IFAData_TEA!A1881),6),3),"-",(RIGHT(RIGHT(CONCATENATE("000",IFAData_TEA!A1881),6),3)))</f>
        <v>220-920</v>
      </c>
      <c r="C1881" s="2266" t="s">
        <v>1509</v>
      </c>
      <c r="D1881" s="2266">
        <v>9</v>
      </c>
      <c r="E1881" s="2266">
        <v>2450</v>
      </c>
      <c r="F1881" s="2266" t="s">
        <v>6249</v>
      </c>
      <c r="G1881" s="2266" t="s">
        <v>6251</v>
      </c>
      <c r="H1881" s="2436">
        <v>1433532</v>
      </c>
      <c r="I1881" s="2436">
        <v>647358</v>
      </c>
      <c r="J1881" s="2446">
        <v>0.70141158216821098</v>
      </c>
      <c r="K1881" s="2436">
        <v>1005495.9482087598</v>
      </c>
      <c r="L1881" s="2436">
        <v>647358</v>
      </c>
      <c r="M1881" s="2266">
        <v>599</v>
      </c>
    </row>
    <row r="1882" spans="1:13" ht="15">
      <c r="A1882" s="2266" t="s">
        <v>4366</v>
      </c>
      <c r="B1882" s="1694" t="str">
        <f>CONCATENATE(LEFT(RIGHT(CONCATENATE("000",IFAData_TEA!A1882),6),3),"-",(RIGHT(RIGHT(CONCATENATE("000",IFAData_TEA!A1882),6),3)))</f>
        <v>220-920</v>
      </c>
      <c r="C1882" s="2266" t="s">
        <v>1509</v>
      </c>
      <c r="D1882" s="2266">
        <v>9</v>
      </c>
      <c r="E1882" s="2266">
        <v>2450</v>
      </c>
      <c r="F1882" s="2266" t="s">
        <v>6249</v>
      </c>
      <c r="G1882" s="2266" t="s">
        <v>6249</v>
      </c>
      <c r="H1882" s="2436">
        <v>1433532</v>
      </c>
      <c r="I1882" s="2436">
        <v>214990</v>
      </c>
      <c r="J1882" s="2446">
        <v>0.23294139571974654</v>
      </c>
      <c r="K1882" s="2436">
        <v>333928.94488891971</v>
      </c>
      <c r="L1882" s="2436">
        <v>214990</v>
      </c>
      <c r="M1882" s="2266">
        <v>599</v>
      </c>
    </row>
    <row r="1883" spans="1:13" ht="15">
      <c r="A1883" s="2266" t="s">
        <v>4366</v>
      </c>
      <c r="B1883" s="1694" t="str">
        <f>CONCATENATE(LEFT(RIGHT(CONCATENATE("000",IFAData_TEA!A1883),6),3),"-",(RIGHT(RIGHT(CONCATENATE("000",IFAData_TEA!A1883),6),3)))</f>
        <v>220-920</v>
      </c>
      <c r="C1883" s="2266" t="s">
        <v>1509</v>
      </c>
      <c r="D1883" s="2266">
        <v>1</v>
      </c>
      <c r="E1883" s="2266">
        <v>2449</v>
      </c>
      <c r="F1883" s="2266" t="s">
        <v>6248</v>
      </c>
      <c r="G1883" s="2266" t="s">
        <v>6249</v>
      </c>
      <c r="H1883" s="2436">
        <v>729878</v>
      </c>
      <c r="I1883" s="2436">
        <v>114802</v>
      </c>
      <c r="J1883" s="2446">
        <v>0.12509221031251805</v>
      </c>
      <c r="K1883" s="2436">
        <v>91302.052278480041</v>
      </c>
      <c r="L1883" s="2436">
        <v>91302.052278480041</v>
      </c>
      <c r="M1883" s="2266">
        <v>599</v>
      </c>
    </row>
    <row r="1884" spans="1:13" ht="15">
      <c r="A1884" s="2266" t="s">
        <v>4366</v>
      </c>
      <c r="B1884" s="1694" t="str">
        <f>CONCATENATE(LEFT(RIGHT(CONCATENATE("000",IFAData_TEA!A1884),6),3),"-",(RIGHT(RIGHT(CONCATENATE("000",IFAData_TEA!A1884),6),3)))</f>
        <v>220-920</v>
      </c>
      <c r="C1884" s="2266" t="s">
        <v>1509</v>
      </c>
      <c r="D1884" s="2266">
        <v>1</v>
      </c>
      <c r="E1884" s="2266">
        <v>2449</v>
      </c>
      <c r="F1884" s="2266" t="s">
        <v>6248</v>
      </c>
      <c r="G1884" s="2266" t="s">
        <v>6250</v>
      </c>
      <c r="H1884" s="2436">
        <v>729878</v>
      </c>
      <c r="I1884" s="2436">
        <v>87432</v>
      </c>
      <c r="J1884" s="2446">
        <v>9.5268916325883496E-2</v>
      </c>
      <c r="K1884" s="2436">
        <v>69534.686110103197</v>
      </c>
      <c r="L1884" s="2436">
        <v>69534.686110103197</v>
      </c>
      <c r="M1884" s="2266">
        <v>599</v>
      </c>
    </row>
    <row r="1885" spans="1:13" ht="15">
      <c r="A1885" s="2266" t="s">
        <v>4366</v>
      </c>
      <c r="B1885" s="1694" t="str">
        <f>CONCATENATE(LEFT(RIGHT(CONCATENATE("000",IFAData_TEA!A1885),6),3),"-",(RIGHT(RIGHT(CONCATENATE("000",IFAData_TEA!A1885),6),3)))</f>
        <v>220-920</v>
      </c>
      <c r="C1885" s="2266" t="s">
        <v>1509</v>
      </c>
      <c r="D1885" s="2266">
        <v>1</v>
      </c>
      <c r="E1885" s="2266">
        <v>2449</v>
      </c>
      <c r="F1885" s="2266" t="s">
        <v>6248</v>
      </c>
      <c r="G1885" s="2266" t="s">
        <v>6248</v>
      </c>
      <c r="H1885" s="2436">
        <v>729878</v>
      </c>
      <c r="I1885" s="2436">
        <v>0</v>
      </c>
      <c r="J1885" s="2446">
        <v>0</v>
      </c>
      <c r="K1885" s="2436">
        <v>0</v>
      </c>
      <c r="L1885" s="2436">
        <v>0</v>
      </c>
      <c r="M1885" s="2266">
        <v>599</v>
      </c>
    </row>
    <row r="1886" spans="1:13" ht="15">
      <c r="A1886" s="2266" t="s">
        <v>4366</v>
      </c>
      <c r="B1886" s="1694" t="str">
        <f>CONCATENATE(LEFT(RIGHT(CONCATENATE("000",IFAData_TEA!A1886),6),3),"-",(RIGHT(RIGHT(CONCATENATE("000",IFAData_TEA!A1886),6),3)))</f>
        <v>220-920</v>
      </c>
      <c r="C1886" s="2266" t="s">
        <v>1509</v>
      </c>
      <c r="D1886" s="2266">
        <v>1</v>
      </c>
      <c r="E1886" s="2266">
        <v>2449</v>
      </c>
      <c r="F1886" s="2266" t="s">
        <v>6248</v>
      </c>
      <c r="G1886" s="2266" t="s">
        <v>7060</v>
      </c>
      <c r="H1886" s="2436">
        <v>729878</v>
      </c>
      <c r="I1886" s="2436">
        <v>10620</v>
      </c>
      <c r="J1886" s="2446">
        <v>1.1571917505957575E-2</v>
      </c>
      <c r="K1886" s="2436">
        <v>8446.0880054133031</v>
      </c>
      <c r="L1886" s="2436">
        <v>8446.0880054133031</v>
      </c>
      <c r="M1886" s="2266">
        <v>599</v>
      </c>
    </row>
    <row r="1887" spans="1:13" ht="15">
      <c r="A1887" s="2266" t="s">
        <v>4366</v>
      </c>
      <c r="B1887" s="1694" t="str">
        <f>CONCATENATE(LEFT(RIGHT(CONCATENATE("000",IFAData_TEA!A1887),6),3),"-",(RIGHT(RIGHT(CONCATENATE("000",IFAData_TEA!A1887),6),3)))</f>
        <v>220-920</v>
      </c>
      <c r="C1887" s="2266" t="s">
        <v>1509</v>
      </c>
      <c r="D1887" s="2266">
        <v>9</v>
      </c>
      <c r="E1887" s="2266">
        <v>2450</v>
      </c>
      <c r="F1887" s="2266" t="s">
        <v>6249</v>
      </c>
      <c r="G1887" s="2266" t="s">
        <v>7060</v>
      </c>
      <c r="H1887" s="2436">
        <v>1433532</v>
      </c>
      <c r="I1887" s="2436">
        <v>60227</v>
      </c>
      <c r="J1887" s="2446">
        <v>6.5255879064203798E-2</v>
      </c>
      <c r="K1887" s="2436">
        <v>93546.390826666204</v>
      </c>
      <c r="L1887" s="2436">
        <v>60227</v>
      </c>
      <c r="M1887" s="2266">
        <v>599</v>
      </c>
    </row>
    <row r="1888" spans="1:13" ht="15">
      <c r="A1888" s="2266" t="s">
        <v>4366</v>
      </c>
      <c r="B1888" s="1694" t="str">
        <f>CONCATENATE(LEFT(RIGHT(CONCATENATE("000",IFAData_TEA!A1888),6),3),"-",(RIGHT(RIGHT(CONCATENATE("000",IFAData_TEA!A1888),6),3)))</f>
        <v>220-920</v>
      </c>
      <c r="C1888" s="2266" t="s">
        <v>1509</v>
      </c>
      <c r="D1888" s="2266">
        <v>1</v>
      </c>
      <c r="E1888" s="2266">
        <v>2449</v>
      </c>
      <c r="F1888" s="2266" t="s">
        <v>6248</v>
      </c>
      <c r="G1888" s="2266" t="s">
        <v>7061</v>
      </c>
      <c r="H1888" s="2436">
        <v>729878</v>
      </c>
      <c r="I1888" s="2436">
        <v>37511</v>
      </c>
      <c r="J1888" s="2446">
        <v>4.0873276606965596E-2</v>
      </c>
      <c r="K1888" s="2436">
        <v>29832.505383338834</v>
      </c>
      <c r="L1888" s="2436">
        <v>29832.505383338834</v>
      </c>
      <c r="M1888" s="2266">
        <v>599</v>
      </c>
    </row>
    <row r="1889" spans="1:13" ht="15">
      <c r="A1889" s="2266" t="s">
        <v>4367</v>
      </c>
      <c r="B1889" s="1694" t="str">
        <f>CONCATENATE(LEFT(RIGHT(CONCATENATE("000",IFAData_TEA!A1889),6),3),"-",(RIGHT(RIGHT(CONCATENATE("000",IFAData_TEA!A1889),6),3)))</f>
        <v>223-902</v>
      </c>
      <c r="C1889" s="2266" t="s">
        <v>930</v>
      </c>
      <c r="D1889" s="2266">
        <v>5</v>
      </c>
      <c r="E1889" s="2266">
        <v>2084</v>
      </c>
      <c r="F1889" s="2266" t="s">
        <v>6253</v>
      </c>
      <c r="G1889" s="2266" t="s">
        <v>6253</v>
      </c>
      <c r="H1889" s="2436">
        <v>100000</v>
      </c>
      <c r="I1889" s="2436">
        <v>0</v>
      </c>
      <c r="J1889" s="2446">
        <v>0</v>
      </c>
      <c r="K1889" s="2436">
        <v>0</v>
      </c>
      <c r="L1889" s="2436">
        <v>0</v>
      </c>
      <c r="M1889" s="2266">
        <v>599</v>
      </c>
    </row>
    <row r="1890" spans="1:13" ht="15">
      <c r="A1890" s="2266" t="s">
        <v>4367</v>
      </c>
      <c r="B1890" s="1694" t="str">
        <f>CONCATENATE(LEFT(RIGHT(CONCATENATE("000",IFAData_TEA!A1890),6),3),"-",(RIGHT(RIGHT(CONCATENATE("000",IFAData_TEA!A1890),6),3)))</f>
        <v>223-902</v>
      </c>
      <c r="C1890" s="2266" t="s">
        <v>930</v>
      </c>
      <c r="D1890" s="2266">
        <v>5</v>
      </c>
      <c r="E1890" s="2266">
        <v>2084</v>
      </c>
      <c r="F1890" s="2266" t="s">
        <v>6253</v>
      </c>
      <c r="G1890" s="2266" t="s">
        <v>6254</v>
      </c>
      <c r="H1890" s="2436">
        <v>100000</v>
      </c>
      <c r="I1890" s="2436">
        <v>89350</v>
      </c>
      <c r="J1890" s="2446">
        <v>1</v>
      </c>
      <c r="K1890" s="2436">
        <v>100000</v>
      </c>
      <c r="L1890" s="2436">
        <v>89350</v>
      </c>
      <c r="M1890" s="2266">
        <v>599</v>
      </c>
    </row>
    <row r="1891" spans="1:13" ht="15">
      <c r="A1891" s="2266" t="s">
        <v>4368</v>
      </c>
      <c r="B1891" s="1694" t="str">
        <f>CONCATENATE(LEFT(RIGHT(CONCATENATE("000",IFAData_TEA!A1891),6),3),"-",(RIGHT(RIGHT(CONCATENATE("000",IFAData_TEA!A1891),6),3)))</f>
        <v>225-906</v>
      </c>
      <c r="C1891" s="2266" t="s">
        <v>735</v>
      </c>
      <c r="D1891" s="2266">
        <v>8</v>
      </c>
      <c r="E1891" s="2266">
        <v>1679</v>
      </c>
      <c r="F1891" s="2266" t="s">
        <v>6257</v>
      </c>
      <c r="G1891" s="2266" t="s">
        <v>6257</v>
      </c>
      <c r="H1891" s="2436">
        <v>163986</v>
      </c>
      <c r="I1891" s="2436">
        <v>141962</v>
      </c>
      <c r="J1891" s="2446">
        <v>1</v>
      </c>
      <c r="K1891" s="2436">
        <v>163986</v>
      </c>
      <c r="L1891" s="2436">
        <v>141962</v>
      </c>
      <c r="M1891" s="2266">
        <v>599</v>
      </c>
    </row>
    <row r="1892" spans="1:13" ht="15">
      <c r="A1892" s="2266" t="s">
        <v>4368</v>
      </c>
      <c r="B1892" s="1694" t="str">
        <f>CONCATENATE(LEFT(RIGHT(CONCATENATE("000",IFAData_TEA!A1892),6),3),"-",(RIGHT(RIGHT(CONCATENATE("000",IFAData_TEA!A1892),6),3)))</f>
        <v>225-906</v>
      </c>
      <c r="C1892" s="2266" t="s">
        <v>735</v>
      </c>
      <c r="D1892" s="2266">
        <v>6</v>
      </c>
      <c r="E1892" s="2266">
        <v>1680</v>
      </c>
      <c r="F1892" s="2266" t="s">
        <v>6255</v>
      </c>
      <c r="G1892" s="2266" t="s">
        <v>6256</v>
      </c>
      <c r="H1892" s="2436">
        <v>178703</v>
      </c>
      <c r="I1892" s="2436">
        <v>159498</v>
      </c>
      <c r="J1892" s="2446">
        <v>1</v>
      </c>
      <c r="K1892" s="2436">
        <v>178703</v>
      </c>
      <c r="L1892" s="2436">
        <v>159498</v>
      </c>
      <c r="M1892" s="2266">
        <v>599</v>
      </c>
    </row>
    <row r="1893" spans="1:13" ht="15">
      <c r="A1893" s="2266" t="s">
        <v>4368</v>
      </c>
      <c r="B1893" s="1694" t="str">
        <f>CONCATENATE(LEFT(RIGHT(CONCATENATE("000",IFAData_TEA!A1893),6),3),"-",(RIGHT(RIGHT(CONCATENATE("000",IFAData_TEA!A1893),6),3)))</f>
        <v>225-906</v>
      </c>
      <c r="C1893" s="2266" t="s">
        <v>735</v>
      </c>
      <c r="D1893" s="2266">
        <v>6</v>
      </c>
      <c r="E1893" s="2266">
        <v>1680</v>
      </c>
      <c r="F1893" s="2266" t="s">
        <v>6255</v>
      </c>
      <c r="G1893" s="2266" t="s">
        <v>6255</v>
      </c>
      <c r="H1893" s="2436">
        <v>178703</v>
      </c>
      <c r="I1893" s="2436">
        <v>0</v>
      </c>
      <c r="J1893" s="2446">
        <v>0</v>
      </c>
      <c r="K1893" s="2436">
        <v>0</v>
      </c>
      <c r="L1893" s="2436">
        <v>0</v>
      </c>
      <c r="M1893" s="2266">
        <v>599</v>
      </c>
    </row>
    <row r="1894" spans="1:13" ht="15">
      <c r="A1894" s="2266" t="s">
        <v>4369</v>
      </c>
      <c r="B1894" s="1694" t="str">
        <f>CONCATENATE(LEFT(RIGHT(CONCATENATE("000",IFAData_TEA!A1894),6),3),"-",(RIGHT(RIGHT(CONCATENATE("000",IFAData_TEA!A1894),6),3)))</f>
        <v>226-903</v>
      </c>
      <c r="C1894" s="2266" t="s">
        <v>2307</v>
      </c>
      <c r="D1894" s="2266">
        <v>1</v>
      </c>
      <c r="E1894" s="2266">
        <v>2277</v>
      </c>
      <c r="F1894" s="2266" t="s">
        <v>6260</v>
      </c>
      <c r="G1894" s="2266" t="s">
        <v>7062</v>
      </c>
      <c r="H1894" s="2436">
        <v>726000</v>
      </c>
      <c r="I1894" s="2436">
        <v>128692</v>
      </c>
      <c r="J1894" s="2446">
        <v>0.29554337891154275</v>
      </c>
      <c r="K1894" s="2436">
        <v>214564.49308978004</v>
      </c>
      <c r="L1894" s="2436">
        <v>128692</v>
      </c>
      <c r="M1894" s="2266">
        <v>599</v>
      </c>
    </row>
    <row r="1895" spans="1:13" ht="15">
      <c r="A1895" s="2266" t="s">
        <v>4369</v>
      </c>
      <c r="B1895" s="1694" t="str">
        <f>CONCATENATE(LEFT(RIGHT(CONCATENATE("000",IFAData_TEA!A1895),6),3),"-",(RIGHT(RIGHT(CONCATENATE("000",IFAData_TEA!A1895),6),3)))</f>
        <v>226-903</v>
      </c>
      <c r="C1895" s="2266" t="s">
        <v>2307</v>
      </c>
      <c r="D1895" s="2266">
        <v>10</v>
      </c>
      <c r="E1895" s="2266">
        <v>2279</v>
      </c>
      <c r="F1895" s="2266" t="s">
        <v>6262</v>
      </c>
      <c r="G1895" s="2266" t="s">
        <v>7063</v>
      </c>
      <c r="H1895" s="2436">
        <v>3492500</v>
      </c>
      <c r="I1895" s="2436">
        <v>4890092</v>
      </c>
      <c r="J1895" s="2446">
        <v>0.66093667426707015</v>
      </c>
      <c r="K1895" s="2436">
        <v>2308321.3348777425</v>
      </c>
      <c r="L1895" s="2436">
        <v>2308321.3348777425</v>
      </c>
      <c r="M1895" s="2266">
        <v>599</v>
      </c>
    </row>
    <row r="1896" spans="1:13" ht="15">
      <c r="A1896" s="2266" t="s">
        <v>4369</v>
      </c>
      <c r="B1896" s="1694" t="str">
        <f>CONCATENATE(LEFT(RIGHT(CONCATENATE("000",IFAData_TEA!A1896),6),3),"-",(RIGHT(RIGHT(CONCATENATE("000",IFAData_TEA!A1896),6),3)))</f>
        <v>226-903</v>
      </c>
      <c r="C1896" s="2266" t="s">
        <v>2307</v>
      </c>
      <c r="D1896" s="2266">
        <v>1</v>
      </c>
      <c r="E1896" s="2266">
        <v>2277</v>
      </c>
      <c r="F1896" s="2266" t="s">
        <v>6260</v>
      </c>
      <c r="G1896" s="2266" t="s">
        <v>6260</v>
      </c>
      <c r="H1896" s="2436">
        <v>726000</v>
      </c>
      <c r="I1896" s="2436">
        <v>0</v>
      </c>
      <c r="J1896" s="2446">
        <v>0</v>
      </c>
      <c r="K1896" s="2436">
        <v>0</v>
      </c>
      <c r="L1896" s="2436">
        <v>0</v>
      </c>
      <c r="M1896" s="2266">
        <v>599</v>
      </c>
    </row>
    <row r="1897" spans="1:13" ht="15">
      <c r="A1897" s="2266" t="s">
        <v>4369</v>
      </c>
      <c r="B1897" s="1694" t="str">
        <f>CONCATENATE(LEFT(RIGHT(CONCATENATE("000",IFAData_TEA!A1897),6),3),"-",(RIGHT(RIGHT(CONCATENATE("000",IFAData_TEA!A1897),6),3)))</f>
        <v>226-903</v>
      </c>
      <c r="C1897" s="2266" t="s">
        <v>2307</v>
      </c>
      <c r="D1897" s="2266">
        <v>1</v>
      </c>
      <c r="E1897" s="2266">
        <v>2278</v>
      </c>
      <c r="F1897" s="2266" t="s">
        <v>6258</v>
      </c>
      <c r="G1897" s="2266" t="s">
        <v>6258</v>
      </c>
      <c r="H1897" s="2436">
        <v>1247036</v>
      </c>
      <c r="I1897" s="2436">
        <v>0</v>
      </c>
      <c r="J1897" s="2446">
        <v>0</v>
      </c>
      <c r="K1897" s="2436">
        <v>0</v>
      </c>
      <c r="L1897" s="2436">
        <v>0</v>
      </c>
      <c r="M1897" s="2266">
        <v>599</v>
      </c>
    </row>
    <row r="1898" spans="1:13" ht="15">
      <c r="A1898" s="2266" t="s">
        <v>4369</v>
      </c>
      <c r="B1898" s="1694" t="str">
        <f>CONCATENATE(LEFT(RIGHT(CONCATENATE("000",IFAData_TEA!A1898),6),3),"-",(RIGHT(RIGHT(CONCATENATE("000",IFAData_TEA!A1898),6),3)))</f>
        <v>226-903</v>
      </c>
      <c r="C1898" s="2266" t="s">
        <v>2307</v>
      </c>
      <c r="D1898" s="2266">
        <v>1</v>
      </c>
      <c r="E1898" s="2266">
        <v>2277</v>
      </c>
      <c r="F1898" s="2266" t="s">
        <v>6260</v>
      </c>
      <c r="G1898" s="2266" t="s">
        <v>6261</v>
      </c>
      <c r="H1898" s="2436">
        <v>726000</v>
      </c>
      <c r="I1898" s="2436">
        <v>306750</v>
      </c>
      <c r="J1898" s="2446">
        <v>0.70445662108845719</v>
      </c>
      <c r="K1898" s="2436">
        <v>511435.5069102199</v>
      </c>
      <c r="L1898" s="2436">
        <v>306750</v>
      </c>
      <c r="M1898" s="2266">
        <v>599</v>
      </c>
    </row>
    <row r="1899" spans="1:13" ht="15">
      <c r="A1899" s="2266" t="s">
        <v>4369</v>
      </c>
      <c r="B1899" s="1694" t="str">
        <f>CONCATENATE(LEFT(RIGHT(CONCATENATE("000",IFAData_TEA!A1899),6),3),"-",(RIGHT(RIGHT(CONCATENATE("000",IFAData_TEA!A1899),6),3)))</f>
        <v>226-903</v>
      </c>
      <c r="C1899" s="2266" t="s">
        <v>2307</v>
      </c>
      <c r="D1899" s="2266">
        <v>1</v>
      </c>
      <c r="E1899" s="2266">
        <v>2278</v>
      </c>
      <c r="F1899" s="2266" t="s">
        <v>6258</v>
      </c>
      <c r="G1899" s="2266" t="s">
        <v>6259</v>
      </c>
      <c r="H1899" s="2436">
        <v>1247036</v>
      </c>
      <c r="I1899" s="2436">
        <v>588350</v>
      </c>
      <c r="J1899" s="2446">
        <v>1</v>
      </c>
      <c r="K1899" s="2436">
        <v>1247036</v>
      </c>
      <c r="L1899" s="2436">
        <v>588350</v>
      </c>
      <c r="M1899" s="2266">
        <v>599</v>
      </c>
    </row>
    <row r="1900" spans="1:13" ht="15">
      <c r="A1900" s="2266" t="s">
        <v>4369</v>
      </c>
      <c r="B1900" s="1694" t="str">
        <f>CONCATENATE(LEFT(RIGHT(CONCATENATE("000",IFAData_TEA!A1900),6),3),"-",(RIGHT(RIGHT(CONCATENATE("000",IFAData_TEA!A1900),6),3)))</f>
        <v>226-903</v>
      </c>
      <c r="C1900" s="2266" t="s">
        <v>2307</v>
      </c>
      <c r="D1900" s="2266">
        <v>10</v>
      </c>
      <c r="E1900" s="2266">
        <v>2279</v>
      </c>
      <c r="F1900" s="2266" t="s">
        <v>6262</v>
      </c>
      <c r="G1900" s="2266" t="s">
        <v>6262</v>
      </c>
      <c r="H1900" s="2436">
        <v>3492500</v>
      </c>
      <c r="I1900" s="2436">
        <v>2508638</v>
      </c>
      <c r="J1900" s="2446">
        <v>0.33906332573292985</v>
      </c>
      <c r="K1900" s="2436">
        <v>1184178.6651222575</v>
      </c>
      <c r="L1900" s="2436">
        <v>1184178.6651222575</v>
      </c>
      <c r="M1900" s="2266">
        <v>599</v>
      </c>
    </row>
    <row r="1901" spans="1:13" ht="15">
      <c r="A1901" s="2266" t="s">
        <v>4370</v>
      </c>
      <c r="B1901" s="1694" t="str">
        <f>CONCATENATE(LEFT(RIGHT(CONCATENATE("000",IFAData_TEA!A1901),6),3),"-",(RIGHT(RIGHT(CONCATENATE("000",IFAData_TEA!A1901),6),3)))</f>
        <v>226-906</v>
      </c>
      <c r="C1901" s="2266" t="s">
        <v>158</v>
      </c>
      <c r="D1901" s="2266">
        <v>1</v>
      </c>
      <c r="E1901" s="2266">
        <v>2432</v>
      </c>
      <c r="F1901" s="2266" t="s">
        <v>6263</v>
      </c>
      <c r="G1901" s="2266" t="s">
        <v>6264</v>
      </c>
      <c r="H1901" s="2436">
        <v>216359</v>
      </c>
      <c r="I1901" s="2436">
        <v>211484</v>
      </c>
      <c r="J1901" s="2446">
        <v>1</v>
      </c>
      <c r="K1901" s="2436">
        <v>216359</v>
      </c>
      <c r="L1901" s="2436">
        <v>211484</v>
      </c>
      <c r="M1901" s="2266">
        <v>599</v>
      </c>
    </row>
    <row r="1902" spans="1:13" ht="15">
      <c r="A1902" s="2266" t="s">
        <v>4370</v>
      </c>
      <c r="B1902" s="1694" t="str">
        <f>CONCATENATE(LEFT(RIGHT(CONCATENATE("000",IFAData_TEA!A1902),6),3),"-",(RIGHT(RIGHT(CONCATENATE("000",IFAData_TEA!A1902),6),3)))</f>
        <v>226-906</v>
      </c>
      <c r="C1902" s="2266" t="s">
        <v>158</v>
      </c>
      <c r="D1902" s="2266">
        <v>1</v>
      </c>
      <c r="E1902" s="2266">
        <v>2432</v>
      </c>
      <c r="F1902" s="2266" t="s">
        <v>6263</v>
      </c>
      <c r="G1902" s="2266" t="s">
        <v>6263</v>
      </c>
      <c r="H1902" s="2436">
        <v>216359</v>
      </c>
      <c r="I1902" s="2436">
        <v>0</v>
      </c>
      <c r="J1902" s="2446">
        <v>0</v>
      </c>
      <c r="K1902" s="2436">
        <v>0</v>
      </c>
      <c r="L1902" s="2436">
        <v>0</v>
      </c>
      <c r="M1902" s="2266">
        <v>599</v>
      </c>
    </row>
    <row r="1903" spans="1:13" ht="15">
      <c r="A1903" s="2266" t="s">
        <v>4370</v>
      </c>
      <c r="B1903" s="1694" t="str">
        <f>CONCATENATE(LEFT(RIGHT(CONCATENATE("000",IFAData_TEA!A1903),6),3),"-",(RIGHT(RIGHT(CONCATENATE("000",IFAData_TEA!A1903),6),3)))</f>
        <v>226-906</v>
      </c>
      <c r="C1903" s="2266" t="s">
        <v>158</v>
      </c>
      <c r="D1903" s="2266">
        <v>1</v>
      </c>
      <c r="E1903" s="2266">
        <v>2432</v>
      </c>
      <c r="F1903" s="2266" t="s">
        <v>6263</v>
      </c>
      <c r="G1903" s="2266" t="s">
        <v>7064</v>
      </c>
      <c r="H1903" s="2436">
        <v>216359</v>
      </c>
      <c r="I1903" s="2436">
        <v>0</v>
      </c>
      <c r="J1903" s="2446">
        <v>0</v>
      </c>
      <c r="K1903" s="2436">
        <v>0</v>
      </c>
      <c r="L1903" s="2436">
        <v>0</v>
      </c>
      <c r="M1903" s="2266">
        <v>599</v>
      </c>
    </row>
    <row r="1904" spans="1:13" ht="15">
      <c r="A1904" s="2266" t="s">
        <v>4371</v>
      </c>
      <c r="B1904" s="1694" t="str">
        <f>CONCATENATE(LEFT(RIGHT(CONCATENATE("000",IFAData_TEA!A1904),6),3),"-",(RIGHT(RIGHT(CONCATENATE("000",IFAData_TEA!A1904),6),3)))</f>
        <v>226-907</v>
      </c>
      <c r="C1904" s="2266" t="s">
        <v>1947</v>
      </c>
      <c r="D1904" s="2266">
        <v>4</v>
      </c>
      <c r="E1904" s="2266">
        <v>1860</v>
      </c>
      <c r="F1904" s="2266" t="s">
        <v>6265</v>
      </c>
      <c r="G1904" s="2266" t="s">
        <v>6265</v>
      </c>
      <c r="H1904" s="2436">
        <v>498900</v>
      </c>
      <c r="I1904" s="2436">
        <v>0</v>
      </c>
      <c r="J1904" s="2446">
        <v>0</v>
      </c>
      <c r="K1904" s="2436">
        <v>0</v>
      </c>
      <c r="L1904" s="2436">
        <v>0</v>
      </c>
      <c r="M1904" s="2266">
        <v>599</v>
      </c>
    </row>
    <row r="1905" spans="1:13" ht="15">
      <c r="A1905" s="2266" t="s">
        <v>4371</v>
      </c>
      <c r="B1905" s="1694" t="str">
        <f>CONCATENATE(LEFT(RIGHT(CONCATENATE("000",IFAData_TEA!A1905),6),3),"-",(RIGHT(RIGHT(CONCATENATE("000",IFAData_TEA!A1905),6),3)))</f>
        <v>226-907</v>
      </c>
      <c r="C1905" s="2266" t="s">
        <v>1947</v>
      </c>
      <c r="D1905" s="2266">
        <v>4</v>
      </c>
      <c r="E1905" s="2266">
        <v>1860</v>
      </c>
      <c r="F1905" s="2266" t="s">
        <v>6265</v>
      </c>
      <c r="G1905" s="2266" t="s">
        <v>6266</v>
      </c>
      <c r="H1905" s="2436">
        <v>498900</v>
      </c>
      <c r="I1905" s="2436">
        <v>631334</v>
      </c>
      <c r="J1905" s="2446">
        <v>1</v>
      </c>
      <c r="K1905" s="2436">
        <v>498900</v>
      </c>
      <c r="L1905" s="2436">
        <v>498900</v>
      </c>
      <c r="M1905" s="2266">
        <v>599</v>
      </c>
    </row>
    <row r="1906" spans="1:13" ht="15">
      <c r="A1906" s="2266" t="s">
        <v>4372</v>
      </c>
      <c r="B1906" s="1694" t="str">
        <f>CONCATENATE(LEFT(RIGHT(CONCATENATE("000",IFAData_TEA!A1906),6),3),"-",(RIGHT(RIGHT(CONCATENATE("000",IFAData_TEA!A1906),6),3)))</f>
        <v>226-908</v>
      </c>
      <c r="C1906" s="2266" t="s">
        <v>3041</v>
      </c>
      <c r="D1906" s="2266">
        <v>5</v>
      </c>
      <c r="E1906" s="2266">
        <v>2425</v>
      </c>
      <c r="F1906" s="2266" t="s">
        <v>6267</v>
      </c>
      <c r="G1906" s="2266" t="s">
        <v>6267</v>
      </c>
      <c r="H1906" s="2436">
        <v>100000</v>
      </c>
      <c r="I1906" s="2436">
        <v>0</v>
      </c>
      <c r="J1906" s="2446">
        <v>0</v>
      </c>
      <c r="K1906" s="2436">
        <v>0</v>
      </c>
      <c r="L1906" s="2436">
        <v>0</v>
      </c>
      <c r="M1906" s="2266">
        <v>599</v>
      </c>
    </row>
    <row r="1907" spans="1:13" ht="15">
      <c r="A1907" s="2266" t="s">
        <v>4372</v>
      </c>
      <c r="B1907" s="1694" t="str">
        <f>CONCATENATE(LEFT(RIGHT(CONCATENATE("000",IFAData_TEA!A1907),6),3),"-",(RIGHT(RIGHT(CONCATENATE("000",IFAData_TEA!A1907),6),3)))</f>
        <v>226-908</v>
      </c>
      <c r="C1907" s="2266" t="s">
        <v>3041</v>
      </c>
      <c r="D1907" s="2266">
        <v>5</v>
      </c>
      <c r="E1907" s="2266">
        <v>2425</v>
      </c>
      <c r="F1907" s="2266" t="s">
        <v>6267</v>
      </c>
      <c r="G1907" s="2266" t="s">
        <v>6268</v>
      </c>
      <c r="H1907" s="2436">
        <v>100000</v>
      </c>
      <c r="I1907" s="2436">
        <v>95334</v>
      </c>
      <c r="J1907" s="2446">
        <v>1</v>
      </c>
      <c r="K1907" s="2436">
        <v>100000</v>
      </c>
      <c r="L1907" s="2436">
        <v>95334</v>
      </c>
      <c r="M1907" s="2266">
        <v>599</v>
      </c>
    </row>
    <row r="1908" spans="1:13" ht="15">
      <c r="A1908" s="2266" t="s">
        <v>4373</v>
      </c>
      <c r="B1908" s="1694" t="str">
        <f>CONCATENATE(LEFT(RIGHT(CONCATENATE("000",IFAData_TEA!A1908),6),3),"-",(RIGHT(RIGHT(CONCATENATE("000",IFAData_TEA!A1908),6),3)))</f>
        <v>227-904</v>
      </c>
      <c r="C1908" s="2266" t="s">
        <v>1125</v>
      </c>
      <c r="D1908" s="2266">
        <v>9</v>
      </c>
      <c r="E1908" s="2266">
        <v>2190</v>
      </c>
      <c r="F1908" s="2266" t="s">
        <v>6275</v>
      </c>
      <c r="G1908" s="2266" t="s">
        <v>7065</v>
      </c>
      <c r="H1908" s="2436">
        <v>5151250</v>
      </c>
      <c r="I1908" s="2436">
        <v>3474570</v>
      </c>
      <c r="J1908" s="2446">
        <v>0.3140147154209163</v>
      </c>
      <c r="K1908" s="2436">
        <v>1617568.3028119951</v>
      </c>
      <c r="L1908" s="2436">
        <v>1617568.3028119951</v>
      </c>
      <c r="M1908" s="2266">
        <v>599</v>
      </c>
    </row>
    <row r="1909" spans="1:13" ht="15">
      <c r="A1909" s="2266" t="s">
        <v>4373</v>
      </c>
      <c r="B1909" s="1694" t="str">
        <f>CONCATENATE(LEFT(RIGHT(CONCATENATE("000",IFAData_TEA!A1909),6),3),"-",(RIGHT(RIGHT(CONCATENATE("000",IFAData_TEA!A1909),6),3)))</f>
        <v>227-904</v>
      </c>
      <c r="C1909" s="2266" t="s">
        <v>1125</v>
      </c>
      <c r="D1909" s="2266">
        <v>1</v>
      </c>
      <c r="E1909" s="2266">
        <v>2188</v>
      </c>
      <c r="F1909" s="2266" t="s">
        <v>6272</v>
      </c>
      <c r="G1909" s="2266" t="s">
        <v>6272</v>
      </c>
      <c r="H1909" s="2436">
        <v>743639</v>
      </c>
      <c r="I1909" s="2436">
        <v>0</v>
      </c>
      <c r="J1909" s="2446">
        <v>0</v>
      </c>
      <c r="K1909" s="2436">
        <v>0</v>
      </c>
      <c r="L1909" s="2436">
        <v>0</v>
      </c>
      <c r="M1909" s="2266">
        <v>599</v>
      </c>
    </row>
    <row r="1910" spans="1:13" ht="15">
      <c r="A1910" s="2266" t="s">
        <v>4373</v>
      </c>
      <c r="B1910" s="1694" t="str">
        <f>CONCATENATE(LEFT(RIGHT(CONCATENATE("000",IFAData_TEA!A1910),6),3),"-",(RIGHT(RIGHT(CONCATENATE("000",IFAData_TEA!A1910),6),3)))</f>
        <v>227-904</v>
      </c>
      <c r="C1910" s="2266" t="s">
        <v>1125</v>
      </c>
      <c r="D1910" s="2266">
        <v>1</v>
      </c>
      <c r="E1910" s="2266">
        <v>2188</v>
      </c>
      <c r="F1910" s="2266" t="s">
        <v>6272</v>
      </c>
      <c r="G1910" s="2266" t="s">
        <v>6271</v>
      </c>
      <c r="H1910" s="2436">
        <v>743639</v>
      </c>
      <c r="I1910" s="2436">
        <v>57452</v>
      </c>
      <c r="J1910" s="2446">
        <v>6.7056737712820405E-2</v>
      </c>
      <c r="K1910" s="2436">
        <v>49866.005376024055</v>
      </c>
      <c r="L1910" s="2436">
        <v>49866.005376024055</v>
      </c>
      <c r="M1910" s="2266">
        <v>599</v>
      </c>
    </row>
    <row r="1911" spans="1:13" ht="15">
      <c r="A1911" s="2266" t="s">
        <v>4373</v>
      </c>
      <c r="B1911" s="1694" t="str">
        <f>CONCATENATE(LEFT(RIGHT(CONCATENATE("000",IFAData_TEA!A1911),6),3),"-",(RIGHT(RIGHT(CONCATENATE("000",IFAData_TEA!A1911),6),3)))</f>
        <v>227-904</v>
      </c>
      <c r="C1911" s="2266" t="s">
        <v>1125</v>
      </c>
      <c r="D1911" s="2266">
        <v>1</v>
      </c>
      <c r="E1911" s="2266">
        <v>2189</v>
      </c>
      <c r="F1911" s="2266" t="s">
        <v>6269</v>
      </c>
      <c r="G1911" s="2266" t="s">
        <v>6271</v>
      </c>
      <c r="H1911" s="2436">
        <v>906295</v>
      </c>
      <c r="I1911" s="2436">
        <v>250738</v>
      </c>
      <c r="J1911" s="2446">
        <v>1</v>
      </c>
      <c r="K1911" s="2436">
        <v>906295</v>
      </c>
      <c r="L1911" s="2436">
        <v>250738</v>
      </c>
      <c r="M1911" s="2266">
        <v>599</v>
      </c>
    </row>
    <row r="1912" spans="1:13" ht="15">
      <c r="A1912" s="2266" t="s">
        <v>4373</v>
      </c>
      <c r="B1912" s="1694" t="str">
        <f>CONCATENATE(LEFT(RIGHT(CONCATENATE("000",IFAData_TEA!A1912),6),3),"-",(RIGHT(RIGHT(CONCATENATE("000",IFAData_TEA!A1912),6),3)))</f>
        <v>227-904</v>
      </c>
      <c r="C1912" s="2266" t="s">
        <v>1125</v>
      </c>
      <c r="D1912" s="2266">
        <v>1</v>
      </c>
      <c r="E1912" s="2266">
        <v>2189</v>
      </c>
      <c r="F1912" s="2266" t="s">
        <v>6269</v>
      </c>
      <c r="G1912" s="2266" t="s">
        <v>6269</v>
      </c>
      <c r="H1912" s="2436">
        <v>906295</v>
      </c>
      <c r="I1912" s="2436">
        <v>0</v>
      </c>
      <c r="J1912" s="2446">
        <v>0</v>
      </c>
      <c r="K1912" s="2436">
        <v>0</v>
      </c>
      <c r="L1912" s="2436">
        <v>0</v>
      </c>
      <c r="M1912" s="2266">
        <v>599</v>
      </c>
    </row>
    <row r="1913" spans="1:13" ht="15">
      <c r="A1913" s="2266" t="s">
        <v>4373</v>
      </c>
      <c r="B1913" s="1694" t="str">
        <f>CONCATENATE(LEFT(RIGHT(CONCATENATE("000",IFAData_TEA!A1913),6),3),"-",(RIGHT(RIGHT(CONCATENATE("000",IFAData_TEA!A1913),6),3)))</f>
        <v>227-904</v>
      </c>
      <c r="C1913" s="2266" t="s">
        <v>1125</v>
      </c>
      <c r="D1913" s="2266">
        <v>1</v>
      </c>
      <c r="E1913" s="2266">
        <v>2188</v>
      </c>
      <c r="F1913" s="2266" t="s">
        <v>6272</v>
      </c>
      <c r="G1913" s="2266" t="s">
        <v>6273</v>
      </c>
      <c r="H1913" s="2436">
        <v>743639</v>
      </c>
      <c r="I1913" s="2436">
        <v>0</v>
      </c>
      <c r="J1913" s="2446">
        <v>0</v>
      </c>
      <c r="K1913" s="2436">
        <v>0</v>
      </c>
      <c r="L1913" s="2436">
        <v>0</v>
      </c>
      <c r="M1913" s="2266">
        <v>599</v>
      </c>
    </row>
    <row r="1914" spans="1:13" ht="15">
      <c r="A1914" s="2266" t="s">
        <v>4373</v>
      </c>
      <c r="B1914" s="1694" t="str">
        <f>CONCATENATE(LEFT(RIGHT(CONCATENATE("000",IFAData_TEA!A1914),6),3),"-",(RIGHT(RIGHT(CONCATENATE("000",IFAData_TEA!A1914),6),3)))</f>
        <v>227-904</v>
      </c>
      <c r="C1914" s="2266" t="s">
        <v>1125</v>
      </c>
      <c r="D1914" s="2266">
        <v>1</v>
      </c>
      <c r="E1914" s="2266">
        <v>2188</v>
      </c>
      <c r="F1914" s="2266" t="s">
        <v>6272</v>
      </c>
      <c r="G1914" s="2266" t="s">
        <v>6274</v>
      </c>
      <c r="H1914" s="2436">
        <v>743639</v>
      </c>
      <c r="I1914" s="2436">
        <v>799315</v>
      </c>
      <c r="J1914" s="2446">
        <v>0.93294326228717961</v>
      </c>
      <c r="K1914" s="2436">
        <v>693772.99462397594</v>
      </c>
      <c r="L1914" s="2436">
        <v>693772.99462397594</v>
      </c>
      <c r="M1914" s="2266">
        <v>599</v>
      </c>
    </row>
    <row r="1915" spans="1:13" ht="15">
      <c r="A1915" s="2266" t="s">
        <v>4373</v>
      </c>
      <c r="B1915" s="1694" t="str">
        <f>CONCATENATE(LEFT(RIGHT(CONCATENATE("000",IFAData_TEA!A1915),6),3),"-",(RIGHT(RIGHT(CONCATENATE("000",IFAData_TEA!A1915),6),3)))</f>
        <v>227-904</v>
      </c>
      <c r="C1915" s="2266" t="s">
        <v>1125</v>
      </c>
      <c r="D1915" s="2266">
        <v>1</v>
      </c>
      <c r="E1915" s="2266">
        <v>2189</v>
      </c>
      <c r="F1915" s="2266" t="s">
        <v>6269</v>
      </c>
      <c r="G1915" s="2266" t="s">
        <v>6270</v>
      </c>
      <c r="H1915" s="2436">
        <v>906295</v>
      </c>
      <c r="I1915" s="2436">
        <v>0</v>
      </c>
      <c r="J1915" s="2446">
        <v>0</v>
      </c>
      <c r="K1915" s="2436">
        <v>0</v>
      </c>
      <c r="L1915" s="2436">
        <v>0</v>
      </c>
      <c r="M1915" s="2266">
        <v>599</v>
      </c>
    </row>
    <row r="1916" spans="1:13" ht="15">
      <c r="A1916" s="2266" t="s">
        <v>4373</v>
      </c>
      <c r="B1916" s="1694" t="str">
        <f>CONCATENATE(LEFT(RIGHT(CONCATENATE("000",IFAData_TEA!A1916),6),3),"-",(RIGHT(RIGHT(CONCATENATE("000",IFAData_TEA!A1916),6),3)))</f>
        <v>227-904</v>
      </c>
      <c r="C1916" s="2266" t="s">
        <v>1125</v>
      </c>
      <c r="D1916" s="2266">
        <v>9</v>
      </c>
      <c r="E1916" s="2266">
        <v>2190</v>
      </c>
      <c r="F1916" s="2266" t="s">
        <v>6275</v>
      </c>
      <c r="G1916" s="2266" t="s">
        <v>6275</v>
      </c>
      <c r="H1916" s="2436">
        <v>5151250</v>
      </c>
      <c r="I1916" s="2436">
        <v>7590421</v>
      </c>
      <c r="J1916" s="2446">
        <v>0.6859852845790837</v>
      </c>
      <c r="K1916" s="2436">
        <v>3533681.6971880049</v>
      </c>
      <c r="L1916" s="2436">
        <v>3533681.6971880049</v>
      </c>
      <c r="M1916" s="2266">
        <v>599</v>
      </c>
    </row>
    <row r="1917" spans="1:13" ht="15">
      <c r="A1917" s="2266" t="s">
        <v>4374</v>
      </c>
      <c r="B1917" s="1694" t="str">
        <f>CONCATENATE(LEFT(RIGHT(CONCATENATE("000",IFAData_TEA!A1917),6),3),"-",(RIGHT(RIGHT(CONCATENATE("000",IFAData_TEA!A1917),6),3)))</f>
        <v>227-910</v>
      </c>
      <c r="C1917" s="2266" t="s">
        <v>3064</v>
      </c>
      <c r="D1917" s="2266">
        <v>1</v>
      </c>
      <c r="E1917" s="2266">
        <v>1751</v>
      </c>
      <c r="F1917" s="2266" t="s">
        <v>6276</v>
      </c>
      <c r="G1917" s="2266" t="s">
        <v>6278</v>
      </c>
      <c r="H1917" s="2436">
        <v>1138000</v>
      </c>
      <c r="I1917" s="2436">
        <v>2920822</v>
      </c>
      <c r="J1917" s="2446">
        <v>1</v>
      </c>
      <c r="K1917" s="2436">
        <v>1138000</v>
      </c>
      <c r="L1917" s="2436">
        <v>1138000</v>
      </c>
      <c r="M1917" s="2266">
        <v>599</v>
      </c>
    </row>
    <row r="1918" spans="1:13" ht="15">
      <c r="A1918" s="2266" t="s">
        <v>4374</v>
      </c>
      <c r="B1918" s="1694" t="str">
        <f>CONCATENATE(LEFT(RIGHT(CONCATENATE("000",IFAData_TEA!A1918),6),3),"-",(RIGHT(RIGHT(CONCATENATE("000",IFAData_TEA!A1918),6),3)))</f>
        <v>227-910</v>
      </c>
      <c r="C1918" s="2266" t="s">
        <v>3064</v>
      </c>
      <c r="D1918" s="2266">
        <v>1</v>
      </c>
      <c r="E1918" s="2266">
        <v>1751</v>
      </c>
      <c r="F1918" s="2266" t="s">
        <v>6276</v>
      </c>
      <c r="G1918" s="2266" t="s">
        <v>6276</v>
      </c>
      <c r="H1918" s="2436">
        <v>1138000</v>
      </c>
      <c r="I1918" s="2436">
        <v>0</v>
      </c>
      <c r="J1918" s="2446">
        <v>0</v>
      </c>
      <c r="K1918" s="2436">
        <v>0</v>
      </c>
      <c r="L1918" s="2436">
        <v>0</v>
      </c>
      <c r="M1918" s="2266">
        <v>599</v>
      </c>
    </row>
    <row r="1919" spans="1:13" ht="15">
      <c r="A1919" s="2266" t="s">
        <v>4374</v>
      </c>
      <c r="B1919" s="1694" t="str">
        <f>CONCATENATE(LEFT(RIGHT(CONCATENATE("000",IFAData_TEA!A1919),6),3),"-",(RIGHT(RIGHT(CONCATENATE("000",IFAData_TEA!A1919),6),3)))</f>
        <v>227-910</v>
      </c>
      <c r="C1919" s="2266" t="s">
        <v>3064</v>
      </c>
      <c r="D1919" s="2266">
        <v>1</v>
      </c>
      <c r="E1919" s="2266">
        <v>1751</v>
      </c>
      <c r="F1919" s="2266" t="s">
        <v>6276</v>
      </c>
      <c r="G1919" s="2266" t="s">
        <v>6277</v>
      </c>
      <c r="H1919" s="2436">
        <v>1138000</v>
      </c>
      <c r="I1919" s="2436">
        <v>0</v>
      </c>
      <c r="J1919" s="2446">
        <v>0</v>
      </c>
      <c r="K1919" s="2436">
        <v>0</v>
      </c>
      <c r="L1919" s="2436">
        <v>0</v>
      </c>
      <c r="M1919" s="2266">
        <v>599</v>
      </c>
    </row>
    <row r="1920" spans="1:13" ht="15">
      <c r="A1920" s="2266" t="s">
        <v>6279</v>
      </c>
      <c r="B1920" s="1694" t="str">
        <f>CONCATENATE(LEFT(RIGHT(CONCATENATE("000",IFAData_TEA!A1920),6),3),"-",(RIGHT(RIGHT(CONCATENATE("000",IFAData_TEA!A1920),6),3)))</f>
        <v>229-901</v>
      </c>
      <c r="C1920" s="2266" t="s">
        <v>1740</v>
      </c>
      <c r="D1920" s="2266">
        <v>5</v>
      </c>
      <c r="E1920" s="2266">
        <v>1707</v>
      </c>
      <c r="F1920" s="2266" t="s">
        <v>6280</v>
      </c>
      <c r="G1920" s="2266" t="s">
        <v>6280</v>
      </c>
      <c r="H1920" s="2436">
        <v>158074</v>
      </c>
      <c r="I1920" s="2436">
        <v>149652</v>
      </c>
      <c r="J1920" s="2446">
        <v>1</v>
      </c>
      <c r="K1920" s="2436">
        <v>158074</v>
      </c>
      <c r="L1920" s="2436">
        <v>149652</v>
      </c>
      <c r="M1920" s="2266">
        <v>199</v>
      </c>
    </row>
    <row r="1921" spans="1:13" ht="15">
      <c r="A1921" s="2266" t="s">
        <v>4375</v>
      </c>
      <c r="B1921" s="1694" t="str">
        <f>CONCATENATE(LEFT(RIGHT(CONCATENATE("000",IFAData_TEA!A1921),6),3),"-",(RIGHT(RIGHT(CONCATENATE("000",IFAData_TEA!A1921),6),3)))</f>
        <v>229-904</v>
      </c>
      <c r="C1921" s="2266" t="s">
        <v>2190</v>
      </c>
      <c r="D1921" s="2266">
        <v>10</v>
      </c>
      <c r="E1921" s="2266">
        <v>2437</v>
      </c>
      <c r="F1921" s="2266" t="s">
        <v>6282</v>
      </c>
      <c r="G1921" s="2266" t="s">
        <v>6282</v>
      </c>
      <c r="H1921" s="2436">
        <v>287703</v>
      </c>
      <c r="I1921" s="2436">
        <v>319074</v>
      </c>
      <c r="J1921" s="2446">
        <v>1</v>
      </c>
      <c r="K1921" s="2436">
        <v>287703</v>
      </c>
      <c r="L1921" s="2436">
        <v>287703</v>
      </c>
      <c r="M1921" s="2266">
        <v>599</v>
      </c>
    </row>
    <row r="1922" spans="1:13" ht="15">
      <c r="A1922" s="2266" t="s">
        <v>4375</v>
      </c>
      <c r="B1922" s="1694" t="str">
        <f>CONCATENATE(LEFT(RIGHT(CONCATENATE("000",IFAData_TEA!A1922),6),3),"-",(RIGHT(RIGHT(CONCATENATE("000",IFAData_TEA!A1922),6),3)))</f>
        <v>229-904</v>
      </c>
      <c r="C1922" s="2266" t="s">
        <v>2190</v>
      </c>
      <c r="D1922" s="2266">
        <v>9</v>
      </c>
      <c r="E1922" s="2266">
        <v>2436</v>
      </c>
      <c r="F1922" s="2266" t="s">
        <v>6281</v>
      </c>
      <c r="G1922" s="2266" t="s">
        <v>6281</v>
      </c>
      <c r="H1922" s="2436">
        <v>281704</v>
      </c>
      <c r="I1922" s="2436">
        <v>319139</v>
      </c>
      <c r="J1922" s="2446">
        <v>1</v>
      </c>
      <c r="K1922" s="2436">
        <v>281704</v>
      </c>
      <c r="L1922" s="2436">
        <v>281704</v>
      </c>
      <c r="M1922" s="2266">
        <v>599</v>
      </c>
    </row>
    <row r="1923" spans="1:13" ht="15">
      <c r="A1923" s="2266" t="s">
        <v>4376</v>
      </c>
      <c r="B1923" s="1694" t="str">
        <f>CONCATENATE(LEFT(RIGHT(CONCATENATE("000",IFAData_TEA!A1923),6),3),"-",(RIGHT(RIGHT(CONCATENATE("000",IFAData_TEA!A1923),6),3)))</f>
        <v>229-905</v>
      </c>
      <c r="C1923" s="2266" t="s">
        <v>2212</v>
      </c>
      <c r="D1923" s="2266">
        <v>5</v>
      </c>
      <c r="E1923" s="2266">
        <v>2380</v>
      </c>
      <c r="F1923" s="2266" t="s">
        <v>6283</v>
      </c>
      <c r="G1923" s="2266" t="s">
        <v>6283</v>
      </c>
      <c r="H1923" s="2436">
        <v>103335</v>
      </c>
      <c r="I1923" s="2436">
        <v>0</v>
      </c>
      <c r="J1923" s="2446">
        <v>0</v>
      </c>
      <c r="K1923" s="2436">
        <v>0</v>
      </c>
      <c r="L1923" s="2436">
        <v>0</v>
      </c>
      <c r="M1923" s="2266">
        <v>599</v>
      </c>
    </row>
    <row r="1924" spans="1:13" ht="15">
      <c r="A1924" s="2266" t="s">
        <v>4376</v>
      </c>
      <c r="B1924" s="1694" t="str">
        <f>CONCATENATE(LEFT(RIGHT(CONCATENATE("000",IFAData_TEA!A1924),6),3),"-",(RIGHT(RIGHT(CONCATENATE("000",IFAData_TEA!A1924),6),3)))</f>
        <v>229-905</v>
      </c>
      <c r="C1924" s="2266" t="s">
        <v>2212</v>
      </c>
      <c r="D1924" s="2266">
        <v>5</v>
      </c>
      <c r="E1924" s="2266">
        <v>2380</v>
      </c>
      <c r="F1924" s="2266" t="s">
        <v>6283</v>
      </c>
      <c r="G1924" s="2266" t="s">
        <v>6284</v>
      </c>
      <c r="H1924" s="2436">
        <v>103335</v>
      </c>
      <c r="I1924" s="2436">
        <v>185048</v>
      </c>
      <c r="J1924" s="2446">
        <v>1</v>
      </c>
      <c r="K1924" s="2436">
        <v>103335</v>
      </c>
      <c r="L1924" s="2436">
        <v>103335</v>
      </c>
      <c r="M1924" s="2266">
        <v>599</v>
      </c>
    </row>
    <row r="1925" spans="1:13" ht="15">
      <c r="A1925" s="2266" t="s">
        <v>4377</v>
      </c>
      <c r="B1925" s="1694" t="str">
        <f>CONCATENATE(LEFT(RIGHT(CONCATENATE("000",IFAData_TEA!A1925),6),3),"-",(RIGHT(RIGHT(CONCATENATE("000",IFAData_TEA!A1925),6),3)))</f>
        <v>229-906</v>
      </c>
      <c r="C1925" s="2266" t="s">
        <v>2499</v>
      </c>
      <c r="D1925" s="2266">
        <v>2</v>
      </c>
      <c r="E1925" s="2266">
        <v>1685</v>
      </c>
      <c r="F1925" s="2266" t="s">
        <v>6285</v>
      </c>
      <c r="G1925" s="2266" t="s">
        <v>6285</v>
      </c>
      <c r="H1925" s="2436">
        <v>71236</v>
      </c>
      <c r="I1925" s="2436">
        <v>65810</v>
      </c>
      <c r="J1925" s="2446">
        <v>1</v>
      </c>
      <c r="K1925" s="2436">
        <v>71236</v>
      </c>
      <c r="L1925" s="2436">
        <v>65810</v>
      </c>
      <c r="M1925" s="2266">
        <v>599</v>
      </c>
    </row>
    <row r="1926" spans="1:13" ht="15">
      <c r="A1926" s="2266" t="s">
        <v>4378</v>
      </c>
      <c r="B1926" s="1694" t="str">
        <f>CONCATENATE(LEFT(RIGHT(CONCATENATE("000",IFAData_TEA!A1926),6),3),"-",(RIGHT(RIGHT(CONCATENATE("000",IFAData_TEA!A1926),6),3)))</f>
        <v>230-903</v>
      </c>
      <c r="C1926" s="2266" t="s">
        <v>1152</v>
      </c>
      <c r="D1926" s="2266">
        <v>2</v>
      </c>
      <c r="E1926" s="2266">
        <v>2165</v>
      </c>
      <c r="F1926" s="2266" t="s">
        <v>6286</v>
      </c>
      <c r="G1926" s="2266" t="s">
        <v>6287</v>
      </c>
      <c r="H1926" s="2436">
        <v>184136</v>
      </c>
      <c r="I1926" s="2436">
        <v>166506</v>
      </c>
      <c r="J1926" s="2446">
        <v>1</v>
      </c>
      <c r="K1926" s="2436">
        <v>184136</v>
      </c>
      <c r="L1926" s="2436">
        <v>166506</v>
      </c>
      <c r="M1926" s="2266">
        <v>599</v>
      </c>
    </row>
    <row r="1927" spans="1:13" ht="15">
      <c r="A1927" s="2266" t="s">
        <v>4378</v>
      </c>
      <c r="B1927" s="1694" t="str">
        <f>CONCATENATE(LEFT(RIGHT(CONCATENATE("000",IFAData_TEA!A1927),6),3),"-",(RIGHT(RIGHT(CONCATENATE("000",IFAData_TEA!A1927),6),3)))</f>
        <v>230-903</v>
      </c>
      <c r="C1927" s="2266" t="s">
        <v>1152</v>
      </c>
      <c r="D1927" s="2266">
        <v>9</v>
      </c>
      <c r="E1927" s="2266">
        <v>2166</v>
      </c>
      <c r="F1927" s="2266" t="s">
        <v>6288</v>
      </c>
      <c r="G1927" s="2266" t="s">
        <v>6288</v>
      </c>
      <c r="H1927" s="2436">
        <v>202862</v>
      </c>
      <c r="I1927" s="2436">
        <v>472494</v>
      </c>
      <c r="J1927" s="2446">
        <v>1</v>
      </c>
      <c r="K1927" s="2436">
        <v>202862</v>
      </c>
      <c r="L1927" s="2436">
        <v>202862</v>
      </c>
      <c r="M1927" s="2266">
        <v>599</v>
      </c>
    </row>
    <row r="1928" spans="1:13" ht="15">
      <c r="A1928" s="2266" t="s">
        <v>4378</v>
      </c>
      <c r="B1928" s="1694" t="str">
        <f>CONCATENATE(LEFT(RIGHT(CONCATENATE("000",IFAData_TEA!A1928),6),3),"-",(RIGHT(RIGHT(CONCATENATE("000",IFAData_TEA!A1928),6),3)))</f>
        <v>230-903</v>
      </c>
      <c r="C1928" s="2266" t="s">
        <v>1152</v>
      </c>
      <c r="D1928" s="2266">
        <v>2</v>
      </c>
      <c r="E1928" s="2266">
        <v>2165</v>
      </c>
      <c r="F1928" s="2266" t="s">
        <v>6286</v>
      </c>
      <c r="G1928" s="2266" t="s">
        <v>6286</v>
      </c>
      <c r="H1928" s="2436">
        <v>184136</v>
      </c>
      <c r="I1928" s="2436">
        <v>0</v>
      </c>
      <c r="J1928" s="2446">
        <v>0</v>
      </c>
      <c r="K1928" s="2436">
        <v>0</v>
      </c>
      <c r="L1928" s="2436">
        <v>0</v>
      </c>
      <c r="M1928" s="2266">
        <v>599</v>
      </c>
    </row>
    <row r="1929" spans="1:13" ht="15">
      <c r="A1929" s="2266" t="s">
        <v>4379</v>
      </c>
      <c r="B1929" s="1694" t="str">
        <f>CONCATENATE(LEFT(RIGHT(CONCATENATE("000",IFAData_TEA!A1929),6),3),"-",(RIGHT(RIGHT(CONCATENATE("000",IFAData_TEA!A1929),6),3)))</f>
        <v>230-905</v>
      </c>
      <c r="C1929" s="2266" t="s">
        <v>935</v>
      </c>
      <c r="D1929" s="2266">
        <v>1</v>
      </c>
      <c r="E1929" s="2266">
        <v>1874</v>
      </c>
      <c r="F1929" s="2266" t="s">
        <v>6289</v>
      </c>
      <c r="G1929" s="2266" t="s">
        <v>6289</v>
      </c>
      <c r="H1929" s="2436">
        <v>223024</v>
      </c>
      <c r="I1929" s="2436">
        <v>0</v>
      </c>
      <c r="J1929" s="2446">
        <v>0</v>
      </c>
      <c r="K1929" s="2436">
        <v>0</v>
      </c>
      <c r="L1929" s="2436">
        <v>0</v>
      </c>
      <c r="M1929" s="2266">
        <v>599</v>
      </c>
    </row>
    <row r="1930" spans="1:13" ht="15">
      <c r="A1930" s="2266" t="s">
        <v>4379</v>
      </c>
      <c r="B1930" s="1694" t="str">
        <f>CONCATENATE(LEFT(RIGHT(CONCATENATE("000",IFAData_TEA!A1930),6),3),"-",(RIGHT(RIGHT(CONCATENATE("000",IFAData_TEA!A1930),6),3)))</f>
        <v>230-905</v>
      </c>
      <c r="C1930" s="2266" t="s">
        <v>935</v>
      </c>
      <c r="D1930" s="2266">
        <v>1</v>
      </c>
      <c r="E1930" s="2266">
        <v>1874</v>
      </c>
      <c r="F1930" s="2266" t="s">
        <v>6289</v>
      </c>
      <c r="G1930" s="2266" t="s">
        <v>6290</v>
      </c>
      <c r="H1930" s="2436">
        <v>223024</v>
      </c>
      <c r="I1930" s="2436">
        <v>244568</v>
      </c>
      <c r="J1930" s="2446">
        <v>1</v>
      </c>
      <c r="K1930" s="2436">
        <v>223024</v>
      </c>
      <c r="L1930" s="2436">
        <v>223024</v>
      </c>
      <c r="M1930" s="2266">
        <v>599</v>
      </c>
    </row>
    <row r="1931" spans="1:13" ht="15">
      <c r="A1931" s="2266" t="s">
        <v>4380</v>
      </c>
      <c r="B1931" s="1694" t="str">
        <f>CONCATENATE(LEFT(RIGHT(CONCATENATE("000",IFAData_TEA!A1931),6),3),"-",(RIGHT(RIGHT(CONCATENATE("000",IFAData_TEA!A1931),6),3)))</f>
        <v>230-906</v>
      </c>
      <c r="C1931" s="2266" t="s">
        <v>1729</v>
      </c>
      <c r="D1931" s="2266">
        <v>8</v>
      </c>
      <c r="E1931" s="2266">
        <v>2142</v>
      </c>
      <c r="F1931" s="2266" t="s">
        <v>6291</v>
      </c>
      <c r="G1931" s="2266" t="s">
        <v>6291</v>
      </c>
      <c r="H1931" s="2436">
        <v>207500</v>
      </c>
      <c r="I1931" s="2436">
        <v>263590</v>
      </c>
      <c r="J1931" s="2446">
        <v>1</v>
      </c>
      <c r="K1931" s="2436">
        <v>207500</v>
      </c>
      <c r="L1931" s="2436">
        <v>207500</v>
      </c>
      <c r="M1931" s="2266">
        <v>599</v>
      </c>
    </row>
    <row r="1932" spans="1:13" ht="15">
      <c r="A1932" s="2266" t="s">
        <v>4381</v>
      </c>
      <c r="B1932" s="1694" t="str">
        <f>CONCATENATE(LEFT(RIGHT(CONCATENATE("000",IFAData_TEA!A1932),6),3),"-",(RIGHT(RIGHT(CONCATENATE("000",IFAData_TEA!A1932),6),3)))</f>
        <v>232-901</v>
      </c>
      <c r="C1932" s="2266" t="s">
        <v>2832</v>
      </c>
      <c r="D1932" s="2266">
        <v>5</v>
      </c>
      <c r="E1932" s="2266">
        <v>1969</v>
      </c>
      <c r="F1932" s="2266" t="s">
        <v>6294</v>
      </c>
      <c r="G1932" s="2266" t="s">
        <v>6294</v>
      </c>
      <c r="H1932" s="2436">
        <v>39885</v>
      </c>
      <c r="I1932" s="2436">
        <v>0</v>
      </c>
      <c r="J1932" s="2446">
        <v>0</v>
      </c>
      <c r="K1932" s="2436">
        <v>0</v>
      </c>
      <c r="L1932" s="2436">
        <v>0</v>
      </c>
      <c r="M1932" s="2266">
        <v>599</v>
      </c>
    </row>
    <row r="1933" spans="1:13" ht="15">
      <c r="A1933" s="2266" t="s">
        <v>4381</v>
      </c>
      <c r="B1933" s="1694" t="str">
        <f>CONCATENATE(LEFT(RIGHT(CONCATENATE("000",IFAData_TEA!A1933),6),3),"-",(RIGHT(RIGHT(CONCATENATE("000",IFAData_TEA!A1933),6),3)))</f>
        <v>232-901</v>
      </c>
      <c r="C1933" s="2266" t="s">
        <v>2832</v>
      </c>
      <c r="D1933" s="2266">
        <v>2</v>
      </c>
      <c r="E1933" s="2266">
        <v>1970</v>
      </c>
      <c r="F1933" s="2266" t="s">
        <v>6292</v>
      </c>
      <c r="G1933" s="2266" t="s">
        <v>6292</v>
      </c>
      <c r="H1933" s="2436">
        <v>52660</v>
      </c>
      <c r="I1933" s="2436">
        <v>0</v>
      </c>
      <c r="J1933" s="2446">
        <v>0</v>
      </c>
      <c r="K1933" s="2436">
        <v>0</v>
      </c>
      <c r="L1933" s="2436">
        <v>0</v>
      </c>
      <c r="M1933" s="2266">
        <v>599</v>
      </c>
    </row>
    <row r="1934" spans="1:13" ht="15">
      <c r="A1934" s="2266" t="s">
        <v>4381</v>
      </c>
      <c r="B1934" s="1694" t="str">
        <f>CONCATENATE(LEFT(RIGHT(CONCATENATE("000",IFAData_TEA!A1934),6),3),"-",(RIGHT(RIGHT(CONCATENATE("000",IFAData_TEA!A1934),6),3)))</f>
        <v>232-901</v>
      </c>
      <c r="C1934" s="2266" t="s">
        <v>2832</v>
      </c>
      <c r="D1934" s="2266">
        <v>5</v>
      </c>
      <c r="E1934" s="2266">
        <v>1969</v>
      </c>
      <c r="F1934" s="2266" t="s">
        <v>6294</v>
      </c>
      <c r="G1934" s="2266" t="s">
        <v>6293</v>
      </c>
      <c r="H1934" s="2436">
        <v>39885</v>
      </c>
      <c r="I1934" s="2436">
        <v>41362</v>
      </c>
      <c r="J1934" s="2446">
        <v>1</v>
      </c>
      <c r="K1934" s="2436">
        <v>39885</v>
      </c>
      <c r="L1934" s="2436">
        <v>39885</v>
      </c>
      <c r="M1934" s="2266">
        <v>599</v>
      </c>
    </row>
    <row r="1935" spans="1:13" ht="15">
      <c r="A1935" s="2266" t="s">
        <v>4381</v>
      </c>
      <c r="B1935" s="1694" t="str">
        <f>CONCATENATE(LEFT(RIGHT(CONCATENATE("000",IFAData_TEA!A1935),6),3),"-",(RIGHT(RIGHT(CONCATENATE("000",IFAData_TEA!A1935),6),3)))</f>
        <v>232-901</v>
      </c>
      <c r="C1935" s="2266" t="s">
        <v>2832</v>
      </c>
      <c r="D1935" s="2266">
        <v>2</v>
      </c>
      <c r="E1935" s="2266">
        <v>1970</v>
      </c>
      <c r="F1935" s="2266" t="s">
        <v>6292</v>
      </c>
      <c r="G1935" s="2266" t="s">
        <v>6293</v>
      </c>
      <c r="H1935" s="2436">
        <v>52660</v>
      </c>
      <c r="I1935" s="2436">
        <v>46745</v>
      </c>
      <c r="J1935" s="2446">
        <v>1</v>
      </c>
      <c r="K1935" s="2436">
        <v>52660</v>
      </c>
      <c r="L1935" s="2436">
        <v>46745</v>
      </c>
      <c r="M1935" s="2266">
        <v>599</v>
      </c>
    </row>
    <row r="1936" spans="1:13" ht="15">
      <c r="A1936" s="2266" t="s">
        <v>4382</v>
      </c>
      <c r="B1936" s="1694" t="str">
        <f>CONCATENATE(LEFT(RIGHT(CONCATENATE("000",IFAData_TEA!A1936),6),3),"-",(RIGHT(RIGHT(CONCATENATE("000",IFAData_TEA!A1936),6),3)))</f>
        <v>232-902</v>
      </c>
      <c r="C1936" s="2266" t="s">
        <v>670</v>
      </c>
      <c r="D1936" s="2266">
        <v>5</v>
      </c>
      <c r="E1936" s="2266">
        <v>2274</v>
      </c>
      <c r="F1936" s="2266" t="s">
        <v>6295</v>
      </c>
      <c r="G1936" s="2266" t="s">
        <v>6296</v>
      </c>
      <c r="H1936" s="2436">
        <v>124225</v>
      </c>
      <c r="I1936" s="2436">
        <v>114222</v>
      </c>
      <c r="J1936" s="2446">
        <v>1</v>
      </c>
      <c r="K1936" s="2436">
        <v>124225</v>
      </c>
      <c r="L1936" s="2436">
        <v>114222</v>
      </c>
      <c r="M1936" s="2266">
        <v>599</v>
      </c>
    </row>
    <row r="1937" spans="1:13" ht="15">
      <c r="A1937" s="2266" t="s">
        <v>4382</v>
      </c>
      <c r="B1937" s="1694" t="str">
        <f>CONCATENATE(LEFT(RIGHT(CONCATENATE("000",IFAData_TEA!A1937),6),3),"-",(RIGHT(RIGHT(CONCATENATE("000",IFAData_TEA!A1937),6),3)))</f>
        <v>232-902</v>
      </c>
      <c r="C1937" s="2266" t="s">
        <v>670</v>
      </c>
      <c r="D1937" s="2266">
        <v>5</v>
      </c>
      <c r="E1937" s="2266">
        <v>2274</v>
      </c>
      <c r="F1937" s="2266" t="s">
        <v>6295</v>
      </c>
      <c r="G1937" s="2266" t="s">
        <v>6295</v>
      </c>
      <c r="H1937" s="2436">
        <v>124225</v>
      </c>
      <c r="I1937" s="2436">
        <v>0</v>
      </c>
      <c r="J1937" s="2446">
        <v>0</v>
      </c>
      <c r="K1937" s="2436">
        <v>0</v>
      </c>
      <c r="L1937" s="2436">
        <v>0</v>
      </c>
      <c r="M1937" s="2266">
        <v>599</v>
      </c>
    </row>
    <row r="1938" spans="1:13" ht="15">
      <c r="A1938" s="2266" t="s">
        <v>4383</v>
      </c>
      <c r="B1938" s="1694" t="str">
        <f>CONCATENATE(LEFT(RIGHT(CONCATENATE("000",IFAData_TEA!A1938),6),3),"-",(RIGHT(RIGHT(CONCATENATE("000",IFAData_TEA!A1938),6),3)))</f>
        <v>232-903</v>
      </c>
      <c r="C1938" s="2266" t="s">
        <v>327</v>
      </c>
      <c r="D1938" s="2266">
        <v>4</v>
      </c>
      <c r="E1938" s="2266">
        <v>2408</v>
      </c>
      <c r="F1938" s="2266" t="s">
        <v>6301</v>
      </c>
      <c r="G1938" s="2266" t="s">
        <v>6300</v>
      </c>
      <c r="H1938" s="2436">
        <v>1100156</v>
      </c>
      <c r="I1938" s="2436">
        <v>858028</v>
      </c>
      <c r="J1938" s="2446">
        <v>0.86785384118995268</v>
      </c>
      <c r="K1938" s="2436">
        <v>954774.61050817359</v>
      </c>
      <c r="L1938" s="2436">
        <v>858028</v>
      </c>
      <c r="M1938" s="2266">
        <v>599</v>
      </c>
    </row>
    <row r="1939" spans="1:13" ht="15">
      <c r="A1939" s="2266" t="s">
        <v>4383</v>
      </c>
      <c r="B1939" s="1694" t="str">
        <f>CONCATENATE(LEFT(RIGHT(CONCATENATE("000",IFAData_TEA!A1939),6),3),"-",(RIGHT(RIGHT(CONCATENATE("000",IFAData_TEA!A1939),6),3)))</f>
        <v>232-903</v>
      </c>
      <c r="C1939" s="2266" t="s">
        <v>327</v>
      </c>
      <c r="D1939" s="2266">
        <v>2</v>
      </c>
      <c r="E1939" s="2266">
        <v>2409</v>
      </c>
      <c r="F1939" s="2266" t="s">
        <v>6297</v>
      </c>
      <c r="G1939" s="2266" t="s">
        <v>6300</v>
      </c>
      <c r="H1939" s="2436">
        <v>1300000</v>
      </c>
      <c r="I1939" s="2436">
        <v>1105425</v>
      </c>
      <c r="J1939" s="2446">
        <v>0.89785888160860439</v>
      </c>
      <c r="K1939" s="2436">
        <v>1167216.5460911856</v>
      </c>
      <c r="L1939" s="2436">
        <v>1105425</v>
      </c>
      <c r="M1939" s="2266">
        <v>599</v>
      </c>
    </row>
    <row r="1940" spans="1:13" ht="15">
      <c r="A1940" s="2266" t="s">
        <v>4383</v>
      </c>
      <c r="B1940" s="1694" t="str">
        <f>CONCATENATE(LEFT(RIGHT(CONCATENATE("000",IFAData_TEA!A1940),6),3),"-",(RIGHT(RIGHT(CONCATENATE("000",IFAData_TEA!A1940),6),3)))</f>
        <v>232-903</v>
      </c>
      <c r="C1940" s="2266" t="s">
        <v>327</v>
      </c>
      <c r="D1940" s="2266">
        <v>4</v>
      </c>
      <c r="E1940" s="2266">
        <v>2408</v>
      </c>
      <c r="F1940" s="2266" t="s">
        <v>6301</v>
      </c>
      <c r="G1940" s="2266" t="s">
        <v>6299</v>
      </c>
      <c r="H1940" s="2436">
        <v>1100156</v>
      </c>
      <c r="I1940" s="2436">
        <v>130650</v>
      </c>
      <c r="J1940" s="2446">
        <v>0.13214615881004735</v>
      </c>
      <c r="K1940" s="2436">
        <v>145381.38949182644</v>
      </c>
      <c r="L1940" s="2436">
        <v>130650</v>
      </c>
      <c r="M1940" s="2266">
        <v>599</v>
      </c>
    </row>
    <row r="1941" spans="1:13" ht="15">
      <c r="A1941" s="2266" t="s">
        <v>4383</v>
      </c>
      <c r="B1941" s="1694" t="str">
        <f>CONCATENATE(LEFT(RIGHT(CONCATENATE("000",IFAData_TEA!A1941),6),3),"-",(RIGHT(RIGHT(CONCATENATE("000",IFAData_TEA!A1941),6),3)))</f>
        <v>232-903</v>
      </c>
      <c r="C1941" s="2266" t="s">
        <v>327</v>
      </c>
      <c r="D1941" s="2266">
        <v>2</v>
      </c>
      <c r="E1941" s="2266">
        <v>2409</v>
      </c>
      <c r="F1941" s="2266" t="s">
        <v>6297</v>
      </c>
      <c r="G1941" s="2266" t="s">
        <v>6299</v>
      </c>
      <c r="H1941" s="2436">
        <v>1300000</v>
      </c>
      <c r="I1941" s="2436">
        <v>125754</v>
      </c>
      <c r="J1941" s="2446">
        <v>0.10214111839139556</v>
      </c>
      <c r="K1941" s="2436">
        <v>132783.45390881423</v>
      </c>
      <c r="L1941" s="2436">
        <v>125754</v>
      </c>
      <c r="M1941" s="2266">
        <v>599</v>
      </c>
    </row>
    <row r="1942" spans="1:13" ht="15">
      <c r="A1942" s="2266" t="s">
        <v>4383</v>
      </c>
      <c r="B1942" s="1694" t="str">
        <f>CONCATENATE(LEFT(RIGHT(CONCATENATE("000",IFAData_TEA!A1942),6),3),"-",(RIGHT(RIGHT(CONCATENATE("000",IFAData_TEA!A1942),6),3)))</f>
        <v>232-903</v>
      </c>
      <c r="C1942" s="2266" t="s">
        <v>327</v>
      </c>
      <c r="D1942" s="2266">
        <v>4</v>
      </c>
      <c r="E1942" s="2266">
        <v>2408</v>
      </c>
      <c r="F1942" s="2266" t="s">
        <v>6301</v>
      </c>
      <c r="G1942" s="2266" t="s">
        <v>6301</v>
      </c>
      <c r="H1942" s="2436">
        <v>1100156</v>
      </c>
      <c r="I1942" s="2436">
        <v>0</v>
      </c>
      <c r="J1942" s="2446">
        <v>0</v>
      </c>
      <c r="K1942" s="2436">
        <v>0</v>
      </c>
      <c r="L1942" s="2436">
        <v>0</v>
      </c>
      <c r="M1942" s="2266">
        <v>599</v>
      </c>
    </row>
    <row r="1943" spans="1:13" ht="15">
      <c r="A1943" s="2266" t="s">
        <v>4383</v>
      </c>
      <c r="B1943" s="1694" t="str">
        <f>CONCATENATE(LEFT(RIGHT(CONCATENATE("000",IFAData_TEA!A1943),6),3),"-",(RIGHT(RIGHT(CONCATENATE("000",IFAData_TEA!A1943),6),3)))</f>
        <v>232-903</v>
      </c>
      <c r="C1943" s="2266" t="s">
        <v>327</v>
      </c>
      <c r="D1943" s="2266">
        <v>2</v>
      </c>
      <c r="E1943" s="2266">
        <v>2409</v>
      </c>
      <c r="F1943" s="2266" t="s">
        <v>6297</v>
      </c>
      <c r="G1943" s="2266" t="s">
        <v>6298</v>
      </c>
      <c r="H1943" s="2436">
        <v>1300000</v>
      </c>
      <c r="I1943" s="2436">
        <v>0</v>
      </c>
      <c r="J1943" s="2446">
        <v>0</v>
      </c>
      <c r="K1943" s="2436">
        <v>0</v>
      </c>
      <c r="L1943" s="2436">
        <v>0</v>
      </c>
      <c r="M1943" s="2266">
        <v>599</v>
      </c>
    </row>
    <row r="1944" spans="1:13" ht="15">
      <c r="A1944" s="2266" t="s">
        <v>4383</v>
      </c>
      <c r="B1944" s="1694" t="str">
        <f>CONCATENATE(LEFT(RIGHT(CONCATENATE("000",IFAData_TEA!A1944),6),3),"-",(RIGHT(RIGHT(CONCATENATE("000",IFAData_TEA!A1944),6),3)))</f>
        <v>232-903</v>
      </c>
      <c r="C1944" s="2266" t="s">
        <v>327</v>
      </c>
      <c r="D1944" s="2266">
        <v>4</v>
      </c>
      <c r="E1944" s="2266">
        <v>2408</v>
      </c>
      <c r="F1944" s="2266" t="s">
        <v>6301</v>
      </c>
      <c r="G1944" s="2266" t="s">
        <v>6298</v>
      </c>
      <c r="H1944" s="2436">
        <v>1100156</v>
      </c>
      <c r="I1944" s="2436">
        <v>0</v>
      </c>
      <c r="J1944" s="2446">
        <v>0</v>
      </c>
      <c r="K1944" s="2436">
        <v>0</v>
      </c>
      <c r="L1944" s="2436">
        <v>0</v>
      </c>
      <c r="M1944" s="2266">
        <v>599</v>
      </c>
    </row>
    <row r="1945" spans="1:13" ht="15">
      <c r="A1945" s="2266" t="s">
        <v>4383</v>
      </c>
      <c r="B1945" s="1694" t="str">
        <f>CONCATENATE(LEFT(RIGHT(CONCATENATE("000",IFAData_TEA!A1945),6),3),"-",(RIGHT(RIGHT(CONCATENATE("000",IFAData_TEA!A1945),6),3)))</f>
        <v>232-903</v>
      </c>
      <c r="C1945" s="2266" t="s">
        <v>327</v>
      </c>
      <c r="D1945" s="2266">
        <v>2</v>
      </c>
      <c r="E1945" s="2266">
        <v>2409</v>
      </c>
      <c r="F1945" s="2266" t="s">
        <v>6297</v>
      </c>
      <c r="G1945" s="2266" t="s">
        <v>6297</v>
      </c>
      <c r="H1945" s="2436">
        <v>1300000</v>
      </c>
      <c r="I1945" s="2436">
        <v>0</v>
      </c>
      <c r="J1945" s="2446">
        <v>0</v>
      </c>
      <c r="K1945" s="2436">
        <v>0</v>
      </c>
      <c r="L1945" s="2436">
        <v>0</v>
      </c>
      <c r="M1945" s="2266">
        <v>599</v>
      </c>
    </row>
    <row r="1946" spans="1:13" ht="15">
      <c r="A1946" s="2266" t="s">
        <v>4384</v>
      </c>
      <c r="B1946" s="1694" t="str">
        <f>CONCATENATE(LEFT(RIGHT(CONCATENATE("000",IFAData_TEA!A1946),6),3),"-",(RIGHT(RIGHT(CONCATENATE("000",IFAData_TEA!A1946),6),3)))</f>
        <v>233-901</v>
      </c>
      <c r="C1946" s="2266" t="s">
        <v>2460</v>
      </c>
      <c r="D1946" s="2266">
        <v>4</v>
      </c>
      <c r="E1946" s="2266">
        <v>2298</v>
      </c>
      <c r="F1946" s="2266" t="s">
        <v>6302</v>
      </c>
      <c r="G1946" s="2266" t="s">
        <v>6304</v>
      </c>
      <c r="H1946" s="2436">
        <v>2143670</v>
      </c>
      <c r="I1946" s="2436">
        <v>1934050</v>
      </c>
      <c r="J1946" s="2446">
        <v>1</v>
      </c>
      <c r="K1946" s="2436">
        <v>2143670</v>
      </c>
      <c r="L1946" s="2436">
        <v>1934050</v>
      </c>
      <c r="M1946" s="2266">
        <v>599</v>
      </c>
    </row>
    <row r="1947" spans="1:13" ht="15">
      <c r="A1947" s="2266" t="s">
        <v>4384</v>
      </c>
      <c r="B1947" s="1694" t="str">
        <f>CONCATENATE(LEFT(RIGHT(CONCATENATE("000",IFAData_TEA!A1947),6),3),"-",(RIGHT(RIGHT(CONCATENATE("000",IFAData_TEA!A1947),6),3)))</f>
        <v>233-901</v>
      </c>
      <c r="C1947" s="2266" t="s">
        <v>2460</v>
      </c>
      <c r="D1947" s="2266">
        <v>8</v>
      </c>
      <c r="E1947" s="2266">
        <v>2297</v>
      </c>
      <c r="F1947" s="2266" t="s">
        <v>6305</v>
      </c>
      <c r="G1947" s="2266" t="s">
        <v>6305</v>
      </c>
      <c r="H1947" s="2436">
        <v>1506687</v>
      </c>
      <c r="I1947" s="2436">
        <v>1163626</v>
      </c>
      <c r="J1947" s="2446">
        <v>0.69111407284925541</v>
      </c>
      <c r="K1947" s="2436">
        <v>1041292.5890790261</v>
      </c>
      <c r="L1947" s="2436">
        <v>1041292.5890790261</v>
      </c>
      <c r="M1947" s="2266">
        <v>599</v>
      </c>
    </row>
    <row r="1948" spans="1:13" ht="15">
      <c r="A1948" s="2266" t="s">
        <v>4384</v>
      </c>
      <c r="B1948" s="1694" t="str">
        <f>CONCATENATE(LEFT(RIGHT(CONCATENATE("000",IFAData_TEA!A1948),6),3),"-",(RIGHT(RIGHT(CONCATENATE("000",IFAData_TEA!A1948),6),3)))</f>
        <v>233-901</v>
      </c>
      <c r="C1948" s="2266" t="s">
        <v>2460</v>
      </c>
      <c r="D1948" s="2266">
        <v>4</v>
      </c>
      <c r="E1948" s="2266">
        <v>2298</v>
      </c>
      <c r="F1948" s="2266" t="s">
        <v>6302</v>
      </c>
      <c r="G1948" s="2266" t="s">
        <v>6302</v>
      </c>
      <c r="H1948" s="2436">
        <v>2143670</v>
      </c>
      <c r="I1948" s="2436">
        <v>0</v>
      </c>
      <c r="J1948" s="2446">
        <v>0</v>
      </c>
      <c r="K1948" s="2436">
        <v>0</v>
      </c>
      <c r="L1948" s="2436">
        <v>0</v>
      </c>
      <c r="M1948" s="2266">
        <v>599</v>
      </c>
    </row>
    <row r="1949" spans="1:13" ht="15">
      <c r="A1949" s="2266" t="s">
        <v>4384</v>
      </c>
      <c r="B1949" s="1694" t="str">
        <f>CONCATENATE(LEFT(RIGHT(CONCATENATE("000",IFAData_TEA!A1949),6),3),"-",(RIGHT(RIGHT(CONCATENATE("000",IFAData_TEA!A1949),6),3)))</f>
        <v>233-901</v>
      </c>
      <c r="C1949" s="2266" t="s">
        <v>2460</v>
      </c>
      <c r="D1949" s="2266">
        <v>4</v>
      </c>
      <c r="E1949" s="2266">
        <v>2298</v>
      </c>
      <c r="F1949" s="2266" t="s">
        <v>6302</v>
      </c>
      <c r="G1949" s="2266" t="s">
        <v>6303</v>
      </c>
      <c r="H1949" s="2436">
        <v>2143670</v>
      </c>
      <c r="I1949" s="2436">
        <v>0</v>
      </c>
      <c r="J1949" s="2446">
        <v>0</v>
      </c>
      <c r="K1949" s="2436">
        <v>0</v>
      </c>
      <c r="L1949" s="2436">
        <v>0</v>
      </c>
      <c r="M1949" s="2266">
        <v>599</v>
      </c>
    </row>
    <row r="1950" spans="1:13" ht="15">
      <c r="A1950" s="2266" t="s">
        <v>4384</v>
      </c>
      <c r="B1950" s="1694" t="str">
        <f>CONCATENATE(LEFT(RIGHT(CONCATENATE("000",IFAData_TEA!A1950),6),3),"-",(RIGHT(RIGHT(CONCATENATE("000",IFAData_TEA!A1950),6),3)))</f>
        <v>233-901</v>
      </c>
      <c r="C1950" s="2266" t="s">
        <v>2460</v>
      </c>
      <c r="D1950" s="2266">
        <v>9</v>
      </c>
      <c r="E1950" s="2266">
        <v>2296</v>
      </c>
      <c r="F1950" s="2266" t="s">
        <v>6307</v>
      </c>
      <c r="G1950" s="2266" t="s">
        <v>6307</v>
      </c>
      <c r="H1950" s="2436">
        <v>866517</v>
      </c>
      <c r="I1950" s="2436">
        <v>846869</v>
      </c>
      <c r="J1950" s="2446">
        <v>1</v>
      </c>
      <c r="K1950" s="2436">
        <v>866517</v>
      </c>
      <c r="L1950" s="2436">
        <v>846869</v>
      </c>
      <c r="M1950" s="2266">
        <v>599</v>
      </c>
    </row>
    <row r="1951" spans="1:13" ht="15">
      <c r="A1951" s="2266" t="s">
        <v>4384</v>
      </c>
      <c r="B1951" s="1694" t="str">
        <f>CONCATENATE(LEFT(RIGHT(CONCATENATE("000",IFAData_TEA!A1951),6),3),"-",(RIGHT(RIGHT(CONCATENATE("000",IFAData_TEA!A1951),6),3)))</f>
        <v>233-901</v>
      </c>
      <c r="C1951" s="2266" t="s">
        <v>2460</v>
      </c>
      <c r="D1951" s="2266">
        <v>8</v>
      </c>
      <c r="E1951" s="2266">
        <v>2297</v>
      </c>
      <c r="F1951" s="2266" t="s">
        <v>6305</v>
      </c>
      <c r="G1951" s="2266" t="s">
        <v>6306</v>
      </c>
      <c r="H1951" s="2436">
        <v>1506687</v>
      </c>
      <c r="I1951" s="2436">
        <v>322875</v>
      </c>
      <c r="J1951" s="2446">
        <v>0.19176561564557973</v>
      </c>
      <c r="K1951" s="2436">
        <v>288930.76014019159</v>
      </c>
      <c r="L1951" s="2436">
        <v>288930.76014019159</v>
      </c>
      <c r="M1951" s="2266">
        <v>599</v>
      </c>
    </row>
    <row r="1952" spans="1:13" ht="15">
      <c r="A1952" s="2266" t="s">
        <v>4384</v>
      </c>
      <c r="B1952" s="1694" t="str">
        <f>CONCATENATE(LEFT(RIGHT(CONCATENATE("000",IFAData_TEA!A1952),6),3),"-",(RIGHT(RIGHT(CONCATENATE("000",IFAData_TEA!A1952),6),3)))</f>
        <v>233-901</v>
      </c>
      <c r="C1952" s="2266" t="s">
        <v>2460</v>
      </c>
      <c r="D1952" s="2266">
        <v>8</v>
      </c>
      <c r="E1952" s="2266">
        <v>2297</v>
      </c>
      <c r="F1952" s="2266" t="s">
        <v>6305</v>
      </c>
      <c r="G1952" s="2266" t="s">
        <v>7066</v>
      </c>
      <c r="H1952" s="2436">
        <v>1506687</v>
      </c>
      <c r="I1952" s="2436">
        <v>197195</v>
      </c>
      <c r="J1952" s="2446">
        <v>0.11712031150516483</v>
      </c>
      <c r="K1952" s="2436">
        <v>176463.65078078228</v>
      </c>
      <c r="L1952" s="2436">
        <v>176463.65078078228</v>
      </c>
      <c r="M1952" s="2266">
        <v>599</v>
      </c>
    </row>
    <row r="1953" spans="1:13" ht="15">
      <c r="A1953" s="2266" t="s">
        <v>4385</v>
      </c>
      <c r="B1953" s="1694" t="str">
        <f>CONCATENATE(LEFT(RIGHT(CONCATENATE("000",IFAData_TEA!A1953),6),3),"-",(RIGHT(RIGHT(CONCATENATE("000",IFAData_TEA!A1953),6),3)))</f>
        <v>234-902</v>
      </c>
      <c r="C1953" s="2266" t="s">
        <v>1310</v>
      </c>
      <c r="D1953" s="2266">
        <v>10</v>
      </c>
      <c r="E1953" s="2266">
        <v>1661</v>
      </c>
      <c r="F1953" s="2266" t="s">
        <v>6308</v>
      </c>
      <c r="G1953" s="2266" t="s">
        <v>7067</v>
      </c>
      <c r="H1953" s="2436">
        <v>944380</v>
      </c>
      <c r="I1953" s="2436">
        <v>233289</v>
      </c>
      <c r="J1953" s="2446">
        <v>0.1294952168328406</v>
      </c>
      <c r="K1953" s="2436">
        <v>122292.69287259801</v>
      </c>
      <c r="L1953" s="2436">
        <v>122292.69287259801</v>
      </c>
      <c r="M1953" s="2266">
        <v>599</v>
      </c>
    </row>
    <row r="1954" spans="1:13" ht="15">
      <c r="A1954" s="2266" t="s">
        <v>4385</v>
      </c>
      <c r="B1954" s="1694" t="str">
        <f>CONCATENATE(LEFT(RIGHT(CONCATENATE("000",IFAData_TEA!A1954),6),3),"-",(RIGHT(RIGHT(CONCATENATE("000",IFAData_TEA!A1954),6),3)))</f>
        <v>234-902</v>
      </c>
      <c r="C1954" s="2266" t="s">
        <v>1310</v>
      </c>
      <c r="D1954" s="2266">
        <v>10</v>
      </c>
      <c r="E1954" s="2266">
        <v>1661</v>
      </c>
      <c r="F1954" s="2266" t="s">
        <v>6308</v>
      </c>
      <c r="G1954" s="2266" t="s">
        <v>7068</v>
      </c>
      <c r="H1954" s="2436">
        <v>944380</v>
      </c>
      <c r="I1954" s="2436">
        <v>377816</v>
      </c>
      <c r="J1954" s="2446">
        <v>0.20971998183761989</v>
      </c>
      <c r="K1954" s="2436">
        <v>198055.35644781147</v>
      </c>
      <c r="L1954" s="2436">
        <v>198055.35644781147</v>
      </c>
      <c r="M1954" s="2266">
        <v>599</v>
      </c>
    </row>
    <row r="1955" spans="1:13" ht="15">
      <c r="A1955" s="2266" t="s">
        <v>4385</v>
      </c>
      <c r="B1955" s="1694" t="str">
        <f>CONCATENATE(LEFT(RIGHT(CONCATENATE("000",IFAData_TEA!A1955),6),3),"-",(RIGHT(RIGHT(CONCATENATE("000",IFAData_TEA!A1955),6),3)))</f>
        <v>234-902</v>
      </c>
      <c r="C1955" s="2266" t="s">
        <v>1310</v>
      </c>
      <c r="D1955" s="2266">
        <v>10</v>
      </c>
      <c r="E1955" s="2266">
        <v>1661</v>
      </c>
      <c r="F1955" s="2266" t="s">
        <v>6308</v>
      </c>
      <c r="G1955" s="2266" t="s">
        <v>6308</v>
      </c>
      <c r="H1955" s="2436">
        <v>944380</v>
      </c>
      <c r="I1955" s="2436">
        <v>1190421</v>
      </c>
      <c r="J1955" s="2446">
        <v>0.66078480132953954</v>
      </c>
      <c r="K1955" s="2436">
        <v>624031.95067959058</v>
      </c>
      <c r="L1955" s="2436">
        <v>624031.95067959058</v>
      </c>
      <c r="M1955" s="2266">
        <v>599</v>
      </c>
    </row>
    <row r="1956" spans="1:13" ht="15">
      <c r="A1956" s="2266" t="s">
        <v>4386</v>
      </c>
      <c r="B1956" s="1694" t="str">
        <f>CONCATENATE(LEFT(RIGHT(CONCATENATE("000",IFAData_TEA!A1956),6),3),"-",(RIGHT(RIGHT(CONCATENATE("000",IFAData_TEA!A1956),6),3)))</f>
        <v>234-904</v>
      </c>
      <c r="C1956" s="2266" t="s">
        <v>976</v>
      </c>
      <c r="D1956" s="2266">
        <v>5</v>
      </c>
      <c r="E1956" s="2266">
        <v>1857</v>
      </c>
      <c r="F1956" s="2266" t="s">
        <v>6309</v>
      </c>
      <c r="G1956" s="2266" t="s">
        <v>6309</v>
      </c>
      <c r="H1956" s="2436">
        <v>287500</v>
      </c>
      <c r="I1956" s="2436">
        <v>0</v>
      </c>
      <c r="J1956" s="2446">
        <v>0</v>
      </c>
      <c r="K1956" s="2436">
        <v>0</v>
      </c>
      <c r="L1956" s="2436">
        <v>0</v>
      </c>
      <c r="M1956" s="2266">
        <v>599</v>
      </c>
    </row>
    <row r="1957" spans="1:13" ht="15">
      <c r="A1957" s="2266" t="s">
        <v>4386</v>
      </c>
      <c r="B1957" s="1694" t="str">
        <f>CONCATENATE(LEFT(RIGHT(CONCATENATE("000",IFAData_TEA!A1957),6),3),"-",(RIGHT(RIGHT(CONCATENATE("000",IFAData_TEA!A1957),6),3)))</f>
        <v>234-904</v>
      </c>
      <c r="C1957" s="2266" t="s">
        <v>976</v>
      </c>
      <c r="D1957" s="2266">
        <v>5</v>
      </c>
      <c r="E1957" s="2266">
        <v>1857</v>
      </c>
      <c r="F1957" s="2266" t="s">
        <v>6309</v>
      </c>
      <c r="G1957" s="2266" t="s">
        <v>6310</v>
      </c>
      <c r="H1957" s="2436">
        <v>287500</v>
      </c>
      <c r="I1957" s="2436">
        <v>567558</v>
      </c>
      <c r="J1957" s="2446">
        <v>1</v>
      </c>
      <c r="K1957" s="2436">
        <v>287500</v>
      </c>
      <c r="L1957" s="2436">
        <v>287500</v>
      </c>
      <c r="M1957" s="2266">
        <v>599</v>
      </c>
    </row>
    <row r="1958" spans="1:13" ht="15">
      <c r="A1958" s="2266" t="s">
        <v>4387</v>
      </c>
      <c r="B1958" s="1694" t="str">
        <f>CONCATENATE(LEFT(RIGHT(CONCATENATE("000",IFAData_TEA!A1958),6),3),"-",(RIGHT(RIGHT(CONCATENATE("000",IFAData_TEA!A1958),6),3)))</f>
        <v>234-905</v>
      </c>
      <c r="C1958" s="2266" t="s">
        <v>2359</v>
      </c>
      <c r="D1958" s="2266">
        <v>2</v>
      </c>
      <c r="E1958" s="2266">
        <v>2070</v>
      </c>
      <c r="F1958" s="2266" t="s">
        <v>6311</v>
      </c>
      <c r="G1958" s="2266" t="s">
        <v>6311</v>
      </c>
      <c r="H1958" s="2436">
        <v>95558</v>
      </c>
      <c r="I1958" s="2436">
        <v>0</v>
      </c>
      <c r="J1958" s="2446">
        <v>0</v>
      </c>
      <c r="K1958" s="2436">
        <v>0</v>
      </c>
      <c r="L1958" s="2436">
        <v>0</v>
      </c>
      <c r="M1958" s="2266">
        <v>599</v>
      </c>
    </row>
    <row r="1959" spans="1:13" ht="15">
      <c r="A1959" s="2266" t="s">
        <v>4387</v>
      </c>
      <c r="B1959" s="1694" t="str">
        <f>CONCATENATE(LEFT(RIGHT(CONCATENATE("000",IFAData_TEA!A1959),6),3),"-",(RIGHT(RIGHT(CONCATENATE("000",IFAData_TEA!A1959),6),3)))</f>
        <v>234-905</v>
      </c>
      <c r="C1959" s="2266" t="s">
        <v>2359</v>
      </c>
      <c r="D1959" s="2266">
        <v>2</v>
      </c>
      <c r="E1959" s="2266">
        <v>2070</v>
      </c>
      <c r="F1959" s="2266" t="s">
        <v>6311</v>
      </c>
      <c r="G1959" s="2266" t="s">
        <v>6312</v>
      </c>
      <c r="H1959" s="2436">
        <v>95558</v>
      </c>
      <c r="I1959" s="2436">
        <v>86780</v>
      </c>
      <c r="J1959" s="2446">
        <v>1</v>
      </c>
      <c r="K1959" s="2436">
        <v>95558</v>
      </c>
      <c r="L1959" s="2436">
        <v>86780</v>
      </c>
      <c r="M1959" s="2266">
        <v>599</v>
      </c>
    </row>
    <row r="1960" spans="1:13" ht="15">
      <c r="A1960" s="2266" t="s">
        <v>4387</v>
      </c>
      <c r="B1960" s="1694" t="str">
        <f>CONCATENATE(LEFT(RIGHT(CONCATENATE("000",IFAData_TEA!A1960),6),3),"-",(RIGHT(RIGHT(CONCATENATE("000",IFAData_TEA!A1960),6),3)))</f>
        <v>234-905</v>
      </c>
      <c r="C1960" s="2266" t="s">
        <v>2359</v>
      </c>
      <c r="D1960" s="2266">
        <v>10</v>
      </c>
      <c r="E1960" s="2266">
        <v>2071</v>
      </c>
      <c r="F1960" s="2266" t="s">
        <v>6313</v>
      </c>
      <c r="G1960" s="2266" t="s">
        <v>6313</v>
      </c>
      <c r="H1960" s="2436">
        <v>121250</v>
      </c>
      <c r="I1960" s="2436">
        <v>150194</v>
      </c>
      <c r="J1960" s="2446">
        <v>1</v>
      </c>
      <c r="K1960" s="2436">
        <v>121250</v>
      </c>
      <c r="L1960" s="2436">
        <v>121250</v>
      </c>
      <c r="M1960" s="2266">
        <v>599</v>
      </c>
    </row>
    <row r="1961" spans="1:13" ht="15">
      <c r="A1961" s="2266" t="s">
        <v>4388</v>
      </c>
      <c r="B1961" s="1694" t="str">
        <f>CONCATENATE(LEFT(RIGHT(CONCATENATE("000",IFAData_TEA!A1961),6),3),"-",(RIGHT(RIGHT(CONCATENATE("000",IFAData_TEA!A1961),6),3)))</f>
        <v>234-906</v>
      </c>
      <c r="C1961" s="2266" t="s">
        <v>1311</v>
      </c>
      <c r="D1961" s="2266">
        <v>9</v>
      </c>
      <c r="E1961" s="2266">
        <v>2421</v>
      </c>
      <c r="F1961" s="2266" t="s">
        <v>6314</v>
      </c>
      <c r="G1961" s="2266" t="s">
        <v>7069</v>
      </c>
      <c r="H1961" s="2436">
        <v>518746</v>
      </c>
      <c r="I1961" s="2436">
        <v>80903</v>
      </c>
      <c r="J1961" s="2446">
        <v>5.14877105492434E-2</v>
      </c>
      <c r="K1961" s="2436">
        <v>26709.043896577816</v>
      </c>
      <c r="L1961" s="2436">
        <v>26709.043896577816</v>
      </c>
      <c r="M1961" s="2266">
        <v>599</v>
      </c>
    </row>
    <row r="1962" spans="1:13" ht="15">
      <c r="A1962" s="2266" t="s">
        <v>4388</v>
      </c>
      <c r="B1962" s="1694" t="str">
        <f>CONCATENATE(LEFT(RIGHT(CONCATENATE("000",IFAData_TEA!A1962),6),3),"-",(RIGHT(RIGHT(CONCATENATE("000",IFAData_TEA!A1962),6),3)))</f>
        <v>234-906</v>
      </c>
      <c r="C1962" s="2266" t="s">
        <v>1311</v>
      </c>
      <c r="D1962" s="2266">
        <v>9</v>
      </c>
      <c r="E1962" s="2266">
        <v>2421</v>
      </c>
      <c r="F1962" s="2266" t="s">
        <v>6314</v>
      </c>
      <c r="G1962" s="2266" t="s">
        <v>7070</v>
      </c>
      <c r="H1962" s="2436">
        <v>518746</v>
      </c>
      <c r="I1962" s="2436">
        <v>256668</v>
      </c>
      <c r="J1962" s="2446">
        <v>0.16334681892208205</v>
      </c>
      <c r="K1962" s="2436">
        <v>84735.50892855438</v>
      </c>
      <c r="L1962" s="2436">
        <v>84735.50892855438</v>
      </c>
      <c r="M1962" s="2266">
        <v>599</v>
      </c>
    </row>
    <row r="1963" spans="1:13" ht="15">
      <c r="A1963" s="2266" t="s">
        <v>4388</v>
      </c>
      <c r="B1963" s="1694" t="str">
        <f>CONCATENATE(LEFT(RIGHT(CONCATENATE("000",IFAData_TEA!A1963),6),3),"-",(RIGHT(RIGHT(CONCATENATE("000",IFAData_TEA!A1963),6),3)))</f>
        <v>234-906</v>
      </c>
      <c r="C1963" s="2266" t="s">
        <v>1311</v>
      </c>
      <c r="D1963" s="2266">
        <v>9</v>
      </c>
      <c r="E1963" s="2266">
        <v>2421</v>
      </c>
      <c r="F1963" s="2266" t="s">
        <v>6314</v>
      </c>
      <c r="G1963" s="2266" t="s">
        <v>6314</v>
      </c>
      <c r="H1963" s="2436">
        <v>518746</v>
      </c>
      <c r="I1963" s="2436">
        <v>1233736</v>
      </c>
      <c r="J1963" s="2446">
        <v>0.78516547052867458</v>
      </c>
      <c r="K1963" s="2436">
        <v>407301.44717486785</v>
      </c>
      <c r="L1963" s="2436">
        <v>407301.44717486785</v>
      </c>
      <c r="M1963" s="2266">
        <v>599</v>
      </c>
    </row>
    <row r="1964" spans="1:13" ht="15">
      <c r="A1964" s="2266" t="s">
        <v>4389</v>
      </c>
      <c r="B1964" s="1694" t="str">
        <f>CONCATENATE(LEFT(RIGHT(CONCATENATE("000",IFAData_TEA!A1964),6),3),"-",(RIGHT(RIGHT(CONCATENATE("000",IFAData_TEA!A1964),6),3)))</f>
        <v>234-909</v>
      </c>
      <c r="C1964" s="2266" t="s">
        <v>1668</v>
      </c>
      <c r="D1964" s="2266">
        <v>6</v>
      </c>
      <c r="E1964" s="2266">
        <v>1832</v>
      </c>
      <c r="F1964" s="2266" t="s">
        <v>6315</v>
      </c>
      <c r="G1964" s="2266" t="s">
        <v>6316</v>
      </c>
      <c r="H1964" s="2436">
        <v>95608</v>
      </c>
      <c r="I1964" s="2436">
        <v>86300</v>
      </c>
      <c r="J1964" s="2446">
        <v>1</v>
      </c>
      <c r="K1964" s="2436">
        <v>95608</v>
      </c>
      <c r="L1964" s="2436">
        <v>86300</v>
      </c>
      <c r="M1964" s="2266">
        <v>599</v>
      </c>
    </row>
    <row r="1965" spans="1:13" ht="15">
      <c r="A1965" s="2266" t="s">
        <v>4389</v>
      </c>
      <c r="B1965" s="1694" t="str">
        <f>CONCATENATE(LEFT(RIGHT(CONCATENATE("000",IFAData_TEA!A1965),6),3),"-",(RIGHT(RIGHT(CONCATENATE("000",IFAData_TEA!A1965),6),3)))</f>
        <v>234-909</v>
      </c>
      <c r="C1965" s="2266" t="s">
        <v>1668</v>
      </c>
      <c r="D1965" s="2266">
        <v>6</v>
      </c>
      <c r="E1965" s="2266">
        <v>1832</v>
      </c>
      <c r="F1965" s="2266" t="s">
        <v>6315</v>
      </c>
      <c r="G1965" s="2266" t="s">
        <v>6315</v>
      </c>
      <c r="H1965" s="2436">
        <v>95608</v>
      </c>
      <c r="I1965" s="2436">
        <v>0</v>
      </c>
      <c r="J1965" s="2446">
        <v>0</v>
      </c>
      <c r="K1965" s="2436">
        <v>0</v>
      </c>
      <c r="L1965" s="2436">
        <v>0</v>
      </c>
      <c r="M1965" s="2266">
        <v>599</v>
      </c>
    </row>
    <row r="1966" spans="1:13" ht="15">
      <c r="A1966" s="2266" t="s">
        <v>4390</v>
      </c>
      <c r="B1966" s="1694" t="str">
        <f>CONCATENATE(LEFT(RIGHT(CONCATENATE("000",IFAData_TEA!A1966),6),3),"-",(RIGHT(RIGHT(CONCATENATE("000",IFAData_TEA!A1966),6),3)))</f>
        <v>235-901</v>
      </c>
      <c r="C1966" s="2266" t="s">
        <v>1520</v>
      </c>
      <c r="D1966" s="2266">
        <v>6</v>
      </c>
      <c r="E1966" s="2266">
        <v>1619</v>
      </c>
      <c r="F1966" s="2266" t="s">
        <v>6319</v>
      </c>
      <c r="G1966" s="2266" t="s">
        <v>6318</v>
      </c>
      <c r="H1966" s="2436">
        <v>218942</v>
      </c>
      <c r="I1966" s="2436">
        <v>78014</v>
      </c>
      <c r="J1966" s="2446">
        <v>0.36976263602927234</v>
      </c>
      <c r="K1966" s="2436">
        <v>80956.571057520938</v>
      </c>
      <c r="L1966" s="2436">
        <v>78014</v>
      </c>
      <c r="M1966" s="2266">
        <v>599</v>
      </c>
    </row>
    <row r="1967" spans="1:13" ht="15">
      <c r="A1967" s="2266" t="s">
        <v>4390</v>
      </c>
      <c r="B1967" s="1694" t="str">
        <f>CONCATENATE(LEFT(RIGHT(CONCATENATE("000",IFAData_TEA!A1967),6),3),"-",(RIGHT(RIGHT(CONCATENATE("000",IFAData_TEA!A1967),6),3)))</f>
        <v>235-901</v>
      </c>
      <c r="C1967" s="2266" t="s">
        <v>1520</v>
      </c>
      <c r="D1967" s="2266">
        <v>3</v>
      </c>
      <c r="E1967" s="2266">
        <v>1620</v>
      </c>
      <c r="F1967" s="2266" t="s">
        <v>6317</v>
      </c>
      <c r="G1967" s="2266" t="s">
        <v>6318</v>
      </c>
      <c r="H1967" s="2436">
        <v>239379</v>
      </c>
      <c r="I1967" s="2436">
        <v>238386</v>
      </c>
      <c r="J1967" s="2446">
        <v>1</v>
      </c>
      <c r="K1967" s="2436">
        <v>239379</v>
      </c>
      <c r="L1967" s="2436">
        <v>238386</v>
      </c>
      <c r="M1967" s="2266">
        <v>599</v>
      </c>
    </row>
    <row r="1968" spans="1:13" ht="15">
      <c r="A1968" s="2266" t="s">
        <v>4390</v>
      </c>
      <c r="B1968" s="1694" t="str">
        <f>CONCATENATE(LEFT(RIGHT(CONCATENATE("000",IFAData_TEA!A1968),6),3),"-",(RIGHT(RIGHT(CONCATENATE("000",IFAData_TEA!A1968),6),3)))</f>
        <v>235-901</v>
      </c>
      <c r="C1968" s="2266" t="s">
        <v>1520</v>
      </c>
      <c r="D1968" s="2266">
        <v>6</v>
      </c>
      <c r="E1968" s="2266">
        <v>1619</v>
      </c>
      <c r="F1968" s="2266" t="s">
        <v>6319</v>
      </c>
      <c r="G1968" s="2266" t="s">
        <v>6320</v>
      </c>
      <c r="H1968" s="2436">
        <v>218942</v>
      </c>
      <c r="I1968" s="2436">
        <v>132970</v>
      </c>
      <c r="J1968" s="2446">
        <v>0.6302373639707276</v>
      </c>
      <c r="K1968" s="2436">
        <v>137985.42894247905</v>
      </c>
      <c r="L1968" s="2436">
        <v>132970</v>
      </c>
      <c r="M1968" s="2266">
        <v>599</v>
      </c>
    </row>
    <row r="1969" spans="1:13" ht="15">
      <c r="A1969" s="2266" t="s">
        <v>4390</v>
      </c>
      <c r="B1969" s="1694" t="str">
        <f>CONCATENATE(LEFT(RIGHT(CONCATENATE("000",IFAData_TEA!A1969),6),3),"-",(RIGHT(RIGHT(CONCATENATE("000",IFAData_TEA!A1969),6),3)))</f>
        <v>235-901</v>
      </c>
      <c r="C1969" s="2266" t="s">
        <v>1520</v>
      </c>
      <c r="D1969" s="2266">
        <v>10</v>
      </c>
      <c r="E1969" s="2266">
        <v>1618</v>
      </c>
      <c r="F1969" s="2266" t="s">
        <v>6321</v>
      </c>
      <c r="G1969" s="2266" t="s">
        <v>6321</v>
      </c>
      <c r="H1969" s="2436">
        <v>191935</v>
      </c>
      <c r="I1969" s="2436">
        <v>364603</v>
      </c>
      <c r="J1969" s="2446">
        <v>1</v>
      </c>
      <c r="K1969" s="2436">
        <v>191935</v>
      </c>
      <c r="L1969" s="2436">
        <v>191935</v>
      </c>
      <c r="M1969" s="2266">
        <v>599</v>
      </c>
    </row>
    <row r="1970" spans="1:13" ht="15">
      <c r="A1970" s="2266" t="s">
        <v>4390</v>
      </c>
      <c r="B1970" s="1694" t="str">
        <f>CONCATENATE(LEFT(RIGHT(CONCATENATE("000",IFAData_TEA!A1970),6),3),"-",(RIGHT(RIGHT(CONCATENATE("000",IFAData_TEA!A1970),6),3)))</f>
        <v>235-901</v>
      </c>
      <c r="C1970" s="2266" t="s">
        <v>1520</v>
      </c>
      <c r="D1970" s="2266">
        <v>3</v>
      </c>
      <c r="E1970" s="2266">
        <v>1620</v>
      </c>
      <c r="F1970" s="2266" t="s">
        <v>6317</v>
      </c>
      <c r="G1970" s="2266" t="s">
        <v>6317</v>
      </c>
      <c r="H1970" s="2436">
        <v>239379</v>
      </c>
      <c r="I1970" s="2436">
        <v>0</v>
      </c>
      <c r="J1970" s="2446">
        <v>0</v>
      </c>
      <c r="K1970" s="2436">
        <v>0</v>
      </c>
      <c r="L1970" s="2436">
        <v>0</v>
      </c>
      <c r="M1970" s="2266">
        <v>599</v>
      </c>
    </row>
    <row r="1971" spans="1:13" ht="15">
      <c r="A1971" s="2266" t="s">
        <v>4390</v>
      </c>
      <c r="B1971" s="1694" t="str">
        <f>CONCATENATE(LEFT(RIGHT(CONCATENATE("000",IFAData_TEA!A1971),6),3),"-",(RIGHT(RIGHT(CONCATENATE("000",IFAData_TEA!A1971),6),3)))</f>
        <v>235-901</v>
      </c>
      <c r="C1971" s="2266" t="s">
        <v>1520</v>
      </c>
      <c r="D1971" s="2266">
        <v>6</v>
      </c>
      <c r="E1971" s="2266">
        <v>1619</v>
      </c>
      <c r="F1971" s="2266" t="s">
        <v>6319</v>
      </c>
      <c r="G1971" s="2266" t="s">
        <v>6319</v>
      </c>
      <c r="H1971" s="2436">
        <v>218942</v>
      </c>
      <c r="I1971" s="2436">
        <v>0</v>
      </c>
      <c r="J1971" s="2446">
        <v>0</v>
      </c>
      <c r="K1971" s="2436">
        <v>0</v>
      </c>
      <c r="L1971" s="2436">
        <v>0</v>
      </c>
      <c r="M1971" s="2266">
        <v>599</v>
      </c>
    </row>
    <row r="1972" spans="1:13" ht="15">
      <c r="A1972" s="2266" t="s">
        <v>4391</v>
      </c>
      <c r="B1972" s="1694" t="str">
        <f>CONCATENATE(LEFT(RIGHT(CONCATENATE("000",IFAData_TEA!A1972),6),3),"-",(RIGHT(RIGHT(CONCATENATE("000",IFAData_TEA!A1972),6),3)))</f>
        <v>235-902</v>
      </c>
      <c r="C1972" s="2266" t="s">
        <v>155</v>
      </c>
      <c r="D1972" s="2266">
        <v>2</v>
      </c>
      <c r="E1972" s="2266">
        <v>2426</v>
      </c>
      <c r="F1972" s="2266" t="s">
        <v>6322</v>
      </c>
      <c r="G1972" s="2266" t="s">
        <v>7071</v>
      </c>
      <c r="H1972" s="2436">
        <v>2126212</v>
      </c>
      <c r="I1972" s="2436">
        <v>630148</v>
      </c>
      <c r="J1972" s="2446">
        <v>0.32110417587076501</v>
      </c>
      <c r="K1972" s="2436">
        <v>682735.55198653101</v>
      </c>
      <c r="L1972" s="2436">
        <v>630148</v>
      </c>
      <c r="M1972" s="2266">
        <v>599</v>
      </c>
    </row>
    <row r="1973" spans="1:13" ht="15">
      <c r="A1973" s="2266" t="s">
        <v>4391</v>
      </c>
      <c r="B1973" s="1694" t="str">
        <f>CONCATENATE(LEFT(RIGHT(CONCATENATE("000",IFAData_TEA!A1973),6),3),"-",(RIGHT(RIGHT(CONCATENATE("000",IFAData_TEA!A1973),6),3)))</f>
        <v>235-902</v>
      </c>
      <c r="C1973" s="2266" t="s">
        <v>155</v>
      </c>
      <c r="D1973" s="2266">
        <v>2</v>
      </c>
      <c r="E1973" s="2266">
        <v>2426</v>
      </c>
      <c r="F1973" s="2266" t="s">
        <v>6322</v>
      </c>
      <c r="G1973" s="2266" t="s">
        <v>6322</v>
      </c>
      <c r="H1973" s="2436">
        <v>2126212</v>
      </c>
      <c r="I1973" s="2436">
        <v>0</v>
      </c>
      <c r="J1973" s="2446">
        <v>0</v>
      </c>
      <c r="K1973" s="2436">
        <v>0</v>
      </c>
      <c r="L1973" s="2436">
        <v>0</v>
      </c>
      <c r="M1973" s="2266">
        <v>599</v>
      </c>
    </row>
    <row r="1974" spans="1:13" ht="15">
      <c r="A1974" s="2266" t="s">
        <v>4391</v>
      </c>
      <c r="B1974" s="1694" t="str">
        <f>CONCATENATE(LEFT(RIGHT(CONCATENATE("000",IFAData_TEA!A1974),6),3),"-",(RIGHT(RIGHT(CONCATENATE("000",IFAData_TEA!A1974),6),3)))</f>
        <v>235-902</v>
      </c>
      <c r="C1974" s="2266" t="s">
        <v>155</v>
      </c>
      <c r="D1974" s="2266">
        <v>2</v>
      </c>
      <c r="E1974" s="2266">
        <v>2426</v>
      </c>
      <c r="F1974" s="2266" t="s">
        <v>6322</v>
      </c>
      <c r="G1974" s="2266" t="s">
        <v>6323</v>
      </c>
      <c r="H1974" s="2436">
        <v>2126212</v>
      </c>
      <c r="I1974" s="2436">
        <v>1332293</v>
      </c>
      <c r="J1974" s="2446">
        <v>0.67889582412923499</v>
      </c>
      <c r="K1974" s="2436">
        <v>1443476.4480134689</v>
      </c>
      <c r="L1974" s="2436">
        <v>1332293</v>
      </c>
      <c r="M1974" s="2266">
        <v>599</v>
      </c>
    </row>
    <row r="1975" spans="1:13" ht="15">
      <c r="A1975" s="2266" t="s">
        <v>4391</v>
      </c>
      <c r="B1975" s="1694" t="str">
        <f>CONCATENATE(LEFT(RIGHT(CONCATENATE("000",IFAData_TEA!A1975),6),3),"-",(RIGHT(RIGHT(CONCATENATE("000",IFAData_TEA!A1975),6),3)))</f>
        <v>235-902</v>
      </c>
      <c r="C1975" s="2266" t="s">
        <v>155</v>
      </c>
      <c r="D1975" s="2266">
        <v>9</v>
      </c>
      <c r="E1975" s="2266">
        <v>2427</v>
      </c>
      <c r="F1975" s="2266" t="s">
        <v>6324</v>
      </c>
      <c r="G1975" s="2266" t="s">
        <v>6324</v>
      </c>
      <c r="H1975" s="2436">
        <v>3088095</v>
      </c>
      <c r="I1975" s="2436">
        <v>6123191</v>
      </c>
      <c r="J1975" s="2446">
        <v>1</v>
      </c>
      <c r="K1975" s="2436">
        <v>3088095</v>
      </c>
      <c r="L1975" s="2436">
        <v>3088095</v>
      </c>
      <c r="M1975" s="2266">
        <v>599</v>
      </c>
    </row>
    <row r="1976" spans="1:13" ht="15">
      <c r="A1976" s="2266" t="s">
        <v>4392</v>
      </c>
      <c r="B1976" s="1694" t="str">
        <f>CONCATENATE(LEFT(RIGHT(CONCATENATE("000",IFAData_TEA!A1976),6),3),"-",(RIGHT(RIGHT(CONCATENATE("000",IFAData_TEA!A1976),6),3)))</f>
        <v>236-901</v>
      </c>
      <c r="C1976" s="2266" t="s">
        <v>1307</v>
      </c>
      <c r="D1976" s="2266">
        <v>6</v>
      </c>
      <c r="E1976" s="2266">
        <v>2144</v>
      </c>
      <c r="F1976" s="2266" t="s">
        <v>6327</v>
      </c>
      <c r="G1976" s="2266" t="s">
        <v>6328</v>
      </c>
      <c r="H1976" s="2436">
        <v>207728</v>
      </c>
      <c r="I1976" s="2436">
        <v>328012</v>
      </c>
      <c r="J1976" s="2446">
        <v>1</v>
      </c>
      <c r="K1976" s="2436">
        <v>207728</v>
      </c>
      <c r="L1976" s="2436">
        <v>207728</v>
      </c>
      <c r="M1976" s="2266">
        <v>599</v>
      </c>
    </row>
    <row r="1977" spans="1:13" ht="15">
      <c r="A1977" s="2266" t="s">
        <v>4392</v>
      </c>
      <c r="B1977" s="1694" t="str">
        <f>CONCATENATE(LEFT(RIGHT(CONCATENATE("000",IFAData_TEA!A1977),6),3),"-",(RIGHT(RIGHT(CONCATENATE("000",IFAData_TEA!A1977),6),3)))</f>
        <v>236-901</v>
      </c>
      <c r="C1977" s="2266" t="s">
        <v>1307</v>
      </c>
      <c r="D1977" s="2266">
        <v>2</v>
      </c>
      <c r="E1977" s="2266">
        <v>2145</v>
      </c>
      <c r="F1977" s="2266" t="s">
        <v>6325</v>
      </c>
      <c r="G1977" s="2266" t="s">
        <v>6325</v>
      </c>
      <c r="H1977" s="2436">
        <v>227546</v>
      </c>
      <c r="I1977" s="2436">
        <v>0</v>
      </c>
      <c r="J1977" s="2446">
        <v>0</v>
      </c>
      <c r="K1977" s="2436">
        <v>0</v>
      </c>
      <c r="L1977" s="2436">
        <v>0</v>
      </c>
      <c r="M1977" s="2266">
        <v>599</v>
      </c>
    </row>
    <row r="1978" spans="1:13" ht="15">
      <c r="A1978" s="2266" t="s">
        <v>4392</v>
      </c>
      <c r="B1978" s="1694" t="str">
        <f>CONCATENATE(LEFT(RIGHT(CONCATENATE("000",IFAData_TEA!A1978),6),3),"-",(RIGHT(RIGHT(CONCATENATE("000",IFAData_TEA!A1978),6),3)))</f>
        <v>236-901</v>
      </c>
      <c r="C1978" s="2266" t="s">
        <v>1307</v>
      </c>
      <c r="D1978" s="2266">
        <v>2</v>
      </c>
      <c r="E1978" s="2266">
        <v>2145</v>
      </c>
      <c r="F1978" s="2266" t="s">
        <v>6325</v>
      </c>
      <c r="G1978" s="2266" t="s">
        <v>6326</v>
      </c>
      <c r="H1978" s="2436">
        <v>227546</v>
      </c>
      <c r="I1978" s="2436">
        <v>262975</v>
      </c>
      <c r="J1978" s="2446">
        <v>1</v>
      </c>
      <c r="K1978" s="2436">
        <v>227546</v>
      </c>
      <c r="L1978" s="2436">
        <v>227546</v>
      </c>
      <c r="M1978" s="2266">
        <v>599</v>
      </c>
    </row>
    <row r="1979" spans="1:13" ht="15">
      <c r="A1979" s="2266" t="s">
        <v>4392</v>
      </c>
      <c r="B1979" s="1694" t="str">
        <f>CONCATENATE(LEFT(RIGHT(CONCATENATE("000",IFAData_TEA!A1979),6),3),"-",(RIGHT(RIGHT(CONCATENATE("000",IFAData_TEA!A1979),6),3)))</f>
        <v>236-901</v>
      </c>
      <c r="C1979" s="2266" t="s">
        <v>1307</v>
      </c>
      <c r="D1979" s="2266">
        <v>6</v>
      </c>
      <c r="E1979" s="2266">
        <v>2144</v>
      </c>
      <c r="F1979" s="2266" t="s">
        <v>6327</v>
      </c>
      <c r="G1979" s="2266" t="s">
        <v>6327</v>
      </c>
      <c r="H1979" s="2436">
        <v>207728</v>
      </c>
      <c r="I1979" s="2436">
        <v>0</v>
      </c>
      <c r="J1979" s="2446">
        <v>0</v>
      </c>
      <c r="K1979" s="2436">
        <v>0</v>
      </c>
      <c r="L1979" s="2436">
        <v>0</v>
      </c>
      <c r="M1979" s="2266">
        <v>599</v>
      </c>
    </row>
    <row r="1980" spans="1:13" ht="15">
      <c r="A1980" s="2266" t="s">
        <v>4393</v>
      </c>
      <c r="B1980" s="1694" t="str">
        <f>CONCATENATE(LEFT(RIGHT(CONCATENATE("000",IFAData_TEA!A1980),6),3),"-",(RIGHT(RIGHT(CONCATENATE("000",IFAData_TEA!A1980),6),3)))</f>
        <v>236-902</v>
      </c>
      <c r="C1980" s="2266" t="s">
        <v>106</v>
      </c>
      <c r="D1980" s="2266">
        <v>10</v>
      </c>
      <c r="E1980" s="2266">
        <v>1919</v>
      </c>
      <c r="F1980" s="2266" t="s">
        <v>6329</v>
      </c>
      <c r="G1980" s="2266" t="s">
        <v>6329</v>
      </c>
      <c r="H1980" s="2436">
        <v>470421</v>
      </c>
      <c r="I1980" s="2436">
        <v>468032</v>
      </c>
      <c r="J1980" s="2446">
        <v>1</v>
      </c>
      <c r="K1980" s="2436">
        <v>470421</v>
      </c>
      <c r="L1980" s="2436">
        <v>468032</v>
      </c>
      <c r="M1980" s="2266">
        <v>199</v>
      </c>
    </row>
    <row r="1981" spans="1:13" ht="15">
      <c r="A1981" s="2266" t="s">
        <v>4394</v>
      </c>
      <c r="B1981" s="1694" t="str">
        <f>CONCATENATE(LEFT(RIGHT(CONCATENATE("000",IFAData_TEA!A1981),6),3),"-",(RIGHT(RIGHT(CONCATENATE("000",IFAData_TEA!A1981),6),3)))</f>
        <v>237-902</v>
      </c>
      <c r="C1981" s="2266" t="s">
        <v>2722</v>
      </c>
      <c r="D1981" s="2266">
        <v>6</v>
      </c>
      <c r="E1981" s="2266">
        <v>1882</v>
      </c>
      <c r="F1981" s="2266" t="s">
        <v>6330</v>
      </c>
      <c r="G1981" s="2266" t="s">
        <v>7072</v>
      </c>
      <c r="H1981" s="2436">
        <v>361936</v>
      </c>
      <c r="I1981" s="2436">
        <v>60892</v>
      </c>
      <c r="J1981" s="2446">
        <v>0.14719518857479899</v>
      </c>
      <c r="K1981" s="2436">
        <v>53275.237772008448</v>
      </c>
      <c r="L1981" s="2436">
        <v>53275.237772008448</v>
      </c>
      <c r="M1981" s="2266">
        <v>599</v>
      </c>
    </row>
    <row r="1982" spans="1:13" ht="15">
      <c r="A1982" s="2266" t="s">
        <v>4394</v>
      </c>
      <c r="B1982" s="1694" t="str">
        <f>CONCATENATE(LEFT(RIGHT(CONCATENATE("000",IFAData_TEA!A1982),6),3),"-",(RIGHT(RIGHT(CONCATENATE("000",IFAData_TEA!A1982),6),3)))</f>
        <v>237-902</v>
      </c>
      <c r="C1982" s="2266" t="s">
        <v>2722</v>
      </c>
      <c r="D1982" s="2266">
        <v>6</v>
      </c>
      <c r="E1982" s="2266">
        <v>1882</v>
      </c>
      <c r="F1982" s="2266" t="s">
        <v>6330</v>
      </c>
      <c r="G1982" s="2266" t="s">
        <v>6330</v>
      </c>
      <c r="H1982" s="2436">
        <v>361936</v>
      </c>
      <c r="I1982" s="2436">
        <v>0</v>
      </c>
      <c r="J1982" s="2446">
        <v>0</v>
      </c>
      <c r="K1982" s="2436">
        <v>0</v>
      </c>
      <c r="L1982" s="2436">
        <v>0</v>
      </c>
      <c r="M1982" s="2266">
        <v>599</v>
      </c>
    </row>
    <row r="1983" spans="1:13" ht="15">
      <c r="A1983" s="2266" t="s">
        <v>4394</v>
      </c>
      <c r="B1983" s="1694" t="str">
        <f>CONCATENATE(LEFT(RIGHT(CONCATENATE("000",IFAData_TEA!A1983),6),3),"-",(RIGHT(RIGHT(CONCATENATE("000",IFAData_TEA!A1983),6),3)))</f>
        <v>237-902</v>
      </c>
      <c r="C1983" s="2266" t="s">
        <v>2722</v>
      </c>
      <c r="D1983" s="2266">
        <v>6</v>
      </c>
      <c r="E1983" s="2266">
        <v>1882</v>
      </c>
      <c r="F1983" s="2266" t="s">
        <v>6330</v>
      </c>
      <c r="G1983" s="2266" t="s">
        <v>6331</v>
      </c>
      <c r="H1983" s="2436">
        <v>361936</v>
      </c>
      <c r="I1983" s="2436">
        <v>352790</v>
      </c>
      <c r="J1983" s="2446">
        <v>0.85280481142520104</v>
      </c>
      <c r="K1983" s="2436">
        <v>308660.76222799154</v>
      </c>
      <c r="L1983" s="2436">
        <v>308660.76222799154</v>
      </c>
      <c r="M1983" s="2266">
        <v>599</v>
      </c>
    </row>
    <row r="1984" spans="1:13" ht="15">
      <c r="A1984" s="2266" t="s">
        <v>4394</v>
      </c>
      <c r="B1984" s="1694" t="str">
        <f>CONCATENATE(LEFT(RIGHT(CONCATENATE("000",IFAData_TEA!A1984),6),3),"-",(RIGHT(RIGHT(CONCATENATE("000",IFAData_TEA!A1984),6),3)))</f>
        <v>237-902</v>
      </c>
      <c r="C1984" s="2266" t="s">
        <v>2722</v>
      </c>
      <c r="D1984" s="2266">
        <v>9</v>
      </c>
      <c r="E1984" s="2266">
        <v>1881</v>
      </c>
      <c r="F1984" s="2266" t="s">
        <v>6332</v>
      </c>
      <c r="G1984" s="2266" t="s">
        <v>6332</v>
      </c>
      <c r="H1984" s="2436">
        <v>294703</v>
      </c>
      <c r="I1984" s="2436">
        <v>489316</v>
      </c>
      <c r="J1984" s="2446">
        <v>1</v>
      </c>
      <c r="K1984" s="2436">
        <v>294703</v>
      </c>
      <c r="L1984" s="2436">
        <v>294703</v>
      </c>
      <c r="M1984" s="2266">
        <v>599</v>
      </c>
    </row>
    <row r="1985" spans="1:13" ht="15">
      <c r="A1985" s="2266" t="s">
        <v>4395</v>
      </c>
      <c r="B1985" s="1694" t="str">
        <f>CONCATENATE(LEFT(RIGHT(CONCATENATE("000",IFAData_TEA!A1985),6),3),"-",(RIGHT(RIGHT(CONCATENATE("000",IFAData_TEA!A1985),6),3)))</f>
        <v>237-904</v>
      </c>
      <c r="C1985" s="2266" t="s">
        <v>159</v>
      </c>
      <c r="D1985" s="2266">
        <v>9</v>
      </c>
      <c r="E1985" s="2266">
        <v>2434</v>
      </c>
      <c r="F1985" s="2266" t="s">
        <v>6338</v>
      </c>
      <c r="G1985" s="2266" t="s">
        <v>7073</v>
      </c>
      <c r="H1985" s="2436">
        <v>1234114</v>
      </c>
      <c r="I1985" s="2436">
        <v>241506</v>
      </c>
      <c r="J1985" s="2446">
        <v>0.12051071321108911</v>
      </c>
      <c r="K1985" s="2436">
        <v>148723.95832379002</v>
      </c>
      <c r="L1985" s="2436">
        <v>148723.95832379002</v>
      </c>
      <c r="M1985" s="2266">
        <v>599</v>
      </c>
    </row>
    <row r="1986" spans="1:13" ht="15">
      <c r="A1986" s="2266" t="s">
        <v>4395</v>
      </c>
      <c r="B1986" s="1694" t="str">
        <f>CONCATENATE(LEFT(RIGHT(CONCATENATE("000",IFAData_TEA!A1986),6),3),"-",(RIGHT(RIGHT(CONCATENATE("000",IFAData_TEA!A1986),6),3)))</f>
        <v>237-904</v>
      </c>
      <c r="C1986" s="2266" t="s">
        <v>159</v>
      </c>
      <c r="D1986" s="2266">
        <v>6</v>
      </c>
      <c r="E1986" s="2266">
        <v>2433</v>
      </c>
      <c r="F1986" s="2266" t="s">
        <v>6333</v>
      </c>
      <c r="G1986" s="2266" t="s">
        <v>6337</v>
      </c>
      <c r="H1986" s="2436">
        <v>1125381</v>
      </c>
      <c r="I1986" s="2436">
        <v>69461</v>
      </c>
      <c r="J1986" s="2446">
        <v>6.847124810859033E-2</v>
      </c>
      <c r="K1986" s="2436">
        <v>77056.241667693495</v>
      </c>
      <c r="L1986" s="2436">
        <v>69461</v>
      </c>
      <c r="M1986" s="2266">
        <v>599</v>
      </c>
    </row>
    <row r="1987" spans="1:13" ht="15">
      <c r="A1987" s="2266" t="s">
        <v>4395</v>
      </c>
      <c r="B1987" s="1694" t="str">
        <f>CONCATENATE(LEFT(RIGHT(CONCATENATE("000",IFAData_TEA!A1987),6),3),"-",(RIGHT(RIGHT(CONCATENATE("000",IFAData_TEA!A1987),6),3)))</f>
        <v>237-904</v>
      </c>
      <c r="C1987" s="2266" t="s">
        <v>159</v>
      </c>
      <c r="D1987" s="2266">
        <v>6</v>
      </c>
      <c r="E1987" s="2266">
        <v>2433</v>
      </c>
      <c r="F1987" s="2266" t="s">
        <v>6333</v>
      </c>
      <c r="G1987" s="2266" t="s">
        <v>6336</v>
      </c>
      <c r="H1987" s="2436">
        <v>1125381</v>
      </c>
      <c r="I1987" s="2436">
        <v>0</v>
      </c>
      <c r="J1987" s="2446">
        <v>0</v>
      </c>
      <c r="K1987" s="2436">
        <v>0</v>
      </c>
      <c r="L1987" s="2436">
        <v>0</v>
      </c>
      <c r="M1987" s="2266">
        <v>599</v>
      </c>
    </row>
    <row r="1988" spans="1:13" ht="15">
      <c r="A1988" s="2266" t="s">
        <v>4395</v>
      </c>
      <c r="B1988" s="1694" t="str">
        <f>CONCATENATE(LEFT(RIGHT(CONCATENATE("000",IFAData_TEA!A1988),6),3),"-",(RIGHT(RIGHT(CONCATENATE("000",IFAData_TEA!A1988),6),3)))</f>
        <v>237-904</v>
      </c>
      <c r="C1988" s="2266" t="s">
        <v>159</v>
      </c>
      <c r="D1988" s="2266">
        <v>6</v>
      </c>
      <c r="E1988" s="2266">
        <v>2433</v>
      </c>
      <c r="F1988" s="2266" t="s">
        <v>6333</v>
      </c>
      <c r="G1988" s="2266" t="s">
        <v>6333</v>
      </c>
      <c r="H1988" s="2436">
        <v>1125381</v>
      </c>
      <c r="I1988" s="2436">
        <v>0</v>
      </c>
      <c r="J1988" s="2446">
        <v>0</v>
      </c>
      <c r="K1988" s="2436">
        <v>0</v>
      </c>
      <c r="L1988" s="2436">
        <v>0</v>
      </c>
      <c r="M1988" s="2266">
        <v>599</v>
      </c>
    </row>
    <row r="1989" spans="1:13" ht="15">
      <c r="A1989" s="2266" t="s">
        <v>4395</v>
      </c>
      <c r="B1989" s="1694" t="str">
        <f>CONCATENATE(LEFT(RIGHT(CONCATENATE("000",IFAData_TEA!A1989),6),3),"-",(RIGHT(RIGHT(CONCATENATE("000",IFAData_TEA!A1989),6),3)))</f>
        <v>237-904</v>
      </c>
      <c r="C1989" s="2266" t="s">
        <v>159</v>
      </c>
      <c r="D1989" s="2266">
        <v>6</v>
      </c>
      <c r="E1989" s="2266">
        <v>2433</v>
      </c>
      <c r="F1989" s="2266" t="s">
        <v>6333</v>
      </c>
      <c r="G1989" s="2266" t="s">
        <v>6335</v>
      </c>
      <c r="H1989" s="2436">
        <v>1125381</v>
      </c>
      <c r="I1989" s="2436">
        <v>944994</v>
      </c>
      <c r="J1989" s="2446">
        <v>0.93152875189140971</v>
      </c>
      <c r="K1989" s="2436">
        <v>1048324.7583323065</v>
      </c>
      <c r="L1989" s="2436">
        <v>944994</v>
      </c>
      <c r="M1989" s="2266">
        <v>599</v>
      </c>
    </row>
    <row r="1990" spans="1:13" ht="15">
      <c r="A1990" s="2266" t="s">
        <v>4395</v>
      </c>
      <c r="B1990" s="1694" t="str">
        <f>CONCATENATE(LEFT(RIGHT(CONCATENATE("000",IFAData_TEA!A1990),6),3),"-",(RIGHT(RIGHT(CONCATENATE("000",IFAData_TEA!A1990),6),3)))</f>
        <v>237-904</v>
      </c>
      <c r="C1990" s="2266" t="s">
        <v>159</v>
      </c>
      <c r="D1990" s="2266">
        <v>6</v>
      </c>
      <c r="E1990" s="2266">
        <v>2433</v>
      </c>
      <c r="F1990" s="2266" t="s">
        <v>6333</v>
      </c>
      <c r="G1990" s="2266" t="s">
        <v>6334</v>
      </c>
      <c r="H1990" s="2436">
        <v>1125381</v>
      </c>
      <c r="I1990" s="2436">
        <v>0</v>
      </c>
      <c r="J1990" s="2446">
        <v>0</v>
      </c>
      <c r="K1990" s="2436">
        <v>0</v>
      </c>
      <c r="L1990" s="2436">
        <v>0</v>
      </c>
      <c r="M1990" s="2266">
        <v>599</v>
      </c>
    </row>
    <row r="1991" spans="1:13" ht="15">
      <c r="A1991" s="2266" t="s">
        <v>4395</v>
      </c>
      <c r="B1991" s="1694" t="str">
        <f>CONCATENATE(LEFT(RIGHT(CONCATENATE("000",IFAData_TEA!A1991),6),3),"-",(RIGHT(RIGHT(CONCATENATE("000",IFAData_TEA!A1991),6),3)))</f>
        <v>237-904</v>
      </c>
      <c r="C1991" s="2266" t="s">
        <v>159</v>
      </c>
      <c r="D1991" s="2266">
        <v>9</v>
      </c>
      <c r="E1991" s="2266">
        <v>2434</v>
      </c>
      <c r="F1991" s="2266" t="s">
        <v>6338</v>
      </c>
      <c r="G1991" s="2266" t="s">
        <v>6338</v>
      </c>
      <c r="H1991" s="2436">
        <v>1234114</v>
      </c>
      <c r="I1991" s="2436">
        <v>1762515</v>
      </c>
      <c r="J1991" s="2446">
        <v>0.87948928678891092</v>
      </c>
      <c r="K1991" s="2436">
        <v>1085390.04167621</v>
      </c>
      <c r="L1991" s="2436">
        <v>1085390.04167621</v>
      </c>
      <c r="M1991" s="2266">
        <v>599</v>
      </c>
    </row>
    <row r="1992" spans="1:13" ht="15">
      <c r="A1992" s="2266" t="s">
        <v>4396</v>
      </c>
      <c r="B1992" s="1694" t="str">
        <f>CONCATENATE(LEFT(RIGHT(CONCATENATE("000",IFAData_TEA!A1992),6),3),"-",(RIGHT(RIGHT(CONCATENATE("000",IFAData_TEA!A1992),6),3)))</f>
        <v>237-905</v>
      </c>
      <c r="C1992" s="2266" t="s">
        <v>107</v>
      </c>
      <c r="D1992" s="2266">
        <v>9</v>
      </c>
      <c r="E1992" s="2266">
        <v>2269</v>
      </c>
      <c r="F1992" s="2266" t="s">
        <v>6339</v>
      </c>
      <c r="G1992" s="2266" t="s">
        <v>6339</v>
      </c>
      <c r="H1992" s="2436">
        <v>402311</v>
      </c>
      <c r="I1992" s="2436">
        <v>402310</v>
      </c>
      <c r="J1992" s="2446">
        <v>0.53290468886186682</v>
      </c>
      <c r="K1992" s="2436">
        <v>214393.41828070651</v>
      </c>
      <c r="L1992" s="2436">
        <v>214393.41828070651</v>
      </c>
      <c r="M1992" s="2266">
        <v>599</v>
      </c>
    </row>
    <row r="1993" spans="1:13" ht="15">
      <c r="A1993" s="2266" t="s">
        <v>4396</v>
      </c>
      <c r="B1993" s="1694" t="str">
        <f>CONCATENATE(LEFT(RIGHT(CONCATENATE("000",IFAData_TEA!A1993),6),3),"-",(RIGHT(RIGHT(CONCATENATE("000",IFAData_TEA!A1993),6),3)))</f>
        <v>237-905</v>
      </c>
      <c r="C1993" s="2266" t="s">
        <v>107</v>
      </c>
      <c r="D1993" s="2266">
        <v>9</v>
      </c>
      <c r="E1993" s="2266">
        <v>2269</v>
      </c>
      <c r="F1993" s="2266" t="s">
        <v>6339</v>
      </c>
      <c r="G1993" s="2266" t="s">
        <v>7074</v>
      </c>
      <c r="H1993" s="2436">
        <v>402311</v>
      </c>
      <c r="I1993" s="2436">
        <v>99130</v>
      </c>
      <c r="J1993" s="2446">
        <v>0.13130879621902725</v>
      </c>
      <c r="K1993" s="2436">
        <v>52826.97311567307</v>
      </c>
      <c r="L1993" s="2436">
        <v>52826.97311567307</v>
      </c>
      <c r="M1993" s="2266">
        <v>599</v>
      </c>
    </row>
    <row r="1994" spans="1:13" ht="15">
      <c r="A1994" s="2266" t="s">
        <v>4396</v>
      </c>
      <c r="B1994" s="1694" t="str">
        <f>CONCATENATE(LEFT(RIGHT(CONCATENATE("000",IFAData_TEA!A1994),6),3),"-",(RIGHT(RIGHT(CONCATENATE("000",IFAData_TEA!A1994),6),3)))</f>
        <v>237-905</v>
      </c>
      <c r="C1994" s="2266" t="s">
        <v>107</v>
      </c>
      <c r="D1994" s="2266">
        <v>9</v>
      </c>
      <c r="E1994" s="2266">
        <v>2269</v>
      </c>
      <c r="F1994" s="2266" t="s">
        <v>6339</v>
      </c>
      <c r="G1994" s="2266" t="s">
        <v>6340</v>
      </c>
      <c r="H1994" s="2436">
        <v>402311</v>
      </c>
      <c r="I1994" s="2436">
        <v>253498</v>
      </c>
      <c r="J1994" s="2446">
        <v>0.33578651491910594</v>
      </c>
      <c r="K1994" s="2436">
        <v>135090.60860362044</v>
      </c>
      <c r="L1994" s="2436">
        <v>135090.60860362044</v>
      </c>
      <c r="M1994" s="2266">
        <v>599</v>
      </c>
    </row>
    <row r="1995" spans="1:13" ht="15">
      <c r="A1995" s="2266" t="s">
        <v>4396</v>
      </c>
      <c r="B1995" s="1694" t="str">
        <f>CONCATENATE(LEFT(RIGHT(CONCATENATE("000",IFAData_TEA!A1995),6),3),"-",(RIGHT(RIGHT(CONCATENATE("000",IFAData_TEA!A1995),6),3)))</f>
        <v>237-905</v>
      </c>
      <c r="C1995" s="2266" t="s">
        <v>107</v>
      </c>
      <c r="D1995" s="2266">
        <v>9</v>
      </c>
      <c r="E1995" s="2266">
        <v>2268</v>
      </c>
      <c r="F1995" s="2266" t="s">
        <v>6341</v>
      </c>
      <c r="G1995" s="2266" t="s">
        <v>6341</v>
      </c>
      <c r="H1995" s="2436">
        <v>70170</v>
      </c>
      <c r="I1995" s="2436">
        <v>1928183</v>
      </c>
      <c r="J1995" s="2446">
        <v>0.98380147056197387</v>
      </c>
      <c r="K1995" s="2436">
        <v>69033.349189333705</v>
      </c>
      <c r="L1995" s="2436">
        <v>69033.349189333705</v>
      </c>
      <c r="M1995" s="2266">
        <v>599</v>
      </c>
    </row>
    <row r="1996" spans="1:13" ht="15">
      <c r="A1996" s="2266" t="s">
        <v>4396</v>
      </c>
      <c r="B1996" s="1694" t="str">
        <f>CONCATENATE(LEFT(RIGHT(CONCATENATE("000",IFAData_TEA!A1996),6),3),"-",(RIGHT(RIGHT(CONCATENATE("000",IFAData_TEA!A1996),6),3)))</f>
        <v>237-905</v>
      </c>
      <c r="C1996" s="2266" t="s">
        <v>107</v>
      </c>
      <c r="D1996" s="2266">
        <v>9</v>
      </c>
      <c r="E1996" s="2266">
        <v>2268</v>
      </c>
      <c r="F1996" s="2266" t="s">
        <v>6341</v>
      </c>
      <c r="G1996" s="2266" t="s">
        <v>7075</v>
      </c>
      <c r="H1996" s="2436">
        <v>70170</v>
      </c>
      <c r="I1996" s="2436">
        <v>31748</v>
      </c>
      <c r="J1996" s="2446">
        <v>1.6198529438026136E-2</v>
      </c>
      <c r="K1996" s="2436">
        <v>1136.6508106662939</v>
      </c>
      <c r="L1996" s="2436">
        <v>1136.6508106662939</v>
      </c>
      <c r="M1996" s="2266">
        <v>599</v>
      </c>
    </row>
    <row r="1997" spans="1:13" ht="15">
      <c r="A1997" s="2266" t="s">
        <v>4397</v>
      </c>
      <c r="B1997" s="1694" t="str">
        <f>CONCATENATE(LEFT(RIGHT(CONCATENATE("000",IFAData_TEA!A1997),6),3),"-",(RIGHT(RIGHT(CONCATENATE("000",IFAData_TEA!A1997),6),3)))</f>
        <v>240-901</v>
      </c>
      <c r="C1997" s="2266" t="s">
        <v>2677</v>
      </c>
      <c r="D1997" s="2266">
        <v>5</v>
      </c>
      <c r="E1997" s="2266">
        <v>2011</v>
      </c>
      <c r="F1997" s="2266" t="s">
        <v>6343</v>
      </c>
      <c r="G1997" s="2266" t="s">
        <v>6343</v>
      </c>
      <c r="H1997" s="2436">
        <v>5174604</v>
      </c>
      <c r="I1997" s="2436">
        <v>0</v>
      </c>
      <c r="J1997" s="2446">
        <v>0</v>
      </c>
      <c r="K1997" s="2436">
        <v>0</v>
      </c>
      <c r="L1997" s="2436">
        <v>0</v>
      </c>
      <c r="M1997" s="2266">
        <v>599</v>
      </c>
    </row>
    <row r="1998" spans="1:13" ht="15">
      <c r="A1998" s="2266" t="s">
        <v>4397</v>
      </c>
      <c r="B1998" s="1694" t="str">
        <f>CONCATENATE(LEFT(RIGHT(CONCATENATE("000",IFAData_TEA!A1998),6),3),"-",(RIGHT(RIGHT(CONCATENATE("000",IFAData_TEA!A1998),6),3)))</f>
        <v>240-901</v>
      </c>
      <c r="C1998" s="2266" t="s">
        <v>2677</v>
      </c>
      <c r="D1998" s="2266">
        <v>3</v>
      </c>
      <c r="E1998" s="2266">
        <v>2010</v>
      </c>
      <c r="F1998" s="2266" t="s">
        <v>6342</v>
      </c>
      <c r="G1998" s="2266" t="s">
        <v>6343</v>
      </c>
      <c r="H1998" s="2436">
        <v>5155243</v>
      </c>
      <c r="I1998" s="2436">
        <v>0</v>
      </c>
      <c r="J1998" s="2446">
        <v>0</v>
      </c>
      <c r="K1998" s="2436">
        <v>0</v>
      </c>
      <c r="L1998" s="2436">
        <v>0</v>
      </c>
      <c r="M1998" s="2266">
        <v>599</v>
      </c>
    </row>
    <row r="1999" spans="1:13" ht="15">
      <c r="A1999" s="2266" t="s">
        <v>4397</v>
      </c>
      <c r="B1999" s="1694" t="str">
        <f>CONCATENATE(LEFT(RIGHT(CONCATENATE("000",IFAData_TEA!A1999),6),3),"-",(RIGHT(RIGHT(CONCATENATE("000",IFAData_TEA!A1999),6),3)))</f>
        <v>240-901</v>
      </c>
      <c r="C1999" s="2266" t="s">
        <v>2677</v>
      </c>
      <c r="D1999" s="2266">
        <v>8</v>
      </c>
      <c r="E1999" s="2266">
        <v>2009</v>
      </c>
      <c r="F1999" s="2266" t="s">
        <v>6354</v>
      </c>
      <c r="G1999" s="2266" t="s">
        <v>6354</v>
      </c>
      <c r="H1999" s="2436">
        <v>4074803</v>
      </c>
      <c r="I1999" s="2436">
        <v>4067761</v>
      </c>
      <c r="J1999" s="2446">
        <v>0.80074634416556656</v>
      </c>
      <c r="K1999" s="2436">
        <v>3262883.605444883</v>
      </c>
      <c r="L1999" s="2436">
        <v>3262883.605444883</v>
      </c>
      <c r="M1999" s="2266">
        <v>599</v>
      </c>
    </row>
    <row r="2000" spans="1:13" ht="15">
      <c r="A2000" s="2266" t="s">
        <v>4397</v>
      </c>
      <c r="B2000" s="1694" t="str">
        <f>CONCATENATE(LEFT(RIGHT(CONCATENATE("000",IFAData_TEA!A2000),6),3),"-",(RIGHT(RIGHT(CONCATENATE("000",IFAData_TEA!A2000),6),3)))</f>
        <v>240-901</v>
      </c>
      <c r="C2000" s="2266" t="s">
        <v>2677</v>
      </c>
      <c r="D2000" s="2266">
        <v>7</v>
      </c>
      <c r="E2000" s="2266">
        <v>2003</v>
      </c>
      <c r="F2000" s="2266" t="s">
        <v>6352</v>
      </c>
      <c r="G2000" s="2266" t="s">
        <v>6348</v>
      </c>
      <c r="H2000" s="2436">
        <v>87600</v>
      </c>
      <c r="I2000" s="2436">
        <v>69689</v>
      </c>
      <c r="J2000" s="2446">
        <v>1</v>
      </c>
      <c r="K2000" s="2436">
        <v>87600</v>
      </c>
      <c r="L2000" s="2436">
        <v>69689</v>
      </c>
      <c r="M2000" s="2266">
        <v>599</v>
      </c>
    </row>
    <row r="2001" spans="1:13" ht="15">
      <c r="A2001" s="2266" t="s">
        <v>4397</v>
      </c>
      <c r="B2001" s="1694" t="str">
        <f>CONCATENATE(LEFT(RIGHT(CONCATENATE("000",IFAData_TEA!A2001),6),3),"-",(RIGHT(RIGHT(CONCATENATE("000",IFAData_TEA!A2001),6),3)))</f>
        <v>240-901</v>
      </c>
      <c r="C2001" s="2266" t="s">
        <v>2677</v>
      </c>
      <c r="D2001" s="2266">
        <v>7</v>
      </c>
      <c r="E2001" s="2266">
        <v>2004</v>
      </c>
      <c r="F2001" s="2266" t="s">
        <v>6351</v>
      </c>
      <c r="G2001" s="2266" t="s">
        <v>6348</v>
      </c>
      <c r="H2001" s="2436">
        <v>158336</v>
      </c>
      <c r="I2001" s="2436">
        <v>127013</v>
      </c>
      <c r="J2001" s="2446">
        <v>1</v>
      </c>
      <c r="K2001" s="2436">
        <v>158336</v>
      </c>
      <c r="L2001" s="2436">
        <v>127013</v>
      </c>
      <c r="M2001" s="2266">
        <v>599</v>
      </c>
    </row>
    <row r="2002" spans="1:13" ht="15">
      <c r="A2002" s="2266" t="s">
        <v>4397</v>
      </c>
      <c r="B2002" s="1694" t="str">
        <f>CONCATENATE(LEFT(RIGHT(CONCATENATE("000",IFAData_TEA!A2002),6),3),"-",(RIGHT(RIGHT(CONCATENATE("000",IFAData_TEA!A2002),6),3)))</f>
        <v>240-901</v>
      </c>
      <c r="C2002" s="2266" t="s">
        <v>2677</v>
      </c>
      <c r="D2002" s="2266">
        <v>7</v>
      </c>
      <c r="E2002" s="2266">
        <v>2005</v>
      </c>
      <c r="F2002" s="2266" t="s">
        <v>6353</v>
      </c>
      <c r="G2002" s="2266" t="s">
        <v>6348</v>
      </c>
      <c r="H2002" s="2436">
        <v>325863</v>
      </c>
      <c r="I2002" s="2436">
        <v>268678</v>
      </c>
      <c r="J2002" s="2446">
        <v>1</v>
      </c>
      <c r="K2002" s="2436">
        <v>325863</v>
      </c>
      <c r="L2002" s="2436">
        <v>268678</v>
      </c>
      <c r="M2002" s="2266">
        <v>599</v>
      </c>
    </row>
    <row r="2003" spans="1:13" ht="15">
      <c r="A2003" s="2266" t="s">
        <v>4397</v>
      </c>
      <c r="B2003" s="1694" t="str">
        <f>CONCATENATE(LEFT(RIGHT(CONCATENATE("000",IFAData_TEA!A2003),6),3),"-",(RIGHT(RIGHT(CONCATENATE("000",IFAData_TEA!A2003),6),3)))</f>
        <v>240-901</v>
      </c>
      <c r="C2003" s="2266" t="s">
        <v>2677</v>
      </c>
      <c r="D2003" s="2266">
        <v>7</v>
      </c>
      <c r="E2003" s="2266">
        <v>2006</v>
      </c>
      <c r="F2003" s="2266" t="s">
        <v>6349</v>
      </c>
      <c r="G2003" s="2266" t="s">
        <v>6348</v>
      </c>
      <c r="H2003" s="2436">
        <v>434993</v>
      </c>
      <c r="I2003" s="2436">
        <v>361200</v>
      </c>
      <c r="J2003" s="2446">
        <v>1</v>
      </c>
      <c r="K2003" s="2436">
        <v>434993</v>
      </c>
      <c r="L2003" s="2436">
        <v>361200</v>
      </c>
      <c r="M2003" s="2266">
        <v>599</v>
      </c>
    </row>
    <row r="2004" spans="1:13" ht="15">
      <c r="A2004" s="2266" t="s">
        <v>4397</v>
      </c>
      <c r="B2004" s="1694" t="str">
        <f>CONCATENATE(LEFT(RIGHT(CONCATENATE("000",IFAData_TEA!A2004),6),3),"-",(RIGHT(RIGHT(CONCATENATE("000",IFAData_TEA!A2004),6),3)))</f>
        <v>240-901</v>
      </c>
      <c r="C2004" s="2266" t="s">
        <v>2677</v>
      </c>
      <c r="D2004" s="2266">
        <v>7</v>
      </c>
      <c r="E2004" s="2266">
        <v>2007</v>
      </c>
      <c r="F2004" s="2266" t="s">
        <v>6350</v>
      </c>
      <c r="G2004" s="2266" t="s">
        <v>6348</v>
      </c>
      <c r="H2004" s="2436">
        <v>1646500</v>
      </c>
      <c r="I2004" s="2436">
        <v>1367744</v>
      </c>
      <c r="J2004" s="2446">
        <v>1</v>
      </c>
      <c r="K2004" s="2436">
        <v>1646500</v>
      </c>
      <c r="L2004" s="2436">
        <v>1367744</v>
      </c>
      <c r="M2004" s="2266">
        <v>599</v>
      </c>
    </row>
    <row r="2005" spans="1:13" ht="15">
      <c r="A2005" s="2266" t="s">
        <v>4397</v>
      </c>
      <c r="B2005" s="1694" t="str">
        <f>CONCATENATE(LEFT(RIGHT(CONCATENATE("000",IFAData_TEA!A2005),6),3),"-",(RIGHT(RIGHT(CONCATENATE("000",IFAData_TEA!A2005),6),3)))</f>
        <v>240-901</v>
      </c>
      <c r="C2005" s="2266" t="s">
        <v>2677</v>
      </c>
      <c r="D2005" s="2266">
        <v>7</v>
      </c>
      <c r="E2005" s="2266">
        <v>2008</v>
      </c>
      <c r="F2005" s="2266" t="s">
        <v>6347</v>
      </c>
      <c r="G2005" s="2266" t="s">
        <v>6348</v>
      </c>
      <c r="H2005" s="2436">
        <v>2084063</v>
      </c>
      <c r="I2005" s="2436">
        <v>1730909</v>
      </c>
      <c r="J2005" s="2446">
        <v>1</v>
      </c>
      <c r="K2005" s="2436">
        <v>2084063</v>
      </c>
      <c r="L2005" s="2436">
        <v>1730909</v>
      </c>
      <c r="M2005" s="2266">
        <v>599</v>
      </c>
    </row>
    <row r="2006" spans="1:13" ht="15">
      <c r="A2006" s="2266" t="s">
        <v>4397</v>
      </c>
      <c r="B2006" s="1694" t="str">
        <f>CONCATENATE(LEFT(RIGHT(CONCATENATE("000",IFAData_TEA!A2006),6),3),"-",(RIGHT(RIGHT(CONCATENATE("000",IFAData_TEA!A2006),6),3)))</f>
        <v>240-901</v>
      </c>
      <c r="C2006" s="2266" t="s">
        <v>2677</v>
      </c>
      <c r="D2006" s="2266">
        <v>3</v>
      </c>
      <c r="E2006" s="2266">
        <v>2010</v>
      </c>
      <c r="F2006" s="2266" t="s">
        <v>6342</v>
      </c>
      <c r="G2006" s="2266" t="s">
        <v>6346</v>
      </c>
      <c r="H2006" s="2436">
        <v>5155243</v>
      </c>
      <c r="I2006" s="2436">
        <v>2337515</v>
      </c>
      <c r="J2006" s="2446">
        <v>0.42228024812395865</v>
      </c>
      <c r="K2006" s="2436">
        <v>2176957.2931793011</v>
      </c>
      <c r="L2006" s="2436">
        <v>2176957.2931793011</v>
      </c>
      <c r="M2006" s="2266">
        <v>599</v>
      </c>
    </row>
    <row r="2007" spans="1:13" ht="15">
      <c r="A2007" s="2266" t="s">
        <v>4397</v>
      </c>
      <c r="B2007" s="1694" t="str">
        <f>CONCATENATE(LEFT(RIGHT(CONCATENATE("000",IFAData_TEA!A2007),6),3),"-",(RIGHT(RIGHT(CONCATENATE("000",IFAData_TEA!A2007),6),3)))</f>
        <v>240-901</v>
      </c>
      <c r="C2007" s="2266" t="s">
        <v>2677</v>
      </c>
      <c r="D2007" s="2266">
        <v>5</v>
      </c>
      <c r="E2007" s="2266">
        <v>2011</v>
      </c>
      <c r="F2007" s="2266" t="s">
        <v>6343</v>
      </c>
      <c r="G2007" s="2266" t="s">
        <v>6346</v>
      </c>
      <c r="H2007" s="2436">
        <v>5174604</v>
      </c>
      <c r="I2007" s="2436">
        <v>50400</v>
      </c>
      <c r="J2007" s="2446">
        <v>9.7645352081240939E-3</v>
      </c>
      <c r="K2007" s="2436">
        <v>50527.602946099767</v>
      </c>
      <c r="L2007" s="2436">
        <v>50400</v>
      </c>
      <c r="M2007" s="2266">
        <v>599</v>
      </c>
    </row>
    <row r="2008" spans="1:13" ht="15">
      <c r="A2008" s="2266" t="s">
        <v>4397</v>
      </c>
      <c r="B2008" s="1694" t="str">
        <f>CONCATENATE(LEFT(RIGHT(CONCATENATE("000",IFAData_TEA!A2008),6),3),"-",(RIGHT(RIGHT(CONCATENATE("000",IFAData_TEA!A2008),6),3)))</f>
        <v>240-901</v>
      </c>
      <c r="C2008" s="2266" t="s">
        <v>2677</v>
      </c>
      <c r="D2008" s="2266">
        <v>3</v>
      </c>
      <c r="E2008" s="2266">
        <v>2010</v>
      </c>
      <c r="F2008" s="2266" t="s">
        <v>6342</v>
      </c>
      <c r="G2008" s="2266" t="s">
        <v>6344</v>
      </c>
      <c r="H2008" s="2436">
        <v>5155243</v>
      </c>
      <c r="I2008" s="2436">
        <v>2703402</v>
      </c>
      <c r="J2008" s="2446">
        <v>0.48837901247213644</v>
      </c>
      <c r="K2008" s="2436">
        <v>2517712.4853938939</v>
      </c>
      <c r="L2008" s="2436">
        <v>2517712.4853938939</v>
      </c>
      <c r="M2008" s="2266">
        <v>599</v>
      </c>
    </row>
    <row r="2009" spans="1:13" ht="15">
      <c r="A2009" s="2266" t="s">
        <v>4397</v>
      </c>
      <c r="B2009" s="1694" t="str">
        <f>CONCATENATE(LEFT(RIGHT(CONCATENATE("000",IFAData_TEA!A2009),6),3),"-",(RIGHT(RIGHT(CONCATENATE("000",IFAData_TEA!A2009),6),3)))</f>
        <v>240-901</v>
      </c>
      <c r="C2009" s="2266" t="s">
        <v>2677</v>
      </c>
      <c r="D2009" s="2266">
        <v>5</v>
      </c>
      <c r="E2009" s="2266">
        <v>2011</v>
      </c>
      <c r="F2009" s="2266" t="s">
        <v>6343</v>
      </c>
      <c r="G2009" s="2266" t="s">
        <v>6344</v>
      </c>
      <c r="H2009" s="2436">
        <v>5174604</v>
      </c>
      <c r="I2009" s="2436">
        <v>4041138</v>
      </c>
      <c r="J2009" s="2446">
        <v>0.78293321987873377</v>
      </c>
      <c r="K2009" s="2436">
        <v>4051369.3713173755</v>
      </c>
      <c r="L2009" s="2436">
        <v>4041138</v>
      </c>
      <c r="M2009" s="2266">
        <v>599</v>
      </c>
    </row>
    <row r="2010" spans="1:13" ht="15">
      <c r="A2010" s="2266" t="s">
        <v>4397</v>
      </c>
      <c r="B2010" s="1694" t="str">
        <f>CONCATENATE(LEFT(RIGHT(CONCATENATE("000",IFAData_TEA!A2010),6),3),"-",(RIGHT(RIGHT(CONCATENATE("000",IFAData_TEA!A2010),6),3)))</f>
        <v>240-901</v>
      </c>
      <c r="C2010" s="2266" t="s">
        <v>2677</v>
      </c>
      <c r="D2010" s="2266">
        <v>3</v>
      </c>
      <c r="E2010" s="2266">
        <v>2010</v>
      </c>
      <c r="F2010" s="2266" t="s">
        <v>6342</v>
      </c>
      <c r="G2010" s="2266" t="s">
        <v>6345</v>
      </c>
      <c r="H2010" s="2436">
        <v>5155243</v>
      </c>
      <c r="I2010" s="2436">
        <v>0</v>
      </c>
      <c r="J2010" s="2446">
        <v>0</v>
      </c>
      <c r="K2010" s="2436">
        <v>0</v>
      </c>
      <c r="L2010" s="2436">
        <v>0</v>
      </c>
      <c r="M2010" s="2266">
        <v>599</v>
      </c>
    </row>
    <row r="2011" spans="1:13" ht="15">
      <c r="A2011" s="2266" t="s">
        <v>4397</v>
      </c>
      <c r="B2011" s="1694" t="str">
        <f>CONCATENATE(LEFT(RIGHT(CONCATENATE("000",IFAData_TEA!A2011),6),3),"-",(RIGHT(RIGHT(CONCATENATE("000",IFAData_TEA!A2011),6),3)))</f>
        <v>240-901</v>
      </c>
      <c r="C2011" s="2266" t="s">
        <v>2677</v>
      </c>
      <c r="D2011" s="2266">
        <v>5</v>
      </c>
      <c r="E2011" s="2266">
        <v>2011</v>
      </c>
      <c r="F2011" s="2266" t="s">
        <v>6343</v>
      </c>
      <c r="G2011" s="2266" t="s">
        <v>6345</v>
      </c>
      <c r="H2011" s="2436">
        <v>5174604</v>
      </c>
      <c r="I2011" s="2436">
        <v>822500</v>
      </c>
      <c r="J2011" s="2446">
        <v>0.15935178985480292</v>
      </c>
      <c r="K2011" s="2436">
        <v>824582.40918982262</v>
      </c>
      <c r="L2011" s="2436">
        <v>822500</v>
      </c>
      <c r="M2011" s="2266">
        <v>599</v>
      </c>
    </row>
    <row r="2012" spans="1:13" ht="15">
      <c r="A2012" s="2266" t="s">
        <v>4397</v>
      </c>
      <c r="B2012" s="1694" t="str">
        <f>CONCATENATE(LEFT(RIGHT(CONCATENATE("000",IFAData_TEA!A2012),6),3),"-",(RIGHT(RIGHT(CONCATENATE("000",IFAData_TEA!A2012),6),3)))</f>
        <v>240-901</v>
      </c>
      <c r="C2012" s="2266" t="s">
        <v>2677</v>
      </c>
      <c r="D2012" s="2266">
        <v>7</v>
      </c>
      <c r="E2012" s="2266">
        <v>2005</v>
      </c>
      <c r="F2012" s="2266" t="s">
        <v>6353</v>
      </c>
      <c r="G2012" s="2266" t="s">
        <v>6353</v>
      </c>
      <c r="H2012" s="2436">
        <v>325863</v>
      </c>
      <c r="I2012" s="2436">
        <v>0</v>
      </c>
      <c r="J2012" s="2446">
        <v>0</v>
      </c>
      <c r="K2012" s="2436">
        <v>0</v>
      </c>
      <c r="L2012" s="2436">
        <v>0</v>
      </c>
      <c r="M2012" s="2266">
        <v>199</v>
      </c>
    </row>
    <row r="2013" spans="1:13" ht="15">
      <c r="A2013" s="2266" t="s">
        <v>4397</v>
      </c>
      <c r="B2013" s="1694" t="str">
        <f>CONCATENATE(LEFT(RIGHT(CONCATENATE("000",IFAData_TEA!A2013),6),3),"-",(RIGHT(RIGHT(CONCATENATE("000",IFAData_TEA!A2013),6),3)))</f>
        <v>240-901</v>
      </c>
      <c r="C2013" s="2266" t="s">
        <v>2677</v>
      </c>
      <c r="D2013" s="2266">
        <v>7</v>
      </c>
      <c r="E2013" s="2266">
        <v>2003</v>
      </c>
      <c r="F2013" s="2266" t="s">
        <v>6352</v>
      </c>
      <c r="G2013" s="2266" t="s">
        <v>6352</v>
      </c>
      <c r="H2013" s="2436">
        <v>87600</v>
      </c>
      <c r="I2013" s="2436">
        <v>0</v>
      </c>
      <c r="J2013" s="2446">
        <v>0</v>
      </c>
      <c r="K2013" s="2436">
        <v>0</v>
      </c>
      <c r="L2013" s="2436">
        <v>0</v>
      </c>
      <c r="M2013" s="2266">
        <v>199</v>
      </c>
    </row>
    <row r="2014" spans="1:13" ht="15">
      <c r="A2014" s="2266" t="s">
        <v>4397</v>
      </c>
      <c r="B2014" s="1694" t="str">
        <f>CONCATENATE(LEFT(RIGHT(CONCATENATE("000",IFAData_TEA!A2014),6),3),"-",(RIGHT(RIGHT(CONCATENATE("000",IFAData_TEA!A2014),6),3)))</f>
        <v>240-901</v>
      </c>
      <c r="C2014" s="2266" t="s">
        <v>2677</v>
      </c>
      <c r="D2014" s="2266">
        <v>7</v>
      </c>
      <c r="E2014" s="2266">
        <v>2004</v>
      </c>
      <c r="F2014" s="2266" t="s">
        <v>6351</v>
      </c>
      <c r="G2014" s="2266" t="s">
        <v>6351</v>
      </c>
      <c r="H2014" s="2436">
        <v>158336</v>
      </c>
      <c r="I2014" s="2436">
        <v>0</v>
      </c>
      <c r="J2014" s="2446">
        <v>0</v>
      </c>
      <c r="K2014" s="2436">
        <v>0</v>
      </c>
      <c r="L2014" s="2436">
        <v>0</v>
      </c>
      <c r="M2014" s="2266">
        <v>199</v>
      </c>
    </row>
    <row r="2015" spans="1:13" ht="15">
      <c r="A2015" s="2266" t="s">
        <v>4397</v>
      </c>
      <c r="B2015" s="1694" t="str">
        <f>CONCATENATE(LEFT(RIGHT(CONCATENATE("000",IFAData_TEA!A2015),6),3),"-",(RIGHT(RIGHT(CONCATENATE("000",IFAData_TEA!A2015),6),3)))</f>
        <v>240-901</v>
      </c>
      <c r="C2015" s="2266" t="s">
        <v>2677</v>
      </c>
      <c r="D2015" s="2266">
        <v>7</v>
      </c>
      <c r="E2015" s="2266">
        <v>2007</v>
      </c>
      <c r="F2015" s="2266" t="s">
        <v>6350</v>
      </c>
      <c r="G2015" s="2266" t="s">
        <v>6350</v>
      </c>
      <c r="H2015" s="2436">
        <v>1646500</v>
      </c>
      <c r="I2015" s="2436">
        <v>0</v>
      </c>
      <c r="J2015" s="2446">
        <v>0</v>
      </c>
      <c r="K2015" s="2436">
        <v>0</v>
      </c>
      <c r="L2015" s="2436">
        <v>0</v>
      </c>
      <c r="M2015" s="2266">
        <v>199</v>
      </c>
    </row>
    <row r="2016" spans="1:13" ht="15">
      <c r="A2016" s="2266" t="s">
        <v>4397</v>
      </c>
      <c r="B2016" s="1694" t="str">
        <f>CONCATENATE(LEFT(RIGHT(CONCATENATE("000",IFAData_TEA!A2016),6),3),"-",(RIGHT(RIGHT(CONCATENATE("000",IFAData_TEA!A2016),6),3)))</f>
        <v>240-901</v>
      </c>
      <c r="C2016" s="2266" t="s">
        <v>2677</v>
      </c>
      <c r="D2016" s="2266">
        <v>7</v>
      </c>
      <c r="E2016" s="2266">
        <v>2006</v>
      </c>
      <c r="F2016" s="2266" t="s">
        <v>6349</v>
      </c>
      <c r="G2016" s="2266" t="s">
        <v>6349</v>
      </c>
      <c r="H2016" s="2436">
        <v>434993</v>
      </c>
      <c r="I2016" s="2436">
        <v>0</v>
      </c>
      <c r="J2016" s="2446">
        <v>0</v>
      </c>
      <c r="K2016" s="2436">
        <v>0</v>
      </c>
      <c r="L2016" s="2436">
        <v>0</v>
      </c>
      <c r="M2016" s="2266">
        <v>199</v>
      </c>
    </row>
    <row r="2017" spans="1:13" ht="15">
      <c r="A2017" s="2266" t="s">
        <v>4397</v>
      </c>
      <c r="B2017" s="1694" t="str">
        <f>CONCATENATE(LEFT(RIGHT(CONCATENATE("000",IFAData_TEA!A2017),6),3),"-",(RIGHT(RIGHT(CONCATENATE("000",IFAData_TEA!A2017),6),3)))</f>
        <v>240-901</v>
      </c>
      <c r="C2017" s="2266" t="s">
        <v>2677</v>
      </c>
      <c r="D2017" s="2266">
        <v>7</v>
      </c>
      <c r="E2017" s="2266">
        <v>2008</v>
      </c>
      <c r="F2017" s="2266" t="s">
        <v>6347</v>
      </c>
      <c r="G2017" s="2266" t="s">
        <v>6347</v>
      </c>
      <c r="H2017" s="2436">
        <v>2084063</v>
      </c>
      <c r="I2017" s="2436">
        <v>0</v>
      </c>
      <c r="J2017" s="2446">
        <v>0</v>
      </c>
      <c r="K2017" s="2436">
        <v>0</v>
      </c>
      <c r="L2017" s="2436">
        <v>0</v>
      </c>
      <c r="M2017" s="2266">
        <v>199</v>
      </c>
    </row>
    <row r="2018" spans="1:13" ht="15">
      <c r="A2018" s="2266" t="s">
        <v>4397</v>
      </c>
      <c r="B2018" s="1694" t="str">
        <f>CONCATENATE(LEFT(RIGHT(CONCATENATE("000",IFAData_TEA!A2018),6),3),"-",(RIGHT(RIGHT(CONCATENATE("000",IFAData_TEA!A2018),6),3)))</f>
        <v>240-901</v>
      </c>
      <c r="C2018" s="2266" t="s">
        <v>2677</v>
      </c>
      <c r="D2018" s="2266">
        <v>3</v>
      </c>
      <c r="E2018" s="2266">
        <v>2010</v>
      </c>
      <c r="F2018" s="2266" t="s">
        <v>6342</v>
      </c>
      <c r="G2018" s="2266" t="s">
        <v>6342</v>
      </c>
      <c r="H2018" s="2436">
        <v>5155243</v>
      </c>
      <c r="I2018" s="2436">
        <v>0</v>
      </c>
      <c r="J2018" s="2446">
        <v>0</v>
      </c>
      <c r="K2018" s="2436">
        <v>0</v>
      </c>
      <c r="L2018" s="2436">
        <v>0</v>
      </c>
      <c r="M2018" s="2266">
        <v>599</v>
      </c>
    </row>
    <row r="2019" spans="1:13" ht="15">
      <c r="A2019" s="2266" t="s">
        <v>4397</v>
      </c>
      <c r="B2019" s="1694" t="str">
        <f>CONCATENATE(LEFT(RIGHT(CONCATENATE("000",IFAData_TEA!A2019),6),3),"-",(RIGHT(RIGHT(CONCATENATE("000",IFAData_TEA!A2019),6),3)))</f>
        <v>240-901</v>
      </c>
      <c r="C2019" s="2266" t="s">
        <v>2677</v>
      </c>
      <c r="D2019" s="2266">
        <v>8</v>
      </c>
      <c r="E2019" s="2266">
        <v>2009</v>
      </c>
      <c r="F2019" s="2266" t="s">
        <v>6354</v>
      </c>
      <c r="G2019" s="2266" t="s">
        <v>7076</v>
      </c>
      <c r="H2019" s="2436">
        <v>4074803</v>
      </c>
      <c r="I2019" s="2436">
        <v>1012201</v>
      </c>
      <c r="J2019" s="2446">
        <v>0.19925365583443341</v>
      </c>
      <c r="K2019" s="2436">
        <v>811919.39455511677</v>
      </c>
      <c r="L2019" s="2436">
        <v>811919.39455511677</v>
      </c>
      <c r="M2019" s="2266">
        <v>599</v>
      </c>
    </row>
    <row r="2020" spans="1:13" ht="15">
      <c r="A2020" s="2266" t="s">
        <v>4397</v>
      </c>
      <c r="B2020" s="1694" t="str">
        <f>CONCATENATE(LEFT(RIGHT(CONCATENATE("000",IFAData_TEA!A2020),6),3),"-",(RIGHT(RIGHT(CONCATENATE("000",IFAData_TEA!A2020),6),3)))</f>
        <v>240-901</v>
      </c>
      <c r="C2020" s="2266" t="s">
        <v>2677</v>
      </c>
      <c r="D2020" s="2266">
        <v>3</v>
      </c>
      <c r="E2020" s="2266">
        <v>2010</v>
      </c>
      <c r="F2020" s="2266" t="s">
        <v>6342</v>
      </c>
      <c r="G2020" s="2266" t="s">
        <v>7076</v>
      </c>
      <c r="H2020" s="2436">
        <v>5155243</v>
      </c>
      <c r="I2020" s="2436">
        <v>494542</v>
      </c>
      <c r="J2020" s="2446">
        <v>8.9340739403904898E-2</v>
      </c>
      <c r="K2020" s="2436">
        <v>460573.2214268049</v>
      </c>
      <c r="L2020" s="2436">
        <v>460573.2214268049</v>
      </c>
      <c r="M2020" s="2266">
        <v>599</v>
      </c>
    </row>
    <row r="2021" spans="1:13" ht="15">
      <c r="A2021" s="2266" t="s">
        <v>4397</v>
      </c>
      <c r="B2021" s="1694" t="str">
        <f>CONCATENATE(LEFT(RIGHT(CONCATENATE("000",IFAData_TEA!A2021),6),3),"-",(RIGHT(RIGHT(CONCATENATE("000",IFAData_TEA!A2021),6),3)))</f>
        <v>240-901</v>
      </c>
      <c r="C2021" s="2266" t="s">
        <v>2677</v>
      </c>
      <c r="D2021" s="2266">
        <v>5</v>
      </c>
      <c r="E2021" s="2266">
        <v>2011</v>
      </c>
      <c r="F2021" s="2266" t="s">
        <v>6343</v>
      </c>
      <c r="G2021" s="2266" t="s">
        <v>7076</v>
      </c>
      <c r="H2021" s="2436">
        <v>5174604</v>
      </c>
      <c r="I2021" s="2436">
        <v>247498</v>
      </c>
      <c r="J2021" s="2446">
        <v>4.7950455058339225E-2</v>
      </c>
      <c r="K2021" s="2436">
        <v>248124.6165467024</v>
      </c>
      <c r="L2021" s="2436">
        <v>247498</v>
      </c>
      <c r="M2021" s="2266">
        <v>599</v>
      </c>
    </row>
    <row r="2022" spans="1:13" ht="15">
      <c r="A2022" s="2266" t="s">
        <v>4398</v>
      </c>
      <c r="B2022" s="1694" t="str">
        <f>CONCATENATE(LEFT(RIGHT(CONCATENATE("000",IFAData_TEA!A2022),6),3),"-",(RIGHT(RIGHT(CONCATENATE("000",IFAData_TEA!A2022),6),3)))</f>
        <v>240-903</v>
      </c>
      <c r="C2022" s="2266" t="s">
        <v>2703</v>
      </c>
      <c r="D2022" s="2266">
        <v>5</v>
      </c>
      <c r="E2022" s="2266">
        <v>2404</v>
      </c>
      <c r="F2022" s="2266" t="s">
        <v>6359</v>
      </c>
      <c r="G2022" s="2266" t="s">
        <v>6360</v>
      </c>
      <c r="H2022" s="2436">
        <v>827517</v>
      </c>
      <c r="I2022" s="2436">
        <v>144300</v>
      </c>
      <c r="J2022" s="2446">
        <v>0.11731058770734626</v>
      </c>
      <c r="K2022" s="2436">
        <v>97076.505607820058</v>
      </c>
      <c r="L2022" s="2436">
        <v>97076.505607820058</v>
      </c>
      <c r="M2022" s="2266">
        <v>599</v>
      </c>
    </row>
    <row r="2023" spans="1:13" ht="15">
      <c r="A2023" s="2266" t="s">
        <v>4398</v>
      </c>
      <c r="B2023" s="1694" t="str">
        <f>CONCATENATE(LEFT(RIGHT(CONCATENATE("000",IFAData_TEA!A2023),6),3),"-",(RIGHT(RIGHT(CONCATENATE("000",IFAData_TEA!A2023),6),3)))</f>
        <v>240-903</v>
      </c>
      <c r="C2023" s="2266" t="s">
        <v>2703</v>
      </c>
      <c r="D2023" s="2266">
        <v>3</v>
      </c>
      <c r="E2023" s="2266">
        <v>2405</v>
      </c>
      <c r="F2023" s="2266" t="s">
        <v>6355</v>
      </c>
      <c r="G2023" s="2266" t="s">
        <v>6355</v>
      </c>
      <c r="H2023" s="2436">
        <v>986173</v>
      </c>
      <c r="I2023" s="2436">
        <v>2796180</v>
      </c>
      <c r="J2023" s="2446">
        <v>0.96577120985106113</v>
      </c>
      <c r="K2023" s="2436">
        <v>952417.49133245053</v>
      </c>
      <c r="L2023" s="2436">
        <v>952417.49133245053</v>
      </c>
      <c r="M2023" s="2266">
        <v>599</v>
      </c>
    </row>
    <row r="2024" spans="1:13" ht="15">
      <c r="A2024" s="2266" t="s">
        <v>4398</v>
      </c>
      <c r="B2024" s="1694" t="str">
        <f>CONCATENATE(LEFT(RIGHT(CONCATENATE("000",IFAData_TEA!A2024),6),3),"-",(RIGHT(RIGHT(CONCATENATE("000",IFAData_TEA!A2024),6),3)))</f>
        <v>240-903</v>
      </c>
      <c r="C2024" s="2266" t="s">
        <v>2703</v>
      </c>
      <c r="D2024" s="2266">
        <v>5</v>
      </c>
      <c r="E2024" s="2266">
        <v>2406</v>
      </c>
      <c r="F2024" s="2266" t="s">
        <v>6362</v>
      </c>
      <c r="G2024" s="2266" t="s">
        <v>6363</v>
      </c>
      <c r="H2024" s="2436">
        <v>1047970</v>
      </c>
      <c r="I2024" s="2436">
        <v>249455</v>
      </c>
      <c r="J2024" s="2446">
        <v>0.14747683397911659</v>
      </c>
      <c r="K2024" s="2436">
        <v>154551.29770509482</v>
      </c>
      <c r="L2024" s="2436">
        <v>154551.29770509482</v>
      </c>
      <c r="M2024" s="2266">
        <v>599</v>
      </c>
    </row>
    <row r="2025" spans="1:13" ht="15">
      <c r="A2025" s="2266" t="s">
        <v>4398</v>
      </c>
      <c r="B2025" s="1694" t="str">
        <f>CONCATENATE(LEFT(RIGHT(CONCATENATE("000",IFAData_TEA!A2025),6),3),"-",(RIGHT(RIGHT(CONCATENATE("000",IFAData_TEA!A2025),6),3)))</f>
        <v>240-903</v>
      </c>
      <c r="C2025" s="2266" t="s">
        <v>2703</v>
      </c>
      <c r="D2025" s="2266">
        <v>5</v>
      </c>
      <c r="E2025" s="2266">
        <v>2406</v>
      </c>
      <c r="F2025" s="2266" t="s">
        <v>6362</v>
      </c>
      <c r="G2025" s="2266" t="s">
        <v>6362</v>
      </c>
      <c r="H2025" s="2436">
        <v>1047970</v>
      </c>
      <c r="I2025" s="2436">
        <v>0</v>
      </c>
      <c r="J2025" s="2446">
        <v>0</v>
      </c>
      <c r="K2025" s="2436">
        <v>0</v>
      </c>
      <c r="L2025" s="2436">
        <v>0</v>
      </c>
      <c r="M2025" s="2266">
        <v>599</v>
      </c>
    </row>
    <row r="2026" spans="1:13" ht="15">
      <c r="A2026" s="2266" t="s">
        <v>4398</v>
      </c>
      <c r="B2026" s="1694" t="str">
        <f>CONCATENATE(LEFT(RIGHT(CONCATENATE("000",IFAData_TEA!A2026),6),3),"-",(RIGHT(RIGHT(CONCATENATE("000",IFAData_TEA!A2026),6),3)))</f>
        <v>240-903</v>
      </c>
      <c r="C2026" s="2266" t="s">
        <v>2703</v>
      </c>
      <c r="D2026" s="2266">
        <v>5</v>
      </c>
      <c r="E2026" s="2266">
        <v>2404</v>
      </c>
      <c r="F2026" s="2266" t="s">
        <v>6359</v>
      </c>
      <c r="G2026" s="2266" t="s">
        <v>6361</v>
      </c>
      <c r="H2026" s="2436">
        <v>827517</v>
      </c>
      <c r="I2026" s="2436">
        <v>75485</v>
      </c>
      <c r="J2026" s="2446">
        <v>6.136652607823307E-2</v>
      </c>
      <c r="K2026" s="2436">
        <v>50781.843560681198</v>
      </c>
      <c r="L2026" s="2436">
        <v>50781.843560681198</v>
      </c>
      <c r="M2026" s="2266">
        <v>599</v>
      </c>
    </row>
    <row r="2027" spans="1:13" ht="15">
      <c r="A2027" s="2266" t="s">
        <v>4398</v>
      </c>
      <c r="B2027" s="1694" t="str">
        <f>CONCATENATE(LEFT(RIGHT(CONCATENATE("000",IFAData_TEA!A2027),6),3),"-",(RIGHT(RIGHT(CONCATENATE("000",IFAData_TEA!A2027),6),3)))</f>
        <v>240-903</v>
      </c>
      <c r="C2027" s="2266" t="s">
        <v>2703</v>
      </c>
      <c r="D2027" s="2266">
        <v>5</v>
      </c>
      <c r="E2027" s="2266">
        <v>2406</v>
      </c>
      <c r="F2027" s="2266" t="s">
        <v>6362</v>
      </c>
      <c r="G2027" s="2266" t="s">
        <v>6361</v>
      </c>
      <c r="H2027" s="2436">
        <v>1047970</v>
      </c>
      <c r="I2027" s="2436">
        <v>1442031</v>
      </c>
      <c r="J2027" s="2446">
        <v>0.85252316602088341</v>
      </c>
      <c r="K2027" s="2436">
        <v>893418.7022949052</v>
      </c>
      <c r="L2027" s="2436">
        <v>893418.7022949052</v>
      </c>
      <c r="M2027" s="2266">
        <v>599</v>
      </c>
    </row>
    <row r="2028" spans="1:13" ht="15">
      <c r="A2028" s="2266" t="s">
        <v>4398</v>
      </c>
      <c r="B2028" s="1694" t="str">
        <f>CONCATENATE(LEFT(RIGHT(CONCATENATE("000",IFAData_TEA!A2028),6),3),"-",(RIGHT(RIGHT(CONCATENATE("000",IFAData_TEA!A2028),6),3)))</f>
        <v>240-903</v>
      </c>
      <c r="C2028" s="2266" t="s">
        <v>2703</v>
      </c>
      <c r="D2028" s="2266">
        <v>5</v>
      </c>
      <c r="E2028" s="2266">
        <v>2404</v>
      </c>
      <c r="F2028" s="2266" t="s">
        <v>6359</v>
      </c>
      <c r="G2028" s="2266" t="s">
        <v>6356</v>
      </c>
      <c r="H2028" s="2436">
        <v>827517</v>
      </c>
      <c r="I2028" s="2436">
        <v>829530</v>
      </c>
      <c r="J2028" s="2446">
        <v>0.67437735149601485</v>
      </c>
      <c r="K2028" s="2436">
        <v>558058.72277792776</v>
      </c>
      <c r="L2028" s="2436">
        <v>558058.72277792776</v>
      </c>
      <c r="M2028" s="2266">
        <v>599</v>
      </c>
    </row>
    <row r="2029" spans="1:13" ht="15">
      <c r="A2029" s="2266" t="s">
        <v>4398</v>
      </c>
      <c r="B2029" s="1694" t="str">
        <f>CONCATENATE(LEFT(RIGHT(CONCATENATE("000",IFAData_TEA!A2029),6),3),"-",(RIGHT(RIGHT(CONCATENATE("000",IFAData_TEA!A2029),6),3)))</f>
        <v>240-903</v>
      </c>
      <c r="C2029" s="2266" t="s">
        <v>2703</v>
      </c>
      <c r="D2029" s="2266">
        <v>3</v>
      </c>
      <c r="E2029" s="2266">
        <v>2405</v>
      </c>
      <c r="F2029" s="2266" t="s">
        <v>6355</v>
      </c>
      <c r="G2029" s="2266" t="s">
        <v>6356</v>
      </c>
      <c r="H2029" s="2436">
        <v>986173</v>
      </c>
      <c r="I2029" s="2436">
        <v>0</v>
      </c>
      <c r="J2029" s="2446">
        <v>0</v>
      </c>
      <c r="K2029" s="2436">
        <v>0</v>
      </c>
      <c r="L2029" s="2436">
        <v>0</v>
      </c>
      <c r="M2029" s="2266">
        <v>599</v>
      </c>
    </row>
    <row r="2030" spans="1:13" ht="15">
      <c r="A2030" s="2266" t="s">
        <v>4398</v>
      </c>
      <c r="B2030" s="1694" t="str">
        <f>CONCATENATE(LEFT(RIGHT(CONCATENATE("000",IFAData_TEA!A2030),6),3),"-",(RIGHT(RIGHT(CONCATENATE("000",IFAData_TEA!A2030),6),3)))</f>
        <v>240-903</v>
      </c>
      <c r="C2030" s="2266" t="s">
        <v>2703</v>
      </c>
      <c r="D2030" s="2266">
        <v>3</v>
      </c>
      <c r="E2030" s="2266">
        <v>2407</v>
      </c>
      <c r="F2030" s="2266" t="s">
        <v>6358</v>
      </c>
      <c r="G2030" s="2266" t="s">
        <v>6356</v>
      </c>
      <c r="H2030" s="2436">
        <v>1098957</v>
      </c>
      <c r="I2030" s="2436">
        <v>2060508</v>
      </c>
      <c r="J2030" s="2446">
        <v>0.88850923347456856</v>
      </c>
      <c r="K2030" s="2436">
        <v>976433.44169151143</v>
      </c>
      <c r="L2030" s="2436">
        <v>976433.44169151143</v>
      </c>
      <c r="M2030" s="2266">
        <v>599</v>
      </c>
    </row>
    <row r="2031" spans="1:13" ht="15">
      <c r="A2031" s="2266" t="s">
        <v>4398</v>
      </c>
      <c r="B2031" s="1694" t="str">
        <f>CONCATENATE(LEFT(RIGHT(CONCATENATE("000",IFAData_TEA!A2031),6),3),"-",(RIGHT(RIGHT(CONCATENATE("000",IFAData_TEA!A2031),6),3)))</f>
        <v>240-903</v>
      </c>
      <c r="C2031" s="2266" t="s">
        <v>2703</v>
      </c>
      <c r="D2031" s="2266">
        <v>5</v>
      </c>
      <c r="E2031" s="2266">
        <v>2404</v>
      </c>
      <c r="F2031" s="2266" t="s">
        <v>6359</v>
      </c>
      <c r="G2031" s="2266" t="s">
        <v>6359</v>
      </c>
      <c r="H2031" s="2436">
        <v>827517</v>
      </c>
      <c r="I2031" s="2436">
        <v>87146</v>
      </c>
      <c r="J2031" s="2446">
        <v>7.0846489787556463E-2</v>
      </c>
      <c r="K2031" s="2436">
        <v>58626.674689529362</v>
      </c>
      <c r="L2031" s="2436">
        <v>58626.674689529362</v>
      </c>
      <c r="M2031" s="2266">
        <v>599</v>
      </c>
    </row>
    <row r="2032" spans="1:13" ht="15">
      <c r="A2032" s="2266" t="s">
        <v>4398</v>
      </c>
      <c r="B2032" s="1694" t="str">
        <f>CONCATENATE(LEFT(RIGHT(CONCATENATE("000",IFAData_TEA!A2032),6),3),"-",(RIGHT(RIGHT(CONCATENATE("000",IFAData_TEA!A2032),6),3)))</f>
        <v>240-903</v>
      </c>
      <c r="C2032" s="2266" t="s">
        <v>2703</v>
      </c>
      <c r="D2032" s="2266">
        <v>3</v>
      </c>
      <c r="E2032" s="2266">
        <v>2405</v>
      </c>
      <c r="F2032" s="2266" t="s">
        <v>6355</v>
      </c>
      <c r="G2032" s="2266" t="s">
        <v>6357</v>
      </c>
      <c r="H2032" s="2436">
        <v>986173</v>
      </c>
      <c r="I2032" s="2436">
        <v>0</v>
      </c>
      <c r="J2032" s="2446">
        <v>0</v>
      </c>
      <c r="K2032" s="2436">
        <v>0</v>
      </c>
      <c r="L2032" s="2436">
        <v>0</v>
      </c>
      <c r="M2032" s="2266">
        <v>599</v>
      </c>
    </row>
    <row r="2033" spans="1:13" ht="15">
      <c r="A2033" s="2266" t="s">
        <v>4398</v>
      </c>
      <c r="B2033" s="1694" t="str">
        <f>CONCATENATE(LEFT(RIGHT(CONCATENATE("000",IFAData_TEA!A2033),6),3),"-",(RIGHT(RIGHT(CONCATENATE("000",IFAData_TEA!A2033),6),3)))</f>
        <v>240-903</v>
      </c>
      <c r="C2033" s="2266" t="s">
        <v>2703</v>
      </c>
      <c r="D2033" s="2266">
        <v>5</v>
      </c>
      <c r="E2033" s="2266">
        <v>2404</v>
      </c>
      <c r="F2033" s="2266" t="s">
        <v>6359</v>
      </c>
      <c r="G2033" s="2266" t="s">
        <v>7077</v>
      </c>
      <c r="H2033" s="2436">
        <v>827517</v>
      </c>
      <c r="I2033" s="2436">
        <v>93607</v>
      </c>
      <c r="J2033" s="2446">
        <v>7.6099044930849347E-2</v>
      </c>
      <c r="K2033" s="2436">
        <v>62973.253364041659</v>
      </c>
      <c r="L2033" s="2436">
        <v>62973.253364041659</v>
      </c>
      <c r="M2033" s="2266">
        <v>599</v>
      </c>
    </row>
    <row r="2034" spans="1:13" ht="15">
      <c r="A2034" s="2266" t="s">
        <v>4398</v>
      </c>
      <c r="B2034" s="1694" t="str">
        <f>CONCATENATE(LEFT(RIGHT(CONCATENATE("000",IFAData_TEA!A2034),6),3),"-",(RIGHT(RIGHT(CONCATENATE("000",IFAData_TEA!A2034),6),3)))</f>
        <v>240-903</v>
      </c>
      <c r="C2034" s="2266" t="s">
        <v>2703</v>
      </c>
      <c r="D2034" s="2266">
        <v>3</v>
      </c>
      <c r="E2034" s="2266">
        <v>2405</v>
      </c>
      <c r="F2034" s="2266" t="s">
        <v>6355</v>
      </c>
      <c r="G2034" s="2266" t="s">
        <v>7077</v>
      </c>
      <c r="H2034" s="2436">
        <v>986173</v>
      </c>
      <c r="I2034" s="2436">
        <v>99102</v>
      </c>
      <c r="J2034" s="2446">
        <v>3.4228790148938863E-2</v>
      </c>
      <c r="K2034" s="2436">
        <v>33755.508667549482</v>
      </c>
      <c r="L2034" s="2436">
        <v>33755.508667549482</v>
      </c>
      <c r="M2034" s="2266">
        <v>599</v>
      </c>
    </row>
    <row r="2035" spans="1:13" ht="15">
      <c r="A2035" s="2266" t="s">
        <v>4398</v>
      </c>
      <c r="B2035" s="1694" t="str">
        <f>CONCATENATE(LEFT(RIGHT(CONCATENATE("000",IFAData_TEA!A2035),6),3),"-",(RIGHT(RIGHT(CONCATENATE("000",IFAData_TEA!A2035),6),3)))</f>
        <v>240-903</v>
      </c>
      <c r="C2035" s="2266" t="s">
        <v>2703</v>
      </c>
      <c r="D2035" s="2266">
        <v>3</v>
      </c>
      <c r="E2035" s="2266">
        <v>2407</v>
      </c>
      <c r="F2035" s="2266" t="s">
        <v>6358</v>
      </c>
      <c r="G2035" s="2266" t="s">
        <v>7077</v>
      </c>
      <c r="H2035" s="2436">
        <v>1098957</v>
      </c>
      <c r="I2035" s="2436">
        <v>258554</v>
      </c>
      <c r="J2035" s="2446">
        <v>0.1114907665254314</v>
      </c>
      <c r="K2035" s="2436">
        <v>122523.55830848851</v>
      </c>
      <c r="L2035" s="2436">
        <v>122523.55830848851</v>
      </c>
      <c r="M2035" s="2266">
        <v>599</v>
      </c>
    </row>
    <row r="2036" spans="1:13" ht="15">
      <c r="A2036" s="2266" t="s">
        <v>4398</v>
      </c>
      <c r="B2036" s="1694" t="str">
        <f>CONCATENATE(LEFT(RIGHT(CONCATENATE("000",IFAData_TEA!A2036),6),3),"-",(RIGHT(RIGHT(CONCATENATE("000",IFAData_TEA!A2036),6),3)))</f>
        <v>240-903</v>
      </c>
      <c r="C2036" s="2266" t="s">
        <v>2703</v>
      </c>
      <c r="D2036" s="2266">
        <v>3</v>
      </c>
      <c r="E2036" s="2266">
        <v>2407</v>
      </c>
      <c r="F2036" s="2266" t="s">
        <v>6358</v>
      </c>
      <c r="G2036" s="2266" t="s">
        <v>6358</v>
      </c>
      <c r="H2036" s="2436">
        <v>1098957</v>
      </c>
      <c r="I2036" s="2436">
        <v>0</v>
      </c>
      <c r="J2036" s="2446">
        <v>0</v>
      </c>
      <c r="K2036" s="2436">
        <v>0</v>
      </c>
      <c r="L2036" s="2436">
        <v>0</v>
      </c>
      <c r="M2036" s="2266">
        <v>599</v>
      </c>
    </row>
    <row r="2037" spans="1:13" ht="15">
      <c r="A2037" s="2266" t="s">
        <v>4399</v>
      </c>
      <c r="B2037" s="1694" t="str">
        <f>CONCATENATE(LEFT(RIGHT(CONCATENATE("000",IFAData_TEA!A2037),6),3),"-",(RIGHT(RIGHT(CONCATENATE("000",IFAData_TEA!A2037),6),3)))</f>
        <v>243-901</v>
      </c>
      <c r="C2037" s="2266" t="s">
        <v>1633</v>
      </c>
      <c r="D2037" s="2266">
        <v>2</v>
      </c>
      <c r="E2037" s="2266">
        <v>1652</v>
      </c>
      <c r="F2037" s="2266" t="s">
        <v>6364</v>
      </c>
      <c r="G2037" s="2266" t="s">
        <v>6366</v>
      </c>
      <c r="H2037" s="2436">
        <v>871498</v>
      </c>
      <c r="I2037" s="2436">
        <v>1083620</v>
      </c>
      <c r="J2037" s="2446">
        <v>0.65293613985445986</v>
      </c>
      <c r="K2037" s="2436">
        <v>569032.54001088208</v>
      </c>
      <c r="L2037" s="2436">
        <v>569032.54001088208</v>
      </c>
      <c r="M2037" s="2266">
        <v>599</v>
      </c>
    </row>
    <row r="2038" spans="1:13" ht="15">
      <c r="A2038" s="2266" t="s">
        <v>4399</v>
      </c>
      <c r="B2038" s="1694" t="str">
        <f>CONCATENATE(LEFT(RIGHT(CONCATENATE("000",IFAData_TEA!A2038),6),3),"-",(RIGHT(RIGHT(CONCATENATE("000",IFAData_TEA!A2038),6),3)))</f>
        <v>243-901</v>
      </c>
      <c r="C2038" s="2266" t="s">
        <v>1633</v>
      </c>
      <c r="D2038" s="2266">
        <v>2</v>
      </c>
      <c r="E2038" s="2266">
        <v>1652</v>
      </c>
      <c r="F2038" s="2266" t="s">
        <v>6364</v>
      </c>
      <c r="G2038" s="2266" t="s">
        <v>6365</v>
      </c>
      <c r="H2038" s="2436">
        <v>871498</v>
      </c>
      <c r="I2038" s="2436">
        <v>303453</v>
      </c>
      <c r="J2038" s="2446">
        <v>0.18284585966229436</v>
      </c>
      <c r="K2038" s="2436">
        <v>159349.80100397021</v>
      </c>
      <c r="L2038" s="2436">
        <v>159349.80100397021</v>
      </c>
      <c r="M2038" s="2266">
        <v>599</v>
      </c>
    </row>
    <row r="2039" spans="1:13" ht="15">
      <c r="A2039" s="2266" t="s">
        <v>4399</v>
      </c>
      <c r="B2039" s="1694" t="str">
        <f>CONCATENATE(LEFT(RIGHT(CONCATENATE("000",IFAData_TEA!A2039),6),3),"-",(RIGHT(RIGHT(CONCATENATE("000",IFAData_TEA!A2039),6),3)))</f>
        <v>243-901</v>
      </c>
      <c r="C2039" s="2266" t="s">
        <v>1633</v>
      </c>
      <c r="D2039" s="2266">
        <v>2</v>
      </c>
      <c r="E2039" s="2266">
        <v>1652</v>
      </c>
      <c r="F2039" s="2266" t="s">
        <v>6364</v>
      </c>
      <c r="G2039" s="2266" t="s">
        <v>6364</v>
      </c>
      <c r="H2039" s="2436">
        <v>871498</v>
      </c>
      <c r="I2039" s="2436">
        <v>272538</v>
      </c>
      <c r="J2039" s="2446">
        <v>0.16421800048324578</v>
      </c>
      <c r="K2039" s="2436">
        <v>143115.65898514772</v>
      </c>
      <c r="L2039" s="2436">
        <v>143115.65898514772</v>
      </c>
      <c r="M2039" s="2266">
        <v>599</v>
      </c>
    </row>
    <row r="2040" spans="1:13" ht="15">
      <c r="A2040" s="2266" t="s">
        <v>4400</v>
      </c>
      <c r="B2040" s="1694" t="str">
        <f>CONCATENATE(LEFT(RIGHT(CONCATENATE("000",IFAData_TEA!A2040),6),3),"-",(RIGHT(RIGHT(CONCATENATE("000",IFAData_TEA!A2040),6),3)))</f>
        <v>243-905</v>
      </c>
      <c r="C2040" s="2266" t="s">
        <v>1806</v>
      </c>
      <c r="D2040" s="2266">
        <v>9</v>
      </c>
      <c r="E2040" s="2266">
        <v>2453</v>
      </c>
      <c r="F2040" s="2266" t="s">
        <v>6367</v>
      </c>
      <c r="G2040" s="2266" t="s">
        <v>7078</v>
      </c>
      <c r="H2040" s="2436">
        <v>3370543</v>
      </c>
      <c r="I2040" s="2436">
        <v>456143</v>
      </c>
      <c r="J2040" s="2446">
        <v>8.8539685177047148E-2</v>
      </c>
      <c r="K2040" s="2436">
        <v>298426.81609570002</v>
      </c>
      <c r="L2040" s="2436">
        <v>298426.81609570002</v>
      </c>
      <c r="M2040" s="2266">
        <v>599</v>
      </c>
    </row>
    <row r="2041" spans="1:13" ht="15">
      <c r="A2041" s="2266" t="s">
        <v>4400</v>
      </c>
      <c r="B2041" s="1694" t="str">
        <f>CONCATENATE(LEFT(RIGHT(CONCATENATE("000",IFAData_TEA!A2041),6),3),"-",(RIGHT(RIGHT(CONCATENATE("000",IFAData_TEA!A2041),6),3)))</f>
        <v>243-905</v>
      </c>
      <c r="C2041" s="2266" t="s">
        <v>1806</v>
      </c>
      <c r="D2041" s="2266">
        <v>9</v>
      </c>
      <c r="E2041" s="2266">
        <v>2453</v>
      </c>
      <c r="F2041" s="2266" t="s">
        <v>6367</v>
      </c>
      <c r="G2041" s="2266" t="s">
        <v>6367</v>
      </c>
      <c r="H2041" s="2436">
        <v>3370543</v>
      </c>
      <c r="I2041" s="2436">
        <v>4695705</v>
      </c>
      <c r="J2041" s="2446">
        <v>0.91146031482295287</v>
      </c>
      <c r="K2041" s="2436">
        <v>3072116.1839043</v>
      </c>
      <c r="L2041" s="2436">
        <v>3072116.1839043</v>
      </c>
      <c r="M2041" s="2266">
        <v>599</v>
      </c>
    </row>
    <row r="2042" spans="1:13" ht="15">
      <c r="A2042" s="2266" t="s">
        <v>4401</v>
      </c>
      <c r="B2042" s="1694" t="str">
        <f>CONCATENATE(LEFT(RIGHT(CONCATENATE("000",IFAData_TEA!A2042),6),3),"-",(RIGHT(RIGHT(CONCATENATE("000",IFAData_TEA!A2042),6),3)))</f>
        <v>243-906</v>
      </c>
      <c r="C2042" s="2266" t="s">
        <v>1327</v>
      </c>
      <c r="D2042" s="2266">
        <v>5</v>
      </c>
      <c r="E2042" s="2266">
        <v>1693</v>
      </c>
      <c r="F2042" s="2266" t="s">
        <v>6368</v>
      </c>
      <c r="G2042" s="2266" t="s">
        <v>6368</v>
      </c>
      <c r="H2042" s="2436">
        <v>347638</v>
      </c>
      <c r="I2042" s="2436">
        <v>646697</v>
      </c>
      <c r="J2042" s="2446">
        <v>1</v>
      </c>
      <c r="K2042" s="2436">
        <v>347638</v>
      </c>
      <c r="L2042" s="2436">
        <v>347638</v>
      </c>
      <c r="M2042" s="2266">
        <v>599</v>
      </c>
    </row>
    <row r="2043" spans="1:13" ht="15">
      <c r="A2043" s="2266" t="s">
        <v>4402</v>
      </c>
      <c r="B2043" s="1694" t="str">
        <f>CONCATENATE(LEFT(RIGHT(CONCATENATE("000",IFAData_TEA!A2043),6),3),"-",(RIGHT(RIGHT(CONCATENATE("000",IFAData_TEA!A2043),6),3)))</f>
        <v>244-905</v>
      </c>
      <c r="C2043" s="2266" t="s">
        <v>2612</v>
      </c>
      <c r="D2043" s="2266">
        <v>8</v>
      </c>
      <c r="E2043" s="2266">
        <v>2151</v>
      </c>
      <c r="F2043" s="2266" t="s">
        <v>6369</v>
      </c>
      <c r="G2043" s="2266" t="s">
        <v>6369</v>
      </c>
      <c r="H2043" s="2436">
        <v>100000</v>
      </c>
      <c r="I2043" s="2436">
        <v>131695</v>
      </c>
      <c r="J2043" s="2446">
        <v>1</v>
      </c>
      <c r="K2043" s="2436">
        <v>100000</v>
      </c>
      <c r="L2043" s="2436">
        <v>100000</v>
      </c>
      <c r="M2043" s="2266">
        <v>599</v>
      </c>
    </row>
    <row r="2044" spans="1:13" ht="15">
      <c r="A2044" s="2266" t="s">
        <v>4403</v>
      </c>
      <c r="B2044" s="1694" t="str">
        <f>CONCATENATE(LEFT(RIGHT(CONCATENATE("000",IFAData_TEA!A2044),6),3),"-",(RIGHT(RIGHT(CONCATENATE("000",IFAData_TEA!A2044),6),3)))</f>
        <v>245-901</v>
      </c>
      <c r="C2044" s="2266" t="s">
        <v>2678</v>
      </c>
      <c r="D2044" s="2266">
        <v>5</v>
      </c>
      <c r="E2044" s="2266">
        <v>2012</v>
      </c>
      <c r="F2044" s="2266" t="s">
        <v>6372</v>
      </c>
      <c r="G2044" s="2266" t="s">
        <v>6372</v>
      </c>
      <c r="H2044" s="2436">
        <v>92936</v>
      </c>
      <c r="I2044" s="2436">
        <v>0</v>
      </c>
      <c r="J2044" s="2446">
        <v>0</v>
      </c>
      <c r="K2044" s="2436">
        <v>0</v>
      </c>
      <c r="L2044" s="2436">
        <v>0</v>
      </c>
      <c r="M2044" s="2266">
        <v>599</v>
      </c>
    </row>
    <row r="2045" spans="1:13" ht="15">
      <c r="A2045" s="2266" t="s">
        <v>4403</v>
      </c>
      <c r="B2045" s="1694" t="str">
        <f>CONCATENATE(LEFT(RIGHT(CONCATENATE("000",IFAData_TEA!A2045),6),3),"-",(RIGHT(RIGHT(CONCATENATE("000",IFAData_TEA!A2045),6),3)))</f>
        <v>245-901</v>
      </c>
      <c r="C2045" s="2266" t="s">
        <v>2678</v>
      </c>
      <c r="D2045" s="2266">
        <v>8</v>
      </c>
      <c r="E2045" s="2266">
        <v>2014</v>
      </c>
      <c r="F2045" s="2266" t="s">
        <v>6373</v>
      </c>
      <c r="G2045" s="2266" t="s">
        <v>6373</v>
      </c>
      <c r="H2045" s="2436">
        <v>98876</v>
      </c>
      <c r="I2045" s="2436">
        <v>93991</v>
      </c>
      <c r="J2045" s="2446">
        <v>1</v>
      </c>
      <c r="K2045" s="2436">
        <v>98876</v>
      </c>
      <c r="L2045" s="2436">
        <v>93991</v>
      </c>
      <c r="M2045" s="2266">
        <v>599</v>
      </c>
    </row>
    <row r="2046" spans="1:13" ht="15">
      <c r="A2046" s="2266" t="s">
        <v>4403</v>
      </c>
      <c r="B2046" s="1694" t="str">
        <f>CONCATENATE(LEFT(RIGHT(CONCATENATE("000",IFAData_TEA!A2046),6),3),"-",(RIGHT(RIGHT(CONCATENATE("000",IFAData_TEA!A2046),6),3)))</f>
        <v>245-901</v>
      </c>
      <c r="C2046" s="2266" t="s">
        <v>2678</v>
      </c>
      <c r="D2046" s="2266">
        <v>4</v>
      </c>
      <c r="E2046" s="2266">
        <v>2013</v>
      </c>
      <c r="F2046" s="2266" t="s">
        <v>6370</v>
      </c>
      <c r="G2046" s="2266" t="s">
        <v>6370</v>
      </c>
      <c r="H2046" s="2436">
        <v>98474</v>
      </c>
      <c r="I2046" s="2436">
        <v>0</v>
      </c>
      <c r="J2046" s="2446">
        <v>0</v>
      </c>
      <c r="K2046" s="2436">
        <v>0</v>
      </c>
      <c r="L2046" s="2436">
        <v>0</v>
      </c>
      <c r="M2046" s="2266">
        <v>599</v>
      </c>
    </row>
    <row r="2047" spans="1:13" ht="15">
      <c r="A2047" s="2266" t="s">
        <v>4403</v>
      </c>
      <c r="B2047" s="1694" t="str">
        <f>CONCATENATE(LEFT(RIGHT(CONCATENATE("000",IFAData_TEA!A2047),6),3),"-",(RIGHT(RIGHT(CONCATENATE("000",IFAData_TEA!A2047),6),3)))</f>
        <v>245-901</v>
      </c>
      <c r="C2047" s="2266" t="s">
        <v>2678</v>
      </c>
      <c r="D2047" s="2266">
        <v>5</v>
      </c>
      <c r="E2047" s="2266">
        <v>2012</v>
      </c>
      <c r="F2047" s="2266" t="s">
        <v>6372</v>
      </c>
      <c r="G2047" s="2266" t="s">
        <v>6371</v>
      </c>
      <c r="H2047" s="2436">
        <v>92936</v>
      </c>
      <c r="I2047" s="2436">
        <v>77514</v>
      </c>
      <c r="J2047" s="2446">
        <v>1</v>
      </c>
      <c r="K2047" s="2436">
        <v>92936</v>
      </c>
      <c r="L2047" s="2436">
        <v>77514</v>
      </c>
      <c r="M2047" s="2266">
        <v>599</v>
      </c>
    </row>
    <row r="2048" spans="1:13" ht="15">
      <c r="A2048" s="2266" t="s">
        <v>4403</v>
      </c>
      <c r="B2048" s="1694" t="str">
        <f>CONCATENATE(LEFT(RIGHT(CONCATENATE("000",IFAData_TEA!A2048),6),3),"-",(RIGHT(RIGHT(CONCATENATE("000",IFAData_TEA!A2048),6),3)))</f>
        <v>245-901</v>
      </c>
      <c r="C2048" s="2266" t="s">
        <v>2678</v>
      </c>
      <c r="D2048" s="2266">
        <v>4</v>
      </c>
      <c r="E2048" s="2266">
        <v>2013</v>
      </c>
      <c r="F2048" s="2266" t="s">
        <v>6370</v>
      </c>
      <c r="G2048" s="2266" t="s">
        <v>6371</v>
      </c>
      <c r="H2048" s="2436">
        <v>98474</v>
      </c>
      <c r="I2048" s="2436">
        <v>81441</v>
      </c>
      <c r="J2048" s="2446">
        <v>1</v>
      </c>
      <c r="K2048" s="2436">
        <v>98474</v>
      </c>
      <c r="L2048" s="2436">
        <v>81441</v>
      </c>
      <c r="M2048" s="2266">
        <v>599</v>
      </c>
    </row>
    <row r="2049" spans="1:13" ht="15">
      <c r="A2049" s="2266" t="s">
        <v>4403</v>
      </c>
      <c r="B2049" s="1694" t="str">
        <f>CONCATENATE(LEFT(RIGHT(CONCATENATE("000",IFAData_TEA!A2049),6),3),"-",(RIGHT(RIGHT(CONCATENATE("000",IFAData_TEA!A2049),6),3)))</f>
        <v>245-901</v>
      </c>
      <c r="C2049" s="2266" t="s">
        <v>2678</v>
      </c>
      <c r="D2049" s="2266">
        <v>10</v>
      </c>
      <c r="E2049" s="2266">
        <v>2016</v>
      </c>
      <c r="F2049" s="2266" t="s">
        <v>6375</v>
      </c>
      <c r="G2049" s="2266" t="s">
        <v>6375</v>
      </c>
      <c r="H2049" s="2436">
        <v>108827</v>
      </c>
      <c r="I2049" s="2436">
        <v>114475</v>
      </c>
      <c r="J2049" s="2446">
        <v>1</v>
      </c>
      <c r="K2049" s="2436">
        <v>108827</v>
      </c>
      <c r="L2049" s="2436">
        <v>108827</v>
      </c>
      <c r="M2049" s="2266">
        <v>599</v>
      </c>
    </row>
    <row r="2050" spans="1:13" ht="15">
      <c r="A2050" s="2266" t="s">
        <v>4403</v>
      </c>
      <c r="B2050" s="1694" t="str">
        <f>CONCATENATE(LEFT(RIGHT(CONCATENATE("000",IFAData_TEA!A2050),6),3),"-",(RIGHT(RIGHT(CONCATENATE("000",IFAData_TEA!A2050),6),3)))</f>
        <v>245-901</v>
      </c>
      <c r="C2050" s="2266" t="s">
        <v>2678</v>
      </c>
      <c r="D2050" s="2266">
        <v>9</v>
      </c>
      <c r="E2050" s="2266">
        <v>2015</v>
      </c>
      <c r="F2050" s="2266" t="s">
        <v>6374</v>
      </c>
      <c r="G2050" s="2266" t="s">
        <v>6374</v>
      </c>
      <c r="H2050" s="2436">
        <v>100000</v>
      </c>
      <c r="I2050" s="2436">
        <v>111740</v>
      </c>
      <c r="J2050" s="2446">
        <v>1</v>
      </c>
      <c r="K2050" s="2436">
        <v>100000</v>
      </c>
      <c r="L2050" s="2436">
        <v>100000</v>
      </c>
      <c r="M2050" s="2266">
        <v>599</v>
      </c>
    </row>
    <row r="2051" spans="1:13" ht="15">
      <c r="A2051" s="2266" t="s">
        <v>4404</v>
      </c>
      <c r="B2051" s="1694" t="str">
        <f>CONCATENATE(LEFT(RIGHT(CONCATENATE("000",IFAData_TEA!A2051),6),3),"-",(RIGHT(RIGHT(CONCATENATE("000",IFAData_TEA!A2051),6),3)))</f>
        <v>245-902</v>
      </c>
      <c r="C2051" s="2266" t="s">
        <v>950</v>
      </c>
      <c r="D2051" s="2266">
        <v>1</v>
      </c>
      <c r="E2051" s="2266">
        <v>2047</v>
      </c>
      <c r="F2051" s="2266" t="s">
        <v>6376</v>
      </c>
      <c r="G2051" s="2266" t="s">
        <v>6376</v>
      </c>
      <c r="H2051" s="2436">
        <v>412085</v>
      </c>
      <c r="I2051" s="2436">
        <v>0</v>
      </c>
      <c r="J2051" s="2446">
        <v>0</v>
      </c>
      <c r="K2051" s="2436">
        <v>0</v>
      </c>
      <c r="L2051" s="2436">
        <v>0</v>
      </c>
      <c r="M2051" s="2266">
        <v>199</v>
      </c>
    </row>
    <row r="2052" spans="1:13" ht="15">
      <c r="A2052" s="2266" t="s">
        <v>4404</v>
      </c>
      <c r="B2052" s="1694" t="str">
        <f>CONCATENATE(LEFT(RIGHT(CONCATENATE("000",IFAData_TEA!A2052),6),3),"-",(RIGHT(RIGHT(CONCATENATE("000",IFAData_TEA!A2052),6),3)))</f>
        <v>245-902</v>
      </c>
      <c r="C2052" s="2266" t="s">
        <v>950</v>
      </c>
      <c r="D2052" s="2266">
        <v>1</v>
      </c>
      <c r="E2052" s="2266">
        <v>2047</v>
      </c>
      <c r="F2052" s="2266" t="s">
        <v>6376</v>
      </c>
      <c r="G2052" s="2266" t="s">
        <v>6377</v>
      </c>
      <c r="H2052" s="2436">
        <v>412085</v>
      </c>
      <c r="I2052" s="2436">
        <v>452445</v>
      </c>
      <c r="J2052" s="2446">
        <v>1</v>
      </c>
      <c r="K2052" s="2436">
        <v>412085</v>
      </c>
      <c r="L2052" s="2436">
        <v>412085</v>
      </c>
      <c r="M2052" s="2266">
        <v>599</v>
      </c>
    </row>
    <row r="2053" spans="1:13" ht="15">
      <c r="A2053" s="2266" t="s">
        <v>4404</v>
      </c>
      <c r="B2053" s="1694" t="str">
        <f>CONCATENATE(LEFT(RIGHT(CONCATENATE("000",IFAData_TEA!A2053),6),3),"-",(RIGHT(RIGHT(CONCATENATE("000",IFAData_TEA!A2053),6),3)))</f>
        <v>245-902</v>
      </c>
      <c r="C2053" s="2266" t="s">
        <v>950</v>
      </c>
      <c r="D2053" s="2266">
        <v>6</v>
      </c>
      <c r="E2053" s="2266">
        <v>2046</v>
      </c>
      <c r="F2053" s="2266" t="s">
        <v>6378</v>
      </c>
      <c r="G2053" s="2266" t="s">
        <v>6378</v>
      </c>
      <c r="H2053" s="2436">
        <v>342241</v>
      </c>
      <c r="I2053" s="2436">
        <v>0</v>
      </c>
      <c r="J2053" s="2446">
        <v>0</v>
      </c>
      <c r="K2053" s="2436">
        <v>0</v>
      </c>
      <c r="L2053" s="2436">
        <v>0</v>
      </c>
      <c r="M2053" s="2266">
        <v>599</v>
      </c>
    </row>
    <row r="2054" spans="1:13" ht="15">
      <c r="A2054" s="2266" t="s">
        <v>4404</v>
      </c>
      <c r="B2054" s="1694" t="str">
        <f>CONCATENATE(LEFT(RIGHT(CONCATENATE("000",IFAData_TEA!A2054),6),3),"-",(RIGHT(RIGHT(CONCATENATE("000",IFAData_TEA!A2054),6),3)))</f>
        <v>245-902</v>
      </c>
      <c r="C2054" s="2266" t="s">
        <v>950</v>
      </c>
      <c r="D2054" s="2266">
        <v>6</v>
      </c>
      <c r="E2054" s="2266">
        <v>2046</v>
      </c>
      <c r="F2054" s="2266" t="s">
        <v>6378</v>
      </c>
      <c r="G2054" s="2266" t="s">
        <v>6379</v>
      </c>
      <c r="H2054" s="2436">
        <v>342241</v>
      </c>
      <c r="I2054" s="2436">
        <v>339939</v>
      </c>
      <c r="J2054" s="2446">
        <v>1</v>
      </c>
      <c r="K2054" s="2436">
        <v>342241</v>
      </c>
      <c r="L2054" s="2436">
        <v>339939</v>
      </c>
      <c r="M2054" s="2266">
        <v>599</v>
      </c>
    </row>
    <row r="2055" spans="1:13" ht="15">
      <c r="A2055" s="2266" t="s">
        <v>4405</v>
      </c>
      <c r="B2055" s="1694" t="str">
        <f>CONCATENATE(LEFT(RIGHT(CONCATENATE("000",IFAData_TEA!A2055),6),3),"-",(RIGHT(RIGHT(CONCATENATE("000",IFAData_TEA!A2055),6),3)))</f>
        <v>245-903</v>
      </c>
      <c r="C2055" s="2266" t="s">
        <v>91</v>
      </c>
      <c r="D2055" s="2266">
        <v>5</v>
      </c>
      <c r="E2055" s="2266">
        <v>2225</v>
      </c>
      <c r="F2055" s="2266" t="s">
        <v>6384</v>
      </c>
      <c r="G2055" s="2266" t="s">
        <v>7079</v>
      </c>
      <c r="H2055" s="2436">
        <v>198867</v>
      </c>
      <c r="I2055" s="2436">
        <v>21264</v>
      </c>
      <c r="J2055" s="2446">
        <v>0.12796995739149275</v>
      </c>
      <c r="K2055" s="2436">
        <v>25449.00151657399</v>
      </c>
      <c r="L2055" s="2436">
        <v>21264</v>
      </c>
      <c r="M2055" s="2266">
        <v>599</v>
      </c>
    </row>
    <row r="2056" spans="1:13" ht="15">
      <c r="A2056" s="2266" t="s">
        <v>4405</v>
      </c>
      <c r="B2056" s="1694" t="str">
        <f>CONCATENATE(LEFT(RIGHT(CONCATENATE("000",IFAData_TEA!A2056),6),3),"-",(RIGHT(RIGHT(CONCATENATE("000",IFAData_TEA!A2056),6),3)))</f>
        <v>245-903</v>
      </c>
      <c r="C2056" s="2266" t="s">
        <v>91</v>
      </c>
      <c r="D2056" s="2266">
        <v>3</v>
      </c>
      <c r="E2056" s="2266">
        <v>2226</v>
      </c>
      <c r="F2056" s="2266" t="s">
        <v>6383</v>
      </c>
      <c r="G2056" s="2266" t="s">
        <v>7079</v>
      </c>
      <c r="H2056" s="2436">
        <v>415048</v>
      </c>
      <c r="I2056" s="2436">
        <v>177247</v>
      </c>
      <c r="J2056" s="2446">
        <v>0.434565255766515</v>
      </c>
      <c r="K2056" s="2436">
        <v>180365.4402753805</v>
      </c>
      <c r="L2056" s="2436">
        <v>177247</v>
      </c>
      <c r="M2056" s="2266">
        <v>599</v>
      </c>
    </row>
    <row r="2057" spans="1:13" ht="15">
      <c r="A2057" s="2266" t="s">
        <v>4405</v>
      </c>
      <c r="B2057" s="1694" t="str">
        <f>CONCATENATE(LEFT(RIGHT(CONCATENATE("000",IFAData_TEA!A2057),6),3),"-",(RIGHT(RIGHT(CONCATENATE("000",IFAData_TEA!A2057),6),3)))</f>
        <v>245-903</v>
      </c>
      <c r="C2057" s="2266" t="s">
        <v>91</v>
      </c>
      <c r="D2057" s="2266">
        <v>2</v>
      </c>
      <c r="E2057" s="2266">
        <v>2228</v>
      </c>
      <c r="F2057" s="2266" t="s">
        <v>6380</v>
      </c>
      <c r="G2057" s="2266" t="s">
        <v>7079</v>
      </c>
      <c r="H2057" s="2436">
        <v>679270</v>
      </c>
      <c r="I2057" s="2436">
        <v>33958</v>
      </c>
      <c r="J2057" s="2446">
        <v>5.467660650168258E-2</v>
      </c>
      <c r="K2057" s="2436">
        <v>37140.178498397923</v>
      </c>
      <c r="L2057" s="2436">
        <v>33958</v>
      </c>
      <c r="M2057" s="2266">
        <v>599</v>
      </c>
    </row>
    <row r="2058" spans="1:13" ht="15">
      <c r="A2058" s="2266" t="s">
        <v>4405</v>
      </c>
      <c r="B2058" s="1694" t="str">
        <f>CONCATENATE(LEFT(RIGHT(CONCATENATE("000",IFAData_TEA!A2058),6),3),"-",(RIGHT(RIGHT(CONCATENATE("000",IFAData_TEA!A2058),6),3)))</f>
        <v>245-903</v>
      </c>
      <c r="C2058" s="2266" t="s">
        <v>91</v>
      </c>
      <c r="D2058" s="2266">
        <v>5</v>
      </c>
      <c r="E2058" s="2266">
        <v>2225</v>
      </c>
      <c r="F2058" s="2266" t="s">
        <v>6384</v>
      </c>
      <c r="G2058" s="2266" t="s">
        <v>6384</v>
      </c>
      <c r="H2058" s="2436">
        <v>198867</v>
      </c>
      <c r="I2058" s="2436">
        <v>0</v>
      </c>
      <c r="J2058" s="2446">
        <v>0</v>
      </c>
      <c r="K2058" s="2436">
        <v>0</v>
      </c>
      <c r="L2058" s="2436">
        <v>0</v>
      </c>
      <c r="M2058" s="2266">
        <v>599</v>
      </c>
    </row>
    <row r="2059" spans="1:13" ht="15">
      <c r="A2059" s="2266" t="s">
        <v>4405</v>
      </c>
      <c r="B2059" s="1694" t="str">
        <f>CONCATENATE(LEFT(RIGHT(CONCATENATE("000",IFAData_TEA!A2059),6),3),"-",(RIGHT(RIGHT(CONCATENATE("000",IFAData_TEA!A2059),6),3)))</f>
        <v>245-903</v>
      </c>
      <c r="C2059" s="2266" t="s">
        <v>91</v>
      </c>
      <c r="D2059" s="2266">
        <v>2</v>
      </c>
      <c r="E2059" s="2266">
        <v>2228</v>
      </c>
      <c r="F2059" s="2266" t="s">
        <v>6380</v>
      </c>
      <c r="G2059" s="2266" t="s">
        <v>6380</v>
      </c>
      <c r="H2059" s="2436">
        <v>679270</v>
      </c>
      <c r="I2059" s="2436">
        <v>0</v>
      </c>
      <c r="J2059" s="2446">
        <v>0</v>
      </c>
      <c r="K2059" s="2436">
        <v>0</v>
      </c>
      <c r="L2059" s="2436">
        <v>0</v>
      </c>
      <c r="M2059" s="2266">
        <v>599</v>
      </c>
    </row>
    <row r="2060" spans="1:13" ht="15">
      <c r="A2060" s="2266" t="s">
        <v>4405</v>
      </c>
      <c r="B2060" s="1694" t="str">
        <f>CONCATENATE(LEFT(RIGHT(CONCATENATE("000",IFAData_TEA!A2060),6),3),"-",(RIGHT(RIGHT(CONCATENATE("000",IFAData_TEA!A2060),6),3)))</f>
        <v>245-903</v>
      </c>
      <c r="C2060" s="2266" t="s">
        <v>91</v>
      </c>
      <c r="D2060" s="2266">
        <v>5</v>
      </c>
      <c r="E2060" s="2266">
        <v>2225</v>
      </c>
      <c r="F2060" s="2266" t="s">
        <v>6384</v>
      </c>
      <c r="G2060" s="2266" t="s">
        <v>6385</v>
      </c>
      <c r="H2060" s="2436">
        <v>198867</v>
      </c>
      <c r="I2060" s="2436">
        <v>144900</v>
      </c>
      <c r="J2060" s="2446">
        <v>0.87203004260850725</v>
      </c>
      <c r="K2060" s="2436">
        <v>173417.99848342602</v>
      </c>
      <c r="L2060" s="2436">
        <v>144900</v>
      </c>
      <c r="M2060" s="2266">
        <v>599</v>
      </c>
    </row>
    <row r="2061" spans="1:13" ht="15">
      <c r="A2061" s="2266" t="s">
        <v>4405</v>
      </c>
      <c r="B2061" s="1694" t="str">
        <f>CONCATENATE(LEFT(RIGHT(CONCATENATE("000",IFAData_TEA!A2061),6),3),"-",(RIGHT(RIGHT(CONCATENATE("000",IFAData_TEA!A2061),6),3)))</f>
        <v>245-903</v>
      </c>
      <c r="C2061" s="2266" t="s">
        <v>91</v>
      </c>
      <c r="D2061" s="2266">
        <v>2</v>
      </c>
      <c r="E2061" s="2266">
        <v>2228</v>
      </c>
      <c r="F2061" s="2266" t="s">
        <v>6380</v>
      </c>
      <c r="G2061" s="2266" t="s">
        <v>6381</v>
      </c>
      <c r="H2061" s="2436">
        <v>679270</v>
      </c>
      <c r="I2061" s="2436">
        <v>0</v>
      </c>
      <c r="J2061" s="2446">
        <v>0</v>
      </c>
      <c r="K2061" s="2436">
        <v>0</v>
      </c>
      <c r="L2061" s="2436">
        <v>0</v>
      </c>
      <c r="M2061" s="2266">
        <v>599</v>
      </c>
    </row>
    <row r="2062" spans="1:13" ht="15">
      <c r="A2062" s="2266" t="s">
        <v>4405</v>
      </c>
      <c r="B2062" s="1694" t="str">
        <f>CONCATENATE(LEFT(RIGHT(CONCATENATE("000",IFAData_TEA!A2062),6),3),"-",(RIGHT(RIGHT(CONCATENATE("000",IFAData_TEA!A2062),6),3)))</f>
        <v>245-903</v>
      </c>
      <c r="C2062" s="2266" t="s">
        <v>91</v>
      </c>
      <c r="D2062" s="2266">
        <v>3</v>
      </c>
      <c r="E2062" s="2266">
        <v>2226</v>
      </c>
      <c r="F2062" s="2266" t="s">
        <v>6383</v>
      </c>
      <c r="G2062" s="2266" t="s">
        <v>6381</v>
      </c>
      <c r="H2062" s="2436">
        <v>415048</v>
      </c>
      <c r="I2062" s="2436">
        <v>230625</v>
      </c>
      <c r="J2062" s="2446">
        <v>0.56543474423348505</v>
      </c>
      <c r="K2062" s="2436">
        <v>234682.5597246195</v>
      </c>
      <c r="L2062" s="2436">
        <v>230625</v>
      </c>
      <c r="M2062" s="2266">
        <v>599</v>
      </c>
    </row>
    <row r="2063" spans="1:13" ht="15">
      <c r="A2063" s="2266" t="s">
        <v>4405</v>
      </c>
      <c r="B2063" s="1694" t="str">
        <f>CONCATENATE(LEFT(RIGHT(CONCATENATE("000",IFAData_TEA!A2063),6),3),"-",(RIGHT(RIGHT(CONCATENATE("000",IFAData_TEA!A2063),6),3)))</f>
        <v>245-903</v>
      </c>
      <c r="C2063" s="2266" t="s">
        <v>91</v>
      </c>
      <c r="D2063" s="2266">
        <v>5</v>
      </c>
      <c r="E2063" s="2266">
        <v>2225</v>
      </c>
      <c r="F2063" s="2266" t="s">
        <v>6384</v>
      </c>
      <c r="G2063" s="2266" t="s">
        <v>6381</v>
      </c>
      <c r="H2063" s="2436">
        <v>198867</v>
      </c>
      <c r="I2063" s="2436">
        <v>0</v>
      </c>
      <c r="J2063" s="2446">
        <v>0</v>
      </c>
      <c r="K2063" s="2436">
        <v>0</v>
      </c>
      <c r="L2063" s="2436">
        <v>0</v>
      </c>
      <c r="M2063" s="2266">
        <v>599</v>
      </c>
    </row>
    <row r="2064" spans="1:13" ht="15">
      <c r="A2064" s="2266" t="s">
        <v>4405</v>
      </c>
      <c r="B2064" s="1694" t="str">
        <f>CONCATENATE(LEFT(RIGHT(CONCATENATE("000",IFAData_TEA!A2064),6),3),"-",(RIGHT(RIGHT(CONCATENATE("000",IFAData_TEA!A2064),6),3)))</f>
        <v>245-903</v>
      </c>
      <c r="C2064" s="2266" t="s">
        <v>91</v>
      </c>
      <c r="D2064" s="2266">
        <v>2</v>
      </c>
      <c r="E2064" s="2266">
        <v>2228</v>
      </c>
      <c r="F2064" s="2266" t="s">
        <v>6380</v>
      </c>
      <c r="G2064" s="2266" t="s">
        <v>6382</v>
      </c>
      <c r="H2064" s="2436">
        <v>679270</v>
      </c>
      <c r="I2064" s="2436">
        <v>587112</v>
      </c>
      <c r="J2064" s="2446">
        <v>0.9453233934983174</v>
      </c>
      <c r="K2064" s="2436">
        <v>642129.82150160207</v>
      </c>
      <c r="L2064" s="2436">
        <v>587112</v>
      </c>
      <c r="M2064" s="2266">
        <v>599</v>
      </c>
    </row>
    <row r="2065" spans="1:13" ht="15">
      <c r="A2065" s="2266" t="s">
        <v>4405</v>
      </c>
      <c r="B2065" s="1694" t="str">
        <f>CONCATENATE(LEFT(RIGHT(CONCATENATE("000",IFAData_TEA!A2065),6),3),"-",(RIGHT(RIGHT(CONCATENATE("000",IFAData_TEA!A2065),6),3)))</f>
        <v>245-903</v>
      </c>
      <c r="C2065" s="2266" t="s">
        <v>91</v>
      </c>
      <c r="D2065" s="2266">
        <v>9</v>
      </c>
      <c r="E2065" s="2266">
        <v>2227</v>
      </c>
      <c r="F2065" s="2266" t="s">
        <v>6386</v>
      </c>
      <c r="G2065" s="2266" t="s">
        <v>6386</v>
      </c>
      <c r="H2065" s="2436">
        <v>540475</v>
      </c>
      <c r="I2065" s="2436">
        <v>614448</v>
      </c>
      <c r="J2065" s="2446">
        <v>1</v>
      </c>
      <c r="K2065" s="2436">
        <v>540475</v>
      </c>
      <c r="L2065" s="2436">
        <v>540475</v>
      </c>
      <c r="M2065" s="2266">
        <v>599</v>
      </c>
    </row>
    <row r="2066" spans="1:13" ht="15">
      <c r="A2066" s="2266" t="s">
        <v>4405</v>
      </c>
      <c r="B2066" s="1694" t="str">
        <f>CONCATENATE(LEFT(RIGHT(CONCATENATE("000",IFAData_TEA!A2066),6),3),"-",(RIGHT(RIGHT(CONCATENATE("000",IFAData_TEA!A2066),6),3)))</f>
        <v>245-903</v>
      </c>
      <c r="C2066" s="2266" t="s">
        <v>91</v>
      </c>
      <c r="D2066" s="2266">
        <v>3</v>
      </c>
      <c r="E2066" s="2266">
        <v>2226</v>
      </c>
      <c r="F2066" s="2266" t="s">
        <v>6383</v>
      </c>
      <c r="G2066" s="2266" t="s">
        <v>6383</v>
      </c>
      <c r="H2066" s="2436">
        <v>415048</v>
      </c>
      <c r="I2066" s="2436">
        <v>0</v>
      </c>
      <c r="J2066" s="2446">
        <v>0</v>
      </c>
      <c r="K2066" s="2436">
        <v>0</v>
      </c>
      <c r="L2066" s="2436">
        <v>0</v>
      </c>
      <c r="M2066" s="2266">
        <v>599</v>
      </c>
    </row>
    <row r="2067" spans="1:13" ht="15">
      <c r="A2067" s="2266" t="s">
        <v>4406</v>
      </c>
      <c r="B2067" s="1694" t="str">
        <f>CONCATENATE(LEFT(RIGHT(CONCATENATE("000",IFAData_TEA!A2067),6),3),"-",(RIGHT(RIGHT(CONCATENATE("000",IFAData_TEA!A2067),6),3)))</f>
        <v>245-904</v>
      </c>
      <c r="C2067" s="2266" t="s">
        <v>580</v>
      </c>
      <c r="D2067" s="2266">
        <v>6</v>
      </c>
      <c r="E2067" s="2266">
        <v>2300</v>
      </c>
      <c r="F2067" s="2266" t="s">
        <v>6387</v>
      </c>
      <c r="G2067" s="2266" t="s">
        <v>6388</v>
      </c>
      <c r="H2067" s="2436">
        <v>99319</v>
      </c>
      <c r="I2067" s="2436">
        <v>89400</v>
      </c>
      <c r="J2067" s="2446">
        <v>1</v>
      </c>
      <c r="K2067" s="2436">
        <v>99319</v>
      </c>
      <c r="L2067" s="2436">
        <v>89400</v>
      </c>
      <c r="M2067" s="2266">
        <v>599</v>
      </c>
    </row>
    <row r="2068" spans="1:13" ht="15">
      <c r="A2068" s="2266" t="s">
        <v>4406</v>
      </c>
      <c r="B2068" s="1694" t="str">
        <f>CONCATENATE(LEFT(RIGHT(CONCATENATE("000",IFAData_TEA!A2068),6),3),"-",(RIGHT(RIGHT(CONCATENATE("000",IFAData_TEA!A2068),6),3)))</f>
        <v>245-904</v>
      </c>
      <c r="C2068" s="2266" t="s">
        <v>580</v>
      </c>
      <c r="D2068" s="2266">
        <v>6</v>
      </c>
      <c r="E2068" s="2266">
        <v>2300</v>
      </c>
      <c r="F2068" s="2266" t="s">
        <v>6387</v>
      </c>
      <c r="G2068" s="2266" t="s">
        <v>6387</v>
      </c>
      <c r="H2068" s="2436">
        <v>99319</v>
      </c>
      <c r="I2068" s="2436">
        <v>0</v>
      </c>
      <c r="J2068" s="2446">
        <v>0</v>
      </c>
      <c r="K2068" s="2436">
        <v>0</v>
      </c>
      <c r="L2068" s="2436">
        <v>0</v>
      </c>
      <c r="M2068" s="2266">
        <v>599</v>
      </c>
    </row>
    <row r="2069" spans="1:13" ht="15">
      <c r="A2069" s="2266" t="s">
        <v>4406</v>
      </c>
      <c r="B2069" s="1694" t="str">
        <f>CONCATENATE(LEFT(RIGHT(CONCATENATE("000",IFAData_TEA!A2069),6),3),"-",(RIGHT(RIGHT(CONCATENATE("000",IFAData_TEA!A2069),6),3)))</f>
        <v>245-904</v>
      </c>
      <c r="C2069" s="2266" t="s">
        <v>580</v>
      </c>
      <c r="D2069" s="2266">
        <v>9</v>
      </c>
      <c r="E2069" s="2266">
        <v>2301</v>
      </c>
      <c r="F2069" s="2266" t="s">
        <v>6389</v>
      </c>
      <c r="G2069" s="2266" t="s">
        <v>6389</v>
      </c>
      <c r="H2069" s="2436">
        <v>100000</v>
      </c>
      <c r="I2069" s="2436">
        <v>165315</v>
      </c>
      <c r="J2069" s="2446">
        <v>1</v>
      </c>
      <c r="K2069" s="2436">
        <v>100000</v>
      </c>
      <c r="L2069" s="2436">
        <v>100000</v>
      </c>
      <c r="M2069" s="2266">
        <v>599</v>
      </c>
    </row>
    <row r="2070" spans="1:13" ht="15">
      <c r="A2070" s="2266" t="s">
        <v>4407</v>
      </c>
      <c r="B2070" s="1694" t="str">
        <f>CONCATENATE(LEFT(RIGHT(CONCATENATE("000",IFAData_TEA!A2070),6),3),"-",(RIGHT(RIGHT(CONCATENATE("000",IFAData_TEA!A2070),6),3)))</f>
        <v>246-902</v>
      </c>
      <c r="C2070" s="2266" t="s">
        <v>130</v>
      </c>
      <c r="D2070" s="2266">
        <v>2</v>
      </c>
      <c r="E2070" s="2266">
        <v>1813</v>
      </c>
      <c r="F2070" s="2266" t="s">
        <v>6390</v>
      </c>
      <c r="G2070" s="2266" t="s">
        <v>6391</v>
      </c>
      <c r="H2070" s="2436">
        <v>231000</v>
      </c>
      <c r="I2070" s="2436">
        <v>473840</v>
      </c>
      <c r="J2070" s="2446">
        <v>1</v>
      </c>
      <c r="K2070" s="2436">
        <v>231000</v>
      </c>
      <c r="L2070" s="2436">
        <v>231000</v>
      </c>
      <c r="M2070" s="2266">
        <v>599</v>
      </c>
    </row>
    <row r="2071" spans="1:13" ht="15">
      <c r="A2071" s="2266" t="s">
        <v>4407</v>
      </c>
      <c r="B2071" s="1694" t="str">
        <f>CONCATENATE(LEFT(RIGHT(CONCATENATE("000",IFAData_TEA!A2071),6),3),"-",(RIGHT(RIGHT(CONCATENATE("000",IFAData_TEA!A2071),6),3)))</f>
        <v>246-902</v>
      </c>
      <c r="C2071" s="2266" t="s">
        <v>130</v>
      </c>
      <c r="D2071" s="2266">
        <v>2</v>
      </c>
      <c r="E2071" s="2266">
        <v>1813</v>
      </c>
      <c r="F2071" s="2266" t="s">
        <v>6390</v>
      </c>
      <c r="G2071" s="2266" t="s">
        <v>6390</v>
      </c>
      <c r="H2071" s="2436">
        <v>231000</v>
      </c>
      <c r="I2071" s="2436">
        <v>0</v>
      </c>
      <c r="J2071" s="2446">
        <v>0</v>
      </c>
      <c r="K2071" s="2436">
        <v>0</v>
      </c>
      <c r="L2071" s="2436">
        <v>0</v>
      </c>
      <c r="M2071" s="2266">
        <v>599</v>
      </c>
    </row>
    <row r="2072" spans="1:13" ht="15">
      <c r="A2072" s="2266" t="s">
        <v>4409</v>
      </c>
      <c r="B2072" s="1694" t="str">
        <f>CONCATENATE(LEFT(RIGHT(CONCATENATE("000",IFAData_TEA!A2072),6),3),"-",(RIGHT(RIGHT(CONCATENATE("000",IFAData_TEA!A2072),6),3)))</f>
        <v>246-905</v>
      </c>
      <c r="C2072" s="2266" t="s">
        <v>1153</v>
      </c>
      <c r="D2072" s="2266">
        <v>2</v>
      </c>
      <c r="E2072" s="2266">
        <v>1859</v>
      </c>
      <c r="F2072" s="2266" t="s">
        <v>6392</v>
      </c>
      <c r="G2072" s="2266" t="s">
        <v>6392</v>
      </c>
      <c r="H2072" s="2436">
        <v>99992</v>
      </c>
      <c r="I2072" s="2436">
        <v>0</v>
      </c>
      <c r="J2072" s="2446">
        <v>0</v>
      </c>
      <c r="K2072" s="2436">
        <v>0</v>
      </c>
      <c r="L2072" s="2436">
        <v>0</v>
      </c>
      <c r="M2072" s="2266">
        <v>599</v>
      </c>
    </row>
    <row r="2073" spans="1:13" ht="15">
      <c r="A2073" s="2266" t="s">
        <v>4409</v>
      </c>
      <c r="B2073" s="1694" t="str">
        <f>CONCATENATE(LEFT(RIGHT(CONCATENATE("000",IFAData_TEA!A2073),6),3),"-",(RIGHT(RIGHT(CONCATENATE("000",IFAData_TEA!A2073),6),3)))</f>
        <v>246-905</v>
      </c>
      <c r="C2073" s="2266" t="s">
        <v>1153</v>
      </c>
      <c r="D2073" s="2266">
        <v>2</v>
      </c>
      <c r="E2073" s="2266">
        <v>1859</v>
      </c>
      <c r="F2073" s="2266" t="s">
        <v>6392</v>
      </c>
      <c r="G2073" s="2266" t="s">
        <v>6393</v>
      </c>
      <c r="H2073" s="2436">
        <v>99992</v>
      </c>
      <c r="I2073" s="2436">
        <v>102748</v>
      </c>
      <c r="J2073" s="2446">
        <v>1</v>
      </c>
      <c r="K2073" s="2436">
        <v>99992</v>
      </c>
      <c r="L2073" s="2436">
        <v>99992</v>
      </c>
      <c r="M2073" s="2266">
        <v>599</v>
      </c>
    </row>
    <row r="2074" spans="1:13" ht="15">
      <c r="A2074" s="2266" t="s">
        <v>4410</v>
      </c>
      <c r="B2074" s="1694" t="str">
        <f>CONCATENATE(LEFT(RIGHT(CONCATENATE("000",IFAData_TEA!A2074),6),3),"-",(RIGHT(RIGHT(CONCATENATE("000",IFAData_TEA!A2074),6),3)))</f>
        <v>246-906</v>
      </c>
      <c r="C2074" s="2266" t="s">
        <v>1440</v>
      </c>
      <c r="D2074" s="2266">
        <v>9</v>
      </c>
      <c r="E2074" s="2266">
        <v>1922</v>
      </c>
      <c r="F2074" s="2266" t="s">
        <v>6397</v>
      </c>
      <c r="G2074" s="2266" t="s">
        <v>7080</v>
      </c>
      <c r="H2074" s="2436">
        <v>1273250</v>
      </c>
      <c r="I2074" s="2436">
        <v>302416</v>
      </c>
      <c r="J2074" s="2446">
        <v>0.23080081508673653</v>
      </c>
      <c r="K2074" s="2436">
        <v>293867.13780918729</v>
      </c>
      <c r="L2074" s="2436">
        <v>293867.13780918729</v>
      </c>
      <c r="M2074" s="2266">
        <v>599</v>
      </c>
    </row>
    <row r="2075" spans="1:13" ht="15">
      <c r="A2075" s="2266" t="s">
        <v>4410</v>
      </c>
      <c r="B2075" s="1694" t="str">
        <f>CONCATENATE(LEFT(RIGHT(CONCATENATE("000",IFAData_TEA!A2075),6),3),"-",(RIGHT(RIGHT(CONCATENATE("000",IFAData_TEA!A2075),6),3)))</f>
        <v>246-906</v>
      </c>
      <c r="C2075" s="2266" t="s">
        <v>1440</v>
      </c>
      <c r="D2075" s="2266">
        <v>9</v>
      </c>
      <c r="E2075" s="2266">
        <v>1922</v>
      </c>
      <c r="F2075" s="2266" t="s">
        <v>6397</v>
      </c>
      <c r="G2075" s="2266" t="s">
        <v>6397</v>
      </c>
      <c r="H2075" s="2436">
        <v>1273250</v>
      </c>
      <c r="I2075" s="2436">
        <v>967670</v>
      </c>
      <c r="J2075" s="2446">
        <v>0.7385159010600707</v>
      </c>
      <c r="K2075" s="2436">
        <v>940315.37102473504</v>
      </c>
      <c r="L2075" s="2436">
        <v>940315.37102473504</v>
      </c>
      <c r="M2075" s="2266">
        <v>599</v>
      </c>
    </row>
    <row r="2076" spans="1:13" ht="15">
      <c r="A2076" s="2266" t="s">
        <v>4410</v>
      </c>
      <c r="B2076" s="1694" t="str">
        <f>CONCATENATE(LEFT(RIGHT(CONCATENATE("000",IFAData_TEA!A2076),6),3),"-",(RIGHT(RIGHT(CONCATENATE("000",IFAData_TEA!A2076),6),3)))</f>
        <v>246-906</v>
      </c>
      <c r="C2076" s="2266" t="s">
        <v>1440</v>
      </c>
      <c r="D2076" s="2266">
        <v>3</v>
      </c>
      <c r="E2076" s="2266">
        <v>1921</v>
      </c>
      <c r="F2076" s="2266" t="s">
        <v>6394</v>
      </c>
      <c r="G2076" s="2266" t="s">
        <v>6396</v>
      </c>
      <c r="H2076" s="2436">
        <v>502075</v>
      </c>
      <c r="I2076" s="2436">
        <v>324007</v>
      </c>
      <c r="J2076" s="2446">
        <v>0.24818024236881392</v>
      </c>
      <c r="K2076" s="2436">
        <v>124605.09518732225</v>
      </c>
      <c r="L2076" s="2436">
        <v>124605.09518732225</v>
      </c>
      <c r="M2076" s="2266">
        <v>599</v>
      </c>
    </row>
    <row r="2077" spans="1:13" ht="15">
      <c r="A2077" s="2266" t="s">
        <v>4410</v>
      </c>
      <c r="B2077" s="1694" t="str">
        <f>CONCATENATE(LEFT(RIGHT(CONCATENATE("000",IFAData_TEA!A2077),6),3),"-",(RIGHT(RIGHT(CONCATENATE("000",IFAData_TEA!A2077),6),3)))</f>
        <v>246-906</v>
      </c>
      <c r="C2077" s="2266" t="s">
        <v>1440</v>
      </c>
      <c r="D2077" s="2266">
        <v>9</v>
      </c>
      <c r="E2077" s="2266">
        <v>1922</v>
      </c>
      <c r="F2077" s="2266" t="s">
        <v>6397</v>
      </c>
      <c r="G2077" s="2266" t="s">
        <v>6398</v>
      </c>
      <c r="H2077" s="2436">
        <v>1273250</v>
      </c>
      <c r="I2077" s="2436">
        <v>40204</v>
      </c>
      <c r="J2077" s="2446">
        <v>3.0683283853192803E-2</v>
      </c>
      <c r="K2077" s="2436">
        <v>39067.491166077736</v>
      </c>
      <c r="L2077" s="2436">
        <v>39067.491166077736</v>
      </c>
      <c r="M2077" s="2266">
        <v>599</v>
      </c>
    </row>
    <row r="2078" spans="1:13" ht="15">
      <c r="A2078" s="2266" t="s">
        <v>4410</v>
      </c>
      <c r="B2078" s="1694" t="str">
        <f>CONCATENATE(LEFT(RIGHT(CONCATENATE("000",IFAData_TEA!A2078),6),3),"-",(RIGHT(RIGHT(CONCATENATE("000",IFAData_TEA!A2078),6),3)))</f>
        <v>246-906</v>
      </c>
      <c r="C2078" s="2266" t="s">
        <v>1440</v>
      </c>
      <c r="D2078" s="2266">
        <v>3</v>
      </c>
      <c r="E2078" s="2266">
        <v>1921</v>
      </c>
      <c r="F2078" s="2266" t="s">
        <v>6394</v>
      </c>
      <c r="G2078" s="2266" t="s">
        <v>6395</v>
      </c>
      <c r="H2078" s="2436">
        <v>502075</v>
      </c>
      <c r="I2078" s="2436">
        <v>981524</v>
      </c>
      <c r="J2078" s="2446">
        <v>0.75181975763118614</v>
      </c>
      <c r="K2078" s="2436">
        <v>377469.90481267776</v>
      </c>
      <c r="L2078" s="2436">
        <v>377469.90481267776</v>
      </c>
      <c r="M2078" s="2266">
        <v>599</v>
      </c>
    </row>
    <row r="2079" spans="1:13" ht="15">
      <c r="A2079" s="2266" t="s">
        <v>4410</v>
      </c>
      <c r="B2079" s="1694" t="str">
        <f>CONCATENATE(LEFT(RIGHT(CONCATENATE("000",IFAData_TEA!A2079),6),3),"-",(RIGHT(RIGHT(CONCATENATE("000",IFAData_TEA!A2079),6),3)))</f>
        <v>246-906</v>
      </c>
      <c r="C2079" s="2266" t="s">
        <v>1440</v>
      </c>
      <c r="D2079" s="2266">
        <v>3</v>
      </c>
      <c r="E2079" s="2266">
        <v>1921</v>
      </c>
      <c r="F2079" s="2266" t="s">
        <v>6394</v>
      </c>
      <c r="G2079" s="2266" t="s">
        <v>6394</v>
      </c>
      <c r="H2079" s="2436">
        <v>502075</v>
      </c>
      <c r="I2079" s="2436">
        <v>0</v>
      </c>
      <c r="J2079" s="2446">
        <v>0</v>
      </c>
      <c r="K2079" s="2436">
        <v>0</v>
      </c>
      <c r="L2079" s="2436">
        <v>0</v>
      </c>
      <c r="M2079" s="2266">
        <v>599</v>
      </c>
    </row>
    <row r="2080" spans="1:13" ht="15">
      <c r="A2080" s="2266" t="s">
        <v>4411</v>
      </c>
      <c r="B2080" s="1694" t="str">
        <f>CONCATENATE(LEFT(RIGHT(CONCATENATE("000",IFAData_TEA!A2080),6),3),"-",(RIGHT(RIGHT(CONCATENATE("000",IFAData_TEA!A2080),6),3)))</f>
        <v>246-908</v>
      </c>
      <c r="C2080" s="2266" t="s">
        <v>2826</v>
      </c>
      <c r="D2080" s="2266">
        <v>1</v>
      </c>
      <c r="E2080" s="2266">
        <v>2020</v>
      </c>
      <c r="F2080" s="2266" t="s">
        <v>6399</v>
      </c>
      <c r="G2080" s="2266" t="s">
        <v>7081</v>
      </c>
      <c r="H2080" s="2436">
        <v>293067</v>
      </c>
      <c r="I2080" s="2436">
        <v>374</v>
      </c>
      <c r="J2080" s="2446">
        <v>2.8651758559138302E-4</v>
      </c>
      <c r="K2080" s="2436">
        <v>83.968849256509841</v>
      </c>
      <c r="L2080" s="2436">
        <v>83.968849256509841</v>
      </c>
      <c r="M2080" s="2266">
        <v>599</v>
      </c>
    </row>
    <row r="2081" spans="1:13" ht="15">
      <c r="A2081" s="2266" t="s">
        <v>4411</v>
      </c>
      <c r="B2081" s="1694" t="str">
        <f>CONCATENATE(LEFT(RIGHT(CONCATENATE("000",IFAData_TEA!A2081),6),3),"-",(RIGHT(RIGHT(CONCATENATE("000",IFAData_TEA!A2081),6),3)))</f>
        <v>246-908</v>
      </c>
      <c r="C2081" s="2266" t="s">
        <v>2826</v>
      </c>
      <c r="D2081" s="2266">
        <v>1</v>
      </c>
      <c r="E2081" s="2266">
        <v>2020</v>
      </c>
      <c r="F2081" s="2266" t="s">
        <v>6399</v>
      </c>
      <c r="G2081" s="2266" t="s">
        <v>6402</v>
      </c>
      <c r="H2081" s="2436">
        <v>293067</v>
      </c>
      <c r="I2081" s="2436">
        <v>402070</v>
      </c>
      <c r="J2081" s="2446">
        <v>0.30802172630675767</v>
      </c>
      <c r="K2081" s="2436">
        <v>90271.003263542545</v>
      </c>
      <c r="L2081" s="2436">
        <v>90271.003263542545</v>
      </c>
      <c r="M2081" s="2266">
        <v>599</v>
      </c>
    </row>
    <row r="2082" spans="1:13" ht="15">
      <c r="A2082" s="2266" t="s">
        <v>4411</v>
      </c>
      <c r="B2082" s="1694" t="str">
        <f>CONCATENATE(LEFT(RIGHT(CONCATENATE("000",IFAData_TEA!A2082),6),3),"-",(RIGHT(RIGHT(CONCATENATE("000",IFAData_TEA!A2082),6),3)))</f>
        <v>246-908</v>
      </c>
      <c r="C2082" s="2266" t="s">
        <v>2826</v>
      </c>
      <c r="D2082" s="2266">
        <v>1</v>
      </c>
      <c r="E2082" s="2266">
        <v>2020</v>
      </c>
      <c r="F2082" s="2266" t="s">
        <v>6399</v>
      </c>
      <c r="G2082" s="2266" t="s">
        <v>6399</v>
      </c>
      <c r="H2082" s="2436">
        <v>293067</v>
      </c>
      <c r="I2082" s="2436">
        <v>0</v>
      </c>
      <c r="J2082" s="2446">
        <v>0</v>
      </c>
      <c r="K2082" s="2436">
        <v>0</v>
      </c>
      <c r="L2082" s="2436">
        <v>0</v>
      </c>
      <c r="M2082" s="2266">
        <v>599</v>
      </c>
    </row>
    <row r="2083" spans="1:13" ht="15">
      <c r="A2083" s="2266" t="s">
        <v>4411</v>
      </c>
      <c r="B2083" s="1694" t="str">
        <f>CONCATENATE(LEFT(RIGHT(CONCATENATE("000",IFAData_TEA!A2083),6),3),"-",(RIGHT(RIGHT(CONCATENATE("000",IFAData_TEA!A2083),6),3)))</f>
        <v>246-908</v>
      </c>
      <c r="C2083" s="2266" t="s">
        <v>2826</v>
      </c>
      <c r="D2083" s="2266">
        <v>1</v>
      </c>
      <c r="E2083" s="2266">
        <v>2020</v>
      </c>
      <c r="F2083" s="2266" t="s">
        <v>6399</v>
      </c>
      <c r="G2083" s="2266" t="s">
        <v>6400</v>
      </c>
      <c r="H2083" s="2436">
        <v>293067</v>
      </c>
      <c r="I2083" s="2436">
        <v>798829</v>
      </c>
      <c r="J2083" s="2446">
        <v>0.61197474968015753</v>
      </c>
      <c r="K2083" s="2436">
        <v>179349.60396451474</v>
      </c>
      <c r="L2083" s="2436">
        <v>179349.60396451474</v>
      </c>
      <c r="M2083" s="2266">
        <v>599</v>
      </c>
    </row>
    <row r="2084" spans="1:13" ht="15">
      <c r="A2084" s="2266" t="s">
        <v>4411</v>
      </c>
      <c r="B2084" s="1694" t="str">
        <f>CONCATENATE(LEFT(RIGHT(CONCATENATE("000",IFAData_TEA!A2084),6),3),"-",(RIGHT(RIGHT(CONCATENATE("000",IFAData_TEA!A2084),6),3)))</f>
        <v>246-908</v>
      </c>
      <c r="C2084" s="2266" t="s">
        <v>2826</v>
      </c>
      <c r="D2084" s="2266">
        <v>1</v>
      </c>
      <c r="E2084" s="2266">
        <v>2020</v>
      </c>
      <c r="F2084" s="2266" t="s">
        <v>6399</v>
      </c>
      <c r="G2084" s="2266" t="s">
        <v>6401</v>
      </c>
      <c r="H2084" s="2436">
        <v>293067</v>
      </c>
      <c r="I2084" s="2436">
        <v>104057</v>
      </c>
      <c r="J2084" s="2446">
        <v>7.9717006427493436E-2</v>
      </c>
      <c r="K2084" s="2436">
        <v>23362.423922686219</v>
      </c>
      <c r="L2084" s="2436">
        <v>23362.423922686219</v>
      </c>
      <c r="M2084" s="2266">
        <v>599</v>
      </c>
    </row>
    <row r="2085" spans="1:13" ht="15">
      <c r="A2085" s="2266" t="s">
        <v>6403</v>
      </c>
      <c r="B2085" s="1694" t="str">
        <f>CONCATENATE(LEFT(RIGHT(CONCATENATE("000",IFAData_TEA!A2085),6),3),"-",(RIGHT(RIGHT(CONCATENATE("000",IFAData_TEA!A2085),6),3)))</f>
        <v>246-909</v>
      </c>
      <c r="C2085" s="2266" t="s">
        <v>666</v>
      </c>
      <c r="D2085" s="2266">
        <v>2</v>
      </c>
      <c r="E2085" s="2266">
        <v>2266</v>
      </c>
      <c r="F2085" s="2266" t="s">
        <v>6404</v>
      </c>
      <c r="G2085" s="2266" t="s">
        <v>6404</v>
      </c>
      <c r="H2085" s="2436">
        <v>4872062</v>
      </c>
      <c r="I2085" s="2436">
        <v>0</v>
      </c>
      <c r="J2085" s="2446">
        <v>0</v>
      </c>
      <c r="K2085" s="2436"/>
      <c r="L2085" s="2436">
        <v>0</v>
      </c>
      <c r="M2085" s="2266">
        <v>599</v>
      </c>
    </row>
    <row r="2086" spans="1:13" ht="15">
      <c r="A2086" s="2266" t="s">
        <v>4412</v>
      </c>
      <c r="B2086" s="1694" t="str">
        <f>CONCATENATE(LEFT(RIGHT(CONCATENATE("000",IFAData_TEA!A2086),6),3),"-",(RIGHT(RIGHT(CONCATENATE("000",IFAData_TEA!A2086),6),3)))</f>
        <v>246-911</v>
      </c>
      <c r="C2086" s="2266" t="s">
        <v>657</v>
      </c>
      <c r="D2086" s="2266">
        <v>5</v>
      </c>
      <c r="E2086" s="2266">
        <v>2390</v>
      </c>
      <c r="F2086" s="2266" t="s">
        <v>6405</v>
      </c>
      <c r="G2086" s="2266" t="s">
        <v>6408</v>
      </c>
      <c r="H2086" s="2436">
        <v>472480</v>
      </c>
      <c r="I2086" s="2436">
        <v>522650</v>
      </c>
      <c r="J2086" s="2446">
        <v>1</v>
      </c>
      <c r="K2086" s="2436">
        <v>472480</v>
      </c>
      <c r="L2086" s="2436">
        <v>472480</v>
      </c>
      <c r="M2086" s="2266">
        <v>599</v>
      </c>
    </row>
    <row r="2087" spans="1:13" ht="15">
      <c r="A2087" s="2266" t="s">
        <v>4412</v>
      </c>
      <c r="B2087" s="1694" t="str">
        <f>CONCATENATE(LEFT(RIGHT(CONCATENATE("000",IFAData_TEA!A2087),6),3),"-",(RIGHT(RIGHT(CONCATENATE("000",IFAData_TEA!A2087),6),3)))</f>
        <v>246-911</v>
      </c>
      <c r="C2087" s="2266" t="s">
        <v>657</v>
      </c>
      <c r="D2087" s="2266">
        <v>5</v>
      </c>
      <c r="E2087" s="2266">
        <v>2390</v>
      </c>
      <c r="F2087" s="2266" t="s">
        <v>6405</v>
      </c>
      <c r="G2087" s="2266" t="s">
        <v>6406</v>
      </c>
      <c r="H2087" s="2436">
        <v>472480</v>
      </c>
      <c r="I2087" s="2436">
        <v>0</v>
      </c>
      <c r="J2087" s="2446">
        <v>0</v>
      </c>
      <c r="K2087" s="2436">
        <v>0</v>
      </c>
      <c r="L2087" s="2436">
        <v>0</v>
      </c>
      <c r="M2087" s="2266">
        <v>599</v>
      </c>
    </row>
    <row r="2088" spans="1:13" ht="15">
      <c r="A2088" s="2266" t="s">
        <v>4412</v>
      </c>
      <c r="B2088" s="1694" t="str">
        <f>CONCATENATE(LEFT(RIGHT(CONCATENATE("000",IFAData_TEA!A2088),6),3),"-",(RIGHT(RIGHT(CONCATENATE("000",IFAData_TEA!A2088),6),3)))</f>
        <v>246-911</v>
      </c>
      <c r="C2088" s="2266" t="s">
        <v>657</v>
      </c>
      <c r="D2088" s="2266">
        <v>5</v>
      </c>
      <c r="E2088" s="2266">
        <v>2390</v>
      </c>
      <c r="F2088" s="2266" t="s">
        <v>6405</v>
      </c>
      <c r="G2088" s="2266" t="s">
        <v>6407</v>
      </c>
      <c r="H2088" s="2436">
        <v>472480</v>
      </c>
      <c r="I2088" s="2436">
        <v>0</v>
      </c>
      <c r="J2088" s="2446">
        <v>0</v>
      </c>
      <c r="K2088" s="2436">
        <v>0</v>
      </c>
      <c r="L2088" s="2436">
        <v>0</v>
      </c>
      <c r="M2088" s="2266">
        <v>599</v>
      </c>
    </row>
    <row r="2089" spans="1:13" ht="15">
      <c r="A2089" s="2266" t="s">
        <v>4412</v>
      </c>
      <c r="B2089" s="1694" t="str">
        <f>CONCATENATE(LEFT(RIGHT(CONCATENATE("000",IFAData_TEA!A2089),6),3),"-",(RIGHT(RIGHT(CONCATENATE("000",IFAData_TEA!A2089),6),3)))</f>
        <v>246-911</v>
      </c>
      <c r="C2089" s="2266" t="s">
        <v>657</v>
      </c>
      <c r="D2089" s="2266">
        <v>5</v>
      </c>
      <c r="E2089" s="2266">
        <v>2390</v>
      </c>
      <c r="F2089" s="2266" t="s">
        <v>6405</v>
      </c>
      <c r="G2089" s="2266" t="s">
        <v>6405</v>
      </c>
      <c r="H2089" s="2436">
        <v>472480</v>
      </c>
      <c r="I2089" s="2436">
        <v>0</v>
      </c>
      <c r="J2089" s="2446">
        <v>0</v>
      </c>
      <c r="K2089" s="2436">
        <v>0</v>
      </c>
      <c r="L2089" s="2436">
        <v>0</v>
      </c>
      <c r="M2089" s="2266">
        <v>599</v>
      </c>
    </row>
    <row r="2090" spans="1:13" ht="15">
      <c r="A2090" s="2266" t="s">
        <v>4413</v>
      </c>
      <c r="B2090" s="1694" t="str">
        <f>CONCATENATE(LEFT(RIGHT(CONCATENATE("000",IFAData_TEA!A2090),6),3),"-",(RIGHT(RIGHT(CONCATENATE("000",IFAData_TEA!A2090),6),3)))</f>
        <v>246-912</v>
      </c>
      <c r="C2090" s="2266" t="s">
        <v>659</v>
      </c>
      <c r="D2090" s="2266">
        <v>1</v>
      </c>
      <c r="E2090" s="2266">
        <v>2393</v>
      </c>
      <c r="F2090" s="2266" t="s">
        <v>6409</v>
      </c>
      <c r="G2090" s="2266" t="s">
        <v>7082</v>
      </c>
      <c r="H2090" s="2436">
        <v>114342</v>
      </c>
      <c r="I2090" s="2436">
        <v>2162</v>
      </c>
      <c r="J2090" s="2446">
        <v>1.6898546193528215E-2</v>
      </c>
      <c r="K2090" s="2436">
        <v>1932.213568860403</v>
      </c>
      <c r="L2090" s="2436">
        <v>1932.213568860403</v>
      </c>
      <c r="M2090" s="2266">
        <v>599</v>
      </c>
    </row>
    <row r="2091" spans="1:13" ht="15">
      <c r="A2091" s="2266" t="s">
        <v>4413</v>
      </c>
      <c r="B2091" s="1694" t="str">
        <f>CONCATENATE(LEFT(RIGHT(CONCATENATE("000",IFAData_TEA!A2091),6),3),"-",(RIGHT(RIGHT(CONCATENATE("000",IFAData_TEA!A2091),6),3)))</f>
        <v>246-912</v>
      </c>
      <c r="C2091" s="2266" t="s">
        <v>659</v>
      </c>
      <c r="D2091" s="2266">
        <v>1</v>
      </c>
      <c r="E2091" s="2266">
        <v>2393</v>
      </c>
      <c r="F2091" s="2266" t="s">
        <v>6409</v>
      </c>
      <c r="G2091" s="2266" t="s">
        <v>6410</v>
      </c>
      <c r="H2091" s="2436">
        <v>114342</v>
      </c>
      <c r="I2091" s="2436">
        <v>125778</v>
      </c>
      <c r="J2091" s="2446">
        <v>0.98310145380647174</v>
      </c>
      <c r="K2091" s="2436">
        <v>112409.7864311396</v>
      </c>
      <c r="L2091" s="2436">
        <v>112409.7864311396</v>
      </c>
      <c r="M2091" s="2266">
        <v>599</v>
      </c>
    </row>
    <row r="2092" spans="1:13" ht="15">
      <c r="A2092" s="2266" t="s">
        <v>4413</v>
      </c>
      <c r="B2092" s="1694" t="str">
        <f>CONCATENATE(LEFT(RIGHT(CONCATENATE("000",IFAData_TEA!A2092),6),3),"-",(RIGHT(RIGHT(CONCATENATE("000",IFAData_TEA!A2092),6),3)))</f>
        <v>246-912</v>
      </c>
      <c r="C2092" s="2266" t="s">
        <v>659</v>
      </c>
      <c r="D2092" s="2266">
        <v>1</v>
      </c>
      <c r="E2092" s="2266">
        <v>2393</v>
      </c>
      <c r="F2092" s="2266" t="s">
        <v>6409</v>
      </c>
      <c r="G2092" s="2266" t="s">
        <v>6409</v>
      </c>
      <c r="H2092" s="2436">
        <v>114342</v>
      </c>
      <c r="I2092" s="2436">
        <v>0</v>
      </c>
      <c r="J2092" s="2446">
        <v>0</v>
      </c>
      <c r="K2092" s="2436">
        <v>0</v>
      </c>
      <c r="L2092" s="2436">
        <v>0</v>
      </c>
      <c r="M2092" s="2266">
        <v>599</v>
      </c>
    </row>
    <row r="2093" spans="1:13" ht="15">
      <c r="A2093" s="2266" t="s">
        <v>4414</v>
      </c>
      <c r="B2093" s="1694" t="str">
        <f>CONCATENATE(LEFT(RIGHT(CONCATENATE("000",IFAData_TEA!A2093),6),3),"-",(RIGHT(RIGHT(CONCATENATE("000",IFAData_TEA!A2093),6),3)))</f>
        <v>246-913</v>
      </c>
      <c r="C2093" s="2266" t="s">
        <v>2824</v>
      </c>
      <c r="D2093" s="2266">
        <v>1</v>
      </c>
      <c r="E2093" s="2266">
        <v>2017</v>
      </c>
      <c r="F2093" s="2266" t="s">
        <v>6411</v>
      </c>
      <c r="G2093" s="2266" t="s">
        <v>7083</v>
      </c>
      <c r="H2093" s="2436">
        <v>379027</v>
      </c>
      <c r="I2093" s="2436">
        <v>35942</v>
      </c>
      <c r="J2093" s="2446">
        <v>1.145266812562693E-2</v>
      </c>
      <c r="K2093" s="2436">
        <v>4340.8704416519986</v>
      </c>
      <c r="L2093" s="2436">
        <v>4340.8704416519986</v>
      </c>
      <c r="M2093" s="2266">
        <v>599</v>
      </c>
    </row>
    <row r="2094" spans="1:13" ht="15">
      <c r="A2094" s="2266" t="s">
        <v>4414</v>
      </c>
      <c r="B2094" s="1694" t="str">
        <f>CONCATENATE(LEFT(RIGHT(CONCATENATE("000",IFAData_TEA!A2094),6),3),"-",(RIGHT(RIGHT(CONCATENATE("000",IFAData_TEA!A2094),6),3)))</f>
        <v>246-913</v>
      </c>
      <c r="C2094" s="2266" t="s">
        <v>2824</v>
      </c>
      <c r="D2094" s="2266">
        <v>1</v>
      </c>
      <c r="E2094" s="2266">
        <v>2017</v>
      </c>
      <c r="F2094" s="2266" t="s">
        <v>6411</v>
      </c>
      <c r="G2094" s="2266" t="s">
        <v>6411</v>
      </c>
      <c r="H2094" s="2436">
        <v>379027</v>
      </c>
      <c r="I2094" s="2436">
        <v>0</v>
      </c>
      <c r="J2094" s="2446">
        <v>0</v>
      </c>
      <c r="K2094" s="2436">
        <v>0</v>
      </c>
      <c r="L2094" s="2436">
        <v>0</v>
      </c>
      <c r="M2094" s="2266">
        <v>599</v>
      </c>
    </row>
    <row r="2095" spans="1:13" ht="15">
      <c r="A2095" s="2266" t="s">
        <v>4414</v>
      </c>
      <c r="B2095" s="1694" t="str">
        <f>CONCATENATE(LEFT(RIGHT(CONCATENATE("000",IFAData_TEA!A2095),6),3),"-",(RIGHT(RIGHT(CONCATENATE("000",IFAData_TEA!A2095),6),3)))</f>
        <v>246-913</v>
      </c>
      <c r="C2095" s="2266" t="s">
        <v>2824</v>
      </c>
      <c r="D2095" s="2266">
        <v>1</v>
      </c>
      <c r="E2095" s="2266">
        <v>2017</v>
      </c>
      <c r="F2095" s="2266" t="s">
        <v>6411</v>
      </c>
      <c r="G2095" s="2266" t="s">
        <v>6413</v>
      </c>
      <c r="H2095" s="2436">
        <v>379027</v>
      </c>
      <c r="I2095" s="2436">
        <v>2582444</v>
      </c>
      <c r="J2095" s="2446">
        <v>0.82287780549264122</v>
      </c>
      <c r="K2095" s="2436">
        <v>311892.90598245931</v>
      </c>
      <c r="L2095" s="2436">
        <v>311892.90598245931</v>
      </c>
      <c r="M2095" s="2266">
        <v>599</v>
      </c>
    </row>
    <row r="2096" spans="1:13" ht="15">
      <c r="A2096" s="2266" t="s">
        <v>4414</v>
      </c>
      <c r="B2096" s="1694" t="str">
        <f>CONCATENATE(LEFT(RIGHT(CONCATENATE("000",IFAData_TEA!A2096),6),3),"-",(RIGHT(RIGHT(CONCATENATE("000",IFAData_TEA!A2096),6),3)))</f>
        <v>246-913</v>
      </c>
      <c r="C2096" s="2266" t="s">
        <v>2824</v>
      </c>
      <c r="D2096" s="2266">
        <v>1</v>
      </c>
      <c r="E2096" s="2266">
        <v>2017</v>
      </c>
      <c r="F2096" s="2266" t="s">
        <v>6411</v>
      </c>
      <c r="G2096" s="2266" t="s">
        <v>7084</v>
      </c>
      <c r="H2096" s="2436">
        <v>379027</v>
      </c>
      <c r="I2096" s="2436">
        <v>7831</v>
      </c>
      <c r="J2096" s="2446">
        <v>2.4952936423066189E-3</v>
      </c>
      <c r="K2096" s="2436">
        <v>945.7836633625509</v>
      </c>
      <c r="L2096" s="2436">
        <v>945.7836633625509</v>
      </c>
      <c r="M2096" s="2266">
        <v>599</v>
      </c>
    </row>
    <row r="2097" spans="1:13" ht="15">
      <c r="A2097" s="2266" t="s">
        <v>4414</v>
      </c>
      <c r="B2097" s="1694" t="str">
        <f>CONCATENATE(LEFT(RIGHT(CONCATENATE("000",IFAData_TEA!A2097),6),3),"-",(RIGHT(RIGHT(CONCATENATE("000",IFAData_TEA!A2097),6),3)))</f>
        <v>246-913</v>
      </c>
      <c r="C2097" s="2266" t="s">
        <v>2824</v>
      </c>
      <c r="D2097" s="2266">
        <v>1</v>
      </c>
      <c r="E2097" s="2266">
        <v>2017</v>
      </c>
      <c r="F2097" s="2266" t="s">
        <v>6411</v>
      </c>
      <c r="G2097" s="2266" t="s">
        <v>6412</v>
      </c>
      <c r="H2097" s="2436">
        <v>379027</v>
      </c>
      <c r="I2097" s="2436">
        <v>512091</v>
      </c>
      <c r="J2097" s="2446">
        <v>0.16317423273942519</v>
      </c>
      <c r="K2097" s="2436">
        <v>61847.439912526112</v>
      </c>
      <c r="L2097" s="2436">
        <v>61847.439912526112</v>
      </c>
      <c r="M2097" s="2266">
        <v>599</v>
      </c>
    </row>
    <row r="2098" spans="1:13" ht="15">
      <c r="A2098" s="2266" t="s">
        <v>4415</v>
      </c>
      <c r="B2098" s="1694" t="str">
        <f>CONCATENATE(LEFT(RIGHT(CONCATENATE("000",IFAData_TEA!A2098),6),3),"-",(RIGHT(RIGHT(CONCATENATE("000",IFAData_TEA!A2098),6),3)))</f>
        <v>247-901</v>
      </c>
      <c r="C2098" s="2266" t="s">
        <v>131</v>
      </c>
      <c r="D2098" s="2266">
        <v>5</v>
      </c>
      <c r="E2098" s="2266">
        <v>1815</v>
      </c>
      <c r="F2098" s="2266" t="s">
        <v>6414</v>
      </c>
      <c r="G2098" s="2266" t="s">
        <v>6415</v>
      </c>
      <c r="H2098" s="2436">
        <v>825000</v>
      </c>
      <c r="I2098" s="2436">
        <v>407467</v>
      </c>
      <c r="J2098" s="2446">
        <v>0.32315593873894738</v>
      </c>
      <c r="K2098" s="2436">
        <v>266603.64945963159</v>
      </c>
      <c r="L2098" s="2436">
        <v>266603.64945963159</v>
      </c>
      <c r="M2098" s="2266">
        <v>599</v>
      </c>
    </row>
    <row r="2099" spans="1:13" ht="15">
      <c r="A2099" s="2266" t="s">
        <v>4415</v>
      </c>
      <c r="B2099" s="1694" t="str">
        <f>CONCATENATE(LEFT(RIGHT(CONCATENATE("000",IFAData_TEA!A2099),6),3),"-",(RIGHT(RIGHT(CONCATENATE("000",IFAData_TEA!A2099),6),3)))</f>
        <v>247-901</v>
      </c>
      <c r="C2099" s="2266" t="s">
        <v>131</v>
      </c>
      <c r="D2099" s="2266">
        <v>5</v>
      </c>
      <c r="E2099" s="2266">
        <v>1815</v>
      </c>
      <c r="F2099" s="2266" t="s">
        <v>6414</v>
      </c>
      <c r="G2099" s="2266" t="s">
        <v>6414</v>
      </c>
      <c r="H2099" s="2436">
        <v>825000</v>
      </c>
      <c r="I2099" s="2436">
        <v>0</v>
      </c>
      <c r="J2099" s="2446">
        <v>0</v>
      </c>
      <c r="K2099" s="2436">
        <v>0</v>
      </c>
      <c r="L2099" s="2436">
        <v>0</v>
      </c>
      <c r="M2099" s="2266">
        <v>599</v>
      </c>
    </row>
    <row r="2100" spans="1:13" ht="15">
      <c r="A2100" s="2266" t="s">
        <v>4415</v>
      </c>
      <c r="B2100" s="1694" t="str">
        <f>CONCATENATE(LEFT(RIGHT(CONCATENATE("000",IFAData_TEA!A2100),6),3),"-",(RIGHT(RIGHT(CONCATENATE("000",IFAData_TEA!A2100),6),3)))</f>
        <v>247-901</v>
      </c>
      <c r="C2100" s="2266" t="s">
        <v>131</v>
      </c>
      <c r="D2100" s="2266">
        <v>9</v>
      </c>
      <c r="E2100" s="2266">
        <v>1814</v>
      </c>
      <c r="F2100" s="2266" t="s">
        <v>6417</v>
      </c>
      <c r="G2100" s="2266" t="s">
        <v>6417</v>
      </c>
      <c r="H2100" s="2436">
        <v>812750</v>
      </c>
      <c r="I2100" s="2436">
        <v>898069</v>
      </c>
      <c r="J2100" s="2446">
        <v>1</v>
      </c>
      <c r="K2100" s="2436">
        <v>812750</v>
      </c>
      <c r="L2100" s="2436">
        <v>812750</v>
      </c>
      <c r="M2100" s="2266">
        <v>599</v>
      </c>
    </row>
    <row r="2101" spans="1:13" ht="15">
      <c r="A2101" s="2266" t="s">
        <v>4415</v>
      </c>
      <c r="B2101" s="1694" t="str">
        <f>CONCATENATE(LEFT(RIGHT(CONCATENATE("000",IFAData_TEA!A2101),6),3),"-",(RIGHT(RIGHT(CONCATENATE("000",IFAData_TEA!A2101),6),3)))</f>
        <v>247-901</v>
      </c>
      <c r="C2101" s="2266" t="s">
        <v>131</v>
      </c>
      <c r="D2101" s="2266">
        <v>5</v>
      </c>
      <c r="E2101" s="2266">
        <v>1815</v>
      </c>
      <c r="F2101" s="2266" t="s">
        <v>6414</v>
      </c>
      <c r="G2101" s="2266" t="s">
        <v>6416</v>
      </c>
      <c r="H2101" s="2436">
        <v>825000</v>
      </c>
      <c r="I2101" s="2436">
        <v>853432</v>
      </c>
      <c r="J2101" s="2446">
        <v>0.67684406126105268</v>
      </c>
      <c r="K2101" s="2436">
        <v>558396.35054036847</v>
      </c>
      <c r="L2101" s="2436">
        <v>558396.35054036847</v>
      </c>
      <c r="M2101" s="2266">
        <v>599</v>
      </c>
    </row>
    <row r="2102" spans="1:13" ht="15">
      <c r="A2102" s="2266" t="s">
        <v>4416</v>
      </c>
      <c r="B2102" s="1694" t="str">
        <f>CONCATENATE(LEFT(RIGHT(CONCATENATE("000",IFAData_TEA!A2102),6),3),"-",(RIGHT(RIGHT(CONCATENATE("000",IFAData_TEA!A2102),6),3)))</f>
        <v>247-903</v>
      </c>
      <c r="C2102" s="2266" t="s">
        <v>2173</v>
      </c>
      <c r="D2102" s="2266">
        <v>9</v>
      </c>
      <c r="E2102" s="2266">
        <v>1992</v>
      </c>
      <c r="F2102" s="2266" t="s">
        <v>6420</v>
      </c>
      <c r="G2102" s="2266" t="s">
        <v>7085</v>
      </c>
      <c r="H2102" s="2436">
        <v>706725</v>
      </c>
      <c r="I2102" s="2436">
        <v>110587</v>
      </c>
      <c r="J2102" s="2446">
        <v>0.23577457641934432</v>
      </c>
      <c r="K2102" s="2436">
        <v>166627.78751996113</v>
      </c>
      <c r="L2102" s="2436">
        <v>110587</v>
      </c>
      <c r="M2102" s="2266">
        <v>599</v>
      </c>
    </row>
    <row r="2103" spans="1:13" ht="15">
      <c r="A2103" s="2266" t="s">
        <v>4416</v>
      </c>
      <c r="B2103" s="1694" t="str">
        <f>CONCATENATE(LEFT(RIGHT(CONCATENATE("000",IFAData_TEA!A2103),6),3),"-",(RIGHT(RIGHT(CONCATENATE("000",IFAData_TEA!A2103),6),3)))</f>
        <v>247-903</v>
      </c>
      <c r="C2103" s="2266" t="s">
        <v>2173</v>
      </c>
      <c r="D2103" s="2266">
        <v>9</v>
      </c>
      <c r="E2103" s="2266">
        <v>1992</v>
      </c>
      <c r="F2103" s="2266" t="s">
        <v>6420</v>
      </c>
      <c r="G2103" s="2266" t="s">
        <v>6421</v>
      </c>
      <c r="H2103" s="2436">
        <v>706725</v>
      </c>
      <c r="I2103" s="2436">
        <v>358450</v>
      </c>
      <c r="J2103" s="2446">
        <v>0.76422542358065571</v>
      </c>
      <c r="K2103" s="2436">
        <v>540097.21248003887</v>
      </c>
      <c r="L2103" s="2436">
        <v>358450</v>
      </c>
      <c r="M2103" s="2266">
        <v>599</v>
      </c>
    </row>
    <row r="2104" spans="1:13" ht="15">
      <c r="A2104" s="2266" t="s">
        <v>4416</v>
      </c>
      <c r="B2104" s="1694" t="str">
        <f>CONCATENATE(LEFT(RIGHT(CONCATENATE("000",IFAData_TEA!A2104),6),3),"-",(RIGHT(RIGHT(CONCATENATE("000",IFAData_TEA!A2104),6),3)))</f>
        <v>247-903</v>
      </c>
      <c r="C2104" s="2266" t="s">
        <v>2173</v>
      </c>
      <c r="D2104" s="2266">
        <v>2</v>
      </c>
      <c r="E2104" s="2266">
        <v>1991</v>
      </c>
      <c r="F2104" s="2266" t="s">
        <v>6418</v>
      </c>
      <c r="G2104" s="2266" t="s">
        <v>6418</v>
      </c>
      <c r="H2104" s="2436">
        <v>437879</v>
      </c>
      <c r="I2104" s="2436">
        <v>0</v>
      </c>
      <c r="J2104" s="2446">
        <v>0</v>
      </c>
      <c r="K2104" s="2436">
        <v>0</v>
      </c>
      <c r="L2104" s="2436">
        <v>0</v>
      </c>
      <c r="M2104" s="2266">
        <v>599</v>
      </c>
    </row>
    <row r="2105" spans="1:13" ht="15">
      <c r="A2105" s="2266" t="s">
        <v>4416</v>
      </c>
      <c r="B2105" s="1694" t="str">
        <f>CONCATENATE(LEFT(RIGHT(CONCATENATE("000",IFAData_TEA!A2105),6),3),"-",(RIGHT(RIGHT(CONCATENATE("000",IFAData_TEA!A2105),6),3)))</f>
        <v>247-903</v>
      </c>
      <c r="C2105" s="2266" t="s">
        <v>2173</v>
      </c>
      <c r="D2105" s="2266">
        <v>2</v>
      </c>
      <c r="E2105" s="2266">
        <v>1991</v>
      </c>
      <c r="F2105" s="2266" t="s">
        <v>6418</v>
      </c>
      <c r="G2105" s="2266" t="s">
        <v>6419</v>
      </c>
      <c r="H2105" s="2436">
        <v>437879</v>
      </c>
      <c r="I2105" s="2436">
        <v>406175</v>
      </c>
      <c r="J2105" s="2446">
        <v>1</v>
      </c>
      <c r="K2105" s="2436">
        <v>437879</v>
      </c>
      <c r="L2105" s="2436">
        <v>406175</v>
      </c>
      <c r="M2105" s="2266">
        <v>599</v>
      </c>
    </row>
    <row r="2106" spans="1:13" ht="15">
      <c r="A2106" s="2266" t="s">
        <v>4416</v>
      </c>
      <c r="B2106" s="1694" t="str">
        <f>CONCATENATE(LEFT(RIGHT(CONCATENATE("000",IFAData_TEA!A2106),6),3),"-",(RIGHT(RIGHT(CONCATENATE("000",IFAData_TEA!A2106),6),3)))</f>
        <v>247-903</v>
      </c>
      <c r="C2106" s="2266" t="s">
        <v>2173</v>
      </c>
      <c r="D2106" s="2266">
        <v>10</v>
      </c>
      <c r="E2106" s="2266">
        <v>1990</v>
      </c>
      <c r="F2106" s="2266" t="s">
        <v>6422</v>
      </c>
      <c r="G2106" s="2266" t="s">
        <v>6422</v>
      </c>
      <c r="H2106" s="2436">
        <v>294937</v>
      </c>
      <c r="I2106" s="2436">
        <v>455314</v>
      </c>
      <c r="J2106" s="2446">
        <v>1</v>
      </c>
      <c r="K2106" s="2436">
        <v>294937</v>
      </c>
      <c r="L2106" s="2436">
        <v>294937</v>
      </c>
      <c r="M2106" s="2266">
        <v>599</v>
      </c>
    </row>
    <row r="2107" spans="1:13" ht="15">
      <c r="A2107" s="2266" t="s">
        <v>4416</v>
      </c>
      <c r="B2107" s="1694" t="str">
        <f>CONCATENATE(LEFT(RIGHT(CONCATENATE("000",IFAData_TEA!A2107),6),3),"-",(RIGHT(RIGHT(CONCATENATE("000",IFAData_TEA!A2107),6),3)))</f>
        <v>247-903</v>
      </c>
      <c r="C2107" s="2266" t="s">
        <v>2173</v>
      </c>
      <c r="D2107" s="2266">
        <v>9</v>
      </c>
      <c r="E2107" s="2266">
        <v>1992</v>
      </c>
      <c r="F2107" s="2266" t="s">
        <v>6420</v>
      </c>
      <c r="G2107" s="2266" t="s">
        <v>6420</v>
      </c>
      <c r="H2107" s="2436">
        <v>706725</v>
      </c>
      <c r="I2107" s="2436">
        <v>0</v>
      </c>
      <c r="J2107" s="2446">
        <v>0</v>
      </c>
      <c r="K2107" s="2436">
        <v>0</v>
      </c>
      <c r="L2107" s="2436">
        <v>0</v>
      </c>
      <c r="M2107" s="2266">
        <v>599</v>
      </c>
    </row>
    <row r="2108" spans="1:13" ht="15">
      <c r="A2108" s="2266" t="s">
        <v>4417</v>
      </c>
      <c r="B2108" s="1694" t="str">
        <f>CONCATENATE(LEFT(RIGHT(CONCATENATE("000",IFAData_TEA!A2108),6),3),"-",(RIGHT(RIGHT(CONCATENATE("000",IFAData_TEA!A2108),6),3)))</f>
        <v>247-904</v>
      </c>
      <c r="C2108" s="2266" t="s">
        <v>1132</v>
      </c>
      <c r="D2108" s="2266">
        <v>5</v>
      </c>
      <c r="E2108" s="2266">
        <v>2206</v>
      </c>
      <c r="F2108" s="2266" t="s">
        <v>6423</v>
      </c>
      <c r="G2108" s="2266" t="s">
        <v>6423</v>
      </c>
      <c r="H2108" s="2436">
        <v>154875</v>
      </c>
      <c r="I2108" s="2436">
        <v>0</v>
      </c>
      <c r="J2108" s="2446">
        <v>0</v>
      </c>
      <c r="K2108" s="2436">
        <v>0</v>
      </c>
      <c r="L2108" s="2436">
        <v>0</v>
      </c>
      <c r="M2108" s="2266">
        <v>599</v>
      </c>
    </row>
    <row r="2109" spans="1:13" ht="15">
      <c r="A2109" s="2266" t="s">
        <v>4417</v>
      </c>
      <c r="B2109" s="1694" t="str">
        <f>CONCATENATE(LEFT(RIGHT(CONCATENATE("000",IFAData_TEA!A2109),6),3),"-",(RIGHT(RIGHT(CONCATENATE("000",IFAData_TEA!A2109),6),3)))</f>
        <v>247-904</v>
      </c>
      <c r="C2109" s="2266" t="s">
        <v>1132</v>
      </c>
      <c r="D2109" s="2266">
        <v>5</v>
      </c>
      <c r="E2109" s="2266">
        <v>2206</v>
      </c>
      <c r="F2109" s="2266" t="s">
        <v>6423</v>
      </c>
      <c r="G2109" s="2266" t="s">
        <v>6424</v>
      </c>
      <c r="H2109" s="2436">
        <v>154875</v>
      </c>
      <c r="I2109" s="2436">
        <v>138525</v>
      </c>
      <c r="J2109" s="2446">
        <v>1</v>
      </c>
      <c r="K2109" s="2436">
        <v>154875</v>
      </c>
      <c r="L2109" s="2436">
        <v>138525</v>
      </c>
      <c r="M2109" s="2266">
        <v>599</v>
      </c>
    </row>
    <row r="2110" spans="1:13" ht="15">
      <c r="A2110" s="2266" t="s">
        <v>4418</v>
      </c>
      <c r="B2110" s="1694" t="str">
        <f>CONCATENATE(LEFT(RIGHT(CONCATENATE("000",IFAData_TEA!A2110),6),3),"-",(RIGHT(RIGHT(CONCATENATE("000",IFAData_TEA!A2110),6),3)))</f>
        <v>247-906</v>
      </c>
      <c r="C2110" s="2266" t="s">
        <v>2215</v>
      </c>
      <c r="D2110" s="2266">
        <v>3</v>
      </c>
      <c r="E2110" s="2266">
        <v>2385</v>
      </c>
      <c r="F2110" s="2266" t="s">
        <v>6425</v>
      </c>
      <c r="G2110" s="2266" t="s">
        <v>6426</v>
      </c>
      <c r="H2110" s="2436">
        <v>184365</v>
      </c>
      <c r="I2110" s="2436">
        <v>182600</v>
      </c>
      <c r="J2110" s="2446">
        <v>1</v>
      </c>
      <c r="K2110" s="2436">
        <v>184365</v>
      </c>
      <c r="L2110" s="2436">
        <v>182600</v>
      </c>
      <c r="M2110" s="2266">
        <v>599</v>
      </c>
    </row>
    <row r="2111" spans="1:13" ht="15">
      <c r="A2111" s="2266" t="s">
        <v>4418</v>
      </c>
      <c r="B2111" s="1694" t="str">
        <f>CONCATENATE(LEFT(RIGHT(CONCATENATE("000",IFAData_TEA!A2111),6),3),"-",(RIGHT(RIGHT(CONCATENATE("000",IFAData_TEA!A2111),6),3)))</f>
        <v>247-906</v>
      </c>
      <c r="C2111" s="2266" t="s">
        <v>2215</v>
      </c>
      <c r="D2111" s="2266">
        <v>3</v>
      </c>
      <c r="E2111" s="2266">
        <v>2385</v>
      </c>
      <c r="F2111" s="2266" t="s">
        <v>6425</v>
      </c>
      <c r="G2111" s="2266" t="s">
        <v>6425</v>
      </c>
      <c r="H2111" s="2436">
        <v>184365</v>
      </c>
      <c r="I2111" s="2436">
        <v>0</v>
      </c>
      <c r="J2111" s="2446">
        <v>0</v>
      </c>
      <c r="K2111" s="2436">
        <v>0</v>
      </c>
      <c r="L2111" s="2436">
        <v>0</v>
      </c>
      <c r="M2111" s="2266">
        <v>599</v>
      </c>
    </row>
    <row r="2112" spans="1:13" ht="15">
      <c r="A2112" s="2266" t="s">
        <v>4418</v>
      </c>
      <c r="B2112" s="1694" t="str">
        <f>CONCATENATE(LEFT(RIGHT(CONCATENATE("000",IFAData_TEA!A2112),6),3),"-",(RIGHT(RIGHT(CONCATENATE("000",IFAData_TEA!A2112),6),3)))</f>
        <v>247-906</v>
      </c>
      <c r="C2112" s="2266" t="s">
        <v>2215</v>
      </c>
      <c r="D2112" s="2266">
        <v>9</v>
      </c>
      <c r="E2112" s="2266">
        <v>2384</v>
      </c>
      <c r="F2112" s="2266" t="s">
        <v>6427</v>
      </c>
      <c r="G2112" s="2266" t="s">
        <v>6427</v>
      </c>
      <c r="H2112" s="2436">
        <v>179000</v>
      </c>
      <c r="I2112" s="2436">
        <v>372070</v>
      </c>
      <c r="J2112" s="2446">
        <v>1</v>
      </c>
      <c r="K2112" s="2436">
        <v>179000</v>
      </c>
      <c r="L2112" s="2436">
        <v>179000</v>
      </c>
      <c r="M2112" s="2266">
        <v>599</v>
      </c>
    </row>
    <row r="2113" spans="1:13" ht="15">
      <c r="A2113" s="2266" t="s">
        <v>4418</v>
      </c>
      <c r="B2113" s="1694" t="str">
        <f>CONCATENATE(LEFT(RIGHT(CONCATENATE("000",IFAData_TEA!A2113),6),3),"-",(RIGHT(RIGHT(CONCATENATE("000",IFAData_TEA!A2113),6),3)))</f>
        <v>247-906</v>
      </c>
      <c r="C2113" s="2266" t="s">
        <v>2215</v>
      </c>
      <c r="D2113" s="2266">
        <v>9</v>
      </c>
      <c r="E2113" s="2266">
        <v>2384</v>
      </c>
      <c r="F2113" s="2266" t="s">
        <v>6427</v>
      </c>
      <c r="G2113" s="2266" t="s">
        <v>7086</v>
      </c>
      <c r="H2113" s="2436">
        <v>179000</v>
      </c>
      <c r="I2113" s="2436">
        <v>0</v>
      </c>
      <c r="J2113" s="2446">
        <v>0</v>
      </c>
      <c r="K2113" s="2436">
        <v>0</v>
      </c>
      <c r="L2113" s="2436">
        <v>0</v>
      </c>
      <c r="M2113" s="2266">
        <v>599</v>
      </c>
    </row>
    <row r="2114" spans="1:13" ht="15">
      <c r="A2114" s="2266" t="s">
        <v>4419</v>
      </c>
      <c r="B2114" s="1694" t="str">
        <f>CONCATENATE(LEFT(RIGHT(CONCATENATE("000",IFAData_TEA!A2114),6),3),"-",(RIGHT(RIGHT(CONCATENATE("000",IFAData_TEA!A2114),6),3)))</f>
        <v>249-901</v>
      </c>
      <c r="C2114" s="2266" t="s">
        <v>1203</v>
      </c>
      <c r="D2114" s="2266">
        <v>5</v>
      </c>
      <c r="E2114" s="2266">
        <v>1570</v>
      </c>
      <c r="F2114" s="2266" t="s">
        <v>6428</v>
      </c>
      <c r="G2114" s="2266" t="s">
        <v>6429</v>
      </c>
      <c r="H2114" s="2436">
        <v>283052</v>
      </c>
      <c r="I2114" s="2436">
        <v>351475</v>
      </c>
      <c r="J2114" s="2446">
        <v>0.87713497110115102</v>
      </c>
      <c r="K2114" s="2436">
        <v>248274.80784012299</v>
      </c>
      <c r="L2114" s="2436">
        <v>248274.80784012299</v>
      </c>
      <c r="M2114" s="2266">
        <v>599</v>
      </c>
    </row>
    <row r="2115" spans="1:13" ht="15">
      <c r="A2115" s="2266" t="s">
        <v>4419</v>
      </c>
      <c r="B2115" s="1694" t="str">
        <f>CONCATENATE(LEFT(RIGHT(CONCATENATE("000",IFAData_TEA!A2115),6),3),"-",(RIGHT(RIGHT(CONCATENATE("000",IFAData_TEA!A2115),6),3)))</f>
        <v>249-901</v>
      </c>
      <c r="C2115" s="2266" t="s">
        <v>1203</v>
      </c>
      <c r="D2115" s="2266">
        <v>5</v>
      </c>
      <c r="E2115" s="2266">
        <v>1570</v>
      </c>
      <c r="F2115" s="2266" t="s">
        <v>6428</v>
      </c>
      <c r="G2115" s="2266" t="s">
        <v>6428</v>
      </c>
      <c r="H2115" s="2436">
        <v>283052</v>
      </c>
      <c r="I2115" s="2436">
        <v>0</v>
      </c>
      <c r="J2115" s="2446">
        <v>0</v>
      </c>
      <c r="K2115" s="2436">
        <v>0</v>
      </c>
      <c r="L2115" s="2436">
        <v>0</v>
      </c>
      <c r="M2115" s="2266">
        <v>599</v>
      </c>
    </row>
    <row r="2116" spans="1:13" ht="15">
      <c r="A2116" s="2266" t="s">
        <v>4419</v>
      </c>
      <c r="B2116" s="1694" t="str">
        <f>CONCATENATE(LEFT(RIGHT(CONCATENATE("000",IFAData_TEA!A2116),6),3),"-",(RIGHT(RIGHT(CONCATENATE("000",IFAData_TEA!A2116),6),3)))</f>
        <v>249-901</v>
      </c>
      <c r="C2116" s="2266" t="s">
        <v>1203</v>
      </c>
      <c r="D2116" s="2266">
        <v>9</v>
      </c>
      <c r="E2116" s="2266">
        <v>1569</v>
      </c>
      <c r="F2116" s="2266" t="s">
        <v>6430</v>
      </c>
      <c r="G2116" s="2266" t="s">
        <v>6430</v>
      </c>
      <c r="H2116" s="2436">
        <v>183118</v>
      </c>
      <c r="I2116" s="2436">
        <v>361423</v>
      </c>
      <c r="J2116" s="2446">
        <v>0.88684490771412727</v>
      </c>
      <c r="K2116" s="2436">
        <v>162397.26581079556</v>
      </c>
      <c r="L2116" s="2436">
        <v>162397.26581079556</v>
      </c>
      <c r="M2116" s="2266">
        <v>599</v>
      </c>
    </row>
    <row r="2117" spans="1:13" ht="15">
      <c r="A2117" s="2266" t="s">
        <v>4419</v>
      </c>
      <c r="B2117" s="1694" t="str">
        <f>CONCATENATE(LEFT(RIGHT(CONCATENATE("000",IFAData_TEA!A2117),6),3),"-",(RIGHT(RIGHT(CONCATENATE("000",IFAData_TEA!A2117),6),3)))</f>
        <v>249-901</v>
      </c>
      <c r="C2117" s="2266" t="s">
        <v>1203</v>
      </c>
      <c r="D2117" s="2266">
        <v>9</v>
      </c>
      <c r="E2117" s="2266">
        <v>1569</v>
      </c>
      <c r="F2117" s="2266" t="s">
        <v>6430</v>
      </c>
      <c r="G2117" s="2266" t="s">
        <v>7087</v>
      </c>
      <c r="H2117" s="2436">
        <v>183118</v>
      </c>
      <c r="I2117" s="2436">
        <v>46115</v>
      </c>
      <c r="J2117" s="2446">
        <v>0.11315509228587273</v>
      </c>
      <c r="K2117" s="2436">
        <v>20720.734189204442</v>
      </c>
      <c r="L2117" s="2436">
        <v>20720.734189204442</v>
      </c>
      <c r="M2117" s="2266">
        <v>599</v>
      </c>
    </row>
    <row r="2118" spans="1:13" ht="15">
      <c r="A2118" s="2266" t="s">
        <v>4419</v>
      </c>
      <c r="B2118" s="1694" t="str">
        <f>CONCATENATE(LEFT(RIGHT(CONCATENATE("000",IFAData_TEA!A2118),6),3),"-",(RIGHT(RIGHT(CONCATENATE("000",IFAData_TEA!A2118),6),3)))</f>
        <v>249-901</v>
      </c>
      <c r="C2118" s="2266" t="s">
        <v>1203</v>
      </c>
      <c r="D2118" s="2266">
        <v>5</v>
      </c>
      <c r="E2118" s="2266">
        <v>1570</v>
      </c>
      <c r="F2118" s="2266" t="s">
        <v>6428</v>
      </c>
      <c r="G2118" s="2266" t="s">
        <v>7087</v>
      </c>
      <c r="H2118" s="2436">
        <v>283052</v>
      </c>
      <c r="I2118" s="2436">
        <v>49233</v>
      </c>
      <c r="J2118" s="2446">
        <v>0.12286502889884904</v>
      </c>
      <c r="K2118" s="2436">
        <v>34777.19215987702</v>
      </c>
      <c r="L2118" s="2436">
        <v>34777.19215987702</v>
      </c>
      <c r="M2118" s="2266">
        <v>599</v>
      </c>
    </row>
    <row r="2119" spans="1:13" ht="15">
      <c r="A2119" s="2266" t="s">
        <v>4420</v>
      </c>
      <c r="B2119" s="1694" t="str">
        <f>CONCATENATE(LEFT(RIGHT(CONCATENATE("000",IFAData_TEA!A2119),6),3),"-",(RIGHT(RIGHT(CONCATENATE("000",IFAData_TEA!A2119),6),3)))</f>
        <v>249-906</v>
      </c>
      <c r="C2119" s="2266" t="s">
        <v>1541</v>
      </c>
      <c r="D2119" s="2266">
        <v>5</v>
      </c>
      <c r="E2119" s="2266">
        <v>2174</v>
      </c>
      <c r="F2119" s="2266" t="s">
        <v>6433</v>
      </c>
      <c r="G2119" s="2266" t="s">
        <v>6433</v>
      </c>
      <c r="H2119" s="2436">
        <v>221531</v>
      </c>
      <c r="I2119" s="2436">
        <v>0</v>
      </c>
      <c r="J2119" s="2446">
        <v>0</v>
      </c>
      <c r="K2119" s="2436">
        <v>0</v>
      </c>
      <c r="L2119" s="2436">
        <v>0</v>
      </c>
      <c r="M2119" s="2266">
        <v>599</v>
      </c>
    </row>
    <row r="2120" spans="1:13" ht="15">
      <c r="A2120" s="2266" t="s">
        <v>4420</v>
      </c>
      <c r="B2120" s="1694" t="str">
        <f>CONCATENATE(LEFT(RIGHT(CONCATENATE("000",IFAData_TEA!A2120),6),3),"-",(RIGHT(RIGHT(CONCATENATE("000",IFAData_TEA!A2120),6),3)))</f>
        <v>249-906</v>
      </c>
      <c r="C2120" s="2266" t="s">
        <v>1541</v>
      </c>
      <c r="D2120" s="2266">
        <v>5</v>
      </c>
      <c r="E2120" s="2266">
        <v>2174</v>
      </c>
      <c r="F2120" s="2266" t="s">
        <v>6433</v>
      </c>
      <c r="G2120" s="2266" t="s">
        <v>6432</v>
      </c>
      <c r="H2120" s="2436">
        <v>221531</v>
      </c>
      <c r="I2120" s="2436">
        <v>346748</v>
      </c>
      <c r="J2120" s="2446">
        <v>1</v>
      </c>
      <c r="K2120" s="2436">
        <v>221531</v>
      </c>
      <c r="L2120" s="2436">
        <v>221531</v>
      </c>
      <c r="M2120" s="2266">
        <v>599</v>
      </c>
    </row>
    <row r="2121" spans="1:13" ht="15">
      <c r="A2121" s="2266" t="s">
        <v>4420</v>
      </c>
      <c r="B2121" s="1694" t="str">
        <f>CONCATENATE(LEFT(RIGHT(CONCATENATE("000",IFAData_TEA!A2121),6),3),"-",(RIGHT(RIGHT(CONCATENATE("000",IFAData_TEA!A2121),6),3)))</f>
        <v>249-906</v>
      </c>
      <c r="C2121" s="2266" t="s">
        <v>1541</v>
      </c>
      <c r="D2121" s="2266">
        <v>2</v>
      </c>
      <c r="E2121" s="2266">
        <v>2173</v>
      </c>
      <c r="F2121" s="2266" t="s">
        <v>6431</v>
      </c>
      <c r="G2121" s="2266" t="s">
        <v>6432</v>
      </c>
      <c r="H2121" s="2436">
        <v>191624</v>
      </c>
      <c r="I2121" s="2436">
        <v>177494</v>
      </c>
      <c r="J2121" s="2446">
        <v>1</v>
      </c>
      <c r="K2121" s="2436">
        <v>191624</v>
      </c>
      <c r="L2121" s="2436">
        <v>177494</v>
      </c>
      <c r="M2121" s="2266">
        <v>599</v>
      </c>
    </row>
    <row r="2122" spans="1:13" ht="15">
      <c r="A2122" s="2266" t="s">
        <v>4420</v>
      </c>
      <c r="B2122" s="1694" t="str">
        <f>CONCATENATE(LEFT(RIGHT(CONCATENATE("000",IFAData_TEA!A2122),6),3),"-",(RIGHT(RIGHT(CONCATENATE("000",IFAData_TEA!A2122),6),3)))</f>
        <v>249-906</v>
      </c>
      <c r="C2122" s="2266" t="s">
        <v>1541</v>
      </c>
      <c r="D2122" s="2266">
        <v>2</v>
      </c>
      <c r="E2122" s="2266">
        <v>2173</v>
      </c>
      <c r="F2122" s="2266" t="s">
        <v>6431</v>
      </c>
      <c r="G2122" s="2266" t="s">
        <v>6431</v>
      </c>
      <c r="H2122" s="2436">
        <v>191624</v>
      </c>
      <c r="I2122" s="2436">
        <v>0</v>
      </c>
      <c r="J2122" s="2446">
        <v>0</v>
      </c>
      <c r="K2122" s="2436">
        <v>0</v>
      </c>
      <c r="L2122" s="2436">
        <v>0</v>
      </c>
      <c r="M2122" s="2266">
        <v>599</v>
      </c>
    </row>
    <row r="2123" spans="1:13" ht="15">
      <c r="A2123" s="2266" t="s">
        <v>4421</v>
      </c>
      <c r="B2123" s="1694" t="str">
        <f>CONCATENATE(LEFT(RIGHT(CONCATENATE("000",IFAData_TEA!A2123),6),3),"-",(RIGHT(RIGHT(CONCATENATE("000",IFAData_TEA!A2123),6),3)))</f>
        <v>249-908</v>
      </c>
      <c r="C2123" s="2266" t="s">
        <v>2201</v>
      </c>
      <c r="D2123" s="2266">
        <v>1</v>
      </c>
      <c r="E2123" s="2266">
        <v>2340</v>
      </c>
      <c r="F2123" s="2266" t="s">
        <v>6434</v>
      </c>
      <c r="G2123" s="2266" t="s">
        <v>6435</v>
      </c>
      <c r="H2123" s="2436">
        <v>100000</v>
      </c>
      <c r="I2123" s="2436">
        <v>69216</v>
      </c>
      <c r="J2123" s="2446">
        <v>1</v>
      </c>
      <c r="K2123" s="2436">
        <v>100000</v>
      </c>
      <c r="L2123" s="2436">
        <v>69216</v>
      </c>
      <c r="M2123" s="2266">
        <v>599</v>
      </c>
    </row>
    <row r="2124" spans="1:13" ht="15">
      <c r="A2124" s="2266" t="s">
        <v>4421</v>
      </c>
      <c r="B2124" s="1694" t="str">
        <f>CONCATENATE(LEFT(RIGHT(CONCATENATE("000",IFAData_TEA!A2124),6),3),"-",(RIGHT(RIGHT(CONCATENATE("000",IFAData_TEA!A2124),6),3)))</f>
        <v>249-908</v>
      </c>
      <c r="C2124" s="2266" t="s">
        <v>2201</v>
      </c>
      <c r="D2124" s="2266">
        <v>5</v>
      </c>
      <c r="E2124" s="2266">
        <v>2341</v>
      </c>
      <c r="F2124" s="2266" t="s">
        <v>6436</v>
      </c>
      <c r="G2124" s="2266" t="s">
        <v>6435</v>
      </c>
      <c r="H2124" s="2436">
        <v>100000</v>
      </c>
      <c r="I2124" s="2436">
        <v>112429</v>
      </c>
      <c r="J2124" s="2446">
        <v>1</v>
      </c>
      <c r="K2124" s="2436">
        <v>100000</v>
      </c>
      <c r="L2124" s="2436">
        <v>100000</v>
      </c>
      <c r="M2124" s="2266">
        <v>599</v>
      </c>
    </row>
    <row r="2125" spans="1:13" ht="15">
      <c r="A2125" s="2266" t="s">
        <v>4421</v>
      </c>
      <c r="B2125" s="1694" t="str">
        <f>CONCATENATE(LEFT(RIGHT(CONCATENATE("000",IFAData_TEA!A2125),6),3),"-",(RIGHT(RIGHT(CONCATENATE("000",IFAData_TEA!A2125),6),3)))</f>
        <v>249-908</v>
      </c>
      <c r="C2125" s="2266" t="s">
        <v>2201</v>
      </c>
      <c r="D2125" s="2266">
        <v>1</v>
      </c>
      <c r="E2125" s="2266">
        <v>2340</v>
      </c>
      <c r="F2125" s="2266" t="s">
        <v>6434</v>
      </c>
      <c r="G2125" s="2266" t="s">
        <v>6434</v>
      </c>
      <c r="H2125" s="2436">
        <v>100000</v>
      </c>
      <c r="I2125" s="2436">
        <v>0</v>
      </c>
      <c r="J2125" s="2446">
        <v>0</v>
      </c>
      <c r="K2125" s="2436">
        <v>0</v>
      </c>
      <c r="L2125" s="2436">
        <v>0</v>
      </c>
      <c r="M2125" s="2266">
        <v>599</v>
      </c>
    </row>
    <row r="2126" spans="1:13" ht="15">
      <c r="A2126" s="2266" t="s">
        <v>4421</v>
      </c>
      <c r="B2126" s="1694" t="str">
        <f>CONCATENATE(LEFT(RIGHT(CONCATENATE("000",IFAData_TEA!A2126),6),3),"-",(RIGHT(RIGHT(CONCATENATE("000",IFAData_TEA!A2126),6),3)))</f>
        <v>249-908</v>
      </c>
      <c r="C2126" s="2266" t="s">
        <v>2201</v>
      </c>
      <c r="D2126" s="2266">
        <v>5</v>
      </c>
      <c r="E2126" s="2266">
        <v>2341</v>
      </c>
      <c r="F2126" s="2266" t="s">
        <v>6436</v>
      </c>
      <c r="G2126" s="2266" t="s">
        <v>6436</v>
      </c>
      <c r="H2126" s="2436">
        <v>100000</v>
      </c>
      <c r="I2126" s="2436">
        <v>0</v>
      </c>
      <c r="J2126" s="2446">
        <v>0</v>
      </c>
      <c r="K2126" s="2436">
        <v>0</v>
      </c>
      <c r="L2126" s="2436">
        <v>0</v>
      </c>
      <c r="M2126" s="2266">
        <v>599</v>
      </c>
    </row>
    <row r="2127" spans="1:13" ht="15">
      <c r="A2127" s="2266" t="s">
        <v>4422</v>
      </c>
      <c r="B2127" s="1694" t="str">
        <f>CONCATENATE(LEFT(RIGHT(CONCATENATE("000",IFAData_TEA!A2127),6),3),"-",(RIGHT(RIGHT(CONCATENATE("000",IFAData_TEA!A2127),6),3)))</f>
        <v>252-901</v>
      </c>
      <c r="C2127" s="2266" t="s">
        <v>974</v>
      </c>
      <c r="D2127" s="2266">
        <v>9</v>
      </c>
      <c r="E2127" s="2266">
        <v>1853</v>
      </c>
      <c r="F2127" s="2266" t="s">
        <v>6440</v>
      </c>
      <c r="G2127" s="2266" t="s">
        <v>6441</v>
      </c>
      <c r="H2127" s="2436">
        <v>557500</v>
      </c>
      <c r="I2127" s="2436">
        <v>1931212</v>
      </c>
      <c r="J2127" s="2446">
        <v>1</v>
      </c>
      <c r="K2127" s="2436">
        <v>557500</v>
      </c>
      <c r="L2127" s="2436">
        <v>557500</v>
      </c>
      <c r="M2127" s="2266">
        <v>599</v>
      </c>
    </row>
    <row r="2128" spans="1:13" ht="15">
      <c r="A2128" s="2266" t="s">
        <v>4422</v>
      </c>
      <c r="B2128" s="1694" t="str">
        <f>CONCATENATE(LEFT(RIGHT(CONCATENATE("000",IFAData_TEA!A2128),6),3),"-",(RIGHT(RIGHT(CONCATENATE("000",IFAData_TEA!A2128),6),3)))</f>
        <v>252-901</v>
      </c>
      <c r="C2128" s="2266" t="s">
        <v>974</v>
      </c>
      <c r="D2128" s="2266">
        <v>6</v>
      </c>
      <c r="E2128" s="2266">
        <v>1852</v>
      </c>
      <c r="F2128" s="2266" t="s">
        <v>6438</v>
      </c>
      <c r="G2128" s="2266" t="s">
        <v>6439</v>
      </c>
      <c r="H2128" s="2436">
        <v>486964</v>
      </c>
      <c r="I2128" s="2436">
        <v>454971</v>
      </c>
      <c r="J2128" s="2446">
        <v>1</v>
      </c>
      <c r="K2128" s="2436">
        <v>486964</v>
      </c>
      <c r="L2128" s="2436">
        <v>454971</v>
      </c>
      <c r="M2128" s="2266">
        <v>599</v>
      </c>
    </row>
    <row r="2129" spans="1:13" ht="15">
      <c r="A2129" s="2266" t="s">
        <v>4422</v>
      </c>
      <c r="B2129" s="1694" t="str">
        <f>CONCATENATE(LEFT(RIGHT(CONCATENATE("000",IFAData_TEA!A2129),6),3),"-",(RIGHT(RIGHT(CONCATENATE("000",IFAData_TEA!A2129),6),3)))</f>
        <v>252-901</v>
      </c>
      <c r="C2129" s="2266" t="s">
        <v>974</v>
      </c>
      <c r="D2129" s="2266">
        <v>2</v>
      </c>
      <c r="E2129" s="2266">
        <v>1851</v>
      </c>
      <c r="F2129" s="2266" t="s">
        <v>6437</v>
      </c>
      <c r="G2129" s="2266" t="s">
        <v>6437</v>
      </c>
      <c r="H2129" s="2436">
        <v>126142</v>
      </c>
      <c r="I2129" s="2436">
        <v>0</v>
      </c>
      <c r="J2129" s="2446">
        <v>0</v>
      </c>
      <c r="K2129" s="2436"/>
      <c r="L2129" s="2436">
        <v>0</v>
      </c>
      <c r="M2129" s="2266">
        <v>599</v>
      </c>
    </row>
    <row r="2130" spans="1:13" ht="15">
      <c r="A2130" s="2266" t="s">
        <v>4422</v>
      </c>
      <c r="B2130" s="1694" t="str">
        <f>CONCATENATE(LEFT(RIGHT(CONCATENATE("000",IFAData_TEA!A2130),6),3),"-",(RIGHT(RIGHT(CONCATENATE("000",IFAData_TEA!A2130),6),3)))</f>
        <v>252-901</v>
      </c>
      <c r="C2130" s="2266" t="s">
        <v>974</v>
      </c>
      <c r="D2130" s="2266">
        <v>6</v>
      </c>
      <c r="E2130" s="2266">
        <v>1852</v>
      </c>
      <c r="F2130" s="2266" t="s">
        <v>6438</v>
      </c>
      <c r="G2130" s="2266" t="s">
        <v>6438</v>
      </c>
      <c r="H2130" s="2436">
        <v>486964</v>
      </c>
      <c r="I2130" s="2436">
        <v>0</v>
      </c>
      <c r="J2130" s="2446">
        <v>0</v>
      </c>
      <c r="K2130" s="2436">
        <v>0</v>
      </c>
      <c r="L2130" s="2436">
        <v>0</v>
      </c>
      <c r="M2130" s="2266">
        <v>599</v>
      </c>
    </row>
    <row r="2131" spans="1:13" ht="15">
      <c r="A2131" s="2266" t="s">
        <v>4422</v>
      </c>
      <c r="B2131" s="1694" t="str">
        <f>CONCATENATE(LEFT(RIGHT(CONCATENATE("000",IFAData_TEA!A2131),6),3),"-",(RIGHT(RIGHT(CONCATENATE("000",IFAData_TEA!A2131),6),3)))</f>
        <v>252-901</v>
      </c>
      <c r="C2131" s="2266" t="s">
        <v>974</v>
      </c>
      <c r="D2131" s="2266">
        <v>9</v>
      </c>
      <c r="E2131" s="2266">
        <v>1853</v>
      </c>
      <c r="F2131" s="2266" t="s">
        <v>6440</v>
      </c>
      <c r="G2131" s="2266" t="s">
        <v>6440</v>
      </c>
      <c r="H2131" s="2436">
        <v>557500</v>
      </c>
      <c r="I2131" s="2436">
        <v>0</v>
      </c>
      <c r="J2131" s="2446">
        <v>0</v>
      </c>
      <c r="K2131" s="2436">
        <v>0</v>
      </c>
      <c r="L2131" s="2436">
        <v>0</v>
      </c>
      <c r="M2131" s="2266">
        <v>599</v>
      </c>
    </row>
    <row r="2132" spans="1:13" ht="15">
      <c r="A2132" s="2266" t="s">
        <v>4423</v>
      </c>
      <c r="B2132" s="1694" t="str">
        <f>CONCATENATE(LEFT(RIGHT(CONCATENATE("000",IFAData_TEA!A2132),6),3),"-",(RIGHT(RIGHT(CONCATENATE("000",IFAData_TEA!A2132),6),3)))</f>
        <v>252-903</v>
      </c>
      <c r="C2132" s="2266" t="s">
        <v>933</v>
      </c>
      <c r="D2132" s="2266">
        <v>5</v>
      </c>
      <c r="E2132" s="2266">
        <v>2159</v>
      </c>
      <c r="F2132" s="2266" t="s">
        <v>6444</v>
      </c>
      <c r="G2132" s="2266" t="s">
        <v>6444</v>
      </c>
      <c r="H2132" s="2436">
        <v>188253</v>
      </c>
      <c r="I2132" s="2436">
        <v>0</v>
      </c>
      <c r="J2132" s="2446">
        <v>0</v>
      </c>
      <c r="K2132" s="2436">
        <v>0</v>
      </c>
      <c r="L2132" s="2436">
        <v>0</v>
      </c>
      <c r="M2132" s="2266">
        <v>599</v>
      </c>
    </row>
    <row r="2133" spans="1:13" ht="15">
      <c r="A2133" s="2266" t="s">
        <v>4423</v>
      </c>
      <c r="B2133" s="1694" t="str">
        <f>CONCATENATE(LEFT(RIGHT(CONCATENATE("000",IFAData_TEA!A2133),6),3),"-",(RIGHT(RIGHT(CONCATENATE("000",IFAData_TEA!A2133),6),3)))</f>
        <v>252-903</v>
      </c>
      <c r="C2133" s="2266" t="s">
        <v>933</v>
      </c>
      <c r="D2133" s="2266">
        <v>4</v>
      </c>
      <c r="E2133" s="2266">
        <v>2160</v>
      </c>
      <c r="F2133" s="2266" t="s">
        <v>6442</v>
      </c>
      <c r="G2133" s="2266" t="s">
        <v>6443</v>
      </c>
      <c r="H2133" s="2436">
        <v>195206</v>
      </c>
      <c r="I2133" s="2436">
        <v>190283</v>
      </c>
      <c r="J2133" s="2446">
        <v>1</v>
      </c>
      <c r="K2133" s="2436">
        <v>195206</v>
      </c>
      <c r="L2133" s="2436">
        <v>190283</v>
      </c>
      <c r="M2133" s="2266">
        <v>599</v>
      </c>
    </row>
    <row r="2134" spans="1:13" ht="15">
      <c r="A2134" s="2266" t="s">
        <v>4423</v>
      </c>
      <c r="B2134" s="1694" t="str">
        <f>CONCATENATE(LEFT(RIGHT(CONCATENATE("000",IFAData_TEA!A2134),6),3),"-",(RIGHT(RIGHT(CONCATENATE("000",IFAData_TEA!A2134),6),3)))</f>
        <v>252-903</v>
      </c>
      <c r="C2134" s="2266" t="s">
        <v>933</v>
      </c>
      <c r="D2134" s="2266">
        <v>4</v>
      </c>
      <c r="E2134" s="2266">
        <v>2160</v>
      </c>
      <c r="F2134" s="2266" t="s">
        <v>6442</v>
      </c>
      <c r="G2134" s="2266" t="s">
        <v>6442</v>
      </c>
      <c r="H2134" s="2436">
        <v>195206</v>
      </c>
      <c r="I2134" s="2436">
        <v>0</v>
      </c>
      <c r="J2134" s="2446">
        <v>0</v>
      </c>
      <c r="K2134" s="2436">
        <v>0</v>
      </c>
      <c r="L2134" s="2436">
        <v>0</v>
      </c>
      <c r="M2134" s="2266">
        <v>599</v>
      </c>
    </row>
    <row r="2135" spans="1:13" ht="15">
      <c r="A2135" s="2266" t="s">
        <v>4423</v>
      </c>
      <c r="B2135" s="1694" t="str">
        <f>CONCATENATE(LEFT(RIGHT(CONCATENATE("000",IFAData_TEA!A2135),6),3),"-",(RIGHT(RIGHT(CONCATENATE("000",IFAData_TEA!A2135),6),3)))</f>
        <v>252-903</v>
      </c>
      <c r="C2135" s="2266" t="s">
        <v>933</v>
      </c>
      <c r="D2135" s="2266">
        <v>5</v>
      </c>
      <c r="E2135" s="2266">
        <v>2159</v>
      </c>
      <c r="F2135" s="2266" t="s">
        <v>6444</v>
      </c>
      <c r="G2135" s="2266" t="s">
        <v>6445</v>
      </c>
      <c r="H2135" s="2436">
        <v>188253</v>
      </c>
      <c r="I2135" s="2436">
        <v>184475</v>
      </c>
      <c r="J2135" s="2446">
        <v>1</v>
      </c>
      <c r="K2135" s="2436">
        <v>188253</v>
      </c>
      <c r="L2135" s="2436">
        <v>184475</v>
      </c>
      <c r="M2135" s="2266">
        <v>599</v>
      </c>
    </row>
    <row r="2136" spans="1:13" ht="15">
      <c r="A2136" s="2266" t="s">
        <v>4424</v>
      </c>
      <c r="B2136" s="1694" t="str">
        <f>CONCATENATE(LEFT(RIGHT(CONCATENATE("000",IFAData_TEA!A2136),6),3),"-",(RIGHT(RIGHT(CONCATENATE("000",IFAData_TEA!A2136),6),3)))</f>
        <v>254-901</v>
      </c>
      <c r="C2136" s="2266" t="s">
        <v>460</v>
      </c>
      <c r="D2136" s="2266">
        <v>4</v>
      </c>
      <c r="E2136" s="2266">
        <v>1736</v>
      </c>
      <c r="F2136" s="2266" t="s">
        <v>6449</v>
      </c>
      <c r="G2136" s="2266" t="s">
        <v>7088</v>
      </c>
      <c r="H2136" s="2436">
        <v>192712</v>
      </c>
      <c r="I2136" s="2436">
        <v>76365</v>
      </c>
      <c r="J2136" s="2446">
        <v>0.44562775362530271</v>
      </c>
      <c r="K2136" s="2436">
        <v>85877.81565663933</v>
      </c>
      <c r="L2136" s="2436">
        <v>76365</v>
      </c>
      <c r="M2136" s="2266">
        <v>599</v>
      </c>
    </row>
    <row r="2137" spans="1:13" ht="15">
      <c r="A2137" s="2266" t="s">
        <v>4424</v>
      </c>
      <c r="B2137" s="1694" t="str">
        <f>CONCATENATE(LEFT(RIGHT(CONCATENATE("000",IFAData_TEA!A2137),6),3),"-",(RIGHT(RIGHT(CONCATENATE("000",IFAData_TEA!A2137),6),3)))</f>
        <v>254-901</v>
      </c>
      <c r="C2137" s="2266" t="s">
        <v>460</v>
      </c>
      <c r="D2137" s="2266">
        <v>5</v>
      </c>
      <c r="E2137" s="2266">
        <v>1737</v>
      </c>
      <c r="F2137" s="2266" t="s">
        <v>6450</v>
      </c>
      <c r="G2137" s="2266" t="s">
        <v>7088</v>
      </c>
      <c r="H2137" s="2436">
        <v>197353</v>
      </c>
      <c r="I2137" s="2436">
        <v>74010</v>
      </c>
      <c r="J2137" s="2446">
        <v>0.39053142033971644</v>
      </c>
      <c r="K2137" s="2436">
        <v>77072.547398304057</v>
      </c>
      <c r="L2137" s="2436">
        <v>74010</v>
      </c>
      <c r="M2137" s="2266">
        <v>599</v>
      </c>
    </row>
    <row r="2138" spans="1:13" ht="15">
      <c r="A2138" s="2266" t="s">
        <v>4424</v>
      </c>
      <c r="B2138" s="1694" t="str">
        <f>CONCATENATE(LEFT(RIGHT(CONCATENATE("000",IFAData_TEA!A2138),6),3),"-",(RIGHT(RIGHT(CONCATENATE("000",IFAData_TEA!A2138),6),3)))</f>
        <v>254-901</v>
      </c>
      <c r="C2138" s="2266" t="s">
        <v>460</v>
      </c>
      <c r="D2138" s="2266">
        <v>2</v>
      </c>
      <c r="E2138" s="2266">
        <v>1739</v>
      </c>
      <c r="F2138" s="2266" t="s">
        <v>6446</v>
      </c>
      <c r="G2138" s="2266" t="s">
        <v>7088</v>
      </c>
      <c r="H2138" s="2436">
        <v>396447</v>
      </c>
      <c r="I2138" s="2436">
        <v>192587</v>
      </c>
      <c r="J2138" s="2446">
        <v>0.38626558654758347</v>
      </c>
      <c r="K2138" s="2436">
        <v>153133.83299002983</v>
      </c>
      <c r="L2138" s="2436">
        <v>153133.83299002983</v>
      </c>
      <c r="M2138" s="2266">
        <v>599</v>
      </c>
    </row>
    <row r="2139" spans="1:13" ht="15">
      <c r="A2139" s="2266" t="s">
        <v>4424</v>
      </c>
      <c r="B2139" s="1694" t="str">
        <f>CONCATENATE(LEFT(RIGHT(CONCATENATE("000",IFAData_TEA!A2139),6),3),"-",(RIGHT(RIGHT(CONCATENATE("000",IFAData_TEA!A2139),6),3)))</f>
        <v>254-901</v>
      </c>
      <c r="C2139" s="2266" t="s">
        <v>460</v>
      </c>
      <c r="D2139" s="2266">
        <v>5</v>
      </c>
      <c r="E2139" s="2266">
        <v>1737</v>
      </c>
      <c r="F2139" s="2266" t="s">
        <v>6450</v>
      </c>
      <c r="G2139" s="2266" t="s">
        <v>6450</v>
      </c>
      <c r="H2139" s="2436">
        <v>197353</v>
      </c>
      <c r="I2139" s="2436">
        <v>0</v>
      </c>
      <c r="J2139" s="2446">
        <v>0</v>
      </c>
      <c r="K2139" s="2436">
        <v>0</v>
      </c>
      <c r="L2139" s="2436">
        <v>0</v>
      </c>
      <c r="M2139" s="2266">
        <v>599</v>
      </c>
    </row>
    <row r="2140" spans="1:13" ht="15">
      <c r="A2140" s="2266" t="s">
        <v>4424</v>
      </c>
      <c r="B2140" s="1694" t="str">
        <f>CONCATENATE(LEFT(RIGHT(CONCATENATE("000",IFAData_TEA!A2140),6),3),"-",(RIGHT(RIGHT(CONCATENATE("000",IFAData_TEA!A2140),6),3)))</f>
        <v>254-901</v>
      </c>
      <c r="C2140" s="2266" t="s">
        <v>460</v>
      </c>
      <c r="D2140" s="2266">
        <v>8</v>
      </c>
      <c r="E2140" s="2266">
        <v>1740</v>
      </c>
      <c r="F2140" s="2266" t="s">
        <v>6452</v>
      </c>
      <c r="G2140" s="2266" t="s">
        <v>6452</v>
      </c>
      <c r="H2140" s="2436">
        <v>464096</v>
      </c>
      <c r="I2140" s="2436">
        <v>586065</v>
      </c>
      <c r="J2140" s="2446">
        <v>0.78549620162228528</v>
      </c>
      <c r="K2140" s="2436">
        <v>364545.6451880961</v>
      </c>
      <c r="L2140" s="2436">
        <v>364545.6451880961</v>
      </c>
      <c r="M2140" s="2266">
        <v>599</v>
      </c>
    </row>
    <row r="2141" spans="1:13" ht="15">
      <c r="A2141" s="2266" t="s">
        <v>4424</v>
      </c>
      <c r="B2141" s="1694" t="str">
        <f>CONCATENATE(LEFT(RIGHT(CONCATENATE("000",IFAData_TEA!A2141),6),3),"-",(RIGHT(RIGHT(CONCATENATE("000",IFAData_TEA!A2141),6),3)))</f>
        <v>254-901</v>
      </c>
      <c r="C2141" s="2266" t="s">
        <v>460</v>
      </c>
      <c r="D2141" s="2266">
        <v>2</v>
      </c>
      <c r="E2141" s="2266">
        <v>1739</v>
      </c>
      <c r="F2141" s="2266" t="s">
        <v>6446</v>
      </c>
      <c r="G2141" s="2266" t="s">
        <v>6446</v>
      </c>
      <c r="H2141" s="2436">
        <v>396447</v>
      </c>
      <c r="I2141" s="2436">
        <v>0</v>
      </c>
      <c r="J2141" s="2446">
        <v>0</v>
      </c>
      <c r="K2141" s="2436">
        <v>0</v>
      </c>
      <c r="L2141" s="2436">
        <v>0</v>
      </c>
      <c r="M2141" s="2266">
        <v>599</v>
      </c>
    </row>
    <row r="2142" spans="1:13" ht="15">
      <c r="A2142" s="2266" t="s">
        <v>4424</v>
      </c>
      <c r="B2142" s="1694" t="str">
        <f>CONCATENATE(LEFT(RIGHT(CONCATENATE("000",IFAData_TEA!A2142),6),3),"-",(RIGHT(RIGHT(CONCATENATE("000",IFAData_TEA!A2142),6),3)))</f>
        <v>254-901</v>
      </c>
      <c r="C2142" s="2266" t="s">
        <v>460</v>
      </c>
      <c r="D2142" s="2266">
        <v>5</v>
      </c>
      <c r="E2142" s="2266">
        <v>1737</v>
      </c>
      <c r="F2142" s="2266" t="s">
        <v>6450</v>
      </c>
      <c r="G2142" s="2266" t="s">
        <v>6447</v>
      </c>
      <c r="H2142" s="2436">
        <v>197353</v>
      </c>
      <c r="I2142" s="2436">
        <v>14001</v>
      </c>
      <c r="J2142" s="2446">
        <v>7.387961648664193E-2</v>
      </c>
      <c r="K2142" s="2436">
        <v>14580.363952488246</v>
      </c>
      <c r="L2142" s="2436">
        <v>14001</v>
      </c>
      <c r="M2142" s="2266">
        <v>599</v>
      </c>
    </row>
    <row r="2143" spans="1:13" ht="15">
      <c r="A2143" s="2266" t="s">
        <v>4424</v>
      </c>
      <c r="B2143" s="1694" t="str">
        <f>CONCATENATE(LEFT(RIGHT(CONCATENATE("000",IFAData_TEA!A2143),6),3),"-",(RIGHT(RIGHT(CONCATENATE("000",IFAData_TEA!A2143),6),3)))</f>
        <v>254-901</v>
      </c>
      <c r="C2143" s="2266" t="s">
        <v>460</v>
      </c>
      <c r="D2143" s="2266">
        <v>2</v>
      </c>
      <c r="E2143" s="2266">
        <v>1739</v>
      </c>
      <c r="F2143" s="2266" t="s">
        <v>6446</v>
      </c>
      <c r="G2143" s="2266" t="s">
        <v>6447</v>
      </c>
      <c r="H2143" s="2436">
        <v>396447</v>
      </c>
      <c r="I2143" s="2436">
        <v>306000</v>
      </c>
      <c r="J2143" s="2446">
        <v>0.61373441345241653</v>
      </c>
      <c r="K2143" s="2436">
        <v>243313.16700997017</v>
      </c>
      <c r="L2143" s="2436">
        <v>243313.16700997017</v>
      </c>
      <c r="M2143" s="2266">
        <v>599</v>
      </c>
    </row>
    <row r="2144" spans="1:13" ht="15">
      <c r="A2144" s="2266" t="s">
        <v>4424</v>
      </c>
      <c r="B2144" s="1694" t="str">
        <f>CONCATENATE(LEFT(RIGHT(CONCATENATE("000",IFAData_TEA!A2144),6),3),"-",(RIGHT(RIGHT(CONCATENATE("000",IFAData_TEA!A2144),6),3)))</f>
        <v>254-901</v>
      </c>
      <c r="C2144" s="2266" t="s">
        <v>460</v>
      </c>
      <c r="D2144" s="2266">
        <v>4</v>
      </c>
      <c r="E2144" s="2266">
        <v>1736</v>
      </c>
      <c r="F2144" s="2266" t="s">
        <v>6449</v>
      </c>
      <c r="G2144" s="2266" t="s">
        <v>6447</v>
      </c>
      <c r="H2144" s="2436">
        <v>192712</v>
      </c>
      <c r="I2144" s="2436">
        <v>95000</v>
      </c>
      <c r="J2144" s="2446">
        <v>0.55437224637469729</v>
      </c>
      <c r="K2144" s="2436">
        <v>106834.18434336067</v>
      </c>
      <c r="L2144" s="2436">
        <v>95000</v>
      </c>
      <c r="M2144" s="2266">
        <v>599</v>
      </c>
    </row>
    <row r="2145" spans="1:13" ht="15">
      <c r="A2145" s="2266" t="s">
        <v>4424</v>
      </c>
      <c r="B2145" s="1694" t="str">
        <f>CONCATENATE(LEFT(RIGHT(CONCATENATE("000",IFAData_TEA!A2145),6),3),"-",(RIGHT(RIGHT(CONCATENATE("000",IFAData_TEA!A2145),6),3)))</f>
        <v>254-901</v>
      </c>
      <c r="C2145" s="2266" t="s">
        <v>460</v>
      </c>
      <c r="D2145" s="2266">
        <v>4</v>
      </c>
      <c r="E2145" s="2266">
        <v>1736</v>
      </c>
      <c r="F2145" s="2266" t="s">
        <v>6449</v>
      </c>
      <c r="G2145" s="2266" t="s">
        <v>6448</v>
      </c>
      <c r="H2145" s="2436">
        <v>192712</v>
      </c>
      <c r="I2145" s="2436">
        <v>0</v>
      </c>
      <c r="J2145" s="2446">
        <v>0</v>
      </c>
      <c r="K2145" s="2436">
        <v>0</v>
      </c>
      <c r="L2145" s="2436">
        <v>0</v>
      </c>
      <c r="M2145" s="2266">
        <v>599</v>
      </c>
    </row>
    <row r="2146" spans="1:13" ht="15">
      <c r="A2146" s="2266" t="s">
        <v>4424</v>
      </c>
      <c r="B2146" s="1694" t="str">
        <f>CONCATENATE(LEFT(RIGHT(CONCATENATE("000",IFAData_TEA!A2146),6),3),"-",(RIGHT(RIGHT(CONCATENATE("000",IFAData_TEA!A2146),6),3)))</f>
        <v>254-901</v>
      </c>
      <c r="C2146" s="2266" t="s">
        <v>460</v>
      </c>
      <c r="D2146" s="2266">
        <v>2</v>
      </c>
      <c r="E2146" s="2266">
        <v>1739</v>
      </c>
      <c r="F2146" s="2266" t="s">
        <v>6446</v>
      </c>
      <c r="G2146" s="2266" t="s">
        <v>6448</v>
      </c>
      <c r="H2146" s="2436">
        <v>396447</v>
      </c>
      <c r="I2146" s="2436">
        <v>0</v>
      </c>
      <c r="J2146" s="2446">
        <v>0</v>
      </c>
      <c r="K2146" s="2436">
        <v>0</v>
      </c>
      <c r="L2146" s="2436">
        <v>0</v>
      </c>
      <c r="M2146" s="2266">
        <v>599</v>
      </c>
    </row>
    <row r="2147" spans="1:13" ht="15">
      <c r="A2147" s="2266" t="s">
        <v>4424</v>
      </c>
      <c r="B2147" s="1694" t="str">
        <f>CONCATENATE(LEFT(RIGHT(CONCATENATE("000",IFAData_TEA!A2147),6),3),"-",(RIGHT(RIGHT(CONCATENATE("000",IFAData_TEA!A2147),6),3)))</f>
        <v>254-901</v>
      </c>
      <c r="C2147" s="2266" t="s">
        <v>460</v>
      </c>
      <c r="D2147" s="2266">
        <v>6</v>
      </c>
      <c r="E2147" s="2266">
        <v>1738</v>
      </c>
      <c r="F2147" s="2266" t="s">
        <v>6451</v>
      </c>
      <c r="G2147" s="2266" t="s">
        <v>6448</v>
      </c>
      <c r="H2147" s="2436">
        <v>209248</v>
      </c>
      <c r="I2147" s="2436">
        <v>169900</v>
      </c>
      <c r="J2147" s="2446">
        <v>1</v>
      </c>
      <c r="K2147" s="2436">
        <v>209248</v>
      </c>
      <c r="L2147" s="2436">
        <v>169900</v>
      </c>
      <c r="M2147" s="2266">
        <v>599</v>
      </c>
    </row>
    <row r="2148" spans="1:13" ht="15">
      <c r="A2148" s="2266" t="s">
        <v>4424</v>
      </c>
      <c r="B2148" s="1694" t="str">
        <f>CONCATENATE(LEFT(RIGHT(CONCATENATE("000",IFAData_TEA!A2148),6),3),"-",(RIGHT(RIGHT(CONCATENATE("000",IFAData_TEA!A2148),6),3)))</f>
        <v>254-901</v>
      </c>
      <c r="C2148" s="2266" t="s">
        <v>460</v>
      </c>
      <c r="D2148" s="2266">
        <v>5</v>
      </c>
      <c r="E2148" s="2266">
        <v>1737</v>
      </c>
      <c r="F2148" s="2266" t="s">
        <v>6450</v>
      </c>
      <c r="G2148" s="2266" t="s">
        <v>6448</v>
      </c>
      <c r="H2148" s="2436">
        <v>197353</v>
      </c>
      <c r="I2148" s="2436">
        <v>101500</v>
      </c>
      <c r="J2148" s="2446">
        <v>0.53558896317364169</v>
      </c>
      <c r="K2148" s="2436">
        <v>105700.08864920771</v>
      </c>
      <c r="L2148" s="2436">
        <v>101500</v>
      </c>
      <c r="M2148" s="2266">
        <v>599</v>
      </c>
    </row>
    <row r="2149" spans="1:13" ht="15">
      <c r="A2149" s="2266" t="s">
        <v>4424</v>
      </c>
      <c r="B2149" s="1694" t="str">
        <f>CONCATENATE(LEFT(RIGHT(CONCATENATE("000",IFAData_TEA!A2149),6),3),"-",(RIGHT(RIGHT(CONCATENATE("000",IFAData_TEA!A2149),6),3)))</f>
        <v>254-901</v>
      </c>
      <c r="C2149" s="2266" t="s">
        <v>460</v>
      </c>
      <c r="D2149" s="2266">
        <v>4</v>
      </c>
      <c r="E2149" s="2266">
        <v>1736</v>
      </c>
      <c r="F2149" s="2266" t="s">
        <v>6449</v>
      </c>
      <c r="G2149" s="2266" t="s">
        <v>6449</v>
      </c>
      <c r="H2149" s="2436">
        <v>192712</v>
      </c>
      <c r="I2149" s="2436">
        <v>0</v>
      </c>
      <c r="J2149" s="2446">
        <v>0</v>
      </c>
      <c r="K2149" s="2436">
        <v>0</v>
      </c>
      <c r="L2149" s="2436">
        <v>0</v>
      </c>
      <c r="M2149" s="2266">
        <v>599</v>
      </c>
    </row>
    <row r="2150" spans="1:13" ht="15">
      <c r="A2150" s="2266" t="s">
        <v>4424</v>
      </c>
      <c r="B2150" s="1694" t="str">
        <f>CONCATENATE(LEFT(RIGHT(CONCATENATE("000",IFAData_TEA!A2150),6),3),"-",(RIGHT(RIGHT(CONCATENATE("000",IFAData_TEA!A2150),6),3)))</f>
        <v>254-901</v>
      </c>
      <c r="C2150" s="2266" t="s">
        <v>460</v>
      </c>
      <c r="D2150" s="2266">
        <v>6</v>
      </c>
      <c r="E2150" s="2266">
        <v>1738</v>
      </c>
      <c r="F2150" s="2266" t="s">
        <v>6451</v>
      </c>
      <c r="G2150" s="2266" t="s">
        <v>6451</v>
      </c>
      <c r="H2150" s="2436">
        <v>209248</v>
      </c>
      <c r="I2150" s="2436">
        <v>0</v>
      </c>
      <c r="J2150" s="2446">
        <v>0</v>
      </c>
      <c r="K2150" s="2436">
        <v>0</v>
      </c>
      <c r="L2150" s="2436">
        <v>0</v>
      </c>
      <c r="M2150" s="2266">
        <v>599</v>
      </c>
    </row>
    <row r="2151" spans="1:13" ht="15">
      <c r="A2151" s="2266" t="s">
        <v>4424</v>
      </c>
      <c r="B2151" s="1694" t="str">
        <f>CONCATENATE(LEFT(RIGHT(CONCATENATE("000",IFAData_TEA!A2151),6),3),"-",(RIGHT(RIGHT(CONCATENATE("000",IFAData_TEA!A2151),6),3)))</f>
        <v>254-901</v>
      </c>
      <c r="C2151" s="2266" t="s">
        <v>460</v>
      </c>
      <c r="D2151" s="2266">
        <v>8</v>
      </c>
      <c r="E2151" s="2266">
        <v>1740</v>
      </c>
      <c r="F2151" s="2266" t="s">
        <v>6452</v>
      </c>
      <c r="G2151" s="2266" t="s">
        <v>7089</v>
      </c>
      <c r="H2151" s="2436">
        <v>464096</v>
      </c>
      <c r="I2151" s="2436">
        <v>160043</v>
      </c>
      <c r="J2151" s="2446">
        <v>0.21450379837771474</v>
      </c>
      <c r="K2151" s="2436">
        <v>99550.354811903904</v>
      </c>
      <c r="L2151" s="2436">
        <v>99550.354811903904</v>
      </c>
      <c r="M2151" s="2266">
        <v>599</v>
      </c>
    </row>
    <row r="2152" spans="1:13" ht="15">
      <c r="A2152" s="2266" t="s">
        <v>4425</v>
      </c>
      <c r="B2152" s="1694" t="str">
        <f>CONCATENATE(LEFT(RIGHT(CONCATENATE("000",IFAData_TEA!A2152),6),3),"-",(RIGHT(RIGHT(CONCATENATE("000",IFAData_TEA!A2152),6),3)))</f>
        <v>254-902</v>
      </c>
      <c r="C2152" s="2266" t="s">
        <v>2171</v>
      </c>
      <c r="D2152" s="2266">
        <v>4</v>
      </c>
      <c r="E2152" s="2266">
        <v>1987</v>
      </c>
      <c r="F2152" s="2266" t="s">
        <v>6453</v>
      </c>
      <c r="G2152" s="2266" t="s">
        <v>6454</v>
      </c>
      <c r="H2152" s="2436">
        <v>100000</v>
      </c>
      <c r="I2152" s="2436">
        <v>93110</v>
      </c>
      <c r="J2152" s="2446">
        <v>1</v>
      </c>
      <c r="K2152" s="2436">
        <v>100000</v>
      </c>
      <c r="L2152" s="2436">
        <v>93110</v>
      </c>
      <c r="M2152" s="2266">
        <v>599</v>
      </c>
    </row>
    <row r="2153" spans="1:13" ht="15">
      <c r="A2153" s="2266" t="s">
        <v>4425</v>
      </c>
      <c r="B2153" s="1694" t="str">
        <f>CONCATENATE(LEFT(RIGHT(CONCATENATE("000",IFAData_TEA!A2153),6),3),"-",(RIGHT(RIGHT(CONCATENATE("000",IFAData_TEA!A2153),6),3)))</f>
        <v>254-902</v>
      </c>
      <c r="C2153" s="2266" t="s">
        <v>2171</v>
      </c>
      <c r="D2153" s="2266">
        <v>8</v>
      </c>
      <c r="E2153" s="2266">
        <v>1986</v>
      </c>
      <c r="F2153" s="2266" t="s">
        <v>6454</v>
      </c>
      <c r="G2153" s="2266" t="s">
        <v>6454</v>
      </c>
      <c r="H2153" s="2436">
        <v>95242</v>
      </c>
      <c r="I2153" s="2436">
        <v>94919</v>
      </c>
      <c r="J2153" s="2446">
        <v>1</v>
      </c>
      <c r="K2153" s="2436">
        <v>95242</v>
      </c>
      <c r="L2153" s="2436">
        <v>94919</v>
      </c>
      <c r="M2153" s="2266">
        <v>599</v>
      </c>
    </row>
    <row r="2154" spans="1:13" ht="15">
      <c r="A2154" s="2266" t="s">
        <v>4425</v>
      </c>
      <c r="B2154" s="1694" t="str">
        <f>CONCATENATE(LEFT(RIGHT(CONCATENATE("000",IFAData_TEA!A2154),6),3),"-",(RIGHT(RIGHT(CONCATENATE("000",IFAData_TEA!A2154),6),3)))</f>
        <v>254-902</v>
      </c>
      <c r="C2154" s="2266" t="s">
        <v>2171</v>
      </c>
      <c r="D2154" s="2266">
        <v>4</v>
      </c>
      <c r="E2154" s="2266">
        <v>1987</v>
      </c>
      <c r="F2154" s="2266" t="s">
        <v>6453</v>
      </c>
      <c r="G2154" s="2266" t="s">
        <v>6453</v>
      </c>
      <c r="H2154" s="2436">
        <v>100000</v>
      </c>
      <c r="I2154" s="2436">
        <v>0</v>
      </c>
      <c r="J2154" s="2446">
        <v>0</v>
      </c>
      <c r="K2154" s="2436">
        <v>0</v>
      </c>
      <c r="L2154" s="2436">
        <v>0</v>
      </c>
      <c r="M2154" s="2266">
        <v>599</v>
      </c>
    </row>
    <row r="2155" spans="1:13">
      <c r="L2155" s="2246">
        <f>SUM(L2:L2154)</f>
        <v>771883775.00000048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election activeCell="J14" sqref="J14"/>
    </sheetView>
  </sheetViews>
  <sheetFormatPr defaultRowHeight="12.75"/>
  <cols>
    <col min="1" max="1" width="47" customWidth="1"/>
    <col min="2" max="2" width="2.7109375" customWidth="1"/>
    <col min="3" max="3" width="22" style="180" hidden="1" customWidth="1"/>
    <col min="4" max="4" width="21.42578125" style="180" hidden="1" customWidth="1"/>
    <col min="5" max="5" width="2.7109375" customWidth="1"/>
    <col min="6" max="6" width="22" style="323" hidden="1" customWidth="1"/>
    <col min="7" max="7" width="21.42578125" style="323" hidden="1" customWidth="1"/>
    <col min="8" max="8" width="22" style="180" hidden="1" customWidth="1"/>
    <col min="9" max="9" width="21.42578125" style="180" hidden="1" customWidth="1"/>
    <col min="10" max="10" width="22" style="111" customWidth="1"/>
    <col min="11" max="11" width="21.42578125" style="111" customWidth="1"/>
    <col min="12" max="13" width="22" style="531" customWidth="1"/>
    <col min="14" max="15" width="22" style="172" hidden="1" customWidth="1"/>
    <col min="16" max="17" width="22" style="618" hidden="1" customWidth="1"/>
    <col min="18" max="19" width="22" style="180" hidden="1" customWidth="1"/>
    <col min="20" max="25" width="22" customWidth="1"/>
  </cols>
  <sheetData>
    <row r="1" spans="1:19">
      <c r="A1" s="71" t="s">
        <v>193</v>
      </c>
      <c r="B1" s="35"/>
      <c r="G1" s="47" t="e">
        <f>IFA!#REF!</f>
        <v>#REF!</v>
      </c>
      <c r="M1" s="159" t="s">
        <v>1009</v>
      </c>
    </row>
    <row r="2" spans="1:19">
      <c r="A2" s="71" t="s">
        <v>495</v>
      </c>
      <c r="B2" s="35"/>
      <c r="M2" s="98" t="e">
        <f>'Ch41 Calc Data'!#REF!</f>
        <v>#REF!</v>
      </c>
    </row>
    <row r="3" spans="1:19">
      <c r="A3" s="71"/>
      <c r="B3" s="35"/>
      <c r="M3" s="526" t="e">
        <f>'Ch41 Calc Data'!#REF!</f>
        <v>#REF!</v>
      </c>
    </row>
    <row r="4" spans="1:19">
      <c r="A4" s="71"/>
      <c r="B4" s="35"/>
    </row>
    <row r="5" spans="1:19">
      <c r="A5" s="101"/>
      <c r="B5" s="35"/>
      <c r="C5" s="190" t="s">
        <v>2514</v>
      </c>
      <c r="D5" s="190" t="s">
        <v>2514</v>
      </c>
      <c r="F5" s="325" t="s">
        <v>2514</v>
      </c>
      <c r="G5" s="325" t="s">
        <v>2514</v>
      </c>
      <c r="H5" s="190" t="s">
        <v>2514</v>
      </c>
      <c r="I5" s="190" t="s">
        <v>2514</v>
      </c>
    </row>
    <row r="6" spans="1:19" ht="15.75">
      <c r="A6" s="35"/>
      <c r="B6" s="35"/>
      <c r="C6" s="231" t="s">
        <v>1345</v>
      </c>
      <c r="D6" s="232" t="s">
        <v>1345</v>
      </c>
      <c r="F6" s="347" t="s">
        <v>2939</v>
      </c>
      <c r="G6" s="348" t="s">
        <v>2939</v>
      </c>
      <c r="H6" s="231" t="s">
        <v>2939</v>
      </c>
      <c r="I6" s="232" t="s">
        <v>2939</v>
      </c>
      <c r="J6" s="461" t="s">
        <v>2514</v>
      </c>
      <c r="K6" s="461" t="s">
        <v>2514</v>
      </c>
      <c r="L6" s="536" t="s">
        <v>2514</v>
      </c>
      <c r="M6" s="536" t="s">
        <v>2514</v>
      </c>
      <c r="N6" s="600" t="s">
        <v>2514</v>
      </c>
      <c r="O6" s="600" t="s">
        <v>2514</v>
      </c>
      <c r="P6" s="619" t="s">
        <v>2514</v>
      </c>
      <c r="Q6" s="619" t="s">
        <v>2514</v>
      </c>
      <c r="R6" s="190" t="s">
        <v>2514</v>
      </c>
      <c r="S6" s="190" t="s">
        <v>2514</v>
      </c>
    </row>
    <row r="7" spans="1:19" ht="15.75">
      <c r="A7" s="35"/>
      <c r="B7" s="35"/>
      <c r="C7" s="233" t="s">
        <v>1953</v>
      </c>
      <c r="D7" s="233" t="s">
        <v>1953</v>
      </c>
      <c r="F7" s="349" t="s">
        <v>1089</v>
      </c>
      <c r="G7" s="349" t="s">
        <v>1089</v>
      </c>
      <c r="H7" s="233" t="s">
        <v>1089</v>
      </c>
      <c r="I7" s="233" t="s">
        <v>1089</v>
      </c>
      <c r="J7" s="519" t="s">
        <v>1059</v>
      </c>
      <c r="K7" s="519" t="s">
        <v>1059</v>
      </c>
      <c r="L7" s="592" t="s">
        <v>2516</v>
      </c>
      <c r="M7" s="592" t="str">
        <f>L7</f>
        <v>2010-11</v>
      </c>
      <c r="N7" s="814" t="s">
        <v>195</v>
      </c>
      <c r="O7" s="814" t="str">
        <f>N7</f>
        <v>2011-12</v>
      </c>
      <c r="P7" s="810" t="s">
        <v>196</v>
      </c>
      <c r="Q7" s="810" t="str">
        <f>P7</f>
        <v>2012-13</v>
      </c>
      <c r="R7" s="231" t="s">
        <v>197</v>
      </c>
      <c r="S7" s="231" t="str">
        <f>R7</f>
        <v>2013-14</v>
      </c>
    </row>
    <row r="8" spans="1:19" ht="15.75">
      <c r="A8" s="35"/>
      <c r="B8" s="35"/>
      <c r="C8" s="232" t="s">
        <v>1664</v>
      </c>
      <c r="D8" s="232" t="s">
        <v>1664</v>
      </c>
      <c r="F8" s="348" t="s">
        <v>1664</v>
      </c>
      <c r="G8" s="348" t="s">
        <v>1664</v>
      </c>
      <c r="H8" s="232" t="s">
        <v>1664</v>
      </c>
      <c r="I8" s="232" t="s">
        <v>1664</v>
      </c>
      <c r="J8" s="808">
        <f>Assumptions!C21</f>
        <v>434600</v>
      </c>
      <c r="K8" s="808">
        <f>J8</f>
        <v>434600</v>
      </c>
      <c r="L8" s="809">
        <f>Assumptions!C30</f>
        <v>450400</v>
      </c>
      <c r="M8" s="809">
        <f>L8</f>
        <v>450400</v>
      </c>
      <c r="N8" s="815">
        <f>Assumptions!C40</f>
        <v>487600</v>
      </c>
      <c r="O8" s="815">
        <f>N8</f>
        <v>487600</v>
      </c>
      <c r="P8" s="811">
        <f>Assumptions!C50</f>
        <v>514700</v>
      </c>
      <c r="Q8" s="811">
        <f>P8</f>
        <v>514700</v>
      </c>
      <c r="R8" s="818">
        <f>Assumptions!C59</f>
        <v>527400</v>
      </c>
      <c r="S8" s="818">
        <f>R8</f>
        <v>527400</v>
      </c>
    </row>
    <row r="9" spans="1:19" ht="15.75">
      <c r="A9" s="35"/>
      <c r="B9" s="35"/>
      <c r="C9" s="232" t="s">
        <v>1142</v>
      </c>
      <c r="D9" s="232" t="s">
        <v>1142</v>
      </c>
      <c r="F9" s="348" t="s">
        <v>1142</v>
      </c>
      <c r="G9" s="348" t="s">
        <v>1142</v>
      </c>
      <c r="H9" s="232" t="s">
        <v>1142</v>
      </c>
      <c r="I9" s="232" t="s">
        <v>1142</v>
      </c>
      <c r="J9" s="520" t="s">
        <v>1664</v>
      </c>
      <c r="K9" s="520" t="s">
        <v>1664</v>
      </c>
      <c r="L9" s="593" t="s">
        <v>1664</v>
      </c>
      <c r="M9" s="593" t="s">
        <v>1664</v>
      </c>
      <c r="N9" s="816" t="s">
        <v>1664</v>
      </c>
      <c r="O9" s="816" t="s">
        <v>1664</v>
      </c>
      <c r="P9" s="812" t="s">
        <v>1664</v>
      </c>
      <c r="Q9" s="812" t="s">
        <v>1664</v>
      </c>
      <c r="R9" s="232" t="s">
        <v>1664</v>
      </c>
      <c r="S9" s="232" t="s">
        <v>1664</v>
      </c>
    </row>
    <row r="10" spans="1:19" ht="15.75">
      <c r="A10" s="35"/>
      <c r="B10" s="35"/>
      <c r="C10" s="232" t="s">
        <v>689</v>
      </c>
      <c r="D10" s="232" t="s">
        <v>690</v>
      </c>
      <c r="F10" s="348" t="s">
        <v>691</v>
      </c>
      <c r="G10" s="348" t="s">
        <v>692</v>
      </c>
      <c r="H10" s="232" t="s">
        <v>691</v>
      </c>
      <c r="I10" s="232" t="s">
        <v>692</v>
      </c>
      <c r="J10" s="520" t="s">
        <v>1142</v>
      </c>
      <c r="K10" s="520" t="s">
        <v>1142</v>
      </c>
      <c r="L10" s="593" t="s">
        <v>1142</v>
      </c>
      <c r="M10" s="593" t="s">
        <v>1142</v>
      </c>
      <c r="N10" s="816" t="s">
        <v>1142</v>
      </c>
      <c r="O10" s="816" t="s">
        <v>1142</v>
      </c>
      <c r="P10" s="812" t="s">
        <v>1142</v>
      </c>
      <c r="Q10" s="812" t="s">
        <v>1142</v>
      </c>
      <c r="R10" s="232" t="s">
        <v>1142</v>
      </c>
      <c r="S10" s="232" t="s">
        <v>1142</v>
      </c>
    </row>
    <row r="11" spans="1:19" ht="15.75">
      <c r="A11" s="38" t="s">
        <v>1665</v>
      </c>
      <c r="F11" s="325" t="s">
        <v>2371</v>
      </c>
      <c r="G11" s="325" t="s">
        <v>2371</v>
      </c>
      <c r="H11" s="190" t="s">
        <v>2372</v>
      </c>
      <c r="I11" s="190" t="s">
        <v>2372</v>
      </c>
      <c r="J11" s="520" t="s">
        <v>2952</v>
      </c>
      <c r="K11" s="520" t="s">
        <v>2953</v>
      </c>
      <c r="L11" s="593" t="s">
        <v>2952</v>
      </c>
      <c r="M11" s="593" t="s">
        <v>2953</v>
      </c>
      <c r="N11" s="816" t="s">
        <v>2952</v>
      </c>
      <c r="O11" s="816" t="s">
        <v>2953</v>
      </c>
      <c r="P11" s="812" t="s">
        <v>2952</v>
      </c>
      <c r="Q11" s="812" t="s">
        <v>2953</v>
      </c>
      <c r="R11" s="232" t="s">
        <v>2952</v>
      </c>
      <c r="S11" s="232" t="s">
        <v>2953</v>
      </c>
    </row>
    <row r="12" spans="1:19">
      <c r="A12" t="s">
        <v>499</v>
      </c>
      <c r="C12" s="204" t="e">
        <f>'Data Entry - SOF'!#REF!+'Data Entry - SOF'!#REF!</f>
        <v>#REF!</v>
      </c>
      <c r="D12" s="204" t="e">
        <f>C12</f>
        <v>#REF!</v>
      </c>
      <c r="F12" s="332" t="e">
        <f>'Data Entry - SOF'!#REF!+'Data Entry - SOF'!#REF!</f>
        <v>#REF!</v>
      </c>
      <c r="G12" s="332" t="e">
        <f>F12</f>
        <v>#REF!</v>
      </c>
      <c r="H12" s="204" t="e">
        <f>'Data Entry - SOF'!#REF!+'Data Entry - SOF'!#REF!</f>
        <v>#REF!</v>
      </c>
      <c r="I12" s="204" t="e">
        <f>H12</f>
        <v>#REF!</v>
      </c>
      <c r="J12" s="466" t="e">
        <f>'Data Entry - SOF'!#REF!+'Data Entry - SOF'!#REF!</f>
        <v>#REF!</v>
      </c>
      <c r="K12" s="466" t="e">
        <f t="shared" ref="K12:M16" si="0">J12</f>
        <v>#REF!</v>
      </c>
      <c r="L12" s="546" t="e">
        <f>'Data Entry - SOF'!#REF!+'Data Entry - SOF'!#REF!</f>
        <v>#REF!</v>
      </c>
      <c r="M12" s="546" t="e">
        <f t="shared" si="0"/>
        <v>#REF!</v>
      </c>
      <c r="N12" s="606" t="e">
        <f t="shared" ref="N12:S13" si="1">M12</f>
        <v>#REF!</v>
      </c>
      <c r="O12" s="606" t="e">
        <f t="shared" si="1"/>
        <v>#REF!</v>
      </c>
      <c r="P12" s="624" t="e">
        <f t="shared" si="1"/>
        <v>#REF!</v>
      </c>
      <c r="Q12" s="624" t="e">
        <f t="shared" si="1"/>
        <v>#REF!</v>
      </c>
      <c r="R12" s="204" t="e">
        <f t="shared" si="1"/>
        <v>#REF!</v>
      </c>
      <c r="S12" s="204" t="e">
        <f t="shared" si="1"/>
        <v>#REF!</v>
      </c>
    </row>
    <row r="13" spans="1:19">
      <c r="A13" t="s">
        <v>500</v>
      </c>
      <c r="C13" s="219" t="e">
        <f>'Data Entry - SOF'!#REF!</f>
        <v>#REF!</v>
      </c>
      <c r="D13" s="219" t="e">
        <f>C13</f>
        <v>#REF!</v>
      </c>
      <c r="E13" s="173"/>
      <c r="F13" s="356" t="e">
        <f>'Data Entry - SOF'!#REF!</f>
        <v>#REF!</v>
      </c>
      <c r="G13" s="356" t="e">
        <f>F13</f>
        <v>#REF!</v>
      </c>
      <c r="H13" s="219" t="e">
        <f>'Data Entry - SOF'!#REF!</f>
        <v>#REF!</v>
      </c>
      <c r="I13" s="219" t="e">
        <f>H13</f>
        <v>#REF!</v>
      </c>
      <c r="J13" s="464" t="e">
        <f>'Data Entry - SOF'!#REF!</f>
        <v>#REF!</v>
      </c>
      <c r="K13" s="464" t="e">
        <f t="shared" si="0"/>
        <v>#REF!</v>
      </c>
      <c r="L13" s="544" t="e">
        <f>'Data Entry - SOF'!#REF!</f>
        <v>#REF!</v>
      </c>
      <c r="M13" s="544" t="e">
        <f t="shared" si="0"/>
        <v>#REF!</v>
      </c>
      <c r="N13" s="602" t="e">
        <f t="shared" si="1"/>
        <v>#REF!</v>
      </c>
      <c r="O13" s="602" t="e">
        <f t="shared" si="1"/>
        <v>#REF!</v>
      </c>
      <c r="P13" s="620" t="e">
        <f t="shared" si="1"/>
        <v>#REF!</v>
      </c>
      <c r="Q13" s="620" t="e">
        <f t="shared" si="1"/>
        <v>#REF!</v>
      </c>
      <c r="R13" s="219" t="e">
        <f t="shared" si="1"/>
        <v>#REF!</v>
      </c>
      <c r="S13" s="219" t="e">
        <f t="shared" si="1"/>
        <v>#REF!</v>
      </c>
    </row>
    <row r="14" spans="1:19">
      <c r="A14" t="s">
        <v>559</v>
      </c>
      <c r="C14" s="219">
        <f>'Ch41 Calc Data'!E10</f>
        <v>0</v>
      </c>
      <c r="D14" s="219">
        <f>C14</f>
        <v>0</v>
      </c>
      <c r="E14" s="173"/>
      <c r="F14" s="356" t="e">
        <f>'Ch41 Calc Data'!#REF!</f>
        <v>#REF!</v>
      </c>
      <c r="G14" s="356" t="e">
        <f>F14</f>
        <v>#REF!</v>
      </c>
      <c r="H14" s="219" t="e">
        <f>'Ch41 Calc Data'!#REF!</f>
        <v>#REF!</v>
      </c>
      <c r="I14" s="219" t="e">
        <f>H14</f>
        <v>#REF!</v>
      </c>
      <c r="J14" s="464" t="e">
        <f>'Ch41 Calc Data'!#REF!</f>
        <v>#REF!</v>
      </c>
      <c r="K14" s="464" t="e">
        <f t="shared" si="0"/>
        <v>#REF!</v>
      </c>
      <c r="L14" s="544" t="e">
        <f>'Ch41 Calc Data'!#REF!</f>
        <v>#REF!</v>
      </c>
      <c r="M14" s="544" t="e">
        <f t="shared" si="0"/>
        <v>#REF!</v>
      </c>
      <c r="N14" s="602" t="e">
        <f>'Ch41 Calc Data'!#REF!</f>
        <v>#REF!</v>
      </c>
      <c r="O14" s="602" t="e">
        <f>N14</f>
        <v>#REF!</v>
      </c>
      <c r="P14" s="620" t="e">
        <f>'Ch41 Calc Data'!#REF!</f>
        <v>#REF!</v>
      </c>
      <c r="Q14" s="620" t="e">
        <f>P14</f>
        <v>#REF!</v>
      </c>
      <c r="R14" s="219">
        <f>'Ch41 Calc Data'!I10</f>
        <v>0</v>
      </c>
      <c r="S14" s="219">
        <f>R14</f>
        <v>0</v>
      </c>
    </row>
    <row r="15" spans="1:19">
      <c r="A15" t="s">
        <v>560</v>
      </c>
      <c r="C15" s="219" t="e">
        <f>IF(C13=0,0,C14/C13)</f>
        <v>#REF!</v>
      </c>
      <c r="D15" s="219" t="e">
        <f>C15</f>
        <v>#REF!</v>
      </c>
      <c r="E15" s="173"/>
      <c r="F15" s="356" t="e">
        <f>IF(F13=0,0,F14/F13)</f>
        <v>#REF!</v>
      </c>
      <c r="G15" s="356" t="e">
        <f>F15</f>
        <v>#REF!</v>
      </c>
      <c r="H15" s="219" t="e">
        <f>IF(H13=0,0,H14/H13)</f>
        <v>#REF!</v>
      </c>
      <c r="I15" s="219" t="e">
        <f>H15</f>
        <v>#REF!</v>
      </c>
      <c r="J15" s="464" t="e">
        <f>IF(J13=0,0,J14/J13)</f>
        <v>#REF!</v>
      </c>
      <c r="K15" s="464" t="e">
        <f t="shared" si="0"/>
        <v>#REF!</v>
      </c>
      <c r="L15" s="544" t="e">
        <f>IF(L13=0,0,L14/L13)</f>
        <v>#REF!</v>
      </c>
      <c r="M15" s="544" t="e">
        <f t="shared" si="0"/>
        <v>#REF!</v>
      </c>
      <c r="N15" s="602" t="e">
        <f>IF(N13=0,0,N14/N13)</f>
        <v>#REF!</v>
      </c>
      <c r="O15" s="602" t="e">
        <f>N15</f>
        <v>#REF!</v>
      </c>
      <c r="P15" s="620" t="e">
        <f>IF(P13=0,0,P14/P13)</f>
        <v>#REF!</v>
      </c>
      <c r="Q15" s="620" t="e">
        <f>P15</f>
        <v>#REF!</v>
      </c>
      <c r="R15" s="219" t="e">
        <f>IF(R13=0,0,R14/R13)</f>
        <v>#REF!</v>
      </c>
      <c r="S15" s="219" t="e">
        <f>R15</f>
        <v>#REF!</v>
      </c>
    </row>
    <row r="16" spans="1:19">
      <c r="A16" t="s">
        <v>2478</v>
      </c>
      <c r="C16" s="204" t="e">
        <f>C12*C15</f>
        <v>#REF!</v>
      </c>
      <c r="D16" s="204" t="e">
        <f>C16</f>
        <v>#REF!</v>
      </c>
      <c r="F16" s="332" t="e">
        <f>F12*F15</f>
        <v>#REF!</v>
      </c>
      <c r="G16" s="332" t="e">
        <f>F16</f>
        <v>#REF!</v>
      </c>
      <c r="H16" s="204" t="e">
        <f>H12*H15</f>
        <v>#REF!</v>
      </c>
      <c r="I16" s="204" t="e">
        <f>H16</f>
        <v>#REF!</v>
      </c>
      <c r="J16" s="466" t="e">
        <f>J12*J15</f>
        <v>#REF!</v>
      </c>
      <c r="K16" s="466" t="e">
        <f t="shared" si="0"/>
        <v>#REF!</v>
      </c>
      <c r="L16" s="546" t="e">
        <f>L12*L15</f>
        <v>#REF!</v>
      </c>
      <c r="M16" s="546" t="e">
        <f t="shared" si="0"/>
        <v>#REF!</v>
      </c>
      <c r="N16" s="606" t="e">
        <f>N12*N15</f>
        <v>#REF!</v>
      </c>
      <c r="O16" s="606" t="e">
        <f>N16</f>
        <v>#REF!</v>
      </c>
      <c r="P16" s="624" t="e">
        <f>P12*P15</f>
        <v>#REF!</v>
      </c>
      <c r="Q16" s="624" t="e">
        <f>P16</f>
        <v>#REF!</v>
      </c>
      <c r="R16" s="204" t="e">
        <f>R12*R15</f>
        <v>#REF!</v>
      </c>
      <c r="S16" s="204" t="e">
        <f>R16</f>
        <v>#REF!</v>
      </c>
    </row>
    <row r="17" spans="1:19">
      <c r="A17" t="s">
        <v>558</v>
      </c>
      <c r="C17" s="204" t="e">
        <f>#REF!</f>
        <v>#REF!</v>
      </c>
      <c r="D17" s="204" t="e">
        <f>#REF!</f>
        <v>#REF!</v>
      </c>
      <c r="F17" s="332" t="e">
        <f>#REF!</f>
        <v>#REF!</v>
      </c>
      <c r="G17" s="332" t="e">
        <f>#REF!</f>
        <v>#REF!</v>
      </c>
      <c r="H17" s="204" t="e">
        <f>#REF!</f>
        <v>#REF!</v>
      </c>
      <c r="I17" s="204" t="e">
        <f>#REF!</f>
        <v>#REF!</v>
      </c>
      <c r="J17" s="466" t="e">
        <f>#REF!</f>
        <v>#REF!</v>
      </c>
      <c r="K17" s="466" t="e">
        <f>#REF!</f>
        <v>#REF!</v>
      </c>
      <c r="L17" s="546" t="e">
        <f>#REF!</f>
        <v>#REF!</v>
      </c>
      <c r="M17" s="546" t="e">
        <f>#REF!</f>
        <v>#REF!</v>
      </c>
      <c r="N17" s="606" t="e">
        <f>M17</f>
        <v>#REF!</v>
      </c>
      <c r="O17" s="606" t="e">
        <f>N17</f>
        <v>#REF!</v>
      </c>
      <c r="P17" s="624" t="e">
        <f>O17</f>
        <v>#REF!</v>
      </c>
      <c r="Q17" s="624" t="e">
        <f>P17</f>
        <v>#REF!</v>
      </c>
      <c r="R17" s="204" t="e">
        <f>Q17</f>
        <v>#REF!</v>
      </c>
      <c r="S17" s="204" t="e">
        <f>R17</f>
        <v>#REF!</v>
      </c>
    </row>
    <row r="18" spans="1:19">
      <c r="A18" t="s">
        <v>2479</v>
      </c>
      <c r="C18" s="204" t="e">
        <f>C16-C17</f>
        <v>#REF!</v>
      </c>
      <c r="D18" s="204" t="e">
        <f>D16-D17</f>
        <v>#REF!</v>
      </c>
      <c r="F18" s="332" t="e">
        <f t="shared" ref="F18:K18" si="2">F16-F17</f>
        <v>#REF!</v>
      </c>
      <c r="G18" s="332" t="e">
        <f t="shared" si="2"/>
        <v>#REF!</v>
      </c>
      <c r="H18" s="204" t="e">
        <f t="shared" si="2"/>
        <v>#REF!</v>
      </c>
      <c r="I18" s="204" t="e">
        <f t="shared" si="2"/>
        <v>#REF!</v>
      </c>
      <c r="J18" s="466" t="e">
        <f t="shared" si="2"/>
        <v>#REF!</v>
      </c>
      <c r="K18" s="466" t="e">
        <f t="shared" si="2"/>
        <v>#REF!</v>
      </c>
      <c r="L18" s="546" t="e">
        <f t="shared" ref="L18:S18" si="3">L16-L17</f>
        <v>#REF!</v>
      </c>
      <c r="M18" s="546" t="e">
        <f t="shared" si="3"/>
        <v>#REF!</v>
      </c>
      <c r="N18" s="606" t="e">
        <f t="shared" si="3"/>
        <v>#REF!</v>
      </c>
      <c r="O18" s="606" t="e">
        <f t="shared" si="3"/>
        <v>#REF!</v>
      </c>
      <c r="P18" s="624" t="e">
        <f t="shared" si="3"/>
        <v>#REF!</v>
      </c>
      <c r="Q18" s="624" t="e">
        <f t="shared" si="3"/>
        <v>#REF!</v>
      </c>
      <c r="R18" s="204" t="e">
        <f t="shared" si="3"/>
        <v>#REF!</v>
      </c>
      <c r="S18" s="204" t="e">
        <f t="shared" si="3"/>
        <v>#REF!</v>
      </c>
    </row>
    <row r="19" spans="1:19">
      <c r="A19" t="s">
        <v>1283</v>
      </c>
      <c r="C19" s="219" t="e">
        <f>IF('Data Entry - SOF'!#REF!=0,0,('Data Entry - SOF'!#REF!/'Data Entry - SOF'!#REF!)+0.0082)</f>
        <v>#REF!</v>
      </c>
      <c r="D19" s="219" t="e">
        <f>C19</f>
        <v>#REF!</v>
      </c>
      <c r="E19" s="173"/>
      <c r="F19" s="356" t="e">
        <f>IF('Data Entry - SOF'!#REF!=0,0,('Data Entry - SOF'!#REF!/'Data Entry - SOF'!#REF!)+0.0082)</f>
        <v>#REF!</v>
      </c>
      <c r="G19" s="356" t="e">
        <f>F19</f>
        <v>#REF!</v>
      </c>
      <c r="H19" s="219" t="e">
        <f>IF('Data Entry - SOF'!#REF!=0,0,('Data Entry - SOF'!#REF!/'Data Entry - SOF'!#REF!)+0.0082)</f>
        <v>#REF!</v>
      </c>
      <c r="I19" s="219" t="e">
        <f>H19</f>
        <v>#REF!</v>
      </c>
      <c r="J19" s="464" t="e">
        <f>IF('Data Entry - SOF'!#REF!=0,0,('Data Entry - SOF'!#REF!/'Data Entry - SOF'!#REF!)+0.0082)</f>
        <v>#REF!</v>
      </c>
      <c r="K19" s="464" t="e">
        <f>J19</f>
        <v>#REF!</v>
      </c>
      <c r="L19" s="544" t="e">
        <f>IF('Data Entry - SOF'!#REF!=0,0,('Data Entry - SOF'!#REF!/'Data Entry - SOF'!#REF!)+0.0082)</f>
        <v>#REF!</v>
      </c>
      <c r="M19" s="544" t="e">
        <f t="shared" ref="M19:S19" si="4">L19</f>
        <v>#REF!</v>
      </c>
      <c r="N19" s="602" t="e">
        <f t="shared" si="4"/>
        <v>#REF!</v>
      </c>
      <c r="O19" s="602" t="e">
        <f t="shared" si="4"/>
        <v>#REF!</v>
      </c>
      <c r="P19" s="620" t="e">
        <f t="shared" si="4"/>
        <v>#REF!</v>
      </c>
      <c r="Q19" s="620" t="e">
        <f t="shared" si="4"/>
        <v>#REF!</v>
      </c>
      <c r="R19" s="219" t="e">
        <f t="shared" si="4"/>
        <v>#REF!</v>
      </c>
      <c r="S19" s="219" t="e">
        <f t="shared" si="4"/>
        <v>#REF!</v>
      </c>
    </row>
    <row r="20" spans="1:19">
      <c r="A20" t="s">
        <v>1111</v>
      </c>
      <c r="C20" s="219" t="e">
        <f>IF(C19&gt;0.015,C19,0.015)</f>
        <v>#REF!</v>
      </c>
      <c r="D20" s="219" t="e">
        <f>IF(D19&gt;0.015,D19,0.015)</f>
        <v>#REF!</v>
      </c>
      <c r="E20" s="173"/>
      <c r="F20" s="356" t="e">
        <f t="shared" ref="F20:K20" si="5">IF(F19&gt;0.015,F19,0.015)</f>
        <v>#REF!</v>
      </c>
      <c r="G20" s="356" t="e">
        <f t="shared" si="5"/>
        <v>#REF!</v>
      </c>
      <c r="H20" s="219" t="e">
        <f t="shared" si="5"/>
        <v>#REF!</v>
      </c>
      <c r="I20" s="219" t="e">
        <f t="shared" si="5"/>
        <v>#REF!</v>
      </c>
      <c r="J20" s="464" t="e">
        <f t="shared" si="5"/>
        <v>#REF!</v>
      </c>
      <c r="K20" s="464" t="e">
        <f t="shared" si="5"/>
        <v>#REF!</v>
      </c>
      <c r="L20" s="544" t="e">
        <f t="shared" ref="L20:S20" si="6">IF(L19&gt;0.015,L19,0.015)</f>
        <v>#REF!</v>
      </c>
      <c r="M20" s="544" t="e">
        <f t="shared" si="6"/>
        <v>#REF!</v>
      </c>
      <c r="N20" s="602" t="e">
        <f t="shared" si="6"/>
        <v>#REF!</v>
      </c>
      <c r="O20" s="602" t="e">
        <f t="shared" si="6"/>
        <v>#REF!</v>
      </c>
      <c r="P20" s="620" t="e">
        <f t="shared" si="6"/>
        <v>#REF!</v>
      </c>
      <c r="Q20" s="620" t="e">
        <f t="shared" si="6"/>
        <v>#REF!</v>
      </c>
      <c r="R20" s="219" t="e">
        <f t="shared" si="6"/>
        <v>#REF!</v>
      </c>
      <c r="S20" s="219" t="e">
        <f t="shared" si="6"/>
        <v>#REF!</v>
      </c>
    </row>
    <row r="22" spans="1:19" ht="15.75">
      <c r="A22" s="38" t="s">
        <v>1284</v>
      </c>
    </row>
    <row r="23" spans="1:19">
      <c r="A23" t="s">
        <v>2150</v>
      </c>
      <c r="C23" s="204">
        <f>'Ch41 Calc Data'!E10*364500</f>
        <v>0</v>
      </c>
      <c r="D23" s="204">
        <f>C23</f>
        <v>0</v>
      </c>
      <c r="F23" s="332" t="e">
        <f>'Ch41 Calc Data'!#REF!*374200</f>
        <v>#REF!</v>
      </c>
      <c r="G23" s="332" t="e">
        <f>F23</f>
        <v>#REF!</v>
      </c>
      <c r="H23" s="204" t="e">
        <f>'Ch41 Calc Data'!#REF!*374200</f>
        <v>#REF!</v>
      </c>
      <c r="I23" s="204" t="e">
        <f>H23</f>
        <v>#REF!</v>
      </c>
      <c r="J23" s="466" t="e">
        <f>'Ch41 Calc Data'!#REF!*Assumptions!C21</f>
        <v>#REF!</v>
      </c>
      <c r="K23" s="466" t="e">
        <f>J23</f>
        <v>#REF!</v>
      </c>
      <c r="L23" s="546" t="e">
        <f>'Ch41 Calc Data'!#REF!*Assumptions!C30</f>
        <v>#REF!</v>
      </c>
      <c r="M23" s="546" t="e">
        <f>L23</f>
        <v>#REF!</v>
      </c>
      <c r="N23" s="606" t="e">
        <f>'Ch41 Calc Data'!#REF!*Assumptions!C40</f>
        <v>#REF!</v>
      </c>
      <c r="O23" s="606" t="e">
        <f>N23</f>
        <v>#REF!</v>
      </c>
      <c r="P23" s="624" t="e">
        <f>'Ch41 Calc Data'!#REF!*Assumptions!C50</f>
        <v>#REF!</v>
      </c>
      <c r="Q23" s="624" t="e">
        <f>P23</f>
        <v>#REF!</v>
      </c>
      <c r="R23" s="204">
        <f>'Ch41 Calc Data'!I10*Assumptions!C59</f>
        <v>0</v>
      </c>
      <c r="S23" s="204">
        <f>R23</f>
        <v>0</v>
      </c>
    </row>
    <row r="25" spans="1:19" ht="15.75">
      <c r="A25" s="38" t="s">
        <v>2390</v>
      </c>
    </row>
    <row r="26" spans="1:19">
      <c r="A26" t="s">
        <v>2742</v>
      </c>
      <c r="C26" s="204" t="e">
        <f>C18/C20</f>
        <v>#REF!</v>
      </c>
      <c r="D26" s="204" t="e">
        <f>D18/D20</f>
        <v>#REF!</v>
      </c>
      <c r="F26" s="332" t="e">
        <f t="shared" ref="F26:K26" si="7">F18/F20</f>
        <v>#REF!</v>
      </c>
      <c r="G26" s="332" t="e">
        <f t="shared" si="7"/>
        <v>#REF!</v>
      </c>
      <c r="H26" s="204" t="e">
        <f t="shared" si="7"/>
        <v>#REF!</v>
      </c>
      <c r="I26" s="204" t="e">
        <f t="shared" si="7"/>
        <v>#REF!</v>
      </c>
      <c r="J26" s="466" t="e">
        <f t="shared" si="7"/>
        <v>#REF!</v>
      </c>
      <c r="K26" s="466" t="e">
        <f t="shared" si="7"/>
        <v>#REF!</v>
      </c>
      <c r="L26" s="546" t="e">
        <f t="shared" ref="L26:S26" si="8">L18/L20</f>
        <v>#REF!</v>
      </c>
      <c r="M26" s="546" t="e">
        <f t="shared" si="8"/>
        <v>#REF!</v>
      </c>
      <c r="N26" s="606" t="e">
        <f t="shared" si="8"/>
        <v>#REF!</v>
      </c>
      <c r="O26" s="606" t="e">
        <f t="shared" si="8"/>
        <v>#REF!</v>
      </c>
      <c r="P26" s="624" t="e">
        <f t="shared" si="8"/>
        <v>#REF!</v>
      </c>
      <c r="Q26" s="624" t="e">
        <f t="shared" si="8"/>
        <v>#REF!</v>
      </c>
      <c r="R26" s="204" t="e">
        <f t="shared" si="8"/>
        <v>#REF!</v>
      </c>
      <c r="S26" s="204" t="e">
        <f t="shared" si="8"/>
        <v>#REF!</v>
      </c>
    </row>
    <row r="27" spans="1:19">
      <c r="A27" t="s">
        <v>2743</v>
      </c>
      <c r="C27" s="204" t="e">
        <f>C26/'Ch41 Calc Data'!E10</f>
        <v>#REF!</v>
      </c>
      <c r="D27" s="204" t="e">
        <f>D26/'Ch41 Calc Data'!E10</f>
        <v>#REF!</v>
      </c>
      <c r="F27" s="332" t="e">
        <f>F26/'Ch41 Calc Data'!#REF!</f>
        <v>#REF!</v>
      </c>
      <c r="G27" s="332" t="e">
        <f>G26/'Ch41 Calc Data'!#REF!</f>
        <v>#REF!</v>
      </c>
      <c r="H27" s="204" t="e">
        <f>H26/'Ch41 Calc Data'!#REF!</f>
        <v>#REF!</v>
      </c>
      <c r="I27" s="204" t="e">
        <f>I26/'Ch41 Calc Data'!#REF!</f>
        <v>#REF!</v>
      </c>
      <c r="J27" s="466" t="e">
        <f>J26/'Ch41 Calc Data'!#REF!</f>
        <v>#REF!</v>
      </c>
      <c r="K27" s="466" t="e">
        <f>K26/'Ch41 Calc Data'!#REF!</f>
        <v>#REF!</v>
      </c>
      <c r="L27" s="546" t="e">
        <f>L26/'Ch41 Calc Data'!#REF!</f>
        <v>#REF!</v>
      </c>
      <c r="M27" s="546" t="e">
        <f>M26/'Ch41 Calc Data'!#REF!</f>
        <v>#REF!</v>
      </c>
      <c r="N27" s="606" t="e">
        <f>N26/'Ch41 Calc Data'!#REF!</f>
        <v>#REF!</v>
      </c>
      <c r="O27" s="606" t="e">
        <f>O26/'Ch41 Calc Data'!#REF!</f>
        <v>#REF!</v>
      </c>
      <c r="P27" s="624" t="e">
        <f>P26/'Ch41 Calc Data'!#REF!</f>
        <v>#REF!</v>
      </c>
      <c r="Q27" s="624" t="e">
        <f>Q26/'Ch41 Calc Data'!#REF!</f>
        <v>#REF!</v>
      </c>
      <c r="R27" s="204" t="e">
        <f>R26/'Ch41 Calc Data'!I10</f>
        <v>#REF!</v>
      </c>
      <c r="S27" s="204" t="e">
        <f>S26/'Ch41 Calc Data'!I10</f>
        <v>#REF!</v>
      </c>
    </row>
    <row r="28" spans="1:19">
      <c r="A28" t="s">
        <v>2039</v>
      </c>
      <c r="C28" s="204" t="e">
        <f>C27*((0.3017857*('Data Entry - SOF'!#REF!/1.17))+1)</f>
        <v>#REF!</v>
      </c>
      <c r="D28" s="204" t="e">
        <f>D27*((0.3017857*('Data Entry - SOF'!#REF!/1.17))+1)</f>
        <v>#REF!</v>
      </c>
      <c r="F28" s="332" t="e">
        <f>F27*((0.3364286*('Data Entry - SOF'!#REF!/1.17))+1)</f>
        <v>#REF!</v>
      </c>
      <c r="G28" s="332" t="e">
        <f>G27*((0.3364286*('Data Entry - SOF'!#REF!/1.17))+1)</f>
        <v>#REF!</v>
      </c>
      <c r="H28" s="204" t="e">
        <f>H27*((0.3364286*('Data Entry - SOF'!#REF!/1.17))+1)</f>
        <v>#REF!</v>
      </c>
      <c r="I28" s="204" t="e">
        <f>I27*((0.3364286*('Data Entry - SOF'!#REF!/1.17))+1)</f>
        <v>#REF!</v>
      </c>
      <c r="J28" s="466" t="e">
        <f>J27*((0.5335714286*('Data Entry - SOF'!#REF!/1.17))+1)</f>
        <v>#REF!</v>
      </c>
      <c r="K28" s="466" t="e">
        <f>K27*((0.5335714286*('Data Entry - SOF'!#REF!/1.17))+1)</f>
        <v>#REF!</v>
      </c>
      <c r="L28" s="546" t="e">
        <f>L27*((0.592142857*('Data Entry - SOF'!#REF!/1.17))+1)</f>
        <v>#REF!</v>
      </c>
      <c r="M28" s="546" t="e">
        <f>M27*((0.592142857*('Data Entry - SOF'!#REF!/1.17))+1)</f>
        <v>#REF!</v>
      </c>
      <c r="N28" s="606" t="e">
        <f>N27*((0.592142857*('Data Entry - SOF'!#REF!/1.17))+1)</f>
        <v>#REF!</v>
      </c>
      <c r="O28" s="606" t="e">
        <f>O27*((0.592142857*('Data Entry - SOF'!#REF!/1.17))+1)</f>
        <v>#REF!</v>
      </c>
      <c r="P28" s="624" t="e">
        <f>P27*((0.592142857*('Data Entry - SOF'!#REF!/1.17))+1)</f>
        <v>#REF!</v>
      </c>
      <c r="Q28" s="624" t="e">
        <f>Q27*((0.592142857*('Data Entry - SOF'!#REF!/1.17))+1)</f>
        <v>#REF!</v>
      </c>
      <c r="R28" s="204" t="e">
        <f>R27*((0.592142857*('Data Entry - SOF'!#REF!/1.17))+1)</f>
        <v>#REF!</v>
      </c>
      <c r="S28" s="204" t="e">
        <f>S27*((0.592142857*('Data Entry - SOF'!#REF!/1.17))+1)</f>
        <v>#REF!</v>
      </c>
    </row>
    <row r="29" spans="1:19">
      <c r="A29" t="s">
        <v>905</v>
      </c>
      <c r="C29" s="204" t="e">
        <f>C28*'Ch41 Calc Data'!E10</f>
        <v>#REF!</v>
      </c>
      <c r="D29" s="204" t="e">
        <f>D28*'Ch41 Calc Data'!E10</f>
        <v>#REF!</v>
      </c>
      <c r="F29" s="332" t="e">
        <f>F28*'Ch41 Calc Data'!#REF!</f>
        <v>#REF!</v>
      </c>
      <c r="G29" s="332" t="e">
        <f>G28*'Ch41 Calc Data'!#REF!</f>
        <v>#REF!</v>
      </c>
      <c r="H29" s="204" t="e">
        <f>H28*'Ch41 Calc Data'!#REF!</f>
        <v>#REF!</v>
      </c>
      <c r="I29" s="204" t="e">
        <f>I28*'Ch41 Calc Data'!#REF!</f>
        <v>#REF!</v>
      </c>
      <c r="J29" s="466" t="e">
        <f>J28*'Ch41 Calc Data'!#REF!</f>
        <v>#REF!</v>
      </c>
      <c r="K29" s="466" t="e">
        <f>K28*'Ch41 Calc Data'!#REF!</f>
        <v>#REF!</v>
      </c>
      <c r="L29" s="546" t="e">
        <f>L28*'Ch41 Calc Data'!#REF!</f>
        <v>#REF!</v>
      </c>
      <c r="M29" s="546" t="e">
        <f>M28*'Ch41 Calc Data'!#REF!</f>
        <v>#REF!</v>
      </c>
      <c r="N29" s="606" t="e">
        <f>N28*'Ch41 Calc Data'!#REF!</f>
        <v>#REF!</v>
      </c>
      <c r="O29" s="606" t="e">
        <f>O28*'Ch41 Calc Data'!#REF!</f>
        <v>#REF!</v>
      </c>
      <c r="P29" s="624" t="e">
        <f>P28*'Ch41 Calc Data'!#REF!</f>
        <v>#REF!</v>
      </c>
      <c r="Q29" s="624" t="e">
        <f>Q28*'Ch41 Calc Data'!#REF!</f>
        <v>#REF!</v>
      </c>
      <c r="R29" s="204" t="e">
        <f>R28*'Ch41 Calc Data'!I10</f>
        <v>#REF!</v>
      </c>
      <c r="S29" s="204" t="e">
        <f>S28*'Ch41 Calc Data'!I10</f>
        <v>#REF!</v>
      </c>
    </row>
    <row r="31" spans="1:19" ht="15.75">
      <c r="A31" s="38" t="s">
        <v>1420</v>
      </c>
    </row>
    <row r="32" spans="1:19">
      <c r="A32" t="s">
        <v>1421</v>
      </c>
      <c r="C32" s="204" t="e">
        <f>IF(C29&gt;C23,C29,C23)</f>
        <v>#REF!</v>
      </c>
      <c r="D32" s="204" t="e">
        <f>IF(D29&gt;D23,D29,D23)</f>
        <v>#REF!</v>
      </c>
      <c r="F32" s="332" t="e">
        <f t="shared" ref="F32:K32" si="9">IF(F29&gt;F23,F29,F23)</f>
        <v>#REF!</v>
      </c>
      <c r="G32" s="332" t="e">
        <f t="shared" si="9"/>
        <v>#REF!</v>
      </c>
      <c r="H32" s="204" t="e">
        <f t="shared" si="9"/>
        <v>#REF!</v>
      </c>
      <c r="I32" s="204" t="e">
        <f t="shared" si="9"/>
        <v>#REF!</v>
      </c>
      <c r="J32" s="466" t="e">
        <f t="shared" si="9"/>
        <v>#REF!</v>
      </c>
      <c r="K32" s="466" t="e">
        <f t="shared" si="9"/>
        <v>#REF!</v>
      </c>
      <c r="L32" s="546" t="e">
        <f t="shared" ref="L32:S32" si="10">IF(L29&gt;L23,L29,L23)</f>
        <v>#REF!</v>
      </c>
      <c r="M32" s="546" t="e">
        <f t="shared" si="10"/>
        <v>#REF!</v>
      </c>
      <c r="N32" s="606" t="e">
        <f t="shared" si="10"/>
        <v>#REF!</v>
      </c>
      <c r="O32" s="606" t="e">
        <f t="shared" si="10"/>
        <v>#REF!</v>
      </c>
      <c r="P32" s="624" t="e">
        <f t="shared" si="10"/>
        <v>#REF!</v>
      </c>
      <c r="Q32" s="624" t="e">
        <f t="shared" si="10"/>
        <v>#REF!</v>
      </c>
      <c r="R32" s="204" t="e">
        <f t="shared" si="10"/>
        <v>#REF!</v>
      </c>
      <c r="S32" s="204" t="e">
        <f t="shared" si="10"/>
        <v>#REF!</v>
      </c>
    </row>
    <row r="33" spans="1:19">
      <c r="A33" t="s">
        <v>545</v>
      </c>
      <c r="C33" s="204" t="e">
        <f>IF('Data Entry - SOF'!#REF!-C32&lt;0,0,'Data Entry - SOF'!#REF!-C32)</f>
        <v>#REF!</v>
      </c>
      <c r="D33" s="204" t="e">
        <f>IF('Data Entry - SOF'!#REF!-D32&lt;0,0,'Data Entry - SOF'!#REF!-D32)</f>
        <v>#REF!</v>
      </c>
      <c r="F33" s="332" t="e">
        <f>IF('Data Entry - SOF'!#REF!-F32&lt;0,0,'Data Entry - SOF'!#REF!-F32)</f>
        <v>#REF!</v>
      </c>
      <c r="G33" s="332" t="e">
        <f>IF('Data Entry - SOF'!#REF!-G32&lt;0,0,'Data Entry - SOF'!#REF!-G32)</f>
        <v>#REF!</v>
      </c>
      <c r="H33" s="204" t="e">
        <f>IF('Data Entry - SOF'!#REF!-H32&lt;0,0,'Data Entry - SOF'!#REF!-H32)</f>
        <v>#REF!</v>
      </c>
      <c r="I33" s="204" t="e">
        <f>IF('Data Entry - SOF'!#REF!-I32&lt;0,0,'Data Entry - SOF'!#REF!-I32)</f>
        <v>#REF!</v>
      </c>
      <c r="J33" s="466" t="e">
        <f>IF('Data Entry - SOF'!#REF!-J32&lt;0,0,'Data Entry - SOF'!#REF!-J32)</f>
        <v>#REF!</v>
      </c>
      <c r="K33" s="466" t="e">
        <f>IF('Data Entry - SOF'!#REF!-K32&lt;0,0,'Data Entry - SOF'!#REF!-K32)</f>
        <v>#REF!</v>
      </c>
      <c r="L33" s="546" t="e">
        <f>IF('Data Entry - SOF'!#REF!-L32&lt;0,0,'Data Entry - SOF'!#REF!-L32)</f>
        <v>#REF!</v>
      </c>
      <c r="M33" s="546" t="e">
        <f>IF('Data Entry - SOF'!#REF!-M32&lt;0,0,'Data Entry - SOF'!#REF!-M32)</f>
        <v>#REF!</v>
      </c>
      <c r="N33" s="606" t="e">
        <f>IF('Data Entry - SOF'!#REF!-N32&lt;0,0,'Data Entry - SOF'!#REF!-N32)</f>
        <v>#REF!</v>
      </c>
      <c r="O33" s="606" t="e">
        <f>IF('Data Entry - SOF'!#REF!-O32&lt;0,0,'Data Entry - SOF'!#REF!-O32)</f>
        <v>#REF!</v>
      </c>
      <c r="P33" s="624" t="e">
        <f>IF('Data Entry - SOF'!#REF!-P32&lt;0,0,'Data Entry - SOF'!#REF!-P32)</f>
        <v>#REF!</v>
      </c>
      <c r="Q33" s="624" t="e">
        <f>IF('Data Entry - SOF'!#REF!-Q32&lt;0,0,'Data Entry - SOF'!#REF!-Q32)</f>
        <v>#REF!</v>
      </c>
      <c r="R33" s="204" t="e">
        <f>IF('Data Entry - SOF'!#REF!-R32&lt;0,0,'Data Entry - SOF'!#REF!-R32)</f>
        <v>#REF!</v>
      </c>
      <c r="S33" s="204" t="e">
        <f>IF('Data Entry - SOF'!#REF!-S32&lt;0,0,'Data Entry - SOF'!#REF!-S32)</f>
        <v>#REF!</v>
      </c>
    </row>
    <row r="34" spans="1:19">
      <c r="A34" t="s">
        <v>2393</v>
      </c>
      <c r="C34" s="219" t="e">
        <f>C33/'Data Entry - SOF'!#REF!</f>
        <v>#REF!</v>
      </c>
      <c r="D34" s="219" t="e">
        <f>D33/'Data Entry - SOF'!#REF!</f>
        <v>#REF!</v>
      </c>
      <c r="E34" s="173"/>
      <c r="F34" s="356" t="e">
        <f>F33/'Data Entry - SOF'!#REF!</f>
        <v>#REF!</v>
      </c>
      <c r="G34" s="356" t="e">
        <f>G33/'Data Entry - SOF'!#REF!</f>
        <v>#REF!</v>
      </c>
      <c r="H34" s="219" t="e">
        <f>H33/'Data Entry - SOF'!#REF!</f>
        <v>#REF!</v>
      </c>
      <c r="I34" s="219" t="e">
        <f>I33/'Data Entry - SOF'!#REF!</f>
        <v>#REF!</v>
      </c>
      <c r="J34" s="464" t="e">
        <f>J33/'Data Entry - SOF'!#REF!</f>
        <v>#REF!</v>
      </c>
      <c r="K34" s="464" t="e">
        <f>K33/'Data Entry - SOF'!#REF!</f>
        <v>#REF!</v>
      </c>
      <c r="L34" s="544" t="e">
        <f>L33/'Data Entry - SOF'!#REF!</f>
        <v>#REF!</v>
      </c>
      <c r="M34" s="544" t="e">
        <f>M33/'Data Entry - SOF'!#REF!</f>
        <v>#REF!</v>
      </c>
      <c r="N34" s="602" t="e">
        <f>N33/'Data Entry - SOF'!#REF!</f>
        <v>#REF!</v>
      </c>
      <c r="O34" s="602" t="e">
        <f>O33/'Data Entry - SOF'!#REF!</f>
        <v>#REF!</v>
      </c>
      <c r="P34" s="620" t="e">
        <f>P33/'Data Entry - SOF'!#REF!</f>
        <v>#REF!</v>
      </c>
      <c r="Q34" s="620" t="e">
        <f>Q33/'Data Entry - SOF'!#REF!</f>
        <v>#REF!</v>
      </c>
      <c r="R34" s="219" t="e">
        <f>R33/'Data Entry - SOF'!#REF!</f>
        <v>#REF!</v>
      </c>
      <c r="S34" s="219" t="e">
        <f>S33/'Data Entry - SOF'!#REF!</f>
        <v>#REF!</v>
      </c>
    </row>
    <row r="36" spans="1:19" ht="15.75">
      <c r="A36" s="38" t="s">
        <v>2394</v>
      </c>
    </row>
    <row r="37" spans="1:19">
      <c r="A37" t="s">
        <v>1033</v>
      </c>
      <c r="C37" s="218" t="e">
        <f>'Calc Data'!#REF!</f>
        <v>#REF!</v>
      </c>
      <c r="D37" s="218" t="e">
        <f>C37</f>
        <v>#REF!</v>
      </c>
      <c r="F37" s="350">
        <f>'Calc Data'!D33</f>
        <v>0</v>
      </c>
      <c r="G37" s="350">
        <f>F37</f>
        <v>0</v>
      </c>
      <c r="H37" s="218" t="e">
        <f>'Calc Data'!E33</f>
        <v>#REF!</v>
      </c>
      <c r="I37" s="218" t="e">
        <f>H37</f>
        <v>#REF!</v>
      </c>
      <c r="J37" s="470" t="e">
        <f>'Calc Data'!H33</f>
        <v>#REF!</v>
      </c>
      <c r="K37" s="470" t="e">
        <f>J37</f>
        <v>#REF!</v>
      </c>
      <c r="L37" s="550" t="e">
        <f>'Calc Data'!I33</f>
        <v>#REF!</v>
      </c>
      <c r="M37" s="550" t="e">
        <f>L37</f>
        <v>#REF!</v>
      </c>
      <c r="N37" s="610" t="e">
        <f>'Calc Data'!J33</f>
        <v>#REF!</v>
      </c>
      <c r="O37" s="610" t="e">
        <f>N37</f>
        <v>#REF!</v>
      </c>
      <c r="P37" s="628" t="e">
        <f>'Calc Data'!K33</f>
        <v>#REF!</v>
      </c>
      <c r="Q37" s="628" t="e">
        <f>P37</f>
        <v>#REF!</v>
      </c>
      <c r="R37" s="218" t="e">
        <f>'Calc Data'!L33</f>
        <v>#REF!</v>
      </c>
      <c r="S37" s="218" t="e">
        <f>R37</f>
        <v>#REF!</v>
      </c>
    </row>
    <row r="38" spans="1:19">
      <c r="A38" t="s">
        <v>2377</v>
      </c>
      <c r="C38" s="218" t="e">
        <f>'Option Costs'!C40</f>
        <v>#REF!</v>
      </c>
      <c r="D38" s="218" t="e">
        <f>C38</f>
        <v>#REF!</v>
      </c>
      <c r="F38" s="350">
        <f>'Calc Data'!D40</f>
        <v>0</v>
      </c>
      <c r="G38" s="350">
        <f>F38</f>
        <v>0</v>
      </c>
      <c r="H38" s="218" t="e">
        <f>'Calc Data'!E40</f>
        <v>#REF!</v>
      </c>
      <c r="I38" s="218" t="e">
        <f>H38</f>
        <v>#REF!</v>
      </c>
      <c r="J38" s="470" t="e">
        <f>'Calc Data'!H40</f>
        <v>#REF!</v>
      </c>
      <c r="K38" s="470" t="e">
        <f>J38</f>
        <v>#REF!</v>
      </c>
      <c r="L38" s="550" t="e">
        <f>'Calc Data'!I40</f>
        <v>#REF!</v>
      </c>
      <c r="M38" s="550" t="e">
        <f>L38</f>
        <v>#REF!</v>
      </c>
      <c r="N38" s="610" t="e">
        <f>'Calc Data'!J40</f>
        <v>#REF!</v>
      </c>
      <c r="O38" s="610" t="e">
        <f>N38</f>
        <v>#REF!</v>
      </c>
      <c r="P38" s="628" t="e">
        <f>'Calc Data'!K40</f>
        <v>#REF!</v>
      </c>
      <c r="Q38" s="628" t="e">
        <f>P38</f>
        <v>#REF!</v>
      </c>
      <c r="R38" s="218" t="e">
        <f>'Calc Data'!L40</f>
        <v>#REF!</v>
      </c>
      <c r="S38" s="218" t="e">
        <f>R38</f>
        <v>#REF!</v>
      </c>
    </row>
    <row r="39" spans="1:19">
      <c r="A39" t="s">
        <v>1343</v>
      </c>
      <c r="C39" s="218" t="e">
        <f>C37+C38</f>
        <v>#REF!</v>
      </c>
      <c r="D39" s="218" t="e">
        <f>C39</f>
        <v>#REF!</v>
      </c>
      <c r="F39" s="350">
        <f>F37+F38</f>
        <v>0</v>
      </c>
      <c r="G39" s="350">
        <f>F39</f>
        <v>0</v>
      </c>
      <c r="H39" s="218" t="e">
        <f>H37+H38</f>
        <v>#REF!</v>
      </c>
      <c r="I39" s="218" t="e">
        <f>H39</f>
        <v>#REF!</v>
      </c>
      <c r="J39" s="470" t="e">
        <f>J37+J38</f>
        <v>#REF!</v>
      </c>
      <c r="K39" s="470" t="e">
        <f>J39</f>
        <v>#REF!</v>
      </c>
      <c r="L39" s="550" t="e">
        <f>L37+L38</f>
        <v>#REF!</v>
      </c>
      <c r="M39" s="550" t="e">
        <f>L39</f>
        <v>#REF!</v>
      </c>
      <c r="N39" s="610" t="e">
        <f>N37+N38</f>
        <v>#REF!</v>
      </c>
      <c r="O39" s="610" t="e">
        <f>N39</f>
        <v>#REF!</v>
      </c>
      <c r="P39" s="628" t="e">
        <f>P37+P38</f>
        <v>#REF!</v>
      </c>
      <c r="Q39" s="628" t="e">
        <f>P39</f>
        <v>#REF!</v>
      </c>
      <c r="R39" s="218" t="e">
        <f>R37+R38</f>
        <v>#REF!</v>
      </c>
      <c r="S39" s="218" t="e">
        <f>R39</f>
        <v>#REF!</v>
      </c>
    </row>
    <row r="40" spans="1:19">
      <c r="A40" t="s">
        <v>2395</v>
      </c>
      <c r="C40" s="204" t="e">
        <f>C34*(C39-'Data Entry - SOF'!#REF!)</f>
        <v>#REF!</v>
      </c>
      <c r="D40" s="204" t="e">
        <f>D34*(D39-'Data Entry - SOF'!#REF!)</f>
        <v>#REF!</v>
      </c>
      <c r="F40" s="332" t="e">
        <f t="shared" ref="F40:K40" si="11">F34*F39</f>
        <v>#REF!</v>
      </c>
      <c r="G40" s="332" t="e">
        <f t="shared" si="11"/>
        <v>#REF!</v>
      </c>
      <c r="H40" s="204" t="e">
        <f t="shared" si="11"/>
        <v>#REF!</v>
      </c>
      <c r="I40" s="204" t="e">
        <f t="shared" si="11"/>
        <v>#REF!</v>
      </c>
      <c r="J40" s="466" t="e">
        <f t="shared" si="11"/>
        <v>#REF!</v>
      </c>
      <c r="K40" s="466" t="e">
        <f t="shared" si="11"/>
        <v>#REF!</v>
      </c>
      <c r="L40" s="546" t="e">
        <f t="shared" ref="L40:S40" si="12">L34*L39</f>
        <v>#REF!</v>
      </c>
      <c r="M40" s="546" t="e">
        <f t="shared" si="12"/>
        <v>#REF!</v>
      </c>
      <c r="N40" s="606" t="e">
        <f t="shared" si="12"/>
        <v>#REF!</v>
      </c>
      <c r="O40" s="606" t="e">
        <f t="shared" si="12"/>
        <v>#REF!</v>
      </c>
      <c r="P40" s="624" t="e">
        <f t="shared" si="12"/>
        <v>#REF!</v>
      </c>
      <c r="Q40" s="624" t="e">
        <f t="shared" si="12"/>
        <v>#REF!</v>
      </c>
      <c r="R40" s="204" t="e">
        <f t="shared" si="12"/>
        <v>#REF!</v>
      </c>
      <c r="S40" s="204" t="e">
        <f t="shared" si="12"/>
        <v>#REF!</v>
      </c>
    </row>
    <row r="42" spans="1:19">
      <c r="A42" s="166" t="s">
        <v>2151</v>
      </c>
      <c r="B42" s="417"/>
      <c r="C42" s="221" t="e">
        <f>D40</f>
        <v>#REF!</v>
      </c>
      <c r="D42" s="181"/>
      <c r="F42" s="335" t="e">
        <f>G40</f>
        <v>#REF!</v>
      </c>
      <c r="G42" s="351"/>
      <c r="H42" s="221" t="e">
        <f>I40</f>
        <v>#REF!</v>
      </c>
      <c r="I42" s="181"/>
      <c r="J42" s="471" t="e">
        <f>K40</f>
        <v>#REF!</v>
      </c>
      <c r="K42" s="462"/>
      <c r="L42" s="551" t="e">
        <f>M40</f>
        <v>#REF!</v>
      </c>
      <c r="M42" s="532"/>
      <c r="N42" s="611" t="e">
        <f>O40</f>
        <v>#REF!</v>
      </c>
      <c r="O42" s="603"/>
      <c r="P42" s="629" t="e">
        <f>Q40</f>
        <v>#REF!</v>
      </c>
      <c r="Q42" s="621"/>
      <c r="R42" s="221" t="e">
        <f>S40</f>
        <v>#REF!</v>
      </c>
      <c r="S42" s="181"/>
    </row>
    <row r="43" spans="1:19">
      <c r="A43" s="136" t="s">
        <v>2643</v>
      </c>
      <c r="B43" s="418"/>
      <c r="C43" s="221" t="e">
        <f>C40</f>
        <v>#REF!</v>
      </c>
      <c r="D43" s="181"/>
      <c r="F43" s="335" t="e">
        <f>F40</f>
        <v>#REF!</v>
      </c>
      <c r="G43" s="351"/>
      <c r="H43" s="221" t="e">
        <f>H40</f>
        <v>#REF!</v>
      </c>
      <c r="I43" s="181"/>
      <c r="J43" s="471" t="e">
        <f>J40</f>
        <v>#REF!</v>
      </c>
      <c r="K43" s="462"/>
      <c r="L43" s="551" t="e">
        <f>L40</f>
        <v>#REF!</v>
      </c>
      <c r="M43" s="532"/>
      <c r="N43" s="611" t="e">
        <f>N40</f>
        <v>#REF!</v>
      </c>
      <c r="O43" s="603"/>
      <c r="P43" s="629" t="e">
        <f>P40</f>
        <v>#REF!</v>
      </c>
      <c r="Q43" s="621"/>
      <c r="R43" s="221" t="e">
        <f>R40</f>
        <v>#REF!</v>
      </c>
      <c r="S43" s="181"/>
    </row>
    <row r="44" spans="1:19">
      <c r="A44" s="167" t="s">
        <v>854</v>
      </c>
      <c r="B44" s="419"/>
      <c r="C44" s="234" t="e">
        <f>IF(C42-C43&gt;0,0,C42-C43)</f>
        <v>#REF!</v>
      </c>
      <c r="D44" s="181"/>
      <c r="F44" s="334" t="e">
        <f>IF(F42-F43&gt;0,0,F42-F43)</f>
        <v>#REF!</v>
      </c>
      <c r="G44" s="351"/>
      <c r="H44" s="234" t="e">
        <f>IF(H42-H43&gt;0,0,H42-H43)</f>
        <v>#REF!</v>
      </c>
      <c r="I44" s="181"/>
      <c r="J44" s="521" t="e">
        <f>IF(J42-J43&gt;0,0,J42-J43)</f>
        <v>#REF!</v>
      </c>
      <c r="K44" s="462"/>
      <c r="L44" s="594" t="e">
        <f>IF(L42-L43&gt;0,0,L42-L43)</f>
        <v>#REF!</v>
      </c>
      <c r="M44" s="532"/>
      <c r="N44" s="817" t="e">
        <f>IF(N42-N43&gt;0,0,N42-N43)</f>
        <v>#REF!</v>
      </c>
      <c r="O44" s="603"/>
      <c r="P44" s="813" t="e">
        <f>IF(P42-P43&gt;0,0,P42-P43)</f>
        <v>#REF!</v>
      </c>
      <c r="Q44" s="621"/>
      <c r="R44" s="234" t="e">
        <f>IF(R42-R43&gt;0,0,R42-R43)</f>
        <v>#REF!</v>
      </c>
      <c r="S44" s="181"/>
    </row>
    <row r="45" spans="1:19">
      <c r="A45" s="123"/>
      <c r="B45" s="123"/>
      <c r="C45" s="223"/>
      <c r="D45" s="181"/>
      <c r="F45" s="352"/>
      <c r="G45" s="351"/>
      <c r="H45" s="223"/>
      <c r="I45" s="181"/>
      <c r="J45" s="507"/>
      <c r="K45" s="462"/>
    </row>
    <row r="46" spans="1:19">
      <c r="A46" s="123"/>
      <c r="B46" s="123"/>
      <c r="C46" s="223"/>
      <c r="D46" s="181"/>
      <c r="F46" s="352"/>
      <c r="G46" s="351"/>
      <c r="H46" s="223"/>
      <c r="I46" s="181"/>
      <c r="J46" s="507"/>
      <c r="K46" s="462"/>
    </row>
  </sheetData>
  <phoneticPr fontId="0" type="noConversion"/>
  <pageMargins left="0.25" right="0.25" top="0.5" bottom="0.5" header="0.5" footer="0.5"/>
  <pageSetup scale="60" orientation="landscape" r:id="rId1"/>
  <headerFooter alignWithMargins="0">
    <oddFooter>&amp;L&amp;G</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0"/>
  <sheetViews>
    <sheetView workbookViewId="0">
      <selection activeCell="C1" sqref="C1:C65536"/>
    </sheetView>
  </sheetViews>
  <sheetFormatPr defaultRowHeight="12.75"/>
  <cols>
    <col min="2" max="2" width="14" customWidth="1"/>
    <col min="3" max="3" width="14.140625" customWidth="1"/>
  </cols>
  <sheetData>
    <row r="1" spans="1:3" ht="15">
      <c r="A1" s="2266" t="s">
        <v>3997</v>
      </c>
      <c r="B1" s="1694" t="str">
        <f>CONCATENATE(LEFT(RIGHT(CONCATENATE("000",HH_Debt1516!A1),6),3),"-",(RIGHT(RIGHT(CONCATENATE("000",HH_Debt1516!A1),6),3)))</f>
        <v>001-903</v>
      </c>
      <c r="C1" s="121">
        <v>1040294</v>
      </c>
    </row>
    <row r="2" spans="1:3" ht="15">
      <c r="A2" s="2266" t="s">
        <v>6467</v>
      </c>
      <c r="B2" s="1694" t="str">
        <f>CONCATENATE(LEFT(RIGHT(CONCATENATE("000",HH_Debt1516!A2),6),3),"-",(RIGHT(RIGHT(CONCATENATE("000",HH_Debt1516!A2),6),3)))</f>
        <v>001-904</v>
      </c>
      <c r="C2" s="121">
        <v>946857</v>
      </c>
    </row>
    <row r="3" spans="1:3" ht="15">
      <c r="A3" s="2266" t="s">
        <v>6468</v>
      </c>
      <c r="B3" s="1694" t="str">
        <f>CONCATENATE(LEFT(RIGHT(CONCATENATE("000",HH_Debt1516!A3),6),3),"-",(RIGHT(RIGHT(CONCATENATE("000",HH_Debt1516!A3),6),3)))</f>
        <v>001-906</v>
      </c>
      <c r="C3" s="121">
        <v>734835</v>
      </c>
    </row>
    <row r="4" spans="1:3" ht="15">
      <c r="A4" s="2266" t="s">
        <v>3998</v>
      </c>
      <c r="B4" s="1694" t="str">
        <f>CONCATENATE(LEFT(RIGHT(CONCATENATE("000",HH_Debt1516!A4),6),3),"-",(RIGHT(RIGHT(CONCATENATE("000",HH_Debt1516!A4),6),3)))</f>
        <v>001-907</v>
      </c>
      <c r="C4" s="121">
        <v>4636306</v>
      </c>
    </row>
    <row r="5" spans="1:3" ht="15">
      <c r="A5" s="2266" t="s">
        <v>6469</v>
      </c>
      <c r="B5" s="1694" t="str">
        <f>CONCATENATE(LEFT(RIGHT(CONCATENATE("000",HH_Debt1516!A5),6),3),"-",(RIGHT(RIGHT(CONCATENATE("000",HH_Debt1516!A5),6),3)))</f>
        <v>001-909</v>
      </c>
      <c r="C5" s="121">
        <v>200850</v>
      </c>
    </row>
    <row r="6" spans="1:3" ht="15">
      <c r="A6" s="2266" t="s">
        <v>6470</v>
      </c>
      <c r="B6" s="1694" t="str">
        <f>CONCATENATE(LEFT(RIGHT(CONCATENATE("000",HH_Debt1516!A6),6),3),"-",(RIGHT(RIGHT(CONCATENATE("000",HH_Debt1516!A6),6),3)))</f>
        <v>002-901</v>
      </c>
      <c r="C6" s="121">
        <v>5995462</v>
      </c>
    </row>
    <row r="7" spans="1:3" ht="15">
      <c r="A7" s="2266" t="s">
        <v>3999</v>
      </c>
      <c r="B7" s="1694" t="str">
        <f>CONCATENATE(LEFT(RIGHT(CONCATENATE("000",HH_Debt1516!A7),6),3),"-",(RIGHT(RIGHT(CONCATENATE("000",HH_Debt1516!A7),6),3)))</f>
        <v>003-902</v>
      </c>
      <c r="C7" s="121">
        <v>1506899</v>
      </c>
    </row>
    <row r="8" spans="1:3" ht="15">
      <c r="A8" s="2266" t="s">
        <v>6471</v>
      </c>
      <c r="B8" s="1694" t="str">
        <f>CONCATENATE(LEFT(RIGHT(CONCATENATE("000",HH_Debt1516!A8),6),3),"-",(RIGHT(RIGHT(CONCATENATE("000",HH_Debt1516!A8),6),3)))</f>
        <v>003-903</v>
      </c>
      <c r="C8" s="121">
        <v>4684820</v>
      </c>
    </row>
    <row r="9" spans="1:3" ht="15">
      <c r="A9" s="2266" t="s">
        <v>4000</v>
      </c>
      <c r="B9" s="1694" t="str">
        <f>CONCATENATE(LEFT(RIGHT(CONCATENATE("000",HH_Debt1516!A9),6),3),"-",(RIGHT(RIGHT(CONCATENATE("000",HH_Debt1516!A9),6),3)))</f>
        <v>003-904</v>
      </c>
      <c r="C9" s="121">
        <v>2132590</v>
      </c>
    </row>
    <row r="10" spans="1:3" ht="15">
      <c r="A10" s="2266" t="s">
        <v>4001</v>
      </c>
      <c r="B10" s="1694" t="str">
        <f>CONCATENATE(LEFT(RIGHT(CONCATENATE("000",HH_Debt1516!A10),6),3),"-",(RIGHT(RIGHT(CONCATENATE("000",HH_Debt1516!A10),6),3)))</f>
        <v>003-905</v>
      </c>
      <c r="C10" s="121">
        <v>1313749</v>
      </c>
    </row>
    <row r="11" spans="1:3" ht="15">
      <c r="A11" s="2266" t="s">
        <v>6472</v>
      </c>
      <c r="B11" s="1694" t="str">
        <f>CONCATENATE(LEFT(RIGHT(CONCATENATE("000",HH_Debt1516!A11),6),3),"-",(RIGHT(RIGHT(CONCATENATE("000",HH_Debt1516!A11),6),3)))</f>
        <v>003-906</v>
      </c>
      <c r="C11" s="121">
        <v>419223</v>
      </c>
    </row>
    <row r="12" spans="1:3" ht="15">
      <c r="A12" s="2266" t="s">
        <v>4002</v>
      </c>
      <c r="B12" s="1694" t="str">
        <f>CONCATENATE(LEFT(RIGHT(CONCATENATE("000",HH_Debt1516!A12),6),3),"-",(RIGHT(RIGHT(CONCATENATE("000",HH_Debt1516!A12),6),3)))</f>
        <v>003-907</v>
      </c>
      <c r="C12" s="121">
        <v>807719</v>
      </c>
    </row>
    <row r="13" spans="1:3" ht="15">
      <c r="A13" s="2266" t="s">
        <v>6473</v>
      </c>
      <c r="B13" s="1694" t="str">
        <f>CONCATENATE(LEFT(RIGHT(CONCATENATE("000",HH_Debt1516!A13),6),3),"-",(RIGHT(RIGHT(CONCATENATE("000",HH_Debt1516!A13),6),3)))</f>
        <v>004-901</v>
      </c>
      <c r="C13" s="121">
        <v>2650725</v>
      </c>
    </row>
    <row r="14" spans="1:3" ht="15">
      <c r="A14" s="2266" t="s">
        <v>6474</v>
      </c>
      <c r="B14" s="1694" t="str">
        <f>CONCATENATE(LEFT(RIGHT(CONCATENATE("000",HH_Debt1516!A14),6),3),"-",(RIGHT(RIGHT(CONCATENATE("000",HH_Debt1516!A14),6),3)))</f>
        <v>005-901</v>
      </c>
      <c r="C14" s="121">
        <v>140238</v>
      </c>
    </row>
    <row r="15" spans="1:3" ht="15">
      <c r="A15" s="2266" t="s">
        <v>6475</v>
      </c>
      <c r="B15" s="1694" t="str">
        <f>CONCATENATE(LEFT(RIGHT(CONCATENATE("000",HH_Debt1516!A15),6),3),"-",(RIGHT(RIGHT(CONCATENATE("000",HH_Debt1516!A15),6),3)))</f>
        <v>005-902</v>
      </c>
      <c r="C15" s="121">
        <v>1242385</v>
      </c>
    </row>
    <row r="16" spans="1:3" ht="15">
      <c r="A16" s="2266" t="s">
        <v>4003</v>
      </c>
      <c r="B16" s="1694" t="str">
        <f>CONCATENATE(LEFT(RIGHT(CONCATENATE("000",HH_Debt1516!A16),6),3),"-",(RIGHT(RIGHT(CONCATENATE("000",HH_Debt1516!A16),6),3)))</f>
        <v>005-904</v>
      </c>
      <c r="C16" s="121">
        <v>174262</v>
      </c>
    </row>
    <row r="17" spans="1:3" ht="15">
      <c r="A17" s="2266" t="s">
        <v>6476</v>
      </c>
      <c r="B17" s="1694" t="str">
        <f>CONCATENATE(LEFT(RIGHT(CONCATENATE("000",HH_Debt1516!A17),6),3),"-",(RIGHT(RIGHT(CONCATENATE("000",HH_Debt1516!A17),6),3)))</f>
        <v>006-902</v>
      </c>
      <c r="C17" s="121">
        <v>140250</v>
      </c>
    </row>
    <row r="18" spans="1:3" ht="15">
      <c r="A18" s="2266" t="s">
        <v>4004</v>
      </c>
      <c r="B18" s="1694" t="str">
        <f>CONCATENATE(LEFT(RIGHT(CONCATENATE("000",HH_Debt1516!A18),6),3),"-",(RIGHT(RIGHT(CONCATENATE("000",HH_Debt1516!A18),6),3)))</f>
        <v>007-901</v>
      </c>
      <c r="C18" s="121">
        <v>349084</v>
      </c>
    </row>
    <row r="19" spans="1:3" ht="15">
      <c r="A19" s="2266" t="s">
        <v>4005</v>
      </c>
      <c r="B19" s="1694" t="str">
        <f>CONCATENATE(LEFT(RIGHT(CONCATENATE("000",HH_Debt1516!A19),6),3),"-",(RIGHT(RIGHT(CONCATENATE("000",HH_Debt1516!A19),6),3)))</f>
        <v>007-904</v>
      </c>
      <c r="C19" s="121">
        <v>1053041</v>
      </c>
    </row>
    <row r="20" spans="1:3" ht="15">
      <c r="A20" s="2266" t="s">
        <v>4006</v>
      </c>
      <c r="B20" s="1694" t="str">
        <f>CONCATENATE(LEFT(RIGHT(CONCATENATE("000",HH_Debt1516!A20),6),3),"-",(RIGHT(RIGHT(CONCATENATE("000",HH_Debt1516!A20),6),3)))</f>
        <v>007-905</v>
      </c>
      <c r="C20" s="121">
        <v>8173742</v>
      </c>
    </row>
    <row r="21" spans="1:3" ht="15">
      <c r="A21" s="2266" t="s">
        <v>4007</v>
      </c>
      <c r="B21" s="1694" t="str">
        <f>CONCATENATE(LEFT(RIGHT(CONCATENATE("000",HH_Debt1516!A21),6),3),"-",(RIGHT(RIGHT(CONCATENATE("000",HH_Debt1516!A21),6),3)))</f>
        <v>007-906</v>
      </c>
      <c r="C21" s="121">
        <v>2148122</v>
      </c>
    </row>
    <row r="22" spans="1:3" ht="15">
      <c r="A22" s="2266" t="s">
        <v>6477</v>
      </c>
      <c r="B22" s="1694" t="str">
        <f>CONCATENATE(LEFT(RIGHT(CONCATENATE("000",HH_Debt1516!A22),6),3),"-",(RIGHT(RIGHT(CONCATENATE("000",HH_Debt1516!A22),6),3)))</f>
        <v>008-901</v>
      </c>
      <c r="C22" s="121">
        <v>1847854</v>
      </c>
    </row>
    <row r="23" spans="1:3" ht="15">
      <c r="A23" s="2266" t="s">
        <v>6478</v>
      </c>
      <c r="B23" s="1694" t="str">
        <f>CONCATENATE(LEFT(RIGHT(CONCATENATE("000",HH_Debt1516!A23),6),3),"-",(RIGHT(RIGHT(CONCATENATE("000",HH_Debt1516!A23),6),3)))</f>
        <v>008-902</v>
      </c>
      <c r="C23" s="121">
        <v>2580381</v>
      </c>
    </row>
    <row r="24" spans="1:3" ht="15">
      <c r="A24" s="2266" t="s">
        <v>6479</v>
      </c>
      <c r="B24" s="1694" t="str">
        <f>CONCATENATE(LEFT(RIGHT(CONCATENATE("000",HH_Debt1516!A24),6),3),"-",(RIGHT(RIGHT(CONCATENATE("000",HH_Debt1516!A24),6),3)))</f>
        <v>008-903</v>
      </c>
      <c r="C24" s="121">
        <v>1101037</v>
      </c>
    </row>
    <row r="25" spans="1:3" ht="15">
      <c r="A25" s="2266" t="s">
        <v>4008</v>
      </c>
      <c r="B25" s="1694" t="str">
        <f>CONCATENATE(LEFT(RIGHT(CONCATENATE("000",HH_Debt1516!A25),6),3),"-",(RIGHT(RIGHT(CONCATENATE("000",HH_Debt1516!A25),6),3)))</f>
        <v>009-901</v>
      </c>
      <c r="C25" s="121">
        <v>1508086</v>
      </c>
    </row>
    <row r="26" spans="1:3" ht="15">
      <c r="A26" s="2266" t="s">
        <v>4009</v>
      </c>
      <c r="B26" s="1694" t="str">
        <f>CONCATENATE(LEFT(RIGHT(CONCATENATE("000",HH_Debt1516!A26),6),3),"-",(RIGHT(RIGHT(CONCATENATE("000",HH_Debt1516!A26),6),3)))</f>
        <v>010-902</v>
      </c>
      <c r="C26" s="121">
        <v>1884174</v>
      </c>
    </row>
    <row r="27" spans="1:3" ht="15">
      <c r="A27" s="2266" t="s">
        <v>4010</v>
      </c>
      <c r="B27" s="1694" t="str">
        <f>CONCATENATE(LEFT(RIGHT(CONCATENATE("000",HH_Debt1516!A27),6),3),"-",(RIGHT(RIGHT(CONCATENATE("000",HH_Debt1516!A27),6),3)))</f>
        <v>011-901</v>
      </c>
      <c r="C27" s="121">
        <v>12694699</v>
      </c>
    </row>
    <row r="28" spans="1:3" ht="15">
      <c r="A28" s="2266" t="s">
        <v>4011</v>
      </c>
      <c r="B28" s="1694" t="str">
        <f>CONCATENATE(LEFT(RIGHT(CONCATENATE("000",HH_Debt1516!A28),6),3),"-",(RIGHT(RIGHT(CONCATENATE("000",HH_Debt1516!A28),6),3)))</f>
        <v>011-902</v>
      </c>
      <c r="C28" s="121">
        <v>6356466</v>
      </c>
    </row>
    <row r="29" spans="1:3" ht="15">
      <c r="A29" s="2266" t="s">
        <v>4012</v>
      </c>
      <c r="B29" s="1694" t="str">
        <f>CONCATENATE(LEFT(RIGHT(CONCATENATE("000",HH_Debt1516!A29),6),3),"-",(RIGHT(RIGHT(CONCATENATE("000",HH_Debt1516!A29),6),3)))</f>
        <v>011-904</v>
      </c>
      <c r="C29" s="121">
        <v>1097888</v>
      </c>
    </row>
    <row r="30" spans="1:3" ht="15">
      <c r="A30" s="2266" t="s">
        <v>4013</v>
      </c>
      <c r="B30" s="1694" t="str">
        <f>CONCATENATE(LEFT(RIGHT(CONCATENATE("000",HH_Debt1516!A30),6),3),"-",(RIGHT(RIGHT(CONCATENATE("000",HH_Debt1516!A30),6),3)))</f>
        <v>011-905</v>
      </c>
      <c r="C30" s="121">
        <v>99150</v>
      </c>
    </row>
    <row r="31" spans="1:3" ht="15">
      <c r="A31" s="2266" t="s">
        <v>4014</v>
      </c>
      <c r="B31" s="1694" t="str">
        <f>CONCATENATE(LEFT(RIGHT(CONCATENATE("000",HH_Debt1516!A31),6),3),"-",(RIGHT(RIGHT(CONCATENATE("000",HH_Debt1516!A31),6),3)))</f>
        <v>013-901</v>
      </c>
      <c r="C31" s="121">
        <v>1595561</v>
      </c>
    </row>
    <row r="32" spans="1:3" ht="15">
      <c r="A32" s="2266" t="s">
        <v>6480</v>
      </c>
      <c r="B32" s="1694" t="str">
        <f>CONCATENATE(LEFT(RIGHT(CONCATENATE("000",HH_Debt1516!A32),6),3),"-",(RIGHT(RIGHT(CONCATENATE("000",HH_Debt1516!A32),6),3)))</f>
        <v>013-902</v>
      </c>
      <c r="C32" s="121">
        <v>830500</v>
      </c>
    </row>
    <row r="33" spans="1:3" ht="15">
      <c r="A33" s="2266" t="s">
        <v>6481</v>
      </c>
      <c r="B33" s="1694" t="str">
        <f>CONCATENATE(LEFT(RIGHT(CONCATENATE("000",HH_Debt1516!A33),6),3),"-",(RIGHT(RIGHT(CONCATENATE("000",HH_Debt1516!A33),6),3)))</f>
        <v>013-903</v>
      </c>
      <c r="C33" s="121">
        <v>556638</v>
      </c>
    </row>
    <row r="34" spans="1:3" ht="15">
      <c r="A34" s="2266" t="s">
        <v>4015</v>
      </c>
      <c r="B34" s="1694" t="str">
        <f>CONCATENATE(LEFT(RIGHT(CONCATENATE("000",HH_Debt1516!A34),6),3),"-",(RIGHT(RIGHT(CONCATENATE("000",HH_Debt1516!A34),6),3)))</f>
        <v>013-905</v>
      </c>
      <c r="C34" s="121">
        <v>641056</v>
      </c>
    </row>
    <row r="35" spans="1:3" ht="15">
      <c r="A35" s="2266" t="s">
        <v>6482</v>
      </c>
      <c r="B35" s="1694" t="str">
        <f>CONCATENATE(LEFT(RIGHT(CONCATENATE("000",HH_Debt1516!A35),6),3),"-",(RIGHT(RIGHT(CONCATENATE("000",HH_Debt1516!A35),6),3)))</f>
        <v>014-901</v>
      </c>
      <c r="C35" s="121">
        <v>1371850</v>
      </c>
    </row>
    <row r="36" spans="1:3" ht="15">
      <c r="A36" s="2266" t="s">
        <v>4016</v>
      </c>
      <c r="B36" s="1694" t="str">
        <f>CONCATENATE(LEFT(RIGHT(CONCATENATE("000",HH_Debt1516!A36),6),3),"-",(RIGHT(RIGHT(CONCATENATE("000",HH_Debt1516!A36),6),3)))</f>
        <v>014-902</v>
      </c>
      <c r="C36" s="121">
        <v>163800</v>
      </c>
    </row>
    <row r="37" spans="1:3" ht="15">
      <c r="A37" s="2266" t="s">
        <v>4017</v>
      </c>
      <c r="B37" s="1694" t="str">
        <f>CONCATENATE(LEFT(RIGHT(CONCATENATE("000",HH_Debt1516!A37),6),3),"-",(RIGHT(RIGHT(CONCATENATE("000",HH_Debt1516!A37),6),3)))</f>
        <v>014-903</v>
      </c>
      <c r="C37" s="121">
        <v>9350522</v>
      </c>
    </row>
    <row r="38" spans="1:3" ht="15">
      <c r="A38" s="2266" t="s">
        <v>4018</v>
      </c>
      <c r="B38" s="1694" t="str">
        <f>CONCATENATE(LEFT(RIGHT(CONCATENATE("000",HH_Debt1516!A38),6),3),"-",(RIGHT(RIGHT(CONCATENATE("000",HH_Debt1516!A38),6),3)))</f>
        <v>014-905</v>
      </c>
      <c r="C38" s="121">
        <v>474125</v>
      </c>
    </row>
    <row r="39" spans="1:3" ht="15">
      <c r="A39" s="2266" t="s">
        <v>4019</v>
      </c>
      <c r="B39" s="1694" t="str">
        <f>CONCATENATE(LEFT(RIGHT(CONCATENATE("000",HH_Debt1516!A39),6),3),"-",(RIGHT(RIGHT(CONCATENATE("000",HH_Debt1516!A39),6),3)))</f>
        <v>014-906</v>
      </c>
      <c r="C39" s="121">
        <v>11978025</v>
      </c>
    </row>
    <row r="40" spans="1:3" ht="15">
      <c r="A40" s="2266" t="s">
        <v>4020</v>
      </c>
      <c r="B40" s="1694" t="str">
        <f>CONCATENATE(LEFT(RIGHT(CONCATENATE("000",HH_Debt1516!A40),6),3),"-",(RIGHT(RIGHT(CONCATENATE("000",HH_Debt1516!A40),6),3)))</f>
        <v>014-907</v>
      </c>
      <c r="C40" s="121">
        <v>630412</v>
      </c>
    </row>
    <row r="41" spans="1:3" ht="15">
      <c r="A41" s="2266" t="s">
        <v>4021</v>
      </c>
      <c r="B41" s="1694" t="str">
        <f>CONCATENATE(LEFT(RIGHT(CONCATENATE("000",HH_Debt1516!A41),6),3),"-",(RIGHT(RIGHT(CONCATENATE("000",HH_Debt1516!A41),6),3)))</f>
        <v>014-908</v>
      </c>
      <c r="C41" s="121">
        <v>1317762</v>
      </c>
    </row>
    <row r="42" spans="1:3" ht="15">
      <c r="A42" s="2266" t="s">
        <v>4022</v>
      </c>
      <c r="B42" s="1694" t="str">
        <f>CONCATENATE(LEFT(RIGHT(CONCATENATE("000",HH_Debt1516!A42),6),3),"-",(RIGHT(RIGHT(CONCATENATE("000",HH_Debt1516!A42),6),3)))</f>
        <v>014-909</v>
      </c>
      <c r="C42" s="121">
        <v>7034460</v>
      </c>
    </row>
    <row r="43" spans="1:3" ht="15">
      <c r="A43" s="2266" t="s">
        <v>4023</v>
      </c>
      <c r="B43" s="1694" t="str">
        <f>CONCATENATE(LEFT(RIGHT(CONCATENATE("000",HH_Debt1516!A43),6),3),"-",(RIGHT(RIGHT(CONCATENATE("000",HH_Debt1516!A43),6),3)))</f>
        <v>014-910</v>
      </c>
      <c r="C43" s="121">
        <v>1325449</v>
      </c>
    </row>
    <row r="44" spans="1:3" ht="15">
      <c r="A44" s="2266" t="s">
        <v>6483</v>
      </c>
      <c r="B44" s="1694" t="str">
        <f>CONCATENATE(LEFT(RIGHT(CONCATENATE("000",HH_Debt1516!A44),6),3),"-",(RIGHT(RIGHT(CONCATENATE("000",HH_Debt1516!A44),6),3)))</f>
        <v>015-901</v>
      </c>
      <c r="C44" s="121">
        <v>7766802</v>
      </c>
    </row>
    <row r="45" spans="1:3" ht="15">
      <c r="A45" s="2266" t="s">
        <v>4024</v>
      </c>
      <c r="B45" s="1694" t="str">
        <f>CONCATENATE(LEFT(RIGHT(CONCATENATE("000",HH_Debt1516!A45),6),3),"-",(RIGHT(RIGHT(CONCATENATE("000",HH_Debt1516!A45),6),3)))</f>
        <v>015-904</v>
      </c>
      <c r="C45" s="121">
        <v>17866911</v>
      </c>
    </row>
    <row r="46" spans="1:3" ht="15">
      <c r="A46" s="2266" t="s">
        <v>4025</v>
      </c>
      <c r="B46" s="1694" t="str">
        <f>CONCATENATE(LEFT(RIGHT(CONCATENATE("000",HH_Debt1516!A46),6),3),"-",(RIGHT(RIGHT(CONCATENATE("000",HH_Debt1516!A46),6),3)))</f>
        <v>015-905</v>
      </c>
      <c r="C46" s="121">
        <v>7174290</v>
      </c>
    </row>
    <row r="47" spans="1:3" ht="15">
      <c r="A47" s="2266" t="s">
        <v>4026</v>
      </c>
      <c r="B47" s="1694" t="str">
        <f>CONCATENATE(LEFT(RIGHT(CONCATENATE("000",HH_Debt1516!A47),6),3),"-",(RIGHT(RIGHT(CONCATENATE("000",HH_Debt1516!A47),6),3)))</f>
        <v>015-907</v>
      </c>
      <c r="C47" s="121">
        <v>61557269</v>
      </c>
    </row>
    <row r="48" spans="1:3" ht="15">
      <c r="A48" s="2266" t="s">
        <v>4027</v>
      </c>
      <c r="B48" s="1694" t="str">
        <f>CONCATENATE(LEFT(RIGHT(CONCATENATE("000",HH_Debt1516!A48),6),3),"-",(RIGHT(RIGHT(CONCATENATE("000",HH_Debt1516!A48),6),3)))</f>
        <v>015-908</v>
      </c>
      <c r="C48" s="121">
        <v>12206591</v>
      </c>
    </row>
    <row r="49" spans="1:3" ht="15">
      <c r="A49" s="2266" t="s">
        <v>4028</v>
      </c>
      <c r="B49" s="1694" t="str">
        <f>CONCATENATE(LEFT(RIGHT(CONCATENATE("000",HH_Debt1516!A49),6),3),"-",(RIGHT(RIGHT(CONCATENATE("000",HH_Debt1516!A49),6),3)))</f>
        <v>015-909</v>
      </c>
      <c r="C49" s="121">
        <v>2537071</v>
      </c>
    </row>
    <row r="50" spans="1:3" ht="15">
      <c r="A50" s="2266" t="s">
        <v>4029</v>
      </c>
      <c r="B50" s="1694" t="str">
        <f>CONCATENATE(LEFT(RIGHT(CONCATENATE("000",HH_Debt1516!A50),6),3),"-",(RIGHT(RIGHT(CONCATENATE("000",HH_Debt1516!A50),6),3)))</f>
        <v>015-910</v>
      </c>
      <c r="C50" s="121">
        <v>109311620</v>
      </c>
    </row>
    <row r="51" spans="1:3" ht="15">
      <c r="A51" s="2266" t="s">
        <v>4030</v>
      </c>
      <c r="B51" s="1694" t="str">
        <f>CONCATENATE(LEFT(RIGHT(CONCATENATE("000",HH_Debt1516!A51),6),3),"-",(RIGHT(RIGHT(CONCATENATE("000",HH_Debt1516!A51),6),3)))</f>
        <v>015-911</v>
      </c>
      <c r="C51" s="121">
        <v>7974985</v>
      </c>
    </row>
    <row r="52" spans="1:3" ht="15">
      <c r="A52" s="2266" t="s">
        <v>4031</v>
      </c>
      <c r="B52" s="1694" t="str">
        <f>CONCATENATE(LEFT(RIGHT(CONCATENATE("000",HH_Debt1516!A52),6),3),"-",(RIGHT(RIGHT(CONCATENATE("000",HH_Debt1516!A52),6),3)))</f>
        <v>015-912</v>
      </c>
      <c r="C52" s="121">
        <v>20043446</v>
      </c>
    </row>
    <row r="53" spans="1:3" ht="15">
      <c r="A53" s="2266" t="s">
        <v>4032</v>
      </c>
      <c r="B53" s="1694" t="str">
        <f>CONCATENATE(LEFT(RIGHT(CONCATENATE("000",HH_Debt1516!A53),6),3),"-",(RIGHT(RIGHT(CONCATENATE("000",HH_Debt1516!A53),6),3)))</f>
        <v>015-915</v>
      </c>
      <c r="C53" s="121">
        <v>148651397</v>
      </c>
    </row>
    <row r="54" spans="1:3" ht="15">
      <c r="A54" s="2266" t="s">
        <v>4033</v>
      </c>
      <c r="B54" s="1694" t="str">
        <f>CONCATENATE(LEFT(RIGHT(CONCATENATE("000",HH_Debt1516!A54),6),3),"-",(RIGHT(RIGHT(CONCATENATE("000",HH_Debt1516!A54),6),3)))</f>
        <v>015-916</v>
      </c>
      <c r="C54" s="121">
        <v>30739150</v>
      </c>
    </row>
    <row r="55" spans="1:3" ht="15">
      <c r="A55" s="2266" t="s">
        <v>4034</v>
      </c>
      <c r="B55" s="1694" t="str">
        <f>CONCATENATE(LEFT(RIGHT(CONCATENATE("000",HH_Debt1516!A55),6),3),"-",(RIGHT(RIGHT(CONCATENATE("000",HH_Debt1516!A55),6),3)))</f>
        <v>015-917</v>
      </c>
      <c r="C55" s="121">
        <v>4178407</v>
      </c>
    </row>
    <row r="56" spans="1:3" ht="15">
      <c r="A56" s="2266" t="s">
        <v>6484</v>
      </c>
      <c r="B56" s="1694" t="str">
        <f>CONCATENATE(LEFT(RIGHT(CONCATENATE("000",HH_Debt1516!A56),6),3),"-",(RIGHT(RIGHT(CONCATENATE("000",HH_Debt1516!A56),6),3)))</f>
        <v>016-901</v>
      </c>
      <c r="C56" s="121">
        <v>596250</v>
      </c>
    </row>
    <row r="57" spans="1:3" ht="15">
      <c r="A57" s="2266" t="s">
        <v>4035</v>
      </c>
      <c r="B57" s="1694" t="str">
        <f>CONCATENATE(LEFT(RIGHT(CONCATENATE("000",HH_Debt1516!A57),6),3),"-",(RIGHT(RIGHT(CONCATENATE("000",HH_Debt1516!A57),6),3)))</f>
        <v>016-902</v>
      </c>
      <c r="C57" s="121">
        <v>1014515</v>
      </c>
    </row>
    <row r="58" spans="1:3" ht="15">
      <c r="A58" s="2266" t="s">
        <v>6485</v>
      </c>
      <c r="B58" s="1694" t="str">
        <f>CONCATENATE(LEFT(RIGHT(CONCATENATE("000",HH_Debt1516!A58),6),3),"-",(RIGHT(RIGHT(CONCATENATE("000",HH_Debt1516!A58),6),3)))</f>
        <v>017-901</v>
      </c>
      <c r="C58" s="121">
        <v>1718588</v>
      </c>
    </row>
    <row r="59" spans="1:3" ht="15">
      <c r="A59" s="2266" t="s">
        <v>4036</v>
      </c>
      <c r="B59" s="1694" t="str">
        <f>CONCATENATE(LEFT(RIGHT(CONCATENATE("000",HH_Debt1516!A59),6),3),"-",(RIGHT(RIGHT(CONCATENATE("000",HH_Debt1516!A59),6),3)))</f>
        <v>018-901</v>
      </c>
      <c r="C59" s="121">
        <v>529950</v>
      </c>
    </row>
    <row r="60" spans="1:3" ht="15">
      <c r="A60" s="2266" t="s">
        <v>4037</v>
      </c>
      <c r="B60" s="1694" t="str">
        <f>CONCATENATE(LEFT(RIGHT(CONCATENATE("000",HH_Debt1516!A60),6),3),"-",(RIGHT(RIGHT(CONCATENATE("000",HH_Debt1516!A60),6),3)))</f>
        <v>018-902</v>
      </c>
      <c r="C60" s="121">
        <v>494062</v>
      </c>
    </row>
    <row r="61" spans="1:3" ht="15">
      <c r="A61" s="2266" t="s">
        <v>4038</v>
      </c>
      <c r="B61" s="1694" t="str">
        <f>CONCATENATE(LEFT(RIGHT(CONCATENATE("000",HH_Debt1516!A61),6),3),"-",(RIGHT(RIGHT(CONCATENATE("000",HH_Debt1516!A61),6),3)))</f>
        <v>018-904</v>
      </c>
      <c r="C61" s="121">
        <v>527416</v>
      </c>
    </row>
    <row r="62" spans="1:3" ht="15">
      <c r="A62" s="2266" t="s">
        <v>6486</v>
      </c>
      <c r="B62" s="1694" t="str">
        <f>CONCATENATE(LEFT(RIGHT(CONCATENATE("000",HH_Debt1516!A62),6),3),"-",(RIGHT(RIGHT(CONCATENATE("000",HH_Debt1516!A62),6),3)))</f>
        <v>018-906</v>
      </c>
      <c r="C62" s="121">
        <v>64150</v>
      </c>
    </row>
    <row r="63" spans="1:3" ht="15">
      <c r="A63" s="2266" t="s">
        <v>6487</v>
      </c>
      <c r="B63" s="1694" t="str">
        <f>CONCATENATE(LEFT(RIGHT(CONCATENATE("000",HH_Debt1516!A63),6),3),"-",(RIGHT(RIGHT(CONCATENATE("000",HH_Debt1516!A63),6),3)))</f>
        <v>018-907</v>
      </c>
      <c r="C63" s="121">
        <v>19844</v>
      </c>
    </row>
    <row r="64" spans="1:3" ht="15">
      <c r="A64" s="2266" t="s">
        <v>4039</v>
      </c>
      <c r="B64" s="1694" t="str">
        <f>CONCATENATE(LEFT(RIGHT(CONCATENATE("000",HH_Debt1516!A64),6),3),"-",(RIGHT(RIGHT(CONCATENATE("000",HH_Debt1516!A64),6),3)))</f>
        <v>019-902</v>
      </c>
      <c r="C64" s="121">
        <v>692567</v>
      </c>
    </row>
    <row r="65" spans="1:3" ht="15">
      <c r="A65" s="2266" t="s">
        <v>4040</v>
      </c>
      <c r="B65" s="1694" t="str">
        <f>CONCATENATE(LEFT(RIGHT(CONCATENATE("000",HH_Debt1516!A65),6),3),"-",(RIGHT(RIGHT(CONCATENATE("000",HH_Debt1516!A65),6),3)))</f>
        <v>019-903</v>
      </c>
      <c r="C65" s="121">
        <v>126528</v>
      </c>
    </row>
    <row r="66" spans="1:3" ht="15">
      <c r="A66" s="2266" t="s">
        <v>4041</v>
      </c>
      <c r="B66" s="1694" t="str">
        <f>CONCATENATE(LEFT(RIGHT(CONCATENATE("000",HH_Debt1516!A66),6),3),"-",(RIGHT(RIGHT(CONCATENATE("000",HH_Debt1516!A66),6),3)))</f>
        <v>019-905</v>
      </c>
      <c r="C66" s="121">
        <v>1023506</v>
      </c>
    </row>
    <row r="67" spans="1:3" ht="15">
      <c r="A67" s="2266" t="s">
        <v>6488</v>
      </c>
      <c r="B67" s="1694" t="str">
        <f>CONCATENATE(LEFT(RIGHT(CONCATENATE("000",HH_Debt1516!A67),6),3),"-",(RIGHT(RIGHT(CONCATENATE("000",HH_Debt1516!A67),6),3)))</f>
        <v>019-906</v>
      </c>
      <c r="C67" s="121">
        <v>385400</v>
      </c>
    </row>
    <row r="68" spans="1:3" ht="15">
      <c r="A68" s="2266" t="s">
        <v>6489</v>
      </c>
      <c r="B68" s="1694" t="str">
        <f>CONCATENATE(LEFT(RIGHT(CONCATENATE("000",HH_Debt1516!A68),6),3),"-",(RIGHT(RIGHT(CONCATENATE("000",HH_Debt1516!A68),6),3)))</f>
        <v>019-907</v>
      </c>
      <c r="C68" s="121">
        <v>5379712</v>
      </c>
    </row>
    <row r="69" spans="1:3" ht="15">
      <c r="A69" s="2266" t="s">
        <v>6490</v>
      </c>
      <c r="B69" s="1694" t="str">
        <f>CONCATENATE(LEFT(RIGHT(CONCATENATE("000",HH_Debt1516!A69),6),3),"-",(RIGHT(RIGHT(CONCATENATE("000",HH_Debt1516!A69),6),3)))</f>
        <v>019-908</v>
      </c>
      <c r="C69" s="121">
        <v>421925</v>
      </c>
    </row>
    <row r="70" spans="1:3" ht="15">
      <c r="A70" s="2266" t="s">
        <v>4042</v>
      </c>
      <c r="B70" s="1694" t="str">
        <f>CONCATENATE(LEFT(RIGHT(CONCATENATE("000",HH_Debt1516!A70),6),3),"-",(RIGHT(RIGHT(CONCATENATE("000",HH_Debt1516!A70),6),3)))</f>
        <v>019-909</v>
      </c>
      <c r="C70" s="121">
        <v>123450</v>
      </c>
    </row>
    <row r="71" spans="1:3" ht="15">
      <c r="A71" s="2266" t="s">
        <v>4043</v>
      </c>
      <c r="B71" s="1694" t="str">
        <f>CONCATENATE(LEFT(RIGHT(CONCATENATE("000",HH_Debt1516!A71),6),3),"-",(RIGHT(RIGHT(CONCATENATE("000",HH_Debt1516!A71),6),3)))</f>
        <v>019-910</v>
      </c>
      <c r="C71" s="121">
        <v>69162</v>
      </c>
    </row>
    <row r="72" spans="1:3" ht="15">
      <c r="A72" s="2266" t="s">
        <v>6491</v>
      </c>
      <c r="B72" s="1694" t="str">
        <f>CONCATENATE(LEFT(RIGHT(CONCATENATE("000",HH_Debt1516!A72),6),3),"-",(RIGHT(RIGHT(CONCATENATE("000",HH_Debt1516!A72),6),3)))</f>
        <v>019-911</v>
      </c>
      <c r="C72" s="121">
        <v>331406</v>
      </c>
    </row>
    <row r="73" spans="1:3" ht="15">
      <c r="A73" s="2266" t="s">
        <v>6492</v>
      </c>
      <c r="B73" s="1694" t="str">
        <f>CONCATENATE(LEFT(RIGHT(CONCATENATE("000",HH_Debt1516!A73),6),3),"-",(RIGHT(RIGHT(CONCATENATE("000",HH_Debt1516!A73),6),3)))</f>
        <v>019-912</v>
      </c>
      <c r="C73" s="121">
        <v>2437674</v>
      </c>
    </row>
    <row r="74" spans="1:3" ht="15">
      <c r="A74" s="2266" t="s">
        <v>4044</v>
      </c>
      <c r="B74" s="1694" t="str">
        <f>CONCATENATE(LEFT(RIGHT(CONCATENATE("000",HH_Debt1516!A74),6),3),"-",(RIGHT(RIGHT(CONCATENATE("000",HH_Debt1516!A74),6),3)))</f>
        <v>020-901</v>
      </c>
      <c r="C74" s="121">
        <v>31463743</v>
      </c>
    </row>
    <row r="75" spans="1:3" ht="15">
      <c r="A75" s="2266" t="s">
        <v>6493</v>
      </c>
      <c r="B75" s="1694" t="str">
        <f>CONCATENATE(LEFT(RIGHT(CONCATENATE("000",HH_Debt1516!A75),6),3),"-",(RIGHT(RIGHT(CONCATENATE("000",HH_Debt1516!A75),6),3)))</f>
        <v>020-902</v>
      </c>
      <c r="C75" s="121">
        <v>9974028</v>
      </c>
    </row>
    <row r="76" spans="1:3" ht="15">
      <c r="A76" s="2266" t="s">
        <v>4045</v>
      </c>
      <c r="B76" s="1694" t="str">
        <f>CONCATENATE(LEFT(RIGHT(CONCATENATE("000",HH_Debt1516!A76),6),3),"-",(RIGHT(RIGHT(CONCATENATE("000",HH_Debt1516!A76),6),3)))</f>
        <v>020-904</v>
      </c>
      <c r="C76" s="121">
        <v>252586</v>
      </c>
    </row>
    <row r="77" spans="1:3" ht="15">
      <c r="A77" s="2266" t="s">
        <v>6494</v>
      </c>
      <c r="B77" s="1694" t="str">
        <f>CONCATENATE(LEFT(RIGHT(CONCATENATE("000",HH_Debt1516!A77),6),3),"-",(RIGHT(RIGHT(CONCATENATE("000",HH_Debt1516!A77),6),3)))</f>
        <v>020-905</v>
      </c>
      <c r="C77" s="121">
        <v>15240081</v>
      </c>
    </row>
    <row r="78" spans="1:3" ht="15">
      <c r="A78" s="2266" t="s">
        <v>6495</v>
      </c>
      <c r="B78" s="1694" t="str">
        <f>CONCATENATE(LEFT(RIGHT(CONCATENATE("000",HH_Debt1516!A78),6),3),"-",(RIGHT(RIGHT(CONCATENATE("000",HH_Debt1516!A78),6),3)))</f>
        <v>020-906</v>
      </c>
      <c r="C78" s="121">
        <v>2758969</v>
      </c>
    </row>
    <row r="79" spans="1:3" ht="15">
      <c r="A79" s="2266" t="s">
        <v>4046</v>
      </c>
      <c r="B79" s="1694" t="str">
        <f>CONCATENATE(LEFT(RIGHT(CONCATENATE("000",HH_Debt1516!A79),6),3),"-",(RIGHT(RIGHT(CONCATENATE("000",HH_Debt1516!A79),6),3)))</f>
        <v>020-907</v>
      </c>
      <c r="C79" s="121">
        <v>2714017</v>
      </c>
    </row>
    <row r="80" spans="1:3" ht="15">
      <c r="A80" s="2266" t="s">
        <v>4047</v>
      </c>
      <c r="B80" s="1694" t="str">
        <f>CONCATENATE(LEFT(RIGHT(CONCATENATE("000",HH_Debt1516!A80),6),3),"-",(RIGHT(RIGHT(CONCATENATE("000",HH_Debt1516!A80),6),3)))</f>
        <v>020-908</v>
      </c>
      <c r="C80" s="121">
        <v>24769000</v>
      </c>
    </row>
    <row r="81" spans="1:3" ht="15">
      <c r="A81" s="2266" t="s">
        <v>4049</v>
      </c>
      <c r="B81" s="1694" t="str">
        <f>CONCATENATE(LEFT(RIGHT(CONCATENATE("000",HH_Debt1516!A81),6),3),"-",(RIGHT(RIGHT(CONCATENATE("000",HH_Debt1516!A81),6),3)))</f>
        <v>021-901</v>
      </c>
      <c r="C81" s="121">
        <v>24654937</v>
      </c>
    </row>
    <row r="82" spans="1:3" ht="15">
      <c r="A82" s="2266" t="s">
        <v>4050</v>
      </c>
      <c r="B82" s="1694" t="str">
        <f>CONCATENATE(LEFT(RIGHT(CONCATENATE("000",HH_Debt1516!A82),6),3),"-",(RIGHT(RIGHT(CONCATENATE("000",HH_Debt1516!A82),6),3)))</f>
        <v>021-902</v>
      </c>
      <c r="C82" s="121">
        <v>13195614</v>
      </c>
    </row>
    <row r="83" spans="1:3" ht="15">
      <c r="A83" s="2266" t="s">
        <v>6496</v>
      </c>
      <c r="B83" s="1694" t="str">
        <f>CONCATENATE(LEFT(RIGHT(CONCATENATE("000",HH_Debt1516!A83),6),3),"-",(RIGHT(RIGHT(CONCATENATE("000",HH_Debt1516!A83),6),3)))</f>
        <v>022-901</v>
      </c>
      <c r="C83" s="121">
        <v>327300</v>
      </c>
    </row>
    <row r="84" spans="1:3" ht="15">
      <c r="A84" s="2266" t="s">
        <v>6497</v>
      </c>
      <c r="B84" s="1694" t="str">
        <f>CONCATENATE(LEFT(RIGHT(CONCATENATE("000",HH_Debt1516!A84),6),3),"-",(RIGHT(RIGHT(CONCATENATE("000",HH_Debt1516!A84),6),3)))</f>
        <v>024-901</v>
      </c>
      <c r="C84" s="121">
        <v>2476969</v>
      </c>
    </row>
    <row r="85" spans="1:3" ht="15">
      <c r="A85" s="2266" t="s">
        <v>6498</v>
      </c>
      <c r="B85" s="1694" t="str">
        <f>CONCATENATE(LEFT(RIGHT(CONCATENATE("000",HH_Debt1516!A85),6),3),"-",(RIGHT(RIGHT(CONCATENATE("000",HH_Debt1516!A85),6),3)))</f>
        <v>025-901</v>
      </c>
      <c r="C85" s="121">
        <v>553238</v>
      </c>
    </row>
    <row r="86" spans="1:3" ht="15">
      <c r="A86" s="2266" t="s">
        <v>6499</v>
      </c>
      <c r="B86" s="1694" t="str">
        <f>CONCATENATE(LEFT(RIGHT(CONCATENATE("000",HH_Debt1516!A86),6),3),"-",(RIGHT(RIGHT(CONCATENATE("000",HH_Debt1516!A86),6),3)))</f>
        <v>025-902</v>
      </c>
      <c r="C86" s="121">
        <v>2309875</v>
      </c>
    </row>
    <row r="87" spans="1:3" ht="15">
      <c r="A87" s="2266" t="s">
        <v>4051</v>
      </c>
      <c r="B87" s="1694" t="str">
        <f>CONCATENATE(LEFT(RIGHT(CONCATENATE("000",HH_Debt1516!A87),6),3),"-",(RIGHT(RIGHT(CONCATENATE("000",HH_Debt1516!A87),6),3)))</f>
        <v>025-904</v>
      </c>
      <c r="C87" s="121">
        <v>92995</v>
      </c>
    </row>
    <row r="88" spans="1:3" ht="15">
      <c r="A88" s="2266" t="s">
        <v>4052</v>
      </c>
      <c r="B88" s="1694" t="str">
        <f>CONCATENATE(LEFT(RIGHT(CONCATENATE("000",HH_Debt1516!A88),6),3),"-",(RIGHT(RIGHT(CONCATENATE("000",HH_Debt1516!A88),6),3)))</f>
        <v>025-905</v>
      </c>
      <c r="C88" s="121">
        <v>397994</v>
      </c>
    </row>
    <row r="89" spans="1:3" ht="15">
      <c r="A89" s="2266" t="s">
        <v>4053</v>
      </c>
      <c r="B89" s="1694" t="str">
        <f>CONCATENATE(LEFT(RIGHT(CONCATENATE("000",HH_Debt1516!A89),6),3),"-",(RIGHT(RIGHT(CONCATENATE("000",HH_Debt1516!A89),6),3)))</f>
        <v>025-906</v>
      </c>
      <c r="C89" s="121">
        <v>317772</v>
      </c>
    </row>
    <row r="90" spans="1:3" ht="15">
      <c r="A90" s="2266" t="s">
        <v>4054</v>
      </c>
      <c r="B90" s="1694" t="str">
        <f>CONCATENATE(LEFT(RIGHT(CONCATENATE("000",HH_Debt1516!A90),6),3),"-",(RIGHT(RIGHT(CONCATENATE("000",HH_Debt1516!A90),6),3)))</f>
        <v>025-908</v>
      </c>
      <c r="C90" s="121">
        <v>90070</v>
      </c>
    </row>
    <row r="91" spans="1:3" ht="15">
      <c r="A91" s="2266" t="s">
        <v>4055</v>
      </c>
      <c r="B91" s="1694" t="str">
        <f>CONCATENATE(LEFT(RIGHT(CONCATENATE("000",HH_Debt1516!A91),6),3),"-",(RIGHT(RIGHT(CONCATENATE("000",HH_Debt1516!A91),6),3)))</f>
        <v>025-909</v>
      </c>
      <c r="C91" s="121">
        <v>1431296</v>
      </c>
    </row>
    <row r="92" spans="1:3" ht="15">
      <c r="A92" s="2266" t="s">
        <v>6500</v>
      </c>
      <c r="B92" s="1694" t="str">
        <f>CONCATENATE(LEFT(RIGHT(CONCATENATE("000",HH_Debt1516!A92),6),3),"-",(RIGHT(RIGHT(CONCATENATE("000",HH_Debt1516!A92),6),3)))</f>
        <v>026-901</v>
      </c>
      <c r="C92" s="121">
        <v>632833</v>
      </c>
    </row>
    <row r="93" spans="1:3" ht="15">
      <c r="A93" s="2266" t="s">
        <v>6501</v>
      </c>
      <c r="B93" s="1694" t="str">
        <f>CONCATENATE(LEFT(RIGHT(CONCATENATE("000",HH_Debt1516!A93),6),3),"-",(RIGHT(RIGHT(CONCATENATE("000",HH_Debt1516!A93),6),3)))</f>
        <v>026-902</v>
      </c>
      <c r="C93" s="121">
        <v>194250</v>
      </c>
    </row>
    <row r="94" spans="1:3" ht="15">
      <c r="A94" s="2266" t="s">
        <v>4056</v>
      </c>
      <c r="B94" s="1694" t="str">
        <f>CONCATENATE(LEFT(RIGHT(CONCATENATE("000",HH_Debt1516!A94),6),3),"-",(RIGHT(RIGHT(CONCATENATE("000",HH_Debt1516!A94),6),3)))</f>
        <v>026-903</v>
      </c>
      <c r="C94" s="121">
        <v>549786</v>
      </c>
    </row>
    <row r="95" spans="1:3" ht="15">
      <c r="A95" s="2266" t="s">
        <v>4057</v>
      </c>
      <c r="B95" s="1694" t="str">
        <f>CONCATENATE(LEFT(RIGHT(CONCATENATE("000",HH_Debt1516!A95),6),3),"-",(RIGHT(RIGHT(CONCATENATE("000",HH_Debt1516!A95),6),3)))</f>
        <v>027-903</v>
      </c>
      <c r="C95" s="121">
        <v>3544273</v>
      </c>
    </row>
    <row r="96" spans="1:3" ht="15">
      <c r="A96" s="2266" t="s">
        <v>5011</v>
      </c>
      <c r="B96" s="1694" t="str">
        <f>CONCATENATE(LEFT(RIGHT(CONCATENATE("000",HH_Debt1516!A96),6),3),"-",(RIGHT(RIGHT(CONCATENATE("000",HH_Debt1516!A96),6),3)))</f>
        <v>027-904</v>
      </c>
      <c r="C96" s="121">
        <v>6835755</v>
      </c>
    </row>
    <row r="97" spans="1:3" ht="15">
      <c r="A97" s="2266" t="s">
        <v>4058</v>
      </c>
      <c r="B97" s="1694" t="str">
        <f>CONCATENATE(LEFT(RIGHT(CONCATENATE("000",HH_Debt1516!A97),6),3),"-",(RIGHT(RIGHT(CONCATENATE("000",HH_Debt1516!A97),6),3)))</f>
        <v>028-902</v>
      </c>
      <c r="C97" s="121">
        <v>5204144</v>
      </c>
    </row>
    <row r="98" spans="1:3" ht="15">
      <c r="A98" s="2266" t="s">
        <v>4059</v>
      </c>
      <c r="B98" s="1694" t="str">
        <f>CONCATENATE(LEFT(RIGHT(CONCATENATE("000",HH_Debt1516!A98),6),3),"-",(RIGHT(RIGHT(CONCATENATE("000",HH_Debt1516!A98),6),3)))</f>
        <v>028-903</v>
      </c>
      <c r="C98" s="121">
        <v>353905</v>
      </c>
    </row>
    <row r="99" spans="1:3" ht="15">
      <c r="A99" s="2266" t="s">
        <v>6502</v>
      </c>
      <c r="B99" s="1694" t="str">
        <f>CONCATENATE(LEFT(RIGHT(CONCATENATE("000",HH_Debt1516!A99),6),3),"-",(RIGHT(RIGHT(CONCATENATE("000",HH_Debt1516!A99),6),3)))</f>
        <v>029-901</v>
      </c>
      <c r="C99" s="121">
        <v>8313075</v>
      </c>
    </row>
    <row r="100" spans="1:3" ht="15">
      <c r="A100" s="2266" t="s">
        <v>4060</v>
      </c>
      <c r="B100" s="1694" t="str">
        <f>CONCATENATE(LEFT(RIGHT(CONCATENATE("000",HH_Debt1516!A100),6),3),"-",(RIGHT(RIGHT(CONCATENATE("000",HH_Debt1516!A100),6),3)))</f>
        <v>030-902</v>
      </c>
      <c r="C100" s="121">
        <v>1764787</v>
      </c>
    </row>
    <row r="101" spans="1:3" ht="15">
      <c r="A101" s="2266" t="s">
        <v>4061</v>
      </c>
      <c r="B101" s="1694" t="str">
        <f>CONCATENATE(LEFT(RIGHT(CONCATENATE("000",HH_Debt1516!A101),6),3),"-",(RIGHT(RIGHT(CONCATENATE("000",HH_Debt1516!A101),6),3)))</f>
        <v>030-903</v>
      </c>
      <c r="C101" s="121">
        <v>399618</v>
      </c>
    </row>
    <row r="102" spans="1:3" ht="15">
      <c r="A102" s="2266" t="s">
        <v>6503</v>
      </c>
      <c r="B102" s="1694" t="str">
        <f>CONCATENATE(LEFT(RIGHT(CONCATENATE("000",HH_Debt1516!A102),6),3),"-",(RIGHT(RIGHT(CONCATENATE("000",HH_Debt1516!A102),6),3)))</f>
        <v>030-906</v>
      </c>
      <c r="C102" s="121">
        <v>484002</v>
      </c>
    </row>
    <row r="103" spans="1:3" ht="15">
      <c r="A103" s="2266" t="s">
        <v>4062</v>
      </c>
      <c r="B103" s="1694" t="str">
        <f>CONCATENATE(LEFT(RIGHT(CONCATENATE("000",HH_Debt1516!A103),6),3),"-",(RIGHT(RIGHT(CONCATENATE("000",HH_Debt1516!A103),6),3)))</f>
        <v>031-901</v>
      </c>
      <c r="C103" s="121">
        <v>16675103</v>
      </c>
    </row>
    <row r="104" spans="1:3" ht="15">
      <c r="A104" s="2266" t="s">
        <v>4063</v>
      </c>
      <c r="B104" s="1694" t="str">
        <f>CONCATENATE(LEFT(RIGHT(CONCATENATE("000",HH_Debt1516!A104),6),3),"-",(RIGHT(RIGHT(CONCATENATE("000",HH_Debt1516!A104),6),3)))</f>
        <v>031-903</v>
      </c>
      <c r="C104" s="121">
        <v>9946174</v>
      </c>
    </row>
    <row r="105" spans="1:3" ht="15">
      <c r="A105" s="2266" t="s">
        <v>4064</v>
      </c>
      <c r="B105" s="1694" t="str">
        <f>CONCATENATE(LEFT(RIGHT(CONCATENATE("000",HH_Debt1516!A105),6),3),"-",(RIGHT(RIGHT(CONCATENATE("000",HH_Debt1516!A105),6),3)))</f>
        <v>031-905</v>
      </c>
      <c r="C105" s="121">
        <v>2865000</v>
      </c>
    </row>
    <row r="106" spans="1:3" ht="15">
      <c r="A106" s="2266" t="s">
        <v>4065</v>
      </c>
      <c r="B106" s="1694" t="str">
        <f>CONCATENATE(LEFT(RIGHT(CONCATENATE("000",HH_Debt1516!A106),6),3),"-",(RIGHT(RIGHT(CONCATENATE("000",HH_Debt1516!A106),6),3)))</f>
        <v>031-906</v>
      </c>
      <c r="C106" s="121">
        <v>3985824</v>
      </c>
    </row>
    <row r="107" spans="1:3" ht="15">
      <c r="A107" s="2266" t="s">
        <v>6504</v>
      </c>
      <c r="B107" s="1694" t="str">
        <f>CONCATENATE(LEFT(RIGHT(CONCATENATE("000",HH_Debt1516!A107),6),3),"-",(RIGHT(RIGHT(CONCATENATE("000",HH_Debt1516!A107),6),3)))</f>
        <v>031-909</v>
      </c>
      <c r="C107" s="121">
        <v>3660582</v>
      </c>
    </row>
    <row r="108" spans="1:3" ht="15">
      <c r="A108" s="2266" t="s">
        <v>4066</v>
      </c>
      <c r="B108" s="1694" t="str">
        <f>CONCATENATE(LEFT(RIGHT(CONCATENATE("000",HH_Debt1516!A108),6),3),"-",(RIGHT(RIGHT(CONCATENATE("000",HH_Debt1516!A108),6),3)))</f>
        <v>031-911</v>
      </c>
      <c r="C108" s="121">
        <v>1701346</v>
      </c>
    </row>
    <row r="109" spans="1:3" ht="15">
      <c r="A109" s="2266" t="s">
        <v>4067</v>
      </c>
      <c r="B109" s="1694" t="str">
        <f>CONCATENATE(LEFT(RIGHT(CONCATENATE("000",HH_Debt1516!A109),6),3),"-",(RIGHT(RIGHT(CONCATENATE("000",HH_Debt1516!A109),6),3)))</f>
        <v>031-912</v>
      </c>
      <c r="C109" s="121">
        <v>8094618</v>
      </c>
    </row>
    <row r="110" spans="1:3" ht="15">
      <c r="A110" s="2266" t="s">
        <v>4068</v>
      </c>
      <c r="B110" s="1694" t="str">
        <f>CONCATENATE(LEFT(RIGHT(CONCATENATE("000",HH_Debt1516!A110),6),3),"-",(RIGHT(RIGHT(CONCATENATE("000",HH_Debt1516!A110),6),3)))</f>
        <v>031-913</v>
      </c>
      <c r="C110" s="121">
        <v>475887</v>
      </c>
    </row>
    <row r="111" spans="1:3" ht="15">
      <c r="A111" s="2266" t="s">
        <v>4069</v>
      </c>
      <c r="B111" s="1694" t="str">
        <f>CONCATENATE(LEFT(RIGHT(CONCATENATE("000",HH_Debt1516!A111),6),3),"-",(RIGHT(RIGHT(CONCATENATE("000",HH_Debt1516!A111),6),3)))</f>
        <v>031-914</v>
      </c>
      <c r="C111" s="121">
        <v>1113113</v>
      </c>
    </row>
    <row r="112" spans="1:3" ht="15">
      <c r="A112" s="2266" t="s">
        <v>6505</v>
      </c>
      <c r="B112" s="1694" t="str">
        <f>CONCATENATE(LEFT(RIGHT(CONCATENATE("000",HH_Debt1516!A112),6),3),"-",(RIGHT(RIGHT(CONCATENATE("000",HH_Debt1516!A112),6),3)))</f>
        <v>032-902</v>
      </c>
      <c r="C112" s="121">
        <v>912447</v>
      </c>
    </row>
    <row r="113" spans="1:3" ht="15">
      <c r="A113" s="2266" t="s">
        <v>6506</v>
      </c>
      <c r="B113" s="1694" t="str">
        <f>CONCATENATE(LEFT(RIGHT(CONCATENATE("000",HH_Debt1516!A113),6),3),"-",(RIGHT(RIGHT(CONCATENATE("000",HH_Debt1516!A113),6),3)))</f>
        <v>033-901</v>
      </c>
      <c r="C113" s="121">
        <v>155048</v>
      </c>
    </row>
    <row r="114" spans="1:3" ht="15">
      <c r="A114" s="2266" t="s">
        <v>6507</v>
      </c>
      <c r="B114" s="1694" t="str">
        <f>CONCATENATE(LEFT(RIGHT(CONCATENATE("000",HH_Debt1516!A114),6),3),"-",(RIGHT(RIGHT(CONCATENATE("000",HH_Debt1516!A114),6),3)))</f>
        <v>033-902</v>
      </c>
      <c r="C114" s="121">
        <v>1677685</v>
      </c>
    </row>
    <row r="115" spans="1:3" ht="15">
      <c r="A115" s="2266" t="s">
        <v>6508</v>
      </c>
      <c r="B115" s="1694" t="str">
        <f>CONCATENATE(LEFT(RIGHT(CONCATENATE("000",HH_Debt1516!A115),6),3),"-",(RIGHT(RIGHT(CONCATENATE("000",HH_Debt1516!A115),6),3)))</f>
        <v>033-904</v>
      </c>
      <c r="C115" s="121">
        <v>462600</v>
      </c>
    </row>
    <row r="116" spans="1:3" ht="15">
      <c r="A116" s="2266" t="s">
        <v>6509</v>
      </c>
      <c r="B116" s="1694" t="str">
        <f>CONCATENATE(LEFT(RIGHT(CONCATENATE("000",HH_Debt1516!A116),6),3),"-",(RIGHT(RIGHT(CONCATENATE("000",HH_Debt1516!A116),6),3)))</f>
        <v>034-901</v>
      </c>
      <c r="C116" s="121">
        <v>824422</v>
      </c>
    </row>
    <row r="117" spans="1:3" ht="15">
      <c r="A117" s="2266" t="s">
        <v>6510</v>
      </c>
      <c r="B117" s="1694" t="str">
        <f>CONCATENATE(LEFT(RIGHT(CONCATENATE("000",HH_Debt1516!A117),6),3),"-",(RIGHT(RIGHT(CONCATENATE("000",HH_Debt1516!A117),6),3)))</f>
        <v>034-903</v>
      </c>
      <c r="C117" s="121">
        <v>232009</v>
      </c>
    </row>
    <row r="118" spans="1:3" ht="15">
      <c r="A118" s="2266" t="s">
        <v>6511</v>
      </c>
      <c r="B118" s="1694" t="str">
        <f>CONCATENATE(LEFT(RIGHT(CONCATENATE("000",HH_Debt1516!A118),6),3),"-",(RIGHT(RIGHT(CONCATENATE("000",HH_Debt1516!A118),6),3)))</f>
        <v>034-907</v>
      </c>
      <c r="C118" s="121">
        <v>317101</v>
      </c>
    </row>
    <row r="119" spans="1:3" ht="15">
      <c r="A119" s="2266" t="s">
        <v>6512</v>
      </c>
      <c r="B119" s="1694" t="str">
        <f>CONCATENATE(LEFT(RIGHT(CONCATENATE("000",HH_Debt1516!A119),6),3),"-",(RIGHT(RIGHT(CONCATENATE("000",HH_Debt1516!A119),6),3)))</f>
        <v>034-909</v>
      </c>
      <c r="C119" s="121">
        <v>89176</v>
      </c>
    </row>
    <row r="120" spans="1:3" ht="15">
      <c r="A120" s="2266" t="s">
        <v>6513</v>
      </c>
      <c r="B120" s="1694" t="str">
        <f>CONCATENATE(LEFT(RIGHT(CONCATENATE("000",HH_Debt1516!A120),6),3),"-",(RIGHT(RIGHT(CONCATENATE("000",HH_Debt1516!A120),6),3)))</f>
        <v>035-901</v>
      </c>
      <c r="C120" s="121">
        <v>992162</v>
      </c>
    </row>
    <row r="121" spans="1:3" ht="15">
      <c r="A121" s="2266" t="s">
        <v>4070</v>
      </c>
      <c r="B121" s="1694" t="str">
        <f>CONCATENATE(LEFT(RIGHT(CONCATENATE("000",HH_Debt1516!A121),6),3),"-",(RIGHT(RIGHT(CONCATENATE("000",HH_Debt1516!A121),6),3)))</f>
        <v>035-903</v>
      </c>
      <c r="C121" s="121">
        <v>70265</v>
      </c>
    </row>
    <row r="122" spans="1:3" ht="15">
      <c r="A122" s="2266" t="s">
        <v>4071</v>
      </c>
      <c r="B122" s="1694" t="str">
        <f>CONCATENATE(LEFT(RIGHT(CONCATENATE("000",HH_Debt1516!A122),6),3),"-",(RIGHT(RIGHT(CONCATENATE("000",HH_Debt1516!A122),6),3)))</f>
        <v>036-901</v>
      </c>
      <c r="C122" s="121">
        <v>1238375</v>
      </c>
    </row>
    <row r="123" spans="1:3" ht="15">
      <c r="A123" s="2266" t="s">
        <v>6514</v>
      </c>
      <c r="B123" s="1694" t="str">
        <f>CONCATENATE(LEFT(RIGHT(CONCATENATE("000",HH_Debt1516!A123),6),3),"-",(RIGHT(RIGHT(CONCATENATE("000",HH_Debt1516!A123),6),3)))</f>
        <v>036-902</v>
      </c>
      <c r="C123" s="121">
        <v>16516859</v>
      </c>
    </row>
    <row r="124" spans="1:3" ht="15">
      <c r="A124" s="2266" t="s">
        <v>4072</v>
      </c>
      <c r="B124" s="1694" t="str">
        <f>CONCATENATE(LEFT(RIGHT(CONCATENATE("000",HH_Debt1516!A124),6),3),"-",(RIGHT(RIGHT(CONCATENATE("000",HH_Debt1516!A124),6),3)))</f>
        <v>036-903</v>
      </c>
      <c r="C124" s="121">
        <v>728600</v>
      </c>
    </row>
    <row r="125" spans="1:3" ht="15">
      <c r="A125" s="2266" t="s">
        <v>6515</v>
      </c>
      <c r="B125" s="1694" t="str">
        <f>CONCATENATE(LEFT(RIGHT(CONCATENATE("000",HH_Debt1516!A125),6),3),"-",(RIGHT(RIGHT(CONCATENATE("000",HH_Debt1516!A125),6),3)))</f>
        <v>037-901</v>
      </c>
      <c r="C125" s="121">
        <v>556997</v>
      </c>
    </row>
    <row r="126" spans="1:3" ht="15">
      <c r="A126" s="2266" t="s">
        <v>4073</v>
      </c>
      <c r="B126" s="1694" t="str">
        <f>CONCATENATE(LEFT(RIGHT(CONCATENATE("000",HH_Debt1516!A126),6),3),"-",(RIGHT(RIGHT(CONCATENATE("000",HH_Debt1516!A126),6),3)))</f>
        <v>037-904</v>
      </c>
      <c r="C126" s="121">
        <v>5473048</v>
      </c>
    </row>
    <row r="127" spans="1:3" ht="15">
      <c r="A127" s="2266" t="s">
        <v>4074</v>
      </c>
      <c r="B127" s="1694" t="str">
        <f>CONCATENATE(LEFT(RIGHT(CONCATENATE("000",HH_Debt1516!A127),6),3),"-",(RIGHT(RIGHT(CONCATENATE("000",HH_Debt1516!A127),6),3)))</f>
        <v>037-907</v>
      </c>
      <c r="C127" s="121">
        <v>376662</v>
      </c>
    </row>
    <row r="128" spans="1:3" ht="15">
      <c r="A128" s="2266" t="s">
        <v>5094</v>
      </c>
      <c r="B128" s="1694" t="str">
        <f>CONCATENATE(LEFT(RIGHT(CONCATENATE("000",HH_Debt1516!A128),6),3),"-",(RIGHT(RIGHT(CONCATENATE("000",HH_Debt1516!A128),6),3)))</f>
        <v>037-908</v>
      </c>
      <c r="C128" s="121">
        <v>299825</v>
      </c>
    </row>
    <row r="129" spans="1:3" ht="15">
      <c r="A129" s="2266" t="s">
        <v>6516</v>
      </c>
      <c r="B129" s="1694" t="str">
        <f>CONCATENATE(LEFT(RIGHT(CONCATENATE("000",HH_Debt1516!A129),6),3),"-",(RIGHT(RIGHT(CONCATENATE("000",HH_Debt1516!A129),6),3)))</f>
        <v>037-909</v>
      </c>
      <c r="C129" s="121">
        <v>205150</v>
      </c>
    </row>
    <row r="130" spans="1:3" ht="15">
      <c r="A130" s="2266" t="s">
        <v>4075</v>
      </c>
      <c r="B130" s="1694" t="str">
        <f>CONCATENATE(LEFT(RIGHT(CONCATENATE("000",HH_Debt1516!A130),6),3),"-",(RIGHT(RIGHT(CONCATENATE("000",HH_Debt1516!A130),6),3)))</f>
        <v>038-901</v>
      </c>
      <c r="C130" s="121">
        <v>303500</v>
      </c>
    </row>
    <row r="131" spans="1:3" ht="15">
      <c r="A131" s="2266" t="s">
        <v>6517</v>
      </c>
      <c r="B131" s="1694" t="str">
        <f>CONCATENATE(LEFT(RIGHT(CONCATENATE("000",HH_Debt1516!A131),6),3),"-",(RIGHT(RIGHT(CONCATENATE("000",HH_Debt1516!A131),6),3)))</f>
        <v>039-902</v>
      </c>
      <c r="C131" s="121">
        <v>822574</v>
      </c>
    </row>
    <row r="132" spans="1:3" ht="15">
      <c r="A132" s="2266" t="s">
        <v>4076</v>
      </c>
      <c r="B132" s="1694" t="str">
        <f>CONCATENATE(LEFT(RIGHT(CONCATENATE("000",HH_Debt1516!A132),6),3),"-",(RIGHT(RIGHT(CONCATENATE("000",HH_Debt1516!A132),6),3)))</f>
        <v>039-903</v>
      </c>
      <c r="C132" s="121">
        <v>328259</v>
      </c>
    </row>
    <row r="133" spans="1:3" ht="15">
      <c r="A133" s="2266" t="s">
        <v>6518</v>
      </c>
      <c r="B133" s="1694" t="str">
        <f>CONCATENATE(LEFT(RIGHT(CONCATENATE("000",HH_Debt1516!A133),6),3),"-",(RIGHT(RIGHT(CONCATENATE("000",HH_Debt1516!A133),6),3)))</f>
        <v>040-902</v>
      </c>
      <c r="C133" s="121">
        <v>1008168</v>
      </c>
    </row>
    <row r="134" spans="1:3" ht="15">
      <c r="A134" s="2266" t="s">
        <v>6519</v>
      </c>
      <c r="B134" s="1694" t="str">
        <f>CONCATENATE(LEFT(RIGHT(CONCATENATE("000",HH_Debt1516!A134),6),3),"-",(RIGHT(RIGHT(CONCATENATE("000",HH_Debt1516!A134),6),3)))</f>
        <v>041-902</v>
      </c>
      <c r="C134" s="121">
        <v>1087069</v>
      </c>
    </row>
    <row r="135" spans="1:3" ht="15">
      <c r="A135" s="2266" t="s">
        <v>4077</v>
      </c>
      <c r="B135" s="1694" t="str">
        <f>CONCATENATE(LEFT(RIGHT(CONCATENATE("000",HH_Debt1516!A135),6),3),"-",(RIGHT(RIGHT(CONCATENATE("000",HH_Debt1516!A135),6),3)))</f>
        <v>042-903</v>
      </c>
      <c r="C135" s="121">
        <v>91230</v>
      </c>
    </row>
    <row r="136" spans="1:3" ht="15">
      <c r="A136" s="2266" t="s">
        <v>6520</v>
      </c>
      <c r="B136" s="1694" t="str">
        <f>CONCATENATE(LEFT(RIGHT(CONCATENATE("000",HH_Debt1516!A136),6),3),"-",(RIGHT(RIGHT(CONCATENATE("000",HH_Debt1516!A136),6),3)))</f>
        <v>042-905</v>
      </c>
      <c r="C136" s="121">
        <v>76419</v>
      </c>
    </row>
    <row r="137" spans="1:3" ht="15">
      <c r="A137" s="2266" t="s">
        <v>4078</v>
      </c>
      <c r="B137" s="1694" t="str">
        <f>CONCATENATE(LEFT(RIGHT(CONCATENATE("000",HH_Debt1516!A137),6),3),"-",(RIGHT(RIGHT(CONCATENATE("000",HH_Debt1516!A137),6),3)))</f>
        <v>043-901</v>
      </c>
      <c r="C137" s="121">
        <v>43961891</v>
      </c>
    </row>
    <row r="138" spans="1:3" ht="15">
      <c r="A138" s="2266" t="s">
        <v>4079</v>
      </c>
      <c r="B138" s="1694" t="str">
        <f>CONCATENATE(LEFT(RIGHT(CONCATENATE("000",HH_Debt1516!A138),6),3),"-",(RIGHT(RIGHT(CONCATENATE("000",HH_Debt1516!A138),6),3)))</f>
        <v>043-902</v>
      </c>
      <c r="C138" s="121">
        <v>5457204</v>
      </c>
    </row>
    <row r="139" spans="1:3" ht="15">
      <c r="A139" s="2266" t="s">
        <v>4080</v>
      </c>
      <c r="B139" s="1694" t="str">
        <f>CONCATENATE(LEFT(RIGHT(CONCATENATE("000",HH_Debt1516!A139),6),3),"-",(RIGHT(RIGHT(CONCATENATE("000",HH_Debt1516!A139),6),3)))</f>
        <v>043-903</v>
      </c>
      <c r="C139" s="121">
        <v>3716236</v>
      </c>
    </row>
    <row r="140" spans="1:3" ht="15">
      <c r="A140" s="2266" t="s">
        <v>4081</v>
      </c>
      <c r="B140" s="1694" t="str">
        <f>CONCATENATE(LEFT(RIGHT(CONCATENATE("000",HH_Debt1516!A140),6),3),"-",(RIGHT(RIGHT(CONCATENATE("000",HH_Debt1516!A140),6),3)))</f>
        <v>043-904</v>
      </c>
      <c r="C140" s="121">
        <v>1278550</v>
      </c>
    </row>
    <row r="141" spans="1:3" ht="15">
      <c r="A141" s="2266" t="s">
        <v>4082</v>
      </c>
      <c r="B141" s="1694" t="str">
        <f>CONCATENATE(LEFT(RIGHT(CONCATENATE("000",HH_Debt1516!A141),6),3),"-",(RIGHT(RIGHT(CONCATENATE("000",HH_Debt1516!A141),6),3)))</f>
        <v>043-905</v>
      </c>
      <c r="C141" s="121">
        <v>115215234</v>
      </c>
    </row>
    <row r="142" spans="1:3" ht="15">
      <c r="A142" s="2266" t="s">
        <v>4083</v>
      </c>
      <c r="B142" s="1694" t="str">
        <f>CONCATENATE(LEFT(RIGHT(CONCATENATE("000",HH_Debt1516!A142),6),3),"-",(RIGHT(RIGHT(CONCATENATE("000",HH_Debt1516!A142),6),3)))</f>
        <v>043-907</v>
      </c>
      <c r="C142" s="121">
        <v>55382861</v>
      </c>
    </row>
    <row r="143" spans="1:3" ht="15">
      <c r="A143" s="2266" t="s">
        <v>4084</v>
      </c>
      <c r="B143" s="1694" t="str">
        <f>CONCATENATE(LEFT(RIGHT(CONCATENATE("000",HH_Debt1516!A143),6),3),"-",(RIGHT(RIGHT(CONCATENATE("000",HH_Debt1516!A143),6),3)))</f>
        <v>043-908</v>
      </c>
      <c r="C143" s="121">
        <v>3434116</v>
      </c>
    </row>
    <row r="144" spans="1:3" ht="15">
      <c r="A144" s="2266" t="s">
        <v>6521</v>
      </c>
      <c r="B144" s="1694" t="str">
        <f>CONCATENATE(LEFT(RIGHT(CONCATENATE("000",HH_Debt1516!A144),6),3),"-",(RIGHT(RIGHT(CONCATENATE("000",HH_Debt1516!A144),6),3)))</f>
        <v>043-910</v>
      </c>
      <c r="C144" s="121">
        <v>105350157</v>
      </c>
    </row>
    <row r="145" spans="1:3" ht="15">
      <c r="A145" s="2266" t="s">
        <v>4085</v>
      </c>
      <c r="B145" s="1694" t="str">
        <f>CONCATENATE(LEFT(RIGHT(CONCATENATE("000",HH_Debt1516!A145),6),3),"-",(RIGHT(RIGHT(CONCATENATE("000",HH_Debt1516!A145),6),3)))</f>
        <v>043-911</v>
      </c>
      <c r="C145" s="121">
        <v>7662632</v>
      </c>
    </row>
    <row r="146" spans="1:3" ht="15">
      <c r="A146" s="2266" t="s">
        <v>4086</v>
      </c>
      <c r="B146" s="1694" t="str">
        <f>CONCATENATE(LEFT(RIGHT(CONCATENATE("000",HH_Debt1516!A146),6),3),"-",(RIGHT(RIGHT(CONCATENATE("000",HH_Debt1516!A146),6),3)))</f>
        <v>043-912</v>
      </c>
      <c r="C146" s="121">
        <v>18071594</v>
      </c>
    </row>
    <row r="147" spans="1:3" ht="15">
      <c r="A147" s="2266" t="s">
        <v>4087</v>
      </c>
      <c r="B147" s="1694" t="str">
        <f>CONCATENATE(LEFT(RIGHT(CONCATENATE("000",HH_Debt1516!A147),6),3),"-",(RIGHT(RIGHT(CONCATENATE("000",HH_Debt1516!A147),6),3)))</f>
        <v>043-914</v>
      </c>
      <c r="C147" s="121">
        <v>21098475</v>
      </c>
    </row>
    <row r="148" spans="1:3" ht="15">
      <c r="A148" s="2266" t="s">
        <v>4088</v>
      </c>
      <c r="B148" s="1694" t="str">
        <f>CONCATENATE(LEFT(RIGHT(CONCATENATE("000",HH_Debt1516!A148),6),3),"-",(RIGHT(RIGHT(CONCATENATE("000",HH_Debt1516!A148),6),3)))</f>
        <v>043-917</v>
      </c>
      <c r="C148" s="121">
        <v>962154</v>
      </c>
    </row>
    <row r="149" spans="1:3" ht="15">
      <c r="A149" s="2266" t="s">
        <v>4089</v>
      </c>
      <c r="B149" s="1694" t="str">
        <f>CONCATENATE(LEFT(RIGHT(CONCATENATE("000",HH_Debt1516!A149),6),3),"-",(RIGHT(RIGHT(CONCATENATE("000",HH_Debt1516!A149),6),3)))</f>
        <v>043-918</v>
      </c>
      <c r="C149" s="121">
        <v>5338943</v>
      </c>
    </row>
    <row r="150" spans="1:3" ht="15">
      <c r="A150" s="2266" t="s">
        <v>6522</v>
      </c>
      <c r="B150" s="1694" t="str">
        <f>CONCATENATE(LEFT(RIGHT(CONCATENATE("000",HH_Debt1516!A150),6),3),"-",(RIGHT(RIGHT(CONCATENATE("000",HH_Debt1516!A150),6),3)))</f>
        <v>043-919</v>
      </c>
      <c r="C150" s="121">
        <v>10117669</v>
      </c>
    </row>
    <row r="151" spans="1:3" ht="15">
      <c r="A151" s="2266" t="s">
        <v>4090</v>
      </c>
      <c r="B151" s="1694" t="str">
        <f>CONCATENATE(LEFT(RIGHT(CONCATENATE("000",HH_Debt1516!A151),6),3),"-",(RIGHT(RIGHT(CONCATENATE("000",HH_Debt1516!A151),6),3)))</f>
        <v>045-902</v>
      </c>
      <c r="C151" s="121">
        <v>1206401</v>
      </c>
    </row>
    <row r="152" spans="1:3" ht="15">
      <c r="A152" s="2266" t="s">
        <v>6523</v>
      </c>
      <c r="B152" s="1694" t="str">
        <f>CONCATENATE(LEFT(RIGHT(CONCATENATE("000",HH_Debt1516!A152),6),3),"-",(RIGHT(RIGHT(CONCATENATE("000",HH_Debt1516!A152),6),3)))</f>
        <v>045-903</v>
      </c>
      <c r="C152" s="121">
        <v>935772</v>
      </c>
    </row>
    <row r="153" spans="1:3" ht="15">
      <c r="A153" s="2266" t="s">
        <v>6524</v>
      </c>
      <c r="B153" s="1694" t="str">
        <f>CONCATENATE(LEFT(RIGHT(CONCATENATE("000",HH_Debt1516!A153),6),3),"-",(RIGHT(RIGHT(CONCATENATE("000",HH_Debt1516!A153),6),3)))</f>
        <v>045-905</v>
      </c>
      <c r="C153" s="121">
        <v>628843</v>
      </c>
    </row>
    <row r="154" spans="1:3" ht="15">
      <c r="A154" s="2266" t="s">
        <v>4091</v>
      </c>
      <c r="B154" s="1694" t="str">
        <f>CONCATENATE(LEFT(RIGHT(CONCATENATE("000",HH_Debt1516!A154),6),3),"-",(RIGHT(RIGHT(CONCATENATE("000",HH_Debt1516!A154),6),3)))</f>
        <v>046-901</v>
      </c>
      <c r="C154" s="121">
        <v>12579114</v>
      </c>
    </row>
    <row r="155" spans="1:3" ht="15">
      <c r="A155" s="2266" t="s">
        <v>6525</v>
      </c>
      <c r="B155" s="1694" t="str">
        <f>CONCATENATE(LEFT(RIGHT(CONCATENATE("000",HH_Debt1516!A155),6),3),"-",(RIGHT(RIGHT(CONCATENATE("000",HH_Debt1516!A155),6),3)))</f>
        <v>046-902</v>
      </c>
      <c r="C155" s="121">
        <v>44067684</v>
      </c>
    </row>
    <row r="156" spans="1:3" ht="15">
      <c r="A156" s="2266" t="s">
        <v>4092</v>
      </c>
      <c r="B156" s="1694" t="str">
        <f>CONCATENATE(LEFT(RIGHT(CONCATENATE("000",HH_Debt1516!A156),6),3),"-",(RIGHT(RIGHT(CONCATENATE("000",HH_Debt1516!A156),6),3)))</f>
        <v>047-901</v>
      </c>
      <c r="C156" s="121">
        <v>740812</v>
      </c>
    </row>
    <row r="157" spans="1:3" ht="15">
      <c r="A157" s="2266" t="s">
        <v>4093</v>
      </c>
      <c r="B157" s="1694" t="str">
        <f>CONCATENATE(LEFT(RIGHT(CONCATENATE("000",HH_Debt1516!A157),6),3),"-",(RIGHT(RIGHT(CONCATENATE("000",HH_Debt1516!A157),6),3)))</f>
        <v>047-902</v>
      </c>
      <c r="C157" s="121">
        <v>423598</v>
      </c>
    </row>
    <row r="158" spans="1:3" ht="15">
      <c r="A158" s="2266" t="s">
        <v>4094</v>
      </c>
      <c r="B158" s="1694" t="str">
        <f>CONCATENATE(LEFT(RIGHT(CONCATENATE("000",HH_Debt1516!A158),6),3),"-",(RIGHT(RIGHT(CONCATENATE("000",HH_Debt1516!A158),6),3)))</f>
        <v>047-903</v>
      </c>
      <c r="C158" s="121">
        <v>84338</v>
      </c>
    </row>
    <row r="159" spans="1:3" ht="15">
      <c r="A159" s="2266" t="s">
        <v>4095</v>
      </c>
      <c r="B159" s="1694" t="str">
        <f>CONCATENATE(LEFT(RIGHT(CONCATENATE("000",HH_Debt1516!A159),6),3),"-",(RIGHT(RIGHT(CONCATENATE("000",HH_Debt1516!A159),6),3)))</f>
        <v>047-905</v>
      </c>
      <c r="C159" s="121">
        <v>98025</v>
      </c>
    </row>
    <row r="160" spans="1:3" ht="15">
      <c r="A160" s="2266" t="s">
        <v>6526</v>
      </c>
      <c r="B160" s="1694" t="str">
        <f>CONCATENATE(LEFT(RIGHT(CONCATENATE("000",HH_Debt1516!A160),6),3),"-",(RIGHT(RIGHT(CONCATENATE("000",HH_Debt1516!A160),6),3)))</f>
        <v>048-903</v>
      </c>
      <c r="C160" s="121">
        <v>162450</v>
      </c>
    </row>
    <row r="161" spans="1:3" ht="15">
      <c r="A161" s="2266" t="s">
        <v>4096</v>
      </c>
      <c r="B161" s="1694" t="str">
        <f>CONCATENATE(LEFT(RIGHT(CONCATENATE("000",HH_Debt1516!A161),6),3),"-",(RIGHT(RIGHT(CONCATENATE("000",HH_Debt1516!A161),6),3)))</f>
        <v>049-901</v>
      </c>
      <c r="C161" s="121">
        <v>2279705</v>
      </c>
    </row>
    <row r="162" spans="1:3" ht="15">
      <c r="A162" s="2266" t="s">
        <v>6527</v>
      </c>
      <c r="B162" s="1694" t="str">
        <f>CONCATENATE(LEFT(RIGHT(CONCATENATE("000",HH_Debt1516!A162),6),3),"-",(RIGHT(RIGHT(CONCATENATE("000",HH_Debt1516!A162),6),3)))</f>
        <v>049-902</v>
      </c>
      <c r="C162" s="121">
        <v>1258543</v>
      </c>
    </row>
    <row r="163" spans="1:3" ht="15">
      <c r="A163" s="2266" t="s">
        <v>4097</v>
      </c>
      <c r="B163" s="1694" t="str">
        <f>CONCATENATE(LEFT(RIGHT(CONCATENATE("000",HH_Debt1516!A163),6),3),"-",(RIGHT(RIGHT(CONCATENATE("000",HH_Debt1516!A163),6),3)))</f>
        <v>049-903</v>
      </c>
      <c r="C163" s="121">
        <v>859582</v>
      </c>
    </row>
    <row r="164" spans="1:3" ht="15">
      <c r="A164" s="2266" t="s">
        <v>6528</v>
      </c>
      <c r="B164" s="1694" t="str">
        <f>CONCATENATE(LEFT(RIGHT(CONCATENATE("000",HH_Debt1516!A164),6),3),"-",(RIGHT(RIGHT(CONCATENATE("000",HH_Debt1516!A164),6),3)))</f>
        <v>049-905</v>
      </c>
      <c r="C164" s="121">
        <v>1231312</v>
      </c>
    </row>
    <row r="165" spans="1:3" ht="15">
      <c r="A165" s="2266" t="s">
        <v>4098</v>
      </c>
      <c r="B165" s="1694" t="str">
        <f>CONCATENATE(LEFT(RIGHT(CONCATENATE("000",HH_Debt1516!A165),6),3),"-",(RIGHT(RIGHT(CONCATENATE("000",HH_Debt1516!A165),6),3)))</f>
        <v>049-906</v>
      </c>
      <c r="C165" s="121">
        <v>213260</v>
      </c>
    </row>
    <row r="166" spans="1:3" ht="15">
      <c r="A166" s="2266" t="s">
        <v>6529</v>
      </c>
      <c r="B166" s="1694" t="str">
        <f>CONCATENATE(LEFT(RIGHT(CONCATENATE("000",HH_Debt1516!A166),6),3),"-",(RIGHT(RIGHT(CONCATENATE("000",HH_Debt1516!A166),6),3)))</f>
        <v>049-907</v>
      </c>
      <c r="C166" s="121">
        <v>122200</v>
      </c>
    </row>
    <row r="167" spans="1:3" ht="15">
      <c r="A167" s="2266" t="s">
        <v>6530</v>
      </c>
      <c r="B167" s="1694" t="str">
        <f>CONCATENATE(LEFT(RIGHT(CONCATENATE("000",HH_Debt1516!A167),6),3),"-",(RIGHT(RIGHT(CONCATENATE("000",HH_Debt1516!A167),6),3)))</f>
        <v>050-902</v>
      </c>
      <c r="C167" s="121">
        <v>1290736</v>
      </c>
    </row>
    <row r="168" spans="1:3" ht="15">
      <c r="A168" s="2266" t="s">
        <v>4099</v>
      </c>
      <c r="B168" s="1694" t="str">
        <f>CONCATENATE(LEFT(RIGHT(CONCATENATE("000",HH_Debt1516!A168),6),3),"-",(RIGHT(RIGHT(CONCATENATE("000",HH_Debt1516!A168),6),3)))</f>
        <v>050-904</v>
      </c>
      <c r="C168" s="121">
        <v>95398</v>
      </c>
    </row>
    <row r="169" spans="1:3" ht="15">
      <c r="A169" s="2266" t="s">
        <v>6531</v>
      </c>
      <c r="B169" s="1694" t="str">
        <f>CONCATENATE(LEFT(RIGHT(CONCATENATE("000",HH_Debt1516!A169),6),3),"-",(RIGHT(RIGHT(CONCATENATE("000",HH_Debt1516!A169),6),3)))</f>
        <v>050-909</v>
      </c>
      <c r="C169" s="121">
        <v>50412</v>
      </c>
    </row>
    <row r="170" spans="1:3" ht="15">
      <c r="A170" s="2266" t="s">
        <v>4100</v>
      </c>
      <c r="B170" s="1694" t="str">
        <f>CONCATENATE(LEFT(RIGHT(CONCATENATE("000",HH_Debt1516!A170),6),3),"-",(RIGHT(RIGHT(CONCATENATE("000",HH_Debt1516!A170),6),3)))</f>
        <v>050-910</v>
      </c>
      <c r="C170" s="121">
        <v>4629800</v>
      </c>
    </row>
    <row r="171" spans="1:3" ht="15">
      <c r="A171" s="2266" t="s">
        <v>6533</v>
      </c>
      <c r="B171" s="1694" t="str">
        <f>CONCATENATE(LEFT(RIGHT(CONCATENATE("000",HH_Debt1516!A171),6),3),"-",(RIGHT(RIGHT(CONCATENATE("000",HH_Debt1516!A171),6),3)))</f>
        <v>055-901</v>
      </c>
      <c r="C171" s="121">
        <v>129822</v>
      </c>
    </row>
    <row r="172" spans="1:3" ht="15">
      <c r="A172" s="2266" t="s">
        <v>6534</v>
      </c>
      <c r="B172" s="1694" t="str">
        <f>CONCATENATE(LEFT(RIGHT(CONCATENATE("000",HH_Debt1516!A172),6),3),"-",(RIGHT(RIGHT(CONCATENATE("000",HH_Debt1516!A172),6),3)))</f>
        <v>056-901</v>
      </c>
      <c r="C172" s="121">
        <v>1354637</v>
      </c>
    </row>
    <row r="173" spans="1:3" ht="15">
      <c r="A173" s="2266" t="s">
        <v>6535</v>
      </c>
      <c r="B173" s="1694" t="str">
        <f>CONCATENATE(LEFT(RIGHT(CONCATENATE("000",HH_Debt1516!A173),6),3),"-",(RIGHT(RIGHT(CONCATENATE("000",HH_Debt1516!A173),6),3)))</f>
        <v>057-903</v>
      </c>
      <c r="C173" s="121">
        <v>40412350</v>
      </c>
    </row>
    <row r="174" spans="1:3" ht="15">
      <c r="A174" s="2266" t="s">
        <v>6536</v>
      </c>
      <c r="B174" s="1694" t="str">
        <f>CONCATENATE(LEFT(RIGHT(CONCATENATE("000",HH_Debt1516!A174),6),3),"-",(RIGHT(RIGHT(CONCATENATE("000",HH_Debt1516!A174),6),3)))</f>
        <v>057-904</v>
      </c>
      <c r="C174" s="121">
        <v>12612996</v>
      </c>
    </row>
    <row r="175" spans="1:3" ht="15">
      <c r="A175" s="2266" t="s">
        <v>6537</v>
      </c>
      <c r="B175" s="1694" t="str">
        <f>CONCATENATE(LEFT(RIGHT(CONCATENATE("000",HH_Debt1516!A175),6),3),"-",(RIGHT(RIGHT(CONCATENATE("000",HH_Debt1516!A175),6),3)))</f>
        <v>057-905</v>
      </c>
      <c r="C175" s="121">
        <v>197093953</v>
      </c>
    </row>
    <row r="176" spans="1:3" ht="15">
      <c r="A176" s="2266" t="s">
        <v>4101</v>
      </c>
      <c r="B176" s="1694" t="str">
        <f>CONCATENATE(LEFT(RIGHT(CONCATENATE("000",HH_Debt1516!A176),6),3),"-",(RIGHT(RIGHT(CONCATENATE("000",HH_Debt1516!A176),6),3)))</f>
        <v>057-906</v>
      </c>
      <c r="C176" s="121">
        <v>12701955</v>
      </c>
    </row>
    <row r="177" spans="1:3" ht="15">
      <c r="A177" s="2266" t="s">
        <v>6538</v>
      </c>
      <c r="B177" s="1694" t="str">
        <f>CONCATENATE(LEFT(RIGHT(CONCATENATE("000",HH_Debt1516!A177),6),3),"-",(RIGHT(RIGHT(CONCATENATE("000",HH_Debt1516!A177),6),3)))</f>
        <v>057-907</v>
      </c>
      <c r="C177" s="121">
        <v>19391469</v>
      </c>
    </row>
    <row r="178" spans="1:3" ht="15">
      <c r="A178" s="2266" t="s">
        <v>4102</v>
      </c>
      <c r="B178" s="1694" t="str">
        <f>CONCATENATE(LEFT(RIGHT(CONCATENATE("000",HH_Debt1516!A178),6),3),"-",(RIGHT(RIGHT(CONCATENATE("000",HH_Debt1516!A178),6),3)))</f>
        <v>057-909</v>
      </c>
      <c r="C178" s="121">
        <v>58327944</v>
      </c>
    </row>
    <row r="179" spans="1:3" ht="15">
      <c r="A179" s="2266" t="s">
        <v>4103</v>
      </c>
      <c r="B179" s="1694" t="str">
        <f>CONCATENATE(LEFT(RIGHT(CONCATENATE("000",HH_Debt1516!A179),6),3),"-",(RIGHT(RIGHT(CONCATENATE("000",HH_Debt1516!A179),6),3)))</f>
        <v>057-910</v>
      </c>
      <c r="C179" s="121">
        <v>37706159</v>
      </c>
    </row>
    <row r="180" spans="1:3" ht="15">
      <c r="A180" s="2266" t="s">
        <v>6539</v>
      </c>
      <c r="B180" s="1694" t="str">
        <f>CONCATENATE(LEFT(RIGHT(CONCATENATE("000",HH_Debt1516!A180),6),3),"-",(RIGHT(RIGHT(CONCATENATE("000",HH_Debt1516!A180),6),3)))</f>
        <v>057-911</v>
      </c>
      <c r="C180" s="121">
        <v>10865791</v>
      </c>
    </row>
    <row r="181" spans="1:3" ht="15">
      <c r="A181" s="2266" t="s">
        <v>4104</v>
      </c>
      <c r="B181" s="1694" t="str">
        <f>CONCATENATE(LEFT(RIGHT(CONCATENATE("000",HH_Debt1516!A181),6),3),"-",(RIGHT(RIGHT(CONCATENATE("000",HH_Debt1516!A181),6),3)))</f>
        <v>057-912</v>
      </c>
      <c r="C181" s="121">
        <v>44088235</v>
      </c>
    </row>
    <row r="182" spans="1:3" ht="15">
      <c r="A182" s="2266" t="s">
        <v>6540</v>
      </c>
      <c r="B182" s="1694" t="str">
        <f>CONCATENATE(LEFT(RIGHT(CONCATENATE("000",HH_Debt1516!A182),6),3),"-",(RIGHT(RIGHT(CONCATENATE("000",HH_Debt1516!A182),6),3)))</f>
        <v>057-913</v>
      </c>
      <c r="C182" s="121">
        <v>10660484</v>
      </c>
    </row>
    <row r="183" spans="1:3" ht="15">
      <c r="A183" s="2266" t="s">
        <v>4105</v>
      </c>
      <c r="B183" s="1694" t="str">
        <f>CONCATENATE(LEFT(RIGHT(CONCATENATE("000",HH_Debt1516!A183),6),3),"-",(RIGHT(RIGHT(CONCATENATE("000",HH_Debt1516!A183),6),3)))</f>
        <v>057-914</v>
      </c>
      <c r="C183" s="121">
        <v>44174417</v>
      </c>
    </row>
    <row r="184" spans="1:3" ht="15">
      <c r="A184" s="2266" t="s">
        <v>6541</v>
      </c>
      <c r="B184" s="1694" t="str">
        <f>CONCATENATE(LEFT(RIGHT(CONCATENATE("000",HH_Debt1516!A184),6),3),"-",(RIGHT(RIGHT(CONCATENATE("000",HH_Debt1516!A184),6),3)))</f>
        <v>057-916</v>
      </c>
      <c r="C184" s="121">
        <v>42743574</v>
      </c>
    </row>
    <row r="185" spans="1:3" ht="15">
      <c r="A185" s="2266" t="s">
        <v>6542</v>
      </c>
      <c r="B185" s="1694" t="str">
        <f>CONCATENATE(LEFT(RIGHT(CONCATENATE("000",HH_Debt1516!A185),6),3),"-",(RIGHT(RIGHT(CONCATENATE("000",HH_Debt1516!A185),6),3)))</f>
        <v>057-919</v>
      </c>
      <c r="C185" s="121">
        <v>3523236</v>
      </c>
    </row>
    <row r="186" spans="1:3" ht="15">
      <c r="A186" s="2266" t="s">
        <v>6543</v>
      </c>
      <c r="B186" s="1694" t="str">
        <f>CONCATENATE(LEFT(RIGHT(CONCATENATE("000",HH_Debt1516!A186),6),3),"-",(RIGHT(RIGHT(CONCATENATE("000",HH_Debt1516!A186),6),3)))</f>
        <v>057-922</v>
      </c>
      <c r="C186" s="121">
        <v>23638380</v>
      </c>
    </row>
    <row r="187" spans="1:3" ht="15">
      <c r="A187" s="2266" t="s">
        <v>6544</v>
      </c>
      <c r="B187" s="1694" t="str">
        <f>CONCATENATE(LEFT(RIGHT(CONCATENATE("000",HH_Debt1516!A187),6),3),"-",(RIGHT(RIGHT(CONCATENATE("000",HH_Debt1516!A187),6),3)))</f>
        <v>058-905</v>
      </c>
      <c r="C187" s="121">
        <v>1022075</v>
      </c>
    </row>
    <row r="188" spans="1:3" ht="15">
      <c r="A188" s="2266" t="s">
        <v>6545</v>
      </c>
      <c r="B188" s="1694" t="str">
        <f>CONCATENATE(LEFT(RIGHT(CONCATENATE("000",HH_Debt1516!A188),6),3),"-",(RIGHT(RIGHT(CONCATENATE("000",HH_Debt1516!A188),6),3)))</f>
        <v>058-909</v>
      </c>
      <c r="C188" s="121">
        <v>872571</v>
      </c>
    </row>
    <row r="189" spans="1:3" ht="15">
      <c r="A189" s="2266" t="s">
        <v>4106</v>
      </c>
      <c r="B189" s="1694" t="str">
        <f>CONCATENATE(LEFT(RIGHT(CONCATENATE("000",HH_Debt1516!A189),6),3),"-",(RIGHT(RIGHT(CONCATENATE("000",HH_Debt1516!A189),6),3)))</f>
        <v>060-902</v>
      </c>
      <c r="C189" s="121">
        <v>762277</v>
      </c>
    </row>
    <row r="190" spans="1:3" ht="15">
      <c r="A190" s="2266" t="s">
        <v>4107</v>
      </c>
      <c r="B190" s="1694" t="str">
        <f>CONCATENATE(LEFT(RIGHT(CONCATENATE("000",HH_Debt1516!A190),6),3),"-",(RIGHT(RIGHT(CONCATENATE("000",HH_Debt1516!A190),6),3)))</f>
        <v>060-914</v>
      </c>
      <c r="C190" s="121">
        <v>104350</v>
      </c>
    </row>
    <row r="191" spans="1:3" ht="15">
      <c r="A191" s="2266" t="s">
        <v>6546</v>
      </c>
      <c r="B191" s="1694" t="str">
        <f>CONCATENATE(LEFT(RIGHT(CONCATENATE("000",HH_Debt1516!A191),6),3),"-",(RIGHT(RIGHT(CONCATENATE("000",HH_Debt1516!A191),6),3)))</f>
        <v>061-901</v>
      </c>
      <c r="C191" s="121">
        <v>62965377</v>
      </c>
    </row>
    <row r="192" spans="1:3" ht="15">
      <c r="A192" s="2266" t="s">
        <v>4108</v>
      </c>
      <c r="B192" s="1694" t="str">
        <f>CONCATENATE(LEFT(RIGHT(CONCATENATE("000",HH_Debt1516!A192),6),3),"-",(RIGHT(RIGHT(CONCATENATE("000",HH_Debt1516!A192),6),3)))</f>
        <v>061-902</v>
      </c>
      <c r="C192" s="121">
        <v>95399468</v>
      </c>
    </row>
    <row r="193" spans="1:3" ht="15">
      <c r="A193" s="2266" t="s">
        <v>5230</v>
      </c>
      <c r="B193" s="1694" t="str">
        <f>CONCATENATE(LEFT(RIGHT(CONCATENATE("000",HH_Debt1516!A193),6),3),"-",(RIGHT(RIGHT(CONCATENATE("000",HH_Debt1516!A193),6),3)))</f>
        <v>061-903</v>
      </c>
      <c r="C193" s="121">
        <v>1376495</v>
      </c>
    </row>
    <row r="194" spans="1:3" ht="15">
      <c r="A194" s="2266" t="s">
        <v>4109</v>
      </c>
      <c r="B194" s="1694" t="str">
        <f>CONCATENATE(LEFT(RIGHT(CONCATENATE("000",HH_Debt1516!A194),6),3),"-",(RIGHT(RIGHT(CONCATENATE("000",HH_Debt1516!A194),6),3)))</f>
        <v>061-905</v>
      </c>
      <c r="C194" s="121">
        <v>3019164</v>
      </c>
    </row>
    <row r="195" spans="1:3" ht="15">
      <c r="A195" s="2266" t="s">
        <v>4110</v>
      </c>
      <c r="B195" s="1694" t="str">
        <f>CONCATENATE(LEFT(RIGHT(CONCATENATE("000",HH_Debt1516!A195),6),3),"-",(RIGHT(RIGHT(CONCATENATE("000",HH_Debt1516!A195),6),3)))</f>
        <v>061-906</v>
      </c>
      <c r="C195" s="121">
        <v>2375082</v>
      </c>
    </row>
    <row r="196" spans="1:3" ht="15">
      <c r="A196" s="2266" t="s">
        <v>4111</v>
      </c>
      <c r="B196" s="1694" t="str">
        <f>CONCATENATE(LEFT(RIGHT(CONCATENATE("000",HH_Debt1516!A196),6),3),"-",(RIGHT(RIGHT(CONCATENATE("000",HH_Debt1516!A196),6),3)))</f>
        <v>061-907</v>
      </c>
      <c r="C196" s="121">
        <v>3527285</v>
      </c>
    </row>
    <row r="197" spans="1:3" ht="15">
      <c r="A197" s="2266" t="s">
        <v>4112</v>
      </c>
      <c r="B197" s="1694" t="str">
        <f>CONCATENATE(LEFT(RIGHT(CONCATENATE("000",HH_Debt1516!A197),6),3),"-",(RIGHT(RIGHT(CONCATENATE("000",HH_Debt1516!A197),6),3)))</f>
        <v>061-908</v>
      </c>
      <c r="C197" s="121">
        <v>2875664</v>
      </c>
    </row>
    <row r="198" spans="1:3" ht="15">
      <c r="A198" s="2266" t="s">
        <v>6547</v>
      </c>
      <c r="B198" s="1694" t="str">
        <f>CONCATENATE(LEFT(RIGHT(CONCATENATE("000",HH_Debt1516!A198),6),3),"-",(RIGHT(RIGHT(CONCATENATE("000",HH_Debt1516!A198),6),3)))</f>
        <v>061-910</v>
      </c>
      <c r="C198" s="121">
        <v>5938128</v>
      </c>
    </row>
    <row r="199" spans="1:3" ht="15">
      <c r="A199" s="2266" t="s">
        <v>4113</v>
      </c>
      <c r="B199" s="1694" t="str">
        <f>CONCATENATE(LEFT(RIGHT(CONCATENATE("000",HH_Debt1516!A199),6),3),"-",(RIGHT(RIGHT(CONCATENATE("000",HH_Debt1516!A199),6),3)))</f>
        <v>061-911</v>
      </c>
      <c r="C199" s="121">
        <v>53735926</v>
      </c>
    </row>
    <row r="200" spans="1:3" ht="15">
      <c r="A200" s="2266" t="s">
        <v>4114</v>
      </c>
      <c r="B200" s="1694" t="str">
        <f>CONCATENATE(LEFT(RIGHT(CONCATENATE("000",HH_Debt1516!A200),6),3),"-",(RIGHT(RIGHT(CONCATENATE("000",HH_Debt1516!A200),6),3)))</f>
        <v>061-912</v>
      </c>
      <c r="C200" s="121">
        <v>7067829</v>
      </c>
    </row>
    <row r="201" spans="1:3" ht="15">
      <c r="A201" s="2266" t="s">
        <v>4115</v>
      </c>
      <c r="B201" s="1694" t="str">
        <f>CONCATENATE(LEFT(RIGHT(CONCATENATE("000",HH_Debt1516!A201),6),3),"-",(RIGHT(RIGHT(CONCATENATE("000",HH_Debt1516!A201),6),3)))</f>
        <v>061-914</v>
      </c>
      <c r="C201" s="121">
        <v>11075366</v>
      </c>
    </row>
    <row r="202" spans="1:3" ht="15">
      <c r="A202" s="2266" t="s">
        <v>4116</v>
      </c>
      <c r="B202" s="1694" t="str">
        <f>CONCATENATE(LEFT(RIGHT(CONCATENATE("000",HH_Debt1516!A202),6),3),"-",(RIGHT(RIGHT(CONCATENATE("000",HH_Debt1516!A202),6),3)))</f>
        <v>062-901</v>
      </c>
      <c r="C202" s="121">
        <v>6627525</v>
      </c>
    </row>
    <row r="203" spans="1:3" ht="15">
      <c r="A203" s="2266" t="s">
        <v>6548</v>
      </c>
      <c r="B203" s="1694" t="str">
        <f>CONCATENATE(LEFT(RIGHT(CONCATENATE("000",HH_Debt1516!A203),6),3),"-",(RIGHT(RIGHT(CONCATENATE("000",HH_Debt1516!A203),6),3)))</f>
        <v>062-902</v>
      </c>
      <c r="C203" s="121">
        <v>513125</v>
      </c>
    </row>
    <row r="204" spans="1:3" ht="15">
      <c r="A204" s="2266" t="s">
        <v>4117</v>
      </c>
      <c r="B204" s="1694" t="str">
        <f>CONCATENATE(LEFT(RIGHT(CONCATENATE("000",HH_Debt1516!A204),6),3),"-",(RIGHT(RIGHT(CONCATENATE("000",HH_Debt1516!A204),6),3)))</f>
        <v>062-903</v>
      </c>
      <c r="C204" s="121">
        <v>4643572</v>
      </c>
    </row>
    <row r="205" spans="1:3" ht="15">
      <c r="A205" s="2266" t="s">
        <v>6549</v>
      </c>
      <c r="B205" s="1694" t="str">
        <f>CONCATENATE(LEFT(RIGHT(CONCATENATE("000",HH_Debt1516!A205),6),3),"-",(RIGHT(RIGHT(CONCATENATE("000",HH_Debt1516!A205),6),3)))</f>
        <v>062-904</v>
      </c>
      <c r="C205" s="121">
        <v>376538</v>
      </c>
    </row>
    <row r="206" spans="1:3" ht="15">
      <c r="A206" s="2266" t="s">
        <v>6550</v>
      </c>
      <c r="B206" s="1694" t="str">
        <f>CONCATENATE(LEFT(RIGHT(CONCATENATE("000",HH_Debt1516!A206),6),3),"-",(RIGHT(RIGHT(CONCATENATE("000",HH_Debt1516!A206),6),3)))</f>
        <v>063-903</v>
      </c>
      <c r="C206" s="121">
        <v>572675</v>
      </c>
    </row>
    <row r="207" spans="1:3" ht="15">
      <c r="A207" s="2266" t="s">
        <v>4118</v>
      </c>
      <c r="B207" s="1694" t="str">
        <f>CONCATENATE(LEFT(RIGHT(CONCATENATE("000",HH_Debt1516!A207),6),3),"-",(RIGHT(RIGHT(CONCATENATE("000",HH_Debt1516!A207),6),3)))</f>
        <v>064-903</v>
      </c>
      <c r="C207" s="121">
        <v>3186712</v>
      </c>
    </row>
    <row r="208" spans="1:3" ht="15">
      <c r="A208" s="2266" t="s">
        <v>4119</v>
      </c>
      <c r="B208" s="1694" t="str">
        <f>CONCATENATE(LEFT(RIGHT(CONCATENATE("000",HH_Debt1516!A208),6),3),"-",(RIGHT(RIGHT(CONCATENATE("000",HH_Debt1516!A208),6),3)))</f>
        <v>065-902</v>
      </c>
      <c r="C208" s="121">
        <v>94162</v>
      </c>
    </row>
    <row r="209" spans="1:3" ht="15">
      <c r="A209" s="2266" t="s">
        <v>6551</v>
      </c>
      <c r="B209" s="1694" t="str">
        <f>CONCATENATE(LEFT(RIGHT(CONCATENATE("000",HH_Debt1516!A209),6),3),"-",(RIGHT(RIGHT(CONCATENATE("000",HH_Debt1516!A209),6),3)))</f>
        <v>066-901</v>
      </c>
      <c r="C209" s="121">
        <v>529882</v>
      </c>
    </row>
    <row r="210" spans="1:3" ht="15">
      <c r="A210" s="2266" t="s">
        <v>4120</v>
      </c>
      <c r="B210" s="1694" t="str">
        <f>CONCATENATE(LEFT(RIGHT(CONCATENATE("000",HH_Debt1516!A210),6),3),"-",(RIGHT(RIGHT(CONCATENATE("000",HH_Debt1516!A210),6),3)))</f>
        <v>066-902</v>
      </c>
      <c r="C210" s="121">
        <v>1712661</v>
      </c>
    </row>
    <row r="211" spans="1:3" ht="15">
      <c r="A211" s="2266" t="s">
        <v>6552</v>
      </c>
      <c r="B211" s="1694" t="str">
        <f>CONCATENATE(LEFT(RIGHT(CONCATENATE("000",HH_Debt1516!A211),6),3),"-",(RIGHT(RIGHT(CONCATENATE("000",HH_Debt1516!A211),6),3)))</f>
        <v>066-903</v>
      </c>
      <c r="C211" s="121">
        <v>1296105</v>
      </c>
    </row>
    <row r="212" spans="1:3" ht="15">
      <c r="A212" s="2266" t="s">
        <v>6553</v>
      </c>
      <c r="B212" s="1694" t="str">
        <f>CONCATENATE(LEFT(RIGHT(CONCATENATE("000",HH_Debt1516!A212),6),3),"-",(RIGHT(RIGHT(CONCATENATE("000",HH_Debt1516!A212),6),3)))</f>
        <v>067-904</v>
      </c>
      <c r="C212" s="121">
        <v>333000</v>
      </c>
    </row>
    <row r="213" spans="1:3" ht="15">
      <c r="A213" s="2266" t="s">
        <v>6554</v>
      </c>
      <c r="B213" s="1694" t="str">
        <f>CONCATENATE(LEFT(RIGHT(CONCATENATE("000",HH_Debt1516!A213),6),3),"-",(RIGHT(RIGHT(CONCATENATE("000",HH_Debt1516!A213),6),3)))</f>
        <v>068-901</v>
      </c>
      <c r="C213" s="121">
        <v>14151779</v>
      </c>
    </row>
    <row r="214" spans="1:3" ht="15">
      <c r="A214" s="2266" t="s">
        <v>6555</v>
      </c>
      <c r="B214" s="1694" t="str">
        <f>CONCATENATE(LEFT(RIGHT(CONCATENATE("000",HH_Debt1516!A214),6),3),"-",(RIGHT(RIGHT(CONCATENATE("000",HH_Debt1516!A214),6),3)))</f>
        <v>069-901</v>
      </c>
      <c r="C214" s="121">
        <v>285250</v>
      </c>
    </row>
    <row r="215" spans="1:3" ht="15">
      <c r="A215" s="2266" t="s">
        <v>4121</v>
      </c>
      <c r="B215" s="1694" t="str">
        <f>CONCATENATE(LEFT(RIGHT(CONCATENATE("000",HH_Debt1516!A215),6),3),"-",(RIGHT(RIGHT(CONCATENATE("000",HH_Debt1516!A215),6),3)))</f>
        <v>070-901</v>
      </c>
      <c r="C215" s="121">
        <v>85000</v>
      </c>
    </row>
    <row r="216" spans="1:3" ht="15">
      <c r="A216" s="2266" t="s">
        <v>6556</v>
      </c>
      <c r="B216" s="1694" t="str">
        <f>CONCATENATE(LEFT(RIGHT(CONCATENATE("000",HH_Debt1516!A216),6),3),"-",(RIGHT(RIGHT(CONCATENATE("000",HH_Debt1516!A216),6),3)))</f>
        <v>070-903</v>
      </c>
      <c r="C216" s="121">
        <v>9283717</v>
      </c>
    </row>
    <row r="217" spans="1:3" ht="15">
      <c r="A217" s="2266" t="s">
        <v>4122</v>
      </c>
      <c r="B217" s="1694" t="str">
        <f>CONCATENATE(LEFT(RIGHT(CONCATENATE("000",HH_Debt1516!A217),6),3),"-",(RIGHT(RIGHT(CONCATENATE("000",HH_Debt1516!A217),6),3)))</f>
        <v>070-905</v>
      </c>
      <c r="C217" s="121">
        <v>1961790</v>
      </c>
    </row>
    <row r="218" spans="1:3" ht="15">
      <c r="A218" s="2266" t="s">
        <v>4123</v>
      </c>
      <c r="B218" s="1694" t="str">
        <f>CONCATENATE(LEFT(RIGHT(CONCATENATE("000",HH_Debt1516!A218),6),3),"-",(RIGHT(RIGHT(CONCATENATE("000",HH_Debt1516!A218),6),3)))</f>
        <v>070-907</v>
      </c>
      <c r="C218" s="121">
        <v>472188</v>
      </c>
    </row>
    <row r="219" spans="1:3" ht="15">
      <c r="A219" s="2266" t="s">
        <v>6557</v>
      </c>
      <c r="B219" s="1694" t="str">
        <f>CONCATENATE(LEFT(RIGHT(CONCATENATE("000",HH_Debt1516!A219),6),3),"-",(RIGHT(RIGHT(CONCATENATE("000",HH_Debt1516!A219),6),3)))</f>
        <v>070-908</v>
      </c>
      <c r="C219" s="121">
        <v>15534822</v>
      </c>
    </row>
    <row r="220" spans="1:3" ht="15">
      <c r="A220" s="2266" t="s">
        <v>4124</v>
      </c>
      <c r="B220" s="1694" t="str">
        <f>CONCATENATE(LEFT(RIGHT(CONCATENATE("000",HH_Debt1516!A220),6),3),"-",(RIGHT(RIGHT(CONCATENATE("000",HH_Debt1516!A220),6),3)))</f>
        <v>070-910</v>
      </c>
      <c r="C220" s="121">
        <v>1266134</v>
      </c>
    </row>
    <row r="221" spans="1:3" ht="15">
      <c r="A221" s="2266" t="s">
        <v>4125</v>
      </c>
      <c r="B221" s="1694" t="str">
        <f>CONCATENATE(LEFT(RIGHT(CONCATENATE("000",HH_Debt1516!A221),6),3),"-",(RIGHT(RIGHT(CONCATENATE("000",HH_Debt1516!A221),6),3)))</f>
        <v>070-911</v>
      </c>
      <c r="C221" s="121">
        <v>7795608</v>
      </c>
    </row>
    <row r="222" spans="1:3" ht="15">
      <c r="A222" s="2266" t="s">
        <v>4126</v>
      </c>
      <c r="B222" s="1694" t="str">
        <f>CONCATENATE(LEFT(RIGHT(CONCATENATE("000",HH_Debt1516!A222),6),3),"-",(RIGHT(RIGHT(CONCATENATE("000",HH_Debt1516!A222),6),3)))</f>
        <v>070-912</v>
      </c>
      <c r="C222" s="121">
        <v>14253546</v>
      </c>
    </row>
    <row r="223" spans="1:3" ht="15">
      <c r="A223" s="2266" t="s">
        <v>4127</v>
      </c>
      <c r="B223" s="1694" t="str">
        <f>CONCATENATE(LEFT(RIGHT(CONCATENATE("000",HH_Debt1516!A223),6),3),"-",(RIGHT(RIGHT(CONCATENATE("000",HH_Debt1516!A223),6),3)))</f>
        <v>070-915</v>
      </c>
      <c r="C223" s="121">
        <v>1031501</v>
      </c>
    </row>
    <row r="224" spans="1:3" ht="15">
      <c r="A224" s="2266" t="s">
        <v>4128</v>
      </c>
      <c r="B224" s="1694" t="str">
        <f>CONCATENATE(LEFT(RIGHT(CONCATENATE("000",HH_Debt1516!A224),6),3),"-",(RIGHT(RIGHT(CONCATENATE("000",HH_Debt1516!A224),6),3)))</f>
        <v>071-901</v>
      </c>
      <c r="C224" s="121">
        <v>14618188</v>
      </c>
    </row>
    <row r="225" spans="1:3" ht="15">
      <c r="A225" s="2266" t="s">
        <v>4129</v>
      </c>
      <c r="B225" s="1694" t="str">
        <f>CONCATENATE(LEFT(RIGHT(CONCATENATE("000",HH_Debt1516!A225),6),3),"-",(RIGHT(RIGHT(CONCATENATE("000",HH_Debt1516!A225),6),3)))</f>
        <v>071-902</v>
      </c>
      <c r="C225" s="121">
        <v>32293364</v>
      </c>
    </row>
    <row r="226" spans="1:3" ht="15">
      <c r="A226" s="2266" t="s">
        <v>4130</v>
      </c>
      <c r="B226" s="1694" t="str">
        <f>CONCATENATE(LEFT(RIGHT(CONCATENATE("000",HH_Debt1516!A226),6),3),"-",(RIGHT(RIGHT(CONCATENATE("000",HH_Debt1516!A226),6),3)))</f>
        <v>071-903</v>
      </c>
      <c r="C226" s="121">
        <v>1562643</v>
      </c>
    </row>
    <row r="227" spans="1:3" ht="15">
      <c r="A227" s="2266" t="s">
        <v>5323</v>
      </c>
      <c r="B227" s="1694" t="str">
        <f>CONCATENATE(LEFT(RIGHT(CONCATENATE("000",HH_Debt1516!A227),6),3),"-",(RIGHT(RIGHT(CONCATENATE("000",HH_Debt1516!A227),6),3)))</f>
        <v>071-904</v>
      </c>
      <c r="C227" s="121">
        <v>1528297</v>
      </c>
    </row>
    <row r="228" spans="1:3" ht="15">
      <c r="A228" s="2266" t="s">
        <v>5329</v>
      </c>
      <c r="B228" s="1694" t="str">
        <f>CONCATENATE(LEFT(RIGHT(CONCATENATE("000",HH_Debt1516!A228),6),3),"-",(RIGHT(RIGHT(CONCATENATE("000",HH_Debt1516!A228),6),3)))</f>
        <v>071-905</v>
      </c>
      <c r="C228" s="121">
        <v>15924650</v>
      </c>
    </row>
    <row r="229" spans="1:3" ht="15">
      <c r="A229" s="2266" t="s">
        <v>4131</v>
      </c>
      <c r="B229" s="1694" t="str">
        <f>CONCATENATE(LEFT(RIGHT(CONCATENATE("000",HH_Debt1516!A229),6),3),"-",(RIGHT(RIGHT(CONCATENATE("000",HH_Debt1516!A229),6),3)))</f>
        <v>071-906</v>
      </c>
      <c r="C229" s="121">
        <v>500502</v>
      </c>
    </row>
    <row r="230" spans="1:3" ht="15">
      <c r="A230" s="2266" t="s">
        <v>4132</v>
      </c>
      <c r="B230" s="1694" t="str">
        <f>CONCATENATE(LEFT(RIGHT(CONCATENATE("000",HH_Debt1516!A230),6),3),"-",(RIGHT(RIGHT(CONCATENATE("000",HH_Debt1516!A230),6),3)))</f>
        <v>071-907</v>
      </c>
      <c r="C230" s="121">
        <v>7039684</v>
      </c>
    </row>
    <row r="231" spans="1:3" ht="15">
      <c r="A231" s="2266" t="s">
        <v>4133</v>
      </c>
      <c r="B231" s="1694" t="str">
        <f>CONCATENATE(LEFT(RIGHT(CONCATENATE("000",HH_Debt1516!A231),6),3),"-",(RIGHT(RIGHT(CONCATENATE("000",HH_Debt1516!A231),6),3)))</f>
        <v>071-908</v>
      </c>
      <c r="C231" s="121">
        <v>1003880</v>
      </c>
    </row>
    <row r="232" spans="1:3" ht="15">
      <c r="A232" s="2266" t="s">
        <v>4134</v>
      </c>
      <c r="B232" s="1694" t="str">
        <f>CONCATENATE(LEFT(RIGHT(CONCATENATE("000",HH_Debt1516!A232),6),3),"-",(RIGHT(RIGHT(CONCATENATE("000",HH_Debt1516!A232),6),3)))</f>
        <v>071-909</v>
      </c>
      <c r="C232" s="121">
        <v>45593753</v>
      </c>
    </row>
    <row r="233" spans="1:3" ht="15">
      <c r="A233" s="2266" t="s">
        <v>6558</v>
      </c>
      <c r="B233" s="1694" t="str">
        <f>CONCATENATE(LEFT(RIGHT(CONCATENATE("000",HH_Debt1516!A233),6),3),"-",(RIGHT(RIGHT(CONCATENATE("000",HH_Debt1516!A233),6),3)))</f>
        <v>072-902</v>
      </c>
      <c r="C233" s="121">
        <v>843549</v>
      </c>
    </row>
    <row r="234" spans="1:3" ht="15">
      <c r="A234" s="2266" t="s">
        <v>4135</v>
      </c>
      <c r="B234" s="1694" t="str">
        <f>CONCATENATE(LEFT(RIGHT(CONCATENATE("000",HH_Debt1516!A234),6),3),"-",(RIGHT(RIGHT(CONCATENATE("000",HH_Debt1516!A234),6),3)))</f>
        <v>072-903</v>
      </c>
      <c r="C234" s="121">
        <v>2454094</v>
      </c>
    </row>
    <row r="235" spans="1:3" ht="15">
      <c r="A235" s="2266" t="s">
        <v>6559</v>
      </c>
      <c r="B235" s="1694" t="str">
        <f>CONCATENATE(LEFT(RIGHT(CONCATENATE("000",HH_Debt1516!A235),6),3),"-",(RIGHT(RIGHT(CONCATENATE("000",HH_Debt1516!A235),6),3)))</f>
        <v>072-904</v>
      </c>
      <c r="C235" s="121">
        <v>56750</v>
      </c>
    </row>
    <row r="236" spans="1:3" ht="15">
      <c r="A236" s="2266" t="s">
        <v>4136</v>
      </c>
      <c r="B236" s="1694" t="str">
        <f>CONCATENATE(LEFT(RIGHT(CONCATENATE("000",HH_Debt1516!A236),6),3),"-",(RIGHT(RIGHT(CONCATENATE("000",HH_Debt1516!A236),6),3)))</f>
        <v>072-909</v>
      </c>
      <c r="C236" s="121">
        <v>95726</v>
      </c>
    </row>
    <row r="237" spans="1:3" ht="15">
      <c r="A237" s="2266" t="s">
        <v>6560</v>
      </c>
      <c r="B237" s="1694" t="str">
        <f>CONCATENATE(LEFT(RIGHT(CONCATENATE("000",HH_Debt1516!A237),6),3),"-",(RIGHT(RIGHT(CONCATENATE("000",HH_Debt1516!A237),6),3)))</f>
        <v>073-901</v>
      </c>
      <c r="C237" s="121">
        <v>339684</v>
      </c>
    </row>
    <row r="238" spans="1:3" ht="15">
      <c r="A238" s="2266" t="s">
        <v>5365</v>
      </c>
      <c r="B238" s="1694" t="str">
        <f>CONCATENATE(LEFT(RIGHT(CONCATENATE("000",HH_Debt1516!A238),6),3),"-",(RIGHT(RIGHT(CONCATENATE("000",HH_Debt1516!A238),6),3)))</f>
        <v>073-903</v>
      </c>
      <c r="C238" s="121">
        <v>358188</v>
      </c>
    </row>
    <row r="239" spans="1:3" ht="15">
      <c r="A239" s="2266" t="s">
        <v>6561</v>
      </c>
      <c r="B239" s="1694" t="str">
        <f>CONCATENATE(LEFT(RIGHT(CONCATENATE("000",HH_Debt1516!A239),6),3),"-",(RIGHT(RIGHT(CONCATENATE("000",HH_Debt1516!A239),6),3)))</f>
        <v>074-903</v>
      </c>
      <c r="C239" s="121">
        <v>886288</v>
      </c>
    </row>
    <row r="240" spans="1:3" ht="15">
      <c r="A240" s="2266" t="s">
        <v>4137</v>
      </c>
      <c r="B240" s="1694" t="str">
        <f>CONCATENATE(LEFT(RIGHT(CONCATENATE("000",HH_Debt1516!A240),6),3),"-",(RIGHT(RIGHT(CONCATENATE("000",HH_Debt1516!A240),6),3)))</f>
        <v>074-904</v>
      </c>
      <c r="C240" s="121">
        <v>285250</v>
      </c>
    </row>
    <row r="241" spans="1:3" ht="15">
      <c r="A241" s="2266" t="s">
        <v>4138</v>
      </c>
      <c r="B241" s="1694" t="str">
        <f>CONCATENATE(LEFT(RIGHT(CONCATENATE("000",HH_Debt1516!A241),6),3),"-",(RIGHT(RIGHT(CONCATENATE("000",HH_Debt1516!A241),6),3)))</f>
        <v>074-905</v>
      </c>
      <c r="C241" s="121">
        <v>158650</v>
      </c>
    </row>
    <row r="242" spans="1:3" ht="15">
      <c r="A242" s="2266" t="s">
        <v>4139</v>
      </c>
      <c r="B242" s="1694" t="str">
        <f>CONCATENATE(LEFT(RIGHT(CONCATENATE("000",HH_Debt1516!A242),6),3),"-",(RIGHT(RIGHT(CONCATENATE("000",HH_Debt1516!A242),6),3)))</f>
        <v>074-907</v>
      </c>
      <c r="C242" s="121">
        <v>669238</v>
      </c>
    </row>
    <row r="243" spans="1:3" ht="15">
      <c r="A243" s="2266" t="s">
        <v>6562</v>
      </c>
      <c r="B243" s="1694" t="str">
        <f>CONCATENATE(LEFT(RIGHT(CONCATENATE("000",HH_Debt1516!A243),6),3),"-",(RIGHT(RIGHT(CONCATENATE("000",HH_Debt1516!A243),6),3)))</f>
        <v>074-909</v>
      </c>
      <c r="C243" s="121">
        <v>270700</v>
      </c>
    </row>
    <row r="244" spans="1:3" ht="15">
      <c r="A244" s="2266" t="s">
        <v>6563</v>
      </c>
      <c r="B244" s="1694" t="str">
        <f>CONCATENATE(LEFT(RIGHT(CONCATENATE("000",HH_Debt1516!A244),6),3),"-",(RIGHT(RIGHT(CONCATENATE("000",HH_Debt1516!A244),6),3)))</f>
        <v>074-911</v>
      </c>
      <c r="C244" s="121">
        <v>247106</v>
      </c>
    </row>
    <row r="245" spans="1:3" ht="15">
      <c r="A245" s="2266" t="s">
        <v>4140</v>
      </c>
      <c r="B245" s="1694" t="str">
        <f>CONCATENATE(LEFT(RIGHT(CONCATENATE("000",HH_Debt1516!A245),6),3),"-",(RIGHT(RIGHT(CONCATENATE("000",HH_Debt1516!A245),6),3)))</f>
        <v>074-912</v>
      </c>
      <c r="C245" s="121">
        <v>500523</v>
      </c>
    </row>
    <row r="246" spans="1:3" ht="15">
      <c r="A246" s="2266" t="s">
        <v>4141</v>
      </c>
      <c r="B246" s="1694" t="str">
        <f>CONCATENATE(LEFT(RIGHT(CONCATENATE("000",HH_Debt1516!A246),6),3),"-",(RIGHT(RIGHT(CONCATENATE("000",HH_Debt1516!A246),6),3)))</f>
        <v>074-917</v>
      </c>
      <c r="C246" s="121">
        <v>156700</v>
      </c>
    </row>
    <row r="247" spans="1:3" ht="15">
      <c r="A247" s="2266" t="s">
        <v>6564</v>
      </c>
      <c r="B247" s="1694" t="str">
        <f>CONCATENATE(LEFT(RIGHT(CONCATENATE("000",HH_Debt1516!A247),6),3),"-",(RIGHT(RIGHT(CONCATENATE("000",HH_Debt1516!A247),6),3)))</f>
        <v>075-901</v>
      </c>
      <c r="C247" s="121">
        <v>336060</v>
      </c>
    </row>
    <row r="248" spans="1:3" ht="15">
      <c r="A248" s="2266" t="s">
        <v>6565</v>
      </c>
      <c r="B248" s="1694" t="str">
        <f>CONCATENATE(LEFT(RIGHT(CONCATENATE("000",HH_Debt1516!A248),6),3),"-",(RIGHT(RIGHT(CONCATENATE("000",HH_Debt1516!A248),6),3)))</f>
        <v>075-903</v>
      </c>
      <c r="C248" s="121">
        <v>472721</v>
      </c>
    </row>
    <row r="249" spans="1:3" ht="15">
      <c r="A249" s="2266" t="s">
        <v>6566</v>
      </c>
      <c r="B249" s="1694" t="str">
        <f>CONCATENATE(LEFT(RIGHT(CONCATENATE("000",HH_Debt1516!A249),6),3),"-",(RIGHT(RIGHT(CONCATENATE("000",HH_Debt1516!A249),6),3)))</f>
        <v>075-908</v>
      </c>
      <c r="C249" s="121">
        <v>169088</v>
      </c>
    </row>
    <row r="250" spans="1:3" ht="15">
      <c r="A250" s="2266" t="s">
        <v>4142</v>
      </c>
      <c r="B250" s="1694" t="str">
        <f>CONCATENATE(LEFT(RIGHT(CONCATENATE("000",HH_Debt1516!A250),6),3),"-",(RIGHT(RIGHT(CONCATENATE("000",HH_Debt1516!A250),6),3)))</f>
        <v>076-904</v>
      </c>
      <c r="C250" s="121">
        <v>59565</v>
      </c>
    </row>
    <row r="251" spans="1:3" ht="15">
      <c r="A251" s="2266" t="s">
        <v>6567</v>
      </c>
      <c r="B251" s="1694" t="str">
        <f>CONCATENATE(LEFT(RIGHT(CONCATENATE("000",HH_Debt1516!A251),6),3),"-",(RIGHT(RIGHT(CONCATENATE("000",HH_Debt1516!A251),6),3)))</f>
        <v>077-901</v>
      </c>
      <c r="C251" s="121">
        <v>361639</v>
      </c>
    </row>
    <row r="252" spans="1:3" ht="15">
      <c r="A252" s="2266" t="s">
        <v>6568</v>
      </c>
      <c r="B252" s="1694" t="str">
        <f>CONCATENATE(LEFT(RIGHT(CONCATENATE("000",HH_Debt1516!A252),6),3),"-",(RIGHT(RIGHT(CONCATENATE("000",HH_Debt1516!A252),6),3)))</f>
        <v>079-901</v>
      </c>
      <c r="C252" s="121">
        <v>48742046</v>
      </c>
    </row>
    <row r="253" spans="1:3" ht="15">
      <c r="A253" s="2266" t="s">
        <v>4143</v>
      </c>
      <c r="B253" s="1694" t="str">
        <f>CONCATENATE(LEFT(RIGHT(CONCATENATE("000",HH_Debt1516!A253),6),3),"-",(RIGHT(RIGHT(CONCATENATE("000",HH_Debt1516!A253),6),3)))</f>
        <v>079-906</v>
      </c>
      <c r="C253" s="121">
        <v>4913121</v>
      </c>
    </row>
    <row r="254" spans="1:3" ht="15">
      <c r="A254" s="2266" t="s">
        <v>4144</v>
      </c>
      <c r="B254" s="1694" t="str">
        <f>CONCATENATE(LEFT(RIGHT(CONCATENATE("000",HH_Debt1516!A254),6),3),"-",(RIGHT(RIGHT(CONCATENATE("000",HH_Debt1516!A254),6),3)))</f>
        <v>079-907</v>
      </c>
      <c r="C254" s="121">
        <v>77567575</v>
      </c>
    </row>
    <row r="255" spans="1:3" ht="15">
      <c r="A255" s="2266" t="s">
        <v>6569</v>
      </c>
      <c r="B255" s="1694" t="str">
        <f>CONCATENATE(LEFT(RIGHT(CONCATENATE("000",HH_Debt1516!A255),6),3),"-",(RIGHT(RIGHT(CONCATENATE("000",HH_Debt1516!A255),6),3)))</f>
        <v>079-910</v>
      </c>
      <c r="C255" s="121">
        <v>4232150</v>
      </c>
    </row>
    <row r="256" spans="1:3" ht="15">
      <c r="A256" s="2266" t="s">
        <v>6570</v>
      </c>
      <c r="B256" s="1694" t="str">
        <f>CONCATENATE(LEFT(RIGHT(CONCATENATE("000",HH_Debt1516!A256),6),3),"-",(RIGHT(RIGHT(CONCATENATE("000",HH_Debt1516!A256),6),3)))</f>
        <v>080-901</v>
      </c>
      <c r="C256" s="121">
        <v>2495606</v>
      </c>
    </row>
    <row r="257" spans="1:3" ht="15">
      <c r="A257" s="2266" t="s">
        <v>6571</v>
      </c>
      <c r="B257" s="1694" t="str">
        <f>CONCATENATE(LEFT(RIGHT(CONCATENATE("000",HH_Debt1516!A257),6),3),"-",(RIGHT(RIGHT(CONCATENATE("000",HH_Debt1516!A257),6),3)))</f>
        <v>081-902</v>
      </c>
      <c r="C257" s="121">
        <v>4105475</v>
      </c>
    </row>
    <row r="258" spans="1:3" ht="15">
      <c r="A258" s="2266" t="s">
        <v>6572</v>
      </c>
      <c r="B258" s="1694" t="str">
        <f>CONCATENATE(LEFT(RIGHT(CONCATENATE("000",HH_Debt1516!A258),6),3),"-",(RIGHT(RIGHT(CONCATENATE("000",HH_Debt1516!A258),6),3)))</f>
        <v>081-904</v>
      </c>
      <c r="C258" s="121">
        <v>4021035</v>
      </c>
    </row>
    <row r="259" spans="1:3" ht="15">
      <c r="A259" s="2266" t="s">
        <v>6573</v>
      </c>
      <c r="B259" s="1694" t="str">
        <f>CONCATENATE(LEFT(RIGHT(CONCATENATE("000",HH_Debt1516!A259),6),3),"-",(RIGHT(RIGHT(CONCATENATE("000",HH_Debt1516!A259),6),3)))</f>
        <v>081-905</v>
      </c>
      <c r="C259" s="121">
        <v>456311</v>
      </c>
    </row>
    <row r="260" spans="1:3" ht="15">
      <c r="A260" s="2266" t="s">
        <v>6574</v>
      </c>
      <c r="B260" s="1694" t="str">
        <f>CONCATENATE(LEFT(RIGHT(CONCATENATE("000",HH_Debt1516!A260),6),3),"-",(RIGHT(RIGHT(CONCATENATE("000",HH_Debt1516!A260),6),3)))</f>
        <v>081-906</v>
      </c>
      <c r="C260" s="121">
        <v>296891</v>
      </c>
    </row>
    <row r="261" spans="1:3" ht="15">
      <c r="A261" s="2266" t="s">
        <v>4145</v>
      </c>
      <c r="B261" s="1694" t="str">
        <f>CONCATENATE(LEFT(RIGHT(CONCATENATE("000",HH_Debt1516!A261),6),3),"-",(RIGHT(RIGHT(CONCATENATE("000",HH_Debt1516!A261),6),3)))</f>
        <v>082-902</v>
      </c>
      <c r="C261" s="121">
        <v>1881442</v>
      </c>
    </row>
    <row r="262" spans="1:3" ht="15">
      <c r="A262" s="2266" t="s">
        <v>4146</v>
      </c>
      <c r="B262" s="1694" t="str">
        <f>CONCATENATE(LEFT(RIGHT(CONCATENATE("000",HH_Debt1516!A262),6),3),"-",(RIGHT(RIGHT(CONCATENATE("000",HH_Debt1516!A262),6),3)))</f>
        <v>082-903</v>
      </c>
      <c r="C262" s="121">
        <v>1746284</v>
      </c>
    </row>
    <row r="263" spans="1:3" ht="15">
      <c r="A263" s="2266" t="s">
        <v>6575</v>
      </c>
      <c r="B263" s="1694" t="str">
        <f>CONCATENATE(LEFT(RIGHT(CONCATENATE("000",HH_Debt1516!A263),6),3),"-",(RIGHT(RIGHT(CONCATENATE("000",HH_Debt1516!A263),6),3)))</f>
        <v>083-901</v>
      </c>
      <c r="C263" s="121">
        <v>801675</v>
      </c>
    </row>
    <row r="264" spans="1:3" ht="15">
      <c r="A264" s="2266" t="s">
        <v>6576</v>
      </c>
      <c r="B264" s="1694" t="str">
        <f>CONCATENATE(LEFT(RIGHT(CONCATENATE("000",HH_Debt1516!A264),6),3),"-",(RIGHT(RIGHT(CONCATENATE("000",HH_Debt1516!A264),6),3)))</f>
        <v>083-902</v>
      </c>
      <c r="C264" s="121">
        <v>420850</v>
      </c>
    </row>
    <row r="265" spans="1:3" ht="15">
      <c r="A265" s="2266" t="s">
        <v>6577</v>
      </c>
      <c r="B265" s="1694" t="str">
        <f>CONCATENATE(LEFT(RIGHT(CONCATENATE("000",HH_Debt1516!A265),6),3),"-",(RIGHT(RIGHT(CONCATENATE("000",HH_Debt1516!A265),6),3)))</f>
        <v>083-903</v>
      </c>
      <c r="C265" s="121">
        <v>4572875</v>
      </c>
    </row>
    <row r="266" spans="1:3" ht="15">
      <c r="A266" s="2266" t="s">
        <v>6578</v>
      </c>
      <c r="B266" s="1694" t="str">
        <f>CONCATENATE(LEFT(RIGHT(CONCATENATE("000",HH_Debt1516!A266),6),3),"-",(RIGHT(RIGHT(CONCATENATE("000",HH_Debt1516!A266),6),3)))</f>
        <v>084-901</v>
      </c>
      <c r="C266" s="121">
        <v>16065508</v>
      </c>
    </row>
    <row r="267" spans="1:3" ht="15">
      <c r="A267" s="2266" t="s">
        <v>6579</v>
      </c>
      <c r="B267" s="1694" t="str">
        <f>CONCATENATE(LEFT(RIGHT(CONCATENATE("000",HH_Debt1516!A267),6),3),"-",(RIGHT(RIGHT(CONCATENATE("000",HH_Debt1516!A267),6),3)))</f>
        <v>084-902</v>
      </c>
      <c r="C267" s="121">
        <v>5952500</v>
      </c>
    </row>
    <row r="268" spans="1:3" ht="15">
      <c r="A268" s="2266" t="s">
        <v>6580</v>
      </c>
      <c r="B268" s="1694" t="str">
        <f>CONCATENATE(LEFT(RIGHT(CONCATENATE("000",HH_Debt1516!A268),6),3),"-",(RIGHT(RIGHT(CONCATENATE("000",HH_Debt1516!A268),6),3)))</f>
        <v>084-903</v>
      </c>
      <c r="C268" s="121">
        <v>160700</v>
      </c>
    </row>
    <row r="269" spans="1:3" ht="15">
      <c r="A269" s="2266" t="s">
        <v>6581</v>
      </c>
      <c r="B269" s="1694" t="str">
        <f>CONCATENATE(LEFT(RIGHT(CONCATENATE("000",HH_Debt1516!A269),6),3),"-",(RIGHT(RIGHT(CONCATENATE("000",HH_Debt1516!A269),6),3)))</f>
        <v>084-904</v>
      </c>
      <c r="C269" s="121">
        <v>2543488</v>
      </c>
    </row>
    <row r="270" spans="1:3" ht="15">
      <c r="A270" s="2266" t="s">
        <v>6582</v>
      </c>
      <c r="B270" s="1694" t="str">
        <f>CONCATENATE(LEFT(RIGHT(CONCATENATE("000",HH_Debt1516!A270),6),3),"-",(RIGHT(RIGHT(CONCATENATE("000",HH_Debt1516!A270),6),3)))</f>
        <v>084-906</v>
      </c>
      <c r="C270" s="121">
        <v>12047513</v>
      </c>
    </row>
    <row r="271" spans="1:3" ht="15">
      <c r="A271" s="2266" t="s">
        <v>6583</v>
      </c>
      <c r="B271" s="1694" t="str">
        <f>CONCATENATE(LEFT(RIGHT(CONCATENATE("000",HH_Debt1516!A271),6),3),"-",(RIGHT(RIGHT(CONCATENATE("000",HH_Debt1516!A271),6),3)))</f>
        <v>084-908</v>
      </c>
      <c r="C271" s="121">
        <v>2528924</v>
      </c>
    </row>
    <row r="272" spans="1:3" ht="15">
      <c r="A272" s="2266" t="s">
        <v>4147</v>
      </c>
      <c r="B272" s="1694" t="str">
        <f>CONCATENATE(LEFT(RIGHT(CONCATENATE("000",HH_Debt1516!A272),6),3),"-",(RIGHT(RIGHT(CONCATENATE("000",HH_Debt1516!A272),6),3)))</f>
        <v>084-909</v>
      </c>
      <c r="C272" s="121">
        <v>5450335</v>
      </c>
    </row>
    <row r="273" spans="1:3" ht="15">
      <c r="A273" s="2266" t="s">
        <v>6584</v>
      </c>
      <c r="B273" s="1694" t="str">
        <f>CONCATENATE(LEFT(RIGHT(CONCATENATE("000",HH_Debt1516!A273),6),3),"-",(RIGHT(RIGHT(CONCATENATE("000",HH_Debt1516!A273),6),3)))</f>
        <v>084-910</v>
      </c>
      <c r="C273" s="121">
        <v>66993861</v>
      </c>
    </row>
    <row r="274" spans="1:3" ht="15">
      <c r="A274" s="2266" t="s">
        <v>4148</v>
      </c>
      <c r="B274" s="1694" t="str">
        <f>CONCATENATE(LEFT(RIGHT(CONCATENATE("000",HH_Debt1516!A274),6),3),"-",(RIGHT(RIGHT(CONCATENATE("000",HH_Debt1516!A274),6),3)))</f>
        <v>084-911</v>
      </c>
      <c r="C274" s="121">
        <v>6262709</v>
      </c>
    </row>
    <row r="275" spans="1:3" ht="15">
      <c r="A275" s="2266" t="s">
        <v>6585</v>
      </c>
      <c r="B275" s="1694" t="str">
        <f>CONCATENATE(LEFT(RIGHT(CONCATENATE("000",HH_Debt1516!A275),6),3),"-",(RIGHT(RIGHT(CONCATENATE("000",HH_Debt1516!A275),6),3)))</f>
        <v>085-902</v>
      </c>
      <c r="C275" s="121">
        <v>2491127</v>
      </c>
    </row>
    <row r="276" spans="1:3" ht="15">
      <c r="A276" s="2266" t="s">
        <v>6586</v>
      </c>
      <c r="B276" s="1694" t="str">
        <f>CONCATENATE(LEFT(RIGHT(CONCATENATE("000",HH_Debt1516!A276),6),3),"-",(RIGHT(RIGHT(CONCATENATE("000",HH_Debt1516!A276),6),3)))</f>
        <v>086-901</v>
      </c>
      <c r="C276" s="121">
        <v>3892769</v>
      </c>
    </row>
    <row r="277" spans="1:3" ht="15">
      <c r="A277" s="2266" t="s">
        <v>6587</v>
      </c>
      <c r="B277" s="1694" t="str">
        <f>CONCATENATE(LEFT(RIGHT(CONCATENATE("000",HH_Debt1516!A277),6),3),"-",(RIGHT(RIGHT(CONCATENATE("000",HH_Debt1516!A277),6),3)))</f>
        <v>087-901</v>
      </c>
      <c r="C277" s="121">
        <v>1958000</v>
      </c>
    </row>
    <row r="278" spans="1:3" ht="15">
      <c r="A278" s="2266" t="s">
        <v>6588</v>
      </c>
      <c r="B278" s="1694" t="str">
        <f>CONCATENATE(LEFT(RIGHT(CONCATENATE("000",HH_Debt1516!A278),6),3),"-",(RIGHT(RIGHT(CONCATENATE("000",HH_Debt1516!A278),6),3)))</f>
        <v>088-902</v>
      </c>
      <c r="C278" s="121">
        <v>1281994</v>
      </c>
    </row>
    <row r="279" spans="1:3" ht="15">
      <c r="A279" s="2266" t="s">
        <v>4149</v>
      </c>
      <c r="B279" s="1694" t="str">
        <f>CONCATENATE(LEFT(RIGHT(CONCATENATE("000",HH_Debt1516!A279),6),3),"-",(RIGHT(RIGHT(CONCATENATE("000",HH_Debt1516!A279),6),3)))</f>
        <v>089-901</v>
      </c>
      <c r="C279" s="121">
        <v>1450948</v>
      </c>
    </row>
    <row r="280" spans="1:3" ht="15">
      <c r="A280" s="2266" t="s">
        <v>6589</v>
      </c>
      <c r="B280" s="1694" t="str">
        <f>CONCATENATE(LEFT(RIGHT(CONCATENATE("000",HH_Debt1516!A280),6),3),"-",(RIGHT(RIGHT(CONCATENATE("000",HH_Debt1516!A280),6),3)))</f>
        <v>089-903</v>
      </c>
      <c r="C280" s="121">
        <v>1507499</v>
      </c>
    </row>
    <row r="281" spans="1:3" ht="15">
      <c r="A281" s="2266" t="s">
        <v>6590</v>
      </c>
      <c r="B281" s="1694" t="str">
        <f>CONCATENATE(LEFT(RIGHT(CONCATENATE("000",HH_Debt1516!A281),6),3),"-",(RIGHT(RIGHT(CONCATENATE("000",HH_Debt1516!A281),6),3)))</f>
        <v>089-905</v>
      </c>
      <c r="C281" s="121">
        <v>215262</v>
      </c>
    </row>
    <row r="282" spans="1:3" ht="15">
      <c r="A282" s="2266" t="s">
        <v>6591</v>
      </c>
      <c r="B282" s="1694" t="str">
        <f>CONCATENATE(LEFT(RIGHT(CONCATENATE("000",HH_Debt1516!A282),6),3),"-",(RIGHT(RIGHT(CONCATENATE("000",HH_Debt1516!A282),6),3)))</f>
        <v>090-902</v>
      </c>
      <c r="C282" s="121">
        <v>379533</v>
      </c>
    </row>
    <row r="283" spans="1:3" ht="15">
      <c r="A283" s="2266" t="s">
        <v>6592</v>
      </c>
      <c r="B283" s="1694" t="str">
        <f>CONCATENATE(LEFT(RIGHT(CONCATENATE("000",HH_Debt1516!A283),6),3),"-",(RIGHT(RIGHT(CONCATENATE("000",HH_Debt1516!A283),6),3)))</f>
        <v>090-903</v>
      </c>
      <c r="C283" s="121">
        <v>208600</v>
      </c>
    </row>
    <row r="284" spans="1:3" ht="15">
      <c r="A284" s="2266" t="s">
        <v>4150</v>
      </c>
      <c r="B284" s="1694" t="str">
        <f>CONCATENATE(LEFT(RIGHT(CONCATENATE("000",HH_Debt1516!A284),6),3),"-",(RIGHT(RIGHT(CONCATENATE("000",HH_Debt1516!A284),6),3)))</f>
        <v>090-904</v>
      </c>
      <c r="C284" s="121">
        <v>3031468</v>
      </c>
    </row>
    <row r="285" spans="1:3" ht="15">
      <c r="A285" s="2266" t="s">
        <v>6593</v>
      </c>
      <c r="B285" s="1694" t="str">
        <f>CONCATENATE(LEFT(RIGHT(CONCATENATE("000",HH_Debt1516!A285),6),3),"-",(RIGHT(RIGHT(CONCATENATE("000",HH_Debt1516!A285),6),3)))</f>
        <v>090-905</v>
      </c>
      <c r="C285" s="121">
        <v>115080</v>
      </c>
    </row>
    <row r="286" spans="1:3" ht="15">
      <c r="A286" s="2266" t="s">
        <v>4151</v>
      </c>
      <c r="B286" s="1694" t="str">
        <f>CONCATENATE(LEFT(RIGHT(CONCATENATE("000",HH_Debt1516!A286),6),3),"-",(RIGHT(RIGHT(CONCATENATE("000",HH_Debt1516!A286),6),3)))</f>
        <v>091-901</v>
      </c>
      <c r="C286" s="121">
        <v>724094</v>
      </c>
    </row>
    <row r="287" spans="1:3" ht="15">
      <c r="A287" s="2266" t="s">
        <v>5419</v>
      </c>
      <c r="B287" s="1694" t="str">
        <f>CONCATENATE(LEFT(RIGHT(CONCATENATE("000",HH_Debt1516!A287),6),3),"-",(RIGHT(RIGHT(CONCATENATE("000",HH_Debt1516!A287),6),3)))</f>
        <v>091-902</v>
      </c>
      <c r="C287" s="121">
        <v>232485</v>
      </c>
    </row>
    <row r="288" spans="1:3" ht="15">
      <c r="A288" s="2266" t="s">
        <v>6594</v>
      </c>
      <c r="B288" s="1694" t="str">
        <f>CONCATENATE(LEFT(RIGHT(CONCATENATE("000",HH_Debt1516!A288),6),3),"-",(RIGHT(RIGHT(CONCATENATE("000",HH_Debt1516!A288),6),3)))</f>
        <v>091-903</v>
      </c>
      <c r="C288" s="121">
        <v>4908593</v>
      </c>
    </row>
    <row r="289" spans="1:3" ht="15">
      <c r="A289" s="2266" t="s">
        <v>4152</v>
      </c>
      <c r="B289" s="1694" t="str">
        <f>CONCATENATE(LEFT(RIGHT(CONCATENATE("000",HH_Debt1516!A289),6),3),"-",(RIGHT(RIGHT(CONCATENATE("000",HH_Debt1516!A289),6),3)))</f>
        <v>091-905</v>
      </c>
      <c r="C289" s="121">
        <v>985910</v>
      </c>
    </row>
    <row r="290" spans="1:3" ht="15">
      <c r="A290" s="2266" t="s">
        <v>4153</v>
      </c>
      <c r="B290" s="1694" t="str">
        <f>CONCATENATE(LEFT(RIGHT(CONCATENATE("000",HH_Debt1516!A290),6),3),"-",(RIGHT(RIGHT(CONCATENATE("000",HH_Debt1516!A290),6),3)))</f>
        <v>091-906</v>
      </c>
      <c r="C290" s="121">
        <v>9553019</v>
      </c>
    </row>
    <row r="291" spans="1:3" ht="15">
      <c r="A291" s="2266" t="s">
        <v>6595</v>
      </c>
      <c r="B291" s="1694" t="str">
        <f>CONCATENATE(LEFT(RIGHT(CONCATENATE("000",HH_Debt1516!A291),6),3),"-",(RIGHT(RIGHT(CONCATENATE("000",HH_Debt1516!A291),6),3)))</f>
        <v>091-907</v>
      </c>
      <c r="C291" s="121">
        <v>342525</v>
      </c>
    </row>
    <row r="292" spans="1:3" ht="15">
      <c r="A292" s="2266" t="s">
        <v>4154</v>
      </c>
      <c r="B292" s="1694" t="str">
        <f>CONCATENATE(LEFT(RIGHT(CONCATENATE("000",HH_Debt1516!A292),6),3),"-",(RIGHT(RIGHT(CONCATENATE("000",HH_Debt1516!A292),6),3)))</f>
        <v>091-908</v>
      </c>
      <c r="C292" s="121">
        <v>2493045</v>
      </c>
    </row>
    <row r="293" spans="1:3" ht="15">
      <c r="A293" s="2266" t="s">
        <v>4155</v>
      </c>
      <c r="B293" s="1694" t="str">
        <f>CONCATENATE(LEFT(RIGHT(CONCATENATE("000",HH_Debt1516!A293),6),3),"-",(RIGHT(RIGHT(CONCATENATE("000",HH_Debt1516!A293),6),3)))</f>
        <v>091-909</v>
      </c>
      <c r="C293" s="121">
        <v>1179318</v>
      </c>
    </row>
    <row r="294" spans="1:3" ht="15">
      <c r="A294" s="2266" t="s">
        <v>6596</v>
      </c>
      <c r="B294" s="1694" t="str">
        <f>CONCATENATE(LEFT(RIGHT(CONCATENATE("000",HH_Debt1516!A294),6),3),"-",(RIGHT(RIGHT(CONCATENATE("000",HH_Debt1516!A294),6),3)))</f>
        <v>091-910</v>
      </c>
      <c r="C294" s="121">
        <v>532400</v>
      </c>
    </row>
    <row r="295" spans="1:3" ht="15">
      <c r="A295" s="2266" t="s">
        <v>4156</v>
      </c>
      <c r="B295" s="1694" t="str">
        <f>CONCATENATE(LEFT(RIGHT(CONCATENATE("000",HH_Debt1516!A295),6),3),"-",(RIGHT(RIGHT(CONCATENATE("000",HH_Debt1516!A295),6),3)))</f>
        <v>091-913</v>
      </c>
      <c r="C295" s="121">
        <v>890000</v>
      </c>
    </row>
    <row r="296" spans="1:3" ht="15">
      <c r="A296" s="2266" t="s">
        <v>6597</v>
      </c>
      <c r="B296" s="1694" t="str">
        <f>CONCATENATE(LEFT(RIGHT(CONCATENATE("000",HH_Debt1516!A296),6),3),"-",(RIGHT(RIGHT(CONCATENATE("000",HH_Debt1516!A296),6),3)))</f>
        <v>091-914</v>
      </c>
      <c r="C296" s="121">
        <v>839899</v>
      </c>
    </row>
    <row r="297" spans="1:3" ht="15">
      <c r="A297" s="2266" t="s">
        <v>4157</v>
      </c>
      <c r="B297" s="1694" t="str">
        <f>CONCATENATE(LEFT(RIGHT(CONCATENATE("000",HH_Debt1516!A297),6),3),"-",(RIGHT(RIGHT(CONCATENATE("000",HH_Debt1516!A297),6),3)))</f>
        <v>091-917</v>
      </c>
      <c r="C297" s="121">
        <v>1052017</v>
      </c>
    </row>
    <row r="298" spans="1:3" ht="15">
      <c r="A298" s="2266" t="s">
        <v>6598</v>
      </c>
      <c r="B298" s="1694" t="str">
        <f>CONCATENATE(LEFT(RIGHT(CONCATENATE("000",HH_Debt1516!A298),6),3),"-",(RIGHT(RIGHT(CONCATENATE("000",HH_Debt1516!A298),6),3)))</f>
        <v>091-918</v>
      </c>
      <c r="C298" s="121">
        <v>577726</v>
      </c>
    </row>
    <row r="299" spans="1:3" ht="15">
      <c r="A299" s="2266" t="s">
        <v>6599</v>
      </c>
      <c r="B299" s="1694" t="str">
        <f>CONCATENATE(LEFT(RIGHT(CONCATENATE("000",HH_Debt1516!A299),6),3),"-",(RIGHT(RIGHT(CONCATENATE("000",HH_Debt1516!A299),6),3)))</f>
        <v>092-901</v>
      </c>
      <c r="C299" s="121">
        <v>1968881</v>
      </c>
    </row>
    <row r="300" spans="1:3" ht="15">
      <c r="A300" s="2266" t="s">
        <v>6600</v>
      </c>
      <c r="B300" s="1694" t="str">
        <f>CONCATENATE(LEFT(RIGHT(CONCATENATE("000",HH_Debt1516!A300),6),3),"-",(RIGHT(RIGHT(CONCATENATE("000",HH_Debt1516!A300),6),3)))</f>
        <v>092-902</v>
      </c>
      <c r="C300" s="121">
        <v>3602365</v>
      </c>
    </row>
    <row r="301" spans="1:3" ht="15">
      <c r="A301" s="2266" t="s">
        <v>5440</v>
      </c>
      <c r="B301" s="1694" t="str">
        <f>CONCATENATE(LEFT(RIGHT(CONCATENATE("000",HH_Debt1516!A301),6),3),"-",(RIGHT(RIGHT(CONCATENATE("000",HH_Debt1516!A301),6),3)))</f>
        <v>092-903</v>
      </c>
      <c r="C301" s="121">
        <v>17386310</v>
      </c>
    </row>
    <row r="302" spans="1:3" ht="15">
      <c r="A302" s="2266" t="s">
        <v>6601</v>
      </c>
      <c r="B302" s="1694" t="str">
        <f>CONCATENATE(LEFT(RIGHT(CONCATENATE("000",HH_Debt1516!A302),6),3),"-",(RIGHT(RIGHT(CONCATENATE("000",HH_Debt1516!A302),6),3)))</f>
        <v>092-904</v>
      </c>
      <c r="C302" s="121">
        <v>5522345</v>
      </c>
    </row>
    <row r="303" spans="1:3" ht="15">
      <c r="A303" s="2266" t="s">
        <v>6602</v>
      </c>
      <c r="B303" s="1694" t="str">
        <f>CONCATENATE(LEFT(RIGHT(CONCATENATE("000",HH_Debt1516!A303),6),3),"-",(RIGHT(RIGHT(CONCATENATE("000",HH_Debt1516!A303),6),3)))</f>
        <v>092-906</v>
      </c>
      <c r="C303" s="121">
        <v>1031481</v>
      </c>
    </row>
    <row r="304" spans="1:3" ht="15">
      <c r="A304" s="2266" t="s">
        <v>4158</v>
      </c>
      <c r="B304" s="1694" t="str">
        <f>CONCATENATE(LEFT(RIGHT(CONCATENATE("000",HH_Debt1516!A304),6),3),"-",(RIGHT(RIGHT(CONCATENATE("000",HH_Debt1516!A304),6),3)))</f>
        <v>092-907</v>
      </c>
      <c r="C304" s="121">
        <v>2762704</v>
      </c>
    </row>
    <row r="305" spans="1:3" ht="15">
      <c r="A305" s="2266" t="s">
        <v>6603</v>
      </c>
      <c r="B305" s="1694" t="str">
        <f>CONCATENATE(LEFT(RIGHT(CONCATENATE("000",HH_Debt1516!A305),6),3),"-",(RIGHT(RIGHT(CONCATENATE("000",HH_Debt1516!A305),6),3)))</f>
        <v>092-908</v>
      </c>
      <c r="C305" s="121">
        <v>319500</v>
      </c>
    </row>
    <row r="306" spans="1:3" ht="15">
      <c r="A306" s="2266" t="s">
        <v>6604</v>
      </c>
      <c r="B306" s="1694" t="str">
        <f>CONCATENATE(LEFT(RIGHT(CONCATENATE("000",HH_Debt1516!A306),6),3),"-",(RIGHT(RIGHT(CONCATENATE("000",HH_Debt1516!A306),6),3)))</f>
        <v>093-901</v>
      </c>
      <c r="C306" s="121">
        <v>1999701</v>
      </c>
    </row>
    <row r="307" spans="1:3" ht="15">
      <c r="A307" s="2266" t="s">
        <v>4159</v>
      </c>
      <c r="B307" s="1694" t="str">
        <f>CONCATENATE(LEFT(RIGHT(CONCATENATE("000",HH_Debt1516!A307),6),3),"-",(RIGHT(RIGHT(CONCATENATE("000",HH_Debt1516!A307),6),3)))</f>
        <v>093-903</v>
      </c>
      <c r="C307" s="121">
        <v>730775</v>
      </c>
    </row>
    <row r="308" spans="1:3" ht="15">
      <c r="A308" s="2266" t="s">
        <v>6605</v>
      </c>
      <c r="B308" s="1694" t="str">
        <f>CONCATENATE(LEFT(RIGHT(CONCATENATE("000",HH_Debt1516!A308),6),3),"-",(RIGHT(RIGHT(CONCATENATE("000",HH_Debt1516!A308),6),3)))</f>
        <v>093-904</v>
      </c>
      <c r="C308" s="121">
        <v>2182610</v>
      </c>
    </row>
    <row r="309" spans="1:3" ht="15">
      <c r="A309" s="2266" t="s">
        <v>4160</v>
      </c>
      <c r="B309" s="1694" t="str">
        <f>CONCATENATE(LEFT(RIGHT(CONCATENATE("000",HH_Debt1516!A309),6),3),"-",(RIGHT(RIGHT(CONCATENATE("000",HH_Debt1516!A309),6),3)))</f>
        <v>094-901</v>
      </c>
      <c r="C309" s="121">
        <v>9171062</v>
      </c>
    </row>
    <row r="310" spans="1:3" ht="15">
      <c r="A310" s="2266" t="s">
        <v>4161</v>
      </c>
      <c r="B310" s="1694" t="str">
        <f>CONCATENATE(LEFT(RIGHT(CONCATENATE("000",HH_Debt1516!A310),6),3),"-",(RIGHT(RIGHT(CONCATENATE("000",HH_Debt1516!A310),6),3)))</f>
        <v>094-902</v>
      </c>
      <c r="C310" s="121">
        <v>23976056</v>
      </c>
    </row>
    <row r="311" spans="1:3" ht="15">
      <c r="A311" s="2266" t="s">
        <v>4162</v>
      </c>
      <c r="B311" s="1694" t="str">
        <f>CONCATENATE(LEFT(RIGHT(CONCATENATE("000",HH_Debt1516!A311),6),3),"-",(RIGHT(RIGHT(CONCATENATE("000",HH_Debt1516!A311),6),3)))</f>
        <v>094-903</v>
      </c>
      <c r="C311" s="121">
        <v>1560250</v>
      </c>
    </row>
    <row r="312" spans="1:3" ht="15">
      <c r="A312" s="2266" t="s">
        <v>5467</v>
      </c>
      <c r="B312" s="1694" t="str">
        <f>CONCATENATE(LEFT(RIGHT(CONCATENATE("000",HH_Debt1516!A312),6),3),"-",(RIGHT(RIGHT(CONCATENATE("000",HH_Debt1516!A312),6),3)))</f>
        <v>094-904</v>
      </c>
      <c r="C312" s="121">
        <v>651100</v>
      </c>
    </row>
    <row r="313" spans="1:3" ht="15">
      <c r="A313" s="2266" t="s">
        <v>6606</v>
      </c>
      <c r="B313" s="1694" t="str">
        <f>CONCATENATE(LEFT(RIGHT(CONCATENATE("000",HH_Debt1516!A313),6),3),"-",(RIGHT(RIGHT(CONCATENATE("000",HH_Debt1516!A313),6),3)))</f>
        <v>095-901</v>
      </c>
      <c r="C313" s="121">
        <v>1871859</v>
      </c>
    </row>
    <row r="314" spans="1:3" ht="15">
      <c r="A314" s="2266" t="s">
        <v>6607</v>
      </c>
      <c r="B314" s="1694" t="str">
        <f>CONCATENATE(LEFT(RIGHT(CONCATENATE("000",HH_Debt1516!A314),6),3),"-",(RIGHT(RIGHT(CONCATENATE("000",HH_Debt1516!A314),6),3)))</f>
        <v>095-903</v>
      </c>
      <c r="C314" s="121">
        <v>550925</v>
      </c>
    </row>
    <row r="315" spans="1:3" ht="15">
      <c r="A315" s="2266" t="s">
        <v>6608</v>
      </c>
      <c r="B315" s="1694" t="str">
        <f>CONCATENATE(LEFT(RIGHT(CONCATENATE("000",HH_Debt1516!A315),6),3),"-",(RIGHT(RIGHT(CONCATENATE("000",HH_Debt1516!A315),6),3)))</f>
        <v>096-905</v>
      </c>
      <c r="C315" s="121">
        <v>163588</v>
      </c>
    </row>
    <row r="316" spans="1:3" ht="15">
      <c r="A316" s="2266" t="s">
        <v>6609</v>
      </c>
      <c r="B316" s="1694" t="str">
        <f>CONCATENATE(LEFT(RIGHT(CONCATENATE("000",HH_Debt1516!A316),6),3),"-",(RIGHT(RIGHT(CONCATENATE("000",HH_Debt1516!A316),6),3)))</f>
        <v>097-902</v>
      </c>
      <c r="C316" s="121">
        <v>418200</v>
      </c>
    </row>
    <row r="317" spans="1:3" ht="15">
      <c r="A317" s="2266" t="s">
        <v>4163</v>
      </c>
      <c r="B317" s="1694" t="str">
        <f>CONCATENATE(LEFT(RIGHT(CONCATENATE("000",HH_Debt1516!A317),6),3),"-",(RIGHT(RIGHT(CONCATENATE("000",HH_Debt1516!A317),6),3)))</f>
        <v>097-903</v>
      </c>
      <c r="C317" s="121">
        <v>339773</v>
      </c>
    </row>
    <row r="318" spans="1:3" ht="15">
      <c r="A318" s="2266" t="s">
        <v>6610</v>
      </c>
      <c r="B318" s="1694" t="str">
        <f>CONCATENATE(LEFT(RIGHT(CONCATENATE("000",HH_Debt1516!A318),6),3),"-",(RIGHT(RIGHT(CONCATENATE("000",HH_Debt1516!A318),6),3)))</f>
        <v>098-901</v>
      </c>
      <c r="C318" s="121">
        <v>339743</v>
      </c>
    </row>
    <row r="319" spans="1:3" ht="15">
      <c r="A319" s="2266" t="s">
        <v>6611</v>
      </c>
      <c r="B319" s="1694" t="str">
        <f>CONCATENATE(LEFT(RIGHT(CONCATENATE("000",HH_Debt1516!A319),6),3),"-",(RIGHT(RIGHT(CONCATENATE("000",HH_Debt1516!A319),6),3)))</f>
        <v>098-903</v>
      </c>
      <c r="C319" s="121">
        <v>456127</v>
      </c>
    </row>
    <row r="320" spans="1:3" ht="15">
      <c r="A320" s="2266" t="s">
        <v>6612</v>
      </c>
      <c r="B320" s="1694" t="str">
        <f>CONCATENATE(LEFT(RIGHT(CONCATENATE("000",HH_Debt1516!A320),6),3),"-",(RIGHT(RIGHT(CONCATENATE("000",HH_Debt1516!A320),6),3)))</f>
        <v>098-904</v>
      </c>
      <c r="C320" s="121">
        <v>781500</v>
      </c>
    </row>
    <row r="321" spans="1:3" ht="15">
      <c r="A321" s="2266" t="s">
        <v>6613</v>
      </c>
      <c r="B321" s="1694" t="str">
        <f>CONCATENATE(LEFT(RIGHT(CONCATENATE("000",HH_Debt1516!A321),6),3),"-",(RIGHT(RIGHT(CONCATENATE("000",HH_Debt1516!A321),6),3)))</f>
        <v>099-902</v>
      </c>
      <c r="C321" s="121">
        <v>314100</v>
      </c>
    </row>
    <row r="322" spans="1:3" ht="15">
      <c r="A322" s="2266" t="s">
        <v>6614</v>
      </c>
      <c r="B322" s="1694" t="str">
        <f>CONCATENATE(LEFT(RIGHT(CONCATENATE("000",HH_Debt1516!A322),6),3),"-",(RIGHT(RIGHT(CONCATENATE("000",HH_Debt1516!A322),6),3)))</f>
        <v>100-903</v>
      </c>
      <c r="C322" s="121">
        <v>689238</v>
      </c>
    </row>
    <row r="323" spans="1:3" ht="15">
      <c r="A323" s="2266" t="s">
        <v>4164</v>
      </c>
      <c r="B323" s="1694" t="str">
        <f>CONCATENATE(LEFT(RIGHT(CONCATENATE("000",HH_Debt1516!A323),6),3),"-",(RIGHT(RIGHT(CONCATENATE("000",HH_Debt1516!A323),6),3)))</f>
        <v>100-904</v>
      </c>
      <c r="C323" s="121">
        <v>2923937</v>
      </c>
    </row>
    <row r="324" spans="1:3" ht="15">
      <c r="A324" s="2266" t="s">
        <v>6615</v>
      </c>
      <c r="B324" s="1694" t="str">
        <f>CONCATENATE(LEFT(RIGHT(CONCATENATE("000",HH_Debt1516!A324),6),3),"-",(RIGHT(RIGHT(CONCATENATE("000",HH_Debt1516!A324),6),3)))</f>
        <v>100-905</v>
      </c>
      <c r="C324" s="121">
        <v>2143935</v>
      </c>
    </row>
    <row r="325" spans="1:3" ht="15">
      <c r="A325" s="2266" t="s">
        <v>4165</v>
      </c>
      <c r="B325" s="1694" t="str">
        <f>CONCATENATE(LEFT(RIGHT(CONCATENATE("000",HH_Debt1516!A325),6),3),"-",(RIGHT(RIGHT(CONCATENATE("000",HH_Debt1516!A325),6),3)))</f>
        <v>100-907</v>
      </c>
      <c r="C325" s="121">
        <v>1530733</v>
      </c>
    </row>
    <row r="326" spans="1:3" ht="15">
      <c r="A326" s="2266" t="s">
        <v>4166</v>
      </c>
      <c r="B326" s="1694" t="str">
        <f>CONCATENATE(LEFT(RIGHT(CONCATENATE("000",HH_Debt1516!A326),6),3),"-",(RIGHT(RIGHT(CONCATENATE("000",HH_Debt1516!A326),6),3)))</f>
        <v>100-908</v>
      </c>
      <c r="C326" s="121">
        <v>263800</v>
      </c>
    </row>
    <row r="327" spans="1:3" ht="15">
      <c r="A327" s="2266" t="s">
        <v>4167</v>
      </c>
      <c r="B327" s="1694" t="str">
        <f>CONCATENATE(LEFT(RIGHT(CONCATENATE("000",HH_Debt1516!A327),6),3),"-",(RIGHT(RIGHT(CONCATENATE("000",HH_Debt1516!A327),6),3)))</f>
        <v>101-902</v>
      </c>
      <c r="C327" s="121">
        <v>37983988</v>
      </c>
    </row>
    <row r="328" spans="1:3" ht="15">
      <c r="A328" s="2266" t="s">
        <v>4168</v>
      </c>
      <c r="B328" s="1694" t="str">
        <f>CONCATENATE(LEFT(RIGHT(CONCATENATE("000",HH_Debt1516!A328),6),3),"-",(RIGHT(RIGHT(CONCATENATE("000",HH_Debt1516!A328),6),3)))</f>
        <v>101-903</v>
      </c>
      <c r="C328" s="121">
        <v>24255297</v>
      </c>
    </row>
    <row r="329" spans="1:3" ht="15">
      <c r="A329" s="2266" t="s">
        <v>4169</v>
      </c>
      <c r="B329" s="1694" t="str">
        <f>CONCATENATE(LEFT(RIGHT(CONCATENATE("000",HH_Debt1516!A329),6),3),"-",(RIGHT(RIGHT(CONCATENATE("000",HH_Debt1516!A329),6),3)))</f>
        <v>101-905</v>
      </c>
      <c r="C329" s="121">
        <v>10130481</v>
      </c>
    </row>
    <row r="330" spans="1:3" ht="15">
      <c r="A330" s="2266" t="s">
        <v>4170</v>
      </c>
      <c r="B330" s="1694" t="str">
        <f>CONCATENATE(LEFT(RIGHT(CONCATENATE("000",HH_Debt1516!A330),6),3),"-",(RIGHT(RIGHT(CONCATENATE("000",HH_Debt1516!A330),6),3)))</f>
        <v>101-906</v>
      </c>
      <c r="C330" s="121">
        <v>9649063</v>
      </c>
    </row>
    <row r="331" spans="1:3" ht="15">
      <c r="A331" s="2266" t="s">
        <v>6616</v>
      </c>
      <c r="B331" s="1694" t="str">
        <f>CONCATENATE(LEFT(RIGHT(CONCATENATE("000",HH_Debt1516!A331),6),3),"-",(RIGHT(RIGHT(CONCATENATE("000",HH_Debt1516!A331),6),3)))</f>
        <v>101-907</v>
      </c>
      <c r="C331" s="121">
        <v>158323412</v>
      </c>
    </row>
    <row r="332" spans="1:3" ht="15">
      <c r="A332" s="2266" t="s">
        <v>6617</v>
      </c>
      <c r="B332" s="1694" t="str">
        <f>CONCATENATE(LEFT(RIGHT(CONCATENATE("000",HH_Debt1516!A332),6),3),"-",(RIGHT(RIGHT(CONCATENATE("000",HH_Debt1516!A332),6),3)))</f>
        <v>101-908</v>
      </c>
      <c r="C332" s="121">
        <v>24829761</v>
      </c>
    </row>
    <row r="333" spans="1:3" ht="15">
      <c r="A333" s="2266" t="s">
        <v>4171</v>
      </c>
      <c r="B333" s="1694" t="str">
        <f>CONCATENATE(LEFT(RIGHT(CONCATENATE("000",HH_Debt1516!A333),6),3),"-",(RIGHT(RIGHT(CONCATENATE("000",HH_Debt1516!A333),6),3)))</f>
        <v>101-910</v>
      </c>
      <c r="C333" s="121">
        <v>19619737</v>
      </c>
    </row>
    <row r="334" spans="1:3" ht="15">
      <c r="A334" s="2266" t="s">
        <v>6618</v>
      </c>
      <c r="B334" s="1694" t="str">
        <f>CONCATENATE(LEFT(RIGHT(CONCATENATE("000",HH_Debt1516!A334),6),3),"-",(RIGHT(RIGHT(CONCATENATE("000",HH_Debt1516!A334),6),3)))</f>
        <v>101-911</v>
      </c>
      <c r="C334" s="121">
        <v>38999547</v>
      </c>
    </row>
    <row r="335" spans="1:3" ht="15">
      <c r="A335" s="2266" t="s">
        <v>6619</v>
      </c>
      <c r="B335" s="1694" t="str">
        <f>CONCATENATE(LEFT(RIGHT(CONCATENATE("000",HH_Debt1516!A335),6),3),"-",(RIGHT(RIGHT(CONCATENATE("000",HH_Debt1516!A335),6),3)))</f>
        <v>101-912</v>
      </c>
      <c r="C335" s="121">
        <v>183628894</v>
      </c>
    </row>
    <row r="336" spans="1:3" ht="15">
      <c r="A336" s="2266" t="s">
        <v>4172</v>
      </c>
      <c r="B336" s="1694" t="str">
        <f>CONCATENATE(LEFT(RIGHT(CONCATENATE("000",HH_Debt1516!A336),6),3),"-",(RIGHT(RIGHT(CONCATENATE("000",HH_Debt1516!A336),6),3)))</f>
        <v>101-913</v>
      </c>
      <c r="C336" s="121">
        <v>57897578</v>
      </c>
    </row>
    <row r="337" spans="1:3" ht="15">
      <c r="A337" s="2266" t="s">
        <v>4173</v>
      </c>
      <c r="B337" s="1694" t="str">
        <f>CONCATENATE(LEFT(RIGHT(CONCATENATE("000",HH_Debt1516!A337),6),3),"-",(RIGHT(RIGHT(CONCATENATE("000",HH_Debt1516!A337),6),3)))</f>
        <v>101-914</v>
      </c>
      <c r="C337" s="121">
        <v>111046243</v>
      </c>
    </row>
    <row r="338" spans="1:3" ht="15">
      <c r="A338" s="2266" t="s">
        <v>4174</v>
      </c>
      <c r="B338" s="1694" t="str">
        <f>CONCATENATE(LEFT(RIGHT(CONCATENATE("000",HH_Debt1516!A338),6),3),"-",(RIGHT(RIGHT(CONCATENATE("000",HH_Debt1516!A338),6),3)))</f>
        <v>101-915</v>
      </c>
      <c r="C338" s="121">
        <v>70896514</v>
      </c>
    </row>
    <row r="339" spans="1:3" ht="15">
      <c r="A339" s="2266" t="s">
        <v>6620</v>
      </c>
      <c r="B339" s="1694" t="str">
        <f>CONCATENATE(LEFT(RIGHT(CONCATENATE("000",HH_Debt1516!A339),6),3),"-",(RIGHT(RIGHT(CONCATENATE("000",HH_Debt1516!A339),6),3)))</f>
        <v>101-916</v>
      </c>
      <c r="C339" s="121">
        <v>31309741</v>
      </c>
    </row>
    <row r="340" spans="1:3" ht="15">
      <c r="A340" s="2266" t="s">
        <v>4175</v>
      </c>
      <c r="B340" s="1694" t="str">
        <f>CONCATENATE(LEFT(RIGHT(CONCATENATE("000",HH_Debt1516!A340),6),3),"-",(RIGHT(RIGHT(CONCATENATE("000",HH_Debt1516!A340),6),3)))</f>
        <v>101-917</v>
      </c>
      <c r="C340" s="121">
        <v>47247797</v>
      </c>
    </row>
    <row r="341" spans="1:3" ht="15">
      <c r="A341" s="2266" t="s">
        <v>6621</v>
      </c>
      <c r="B341" s="1694" t="str">
        <f>CONCATENATE(LEFT(RIGHT(CONCATENATE("000",HH_Debt1516!A341),6),3),"-",(RIGHT(RIGHT(CONCATENATE("000",HH_Debt1516!A341),6),3)))</f>
        <v>101-919</v>
      </c>
      <c r="C341" s="121">
        <v>47172984</v>
      </c>
    </row>
    <row r="342" spans="1:3" ht="15">
      <c r="A342" s="2266" t="s">
        <v>6622</v>
      </c>
      <c r="B342" s="1694" t="str">
        <f>CONCATENATE(LEFT(RIGHT(CONCATENATE("000",HH_Debt1516!A342),6),3),"-",(RIGHT(RIGHT(CONCATENATE("000",HH_Debt1516!A342),6),3)))</f>
        <v>101-920</v>
      </c>
      <c r="C342" s="121">
        <v>60840874</v>
      </c>
    </row>
    <row r="343" spans="1:3" ht="15">
      <c r="A343" s="2266" t="s">
        <v>6623</v>
      </c>
      <c r="B343" s="1694" t="str">
        <f>CONCATENATE(LEFT(RIGHT(CONCATENATE("000",HH_Debt1516!A343),6),3),"-",(RIGHT(RIGHT(CONCATENATE("000",HH_Debt1516!A343),6),3)))</f>
        <v>101-921</v>
      </c>
      <c r="C343" s="121">
        <v>27764887</v>
      </c>
    </row>
    <row r="344" spans="1:3" ht="15">
      <c r="A344" s="2266" t="s">
        <v>6624</v>
      </c>
      <c r="B344" s="1694" t="str">
        <f>CONCATENATE(LEFT(RIGHT(CONCATENATE("000",HH_Debt1516!A344),6),3),"-",(RIGHT(RIGHT(CONCATENATE("000",HH_Debt1516!A344),6),3)))</f>
        <v>101-924</v>
      </c>
      <c r="C344" s="121">
        <v>11591670</v>
      </c>
    </row>
    <row r="345" spans="1:3" ht="15">
      <c r="A345" s="2266" t="s">
        <v>4176</v>
      </c>
      <c r="B345" s="1694" t="str">
        <f>CONCATENATE(LEFT(RIGHT(CONCATENATE("000",HH_Debt1516!A345),6),3),"-",(RIGHT(RIGHT(CONCATENATE("000",HH_Debt1516!A345),6),3)))</f>
        <v>101-925</v>
      </c>
      <c r="C345" s="121">
        <v>3342732</v>
      </c>
    </row>
    <row r="346" spans="1:3" ht="15">
      <c r="A346" s="2266" t="s">
        <v>6625</v>
      </c>
      <c r="B346" s="1694" t="str">
        <f>CONCATENATE(LEFT(RIGHT(CONCATENATE("000",HH_Debt1516!A346),6),3),"-",(RIGHT(RIGHT(CONCATENATE("000",HH_Debt1516!A346),6),3)))</f>
        <v>102-902</v>
      </c>
      <c r="C346" s="121">
        <v>6888328</v>
      </c>
    </row>
    <row r="347" spans="1:3" ht="15">
      <c r="A347" s="2266" t="s">
        <v>6626</v>
      </c>
      <c r="B347" s="1694" t="str">
        <f>CONCATENATE(LEFT(RIGHT(CONCATENATE("000",HH_Debt1516!A347),6),3),"-",(RIGHT(RIGHT(CONCATENATE("000",HH_Debt1516!A347),6),3)))</f>
        <v>102-903</v>
      </c>
      <c r="C347" s="121">
        <v>505619</v>
      </c>
    </row>
    <row r="348" spans="1:3" ht="15">
      <c r="A348" s="2266" t="s">
        <v>6627</v>
      </c>
      <c r="B348" s="1694" t="str">
        <f>CONCATENATE(LEFT(RIGHT(CONCATENATE("000",HH_Debt1516!A348),6),3),"-",(RIGHT(RIGHT(CONCATENATE("000",HH_Debt1516!A348),6),3)))</f>
        <v>102-904</v>
      </c>
      <c r="C348" s="121">
        <v>7281573</v>
      </c>
    </row>
    <row r="349" spans="1:3" ht="15">
      <c r="A349" s="2266" t="s">
        <v>6628</v>
      </c>
      <c r="B349" s="1694" t="str">
        <f>CONCATENATE(LEFT(RIGHT(CONCATENATE("000",HH_Debt1516!A349),6),3),"-",(RIGHT(RIGHT(CONCATENATE("000",HH_Debt1516!A349),6),3)))</f>
        <v>102-905</v>
      </c>
      <c r="C349" s="121">
        <v>162203</v>
      </c>
    </row>
    <row r="350" spans="1:3" ht="15">
      <c r="A350" s="2266" t="s">
        <v>6629</v>
      </c>
      <c r="B350" s="1694" t="str">
        <f>CONCATENATE(LEFT(RIGHT(CONCATENATE("000",HH_Debt1516!A350),6),3),"-",(RIGHT(RIGHT(CONCATENATE("000",HH_Debt1516!A350),6),3)))</f>
        <v>102-906</v>
      </c>
      <c r="C350" s="121">
        <v>1177273</v>
      </c>
    </row>
    <row r="351" spans="1:3" ht="15">
      <c r="A351" s="2266" t="s">
        <v>6630</v>
      </c>
      <c r="B351" s="1694" t="str">
        <f>CONCATENATE(LEFT(RIGHT(CONCATENATE("000",HH_Debt1516!A351),6),3),"-",(RIGHT(RIGHT(CONCATENATE("000",HH_Debt1516!A351),6),3)))</f>
        <v>103-901</v>
      </c>
      <c r="C351" s="121">
        <v>280175</v>
      </c>
    </row>
    <row r="352" spans="1:3" ht="15">
      <c r="A352" s="2266" t="s">
        <v>6631</v>
      </c>
      <c r="B352" s="1694" t="str">
        <f>CONCATENATE(LEFT(RIGHT(CONCATENATE("000",HH_Debt1516!A352),6),3),"-",(RIGHT(RIGHT(CONCATENATE("000",HH_Debt1516!A352),6),3)))</f>
        <v>103-902</v>
      </c>
      <c r="C352" s="121">
        <v>423362</v>
      </c>
    </row>
    <row r="353" spans="1:3" ht="15">
      <c r="A353" s="2266" t="s">
        <v>4177</v>
      </c>
      <c r="B353" s="1694" t="str">
        <f>CONCATENATE(LEFT(RIGHT(CONCATENATE("000",HH_Debt1516!A353),6),3),"-",(RIGHT(RIGHT(CONCATENATE("000",HH_Debt1516!A353),6),3)))</f>
        <v>104-901</v>
      </c>
      <c r="C353" s="121">
        <v>84923</v>
      </c>
    </row>
    <row r="354" spans="1:3" ht="15">
      <c r="A354" s="2266" t="s">
        <v>6632</v>
      </c>
      <c r="B354" s="1694" t="str">
        <f>CONCATENATE(LEFT(RIGHT(CONCATENATE("000",HH_Debt1516!A354),6),3),"-",(RIGHT(RIGHT(CONCATENATE("000",HH_Debt1516!A354),6),3)))</f>
        <v>104-907</v>
      </c>
      <c r="C354" s="121">
        <v>105566</v>
      </c>
    </row>
    <row r="355" spans="1:3" ht="15">
      <c r="A355" s="2266" t="s">
        <v>6633</v>
      </c>
      <c r="B355" s="1694" t="str">
        <f>CONCATENATE(LEFT(RIGHT(CONCATENATE("000",HH_Debt1516!A355),6),3),"-",(RIGHT(RIGHT(CONCATENATE("000",HH_Debt1516!A355),6),3)))</f>
        <v>105-902</v>
      </c>
      <c r="C355" s="121">
        <v>13436912</v>
      </c>
    </row>
    <row r="356" spans="1:3" ht="15">
      <c r="A356" s="2266" t="s">
        <v>4178</v>
      </c>
      <c r="B356" s="1694" t="str">
        <f>CONCATENATE(LEFT(RIGHT(CONCATENATE("000",HH_Debt1516!A356),6),3),"-",(RIGHT(RIGHT(CONCATENATE("000",HH_Debt1516!A356),6),3)))</f>
        <v>105-904</v>
      </c>
      <c r="C356" s="121">
        <v>14481050</v>
      </c>
    </row>
    <row r="357" spans="1:3" ht="15">
      <c r="A357" s="2266" t="s">
        <v>6634</v>
      </c>
      <c r="B357" s="1694" t="str">
        <f>CONCATENATE(LEFT(RIGHT(CONCATENATE("000",HH_Debt1516!A357),6),3),"-",(RIGHT(RIGHT(CONCATENATE("000",HH_Debt1516!A357),6),3)))</f>
        <v>105-905</v>
      </c>
      <c r="C357" s="121">
        <v>3089522</v>
      </c>
    </row>
    <row r="358" spans="1:3" ht="15">
      <c r="A358" s="2266" t="s">
        <v>4179</v>
      </c>
      <c r="B358" s="1694" t="str">
        <f>CONCATENATE(LEFT(RIGHT(CONCATENATE("000",HH_Debt1516!A358),6),3),"-",(RIGHT(RIGHT(CONCATENATE("000",HH_Debt1516!A358),6),3)))</f>
        <v>105-906</v>
      </c>
      <c r="C358" s="121">
        <v>25995014</v>
      </c>
    </row>
    <row r="359" spans="1:3" ht="15">
      <c r="A359" s="2266" t="s">
        <v>6635</v>
      </c>
      <c r="B359" s="1694" t="str">
        <f>CONCATENATE(LEFT(RIGHT(CONCATENATE("000",HH_Debt1516!A359),6),3),"-",(RIGHT(RIGHT(CONCATENATE("000",HH_Debt1516!A359),6),3)))</f>
        <v>106-901</v>
      </c>
      <c r="C359" s="121">
        <v>550450</v>
      </c>
    </row>
    <row r="360" spans="1:3" ht="15">
      <c r="A360" s="2266" t="s">
        <v>6636</v>
      </c>
      <c r="B360" s="1694" t="str">
        <f>CONCATENATE(LEFT(RIGHT(CONCATENATE("000",HH_Debt1516!A360),6),3),"-",(RIGHT(RIGHT(CONCATENATE("000",HH_Debt1516!A360),6),3)))</f>
        <v>107-901</v>
      </c>
      <c r="C360" s="121">
        <v>1805220</v>
      </c>
    </row>
    <row r="361" spans="1:3" ht="15">
      <c r="A361" s="2266" t="s">
        <v>6637</v>
      </c>
      <c r="B361" s="1694" t="str">
        <f>CONCATENATE(LEFT(RIGHT(CONCATENATE("000",HH_Debt1516!A361),6),3),"-",(RIGHT(RIGHT(CONCATENATE("000",HH_Debt1516!A361),6),3)))</f>
        <v>107-902</v>
      </c>
      <c r="C361" s="121">
        <v>2668500</v>
      </c>
    </row>
    <row r="362" spans="1:3" ht="15">
      <c r="A362" s="2266" t="s">
        <v>6638</v>
      </c>
      <c r="B362" s="1694" t="str">
        <f>CONCATENATE(LEFT(RIGHT(CONCATENATE("000",HH_Debt1516!A362),6),3),"-",(RIGHT(RIGHT(CONCATENATE("000",HH_Debt1516!A362),6),3)))</f>
        <v>107-904</v>
      </c>
      <c r="C362" s="121">
        <v>384750</v>
      </c>
    </row>
    <row r="363" spans="1:3" ht="15">
      <c r="A363" s="2266" t="s">
        <v>6639</v>
      </c>
      <c r="B363" s="1694" t="str">
        <f>CONCATENATE(LEFT(RIGHT(CONCATENATE("000",HH_Debt1516!A363),6),3),"-",(RIGHT(RIGHT(CONCATENATE("000",HH_Debt1516!A363),6),3)))</f>
        <v>107-905</v>
      </c>
      <c r="C363" s="121">
        <v>914118</v>
      </c>
    </row>
    <row r="364" spans="1:3" ht="15">
      <c r="A364" s="2266" t="s">
        <v>6640</v>
      </c>
      <c r="B364" s="1694" t="str">
        <f>CONCATENATE(LEFT(RIGHT(CONCATENATE("000",HH_Debt1516!A364),6),3),"-",(RIGHT(RIGHT(CONCATENATE("000",HH_Debt1516!A364),6),3)))</f>
        <v>107-906</v>
      </c>
      <c r="C364" s="121">
        <v>1785034</v>
      </c>
    </row>
    <row r="365" spans="1:3" ht="15">
      <c r="A365" s="2266" t="s">
        <v>4180</v>
      </c>
      <c r="B365" s="1694" t="str">
        <f>CONCATENATE(LEFT(RIGHT(CONCATENATE("000",HH_Debt1516!A365),6),3),"-",(RIGHT(RIGHT(CONCATENATE("000",HH_Debt1516!A365),6),3)))</f>
        <v>107-907</v>
      </c>
      <c r="C365" s="121">
        <v>147125</v>
      </c>
    </row>
    <row r="366" spans="1:3" ht="15">
      <c r="A366" s="2266" t="s">
        <v>6641</v>
      </c>
      <c r="B366" s="1694" t="str">
        <f>CONCATENATE(LEFT(RIGHT(CONCATENATE("000",HH_Debt1516!A366),6),3),"-",(RIGHT(RIGHT(CONCATENATE("000",HH_Debt1516!A366),6),3)))</f>
        <v>107-910</v>
      </c>
      <c r="C366" s="121">
        <v>532647</v>
      </c>
    </row>
    <row r="367" spans="1:3" ht="15">
      <c r="A367" s="2266" t="s">
        <v>4181</v>
      </c>
      <c r="B367" s="1694" t="str">
        <f>CONCATENATE(LEFT(RIGHT(CONCATENATE("000",HH_Debt1516!A367),6),3),"-",(RIGHT(RIGHT(CONCATENATE("000",HH_Debt1516!A367),6),3)))</f>
        <v>108-902</v>
      </c>
      <c r="C367" s="121">
        <v>8777765</v>
      </c>
    </row>
    <row r="368" spans="1:3" ht="15">
      <c r="A368" s="2266" t="s">
        <v>4182</v>
      </c>
      <c r="B368" s="1694" t="str">
        <f>CONCATENATE(LEFT(RIGHT(CONCATENATE("000",HH_Debt1516!A368),6),3),"-",(RIGHT(RIGHT(CONCATENATE("000",HH_Debt1516!A368),6),3)))</f>
        <v>108-903</v>
      </c>
      <c r="C368" s="121">
        <v>3818738</v>
      </c>
    </row>
    <row r="369" spans="1:3" ht="15">
      <c r="A369" s="2266" t="s">
        <v>4183</v>
      </c>
      <c r="B369" s="1694" t="str">
        <f>CONCATENATE(LEFT(RIGHT(CONCATENATE("000",HH_Debt1516!A369),6),3),"-",(RIGHT(RIGHT(CONCATENATE("000",HH_Debt1516!A369),6),3)))</f>
        <v>108-904</v>
      </c>
      <c r="C369" s="121">
        <v>19120274</v>
      </c>
    </row>
    <row r="370" spans="1:3" ht="15">
      <c r="A370" s="2266" t="s">
        <v>4184</v>
      </c>
      <c r="B370" s="1694" t="str">
        <f>CONCATENATE(LEFT(RIGHT(CONCATENATE("000",HH_Debt1516!A370),6),3),"-",(RIGHT(RIGHT(CONCATENATE("000",HH_Debt1516!A370),6),3)))</f>
        <v>108-905</v>
      </c>
      <c r="C370" s="121">
        <v>4071120</v>
      </c>
    </row>
    <row r="371" spans="1:3" ht="15">
      <c r="A371" s="2266" t="s">
        <v>4185</v>
      </c>
      <c r="B371" s="1694" t="str">
        <f>CONCATENATE(LEFT(RIGHT(CONCATENATE("000",HH_Debt1516!A371),6),3),"-",(RIGHT(RIGHT(CONCATENATE("000",HH_Debt1516!A371),6),3)))</f>
        <v>108-906</v>
      </c>
      <c r="C371" s="121">
        <v>9777200</v>
      </c>
    </row>
    <row r="372" spans="1:3" ht="15">
      <c r="A372" s="2266" t="s">
        <v>4186</v>
      </c>
      <c r="B372" s="1694" t="str">
        <f>CONCATENATE(LEFT(RIGHT(CONCATENATE("000",HH_Debt1516!A372),6),3),"-",(RIGHT(RIGHT(CONCATENATE("000",HH_Debt1516!A372),6),3)))</f>
        <v>108-907</v>
      </c>
      <c r="C372" s="121">
        <v>5462705</v>
      </c>
    </row>
    <row r="373" spans="1:3" ht="15">
      <c r="A373" s="2266" t="s">
        <v>4187</v>
      </c>
      <c r="B373" s="1694" t="str">
        <f>CONCATENATE(LEFT(RIGHT(CONCATENATE("000",HH_Debt1516!A373),6),3),"-",(RIGHT(RIGHT(CONCATENATE("000",HH_Debt1516!A373),6),3)))</f>
        <v>108-908</v>
      </c>
      <c r="C373" s="121">
        <v>10957075</v>
      </c>
    </row>
    <row r="374" spans="1:3" ht="15">
      <c r="A374" s="2266" t="s">
        <v>4188</v>
      </c>
      <c r="B374" s="1694" t="str">
        <f>CONCATENATE(LEFT(RIGHT(CONCATENATE("000",HH_Debt1516!A374),6),3),"-",(RIGHT(RIGHT(CONCATENATE("000",HH_Debt1516!A374),6),3)))</f>
        <v>108-909</v>
      </c>
      <c r="C374" s="121">
        <v>28527241</v>
      </c>
    </row>
    <row r="375" spans="1:3" ht="15">
      <c r="A375" s="2266" t="s">
        <v>4189</v>
      </c>
      <c r="B375" s="1694" t="str">
        <f>CONCATENATE(LEFT(RIGHT(CONCATENATE("000",HH_Debt1516!A375),6),3),"-",(RIGHT(RIGHT(CONCATENATE("000",HH_Debt1516!A375),6),3)))</f>
        <v>108-910</v>
      </c>
      <c r="C375" s="121">
        <v>2204340</v>
      </c>
    </row>
    <row r="376" spans="1:3" ht="15">
      <c r="A376" s="2266" t="s">
        <v>4190</v>
      </c>
      <c r="B376" s="1694" t="str">
        <f>CONCATENATE(LEFT(RIGHT(CONCATENATE("000",HH_Debt1516!A376),6),3),"-",(RIGHT(RIGHT(CONCATENATE("000",HH_Debt1516!A376),6),3)))</f>
        <v>108-911</v>
      </c>
      <c r="C376" s="121">
        <v>8944361</v>
      </c>
    </row>
    <row r="377" spans="1:3" ht="15">
      <c r="A377" s="2266" t="s">
        <v>4191</v>
      </c>
      <c r="B377" s="1694" t="str">
        <f>CONCATENATE(LEFT(RIGHT(CONCATENATE("000",HH_Debt1516!A377),6),3),"-",(RIGHT(RIGHT(CONCATENATE("000",HH_Debt1516!A377),6),3)))</f>
        <v>108-912</v>
      </c>
      <c r="C377" s="121">
        <v>23859497</v>
      </c>
    </row>
    <row r="378" spans="1:3" ht="15">
      <c r="A378" s="2266" t="s">
        <v>4192</v>
      </c>
      <c r="B378" s="1694" t="str">
        <f>CONCATENATE(LEFT(RIGHT(CONCATENATE("000",HH_Debt1516!A378),6),3),"-",(RIGHT(RIGHT(CONCATENATE("000",HH_Debt1516!A378),6),3)))</f>
        <v>108-913</v>
      </c>
      <c r="C378" s="121">
        <v>5551712</v>
      </c>
    </row>
    <row r="379" spans="1:3" ht="15">
      <c r="A379" s="2266" t="s">
        <v>4193</v>
      </c>
      <c r="B379" s="1694" t="str">
        <f>CONCATENATE(LEFT(RIGHT(CONCATENATE("000",HH_Debt1516!A379),6),3),"-",(RIGHT(RIGHT(CONCATENATE("000",HH_Debt1516!A379),6),3)))</f>
        <v>108-914</v>
      </c>
      <c r="C379" s="121">
        <v>494288</v>
      </c>
    </row>
    <row r="380" spans="1:3" ht="15">
      <c r="A380" s="2266" t="s">
        <v>4194</v>
      </c>
      <c r="B380" s="1694" t="str">
        <f>CONCATENATE(LEFT(RIGHT(CONCATENATE("000",HH_Debt1516!A380),6),3),"-",(RIGHT(RIGHT(CONCATENATE("000",HH_Debt1516!A380),6),3)))</f>
        <v>108-915</v>
      </c>
      <c r="C380" s="121">
        <v>978680</v>
      </c>
    </row>
    <row r="381" spans="1:3" ht="15">
      <c r="A381" s="2266" t="s">
        <v>4195</v>
      </c>
      <c r="B381" s="1694" t="str">
        <f>CONCATENATE(LEFT(RIGHT(CONCATENATE("000",HH_Debt1516!A381),6),3),"-",(RIGHT(RIGHT(CONCATENATE("000",HH_Debt1516!A381),6),3)))</f>
        <v>108-916</v>
      </c>
      <c r="C381" s="121">
        <v>3567557</v>
      </c>
    </row>
    <row r="382" spans="1:3" ht="15">
      <c r="A382" s="2266" t="s">
        <v>4196</v>
      </c>
      <c r="B382" s="1694" t="str">
        <f>CONCATENATE(LEFT(RIGHT(CONCATENATE("000",HH_Debt1516!A382),6),3),"-",(RIGHT(RIGHT(CONCATENATE("000",HH_Debt1516!A382),6),3)))</f>
        <v>109-901</v>
      </c>
      <c r="C382" s="121">
        <v>289558</v>
      </c>
    </row>
    <row r="383" spans="1:3" ht="15">
      <c r="A383" s="2266" t="s">
        <v>4197</v>
      </c>
      <c r="B383" s="1694" t="str">
        <f>CONCATENATE(LEFT(RIGHT(CONCATENATE("000",HH_Debt1516!A383),6),3),"-",(RIGHT(RIGHT(CONCATENATE("000",HH_Debt1516!A383),6),3)))</f>
        <v>109-902</v>
      </c>
      <c r="C383" s="121">
        <v>173221</v>
      </c>
    </row>
    <row r="384" spans="1:3" ht="15">
      <c r="A384" s="2266" t="s">
        <v>5676</v>
      </c>
      <c r="B384" s="1694" t="str">
        <f>CONCATENATE(LEFT(RIGHT(CONCATENATE("000",HH_Debt1516!A384),6),3),"-",(RIGHT(RIGHT(CONCATENATE("000",HH_Debt1516!A384),6),3)))</f>
        <v>109-903</v>
      </c>
      <c r="C384" s="121">
        <v>127942</v>
      </c>
    </row>
    <row r="385" spans="1:3" ht="15">
      <c r="A385" s="2266" t="s">
        <v>4198</v>
      </c>
      <c r="B385" s="1694" t="str">
        <f>CONCATENATE(LEFT(RIGHT(CONCATENATE("000",HH_Debt1516!A385),6),3),"-",(RIGHT(RIGHT(CONCATENATE("000",HH_Debt1516!A385),6),3)))</f>
        <v>109-904</v>
      </c>
      <c r="C385" s="121">
        <v>699650</v>
      </c>
    </row>
    <row r="386" spans="1:3" ht="15">
      <c r="A386" s="2266" t="s">
        <v>4199</v>
      </c>
      <c r="B386" s="1694" t="str">
        <f>CONCATENATE(LEFT(RIGHT(CONCATENATE("000",HH_Debt1516!A386),6),3),"-",(RIGHT(RIGHT(CONCATENATE("000",HH_Debt1516!A386),6),3)))</f>
        <v>109-905</v>
      </c>
      <c r="C386" s="121">
        <v>663843</v>
      </c>
    </row>
    <row r="387" spans="1:3" ht="15">
      <c r="A387" s="2266" t="s">
        <v>4200</v>
      </c>
      <c r="B387" s="1694" t="str">
        <f>CONCATENATE(LEFT(RIGHT(CONCATENATE("000",HH_Debt1516!A387),6),3),"-",(RIGHT(RIGHT(CONCATENATE("000",HH_Debt1516!A387),6),3)))</f>
        <v>109-907</v>
      </c>
      <c r="C387" s="121">
        <v>547281</v>
      </c>
    </row>
    <row r="388" spans="1:3" ht="15">
      <c r="A388" s="2266" t="s">
        <v>4201</v>
      </c>
      <c r="B388" s="1694" t="str">
        <f>CONCATENATE(LEFT(RIGHT(CONCATENATE("000",HH_Debt1516!A388),6),3),"-",(RIGHT(RIGHT(CONCATENATE("000",HH_Debt1516!A388),6),3)))</f>
        <v>109-908</v>
      </c>
      <c r="C388" s="121">
        <v>77133</v>
      </c>
    </row>
    <row r="389" spans="1:3" ht="15">
      <c r="A389" s="2266" t="s">
        <v>4202</v>
      </c>
      <c r="B389" s="1694" t="str">
        <f>CONCATENATE(LEFT(RIGHT(CONCATENATE("000",HH_Debt1516!A389),6),3),"-",(RIGHT(RIGHT(CONCATENATE("000",HH_Debt1516!A389),6),3)))</f>
        <v>109-910</v>
      </c>
      <c r="C389" s="121">
        <v>90773</v>
      </c>
    </row>
    <row r="390" spans="1:3" ht="15">
      <c r="A390" s="2266" t="s">
        <v>6642</v>
      </c>
      <c r="B390" s="1694" t="str">
        <f>CONCATENATE(LEFT(RIGHT(CONCATENATE("000",HH_Debt1516!A390),6),3),"-",(RIGHT(RIGHT(CONCATENATE("000",HH_Debt1516!A390),6),3)))</f>
        <v>109-911</v>
      </c>
      <c r="C390" s="121">
        <v>1886556</v>
      </c>
    </row>
    <row r="391" spans="1:3" ht="15">
      <c r="A391" s="2266" t="s">
        <v>4203</v>
      </c>
      <c r="B391" s="1694" t="str">
        <f>CONCATENATE(LEFT(RIGHT(CONCATENATE("000",HH_Debt1516!A391),6),3),"-",(RIGHT(RIGHT(CONCATENATE("000",HH_Debt1516!A391),6),3)))</f>
        <v>109-912</v>
      </c>
      <c r="C391" s="121">
        <v>210836</v>
      </c>
    </row>
    <row r="392" spans="1:3" ht="15">
      <c r="A392" s="2266" t="s">
        <v>5694</v>
      </c>
      <c r="B392" s="1694" t="str">
        <f>CONCATENATE(LEFT(RIGHT(CONCATENATE("000",HH_Debt1516!A392),6),3),"-",(RIGHT(RIGHT(CONCATENATE("000",HH_Debt1516!A392),6),3)))</f>
        <v>109-913</v>
      </c>
      <c r="C392" s="121">
        <v>275335</v>
      </c>
    </row>
    <row r="393" spans="1:3" ht="15">
      <c r="A393" s="2266" t="s">
        <v>6643</v>
      </c>
      <c r="B393" s="1694" t="str">
        <f>CONCATENATE(LEFT(RIGHT(CONCATENATE("000",HH_Debt1516!A393),6),3),"-",(RIGHT(RIGHT(CONCATENATE("000",HH_Debt1516!A393),6),3)))</f>
        <v>110-902</v>
      </c>
      <c r="C393" s="121">
        <v>3817001</v>
      </c>
    </row>
    <row r="394" spans="1:3" ht="15">
      <c r="A394" s="2266" t="s">
        <v>6644</v>
      </c>
      <c r="B394" s="1694" t="str">
        <f>CONCATENATE(LEFT(RIGHT(CONCATENATE("000",HH_Debt1516!A394),6),3),"-",(RIGHT(RIGHT(CONCATENATE("000",HH_Debt1516!A394),6),3)))</f>
        <v>110-905</v>
      </c>
      <c r="C394" s="121">
        <v>300275</v>
      </c>
    </row>
    <row r="395" spans="1:3" ht="15">
      <c r="A395" s="2266" t="s">
        <v>4204</v>
      </c>
      <c r="B395" s="1694" t="str">
        <f>CONCATENATE(LEFT(RIGHT(CONCATENATE("000",HH_Debt1516!A395),6),3),"-",(RIGHT(RIGHT(CONCATENATE("000",HH_Debt1516!A395),6),3)))</f>
        <v>110-906</v>
      </c>
      <c r="C395" s="121">
        <v>108861</v>
      </c>
    </row>
    <row r="396" spans="1:3" ht="15">
      <c r="A396" s="2266" t="s">
        <v>6645</v>
      </c>
      <c r="B396" s="1694" t="str">
        <f>CONCATENATE(LEFT(RIGHT(CONCATENATE("000",HH_Debt1516!A396),6),3),"-",(RIGHT(RIGHT(CONCATENATE("000",HH_Debt1516!A396),6),3)))</f>
        <v>111-901</v>
      </c>
      <c r="C396" s="121">
        <v>9517287</v>
      </c>
    </row>
    <row r="397" spans="1:3" ht="15">
      <c r="A397" s="2266" t="s">
        <v>4205</v>
      </c>
      <c r="B397" s="1694" t="str">
        <f>CONCATENATE(LEFT(RIGHT(CONCATENATE("000",HH_Debt1516!A397),6),3),"-",(RIGHT(RIGHT(CONCATENATE("000",HH_Debt1516!A397),6),3)))</f>
        <v>111-902</v>
      </c>
      <c r="C397" s="121">
        <v>544448</v>
      </c>
    </row>
    <row r="398" spans="1:3" ht="15">
      <c r="A398" s="2266" t="s">
        <v>4206</v>
      </c>
      <c r="B398" s="1694" t="str">
        <f>CONCATENATE(LEFT(RIGHT(CONCATENATE("000",HH_Debt1516!A398),6),3),"-",(RIGHT(RIGHT(CONCATENATE("000",HH_Debt1516!A398),6),3)))</f>
        <v>111-903</v>
      </c>
      <c r="C398" s="121">
        <v>876477</v>
      </c>
    </row>
    <row r="399" spans="1:3" ht="15">
      <c r="A399" s="2266" t="s">
        <v>4207</v>
      </c>
      <c r="B399" s="1694" t="str">
        <f>CONCATENATE(LEFT(RIGHT(CONCATENATE("000",HH_Debt1516!A399),6),3),"-",(RIGHT(RIGHT(CONCATENATE("000",HH_Debt1516!A399),6),3)))</f>
        <v>112-901</v>
      </c>
      <c r="C399" s="121">
        <v>4212648</v>
      </c>
    </row>
    <row r="400" spans="1:3" ht="15">
      <c r="A400" s="2266" t="s">
        <v>4208</v>
      </c>
      <c r="B400" s="1694" t="str">
        <f>CONCATENATE(LEFT(RIGHT(CONCATENATE("000",HH_Debt1516!A400),6),3),"-",(RIGHT(RIGHT(CONCATENATE("000",HH_Debt1516!A400),6),3)))</f>
        <v>112-905</v>
      </c>
      <c r="C400" s="121">
        <v>151294</v>
      </c>
    </row>
    <row r="401" spans="1:3" ht="15">
      <c r="A401" s="2266" t="s">
        <v>6646</v>
      </c>
      <c r="B401" s="1694" t="str">
        <f>CONCATENATE(LEFT(RIGHT(CONCATENATE("000",HH_Debt1516!A401),6),3),"-",(RIGHT(RIGHT(CONCATENATE("000",HH_Debt1516!A401),6),3)))</f>
        <v>112-906</v>
      </c>
      <c r="C401" s="121">
        <v>344022</v>
      </c>
    </row>
    <row r="402" spans="1:3" ht="15">
      <c r="A402" s="2266" t="s">
        <v>4209</v>
      </c>
      <c r="B402" s="1694" t="str">
        <f>CONCATENATE(LEFT(RIGHT(CONCATENATE("000",HH_Debt1516!A402),6),3),"-",(RIGHT(RIGHT(CONCATENATE("000",HH_Debt1516!A402),6),3)))</f>
        <v>112-907</v>
      </c>
      <c r="C402" s="121">
        <v>174700</v>
      </c>
    </row>
    <row r="403" spans="1:3" ht="15">
      <c r="A403" s="2266" t="s">
        <v>4210</v>
      </c>
      <c r="B403" s="1694" t="str">
        <f>CONCATENATE(LEFT(RIGHT(CONCATENATE("000",HH_Debt1516!A403),6),3),"-",(RIGHT(RIGHT(CONCATENATE("000",HH_Debt1516!A403),6),3)))</f>
        <v>112-910</v>
      </c>
      <c r="C403" s="121">
        <v>84892</v>
      </c>
    </row>
    <row r="404" spans="1:3" ht="15">
      <c r="A404" s="2266" t="s">
        <v>6647</v>
      </c>
      <c r="B404" s="1694" t="str">
        <f>CONCATENATE(LEFT(RIGHT(CONCATENATE("000",HH_Debt1516!A404),6),3),"-",(RIGHT(RIGHT(CONCATENATE("000",HH_Debt1516!A404),6),3)))</f>
        <v>113-901</v>
      </c>
      <c r="C404" s="121">
        <v>863901</v>
      </c>
    </row>
    <row r="405" spans="1:3" ht="15">
      <c r="A405" s="2266" t="s">
        <v>6648</v>
      </c>
      <c r="B405" s="1694" t="str">
        <f>CONCATENATE(LEFT(RIGHT(CONCATENATE("000",HH_Debt1516!A405),6),3),"-",(RIGHT(RIGHT(CONCATENATE("000",HH_Debt1516!A405),6),3)))</f>
        <v>113-902</v>
      </c>
      <c r="C405" s="121">
        <v>253025</v>
      </c>
    </row>
    <row r="406" spans="1:3" ht="15">
      <c r="A406" s="2266" t="s">
        <v>6649</v>
      </c>
      <c r="B406" s="1694" t="str">
        <f>CONCATENATE(LEFT(RIGHT(CONCATENATE("000",HH_Debt1516!A406),6),3),"-",(RIGHT(RIGHT(CONCATENATE("000",HH_Debt1516!A406),6),3)))</f>
        <v>113-905</v>
      </c>
      <c r="C406" s="121">
        <v>243743</v>
      </c>
    </row>
    <row r="407" spans="1:3" ht="15">
      <c r="A407" s="2266" t="s">
        <v>4211</v>
      </c>
      <c r="B407" s="1694" t="str">
        <f>CONCATENATE(LEFT(RIGHT(CONCATENATE("000",HH_Debt1516!A407),6),3),"-",(RIGHT(RIGHT(CONCATENATE("000",HH_Debt1516!A407),6),3)))</f>
        <v>114-901</v>
      </c>
      <c r="C407" s="121">
        <v>3963965</v>
      </c>
    </row>
    <row r="408" spans="1:3" ht="15">
      <c r="A408" s="2266" t="s">
        <v>6650</v>
      </c>
      <c r="B408" s="1694" t="str">
        <f>CONCATENATE(LEFT(RIGHT(CONCATENATE("000",HH_Debt1516!A408),6),3),"-",(RIGHT(RIGHT(CONCATENATE("000",HH_Debt1516!A408),6),3)))</f>
        <v>114-902</v>
      </c>
      <c r="C408" s="121">
        <v>770822</v>
      </c>
    </row>
    <row r="409" spans="1:3" ht="15">
      <c r="A409" s="2266" t="s">
        <v>6651</v>
      </c>
      <c r="B409" s="1694" t="str">
        <f>CONCATENATE(LEFT(RIGHT(CONCATENATE("000",HH_Debt1516!A409),6),3),"-",(RIGHT(RIGHT(CONCATENATE("000",HH_Debt1516!A409),6),3)))</f>
        <v>114-904</v>
      </c>
      <c r="C409" s="121">
        <v>2095601</v>
      </c>
    </row>
    <row r="410" spans="1:3" ht="15">
      <c r="A410" s="2266" t="s">
        <v>6652</v>
      </c>
      <c r="B410" s="1694" t="str">
        <f>CONCATENATE(LEFT(RIGHT(CONCATENATE("000",HH_Debt1516!A410),6),3),"-",(RIGHT(RIGHT(CONCATENATE("000",HH_Debt1516!A410),6),3)))</f>
        <v>115-901</v>
      </c>
      <c r="C410" s="121">
        <v>117100</v>
      </c>
    </row>
    <row r="411" spans="1:3" ht="15">
      <c r="A411" s="2266" t="s">
        <v>4212</v>
      </c>
      <c r="B411" s="1694" t="str">
        <f>CONCATENATE(LEFT(RIGHT(CONCATENATE("000",HH_Debt1516!A411),6),3),"-",(RIGHT(RIGHT(CONCATENATE("000",HH_Debt1516!A411),6),3)))</f>
        <v>116-901</v>
      </c>
      <c r="C411" s="121">
        <v>2224912</v>
      </c>
    </row>
    <row r="412" spans="1:3" ht="15">
      <c r="A412" s="2266" t="s">
        <v>4213</v>
      </c>
      <c r="B412" s="1694" t="str">
        <f>CONCATENATE(LEFT(RIGHT(CONCATENATE("000",HH_Debt1516!A412),6),3),"-",(RIGHT(RIGHT(CONCATENATE("000",HH_Debt1516!A412),6),3)))</f>
        <v>116-902</v>
      </c>
      <c r="C412" s="121">
        <v>539975</v>
      </c>
    </row>
    <row r="413" spans="1:3" ht="15">
      <c r="A413" s="2266" t="s">
        <v>4214</v>
      </c>
      <c r="B413" s="1694" t="str">
        <f>CONCATENATE(LEFT(RIGHT(CONCATENATE("000",HH_Debt1516!A413),6),3),"-",(RIGHT(RIGHT(CONCATENATE("000",HH_Debt1516!A413),6),3)))</f>
        <v>116-903</v>
      </c>
      <c r="C413" s="121">
        <v>2087523</v>
      </c>
    </row>
    <row r="414" spans="1:3" ht="15">
      <c r="A414" s="2266" t="s">
        <v>6653</v>
      </c>
      <c r="B414" s="1694" t="str">
        <f>CONCATENATE(LEFT(RIGHT(CONCATENATE("000",HH_Debt1516!A414),6),3),"-",(RIGHT(RIGHT(CONCATENATE("000",HH_Debt1516!A414),6),3)))</f>
        <v>116-905</v>
      </c>
      <c r="C414" s="121">
        <v>5372813</v>
      </c>
    </row>
    <row r="415" spans="1:3" ht="15">
      <c r="A415" s="2266" t="s">
        <v>4215</v>
      </c>
      <c r="B415" s="1694" t="str">
        <f>CONCATENATE(LEFT(RIGHT(CONCATENATE("000",HH_Debt1516!A415),6),3),"-",(RIGHT(RIGHT(CONCATENATE("000",HH_Debt1516!A415),6),3)))</f>
        <v>116-906</v>
      </c>
      <c r="C415" s="121">
        <v>800606</v>
      </c>
    </row>
    <row r="416" spans="1:3" ht="15">
      <c r="A416" s="2266" t="s">
        <v>4216</v>
      </c>
      <c r="B416" s="1694" t="str">
        <f>CONCATENATE(LEFT(RIGHT(CONCATENATE("000",HH_Debt1516!A416),6),3),"-",(RIGHT(RIGHT(CONCATENATE("000",HH_Debt1516!A416),6),3)))</f>
        <v>116-908</v>
      </c>
      <c r="C416" s="121">
        <v>1643975</v>
      </c>
    </row>
    <row r="417" spans="1:3" ht="15">
      <c r="A417" s="2266" t="s">
        <v>4217</v>
      </c>
      <c r="B417" s="1694" t="str">
        <f>CONCATENATE(LEFT(RIGHT(CONCATENATE("000",HH_Debt1516!A417),6),3),"-",(RIGHT(RIGHT(CONCATENATE("000",HH_Debt1516!A417),6),3)))</f>
        <v>116-909</v>
      </c>
      <c r="C417" s="121">
        <v>392097</v>
      </c>
    </row>
    <row r="418" spans="1:3" ht="15">
      <c r="A418" s="2266" t="s">
        <v>6654</v>
      </c>
      <c r="B418" s="1694" t="str">
        <f>CONCATENATE(LEFT(RIGHT(CONCATENATE("000",HH_Debt1516!A418),6),3),"-",(RIGHT(RIGHT(CONCATENATE("000",HH_Debt1516!A418),6),3)))</f>
        <v>116-910</v>
      </c>
      <c r="C418" s="121">
        <v>55183</v>
      </c>
    </row>
    <row r="419" spans="1:3" ht="15">
      <c r="A419" s="2266" t="s">
        <v>4218</v>
      </c>
      <c r="B419" s="1694" t="str">
        <f>CONCATENATE(LEFT(RIGHT(CONCATENATE("000",HH_Debt1516!A419),6),3),"-",(RIGHT(RIGHT(CONCATENATE("000",HH_Debt1516!A419),6),3)))</f>
        <v>116-915</v>
      </c>
      <c r="C419" s="121">
        <v>829117</v>
      </c>
    </row>
    <row r="420" spans="1:3" ht="15">
      <c r="A420" s="2266" t="s">
        <v>4219</v>
      </c>
      <c r="B420" s="1694" t="str">
        <f>CONCATENATE(LEFT(RIGHT(CONCATENATE("000",HH_Debt1516!A420),6),3),"-",(RIGHT(RIGHT(CONCATENATE("000",HH_Debt1516!A420),6),3)))</f>
        <v>116-916</v>
      </c>
      <c r="C420" s="121">
        <v>590159</v>
      </c>
    </row>
    <row r="421" spans="1:3" ht="15">
      <c r="A421" s="2266" t="s">
        <v>6655</v>
      </c>
      <c r="B421" s="1694" t="str">
        <f>CONCATENATE(LEFT(RIGHT(CONCATENATE("000",HH_Debt1516!A421),6),3),"-",(RIGHT(RIGHT(CONCATENATE("000",HH_Debt1516!A421),6),3)))</f>
        <v>117-901</v>
      </c>
      <c r="C421" s="121">
        <v>2259013</v>
      </c>
    </row>
    <row r="422" spans="1:3" ht="15">
      <c r="A422" s="2266" t="s">
        <v>6656</v>
      </c>
      <c r="B422" s="1694" t="str">
        <f>CONCATENATE(LEFT(RIGHT(CONCATENATE("000",HH_Debt1516!A422),6),3),"-",(RIGHT(RIGHT(CONCATENATE("000",HH_Debt1516!A422),6),3)))</f>
        <v>117-903</v>
      </c>
      <c r="C422" s="121">
        <v>630696</v>
      </c>
    </row>
    <row r="423" spans="1:3" ht="15">
      <c r="A423" s="2266" t="s">
        <v>6657</v>
      </c>
      <c r="B423" s="1694" t="str">
        <f>CONCATENATE(LEFT(RIGHT(CONCATENATE("000",HH_Debt1516!A423),6),3),"-",(RIGHT(RIGHT(CONCATENATE("000",HH_Debt1516!A423),6),3)))</f>
        <v>117-904</v>
      </c>
      <c r="C423" s="121">
        <v>4173188</v>
      </c>
    </row>
    <row r="424" spans="1:3" ht="15">
      <c r="A424" s="2266" t="s">
        <v>6658</v>
      </c>
      <c r="B424" s="1694" t="str">
        <f>CONCATENATE(LEFT(RIGHT(CONCATENATE("000",HH_Debt1516!A424),6),3),"-",(RIGHT(RIGHT(CONCATENATE("000",HH_Debt1516!A424),6),3)))</f>
        <v>118-902</v>
      </c>
      <c r="C424" s="121">
        <v>904888</v>
      </c>
    </row>
    <row r="425" spans="1:3" ht="15">
      <c r="A425" s="2266" t="s">
        <v>6659</v>
      </c>
      <c r="B425" s="1694" t="str">
        <f>CONCATENATE(LEFT(RIGHT(CONCATENATE("000",HH_Debt1516!A425),6),3),"-",(RIGHT(RIGHT(CONCATENATE("000",HH_Debt1516!A425),6),3)))</f>
        <v>119-901</v>
      </c>
      <c r="C425" s="121">
        <v>1247088</v>
      </c>
    </row>
    <row r="426" spans="1:3" ht="15">
      <c r="A426" s="2266" t="s">
        <v>6660</v>
      </c>
      <c r="B426" s="1694" t="str">
        <f>CONCATENATE(LEFT(RIGHT(CONCATENATE("000",HH_Debt1516!A426),6),3),"-",(RIGHT(RIGHT(CONCATENATE("000",HH_Debt1516!A426),6),3)))</f>
        <v>119-902</v>
      </c>
      <c r="C426" s="121">
        <v>4234331</v>
      </c>
    </row>
    <row r="427" spans="1:3" ht="15">
      <c r="A427" s="2266" t="s">
        <v>6661</v>
      </c>
      <c r="B427" s="1694" t="str">
        <f>CONCATENATE(LEFT(RIGHT(CONCATENATE("000",HH_Debt1516!A427),6),3),"-",(RIGHT(RIGHT(CONCATENATE("000",HH_Debt1516!A427),6),3)))</f>
        <v>119-903</v>
      </c>
      <c r="C427" s="121">
        <v>531793</v>
      </c>
    </row>
    <row r="428" spans="1:3" ht="15">
      <c r="A428" s="2266" t="s">
        <v>6662</v>
      </c>
      <c r="B428" s="1694" t="str">
        <f>CONCATENATE(LEFT(RIGHT(CONCATENATE("000",HH_Debt1516!A428),6),3),"-",(RIGHT(RIGHT(CONCATENATE("000",HH_Debt1516!A428),6),3)))</f>
        <v>120-901</v>
      </c>
      <c r="C428" s="121">
        <v>1443898</v>
      </c>
    </row>
    <row r="429" spans="1:3" ht="15">
      <c r="A429" s="2266" t="s">
        <v>4220</v>
      </c>
      <c r="B429" s="1694" t="str">
        <f>CONCATENATE(LEFT(RIGHT(CONCATENATE("000",HH_Debt1516!A429),6),3),"-",(RIGHT(RIGHT(CONCATENATE("000",HH_Debt1516!A429),6),3)))</f>
        <v>120-902</v>
      </c>
      <c r="C429" s="121">
        <v>380329</v>
      </c>
    </row>
    <row r="430" spans="1:3" ht="15">
      <c r="A430" s="2266" t="s">
        <v>6663</v>
      </c>
      <c r="B430" s="1694" t="str">
        <f>CONCATENATE(LEFT(RIGHT(CONCATENATE("000",HH_Debt1516!A430),6),3),"-",(RIGHT(RIGHT(CONCATENATE("000",HH_Debt1516!A430),6),3)))</f>
        <v>120-905</v>
      </c>
      <c r="C430" s="121">
        <v>563700</v>
      </c>
    </row>
    <row r="431" spans="1:3" ht="15">
      <c r="A431" s="2266" t="s">
        <v>4221</v>
      </c>
      <c r="B431" s="1694" t="str">
        <f>CONCATENATE(LEFT(RIGHT(CONCATENATE("000",HH_Debt1516!A431),6),3),"-",(RIGHT(RIGHT(CONCATENATE("000",HH_Debt1516!A431),6),3)))</f>
        <v>121-903</v>
      </c>
      <c r="C431" s="121">
        <v>1800840</v>
      </c>
    </row>
    <row r="432" spans="1:3" ht="15">
      <c r="A432" s="2266" t="s">
        <v>4222</v>
      </c>
      <c r="B432" s="1694" t="str">
        <f>CONCATENATE(LEFT(RIGHT(CONCATENATE("000",HH_Debt1516!A432),6),3),"-",(RIGHT(RIGHT(CONCATENATE("000",HH_Debt1516!A432),6),3)))</f>
        <v>121-904</v>
      </c>
      <c r="C432" s="121">
        <v>1532503</v>
      </c>
    </row>
    <row r="433" spans="1:3" ht="15">
      <c r="A433" s="2266" t="s">
        <v>4223</v>
      </c>
      <c r="B433" s="1694" t="str">
        <f>CONCATENATE(LEFT(RIGHT(CONCATENATE("000",HH_Debt1516!A433),6),3),"-",(RIGHT(RIGHT(CONCATENATE("000",HH_Debt1516!A433),6),3)))</f>
        <v>121-905</v>
      </c>
      <c r="C433" s="121">
        <v>1480169</v>
      </c>
    </row>
    <row r="434" spans="1:3" ht="15">
      <c r="A434" s="2266" t="s">
        <v>6664</v>
      </c>
      <c r="B434" s="1694" t="str">
        <f>CONCATENATE(LEFT(RIGHT(CONCATENATE("000",HH_Debt1516!A434),6),3),"-",(RIGHT(RIGHT(CONCATENATE("000",HH_Debt1516!A434),6),3)))</f>
        <v>121-906</v>
      </c>
      <c r="C434" s="121">
        <v>845025</v>
      </c>
    </row>
    <row r="435" spans="1:3" ht="15">
      <c r="A435" s="2266" t="s">
        <v>4224</v>
      </c>
      <c r="B435" s="1694" t="str">
        <f>CONCATENATE(LEFT(RIGHT(CONCATENATE("000",HH_Debt1516!A435),6),3),"-",(RIGHT(RIGHT(CONCATENATE("000",HH_Debt1516!A435),6),3)))</f>
        <v>123-905</v>
      </c>
      <c r="C435" s="121">
        <v>2332179</v>
      </c>
    </row>
    <row r="436" spans="1:3" ht="15">
      <c r="A436" s="2266" t="s">
        <v>6665</v>
      </c>
      <c r="B436" s="1694" t="str">
        <f>CONCATENATE(LEFT(RIGHT(CONCATENATE("000",HH_Debt1516!A436),6),3),"-",(RIGHT(RIGHT(CONCATENATE("000",HH_Debt1516!A436),6),3)))</f>
        <v>123-907</v>
      </c>
      <c r="C436" s="121">
        <v>23637170</v>
      </c>
    </row>
    <row r="437" spans="1:3" ht="15">
      <c r="A437" s="2266" t="s">
        <v>6666</v>
      </c>
      <c r="B437" s="1694" t="str">
        <f>CONCATENATE(LEFT(RIGHT(CONCATENATE("000",HH_Debt1516!A437),6),3),"-",(RIGHT(RIGHT(CONCATENATE("000",HH_Debt1516!A437),6),3)))</f>
        <v>123-908</v>
      </c>
      <c r="C437" s="121">
        <v>10115514</v>
      </c>
    </row>
    <row r="438" spans="1:3" ht="15">
      <c r="A438" s="2266" t="s">
        <v>6667</v>
      </c>
      <c r="B438" s="1694" t="str">
        <f>CONCATENATE(LEFT(RIGHT(CONCATENATE("000",HH_Debt1516!A438),6),3),"-",(RIGHT(RIGHT(CONCATENATE("000",HH_Debt1516!A438),6),3)))</f>
        <v>123-910</v>
      </c>
      <c r="C438" s="121">
        <v>26853348</v>
      </c>
    </row>
    <row r="439" spans="1:3" ht="15">
      <c r="A439" s="2266" t="s">
        <v>6668</v>
      </c>
      <c r="B439" s="1694" t="str">
        <f>CONCATENATE(LEFT(RIGHT(CONCATENATE("000",HH_Debt1516!A439),6),3),"-",(RIGHT(RIGHT(CONCATENATE("000",HH_Debt1516!A439),6),3)))</f>
        <v>123-913</v>
      </c>
      <c r="C439" s="121">
        <v>1585658</v>
      </c>
    </row>
    <row r="440" spans="1:3" ht="15">
      <c r="A440" s="2266" t="s">
        <v>4225</v>
      </c>
      <c r="B440" s="1694" t="str">
        <f>CONCATENATE(LEFT(RIGHT(CONCATENATE("000",HH_Debt1516!A440),6),3),"-",(RIGHT(RIGHT(CONCATENATE("000",HH_Debt1516!A440),6),3)))</f>
        <v>123-914</v>
      </c>
      <c r="C440" s="121">
        <v>1032965</v>
      </c>
    </row>
    <row r="441" spans="1:3" ht="15">
      <c r="A441" s="2266" t="s">
        <v>6669</v>
      </c>
      <c r="B441" s="1694" t="str">
        <f>CONCATENATE(LEFT(RIGHT(CONCATENATE("000",HH_Debt1516!A441),6),3),"-",(RIGHT(RIGHT(CONCATENATE("000",HH_Debt1516!A441),6),3)))</f>
        <v>124-901</v>
      </c>
      <c r="C441" s="121">
        <v>373638</v>
      </c>
    </row>
    <row r="442" spans="1:3" ht="15">
      <c r="A442" s="2266" t="s">
        <v>4226</v>
      </c>
      <c r="B442" s="1694" t="str">
        <f>CONCATENATE(LEFT(RIGHT(CONCATENATE("000",HH_Debt1516!A442),6),3),"-",(RIGHT(RIGHT(CONCATENATE("000",HH_Debt1516!A442),6),3)))</f>
        <v>125-901</v>
      </c>
      <c r="C442" s="121">
        <v>3754788</v>
      </c>
    </row>
    <row r="443" spans="1:3" ht="15">
      <c r="A443" s="2266" t="s">
        <v>4227</v>
      </c>
      <c r="B443" s="1694" t="str">
        <f>CONCATENATE(LEFT(RIGHT(CONCATENATE("000",HH_Debt1516!A443),6),3),"-",(RIGHT(RIGHT(CONCATENATE("000",HH_Debt1516!A443),6),3)))</f>
        <v>125-902</v>
      </c>
      <c r="C443" s="121">
        <v>429055</v>
      </c>
    </row>
    <row r="444" spans="1:3" ht="15">
      <c r="A444" s="2266" t="s">
        <v>4228</v>
      </c>
      <c r="B444" s="1694" t="str">
        <f>CONCATENATE(LEFT(RIGHT(CONCATENATE("000",HH_Debt1516!A444),6),3),"-",(RIGHT(RIGHT(CONCATENATE("000",HH_Debt1516!A444),6),3)))</f>
        <v>125-903</v>
      </c>
      <c r="C444" s="121">
        <v>1233750</v>
      </c>
    </row>
    <row r="445" spans="1:3" ht="15">
      <c r="A445" s="2266" t="s">
        <v>4229</v>
      </c>
      <c r="B445" s="1694" t="str">
        <f>CONCATENATE(LEFT(RIGHT(CONCATENATE("000",HH_Debt1516!A445),6),3),"-",(RIGHT(RIGHT(CONCATENATE("000",HH_Debt1516!A445),6),3)))</f>
        <v>125-905</v>
      </c>
      <c r="C445" s="121">
        <v>229776</v>
      </c>
    </row>
    <row r="446" spans="1:3" ht="15">
      <c r="A446" s="2266" t="s">
        <v>4230</v>
      </c>
      <c r="B446" s="1694" t="str">
        <f>CONCATENATE(LEFT(RIGHT(CONCATENATE("000",HH_Debt1516!A446),6),3),"-",(RIGHT(RIGHT(CONCATENATE("000",HH_Debt1516!A446),6),3)))</f>
        <v>126-901</v>
      </c>
      <c r="C446" s="121">
        <v>5450075</v>
      </c>
    </row>
    <row r="447" spans="1:3" ht="15">
      <c r="A447" s="2266" t="s">
        <v>4231</v>
      </c>
      <c r="B447" s="1694" t="str">
        <f>CONCATENATE(LEFT(RIGHT(CONCATENATE("000",HH_Debt1516!A447),6),3),"-",(RIGHT(RIGHT(CONCATENATE("000",HH_Debt1516!A447),6),3)))</f>
        <v>126-902</v>
      </c>
      <c r="C447" s="121">
        <v>21368151</v>
      </c>
    </row>
    <row r="448" spans="1:3" ht="15">
      <c r="A448" s="2266" t="s">
        <v>6670</v>
      </c>
      <c r="B448" s="1694" t="str">
        <f>CONCATENATE(LEFT(RIGHT(CONCATENATE("000",HH_Debt1516!A448),6),3),"-",(RIGHT(RIGHT(CONCATENATE("000",HH_Debt1516!A448),6),3)))</f>
        <v>126-903</v>
      </c>
      <c r="C448" s="121">
        <v>5450531</v>
      </c>
    </row>
    <row r="449" spans="1:3" ht="15">
      <c r="A449" s="2266" t="s">
        <v>5781</v>
      </c>
      <c r="B449" s="1694" t="str">
        <f>CONCATENATE(LEFT(RIGHT(CONCATENATE("000",HH_Debt1516!A449),6),3),"-",(RIGHT(RIGHT(CONCATENATE("000",HH_Debt1516!A449),6),3)))</f>
        <v>126-904</v>
      </c>
      <c r="C449" s="121">
        <v>1126330</v>
      </c>
    </row>
    <row r="450" spans="1:3" ht="15">
      <c r="A450" s="2266" t="s">
        <v>4232</v>
      </c>
      <c r="B450" s="1694" t="str">
        <f>CONCATENATE(LEFT(RIGHT(CONCATENATE("000",HH_Debt1516!A450),6),3),"-",(RIGHT(RIGHT(CONCATENATE("000",HH_Debt1516!A450),6),3)))</f>
        <v>126-905</v>
      </c>
      <c r="C450" s="121">
        <v>7373278</v>
      </c>
    </row>
    <row r="451" spans="1:3" ht="15">
      <c r="A451" s="2266" t="s">
        <v>4233</v>
      </c>
      <c r="B451" s="1694" t="str">
        <f>CONCATENATE(LEFT(RIGHT(CONCATENATE("000",HH_Debt1516!A451),6),3),"-",(RIGHT(RIGHT(CONCATENATE("000",HH_Debt1516!A451),6),3)))</f>
        <v>126-906</v>
      </c>
      <c r="C451" s="121">
        <v>887312</v>
      </c>
    </row>
    <row r="452" spans="1:3" ht="15">
      <c r="A452" s="2266" t="s">
        <v>4234</v>
      </c>
      <c r="B452" s="1694" t="str">
        <f>CONCATENATE(LEFT(RIGHT(CONCATENATE("000",HH_Debt1516!A452),6),3),"-",(RIGHT(RIGHT(CONCATENATE("000",HH_Debt1516!A452),6),3)))</f>
        <v>126-907</v>
      </c>
      <c r="C452" s="121">
        <v>1166843</v>
      </c>
    </row>
    <row r="453" spans="1:3" ht="15">
      <c r="A453" s="2266" t="s">
        <v>4235</v>
      </c>
      <c r="B453" s="1694" t="str">
        <f>CONCATENATE(LEFT(RIGHT(CONCATENATE("000",HH_Debt1516!A453),6),3),"-",(RIGHT(RIGHT(CONCATENATE("000",HH_Debt1516!A453),6),3)))</f>
        <v>126-908</v>
      </c>
      <c r="C453" s="121">
        <v>1119797</v>
      </c>
    </row>
    <row r="454" spans="1:3" ht="15">
      <c r="A454" s="2266" t="s">
        <v>4236</v>
      </c>
      <c r="B454" s="1694" t="str">
        <f>CONCATENATE(LEFT(RIGHT(CONCATENATE("000",HH_Debt1516!A454),6),3),"-",(RIGHT(RIGHT(CONCATENATE("000",HH_Debt1516!A454),6),3)))</f>
        <v>126-911</v>
      </c>
      <c r="C454" s="121">
        <v>2377812</v>
      </c>
    </row>
    <row r="455" spans="1:3" ht="15">
      <c r="A455" s="2266" t="s">
        <v>6671</v>
      </c>
      <c r="B455" s="1694" t="str">
        <f>CONCATENATE(LEFT(RIGHT(CONCATENATE("000",HH_Debt1516!A455),6),3),"-",(RIGHT(RIGHT(CONCATENATE("000",HH_Debt1516!A455),6),3)))</f>
        <v>127-901</v>
      </c>
      <c r="C455" s="121">
        <v>521208</v>
      </c>
    </row>
    <row r="456" spans="1:3" ht="15">
      <c r="A456" s="2266" t="s">
        <v>6672</v>
      </c>
      <c r="B456" s="1694" t="str">
        <f>CONCATENATE(LEFT(RIGHT(CONCATENATE("000",HH_Debt1516!A456),6),3),"-",(RIGHT(RIGHT(CONCATENATE("000",HH_Debt1516!A456),6),3)))</f>
        <v>127-903</v>
      </c>
      <c r="C456" s="121">
        <v>330000</v>
      </c>
    </row>
    <row r="457" spans="1:3" ht="15">
      <c r="A457" s="2266" t="s">
        <v>6673</v>
      </c>
      <c r="B457" s="1694" t="str">
        <f>CONCATENATE(LEFT(RIGHT(CONCATENATE("000",HH_Debt1516!A457),6),3),"-",(RIGHT(RIGHT(CONCATENATE("000",HH_Debt1516!A457),6),3)))</f>
        <v>127-904</v>
      </c>
      <c r="C457" s="121">
        <v>548950</v>
      </c>
    </row>
    <row r="458" spans="1:3" ht="15">
      <c r="A458" s="2266" t="s">
        <v>4237</v>
      </c>
      <c r="B458" s="1694" t="str">
        <f>CONCATENATE(LEFT(RIGHT(CONCATENATE("000",HH_Debt1516!A458),6),3),"-",(RIGHT(RIGHT(CONCATENATE("000",HH_Debt1516!A458),6),3)))</f>
        <v>127-905</v>
      </c>
      <c r="C458" s="121">
        <v>89500</v>
      </c>
    </row>
    <row r="459" spans="1:3" ht="15">
      <c r="A459" s="2266" t="s">
        <v>4238</v>
      </c>
      <c r="B459" s="1694" t="str">
        <f>CONCATENATE(LEFT(RIGHT(CONCATENATE("000",HH_Debt1516!A459),6),3),"-",(RIGHT(RIGHT(CONCATENATE("000",HH_Debt1516!A459),6),3)))</f>
        <v>127-906</v>
      </c>
      <c r="C459" s="121">
        <v>476898</v>
      </c>
    </row>
    <row r="460" spans="1:3" ht="15">
      <c r="A460" s="2266" t="s">
        <v>5802</v>
      </c>
      <c r="B460" s="1694" t="str">
        <f>CONCATENATE(LEFT(RIGHT(CONCATENATE("000",HH_Debt1516!A460),6),3),"-",(RIGHT(RIGHT(CONCATENATE("000",HH_Debt1516!A460),6),3)))</f>
        <v>128-901</v>
      </c>
      <c r="C460" s="121">
        <v>7286261</v>
      </c>
    </row>
    <row r="461" spans="1:3" ht="15">
      <c r="A461" s="2266" t="s">
        <v>4239</v>
      </c>
      <c r="B461" s="1694" t="str">
        <f>CONCATENATE(LEFT(RIGHT(CONCATENATE("000",HH_Debt1516!A461),6),3),"-",(RIGHT(RIGHT(CONCATENATE("000",HH_Debt1516!A461),6),3)))</f>
        <v>128-902</v>
      </c>
      <c r="C461" s="121">
        <v>1449687</v>
      </c>
    </row>
    <row r="462" spans="1:3" ht="15">
      <c r="A462" s="2266" t="s">
        <v>6674</v>
      </c>
      <c r="B462" s="1694" t="str">
        <f>CONCATENATE(LEFT(RIGHT(CONCATENATE("000",HH_Debt1516!A462),6),3),"-",(RIGHT(RIGHT(CONCATENATE("000",HH_Debt1516!A462),6),3)))</f>
        <v>128-903</v>
      </c>
      <c r="C462" s="121">
        <v>595848</v>
      </c>
    </row>
    <row r="463" spans="1:3" ht="15">
      <c r="A463" s="2266" t="s">
        <v>4240</v>
      </c>
      <c r="B463" s="1694" t="str">
        <f>CONCATENATE(LEFT(RIGHT(CONCATENATE("000",HH_Debt1516!A463),6),3),"-",(RIGHT(RIGHT(CONCATENATE("000",HH_Debt1516!A463),6),3)))</f>
        <v>128-904</v>
      </c>
      <c r="C463" s="121">
        <v>2563750</v>
      </c>
    </row>
    <row r="464" spans="1:3" ht="15">
      <c r="A464" s="2266" t="s">
        <v>4241</v>
      </c>
      <c r="B464" s="1694" t="str">
        <f>CONCATENATE(LEFT(RIGHT(CONCATENATE("000",HH_Debt1516!A464),6),3),"-",(RIGHT(RIGHT(CONCATENATE("000",HH_Debt1516!A464),6),3)))</f>
        <v>129-901</v>
      </c>
      <c r="C464" s="121">
        <v>4598348</v>
      </c>
    </row>
    <row r="465" spans="1:3" ht="15">
      <c r="A465" s="2266" t="s">
        <v>4242</v>
      </c>
      <c r="B465" s="1694" t="str">
        <f>CONCATENATE(LEFT(RIGHT(CONCATENATE("000",HH_Debt1516!A465),6),3),"-",(RIGHT(RIGHT(CONCATENATE("000",HH_Debt1516!A465),6),3)))</f>
        <v>129-902</v>
      </c>
      <c r="C465" s="121">
        <v>14532913</v>
      </c>
    </row>
    <row r="466" spans="1:3" ht="15">
      <c r="A466" s="2266" t="s">
        <v>4243</v>
      </c>
      <c r="B466" s="1694" t="str">
        <f>CONCATENATE(LEFT(RIGHT(CONCATENATE("000",HH_Debt1516!A466),6),3),"-",(RIGHT(RIGHT(CONCATENATE("000",HH_Debt1516!A466),6),3)))</f>
        <v>129-903</v>
      </c>
      <c r="C466" s="121">
        <v>2757221</v>
      </c>
    </row>
    <row r="467" spans="1:3" ht="15">
      <c r="A467" s="2266" t="s">
        <v>4244</v>
      </c>
      <c r="B467" s="1694" t="str">
        <f>CONCATENATE(LEFT(RIGHT(CONCATENATE("000",HH_Debt1516!A467),6),3),"-",(RIGHT(RIGHT(CONCATENATE("000",HH_Debt1516!A467),6),3)))</f>
        <v>129-904</v>
      </c>
      <c r="C467" s="121">
        <v>1962972</v>
      </c>
    </row>
    <row r="468" spans="1:3" ht="15">
      <c r="A468" s="2266" t="s">
        <v>6675</v>
      </c>
      <c r="B468" s="1694" t="str">
        <f>CONCATENATE(LEFT(RIGHT(CONCATENATE("000",HH_Debt1516!A468),6),3),"-",(RIGHT(RIGHT(CONCATENATE("000",HH_Debt1516!A468),6),3)))</f>
        <v>129-905</v>
      </c>
      <c r="C468" s="121">
        <v>3031771</v>
      </c>
    </row>
    <row r="469" spans="1:3" ht="15">
      <c r="A469" s="2266" t="s">
        <v>6676</v>
      </c>
      <c r="B469" s="1694" t="str">
        <f>CONCATENATE(LEFT(RIGHT(CONCATENATE("000",HH_Debt1516!A469),6),3),"-",(RIGHT(RIGHT(CONCATENATE("000",HH_Debt1516!A469),6),3)))</f>
        <v>129-906</v>
      </c>
      <c r="C469" s="121">
        <v>3912700</v>
      </c>
    </row>
    <row r="470" spans="1:3" ht="15">
      <c r="A470" s="2266" t="s">
        <v>4245</v>
      </c>
      <c r="B470" s="1694" t="str">
        <f>CONCATENATE(LEFT(RIGHT(CONCATENATE("000",HH_Debt1516!A470),6),3),"-",(RIGHT(RIGHT(CONCATENATE("000",HH_Debt1516!A470),6),3)))</f>
        <v>129-910</v>
      </c>
      <c r="C470" s="121">
        <v>626882</v>
      </c>
    </row>
    <row r="471" spans="1:3" ht="15">
      <c r="A471" s="2266" t="s">
        <v>6677</v>
      </c>
      <c r="B471" s="1694" t="str">
        <f>CONCATENATE(LEFT(RIGHT(CONCATENATE("000",HH_Debt1516!A471),6),3),"-",(RIGHT(RIGHT(CONCATENATE("000",HH_Debt1516!A471),6),3)))</f>
        <v>130-901</v>
      </c>
      <c r="C471" s="121">
        <v>15582380</v>
      </c>
    </row>
    <row r="472" spans="1:3" ht="15">
      <c r="A472" s="2266" t="s">
        <v>6678</v>
      </c>
      <c r="B472" s="1694" t="str">
        <f>CONCATENATE(LEFT(RIGHT(CONCATENATE("000",HH_Debt1516!A472),6),3),"-",(RIGHT(RIGHT(CONCATENATE("000",HH_Debt1516!A472),6),3)))</f>
        <v>130-902</v>
      </c>
      <c r="C472" s="121">
        <v>1286073</v>
      </c>
    </row>
    <row r="473" spans="1:3" ht="15">
      <c r="A473" s="2266" t="s">
        <v>6679</v>
      </c>
      <c r="B473" s="1694" t="str">
        <f>CONCATENATE(LEFT(RIGHT(CONCATENATE("000",HH_Debt1516!A473),6),3),"-",(RIGHT(RIGHT(CONCATENATE("000",HH_Debt1516!A473),6),3)))</f>
        <v>131-001</v>
      </c>
      <c r="C473" s="121">
        <v>301844</v>
      </c>
    </row>
    <row r="474" spans="1:3" ht="15">
      <c r="A474" s="2266" t="s">
        <v>4246</v>
      </c>
      <c r="B474" s="1694" t="str">
        <f>CONCATENATE(LEFT(RIGHT(CONCATENATE("000",HH_Debt1516!A474),6),3),"-",(RIGHT(RIGHT(CONCATENATE("000",HH_Debt1516!A474),6),3)))</f>
        <v>133-901</v>
      </c>
      <c r="C474" s="121">
        <v>133175</v>
      </c>
    </row>
    <row r="475" spans="1:3" ht="15">
      <c r="A475" s="2266" t="s">
        <v>6680</v>
      </c>
      <c r="B475" s="1694" t="str">
        <f>CONCATENATE(LEFT(RIGHT(CONCATENATE("000",HH_Debt1516!A475),6),3),"-",(RIGHT(RIGHT(CONCATENATE("000",HH_Debt1516!A475),6),3)))</f>
        <v>133-902</v>
      </c>
      <c r="C475" s="121">
        <v>309275</v>
      </c>
    </row>
    <row r="476" spans="1:3" ht="15">
      <c r="A476" s="2266" t="s">
        <v>6681</v>
      </c>
      <c r="B476" s="1694" t="str">
        <f>CONCATENATE(LEFT(RIGHT(CONCATENATE("000",HH_Debt1516!A476),6),3),"-",(RIGHT(RIGHT(CONCATENATE("000",HH_Debt1516!A476),6),3)))</f>
        <v>133-903</v>
      </c>
      <c r="C476" s="121">
        <v>3384481</v>
      </c>
    </row>
    <row r="477" spans="1:3" ht="15">
      <c r="A477" s="2266" t="s">
        <v>6682</v>
      </c>
      <c r="B477" s="1694" t="str">
        <f>CONCATENATE(LEFT(RIGHT(CONCATENATE("000",HH_Debt1516!A477),6),3),"-",(RIGHT(RIGHT(CONCATENATE("000",HH_Debt1516!A477),6),3)))</f>
        <v>133-904</v>
      </c>
      <c r="C477" s="121">
        <v>990225</v>
      </c>
    </row>
    <row r="478" spans="1:3" ht="15">
      <c r="A478" s="2266" t="s">
        <v>6683</v>
      </c>
      <c r="B478" s="1694" t="str">
        <f>CONCATENATE(LEFT(RIGHT(CONCATENATE("000",HH_Debt1516!A478),6),3),"-",(RIGHT(RIGHT(CONCATENATE("000",HH_Debt1516!A478),6),3)))</f>
        <v>135-001</v>
      </c>
      <c r="C478" s="121">
        <v>848219</v>
      </c>
    </row>
    <row r="479" spans="1:3" ht="15">
      <c r="A479" s="2266" t="s">
        <v>4247</v>
      </c>
      <c r="B479" s="1694" t="str">
        <f>CONCATENATE(LEFT(RIGHT(CONCATENATE("000",HH_Debt1516!A479),6),3),"-",(RIGHT(RIGHT(CONCATENATE("000",HH_Debt1516!A479),6),3)))</f>
        <v>137-901</v>
      </c>
      <c r="C479" s="121">
        <v>4908382</v>
      </c>
    </row>
    <row r="480" spans="1:3" ht="15">
      <c r="A480" s="2266" t="s">
        <v>6684</v>
      </c>
      <c r="B480" s="1694" t="str">
        <f>CONCATENATE(LEFT(RIGHT(CONCATENATE("000",HH_Debt1516!A480),6),3),"-",(RIGHT(RIGHT(CONCATENATE("000",HH_Debt1516!A480),6),3)))</f>
        <v>137-904</v>
      </c>
      <c r="C480" s="121">
        <v>644690</v>
      </c>
    </row>
    <row r="481" spans="1:3" ht="15">
      <c r="A481" s="2266" t="s">
        <v>4248</v>
      </c>
      <c r="B481" s="1694" t="str">
        <f>CONCATENATE(LEFT(RIGHT(CONCATENATE("000",HH_Debt1516!A481),6),3),"-",(RIGHT(RIGHT(CONCATENATE("000",HH_Debt1516!A481),6),3)))</f>
        <v>138-902</v>
      </c>
      <c r="C481" s="121">
        <v>90875</v>
      </c>
    </row>
    <row r="482" spans="1:3" ht="15">
      <c r="A482" s="2266" t="s">
        <v>6685</v>
      </c>
      <c r="B482" s="1694" t="str">
        <f>CONCATENATE(LEFT(RIGHT(CONCATENATE("000",HH_Debt1516!A482),6),3),"-",(RIGHT(RIGHT(CONCATENATE("000",HH_Debt1516!A482),6),3)))</f>
        <v>139-905</v>
      </c>
      <c r="C482" s="121">
        <v>1189025</v>
      </c>
    </row>
    <row r="483" spans="1:3" ht="15">
      <c r="A483" s="2266" t="s">
        <v>4249</v>
      </c>
      <c r="B483" s="1694" t="str">
        <f>CONCATENATE(LEFT(RIGHT(CONCATENATE("000",HH_Debt1516!A483),6),3),"-",(RIGHT(RIGHT(CONCATENATE("000",HH_Debt1516!A483),6),3)))</f>
        <v>139-908</v>
      </c>
      <c r="C483" s="121">
        <v>77221</v>
      </c>
    </row>
    <row r="484" spans="1:3" ht="15">
      <c r="A484" s="2266" t="s">
        <v>4250</v>
      </c>
      <c r="B484" s="1694" t="str">
        <f>CONCATENATE(LEFT(RIGHT(CONCATENATE("000",HH_Debt1516!A484),6),3),"-",(RIGHT(RIGHT(CONCATENATE("000",HH_Debt1516!A484),6),3)))</f>
        <v>139-909</v>
      </c>
      <c r="C484" s="121">
        <v>3295050</v>
      </c>
    </row>
    <row r="485" spans="1:3" ht="15">
      <c r="A485" s="2266" t="s">
        <v>6686</v>
      </c>
      <c r="B485" s="1694" t="str">
        <f>CONCATENATE(LEFT(RIGHT(CONCATENATE("000",HH_Debt1516!A485),6),3),"-",(RIGHT(RIGHT(CONCATENATE("000",HH_Debt1516!A485),6),3)))</f>
        <v>139-911</v>
      </c>
      <c r="C485" s="121">
        <v>723100</v>
      </c>
    </row>
    <row r="486" spans="1:3" ht="15">
      <c r="A486" s="2266" t="s">
        <v>4251</v>
      </c>
      <c r="B486" s="1694" t="str">
        <f>CONCATENATE(LEFT(RIGHT(CONCATENATE("000",HH_Debt1516!A486),6),3),"-",(RIGHT(RIGHT(CONCATENATE("000",HH_Debt1516!A486),6),3)))</f>
        <v>139-912</v>
      </c>
      <c r="C486" s="121">
        <v>636639</v>
      </c>
    </row>
    <row r="487" spans="1:3" ht="15">
      <c r="A487" s="2266" t="s">
        <v>5854</v>
      </c>
      <c r="B487" s="1694" t="str">
        <f>CONCATENATE(LEFT(RIGHT(CONCATENATE("000",HH_Debt1516!A487),6),3),"-",(RIGHT(RIGHT(CONCATENATE("000",HH_Debt1516!A487),6),3)))</f>
        <v>140-905</v>
      </c>
      <c r="C487" s="121">
        <v>186125</v>
      </c>
    </row>
    <row r="488" spans="1:3" ht="15">
      <c r="A488" s="2266" t="s">
        <v>6687</v>
      </c>
      <c r="B488" s="1694" t="str">
        <f>CONCATENATE(LEFT(RIGHT(CONCATENATE("000",HH_Debt1516!A488),6),3),"-",(RIGHT(RIGHT(CONCATENATE("000",HH_Debt1516!A488),6),3)))</f>
        <v>140-908</v>
      </c>
      <c r="C488" s="121">
        <v>688092</v>
      </c>
    </row>
    <row r="489" spans="1:3" ht="15">
      <c r="A489" s="2266" t="s">
        <v>4252</v>
      </c>
      <c r="B489" s="1694" t="str">
        <f>CONCATENATE(LEFT(RIGHT(CONCATENATE("000",HH_Debt1516!A489),6),3),"-",(RIGHT(RIGHT(CONCATENATE("000",HH_Debt1516!A489),6),3)))</f>
        <v>141-901</v>
      </c>
      <c r="C489" s="121">
        <v>3157727</v>
      </c>
    </row>
    <row r="490" spans="1:3" ht="15">
      <c r="A490" s="2266" t="s">
        <v>6688</v>
      </c>
      <c r="B490" s="1694" t="str">
        <f>CONCATENATE(LEFT(RIGHT(CONCATENATE("000",HH_Debt1516!A490),6),3),"-",(RIGHT(RIGHT(CONCATENATE("000",HH_Debt1516!A490),6),3)))</f>
        <v>141-902</v>
      </c>
      <c r="C490" s="121">
        <v>375812</v>
      </c>
    </row>
    <row r="491" spans="1:3" ht="15">
      <c r="A491" s="2266" t="s">
        <v>4253</v>
      </c>
      <c r="B491" s="1694" t="str">
        <f>CONCATENATE(LEFT(RIGHT(CONCATENATE("000",HH_Debt1516!A491),6),3),"-",(RIGHT(RIGHT(CONCATENATE("000",HH_Debt1516!A491),6),3)))</f>
        <v>142-901</v>
      </c>
      <c r="C491" s="121">
        <v>8881963</v>
      </c>
    </row>
    <row r="492" spans="1:3" ht="15">
      <c r="A492" s="2266" t="s">
        <v>6689</v>
      </c>
      <c r="B492" s="1694" t="str">
        <f>CONCATENATE(LEFT(RIGHT(CONCATENATE("000",HH_Debt1516!A492),6),3),"-",(RIGHT(RIGHT(CONCATENATE("000",HH_Debt1516!A492),6),3)))</f>
        <v>143-901</v>
      </c>
      <c r="C492" s="121">
        <v>1618624</v>
      </c>
    </row>
    <row r="493" spans="1:3" ht="15">
      <c r="A493" s="2266" t="s">
        <v>6690</v>
      </c>
      <c r="B493" s="1694" t="str">
        <f>CONCATENATE(LEFT(RIGHT(CONCATENATE("000",HH_Debt1516!A493),6),3),"-",(RIGHT(RIGHT(CONCATENATE("000",HH_Debt1516!A493),6),3)))</f>
        <v>143-906</v>
      </c>
      <c r="C493" s="121">
        <v>223050</v>
      </c>
    </row>
    <row r="494" spans="1:3" ht="15">
      <c r="A494" s="2266" t="s">
        <v>6691</v>
      </c>
      <c r="B494" s="1694" t="str">
        <f>CONCATENATE(LEFT(RIGHT(CONCATENATE("000",HH_Debt1516!A494),6),3),"-",(RIGHT(RIGHT(CONCATENATE("000",HH_Debt1516!A494),6),3)))</f>
        <v>144-901</v>
      </c>
      <c r="C494" s="121">
        <v>2509283</v>
      </c>
    </row>
    <row r="495" spans="1:3" ht="15">
      <c r="A495" s="2266" t="s">
        <v>6692</v>
      </c>
      <c r="B495" s="1694" t="str">
        <f>CONCATENATE(LEFT(RIGHT(CONCATENATE("000",HH_Debt1516!A495),6),3),"-",(RIGHT(RIGHT(CONCATENATE("000",HH_Debt1516!A495),6),3)))</f>
        <v>144-902</v>
      </c>
      <c r="C495" s="121">
        <v>129915</v>
      </c>
    </row>
    <row r="496" spans="1:3" ht="15">
      <c r="A496" s="2266" t="s">
        <v>6693</v>
      </c>
      <c r="B496" s="1694" t="str">
        <f>CONCATENATE(LEFT(RIGHT(CONCATENATE("000",HH_Debt1516!A496),6),3),"-",(RIGHT(RIGHT(CONCATENATE("000",HH_Debt1516!A496),6),3)))</f>
        <v>145-901</v>
      </c>
      <c r="C496" s="121">
        <v>1431093</v>
      </c>
    </row>
    <row r="497" spans="1:3" ht="15">
      <c r="A497" s="2266" t="s">
        <v>6694</v>
      </c>
      <c r="B497" s="1694" t="str">
        <f>CONCATENATE(LEFT(RIGHT(CONCATENATE("000",HH_Debt1516!A497),6),3),"-",(RIGHT(RIGHT(CONCATENATE("000",HH_Debt1516!A497),6),3)))</f>
        <v>145-902</v>
      </c>
      <c r="C497" s="121">
        <v>1201975</v>
      </c>
    </row>
    <row r="498" spans="1:3" ht="15">
      <c r="A498" s="2266" t="s">
        <v>6695</v>
      </c>
      <c r="B498" s="1694" t="str">
        <f>CONCATENATE(LEFT(RIGHT(CONCATENATE("000",HH_Debt1516!A498),6),3),"-",(RIGHT(RIGHT(CONCATENATE("000",HH_Debt1516!A498),6),3)))</f>
        <v>145-906</v>
      </c>
      <c r="C498" s="121">
        <v>678852</v>
      </c>
    </row>
    <row r="499" spans="1:3" ht="15">
      <c r="A499" s="2266" t="s">
        <v>6696</v>
      </c>
      <c r="B499" s="1694" t="str">
        <f>CONCATENATE(LEFT(RIGHT(CONCATENATE("000",HH_Debt1516!A499),6),3),"-",(RIGHT(RIGHT(CONCATENATE("000",HH_Debt1516!A499),6),3)))</f>
        <v>145-907</v>
      </c>
      <c r="C499" s="121">
        <v>158494</v>
      </c>
    </row>
    <row r="500" spans="1:3" ht="15">
      <c r="A500" s="2266" t="s">
        <v>6697</v>
      </c>
      <c r="B500" s="1694" t="str">
        <f>CONCATENATE(LEFT(RIGHT(CONCATENATE("000",HH_Debt1516!A500),6),3),"-",(RIGHT(RIGHT(CONCATENATE("000",HH_Debt1516!A500),6),3)))</f>
        <v>145-911</v>
      </c>
      <c r="C500" s="121">
        <v>1434850</v>
      </c>
    </row>
    <row r="501" spans="1:3" ht="15">
      <c r="A501" s="2266" t="s">
        <v>4254</v>
      </c>
      <c r="B501" s="1694" t="str">
        <f>CONCATENATE(LEFT(RIGHT(CONCATENATE("000",HH_Debt1516!A501),6),3),"-",(RIGHT(RIGHT(CONCATENATE("000",HH_Debt1516!A501),6),3)))</f>
        <v>146-901</v>
      </c>
      <c r="C501" s="121">
        <v>2907773</v>
      </c>
    </row>
    <row r="502" spans="1:3" ht="15">
      <c r="A502" s="2266" t="s">
        <v>4255</v>
      </c>
      <c r="B502" s="1694" t="str">
        <f>CONCATENATE(LEFT(RIGHT(CONCATENATE("000",HH_Debt1516!A502),6),3),"-",(RIGHT(RIGHT(CONCATENATE("000",HH_Debt1516!A502),6),3)))</f>
        <v>146-902</v>
      </c>
      <c r="C502" s="121">
        <v>6533457</v>
      </c>
    </row>
    <row r="503" spans="1:3" ht="15">
      <c r="A503" s="2266" t="s">
        <v>6698</v>
      </c>
      <c r="B503" s="1694" t="str">
        <f>CONCATENATE(LEFT(RIGHT(CONCATENATE("000",HH_Debt1516!A503),6),3),"-",(RIGHT(RIGHT(CONCATENATE("000",HH_Debt1516!A503),6),3)))</f>
        <v>146-903</v>
      </c>
      <c r="C503" s="121">
        <v>136900</v>
      </c>
    </row>
    <row r="504" spans="1:3" ht="15">
      <c r="A504" s="2266" t="s">
        <v>4256</v>
      </c>
      <c r="B504" s="1694" t="str">
        <f>CONCATENATE(LEFT(RIGHT(CONCATENATE("000",HH_Debt1516!A504),6),3),"-",(RIGHT(RIGHT(CONCATENATE("000",HH_Debt1516!A504),6),3)))</f>
        <v>146-904</v>
      </c>
      <c r="C504" s="121">
        <v>1099460</v>
      </c>
    </row>
    <row r="505" spans="1:3" ht="15">
      <c r="A505" s="2266" t="s">
        <v>4257</v>
      </c>
      <c r="B505" s="1694" t="str">
        <f>CONCATENATE(LEFT(RIGHT(CONCATENATE("000",HH_Debt1516!A505),6),3),"-",(RIGHT(RIGHT(CONCATENATE("000",HH_Debt1516!A505),6),3)))</f>
        <v>146-905</v>
      </c>
      <c r="C505" s="121">
        <v>273678</v>
      </c>
    </row>
    <row r="506" spans="1:3" ht="15">
      <c r="A506" s="2266" t="s">
        <v>6699</v>
      </c>
      <c r="B506" s="1694" t="str">
        <f>CONCATENATE(LEFT(RIGHT(CONCATENATE("000",HH_Debt1516!A506),6),3),"-",(RIGHT(RIGHT(CONCATENATE("000",HH_Debt1516!A506),6),3)))</f>
        <v>146-906</v>
      </c>
      <c r="C506" s="121">
        <v>3048710</v>
      </c>
    </row>
    <row r="507" spans="1:3" ht="15">
      <c r="A507" s="2266" t="s">
        <v>6700</v>
      </c>
      <c r="B507" s="1694" t="str">
        <f>CONCATENATE(LEFT(RIGHT(CONCATENATE("000",HH_Debt1516!A507),6),3),"-",(RIGHT(RIGHT(CONCATENATE("000",HH_Debt1516!A507),6),3)))</f>
        <v>146-907</v>
      </c>
      <c r="C507" s="121">
        <v>746115</v>
      </c>
    </row>
    <row r="508" spans="1:3" ht="15">
      <c r="A508" s="2266" t="s">
        <v>4258</v>
      </c>
      <c r="B508" s="1694" t="str">
        <f>CONCATENATE(LEFT(RIGHT(CONCATENATE("000",HH_Debt1516!A508),6),3),"-",(RIGHT(RIGHT(CONCATENATE("000",HH_Debt1516!A508),6),3)))</f>
        <v>147-901</v>
      </c>
      <c r="C508" s="121">
        <v>213950</v>
      </c>
    </row>
    <row r="509" spans="1:3" ht="15">
      <c r="A509" s="2266" t="s">
        <v>6701</v>
      </c>
      <c r="B509" s="1694" t="str">
        <f>CONCATENATE(LEFT(RIGHT(CONCATENATE("000",HH_Debt1516!A509),6),3),"-",(RIGHT(RIGHT(CONCATENATE("000",HH_Debt1516!A509),6),3)))</f>
        <v>147-902</v>
      </c>
      <c r="C509" s="121">
        <v>3221025</v>
      </c>
    </row>
    <row r="510" spans="1:3" ht="15">
      <c r="A510" s="2266" t="s">
        <v>6702</v>
      </c>
      <c r="B510" s="1694" t="str">
        <f>CONCATENATE(LEFT(RIGHT(CONCATENATE("000",HH_Debt1516!A510),6),3),"-",(RIGHT(RIGHT(CONCATENATE("000",HH_Debt1516!A510),6),3)))</f>
        <v>147-903</v>
      </c>
      <c r="C510" s="121">
        <v>699200</v>
      </c>
    </row>
    <row r="511" spans="1:3" ht="15">
      <c r="A511" s="2266" t="s">
        <v>6703</v>
      </c>
      <c r="B511" s="1694" t="str">
        <f>CONCATENATE(LEFT(RIGHT(CONCATENATE("000",HH_Debt1516!A511),6),3),"-",(RIGHT(RIGHT(CONCATENATE("000",HH_Debt1516!A511),6),3)))</f>
        <v>148-901</v>
      </c>
      <c r="C511" s="121">
        <v>170722</v>
      </c>
    </row>
    <row r="512" spans="1:3" ht="15">
      <c r="A512" s="2266" t="s">
        <v>6704</v>
      </c>
      <c r="B512" s="1694" t="str">
        <f>CONCATENATE(LEFT(RIGHT(CONCATENATE("000",HH_Debt1516!A512),6),3),"-",(RIGHT(RIGHT(CONCATENATE("000",HH_Debt1516!A512),6),3)))</f>
        <v>148-902</v>
      </c>
      <c r="C512" s="121">
        <v>284250</v>
      </c>
    </row>
    <row r="513" spans="1:3" ht="15">
      <c r="A513" s="2266" t="s">
        <v>6705</v>
      </c>
      <c r="B513" s="1694" t="str">
        <f>CONCATENATE(LEFT(RIGHT(CONCATENATE("000",HH_Debt1516!A513),6),3),"-",(RIGHT(RIGHT(CONCATENATE("000",HH_Debt1516!A513),6),3)))</f>
        <v>148-903</v>
      </c>
      <c r="C513" s="121">
        <v>478450</v>
      </c>
    </row>
    <row r="514" spans="1:3" ht="15">
      <c r="A514" s="2266" t="s">
        <v>6706</v>
      </c>
      <c r="B514" s="1694" t="str">
        <f>CONCATENATE(LEFT(RIGHT(CONCATENATE("000",HH_Debt1516!A514),6),3),"-",(RIGHT(RIGHT(CONCATENATE("000",HH_Debt1516!A514),6),3)))</f>
        <v>148-905</v>
      </c>
      <c r="C514" s="121">
        <v>642700</v>
      </c>
    </row>
    <row r="515" spans="1:3" ht="15">
      <c r="A515" s="2266" t="s">
        <v>6707</v>
      </c>
      <c r="B515" s="1694" t="str">
        <f>CONCATENATE(LEFT(RIGHT(CONCATENATE("000",HH_Debt1516!A515),6),3),"-",(RIGHT(RIGHT(CONCATENATE("000",HH_Debt1516!A515),6),3)))</f>
        <v>149-901</v>
      </c>
      <c r="C515" s="121">
        <v>1046254</v>
      </c>
    </row>
    <row r="516" spans="1:3" ht="15">
      <c r="A516" s="2266" t="s">
        <v>6708</v>
      </c>
      <c r="B516" s="1694" t="str">
        <f>CONCATENATE(LEFT(RIGHT(CONCATENATE("000",HH_Debt1516!A516),6),3),"-",(RIGHT(RIGHT(CONCATENATE("000",HH_Debt1516!A516),6),3)))</f>
        <v>149-902</v>
      </c>
      <c r="C516" s="121">
        <v>1960603</v>
      </c>
    </row>
    <row r="517" spans="1:3" ht="15">
      <c r="A517" s="2266" t="s">
        <v>6709</v>
      </c>
      <c r="B517" s="1694" t="str">
        <f>CONCATENATE(LEFT(RIGHT(CONCATENATE("000",HH_Debt1516!A517),6),3),"-",(RIGHT(RIGHT(CONCATENATE("000",HH_Debt1516!A517),6),3)))</f>
        <v>150-901</v>
      </c>
      <c r="C517" s="121">
        <v>4621579</v>
      </c>
    </row>
    <row r="518" spans="1:3" ht="15">
      <c r="A518" s="2266" t="s">
        <v>5875</v>
      </c>
      <c r="B518" s="1694" t="str">
        <f>CONCATENATE(LEFT(RIGHT(CONCATENATE("000",HH_Debt1516!A518),6),3),"-",(RIGHT(RIGHT(CONCATENATE("000",HH_Debt1516!A518),6),3)))</f>
        <v>152-901</v>
      </c>
      <c r="C518" s="121">
        <v>19440195</v>
      </c>
    </row>
    <row r="519" spans="1:3" ht="15">
      <c r="A519" s="2266" t="s">
        <v>6710</v>
      </c>
      <c r="B519" s="1694" t="str">
        <f>CONCATENATE(LEFT(RIGHT(CONCATENATE("000",HH_Debt1516!A519),6),3),"-",(RIGHT(RIGHT(CONCATENATE("000",HH_Debt1516!A519),6),3)))</f>
        <v>152-903</v>
      </c>
      <c r="C519" s="121">
        <v>1063188</v>
      </c>
    </row>
    <row r="520" spans="1:3" ht="15">
      <c r="A520" s="2266" t="s">
        <v>4259</v>
      </c>
      <c r="B520" s="1694" t="str">
        <f>CONCATENATE(LEFT(RIGHT(CONCATENATE("000",HH_Debt1516!A520),6),3),"-",(RIGHT(RIGHT(CONCATENATE("000",HH_Debt1516!A520),6),3)))</f>
        <v>152-906</v>
      </c>
      <c r="C520" s="121">
        <v>10326456</v>
      </c>
    </row>
    <row r="521" spans="1:3" ht="15">
      <c r="A521" s="2266" t="s">
        <v>4260</v>
      </c>
      <c r="B521" s="1694" t="str">
        <f>CONCATENATE(LEFT(RIGHT(CONCATENATE("000",HH_Debt1516!A521),6),3),"-",(RIGHT(RIGHT(CONCATENATE("000",HH_Debt1516!A521),6),3)))</f>
        <v>152-907</v>
      </c>
      <c r="C521" s="121">
        <v>16135882</v>
      </c>
    </row>
    <row r="522" spans="1:3" ht="15">
      <c r="A522" s="2266" t="s">
        <v>6711</v>
      </c>
      <c r="B522" s="1694" t="str">
        <f>CONCATENATE(LEFT(RIGHT(CONCATENATE("000",HH_Debt1516!A522),6),3),"-",(RIGHT(RIGHT(CONCATENATE("000",HH_Debt1516!A522),6),3)))</f>
        <v>152-908</v>
      </c>
      <c r="C522" s="121">
        <v>737695</v>
      </c>
    </row>
    <row r="523" spans="1:3" ht="15">
      <c r="A523" s="2266" t="s">
        <v>4261</v>
      </c>
      <c r="B523" s="1694" t="str">
        <f>CONCATENATE(LEFT(RIGHT(CONCATENATE("000",HH_Debt1516!A523),6),3),"-",(RIGHT(RIGHT(CONCATENATE("000",HH_Debt1516!A523),6),3)))</f>
        <v>152-909</v>
      </c>
      <c r="C523" s="121">
        <v>1894850</v>
      </c>
    </row>
    <row r="524" spans="1:3" ht="15">
      <c r="A524" s="2266" t="s">
        <v>4262</v>
      </c>
      <c r="B524" s="1694" t="str">
        <f>CONCATENATE(LEFT(RIGHT(CONCATENATE("000",HH_Debt1516!A524),6),3),"-",(RIGHT(RIGHT(CONCATENATE("000",HH_Debt1516!A524),6),3)))</f>
        <v>152-910</v>
      </c>
      <c r="C524" s="121">
        <v>905300</v>
      </c>
    </row>
    <row r="525" spans="1:3" ht="15">
      <c r="A525" s="2266" t="s">
        <v>6712</v>
      </c>
      <c r="B525" s="1694" t="str">
        <f>CONCATENATE(LEFT(RIGHT(CONCATENATE("000",HH_Debt1516!A525),6),3),"-",(RIGHT(RIGHT(CONCATENATE("000",HH_Debt1516!A525),6),3)))</f>
        <v>153-903</v>
      </c>
      <c r="C525" s="121">
        <v>879742</v>
      </c>
    </row>
    <row r="526" spans="1:3" ht="15">
      <c r="A526" s="2266" t="s">
        <v>6713</v>
      </c>
      <c r="B526" s="1694" t="str">
        <f>CONCATENATE(LEFT(RIGHT(CONCATENATE("000",HH_Debt1516!A526),6),3),"-",(RIGHT(RIGHT(CONCATENATE("000",HH_Debt1516!A526),6),3)))</f>
        <v>153-905</v>
      </c>
      <c r="C526" s="121">
        <v>292984</v>
      </c>
    </row>
    <row r="527" spans="1:3" ht="15">
      <c r="A527" s="2266" t="s">
        <v>4263</v>
      </c>
      <c r="B527" s="1694" t="str">
        <f>CONCATENATE(LEFT(RIGHT(CONCATENATE("000",HH_Debt1516!A527),6),3),"-",(RIGHT(RIGHT(CONCATENATE("000",HH_Debt1516!A527),6),3)))</f>
        <v>154-901</v>
      </c>
      <c r="C527" s="121">
        <v>1505130</v>
      </c>
    </row>
    <row r="528" spans="1:3" ht="15">
      <c r="A528" s="2266" t="s">
        <v>4264</v>
      </c>
      <c r="B528" s="1694" t="str">
        <f>CONCATENATE(LEFT(RIGHT(CONCATENATE("000",HH_Debt1516!A528),6),3),"-",(RIGHT(RIGHT(CONCATENATE("000",HH_Debt1516!A528),6),3)))</f>
        <v>154-903</v>
      </c>
      <c r="C528" s="121">
        <v>811906</v>
      </c>
    </row>
    <row r="529" spans="1:3" ht="15">
      <c r="A529" s="2266" t="s">
        <v>6714</v>
      </c>
      <c r="B529" s="1694" t="str">
        <f>CONCATENATE(LEFT(RIGHT(CONCATENATE("000",HH_Debt1516!A529),6),3),"-",(RIGHT(RIGHT(CONCATENATE("000",HH_Debt1516!A529),6),3)))</f>
        <v>155-901</v>
      </c>
      <c r="C529" s="121">
        <v>519490</v>
      </c>
    </row>
    <row r="530" spans="1:3" ht="15">
      <c r="A530" s="2266" t="s">
        <v>6715</v>
      </c>
      <c r="B530" s="1694" t="str">
        <f>CONCATENATE(LEFT(RIGHT(CONCATENATE("000",HH_Debt1516!A530),6),3),"-",(RIGHT(RIGHT(CONCATENATE("000",HH_Debt1516!A530),6),3)))</f>
        <v>156-902</v>
      </c>
      <c r="C530" s="121">
        <v>5633294</v>
      </c>
    </row>
    <row r="531" spans="1:3" ht="15">
      <c r="A531" s="2266" t="s">
        <v>6716</v>
      </c>
      <c r="B531" s="1694" t="str">
        <f>CONCATENATE(LEFT(RIGHT(CONCATENATE("000",HH_Debt1516!A531),6),3),"-",(RIGHT(RIGHT(CONCATENATE("000",HH_Debt1516!A531),6),3)))</f>
        <v>156-905</v>
      </c>
      <c r="C531" s="121">
        <v>806403</v>
      </c>
    </row>
    <row r="532" spans="1:3" ht="15">
      <c r="A532" s="2266" t="s">
        <v>6718</v>
      </c>
      <c r="B532" s="1694" t="str">
        <f>CONCATENATE(LEFT(RIGHT(CONCATENATE("000",HH_Debt1516!A532),6),3),"-",(RIGHT(RIGHT(CONCATENATE("000",HH_Debt1516!A532),6),3)))</f>
        <v>158-901</v>
      </c>
      <c r="C532" s="121">
        <v>1946850</v>
      </c>
    </row>
    <row r="533" spans="1:3" ht="15">
      <c r="A533" s="2266" t="s">
        <v>6719</v>
      </c>
      <c r="B533" s="1694" t="str">
        <f>CONCATENATE(LEFT(RIGHT(CONCATENATE("000",HH_Debt1516!A533),6),3),"-",(RIGHT(RIGHT(CONCATENATE("000",HH_Debt1516!A533),6),3)))</f>
        <v>158-902</v>
      </c>
      <c r="C533" s="121">
        <v>2713536</v>
      </c>
    </row>
    <row r="534" spans="1:3" ht="15">
      <c r="A534" s="2266" t="s">
        <v>6720</v>
      </c>
      <c r="B534" s="1694" t="str">
        <f>CONCATENATE(LEFT(RIGHT(CONCATENATE("000",HH_Debt1516!A534),6),3),"-",(RIGHT(RIGHT(CONCATENATE("000",HH_Debt1516!A534),6),3)))</f>
        <v>158-904</v>
      </c>
      <c r="C534" s="121">
        <v>327537</v>
      </c>
    </row>
    <row r="535" spans="1:3" ht="15">
      <c r="A535" s="2266" t="s">
        <v>6721</v>
      </c>
      <c r="B535" s="1694" t="str">
        <f>CONCATENATE(LEFT(RIGHT(CONCATENATE("000",HH_Debt1516!A535),6),3),"-",(RIGHT(RIGHT(CONCATENATE("000",HH_Debt1516!A535),6),3)))</f>
        <v>158-905</v>
      </c>
      <c r="C535" s="121">
        <v>1210388</v>
      </c>
    </row>
    <row r="536" spans="1:3" ht="15">
      <c r="A536" s="2266" t="s">
        <v>4265</v>
      </c>
      <c r="B536" s="1694" t="str">
        <f>CONCATENATE(LEFT(RIGHT(CONCATENATE("000",HH_Debt1516!A536),6),3),"-",(RIGHT(RIGHT(CONCATENATE("000",HH_Debt1516!A536),6),3)))</f>
        <v>159-901</v>
      </c>
      <c r="C536" s="121">
        <v>5939344</v>
      </c>
    </row>
    <row r="537" spans="1:3" ht="15">
      <c r="A537" s="2266" t="s">
        <v>4266</v>
      </c>
      <c r="B537" s="1694" t="str">
        <f>CONCATENATE(LEFT(RIGHT(CONCATENATE("000",HH_Debt1516!A537),6),3),"-",(RIGHT(RIGHT(CONCATENATE("000",HH_Debt1516!A537),6),3)))</f>
        <v>160-901</v>
      </c>
      <c r="C537" s="121">
        <v>1469195</v>
      </c>
    </row>
    <row r="538" spans="1:3" ht="15">
      <c r="A538" s="2266" t="s">
        <v>4267</v>
      </c>
      <c r="B538" s="1694" t="str">
        <f>CONCATENATE(LEFT(RIGHT(CONCATENATE("000",HH_Debt1516!A538),6),3),"-",(RIGHT(RIGHT(CONCATENATE("000",HH_Debt1516!A538),6),3)))</f>
        <v>160-905</v>
      </c>
      <c r="C538" s="121">
        <v>97078</v>
      </c>
    </row>
    <row r="539" spans="1:3" ht="15">
      <c r="A539" s="2266" t="s">
        <v>4268</v>
      </c>
      <c r="B539" s="1694" t="str">
        <f>CONCATENATE(LEFT(RIGHT(CONCATENATE("000",HH_Debt1516!A539),6),3),"-",(RIGHT(RIGHT(CONCATENATE("000",HH_Debt1516!A539),6),3)))</f>
        <v>161-901</v>
      </c>
      <c r="C539" s="121">
        <v>401250</v>
      </c>
    </row>
    <row r="540" spans="1:3" ht="15">
      <c r="A540" s="2266" t="s">
        <v>6722</v>
      </c>
      <c r="B540" s="1694" t="str">
        <f>CONCATENATE(LEFT(RIGHT(CONCATENATE("000",HH_Debt1516!A540),6),3),"-",(RIGHT(RIGHT(CONCATENATE("000",HH_Debt1516!A540),6),3)))</f>
        <v>161-903</v>
      </c>
      <c r="C540" s="121">
        <v>11854500</v>
      </c>
    </row>
    <row r="541" spans="1:3" ht="15">
      <c r="A541" s="2266" t="s">
        <v>4269</v>
      </c>
      <c r="B541" s="1694" t="str">
        <f>CONCATENATE(LEFT(RIGHT(CONCATENATE("000",HH_Debt1516!A541),6),3),"-",(RIGHT(RIGHT(CONCATENATE("000",HH_Debt1516!A541),6),3)))</f>
        <v>161-906</v>
      </c>
      <c r="C541" s="121">
        <v>2834572</v>
      </c>
    </row>
    <row r="542" spans="1:3" ht="15">
      <c r="A542" s="2266" t="s">
        <v>4270</v>
      </c>
      <c r="B542" s="1694" t="str">
        <f>CONCATENATE(LEFT(RIGHT(CONCATENATE("000",HH_Debt1516!A542),6),3),"-",(RIGHT(RIGHT(CONCATENATE("000",HH_Debt1516!A542),6),3)))</f>
        <v>161-907</v>
      </c>
      <c r="C542" s="121">
        <v>2202892</v>
      </c>
    </row>
    <row r="543" spans="1:3" ht="15">
      <c r="A543" s="2266" t="s">
        <v>4271</v>
      </c>
      <c r="B543" s="1694" t="str">
        <f>CONCATENATE(LEFT(RIGHT(CONCATENATE("000",HH_Debt1516!A543),6),3),"-",(RIGHT(RIGHT(CONCATENATE("000",HH_Debt1516!A543),6),3)))</f>
        <v>161-908</v>
      </c>
      <c r="C543" s="121">
        <v>306600</v>
      </c>
    </row>
    <row r="544" spans="1:3" ht="15">
      <c r="A544" s="2266" t="s">
        <v>4272</v>
      </c>
      <c r="B544" s="1694" t="str">
        <f>CONCATENATE(LEFT(RIGHT(CONCATENATE("000",HH_Debt1516!A544),6),3),"-",(RIGHT(RIGHT(CONCATENATE("000",HH_Debt1516!A544),6),3)))</f>
        <v>161-909</v>
      </c>
      <c r="C544" s="121">
        <v>1564875</v>
      </c>
    </row>
    <row r="545" spans="1:3" ht="15">
      <c r="A545" s="2266" t="s">
        <v>4273</v>
      </c>
      <c r="B545" s="1694" t="str">
        <f>CONCATENATE(LEFT(RIGHT(CONCATENATE("000",HH_Debt1516!A545),6),3),"-",(RIGHT(RIGHT(CONCATENATE("000",HH_Debt1516!A545),6),3)))</f>
        <v>161-910</v>
      </c>
      <c r="C545" s="121">
        <v>726744</v>
      </c>
    </row>
    <row r="546" spans="1:3" ht="15">
      <c r="A546" s="2266" t="s">
        <v>4274</v>
      </c>
      <c r="B546" s="1694" t="str">
        <f>CONCATENATE(LEFT(RIGHT(CONCATENATE("000",HH_Debt1516!A546),6),3),"-",(RIGHT(RIGHT(CONCATENATE("000",HH_Debt1516!A546),6),3)))</f>
        <v>161-912</v>
      </c>
      <c r="C546" s="121">
        <v>1673833</v>
      </c>
    </row>
    <row r="547" spans="1:3" ht="15">
      <c r="A547" s="2266" t="s">
        <v>4275</v>
      </c>
      <c r="B547" s="1694" t="str">
        <f>CONCATENATE(LEFT(RIGHT(CONCATENATE("000",HH_Debt1516!A547),6),3),"-",(RIGHT(RIGHT(CONCATENATE("000",HH_Debt1516!A547),6),3)))</f>
        <v>161-914</v>
      </c>
      <c r="C547" s="121">
        <v>13961731</v>
      </c>
    </row>
    <row r="548" spans="1:3" ht="15">
      <c r="A548" s="2266" t="s">
        <v>4276</v>
      </c>
      <c r="B548" s="1694" t="str">
        <f>CONCATENATE(LEFT(RIGHT(CONCATENATE("000",HH_Debt1516!A548),6),3),"-",(RIGHT(RIGHT(CONCATENATE("000",HH_Debt1516!A548),6),3)))</f>
        <v>161-916</v>
      </c>
      <c r="C548" s="121">
        <v>1089039</v>
      </c>
    </row>
    <row r="549" spans="1:3" ht="15">
      <c r="A549" s="2266" t="s">
        <v>4277</v>
      </c>
      <c r="B549" s="1694" t="str">
        <f>CONCATENATE(LEFT(RIGHT(CONCATENATE("000",HH_Debt1516!A549),6),3),"-",(RIGHT(RIGHT(CONCATENATE("000",HH_Debt1516!A549),6),3)))</f>
        <v>161-919</v>
      </c>
      <c r="C549" s="121">
        <v>352838</v>
      </c>
    </row>
    <row r="550" spans="1:3" ht="15">
      <c r="A550" s="2266" t="s">
        <v>4278</v>
      </c>
      <c r="B550" s="1694" t="str">
        <f>CONCATENATE(LEFT(RIGHT(CONCATENATE("000",HH_Debt1516!A550),6),3),"-",(RIGHT(RIGHT(CONCATENATE("000",HH_Debt1516!A550),6),3)))</f>
        <v>161-920</v>
      </c>
      <c r="C550" s="121">
        <v>3390545</v>
      </c>
    </row>
    <row r="551" spans="1:3" ht="15">
      <c r="A551" s="2266" t="s">
        <v>4279</v>
      </c>
      <c r="B551" s="1694" t="str">
        <f>CONCATENATE(LEFT(RIGHT(CONCATENATE("000",HH_Debt1516!A551),6),3),"-",(RIGHT(RIGHT(CONCATENATE("000",HH_Debt1516!A551),6),3)))</f>
        <v>161-921</v>
      </c>
      <c r="C551" s="121">
        <v>1682759</v>
      </c>
    </row>
    <row r="552" spans="1:3" ht="15">
      <c r="A552" s="2266" t="s">
        <v>4280</v>
      </c>
      <c r="B552" s="1694" t="str">
        <f>CONCATENATE(LEFT(RIGHT(CONCATENATE("000",HH_Debt1516!A552),6),3),"-",(RIGHT(RIGHT(CONCATENATE("000",HH_Debt1516!A552),6),3)))</f>
        <v>161-922</v>
      </c>
      <c r="C552" s="121">
        <v>2200214</v>
      </c>
    </row>
    <row r="553" spans="1:3" ht="15">
      <c r="A553" s="2266" t="s">
        <v>4281</v>
      </c>
      <c r="B553" s="1694" t="str">
        <f>CONCATENATE(LEFT(RIGHT(CONCATENATE("000",HH_Debt1516!A553),6),3),"-",(RIGHT(RIGHT(CONCATENATE("000",HH_Debt1516!A553),6),3)))</f>
        <v>161-923</v>
      </c>
      <c r="C553" s="121">
        <v>616074</v>
      </c>
    </row>
    <row r="554" spans="1:3" ht="15">
      <c r="A554" s="2266" t="s">
        <v>6723</v>
      </c>
      <c r="B554" s="1694" t="str">
        <f>CONCATENATE(LEFT(RIGHT(CONCATENATE("000",HH_Debt1516!A554),6),3),"-",(RIGHT(RIGHT(CONCATENATE("000",HH_Debt1516!A554),6),3)))</f>
        <v>161-924</v>
      </c>
      <c r="C554" s="121">
        <v>142512</v>
      </c>
    </row>
    <row r="555" spans="1:3" ht="15">
      <c r="A555" s="2266" t="s">
        <v>6724</v>
      </c>
      <c r="B555" s="1694" t="str">
        <f>CONCATENATE(LEFT(RIGHT(CONCATENATE("000",HH_Debt1516!A555),6),3),"-",(RIGHT(RIGHT(CONCATENATE("000",HH_Debt1516!A555),6),3)))</f>
        <v>162-904</v>
      </c>
      <c r="C555" s="121">
        <v>1643733</v>
      </c>
    </row>
    <row r="556" spans="1:3" ht="15">
      <c r="A556" s="2266" t="s">
        <v>4282</v>
      </c>
      <c r="B556" s="1694" t="str">
        <f>CONCATENATE(LEFT(RIGHT(CONCATENATE("000",HH_Debt1516!A556),6),3),"-",(RIGHT(RIGHT(CONCATENATE("000",HH_Debt1516!A556),6),3)))</f>
        <v>163-901</v>
      </c>
      <c r="C556" s="121">
        <v>1353461</v>
      </c>
    </row>
    <row r="557" spans="1:3" ht="15">
      <c r="A557" s="2266" t="s">
        <v>4283</v>
      </c>
      <c r="B557" s="1694" t="str">
        <f>CONCATENATE(LEFT(RIGHT(CONCATENATE("000",HH_Debt1516!A557),6),3),"-",(RIGHT(RIGHT(CONCATENATE("000",HH_Debt1516!A557),6),3)))</f>
        <v>163-902</v>
      </c>
      <c r="C557" s="121">
        <v>320053</v>
      </c>
    </row>
    <row r="558" spans="1:3" ht="15">
      <c r="A558" s="2266" t="s">
        <v>4284</v>
      </c>
      <c r="B558" s="1694" t="str">
        <f>CONCATENATE(LEFT(RIGHT(CONCATENATE("000",HH_Debt1516!A558),6),3),"-",(RIGHT(RIGHT(CONCATENATE("000",HH_Debt1516!A558),6),3)))</f>
        <v>163-903</v>
      </c>
      <c r="C558" s="121">
        <v>372280</v>
      </c>
    </row>
    <row r="559" spans="1:3" ht="15">
      <c r="A559" s="2266" t="s">
        <v>4285</v>
      </c>
      <c r="B559" s="1694" t="str">
        <f>CONCATENATE(LEFT(RIGHT(CONCATENATE("000",HH_Debt1516!A559),6),3),"-",(RIGHT(RIGHT(CONCATENATE("000",HH_Debt1516!A559),6),3)))</f>
        <v>163-904</v>
      </c>
      <c r="C559" s="121">
        <v>1765311</v>
      </c>
    </row>
    <row r="560" spans="1:3" ht="15">
      <c r="A560" s="2266" t="s">
        <v>4286</v>
      </c>
      <c r="B560" s="1694" t="str">
        <f>CONCATENATE(LEFT(RIGHT(CONCATENATE("000",HH_Debt1516!A560),6),3),"-",(RIGHT(RIGHT(CONCATENATE("000",HH_Debt1516!A560),6),3)))</f>
        <v>163-908</v>
      </c>
      <c r="C560" s="121">
        <v>4316807</v>
      </c>
    </row>
    <row r="561" spans="1:3" ht="15">
      <c r="A561" s="2266" t="s">
        <v>4287</v>
      </c>
      <c r="B561" s="1694" t="str">
        <f>CONCATENATE(LEFT(RIGHT(CONCATENATE("000",HH_Debt1516!A561),6),3),"-",(RIGHT(RIGHT(CONCATENATE("000",HH_Debt1516!A561),6),3)))</f>
        <v>165-901</v>
      </c>
      <c r="C561" s="121">
        <v>17529033</v>
      </c>
    </row>
    <row r="562" spans="1:3" ht="15">
      <c r="A562" s="2266" t="s">
        <v>6725</v>
      </c>
      <c r="B562" s="1694" t="str">
        <f>CONCATENATE(LEFT(RIGHT(CONCATENATE("000",HH_Debt1516!A562),6),3),"-",(RIGHT(RIGHT(CONCATENATE("000",HH_Debt1516!A562),6),3)))</f>
        <v>165-902</v>
      </c>
      <c r="C562" s="121">
        <v>3847432</v>
      </c>
    </row>
    <row r="563" spans="1:3" ht="15">
      <c r="A563" s="2266" t="s">
        <v>4288</v>
      </c>
      <c r="B563" s="1694" t="str">
        <f>CONCATENATE(LEFT(RIGHT(CONCATENATE("000",HH_Debt1516!A563),6),3),"-",(RIGHT(RIGHT(CONCATENATE("000",HH_Debt1516!A563),6),3)))</f>
        <v>166-901</v>
      </c>
      <c r="C563" s="121">
        <v>1773969</v>
      </c>
    </row>
    <row r="564" spans="1:3" ht="15">
      <c r="A564" s="2266" t="s">
        <v>6726</v>
      </c>
      <c r="B564" s="1694" t="str">
        <f>CONCATENATE(LEFT(RIGHT(CONCATENATE("000",HH_Debt1516!A564),6),3),"-",(RIGHT(RIGHT(CONCATENATE("000",HH_Debt1516!A564),6),3)))</f>
        <v>166-903</v>
      </c>
      <c r="C564" s="121">
        <v>383381</v>
      </c>
    </row>
    <row r="565" spans="1:3" ht="15">
      <c r="A565" s="2266" t="s">
        <v>6727</v>
      </c>
      <c r="B565" s="1694" t="str">
        <f>CONCATENATE(LEFT(RIGHT(CONCATENATE("000",HH_Debt1516!A565),6),3),"-",(RIGHT(RIGHT(CONCATENATE("000",HH_Debt1516!A565),6),3)))</f>
        <v>166-904</v>
      </c>
      <c r="C565" s="121">
        <v>1738982</v>
      </c>
    </row>
    <row r="566" spans="1:3" ht="15">
      <c r="A566" s="2266" t="s">
        <v>6728</v>
      </c>
      <c r="B566" s="1694" t="str">
        <f>CONCATENATE(LEFT(RIGHT(CONCATENATE("000",HH_Debt1516!A566),6),3),"-",(RIGHT(RIGHT(CONCATENATE("000",HH_Debt1516!A566),6),3)))</f>
        <v>166-905</v>
      </c>
      <c r="C566" s="121">
        <v>284550</v>
      </c>
    </row>
    <row r="567" spans="1:3" ht="15">
      <c r="A567" s="2266" t="s">
        <v>4289</v>
      </c>
      <c r="B567" s="1694" t="str">
        <f>CONCATENATE(LEFT(RIGHT(CONCATENATE("000",HH_Debt1516!A567),6),3),"-",(RIGHT(RIGHT(CONCATENATE("000",HH_Debt1516!A567),6),3)))</f>
        <v>166-907</v>
      </c>
      <c r="C567" s="121">
        <v>83956</v>
      </c>
    </row>
    <row r="568" spans="1:3" ht="15">
      <c r="A568" s="2266" t="s">
        <v>4290</v>
      </c>
      <c r="B568" s="1694" t="str">
        <f>CONCATENATE(LEFT(RIGHT(CONCATENATE("000",HH_Debt1516!A568),6),3),"-",(RIGHT(RIGHT(CONCATENATE("000",HH_Debt1516!A568),6),3)))</f>
        <v>167-901</v>
      </c>
      <c r="C568" s="121">
        <v>605953</v>
      </c>
    </row>
    <row r="569" spans="1:3" ht="15">
      <c r="A569" s="2266" t="s">
        <v>4291</v>
      </c>
      <c r="B569" s="1694" t="str">
        <f>CONCATENATE(LEFT(RIGHT(CONCATENATE("000",HH_Debt1516!A569),6),3),"-",(RIGHT(RIGHT(CONCATENATE("000",HH_Debt1516!A569),6),3)))</f>
        <v>167-904</v>
      </c>
      <c r="C569" s="121">
        <v>70805</v>
      </c>
    </row>
    <row r="570" spans="1:3" ht="15">
      <c r="A570" s="2266" t="s">
        <v>6729</v>
      </c>
      <c r="B570" s="1694" t="str">
        <f>CONCATENATE(LEFT(RIGHT(CONCATENATE("000",HH_Debt1516!A570),6),3),"-",(RIGHT(RIGHT(CONCATENATE("000",HH_Debt1516!A570),6),3)))</f>
        <v>168-901</v>
      </c>
      <c r="C570" s="121">
        <v>1708788</v>
      </c>
    </row>
    <row r="571" spans="1:3" ht="15">
      <c r="A571" s="2266" t="s">
        <v>6730</v>
      </c>
      <c r="B571" s="1694" t="str">
        <f>CONCATENATE(LEFT(RIGHT(CONCATENATE("000",HH_Debt1516!A571),6),3),"-",(RIGHT(RIGHT(CONCATENATE("000",HH_Debt1516!A571),6),3)))</f>
        <v>168-902</v>
      </c>
      <c r="C571" s="121">
        <v>795620</v>
      </c>
    </row>
    <row r="572" spans="1:3" ht="15">
      <c r="A572" s="2266" t="s">
        <v>4292</v>
      </c>
      <c r="B572" s="1694" t="str">
        <f>CONCATENATE(LEFT(RIGHT(CONCATENATE("000",HH_Debt1516!A572),6),3),"-",(RIGHT(RIGHT(CONCATENATE("000",HH_Debt1516!A572),6),3)))</f>
        <v>169-901</v>
      </c>
      <c r="C572" s="121">
        <v>1733357</v>
      </c>
    </row>
    <row r="573" spans="1:3" ht="15">
      <c r="A573" s="2266" t="s">
        <v>6731</v>
      </c>
      <c r="B573" s="1694" t="str">
        <f>CONCATENATE(LEFT(RIGHT(CONCATENATE("000",HH_Debt1516!A573),6),3),"-",(RIGHT(RIGHT(CONCATENATE("000",HH_Debt1516!A573),6),3)))</f>
        <v>169-906</v>
      </c>
      <c r="C573" s="121">
        <v>82750</v>
      </c>
    </row>
    <row r="574" spans="1:3" ht="15">
      <c r="A574" s="2266" t="s">
        <v>6732</v>
      </c>
      <c r="B574" s="1694" t="str">
        <f>CONCATENATE(LEFT(RIGHT(CONCATENATE("000",HH_Debt1516!A574),6),3),"-",(RIGHT(RIGHT(CONCATENATE("000",HH_Debt1516!A574),6),3)))</f>
        <v>169-910</v>
      </c>
      <c r="C574" s="121">
        <v>52500</v>
      </c>
    </row>
    <row r="575" spans="1:3" ht="15">
      <c r="A575" s="2266" t="s">
        <v>6733</v>
      </c>
      <c r="B575" s="1694" t="str">
        <f>CONCATENATE(LEFT(RIGHT(CONCATENATE("000",HH_Debt1516!A575),6),3),"-",(RIGHT(RIGHT(CONCATENATE("000",HH_Debt1516!A575),6),3)))</f>
        <v>169-911</v>
      </c>
      <c r="C575" s="121">
        <v>104800</v>
      </c>
    </row>
    <row r="576" spans="1:3" ht="15">
      <c r="A576" s="2266" t="s">
        <v>4293</v>
      </c>
      <c r="B576" s="1694" t="str">
        <f>CONCATENATE(LEFT(RIGHT(CONCATENATE("000",HH_Debt1516!A576),6),3),"-",(RIGHT(RIGHT(CONCATENATE("000",HH_Debt1516!A576),6),3)))</f>
        <v>170-902</v>
      </c>
      <c r="C576" s="121">
        <v>81130021</v>
      </c>
    </row>
    <row r="577" spans="1:3" ht="15">
      <c r="A577" s="2266" t="s">
        <v>6734</v>
      </c>
      <c r="B577" s="1694" t="str">
        <f>CONCATENATE(LEFT(RIGHT(CONCATENATE("000",HH_Debt1516!A577),6),3),"-",(RIGHT(RIGHT(CONCATENATE("000",HH_Debt1516!A577),6),3)))</f>
        <v>170-903</v>
      </c>
      <c r="C577" s="121">
        <v>18868749</v>
      </c>
    </row>
    <row r="578" spans="1:3" ht="15">
      <c r="A578" s="2266" t="s">
        <v>4294</v>
      </c>
      <c r="B578" s="1694" t="str">
        <f>CONCATENATE(LEFT(RIGHT(CONCATENATE("000",HH_Debt1516!A578),6),3),"-",(RIGHT(RIGHT(CONCATENATE("000",HH_Debt1516!A578),6),3)))</f>
        <v>170-904</v>
      </c>
      <c r="C578" s="121">
        <v>8303182</v>
      </c>
    </row>
    <row r="579" spans="1:3" ht="15">
      <c r="A579" s="2266" t="s">
        <v>4295</v>
      </c>
      <c r="B579" s="1694" t="str">
        <f>CONCATENATE(LEFT(RIGHT(CONCATENATE("000",HH_Debt1516!A579),6),3),"-",(RIGHT(RIGHT(CONCATENATE("000",HH_Debt1516!A579),6),3)))</f>
        <v>170-906</v>
      </c>
      <c r="C579" s="121">
        <v>14350358</v>
      </c>
    </row>
    <row r="580" spans="1:3" ht="15">
      <c r="A580" s="2266" t="s">
        <v>4296</v>
      </c>
      <c r="B580" s="1694" t="str">
        <f>CONCATENATE(LEFT(RIGHT(CONCATENATE("000",HH_Debt1516!A580),6),3),"-",(RIGHT(RIGHT(CONCATENATE("000",HH_Debt1516!A580),6),3)))</f>
        <v>170-907</v>
      </c>
      <c r="C580" s="121">
        <v>3461503</v>
      </c>
    </row>
    <row r="581" spans="1:3" ht="15">
      <c r="A581" s="2266" t="s">
        <v>4297</v>
      </c>
      <c r="B581" s="1694" t="str">
        <f>CONCATENATE(LEFT(RIGHT(CONCATENATE("000",HH_Debt1516!A581),6),3),"-",(RIGHT(RIGHT(CONCATENATE("000",HH_Debt1516!A581),6),3)))</f>
        <v>170-908</v>
      </c>
      <c r="C581" s="121">
        <v>22688282</v>
      </c>
    </row>
    <row r="582" spans="1:3" ht="15">
      <c r="A582" s="2266" t="s">
        <v>6735</v>
      </c>
      <c r="B582" s="1694" t="str">
        <f>CONCATENATE(LEFT(RIGHT(CONCATENATE("000",HH_Debt1516!A582),6),3),"-",(RIGHT(RIGHT(CONCATENATE("000",HH_Debt1516!A582),6),3)))</f>
        <v>171-901</v>
      </c>
      <c r="C582" s="121">
        <v>2122812</v>
      </c>
    </row>
    <row r="583" spans="1:3" ht="15">
      <c r="A583" s="2266" t="s">
        <v>6736</v>
      </c>
      <c r="B583" s="1694" t="str">
        <f>CONCATENATE(LEFT(RIGHT(CONCATENATE("000",HH_Debt1516!A583),6),3),"-",(RIGHT(RIGHT(CONCATENATE("000",HH_Debt1516!A583),6),3)))</f>
        <v>171-902</v>
      </c>
      <c r="C583" s="121">
        <v>658060</v>
      </c>
    </row>
    <row r="584" spans="1:3" ht="15">
      <c r="A584" s="2266" t="s">
        <v>6737</v>
      </c>
      <c r="B584" s="1694" t="str">
        <f>CONCATENATE(LEFT(RIGHT(CONCATENATE("000",HH_Debt1516!A584),6),3),"-",(RIGHT(RIGHT(CONCATENATE("000",HH_Debt1516!A584),6),3)))</f>
        <v>172-902</v>
      </c>
      <c r="C584" s="121">
        <v>840486</v>
      </c>
    </row>
    <row r="585" spans="1:3" ht="15">
      <c r="A585" s="2266" t="s">
        <v>6738</v>
      </c>
      <c r="B585" s="1694" t="str">
        <f>CONCATENATE(LEFT(RIGHT(CONCATENATE("000",HH_Debt1516!A585),6),3),"-",(RIGHT(RIGHT(CONCATENATE("000",HH_Debt1516!A585),6),3)))</f>
        <v>172-905</v>
      </c>
      <c r="C585" s="121">
        <v>176950</v>
      </c>
    </row>
    <row r="586" spans="1:3" ht="15">
      <c r="A586" s="2266" t="s">
        <v>4298</v>
      </c>
      <c r="B586" s="1694" t="str">
        <f>CONCATENATE(LEFT(RIGHT(CONCATENATE("000",HH_Debt1516!A586),6),3),"-",(RIGHT(RIGHT(CONCATENATE("000",HH_Debt1516!A586),6),3)))</f>
        <v>174-901</v>
      </c>
      <c r="C586" s="121">
        <v>77756</v>
      </c>
    </row>
    <row r="587" spans="1:3" ht="15">
      <c r="A587" s="2266" t="s">
        <v>6739</v>
      </c>
      <c r="B587" s="1694" t="str">
        <f>CONCATENATE(LEFT(RIGHT(CONCATENATE("000",HH_Debt1516!A587),6),3),"-",(RIGHT(RIGHT(CONCATENATE("000",HH_Debt1516!A587),6),3)))</f>
        <v>174-902</v>
      </c>
      <c r="C587" s="121">
        <v>1112938</v>
      </c>
    </row>
    <row r="588" spans="1:3" ht="15">
      <c r="A588" s="2266" t="s">
        <v>4299</v>
      </c>
      <c r="B588" s="1694" t="str">
        <f>CONCATENATE(LEFT(RIGHT(CONCATENATE("000",HH_Debt1516!A588),6),3),"-",(RIGHT(RIGHT(CONCATENATE("000",HH_Debt1516!A588),6),3)))</f>
        <v>174-903</v>
      </c>
      <c r="C588" s="121">
        <v>140088</v>
      </c>
    </row>
    <row r="589" spans="1:3" ht="15">
      <c r="A589" s="2266" t="s">
        <v>6740</v>
      </c>
      <c r="B589" s="1694" t="str">
        <f>CONCATENATE(LEFT(RIGHT(CONCATENATE("000",HH_Debt1516!A589),6),3),"-",(RIGHT(RIGHT(CONCATENATE("000",HH_Debt1516!A589),6),3)))</f>
        <v>174-904</v>
      </c>
      <c r="C589" s="121">
        <v>3496344</v>
      </c>
    </row>
    <row r="590" spans="1:3" ht="15">
      <c r="A590" s="2266" t="s">
        <v>4300</v>
      </c>
      <c r="B590" s="1694" t="str">
        <f>CONCATENATE(LEFT(RIGHT(CONCATENATE("000",HH_Debt1516!A590),6),3),"-",(RIGHT(RIGHT(CONCATENATE("000",HH_Debt1516!A590),6),3)))</f>
        <v>174-906</v>
      </c>
      <c r="C590" s="121">
        <v>172000</v>
      </c>
    </row>
    <row r="591" spans="1:3" ht="15">
      <c r="A591" s="2266" t="s">
        <v>4301</v>
      </c>
      <c r="B591" s="1694" t="str">
        <f>CONCATENATE(LEFT(RIGHT(CONCATENATE("000",HH_Debt1516!A591),6),3),"-",(RIGHT(RIGHT(CONCATENATE("000",HH_Debt1516!A591),6),3)))</f>
        <v>174-908</v>
      </c>
      <c r="C591" s="121">
        <v>950893</v>
      </c>
    </row>
    <row r="592" spans="1:3" ht="15">
      <c r="A592" s="2266" t="s">
        <v>6019</v>
      </c>
      <c r="B592" s="1694" t="str">
        <f>CONCATENATE(LEFT(RIGHT(CONCATENATE("000",HH_Debt1516!A592),6),3),"-",(RIGHT(RIGHT(CONCATENATE("000",HH_Debt1516!A592),6),3)))</f>
        <v>174-909</v>
      </c>
      <c r="C592" s="121">
        <v>314158</v>
      </c>
    </row>
    <row r="593" spans="1:3" ht="15">
      <c r="A593" s="2266" t="s">
        <v>6741</v>
      </c>
      <c r="B593" s="1694" t="str">
        <f>CONCATENATE(LEFT(RIGHT(CONCATENATE("000",HH_Debt1516!A593),6),3),"-",(RIGHT(RIGHT(CONCATENATE("000",HH_Debt1516!A593),6),3)))</f>
        <v>174-910</v>
      </c>
      <c r="C593" s="121">
        <v>154030</v>
      </c>
    </row>
    <row r="594" spans="1:3" ht="15">
      <c r="A594" s="2266" t="s">
        <v>6742</v>
      </c>
      <c r="B594" s="1694" t="str">
        <f>CONCATENATE(LEFT(RIGHT(CONCATENATE("000",HH_Debt1516!A594),6),3),"-",(RIGHT(RIGHT(CONCATENATE("000",HH_Debt1516!A594),6),3)))</f>
        <v>175-902</v>
      </c>
      <c r="C594" s="121">
        <v>178450</v>
      </c>
    </row>
    <row r="595" spans="1:3" ht="15">
      <c r="A595" s="2266" t="s">
        <v>4302</v>
      </c>
      <c r="B595" s="1694" t="str">
        <f>CONCATENATE(LEFT(RIGHT(CONCATENATE("000",HH_Debt1516!A595),6),3),"-",(RIGHT(RIGHT(CONCATENATE("000",HH_Debt1516!A595),6),3)))</f>
        <v>175-903</v>
      </c>
      <c r="C595" s="121">
        <v>6221679</v>
      </c>
    </row>
    <row r="596" spans="1:3" ht="15">
      <c r="A596" s="2266" t="s">
        <v>4303</v>
      </c>
      <c r="B596" s="1694" t="str">
        <f>CONCATENATE(LEFT(RIGHT(CONCATENATE("000",HH_Debt1516!A596),6),3),"-",(RIGHT(RIGHT(CONCATENATE("000",HH_Debt1516!A596),6),3)))</f>
        <v>175-904</v>
      </c>
      <c r="C596" s="121">
        <v>354594</v>
      </c>
    </row>
    <row r="597" spans="1:3" ht="15">
      <c r="A597" s="2266" t="s">
        <v>6743</v>
      </c>
      <c r="B597" s="1694" t="str">
        <f>CONCATENATE(LEFT(RIGHT(CONCATENATE("000",HH_Debt1516!A597),6),3),"-",(RIGHT(RIGHT(CONCATENATE("000",HH_Debt1516!A597),6),3)))</f>
        <v>175-905</v>
      </c>
      <c r="C597" s="121">
        <v>100144</v>
      </c>
    </row>
    <row r="598" spans="1:3" ht="15">
      <c r="A598" s="2266" t="s">
        <v>4304</v>
      </c>
      <c r="B598" s="1694" t="str">
        <f>CONCATENATE(LEFT(RIGHT(CONCATENATE("000",HH_Debt1516!A598),6),3),"-",(RIGHT(RIGHT(CONCATENATE("000",HH_Debt1516!A598),6),3)))</f>
        <v>175-907</v>
      </c>
      <c r="C598" s="121">
        <v>149750</v>
      </c>
    </row>
    <row r="599" spans="1:3" ht="15">
      <c r="A599" s="2266" t="s">
        <v>6744</v>
      </c>
      <c r="B599" s="1694" t="str">
        <f>CONCATENATE(LEFT(RIGHT(CONCATENATE("000",HH_Debt1516!A599),6),3),"-",(RIGHT(RIGHT(CONCATENATE("000",HH_Debt1516!A599),6),3)))</f>
        <v>175-910</v>
      </c>
      <c r="C599" s="121">
        <v>1001671</v>
      </c>
    </row>
    <row r="600" spans="1:3" ht="15">
      <c r="A600" s="2266" t="s">
        <v>4305</v>
      </c>
      <c r="B600" s="1694" t="str">
        <f>CONCATENATE(LEFT(RIGHT(CONCATENATE("000",HH_Debt1516!A600),6),3),"-",(RIGHT(RIGHT(CONCATENATE("000",HH_Debt1516!A600),6),3)))</f>
        <v>175-911</v>
      </c>
      <c r="C600" s="121">
        <v>802440</v>
      </c>
    </row>
    <row r="601" spans="1:3" ht="15">
      <c r="A601" s="2266" t="s">
        <v>6745</v>
      </c>
      <c r="B601" s="1694" t="str">
        <f>CONCATENATE(LEFT(RIGHT(CONCATENATE("000",HH_Debt1516!A601),6),3),"-",(RIGHT(RIGHT(CONCATENATE("000",HH_Debt1516!A601),6),3)))</f>
        <v>176-901</v>
      </c>
      <c r="C601" s="121">
        <v>224000</v>
      </c>
    </row>
    <row r="602" spans="1:3" ht="15">
      <c r="A602" s="2266" t="s">
        <v>4306</v>
      </c>
      <c r="B602" s="1694" t="str">
        <f>CONCATENATE(LEFT(RIGHT(CONCATENATE("000",HH_Debt1516!A602),6),3),"-",(RIGHT(RIGHT(CONCATENATE("000",HH_Debt1516!A602),6),3)))</f>
        <v>176-902</v>
      </c>
      <c r="C602" s="121">
        <v>686281</v>
      </c>
    </row>
    <row r="603" spans="1:3" ht="15">
      <c r="A603" s="2266" t="s">
        <v>4307</v>
      </c>
      <c r="B603" s="1694" t="str">
        <f>CONCATENATE(LEFT(RIGHT(CONCATENATE("000",HH_Debt1516!A603),6),3),"-",(RIGHT(RIGHT(CONCATENATE("000",HH_Debt1516!A603),6),3)))</f>
        <v>176-903</v>
      </c>
      <c r="C603" s="121">
        <v>845176</v>
      </c>
    </row>
    <row r="604" spans="1:3" ht="15">
      <c r="A604" s="2266" t="s">
        <v>4308</v>
      </c>
      <c r="B604" s="1694" t="str">
        <f>CONCATENATE(LEFT(RIGHT(CONCATENATE("000",HH_Debt1516!A604),6),3),"-",(RIGHT(RIGHT(CONCATENATE("000",HH_Debt1516!A604),6),3)))</f>
        <v>177-901</v>
      </c>
      <c r="C604" s="121">
        <v>1238659</v>
      </c>
    </row>
    <row r="605" spans="1:3" ht="15">
      <c r="A605" s="2266" t="s">
        <v>6746</v>
      </c>
      <c r="B605" s="1694" t="str">
        <f>CONCATENATE(LEFT(RIGHT(CONCATENATE("000",HH_Debt1516!A605),6),3),"-",(RIGHT(RIGHT(CONCATENATE("000",HH_Debt1516!A605),6),3)))</f>
        <v>177-902</v>
      </c>
      <c r="C605" s="121">
        <v>899168</v>
      </c>
    </row>
    <row r="606" spans="1:3" ht="15">
      <c r="A606" s="2266" t="s">
        <v>6747</v>
      </c>
      <c r="B606" s="1694" t="str">
        <f>CONCATENATE(LEFT(RIGHT(CONCATENATE("000",HH_Debt1516!A606),6),3),"-",(RIGHT(RIGHT(CONCATENATE("000",HH_Debt1516!A606),6),3)))</f>
        <v>177-903</v>
      </c>
      <c r="C606" s="121">
        <v>843181</v>
      </c>
    </row>
    <row r="607" spans="1:3" ht="15">
      <c r="A607" s="2266" t="s">
        <v>6748</v>
      </c>
      <c r="B607" s="1694" t="str">
        <f>CONCATENATE(LEFT(RIGHT(CONCATENATE("000",HH_Debt1516!A607),6),3),"-",(RIGHT(RIGHT(CONCATENATE("000",HH_Debt1516!A607),6),3)))</f>
        <v>177-905</v>
      </c>
      <c r="C607" s="121">
        <v>574275</v>
      </c>
    </row>
    <row r="608" spans="1:3" ht="15">
      <c r="A608" s="2266" t="s">
        <v>6749</v>
      </c>
      <c r="B608" s="1694" t="str">
        <f>CONCATENATE(LEFT(RIGHT(CONCATENATE("000",HH_Debt1516!A608),6),3),"-",(RIGHT(RIGHT(CONCATENATE("000",HH_Debt1516!A608),6),3)))</f>
        <v>178-901</v>
      </c>
      <c r="C608" s="121">
        <v>275760</v>
      </c>
    </row>
    <row r="609" spans="1:3" ht="15">
      <c r="A609" s="2266" t="s">
        <v>6750</v>
      </c>
      <c r="B609" s="1694" t="str">
        <f>CONCATENATE(LEFT(RIGHT(CONCATENATE("000",HH_Debt1516!A609),6),3),"-",(RIGHT(RIGHT(CONCATENATE("000",HH_Debt1516!A609),6),3)))</f>
        <v>178-902</v>
      </c>
      <c r="C609" s="121">
        <v>1731238</v>
      </c>
    </row>
    <row r="610" spans="1:3" ht="15">
      <c r="A610" s="2266" t="s">
        <v>6751</v>
      </c>
      <c r="B610" s="1694" t="str">
        <f>CONCATENATE(LEFT(RIGHT(CONCATENATE("000",HH_Debt1516!A610),6),3),"-",(RIGHT(RIGHT(CONCATENATE("000",HH_Debt1516!A610),6),3)))</f>
        <v>178-903</v>
      </c>
      <c r="C610" s="121">
        <v>2920714</v>
      </c>
    </row>
    <row r="611" spans="1:3" ht="15">
      <c r="A611" s="2266" t="s">
        <v>4309</v>
      </c>
      <c r="B611" s="1694" t="str">
        <f>CONCATENATE(LEFT(RIGHT(CONCATENATE("000",HH_Debt1516!A611),6),3),"-",(RIGHT(RIGHT(CONCATENATE("000",HH_Debt1516!A611),6),3)))</f>
        <v>178-904</v>
      </c>
      <c r="C611" s="121">
        <v>26135433</v>
      </c>
    </row>
    <row r="612" spans="1:3" ht="15">
      <c r="A612" s="2266" t="s">
        <v>6752</v>
      </c>
      <c r="B612" s="1694" t="str">
        <f>CONCATENATE(LEFT(RIGHT(CONCATENATE("000",HH_Debt1516!A612),6),3),"-",(RIGHT(RIGHT(CONCATENATE("000",HH_Debt1516!A612),6),3)))</f>
        <v>178-905</v>
      </c>
      <c r="C612" s="121">
        <v>571257</v>
      </c>
    </row>
    <row r="613" spans="1:3" ht="15">
      <c r="A613" s="2266" t="s">
        <v>6753</v>
      </c>
      <c r="B613" s="1694" t="str">
        <f>CONCATENATE(LEFT(RIGHT(CONCATENATE("000",HH_Debt1516!A613),6),3),"-",(RIGHT(RIGHT(CONCATENATE("000",HH_Debt1516!A613),6),3)))</f>
        <v>178-906</v>
      </c>
      <c r="C613" s="121">
        <v>1170375</v>
      </c>
    </row>
    <row r="614" spans="1:3" ht="15">
      <c r="A614" s="2266" t="s">
        <v>6754</v>
      </c>
      <c r="B614" s="1694" t="str">
        <f>CONCATENATE(LEFT(RIGHT(CONCATENATE("000",HH_Debt1516!A614),6),3),"-",(RIGHT(RIGHT(CONCATENATE("000",HH_Debt1516!A614),6),3)))</f>
        <v>178-908</v>
      </c>
      <c r="C614" s="121">
        <v>1524641</v>
      </c>
    </row>
    <row r="615" spans="1:3" ht="15">
      <c r="A615" s="2266" t="s">
        <v>4310</v>
      </c>
      <c r="B615" s="1694" t="str">
        <f>CONCATENATE(LEFT(RIGHT(CONCATENATE("000",HH_Debt1516!A615),6),3),"-",(RIGHT(RIGHT(CONCATENATE("000",HH_Debt1516!A615),6),3)))</f>
        <v>178-909</v>
      </c>
      <c r="C615" s="121">
        <v>4588816</v>
      </c>
    </row>
    <row r="616" spans="1:3" ht="15">
      <c r="A616" s="2266" t="s">
        <v>6755</v>
      </c>
      <c r="B616" s="1694" t="str">
        <f>CONCATENATE(LEFT(RIGHT(CONCATENATE("000",HH_Debt1516!A616),6),3),"-",(RIGHT(RIGHT(CONCATENATE("000",HH_Debt1516!A616),6),3)))</f>
        <v>178-912</v>
      </c>
      <c r="C616" s="121">
        <v>6559324</v>
      </c>
    </row>
    <row r="617" spans="1:3" ht="15">
      <c r="A617" s="2266" t="s">
        <v>4311</v>
      </c>
      <c r="B617" s="1694" t="str">
        <f>CONCATENATE(LEFT(RIGHT(CONCATENATE("000",HH_Debt1516!A617),6),3),"-",(RIGHT(RIGHT(CONCATENATE("000",HH_Debt1516!A617),6),3)))</f>
        <v>178-913</v>
      </c>
      <c r="C617" s="121">
        <v>1142000</v>
      </c>
    </row>
    <row r="618" spans="1:3" ht="15">
      <c r="A618" s="2266" t="s">
        <v>6756</v>
      </c>
      <c r="B618" s="1694" t="str">
        <f>CONCATENATE(LEFT(RIGHT(CONCATENATE("000",HH_Debt1516!A618),6),3),"-",(RIGHT(RIGHT(CONCATENATE("000",HH_Debt1516!A618),6),3)))</f>
        <v>178-914</v>
      </c>
      <c r="C618" s="121">
        <v>3133394</v>
      </c>
    </row>
    <row r="619" spans="1:3" ht="15">
      <c r="A619" s="2266" t="s">
        <v>4312</v>
      </c>
      <c r="B619" s="1694" t="str">
        <f>CONCATENATE(LEFT(RIGHT(CONCATENATE("000",HH_Debt1516!A619),6),3),"-",(RIGHT(RIGHT(CONCATENATE("000",HH_Debt1516!A619),6),3)))</f>
        <v>178-915</v>
      </c>
      <c r="C619" s="121">
        <v>2129390</v>
      </c>
    </row>
    <row r="620" spans="1:3" ht="15">
      <c r="A620" s="2266" t="s">
        <v>4313</v>
      </c>
      <c r="B620" s="1694" t="str">
        <f>CONCATENATE(LEFT(RIGHT(CONCATENATE("000",HH_Debt1516!A620),6),3),"-",(RIGHT(RIGHT(CONCATENATE("000",HH_Debt1516!A620),6),3)))</f>
        <v>179-901</v>
      </c>
      <c r="C620" s="121">
        <v>1129993</v>
      </c>
    </row>
    <row r="621" spans="1:3" ht="15">
      <c r="A621" s="2266" t="s">
        <v>6757</v>
      </c>
      <c r="B621" s="1694" t="str">
        <f>CONCATENATE(LEFT(RIGHT(CONCATENATE("000",HH_Debt1516!A621),6),3),"-",(RIGHT(RIGHT(CONCATENATE("000",HH_Debt1516!A621),6),3)))</f>
        <v>180-902</v>
      </c>
      <c r="C621" s="121">
        <v>1737701</v>
      </c>
    </row>
    <row r="622" spans="1:3" ht="15">
      <c r="A622" s="2266" t="s">
        <v>6758</v>
      </c>
      <c r="B622" s="1694" t="str">
        <f>CONCATENATE(LEFT(RIGHT(CONCATENATE("000",HH_Debt1516!A622),6),3),"-",(RIGHT(RIGHT(CONCATENATE("000",HH_Debt1516!A622),6),3)))</f>
        <v>180-904</v>
      </c>
      <c r="C622" s="121">
        <v>785694</v>
      </c>
    </row>
    <row r="623" spans="1:3" ht="15">
      <c r="A623" s="2266" t="s">
        <v>4314</v>
      </c>
      <c r="B623" s="1694" t="str">
        <f>CONCATENATE(LEFT(RIGHT(CONCATENATE("000",HH_Debt1516!A623),6),3),"-",(RIGHT(RIGHT(CONCATENATE("000",HH_Debt1516!A623),6),3)))</f>
        <v>181-901</v>
      </c>
      <c r="C623" s="121">
        <v>1455715</v>
      </c>
    </row>
    <row r="624" spans="1:3" ht="15">
      <c r="A624" s="2266" t="s">
        <v>6759</v>
      </c>
      <c r="B624" s="1694" t="str">
        <f>CONCATENATE(LEFT(RIGHT(CONCATENATE("000",HH_Debt1516!A624),6),3),"-",(RIGHT(RIGHT(CONCATENATE("000",HH_Debt1516!A624),6),3)))</f>
        <v>181-905</v>
      </c>
      <c r="C624" s="121">
        <v>657400</v>
      </c>
    </row>
    <row r="625" spans="1:3" ht="15">
      <c r="A625" s="2266" t="s">
        <v>6760</v>
      </c>
      <c r="B625" s="1694" t="str">
        <f>CONCATENATE(LEFT(RIGHT(CONCATENATE("000",HH_Debt1516!A625),6),3),"-",(RIGHT(RIGHT(CONCATENATE("000",HH_Debt1516!A625),6),3)))</f>
        <v>181-906</v>
      </c>
      <c r="C625" s="121">
        <v>4274370</v>
      </c>
    </row>
    <row r="626" spans="1:3" ht="15">
      <c r="A626" s="2266" t="s">
        <v>4315</v>
      </c>
      <c r="B626" s="1694" t="str">
        <f>CONCATENATE(LEFT(RIGHT(CONCATENATE("000",HH_Debt1516!A626),6),3),"-",(RIGHT(RIGHT(CONCATENATE("000",HH_Debt1516!A626),6),3)))</f>
        <v>181-907</v>
      </c>
      <c r="C626" s="121">
        <v>1345584</v>
      </c>
    </row>
    <row r="627" spans="1:3" ht="15">
      <c r="A627" s="2266" t="s">
        <v>6761</v>
      </c>
      <c r="B627" s="1694" t="str">
        <f>CONCATENATE(LEFT(RIGHT(CONCATENATE("000",HH_Debt1516!A627),6),3),"-",(RIGHT(RIGHT(CONCATENATE("000",HH_Debt1516!A627),6),3)))</f>
        <v>181-908</v>
      </c>
      <c r="C627" s="121">
        <v>4112366</v>
      </c>
    </row>
    <row r="628" spans="1:3" ht="15">
      <c r="A628" s="2266" t="s">
        <v>6762</v>
      </c>
      <c r="B628" s="1694" t="str">
        <f>CONCATENATE(LEFT(RIGHT(CONCATENATE("000",HH_Debt1516!A628),6),3),"-",(RIGHT(RIGHT(CONCATENATE("000",HH_Debt1516!A628),6),3)))</f>
        <v>182-901</v>
      </c>
      <c r="C628" s="121">
        <v>68313</v>
      </c>
    </row>
    <row r="629" spans="1:3" ht="15">
      <c r="A629" s="2266" t="s">
        <v>6763</v>
      </c>
      <c r="B629" s="1694" t="str">
        <f>CONCATENATE(LEFT(RIGHT(CONCATENATE("000",HH_Debt1516!A629),6),3),"-",(RIGHT(RIGHT(CONCATENATE("000",HH_Debt1516!A629),6),3)))</f>
        <v>182-902</v>
      </c>
      <c r="C629" s="121">
        <v>769750</v>
      </c>
    </row>
    <row r="630" spans="1:3" ht="15">
      <c r="A630" s="2266" t="s">
        <v>4316</v>
      </c>
      <c r="B630" s="1694" t="str">
        <f>CONCATENATE(LEFT(RIGHT(CONCATENATE("000",HH_Debt1516!A630),6),3),"-",(RIGHT(RIGHT(CONCATENATE("000",HH_Debt1516!A630),6),3)))</f>
        <v>182-903</v>
      </c>
      <c r="C630" s="121">
        <v>3928963</v>
      </c>
    </row>
    <row r="631" spans="1:3" ht="15">
      <c r="A631" s="2266" t="s">
        <v>6764</v>
      </c>
      <c r="B631" s="1694" t="str">
        <f>CONCATENATE(LEFT(RIGHT(CONCATENATE("000",HH_Debt1516!A631),6),3),"-",(RIGHT(RIGHT(CONCATENATE("000",HH_Debt1516!A631),6),3)))</f>
        <v>182-904</v>
      </c>
      <c r="C631" s="121">
        <v>341112</v>
      </c>
    </row>
    <row r="632" spans="1:3" ht="15">
      <c r="A632" s="2266" t="s">
        <v>6765</v>
      </c>
      <c r="B632" s="1694" t="str">
        <f>CONCATENATE(LEFT(RIGHT(CONCATENATE("000",HH_Debt1516!A632),6),3),"-",(RIGHT(RIGHT(CONCATENATE("000",HH_Debt1516!A632),6),3)))</f>
        <v>182-906</v>
      </c>
      <c r="C632" s="121">
        <v>236500</v>
      </c>
    </row>
    <row r="633" spans="1:3" ht="15">
      <c r="A633" s="2266" t="s">
        <v>6766</v>
      </c>
      <c r="B633" s="1694" t="str">
        <f>CONCATENATE(LEFT(RIGHT(CONCATENATE("000",HH_Debt1516!A633),6),3),"-",(RIGHT(RIGHT(CONCATENATE("000",HH_Debt1516!A633),6),3)))</f>
        <v>183-901</v>
      </c>
      <c r="C633" s="121">
        <v>1131450</v>
      </c>
    </row>
    <row r="634" spans="1:3" ht="15">
      <c r="A634" s="2266" t="s">
        <v>6767</v>
      </c>
      <c r="B634" s="1694" t="str">
        <f>CONCATENATE(LEFT(RIGHT(CONCATENATE("000",HH_Debt1516!A634),6),3),"-",(RIGHT(RIGHT(CONCATENATE("000",HH_Debt1516!A634),6),3)))</f>
        <v>183-902</v>
      </c>
      <c r="C634" s="121">
        <v>8320620</v>
      </c>
    </row>
    <row r="635" spans="1:3" ht="15">
      <c r="A635" s="2266" t="s">
        <v>4317</v>
      </c>
      <c r="B635" s="1694" t="str">
        <f>CONCATENATE(LEFT(RIGHT(CONCATENATE("000",HH_Debt1516!A635),6),3),"-",(RIGHT(RIGHT(CONCATENATE("000",HH_Debt1516!A635),6),3)))</f>
        <v>183-904</v>
      </c>
      <c r="C635" s="121">
        <v>736228</v>
      </c>
    </row>
    <row r="636" spans="1:3" ht="15">
      <c r="A636" s="2266" t="s">
        <v>4318</v>
      </c>
      <c r="B636" s="1694" t="str">
        <f>CONCATENATE(LEFT(RIGHT(CONCATENATE("000",HH_Debt1516!A636),6),3),"-",(RIGHT(RIGHT(CONCATENATE("000",HH_Debt1516!A636),6),3)))</f>
        <v>184-901</v>
      </c>
      <c r="C636" s="121">
        <v>348019</v>
      </c>
    </row>
    <row r="637" spans="1:3" ht="15">
      <c r="A637" s="2266" t="s">
        <v>4319</v>
      </c>
      <c r="B637" s="1694" t="str">
        <f>CONCATENATE(LEFT(RIGHT(CONCATENATE("000",HH_Debt1516!A637),6),3),"-",(RIGHT(RIGHT(CONCATENATE("000",HH_Debt1516!A637),6),3)))</f>
        <v>184-902</v>
      </c>
      <c r="C637" s="121">
        <v>4225532</v>
      </c>
    </row>
    <row r="638" spans="1:3" ht="15">
      <c r="A638" s="2266" t="s">
        <v>4320</v>
      </c>
      <c r="B638" s="1694" t="str">
        <f>CONCATENATE(LEFT(RIGHT(CONCATENATE("000",HH_Debt1516!A638),6),3),"-",(RIGHT(RIGHT(CONCATENATE("000",HH_Debt1516!A638),6),3)))</f>
        <v>184-903</v>
      </c>
      <c r="C638" s="121">
        <v>12238768</v>
      </c>
    </row>
    <row r="639" spans="1:3" ht="15">
      <c r="A639" s="2266" t="s">
        <v>4321</v>
      </c>
      <c r="B639" s="1694" t="str">
        <f>CONCATENATE(LEFT(RIGHT(CONCATENATE("000",HH_Debt1516!A639),6),3),"-",(RIGHT(RIGHT(CONCATENATE("000",HH_Debt1516!A639),6),3)))</f>
        <v>184-904</v>
      </c>
      <c r="C639" s="121">
        <v>1394030</v>
      </c>
    </row>
    <row r="640" spans="1:3" ht="15">
      <c r="A640" s="2266" t="s">
        <v>6768</v>
      </c>
      <c r="B640" s="1694" t="str">
        <f>CONCATENATE(LEFT(RIGHT(CONCATENATE("000",HH_Debt1516!A640),6),3),"-",(RIGHT(RIGHT(CONCATENATE("000",HH_Debt1516!A640),6),3)))</f>
        <v>184-907</v>
      </c>
      <c r="C640" s="121">
        <v>11647993</v>
      </c>
    </row>
    <row r="641" spans="1:3" ht="15">
      <c r="A641" s="2266" t="s">
        <v>4322</v>
      </c>
      <c r="B641" s="1694" t="str">
        <f>CONCATENATE(LEFT(RIGHT(CONCATENATE("000",HH_Debt1516!A641),6),3),"-",(RIGHT(RIGHT(CONCATENATE("000",HH_Debt1516!A641),6),3)))</f>
        <v>184-908</v>
      </c>
      <c r="C641" s="121">
        <v>1490067</v>
      </c>
    </row>
    <row r="642" spans="1:3" ht="15">
      <c r="A642" s="2266" t="s">
        <v>4323</v>
      </c>
      <c r="B642" s="1694" t="str">
        <f>CONCATENATE(LEFT(RIGHT(CONCATENATE("000",HH_Debt1516!A642),6),3),"-",(RIGHT(RIGHT(CONCATENATE("000",HH_Debt1516!A642),6),3)))</f>
        <v>184-909</v>
      </c>
      <c r="C642" s="121">
        <v>1819188</v>
      </c>
    </row>
    <row r="643" spans="1:3" ht="15">
      <c r="A643" s="2266" t="s">
        <v>6769</v>
      </c>
      <c r="B643" s="1694" t="str">
        <f>CONCATENATE(LEFT(RIGHT(CONCATENATE("000",HH_Debt1516!A643),6),3),"-",(RIGHT(RIGHT(CONCATENATE("000",HH_Debt1516!A643),6),3)))</f>
        <v>184-911</v>
      </c>
      <c r="C643" s="121">
        <v>163350</v>
      </c>
    </row>
    <row r="644" spans="1:3" ht="15">
      <c r="A644" s="2266" t="s">
        <v>6770</v>
      </c>
      <c r="B644" s="1694" t="str">
        <f>CONCATENATE(LEFT(RIGHT(CONCATENATE("000",HH_Debt1516!A644),6),3),"-",(RIGHT(RIGHT(CONCATENATE("000",HH_Debt1516!A644),6),3)))</f>
        <v>185-903</v>
      </c>
      <c r="C644" s="121">
        <v>302612</v>
      </c>
    </row>
    <row r="645" spans="1:3" ht="15">
      <c r="A645" s="2266" t="s">
        <v>6771</v>
      </c>
      <c r="B645" s="1694" t="str">
        <f>CONCATENATE(LEFT(RIGHT(CONCATENATE("000",HH_Debt1516!A645),6),3),"-",(RIGHT(RIGHT(CONCATENATE("000",HH_Debt1516!A645),6),3)))</f>
        <v>186-901</v>
      </c>
      <c r="C645" s="121">
        <v>81448</v>
      </c>
    </row>
    <row r="646" spans="1:3" ht="15">
      <c r="A646" s="2266" t="s">
        <v>6772</v>
      </c>
      <c r="B646" s="1694" t="str">
        <f>CONCATENATE(LEFT(RIGHT(CONCATENATE("000",HH_Debt1516!A646),6),3),"-",(RIGHT(RIGHT(CONCATENATE("000",HH_Debt1516!A646),6),3)))</f>
        <v>186-902</v>
      </c>
      <c r="C646" s="121">
        <v>2866018</v>
      </c>
    </row>
    <row r="647" spans="1:3" ht="15">
      <c r="A647" s="2266" t="s">
        <v>6773</v>
      </c>
      <c r="B647" s="1694" t="str">
        <f>CONCATENATE(LEFT(RIGHT(CONCATENATE("000",HH_Debt1516!A647),6),3),"-",(RIGHT(RIGHT(CONCATENATE("000",HH_Debt1516!A647),6),3)))</f>
        <v>186-903</v>
      </c>
      <c r="C647" s="121">
        <v>1041900</v>
      </c>
    </row>
    <row r="648" spans="1:3" ht="15">
      <c r="A648" s="2266" t="s">
        <v>6774</v>
      </c>
      <c r="B648" s="1694" t="str">
        <f>CONCATENATE(LEFT(RIGHT(CONCATENATE("000",HH_Debt1516!A648),6),3),"-",(RIGHT(RIGHT(CONCATENATE("000",HH_Debt1516!A648),6),3)))</f>
        <v>187-901</v>
      </c>
      <c r="C648" s="121">
        <v>418075</v>
      </c>
    </row>
    <row r="649" spans="1:3" ht="15">
      <c r="A649" s="2266" t="s">
        <v>6775</v>
      </c>
      <c r="B649" s="1694" t="str">
        <f>CONCATENATE(LEFT(RIGHT(CONCATENATE("000",HH_Debt1516!A649),6),3),"-",(RIGHT(RIGHT(CONCATENATE("000",HH_Debt1516!A649),6),3)))</f>
        <v>187-904</v>
      </c>
      <c r="C649" s="121">
        <v>471162</v>
      </c>
    </row>
    <row r="650" spans="1:3" ht="15">
      <c r="A650" s="2266" t="s">
        <v>6776</v>
      </c>
      <c r="B650" s="1694" t="str">
        <f>CONCATENATE(LEFT(RIGHT(CONCATENATE("000",HH_Debt1516!A650),6),3),"-",(RIGHT(RIGHT(CONCATENATE("000",HH_Debt1516!A650),6),3)))</f>
        <v>187-906</v>
      </c>
      <c r="C650" s="121">
        <v>132462</v>
      </c>
    </row>
    <row r="651" spans="1:3" ht="15">
      <c r="A651" s="2266" t="s">
        <v>4324</v>
      </c>
      <c r="B651" s="1694" t="str">
        <f>CONCATENATE(LEFT(RIGHT(CONCATENATE("000",HH_Debt1516!A651),6),3),"-",(RIGHT(RIGHT(CONCATENATE("000",HH_Debt1516!A651),6),3)))</f>
        <v>187-907</v>
      </c>
      <c r="C651" s="121">
        <v>4982227</v>
      </c>
    </row>
    <row r="652" spans="1:3" ht="15">
      <c r="A652" s="2266" t="s">
        <v>6777</v>
      </c>
      <c r="B652" s="1694" t="str">
        <f>CONCATENATE(LEFT(RIGHT(CONCATENATE("000",HH_Debt1516!A652),6),3),"-",(RIGHT(RIGHT(CONCATENATE("000",HH_Debt1516!A652),6),3)))</f>
        <v>187-910</v>
      </c>
      <c r="C652" s="121">
        <v>1023445</v>
      </c>
    </row>
    <row r="653" spans="1:3" ht="15">
      <c r="A653" s="2266" t="s">
        <v>4325</v>
      </c>
      <c r="B653" s="1694" t="str">
        <f>CONCATENATE(LEFT(RIGHT(CONCATENATE("000",HH_Debt1516!A653),6),3),"-",(RIGHT(RIGHT(CONCATENATE("000",HH_Debt1516!A653),6),3)))</f>
        <v>188-901</v>
      </c>
      <c r="C653" s="121">
        <v>11825631</v>
      </c>
    </row>
    <row r="654" spans="1:3" ht="15">
      <c r="A654" s="2266" t="s">
        <v>4326</v>
      </c>
      <c r="B654" s="1694" t="str">
        <f>CONCATENATE(LEFT(RIGHT(CONCATENATE("000",HH_Debt1516!A654),6),3),"-",(RIGHT(RIGHT(CONCATENATE("000",HH_Debt1516!A654),6),3)))</f>
        <v>188-902</v>
      </c>
      <c r="C654" s="121">
        <v>1201250</v>
      </c>
    </row>
    <row r="655" spans="1:3" ht="15">
      <c r="A655" s="2266" t="s">
        <v>6778</v>
      </c>
      <c r="B655" s="1694" t="str">
        <f>CONCATENATE(LEFT(RIGHT(CONCATENATE("000",HH_Debt1516!A655),6),3),"-",(RIGHT(RIGHT(CONCATENATE("000",HH_Debt1516!A655),6),3)))</f>
        <v>188-903</v>
      </c>
      <c r="C655" s="121">
        <v>1183628</v>
      </c>
    </row>
    <row r="656" spans="1:3" ht="15">
      <c r="A656" s="2266" t="s">
        <v>6779</v>
      </c>
      <c r="B656" s="1694" t="str">
        <f>CONCATENATE(LEFT(RIGHT(CONCATENATE("000",HH_Debt1516!A656),6),3),"-",(RIGHT(RIGHT(CONCATENATE("000",HH_Debt1516!A656),6),3)))</f>
        <v>188-904</v>
      </c>
      <c r="C656" s="121">
        <v>2285091</v>
      </c>
    </row>
    <row r="657" spans="1:3" ht="15">
      <c r="A657" s="2266" t="s">
        <v>4327</v>
      </c>
      <c r="B657" s="1694" t="str">
        <f>CONCATENATE(LEFT(RIGHT(CONCATENATE("000",HH_Debt1516!A657),6),3),"-",(RIGHT(RIGHT(CONCATENATE("000",HH_Debt1516!A657),6),3)))</f>
        <v>189-901</v>
      </c>
      <c r="C657" s="121">
        <v>409281</v>
      </c>
    </row>
    <row r="658" spans="1:3" ht="15">
      <c r="A658" s="2266" t="s">
        <v>4328</v>
      </c>
      <c r="B658" s="1694" t="str">
        <f>CONCATENATE(LEFT(RIGHT(CONCATENATE("000",HH_Debt1516!A658),6),3),"-",(RIGHT(RIGHT(CONCATENATE("000",HH_Debt1516!A658),6),3)))</f>
        <v>189-902</v>
      </c>
      <c r="C658" s="121">
        <v>811229</v>
      </c>
    </row>
    <row r="659" spans="1:3" ht="15">
      <c r="A659" s="2266" t="s">
        <v>6780</v>
      </c>
      <c r="B659" s="1694" t="str">
        <f>CONCATENATE(LEFT(RIGHT(CONCATENATE("000",HH_Debt1516!A659),6),3),"-",(RIGHT(RIGHT(CONCATENATE("000",HH_Debt1516!A659),6),3)))</f>
        <v>190-903</v>
      </c>
      <c r="C659" s="121">
        <v>1137006</v>
      </c>
    </row>
    <row r="660" spans="1:3" ht="15">
      <c r="A660" s="2266" t="s">
        <v>6781</v>
      </c>
      <c r="B660" s="1694" t="str">
        <f>CONCATENATE(LEFT(RIGHT(CONCATENATE("000",HH_Debt1516!A660),6),3),"-",(RIGHT(RIGHT(CONCATENATE("000",HH_Debt1516!A660),6),3)))</f>
        <v>191-901</v>
      </c>
      <c r="C660" s="121">
        <v>6245905</v>
      </c>
    </row>
    <row r="661" spans="1:3" ht="15">
      <c r="A661" s="2266" t="s">
        <v>6782</v>
      </c>
      <c r="B661" s="1694" t="str">
        <f>CONCATENATE(LEFT(RIGHT(CONCATENATE("000",HH_Debt1516!A661),6),3),"-",(RIGHT(RIGHT(CONCATENATE("000",HH_Debt1516!A661),6),3)))</f>
        <v>192-901</v>
      </c>
      <c r="C661" s="121">
        <v>2324244</v>
      </c>
    </row>
    <row r="662" spans="1:3" ht="15">
      <c r="A662" s="2266" t="s">
        <v>6783</v>
      </c>
      <c r="B662" s="1694" t="str">
        <f>CONCATENATE(LEFT(RIGHT(CONCATENATE("000",HH_Debt1516!A662),6),3),"-",(RIGHT(RIGHT(CONCATENATE("000",HH_Debt1516!A662),6),3)))</f>
        <v>193-902</v>
      </c>
      <c r="C662" s="121">
        <v>465188</v>
      </c>
    </row>
    <row r="663" spans="1:3" ht="15">
      <c r="A663" s="2266" t="s">
        <v>4329</v>
      </c>
      <c r="B663" s="1694" t="str">
        <f>CONCATENATE(LEFT(RIGHT(CONCATENATE("000",HH_Debt1516!A663),6),3),"-",(RIGHT(RIGHT(CONCATENATE("000",HH_Debt1516!A663),6),3)))</f>
        <v>194-903</v>
      </c>
      <c r="C663" s="121">
        <v>514438</v>
      </c>
    </row>
    <row r="664" spans="1:3" ht="15">
      <c r="A664" s="2266" t="s">
        <v>4330</v>
      </c>
      <c r="B664" s="1694" t="str">
        <f>CONCATENATE(LEFT(RIGHT(CONCATENATE("000",HH_Debt1516!A664),6),3),"-",(RIGHT(RIGHT(CONCATENATE("000",HH_Debt1516!A664),6),3)))</f>
        <v>194-905</v>
      </c>
      <c r="C664" s="121">
        <v>434219</v>
      </c>
    </row>
    <row r="665" spans="1:3" ht="15">
      <c r="A665" s="2266" t="s">
        <v>6784</v>
      </c>
      <c r="B665" s="1694" t="str">
        <f>CONCATENATE(LEFT(RIGHT(CONCATENATE("000",HH_Debt1516!A665),6),3),"-",(RIGHT(RIGHT(CONCATENATE("000",HH_Debt1516!A665),6),3)))</f>
        <v>195-901</v>
      </c>
      <c r="C665" s="121">
        <v>1934373</v>
      </c>
    </row>
    <row r="666" spans="1:3" ht="15">
      <c r="A666" s="2266" t="s">
        <v>4331</v>
      </c>
      <c r="B666" s="1694" t="str">
        <f>CONCATENATE(LEFT(RIGHT(CONCATENATE("000",HH_Debt1516!A666),6),3),"-",(RIGHT(RIGHT(CONCATENATE("000",HH_Debt1516!A666),6),3)))</f>
        <v>195-902</v>
      </c>
      <c r="C666" s="121">
        <v>92012</v>
      </c>
    </row>
    <row r="667" spans="1:3" ht="15">
      <c r="A667" s="2266" t="s">
        <v>6785</v>
      </c>
      <c r="B667" s="1694" t="str">
        <f>CONCATENATE(LEFT(RIGHT(CONCATENATE("000",HH_Debt1516!A667),6),3),"-",(RIGHT(RIGHT(CONCATENATE("000",HH_Debt1516!A667),6),3)))</f>
        <v>196-901</v>
      </c>
      <c r="C667" s="121">
        <v>652356</v>
      </c>
    </row>
    <row r="668" spans="1:3" ht="15">
      <c r="A668" s="2266" t="s">
        <v>6786</v>
      </c>
      <c r="B668" s="1694" t="str">
        <f>CONCATENATE(LEFT(RIGHT(CONCATENATE("000",HH_Debt1516!A668),6),3),"-",(RIGHT(RIGHT(CONCATENATE("000",HH_Debt1516!A668),6),3)))</f>
        <v>196-902</v>
      </c>
      <c r="C668" s="121">
        <v>927750</v>
      </c>
    </row>
    <row r="669" spans="1:3" ht="15">
      <c r="A669" s="2266" t="s">
        <v>6787</v>
      </c>
      <c r="B669" s="1694" t="str">
        <f>CONCATENATE(LEFT(RIGHT(CONCATENATE("000",HH_Debt1516!A669),6),3),"-",(RIGHT(RIGHT(CONCATENATE("000",HH_Debt1516!A669),6),3)))</f>
        <v>196-903</v>
      </c>
      <c r="C669" s="121">
        <v>933342</v>
      </c>
    </row>
    <row r="670" spans="1:3" ht="15">
      <c r="A670" s="2266" t="s">
        <v>6788</v>
      </c>
      <c r="B670" s="1694" t="str">
        <f>CONCATENATE(LEFT(RIGHT(CONCATENATE("000",HH_Debt1516!A670),6),3),"-",(RIGHT(RIGHT(CONCATENATE("000",HH_Debt1516!A670),6),3)))</f>
        <v>197-902</v>
      </c>
      <c r="C670" s="121">
        <v>2729300</v>
      </c>
    </row>
    <row r="671" spans="1:3" ht="15">
      <c r="A671" s="2266" t="s">
        <v>6789</v>
      </c>
      <c r="B671" s="1694" t="str">
        <f>CONCATENATE(LEFT(RIGHT(CONCATENATE("000",HH_Debt1516!A671),6),3),"-",(RIGHT(RIGHT(CONCATENATE("000",HH_Debt1516!A671),6),3)))</f>
        <v>198-901</v>
      </c>
      <c r="C671" s="121">
        <v>992082</v>
      </c>
    </row>
    <row r="672" spans="1:3" ht="15">
      <c r="A672" s="2266" t="s">
        <v>6790</v>
      </c>
      <c r="B672" s="1694" t="str">
        <f>CONCATENATE(LEFT(RIGHT(CONCATENATE("000",HH_Debt1516!A672),6),3),"-",(RIGHT(RIGHT(CONCATENATE("000",HH_Debt1516!A672),6),3)))</f>
        <v>198-903</v>
      </c>
      <c r="C672" s="121">
        <v>965578</v>
      </c>
    </row>
    <row r="673" spans="1:3" ht="15">
      <c r="A673" s="2266" t="s">
        <v>6791</v>
      </c>
      <c r="B673" s="1694" t="str">
        <f>CONCATENATE(LEFT(RIGHT(CONCATENATE("000",HH_Debt1516!A673),6),3),"-",(RIGHT(RIGHT(CONCATENATE("000",HH_Debt1516!A673),6),3)))</f>
        <v>198-905</v>
      </c>
      <c r="C673" s="121">
        <v>877559</v>
      </c>
    </row>
    <row r="674" spans="1:3" ht="15">
      <c r="A674" s="2266" t="s">
        <v>6792</v>
      </c>
      <c r="B674" s="1694" t="str">
        <f>CONCATENATE(LEFT(RIGHT(CONCATENATE("000",HH_Debt1516!A674),6),3),"-",(RIGHT(RIGHT(CONCATENATE("000",HH_Debt1516!A674),6),3)))</f>
        <v>199-901</v>
      </c>
      <c r="C674" s="121">
        <v>25800875</v>
      </c>
    </row>
    <row r="675" spans="1:3" ht="15">
      <c r="A675" s="2266" t="s">
        <v>4332</v>
      </c>
      <c r="B675" s="1694" t="str">
        <f>CONCATENATE(LEFT(RIGHT(CONCATENATE("000",HH_Debt1516!A675),6),3),"-",(RIGHT(RIGHT(CONCATENATE("000",HH_Debt1516!A675),6),3)))</f>
        <v>199-902</v>
      </c>
      <c r="C675" s="121">
        <v>8753352</v>
      </c>
    </row>
    <row r="676" spans="1:3" ht="15">
      <c r="A676" s="2266" t="s">
        <v>4333</v>
      </c>
      <c r="B676" s="1694" t="str">
        <f>CONCATENATE(LEFT(RIGHT(CONCATENATE("000",HH_Debt1516!A676),6),3),"-",(RIGHT(RIGHT(CONCATENATE("000",HH_Debt1516!A676),6),3)))</f>
        <v>200-902</v>
      </c>
      <c r="C676" s="121">
        <v>382000</v>
      </c>
    </row>
    <row r="677" spans="1:3" ht="15">
      <c r="A677" s="2266" t="s">
        <v>4334</v>
      </c>
      <c r="B677" s="1694" t="str">
        <f>CONCATENATE(LEFT(RIGHT(CONCATENATE("000",HH_Debt1516!A677),6),3),"-",(RIGHT(RIGHT(CONCATENATE("000",HH_Debt1516!A677),6),3)))</f>
        <v>200-906</v>
      </c>
      <c r="C677" s="121">
        <v>83500</v>
      </c>
    </row>
    <row r="678" spans="1:3" ht="15">
      <c r="A678" s="2266" t="s">
        <v>6793</v>
      </c>
      <c r="B678" s="1694" t="str">
        <f>CONCATENATE(LEFT(RIGHT(CONCATENATE("000",HH_Debt1516!A678),6),3),"-",(RIGHT(RIGHT(CONCATENATE("000",HH_Debt1516!A678),6),3)))</f>
        <v>201-902</v>
      </c>
      <c r="C678" s="121">
        <v>3465922</v>
      </c>
    </row>
    <row r="679" spans="1:3" ht="15">
      <c r="A679" s="2266" t="s">
        <v>6119</v>
      </c>
      <c r="B679" s="1694" t="str">
        <f>CONCATENATE(LEFT(RIGHT(CONCATENATE("000",HH_Debt1516!A679),6),3),"-",(RIGHT(RIGHT(CONCATENATE("000",HH_Debt1516!A679),6),3)))</f>
        <v>201-907</v>
      </c>
      <c r="C679" s="121">
        <v>196472</v>
      </c>
    </row>
    <row r="680" spans="1:3" ht="15">
      <c r="A680" s="2266" t="s">
        <v>4335</v>
      </c>
      <c r="B680" s="1694" t="str">
        <f>CONCATENATE(LEFT(RIGHT(CONCATENATE("000",HH_Debt1516!A680),6),3),"-",(RIGHT(RIGHT(CONCATENATE("000",HH_Debt1516!A680),6),3)))</f>
        <v>201-908</v>
      </c>
      <c r="C680" s="121">
        <v>670495</v>
      </c>
    </row>
    <row r="681" spans="1:3" ht="15">
      <c r="A681" s="2266" t="s">
        <v>6794</v>
      </c>
      <c r="B681" s="1694" t="str">
        <f>CONCATENATE(LEFT(RIGHT(CONCATENATE("000",HH_Debt1516!A681),6),3),"-",(RIGHT(RIGHT(CONCATENATE("000",HH_Debt1516!A681),6),3)))</f>
        <v>201-910</v>
      </c>
      <c r="C681" s="121">
        <v>2530300</v>
      </c>
    </row>
    <row r="682" spans="1:3" ht="15">
      <c r="A682" s="2266" t="s">
        <v>4336</v>
      </c>
      <c r="B682" s="1694" t="str">
        <f>CONCATENATE(LEFT(RIGHT(CONCATENATE("000",HH_Debt1516!A682),6),3),"-",(RIGHT(RIGHT(CONCATENATE("000",HH_Debt1516!A682),6),3)))</f>
        <v>201-913</v>
      </c>
      <c r="C682" s="121">
        <v>715170</v>
      </c>
    </row>
    <row r="683" spans="1:3" ht="15">
      <c r="A683" s="2266" t="s">
        <v>6795</v>
      </c>
      <c r="B683" s="1694" t="str">
        <f>CONCATENATE(LEFT(RIGHT(CONCATENATE("000",HH_Debt1516!A683),6),3),"-",(RIGHT(RIGHT(CONCATENATE("000",HH_Debt1516!A683),6),3)))</f>
        <v>201-914</v>
      </c>
      <c r="C683" s="121">
        <v>1118845</v>
      </c>
    </row>
    <row r="684" spans="1:3" ht="15">
      <c r="A684" s="2266" t="s">
        <v>4337</v>
      </c>
      <c r="B684" s="1694" t="str">
        <f>CONCATENATE(LEFT(RIGHT(CONCATENATE("000",HH_Debt1516!A684),6),3),"-",(RIGHT(RIGHT(CONCATENATE("000",HH_Debt1516!A684),6),3)))</f>
        <v>202-905</v>
      </c>
      <c r="C684" s="121">
        <v>558075</v>
      </c>
    </row>
    <row r="685" spans="1:3" ht="15">
      <c r="A685" s="2266" t="s">
        <v>4338</v>
      </c>
      <c r="B685" s="1694" t="str">
        <f>CONCATENATE(LEFT(RIGHT(CONCATENATE("000",HH_Debt1516!A685),6),3),"-",(RIGHT(RIGHT(CONCATENATE("000",HH_Debt1516!A685),6),3)))</f>
        <v>203-901</v>
      </c>
      <c r="C685" s="121">
        <v>1508184</v>
      </c>
    </row>
    <row r="686" spans="1:3" ht="15">
      <c r="A686" s="2266" t="s">
        <v>6796</v>
      </c>
      <c r="B686" s="1694" t="str">
        <f>CONCATENATE(LEFT(RIGHT(CONCATENATE("000",HH_Debt1516!A686),6),3),"-",(RIGHT(RIGHT(CONCATENATE("000",HH_Debt1516!A686),6),3)))</f>
        <v>204-901</v>
      </c>
      <c r="C686" s="121">
        <v>532796</v>
      </c>
    </row>
    <row r="687" spans="1:3" ht="15">
      <c r="A687" s="2266" t="s">
        <v>4339</v>
      </c>
      <c r="B687" s="1694" t="str">
        <f>CONCATENATE(LEFT(RIGHT(CONCATENATE("000",HH_Debt1516!A687),6),3),"-",(RIGHT(RIGHT(CONCATENATE("000",HH_Debt1516!A687),6),3)))</f>
        <v>204-904</v>
      </c>
      <c r="C687" s="121">
        <v>1520416</v>
      </c>
    </row>
    <row r="688" spans="1:3" ht="15">
      <c r="A688" s="2266" t="s">
        <v>4340</v>
      </c>
      <c r="B688" s="1694" t="str">
        <f>CONCATENATE(LEFT(RIGHT(CONCATENATE("000",HH_Debt1516!A688),6),3),"-",(RIGHT(RIGHT(CONCATENATE("000",HH_Debt1516!A688),6),3)))</f>
        <v>205-901</v>
      </c>
      <c r="C688" s="121">
        <v>247200</v>
      </c>
    </row>
    <row r="689" spans="1:3" ht="15">
      <c r="A689" s="2266" t="s">
        <v>6797</v>
      </c>
      <c r="B689" s="1694" t="str">
        <f>CONCATENATE(LEFT(RIGHT(CONCATENATE("000",HH_Debt1516!A689),6),3),"-",(RIGHT(RIGHT(CONCATENATE("000",HH_Debt1516!A689),6),3)))</f>
        <v>205-902</v>
      </c>
      <c r="C689" s="121">
        <v>3932394</v>
      </c>
    </row>
    <row r="690" spans="1:3" ht="15">
      <c r="A690" s="2266" t="s">
        <v>6798</v>
      </c>
      <c r="B690" s="1694" t="str">
        <f>CONCATENATE(LEFT(RIGHT(CONCATENATE("000",HH_Debt1516!A690),6),3),"-",(RIGHT(RIGHT(CONCATENATE("000",HH_Debt1516!A690),6),3)))</f>
        <v>205-903</v>
      </c>
      <c r="C690" s="121">
        <v>670900</v>
      </c>
    </row>
    <row r="691" spans="1:3" ht="15">
      <c r="A691" s="2266" t="s">
        <v>4341</v>
      </c>
      <c r="B691" s="1694" t="str">
        <f>CONCATENATE(LEFT(RIGHT(CONCATENATE("000",HH_Debt1516!A691),6),3),"-",(RIGHT(RIGHT(CONCATENATE("000",HH_Debt1516!A691),6),3)))</f>
        <v>205-904</v>
      </c>
      <c r="C691" s="121">
        <v>1317914</v>
      </c>
    </row>
    <row r="692" spans="1:3" ht="15">
      <c r="A692" s="2266" t="s">
        <v>4342</v>
      </c>
      <c r="B692" s="1694" t="str">
        <f>CONCATENATE(LEFT(RIGHT(CONCATENATE("000",HH_Debt1516!A692),6),3),"-",(RIGHT(RIGHT(CONCATENATE("000",HH_Debt1516!A692),6),3)))</f>
        <v>205-905</v>
      </c>
      <c r="C692" s="121">
        <v>1502772</v>
      </c>
    </row>
    <row r="693" spans="1:3" ht="15">
      <c r="A693" s="2266" t="s">
        <v>4343</v>
      </c>
      <c r="B693" s="1694" t="str">
        <f>CONCATENATE(LEFT(RIGHT(CONCATENATE("000",HH_Debt1516!A693),6),3),"-",(RIGHT(RIGHT(CONCATENATE("000",HH_Debt1516!A693),6),3)))</f>
        <v>205-906</v>
      </c>
      <c r="C693" s="121">
        <v>2054238</v>
      </c>
    </row>
    <row r="694" spans="1:3" ht="15">
      <c r="A694" s="2266" t="s">
        <v>4344</v>
      </c>
      <c r="B694" s="1694" t="str">
        <f>CONCATENATE(LEFT(RIGHT(CONCATENATE("000",HH_Debt1516!A694),6),3),"-",(RIGHT(RIGHT(CONCATENATE("000",HH_Debt1516!A694),6),3)))</f>
        <v>205-907</v>
      </c>
      <c r="C694" s="121">
        <v>1729183</v>
      </c>
    </row>
    <row r="695" spans="1:3" ht="15">
      <c r="A695" s="2266" t="s">
        <v>4345</v>
      </c>
      <c r="B695" s="1694" t="str">
        <f>CONCATENATE(LEFT(RIGHT(CONCATENATE("000",HH_Debt1516!A695),6),3),"-",(RIGHT(RIGHT(CONCATENATE("000",HH_Debt1516!A695),6),3)))</f>
        <v>206-901</v>
      </c>
      <c r="C695" s="121">
        <v>520689</v>
      </c>
    </row>
    <row r="696" spans="1:3" ht="15">
      <c r="A696" s="2266" t="s">
        <v>6799</v>
      </c>
      <c r="B696" s="1694" t="str">
        <f>CONCATENATE(LEFT(RIGHT(CONCATENATE("000",HH_Debt1516!A696),6),3),"-",(RIGHT(RIGHT(CONCATENATE("000",HH_Debt1516!A696),6),3)))</f>
        <v>208-901</v>
      </c>
      <c r="C696" s="121">
        <v>864891</v>
      </c>
    </row>
    <row r="697" spans="1:3" ht="15">
      <c r="A697" s="2266" t="s">
        <v>6800</v>
      </c>
      <c r="B697" s="1694" t="str">
        <f>CONCATENATE(LEFT(RIGHT(CONCATENATE("000",HH_Debt1516!A697),6),3),"-",(RIGHT(RIGHT(CONCATENATE("000",HH_Debt1516!A697),6),3)))</f>
        <v>208-902</v>
      </c>
      <c r="C697" s="121">
        <v>2827206</v>
      </c>
    </row>
    <row r="698" spans="1:3" ht="15">
      <c r="A698" s="2266" t="s">
        <v>6801</v>
      </c>
      <c r="B698" s="1694" t="str">
        <f>CONCATENATE(LEFT(RIGHT(CONCATENATE("000",HH_Debt1516!A698),6),3),"-",(RIGHT(RIGHT(CONCATENATE("000",HH_Debt1516!A698),6),3)))</f>
        <v>208-903</v>
      </c>
      <c r="C698" s="121">
        <v>774694</v>
      </c>
    </row>
    <row r="699" spans="1:3" ht="15">
      <c r="A699" s="2266" t="s">
        <v>4346</v>
      </c>
      <c r="B699" s="1694" t="str">
        <f>CONCATENATE(LEFT(RIGHT(CONCATENATE("000",HH_Debt1516!A699),6),3),"-",(RIGHT(RIGHT(CONCATENATE("000",HH_Debt1516!A699),6),3)))</f>
        <v>210-901</v>
      </c>
      <c r="C699" s="121">
        <v>1291712</v>
      </c>
    </row>
    <row r="700" spans="1:3" ht="15">
      <c r="A700" s="2266" t="s">
        <v>6802</v>
      </c>
      <c r="B700" s="1694" t="str">
        <f>CONCATENATE(LEFT(RIGHT(CONCATENATE("000",HH_Debt1516!A700),6),3),"-",(RIGHT(RIGHT(CONCATENATE("000",HH_Debt1516!A700),6),3)))</f>
        <v>210-902</v>
      </c>
      <c r="C700" s="121">
        <v>1038989</v>
      </c>
    </row>
    <row r="701" spans="1:3" ht="15">
      <c r="A701" s="2266" t="s">
        <v>4347</v>
      </c>
      <c r="B701" s="1694" t="str">
        <f>CONCATENATE(LEFT(RIGHT(CONCATENATE("000",HH_Debt1516!A701),6),3),"-",(RIGHT(RIGHT(CONCATENATE("000",HH_Debt1516!A701),6),3)))</f>
        <v>210-903</v>
      </c>
      <c r="C701" s="121">
        <v>152950</v>
      </c>
    </row>
    <row r="702" spans="1:3" ht="15">
      <c r="A702" s="2266" t="s">
        <v>6803</v>
      </c>
      <c r="B702" s="1694" t="str">
        <f>CONCATENATE(LEFT(RIGHT(CONCATENATE("000",HH_Debt1516!A702),6),3),"-",(RIGHT(RIGHT(CONCATENATE("000",HH_Debt1516!A702),6),3)))</f>
        <v>210-904</v>
      </c>
      <c r="C702" s="121">
        <v>222961</v>
      </c>
    </row>
    <row r="703" spans="1:3" ht="15">
      <c r="A703" s="2266" t="s">
        <v>6804</v>
      </c>
      <c r="B703" s="1694" t="str">
        <f>CONCATENATE(LEFT(RIGHT(CONCATENATE("000",HH_Debt1516!A703),6),3),"-",(RIGHT(RIGHT(CONCATENATE("000",HH_Debt1516!A703),6),3)))</f>
        <v>211-901</v>
      </c>
      <c r="C703" s="121">
        <v>221650</v>
      </c>
    </row>
    <row r="704" spans="1:3" ht="15">
      <c r="A704" s="2266" t="s">
        <v>4348</v>
      </c>
      <c r="B704" s="1694" t="str">
        <f>CONCATENATE(LEFT(RIGHT(CONCATENATE("000",HH_Debt1516!A704),6),3),"-",(RIGHT(RIGHT(CONCATENATE("000",HH_Debt1516!A704),6),3)))</f>
        <v>212-901</v>
      </c>
      <c r="C704" s="121">
        <v>1324195</v>
      </c>
    </row>
    <row r="705" spans="1:3" ht="15">
      <c r="A705" s="2266" t="s">
        <v>6805</v>
      </c>
      <c r="B705" s="1694" t="str">
        <f>CONCATENATE(LEFT(RIGHT(CONCATENATE("000",HH_Debt1516!A705),6),3),"-",(RIGHT(RIGHT(CONCATENATE("000",HH_Debt1516!A705),6),3)))</f>
        <v>212-902</v>
      </c>
      <c r="C705" s="121">
        <v>4601292</v>
      </c>
    </row>
    <row r="706" spans="1:3" ht="15">
      <c r="A706" s="2266" t="s">
        <v>4349</v>
      </c>
      <c r="B706" s="1694" t="str">
        <f>CONCATENATE(LEFT(RIGHT(CONCATENATE("000",HH_Debt1516!A706),6),3),"-",(RIGHT(RIGHT(CONCATENATE("000",HH_Debt1516!A706),6),3)))</f>
        <v>212-903</v>
      </c>
      <c r="C706" s="121">
        <v>4406131</v>
      </c>
    </row>
    <row r="707" spans="1:3" ht="15">
      <c r="A707" s="2266" t="s">
        <v>6806</v>
      </c>
      <c r="B707" s="1694" t="str">
        <f>CONCATENATE(LEFT(RIGHT(CONCATENATE("000",HH_Debt1516!A707),6),3),"-",(RIGHT(RIGHT(CONCATENATE("000",HH_Debt1516!A707),6),3)))</f>
        <v>212-904</v>
      </c>
      <c r="C707" s="121">
        <v>491180</v>
      </c>
    </row>
    <row r="708" spans="1:3" ht="15">
      <c r="A708" s="2266" t="s">
        <v>6807</v>
      </c>
      <c r="B708" s="1694" t="str">
        <f>CONCATENATE(LEFT(RIGHT(CONCATENATE("000",HH_Debt1516!A708),6),3),"-",(RIGHT(RIGHT(CONCATENATE("000",HH_Debt1516!A708),6),3)))</f>
        <v>212-905</v>
      </c>
      <c r="C708" s="121">
        <v>23916118</v>
      </c>
    </row>
    <row r="709" spans="1:3" ht="15">
      <c r="A709" s="2266" t="s">
        <v>4350</v>
      </c>
      <c r="B709" s="1694" t="str">
        <f>CONCATENATE(LEFT(RIGHT(CONCATENATE("000",HH_Debt1516!A709),6),3),"-",(RIGHT(RIGHT(CONCATENATE("000",HH_Debt1516!A709),6),3)))</f>
        <v>212-906</v>
      </c>
      <c r="C709" s="121">
        <v>2677150</v>
      </c>
    </row>
    <row r="710" spans="1:3" ht="15">
      <c r="A710" s="2266" t="s">
        <v>4351</v>
      </c>
      <c r="B710" s="1694" t="str">
        <f>CONCATENATE(LEFT(RIGHT(CONCATENATE("000",HH_Debt1516!A710),6),3),"-",(RIGHT(RIGHT(CONCATENATE("000",HH_Debt1516!A710),6),3)))</f>
        <v>212-909</v>
      </c>
      <c r="C710" s="121">
        <v>1946537</v>
      </c>
    </row>
    <row r="711" spans="1:3" ht="15">
      <c r="A711" s="2266" t="s">
        <v>6808</v>
      </c>
      <c r="B711" s="1694" t="str">
        <f>CONCATENATE(LEFT(RIGHT(CONCATENATE("000",HH_Debt1516!A711),6),3),"-",(RIGHT(RIGHT(CONCATENATE("000",HH_Debt1516!A711),6),3)))</f>
        <v>212-910</v>
      </c>
      <c r="C711" s="121">
        <v>1557456</v>
      </c>
    </row>
    <row r="712" spans="1:3" ht="15">
      <c r="A712" s="2266" t="s">
        <v>6809</v>
      </c>
      <c r="B712" s="1694" t="str">
        <f>CONCATENATE(LEFT(RIGHT(CONCATENATE("000",HH_Debt1516!A712),6),3),"-",(RIGHT(RIGHT(CONCATENATE("000",HH_Debt1516!A712),6),3)))</f>
        <v>213-901</v>
      </c>
      <c r="C712" s="121">
        <v>2449892</v>
      </c>
    </row>
    <row r="713" spans="1:3" ht="15">
      <c r="A713" s="2266" t="s">
        <v>4352</v>
      </c>
      <c r="B713" s="1694" t="str">
        <f>CONCATENATE(LEFT(RIGHT(CONCATENATE("000",HH_Debt1516!A713),6),3),"-",(RIGHT(RIGHT(CONCATENATE("000",HH_Debt1516!A713),6),3)))</f>
        <v>214-901</v>
      </c>
      <c r="C713" s="121">
        <v>9164031</v>
      </c>
    </row>
    <row r="714" spans="1:3" ht="15">
      <c r="A714" s="2266" t="s">
        <v>6810</v>
      </c>
      <c r="B714" s="1694" t="str">
        <f>CONCATENATE(LEFT(RIGHT(CONCATENATE("000",HH_Debt1516!A714),6),3),"-",(RIGHT(RIGHT(CONCATENATE("000",HH_Debt1516!A714),6),3)))</f>
        <v>214-902</v>
      </c>
      <c r="C714" s="121">
        <v>185972</v>
      </c>
    </row>
    <row r="715" spans="1:3" ht="15">
      <c r="A715" s="2266" t="s">
        <v>4353</v>
      </c>
      <c r="B715" s="1694" t="str">
        <f>CONCATENATE(LEFT(RIGHT(CONCATENATE("000",HH_Debt1516!A715),6),3),"-",(RIGHT(RIGHT(CONCATENATE("000",HH_Debt1516!A715),6),3)))</f>
        <v>214-903</v>
      </c>
      <c r="C715" s="121">
        <v>4868929</v>
      </c>
    </row>
    <row r="716" spans="1:3" ht="15">
      <c r="A716" s="2266" t="s">
        <v>6811</v>
      </c>
      <c r="B716" s="1694" t="str">
        <f>CONCATENATE(LEFT(RIGHT(CONCATENATE("000",HH_Debt1516!A716),6),3),"-",(RIGHT(RIGHT(CONCATENATE("000",HH_Debt1516!A716),6),3)))</f>
        <v>215-901</v>
      </c>
      <c r="C716" s="121">
        <v>623550</v>
      </c>
    </row>
    <row r="717" spans="1:3" ht="15">
      <c r="A717" s="2266" t="s">
        <v>6812</v>
      </c>
      <c r="B717" s="1694" t="str">
        <f>CONCATENATE(LEFT(RIGHT(CONCATENATE("000",HH_Debt1516!A717),6),3),"-",(RIGHT(RIGHT(CONCATENATE("000",HH_Debt1516!A717),6),3)))</f>
        <v>216-901</v>
      </c>
      <c r="C717" s="121">
        <v>1289754</v>
      </c>
    </row>
    <row r="718" spans="1:3" ht="15">
      <c r="A718" s="2266" t="s">
        <v>6813</v>
      </c>
      <c r="B718" s="1694" t="str">
        <f>CONCATENATE(LEFT(RIGHT(CONCATENATE("000",HH_Debt1516!A718),6),3),"-",(RIGHT(RIGHT(CONCATENATE("000",HH_Debt1516!A718),6),3)))</f>
        <v>217-901</v>
      </c>
      <c r="C718" s="121">
        <v>581562</v>
      </c>
    </row>
    <row r="719" spans="1:3" ht="15">
      <c r="A719" s="2266" t="s">
        <v>6814</v>
      </c>
      <c r="B719" s="1694" t="str">
        <f>CONCATENATE(LEFT(RIGHT(CONCATENATE("000",HH_Debt1516!A719),6),3),"-",(RIGHT(RIGHT(CONCATENATE("000",HH_Debt1516!A719),6),3)))</f>
        <v>218-901</v>
      </c>
      <c r="C719" s="121">
        <v>273150</v>
      </c>
    </row>
    <row r="720" spans="1:3" ht="15">
      <c r="A720" s="2266" t="s">
        <v>6815</v>
      </c>
      <c r="B720" s="1694" t="str">
        <f>CONCATENATE(LEFT(RIGHT(CONCATENATE("000",HH_Debt1516!A720),6),3),"-",(RIGHT(RIGHT(CONCATENATE("000",HH_Debt1516!A720),6),3)))</f>
        <v>219-905</v>
      </c>
      <c r="C720" s="121">
        <v>204987</v>
      </c>
    </row>
    <row r="721" spans="1:3" ht="15">
      <c r="A721" s="2266" t="s">
        <v>4354</v>
      </c>
      <c r="B721" s="1694" t="str">
        <f>CONCATENATE(LEFT(RIGHT(CONCATENATE("000",HH_Debt1516!A721),6),3),"-",(RIGHT(RIGHT(CONCATENATE("000",HH_Debt1516!A721),6),3)))</f>
        <v>220-901</v>
      </c>
      <c r="C721" s="121">
        <v>78519131</v>
      </c>
    </row>
    <row r="722" spans="1:3" ht="15">
      <c r="A722" s="2266" t="s">
        <v>4355</v>
      </c>
      <c r="B722" s="1694" t="str">
        <f>CONCATENATE(LEFT(RIGHT(CONCATENATE("000",HH_Debt1516!A722),6),3),"-",(RIGHT(RIGHT(CONCATENATE("000",HH_Debt1516!A722),6),3)))</f>
        <v>220-902</v>
      </c>
      <c r="C722" s="121">
        <v>32296350</v>
      </c>
    </row>
    <row r="723" spans="1:3" ht="15">
      <c r="A723" s="2266" t="s">
        <v>4356</v>
      </c>
      <c r="B723" s="1694" t="str">
        <f>CONCATENATE(LEFT(RIGHT(CONCATENATE("000",HH_Debt1516!A723),6),3),"-",(RIGHT(RIGHT(CONCATENATE("000",HH_Debt1516!A723),6),3)))</f>
        <v>220-904</v>
      </c>
      <c r="C723" s="121">
        <v>6280394</v>
      </c>
    </row>
    <row r="724" spans="1:3" ht="15">
      <c r="A724" s="2266" t="s">
        <v>6816</v>
      </c>
      <c r="B724" s="1694" t="str">
        <f>CONCATENATE(LEFT(RIGHT(CONCATENATE("000",HH_Debt1516!A724),6),3),"-",(RIGHT(RIGHT(CONCATENATE("000",HH_Debt1516!A724),6),3)))</f>
        <v>220-905</v>
      </c>
      <c r="C724" s="121">
        <v>90685551</v>
      </c>
    </row>
    <row r="725" spans="1:3" ht="15">
      <c r="A725" s="2266" t="s">
        <v>6817</v>
      </c>
      <c r="B725" s="1694" t="str">
        <f>CONCATENATE(LEFT(RIGHT(CONCATENATE("000",HH_Debt1516!A725),6),3),"-",(RIGHT(RIGHT(CONCATENATE("000",HH_Debt1516!A725),6),3)))</f>
        <v>220-906</v>
      </c>
      <c r="C725" s="121">
        <v>31202240</v>
      </c>
    </row>
    <row r="726" spans="1:3" ht="15">
      <c r="A726" s="2266" t="s">
        <v>4357</v>
      </c>
      <c r="B726" s="1694" t="str">
        <f>CONCATENATE(LEFT(RIGHT(CONCATENATE("000",HH_Debt1516!A726),6),3),"-",(RIGHT(RIGHT(CONCATENATE("000",HH_Debt1516!A726),6),3)))</f>
        <v>220-907</v>
      </c>
      <c r="C726" s="121">
        <v>65939602</v>
      </c>
    </row>
    <row r="727" spans="1:3" ht="15">
      <c r="A727" s="2266" t="s">
        <v>4358</v>
      </c>
      <c r="B727" s="1694" t="str">
        <f>CONCATENATE(LEFT(RIGHT(CONCATENATE("000",HH_Debt1516!A727),6),3),"-",(RIGHT(RIGHT(CONCATENATE("000",HH_Debt1516!A727),6),3)))</f>
        <v>220-908</v>
      </c>
      <c r="C727" s="121">
        <v>56146566</v>
      </c>
    </row>
    <row r="728" spans="1:3" ht="15">
      <c r="A728" s="2266" t="s">
        <v>4359</v>
      </c>
      <c r="B728" s="1694" t="str">
        <f>CONCATENATE(LEFT(RIGHT(CONCATENATE("000",HH_Debt1516!A728),6),3),"-",(RIGHT(RIGHT(CONCATENATE("000",HH_Debt1516!A728),6),3)))</f>
        <v>220-910</v>
      </c>
      <c r="C728" s="121">
        <v>5265646</v>
      </c>
    </row>
    <row r="729" spans="1:3" ht="15">
      <c r="A729" s="2266" t="s">
        <v>4360</v>
      </c>
      <c r="B729" s="1694" t="str">
        <f>CONCATENATE(LEFT(RIGHT(CONCATENATE("000",HH_Debt1516!A729),6),3),"-",(RIGHT(RIGHT(CONCATENATE("000",HH_Debt1516!A729),6),3)))</f>
        <v>220-912</v>
      </c>
      <c r="C729" s="121">
        <v>23105873</v>
      </c>
    </row>
    <row r="730" spans="1:3" ht="15">
      <c r="A730" s="2266" t="s">
        <v>4361</v>
      </c>
      <c r="B730" s="1694" t="str">
        <f>CONCATENATE(LEFT(RIGHT(CONCATENATE("000",HH_Debt1516!A730),6),3),"-",(RIGHT(RIGHT(CONCATENATE("000",HH_Debt1516!A730),6),3)))</f>
        <v>220-914</v>
      </c>
      <c r="C730" s="121">
        <v>3506421</v>
      </c>
    </row>
    <row r="731" spans="1:3" ht="15">
      <c r="A731" s="2266" t="s">
        <v>4362</v>
      </c>
      <c r="B731" s="1694" t="str">
        <f>CONCATENATE(LEFT(RIGHT(CONCATENATE("000",HH_Debt1516!A731),6),3),"-",(RIGHT(RIGHT(CONCATENATE("000",HH_Debt1516!A731),6),3)))</f>
        <v>220-915</v>
      </c>
      <c r="C731" s="121">
        <v>3988275</v>
      </c>
    </row>
    <row r="732" spans="1:3" ht="15">
      <c r="A732" s="2266" t="s">
        <v>4363</v>
      </c>
      <c r="B732" s="1694" t="str">
        <f>CONCATENATE(LEFT(RIGHT(CONCATENATE("000",HH_Debt1516!A732),6),3),"-",(RIGHT(RIGHT(CONCATENATE("000",HH_Debt1516!A732),6),3)))</f>
        <v>220-916</v>
      </c>
      <c r="C732" s="121">
        <v>29873056</v>
      </c>
    </row>
    <row r="733" spans="1:3" ht="15">
      <c r="A733" s="2266" t="s">
        <v>4364</v>
      </c>
      <c r="B733" s="1694" t="str">
        <f>CONCATENATE(LEFT(RIGHT(CONCATENATE("000",HH_Debt1516!A733),6),3),"-",(RIGHT(RIGHT(CONCATENATE("000",HH_Debt1516!A733),6),3)))</f>
        <v>220-917</v>
      </c>
      <c r="C733" s="121">
        <v>3133141</v>
      </c>
    </row>
    <row r="734" spans="1:3" ht="15">
      <c r="A734" s="2266" t="s">
        <v>4365</v>
      </c>
      <c r="B734" s="1694" t="str">
        <f>CONCATENATE(LEFT(RIGHT(CONCATENATE("000",HH_Debt1516!A734),6),3),"-",(RIGHT(RIGHT(CONCATENATE("000",HH_Debt1516!A734),6),3)))</f>
        <v>220-918</v>
      </c>
      <c r="C734" s="121">
        <v>33055283</v>
      </c>
    </row>
    <row r="735" spans="1:3" ht="15">
      <c r="A735" s="2266" t="s">
        <v>6245</v>
      </c>
      <c r="B735" s="1694" t="str">
        <f>CONCATENATE(LEFT(RIGHT(CONCATENATE("000",HH_Debt1516!A735),6),3),"-",(RIGHT(RIGHT(CONCATENATE("000",HH_Debt1516!A735),6),3)))</f>
        <v>220-919</v>
      </c>
      <c r="C735" s="121">
        <v>24452548</v>
      </c>
    </row>
    <row r="736" spans="1:3" ht="15">
      <c r="A736" s="2266" t="s">
        <v>4366</v>
      </c>
      <c r="B736" s="1694" t="str">
        <f>CONCATENATE(LEFT(RIGHT(CONCATENATE("000",HH_Debt1516!A736),6),3),"-",(RIGHT(RIGHT(CONCATENATE("000",HH_Debt1516!A736),6),3)))</f>
        <v>220-920</v>
      </c>
      <c r="C736" s="121">
        <v>10111946</v>
      </c>
    </row>
    <row r="737" spans="1:3" ht="15">
      <c r="A737" s="2266" t="s">
        <v>6818</v>
      </c>
      <c r="B737" s="1694" t="str">
        <f>CONCATENATE(LEFT(RIGHT(CONCATENATE("000",HH_Debt1516!A737),6),3),"-",(RIGHT(RIGHT(CONCATENATE("000",HH_Debt1516!A737),6),3)))</f>
        <v>221-901</v>
      </c>
      <c r="C737" s="121">
        <v>9469775</v>
      </c>
    </row>
    <row r="738" spans="1:3" ht="15">
      <c r="A738" s="2266" t="s">
        <v>6819</v>
      </c>
      <c r="B738" s="1694" t="str">
        <f>CONCATENATE(LEFT(RIGHT(CONCATENATE("000",HH_Debt1516!A738),6),3),"-",(RIGHT(RIGHT(CONCATENATE("000",HH_Debt1516!A738),6),3)))</f>
        <v>221-904</v>
      </c>
      <c r="C738" s="121">
        <v>944256</v>
      </c>
    </row>
    <row r="739" spans="1:3" ht="15">
      <c r="A739" s="2266" t="s">
        <v>6820</v>
      </c>
      <c r="B739" s="1694" t="str">
        <f>CONCATENATE(LEFT(RIGHT(CONCATENATE("000",HH_Debt1516!A739),6),3),"-",(RIGHT(RIGHT(CONCATENATE("000",HH_Debt1516!A739),6),3)))</f>
        <v>221-905</v>
      </c>
      <c r="C739" s="121">
        <v>503984</v>
      </c>
    </row>
    <row r="740" spans="1:3" ht="15">
      <c r="A740" s="2266" t="s">
        <v>6821</v>
      </c>
      <c r="B740" s="1694" t="str">
        <f>CONCATENATE(LEFT(RIGHT(CONCATENATE("000",HH_Debt1516!A740),6),3),"-",(RIGHT(RIGHT(CONCATENATE("000",HH_Debt1516!A740),6),3)))</f>
        <v>221-911</v>
      </c>
      <c r="C740" s="121">
        <v>627538</v>
      </c>
    </row>
    <row r="741" spans="1:3" ht="15">
      <c r="A741" s="2266" t="s">
        <v>6822</v>
      </c>
      <c r="B741" s="1694" t="str">
        <f>CONCATENATE(LEFT(RIGHT(CONCATENATE("000",HH_Debt1516!A741),6),3),"-",(RIGHT(RIGHT(CONCATENATE("000",HH_Debt1516!A741),6),3)))</f>
        <v>221-912</v>
      </c>
      <c r="C741" s="121">
        <v>1682394</v>
      </c>
    </row>
    <row r="742" spans="1:3" ht="15">
      <c r="A742" s="2266" t="s">
        <v>6823</v>
      </c>
      <c r="B742" s="1694" t="str">
        <f>CONCATENATE(LEFT(RIGHT(CONCATENATE("000",HH_Debt1516!A742),6),3),"-",(RIGHT(RIGHT(CONCATENATE("000",HH_Debt1516!A742),6),3)))</f>
        <v>222-901</v>
      </c>
      <c r="C742" s="121">
        <v>1088016</v>
      </c>
    </row>
    <row r="743" spans="1:3" ht="15">
      <c r="A743" s="2266" t="s">
        <v>6824</v>
      </c>
      <c r="B743" s="1694" t="str">
        <f>CONCATENATE(LEFT(RIGHT(CONCATENATE("000",HH_Debt1516!A743),6),3),"-",(RIGHT(RIGHT(CONCATENATE("000",HH_Debt1516!A743),6),3)))</f>
        <v>223-901</v>
      </c>
      <c r="C743" s="121">
        <v>806118</v>
      </c>
    </row>
    <row r="744" spans="1:3" ht="15">
      <c r="A744" s="2266" t="s">
        <v>4367</v>
      </c>
      <c r="B744" s="1694" t="str">
        <f>CONCATENATE(LEFT(RIGHT(CONCATENATE("000",HH_Debt1516!A744),6),3),"-",(RIGHT(RIGHT(CONCATENATE("000",HH_Debt1516!A744),6),3)))</f>
        <v>223-902</v>
      </c>
      <c r="C744" s="121">
        <v>88350</v>
      </c>
    </row>
    <row r="745" spans="1:3" ht="15">
      <c r="A745" s="2266" t="s">
        <v>6825</v>
      </c>
      <c r="B745" s="1694" t="str">
        <f>CONCATENATE(LEFT(RIGHT(CONCATENATE("000",HH_Debt1516!A745),6),3),"-",(RIGHT(RIGHT(CONCATENATE("000",HH_Debt1516!A745),6),3)))</f>
        <v>223-904</v>
      </c>
      <c r="C745" s="121">
        <v>1036956</v>
      </c>
    </row>
    <row r="746" spans="1:3" ht="15">
      <c r="A746" s="2266" t="s">
        <v>6826</v>
      </c>
      <c r="B746" s="1694" t="str">
        <f>CONCATENATE(LEFT(RIGHT(CONCATENATE("000",HH_Debt1516!A746),6),3),"-",(RIGHT(RIGHT(CONCATENATE("000",HH_Debt1516!A746),6),3)))</f>
        <v>225-902</v>
      </c>
      <c r="C746" s="121">
        <v>2668554</v>
      </c>
    </row>
    <row r="747" spans="1:3" ht="15">
      <c r="A747" s="2266" t="s">
        <v>4368</v>
      </c>
      <c r="B747" s="1694" t="str">
        <f>CONCATENATE(LEFT(RIGHT(CONCATENATE("000",HH_Debt1516!A747),6),3),"-",(RIGHT(RIGHT(CONCATENATE("000",HH_Debt1516!A747),6),3)))</f>
        <v>225-906</v>
      </c>
      <c r="C747" s="121">
        <v>719357</v>
      </c>
    </row>
    <row r="748" spans="1:3" ht="15">
      <c r="A748" s="2266" t="s">
        <v>6827</v>
      </c>
      <c r="B748" s="1694" t="str">
        <f>CONCATENATE(LEFT(RIGHT(CONCATENATE("000",HH_Debt1516!A748),6),3),"-",(RIGHT(RIGHT(CONCATENATE("000",HH_Debt1516!A748),6),3)))</f>
        <v>226-901</v>
      </c>
      <c r="C748" s="121">
        <v>95650</v>
      </c>
    </row>
    <row r="749" spans="1:3" ht="15">
      <c r="A749" s="2266" t="s">
        <v>4369</v>
      </c>
      <c r="B749" s="1694" t="str">
        <f>CONCATENATE(LEFT(RIGHT(CONCATENATE("000",HH_Debt1516!A749),6),3),"-",(RIGHT(RIGHT(CONCATENATE("000",HH_Debt1516!A749),6),3)))</f>
        <v>226-903</v>
      </c>
      <c r="C749" s="121">
        <v>9901400</v>
      </c>
    </row>
    <row r="750" spans="1:3" ht="15">
      <c r="A750" s="2266" t="s">
        <v>6828</v>
      </c>
      <c r="B750" s="1694" t="str">
        <f>CONCATENATE(LEFT(RIGHT(CONCATENATE("000",HH_Debt1516!A750),6),3),"-",(RIGHT(RIGHT(CONCATENATE("000",HH_Debt1516!A750),6),3)))</f>
        <v>226-905</v>
      </c>
      <c r="C750" s="121">
        <v>230847</v>
      </c>
    </row>
    <row r="751" spans="1:3" ht="15">
      <c r="A751" s="2266" t="s">
        <v>4370</v>
      </c>
      <c r="B751" s="1694" t="str">
        <f>CONCATENATE(LEFT(RIGHT(CONCATENATE("000",HH_Debt1516!A751),6),3),"-",(RIGHT(RIGHT(CONCATENATE("000",HH_Debt1516!A751),6),3)))</f>
        <v>226-906</v>
      </c>
      <c r="C751" s="121">
        <v>202271</v>
      </c>
    </row>
    <row r="752" spans="1:3" ht="15">
      <c r="A752" s="2266" t="s">
        <v>4371</v>
      </c>
      <c r="B752" s="1694" t="str">
        <f>CONCATENATE(LEFT(RIGHT(CONCATENATE("000",HH_Debt1516!A752),6),3),"-",(RIGHT(RIGHT(CONCATENATE("000",HH_Debt1516!A752),6),3)))</f>
        <v>226-907</v>
      </c>
      <c r="C752" s="121">
        <v>657925</v>
      </c>
    </row>
    <row r="753" spans="1:3" ht="15">
      <c r="A753" s="2266" t="s">
        <v>4372</v>
      </c>
      <c r="B753" s="1694" t="str">
        <f>CONCATENATE(LEFT(RIGHT(CONCATENATE("000",HH_Debt1516!A753),6),3),"-",(RIGHT(RIGHT(CONCATENATE("000",HH_Debt1516!A753),6),3)))</f>
        <v>226-908</v>
      </c>
      <c r="C753" s="121">
        <v>97200</v>
      </c>
    </row>
    <row r="754" spans="1:3" ht="15">
      <c r="A754" s="2266" t="s">
        <v>6829</v>
      </c>
      <c r="B754" s="1694" t="str">
        <f>CONCATENATE(LEFT(RIGHT(CONCATENATE("000",HH_Debt1516!A754),6),3),"-",(RIGHT(RIGHT(CONCATENATE("000",HH_Debt1516!A754),6),3)))</f>
        <v>227-901</v>
      </c>
      <c r="C754" s="121">
        <v>102574000</v>
      </c>
    </row>
    <row r="755" spans="1:3" ht="15">
      <c r="A755" s="2266" t="s">
        <v>4373</v>
      </c>
      <c r="B755" s="1694" t="str">
        <f>CONCATENATE(LEFT(RIGHT(CONCATENATE("000",HH_Debt1516!A755),6),3),"-",(RIGHT(RIGHT(CONCATENATE("000",HH_Debt1516!A755),6),3)))</f>
        <v>227-904</v>
      </c>
      <c r="C755" s="121">
        <v>40708188</v>
      </c>
    </row>
    <row r="756" spans="1:3" ht="15">
      <c r="A756" s="2266" t="s">
        <v>6830</v>
      </c>
      <c r="B756" s="1694" t="str">
        <f>CONCATENATE(LEFT(RIGHT(CONCATENATE("000",HH_Debt1516!A756),6),3),"-",(RIGHT(RIGHT(CONCATENATE("000",HH_Debt1516!A756),6),3)))</f>
        <v>227-907</v>
      </c>
      <c r="C756" s="121">
        <v>16871420</v>
      </c>
    </row>
    <row r="757" spans="1:3" ht="15">
      <c r="A757" s="2266" t="s">
        <v>6831</v>
      </c>
      <c r="B757" s="1694" t="str">
        <f>CONCATENATE(LEFT(RIGHT(CONCATENATE("000",HH_Debt1516!A757),6),3),"-",(RIGHT(RIGHT(CONCATENATE("000",HH_Debt1516!A757),6),3)))</f>
        <v>227-909</v>
      </c>
      <c r="C757" s="121">
        <v>19600687</v>
      </c>
    </row>
    <row r="758" spans="1:3" ht="15">
      <c r="A758" s="2266" t="s">
        <v>4374</v>
      </c>
      <c r="B758" s="1694" t="str">
        <f>CONCATENATE(LEFT(RIGHT(CONCATENATE("000",HH_Debt1516!A758),6),3),"-",(RIGHT(RIGHT(CONCATENATE("000",HH_Debt1516!A758),6),3)))</f>
        <v>227-910</v>
      </c>
      <c r="C758" s="121">
        <v>14660482</v>
      </c>
    </row>
    <row r="759" spans="1:3" ht="15">
      <c r="A759" s="2266" t="s">
        <v>6832</v>
      </c>
      <c r="B759" s="1694" t="str">
        <f>CONCATENATE(LEFT(RIGHT(CONCATENATE("000",HH_Debt1516!A759),6),3),"-",(RIGHT(RIGHT(CONCATENATE("000",HH_Debt1516!A759),6),3)))</f>
        <v>227-912</v>
      </c>
      <c r="C759" s="121">
        <v>3284507</v>
      </c>
    </row>
    <row r="760" spans="1:3" ht="15">
      <c r="A760" s="2266" t="s">
        <v>6833</v>
      </c>
      <c r="B760" s="1694" t="str">
        <f>CONCATENATE(LEFT(RIGHT(CONCATENATE("000",HH_Debt1516!A760),6),3),"-",(RIGHT(RIGHT(CONCATENATE("000",HH_Debt1516!A760),6),3)))</f>
        <v>227-913</v>
      </c>
      <c r="C760" s="121">
        <v>21918287</v>
      </c>
    </row>
    <row r="761" spans="1:3" ht="15">
      <c r="A761" s="2266" t="s">
        <v>6834</v>
      </c>
      <c r="B761" s="1694" t="str">
        <f>CONCATENATE(LEFT(RIGHT(CONCATENATE("000",HH_Debt1516!A761),6),3),"-",(RIGHT(RIGHT(CONCATENATE("000",HH_Debt1516!A761),6),3)))</f>
        <v>228-903</v>
      </c>
      <c r="C761" s="121">
        <v>348050</v>
      </c>
    </row>
    <row r="762" spans="1:3" ht="15">
      <c r="A762" s="2266" t="s">
        <v>6279</v>
      </c>
      <c r="B762" s="1694" t="str">
        <f>CONCATENATE(LEFT(RIGHT(CONCATENATE("000",HH_Debt1516!A762),6),3),"-",(RIGHT(RIGHT(CONCATENATE("000",HH_Debt1516!A762),6),3)))</f>
        <v>229-901</v>
      </c>
      <c r="C762" s="121">
        <v>98400</v>
      </c>
    </row>
    <row r="763" spans="1:3" ht="15">
      <c r="A763" s="2266" t="s">
        <v>6835</v>
      </c>
      <c r="B763" s="1694" t="str">
        <f>CONCATENATE(LEFT(RIGHT(CONCATENATE("000",HH_Debt1516!A763),6),3),"-",(RIGHT(RIGHT(CONCATENATE("000",HH_Debt1516!A763),6),3)))</f>
        <v>229-903</v>
      </c>
      <c r="C763" s="121">
        <v>611412</v>
      </c>
    </row>
    <row r="764" spans="1:3" ht="15">
      <c r="A764" s="2266" t="s">
        <v>4375</v>
      </c>
      <c r="B764" s="1694" t="str">
        <f>CONCATENATE(LEFT(RIGHT(CONCATENATE("000",HH_Debt1516!A764),6),3),"-",(RIGHT(RIGHT(CONCATENATE("000",HH_Debt1516!A764),6),3)))</f>
        <v>229-904</v>
      </c>
      <c r="C764" s="121">
        <v>1261113</v>
      </c>
    </row>
    <row r="765" spans="1:3" ht="15">
      <c r="A765" s="2266" t="s">
        <v>4376</v>
      </c>
      <c r="B765" s="1694" t="str">
        <f>CONCATENATE(LEFT(RIGHT(CONCATENATE("000",HH_Debt1516!A765),6),3),"-",(RIGHT(RIGHT(CONCATENATE("000",HH_Debt1516!A765),6),3)))</f>
        <v>229-905</v>
      </c>
      <c r="C765" s="121">
        <v>197381</v>
      </c>
    </row>
    <row r="766" spans="1:3" ht="15">
      <c r="A766" s="2266" t="s">
        <v>4377</v>
      </c>
      <c r="B766" s="1694" t="str">
        <f>CONCATENATE(LEFT(RIGHT(CONCATENATE("000",HH_Debt1516!A766),6),3),"-",(RIGHT(RIGHT(CONCATENATE("000",HH_Debt1516!A766),6),3)))</f>
        <v>229-906</v>
      </c>
      <c r="C766" s="121">
        <v>67905</v>
      </c>
    </row>
    <row r="767" spans="1:3" ht="15">
      <c r="A767" s="2266" t="s">
        <v>6836</v>
      </c>
      <c r="B767" s="1694" t="str">
        <f>CONCATENATE(LEFT(RIGHT(CONCATENATE("000",HH_Debt1516!A767),6),3),"-",(RIGHT(RIGHT(CONCATENATE("000",HH_Debt1516!A767),6),3)))</f>
        <v>230-901</v>
      </c>
      <c r="C767" s="121">
        <v>558500</v>
      </c>
    </row>
    <row r="768" spans="1:3" ht="15">
      <c r="A768" s="2266" t="s">
        <v>6837</v>
      </c>
      <c r="B768" s="1694" t="str">
        <f>CONCATENATE(LEFT(RIGHT(CONCATENATE("000",HH_Debt1516!A768),6),3),"-",(RIGHT(RIGHT(CONCATENATE("000",HH_Debt1516!A768),6),3)))</f>
        <v>230-902</v>
      </c>
      <c r="C768" s="121">
        <v>1192263</v>
      </c>
    </row>
    <row r="769" spans="1:3" ht="15">
      <c r="A769" s="2266" t="s">
        <v>4378</v>
      </c>
      <c r="B769" s="1694" t="str">
        <f>CONCATENATE(LEFT(RIGHT(CONCATENATE("000",HH_Debt1516!A769),6),3),"-",(RIGHT(RIGHT(CONCATENATE("000",HH_Debt1516!A769),6),3)))</f>
        <v>230-903</v>
      </c>
      <c r="C769" s="121">
        <v>646805</v>
      </c>
    </row>
    <row r="770" spans="1:3" ht="15">
      <c r="A770" s="2266" t="s">
        <v>4379</v>
      </c>
      <c r="B770" s="1694" t="str">
        <f>CONCATENATE(LEFT(RIGHT(CONCATENATE("000",HH_Debt1516!A770),6),3),"-",(RIGHT(RIGHT(CONCATENATE("000",HH_Debt1516!A770),6),3)))</f>
        <v>230-905</v>
      </c>
      <c r="C770" s="121">
        <v>244201</v>
      </c>
    </row>
    <row r="771" spans="1:3" ht="15">
      <c r="A771" s="2266" t="s">
        <v>4380</v>
      </c>
      <c r="B771" s="1694" t="str">
        <f>CONCATENATE(LEFT(RIGHT(CONCATENATE("000",HH_Debt1516!A771),6),3),"-",(RIGHT(RIGHT(CONCATENATE("000",HH_Debt1516!A771),6),3)))</f>
        <v>230-906</v>
      </c>
      <c r="C771" s="121">
        <v>263462</v>
      </c>
    </row>
    <row r="772" spans="1:3" ht="15">
      <c r="A772" s="2266" t="s">
        <v>6838</v>
      </c>
      <c r="B772" s="1694" t="str">
        <f>CONCATENATE(LEFT(RIGHT(CONCATENATE("000",HH_Debt1516!A772),6),3),"-",(RIGHT(RIGHT(CONCATENATE("000",HH_Debt1516!A772),6),3)))</f>
        <v>230-908</v>
      </c>
      <c r="C772" s="121">
        <v>630131</v>
      </c>
    </row>
    <row r="773" spans="1:3" ht="15">
      <c r="A773" s="2266" t="s">
        <v>6839</v>
      </c>
      <c r="B773" s="1694" t="str">
        <f>CONCATENATE(LEFT(RIGHT(CONCATENATE("000",HH_Debt1516!A773),6),3),"-",(RIGHT(RIGHT(CONCATENATE("000",HH_Debt1516!A773),6),3)))</f>
        <v>231-902</v>
      </c>
      <c r="C773" s="121">
        <v>2292051</v>
      </c>
    </row>
    <row r="774" spans="1:3" ht="15">
      <c r="A774" s="2266" t="s">
        <v>4381</v>
      </c>
      <c r="B774" s="1694" t="str">
        <f>CONCATENATE(LEFT(RIGHT(CONCATENATE("000",HH_Debt1516!A774),6),3),"-",(RIGHT(RIGHT(CONCATENATE("000",HH_Debt1516!A774),6),3)))</f>
        <v>232-901</v>
      </c>
      <c r="C774" s="121">
        <v>247154</v>
      </c>
    </row>
    <row r="775" spans="1:3" ht="15">
      <c r="A775" s="2266" t="s">
        <v>4382</v>
      </c>
      <c r="B775" s="1694" t="str">
        <f>CONCATENATE(LEFT(RIGHT(CONCATENATE("000",HH_Debt1516!A775),6),3),"-",(RIGHT(RIGHT(CONCATENATE("000",HH_Debt1516!A775),6),3)))</f>
        <v>232-902</v>
      </c>
      <c r="C775" s="121">
        <v>117902</v>
      </c>
    </row>
    <row r="776" spans="1:3" ht="15">
      <c r="A776" s="2266" t="s">
        <v>4383</v>
      </c>
      <c r="B776" s="1694" t="str">
        <f>CONCATENATE(LEFT(RIGHT(CONCATENATE("000",HH_Debt1516!A776),6),3),"-",(RIGHT(RIGHT(CONCATENATE("000",HH_Debt1516!A776),6),3)))</f>
        <v>232-903</v>
      </c>
      <c r="C776" s="121">
        <v>2617894</v>
      </c>
    </row>
    <row r="777" spans="1:3" ht="15">
      <c r="A777" s="2266" t="s">
        <v>4384</v>
      </c>
      <c r="B777" s="1694" t="str">
        <f>CONCATENATE(LEFT(RIGHT(CONCATENATE("000",HH_Debt1516!A777),6),3),"-",(RIGHT(RIGHT(CONCATENATE("000",HH_Debt1516!A777),6),3)))</f>
        <v>233-901</v>
      </c>
      <c r="C777" s="121">
        <v>6071491</v>
      </c>
    </row>
    <row r="778" spans="1:3" ht="15">
      <c r="A778" s="2266" t="s">
        <v>6840</v>
      </c>
      <c r="B778" s="1694" t="str">
        <f>CONCATENATE(LEFT(RIGHT(CONCATENATE("000",HH_Debt1516!A778),6),3),"-",(RIGHT(RIGHT(CONCATENATE("000",HH_Debt1516!A778),6),3)))</f>
        <v>233-903</v>
      </c>
      <c r="C778" s="121">
        <v>267788</v>
      </c>
    </row>
    <row r="779" spans="1:3" ht="15">
      <c r="A779" s="2266" t="s">
        <v>4385</v>
      </c>
      <c r="B779" s="1694" t="str">
        <f>CONCATENATE(LEFT(RIGHT(CONCATENATE("000",HH_Debt1516!A779),6),3),"-",(RIGHT(RIGHT(CONCATENATE("000",HH_Debt1516!A779),6),3)))</f>
        <v>234-902</v>
      </c>
      <c r="C779" s="121">
        <v>2673543</v>
      </c>
    </row>
    <row r="780" spans="1:3" ht="15">
      <c r="A780" s="2266" t="s">
        <v>6841</v>
      </c>
      <c r="B780" s="1694" t="str">
        <f>CONCATENATE(LEFT(RIGHT(CONCATENATE("000",HH_Debt1516!A780),6),3),"-",(RIGHT(RIGHT(CONCATENATE("000",HH_Debt1516!A780),6),3)))</f>
        <v>234-903</v>
      </c>
      <c r="C780" s="121">
        <v>531125</v>
      </c>
    </row>
    <row r="781" spans="1:3" ht="15">
      <c r="A781" s="2266" t="s">
        <v>4386</v>
      </c>
      <c r="B781" s="1694" t="str">
        <f>CONCATENATE(LEFT(RIGHT(CONCATENATE("000",HH_Debt1516!A781),6),3),"-",(RIGHT(RIGHT(CONCATENATE("000",HH_Debt1516!A781),6),3)))</f>
        <v>234-904</v>
      </c>
      <c r="C781" s="121">
        <v>932977</v>
      </c>
    </row>
    <row r="782" spans="1:3" ht="15">
      <c r="A782" s="2266" t="s">
        <v>4387</v>
      </c>
      <c r="B782" s="1694" t="str">
        <f>CONCATENATE(LEFT(RIGHT(CONCATENATE("000",HH_Debt1516!A782),6),3),"-",(RIGHT(RIGHT(CONCATENATE("000",HH_Debt1516!A782),6),3)))</f>
        <v>234-905</v>
      </c>
      <c r="C782" s="121">
        <v>234536</v>
      </c>
    </row>
    <row r="783" spans="1:3" ht="15">
      <c r="A783" s="2266" t="s">
        <v>4388</v>
      </c>
      <c r="B783" s="1694" t="str">
        <f>CONCATENATE(LEFT(RIGHT(CONCATENATE("000",HH_Debt1516!A783),6),3),"-",(RIGHT(RIGHT(CONCATENATE("000",HH_Debt1516!A783),6),3)))</f>
        <v>234-906</v>
      </c>
      <c r="C783" s="121">
        <v>1976744</v>
      </c>
    </row>
    <row r="784" spans="1:3" ht="15">
      <c r="A784" s="2266" t="s">
        <v>6842</v>
      </c>
      <c r="B784" s="1694" t="str">
        <f>CONCATENATE(LEFT(RIGHT(CONCATENATE("000",HH_Debt1516!A784),6),3),"-",(RIGHT(RIGHT(CONCATENATE("000",HH_Debt1516!A784),6),3)))</f>
        <v>234-907</v>
      </c>
      <c r="C784" s="121">
        <v>730756</v>
      </c>
    </row>
    <row r="785" spans="1:3" ht="15">
      <c r="A785" s="2266" t="s">
        <v>4389</v>
      </c>
      <c r="B785" s="1694" t="str">
        <f>CONCATENATE(LEFT(RIGHT(CONCATENATE("000",HH_Debt1516!A785),6),3),"-",(RIGHT(RIGHT(CONCATENATE("000",HH_Debt1516!A785),6),3)))</f>
        <v>234-909</v>
      </c>
      <c r="C785" s="121">
        <v>85100</v>
      </c>
    </row>
    <row r="786" spans="1:3" ht="15">
      <c r="A786" s="2266" t="s">
        <v>4390</v>
      </c>
      <c r="B786" s="1694" t="str">
        <f>CONCATENATE(LEFT(RIGHT(CONCATENATE("000",HH_Debt1516!A786),6),3),"-",(RIGHT(RIGHT(CONCATENATE("000",HH_Debt1516!A786),6),3)))</f>
        <v>235-901</v>
      </c>
      <c r="C786" s="121">
        <v>1147326</v>
      </c>
    </row>
    <row r="787" spans="1:3" ht="15">
      <c r="A787" s="2266" t="s">
        <v>4391</v>
      </c>
      <c r="B787" s="1694" t="str">
        <f>CONCATENATE(LEFT(RIGHT(CONCATENATE("000",HH_Debt1516!A787),6),3),"-",(RIGHT(RIGHT(CONCATENATE("000",HH_Debt1516!A787),6),3)))</f>
        <v>235-902</v>
      </c>
      <c r="C787" s="121">
        <v>12348387</v>
      </c>
    </row>
    <row r="788" spans="1:3" ht="15">
      <c r="A788" s="2266" t="s">
        <v>6843</v>
      </c>
      <c r="B788" s="1694" t="str">
        <f>CONCATENATE(LEFT(RIGHT(CONCATENATE("000",HH_Debt1516!A788),6),3),"-",(RIGHT(RIGHT(CONCATENATE("000",HH_Debt1516!A788),6),3)))</f>
        <v>235-904</v>
      </c>
      <c r="C788" s="121">
        <v>214500</v>
      </c>
    </row>
    <row r="789" spans="1:3" ht="15">
      <c r="A789" s="2266" t="s">
        <v>4392</v>
      </c>
      <c r="B789" s="1694" t="str">
        <f>CONCATENATE(LEFT(RIGHT(CONCATENATE("000",HH_Debt1516!A789),6),3),"-",(RIGHT(RIGHT(CONCATENATE("000",HH_Debt1516!A789),6),3)))</f>
        <v>236-901</v>
      </c>
      <c r="C789" s="121">
        <v>617425</v>
      </c>
    </row>
    <row r="790" spans="1:3" ht="15">
      <c r="A790" s="2266" t="s">
        <v>4393</v>
      </c>
      <c r="B790" s="1694" t="str">
        <f>CONCATENATE(LEFT(RIGHT(CONCATENATE("000",HH_Debt1516!A790),6),3),"-",(RIGHT(RIGHT(CONCATENATE("000",HH_Debt1516!A790),6),3)))</f>
        <v>236-902</v>
      </c>
      <c r="C790" s="121">
        <v>3765750</v>
      </c>
    </row>
    <row r="791" spans="1:3" ht="15">
      <c r="A791" s="2266" t="s">
        <v>4394</v>
      </c>
      <c r="B791" s="1694" t="str">
        <f>CONCATENATE(LEFT(RIGHT(CONCATENATE("000",HH_Debt1516!A791),6),3),"-",(RIGHT(RIGHT(CONCATENATE("000",HH_Debt1516!A791),6),3)))</f>
        <v>237-902</v>
      </c>
      <c r="C791" s="121">
        <v>1493418</v>
      </c>
    </row>
    <row r="792" spans="1:3" ht="15">
      <c r="A792" s="2266" t="s">
        <v>4395</v>
      </c>
      <c r="B792" s="1694" t="str">
        <f>CONCATENATE(LEFT(RIGHT(CONCATENATE("000",HH_Debt1516!A792),6),3),"-",(RIGHT(RIGHT(CONCATENATE("000",HH_Debt1516!A792),6),3)))</f>
        <v>237-904</v>
      </c>
      <c r="C792" s="121">
        <v>6491218</v>
      </c>
    </row>
    <row r="793" spans="1:3" ht="15">
      <c r="A793" s="2266" t="s">
        <v>4396</v>
      </c>
      <c r="B793" s="1694" t="str">
        <f>CONCATENATE(LEFT(RIGHT(CONCATENATE("000",HH_Debt1516!A793),6),3),"-",(RIGHT(RIGHT(CONCATENATE("000",HH_Debt1516!A793),6),3)))</f>
        <v>237-905</v>
      </c>
      <c r="C793" s="121">
        <v>5000967</v>
      </c>
    </row>
    <row r="794" spans="1:3" ht="15">
      <c r="A794" s="2266" t="s">
        <v>6844</v>
      </c>
      <c r="B794" s="1694" t="str">
        <f>CONCATENATE(LEFT(RIGHT(CONCATENATE("000",HH_Debt1516!A794),6),3),"-",(RIGHT(RIGHT(CONCATENATE("000",HH_Debt1516!A794),6),3)))</f>
        <v>238-902</v>
      </c>
      <c r="C794" s="121">
        <v>2180669</v>
      </c>
    </row>
    <row r="795" spans="1:3" ht="15">
      <c r="A795" s="2266" t="s">
        <v>6845</v>
      </c>
      <c r="B795" s="1694" t="str">
        <f>CONCATENATE(LEFT(RIGHT(CONCATENATE("000",HH_Debt1516!A795),6),3),"-",(RIGHT(RIGHT(CONCATENATE("000",HH_Debt1516!A795),6),3)))</f>
        <v>239-901</v>
      </c>
      <c r="C795" s="121">
        <v>2358514</v>
      </c>
    </row>
    <row r="796" spans="1:3" ht="15">
      <c r="A796" s="2266" t="s">
        <v>6846</v>
      </c>
      <c r="B796" s="1694" t="str">
        <f>CONCATENATE(LEFT(RIGHT(CONCATENATE("000",HH_Debt1516!A796),6),3),"-",(RIGHT(RIGHT(CONCATENATE("000",HH_Debt1516!A796),6),3)))</f>
        <v>239-903</v>
      </c>
      <c r="C796" s="121">
        <v>480840</v>
      </c>
    </row>
    <row r="797" spans="1:3" ht="15">
      <c r="A797" s="2266" t="s">
        <v>4397</v>
      </c>
      <c r="B797" s="1694" t="str">
        <f>CONCATENATE(LEFT(RIGHT(CONCATENATE("000",HH_Debt1516!A797),6),3),"-",(RIGHT(RIGHT(CONCATENATE("000",HH_Debt1516!A797),6),3)))</f>
        <v>240-901</v>
      </c>
      <c r="C797" s="121">
        <v>26938262</v>
      </c>
    </row>
    <row r="798" spans="1:3" ht="15">
      <c r="A798" s="2266" t="s">
        <v>4398</v>
      </c>
      <c r="B798" s="1694" t="str">
        <f>CONCATENATE(LEFT(RIGHT(CONCATENATE("000",HH_Debt1516!A798),6),3),"-",(RIGHT(RIGHT(CONCATENATE("000",HH_Debt1516!A798),6),3)))</f>
        <v>240-903</v>
      </c>
      <c r="C798" s="121">
        <v>28642487</v>
      </c>
    </row>
    <row r="799" spans="1:3" ht="15">
      <c r="A799" s="2266" t="s">
        <v>6847</v>
      </c>
      <c r="B799" s="1694" t="str">
        <f>CONCATENATE(LEFT(RIGHT(CONCATENATE("000",HH_Debt1516!A799),6),3),"-",(RIGHT(RIGHT(CONCATENATE("000",HH_Debt1516!A799),6),3)))</f>
        <v>240-904</v>
      </c>
      <c r="C799" s="121">
        <v>615000</v>
      </c>
    </row>
    <row r="800" spans="1:3" ht="15">
      <c r="A800" s="2266" t="s">
        <v>6848</v>
      </c>
      <c r="B800" s="1694" t="str">
        <f>CONCATENATE(LEFT(RIGHT(CONCATENATE("000",HH_Debt1516!A800),6),3),"-",(RIGHT(RIGHT(CONCATENATE("000",HH_Debt1516!A800),6),3)))</f>
        <v>241-902</v>
      </c>
      <c r="C800" s="121">
        <v>205700</v>
      </c>
    </row>
    <row r="801" spans="1:3" ht="15">
      <c r="A801" s="2266" t="s">
        <v>6849</v>
      </c>
      <c r="B801" s="1694" t="str">
        <f>CONCATENATE(LEFT(RIGHT(CONCATENATE("000",HH_Debt1516!A801),6),3),"-",(RIGHT(RIGHT(CONCATENATE("000",HH_Debt1516!A801),6),3)))</f>
        <v>241-903</v>
      </c>
      <c r="C801" s="121">
        <v>1637402</v>
      </c>
    </row>
    <row r="802" spans="1:3" ht="15">
      <c r="A802" s="2266" t="s">
        <v>6850</v>
      </c>
      <c r="B802" s="1694" t="str">
        <f>CONCATENATE(LEFT(RIGHT(CONCATENATE("000",HH_Debt1516!A802),6),3),"-",(RIGHT(RIGHT(CONCATENATE("000",HH_Debt1516!A802),6),3)))</f>
        <v>241-904</v>
      </c>
      <c r="C802" s="121">
        <v>1427876</v>
      </c>
    </row>
    <row r="803" spans="1:3" ht="15">
      <c r="A803" s="2266" t="s">
        <v>6851</v>
      </c>
      <c r="B803" s="1694" t="str">
        <f>CONCATENATE(LEFT(RIGHT(CONCATENATE("000",HH_Debt1516!A803),6),3),"-",(RIGHT(RIGHT(CONCATENATE("000",HH_Debt1516!A803),6),3)))</f>
        <v>241-906</v>
      </c>
      <c r="C803" s="121">
        <v>264562</v>
      </c>
    </row>
    <row r="804" spans="1:3" ht="15">
      <c r="A804" s="2266" t="s">
        <v>6852</v>
      </c>
      <c r="B804" s="1694" t="str">
        <f>CONCATENATE(LEFT(RIGHT(CONCATENATE("000",HH_Debt1516!A804),6),3),"-",(RIGHT(RIGHT(CONCATENATE("000",HH_Debt1516!A804),6),3)))</f>
        <v>242-903</v>
      </c>
      <c r="C804" s="121">
        <v>618049</v>
      </c>
    </row>
    <row r="805" spans="1:3" ht="15">
      <c r="A805" s="2266" t="s">
        <v>6853</v>
      </c>
      <c r="B805" s="1694" t="str">
        <f>CONCATENATE(LEFT(RIGHT(CONCATENATE("000",HH_Debt1516!A805),6),3),"-",(RIGHT(RIGHT(CONCATENATE("000",HH_Debt1516!A805),6),3)))</f>
        <v>242-906</v>
      </c>
      <c r="C805" s="121">
        <v>1055450</v>
      </c>
    </row>
    <row r="806" spans="1:3" ht="15">
      <c r="A806" s="2266" t="s">
        <v>4399</v>
      </c>
      <c r="B806" s="1694" t="str">
        <f>CONCATENATE(LEFT(RIGHT(CONCATENATE("000",HH_Debt1516!A806),6),3),"-",(RIGHT(RIGHT(CONCATENATE("000",HH_Debt1516!A806),6),3)))</f>
        <v>243-901</v>
      </c>
      <c r="C806" s="121">
        <v>1559000</v>
      </c>
    </row>
    <row r="807" spans="1:3" ht="15">
      <c r="A807" s="2266" t="s">
        <v>6854</v>
      </c>
      <c r="B807" s="1694" t="str">
        <f>CONCATENATE(LEFT(RIGHT(CONCATENATE("000",HH_Debt1516!A807),6),3),"-",(RIGHT(RIGHT(CONCATENATE("000",HH_Debt1516!A807),6),3)))</f>
        <v>243-902</v>
      </c>
      <c r="C807" s="121">
        <v>862031</v>
      </c>
    </row>
    <row r="808" spans="1:3" ht="15">
      <c r="A808" s="2266" t="s">
        <v>6855</v>
      </c>
      <c r="B808" s="1694" t="str">
        <f>CONCATENATE(LEFT(RIGHT(CONCATENATE("000",HH_Debt1516!A808),6),3),"-",(RIGHT(RIGHT(CONCATENATE("000",HH_Debt1516!A808),6),3)))</f>
        <v>243-903</v>
      </c>
      <c r="C808" s="121">
        <v>1382575</v>
      </c>
    </row>
    <row r="809" spans="1:3" ht="15">
      <c r="A809" s="2266" t="s">
        <v>4400</v>
      </c>
      <c r="B809" s="1694" t="str">
        <f>CONCATENATE(LEFT(RIGHT(CONCATENATE("000",HH_Debt1516!A809),6),3),"-",(RIGHT(RIGHT(CONCATENATE("000",HH_Debt1516!A809),6),3)))</f>
        <v>243-905</v>
      </c>
      <c r="C809" s="121">
        <v>8477308</v>
      </c>
    </row>
    <row r="810" spans="1:3" ht="15">
      <c r="A810" s="2266" t="s">
        <v>4401</v>
      </c>
      <c r="B810" s="1694" t="str">
        <f>CONCATENATE(LEFT(RIGHT(CONCATENATE("000",HH_Debt1516!A810),6),3),"-",(RIGHT(RIGHT(CONCATENATE("000",HH_Debt1516!A810),6),3)))</f>
        <v>243-906</v>
      </c>
      <c r="C810" s="121">
        <v>720000</v>
      </c>
    </row>
    <row r="811" spans="1:3" ht="15">
      <c r="A811" s="2266" t="s">
        <v>6856</v>
      </c>
      <c r="B811" s="1694" t="str">
        <f>CONCATENATE(LEFT(RIGHT(CONCATENATE("000",HH_Debt1516!A811),6),3),"-",(RIGHT(RIGHT(CONCATENATE("000",HH_Debt1516!A811),6),3)))</f>
        <v>244-903</v>
      </c>
      <c r="C811" s="121">
        <v>22408</v>
      </c>
    </row>
    <row r="812" spans="1:3" ht="15">
      <c r="A812" s="2266" t="s">
        <v>4402</v>
      </c>
      <c r="B812" s="1694" t="str">
        <f>CONCATENATE(LEFT(RIGHT(CONCATENATE("000",HH_Debt1516!A812),6),3),"-",(RIGHT(RIGHT(CONCATENATE("000",HH_Debt1516!A812),6),3)))</f>
        <v>244-905</v>
      </c>
      <c r="C812" s="121">
        <v>133276</v>
      </c>
    </row>
    <row r="813" spans="1:3" ht="15">
      <c r="A813" s="2266" t="s">
        <v>4403</v>
      </c>
      <c r="B813" s="1694" t="str">
        <f>CONCATENATE(LEFT(RIGHT(CONCATENATE("000",HH_Debt1516!A813),6),3),"-",(RIGHT(RIGHT(CONCATENATE("000",HH_Debt1516!A813),6),3)))</f>
        <v>245-901</v>
      </c>
      <c r="C813" s="121">
        <v>516486</v>
      </c>
    </row>
    <row r="814" spans="1:3" ht="15">
      <c r="A814" s="2266" t="s">
        <v>4404</v>
      </c>
      <c r="B814" s="1694" t="str">
        <f>CONCATENATE(LEFT(RIGHT(CONCATENATE("000",HH_Debt1516!A814),6),3),"-",(RIGHT(RIGHT(CONCATENATE("000",HH_Debt1516!A814),6),3)))</f>
        <v>245-902</v>
      </c>
      <c r="C814" s="121">
        <v>867236</v>
      </c>
    </row>
    <row r="815" spans="1:3" ht="15">
      <c r="A815" s="2266" t="s">
        <v>4405</v>
      </c>
      <c r="B815" s="1694" t="str">
        <f>CONCATENATE(LEFT(RIGHT(CONCATENATE("000",HH_Debt1516!A815),6),3),"-",(RIGHT(RIGHT(CONCATENATE("000",HH_Debt1516!A815),6),3)))</f>
        <v>245-903</v>
      </c>
      <c r="C815" s="121">
        <v>1636973</v>
      </c>
    </row>
    <row r="816" spans="1:3" ht="15">
      <c r="A816" s="2266" t="s">
        <v>4406</v>
      </c>
      <c r="B816" s="1694" t="str">
        <f>CONCATENATE(LEFT(RIGHT(CONCATENATE("000",HH_Debt1516!A816),6),3),"-",(RIGHT(RIGHT(CONCATENATE("000",HH_Debt1516!A816),6),3)))</f>
        <v>245-904</v>
      </c>
      <c r="C816" s="121">
        <v>274648</v>
      </c>
    </row>
    <row r="817" spans="1:3" ht="15">
      <c r="A817" s="2266" t="s">
        <v>4407</v>
      </c>
      <c r="B817" s="1694" t="str">
        <f>CONCATENATE(LEFT(RIGHT(CONCATENATE("000",HH_Debt1516!A817),6),3),"-",(RIGHT(RIGHT(CONCATENATE("000",HH_Debt1516!A817),6),3)))</f>
        <v>246-902</v>
      </c>
      <c r="C817" s="121">
        <v>735601</v>
      </c>
    </row>
    <row r="818" spans="1:3" ht="15">
      <c r="A818" s="2266" t="s">
        <v>4408</v>
      </c>
      <c r="B818" s="1694" t="str">
        <f>CONCATENATE(LEFT(RIGHT(CONCATENATE("000",HH_Debt1516!A818),6),3),"-",(RIGHT(RIGHT(CONCATENATE("000",HH_Debt1516!A818),6),3)))</f>
        <v>246-904</v>
      </c>
      <c r="C818" s="121">
        <v>20789267</v>
      </c>
    </row>
    <row r="819" spans="1:3" ht="15">
      <c r="A819" s="2266" t="s">
        <v>4409</v>
      </c>
      <c r="B819" s="1694" t="str">
        <f>CONCATENATE(LEFT(RIGHT(CONCATENATE("000",HH_Debt1516!A819),6),3),"-",(RIGHT(RIGHT(CONCATENATE("000",HH_Debt1516!A819),6),3)))</f>
        <v>246-905</v>
      </c>
      <c r="C819" s="121">
        <v>95935</v>
      </c>
    </row>
    <row r="820" spans="1:3" ht="15">
      <c r="A820" s="2266" t="s">
        <v>4410</v>
      </c>
      <c r="B820" s="1694" t="str">
        <f>CONCATENATE(LEFT(RIGHT(CONCATENATE("000",HH_Debt1516!A820),6),3),"-",(RIGHT(RIGHT(CONCATENATE("000",HH_Debt1516!A820),6),3)))</f>
        <v>246-906</v>
      </c>
      <c r="C820" s="121">
        <v>9937777</v>
      </c>
    </row>
    <row r="821" spans="1:3" ht="15">
      <c r="A821" s="2266" t="s">
        <v>6857</v>
      </c>
      <c r="B821" s="1694" t="str">
        <f>CONCATENATE(LEFT(RIGHT(CONCATENATE("000",HH_Debt1516!A821),6),3),"-",(RIGHT(RIGHT(CONCATENATE("000",HH_Debt1516!A821),6),3)))</f>
        <v>246-907</v>
      </c>
      <c r="C821" s="121">
        <v>3113822</v>
      </c>
    </row>
    <row r="822" spans="1:3" ht="15">
      <c r="A822" s="2266" t="s">
        <v>4411</v>
      </c>
      <c r="B822" s="1694" t="str">
        <f>CONCATENATE(LEFT(RIGHT(CONCATENATE("000",HH_Debt1516!A822),6),3),"-",(RIGHT(RIGHT(CONCATENATE("000",HH_Debt1516!A822),6),3)))</f>
        <v>246-908</v>
      </c>
      <c r="C822" s="121">
        <v>6431356</v>
      </c>
    </row>
    <row r="823" spans="1:3" ht="15">
      <c r="A823" s="2266" t="s">
        <v>6403</v>
      </c>
      <c r="B823" s="1694" t="str">
        <f>CONCATENATE(LEFT(RIGHT(CONCATENATE("000",HH_Debt1516!A823),6),3),"-",(RIGHT(RIGHT(CONCATENATE("000",HH_Debt1516!A823),6),3)))</f>
        <v>246-909</v>
      </c>
      <c r="C823" s="121">
        <v>72260859</v>
      </c>
    </row>
    <row r="824" spans="1:3" ht="15">
      <c r="A824" s="2266" t="s">
        <v>4412</v>
      </c>
      <c r="B824" s="1694" t="str">
        <f>CONCATENATE(LEFT(RIGHT(CONCATENATE("000",HH_Debt1516!A824),6),3),"-",(RIGHT(RIGHT(CONCATENATE("000",HH_Debt1516!A824),6),3)))</f>
        <v>246-911</v>
      </c>
      <c r="C824" s="121">
        <v>3252164</v>
      </c>
    </row>
    <row r="825" spans="1:3" ht="15">
      <c r="A825" s="2266" t="s">
        <v>4413</v>
      </c>
      <c r="B825" s="1694" t="str">
        <f>CONCATENATE(LEFT(RIGHT(CONCATENATE("000",HH_Debt1516!A825),6),3),"-",(RIGHT(RIGHT(CONCATENATE("000",HH_Debt1516!A825),6),3)))</f>
        <v>246-912</v>
      </c>
      <c r="C825" s="121">
        <v>301486</v>
      </c>
    </row>
    <row r="826" spans="1:3" ht="15">
      <c r="A826" s="2266" t="s">
        <v>4414</v>
      </c>
      <c r="B826" s="1694" t="str">
        <f>CONCATENATE(LEFT(RIGHT(CONCATENATE("000",HH_Debt1516!A826),6),3),"-",(RIGHT(RIGHT(CONCATENATE("000",HH_Debt1516!A826),6),3)))</f>
        <v>246-913</v>
      </c>
      <c r="C826" s="121">
        <v>73955525</v>
      </c>
    </row>
    <row r="827" spans="1:3" ht="15">
      <c r="A827" s="2266" t="s">
        <v>4415</v>
      </c>
      <c r="B827" s="1694" t="str">
        <f>CONCATENATE(LEFT(RIGHT(CONCATENATE("000",HH_Debt1516!A827),6),3),"-",(RIGHT(RIGHT(CONCATENATE("000",HH_Debt1516!A827),6),3)))</f>
        <v>247-901</v>
      </c>
      <c r="C827" s="121">
        <v>5179309</v>
      </c>
    </row>
    <row r="828" spans="1:3" ht="15">
      <c r="A828" s="2266" t="s">
        <v>4416</v>
      </c>
      <c r="B828" s="1694" t="str">
        <f>CONCATENATE(LEFT(RIGHT(CONCATENATE("000",HH_Debt1516!A828),6),3),"-",(RIGHT(RIGHT(CONCATENATE("000",HH_Debt1516!A828),6),3)))</f>
        <v>247-903</v>
      </c>
      <c r="C828" s="121">
        <v>3162140</v>
      </c>
    </row>
    <row r="829" spans="1:3" ht="15">
      <c r="A829" s="2266" t="s">
        <v>4417</v>
      </c>
      <c r="B829" s="1694" t="str">
        <f>CONCATENATE(LEFT(RIGHT(CONCATENATE("000",HH_Debt1516!A829),6),3),"-",(RIGHT(RIGHT(CONCATENATE("000",HH_Debt1516!A829),6),3)))</f>
        <v>247-904</v>
      </c>
      <c r="C829" s="121">
        <v>418825</v>
      </c>
    </row>
    <row r="830" spans="1:3" ht="15">
      <c r="A830" s="2266" t="s">
        <v>4418</v>
      </c>
      <c r="B830" s="1694" t="str">
        <f>CONCATENATE(LEFT(RIGHT(CONCATENATE("000",HH_Debt1516!A830),6),3),"-",(RIGHT(RIGHT(CONCATENATE("000",HH_Debt1516!A830),6),3)))</f>
        <v>247-906</v>
      </c>
      <c r="C830" s="121">
        <v>761673</v>
      </c>
    </row>
    <row r="831" spans="1:3" ht="15">
      <c r="A831" s="2266" t="s">
        <v>6858</v>
      </c>
      <c r="B831" s="1694" t="str">
        <f>CONCATENATE(LEFT(RIGHT(CONCATENATE("000",HH_Debt1516!A831),6),3),"-",(RIGHT(RIGHT(CONCATENATE("000",HH_Debt1516!A831),6),3)))</f>
        <v>248-901</v>
      </c>
      <c r="C831" s="121">
        <v>2073525</v>
      </c>
    </row>
    <row r="832" spans="1:3" ht="15">
      <c r="A832" s="2266" t="s">
        <v>6859</v>
      </c>
      <c r="B832" s="1694" t="str">
        <f>CONCATENATE(LEFT(RIGHT(CONCATENATE("000",HH_Debt1516!A832),6),3),"-",(RIGHT(RIGHT(CONCATENATE("000",HH_Debt1516!A832),6),3)))</f>
        <v>248-902</v>
      </c>
      <c r="C832" s="121">
        <v>3035450</v>
      </c>
    </row>
    <row r="833" spans="1:3" ht="15">
      <c r="A833" s="2266" t="s">
        <v>4419</v>
      </c>
      <c r="B833" s="1694" t="str">
        <f>CONCATENATE(LEFT(RIGHT(CONCATENATE("000",HH_Debt1516!A833),6),3),"-",(RIGHT(RIGHT(CONCATENATE("000",HH_Debt1516!A833),6),3)))</f>
        <v>249-901</v>
      </c>
      <c r="C833" s="121">
        <v>744225</v>
      </c>
    </row>
    <row r="834" spans="1:3" ht="15">
      <c r="A834" s="2266" t="s">
        <v>6860</v>
      </c>
      <c r="B834" s="1694" t="str">
        <f>CONCATENATE(LEFT(RIGHT(CONCATENATE("000",HH_Debt1516!A834),6),3),"-",(RIGHT(RIGHT(CONCATENATE("000",HH_Debt1516!A834),6),3)))</f>
        <v>249-902</v>
      </c>
      <c r="C834" s="121">
        <v>1562858</v>
      </c>
    </row>
    <row r="835" spans="1:3" ht="15">
      <c r="A835" s="2266" t="s">
        <v>6861</v>
      </c>
      <c r="B835" s="1694" t="str">
        <f>CONCATENATE(LEFT(RIGHT(CONCATENATE("000",HH_Debt1516!A835),6),3),"-",(RIGHT(RIGHT(CONCATENATE("000",HH_Debt1516!A835),6),3)))</f>
        <v>249-903</v>
      </c>
      <c r="C835" s="121">
        <v>2564765</v>
      </c>
    </row>
    <row r="836" spans="1:3" ht="15">
      <c r="A836" s="2266" t="s">
        <v>6862</v>
      </c>
      <c r="B836" s="1694" t="str">
        <f>CONCATENATE(LEFT(RIGHT(CONCATENATE("000",HH_Debt1516!A836),6),3),"-",(RIGHT(RIGHT(CONCATENATE("000",HH_Debt1516!A836),6),3)))</f>
        <v>249-904</v>
      </c>
      <c r="C836" s="121">
        <v>1204303</v>
      </c>
    </row>
    <row r="837" spans="1:3" ht="15">
      <c r="A837" s="2266" t="s">
        <v>6863</v>
      </c>
      <c r="B837" s="1694" t="str">
        <f>CONCATENATE(LEFT(RIGHT(CONCATENATE("000",HH_Debt1516!A837),6),3),"-",(RIGHT(RIGHT(CONCATENATE("000",HH_Debt1516!A837),6),3)))</f>
        <v>249-905</v>
      </c>
      <c r="C837" s="121">
        <v>6641279</v>
      </c>
    </row>
    <row r="838" spans="1:3" ht="15">
      <c r="A838" s="2266" t="s">
        <v>4420</v>
      </c>
      <c r="B838" s="1694" t="str">
        <f>CONCATENATE(LEFT(RIGHT(CONCATENATE("000",HH_Debt1516!A838),6),3),"-",(RIGHT(RIGHT(CONCATENATE("000",HH_Debt1516!A838),6),3)))</f>
        <v>249-906</v>
      </c>
      <c r="C838" s="121">
        <v>1190843</v>
      </c>
    </row>
    <row r="839" spans="1:3" ht="15">
      <c r="A839" s="2266" t="s">
        <v>4421</v>
      </c>
      <c r="B839" s="1694" t="str">
        <f>CONCATENATE(LEFT(RIGHT(CONCATENATE("000",HH_Debt1516!A839),6),3),"-",(RIGHT(RIGHT(CONCATENATE("000",HH_Debt1516!A839),6),3)))</f>
        <v>249-908</v>
      </c>
      <c r="C839" s="121">
        <v>200000</v>
      </c>
    </row>
    <row r="840" spans="1:3" ht="15">
      <c r="A840" s="2266" t="s">
        <v>6864</v>
      </c>
      <c r="B840" s="1694" t="str">
        <f>CONCATENATE(LEFT(RIGHT(CONCATENATE("000",HH_Debt1516!A840),6),3),"-",(RIGHT(RIGHT(CONCATENATE("000",HH_Debt1516!A840),6),3)))</f>
        <v>250-902</v>
      </c>
      <c r="C840" s="121">
        <v>1917298</v>
      </c>
    </row>
    <row r="841" spans="1:3" ht="15">
      <c r="A841" s="2266" t="s">
        <v>6865</v>
      </c>
      <c r="B841" s="1694" t="str">
        <f>CONCATENATE(LEFT(RIGHT(CONCATENATE("000",HH_Debt1516!A841),6),3),"-",(RIGHT(RIGHT(CONCATENATE("000",HH_Debt1516!A841),6),3)))</f>
        <v>250-904</v>
      </c>
      <c r="C841" s="121">
        <v>290825</v>
      </c>
    </row>
    <row r="842" spans="1:3" ht="15">
      <c r="A842" s="2266" t="s">
        <v>6866</v>
      </c>
      <c r="B842" s="1694" t="str">
        <f>CONCATENATE(LEFT(RIGHT(CONCATENATE("000",HH_Debt1516!A842),6),3),"-",(RIGHT(RIGHT(CONCATENATE("000",HH_Debt1516!A842),6),3)))</f>
        <v>250-905</v>
      </c>
      <c r="C842" s="121">
        <v>168488</v>
      </c>
    </row>
    <row r="843" spans="1:3" ht="15">
      <c r="A843" s="2266" t="s">
        <v>6867</v>
      </c>
      <c r="B843" s="1694" t="str">
        <f>CONCATENATE(LEFT(RIGHT(CONCATENATE("000",HH_Debt1516!A843),6),3),"-",(RIGHT(RIGHT(CONCATENATE("000",HH_Debt1516!A843),6),3)))</f>
        <v>250-906</v>
      </c>
      <c r="C843" s="121">
        <v>134588</v>
      </c>
    </row>
    <row r="844" spans="1:3" ht="15">
      <c r="A844" s="2266" t="s">
        <v>6868</v>
      </c>
      <c r="B844" s="1694" t="str">
        <f>CONCATENATE(LEFT(RIGHT(CONCATENATE("000",HH_Debt1516!A844),6),3),"-",(RIGHT(RIGHT(CONCATENATE("000",HH_Debt1516!A844),6),3)))</f>
        <v>251-901</v>
      </c>
      <c r="C844" s="121">
        <v>3470418</v>
      </c>
    </row>
    <row r="845" spans="1:3" ht="15">
      <c r="A845" s="2266" t="s">
        <v>6869</v>
      </c>
      <c r="B845" s="1694" t="str">
        <f>CONCATENATE(LEFT(RIGHT(CONCATENATE("000",HH_Debt1516!A845),6),3),"-",(RIGHT(RIGHT(CONCATENATE("000",HH_Debt1516!A845),6),3)))</f>
        <v>251-902</v>
      </c>
      <c r="C845" s="121">
        <v>3662744</v>
      </c>
    </row>
    <row r="846" spans="1:3" ht="15">
      <c r="A846" s="2266" t="s">
        <v>4422</v>
      </c>
      <c r="B846" s="1694" t="str">
        <f>CONCATENATE(LEFT(RIGHT(CONCATENATE("000",HH_Debt1516!A846),6),3),"-",(RIGHT(RIGHT(CONCATENATE("000",HH_Debt1516!A846),6),3)))</f>
        <v>252-901</v>
      </c>
      <c r="C846" s="121">
        <v>2503942</v>
      </c>
    </row>
    <row r="847" spans="1:3" ht="15">
      <c r="A847" s="2266" t="s">
        <v>6870</v>
      </c>
      <c r="B847" s="1694" t="str">
        <f>CONCATENATE(LEFT(RIGHT(CONCATENATE("000",HH_Debt1516!A847),6),3),"-",(RIGHT(RIGHT(CONCATENATE("000",HH_Debt1516!A847),6),3)))</f>
        <v>252-902</v>
      </c>
      <c r="C847" s="121">
        <v>322940</v>
      </c>
    </row>
    <row r="848" spans="1:3" ht="15">
      <c r="A848" s="2266" t="s">
        <v>4423</v>
      </c>
      <c r="B848" s="1694" t="str">
        <f>CONCATENATE(LEFT(RIGHT(CONCATENATE("000",HH_Debt1516!A848),6),3),"-",(RIGHT(RIGHT(CONCATENATE("000",HH_Debt1516!A848),6),3)))</f>
        <v>252-903</v>
      </c>
      <c r="C848" s="121">
        <v>385446</v>
      </c>
    </row>
    <row r="849" spans="1:3" ht="15">
      <c r="A849" s="2266" t="s">
        <v>4424</v>
      </c>
      <c r="B849" s="1694" t="str">
        <f>CONCATENATE(LEFT(RIGHT(CONCATENATE("000",HH_Debt1516!A849),6),3),"-",(RIGHT(RIGHT(CONCATENATE("000",HH_Debt1516!A849),6),3)))</f>
        <v>254-901</v>
      </c>
      <c r="C849" s="121">
        <v>3646844</v>
      </c>
    </row>
    <row r="850" spans="1:3" ht="15">
      <c r="A850" s="2266" t="s">
        <v>4425</v>
      </c>
      <c r="B850" s="1694" t="str">
        <f>CONCATENATE(LEFT(RIGHT(CONCATENATE("000",HH_Debt1516!A850),6),3),"-",(RIGHT(RIGHT(CONCATENATE("000",HH_Debt1516!A850),6),3)))</f>
        <v>254-902</v>
      </c>
      <c r="C850" s="121">
        <v>186834</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9"/>
  <sheetViews>
    <sheetView workbookViewId="0">
      <selection activeCell="C1" sqref="C1"/>
    </sheetView>
  </sheetViews>
  <sheetFormatPr defaultRowHeight="12.75"/>
  <cols>
    <col min="3" max="3" width="18.28515625" customWidth="1"/>
  </cols>
  <sheetData>
    <row r="1" spans="1:3" ht="15">
      <c r="A1" s="2266" t="s">
        <v>3997</v>
      </c>
      <c r="B1" s="1694" t="str">
        <f>CONCATENATE(LEFT(RIGHT(CONCATENATE("000",HH_Debt1516!A1),6),3),"-",(RIGHT(RIGHT(CONCATENATE("000",HH_Debt1516!A1),6),3)))</f>
        <v>001-903</v>
      </c>
      <c r="C1" s="121">
        <v>1049794</v>
      </c>
    </row>
    <row r="2" spans="1:3" ht="15">
      <c r="A2" s="2266" t="s">
        <v>6467</v>
      </c>
      <c r="B2" s="1694" t="str">
        <f>CONCATENATE(LEFT(RIGHT(CONCATENATE("000",HH_Debt1516!A2),6),3),"-",(RIGHT(RIGHT(CONCATENATE("000",HH_Debt1516!A2),6),3)))</f>
        <v>001-904</v>
      </c>
      <c r="C2" s="121">
        <v>918864</v>
      </c>
    </row>
    <row r="3" spans="1:3" ht="15">
      <c r="A3" s="2266" t="s">
        <v>6468</v>
      </c>
      <c r="B3" s="1694" t="str">
        <f>CONCATENATE(LEFT(RIGHT(CONCATENATE("000",HH_Debt1516!A3),6),3),"-",(RIGHT(RIGHT(CONCATENATE("000",HH_Debt1516!A3),6),3)))</f>
        <v>001-906</v>
      </c>
      <c r="C3" s="121">
        <v>322612</v>
      </c>
    </row>
    <row r="4" spans="1:3" ht="15">
      <c r="A4" s="2266" t="s">
        <v>3998</v>
      </c>
      <c r="B4" s="1694" t="str">
        <f>CONCATENATE(LEFT(RIGHT(CONCATENATE("000",HH_Debt1516!A4),6),3),"-",(RIGHT(RIGHT(CONCATENATE("000",HH_Debt1516!A4),6),3)))</f>
        <v>001-907</v>
      </c>
      <c r="C4" s="121">
        <v>4205202</v>
      </c>
    </row>
    <row r="5" spans="1:3" ht="15">
      <c r="A5" s="2266" t="s">
        <v>6469</v>
      </c>
      <c r="B5" s="1694" t="str">
        <f>CONCATENATE(LEFT(RIGHT(CONCATENATE("000",HH_Debt1516!A5),6),3),"-",(RIGHT(RIGHT(CONCATENATE("000",HH_Debt1516!A5),6),3)))</f>
        <v>001-909</v>
      </c>
      <c r="C5" s="121">
        <v>203075</v>
      </c>
    </row>
    <row r="6" spans="1:3" ht="15">
      <c r="A6" s="2266" t="s">
        <v>6470</v>
      </c>
      <c r="B6" s="1694" t="str">
        <f>CONCATENATE(LEFT(RIGHT(CONCATENATE("000",HH_Debt1516!A6),6),3),"-",(RIGHT(RIGHT(CONCATENATE("000",HH_Debt1516!A6),6),3)))</f>
        <v>002-901</v>
      </c>
      <c r="C6" s="121">
        <v>5997719</v>
      </c>
    </row>
    <row r="7" spans="1:3" ht="15">
      <c r="A7" s="2266" t="s">
        <v>3999</v>
      </c>
      <c r="B7" s="1694" t="str">
        <f>CONCATENATE(LEFT(RIGHT(CONCATENATE("000",HH_Debt1516!A7),6),3),"-",(RIGHT(RIGHT(CONCATENATE("000",HH_Debt1516!A7),6),3)))</f>
        <v>003-902</v>
      </c>
      <c r="C7" s="121">
        <v>1470654</v>
      </c>
    </row>
    <row r="8" spans="1:3" ht="15">
      <c r="A8" s="2266" t="s">
        <v>6471</v>
      </c>
      <c r="B8" s="1694" t="str">
        <f>CONCATENATE(LEFT(RIGHT(CONCATENATE("000",HH_Debt1516!A8),6),3),"-",(RIGHT(RIGHT(CONCATENATE("000",HH_Debt1516!A8),6),3)))</f>
        <v>003-903</v>
      </c>
      <c r="C8" s="121">
        <v>4688520</v>
      </c>
    </row>
    <row r="9" spans="1:3" ht="15">
      <c r="A9" s="2266" t="s">
        <v>4000</v>
      </c>
      <c r="B9" s="1694" t="str">
        <f>CONCATENATE(LEFT(RIGHT(CONCATENATE("000",HH_Debt1516!A9),6),3),"-",(RIGHT(RIGHT(CONCATENATE("000",HH_Debt1516!A9),6),3)))</f>
        <v>003-904</v>
      </c>
      <c r="C9" s="121">
        <v>1386837</v>
      </c>
    </row>
    <row r="10" spans="1:3" ht="15">
      <c r="A10" s="2266" t="s">
        <v>4001</v>
      </c>
      <c r="B10" s="1694" t="str">
        <f>CONCATENATE(LEFT(RIGHT(CONCATENATE("000",HH_Debt1516!A10),6),3),"-",(RIGHT(RIGHT(CONCATENATE("000",HH_Debt1516!A10),6),3)))</f>
        <v>003-905</v>
      </c>
      <c r="C10" s="121">
        <v>1311399</v>
      </c>
    </row>
    <row r="11" spans="1:3" ht="15">
      <c r="A11" s="2266" t="s">
        <v>6472</v>
      </c>
      <c r="B11" s="1694" t="str">
        <f>CONCATENATE(LEFT(RIGHT(CONCATENATE("000",HH_Debt1516!A11),6),3),"-",(RIGHT(RIGHT(CONCATENATE("000",HH_Debt1516!A11),6),3)))</f>
        <v>003-906</v>
      </c>
      <c r="C11" s="121">
        <v>424223</v>
      </c>
    </row>
    <row r="12" spans="1:3" ht="15">
      <c r="A12" s="2266" t="s">
        <v>4002</v>
      </c>
      <c r="B12" s="1694" t="str">
        <f>CONCATENATE(LEFT(RIGHT(CONCATENATE("000",HH_Debt1516!A12),6),3),"-",(RIGHT(RIGHT(CONCATENATE("000",HH_Debt1516!A12),6),3)))</f>
        <v>003-907</v>
      </c>
      <c r="C12" s="121">
        <v>726475</v>
      </c>
    </row>
    <row r="13" spans="1:3" ht="15">
      <c r="A13" s="2266" t="s">
        <v>6473</v>
      </c>
      <c r="B13" s="1694" t="str">
        <f>CONCATENATE(LEFT(RIGHT(CONCATENATE("000",HH_Debt1516!A13),6),3),"-",(RIGHT(RIGHT(CONCATENATE("000",HH_Debt1516!A13),6),3)))</f>
        <v>004-901</v>
      </c>
      <c r="C13" s="121">
        <v>2653763</v>
      </c>
    </row>
    <row r="14" spans="1:3" ht="15">
      <c r="A14" s="2266" t="s">
        <v>6474</v>
      </c>
      <c r="B14" s="1694" t="str">
        <f>CONCATENATE(LEFT(RIGHT(CONCATENATE("000",HH_Debt1516!A14),6),3),"-",(RIGHT(RIGHT(CONCATENATE("000",HH_Debt1516!A14),6),3)))</f>
        <v>005-901</v>
      </c>
      <c r="C14" s="121">
        <v>136500</v>
      </c>
    </row>
    <row r="15" spans="1:3" ht="15">
      <c r="A15" s="2266" t="s">
        <v>6475</v>
      </c>
      <c r="B15" s="1694" t="str">
        <f>CONCATENATE(LEFT(RIGHT(CONCATENATE("000",HH_Debt1516!A15),6),3),"-",(RIGHT(RIGHT(CONCATENATE("000",HH_Debt1516!A15),6),3)))</f>
        <v>005-902</v>
      </c>
      <c r="C15" s="121">
        <v>1028435</v>
      </c>
    </row>
    <row r="16" spans="1:3" ht="15">
      <c r="A16" s="2266" t="s">
        <v>4003</v>
      </c>
      <c r="B16" s="1694" t="str">
        <f>CONCATENATE(LEFT(RIGHT(CONCATENATE("000",HH_Debt1516!A16),6),3),"-",(RIGHT(RIGHT(CONCATENATE("000",HH_Debt1516!A16),6),3)))</f>
        <v>005-904</v>
      </c>
      <c r="C16" s="121">
        <v>174262</v>
      </c>
    </row>
    <row r="17" spans="1:3" ht="15">
      <c r="A17" s="2266" t="s">
        <v>6476</v>
      </c>
      <c r="B17" s="1694" t="str">
        <f>CONCATENATE(LEFT(RIGHT(CONCATENATE("000",HH_Debt1516!A17),6),3),"-",(RIGHT(RIGHT(CONCATENATE("000",HH_Debt1516!A17),6),3)))</f>
        <v>006-902</v>
      </c>
      <c r="C17" s="121">
        <v>133400</v>
      </c>
    </row>
    <row r="18" spans="1:3" ht="15">
      <c r="A18" s="2266" t="s">
        <v>4004</v>
      </c>
      <c r="B18" s="1694" t="str">
        <f>CONCATENATE(LEFT(RIGHT(CONCATENATE("000",HH_Debt1516!A18),6),3),"-",(RIGHT(RIGHT(CONCATENATE("000",HH_Debt1516!A18),6),3)))</f>
        <v>007-901</v>
      </c>
      <c r="C18" s="121">
        <v>367086</v>
      </c>
    </row>
    <row r="19" spans="1:3" ht="15">
      <c r="A19" s="2266" t="s">
        <v>4005</v>
      </c>
      <c r="B19" s="1694" t="str">
        <f>CONCATENATE(LEFT(RIGHT(CONCATENATE("000",HH_Debt1516!A19),6),3),"-",(RIGHT(RIGHT(CONCATENATE("000",HH_Debt1516!A19),6),3)))</f>
        <v>007-904</v>
      </c>
      <c r="C19" s="121">
        <v>1054291</v>
      </c>
    </row>
    <row r="20" spans="1:3" ht="15">
      <c r="A20" s="2266" t="s">
        <v>4006</v>
      </c>
      <c r="B20" s="1694" t="str">
        <f>CONCATENATE(LEFT(RIGHT(CONCATENATE("000",HH_Debt1516!A20),6),3),"-",(RIGHT(RIGHT(CONCATENATE("000",HH_Debt1516!A20),6),3)))</f>
        <v>007-905</v>
      </c>
      <c r="C20" s="121">
        <v>7235650</v>
      </c>
    </row>
    <row r="21" spans="1:3" ht="15">
      <c r="A21" s="2266" t="s">
        <v>4007</v>
      </c>
      <c r="B21" s="1694" t="str">
        <f>CONCATENATE(LEFT(RIGHT(CONCATENATE("000",HH_Debt1516!A21),6),3),"-",(RIGHT(RIGHT(CONCATENATE("000",HH_Debt1516!A21),6),3)))</f>
        <v>007-906</v>
      </c>
      <c r="C21" s="121">
        <v>1963370</v>
      </c>
    </row>
    <row r="22" spans="1:3" ht="15">
      <c r="A22" s="2266" t="s">
        <v>6477</v>
      </c>
      <c r="B22" s="1694" t="str">
        <f>CONCATENATE(LEFT(RIGHT(CONCATENATE("000",HH_Debt1516!A22),6),3),"-",(RIGHT(RIGHT(CONCATENATE("000",HH_Debt1516!A22),6),3)))</f>
        <v>008-901</v>
      </c>
      <c r="C22" s="121">
        <v>1848254</v>
      </c>
    </row>
    <row r="23" spans="1:3" ht="15">
      <c r="A23" s="2266" t="s">
        <v>6478</v>
      </c>
      <c r="B23" s="1694" t="str">
        <f>CONCATENATE(LEFT(RIGHT(CONCATENATE("000",HH_Debt1516!A23),6),3),"-",(RIGHT(RIGHT(CONCATENATE("000",HH_Debt1516!A23),6),3)))</f>
        <v>008-902</v>
      </c>
      <c r="C23" s="121">
        <v>2356169</v>
      </c>
    </row>
    <row r="24" spans="1:3" ht="15">
      <c r="A24" s="2266" t="s">
        <v>6479</v>
      </c>
      <c r="B24" s="1694" t="str">
        <f>CONCATENATE(LEFT(RIGHT(CONCATENATE("000",HH_Debt1516!A24),6),3),"-",(RIGHT(RIGHT(CONCATENATE("000",HH_Debt1516!A24),6),3)))</f>
        <v>008-903</v>
      </c>
      <c r="C24" s="121">
        <v>1103127</v>
      </c>
    </row>
    <row r="25" spans="1:3" ht="15">
      <c r="A25" s="2266" t="s">
        <v>4008</v>
      </c>
      <c r="B25" s="1694" t="str">
        <f>CONCATENATE(LEFT(RIGHT(CONCATENATE("000",HH_Debt1516!A25),6),3),"-",(RIGHT(RIGHT(CONCATENATE("000",HH_Debt1516!A25),6),3)))</f>
        <v>009-901</v>
      </c>
      <c r="C25" s="121">
        <v>1507686</v>
      </c>
    </row>
    <row r="26" spans="1:3" ht="15">
      <c r="A26" s="2266" t="s">
        <v>4009</v>
      </c>
      <c r="B26" s="1694" t="str">
        <f>CONCATENATE(LEFT(RIGHT(CONCATENATE("000",HH_Debt1516!A26),6),3),"-",(RIGHT(RIGHT(CONCATENATE("000",HH_Debt1516!A26),6),3)))</f>
        <v>010-902</v>
      </c>
      <c r="C26" s="121">
        <v>1883359</v>
      </c>
    </row>
    <row r="27" spans="1:3" ht="15">
      <c r="A27" s="2266" t="s">
        <v>4010</v>
      </c>
      <c r="B27" s="1694" t="str">
        <f>CONCATENATE(LEFT(RIGHT(CONCATENATE("000",HH_Debt1516!A27),6),3),"-",(RIGHT(RIGHT(CONCATENATE("000",HH_Debt1516!A27),6),3)))</f>
        <v>011-901</v>
      </c>
      <c r="C27" s="121">
        <v>12656472</v>
      </c>
    </row>
    <row r="28" spans="1:3" ht="15">
      <c r="A28" s="2266" t="s">
        <v>4011</v>
      </c>
      <c r="B28" s="1694" t="str">
        <f>CONCATENATE(LEFT(RIGHT(CONCATENATE("000",HH_Debt1516!A28),6),3),"-",(RIGHT(RIGHT(CONCATENATE("000",HH_Debt1516!A28),6),3)))</f>
        <v>011-902</v>
      </c>
      <c r="C28" s="121">
        <v>6475692</v>
      </c>
    </row>
    <row r="29" spans="1:3" ht="15">
      <c r="A29" s="2266" t="s">
        <v>4012</v>
      </c>
      <c r="B29" s="1694" t="str">
        <f>CONCATENATE(LEFT(RIGHT(CONCATENATE("000",HH_Debt1516!A29),6),3),"-",(RIGHT(RIGHT(CONCATENATE("000",HH_Debt1516!A29),6),3)))</f>
        <v>011-904</v>
      </c>
      <c r="C29" s="121">
        <v>965850</v>
      </c>
    </row>
    <row r="30" spans="1:3" ht="15">
      <c r="A30" s="2266" t="s">
        <v>4013</v>
      </c>
      <c r="B30" s="1694" t="str">
        <f>CONCATENATE(LEFT(RIGHT(CONCATENATE("000",HH_Debt1516!A30),6),3),"-",(RIGHT(RIGHT(CONCATENATE("000",HH_Debt1516!A30),6),3)))</f>
        <v>011-905</v>
      </c>
      <c r="C30" s="121">
        <v>92750</v>
      </c>
    </row>
    <row r="31" spans="1:3" ht="15">
      <c r="A31" s="2266" t="s">
        <v>4014</v>
      </c>
      <c r="B31" s="1694" t="str">
        <f>CONCATENATE(LEFT(RIGHT(CONCATENATE("000",HH_Debt1516!A31),6),3),"-",(RIGHT(RIGHT(CONCATENATE("000",HH_Debt1516!A31),6),3)))</f>
        <v>013-901</v>
      </c>
      <c r="C31" s="121">
        <v>1587650</v>
      </c>
    </row>
    <row r="32" spans="1:3" ht="15">
      <c r="A32" s="2266" t="s">
        <v>6480</v>
      </c>
      <c r="B32" s="1694" t="str">
        <f>CONCATENATE(LEFT(RIGHT(CONCATENATE("000",HH_Debt1516!A32),6),3),"-",(RIGHT(RIGHT(CONCATENATE("000",HH_Debt1516!A32),6),3)))</f>
        <v>013-902</v>
      </c>
      <c r="C32" s="121">
        <v>270400</v>
      </c>
    </row>
    <row r="33" spans="1:3" ht="15">
      <c r="A33" s="2266" t="s">
        <v>6481</v>
      </c>
      <c r="B33" s="1694" t="str">
        <f>CONCATENATE(LEFT(RIGHT(CONCATENATE("000",HH_Debt1516!A33),6),3),"-",(RIGHT(RIGHT(CONCATENATE("000",HH_Debt1516!A33),6),3)))</f>
        <v>013-903</v>
      </c>
      <c r="C33" s="121">
        <v>558338</v>
      </c>
    </row>
    <row r="34" spans="1:3" ht="15">
      <c r="A34" s="2266" t="s">
        <v>4015</v>
      </c>
      <c r="B34" s="1694" t="str">
        <f>CONCATENATE(LEFT(RIGHT(CONCATENATE("000",HH_Debt1516!A34),6),3),"-",(RIGHT(RIGHT(CONCATENATE("000",HH_Debt1516!A34),6),3)))</f>
        <v>013-905</v>
      </c>
      <c r="C34" s="121">
        <v>601638</v>
      </c>
    </row>
    <row r="35" spans="1:3" ht="15">
      <c r="A35" s="2266" t="s">
        <v>6482</v>
      </c>
      <c r="B35" s="1694" t="str">
        <f>CONCATENATE(LEFT(RIGHT(CONCATENATE("000",HH_Debt1516!A35),6),3),"-",(RIGHT(RIGHT(CONCATENATE("000",HH_Debt1516!A35),6),3)))</f>
        <v>014-901</v>
      </c>
      <c r="C35" s="121">
        <v>1440350</v>
      </c>
    </row>
    <row r="36" spans="1:3" ht="15">
      <c r="A36" s="2266" t="s">
        <v>4016</v>
      </c>
      <c r="B36" s="1694" t="str">
        <f>CONCATENATE(LEFT(RIGHT(CONCATENATE("000",HH_Debt1516!A36),6),3),"-",(RIGHT(RIGHT(CONCATENATE("000",HH_Debt1516!A36),6),3)))</f>
        <v>014-902</v>
      </c>
      <c r="C36" s="121">
        <v>171850</v>
      </c>
    </row>
    <row r="37" spans="1:3" ht="15">
      <c r="A37" s="2266" t="s">
        <v>4017</v>
      </c>
      <c r="B37" s="1694" t="str">
        <f>CONCATENATE(LEFT(RIGHT(CONCATENATE("000",HH_Debt1516!A37),6),3),"-",(RIGHT(RIGHT(CONCATENATE("000",HH_Debt1516!A37),6),3)))</f>
        <v>014-903</v>
      </c>
      <c r="C37" s="121">
        <v>9236008</v>
      </c>
    </row>
    <row r="38" spans="1:3" ht="15">
      <c r="A38" s="2266" t="s">
        <v>4018</v>
      </c>
      <c r="B38" s="1694" t="str">
        <f>CONCATENATE(LEFT(RIGHT(CONCATENATE("000",HH_Debt1516!A38),6),3),"-",(RIGHT(RIGHT(CONCATENATE("000",HH_Debt1516!A38),6),3)))</f>
        <v>014-905</v>
      </c>
      <c r="C38" s="121">
        <v>470125</v>
      </c>
    </row>
    <row r="39" spans="1:3" ht="15">
      <c r="A39" s="2266" t="s">
        <v>4019</v>
      </c>
      <c r="B39" s="1694" t="str">
        <f>CONCATENATE(LEFT(RIGHT(CONCATENATE("000",HH_Debt1516!A39),6),3),"-",(RIGHT(RIGHT(CONCATENATE("000",HH_Debt1516!A39),6),3)))</f>
        <v>014-906</v>
      </c>
      <c r="C39" s="121">
        <v>11980800</v>
      </c>
    </row>
    <row r="40" spans="1:3" ht="15">
      <c r="A40" s="2266" t="s">
        <v>4020</v>
      </c>
      <c r="B40" s="1694" t="str">
        <f>CONCATENATE(LEFT(RIGHT(CONCATENATE("000",HH_Debt1516!A40),6),3),"-",(RIGHT(RIGHT(CONCATENATE("000",HH_Debt1516!A40),6),3)))</f>
        <v>014-907</v>
      </c>
      <c r="C40" s="121">
        <v>637396</v>
      </c>
    </row>
    <row r="41" spans="1:3" ht="15">
      <c r="A41" s="2266" t="s">
        <v>4021</v>
      </c>
      <c r="B41" s="1694" t="str">
        <f>CONCATENATE(LEFT(RIGHT(CONCATENATE("000",HH_Debt1516!A41),6),3),"-",(RIGHT(RIGHT(CONCATENATE("000",HH_Debt1516!A41),6),3)))</f>
        <v>014-908</v>
      </c>
      <c r="C41" s="121">
        <v>1312056</v>
      </c>
    </row>
    <row r="42" spans="1:3" ht="15">
      <c r="A42" s="2266" t="s">
        <v>4022</v>
      </c>
      <c r="B42" s="1694" t="str">
        <f>CONCATENATE(LEFT(RIGHT(CONCATENATE("000",HH_Debt1516!A42),6),3),"-",(RIGHT(RIGHT(CONCATENATE("000",HH_Debt1516!A42),6),3)))</f>
        <v>014-909</v>
      </c>
      <c r="C42" s="121">
        <v>7035086</v>
      </c>
    </row>
    <row r="43" spans="1:3" ht="15">
      <c r="A43" s="2266" t="s">
        <v>4023</v>
      </c>
      <c r="B43" s="1694" t="str">
        <f>CONCATENATE(LEFT(RIGHT(CONCATENATE("000",HH_Debt1516!A43),6),3),"-",(RIGHT(RIGHT(CONCATENATE("000",HH_Debt1516!A43),6),3)))</f>
        <v>014-910</v>
      </c>
      <c r="C43" s="121">
        <v>1328307</v>
      </c>
    </row>
    <row r="44" spans="1:3" ht="15">
      <c r="A44" s="2266" t="s">
        <v>6483</v>
      </c>
      <c r="B44" s="1694" t="str">
        <f>CONCATENATE(LEFT(RIGHT(CONCATENATE("000",HH_Debt1516!A44),6),3),"-",(RIGHT(RIGHT(CONCATENATE("000",HH_Debt1516!A44),6),3)))</f>
        <v>015-901</v>
      </c>
      <c r="C44" s="121">
        <v>6597868</v>
      </c>
    </row>
    <row r="45" spans="1:3" ht="15">
      <c r="A45" s="2266" t="s">
        <v>4024</v>
      </c>
      <c r="B45" s="1694" t="str">
        <f>CONCATENATE(LEFT(RIGHT(CONCATENATE("000",HH_Debt1516!A45),6),3),"-",(RIGHT(RIGHT(CONCATENATE("000",HH_Debt1516!A45),6),3)))</f>
        <v>015-904</v>
      </c>
      <c r="C45" s="121">
        <v>17853914</v>
      </c>
    </row>
    <row r="46" spans="1:3" ht="15">
      <c r="A46" s="2266" t="s">
        <v>4025</v>
      </c>
      <c r="B46" s="1694" t="str">
        <f>CONCATENATE(LEFT(RIGHT(CONCATENATE("000",HH_Debt1516!A46),6),3),"-",(RIGHT(RIGHT(CONCATENATE("000",HH_Debt1516!A46),6),3)))</f>
        <v>015-905</v>
      </c>
      <c r="C46" s="121">
        <v>7334372</v>
      </c>
    </row>
    <row r="47" spans="1:3" ht="15">
      <c r="A47" s="2266" t="s">
        <v>4026</v>
      </c>
      <c r="B47" s="1694" t="str">
        <f>CONCATENATE(LEFT(RIGHT(CONCATENATE("000",HH_Debt1516!A47),6),3),"-",(RIGHT(RIGHT(CONCATENATE("000",HH_Debt1516!A47),6),3)))</f>
        <v>015-907</v>
      </c>
      <c r="C47" s="121">
        <v>57729760</v>
      </c>
    </row>
    <row r="48" spans="1:3" ht="15">
      <c r="A48" s="2266" t="s">
        <v>4027</v>
      </c>
      <c r="B48" s="1694" t="str">
        <f>CONCATENATE(LEFT(RIGHT(CONCATENATE("000",HH_Debt1516!A48),6),3),"-",(RIGHT(RIGHT(CONCATENATE("000",HH_Debt1516!A48),6),3)))</f>
        <v>015-908</v>
      </c>
      <c r="C48" s="121">
        <v>12199272</v>
      </c>
    </row>
    <row r="49" spans="1:3" ht="15">
      <c r="A49" s="2266" t="s">
        <v>4028</v>
      </c>
      <c r="B49" s="1694" t="str">
        <f>CONCATENATE(LEFT(RIGHT(CONCATENATE("000",HH_Debt1516!A49),6),3),"-",(RIGHT(RIGHT(CONCATENATE("000",HH_Debt1516!A49),6),3)))</f>
        <v>015-909</v>
      </c>
      <c r="C49" s="121">
        <v>2419612</v>
      </c>
    </row>
    <row r="50" spans="1:3" ht="15">
      <c r="A50" s="2266" t="s">
        <v>4029</v>
      </c>
      <c r="B50" s="1694" t="str">
        <f>CONCATENATE(LEFT(RIGHT(CONCATENATE("000",HH_Debt1516!A50),6),3),"-",(RIGHT(RIGHT(CONCATENATE("000",HH_Debt1516!A50),6),3)))</f>
        <v>015-910</v>
      </c>
      <c r="C50" s="121">
        <v>102480904</v>
      </c>
    </row>
    <row r="51" spans="1:3" ht="15">
      <c r="A51" s="2266" t="s">
        <v>4030</v>
      </c>
      <c r="B51" s="1694" t="str">
        <f>CONCATENATE(LEFT(RIGHT(CONCATENATE("000",HH_Debt1516!A51),6),3),"-",(RIGHT(RIGHT(CONCATENATE("000",HH_Debt1516!A51),6),3)))</f>
        <v>015-911</v>
      </c>
      <c r="C51" s="121">
        <v>6655374</v>
      </c>
    </row>
    <row r="52" spans="1:3" ht="15">
      <c r="A52" s="2266" t="s">
        <v>4031</v>
      </c>
      <c r="B52" s="1694" t="str">
        <f>CONCATENATE(LEFT(RIGHT(CONCATENATE("000",HH_Debt1516!A52),6),3),"-",(RIGHT(RIGHT(CONCATENATE("000",HH_Debt1516!A52),6),3)))</f>
        <v>015-912</v>
      </c>
      <c r="C52" s="121">
        <v>15112485</v>
      </c>
    </row>
    <row r="53" spans="1:3" ht="15">
      <c r="A53" s="2266" t="s">
        <v>4032</v>
      </c>
      <c r="B53" s="1694" t="str">
        <f>CONCATENATE(LEFT(RIGHT(CONCATENATE("000",HH_Debt1516!A53),6),3),"-",(RIGHT(RIGHT(CONCATENATE("000",HH_Debt1516!A53),6),3)))</f>
        <v>015-915</v>
      </c>
      <c r="C53" s="121">
        <v>140581913</v>
      </c>
    </row>
    <row r="54" spans="1:3" ht="15">
      <c r="A54" s="2266" t="s">
        <v>4033</v>
      </c>
      <c r="B54" s="1694" t="str">
        <f>CONCATENATE(LEFT(RIGHT(CONCATENATE("000",HH_Debt1516!A54),6),3),"-",(RIGHT(RIGHT(CONCATENATE("000",HH_Debt1516!A54),6),3)))</f>
        <v>015-916</v>
      </c>
      <c r="C54" s="121">
        <v>27022424</v>
      </c>
    </row>
    <row r="55" spans="1:3" ht="15">
      <c r="A55" s="2266" t="s">
        <v>4034</v>
      </c>
      <c r="B55" s="1694" t="str">
        <f>CONCATENATE(LEFT(RIGHT(CONCATENATE("000",HH_Debt1516!A55),6),3),"-",(RIGHT(RIGHT(CONCATENATE("000",HH_Debt1516!A55),6),3)))</f>
        <v>015-917</v>
      </c>
      <c r="C55" s="121">
        <v>4139837</v>
      </c>
    </row>
    <row r="56" spans="1:3" ht="15">
      <c r="A56" s="2266" t="s">
        <v>6484</v>
      </c>
      <c r="B56" s="1694" t="str">
        <f>CONCATENATE(LEFT(RIGHT(CONCATENATE("000",HH_Debt1516!A56),6),3),"-",(RIGHT(RIGHT(CONCATENATE("000",HH_Debt1516!A56),6),3)))</f>
        <v>016-901</v>
      </c>
      <c r="C56" s="121">
        <v>599050</v>
      </c>
    </row>
    <row r="57" spans="1:3" ht="15">
      <c r="A57" s="2266" t="s">
        <v>4035</v>
      </c>
      <c r="B57" s="1694" t="str">
        <f>CONCATENATE(LEFT(RIGHT(CONCATENATE("000",HH_Debt1516!A57),6),3),"-",(RIGHT(RIGHT(CONCATENATE("000",HH_Debt1516!A57),6),3)))</f>
        <v>016-902</v>
      </c>
      <c r="C57" s="121">
        <v>1040365</v>
      </c>
    </row>
    <row r="58" spans="1:3" ht="15">
      <c r="A58" s="2266" t="s">
        <v>6485</v>
      </c>
      <c r="B58" s="1694" t="str">
        <f>CONCATENATE(LEFT(RIGHT(CONCATENATE("000",HH_Debt1516!A58),6),3),"-",(RIGHT(RIGHT(CONCATENATE("000",HH_Debt1516!A58),6),3)))</f>
        <v>017-901</v>
      </c>
      <c r="C58" s="121">
        <v>1692875</v>
      </c>
    </row>
    <row r="59" spans="1:3" ht="15">
      <c r="A59" s="2266" t="s">
        <v>4036</v>
      </c>
      <c r="B59" s="1694" t="str">
        <f>CONCATENATE(LEFT(RIGHT(CONCATENATE("000",HH_Debt1516!A59),6),3),"-",(RIGHT(RIGHT(CONCATENATE("000",HH_Debt1516!A59),6),3)))</f>
        <v>018-901</v>
      </c>
      <c r="C59" s="121">
        <v>526950</v>
      </c>
    </row>
    <row r="60" spans="1:3" ht="15">
      <c r="A60" s="2266" t="s">
        <v>4037</v>
      </c>
      <c r="B60" s="1694" t="str">
        <f>CONCATENATE(LEFT(RIGHT(CONCATENATE("000",HH_Debt1516!A60),6),3),"-",(RIGHT(RIGHT(CONCATENATE("000",HH_Debt1516!A60),6),3)))</f>
        <v>018-902</v>
      </c>
      <c r="C60" s="121">
        <v>492011</v>
      </c>
    </row>
    <row r="61" spans="1:3" ht="15">
      <c r="A61" s="2266" t="s">
        <v>4038</v>
      </c>
      <c r="B61" s="1694" t="str">
        <f>CONCATENATE(LEFT(RIGHT(CONCATENATE("000",HH_Debt1516!A61),6),3),"-",(RIGHT(RIGHT(CONCATENATE("000",HH_Debt1516!A61),6),3)))</f>
        <v>018-904</v>
      </c>
      <c r="C61" s="121">
        <v>466475</v>
      </c>
    </row>
    <row r="62" spans="1:3" ht="15">
      <c r="A62" s="2266" t="s">
        <v>6486</v>
      </c>
      <c r="B62" s="1694" t="str">
        <f>CONCATENATE(LEFT(RIGHT(CONCATENATE("000",HH_Debt1516!A62),6),3),"-",(RIGHT(RIGHT(CONCATENATE("000",HH_Debt1516!A62),6),3)))</f>
        <v>018-906</v>
      </c>
      <c r="C62" s="121">
        <v>66430</v>
      </c>
    </row>
    <row r="63" spans="1:3" ht="15">
      <c r="A63" s="2266" t="s">
        <v>6487</v>
      </c>
      <c r="B63" s="1694" t="str">
        <f>CONCATENATE(LEFT(RIGHT(CONCATENATE("000",HH_Debt1516!A63),6),3),"-",(RIGHT(RIGHT(CONCATENATE("000",HH_Debt1516!A63),6),3)))</f>
        <v>018-907</v>
      </c>
      <c r="C63" s="121">
        <v>18906</v>
      </c>
    </row>
    <row r="64" spans="1:3" ht="15">
      <c r="A64" s="2266" t="s">
        <v>4039</v>
      </c>
      <c r="B64" s="1694" t="str">
        <f>CONCATENATE(LEFT(RIGHT(CONCATENATE("000",HH_Debt1516!A64),6),3),"-",(RIGHT(RIGHT(CONCATENATE("000",HH_Debt1516!A64),6),3)))</f>
        <v>019-902</v>
      </c>
      <c r="C64" s="121">
        <v>657687</v>
      </c>
    </row>
    <row r="65" spans="1:3" ht="15">
      <c r="A65" s="2266" t="s">
        <v>4040</v>
      </c>
      <c r="B65" s="1694" t="str">
        <f>CONCATENATE(LEFT(RIGHT(CONCATENATE("000",HH_Debt1516!A65),6),3),"-",(RIGHT(RIGHT(CONCATENATE("000",HH_Debt1516!A65),6),3)))</f>
        <v>019-903</v>
      </c>
      <c r="C65" s="121">
        <v>125828</v>
      </c>
    </row>
    <row r="66" spans="1:3" ht="15">
      <c r="A66" s="2266" t="s">
        <v>4041</v>
      </c>
      <c r="B66" s="1694" t="str">
        <f>CONCATENATE(LEFT(RIGHT(CONCATENATE("000",HH_Debt1516!A66),6),3),"-",(RIGHT(RIGHT(CONCATENATE("000",HH_Debt1516!A66),6),3)))</f>
        <v>019-905</v>
      </c>
      <c r="C66" s="121">
        <v>953780</v>
      </c>
    </row>
    <row r="67" spans="1:3" ht="15">
      <c r="A67" s="2266" t="s">
        <v>6488</v>
      </c>
      <c r="B67" s="1694" t="str">
        <f>CONCATENATE(LEFT(RIGHT(CONCATENATE("000",HH_Debt1516!A67),6),3),"-",(RIGHT(RIGHT(CONCATENATE("000",HH_Debt1516!A67),6),3)))</f>
        <v>019-906</v>
      </c>
      <c r="C67" s="121">
        <v>380156</v>
      </c>
    </row>
    <row r="68" spans="1:3" ht="15">
      <c r="A68" s="2266" t="s">
        <v>6489</v>
      </c>
      <c r="B68" s="1694" t="str">
        <f>CONCATENATE(LEFT(RIGHT(CONCATENATE("000",HH_Debt1516!A68),6),3),"-",(RIGHT(RIGHT(CONCATENATE("000",HH_Debt1516!A68),6),3)))</f>
        <v>019-907</v>
      </c>
      <c r="C68" s="121">
        <v>5376801</v>
      </c>
    </row>
    <row r="69" spans="1:3" ht="15">
      <c r="A69" s="2266" t="s">
        <v>6490</v>
      </c>
      <c r="B69" s="1694" t="str">
        <f>CONCATENATE(LEFT(RIGHT(CONCATENATE("000",HH_Debt1516!A69),6),3),"-",(RIGHT(RIGHT(CONCATENATE("000",HH_Debt1516!A69),6),3)))</f>
        <v>019-908</v>
      </c>
      <c r="C69" s="121">
        <v>417925</v>
      </c>
    </row>
    <row r="70" spans="1:3" ht="15">
      <c r="A70" s="2266" t="s">
        <v>4042</v>
      </c>
      <c r="B70" s="1694" t="str">
        <f>CONCATENATE(LEFT(RIGHT(CONCATENATE("000",HH_Debt1516!A70),6),3),"-",(RIGHT(RIGHT(CONCATENATE("000",HH_Debt1516!A70),6),3)))</f>
        <v>019-909</v>
      </c>
      <c r="C70" s="121">
        <v>122050</v>
      </c>
    </row>
    <row r="71" spans="1:3" ht="15">
      <c r="A71" s="2266" t="s">
        <v>4043</v>
      </c>
      <c r="B71" s="1694" t="str">
        <f>CONCATENATE(LEFT(RIGHT(CONCATENATE("000",HH_Debt1516!A71),6),3),"-",(RIGHT(RIGHT(CONCATENATE("000",HH_Debt1516!A71),6),3)))</f>
        <v>019-910</v>
      </c>
      <c r="C71" s="121">
        <v>73419</v>
      </c>
    </row>
    <row r="72" spans="1:3" ht="15">
      <c r="A72" s="2266" t="s">
        <v>6491</v>
      </c>
      <c r="B72" s="1694" t="str">
        <f>CONCATENATE(LEFT(RIGHT(CONCATENATE("000",HH_Debt1516!A72),6),3),"-",(RIGHT(RIGHT(CONCATENATE("000",HH_Debt1516!A72),6),3)))</f>
        <v>019-911</v>
      </c>
      <c r="C72" s="121">
        <v>329162</v>
      </c>
    </row>
    <row r="73" spans="1:3" ht="15">
      <c r="A73" s="2266" t="s">
        <v>6492</v>
      </c>
      <c r="B73" s="1694" t="str">
        <f>CONCATENATE(LEFT(RIGHT(CONCATENATE("000",HH_Debt1516!A73),6),3),"-",(RIGHT(RIGHT(CONCATENATE("000",HH_Debt1516!A73),6),3)))</f>
        <v>019-912</v>
      </c>
      <c r="C73" s="121">
        <v>2498506</v>
      </c>
    </row>
    <row r="74" spans="1:3" ht="15">
      <c r="A74" s="2266" t="s">
        <v>4044</v>
      </c>
      <c r="B74" s="1694" t="str">
        <f>CONCATENATE(LEFT(RIGHT(CONCATENATE("000",HH_Debt1516!A74),6),3),"-",(RIGHT(RIGHT(CONCATENATE("000",HH_Debt1516!A74),6),3)))</f>
        <v>020-901</v>
      </c>
      <c r="C74" s="121">
        <v>28529806</v>
      </c>
    </row>
    <row r="75" spans="1:3" ht="15">
      <c r="A75" s="2266" t="s">
        <v>6493</v>
      </c>
      <c r="B75" s="1694" t="str">
        <f>CONCATENATE(LEFT(RIGHT(CONCATENATE("000",HH_Debt1516!A75),6),3),"-",(RIGHT(RIGHT(CONCATENATE("000",HH_Debt1516!A75),6),3)))</f>
        <v>020-902</v>
      </c>
      <c r="C75" s="121">
        <v>9846156</v>
      </c>
    </row>
    <row r="76" spans="1:3" ht="15">
      <c r="A76" s="2266" t="s">
        <v>4045</v>
      </c>
      <c r="B76" s="1694" t="str">
        <f>CONCATENATE(LEFT(RIGHT(CONCATENATE("000",HH_Debt1516!A76),6),3),"-",(RIGHT(RIGHT(CONCATENATE("000",HH_Debt1516!A76),6),3)))</f>
        <v>020-904</v>
      </c>
      <c r="C76" s="121">
        <v>225075</v>
      </c>
    </row>
    <row r="77" spans="1:3" ht="15">
      <c r="A77" s="2266" t="s">
        <v>6494</v>
      </c>
      <c r="B77" s="1694" t="str">
        <f>CONCATENATE(LEFT(RIGHT(CONCATENATE("000",HH_Debt1516!A77),6),3),"-",(RIGHT(RIGHT(CONCATENATE("000",HH_Debt1516!A77),6),3)))</f>
        <v>020-905</v>
      </c>
      <c r="C77" s="121">
        <v>15323962</v>
      </c>
    </row>
    <row r="78" spans="1:3" ht="15">
      <c r="A78" s="2266" t="s">
        <v>6495</v>
      </c>
      <c r="B78" s="1694" t="str">
        <f>CONCATENATE(LEFT(RIGHT(CONCATENATE("000",HH_Debt1516!A78),6),3),"-",(RIGHT(RIGHT(CONCATENATE("000",HH_Debt1516!A78),6),3)))</f>
        <v>020-906</v>
      </c>
      <c r="C78" s="121">
        <v>2753798</v>
      </c>
    </row>
    <row r="79" spans="1:3" ht="15">
      <c r="A79" s="2266" t="s">
        <v>4046</v>
      </c>
      <c r="B79" s="1694" t="str">
        <f>CONCATENATE(LEFT(RIGHT(CONCATENATE("000",HH_Debt1516!A79),6),3),"-",(RIGHT(RIGHT(CONCATENATE("000",HH_Debt1516!A79),6),3)))</f>
        <v>020-907</v>
      </c>
      <c r="C79" s="121">
        <v>2624410</v>
      </c>
    </row>
    <row r="80" spans="1:3" ht="15">
      <c r="A80" s="2266" t="s">
        <v>4047</v>
      </c>
      <c r="B80" s="1694" t="str">
        <f>CONCATENATE(LEFT(RIGHT(CONCATENATE("000",HH_Debt1516!A80),6),3),"-",(RIGHT(RIGHT(CONCATENATE("000",HH_Debt1516!A80),6),3)))</f>
        <v>020-908</v>
      </c>
      <c r="C80" s="121">
        <v>25605603</v>
      </c>
    </row>
    <row r="81" spans="1:3" ht="15">
      <c r="A81" s="2266" t="s">
        <v>4049</v>
      </c>
      <c r="B81" s="1694" t="str">
        <f>CONCATENATE(LEFT(RIGHT(CONCATENATE("000",HH_Debt1516!A81),6),3),"-",(RIGHT(RIGHT(CONCATENATE("000",HH_Debt1516!A81),6),3)))</f>
        <v>021-901</v>
      </c>
      <c r="C81" s="121">
        <v>24795363</v>
      </c>
    </row>
    <row r="82" spans="1:3" ht="15">
      <c r="A82" s="2266" t="s">
        <v>4050</v>
      </c>
      <c r="B82" s="1694" t="str">
        <f>CONCATENATE(LEFT(RIGHT(CONCATENATE("000",HH_Debt1516!A82),6),3),"-",(RIGHT(RIGHT(CONCATENATE("000",HH_Debt1516!A82),6),3)))</f>
        <v>021-902</v>
      </c>
      <c r="C82" s="121">
        <v>13164534</v>
      </c>
    </row>
    <row r="83" spans="1:3" ht="15">
      <c r="A83" s="2266" t="s">
        <v>6496</v>
      </c>
      <c r="B83" s="1694" t="str">
        <f>CONCATENATE(LEFT(RIGHT(CONCATENATE("000",HH_Debt1516!A83),6),3),"-",(RIGHT(RIGHT(CONCATENATE("000",HH_Debt1516!A83),6),3)))</f>
        <v>022-901</v>
      </c>
      <c r="C83" s="121">
        <v>323675</v>
      </c>
    </row>
    <row r="84" spans="1:3" ht="15">
      <c r="A84" s="2266" t="s">
        <v>6497</v>
      </c>
      <c r="B84" s="1694" t="str">
        <f>CONCATENATE(LEFT(RIGHT(CONCATENATE("000",HH_Debt1516!A84),6),3),"-",(RIGHT(RIGHT(CONCATENATE("000",HH_Debt1516!A84),6),3)))</f>
        <v>024-901</v>
      </c>
      <c r="C84" s="121">
        <v>2477819</v>
      </c>
    </row>
    <row r="85" spans="1:3" ht="15">
      <c r="A85" s="2266" t="s">
        <v>6498</v>
      </c>
      <c r="B85" s="1694" t="str">
        <f>CONCATENATE(LEFT(RIGHT(CONCATENATE("000",HH_Debt1516!A85),6),3),"-",(RIGHT(RIGHT(CONCATENATE("000",HH_Debt1516!A85),6),3)))</f>
        <v>025-901</v>
      </c>
      <c r="C85" s="121">
        <v>548238</v>
      </c>
    </row>
    <row r="86" spans="1:3" ht="15">
      <c r="A86" s="2266" t="s">
        <v>6499</v>
      </c>
      <c r="B86" s="1694" t="str">
        <f>CONCATENATE(LEFT(RIGHT(CONCATENATE("000",HH_Debt1516!A86),6),3),"-",(RIGHT(RIGHT(CONCATENATE("000",HH_Debt1516!A86),6),3)))</f>
        <v>025-902</v>
      </c>
      <c r="C86" s="121">
        <v>2304775</v>
      </c>
    </row>
    <row r="87" spans="1:3" ht="15">
      <c r="A87" s="2266" t="s">
        <v>4051</v>
      </c>
      <c r="B87" s="1694" t="str">
        <f>CONCATENATE(LEFT(RIGHT(CONCATENATE("000",HH_Debt1516!A87),6),3),"-",(RIGHT(RIGHT(CONCATENATE("000",HH_Debt1516!A87),6),3)))</f>
        <v>025-904</v>
      </c>
      <c r="C87" s="121">
        <v>92995</v>
      </c>
    </row>
    <row r="88" spans="1:3" ht="15">
      <c r="A88" s="2266" t="s">
        <v>4052</v>
      </c>
      <c r="B88" s="1694" t="str">
        <f>CONCATENATE(LEFT(RIGHT(CONCATENATE("000",HH_Debt1516!A88),6),3),"-",(RIGHT(RIGHT(CONCATENATE("000",HH_Debt1516!A88),6),3)))</f>
        <v>025-905</v>
      </c>
      <c r="C88" s="121">
        <v>398360</v>
      </c>
    </row>
    <row r="89" spans="1:3" ht="15">
      <c r="A89" s="2266" t="s">
        <v>4053</v>
      </c>
      <c r="B89" s="1694" t="str">
        <f>CONCATENATE(LEFT(RIGHT(CONCATENATE("000",HH_Debt1516!A89),6),3),"-",(RIGHT(RIGHT(CONCATENATE("000",HH_Debt1516!A89),6),3)))</f>
        <v>025-906</v>
      </c>
      <c r="C89" s="121">
        <v>301427</v>
      </c>
    </row>
    <row r="90" spans="1:3" ht="15">
      <c r="A90" s="2266" t="s">
        <v>4054</v>
      </c>
      <c r="B90" s="1694" t="str">
        <f>CONCATENATE(LEFT(RIGHT(CONCATENATE("000",HH_Debt1516!A90),6),3),"-",(RIGHT(RIGHT(CONCATENATE("000",HH_Debt1516!A90),6),3)))</f>
        <v>025-908</v>
      </c>
      <c r="C90" s="121">
        <v>93430</v>
      </c>
    </row>
    <row r="91" spans="1:3" ht="15">
      <c r="A91" s="2266" t="s">
        <v>4055</v>
      </c>
      <c r="B91" s="1694" t="str">
        <f>CONCATENATE(LEFT(RIGHT(CONCATENATE("000",HH_Debt1516!A91),6),3),"-",(RIGHT(RIGHT(CONCATENATE("000",HH_Debt1516!A91),6),3)))</f>
        <v>025-909</v>
      </c>
      <c r="C91" s="121">
        <v>1421575</v>
      </c>
    </row>
    <row r="92" spans="1:3" ht="15">
      <c r="A92" s="2266" t="s">
        <v>6500</v>
      </c>
      <c r="B92" s="1694" t="str">
        <f>CONCATENATE(LEFT(RIGHT(CONCATENATE("000",HH_Debt1516!A92),6),3),"-",(RIGHT(RIGHT(CONCATENATE("000",HH_Debt1516!A92),6),3)))</f>
        <v>026-901</v>
      </c>
      <c r="C92" s="121">
        <v>629622</v>
      </c>
    </row>
    <row r="93" spans="1:3" ht="15">
      <c r="A93" s="2266" t="s">
        <v>6501</v>
      </c>
      <c r="B93" s="1694" t="str">
        <f>CONCATENATE(LEFT(RIGHT(CONCATENATE("000",HH_Debt1516!A93),6),3),"-",(RIGHT(RIGHT(CONCATENATE("000",HH_Debt1516!A93),6),3)))</f>
        <v>026-902</v>
      </c>
      <c r="C93" s="121">
        <v>191650</v>
      </c>
    </row>
    <row r="94" spans="1:3" ht="15">
      <c r="A94" s="2266" t="s">
        <v>4056</v>
      </c>
      <c r="B94" s="1694" t="str">
        <f>CONCATENATE(LEFT(RIGHT(CONCATENATE("000",HH_Debt1516!A94),6),3),"-",(RIGHT(RIGHT(CONCATENATE("000",HH_Debt1516!A94),6),3)))</f>
        <v>026-903</v>
      </c>
      <c r="C94" s="121">
        <v>531725</v>
      </c>
    </row>
    <row r="95" spans="1:3" ht="15">
      <c r="A95" s="2266" t="s">
        <v>4057</v>
      </c>
      <c r="B95" s="1694" t="str">
        <f>CONCATENATE(LEFT(RIGHT(CONCATENATE("000",HH_Debt1516!A95),6),3),"-",(RIGHT(RIGHT(CONCATENATE("000",HH_Debt1516!A95),6),3)))</f>
        <v>027-903</v>
      </c>
      <c r="C95" s="121">
        <v>3479600</v>
      </c>
    </row>
    <row r="96" spans="1:3" ht="15">
      <c r="A96" s="2266" t="s">
        <v>5011</v>
      </c>
      <c r="B96" s="1694" t="str">
        <f>CONCATENATE(LEFT(RIGHT(CONCATENATE("000",HH_Debt1516!A96),6),3),"-",(RIGHT(RIGHT(CONCATENATE("000",HH_Debt1516!A96),6),3)))</f>
        <v>027-904</v>
      </c>
      <c r="C96" s="121">
        <v>6554680</v>
      </c>
    </row>
    <row r="97" spans="1:3" ht="15">
      <c r="A97" s="2266" t="s">
        <v>4058</v>
      </c>
      <c r="B97" s="1694" t="str">
        <f>CONCATENATE(LEFT(RIGHT(CONCATENATE("000",HH_Debt1516!A97),6),3),"-",(RIGHT(RIGHT(CONCATENATE("000",HH_Debt1516!A97),6),3)))</f>
        <v>028-902</v>
      </c>
      <c r="C97" s="121">
        <v>5200388</v>
      </c>
    </row>
    <row r="98" spans="1:3" ht="15">
      <c r="A98" s="2266" t="s">
        <v>4059</v>
      </c>
      <c r="B98" s="1694" t="str">
        <f>CONCATENATE(LEFT(RIGHT(CONCATENATE("000",HH_Debt1516!A98),6),3),"-",(RIGHT(RIGHT(CONCATENATE("000",HH_Debt1516!A98),6),3)))</f>
        <v>028-903</v>
      </c>
      <c r="C98" s="121">
        <v>333250</v>
      </c>
    </row>
    <row r="99" spans="1:3" ht="15">
      <c r="A99" s="2266" t="s">
        <v>6502</v>
      </c>
      <c r="B99" s="1694" t="str">
        <f>CONCATENATE(LEFT(RIGHT(CONCATENATE("000",HH_Debt1516!A99),6),3),"-",(RIGHT(RIGHT(CONCATENATE("000",HH_Debt1516!A99),6),3)))</f>
        <v>029-901</v>
      </c>
      <c r="C99" s="121">
        <v>8310775</v>
      </c>
    </row>
    <row r="100" spans="1:3" ht="15">
      <c r="A100" s="2266" t="s">
        <v>4060</v>
      </c>
      <c r="B100" s="1694" t="str">
        <f>CONCATENATE(LEFT(RIGHT(CONCATENATE("000",HH_Debt1516!A100),6),3),"-",(RIGHT(RIGHT(CONCATENATE("000",HH_Debt1516!A100),6),3)))</f>
        <v>030-902</v>
      </c>
      <c r="C100" s="121">
        <v>1384325</v>
      </c>
    </row>
    <row r="101" spans="1:3" ht="15">
      <c r="A101" s="2266" t="s">
        <v>4061</v>
      </c>
      <c r="B101" s="1694" t="str">
        <f>CONCATENATE(LEFT(RIGHT(CONCATENATE("000",HH_Debt1516!A101),6),3),"-",(RIGHT(RIGHT(CONCATENATE("000",HH_Debt1516!A101),6),3)))</f>
        <v>030-903</v>
      </c>
      <c r="C101" s="121">
        <v>400432</v>
      </c>
    </row>
    <row r="102" spans="1:3" ht="15">
      <c r="A102" s="2266" t="s">
        <v>6503</v>
      </c>
      <c r="B102" s="1694" t="str">
        <f>CONCATENATE(LEFT(RIGHT(CONCATENATE("000",HH_Debt1516!A102),6),3),"-",(RIGHT(RIGHT(CONCATENATE("000",HH_Debt1516!A102),6),3)))</f>
        <v>030-906</v>
      </c>
      <c r="C102" s="121">
        <v>484899</v>
      </c>
    </row>
    <row r="103" spans="1:3" ht="15">
      <c r="A103" s="2266" t="s">
        <v>4062</v>
      </c>
      <c r="B103" s="1694" t="str">
        <f>CONCATENATE(LEFT(RIGHT(CONCATENATE("000",HH_Debt1516!A103),6),3),"-",(RIGHT(RIGHT(CONCATENATE("000",HH_Debt1516!A103),6),3)))</f>
        <v>031-901</v>
      </c>
      <c r="C103" s="121">
        <v>16632620</v>
      </c>
    </row>
    <row r="104" spans="1:3" ht="15">
      <c r="A104" s="2266" t="s">
        <v>4063</v>
      </c>
      <c r="B104" s="1694" t="str">
        <f>CONCATENATE(LEFT(RIGHT(CONCATENATE("000",HH_Debt1516!A104),6),3),"-",(RIGHT(RIGHT(CONCATENATE("000",HH_Debt1516!A104),6),3)))</f>
        <v>031-903</v>
      </c>
      <c r="C104" s="121">
        <v>9944189</v>
      </c>
    </row>
    <row r="105" spans="1:3" ht="15">
      <c r="A105" s="2266" t="s">
        <v>4064</v>
      </c>
      <c r="B105" s="1694" t="str">
        <f>CONCATENATE(LEFT(RIGHT(CONCATENATE("000",HH_Debt1516!A105),6),3),"-",(RIGHT(RIGHT(CONCATENATE("000",HH_Debt1516!A105),6),3)))</f>
        <v>031-905</v>
      </c>
      <c r="C105" s="121">
        <v>2324450</v>
      </c>
    </row>
    <row r="106" spans="1:3" ht="15">
      <c r="A106" s="2266" t="s">
        <v>4065</v>
      </c>
      <c r="B106" s="1694" t="str">
        <f>CONCATENATE(LEFT(RIGHT(CONCATENATE("000",HH_Debt1516!A106),6),3),"-",(RIGHT(RIGHT(CONCATENATE("000",HH_Debt1516!A106),6),3)))</f>
        <v>031-906</v>
      </c>
      <c r="C106" s="121">
        <v>3980181</v>
      </c>
    </row>
    <row r="107" spans="1:3" ht="15">
      <c r="A107" s="2266" t="s">
        <v>6504</v>
      </c>
      <c r="B107" s="1694" t="str">
        <f>CONCATENATE(LEFT(RIGHT(CONCATENATE("000",HH_Debt1516!A107),6),3),"-",(RIGHT(RIGHT(CONCATENATE("000",HH_Debt1516!A107),6),3)))</f>
        <v>031-909</v>
      </c>
      <c r="C107" s="121">
        <v>2794525</v>
      </c>
    </row>
    <row r="108" spans="1:3" ht="15">
      <c r="A108" s="2266" t="s">
        <v>4066</v>
      </c>
      <c r="B108" s="1694" t="str">
        <f>CONCATENATE(LEFT(RIGHT(CONCATENATE("000",HH_Debt1516!A108),6),3),"-",(RIGHT(RIGHT(CONCATENATE("000",HH_Debt1516!A108),6),3)))</f>
        <v>031-911</v>
      </c>
      <c r="C108" s="121">
        <v>1699387</v>
      </c>
    </row>
    <row r="109" spans="1:3" ht="15">
      <c r="A109" s="2266" t="s">
        <v>4067</v>
      </c>
      <c r="B109" s="1694" t="str">
        <f>CONCATENATE(LEFT(RIGHT(CONCATENATE("000",HH_Debt1516!A109),6),3),"-",(RIGHT(RIGHT(CONCATENATE("000",HH_Debt1516!A109),6),3)))</f>
        <v>031-912</v>
      </c>
      <c r="C109" s="121">
        <v>7812181</v>
      </c>
    </row>
    <row r="110" spans="1:3" ht="15">
      <c r="A110" s="2266" t="s">
        <v>4068</v>
      </c>
      <c r="B110" s="1694" t="str">
        <f>CONCATENATE(LEFT(RIGHT(CONCATENATE("000",HH_Debt1516!A110),6),3),"-",(RIGHT(RIGHT(CONCATENATE("000",HH_Debt1516!A110),6),3)))</f>
        <v>031-913</v>
      </c>
      <c r="C110" s="121">
        <v>259288</v>
      </c>
    </row>
    <row r="111" spans="1:3" ht="15">
      <c r="A111" s="2266" t="s">
        <v>4069</v>
      </c>
      <c r="B111" s="1694" t="str">
        <f>CONCATENATE(LEFT(RIGHT(CONCATENATE("000",HH_Debt1516!A111),6),3),"-",(RIGHT(RIGHT(CONCATENATE("000",HH_Debt1516!A111),6),3)))</f>
        <v>031-914</v>
      </c>
      <c r="C111" s="121">
        <v>1113907</v>
      </c>
    </row>
    <row r="112" spans="1:3" ht="15">
      <c r="A112" s="2266" t="s">
        <v>6505</v>
      </c>
      <c r="B112" s="1694" t="str">
        <f>CONCATENATE(LEFT(RIGHT(CONCATENATE("000",HH_Debt1516!A112),6),3),"-",(RIGHT(RIGHT(CONCATENATE("000",HH_Debt1516!A112),6),3)))</f>
        <v>032-902</v>
      </c>
      <c r="C112" s="121">
        <v>911727</v>
      </c>
    </row>
    <row r="113" spans="1:3" ht="15">
      <c r="A113" s="2266" t="s">
        <v>6506</v>
      </c>
      <c r="B113" s="1694" t="str">
        <f>CONCATENATE(LEFT(RIGHT(CONCATENATE("000",HH_Debt1516!A113),6),3),"-",(RIGHT(RIGHT(CONCATENATE("000",HH_Debt1516!A113),6),3)))</f>
        <v>033-901</v>
      </c>
      <c r="C113" s="121">
        <v>155512</v>
      </c>
    </row>
    <row r="114" spans="1:3" ht="15">
      <c r="A114" s="2266" t="s">
        <v>6507</v>
      </c>
      <c r="B114" s="1694" t="str">
        <f>CONCATENATE(LEFT(RIGHT(CONCATENATE("000",HH_Debt1516!A114),6),3),"-",(RIGHT(RIGHT(CONCATENATE("000",HH_Debt1516!A114),6),3)))</f>
        <v>033-902</v>
      </c>
      <c r="C114" s="121">
        <v>1676248</v>
      </c>
    </row>
    <row r="115" spans="1:3" ht="15">
      <c r="A115" s="2266" t="s">
        <v>6508</v>
      </c>
      <c r="B115" s="1694" t="str">
        <f>CONCATENATE(LEFT(RIGHT(CONCATENATE("000",HH_Debt1516!A115),6),3),"-",(RIGHT(RIGHT(CONCATENATE("000",HH_Debt1516!A115),6),3)))</f>
        <v>033-904</v>
      </c>
      <c r="C115" s="121">
        <v>415638</v>
      </c>
    </row>
    <row r="116" spans="1:3" ht="15">
      <c r="A116" s="2266" t="s">
        <v>6509</v>
      </c>
      <c r="B116" s="1694" t="str">
        <f>CONCATENATE(LEFT(RIGHT(CONCATENATE("000",HH_Debt1516!A116),6),3),"-",(RIGHT(RIGHT(CONCATENATE("000",HH_Debt1516!A116),6),3)))</f>
        <v>034-901</v>
      </c>
      <c r="C116" s="121">
        <v>826922</v>
      </c>
    </row>
    <row r="117" spans="1:3" ht="15">
      <c r="A117" s="2266" t="s">
        <v>6510</v>
      </c>
      <c r="B117" s="1694" t="str">
        <f>CONCATENATE(LEFT(RIGHT(CONCATENATE("000",HH_Debt1516!A117),6),3),"-",(RIGHT(RIGHT(CONCATENATE("000",HH_Debt1516!A117),6),3)))</f>
        <v>034-903</v>
      </c>
      <c r="C117" s="121">
        <v>232009</v>
      </c>
    </row>
    <row r="118" spans="1:3" ht="15">
      <c r="A118" s="2266" t="s">
        <v>6511</v>
      </c>
      <c r="B118" s="1694" t="str">
        <f>CONCATENATE(LEFT(RIGHT(CONCATENATE("000",HH_Debt1516!A118),6),3),"-",(RIGHT(RIGHT(CONCATENATE("000",HH_Debt1516!A118),6),3)))</f>
        <v>034-907</v>
      </c>
      <c r="C118" s="121">
        <v>277650</v>
      </c>
    </row>
    <row r="119" spans="1:3" ht="15">
      <c r="A119" s="2266" t="s">
        <v>6512</v>
      </c>
      <c r="B119" s="1694" t="str">
        <f>CONCATENATE(LEFT(RIGHT(CONCATENATE("000",HH_Debt1516!A119),6),3),"-",(RIGHT(RIGHT(CONCATENATE("000",HH_Debt1516!A119),6),3)))</f>
        <v>034-909</v>
      </c>
      <c r="C119" s="121">
        <v>90496</v>
      </c>
    </row>
    <row r="120" spans="1:3" ht="15">
      <c r="A120" s="2266" t="s">
        <v>6513</v>
      </c>
      <c r="B120" s="1694" t="str">
        <f>CONCATENATE(LEFT(RIGHT(CONCATENATE("000",HH_Debt1516!A120),6),3),"-",(RIGHT(RIGHT(CONCATENATE("000",HH_Debt1516!A120),6),3)))</f>
        <v>035-901</v>
      </c>
      <c r="C120" s="121">
        <v>990740</v>
      </c>
    </row>
    <row r="121" spans="1:3" ht="15">
      <c r="A121" s="2266" t="s">
        <v>4070</v>
      </c>
      <c r="B121" s="1694" t="str">
        <f>CONCATENATE(LEFT(RIGHT(CONCATENATE("000",HH_Debt1516!A121),6),3),"-",(RIGHT(RIGHT(CONCATENATE("000",HH_Debt1516!A121),6),3)))</f>
        <v>035-903</v>
      </c>
      <c r="C121" s="121">
        <v>70265</v>
      </c>
    </row>
    <row r="122" spans="1:3" ht="15">
      <c r="A122" s="2266" t="s">
        <v>4071</v>
      </c>
      <c r="B122" s="1694" t="str">
        <f>CONCATENATE(LEFT(RIGHT(CONCATENATE("000",HH_Debt1516!A122),6),3),"-",(RIGHT(RIGHT(CONCATENATE("000",HH_Debt1516!A122),6),3)))</f>
        <v>036-901</v>
      </c>
      <c r="C122" s="121">
        <v>1234475</v>
      </c>
    </row>
    <row r="123" spans="1:3" ht="15">
      <c r="A123" s="2266" t="s">
        <v>6514</v>
      </c>
      <c r="B123" s="1694" t="str">
        <f>CONCATENATE(LEFT(RIGHT(CONCATENATE("000",HH_Debt1516!A123),6),3),"-",(RIGHT(RIGHT(CONCATENATE("000",HH_Debt1516!A123),6),3)))</f>
        <v>036-902</v>
      </c>
      <c r="C123" s="121">
        <v>18310667</v>
      </c>
    </row>
    <row r="124" spans="1:3" ht="15">
      <c r="A124" s="2266" t="s">
        <v>4072</v>
      </c>
      <c r="B124" s="1694" t="str">
        <f>CONCATENATE(LEFT(RIGHT(CONCATENATE("000",HH_Debt1516!A124),6),3),"-",(RIGHT(RIGHT(CONCATENATE("000",HH_Debt1516!A124),6),3)))</f>
        <v>036-903</v>
      </c>
      <c r="C124" s="121">
        <v>729800</v>
      </c>
    </row>
    <row r="125" spans="1:3" ht="15">
      <c r="A125" s="2266" t="s">
        <v>6515</v>
      </c>
      <c r="B125" s="1694" t="str">
        <f>CONCATENATE(LEFT(RIGHT(CONCATENATE("000",HH_Debt1516!A125),6),3),"-",(RIGHT(RIGHT(CONCATENATE("000",HH_Debt1516!A125),6),3)))</f>
        <v>037-901</v>
      </c>
      <c r="C125" s="121">
        <v>566175</v>
      </c>
    </row>
    <row r="126" spans="1:3" ht="15">
      <c r="A126" s="2266" t="s">
        <v>4073</v>
      </c>
      <c r="B126" s="1694" t="str">
        <f>CONCATENATE(LEFT(RIGHT(CONCATENATE("000",HH_Debt1516!A126),6),3),"-",(RIGHT(RIGHT(CONCATENATE("000",HH_Debt1516!A126),6),3)))</f>
        <v>037-904</v>
      </c>
      <c r="C126" s="121">
        <v>5475398</v>
      </c>
    </row>
    <row r="127" spans="1:3" ht="15">
      <c r="A127" s="2266" t="s">
        <v>4074</v>
      </c>
      <c r="B127" s="1694" t="str">
        <f>CONCATENATE(LEFT(RIGHT(CONCATENATE("000",HH_Debt1516!A127),6),3),"-",(RIGHT(RIGHT(CONCATENATE("000",HH_Debt1516!A127),6),3)))</f>
        <v>037-907</v>
      </c>
      <c r="C127" s="121">
        <v>376762</v>
      </c>
    </row>
    <row r="128" spans="1:3" ht="15">
      <c r="A128" s="2266" t="s">
        <v>5094</v>
      </c>
      <c r="B128" s="1694" t="str">
        <f>CONCATENATE(LEFT(RIGHT(CONCATENATE("000",HH_Debt1516!A128),6),3),"-",(RIGHT(RIGHT(CONCATENATE("000",HH_Debt1516!A128),6),3)))</f>
        <v>037-908</v>
      </c>
      <c r="C128" s="121">
        <v>299825</v>
      </c>
    </row>
    <row r="129" spans="1:3" ht="15">
      <c r="A129" s="2266" t="s">
        <v>6516</v>
      </c>
      <c r="B129" s="1694" t="str">
        <f>CONCATENATE(LEFT(RIGHT(CONCATENATE("000",HH_Debt1516!A129),6),3),"-",(RIGHT(RIGHT(CONCATENATE("000",HH_Debt1516!A129),6),3)))</f>
        <v>037-909</v>
      </c>
      <c r="C129" s="121">
        <v>202750</v>
      </c>
    </row>
    <row r="130" spans="1:3" ht="15">
      <c r="A130" s="2266" t="s">
        <v>4075</v>
      </c>
      <c r="B130" s="1694" t="str">
        <f>CONCATENATE(LEFT(RIGHT(CONCATENATE("000",HH_Debt1516!A130),6),3),"-",(RIGHT(RIGHT(CONCATENATE("000",HH_Debt1516!A130),6),3)))</f>
        <v>038-901</v>
      </c>
      <c r="C130" s="121">
        <v>308100</v>
      </c>
    </row>
    <row r="131" spans="1:3" ht="15">
      <c r="A131" s="2266" t="s">
        <v>6517</v>
      </c>
      <c r="B131" s="1694" t="str">
        <f>CONCATENATE(LEFT(RIGHT(CONCATENATE("000",HH_Debt1516!A131),6),3),"-",(RIGHT(RIGHT(CONCATENATE("000",HH_Debt1516!A131),6),3)))</f>
        <v>039-902</v>
      </c>
      <c r="C131" s="121">
        <v>823362</v>
      </c>
    </row>
    <row r="132" spans="1:3" ht="15">
      <c r="A132" s="2266" t="s">
        <v>4076</v>
      </c>
      <c r="B132" s="1694" t="str">
        <f>CONCATENATE(LEFT(RIGHT(CONCATENATE("000",HH_Debt1516!A132),6),3),"-",(RIGHT(RIGHT(CONCATENATE("000",HH_Debt1516!A132),6),3)))</f>
        <v>039-903</v>
      </c>
      <c r="C132" s="121">
        <v>294575</v>
      </c>
    </row>
    <row r="133" spans="1:3" ht="15">
      <c r="A133" s="2266" t="s">
        <v>6518</v>
      </c>
      <c r="B133" s="1694" t="str">
        <f>CONCATENATE(LEFT(RIGHT(CONCATENATE("000",HH_Debt1516!A133),6),3),"-",(RIGHT(RIGHT(CONCATENATE("000",HH_Debt1516!A133),6),3)))</f>
        <v>040-902</v>
      </c>
      <c r="C133" s="121">
        <v>1008818</v>
      </c>
    </row>
    <row r="134" spans="1:3" ht="15">
      <c r="A134" s="2266" t="s">
        <v>6519</v>
      </c>
      <c r="B134" s="1694" t="str">
        <f>CONCATENATE(LEFT(RIGHT(CONCATENATE("000",HH_Debt1516!A134),6),3),"-",(RIGHT(RIGHT(CONCATENATE("000",HH_Debt1516!A134),6),3)))</f>
        <v>041-902</v>
      </c>
      <c r="C134" s="121">
        <v>1050730</v>
      </c>
    </row>
    <row r="135" spans="1:3" ht="15">
      <c r="A135" s="2266" t="s">
        <v>4077</v>
      </c>
      <c r="B135" s="1694" t="str">
        <f>CONCATENATE(LEFT(RIGHT(CONCATENATE("000",HH_Debt1516!A135),6),3),"-",(RIGHT(RIGHT(CONCATENATE("000",HH_Debt1516!A135),6),3)))</f>
        <v>042-903</v>
      </c>
      <c r="C135" s="121">
        <v>90432</v>
      </c>
    </row>
    <row r="136" spans="1:3" ht="15">
      <c r="A136" s="2266" t="s">
        <v>6520</v>
      </c>
      <c r="B136" s="1694" t="str">
        <f>CONCATENATE(LEFT(RIGHT(CONCATENATE("000",HH_Debt1516!A136),6),3),"-",(RIGHT(RIGHT(CONCATENATE("000",HH_Debt1516!A136),6),3)))</f>
        <v>042-905</v>
      </c>
      <c r="C136" s="121">
        <v>75350</v>
      </c>
    </row>
    <row r="137" spans="1:3" ht="15">
      <c r="A137" s="2266" t="s">
        <v>4078</v>
      </c>
      <c r="B137" s="1694" t="str">
        <f>CONCATENATE(LEFT(RIGHT(CONCATENATE("000",HH_Debt1516!A137),6),3),"-",(RIGHT(RIGHT(CONCATENATE("000",HH_Debt1516!A137),6),3)))</f>
        <v>043-901</v>
      </c>
      <c r="C137" s="121">
        <v>37016484</v>
      </c>
    </row>
    <row r="138" spans="1:3" ht="15">
      <c r="A138" s="2266" t="s">
        <v>4079</v>
      </c>
      <c r="B138" s="1694" t="str">
        <f>CONCATENATE(LEFT(RIGHT(CONCATENATE("000",HH_Debt1516!A138),6),3),"-",(RIGHT(RIGHT(CONCATENATE("000",HH_Debt1516!A138),6),3)))</f>
        <v>043-902</v>
      </c>
      <c r="C138" s="121">
        <v>5017692</v>
      </c>
    </row>
    <row r="139" spans="1:3" ht="15">
      <c r="A139" s="2266" t="s">
        <v>4080</v>
      </c>
      <c r="B139" s="1694" t="str">
        <f>CONCATENATE(LEFT(RIGHT(CONCATENATE("000",HH_Debt1516!A139),6),3),"-",(RIGHT(RIGHT(CONCATENATE("000",HH_Debt1516!A139),6),3)))</f>
        <v>043-903</v>
      </c>
      <c r="C139" s="121">
        <v>3685943</v>
      </c>
    </row>
    <row r="140" spans="1:3" ht="15">
      <c r="A140" s="2266" t="s">
        <v>4081</v>
      </c>
      <c r="B140" s="1694" t="str">
        <f>CONCATENATE(LEFT(RIGHT(CONCATENATE("000",HH_Debt1516!A140),6),3),"-",(RIGHT(RIGHT(CONCATENATE("000",HH_Debt1516!A140),6),3)))</f>
        <v>043-904</v>
      </c>
      <c r="C140" s="121">
        <v>1280350</v>
      </c>
    </row>
    <row r="141" spans="1:3" ht="15">
      <c r="A141" s="2266" t="s">
        <v>4082</v>
      </c>
      <c r="B141" s="1694" t="str">
        <f>CONCATENATE(LEFT(RIGHT(CONCATENATE("000",HH_Debt1516!A141),6),3),"-",(RIGHT(RIGHT(CONCATENATE("000",HH_Debt1516!A141),6),3)))</f>
        <v>043-905</v>
      </c>
      <c r="C141" s="121">
        <v>111303548</v>
      </c>
    </row>
    <row r="142" spans="1:3" ht="15">
      <c r="A142" s="2266" t="s">
        <v>4083</v>
      </c>
      <c r="B142" s="1694" t="str">
        <f>CONCATENATE(LEFT(RIGHT(CONCATENATE("000",HH_Debt1516!A142),6),3),"-",(RIGHT(RIGHT(CONCATENATE("000",HH_Debt1516!A142),6),3)))</f>
        <v>043-907</v>
      </c>
      <c r="C142" s="121">
        <v>48092884</v>
      </c>
    </row>
    <row r="143" spans="1:3" ht="15">
      <c r="A143" s="2266" t="s">
        <v>4084</v>
      </c>
      <c r="B143" s="1694" t="str">
        <f>CONCATENATE(LEFT(RIGHT(CONCATENATE("000",HH_Debt1516!A143),6),3),"-",(RIGHT(RIGHT(CONCATENATE("000",HH_Debt1516!A143),6),3)))</f>
        <v>043-908</v>
      </c>
      <c r="C143" s="121">
        <v>2822121</v>
      </c>
    </row>
    <row r="144" spans="1:3" ht="15">
      <c r="A144" s="2266" t="s">
        <v>6521</v>
      </c>
      <c r="B144" s="1694" t="str">
        <f>CONCATENATE(LEFT(RIGHT(CONCATENATE("000",HH_Debt1516!A144),6),3),"-",(RIGHT(RIGHT(CONCATENATE("000",HH_Debt1516!A144),6),3)))</f>
        <v>043-910</v>
      </c>
      <c r="C144" s="121">
        <v>106066812</v>
      </c>
    </row>
    <row r="145" spans="1:3" ht="15">
      <c r="A145" s="2266" t="s">
        <v>4085</v>
      </c>
      <c r="B145" s="1694" t="str">
        <f>CONCATENATE(LEFT(RIGHT(CONCATENATE("000",HH_Debt1516!A145),6),3),"-",(RIGHT(RIGHT(CONCATENATE("000",HH_Debt1516!A145),6),3)))</f>
        <v>043-911</v>
      </c>
      <c r="C145" s="121">
        <v>7927927</v>
      </c>
    </row>
    <row r="146" spans="1:3" ht="15">
      <c r="A146" s="2266" t="s">
        <v>4086</v>
      </c>
      <c r="B146" s="1694" t="str">
        <f>CONCATENATE(LEFT(RIGHT(CONCATENATE("000",HH_Debt1516!A146),6),3),"-",(RIGHT(RIGHT(CONCATENATE("000",HH_Debt1516!A146),6),3)))</f>
        <v>043-912</v>
      </c>
      <c r="C146" s="121">
        <v>18074094</v>
      </c>
    </row>
    <row r="147" spans="1:3" ht="15">
      <c r="A147" s="2266" t="s">
        <v>4087</v>
      </c>
      <c r="B147" s="1694" t="str">
        <f>CONCATENATE(LEFT(RIGHT(CONCATENATE("000",HH_Debt1516!A147),6),3),"-",(RIGHT(RIGHT(CONCATENATE("000",HH_Debt1516!A147),6),3)))</f>
        <v>043-914</v>
      </c>
      <c r="C147" s="121">
        <v>21738251</v>
      </c>
    </row>
    <row r="148" spans="1:3" ht="15">
      <c r="A148" s="2266" t="s">
        <v>4088</v>
      </c>
      <c r="B148" s="1694" t="str">
        <f>CONCATENATE(LEFT(RIGHT(CONCATENATE("000",HH_Debt1516!A148),6),3),"-",(RIGHT(RIGHT(CONCATENATE("000",HH_Debt1516!A148),6),3)))</f>
        <v>043-917</v>
      </c>
      <c r="C148" s="121">
        <v>924450</v>
      </c>
    </row>
    <row r="149" spans="1:3" ht="15">
      <c r="A149" s="2266" t="s">
        <v>4089</v>
      </c>
      <c r="B149" s="1694" t="str">
        <f>CONCATENATE(LEFT(RIGHT(CONCATENATE("000",HH_Debt1516!A149),6),3),"-",(RIGHT(RIGHT(CONCATENATE("000",HH_Debt1516!A149),6),3)))</f>
        <v>043-918</v>
      </c>
      <c r="C149" s="121">
        <v>2254974</v>
      </c>
    </row>
    <row r="150" spans="1:3" ht="15">
      <c r="A150" s="2266" t="s">
        <v>6522</v>
      </c>
      <c r="B150" s="1694" t="str">
        <f>CONCATENATE(LEFT(RIGHT(CONCATENATE("000",HH_Debt1516!A150),6),3),"-",(RIGHT(RIGHT(CONCATENATE("000",HH_Debt1516!A150),6),3)))</f>
        <v>043-919</v>
      </c>
      <c r="C150" s="121">
        <v>9810872</v>
      </c>
    </row>
    <row r="151" spans="1:3" ht="15">
      <c r="A151" s="2266" t="s">
        <v>4090</v>
      </c>
      <c r="B151" s="1694" t="str">
        <f>CONCATENATE(LEFT(RIGHT(CONCATENATE("000",HH_Debt1516!A151),6),3),"-",(RIGHT(RIGHT(CONCATENATE("000",HH_Debt1516!A151),6),3)))</f>
        <v>045-902</v>
      </c>
      <c r="C151" s="121">
        <v>1204418</v>
      </c>
    </row>
    <row r="152" spans="1:3" ht="15">
      <c r="A152" s="2266" t="s">
        <v>6523</v>
      </c>
      <c r="B152" s="1694" t="str">
        <f>CONCATENATE(LEFT(RIGHT(CONCATENATE("000",HH_Debt1516!A152),6),3),"-",(RIGHT(RIGHT(CONCATENATE("000",HH_Debt1516!A152),6),3)))</f>
        <v>045-903</v>
      </c>
      <c r="C152" s="121">
        <v>933587</v>
      </c>
    </row>
    <row r="153" spans="1:3" ht="15">
      <c r="A153" s="2266" t="s">
        <v>6524</v>
      </c>
      <c r="B153" s="1694" t="str">
        <f>CONCATENATE(LEFT(RIGHT(CONCATENATE("000",HH_Debt1516!A153),6),3),"-",(RIGHT(RIGHT(CONCATENATE("000",HH_Debt1516!A153),6),3)))</f>
        <v>045-905</v>
      </c>
      <c r="C153" s="121">
        <v>616943</v>
      </c>
    </row>
    <row r="154" spans="1:3" ht="15">
      <c r="A154" s="2266" t="s">
        <v>4091</v>
      </c>
      <c r="B154" s="1694" t="str">
        <f>CONCATENATE(LEFT(RIGHT(CONCATENATE("000",HH_Debt1516!A154),6),3),"-",(RIGHT(RIGHT(CONCATENATE("000",HH_Debt1516!A154),6),3)))</f>
        <v>046-901</v>
      </c>
      <c r="C154" s="121">
        <v>11317035</v>
      </c>
    </row>
    <row r="155" spans="1:3" ht="15">
      <c r="A155" s="2266" t="s">
        <v>6525</v>
      </c>
      <c r="B155" s="1694" t="str">
        <f>CONCATENATE(LEFT(RIGHT(CONCATENATE("000",HH_Debt1516!A155),6),3),"-",(RIGHT(RIGHT(CONCATENATE("000",HH_Debt1516!A155),6),3)))</f>
        <v>046-902</v>
      </c>
      <c r="C155" s="121">
        <v>45354212</v>
      </c>
    </row>
    <row r="156" spans="1:3" ht="15">
      <c r="A156" s="2266" t="s">
        <v>4092</v>
      </c>
      <c r="B156" s="1694" t="str">
        <f>CONCATENATE(LEFT(RIGHT(CONCATENATE("000",HH_Debt1516!A156),6),3),"-",(RIGHT(RIGHT(CONCATENATE("000",HH_Debt1516!A156),6),3)))</f>
        <v>047-901</v>
      </c>
      <c r="C156" s="121">
        <v>758712</v>
      </c>
    </row>
    <row r="157" spans="1:3" ht="15">
      <c r="A157" s="2266" t="s">
        <v>4093</v>
      </c>
      <c r="B157" s="1694" t="str">
        <f>CONCATENATE(LEFT(RIGHT(CONCATENATE("000",HH_Debt1516!A157),6),3),"-",(RIGHT(RIGHT(CONCATENATE("000",HH_Debt1516!A157),6),3)))</f>
        <v>047-902</v>
      </c>
      <c r="C157" s="121">
        <v>423598</v>
      </c>
    </row>
    <row r="158" spans="1:3" ht="15">
      <c r="A158" s="2266" t="s">
        <v>4094</v>
      </c>
      <c r="B158" s="1694" t="str">
        <f>CONCATENATE(LEFT(RIGHT(CONCATENATE("000",HH_Debt1516!A158),6),3),"-",(RIGHT(RIGHT(CONCATENATE("000",HH_Debt1516!A158),6),3)))</f>
        <v>047-903</v>
      </c>
      <c r="C158" s="121">
        <v>83238</v>
      </c>
    </row>
    <row r="159" spans="1:3" ht="15">
      <c r="A159" s="2266" t="s">
        <v>4095</v>
      </c>
      <c r="B159" s="1694" t="str">
        <f>CONCATENATE(LEFT(RIGHT(CONCATENATE("000",HH_Debt1516!A159),6),3),"-",(RIGHT(RIGHT(CONCATENATE("000",HH_Debt1516!A159),6),3)))</f>
        <v>047-905</v>
      </c>
      <c r="C159" s="121">
        <v>96775</v>
      </c>
    </row>
    <row r="160" spans="1:3" ht="15">
      <c r="A160" s="2266" t="s">
        <v>6526</v>
      </c>
      <c r="B160" s="1694" t="str">
        <f>CONCATENATE(LEFT(RIGHT(CONCATENATE("000",HH_Debt1516!A160),6),3),"-",(RIGHT(RIGHT(CONCATENATE("000",HH_Debt1516!A160),6),3)))</f>
        <v>048-903</v>
      </c>
      <c r="C160" s="121">
        <v>159850</v>
      </c>
    </row>
    <row r="161" spans="1:3" ht="15">
      <c r="A161" s="2266" t="s">
        <v>4096</v>
      </c>
      <c r="B161" s="1694" t="str">
        <f>CONCATENATE(LEFT(RIGHT(CONCATENATE("000",HH_Debt1516!A161),6),3),"-",(RIGHT(RIGHT(CONCATENATE("000",HH_Debt1516!A161),6),3)))</f>
        <v>049-901</v>
      </c>
      <c r="C161" s="121">
        <v>2283065</v>
      </c>
    </row>
    <row r="162" spans="1:3" ht="15">
      <c r="A162" s="2266" t="s">
        <v>6527</v>
      </c>
      <c r="B162" s="1694" t="str">
        <f>CONCATENATE(LEFT(RIGHT(CONCATENATE("000",HH_Debt1516!A162),6),3),"-",(RIGHT(RIGHT(CONCATENATE("000",HH_Debt1516!A162),6),3)))</f>
        <v>049-902</v>
      </c>
      <c r="C162" s="121">
        <v>1259743</v>
      </c>
    </row>
    <row r="163" spans="1:3" ht="15">
      <c r="A163" s="2266" t="s">
        <v>4097</v>
      </c>
      <c r="B163" s="1694" t="str">
        <f>CONCATENATE(LEFT(RIGHT(CONCATENATE("000",HH_Debt1516!A163),6),3),"-",(RIGHT(RIGHT(CONCATENATE("000",HH_Debt1516!A163),6),3)))</f>
        <v>049-903</v>
      </c>
      <c r="C163" s="121">
        <v>864932</v>
      </c>
    </row>
    <row r="164" spans="1:3" ht="15">
      <c r="A164" s="2266" t="s">
        <v>6528</v>
      </c>
      <c r="B164" s="1694" t="str">
        <f>CONCATENATE(LEFT(RIGHT(CONCATENATE("000",HH_Debt1516!A164),6),3),"-",(RIGHT(RIGHT(CONCATENATE("000",HH_Debt1516!A164),6),3)))</f>
        <v>049-905</v>
      </c>
      <c r="C164" s="121">
        <v>1235861</v>
      </c>
    </row>
    <row r="165" spans="1:3" ht="15">
      <c r="A165" s="2266" t="s">
        <v>4098</v>
      </c>
      <c r="B165" s="1694" t="str">
        <f>CONCATENATE(LEFT(RIGHT(CONCATENATE("000",HH_Debt1516!A165),6),3),"-",(RIGHT(RIGHT(CONCATENATE("000",HH_Debt1516!A165),6),3)))</f>
        <v>049-906</v>
      </c>
      <c r="C165" s="121">
        <v>206375</v>
      </c>
    </row>
    <row r="166" spans="1:3" ht="15">
      <c r="A166" s="2266" t="s">
        <v>6529</v>
      </c>
      <c r="B166" s="1694" t="str">
        <f>CONCATENATE(LEFT(RIGHT(CONCATENATE("000",HH_Debt1516!A166),6),3),"-",(RIGHT(RIGHT(CONCATENATE("000",HH_Debt1516!A166),6),3)))</f>
        <v>049-907</v>
      </c>
      <c r="C166" s="121">
        <v>124900</v>
      </c>
    </row>
    <row r="167" spans="1:3" ht="15">
      <c r="A167" s="2266" t="s">
        <v>6530</v>
      </c>
      <c r="B167" s="1694" t="str">
        <f>CONCATENATE(LEFT(RIGHT(CONCATENATE("000",HH_Debt1516!A167),6),3),"-",(RIGHT(RIGHT(CONCATENATE("000",HH_Debt1516!A167),6),3)))</f>
        <v>050-902</v>
      </c>
      <c r="C167" s="121">
        <v>1290924</v>
      </c>
    </row>
    <row r="168" spans="1:3" ht="15">
      <c r="A168" s="2266" t="s">
        <v>4099</v>
      </c>
      <c r="B168" s="1694" t="str">
        <f>CONCATENATE(LEFT(RIGHT(CONCATENATE("000",HH_Debt1516!A168),6),3),"-",(RIGHT(RIGHT(CONCATENATE("000",HH_Debt1516!A168),6),3)))</f>
        <v>050-904</v>
      </c>
      <c r="C168" s="121">
        <v>91360</v>
      </c>
    </row>
    <row r="169" spans="1:3" ht="15">
      <c r="A169" s="2266" t="s">
        <v>6531</v>
      </c>
      <c r="B169" s="1694" t="str">
        <f>CONCATENATE(LEFT(RIGHT(CONCATENATE("000",HH_Debt1516!A169),6),3),"-",(RIGHT(RIGHT(CONCATENATE("000",HH_Debt1516!A169),6),3)))</f>
        <v>050-909</v>
      </c>
      <c r="C169" s="121">
        <v>50438</v>
      </c>
    </row>
    <row r="170" spans="1:3" ht="15">
      <c r="A170" s="2266" t="s">
        <v>4100</v>
      </c>
      <c r="B170" s="1694" t="str">
        <f>CONCATENATE(LEFT(RIGHT(CONCATENATE("000",HH_Debt1516!A170),6),3),"-",(RIGHT(RIGHT(CONCATENATE("000",HH_Debt1516!A170),6),3)))</f>
        <v>050-910</v>
      </c>
      <c r="C170" s="121">
        <v>4643150</v>
      </c>
    </row>
    <row r="171" spans="1:3" ht="15">
      <c r="A171" s="2266" t="s">
        <v>6532</v>
      </c>
      <c r="B171" s="1694" t="e">
        <f>CONCATENATE(LEFT(RIGHT(CONCATENATE("000",HH_Debt1516!#REF!),6),3),"-",(RIGHT(RIGHT(CONCATENATE("000",HH_Debt1516!#REF!),6),3)))</f>
        <v>#REF!</v>
      </c>
      <c r="C171" s="121">
        <v>953600</v>
      </c>
    </row>
    <row r="172" spans="1:3" ht="15">
      <c r="A172" s="2266" t="s">
        <v>6535</v>
      </c>
      <c r="B172" s="1694" t="str">
        <f>CONCATENATE(LEFT(RIGHT(CONCATENATE("000",HH_Debt1516!A173),6),3),"-",(RIGHT(RIGHT(CONCATENATE("000",HH_Debt1516!A173),6),3)))</f>
        <v>057-903</v>
      </c>
      <c r="C172" s="121">
        <v>40356787</v>
      </c>
    </row>
    <row r="173" spans="1:3" ht="15">
      <c r="A173" s="2266" t="s">
        <v>6536</v>
      </c>
      <c r="B173" s="1694" t="str">
        <f>CONCATENATE(LEFT(RIGHT(CONCATENATE("000",HH_Debt1516!A174),6),3),"-",(RIGHT(RIGHT(CONCATENATE("000",HH_Debt1516!A174),6),3)))</f>
        <v>057-904</v>
      </c>
      <c r="C173" s="121">
        <v>12801846</v>
      </c>
    </row>
    <row r="174" spans="1:3" ht="15">
      <c r="A174" s="2266" t="s">
        <v>6537</v>
      </c>
      <c r="B174" s="1694" t="str">
        <f>CONCATENATE(LEFT(RIGHT(CONCATENATE("000",HH_Debt1516!A175),6),3),"-",(RIGHT(RIGHT(CONCATENATE("000",HH_Debt1516!A175),6),3)))</f>
        <v>057-905</v>
      </c>
      <c r="C174" s="121">
        <v>160471573</v>
      </c>
    </row>
    <row r="175" spans="1:3" ht="15">
      <c r="A175" s="2266" t="s">
        <v>4101</v>
      </c>
      <c r="B175" s="1694" t="str">
        <f>CONCATENATE(LEFT(RIGHT(CONCATENATE("000",HH_Debt1516!A176),6),3),"-",(RIGHT(RIGHT(CONCATENATE("000",HH_Debt1516!A176),6),3)))</f>
        <v>057-906</v>
      </c>
      <c r="C175" s="121">
        <v>12543198</v>
      </c>
    </row>
    <row r="176" spans="1:3" ht="15">
      <c r="A176" s="2266" t="s">
        <v>6538</v>
      </c>
      <c r="B176" s="1694" t="str">
        <f>CONCATENATE(LEFT(RIGHT(CONCATENATE("000",HH_Debt1516!A177),6),3),"-",(RIGHT(RIGHT(CONCATENATE("000",HH_Debt1516!A177),6),3)))</f>
        <v>057-907</v>
      </c>
      <c r="C176" s="121">
        <v>19127194</v>
      </c>
    </row>
    <row r="177" spans="1:3" ht="15">
      <c r="A177" s="2266" t="s">
        <v>4102</v>
      </c>
      <c r="B177" s="1694" t="str">
        <f>CONCATENATE(LEFT(RIGHT(CONCATENATE("000",HH_Debt1516!A178),6),3),"-",(RIGHT(RIGHT(CONCATENATE("000",HH_Debt1516!A178),6),3)))</f>
        <v>057-909</v>
      </c>
      <c r="C177" s="121">
        <v>56603590</v>
      </c>
    </row>
    <row r="178" spans="1:3" ht="15">
      <c r="A178" s="2266" t="s">
        <v>4103</v>
      </c>
      <c r="B178" s="1694" t="str">
        <f>CONCATENATE(LEFT(RIGHT(CONCATENATE("000",HH_Debt1516!A179),6),3),"-",(RIGHT(RIGHT(CONCATENATE("000",HH_Debt1516!A179),6),3)))</f>
        <v>057-910</v>
      </c>
      <c r="C178" s="121">
        <v>34640631</v>
      </c>
    </row>
    <row r="179" spans="1:3" ht="15">
      <c r="A179" s="2266" t="s">
        <v>6539</v>
      </c>
      <c r="B179" s="1694" t="str">
        <f>CONCATENATE(LEFT(RIGHT(CONCATENATE("000",HH_Debt1516!A180),6),3),"-",(RIGHT(RIGHT(CONCATENATE("000",HH_Debt1516!A180),6),3)))</f>
        <v>057-911</v>
      </c>
      <c r="C179" s="121">
        <v>10361061</v>
      </c>
    </row>
    <row r="180" spans="1:3" ht="15">
      <c r="A180" s="2266" t="s">
        <v>4104</v>
      </c>
      <c r="B180" s="1694" t="str">
        <f>CONCATENATE(LEFT(RIGHT(CONCATENATE("000",HH_Debt1516!A181),6),3),"-",(RIGHT(RIGHT(CONCATENATE("000",HH_Debt1516!A181),6),3)))</f>
        <v>057-912</v>
      </c>
      <c r="C180" s="121">
        <v>44140258</v>
      </c>
    </row>
    <row r="181" spans="1:3" ht="15">
      <c r="A181" s="2266" t="s">
        <v>6540</v>
      </c>
      <c r="B181" s="1694" t="str">
        <f>CONCATENATE(LEFT(RIGHT(CONCATENATE("000",HH_Debt1516!A182),6),3),"-",(RIGHT(RIGHT(CONCATENATE("000",HH_Debt1516!A182),6),3)))</f>
        <v>057-913</v>
      </c>
      <c r="C181" s="121">
        <v>10407763</v>
      </c>
    </row>
    <row r="182" spans="1:3" ht="15">
      <c r="A182" s="2266" t="s">
        <v>4105</v>
      </c>
      <c r="B182" s="1694" t="str">
        <f>CONCATENATE(LEFT(RIGHT(CONCATENATE("000",HH_Debt1516!A183),6),3),"-",(RIGHT(RIGHT(CONCATENATE("000",HH_Debt1516!A183),6),3)))</f>
        <v>057-914</v>
      </c>
      <c r="C182" s="121">
        <v>42553983</v>
      </c>
    </row>
    <row r="183" spans="1:3" ht="15">
      <c r="A183" s="2266" t="s">
        <v>6541</v>
      </c>
      <c r="B183" s="1694" t="str">
        <f>CONCATENATE(LEFT(RIGHT(CONCATENATE("000",HH_Debt1516!A184),6),3),"-",(RIGHT(RIGHT(CONCATENATE("000",HH_Debt1516!A184),6),3)))</f>
        <v>057-916</v>
      </c>
      <c r="C183" s="121">
        <v>38385527</v>
      </c>
    </row>
    <row r="184" spans="1:3" ht="15">
      <c r="A184" s="2266" t="s">
        <v>6542</v>
      </c>
      <c r="B184" s="1694" t="str">
        <f>CONCATENATE(LEFT(RIGHT(CONCATENATE("000",HH_Debt1516!A185),6),3),"-",(RIGHT(RIGHT(CONCATENATE("000",HH_Debt1516!A185),6),3)))</f>
        <v>057-919</v>
      </c>
      <c r="C184" s="121">
        <v>3690594</v>
      </c>
    </row>
    <row r="185" spans="1:3" ht="15">
      <c r="A185" s="2266" t="s">
        <v>6543</v>
      </c>
      <c r="B185" s="1694" t="str">
        <f>CONCATENATE(LEFT(RIGHT(CONCATENATE("000",HH_Debt1516!A186),6),3),"-",(RIGHT(RIGHT(CONCATENATE("000",HH_Debt1516!A186),6),3)))</f>
        <v>057-922</v>
      </c>
      <c r="C185" s="121">
        <v>23017533</v>
      </c>
    </row>
    <row r="186" spans="1:3" ht="15">
      <c r="A186" s="2266" t="s">
        <v>6544</v>
      </c>
      <c r="B186" s="1694" t="str">
        <f>CONCATENATE(LEFT(RIGHT(CONCATENATE("000",HH_Debt1516!A187),6),3),"-",(RIGHT(RIGHT(CONCATENATE("000",HH_Debt1516!A187),6),3)))</f>
        <v>058-905</v>
      </c>
      <c r="C186" s="121">
        <v>1021350</v>
      </c>
    </row>
    <row r="187" spans="1:3" ht="15">
      <c r="A187" s="2266" t="s">
        <v>6545</v>
      </c>
      <c r="B187" s="1694" t="str">
        <f>CONCATENATE(LEFT(RIGHT(CONCATENATE("000",HH_Debt1516!A188),6),3),"-",(RIGHT(RIGHT(CONCATENATE("000",HH_Debt1516!A188),6),3)))</f>
        <v>058-909</v>
      </c>
      <c r="C187" s="121">
        <v>772452</v>
      </c>
    </row>
    <row r="188" spans="1:3" ht="15">
      <c r="A188" s="2266" t="s">
        <v>4106</v>
      </c>
      <c r="B188" s="1694" t="str">
        <f>CONCATENATE(LEFT(RIGHT(CONCATENATE("000",HH_Debt1516!A189),6),3),"-",(RIGHT(RIGHT(CONCATENATE("000",HH_Debt1516!A189),6),3)))</f>
        <v>060-902</v>
      </c>
      <c r="C188" s="121">
        <v>768296</v>
      </c>
    </row>
    <row r="189" spans="1:3" ht="15">
      <c r="A189" s="2266" t="s">
        <v>4107</v>
      </c>
      <c r="B189" s="1694" t="str">
        <f>CONCATENATE(LEFT(RIGHT(CONCATENATE("000",HH_Debt1516!A190),6),3),"-",(RIGHT(RIGHT(CONCATENATE("000",HH_Debt1516!A190),6),3)))</f>
        <v>060-914</v>
      </c>
      <c r="C189" s="121">
        <v>103000</v>
      </c>
    </row>
    <row r="190" spans="1:3" ht="15">
      <c r="A190" s="2266" t="s">
        <v>6546</v>
      </c>
      <c r="B190" s="1694" t="str">
        <f>CONCATENATE(LEFT(RIGHT(CONCATENATE("000",HH_Debt1516!A191),6),3),"-",(RIGHT(RIGHT(CONCATENATE("000",HH_Debt1516!A191),6),3)))</f>
        <v>061-901</v>
      </c>
      <c r="C190" s="121">
        <v>62614904</v>
      </c>
    </row>
    <row r="191" spans="1:3" ht="15">
      <c r="A191" s="2266" t="s">
        <v>4108</v>
      </c>
      <c r="B191" s="1694" t="str">
        <f>CONCATENATE(LEFT(RIGHT(CONCATENATE("000",HH_Debt1516!A192),6),3),"-",(RIGHT(RIGHT(CONCATENATE("000",HH_Debt1516!A192),6),3)))</f>
        <v>061-902</v>
      </c>
      <c r="C191" s="121">
        <v>91724317</v>
      </c>
    </row>
    <row r="192" spans="1:3" ht="15">
      <c r="A192" s="2266" t="s">
        <v>5230</v>
      </c>
      <c r="B192" s="1694" t="str">
        <f>CONCATENATE(LEFT(RIGHT(CONCATENATE("000",HH_Debt1516!A193),6),3),"-",(RIGHT(RIGHT(CONCATENATE("000",HH_Debt1516!A193),6),3)))</f>
        <v>061-903</v>
      </c>
      <c r="C192" s="121">
        <v>1347370</v>
      </c>
    </row>
    <row r="193" spans="1:3" ht="15">
      <c r="A193" s="2266" t="s">
        <v>4109</v>
      </c>
      <c r="B193" s="1694" t="str">
        <f>CONCATENATE(LEFT(RIGHT(CONCATENATE("000",HH_Debt1516!A194),6),3),"-",(RIGHT(RIGHT(CONCATENATE("000",HH_Debt1516!A194),6),3)))</f>
        <v>061-905</v>
      </c>
      <c r="C193" s="121">
        <v>2908323</v>
      </c>
    </row>
    <row r="194" spans="1:3" ht="15">
      <c r="A194" s="2266" t="s">
        <v>4110</v>
      </c>
      <c r="B194" s="1694" t="str">
        <f>CONCATENATE(LEFT(RIGHT(CONCATENATE("000",HH_Debt1516!A195),6),3),"-",(RIGHT(RIGHT(CONCATENATE("000",HH_Debt1516!A195),6),3)))</f>
        <v>061-906</v>
      </c>
      <c r="C194" s="121">
        <v>2377331</v>
      </c>
    </row>
    <row r="195" spans="1:3" ht="15">
      <c r="A195" s="2266" t="s">
        <v>4111</v>
      </c>
      <c r="B195" s="1694" t="str">
        <f>CONCATENATE(LEFT(RIGHT(CONCATENATE("000",HH_Debt1516!A196),6),3),"-",(RIGHT(RIGHT(CONCATENATE("000",HH_Debt1516!A196),6),3)))</f>
        <v>061-907</v>
      </c>
      <c r="C195" s="121">
        <v>3659402</v>
      </c>
    </row>
    <row r="196" spans="1:3" ht="15">
      <c r="A196" s="2266" t="s">
        <v>4112</v>
      </c>
      <c r="B196" s="1694" t="str">
        <f>CONCATENATE(LEFT(RIGHT(CONCATENATE("000",HH_Debt1516!A197),6),3),"-",(RIGHT(RIGHT(CONCATENATE("000",HH_Debt1516!A197),6),3)))</f>
        <v>061-908</v>
      </c>
      <c r="C196" s="121">
        <v>2874764</v>
      </c>
    </row>
    <row r="197" spans="1:3" ht="15">
      <c r="A197" s="2266" t="s">
        <v>6547</v>
      </c>
      <c r="B197" s="1694" t="str">
        <f>CONCATENATE(LEFT(RIGHT(CONCATENATE("000",HH_Debt1516!A198),6),3),"-",(RIGHT(RIGHT(CONCATENATE("000",HH_Debt1516!A198),6),3)))</f>
        <v>061-910</v>
      </c>
      <c r="C197" s="121">
        <v>6349501</v>
      </c>
    </row>
    <row r="198" spans="1:3" ht="15">
      <c r="A198" s="2266" t="s">
        <v>4113</v>
      </c>
      <c r="B198" s="1694" t="str">
        <f>CONCATENATE(LEFT(RIGHT(CONCATENATE("000",HH_Debt1516!A199),6),3),"-",(RIGHT(RIGHT(CONCATENATE("000",HH_Debt1516!A199),6),3)))</f>
        <v>061-911</v>
      </c>
      <c r="C198" s="121">
        <v>54860786</v>
      </c>
    </row>
    <row r="199" spans="1:3" ht="15">
      <c r="A199" s="2266" t="s">
        <v>4114</v>
      </c>
      <c r="B199" s="1694" t="str">
        <f>CONCATENATE(LEFT(RIGHT(CONCATENATE("000",HH_Debt1516!A200),6),3),"-",(RIGHT(RIGHT(CONCATENATE("000",HH_Debt1516!A200),6),3)))</f>
        <v>061-912</v>
      </c>
      <c r="C199" s="121">
        <v>7191687</v>
      </c>
    </row>
    <row r="200" spans="1:3" ht="15">
      <c r="A200" s="2266" t="s">
        <v>4115</v>
      </c>
      <c r="B200" s="1694" t="str">
        <f>CONCATENATE(LEFT(RIGHT(CONCATENATE("000",HH_Debt1516!A201),6),3),"-",(RIGHT(RIGHT(CONCATENATE("000",HH_Debt1516!A201),6),3)))</f>
        <v>061-914</v>
      </c>
      <c r="C200" s="121">
        <v>10347170</v>
      </c>
    </row>
    <row r="201" spans="1:3" ht="15">
      <c r="A201" s="2266" t="s">
        <v>4116</v>
      </c>
      <c r="B201" s="1694" t="str">
        <f>CONCATENATE(LEFT(RIGHT(CONCATENATE("000",HH_Debt1516!A202),6),3),"-",(RIGHT(RIGHT(CONCATENATE("000",HH_Debt1516!A202),6),3)))</f>
        <v>062-901</v>
      </c>
      <c r="C201" s="121">
        <v>6629525</v>
      </c>
    </row>
    <row r="202" spans="1:3" ht="15">
      <c r="A202" s="2266" t="s">
        <v>6548</v>
      </c>
      <c r="B202" s="1694" t="str">
        <f>CONCATENATE(LEFT(RIGHT(CONCATENATE("000",HH_Debt1516!A203),6),3),"-",(RIGHT(RIGHT(CONCATENATE("000",HH_Debt1516!A203),6),3)))</f>
        <v>062-902</v>
      </c>
      <c r="C202" s="121">
        <v>267080</v>
      </c>
    </row>
    <row r="203" spans="1:3" ht="15">
      <c r="A203" s="2266" t="s">
        <v>4117</v>
      </c>
      <c r="B203" s="1694" t="str">
        <f>CONCATENATE(LEFT(RIGHT(CONCATENATE("000",HH_Debt1516!A204),6),3),"-",(RIGHT(RIGHT(CONCATENATE("000",HH_Debt1516!A204),6),3)))</f>
        <v>062-903</v>
      </c>
      <c r="C203" s="121">
        <v>4639087</v>
      </c>
    </row>
    <row r="204" spans="1:3" ht="15">
      <c r="A204" s="2266" t="s">
        <v>6549</v>
      </c>
      <c r="B204" s="1694" t="str">
        <f>CONCATENATE(LEFT(RIGHT(CONCATENATE("000",HH_Debt1516!A205),6),3),"-",(RIGHT(RIGHT(CONCATENATE("000",HH_Debt1516!A205),6),3)))</f>
        <v>062-904</v>
      </c>
      <c r="C204" s="121">
        <v>377562</v>
      </c>
    </row>
    <row r="205" spans="1:3" ht="15">
      <c r="A205" s="2266" t="s">
        <v>6550</v>
      </c>
      <c r="B205" s="1694" t="str">
        <f>CONCATENATE(LEFT(RIGHT(CONCATENATE("000",HH_Debt1516!A206),6),3),"-",(RIGHT(RIGHT(CONCATENATE("000",HH_Debt1516!A206),6),3)))</f>
        <v>063-903</v>
      </c>
      <c r="C205" s="121">
        <v>567750</v>
      </c>
    </row>
    <row r="206" spans="1:3" ht="15">
      <c r="A206" s="2266" t="s">
        <v>4118</v>
      </c>
      <c r="B206" s="1694" t="str">
        <f>CONCATENATE(LEFT(RIGHT(CONCATENATE("000",HH_Debt1516!A207),6),3),"-",(RIGHT(RIGHT(CONCATENATE("000",HH_Debt1516!A207),6),3)))</f>
        <v>064-903</v>
      </c>
      <c r="C206" s="121">
        <v>3196062</v>
      </c>
    </row>
    <row r="207" spans="1:3" ht="15">
      <c r="A207" s="2266" t="s">
        <v>6551</v>
      </c>
      <c r="B207" s="1694" t="str">
        <f>CONCATENATE(LEFT(RIGHT(CONCATENATE("000",HH_Debt1516!A209),6),3),"-",(RIGHT(RIGHT(CONCATENATE("000",HH_Debt1516!A209),6),3)))</f>
        <v>066-901</v>
      </c>
      <c r="C207" s="121">
        <v>537082</v>
      </c>
    </row>
    <row r="208" spans="1:3" ht="15">
      <c r="A208" s="2266" t="s">
        <v>4120</v>
      </c>
      <c r="B208" s="1694" t="str">
        <f>CONCATENATE(LEFT(RIGHT(CONCATENATE("000",HH_Debt1516!A210),6),3),"-",(RIGHT(RIGHT(CONCATENATE("000",HH_Debt1516!A210),6),3)))</f>
        <v>066-902</v>
      </c>
      <c r="C208" s="121">
        <v>1662005</v>
      </c>
    </row>
    <row r="209" spans="1:3" ht="15">
      <c r="A209" s="2266" t="s">
        <v>6552</v>
      </c>
      <c r="B209" s="1694" t="str">
        <f>CONCATENATE(LEFT(RIGHT(CONCATENATE("000",HH_Debt1516!A211),6),3),"-",(RIGHT(RIGHT(CONCATENATE("000",HH_Debt1516!A211),6),3)))</f>
        <v>066-903</v>
      </c>
      <c r="C209" s="121">
        <v>1274050</v>
      </c>
    </row>
    <row r="210" spans="1:3" ht="15">
      <c r="A210" s="2266" t="s">
        <v>6553</v>
      </c>
      <c r="B210" s="1694" t="str">
        <f>CONCATENATE(LEFT(RIGHT(CONCATENATE("000",HH_Debt1516!A212),6),3),"-",(RIGHT(RIGHT(CONCATENATE("000",HH_Debt1516!A212),6),3)))</f>
        <v>067-904</v>
      </c>
      <c r="C210" s="121">
        <v>333000</v>
      </c>
    </row>
    <row r="211" spans="1:3" ht="15">
      <c r="A211" s="2266" t="s">
        <v>6554</v>
      </c>
      <c r="B211" s="1694" t="str">
        <f>CONCATENATE(LEFT(RIGHT(CONCATENATE("000",HH_Debt1516!A213),6),3),"-",(RIGHT(RIGHT(CONCATENATE("000",HH_Debt1516!A213),6),3)))</f>
        <v>068-901</v>
      </c>
      <c r="C211" s="121">
        <v>14154629</v>
      </c>
    </row>
    <row r="212" spans="1:3" ht="15">
      <c r="A212" s="2266" t="s">
        <v>6555</v>
      </c>
      <c r="B212" s="1694" t="str">
        <f>CONCATENATE(LEFT(RIGHT(CONCATENATE("000",HH_Debt1516!A214),6),3),"-",(RIGHT(RIGHT(CONCATENATE("000",HH_Debt1516!A214),6),3)))</f>
        <v>069-901</v>
      </c>
      <c r="C212" s="121">
        <v>287000</v>
      </c>
    </row>
    <row r="213" spans="1:3" ht="15">
      <c r="A213" s="2266" t="s">
        <v>4121</v>
      </c>
      <c r="B213" s="1694" t="str">
        <f>CONCATENATE(LEFT(RIGHT(CONCATENATE("000",HH_Debt1516!A215),6),3),"-",(RIGHT(RIGHT(CONCATENATE("000",HH_Debt1516!A215),6),3)))</f>
        <v>070-901</v>
      </c>
      <c r="C213" s="121">
        <v>84000</v>
      </c>
    </row>
    <row r="214" spans="1:3" ht="15">
      <c r="A214" s="2266" t="s">
        <v>6556</v>
      </c>
      <c r="B214" s="1694" t="str">
        <f>CONCATENATE(LEFT(RIGHT(CONCATENATE("000",HH_Debt1516!A216),6),3),"-",(RIGHT(RIGHT(CONCATENATE("000",HH_Debt1516!A216),6),3)))</f>
        <v>070-903</v>
      </c>
      <c r="C214" s="121">
        <v>9341500</v>
      </c>
    </row>
    <row r="215" spans="1:3" ht="15">
      <c r="A215" s="2266" t="s">
        <v>4122</v>
      </c>
      <c r="B215" s="1694" t="str">
        <f>CONCATENATE(LEFT(RIGHT(CONCATENATE("000",HH_Debt1516!A217),6),3),"-",(RIGHT(RIGHT(CONCATENATE("000",HH_Debt1516!A217),6),3)))</f>
        <v>070-905</v>
      </c>
      <c r="C215" s="121">
        <v>2094167</v>
      </c>
    </row>
    <row r="216" spans="1:3" ht="15">
      <c r="A216" s="2266" t="s">
        <v>4123</v>
      </c>
      <c r="B216" s="1694" t="str">
        <f>CONCATENATE(LEFT(RIGHT(CONCATENATE("000",HH_Debt1516!A218),6),3),"-",(RIGHT(RIGHT(CONCATENATE("000",HH_Debt1516!A218),6),3)))</f>
        <v>070-907</v>
      </c>
      <c r="C216" s="121">
        <v>488888</v>
      </c>
    </row>
    <row r="217" spans="1:3" ht="15">
      <c r="A217" s="2266" t="s">
        <v>6557</v>
      </c>
      <c r="B217" s="1694" t="str">
        <f>CONCATENATE(LEFT(RIGHT(CONCATENATE("000",HH_Debt1516!A219),6),3),"-",(RIGHT(RIGHT(CONCATENATE("000",HH_Debt1516!A219),6),3)))</f>
        <v>070-908</v>
      </c>
      <c r="C217" s="121">
        <v>15471865</v>
      </c>
    </row>
    <row r="218" spans="1:3" ht="15">
      <c r="A218" s="2266" t="s">
        <v>4124</v>
      </c>
      <c r="B218" s="1694" t="str">
        <f>CONCATENATE(LEFT(RIGHT(CONCATENATE("000",HH_Debt1516!A220),6),3),"-",(RIGHT(RIGHT(CONCATENATE("000",HH_Debt1516!A220),6),3)))</f>
        <v>070-910</v>
      </c>
      <c r="C218" s="121">
        <v>1234180</v>
      </c>
    </row>
    <row r="219" spans="1:3" ht="15">
      <c r="A219" s="2266" t="s">
        <v>4125</v>
      </c>
      <c r="B219" s="1694" t="str">
        <f>CONCATENATE(LEFT(RIGHT(CONCATENATE("000",HH_Debt1516!A221),6),3),"-",(RIGHT(RIGHT(CONCATENATE("000",HH_Debt1516!A221),6),3)))</f>
        <v>070-911</v>
      </c>
      <c r="C219" s="121">
        <v>7750869</v>
      </c>
    </row>
    <row r="220" spans="1:3" ht="15">
      <c r="A220" s="2266" t="s">
        <v>4126</v>
      </c>
      <c r="B220" s="1694" t="str">
        <f>CONCATENATE(LEFT(RIGHT(CONCATENATE("000",HH_Debt1516!A222),6),3),"-",(RIGHT(RIGHT(CONCATENATE("000",HH_Debt1516!A222),6),3)))</f>
        <v>070-912</v>
      </c>
      <c r="C220" s="121">
        <v>13623946</v>
      </c>
    </row>
    <row r="221" spans="1:3" ht="15">
      <c r="A221" s="2266" t="s">
        <v>4127</v>
      </c>
      <c r="B221" s="1694" t="str">
        <f>CONCATENATE(LEFT(RIGHT(CONCATENATE("000",HH_Debt1516!A223),6),3),"-",(RIGHT(RIGHT(CONCATENATE("000",HH_Debt1516!A223),6),3)))</f>
        <v>070-915</v>
      </c>
      <c r="C221" s="121">
        <v>947401</v>
      </c>
    </row>
    <row r="222" spans="1:3" ht="15">
      <c r="A222" s="2266" t="s">
        <v>4128</v>
      </c>
      <c r="B222" s="1694" t="str">
        <f>CONCATENATE(LEFT(RIGHT(CONCATENATE("000",HH_Debt1516!A224),6),3),"-",(RIGHT(RIGHT(CONCATENATE("000",HH_Debt1516!A224),6),3)))</f>
        <v>071-901</v>
      </c>
      <c r="C222" s="121">
        <v>14518844</v>
      </c>
    </row>
    <row r="223" spans="1:3" ht="15">
      <c r="A223" s="2266" t="s">
        <v>4129</v>
      </c>
      <c r="B223" s="1694" t="str">
        <f>CONCATENATE(LEFT(RIGHT(CONCATENATE("000",HH_Debt1516!A225),6),3),"-",(RIGHT(RIGHT(CONCATENATE("000",HH_Debt1516!A225),6),3)))</f>
        <v>071-902</v>
      </c>
      <c r="C223" s="121">
        <v>32600576</v>
      </c>
    </row>
    <row r="224" spans="1:3" ht="15">
      <c r="A224" s="2266" t="s">
        <v>4130</v>
      </c>
      <c r="B224" s="1694" t="str">
        <f>CONCATENATE(LEFT(RIGHT(CONCATENATE("000",HH_Debt1516!A226),6),3),"-",(RIGHT(RIGHT(CONCATENATE("000",HH_Debt1516!A226),6),3)))</f>
        <v>071-903</v>
      </c>
      <c r="C224" s="121">
        <v>1572135</v>
      </c>
    </row>
    <row r="225" spans="1:3" ht="15">
      <c r="A225" s="2266" t="s">
        <v>5323</v>
      </c>
      <c r="B225" s="1694" t="str">
        <f>CONCATENATE(LEFT(RIGHT(CONCATENATE("000",HH_Debt1516!A227),6),3),"-",(RIGHT(RIGHT(CONCATENATE("000",HH_Debt1516!A227),6),3)))</f>
        <v>071-904</v>
      </c>
      <c r="C225" s="121">
        <v>1185550</v>
      </c>
    </row>
    <row r="226" spans="1:3" ht="15">
      <c r="A226" s="2266" t="s">
        <v>5329</v>
      </c>
      <c r="B226" s="1694" t="str">
        <f>CONCATENATE(LEFT(RIGHT(CONCATENATE("000",HH_Debt1516!A228),6),3),"-",(RIGHT(RIGHT(CONCATENATE("000",HH_Debt1516!A228),6),3)))</f>
        <v>071-905</v>
      </c>
      <c r="C226" s="121">
        <v>15743400</v>
      </c>
    </row>
    <row r="227" spans="1:3" ht="15">
      <c r="A227" s="2266" t="s">
        <v>4131</v>
      </c>
      <c r="B227" s="1694" t="str">
        <f>CONCATENATE(LEFT(RIGHT(CONCATENATE("000",HH_Debt1516!A229),6),3),"-",(RIGHT(RIGHT(CONCATENATE("000",HH_Debt1516!A229),6),3)))</f>
        <v>071-906</v>
      </c>
      <c r="C227" s="121">
        <v>471800</v>
      </c>
    </row>
    <row r="228" spans="1:3" ht="15">
      <c r="A228" s="2266" t="s">
        <v>4132</v>
      </c>
      <c r="B228" s="1694" t="str">
        <f>CONCATENATE(LEFT(RIGHT(CONCATENATE("000",HH_Debt1516!A230),6),3),"-",(RIGHT(RIGHT(CONCATENATE("000",HH_Debt1516!A230),6),3)))</f>
        <v>071-907</v>
      </c>
      <c r="C228" s="121">
        <v>6895600</v>
      </c>
    </row>
    <row r="229" spans="1:3" ht="15">
      <c r="A229" s="2266" t="s">
        <v>4133</v>
      </c>
      <c r="B229" s="1694" t="str">
        <f>CONCATENATE(LEFT(RIGHT(CONCATENATE("000",HH_Debt1516!A231),6),3),"-",(RIGHT(RIGHT(CONCATENATE("000",HH_Debt1516!A231),6),3)))</f>
        <v>071-908</v>
      </c>
      <c r="C229" s="121">
        <v>994975</v>
      </c>
    </row>
    <row r="230" spans="1:3" ht="15">
      <c r="A230" s="2266" t="s">
        <v>4134</v>
      </c>
      <c r="B230" s="1694" t="str">
        <f>CONCATENATE(LEFT(RIGHT(CONCATENATE("000",HH_Debt1516!A232),6),3),"-",(RIGHT(RIGHT(CONCATENATE("000",HH_Debt1516!A232),6),3)))</f>
        <v>071-909</v>
      </c>
      <c r="C230" s="121">
        <v>45092178</v>
      </c>
    </row>
    <row r="231" spans="1:3" ht="15">
      <c r="A231" s="2266" t="s">
        <v>6558</v>
      </c>
      <c r="B231" s="1694" t="str">
        <f>CONCATENATE(LEFT(RIGHT(CONCATENATE("000",HH_Debt1516!A233),6),3),"-",(RIGHT(RIGHT(CONCATENATE("000",HH_Debt1516!A233),6),3)))</f>
        <v>072-902</v>
      </c>
      <c r="C231" s="121">
        <v>841750</v>
      </c>
    </row>
    <row r="232" spans="1:3" ht="15">
      <c r="A232" s="2266" t="s">
        <v>4135</v>
      </c>
      <c r="B232" s="1694" t="str">
        <f>CONCATENATE(LEFT(RIGHT(CONCATENATE("000",HH_Debt1516!A234),6),3),"-",(RIGHT(RIGHT(CONCATENATE("000",HH_Debt1516!A234),6),3)))</f>
        <v>072-903</v>
      </c>
      <c r="C232" s="121">
        <v>2448669</v>
      </c>
    </row>
    <row r="233" spans="1:3" ht="15">
      <c r="A233" s="2266" t="s">
        <v>6559</v>
      </c>
      <c r="B233" s="1694" t="str">
        <f>CONCATENATE(LEFT(RIGHT(CONCATENATE("000",HH_Debt1516!A235),6),3),"-",(RIGHT(RIGHT(CONCATENATE("000",HH_Debt1516!A235),6),3)))</f>
        <v>072-904</v>
      </c>
      <c r="C233" s="121">
        <v>58875</v>
      </c>
    </row>
    <row r="234" spans="1:3" ht="15">
      <c r="A234" s="2266" t="s">
        <v>4136</v>
      </c>
      <c r="B234" s="1694" t="str">
        <f>CONCATENATE(LEFT(RIGHT(CONCATENATE("000",HH_Debt1516!A236),6),3),"-",(RIGHT(RIGHT(CONCATENATE("000",HH_Debt1516!A236),6),3)))</f>
        <v>072-909</v>
      </c>
      <c r="C234" s="121">
        <v>92238</v>
      </c>
    </row>
    <row r="235" spans="1:3" ht="15">
      <c r="A235" s="2266" t="s">
        <v>6560</v>
      </c>
      <c r="B235" s="1694" t="str">
        <f>CONCATENATE(LEFT(RIGHT(CONCATENATE("000",HH_Debt1516!A237),6),3),"-",(RIGHT(RIGHT(CONCATENATE("000",HH_Debt1516!A237),6),3)))</f>
        <v>073-901</v>
      </c>
      <c r="C235" s="121">
        <v>341235</v>
      </c>
    </row>
    <row r="236" spans="1:3" ht="15">
      <c r="A236" s="2266" t="s">
        <v>5365</v>
      </c>
      <c r="B236" s="1694" t="str">
        <f>CONCATENATE(LEFT(RIGHT(CONCATENATE("000",HH_Debt1516!A238),6),3),"-",(RIGHT(RIGHT(CONCATENATE("000",HH_Debt1516!A238),6),3)))</f>
        <v>073-903</v>
      </c>
      <c r="C236" s="121">
        <v>354750</v>
      </c>
    </row>
    <row r="237" spans="1:3" ht="15">
      <c r="A237" s="2266" t="s">
        <v>6561</v>
      </c>
      <c r="B237" s="1694" t="str">
        <f>CONCATENATE(LEFT(RIGHT(CONCATENATE("000",HH_Debt1516!A239),6),3),"-",(RIGHT(RIGHT(CONCATENATE("000",HH_Debt1516!A239),6),3)))</f>
        <v>074-903</v>
      </c>
      <c r="C237" s="121">
        <v>885188</v>
      </c>
    </row>
    <row r="238" spans="1:3" ht="15">
      <c r="A238" s="2266" t="s">
        <v>4137</v>
      </c>
      <c r="B238" s="1694" t="str">
        <f>CONCATENATE(LEFT(RIGHT(CONCATENATE("000",HH_Debt1516!A240),6),3),"-",(RIGHT(RIGHT(CONCATENATE("000",HH_Debt1516!A240),6),3)))</f>
        <v>074-904</v>
      </c>
      <c r="C238" s="121">
        <v>288750</v>
      </c>
    </row>
    <row r="239" spans="1:3" ht="15">
      <c r="A239" s="2266" t="s">
        <v>4138</v>
      </c>
      <c r="B239" s="1694" t="str">
        <f>CONCATENATE(LEFT(RIGHT(CONCATENATE("000",HH_Debt1516!A241),6),3),"-",(RIGHT(RIGHT(CONCATENATE("000",HH_Debt1516!A241),6),3)))</f>
        <v>074-905</v>
      </c>
      <c r="C239" s="121">
        <v>161600</v>
      </c>
    </row>
    <row r="240" spans="1:3" ht="15">
      <c r="A240" s="2266" t="s">
        <v>4139</v>
      </c>
      <c r="B240" s="1694" t="str">
        <f>CONCATENATE(LEFT(RIGHT(CONCATENATE("000",HH_Debt1516!A242),6),3),"-",(RIGHT(RIGHT(CONCATENATE("000",HH_Debt1516!A242),6),3)))</f>
        <v>074-907</v>
      </c>
      <c r="C240" s="121">
        <v>668000</v>
      </c>
    </row>
    <row r="241" spans="1:3" ht="15">
      <c r="A241" s="2266" t="s">
        <v>6562</v>
      </c>
      <c r="B241" s="1694" t="str">
        <f>CONCATENATE(LEFT(RIGHT(CONCATENATE("000",HH_Debt1516!A243),6),3),"-",(RIGHT(RIGHT(CONCATENATE("000",HH_Debt1516!A243),6),3)))</f>
        <v>074-909</v>
      </c>
      <c r="C241" s="121">
        <v>274450</v>
      </c>
    </row>
    <row r="242" spans="1:3" ht="15">
      <c r="A242" s="2266" t="s">
        <v>6563</v>
      </c>
      <c r="B242" s="1694" t="str">
        <f>CONCATENATE(LEFT(RIGHT(CONCATENATE("000",HH_Debt1516!A244),6),3),"-",(RIGHT(RIGHT(CONCATENATE("000",HH_Debt1516!A244),6),3)))</f>
        <v>074-911</v>
      </c>
      <c r="C242" s="121">
        <v>241556</v>
      </c>
    </row>
    <row r="243" spans="1:3" ht="15">
      <c r="A243" s="2266" t="s">
        <v>4140</v>
      </c>
      <c r="B243" s="1694" t="str">
        <f>CONCATENATE(LEFT(RIGHT(CONCATENATE("000",HH_Debt1516!A245),6),3),"-",(RIGHT(RIGHT(CONCATENATE("000",HH_Debt1516!A245),6),3)))</f>
        <v>074-912</v>
      </c>
      <c r="C243" s="121">
        <v>475725</v>
      </c>
    </row>
    <row r="244" spans="1:3" ht="15">
      <c r="A244" s="2266" t="s">
        <v>4141</v>
      </c>
      <c r="B244" s="1694" t="str">
        <f>CONCATENATE(LEFT(RIGHT(CONCATENATE("000",HH_Debt1516!A246),6),3),"-",(RIGHT(RIGHT(CONCATENATE("000",HH_Debt1516!A246),6),3)))</f>
        <v>074-917</v>
      </c>
      <c r="C244" s="121">
        <v>156700</v>
      </c>
    </row>
    <row r="245" spans="1:3" ht="15">
      <c r="A245" s="2266" t="s">
        <v>6564</v>
      </c>
      <c r="B245" s="1694" t="str">
        <f>CONCATENATE(LEFT(RIGHT(CONCATENATE("000",HH_Debt1516!A247),6),3),"-",(RIGHT(RIGHT(CONCATENATE("000",HH_Debt1516!A247),6),3)))</f>
        <v>075-901</v>
      </c>
      <c r="C245" s="121">
        <v>332700</v>
      </c>
    </row>
    <row r="246" spans="1:3" ht="15">
      <c r="A246" s="2266" t="s">
        <v>6565</v>
      </c>
      <c r="B246" s="1694" t="str">
        <f>CONCATENATE(LEFT(RIGHT(CONCATENATE("000",HH_Debt1516!A248),6),3),"-",(RIGHT(RIGHT(CONCATENATE("000",HH_Debt1516!A248),6),3)))</f>
        <v>075-903</v>
      </c>
      <c r="C246" s="121">
        <v>458646</v>
      </c>
    </row>
    <row r="247" spans="1:3" ht="15">
      <c r="A247" s="2266" t="s">
        <v>6566</v>
      </c>
      <c r="B247" s="1694" t="str">
        <f>CONCATENATE(LEFT(RIGHT(CONCATENATE("000",HH_Debt1516!A249),6),3),"-",(RIGHT(RIGHT(CONCATENATE("000",HH_Debt1516!A249),6),3)))</f>
        <v>075-908</v>
      </c>
      <c r="C247" s="121">
        <v>165250</v>
      </c>
    </row>
    <row r="248" spans="1:3" ht="15">
      <c r="A248" s="2266" t="s">
        <v>4142</v>
      </c>
      <c r="B248" s="1694" t="str">
        <f>CONCATENATE(LEFT(RIGHT(CONCATENATE("000",HH_Debt1516!A250),6),3),"-",(RIGHT(RIGHT(CONCATENATE("000",HH_Debt1516!A250),6),3)))</f>
        <v>076-904</v>
      </c>
      <c r="C248" s="121">
        <v>57282</v>
      </c>
    </row>
    <row r="249" spans="1:3" ht="15">
      <c r="A249" s="2266" t="s">
        <v>6567</v>
      </c>
      <c r="B249" s="1694" t="str">
        <f>CONCATENATE(LEFT(RIGHT(CONCATENATE("000",HH_Debt1516!A251),6),3),"-",(RIGHT(RIGHT(CONCATENATE("000",HH_Debt1516!A251),6),3)))</f>
        <v>077-901</v>
      </c>
      <c r="C249" s="121">
        <v>360939</v>
      </c>
    </row>
    <row r="250" spans="1:3" ht="15">
      <c r="A250" s="2266" t="s">
        <v>6568</v>
      </c>
      <c r="B250" s="1694" t="str">
        <f>CONCATENATE(LEFT(RIGHT(CONCATENATE("000",HH_Debt1516!A252),6),3),"-",(RIGHT(RIGHT(CONCATENATE("000",HH_Debt1516!A252),6),3)))</f>
        <v>079-901</v>
      </c>
      <c r="C250" s="121">
        <v>48778957</v>
      </c>
    </row>
    <row r="251" spans="1:3" ht="15">
      <c r="A251" s="2266" t="s">
        <v>4143</v>
      </c>
      <c r="B251" s="1694" t="str">
        <f>CONCATENATE(LEFT(RIGHT(CONCATENATE("000",HH_Debt1516!A253),6),3),"-",(RIGHT(RIGHT(CONCATENATE("000",HH_Debt1516!A253),6),3)))</f>
        <v>079-906</v>
      </c>
      <c r="C251" s="121">
        <v>4909633</v>
      </c>
    </row>
    <row r="252" spans="1:3" ht="15">
      <c r="A252" s="2266" t="s">
        <v>4144</v>
      </c>
      <c r="B252" s="1694" t="str">
        <f>CONCATENATE(LEFT(RIGHT(CONCATENATE("000",HH_Debt1516!A254),6),3),"-",(RIGHT(RIGHT(CONCATENATE("000",HH_Debt1516!A254),6),3)))</f>
        <v>079-907</v>
      </c>
      <c r="C252" s="121">
        <v>73889129</v>
      </c>
    </row>
    <row r="253" spans="1:3" ht="15">
      <c r="A253" s="2266" t="s">
        <v>6569</v>
      </c>
      <c r="B253" s="1694" t="str">
        <f>CONCATENATE(LEFT(RIGHT(CONCATENATE("000",HH_Debt1516!A255),6),3),"-",(RIGHT(RIGHT(CONCATENATE("000",HH_Debt1516!A255),6),3)))</f>
        <v>079-910</v>
      </c>
      <c r="C253" s="121">
        <v>4291077</v>
      </c>
    </row>
    <row r="254" spans="1:3" ht="15">
      <c r="A254" s="2266" t="s">
        <v>6570</v>
      </c>
      <c r="B254" s="1694" t="str">
        <f>CONCATENATE(LEFT(RIGHT(CONCATENATE("000",HH_Debt1516!A256),6),3),"-",(RIGHT(RIGHT(CONCATENATE("000",HH_Debt1516!A256),6),3)))</f>
        <v>080-901</v>
      </c>
      <c r="C254" s="121">
        <v>2501731</v>
      </c>
    </row>
    <row r="255" spans="1:3" ht="15">
      <c r="A255" s="2266" t="s">
        <v>6571</v>
      </c>
      <c r="B255" s="1694" t="str">
        <f>CONCATENATE(LEFT(RIGHT(CONCATENATE("000",HH_Debt1516!A257),6),3),"-",(RIGHT(RIGHT(CONCATENATE("000",HH_Debt1516!A257),6),3)))</f>
        <v>081-902</v>
      </c>
      <c r="C255" s="121">
        <v>3708207</v>
      </c>
    </row>
    <row r="256" spans="1:3" ht="15">
      <c r="A256" s="2266" t="s">
        <v>6572</v>
      </c>
      <c r="B256" s="1694" t="str">
        <f>CONCATENATE(LEFT(RIGHT(CONCATENATE("000",HH_Debt1516!A258),6),3),"-",(RIGHT(RIGHT(CONCATENATE("000",HH_Debt1516!A258),6),3)))</f>
        <v>081-904</v>
      </c>
      <c r="C256" s="121">
        <v>4019001</v>
      </c>
    </row>
    <row r="257" spans="1:3" ht="15">
      <c r="A257" s="2266" t="s">
        <v>6573</v>
      </c>
      <c r="B257" s="1694" t="str">
        <f>CONCATENATE(LEFT(RIGHT(CONCATENATE("000",HH_Debt1516!A259),6),3),"-",(RIGHT(RIGHT(CONCATENATE("000",HH_Debt1516!A259),6),3)))</f>
        <v>081-905</v>
      </c>
      <c r="C257" s="121">
        <v>456311</v>
      </c>
    </row>
    <row r="258" spans="1:3" ht="15">
      <c r="A258" s="2266" t="s">
        <v>6574</v>
      </c>
      <c r="B258" s="1694" t="str">
        <f>CONCATENATE(LEFT(RIGHT(CONCATENATE("000",HH_Debt1516!A260),6),3),"-",(RIGHT(RIGHT(CONCATENATE("000",HH_Debt1516!A260),6),3)))</f>
        <v>081-906</v>
      </c>
      <c r="C258" s="121">
        <v>296892</v>
      </c>
    </row>
    <row r="259" spans="1:3" ht="15">
      <c r="A259" s="2266" t="s">
        <v>4145</v>
      </c>
      <c r="B259" s="1694" t="str">
        <f>CONCATENATE(LEFT(RIGHT(CONCATENATE("000",HH_Debt1516!A261),6),3),"-",(RIGHT(RIGHT(CONCATENATE("000",HH_Debt1516!A261),6),3)))</f>
        <v>082-902</v>
      </c>
      <c r="C259" s="121">
        <v>1882188</v>
      </c>
    </row>
    <row r="260" spans="1:3" ht="15">
      <c r="A260" s="2266" t="s">
        <v>4146</v>
      </c>
      <c r="B260" s="1694" t="str">
        <f>CONCATENATE(LEFT(RIGHT(CONCATENATE("000",HH_Debt1516!A262),6),3),"-",(RIGHT(RIGHT(CONCATENATE("000",HH_Debt1516!A262),6),3)))</f>
        <v>082-903</v>
      </c>
      <c r="C260" s="121">
        <v>1681792</v>
      </c>
    </row>
    <row r="261" spans="1:3" ht="15">
      <c r="A261" s="2266" t="s">
        <v>6575</v>
      </c>
      <c r="B261" s="1694" t="str">
        <f>CONCATENATE(LEFT(RIGHT(CONCATENATE("000",HH_Debt1516!A263),6),3),"-",(RIGHT(RIGHT(CONCATENATE("000",HH_Debt1516!A263),6),3)))</f>
        <v>083-901</v>
      </c>
      <c r="C261" s="121">
        <v>803675</v>
      </c>
    </row>
    <row r="262" spans="1:3" ht="15">
      <c r="A262" s="2266" t="s">
        <v>6576</v>
      </c>
      <c r="B262" s="1694" t="str">
        <f>CONCATENATE(LEFT(RIGHT(CONCATENATE("000",HH_Debt1516!A264),6),3),"-",(RIGHT(RIGHT(CONCATENATE("000",HH_Debt1516!A264),6),3)))</f>
        <v>083-902</v>
      </c>
      <c r="C262" s="121">
        <v>403450</v>
      </c>
    </row>
    <row r="263" spans="1:3" ht="15">
      <c r="A263" s="2266" t="s">
        <v>6577</v>
      </c>
      <c r="B263" s="1694" t="str">
        <f>CONCATENATE(LEFT(RIGHT(CONCATENATE("000",HH_Debt1516!A265),6),3),"-",(RIGHT(RIGHT(CONCATENATE("000",HH_Debt1516!A265),6),3)))</f>
        <v>083-903</v>
      </c>
      <c r="C263" s="121">
        <v>4632250</v>
      </c>
    </row>
    <row r="264" spans="1:3" ht="15">
      <c r="A264" s="2266" t="s">
        <v>6578</v>
      </c>
      <c r="B264" s="1694" t="str">
        <f>CONCATENATE(LEFT(RIGHT(CONCATENATE("000",HH_Debt1516!A266),6),3),"-",(RIGHT(RIGHT(CONCATENATE("000",HH_Debt1516!A266),6),3)))</f>
        <v>084-901</v>
      </c>
      <c r="C264" s="121">
        <v>15334845</v>
      </c>
    </row>
    <row r="265" spans="1:3" ht="15">
      <c r="A265" s="2266" t="s">
        <v>6579</v>
      </c>
      <c r="B265" s="1694" t="str">
        <f>CONCATENATE(LEFT(RIGHT(CONCATENATE("000",HH_Debt1516!A267),6),3),"-",(RIGHT(RIGHT(CONCATENATE("000",HH_Debt1516!A267),6),3)))</f>
        <v>084-902</v>
      </c>
      <c r="C265" s="121">
        <v>6235737</v>
      </c>
    </row>
    <row r="266" spans="1:3" ht="15">
      <c r="A266" s="2266" t="s">
        <v>6580</v>
      </c>
      <c r="B266" s="1694" t="str">
        <f>CONCATENATE(LEFT(RIGHT(CONCATENATE("000",HH_Debt1516!A268),6),3),"-",(RIGHT(RIGHT(CONCATENATE("000",HH_Debt1516!A268),6),3)))</f>
        <v>084-903</v>
      </c>
      <c r="C266" s="121">
        <v>161725</v>
      </c>
    </row>
    <row r="267" spans="1:3" ht="15">
      <c r="A267" s="2266" t="s">
        <v>6581</v>
      </c>
      <c r="B267" s="1694" t="str">
        <f>CONCATENATE(LEFT(RIGHT(CONCATENATE("000",HH_Debt1516!A269),6),3),"-",(RIGHT(RIGHT(CONCATENATE("000",HH_Debt1516!A269),6),3)))</f>
        <v>084-904</v>
      </c>
      <c r="C267" s="121">
        <v>12046747</v>
      </c>
    </row>
    <row r="268" spans="1:3" ht="15">
      <c r="A268" s="2266" t="s">
        <v>6582</v>
      </c>
      <c r="B268" s="1694" t="str">
        <f>CONCATENATE(LEFT(RIGHT(CONCATENATE("000",HH_Debt1516!A270),6),3),"-",(RIGHT(RIGHT(CONCATENATE("000",HH_Debt1516!A270),6),3)))</f>
        <v>084-906</v>
      </c>
      <c r="C268" s="121">
        <v>12046747</v>
      </c>
    </row>
    <row r="269" spans="1:3" ht="15">
      <c r="A269" s="2266" t="s">
        <v>6583</v>
      </c>
      <c r="B269" s="1694" t="str">
        <f>CONCATENATE(LEFT(RIGHT(CONCATENATE("000",HH_Debt1516!A271),6),3),"-",(RIGHT(RIGHT(CONCATENATE("000",HH_Debt1516!A271),6),3)))</f>
        <v>084-908</v>
      </c>
      <c r="C269" s="121">
        <v>2533816</v>
      </c>
    </row>
    <row r="270" spans="1:3" ht="15">
      <c r="A270" s="2266" t="s">
        <v>4147</v>
      </c>
      <c r="B270" s="1694" t="str">
        <f>CONCATENATE(LEFT(RIGHT(CONCATENATE("000",HH_Debt1516!A272),6),3),"-",(RIGHT(RIGHT(CONCATENATE("000",HH_Debt1516!A272),6),3)))</f>
        <v>084-909</v>
      </c>
      <c r="C270" s="121">
        <v>5457222</v>
      </c>
    </row>
    <row r="271" spans="1:3" ht="15">
      <c r="A271" s="2266" t="s">
        <v>6584</v>
      </c>
      <c r="B271" s="1694" t="str">
        <f>CONCATENATE(LEFT(RIGHT(CONCATENATE("000",HH_Debt1516!A273),6),3),"-",(RIGHT(RIGHT(CONCATENATE("000",HH_Debt1516!A273),6),3)))</f>
        <v>084-910</v>
      </c>
      <c r="C271" s="121">
        <v>68843580</v>
      </c>
    </row>
    <row r="272" spans="1:3" ht="15">
      <c r="A272" s="2266" t="s">
        <v>4148</v>
      </c>
      <c r="B272" s="1694" t="str">
        <f>CONCATENATE(LEFT(RIGHT(CONCATENATE("000",HH_Debt1516!A274),6),3),"-",(RIGHT(RIGHT(CONCATENATE("000",HH_Debt1516!A274),6),3)))</f>
        <v>084-911</v>
      </c>
      <c r="C272" s="121">
        <v>6989433</v>
      </c>
    </row>
    <row r="273" spans="1:3" ht="15">
      <c r="A273" s="2266" t="s">
        <v>6585</v>
      </c>
      <c r="B273" s="1694" t="str">
        <f>CONCATENATE(LEFT(RIGHT(CONCATENATE("000",HH_Debt1516!A275),6),3),"-",(RIGHT(RIGHT(CONCATENATE("000",HH_Debt1516!A275),6),3)))</f>
        <v>085-902</v>
      </c>
      <c r="C273" s="121">
        <v>2512152</v>
      </c>
    </row>
    <row r="274" spans="1:3" ht="15">
      <c r="A274" s="2266" t="s">
        <v>6586</v>
      </c>
      <c r="B274" s="1694" t="str">
        <f>CONCATENATE(LEFT(RIGHT(CONCATENATE("000",HH_Debt1516!A276),6),3),"-",(RIGHT(RIGHT(CONCATENATE("000",HH_Debt1516!A276),6),3)))</f>
        <v>086-901</v>
      </c>
      <c r="C274" s="121">
        <v>1744141</v>
      </c>
    </row>
    <row r="275" spans="1:3" ht="15">
      <c r="A275" s="2266" t="s">
        <v>6587</v>
      </c>
      <c r="B275" s="1694" t="str">
        <f>CONCATENATE(LEFT(RIGHT(CONCATENATE("000",HH_Debt1516!A277),6),3),"-",(RIGHT(RIGHT(CONCATENATE("000",HH_Debt1516!A277),6),3)))</f>
        <v>087-901</v>
      </c>
      <c r="C275" s="121">
        <v>1726200</v>
      </c>
    </row>
    <row r="276" spans="1:3" ht="15">
      <c r="A276" s="2266" t="s">
        <v>6588</v>
      </c>
      <c r="B276" s="1694" t="str">
        <f>CONCATENATE(LEFT(RIGHT(CONCATENATE("000",HH_Debt1516!A278),6),3),"-",(RIGHT(RIGHT(CONCATENATE("000",HH_Debt1516!A278),6),3)))</f>
        <v>088-902</v>
      </c>
      <c r="C276" s="121">
        <v>1264125</v>
      </c>
    </row>
    <row r="277" spans="1:3" ht="15">
      <c r="A277" s="2266" t="s">
        <v>4149</v>
      </c>
      <c r="B277" s="1694" t="str">
        <f>CONCATENATE(LEFT(RIGHT(CONCATENATE("000",HH_Debt1516!A279),6),3),"-",(RIGHT(RIGHT(CONCATENATE("000",HH_Debt1516!A279),6),3)))</f>
        <v>089-901</v>
      </c>
      <c r="C277" s="121">
        <v>1355152</v>
      </c>
    </row>
    <row r="278" spans="1:3" ht="15">
      <c r="A278" s="2266" t="s">
        <v>6589</v>
      </c>
      <c r="B278" s="1694" t="str">
        <f>CONCATENATE(LEFT(RIGHT(CONCATENATE("000",HH_Debt1516!A280),6),3),"-",(RIGHT(RIGHT(CONCATENATE("000",HH_Debt1516!A280),6),3)))</f>
        <v>089-903</v>
      </c>
      <c r="C278" s="121">
        <v>1509204</v>
      </c>
    </row>
    <row r="279" spans="1:3" ht="15">
      <c r="A279" s="2266" t="s">
        <v>6590</v>
      </c>
      <c r="B279" s="1694" t="str">
        <f>CONCATENATE(LEFT(RIGHT(CONCATENATE("000",HH_Debt1516!A281),6),3),"-",(RIGHT(RIGHT(CONCATENATE("000",HH_Debt1516!A281),6),3)))</f>
        <v>089-905</v>
      </c>
      <c r="C279" s="121">
        <v>198562</v>
      </c>
    </row>
    <row r="280" spans="1:3" ht="15">
      <c r="A280" s="2266" t="s">
        <v>6591</v>
      </c>
      <c r="B280" s="1694" t="str">
        <f>CONCATENATE(LEFT(RIGHT(CONCATENATE("000",HH_Debt1516!A282),6),3),"-",(RIGHT(RIGHT(CONCATENATE("000",HH_Debt1516!A282),6),3)))</f>
        <v>090-902</v>
      </c>
      <c r="C280" s="121">
        <v>382050</v>
      </c>
    </row>
    <row r="281" spans="1:3" ht="15">
      <c r="A281" s="2266" t="s">
        <v>6592</v>
      </c>
      <c r="B281" s="1694" t="str">
        <f>CONCATENATE(LEFT(RIGHT(CONCATENATE("000",HH_Debt1516!A283),6),3),"-",(RIGHT(RIGHT(CONCATENATE("000",HH_Debt1516!A283),6),3)))</f>
        <v>090-903</v>
      </c>
      <c r="C281" s="121">
        <v>209325</v>
      </c>
    </row>
    <row r="282" spans="1:3" ht="15">
      <c r="A282" s="2266" t="s">
        <v>4150</v>
      </c>
      <c r="B282" s="1694" t="str">
        <f>CONCATENATE(LEFT(RIGHT(CONCATENATE("000",HH_Debt1516!A284),6),3),"-",(RIGHT(RIGHT(CONCATENATE("000",HH_Debt1516!A284),6),3)))</f>
        <v>090-904</v>
      </c>
      <c r="C282" s="121">
        <v>2969300</v>
      </c>
    </row>
    <row r="283" spans="1:3" ht="15">
      <c r="A283" s="2266" t="s">
        <v>6593</v>
      </c>
      <c r="B283" s="1694" t="str">
        <f>CONCATENATE(LEFT(RIGHT(CONCATENATE("000",HH_Debt1516!A285),6),3),"-",(RIGHT(RIGHT(CONCATENATE("000",HH_Debt1516!A285),6),3)))</f>
        <v>090-905</v>
      </c>
      <c r="C283" s="121">
        <v>112480</v>
      </c>
    </row>
    <row r="284" spans="1:3" ht="15">
      <c r="A284" s="2266" t="s">
        <v>4151</v>
      </c>
      <c r="B284" s="1694" t="str">
        <f>CONCATENATE(LEFT(RIGHT(CONCATENATE("000",HH_Debt1516!A286),6),3),"-",(RIGHT(RIGHT(CONCATENATE("000",HH_Debt1516!A286),6),3)))</f>
        <v>091-901</v>
      </c>
      <c r="C284" s="121">
        <v>724781</v>
      </c>
    </row>
    <row r="285" spans="1:3" ht="15">
      <c r="A285" s="2266" t="s">
        <v>5419</v>
      </c>
      <c r="B285" s="1694" t="str">
        <f>CONCATENATE(LEFT(RIGHT(CONCATENATE("000",HH_Debt1516!A287),6),3),"-",(RIGHT(RIGHT(CONCATENATE("000",HH_Debt1516!A287),6),3)))</f>
        <v>091-902</v>
      </c>
      <c r="C285" s="121">
        <v>236350</v>
      </c>
    </row>
    <row r="286" spans="1:3" ht="15">
      <c r="A286" s="2266" t="s">
        <v>6594</v>
      </c>
      <c r="B286" s="1694" t="str">
        <f>CONCATENATE(LEFT(RIGHT(CONCATENATE("000",HH_Debt1516!A288),6),3),"-",(RIGHT(RIGHT(CONCATENATE("000",HH_Debt1516!A288),6),3)))</f>
        <v>091-903</v>
      </c>
      <c r="C286" s="121">
        <v>5039656</v>
      </c>
    </row>
    <row r="287" spans="1:3" ht="15">
      <c r="A287" s="2266" t="s">
        <v>4152</v>
      </c>
      <c r="B287" s="1694" t="str">
        <f>CONCATENATE(LEFT(RIGHT(CONCATENATE("000",HH_Debt1516!A289),6),3),"-",(RIGHT(RIGHT(CONCATENATE("000",HH_Debt1516!A289),6),3)))</f>
        <v>091-905</v>
      </c>
      <c r="C287" s="121">
        <v>901650</v>
      </c>
    </row>
    <row r="288" spans="1:3" ht="15">
      <c r="A288" s="2266" t="s">
        <v>4153</v>
      </c>
      <c r="B288" s="1694" t="str">
        <f>CONCATENATE(LEFT(RIGHT(CONCATENATE("000",HH_Debt1516!A290),6),3),"-",(RIGHT(RIGHT(CONCATENATE("000",HH_Debt1516!A290),6),3)))</f>
        <v>091-906</v>
      </c>
      <c r="C288" s="121">
        <v>7712475</v>
      </c>
    </row>
    <row r="289" spans="1:3" ht="15">
      <c r="A289" s="2266" t="s">
        <v>6595</v>
      </c>
      <c r="B289" s="1694" t="str">
        <f>CONCATENATE(LEFT(RIGHT(CONCATENATE("000",HH_Debt1516!A291),6),3),"-",(RIGHT(RIGHT(CONCATENATE("000",HH_Debt1516!A291),6),3)))</f>
        <v>091-907</v>
      </c>
      <c r="C289" s="121">
        <v>342125</v>
      </c>
    </row>
    <row r="290" spans="1:3" ht="15">
      <c r="A290" s="2266" t="s">
        <v>4154</v>
      </c>
      <c r="B290" s="1694" t="str">
        <f>CONCATENATE(LEFT(RIGHT(CONCATENATE("000",HH_Debt1516!A292),6),3),"-",(RIGHT(RIGHT(CONCATENATE("000",HH_Debt1516!A292),6),3)))</f>
        <v>091-908</v>
      </c>
      <c r="C290" s="121">
        <v>2440554</v>
      </c>
    </row>
    <row r="291" spans="1:3" ht="15">
      <c r="A291" s="2266" t="s">
        <v>4155</v>
      </c>
      <c r="B291" s="1694" t="str">
        <f>CONCATENATE(LEFT(RIGHT(CONCATENATE("000",HH_Debt1516!A293),6),3),"-",(RIGHT(RIGHT(CONCATENATE("000",HH_Debt1516!A293),6),3)))</f>
        <v>091-909</v>
      </c>
      <c r="C291" s="121">
        <v>1179268</v>
      </c>
    </row>
    <row r="292" spans="1:3" ht="15">
      <c r="A292" s="2266" t="s">
        <v>6596</v>
      </c>
      <c r="B292" s="1694" t="str">
        <f>CONCATENATE(LEFT(RIGHT(CONCATENATE("000",HH_Debt1516!A294),6),3),"-",(RIGHT(RIGHT(CONCATENATE("000",HH_Debt1516!A294),6),3)))</f>
        <v>091-910</v>
      </c>
      <c r="C292" s="121">
        <v>542450</v>
      </c>
    </row>
    <row r="293" spans="1:3" ht="15">
      <c r="A293" s="2266" t="s">
        <v>4156</v>
      </c>
      <c r="B293" s="1694" t="str">
        <f>CONCATENATE(LEFT(RIGHT(CONCATENATE("000",HH_Debt1516!A295),6),3),"-",(RIGHT(RIGHT(CONCATENATE("000",HH_Debt1516!A295),6),3)))</f>
        <v>091-913</v>
      </c>
      <c r="C293" s="121">
        <v>890000</v>
      </c>
    </row>
    <row r="294" spans="1:3" ht="15">
      <c r="A294" s="2266" t="s">
        <v>6597</v>
      </c>
      <c r="B294" s="1694" t="str">
        <f>CONCATENATE(LEFT(RIGHT(CONCATENATE("000",HH_Debt1516!A296),6),3),"-",(RIGHT(RIGHT(CONCATENATE("000",HH_Debt1516!A296),6),3)))</f>
        <v>091-914</v>
      </c>
      <c r="C294" s="121">
        <v>539899</v>
      </c>
    </row>
    <row r="295" spans="1:3" ht="15">
      <c r="A295" s="2266" t="s">
        <v>4157</v>
      </c>
      <c r="B295" s="1694" t="str">
        <f>CONCATENATE(LEFT(RIGHT(CONCATENATE("000",HH_Debt1516!A297),6),3),"-",(RIGHT(RIGHT(CONCATENATE("000",HH_Debt1516!A297),6),3)))</f>
        <v>091-917</v>
      </c>
      <c r="C295" s="121">
        <v>1003138</v>
      </c>
    </row>
    <row r="296" spans="1:3" ht="15">
      <c r="A296" s="2266" t="s">
        <v>6598</v>
      </c>
      <c r="B296" s="1694" t="str">
        <f>CONCATENATE(LEFT(RIGHT(CONCATENATE("000",HH_Debt1516!A298),6),3),"-",(RIGHT(RIGHT(CONCATENATE("000",HH_Debt1516!A298),6),3)))</f>
        <v>091-918</v>
      </c>
      <c r="C296" s="121">
        <v>575950</v>
      </c>
    </row>
    <row r="297" spans="1:3" ht="15">
      <c r="A297" s="2266" t="s">
        <v>6599</v>
      </c>
      <c r="B297" s="1694" t="str">
        <f>CONCATENATE(LEFT(RIGHT(CONCATENATE("000",HH_Debt1516!A299),6),3),"-",(RIGHT(RIGHT(CONCATENATE("000",HH_Debt1516!A299),6),3)))</f>
        <v>092-901</v>
      </c>
      <c r="C297" s="121">
        <v>1969581</v>
      </c>
    </row>
    <row r="298" spans="1:3" ht="15">
      <c r="A298" s="2266" t="s">
        <v>6600</v>
      </c>
      <c r="B298" s="1694" t="str">
        <f>CONCATENATE(LEFT(RIGHT(CONCATENATE("000",HH_Debt1516!A300),6),3),"-",(RIGHT(RIGHT(CONCATENATE("000",HH_Debt1516!A300),6),3)))</f>
        <v>092-902</v>
      </c>
      <c r="C298" s="121">
        <v>3571892</v>
      </c>
    </row>
    <row r="299" spans="1:3" ht="15">
      <c r="A299" s="2266" t="s">
        <v>5440</v>
      </c>
      <c r="B299" s="1694" t="str">
        <f>CONCATENATE(LEFT(RIGHT(CONCATENATE("000",HH_Debt1516!A301),6),3),"-",(RIGHT(RIGHT(CONCATENATE("000",HH_Debt1516!A301),6),3)))</f>
        <v>092-903</v>
      </c>
      <c r="C299" s="121">
        <v>16862568</v>
      </c>
    </row>
    <row r="300" spans="1:3" ht="15">
      <c r="A300" s="2266" t="s">
        <v>6601</v>
      </c>
      <c r="B300" s="1694" t="str">
        <f>CONCATENATE(LEFT(RIGHT(CONCATENATE("000",HH_Debt1516!A302),6),3),"-",(RIGHT(RIGHT(CONCATENATE("000",HH_Debt1516!A302),6),3)))</f>
        <v>092-904</v>
      </c>
      <c r="C300" s="121">
        <v>5418328</v>
      </c>
    </row>
    <row r="301" spans="1:3" ht="15">
      <c r="A301" s="2266" t="s">
        <v>6602</v>
      </c>
      <c r="B301" s="1694" t="str">
        <f>CONCATENATE(LEFT(RIGHT(CONCATENATE("000",HH_Debt1516!A303),6),3),"-",(RIGHT(RIGHT(CONCATENATE("000",HH_Debt1516!A303),6),3)))</f>
        <v>092-906</v>
      </c>
      <c r="C301" s="121">
        <v>1047781</v>
      </c>
    </row>
    <row r="302" spans="1:3" ht="15">
      <c r="A302" s="2266" t="s">
        <v>4158</v>
      </c>
      <c r="B302" s="1694" t="str">
        <f>CONCATENATE(LEFT(RIGHT(CONCATENATE("000",HH_Debt1516!A304),6),3),"-",(RIGHT(RIGHT(CONCATENATE("000",HH_Debt1516!A304),6),3)))</f>
        <v>092-907</v>
      </c>
      <c r="C302" s="121">
        <v>2587672</v>
      </c>
    </row>
    <row r="303" spans="1:3" ht="15">
      <c r="A303" s="2266" t="s">
        <v>6603</v>
      </c>
      <c r="B303" s="1694" t="str">
        <f>CONCATENATE(LEFT(RIGHT(CONCATENATE("000",HH_Debt1516!A305),6),3),"-",(RIGHT(RIGHT(CONCATENATE("000",HH_Debt1516!A305),6),3)))</f>
        <v>092-908</v>
      </c>
      <c r="C303" s="121">
        <v>325200</v>
      </c>
    </row>
    <row r="304" spans="1:3" ht="15">
      <c r="A304" s="2266" t="s">
        <v>6604</v>
      </c>
      <c r="B304" s="1694" t="str">
        <f>CONCATENATE(LEFT(RIGHT(CONCATENATE("000",HH_Debt1516!A306),6),3),"-",(RIGHT(RIGHT(CONCATENATE("000",HH_Debt1516!A306),6),3)))</f>
        <v>093-901</v>
      </c>
      <c r="C304" s="121">
        <v>1987980</v>
      </c>
    </row>
    <row r="305" spans="1:3" ht="15">
      <c r="A305" s="2266" t="s">
        <v>4159</v>
      </c>
      <c r="B305" s="1694" t="str">
        <f>CONCATENATE(LEFT(RIGHT(CONCATENATE("000",HH_Debt1516!A307),6),3),"-",(RIGHT(RIGHT(CONCATENATE("000",HH_Debt1516!A307),6),3)))</f>
        <v>093-903</v>
      </c>
      <c r="C305" s="121">
        <v>730775</v>
      </c>
    </row>
    <row r="306" spans="1:3" ht="15">
      <c r="A306" s="2266" t="s">
        <v>6605</v>
      </c>
      <c r="B306" s="1694" t="str">
        <f>CONCATENATE(LEFT(RIGHT(CONCATENATE("000",HH_Debt1516!A308),6),3),"-",(RIGHT(RIGHT(CONCATENATE("000",HH_Debt1516!A308),6),3)))</f>
        <v>093-904</v>
      </c>
      <c r="C306" s="121">
        <v>2176310</v>
      </c>
    </row>
    <row r="307" spans="1:3" ht="15">
      <c r="A307" s="2266" t="s">
        <v>4160</v>
      </c>
      <c r="B307" s="1694" t="str">
        <f>CONCATENATE(LEFT(RIGHT(CONCATENATE("000",HH_Debt1516!A309),6),3),"-",(RIGHT(RIGHT(CONCATENATE("000",HH_Debt1516!A309),6),3)))</f>
        <v>094-901</v>
      </c>
      <c r="C307" s="121">
        <v>9291849</v>
      </c>
    </row>
    <row r="308" spans="1:3" ht="15">
      <c r="A308" s="2266" t="s">
        <v>4161</v>
      </c>
      <c r="B308" s="1694" t="str">
        <f>CONCATENATE(LEFT(RIGHT(CONCATENATE("000",HH_Debt1516!A310),6),3),"-",(RIGHT(RIGHT(CONCATENATE("000",HH_Debt1516!A310),6),3)))</f>
        <v>094-902</v>
      </c>
      <c r="C308" s="121">
        <v>22126887</v>
      </c>
    </row>
    <row r="309" spans="1:3" ht="15">
      <c r="A309" s="2266" t="s">
        <v>4162</v>
      </c>
      <c r="B309" s="1694" t="str">
        <f>CONCATENATE(LEFT(RIGHT(CONCATENATE("000",HH_Debt1516!A311),6),3),"-",(RIGHT(RIGHT(CONCATENATE("000",HH_Debt1516!A311),6),3)))</f>
        <v>094-903</v>
      </c>
      <c r="C309" s="121">
        <v>1559338</v>
      </c>
    </row>
    <row r="310" spans="1:3" ht="15">
      <c r="A310" s="2266" t="s">
        <v>5467</v>
      </c>
      <c r="B310" s="1694" t="str">
        <f>CONCATENATE(LEFT(RIGHT(CONCATENATE("000",HH_Debt1516!A312),6),3),"-",(RIGHT(RIGHT(CONCATENATE("000",HH_Debt1516!A312),6),3)))</f>
        <v>094-904</v>
      </c>
      <c r="C310" s="121">
        <v>656075</v>
      </c>
    </row>
    <row r="311" spans="1:3" ht="15">
      <c r="A311" s="2266" t="s">
        <v>6606</v>
      </c>
      <c r="B311" s="1694" t="str">
        <f>CONCATENATE(LEFT(RIGHT(CONCATENATE("000",HH_Debt1516!A313),6),3),"-",(RIGHT(RIGHT(CONCATENATE("000",HH_Debt1516!A313),6),3)))</f>
        <v>095-901</v>
      </c>
      <c r="C311" s="121">
        <v>1870253</v>
      </c>
    </row>
    <row r="312" spans="1:3" ht="15">
      <c r="A312" s="2266" t="s">
        <v>6607</v>
      </c>
      <c r="B312" s="1694" t="str">
        <f>CONCATENATE(LEFT(RIGHT(CONCATENATE("000",HH_Debt1516!A314),6),3),"-",(RIGHT(RIGHT(CONCATENATE("000",HH_Debt1516!A314),6),3)))</f>
        <v>095-903</v>
      </c>
      <c r="C312" s="121">
        <v>550925</v>
      </c>
    </row>
    <row r="313" spans="1:3" ht="15">
      <c r="A313" s="2266" t="s">
        <v>6608</v>
      </c>
      <c r="B313" s="1694" t="str">
        <f>CONCATENATE(LEFT(RIGHT(CONCATENATE("000",HH_Debt1516!A315),6),3),"-",(RIGHT(RIGHT(CONCATENATE("000",HH_Debt1516!A315),6),3)))</f>
        <v>096-905</v>
      </c>
      <c r="C313" s="121">
        <v>166262</v>
      </c>
    </row>
    <row r="314" spans="1:3" ht="15">
      <c r="A314" s="2266" t="s">
        <v>6609</v>
      </c>
      <c r="B314" s="1694" t="str">
        <f>CONCATENATE(LEFT(RIGHT(CONCATENATE("000",HH_Debt1516!A316),6),3),"-",(RIGHT(RIGHT(CONCATENATE("000",HH_Debt1516!A316),6),3)))</f>
        <v>097-902</v>
      </c>
      <c r="C314" s="121">
        <v>418300</v>
      </c>
    </row>
    <row r="315" spans="1:3" ht="15">
      <c r="A315" s="2266" t="s">
        <v>4163</v>
      </c>
      <c r="B315" s="1694" t="str">
        <f>CONCATENATE(LEFT(RIGHT(CONCATENATE("000",HH_Debt1516!A317),6),3),"-",(RIGHT(RIGHT(CONCATENATE("000",HH_Debt1516!A317),6),3)))</f>
        <v>097-903</v>
      </c>
      <c r="C315" s="121">
        <v>333119</v>
      </c>
    </row>
    <row r="316" spans="1:3" ht="15">
      <c r="A316" s="2266" t="s">
        <v>6610</v>
      </c>
      <c r="B316" s="1694" t="str">
        <f>CONCATENATE(LEFT(RIGHT(CONCATENATE("000",HH_Debt1516!A318),6),3),"-",(RIGHT(RIGHT(CONCATENATE("000",HH_Debt1516!A318),6),3)))</f>
        <v>098-901</v>
      </c>
      <c r="C316" s="121">
        <v>334086</v>
      </c>
    </row>
    <row r="317" spans="1:3" ht="15">
      <c r="A317" s="2266" t="s">
        <v>6611</v>
      </c>
      <c r="B317" s="1694" t="str">
        <f>CONCATENATE(LEFT(RIGHT(CONCATENATE("000",HH_Debt1516!A319),6),3),"-",(RIGHT(RIGHT(CONCATENATE("000",HH_Debt1516!A319),6),3)))</f>
        <v>098-903</v>
      </c>
      <c r="C317" s="121">
        <v>454033</v>
      </c>
    </row>
    <row r="318" spans="1:3" ht="15">
      <c r="A318" s="2266" t="s">
        <v>6612</v>
      </c>
      <c r="B318" s="1694" t="str">
        <f>CONCATENATE(LEFT(RIGHT(CONCATENATE("000",HH_Debt1516!A320),6),3),"-",(RIGHT(RIGHT(CONCATENATE("000",HH_Debt1516!A320),6),3)))</f>
        <v>098-904</v>
      </c>
      <c r="C318" s="121">
        <v>780075</v>
      </c>
    </row>
    <row r="319" spans="1:3" ht="15">
      <c r="A319" s="2266" t="s">
        <v>6613</v>
      </c>
      <c r="B319" s="1694" t="str">
        <f>CONCATENATE(LEFT(RIGHT(CONCATENATE("000",HH_Debt1516!A321),6),3),"-",(RIGHT(RIGHT(CONCATENATE("000",HH_Debt1516!A321),6),3)))</f>
        <v>099-902</v>
      </c>
      <c r="C319" s="121">
        <v>315500</v>
      </c>
    </row>
    <row r="320" spans="1:3" ht="15">
      <c r="A320" s="2266" t="s">
        <v>6614</v>
      </c>
      <c r="B320" s="1694" t="str">
        <f>CONCATENATE(LEFT(RIGHT(CONCATENATE("000",HH_Debt1516!A322),6),3),"-",(RIGHT(RIGHT(CONCATENATE("000",HH_Debt1516!A322),6),3)))</f>
        <v>100-903</v>
      </c>
      <c r="C320" s="121">
        <v>695475</v>
      </c>
    </row>
    <row r="321" spans="1:3" ht="15">
      <c r="A321" s="2266" t="s">
        <v>4164</v>
      </c>
      <c r="B321" s="1694" t="str">
        <f>CONCATENATE(LEFT(RIGHT(CONCATENATE("000",HH_Debt1516!A323),6),3),"-",(RIGHT(RIGHT(CONCATENATE("000",HH_Debt1516!A323),6),3)))</f>
        <v>100-904</v>
      </c>
      <c r="C321" s="121">
        <v>2926887</v>
      </c>
    </row>
    <row r="322" spans="1:3" ht="15">
      <c r="A322" s="2266" t="s">
        <v>6615</v>
      </c>
      <c r="B322" s="1694" t="str">
        <f>CONCATENATE(LEFT(RIGHT(CONCATENATE("000",HH_Debt1516!A324),6),3),"-",(RIGHT(RIGHT(CONCATENATE("000",HH_Debt1516!A324),6),3)))</f>
        <v>100-905</v>
      </c>
      <c r="C322" s="121">
        <v>2214045</v>
      </c>
    </row>
    <row r="323" spans="1:3" ht="15">
      <c r="A323" s="2266" t="s">
        <v>4165</v>
      </c>
      <c r="B323" s="1694" t="str">
        <f>CONCATENATE(LEFT(RIGHT(CONCATENATE("000",HH_Debt1516!A325),6),3),"-",(RIGHT(RIGHT(CONCATENATE("000",HH_Debt1516!A325),6),3)))</f>
        <v>100-907</v>
      </c>
      <c r="C323" s="121">
        <v>1541225</v>
      </c>
    </row>
    <row r="324" spans="1:3" ht="15">
      <c r="A324" s="2266" t="s">
        <v>4166</v>
      </c>
      <c r="B324" s="1694" t="str">
        <f>CONCATENATE(LEFT(RIGHT(CONCATENATE("000",HH_Debt1516!A326),6),3),"-",(RIGHT(RIGHT(CONCATENATE("000",HH_Debt1516!A326),6),3)))</f>
        <v>100-908</v>
      </c>
      <c r="C324" s="121">
        <v>232100</v>
      </c>
    </row>
    <row r="325" spans="1:3" ht="15">
      <c r="A325" s="2266" t="s">
        <v>4167</v>
      </c>
      <c r="B325" s="1694" t="str">
        <f>CONCATENATE(LEFT(RIGHT(CONCATENATE("000",HH_Debt1516!A327),6),3),"-",(RIGHT(RIGHT(CONCATENATE("000",HH_Debt1516!A327),6),3)))</f>
        <v>101-902</v>
      </c>
      <c r="C325" s="121">
        <v>36867927</v>
      </c>
    </row>
    <row r="326" spans="1:3" ht="15">
      <c r="A326" s="2266" t="s">
        <v>4168</v>
      </c>
      <c r="B326" s="1694" t="str">
        <f>CONCATENATE(LEFT(RIGHT(CONCATENATE("000",HH_Debt1516!A328),6),3),"-",(RIGHT(RIGHT(CONCATENATE("000",HH_Debt1516!A328),6),3)))</f>
        <v>101-903</v>
      </c>
      <c r="C326" s="121">
        <v>22523112</v>
      </c>
    </row>
    <row r="327" spans="1:3" ht="15">
      <c r="A327" s="2266" t="s">
        <v>4169</v>
      </c>
      <c r="B327" s="1694" t="str">
        <f>CONCATENATE(LEFT(RIGHT(CONCATENATE("000",HH_Debt1516!A329),6),3),"-",(RIGHT(RIGHT(CONCATENATE("000",HH_Debt1516!A329),6),3)))</f>
        <v>101-905</v>
      </c>
      <c r="C327" s="121">
        <v>10118685</v>
      </c>
    </row>
    <row r="328" spans="1:3" ht="15">
      <c r="A328" s="2266" t="s">
        <v>4170</v>
      </c>
      <c r="B328" s="1694" t="str">
        <f>CONCATENATE(LEFT(RIGHT(CONCATENATE("000",HH_Debt1516!A330),6),3),"-",(RIGHT(RIGHT(CONCATENATE("000",HH_Debt1516!A330),6),3)))</f>
        <v>101-906</v>
      </c>
      <c r="C328" s="121">
        <v>9691670</v>
      </c>
    </row>
    <row r="329" spans="1:3" ht="15">
      <c r="A329" s="2266" t="s">
        <v>6616</v>
      </c>
      <c r="B329" s="1694" t="str">
        <f>CONCATENATE(LEFT(RIGHT(CONCATENATE("000",HH_Debt1516!A331),6),3),"-",(RIGHT(RIGHT(CONCATENATE("000",HH_Debt1516!A331),6),3)))</f>
        <v>101-907</v>
      </c>
      <c r="C329" s="121">
        <v>156749803</v>
      </c>
    </row>
    <row r="330" spans="1:3" ht="15">
      <c r="A330" s="2266" t="s">
        <v>6617</v>
      </c>
      <c r="B330" s="1694" t="str">
        <f>CONCATENATE(LEFT(RIGHT(CONCATENATE("000",HH_Debt1516!A332),6),3),"-",(RIGHT(RIGHT(CONCATENATE("000",HH_Debt1516!A332),6),3)))</f>
        <v>101-908</v>
      </c>
      <c r="C330" s="121">
        <v>23796930</v>
      </c>
    </row>
    <row r="331" spans="1:3" ht="15">
      <c r="A331" s="2266" t="s">
        <v>4171</v>
      </c>
      <c r="B331" s="1694" t="str">
        <f>CONCATENATE(LEFT(RIGHT(CONCATENATE("000",HH_Debt1516!A333),6),3),"-",(RIGHT(RIGHT(CONCATENATE("000",HH_Debt1516!A333),6),3)))</f>
        <v>101-910</v>
      </c>
      <c r="C331" s="121">
        <v>19579994</v>
      </c>
    </row>
    <row r="332" spans="1:3" ht="15">
      <c r="A332" s="2266" t="s">
        <v>6618</v>
      </c>
      <c r="B332" s="1694" t="str">
        <f>CONCATENATE(LEFT(RIGHT(CONCATENATE("000",HH_Debt1516!A334),6),3),"-",(RIGHT(RIGHT(CONCATENATE("000",HH_Debt1516!A334),6),3)))</f>
        <v>101-911</v>
      </c>
      <c r="C332" s="121">
        <v>37375883</v>
      </c>
    </row>
    <row r="333" spans="1:3" ht="15">
      <c r="A333" s="2266" t="s">
        <v>6619</v>
      </c>
      <c r="B333" s="1694" t="str">
        <f>CONCATENATE(LEFT(RIGHT(CONCATENATE("000",HH_Debt1516!A335),6),3),"-",(RIGHT(RIGHT(CONCATENATE("000",HH_Debt1516!A335),6),3)))</f>
        <v>101-912</v>
      </c>
      <c r="C333" s="121">
        <v>200795339</v>
      </c>
    </row>
    <row r="334" spans="1:3" ht="15">
      <c r="A334" s="2266" t="s">
        <v>4172</v>
      </c>
      <c r="B334" s="1694" t="str">
        <f>CONCATENATE(LEFT(RIGHT(CONCATENATE("000",HH_Debt1516!A336),6),3),"-",(RIGHT(RIGHT(CONCATENATE("000",HH_Debt1516!A336),6),3)))</f>
        <v>101-913</v>
      </c>
      <c r="C334" s="121">
        <v>52619794</v>
      </c>
    </row>
    <row r="335" spans="1:3" ht="15">
      <c r="A335" s="2266" t="s">
        <v>4173</v>
      </c>
      <c r="B335" s="1694" t="str">
        <f>CONCATENATE(LEFT(RIGHT(CONCATENATE("000",HH_Debt1516!A337),6),3),"-",(RIGHT(RIGHT(CONCATENATE("000",HH_Debt1516!A337),6),3)))</f>
        <v>101-914</v>
      </c>
      <c r="C335" s="121">
        <v>94028086</v>
      </c>
    </row>
    <row r="336" spans="1:3" ht="15">
      <c r="A336" s="2266" t="s">
        <v>4174</v>
      </c>
      <c r="B336" s="1694" t="str">
        <f>CONCATENATE(LEFT(RIGHT(CONCATENATE("000",HH_Debt1516!A338),6),3),"-",(RIGHT(RIGHT(CONCATENATE("000",HH_Debt1516!A338),6),3)))</f>
        <v>101-915</v>
      </c>
      <c r="C336" s="121">
        <v>74735034</v>
      </c>
    </row>
    <row r="337" spans="1:3" ht="15">
      <c r="A337" s="2266" t="s">
        <v>6620</v>
      </c>
      <c r="B337" s="1694" t="str">
        <f>CONCATENATE(LEFT(RIGHT(CONCATENATE("000",HH_Debt1516!A339),6),3),"-",(RIGHT(RIGHT(CONCATENATE("000",HH_Debt1516!A339),6),3)))</f>
        <v>101-916</v>
      </c>
      <c r="C337" s="121">
        <v>28031011</v>
      </c>
    </row>
    <row r="338" spans="1:3" ht="15">
      <c r="A338" s="2266" t="s">
        <v>4175</v>
      </c>
      <c r="B338" s="1694" t="str">
        <f>CONCATENATE(LEFT(RIGHT(CONCATENATE("000",HH_Debt1516!A340),6),3),"-",(RIGHT(RIGHT(CONCATENATE("000",HH_Debt1516!A340),6),3)))</f>
        <v>101-917</v>
      </c>
      <c r="C338" s="121">
        <v>46857076</v>
      </c>
    </row>
    <row r="339" spans="1:3" ht="15">
      <c r="A339" s="2266" t="s">
        <v>6621</v>
      </c>
      <c r="B339" s="1694" t="str">
        <f>CONCATENATE(LEFT(RIGHT(CONCATENATE("000",HH_Debt1516!A341),6),3),"-",(RIGHT(RIGHT(CONCATENATE("000",HH_Debt1516!A341),6),3)))</f>
        <v>101-919</v>
      </c>
      <c r="C339" s="121">
        <v>47409089</v>
      </c>
    </row>
    <row r="340" spans="1:3" ht="15">
      <c r="A340" s="2266" t="s">
        <v>6622</v>
      </c>
      <c r="B340" s="1694" t="str">
        <f>CONCATENATE(LEFT(RIGHT(CONCATENATE("000",HH_Debt1516!A342),6),3),"-",(RIGHT(RIGHT(CONCATENATE("000",HH_Debt1516!A342),6),3)))</f>
        <v>101-920</v>
      </c>
      <c r="C340" s="121">
        <v>58622228</v>
      </c>
    </row>
    <row r="341" spans="1:3" ht="15">
      <c r="A341" s="2266" t="s">
        <v>6623</v>
      </c>
      <c r="B341" s="1694" t="str">
        <f>CONCATENATE(LEFT(RIGHT(CONCATENATE("000",HH_Debt1516!A343),6),3),"-",(RIGHT(RIGHT(CONCATENATE("000",HH_Debt1516!A343),6),3)))</f>
        <v>101-921</v>
      </c>
      <c r="C341" s="121">
        <v>28153868</v>
      </c>
    </row>
    <row r="342" spans="1:3" ht="15">
      <c r="A342" s="2266" t="s">
        <v>6624</v>
      </c>
      <c r="B342" s="1694" t="str">
        <f>CONCATENATE(LEFT(RIGHT(CONCATENATE("000",HH_Debt1516!A344),6),3),"-",(RIGHT(RIGHT(CONCATENATE("000",HH_Debt1516!A344),6),3)))</f>
        <v>101-924</v>
      </c>
      <c r="C342" s="121">
        <v>11340591</v>
      </c>
    </row>
    <row r="343" spans="1:3" ht="15">
      <c r="A343" s="2266" t="s">
        <v>4176</v>
      </c>
      <c r="B343" s="1694" t="str">
        <f>CONCATENATE(LEFT(RIGHT(CONCATENATE("000",HH_Debt1516!A345),6),3),"-",(RIGHT(RIGHT(CONCATENATE("000",HH_Debt1516!A345),6),3)))</f>
        <v>101-925</v>
      </c>
      <c r="C343" s="121">
        <v>3348072</v>
      </c>
    </row>
    <row r="344" spans="1:3" ht="15">
      <c r="A344" s="2266" t="s">
        <v>6625</v>
      </c>
      <c r="B344" s="1694" t="str">
        <f>CONCATENATE(LEFT(RIGHT(CONCATENATE("000",HH_Debt1516!A346),6),3),"-",(RIGHT(RIGHT(CONCATENATE("000",HH_Debt1516!A346),6),3)))</f>
        <v>102-902</v>
      </c>
      <c r="C344" s="121">
        <v>5422750</v>
      </c>
    </row>
    <row r="345" spans="1:3" ht="15">
      <c r="A345" s="2266" t="s">
        <v>6626</v>
      </c>
      <c r="B345" s="1694" t="str">
        <f>CONCATENATE(LEFT(RIGHT(CONCATENATE("000",HH_Debt1516!A347),6),3),"-",(RIGHT(RIGHT(CONCATENATE("000",HH_Debt1516!A347),6),3)))</f>
        <v>102-903</v>
      </c>
      <c r="C345" s="121">
        <v>505019</v>
      </c>
    </row>
    <row r="346" spans="1:3" ht="15">
      <c r="A346" s="2266" t="s">
        <v>6627</v>
      </c>
      <c r="B346" s="1694" t="str">
        <f>CONCATENATE(LEFT(RIGHT(CONCATENATE("000",HH_Debt1516!A348),6),3),"-",(RIGHT(RIGHT(CONCATENATE("000",HH_Debt1516!A348),6),3)))</f>
        <v>102-904</v>
      </c>
      <c r="C346" s="121">
        <v>7273330</v>
      </c>
    </row>
    <row r="347" spans="1:3" ht="15">
      <c r="A347" s="2266" t="s">
        <v>6628</v>
      </c>
      <c r="B347" s="1694" t="str">
        <f>CONCATENATE(LEFT(RIGHT(CONCATENATE("000",HH_Debt1516!A349),6),3),"-",(RIGHT(RIGHT(CONCATENATE("000",HH_Debt1516!A349),6),3)))</f>
        <v>102-905</v>
      </c>
      <c r="C347" s="121">
        <v>159706</v>
      </c>
    </row>
    <row r="348" spans="1:3" ht="15">
      <c r="A348" s="2266" t="s">
        <v>6629</v>
      </c>
      <c r="B348" s="1694" t="str">
        <f>CONCATENATE(LEFT(RIGHT(CONCATENATE("000",HH_Debt1516!A350),6),3),"-",(RIGHT(RIGHT(CONCATENATE("000",HH_Debt1516!A350),6),3)))</f>
        <v>102-906</v>
      </c>
      <c r="C348" s="121">
        <v>930600</v>
      </c>
    </row>
    <row r="349" spans="1:3" ht="15">
      <c r="A349" s="2266" t="s">
        <v>6630</v>
      </c>
      <c r="B349" s="1694" t="str">
        <f>CONCATENATE(LEFT(RIGHT(CONCATENATE("000",HH_Debt1516!A351),6),3),"-",(RIGHT(RIGHT(CONCATENATE("000",HH_Debt1516!A351),6),3)))</f>
        <v>103-901</v>
      </c>
      <c r="C349" s="121">
        <v>280425</v>
      </c>
    </row>
    <row r="350" spans="1:3" ht="15">
      <c r="A350" s="2266" t="s">
        <v>6631</v>
      </c>
      <c r="B350" s="1694" t="str">
        <f>CONCATENATE(LEFT(RIGHT(CONCATENATE("000",HH_Debt1516!A352),6),3),"-",(RIGHT(RIGHT(CONCATENATE("000",HH_Debt1516!A352),6),3)))</f>
        <v>103-902</v>
      </c>
      <c r="C350" s="121">
        <v>423212</v>
      </c>
    </row>
    <row r="351" spans="1:3" ht="15">
      <c r="A351" s="2266" t="s">
        <v>4177</v>
      </c>
      <c r="B351" s="1694" t="str">
        <f>CONCATENATE(LEFT(RIGHT(CONCATENATE("000",HH_Debt1516!A353),6),3),"-",(RIGHT(RIGHT(CONCATENATE("000",HH_Debt1516!A353),6),3)))</f>
        <v>104-901</v>
      </c>
      <c r="C351" s="121">
        <v>85032</v>
      </c>
    </row>
    <row r="352" spans="1:3" ht="15">
      <c r="A352" s="2266" t="s">
        <v>6632</v>
      </c>
      <c r="B352" s="1694" t="str">
        <f>CONCATENATE(LEFT(RIGHT(CONCATENATE("000",HH_Debt1516!A354),6),3),"-",(RIGHT(RIGHT(CONCATENATE("000",HH_Debt1516!A354),6),3)))</f>
        <v>104-907</v>
      </c>
      <c r="C352" s="121">
        <v>105566</v>
      </c>
    </row>
    <row r="353" spans="1:3" ht="15">
      <c r="A353" s="2266" t="s">
        <v>6633</v>
      </c>
      <c r="B353" s="1694" t="str">
        <f>CONCATENATE(LEFT(RIGHT(CONCATENATE("000",HH_Debt1516!A355),6),3),"-",(RIGHT(RIGHT(CONCATENATE("000",HH_Debt1516!A355),6),3)))</f>
        <v>105-902</v>
      </c>
      <c r="C353" s="121">
        <v>13145239</v>
      </c>
    </row>
    <row r="354" spans="1:3" ht="15">
      <c r="A354" s="2266" t="s">
        <v>4178</v>
      </c>
      <c r="B354" s="1694" t="str">
        <f>CONCATENATE(LEFT(RIGHT(CONCATENATE("000",HH_Debt1516!A356),6),3),"-",(RIGHT(RIGHT(CONCATENATE("000",HH_Debt1516!A356),6),3)))</f>
        <v>105-904</v>
      </c>
      <c r="C354" s="121">
        <v>14480875</v>
      </c>
    </row>
    <row r="355" spans="1:3" ht="15">
      <c r="A355" s="2266" t="s">
        <v>6634</v>
      </c>
      <c r="B355" s="1694" t="str">
        <f>CONCATENATE(LEFT(RIGHT(CONCATENATE("000",HH_Debt1516!A357),6),3),"-",(RIGHT(RIGHT(CONCATENATE("000",HH_Debt1516!A357),6),3)))</f>
        <v>105-905</v>
      </c>
      <c r="C355" s="121">
        <v>3057442</v>
      </c>
    </row>
    <row r="356" spans="1:3" ht="15">
      <c r="A356" s="2266" t="s">
        <v>4179</v>
      </c>
      <c r="B356" s="1694" t="str">
        <f>CONCATENATE(LEFT(RIGHT(CONCATENATE("000",HH_Debt1516!A358),6),3),"-",(RIGHT(RIGHT(CONCATENATE("000",HH_Debt1516!A358),6),3)))</f>
        <v>105-906</v>
      </c>
      <c r="C356" s="121">
        <v>25363440</v>
      </c>
    </row>
    <row r="357" spans="1:3" ht="15">
      <c r="A357" s="2266" t="s">
        <v>6635</v>
      </c>
      <c r="B357" s="1694" t="str">
        <f>CONCATENATE(LEFT(RIGHT(CONCATENATE("000",HH_Debt1516!A359),6),3),"-",(RIGHT(RIGHT(CONCATENATE("000",HH_Debt1516!A359),6),3)))</f>
        <v>106-901</v>
      </c>
      <c r="C357" s="121">
        <v>551250</v>
      </c>
    </row>
    <row r="358" spans="1:3" ht="15">
      <c r="A358" s="2266" t="s">
        <v>6636</v>
      </c>
      <c r="B358" s="1694" t="str">
        <f>CONCATENATE(LEFT(RIGHT(CONCATENATE("000",HH_Debt1516!A360),6),3),"-",(RIGHT(RIGHT(CONCATENATE("000",HH_Debt1516!A360),6),3)))</f>
        <v>107-901</v>
      </c>
      <c r="C358" s="121">
        <v>1807070</v>
      </c>
    </row>
    <row r="359" spans="1:3" ht="15">
      <c r="A359" s="2266" t="s">
        <v>6637</v>
      </c>
      <c r="B359" s="1694" t="str">
        <f>CONCATENATE(LEFT(RIGHT(CONCATENATE("000",HH_Debt1516!A361),6),3),"-",(RIGHT(RIGHT(CONCATENATE("000",HH_Debt1516!A361),6),3)))</f>
        <v>107-902</v>
      </c>
      <c r="C359" s="121">
        <v>2658500</v>
      </c>
    </row>
    <row r="360" spans="1:3" ht="15">
      <c r="A360" s="2266" t="s">
        <v>6638</v>
      </c>
      <c r="B360" s="1694" t="str">
        <f>CONCATENATE(LEFT(RIGHT(CONCATENATE("000",HH_Debt1516!A362),6),3),"-",(RIGHT(RIGHT(CONCATENATE("000",HH_Debt1516!A362),6),3)))</f>
        <v>107-904</v>
      </c>
      <c r="C360" s="121">
        <v>385650</v>
      </c>
    </row>
    <row r="361" spans="1:3" ht="15">
      <c r="A361" s="2266" t="s">
        <v>6639</v>
      </c>
      <c r="B361" s="1694" t="str">
        <f>CONCATENATE(LEFT(RIGHT(CONCATENATE("000",HH_Debt1516!A363),6),3),"-",(RIGHT(RIGHT(CONCATENATE("000",HH_Debt1516!A363),6),3)))</f>
        <v>107-905</v>
      </c>
      <c r="C361" s="121">
        <v>901825</v>
      </c>
    </row>
    <row r="362" spans="1:3" ht="15">
      <c r="A362" s="2266" t="s">
        <v>6640</v>
      </c>
      <c r="B362" s="1694" t="str">
        <f>CONCATENATE(LEFT(RIGHT(CONCATENATE("000",HH_Debt1516!A364),6),3),"-",(RIGHT(RIGHT(CONCATENATE("000",HH_Debt1516!A364),6),3)))</f>
        <v>107-906</v>
      </c>
      <c r="C362" s="121">
        <v>1787065</v>
      </c>
    </row>
    <row r="363" spans="1:3" ht="15">
      <c r="A363" s="2266" t="s">
        <v>4180</v>
      </c>
      <c r="B363" s="1694" t="str">
        <f>CONCATENATE(LEFT(RIGHT(CONCATENATE("000",HH_Debt1516!A365),6),3),"-",(RIGHT(RIGHT(CONCATENATE("000",HH_Debt1516!A365),6),3)))</f>
        <v>107-907</v>
      </c>
      <c r="C363" s="121">
        <v>149775</v>
      </c>
    </row>
    <row r="364" spans="1:3" ht="15">
      <c r="A364" s="2266" t="s">
        <v>6641</v>
      </c>
      <c r="B364" s="1694" t="str">
        <f>CONCATENATE(LEFT(RIGHT(CONCATENATE("000",HH_Debt1516!A366),6),3),"-",(RIGHT(RIGHT(CONCATENATE("000",HH_Debt1516!A366),6),3)))</f>
        <v>107-910</v>
      </c>
      <c r="C364" s="121">
        <v>532597</v>
      </c>
    </row>
    <row r="365" spans="1:3" ht="15">
      <c r="A365" s="2266" t="s">
        <v>4181</v>
      </c>
      <c r="B365" s="1694" t="str">
        <f>CONCATENATE(LEFT(RIGHT(CONCATENATE("000",HH_Debt1516!A367),6),3),"-",(RIGHT(RIGHT(CONCATENATE("000",HH_Debt1516!A367),6),3)))</f>
        <v>108-902</v>
      </c>
      <c r="C365" s="121">
        <v>8760381</v>
      </c>
    </row>
    <row r="366" spans="1:3" ht="15">
      <c r="A366" s="2266" t="s">
        <v>4182</v>
      </c>
      <c r="B366" s="1694" t="str">
        <f>CONCATENATE(LEFT(RIGHT(CONCATENATE("000",HH_Debt1516!A368),6),3),"-",(RIGHT(RIGHT(CONCATENATE("000",HH_Debt1516!A368),6),3)))</f>
        <v>108-903</v>
      </c>
      <c r="C366" s="121">
        <v>3810994</v>
      </c>
    </row>
    <row r="367" spans="1:3" ht="15">
      <c r="A367" s="2266" t="s">
        <v>4183</v>
      </c>
      <c r="B367" s="1694" t="str">
        <f>CONCATENATE(LEFT(RIGHT(CONCATENATE("000",HH_Debt1516!A369),6),3),"-",(RIGHT(RIGHT(CONCATENATE("000",HH_Debt1516!A369),6),3)))</f>
        <v>108-904</v>
      </c>
      <c r="C367" s="121">
        <v>18592375</v>
      </c>
    </row>
    <row r="368" spans="1:3" ht="15">
      <c r="A368" s="2266" t="s">
        <v>4184</v>
      </c>
      <c r="B368" s="1694" t="str">
        <f>CONCATENATE(LEFT(RIGHT(CONCATENATE("000",HH_Debt1516!A370),6),3),"-",(RIGHT(RIGHT(CONCATENATE("000",HH_Debt1516!A370),6),3)))</f>
        <v>108-905</v>
      </c>
      <c r="C368" s="121">
        <v>3698266</v>
      </c>
    </row>
    <row r="369" spans="1:3" ht="15">
      <c r="A369" s="2266" t="s">
        <v>4185</v>
      </c>
      <c r="B369" s="1694" t="str">
        <f>CONCATENATE(LEFT(RIGHT(CONCATENATE("000",HH_Debt1516!A371),6),3),"-",(RIGHT(RIGHT(CONCATENATE("000",HH_Debt1516!A371),6),3)))</f>
        <v>108-906</v>
      </c>
      <c r="C369" s="121">
        <v>9777725</v>
      </c>
    </row>
    <row r="370" spans="1:3" ht="15">
      <c r="A370" s="2266" t="s">
        <v>4186</v>
      </c>
      <c r="B370" s="1694" t="str">
        <f>CONCATENATE(LEFT(RIGHT(CONCATENATE("000",HH_Debt1516!A372),6),3),"-",(RIGHT(RIGHT(CONCATENATE("000",HH_Debt1516!A372),6),3)))</f>
        <v>108-907</v>
      </c>
      <c r="C370" s="121">
        <v>5396143</v>
      </c>
    </row>
    <row r="371" spans="1:3" ht="15">
      <c r="A371" s="2266" t="s">
        <v>4187</v>
      </c>
      <c r="B371" s="1694" t="str">
        <f>CONCATENATE(LEFT(RIGHT(CONCATENATE("000",HH_Debt1516!A373),6),3),"-",(RIGHT(RIGHT(CONCATENATE("000",HH_Debt1516!A373),6),3)))</f>
        <v>108-908</v>
      </c>
      <c r="C371" s="121">
        <v>9421506</v>
      </c>
    </row>
    <row r="372" spans="1:3" ht="15">
      <c r="A372" s="2266" t="s">
        <v>4188</v>
      </c>
      <c r="B372" s="1694" t="str">
        <f>CONCATENATE(LEFT(RIGHT(CONCATENATE("000",HH_Debt1516!A374),6),3),"-",(RIGHT(RIGHT(CONCATENATE("000",HH_Debt1516!A374),6),3)))</f>
        <v>108-909</v>
      </c>
      <c r="C372" s="121">
        <v>27642137</v>
      </c>
    </row>
    <row r="373" spans="1:3" ht="15">
      <c r="A373" s="2266" t="s">
        <v>4189</v>
      </c>
      <c r="B373" s="1694" t="str">
        <f>CONCATENATE(LEFT(RIGHT(CONCATENATE("000",HH_Debt1516!A375),6),3),"-",(RIGHT(RIGHT(CONCATENATE("000",HH_Debt1516!A375),6),3)))</f>
        <v>108-910</v>
      </c>
      <c r="C373" s="121">
        <v>2208397</v>
      </c>
    </row>
    <row r="374" spans="1:3" ht="15">
      <c r="A374" s="2266" t="s">
        <v>4190</v>
      </c>
      <c r="B374" s="1694" t="str">
        <f>CONCATENATE(LEFT(RIGHT(CONCATENATE("000",HH_Debt1516!A376),6),3),"-",(RIGHT(RIGHT(CONCATENATE("000",HH_Debt1516!A376),6),3)))</f>
        <v>108-911</v>
      </c>
      <c r="C374" s="121">
        <v>8887516</v>
      </c>
    </row>
    <row r="375" spans="1:3" ht="15">
      <c r="A375" s="2266" t="s">
        <v>4191</v>
      </c>
      <c r="B375" s="1694" t="str">
        <f>CONCATENATE(LEFT(RIGHT(CONCATENATE("000",HH_Debt1516!A377),6),3),"-",(RIGHT(RIGHT(CONCATENATE("000",HH_Debt1516!A377),6),3)))</f>
        <v>108-912</v>
      </c>
      <c r="C375" s="121">
        <v>23868272</v>
      </c>
    </row>
    <row r="376" spans="1:3" ht="15">
      <c r="A376" s="2266" t="s">
        <v>4192</v>
      </c>
      <c r="B376" s="1694" t="str">
        <f>CONCATENATE(LEFT(RIGHT(CONCATENATE("000",HH_Debt1516!A378),6),3),"-",(RIGHT(RIGHT(CONCATENATE("000",HH_Debt1516!A378),6),3)))</f>
        <v>108-913</v>
      </c>
      <c r="C376" s="121">
        <v>4961200</v>
      </c>
    </row>
    <row r="377" spans="1:3" ht="15">
      <c r="A377" s="2266" t="s">
        <v>4193</v>
      </c>
      <c r="B377" s="1694" t="str">
        <f>CONCATENATE(LEFT(RIGHT(CONCATENATE("000",HH_Debt1516!A379),6),3),"-",(RIGHT(RIGHT(CONCATENATE("000",HH_Debt1516!A379),6),3)))</f>
        <v>108-914</v>
      </c>
      <c r="C377" s="121">
        <v>490150</v>
      </c>
    </row>
    <row r="378" spans="1:3" ht="15">
      <c r="A378" s="2266" t="s">
        <v>4194</v>
      </c>
      <c r="B378" s="1694" t="str">
        <f>CONCATENATE(LEFT(RIGHT(CONCATENATE("000",HH_Debt1516!A380),6),3),"-",(RIGHT(RIGHT(CONCATENATE("000",HH_Debt1516!A380),6),3)))</f>
        <v>108-915</v>
      </c>
      <c r="C378" s="121">
        <v>971180</v>
      </c>
    </row>
    <row r="379" spans="1:3" ht="15">
      <c r="A379" s="2266" t="s">
        <v>4195</v>
      </c>
      <c r="B379" s="1694" t="str">
        <f>CONCATENATE(LEFT(RIGHT(CONCATENATE("000",HH_Debt1516!A381),6),3),"-",(RIGHT(RIGHT(CONCATENATE("000",HH_Debt1516!A381),6),3)))</f>
        <v>108-916</v>
      </c>
      <c r="C379" s="121">
        <v>3462199</v>
      </c>
    </row>
    <row r="380" spans="1:3" ht="15">
      <c r="A380" s="2266" t="s">
        <v>4196</v>
      </c>
      <c r="B380" s="1694" t="str">
        <f>CONCATENATE(LEFT(RIGHT(CONCATENATE("000",HH_Debt1516!A382),6),3),"-",(RIGHT(RIGHT(CONCATENATE("000",HH_Debt1516!A382),6),3)))</f>
        <v>109-901</v>
      </c>
      <c r="C380" s="121">
        <v>237101</v>
      </c>
    </row>
    <row r="381" spans="1:3" ht="15">
      <c r="A381" s="2266" t="s">
        <v>4197</v>
      </c>
      <c r="B381" s="1694" t="str">
        <f>CONCATENATE(LEFT(RIGHT(CONCATENATE("000",HH_Debt1516!A383),6),3),"-",(RIGHT(RIGHT(CONCATENATE("000",HH_Debt1516!A383),6),3)))</f>
        <v>109-902</v>
      </c>
      <c r="C381" s="121">
        <v>171315</v>
      </c>
    </row>
    <row r="382" spans="1:3" ht="15">
      <c r="A382" s="2266" t="s">
        <v>5676</v>
      </c>
      <c r="B382" s="1694" t="str">
        <f>CONCATENATE(LEFT(RIGHT(CONCATENATE("000",HH_Debt1516!A384),6),3),"-",(RIGHT(RIGHT(CONCATENATE("000",HH_Debt1516!A384),6),3)))</f>
        <v>109-903</v>
      </c>
      <c r="C382" s="121">
        <v>128266</v>
      </c>
    </row>
    <row r="383" spans="1:3" ht="15">
      <c r="A383" s="2266" t="s">
        <v>4198</v>
      </c>
      <c r="B383" s="1694" t="str">
        <f>CONCATENATE(LEFT(RIGHT(CONCATENATE("000",HH_Debt1516!A385),6),3),"-",(RIGHT(RIGHT(CONCATENATE("000",HH_Debt1516!A385),6),3)))</f>
        <v>109-904</v>
      </c>
      <c r="C383" s="121">
        <v>699350</v>
      </c>
    </row>
    <row r="384" spans="1:3" ht="15">
      <c r="A384" s="2266" t="s">
        <v>4199</v>
      </c>
      <c r="B384" s="1694" t="str">
        <f>CONCATENATE(LEFT(RIGHT(CONCATENATE("000",HH_Debt1516!A386),6),3),"-",(RIGHT(RIGHT(CONCATENATE("000",HH_Debt1516!A386),6),3)))</f>
        <v>109-905</v>
      </c>
      <c r="C384" s="121">
        <v>667078</v>
      </c>
    </row>
    <row r="385" spans="1:3" ht="15">
      <c r="A385" s="2266" t="s">
        <v>4200</v>
      </c>
      <c r="B385" s="1694" t="str">
        <f>CONCATENATE(LEFT(RIGHT(CONCATENATE("000",HH_Debt1516!A387),6),3),"-",(RIGHT(RIGHT(CONCATENATE("000",HH_Debt1516!A387),6),3)))</f>
        <v>109-907</v>
      </c>
      <c r="C385" s="121">
        <v>546931</v>
      </c>
    </row>
    <row r="386" spans="1:3" ht="15">
      <c r="A386" s="2266" t="s">
        <v>4201</v>
      </c>
      <c r="B386" s="1694" t="str">
        <f>CONCATENATE(LEFT(RIGHT(CONCATENATE("000",HH_Debt1516!A388),6),3),"-",(RIGHT(RIGHT(CONCATENATE("000",HH_Debt1516!A388),6),3)))</f>
        <v>109-908</v>
      </c>
      <c r="C386" s="121">
        <v>78594</v>
      </c>
    </row>
    <row r="387" spans="1:3" ht="15">
      <c r="A387" s="2266" t="s">
        <v>4202</v>
      </c>
      <c r="B387" s="1694" t="str">
        <f>CONCATENATE(LEFT(RIGHT(CONCATENATE("000",HH_Debt1516!A389),6),3),"-",(RIGHT(RIGHT(CONCATENATE("000",HH_Debt1516!A389),6),3)))</f>
        <v>109-910</v>
      </c>
      <c r="C387" s="121">
        <v>95773</v>
      </c>
    </row>
    <row r="388" spans="1:3" ht="15">
      <c r="A388" s="2266" t="s">
        <v>6642</v>
      </c>
      <c r="B388" s="1694" t="str">
        <f>CONCATENATE(LEFT(RIGHT(CONCATENATE("000",HH_Debt1516!A390),6),3),"-",(RIGHT(RIGHT(CONCATENATE("000",HH_Debt1516!A390),6),3)))</f>
        <v>109-911</v>
      </c>
      <c r="C388" s="121">
        <v>1886156</v>
      </c>
    </row>
    <row r="389" spans="1:3" ht="15">
      <c r="A389" s="2266" t="s">
        <v>4203</v>
      </c>
      <c r="B389" s="1694" t="str">
        <f>CONCATENATE(LEFT(RIGHT(CONCATENATE("000",HH_Debt1516!A391),6),3),"-",(RIGHT(RIGHT(CONCATENATE("000",HH_Debt1516!A391),6),3)))</f>
        <v>109-912</v>
      </c>
      <c r="C389" s="121">
        <v>209646</v>
      </c>
    </row>
    <row r="390" spans="1:3" ht="15">
      <c r="A390" s="2266" t="s">
        <v>5694</v>
      </c>
      <c r="B390" s="1694" t="str">
        <f>CONCATENATE(LEFT(RIGHT(CONCATENATE("000",HH_Debt1516!A392),6),3),"-",(RIGHT(RIGHT(CONCATENATE("000",HH_Debt1516!A392),6),3)))</f>
        <v>109-913</v>
      </c>
      <c r="C390" s="121">
        <v>254900</v>
      </c>
    </row>
    <row r="391" spans="1:3" ht="15">
      <c r="A391" s="2266" t="s">
        <v>6643</v>
      </c>
      <c r="B391" s="1694" t="str">
        <f>CONCATENATE(LEFT(RIGHT(CONCATENATE("000",HH_Debt1516!A393),6),3),"-",(RIGHT(RIGHT(CONCATENATE("000",HH_Debt1516!A393),6),3)))</f>
        <v>110-902</v>
      </c>
      <c r="C391" s="121">
        <v>3825692</v>
      </c>
    </row>
    <row r="392" spans="1:3" ht="15">
      <c r="A392" s="2266" t="s">
        <v>6644</v>
      </c>
      <c r="B392" s="1694" t="str">
        <f>CONCATENATE(LEFT(RIGHT(CONCATENATE("000",HH_Debt1516!A394),6),3),"-",(RIGHT(RIGHT(CONCATENATE("000",HH_Debt1516!A394),6),3)))</f>
        <v>110-905</v>
      </c>
      <c r="C392" s="121">
        <v>297125</v>
      </c>
    </row>
    <row r="393" spans="1:3" ht="15">
      <c r="A393" s="2266" t="s">
        <v>4204</v>
      </c>
      <c r="B393" s="1694" t="str">
        <f>CONCATENATE(LEFT(RIGHT(CONCATENATE("000",HH_Debt1516!A395),6),3),"-",(RIGHT(RIGHT(CONCATENATE("000",HH_Debt1516!A395),6),3)))</f>
        <v>110-906</v>
      </c>
      <c r="C393" s="121">
        <v>106994</v>
      </c>
    </row>
    <row r="394" spans="1:3" ht="15">
      <c r="A394" s="2266" t="s">
        <v>6645</v>
      </c>
      <c r="B394" s="1694" t="str">
        <f>CONCATENATE(LEFT(RIGHT(CONCATENATE("000",HH_Debt1516!A396),6),3),"-",(RIGHT(RIGHT(CONCATENATE("000",HH_Debt1516!A396),6),3)))</f>
        <v>111-901</v>
      </c>
      <c r="C394" s="121">
        <v>9414461</v>
      </c>
    </row>
    <row r="395" spans="1:3" ht="15">
      <c r="A395" s="2266" t="s">
        <v>4205</v>
      </c>
      <c r="B395" s="1694" t="str">
        <f>CONCATENATE(LEFT(RIGHT(CONCATENATE("000",HH_Debt1516!A397),6),3),"-",(RIGHT(RIGHT(CONCATENATE("000",HH_Debt1516!A397),6),3)))</f>
        <v>111-902</v>
      </c>
      <c r="C395" s="121">
        <v>535631</v>
      </c>
    </row>
    <row r="396" spans="1:3" ht="15">
      <c r="A396" s="2266" t="s">
        <v>4206</v>
      </c>
      <c r="B396" s="1694" t="str">
        <f>CONCATENATE(LEFT(RIGHT(CONCATENATE("000",HH_Debt1516!A398),6),3),"-",(RIGHT(RIGHT(CONCATENATE("000",HH_Debt1516!A398),6),3)))</f>
        <v>111-903</v>
      </c>
      <c r="C396" s="121">
        <v>872262</v>
      </c>
    </row>
    <row r="397" spans="1:3" ht="15">
      <c r="A397" s="2266" t="s">
        <v>4207</v>
      </c>
      <c r="B397" s="1694" t="str">
        <f>CONCATENATE(LEFT(RIGHT(CONCATENATE("000",HH_Debt1516!A399),6),3),"-",(RIGHT(RIGHT(CONCATENATE("000",HH_Debt1516!A399),6),3)))</f>
        <v>112-901</v>
      </c>
      <c r="C397" s="121">
        <v>4210398</v>
      </c>
    </row>
    <row r="398" spans="1:3" ht="15">
      <c r="A398" s="2266" t="s">
        <v>4208</v>
      </c>
      <c r="B398" s="1694" t="str">
        <f>CONCATENATE(LEFT(RIGHT(CONCATENATE("000",HH_Debt1516!A400),6),3),"-",(RIGHT(RIGHT(CONCATENATE("000",HH_Debt1516!A400),6),3)))</f>
        <v>112-905</v>
      </c>
      <c r="C398" s="121">
        <v>152601</v>
      </c>
    </row>
    <row r="399" spans="1:3" ht="15">
      <c r="A399" s="2266" t="s">
        <v>6646</v>
      </c>
      <c r="B399" s="1694" t="str">
        <f>CONCATENATE(LEFT(RIGHT(CONCATENATE("000",HH_Debt1516!A401),6),3),"-",(RIGHT(RIGHT(CONCATENATE("000",HH_Debt1516!A401),6),3)))</f>
        <v>112-906</v>
      </c>
      <c r="C399" s="121">
        <v>304612</v>
      </c>
    </row>
    <row r="400" spans="1:3" ht="15">
      <c r="A400" s="2266" t="s">
        <v>4209</v>
      </c>
      <c r="B400" s="1694" t="str">
        <f>CONCATENATE(LEFT(RIGHT(CONCATENATE("000",HH_Debt1516!A402),6),3),"-",(RIGHT(RIGHT(CONCATENATE("000",HH_Debt1516!A402),6),3)))</f>
        <v>112-907</v>
      </c>
      <c r="C400" s="121">
        <v>182100</v>
      </c>
    </row>
    <row r="401" spans="1:3" ht="15">
      <c r="A401" s="2266" t="s">
        <v>4210</v>
      </c>
      <c r="B401" s="1694" t="str">
        <f>CONCATENATE(LEFT(RIGHT(CONCATENATE("000",HH_Debt1516!A403),6),3),"-",(RIGHT(RIGHT(CONCATENATE("000",HH_Debt1516!A403),6),3)))</f>
        <v>112-910</v>
      </c>
      <c r="C401" s="121">
        <v>84934</v>
      </c>
    </row>
    <row r="402" spans="1:3" ht="15">
      <c r="A402" s="2266" t="s">
        <v>6647</v>
      </c>
      <c r="B402" s="1694" t="str">
        <f>CONCATENATE(LEFT(RIGHT(CONCATENATE("000",HH_Debt1516!A404),6),3),"-",(RIGHT(RIGHT(CONCATENATE("000",HH_Debt1516!A404),6),3)))</f>
        <v>113-901</v>
      </c>
      <c r="C402" s="121">
        <v>870201</v>
      </c>
    </row>
    <row r="403" spans="1:3" ht="15">
      <c r="A403" s="2266" t="s">
        <v>6648</v>
      </c>
      <c r="B403" s="1694" t="str">
        <f>CONCATENATE(LEFT(RIGHT(CONCATENATE("000",HH_Debt1516!A405),6),3),"-",(RIGHT(RIGHT(CONCATENATE("000",HH_Debt1516!A405),6),3)))</f>
        <v>113-902</v>
      </c>
      <c r="C403" s="121">
        <v>250344</v>
      </c>
    </row>
    <row r="404" spans="1:3" ht="15">
      <c r="A404" s="2266" t="s">
        <v>6649</v>
      </c>
      <c r="B404" s="1694" t="str">
        <f>CONCATENATE(LEFT(RIGHT(CONCATENATE("000",HH_Debt1516!A406),6),3),"-",(RIGHT(RIGHT(CONCATENATE("000",HH_Debt1516!A406),6),3)))</f>
        <v>113-905</v>
      </c>
      <c r="C404" s="121">
        <v>241710</v>
      </c>
    </row>
    <row r="405" spans="1:3" ht="15">
      <c r="A405" s="2266" t="s">
        <v>4211</v>
      </c>
      <c r="B405" s="1694" t="str">
        <f>CONCATENATE(LEFT(RIGHT(CONCATENATE("000",HH_Debt1516!A407),6),3),"-",(RIGHT(RIGHT(CONCATENATE("000",HH_Debt1516!A407),6),3)))</f>
        <v>114-901</v>
      </c>
      <c r="C405" s="121">
        <v>3964945</v>
      </c>
    </row>
    <row r="406" spans="1:3" ht="15">
      <c r="A406" s="2266" t="s">
        <v>6650</v>
      </c>
      <c r="B406" s="1694" t="str">
        <f>CONCATENATE(LEFT(RIGHT(CONCATENATE("000",HH_Debt1516!A408),6),3),"-",(RIGHT(RIGHT(CONCATENATE("000",HH_Debt1516!A408),6),3)))</f>
        <v>114-902</v>
      </c>
      <c r="C406" s="121">
        <v>816083</v>
      </c>
    </row>
    <row r="407" spans="1:3" ht="15">
      <c r="A407" s="2266" t="s">
        <v>6651</v>
      </c>
      <c r="B407" s="1694" t="str">
        <f>CONCATENATE(LEFT(RIGHT(CONCATENATE("000",HH_Debt1516!A409),6),3),"-",(RIGHT(RIGHT(CONCATENATE("000",HH_Debt1516!A409),6),3)))</f>
        <v>114-904</v>
      </c>
      <c r="C407" s="121">
        <v>1691550</v>
      </c>
    </row>
    <row r="408" spans="1:3" ht="15">
      <c r="A408" s="2266" t="s">
        <v>6652</v>
      </c>
      <c r="B408" s="1694" t="str">
        <f>CONCATENATE(LEFT(RIGHT(CONCATENATE("000",HH_Debt1516!A410),6),3),"-",(RIGHT(RIGHT(CONCATENATE("000",HH_Debt1516!A410),6),3)))</f>
        <v>115-901</v>
      </c>
      <c r="C408" s="121">
        <v>115600</v>
      </c>
    </row>
    <row r="409" spans="1:3" ht="15">
      <c r="A409" s="2266" t="s">
        <v>4212</v>
      </c>
      <c r="B409" s="1694" t="str">
        <f>CONCATENATE(LEFT(RIGHT(CONCATENATE("000",HH_Debt1516!A411),6),3),"-",(RIGHT(RIGHT(CONCATENATE("000",HH_Debt1516!A411),6),3)))</f>
        <v>116-901</v>
      </c>
      <c r="C409" s="121">
        <v>2128500</v>
      </c>
    </row>
    <row r="410" spans="1:3" ht="15">
      <c r="A410" s="2266" t="s">
        <v>4213</v>
      </c>
      <c r="B410" s="1694" t="str">
        <f>CONCATENATE(LEFT(RIGHT(CONCATENATE("000",HH_Debt1516!A412),6),3),"-",(RIGHT(RIGHT(CONCATENATE("000",HH_Debt1516!A412),6),3)))</f>
        <v>116-902</v>
      </c>
      <c r="C410" s="121">
        <v>512425</v>
      </c>
    </row>
    <row r="411" spans="1:3" ht="15">
      <c r="A411" s="2266" t="s">
        <v>4214</v>
      </c>
      <c r="B411" s="1694" t="str">
        <f>CONCATENATE(LEFT(RIGHT(CONCATENATE("000",HH_Debt1516!A413),6),3),"-",(RIGHT(RIGHT(CONCATENATE("000",HH_Debt1516!A413),6),3)))</f>
        <v>116-903</v>
      </c>
      <c r="C411" s="121">
        <v>2027791</v>
      </c>
    </row>
    <row r="412" spans="1:3" ht="15">
      <c r="A412" s="2266" t="s">
        <v>6653</v>
      </c>
      <c r="B412" s="1694" t="str">
        <f>CONCATENATE(LEFT(RIGHT(CONCATENATE("000",HH_Debt1516!A414),6),3),"-",(RIGHT(RIGHT(CONCATENATE("000",HH_Debt1516!A414),6),3)))</f>
        <v>116-905</v>
      </c>
      <c r="C412" s="121">
        <v>5204212</v>
      </c>
    </row>
    <row r="413" spans="1:3" ht="15">
      <c r="A413" s="2266" t="s">
        <v>4215</v>
      </c>
      <c r="B413" s="1694" t="str">
        <f>CONCATENATE(LEFT(RIGHT(CONCATENATE("000",HH_Debt1516!A415),6),3),"-",(RIGHT(RIGHT(CONCATENATE("000",HH_Debt1516!A415),6),3)))</f>
        <v>116-906</v>
      </c>
      <c r="C413" s="121">
        <v>749814</v>
      </c>
    </row>
    <row r="414" spans="1:3" ht="15">
      <c r="A414" s="2266" t="s">
        <v>4216</v>
      </c>
      <c r="B414" s="1694" t="str">
        <f>CONCATENATE(LEFT(RIGHT(CONCATENATE("000",HH_Debt1516!A416),6),3),"-",(RIGHT(RIGHT(CONCATENATE("000",HH_Debt1516!A416),6),3)))</f>
        <v>116-908</v>
      </c>
      <c r="C414" s="121">
        <v>1645775</v>
      </c>
    </row>
    <row r="415" spans="1:3" ht="15">
      <c r="A415" s="2266" t="s">
        <v>4217</v>
      </c>
      <c r="B415" s="1694" t="str">
        <f>CONCATENATE(LEFT(RIGHT(CONCATENATE("000",HH_Debt1516!A417),6),3),"-",(RIGHT(RIGHT(CONCATENATE("000",HH_Debt1516!A417),6),3)))</f>
        <v>116-909</v>
      </c>
      <c r="C415" s="121">
        <v>245159</v>
      </c>
    </row>
    <row r="416" spans="1:3" ht="15">
      <c r="A416" s="2266" t="s">
        <v>6654</v>
      </c>
      <c r="B416" s="1694" t="str">
        <f>CONCATENATE(LEFT(RIGHT(CONCATENATE("000",HH_Debt1516!A418),6),3),"-",(RIGHT(RIGHT(CONCATENATE("000",HH_Debt1516!A418),6),3)))</f>
        <v>116-910</v>
      </c>
      <c r="C416" s="121">
        <v>57575</v>
      </c>
    </row>
    <row r="417" spans="1:3" ht="15">
      <c r="A417" s="2266" t="s">
        <v>4218</v>
      </c>
      <c r="B417" s="1694" t="str">
        <f>CONCATENATE(LEFT(RIGHT(CONCATENATE("000",HH_Debt1516!A419),6),3),"-",(RIGHT(RIGHT(CONCATENATE("000",HH_Debt1516!A419),6),3)))</f>
        <v>116-915</v>
      </c>
      <c r="C417" s="121">
        <v>835238</v>
      </c>
    </row>
    <row r="418" spans="1:3" ht="15">
      <c r="A418" s="2266" t="s">
        <v>4219</v>
      </c>
      <c r="B418" s="1694" t="str">
        <f>CONCATENATE(LEFT(RIGHT(CONCATENATE("000",HH_Debt1516!A420),6),3),"-",(RIGHT(RIGHT(CONCATENATE("000",HH_Debt1516!A420),6),3)))</f>
        <v>116-916</v>
      </c>
      <c r="C418" s="121">
        <v>590285</v>
      </c>
    </row>
    <row r="419" spans="1:3" ht="15">
      <c r="A419" s="2266" t="s">
        <v>6655</v>
      </c>
      <c r="B419" s="1694" t="str">
        <f>CONCATENATE(LEFT(RIGHT(CONCATENATE("000",HH_Debt1516!A421),6),3),"-",(RIGHT(RIGHT(CONCATENATE("000",HH_Debt1516!A421),6),3)))</f>
        <v>117-901</v>
      </c>
      <c r="C419" s="121">
        <v>2262082</v>
      </c>
    </row>
    <row r="420" spans="1:3" ht="15">
      <c r="A420" s="2266" t="s">
        <v>6656</v>
      </c>
      <c r="B420" s="1694" t="str">
        <f>CONCATENATE(LEFT(RIGHT(CONCATENATE("000",HH_Debt1516!A422),6),3),"-",(RIGHT(RIGHT(CONCATENATE("000",HH_Debt1516!A422),6),3)))</f>
        <v>117-903</v>
      </c>
      <c r="C420" s="121">
        <v>633324</v>
      </c>
    </row>
    <row r="421" spans="1:3" ht="15">
      <c r="A421" s="2266" t="s">
        <v>6657</v>
      </c>
      <c r="B421" s="1694" t="str">
        <f>CONCATENATE(LEFT(RIGHT(CONCATENATE("000",HH_Debt1516!A423),6),3),"-",(RIGHT(RIGHT(CONCATENATE("000",HH_Debt1516!A423),6),3)))</f>
        <v>117-904</v>
      </c>
      <c r="C421" s="121">
        <v>3383138</v>
      </c>
    </row>
    <row r="422" spans="1:3" ht="15">
      <c r="A422" s="2266" t="s">
        <v>6658</v>
      </c>
      <c r="B422" s="1694" t="str">
        <f>CONCATENATE(LEFT(RIGHT(CONCATENATE("000",HH_Debt1516!A424),6),3),"-",(RIGHT(RIGHT(CONCATENATE("000",HH_Debt1516!A424),6),3)))</f>
        <v>118-902</v>
      </c>
      <c r="C422" s="121">
        <v>503688</v>
      </c>
    </row>
    <row r="423" spans="1:3" ht="15">
      <c r="A423" s="2266" t="s">
        <v>6659</v>
      </c>
      <c r="B423" s="1694" t="str">
        <f>CONCATENATE(LEFT(RIGHT(CONCATENATE("000",HH_Debt1516!A425),6),3),"-",(RIGHT(RIGHT(CONCATENATE("000",HH_Debt1516!A425),6),3)))</f>
        <v>119-901</v>
      </c>
      <c r="C423" s="121">
        <v>1193338</v>
      </c>
    </row>
    <row r="424" spans="1:3" ht="15">
      <c r="A424" s="2266" t="s">
        <v>6660</v>
      </c>
      <c r="B424" s="1694" t="str">
        <f>CONCATENATE(LEFT(RIGHT(CONCATENATE("000",HH_Debt1516!A426),6),3),"-",(RIGHT(RIGHT(CONCATENATE("000",HH_Debt1516!A426),6),3)))</f>
        <v>119-902</v>
      </c>
      <c r="C424" s="121">
        <v>4231073</v>
      </c>
    </row>
    <row r="425" spans="1:3" ht="15">
      <c r="A425" s="2266" t="s">
        <v>6661</v>
      </c>
      <c r="B425" s="1694" t="str">
        <f>CONCATENATE(LEFT(RIGHT(CONCATENATE("000",HH_Debt1516!A427),6),3),"-",(RIGHT(RIGHT(CONCATENATE("000",HH_Debt1516!A427),6),3)))</f>
        <v>119-903</v>
      </c>
      <c r="C425" s="121">
        <v>543888</v>
      </c>
    </row>
    <row r="426" spans="1:3" ht="15">
      <c r="A426" s="2266" t="s">
        <v>6662</v>
      </c>
      <c r="B426" s="1694" t="str">
        <f>CONCATENATE(LEFT(RIGHT(CONCATENATE("000",HH_Debt1516!A428),6),3),"-",(RIGHT(RIGHT(CONCATENATE("000",HH_Debt1516!A428),6),3)))</f>
        <v>120-901</v>
      </c>
      <c r="C426" s="121">
        <v>1446890</v>
      </c>
    </row>
    <row r="427" spans="1:3" ht="15">
      <c r="A427" s="2266" t="s">
        <v>4220</v>
      </c>
      <c r="B427" s="1694" t="str">
        <f>CONCATENATE(LEFT(RIGHT(CONCATENATE("000",HH_Debt1516!A429),6),3),"-",(RIGHT(RIGHT(CONCATENATE("000",HH_Debt1516!A429),6),3)))</f>
        <v>120-902</v>
      </c>
      <c r="C427" s="121">
        <v>373325</v>
      </c>
    </row>
    <row r="428" spans="1:3" ht="15">
      <c r="A428" s="2266" t="s">
        <v>6663</v>
      </c>
      <c r="B428" s="1694" t="str">
        <f>CONCATENATE(LEFT(RIGHT(CONCATENATE("000",HH_Debt1516!A430),6),3),"-",(RIGHT(RIGHT(CONCATENATE("000",HH_Debt1516!A430),6),3)))</f>
        <v>120-905</v>
      </c>
      <c r="C428" s="121">
        <v>1674678</v>
      </c>
    </row>
    <row r="429" spans="1:3" ht="15">
      <c r="A429" s="2266" t="s">
        <v>4222</v>
      </c>
      <c r="B429" s="1694" t="str">
        <f>CONCATENATE(LEFT(RIGHT(CONCATENATE("000",HH_Debt1516!A432),6),3),"-",(RIGHT(RIGHT(CONCATENATE("000",HH_Debt1516!A432),6),3)))</f>
        <v>121-904</v>
      </c>
      <c r="C429" s="121">
        <v>1541128</v>
      </c>
    </row>
    <row r="430" spans="1:3" ht="15">
      <c r="A430" s="2266" t="s">
        <v>4223</v>
      </c>
      <c r="B430" s="1694" t="str">
        <f>CONCATENATE(LEFT(RIGHT(CONCATENATE("000",HH_Debt1516!A433),6),3),"-",(RIGHT(RIGHT(CONCATENATE("000",HH_Debt1516!A433),6),3)))</f>
        <v>121-905</v>
      </c>
      <c r="C430" s="121">
        <v>1502169</v>
      </c>
    </row>
    <row r="431" spans="1:3" ht="15">
      <c r="A431" s="2266" t="s">
        <v>6664</v>
      </c>
      <c r="B431" s="1694" t="str">
        <f>CONCATENATE(LEFT(RIGHT(CONCATENATE("000",HH_Debt1516!A434),6),3),"-",(RIGHT(RIGHT(CONCATENATE("000",HH_Debt1516!A434),6),3)))</f>
        <v>121-906</v>
      </c>
      <c r="C431" s="121">
        <v>842450</v>
      </c>
    </row>
    <row r="432" spans="1:3" ht="15">
      <c r="A432" s="2266" t="s">
        <v>4224</v>
      </c>
      <c r="B432" s="1694" t="str">
        <f>CONCATENATE(LEFT(RIGHT(CONCATENATE("000",HH_Debt1516!A435),6),3),"-",(RIGHT(RIGHT(CONCATENATE("000",HH_Debt1516!A435),6),3)))</f>
        <v>123-905</v>
      </c>
      <c r="C432" s="121">
        <v>2299029</v>
      </c>
    </row>
    <row r="433" spans="1:3" ht="15">
      <c r="A433" s="2266" t="s">
        <v>6665</v>
      </c>
      <c r="B433" s="1694" t="str">
        <f>CONCATENATE(LEFT(RIGHT(CONCATENATE("000",HH_Debt1516!A436),6),3),"-",(RIGHT(RIGHT(CONCATENATE("000",HH_Debt1516!A436),6),3)))</f>
        <v>123-907</v>
      </c>
      <c r="C433" s="121">
        <v>20992074</v>
      </c>
    </row>
    <row r="434" spans="1:3" ht="15">
      <c r="A434" s="2266" t="s">
        <v>6666</v>
      </c>
      <c r="B434" s="1694" t="str">
        <f>CONCATENATE(LEFT(RIGHT(CONCATENATE("000",HH_Debt1516!A437),6),3),"-",(RIGHT(RIGHT(CONCATENATE("000",HH_Debt1516!A437),6),3)))</f>
        <v>123-908</v>
      </c>
      <c r="C434" s="121">
        <v>9631530</v>
      </c>
    </row>
    <row r="435" spans="1:3" ht="15">
      <c r="A435" s="2266" t="s">
        <v>6667</v>
      </c>
      <c r="B435" s="1694" t="str">
        <f>CONCATENATE(LEFT(RIGHT(CONCATENATE("000",HH_Debt1516!A438),6),3),"-",(RIGHT(RIGHT(CONCATENATE("000",HH_Debt1516!A438),6),3)))</f>
        <v>123-910</v>
      </c>
      <c r="C435" s="121">
        <v>26858936</v>
      </c>
    </row>
    <row r="436" spans="1:3" ht="15">
      <c r="A436" s="2266" t="s">
        <v>6668</v>
      </c>
      <c r="B436" s="1694" t="str">
        <f>CONCATENATE(LEFT(RIGHT(CONCATENATE("000",HH_Debt1516!A439),6),3),"-",(RIGHT(RIGHT(CONCATENATE("000",HH_Debt1516!A439),6),3)))</f>
        <v>123-913</v>
      </c>
      <c r="C436" s="121">
        <v>1581158</v>
      </c>
    </row>
    <row r="437" spans="1:3" ht="15">
      <c r="A437" s="2266" t="s">
        <v>4225</v>
      </c>
      <c r="B437" s="1694" t="str">
        <f>CONCATENATE(LEFT(RIGHT(CONCATENATE("000",HH_Debt1516!A440),6),3),"-",(RIGHT(RIGHT(CONCATENATE("000",HH_Debt1516!A440),6),3)))</f>
        <v>123-914</v>
      </c>
      <c r="C437" s="121">
        <v>1022050</v>
      </c>
    </row>
    <row r="438" spans="1:3" ht="15">
      <c r="A438" s="2266" t="s">
        <v>6669</v>
      </c>
      <c r="B438" s="1694" t="str">
        <f>CONCATENATE(LEFT(RIGHT(CONCATENATE("000",HH_Debt1516!A441),6),3),"-",(RIGHT(RIGHT(CONCATENATE("000",HH_Debt1516!A441),6),3)))</f>
        <v>124-901</v>
      </c>
      <c r="C438" s="121">
        <v>347438</v>
      </c>
    </row>
    <row r="439" spans="1:3" ht="15">
      <c r="A439" s="2266" t="s">
        <v>4226</v>
      </c>
      <c r="B439" s="1694" t="str">
        <f>CONCATENATE(LEFT(RIGHT(CONCATENATE("000",HH_Debt1516!A442),6),3),"-",(RIGHT(RIGHT(CONCATENATE("000",HH_Debt1516!A442),6),3)))</f>
        <v>125-901</v>
      </c>
      <c r="C439" s="121">
        <v>3568825</v>
      </c>
    </row>
    <row r="440" spans="1:3" ht="15">
      <c r="A440" s="2266" t="s">
        <v>4227</v>
      </c>
      <c r="B440" s="1694" t="str">
        <f>CONCATENATE(LEFT(RIGHT(CONCATENATE("000",HH_Debt1516!A443),6),3),"-",(RIGHT(RIGHT(CONCATENATE("000",HH_Debt1516!A443),6),3)))</f>
        <v>125-902</v>
      </c>
      <c r="C440" s="121">
        <v>431902</v>
      </c>
    </row>
    <row r="441" spans="1:3" ht="15">
      <c r="A441" s="2266" t="s">
        <v>4228</v>
      </c>
      <c r="B441" s="1694" t="str">
        <f>CONCATENATE(LEFT(RIGHT(CONCATENATE("000",HH_Debt1516!A444),6),3),"-",(RIGHT(RIGHT(CONCATENATE("000",HH_Debt1516!A444),6),3)))</f>
        <v>125-903</v>
      </c>
      <c r="C441" s="121">
        <v>1239550</v>
      </c>
    </row>
    <row r="442" spans="1:3" ht="15">
      <c r="A442" s="2266" t="s">
        <v>4229</v>
      </c>
      <c r="B442" s="1694" t="str">
        <f>CONCATENATE(LEFT(RIGHT(CONCATENATE("000",HH_Debt1516!A445),6),3),"-",(RIGHT(RIGHT(CONCATENATE("000",HH_Debt1516!A445),6),3)))</f>
        <v>125-905</v>
      </c>
      <c r="C442" s="121">
        <v>233776</v>
      </c>
    </row>
    <row r="443" spans="1:3" ht="15">
      <c r="A443" s="2266" t="s">
        <v>4230</v>
      </c>
      <c r="B443" s="1694" t="str">
        <f>CONCATENATE(LEFT(RIGHT(CONCATENATE("000",HH_Debt1516!A446),6),3),"-",(RIGHT(RIGHT(CONCATENATE("000",HH_Debt1516!A446),6),3)))</f>
        <v>126-901</v>
      </c>
      <c r="C443" s="121">
        <v>5316910</v>
      </c>
    </row>
    <row r="444" spans="1:3" ht="15">
      <c r="A444" s="2266" t="s">
        <v>4231</v>
      </c>
      <c r="B444" s="1694" t="str">
        <f>CONCATENATE(LEFT(RIGHT(CONCATENATE("000",HH_Debt1516!A447),6),3),"-",(RIGHT(RIGHT(CONCATENATE("000",HH_Debt1516!A447),6),3)))</f>
        <v>126-902</v>
      </c>
      <c r="C444" s="121">
        <v>20395660</v>
      </c>
    </row>
    <row r="445" spans="1:3" ht="15">
      <c r="A445" s="2266" t="s">
        <v>6670</v>
      </c>
      <c r="B445" s="1694" t="str">
        <f>CONCATENATE(LEFT(RIGHT(CONCATENATE("000",HH_Debt1516!A448),6),3),"-",(RIGHT(RIGHT(CONCATENATE("000",HH_Debt1516!A448),6),3)))</f>
        <v>126-903</v>
      </c>
      <c r="C445" s="121">
        <v>5543709</v>
      </c>
    </row>
    <row r="446" spans="1:3" ht="15">
      <c r="A446" s="2266" t="s">
        <v>5781</v>
      </c>
      <c r="B446" s="1694" t="str">
        <f>CONCATENATE(LEFT(RIGHT(CONCATENATE("000",HH_Debt1516!A449),6),3),"-",(RIGHT(RIGHT(CONCATENATE("000",HH_Debt1516!A449),6),3)))</f>
        <v>126-904</v>
      </c>
      <c r="C446" s="121">
        <v>1122295</v>
      </c>
    </row>
    <row r="447" spans="1:3" ht="15">
      <c r="A447" s="2266" t="s">
        <v>4232</v>
      </c>
      <c r="B447" s="1694" t="str">
        <f>CONCATENATE(LEFT(RIGHT(CONCATENATE("000",HH_Debt1516!A450),6),3),"-",(RIGHT(RIGHT(CONCATENATE("000",HH_Debt1516!A450),6),3)))</f>
        <v>126-905</v>
      </c>
      <c r="C447" s="121">
        <v>7311402</v>
      </c>
    </row>
    <row r="448" spans="1:3" ht="15">
      <c r="A448" s="2266" t="s">
        <v>4233</v>
      </c>
      <c r="B448" s="1694" t="str">
        <f>CONCATENATE(LEFT(RIGHT(CONCATENATE("000",HH_Debt1516!A451),6),3),"-",(RIGHT(RIGHT(CONCATENATE("000",HH_Debt1516!A451),6),3)))</f>
        <v>126-906</v>
      </c>
      <c r="C448" s="121">
        <v>884362</v>
      </c>
    </row>
    <row r="449" spans="1:3" ht="15">
      <c r="A449" s="2266" t="s">
        <v>4234</v>
      </c>
      <c r="B449" s="1694" t="str">
        <f>CONCATENATE(LEFT(RIGHT(CONCATENATE("000",HH_Debt1516!A452),6),3),"-",(RIGHT(RIGHT(CONCATENATE("000",HH_Debt1516!A452),6),3)))</f>
        <v>126-907</v>
      </c>
      <c r="C449" s="121">
        <v>1173743</v>
      </c>
    </row>
    <row r="450" spans="1:3" ht="15">
      <c r="A450" s="2266" t="s">
        <v>4235</v>
      </c>
      <c r="B450" s="1694" t="str">
        <f>CONCATENATE(LEFT(RIGHT(CONCATENATE("000",HH_Debt1516!A453),6),3),"-",(RIGHT(RIGHT(CONCATENATE("000",HH_Debt1516!A453),6),3)))</f>
        <v>126-908</v>
      </c>
      <c r="C450" s="121">
        <v>1093625</v>
      </c>
    </row>
    <row r="451" spans="1:3" ht="15">
      <c r="A451" s="2266" t="s">
        <v>4236</v>
      </c>
      <c r="B451" s="1694" t="str">
        <f>CONCATENATE(LEFT(RIGHT(CONCATENATE("000",HH_Debt1516!A454),6),3),"-",(RIGHT(RIGHT(CONCATENATE("000",HH_Debt1516!A454),6),3)))</f>
        <v>126-911</v>
      </c>
      <c r="C451" s="121">
        <v>2500274</v>
      </c>
    </row>
    <row r="452" spans="1:3" ht="15">
      <c r="A452" s="2266" t="s">
        <v>6671</v>
      </c>
      <c r="B452" s="1694" t="str">
        <f>CONCATENATE(LEFT(RIGHT(CONCATENATE("000",HH_Debt1516!A455),6),3),"-",(RIGHT(RIGHT(CONCATENATE("000",HH_Debt1516!A455),6),3)))</f>
        <v>127-901</v>
      </c>
      <c r="C452" s="121">
        <v>526100</v>
      </c>
    </row>
    <row r="453" spans="1:3" ht="15">
      <c r="A453" s="2266" t="s">
        <v>6672</v>
      </c>
      <c r="B453" s="1694" t="str">
        <f>CONCATENATE(LEFT(RIGHT(CONCATENATE("000",HH_Debt1516!A456),6),3),"-",(RIGHT(RIGHT(CONCATENATE("000",HH_Debt1516!A456),6),3)))</f>
        <v>127-903</v>
      </c>
      <c r="C453" s="121">
        <v>324800</v>
      </c>
    </row>
    <row r="454" spans="1:3" ht="15">
      <c r="A454" s="2266" t="s">
        <v>6673</v>
      </c>
      <c r="B454" s="1694" t="str">
        <f>CONCATENATE(LEFT(RIGHT(CONCATENATE("000",HH_Debt1516!A457),6),3),"-",(RIGHT(RIGHT(CONCATENATE("000",HH_Debt1516!A457),6),3)))</f>
        <v>127-904</v>
      </c>
      <c r="C454" s="121">
        <v>546650</v>
      </c>
    </row>
    <row r="455" spans="1:3" ht="15">
      <c r="A455" s="2266" t="s">
        <v>4237</v>
      </c>
      <c r="B455" s="1694" t="str">
        <f>CONCATENATE(LEFT(RIGHT(CONCATENATE("000",HH_Debt1516!A458),6),3),"-",(RIGHT(RIGHT(CONCATENATE("000",HH_Debt1516!A458),6),3)))</f>
        <v>127-905</v>
      </c>
      <c r="C455" s="121">
        <v>88500</v>
      </c>
    </row>
    <row r="456" spans="1:3" ht="15">
      <c r="A456" s="2266" t="s">
        <v>4238</v>
      </c>
      <c r="B456" s="1694" t="str">
        <f>CONCATENATE(LEFT(RIGHT(CONCATENATE("000",HH_Debt1516!A459),6),3),"-",(RIGHT(RIGHT(CONCATENATE("000",HH_Debt1516!A459),6),3)))</f>
        <v>127-906</v>
      </c>
      <c r="C456" s="121">
        <v>622023</v>
      </c>
    </row>
    <row r="457" spans="1:3" ht="15">
      <c r="A457" s="2266" t="s">
        <v>5802</v>
      </c>
      <c r="B457" s="1694" t="str">
        <f>CONCATENATE(LEFT(RIGHT(CONCATENATE("000",HH_Debt1516!A460),6),3),"-",(RIGHT(RIGHT(CONCATENATE("000",HH_Debt1516!A460),6),3)))</f>
        <v>128-901</v>
      </c>
      <c r="C457" s="121">
        <v>2503250</v>
      </c>
    </row>
    <row r="458" spans="1:3" ht="15">
      <c r="A458" s="2266" t="s">
        <v>4239</v>
      </c>
      <c r="B458" s="1694" t="str">
        <f>CONCATENATE(LEFT(RIGHT(CONCATENATE("000",HH_Debt1516!A461),6),3),"-",(RIGHT(RIGHT(CONCATENATE("000",HH_Debt1516!A461),6),3)))</f>
        <v>128-902</v>
      </c>
      <c r="C458" s="121">
        <v>1447487</v>
      </c>
    </row>
    <row r="459" spans="1:3" ht="15">
      <c r="A459" s="2266" t="s">
        <v>6674</v>
      </c>
      <c r="B459" s="1694" t="str">
        <f>CONCATENATE(LEFT(RIGHT(CONCATENATE("000",HH_Debt1516!A462),6),3),"-",(RIGHT(RIGHT(CONCATENATE("000",HH_Debt1516!A462),6),3)))</f>
        <v>128-903</v>
      </c>
      <c r="C459" s="121">
        <v>596016</v>
      </c>
    </row>
    <row r="460" spans="1:3" ht="15">
      <c r="A460" s="2266" t="s">
        <v>4240</v>
      </c>
      <c r="B460" s="1694" t="str">
        <f>CONCATENATE(LEFT(RIGHT(CONCATENATE("000",HH_Debt1516!A463),6),3),"-",(RIGHT(RIGHT(CONCATENATE("000",HH_Debt1516!A463),6),3)))</f>
        <v>128-904</v>
      </c>
      <c r="C460" s="121">
        <v>2562450</v>
      </c>
    </row>
    <row r="461" spans="1:3" ht="15">
      <c r="A461" s="2266" t="s">
        <v>4241</v>
      </c>
      <c r="B461" s="1694" t="str">
        <f>CONCATENATE(LEFT(RIGHT(CONCATENATE("000",HH_Debt1516!A464),6),3),"-",(RIGHT(RIGHT(CONCATENATE("000",HH_Debt1516!A464),6),3)))</f>
        <v>129-901</v>
      </c>
      <c r="C461" s="121">
        <v>4414225</v>
      </c>
    </row>
    <row r="462" spans="1:3" ht="15">
      <c r="A462" s="2266" t="s">
        <v>4242</v>
      </c>
      <c r="B462" s="1694" t="str">
        <f>CONCATENATE(LEFT(RIGHT(CONCATENATE("000",HH_Debt1516!A465),6),3),"-",(RIGHT(RIGHT(CONCATENATE("000",HH_Debt1516!A465),6),3)))</f>
        <v>129-902</v>
      </c>
      <c r="C462" s="121">
        <v>15805358</v>
      </c>
    </row>
    <row r="463" spans="1:3" ht="15">
      <c r="A463" s="2266" t="s">
        <v>4243</v>
      </c>
      <c r="B463" s="1694" t="str">
        <f>CONCATENATE(LEFT(RIGHT(CONCATENATE("000",HH_Debt1516!A466),6),3),"-",(RIGHT(RIGHT(CONCATENATE("000",HH_Debt1516!A466),6),3)))</f>
        <v>129-903</v>
      </c>
      <c r="C463" s="121">
        <v>1503243</v>
      </c>
    </row>
    <row r="464" spans="1:3" ht="15">
      <c r="A464" s="2266" t="s">
        <v>4244</v>
      </c>
      <c r="B464" s="1694" t="str">
        <f>CONCATENATE(LEFT(RIGHT(CONCATENATE("000",HH_Debt1516!A467),6),3),"-",(RIGHT(RIGHT(CONCATENATE("000",HH_Debt1516!A467),6),3)))</f>
        <v>129-904</v>
      </c>
      <c r="C464" s="121">
        <v>1939924</v>
      </c>
    </row>
    <row r="465" spans="1:3" ht="15">
      <c r="A465" s="2266" t="s">
        <v>6675</v>
      </c>
      <c r="B465" s="1694" t="str">
        <f>CONCATENATE(LEFT(RIGHT(CONCATENATE("000",HH_Debt1516!A468),6),3),"-",(RIGHT(RIGHT(CONCATENATE("000",HH_Debt1516!A468),6),3)))</f>
        <v>129-905</v>
      </c>
      <c r="C465" s="121">
        <v>3154394</v>
      </c>
    </row>
    <row r="466" spans="1:3" ht="15">
      <c r="A466" s="2266" t="s">
        <v>6676</v>
      </c>
      <c r="B466" s="1694" t="str">
        <f>CONCATENATE(LEFT(RIGHT(CONCATENATE("000",HH_Debt1516!A469),6),3),"-",(RIGHT(RIGHT(CONCATENATE("000",HH_Debt1516!A469),6),3)))</f>
        <v>129-906</v>
      </c>
      <c r="C466" s="121">
        <v>3917500</v>
      </c>
    </row>
    <row r="467" spans="1:3" ht="15">
      <c r="A467" s="2266" t="s">
        <v>4245</v>
      </c>
      <c r="B467" s="1694" t="str">
        <f>CONCATENATE(LEFT(RIGHT(CONCATENATE("000",HH_Debt1516!A470),6),3),"-",(RIGHT(RIGHT(CONCATENATE("000",HH_Debt1516!A470),6),3)))</f>
        <v>129-910</v>
      </c>
      <c r="C467" s="121">
        <v>414862</v>
      </c>
    </row>
    <row r="468" spans="1:3" ht="15">
      <c r="A468" s="2266" t="s">
        <v>6677</v>
      </c>
      <c r="B468" s="1694" t="str">
        <f>CONCATENATE(LEFT(RIGHT(CONCATENATE("000",HH_Debt1516!A471),6),3),"-",(RIGHT(RIGHT(CONCATENATE("000",HH_Debt1516!A471),6),3)))</f>
        <v>130-901</v>
      </c>
      <c r="C468" s="121">
        <v>14215214</v>
      </c>
    </row>
    <row r="469" spans="1:3" ht="15">
      <c r="A469" s="2266" t="s">
        <v>6678</v>
      </c>
      <c r="B469" s="1694" t="str">
        <f>CONCATENATE(LEFT(RIGHT(CONCATENATE("000",HH_Debt1516!A472),6),3),"-",(RIGHT(RIGHT(CONCATENATE("000",HH_Debt1516!A472),6),3)))</f>
        <v>130-902</v>
      </c>
      <c r="C469" s="121">
        <v>1335775</v>
      </c>
    </row>
    <row r="470" spans="1:3" ht="15">
      <c r="A470" s="2266" t="s">
        <v>6679</v>
      </c>
      <c r="B470" s="1694" t="str">
        <f>CONCATENATE(LEFT(RIGHT(CONCATENATE("000",HH_Debt1516!A473),6),3),"-",(RIGHT(RIGHT(CONCATENATE("000",HH_Debt1516!A473),6),3)))</f>
        <v>131-001</v>
      </c>
      <c r="C470" s="121">
        <v>300029</v>
      </c>
    </row>
    <row r="471" spans="1:3" ht="15">
      <c r="A471" s="2266" t="s">
        <v>4246</v>
      </c>
      <c r="B471" s="1694" t="str">
        <f>CONCATENATE(LEFT(RIGHT(CONCATENATE("000",HH_Debt1516!A474),6),3),"-",(RIGHT(RIGHT(CONCATENATE("000",HH_Debt1516!A474),6),3)))</f>
        <v>133-901</v>
      </c>
      <c r="C471" s="121">
        <v>136375</v>
      </c>
    </row>
    <row r="472" spans="1:3" ht="15">
      <c r="A472" s="2266" t="s">
        <v>6680</v>
      </c>
      <c r="B472" s="1694" t="str">
        <f>CONCATENATE(LEFT(RIGHT(CONCATENATE("000",HH_Debt1516!A475),6),3),"-",(RIGHT(RIGHT(CONCATENATE("000",HH_Debt1516!A475),6),3)))</f>
        <v>133-902</v>
      </c>
      <c r="C472" s="121">
        <v>310825</v>
      </c>
    </row>
    <row r="473" spans="1:3" ht="15">
      <c r="A473" s="2266" t="s">
        <v>6681</v>
      </c>
      <c r="B473" s="1694" t="str">
        <f>CONCATENATE(LEFT(RIGHT(CONCATENATE("000",HH_Debt1516!A476),6),3),"-",(RIGHT(RIGHT(CONCATENATE("000",HH_Debt1516!A476),6),3)))</f>
        <v>133-903</v>
      </c>
      <c r="C473" s="121">
        <v>3372531</v>
      </c>
    </row>
    <row r="474" spans="1:3" ht="15">
      <c r="A474" s="2266" t="s">
        <v>6682</v>
      </c>
      <c r="B474" s="1694" t="str">
        <f>CONCATENATE(LEFT(RIGHT(CONCATENATE("000",HH_Debt1516!A477),6),3),"-",(RIGHT(RIGHT(CONCATENATE("000",HH_Debt1516!A477),6),3)))</f>
        <v>133-904</v>
      </c>
      <c r="C474" s="121">
        <v>1005325</v>
      </c>
    </row>
    <row r="475" spans="1:3" ht="15">
      <c r="A475" s="2266" t="s">
        <v>6683</v>
      </c>
      <c r="B475" s="1694" t="str">
        <f>CONCATENATE(LEFT(RIGHT(CONCATENATE("000",HH_Debt1516!A478),6),3),"-",(RIGHT(RIGHT(CONCATENATE("000",HH_Debt1516!A478),6),3)))</f>
        <v>135-001</v>
      </c>
      <c r="C475" s="121">
        <v>462060</v>
      </c>
    </row>
    <row r="476" spans="1:3" ht="15">
      <c r="A476" s="2266" t="s">
        <v>4247</v>
      </c>
      <c r="B476" s="1694" t="str">
        <f>CONCATENATE(LEFT(RIGHT(CONCATENATE("000",HH_Debt1516!A479),6),3),"-",(RIGHT(RIGHT(CONCATENATE("000",HH_Debt1516!A479),6),3)))</f>
        <v>137-901</v>
      </c>
      <c r="C476" s="121">
        <v>4798232</v>
      </c>
    </row>
    <row r="477" spans="1:3" ht="15">
      <c r="A477" s="2266" t="s">
        <v>6684</v>
      </c>
      <c r="B477" s="1694" t="str">
        <f>CONCATENATE(LEFT(RIGHT(CONCATENATE("000",HH_Debt1516!A480),6),3),"-",(RIGHT(RIGHT(CONCATENATE("000",HH_Debt1516!A480),6),3)))</f>
        <v>137-904</v>
      </c>
      <c r="C477" s="121">
        <v>653392</v>
      </c>
    </row>
    <row r="478" spans="1:3" ht="15">
      <c r="A478" s="2266" t="s">
        <v>4248</v>
      </c>
      <c r="B478" s="1694" t="str">
        <f>CONCATENATE(LEFT(RIGHT(CONCATENATE("000",HH_Debt1516!A481),6),3),"-",(RIGHT(RIGHT(CONCATENATE("000",HH_Debt1516!A481),6),3)))</f>
        <v>138-902</v>
      </c>
      <c r="C478" s="121">
        <v>92002</v>
      </c>
    </row>
    <row r="479" spans="1:3" ht="15">
      <c r="A479" s="2266" t="s">
        <v>6685</v>
      </c>
      <c r="B479" s="1694" t="str">
        <f>CONCATENATE(LEFT(RIGHT(CONCATENATE("000",HH_Debt1516!A482),6),3),"-",(RIGHT(RIGHT(CONCATENATE("000",HH_Debt1516!A482),6),3)))</f>
        <v>139-905</v>
      </c>
      <c r="C479" s="121">
        <v>883637</v>
      </c>
    </row>
    <row r="480" spans="1:3" ht="15">
      <c r="A480" s="2266" t="s">
        <v>4249</v>
      </c>
      <c r="B480" s="1694" t="str">
        <f>CONCATENATE(LEFT(RIGHT(CONCATENATE("000",HH_Debt1516!A483),6),3),"-",(RIGHT(RIGHT(CONCATENATE("000",HH_Debt1516!A483),6),3)))</f>
        <v>139-908</v>
      </c>
      <c r="C480" s="121">
        <v>78096</v>
      </c>
    </row>
    <row r="481" spans="1:3" ht="15">
      <c r="A481" s="2266" t="s">
        <v>4250</v>
      </c>
      <c r="B481" s="1694" t="str">
        <f>CONCATENATE(LEFT(RIGHT(CONCATENATE("000",HH_Debt1516!A484),6),3),"-",(RIGHT(RIGHT(CONCATENATE("000",HH_Debt1516!A484),6),3)))</f>
        <v>139-909</v>
      </c>
      <c r="C481" s="121">
        <v>3292264</v>
      </c>
    </row>
    <row r="482" spans="1:3" ht="15">
      <c r="A482" s="2266" t="s">
        <v>6686</v>
      </c>
      <c r="B482" s="1694" t="str">
        <f>CONCATENATE(LEFT(RIGHT(CONCATENATE("000",HH_Debt1516!A485),6),3),"-",(RIGHT(RIGHT(CONCATENATE("000",HH_Debt1516!A485),6),3)))</f>
        <v>139-911</v>
      </c>
      <c r="C482" s="121">
        <v>724200</v>
      </c>
    </row>
    <row r="483" spans="1:3" ht="15">
      <c r="A483" s="2266" t="s">
        <v>4251</v>
      </c>
      <c r="B483" s="1694" t="str">
        <f>CONCATENATE(LEFT(RIGHT(CONCATENATE("000",HH_Debt1516!A486),6),3),"-",(RIGHT(RIGHT(CONCATENATE("000",HH_Debt1516!A486),6),3)))</f>
        <v>139-912</v>
      </c>
      <c r="C483" s="121">
        <v>528413</v>
      </c>
    </row>
    <row r="484" spans="1:3" ht="15">
      <c r="A484" s="2266" t="s">
        <v>5854</v>
      </c>
      <c r="B484" s="1694" t="str">
        <f>CONCATENATE(LEFT(RIGHT(CONCATENATE("000",HH_Debt1516!A487),6),3),"-",(RIGHT(RIGHT(CONCATENATE("000",HH_Debt1516!A487),6),3)))</f>
        <v>140-905</v>
      </c>
      <c r="C484" s="121">
        <v>192062</v>
      </c>
    </row>
    <row r="485" spans="1:3" ht="15">
      <c r="A485" s="2266" t="s">
        <v>6687</v>
      </c>
      <c r="B485" s="1694" t="str">
        <f>CONCATENATE(LEFT(RIGHT(CONCATENATE("000",HH_Debt1516!A488),6),3),"-",(RIGHT(RIGHT(CONCATENATE("000",HH_Debt1516!A488),6),3)))</f>
        <v>140-908</v>
      </c>
      <c r="C485" s="121">
        <v>686450</v>
      </c>
    </row>
    <row r="486" spans="1:3" ht="15">
      <c r="A486" s="2266" t="s">
        <v>4252</v>
      </c>
      <c r="B486" s="1694" t="str">
        <f>CONCATENATE(LEFT(RIGHT(CONCATENATE("000",HH_Debt1516!A489),6),3),"-",(RIGHT(RIGHT(CONCATENATE("000",HH_Debt1516!A489),6),3)))</f>
        <v>141-901</v>
      </c>
      <c r="C486" s="121">
        <v>3160239</v>
      </c>
    </row>
    <row r="487" spans="1:3" ht="15">
      <c r="A487" s="2266" t="s">
        <v>6688</v>
      </c>
      <c r="B487" s="1694" t="str">
        <f>CONCATENATE(LEFT(RIGHT(CONCATENATE("000",HH_Debt1516!A490),6),3),"-",(RIGHT(RIGHT(CONCATENATE("000",HH_Debt1516!A490),6),3)))</f>
        <v>141-902</v>
      </c>
      <c r="C487" s="121">
        <v>371512</v>
      </c>
    </row>
    <row r="488" spans="1:3" ht="15">
      <c r="A488" s="2266" t="s">
        <v>4253</v>
      </c>
      <c r="B488" s="1694" t="str">
        <f>CONCATENATE(LEFT(RIGHT(CONCATENATE("000",HH_Debt1516!A491),6),3),"-",(RIGHT(RIGHT(CONCATENATE("000",HH_Debt1516!A491),6),3)))</f>
        <v>142-901</v>
      </c>
      <c r="C488" s="121">
        <v>8885450</v>
      </c>
    </row>
    <row r="489" spans="1:3" ht="15">
      <c r="A489" s="2266" t="s">
        <v>6689</v>
      </c>
      <c r="B489" s="1694" t="str">
        <f>CONCATENATE(LEFT(RIGHT(CONCATENATE("000",HH_Debt1516!A492),6),3),"-",(RIGHT(RIGHT(CONCATENATE("000",HH_Debt1516!A492),6),3)))</f>
        <v>143-901</v>
      </c>
      <c r="C489" s="121">
        <v>1615824</v>
      </c>
    </row>
    <row r="490" spans="1:3" ht="15">
      <c r="A490" s="2266" t="s">
        <v>6690</v>
      </c>
      <c r="B490" s="1694" t="str">
        <f>CONCATENATE(LEFT(RIGHT(CONCATENATE("000",HH_Debt1516!A493),6),3),"-",(RIGHT(RIGHT(CONCATENATE("000",HH_Debt1516!A493),6),3)))</f>
        <v>143-906</v>
      </c>
      <c r="C490" s="121">
        <v>221450</v>
      </c>
    </row>
    <row r="491" spans="1:3" ht="15">
      <c r="A491" s="2266" t="s">
        <v>6691</v>
      </c>
      <c r="B491" s="1694" t="str">
        <f>CONCATENATE(LEFT(RIGHT(CONCATENATE("000",HH_Debt1516!A494),6),3),"-",(RIGHT(RIGHT(CONCATENATE("000",HH_Debt1516!A494),6),3)))</f>
        <v>144-901</v>
      </c>
      <c r="C491" s="121">
        <v>2405138</v>
      </c>
    </row>
    <row r="492" spans="1:3" ht="15">
      <c r="A492" s="2266" t="s">
        <v>6692</v>
      </c>
      <c r="B492" s="1694" t="str">
        <f>CONCATENATE(LEFT(RIGHT(CONCATENATE("000",HH_Debt1516!A495),6),3),"-",(RIGHT(RIGHT(CONCATENATE("000",HH_Debt1516!A495),6),3)))</f>
        <v>144-902</v>
      </c>
      <c r="C492" s="121">
        <v>129799</v>
      </c>
    </row>
    <row r="493" spans="1:3" ht="15">
      <c r="A493" s="2266" t="s">
        <v>6693</v>
      </c>
      <c r="B493" s="1694" t="str">
        <f>CONCATENATE(LEFT(RIGHT(CONCATENATE("000",HH_Debt1516!A496),6),3),"-",(RIGHT(RIGHT(CONCATENATE("000",HH_Debt1516!A496),6),3)))</f>
        <v>145-901</v>
      </c>
      <c r="C493" s="121">
        <v>1430863</v>
      </c>
    </row>
    <row r="494" spans="1:3" ht="15">
      <c r="A494" s="2266" t="s">
        <v>6694</v>
      </c>
      <c r="B494" s="1694" t="str">
        <f>CONCATENATE(LEFT(RIGHT(CONCATENATE("000",HH_Debt1516!A497),6),3),"-",(RIGHT(RIGHT(CONCATENATE("000",HH_Debt1516!A497),6),3)))</f>
        <v>145-902</v>
      </c>
      <c r="C494" s="121">
        <v>1201575</v>
      </c>
    </row>
    <row r="495" spans="1:3" ht="15">
      <c r="A495" s="2266" t="s">
        <v>6695</v>
      </c>
      <c r="B495" s="1694" t="str">
        <f>CONCATENATE(LEFT(RIGHT(CONCATENATE("000",HH_Debt1516!A498),6),3),"-",(RIGHT(RIGHT(CONCATENATE("000",HH_Debt1516!A498),6),3)))</f>
        <v>145-906</v>
      </c>
      <c r="C495" s="121">
        <v>734895</v>
      </c>
    </row>
    <row r="496" spans="1:3" ht="15">
      <c r="A496" s="2266" t="s">
        <v>6696</v>
      </c>
      <c r="B496" s="1694" t="str">
        <f>CONCATENATE(LEFT(RIGHT(CONCATENATE("000",HH_Debt1516!A499),6),3),"-",(RIGHT(RIGHT(CONCATENATE("000",HH_Debt1516!A499),6),3)))</f>
        <v>145-907</v>
      </c>
      <c r="C496" s="121">
        <v>158282</v>
      </c>
    </row>
    <row r="497" spans="1:3" ht="15">
      <c r="A497" s="2266" t="s">
        <v>6697</v>
      </c>
      <c r="B497" s="1694" t="str">
        <f>CONCATENATE(LEFT(RIGHT(CONCATENATE("000",HH_Debt1516!A500),6),3),"-",(RIGHT(RIGHT(CONCATENATE("000",HH_Debt1516!A500),6),3)))</f>
        <v>145-911</v>
      </c>
      <c r="C497" s="121">
        <v>1421350</v>
      </c>
    </row>
    <row r="498" spans="1:3" ht="15">
      <c r="A498" s="2266" t="s">
        <v>4254</v>
      </c>
      <c r="B498" s="1694" t="str">
        <f>CONCATENATE(LEFT(RIGHT(CONCATENATE("000",HH_Debt1516!A501),6),3),"-",(RIGHT(RIGHT(CONCATENATE("000",HH_Debt1516!A501),6),3)))</f>
        <v>146-901</v>
      </c>
      <c r="C498" s="121">
        <v>2840375</v>
      </c>
    </row>
    <row r="499" spans="1:3" ht="15">
      <c r="A499" s="2266" t="s">
        <v>4255</v>
      </c>
      <c r="B499" s="1694" t="str">
        <f>CONCATENATE(LEFT(RIGHT(CONCATENATE("000",HH_Debt1516!A502),6),3),"-",(RIGHT(RIGHT(CONCATENATE("000",HH_Debt1516!A502),6),3)))</f>
        <v>146-902</v>
      </c>
      <c r="C499" s="121">
        <v>6470738</v>
      </c>
    </row>
    <row r="500" spans="1:3" ht="15">
      <c r="A500" s="2266" t="s">
        <v>6698</v>
      </c>
      <c r="B500" s="1694" t="str">
        <f>CONCATENATE(LEFT(RIGHT(CONCATENATE("000",HH_Debt1516!A503),6),3),"-",(RIGHT(RIGHT(CONCATENATE("000",HH_Debt1516!A503),6),3)))</f>
        <v>146-903</v>
      </c>
      <c r="C500" s="121">
        <v>139450</v>
      </c>
    </row>
    <row r="501" spans="1:3" ht="15">
      <c r="A501" s="2266" t="s">
        <v>4256</v>
      </c>
      <c r="B501" s="1694" t="str">
        <f>CONCATENATE(LEFT(RIGHT(CONCATENATE("000",HH_Debt1516!A504),6),3),"-",(RIGHT(RIGHT(CONCATENATE("000",HH_Debt1516!A504),6),3)))</f>
        <v>146-904</v>
      </c>
      <c r="C501" s="121">
        <v>1104181</v>
      </c>
    </row>
    <row r="502" spans="1:3" ht="15">
      <c r="A502" s="2266" t="s">
        <v>4257</v>
      </c>
      <c r="B502" s="1694" t="str">
        <f>CONCATENATE(LEFT(RIGHT(CONCATENATE("000",HH_Debt1516!A505),6),3),"-",(RIGHT(RIGHT(CONCATENATE("000",HH_Debt1516!A505),6),3)))</f>
        <v>146-905</v>
      </c>
      <c r="C502" s="121">
        <v>272876</v>
      </c>
    </row>
    <row r="503" spans="1:3" ht="15">
      <c r="A503" s="2266" t="s">
        <v>6699</v>
      </c>
      <c r="B503" s="1694" t="str">
        <f>CONCATENATE(LEFT(RIGHT(CONCATENATE("000",HH_Debt1516!A506),6),3),"-",(RIGHT(RIGHT(CONCATENATE("000",HH_Debt1516!A506),6),3)))</f>
        <v>146-906</v>
      </c>
      <c r="C503" s="121">
        <v>3077362</v>
      </c>
    </row>
    <row r="504" spans="1:3" ht="15">
      <c r="A504" s="2266" t="s">
        <v>6700</v>
      </c>
      <c r="B504" s="1694" t="str">
        <f>CONCATENATE(LEFT(RIGHT(CONCATENATE("000",HH_Debt1516!A507),6),3),"-",(RIGHT(RIGHT(CONCATENATE("000",HH_Debt1516!A507),6),3)))</f>
        <v>146-907</v>
      </c>
      <c r="C504" s="121">
        <v>735526</v>
      </c>
    </row>
    <row r="505" spans="1:3" ht="15">
      <c r="A505" s="2266" t="s">
        <v>4258</v>
      </c>
      <c r="B505" s="1694" t="str">
        <f>CONCATENATE(LEFT(RIGHT(CONCATENATE("000",HH_Debt1516!A508),6),3),"-",(RIGHT(RIGHT(CONCATENATE("000",HH_Debt1516!A508),6),3)))</f>
        <v>147-901</v>
      </c>
      <c r="C505" s="121">
        <v>206175</v>
      </c>
    </row>
    <row r="506" spans="1:3" ht="15">
      <c r="A506" s="2266" t="s">
        <v>6701</v>
      </c>
      <c r="B506" s="1694" t="str">
        <f>CONCATENATE(LEFT(RIGHT(CONCATENATE("000",HH_Debt1516!A509),6),3),"-",(RIGHT(RIGHT(CONCATENATE("000",HH_Debt1516!A509),6),3)))</f>
        <v>147-902</v>
      </c>
      <c r="C506" s="121">
        <v>2422811</v>
      </c>
    </row>
    <row r="507" spans="1:3" ht="15">
      <c r="A507" s="2266" t="s">
        <v>6702</v>
      </c>
      <c r="B507" s="1694" t="str">
        <f>CONCATENATE(LEFT(RIGHT(CONCATENATE("000",HH_Debt1516!A510),6),3),"-",(RIGHT(RIGHT(CONCATENATE("000",HH_Debt1516!A510),6),3)))</f>
        <v>147-903</v>
      </c>
      <c r="C507" s="121">
        <v>749850</v>
      </c>
    </row>
    <row r="508" spans="1:3" ht="15">
      <c r="A508" s="2266" t="s">
        <v>6704</v>
      </c>
      <c r="B508" s="1694" t="str">
        <f>CONCATENATE(LEFT(RIGHT(CONCATENATE("000",HH_Debt1516!A512),6),3),"-",(RIGHT(RIGHT(CONCATENATE("000",HH_Debt1516!A512),6),3)))</f>
        <v>148-902</v>
      </c>
      <c r="C508" s="121">
        <v>283900</v>
      </c>
    </row>
    <row r="509" spans="1:3" ht="15">
      <c r="A509" s="2266" t="s">
        <v>6705</v>
      </c>
      <c r="B509" s="1694" t="str">
        <f>CONCATENATE(LEFT(RIGHT(CONCATENATE("000",HH_Debt1516!A513),6),3),"-",(RIGHT(RIGHT(CONCATENATE("000",HH_Debt1516!A513),6),3)))</f>
        <v>148-903</v>
      </c>
      <c r="C509" s="121">
        <v>479250</v>
      </c>
    </row>
    <row r="510" spans="1:3" ht="15">
      <c r="A510" s="2266" t="s">
        <v>6706</v>
      </c>
      <c r="B510" s="1694" t="str">
        <f>CONCATENATE(LEFT(RIGHT(CONCATENATE("000",HH_Debt1516!A514),6),3),"-",(RIGHT(RIGHT(CONCATENATE("000",HH_Debt1516!A514),6),3)))</f>
        <v>148-905</v>
      </c>
      <c r="C510" s="121">
        <v>635650</v>
      </c>
    </row>
    <row r="511" spans="1:3" ht="15">
      <c r="A511" s="2266" t="s">
        <v>6707</v>
      </c>
      <c r="B511" s="1694" t="str">
        <f>CONCATENATE(LEFT(RIGHT(CONCATENATE("000",HH_Debt1516!A515),6),3),"-",(RIGHT(RIGHT(CONCATENATE("000",HH_Debt1516!A515),6),3)))</f>
        <v>149-901</v>
      </c>
      <c r="C511" s="121">
        <v>1048628</v>
      </c>
    </row>
    <row r="512" spans="1:3" ht="15">
      <c r="A512" s="2266" t="s">
        <v>6708</v>
      </c>
      <c r="B512" s="1694" t="str">
        <f>CONCATENATE(LEFT(RIGHT(CONCATENATE("000",HH_Debt1516!A516),6),3),"-",(RIGHT(RIGHT(CONCATENATE("000",HH_Debt1516!A516),6),3)))</f>
        <v>149-902</v>
      </c>
      <c r="C512" s="121">
        <v>1964878</v>
      </c>
    </row>
    <row r="513" spans="1:3" ht="15">
      <c r="A513" s="2266" t="s">
        <v>6709</v>
      </c>
      <c r="B513" s="1694" t="str">
        <f>CONCATENATE(LEFT(RIGHT(CONCATENATE("000",HH_Debt1516!A517),6),3),"-",(RIGHT(RIGHT(CONCATENATE("000",HH_Debt1516!A517),6),3)))</f>
        <v>150-901</v>
      </c>
      <c r="C513" s="121">
        <v>3868994</v>
      </c>
    </row>
    <row r="514" spans="1:3" ht="15">
      <c r="A514" s="2266" t="s">
        <v>5875</v>
      </c>
      <c r="B514" s="1694" t="str">
        <f>CONCATENATE(LEFT(RIGHT(CONCATENATE("000",HH_Debt1516!A518),6),3),"-",(RIGHT(RIGHT(CONCATENATE("000",HH_Debt1516!A518),6),3)))</f>
        <v>152-901</v>
      </c>
      <c r="C514" s="121">
        <v>18056570</v>
      </c>
    </row>
    <row r="515" spans="1:3" ht="15">
      <c r="A515" s="2266" t="s">
        <v>6710</v>
      </c>
      <c r="B515" s="1694" t="str">
        <f>CONCATENATE(LEFT(RIGHT(CONCATENATE("000",HH_Debt1516!A519),6),3),"-",(RIGHT(RIGHT(CONCATENATE("000",HH_Debt1516!A519),6),3)))</f>
        <v>152-903</v>
      </c>
      <c r="C515" s="121">
        <v>1065512</v>
      </c>
    </row>
    <row r="516" spans="1:3" ht="15">
      <c r="A516" s="2266" t="s">
        <v>4259</v>
      </c>
      <c r="B516" s="1694" t="str">
        <f>CONCATENATE(LEFT(RIGHT(CONCATENATE("000",HH_Debt1516!A520),6),3),"-",(RIGHT(RIGHT(CONCATENATE("000",HH_Debt1516!A520),6),3)))</f>
        <v>152-906</v>
      </c>
      <c r="C516" s="121">
        <v>10326341</v>
      </c>
    </row>
    <row r="517" spans="1:3" ht="15">
      <c r="A517" s="2266" t="s">
        <v>4260</v>
      </c>
      <c r="B517" s="1694" t="str">
        <f>CONCATENATE(LEFT(RIGHT(CONCATENATE("000",HH_Debt1516!A521),6),3),"-",(RIGHT(RIGHT(CONCATENATE("000",HH_Debt1516!A521),6),3)))</f>
        <v>152-907</v>
      </c>
      <c r="C517" s="121">
        <v>15046887</v>
      </c>
    </row>
    <row r="518" spans="1:3" ht="15">
      <c r="A518" s="2266" t="s">
        <v>6711</v>
      </c>
      <c r="B518" s="1694" t="str">
        <f>CONCATENATE(LEFT(RIGHT(CONCATENATE("000",HH_Debt1516!A522),6),3),"-",(RIGHT(RIGHT(CONCATENATE("000",HH_Debt1516!A522),6),3)))</f>
        <v>152-908</v>
      </c>
      <c r="C518" s="121">
        <v>738815</v>
      </c>
    </row>
    <row r="519" spans="1:3" ht="15">
      <c r="A519" s="2266" t="s">
        <v>4261</v>
      </c>
      <c r="B519" s="1694" t="str">
        <f>CONCATENATE(LEFT(RIGHT(CONCATENATE("000",HH_Debt1516!A523),6),3),"-",(RIGHT(RIGHT(CONCATENATE("000",HH_Debt1516!A523),6),3)))</f>
        <v>152-909</v>
      </c>
      <c r="C519" s="121">
        <v>1939306</v>
      </c>
    </row>
    <row r="520" spans="1:3" ht="15">
      <c r="A520" s="2266" t="s">
        <v>4262</v>
      </c>
      <c r="B520" s="1694" t="str">
        <f>CONCATENATE(LEFT(RIGHT(CONCATENATE("000",HH_Debt1516!A524),6),3),"-",(RIGHT(RIGHT(CONCATENATE("000",HH_Debt1516!A524),6),3)))</f>
        <v>152-910</v>
      </c>
      <c r="C520" s="121">
        <v>874350</v>
      </c>
    </row>
    <row r="521" spans="1:3" ht="15">
      <c r="A521" s="2266" t="s">
        <v>6712</v>
      </c>
      <c r="B521" s="1694" t="str">
        <f>CONCATENATE(LEFT(RIGHT(CONCATENATE("000",HH_Debt1516!A525),6),3),"-",(RIGHT(RIGHT(CONCATENATE("000",HH_Debt1516!A525),6),3)))</f>
        <v>153-903</v>
      </c>
      <c r="C521" s="121">
        <v>882627</v>
      </c>
    </row>
    <row r="522" spans="1:3" ht="15">
      <c r="A522" s="2266" t="s">
        <v>6713</v>
      </c>
      <c r="B522" s="1694" t="str">
        <f>CONCATENATE(LEFT(RIGHT(CONCATENATE("000",HH_Debt1516!A526),6),3),"-",(RIGHT(RIGHT(CONCATENATE("000",HH_Debt1516!A526),6),3)))</f>
        <v>153-905</v>
      </c>
      <c r="C522" s="121">
        <v>301497</v>
      </c>
    </row>
    <row r="523" spans="1:3" ht="15">
      <c r="A523" s="2266" t="s">
        <v>4263</v>
      </c>
      <c r="B523" s="1694" t="str">
        <f>CONCATENATE(LEFT(RIGHT(CONCATENATE("000",HH_Debt1516!A527),6),3),"-",(RIGHT(RIGHT(CONCATENATE("000",HH_Debt1516!A527),6),3)))</f>
        <v>154-901</v>
      </c>
      <c r="C523" s="121">
        <v>1483330</v>
      </c>
    </row>
    <row r="524" spans="1:3" ht="15">
      <c r="A524" s="2266" t="s">
        <v>4264</v>
      </c>
      <c r="B524" s="1694" t="str">
        <f>CONCATENATE(LEFT(RIGHT(CONCATENATE("000",HH_Debt1516!A528),6),3),"-",(RIGHT(RIGHT(CONCATENATE("000",HH_Debt1516!A528),6),3)))</f>
        <v>154-903</v>
      </c>
      <c r="C524" s="121">
        <v>814049</v>
      </c>
    </row>
    <row r="525" spans="1:3" ht="15">
      <c r="A525" s="2266" t="s">
        <v>6714</v>
      </c>
      <c r="B525" s="1694" t="str">
        <f>CONCATENATE(LEFT(RIGHT(CONCATENATE("000",HH_Debt1516!A529),6),3),"-",(RIGHT(RIGHT(CONCATENATE("000",HH_Debt1516!A529),6),3)))</f>
        <v>155-901</v>
      </c>
      <c r="C525" s="121">
        <v>513590</v>
      </c>
    </row>
    <row r="526" spans="1:3" ht="15">
      <c r="A526" s="2266" t="s">
        <v>6715</v>
      </c>
      <c r="B526" s="1694" t="str">
        <f>CONCATENATE(LEFT(RIGHT(CONCATENATE("000",HH_Debt1516!A530),6),3),"-",(RIGHT(RIGHT(CONCATENATE("000",HH_Debt1516!A530),6),3)))</f>
        <v>156-902</v>
      </c>
      <c r="C526" s="121">
        <v>5632338</v>
      </c>
    </row>
    <row r="527" spans="1:3" ht="15">
      <c r="A527" s="2266" t="s">
        <v>6716</v>
      </c>
      <c r="B527" s="1694" t="str">
        <f>CONCATENATE(LEFT(RIGHT(CONCATENATE("000",HH_Debt1516!A531),6),3),"-",(RIGHT(RIGHT(CONCATENATE("000",HH_Debt1516!A531),6),3)))</f>
        <v>156-905</v>
      </c>
      <c r="C527" s="121">
        <v>810200</v>
      </c>
    </row>
    <row r="528" spans="1:3" ht="15">
      <c r="A528" s="2266" t="s">
        <v>6717</v>
      </c>
      <c r="B528" s="1694" t="e">
        <f>CONCATENATE(LEFT(RIGHT(CONCATENATE("000",HH_Debt1516!#REF!),6),3),"-",(RIGHT(RIGHT(CONCATENATE("000",HH_Debt1516!#REF!),6),3)))</f>
        <v>#REF!</v>
      </c>
      <c r="C528" s="121">
        <v>1945850</v>
      </c>
    </row>
    <row r="529" spans="1:3" ht="15">
      <c r="A529" s="2266" t="s">
        <v>6719</v>
      </c>
      <c r="B529" s="1694" t="str">
        <f>CONCATENATE(LEFT(RIGHT(CONCATENATE("000",HH_Debt1516!A533),6),3),"-",(RIGHT(RIGHT(CONCATENATE("000",HH_Debt1516!A533),6),3)))</f>
        <v>158-902</v>
      </c>
      <c r="C529" s="121">
        <v>2681911</v>
      </c>
    </row>
    <row r="530" spans="1:3" ht="15">
      <c r="A530" s="2266" t="s">
        <v>6720</v>
      </c>
      <c r="B530" s="1694" t="str">
        <f>CONCATENATE(LEFT(RIGHT(CONCATENATE("000",HH_Debt1516!A534),6),3),"-",(RIGHT(RIGHT(CONCATENATE("000",HH_Debt1516!A534),6),3)))</f>
        <v>158-904</v>
      </c>
      <c r="C530" s="121">
        <v>324012</v>
      </c>
    </row>
    <row r="531" spans="1:3" ht="15">
      <c r="A531" s="2266" t="s">
        <v>6721</v>
      </c>
      <c r="B531" s="1694" t="str">
        <f>CONCATENATE(LEFT(RIGHT(CONCATENATE("000",HH_Debt1516!A535),6),3),"-",(RIGHT(RIGHT(CONCATENATE("000",HH_Debt1516!A535),6),3)))</f>
        <v>158-905</v>
      </c>
      <c r="C531" s="121">
        <v>1204588</v>
      </c>
    </row>
    <row r="532" spans="1:3" ht="15">
      <c r="A532" s="2266" t="s">
        <v>4265</v>
      </c>
      <c r="B532" s="1694" t="str">
        <f>CONCATENATE(LEFT(RIGHT(CONCATENATE("000",HH_Debt1516!A536),6),3),"-",(RIGHT(RIGHT(CONCATENATE("000",HH_Debt1516!A536),6),3)))</f>
        <v>159-901</v>
      </c>
      <c r="C532" s="121">
        <v>5682850</v>
      </c>
    </row>
    <row r="533" spans="1:3" ht="15">
      <c r="A533" s="2266" t="s">
        <v>4266</v>
      </c>
      <c r="B533" s="1694" t="str">
        <f>CONCATENATE(LEFT(RIGHT(CONCATENATE("000",HH_Debt1516!A537),6),3),"-",(RIGHT(RIGHT(CONCATENATE("000",HH_Debt1516!A537),6),3)))</f>
        <v>160-901</v>
      </c>
      <c r="C533" s="121">
        <v>1465421</v>
      </c>
    </row>
    <row r="534" spans="1:3" ht="15">
      <c r="A534" s="2266" t="s">
        <v>4267</v>
      </c>
      <c r="B534" s="1694" t="str">
        <f>CONCATENATE(LEFT(RIGHT(CONCATENATE("000",HH_Debt1516!A538),6),3),"-",(RIGHT(RIGHT(CONCATENATE("000",HH_Debt1516!A538),6),3)))</f>
        <v>160-905</v>
      </c>
      <c r="C534" s="121">
        <v>95188</v>
      </c>
    </row>
    <row r="535" spans="1:3" ht="15">
      <c r="A535" s="2266" t="s">
        <v>4268</v>
      </c>
      <c r="B535" s="1694" t="str">
        <f>CONCATENATE(LEFT(RIGHT(CONCATENATE("000",HH_Debt1516!A539),6),3),"-",(RIGHT(RIGHT(CONCATENATE("000",HH_Debt1516!A539),6),3)))</f>
        <v>161-901</v>
      </c>
      <c r="C535" s="121">
        <v>399950</v>
      </c>
    </row>
    <row r="536" spans="1:3" ht="15">
      <c r="A536" s="2266" t="s">
        <v>6722</v>
      </c>
      <c r="B536" s="1694" t="str">
        <f>CONCATENATE(LEFT(RIGHT(CONCATENATE("000",HH_Debt1516!A540),6),3),"-",(RIGHT(RIGHT(CONCATENATE("000",HH_Debt1516!A540),6),3)))</f>
        <v>161-903</v>
      </c>
      <c r="C536" s="121">
        <v>12324100</v>
      </c>
    </row>
    <row r="537" spans="1:3" ht="15">
      <c r="A537" s="2266" t="s">
        <v>4269</v>
      </c>
      <c r="B537" s="1694" t="str">
        <f>CONCATENATE(LEFT(RIGHT(CONCATENATE("000",HH_Debt1516!A541),6),3),"-",(RIGHT(RIGHT(CONCATENATE("000",HH_Debt1516!A541),6),3)))</f>
        <v>161-906</v>
      </c>
      <c r="C537" s="121">
        <v>2783093</v>
      </c>
    </row>
    <row r="538" spans="1:3" ht="15">
      <c r="A538" s="2266" t="s">
        <v>4270</v>
      </c>
      <c r="B538" s="1694" t="str">
        <f>CONCATENATE(LEFT(RIGHT(CONCATENATE("000",HH_Debt1516!A542),6),3),"-",(RIGHT(RIGHT(CONCATENATE("000",HH_Debt1516!A542),6),3)))</f>
        <v>161-907</v>
      </c>
      <c r="C538" s="121">
        <v>2155324</v>
      </c>
    </row>
    <row r="539" spans="1:3" ht="15">
      <c r="A539" s="2266" t="s">
        <v>4271</v>
      </c>
      <c r="B539" s="1694" t="str">
        <f>CONCATENATE(LEFT(RIGHT(CONCATENATE("000",HH_Debt1516!A543),6),3),"-",(RIGHT(RIGHT(CONCATENATE("000",HH_Debt1516!A543),6),3)))</f>
        <v>161-908</v>
      </c>
      <c r="C539" s="121">
        <v>308375</v>
      </c>
    </row>
    <row r="540" spans="1:3" ht="15">
      <c r="A540" s="2266" t="s">
        <v>4272</v>
      </c>
      <c r="B540" s="1694" t="str">
        <f>CONCATENATE(LEFT(RIGHT(CONCATENATE("000",HH_Debt1516!A544),6),3),"-",(RIGHT(RIGHT(CONCATENATE("000",HH_Debt1516!A544),6),3)))</f>
        <v>161-909</v>
      </c>
      <c r="C540" s="121">
        <v>1565878</v>
      </c>
    </row>
    <row r="541" spans="1:3" ht="15">
      <c r="A541" s="2266" t="s">
        <v>4273</v>
      </c>
      <c r="B541" s="1694" t="str">
        <f>CONCATENATE(LEFT(RIGHT(CONCATENATE("000",HH_Debt1516!A545),6),3),"-",(RIGHT(RIGHT(CONCATENATE("000",HH_Debt1516!A545),6),3)))</f>
        <v>161-910</v>
      </c>
      <c r="C541" s="121">
        <v>726744</v>
      </c>
    </row>
    <row r="542" spans="1:3" ht="15">
      <c r="A542" s="2266" t="s">
        <v>4274</v>
      </c>
      <c r="B542" s="1694" t="str">
        <f>CONCATENATE(LEFT(RIGHT(CONCATENATE("000",HH_Debt1516!A546),6),3),"-",(RIGHT(RIGHT(CONCATENATE("000",HH_Debt1516!A546),6),3)))</f>
        <v>161-912</v>
      </c>
      <c r="C542" s="121">
        <v>1673733</v>
      </c>
    </row>
    <row r="543" spans="1:3" ht="15">
      <c r="A543" s="2266" t="s">
        <v>4275</v>
      </c>
      <c r="B543" s="1694" t="str">
        <f>CONCATENATE(LEFT(RIGHT(CONCATENATE("000",HH_Debt1516!A547),6),3),"-",(RIGHT(RIGHT(CONCATENATE("000",HH_Debt1516!A547),6),3)))</f>
        <v>161-914</v>
      </c>
      <c r="C543" s="121">
        <v>13547381</v>
      </c>
    </row>
    <row r="544" spans="1:3" ht="15">
      <c r="A544" s="2266" t="s">
        <v>4276</v>
      </c>
      <c r="B544" s="1694" t="str">
        <f>CONCATENATE(LEFT(RIGHT(CONCATENATE("000",HH_Debt1516!A548),6),3),"-",(RIGHT(RIGHT(CONCATENATE("000",HH_Debt1516!A548),6),3)))</f>
        <v>161-916</v>
      </c>
      <c r="C544" s="121">
        <v>1091419</v>
      </c>
    </row>
    <row r="545" spans="1:3" ht="15">
      <c r="A545" s="2266" t="s">
        <v>4277</v>
      </c>
      <c r="B545" s="1694" t="str">
        <f>CONCATENATE(LEFT(RIGHT(CONCATENATE("000",HH_Debt1516!A549),6),3),"-",(RIGHT(RIGHT(CONCATENATE("000",HH_Debt1516!A549),6),3)))</f>
        <v>161-919</v>
      </c>
      <c r="C545" s="121">
        <v>418450</v>
      </c>
    </row>
    <row r="546" spans="1:3" ht="15">
      <c r="A546" s="2266" t="s">
        <v>4278</v>
      </c>
      <c r="B546" s="1694" t="str">
        <f>CONCATENATE(LEFT(RIGHT(CONCATENATE("000",HH_Debt1516!A550),6),3),"-",(RIGHT(RIGHT(CONCATENATE("000",HH_Debt1516!A550),6),3)))</f>
        <v>161-920</v>
      </c>
      <c r="C546" s="121">
        <v>3341768</v>
      </c>
    </row>
    <row r="547" spans="1:3" ht="15">
      <c r="A547" s="2266" t="s">
        <v>4279</v>
      </c>
      <c r="B547" s="1694" t="str">
        <f>CONCATENATE(LEFT(RIGHT(CONCATENATE("000",HH_Debt1516!A551),6),3),"-",(RIGHT(RIGHT(CONCATENATE("000",HH_Debt1516!A551),6),3)))</f>
        <v>161-921</v>
      </c>
      <c r="C547" s="121">
        <v>1556638</v>
      </c>
    </row>
    <row r="548" spans="1:3" ht="15">
      <c r="A548" s="2266" t="s">
        <v>4280</v>
      </c>
      <c r="B548" s="1694" t="str">
        <f>CONCATENATE(LEFT(RIGHT(CONCATENATE("000",HH_Debt1516!A552),6),3),"-",(RIGHT(RIGHT(CONCATENATE("000",HH_Debt1516!A552),6),3)))</f>
        <v>161-922</v>
      </c>
      <c r="C548" s="121">
        <v>2202734</v>
      </c>
    </row>
    <row r="549" spans="1:3" ht="15">
      <c r="A549" s="2266" t="s">
        <v>4281</v>
      </c>
      <c r="B549" s="1694" t="str">
        <f>CONCATENATE(LEFT(RIGHT(CONCATENATE("000",HH_Debt1516!A553),6),3),"-",(RIGHT(RIGHT(CONCATENATE("000",HH_Debt1516!A553),6),3)))</f>
        <v>161-923</v>
      </c>
      <c r="C549" s="121">
        <v>573552</v>
      </c>
    </row>
    <row r="550" spans="1:3" ht="15">
      <c r="A550" s="2266" t="s">
        <v>6723</v>
      </c>
      <c r="B550" s="1694" t="str">
        <f>CONCATENATE(LEFT(RIGHT(CONCATENATE("000",HH_Debt1516!A554),6),3),"-",(RIGHT(RIGHT(CONCATENATE("000",HH_Debt1516!A554),6),3)))</f>
        <v>161-924</v>
      </c>
      <c r="C550" s="121">
        <v>141962</v>
      </c>
    </row>
    <row r="551" spans="1:3" ht="15">
      <c r="A551" s="2266" t="s">
        <v>6724</v>
      </c>
      <c r="B551" s="1694" t="str">
        <f>CONCATENATE(LEFT(RIGHT(CONCATENATE("000",HH_Debt1516!A555),6),3),"-",(RIGHT(RIGHT(CONCATENATE("000",HH_Debt1516!A555),6),3)))</f>
        <v>162-904</v>
      </c>
      <c r="C551" s="121">
        <v>1644298</v>
      </c>
    </row>
    <row r="552" spans="1:3" ht="15">
      <c r="A552" s="2266" t="s">
        <v>4282</v>
      </c>
      <c r="B552" s="1694" t="str">
        <f>CONCATENATE(LEFT(RIGHT(CONCATENATE("000",HH_Debt1516!A556),6),3),"-",(RIGHT(RIGHT(CONCATENATE("000",HH_Debt1516!A556),6),3)))</f>
        <v>163-901</v>
      </c>
      <c r="C552" s="121">
        <v>1349586</v>
      </c>
    </row>
    <row r="553" spans="1:3" ht="15">
      <c r="A553" s="2266" t="s">
        <v>4283</v>
      </c>
      <c r="B553" s="1694" t="str">
        <f>CONCATENATE(LEFT(RIGHT(CONCATENATE("000",HH_Debt1516!A557),6),3),"-",(RIGHT(RIGHT(CONCATENATE("000",HH_Debt1516!A557),6),3)))</f>
        <v>163-902</v>
      </c>
      <c r="C553" s="121">
        <v>315255</v>
      </c>
    </row>
    <row r="554" spans="1:3" ht="15">
      <c r="A554" s="2266" t="s">
        <v>4284</v>
      </c>
      <c r="B554" s="1694" t="str">
        <f>CONCATENATE(LEFT(RIGHT(CONCATENATE("000",HH_Debt1516!A558),6),3),"-",(RIGHT(RIGHT(CONCATENATE("000",HH_Debt1516!A558),6),3)))</f>
        <v>163-903</v>
      </c>
      <c r="C554" s="121">
        <v>363250</v>
      </c>
    </row>
    <row r="555" spans="1:3" ht="15">
      <c r="A555" s="2266" t="s">
        <v>4285</v>
      </c>
      <c r="B555" s="1694" t="str">
        <f>CONCATENATE(LEFT(RIGHT(CONCATENATE("000",HH_Debt1516!A559),6),3),"-",(RIGHT(RIGHT(CONCATENATE("000",HH_Debt1516!A559),6),3)))</f>
        <v>163-904</v>
      </c>
      <c r="C555" s="121">
        <v>1261510</v>
      </c>
    </row>
    <row r="556" spans="1:3" ht="15">
      <c r="A556" s="2266" t="s">
        <v>4286</v>
      </c>
      <c r="B556" s="1694" t="str">
        <f>CONCATENATE(LEFT(RIGHT(CONCATENATE("000",HH_Debt1516!A560),6),3),"-",(RIGHT(RIGHT(CONCATENATE("000",HH_Debt1516!A560),6),3)))</f>
        <v>163-908</v>
      </c>
      <c r="C556" s="121">
        <v>4286925</v>
      </c>
    </row>
    <row r="557" spans="1:3" ht="15">
      <c r="A557" s="2266" t="s">
        <v>4287</v>
      </c>
      <c r="B557" s="1694" t="str">
        <f>CONCATENATE(LEFT(RIGHT(CONCATENATE("000",HH_Debt1516!A561),6),3),"-",(RIGHT(RIGHT(CONCATENATE("000",HH_Debt1516!A561),6),3)))</f>
        <v>165-901</v>
      </c>
      <c r="C557" s="121">
        <v>17139350</v>
      </c>
    </row>
    <row r="558" spans="1:3" ht="15">
      <c r="A558" s="2266" t="s">
        <v>6725</v>
      </c>
      <c r="B558" s="1694" t="str">
        <f>CONCATENATE(LEFT(RIGHT(CONCATENATE("000",HH_Debt1516!A562),6),3),"-",(RIGHT(RIGHT(CONCATENATE("000",HH_Debt1516!A562),6),3)))</f>
        <v>165-902</v>
      </c>
      <c r="C558" s="121">
        <v>3840403</v>
      </c>
    </row>
    <row r="559" spans="1:3" ht="15">
      <c r="A559" s="2266" t="s">
        <v>4288</v>
      </c>
      <c r="B559" s="1694" t="str">
        <f>CONCATENATE(LEFT(RIGHT(CONCATENATE("000",HH_Debt1516!A563),6),3),"-",(RIGHT(RIGHT(CONCATENATE("000",HH_Debt1516!A563),6),3)))</f>
        <v>166-901</v>
      </c>
      <c r="C559" s="121">
        <v>1733300</v>
      </c>
    </row>
    <row r="560" spans="1:3" ht="15">
      <c r="A560" s="2266" t="s">
        <v>6726</v>
      </c>
      <c r="B560" s="1694" t="str">
        <f>CONCATENATE(LEFT(RIGHT(CONCATENATE("000",HH_Debt1516!A564),6),3),"-",(RIGHT(RIGHT(CONCATENATE("000",HH_Debt1516!A564),6),3)))</f>
        <v>166-903</v>
      </c>
      <c r="C560" s="121">
        <v>380781</v>
      </c>
    </row>
    <row r="561" spans="1:3" ht="15">
      <c r="A561" s="2266" t="s">
        <v>6727</v>
      </c>
      <c r="B561" s="1694" t="str">
        <f>CONCATENATE(LEFT(RIGHT(CONCATENATE("000",HH_Debt1516!A565),6),3),"-",(RIGHT(RIGHT(CONCATENATE("000",HH_Debt1516!A565),6),3)))</f>
        <v>166-904</v>
      </c>
      <c r="C561" s="121">
        <v>1745812</v>
      </c>
    </row>
    <row r="562" spans="1:3" ht="15">
      <c r="A562" s="2266" t="s">
        <v>4289</v>
      </c>
      <c r="B562" s="1694" t="str">
        <f>CONCATENATE(LEFT(RIGHT(CONCATENATE("000",HH_Debt1516!A567),6),3),"-",(RIGHT(RIGHT(CONCATENATE("000",HH_Debt1516!A567),6),3)))</f>
        <v>166-907</v>
      </c>
      <c r="C562" s="121">
        <v>87359</v>
      </c>
    </row>
    <row r="563" spans="1:3" ht="15">
      <c r="A563" s="2266" t="s">
        <v>4290</v>
      </c>
      <c r="B563" s="1694" t="str">
        <f>CONCATENATE(LEFT(RIGHT(CONCATENATE("000",HH_Debt1516!A568),6),3),"-",(RIGHT(RIGHT(CONCATENATE("000",HH_Debt1516!A568),6),3)))</f>
        <v>167-901</v>
      </c>
      <c r="C563" s="121">
        <v>606793</v>
      </c>
    </row>
    <row r="564" spans="1:3" ht="15">
      <c r="A564" s="2266" t="s">
        <v>4291</v>
      </c>
      <c r="B564" s="1694" t="str">
        <f>CONCATENATE(LEFT(RIGHT(CONCATENATE("000",HH_Debt1516!A569),6),3),"-",(RIGHT(RIGHT(CONCATENATE("000",HH_Debt1516!A569),6),3)))</f>
        <v>167-904</v>
      </c>
      <c r="C564" s="121">
        <v>73010</v>
      </c>
    </row>
    <row r="565" spans="1:3" ht="15">
      <c r="A565" s="2266" t="s">
        <v>6729</v>
      </c>
      <c r="B565" s="1694" t="str">
        <f>CONCATENATE(LEFT(RIGHT(CONCATENATE("000",HH_Debt1516!A570),6),3),"-",(RIGHT(RIGHT(CONCATENATE("000",HH_Debt1516!A570),6),3)))</f>
        <v>168-901</v>
      </c>
      <c r="C565" s="121">
        <v>1706188</v>
      </c>
    </row>
    <row r="566" spans="1:3" ht="15">
      <c r="A566" s="2266" t="s">
        <v>6730</v>
      </c>
      <c r="B566" s="1694" t="str">
        <f>CONCATENATE(LEFT(RIGHT(CONCATENATE("000",HH_Debt1516!A571),6),3),"-",(RIGHT(RIGHT(CONCATENATE("000",HH_Debt1516!A571),6),3)))</f>
        <v>168-902</v>
      </c>
      <c r="C566" s="121">
        <v>794120</v>
      </c>
    </row>
    <row r="567" spans="1:3" ht="15">
      <c r="A567" s="2266" t="s">
        <v>4292</v>
      </c>
      <c r="B567" s="1694" t="str">
        <f>CONCATENATE(LEFT(RIGHT(CONCATENATE("000",HH_Debt1516!A572),6),3),"-",(RIGHT(RIGHT(CONCATENATE("000",HH_Debt1516!A572),6),3)))</f>
        <v>169-901</v>
      </c>
      <c r="C567" s="121">
        <v>1707782</v>
      </c>
    </row>
    <row r="568" spans="1:3" ht="15">
      <c r="A568" s="2266" t="s">
        <v>6731</v>
      </c>
      <c r="B568" s="1694" t="str">
        <f>CONCATENATE(LEFT(RIGHT(CONCATENATE("000",HH_Debt1516!A573),6),3),"-",(RIGHT(RIGHT(CONCATENATE("000",HH_Debt1516!A573),6),3)))</f>
        <v>169-906</v>
      </c>
      <c r="C568" s="121">
        <v>86200</v>
      </c>
    </row>
    <row r="569" spans="1:3" ht="15">
      <c r="A569" s="2266" t="s">
        <v>4293</v>
      </c>
      <c r="B569" s="1694" t="str">
        <f>CONCATENATE(LEFT(RIGHT(CONCATENATE("000",HH_Debt1516!A576),6),3),"-",(RIGHT(RIGHT(CONCATENATE("000",HH_Debt1516!A576),6),3)))</f>
        <v>170-902</v>
      </c>
      <c r="C569" s="121">
        <v>78500227</v>
      </c>
    </row>
    <row r="570" spans="1:3" ht="15">
      <c r="A570" s="2266" t="s">
        <v>6734</v>
      </c>
      <c r="B570" s="1694" t="str">
        <f>CONCATENATE(LEFT(RIGHT(CONCATENATE("000",HH_Debt1516!A577),6),3),"-",(RIGHT(RIGHT(CONCATENATE("000",HH_Debt1516!A577),6),3)))</f>
        <v>170-903</v>
      </c>
      <c r="C570" s="121">
        <v>19191369</v>
      </c>
    </row>
    <row r="571" spans="1:3" ht="15">
      <c r="A571" s="2266" t="s">
        <v>4294</v>
      </c>
      <c r="B571" s="1694" t="str">
        <f>CONCATENATE(LEFT(RIGHT(CONCATENATE("000",HH_Debt1516!A578),6),3),"-",(RIGHT(RIGHT(CONCATENATE("000",HH_Debt1516!A578),6),3)))</f>
        <v>170-904</v>
      </c>
      <c r="C571" s="121">
        <v>7971548</v>
      </c>
    </row>
    <row r="572" spans="1:3" ht="15">
      <c r="A572" s="2266" t="s">
        <v>4295</v>
      </c>
      <c r="B572" s="1694" t="str">
        <f>CONCATENATE(LEFT(RIGHT(CONCATENATE("000",HH_Debt1516!A579),6),3),"-",(RIGHT(RIGHT(CONCATENATE("000",HH_Debt1516!A579),6),3)))</f>
        <v>170-906</v>
      </c>
      <c r="C572" s="121">
        <v>14393587</v>
      </c>
    </row>
    <row r="573" spans="1:3" ht="15">
      <c r="A573" s="2266" t="s">
        <v>4296</v>
      </c>
      <c r="B573" s="1694" t="str">
        <f>CONCATENATE(LEFT(RIGHT(CONCATENATE("000",HH_Debt1516!A580),6),3),"-",(RIGHT(RIGHT(CONCATENATE("000",HH_Debt1516!A580),6),3)))</f>
        <v>170-907</v>
      </c>
      <c r="C573" s="121">
        <v>3268793</v>
      </c>
    </row>
    <row r="574" spans="1:3" ht="15">
      <c r="A574" s="2266" t="s">
        <v>4297</v>
      </c>
      <c r="B574" s="1694" t="str">
        <f>CONCATENATE(LEFT(RIGHT(CONCATENATE("000",HH_Debt1516!A581),6),3),"-",(RIGHT(RIGHT(CONCATENATE("000",HH_Debt1516!A581),6),3)))</f>
        <v>170-908</v>
      </c>
      <c r="C574" s="121">
        <v>22154005</v>
      </c>
    </row>
    <row r="575" spans="1:3" ht="15">
      <c r="A575" s="2266" t="s">
        <v>6735</v>
      </c>
      <c r="B575" s="1694" t="str">
        <f>CONCATENATE(LEFT(RIGHT(CONCATENATE("000",HH_Debt1516!A582),6),3),"-",(RIGHT(RIGHT(CONCATENATE("000",HH_Debt1516!A582),6),3)))</f>
        <v>171-901</v>
      </c>
      <c r="C575" s="121">
        <v>2026350</v>
      </c>
    </row>
    <row r="576" spans="1:3" ht="15">
      <c r="A576" s="2266" t="s">
        <v>6736</v>
      </c>
      <c r="B576" s="1694" t="str">
        <f>CONCATENATE(LEFT(RIGHT(CONCATENATE("000",HH_Debt1516!A583),6),3),"-",(RIGHT(RIGHT(CONCATENATE("000",HH_Debt1516!A583),6),3)))</f>
        <v>171-902</v>
      </c>
      <c r="C576" s="121">
        <v>663110</v>
      </c>
    </row>
    <row r="577" spans="1:3" ht="15">
      <c r="A577" s="2266" t="s">
        <v>6737</v>
      </c>
      <c r="B577" s="1694" t="str">
        <f>CONCATENATE(LEFT(RIGHT(CONCATENATE("000",HH_Debt1516!A584),6),3),"-",(RIGHT(RIGHT(CONCATENATE("000",HH_Debt1516!A584),6),3)))</f>
        <v>172-902</v>
      </c>
      <c r="C577" s="121">
        <v>840486</v>
      </c>
    </row>
    <row r="578" spans="1:3" ht="15">
      <c r="A578" s="2266" t="s">
        <v>6738</v>
      </c>
      <c r="B578" s="1694" t="str">
        <f>CONCATENATE(LEFT(RIGHT(CONCATENATE("000",HH_Debt1516!A585),6),3),"-",(RIGHT(RIGHT(CONCATENATE("000",HH_Debt1516!A585),6),3)))</f>
        <v>172-905</v>
      </c>
      <c r="C578" s="121">
        <v>179200</v>
      </c>
    </row>
    <row r="579" spans="1:3" ht="15">
      <c r="A579" s="2266" t="s">
        <v>4298</v>
      </c>
      <c r="B579" s="1694" t="str">
        <f>CONCATENATE(LEFT(RIGHT(CONCATENATE("000",HH_Debt1516!A586),6),3),"-",(RIGHT(RIGHT(CONCATENATE("000",HH_Debt1516!A586),6),3)))</f>
        <v>174-901</v>
      </c>
      <c r="C579" s="121">
        <v>76856</v>
      </c>
    </row>
    <row r="580" spans="1:3" ht="15">
      <c r="A580" s="2266" t="s">
        <v>6739</v>
      </c>
      <c r="B580" s="1694" t="str">
        <f>CONCATENATE(LEFT(RIGHT(CONCATENATE("000",HH_Debt1516!A587),6),3),"-",(RIGHT(RIGHT(CONCATENATE("000",HH_Debt1516!A587),6),3)))</f>
        <v>174-902</v>
      </c>
      <c r="C580" s="121">
        <v>1116127</v>
      </c>
    </row>
    <row r="581" spans="1:3" ht="15">
      <c r="A581" s="2266" t="s">
        <v>4299</v>
      </c>
      <c r="B581" s="1694" t="str">
        <f>CONCATENATE(LEFT(RIGHT(CONCATENATE("000",HH_Debt1516!A588),6),3),"-",(RIGHT(RIGHT(CONCATENATE("000",HH_Debt1516!A588),6),3)))</f>
        <v>174-903</v>
      </c>
      <c r="C581" s="121">
        <v>142612</v>
      </c>
    </row>
    <row r="582" spans="1:3" ht="15">
      <c r="A582" s="2266" t="s">
        <v>6740</v>
      </c>
      <c r="B582" s="1694" t="str">
        <f>CONCATENATE(LEFT(RIGHT(CONCATENATE("000",HH_Debt1516!A589),6),3),"-",(RIGHT(RIGHT(CONCATENATE("000",HH_Debt1516!A589),6),3)))</f>
        <v>174-904</v>
      </c>
      <c r="C582" s="121">
        <v>3258950</v>
      </c>
    </row>
    <row r="583" spans="1:3" ht="15">
      <c r="A583" s="2266" t="s">
        <v>4300</v>
      </c>
      <c r="B583" s="1694" t="str">
        <f>CONCATENATE(LEFT(RIGHT(CONCATENATE("000",HH_Debt1516!A590),6),3),"-",(RIGHT(RIGHT(CONCATENATE("000",HH_Debt1516!A590),6),3)))</f>
        <v>174-906</v>
      </c>
      <c r="C583" s="121">
        <v>178250</v>
      </c>
    </row>
    <row r="584" spans="1:3" ht="15">
      <c r="A584" s="2266" t="s">
        <v>4301</v>
      </c>
      <c r="B584" s="1694" t="str">
        <f>CONCATENATE(LEFT(RIGHT(CONCATENATE("000",HH_Debt1516!A591),6),3),"-",(RIGHT(RIGHT(CONCATENATE("000",HH_Debt1516!A591),6),3)))</f>
        <v>174-908</v>
      </c>
      <c r="C584" s="121">
        <v>950993</v>
      </c>
    </row>
    <row r="585" spans="1:3" ht="15">
      <c r="A585" s="2266" t="s">
        <v>6019</v>
      </c>
      <c r="B585" s="1694" t="str">
        <f>CONCATENATE(LEFT(RIGHT(CONCATENATE("000",HH_Debt1516!A592),6),3),"-",(RIGHT(RIGHT(CONCATENATE("000",HH_Debt1516!A592),6),3)))</f>
        <v>174-909</v>
      </c>
      <c r="C585" s="121">
        <v>315544</v>
      </c>
    </row>
    <row r="586" spans="1:3" ht="15">
      <c r="A586" s="2266" t="s">
        <v>6741</v>
      </c>
      <c r="B586" s="1694" t="str">
        <f>CONCATENATE(LEFT(RIGHT(CONCATENATE("000",HH_Debt1516!A593),6),3),"-",(RIGHT(RIGHT(CONCATENATE("000",HH_Debt1516!A593),6),3)))</f>
        <v>174-910</v>
      </c>
      <c r="C586" s="121">
        <v>157002</v>
      </c>
    </row>
    <row r="587" spans="1:3" ht="15">
      <c r="A587" s="2266" t="s">
        <v>6742</v>
      </c>
      <c r="B587" s="1694" t="str">
        <f>CONCATENATE(LEFT(RIGHT(CONCATENATE("000",HH_Debt1516!A594),6),3),"-",(RIGHT(RIGHT(CONCATENATE("000",HH_Debt1516!A594),6),3)))</f>
        <v>175-902</v>
      </c>
      <c r="C587" s="121">
        <v>181950</v>
      </c>
    </row>
    <row r="588" spans="1:3" ht="15">
      <c r="A588" s="2266" t="s">
        <v>4302</v>
      </c>
      <c r="B588" s="1694" t="str">
        <f>CONCATENATE(LEFT(RIGHT(CONCATENATE("000",HH_Debt1516!A595),6),3),"-",(RIGHT(RIGHT(CONCATENATE("000",HH_Debt1516!A595),6),3)))</f>
        <v>175-903</v>
      </c>
      <c r="C588" s="121">
        <v>6057488</v>
      </c>
    </row>
    <row r="589" spans="1:3" ht="15">
      <c r="A589" s="2266" t="s">
        <v>4303</v>
      </c>
      <c r="B589" s="1694" t="str">
        <f>CONCATENATE(LEFT(RIGHT(CONCATENATE("000",HH_Debt1516!A596),6),3),"-",(RIGHT(RIGHT(CONCATENATE("000",HH_Debt1516!A596),6),3)))</f>
        <v>175-904</v>
      </c>
      <c r="C589" s="121">
        <v>349594</v>
      </c>
    </row>
    <row r="590" spans="1:3" ht="15">
      <c r="A590" s="2266" t="s">
        <v>6743</v>
      </c>
      <c r="B590" s="1694" t="str">
        <f>CONCATENATE(LEFT(RIGHT(CONCATENATE("000",HH_Debt1516!A597),6),3),"-",(RIGHT(RIGHT(CONCATENATE("000",HH_Debt1516!A597),6),3)))</f>
        <v>175-905</v>
      </c>
      <c r="C590" s="121">
        <v>100505</v>
      </c>
    </row>
    <row r="591" spans="1:3" ht="15">
      <c r="A591" s="2266" t="s">
        <v>4304</v>
      </c>
      <c r="B591" s="1694" t="str">
        <f>CONCATENATE(LEFT(RIGHT(CONCATENATE("000",HH_Debt1516!A598),6),3),"-",(RIGHT(RIGHT(CONCATENATE("000",HH_Debt1516!A598),6),3)))</f>
        <v>175-907</v>
      </c>
      <c r="C591" s="121">
        <v>153000</v>
      </c>
    </row>
    <row r="592" spans="1:3" ht="15">
      <c r="A592" s="2266" t="s">
        <v>6744</v>
      </c>
      <c r="B592" s="1694" t="str">
        <f>CONCATENATE(LEFT(RIGHT(CONCATENATE("000",HH_Debt1516!A599),6),3),"-",(RIGHT(RIGHT(CONCATENATE("000",HH_Debt1516!A599),6),3)))</f>
        <v>175-910</v>
      </c>
      <c r="C592" s="121">
        <v>891722</v>
      </c>
    </row>
    <row r="593" spans="1:3" ht="15">
      <c r="A593" s="2266" t="s">
        <v>4305</v>
      </c>
      <c r="B593" s="1694" t="str">
        <f>CONCATENATE(LEFT(RIGHT(CONCATENATE("000",HH_Debt1516!A600),6),3),"-",(RIGHT(RIGHT(CONCATENATE("000",HH_Debt1516!A600),6),3)))</f>
        <v>175-911</v>
      </c>
      <c r="C593" s="121">
        <v>806377</v>
      </c>
    </row>
    <row r="594" spans="1:3" ht="15">
      <c r="A594" s="2266" t="s">
        <v>6745</v>
      </c>
      <c r="B594" s="1694" t="str">
        <f>CONCATENATE(LEFT(RIGHT(CONCATENATE("000",HH_Debt1516!A601),6),3),"-",(RIGHT(RIGHT(CONCATENATE("000",HH_Debt1516!A601),6),3)))</f>
        <v>176-901</v>
      </c>
      <c r="C594" s="121">
        <v>222500</v>
      </c>
    </row>
    <row r="595" spans="1:3" ht="15">
      <c r="A595" s="2266" t="s">
        <v>4306</v>
      </c>
      <c r="B595" s="1694" t="str">
        <f>CONCATENATE(LEFT(RIGHT(CONCATENATE("000",HH_Debt1516!A602),6),3),"-",(RIGHT(RIGHT(CONCATENATE("000",HH_Debt1516!A602),6),3)))</f>
        <v>176-902</v>
      </c>
      <c r="C595" s="121">
        <v>734725</v>
      </c>
    </row>
    <row r="596" spans="1:3" ht="15">
      <c r="A596" s="2266" t="s">
        <v>4307</v>
      </c>
      <c r="B596" s="1694" t="str">
        <f>CONCATENATE(LEFT(RIGHT(CONCATENATE("000",HH_Debt1516!A603),6),3),"-",(RIGHT(RIGHT(CONCATENATE("000",HH_Debt1516!A603),6),3)))</f>
        <v>176-903</v>
      </c>
      <c r="C596" s="121">
        <v>847938</v>
      </c>
    </row>
    <row r="597" spans="1:3" ht="15">
      <c r="A597" s="2266" t="s">
        <v>4308</v>
      </c>
      <c r="B597" s="1694" t="str">
        <f>CONCATENATE(LEFT(RIGHT(CONCATENATE("000",HH_Debt1516!A604),6),3),"-",(RIGHT(RIGHT(CONCATENATE("000",HH_Debt1516!A604),6),3)))</f>
        <v>177-901</v>
      </c>
      <c r="C597" s="121">
        <v>1196508</v>
      </c>
    </row>
    <row r="598" spans="1:3" ht="15">
      <c r="A598" s="2266" t="s">
        <v>6746</v>
      </c>
      <c r="B598" s="1694" t="str">
        <f>CONCATENATE(LEFT(RIGHT(CONCATENATE("000",HH_Debt1516!A605),6),3),"-",(RIGHT(RIGHT(CONCATENATE("000",HH_Debt1516!A605),6),3)))</f>
        <v>177-902</v>
      </c>
      <c r="C598" s="121">
        <v>904050</v>
      </c>
    </row>
    <row r="599" spans="1:3" ht="15">
      <c r="A599" s="2266" t="s">
        <v>6747</v>
      </c>
      <c r="B599" s="1694" t="str">
        <f>CONCATENATE(LEFT(RIGHT(CONCATENATE("000",HH_Debt1516!A606),6),3),"-",(RIGHT(RIGHT(CONCATENATE("000",HH_Debt1516!A606),6),3)))</f>
        <v>177-903</v>
      </c>
      <c r="C599" s="121">
        <v>840200</v>
      </c>
    </row>
    <row r="600" spans="1:3" ht="15">
      <c r="A600" s="2266" t="s">
        <v>6748</v>
      </c>
      <c r="B600" s="1694" t="str">
        <f>CONCATENATE(LEFT(RIGHT(CONCATENATE("000",HH_Debt1516!A607),6),3),"-",(RIGHT(RIGHT(CONCATENATE("000",HH_Debt1516!A607),6),3)))</f>
        <v>177-905</v>
      </c>
      <c r="C600" s="121">
        <v>539925</v>
      </c>
    </row>
    <row r="601" spans="1:3" ht="15">
      <c r="A601" s="2266" t="s">
        <v>6749</v>
      </c>
      <c r="B601" s="1694" t="str">
        <f>CONCATENATE(LEFT(RIGHT(CONCATENATE("000",HH_Debt1516!A608),6),3),"-",(RIGHT(RIGHT(CONCATENATE("000",HH_Debt1516!A608),6),3)))</f>
        <v>178-901</v>
      </c>
      <c r="C601" s="121">
        <v>276760</v>
      </c>
    </row>
    <row r="602" spans="1:3" ht="15">
      <c r="A602" s="2266" t="s">
        <v>6750</v>
      </c>
      <c r="B602" s="1694" t="str">
        <f>CONCATENATE(LEFT(RIGHT(CONCATENATE("000",HH_Debt1516!A609),6),3),"-",(RIGHT(RIGHT(CONCATENATE("000",HH_Debt1516!A609),6),3)))</f>
        <v>178-902</v>
      </c>
      <c r="C602" s="121">
        <v>1705206</v>
      </c>
    </row>
    <row r="603" spans="1:3" ht="15">
      <c r="A603" s="2266" t="s">
        <v>6751</v>
      </c>
      <c r="B603" s="1694" t="str">
        <f>CONCATENATE(LEFT(RIGHT(CONCATENATE("000",HH_Debt1516!A610),6),3),"-",(RIGHT(RIGHT(CONCATENATE("000",HH_Debt1516!A610),6),3)))</f>
        <v>178-903</v>
      </c>
      <c r="C603" s="121">
        <v>2840733</v>
      </c>
    </row>
    <row r="604" spans="1:3" ht="15">
      <c r="A604" s="2266" t="s">
        <v>4309</v>
      </c>
      <c r="B604" s="1694" t="str">
        <f>CONCATENATE(LEFT(RIGHT(CONCATENATE("000",HH_Debt1516!A611),6),3),"-",(RIGHT(RIGHT(CONCATENATE("000",HH_Debt1516!A611),6),3)))</f>
        <v>178-904</v>
      </c>
      <c r="C604" s="121">
        <v>27142893</v>
      </c>
    </row>
    <row r="605" spans="1:3" ht="15">
      <c r="A605" s="2266" t="s">
        <v>6752</v>
      </c>
      <c r="B605" s="1694" t="str">
        <f>CONCATENATE(LEFT(RIGHT(CONCATENATE("000",HH_Debt1516!A612),6),3),"-",(RIGHT(RIGHT(CONCATENATE("000",HH_Debt1516!A612),6),3)))</f>
        <v>178-905</v>
      </c>
      <c r="C605" s="121">
        <v>559660</v>
      </c>
    </row>
    <row r="606" spans="1:3" ht="15">
      <c r="A606" s="2266" t="s">
        <v>6753</v>
      </c>
      <c r="B606" s="1694" t="str">
        <f>CONCATENATE(LEFT(RIGHT(CONCATENATE("000",HH_Debt1516!A613),6),3),"-",(RIGHT(RIGHT(CONCATENATE("000",HH_Debt1516!A613),6),3)))</f>
        <v>178-906</v>
      </c>
      <c r="C606" s="121">
        <v>1182375</v>
      </c>
    </row>
    <row r="607" spans="1:3" ht="15">
      <c r="A607" s="2266" t="s">
        <v>6754</v>
      </c>
      <c r="B607" s="1694" t="str">
        <f>CONCATENATE(LEFT(RIGHT(CONCATENATE("000",HH_Debt1516!A614),6),3),"-",(RIGHT(RIGHT(CONCATENATE("000",HH_Debt1516!A614),6),3)))</f>
        <v>178-908</v>
      </c>
      <c r="C607" s="121">
        <v>976025</v>
      </c>
    </row>
    <row r="608" spans="1:3" ht="15">
      <c r="A608" s="2266" t="s">
        <v>4310</v>
      </c>
      <c r="B608" s="1694" t="str">
        <f>CONCATENATE(LEFT(RIGHT(CONCATENATE("000",HH_Debt1516!A615),6),3),"-",(RIGHT(RIGHT(CONCATENATE("000",HH_Debt1516!A615),6),3)))</f>
        <v>178-909</v>
      </c>
      <c r="C608" s="121">
        <v>4484570</v>
      </c>
    </row>
    <row r="609" spans="1:3" ht="15">
      <c r="A609" s="2266" t="s">
        <v>6755</v>
      </c>
      <c r="B609" s="1694" t="str">
        <f>CONCATENATE(LEFT(RIGHT(CONCATENATE("000",HH_Debt1516!A616),6),3),"-",(RIGHT(RIGHT(CONCATENATE("000",HH_Debt1516!A616),6),3)))</f>
        <v>178-912</v>
      </c>
      <c r="C609" s="121">
        <v>6458230</v>
      </c>
    </row>
    <row r="610" spans="1:3" ht="15">
      <c r="A610" s="2266" t="s">
        <v>4311</v>
      </c>
      <c r="B610" s="1694" t="str">
        <f>CONCATENATE(LEFT(RIGHT(CONCATENATE("000",HH_Debt1516!A617),6),3),"-",(RIGHT(RIGHT(CONCATENATE("000",HH_Debt1516!A617),6),3)))</f>
        <v>178-913</v>
      </c>
      <c r="C610" s="121">
        <v>1147338</v>
      </c>
    </row>
    <row r="611" spans="1:3" ht="15">
      <c r="A611" s="2266" t="s">
        <v>6756</v>
      </c>
      <c r="B611" s="1694" t="str">
        <f>CONCATENATE(LEFT(RIGHT(CONCATENATE("000",HH_Debt1516!A618),6),3),"-",(RIGHT(RIGHT(CONCATENATE("000",HH_Debt1516!A618),6),3)))</f>
        <v>178-914</v>
      </c>
      <c r="C611" s="121">
        <v>3136594</v>
      </c>
    </row>
    <row r="612" spans="1:3" ht="15">
      <c r="A612" s="2266" t="s">
        <v>4312</v>
      </c>
      <c r="B612" s="1694" t="str">
        <f>CONCATENATE(LEFT(RIGHT(CONCATENATE("000",HH_Debt1516!A619),6),3),"-",(RIGHT(RIGHT(CONCATENATE("000",HH_Debt1516!A619),6),3)))</f>
        <v>178-915</v>
      </c>
      <c r="C612" s="121">
        <v>2248591</v>
      </c>
    </row>
    <row r="613" spans="1:3" ht="15">
      <c r="A613" s="2266" t="s">
        <v>4313</v>
      </c>
      <c r="B613" s="1694" t="str">
        <f>CONCATENATE(LEFT(RIGHT(CONCATENATE("000",HH_Debt1516!A620),6),3),"-",(RIGHT(RIGHT(CONCATENATE("000",HH_Debt1516!A620),6),3)))</f>
        <v>179-901</v>
      </c>
      <c r="C613" s="121">
        <v>1133893</v>
      </c>
    </row>
    <row r="614" spans="1:3" ht="15">
      <c r="A614" s="2266" t="s">
        <v>6757</v>
      </c>
      <c r="B614" s="1694" t="str">
        <f>CONCATENATE(LEFT(RIGHT(CONCATENATE("000",HH_Debt1516!A621),6),3),"-",(RIGHT(RIGHT(CONCATENATE("000",HH_Debt1516!A621),6),3)))</f>
        <v>180-902</v>
      </c>
      <c r="C614" s="121">
        <v>1673311</v>
      </c>
    </row>
    <row r="615" spans="1:3" ht="15">
      <c r="A615" s="2266" t="s">
        <v>6758</v>
      </c>
      <c r="B615" s="1694" t="str">
        <f>CONCATENATE(LEFT(RIGHT(CONCATENATE("000",HH_Debt1516!A622),6),3),"-",(RIGHT(RIGHT(CONCATENATE("000",HH_Debt1516!A622),6),3)))</f>
        <v>180-904</v>
      </c>
      <c r="C615" s="121">
        <v>782869</v>
      </c>
    </row>
    <row r="616" spans="1:3" ht="15">
      <c r="A616" s="2266" t="s">
        <v>4314</v>
      </c>
      <c r="B616" s="1694" t="str">
        <f>CONCATENATE(LEFT(RIGHT(CONCATENATE("000",HH_Debt1516!A623),6),3),"-",(RIGHT(RIGHT(CONCATENATE("000",HH_Debt1516!A623),6),3)))</f>
        <v>181-901</v>
      </c>
      <c r="C616" s="121">
        <v>1460393</v>
      </c>
    </row>
    <row r="617" spans="1:3" ht="15">
      <c r="A617" s="2266" t="s">
        <v>6759</v>
      </c>
      <c r="B617" s="1694" t="str">
        <f>CONCATENATE(LEFT(RIGHT(CONCATENATE("000",HH_Debt1516!A624),6),3),"-",(RIGHT(RIGHT(CONCATENATE("000",HH_Debt1516!A624),6),3)))</f>
        <v>181-905</v>
      </c>
      <c r="C617" s="121">
        <v>478250</v>
      </c>
    </row>
    <row r="618" spans="1:3" ht="15">
      <c r="A618" s="2266" t="s">
        <v>6760</v>
      </c>
      <c r="B618" s="1694" t="str">
        <f>CONCATENATE(LEFT(RIGHT(CONCATENATE("000",HH_Debt1516!A625),6),3),"-",(RIGHT(RIGHT(CONCATENATE("000",HH_Debt1516!A625),6),3)))</f>
        <v>181-906</v>
      </c>
      <c r="C618" s="121">
        <v>4276371</v>
      </c>
    </row>
    <row r="619" spans="1:3" ht="15">
      <c r="A619" s="2266" t="s">
        <v>4315</v>
      </c>
      <c r="B619" s="1694" t="str">
        <f>CONCATENATE(LEFT(RIGHT(CONCATENATE("000",HH_Debt1516!A626),6),3),"-",(RIGHT(RIGHT(CONCATENATE("000",HH_Debt1516!A626),6),3)))</f>
        <v>181-907</v>
      </c>
      <c r="C619" s="121">
        <v>1289650</v>
      </c>
    </row>
    <row r="620" spans="1:3" ht="15">
      <c r="A620" s="2266" t="s">
        <v>6761</v>
      </c>
      <c r="B620" s="1694" t="str">
        <f>CONCATENATE(LEFT(RIGHT(CONCATENATE("000",HH_Debt1516!A627),6),3),"-",(RIGHT(RIGHT(CONCATENATE("000",HH_Debt1516!A627),6),3)))</f>
        <v>181-908</v>
      </c>
      <c r="C620" s="121">
        <v>4029176</v>
      </c>
    </row>
    <row r="621" spans="1:3" ht="15">
      <c r="A621" s="2266" t="s">
        <v>6762</v>
      </c>
      <c r="B621" s="1694" t="str">
        <f>CONCATENATE(LEFT(RIGHT(CONCATENATE("000",HH_Debt1516!A628),6),3),"-",(RIGHT(RIGHT(CONCATENATE("000",HH_Debt1516!A628),6),3)))</f>
        <v>182-901</v>
      </c>
      <c r="C621" s="121">
        <v>71141</v>
      </c>
    </row>
    <row r="622" spans="1:3" ht="15">
      <c r="A622" s="2266" t="s">
        <v>6763</v>
      </c>
      <c r="B622" s="1694" t="str">
        <f>CONCATENATE(LEFT(RIGHT(CONCATENATE("000",HH_Debt1516!A629),6),3),"-",(RIGHT(RIGHT(CONCATENATE("000",HH_Debt1516!A629),6),3)))</f>
        <v>182-902</v>
      </c>
      <c r="C622" s="121">
        <v>767250</v>
      </c>
    </row>
    <row r="623" spans="1:3" ht="15">
      <c r="A623" s="2266" t="s">
        <v>4316</v>
      </c>
      <c r="B623" s="1694" t="str">
        <f>CONCATENATE(LEFT(RIGHT(CONCATENATE("000",HH_Debt1516!A630),6),3),"-",(RIGHT(RIGHT(CONCATENATE("000",HH_Debt1516!A630),6),3)))</f>
        <v>182-903</v>
      </c>
      <c r="C623" s="121">
        <v>3853150</v>
      </c>
    </row>
    <row r="624" spans="1:3" ht="15">
      <c r="A624" s="2266" t="s">
        <v>6764</v>
      </c>
      <c r="B624" s="1694" t="str">
        <f>CONCATENATE(LEFT(RIGHT(CONCATENATE("000",HH_Debt1516!A631),6),3),"-",(RIGHT(RIGHT(CONCATENATE("000",HH_Debt1516!A631),6),3)))</f>
        <v>182-904</v>
      </c>
      <c r="C624" s="121">
        <v>339675</v>
      </c>
    </row>
    <row r="625" spans="1:3" ht="15">
      <c r="A625" s="2266" t="s">
        <v>6765</v>
      </c>
      <c r="B625" s="1694" t="str">
        <f>CONCATENATE(LEFT(RIGHT(CONCATENATE("000",HH_Debt1516!A632),6),3),"-",(RIGHT(RIGHT(CONCATENATE("000",HH_Debt1516!A632),6),3)))</f>
        <v>182-906</v>
      </c>
      <c r="C625" s="121">
        <v>238850</v>
      </c>
    </row>
    <row r="626" spans="1:3" ht="15">
      <c r="A626" s="2266" t="s">
        <v>6766</v>
      </c>
      <c r="B626" s="1694" t="str">
        <f>CONCATENATE(LEFT(RIGHT(CONCATENATE("000",HH_Debt1516!A633),6),3),"-",(RIGHT(RIGHT(CONCATENATE("000",HH_Debt1516!A633),6),3)))</f>
        <v>183-901</v>
      </c>
      <c r="C626" s="121">
        <v>1129500</v>
      </c>
    </row>
    <row r="627" spans="1:3" ht="15">
      <c r="A627" s="2266" t="s">
        <v>6767</v>
      </c>
      <c r="B627" s="1694" t="str">
        <f>CONCATENATE(LEFT(RIGHT(CONCATENATE("000",HH_Debt1516!A634),6),3),"-",(RIGHT(RIGHT(CONCATENATE("000",HH_Debt1516!A634),6),3)))</f>
        <v>183-902</v>
      </c>
      <c r="C627" s="121">
        <v>7232914</v>
      </c>
    </row>
    <row r="628" spans="1:3" ht="15">
      <c r="A628" s="2266" t="s">
        <v>4317</v>
      </c>
      <c r="B628" s="1694" t="str">
        <f>CONCATENATE(LEFT(RIGHT(CONCATENATE("000",HH_Debt1516!A635),6),3),"-",(RIGHT(RIGHT(CONCATENATE("000",HH_Debt1516!A635),6),3)))</f>
        <v>183-904</v>
      </c>
      <c r="C628" s="121">
        <v>674027</v>
      </c>
    </row>
    <row r="629" spans="1:3" ht="15">
      <c r="A629" s="2266" t="s">
        <v>4318</v>
      </c>
      <c r="B629" s="1694" t="str">
        <f>CONCATENATE(LEFT(RIGHT(CONCATENATE("000",HH_Debt1516!A636),6),3),"-",(RIGHT(RIGHT(CONCATENATE("000",HH_Debt1516!A636),6),3)))</f>
        <v>184-901</v>
      </c>
      <c r="C629" s="121">
        <v>348469</v>
      </c>
    </row>
    <row r="630" spans="1:3" ht="15">
      <c r="A630" s="2266" t="s">
        <v>4319</v>
      </c>
      <c r="B630" s="1694" t="str">
        <f>CONCATENATE(LEFT(RIGHT(CONCATENATE("000",HH_Debt1516!A637),6),3),"-",(RIGHT(RIGHT(CONCATENATE("000",HH_Debt1516!A637),6),3)))</f>
        <v>184-902</v>
      </c>
      <c r="C630" s="121">
        <v>3963195</v>
      </c>
    </row>
    <row r="631" spans="1:3" ht="15">
      <c r="A631" s="2266" t="s">
        <v>4320</v>
      </c>
      <c r="B631" s="1694" t="str">
        <f>CONCATENATE(LEFT(RIGHT(CONCATENATE("000",HH_Debt1516!A638),6),3),"-",(RIGHT(RIGHT(CONCATENATE("000",HH_Debt1516!A638),6),3)))</f>
        <v>184-903</v>
      </c>
      <c r="C631" s="121">
        <v>12270007</v>
      </c>
    </row>
    <row r="632" spans="1:3" ht="15">
      <c r="A632" s="2266" t="s">
        <v>4321</v>
      </c>
      <c r="B632" s="1694" t="str">
        <f>CONCATENATE(LEFT(RIGHT(CONCATENATE("000",HH_Debt1516!A639),6),3),"-",(RIGHT(RIGHT(CONCATENATE("000",HH_Debt1516!A639),6),3)))</f>
        <v>184-904</v>
      </c>
      <c r="C632" s="121">
        <v>1384025</v>
      </c>
    </row>
    <row r="633" spans="1:3" ht="15">
      <c r="A633" s="2266" t="s">
        <v>6768</v>
      </c>
      <c r="B633" s="1694" t="str">
        <f>CONCATENATE(LEFT(RIGHT(CONCATENATE("000",HH_Debt1516!A640),6),3),"-",(RIGHT(RIGHT(CONCATENATE("000",HH_Debt1516!A640),6),3)))</f>
        <v>184-907</v>
      </c>
      <c r="C633" s="121">
        <v>11505606</v>
      </c>
    </row>
    <row r="634" spans="1:3" ht="15">
      <c r="A634" s="2266" t="s">
        <v>4322</v>
      </c>
      <c r="B634" s="1694" t="str">
        <f>CONCATENATE(LEFT(RIGHT(CONCATENATE("000",HH_Debt1516!A641),6),3),"-",(RIGHT(RIGHT(CONCATENATE("000",HH_Debt1516!A641),6),3)))</f>
        <v>184-908</v>
      </c>
      <c r="C634" s="121">
        <v>1506625</v>
      </c>
    </row>
    <row r="635" spans="1:3" ht="15">
      <c r="A635" s="2266" t="s">
        <v>4323</v>
      </c>
      <c r="B635" s="1694" t="str">
        <f>CONCATENATE(LEFT(RIGHT(CONCATENATE("000",HH_Debt1516!A642),6),3),"-",(RIGHT(RIGHT(CONCATENATE("000",HH_Debt1516!A642),6),3)))</f>
        <v>184-909</v>
      </c>
      <c r="C635" s="121">
        <v>1674688</v>
      </c>
    </row>
    <row r="636" spans="1:3" ht="15">
      <c r="A636" s="2266" t="s">
        <v>6769</v>
      </c>
      <c r="B636" s="1694" t="str">
        <f>CONCATENATE(LEFT(RIGHT(CONCATENATE("000",HH_Debt1516!A643),6),3),"-",(RIGHT(RIGHT(CONCATENATE("000",HH_Debt1516!A643),6),3)))</f>
        <v>184-911</v>
      </c>
      <c r="C636" s="121">
        <v>163850</v>
      </c>
    </row>
    <row r="637" spans="1:3" ht="15">
      <c r="A637" s="2266" t="s">
        <v>6770</v>
      </c>
      <c r="B637" s="1694" t="str">
        <f>CONCATENATE(LEFT(RIGHT(CONCATENATE("000",HH_Debt1516!A644),6),3),"-",(RIGHT(RIGHT(CONCATENATE("000",HH_Debt1516!A644),6),3)))</f>
        <v>185-903</v>
      </c>
      <c r="C637" s="121">
        <v>303900</v>
      </c>
    </row>
    <row r="638" spans="1:3" ht="15">
      <c r="A638" s="2266" t="s">
        <v>6771</v>
      </c>
      <c r="B638" s="1694" t="str">
        <f>CONCATENATE(LEFT(RIGHT(CONCATENATE("000",HH_Debt1516!A645),6),3),"-",(RIGHT(RIGHT(CONCATENATE("000",HH_Debt1516!A645),6),3)))</f>
        <v>186-901</v>
      </c>
      <c r="C638" s="121">
        <v>78898</v>
      </c>
    </row>
    <row r="639" spans="1:3" ht="15">
      <c r="A639" s="2266" t="s">
        <v>6772</v>
      </c>
      <c r="B639" s="1694" t="str">
        <f>CONCATENATE(LEFT(RIGHT(CONCATENATE("000",HH_Debt1516!A646),6),3),"-",(RIGHT(RIGHT(CONCATENATE("000",HH_Debt1516!A646),6),3)))</f>
        <v>186-902</v>
      </c>
      <c r="C639" s="121">
        <v>2859654</v>
      </c>
    </row>
    <row r="640" spans="1:3" ht="15">
      <c r="A640" s="2266" t="s">
        <v>6773</v>
      </c>
      <c r="B640" s="1694" t="str">
        <f>CONCATENATE(LEFT(RIGHT(CONCATENATE("000",HH_Debt1516!A647),6),3),"-",(RIGHT(RIGHT(CONCATENATE("000",HH_Debt1516!A647),6),3)))</f>
        <v>186-903</v>
      </c>
      <c r="C640" s="121">
        <v>876900</v>
      </c>
    </row>
    <row r="641" spans="1:3" ht="15">
      <c r="A641" s="2266" t="s">
        <v>6774</v>
      </c>
      <c r="B641" s="1694" t="str">
        <f>CONCATENATE(LEFT(RIGHT(CONCATENATE("000",HH_Debt1516!A648),6),3),"-",(RIGHT(RIGHT(CONCATENATE("000",HH_Debt1516!A648),6),3)))</f>
        <v>187-901</v>
      </c>
      <c r="C641" s="121">
        <v>413100</v>
      </c>
    </row>
    <row r="642" spans="1:3" ht="15">
      <c r="A642" s="2266" t="s">
        <v>6775</v>
      </c>
      <c r="B642" s="1694" t="str">
        <f>CONCATENATE(LEFT(RIGHT(CONCATENATE("000",HH_Debt1516!A649),6),3),"-",(RIGHT(RIGHT(CONCATENATE("000",HH_Debt1516!A649),6),3)))</f>
        <v>187-904</v>
      </c>
      <c r="C642" s="121">
        <v>537112</v>
      </c>
    </row>
    <row r="643" spans="1:3" ht="15">
      <c r="A643" s="2266" t="s">
        <v>6776</v>
      </c>
      <c r="B643" s="1694" t="str">
        <f>CONCATENATE(LEFT(RIGHT(CONCATENATE("000",HH_Debt1516!A650),6),3),"-",(RIGHT(RIGHT(CONCATENATE("000",HH_Debt1516!A650),6),3)))</f>
        <v>187-906</v>
      </c>
      <c r="C643" s="121">
        <v>134019</v>
      </c>
    </row>
    <row r="644" spans="1:3" ht="15">
      <c r="A644" s="2266" t="s">
        <v>4324</v>
      </c>
      <c r="B644" s="1694" t="str">
        <f>CONCATENATE(LEFT(RIGHT(CONCATENATE("000",HH_Debt1516!A651),6),3),"-",(RIGHT(RIGHT(CONCATENATE("000",HH_Debt1516!A651),6),3)))</f>
        <v>187-907</v>
      </c>
      <c r="C644" s="121">
        <v>4702466</v>
      </c>
    </row>
    <row r="645" spans="1:3" ht="15">
      <c r="A645" s="2266" t="s">
        <v>6777</v>
      </c>
      <c r="B645" s="1694" t="str">
        <f>CONCATENATE(LEFT(RIGHT(CONCATENATE("000",HH_Debt1516!A652),6),3),"-",(RIGHT(RIGHT(CONCATENATE("000",HH_Debt1516!A652),6),3)))</f>
        <v>187-910</v>
      </c>
      <c r="C645" s="121">
        <v>1023445</v>
      </c>
    </row>
    <row r="646" spans="1:3" ht="15">
      <c r="A646" s="2266" t="s">
        <v>4325</v>
      </c>
      <c r="B646" s="1694" t="str">
        <f>CONCATENATE(LEFT(RIGHT(CONCATENATE("000",HH_Debt1516!A653),6),3),"-",(RIGHT(RIGHT(CONCATENATE("000",HH_Debt1516!A653),6),3)))</f>
        <v>188-901</v>
      </c>
      <c r="C646" s="121">
        <v>11271106</v>
      </c>
    </row>
    <row r="647" spans="1:3" ht="15">
      <c r="A647" s="2266" t="s">
        <v>4326</v>
      </c>
      <c r="B647" s="1694" t="str">
        <f>CONCATENATE(LEFT(RIGHT(CONCATENATE("000",HH_Debt1516!A654),6),3),"-",(RIGHT(RIGHT(CONCATENATE("000",HH_Debt1516!A654),6),3)))</f>
        <v>188-902</v>
      </c>
      <c r="C647" s="121">
        <v>1212675</v>
      </c>
    </row>
    <row r="648" spans="1:3" ht="15">
      <c r="A648" s="2266" t="s">
        <v>6778</v>
      </c>
      <c r="B648" s="1694" t="str">
        <f>CONCATENATE(LEFT(RIGHT(CONCATENATE("000",HH_Debt1516!A655),6),3),"-",(RIGHT(RIGHT(CONCATENATE("000",HH_Debt1516!A655),6),3)))</f>
        <v>188-903</v>
      </c>
      <c r="C648" s="121">
        <v>1186665</v>
      </c>
    </row>
    <row r="649" spans="1:3" ht="15">
      <c r="A649" s="2266" t="s">
        <v>6779</v>
      </c>
      <c r="B649" s="1694" t="str">
        <f>CONCATENATE(LEFT(RIGHT(CONCATENATE("000",HH_Debt1516!A656),6),3),"-",(RIGHT(RIGHT(CONCATENATE("000",HH_Debt1516!A656),6),3)))</f>
        <v>188-904</v>
      </c>
      <c r="C649" s="121">
        <v>2360537</v>
      </c>
    </row>
    <row r="650" spans="1:3" ht="15">
      <c r="A650" s="2266" t="s">
        <v>4327</v>
      </c>
      <c r="B650" s="1694" t="str">
        <f>CONCATENATE(LEFT(RIGHT(CONCATENATE("000",HH_Debt1516!A657),6),3),"-",(RIGHT(RIGHT(CONCATENATE("000",HH_Debt1516!A657),6),3)))</f>
        <v>189-901</v>
      </c>
      <c r="C650" s="121">
        <v>411281</v>
      </c>
    </row>
    <row r="651" spans="1:3" ht="15">
      <c r="A651" s="2266" t="s">
        <v>4328</v>
      </c>
      <c r="B651" s="1694" t="str">
        <f>CONCATENATE(LEFT(RIGHT(CONCATENATE("000",HH_Debt1516!A658),6),3),"-",(RIGHT(RIGHT(CONCATENATE("000",HH_Debt1516!A658),6),3)))</f>
        <v>189-902</v>
      </c>
      <c r="C651" s="121">
        <v>810929</v>
      </c>
    </row>
    <row r="652" spans="1:3" ht="15">
      <c r="A652" s="2266" t="s">
        <v>6780</v>
      </c>
      <c r="B652" s="1694" t="str">
        <f>CONCATENATE(LEFT(RIGHT(CONCATENATE("000",HH_Debt1516!A659),6),3),"-",(RIGHT(RIGHT(CONCATENATE("000",HH_Debt1516!A659),6),3)))</f>
        <v>190-903</v>
      </c>
      <c r="C652" s="121">
        <v>1140537</v>
      </c>
    </row>
    <row r="653" spans="1:3" ht="15">
      <c r="A653" s="2266" t="s">
        <v>6781</v>
      </c>
      <c r="B653" s="1694" t="str">
        <f>CONCATENATE(LEFT(RIGHT(CONCATENATE("000",HH_Debt1516!A660),6),3),"-",(RIGHT(RIGHT(CONCATENATE("000",HH_Debt1516!A660),6),3)))</f>
        <v>191-901</v>
      </c>
      <c r="C653" s="121">
        <v>6147776</v>
      </c>
    </row>
    <row r="654" spans="1:3" ht="15">
      <c r="A654" s="2266" t="s">
        <v>6782</v>
      </c>
      <c r="B654" s="1694" t="str">
        <f>CONCATENATE(LEFT(RIGHT(CONCATENATE("000",HH_Debt1516!A661),6),3),"-",(RIGHT(RIGHT(CONCATENATE("000",HH_Debt1516!A661),6),3)))</f>
        <v>192-901</v>
      </c>
      <c r="C654" s="121">
        <v>2329894</v>
      </c>
    </row>
    <row r="655" spans="1:3" ht="15">
      <c r="A655" s="2266" t="s">
        <v>6783</v>
      </c>
      <c r="B655" s="1694" t="str">
        <f>CONCATENATE(LEFT(RIGHT(CONCATENATE("000",HH_Debt1516!A662),6),3),"-",(RIGHT(RIGHT(CONCATENATE("000",HH_Debt1516!A662),6),3)))</f>
        <v>193-902</v>
      </c>
      <c r="C655" s="121">
        <v>464138</v>
      </c>
    </row>
    <row r="656" spans="1:3" ht="15">
      <c r="A656" s="2266" t="s">
        <v>4329</v>
      </c>
      <c r="B656" s="1694" t="str">
        <f>CONCATENATE(LEFT(RIGHT(CONCATENATE("000",HH_Debt1516!A663),6),3),"-",(RIGHT(RIGHT(CONCATENATE("000",HH_Debt1516!A663),6),3)))</f>
        <v>194-903</v>
      </c>
      <c r="C656" s="121">
        <v>512025</v>
      </c>
    </row>
    <row r="657" spans="1:3" ht="15">
      <c r="A657" s="2266" t="s">
        <v>4330</v>
      </c>
      <c r="B657" s="1694" t="str">
        <f>CONCATENATE(LEFT(RIGHT(CONCATENATE("000",HH_Debt1516!A664),6),3),"-",(RIGHT(RIGHT(CONCATENATE("000",HH_Debt1516!A664),6),3)))</f>
        <v>194-905</v>
      </c>
      <c r="C657" s="121">
        <v>413065</v>
      </c>
    </row>
    <row r="658" spans="1:3" ht="15">
      <c r="A658" s="2266" t="s">
        <v>6784</v>
      </c>
      <c r="B658" s="1694" t="str">
        <f>CONCATENATE(LEFT(RIGHT(CONCATENATE("000",HH_Debt1516!A665),6),3),"-",(RIGHT(RIGHT(CONCATENATE("000",HH_Debt1516!A665),6),3)))</f>
        <v>195-901</v>
      </c>
      <c r="C658" s="121">
        <v>1965075</v>
      </c>
    </row>
    <row r="659" spans="1:3" ht="15">
      <c r="A659" s="2266" t="s">
        <v>4331</v>
      </c>
      <c r="B659" s="1694" t="str">
        <f>CONCATENATE(LEFT(RIGHT(CONCATENATE("000",HH_Debt1516!A666),6),3),"-",(RIGHT(RIGHT(CONCATENATE("000",HH_Debt1516!A666),6),3)))</f>
        <v>195-902</v>
      </c>
      <c r="C659" s="121">
        <v>95512</v>
      </c>
    </row>
    <row r="660" spans="1:3" ht="15">
      <c r="A660" s="2266" t="s">
        <v>6785</v>
      </c>
      <c r="B660" s="1694" t="str">
        <f>CONCATENATE(LEFT(RIGHT(CONCATENATE("000",HH_Debt1516!A667),6),3),"-",(RIGHT(RIGHT(CONCATENATE("000",HH_Debt1516!A667),6),3)))</f>
        <v>196-901</v>
      </c>
      <c r="C660" s="121">
        <v>651136</v>
      </c>
    </row>
    <row r="661" spans="1:3" ht="15">
      <c r="A661" s="2266" t="s">
        <v>6786</v>
      </c>
      <c r="B661" s="1694" t="str">
        <f>CONCATENATE(LEFT(RIGHT(CONCATENATE("000",HH_Debt1516!A668),6),3),"-",(RIGHT(RIGHT(CONCATENATE("000",HH_Debt1516!A668),6),3)))</f>
        <v>196-902</v>
      </c>
      <c r="C661" s="121">
        <v>917663</v>
      </c>
    </row>
    <row r="662" spans="1:3" ht="15">
      <c r="A662" s="2266" t="s">
        <v>6787</v>
      </c>
      <c r="B662" s="1694" t="str">
        <f>CONCATENATE(LEFT(RIGHT(CONCATENATE("000",HH_Debt1516!A669),6),3),"-",(RIGHT(RIGHT(CONCATENATE("000",HH_Debt1516!A669),6),3)))</f>
        <v>196-903</v>
      </c>
      <c r="C662" s="121">
        <v>241186</v>
      </c>
    </row>
    <row r="663" spans="1:3" ht="15">
      <c r="A663" s="2266" t="s">
        <v>6788</v>
      </c>
      <c r="B663" s="1694" t="str">
        <f>CONCATENATE(LEFT(RIGHT(CONCATENATE("000",HH_Debt1516!A670),6),3),"-",(RIGHT(RIGHT(CONCATENATE("000",HH_Debt1516!A670),6),3)))</f>
        <v>197-902</v>
      </c>
      <c r="C663" s="121">
        <v>2732100</v>
      </c>
    </row>
    <row r="664" spans="1:3" ht="15">
      <c r="A664" s="2266" t="s">
        <v>6789</v>
      </c>
      <c r="B664" s="1694" t="str">
        <f>CONCATENATE(LEFT(RIGHT(CONCATENATE("000",HH_Debt1516!A671),6),3),"-",(RIGHT(RIGHT(CONCATENATE("000",HH_Debt1516!A671),6),3)))</f>
        <v>198-901</v>
      </c>
      <c r="C664" s="121">
        <v>925550</v>
      </c>
    </row>
    <row r="665" spans="1:3" ht="15">
      <c r="A665" s="2266" t="s">
        <v>6790</v>
      </c>
      <c r="B665" s="1694" t="str">
        <f>CONCATENATE(LEFT(RIGHT(CONCATENATE("000",HH_Debt1516!A672),6),3),"-",(RIGHT(RIGHT(CONCATENATE("000",HH_Debt1516!A672),6),3)))</f>
        <v>198-903</v>
      </c>
      <c r="C665" s="121">
        <v>778075</v>
      </c>
    </row>
    <row r="666" spans="1:3" ht="15">
      <c r="A666" s="2266" t="s">
        <v>6791</v>
      </c>
      <c r="B666" s="1694" t="str">
        <f>CONCATENATE(LEFT(RIGHT(CONCATENATE("000",HH_Debt1516!A673),6),3),"-",(RIGHT(RIGHT(CONCATENATE("000",HH_Debt1516!A673),6),3)))</f>
        <v>198-905</v>
      </c>
      <c r="C666" s="121">
        <v>877284</v>
      </c>
    </row>
    <row r="667" spans="1:3" ht="15">
      <c r="A667" s="2266" t="s">
        <v>6792</v>
      </c>
      <c r="B667" s="1694" t="str">
        <f>CONCATENATE(LEFT(RIGHT(CONCATENATE("000",HH_Debt1516!A674),6),3),"-",(RIGHT(RIGHT(CONCATENATE("000",HH_Debt1516!A674),6),3)))</f>
        <v>199-901</v>
      </c>
      <c r="C667" s="121">
        <v>26326397</v>
      </c>
    </row>
    <row r="668" spans="1:3" ht="15">
      <c r="A668" s="2266" t="s">
        <v>4332</v>
      </c>
      <c r="B668" s="1694" t="str">
        <f>CONCATENATE(LEFT(RIGHT(CONCATENATE("000",HH_Debt1516!A675),6),3),"-",(RIGHT(RIGHT(CONCATENATE("000",HH_Debt1516!A675),6),3)))</f>
        <v>199-902</v>
      </c>
      <c r="C668" s="121">
        <v>8862902</v>
      </c>
    </row>
    <row r="669" spans="1:3" ht="15">
      <c r="A669" s="2266" t="s">
        <v>4333</v>
      </c>
      <c r="B669" s="1694" t="str">
        <f>CONCATENATE(LEFT(RIGHT(CONCATENATE("000",HH_Debt1516!A676),6),3),"-",(RIGHT(RIGHT(CONCATENATE("000",HH_Debt1516!A676),6),3)))</f>
        <v>200-902</v>
      </c>
      <c r="C669" s="121">
        <v>380912</v>
      </c>
    </row>
    <row r="670" spans="1:3" ht="15">
      <c r="A670" s="2266" t="s">
        <v>4334</v>
      </c>
      <c r="B670" s="1694" t="str">
        <f>CONCATENATE(LEFT(RIGHT(CONCATENATE("000",HH_Debt1516!A677),6),3),"-",(RIGHT(RIGHT(CONCATENATE("000",HH_Debt1516!A677),6),3)))</f>
        <v>200-906</v>
      </c>
      <c r="C670" s="121">
        <v>82500</v>
      </c>
    </row>
    <row r="671" spans="1:3" ht="15">
      <c r="A671" s="2266" t="s">
        <v>6793</v>
      </c>
      <c r="B671" s="1694" t="str">
        <f>CONCATENATE(LEFT(RIGHT(CONCATENATE("000",HH_Debt1516!A678),6),3),"-",(RIGHT(RIGHT(CONCATENATE("000",HH_Debt1516!A678),6),3)))</f>
        <v>201-902</v>
      </c>
      <c r="C671" s="121">
        <v>3456872</v>
      </c>
    </row>
    <row r="672" spans="1:3" ht="15">
      <c r="A672" s="2266" t="s">
        <v>6119</v>
      </c>
      <c r="B672" s="1694" t="str">
        <f>CONCATENATE(LEFT(RIGHT(CONCATENATE("000",HH_Debt1516!A679),6),3),"-",(RIGHT(RIGHT(CONCATENATE("000",HH_Debt1516!A679),6),3)))</f>
        <v>201-907</v>
      </c>
      <c r="C672" s="121">
        <v>187984</v>
      </c>
    </row>
    <row r="673" spans="1:3" ht="15">
      <c r="A673" s="2266" t="s">
        <v>4335</v>
      </c>
      <c r="B673" s="1694" t="str">
        <f>CONCATENATE(LEFT(RIGHT(CONCATENATE("000",HH_Debt1516!A680),6),3),"-",(RIGHT(RIGHT(CONCATENATE("000",HH_Debt1516!A680),6),3)))</f>
        <v>201-908</v>
      </c>
      <c r="C673" s="121">
        <v>659564</v>
      </c>
    </row>
    <row r="674" spans="1:3" ht="15">
      <c r="A674" s="2266" t="s">
        <v>6794</v>
      </c>
      <c r="B674" s="1694" t="str">
        <f>CONCATENATE(LEFT(RIGHT(CONCATENATE("000",HH_Debt1516!A681),6),3),"-",(RIGHT(RIGHT(CONCATENATE("000",HH_Debt1516!A681),6),3)))</f>
        <v>201-910</v>
      </c>
      <c r="C674" s="121">
        <v>1970000</v>
      </c>
    </row>
    <row r="675" spans="1:3" ht="15">
      <c r="A675" s="2266" t="s">
        <v>4336</v>
      </c>
      <c r="B675" s="1694" t="str">
        <f>CONCATENATE(LEFT(RIGHT(CONCATENATE("000",HH_Debt1516!A682),6),3),"-",(RIGHT(RIGHT(CONCATENATE("000",HH_Debt1516!A682),6),3)))</f>
        <v>201-913</v>
      </c>
      <c r="C675" s="121">
        <v>685491</v>
      </c>
    </row>
    <row r="676" spans="1:3" ht="15">
      <c r="A676" s="2266" t="s">
        <v>6795</v>
      </c>
      <c r="B676" s="1694" t="str">
        <f>CONCATENATE(LEFT(RIGHT(CONCATENATE("000",HH_Debt1516!A683),6),3),"-",(RIGHT(RIGHT(CONCATENATE("000",HH_Debt1516!A683),6),3)))</f>
        <v>201-914</v>
      </c>
      <c r="C676" s="121">
        <v>1118995</v>
      </c>
    </row>
    <row r="677" spans="1:3" ht="15">
      <c r="A677" s="2266" t="s">
        <v>4337</v>
      </c>
      <c r="B677" s="1694" t="str">
        <f>CONCATENATE(LEFT(RIGHT(CONCATENATE("000",HH_Debt1516!A684),6),3),"-",(RIGHT(RIGHT(CONCATENATE("000",HH_Debt1516!A684),6),3)))</f>
        <v>202-905</v>
      </c>
      <c r="C677" s="121">
        <v>556725</v>
      </c>
    </row>
    <row r="678" spans="1:3" ht="15">
      <c r="A678" s="2266" t="s">
        <v>4338</v>
      </c>
      <c r="B678" s="1694" t="str">
        <f>CONCATENATE(LEFT(RIGHT(CONCATENATE("000",HH_Debt1516!A685),6),3),"-",(RIGHT(RIGHT(CONCATENATE("000",HH_Debt1516!A685),6),3)))</f>
        <v>203-901</v>
      </c>
      <c r="C678" s="121">
        <v>1508184</v>
      </c>
    </row>
    <row r="679" spans="1:3" ht="15">
      <c r="A679" s="2266" t="s">
        <v>6796</v>
      </c>
      <c r="B679" s="1694" t="str">
        <f>CONCATENATE(LEFT(RIGHT(CONCATENATE("000",HH_Debt1516!A686),6),3),"-",(RIGHT(RIGHT(CONCATENATE("000",HH_Debt1516!A686),6),3)))</f>
        <v>204-901</v>
      </c>
      <c r="C679" s="121">
        <v>524620</v>
      </c>
    </row>
    <row r="680" spans="1:3" ht="15">
      <c r="A680" s="2266" t="s">
        <v>4339</v>
      </c>
      <c r="B680" s="1694" t="str">
        <f>CONCATENATE(LEFT(RIGHT(CONCATENATE("000",HH_Debt1516!A687),6),3),"-",(RIGHT(RIGHT(CONCATENATE("000",HH_Debt1516!A687),6),3)))</f>
        <v>204-904</v>
      </c>
      <c r="C680" s="121">
        <v>1436455</v>
      </c>
    </row>
    <row r="681" spans="1:3" ht="15">
      <c r="A681" s="2266" t="s">
        <v>4340</v>
      </c>
      <c r="B681" s="1694" t="str">
        <f>CONCATENATE(LEFT(RIGHT(CONCATENATE("000",HH_Debt1516!A688),6),3),"-",(RIGHT(RIGHT(CONCATENATE("000",HH_Debt1516!A688),6),3)))</f>
        <v>205-901</v>
      </c>
      <c r="C681" s="121">
        <v>249400</v>
      </c>
    </row>
    <row r="682" spans="1:3" ht="15">
      <c r="A682" s="2266" t="s">
        <v>6797</v>
      </c>
      <c r="B682" s="1694" t="str">
        <f>CONCATENATE(LEFT(RIGHT(CONCATENATE("000",HH_Debt1516!A689),6),3),"-",(RIGHT(RIGHT(CONCATENATE("000",HH_Debt1516!A689),6),3)))</f>
        <v>205-902</v>
      </c>
      <c r="C682" s="121">
        <v>3949194</v>
      </c>
    </row>
    <row r="683" spans="1:3" ht="15">
      <c r="A683" s="2266" t="s">
        <v>6798</v>
      </c>
      <c r="B683" s="1694" t="str">
        <f>CONCATENATE(LEFT(RIGHT(CONCATENATE("000",HH_Debt1516!A690),6),3),"-",(RIGHT(RIGHT(CONCATENATE("000",HH_Debt1516!A690),6),3)))</f>
        <v>205-903</v>
      </c>
      <c r="C683" s="121">
        <v>663900</v>
      </c>
    </row>
    <row r="684" spans="1:3" ht="15">
      <c r="A684" s="2266" t="s">
        <v>4341</v>
      </c>
      <c r="B684" s="1694" t="str">
        <f>CONCATENATE(LEFT(RIGHT(CONCATENATE("000",HH_Debt1516!A691),6),3),"-",(RIGHT(RIGHT(CONCATENATE("000",HH_Debt1516!A691),6),3)))</f>
        <v>205-904</v>
      </c>
      <c r="C684" s="121">
        <v>1262346</v>
      </c>
    </row>
    <row r="685" spans="1:3" ht="15">
      <c r="A685" s="2266" t="s">
        <v>4342</v>
      </c>
      <c r="B685" s="1694" t="str">
        <f>CONCATENATE(LEFT(RIGHT(CONCATENATE("000",HH_Debt1516!A692),6),3),"-",(RIGHT(RIGHT(CONCATENATE("000",HH_Debt1516!A692),6),3)))</f>
        <v>205-905</v>
      </c>
      <c r="C685" s="121">
        <v>1567375</v>
      </c>
    </row>
    <row r="686" spans="1:3" ht="15">
      <c r="A686" s="2266" t="s">
        <v>4343</v>
      </c>
      <c r="B686" s="1694" t="str">
        <f>CONCATENATE(LEFT(RIGHT(CONCATENATE("000",HH_Debt1516!A693),6),3),"-",(RIGHT(RIGHT(CONCATENATE("000",HH_Debt1516!A693),6),3)))</f>
        <v>205-906</v>
      </c>
      <c r="C686" s="121">
        <v>2014531</v>
      </c>
    </row>
    <row r="687" spans="1:3" ht="15">
      <c r="A687" s="2266" t="s">
        <v>4344</v>
      </c>
      <c r="B687" s="1694" t="str">
        <f>CONCATENATE(LEFT(RIGHT(CONCATENATE("000",HH_Debt1516!A694),6),3),"-",(RIGHT(RIGHT(CONCATENATE("000",HH_Debt1516!A694),6),3)))</f>
        <v>205-907</v>
      </c>
      <c r="C687" s="121">
        <v>1682431</v>
      </c>
    </row>
    <row r="688" spans="1:3" ht="15">
      <c r="A688" s="2266" t="s">
        <v>4345</v>
      </c>
      <c r="B688" s="1694" t="str">
        <f>CONCATENATE(LEFT(RIGHT(CONCATENATE("000",HH_Debt1516!A695),6),3),"-",(RIGHT(RIGHT(CONCATENATE("000",HH_Debt1516!A695),6),3)))</f>
        <v>206-901</v>
      </c>
      <c r="C688" s="121">
        <v>525739</v>
      </c>
    </row>
    <row r="689" spans="1:3" ht="15">
      <c r="A689" s="2266" t="s">
        <v>6799</v>
      </c>
      <c r="B689" s="1694" t="str">
        <f>CONCATENATE(LEFT(RIGHT(CONCATENATE("000",HH_Debt1516!A696),6),3),"-",(RIGHT(RIGHT(CONCATENATE("000",HH_Debt1516!A696),6),3)))</f>
        <v>208-901</v>
      </c>
      <c r="C689" s="121">
        <v>835572</v>
      </c>
    </row>
    <row r="690" spans="1:3" ht="15">
      <c r="A690" s="2266" t="s">
        <v>6800</v>
      </c>
      <c r="B690" s="1694" t="str">
        <f>CONCATENATE(LEFT(RIGHT(CONCATENATE("000",HH_Debt1516!A697),6),3),"-",(RIGHT(RIGHT(CONCATENATE("000",HH_Debt1516!A697),6),3)))</f>
        <v>208-902</v>
      </c>
      <c r="C690" s="121">
        <v>2599287</v>
      </c>
    </row>
    <row r="691" spans="1:3" ht="15">
      <c r="A691" s="2266" t="s">
        <v>6801</v>
      </c>
      <c r="B691" s="1694" t="str">
        <f>CONCATENATE(LEFT(RIGHT(CONCATENATE("000",HH_Debt1516!A698),6),3),"-",(RIGHT(RIGHT(CONCATENATE("000",HH_Debt1516!A698),6),3)))</f>
        <v>208-903</v>
      </c>
      <c r="C691" s="121">
        <v>773194</v>
      </c>
    </row>
    <row r="692" spans="1:3" ht="15">
      <c r="A692" s="2266" t="s">
        <v>4346</v>
      </c>
      <c r="B692" s="1694" t="str">
        <f>CONCATENATE(LEFT(RIGHT(CONCATENATE("000",HH_Debt1516!A699),6),3),"-",(RIGHT(RIGHT(CONCATENATE("000",HH_Debt1516!A699),6),3)))</f>
        <v>210-901</v>
      </c>
      <c r="C692" s="121">
        <v>1232350</v>
      </c>
    </row>
    <row r="693" spans="1:3" ht="15">
      <c r="A693" s="2266" t="s">
        <v>6802</v>
      </c>
      <c r="B693" s="1694" t="str">
        <f>CONCATENATE(LEFT(RIGHT(CONCATENATE("000",HH_Debt1516!A700),6),3),"-",(RIGHT(RIGHT(CONCATENATE("000",HH_Debt1516!A700),6),3)))</f>
        <v>210-902</v>
      </c>
      <c r="C693" s="121">
        <v>963838</v>
      </c>
    </row>
    <row r="694" spans="1:3" ht="15">
      <c r="A694" s="2266" t="s">
        <v>4347</v>
      </c>
      <c r="B694" s="1694" t="str">
        <f>CONCATENATE(LEFT(RIGHT(CONCATENATE("000",HH_Debt1516!A701),6),3),"-",(RIGHT(RIGHT(CONCATENATE("000",HH_Debt1516!A701),6),3)))</f>
        <v>210-903</v>
      </c>
      <c r="C694" s="121">
        <v>154575</v>
      </c>
    </row>
    <row r="695" spans="1:3" ht="15">
      <c r="A695" s="2266" t="s">
        <v>6803</v>
      </c>
      <c r="B695" s="1694" t="str">
        <f>CONCATENATE(LEFT(RIGHT(CONCATENATE("000",HH_Debt1516!A702),6),3),"-",(RIGHT(RIGHT(CONCATENATE("000",HH_Debt1516!A702),6),3)))</f>
        <v>210-904</v>
      </c>
      <c r="C695" s="121">
        <v>229750</v>
      </c>
    </row>
    <row r="696" spans="1:3" ht="15">
      <c r="A696" s="2266" t="s">
        <v>6804</v>
      </c>
      <c r="B696" s="1694" t="str">
        <f>CONCATENATE(LEFT(RIGHT(CONCATENATE("000",HH_Debt1516!A703),6),3),"-",(RIGHT(RIGHT(CONCATENATE("000",HH_Debt1516!A703),6),3)))</f>
        <v>211-901</v>
      </c>
      <c r="C696" s="121">
        <v>1073720</v>
      </c>
    </row>
    <row r="697" spans="1:3" ht="15">
      <c r="A697" s="2266" t="s">
        <v>6805</v>
      </c>
      <c r="B697" s="1694" t="str">
        <f>CONCATENATE(LEFT(RIGHT(CONCATENATE("000",HH_Debt1516!A705),6),3),"-",(RIGHT(RIGHT(CONCATENATE("000",HH_Debt1516!A705),6),3)))</f>
        <v>212-902</v>
      </c>
      <c r="C697" s="121">
        <v>4477975</v>
      </c>
    </row>
    <row r="698" spans="1:3" ht="15">
      <c r="A698" s="2266" t="s">
        <v>4349</v>
      </c>
      <c r="B698" s="1694" t="str">
        <f>CONCATENATE(LEFT(RIGHT(CONCATENATE("000",HH_Debt1516!A706),6),3),"-",(RIGHT(RIGHT(CONCATENATE("000",HH_Debt1516!A706),6),3)))</f>
        <v>212-903</v>
      </c>
      <c r="C698" s="121">
        <v>4412076</v>
      </c>
    </row>
    <row r="699" spans="1:3" ht="15">
      <c r="A699" s="2266" t="s">
        <v>6806</v>
      </c>
      <c r="B699" s="1694" t="str">
        <f>CONCATENATE(LEFT(RIGHT(CONCATENATE("000",HH_Debt1516!A707),6),3),"-",(RIGHT(RIGHT(CONCATENATE("000",HH_Debt1516!A707),6),3)))</f>
        <v>212-904</v>
      </c>
      <c r="C699" s="121">
        <v>487880</v>
      </c>
    </row>
    <row r="700" spans="1:3" ht="15">
      <c r="A700" s="2266" t="s">
        <v>6807</v>
      </c>
      <c r="B700" s="1694" t="str">
        <f>CONCATENATE(LEFT(RIGHT(CONCATENATE("000",HH_Debt1516!A708),6),3),"-",(RIGHT(RIGHT(CONCATENATE("000",HH_Debt1516!A708),6),3)))</f>
        <v>212-905</v>
      </c>
      <c r="C700" s="121">
        <v>22621113</v>
      </c>
    </row>
    <row r="701" spans="1:3" ht="15">
      <c r="A701" s="2266" t="s">
        <v>4350</v>
      </c>
      <c r="B701" s="1694" t="str">
        <f>CONCATENATE(LEFT(RIGHT(CONCATENATE("000",HH_Debt1516!A709),6),3),"-",(RIGHT(RIGHT(CONCATENATE("000",HH_Debt1516!A709),6),3)))</f>
        <v>212-906</v>
      </c>
      <c r="C701" s="121">
        <v>2682725</v>
      </c>
    </row>
    <row r="702" spans="1:3" ht="15">
      <c r="A702" s="2266" t="s">
        <v>4351</v>
      </c>
      <c r="B702" s="1694" t="str">
        <f>CONCATENATE(LEFT(RIGHT(CONCATENATE("000",HH_Debt1516!A710),6),3),"-",(RIGHT(RIGHT(CONCATENATE("000",HH_Debt1516!A710),6),3)))</f>
        <v>212-909</v>
      </c>
      <c r="C702" s="121">
        <v>1942319</v>
      </c>
    </row>
    <row r="703" spans="1:3" ht="15">
      <c r="A703" s="2266" t="s">
        <v>6808</v>
      </c>
      <c r="B703" s="1694" t="str">
        <f>CONCATENATE(LEFT(RIGHT(CONCATENATE("000",HH_Debt1516!A711),6),3),"-",(RIGHT(RIGHT(CONCATENATE("000",HH_Debt1516!A711),6),3)))</f>
        <v>212-910</v>
      </c>
      <c r="C703" s="121">
        <v>1589198</v>
      </c>
    </row>
    <row r="704" spans="1:3" ht="15">
      <c r="A704" s="2266" t="s">
        <v>6809</v>
      </c>
      <c r="B704" s="1694" t="str">
        <f>CONCATENATE(LEFT(RIGHT(CONCATENATE("000",HH_Debt1516!A712),6),3),"-",(RIGHT(RIGHT(CONCATENATE("000",HH_Debt1516!A712),6),3)))</f>
        <v>213-901</v>
      </c>
      <c r="C704" s="121">
        <v>2450492</v>
      </c>
    </row>
    <row r="705" spans="1:3" ht="15">
      <c r="A705" s="2266" t="s">
        <v>4352</v>
      </c>
      <c r="B705" s="1694" t="str">
        <f>CONCATENATE(LEFT(RIGHT(CONCATENATE("000",HH_Debt1516!A713),6),3),"-",(RIGHT(RIGHT(CONCATENATE("000",HH_Debt1516!A713),6),3)))</f>
        <v>214-901</v>
      </c>
      <c r="C705" s="121">
        <v>8927362</v>
      </c>
    </row>
    <row r="706" spans="1:3" ht="15">
      <c r="A706" s="2266" t="s">
        <v>6810</v>
      </c>
      <c r="B706" s="1694" t="str">
        <f>CONCATENATE(LEFT(RIGHT(CONCATENATE("000",HH_Debt1516!A714),6),3),"-",(RIGHT(RIGHT(CONCATENATE("000",HH_Debt1516!A714),6),3)))</f>
        <v>214-902</v>
      </c>
      <c r="C706" s="121">
        <v>186685</v>
      </c>
    </row>
    <row r="707" spans="1:3" ht="15">
      <c r="A707" s="2266" t="s">
        <v>4353</v>
      </c>
      <c r="B707" s="1694" t="str">
        <f>CONCATENATE(LEFT(RIGHT(CONCATENATE("000",HH_Debt1516!A715),6),3),"-",(RIGHT(RIGHT(CONCATENATE("000",HH_Debt1516!A715),6),3)))</f>
        <v>214-903</v>
      </c>
      <c r="C707" s="121">
        <v>4798874</v>
      </c>
    </row>
    <row r="708" spans="1:3" ht="15">
      <c r="A708" s="2266" t="s">
        <v>6811</v>
      </c>
      <c r="B708" s="1694" t="str">
        <f>CONCATENATE(LEFT(RIGHT(CONCATENATE("000",HH_Debt1516!A716),6),3),"-",(RIGHT(RIGHT(CONCATENATE("000",HH_Debt1516!A716),6),3)))</f>
        <v>215-901</v>
      </c>
      <c r="C708" s="121">
        <v>599050</v>
      </c>
    </row>
    <row r="709" spans="1:3" ht="15">
      <c r="A709" s="2266" t="s">
        <v>6812</v>
      </c>
      <c r="B709" s="1694" t="str">
        <f>CONCATENATE(LEFT(RIGHT(CONCATENATE("000",HH_Debt1516!A717),6),3),"-",(RIGHT(RIGHT(CONCATENATE("000",HH_Debt1516!A717),6),3)))</f>
        <v>216-901</v>
      </c>
      <c r="C709" s="121">
        <v>1287854</v>
      </c>
    </row>
    <row r="710" spans="1:3" ht="15">
      <c r="A710" s="2266" t="s">
        <v>6813</v>
      </c>
      <c r="B710" s="1694" t="str">
        <f>CONCATENATE(LEFT(RIGHT(CONCATENATE("000",HH_Debt1516!A718),6),3),"-",(RIGHT(RIGHT(CONCATENATE("000",HH_Debt1516!A718),6),3)))</f>
        <v>217-901</v>
      </c>
      <c r="C710" s="121">
        <v>580762</v>
      </c>
    </row>
    <row r="711" spans="1:3" ht="15">
      <c r="A711" s="2266" t="s">
        <v>6814</v>
      </c>
      <c r="B711" s="1694" t="str">
        <f>CONCATENATE(LEFT(RIGHT(CONCATENATE("000",HH_Debt1516!A719),6),3),"-",(RIGHT(RIGHT(CONCATENATE("000",HH_Debt1516!A719),6),3)))</f>
        <v>218-901</v>
      </c>
      <c r="C711" s="121">
        <v>249042</v>
      </c>
    </row>
    <row r="712" spans="1:3" ht="15">
      <c r="A712" s="2266" t="s">
        <v>6815</v>
      </c>
      <c r="B712" s="1694" t="str">
        <f>CONCATENATE(LEFT(RIGHT(CONCATENATE("000",HH_Debt1516!A720),6),3),"-",(RIGHT(RIGHT(CONCATENATE("000",HH_Debt1516!A720),6),3)))</f>
        <v>219-905</v>
      </c>
      <c r="C712" s="121">
        <v>201150</v>
      </c>
    </row>
    <row r="713" spans="1:3" ht="15">
      <c r="A713" s="2266" t="s">
        <v>4354</v>
      </c>
      <c r="B713" s="1694" t="str">
        <f>CONCATENATE(LEFT(RIGHT(CONCATENATE("000",HH_Debt1516!A721),6),3),"-",(RIGHT(RIGHT(CONCATENATE("000",HH_Debt1516!A721),6),3)))</f>
        <v>220-901</v>
      </c>
      <c r="C713" s="121">
        <v>76032834</v>
      </c>
    </row>
    <row r="714" spans="1:3" ht="15">
      <c r="A714" s="2266" t="s">
        <v>4355</v>
      </c>
      <c r="B714" s="1694" t="str">
        <f>CONCATENATE(LEFT(RIGHT(CONCATENATE("000",HH_Debt1516!A722),6),3),"-",(RIGHT(RIGHT(CONCATENATE("000",HH_Debt1516!A722),6),3)))</f>
        <v>220-902</v>
      </c>
      <c r="C714" s="121">
        <v>33182356</v>
      </c>
    </row>
    <row r="715" spans="1:3" ht="15">
      <c r="A715" s="2266" t="s">
        <v>4356</v>
      </c>
      <c r="B715" s="1694" t="str">
        <f>CONCATENATE(LEFT(RIGHT(CONCATENATE("000",HH_Debt1516!A723),6),3),"-",(RIGHT(RIGHT(CONCATENATE("000",HH_Debt1516!A723),6),3)))</f>
        <v>220-904</v>
      </c>
      <c r="C715" s="121">
        <v>6217440</v>
      </c>
    </row>
    <row r="716" spans="1:3" ht="15">
      <c r="A716" s="2266" t="s">
        <v>6816</v>
      </c>
      <c r="B716" s="1694" t="str">
        <f>CONCATENATE(LEFT(RIGHT(CONCATENATE("000",HH_Debt1516!A724),6),3),"-",(RIGHT(RIGHT(CONCATENATE("000",HH_Debt1516!A724),6),3)))</f>
        <v>220-905</v>
      </c>
      <c r="C716" s="121">
        <v>71247527</v>
      </c>
    </row>
    <row r="717" spans="1:3" ht="15">
      <c r="A717" s="2266" t="s">
        <v>6817</v>
      </c>
      <c r="B717" s="1694" t="str">
        <f>CONCATENATE(LEFT(RIGHT(CONCATENATE("000",HH_Debt1516!A725),6),3),"-",(RIGHT(RIGHT(CONCATENATE("000",HH_Debt1516!A725),6),3)))</f>
        <v>220-906</v>
      </c>
      <c r="C717" s="121">
        <v>30847437</v>
      </c>
    </row>
    <row r="718" spans="1:3" ht="15">
      <c r="A718" s="2266" t="s">
        <v>4357</v>
      </c>
      <c r="B718" s="1694" t="str">
        <f>CONCATENATE(LEFT(RIGHT(CONCATENATE("000",HH_Debt1516!A726),6),3),"-",(RIGHT(RIGHT(CONCATENATE("000",HH_Debt1516!A726),6),3)))</f>
        <v>220-907</v>
      </c>
      <c r="C718" s="121">
        <v>63496909</v>
      </c>
    </row>
    <row r="719" spans="1:3" ht="15">
      <c r="A719" s="2266" t="s">
        <v>4358</v>
      </c>
      <c r="B719" s="1694" t="str">
        <f>CONCATENATE(LEFT(RIGHT(CONCATENATE("000",HH_Debt1516!A727),6),3),"-",(RIGHT(RIGHT(CONCATENATE("000",HH_Debt1516!A727),6),3)))</f>
        <v>220-908</v>
      </c>
      <c r="C719" s="121">
        <v>55250079</v>
      </c>
    </row>
    <row r="720" spans="1:3" ht="15">
      <c r="A720" s="2266" t="s">
        <v>4359</v>
      </c>
      <c r="B720" s="1694" t="str">
        <f>CONCATENATE(LEFT(RIGHT(CONCATENATE("000",HH_Debt1516!A728),6),3),"-",(RIGHT(RIGHT(CONCATENATE("000",HH_Debt1516!A728),6),3)))</f>
        <v>220-910</v>
      </c>
      <c r="C720" s="121">
        <v>5336895</v>
      </c>
    </row>
    <row r="721" spans="1:3" ht="15">
      <c r="A721" s="2266" t="s">
        <v>4360</v>
      </c>
      <c r="B721" s="1694" t="str">
        <f>CONCATENATE(LEFT(RIGHT(CONCATENATE("000",HH_Debt1516!A729),6),3),"-",(RIGHT(RIGHT(CONCATENATE("000",HH_Debt1516!A729),6),3)))</f>
        <v>220-912</v>
      </c>
      <c r="C721" s="121">
        <v>22843825</v>
      </c>
    </row>
    <row r="722" spans="1:3" ht="15">
      <c r="A722" s="2266" t="s">
        <v>4361</v>
      </c>
      <c r="B722" s="1694" t="str">
        <f>CONCATENATE(LEFT(RIGHT(CONCATENATE("000",HH_Debt1516!A730),6),3),"-",(RIGHT(RIGHT(CONCATENATE("000",HH_Debt1516!A730),6),3)))</f>
        <v>220-914</v>
      </c>
      <c r="C722" s="121">
        <v>3508575</v>
      </c>
    </row>
    <row r="723" spans="1:3" ht="15">
      <c r="A723" s="2266" t="s">
        <v>4362</v>
      </c>
      <c r="B723" s="1694" t="str">
        <f>CONCATENATE(LEFT(RIGHT(CONCATENATE("000",HH_Debt1516!A731),6),3),"-",(RIGHT(RIGHT(CONCATENATE("000",HH_Debt1516!A731),6),3)))</f>
        <v>220-915</v>
      </c>
      <c r="C723" s="121">
        <v>3984375</v>
      </c>
    </row>
    <row r="724" spans="1:3" ht="15">
      <c r="A724" s="2266" t="s">
        <v>4363</v>
      </c>
      <c r="B724" s="1694" t="str">
        <f>CONCATENATE(LEFT(RIGHT(CONCATENATE("000",HH_Debt1516!A732),6),3),"-",(RIGHT(RIGHT(CONCATENATE("000",HH_Debt1516!A732),6),3)))</f>
        <v>220-916</v>
      </c>
      <c r="C724" s="121">
        <v>29875434</v>
      </c>
    </row>
    <row r="725" spans="1:3" ht="15">
      <c r="A725" s="2266" t="s">
        <v>4364</v>
      </c>
      <c r="B725" s="1694" t="str">
        <f>CONCATENATE(LEFT(RIGHT(CONCATENATE("000",HH_Debt1516!A733),6),3),"-",(RIGHT(RIGHT(CONCATENATE("000",HH_Debt1516!A733),6),3)))</f>
        <v>220-917</v>
      </c>
      <c r="C725" s="121">
        <v>3164041</v>
      </c>
    </row>
    <row r="726" spans="1:3" ht="15">
      <c r="A726" s="2266" t="s">
        <v>4365</v>
      </c>
      <c r="B726" s="1694" t="str">
        <f>CONCATENATE(LEFT(RIGHT(CONCATENATE("000",HH_Debt1516!A734),6),3),"-",(RIGHT(RIGHT(CONCATENATE("000",HH_Debt1516!A734),6),3)))</f>
        <v>220-918</v>
      </c>
      <c r="C726" s="121">
        <v>32366287</v>
      </c>
    </row>
    <row r="727" spans="1:3" ht="15">
      <c r="A727" s="2266" t="s">
        <v>6245</v>
      </c>
      <c r="B727" s="1694" t="str">
        <f>CONCATENATE(LEFT(RIGHT(CONCATENATE("000",HH_Debt1516!A735),6),3),"-",(RIGHT(RIGHT(CONCATENATE("000",HH_Debt1516!A735),6),3)))</f>
        <v>220-919</v>
      </c>
      <c r="C727" s="121">
        <v>19787342</v>
      </c>
    </row>
    <row r="728" spans="1:3" ht="15">
      <c r="A728" s="2266" t="s">
        <v>4366</v>
      </c>
      <c r="B728" s="1694" t="str">
        <f>CONCATENATE(LEFT(RIGHT(CONCATENATE("000",HH_Debt1516!A736),6),3),"-",(RIGHT(RIGHT(CONCATENATE("000",HH_Debt1516!A736),6),3)))</f>
        <v>220-920</v>
      </c>
      <c r="C728" s="121">
        <v>10342363</v>
      </c>
    </row>
    <row r="729" spans="1:3" ht="15">
      <c r="A729" s="2266" t="s">
        <v>6818</v>
      </c>
      <c r="B729" s="1694" t="str">
        <f>CONCATENATE(LEFT(RIGHT(CONCATENATE("000",HH_Debt1516!A737),6),3),"-",(RIGHT(RIGHT(CONCATENATE("000",HH_Debt1516!A737),6),3)))</f>
        <v>221-901</v>
      </c>
      <c r="C729" s="121">
        <v>9466725</v>
      </c>
    </row>
    <row r="730" spans="1:3" ht="15">
      <c r="A730" s="2266" t="s">
        <v>6819</v>
      </c>
      <c r="B730" s="1694" t="str">
        <f>CONCATENATE(LEFT(RIGHT(CONCATENATE("000",HH_Debt1516!A738),6),3),"-",(RIGHT(RIGHT(CONCATENATE("000",HH_Debt1516!A738),6),3)))</f>
        <v>221-904</v>
      </c>
      <c r="C730" s="121">
        <v>948656</v>
      </c>
    </row>
    <row r="731" spans="1:3" ht="15">
      <c r="A731" s="2266" t="s">
        <v>6820</v>
      </c>
      <c r="B731" s="1694" t="str">
        <f>CONCATENATE(LEFT(RIGHT(CONCATENATE("000",HH_Debt1516!A739),6),3),"-",(RIGHT(RIGHT(CONCATENATE("000",HH_Debt1516!A739),6),3)))</f>
        <v>221-905</v>
      </c>
      <c r="C731" s="121">
        <v>506119</v>
      </c>
    </row>
    <row r="732" spans="1:3" ht="15">
      <c r="A732" s="2266" t="s">
        <v>6821</v>
      </c>
      <c r="B732" s="1694" t="str">
        <f>CONCATENATE(LEFT(RIGHT(CONCATENATE("000",HH_Debt1516!A740),6),3),"-",(RIGHT(RIGHT(CONCATENATE("000",HH_Debt1516!A740),6),3)))</f>
        <v>221-911</v>
      </c>
      <c r="C732" s="121">
        <v>557300</v>
      </c>
    </row>
    <row r="733" spans="1:3" ht="15">
      <c r="A733" s="2266" t="s">
        <v>6822</v>
      </c>
      <c r="B733" s="1694" t="str">
        <f>CONCATENATE(LEFT(RIGHT(CONCATENATE("000",HH_Debt1516!A741),6),3),"-",(RIGHT(RIGHT(CONCATENATE("000",HH_Debt1516!A741),6),3)))</f>
        <v>221-912</v>
      </c>
      <c r="C733" s="121">
        <v>1683044</v>
      </c>
    </row>
    <row r="734" spans="1:3" ht="15">
      <c r="A734" s="2266" t="s">
        <v>6823</v>
      </c>
      <c r="B734" s="1694" t="str">
        <f>CONCATENATE(LEFT(RIGHT(CONCATENATE("000",HH_Debt1516!A742),6),3),"-",(RIGHT(RIGHT(CONCATENATE("000",HH_Debt1516!A742),6),3)))</f>
        <v>222-901</v>
      </c>
      <c r="C734" s="121">
        <v>1086602</v>
      </c>
    </row>
    <row r="735" spans="1:3" ht="15">
      <c r="A735" s="2266" t="s">
        <v>6824</v>
      </c>
      <c r="B735" s="1694" t="str">
        <f>CONCATENATE(LEFT(RIGHT(CONCATENATE("000",HH_Debt1516!A743),6),3),"-",(RIGHT(RIGHT(CONCATENATE("000",HH_Debt1516!A743),6),3)))</f>
        <v>223-901</v>
      </c>
      <c r="C735" s="121">
        <v>805867</v>
      </c>
    </row>
    <row r="736" spans="1:3" ht="15">
      <c r="A736" s="2266" t="s">
        <v>4367</v>
      </c>
      <c r="B736" s="1694" t="str">
        <f>CONCATENATE(LEFT(RIGHT(CONCATENATE("000",HH_Debt1516!A744),6),3),"-",(RIGHT(RIGHT(CONCATENATE("000",HH_Debt1516!A744),6),3)))</f>
        <v>223-902</v>
      </c>
      <c r="C736" s="121">
        <v>87350</v>
      </c>
    </row>
    <row r="737" spans="1:3" ht="15">
      <c r="A737" s="2266" t="s">
        <v>6825</v>
      </c>
      <c r="B737" s="1694" t="str">
        <f>CONCATENATE(LEFT(RIGHT(CONCATENATE("000",HH_Debt1516!A745),6),3),"-",(RIGHT(RIGHT(CONCATENATE("000",HH_Debt1516!A745),6),3)))</f>
        <v>223-904</v>
      </c>
      <c r="C737" s="121">
        <v>1035556</v>
      </c>
    </row>
    <row r="738" spans="1:3" ht="15">
      <c r="A738" s="2266" t="s">
        <v>6826</v>
      </c>
      <c r="B738" s="1694" t="str">
        <f>CONCATENATE(LEFT(RIGHT(CONCATENATE("000",HH_Debt1516!A746),6),3),"-",(RIGHT(RIGHT(CONCATENATE("000",HH_Debt1516!A746),6),3)))</f>
        <v>225-902</v>
      </c>
      <c r="C738" s="121">
        <v>2663939</v>
      </c>
    </row>
    <row r="739" spans="1:3" ht="15">
      <c r="A739" s="2266" t="s">
        <v>4368</v>
      </c>
      <c r="B739" s="1694" t="str">
        <f>CONCATENATE(LEFT(RIGHT(CONCATENATE("000",HH_Debt1516!A747),6),3),"-",(RIGHT(RIGHT(CONCATENATE("000",HH_Debt1516!A747),6),3)))</f>
        <v>225-906</v>
      </c>
      <c r="C739" s="121">
        <v>705709</v>
      </c>
    </row>
    <row r="740" spans="1:3" ht="15">
      <c r="A740" s="2266" t="s">
        <v>6827</v>
      </c>
      <c r="B740" s="1694" t="str">
        <f>CONCATENATE(LEFT(RIGHT(CONCATENATE("000",HH_Debt1516!A748),6),3),"-",(RIGHT(RIGHT(CONCATENATE("000",HH_Debt1516!A748),6),3)))</f>
        <v>226-901</v>
      </c>
      <c r="C740" s="121">
        <v>98775</v>
      </c>
    </row>
    <row r="741" spans="1:3" ht="15">
      <c r="A741" s="2266" t="s">
        <v>4369</v>
      </c>
      <c r="B741" s="1694" t="str">
        <f>CONCATENATE(LEFT(RIGHT(CONCATENATE("000",HH_Debt1516!A749),6),3),"-",(RIGHT(RIGHT(CONCATENATE("000",HH_Debt1516!A749),6),3)))</f>
        <v>226-903</v>
      </c>
      <c r="C741" s="121">
        <v>9351800</v>
      </c>
    </row>
    <row r="742" spans="1:3" ht="15">
      <c r="A742" s="2266" t="s">
        <v>6828</v>
      </c>
      <c r="B742" s="1694" t="str">
        <f>CONCATENATE(LEFT(RIGHT(CONCATENATE("000",HH_Debt1516!A750),6),3),"-",(RIGHT(RIGHT(CONCATENATE("000",HH_Debt1516!A750),6),3)))</f>
        <v>226-905</v>
      </c>
      <c r="C742" s="121">
        <v>230297</v>
      </c>
    </row>
    <row r="743" spans="1:3" ht="15">
      <c r="A743" s="2266" t="s">
        <v>4370</v>
      </c>
      <c r="B743" s="1694" t="str">
        <f>CONCATENATE(LEFT(RIGHT(CONCATENATE("000",HH_Debt1516!A751),6),3),"-",(RIGHT(RIGHT(CONCATENATE("000",HH_Debt1516!A751),6),3)))</f>
        <v>226-906</v>
      </c>
      <c r="C743" s="121">
        <v>198225</v>
      </c>
    </row>
    <row r="744" spans="1:3" ht="15">
      <c r="A744" s="2266" t="s">
        <v>4371</v>
      </c>
      <c r="B744" s="1694" t="str">
        <f>CONCATENATE(LEFT(RIGHT(CONCATENATE("000",HH_Debt1516!A752),6),3),"-",(RIGHT(RIGHT(CONCATENATE("000",HH_Debt1516!A752),6),3)))</f>
        <v>226-907</v>
      </c>
      <c r="C744" s="121">
        <v>656325</v>
      </c>
    </row>
    <row r="745" spans="1:3" ht="15">
      <c r="A745" s="2266" t="s">
        <v>4372</v>
      </c>
      <c r="B745" s="1694" t="str">
        <f>CONCATENATE(LEFT(RIGHT(CONCATENATE("000",HH_Debt1516!A753),6),3),"-",(RIGHT(RIGHT(CONCATENATE("000",HH_Debt1516!A753),6),3)))</f>
        <v>226-908</v>
      </c>
      <c r="C745" s="121">
        <v>101000</v>
      </c>
    </row>
    <row r="746" spans="1:3" ht="15">
      <c r="A746" s="2266" t="s">
        <v>6829</v>
      </c>
      <c r="B746" s="1694" t="str">
        <f>CONCATENATE(LEFT(RIGHT(CONCATENATE("000",HH_Debt1516!A754),6),3),"-",(RIGHT(RIGHT(CONCATENATE("000",HH_Debt1516!A754),6),3)))</f>
        <v>227-901</v>
      </c>
      <c r="C746" s="121">
        <v>80626456</v>
      </c>
    </row>
    <row r="747" spans="1:3" ht="15">
      <c r="A747" s="2266" t="s">
        <v>4373</v>
      </c>
      <c r="B747" s="1694" t="str">
        <f>CONCATENATE(LEFT(RIGHT(CONCATENATE("000",HH_Debt1516!A755),6),3),"-",(RIGHT(RIGHT(CONCATENATE("000",HH_Debt1516!A755),6),3)))</f>
        <v>227-904</v>
      </c>
      <c r="C747" s="121">
        <v>40622101</v>
      </c>
    </row>
    <row r="748" spans="1:3" ht="15">
      <c r="A748" s="2266" t="s">
        <v>6830</v>
      </c>
      <c r="B748" s="1694" t="str">
        <f>CONCATENATE(LEFT(RIGHT(CONCATENATE("000",HH_Debt1516!A756),6),3),"-",(RIGHT(RIGHT(CONCATENATE("000",HH_Debt1516!A756),6),3)))</f>
        <v>227-907</v>
      </c>
      <c r="C748" s="121">
        <v>16909442</v>
      </c>
    </row>
    <row r="749" spans="1:3" ht="15">
      <c r="A749" s="2266" t="s">
        <v>6831</v>
      </c>
      <c r="B749" s="1694" t="str">
        <f>CONCATENATE(LEFT(RIGHT(CONCATENATE("000",HH_Debt1516!A757),6),3),"-",(RIGHT(RIGHT(CONCATENATE("000",HH_Debt1516!A757),6),3)))</f>
        <v>227-909</v>
      </c>
      <c r="C749" s="121">
        <v>17416162</v>
      </c>
    </row>
    <row r="750" spans="1:3" ht="15">
      <c r="A750" s="2266" t="s">
        <v>4374</v>
      </c>
      <c r="B750" s="1694" t="str">
        <f>CONCATENATE(LEFT(RIGHT(CONCATENATE("000",HH_Debt1516!A758),6),3),"-",(RIGHT(RIGHT(CONCATENATE("000",HH_Debt1516!A758),6),3)))</f>
        <v>227-910</v>
      </c>
      <c r="C750" s="121">
        <v>14636032</v>
      </c>
    </row>
    <row r="751" spans="1:3" ht="15">
      <c r="A751" s="2266" t="s">
        <v>6832</v>
      </c>
      <c r="B751" s="1694" t="str">
        <f>CONCATENATE(LEFT(RIGHT(CONCATENATE("000",HH_Debt1516!A759),6),3),"-",(RIGHT(RIGHT(CONCATENATE("000",HH_Debt1516!A759),6),3)))</f>
        <v>227-912</v>
      </c>
      <c r="C751" s="121">
        <v>3285888</v>
      </c>
    </row>
    <row r="752" spans="1:3" ht="15">
      <c r="A752" s="2266" t="s">
        <v>6833</v>
      </c>
      <c r="B752" s="1694" t="str">
        <f>CONCATENATE(LEFT(RIGHT(CONCATENATE("000",HH_Debt1516!A760),6),3),"-",(RIGHT(RIGHT(CONCATENATE("000",HH_Debt1516!A760),6),3)))</f>
        <v>227-913</v>
      </c>
      <c r="C752" s="121">
        <v>19137462</v>
      </c>
    </row>
    <row r="753" spans="1:3" ht="15">
      <c r="A753" s="2266" t="s">
        <v>6834</v>
      </c>
      <c r="B753" s="1694" t="str">
        <f>CONCATENATE(LEFT(RIGHT(CONCATENATE("000",HH_Debt1516!A761),6),3),"-",(RIGHT(RIGHT(CONCATENATE("000",HH_Debt1516!A761),6),3)))</f>
        <v>228-903</v>
      </c>
      <c r="C753" s="121">
        <v>348200</v>
      </c>
    </row>
    <row r="754" spans="1:3" ht="15">
      <c r="A754" s="2266" t="s">
        <v>6279</v>
      </c>
      <c r="B754" s="1694" t="str">
        <f>CONCATENATE(LEFT(RIGHT(CONCATENATE("000",HH_Debt1516!A762),6),3),"-",(RIGHT(RIGHT(CONCATENATE("000",HH_Debt1516!A762),6),3)))</f>
        <v>229-901</v>
      </c>
      <c r="C754" s="121">
        <v>97400</v>
      </c>
    </row>
    <row r="755" spans="1:3" ht="15">
      <c r="A755" s="2266" t="s">
        <v>6835</v>
      </c>
      <c r="B755" s="1694" t="str">
        <f>CONCATENATE(LEFT(RIGHT(CONCATENATE("000",HH_Debt1516!A763),6),3),"-",(RIGHT(RIGHT(CONCATENATE("000",HH_Debt1516!A763),6),3)))</f>
        <v>229-903</v>
      </c>
      <c r="C755" s="121">
        <v>611750</v>
      </c>
    </row>
    <row r="756" spans="1:3" ht="15">
      <c r="A756" s="2266" t="s">
        <v>4375</v>
      </c>
      <c r="B756" s="1694" t="str">
        <f>CONCATENATE(LEFT(RIGHT(CONCATENATE("000",HH_Debt1516!A764),6),3),"-",(RIGHT(RIGHT(CONCATENATE("000",HH_Debt1516!A764),6),3)))</f>
        <v>229-904</v>
      </c>
      <c r="C756" s="121">
        <v>1416870</v>
      </c>
    </row>
    <row r="757" spans="1:3" ht="15">
      <c r="A757" s="2266" t="s">
        <v>4376</v>
      </c>
      <c r="B757" s="1694" t="str">
        <f>CONCATENATE(LEFT(RIGHT(CONCATENATE("000",HH_Debt1516!A765),6),3),"-",(RIGHT(RIGHT(CONCATENATE("000",HH_Debt1516!A765),6),3)))</f>
        <v>229-905</v>
      </c>
      <c r="C757" s="121">
        <v>198856</v>
      </c>
    </row>
    <row r="758" spans="1:3" ht="15">
      <c r="A758" s="2266" t="s">
        <v>4377</v>
      </c>
      <c r="B758" s="1694" t="str">
        <f>CONCATENATE(LEFT(RIGHT(CONCATENATE("000",HH_Debt1516!A766),6),3),"-",(RIGHT(RIGHT(CONCATENATE("000",HH_Debt1516!A766),6),3)))</f>
        <v>229-906</v>
      </c>
      <c r="C758" s="121">
        <v>64845</v>
      </c>
    </row>
    <row r="759" spans="1:3" ht="15">
      <c r="A759" s="2266" t="s">
        <v>6836</v>
      </c>
      <c r="B759" s="1694" t="str">
        <f>CONCATENATE(LEFT(RIGHT(CONCATENATE("000",HH_Debt1516!A767),6),3),"-",(RIGHT(RIGHT(CONCATENATE("000",HH_Debt1516!A767),6),3)))</f>
        <v>230-901</v>
      </c>
      <c r="C759" s="121">
        <v>510475</v>
      </c>
    </row>
    <row r="760" spans="1:3" ht="15">
      <c r="A760" s="2266" t="s">
        <v>6837</v>
      </c>
      <c r="B760" s="1694" t="str">
        <f>CONCATENATE(LEFT(RIGHT(CONCATENATE("000",HH_Debt1516!A768),6),3),"-",(RIGHT(RIGHT(CONCATENATE("000",HH_Debt1516!A768),6),3)))</f>
        <v>230-902</v>
      </c>
      <c r="C760" s="121">
        <v>1194163</v>
      </c>
    </row>
    <row r="761" spans="1:3" ht="15">
      <c r="A761" s="2266" t="s">
        <v>4378</v>
      </c>
      <c r="B761" s="1694" t="str">
        <f>CONCATENATE(LEFT(RIGHT(CONCATENATE("000",HH_Debt1516!A769),6),3),"-",(RIGHT(RIGHT(CONCATENATE("000",HH_Debt1516!A769),6),3)))</f>
        <v>230-903</v>
      </c>
      <c r="C761" s="121">
        <v>567106</v>
      </c>
    </row>
    <row r="762" spans="1:3" ht="15">
      <c r="A762" s="2266" t="s">
        <v>4379</v>
      </c>
      <c r="B762" s="1694" t="str">
        <f>CONCATENATE(LEFT(RIGHT(CONCATENATE("000",HH_Debt1516!A770),6),3),"-",(RIGHT(RIGHT(CONCATENATE("000",HH_Debt1516!A770),6),3)))</f>
        <v>230-905</v>
      </c>
      <c r="C762" s="121">
        <v>244578</v>
      </c>
    </row>
    <row r="763" spans="1:3" ht="15">
      <c r="A763" s="2266" t="s">
        <v>4380</v>
      </c>
      <c r="B763" s="1694" t="str">
        <f>CONCATENATE(LEFT(RIGHT(CONCATENATE("000",HH_Debt1516!A771),6),3),"-",(RIGHT(RIGHT(CONCATENATE("000",HH_Debt1516!A771),6),3)))</f>
        <v>230-906</v>
      </c>
      <c r="C763" s="121">
        <v>265522</v>
      </c>
    </row>
    <row r="764" spans="1:3" ht="15">
      <c r="A764" s="2266" t="s">
        <v>6838</v>
      </c>
      <c r="B764" s="1694" t="str">
        <f>CONCATENATE(LEFT(RIGHT(CONCATENATE("000",HH_Debt1516!A772),6),3),"-",(RIGHT(RIGHT(CONCATENATE("000",HH_Debt1516!A772),6),3)))</f>
        <v>230-908</v>
      </c>
      <c r="C764" s="121">
        <v>633181</v>
      </c>
    </row>
    <row r="765" spans="1:3" ht="15">
      <c r="A765" s="2266" t="s">
        <v>6839</v>
      </c>
      <c r="B765" s="1694" t="str">
        <f>CONCATENATE(LEFT(RIGHT(CONCATENATE("000",HH_Debt1516!A773),6),3),"-",(RIGHT(RIGHT(CONCATENATE("000",HH_Debt1516!A773),6),3)))</f>
        <v>231-902</v>
      </c>
      <c r="C765" s="121">
        <v>2328745</v>
      </c>
    </row>
    <row r="766" spans="1:3" ht="15">
      <c r="A766" s="2266" t="s">
        <v>4381</v>
      </c>
      <c r="B766" s="1694" t="str">
        <f>CONCATENATE(LEFT(RIGHT(CONCATENATE("000",HH_Debt1516!A774),6),3),"-",(RIGHT(RIGHT(CONCATENATE("000",HH_Debt1516!A774),6),3)))</f>
        <v>232-901</v>
      </c>
      <c r="C766" s="121">
        <v>244408</v>
      </c>
    </row>
    <row r="767" spans="1:3" ht="15">
      <c r="A767" s="2266" t="s">
        <v>4382</v>
      </c>
      <c r="B767" s="1694" t="str">
        <f>CONCATENATE(LEFT(RIGHT(CONCATENATE("000",HH_Debt1516!A775),6),3),"-",(RIGHT(RIGHT(CONCATENATE("000",HH_Debt1516!A775),6),3)))</f>
        <v>232-902</v>
      </c>
      <c r="C767" s="121">
        <v>121330</v>
      </c>
    </row>
    <row r="768" spans="1:3" ht="15">
      <c r="A768" s="2266" t="s">
        <v>4383</v>
      </c>
      <c r="B768" s="1694" t="str">
        <f>CONCATENATE(LEFT(RIGHT(CONCATENATE("000",HH_Debt1516!A776),6),3),"-",(RIGHT(RIGHT(CONCATENATE("000",HH_Debt1516!A776),6),3)))</f>
        <v>232-903</v>
      </c>
      <c r="C768" s="121">
        <v>2607144</v>
      </c>
    </row>
    <row r="769" spans="1:3" ht="15">
      <c r="A769" s="2266" t="s">
        <v>4384</v>
      </c>
      <c r="B769" s="1694" t="str">
        <f>CONCATENATE(LEFT(RIGHT(CONCATENATE("000",HH_Debt1516!A777),6),3),"-",(RIGHT(RIGHT(CONCATENATE("000",HH_Debt1516!A777),6),3)))</f>
        <v>233-901</v>
      </c>
      <c r="C769" s="121">
        <v>6018845</v>
      </c>
    </row>
    <row r="770" spans="1:3" ht="15">
      <c r="A770" s="2266" t="s">
        <v>6840</v>
      </c>
      <c r="B770" s="1694" t="str">
        <f>CONCATENATE(LEFT(RIGHT(CONCATENATE("000",HH_Debt1516!A778),6),3),"-",(RIGHT(RIGHT(CONCATENATE("000",HH_Debt1516!A778),6),3)))</f>
        <v>233-903</v>
      </c>
      <c r="C770" s="121">
        <v>272138</v>
      </c>
    </row>
    <row r="771" spans="1:3" ht="15">
      <c r="A771" s="2266" t="s">
        <v>4385</v>
      </c>
      <c r="B771" s="1694" t="str">
        <f>CONCATENATE(LEFT(RIGHT(CONCATENATE("000",HH_Debt1516!A779),6),3),"-",(RIGHT(RIGHT(CONCATENATE("000",HH_Debt1516!A779),6),3)))</f>
        <v>234-902</v>
      </c>
      <c r="C771" s="121">
        <v>2632037</v>
      </c>
    </row>
    <row r="772" spans="1:3" ht="15">
      <c r="A772" s="2266" t="s">
        <v>6841</v>
      </c>
      <c r="B772" s="1694" t="str">
        <f>CONCATENATE(LEFT(RIGHT(CONCATENATE("000",HH_Debt1516!A780),6),3),"-",(RIGHT(RIGHT(CONCATENATE("000",HH_Debt1516!A780),6),3)))</f>
        <v>234-903</v>
      </c>
      <c r="C772" s="121">
        <v>526425</v>
      </c>
    </row>
    <row r="773" spans="1:3" ht="15">
      <c r="A773" s="2266" t="s">
        <v>4386</v>
      </c>
      <c r="B773" s="1694" t="str">
        <f>CONCATENATE(LEFT(RIGHT(CONCATENATE("000",HH_Debt1516!A781),6),3),"-",(RIGHT(RIGHT(CONCATENATE("000",HH_Debt1516!A781),6),3)))</f>
        <v>234-904</v>
      </c>
      <c r="C773" s="121">
        <v>927671</v>
      </c>
    </row>
    <row r="774" spans="1:3" ht="15">
      <c r="A774" s="2266" t="s">
        <v>4387</v>
      </c>
      <c r="B774" s="1694" t="str">
        <f>CONCATENATE(LEFT(RIGHT(CONCATENATE("000",HH_Debt1516!A782),6),3),"-",(RIGHT(RIGHT(CONCATENATE("000",HH_Debt1516!A782),6),3)))</f>
        <v>234-905</v>
      </c>
      <c r="C774" s="121">
        <v>236611</v>
      </c>
    </row>
    <row r="775" spans="1:3" ht="15">
      <c r="A775" s="2266" t="s">
        <v>4388</v>
      </c>
      <c r="B775" s="1694" t="str">
        <f>CONCATENATE(LEFT(RIGHT(CONCATENATE("000",HH_Debt1516!A783),6),3),"-",(RIGHT(RIGHT(CONCATENATE("000",HH_Debt1516!A783),6),3)))</f>
        <v>234-906</v>
      </c>
      <c r="C775" s="121">
        <v>2286089</v>
      </c>
    </row>
    <row r="776" spans="1:3" ht="15">
      <c r="A776" s="2266" t="s">
        <v>6842</v>
      </c>
      <c r="B776" s="1694" t="str">
        <f>CONCATENATE(LEFT(RIGHT(CONCATENATE("000",HH_Debt1516!A784),6),3),"-",(RIGHT(RIGHT(CONCATENATE("000",HH_Debt1516!A784),6),3)))</f>
        <v>234-907</v>
      </c>
      <c r="C776" s="121">
        <v>740664</v>
      </c>
    </row>
    <row r="777" spans="1:3" ht="15">
      <c r="A777" s="2266" t="s">
        <v>4389</v>
      </c>
      <c r="B777" s="1694" t="str">
        <f>CONCATENATE(LEFT(RIGHT(CONCATENATE("000",HH_Debt1516!A785),6),3),"-",(RIGHT(RIGHT(CONCATENATE("000",HH_Debt1516!A785),6),3)))</f>
        <v>234-909</v>
      </c>
      <c r="C777" s="121">
        <v>94150</v>
      </c>
    </row>
    <row r="778" spans="1:3" ht="15">
      <c r="A778" s="2266" t="s">
        <v>4390</v>
      </c>
      <c r="B778" s="1694" t="str">
        <f>CONCATENATE(LEFT(RIGHT(CONCATENATE("000",HH_Debt1516!A786),6),3),"-",(RIGHT(RIGHT(CONCATENATE("000",HH_Debt1516!A786),6),3)))</f>
        <v>235-901</v>
      </c>
      <c r="C778" s="121">
        <v>887661</v>
      </c>
    </row>
    <row r="779" spans="1:3" ht="15">
      <c r="A779" s="2266" t="s">
        <v>4391</v>
      </c>
      <c r="B779" s="1694" t="str">
        <f>CONCATENATE(LEFT(RIGHT(CONCATENATE("000",HH_Debt1516!A787),6),3),"-",(RIGHT(RIGHT(CONCATENATE("000",HH_Debt1516!A787),6),3)))</f>
        <v>235-902</v>
      </c>
      <c r="C779" s="121">
        <v>12362000</v>
      </c>
    </row>
    <row r="780" spans="1:3" ht="15">
      <c r="A780" s="2266" t="s">
        <v>6843</v>
      </c>
      <c r="B780" s="1694" t="str">
        <f>CONCATENATE(LEFT(RIGHT(CONCATENATE("000",HH_Debt1516!A788),6),3),"-",(RIGHT(RIGHT(CONCATENATE("000",HH_Debt1516!A788),6),3)))</f>
        <v>235-904</v>
      </c>
      <c r="C780" s="121">
        <v>214900</v>
      </c>
    </row>
    <row r="781" spans="1:3" ht="15">
      <c r="A781" s="2266" t="s">
        <v>4392</v>
      </c>
      <c r="B781" s="1694" t="str">
        <f>CONCATENATE(LEFT(RIGHT(CONCATENATE("000",HH_Debt1516!A789),6),3),"-",(RIGHT(RIGHT(CONCATENATE("000",HH_Debt1516!A789),6),3)))</f>
        <v>236-901</v>
      </c>
      <c r="C781" s="121">
        <v>617463</v>
      </c>
    </row>
    <row r="782" spans="1:3" ht="15">
      <c r="A782" s="2266" t="s">
        <v>4393</v>
      </c>
      <c r="B782" s="1694" t="str">
        <f>CONCATENATE(LEFT(RIGHT(CONCATENATE("000",HH_Debt1516!A790),6),3),"-",(RIGHT(RIGHT(CONCATENATE("000",HH_Debt1516!A790),6),3)))</f>
        <v>236-902</v>
      </c>
      <c r="C782" s="121">
        <v>2069125</v>
      </c>
    </row>
    <row r="783" spans="1:3" ht="15">
      <c r="A783" s="2266" t="s">
        <v>4394</v>
      </c>
      <c r="B783" s="1694" t="str">
        <f>CONCATENATE(LEFT(RIGHT(CONCATENATE("000",HH_Debt1516!A791),6),3),"-",(RIGHT(RIGHT(CONCATENATE("000",HH_Debt1516!A791),6),3)))</f>
        <v>237-902</v>
      </c>
      <c r="C783" s="121">
        <v>1448712</v>
      </c>
    </row>
    <row r="784" spans="1:3" ht="15">
      <c r="A784" s="2266" t="s">
        <v>4395</v>
      </c>
      <c r="B784" s="1694" t="str">
        <f>CONCATENATE(LEFT(RIGHT(CONCATENATE("000",HH_Debt1516!A792),6),3),"-",(RIGHT(RIGHT(CONCATENATE("000",HH_Debt1516!A792),6),3)))</f>
        <v>237-904</v>
      </c>
      <c r="C784" s="121">
        <v>5272038</v>
      </c>
    </row>
    <row r="785" spans="1:3" ht="15">
      <c r="A785" s="2266" t="s">
        <v>4396</v>
      </c>
      <c r="B785" s="1694" t="str">
        <f>CONCATENATE(LEFT(RIGHT(CONCATENATE("000",HH_Debt1516!A793),6),3),"-",(RIGHT(RIGHT(CONCATENATE("000",HH_Debt1516!A793),6),3)))</f>
        <v>237-905</v>
      </c>
      <c r="C785" s="121">
        <v>4874313</v>
      </c>
    </row>
    <row r="786" spans="1:3" ht="15">
      <c r="A786" s="2266" t="s">
        <v>6844</v>
      </c>
      <c r="B786" s="1694" t="str">
        <f>CONCATENATE(LEFT(RIGHT(CONCATENATE("000",HH_Debt1516!A794),6),3),"-",(RIGHT(RIGHT(CONCATENATE("000",HH_Debt1516!A794),6),3)))</f>
        <v>238-902</v>
      </c>
      <c r="C786" s="121">
        <v>2110344</v>
      </c>
    </row>
    <row r="787" spans="1:3" ht="15">
      <c r="A787" s="2266" t="s">
        <v>6845</v>
      </c>
      <c r="B787" s="1694" t="str">
        <f>CONCATENATE(LEFT(RIGHT(CONCATENATE("000",HH_Debt1516!A795),6),3),"-",(RIGHT(RIGHT(CONCATENATE("000",HH_Debt1516!A795),6),3)))</f>
        <v>239-901</v>
      </c>
      <c r="C787" s="121">
        <v>2353514</v>
      </c>
    </row>
    <row r="788" spans="1:3" ht="15">
      <c r="A788" s="2266" t="s">
        <v>6846</v>
      </c>
      <c r="B788" s="1694" t="str">
        <f>CONCATENATE(LEFT(RIGHT(CONCATENATE("000",HH_Debt1516!A796),6),3),"-",(RIGHT(RIGHT(CONCATENATE("000",HH_Debt1516!A796),6),3)))</f>
        <v>239-903</v>
      </c>
      <c r="C788" s="121">
        <v>484944</v>
      </c>
    </row>
    <row r="789" spans="1:3" ht="15">
      <c r="A789" s="2266" t="s">
        <v>4397</v>
      </c>
      <c r="B789" s="1694" t="str">
        <f>CONCATENATE(LEFT(RIGHT(CONCATENATE("000",HH_Debt1516!A797),6),3),"-",(RIGHT(RIGHT(CONCATENATE("000",HH_Debt1516!A797),6),3)))</f>
        <v>240-901</v>
      </c>
      <c r="C789" s="121">
        <v>26933112</v>
      </c>
    </row>
    <row r="790" spans="1:3" ht="15">
      <c r="A790" s="2266" t="s">
        <v>4398</v>
      </c>
      <c r="B790" s="1694" t="str">
        <f>CONCATENATE(LEFT(RIGHT(CONCATENATE("000",HH_Debt1516!A798),6),3),"-",(RIGHT(RIGHT(CONCATENATE("000",HH_Debt1516!A798),6),3)))</f>
        <v>240-903</v>
      </c>
      <c r="C790" s="121">
        <v>28593737</v>
      </c>
    </row>
    <row r="791" spans="1:3" ht="15">
      <c r="A791" s="2266" t="s">
        <v>6848</v>
      </c>
      <c r="B791" s="1694" t="str">
        <f>CONCATENATE(LEFT(RIGHT(CONCATENATE("000",HH_Debt1516!A800),6),3),"-",(RIGHT(RIGHT(CONCATENATE("000",HH_Debt1516!A800),6),3)))</f>
        <v>241-902</v>
      </c>
      <c r="C791" s="121">
        <v>207850</v>
      </c>
    </row>
    <row r="792" spans="1:3" ht="15">
      <c r="A792" s="2266" t="s">
        <v>6849</v>
      </c>
      <c r="B792" s="1694" t="str">
        <f>CONCATENATE(LEFT(RIGHT(CONCATENATE("000",HH_Debt1516!A801),6),3),"-",(RIGHT(RIGHT(CONCATENATE("000",HH_Debt1516!A801),6),3)))</f>
        <v>241-903</v>
      </c>
      <c r="C792" s="121">
        <v>1711365</v>
      </c>
    </row>
    <row r="793" spans="1:3" ht="15">
      <c r="A793" s="2266" t="s">
        <v>6850</v>
      </c>
      <c r="B793" s="1694" t="str">
        <f>CONCATENATE(LEFT(RIGHT(CONCATENATE("000",HH_Debt1516!A802),6),3),"-",(RIGHT(RIGHT(CONCATENATE("000",HH_Debt1516!A802),6),3)))</f>
        <v>241-904</v>
      </c>
      <c r="C793" s="121">
        <v>1410150</v>
      </c>
    </row>
    <row r="794" spans="1:3" ht="15">
      <c r="A794" s="2266" t="s">
        <v>6852</v>
      </c>
      <c r="B794" s="1694" t="str">
        <f>CONCATENATE(LEFT(RIGHT(CONCATENATE("000",HH_Debt1516!A804),6),3),"-",(RIGHT(RIGHT(CONCATENATE("000",HH_Debt1516!A804),6),3)))</f>
        <v>242-903</v>
      </c>
      <c r="C794" s="121">
        <v>620631</v>
      </c>
    </row>
    <row r="795" spans="1:3" ht="15">
      <c r="A795" s="2266" t="s">
        <v>4399</v>
      </c>
      <c r="B795" s="1694" t="str">
        <f>CONCATENATE(LEFT(RIGHT(CONCATENATE("000",HH_Debt1516!A806),6),3),"-",(RIGHT(RIGHT(CONCATENATE("000",HH_Debt1516!A806),6),3)))</f>
        <v>243-901</v>
      </c>
      <c r="C795" s="121">
        <v>1566900</v>
      </c>
    </row>
    <row r="796" spans="1:3" ht="15">
      <c r="A796" s="2266" t="s">
        <v>6854</v>
      </c>
      <c r="B796" s="1694" t="str">
        <f>CONCATENATE(LEFT(RIGHT(CONCATENATE("000",HH_Debt1516!A807),6),3),"-",(RIGHT(RIGHT(CONCATENATE("000",HH_Debt1516!A807),6),3)))</f>
        <v>243-902</v>
      </c>
      <c r="C796" s="121">
        <v>867806</v>
      </c>
    </row>
    <row r="797" spans="1:3" ht="15">
      <c r="A797" s="2266" t="s">
        <v>6855</v>
      </c>
      <c r="B797" s="1694" t="str">
        <f>CONCATENATE(LEFT(RIGHT(CONCATENATE("000",HH_Debt1516!A808),6),3),"-",(RIGHT(RIGHT(CONCATENATE("000",HH_Debt1516!A808),6),3)))</f>
        <v>243-903</v>
      </c>
      <c r="C797" s="121">
        <v>1380675</v>
      </c>
    </row>
    <row r="798" spans="1:3" ht="15">
      <c r="A798" s="2266" t="s">
        <v>4400</v>
      </c>
      <c r="B798" s="1694" t="str">
        <f>CONCATENATE(LEFT(RIGHT(CONCATENATE("000",HH_Debt1516!A809),6),3),"-",(RIGHT(RIGHT(CONCATENATE("000",HH_Debt1516!A809),6),3)))</f>
        <v>243-905</v>
      </c>
      <c r="C798" s="121">
        <v>8481525</v>
      </c>
    </row>
    <row r="799" spans="1:3" ht="15">
      <c r="A799" s="2266" t="s">
        <v>4401</v>
      </c>
      <c r="B799" s="1694" t="str">
        <f>CONCATENATE(LEFT(RIGHT(CONCATENATE("000",HH_Debt1516!A810),6),3),"-",(RIGHT(RIGHT(CONCATENATE("000",HH_Debt1516!A810),6),3)))</f>
        <v>243-906</v>
      </c>
      <c r="C799" s="121">
        <v>720000</v>
      </c>
    </row>
    <row r="800" spans="1:3" ht="15">
      <c r="A800" s="2266" t="s">
        <v>6856</v>
      </c>
      <c r="B800" s="1694" t="str">
        <f>CONCATENATE(LEFT(RIGHT(CONCATENATE("000",HH_Debt1516!A811),6),3),"-",(RIGHT(RIGHT(CONCATENATE("000",HH_Debt1516!A811),6),3)))</f>
        <v>244-903</v>
      </c>
      <c r="C800" s="121">
        <v>578900</v>
      </c>
    </row>
    <row r="801" spans="1:3" ht="15">
      <c r="A801" s="2266" t="s">
        <v>4402</v>
      </c>
      <c r="B801" s="1694" t="str">
        <f>CONCATENATE(LEFT(RIGHT(CONCATENATE("000",HH_Debt1516!A812),6),3),"-",(RIGHT(RIGHT(CONCATENATE("000",HH_Debt1516!A812),6),3)))</f>
        <v>244-905</v>
      </c>
      <c r="C801" s="121">
        <v>135178</v>
      </c>
    </row>
    <row r="802" spans="1:3" ht="15">
      <c r="A802" s="2266" t="s">
        <v>4403</v>
      </c>
      <c r="B802" s="1694" t="str">
        <f>CONCATENATE(LEFT(RIGHT(CONCATENATE("000",HH_Debt1516!A813),6),3),"-",(RIGHT(RIGHT(CONCATENATE("000",HH_Debt1516!A813),6),3)))</f>
        <v>245-901</v>
      </c>
      <c r="C802" s="121">
        <v>492914</v>
      </c>
    </row>
    <row r="803" spans="1:3" ht="15">
      <c r="A803" s="2266" t="s">
        <v>4404</v>
      </c>
      <c r="B803" s="1694" t="str">
        <f>CONCATENATE(LEFT(RIGHT(CONCATENATE("000",HH_Debt1516!A814),6),3),"-",(RIGHT(RIGHT(CONCATENATE("000",HH_Debt1516!A814),6),3)))</f>
        <v>245-902</v>
      </c>
      <c r="C803" s="121">
        <v>865516</v>
      </c>
    </row>
    <row r="804" spans="1:3" ht="15">
      <c r="A804" s="2266" t="s">
        <v>4405</v>
      </c>
      <c r="B804" s="1694" t="str">
        <f>CONCATENATE(LEFT(RIGHT(CONCATENATE("000",HH_Debt1516!A815),6),3),"-",(RIGHT(RIGHT(CONCATENATE("000",HH_Debt1516!A815),6),3)))</f>
        <v>245-903</v>
      </c>
      <c r="C804" s="121">
        <v>1773466</v>
      </c>
    </row>
    <row r="805" spans="1:3" ht="15">
      <c r="A805" s="2266" t="s">
        <v>4406</v>
      </c>
      <c r="B805" s="1694" t="str">
        <f>CONCATENATE(LEFT(RIGHT(CONCATENATE("000",HH_Debt1516!A816),6),3),"-",(RIGHT(RIGHT(CONCATENATE("000",HH_Debt1516!A816),6),3)))</f>
        <v>245-904</v>
      </c>
      <c r="C805" s="121">
        <v>244000</v>
      </c>
    </row>
    <row r="806" spans="1:3" ht="15">
      <c r="A806" s="2266" t="s">
        <v>4407</v>
      </c>
      <c r="B806" s="1694" t="str">
        <f>CONCATENATE(LEFT(RIGHT(CONCATENATE("000",HH_Debt1516!A817),6),3),"-",(RIGHT(RIGHT(CONCATENATE("000",HH_Debt1516!A817),6),3)))</f>
        <v>246-902</v>
      </c>
      <c r="C806" s="121">
        <v>735411</v>
      </c>
    </row>
    <row r="807" spans="1:3" ht="15">
      <c r="A807" s="2266" t="s">
        <v>4408</v>
      </c>
      <c r="B807" s="1694" t="str">
        <f>CONCATENATE(LEFT(RIGHT(CONCATENATE("000",HH_Debt1516!A818),6),3),"-",(RIGHT(RIGHT(CONCATENATE("000",HH_Debt1516!A818),6),3)))</f>
        <v>246-904</v>
      </c>
      <c r="C807" s="121">
        <v>17506688</v>
      </c>
    </row>
    <row r="808" spans="1:3" ht="15">
      <c r="A808" s="2266" t="s">
        <v>4409</v>
      </c>
      <c r="B808" s="1694" t="str">
        <f>CONCATENATE(LEFT(RIGHT(CONCATENATE("000",HH_Debt1516!A819),6),3),"-",(RIGHT(RIGHT(CONCATENATE("000",HH_Debt1516!A819),6),3)))</f>
        <v>246-905</v>
      </c>
      <c r="C808" s="121">
        <v>98842</v>
      </c>
    </row>
    <row r="809" spans="1:3" ht="15">
      <c r="A809" s="2266" t="s">
        <v>4410</v>
      </c>
      <c r="B809" s="1694" t="str">
        <f>CONCATENATE(LEFT(RIGHT(CONCATENATE("000",HH_Debt1516!A820),6),3),"-",(RIGHT(RIGHT(CONCATENATE("000",HH_Debt1516!A820),6),3)))</f>
        <v>246-906</v>
      </c>
      <c r="C809" s="121">
        <v>11386743</v>
      </c>
    </row>
    <row r="810" spans="1:3" ht="15">
      <c r="A810" s="2266" t="s">
        <v>6857</v>
      </c>
      <c r="B810" s="1694" t="str">
        <f>CONCATENATE(LEFT(RIGHT(CONCATENATE("000",HH_Debt1516!A821),6),3),"-",(RIGHT(RIGHT(CONCATENATE("000",HH_Debt1516!A821),6),3)))</f>
        <v>246-907</v>
      </c>
      <c r="C810" s="121">
        <v>3086475</v>
      </c>
    </row>
    <row r="811" spans="1:3" ht="15">
      <c r="A811" s="2266" t="s">
        <v>4411</v>
      </c>
      <c r="B811" s="1694" t="str">
        <f>CONCATENATE(LEFT(RIGHT(CONCATENATE("000",HH_Debt1516!A822),6),3),"-",(RIGHT(RIGHT(CONCATENATE("000",HH_Debt1516!A822),6),3)))</f>
        <v>246-908</v>
      </c>
      <c r="C811" s="121">
        <v>7157468</v>
      </c>
    </row>
    <row r="812" spans="1:3" ht="15">
      <c r="A812" s="2266" t="s">
        <v>6403</v>
      </c>
      <c r="B812" s="1694" t="str">
        <f>CONCATENATE(LEFT(RIGHT(CONCATENATE("000",HH_Debt1516!A823),6),3),"-",(RIGHT(RIGHT(CONCATENATE("000",HH_Debt1516!A823),6),3)))</f>
        <v>246-909</v>
      </c>
      <c r="C812" s="121">
        <v>58139344</v>
      </c>
    </row>
    <row r="813" spans="1:3" ht="15">
      <c r="A813" s="2266" t="s">
        <v>4412</v>
      </c>
      <c r="B813" s="1694" t="str">
        <f>CONCATENATE(LEFT(RIGHT(CONCATENATE("000",HH_Debt1516!A824),6),3),"-",(RIGHT(RIGHT(CONCATENATE("000",HH_Debt1516!A824),6),3)))</f>
        <v>246-911</v>
      </c>
      <c r="C813" s="121">
        <v>3598092</v>
      </c>
    </row>
    <row r="814" spans="1:3" ht="15">
      <c r="A814" s="2266" t="s">
        <v>4413</v>
      </c>
      <c r="B814" s="1694" t="str">
        <f>CONCATENATE(LEFT(RIGHT(CONCATENATE("000",HH_Debt1516!A825),6),3),"-",(RIGHT(RIGHT(CONCATENATE("000",HH_Debt1516!A825),6),3)))</f>
        <v>246-912</v>
      </c>
      <c r="C814" s="121">
        <v>309448</v>
      </c>
    </row>
    <row r="815" spans="1:3" ht="15">
      <c r="A815" s="2266" t="s">
        <v>4414</v>
      </c>
      <c r="B815" s="1694" t="str">
        <f>CONCATENATE(LEFT(RIGHT(CONCATENATE("000",HH_Debt1516!A826),6),3),"-",(RIGHT(RIGHT(CONCATENATE("000",HH_Debt1516!A826),6),3)))</f>
        <v>246-913</v>
      </c>
      <c r="C815" s="121">
        <v>73548250</v>
      </c>
    </row>
    <row r="816" spans="1:3" ht="15">
      <c r="A816" s="2266" t="s">
        <v>4415</v>
      </c>
      <c r="B816" s="1694" t="str">
        <f>CONCATENATE(LEFT(RIGHT(CONCATENATE("000",HH_Debt1516!A827),6),3),"-",(RIGHT(RIGHT(CONCATENATE("000",HH_Debt1516!A827),6),3)))</f>
        <v>247-901</v>
      </c>
      <c r="C816" s="121">
        <v>5167696</v>
      </c>
    </row>
    <row r="817" spans="1:3" ht="15">
      <c r="A817" s="2266" t="s">
        <v>4416</v>
      </c>
      <c r="B817" s="1694" t="str">
        <f>CONCATENATE(LEFT(RIGHT(CONCATENATE("000",HH_Debt1516!A828),6),3),"-",(RIGHT(RIGHT(CONCATENATE("000",HH_Debt1516!A828),6),3)))</f>
        <v>247-903</v>
      </c>
      <c r="C817" s="121">
        <v>3298589</v>
      </c>
    </row>
    <row r="818" spans="1:3" ht="15">
      <c r="A818" s="2266" t="s">
        <v>4417</v>
      </c>
      <c r="B818" s="1694" t="str">
        <f>CONCATENATE(LEFT(RIGHT(CONCATENATE("000",HH_Debt1516!A829),6),3),"-",(RIGHT(RIGHT(CONCATENATE("000",HH_Debt1516!A829),6),3)))</f>
        <v>247-904</v>
      </c>
      <c r="C818" s="121">
        <v>418350</v>
      </c>
    </row>
    <row r="819" spans="1:3" ht="15">
      <c r="A819" s="2266" t="s">
        <v>4418</v>
      </c>
      <c r="B819" s="1694" t="str">
        <f>CONCATENATE(LEFT(RIGHT(CONCATENATE("000",HH_Debt1516!A830),6),3),"-",(RIGHT(RIGHT(CONCATENATE("000",HH_Debt1516!A830),6),3)))</f>
        <v>247-906</v>
      </c>
      <c r="C819" s="121">
        <v>758279</v>
      </c>
    </row>
    <row r="820" spans="1:3" ht="15">
      <c r="A820" s="2266" t="s">
        <v>6858</v>
      </c>
      <c r="B820" s="1694" t="str">
        <f>CONCATENATE(LEFT(RIGHT(CONCATENATE("000",HH_Debt1516!A831),6),3),"-",(RIGHT(RIGHT(CONCATENATE("000",HH_Debt1516!A831),6),3)))</f>
        <v>248-901</v>
      </c>
      <c r="C820" s="121">
        <v>2073375</v>
      </c>
    </row>
    <row r="821" spans="1:3" ht="15">
      <c r="A821" s="2266" t="s">
        <v>6859</v>
      </c>
      <c r="B821" s="1694" t="str">
        <f>CONCATENATE(LEFT(RIGHT(CONCATENATE("000",HH_Debt1516!A832),6),3),"-",(RIGHT(RIGHT(CONCATENATE("000",HH_Debt1516!A832),6),3)))</f>
        <v>248-902</v>
      </c>
      <c r="C821" s="121">
        <v>3128075</v>
      </c>
    </row>
    <row r="822" spans="1:3" ht="15">
      <c r="A822" s="2266" t="s">
        <v>4419</v>
      </c>
      <c r="B822" s="1694" t="str">
        <f>CONCATENATE(LEFT(RIGHT(CONCATENATE("000",HH_Debt1516!A833),6),3),"-",(RIGHT(RIGHT(CONCATENATE("000",HH_Debt1516!A833),6),3)))</f>
        <v>249-901</v>
      </c>
      <c r="C822" s="121">
        <v>746475</v>
      </c>
    </row>
    <row r="823" spans="1:3" ht="15">
      <c r="A823" s="2266" t="s">
        <v>6860</v>
      </c>
      <c r="B823" s="1694" t="str">
        <f>CONCATENATE(LEFT(RIGHT(CONCATENATE("000",HH_Debt1516!A834),6),3),"-",(RIGHT(RIGHT(CONCATENATE("000",HH_Debt1516!A834),6),3)))</f>
        <v>249-902</v>
      </c>
      <c r="C823" s="121">
        <v>1490743</v>
      </c>
    </row>
    <row r="824" spans="1:3" ht="15">
      <c r="A824" s="2266" t="s">
        <v>6861</v>
      </c>
      <c r="B824" s="1694" t="str">
        <f>CONCATENATE(LEFT(RIGHT(CONCATENATE("000",HH_Debt1516!A835),6),3),"-",(RIGHT(RIGHT(CONCATENATE("000",HH_Debt1516!A835),6),3)))</f>
        <v>249-903</v>
      </c>
      <c r="C824" s="121">
        <v>2589265</v>
      </c>
    </row>
    <row r="825" spans="1:3" ht="15">
      <c r="A825" s="2266" t="s">
        <v>6862</v>
      </c>
      <c r="B825" s="1694" t="str">
        <f>CONCATENATE(LEFT(RIGHT(CONCATENATE("000",HH_Debt1516!A836),6),3),"-",(RIGHT(RIGHT(CONCATENATE("000",HH_Debt1516!A836),6),3)))</f>
        <v>249-904</v>
      </c>
      <c r="C825" s="121">
        <v>1155396</v>
      </c>
    </row>
    <row r="826" spans="1:3" ht="15">
      <c r="A826" s="2266" t="s">
        <v>6863</v>
      </c>
      <c r="B826" s="1694" t="str">
        <f>CONCATENATE(LEFT(RIGHT(CONCATENATE("000",HH_Debt1516!A837),6),3),"-",(RIGHT(RIGHT(CONCATENATE("000",HH_Debt1516!A837),6),3)))</f>
        <v>249-905</v>
      </c>
      <c r="C826" s="121">
        <v>5795762</v>
      </c>
    </row>
    <row r="827" spans="1:3" ht="15">
      <c r="A827" s="2266" t="s">
        <v>4420</v>
      </c>
      <c r="B827" s="1694" t="str">
        <f>CONCATENATE(LEFT(RIGHT(CONCATENATE("000",HH_Debt1516!A838),6),3),"-",(RIGHT(RIGHT(CONCATENATE("000",HH_Debt1516!A838),6),3)))</f>
        <v>249-906</v>
      </c>
      <c r="C827" s="121">
        <v>1139750</v>
      </c>
    </row>
    <row r="828" spans="1:3" ht="15">
      <c r="A828" s="2266" t="s">
        <v>4421</v>
      </c>
      <c r="B828" s="1694" t="str">
        <f>CONCATENATE(LEFT(RIGHT(CONCATENATE("000",HH_Debt1516!A839),6),3),"-",(RIGHT(RIGHT(CONCATENATE("000",HH_Debt1516!A839),6),3)))</f>
        <v>249-908</v>
      </c>
      <c r="C828" s="121">
        <v>200650</v>
      </c>
    </row>
    <row r="829" spans="1:3" ht="15">
      <c r="A829" s="2266" t="s">
        <v>6864</v>
      </c>
      <c r="B829" s="1694" t="str">
        <f>CONCATENATE(LEFT(RIGHT(CONCATENATE("000",HH_Debt1516!A840),6),3),"-",(RIGHT(RIGHT(CONCATENATE("000",HH_Debt1516!A840),6),3)))</f>
        <v>250-902</v>
      </c>
      <c r="C829" s="121">
        <v>1497166</v>
      </c>
    </row>
    <row r="830" spans="1:3" ht="15">
      <c r="A830" s="2266" t="s">
        <v>6865</v>
      </c>
      <c r="B830" s="1694" t="str">
        <f>CONCATENATE(LEFT(RIGHT(CONCATENATE("000",HH_Debt1516!A841),6),3),"-",(RIGHT(RIGHT(CONCATENATE("000",HH_Debt1516!A841),6),3)))</f>
        <v>250-904</v>
      </c>
      <c r="C830" s="121">
        <v>538550</v>
      </c>
    </row>
    <row r="831" spans="1:3" ht="15">
      <c r="A831" s="2266" t="s">
        <v>6866</v>
      </c>
      <c r="B831" s="1694" t="str">
        <f>CONCATENATE(LEFT(RIGHT(CONCATENATE("000",HH_Debt1516!A842),6),3),"-",(RIGHT(RIGHT(CONCATENATE("000",HH_Debt1516!A842),6),3)))</f>
        <v>250-905</v>
      </c>
      <c r="C831" s="121">
        <v>165112</v>
      </c>
    </row>
    <row r="832" spans="1:3" ht="15">
      <c r="A832" s="2266" t="s">
        <v>6867</v>
      </c>
      <c r="B832" s="1694" t="str">
        <f>CONCATENATE(LEFT(RIGHT(CONCATENATE("000",HH_Debt1516!A843),6),3),"-",(RIGHT(RIGHT(CONCATENATE("000",HH_Debt1516!A843),6),3)))</f>
        <v>250-906</v>
      </c>
      <c r="C832" s="121">
        <v>138038</v>
      </c>
    </row>
    <row r="833" spans="1:3" ht="15">
      <c r="A833" s="2266" t="s">
        <v>6868</v>
      </c>
      <c r="B833" s="1694" t="str">
        <f>CONCATENATE(LEFT(RIGHT(CONCATENATE("000",HH_Debt1516!A844),6),3),"-",(RIGHT(RIGHT(CONCATENATE("000",HH_Debt1516!A844),6),3)))</f>
        <v>251-901</v>
      </c>
      <c r="C833" s="121">
        <v>3582762</v>
      </c>
    </row>
    <row r="834" spans="1:3" ht="15">
      <c r="A834" s="2266" t="s">
        <v>6869</v>
      </c>
      <c r="B834" s="1694" t="str">
        <f>CONCATENATE(LEFT(RIGHT(CONCATENATE("000",HH_Debt1516!A845),6),3),"-",(RIGHT(RIGHT(CONCATENATE("000",HH_Debt1516!A845),6),3)))</f>
        <v>251-902</v>
      </c>
      <c r="C834" s="121">
        <v>3660094</v>
      </c>
    </row>
    <row r="835" spans="1:3" ht="15">
      <c r="A835" s="2266" t="s">
        <v>4422</v>
      </c>
      <c r="B835" s="1694" t="str">
        <f>CONCATENATE(LEFT(RIGHT(CONCATENATE("000",HH_Debt1516!A846),6),3),"-",(RIGHT(RIGHT(CONCATENATE("000",HH_Debt1516!A846),6),3)))</f>
        <v>252-901</v>
      </c>
      <c r="C835" s="121">
        <v>2498867</v>
      </c>
    </row>
    <row r="836" spans="1:3" ht="15">
      <c r="A836" s="2266" t="s">
        <v>6870</v>
      </c>
      <c r="B836" s="1694" t="str">
        <f>CONCATENATE(LEFT(RIGHT(CONCATENATE("000",HH_Debt1516!A847),6),3),"-",(RIGHT(RIGHT(CONCATENATE("000",HH_Debt1516!A847),6),3)))</f>
        <v>252-902</v>
      </c>
      <c r="C836" s="121">
        <v>322940</v>
      </c>
    </row>
    <row r="837" spans="1:3" ht="15">
      <c r="A837" s="2266" t="s">
        <v>4423</v>
      </c>
      <c r="B837" s="1694" t="str">
        <f>CONCATENATE(LEFT(RIGHT(CONCATENATE("000",HH_Debt1516!A848),6),3),"-",(RIGHT(RIGHT(CONCATENATE("000",HH_Debt1516!A848),6),3)))</f>
        <v>252-903</v>
      </c>
      <c r="C837" s="121">
        <v>183000</v>
      </c>
    </row>
    <row r="838" spans="1:3" ht="15">
      <c r="A838" s="2266" t="s">
        <v>4424</v>
      </c>
      <c r="B838" s="1694" t="str">
        <f>CONCATENATE(LEFT(RIGHT(CONCATENATE("000",HH_Debt1516!A849),6),3),"-",(RIGHT(RIGHT(CONCATENATE("000",HH_Debt1516!A849),6),3)))</f>
        <v>254-901</v>
      </c>
      <c r="C838" s="121">
        <v>3665375</v>
      </c>
    </row>
    <row r="839" spans="1:3" ht="15">
      <c r="A839" s="2266" t="s">
        <v>4425</v>
      </c>
      <c r="B839" s="1694" t="str">
        <f>CONCATENATE(LEFT(RIGHT(CONCATENATE("000",HH_Debt1516!A850),6),3),"-",(RIGHT(RIGHT(CONCATENATE("000",HH_Debt1516!A850),6),3)))</f>
        <v>254-902</v>
      </c>
      <c r="C839" s="121">
        <v>168000</v>
      </c>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workbookViewId="0">
      <selection activeCell="K2" sqref="K2"/>
    </sheetView>
  </sheetViews>
  <sheetFormatPr defaultRowHeight="12.75"/>
  <cols>
    <col min="3" max="3" width="24.7109375" customWidth="1"/>
    <col min="5" max="7" width="12.7109375" customWidth="1"/>
    <col min="8" max="12" width="20.7109375" customWidth="1"/>
  </cols>
  <sheetData>
    <row r="1" spans="1:13" ht="75">
      <c r="A1" s="2241" t="s">
        <v>4752</v>
      </c>
      <c r="B1" s="2241"/>
      <c r="C1" s="2241" t="s">
        <v>4753</v>
      </c>
      <c r="D1" s="2241" t="s">
        <v>4754</v>
      </c>
      <c r="E1" s="2241" t="s">
        <v>4755</v>
      </c>
      <c r="F1" s="2241" t="s">
        <v>4756</v>
      </c>
      <c r="G1" s="2241" t="s">
        <v>4757</v>
      </c>
      <c r="H1" s="2243" t="s">
        <v>4758</v>
      </c>
      <c r="I1" s="2243" t="s">
        <v>4759</v>
      </c>
      <c r="J1" s="2554" t="s">
        <v>4760</v>
      </c>
      <c r="K1" s="2243" t="s">
        <v>4761</v>
      </c>
      <c r="L1" s="2243" t="s">
        <v>4762</v>
      </c>
      <c r="M1" s="2241" t="s">
        <v>4763</v>
      </c>
    </row>
    <row r="2" spans="1:13" ht="15">
      <c r="A2" s="2266" t="s">
        <v>3997</v>
      </c>
      <c r="B2" s="2465" t="str">
        <f>CONCATENATE(LEFT(RIGHT(CONCATENATE("000",IFAData_TEA_1617!A2),6),3),"-",(RIGHT(RIGHT(CONCATENATE("000",IFAData_TEA_1617!A2),6),3)))</f>
        <v>001-903</v>
      </c>
      <c r="C2" s="2266" t="s">
        <v>311</v>
      </c>
      <c r="D2" s="2266">
        <v>10</v>
      </c>
      <c r="E2" s="2266">
        <v>1801</v>
      </c>
      <c r="F2" s="2266" t="s">
        <v>4764</v>
      </c>
      <c r="G2" s="2266" t="s">
        <v>4764</v>
      </c>
      <c r="H2" s="2266">
        <v>319250</v>
      </c>
      <c r="I2" s="2266">
        <v>1049794</v>
      </c>
      <c r="J2" s="2266">
        <v>1</v>
      </c>
      <c r="K2" s="2266">
        <v>319250</v>
      </c>
      <c r="L2" s="2266">
        <v>319250</v>
      </c>
      <c r="M2" s="2266">
        <v>599</v>
      </c>
    </row>
    <row r="3" spans="1:13" ht="15">
      <c r="A3" s="2266" t="s">
        <v>3998</v>
      </c>
      <c r="B3" s="2465" t="str">
        <f>CONCATENATE(LEFT(RIGHT(CONCATENATE("000",IFAData_TEA_1617!A3),6),3),"-",(RIGHT(RIGHT(CONCATENATE("000",IFAData_TEA_1617!A3),6),3)))</f>
        <v>001-907</v>
      </c>
      <c r="C3" s="2266" t="s">
        <v>314</v>
      </c>
      <c r="D3" s="2266">
        <v>10</v>
      </c>
      <c r="E3" s="2266">
        <v>2170</v>
      </c>
      <c r="F3" s="2266" t="s">
        <v>4765</v>
      </c>
      <c r="G3" s="2266" t="s">
        <v>7131</v>
      </c>
      <c r="H3" s="2266">
        <v>751572</v>
      </c>
      <c r="I3" s="2266">
        <v>2128916</v>
      </c>
      <c r="J3" s="2266">
        <v>0.60171029261967135</v>
      </c>
      <c r="K3" s="2266">
        <v>452228.60804475163</v>
      </c>
      <c r="L3" s="2266">
        <v>452228.60804475163</v>
      </c>
      <c r="M3" s="2266">
        <v>599</v>
      </c>
    </row>
    <row r="4" spans="1:13" ht="15">
      <c r="A4" s="2266" t="s">
        <v>3998</v>
      </c>
      <c r="B4" s="2465" t="str">
        <f>CONCATENATE(LEFT(RIGHT(CONCATENATE("000",IFAData_TEA_1617!A4),6),3),"-",(RIGHT(RIGHT(CONCATENATE("000",IFAData_TEA_1617!A4),6),3)))</f>
        <v>001-907</v>
      </c>
      <c r="C4" s="2266" t="s">
        <v>314</v>
      </c>
      <c r="D4" s="2266">
        <v>10</v>
      </c>
      <c r="E4" s="2266">
        <v>2170</v>
      </c>
      <c r="F4" s="2266" t="s">
        <v>4765</v>
      </c>
      <c r="G4" s="2266" t="s">
        <v>4765</v>
      </c>
      <c r="H4" s="2266">
        <v>751572</v>
      </c>
      <c r="I4" s="2266">
        <v>1409192</v>
      </c>
      <c r="J4" s="2266">
        <v>0.39828970738032871</v>
      </c>
      <c r="K4" s="2266">
        <v>299343.39195524843</v>
      </c>
      <c r="L4" s="2266">
        <v>299343.39195524843</v>
      </c>
      <c r="M4" s="2266">
        <v>599</v>
      </c>
    </row>
    <row r="5" spans="1:13" ht="15">
      <c r="A5" s="2266" t="s">
        <v>3999</v>
      </c>
      <c r="B5" s="2465" t="str">
        <f>CONCATENATE(LEFT(RIGHT(CONCATENATE("000",IFAData_TEA_1617!A5),6),3),"-",(RIGHT(RIGHT(CONCATENATE("000",IFAData_TEA_1617!A5),6),3)))</f>
        <v>003-902</v>
      </c>
      <c r="C5" s="2266" t="s">
        <v>2733</v>
      </c>
      <c r="D5" s="2266">
        <v>9</v>
      </c>
      <c r="E5" s="2266">
        <v>1910</v>
      </c>
      <c r="F5" s="2266" t="s">
        <v>4769</v>
      </c>
      <c r="G5" s="2266" t="s">
        <v>4769</v>
      </c>
      <c r="H5" s="2266">
        <v>578788</v>
      </c>
      <c r="I5" s="2266">
        <v>251738</v>
      </c>
      <c r="J5" s="2266">
        <v>0.4838100875608275</v>
      </c>
      <c r="K5" s="2266">
        <v>280023.47295915621</v>
      </c>
      <c r="L5" s="2266">
        <v>251738</v>
      </c>
      <c r="M5" s="2266">
        <v>599</v>
      </c>
    </row>
    <row r="6" spans="1:13" ht="15">
      <c r="A6" s="2266" t="s">
        <v>3999</v>
      </c>
      <c r="B6" s="2465" t="str">
        <f>CONCATENATE(LEFT(RIGHT(CONCATENATE("000",IFAData_TEA_1617!A6),6),3),"-",(RIGHT(RIGHT(CONCATENATE("000",IFAData_TEA_1617!A6),6),3)))</f>
        <v>003-902</v>
      </c>
      <c r="C6" s="2266" t="s">
        <v>2733</v>
      </c>
      <c r="D6" s="2266">
        <v>4</v>
      </c>
      <c r="E6" s="2266">
        <v>1909</v>
      </c>
      <c r="F6" s="2266" t="s">
        <v>4766</v>
      </c>
      <c r="G6" s="2266" t="s">
        <v>4767</v>
      </c>
      <c r="H6" s="2266">
        <v>522310</v>
      </c>
      <c r="I6" s="2266">
        <v>0</v>
      </c>
      <c r="J6" s="2266">
        <v>0</v>
      </c>
      <c r="K6" s="2266">
        <v>0</v>
      </c>
      <c r="L6" s="2266">
        <v>0</v>
      </c>
      <c r="M6" s="2266">
        <v>599</v>
      </c>
    </row>
    <row r="7" spans="1:13" ht="15">
      <c r="A7" s="2266" t="s">
        <v>3999</v>
      </c>
      <c r="B7" s="2465" t="str">
        <f>CONCATENATE(LEFT(RIGHT(CONCATENATE("000",IFAData_TEA_1617!A7),6),3),"-",(RIGHT(RIGHT(CONCATENATE("000",IFAData_TEA_1617!A7),6),3)))</f>
        <v>003-902</v>
      </c>
      <c r="C7" s="2266" t="s">
        <v>2733</v>
      </c>
      <c r="D7" s="2266">
        <v>9</v>
      </c>
      <c r="E7" s="2266">
        <v>1910</v>
      </c>
      <c r="F7" s="2266" t="s">
        <v>4769</v>
      </c>
      <c r="G7" s="2266" t="s">
        <v>7132</v>
      </c>
      <c r="H7" s="2266">
        <v>578788</v>
      </c>
      <c r="I7" s="2266">
        <v>268586</v>
      </c>
      <c r="J7" s="2266">
        <v>0.51618991243917256</v>
      </c>
      <c r="K7" s="2266">
        <v>298764.52704084379</v>
      </c>
      <c r="L7" s="2266">
        <v>268586</v>
      </c>
      <c r="M7" s="2266">
        <v>599</v>
      </c>
    </row>
    <row r="8" spans="1:13" ht="15">
      <c r="A8" s="2266" t="s">
        <v>3999</v>
      </c>
      <c r="B8" s="2465" t="str">
        <f>CONCATENATE(LEFT(RIGHT(CONCATENATE("000",IFAData_TEA_1617!A8),6),3),"-",(RIGHT(RIGHT(CONCATENATE("000",IFAData_TEA_1617!A8),6),3)))</f>
        <v>003-902</v>
      </c>
      <c r="C8" s="2266" t="s">
        <v>2733</v>
      </c>
      <c r="D8" s="2266">
        <v>10</v>
      </c>
      <c r="E8" s="2266">
        <v>1908</v>
      </c>
      <c r="F8" s="2266" t="s">
        <v>4770</v>
      </c>
      <c r="G8" s="2266" t="s">
        <v>4770</v>
      </c>
      <c r="H8" s="2266">
        <v>61268</v>
      </c>
      <c r="I8" s="2266">
        <v>154975</v>
      </c>
      <c r="J8" s="2266">
        <v>1</v>
      </c>
      <c r="K8" s="2266">
        <v>61268</v>
      </c>
      <c r="L8" s="2266">
        <v>61268</v>
      </c>
      <c r="M8" s="2266">
        <v>599</v>
      </c>
    </row>
    <row r="9" spans="1:13" ht="15">
      <c r="A9" s="2266" t="s">
        <v>3999</v>
      </c>
      <c r="B9" s="2465" t="str">
        <f>CONCATENATE(LEFT(RIGHT(CONCATENATE("000",IFAData_TEA_1617!A9),6),3),"-",(RIGHT(RIGHT(CONCATENATE("000",IFAData_TEA_1617!A9),6),3)))</f>
        <v>003-902</v>
      </c>
      <c r="C9" s="2266" t="s">
        <v>2733</v>
      </c>
      <c r="D9" s="2266">
        <v>4</v>
      </c>
      <c r="E9" s="2266">
        <v>1909</v>
      </c>
      <c r="F9" s="2266" t="s">
        <v>4766</v>
      </c>
      <c r="G9" s="2266" t="s">
        <v>4766</v>
      </c>
      <c r="H9" s="2266">
        <v>522310</v>
      </c>
      <c r="I9" s="2266">
        <v>0</v>
      </c>
      <c r="J9" s="2266">
        <v>0</v>
      </c>
      <c r="K9" s="2266">
        <v>0</v>
      </c>
      <c r="L9" s="2266">
        <v>0</v>
      </c>
      <c r="M9" s="2266">
        <v>599</v>
      </c>
    </row>
    <row r="10" spans="1:13" ht="15">
      <c r="A10" s="2266" t="s">
        <v>3999</v>
      </c>
      <c r="B10" s="2465" t="str">
        <f>CONCATENATE(LEFT(RIGHT(CONCATENATE("000",IFAData_TEA_1617!A10),6),3),"-",(RIGHT(RIGHT(CONCATENATE("000",IFAData_TEA_1617!A10),6),3)))</f>
        <v>003-902</v>
      </c>
      <c r="C10" s="2266" t="s">
        <v>2733</v>
      </c>
      <c r="D10" s="2266">
        <v>4</v>
      </c>
      <c r="E10" s="2266">
        <v>1909</v>
      </c>
      <c r="F10" s="2266" t="s">
        <v>4766</v>
      </c>
      <c r="G10" s="2266" t="s">
        <v>4768</v>
      </c>
      <c r="H10" s="2266">
        <v>522310</v>
      </c>
      <c r="I10" s="2266">
        <v>444830</v>
      </c>
      <c r="J10" s="2266">
        <v>1</v>
      </c>
      <c r="K10" s="2266">
        <v>522310</v>
      </c>
      <c r="L10" s="2266">
        <v>444830</v>
      </c>
      <c r="M10" s="2266">
        <v>599</v>
      </c>
    </row>
    <row r="11" spans="1:13" ht="15">
      <c r="A11" s="2266" t="s">
        <v>4000</v>
      </c>
      <c r="B11" s="2465" t="str">
        <f>CONCATENATE(LEFT(RIGHT(CONCATENATE("000",IFAData_TEA_1617!A11),6),3),"-",(RIGHT(RIGHT(CONCATENATE("000",IFAData_TEA_1617!A11),6),3)))</f>
        <v>003-904</v>
      </c>
      <c r="C11" s="2266" t="s">
        <v>1438</v>
      </c>
      <c r="D11" s="2266">
        <v>3</v>
      </c>
      <c r="E11" s="2266">
        <v>1917</v>
      </c>
      <c r="F11" s="2266" t="s">
        <v>4773</v>
      </c>
      <c r="G11" s="2266" t="s">
        <v>4772</v>
      </c>
      <c r="H11" s="2266">
        <v>254314</v>
      </c>
      <c r="I11" s="2266">
        <v>216281</v>
      </c>
      <c r="J11" s="2266">
        <v>1</v>
      </c>
      <c r="K11" s="2266">
        <v>254314</v>
      </c>
      <c r="L11" s="2266">
        <v>216281</v>
      </c>
      <c r="M11" s="2266">
        <v>599</v>
      </c>
    </row>
    <row r="12" spans="1:13" ht="15">
      <c r="A12" s="2266" t="s">
        <v>4000</v>
      </c>
      <c r="B12" s="2465" t="str">
        <f>CONCATENATE(LEFT(RIGHT(CONCATENATE("000",IFAData_TEA_1617!A12),6),3),"-",(RIGHT(RIGHT(CONCATENATE("000",IFAData_TEA_1617!A12),6),3)))</f>
        <v>003-904</v>
      </c>
      <c r="C12" s="2266" t="s">
        <v>1438</v>
      </c>
      <c r="D12" s="2266">
        <v>9</v>
      </c>
      <c r="E12" s="2266">
        <v>1918</v>
      </c>
      <c r="F12" s="2266" t="s">
        <v>4774</v>
      </c>
      <c r="G12" s="2266" t="s">
        <v>4774</v>
      </c>
      <c r="H12" s="2266">
        <v>393008</v>
      </c>
      <c r="I12" s="2266">
        <v>343254</v>
      </c>
      <c r="J12" s="2266">
        <v>0.39396927018114913</v>
      </c>
      <c r="K12" s="2266">
        <v>154833.07493535307</v>
      </c>
      <c r="L12" s="2266">
        <v>154833.07493535307</v>
      </c>
      <c r="M12" s="2266">
        <v>599</v>
      </c>
    </row>
    <row r="13" spans="1:13" ht="15">
      <c r="A13" s="2266" t="s">
        <v>4000</v>
      </c>
      <c r="B13" s="2465" t="str">
        <f>CONCATENATE(LEFT(RIGHT(CONCATENATE("000",IFAData_TEA_1617!A13),6),3),"-",(RIGHT(RIGHT(CONCATENATE("000",IFAData_TEA_1617!A13),6),3)))</f>
        <v>003-904</v>
      </c>
      <c r="C13" s="2266" t="s">
        <v>1438</v>
      </c>
      <c r="D13" s="2266">
        <v>9</v>
      </c>
      <c r="E13" s="2266">
        <v>1918</v>
      </c>
      <c r="F13" s="2266" t="s">
        <v>4774</v>
      </c>
      <c r="G13" s="2266" t="s">
        <v>6900</v>
      </c>
      <c r="H13" s="2266">
        <v>393008</v>
      </c>
      <c r="I13" s="2266">
        <v>433236</v>
      </c>
      <c r="J13" s="2266">
        <v>0.49724597742837762</v>
      </c>
      <c r="K13" s="2266">
        <v>195421.64709717184</v>
      </c>
      <c r="L13" s="2266">
        <v>195421.64709717184</v>
      </c>
      <c r="M13" s="2266">
        <v>599</v>
      </c>
    </row>
    <row r="14" spans="1:13" ht="15">
      <c r="A14" s="2266" t="s">
        <v>4000</v>
      </c>
      <c r="B14" s="2465" t="str">
        <f>CONCATENATE(LEFT(RIGHT(CONCATENATE("000",IFAData_TEA_1617!A14),6),3),"-",(RIGHT(RIGHT(CONCATENATE("000",IFAData_TEA_1617!A14),6),3)))</f>
        <v>003-904</v>
      </c>
      <c r="C14" s="2266" t="s">
        <v>1438</v>
      </c>
      <c r="D14" s="2266">
        <v>3</v>
      </c>
      <c r="E14" s="2266">
        <v>1916</v>
      </c>
      <c r="F14" s="2266" t="s">
        <v>4771</v>
      </c>
      <c r="G14" s="2266" t="s">
        <v>4771</v>
      </c>
      <c r="H14" s="2266">
        <v>73837</v>
      </c>
      <c r="I14" s="2266">
        <v>0</v>
      </c>
      <c r="J14" s="2266">
        <v>0</v>
      </c>
      <c r="K14" s="2266">
        <v>0</v>
      </c>
      <c r="L14" s="2266">
        <v>0</v>
      </c>
      <c r="M14" s="2266">
        <v>599</v>
      </c>
    </row>
    <row r="15" spans="1:13" ht="15">
      <c r="A15" s="2266" t="s">
        <v>4000</v>
      </c>
      <c r="B15" s="2465" t="str">
        <f>CONCATENATE(LEFT(RIGHT(CONCATENATE("000",IFAData_TEA_1617!A15),6),3),"-",(RIGHT(RIGHT(CONCATENATE("000",IFAData_TEA_1617!A15),6),3)))</f>
        <v>003-904</v>
      </c>
      <c r="C15" s="2266" t="s">
        <v>1438</v>
      </c>
      <c r="D15" s="2266">
        <v>3</v>
      </c>
      <c r="E15" s="2266">
        <v>1916</v>
      </c>
      <c r="F15" s="2266" t="s">
        <v>4771</v>
      </c>
      <c r="G15" s="2266" t="s">
        <v>4772</v>
      </c>
      <c r="H15" s="2266">
        <v>73837</v>
      </c>
      <c r="I15" s="2266">
        <v>440399</v>
      </c>
      <c r="J15" s="2266">
        <v>1</v>
      </c>
      <c r="K15" s="2266">
        <v>73837</v>
      </c>
      <c r="L15" s="2266">
        <v>73837</v>
      </c>
      <c r="M15" s="2266">
        <v>599</v>
      </c>
    </row>
    <row r="16" spans="1:13" ht="15">
      <c r="A16" s="2266" t="s">
        <v>4000</v>
      </c>
      <c r="B16" s="2465" t="str">
        <f>CONCATENATE(LEFT(RIGHT(CONCATENATE("000",IFAData_TEA_1617!A16),6),3),"-",(RIGHT(RIGHT(CONCATENATE("000",IFAData_TEA_1617!A16),6),3)))</f>
        <v>003-904</v>
      </c>
      <c r="C16" s="2266" t="s">
        <v>1438</v>
      </c>
      <c r="D16" s="2266">
        <v>3</v>
      </c>
      <c r="E16" s="2266">
        <v>1917</v>
      </c>
      <c r="F16" s="2266" t="s">
        <v>4773</v>
      </c>
      <c r="G16" s="2266" t="s">
        <v>4773</v>
      </c>
      <c r="H16" s="2266">
        <v>254314</v>
      </c>
      <c r="I16" s="2266">
        <v>0</v>
      </c>
      <c r="J16" s="2266">
        <v>0</v>
      </c>
      <c r="K16" s="2266">
        <v>0</v>
      </c>
      <c r="L16" s="2266">
        <v>0</v>
      </c>
      <c r="M16" s="2266">
        <v>599</v>
      </c>
    </row>
    <row r="17" spans="1:13" ht="15">
      <c r="A17" s="2266" t="s">
        <v>4000</v>
      </c>
      <c r="B17" s="2465" t="str">
        <f>CONCATENATE(LEFT(RIGHT(CONCATENATE("000",IFAData_TEA_1617!A17),6),3),"-",(RIGHT(RIGHT(CONCATENATE("000",IFAData_TEA_1617!A17),6),3)))</f>
        <v>003-904</v>
      </c>
      <c r="C17" s="2266" t="s">
        <v>1438</v>
      </c>
      <c r="D17" s="2266">
        <v>9</v>
      </c>
      <c r="E17" s="2266">
        <v>1918</v>
      </c>
      <c r="F17" s="2266" t="s">
        <v>4774</v>
      </c>
      <c r="G17" s="2266" t="s">
        <v>7133</v>
      </c>
      <c r="H17" s="2266">
        <v>393008</v>
      </c>
      <c r="I17" s="2266">
        <v>94781</v>
      </c>
      <c r="J17" s="2266">
        <v>0.10878475239047322</v>
      </c>
      <c r="K17" s="2266">
        <v>42753.2779674751</v>
      </c>
      <c r="L17" s="2266">
        <v>42753.2779674751</v>
      </c>
      <c r="M17" s="2266">
        <v>599</v>
      </c>
    </row>
    <row r="18" spans="1:13" ht="15">
      <c r="A18" s="2266" t="s">
        <v>4001</v>
      </c>
      <c r="B18" s="2465" t="str">
        <f>CONCATENATE(LEFT(RIGHT(CONCATENATE("000",IFAData_TEA_1617!A18),6),3),"-",(RIGHT(RIGHT(CONCATENATE("000",IFAData_TEA_1617!A18),6),3)))</f>
        <v>003-905</v>
      </c>
      <c r="C18" s="2266" t="s">
        <v>1359</v>
      </c>
      <c r="D18" s="2266">
        <v>10</v>
      </c>
      <c r="E18" s="2266">
        <v>1762</v>
      </c>
      <c r="F18" s="2266" t="s">
        <v>4775</v>
      </c>
      <c r="G18" s="2266" t="s">
        <v>4775</v>
      </c>
      <c r="H18" s="2266">
        <v>437500</v>
      </c>
      <c r="I18" s="2266">
        <v>475512</v>
      </c>
      <c r="J18" s="2266">
        <v>1</v>
      </c>
      <c r="K18" s="2266">
        <v>437500</v>
      </c>
      <c r="L18" s="2266">
        <v>437500</v>
      </c>
      <c r="M18" s="2266">
        <v>599</v>
      </c>
    </row>
    <row r="19" spans="1:13" ht="15">
      <c r="A19" s="2266" t="s">
        <v>4002</v>
      </c>
      <c r="B19" s="2465" t="str">
        <f>CONCATENATE(LEFT(RIGHT(CONCATENATE("000",IFAData_TEA_1617!A19),6),3),"-",(RIGHT(RIGHT(CONCATENATE("000",IFAData_TEA_1617!A19),6),3)))</f>
        <v>003-907</v>
      </c>
      <c r="C19" s="2266" t="s">
        <v>1361</v>
      </c>
      <c r="D19" s="2266">
        <v>9</v>
      </c>
      <c r="E19" s="2266">
        <v>1676</v>
      </c>
      <c r="F19" s="2266" t="s">
        <v>4776</v>
      </c>
      <c r="G19" s="2266" t="s">
        <v>7134</v>
      </c>
      <c r="H19" s="2266">
        <v>393343</v>
      </c>
      <c r="I19" s="2266">
        <v>250186</v>
      </c>
      <c r="J19" s="2266">
        <v>0.43470162544415197</v>
      </c>
      <c r="K19" s="2266">
        <v>170986.84145707908</v>
      </c>
      <c r="L19" s="2266">
        <v>170986.84145707908</v>
      </c>
      <c r="M19" s="2266">
        <v>599</v>
      </c>
    </row>
    <row r="20" spans="1:13" ht="15">
      <c r="A20" s="2266" t="s">
        <v>4002</v>
      </c>
      <c r="B20" s="2465" t="str">
        <f>CONCATENATE(LEFT(RIGHT(CONCATENATE("000",IFAData_TEA_1617!A20),6),3),"-",(RIGHT(RIGHT(CONCATENATE("000",IFAData_TEA_1617!A20),6),3)))</f>
        <v>003-907</v>
      </c>
      <c r="C20" s="2266" t="s">
        <v>1361</v>
      </c>
      <c r="D20" s="2266">
        <v>9</v>
      </c>
      <c r="E20" s="2266">
        <v>1676</v>
      </c>
      <c r="F20" s="2266" t="s">
        <v>4776</v>
      </c>
      <c r="G20" s="2266" t="s">
        <v>4776</v>
      </c>
      <c r="H20" s="2266">
        <v>393343</v>
      </c>
      <c r="I20" s="2266">
        <v>325349</v>
      </c>
      <c r="J20" s="2266">
        <v>0.56529837455584808</v>
      </c>
      <c r="K20" s="2266">
        <v>222356.15854292095</v>
      </c>
      <c r="L20" s="2266">
        <v>222356.15854292095</v>
      </c>
      <c r="M20" s="2266">
        <v>599</v>
      </c>
    </row>
    <row r="21" spans="1:13" ht="15">
      <c r="A21" s="2266" t="s">
        <v>4003</v>
      </c>
      <c r="B21" s="2465" t="str">
        <f>CONCATENATE(LEFT(RIGHT(CONCATENATE("000",IFAData_TEA_1617!A21),6),3),"-",(RIGHT(RIGHT(CONCATENATE("000",IFAData_TEA_1617!A21),6),3)))</f>
        <v>005-904</v>
      </c>
      <c r="C21" s="2266" t="s">
        <v>1289</v>
      </c>
      <c r="D21" s="2266">
        <v>6</v>
      </c>
      <c r="E21" s="2266">
        <v>2458</v>
      </c>
      <c r="F21" s="2266" t="s">
        <v>4777</v>
      </c>
      <c r="G21" s="2266" t="s">
        <v>4778</v>
      </c>
      <c r="H21" s="2266">
        <v>108848</v>
      </c>
      <c r="I21" s="2266">
        <v>169924</v>
      </c>
      <c r="J21" s="2266">
        <v>1</v>
      </c>
      <c r="K21" s="2266">
        <v>108848</v>
      </c>
      <c r="L21" s="2266">
        <v>108848</v>
      </c>
      <c r="M21" s="2266">
        <v>599</v>
      </c>
    </row>
    <row r="22" spans="1:13" ht="15">
      <c r="A22" s="2266" t="s">
        <v>4003</v>
      </c>
      <c r="B22" s="2465" t="str">
        <f>CONCATENATE(LEFT(RIGHT(CONCATENATE("000",IFAData_TEA_1617!A22),6),3),"-",(RIGHT(RIGHT(CONCATENATE("000",IFAData_TEA_1617!A22),6),3)))</f>
        <v>005-904</v>
      </c>
      <c r="C22" s="2266" t="s">
        <v>1289</v>
      </c>
      <c r="D22" s="2266">
        <v>6</v>
      </c>
      <c r="E22" s="2266">
        <v>2458</v>
      </c>
      <c r="F22" s="2266" t="s">
        <v>4777</v>
      </c>
      <c r="G22" s="2266" t="s">
        <v>4777</v>
      </c>
      <c r="H22" s="2266">
        <v>108848</v>
      </c>
      <c r="I22" s="2266">
        <v>0</v>
      </c>
      <c r="J22" s="2266">
        <v>0</v>
      </c>
      <c r="K22" s="2266">
        <v>0</v>
      </c>
      <c r="L22" s="2266">
        <v>0</v>
      </c>
      <c r="M22" s="2266">
        <v>599</v>
      </c>
    </row>
    <row r="23" spans="1:13" ht="15">
      <c r="A23" s="2266" t="s">
        <v>4004</v>
      </c>
      <c r="B23" s="2465" t="str">
        <f>CONCATENATE(LEFT(RIGHT(CONCATENATE("000",IFAData_TEA_1617!A23),6),3),"-",(RIGHT(RIGHT(CONCATENATE("000",IFAData_TEA_1617!A23),6),3)))</f>
        <v>007-901</v>
      </c>
      <c r="C23" s="2266" t="s">
        <v>736</v>
      </c>
      <c r="D23" s="2266">
        <v>9</v>
      </c>
      <c r="E23" s="2266">
        <v>1682</v>
      </c>
      <c r="F23" s="2266" t="s">
        <v>4783</v>
      </c>
      <c r="G23" s="2266" t="s">
        <v>4783</v>
      </c>
      <c r="H23" s="2266">
        <v>35459</v>
      </c>
      <c r="I23" s="2266">
        <v>34222</v>
      </c>
      <c r="J23" s="2266">
        <v>1</v>
      </c>
      <c r="K23" s="2266">
        <v>35459</v>
      </c>
      <c r="L23" s="2266">
        <v>34222</v>
      </c>
      <c r="M23" s="2266">
        <v>599</v>
      </c>
    </row>
    <row r="24" spans="1:13" ht="15">
      <c r="A24" s="2266" t="s">
        <v>4004</v>
      </c>
      <c r="B24" s="2465" t="str">
        <f>CONCATENATE(LEFT(RIGHT(CONCATENATE("000",IFAData_TEA_1617!A24),6),3),"-",(RIGHT(RIGHT(CONCATENATE("000",IFAData_TEA_1617!A24),6),3)))</f>
        <v>007-901</v>
      </c>
      <c r="C24" s="2266" t="s">
        <v>736</v>
      </c>
      <c r="D24" s="2266">
        <v>4</v>
      </c>
      <c r="E24" s="2266">
        <v>1684</v>
      </c>
      <c r="F24" s="2266" t="s">
        <v>4779</v>
      </c>
      <c r="G24" s="2266" t="s">
        <v>4781</v>
      </c>
      <c r="H24" s="2266">
        <v>121726</v>
      </c>
      <c r="I24" s="2266">
        <v>107705</v>
      </c>
      <c r="J24" s="2266">
        <v>1</v>
      </c>
      <c r="K24" s="2266">
        <v>121726</v>
      </c>
      <c r="L24" s="2266">
        <v>107705</v>
      </c>
      <c r="M24" s="2266">
        <v>599</v>
      </c>
    </row>
    <row r="25" spans="1:13" ht="15">
      <c r="A25" s="2266" t="s">
        <v>4004</v>
      </c>
      <c r="B25" s="2465" t="str">
        <f>CONCATENATE(LEFT(RIGHT(CONCATENATE("000",IFAData_TEA_1617!A25),6),3),"-",(RIGHT(RIGHT(CONCATENATE("000",IFAData_TEA_1617!A25),6),3)))</f>
        <v>007-901</v>
      </c>
      <c r="C25" s="2266" t="s">
        <v>736</v>
      </c>
      <c r="D25" s="2266">
        <v>4</v>
      </c>
      <c r="E25" s="2266">
        <v>1684</v>
      </c>
      <c r="F25" s="2266" t="s">
        <v>4779</v>
      </c>
      <c r="G25" s="2266" t="s">
        <v>4780</v>
      </c>
      <c r="H25" s="2266">
        <v>121726</v>
      </c>
      <c r="I25" s="2266">
        <v>0</v>
      </c>
      <c r="J25" s="2266">
        <v>0</v>
      </c>
      <c r="K25" s="2266">
        <v>0</v>
      </c>
      <c r="L25" s="2266">
        <v>0</v>
      </c>
      <c r="M25" s="2266">
        <v>599</v>
      </c>
    </row>
    <row r="26" spans="1:13" ht="15">
      <c r="A26" s="2266" t="s">
        <v>4004</v>
      </c>
      <c r="B26" s="2465" t="str">
        <f>CONCATENATE(LEFT(RIGHT(CONCATENATE("000",IFAData_TEA_1617!A26),6),3),"-",(RIGHT(RIGHT(CONCATENATE("000",IFAData_TEA_1617!A26),6),3)))</f>
        <v>007-901</v>
      </c>
      <c r="C26" s="2266" t="s">
        <v>736</v>
      </c>
      <c r="D26" s="2266">
        <v>5</v>
      </c>
      <c r="E26" s="2266">
        <v>1683</v>
      </c>
      <c r="F26" s="2266" t="s">
        <v>4782</v>
      </c>
      <c r="G26" s="2266" t="s">
        <v>4782</v>
      </c>
      <c r="H26" s="2266">
        <v>116170</v>
      </c>
      <c r="I26" s="2266">
        <v>0</v>
      </c>
      <c r="J26" s="2266">
        <v>0</v>
      </c>
      <c r="K26" s="2266">
        <v>0</v>
      </c>
      <c r="L26" s="2266">
        <v>0</v>
      </c>
      <c r="M26" s="2266">
        <v>599</v>
      </c>
    </row>
    <row r="27" spans="1:13" ht="15">
      <c r="A27" s="2266" t="s">
        <v>4004</v>
      </c>
      <c r="B27" s="2465" t="str">
        <f>CONCATENATE(LEFT(RIGHT(CONCATENATE("000",IFAData_TEA_1617!A27),6),3),"-",(RIGHT(RIGHT(CONCATENATE("000",IFAData_TEA_1617!A27),6),3)))</f>
        <v>007-901</v>
      </c>
      <c r="C27" s="2266" t="s">
        <v>736</v>
      </c>
      <c r="D27" s="2266">
        <v>5</v>
      </c>
      <c r="E27" s="2266">
        <v>1683</v>
      </c>
      <c r="F27" s="2266" t="s">
        <v>4782</v>
      </c>
      <c r="G27" s="2266" t="s">
        <v>4781</v>
      </c>
      <c r="H27" s="2266">
        <v>116170</v>
      </c>
      <c r="I27" s="2266">
        <v>105378</v>
      </c>
      <c r="J27" s="2266">
        <v>1</v>
      </c>
      <c r="K27" s="2266">
        <v>116170</v>
      </c>
      <c r="L27" s="2266">
        <v>105378</v>
      </c>
      <c r="M27" s="2266">
        <v>599</v>
      </c>
    </row>
    <row r="28" spans="1:13" ht="15">
      <c r="A28" s="2266" t="s">
        <v>4004</v>
      </c>
      <c r="B28" s="2465" t="str">
        <f>CONCATENATE(LEFT(RIGHT(CONCATENATE("000",IFAData_TEA_1617!A28),6),3),"-",(RIGHT(RIGHT(CONCATENATE("000",IFAData_TEA_1617!A28),6),3)))</f>
        <v>007-901</v>
      </c>
      <c r="C28" s="2266" t="s">
        <v>736</v>
      </c>
      <c r="D28" s="2266">
        <v>4</v>
      </c>
      <c r="E28" s="2266">
        <v>1684</v>
      </c>
      <c r="F28" s="2266" t="s">
        <v>4779</v>
      </c>
      <c r="G28" s="2266" t="s">
        <v>4779</v>
      </c>
      <c r="H28" s="2266">
        <v>121726</v>
      </c>
      <c r="I28" s="2266">
        <v>0</v>
      </c>
      <c r="J28" s="2266">
        <v>0</v>
      </c>
      <c r="K28" s="2266">
        <v>0</v>
      </c>
      <c r="L28" s="2266">
        <v>0</v>
      </c>
      <c r="M28" s="2266">
        <v>599</v>
      </c>
    </row>
    <row r="29" spans="1:13" ht="15">
      <c r="A29" s="2266" t="s">
        <v>4004</v>
      </c>
      <c r="B29" s="2465" t="str">
        <f>CONCATENATE(LEFT(RIGHT(CONCATENATE("000",IFAData_TEA_1617!A29),6),3),"-",(RIGHT(RIGHT(CONCATENATE("000",IFAData_TEA_1617!A29),6),3)))</f>
        <v>007-901</v>
      </c>
      <c r="C29" s="2266" t="s">
        <v>736</v>
      </c>
      <c r="D29" s="2266">
        <v>5</v>
      </c>
      <c r="E29" s="2266">
        <v>1683</v>
      </c>
      <c r="F29" s="2266" t="s">
        <v>4782</v>
      </c>
      <c r="G29" s="2266" t="s">
        <v>4780</v>
      </c>
      <c r="H29" s="2266">
        <v>116170</v>
      </c>
      <c r="I29" s="2266">
        <v>0</v>
      </c>
      <c r="J29" s="2266">
        <v>0</v>
      </c>
      <c r="K29" s="2266">
        <v>0</v>
      </c>
      <c r="L29" s="2266">
        <v>0</v>
      </c>
      <c r="M29" s="2266">
        <v>599</v>
      </c>
    </row>
    <row r="30" spans="1:13" ht="15">
      <c r="A30" s="2266" t="s">
        <v>4005</v>
      </c>
      <c r="B30" s="2465" t="str">
        <f>CONCATENATE(LEFT(RIGHT(CONCATENATE("000",IFAData_TEA_1617!A30),6),3),"-",(RIGHT(RIGHT(CONCATENATE("000",IFAData_TEA_1617!A30),6),3)))</f>
        <v>007-904</v>
      </c>
      <c r="C30" s="2266" t="s">
        <v>1367</v>
      </c>
      <c r="D30" s="2266">
        <v>10</v>
      </c>
      <c r="E30" s="2266">
        <v>2048</v>
      </c>
      <c r="F30" s="2266" t="s">
        <v>4784</v>
      </c>
      <c r="G30" s="2266" t="s">
        <v>4784</v>
      </c>
      <c r="H30" s="2266">
        <v>399219</v>
      </c>
      <c r="I30" s="2266">
        <v>792250</v>
      </c>
      <c r="J30" s="2266">
        <v>1</v>
      </c>
      <c r="K30" s="2266">
        <v>399219</v>
      </c>
      <c r="L30" s="2266">
        <v>399219</v>
      </c>
      <c r="M30" s="2266">
        <v>599</v>
      </c>
    </row>
    <row r="31" spans="1:13" ht="15">
      <c r="A31" s="2266" t="s">
        <v>4006</v>
      </c>
      <c r="B31" s="2465" t="str">
        <f>CONCATENATE(LEFT(RIGHT(CONCATENATE("000",IFAData_TEA_1617!A31),6),3),"-",(RIGHT(RIGHT(CONCATENATE("000",IFAData_TEA_1617!A31),6),3)))</f>
        <v>007-905</v>
      </c>
      <c r="C31" s="2266" t="s">
        <v>1128</v>
      </c>
      <c r="D31" s="2266">
        <v>9</v>
      </c>
      <c r="E31" s="2266">
        <v>2198</v>
      </c>
      <c r="F31" s="2266" t="s">
        <v>4788</v>
      </c>
      <c r="G31" s="2266" t="s">
        <v>7136</v>
      </c>
      <c r="H31" s="2266">
        <v>212024</v>
      </c>
      <c r="I31" s="2266">
        <v>162319</v>
      </c>
      <c r="J31" s="2266">
        <v>0.62288080308832894</v>
      </c>
      <c r="K31" s="2266">
        <v>132065.67939399986</v>
      </c>
      <c r="L31" s="2266">
        <v>132065.67939399986</v>
      </c>
      <c r="M31" s="2266">
        <v>599</v>
      </c>
    </row>
    <row r="32" spans="1:13" ht="15">
      <c r="A32" s="2266" t="s">
        <v>4006</v>
      </c>
      <c r="B32" s="2465" t="str">
        <f>CONCATENATE(LEFT(RIGHT(CONCATENATE("000",IFAData_TEA_1617!A32),6),3),"-",(RIGHT(RIGHT(CONCATENATE("000",IFAData_TEA_1617!A32),6),3)))</f>
        <v>007-905</v>
      </c>
      <c r="C32" s="2266" t="s">
        <v>1128</v>
      </c>
      <c r="D32" s="2266">
        <v>3</v>
      </c>
      <c r="E32" s="2266">
        <v>2200</v>
      </c>
      <c r="F32" s="2266" t="s">
        <v>4785</v>
      </c>
      <c r="G32" s="2266" t="s">
        <v>7135</v>
      </c>
      <c r="H32" s="2266">
        <v>450000</v>
      </c>
      <c r="I32" s="2266">
        <v>238098</v>
      </c>
      <c r="J32" s="2266">
        <v>0.37570178400674092</v>
      </c>
      <c r="K32" s="2266">
        <v>169065.80280303341</v>
      </c>
      <c r="L32" s="2266">
        <v>169065.80280303341</v>
      </c>
      <c r="M32" s="2266">
        <v>599</v>
      </c>
    </row>
    <row r="33" spans="1:13" ht="15">
      <c r="A33" s="2266" t="s">
        <v>4006</v>
      </c>
      <c r="B33" s="2465" t="str">
        <f>CONCATENATE(LEFT(RIGHT(CONCATENATE("000",IFAData_TEA_1617!A33),6),3),"-",(RIGHT(RIGHT(CONCATENATE("000",IFAData_TEA_1617!A33),6),3)))</f>
        <v>007-905</v>
      </c>
      <c r="C33" s="2266" t="s">
        <v>1128</v>
      </c>
      <c r="D33" s="2266">
        <v>6</v>
      </c>
      <c r="E33" s="2266">
        <v>2199</v>
      </c>
      <c r="F33" s="2266" t="s">
        <v>4787</v>
      </c>
      <c r="G33" s="2266" t="s">
        <v>4786</v>
      </c>
      <c r="H33" s="2266">
        <v>406232</v>
      </c>
      <c r="I33" s="2266">
        <v>321132</v>
      </c>
      <c r="J33" s="2266">
        <v>0.43639476813317479</v>
      </c>
      <c r="K33" s="2266">
        <v>177277.51944827585</v>
      </c>
      <c r="L33" s="2266">
        <v>177277.51944827585</v>
      </c>
      <c r="M33" s="2266">
        <v>599</v>
      </c>
    </row>
    <row r="34" spans="1:13" ht="15">
      <c r="A34" s="2266" t="s">
        <v>4006</v>
      </c>
      <c r="B34" s="2465" t="str">
        <f>CONCATENATE(LEFT(RIGHT(CONCATENATE("000",IFAData_TEA_1617!A34),6),3),"-",(RIGHT(RIGHT(CONCATENATE("000",IFAData_TEA_1617!A34),6),3)))</f>
        <v>007-905</v>
      </c>
      <c r="C34" s="2266" t="s">
        <v>1128</v>
      </c>
      <c r="D34" s="2266">
        <v>6</v>
      </c>
      <c r="E34" s="2266">
        <v>2199</v>
      </c>
      <c r="F34" s="2266" t="s">
        <v>4787</v>
      </c>
      <c r="G34" s="2266" t="s">
        <v>7135</v>
      </c>
      <c r="H34" s="2266">
        <v>406232</v>
      </c>
      <c r="I34" s="2266">
        <v>414743</v>
      </c>
      <c r="J34" s="2266">
        <v>0.56360523186682521</v>
      </c>
      <c r="K34" s="2266">
        <v>228954.48055172415</v>
      </c>
      <c r="L34" s="2266">
        <v>228954.48055172415</v>
      </c>
      <c r="M34" s="2266">
        <v>599</v>
      </c>
    </row>
    <row r="35" spans="1:13" ht="15">
      <c r="A35" s="2266" t="s">
        <v>4006</v>
      </c>
      <c r="B35" s="2465" t="str">
        <f>CONCATENATE(LEFT(RIGHT(CONCATENATE("000",IFAData_TEA_1617!A35),6),3),"-",(RIGHT(RIGHT(CONCATENATE("000",IFAData_TEA_1617!A35),6),3)))</f>
        <v>007-905</v>
      </c>
      <c r="C35" s="2266" t="s">
        <v>1128</v>
      </c>
      <c r="D35" s="2266">
        <v>3</v>
      </c>
      <c r="E35" s="2266">
        <v>2200</v>
      </c>
      <c r="F35" s="2266" t="s">
        <v>4785</v>
      </c>
      <c r="G35" s="2266" t="s">
        <v>4785</v>
      </c>
      <c r="H35" s="2266">
        <v>450000</v>
      </c>
      <c r="I35" s="2266">
        <v>0</v>
      </c>
      <c r="J35" s="2266">
        <v>0</v>
      </c>
      <c r="K35" s="2266">
        <v>0</v>
      </c>
      <c r="L35" s="2266">
        <v>0</v>
      </c>
      <c r="M35" s="2266">
        <v>599</v>
      </c>
    </row>
    <row r="36" spans="1:13" ht="15">
      <c r="A36" s="2266" t="s">
        <v>4006</v>
      </c>
      <c r="B36" s="2465" t="str">
        <f>CONCATENATE(LEFT(RIGHT(CONCATENATE("000",IFAData_TEA_1617!A36),6),3),"-",(RIGHT(RIGHT(CONCATENATE("000",IFAData_TEA_1617!A36),6),3)))</f>
        <v>007-905</v>
      </c>
      <c r="C36" s="2266" t="s">
        <v>1128</v>
      </c>
      <c r="D36" s="2266">
        <v>9</v>
      </c>
      <c r="E36" s="2266">
        <v>2198</v>
      </c>
      <c r="F36" s="2266" t="s">
        <v>4788</v>
      </c>
      <c r="G36" s="2266" t="s">
        <v>4788</v>
      </c>
      <c r="H36" s="2266">
        <v>212024</v>
      </c>
      <c r="I36" s="2266">
        <v>98275</v>
      </c>
      <c r="J36" s="2266">
        <v>0.37711919691167101</v>
      </c>
      <c r="K36" s="2266">
        <v>79958.320606000139</v>
      </c>
      <c r="L36" s="2266">
        <v>79958.320606000139</v>
      </c>
      <c r="M36" s="2266">
        <v>599</v>
      </c>
    </row>
    <row r="37" spans="1:13" ht="15">
      <c r="A37" s="2266" t="s">
        <v>4006</v>
      </c>
      <c r="B37" s="2465" t="str">
        <f>CONCATENATE(LEFT(RIGHT(CONCATENATE("000",IFAData_TEA_1617!A37),6),3),"-",(RIGHT(RIGHT(CONCATENATE("000",IFAData_TEA_1617!A37),6),3)))</f>
        <v>007-905</v>
      </c>
      <c r="C37" s="2266" t="s">
        <v>1128</v>
      </c>
      <c r="D37" s="2266">
        <v>3</v>
      </c>
      <c r="E37" s="2266">
        <v>2200</v>
      </c>
      <c r="F37" s="2266" t="s">
        <v>4785</v>
      </c>
      <c r="G37" s="2266" t="s">
        <v>4786</v>
      </c>
      <c r="H37" s="2266">
        <v>450000</v>
      </c>
      <c r="I37" s="2266">
        <v>395644</v>
      </c>
      <c r="J37" s="2266">
        <v>0.62429821599325908</v>
      </c>
      <c r="K37" s="2266">
        <v>280934.19719696656</v>
      </c>
      <c r="L37" s="2266">
        <v>280934.19719696656</v>
      </c>
      <c r="M37" s="2266">
        <v>599</v>
      </c>
    </row>
    <row r="38" spans="1:13" ht="15">
      <c r="A38" s="2266" t="s">
        <v>4006</v>
      </c>
      <c r="B38" s="2465" t="str">
        <f>CONCATENATE(LEFT(RIGHT(CONCATENATE("000",IFAData_TEA_1617!A38),6),3),"-",(RIGHT(RIGHT(CONCATENATE("000",IFAData_TEA_1617!A38),6),3)))</f>
        <v>007-905</v>
      </c>
      <c r="C38" s="2266" t="s">
        <v>1128</v>
      </c>
      <c r="D38" s="2266">
        <v>6</v>
      </c>
      <c r="E38" s="2266">
        <v>2199</v>
      </c>
      <c r="F38" s="2266" t="s">
        <v>4787</v>
      </c>
      <c r="G38" s="2266" t="s">
        <v>4787</v>
      </c>
      <c r="H38" s="2266">
        <v>406232</v>
      </c>
      <c r="I38" s="2266">
        <v>0</v>
      </c>
      <c r="J38" s="2266">
        <v>0</v>
      </c>
      <c r="K38" s="2266">
        <v>0</v>
      </c>
      <c r="L38" s="2266">
        <v>0</v>
      </c>
      <c r="M38" s="2266">
        <v>599</v>
      </c>
    </row>
    <row r="39" spans="1:13" ht="15">
      <c r="A39" s="2266" t="s">
        <v>4007</v>
      </c>
      <c r="B39" s="2465" t="str">
        <f>CONCATENATE(LEFT(RIGHT(CONCATENATE("000",IFAData_TEA_1617!A39),6),3),"-",(RIGHT(RIGHT(CONCATENATE("000",IFAData_TEA_1617!A39),6),3)))</f>
        <v>007-906</v>
      </c>
      <c r="C39" s="2266" t="s">
        <v>1131</v>
      </c>
      <c r="D39" s="2266">
        <v>5</v>
      </c>
      <c r="E39" s="2266">
        <v>2205</v>
      </c>
      <c r="F39" s="2266" t="s">
        <v>4789</v>
      </c>
      <c r="G39" s="2266" t="s">
        <v>4789</v>
      </c>
      <c r="H39" s="2266">
        <v>362375</v>
      </c>
      <c r="I39" s="2266">
        <v>0</v>
      </c>
      <c r="J39" s="2266">
        <v>0</v>
      </c>
      <c r="K39" s="2266">
        <v>0</v>
      </c>
      <c r="L39" s="2266">
        <v>0</v>
      </c>
      <c r="M39" s="2266">
        <v>599</v>
      </c>
    </row>
    <row r="40" spans="1:13" ht="15">
      <c r="A40" s="2266" t="s">
        <v>4007</v>
      </c>
      <c r="B40" s="2465" t="str">
        <f>CONCATENATE(LEFT(RIGHT(CONCATENATE("000",IFAData_TEA_1617!A40),6),3),"-",(RIGHT(RIGHT(CONCATENATE("000",IFAData_TEA_1617!A40),6),3)))</f>
        <v>007-906</v>
      </c>
      <c r="C40" s="2266" t="s">
        <v>1131</v>
      </c>
      <c r="D40" s="2266">
        <v>8</v>
      </c>
      <c r="E40" s="2266">
        <v>2204</v>
      </c>
      <c r="F40" s="2266" t="s">
        <v>4790</v>
      </c>
      <c r="G40" s="2266" t="s">
        <v>4790</v>
      </c>
      <c r="H40" s="2266">
        <v>308669</v>
      </c>
      <c r="I40" s="2266">
        <v>235825</v>
      </c>
      <c r="J40" s="2266">
        <v>0.62384760473735312</v>
      </c>
      <c r="K40" s="2266">
        <v>192562.41630667404</v>
      </c>
      <c r="L40" s="2266">
        <v>192562.41630667404</v>
      </c>
      <c r="M40" s="2266">
        <v>599</v>
      </c>
    </row>
    <row r="41" spans="1:13" ht="15">
      <c r="A41" s="2266" t="s">
        <v>4007</v>
      </c>
      <c r="B41" s="2465" t="str">
        <f>CONCATENATE(LEFT(RIGHT(CONCATENATE("000",IFAData_TEA_1617!A41),6),3),"-",(RIGHT(RIGHT(CONCATENATE("000",IFAData_TEA_1617!A41),6),3)))</f>
        <v>007-906</v>
      </c>
      <c r="C41" s="2266" t="s">
        <v>1131</v>
      </c>
      <c r="D41" s="2266">
        <v>8</v>
      </c>
      <c r="E41" s="2266">
        <v>2204</v>
      </c>
      <c r="F41" s="2266" t="s">
        <v>4790</v>
      </c>
      <c r="G41" s="2266" t="s">
        <v>7604</v>
      </c>
      <c r="H41" s="2266">
        <v>308669</v>
      </c>
      <c r="I41" s="2266">
        <v>75331</v>
      </c>
      <c r="J41" s="2266">
        <v>0.19927939748741458</v>
      </c>
      <c r="K41" s="2266">
        <v>61511.372343042771</v>
      </c>
      <c r="L41" s="2266">
        <v>61511.372343042771</v>
      </c>
      <c r="M41" s="2266">
        <v>599</v>
      </c>
    </row>
    <row r="42" spans="1:13" ht="15">
      <c r="A42" s="2266" t="s">
        <v>4007</v>
      </c>
      <c r="B42" s="2465" t="str">
        <f>CONCATENATE(LEFT(RIGHT(CONCATENATE("000",IFAData_TEA_1617!A42),6),3),"-",(RIGHT(RIGHT(CONCATENATE("000",IFAData_TEA_1617!A42),6),3)))</f>
        <v>007-906</v>
      </c>
      <c r="C42" s="2266" t="s">
        <v>1131</v>
      </c>
      <c r="D42" s="2266">
        <v>6</v>
      </c>
      <c r="E42" s="2266">
        <v>2203</v>
      </c>
      <c r="F42" s="2266" t="s">
        <v>4791</v>
      </c>
      <c r="G42" s="2266" t="s">
        <v>7137</v>
      </c>
      <c r="H42" s="2266">
        <v>28625</v>
      </c>
      <c r="I42" s="2266">
        <v>28629</v>
      </c>
      <c r="J42" s="2266">
        <v>1</v>
      </c>
      <c r="K42" s="2266">
        <v>28625</v>
      </c>
      <c r="L42" s="2266">
        <v>28625</v>
      </c>
      <c r="M42" s="2266">
        <v>599</v>
      </c>
    </row>
    <row r="43" spans="1:13" ht="15">
      <c r="A43" s="2266" t="s">
        <v>4007</v>
      </c>
      <c r="B43" s="2465" t="str">
        <f>CONCATENATE(LEFT(RIGHT(CONCATENATE("000",IFAData_TEA_1617!A43),6),3),"-",(RIGHT(RIGHT(CONCATENATE("000",IFAData_TEA_1617!A43),6),3)))</f>
        <v>007-906</v>
      </c>
      <c r="C43" s="2266" t="s">
        <v>1131</v>
      </c>
      <c r="D43" s="2266">
        <v>5</v>
      </c>
      <c r="E43" s="2266">
        <v>2205</v>
      </c>
      <c r="F43" s="2266" t="s">
        <v>4789</v>
      </c>
      <c r="G43" s="2266" t="s">
        <v>7604</v>
      </c>
      <c r="H43" s="2266">
        <v>362375</v>
      </c>
      <c r="I43" s="2266">
        <v>116168</v>
      </c>
      <c r="J43" s="2266">
        <v>0.24902089822271858</v>
      </c>
      <c r="K43" s="2266">
        <v>90238.947993457652</v>
      </c>
      <c r="L43" s="2266">
        <v>90238.947993457652</v>
      </c>
      <c r="M43" s="2266">
        <v>599</v>
      </c>
    </row>
    <row r="44" spans="1:13" ht="15">
      <c r="A44" s="2266" t="s">
        <v>4007</v>
      </c>
      <c r="B44" s="2465" t="str">
        <f>CONCATENATE(LEFT(RIGHT(CONCATENATE("000",IFAData_TEA_1617!A44),6),3),"-",(RIGHT(RIGHT(CONCATENATE("000",IFAData_TEA_1617!A44),6),3)))</f>
        <v>007-906</v>
      </c>
      <c r="C44" s="2266" t="s">
        <v>1131</v>
      </c>
      <c r="D44" s="2266">
        <v>6</v>
      </c>
      <c r="E44" s="2266">
        <v>2203</v>
      </c>
      <c r="F44" s="2266" t="s">
        <v>4791</v>
      </c>
      <c r="G44" s="2266" t="s">
        <v>4791</v>
      </c>
      <c r="H44" s="2266">
        <v>28625</v>
      </c>
      <c r="I44" s="2266">
        <v>0</v>
      </c>
      <c r="J44" s="2266">
        <v>0</v>
      </c>
      <c r="K44" s="2266">
        <v>0</v>
      </c>
      <c r="L44" s="2266">
        <v>0</v>
      </c>
      <c r="M44" s="2266">
        <v>599</v>
      </c>
    </row>
    <row r="45" spans="1:13" ht="15">
      <c r="A45" s="2266" t="s">
        <v>4007</v>
      </c>
      <c r="B45" s="2465" t="str">
        <f>CONCATENATE(LEFT(RIGHT(CONCATENATE("000",IFAData_TEA_1617!A45),6),3),"-",(RIGHT(RIGHT(CONCATENATE("000",IFAData_TEA_1617!A45),6),3)))</f>
        <v>007-906</v>
      </c>
      <c r="C45" s="2266" t="s">
        <v>1131</v>
      </c>
      <c r="D45" s="2266">
        <v>5</v>
      </c>
      <c r="E45" s="2266">
        <v>2205</v>
      </c>
      <c r="F45" s="2266" t="s">
        <v>4789</v>
      </c>
      <c r="G45" s="2266" t="s">
        <v>7137</v>
      </c>
      <c r="H45" s="2266">
        <v>362375</v>
      </c>
      <c r="I45" s="2266">
        <v>77385</v>
      </c>
      <c r="J45" s="2266">
        <v>0.16588459996698815</v>
      </c>
      <c r="K45" s="2266">
        <v>60112.431913037333</v>
      </c>
      <c r="L45" s="2266">
        <v>60112.431913037333</v>
      </c>
      <c r="M45" s="2266">
        <v>599</v>
      </c>
    </row>
    <row r="46" spans="1:13" ht="15">
      <c r="A46" s="2266" t="s">
        <v>4007</v>
      </c>
      <c r="B46" s="2465" t="str">
        <f>CONCATENATE(LEFT(RIGHT(CONCATENATE("000",IFAData_TEA_1617!A46),6),3),"-",(RIGHT(RIGHT(CONCATENATE("000",IFAData_TEA_1617!A46),6),3)))</f>
        <v>007-906</v>
      </c>
      <c r="C46" s="2266" t="s">
        <v>1131</v>
      </c>
      <c r="D46" s="2266">
        <v>5</v>
      </c>
      <c r="E46" s="2266">
        <v>2205</v>
      </c>
      <c r="F46" s="2266" t="s">
        <v>4789</v>
      </c>
      <c r="G46" s="2266" t="s">
        <v>4790</v>
      </c>
      <c r="H46" s="2266">
        <v>362375</v>
      </c>
      <c r="I46" s="2266">
        <v>272946</v>
      </c>
      <c r="J46" s="2266">
        <v>0.58509450181029332</v>
      </c>
      <c r="K46" s="2266">
        <v>212023.62009350504</v>
      </c>
      <c r="L46" s="2266">
        <v>212023.62009350504</v>
      </c>
      <c r="M46" s="2266">
        <v>599</v>
      </c>
    </row>
    <row r="47" spans="1:13" ht="15">
      <c r="A47" s="2266" t="s">
        <v>4007</v>
      </c>
      <c r="B47" s="2465" t="str">
        <f>CONCATENATE(LEFT(RIGHT(CONCATENATE("000",IFAData_TEA_1617!A47),6),3),"-",(RIGHT(RIGHT(CONCATENATE("000",IFAData_TEA_1617!A47),6),3)))</f>
        <v>007-906</v>
      </c>
      <c r="C47" s="2266" t="s">
        <v>1131</v>
      </c>
      <c r="D47" s="2266">
        <v>8</v>
      </c>
      <c r="E47" s="2266">
        <v>2204</v>
      </c>
      <c r="F47" s="2266" t="s">
        <v>4790</v>
      </c>
      <c r="G47" s="2266" t="s">
        <v>7137</v>
      </c>
      <c r="H47" s="2266">
        <v>308669</v>
      </c>
      <c r="I47" s="2266">
        <v>66861</v>
      </c>
      <c r="J47" s="2266">
        <v>0.17687299777523233</v>
      </c>
      <c r="K47" s="2266">
        <v>54595.211350283185</v>
      </c>
      <c r="L47" s="2266">
        <v>54595.211350283185</v>
      </c>
      <c r="M47" s="2266">
        <v>599</v>
      </c>
    </row>
    <row r="48" spans="1:13" ht="15">
      <c r="A48" s="2266" t="s">
        <v>4008</v>
      </c>
      <c r="B48" s="2465" t="str">
        <f>CONCATENATE(LEFT(RIGHT(CONCATENATE("000",IFAData_TEA_1617!A48),6),3),"-",(RIGHT(RIGHT(CONCATENATE("000",IFAData_TEA_1617!A48),6),3)))</f>
        <v>009-901</v>
      </c>
      <c r="C48" s="2266" t="s">
        <v>1371</v>
      </c>
      <c r="D48" s="2266">
        <v>9</v>
      </c>
      <c r="E48" s="2266">
        <v>2123</v>
      </c>
      <c r="F48" s="2266" t="s">
        <v>4792</v>
      </c>
      <c r="G48" s="2266" t="s">
        <v>4792</v>
      </c>
      <c r="H48" s="2266">
        <v>263987</v>
      </c>
      <c r="I48" s="2266">
        <v>267286</v>
      </c>
      <c r="J48" s="2266">
        <v>1</v>
      </c>
      <c r="K48" s="2266">
        <v>263987</v>
      </c>
      <c r="L48" s="2266">
        <v>263987</v>
      </c>
      <c r="M48" s="2266">
        <v>599</v>
      </c>
    </row>
    <row r="49" spans="1:13" ht="15">
      <c r="A49" s="2266" t="s">
        <v>4009</v>
      </c>
      <c r="B49" s="2465" t="str">
        <f>CONCATENATE(LEFT(RIGHT(CONCATENATE("000",IFAData_TEA_1617!A49),6),3),"-",(RIGHT(RIGHT(CONCATENATE("000",IFAData_TEA_1617!A49),6),3)))</f>
        <v>010-902</v>
      </c>
      <c r="C49" s="2266" t="s">
        <v>2431</v>
      </c>
      <c r="D49" s="2266">
        <v>6</v>
      </c>
      <c r="E49" s="2266">
        <v>1591</v>
      </c>
      <c r="F49" s="2266" t="s">
        <v>4793</v>
      </c>
      <c r="G49" s="2266" t="s">
        <v>4793</v>
      </c>
      <c r="H49" s="2266">
        <v>691574</v>
      </c>
      <c r="I49" s="2266">
        <v>0</v>
      </c>
      <c r="J49" s="2266">
        <v>0</v>
      </c>
      <c r="K49" s="2266">
        <v>0</v>
      </c>
      <c r="L49" s="2266">
        <v>0</v>
      </c>
      <c r="M49" s="2266">
        <v>599</v>
      </c>
    </row>
    <row r="50" spans="1:13" ht="15">
      <c r="A50" s="2266" t="s">
        <v>4009</v>
      </c>
      <c r="B50" s="2465" t="str">
        <f>CONCATENATE(LEFT(RIGHT(CONCATENATE("000",IFAData_TEA_1617!A50),6),3),"-",(RIGHT(RIGHT(CONCATENATE("000",IFAData_TEA_1617!A50),6),3)))</f>
        <v>010-902</v>
      </c>
      <c r="C50" s="2266" t="s">
        <v>2431</v>
      </c>
      <c r="D50" s="2266">
        <v>6</v>
      </c>
      <c r="E50" s="2266">
        <v>1591</v>
      </c>
      <c r="F50" s="2266" t="s">
        <v>4793</v>
      </c>
      <c r="G50" s="2266" t="s">
        <v>4794</v>
      </c>
      <c r="H50" s="2266">
        <v>691574</v>
      </c>
      <c r="I50" s="2266">
        <v>1255030</v>
      </c>
      <c r="J50" s="2266">
        <v>1</v>
      </c>
      <c r="K50" s="2266">
        <v>691574</v>
      </c>
      <c r="L50" s="2266">
        <v>691574</v>
      </c>
      <c r="M50" s="2266">
        <v>599</v>
      </c>
    </row>
    <row r="51" spans="1:13" ht="15">
      <c r="A51" s="2266" t="s">
        <v>4010</v>
      </c>
      <c r="B51" s="2465" t="str">
        <f>CONCATENATE(LEFT(RIGHT(CONCATENATE("000",IFAData_TEA_1617!A51),6),3),"-",(RIGHT(RIGHT(CONCATENATE("000",IFAData_TEA_1617!A51),6),3)))</f>
        <v>011-901</v>
      </c>
      <c r="C51" s="2266" t="s">
        <v>2433</v>
      </c>
      <c r="D51" s="2266">
        <v>9</v>
      </c>
      <c r="E51" s="2266">
        <v>1595</v>
      </c>
      <c r="F51" s="2266" t="s">
        <v>4799</v>
      </c>
      <c r="G51" s="2266" t="s">
        <v>6902</v>
      </c>
      <c r="H51" s="2266">
        <v>1091461</v>
      </c>
      <c r="I51" s="2266">
        <v>915001</v>
      </c>
      <c r="J51" s="2266">
        <v>0.59434791984950996</v>
      </c>
      <c r="K51" s="2266">
        <v>648707.57494686602</v>
      </c>
      <c r="L51" s="2266">
        <v>648707.57494686602</v>
      </c>
      <c r="M51" s="2266">
        <v>599</v>
      </c>
    </row>
    <row r="52" spans="1:13" ht="15">
      <c r="A52" s="2266" t="s">
        <v>4010</v>
      </c>
      <c r="B52" s="2465" t="str">
        <f>CONCATENATE(LEFT(RIGHT(CONCATENATE("000",IFAData_TEA_1617!A52),6),3),"-",(RIGHT(RIGHT(CONCATENATE("000",IFAData_TEA_1617!A52),6),3)))</f>
        <v>011-901</v>
      </c>
      <c r="C52" s="2266" t="s">
        <v>2433</v>
      </c>
      <c r="D52" s="2266">
        <v>10</v>
      </c>
      <c r="E52" s="2266">
        <v>1597</v>
      </c>
      <c r="F52" s="2266" t="s">
        <v>4803</v>
      </c>
      <c r="G52" s="2266" t="s">
        <v>7139</v>
      </c>
      <c r="H52" s="2266">
        <v>2083922</v>
      </c>
      <c r="I52" s="2266">
        <v>326200</v>
      </c>
      <c r="J52" s="2266">
        <v>0.15257356810267611</v>
      </c>
      <c r="K52" s="2266">
        <v>317951.41518766503</v>
      </c>
      <c r="L52" s="2266">
        <v>317951.41518766503</v>
      </c>
      <c r="M52" s="2266">
        <v>599</v>
      </c>
    </row>
    <row r="53" spans="1:13" ht="15">
      <c r="A53" s="2266" t="s">
        <v>4010</v>
      </c>
      <c r="B53" s="2465" t="str">
        <f>CONCATENATE(LEFT(RIGHT(CONCATENATE("000",IFAData_TEA_1617!A53),6),3),"-",(RIGHT(RIGHT(CONCATENATE("000",IFAData_TEA_1617!A53),6),3)))</f>
        <v>011-901</v>
      </c>
      <c r="C53" s="2266" t="s">
        <v>2433</v>
      </c>
      <c r="D53" s="2266">
        <v>9</v>
      </c>
      <c r="E53" s="2266">
        <v>1595</v>
      </c>
      <c r="F53" s="2266" t="s">
        <v>4799</v>
      </c>
      <c r="G53" s="2266" t="s">
        <v>7138</v>
      </c>
      <c r="H53" s="2266">
        <v>1091461</v>
      </c>
      <c r="I53" s="2266">
        <v>18889</v>
      </c>
      <c r="J53" s="2266">
        <v>1.2269536162296427E-2</v>
      </c>
      <c r="K53" s="2266">
        <v>13391.72020923622</v>
      </c>
      <c r="L53" s="2266">
        <v>13391.72020923622</v>
      </c>
      <c r="M53" s="2266">
        <v>599</v>
      </c>
    </row>
    <row r="54" spans="1:13" ht="15">
      <c r="A54" s="2266" t="s">
        <v>4010</v>
      </c>
      <c r="B54" s="2465" t="str">
        <f>CONCATENATE(LEFT(RIGHT(CONCATENATE("000",IFAData_TEA_1617!A54),6),3),"-",(RIGHT(RIGHT(CONCATENATE("000",IFAData_TEA_1617!A54),6),3)))</f>
        <v>011-901</v>
      </c>
      <c r="C54" s="2266" t="s">
        <v>2433</v>
      </c>
      <c r="D54" s="2266">
        <v>3</v>
      </c>
      <c r="E54" s="2266">
        <v>1596</v>
      </c>
      <c r="F54" s="2266" t="s">
        <v>4795</v>
      </c>
      <c r="G54" s="2266" t="s">
        <v>4795</v>
      </c>
      <c r="H54" s="2266">
        <v>1423475</v>
      </c>
      <c r="I54" s="2266">
        <v>2730925</v>
      </c>
      <c r="J54" s="2266">
        <v>0.7811521208962644</v>
      </c>
      <c r="K54" s="2266">
        <v>1111950.51529281</v>
      </c>
      <c r="L54" s="2266">
        <v>1111950.51529281</v>
      </c>
      <c r="M54" s="2266">
        <v>599</v>
      </c>
    </row>
    <row r="55" spans="1:13" ht="15">
      <c r="A55" s="2266" t="s">
        <v>4010</v>
      </c>
      <c r="B55" s="2465" t="str">
        <f>CONCATENATE(LEFT(RIGHT(CONCATENATE("000",IFAData_TEA_1617!A55),6),3),"-",(RIGHT(RIGHT(CONCATENATE("000",IFAData_TEA_1617!A55),6),3)))</f>
        <v>011-901</v>
      </c>
      <c r="C55" s="2266" t="s">
        <v>2433</v>
      </c>
      <c r="D55" s="2266">
        <v>3</v>
      </c>
      <c r="E55" s="2266">
        <v>1596</v>
      </c>
      <c r="F55" s="2266" t="s">
        <v>4795</v>
      </c>
      <c r="G55" s="2266" t="s">
        <v>6902</v>
      </c>
      <c r="H55" s="2266">
        <v>1423475</v>
      </c>
      <c r="I55" s="2266">
        <v>56682</v>
      </c>
      <c r="J55" s="2266">
        <v>1.6213284699009331E-2</v>
      </c>
      <c r="K55" s="2266">
        <v>23079.205436922308</v>
      </c>
      <c r="L55" s="2266">
        <v>23079.205436922308</v>
      </c>
      <c r="M55" s="2266">
        <v>599</v>
      </c>
    </row>
    <row r="56" spans="1:13" ht="15">
      <c r="A56" s="2266" t="s">
        <v>4010</v>
      </c>
      <c r="B56" s="2465" t="str">
        <f>CONCATENATE(LEFT(RIGHT(CONCATENATE("000",IFAData_TEA_1617!A56),6),3),"-",(RIGHT(RIGHT(CONCATENATE("000",IFAData_TEA_1617!A56),6),3)))</f>
        <v>011-901</v>
      </c>
      <c r="C56" s="2266" t="s">
        <v>2433</v>
      </c>
      <c r="D56" s="2266">
        <v>3</v>
      </c>
      <c r="E56" s="2266">
        <v>1596</v>
      </c>
      <c r="F56" s="2266" t="s">
        <v>4795</v>
      </c>
      <c r="G56" s="2266" t="s">
        <v>4797</v>
      </c>
      <c r="H56" s="2266">
        <v>1423475</v>
      </c>
      <c r="I56" s="2266">
        <v>0</v>
      </c>
      <c r="J56" s="2266">
        <v>0</v>
      </c>
      <c r="K56" s="2266">
        <v>0</v>
      </c>
      <c r="L56" s="2266">
        <v>0</v>
      </c>
      <c r="M56" s="2266">
        <v>599</v>
      </c>
    </row>
    <row r="57" spans="1:13" ht="15">
      <c r="A57" s="2266" t="s">
        <v>4010</v>
      </c>
      <c r="B57" s="2465" t="str">
        <f>CONCATENATE(LEFT(RIGHT(CONCATENATE("000",IFAData_TEA_1617!A57),6),3),"-",(RIGHT(RIGHT(CONCATENATE("000",IFAData_TEA_1617!A57),6),3)))</f>
        <v>011-901</v>
      </c>
      <c r="C57" s="2266" t="s">
        <v>2433</v>
      </c>
      <c r="D57" s="2266">
        <v>9</v>
      </c>
      <c r="E57" s="2266">
        <v>1594</v>
      </c>
      <c r="F57" s="2266" t="s">
        <v>4801</v>
      </c>
      <c r="G57" s="2266" t="s">
        <v>4801</v>
      </c>
      <c r="H57" s="2266">
        <v>871791</v>
      </c>
      <c r="I57" s="2266">
        <v>155839</v>
      </c>
      <c r="J57" s="2266">
        <v>0.12173143454823397</v>
      </c>
      <c r="K57" s="2266">
        <v>106124.36905623945</v>
      </c>
      <c r="L57" s="2266">
        <v>106124.36905623945</v>
      </c>
      <c r="M57" s="2266">
        <v>599</v>
      </c>
    </row>
    <row r="58" spans="1:13" ht="15">
      <c r="A58" s="2266" t="s">
        <v>4010</v>
      </c>
      <c r="B58" s="2465" t="str">
        <f>CONCATENATE(LEFT(RIGHT(CONCATENATE("000",IFAData_TEA_1617!A58),6),3),"-",(RIGHT(RIGHT(CONCATENATE("000",IFAData_TEA_1617!A58),6),3)))</f>
        <v>011-901</v>
      </c>
      <c r="C58" s="2266" t="s">
        <v>2433</v>
      </c>
      <c r="D58" s="2266">
        <v>10</v>
      </c>
      <c r="E58" s="2266">
        <v>1597</v>
      </c>
      <c r="F58" s="2266" t="s">
        <v>4803</v>
      </c>
      <c r="G58" s="2266" t="s">
        <v>4803</v>
      </c>
      <c r="H58" s="2266">
        <v>2083922</v>
      </c>
      <c r="I58" s="2266">
        <v>1811785</v>
      </c>
      <c r="J58" s="2266">
        <v>0.84742643189732392</v>
      </c>
      <c r="K58" s="2266">
        <v>1765970.584812335</v>
      </c>
      <c r="L58" s="2266">
        <v>1765970.584812335</v>
      </c>
      <c r="M58" s="2266">
        <v>599</v>
      </c>
    </row>
    <row r="59" spans="1:13" ht="15">
      <c r="A59" s="2266" t="s">
        <v>4010</v>
      </c>
      <c r="B59" s="2465" t="str">
        <f>CONCATENATE(LEFT(RIGHT(CONCATENATE("000",IFAData_TEA_1617!A59),6),3),"-",(RIGHT(RIGHT(CONCATENATE("000",IFAData_TEA_1617!A59),6),3)))</f>
        <v>011-901</v>
      </c>
      <c r="C59" s="2266" t="s">
        <v>2433</v>
      </c>
      <c r="D59" s="2266">
        <v>9</v>
      </c>
      <c r="E59" s="2266">
        <v>1594</v>
      </c>
      <c r="F59" s="2266" t="s">
        <v>4801</v>
      </c>
      <c r="G59" s="2266" t="s">
        <v>6903</v>
      </c>
      <c r="H59" s="2266">
        <v>871791</v>
      </c>
      <c r="I59" s="2266">
        <v>1124348</v>
      </c>
      <c r="J59" s="2266">
        <v>0.87826856545176601</v>
      </c>
      <c r="K59" s="2266">
        <v>765666.63094376051</v>
      </c>
      <c r="L59" s="2266">
        <v>765666.63094376051</v>
      </c>
      <c r="M59" s="2266">
        <v>599</v>
      </c>
    </row>
    <row r="60" spans="1:13" ht="15">
      <c r="A60" s="2266" t="s">
        <v>4010</v>
      </c>
      <c r="B60" s="2465" t="str">
        <f>CONCATENATE(LEFT(RIGHT(CONCATENATE("000",IFAData_TEA_1617!A60),6),3),"-",(RIGHT(RIGHT(CONCATENATE("000",IFAData_TEA_1617!A60),6),3)))</f>
        <v>011-901</v>
      </c>
      <c r="C60" s="2266" t="s">
        <v>2433</v>
      </c>
      <c r="D60" s="2266">
        <v>3</v>
      </c>
      <c r="E60" s="2266">
        <v>1596</v>
      </c>
      <c r="F60" s="2266" t="s">
        <v>4795</v>
      </c>
      <c r="G60" s="2266" t="s">
        <v>4798</v>
      </c>
      <c r="H60" s="2266">
        <v>1423475</v>
      </c>
      <c r="I60" s="2266">
        <v>703727</v>
      </c>
      <c r="J60" s="2266">
        <v>0.2012936417448174</v>
      </c>
      <c r="K60" s="2266">
        <v>286536.46668270393</v>
      </c>
      <c r="L60" s="2266">
        <v>286536.46668270393</v>
      </c>
      <c r="M60" s="2266">
        <v>599</v>
      </c>
    </row>
    <row r="61" spans="1:13" ht="15">
      <c r="A61" s="2266" t="s">
        <v>4010</v>
      </c>
      <c r="B61" s="2465" t="str">
        <f>CONCATENATE(LEFT(RIGHT(CONCATENATE("000",IFAData_TEA_1617!A61),6),3),"-",(RIGHT(RIGHT(CONCATENATE("000",IFAData_TEA_1617!A61),6),3)))</f>
        <v>011-901</v>
      </c>
      <c r="C61" s="2266" t="s">
        <v>2433</v>
      </c>
      <c r="D61" s="2266">
        <v>9</v>
      </c>
      <c r="E61" s="2266">
        <v>1595</v>
      </c>
      <c r="F61" s="2266" t="s">
        <v>4799</v>
      </c>
      <c r="G61" s="2266" t="s">
        <v>6901</v>
      </c>
      <c r="H61" s="2266">
        <v>1091461</v>
      </c>
      <c r="I61" s="2266">
        <v>260306</v>
      </c>
      <c r="J61" s="2266">
        <v>0.16908432845903615</v>
      </c>
      <c r="K61" s="2266">
        <v>184548.95022422806</v>
      </c>
      <c r="L61" s="2266">
        <v>184548.95022422806</v>
      </c>
      <c r="M61" s="2266">
        <v>599</v>
      </c>
    </row>
    <row r="62" spans="1:13" ht="15">
      <c r="A62" s="2266" t="s">
        <v>4010</v>
      </c>
      <c r="B62" s="2465" t="str">
        <f>CONCATENATE(LEFT(RIGHT(CONCATENATE("000",IFAData_TEA_1617!A62),6),3),"-",(RIGHT(RIGHT(CONCATENATE("000",IFAData_TEA_1617!A62),6),3)))</f>
        <v>011-901</v>
      </c>
      <c r="C62" s="2266" t="s">
        <v>2433</v>
      </c>
      <c r="D62" s="2266">
        <v>9</v>
      </c>
      <c r="E62" s="2266">
        <v>1594</v>
      </c>
      <c r="F62" s="2266" t="s">
        <v>4801</v>
      </c>
      <c r="G62" s="2266" t="s">
        <v>4802</v>
      </c>
      <c r="H62" s="2266">
        <v>871791</v>
      </c>
      <c r="I62" s="2266">
        <v>0</v>
      </c>
      <c r="J62" s="2266">
        <v>0</v>
      </c>
      <c r="K62" s="2266">
        <v>0</v>
      </c>
      <c r="L62" s="2266">
        <v>0</v>
      </c>
      <c r="M62" s="2266">
        <v>599</v>
      </c>
    </row>
    <row r="63" spans="1:13" ht="15">
      <c r="A63" s="2266" t="s">
        <v>4010</v>
      </c>
      <c r="B63" s="2465" t="str">
        <f>CONCATENATE(LEFT(RIGHT(CONCATENATE("000",IFAData_TEA_1617!A63),6),3),"-",(RIGHT(RIGHT(CONCATENATE("000",IFAData_TEA_1617!A63),6),3)))</f>
        <v>011-901</v>
      </c>
      <c r="C63" s="2266" t="s">
        <v>2433</v>
      </c>
      <c r="D63" s="2266">
        <v>9</v>
      </c>
      <c r="E63" s="2266">
        <v>1595</v>
      </c>
      <c r="F63" s="2266" t="s">
        <v>4799</v>
      </c>
      <c r="G63" s="2266" t="s">
        <v>4800</v>
      </c>
      <c r="H63" s="2266">
        <v>1091461</v>
      </c>
      <c r="I63" s="2266">
        <v>316688</v>
      </c>
      <c r="J63" s="2266">
        <v>0.20570781238632702</v>
      </c>
      <c r="K63" s="2266">
        <v>224522.05461499287</v>
      </c>
      <c r="L63" s="2266">
        <v>224522.05461499287</v>
      </c>
      <c r="M63" s="2266">
        <v>599</v>
      </c>
    </row>
    <row r="64" spans="1:13" ht="15">
      <c r="A64" s="2266" t="s">
        <v>4010</v>
      </c>
      <c r="B64" s="2465" t="str">
        <f>CONCATENATE(LEFT(RIGHT(CONCATENATE("000",IFAData_TEA_1617!A64),6),3),"-",(RIGHT(RIGHT(CONCATENATE("000",IFAData_TEA_1617!A64),6),3)))</f>
        <v>011-901</v>
      </c>
      <c r="C64" s="2266" t="s">
        <v>2433</v>
      </c>
      <c r="D64" s="2266">
        <v>9</v>
      </c>
      <c r="E64" s="2266">
        <v>1595</v>
      </c>
      <c r="F64" s="2266" t="s">
        <v>4799</v>
      </c>
      <c r="G64" s="2266" t="s">
        <v>4799</v>
      </c>
      <c r="H64" s="2266">
        <v>1091461</v>
      </c>
      <c r="I64" s="2266">
        <v>0</v>
      </c>
      <c r="J64" s="2266">
        <v>0</v>
      </c>
      <c r="K64" s="2266">
        <v>0</v>
      </c>
      <c r="L64" s="2266">
        <v>0</v>
      </c>
      <c r="M64" s="2266">
        <v>599</v>
      </c>
    </row>
    <row r="65" spans="1:13" ht="15">
      <c r="A65" s="2266" t="s">
        <v>4010</v>
      </c>
      <c r="B65" s="2465" t="str">
        <f>CONCATENATE(LEFT(RIGHT(CONCATENATE("000",IFAData_TEA_1617!A65),6),3),"-",(RIGHT(RIGHT(CONCATENATE("000",IFAData_TEA_1617!A65),6),3)))</f>
        <v>011-901</v>
      </c>
      <c r="C65" s="2266" t="s">
        <v>2433</v>
      </c>
      <c r="D65" s="2266">
        <v>3</v>
      </c>
      <c r="E65" s="2266">
        <v>1596</v>
      </c>
      <c r="F65" s="2266" t="s">
        <v>4795</v>
      </c>
      <c r="G65" s="2266" t="s">
        <v>4796</v>
      </c>
      <c r="H65" s="2266">
        <v>1423475</v>
      </c>
      <c r="I65" s="2266">
        <v>0</v>
      </c>
      <c r="J65" s="2266">
        <v>0</v>
      </c>
      <c r="K65" s="2266">
        <v>0</v>
      </c>
      <c r="L65" s="2266">
        <v>0</v>
      </c>
      <c r="M65" s="2266">
        <v>599</v>
      </c>
    </row>
    <row r="66" spans="1:13" ht="15">
      <c r="A66" s="2266" t="s">
        <v>4010</v>
      </c>
      <c r="B66" s="2465" t="str">
        <f>CONCATENATE(LEFT(RIGHT(CONCATENATE("000",IFAData_TEA_1617!A66),6),3),"-",(RIGHT(RIGHT(CONCATENATE("000",IFAData_TEA_1617!A66),6),3)))</f>
        <v>011-901</v>
      </c>
      <c r="C66" s="2266" t="s">
        <v>2433</v>
      </c>
      <c r="D66" s="2266">
        <v>3</v>
      </c>
      <c r="E66" s="2266">
        <v>1596</v>
      </c>
      <c r="F66" s="2266" t="s">
        <v>4795</v>
      </c>
      <c r="G66" s="2266" t="s">
        <v>7138</v>
      </c>
      <c r="H66" s="2266">
        <v>1423475</v>
      </c>
      <c r="I66" s="2266">
        <v>4688</v>
      </c>
      <c r="J66" s="2266">
        <v>1.3409526599088906E-3</v>
      </c>
      <c r="K66" s="2266">
        <v>1908.8125875638082</v>
      </c>
      <c r="L66" s="2266">
        <v>1908.8125875638082</v>
      </c>
      <c r="M66" s="2266">
        <v>599</v>
      </c>
    </row>
    <row r="67" spans="1:13" ht="15">
      <c r="A67" s="2266" t="s">
        <v>4010</v>
      </c>
      <c r="B67" s="2465" t="str">
        <f>CONCATENATE(LEFT(RIGHT(CONCATENATE("000",IFAData_TEA_1617!A67),6),3),"-",(RIGHT(RIGHT(CONCATENATE("000",IFAData_TEA_1617!A67),6),3)))</f>
        <v>011-901</v>
      </c>
      <c r="C67" s="2266" t="s">
        <v>2433</v>
      </c>
      <c r="D67" s="2266">
        <v>9</v>
      </c>
      <c r="E67" s="2266">
        <v>1595</v>
      </c>
      <c r="F67" s="2266" t="s">
        <v>4799</v>
      </c>
      <c r="G67" s="2266" t="s">
        <v>4798</v>
      </c>
      <c r="H67" s="2266">
        <v>1091461</v>
      </c>
      <c r="I67" s="2266">
        <v>28620</v>
      </c>
      <c r="J67" s="2266">
        <v>1.859040314283042E-2</v>
      </c>
      <c r="K67" s="2266">
        <v>20290.700004676833</v>
      </c>
      <c r="L67" s="2266">
        <v>20290.700004676833</v>
      </c>
      <c r="M67" s="2266">
        <v>599</v>
      </c>
    </row>
    <row r="68" spans="1:13" ht="15">
      <c r="A68" s="2266" t="s">
        <v>4011</v>
      </c>
      <c r="B68" s="2465" t="str">
        <f>CONCATENATE(LEFT(RIGHT(CONCATENATE("000",IFAData_TEA_1617!A68),6),3),"-",(RIGHT(RIGHT(CONCATENATE("000",IFAData_TEA_1617!A68),6),3)))</f>
        <v>011-902</v>
      </c>
      <c r="C68" s="2266" t="s">
        <v>1002</v>
      </c>
      <c r="D68" s="2266">
        <v>9</v>
      </c>
      <c r="E68" s="2266">
        <v>1800</v>
      </c>
      <c r="F68" s="2266" t="s">
        <v>4806</v>
      </c>
      <c r="G68" s="2266" t="s">
        <v>4808</v>
      </c>
      <c r="H68" s="2266">
        <v>945091</v>
      </c>
      <c r="I68" s="2266">
        <v>321865</v>
      </c>
      <c r="J68" s="2266">
        <v>0.12763314111598154</v>
      </c>
      <c r="K68" s="2266">
        <v>120624.9329704441</v>
      </c>
      <c r="L68" s="2266">
        <v>120624.9329704441</v>
      </c>
      <c r="M68" s="2266">
        <v>599</v>
      </c>
    </row>
    <row r="69" spans="1:13" ht="15">
      <c r="A69" s="2266" t="s">
        <v>4011</v>
      </c>
      <c r="B69" s="2465" t="str">
        <f>CONCATENATE(LEFT(RIGHT(CONCATENATE("000",IFAData_TEA_1617!A69),6),3),"-",(RIGHT(RIGHT(CONCATENATE("000",IFAData_TEA_1617!A69),6),3)))</f>
        <v>011-902</v>
      </c>
      <c r="C69" s="2266" t="s">
        <v>1002</v>
      </c>
      <c r="D69" s="2266">
        <v>9</v>
      </c>
      <c r="E69" s="2266">
        <v>1800</v>
      </c>
      <c r="F69" s="2266" t="s">
        <v>4806</v>
      </c>
      <c r="G69" s="2266" t="s">
        <v>4806</v>
      </c>
      <c r="H69" s="2266">
        <v>945091</v>
      </c>
      <c r="I69" s="2266">
        <v>2005243</v>
      </c>
      <c r="J69" s="2266">
        <v>0.79516400599889447</v>
      </c>
      <c r="K69" s="2266">
        <v>751502.34559350123</v>
      </c>
      <c r="L69" s="2266">
        <v>751502.34559350123</v>
      </c>
      <c r="M69" s="2266">
        <v>599</v>
      </c>
    </row>
    <row r="70" spans="1:13" ht="15">
      <c r="A70" s="2266" t="s">
        <v>4011</v>
      </c>
      <c r="B70" s="2465" t="str">
        <f>CONCATENATE(LEFT(RIGHT(CONCATENATE("000",IFAData_TEA_1617!A70),6),3),"-",(RIGHT(RIGHT(CONCATENATE("000",IFAData_TEA_1617!A70),6),3)))</f>
        <v>011-902</v>
      </c>
      <c r="C70" s="2266" t="s">
        <v>1002</v>
      </c>
      <c r="D70" s="2266">
        <v>1</v>
      </c>
      <c r="E70" s="2266">
        <v>1799</v>
      </c>
      <c r="F70" s="2266" t="s">
        <v>4804</v>
      </c>
      <c r="G70" s="2266" t="s">
        <v>7140</v>
      </c>
      <c r="H70" s="2266">
        <v>597138</v>
      </c>
      <c r="I70" s="2266">
        <v>916545</v>
      </c>
      <c r="J70" s="2266">
        <v>0.45495542003254275</v>
      </c>
      <c r="K70" s="2266">
        <v>271671.16960739251</v>
      </c>
      <c r="L70" s="2266">
        <v>271671.16960739251</v>
      </c>
      <c r="M70" s="2266">
        <v>599</v>
      </c>
    </row>
    <row r="71" spans="1:13" ht="15">
      <c r="A71" s="2266" t="s">
        <v>4011</v>
      </c>
      <c r="B71" s="2465" t="str">
        <f>CONCATENATE(LEFT(RIGHT(CONCATENATE("000",IFAData_TEA_1617!A71),6),3),"-",(RIGHT(RIGHT(CONCATENATE("000",IFAData_TEA_1617!A71),6),3)))</f>
        <v>011-902</v>
      </c>
      <c r="C71" s="2266" t="s">
        <v>1002</v>
      </c>
      <c r="D71" s="2266">
        <v>9</v>
      </c>
      <c r="E71" s="2266">
        <v>1800</v>
      </c>
      <c r="F71" s="2266" t="s">
        <v>4806</v>
      </c>
      <c r="G71" s="2266" t="s">
        <v>4807</v>
      </c>
      <c r="H71" s="2266">
        <v>945091</v>
      </c>
      <c r="I71" s="2266">
        <v>194690</v>
      </c>
      <c r="J71" s="2266">
        <v>7.7202852885124032E-2</v>
      </c>
      <c r="K71" s="2266">
        <v>72963.721436054751</v>
      </c>
      <c r="L71" s="2266">
        <v>72963.721436054751</v>
      </c>
      <c r="M71" s="2266">
        <v>599</v>
      </c>
    </row>
    <row r="72" spans="1:13" ht="15">
      <c r="A72" s="2266" t="s">
        <v>4011</v>
      </c>
      <c r="B72" s="2465" t="str">
        <f>CONCATENATE(LEFT(RIGHT(CONCATENATE("000",IFAData_TEA_1617!A72),6),3),"-",(RIGHT(RIGHT(CONCATENATE("000",IFAData_TEA_1617!A72),6),3)))</f>
        <v>011-902</v>
      </c>
      <c r="C72" s="2266" t="s">
        <v>1002</v>
      </c>
      <c r="D72" s="2266">
        <v>1</v>
      </c>
      <c r="E72" s="2266">
        <v>1799</v>
      </c>
      <c r="F72" s="2266" t="s">
        <v>4804</v>
      </c>
      <c r="G72" s="2266" t="s">
        <v>4805</v>
      </c>
      <c r="H72" s="2266">
        <v>597138</v>
      </c>
      <c r="I72" s="2266">
        <v>1098037</v>
      </c>
      <c r="J72" s="2266">
        <v>0.54504457996745725</v>
      </c>
      <c r="K72" s="2266">
        <v>325466.83039260749</v>
      </c>
      <c r="L72" s="2266">
        <v>325466.83039260749</v>
      </c>
      <c r="M72" s="2266">
        <v>599</v>
      </c>
    </row>
    <row r="73" spans="1:13" ht="15">
      <c r="A73" s="2266" t="s">
        <v>4011</v>
      </c>
      <c r="B73" s="2465" t="str">
        <f>CONCATENATE(LEFT(RIGHT(CONCATENATE("000",IFAData_TEA_1617!A73),6),3),"-",(RIGHT(RIGHT(CONCATENATE("000",IFAData_TEA_1617!A73),6),3)))</f>
        <v>011-902</v>
      </c>
      <c r="C73" s="2266" t="s">
        <v>1002</v>
      </c>
      <c r="D73" s="2266">
        <v>1</v>
      </c>
      <c r="E73" s="2266">
        <v>1799</v>
      </c>
      <c r="F73" s="2266" t="s">
        <v>4804</v>
      </c>
      <c r="G73" s="2266" t="s">
        <v>4804</v>
      </c>
      <c r="H73" s="2266">
        <v>597138</v>
      </c>
      <c r="I73" s="2266">
        <v>0</v>
      </c>
      <c r="J73" s="2266">
        <v>0</v>
      </c>
      <c r="K73" s="2266">
        <v>0</v>
      </c>
      <c r="L73" s="2266">
        <v>0</v>
      </c>
      <c r="M73" s="2266">
        <v>599</v>
      </c>
    </row>
    <row r="74" spans="1:13" ht="15">
      <c r="A74" s="2266" t="s">
        <v>4012</v>
      </c>
      <c r="B74" s="2465" t="str">
        <f>CONCATENATE(LEFT(RIGHT(CONCATENATE("000",IFAData_TEA_1617!A74),6),3),"-",(RIGHT(RIGHT(CONCATENATE("000",IFAData_TEA_1617!A74),6),3)))</f>
        <v>011-904</v>
      </c>
      <c r="C74" s="2266" t="s">
        <v>2202</v>
      </c>
      <c r="D74" s="2266">
        <v>6</v>
      </c>
      <c r="E74" s="2266">
        <v>2342</v>
      </c>
      <c r="F74" s="2266" t="s">
        <v>4809</v>
      </c>
      <c r="G74" s="2266" t="s">
        <v>4809</v>
      </c>
      <c r="H74" s="2266">
        <v>449656</v>
      </c>
      <c r="I74" s="2266">
        <v>0</v>
      </c>
      <c r="J74" s="2266">
        <v>0</v>
      </c>
      <c r="K74" s="2266">
        <v>0</v>
      </c>
      <c r="L74" s="2266">
        <v>0</v>
      </c>
      <c r="M74" s="2266">
        <v>599</v>
      </c>
    </row>
    <row r="75" spans="1:13" ht="15">
      <c r="A75" s="2266" t="s">
        <v>4012</v>
      </c>
      <c r="B75" s="2465" t="str">
        <f>CONCATENATE(LEFT(RIGHT(CONCATENATE("000",IFAData_TEA_1617!A75),6),3),"-",(RIGHT(RIGHT(CONCATENATE("000",IFAData_TEA_1617!A75),6),3)))</f>
        <v>011-904</v>
      </c>
      <c r="C75" s="2266" t="s">
        <v>2202</v>
      </c>
      <c r="D75" s="2266">
        <v>6</v>
      </c>
      <c r="E75" s="2266">
        <v>2342</v>
      </c>
      <c r="F75" s="2266" t="s">
        <v>4809</v>
      </c>
      <c r="G75" s="2266" t="s">
        <v>6904</v>
      </c>
      <c r="H75" s="2266">
        <v>449656</v>
      </c>
      <c r="I75" s="2266">
        <v>216263</v>
      </c>
      <c r="J75" s="2266">
        <v>0.19665707613740524</v>
      </c>
      <c r="K75" s="2266">
        <v>88428.034227641096</v>
      </c>
      <c r="L75" s="2266">
        <v>88428.034227641096</v>
      </c>
      <c r="M75" s="2266">
        <v>599</v>
      </c>
    </row>
    <row r="76" spans="1:13" ht="15">
      <c r="A76" s="2266" t="s">
        <v>4012</v>
      </c>
      <c r="B76" s="2465" t="str">
        <f>CONCATENATE(LEFT(RIGHT(CONCATENATE("000",IFAData_TEA_1617!A76),6),3),"-",(RIGHT(RIGHT(CONCATENATE("000",IFAData_TEA_1617!A76),6),3)))</f>
        <v>011-904</v>
      </c>
      <c r="C76" s="2266" t="s">
        <v>2202</v>
      </c>
      <c r="D76" s="2266">
        <v>6</v>
      </c>
      <c r="E76" s="2266">
        <v>2342</v>
      </c>
      <c r="F76" s="2266" t="s">
        <v>4809</v>
      </c>
      <c r="G76" s="2266" t="s">
        <v>4810</v>
      </c>
      <c r="H76" s="2266">
        <v>449656</v>
      </c>
      <c r="I76" s="2266">
        <v>322766</v>
      </c>
      <c r="J76" s="2266">
        <v>0.29350475040374796</v>
      </c>
      <c r="K76" s="2266">
        <v>131976.17204754771</v>
      </c>
      <c r="L76" s="2266">
        <v>131976.17204754771</v>
      </c>
      <c r="M76" s="2266">
        <v>599</v>
      </c>
    </row>
    <row r="77" spans="1:13" ht="15">
      <c r="A77" s="2266" t="s">
        <v>4012</v>
      </c>
      <c r="B77" s="2465" t="str">
        <f>CONCATENATE(LEFT(RIGHT(CONCATENATE("000",IFAData_TEA_1617!A77),6),3),"-",(RIGHT(RIGHT(CONCATENATE("000",IFAData_TEA_1617!A77),6),3)))</f>
        <v>011-904</v>
      </c>
      <c r="C77" s="2266" t="s">
        <v>2202</v>
      </c>
      <c r="D77" s="2266">
        <v>6</v>
      </c>
      <c r="E77" s="2266">
        <v>2342</v>
      </c>
      <c r="F77" s="2266" t="s">
        <v>4809</v>
      </c>
      <c r="G77" s="2266" t="s">
        <v>4811</v>
      </c>
      <c r="H77" s="2266">
        <v>449656</v>
      </c>
      <c r="I77" s="2266">
        <v>560667</v>
      </c>
      <c r="J77" s="2266">
        <v>0.50983817345884686</v>
      </c>
      <c r="K77" s="2266">
        <v>229251.79372481123</v>
      </c>
      <c r="L77" s="2266">
        <v>229251.79372481123</v>
      </c>
      <c r="M77" s="2266">
        <v>599</v>
      </c>
    </row>
    <row r="78" spans="1:13" ht="15">
      <c r="A78" s="2266" t="s">
        <v>4013</v>
      </c>
      <c r="B78" s="2465" t="str">
        <f>CONCATENATE(LEFT(RIGHT(CONCATENATE("000",IFAData_TEA_1617!A78),6),3),"-",(RIGHT(RIGHT(CONCATENATE("000",IFAData_TEA_1617!A78),6),3)))</f>
        <v>011-905</v>
      </c>
      <c r="C78" s="2266" t="s">
        <v>926</v>
      </c>
      <c r="D78" s="2266">
        <v>5</v>
      </c>
      <c r="E78" s="2266">
        <v>2080</v>
      </c>
      <c r="F78" s="2266" t="s">
        <v>4812</v>
      </c>
      <c r="G78" s="2266" t="s">
        <v>4812</v>
      </c>
      <c r="H78" s="2266">
        <v>100000</v>
      </c>
      <c r="I78" s="2266">
        <v>0</v>
      </c>
      <c r="J78" s="2266">
        <v>0</v>
      </c>
      <c r="K78" s="2266">
        <v>0</v>
      </c>
      <c r="L78" s="2266">
        <v>0</v>
      </c>
      <c r="M78" s="2266">
        <v>599</v>
      </c>
    </row>
    <row r="79" spans="1:13" ht="15">
      <c r="A79" s="2266" t="s">
        <v>4013</v>
      </c>
      <c r="B79" s="2465" t="str">
        <f>CONCATENATE(LEFT(RIGHT(CONCATENATE("000",IFAData_TEA_1617!A79),6),3),"-",(RIGHT(RIGHT(CONCATENATE("000",IFAData_TEA_1617!A79),6),3)))</f>
        <v>011-905</v>
      </c>
      <c r="C79" s="2266" t="s">
        <v>926</v>
      </c>
      <c r="D79" s="2266">
        <v>5</v>
      </c>
      <c r="E79" s="2266">
        <v>2080</v>
      </c>
      <c r="F79" s="2266" t="s">
        <v>4812</v>
      </c>
      <c r="G79" s="2266" t="s">
        <v>4813</v>
      </c>
      <c r="H79" s="2266">
        <v>100000</v>
      </c>
      <c r="I79" s="2266">
        <v>92750</v>
      </c>
      <c r="J79" s="2266">
        <v>1</v>
      </c>
      <c r="K79" s="2266">
        <v>100000</v>
      </c>
      <c r="L79" s="2266">
        <v>92750</v>
      </c>
      <c r="M79" s="2266">
        <v>599</v>
      </c>
    </row>
    <row r="80" spans="1:13" ht="15">
      <c r="A80" s="2266" t="s">
        <v>4014</v>
      </c>
      <c r="B80" s="2465" t="str">
        <f>CONCATENATE(LEFT(RIGHT(CONCATENATE("000",IFAData_TEA_1617!A80),6),3),"-",(RIGHT(RIGHT(CONCATENATE("000",IFAData_TEA_1617!A80),6),3)))</f>
        <v>013-901</v>
      </c>
      <c r="C80" s="2266" t="s">
        <v>2434</v>
      </c>
      <c r="D80" s="2266">
        <v>6</v>
      </c>
      <c r="E80" s="2266">
        <v>1599</v>
      </c>
      <c r="F80" s="2266" t="s">
        <v>4814</v>
      </c>
      <c r="G80" s="2266" t="s">
        <v>4814</v>
      </c>
      <c r="H80" s="2266">
        <v>855519</v>
      </c>
      <c r="I80" s="2266">
        <v>0</v>
      </c>
      <c r="J80" s="2266">
        <v>0</v>
      </c>
      <c r="K80" s="2266">
        <v>0</v>
      </c>
      <c r="L80" s="2266">
        <v>0</v>
      </c>
      <c r="M80" s="2266">
        <v>599</v>
      </c>
    </row>
    <row r="81" spans="1:13" ht="15">
      <c r="A81" s="2266" t="s">
        <v>4014</v>
      </c>
      <c r="B81" s="2465" t="str">
        <f>CONCATENATE(LEFT(RIGHT(CONCATENATE("000",IFAData_TEA_1617!A81),6),3),"-",(RIGHT(RIGHT(CONCATENATE("000",IFAData_TEA_1617!A81),6),3)))</f>
        <v>013-901</v>
      </c>
      <c r="C81" s="2266" t="s">
        <v>2434</v>
      </c>
      <c r="D81" s="2266">
        <v>6</v>
      </c>
      <c r="E81" s="2266">
        <v>1599</v>
      </c>
      <c r="F81" s="2266" t="s">
        <v>4814</v>
      </c>
      <c r="G81" s="2266" t="s">
        <v>7141</v>
      </c>
      <c r="H81" s="2266">
        <v>855519</v>
      </c>
      <c r="I81" s="2266">
        <v>239300</v>
      </c>
      <c r="J81" s="2266">
        <v>0.28955169701736344</v>
      </c>
      <c r="K81" s="2266">
        <v>247716.97828059774</v>
      </c>
      <c r="L81" s="2266">
        <v>239300</v>
      </c>
      <c r="M81" s="2266">
        <v>599</v>
      </c>
    </row>
    <row r="82" spans="1:13" ht="15">
      <c r="A82" s="2266" t="s">
        <v>4014</v>
      </c>
      <c r="B82" s="2465" t="str">
        <f>CONCATENATE(LEFT(RIGHT(CONCATENATE("000",IFAData_TEA_1617!A82),6),3),"-",(RIGHT(RIGHT(CONCATENATE("000",IFAData_TEA_1617!A82),6),3)))</f>
        <v>013-901</v>
      </c>
      <c r="C82" s="2266" t="s">
        <v>2434</v>
      </c>
      <c r="D82" s="2266">
        <v>9</v>
      </c>
      <c r="E82" s="2266">
        <v>1598</v>
      </c>
      <c r="F82" s="2266" t="s">
        <v>4817</v>
      </c>
      <c r="G82" s="2266" t="s">
        <v>4817</v>
      </c>
      <c r="H82" s="2266">
        <v>605485</v>
      </c>
      <c r="I82" s="2266">
        <v>462400</v>
      </c>
      <c r="J82" s="2266">
        <v>0.60746190225959007</v>
      </c>
      <c r="K82" s="2266">
        <v>367809.06988964789</v>
      </c>
      <c r="L82" s="2266">
        <v>367809.06988964789</v>
      </c>
      <c r="M82" s="2266">
        <v>599</v>
      </c>
    </row>
    <row r="83" spans="1:13" ht="15">
      <c r="A83" s="2266" t="s">
        <v>4014</v>
      </c>
      <c r="B83" s="2465" t="str">
        <f>CONCATENATE(LEFT(RIGHT(CONCATENATE("000",IFAData_TEA_1617!A83),6),3),"-",(RIGHT(RIGHT(CONCATENATE("000",IFAData_TEA_1617!A83),6),3)))</f>
        <v>013-901</v>
      </c>
      <c r="C83" s="2266" t="s">
        <v>2434</v>
      </c>
      <c r="D83" s="2266">
        <v>9</v>
      </c>
      <c r="E83" s="2266">
        <v>1598</v>
      </c>
      <c r="F83" s="2266" t="s">
        <v>4817</v>
      </c>
      <c r="G83" s="2266" t="s">
        <v>6905</v>
      </c>
      <c r="H83" s="2266">
        <v>605485</v>
      </c>
      <c r="I83" s="2266">
        <v>298800</v>
      </c>
      <c r="J83" s="2266">
        <v>0.39253809774040987</v>
      </c>
      <c r="K83" s="2266">
        <v>237675.93011035208</v>
      </c>
      <c r="L83" s="2266">
        <v>237675.93011035208</v>
      </c>
      <c r="M83" s="2266">
        <v>599</v>
      </c>
    </row>
    <row r="84" spans="1:13" ht="15">
      <c r="A84" s="2266" t="s">
        <v>4014</v>
      </c>
      <c r="B84" s="2465" t="str">
        <f>CONCATENATE(LEFT(RIGHT(CONCATENATE("000",IFAData_TEA_1617!A84),6),3),"-",(RIGHT(RIGHT(CONCATENATE("000",IFAData_TEA_1617!A84),6),3)))</f>
        <v>013-901</v>
      </c>
      <c r="C84" s="2266" t="s">
        <v>2434</v>
      </c>
      <c r="D84" s="2266">
        <v>6</v>
      </c>
      <c r="E84" s="2266">
        <v>1599</v>
      </c>
      <c r="F84" s="2266" t="s">
        <v>4814</v>
      </c>
      <c r="G84" s="2266" t="s">
        <v>4816</v>
      </c>
      <c r="H84" s="2266">
        <v>855519</v>
      </c>
      <c r="I84" s="2266">
        <v>587150</v>
      </c>
      <c r="J84" s="2266">
        <v>0.71044830298263661</v>
      </c>
      <c r="K84" s="2266">
        <v>607802.02171940228</v>
      </c>
      <c r="L84" s="2266">
        <v>587150</v>
      </c>
      <c r="M84" s="2266">
        <v>599</v>
      </c>
    </row>
    <row r="85" spans="1:13" ht="15">
      <c r="A85" s="2266" t="s">
        <v>4014</v>
      </c>
      <c r="B85" s="2465" t="str">
        <f>CONCATENATE(LEFT(RIGHT(CONCATENATE("000",IFAData_TEA_1617!A85),6),3),"-",(RIGHT(RIGHT(CONCATENATE("000",IFAData_TEA_1617!A85),6),3)))</f>
        <v>013-901</v>
      </c>
      <c r="C85" s="2266" t="s">
        <v>2434</v>
      </c>
      <c r="D85" s="2266">
        <v>6</v>
      </c>
      <c r="E85" s="2266">
        <v>1599</v>
      </c>
      <c r="F85" s="2266" t="s">
        <v>4814</v>
      </c>
      <c r="G85" s="2266" t="s">
        <v>4815</v>
      </c>
      <c r="H85" s="2266">
        <v>855519</v>
      </c>
      <c r="I85" s="2266">
        <v>0</v>
      </c>
      <c r="J85" s="2266">
        <v>0</v>
      </c>
      <c r="K85" s="2266">
        <v>0</v>
      </c>
      <c r="L85" s="2266">
        <v>0</v>
      </c>
      <c r="M85" s="2266">
        <v>599</v>
      </c>
    </row>
    <row r="86" spans="1:13" ht="15">
      <c r="A86" s="2266" t="s">
        <v>4015</v>
      </c>
      <c r="B86" s="2465" t="str">
        <f>CONCATENATE(LEFT(RIGHT(CONCATENATE("000",IFAData_TEA_1617!A86),6),3),"-",(RIGHT(RIGHT(CONCATENATE("000",IFAData_TEA_1617!A86),6),3)))</f>
        <v>013-905</v>
      </c>
      <c r="C86" s="2266" t="s">
        <v>2089</v>
      </c>
      <c r="D86" s="2266">
        <v>3</v>
      </c>
      <c r="E86" s="2266">
        <v>2338</v>
      </c>
      <c r="F86" s="2266" t="s">
        <v>4818</v>
      </c>
      <c r="G86" s="2266" t="s">
        <v>4818</v>
      </c>
      <c r="H86" s="2266">
        <v>176917</v>
      </c>
      <c r="I86" s="2266">
        <v>0</v>
      </c>
      <c r="J86" s="2266">
        <v>0</v>
      </c>
      <c r="K86" s="2266">
        <v>0</v>
      </c>
      <c r="L86" s="2266">
        <v>0</v>
      </c>
      <c r="M86" s="2266">
        <v>599</v>
      </c>
    </row>
    <row r="87" spans="1:13" ht="15">
      <c r="A87" s="2266" t="s">
        <v>4015</v>
      </c>
      <c r="B87" s="2465" t="str">
        <f>CONCATENATE(LEFT(RIGHT(CONCATENATE("000",IFAData_TEA_1617!A87),6),3),"-",(RIGHT(RIGHT(CONCATENATE("000",IFAData_TEA_1617!A87),6),3)))</f>
        <v>013-905</v>
      </c>
      <c r="C87" s="2266" t="s">
        <v>2089</v>
      </c>
      <c r="D87" s="2266">
        <v>3</v>
      </c>
      <c r="E87" s="2266">
        <v>2338</v>
      </c>
      <c r="F87" s="2266" t="s">
        <v>4818</v>
      </c>
      <c r="G87" s="2266" t="s">
        <v>7142</v>
      </c>
      <c r="H87" s="2266">
        <v>176917</v>
      </c>
      <c r="I87" s="2266">
        <v>159300</v>
      </c>
      <c r="J87" s="2266">
        <v>1</v>
      </c>
      <c r="K87" s="2266">
        <v>176917</v>
      </c>
      <c r="L87" s="2266">
        <v>159300</v>
      </c>
      <c r="M87" s="2266">
        <v>599</v>
      </c>
    </row>
    <row r="88" spans="1:13" ht="15">
      <c r="A88" s="2266" t="s">
        <v>4015</v>
      </c>
      <c r="B88" s="2465" t="str">
        <f>CONCATENATE(LEFT(RIGHT(CONCATENATE("000",IFAData_TEA_1617!A88),6),3),"-",(RIGHT(RIGHT(CONCATENATE("000",IFAData_TEA_1617!A88),6),3)))</f>
        <v>013-905</v>
      </c>
      <c r="C88" s="2266" t="s">
        <v>2089</v>
      </c>
      <c r="D88" s="2266">
        <v>3</v>
      </c>
      <c r="E88" s="2266">
        <v>2338</v>
      </c>
      <c r="F88" s="2266" t="s">
        <v>4818</v>
      </c>
      <c r="G88" s="2266" t="s">
        <v>4819</v>
      </c>
      <c r="H88" s="2266">
        <v>176917</v>
      </c>
      <c r="I88" s="2266">
        <v>0</v>
      </c>
      <c r="J88" s="2266">
        <v>0</v>
      </c>
      <c r="K88" s="2266">
        <v>0</v>
      </c>
      <c r="L88" s="2266">
        <v>0</v>
      </c>
      <c r="M88" s="2266">
        <v>599</v>
      </c>
    </row>
    <row r="89" spans="1:13" ht="15">
      <c r="A89" s="2266" t="s">
        <v>4015</v>
      </c>
      <c r="B89" s="2465" t="str">
        <f>CONCATENATE(LEFT(RIGHT(CONCATENATE("000",IFAData_TEA_1617!A89),6),3),"-",(RIGHT(RIGHT(CONCATENATE("000",IFAData_TEA_1617!A89),6),3)))</f>
        <v>013-905</v>
      </c>
      <c r="C89" s="2266" t="s">
        <v>2089</v>
      </c>
      <c r="D89" s="2266">
        <v>9</v>
      </c>
      <c r="E89" s="2266">
        <v>2339</v>
      </c>
      <c r="F89" s="2266" t="s">
        <v>4820</v>
      </c>
      <c r="G89" s="2266" t="s">
        <v>6906</v>
      </c>
      <c r="H89" s="2266">
        <v>182500</v>
      </c>
      <c r="I89" s="2266">
        <v>85652</v>
      </c>
      <c r="J89" s="2266">
        <v>0.39871149137425405</v>
      </c>
      <c r="K89" s="2266">
        <v>72764.847175801362</v>
      </c>
      <c r="L89" s="2266">
        <v>72764.847175801362</v>
      </c>
      <c r="M89" s="2266">
        <v>599</v>
      </c>
    </row>
    <row r="90" spans="1:13" ht="15">
      <c r="A90" s="2266" t="s">
        <v>4015</v>
      </c>
      <c r="B90" s="2465" t="str">
        <f>CONCATENATE(LEFT(RIGHT(CONCATENATE("000",IFAData_TEA_1617!A90),6),3),"-",(RIGHT(RIGHT(CONCATENATE("000",IFAData_TEA_1617!A90),6),3)))</f>
        <v>013-905</v>
      </c>
      <c r="C90" s="2266" t="s">
        <v>2089</v>
      </c>
      <c r="D90" s="2266">
        <v>9</v>
      </c>
      <c r="E90" s="2266">
        <v>2339</v>
      </c>
      <c r="F90" s="2266" t="s">
        <v>4820</v>
      </c>
      <c r="G90" s="2266" t="s">
        <v>4820</v>
      </c>
      <c r="H90" s="2266">
        <v>182500</v>
      </c>
      <c r="I90" s="2266">
        <v>129170</v>
      </c>
      <c r="J90" s="2266">
        <v>0.60128850862574601</v>
      </c>
      <c r="K90" s="2266">
        <v>109735.15282419865</v>
      </c>
      <c r="L90" s="2266">
        <v>109735.15282419865</v>
      </c>
      <c r="M90" s="2266">
        <v>599</v>
      </c>
    </row>
    <row r="91" spans="1:13" ht="15">
      <c r="A91" s="2266" t="s">
        <v>4016</v>
      </c>
      <c r="B91" s="2465" t="str">
        <f>CONCATENATE(LEFT(RIGHT(CONCATENATE("000",IFAData_TEA_1617!A91),6),3),"-",(RIGHT(RIGHT(CONCATENATE("000",IFAData_TEA_1617!A91),6),3)))</f>
        <v>014-902</v>
      </c>
      <c r="C91" s="2266" t="s">
        <v>2432</v>
      </c>
      <c r="D91" s="2266">
        <v>2</v>
      </c>
      <c r="E91" s="2266">
        <v>1593</v>
      </c>
      <c r="F91" s="2266" t="s">
        <v>4821</v>
      </c>
      <c r="G91" s="2266" t="s">
        <v>4822</v>
      </c>
      <c r="H91" s="2266">
        <v>134523</v>
      </c>
      <c r="I91" s="2266">
        <v>117792</v>
      </c>
      <c r="J91" s="2266">
        <v>1</v>
      </c>
      <c r="K91" s="2266">
        <v>134523</v>
      </c>
      <c r="L91" s="2266">
        <v>117792</v>
      </c>
      <c r="M91" s="2266">
        <v>599</v>
      </c>
    </row>
    <row r="92" spans="1:13" ht="15">
      <c r="A92" s="2266" t="s">
        <v>4016</v>
      </c>
      <c r="B92" s="2465" t="str">
        <f>CONCATENATE(LEFT(RIGHT(CONCATENATE("000",IFAData_TEA_1617!A92),6),3),"-",(RIGHT(RIGHT(CONCATENATE("000",IFAData_TEA_1617!A92),6),3)))</f>
        <v>014-902</v>
      </c>
      <c r="C92" s="2266" t="s">
        <v>2432</v>
      </c>
      <c r="D92" s="2266">
        <v>2</v>
      </c>
      <c r="E92" s="2266">
        <v>1593</v>
      </c>
      <c r="F92" s="2266" t="s">
        <v>4821</v>
      </c>
      <c r="G92" s="2266" t="s">
        <v>4821</v>
      </c>
      <c r="H92" s="2266">
        <v>134523</v>
      </c>
      <c r="I92" s="2266">
        <v>0</v>
      </c>
      <c r="J92" s="2266">
        <v>0</v>
      </c>
      <c r="K92" s="2266">
        <v>0</v>
      </c>
      <c r="L92" s="2266">
        <v>0</v>
      </c>
      <c r="M92" s="2266">
        <v>599</v>
      </c>
    </row>
    <row r="93" spans="1:13" ht="15">
      <c r="A93" s="2266" t="s">
        <v>4017</v>
      </c>
      <c r="B93" s="2465" t="str">
        <f>CONCATENATE(LEFT(RIGHT(CONCATENATE("000",IFAData_TEA_1617!A93),6),3),"-",(RIGHT(RIGHT(CONCATENATE("000",IFAData_TEA_1617!A93),6),3)))</f>
        <v>014-903</v>
      </c>
      <c r="C93" s="2266" t="s">
        <v>3079</v>
      </c>
      <c r="D93" s="2266">
        <v>1</v>
      </c>
      <c r="E93" s="2266">
        <v>1603</v>
      </c>
      <c r="F93" s="2266" t="s">
        <v>4823</v>
      </c>
      <c r="G93" s="2266" t="s">
        <v>4824</v>
      </c>
      <c r="H93" s="2266">
        <v>428025</v>
      </c>
      <c r="I93" s="2266">
        <v>947300</v>
      </c>
      <c r="J93" s="2266">
        <v>1</v>
      </c>
      <c r="K93" s="2266">
        <v>428025</v>
      </c>
      <c r="L93" s="2266">
        <v>428025</v>
      </c>
      <c r="M93" s="2266">
        <v>599</v>
      </c>
    </row>
    <row r="94" spans="1:13" ht="15">
      <c r="A94" s="2266" t="s">
        <v>4017</v>
      </c>
      <c r="B94" s="2465" t="str">
        <f>CONCATENATE(LEFT(RIGHT(CONCATENATE("000",IFAData_TEA_1617!A94),6),3),"-",(RIGHT(RIGHT(CONCATENATE("000",IFAData_TEA_1617!A94),6),3)))</f>
        <v>014-903</v>
      </c>
      <c r="C94" s="2266" t="s">
        <v>3079</v>
      </c>
      <c r="D94" s="2266">
        <v>2</v>
      </c>
      <c r="E94" s="2266">
        <v>1604</v>
      </c>
      <c r="F94" s="2266" t="s">
        <v>4825</v>
      </c>
      <c r="G94" s="2266" t="s">
        <v>4825</v>
      </c>
      <c r="H94" s="2266">
        <v>1175975</v>
      </c>
      <c r="I94" s="2266">
        <v>0</v>
      </c>
      <c r="J94" s="2266">
        <v>0</v>
      </c>
      <c r="K94" s="2266">
        <v>0</v>
      </c>
      <c r="L94" s="2266">
        <v>0</v>
      </c>
      <c r="M94" s="2266">
        <v>599</v>
      </c>
    </row>
    <row r="95" spans="1:13" ht="15">
      <c r="A95" s="2266" t="s">
        <v>4017</v>
      </c>
      <c r="B95" s="2465" t="str">
        <f>CONCATENATE(LEFT(RIGHT(CONCATENATE("000",IFAData_TEA_1617!A95),6),3),"-",(RIGHT(RIGHT(CONCATENATE("000",IFAData_TEA_1617!A95),6),3)))</f>
        <v>014-903</v>
      </c>
      <c r="C95" s="2266" t="s">
        <v>3079</v>
      </c>
      <c r="D95" s="2266">
        <v>2</v>
      </c>
      <c r="E95" s="2266">
        <v>1604</v>
      </c>
      <c r="F95" s="2266" t="s">
        <v>4825</v>
      </c>
      <c r="G95" s="2266" t="s">
        <v>4826</v>
      </c>
      <c r="H95" s="2266">
        <v>1175975</v>
      </c>
      <c r="I95" s="2266">
        <v>203437</v>
      </c>
      <c r="J95" s="2266">
        <v>0.40016404922263488</v>
      </c>
      <c r="K95" s="2266">
        <v>470582.91778458806</v>
      </c>
      <c r="L95" s="2266">
        <v>203437</v>
      </c>
      <c r="M95" s="2266">
        <v>599</v>
      </c>
    </row>
    <row r="96" spans="1:13" ht="15">
      <c r="A96" s="2266" t="s">
        <v>4017</v>
      </c>
      <c r="B96" s="2465" t="str">
        <f>CONCATENATE(LEFT(RIGHT(CONCATENATE("000",IFAData_TEA_1617!A96),6),3),"-",(RIGHT(RIGHT(CONCATENATE("000",IFAData_TEA_1617!A96),6),3)))</f>
        <v>014-903</v>
      </c>
      <c r="C96" s="2266" t="s">
        <v>3079</v>
      </c>
      <c r="D96" s="2266">
        <v>1</v>
      </c>
      <c r="E96" s="2266">
        <v>1603</v>
      </c>
      <c r="F96" s="2266" t="s">
        <v>4823</v>
      </c>
      <c r="G96" s="2266" t="s">
        <v>4823</v>
      </c>
      <c r="H96" s="2266">
        <v>428025</v>
      </c>
      <c r="I96" s="2266">
        <v>0</v>
      </c>
      <c r="J96" s="2266">
        <v>0</v>
      </c>
      <c r="K96" s="2266">
        <v>0</v>
      </c>
      <c r="L96" s="2266">
        <v>0</v>
      </c>
      <c r="M96" s="2266">
        <v>599</v>
      </c>
    </row>
    <row r="97" spans="1:13" ht="15">
      <c r="A97" s="2266" t="s">
        <v>4017</v>
      </c>
      <c r="B97" s="2465" t="str">
        <f>CONCATENATE(LEFT(RIGHT(CONCATENATE("000",IFAData_TEA_1617!A97),6),3),"-",(RIGHT(RIGHT(CONCATENATE("000",IFAData_TEA_1617!A97),6),3)))</f>
        <v>014-903</v>
      </c>
      <c r="C97" s="2266" t="s">
        <v>3079</v>
      </c>
      <c r="D97" s="2266">
        <v>2</v>
      </c>
      <c r="E97" s="2266">
        <v>1604</v>
      </c>
      <c r="F97" s="2266" t="s">
        <v>4825</v>
      </c>
      <c r="G97" s="2266" t="s">
        <v>4824</v>
      </c>
      <c r="H97" s="2266">
        <v>1175975</v>
      </c>
      <c r="I97" s="2266">
        <v>304947</v>
      </c>
      <c r="J97" s="2266">
        <v>0.59983595077736518</v>
      </c>
      <c r="K97" s="2266">
        <v>705392.08221541205</v>
      </c>
      <c r="L97" s="2266">
        <v>304947</v>
      </c>
      <c r="M97" s="2266">
        <v>599</v>
      </c>
    </row>
    <row r="98" spans="1:13" ht="15">
      <c r="A98" s="2266" t="s">
        <v>4018</v>
      </c>
      <c r="B98" s="2465" t="str">
        <f>CONCATENATE(LEFT(RIGHT(CONCATENATE("000",IFAData_TEA_1617!A98),6),3),"-",(RIGHT(RIGHT(CONCATENATE("000",IFAData_TEA_1617!A98),6),3)))</f>
        <v>014-905</v>
      </c>
      <c r="C98" s="2266" t="s">
        <v>2728</v>
      </c>
      <c r="D98" s="2266">
        <v>4</v>
      </c>
      <c r="E98" s="2266">
        <v>1895</v>
      </c>
      <c r="F98" s="2266" t="s">
        <v>4829</v>
      </c>
      <c r="G98" s="2266" t="s">
        <v>4828</v>
      </c>
      <c r="H98" s="2266">
        <v>114590</v>
      </c>
      <c r="I98" s="2266">
        <v>115700</v>
      </c>
      <c r="J98" s="2266">
        <v>1</v>
      </c>
      <c r="K98" s="2266">
        <v>114590</v>
      </c>
      <c r="L98" s="2266">
        <v>114590</v>
      </c>
      <c r="M98" s="2266">
        <v>599</v>
      </c>
    </row>
    <row r="99" spans="1:13" ht="15">
      <c r="A99" s="2266" t="s">
        <v>4018</v>
      </c>
      <c r="B99" s="2465" t="str">
        <f>CONCATENATE(LEFT(RIGHT(CONCATENATE("000",IFAData_TEA_1617!A99),6),3),"-",(RIGHT(RIGHT(CONCATENATE("000",IFAData_TEA_1617!A99),6),3)))</f>
        <v>014-905</v>
      </c>
      <c r="C99" s="2266" t="s">
        <v>2728</v>
      </c>
      <c r="D99" s="2266">
        <v>2</v>
      </c>
      <c r="E99" s="2266">
        <v>1894</v>
      </c>
      <c r="F99" s="2266" t="s">
        <v>4827</v>
      </c>
      <c r="G99" s="2266" t="s">
        <v>4828</v>
      </c>
      <c r="H99" s="2266">
        <v>88580</v>
      </c>
      <c r="I99" s="2266">
        <v>129425</v>
      </c>
      <c r="J99" s="2266">
        <v>1</v>
      </c>
      <c r="K99" s="2266">
        <v>88580</v>
      </c>
      <c r="L99" s="2266">
        <v>88580</v>
      </c>
      <c r="M99" s="2266">
        <v>599</v>
      </c>
    </row>
    <row r="100" spans="1:13" ht="15">
      <c r="A100" s="2266" t="s">
        <v>4018</v>
      </c>
      <c r="B100" s="2465" t="str">
        <f>CONCATENATE(LEFT(RIGHT(CONCATENATE("000",IFAData_TEA_1617!A100),6),3),"-",(RIGHT(RIGHT(CONCATENATE("000",IFAData_TEA_1617!A100),6),3)))</f>
        <v>014-905</v>
      </c>
      <c r="C100" s="2266" t="s">
        <v>2728</v>
      </c>
      <c r="D100" s="2266">
        <v>2</v>
      </c>
      <c r="E100" s="2266">
        <v>1894</v>
      </c>
      <c r="F100" s="2266" t="s">
        <v>4827</v>
      </c>
      <c r="G100" s="2266" t="s">
        <v>4827</v>
      </c>
      <c r="H100" s="2266">
        <v>88580</v>
      </c>
      <c r="I100" s="2266">
        <v>0</v>
      </c>
      <c r="J100" s="2266">
        <v>0</v>
      </c>
      <c r="K100" s="2266">
        <v>0</v>
      </c>
      <c r="L100" s="2266">
        <v>0</v>
      </c>
      <c r="M100" s="2266">
        <v>599</v>
      </c>
    </row>
    <row r="101" spans="1:13" ht="15">
      <c r="A101" s="2266" t="s">
        <v>4018</v>
      </c>
      <c r="B101" s="2465" t="str">
        <f>CONCATENATE(LEFT(RIGHT(CONCATENATE("000",IFAData_TEA_1617!A101),6),3),"-",(RIGHT(RIGHT(CONCATENATE("000",IFAData_TEA_1617!A101),6),3)))</f>
        <v>014-905</v>
      </c>
      <c r="C101" s="2266" t="s">
        <v>2728</v>
      </c>
      <c r="D101" s="2266">
        <v>9</v>
      </c>
      <c r="E101" s="2266">
        <v>1896</v>
      </c>
      <c r="F101" s="2266" t="s">
        <v>4830</v>
      </c>
      <c r="G101" s="2266" t="s">
        <v>4830</v>
      </c>
      <c r="H101" s="2266">
        <v>137250</v>
      </c>
      <c r="I101" s="2266">
        <v>225000</v>
      </c>
      <c r="J101" s="2266">
        <v>1</v>
      </c>
      <c r="K101" s="2266">
        <v>137250</v>
      </c>
      <c r="L101" s="2266">
        <v>137250</v>
      </c>
      <c r="M101" s="2266">
        <v>599</v>
      </c>
    </row>
    <row r="102" spans="1:13" ht="15">
      <c r="A102" s="2266" t="s">
        <v>4018</v>
      </c>
      <c r="B102" s="2465" t="str">
        <f>CONCATENATE(LEFT(RIGHT(CONCATENATE("000",IFAData_TEA_1617!A102),6),3),"-",(RIGHT(RIGHT(CONCATENATE("000",IFAData_TEA_1617!A102),6),3)))</f>
        <v>014-905</v>
      </c>
      <c r="C102" s="2266" t="s">
        <v>2728</v>
      </c>
      <c r="D102" s="2266">
        <v>4</v>
      </c>
      <c r="E102" s="2266">
        <v>1895</v>
      </c>
      <c r="F102" s="2266" t="s">
        <v>4829</v>
      </c>
      <c r="G102" s="2266" t="s">
        <v>4829</v>
      </c>
      <c r="H102" s="2266">
        <v>114590</v>
      </c>
      <c r="I102" s="2266">
        <v>0</v>
      </c>
      <c r="J102" s="2266">
        <v>0</v>
      </c>
      <c r="K102" s="2266">
        <v>0</v>
      </c>
      <c r="L102" s="2266">
        <v>0</v>
      </c>
      <c r="M102" s="2266">
        <v>599</v>
      </c>
    </row>
    <row r="103" spans="1:13" ht="15">
      <c r="A103" s="2266" t="s">
        <v>4019</v>
      </c>
      <c r="B103" s="2465" t="str">
        <f>CONCATENATE(LEFT(RIGHT(CONCATENATE("000",IFAData_TEA_1617!A103),6),3),"-",(RIGHT(RIGHT(CONCATENATE("000",IFAData_TEA_1617!A103),6),3)))</f>
        <v>014-906</v>
      </c>
      <c r="C103" s="2266" t="s">
        <v>2878</v>
      </c>
      <c r="D103" s="2266">
        <v>6</v>
      </c>
      <c r="E103" s="2266">
        <v>1958</v>
      </c>
      <c r="F103" s="2266" t="s">
        <v>4834</v>
      </c>
      <c r="G103" s="2266" t="s">
        <v>4835</v>
      </c>
      <c r="H103" s="2266">
        <v>7058303</v>
      </c>
      <c r="I103" s="2266">
        <v>5639358</v>
      </c>
      <c r="J103" s="2266">
        <v>0.81076420637850777</v>
      </c>
      <c r="K103" s="2266">
        <v>5722619.4301740406</v>
      </c>
      <c r="L103" s="2266">
        <v>5639358</v>
      </c>
      <c r="M103" s="2266">
        <v>599</v>
      </c>
    </row>
    <row r="104" spans="1:13" ht="15">
      <c r="A104" s="2266" t="s">
        <v>4019</v>
      </c>
      <c r="B104" s="2465" t="str">
        <f>CONCATENATE(LEFT(RIGHT(CONCATENATE("000",IFAData_TEA_1617!A104),6),3),"-",(RIGHT(RIGHT(CONCATENATE("000",IFAData_TEA_1617!A104),6),3)))</f>
        <v>014-906</v>
      </c>
      <c r="C104" s="2266" t="s">
        <v>2878</v>
      </c>
      <c r="D104" s="2266">
        <v>2</v>
      </c>
      <c r="E104" s="2266">
        <v>1957</v>
      </c>
      <c r="F104" s="2266" t="s">
        <v>4831</v>
      </c>
      <c r="G104" s="2266" t="s">
        <v>6907</v>
      </c>
      <c r="H104" s="2266">
        <v>5126526</v>
      </c>
      <c r="I104" s="2266">
        <v>3811625</v>
      </c>
      <c r="J104" s="2266">
        <v>0.77316084930298123</v>
      </c>
      <c r="K104" s="2266">
        <v>3963629.1961338152</v>
      </c>
      <c r="L104" s="2266">
        <v>3811625</v>
      </c>
      <c r="M104" s="2266">
        <v>599</v>
      </c>
    </row>
    <row r="105" spans="1:13" ht="15">
      <c r="A105" s="2266" t="s">
        <v>4019</v>
      </c>
      <c r="B105" s="2465" t="str">
        <f>CONCATENATE(LEFT(RIGHT(CONCATENATE("000",IFAData_TEA_1617!A105),6),3),"-",(RIGHT(RIGHT(CONCATENATE("000",IFAData_TEA_1617!A105),6),3)))</f>
        <v>014-906</v>
      </c>
      <c r="C105" s="2266" t="s">
        <v>2878</v>
      </c>
      <c r="D105" s="2266">
        <v>2</v>
      </c>
      <c r="E105" s="2266">
        <v>1957</v>
      </c>
      <c r="F105" s="2266" t="s">
        <v>4831</v>
      </c>
      <c r="G105" s="2266" t="s">
        <v>4832</v>
      </c>
      <c r="H105" s="2266">
        <v>5126526</v>
      </c>
      <c r="I105" s="2266">
        <v>0</v>
      </c>
      <c r="J105" s="2266">
        <v>0</v>
      </c>
      <c r="K105" s="2266">
        <v>0</v>
      </c>
      <c r="L105" s="2266">
        <v>0</v>
      </c>
      <c r="M105" s="2266">
        <v>599</v>
      </c>
    </row>
    <row r="106" spans="1:13" ht="15">
      <c r="A106" s="2266" t="s">
        <v>4019</v>
      </c>
      <c r="B106" s="2465" t="str">
        <f>CONCATENATE(LEFT(RIGHT(CONCATENATE("000",IFAData_TEA_1617!A106),6),3),"-",(RIGHT(RIGHT(CONCATENATE("000",IFAData_TEA_1617!A106),6),3)))</f>
        <v>014-906</v>
      </c>
      <c r="C106" s="2266" t="s">
        <v>2878</v>
      </c>
      <c r="D106" s="2266">
        <v>6</v>
      </c>
      <c r="E106" s="2266">
        <v>1958</v>
      </c>
      <c r="F106" s="2266" t="s">
        <v>4834</v>
      </c>
      <c r="G106" s="2266" t="s">
        <v>4836</v>
      </c>
      <c r="H106" s="2266">
        <v>7058303</v>
      </c>
      <c r="I106" s="2266">
        <v>1316250</v>
      </c>
      <c r="J106" s="2266">
        <v>0.18923579362149218</v>
      </c>
      <c r="K106" s="2266">
        <v>1335683.5698259592</v>
      </c>
      <c r="L106" s="2266">
        <v>1316250</v>
      </c>
      <c r="M106" s="2266">
        <v>599</v>
      </c>
    </row>
    <row r="107" spans="1:13" ht="15">
      <c r="A107" s="2266" t="s">
        <v>4019</v>
      </c>
      <c r="B107" s="2465" t="str">
        <f>CONCATENATE(LEFT(RIGHT(CONCATENATE("000",IFAData_TEA_1617!A107),6),3),"-",(RIGHT(RIGHT(CONCATENATE("000",IFAData_TEA_1617!A107),6),3)))</f>
        <v>014-906</v>
      </c>
      <c r="C107" s="2266" t="s">
        <v>2878</v>
      </c>
      <c r="D107" s="2266">
        <v>6</v>
      </c>
      <c r="E107" s="2266">
        <v>1958</v>
      </c>
      <c r="F107" s="2266" t="s">
        <v>4834</v>
      </c>
      <c r="G107" s="2266" t="s">
        <v>4834</v>
      </c>
      <c r="H107" s="2266">
        <v>7058303</v>
      </c>
      <c r="I107" s="2266">
        <v>0</v>
      </c>
      <c r="J107" s="2266">
        <v>0</v>
      </c>
      <c r="K107" s="2266">
        <v>0</v>
      </c>
      <c r="L107" s="2266">
        <v>0</v>
      </c>
      <c r="M107" s="2266">
        <v>599</v>
      </c>
    </row>
    <row r="108" spans="1:13" ht="15">
      <c r="A108" s="2266" t="s">
        <v>4019</v>
      </c>
      <c r="B108" s="2465" t="str">
        <f>CONCATENATE(LEFT(RIGHT(CONCATENATE("000",IFAData_TEA_1617!A108),6),3),"-",(RIGHT(RIGHT(CONCATENATE("000",IFAData_TEA_1617!A108),6),3)))</f>
        <v>014-906</v>
      </c>
      <c r="C108" s="2266" t="s">
        <v>2878</v>
      </c>
      <c r="D108" s="2266">
        <v>2</v>
      </c>
      <c r="E108" s="2266">
        <v>1957</v>
      </c>
      <c r="F108" s="2266" t="s">
        <v>4831</v>
      </c>
      <c r="G108" s="2266" t="s">
        <v>4833</v>
      </c>
      <c r="H108" s="2266">
        <v>5126526</v>
      </c>
      <c r="I108" s="2266">
        <v>1118300</v>
      </c>
      <c r="J108" s="2266">
        <v>0.22683915069701871</v>
      </c>
      <c r="K108" s="2266">
        <v>1162896.8038661845</v>
      </c>
      <c r="L108" s="2266">
        <v>1118300</v>
      </c>
      <c r="M108" s="2266">
        <v>599</v>
      </c>
    </row>
    <row r="109" spans="1:13" ht="15">
      <c r="A109" s="2266" t="s">
        <v>4019</v>
      </c>
      <c r="B109" s="2465" t="str">
        <f>CONCATENATE(LEFT(RIGHT(CONCATENATE("000",IFAData_TEA_1617!A109),6),3),"-",(RIGHT(RIGHT(CONCATENATE("000",IFAData_TEA_1617!A109),6),3)))</f>
        <v>014-906</v>
      </c>
      <c r="C109" s="2266" t="s">
        <v>2878</v>
      </c>
      <c r="D109" s="2266">
        <v>2</v>
      </c>
      <c r="E109" s="2266">
        <v>1957</v>
      </c>
      <c r="F109" s="2266" t="s">
        <v>4831</v>
      </c>
      <c r="G109" s="2266" t="s">
        <v>4831</v>
      </c>
      <c r="H109" s="2266">
        <v>5126526</v>
      </c>
      <c r="I109" s="2266">
        <v>0</v>
      </c>
      <c r="J109" s="2266">
        <v>0</v>
      </c>
      <c r="K109" s="2266">
        <v>0</v>
      </c>
      <c r="L109" s="2266">
        <v>0</v>
      </c>
      <c r="M109" s="2266">
        <v>599</v>
      </c>
    </row>
    <row r="110" spans="1:13" ht="15">
      <c r="A110" s="2266" t="s">
        <v>4020</v>
      </c>
      <c r="B110" s="2465" t="str">
        <f>CONCATENATE(LEFT(RIGHT(CONCATENATE("000",IFAData_TEA_1617!A110),6),3),"-",(RIGHT(RIGHT(CONCATENATE("000",IFAData_TEA_1617!A110),6),3)))</f>
        <v>014-907</v>
      </c>
      <c r="C110" s="2266" t="s">
        <v>1582</v>
      </c>
      <c r="D110" s="2266">
        <v>9</v>
      </c>
      <c r="E110" s="2266">
        <v>2258</v>
      </c>
      <c r="F110" s="2266" t="s">
        <v>4838</v>
      </c>
      <c r="G110" s="2266" t="s">
        <v>4838</v>
      </c>
      <c r="H110" s="2266">
        <v>192381</v>
      </c>
      <c r="I110" s="2266">
        <v>555049</v>
      </c>
      <c r="J110" s="2266">
        <v>1</v>
      </c>
      <c r="K110" s="2266">
        <v>192381</v>
      </c>
      <c r="L110" s="2266">
        <v>192381</v>
      </c>
      <c r="M110" s="2266">
        <v>599</v>
      </c>
    </row>
    <row r="111" spans="1:13" ht="15">
      <c r="A111" s="2266" t="s">
        <v>4020</v>
      </c>
      <c r="B111" s="2465" t="str">
        <f>CONCATENATE(LEFT(RIGHT(CONCATENATE("000",IFAData_TEA_1617!A111),6),3),"-",(RIGHT(RIGHT(CONCATENATE("000",IFAData_TEA_1617!A111),6),3)))</f>
        <v>014-907</v>
      </c>
      <c r="C111" s="2266" t="s">
        <v>1582</v>
      </c>
      <c r="D111" s="2266">
        <v>2</v>
      </c>
      <c r="E111" s="2266">
        <v>2257</v>
      </c>
      <c r="F111" s="2266" t="s">
        <v>4837</v>
      </c>
      <c r="G111" s="2266" t="s">
        <v>6908</v>
      </c>
      <c r="H111" s="2266">
        <v>188100</v>
      </c>
      <c r="I111" s="2266">
        <v>450400</v>
      </c>
      <c r="J111" s="2266">
        <v>1</v>
      </c>
      <c r="K111" s="2266">
        <v>188100</v>
      </c>
      <c r="L111" s="2266">
        <v>188100</v>
      </c>
      <c r="M111" s="2266">
        <v>599</v>
      </c>
    </row>
    <row r="112" spans="1:13" ht="15">
      <c r="A112" s="2266" t="s">
        <v>4020</v>
      </c>
      <c r="B112" s="2465" t="str">
        <f>CONCATENATE(LEFT(RIGHT(CONCATENATE("000",IFAData_TEA_1617!A112),6),3),"-",(RIGHT(RIGHT(CONCATENATE("000",IFAData_TEA_1617!A112),6),3)))</f>
        <v>014-907</v>
      </c>
      <c r="C112" s="2266" t="s">
        <v>1582</v>
      </c>
      <c r="D112" s="2266">
        <v>2</v>
      </c>
      <c r="E112" s="2266">
        <v>2257</v>
      </c>
      <c r="F112" s="2266" t="s">
        <v>4837</v>
      </c>
      <c r="G112" s="2266" t="s">
        <v>4837</v>
      </c>
      <c r="H112" s="2266">
        <v>188100</v>
      </c>
      <c r="I112" s="2266">
        <v>0</v>
      </c>
      <c r="J112" s="2266">
        <v>0</v>
      </c>
      <c r="K112" s="2266">
        <v>0</v>
      </c>
      <c r="L112" s="2266">
        <v>0</v>
      </c>
      <c r="M112" s="2266">
        <v>599</v>
      </c>
    </row>
    <row r="113" spans="1:13" ht="15">
      <c r="A113" s="2266" t="s">
        <v>4021</v>
      </c>
      <c r="B113" s="2465" t="str">
        <f>CONCATENATE(LEFT(RIGHT(CONCATENATE("000",IFAData_TEA_1617!A113),6),3),"-",(RIGHT(RIGHT(CONCATENATE("000",IFAData_TEA_1617!A113),6),3)))</f>
        <v>014-908</v>
      </c>
      <c r="C113" s="2266" t="s">
        <v>2305</v>
      </c>
      <c r="D113" s="2266">
        <v>1</v>
      </c>
      <c r="E113" s="2266">
        <v>2275</v>
      </c>
      <c r="F113" s="2266" t="s">
        <v>4839</v>
      </c>
      <c r="G113" s="2266" t="s">
        <v>4841</v>
      </c>
      <c r="H113" s="2266">
        <v>211190</v>
      </c>
      <c r="I113" s="2266">
        <v>68890</v>
      </c>
      <c r="J113" s="2266">
        <v>7.2901862389136568E-2</v>
      </c>
      <c r="K113" s="2266">
        <v>15396.144317961753</v>
      </c>
      <c r="L113" s="2266">
        <v>15396.144317961753</v>
      </c>
      <c r="M113" s="2266">
        <v>599</v>
      </c>
    </row>
    <row r="114" spans="1:13" ht="15">
      <c r="A114" s="2266" t="s">
        <v>4021</v>
      </c>
      <c r="B114" s="2465" t="str">
        <f>CONCATENATE(LEFT(RIGHT(CONCATENATE("000",IFAData_TEA_1617!A114),6),3),"-",(RIGHT(RIGHT(CONCATENATE("000",IFAData_TEA_1617!A114),6),3)))</f>
        <v>014-908</v>
      </c>
      <c r="C114" s="2266" t="s">
        <v>2305</v>
      </c>
      <c r="D114" s="2266">
        <v>1</v>
      </c>
      <c r="E114" s="2266">
        <v>2275</v>
      </c>
      <c r="F114" s="2266" t="s">
        <v>4839</v>
      </c>
      <c r="G114" s="2266" t="s">
        <v>4839</v>
      </c>
      <c r="H114" s="2266">
        <v>211190</v>
      </c>
      <c r="I114" s="2266">
        <v>0</v>
      </c>
      <c r="J114" s="2266">
        <v>0</v>
      </c>
      <c r="K114" s="2266">
        <v>0</v>
      </c>
      <c r="L114" s="2266">
        <v>0</v>
      </c>
      <c r="M114" s="2266">
        <v>599</v>
      </c>
    </row>
    <row r="115" spans="1:13" ht="15">
      <c r="A115" s="2266" t="s">
        <v>4021</v>
      </c>
      <c r="B115" s="2465" t="str">
        <f>CONCATENATE(LEFT(RIGHT(CONCATENATE("000",IFAData_TEA_1617!A115),6),3),"-",(RIGHT(RIGHT(CONCATENATE("000",IFAData_TEA_1617!A115),6),3)))</f>
        <v>014-908</v>
      </c>
      <c r="C115" s="2266" t="s">
        <v>2305</v>
      </c>
      <c r="D115" s="2266">
        <v>1</v>
      </c>
      <c r="E115" s="2266">
        <v>2275</v>
      </c>
      <c r="F115" s="2266" t="s">
        <v>4839</v>
      </c>
      <c r="G115" s="2266" t="s">
        <v>4840</v>
      </c>
      <c r="H115" s="2266">
        <v>211190</v>
      </c>
      <c r="I115" s="2266">
        <v>477183</v>
      </c>
      <c r="J115" s="2266">
        <v>0.50497212077856524</v>
      </c>
      <c r="K115" s="2266">
        <v>106645.06218722519</v>
      </c>
      <c r="L115" s="2266">
        <v>106645.06218722519</v>
      </c>
      <c r="M115" s="2266">
        <v>599</v>
      </c>
    </row>
    <row r="116" spans="1:13" ht="15">
      <c r="A116" s="2266" t="s">
        <v>4021</v>
      </c>
      <c r="B116" s="2465" t="str">
        <f>CONCATENATE(LEFT(RIGHT(CONCATENATE("000",IFAData_TEA_1617!A116),6),3),"-",(RIGHT(RIGHT(CONCATENATE("000",IFAData_TEA_1617!A116),6),3)))</f>
        <v>014-908</v>
      </c>
      <c r="C116" s="2266" t="s">
        <v>2305</v>
      </c>
      <c r="D116" s="2266">
        <v>1</v>
      </c>
      <c r="E116" s="2266">
        <v>2275</v>
      </c>
      <c r="F116" s="2266" t="s">
        <v>4839</v>
      </c>
      <c r="G116" s="2266" t="s">
        <v>7143</v>
      </c>
      <c r="H116" s="2266">
        <v>211190</v>
      </c>
      <c r="I116" s="2266">
        <v>398896</v>
      </c>
      <c r="J116" s="2266">
        <v>0.42212601683229822</v>
      </c>
      <c r="K116" s="2266">
        <v>89148.793494813057</v>
      </c>
      <c r="L116" s="2266">
        <v>89148.793494813057</v>
      </c>
      <c r="M116" s="2266">
        <v>599</v>
      </c>
    </row>
    <row r="117" spans="1:13" ht="15">
      <c r="A117" s="2266" t="s">
        <v>4022</v>
      </c>
      <c r="B117" s="2465" t="str">
        <f>CONCATENATE(LEFT(RIGHT(CONCATENATE("000",IFAData_TEA_1617!A117),6),3),"-",(RIGHT(RIGHT(CONCATENATE("000",IFAData_TEA_1617!A117),6),3)))</f>
        <v>014-909</v>
      </c>
      <c r="C117" s="2266" t="s">
        <v>658</v>
      </c>
      <c r="D117" s="2266">
        <v>1</v>
      </c>
      <c r="E117" s="2266">
        <v>2391</v>
      </c>
      <c r="F117" s="2266" t="s">
        <v>4842</v>
      </c>
      <c r="G117" s="2266" t="s">
        <v>4842</v>
      </c>
      <c r="H117" s="2266">
        <v>767280</v>
      </c>
      <c r="I117" s="2266">
        <v>0</v>
      </c>
      <c r="J117" s="2266">
        <v>0</v>
      </c>
      <c r="K117" s="2266">
        <v>0</v>
      </c>
      <c r="L117" s="2266">
        <v>0</v>
      </c>
      <c r="M117" s="2266">
        <v>599</v>
      </c>
    </row>
    <row r="118" spans="1:13" ht="15">
      <c r="A118" s="2266" t="s">
        <v>4022</v>
      </c>
      <c r="B118" s="2465" t="str">
        <f>CONCATENATE(LEFT(RIGHT(CONCATENATE("000",IFAData_TEA_1617!A118),6),3),"-",(RIGHT(RIGHT(CONCATENATE("000",IFAData_TEA_1617!A118),6),3)))</f>
        <v>014-909</v>
      </c>
      <c r="C118" s="2266" t="s">
        <v>658</v>
      </c>
      <c r="D118" s="2266">
        <v>1</v>
      </c>
      <c r="E118" s="2266">
        <v>2391</v>
      </c>
      <c r="F118" s="2266" t="s">
        <v>4842</v>
      </c>
      <c r="G118" s="2266" t="s">
        <v>4843</v>
      </c>
      <c r="H118" s="2266">
        <v>767280</v>
      </c>
      <c r="I118" s="2266">
        <v>1478941</v>
      </c>
      <c r="J118" s="2266">
        <v>0.84592413033356706</v>
      </c>
      <c r="K118" s="2266">
        <v>649060.66672233935</v>
      </c>
      <c r="L118" s="2266">
        <v>649060.66672233935</v>
      </c>
      <c r="M118" s="2266">
        <v>599</v>
      </c>
    </row>
    <row r="119" spans="1:13" ht="15">
      <c r="A119" s="2266" t="s">
        <v>4022</v>
      </c>
      <c r="B119" s="2465" t="str">
        <f>CONCATENATE(LEFT(RIGHT(CONCATENATE("000",IFAData_TEA_1617!A119),6),3),"-",(RIGHT(RIGHT(CONCATENATE("000",IFAData_TEA_1617!A119),6),3)))</f>
        <v>014-909</v>
      </c>
      <c r="C119" s="2266" t="s">
        <v>658</v>
      </c>
      <c r="D119" s="2266">
        <v>9</v>
      </c>
      <c r="E119" s="2266">
        <v>2392</v>
      </c>
      <c r="F119" s="2266" t="s">
        <v>4845</v>
      </c>
      <c r="G119" s="2266" t="s">
        <v>4845</v>
      </c>
      <c r="H119" s="2266">
        <v>1498738</v>
      </c>
      <c r="I119" s="2266">
        <v>881803</v>
      </c>
      <c r="J119" s="2266">
        <v>0.63741585062342643</v>
      </c>
      <c r="K119" s="2266">
        <v>955319.35713165288</v>
      </c>
      <c r="L119" s="2266">
        <v>881803</v>
      </c>
      <c r="M119" s="2266">
        <v>599</v>
      </c>
    </row>
    <row r="120" spans="1:13" ht="15">
      <c r="A120" s="2266" t="s">
        <v>4022</v>
      </c>
      <c r="B120" s="2465" t="str">
        <f>CONCATENATE(LEFT(RIGHT(CONCATENATE("000",IFAData_TEA_1617!A120),6),3),"-",(RIGHT(RIGHT(CONCATENATE("000",IFAData_TEA_1617!A120),6),3)))</f>
        <v>014-909</v>
      </c>
      <c r="C120" s="2266" t="s">
        <v>658</v>
      </c>
      <c r="D120" s="2266">
        <v>1</v>
      </c>
      <c r="E120" s="2266">
        <v>2391</v>
      </c>
      <c r="F120" s="2266" t="s">
        <v>4842</v>
      </c>
      <c r="G120" s="2266" t="s">
        <v>6909</v>
      </c>
      <c r="H120" s="2266">
        <v>767280</v>
      </c>
      <c r="I120" s="2266">
        <v>269373</v>
      </c>
      <c r="J120" s="2266">
        <v>0.15407586966643291</v>
      </c>
      <c r="K120" s="2266">
        <v>118219.33327766064</v>
      </c>
      <c r="L120" s="2266">
        <v>118219.33327766064</v>
      </c>
      <c r="M120" s="2266">
        <v>599</v>
      </c>
    </row>
    <row r="121" spans="1:13" ht="15">
      <c r="A121" s="2266" t="s">
        <v>4022</v>
      </c>
      <c r="B121" s="2465" t="str">
        <f>CONCATENATE(LEFT(RIGHT(CONCATENATE("000",IFAData_TEA_1617!A121),6),3),"-",(RIGHT(RIGHT(CONCATENATE("000",IFAData_TEA_1617!A121),6),3)))</f>
        <v>014-909</v>
      </c>
      <c r="C121" s="2266" t="s">
        <v>658</v>
      </c>
      <c r="D121" s="2266">
        <v>1</v>
      </c>
      <c r="E121" s="2266">
        <v>2391</v>
      </c>
      <c r="F121" s="2266" t="s">
        <v>4842</v>
      </c>
      <c r="G121" s="2266" t="s">
        <v>4844</v>
      </c>
      <c r="H121" s="2266">
        <v>767280</v>
      </c>
      <c r="I121" s="2266">
        <v>0</v>
      </c>
      <c r="J121" s="2266">
        <v>0</v>
      </c>
      <c r="K121" s="2266">
        <v>0</v>
      </c>
      <c r="L121" s="2266">
        <v>0</v>
      </c>
      <c r="M121" s="2266">
        <v>599</v>
      </c>
    </row>
    <row r="122" spans="1:13" ht="15">
      <c r="A122" s="2266" t="s">
        <v>4022</v>
      </c>
      <c r="B122" s="2465" t="str">
        <f>CONCATENATE(LEFT(RIGHT(CONCATENATE("000",IFAData_TEA_1617!A122),6),3),"-",(RIGHT(RIGHT(CONCATENATE("000",IFAData_TEA_1617!A122),6),3)))</f>
        <v>014-909</v>
      </c>
      <c r="C122" s="2266" t="s">
        <v>658</v>
      </c>
      <c r="D122" s="2266">
        <v>9</v>
      </c>
      <c r="E122" s="2266">
        <v>2392</v>
      </c>
      <c r="F122" s="2266" t="s">
        <v>4845</v>
      </c>
      <c r="G122" s="2266" t="s">
        <v>4846</v>
      </c>
      <c r="H122" s="2266">
        <v>1498738</v>
      </c>
      <c r="I122" s="2266">
        <v>209600</v>
      </c>
      <c r="J122" s="2266">
        <v>0.15151044200424604</v>
      </c>
      <c r="K122" s="2266">
        <v>227074.45682855972</v>
      </c>
      <c r="L122" s="2266">
        <v>209600</v>
      </c>
      <c r="M122" s="2266">
        <v>599</v>
      </c>
    </row>
    <row r="123" spans="1:13" ht="15">
      <c r="A123" s="2266" t="s">
        <v>4022</v>
      </c>
      <c r="B123" s="2465" t="str">
        <f>CONCATENATE(LEFT(RIGHT(CONCATENATE("000",IFAData_TEA_1617!A123),6),3),"-",(RIGHT(RIGHT(CONCATENATE("000",IFAData_TEA_1617!A123),6),3)))</f>
        <v>014-909</v>
      </c>
      <c r="C123" s="2266" t="s">
        <v>658</v>
      </c>
      <c r="D123" s="2266">
        <v>9</v>
      </c>
      <c r="E123" s="2266">
        <v>2392</v>
      </c>
      <c r="F123" s="2266" t="s">
        <v>4845</v>
      </c>
      <c r="G123" s="2266" t="s">
        <v>6910</v>
      </c>
      <c r="H123" s="2266">
        <v>1498738</v>
      </c>
      <c r="I123" s="2266">
        <v>292000</v>
      </c>
      <c r="J123" s="2266">
        <v>0.2110737073723275</v>
      </c>
      <c r="K123" s="2266">
        <v>316344.18603978737</v>
      </c>
      <c r="L123" s="2266">
        <v>292000</v>
      </c>
      <c r="M123" s="2266">
        <v>599</v>
      </c>
    </row>
    <row r="124" spans="1:13" ht="15">
      <c r="A124" s="2266" t="s">
        <v>4023</v>
      </c>
      <c r="B124" s="2465" t="str">
        <f>CONCATENATE(LEFT(RIGHT(CONCATENATE("000",IFAData_TEA_1617!A124),6),3),"-",(RIGHT(RIGHT(CONCATENATE("000",IFAData_TEA_1617!A124),6),3)))</f>
        <v>014-910</v>
      </c>
      <c r="C124" s="2266" t="s">
        <v>2640</v>
      </c>
      <c r="D124" s="2266">
        <v>9</v>
      </c>
      <c r="E124" s="2266">
        <v>2402</v>
      </c>
      <c r="F124" s="2266" t="s">
        <v>4849</v>
      </c>
      <c r="G124" s="2266" t="s">
        <v>4850</v>
      </c>
      <c r="H124" s="2266">
        <v>284227</v>
      </c>
      <c r="I124" s="2266">
        <v>350730</v>
      </c>
      <c r="J124" s="2266">
        <v>0.47734408706054959</v>
      </c>
      <c r="K124" s="2266">
        <v>135674.07783295884</v>
      </c>
      <c r="L124" s="2266">
        <v>135674.07783295884</v>
      </c>
      <c r="M124" s="2266">
        <v>599</v>
      </c>
    </row>
    <row r="125" spans="1:13" ht="15">
      <c r="A125" s="2266" t="s">
        <v>4023</v>
      </c>
      <c r="B125" s="2465" t="str">
        <f>CONCATENATE(LEFT(RIGHT(CONCATENATE("000",IFAData_TEA_1617!A125),6),3),"-",(RIGHT(RIGHT(CONCATENATE("000",IFAData_TEA_1617!A125),6),3)))</f>
        <v>014-910</v>
      </c>
      <c r="C125" s="2266" t="s">
        <v>2640</v>
      </c>
      <c r="D125" s="2266">
        <v>9</v>
      </c>
      <c r="E125" s="2266">
        <v>2402</v>
      </c>
      <c r="F125" s="2266" t="s">
        <v>4849</v>
      </c>
      <c r="G125" s="2266" t="s">
        <v>4849</v>
      </c>
      <c r="H125" s="2266">
        <v>284227</v>
      </c>
      <c r="I125" s="2266">
        <v>0</v>
      </c>
      <c r="J125" s="2266">
        <v>0</v>
      </c>
      <c r="K125" s="2266">
        <v>0</v>
      </c>
      <c r="L125" s="2266">
        <v>0</v>
      </c>
      <c r="M125" s="2266">
        <v>599</v>
      </c>
    </row>
    <row r="126" spans="1:13" ht="15">
      <c r="A126" s="2266" t="s">
        <v>4023</v>
      </c>
      <c r="B126" s="2465" t="str">
        <f>CONCATENATE(LEFT(RIGHT(CONCATENATE("000",IFAData_TEA_1617!A126),6),3),"-",(RIGHT(RIGHT(CONCATENATE("000",IFAData_TEA_1617!A126),6),3)))</f>
        <v>014-910</v>
      </c>
      <c r="C126" s="2266" t="s">
        <v>2640</v>
      </c>
      <c r="D126" s="2266">
        <v>3</v>
      </c>
      <c r="E126" s="2266">
        <v>2403</v>
      </c>
      <c r="F126" s="2266" t="s">
        <v>4847</v>
      </c>
      <c r="G126" s="2266" t="s">
        <v>4847</v>
      </c>
      <c r="H126" s="2266">
        <v>290625</v>
      </c>
      <c r="I126" s="2266">
        <v>0</v>
      </c>
      <c r="J126" s="2266">
        <v>0</v>
      </c>
      <c r="K126" s="2266">
        <v>0</v>
      </c>
      <c r="L126" s="2266">
        <v>0</v>
      </c>
      <c r="M126" s="2266">
        <v>599</v>
      </c>
    </row>
    <row r="127" spans="1:13" ht="15">
      <c r="A127" s="2266" t="s">
        <v>4023</v>
      </c>
      <c r="B127" s="2465" t="str">
        <f>CONCATENATE(LEFT(RIGHT(CONCATENATE("000",IFAData_TEA_1617!A127),6),3),"-",(RIGHT(RIGHT(CONCATENATE("000",IFAData_TEA_1617!A127),6),3)))</f>
        <v>014-910</v>
      </c>
      <c r="C127" s="2266" t="s">
        <v>2640</v>
      </c>
      <c r="D127" s="2266">
        <v>9</v>
      </c>
      <c r="E127" s="2266">
        <v>2402</v>
      </c>
      <c r="F127" s="2266" t="s">
        <v>4849</v>
      </c>
      <c r="G127" s="2266" t="s">
        <v>4851</v>
      </c>
      <c r="H127" s="2266">
        <v>284227</v>
      </c>
      <c r="I127" s="2266">
        <v>384023</v>
      </c>
      <c r="J127" s="2266">
        <v>0.52265591293945035</v>
      </c>
      <c r="K127" s="2266">
        <v>148552.92216704116</v>
      </c>
      <c r="L127" s="2266">
        <v>148552.92216704116</v>
      </c>
      <c r="M127" s="2266">
        <v>599</v>
      </c>
    </row>
    <row r="128" spans="1:13" ht="15">
      <c r="A128" s="2266" t="s">
        <v>4023</v>
      </c>
      <c r="B128" s="2465" t="str">
        <f>CONCATENATE(LEFT(RIGHT(CONCATENATE("000",IFAData_TEA_1617!A128),6),3),"-",(RIGHT(RIGHT(CONCATENATE("000",IFAData_TEA_1617!A128),6),3)))</f>
        <v>014-910</v>
      </c>
      <c r="C128" s="2266" t="s">
        <v>2640</v>
      </c>
      <c r="D128" s="2266">
        <v>3</v>
      </c>
      <c r="E128" s="2266">
        <v>2403</v>
      </c>
      <c r="F128" s="2266" t="s">
        <v>4847</v>
      </c>
      <c r="G128" s="2266" t="s">
        <v>4848</v>
      </c>
      <c r="H128" s="2266">
        <v>290625</v>
      </c>
      <c r="I128" s="2266">
        <v>559450</v>
      </c>
      <c r="J128" s="2266">
        <v>1</v>
      </c>
      <c r="K128" s="2266">
        <v>290625</v>
      </c>
      <c r="L128" s="2266">
        <v>290625</v>
      </c>
      <c r="M128" s="2266">
        <v>599</v>
      </c>
    </row>
    <row r="129" spans="1:13" ht="15">
      <c r="A129" s="2266" t="s">
        <v>4024</v>
      </c>
      <c r="B129" s="2465" t="str">
        <f>CONCATENATE(LEFT(RIGHT(CONCATENATE("000",IFAData_TEA_1617!A129),6),3),"-",(RIGHT(RIGHT(CONCATENATE("000",IFAData_TEA_1617!A129),6),3)))</f>
        <v>015-904</v>
      </c>
      <c r="C129" s="2266" t="s">
        <v>822</v>
      </c>
      <c r="D129" s="2266">
        <v>2</v>
      </c>
      <c r="E129" s="2266">
        <v>1868</v>
      </c>
      <c r="F129" s="2266" t="s">
        <v>4852</v>
      </c>
      <c r="G129" s="2266" t="s">
        <v>4853</v>
      </c>
      <c r="H129" s="2266">
        <v>3489913</v>
      </c>
      <c r="I129" s="2266">
        <v>0</v>
      </c>
      <c r="J129" s="2266">
        <v>0</v>
      </c>
      <c r="K129" s="2266"/>
      <c r="L129" s="2266">
        <v>0</v>
      </c>
      <c r="M129" s="2266">
        <v>599</v>
      </c>
    </row>
    <row r="130" spans="1:13" ht="15">
      <c r="A130" s="2266" t="s">
        <v>4024</v>
      </c>
      <c r="B130" s="2465" t="str">
        <f>CONCATENATE(LEFT(RIGHT(CONCATENATE("000",IFAData_TEA_1617!A130),6),3),"-",(RIGHT(RIGHT(CONCATENATE("000",IFAData_TEA_1617!A130),6),3)))</f>
        <v>015-904</v>
      </c>
      <c r="C130" s="2266" t="s">
        <v>822</v>
      </c>
      <c r="D130" s="2266">
        <v>4</v>
      </c>
      <c r="E130" s="2266">
        <v>1869</v>
      </c>
      <c r="F130" s="2266" t="s">
        <v>4857</v>
      </c>
      <c r="G130" s="2266" t="s">
        <v>4853</v>
      </c>
      <c r="H130" s="2266">
        <v>3515081</v>
      </c>
      <c r="I130" s="2266">
        <v>0</v>
      </c>
      <c r="J130" s="2266">
        <v>0</v>
      </c>
      <c r="K130" s="2266"/>
      <c r="L130" s="2266">
        <v>0</v>
      </c>
      <c r="M130" s="2266">
        <v>599</v>
      </c>
    </row>
    <row r="131" spans="1:13" ht="15">
      <c r="A131" s="2266" t="s">
        <v>4024</v>
      </c>
      <c r="B131" s="2465" t="str">
        <f>CONCATENATE(LEFT(RIGHT(CONCATENATE("000",IFAData_TEA_1617!A131),6),3),"-",(RIGHT(RIGHT(CONCATENATE("000",IFAData_TEA_1617!A131),6),3)))</f>
        <v>015-904</v>
      </c>
      <c r="C131" s="2266" t="s">
        <v>822</v>
      </c>
      <c r="D131" s="2266">
        <v>4</v>
      </c>
      <c r="E131" s="2266">
        <v>1869</v>
      </c>
      <c r="F131" s="2266" t="s">
        <v>4857</v>
      </c>
      <c r="G131" s="2266" t="s">
        <v>4858</v>
      </c>
      <c r="H131" s="2266">
        <v>3515081</v>
      </c>
      <c r="I131" s="2266">
        <v>0</v>
      </c>
      <c r="J131" s="2266">
        <v>0</v>
      </c>
      <c r="K131" s="2266"/>
      <c r="L131" s="2266">
        <v>0</v>
      </c>
      <c r="M131" s="2266">
        <v>599</v>
      </c>
    </row>
    <row r="132" spans="1:13" ht="15">
      <c r="A132" s="2266" t="s">
        <v>4024</v>
      </c>
      <c r="B132" s="2465" t="str">
        <f>CONCATENATE(LEFT(RIGHT(CONCATENATE("000",IFAData_TEA_1617!A132),6),3),"-",(RIGHT(RIGHT(CONCATENATE("000",IFAData_TEA_1617!A132),6),3)))</f>
        <v>015-904</v>
      </c>
      <c r="C132" s="2266" t="s">
        <v>822</v>
      </c>
      <c r="D132" s="2266">
        <v>2</v>
      </c>
      <c r="E132" s="2266">
        <v>1868</v>
      </c>
      <c r="F132" s="2266" t="s">
        <v>4852</v>
      </c>
      <c r="G132" s="2266" t="s">
        <v>4854</v>
      </c>
      <c r="H132" s="2266">
        <v>3489913</v>
      </c>
      <c r="I132" s="2266">
        <v>0</v>
      </c>
      <c r="J132" s="2266">
        <v>0</v>
      </c>
      <c r="K132" s="2266"/>
      <c r="L132" s="2266">
        <v>0</v>
      </c>
      <c r="M132" s="2266">
        <v>599</v>
      </c>
    </row>
    <row r="133" spans="1:13" ht="15">
      <c r="A133" s="2266" t="s">
        <v>4024</v>
      </c>
      <c r="B133" s="2465" t="str">
        <f>CONCATENATE(LEFT(RIGHT(CONCATENATE("000",IFAData_TEA_1617!A133),6),3),"-",(RIGHT(RIGHT(CONCATENATE("000",IFAData_TEA_1617!A133),6),3)))</f>
        <v>015-904</v>
      </c>
      <c r="C133" s="2266" t="s">
        <v>822</v>
      </c>
      <c r="D133" s="2266">
        <v>2</v>
      </c>
      <c r="E133" s="2266">
        <v>1868</v>
      </c>
      <c r="F133" s="2266" t="s">
        <v>4852</v>
      </c>
      <c r="G133" s="2266" t="s">
        <v>4855</v>
      </c>
      <c r="H133" s="2266">
        <v>3489913</v>
      </c>
      <c r="I133" s="2266">
        <v>0</v>
      </c>
      <c r="J133" s="2266">
        <v>0</v>
      </c>
      <c r="K133" s="2266"/>
      <c r="L133" s="2266">
        <v>0</v>
      </c>
      <c r="M133" s="2266">
        <v>599</v>
      </c>
    </row>
    <row r="134" spans="1:13" ht="15">
      <c r="A134" s="2266" t="s">
        <v>4024</v>
      </c>
      <c r="B134" s="2465" t="str">
        <f>CONCATENATE(LEFT(RIGHT(CONCATENATE("000",IFAData_TEA_1617!A134),6),3),"-",(RIGHT(RIGHT(CONCATENATE("000",IFAData_TEA_1617!A134),6),3)))</f>
        <v>015-904</v>
      </c>
      <c r="C134" s="2266" t="s">
        <v>822</v>
      </c>
      <c r="D134" s="2266">
        <v>5</v>
      </c>
      <c r="E134" s="2266">
        <v>1867</v>
      </c>
      <c r="F134" s="2266" t="s">
        <v>4859</v>
      </c>
      <c r="G134" s="2266" t="s">
        <v>4856</v>
      </c>
      <c r="H134" s="2266">
        <v>3411660</v>
      </c>
      <c r="I134" s="2266">
        <v>1537182</v>
      </c>
      <c r="J134" s="2266">
        <v>0.4787816154677052</v>
      </c>
      <c r="K134" s="2266">
        <v>1633440.0862265511</v>
      </c>
      <c r="L134" s="2266">
        <v>1537182</v>
      </c>
      <c r="M134" s="2266">
        <v>599</v>
      </c>
    </row>
    <row r="135" spans="1:13" ht="15">
      <c r="A135" s="2266" t="s">
        <v>4024</v>
      </c>
      <c r="B135" s="2465" t="str">
        <f>CONCATENATE(LEFT(RIGHT(CONCATENATE("000",IFAData_TEA_1617!A135),6),3),"-",(RIGHT(RIGHT(CONCATENATE("000",IFAData_TEA_1617!A135),6),3)))</f>
        <v>015-904</v>
      </c>
      <c r="C135" s="2266" t="s">
        <v>822</v>
      </c>
      <c r="D135" s="2266">
        <v>2</v>
      </c>
      <c r="E135" s="2266">
        <v>1868</v>
      </c>
      <c r="F135" s="2266" t="s">
        <v>4852</v>
      </c>
      <c r="G135" s="2266" t="s">
        <v>4852</v>
      </c>
      <c r="H135" s="2266">
        <v>3489913</v>
      </c>
      <c r="I135" s="2266">
        <v>0</v>
      </c>
      <c r="J135" s="2266">
        <v>0</v>
      </c>
      <c r="K135" s="2266"/>
      <c r="L135" s="2266">
        <v>0</v>
      </c>
      <c r="M135" s="2266">
        <v>599</v>
      </c>
    </row>
    <row r="136" spans="1:13" ht="15">
      <c r="A136" s="2266" t="s">
        <v>4024</v>
      </c>
      <c r="B136" s="2465" t="str">
        <f>CONCATENATE(LEFT(RIGHT(CONCATENATE("000",IFAData_TEA_1617!A136),6),3),"-",(RIGHT(RIGHT(CONCATENATE("000",IFAData_TEA_1617!A136),6),3)))</f>
        <v>015-904</v>
      </c>
      <c r="C136" s="2266" t="s">
        <v>822</v>
      </c>
      <c r="D136" s="2266">
        <v>5</v>
      </c>
      <c r="E136" s="2266">
        <v>1867</v>
      </c>
      <c r="F136" s="2266" t="s">
        <v>4859</v>
      </c>
      <c r="G136" s="2266" t="s">
        <v>4854</v>
      </c>
      <c r="H136" s="2266">
        <v>3411660</v>
      </c>
      <c r="I136" s="2266">
        <v>1431580</v>
      </c>
      <c r="J136" s="2266">
        <v>0.44589006706509537</v>
      </c>
      <c r="K136" s="2266">
        <v>1521225.3062033034</v>
      </c>
      <c r="L136" s="2266">
        <v>1431580</v>
      </c>
      <c r="M136" s="2266">
        <v>599</v>
      </c>
    </row>
    <row r="137" spans="1:13" ht="15">
      <c r="A137" s="2266" t="s">
        <v>4024</v>
      </c>
      <c r="B137" s="2465" t="str">
        <f>CONCATENATE(LEFT(RIGHT(CONCATENATE("000",IFAData_TEA_1617!A137),6),3),"-",(RIGHT(RIGHT(CONCATENATE("000",IFAData_TEA_1617!A137),6),3)))</f>
        <v>015-904</v>
      </c>
      <c r="C137" s="2266" t="s">
        <v>822</v>
      </c>
      <c r="D137" s="2266">
        <v>5</v>
      </c>
      <c r="E137" s="2266">
        <v>1867</v>
      </c>
      <c r="F137" s="2266" t="s">
        <v>4859</v>
      </c>
      <c r="G137" s="2266" t="s">
        <v>4859</v>
      </c>
      <c r="H137" s="2266">
        <v>3411660</v>
      </c>
      <c r="I137" s="2266">
        <v>0</v>
      </c>
      <c r="J137" s="2266">
        <v>0</v>
      </c>
      <c r="K137" s="2266">
        <v>0</v>
      </c>
      <c r="L137" s="2266">
        <v>0</v>
      </c>
      <c r="M137" s="2266">
        <v>599</v>
      </c>
    </row>
    <row r="138" spans="1:13" ht="15">
      <c r="A138" s="2266" t="s">
        <v>4024</v>
      </c>
      <c r="B138" s="2465" t="str">
        <f>CONCATENATE(LEFT(RIGHT(CONCATENATE("000",IFAData_TEA_1617!A138),6),3),"-",(RIGHT(RIGHT(CONCATENATE("000",IFAData_TEA_1617!A138),6),3)))</f>
        <v>015-904</v>
      </c>
      <c r="C138" s="2266" t="s">
        <v>822</v>
      </c>
      <c r="D138" s="2266">
        <v>4</v>
      </c>
      <c r="E138" s="2266">
        <v>1869</v>
      </c>
      <c r="F138" s="2266" t="s">
        <v>4857</v>
      </c>
      <c r="G138" s="2266" t="s">
        <v>4856</v>
      </c>
      <c r="H138" s="2266">
        <v>3515081</v>
      </c>
      <c r="I138" s="2266">
        <v>0</v>
      </c>
      <c r="J138" s="2266">
        <v>0</v>
      </c>
      <c r="K138" s="2266"/>
      <c r="L138" s="2266">
        <v>0</v>
      </c>
      <c r="M138" s="2266">
        <v>599</v>
      </c>
    </row>
    <row r="139" spans="1:13" ht="15">
      <c r="A139" s="2266" t="s">
        <v>4024</v>
      </c>
      <c r="B139" s="2465" t="str">
        <f>CONCATENATE(LEFT(RIGHT(CONCATENATE("000",IFAData_TEA_1617!A139),6),3),"-",(RIGHT(RIGHT(CONCATENATE("000",IFAData_TEA_1617!A139),6),3)))</f>
        <v>015-904</v>
      </c>
      <c r="C139" s="2266" t="s">
        <v>822</v>
      </c>
      <c r="D139" s="2266">
        <v>4</v>
      </c>
      <c r="E139" s="2266">
        <v>1869</v>
      </c>
      <c r="F139" s="2266" t="s">
        <v>4857</v>
      </c>
      <c r="G139" s="2266" t="s">
        <v>6911</v>
      </c>
      <c r="H139" s="2266">
        <v>3515081</v>
      </c>
      <c r="I139" s="2266">
        <v>0</v>
      </c>
      <c r="J139" s="2266">
        <v>0</v>
      </c>
      <c r="K139" s="2266"/>
      <c r="L139" s="2266">
        <v>0</v>
      </c>
      <c r="M139" s="2266">
        <v>599</v>
      </c>
    </row>
    <row r="140" spans="1:13" ht="15">
      <c r="A140" s="2266" t="s">
        <v>4024</v>
      </c>
      <c r="B140" s="2465" t="str">
        <f>CONCATENATE(LEFT(RIGHT(CONCATENATE("000",IFAData_TEA_1617!A140),6),3),"-",(RIGHT(RIGHT(CONCATENATE("000",IFAData_TEA_1617!A140),6),3)))</f>
        <v>015-904</v>
      </c>
      <c r="C140" s="2266" t="s">
        <v>822</v>
      </c>
      <c r="D140" s="2266">
        <v>4</v>
      </c>
      <c r="E140" s="2266">
        <v>1869</v>
      </c>
      <c r="F140" s="2266" t="s">
        <v>4857</v>
      </c>
      <c r="G140" s="2266" t="s">
        <v>4857</v>
      </c>
      <c r="H140" s="2266">
        <v>3515081</v>
      </c>
      <c r="I140" s="2266">
        <v>0</v>
      </c>
      <c r="J140" s="2266">
        <v>0</v>
      </c>
      <c r="K140" s="2266"/>
      <c r="L140" s="2266">
        <v>0</v>
      </c>
      <c r="M140" s="2266">
        <v>599</v>
      </c>
    </row>
    <row r="141" spans="1:13" ht="15">
      <c r="A141" s="2266" t="s">
        <v>4024</v>
      </c>
      <c r="B141" s="2465" t="str">
        <f>CONCATENATE(LEFT(RIGHT(CONCATENATE("000",IFAData_TEA_1617!A141),6),3),"-",(RIGHT(RIGHT(CONCATENATE("000",IFAData_TEA_1617!A141),6),3)))</f>
        <v>015-904</v>
      </c>
      <c r="C141" s="2266" t="s">
        <v>822</v>
      </c>
      <c r="D141" s="2266">
        <v>8</v>
      </c>
      <c r="E141" s="2266">
        <v>1866</v>
      </c>
      <c r="F141" s="2266" t="s">
        <v>4861</v>
      </c>
      <c r="G141" s="2266" t="s">
        <v>4862</v>
      </c>
      <c r="H141" s="2266">
        <v>3182950</v>
      </c>
      <c r="I141" s="2266">
        <v>327213</v>
      </c>
      <c r="J141" s="2266">
        <v>0.1172391282226939</v>
      </c>
      <c r="K141" s="2266">
        <v>373166.28317642357</v>
      </c>
      <c r="L141" s="2266">
        <v>327213</v>
      </c>
      <c r="M141" s="2266">
        <v>599</v>
      </c>
    </row>
    <row r="142" spans="1:13" ht="15">
      <c r="A142" s="2266" t="s">
        <v>4024</v>
      </c>
      <c r="B142" s="2465" t="str">
        <f>CONCATENATE(LEFT(RIGHT(CONCATENATE("000",IFAData_TEA_1617!A142),6),3),"-",(RIGHT(RIGHT(CONCATENATE("000",IFAData_TEA_1617!A142),6),3)))</f>
        <v>015-904</v>
      </c>
      <c r="C142" s="2266" t="s">
        <v>822</v>
      </c>
      <c r="D142" s="2266">
        <v>8</v>
      </c>
      <c r="E142" s="2266">
        <v>1866</v>
      </c>
      <c r="F142" s="2266" t="s">
        <v>4861</v>
      </c>
      <c r="G142" s="2266" t="s">
        <v>4863</v>
      </c>
      <c r="H142" s="2266">
        <v>3182950</v>
      </c>
      <c r="I142" s="2266">
        <v>340300</v>
      </c>
      <c r="J142" s="2266">
        <v>0.12192814874159258</v>
      </c>
      <c r="K142" s="2266">
        <v>388091.20103705209</v>
      </c>
      <c r="L142" s="2266">
        <v>340300</v>
      </c>
      <c r="M142" s="2266">
        <v>599</v>
      </c>
    </row>
    <row r="143" spans="1:13" ht="15">
      <c r="A143" s="2266" t="s">
        <v>4024</v>
      </c>
      <c r="B143" s="2465" t="str">
        <f>CONCATENATE(LEFT(RIGHT(CONCATENATE("000",IFAData_TEA_1617!A143),6),3),"-",(RIGHT(RIGHT(CONCATENATE("000",IFAData_TEA_1617!A143),6),3)))</f>
        <v>015-904</v>
      </c>
      <c r="C143" s="2266" t="s">
        <v>822</v>
      </c>
      <c r="D143" s="2266">
        <v>4</v>
      </c>
      <c r="E143" s="2266">
        <v>1869</v>
      </c>
      <c r="F143" s="2266" t="s">
        <v>4857</v>
      </c>
      <c r="G143" s="2266" t="s">
        <v>4855</v>
      </c>
      <c r="H143" s="2266">
        <v>3515081</v>
      </c>
      <c r="I143" s="2266">
        <v>0</v>
      </c>
      <c r="J143" s="2266">
        <v>0</v>
      </c>
      <c r="K143" s="2266"/>
      <c r="L143" s="2266">
        <v>0</v>
      </c>
      <c r="M143" s="2266">
        <v>599</v>
      </c>
    </row>
    <row r="144" spans="1:13" ht="15">
      <c r="A144" s="2266" t="s">
        <v>4024</v>
      </c>
      <c r="B144" s="2465" t="str">
        <f>CONCATENATE(LEFT(RIGHT(CONCATENATE("000",IFAData_TEA_1617!A144),6),3),"-",(RIGHT(RIGHT(CONCATENATE("000",IFAData_TEA_1617!A144),6),3)))</f>
        <v>015-904</v>
      </c>
      <c r="C144" s="2266" t="s">
        <v>822</v>
      </c>
      <c r="D144" s="2266">
        <v>8</v>
      </c>
      <c r="E144" s="2266">
        <v>1866</v>
      </c>
      <c r="F144" s="2266" t="s">
        <v>4861</v>
      </c>
      <c r="G144" s="2266" t="s">
        <v>6913</v>
      </c>
      <c r="H144" s="2266">
        <v>3182950</v>
      </c>
      <c r="I144" s="2266">
        <v>777900</v>
      </c>
      <c r="J144" s="2266">
        <v>0.27871850398496878</v>
      </c>
      <c r="K144" s="2266">
        <v>887147.06225895637</v>
      </c>
      <c r="L144" s="2266">
        <v>777900</v>
      </c>
      <c r="M144" s="2266">
        <v>599</v>
      </c>
    </row>
    <row r="145" spans="1:13" ht="15">
      <c r="A145" s="2266" t="s">
        <v>4024</v>
      </c>
      <c r="B145" s="2465" t="str">
        <f>CONCATENATE(LEFT(RIGHT(CONCATENATE("000",IFAData_TEA_1617!A145),6),3),"-",(RIGHT(RIGHT(CONCATENATE("000",IFAData_TEA_1617!A145),6),3)))</f>
        <v>015-904</v>
      </c>
      <c r="C145" s="2266" t="s">
        <v>822</v>
      </c>
      <c r="D145" s="2266">
        <v>5</v>
      </c>
      <c r="E145" s="2266">
        <v>1867</v>
      </c>
      <c r="F145" s="2266" t="s">
        <v>4859</v>
      </c>
      <c r="G145" s="2266" t="s">
        <v>4853</v>
      </c>
      <c r="H145" s="2266">
        <v>3411660</v>
      </c>
      <c r="I145" s="2266">
        <v>0</v>
      </c>
      <c r="J145" s="2266">
        <v>0</v>
      </c>
      <c r="K145" s="2266">
        <v>0</v>
      </c>
      <c r="L145" s="2266">
        <v>0</v>
      </c>
      <c r="M145" s="2266">
        <v>599</v>
      </c>
    </row>
    <row r="146" spans="1:13" ht="15">
      <c r="A146" s="2266" t="s">
        <v>4024</v>
      </c>
      <c r="B146" s="2465" t="str">
        <f>CONCATENATE(LEFT(RIGHT(CONCATENATE("000",IFAData_TEA_1617!A146),6),3),"-",(RIGHT(RIGHT(CONCATENATE("000",IFAData_TEA_1617!A146),6),3)))</f>
        <v>015-904</v>
      </c>
      <c r="C146" s="2266" t="s">
        <v>822</v>
      </c>
      <c r="D146" s="2266">
        <v>8</v>
      </c>
      <c r="E146" s="2266">
        <v>1866</v>
      </c>
      <c r="F146" s="2266" t="s">
        <v>4861</v>
      </c>
      <c r="G146" s="2266" t="s">
        <v>6912</v>
      </c>
      <c r="H146" s="2266">
        <v>3182950</v>
      </c>
      <c r="I146" s="2266">
        <v>1345575</v>
      </c>
      <c r="J146" s="2266">
        <v>0.48211421905074475</v>
      </c>
      <c r="K146" s="2266">
        <v>1534545.4535275679</v>
      </c>
      <c r="L146" s="2266">
        <v>1345575</v>
      </c>
      <c r="M146" s="2266">
        <v>599</v>
      </c>
    </row>
    <row r="147" spans="1:13" ht="15">
      <c r="A147" s="2266" t="s">
        <v>4024</v>
      </c>
      <c r="B147" s="2465" t="str">
        <f>CONCATENATE(LEFT(RIGHT(CONCATENATE("000",IFAData_TEA_1617!A147),6),3),"-",(RIGHT(RIGHT(CONCATENATE("000",IFAData_TEA_1617!A147),6),3)))</f>
        <v>015-904</v>
      </c>
      <c r="C147" s="2266" t="s">
        <v>822</v>
      </c>
      <c r="D147" s="2266">
        <v>2</v>
      </c>
      <c r="E147" s="2266">
        <v>1868</v>
      </c>
      <c r="F147" s="2266" t="s">
        <v>4852</v>
      </c>
      <c r="G147" s="2266" t="s">
        <v>4856</v>
      </c>
      <c r="H147" s="2266">
        <v>3489913</v>
      </c>
      <c r="I147" s="2266">
        <v>0</v>
      </c>
      <c r="J147" s="2266">
        <v>0</v>
      </c>
      <c r="K147" s="2266"/>
      <c r="L147" s="2266">
        <v>0</v>
      </c>
      <c r="M147" s="2266">
        <v>599</v>
      </c>
    </row>
    <row r="148" spans="1:13" ht="15">
      <c r="A148" s="2266" t="s">
        <v>4024</v>
      </c>
      <c r="B148" s="2465" t="str">
        <f>CONCATENATE(LEFT(RIGHT(CONCATENATE("000",IFAData_TEA_1617!A148),6),3),"-",(RIGHT(RIGHT(CONCATENATE("000",IFAData_TEA_1617!A148),6),3)))</f>
        <v>015-904</v>
      </c>
      <c r="C148" s="2266" t="s">
        <v>822</v>
      </c>
      <c r="D148" s="2266">
        <v>5</v>
      </c>
      <c r="E148" s="2266">
        <v>1867</v>
      </c>
      <c r="F148" s="2266" t="s">
        <v>4859</v>
      </c>
      <c r="G148" s="2266" t="s">
        <v>4860</v>
      </c>
      <c r="H148" s="2266">
        <v>3411660</v>
      </c>
      <c r="I148" s="2266">
        <v>241850</v>
      </c>
      <c r="J148" s="2266">
        <v>7.5328317467199396E-2</v>
      </c>
      <c r="K148" s="2266">
        <v>256994.60757014548</v>
      </c>
      <c r="L148" s="2266">
        <v>241850</v>
      </c>
      <c r="M148" s="2266">
        <v>599</v>
      </c>
    </row>
    <row r="149" spans="1:13" ht="15">
      <c r="A149" s="2266" t="s">
        <v>4024</v>
      </c>
      <c r="B149" s="2465" t="str">
        <f>CONCATENATE(LEFT(RIGHT(CONCATENATE("000",IFAData_TEA_1617!A149),6),3),"-",(RIGHT(RIGHT(CONCATENATE("000",IFAData_TEA_1617!A149),6),3)))</f>
        <v>015-904</v>
      </c>
      <c r="C149" s="2266" t="s">
        <v>822</v>
      </c>
      <c r="D149" s="2266">
        <v>8</v>
      </c>
      <c r="E149" s="2266">
        <v>1866</v>
      </c>
      <c r="F149" s="2266" t="s">
        <v>4861</v>
      </c>
      <c r="G149" s="2266" t="s">
        <v>4861</v>
      </c>
      <c r="H149" s="2266">
        <v>3182950</v>
      </c>
      <c r="I149" s="2266">
        <v>0</v>
      </c>
      <c r="J149" s="2266">
        <v>0</v>
      </c>
      <c r="K149" s="2266">
        <v>0</v>
      </c>
      <c r="L149" s="2266">
        <v>0</v>
      </c>
      <c r="M149" s="2266">
        <v>599</v>
      </c>
    </row>
    <row r="150" spans="1:13" ht="15">
      <c r="A150" s="2266" t="s">
        <v>4025</v>
      </c>
      <c r="B150" s="2465" t="str">
        <f>CONCATENATE(LEFT(RIGHT(CONCATENATE("000",IFAData_TEA_1617!A150),6),3),"-",(RIGHT(RIGHT(CONCATENATE("000",IFAData_TEA_1617!A150),6),3)))</f>
        <v>015-905</v>
      </c>
      <c r="C150" s="2266" t="s">
        <v>1000</v>
      </c>
      <c r="D150" s="2266">
        <v>1</v>
      </c>
      <c r="E150" s="2266">
        <v>1789</v>
      </c>
      <c r="F150" s="2266" t="s">
        <v>4866</v>
      </c>
      <c r="G150" s="2266" t="s">
        <v>4867</v>
      </c>
      <c r="H150" s="2266">
        <v>355472</v>
      </c>
      <c r="I150" s="2266">
        <v>56257</v>
      </c>
      <c r="J150" s="2266">
        <v>0.19045120316329708</v>
      </c>
      <c r="K150" s="2266">
        <v>67700.070090863548</v>
      </c>
      <c r="L150" s="2266">
        <v>56257</v>
      </c>
      <c r="M150" s="2266">
        <v>599</v>
      </c>
    </row>
    <row r="151" spans="1:13" ht="15">
      <c r="A151" s="2266" t="s">
        <v>4025</v>
      </c>
      <c r="B151" s="2465" t="str">
        <f>CONCATENATE(LEFT(RIGHT(CONCATENATE("000",IFAData_TEA_1617!A151),6),3),"-",(RIGHT(RIGHT(CONCATENATE("000",IFAData_TEA_1617!A151),6),3)))</f>
        <v>015-905</v>
      </c>
      <c r="C151" s="2266" t="s">
        <v>1000</v>
      </c>
      <c r="D151" s="2266">
        <v>2</v>
      </c>
      <c r="E151" s="2266">
        <v>1791</v>
      </c>
      <c r="F151" s="2266" t="s">
        <v>4868</v>
      </c>
      <c r="G151" s="2266" t="s">
        <v>4868</v>
      </c>
      <c r="H151" s="2266">
        <v>591537</v>
      </c>
      <c r="I151" s="2266">
        <v>0</v>
      </c>
      <c r="J151" s="2266">
        <v>0</v>
      </c>
      <c r="K151" s="2266">
        <v>0</v>
      </c>
      <c r="L151" s="2266">
        <v>0</v>
      </c>
      <c r="M151" s="2266">
        <v>599</v>
      </c>
    </row>
    <row r="152" spans="1:13" ht="15">
      <c r="A152" s="2266" t="s">
        <v>4025</v>
      </c>
      <c r="B152" s="2465" t="str">
        <f>CONCATENATE(LEFT(RIGHT(CONCATENATE("000",IFAData_TEA_1617!A152),6),3),"-",(RIGHT(RIGHT(CONCATENATE("000",IFAData_TEA_1617!A152),6),3)))</f>
        <v>015-905</v>
      </c>
      <c r="C152" s="2266" t="s">
        <v>1000</v>
      </c>
      <c r="D152" s="2266">
        <v>1</v>
      </c>
      <c r="E152" s="2266">
        <v>1790</v>
      </c>
      <c r="F152" s="2266" t="s">
        <v>4864</v>
      </c>
      <c r="G152" s="2266" t="s">
        <v>4864</v>
      </c>
      <c r="H152" s="2266">
        <v>394754</v>
      </c>
      <c r="I152" s="2266">
        <v>0</v>
      </c>
      <c r="J152" s="2266">
        <v>0</v>
      </c>
      <c r="K152" s="2266">
        <v>0</v>
      </c>
      <c r="L152" s="2266">
        <v>0</v>
      </c>
      <c r="M152" s="2266">
        <v>599</v>
      </c>
    </row>
    <row r="153" spans="1:13" ht="15">
      <c r="A153" s="2266" t="s">
        <v>4025</v>
      </c>
      <c r="B153" s="2465" t="str">
        <f>CONCATENATE(LEFT(RIGHT(CONCATENATE("000",IFAData_TEA_1617!A153),6),3),"-",(RIGHT(RIGHT(CONCATENATE("000",IFAData_TEA_1617!A153),6),3)))</f>
        <v>015-905</v>
      </c>
      <c r="C153" s="2266" t="s">
        <v>1000</v>
      </c>
      <c r="D153" s="2266">
        <v>2</v>
      </c>
      <c r="E153" s="2266">
        <v>1791</v>
      </c>
      <c r="F153" s="2266" t="s">
        <v>4868</v>
      </c>
      <c r="G153" s="2266" t="s">
        <v>4865</v>
      </c>
      <c r="H153" s="2266">
        <v>591537</v>
      </c>
      <c r="I153" s="2266">
        <v>0</v>
      </c>
      <c r="J153" s="2266">
        <v>0</v>
      </c>
      <c r="K153" s="2266">
        <v>0</v>
      </c>
      <c r="L153" s="2266">
        <v>0</v>
      </c>
      <c r="M153" s="2266">
        <v>599</v>
      </c>
    </row>
    <row r="154" spans="1:13" ht="15">
      <c r="A154" s="2266" t="s">
        <v>4025</v>
      </c>
      <c r="B154" s="2465" t="str">
        <f>CONCATENATE(LEFT(RIGHT(CONCATENATE("000",IFAData_TEA_1617!A154),6),3),"-",(RIGHT(RIGHT(CONCATENATE("000",IFAData_TEA_1617!A154),6),3)))</f>
        <v>015-905</v>
      </c>
      <c r="C154" s="2266" t="s">
        <v>1000</v>
      </c>
      <c r="D154" s="2266">
        <v>7</v>
      </c>
      <c r="E154" s="2266">
        <v>1794</v>
      </c>
      <c r="F154" s="2266" t="s">
        <v>4871</v>
      </c>
      <c r="G154" s="2266" t="s">
        <v>4872</v>
      </c>
      <c r="H154" s="2266">
        <v>3107457</v>
      </c>
      <c r="I154" s="2266">
        <v>2808044</v>
      </c>
      <c r="J154" s="2266">
        <v>1</v>
      </c>
      <c r="K154" s="2266">
        <v>3107457</v>
      </c>
      <c r="L154" s="2266">
        <v>2808044</v>
      </c>
      <c r="M154" s="2266">
        <v>599</v>
      </c>
    </row>
    <row r="155" spans="1:13" ht="15">
      <c r="A155" s="2266" t="s">
        <v>4025</v>
      </c>
      <c r="B155" s="2465" t="str">
        <f>CONCATENATE(LEFT(RIGHT(CONCATENATE("000",IFAData_TEA_1617!A155),6),3),"-",(RIGHT(RIGHT(CONCATENATE("000",IFAData_TEA_1617!A155),6),3)))</f>
        <v>015-905</v>
      </c>
      <c r="C155" s="2266" t="s">
        <v>1000</v>
      </c>
      <c r="D155" s="2266">
        <v>1</v>
      </c>
      <c r="E155" s="2266">
        <v>1790</v>
      </c>
      <c r="F155" s="2266" t="s">
        <v>4864</v>
      </c>
      <c r="G155" s="2266" t="s">
        <v>6914</v>
      </c>
      <c r="H155" s="2266">
        <v>394754</v>
      </c>
      <c r="I155" s="2266">
        <v>315747</v>
      </c>
      <c r="J155" s="2266">
        <v>1</v>
      </c>
      <c r="K155" s="2266">
        <v>394754</v>
      </c>
      <c r="L155" s="2266">
        <v>315747</v>
      </c>
      <c r="M155" s="2266">
        <v>599</v>
      </c>
    </row>
    <row r="156" spans="1:13" ht="15">
      <c r="A156" s="2266" t="s">
        <v>4025</v>
      </c>
      <c r="B156" s="2465" t="str">
        <f>CONCATENATE(LEFT(RIGHT(CONCATENATE("000",IFAData_TEA_1617!A156),6),3),"-",(RIGHT(RIGHT(CONCATENATE("000",IFAData_TEA_1617!A156),6),3)))</f>
        <v>015-905</v>
      </c>
      <c r="C156" s="2266" t="s">
        <v>1000</v>
      </c>
      <c r="D156" s="2266">
        <v>1</v>
      </c>
      <c r="E156" s="2266">
        <v>1790</v>
      </c>
      <c r="F156" s="2266" t="s">
        <v>4864</v>
      </c>
      <c r="G156" s="2266" t="s">
        <v>4865</v>
      </c>
      <c r="H156" s="2266">
        <v>394754</v>
      </c>
      <c r="I156" s="2266">
        <v>0</v>
      </c>
      <c r="J156" s="2266">
        <v>0</v>
      </c>
      <c r="K156" s="2266">
        <v>0</v>
      </c>
      <c r="L156" s="2266">
        <v>0</v>
      </c>
      <c r="M156" s="2266">
        <v>599</v>
      </c>
    </row>
    <row r="157" spans="1:13" ht="15">
      <c r="A157" s="2266" t="s">
        <v>4025</v>
      </c>
      <c r="B157" s="2465" t="str">
        <f>CONCATENATE(LEFT(RIGHT(CONCATENATE("000",IFAData_TEA_1617!A157),6),3),"-",(RIGHT(RIGHT(CONCATENATE("000",IFAData_TEA_1617!A157),6),3)))</f>
        <v>015-905</v>
      </c>
      <c r="C157" s="2266" t="s">
        <v>1000</v>
      </c>
      <c r="D157" s="2266">
        <v>5</v>
      </c>
      <c r="E157" s="2266">
        <v>1793</v>
      </c>
      <c r="F157" s="2266" t="s">
        <v>4870</v>
      </c>
      <c r="G157" s="2266" t="s">
        <v>4867</v>
      </c>
      <c r="H157" s="2266">
        <v>2880403</v>
      </c>
      <c r="I157" s="2266">
        <v>2644738</v>
      </c>
      <c r="J157" s="2266">
        <v>1</v>
      </c>
      <c r="K157" s="2266">
        <v>2880403</v>
      </c>
      <c r="L157" s="2266">
        <v>2644738</v>
      </c>
      <c r="M157" s="2266">
        <v>599</v>
      </c>
    </row>
    <row r="158" spans="1:13" ht="15">
      <c r="A158" s="2266" t="s">
        <v>4025</v>
      </c>
      <c r="B158" s="2465" t="str">
        <f>CONCATENATE(LEFT(RIGHT(CONCATENATE("000",IFAData_TEA_1617!A158),6),3),"-",(RIGHT(RIGHT(CONCATENATE("000",IFAData_TEA_1617!A158),6),3)))</f>
        <v>015-905</v>
      </c>
      <c r="C158" s="2266" t="s">
        <v>1000</v>
      </c>
      <c r="D158" s="2266">
        <v>5</v>
      </c>
      <c r="E158" s="2266">
        <v>1793</v>
      </c>
      <c r="F158" s="2266" t="s">
        <v>4870</v>
      </c>
      <c r="G158" s="2266" t="s">
        <v>4870</v>
      </c>
      <c r="H158" s="2266">
        <v>2880403</v>
      </c>
      <c r="I158" s="2266">
        <v>0</v>
      </c>
      <c r="J158" s="2266">
        <v>0</v>
      </c>
      <c r="K158" s="2266">
        <v>0</v>
      </c>
      <c r="L158" s="2266">
        <v>0</v>
      </c>
      <c r="M158" s="2266">
        <v>599</v>
      </c>
    </row>
    <row r="159" spans="1:13" ht="15">
      <c r="A159" s="2266" t="s">
        <v>4025</v>
      </c>
      <c r="B159" s="2465" t="str">
        <f>CONCATENATE(LEFT(RIGHT(CONCATENATE("000",IFAData_TEA_1617!A159),6),3),"-",(RIGHT(RIGHT(CONCATENATE("000",IFAData_TEA_1617!A159),6),3)))</f>
        <v>015-905</v>
      </c>
      <c r="C159" s="2266" t="s">
        <v>1000</v>
      </c>
      <c r="D159" s="2266">
        <v>1</v>
      </c>
      <c r="E159" s="2266">
        <v>1789</v>
      </c>
      <c r="F159" s="2266" t="s">
        <v>4866</v>
      </c>
      <c r="G159" s="2266" t="s">
        <v>6914</v>
      </c>
      <c r="H159" s="2266">
        <v>355472</v>
      </c>
      <c r="I159" s="2266">
        <v>239131</v>
      </c>
      <c r="J159" s="2266">
        <v>0.80954879683670289</v>
      </c>
      <c r="K159" s="2266">
        <v>287771.92990913644</v>
      </c>
      <c r="L159" s="2266">
        <v>239131</v>
      </c>
      <c r="M159" s="2266">
        <v>599</v>
      </c>
    </row>
    <row r="160" spans="1:13" ht="15">
      <c r="A160" s="2266" t="s">
        <v>4025</v>
      </c>
      <c r="B160" s="2465" t="str">
        <f>CONCATENATE(LEFT(RIGHT(CONCATENATE("000",IFAData_TEA_1617!A160),6),3),"-",(RIGHT(RIGHT(CONCATENATE("000",IFAData_TEA_1617!A160),6),3)))</f>
        <v>015-905</v>
      </c>
      <c r="C160" s="2266" t="s">
        <v>1000</v>
      </c>
      <c r="D160" s="2266">
        <v>5</v>
      </c>
      <c r="E160" s="2266">
        <v>1793</v>
      </c>
      <c r="F160" s="2266" t="s">
        <v>4870</v>
      </c>
      <c r="G160" s="2266" t="s">
        <v>4865</v>
      </c>
      <c r="H160" s="2266">
        <v>2880403</v>
      </c>
      <c r="I160" s="2266">
        <v>0</v>
      </c>
      <c r="J160" s="2266">
        <v>0</v>
      </c>
      <c r="K160" s="2266">
        <v>0</v>
      </c>
      <c r="L160" s="2266">
        <v>0</v>
      </c>
      <c r="M160" s="2266">
        <v>599</v>
      </c>
    </row>
    <row r="161" spans="1:13" ht="15">
      <c r="A161" s="2266" t="s">
        <v>4025</v>
      </c>
      <c r="B161" s="2465" t="str">
        <f>CONCATENATE(LEFT(RIGHT(CONCATENATE("000",IFAData_TEA_1617!A161),6),3),"-",(RIGHT(RIGHT(CONCATENATE("000",IFAData_TEA_1617!A161),6),3)))</f>
        <v>015-905</v>
      </c>
      <c r="C161" s="2266" t="s">
        <v>1000</v>
      </c>
      <c r="D161" s="2266">
        <v>5</v>
      </c>
      <c r="E161" s="2266">
        <v>1793</v>
      </c>
      <c r="F161" s="2266" t="s">
        <v>4870</v>
      </c>
      <c r="G161" s="2266" t="s">
        <v>6914</v>
      </c>
      <c r="H161" s="2266">
        <v>2880403</v>
      </c>
      <c r="I161" s="2266">
        <v>0</v>
      </c>
      <c r="J161" s="2266">
        <v>0</v>
      </c>
      <c r="K161" s="2266">
        <v>0</v>
      </c>
      <c r="L161" s="2266">
        <v>0</v>
      </c>
      <c r="M161" s="2266">
        <v>599</v>
      </c>
    </row>
    <row r="162" spans="1:13" ht="15">
      <c r="A162" s="2266" t="s">
        <v>4025</v>
      </c>
      <c r="B162" s="2465" t="str">
        <f>CONCATENATE(LEFT(RIGHT(CONCATENATE("000",IFAData_TEA_1617!A162),6),3),"-",(RIGHT(RIGHT(CONCATENATE("000",IFAData_TEA_1617!A162),6),3)))</f>
        <v>015-905</v>
      </c>
      <c r="C162" s="2266" t="s">
        <v>1000</v>
      </c>
      <c r="D162" s="2266">
        <v>2</v>
      </c>
      <c r="E162" s="2266">
        <v>1791</v>
      </c>
      <c r="F162" s="2266" t="s">
        <v>4868</v>
      </c>
      <c r="G162" s="2266" t="s">
        <v>6914</v>
      </c>
      <c r="H162" s="2266">
        <v>591537</v>
      </c>
      <c r="I162" s="2266">
        <v>496572</v>
      </c>
      <c r="J162" s="2266">
        <v>1</v>
      </c>
      <c r="K162" s="2266">
        <v>591537</v>
      </c>
      <c r="L162" s="2266">
        <v>496572</v>
      </c>
      <c r="M162" s="2266">
        <v>599</v>
      </c>
    </row>
    <row r="163" spans="1:13" ht="15">
      <c r="A163" s="2266" t="s">
        <v>4025</v>
      </c>
      <c r="B163" s="2465" t="str">
        <f>CONCATENATE(LEFT(RIGHT(CONCATENATE("000",IFAData_TEA_1617!A163),6),3),"-",(RIGHT(RIGHT(CONCATENATE("000",IFAData_TEA_1617!A163),6),3)))</f>
        <v>015-905</v>
      </c>
      <c r="C163" s="2266" t="s">
        <v>1000</v>
      </c>
      <c r="D163" s="2266">
        <v>2</v>
      </c>
      <c r="E163" s="2266">
        <v>1792</v>
      </c>
      <c r="F163" s="2266" t="s">
        <v>4869</v>
      </c>
      <c r="G163" s="2266" t="s">
        <v>4869</v>
      </c>
      <c r="H163" s="2266">
        <v>892783</v>
      </c>
      <c r="I163" s="2266">
        <v>0</v>
      </c>
      <c r="J163" s="2266">
        <v>0</v>
      </c>
      <c r="K163" s="2266"/>
      <c r="L163" s="2266">
        <v>0</v>
      </c>
      <c r="M163" s="2266">
        <v>199</v>
      </c>
    </row>
    <row r="164" spans="1:13" ht="15">
      <c r="A164" s="2266" t="s">
        <v>4025</v>
      </c>
      <c r="B164" s="2465" t="str">
        <f>CONCATENATE(LEFT(RIGHT(CONCATENATE("000",IFAData_TEA_1617!A164),6),3),"-",(RIGHT(RIGHT(CONCATENATE("000",IFAData_TEA_1617!A164),6),3)))</f>
        <v>015-905</v>
      </c>
      <c r="C164" s="2266" t="s">
        <v>1000</v>
      </c>
      <c r="D164" s="2266">
        <v>7</v>
      </c>
      <c r="E164" s="2266">
        <v>1794</v>
      </c>
      <c r="F164" s="2266" t="s">
        <v>4871</v>
      </c>
      <c r="G164" s="2266" t="s">
        <v>4871</v>
      </c>
      <c r="H164" s="2266">
        <v>3107457</v>
      </c>
      <c r="I164" s="2266">
        <v>0</v>
      </c>
      <c r="J164" s="2266">
        <v>0</v>
      </c>
      <c r="K164" s="2266">
        <v>0</v>
      </c>
      <c r="L164" s="2266">
        <v>0</v>
      </c>
      <c r="M164" s="2266">
        <v>599</v>
      </c>
    </row>
    <row r="165" spans="1:13" ht="15">
      <c r="A165" s="2266" t="s">
        <v>4025</v>
      </c>
      <c r="B165" s="2465" t="str">
        <f>CONCATENATE(LEFT(RIGHT(CONCATENATE("000",IFAData_TEA_1617!A165),6),3),"-",(RIGHT(RIGHT(CONCATENATE("000",IFAData_TEA_1617!A165),6),3)))</f>
        <v>015-905</v>
      </c>
      <c r="C165" s="2266" t="s">
        <v>1000</v>
      </c>
      <c r="D165" s="2266">
        <v>1</v>
      </c>
      <c r="E165" s="2266">
        <v>1789</v>
      </c>
      <c r="F165" s="2266" t="s">
        <v>4866</v>
      </c>
      <c r="G165" s="2266" t="s">
        <v>4865</v>
      </c>
      <c r="H165" s="2266">
        <v>355472</v>
      </c>
      <c r="I165" s="2266">
        <v>0</v>
      </c>
      <c r="J165" s="2266">
        <v>0</v>
      </c>
      <c r="K165" s="2266">
        <v>0</v>
      </c>
      <c r="L165" s="2266">
        <v>0</v>
      </c>
      <c r="M165" s="2266">
        <v>599</v>
      </c>
    </row>
    <row r="166" spans="1:13" ht="15">
      <c r="A166" s="2266" t="s">
        <v>4025</v>
      </c>
      <c r="B166" s="2465" t="str">
        <f>CONCATENATE(LEFT(RIGHT(CONCATENATE("000",IFAData_TEA_1617!A166),6),3),"-",(RIGHT(RIGHT(CONCATENATE("000",IFAData_TEA_1617!A166),6),3)))</f>
        <v>015-905</v>
      </c>
      <c r="C166" s="2266" t="s">
        <v>1000</v>
      </c>
      <c r="D166" s="2266">
        <v>1</v>
      </c>
      <c r="E166" s="2266">
        <v>1789</v>
      </c>
      <c r="F166" s="2266" t="s">
        <v>4866</v>
      </c>
      <c r="G166" s="2266" t="s">
        <v>4866</v>
      </c>
      <c r="H166" s="2266">
        <v>355472</v>
      </c>
      <c r="I166" s="2266">
        <v>0</v>
      </c>
      <c r="J166" s="2266">
        <v>0</v>
      </c>
      <c r="K166" s="2266">
        <v>0</v>
      </c>
      <c r="L166" s="2266">
        <v>0</v>
      </c>
      <c r="M166" s="2266">
        <v>599</v>
      </c>
    </row>
    <row r="167" spans="1:13" ht="15">
      <c r="A167" s="2266" t="s">
        <v>4026</v>
      </c>
      <c r="B167" s="2465" t="str">
        <f>CONCATENATE(LEFT(RIGHT(CONCATENATE("000",IFAData_TEA_1617!A167),6),3),"-",(RIGHT(RIGHT(CONCATENATE("000",IFAData_TEA_1617!A167),6),3)))</f>
        <v>015-907</v>
      </c>
      <c r="C167" s="2266" t="s">
        <v>2308</v>
      </c>
      <c r="D167" s="2266">
        <v>3</v>
      </c>
      <c r="E167" s="2266">
        <v>2282</v>
      </c>
      <c r="F167" s="2266" t="s">
        <v>4877</v>
      </c>
      <c r="G167" s="2266" t="s">
        <v>4876</v>
      </c>
      <c r="H167" s="2266">
        <v>14004279</v>
      </c>
      <c r="I167" s="2266">
        <v>10647813</v>
      </c>
      <c r="J167" s="2266">
        <v>0.81743207586713573</v>
      </c>
      <c r="K167" s="2266">
        <v>11447546.853992535</v>
      </c>
      <c r="L167" s="2266">
        <v>10647813</v>
      </c>
      <c r="M167" s="2266">
        <v>599</v>
      </c>
    </row>
    <row r="168" spans="1:13" ht="15">
      <c r="A168" s="2266" t="s">
        <v>4026</v>
      </c>
      <c r="B168" s="2465" t="str">
        <f>CONCATENATE(LEFT(RIGHT(CONCATENATE("000",IFAData_TEA_1617!A168),6),3),"-",(RIGHT(RIGHT(CONCATENATE("000",IFAData_TEA_1617!A168),6),3)))</f>
        <v>015-907</v>
      </c>
      <c r="C168" s="2266" t="s">
        <v>2308</v>
      </c>
      <c r="D168" s="2266">
        <v>3</v>
      </c>
      <c r="E168" s="2266">
        <v>2282</v>
      </c>
      <c r="F168" s="2266" t="s">
        <v>4877</v>
      </c>
      <c r="G168" s="2266" t="s">
        <v>6915</v>
      </c>
      <c r="H168" s="2266">
        <v>14004279</v>
      </c>
      <c r="I168" s="2266">
        <v>2378117</v>
      </c>
      <c r="J168" s="2266">
        <v>0.18256792413286421</v>
      </c>
      <c r="K168" s="2266">
        <v>2556732.1460074633</v>
      </c>
      <c r="L168" s="2266">
        <v>2378117</v>
      </c>
      <c r="M168" s="2266">
        <v>599</v>
      </c>
    </row>
    <row r="169" spans="1:13" ht="15">
      <c r="A169" s="2266" t="s">
        <v>4026</v>
      </c>
      <c r="B169" s="2465" t="str">
        <f>CONCATENATE(LEFT(RIGHT(CONCATENATE("000",IFAData_TEA_1617!A169),6),3),"-",(RIGHT(RIGHT(CONCATENATE("000",IFAData_TEA_1617!A169),6),3)))</f>
        <v>015-907</v>
      </c>
      <c r="C169" s="2266" t="s">
        <v>2308</v>
      </c>
      <c r="D169" s="2266">
        <v>1</v>
      </c>
      <c r="E169" s="2266">
        <v>2281</v>
      </c>
      <c r="F169" s="2266" t="s">
        <v>4873</v>
      </c>
      <c r="G169" s="2266" t="s">
        <v>6915</v>
      </c>
      <c r="H169" s="2266">
        <v>13875000</v>
      </c>
      <c r="I169" s="2266">
        <v>13904827</v>
      </c>
      <c r="J169" s="2266">
        <v>1</v>
      </c>
      <c r="K169" s="2266">
        <v>13875000</v>
      </c>
      <c r="L169" s="2266">
        <v>13875000</v>
      </c>
      <c r="M169" s="2266">
        <v>599</v>
      </c>
    </row>
    <row r="170" spans="1:13" ht="15">
      <c r="A170" s="2266" t="s">
        <v>4026</v>
      </c>
      <c r="B170" s="2465" t="str">
        <f>CONCATENATE(LEFT(RIGHT(CONCATENATE("000",IFAData_TEA_1617!A170),6),3),"-",(RIGHT(RIGHT(CONCATENATE("000",IFAData_TEA_1617!A170),6),3)))</f>
        <v>015-907</v>
      </c>
      <c r="C170" s="2266" t="s">
        <v>2308</v>
      </c>
      <c r="D170" s="2266">
        <v>1</v>
      </c>
      <c r="E170" s="2266">
        <v>2281</v>
      </c>
      <c r="F170" s="2266" t="s">
        <v>4873</v>
      </c>
      <c r="G170" s="2266" t="s">
        <v>4875</v>
      </c>
      <c r="H170" s="2266">
        <v>13875000</v>
      </c>
      <c r="I170" s="2266">
        <v>0</v>
      </c>
      <c r="J170" s="2266">
        <v>0</v>
      </c>
      <c r="K170" s="2266">
        <v>0</v>
      </c>
      <c r="L170" s="2266">
        <v>0</v>
      </c>
      <c r="M170" s="2266">
        <v>599</v>
      </c>
    </row>
    <row r="171" spans="1:13" ht="15">
      <c r="A171" s="2266" t="s">
        <v>4026</v>
      </c>
      <c r="B171" s="2465" t="str">
        <f>CONCATENATE(LEFT(RIGHT(CONCATENATE("000",IFAData_TEA_1617!A171),6),3),"-",(RIGHT(RIGHT(CONCATENATE("000",IFAData_TEA_1617!A171),6),3)))</f>
        <v>015-907</v>
      </c>
      <c r="C171" s="2266" t="s">
        <v>2308</v>
      </c>
      <c r="D171" s="2266">
        <v>1</v>
      </c>
      <c r="E171" s="2266">
        <v>2281</v>
      </c>
      <c r="F171" s="2266" t="s">
        <v>4873</v>
      </c>
      <c r="G171" s="2266" t="s">
        <v>4873</v>
      </c>
      <c r="H171" s="2266">
        <v>13875000</v>
      </c>
      <c r="I171" s="2266">
        <v>0</v>
      </c>
      <c r="J171" s="2266">
        <v>0</v>
      </c>
      <c r="K171" s="2266">
        <v>0</v>
      </c>
      <c r="L171" s="2266">
        <v>0</v>
      </c>
      <c r="M171" s="2266">
        <v>599</v>
      </c>
    </row>
    <row r="172" spans="1:13" ht="15">
      <c r="A172" s="2266" t="s">
        <v>4026</v>
      </c>
      <c r="B172" s="2465" t="str">
        <f>CONCATENATE(LEFT(RIGHT(CONCATENATE("000",IFAData_TEA_1617!A172),6),3),"-",(RIGHT(RIGHT(CONCATENATE("000",IFAData_TEA_1617!A172),6),3)))</f>
        <v>015-907</v>
      </c>
      <c r="C172" s="2266" t="s">
        <v>2308</v>
      </c>
      <c r="D172" s="2266">
        <v>3</v>
      </c>
      <c r="E172" s="2266">
        <v>2282</v>
      </c>
      <c r="F172" s="2266" t="s">
        <v>4877</v>
      </c>
      <c r="G172" s="2266" t="s">
        <v>4877</v>
      </c>
      <c r="H172" s="2266">
        <v>14004279</v>
      </c>
      <c r="I172" s="2266">
        <v>0</v>
      </c>
      <c r="J172" s="2266">
        <v>0</v>
      </c>
      <c r="K172" s="2266">
        <v>0</v>
      </c>
      <c r="L172" s="2266">
        <v>0</v>
      </c>
      <c r="M172" s="2266">
        <v>599</v>
      </c>
    </row>
    <row r="173" spans="1:13" ht="15">
      <c r="A173" s="2266" t="s">
        <v>4026</v>
      </c>
      <c r="B173" s="2465" t="str">
        <f>CONCATENATE(LEFT(RIGHT(CONCATENATE("000",IFAData_TEA_1617!A173),6),3),"-",(RIGHT(RIGHT(CONCATENATE("000",IFAData_TEA_1617!A173),6),3)))</f>
        <v>015-907</v>
      </c>
      <c r="C173" s="2266" t="s">
        <v>2308</v>
      </c>
      <c r="D173" s="2266">
        <v>5</v>
      </c>
      <c r="E173" s="2266">
        <v>2280</v>
      </c>
      <c r="F173" s="2266" t="s">
        <v>4878</v>
      </c>
      <c r="G173" s="2266" t="s">
        <v>7144</v>
      </c>
      <c r="H173" s="2266">
        <v>8227563</v>
      </c>
      <c r="I173" s="2266">
        <v>2693450</v>
      </c>
      <c r="J173" s="2266">
        <v>0.27071228654565616</v>
      </c>
      <c r="K173" s="2266">
        <v>2227302.3924284382</v>
      </c>
      <c r="L173" s="2266">
        <v>2227302.3924284382</v>
      </c>
      <c r="M173" s="2266">
        <v>599</v>
      </c>
    </row>
    <row r="174" spans="1:13" ht="15">
      <c r="A174" s="2266" t="s">
        <v>4026</v>
      </c>
      <c r="B174" s="2465" t="str">
        <f>CONCATENATE(LEFT(RIGHT(CONCATENATE("000",IFAData_TEA_1617!A174),6),3),"-",(RIGHT(RIGHT(CONCATENATE("000",IFAData_TEA_1617!A174),6),3)))</f>
        <v>015-907</v>
      </c>
      <c r="C174" s="2266" t="s">
        <v>2308</v>
      </c>
      <c r="D174" s="2266">
        <v>3</v>
      </c>
      <c r="E174" s="2266">
        <v>2282</v>
      </c>
      <c r="F174" s="2266" t="s">
        <v>4877</v>
      </c>
      <c r="G174" s="2266" t="s">
        <v>4874</v>
      </c>
      <c r="H174" s="2266">
        <v>14004279</v>
      </c>
      <c r="I174" s="2266">
        <v>0</v>
      </c>
      <c r="J174" s="2266">
        <v>0</v>
      </c>
      <c r="K174" s="2266">
        <v>0</v>
      </c>
      <c r="L174" s="2266">
        <v>0</v>
      </c>
      <c r="M174" s="2266">
        <v>599</v>
      </c>
    </row>
    <row r="175" spans="1:13" ht="15">
      <c r="A175" s="2266" t="s">
        <v>4026</v>
      </c>
      <c r="B175" s="2465" t="str">
        <f>CONCATENATE(LEFT(RIGHT(CONCATENATE("000",IFAData_TEA_1617!A175),6),3),"-",(RIGHT(RIGHT(CONCATENATE("000",IFAData_TEA_1617!A175),6),3)))</f>
        <v>015-907</v>
      </c>
      <c r="C175" s="2266" t="s">
        <v>2308</v>
      </c>
      <c r="D175" s="2266">
        <v>5</v>
      </c>
      <c r="E175" s="2266">
        <v>2280</v>
      </c>
      <c r="F175" s="2266" t="s">
        <v>4878</v>
      </c>
      <c r="G175" s="2266" t="s">
        <v>6915</v>
      </c>
      <c r="H175" s="2266">
        <v>8227563</v>
      </c>
      <c r="I175" s="2266">
        <v>5014580</v>
      </c>
      <c r="J175" s="2266">
        <v>0.50400357083521741</v>
      </c>
      <c r="K175" s="2266">
        <v>4146721.1312717139</v>
      </c>
      <c r="L175" s="2266">
        <v>4146721.1312717139</v>
      </c>
      <c r="M175" s="2266">
        <v>599</v>
      </c>
    </row>
    <row r="176" spans="1:13" ht="15">
      <c r="A176" s="2266" t="s">
        <v>4026</v>
      </c>
      <c r="B176" s="2465" t="str">
        <f>CONCATENATE(LEFT(RIGHT(CONCATENATE("000",IFAData_TEA_1617!A176),6),3),"-",(RIGHT(RIGHT(CONCATENATE("000",IFAData_TEA_1617!A176),6),3)))</f>
        <v>015-907</v>
      </c>
      <c r="C176" s="2266" t="s">
        <v>2308</v>
      </c>
      <c r="D176" s="2266">
        <v>1</v>
      </c>
      <c r="E176" s="2266">
        <v>2281</v>
      </c>
      <c r="F176" s="2266" t="s">
        <v>4873</v>
      </c>
      <c r="G176" s="2266" t="s">
        <v>4874</v>
      </c>
      <c r="H176" s="2266">
        <v>13875000</v>
      </c>
      <c r="I176" s="2266">
        <v>0</v>
      </c>
      <c r="J176" s="2266">
        <v>0</v>
      </c>
      <c r="K176" s="2266">
        <v>0</v>
      </c>
      <c r="L176" s="2266">
        <v>0</v>
      </c>
      <c r="M176" s="2266">
        <v>599</v>
      </c>
    </row>
    <row r="177" spans="1:13" ht="15">
      <c r="A177" s="2266" t="s">
        <v>4026</v>
      </c>
      <c r="B177" s="2465" t="str">
        <f>CONCATENATE(LEFT(RIGHT(CONCATENATE("000",IFAData_TEA_1617!A177),6),3),"-",(RIGHT(RIGHT(CONCATENATE("000",IFAData_TEA_1617!A177),6),3)))</f>
        <v>015-907</v>
      </c>
      <c r="C177" s="2266" t="s">
        <v>2308</v>
      </c>
      <c r="D177" s="2266">
        <v>5</v>
      </c>
      <c r="E177" s="2266">
        <v>2280</v>
      </c>
      <c r="F177" s="2266" t="s">
        <v>4878</v>
      </c>
      <c r="G177" s="2266" t="s">
        <v>4879</v>
      </c>
      <c r="H177" s="2266">
        <v>8227563</v>
      </c>
      <c r="I177" s="2266">
        <v>2241463</v>
      </c>
      <c r="J177" s="2266">
        <v>0.22528414261912641</v>
      </c>
      <c r="K177" s="2266">
        <v>1853539.4762998475</v>
      </c>
      <c r="L177" s="2266">
        <v>1853539.4762998475</v>
      </c>
      <c r="M177" s="2266">
        <v>599</v>
      </c>
    </row>
    <row r="178" spans="1:13" ht="15">
      <c r="A178" s="2266" t="s">
        <v>4026</v>
      </c>
      <c r="B178" s="2465" t="str">
        <f>CONCATENATE(LEFT(RIGHT(CONCATENATE("000",IFAData_TEA_1617!A178),6),3),"-",(RIGHT(RIGHT(CONCATENATE("000",IFAData_TEA_1617!A178),6),3)))</f>
        <v>015-907</v>
      </c>
      <c r="C178" s="2266" t="s">
        <v>2308</v>
      </c>
      <c r="D178" s="2266">
        <v>5</v>
      </c>
      <c r="E178" s="2266">
        <v>2280</v>
      </c>
      <c r="F178" s="2266" t="s">
        <v>4878</v>
      </c>
      <c r="G178" s="2266" t="s">
        <v>4875</v>
      </c>
      <c r="H178" s="2266">
        <v>8227563</v>
      </c>
      <c r="I178" s="2266">
        <v>0</v>
      </c>
      <c r="J178" s="2266">
        <v>0</v>
      </c>
      <c r="K178" s="2266">
        <v>0</v>
      </c>
      <c r="L178" s="2266">
        <v>0</v>
      </c>
      <c r="M178" s="2266">
        <v>599</v>
      </c>
    </row>
    <row r="179" spans="1:13" ht="15">
      <c r="A179" s="2266" t="s">
        <v>4026</v>
      </c>
      <c r="B179" s="2465" t="str">
        <f>CONCATENATE(LEFT(RIGHT(CONCATENATE("000",IFAData_TEA_1617!A179),6),3),"-",(RIGHT(RIGHT(CONCATENATE("000",IFAData_TEA_1617!A179),6),3)))</f>
        <v>015-907</v>
      </c>
      <c r="C179" s="2266" t="s">
        <v>2308</v>
      </c>
      <c r="D179" s="2266">
        <v>5</v>
      </c>
      <c r="E179" s="2266">
        <v>2280</v>
      </c>
      <c r="F179" s="2266" t="s">
        <v>4878</v>
      </c>
      <c r="G179" s="2266" t="s">
        <v>4878</v>
      </c>
      <c r="H179" s="2266">
        <v>8227563</v>
      </c>
      <c r="I179" s="2266">
        <v>0</v>
      </c>
      <c r="J179" s="2266">
        <v>0</v>
      </c>
      <c r="K179" s="2266">
        <v>0</v>
      </c>
      <c r="L179" s="2266">
        <v>0</v>
      </c>
      <c r="M179" s="2266">
        <v>599</v>
      </c>
    </row>
    <row r="180" spans="1:13" ht="15">
      <c r="A180" s="2266" t="s">
        <v>4026</v>
      </c>
      <c r="B180" s="2465" t="str">
        <f>CONCATENATE(LEFT(RIGHT(CONCATENATE("000",IFAData_TEA_1617!A180),6),3),"-",(RIGHT(RIGHT(CONCATENATE("000",IFAData_TEA_1617!A180),6),3)))</f>
        <v>015-907</v>
      </c>
      <c r="C180" s="2266" t="s">
        <v>2308</v>
      </c>
      <c r="D180" s="2266">
        <v>3</v>
      </c>
      <c r="E180" s="2266">
        <v>2282</v>
      </c>
      <c r="F180" s="2266" t="s">
        <v>4877</v>
      </c>
      <c r="G180" s="2266" t="s">
        <v>4875</v>
      </c>
      <c r="H180" s="2266">
        <v>14004279</v>
      </c>
      <c r="I180" s="2266">
        <v>0</v>
      </c>
      <c r="J180" s="2266">
        <v>0</v>
      </c>
      <c r="K180" s="2266">
        <v>0</v>
      </c>
      <c r="L180" s="2266">
        <v>0</v>
      </c>
      <c r="M180" s="2266">
        <v>599</v>
      </c>
    </row>
    <row r="181" spans="1:13" ht="15">
      <c r="A181" s="2266" t="s">
        <v>4026</v>
      </c>
      <c r="B181" s="2465" t="str">
        <f>CONCATENATE(LEFT(RIGHT(CONCATENATE("000",IFAData_TEA_1617!A181),6),3),"-",(RIGHT(RIGHT(CONCATENATE("000",IFAData_TEA_1617!A181),6),3)))</f>
        <v>015-907</v>
      </c>
      <c r="C181" s="2266" t="s">
        <v>2308</v>
      </c>
      <c r="D181" s="2266">
        <v>1</v>
      </c>
      <c r="E181" s="2266">
        <v>2281</v>
      </c>
      <c r="F181" s="2266" t="s">
        <v>4873</v>
      </c>
      <c r="G181" s="2266" t="s">
        <v>4876</v>
      </c>
      <c r="H181" s="2266">
        <v>13875000</v>
      </c>
      <c r="I181" s="2266">
        <v>0</v>
      </c>
      <c r="J181" s="2266">
        <v>0</v>
      </c>
      <c r="K181" s="2266">
        <v>0</v>
      </c>
      <c r="L181" s="2266">
        <v>0</v>
      </c>
      <c r="M181" s="2266">
        <v>599</v>
      </c>
    </row>
    <row r="182" spans="1:13" ht="15">
      <c r="A182" s="2266" t="s">
        <v>4027</v>
      </c>
      <c r="B182" s="2465" t="str">
        <f>CONCATENATE(LEFT(RIGHT(CONCATENATE("000",IFAData_TEA_1617!A182),6),3),"-",(RIGHT(RIGHT(CONCATENATE("000",IFAData_TEA_1617!A182),6),3)))</f>
        <v>015-908</v>
      </c>
      <c r="C182" s="2266" t="s">
        <v>2206</v>
      </c>
      <c r="D182" s="2266">
        <v>8</v>
      </c>
      <c r="E182" s="2266">
        <v>2356</v>
      </c>
      <c r="F182" s="2266" t="s">
        <v>4887</v>
      </c>
      <c r="G182" s="2266" t="s">
        <v>4888</v>
      </c>
      <c r="H182" s="2266">
        <v>1990738</v>
      </c>
      <c r="I182" s="2266">
        <v>828600</v>
      </c>
      <c r="J182" s="2266">
        <v>0.32316894333193968</v>
      </c>
      <c r="K182" s="2266">
        <v>643344.6959107389</v>
      </c>
      <c r="L182" s="2266">
        <v>643344.6959107389</v>
      </c>
      <c r="M182" s="2266">
        <v>599</v>
      </c>
    </row>
    <row r="183" spans="1:13" ht="15">
      <c r="A183" s="2266" t="s">
        <v>4027</v>
      </c>
      <c r="B183" s="2465" t="str">
        <f>CONCATENATE(LEFT(RIGHT(CONCATENATE("000",IFAData_TEA_1617!A183),6),3),"-",(RIGHT(RIGHT(CONCATENATE("000",IFAData_TEA_1617!A183),6),3)))</f>
        <v>015-908</v>
      </c>
      <c r="C183" s="2266" t="s">
        <v>2206</v>
      </c>
      <c r="D183" s="2266">
        <v>3</v>
      </c>
      <c r="E183" s="2266">
        <v>2358</v>
      </c>
      <c r="F183" s="2266" t="s">
        <v>4880</v>
      </c>
      <c r="G183" s="2266" t="s">
        <v>4880</v>
      </c>
      <c r="H183" s="2266">
        <v>2400433</v>
      </c>
      <c r="I183" s="2266">
        <v>0</v>
      </c>
      <c r="J183" s="2266">
        <v>0</v>
      </c>
      <c r="K183" s="2266">
        <v>0</v>
      </c>
      <c r="L183" s="2266">
        <v>0</v>
      </c>
      <c r="M183" s="2266">
        <v>599</v>
      </c>
    </row>
    <row r="184" spans="1:13" ht="15">
      <c r="A184" s="2266" t="s">
        <v>4027</v>
      </c>
      <c r="B184" s="2465" t="str">
        <f>CONCATENATE(LEFT(RIGHT(CONCATENATE("000",IFAData_TEA_1617!A184),6),3),"-",(RIGHT(RIGHT(CONCATENATE("000",IFAData_TEA_1617!A184),6),3)))</f>
        <v>015-908</v>
      </c>
      <c r="C184" s="2266" t="s">
        <v>2206</v>
      </c>
      <c r="D184" s="2266">
        <v>3</v>
      </c>
      <c r="E184" s="2266">
        <v>2358</v>
      </c>
      <c r="F184" s="2266" t="s">
        <v>4880</v>
      </c>
      <c r="G184" s="2266" t="s">
        <v>4883</v>
      </c>
      <c r="H184" s="2266">
        <v>2400433</v>
      </c>
      <c r="I184" s="2266">
        <v>2022125</v>
      </c>
      <c r="J184" s="2266">
        <v>0.92000458608949887</v>
      </c>
      <c r="K184" s="2266">
        <v>2208409.3686005739</v>
      </c>
      <c r="L184" s="2266">
        <v>2022125</v>
      </c>
      <c r="M184" s="2266">
        <v>599</v>
      </c>
    </row>
    <row r="185" spans="1:13" ht="15">
      <c r="A185" s="2266" t="s">
        <v>4027</v>
      </c>
      <c r="B185" s="2465" t="str">
        <f>CONCATENATE(LEFT(RIGHT(CONCATENATE("000",IFAData_TEA_1617!A185),6),3),"-",(RIGHT(RIGHT(CONCATENATE("000",IFAData_TEA_1617!A185),6),3)))</f>
        <v>015-908</v>
      </c>
      <c r="C185" s="2266" t="s">
        <v>2206</v>
      </c>
      <c r="D185" s="2266">
        <v>6</v>
      </c>
      <c r="E185" s="2266">
        <v>2357</v>
      </c>
      <c r="F185" s="2266" t="s">
        <v>4884</v>
      </c>
      <c r="G185" s="2266" t="s">
        <v>4884</v>
      </c>
      <c r="H185" s="2266">
        <v>2270472</v>
      </c>
      <c r="I185" s="2266">
        <v>0</v>
      </c>
      <c r="J185" s="2266">
        <v>0</v>
      </c>
      <c r="K185" s="2266">
        <v>0</v>
      </c>
      <c r="L185" s="2266">
        <v>0</v>
      </c>
      <c r="M185" s="2266">
        <v>599</v>
      </c>
    </row>
    <row r="186" spans="1:13" ht="15">
      <c r="A186" s="2266" t="s">
        <v>4027</v>
      </c>
      <c r="B186" s="2465" t="str">
        <f>CONCATENATE(LEFT(RIGHT(CONCATENATE("000",IFAData_TEA_1617!A186),6),3),"-",(RIGHT(RIGHT(CONCATENATE("000",IFAData_TEA_1617!A186),6),3)))</f>
        <v>015-908</v>
      </c>
      <c r="C186" s="2266" t="s">
        <v>2206</v>
      </c>
      <c r="D186" s="2266">
        <v>6</v>
      </c>
      <c r="E186" s="2266">
        <v>2357</v>
      </c>
      <c r="F186" s="2266" t="s">
        <v>4884</v>
      </c>
      <c r="G186" s="2266" t="s">
        <v>4886</v>
      </c>
      <c r="H186" s="2266">
        <v>2270472</v>
      </c>
      <c r="I186" s="2266">
        <v>266738</v>
      </c>
      <c r="J186" s="2266">
        <v>0.13220559080095162</v>
      </c>
      <c r="K186" s="2266">
        <v>300169.09215701825</v>
      </c>
      <c r="L186" s="2266">
        <v>266738</v>
      </c>
      <c r="M186" s="2266">
        <v>599</v>
      </c>
    </row>
    <row r="187" spans="1:13" ht="15">
      <c r="A187" s="2266" t="s">
        <v>4027</v>
      </c>
      <c r="B187" s="2465" t="str">
        <f>CONCATENATE(LEFT(RIGHT(CONCATENATE("000",IFAData_TEA_1617!A187),6),3),"-",(RIGHT(RIGHT(CONCATENATE("000",IFAData_TEA_1617!A187),6),3)))</f>
        <v>015-908</v>
      </c>
      <c r="C187" s="2266" t="s">
        <v>2206</v>
      </c>
      <c r="D187" s="2266">
        <v>3</v>
      </c>
      <c r="E187" s="2266">
        <v>2358</v>
      </c>
      <c r="F187" s="2266" t="s">
        <v>4880</v>
      </c>
      <c r="G187" s="2266" t="s">
        <v>4882</v>
      </c>
      <c r="H187" s="2266">
        <v>2400433</v>
      </c>
      <c r="I187" s="2266">
        <v>175826</v>
      </c>
      <c r="J187" s="2266">
        <v>7.999541391050119E-2</v>
      </c>
      <c r="K187" s="2266">
        <v>192023.63139942611</v>
      </c>
      <c r="L187" s="2266">
        <v>175826</v>
      </c>
      <c r="M187" s="2266">
        <v>599</v>
      </c>
    </row>
    <row r="188" spans="1:13" ht="15">
      <c r="A188" s="2266" t="s">
        <v>4027</v>
      </c>
      <c r="B188" s="2465" t="str">
        <f>CONCATENATE(LEFT(RIGHT(CONCATENATE("000",IFAData_TEA_1617!A188),6),3),"-",(RIGHT(RIGHT(CONCATENATE("000",IFAData_TEA_1617!A188),6),3)))</f>
        <v>015-908</v>
      </c>
      <c r="C188" s="2266" t="s">
        <v>2206</v>
      </c>
      <c r="D188" s="2266">
        <v>3</v>
      </c>
      <c r="E188" s="2266">
        <v>2358</v>
      </c>
      <c r="F188" s="2266" t="s">
        <v>4880</v>
      </c>
      <c r="G188" s="2266" t="s">
        <v>4881</v>
      </c>
      <c r="H188" s="2266">
        <v>2400433</v>
      </c>
      <c r="I188" s="2266">
        <v>0</v>
      </c>
      <c r="J188" s="2266">
        <v>0</v>
      </c>
      <c r="K188" s="2266">
        <v>0</v>
      </c>
      <c r="L188" s="2266">
        <v>0</v>
      </c>
      <c r="M188" s="2266">
        <v>599</v>
      </c>
    </row>
    <row r="189" spans="1:13" ht="15">
      <c r="A189" s="2266" t="s">
        <v>4027</v>
      </c>
      <c r="B189" s="2465" t="str">
        <f>CONCATENATE(LEFT(RIGHT(CONCATENATE("000",IFAData_TEA_1617!A189),6),3),"-",(RIGHT(RIGHT(CONCATENATE("000",IFAData_TEA_1617!A189),6),3)))</f>
        <v>015-908</v>
      </c>
      <c r="C189" s="2266" t="s">
        <v>2206</v>
      </c>
      <c r="D189" s="2266">
        <v>8</v>
      </c>
      <c r="E189" s="2266">
        <v>2356</v>
      </c>
      <c r="F189" s="2266" t="s">
        <v>4887</v>
      </c>
      <c r="G189" s="2266" t="s">
        <v>4887</v>
      </c>
      <c r="H189" s="2266">
        <v>1990738</v>
      </c>
      <c r="I189" s="2266">
        <v>413050</v>
      </c>
      <c r="J189" s="2266">
        <v>0.16109694912292744</v>
      </c>
      <c r="K189" s="2266">
        <v>320701.8183030783</v>
      </c>
      <c r="L189" s="2266">
        <v>320701.8183030783</v>
      </c>
      <c r="M189" s="2266">
        <v>599</v>
      </c>
    </row>
    <row r="190" spans="1:13" ht="15">
      <c r="A190" s="2266" t="s">
        <v>4027</v>
      </c>
      <c r="B190" s="2465" t="str">
        <f>CONCATENATE(LEFT(RIGHT(CONCATENATE("000",IFAData_TEA_1617!A190),6),3),"-",(RIGHT(RIGHT(CONCATENATE("000",IFAData_TEA_1617!A190),6),3)))</f>
        <v>015-908</v>
      </c>
      <c r="C190" s="2266" t="s">
        <v>2206</v>
      </c>
      <c r="D190" s="2266">
        <v>6</v>
      </c>
      <c r="E190" s="2266">
        <v>2357</v>
      </c>
      <c r="F190" s="2266" t="s">
        <v>4884</v>
      </c>
      <c r="G190" s="2266" t="s">
        <v>4882</v>
      </c>
      <c r="H190" s="2266">
        <v>2270472</v>
      </c>
      <c r="I190" s="2266">
        <v>1340994</v>
      </c>
      <c r="J190" s="2266">
        <v>0.66464809674861225</v>
      </c>
      <c r="K190" s="2266">
        <v>1509064.8935210151</v>
      </c>
      <c r="L190" s="2266">
        <v>1340994</v>
      </c>
      <c r="M190" s="2266">
        <v>599</v>
      </c>
    </row>
    <row r="191" spans="1:13" ht="15">
      <c r="A191" s="2266" t="s">
        <v>4027</v>
      </c>
      <c r="B191" s="2465" t="str">
        <f>CONCATENATE(LEFT(RIGHT(CONCATENATE("000",IFAData_TEA_1617!A191),6),3),"-",(RIGHT(RIGHT(CONCATENATE("000",IFAData_TEA_1617!A191),6),3)))</f>
        <v>015-908</v>
      </c>
      <c r="C191" s="2266" t="s">
        <v>2206</v>
      </c>
      <c r="D191" s="2266">
        <v>8</v>
      </c>
      <c r="E191" s="2266">
        <v>2356</v>
      </c>
      <c r="F191" s="2266" t="s">
        <v>4887</v>
      </c>
      <c r="G191" s="2266" t="s">
        <v>4882</v>
      </c>
      <c r="H191" s="2266">
        <v>1990738</v>
      </c>
      <c r="I191" s="2266">
        <v>1322334</v>
      </c>
      <c r="J191" s="2266">
        <v>0.51573410754513294</v>
      </c>
      <c r="K191" s="2266">
        <v>1026691.4857861828</v>
      </c>
      <c r="L191" s="2266">
        <v>1026691.4857861828</v>
      </c>
      <c r="M191" s="2266">
        <v>599</v>
      </c>
    </row>
    <row r="192" spans="1:13" ht="15">
      <c r="A192" s="2266" t="s">
        <v>4027</v>
      </c>
      <c r="B192" s="2465" t="str">
        <f>CONCATENATE(LEFT(RIGHT(CONCATENATE("000",IFAData_TEA_1617!A192),6),3),"-",(RIGHT(RIGHT(CONCATENATE("000",IFAData_TEA_1617!A192),6),3)))</f>
        <v>015-908</v>
      </c>
      <c r="C192" s="2266" t="s">
        <v>2206</v>
      </c>
      <c r="D192" s="2266">
        <v>6</v>
      </c>
      <c r="E192" s="2266">
        <v>2357</v>
      </c>
      <c r="F192" s="2266" t="s">
        <v>4884</v>
      </c>
      <c r="G192" s="2266" t="s">
        <v>4885</v>
      </c>
      <c r="H192" s="2266">
        <v>2270472</v>
      </c>
      <c r="I192" s="2266">
        <v>409868</v>
      </c>
      <c r="J192" s="2266">
        <v>0.20314631245043616</v>
      </c>
      <c r="K192" s="2266">
        <v>461238.01432196668</v>
      </c>
      <c r="L192" s="2266">
        <v>409868</v>
      </c>
      <c r="M192" s="2266">
        <v>599</v>
      </c>
    </row>
    <row r="193" spans="1:13" ht="15">
      <c r="A193" s="2266" t="s">
        <v>4028</v>
      </c>
      <c r="B193" s="2465" t="str">
        <f>CONCATENATE(LEFT(RIGHT(CONCATENATE("000",IFAData_TEA_1617!A193),6),3),"-",(RIGHT(RIGHT(CONCATENATE("000",IFAData_TEA_1617!A193),6),3)))</f>
        <v>015-909</v>
      </c>
      <c r="C193" s="2266" t="s">
        <v>2205</v>
      </c>
      <c r="D193" s="2266">
        <v>5</v>
      </c>
      <c r="E193" s="2266">
        <v>2353</v>
      </c>
      <c r="F193" s="2266" t="s">
        <v>4892</v>
      </c>
      <c r="G193" s="2266" t="s">
        <v>4892</v>
      </c>
      <c r="H193" s="2266">
        <v>460677</v>
      </c>
      <c r="I193" s="2266">
        <v>0</v>
      </c>
      <c r="J193" s="2266">
        <v>0</v>
      </c>
      <c r="K193" s="2266">
        <v>0</v>
      </c>
      <c r="L193" s="2266">
        <v>0</v>
      </c>
      <c r="M193" s="2266">
        <v>599</v>
      </c>
    </row>
    <row r="194" spans="1:13" ht="15">
      <c r="A194" s="2266" t="s">
        <v>4028</v>
      </c>
      <c r="B194" s="2465" t="str">
        <f>CONCATENATE(LEFT(RIGHT(CONCATENATE("000",IFAData_TEA_1617!A194),6),3),"-",(RIGHT(RIGHT(CONCATENATE("000",IFAData_TEA_1617!A194),6),3)))</f>
        <v>015-909</v>
      </c>
      <c r="C194" s="2266" t="s">
        <v>2205</v>
      </c>
      <c r="D194" s="2266">
        <v>6</v>
      </c>
      <c r="E194" s="2266">
        <v>2351</v>
      </c>
      <c r="F194" s="2266" t="s">
        <v>4893</v>
      </c>
      <c r="G194" s="2266" t="s">
        <v>4894</v>
      </c>
      <c r="H194" s="2266">
        <v>230217</v>
      </c>
      <c r="I194" s="2266">
        <v>231183</v>
      </c>
      <c r="J194" s="2266">
        <v>1</v>
      </c>
      <c r="K194" s="2266">
        <v>230217</v>
      </c>
      <c r="L194" s="2266">
        <v>230217</v>
      </c>
      <c r="M194" s="2266">
        <v>599</v>
      </c>
    </row>
    <row r="195" spans="1:13" ht="15">
      <c r="A195" s="2266" t="s">
        <v>4028</v>
      </c>
      <c r="B195" s="2465" t="str">
        <f>CONCATENATE(LEFT(RIGHT(CONCATENATE("000",IFAData_TEA_1617!A195),6),3),"-",(RIGHT(RIGHT(CONCATENATE("000",IFAData_TEA_1617!A195),6),3)))</f>
        <v>015-909</v>
      </c>
      <c r="C195" s="2266" t="s">
        <v>2205</v>
      </c>
      <c r="D195" s="2266">
        <v>4</v>
      </c>
      <c r="E195" s="2266">
        <v>2354</v>
      </c>
      <c r="F195" s="2266" t="s">
        <v>4889</v>
      </c>
      <c r="G195" s="2266" t="s">
        <v>4890</v>
      </c>
      <c r="H195" s="2266">
        <v>637500</v>
      </c>
      <c r="I195" s="2266">
        <v>286801</v>
      </c>
      <c r="J195" s="2266">
        <v>0.36285689343456518</v>
      </c>
      <c r="K195" s="2266">
        <v>231321.26956453529</v>
      </c>
      <c r="L195" s="2266">
        <v>231321.26956453529</v>
      </c>
      <c r="M195" s="2266">
        <v>599</v>
      </c>
    </row>
    <row r="196" spans="1:13" ht="15">
      <c r="A196" s="2266" t="s">
        <v>4028</v>
      </c>
      <c r="B196" s="2465" t="str">
        <f>CONCATENATE(LEFT(RIGHT(CONCATENATE("000",IFAData_TEA_1617!A196),6),3),"-",(RIGHT(RIGHT(CONCATENATE("000",IFAData_TEA_1617!A196),6),3)))</f>
        <v>015-909</v>
      </c>
      <c r="C196" s="2266" t="s">
        <v>2205</v>
      </c>
      <c r="D196" s="2266">
        <v>5</v>
      </c>
      <c r="E196" s="2266">
        <v>2353</v>
      </c>
      <c r="F196" s="2266" t="s">
        <v>4892</v>
      </c>
      <c r="G196" s="2266" t="s">
        <v>7145</v>
      </c>
      <c r="H196" s="2266">
        <v>460677</v>
      </c>
      <c r="I196" s="2266">
        <v>125842</v>
      </c>
      <c r="J196" s="2266">
        <v>0.2329152253137661</v>
      </c>
      <c r="K196" s="2266">
        <v>107298.68725186982</v>
      </c>
      <c r="L196" s="2266">
        <v>107298.68725186982</v>
      </c>
      <c r="M196" s="2266">
        <v>599</v>
      </c>
    </row>
    <row r="197" spans="1:13" ht="15">
      <c r="A197" s="2266" t="s">
        <v>4028</v>
      </c>
      <c r="B197" s="2465" t="str">
        <f>CONCATENATE(LEFT(RIGHT(CONCATENATE("000",IFAData_TEA_1617!A197),6),3),"-",(RIGHT(RIGHT(CONCATENATE("000",IFAData_TEA_1617!A197),6),3)))</f>
        <v>015-909</v>
      </c>
      <c r="C197" s="2266" t="s">
        <v>2205</v>
      </c>
      <c r="D197" s="2266">
        <v>7</v>
      </c>
      <c r="E197" s="2266">
        <v>2352</v>
      </c>
      <c r="F197" s="2266" t="s">
        <v>4895</v>
      </c>
      <c r="G197" s="2266" t="s">
        <v>6916</v>
      </c>
      <c r="H197" s="2266">
        <v>305924</v>
      </c>
      <c r="I197" s="2266">
        <v>255113</v>
      </c>
      <c r="J197" s="2266">
        <v>1</v>
      </c>
      <c r="K197" s="2266">
        <v>305924</v>
      </c>
      <c r="L197" s="2266">
        <v>255113</v>
      </c>
      <c r="M197" s="2266">
        <v>599</v>
      </c>
    </row>
    <row r="198" spans="1:13" ht="15">
      <c r="A198" s="2266" t="s">
        <v>4028</v>
      </c>
      <c r="B198" s="2465" t="str">
        <f>CONCATENATE(LEFT(RIGHT(CONCATENATE("000",IFAData_TEA_1617!A198),6),3),"-",(RIGHT(RIGHT(CONCATENATE("000",IFAData_TEA_1617!A198),6),3)))</f>
        <v>015-909</v>
      </c>
      <c r="C198" s="2266" t="s">
        <v>2205</v>
      </c>
      <c r="D198" s="2266">
        <v>10</v>
      </c>
      <c r="E198" s="2266">
        <v>2355</v>
      </c>
      <c r="F198" s="2266" t="s">
        <v>4891</v>
      </c>
      <c r="G198" s="2266" t="s">
        <v>4891</v>
      </c>
      <c r="H198" s="2266">
        <v>732634</v>
      </c>
      <c r="I198" s="2266">
        <v>729950</v>
      </c>
      <c r="J198" s="2266">
        <v>1</v>
      </c>
      <c r="K198" s="2266">
        <v>732634</v>
      </c>
      <c r="L198" s="2266">
        <v>729950</v>
      </c>
      <c r="M198" s="2266">
        <v>599</v>
      </c>
    </row>
    <row r="199" spans="1:13" ht="15">
      <c r="A199" s="2266" t="s">
        <v>4028</v>
      </c>
      <c r="B199" s="2465" t="str">
        <f>CONCATENATE(LEFT(RIGHT(CONCATENATE("000",IFAData_TEA_1617!A199),6),3),"-",(RIGHT(RIGHT(CONCATENATE("000",IFAData_TEA_1617!A199),6),3)))</f>
        <v>015-909</v>
      </c>
      <c r="C199" s="2266" t="s">
        <v>2205</v>
      </c>
      <c r="D199" s="2266">
        <v>5</v>
      </c>
      <c r="E199" s="2266">
        <v>2353</v>
      </c>
      <c r="F199" s="2266" t="s">
        <v>4892</v>
      </c>
      <c r="G199" s="2266" t="s">
        <v>4890</v>
      </c>
      <c r="H199" s="2266">
        <v>460677</v>
      </c>
      <c r="I199" s="2266">
        <v>146304</v>
      </c>
      <c r="J199" s="2266">
        <v>0.27078740900736825</v>
      </c>
      <c r="K199" s="2266">
        <v>124745.53121928738</v>
      </c>
      <c r="L199" s="2266">
        <v>124745.53121928738</v>
      </c>
      <c r="M199" s="2266">
        <v>599</v>
      </c>
    </row>
    <row r="200" spans="1:13" ht="15">
      <c r="A200" s="2266" t="s">
        <v>4028</v>
      </c>
      <c r="B200" s="2465" t="str">
        <f>CONCATENATE(LEFT(RIGHT(CONCATENATE("000",IFAData_TEA_1617!A200),6),3),"-",(RIGHT(RIGHT(CONCATENATE("000",IFAData_TEA_1617!A200),6),3)))</f>
        <v>015-909</v>
      </c>
      <c r="C200" s="2266" t="s">
        <v>2205</v>
      </c>
      <c r="D200" s="2266">
        <v>6</v>
      </c>
      <c r="E200" s="2266">
        <v>2351</v>
      </c>
      <c r="F200" s="2266" t="s">
        <v>4893</v>
      </c>
      <c r="G200" s="2266" t="s">
        <v>4893</v>
      </c>
      <c r="H200" s="2266">
        <v>230217</v>
      </c>
      <c r="I200" s="2266">
        <v>0</v>
      </c>
      <c r="J200" s="2266">
        <v>0</v>
      </c>
      <c r="K200" s="2266">
        <v>0</v>
      </c>
      <c r="L200" s="2266">
        <v>0</v>
      </c>
      <c r="M200" s="2266">
        <v>599</v>
      </c>
    </row>
    <row r="201" spans="1:13" ht="15">
      <c r="A201" s="2266" t="s">
        <v>4028</v>
      </c>
      <c r="B201" s="2465" t="str">
        <f>CONCATENATE(LEFT(RIGHT(CONCATENATE("000",IFAData_TEA_1617!A201),6),3),"-",(RIGHT(RIGHT(CONCATENATE("000",IFAData_TEA_1617!A201),6),3)))</f>
        <v>015-909</v>
      </c>
      <c r="C201" s="2266" t="s">
        <v>2205</v>
      </c>
      <c r="D201" s="2266">
        <v>4</v>
      </c>
      <c r="E201" s="2266">
        <v>2354</v>
      </c>
      <c r="F201" s="2266" t="s">
        <v>4889</v>
      </c>
      <c r="G201" s="2266" t="s">
        <v>4889</v>
      </c>
      <c r="H201" s="2266">
        <v>637500</v>
      </c>
      <c r="I201" s="2266">
        <v>0</v>
      </c>
      <c r="J201" s="2266">
        <v>0</v>
      </c>
      <c r="K201" s="2266">
        <v>0</v>
      </c>
      <c r="L201" s="2266">
        <v>0</v>
      </c>
      <c r="M201" s="2266">
        <v>599</v>
      </c>
    </row>
    <row r="202" spans="1:13" ht="15">
      <c r="A202" s="2266" t="s">
        <v>4028</v>
      </c>
      <c r="B202" s="2465" t="str">
        <f>CONCATENATE(LEFT(RIGHT(CONCATENATE("000",IFAData_TEA_1617!A202),6),3),"-",(RIGHT(RIGHT(CONCATENATE("000",IFAData_TEA_1617!A202),6),3)))</f>
        <v>015-909</v>
      </c>
      <c r="C202" s="2266" t="s">
        <v>2205</v>
      </c>
      <c r="D202" s="2266">
        <v>4</v>
      </c>
      <c r="E202" s="2266">
        <v>2354</v>
      </c>
      <c r="F202" s="2266" t="s">
        <v>4889</v>
      </c>
      <c r="G202" s="2266" t="s">
        <v>7145</v>
      </c>
      <c r="H202" s="2266">
        <v>637500</v>
      </c>
      <c r="I202" s="2266">
        <v>220991</v>
      </c>
      <c r="J202" s="2266">
        <v>0.27959493773382238</v>
      </c>
      <c r="K202" s="2266">
        <v>178241.77280531178</v>
      </c>
      <c r="L202" s="2266">
        <v>178241.77280531178</v>
      </c>
      <c r="M202" s="2266">
        <v>599</v>
      </c>
    </row>
    <row r="203" spans="1:13" ht="15">
      <c r="A203" s="2266" t="s">
        <v>4028</v>
      </c>
      <c r="B203" s="2465" t="str">
        <f>CONCATENATE(LEFT(RIGHT(CONCATENATE("000",IFAData_TEA_1617!A203),6),3),"-",(RIGHT(RIGHT(CONCATENATE("000",IFAData_TEA_1617!A203),6),3)))</f>
        <v>015-909</v>
      </c>
      <c r="C203" s="2266" t="s">
        <v>2205</v>
      </c>
      <c r="D203" s="2266">
        <v>7</v>
      </c>
      <c r="E203" s="2266">
        <v>2352</v>
      </c>
      <c r="F203" s="2266" t="s">
        <v>4895</v>
      </c>
      <c r="G203" s="2266" t="s">
        <v>4895</v>
      </c>
      <c r="H203" s="2266">
        <v>305924</v>
      </c>
      <c r="I203" s="2266">
        <v>0</v>
      </c>
      <c r="J203" s="2266">
        <v>0</v>
      </c>
      <c r="K203" s="2266">
        <v>0</v>
      </c>
      <c r="L203" s="2266">
        <v>0</v>
      </c>
      <c r="M203" s="2266">
        <v>599</v>
      </c>
    </row>
    <row r="204" spans="1:13" ht="15">
      <c r="A204" s="2266" t="s">
        <v>4028</v>
      </c>
      <c r="B204" s="2465" t="str">
        <f>CONCATENATE(LEFT(RIGHT(CONCATENATE("000",IFAData_TEA_1617!A204),6),3),"-",(RIGHT(RIGHT(CONCATENATE("000",IFAData_TEA_1617!A204),6),3)))</f>
        <v>015-909</v>
      </c>
      <c r="C204" s="2266" t="s">
        <v>2205</v>
      </c>
      <c r="D204" s="2266">
        <v>4</v>
      </c>
      <c r="E204" s="2266">
        <v>2354</v>
      </c>
      <c r="F204" s="2266" t="s">
        <v>4889</v>
      </c>
      <c r="G204" s="2266" t="s">
        <v>4891</v>
      </c>
      <c r="H204" s="2266">
        <v>637500</v>
      </c>
      <c r="I204" s="2266">
        <v>282605</v>
      </c>
      <c r="J204" s="2266">
        <v>0.35754816883161245</v>
      </c>
      <c r="K204" s="2266">
        <v>227936.95763015293</v>
      </c>
      <c r="L204" s="2266">
        <v>227936.95763015293</v>
      </c>
      <c r="M204" s="2266">
        <v>599</v>
      </c>
    </row>
    <row r="205" spans="1:13" ht="15">
      <c r="A205" s="2266" t="s">
        <v>4028</v>
      </c>
      <c r="B205" s="2465" t="str">
        <f>CONCATENATE(LEFT(RIGHT(CONCATENATE("000",IFAData_TEA_1617!A205),6),3),"-",(RIGHT(RIGHT(CONCATENATE("000",IFAData_TEA_1617!A205),6),3)))</f>
        <v>015-909</v>
      </c>
      <c r="C205" s="2266" t="s">
        <v>2205</v>
      </c>
      <c r="D205" s="2266">
        <v>5</v>
      </c>
      <c r="E205" s="2266">
        <v>2353</v>
      </c>
      <c r="F205" s="2266" t="s">
        <v>4892</v>
      </c>
      <c r="G205" s="2266" t="s">
        <v>4891</v>
      </c>
      <c r="H205" s="2266">
        <v>460677</v>
      </c>
      <c r="I205" s="2266">
        <v>268145</v>
      </c>
      <c r="J205" s="2266">
        <v>0.49629736567886562</v>
      </c>
      <c r="K205" s="2266">
        <v>228632.78152884278</v>
      </c>
      <c r="L205" s="2266">
        <v>228632.78152884278</v>
      </c>
      <c r="M205" s="2266">
        <v>599</v>
      </c>
    </row>
    <row r="206" spans="1:13" ht="15">
      <c r="A206" s="2266" t="s">
        <v>4029</v>
      </c>
      <c r="B206" s="2465" t="str">
        <f>CONCATENATE(LEFT(RIGHT(CONCATENATE("000",IFAData_TEA_1617!A206),6),3),"-",(RIGHT(RIGHT(CONCATENATE("000",IFAData_TEA_1617!A206),6),3)))</f>
        <v>015-910</v>
      </c>
      <c r="C206" s="2266" t="s">
        <v>2610</v>
      </c>
      <c r="D206" s="2266">
        <v>1</v>
      </c>
      <c r="E206" s="2266">
        <v>2147</v>
      </c>
      <c r="F206" s="2266" t="s">
        <v>4896</v>
      </c>
      <c r="G206" s="2266" t="s">
        <v>4897</v>
      </c>
      <c r="H206" s="2266">
        <v>6051325</v>
      </c>
      <c r="I206" s="2266">
        <v>0</v>
      </c>
      <c r="J206" s="2266">
        <v>0</v>
      </c>
      <c r="K206" s="2266">
        <v>0</v>
      </c>
      <c r="L206" s="2266">
        <v>0</v>
      </c>
      <c r="M206" s="2266">
        <v>599</v>
      </c>
    </row>
    <row r="207" spans="1:13" ht="15">
      <c r="A207" s="2266" t="s">
        <v>4029</v>
      </c>
      <c r="B207" s="2465" t="str">
        <f>CONCATENATE(LEFT(RIGHT(CONCATENATE("000",IFAData_TEA_1617!A207),6),3),"-",(RIGHT(RIGHT(CONCATENATE("000",IFAData_TEA_1617!A207),6),3)))</f>
        <v>015-910</v>
      </c>
      <c r="C207" s="2266" t="s">
        <v>2610</v>
      </c>
      <c r="D207" s="2266">
        <v>1</v>
      </c>
      <c r="E207" s="2266">
        <v>2147</v>
      </c>
      <c r="F207" s="2266" t="s">
        <v>4896</v>
      </c>
      <c r="G207" s="2266" t="s">
        <v>4899</v>
      </c>
      <c r="H207" s="2266">
        <v>6051325</v>
      </c>
      <c r="I207" s="2266">
        <v>791548</v>
      </c>
      <c r="J207" s="2266">
        <v>0.11961645266467837</v>
      </c>
      <c r="K207" s="2266">
        <v>723838.03042108484</v>
      </c>
      <c r="L207" s="2266">
        <v>723838.03042108484</v>
      </c>
      <c r="M207" s="2266">
        <v>599</v>
      </c>
    </row>
    <row r="208" spans="1:13" ht="15">
      <c r="A208" s="2266" t="s">
        <v>4029</v>
      </c>
      <c r="B208" s="2465" t="str">
        <f>CONCATENATE(LEFT(RIGHT(CONCATENATE("000",IFAData_TEA_1617!A208),6),3),"-",(RIGHT(RIGHT(CONCATENATE("000",IFAData_TEA_1617!A208),6),3)))</f>
        <v>015-910</v>
      </c>
      <c r="C208" s="2266" t="s">
        <v>2610</v>
      </c>
      <c r="D208" s="2266">
        <v>1</v>
      </c>
      <c r="E208" s="2266">
        <v>2147</v>
      </c>
      <c r="F208" s="2266" t="s">
        <v>4896</v>
      </c>
      <c r="G208" s="2266" t="s">
        <v>4900</v>
      </c>
      <c r="H208" s="2266">
        <v>6051325</v>
      </c>
      <c r="I208" s="2266">
        <v>590636</v>
      </c>
      <c r="J208" s="2266">
        <v>8.925521021600076E-2</v>
      </c>
      <c r="K208" s="2266">
        <v>540112.28496034082</v>
      </c>
      <c r="L208" s="2266">
        <v>540112.28496034082</v>
      </c>
      <c r="M208" s="2266">
        <v>599</v>
      </c>
    </row>
    <row r="209" spans="1:13" ht="15">
      <c r="A209" s="2266" t="s">
        <v>4029</v>
      </c>
      <c r="B209" s="2465" t="str">
        <f>CONCATENATE(LEFT(RIGHT(CONCATENATE("000",IFAData_TEA_1617!A209),6),3),"-",(RIGHT(RIGHT(CONCATENATE("000",IFAData_TEA_1617!A209),6),3)))</f>
        <v>015-910</v>
      </c>
      <c r="C209" s="2266" t="s">
        <v>2610</v>
      </c>
      <c r="D209" s="2266">
        <v>1</v>
      </c>
      <c r="E209" s="2266">
        <v>2147</v>
      </c>
      <c r="F209" s="2266" t="s">
        <v>4896</v>
      </c>
      <c r="G209" s="2266" t="s">
        <v>4896</v>
      </c>
      <c r="H209" s="2266">
        <v>6051325</v>
      </c>
      <c r="I209" s="2266">
        <v>0</v>
      </c>
      <c r="J209" s="2266">
        <v>0</v>
      </c>
      <c r="K209" s="2266">
        <v>0</v>
      </c>
      <c r="L209" s="2266">
        <v>0</v>
      </c>
      <c r="M209" s="2266">
        <v>599</v>
      </c>
    </row>
    <row r="210" spans="1:13" ht="15">
      <c r="A210" s="2266" t="s">
        <v>4029</v>
      </c>
      <c r="B210" s="2465" t="str">
        <f>CONCATENATE(LEFT(RIGHT(CONCATENATE("000",IFAData_TEA_1617!A210),6),3),"-",(RIGHT(RIGHT(CONCATENATE("000",IFAData_TEA_1617!A210),6),3)))</f>
        <v>015-910</v>
      </c>
      <c r="C210" s="2266" t="s">
        <v>2610</v>
      </c>
      <c r="D210" s="2266">
        <v>1</v>
      </c>
      <c r="E210" s="2266">
        <v>2147</v>
      </c>
      <c r="F210" s="2266" t="s">
        <v>4896</v>
      </c>
      <c r="G210" s="2266" t="s">
        <v>4898</v>
      </c>
      <c r="H210" s="2266">
        <v>6051325</v>
      </c>
      <c r="I210" s="2266">
        <v>5235200</v>
      </c>
      <c r="J210" s="2266">
        <v>0.79112833711932085</v>
      </c>
      <c r="K210" s="2266">
        <v>4787374.6846185746</v>
      </c>
      <c r="L210" s="2266">
        <v>4787374.6846185746</v>
      </c>
      <c r="M210" s="2266">
        <v>599</v>
      </c>
    </row>
    <row r="211" spans="1:13" ht="15">
      <c r="A211" s="2266" t="s">
        <v>4030</v>
      </c>
      <c r="B211" s="2465" t="str">
        <f>CONCATENATE(LEFT(RIGHT(CONCATENATE("000",IFAData_TEA_1617!A211),6),3),"-",(RIGHT(RIGHT(CONCATENATE("000",IFAData_TEA_1617!A211),6),3)))</f>
        <v>015-911</v>
      </c>
      <c r="C211" s="2266" t="s">
        <v>1215</v>
      </c>
      <c r="D211" s="2266">
        <v>3</v>
      </c>
      <c r="E211" s="2266">
        <v>1780</v>
      </c>
      <c r="F211" s="2266" t="s">
        <v>4901</v>
      </c>
      <c r="G211" s="2266" t="s">
        <v>4902</v>
      </c>
      <c r="H211" s="2266">
        <v>1803880</v>
      </c>
      <c r="I211" s="2266">
        <v>0</v>
      </c>
      <c r="J211" s="2266">
        <v>0</v>
      </c>
      <c r="K211" s="2266">
        <v>0</v>
      </c>
      <c r="L211" s="2266">
        <v>0</v>
      </c>
      <c r="M211" s="2266">
        <v>599</v>
      </c>
    </row>
    <row r="212" spans="1:13" ht="15">
      <c r="A212" s="2266" t="s">
        <v>4030</v>
      </c>
      <c r="B212" s="2465" t="str">
        <f>CONCATENATE(LEFT(RIGHT(CONCATENATE("000",IFAData_TEA_1617!A212),6),3),"-",(RIGHT(RIGHT(CONCATENATE("000",IFAData_TEA_1617!A212),6),3)))</f>
        <v>015-911</v>
      </c>
      <c r="C212" s="2266" t="s">
        <v>1215</v>
      </c>
      <c r="D212" s="2266">
        <v>9</v>
      </c>
      <c r="E212" s="2266">
        <v>1781</v>
      </c>
      <c r="F212" s="2266" t="s">
        <v>4906</v>
      </c>
      <c r="G212" s="2266" t="s">
        <v>4906</v>
      </c>
      <c r="H212" s="2266">
        <v>2096250</v>
      </c>
      <c r="I212" s="2266">
        <v>3038763</v>
      </c>
      <c r="J212" s="2266">
        <v>0.67183742521384293</v>
      </c>
      <c r="K212" s="2266">
        <v>1408339.2026045183</v>
      </c>
      <c r="L212" s="2266">
        <v>1408339.2026045183</v>
      </c>
      <c r="M212" s="2266">
        <v>599</v>
      </c>
    </row>
    <row r="213" spans="1:13" ht="15">
      <c r="A213" s="2266" t="s">
        <v>4030</v>
      </c>
      <c r="B213" s="2465" t="str">
        <f>CONCATENATE(LEFT(RIGHT(CONCATENATE("000",IFAData_TEA_1617!A213),6),3),"-",(RIGHT(RIGHT(CONCATENATE("000",IFAData_TEA_1617!A213),6),3)))</f>
        <v>015-911</v>
      </c>
      <c r="C213" s="2266" t="s">
        <v>1215</v>
      </c>
      <c r="D213" s="2266">
        <v>9</v>
      </c>
      <c r="E213" s="2266">
        <v>1781</v>
      </c>
      <c r="F213" s="2266" t="s">
        <v>4906</v>
      </c>
      <c r="G213" s="2266" t="s">
        <v>6918</v>
      </c>
      <c r="H213" s="2266">
        <v>2096250</v>
      </c>
      <c r="I213" s="2266">
        <v>337400</v>
      </c>
      <c r="J213" s="2266">
        <v>7.4595467717341102E-2</v>
      </c>
      <c r="K213" s="2266">
        <v>156370.74920247629</v>
      </c>
      <c r="L213" s="2266">
        <v>156370.74920247629</v>
      </c>
      <c r="M213" s="2266">
        <v>599</v>
      </c>
    </row>
    <row r="214" spans="1:13" ht="15">
      <c r="A214" s="2266" t="s">
        <v>4030</v>
      </c>
      <c r="B214" s="2465" t="str">
        <f>CONCATENATE(LEFT(RIGHT(CONCATENATE("000",IFAData_TEA_1617!A214),6),3),"-",(RIGHT(RIGHT(CONCATENATE("000",IFAData_TEA_1617!A214),6),3)))</f>
        <v>015-911</v>
      </c>
      <c r="C214" s="2266" t="s">
        <v>1215</v>
      </c>
      <c r="D214" s="2266">
        <v>9</v>
      </c>
      <c r="E214" s="2266">
        <v>1781</v>
      </c>
      <c r="F214" s="2266" t="s">
        <v>4906</v>
      </c>
      <c r="G214" s="2266" t="s">
        <v>6917</v>
      </c>
      <c r="H214" s="2266">
        <v>2096250</v>
      </c>
      <c r="I214" s="2266">
        <v>349950</v>
      </c>
      <c r="J214" s="2266">
        <v>7.7370136122357797E-2</v>
      </c>
      <c r="K214" s="2266">
        <v>162187.14784649253</v>
      </c>
      <c r="L214" s="2266">
        <v>162187.14784649253</v>
      </c>
      <c r="M214" s="2266">
        <v>599</v>
      </c>
    </row>
    <row r="215" spans="1:13" ht="15">
      <c r="A215" s="2266" t="s">
        <v>4030</v>
      </c>
      <c r="B215" s="2465" t="str">
        <f>CONCATENATE(LEFT(RIGHT(CONCATENATE("000",IFAData_TEA_1617!A215),6),3),"-",(RIGHT(RIGHT(CONCATENATE("000",IFAData_TEA_1617!A215),6),3)))</f>
        <v>015-911</v>
      </c>
      <c r="C215" s="2266" t="s">
        <v>1215</v>
      </c>
      <c r="D215" s="2266">
        <v>6</v>
      </c>
      <c r="E215" s="2266">
        <v>1779</v>
      </c>
      <c r="F215" s="2266" t="s">
        <v>4904</v>
      </c>
      <c r="G215" s="2266" t="s">
        <v>4905</v>
      </c>
      <c r="H215" s="2266">
        <v>1625293</v>
      </c>
      <c r="I215" s="2266">
        <v>1651450</v>
      </c>
      <c r="J215" s="2266">
        <v>1</v>
      </c>
      <c r="K215" s="2266">
        <v>1625293</v>
      </c>
      <c r="L215" s="2266">
        <v>1625293</v>
      </c>
      <c r="M215" s="2266">
        <v>599</v>
      </c>
    </row>
    <row r="216" spans="1:13" ht="15">
      <c r="A216" s="2266" t="s">
        <v>4030</v>
      </c>
      <c r="B216" s="2465" t="str">
        <f>CONCATENATE(LEFT(RIGHT(CONCATENATE("000",IFAData_TEA_1617!A216),6),3),"-",(RIGHT(RIGHT(CONCATENATE("000",IFAData_TEA_1617!A216),6),3)))</f>
        <v>015-911</v>
      </c>
      <c r="C216" s="2266" t="s">
        <v>1215</v>
      </c>
      <c r="D216" s="2266">
        <v>9</v>
      </c>
      <c r="E216" s="2266">
        <v>1781</v>
      </c>
      <c r="F216" s="2266" t="s">
        <v>4906</v>
      </c>
      <c r="G216" s="2266" t="s">
        <v>7146</v>
      </c>
      <c r="H216" s="2266">
        <v>2096250</v>
      </c>
      <c r="I216" s="2266">
        <v>796950</v>
      </c>
      <c r="J216" s="2266">
        <v>0.1761969709464582</v>
      </c>
      <c r="K216" s="2266">
        <v>369352.90034651302</v>
      </c>
      <c r="L216" s="2266">
        <v>369352.90034651302</v>
      </c>
      <c r="M216" s="2266">
        <v>599</v>
      </c>
    </row>
    <row r="217" spans="1:13" ht="15">
      <c r="A217" s="2266" t="s">
        <v>4030</v>
      </c>
      <c r="B217" s="2465" t="str">
        <f>CONCATENATE(LEFT(RIGHT(CONCATENATE("000",IFAData_TEA_1617!A217),6),3),"-",(RIGHT(RIGHT(CONCATENATE("000",IFAData_TEA_1617!A217),6),3)))</f>
        <v>015-911</v>
      </c>
      <c r="C217" s="2266" t="s">
        <v>1215</v>
      </c>
      <c r="D217" s="2266">
        <v>3</v>
      </c>
      <c r="E217" s="2266">
        <v>1780</v>
      </c>
      <c r="F217" s="2266" t="s">
        <v>4901</v>
      </c>
      <c r="G217" s="2266" t="s">
        <v>4901</v>
      </c>
      <c r="H217" s="2266">
        <v>1803880</v>
      </c>
      <c r="I217" s="2266">
        <v>0</v>
      </c>
      <c r="J217" s="2266">
        <v>0</v>
      </c>
      <c r="K217" s="2266">
        <v>0</v>
      </c>
      <c r="L217" s="2266">
        <v>0</v>
      </c>
      <c r="M217" s="2266">
        <v>599</v>
      </c>
    </row>
    <row r="218" spans="1:13" ht="15">
      <c r="A218" s="2266" t="s">
        <v>4030</v>
      </c>
      <c r="B218" s="2465" t="str">
        <f>CONCATENATE(LEFT(RIGHT(CONCATENATE("000",IFAData_TEA_1617!A218),6),3),"-",(RIGHT(RIGHT(CONCATENATE("000",IFAData_TEA_1617!A218),6),3)))</f>
        <v>015-911</v>
      </c>
      <c r="C218" s="2266" t="s">
        <v>1215</v>
      </c>
      <c r="D218" s="2266">
        <v>3</v>
      </c>
      <c r="E218" s="2266">
        <v>1780</v>
      </c>
      <c r="F218" s="2266" t="s">
        <v>4901</v>
      </c>
      <c r="G218" s="2266" t="s">
        <v>4903</v>
      </c>
      <c r="H218" s="2266">
        <v>1803880</v>
      </c>
      <c r="I218" s="2266">
        <v>1800374</v>
      </c>
      <c r="J218" s="2266">
        <v>1</v>
      </c>
      <c r="K218" s="2266">
        <v>1803880</v>
      </c>
      <c r="L218" s="2266">
        <v>1800374</v>
      </c>
      <c r="M218" s="2266">
        <v>599</v>
      </c>
    </row>
    <row r="219" spans="1:13" ht="15">
      <c r="A219" s="2266" t="s">
        <v>4030</v>
      </c>
      <c r="B219" s="2465" t="str">
        <f>CONCATENATE(LEFT(RIGHT(CONCATENATE("000",IFAData_TEA_1617!A219),6),3),"-",(RIGHT(RIGHT(CONCATENATE("000",IFAData_TEA_1617!A219),6),3)))</f>
        <v>015-911</v>
      </c>
      <c r="C219" s="2266" t="s">
        <v>1215</v>
      </c>
      <c r="D219" s="2266">
        <v>6</v>
      </c>
      <c r="E219" s="2266">
        <v>1779</v>
      </c>
      <c r="F219" s="2266" t="s">
        <v>4904</v>
      </c>
      <c r="G219" s="2266" t="s">
        <v>4904</v>
      </c>
      <c r="H219" s="2266">
        <v>1625293</v>
      </c>
      <c r="I219" s="2266">
        <v>0</v>
      </c>
      <c r="J219" s="2266">
        <v>0</v>
      </c>
      <c r="K219" s="2266">
        <v>0</v>
      </c>
      <c r="L219" s="2266">
        <v>0</v>
      </c>
      <c r="M219" s="2266">
        <v>599</v>
      </c>
    </row>
    <row r="220" spans="1:13" ht="15">
      <c r="A220" s="2266" t="s">
        <v>4031</v>
      </c>
      <c r="B220" s="2465" t="str">
        <f>CONCATENATE(LEFT(RIGHT(CONCATENATE("000",IFAData_TEA_1617!A220),6),3),"-",(RIGHT(RIGHT(CONCATENATE("000",IFAData_TEA_1617!A220),6),3)))</f>
        <v>015-912</v>
      </c>
      <c r="C220" s="2266" t="s">
        <v>2208</v>
      </c>
      <c r="D220" s="2266">
        <v>4</v>
      </c>
      <c r="E220" s="2266">
        <v>2369</v>
      </c>
      <c r="F220" s="2266" t="s">
        <v>4907</v>
      </c>
      <c r="G220" s="2266" t="s">
        <v>4907</v>
      </c>
      <c r="H220" s="2266">
        <v>2212705</v>
      </c>
      <c r="I220" s="2266">
        <v>0</v>
      </c>
      <c r="J220" s="2266">
        <v>0</v>
      </c>
      <c r="K220" s="2266">
        <v>0</v>
      </c>
      <c r="L220" s="2266">
        <v>0</v>
      </c>
      <c r="M220" s="2266">
        <v>599</v>
      </c>
    </row>
    <row r="221" spans="1:13" ht="15">
      <c r="A221" s="2266" t="s">
        <v>4031</v>
      </c>
      <c r="B221" s="2465" t="str">
        <f>CONCATENATE(LEFT(RIGHT(CONCATENATE("000",IFAData_TEA_1617!A221),6),3),"-",(RIGHT(RIGHT(CONCATENATE("000",IFAData_TEA_1617!A221),6),3)))</f>
        <v>015-912</v>
      </c>
      <c r="C221" s="2266" t="s">
        <v>2208</v>
      </c>
      <c r="D221" s="2266">
        <v>4</v>
      </c>
      <c r="E221" s="2266">
        <v>2369</v>
      </c>
      <c r="F221" s="2266" t="s">
        <v>4907</v>
      </c>
      <c r="G221" s="2266" t="s">
        <v>7147</v>
      </c>
      <c r="H221" s="2266">
        <v>2212705</v>
      </c>
      <c r="I221" s="2266">
        <v>1632025</v>
      </c>
      <c r="J221" s="2266">
        <v>0.83573586644817699</v>
      </c>
      <c r="K221" s="2266">
        <v>1849236.9303692135</v>
      </c>
      <c r="L221" s="2266">
        <v>1632025</v>
      </c>
      <c r="M221" s="2266">
        <v>599</v>
      </c>
    </row>
    <row r="222" spans="1:13" ht="15">
      <c r="A222" s="2266" t="s">
        <v>4031</v>
      </c>
      <c r="B222" s="2465" t="str">
        <f>CONCATENATE(LEFT(RIGHT(CONCATENATE("000",IFAData_TEA_1617!A222),6),3),"-",(RIGHT(RIGHT(CONCATENATE("000",IFAData_TEA_1617!A222),6),3)))</f>
        <v>015-912</v>
      </c>
      <c r="C222" s="2266" t="s">
        <v>2208</v>
      </c>
      <c r="D222" s="2266">
        <v>9</v>
      </c>
      <c r="E222" s="2266">
        <v>2366</v>
      </c>
      <c r="F222" s="2266" t="s">
        <v>4913</v>
      </c>
      <c r="G222" s="2266" t="s">
        <v>6919</v>
      </c>
      <c r="H222" s="2266">
        <v>907250</v>
      </c>
      <c r="I222" s="2266">
        <v>493750</v>
      </c>
      <c r="J222" s="2266">
        <v>0.58647107732509796</v>
      </c>
      <c r="K222" s="2266">
        <v>532075.88490319508</v>
      </c>
      <c r="L222" s="2266">
        <v>493750</v>
      </c>
      <c r="M222" s="2266">
        <v>599</v>
      </c>
    </row>
    <row r="223" spans="1:13" ht="15">
      <c r="A223" s="2266" t="s">
        <v>4031</v>
      </c>
      <c r="B223" s="2465" t="str">
        <f>CONCATENATE(LEFT(RIGHT(CONCATENATE("000",IFAData_TEA_1617!A223),6),3),"-",(RIGHT(RIGHT(CONCATENATE("000",IFAData_TEA_1617!A223),6),3)))</f>
        <v>015-912</v>
      </c>
      <c r="C223" s="2266" t="s">
        <v>2208</v>
      </c>
      <c r="D223" s="2266">
        <v>9</v>
      </c>
      <c r="E223" s="2266">
        <v>2366</v>
      </c>
      <c r="F223" s="2266" t="s">
        <v>4913</v>
      </c>
      <c r="G223" s="2266" t="s">
        <v>7147</v>
      </c>
      <c r="H223" s="2266">
        <v>907250</v>
      </c>
      <c r="I223" s="2266">
        <v>348150</v>
      </c>
      <c r="J223" s="2266">
        <v>0.41352892267490199</v>
      </c>
      <c r="K223" s="2266">
        <v>375174.1150968048</v>
      </c>
      <c r="L223" s="2266">
        <v>348150</v>
      </c>
      <c r="M223" s="2266">
        <v>599</v>
      </c>
    </row>
    <row r="224" spans="1:13" ht="15">
      <c r="A224" s="2266" t="s">
        <v>4031</v>
      </c>
      <c r="B224" s="2465" t="str">
        <f>CONCATENATE(LEFT(RIGHT(CONCATENATE("000",IFAData_TEA_1617!A224),6),3),"-",(RIGHT(RIGHT(CONCATENATE("000",IFAData_TEA_1617!A224),6),3)))</f>
        <v>015-912</v>
      </c>
      <c r="C224" s="2266" t="s">
        <v>2208</v>
      </c>
      <c r="D224" s="2266">
        <v>9</v>
      </c>
      <c r="E224" s="2266">
        <v>2366</v>
      </c>
      <c r="F224" s="2266" t="s">
        <v>4913</v>
      </c>
      <c r="G224" s="2266" t="s">
        <v>4913</v>
      </c>
      <c r="H224" s="2266">
        <v>907250</v>
      </c>
      <c r="I224" s="2266">
        <v>0</v>
      </c>
      <c r="J224" s="2266">
        <v>0</v>
      </c>
      <c r="K224" s="2266">
        <v>0</v>
      </c>
      <c r="L224" s="2266">
        <v>0</v>
      </c>
      <c r="M224" s="2266">
        <v>599</v>
      </c>
    </row>
    <row r="225" spans="1:13" ht="15">
      <c r="A225" s="2266" t="s">
        <v>4031</v>
      </c>
      <c r="B225" s="2465" t="str">
        <f>CONCATENATE(LEFT(RIGHT(CONCATENATE("000",IFAData_TEA_1617!A225),6),3),"-",(RIGHT(RIGHT(CONCATENATE("000",IFAData_TEA_1617!A225),6),3)))</f>
        <v>015-912</v>
      </c>
      <c r="C225" s="2266" t="s">
        <v>2208</v>
      </c>
      <c r="D225" s="2266">
        <v>6</v>
      </c>
      <c r="E225" s="2266">
        <v>2368</v>
      </c>
      <c r="F225" s="2266" t="s">
        <v>4909</v>
      </c>
      <c r="G225" s="2266" t="s">
        <v>4909</v>
      </c>
      <c r="H225" s="2266">
        <v>1856996</v>
      </c>
      <c r="I225" s="2266">
        <v>0</v>
      </c>
      <c r="J225" s="2266">
        <v>0</v>
      </c>
      <c r="K225" s="2266">
        <v>0</v>
      </c>
      <c r="L225" s="2266">
        <v>0</v>
      </c>
      <c r="M225" s="2266">
        <v>599</v>
      </c>
    </row>
    <row r="226" spans="1:13" ht="15">
      <c r="A226" s="2266" t="s">
        <v>4031</v>
      </c>
      <c r="B226" s="2465" t="str">
        <f>CONCATENATE(LEFT(RIGHT(CONCATENATE("000",IFAData_TEA_1617!A226),6),3),"-",(RIGHT(RIGHT(CONCATENATE("000",IFAData_TEA_1617!A226),6),3)))</f>
        <v>015-912</v>
      </c>
      <c r="C226" s="2266" t="s">
        <v>2208</v>
      </c>
      <c r="D226" s="2266">
        <v>6</v>
      </c>
      <c r="E226" s="2266">
        <v>2368</v>
      </c>
      <c r="F226" s="2266" t="s">
        <v>4909</v>
      </c>
      <c r="G226" s="2266" t="s">
        <v>7147</v>
      </c>
      <c r="H226" s="2266">
        <v>1856996</v>
      </c>
      <c r="I226" s="2266">
        <v>489500</v>
      </c>
      <c r="J226" s="2266">
        <v>0.2841304852565591</v>
      </c>
      <c r="K226" s="2266">
        <v>527629.1745994892</v>
      </c>
      <c r="L226" s="2266">
        <v>489500</v>
      </c>
      <c r="M226" s="2266">
        <v>599</v>
      </c>
    </row>
    <row r="227" spans="1:13" ht="15">
      <c r="A227" s="2266" t="s">
        <v>4031</v>
      </c>
      <c r="B227" s="2465" t="str">
        <f>CONCATENATE(LEFT(RIGHT(CONCATENATE("000",IFAData_TEA_1617!A227),6),3),"-",(RIGHT(RIGHT(CONCATENATE("000",IFAData_TEA_1617!A227),6),3)))</f>
        <v>015-912</v>
      </c>
      <c r="C227" s="2266" t="s">
        <v>2208</v>
      </c>
      <c r="D227" s="2266">
        <v>6</v>
      </c>
      <c r="E227" s="2266">
        <v>2368</v>
      </c>
      <c r="F227" s="2266" t="s">
        <v>4909</v>
      </c>
      <c r="G227" s="2266" t="s">
        <v>4911</v>
      </c>
      <c r="H227" s="2266">
        <v>1856996</v>
      </c>
      <c r="I227" s="2266">
        <v>1233300</v>
      </c>
      <c r="J227" s="2266">
        <v>0.71586951474344096</v>
      </c>
      <c r="K227" s="2266">
        <v>1329366.8254005108</v>
      </c>
      <c r="L227" s="2266">
        <v>1233300</v>
      </c>
      <c r="M227" s="2266">
        <v>599</v>
      </c>
    </row>
    <row r="228" spans="1:13" ht="15">
      <c r="A228" s="2266" t="s">
        <v>4031</v>
      </c>
      <c r="B228" s="2465" t="str">
        <f>CONCATENATE(LEFT(RIGHT(CONCATENATE("000",IFAData_TEA_1617!A228),6),3),"-",(RIGHT(RIGHT(CONCATENATE("000",IFAData_TEA_1617!A228),6),3)))</f>
        <v>015-912</v>
      </c>
      <c r="C228" s="2266" t="s">
        <v>2208</v>
      </c>
      <c r="D228" s="2266">
        <v>4</v>
      </c>
      <c r="E228" s="2266">
        <v>2369</v>
      </c>
      <c r="F228" s="2266" t="s">
        <v>4907</v>
      </c>
      <c r="G228" s="2266" t="s">
        <v>4908</v>
      </c>
      <c r="H228" s="2266">
        <v>2212705</v>
      </c>
      <c r="I228" s="2266">
        <v>320775</v>
      </c>
      <c r="J228" s="2266">
        <v>0.16426413355182301</v>
      </c>
      <c r="K228" s="2266">
        <v>363468.06963078654</v>
      </c>
      <c r="L228" s="2266">
        <v>320775</v>
      </c>
      <c r="M228" s="2266">
        <v>599</v>
      </c>
    </row>
    <row r="229" spans="1:13" ht="15">
      <c r="A229" s="2266" t="s">
        <v>4031</v>
      </c>
      <c r="B229" s="2465" t="str">
        <f>CONCATENATE(LEFT(RIGHT(CONCATENATE("000",IFAData_TEA_1617!A229),6),3),"-",(RIGHT(RIGHT(CONCATENATE("000",IFAData_TEA_1617!A229),6),3)))</f>
        <v>015-912</v>
      </c>
      <c r="C229" s="2266" t="s">
        <v>2208</v>
      </c>
      <c r="D229" s="2266">
        <v>8</v>
      </c>
      <c r="E229" s="2266">
        <v>2370</v>
      </c>
      <c r="F229" s="2266" t="s">
        <v>4912</v>
      </c>
      <c r="G229" s="2266" t="s">
        <v>6919</v>
      </c>
      <c r="H229" s="2266">
        <v>2355500</v>
      </c>
      <c r="I229" s="2266">
        <v>1246600</v>
      </c>
      <c r="J229" s="2266">
        <v>0.55461138052231174</v>
      </c>
      <c r="K229" s="2266">
        <v>1306387.1068203053</v>
      </c>
      <c r="L229" s="2266">
        <v>1246600</v>
      </c>
      <c r="M229" s="2266">
        <v>599</v>
      </c>
    </row>
    <row r="230" spans="1:13" ht="15">
      <c r="A230" s="2266" t="s">
        <v>4031</v>
      </c>
      <c r="B230" s="2465" t="str">
        <f>CONCATENATE(LEFT(RIGHT(CONCATENATE("000",IFAData_TEA_1617!A230),6),3),"-",(RIGHT(RIGHT(CONCATENATE("000",IFAData_TEA_1617!A230),6),3)))</f>
        <v>015-912</v>
      </c>
      <c r="C230" s="2266" t="s">
        <v>2208</v>
      </c>
      <c r="D230" s="2266">
        <v>8</v>
      </c>
      <c r="E230" s="2266">
        <v>2370</v>
      </c>
      <c r="F230" s="2266" t="s">
        <v>4912</v>
      </c>
      <c r="G230" s="2266" t="s">
        <v>4912</v>
      </c>
      <c r="H230" s="2266">
        <v>2355500</v>
      </c>
      <c r="I230" s="2266">
        <v>0</v>
      </c>
      <c r="J230" s="2266">
        <v>0</v>
      </c>
      <c r="K230" s="2266">
        <v>0</v>
      </c>
      <c r="L230" s="2266">
        <v>0</v>
      </c>
      <c r="M230" s="2266">
        <v>599</v>
      </c>
    </row>
    <row r="231" spans="1:13" ht="15">
      <c r="A231" s="2266" t="s">
        <v>4031</v>
      </c>
      <c r="B231" s="2465" t="str">
        <f>CONCATENATE(LEFT(RIGHT(CONCATENATE("000",IFAData_TEA_1617!A231),6),3),"-",(RIGHT(RIGHT(CONCATENATE("000",IFAData_TEA_1617!A231),6),3)))</f>
        <v>015-912</v>
      </c>
      <c r="C231" s="2266" t="s">
        <v>2208</v>
      </c>
      <c r="D231" s="2266">
        <v>6</v>
      </c>
      <c r="E231" s="2266">
        <v>2368</v>
      </c>
      <c r="F231" s="2266" t="s">
        <v>4909</v>
      </c>
      <c r="G231" s="2266" t="s">
        <v>4910</v>
      </c>
      <c r="H231" s="2266">
        <v>1856996</v>
      </c>
      <c r="I231" s="2266">
        <v>0</v>
      </c>
      <c r="J231" s="2266">
        <v>0</v>
      </c>
      <c r="K231" s="2266">
        <v>0</v>
      </c>
      <c r="L231" s="2266">
        <v>0</v>
      </c>
      <c r="M231" s="2266">
        <v>599</v>
      </c>
    </row>
    <row r="232" spans="1:13" ht="15">
      <c r="A232" s="2266" t="s">
        <v>4031</v>
      </c>
      <c r="B232" s="2465" t="str">
        <f>CONCATENATE(LEFT(RIGHT(CONCATENATE("000",IFAData_TEA_1617!A232),6),3),"-",(RIGHT(RIGHT(CONCATENATE("000",IFAData_TEA_1617!A232),6),3)))</f>
        <v>015-912</v>
      </c>
      <c r="C232" s="2266" t="s">
        <v>2208</v>
      </c>
      <c r="D232" s="2266">
        <v>9</v>
      </c>
      <c r="E232" s="2266">
        <v>2367</v>
      </c>
      <c r="F232" s="2266" t="s">
        <v>4914</v>
      </c>
      <c r="G232" s="2266" t="s">
        <v>4914</v>
      </c>
      <c r="H232" s="2266">
        <v>1378513</v>
      </c>
      <c r="I232" s="2266">
        <v>488880</v>
      </c>
      <c r="J232" s="2266">
        <v>0.26200662733994778</v>
      </c>
      <c r="K232" s="2266">
        <v>361179.54187427345</v>
      </c>
      <c r="L232" s="2266">
        <v>361179.54187427345</v>
      </c>
      <c r="M232" s="2266">
        <v>599</v>
      </c>
    </row>
    <row r="233" spans="1:13" ht="15">
      <c r="A233" s="2266" t="s">
        <v>4031</v>
      </c>
      <c r="B233" s="2465" t="str">
        <f>CONCATENATE(LEFT(RIGHT(CONCATENATE("000",IFAData_TEA_1617!A233),6),3),"-",(RIGHT(RIGHT(CONCATENATE("000",IFAData_TEA_1617!A233),6),3)))</f>
        <v>015-912</v>
      </c>
      <c r="C233" s="2266" t="s">
        <v>2208</v>
      </c>
      <c r="D233" s="2266">
        <v>8</v>
      </c>
      <c r="E233" s="2266">
        <v>2370</v>
      </c>
      <c r="F233" s="2266" t="s">
        <v>4912</v>
      </c>
      <c r="G233" s="2266" t="s">
        <v>7147</v>
      </c>
      <c r="H233" s="2266">
        <v>2355500</v>
      </c>
      <c r="I233" s="2266">
        <v>1001100</v>
      </c>
      <c r="J233" s="2266">
        <v>0.44538861947768832</v>
      </c>
      <c r="K233" s="2266">
        <v>1049112.8931796949</v>
      </c>
      <c r="L233" s="2266">
        <v>1001100</v>
      </c>
      <c r="M233" s="2266">
        <v>599</v>
      </c>
    </row>
    <row r="234" spans="1:13" ht="15">
      <c r="A234" s="2266" t="s">
        <v>4031</v>
      </c>
      <c r="B234" s="2465" t="str">
        <f>CONCATENATE(LEFT(RIGHT(CONCATENATE("000",IFAData_TEA_1617!A234),6),3),"-",(RIGHT(RIGHT(CONCATENATE("000",IFAData_TEA_1617!A234),6),3)))</f>
        <v>015-912</v>
      </c>
      <c r="C234" s="2266" t="s">
        <v>2208</v>
      </c>
      <c r="D234" s="2266">
        <v>9</v>
      </c>
      <c r="E234" s="2266">
        <v>2367</v>
      </c>
      <c r="F234" s="2266" t="s">
        <v>4914</v>
      </c>
      <c r="G234" s="2266" t="s">
        <v>7605</v>
      </c>
      <c r="H234" s="2266">
        <v>1378513</v>
      </c>
      <c r="I234" s="2266">
        <v>1377027</v>
      </c>
      <c r="J234" s="2266">
        <v>0.73799337266005216</v>
      </c>
      <c r="K234" s="2266">
        <v>1017333.4581257264</v>
      </c>
      <c r="L234" s="2266">
        <v>1017333.4581257264</v>
      </c>
      <c r="M234" s="2266">
        <v>599</v>
      </c>
    </row>
    <row r="235" spans="1:13" ht="15">
      <c r="A235" s="2266" t="s">
        <v>4032</v>
      </c>
      <c r="B235" s="2465" t="str">
        <f>CONCATENATE(LEFT(RIGHT(CONCATENATE("000",IFAData_TEA_1617!A235),6),3),"-",(RIGHT(RIGHT(CONCATENATE("000",IFAData_TEA_1617!A235),6),3)))</f>
        <v>015-915</v>
      </c>
      <c r="C235" s="2266" t="s">
        <v>2612</v>
      </c>
      <c r="D235" s="2266">
        <v>1</v>
      </c>
      <c r="E235" s="2266">
        <v>2153</v>
      </c>
      <c r="F235" s="2266" t="s">
        <v>4921</v>
      </c>
      <c r="G235" s="2266" t="s">
        <v>4919</v>
      </c>
      <c r="H235" s="2266">
        <v>3069626</v>
      </c>
      <c r="I235" s="2266">
        <v>106141</v>
      </c>
      <c r="J235" s="2266">
        <v>0.14149454369972619</v>
      </c>
      <c r="K235" s="2266">
        <v>434335.33019881573</v>
      </c>
      <c r="L235" s="2266">
        <v>106141</v>
      </c>
      <c r="M235" s="2266">
        <v>599</v>
      </c>
    </row>
    <row r="236" spans="1:13" ht="15">
      <c r="A236" s="2266" t="s">
        <v>4032</v>
      </c>
      <c r="B236" s="2465" t="str">
        <f>CONCATENATE(LEFT(RIGHT(CONCATENATE("000",IFAData_TEA_1617!A236),6),3),"-",(RIGHT(RIGHT(CONCATENATE("000",IFAData_TEA_1617!A236),6),3)))</f>
        <v>015-915</v>
      </c>
      <c r="C236" s="2266" t="s">
        <v>2612</v>
      </c>
      <c r="D236" s="2266">
        <v>1</v>
      </c>
      <c r="E236" s="2266">
        <v>2152</v>
      </c>
      <c r="F236" s="2266" t="s">
        <v>4915</v>
      </c>
      <c r="G236" s="2266" t="s">
        <v>4916</v>
      </c>
      <c r="H236" s="2266">
        <v>1368888</v>
      </c>
      <c r="I236" s="2266">
        <v>0</v>
      </c>
      <c r="J236" s="2266">
        <v>0</v>
      </c>
      <c r="K236" s="2266">
        <v>0</v>
      </c>
      <c r="L236" s="2266">
        <v>0</v>
      </c>
      <c r="M236" s="2266">
        <v>599</v>
      </c>
    </row>
    <row r="237" spans="1:13" ht="15">
      <c r="A237" s="2266" t="s">
        <v>4032</v>
      </c>
      <c r="B237" s="2465" t="str">
        <f>CONCATENATE(LEFT(RIGHT(CONCATENATE("000",IFAData_TEA_1617!A237),6),3),"-",(RIGHT(RIGHT(CONCATENATE("000",IFAData_TEA_1617!A237),6),3)))</f>
        <v>015-915</v>
      </c>
      <c r="C237" s="2266" t="s">
        <v>2612</v>
      </c>
      <c r="D237" s="2266">
        <v>1</v>
      </c>
      <c r="E237" s="2266">
        <v>2152</v>
      </c>
      <c r="F237" s="2266" t="s">
        <v>4915</v>
      </c>
      <c r="G237" s="2266" t="s">
        <v>4919</v>
      </c>
      <c r="H237" s="2266">
        <v>1368888</v>
      </c>
      <c r="I237" s="2266">
        <v>610350</v>
      </c>
      <c r="J237" s="2266">
        <v>0.44609640974066694</v>
      </c>
      <c r="K237" s="2266">
        <v>610656.02213708207</v>
      </c>
      <c r="L237" s="2266">
        <v>610350</v>
      </c>
      <c r="M237" s="2266">
        <v>599</v>
      </c>
    </row>
    <row r="238" spans="1:13" ht="15">
      <c r="A238" s="2266" t="s">
        <v>4032</v>
      </c>
      <c r="B238" s="2465" t="str">
        <f>CONCATENATE(LEFT(RIGHT(CONCATENATE("000",IFAData_TEA_1617!A238),6),3),"-",(RIGHT(RIGHT(CONCATENATE("000",IFAData_TEA_1617!A238),6),3)))</f>
        <v>015-915</v>
      </c>
      <c r="C238" s="2266" t="s">
        <v>2612</v>
      </c>
      <c r="D238" s="2266">
        <v>1</v>
      </c>
      <c r="E238" s="2266">
        <v>2152</v>
      </c>
      <c r="F238" s="2266" t="s">
        <v>4915</v>
      </c>
      <c r="G238" s="2266" t="s">
        <v>4917</v>
      </c>
      <c r="H238" s="2266">
        <v>1368888</v>
      </c>
      <c r="I238" s="2266">
        <v>0</v>
      </c>
      <c r="J238" s="2266">
        <v>0</v>
      </c>
      <c r="K238" s="2266">
        <v>0</v>
      </c>
      <c r="L238" s="2266">
        <v>0</v>
      </c>
      <c r="M238" s="2266">
        <v>599</v>
      </c>
    </row>
    <row r="239" spans="1:13" ht="15">
      <c r="A239" s="2266" t="s">
        <v>4032</v>
      </c>
      <c r="B239" s="2465" t="str">
        <f>CONCATENATE(LEFT(RIGHT(CONCATENATE("000",IFAData_TEA_1617!A239),6),3),"-",(RIGHT(RIGHT(CONCATENATE("000",IFAData_TEA_1617!A239),6),3)))</f>
        <v>015-915</v>
      </c>
      <c r="C239" s="2266" t="s">
        <v>2612</v>
      </c>
      <c r="D239" s="2266">
        <v>1</v>
      </c>
      <c r="E239" s="2266">
        <v>2153</v>
      </c>
      <c r="F239" s="2266" t="s">
        <v>4921</v>
      </c>
      <c r="G239" s="2266" t="s">
        <v>6920</v>
      </c>
      <c r="H239" s="2266">
        <v>3069626</v>
      </c>
      <c r="I239" s="2266">
        <v>236782</v>
      </c>
      <c r="J239" s="2266">
        <v>0.31564957034801411</v>
      </c>
      <c r="K239" s="2266">
        <v>968926.12802909315</v>
      </c>
      <c r="L239" s="2266">
        <v>236782</v>
      </c>
      <c r="M239" s="2266">
        <v>599</v>
      </c>
    </row>
    <row r="240" spans="1:13" ht="15">
      <c r="A240" s="2266" t="s">
        <v>4032</v>
      </c>
      <c r="B240" s="2465" t="str">
        <f>CONCATENATE(LEFT(RIGHT(CONCATENATE("000",IFAData_TEA_1617!A240),6),3),"-",(RIGHT(RIGHT(CONCATENATE("000",IFAData_TEA_1617!A240),6),3)))</f>
        <v>015-915</v>
      </c>
      <c r="C240" s="2266" t="s">
        <v>2612</v>
      </c>
      <c r="D240" s="2266">
        <v>1</v>
      </c>
      <c r="E240" s="2266">
        <v>2153</v>
      </c>
      <c r="F240" s="2266" t="s">
        <v>4921</v>
      </c>
      <c r="G240" s="2266" t="s">
        <v>4918</v>
      </c>
      <c r="H240" s="2266">
        <v>3069626</v>
      </c>
      <c r="I240" s="2266">
        <v>100533</v>
      </c>
      <c r="J240" s="2266">
        <v>0.13401862580684723</v>
      </c>
      <c r="K240" s="2266">
        <v>411387.05826096924</v>
      </c>
      <c r="L240" s="2266">
        <v>100533</v>
      </c>
      <c r="M240" s="2266">
        <v>599</v>
      </c>
    </row>
    <row r="241" spans="1:13" ht="15">
      <c r="A241" s="2266" t="s">
        <v>4032</v>
      </c>
      <c r="B241" s="2465" t="str">
        <f>CONCATENATE(LEFT(RIGHT(CONCATENATE("000",IFAData_TEA_1617!A241),6),3),"-",(RIGHT(RIGHT(CONCATENATE("000",IFAData_TEA_1617!A241),6),3)))</f>
        <v>015-915</v>
      </c>
      <c r="C241" s="2266" t="s">
        <v>2612</v>
      </c>
      <c r="D241" s="2266">
        <v>1</v>
      </c>
      <c r="E241" s="2266">
        <v>2152</v>
      </c>
      <c r="F241" s="2266" t="s">
        <v>4915</v>
      </c>
      <c r="G241" s="2266" t="s">
        <v>4918</v>
      </c>
      <c r="H241" s="2266">
        <v>1368888</v>
      </c>
      <c r="I241" s="2266">
        <v>578098</v>
      </c>
      <c r="J241" s="2266">
        <v>0.42252386708980105</v>
      </c>
      <c r="K241" s="2266">
        <v>578387.85137282358</v>
      </c>
      <c r="L241" s="2266">
        <v>578098</v>
      </c>
      <c r="M241" s="2266">
        <v>599</v>
      </c>
    </row>
    <row r="242" spans="1:13" ht="15">
      <c r="A242" s="2266" t="s">
        <v>4032</v>
      </c>
      <c r="B242" s="2465" t="str">
        <f>CONCATENATE(LEFT(RIGHT(CONCATENATE("000",IFAData_TEA_1617!A242),6),3),"-",(RIGHT(RIGHT(CONCATENATE("000",IFAData_TEA_1617!A242),6),3)))</f>
        <v>015-915</v>
      </c>
      <c r="C242" s="2266" t="s">
        <v>2612</v>
      </c>
      <c r="D242" s="2266">
        <v>1</v>
      </c>
      <c r="E242" s="2266">
        <v>2153</v>
      </c>
      <c r="F242" s="2266" t="s">
        <v>4921</v>
      </c>
      <c r="G242" s="2266" t="s">
        <v>4920</v>
      </c>
      <c r="H242" s="2266">
        <v>3069626</v>
      </c>
      <c r="I242" s="2266">
        <v>306686</v>
      </c>
      <c r="J242" s="2266">
        <v>0.4088372601454125</v>
      </c>
      <c r="K242" s="2266">
        <v>1254977.4835111219</v>
      </c>
      <c r="L242" s="2266">
        <v>306686</v>
      </c>
      <c r="M242" s="2266">
        <v>599</v>
      </c>
    </row>
    <row r="243" spans="1:13" ht="15">
      <c r="A243" s="2266" t="s">
        <v>4032</v>
      </c>
      <c r="B243" s="2465" t="str">
        <f>CONCATENATE(LEFT(RIGHT(CONCATENATE("000",IFAData_TEA_1617!A243),6),3),"-",(RIGHT(RIGHT(CONCATENATE("000",IFAData_TEA_1617!A243),6),3)))</f>
        <v>015-915</v>
      </c>
      <c r="C243" s="2266" t="s">
        <v>2612</v>
      </c>
      <c r="D243" s="2266">
        <v>1</v>
      </c>
      <c r="E243" s="2266">
        <v>2152</v>
      </c>
      <c r="F243" s="2266" t="s">
        <v>4915</v>
      </c>
      <c r="G243" s="2266" t="s">
        <v>4920</v>
      </c>
      <c r="H243" s="2266">
        <v>1368888</v>
      </c>
      <c r="I243" s="2266">
        <v>179754</v>
      </c>
      <c r="J243" s="2266">
        <v>0.13137972316953198</v>
      </c>
      <c r="K243" s="2266">
        <v>179844.12649009429</v>
      </c>
      <c r="L243" s="2266">
        <v>179754</v>
      </c>
      <c r="M243" s="2266">
        <v>599</v>
      </c>
    </row>
    <row r="244" spans="1:13" ht="15">
      <c r="A244" s="2266" t="s">
        <v>4032</v>
      </c>
      <c r="B244" s="2465" t="str">
        <f>CONCATENATE(LEFT(RIGHT(CONCATENATE("000",IFAData_TEA_1617!A244),6),3),"-",(RIGHT(RIGHT(CONCATENATE("000",IFAData_TEA_1617!A244),6),3)))</f>
        <v>015-915</v>
      </c>
      <c r="C244" s="2266" t="s">
        <v>2612</v>
      </c>
      <c r="D244" s="2266">
        <v>1</v>
      </c>
      <c r="E244" s="2266">
        <v>2153</v>
      </c>
      <c r="F244" s="2266" t="s">
        <v>4921</v>
      </c>
      <c r="G244" s="2266" t="s">
        <v>4921</v>
      </c>
      <c r="H244" s="2266">
        <v>3069626</v>
      </c>
      <c r="I244" s="2266">
        <v>0</v>
      </c>
      <c r="J244" s="2266">
        <v>0</v>
      </c>
      <c r="K244" s="2266">
        <v>0</v>
      </c>
      <c r="L244" s="2266">
        <v>0</v>
      </c>
      <c r="M244" s="2266">
        <v>599</v>
      </c>
    </row>
    <row r="245" spans="1:13" ht="15">
      <c r="A245" s="2266" t="s">
        <v>4032</v>
      </c>
      <c r="B245" s="2465" t="str">
        <f>CONCATENATE(LEFT(RIGHT(CONCATENATE("000",IFAData_TEA_1617!A245),6),3),"-",(RIGHT(RIGHT(CONCATENATE("000",IFAData_TEA_1617!A245),6),3)))</f>
        <v>015-915</v>
      </c>
      <c r="C245" s="2266" t="s">
        <v>2612</v>
      </c>
      <c r="D245" s="2266">
        <v>1</v>
      </c>
      <c r="E245" s="2266">
        <v>2153</v>
      </c>
      <c r="F245" s="2266" t="s">
        <v>4921</v>
      </c>
      <c r="G245" s="2266" t="s">
        <v>4917</v>
      </c>
      <c r="H245" s="2266">
        <v>3069626</v>
      </c>
      <c r="I245" s="2266">
        <v>0</v>
      </c>
      <c r="J245" s="2266">
        <v>0</v>
      </c>
      <c r="K245" s="2266">
        <v>0</v>
      </c>
      <c r="L245" s="2266">
        <v>0</v>
      </c>
      <c r="M245" s="2266">
        <v>599</v>
      </c>
    </row>
    <row r="246" spans="1:13" ht="15">
      <c r="A246" s="2266" t="s">
        <v>4032</v>
      </c>
      <c r="B246" s="2465" t="str">
        <f>CONCATENATE(LEFT(RIGHT(CONCATENATE("000",IFAData_TEA_1617!A246),6),3),"-",(RIGHT(RIGHT(CONCATENATE("000",IFAData_TEA_1617!A246),6),3)))</f>
        <v>015-915</v>
      </c>
      <c r="C246" s="2266" t="s">
        <v>2612</v>
      </c>
      <c r="D246" s="2266">
        <v>1</v>
      </c>
      <c r="E246" s="2266">
        <v>2153</v>
      </c>
      <c r="F246" s="2266" t="s">
        <v>4921</v>
      </c>
      <c r="G246" s="2266" t="s">
        <v>4922</v>
      </c>
      <c r="H246" s="2266">
        <v>3069626</v>
      </c>
      <c r="I246" s="2266">
        <v>0</v>
      </c>
      <c r="J246" s="2266">
        <v>0</v>
      </c>
      <c r="K246" s="2266">
        <v>0</v>
      </c>
      <c r="L246" s="2266">
        <v>0</v>
      </c>
      <c r="M246" s="2266">
        <v>599</v>
      </c>
    </row>
    <row r="247" spans="1:13" ht="15">
      <c r="A247" s="2266" t="s">
        <v>4032</v>
      </c>
      <c r="B247" s="2465" t="str">
        <f>CONCATENATE(LEFT(RIGHT(CONCATENATE("000",IFAData_TEA_1617!A247),6),3),"-",(RIGHT(RIGHT(CONCATENATE("000",IFAData_TEA_1617!A247),6),3)))</f>
        <v>015-915</v>
      </c>
      <c r="C247" s="2266" t="s">
        <v>2612</v>
      </c>
      <c r="D247" s="2266">
        <v>1</v>
      </c>
      <c r="E247" s="2266">
        <v>2152</v>
      </c>
      <c r="F247" s="2266" t="s">
        <v>4915</v>
      </c>
      <c r="G247" s="2266" t="s">
        <v>4915</v>
      </c>
      <c r="H247" s="2266">
        <v>1368888</v>
      </c>
      <c r="I247" s="2266">
        <v>0</v>
      </c>
      <c r="J247" s="2266">
        <v>0</v>
      </c>
      <c r="K247" s="2266">
        <v>0</v>
      </c>
      <c r="L247" s="2266">
        <v>0</v>
      </c>
      <c r="M247" s="2266">
        <v>599</v>
      </c>
    </row>
    <row r="248" spans="1:13" ht="15">
      <c r="A248" s="2266" t="s">
        <v>4032</v>
      </c>
      <c r="B248" s="2465" t="str">
        <f>CONCATENATE(LEFT(RIGHT(CONCATENATE("000",IFAData_TEA_1617!A248),6),3),"-",(RIGHT(RIGHT(CONCATENATE("000",IFAData_TEA_1617!A248),6),3)))</f>
        <v>015-915</v>
      </c>
      <c r="C248" s="2266" t="s">
        <v>2612</v>
      </c>
      <c r="D248" s="2266">
        <v>1</v>
      </c>
      <c r="E248" s="2266">
        <v>2153</v>
      </c>
      <c r="F248" s="2266" t="s">
        <v>4921</v>
      </c>
      <c r="G248" s="2266" t="s">
        <v>4916</v>
      </c>
      <c r="H248" s="2266">
        <v>3069626</v>
      </c>
      <c r="I248" s="2266">
        <v>0</v>
      </c>
      <c r="J248" s="2266">
        <v>0</v>
      </c>
      <c r="K248" s="2266">
        <v>0</v>
      </c>
      <c r="L248" s="2266">
        <v>0</v>
      </c>
      <c r="M248" s="2266">
        <v>599</v>
      </c>
    </row>
    <row r="249" spans="1:13" ht="15">
      <c r="A249" s="2266" t="s">
        <v>4033</v>
      </c>
      <c r="B249" s="2465" t="str">
        <f>CONCATENATE(LEFT(RIGHT(CONCATENATE("000",IFAData_TEA_1617!A249),6),3),"-",(RIGHT(RIGHT(CONCATENATE("000",IFAData_TEA_1617!A249),6),3)))</f>
        <v>015-916</v>
      </c>
      <c r="C249" s="2266" t="s">
        <v>448</v>
      </c>
      <c r="D249" s="2266">
        <v>6</v>
      </c>
      <c r="E249" s="2266">
        <v>1938</v>
      </c>
      <c r="F249" s="2266" t="s">
        <v>4924</v>
      </c>
      <c r="G249" s="2266" t="s">
        <v>4924</v>
      </c>
      <c r="H249" s="2266">
        <v>3992710</v>
      </c>
      <c r="I249" s="2266">
        <v>0</v>
      </c>
      <c r="J249" s="2266">
        <v>0</v>
      </c>
      <c r="K249" s="2266">
        <v>0</v>
      </c>
      <c r="L249" s="2266">
        <v>0</v>
      </c>
      <c r="M249" s="2266">
        <v>599</v>
      </c>
    </row>
    <row r="250" spans="1:13" ht="15">
      <c r="A250" s="2266" t="s">
        <v>4033</v>
      </c>
      <c r="B250" s="2465" t="str">
        <f>CONCATENATE(LEFT(RIGHT(CONCATENATE("000",IFAData_TEA_1617!A250),6),3),"-",(RIGHT(RIGHT(CONCATENATE("000",IFAData_TEA_1617!A250),6),3)))</f>
        <v>015-916</v>
      </c>
      <c r="C250" s="2266" t="s">
        <v>448</v>
      </c>
      <c r="D250" s="2266">
        <v>9</v>
      </c>
      <c r="E250" s="2266">
        <v>1939</v>
      </c>
      <c r="F250" s="2266" t="s">
        <v>4925</v>
      </c>
      <c r="G250" s="2266" t="s">
        <v>4925</v>
      </c>
      <c r="H250" s="2266">
        <v>4799160</v>
      </c>
      <c r="I250" s="2266">
        <v>7568034</v>
      </c>
      <c r="J250" s="2266">
        <v>1</v>
      </c>
      <c r="K250" s="2266">
        <v>4799160</v>
      </c>
      <c r="L250" s="2266">
        <v>4799160</v>
      </c>
      <c r="M250" s="2266">
        <v>599</v>
      </c>
    </row>
    <row r="251" spans="1:13" ht="15">
      <c r="A251" s="2266" t="s">
        <v>4033</v>
      </c>
      <c r="B251" s="2465" t="str">
        <f>CONCATENATE(LEFT(RIGHT(CONCATENATE("000",IFAData_TEA_1617!A251),6),3),"-",(RIGHT(RIGHT(CONCATENATE("000",IFAData_TEA_1617!A251),6),3)))</f>
        <v>015-916</v>
      </c>
      <c r="C251" s="2266" t="s">
        <v>448</v>
      </c>
      <c r="D251" s="2266">
        <v>6</v>
      </c>
      <c r="E251" s="2266">
        <v>1938</v>
      </c>
      <c r="F251" s="2266" t="s">
        <v>4924</v>
      </c>
      <c r="G251" s="2266" t="s">
        <v>4926</v>
      </c>
      <c r="H251" s="2266">
        <v>3992710</v>
      </c>
      <c r="I251" s="2266">
        <v>0</v>
      </c>
      <c r="J251" s="2266">
        <v>0</v>
      </c>
      <c r="K251" s="2266">
        <v>0</v>
      </c>
      <c r="L251" s="2266">
        <v>0</v>
      </c>
      <c r="M251" s="2266">
        <v>599</v>
      </c>
    </row>
    <row r="252" spans="1:13" ht="15">
      <c r="A252" s="2266" t="s">
        <v>4033</v>
      </c>
      <c r="B252" s="2465" t="str">
        <f>CONCATENATE(LEFT(RIGHT(CONCATENATE("000",IFAData_TEA_1617!A252),6),3),"-",(RIGHT(RIGHT(CONCATENATE("000",IFAData_TEA_1617!A252),6),3)))</f>
        <v>015-916</v>
      </c>
      <c r="C252" s="2266" t="s">
        <v>448</v>
      </c>
      <c r="D252" s="2266">
        <v>1</v>
      </c>
      <c r="E252" s="2266">
        <v>1937</v>
      </c>
      <c r="F252" s="2266" t="s">
        <v>4923</v>
      </c>
      <c r="G252" s="2266" t="s">
        <v>4923</v>
      </c>
      <c r="H252" s="2266">
        <v>738000</v>
      </c>
      <c r="I252" s="2266">
        <v>0</v>
      </c>
      <c r="J252" s="2266">
        <v>0</v>
      </c>
      <c r="K252" s="2266"/>
      <c r="L252" s="2266">
        <v>0</v>
      </c>
      <c r="M252" s="2266">
        <v>599</v>
      </c>
    </row>
    <row r="253" spans="1:13" ht="15">
      <c r="A253" s="2266" t="s">
        <v>4033</v>
      </c>
      <c r="B253" s="2465" t="str">
        <f>CONCATENATE(LEFT(RIGHT(CONCATENATE("000",IFAData_TEA_1617!A253),6),3),"-",(RIGHT(RIGHT(CONCATENATE("000",IFAData_TEA_1617!A253),6),3)))</f>
        <v>015-916</v>
      </c>
      <c r="C253" s="2266" t="s">
        <v>448</v>
      </c>
      <c r="D253" s="2266">
        <v>6</v>
      </c>
      <c r="E253" s="2266">
        <v>1938</v>
      </c>
      <c r="F253" s="2266" t="s">
        <v>4924</v>
      </c>
      <c r="G253" s="2266" t="s">
        <v>4927</v>
      </c>
      <c r="H253" s="2266">
        <v>3992710</v>
      </c>
      <c r="I253" s="2266">
        <v>255642</v>
      </c>
      <c r="J253" s="2266">
        <v>6.3559619122633498E-2</v>
      </c>
      <c r="K253" s="2266">
        <v>253775.12686712999</v>
      </c>
      <c r="L253" s="2266">
        <v>253775.12686712999</v>
      </c>
      <c r="M253" s="2266">
        <v>599</v>
      </c>
    </row>
    <row r="254" spans="1:13" ht="15">
      <c r="A254" s="2266" t="s">
        <v>4033</v>
      </c>
      <c r="B254" s="2465" t="str">
        <f>CONCATENATE(LEFT(RIGHT(CONCATENATE("000",IFAData_TEA_1617!A254),6),3),"-",(RIGHT(RIGHT(CONCATENATE("000",IFAData_TEA_1617!A254),6),3)))</f>
        <v>015-916</v>
      </c>
      <c r="C254" s="2266" t="s">
        <v>448</v>
      </c>
      <c r="D254" s="2266">
        <v>6</v>
      </c>
      <c r="E254" s="2266">
        <v>1938</v>
      </c>
      <c r="F254" s="2266" t="s">
        <v>4924</v>
      </c>
      <c r="G254" s="2266" t="s">
        <v>4925</v>
      </c>
      <c r="H254" s="2266">
        <v>3992710</v>
      </c>
      <c r="I254" s="2266">
        <v>3766440</v>
      </c>
      <c r="J254" s="2266">
        <v>0.93644038087736647</v>
      </c>
      <c r="K254" s="2266">
        <v>3738934.8731328701</v>
      </c>
      <c r="L254" s="2266">
        <v>3738934.8731328701</v>
      </c>
      <c r="M254" s="2266">
        <v>599</v>
      </c>
    </row>
    <row r="255" spans="1:13" ht="15">
      <c r="A255" s="2266" t="s">
        <v>4034</v>
      </c>
      <c r="B255" s="2465" t="str">
        <f>CONCATENATE(LEFT(RIGHT(CONCATENATE("000",IFAData_TEA_1617!A255),6),3),"-",(RIGHT(RIGHT(CONCATENATE("000",IFAData_TEA_1617!A255),6),3)))</f>
        <v>015-917</v>
      </c>
      <c r="C255" s="2266" t="s">
        <v>2207</v>
      </c>
      <c r="D255" s="2266">
        <v>8</v>
      </c>
      <c r="E255" s="2266">
        <v>2364</v>
      </c>
      <c r="F255" s="2266" t="s">
        <v>4939</v>
      </c>
      <c r="G255" s="2266" t="s">
        <v>7148</v>
      </c>
      <c r="H255" s="2266">
        <v>1193500</v>
      </c>
      <c r="I255" s="2266">
        <v>635250</v>
      </c>
      <c r="J255" s="2266">
        <v>0.37506243660396832</v>
      </c>
      <c r="K255" s="2266">
        <v>447637.01808683621</v>
      </c>
      <c r="L255" s="2266">
        <v>447637.01808683621</v>
      </c>
      <c r="M255" s="2266">
        <v>599</v>
      </c>
    </row>
    <row r="256" spans="1:13" ht="15">
      <c r="A256" s="2266" t="s">
        <v>4034</v>
      </c>
      <c r="B256" s="2465" t="str">
        <f>CONCATENATE(LEFT(RIGHT(CONCATENATE("000",IFAData_TEA_1617!A256),6),3),"-",(RIGHT(RIGHT(CONCATENATE("000",IFAData_TEA_1617!A256),6),3)))</f>
        <v>015-917</v>
      </c>
      <c r="C256" s="2266" t="s">
        <v>2207</v>
      </c>
      <c r="D256" s="2266">
        <v>8</v>
      </c>
      <c r="E256" s="2266">
        <v>2364</v>
      </c>
      <c r="F256" s="2266" t="s">
        <v>4939</v>
      </c>
      <c r="G256" s="2266" t="s">
        <v>4939</v>
      </c>
      <c r="H256" s="2266">
        <v>1193500</v>
      </c>
      <c r="I256" s="2266">
        <v>713393</v>
      </c>
      <c r="J256" s="2266">
        <v>0.42119939682993274</v>
      </c>
      <c r="K256" s="2266">
        <v>502701.48011652473</v>
      </c>
      <c r="L256" s="2266">
        <v>502701.48011652473</v>
      </c>
      <c r="M256" s="2266">
        <v>599</v>
      </c>
    </row>
    <row r="257" spans="1:13" ht="15">
      <c r="A257" s="2266" t="s">
        <v>4034</v>
      </c>
      <c r="B257" s="2465" t="str">
        <f>CONCATENATE(LEFT(RIGHT(CONCATENATE("000",IFAData_TEA_1617!A257),6),3),"-",(RIGHT(RIGHT(CONCATENATE("000",IFAData_TEA_1617!A257),6),3)))</f>
        <v>015-917</v>
      </c>
      <c r="C257" s="2266" t="s">
        <v>2207</v>
      </c>
      <c r="D257" s="2266">
        <v>6</v>
      </c>
      <c r="E257" s="2266">
        <v>2363</v>
      </c>
      <c r="F257" s="2266" t="s">
        <v>4934</v>
      </c>
      <c r="G257" s="2266" t="s">
        <v>4934</v>
      </c>
      <c r="H257" s="2266">
        <v>1121000</v>
      </c>
      <c r="I257" s="2266">
        <v>0</v>
      </c>
      <c r="J257" s="2266">
        <v>0</v>
      </c>
      <c r="K257" s="2266">
        <v>0</v>
      </c>
      <c r="L257" s="2266">
        <v>0</v>
      </c>
      <c r="M257" s="2266">
        <v>599</v>
      </c>
    </row>
    <row r="258" spans="1:13" ht="15">
      <c r="A258" s="2266" t="s">
        <v>4034</v>
      </c>
      <c r="B258" s="2465" t="str">
        <f>CONCATENATE(LEFT(RIGHT(CONCATENATE("000",IFAData_TEA_1617!A258),6),3),"-",(RIGHT(RIGHT(CONCATENATE("000",IFAData_TEA_1617!A258),6),3)))</f>
        <v>015-917</v>
      </c>
      <c r="C258" s="2266" t="s">
        <v>2207</v>
      </c>
      <c r="D258" s="2266">
        <v>6</v>
      </c>
      <c r="E258" s="2266">
        <v>2363</v>
      </c>
      <c r="F258" s="2266" t="s">
        <v>4934</v>
      </c>
      <c r="G258" s="2266" t="s">
        <v>4936</v>
      </c>
      <c r="H258" s="2266">
        <v>1121000</v>
      </c>
      <c r="I258" s="2266">
        <v>609300</v>
      </c>
      <c r="J258" s="2266">
        <v>0.63422504423857606</v>
      </c>
      <c r="K258" s="2266">
        <v>710966.27459144371</v>
      </c>
      <c r="L258" s="2266">
        <v>609300</v>
      </c>
      <c r="M258" s="2266">
        <v>599</v>
      </c>
    </row>
    <row r="259" spans="1:13" ht="15">
      <c r="A259" s="2266" t="s">
        <v>4034</v>
      </c>
      <c r="B259" s="2465" t="str">
        <f>CONCATENATE(LEFT(RIGHT(CONCATENATE("000",IFAData_TEA_1617!A259),6),3),"-",(RIGHT(RIGHT(CONCATENATE("000",IFAData_TEA_1617!A259),6),3)))</f>
        <v>015-917</v>
      </c>
      <c r="C259" s="2266" t="s">
        <v>2207</v>
      </c>
      <c r="D259" s="2266">
        <v>3</v>
      </c>
      <c r="E259" s="2266">
        <v>2360</v>
      </c>
      <c r="F259" s="2266" t="s">
        <v>4929</v>
      </c>
      <c r="G259" s="2266" t="s">
        <v>4929</v>
      </c>
      <c r="H259" s="2266">
        <v>441314</v>
      </c>
      <c r="I259" s="2266">
        <v>0</v>
      </c>
      <c r="J259" s="2266">
        <v>0</v>
      </c>
      <c r="K259" s="2266">
        <v>0</v>
      </c>
      <c r="L259" s="2266">
        <v>0</v>
      </c>
      <c r="M259" s="2266">
        <v>199</v>
      </c>
    </row>
    <row r="260" spans="1:13" ht="15">
      <c r="A260" s="2266" t="s">
        <v>4034</v>
      </c>
      <c r="B260" s="2465" t="str">
        <f>CONCATENATE(LEFT(RIGHT(CONCATENATE("000",IFAData_TEA_1617!A260),6),3),"-",(RIGHT(RIGHT(CONCATENATE("000",IFAData_TEA_1617!A260),6),3)))</f>
        <v>015-917</v>
      </c>
      <c r="C260" s="2266" t="s">
        <v>2207</v>
      </c>
      <c r="D260" s="2266">
        <v>2</v>
      </c>
      <c r="E260" s="2266">
        <v>2362</v>
      </c>
      <c r="F260" s="2266" t="s">
        <v>4928</v>
      </c>
      <c r="G260" s="2266" t="s">
        <v>4928</v>
      </c>
      <c r="H260" s="2266">
        <v>520585</v>
      </c>
      <c r="I260" s="2266">
        <v>0</v>
      </c>
      <c r="J260" s="2266">
        <v>0</v>
      </c>
      <c r="K260" s="2266"/>
      <c r="L260" s="2266">
        <v>0</v>
      </c>
      <c r="M260" s="2266">
        <v>199</v>
      </c>
    </row>
    <row r="261" spans="1:13" ht="15">
      <c r="A261" s="2266" t="s">
        <v>4034</v>
      </c>
      <c r="B261" s="2465" t="str">
        <f>CONCATENATE(LEFT(RIGHT(CONCATENATE("000",IFAData_TEA_1617!A261),6),3),"-",(RIGHT(RIGHT(CONCATENATE("000",IFAData_TEA_1617!A261),6),3)))</f>
        <v>015-917</v>
      </c>
      <c r="C261" s="2266" t="s">
        <v>2207</v>
      </c>
      <c r="D261" s="2266">
        <v>6</v>
      </c>
      <c r="E261" s="2266">
        <v>2363</v>
      </c>
      <c r="F261" s="2266" t="s">
        <v>4934</v>
      </c>
      <c r="G261" s="2266" t="s">
        <v>4935</v>
      </c>
      <c r="H261" s="2266">
        <v>1121000</v>
      </c>
      <c r="I261" s="2266">
        <v>351400</v>
      </c>
      <c r="J261" s="2266">
        <v>0.36577495576142394</v>
      </c>
      <c r="K261" s="2266">
        <v>410033.72540855623</v>
      </c>
      <c r="L261" s="2266">
        <v>351400</v>
      </c>
      <c r="M261" s="2266">
        <v>599</v>
      </c>
    </row>
    <row r="262" spans="1:13" ht="15">
      <c r="A262" s="2266" t="s">
        <v>4034</v>
      </c>
      <c r="B262" s="2465" t="str">
        <f>CONCATENATE(LEFT(RIGHT(CONCATENATE("000",IFAData_TEA_1617!A262),6),3),"-",(RIGHT(RIGHT(CONCATENATE("000",IFAData_TEA_1617!A262),6),3)))</f>
        <v>015-917</v>
      </c>
      <c r="C262" s="2266" t="s">
        <v>2207</v>
      </c>
      <c r="D262" s="2266">
        <v>3</v>
      </c>
      <c r="E262" s="2266">
        <v>2360</v>
      </c>
      <c r="F262" s="2266" t="s">
        <v>4929</v>
      </c>
      <c r="G262" s="2266" t="s">
        <v>4930</v>
      </c>
      <c r="H262" s="2266">
        <v>441314</v>
      </c>
      <c r="I262" s="2266">
        <v>291052</v>
      </c>
      <c r="J262" s="2266">
        <v>1</v>
      </c>
      <c r="K262" s="2266">
        <v>441314</v>
      </c>
      <c r="L262" s="2266">
        <v>291052</v>
      </c>
      <c r="M262" s="2266">
        <v>599</v>
      </c>
    </row>
    <row r="263" spans="1:13" ht="15">
      <c r="A263" s="2266" t="s">
        <v>4034</v>
      </c>
      <c r="B263" s="2465" t="str">
        <f>CONCATENATE(LEFT(RIGHT(CONCATENATE("000",IFAData_TEA_1617!A263),6),3),"-",(RIGHT(RIGHT(CONCATENATE("000",IFAData_TEA_1617!A263),6),3)))</f>
        <v>015-917</v>
      </c>
      <c r="C263" s="2266" t="s">
        <v>2207</v>
      </c>
      <c r="D263" s="2266">
        <v>4</v>
      </c>
      <c r="E263" s="2266">
        <v>2359</v>
      </c>
      <c r="F263" s="2266" t="s">
        <v>4931</v>
      </c>
      <c r="G263" s="2266" t="s">
        <v>4931</v>
      </c>
      <c r="H263" s="2266">
        <v>366250</v>
      </c>
      <c r="I263" s="2266">
        <v>0</v>
      </c>
      <c r="J263" s="2266">
        <v>0</v>
      </c>
      <c r="K263" s="2266">
        <v>0</v>
      </c>
      <c r="L263" s="2266">
        <v>0</v>
      </c>
      <c r="M263" s="2266">
        <v>199</v>
      </c>
    </row>
    <row r="264" spans="1:13" ht="15">
      <c r="A264" s="2266" t="s">
        <v>4034</v>
      </c>
      <c r="B264" s="2465" t="str">
        <f>CONCATENATE(LEFT(RIGHT(CONCATENATE("000",IFAData_TEA_1617!A264),6),3),"-",(RIGHT(RIGHT(CONCATENATE("000",IFAData_TEA_1617!A264),6),3)))</f>
        <v>015-917</v>
      </c>
      <c r="C264" s="2266" t="s">
        <v>2207</v>
      </c>
      <c r="D264" s="2266">
        <v>4</v>
      </c>
      <c r="E264" s="2266">
        <v>2359</v>
      </c>
      <c r="F264" s="2266" t="s">
        <v>4931</v>
      </c>
      <c r="G264" s="2266" t="s">
        <v>4930</v>
      </c>
      <c r="H264" s="2266">
        <v>366250</v>
      </c>
      <c r="I264" s="2266">
        <v>334247</v>
      </c>
      <c r="J264" s="2266">
        <v>1</v>
      </c>
      <c r="K264" s="2266">
        <v>366250</v>
      </c>
      <c r="L264" s="2266">
        <v>334247</v>
      </c>
      <c r="M264" s="2266">
        <v>599</v>
      </c>
    </row>
    <row r="265" spans="1:13" ht="15">
      <c r="A265" s="2266" t="s">
        <v>4034</v>
      </c>
      <c r="B265" s="2465" t="str">
        <f>CONCATENATE(LEFT(RIGHT(CONCATENATE("000",IFAData_TEA_1617!A265),6),3),"-",(RIGHT(RIGHT(CONCATENATE("000",IFAData_TEA_1617!A265),6),3)))</f>
        <v>015-917</v>
      </c>
      <c r="C265" s="2266" t="s">
        <v>2207</v>
      </c>
      <c r="D265" s="2266">
        <v>4</v>
      </c>
      <c r="E265" s="2266">
        <v>2361</v>
      </c>
      <c r="F265" s="2266" t="s">
        <v>4932</v>
      </c>
      <c r="G265" s="2266" t="s">
        <v>4932</v>
      </c>
      <c r="H265" s="2266">
        <v>518175</v>
      </c>
      <c r="I265" s="2266">
        <v>0</v>
      </c>
      <c r="J265" s="2266">
        <v>0</v>
      </c>
      <c r="K265" s="2266">
        <v>0</v>
      </c>
      <c r="L265" s="2266">
        <v>0</v>
      </c>
      <c r="M265" s="2266">
        <v>599</v>
      </c>
    </row>
    <row r="266" spans="1:13" ht="15">
      <c r="A266" s="2266" t="s">
        <v>4034</v>
      </c>
      <c r="B266" s="2465" t="str">
        <f>CONCATENATE(LEFT(RIGHT(CONCATENATE("000",IFAData_TEA_1617!A266),6),3),"-",(RIGHT(RIGHT(CONCATENATE("000",IFAData_TEA_1617!A266),6),3)))</f>
        <v>015-917</v>
      </c>
      <c r="C266" s="2266" t="s">
        <v>2207</v>
      </c>
      <c r="D266" s="2266">
        <v>8</v>
      </c>
      <c r="E266" s="2266">
        <v>2364</v>
      </c>
      <c r="F266" s="2266" t="s">
        <v>4939</v>
      </c>
      <c r="G266" s="2266" t="s">
        <v>7149</v>
      </c>
      <c r="H266" s="2266">
        <v>1193500</v>
      </c>
      <c r="I266" s="2266">
        <v>345075</v>
      </c>
      <c r="J266" s="2266">
        <v>0.20373816656609897</v>
      </c>
      <c r="K266" s="2266">
        <v>243161.50179663912</v>
      </c>
      <c r="L266" s="2266">
        <v>243161.50179663912</v>
      </c>
      <c r="M266" s="2266">
        <v>599</v>
      </c>
    </row>
    <row r="267" spans="1:13" ht="15">
      <c r="A267" s="2266" t="s">
        <v>4034</v>
      </c>
      <c r="B267" s="2465" t="str">
        <f>CONCATENATE(LEFT(RIGHT(CONCATENATE("000",IFAData_TEA_1617!A267),6),3),"-",(RIGHT(RIGHT(CONCATENATE("000",IFAData_TEA_1617!A267),6),3)))</f>
        <v>015-917</v>
      </c>
      <c r="C267" s="2266" t="s">
        <v>2207</v>
      </c>
      <c r="D267" s="2266">
        <v>4</v>
      </c>
      <c r="E267" s="2266">
        <v>2361</v>
      </c>
      <c r="F267" s="2266" t="s">
        <v>4932</v>
      </c>
      <c r="G267" s="2266" t="s">
        <v>4933</v>
      </c>
      <c r="H267" s="2266">
        <v>518175</v>
      </c>
      <c r="I267" s="2266">
        <v>438361</v>
      </c>
      <c r="J267" s="2266">
        <v>1</v>
      </c>
      <c r="K267" s="2266">
        <v>518175</v>
      </c>
      <c r="L267" s="2266">
        <v>438361</v>
      </c>
      <c r="M267" s="2266">
        <v>599</v>
      </c>
    </row>
    <row r="268" spans="1:13" ht="15">
      <c r="A268" s="2266" t="s">
        <v>4034</v>
      </c>
      <c r="B268" s="2465" t="str">
        <f>CONCATENATE(LEFT(RIGHT(CONCATENATE("000",IFAData_TEA_1617!A268),6),3),"-",(RIGHT(RIGHT(CONCATENATE("000",IFAData_TEA_1617!A268),6),3)))</f>
        <v>015-917</v>
      </c>
      <c r="C268" s="2266" t="s">
        <v>2207</v>
      </c>
      <c r="D268" s="2266">
        <v>7</v>
      </c>
      <c r="E268" s="2266">
        <v>2365</v>
      </c>
      <c r="F268" s="2266" t="s">
        <v>4937</v>
      </c>
      <c r="G268" s="2266" t="s">
        <v>4937</v>
      </c>
      <c r="H268" s="2266">
        <v>1207669</v>
      </c>
      <c r="I268" s="2266">
        <v>0</v>
      </c>
      <c r="J268" s="2266">
        <v>0</v>
      </c>
      <c r="K268" s="2266">
        <v>0</v>
      </c>
      <c r="L268" s="2266">
        <v>0</v>
      </c>
      <c r="M268" s="2266">
        <v>599</v>
      </c>
    </row>
    <row r="269" spans="1:13" ht="15">
      <c r="A269" s="2266" t="s">
        <v>4034</v>
      </c>
      <c r="B269" s="2465" t="str">
        <f>CONCATENATE(LEFT(RIGHT(CONCATENATE("000",IFAData_TEA_1617!A269),6),3),"-",(RIGHT(RIGHT(CONCATENATE("000",IFAData_TEA_1617!A269),6),3)))</f>
        <v>015-917</v>
      </c>
      <c r="C269" s="2266" t="s">
        <v>2207</v>
      </c>
      <c r="D269" s="2266">
        <v>7</v>
      </c>
      <c r="E269" s="2266">
        <v>2365</v>
      </c>
      <c r="F269" s="2266" t="s">
        <v>4937</v>
      </c>
      <c r="G269" s="2266" t="s">
        <v>4938</v>
      </c>
      <c r="H269" s="2266">
        <v>1207669</v>
      </c>
      <c r="I269" s="2266">
        <v>1055163</v>
      </c>
      <c r="J269" s="2266">
        <v>1</v>
      </c>
      <c r="K269" s="2266">
        <v>1207669</v>
      </c>
      <c r="L269" s="2266">
        <v>1055163</v>
      </c>
      <c r="M269" s="2266">
        <v>599</v>
      </c>
    </row>
    <row r="270" spans="1:13" ht="15">
      <c r="A270" s="2266" t="s">
        <v>4035</v>
      </c>
      <c r="B270" s="2465" t="str">
        <f>CONCATENATE(LEFT(RIGHT(CONCATENATE("000",IFAData_TEA_1617!A270),6),3),"-",(RIGHT(RIGHT(CONCATENATE("000",IFAData_TEA_1617!A270),6),3)))</f>
        <v>016-902</v>
      </c>
      <c r="C270" s="2266" t="s">
        <v>902</v>
      </c>
      <c r="D270" s="2266">
        <v>2</v>
      </c>
      <c r="E270" s="2266">
        <v>1613</v>
      </c>
      <c r="F270" s="2266" t="s">
        <v>4940</v>
      </c>
      <c r="G270" s="2266" t="s">
        <v>4940</v>
      </c>
      <c r="H270" s="2266">
        <v>248495</v>
      </c>
      <c r="I270" s="2266">
        <v>0</v>
      </c>
      <c r="J270" s="2266">
        <v>0</v>
      </c>
      <c r="K270" s="2266">
        <v>0</v>
      </c>
      <c r="L270" s="2266">
        <v>0</v>
      </c>
      <c r="M270" s="2266">
        <v>599</v>
      </c>
    </row>
    <row r="271" spans="1:13" ht="15">
      <c r="A271" s="2266" t="s">
        <v>4035</v>
      </c>
      <c r="B271" s="2465" t="str">
        <f>CONCATENATE(LEFT(RIGHT(CONCATENATE("000",IFAData_TEA_1617!A271),6),3),"-",(RIGHT(RIGHT(CONCATENATE("000",IFAData_TEA_1617!A271),6),3)))</f>
        <v>016-902</v>
      </c>
      <c r="C271" s="2266" t="s">
        <v>902</v>
      </c>
      <c r="D271" s="2266">
        <v>2</v>
      </c>
      <c r="E271" s="2266">
        <v>1613</v>
      </c>
      <c r="F271" s="2266" t="s">
        <v>4940</v>
      </c>
      <c r="G271" s="2266" t="s">
        <v>6921</v>
      </c>
      <c r="H271" s="2266">
        <v>248495</v>
      </c>
      <c r="I271" s="2266">
        <v>599919</v>
      </c>
      <c r="J271" s="2266">
        <v>1</v>
      </c>
      <c r="K271" s="2266">
        <v>248495</v>
      </c>
      <c r="L271" s="2266">
        <v>248495</v>
      </c>
      <c r="M271" s="2266">
        <v>599</v>
      </c>
    </row>
    <row r="272" spans="1:13" ht="15">
      <c r="A272" s="2266" t="s">
        <v>4035</v>
      </c>
      <c r="B272" s="2465" t="str">
        <f>CONCATENATE(LEFT(RIGHT(CONCATENATE("000",IFAData_TEA_1617!A272),6),3),"-",(RIGHT(RIGHT(CONCATENATE("000",IFAData_TEA_1617!A272),6),3)))</f>
        <v>016-902</v>
      </c>
      <c r="C272" s="2266" t="s">
        <v>902</v>
      </c>
      <c r="D272" s="2266">
        <v>2</v>
      </c>
      <c r="E272" s="2266">
        <v>1613</v>
      </c>
      <c r="F272" s="2266" t="s">
        <v>4940</v>
      </c>
      <c r="G272" s="2266" t="s">
        <v>4941</v>
      </c>
      <c r="H272" s="2266">
        <v>248495</v>
      </c>
      <c r="I272" s="2266">
        <v>0</v>
      </c>
      <c r="J272" s="2266">
        <v>0</v>
      </c>
      <c r="K272" s="2266">
        <v>0</v>
      </c>
      <c r="L272" s="2266">
        <v>0</v>
      </c>
      <c r="M272" s="2266">
        <v>599</v>
      </c>
    </row>
    <row r="273" spans="1:13" ht="15">
      <c r="A273" s="2266" t="s">
        <v>4036</v>
      </c>
      <c r="B273" s="2465" t="str">
        <f>CONCATENATE(LEFT(RIGHT(CONCATENATE("000",IFAData_TEA_1617!A273),6),3),"-",(RIGHT(RIGHT(CONCATENATE("000",IFAData_TEA_1617!A273),6),3)))</f>
        <v>018-901</v>
      </c>
      <c r="C273" s="2266" t="s">
        <v>1330</v>
      </c>
      <c r="D273" s="2266">
        <v>2</v>
      </c>
      <c r="E273" s="2266">
        <v>1695</v>
      </c>
      <c r="F273" s="2266" t="s">
        <v>4942</v>
      </c>
      <c r="G273" s="2266" t="s">
        <v>4943</v>
      </c>
      <c r="H273" s="2266">
        <v>314735</v>
      </c>
      <c r="I273" s="2266">
        <v>526950</v>
      </c>
      <c r="J273" s="2266">
        <v>1</v>
      </c>
      <c r="K273" s="2266">
        <v>314735</v>
      </c>
      <c r="L273" s="2266">
        <v>314735</v>
      </c>
      <c r="M273" s="2266">
        <v>599</v>
      </c>
    </row>
    <row r="274" spans="1:13" ht="15">
      <c r="A274" s="2266" t="s">
        <v>4036</v>
      </c>
      <c r="B274" s="2465" t="str">
        <f>CONCATENATE(LEFT(RIGHT(CONCATENATE("000",IFAData_TEA_1617!A274),6),3),"-",(RIGHT(RIGHT(CONCATENATE("000",IFAData_TEA_1617!A274),6),3)))</f>
        <v>018-901</v>
      </c>
      <c r="C274" s="2266" t="s">
        <v>1330</v>
      </c>
      <c r="D274" s="2266">
        <v>2</v>
      </c>
      <c r="E274" s="2266">
        <v>1695</v>
      </c>
      <c r="F274" s="2266" t="s">
        <v>4942</v>
      </c>
      <c r="G274" s="2266" t="s">
        <v>4942</v>
      </c>
      <c r="H274" s="2266">
        <v>314735</v>
      </c>
      <c r="I274" s="2266">
        <v>0</v>
      </c>
      <c r="J274" s="2266">
        <v>0</v>
      </c>
      <c r="K274" s="2266">
        <v>0</v>
      </c>
      <c r="L274" s="2266">
        <v>0</v>
      </c>
      <c r="M274" s="2266">
        <v>599</v>
      </c>
    </row>
    <row r="275" spans="1:13" ht="15">
      <c r="A275" s="2266" t="s">
        <v>4037</v>
      </c>
      <c r="B275" s="2465" t="str">
        <f>CONCATENATE(LEFT(RIGHT(CONCATENATE("000",IFAData_TEA_1617!A275),6),3),"-",(RIGHT(RIGHT(CONCATENATE("000",IFAData_TEA_1617!A275),6),3)))</f>
        <v>018-902</v>
      </c>
      <c r="C275" s="2266" t="s">
        <v>3081</v>
      </c>
      <c r="D275" s="2266">
        <v>9</v>
      </c>
      <c r="E275" s="2266">
        <v>2095</v>
      </c>
      <c r="F275" s="2266" t="s">
        <v>4944</v>
      </c>
      <c r="G275" s="2266" t="s">
        <v>4945</v>
      </c>
      <c r="H275" s="2266">
        <v>125707</v>
      </c>
      <c r="I275" s="2266">
        <v>330240</v>
      </c>
      <c r="J275" s="2266">
        <v>1</v>
      </c>
      <c r="K275" s="2266">
        <v>125707</v>
      </c>
      <c r="L275" s="2266">
        <v>125707</v>
      </c>
      <c r="M275" s="2266">
        <v>599</v>
      </c>
    </row>
    <row r="276" spans="1:13" ht="15">
      <c r="A276" s="2266" t="s">
        <v>4037</v>
      </c>
      <c r="B276" s="2465" t="str">
        <f>CONCATENATE(LEFT(RIGHT(CONCATENATE("000",IFAData_TEA_1617!A276),6),3),"-",(RIGHT(RIGHT(CONCATENATE("000",IFAData_TEA_1617!A276),6),3)))</f>
        <v>018-902</v>
      </c>
      <c r="C276" s="2266" t="s">
        <v>3081</v>
      </c>
      <c r="D276" s="2266">
        <v>9</v>
      </c>
      <c r="E276" s="2266">
        <v>2095</v>
      </c>
      <c r="F276" s="2266" t="s">
        <v>4944</v>
      </c>
      <c r="G276" s="2266" t="s">
        <v>4944</v>
      </c>
      <c r="H276" s="2266">
        <v>125707</v>
      </c>
      <c r="I276" s="2266">
        <v>0</v>
      </c>
      <c r="J276" s="2266">
        <v>0</v>
      </c>
      <c r="K276" s="2266">
        <v>0</v>
      </c>
      <c r="L276" s="2266">
        <v>0</v>
      </c>
      <c r="M276" s="2266">
        <v>599</v>
      </c>
    </row>
    <row r="277" spans="1:13" ht="15">
      <c r="A277" s="2266" t="s">
        <v>4038</v>
      </c>
      <c r="B277" s="2465" t="str">
        <f>CONCATENATE(LEFT(RIGHT(CONCATENATE("000",IFAData_TEA_1617!A277),6),3),"-",(RIGHT(RIGHT(CONCATENATE("000",IFAData_TEA_1617!A277),6),3)))</f>
        <v>018-904</v>
      </c>
      <c r="C277" s="2266" t="s">
        <v>3083</v>
      </c>
      <c r="D277" s="2266">
        <v>9</v>
      </c>
      <c r="E277" s="2266">
        <v>2410</v>
      </c>
      <c r="F277" s="2266" t="s">
        <v>4946</v>
      </c>
      <c r="G277" s="2266" t="s">
        <v>4946</v>
      </c>
      <c r="H277" s="2266">
        <v>161705</v>
      </c>
      <c r="I277" s="2266">
        <v>163200</v>
      </c>
      <c r="J277" s="2266">
        <v>0.4046113796950539</v>
      </c>
      <c r="K277" s="2266">
        <v>65427.683153588689</v>
      </c>
      <c r="L277" s="2266">
        <v>65427.683153588689</v>
      </c>
      <c r="M277" s="2266">
        <v>599</v>
      </c>
    </row>
    <row r="278" spans="1:13" ht="15">
      <c r="A278" s="2266" t="s">
        <v>4038</v>
      </c>
      <c r="B278" s="2465" t="str">
        <f>CONCATENATE(LEFT(RIGHT(CONCATENATE("000",IFAData_TEA_1617!A278),6),3),"-",(RIGHT(RIGHT(CONCATENATE("000",IFAData_TEA_1617!A278),6),3)))</f>
        <v>018-904</v>
      </c>
      <c r="C278" s="2266" t="s">
        <v>3083</v>
      </c>
      <c r="D278" s="2266">
        <v>9</v>
      </c>
      <c r="E278" s="2266">
        <v>2410</v>
      </c>
      <c r="F278" s="2266" t="s">
        <v>4946</v>
      </c>
      <c r="G278" s="2266" t="s">
        <v>7150</v>
      </c>
      <c r="H278" s="2266">
        <v>161705</v>
      </c>
      <c r="I278" s="2266">
        <v>240150</v>
      </c>
      <c r="J278" s="2266">
        <v>0.5953886203049461</v>
      </c>
      <c r="K278" s="2266">
        <v>96277.316846411311</v>
      </c>
      <c r="L278" s="2266">
        <v>96277.316846411311</v>
      </c>
      <c r="M278" s="2266">
        <v>599</v>
      </c>
    </row>
    <row r="279" spans="1:13" ht="15">
      <c r="A279" s="2266" t="s">
        <v>4947</v>
      </c>
      <c r="B279" s="2465" t="str">
        <f>CONCATENATE(LEFT(RIGHT(CONCATENATE("000",IFAData_TEA_1617!A279),6),3),"-",(RIGHT(RIGHT(CONCATENATE("000",IFAData_TEA_1617!A279),6),3)))</f>
        <v>018-905</v>
      </c>
      <c r="C279" s="2266" t="s">
        <v>2304</v>
      </c>
      <c r="D279" s="2266">
        <v>5</v>
      </c>
      <c r="E279" s="2266">
        <v>2435</v>
      </c>
      <c r="F279" s="2266" t="s">
        <v>4948</v>
      </c>
      <c r="G279" s="2266" t="s">
        <v>4948</v>
      </c>
      <c r="H279" s="2266">
        <v>100000</v>
      </c>
      <c r="I279" s="2266">
        <v>111501</v>
      </c>
      <c r="J279" s="2266">
        <v>1</v>
      </c>
      <c r="K279" s="2266">
        <v>100000</v>
      </c>
      <c r="L279" s="2266">
        <v>100000</v>
      </c>
      <c r="M279" s="2266">
        <v>199</v>
      </c>
    </row>
    <row r="280" spans="1:13" ht="15">
      <c r="A280" s="2266" t="s">
        <v>4949</v>
      </c>
      <c r="B280" s="2465" t="str">
        <f>CONCATENATE(LEFT(RIGHT(CONCATENATE("000",IFAData_TEA_1617!A280),6),3),"-",(RIGHT(RIGHT(CONCATENATE("000",IFAData_TEA_1617!A280),6),3)))</f>
        <v>019-901</v>
      </c>
      <c r="C280" s="2266" t="s">
        <v>3063</v>
      </c>
      <c r="D280" s="2266">
        <v>4</v>
      </c>
      <c r="E280" s="2266">
        <v>1750</v>
      </c>
      <c r="F280" s="2266" t="s">
        <v>4950</v>
      </c>
      <c r="G280" s="2266" t="s">
        <v>4950</v>
      </c>
      <c r="H280" s="2266">
        <v>243750</v>
      </c>
      <c r="I280" s="2266">
        <v>0</v>
      </c>
      <c r="J280" s="2266">
        <v>0</v>
      </c>
      <c r="K280" s="2266"/>
      <c r="L280" s="2266">
        <v>0</v>
      </c>
      <c r="M280" s="2266">
        <v>199</v>
      </c>
    </row>
    <row r="281" spans="1:13" ht="15">
      <c r="A281" s="2266" t="s">
        <v>4039</v>
      </c>
      <c r="B281" s="2465" t="str">
        <f>CONCATENATE(LEFT(RIGHT(CONCATENATE("000",IFAData_TEA_1617!A281),6),3),"-",(RIGHT(RIGHT(CONCATENATE("000",IFAData_TEA_1617!A281),6),3)))</f>
        <v>019-902</v>
      </c>
      <c r="C281" s="2266" t="s">
        <v>2730</v>
      </c>
      <c r="D281" s="2266">
        <v>4</v>
      </c>
      <c r="E281" s="2266">
        <v>1902</v>
      </c>
      <c r="F281" s="2266" t="s">
        <v>4953</v>
      </c>
      <c r="G281" s="2266" t="s">
        <v>4954</v>
      </c>
      <c r="H281" s="2266">
        <v>271149</v>
      </c>
      <c r="I281" s="2266">
        <v>197925</v>
      </c>
      <c r="J281" s="2266">
        <v>0.75043223076573096</v>
      </c>
      <c r="K281" s="2266">
        <v>203478.94893989718</v>
      </c>
      <c r="L281" s="2266">
        <v>197925</v>
      </c>
      <c r="M281" s="2266">
        <v>599</v>
      </c>
    </row>
    <row r="282" spans="1:13" ht="15">
      <c r="A282" s="2266" t="s">
        <v>4039</v>
      </c>
      <c r="B282" s="2465" t="str">
        <f>CONCATENATE(LEFT(RIGHT(CONCATENATE("000",IFAData_TEA_1617!A282),6),3),"-",(RIGHT(RIGHT(CONCATENATE("000",IFAData_TEA_1617!A282),6),3)))</f>
        <v>019-902</v>
      </c>
      <c r="C282" s="2266" t="s">
        <v>2730</v>
      </c>
      <c r="D282" s="2266">
        <v>6</v>
      </c>
      <c r="E282" s="2266">
        <v>1900</v>
      </c>
      <c r="F282" s="2266" t="s">
        <v>4955</v>
      </c>
      <c r="G282" s="2266" t="s">
        <v>4955</v>
      </c>
      <c r="H282" s="2266">
        <v>233415</v>
      </c>
      <c r="I282" s="2266">
        <v>0</v>
      </c>
      <c r="J282" s="2266">
        <v>0</v>
      </c>
      <c r="K282" s="2266">
        <v>0</v>
      </c>
      <c r="L282" s="2266">
        <v>0</v>
      </c>
      <c r="M282" s="2266">
        <v>599</v>
      </c>
    </row>
    <row r="283" spans="1:13" ht="15">
      <c r="A283" s="2266" t="s">
        <v>4039</v>
      </c>
      <c r="B283" s="2465" t="str">
        <f>CONCATENATE(LEFT(RIGHT(CONCATENATE("000",IFAData_TEA_1617!A283),6),3),"-",(RIGHT(RIGHT(CONCATENATE("000",IFAData_TEA_1617!A283),6),3)))</f>
        <v>019-902</v>
      </c>
      <c r="C283" s="2266" t="s">
        <v>2730</v>
      </c>
      <c r="D283" s="2266">
        <v>9</v>
      </c>
      <c r="E283" s="2266">
        <v>1901</v>
      </c>
      <c r="F283" s="2266" t="s">
        <v>4957</v>
      </c>
      <c r="G283" s="2266" t="s">
        <v>4957</v>
      </c>
      <c r="H283" s="2266">
        <v>245486</v>
      </c>
      <c r="I283" s="2266">
        <v>95600</v>
      </c>
      <c r="J283" s="2266">
        <v>0.46753653240478099</v>
      </c>
      <c r="K283" s="2266">
        <v>114773.67319392007</v>
      </c>
      <c r="L283" s="2266">
        <v>95600</v>
      </c>
      <c r="M283" s="2266">
        <v>599</v>
      </c>
    </row>
    <row r="284" spans="1:13" ht="15">
      <c r="A284" s="2266" t="s">
        <v>4039</v>
      </c>
      <c r="B284" s="2465" t="str">
        <f>CONCATENATE(LEFT(RIGHT(CONCATENATE("000",IFAData_TEA_1617!A284),6),3),"-",(RIGHT(RIGHT(CONCATENATE("000",IFAData_TEA_1617!A284),6),3)))</f>
        <v>019-902</v>
      </c>
      <c r="C284" s="2266" t="s">
        <v>2730</v>
      </c>
      <c r="D284" s="2266">
        <v>4</v>
      </c>
      <c r="E284" s="2266">
        <v>1902</v>
      </c>
      <c r="F284" s="2266" t="s">
        <v>4953</v>
      </c>
      <c r="G284" s="2266" t="s">
        <v>7151</v>
      </c>
      <c r="H284" s="2266">
        <v>271149</v>
      </c>
      <c r="I284" s="2266">
        <v>65823</v>
      </c>
      <c r="J284" s="2266">
        <v>0.24956776923426907</v>
      </c>
      <c r="K284" s="2266">
        <v>67670.051060102822</v>
      </c>
      <c r="L284" s="2266">
        <v>65823</v>
      </c>
      <c r="M284" s="2266">
        <v>599</v>
      </c>
    </row>
    <row r="285" spans="1:13" ht="15">
      <c r="A285" s="2266" t="s">
        <v>4039</v>
      </c>
      <c r="B285" s="2465" t="str">
        <f>CONCATENATE(LEFT(RIGHT(CONCATENATE("000",IFAData_TEA_1617!A285),6),3),"-",(RIGHT(RIGHT(CONCATENATE("000",IFAData_TEA_1617!A285),6),3)))</f>
        <v>019-902</v>
      </c>
      <c r="C285" s="2266" t="s">
        <v>2730</v>
      </c>
      <c r="D285" s="2266">
        <v>4</v>
      </c>
      <c r="E285" s="2266">
        <v>1902</v>
      </c>
      <c r="F285" s="2266" t="s">
        <v>4953</v>
      </c>
      <c r="G285" s="2266" t="s">
        <v>4953</v>
      </c>
      <c r="H285" s="2266">
        <v>271149</v>
      </c>
      <c r="I285" s="2266">
        <v>0</v>
      </c>
      <c r="J285" s="2266">
        <v>0</v>
      </c>
      <c r="K285" s="2266">
        <v>0</v>
      </c>
      <c r="L285" s="2266">
        <v>0</v>
      </c>
      <c r="M285" s="2266">
        <v>599</v>
      </c>
    </row>
    <row r="286" spans="1:13" ht="15">
      <c r="A286" s="2266" t="s">
        <v>4039</v>
      </c>
      <c r="B286" s="2465" t="str">
        <f>CONCATENATE(LEFT(RIGHT(CONCATENATE("000",IFAData_TEA_1617!A286),6),3),"-",(RIGHT(RIGHT(CONCATENATE("000",IFAData_TEA_1617!A286),6),3)))</f>
        <v>019-902</v>
      </c>
      <c r="C286" s="2266" t="s">
        <v>2730</v>
      </c>
      <c r="D286" s="2266">
        <v>9</v>
      </c>
      <c r="E286" s="2266">
        <v>1901</v>
      </c>
      <c r="F286" s="2266" t="s">
        <v>4957</v>
      </c>
      <c r="G286" s="2266" t="s">
        <v>7151</v>
      </c>
      <c r="H286" s="2266">
        <v>245486</v>
      </c>
      <c r="I286" s="2266">
        <v>108876</v>
      </c>
      <c r="J286" s="2266">
        <v>0.53246346759521901</v>
      </c>
      <c r="K286" s="2266">
        <v>130712.32680607993</v>
      </c>
      <c r="L286" s="2266">
        <v>108876</v>
      </c>
      <c r="M286" s="2266">
        <v>599</v>
      </c>
    </row>
    <row r="287" spans="1:13" ht="15">
      <c r="A287" s="2266" t="s">
        <v>4039</v>
      </c>
      <c r="B287" s="2465" t="str">
        <f>CONCATENATE(LEFT(RIGHT(CONCATENATE("000",IFAData_TEA_1617!A287),6),3),"-",(RIGHT(RIGHT(CONCATENATE("000",IFAData_TEA_1617!A287),6),3)))</f>
        <v>019-902</v>
      </c>
      <c r="C287" s="2266" t="s">
        <v>2730</v>
      </c>
      <c r="D287" s="2266">
        <v>6</v>
      </c>
      <c r="E287" s="2266">
        <v>1900</v>
      </c>
      <c r="F287" s="2266" t="s">
        <v>4955</v>
      </c>
      <c r="G287" s="2266" t="s">
        <v>4956</v>
      </c>
      <c r="H287" s="2266">
        <v>233415</v>
      </c>
      <c r="I287" s="2266">
        <v>194800</v>
      </c>
      <c r="J287" s="2266">
        <v>1</v>
      </c>
      <c r="K287" s="2266">
        <v>233415</v>
      </c>
      <c r="L287" s="2266">
        <v>194800</v>
      </c>
      <c r="M287" s="2266">
        <v>599</v>
      </c>
    </row>
    <row r="288" spans="1:13" ht="15">
      <c r="A288" s="2266" t="s">
        <v>4040</v>
      </c>
      <c r="B288" s="2465" t="str">
        <f>CONCATENATE(LEFT(RIGHT(CONCATENATE("000",IFAData_TEA_1617!A288),6),3),"-",(RIGHT(RIGHT(CONCATENATE("000",IFAData_TEA_1617!A288),6),3)))</f>
        <v>019-903</v>
      </c>
      <c r="C288" s="2266" t="s">
        <v>2361</v>
      </c>
      <c r="D288" s="2266">
        <v>5</v>
      </c>
      <c r="E288" s="2266">
        <v>2076</v>
      </c>
      <c r="F288" s="2266" t="s">
        <v>4958</v>
      </c>
      <c r="G288" s="2266" t="s">
        <v>4958</v>
      </c>
      <c r="H288" s="2266">
        <v>71216</v>
      </c>
      <c r="I288" s="2266">
        <v>0</v>
      </c>
      <c r="J288" s="2266">
        <v>0</v>
      </c>
      <c r="K288" s="2266">
        <v>0</v>
      </c>
      <c r="L288" s="2266">
        <v>0</v>
      </c>
      <c r="M288" s="2266">
        <v>599</v>
      </c>
    </row>
    <row r="289" spans="1:13" ht="15">
      <c r="A289" s="2266" t="s">
        <v>4040</v>
      </c>
      <c r="B289" s="2465" t="str">
        <f>CONCATENATE(LEFT(RIGHT(CONCATENATE("000",IFAData_TEA_1617!A289),6),3),"-",(RIGHT(RIGHT(CONCATENATE("000",IFAData_TEA_1617!A289),6),3)))</f>
        <v>019-903</v>
      </c>
      <c r="C289" s="2266" t="s">
        <v>2361</v>
      </c>
      <c r="D289" s="2266">
        <v>5</v>
      </c>
      <c r="E289" s="2266">
        <v>2076</v>
      </c>
      <c r="F289" s="2266" t="s">
        <v>4958</v>
      </c>
      <c r="G289" s="2266" t="s">
        <v>4959</v>
      </c>
      <c r="H289" s="2266">
        <v>71216</v>
      </c>
      <c r="I289" s="2266">
        <v>65350</v>
      </c>
      <c r="J289" s="2266">
        <v>1</v>
      </c>
      <c r="K289" s="2266">
        <v>71216</v>
      </c>
      <c r="L289" s="2266">
        <v>65350</v>
      </c>
      <c r="M289" s="2266">
        <v>599</v>
      </c>
    </row>
    <row r="290" spans="1:13" ht="15">
      <c r="A290" s="2266" t="s">
        <v>4041</v>
      </c>
      <c r="B290" s="2465" t="str">
        <f>CONCATENATE(LEFT(RIGHT(CONCATENATE("000",IFAData_TEA_1617!A290),6),3),"-",(RIGHT(RIGHT(CONCATENATE("000",IFAData_TEA_1617!A290),6),3)))</f>
        <v>019-905</v>
      </c>
      <c r="C290" s="2266" t="s">
        <v>1578</v>
      </c>
      <c r="D290" s="2266">
        <v>9</v>
      </c>
      <c r="E290" s="2266">
        <v>2134</v>
      </c>
      <c r="F290" s="2266" t="s">
        <v>4960</v>
      </c>
      <c r="G290" s="2266" t="s">
        <v>6922</v>
      </c>
      <c r="H290" s="2266">
        <v>323346</v>
      </c>
      <c r="I290" s="2266">
        <v>218530</v>
      </c>
      <c r="J290" s="2266">
        <v>0.53687730168362247</v>
      </c>
      <c r="K290" s="2266">
        <v>173597.12799019259</v>
      </c>
      <c r="L290" s="2266">
        <v>173597.12799019259</v>
      </c>
      <c r="M290" s="2266">
        <v>599</v>
      </c>
    </row>
    <row r="291" spans="1:13" ht="15">
      <c r="A291" s="2266" t="s">
        <v>4041</v>
      </c>
      <c r="B291" s="2465" t="str">
        <f>CONCATENATE(LEFT(RIGHT(CONCATENATE("000",IFAData_TEA_1617!A291),6),3),"-",(RIGHT(RIGHT(CONCATENATE("000",IFAData_TEA_1617!A291),6),3)))</f>
        <v>019-905</v>
      </c>
      <c r="C291" s="2266" t="s">
        <v>1578</v>
      </c>
      <c r="D291" s="2266">
        <v>9</v>
      </c>
      <c r="E291" s="2266">
        <v>2134</v>
      </c>
      <c r="F291" s="2266" t="s">
        <v>4960</v>
      </c>
      <c r="G291" s="2266" t="s">
        <v>7152</v>
      </c>
      <c r="H291" s="2266">
        <v>323346</v>
      </c>
      <c r="I291" s="2266">
        <v>77989</v>
      </c>
      <c r="J291" s="2266">
        <v>0.19160080483688297</v>
      </c>
      <c r="K291" s="2266">
        <v>61953.35384078676</v>
      </c>
      <c r="L291" s="2266">
        <v>61953.35384078676</v>
      </c>
      <c r="M291" s="2266">
        <v>599</v>
      </c>
    </row>
    <row r="292" spans="1:13" ht="15">
      <c r="A292" s="2266" t="s">
        <v>4041</v>
      </c>
      <c r="B292" s="2465" t="str">
        <f>CONCATENATE(LEFT(RIGHT(CONCATENATE("000",IFAData_TEA_1617!A292),6),3),"-",(RIGHT(RIGHT(CONCATENATE("000",IFAData_TEA_1617!A292),6),3)))</f>
        <v>019-905</v>
      </c>
      <c r="C292" s="2266" t="s">
        <v>1578</v>
      </c>
      <c r="D292" s="2266">
        <v>9</v>
      </c>
      <c r="E292" s="2266">
        <v>2134</v>
      </c>
      <c r="F292" s="2266" t="s">
        <v>4960</v>
      </c>
      <c r="G292" s="2266" t="s">
        <v>4960</v>
      </c>
      <c r="H292" s="2266">
        <v>323346</v>
      </c>
      <c r="I292" s="2266">
        <v>110520</v>
      </c>
      <c r="J292" s="2266">
        <v>0.27152189347949457</v>
      </c>
      <c r="K292" s="2266">
        <v>87795.518169020652</v>
      </c>
      <c r="L292" s="2266">
        <v>87795.518169020652</v>
      </c>
      <c r="M292" s="2266">
        <v>599</v>
      </c>
    </row>
    <row r="293" spans="1:13" ht="15">
      <c r="A293" s="2266" t="s">
        <v>4042</v>
      </c>
      <c r="B293" s="2465" t="str">
        <f>CONCATENATE(LEFT(RIGHT(CONCATENATE("000",IFAData_TEA_1617!A293),6),3),"-",(RIGHT(RIGHT(CONCATENATE("000",IFAData_TEA_1617!A293),6),3)))</f>
        <v>019-909</v>
      </c>
      <c r="C293" s="2266" t="s">
        <v>295</v>
      </c>
      <c r="D293" s="2266">
        <v>5</v>
      </c>
      <c r="E293" s="2266">
        <v>2335</v>
      </c>
      <c r="F293" s="2266" t="s">
        <v>4961</v>
      </c>
      <c r="G293" s="2266" t="s">
        <v>4961</v>
      </c>
      <c r="H293" s="2266">
        <v>130653</v>
      </c>
      <c r="I293" s="2266">
        <v>0</v>
      </c>
      <c r="J293" s="2266">
        <v>0</v>
      </c>
      <c r="K293" s="2266">
        <v>0</v>
      </c>
      <c r="L293" s="2266">
        <v>0</v>
      </c>
      <c r="M293" s="2266">
        <v>599</v>
      </c>
    </row>
    <row r="294" spans="1:13" ht="15">
      <c r="A294" s="2266" t="s">
        <v>4042</v>
      </c>
      <c r="B294" s="2465" t="str">
        <f>CONCATENATE(LEFT(RIGHT(CONCATENATE("000",IFAData_TEA_1617!A294),6),3),"-",(RIGHT(RIGHT(CONCATENATE("000",IFAData_TEA_1617!A294),6),3)))</f>
        <v>019-909</v>
      </c>
      <c r="C294" s="2266" t="s">
        <v>295</v>
      </c>
      <c r="D294" s="2266">
        <v>5</v>
      </c>
      <c r="E294" s="2266">
        <v>2335</v>
      </c>
      <c r="F294" s="2266" t="s">
        <v>4961</v>
      </c>
      <c r="G294" s="2266" t="s">
        <v>4962</v>
      </c>
      <c r="H294" s="2266">
        <v>130653</v>
      </c>
      <c r="I294" s="2266">
        <v>122050</v>
      </c>
      <c r="J294" s="2266">
        <v>1</v>
      </c>
      <c r="K294" s="2266">
        <v>130653</v>
      </c>
      <c r="L294" s="2266">
        <v>122050</v>
      </c>
      <c r="M294" s="2266">
        <v>599</v>
      </c>
    </row>
    <row r="295" spans="1:13" ht="15">
      <c r="A295" s="2266" t="s">
        <v>4043</v>
      </c>
      <c r="B295" s="2465" t="str">
        <f>CONCATENATE(LEFT(RIGHT(CONCATENATE("000",IFAData_TEA_1617!A295),6),3),"-",(RIGHT(RIGHT(CONCATENATE("000",IFAData_TEA_1617!A295),6),3)))</f>
        <v>019-910</v>
      </c>
      <c r="C295" s="2266" t="s">
        <v>320</v>
      </c>
      <c r="D295" s="2266">
        <v>5</v>
      </c>
      <c r="E295" s="2266">
        <v>2055</v>
      </c>
      <c r="F295" s="2266" t="s">
        <v>4963</v>
      </c>
      <c r="G295" s="2266" t="s">
        <v>4963</v>
      </c>
      <c r="H295" s="2266">
        <v>82900</v>
      </c>
      <c r="I295" s="2266">
        <v>0</v>
      </c>
      <c r="J295" s="2266">
        <v>0</v>
      </c>
      <c r="K295" s="2266">
        <v>0</v>
      </c>
      <c r="L295" s="2266">
        <v>0</v>
      </c>
      <c r="M295" s="2266">
        <v>599</v>
      </c>
    </row>
    <row r="296" spans="1:13" ht="15">
      <c r="A296" s="2266" t="s">
        <v>4043</v>
      </c>
      <c r="B296" s="2465" t="str">
        <f>CONCATENATE(LEFT(RIGHT(CONCATENATE("000",IFAData_TEA_1617!A296),6),3),"-",(RIGHT(RIGHT(CONCATENATE("000",IFAData_TEA_1617!A296),6),3)))</f>
        <v>019-910</v>
      </c>
      <c r="C296" s="2266" t="s">
        <v>320</v>
      </c>
      <c r="D296" s="2266">
        <v>5</v>
      </c>
      <c r="E296" s="2266">
        <v>2055</v>
      </c>
      <c r="F296" s="2266" t="s">
        <v>4963</v>
      </c>
      <c r="G296" s="2266" t="s">
        <v>4964</v>
      </c>
      <c r="H296" s="2266">
        <v>82900</v>
      </c>
      <c r="I296" s="2266">
        <v>73419</v>
      </c>
      <c r="J296" s="2266">
        <v>1</v>
      </c>
      <c r="K296" s="2266">
        <v>82900</v>
      </c>
      <c r="L296" s="2266">
        <v>73419</v>
      </c>
      <c r="M296" s="2266">
        <v>599</v>
      </c>
    </row>
    <row r="297" spans="1:13" ht="15">
      <c r="A297" s="2266" t="s">
        <v>4044</v>
      </c>
      <c r="B297" s="2465" t="str">
        <f>CONCATENATE(LEFT(RIGHT(CONCATENATE("000",IFAData_TEA_1617!A297),6),3),"-",(RIGHT(RIGHT(CONCATENATE("000",IFAData_TEA_1617!A297),6),3)))</f>
        <v>020-901</v>
      </c>
      <c r="C297" s="2266" t="s">
        <v>1202</v>
      </c>
      <c r="D297" s="2266">
        <v>5</v>
      </c>
      <c r="E297" s="2266">
        <v>1567</v>
      </c>
      <c r="F297" s="2266" t="s">
        <v>4965</v>
      </c>
      <c r="G297" s="2266" t="s">
        <v>4967</v>
      </c>
      <c r="H297" s="2266">
        <v>532173</v>
      </c>
      <c r="I297" s="2266">
        <v>0</v>
      </c>
      <c r="J297" s="2266">
        <v>0</v>
      </c>
      <c r="K297" s="2266">
        <v>0</v>
      </c>
      <c r="L297" s="2266">
        <v>0</v>
      </c>
      <c r="M297" s="2266">
        <v>599</v>
      </c>
    </row>
    <row r="298" spans="1:13" ht="15">
      <c r="A298" s="2266" t="s">
        <v>4044</v>
      </c>
      <c r="B298" s="2465" t="str">
        <f>CONCATENATE(LEFT(RIGHT(CONCATENATE("000",IFAData_TEA_1617!A298),6),3),"-",(RIGHT(RIGHT(CONCATENATE("000",IFAData_TEA_1617!A298),6),3)))</f>
        <v>020-901</v>
      </c>
      <c r="C298" s="2266" t="s">
        <v>1202</v>
      </c>
      <c r="D298" s="2266">
        <v>5</v>
      </c>
      <c r="E298" s="2266">
        <v>1566</v>
      </c>
      <c r="F298" s="2266" t="s">
        <v>4969</v>
      </c>
      <c r="G298" s="2266" t="s">
        <v>6923</v>
      </c>
      <c r="H298" s="2266">
        <v>348271</v>
      </c>
      <c r="I298" s="2266">
        <v>103638</v>
      </c>
      <c r="J298" s="2266">
        <v>0.16605061404984497</v>
      </c>
      <c r="K298" s="2266">
        <v>57830.61340575356</v>
      </c>
      <c r="L298" s="2266">
        <v>57830.61340575356</v>
      </c>
      <c r="M298" s="2266">
        <v>599</v>
      </c>
    </row>
    <row r="299" spans="1:13" ht="15">
      <c r="A299" s="2266" t="s">
        <v>4044</v>
      </c>
      <c r="B299" s="2465" t="str">
        <f>CONCATENATE(LEFT(RIGHT(CONCATENATE("000",IFAData_TEA_1617!A299),6),3),"-",(RIGHT(RIGHT(CONCATENATE("000",IFAData_TEA_1617!A299),6),3)))</f>
        <v>020-901</v>
      </c>
      <c r="C299" s="2266" t="s">
        <v>1202</v>
      </c>
      <c r="D299" s="2266">
        <v>6</v>
      </c>
      <c r="E299" s="2266">
        <v>1565</v>
      </c>
      <c r="F299" s="2266" t="s">
        <v>4970</v>
      </c>
      <c r="G299" s="2266" t="s">
        <v>6923</v>
      </c>
      <c r="H299" s="2266">
        <v>310452</v>
      </c>
      <c r="I299" s="2266">
        <v>129313</v>
      </c>
      <c r="J299" s="2266">
        <v>0.14789632057679486</v>
      </c>
      <c r="K299" s="2266">
        <v>45914.70851570712</v>
      </c>
      <c r="L299" s="2266">
        <v>45914.70851570712</v>
      </c>
      <c r="M299" s="2266">
        <v>599</v>
      </c>
    </row>
    <row r="300" spans="1:13" ht="15">
      <c r="A300" s="2266" t="s">
        <v>4044</v>
      </c>
      <c r="B300" s="2465" t="str">
        <f>CONCATENATE(LEFT(RIGHT(CONCATENATE("000",IFAData_TEA_1617!A300),6),3),"-",(RIGHT(RIGHT(CONCATENATE("000",IFAData_TEA_1617!A300),6),3)))</f>
        <v>020-901</v>
      </c>
      <c r="C300" s="2266" t="s">
        <v>1202</v>
      </c>
      <c r="D300" s="2266">
        <v>5</v>
      </c>
      <c r="E300" s="2266">
        <v>1566</v>
      </c>
      <c r="F300" s="2266" t="s">
        <v>4969</v>
      </c>
      <c r="G300" s="2266" t="s">
        <v>4966</v>
      </c>
      <c r="H300" s="2266">
        <v>348271</v>
      </c>
      <c r="I300" s="2266">
        <v>0</v>
      </c>
      <c r="J300" s="2266">
        <v>0</v>
      </c>
      <c r="K300" s="2266">
        <v>0</v>
      </c>
      <c r="L300" s="2266">
        <v>0</v>
      </c>
      <c r="M300" s="2266">
        <v>599</v>
      </c>
    </row>
    <row r="301" spans="1:13" ht="15">
      <c r="A301" s="2266" t="s">
        <v>4044</v>
      </c>
      <c r="B301" s="2465" t="str">
        <f>CONCATENATE(LEFT(RIGHT(CONCATENATE("000",IFAData_TEA_1617!A301),6),3),"-",(RIGHT(RIGHT(CONCATENATE("000",IFAData_TEA_1617!A301),6),3)))</f>
        <v>020-901</v>
      </c>
      <c r="C301" s="2266" t="s">
        <v>1202</v>
      </c>
      <c r="D301" s="2266">
        <v>5</v>
      </c>
      <c r="E301" s="2266">
        <v>1567</v>
      </c>
      <c r="F301" s="2266" t="s">
        <v>4965</v>
      </c>
      <c r="G301" s="2266" t="s">
        <v>6923</v>
      </c>
      <c r="H301" s="2266">
        <v>532173</v>
      </c>
      <c r="I301" s="2266">
        <v>337806</v>
      </c>
      <c r="J301" s="2266">
        <v>0.53872946309816572</v>
      </c>
      <c r="K301" s="2266">
        <v>286697.27456534014</v>
      </c>
      <c r="L301" s="2266">
        <v>286697.27456534014</v>
      </c>
      <c r="M301" s="2266">
        <v>599</v>
      </c>
    </row>
    <row r="302" spans="1:13" ht="15">
      <c r="A302" s="2266" t="s">
        <v>4044</v>
      </c>
      <c r="B302" s="2465" t="str">
        <f>CONCATENATE(LEFT(RIGHT(CONCATENATE("000",IFAData_TEA_1617!A302),6),3),"-",(RIGHT(RIGHT(CONCATENATE("000",IFAData_TEA_1617!A302),6),3)))</f>
        <v>020-901</v>
      </c>
      <c r="C302" s="2266" t="s">
        <v>1202</v>
      </c>
      <c r="D302" s="2266">
        <v>5</v>
      </c>
      <c r="E302" s="2266">
        <v>1567</v>
      </c>
      <c r="F302" s="2266" t="s">
        <v>4965</v>
      </c>
      <c r="G302" s="2266" t="s">
        <v>4968</v>
      </c>
      <c r="H302" s="2266">
        <v>532173</v>
      </c>
      <c r="I302" s="2266">
        <v>235605</v>
      </c>
      <c r="J302" s="2266">
        <v>0.37574038102710822</v>
      </c>
      <c r="K302" s="2266">
        <v>199958.88579233925</v>
      </c>
      <c r="L302" s="2266">
        <v>199958.88579233925</v>
      </c>
      <c r="M302" s="2266">
        <v>599</v>
      </c>
    </row>
    <row r="303" spans="1:13" ht="15">
      <c r="A303" s="2266" t="s">
        <v>4044</v>
      </c>
      <c r="B303" s="2465" t="str">
        <f>CONCATENATE(LEFT(RIGHT(CONCATENATE("000",IFAData_TEA_1617!A303),6),3),"-",(RIGHT(RIGHT(CONCATENATE("000",IFAData_TEA_1617!A303),6),3)))</f>
        <v>020-901</v>
      </c>
      <c r="C303" s="2266" t="s">
        <v>1202</v>
      </c>
      <c r="D303" s="2266">
        <v>5</v>
      </c>
      <c r="E303" s="2266">
        <v>1567</v>
      </c>
      <c r="F303" s="2266" t="s">
        <v>4965</v>
      </c>
      <c r="G303" s="2266" t="s">
        <v>7153</v>
      </c>
      <c r="H303" s="2266">
        <v>532173</v>
      </c>
      <c r="I303" s="2266">
        <v>28957</v>
      </c>
      <c r="J303" s="2266">
        <v>4.6180319659608129E-2</v>
      </c>
      <c r="K303" s="2266">
        <v>24575.919254212637</v>
      </c>
      <c r="L303" s="2266">
        <v>24575.919254212637</v>
      </c>
      <c r="M303" s="2266">
        <v>599</v>
      </c>
    </row>
    <row r="304" spans="1:13" ht="15">
      <c r="A304" s="2266" t="s">
        <v>4044</v>
      </c>
      <c r="B304" s="2465" t="str">
        <f>CONCATENATE(LEFT(RIGHT(CONCATENATE("000",IFAData_TEA_1617!A304),6),3),"-",(RIGHT(RIGHT(CONCATENATE("000",IFAData_TEA_1617!A304),6),3)))</f>
        <v>020-901</v>
      </c>
      <c r="C304" s="2266" t="s">
        <v>1202</v>
      </c>
      <c r="D304" s="2266">
        <v>5</v>
      </c>
      <c r="E304" s="2266">
        <v>1567</v>
      </c>
      <c r="F304" s="2266" t="s">
        <v>4965</v>
      </c>
      <c r="G304" s="2266" t="s">
        <v>7154</v>
      </c>
      <c r="H304" s="2266">
        <v>532173</v>
      </c>
      <c r="I304" s="2266">
        <v>24674</v>
      </c>
      <c r="J304" s="2266">
        <v>3.9349836215117964E-2</v>
      </c>
      <c r="K304" s="2266">
        <v>20940.920388107974</v>
      </c>
      <c r="L304" s="2266">
        <v>20940.920388107974</v>
      </c>
      <c r="M304" s="2266">
        <v>599</v>
      </c>
    </row>
    <row r="305" spans="1:13" ht="15">
      <c r="A305" s="2266" t="s">
        <v>4044</v>
      </c>
      <c r="B305" s="2465" t="str">
        <f>CONCATENATE(LEFT(RIGHT(CONCATENATE("000",IFAData_TEA_1617!A305),6),3),"-",(RIGHT(RIGHT(CONCATENATE("000",IFAData_TEA_1617!A305),6),3)))</f>
        <v>020-901</v>
      </c>
      <c r="C305" s="2266" t="s">
        <v>1202</v>
      </c>
      <c r="D305" s="2266">
        <v>5</v>
      </c>
      <c r="E305" s="2266">
        <v>1567</v>
      </c>
      <c r="F305" s="2266" t="s">
        <v>4965</v>
      </c>
      <c r="G305" s="2266" t="s">
        <v>4965</v>
      </c>
      <c r="H305" s="2266">
        <v>532173</v>
      </c>
      <c r="I305" s="2266">
        <v>0</v>
      </c>
      <c r="J305" s="2266">
        <v>0</v>
      </c>
      <c r="K305" s="2266">
        <v>0</v>
      </c>
      <c r="L305" s="2266">
        <v>0</v>
      </c>
      <c r="M305" s="2266">
        <v>599</v>
      </c>
    </row>
    <row r="306" spans="1:13" ht="15">
      <c r="A306" s="2266" t="s">
        <v>4044</v>
      </c>
      <c r="B306" s="2465" t="str">
        <f>CONCATENATE(LEFT(RIGHT(CONCATENATE("000",IFAData_TEA_1617!A306),6),3),"-",(RIGHT(RIGHT(CONCATENATE("000",IFAData_TEA_1617!A306),6),3)))</f>
        <v>020-901</v>
      </c>
      <c r="C306" s="2266" t="s">
        <v>1202</v>
      </c>
      <c r="D306" s="2266">
        <v>6</v>
      </c>
      <c r="E306" s="2266">
        <v>1565</v>
      </c>
      <c r="F306" s="2266" t="s">
        <v>4970</v>
      </c>
      <c r="G306" s="2266" t="s">
        <v>4971</v>
      </c>
      <c r="H306" s="2266">
        <v>310452</v>
      </c>
      <c r="I306" s="2266">
        <v>127363</v>
      </c>
      <c r="J306" s="2266">
        <v>0.14566608985656757</v>
      </c>
      <c r="K306" s="2266">
        <v>45222.328928151117</v>
      </c>
      <c r="L306" s="2266">
        <v>45222.328928151117</v>
      </c>
      <c r="M306" s="2266">
        <v>599</v>
      </c>
    </row>
    <row r="307" spans="1:13" ht="15">
      <c r="A307" s="2266" t="s">
        <v>4044</v>
      </c>
      <c r="B307" s="2465" t="str">
        <f>CONCATENATE(LEFT(RIGHT(CONCATENATE("000",IFAData_TEA_1617!A307),6),3),"-",(RIGHT(RIGHT(CONCATENATE("000",IFAData_TEA_1617!A307),6),3)))</f>
        <v>020-901</v>
      </c>
      <c r="C307" s="2266" t="s">
        <v>1202</v>
      </c>
      <c r="D307" s="2266">
        <v>6</v>
      </c>
      <c r="E307" s="2266">
        <v>1565</v>
      </c>
      <c r="F307" s="2266" t="s">
        <v>4970</v>
      </c>
      <c r="G307" s="2266" t="s">
        <v>7153</v>
      </c>
      <c r="H307" s="2266">
        <v>310452</v>
      </c>
      <c r="I307" s="2266">
        <v>14102</v>
      </c>
      <c r="J307" s="2266">
        <v>1.6128571085459009E-2</v>
      </c>
      <c r="K307" s="2266">
        <v>5007.14715062292</v>
      </c>
      <c r="L307" s="2266">
        <v>5007.14715062292</v>
      </c>
      <c r="M307" s="2266">
        <v>599</v>
      </c>
    </row>
    <row r="308" spans="1:13" ht="15">
      <c r="A308" s="2266" t="s">
        <v>4044</v>
      </c>
      <c r="B308" s="2465" t="str">
        <f>CONCATENATE(LEFT(RIGHT(CONCATENATE("000",IFAData_TEA_1617!A308),6),3),"-",(RIGHT(RIGHT(CONCATENATE("000",IFAData_TEA_1617!A308),6),3)))</f>
        <v>020-901</v>
      </c>
      <c r="C308" s="2266" t="s">
        <v>1202</v>
      </c>
      <c r="D308" s="2266">
        <v>6</v>
      </c>
      <c r="E308" s="2266">
        <v>1565</v>
      </c>
      <c r="F308" s="2266" t="s">
        <v>4970</v>
      </c>
      <c r="G308" s="2266" t="s">
        <v>4970</v>
      </c>
      <c r="H308" s="2266">
        <v>310452</v>
      </c>
      <c r="I308" s="2266">
        <v>0</v>
      </c>
      <c r="J308" s="2266">
        <v>0</v>
      </c>
      <c r="K308" s="2266">
        <v>0</v>
      </c>
      <c r="L308" s="2266">
        <v>0</v>
      </c>
      <c r="M308" s="2266">
        <v>599</v>
      </c>
    </row>
    <row r="309" spans="1:13" ht="15">
      <c r="A309" s="2266" t="s">
        <v>4044</v>
      </c>
      <c r="B309" s="2465" t="str">
        <f>CONCATENATE(LEFT(RIGHT(CONCATENATE("000",IFAData_TEA_1617!A309),6),3),"-",(RIGHT(RIGHT(CONCATENATE("000",IFAData_TEA_1617!A309),6),3)))</f>
        <v>020-901</v>
      </c>
      <c r="C309" s="2266" t="s">
        <v>1202</v>
      </c>
      <c r="D309" s="2266">
        <v>6</v>
      </c>
      <c r="E309" s="2266">
        <v>1565</v>
      </c>
      <c r="F309" s="2266" t="s">
        <v>4970</v>
      </c>
      <c r="G309" s="2266" t="s">
        <v>7154</v>
      </c>
      <c r="H309" s="2266">
        <v>310452</v>
      </c>
      <c r="I309" s="2266">
        <v>12016</v>
      </c>
      <c r="J309" s="2266">
        <v>1.374279606884665E-2</v>
      </c>
      <c r="K309" s="2266">
        <v>4266.4785251655803</v>
      </c>
      <c r="L309" s="2266">
        <v>4266.4785251655803</v>
      </c>
      <c r="M309" s="2266">
        <v>599</v>
      </c>
    </row>
    <row r="310" spans="1:13" ht="15">
      <c r="A310" s="2266" t="s">
        <v>4044</v>
      </c>
      <c r="B310" s="2465" t="str">
        <f>CONCATENATE(LEFT(RIGHT(CONCATENATE("000",IFAData_TEA_1617!A310),6),3),"-",(RIGHT(RIGHT(CONCATENATE("000",IFAData_TEA_1617!A310),6),3)))</f>
        <v>020-901</v>
      </c>
      <c r="C310" s="2266" t="s">
        <v>1202</v>
      </c>
      <c r="D310" s="2266">
        <v>5</v>
      </c>
      <c r="E310" s="2266">
        <v>1567</v>
      </c>
      <c r="F310" s="2266" t="s">
        <v>4965</v>
      </c>
      <c r="G310" s="2266" t="s">
        <v>4966</v>
      </c>
      <c r="H310" s="2266">
        <v>532173</v>
      </c>
      <c r="I310" s="2266">
        <v>0</v>
      </c>
      <c r="J310" s="2266">
        <v>0</v>
      </c>
      <c r="K310" s="2266">
        <v>0</v>
      </c>
      <c r="L310" s="2266">
        <v>0</v>
      </c>
      <c r="M310" s="2266">
        <v>599</v>
      </c>
    </row>
    <row r="311" spans="1:13" ht="15">
      <c r="A311" s="2266" t="s">
        <v>4044</v>
      </c>
      <c r="B311" s="2465" t="str">
        <f>CONCATENATE(LEFT(RIGHT(CONCATENATE("000",IFAData_TEA_1617!A311),6),3),"-",(RIGHT(RIGHT(CONCATENATE("000",IFAData_TEA_1617!A311),6),3)))</f>
        <v>020-901</v>
      </c>
      <c r="C311" s="2266" t="s">
        <v>1202</v>
      </c>
      <c r="D311" s="2266">
        <v>10</v>
      </c>
      <c r="E311" s="2266">
        <v>1568</v>
      </c>
      <c r="F311" s="2266" t="s">
        <v>4972</v>
      </c>
      <c r="G311" s="2266" t="s">
        <v>4972</v>
      </c>
      <c r="H311" s="2266">
        <v>750900</v>
      </c>
      <c r="I311" s="2266">
        <v>835127</v>
      </c>
      <c r="J311" s="2266">
        <v>1</v>
      </c>
      <c r="K311" s="2266">
        <v>750900</v>
      </c>
      <c r="L311" s="2266">
        <v>750900</v>
      </c>
      <c r="M311" s="2266">
        <v>599</v>
      </c>
    </row>
    <row r="312" spans="1:13" ht="15">
      <c r="A312" s="2266" t="s">
        <v>4044</v>
      </c>
      <c r="B312" s="2465" t="str">
        <f>CONCATENATE(LEFT(RIGHT(CONCATENATE("000",IFAData_TEA_1617!A312),6),3),"-",(RIGHT(RIGHT(CONCATENATE("000",IFAData_TEA_1617!A312),6),3)))</f>
        <v>020-901</v>
      </c>
      <c r="C312" s="2266" t="s">
        <v>1202</v>
      </c>
      <c r="D312" s="2266">
        <v>5</v>
      </c>
      <c r="E312" s="2266">
        <v>1566</v>
      </c>
      <c r="F312" s="2266" t="s">
        <v>4969</v>
      </c>
      <c r="G312" s="2266" t="s">
        <v>4968</v>
      </c>
      <c r="H312" s="2266">
        <v>348271</v>
      </c>
      <c r="I312" s="2266">
        <v>337871</v>
      </c>
      <c r="J312" s="2266">
        <v>0.54134281846074972</v>
      </c>
      <c r="K312" s="2266">
        <v>188534.00472814377</v>
      </c>
      <c r="L312" s="2266">
        <v>188534.00472814377</v>
      </c>
      <c r="M312" s="2266">
        <v>599</v>
      </c>
    </row>
    <row r="313" spans="1:13" ht="15">
      <c r="A313" s="2266" t="s">
        <v>4044</v>
      </c>
      <c r="B313" s="2465" t="str">
        <f>CONCATENATE(LEFT(RIGHT(CONCATENATE("000",IFAData_TEA_1617!A313),6),3),"-",(RIGHT(RIGHT(CONCATENATE("000",IFAData_TEA_1617!A313),6),3)))</f>
        <v>020-901</v>
      </c>
      <c r="C313" s="2266" t="s">
        <v>1202</v>
      </c>
      <c r="D313" s="2266">
        <v>5</v>
      </c>
      <c r="E313" s="2266">
        <v>1566</v>
      </c>
      <c r="F313" s="2266" t="s">
        <v>4969</v>
      </c>
      <c r="G313" s="2266" t="s">
        <v>4969</v>
      </c>
      <c r="H313" s="2266">
        <v>348271</v>
      </c>
      <c r="I313" s="2266">
        <v>182626</v>
      </c>
      <c r="J313" s="2266">
        <v>0.29260656748940533</v>
      </c>
      <c r="K313" s="2266">
        <v>101906.38186610269</v>
      </c>
      <c r="L313" s="2266">
        <v>101906.38186610269</v>
      </c>
      <c r="M313" s="2266">
        <v>599</v>
      </c>
    </row>
    <row r="314" spans="1:13" ht="15">
      <c r="A314" s="2266" t="s">
        <v>4044</v>
      </c>
      <c r="B314" s="2465" t="str">
        <f>CONCATENATE(LEFT(RIGHT(CONCATENATE("000",IFAData_TEA_1617!A314),6),3),"-",(RIGHT(RIGHT(CONCATENATE("000",IFAData_TEA_1617!A314),6),3)))</f>
        <v>020-901</v>
      </c>
      <c r="C314" s="2266" t="s">
        <v>1202</v>
      </c>
      <c r="D314" s="2266">
        <v>6</v>
      </c>
      <c r="E314" s="2266">
        <v>1565</v>
      </c>
      <c r="F314" s="2266" t="s">
        <v>4970</v>
      </c>
      <c r="G314" s="2266" t="s">
        <v>4967</v>
      </c>
      <c r="H314" s="2266">
        <v>310452</v>
      </c>
      <c r="I314" s="2266">
        <v>591555</v>
      </c>
      <c r="J314" s="2266">
        <v>0.67656622241233189</v>
      </c>
      <c r="K314" s="2266">
        <v>210041.33688035325</v>
      </c>
      <c r="L314" s="2266">
        <v>210041.33688035325</v>
      </c>
      <c r="M314" s="2266">
        <v>599</v>
      </c>
    </row>
    <row r="315" spans="1:13" ht="15">
      <c r="A315" s="2266" t="s">
        <v>4045</v>
      </c>
      <c r="B315" s="2465" t="str">
        <f>CONCATENATE(LEFT(RIGHT(CONCATENATE("000",IFAData_TEA_1617!A315),6),3),"-",(RIGHT(RIGHT(CONCATENATE("000",IFAData_TEA_1617!A315),6),3)))</f>
        <v>020-904</v>
      </c>
      <c r="C315" s="2266" t="s">
        <v>3059</v>
      </c>
      <c r="D315" s="2266">
        <v>4</v>
      </c>
      <c r="E315" s="2266">
        <v>1744</v>
      </c>
      <c r="F315" s="2266" t="s">
        <v>4973</v>
      </c>
      <c r="G315" s="2266" t="s">
        <v>4973</v>
      </c>
      <c r="H315" s="2266">
        <v>187870</v>
      </c>
      <c r="I315" s="2266">
        <v>0</v>
      </c>
      <c r="J315" s="2266">
        <v>0</v>
      </c>
      <c r="K315" s="2266">
        <v>0</v>
      </c>
      <c r="L315" s="2266">
        <v>0</v>
      </c>
      <c r="M315" s="2266">
        <v>599</v>
      </c>
    </row>
    <row r="316" spans="1:13" ht="15">
      <c r="A316" s="2266" t="s">
        <v>4045</v>
      </c>
      <c r="B316" s="2465" t="str">
        <f>CONCATENATE(LEFT(RIGHT(CONCATENATE("000",IFAData_TEA_1617!A316),6),3),"-",(RIGHT(RIGHT(CONCATENATE("000",IFAData_TEA_1617!A316),6),3)))</f>
        <v>020-904</v>
      </c>
      <c r="C316" s="2266" t="s">
        <v>3059</v>
      </c>
      <c r="D316" s="2266">
        <v>4</v>
      </c>
      <c r="E316" s="2266">
        <v>1744</v>
      </c>
      <c r="F316" s="2266" t="s">
        <v>4973</v>
      </c>
      <c r="G316" s="2266" t="s">
        <v>4974</v>
      </c>
      <c r="H316" s="2266">
        <v>187870</v>
      </c>
      <c r="I316" s="2266">
        <v>0</v>
      </c>
      <c r="J316" s="2266">
        <v>0</v>
      </c>
      <c r="K316" s="2266">
        <v>0</v>
      </c>
      <c r="L316" s="2266">
        <v>0</v>
      </c>
      <c r="M316" s="2266">
        <v>599</v>
      </c>
    </row>
    <row r="317" spans="1:13" ht="15">
      <c r="A317" s="2266" t="s">
        <v>4045</v>
      </c>
      <c r="B317" s="2465" t="str">
        <f>CONCATENATE(LEFT(RIGHT(CONCATENATE("000",IFAData_TEA_1617!A317),6),3),"-",(RIGHT(RIGHT(CONCATENATE("000",IFAData_TEA_1617!A317),6),3)))</f>
        <v>020-904</v>
      </c>
      <c r="C317" s="2266" t="s">
        <v>3059</v>
      </c>
      <c r="D317" s="2266">
        <v>4</v>
      </c>
      <c r="E317" s="2266">
        <v>1744</v>
      </c>
      <c r="F317" s="2266" t="s">
        <v>4973</v>
      </c>
      <c r="G317" s="2266" t="s">
        <v>7155</v>
      </c>
      <c r="H317" s="2266">
        <v>187870</v>
      </c>
      <c r="I317" s="2266">
        <v>197098</v>
      </c>
      <c r="J317" s="2266">
        <v>1</v>
      </c>
      <c r="K317" s="2266">
        <v>187870</v>
      </c>
      <c r="L317" s="2266">
        <v>187870</v>
      </c>
      <c r="M317" s="2266">
        <v>599</v>
      </c>
    </row>
    <row r="318" spans="1:13" ht="15">
      <c r="A318" s="2266" t="s">
        <v>4046</v>
      </c>
      <c r="B318" s="2465" t="str">
        <f>CONCATENATE(LEFT(RIGHT(CONCATENATE("000",IFAData_TEA_1617!A318),6),3),"-",(RIGHT(RIGHT(CONCATENATE("000",IFAData_TEA_1617!A318),6),3)))</f>
        <v>020-907</v>
      </c>
      <c r="C318" s="2266" t="s">
        <v>1741</v>
      </c>
      <c r="D318" s="2266">
        <v>3</v>
      </c>
      <c r="E318" s="2266">
        <v>1708</v>
      </c>
      <c r="F318" s="2266" t="s">
        <v>4975</v>
      </c>
      <c r="G318" s="2266" t="s">
        <v>4976</v>
      </c>
      <c r="H318" s="2266">
        <v>361373</v>
      </c>
      <c r="I318" s="2266">
        <v>279030</v>
      </c>
      <c r="J318" s="2266">
        <v>0.80157079493484706</v>
      </c>
      <c r="K318" s="2266">
        <v>289666.04287799046</v>
      </c>
      <c r="L318" s="2266">
        <v>279030</v>
      </c>
      <c r="M318" s="2266">
        <v>599</v>
      </c>
    </row>
    <row r="319" spans="1:13" ht="15">
      <c r="A319" s="2266" t="s">
        <v>4046</v>
      </c>
      <c r="B319" s="2465" t="str">
        <f>CONCATENATE(LEFT(RIGHT(CONCATENATE("000",IFAData_TEA_1617!A319),6),3),"-",(RIGHT(RIGHT(CONCATENATE("000",IFAData_TEA_1617!A319),6),3)))</f>
        <v>020-907</v>
      </c>
      <c r="C319" s="2266" t="s">
        <v>1741</v>
      </c>
      <c r="D319" s="2266">
        <v>3</v>
      </c>
      <c r="E319" s="2266">
        <v>1708</v>
      </c>
      <c r="F319" s="2266" t="s">
        <v>4975</v>
      </c>
      <c r="G319" s="2266" t="s">
        <v>4975</v>
      </c>
      <c r="H319" s="2266">
        <v>361373</v>
      </c>
      <c r="I319" s="2266">
        <v>0</v>
      </c>
      <c r="J319" s="2266">
        <v>0</v>
      </c>
      <c r="K319" s="2266">
        <v>0</v>
      </c>
      <c r="L319" s="2266">
        <v>0</v>
      </c>
      <c r="M319" s="2266">
        <v>599</v>
      </c>
    </row>
    <row r="320" spans="1:13" ht="15">
      <c r="A320" s="2266" t="s">
        <v>4046</v>
      </c>
      <c r="B320" s="2465" t="str">
        <f>CONCATENATE(LEFT(RIGHT(CONCATENATE("000",IFAData_TEA_1617!A320),6),3),"-",(RIGHT(RIGHT(CONCATENATE("000",IFAData_TEA_1617!A320),6),3)))</f>
        <v>020-907</v>
      </c>
      <c r="C320" s="2266" t="s">
        <v>1741</v>
      </c>
      <c r="D320" s="2266">
        <v>3</v>
      </c>
      <c r="E320" s="2266">
        <v>1708</v>
      </c>
      <c r="F320" s="2266" t="s">
        <v>4975</v>
      </c>
      <c r="G320" s="2266" t="s">
        <v>4977</v>
      </c>
      <c r="H320" s="2266">
        <v>361373</v>
      </c>
      <c r="I320" s="2266">
        <v>0</v>
      </c>
      <c r="J320" s="2266">
        <v>0</v>
      </c>
      <c r="K320" s="2266">
        <v>0</v>
      </c>
      <c r="L320" s="2266">
        <v>0</v>
      </c>
      <c r="M320" s="2266">
        <v>599</v>
      </c>
    </row>
    <row r="321" spans="1:13" ht="15">
      <c r="A321" s="2266" t="s">
        <v>4046</v>
      </c>
      <c r="B321" s="2465" t="str">
        <f>CONCATENATE(LEFT(RIGHT(CONCATENATE("000",IFAData_TEA_1617!A321),6),3),"-",(RIGHT(RIGHT(CONCATENATE("000",IFAData_TEA_1617!A321),6),3)))</f>
        <v>020-907</v>
      </c>
      <c r="C321" s="2266" t="s">
        <v>1741</v>
      </c>
      <c r="D321" s="2266">
        <v>3</v>
      </c>
      <c r="E321" s="2266">
        <v>1708</v>
      </c>
      <c r="F321" s="2266" t="s">
        <v>4975</v>
      </c>
      <c r="G321" s="2266" t="s">
        <v>7156</v>
      </c>
      <c r="H321" s="2266">
        <v>361373</v>
      </c>
      <c r="I321" s="2266">
        <v>69074</v>
      </c>
      <c r="J321" s="2266">
        <v>0.19842920506515294</v>
      </c>
      <c r="K321" s="2266">
        <v>71706.957122009509</v>
      </c>
      <c r="L321" s="2266">
        <v>69074</v>
      </c>
      <c r="M321" s="2266">
        <v>599</v>
      </c>
    </row>
    <row r="322" spans="1:13" ht="15">
      <c r="A322" s="2266" t="s">
        <v>4047</v>
      </c>
      <c r="B322" s="2465" t="str">
        <f>CONCATENATE(LEFT(RIGHT(CONCATENATE("000",IFAData_TEA_1617!A322),6),3),"-",(RIGHT(RIGHT(CONCATENATE("000",IFAData_TEA_1617!A322),6),3)))</f>
        <v>020-908</v>
      </c>
      <c r="C322" s="2266" t="s">
        <v>303</v>
      </c>
      <c r="D322" s="2266">
        <v>1</v>
      </c>
      <c r="E322" s="2266">
        <v>2180</v>
      </c>
      <c r="F322" s="2266" t="s">
        <v>4978</v>
      </c>
      <c r="G322" s="2266" t="s">
        <v>4982</v>
      </c>
      <c r="H322" s="2266">
        <v>1598791</v>
      </c>
      <c r="I322" s="2266">
        <v>233762</v>
      </c>
      <c r="J322" s="2266">
        <v>0.45746704449384729</v>
      </c>
      <c r="K322" s="2266">
        <v>731394.19353336259</v>
      </c>
      <c r="L322" s="2266">
        <v>233762</v>
      </c>
      <c r="M322" s="2266">
        <v>599</v>
      </c>
    </row>
    <row r="323" spans="1:13" ht="15">
      <c r="A323" s="2266" t="s">
        <v>4047</v>
      </c>
      <c r="B323" s="2465" t="str">
        <f>CONCATENATE(LEFT(RIGHT(CONCATENATE("000",IFAData_TEA_1617!A323),6),3),"-",(RIGHT(RIGHT(CONCATENATE("000",IFAData_TEA_1617!A323),6),3)))</f>
        <v>020-908</v>
      </c>
      <c r="C323" s="2266" t="s">
        <v>303</v>
      </c>
      <c r="D323" s="2266">
        <v>1</v>
      </c>
      <c r="E323" s="2266">
        <v>2180</v>
      </c>
      <c r="F323" s="2266" t="s">
        <v>4978</v>
      </c>
      <c r="G323" s="2266" t="s">
        <v>4980</v>
      </c>
      <c r="H323" s="2266">
        <v>1598791</v>
      </c>
      <c r="I323" s="2266">
        <v>0</v>
      </c>
      <c r="J323" s="2266">
        <v>0</v>
      </c>
      <c r="K323" s="2266">
        <v>0</v>
      </c>
      <c r="L323" s="2266">
        <v>0</v>
      </c>
      <c r="M323" s="2266">
        <v>599</v>
      </c>
    </row>
    <row r="324" spans="1:13" ht="15">
      <c r="A324" s="2266" t="s">
        <v>4047</v>
      </c>
      <c r="B324" s="2465" t="str">
        <f>CONCATENATE(LEFT(RIGHT(CONCATENATE("000",IFAData_TEA_1617!A324),6),3),"-",(RIGHT(RIGHT(CONCATENATE("000",IFAData_TEA_1617!A324),6),3)))</f>
        <v>020-908</v>
      </c>
      <c r="C324" s="2266" t="s">
        <v>303</v>
      </c>
      <c r="D324" s="2266">
        <v>1</v>
      </c>
      <c r="E324" s="2266">
        <v>2180</v>
      </c>
      <c r="F324" s="2266" t="s">
        <v>4978</v>
      </c>
      <c r="G324" s="2266" t="s">
        <v>4979</v>
      </c>
      <c r="H324" s="2266">
        <v>1598791</v>
      </c>
      <c r="I324" s="2266">
        <v>0</v>
      </c>
      <c r="J324" s="2266">
        <v>0</v>
      </c>
      <c r="K324" s="2266">
        <v>0</v>
      </c>
      <c r="L324" s="2266">
        <v>0</v>
      </c>
      <c r="M324" s="2266">
        <v>599</v>
      </c>
    </row>
    <row r="325" spans="1:13" ht="15">
      <c r="A325" s="2266" t="s">
        <v>4047</v>
      </c>
      <c r="B325" s="2465" t="str">
        <f>CONCATENATE(LEFT(RIGHT(CONCATENATE("000",IFAData_TEA_1617!A325),6),3),"-",(RIGHT(RIGHT(CONCATENATE("000",IFAData_TEA_1617!A325),6),3)))</f>
        <v>020-908</v>
      </c>
      <c r="C325" s="2266" t="s">
        <v>303</v>
      </c>
      <c r="D325" s="2266">
        <v>1</v>
      </c>
      <c r="E325" s="2266">
        <v>2180</v>
      </c>
      <c r="F325" s="2266" t="s">
        <v>4978</v>
      </c>
      <c r="G325" s="2266" t="s">
        <v>6925</v>
      </c>
      <c r="H325" s="2266">
        <v>1598791</v>
      </c>
      <c r="I325" s="2266">
        <v>24309</v>
      </c>
      <c r="J325" s="2266">
        <v>4.7572173341265615E-2</v>
      </c>
      <c r="K325" s="2266">
        <v>76057.962588455397</v>
      </c>
      <c r="L325" s="2266">
        <v>24309</v>
      </c>
      <c r="M325" s="2266">
        <v>599</v>
      </c>
    </row>
    <row r="326" spans="1:13" ht="15">
      <c r="A326" s="2266" t="s">
        <v>4047</v>
      </c>
      <c r="B326" s="2465" t="str">
        <f>CONCATENATE(LEFT(RIGHT(CONCATENATE("000",IFAData_TEA_1617!A326),6),3),"-",(RIGHT(RIGHT(CONCATENATE("000",IFAData_TEA_1617!A326),6),3)))</f>
        <v>020-908</v>
      </c>
      <c r="C326" s="2266" t="s">
        <v>303</v>
      </c>
      <c r="D326" s="2266">
        <v>1</v>
      </c>
      <c r="E326" s="2266">
        <v>2180</v>
      </c>
      <c r="F326" s="2266" t="s">
        <v>4978</v>
      </c>
      <c r="G326" s="2266" t="s">
        <v>6924</v>
      </c>
      <c r="H326" s="2266">
        <v>1598791</v>
      </c>
      <c r="I326" s="2266">
        <v>5241</v>
      </c>
      <c r="J326" s="2266">
        <v>1.0256520650029747E-2</v>
      </c>
      <c r="K326" s="2266">
        <v>16398.03290658171</v>
      </c>
      <c r="L326" s="2266">
        <v>5241</v>
      </c>
      <c r="M326" s="2266">
        <v>599</v>
      </c>
    </row>
    <row r="327" spans="1:13" ht="15">
      <c r="A327" s="2266" t="s">
        <v>4047</v>
      </c>
      <c r="B327" s="2465" t="str">
        <f>CONCATENATE(LEFT(RIGHT(CONCATENATE("000",IFAData_TEA_1617!A327),6),3),"-",(RIGHT(RIGHT(CONCATENATE("000",IFAData_TEA_1617!A327),6),3)))</f>
        <v>020-908</v>
      </c>
      <c r="C327" s="2266" t="s">
        <v>303</v>
      </c>
      <c r="D327" s="2266">
        <v>1</v>
      </c>
      <c r="E327" s="2266">
        <v>2180</v>
      </c>
      <c r="F327" s="2266" t="s">
        <v>4978</v>
      </c>
      <c r="G327" s="2266" t="s">
        <v>4984</v>
      </c>
      <c r="H327" s="2266">
        <v>1598791</v>
      </c>
      <c r="I327" s="2266">
        <v>196545</v>
      </c>
      <c r="J327" s="2266">
        <v>0.38463420170961582</v>
      </c>
      <c r="K327" s="2266">
        <v>614949.69998551835</v>
      </c>
      <c r="L327" s="2266">
        <v>196545</v>
      </c>
      <c r="M327" s="2266">
        <v>599</v>
      </c>
    </row>
    <row r="328" spans="1:13" ht="15">
      <c r="A328" s="2266" t="s">
        <v>4047</v>
      </c>
      <c r="B328" s="2465" t="str">
        <f>CONCATENATE(LEFT(RIGHT(CONCATENATE("000",IFAData_TEA_1617!A328),6),3),"-",(RIGHT(RIGHT(CONCATENATE("000",IFAData_TEA_1617!A328),6),3)))</f>
        <v>020-908</v>
      </c>
      <c r="C328" s="2266" t="s">
        <v>303</v>
      </c>
      <c r="D328" s="2266">
        <v>1</v>
      </c>
      <c r="E328" s="2266">
        <v>2180</v>
      </c>
      <c r="F328" s="2266" t="s">
        <v>4978</v>
      </c>
      <c r="G328" s="2266" t="s">
        <v>4978</v>
      </c>
      <c r="H328" s="2266">
        <v>1598791</v>
      </c>
      <c r="I328" s="2266">
        <v>0</v>
      </c>
      <c r="J328" s="2266">
        <v>0</v>
      </c>
      <c r="K328" s="2266">
        <v>0</v>
      </c>
      <c r="L328" s="2266">
        <v>0</v>
      </c>
      <c r="M328" s="2266">
        <v>599</v>
      </c>
    </row>
    <row r="329" spans="1:13" ht="15">
      <c r="A329" s="2266" t="s">
        <v>4047</v>
      </c>
      <c r="B329" s="2465" t="str">
        <f>CONCATENATE(LEFT(RIGHT(CONCATENATE("000",IFAData_TEA_1617!A329),6),3),"-",(RIGHT(RIGHT(CONCATENATE("000",IFAData_TEA_1617!A329),6),3)))</f>
        <v>020-908</v>
      </c>
      <c r="C329" s="2266" t="s">
        <v>303</v>
      </c>
      <c r="D329" s="2266">
        <v>1</v>
      </c>
      <c r="E329" s="2266">
        <v>2180</v>
      </c>
      <c r="F329" s="2266" t="s">
        <v>4978</v>
      </c>
      <c r="G329" s="2266" t="s">
        <v>4981</v>
      </c>
      <c r="H329" s="2266">
        <v>1598791</v>
      </c>
      <c r="I329" s="2266">
        <v>0</v>
      </c>
      <c r="J329" s="2266">
        <v>0</v>
      </c>
      <c r="K329" s="2266">
        <v>0</v>
      </c>
      <c r="L329" s="2266">
        <v>0</v>
      </c>
      <c r="M329" s="2266">
        <v>599</v>
      </c>
    </row>
    <row r="330" spans="1:13" ht="15">
      <c r="A330" s="2266" t="s">
        <v>4047</v>
      </c>
      <c r="B330" s="2465" t="str">
        <f>CONCATENATE(LEFT(RIGHT(CONCATENATE("000",IFAData_TEA_1617!A330),6),3),"-",(RIGHT(RIGHT(CONCATENATE("000",IFAData_TEA_1617!A330),6),3)))</f>
        <v>020-908</v>
      </c>
      <c r="C330" s="2266" t="s">
        <v>303</v>
      </c>
      <c r="D330" s="2266">
        <v>1</v>
      </c>
      <c r="E330" s="2266">
        <v>2180</v>
      </c>
      <c r="F330" s="2266" t="s">
        <v>4978</v>
      </c>
      <c r="G330" s="2266" t="s">
        <v>4983</v>
      </c>
      <c r="H330" s="2266">
        <v>1598791</v>
      </c>
      <c r="I330" s="2266">
        <v>51135</v>
      </c>
      <c r="J330" s="2266">
        <v>0.10007005980524157</v>
      </c>
      <c r="K330" s="2266">
        <v>159991.11098608197</v>
      </c>
      <c r="L330" s="2266">
        <v>51135</v>
      </c>
      <c r="M330" s="2266">
        <v>599</v>
      </c>
    </row>
    <row r="331" spans="1:13" ht="15">
      <c r="A331" s="2266" t="s">
        <v>4048</v>
      </c>
      <c r="B331" s="2465" t="str">
        <f>CONCATENATE(LEFT(RIGHT(CONCATENATE("000",IFAData_TEA_1617!A331),6),3),"-",(RIGHT(RIGHT(CONCATENATE("000",IFAData_TEA_1617!A331),6),3)))</f>
        <v>020-910</v>
      </c>
      <c r="C331" s="2266" t="s">
        <v>2853</v>
      </c>
      <c r="D331" s="2266">
        <v>10</v>
      </c>
      <c r="E331" s="2266">
        <v>1743</v>
      </c>
      <c r="F331" s="2266" t="s">
        <v>4985</v>
      </c>
      <c r="G331" s="2266" t="s">
        <v>4985</v>
      </c>
      <c r="H331" s="2266">
        <v>100000</v>
      </c>
      <c r="I331" s="2266">
        <v>167575</v>
      </c>
      <c r="J331" s="2266">
        <v>1</v>
      </c>
      <c r="K331" s="2266">
        <v>100000</v>
      </c>
      <c r="L331" s="2266">
        <v>100000</v>
      </c>
      <c r="M331" s="2266">
        <v>199</v>
      </c>
    </row>
    <row r="332" spans="1:13" ht="15">
      <c r="A332" s="2266" t="s">
        <v>4049</v>
      </c>
      <c r="B332" s="2465" t="str">
        <f>CONCATENATE(LEFT(RIGHT(CONCATENATE("000",IFAData_TEA_1617!A332),6),3),"-",(RIGHT(RIGHT(CONCATENATE("000",IFAData_TEA_1617!A332),6),3)))</f>
        <v>021-901</v>
      </c>
      <c r="C332" s="2266" t="s">
        <v>1334</v>
      </c>
      <c r="D332" s="2266">
        <v>2</v>
      </c>
      <c r="E332" s="2266">
        <v>1705</v>
      </c>
      <c r="F332" s="2266" t="s">
        <v>4986</v>
      </c>
      <c r="G332" s="2266" t="s">
        <v>4988</v>
      </c>
      <c r="H332" s="2266">
        <v>1632000</v>
      </c>
      <c r="I332" s="2266">
        <v>3474625</v>
      </c>
      <c r="J332" s="2266">
        <v>0.43856023123138282</v>
      </c>
      <c r="K332" s="2266">
        <v>715730.2973696168</v>
      </c>
      <c r="L332" s="2266">
        <v>715730.2973696168</v>
      </c>
      <c r="M332" s="2266">
        <v>599</v>
      </c>
    </row>
    <row r="333" spans="1:13" ht="15">
      <c r="A333" s="2266" t="s">
        <v>4049</v>
      </c>
      <c r="B333" s="2465" t="str">
        <f>CONCATENATE(LEFT(RIGHT(CONCATENATE("000",IFAData_TEA_1617!A333),6),3),"-",(RIGHT(RIGHT(CONCATENATE("000",IFAData_TEA_1617!A333),6),3)))</f>
        <v>021-901</v>
      </c>
      <c r="C333" s="2266" t="s">
        <v>1334</v>
      </c>
      <c r="D333" s="2266">
        <v>2</v>
      </c>
      <c r="E333" s="2266">
        <v>1705</v>
      </c>
      <c r="F333" s="2266" t="s">
        <v>4986</v>
      </c>
      <c r="G333" s="2266" t="s">
        <v>4987</v>
      </c>
      <c r="H333" s="2266">
        <v>1632000</v>
      </c>
      <c r="I333" s="2266">
        <v>0</v>
      </c>
      <c r="J333" s="2266">
        <v>0</v>
      </c>
      <c r="K333" s="2266">
        <v>0</v>
      </c>
      <c r="L333" s="2266">
        <v>0</v>
      </c>
      <c r="M333" s="2266">
        <v>599</v>
      </c>
    </row>
    <row r="334" spans="1:13" ht="15">
      <c r="A334" s="2266" t="s">
        <v>4049</v>
      </c>
      <c r="B334" s="2465" t="str">
        <f>CONCATENATE(LEFT(RIGHT(CONCATENATE("000",IFAData_TEA_1617!A334),6),3),"-",(RIGHT(RIGHT(CONCATENATE("000",IFAData_TEA_1617!A334),6),3)))</f>
        <v>021-901</v>
      </c>
      <c r="C334" s="2266" t="s">
        <v>1334</v>
      </c>
      <c r="D334" s="2266">
        <v>2</v>
      </c>
      <c r="E334" s="2266">
        <v>1705</v>
      </c>
      <c r="F334" s="2266" t="s">
        <v>4986</v>
      </c>
      <c r="G334" s="2266" t="s">
        <v>6926</v>
      </c>
      <c r="H334" s="2266">
        <v>1632000</v>
      </c>
      <c r="I334" s="2266">
        <v>4448175</v>
      </c>
      <c r="J334" s="2266">
        <v>0.56143976876861712</v>
      </c>
      <c r="K334" s="2266">
        <v>916269.7026303832</v>
      </c>
      <c r="L334" s="2266">
        <v>916269.7026303832</v>
      </c>
      <c r="M334" s="2266">
        <v>599</v>
      </c>
    </row>
    <row r="335" spans="1:13" ht="15">
      <c r="A335" s="2266" t="s">
        <v>4049</v>
      </c>
      <c r="B335" s="2465" t="str">
        <f>CONCATENATE(LEFT(RIGHT(CONCATENATE("000",IFAData_TEA_1617!A335),6),3),"-",(RIGHT(RIGHT(CONCATENATE("000",IFAData_TEA_1617!A335),6),3)))</f>
        <v>021-901</v>
      </c>
      <c r="C335" s="2266" t="s">
        <v>1334</v>
      </c>
      <c r="D335" s="2266">
        <v>2</v>
      </c>
      <c r="E335" s="2266">
        <v>1705</v>
      </c>
      <c r="F335" s="2266" t="s">
        <v>4986</v>
      </c>
      <c r="G335" s="2266" t="s">
        <v>4986</v>
      </c>
      <c r="H335" s="2266">
        <v>1632000</v>
      </c>
      <c r="I335" s="2266">
        <v>0</v>
      </c>
      <c r="J335" s="2266">
        <v>0</v>
      </c>
      <c r="K335" s="2266">
        <v>0</v>
      </c>
      <c r="L335" s="2266">
        <v>0</v>
      </c>
      <c r="M335" s="2266">
        <v>599</v>
      </c>
    </row>
    <row r="336" spans="1:13" ht="15">
      <c r="A336" s="2266" t="s">
        <v>4050</v>
      </c>
      <c r="B336" s="2465" t="str">
        <f>CONCATENATE(LEFT(RIGHT(CONCATENATE("000",IFAData_TEA_1617!A336),6),3),"-",(RIGHT(RIGHT(CONCATENATE("000",IFAData_TEA_1617!A336),6),3)))</f>
        <v>021-902</v>
      </c>
      <c r="C336" s="2266" t="s">
        <v>3032</v>
      </c>
      <c r="D336" s="2266">
        <v>9</v>
      </c>
      <c r="E336" s="2266">
        <v>1648</v>
      </c>
      <c r="F336" s="2266" t="s">
        <v>4991</v>
      </c>
      <c r="G336" s="2266" t="s">
        <v>4991</v>
      </c>
      <c r="H336" s="2266">
        <v>2150873</v>
      </c>
      <c r="I336" s="2266">
        <v>1494738</v>
      </c>
      <c r="J336" s="2266">
        <v>1</v>
      </c>
      <c r="K336" s="2266">
        <v>2150873</v>
      </c>
      <c r="L336" s="2266">
        <v>1494738</v>
      </c>
      <c r="M336" s="2266">
        <v>599</v>
      </c>
    </row>
    <row r="337" spans="1:13" ht="15">
      <c r="A337" s="2266" t="s">
        <v>4050</v>
      </c>
      <c r="B337" s="2465" t="str">
        <f>CONCATENATE(LEFT(RIGHT(CONCATENATE("000",IFAData_TEA_1617!A337),6),3),"-",(RIGHT(RIGHT(CONCATENATE("000",IFAData_TEA_1617!A337),6),3)))</f>
        <v>021-902</v>
      </c>
      <c r="C337" s="2266" t="s">
        <v>3032</v>
      </c>
      <c r="D337" s="2266">
        <v>2</v>
      </c>
      <c r="E337" s="2266">
        <v>1647</v>
      </c>
      <c r="F337" s="2266" t="s">
        <v>4989</v>
      </c>
      <c r="G337" s="2266" t="s">
        <v>4989</v>
      </c>
      <c r="H337" s="2266">
        <v>1547958</v>
      </c>
      <c r="I337" s="2266">
        <v>0</v>
      </c>
      <c r="J337" s="2266">
        <v>0</v>
      </c>
      <c r="K337" s="2266"/>
      <c r="L337" s="2266">
        <v>0</v>
      </c>
      <c r="M337" s="2266">
        <v>199</v>
      </c>
    </row>
    <row r="338" spans="1:13" ht="15">
      <c r="A338" s="2266" t="s">
        <v>4050</v>
      </c>
      <c r="B338" s="2465" t="str">
        <f>CONCATENATE(LEFT(RIGHT(CONCATENATE("000",IFAData_TEA_1617!A338),6),3),"-",(RIGHT(RIGHT(CONCATENATE("000",IFAData_TEA_1617!A338),6),3)))</f>
        <v>021-902</v>
      </c>
      <c r="C338" s="2266" t="s">
        <v>3032</v>
      </c>
      <c r="D338" s="2266">
        <v>6</v>
      </c>
      <c r="E338" s="2266">
        <v>1646</v>
      </c>
      <c r="F338" s="2266" t="s">
        <v>4990</v>
      </c>
      <c r="G338" s="2266" t="s">
        <v>4990</v>
      </c>
      <c r="H338" s="2266">
        <v>424846</v>
      </c>
      <c r="I338" s="2266">
        <v>0</v>
      </c>
      <c r="J338" s="2266">
        <v>0</v>
      </c>
      <c r="K338" s="2266"/>
      <c r="L338" s="2266">
        <v>0</v>
      </c>
      <c r="M338" s="2266">
        <v>599</v>
      </c>
    </row>
    <row r="339" spans="1:13" ht="15">
      <c r="A339" s="2266" t="s">
        <v>4051</v>
      </c>
      <c r="B339" s="2465" t="str">
        <f>CONCATENATE(LEFT(RIGHT(CONCATENATE("000",IFAData_TEA_1617!A339),6),3),"-",(RIGHT(RIGHT(CONCATENATE("000",IFAData_TEA_1617!A339),6),3)))</f>
        <v>025-904</v>
      </c>
      <c r="C339" s="2266" t="s">
        <v>1519</v>
      </c>
      <c r="D339" s="2266">
        <v>4</v>
      </c>
      <c r="E339" s="2266">
        <v>1617</v>
      </c>
      <c r="F339" s="2266" t="s">
        <v>4993</v>
      </c>
      <c r="G339" s="2266" t="s">
        <v>4994</v>
      </c>
      <c r="H339" s="2266">
        <v>100000</v>
      </c>
      <c r="I339" s="2266">
        <v>92995</v>
      </c>
      <c r="J339" s="2266">
        <v>1</v>
      </c>
      <c r="K339" s="2266">
        <v>100000</v>
      </c>
      <c r="L339" s="2266">
        <v>92995</v>
      </c>
      <c r="M339" s="2266">
        <v>599</v>
      </c>
    </row>
    <row r="340" spans="1:13" ht="15">
      <c r="A340" s="2266" t="s">
        <v>4051</v>
      </c>
      <c r="B340" s="2465" t="str">
        <f>CONCATENATE(LEFT(RIGHT(CONCATENATE("000",IFAData_TEA_1617!A340),6),3),"-",(RIGHT(RIGHT(CONCATENATE("000",IFAData_TEA_1617!A340),6),3)))</f>
        <v>025-904</v>
      </c>
      <c r="C340" s="2266" t="s">
        <v>1519</v>
      </c>
      <c r="D340" s="2266">
        <v>2</v>
      </c>
      <c r="E340" s="2266">
        <v>1616</v>
      </c>
      <c r="F340" s="2266" t="s">
        <v>4992</v>
      </c>
      <c r="G340" s="2266" t="s">
        <v>4992</v>
      </c>
      <c r="H340" s="2266">
        <v>100000</v>
      </c>
      <c r="I340" s="2266">
        <v>0</v>
      </c>
      <c r="J340" s="2266">
        <v>0</v>
      </c>
      <c r="K340" s="2266"/>
      <c r="L340" s="2266">
        <v>0</v>
      </c>
      <c r="M340" s="2266">
        <v>199</v>
      </c>
    </row>
    <row r="341" spans="1:13" ht="15">
      <c r="A341" s="2266" t="s">
        <v>4051</v>
      </c>
      <c r="B341" s="2465" t="str">
        <f>CONCATENATE(LEFT(RIGHT(CONCATENATE("000",IFAData_TEA_1617!A341),6),3),"-",(RIGHT(RIGHT(CONCATENATE("000",IFAData_TEA_1617!A341),6),3)))</f>
        <v>025-904</v>
      </c>
      <c r="C341" s="2266" t="s">
        <v>1519</v>
      </c>
      <c r="D341" s="2266">
        <v>4</v>
      </c>
      <c r="E341" s="2266">
        <v>1617</v>
      </c>
      <c r="F341" s="2266" t="s">
        <v>4993</v>
      </c>
      <c r="G341" s="2266" t="s">
        <v>4993</v>
      </c>
      <c r="H341" s="2266">
        <v>100000</v>
      </c>
      <c r="I341" s="2266">
        <v>0</v>
      </c>
      <c r="J341" s="2266">
        <v>0</v>
      </c>
      <c r="K341" s="2266">
        <v>0</v>
      </c>
      <c r="L341" s="2266">
        <v>0</v>
      </c>
      <c r="M341" s="2266">
        <v>599</v>
      </c>
    </row>
    <row r="342" spans="1:13" ht="15">
      <c r="A342" s="2266" t="s">
        <v>4052</v>
      </c>
      <c r="B342" s="2465" t="str">
        <f>CONCATENATE(LEFT(RIGHT(CONCATENATE("000",IFAData_TEA_1617!A342),6),3),"-",(RIGHT(RIGHT(CONCATENATE("000",IFAData_TEA_1617!A342),6),3)))</f>
        <v>025-905</v>
      </c>
      <c r="C342" s="2266" t="s">
        <v>2362</v>
      </c>
      <c r="D342" s="2266">
        <v>1</v>
      </c>
      <c r="E342" s="2266">
        <v>2077</v>
      </c>
      <c r="F342" s="2266" t="s">
        <v>4995</v>
      </c>
      <c r="G342" s="2266" t="s">
        <v>4996</v>
      </c>
      <c r="H342" s="2266">
        <v>92069</v>
      </c>
      <c r="I342" s="2266">
        <v>92592</v>
      </c>
      <c r="J342" s="2266">
        <v>1</v>
      </c>
      <c r="K342" s="2266">
        <v>92069</v>
      </c>
      <c r="L342" s="2266">
        <v>92069</v>
      </c>
      <c r="M342" s="2266">
        <v>599</v>
      </c>
    </row>
    <row r="343" spans="1:13" ht="15">
      <c r="A343" s="2266" t="s">
        <v>4052</v>
      </c>
      <c r="B343" s="2465" t="str">
        <f>CONCATENATE(LEFT(RIGHT(CONCATENATE("000",IFAData_TEA_1617!A343),6),3),"-",(RIGHT(RIGHT(CONCATENATE("000",IFAData_TEA_1617!A343),6),3)))</f>
        <v>025-905</v>
      </c>
      <c r="C343" s="2266" t="s">
        <v>2362</v>
      </c>
      <c r="D343" s="2266">
        <v>1</v>
      </c>
      <c r="E343" s="2266">
        <v>2077</v>
      </c>
      <c r="F343" s="2266" t="s">
        <v>4995</v>
      </c>
      <c r="G343" s="2266" t="s">
        <v>4995</v>
      </c>
      <c r="H343" s="2266">
        <v>92069</v>
      </c>
      <c r="I343" s="2266">
        <v>0</v>
      </c>
      <c r="J343" s="2266">
        <v>0</v>
      </c>
      <c r="K343" s="2266">
        <v>0</v>
      </c>
      <c r="L343" s="2266">
        <v>0</v>
      </c>
      <c r="M343" s="2266">
        <v>599</v>
      </c>
    </row>
    <row r="344" spans="1:13" ht="15">
      <c r="A344" s="2266" t="s">
        <v>4053</v>
      </c>
      <c r="B344" s="2465" t="str">
        <f>CONCATENATE(LEFT(RIGHT(CONCATENATE("000",IFAData_TEA_1617!A344),6),3),"-",(RIGHT(RIGHT(CONCATENATE("000",IFAData_TEA_1617!A344),6),3)))</f>
        <v>025-906</v>
      </c>
      <c r="C344" s="2266" t="s">
        <v>3074</v>
      </c>
      <c r="D344" s="2266">
        <v>9</v>
      </c>
      <c r="E344" s="2266">
        <v>2471</v>
      </c>
      <c r="F344" s="2266" t="s">
        <v>4998</v>
      </c>
      <c r="G344" s="2266" t="s">
        <v>4998</v>
      </c>
      <c r="H344" s="2266">
        <v>100000</v>
      </c>
      <c r="I344" s="2266">
        <v>63610</v>
      </c>
      <c r="J344" s="2266">
        <v>0.37614347972633361</v>
      </c>
      <c r="K344" s="2266">
        <v>37614.347972633361</v>
      </c>
      <c r="L344" s="2266">
        <v>37614.347972633361</v>
      </c>
      <c r="M344" s="2266">
        <v>599</v>
      </c>
    </row>
    <row r="345" spans="1:13" ht="15">
      <c r="A345" s="2266" t="s">
        <v>4053</v>
      </c>
      <c r="B345" s="2465" t="str">
        <f>CONCATENATE(LEFT(RIGHT(CONCATENATE("000",IFAData_TEA_1617!A345),6),3),"-",(RIGHT(RIGHT(CONCATENATE("000",IFAData_TEA_1617!A345),6),3)))</f>
        <v>025-906</v>
      </c>
      <c r="C345" s="2266" t="s">
        <v>3074</v>
      </c>
      <c r="D345" s="2266">
        <v>2</v>
      </c>
      <c r="E345" s="2266">
        <v>2470</v>
      </c>
      <c r="F345" s="2266" t="s">
        <v>4997</v>
      </c>
      <c r="G345" s="2266" t="s">
        <v>4997</v>
      </c>
      <c r="H345" s="2266">
        <v>43725</v>
      </c>
      <c r="I345" s="2266">
        <v>43315</v>
      </c>
      <c r="J345" s="2266">
        <v>1</v>
      </c>
      <c r="K345" s="2266">
        <v>43725</v>
      </c>
      <c r="L345" s="2266">
        <v>43315</v>
      </c>
      <c r="M345" s="2266">
        <v>599</v>
      </c>
    </row>
    <row r="346" spans="1:13" ht="15">
      <c r="A346" s="2266" t="s">
        <v>4053</v>
      </c>
      <c r="B346" s="2465" t="str">
        <f>CONCATENATE(LEFT(RIGHT(CONCATENATE("000",IFAData_TEA_1617!A346),6),3),"-",(RIGHT(RIGHT(CONCATENATE("000",IFAData_TEA_1617!A346),6),3)))</f>
        <v>025-906</v>
      </c>
      <c r="C346" s="2266" t="s">
        <v>3074</v>
      </c>
      <c r="D346" s="2266">
        <v>10</v>
      </c>
      <c r="E346" s="2266">
        <v>2472</v>
      </c>
      <c r="F346" s="2266" t="s">
        <v>4999</v>
      </c>
      <c r="G346" s="2266" t="s">
        <v>4999</v>
      </c>
      <c r="H346" s="2266">
        <v>100000</v>
      </c>
      <c r="I346" s="2266">
        <v>33440</v>
      </c>
      <c r="J346" s="2266">
        <v>0.37572611543690521</v>
      </c>
      <c r="K346" s="2266">
        <v>37572.611543690524</v>
      </c>
      <c r="L346" s="2266">
        <v>33440</v>
      </c>
      <c r="M346" s="2266">
        <v>599</v>
      </c>
    </row>
    <row r="347" spans="1:13" ht="15">
      <c r="A347" s="2266" t="s">
        <v>4053</v>
      </c>
      <c r="B347" s="2465" t="str">
        <f>CONCATENATE(LEFT(RIGHT(CONCATENATE("000",IFAData_TEA_1617!A347),6),3),"-",(RIGHT(RIGHT(CONCATENATE("000",IFAData_TEA_1617!A347),6),3)))</f>
        <v>025-906</v>
      </c>
      <c r="C347" s="2266" t="s">
        <v>3074</v>
      </c>
      <c r="D347" s="2266">
        <v>10</v>
      </c>
      <c r="E347" s="2266">
        <v>2472</v>
      </c>
      <c r="F347" s="2266" t="s">
        <v>4999</v>
      </c>
      <c r="G347" s="2266" t="s">
        <v>7157</v>
      </c>
      <c r="H347" s="2266">
        <v>100000</v>
      </c>
      <c r="I347" s="2266">
        <v>55561</v>
      </c>
      <c r="J347" s="2266">
        <v>0.62427388456309485</v>
      </c>
      <c r="K347" s="2266">
        <v>62427.388456309483</v>
      </c>
      <c r="L347" s="2266">
        <v>55561</v>
      </c>
      <c r="M347" s="2266">
        <v>599</v>
      </c>
    </row>
    <row r="348" spans="1:13" ht="15">
      <c r="A348" s="2266" t="s">
        <v>4053</v>
      </c>
      <c r="B348" s="2465" t="str">
        <f>CONCATENATE(LEFT(RIGHT(CONCATENATE("000",IFAData_TEA_1617!A348),6),3),"-",(RIGHT(RIGHT(CONCATENATE("000",IFAData_TEA_1617!A348),6),3)))</f>
        <v>025-906</v>
      </c>
      <c r="C348" s="2266" t="s">
        <v>3074</v>
      </c>
      <c r="D348" s="2266">
        <v>9</v>
      </c>
      <c r="E348" s="2266">
        <v>2471</v>
      </c>
      <c r="F348" s="2266" t="s">
        <v>4998</v>
      </c>
      <c r="G348" s="2266" t="s">
        <v>7157</v>
      </c>
      <c r="H348" s="2266">
        <v>100000</v>
      </c>
      <c r="I348" s="2266">
        <v>105501</v>
      </c>
      <c r="J348" s="2266">
        <v>0.62385652027366645</v>
      </c>
      <c r="K348" s="2266">
        <v>62385.652027366647</v>
      </c>
      <c r="L348" s="2266">
        <v>62385.652027366647</v>
      </c>
      <c r="M348" s="2266">
        <v>599</v>
      </c>
    </row>
    <row r="349" spans="1:13" ht="15">
      <c r="A349" s="2266" t="s">
        <v>4054</v>
      </c>
      <c r="B349" s="2465" t="str">
        <f>CONCATENATE(LEFT(RIGHT(CONCATENATE("000",IFAData_TEA_1617!A349),6),3),"-",(RIGHT(RIGHT(CONCATENATE("000",IFAData_TEA_1617!A349),6),3)))</f>
        <v>025-908</v>
      </c>
      <c r="C349" s="2266" t="s">
        <v>2770</v>
      </c>
      <c r="D349" s="2266">
        <v>4</v>
      </c>
      <c r="E349" s="2266">
        <v>1636</v>
      </c>
      <c r="F349" s="2266" t="s">
        <v>5000</v>
      </c>
      <c r="G349" s="2266" t="s">
        <v>5000</v>
      </c>
      <c r="H349" s="2266">
        <v>100000</v>
      </c>
      <c r="I349" s="2266">
        <v>0</v>
      </c>
      <c r="J349" s="2266">
        <v>0</v>
      </c>
      <c r="K349" s="2266">
        <v>0</v>
      </c>
      <c r="L349" s="2266">
        <v>0</v>
      </c>
      <c r="M349" s="2266">
        <v>599</v>
      </c>
    </row>
    <row r="350" spans="1:13" ht="15">
      <c r="A350" s="2266" t="s">
        <v>4054</v>
      </c>
      <c r="B350" s="2465" t="str">
        <f>CONCATENATE(LEFT(RIGHT(CONCATENATE("000",IFAData_TEA_1617!A350),6),3),"-",(RIGHT(RIGHT(CONCATENATE("000",IFAData_TEA_1617!A350),6),3)))</f>
        <v>025-908</v>
      </c>
      <c r="C350" s="2266" t="s">
        <v>2770</v>
      </c>
      <c r="D350" s="2266">
        <v>4</v>
      </c>
      <c r="E350" s="2266">
        <v>1636</v>
      </c>
      <c r="F350" s="2266" t="s">
        <v>5000</v>
      </c>
      <c r="G350" s="2266" t="s">
        <v>5001</v>
      </c>
      <c r="H350" s="2266">
        <v>100000</v>
      </c>
      <c r="I350" s="2266">
        <v>93430</v>
      </c>
      <c r="J350" s="2266">
        <v>1</v>
      </c>
      <c r="K350" s="2266">
        <v>100000</v>
      </c>
      <c r="L350" s="2266">
        <v>93430</v>
      </c>
      <c r="M350" s="2266">
        <v>599</v>
      </c>
    </row>
    <row r="351" spans="1:13" ht="15">
      <c r="A351" s="2266" t="s">
        <v>4055</v>
      </c>
      <c r="B351" s="2465" t="str">
        <f>CONCATENATE(LEFT(RIGHT(CONCATENATE("000",IFAData_TEA_1617!A351),6),3),"-",(RIGHT(RIGHT(CONCATENATE("000",IFAData_TEA_1617!A351),6),3)))</f>
        <v>025-909</v>
      </c>
      <c r="C351" s="2266" t="s">
        <v>1214</v>
      </c>
      <c r="D351" s="2266">
        <v>1</v>
      </c>
      <c r="E351" s="2266">
        <v>1777</v>
      </c>
      <c r="F351" s="2266" t="s">
        <v>5002</v>
      </c>
      <c r="G351" s="2266" t="s">
        <v>5004</v>
      </c>
      <c r="H351" s="2266">
        <v>209945</v>
      </c>
      <c r="I351" s="2266">
        <v>362350</v>
      </c>
      <c r="J351" s="2266">
        <v>1</v>
      </c>
      <c r="K351" s="2266">
        <v>209945</v>
      </c>
      <c r="L351" s="2266">
        <v>209945</v>
      </c>
      <c r="M351" s="2266">
        <v>599</v>
      </c>
    </row>
    <row r="352" spans="1:13" ht="15">
      <c r="A352" s="2266" t="s">
        <v>4055</v>
      </c>
      <c r="B352" s="2465" t="str">
        <f>CONCATENATE(LEFT(RIGHT(CONCATENATE("000",IFAData_TEA_1617!A352),6),3),"-",(RIGHT(RIGHT(CONCATENATE("000",IFAData_TEA_1617!A352),6),3)))</f>
        <v>025-909</v>
      </c>
      <c r="C352" s="2266" t="s">
        <v>1214</v>
      </c>
      <c r="D352" s="2266">
        <v>1</v>
      </c>
      <c r="E352" s="2266">
        <v>1777</v>
      </c>
      <c r="F352" s="2266" t="s">
        <v>5002</v>
      </c>
      <c r="G352" s="2266" t="s">
        <v>5002</v>
      </c>
      <c r="H352" s="2266">
        <v>209945</v>
      </c>
      <c r="I352" s="2266">
        <v>0</v>
      </c>
      <c r="J352" s="2266">
        <v>0</v>
      </c>
      <c r="K352" s="2266">
        <v>0</v>
      </c>
      <c r="L352" s="2266">
        <v>0</v>
      </c>
      <c r="M352" s="2266">
        <v>599</v>
      </c>
    </row>
    <row r="353" spans="1:13" ht="15">
      <c r="A353" s="2266" t="s">
        <v>4055</v>
      </c>
      <c r="B353" s="2465" t="str">
        <f>CONCATENATE(LEFT(RIGHT(CONCATENATE("000",IFAData_TEA_1617!A353),6),3),"-",(RIGHT(RIGHT(CONCATENATE("000",IFAData_TEA_1617!A353),6),3)))</f>
        <v>025-909</v>
      </c>
      <c r="C353" s="2266" t="s">
        <v>1214</v>
      </c>
      <c r="D353" s="2266">
        <v>9</v>
      </c>
      <c r="E353" s="2266">
        <v>1778</v>
      </c>
      <c r="F353" s="2266" t="s">
        <v>5005</v>
      </c>
      <c r="G353" s="2266" t="s">
        <v>5006</v>
      </c>
      <c r="H353" s="2266">
        <v>323704</v>
      </c>
      <c r="I353" s="2266">
        <v>324950</v>
      </c>
      <c r="J353" s="2266">
        <v>0.25977524784373351</v>
      </c>
      <c r="K353" s="2266">
        <v>84090.286828007913</v>
      </c>
      <c r="L353" s="2266">
        <v>84090.286828007913</v>
      </c>
      <c r="M353" s="2266">
        <v>599</v>
      </c>
    </row>
    <row r="354" spans="1:13" ht="15">
      <c r="A354" s="2266" t="s">
        <v>4055</v>
      </c>
      <c r="B354" s="2465" t="str">
        <f>CONCATENATE(LEFT(RIGHT(CONCATENATE("000",IFAData_TEA_1617!A354),6),3),"-",(RIGHT(RIGHT(CONCATENATE("000",IFAData_TEA_1617!A354),6),3)))</f>
        <v>025-909</v>
      </c>
      <c r="C354" s="2266" t="s">
        <v>1214</v>
      </c>
      <c r="D354" s="2266">
        <v>10</v>
      </c>
      <c r="E354" s="2266">
        <v>1776</v>
      </c>
      <c r="F354" s="2266" t="s">
        <v>5007</v>
      </c>
      <c r="G354" s="2266" t="s">
        <v>5007</v>
      </c>
      <c r="H354" s="2266">
        <v>160450</v>
      </c>
      <c r="I354" s="2266">
        <v>109175</v>
      </c>
      <c r="J354" s="2266">
        <v>1</v>
      </c>
      <c r="K354" s="2266">
        <v>160450</v>
      </c>
      <c r="L354" s="2266">
        <v>109175</v>
      </c>
      <c r="M354" s="2266">
        <v>599</v>
      </c>
    </row>
    <row r="355" spans="1:13" ht="15">
      <c r="A355" s="2266" t="s">
        <v>4055</v>
      </c>
      <c r="B355" s="2465" t="str">
        <f>CONCATENATE(LEFT(RIGHT(CONCATENATE("000",IFAData_TEA_1617!A355),6),3),"-",(RIGHT(RIGHT(CONCATENATE("000",IFAData_TEA_1617!A355),6),3)))</f>
        <v>025-909</v>
      </c>
      <c r="C355" s="2266" t="s">
        <v>1214</v>
      </c>
      <c r="D355" s="2266">
        <v>9</v>
      </c>
      <c r="E355" s="2266">
        <v>1778</v>
      </c>
      <c r="F355" s="2266" t="s">
        <v>5005</v>
      </c>
      <c r="G355" s="2266" t="s">
        <v>7158</v>
      </c>
      <c r="H355" s="2266">
        <v>323704</v>
      </c>
      <c r="I355" s="2266">
        <v>247161</v>
      </c>
      <c r="J355" s="2266">
        <v>0.19758827521866448</v>
      </c>
      <c r="K355" s="2266">
        <v>63960.115041382567</v>
      </c>
      <c r="L355" s="2266">
        <v>63960.115041382567</v>
      </c>
      <c r="M355" s="2266">
        <v>599</v>
      </c>
    </row>
    <row r="356" spans="1:13" ht="15">
      <c r="A356" s="2266" t="s">
        <v>4055</v>
      </c>
      <c r="B356" s="2465" t="str">
        <f>CONCATENATE(LEFT(RIGHT(CONCATENATE("000",IFAData_TEA_1617!A356),6),3),"-",(RIGHT(RIGHT(CONCATENATE("000",IFAData_TEA_1617!A356),6),3)))</f>
        <v>025-909</v>
      </c>
      <c r="C356" s="2266" t="s">
        <v>1214</v>
      </c>
      <c r="D356" s="2266">
        <v>9</v>
      </c>
      <c r="E356" s="2266">
        <v>1778</v>
      </c>
      <c r="F356" s="2266" t="s">
        <v>5005</v>
      </c>
      <c r="G356" s="2266" t="s">
        <v>5005</v>
      </c>
      <c r="H356" s="2266">
        <v>323704</v>
      </c>
      <c r="I356" s="2266">
        <v>678778</v>
      </c>
      <c r="J356" s="2266">
        <v>0.54263647693760197</v>
      </c>
      <c r="K356" s="2266">
        <v>175653.59813060952</v>
      </c>
      <c r="L356" s="2266">
        <v>175653.59813060952</v>
      </c>
      <c r="M356" s="2266">
        <v>599</v>
      </c>
    </row>
    <row r="357" spans="1:13" ht="15">
      <c r="A357" s="2266" t="s">
        <v>4055</v>
      </c>
      <c r="B357" s="2465" t="str">
        <f>CONCATENATE(LEFT(RIGHT(CONCATENATE("000",IFAData_TEA_1617!A357),6),3),"-",(RIGHT(RIGHT(CONCATENATE("000",IFAData_TEA_1617!A357),6),3)))</f>
        <v>025-909</v>
      </c>
      <c r="C357" s="2266" t="s">
        <v>1214</v>
      </c>
      <c r="D357" s="2266">
        <v>1</v>
      </c>
      <c r="E357" s="2266">
        <v>1777</v>
      </c>
      <c r="F357" s="2266" t="s">
        <v>5002</v>
      </c>
      <c r="G357" s="2266" t="s">
        <v>5003</v>
      </c>
      <c r="H357" s="2266">
        <v>209945</v>
      </c>
      <c r="I357" s="2266">
        <v>0</v>
      </c>
      <c r="J357" s="2266">
        <v>0</v>
      </c>
      <c r="K357" s="2266">
        <v>0</v>
      </c>
      <c r="L357" s="2266">
        <v>0</v>
      </c>
      <c r="M357" s="2266">
        <v>599</v>
      </c>
    </row>
    <row r="358" spans="1:13" ht="15">
      <c r="A358" s="2266" t="s">
        <v>4056</v>
      </c>
      <c r="B358" s="2465" t="str">
        <f>CONCATENATE(LEFT(RIGHT(CONCATENATE("000",IFAData_TEA_1617!A358),6),3),"-",(RIGHT(RIGHT(CONCATENATE("000",IFAData_TEA_1617!A358),6),3)))</f>
        <v>026-903</v>
      </c>
      <c r="C358" s="2266" t="s">
        <v>1794</v>
      </c>
      <c r="D358" s="2266">
        <v>9</v>
      </c>
      <c r="E358" s="2266">
        <v>2345</v>
      </c>
      <c r="F358" s="2266" t="s">
        <v>5008</v>
      </c>
      <c r="G358" s="2266" t="s">
        <v>5008</v>
      </c>
      <c r="H358" s="2266">
        <v>110365</v>
      </c>
      <c r="I358" s="2266">
        <v>240875</v>
      </c>
      <c r="J358" s="2266">
        <v>0.45300672340025389</v>
      </c>
      <c r="K358" s="2266">
        <v>49996.087028069021</v>
      </c>
      <c r="L358" s="2266">
        <v>49996.087028069021</v>
      </c>
      <c r="M358" s="2266">
        <v>599</v>
      </c>
    </row>
    <row r="359" spans="1:13" ht="15">
      <c r="A359" s="2266" t="s">
        <v>4056</v>
      </c>
      <c r="B359" s="2465" t="str">
        <f>CONCATENATE(LEFT(RIGHT(CONCATENATE("000",IFAData_TEA_1617!A359),6),3),"-",(RIGHT(RIGHT(CONCATENATE("000",IFAData_TEA_1617!A359),6),3)))</f>
        <v>026-903</v>
      </c>
      <c r="C359" s="2266" t="s">
        <v>1794</v>
      </c>
      <c r="D359" s="2266">
        <v>9</v>
      </c>
      <c r="E359" s="2266">
        <v>2345</v>
      </c>
      <c r="F359" s="2266" t="s">
        <v>5008</v>
      </c>
      <c r="G359" s="2266" t="s">
        <v>7159</v>
      </c>
      <c r="H359" s="2266">
        <v>110365</v>
      </c>
      <c r="I359" s="2266">
        <v>290850</v>
      </c>
      <c r="J359" s="2266">
        <v>0.54699327659974606</v>
      </c>
      <c r="K359" s="2266">
        <v>60368.912971930971</v>
      </c>
      <c r="L359" s="2266">
        <v>60368.912971930971</v>
      </c>
      <c r="M359" s="2266">
        <v>599</v>
      </c>
    </row>
    <row r="360" spans="1:13" ht="15">
      <c r="A360" s="2266" t="s">
        <v>4057</v>
      </c>
      <c r="B360" s="2465" t="str">
        <f>CONCATENATE(LEFT(RIGHT(CONCATENATE("000",IFAData_TEA_1617!A360),6),3),"-",(RIGHT(RIGHT(CONCATENATE("000",IFAData_TEA_1617!A360),6),3)))</f>
        <v>027-903</v>
      </c>
      <c r="C360" s="2266" t="s">
        <v>154</v>
      </c>
      <c r="D360" s="2266">
        <v>2</v>
      </c>
      <c r="E360" s="2266">
        <v>1655</v>
      </c>
      <c r="F360" s="2266" t="s">
        <v>5009</v>
      </c>
      <c r="G360" s="2266" t="s">
        <v>5010</v>
      </c>
      <c r="H360" s="2266">
        <v>546449</v>
      </c>
      <c r="I360" s="2266">
        <v>0</v>
      </c>
      <c r="J360" s="2266">
        <v>0</v>
      </c>
      <c r="K360" s="2266">
        <v>0</v>
      </c>
      <c r="L360" s="2266">
        <v>0</v>
      </c>
      <c r="M360" s="2266">
        <v>599</v>
      </c>
    </row>
    <row r="361" spans="1:13" ht="15">
      <c r="A361" s="2266" t="s">
        <v>4057</v>
      </c>
      <c r="B361" s="2465" t="str">
        <f>CONCATENATE(LEFT(RIGHT(CONCATENATE("000",IFAData_TEA_1617!A361),6),3),"-",(RIGHT(RIGHT(CONCATENATE("000",IFAData_TEA_1617!A361),6),3)))</f>
        <v>027-903</v>
      </c>
      <c r="C361" s="2266" t="s">
        <v>154</v>
      </c>
      <c r="D361" s="2266">
        <v>2</v>
      </c>
      <c r="E361" s="2266">
        <v>1655</v>
      </c>
      <c r="F361" s="2266" t="s">
        <v>5009</v>
      </c>
      <c r="G361" s="2266" t="s">
        <v>5009</v>
      </c>
      <c r="H361" s="2266">
        <v>546449</v>
      </c>
      <c r="I361" s="2266">
        <v>0</v>
      </c>
      <c r="J361" s="2266">
        <v>0</v>
      </c>
      <c r="K361" s="2266">
        <v>0</v>
      </c>
      <c r="L361" s="2266">
        <v>0</v>
      </c>
      <c r="M361" s="2266">
        <v>599</v>
      </c>
    </row>
    <row r="362" spans="1:13" ht="15">
      <c r="A362" s="2266" t="s">
        <v>4057</v>
      </c>
      <c r="B362" s="2465" t="str">
        <f>CONCATENATE(LEFT(RIGHT(CONCATENATE("000",IFAData_TEA_1617!A362),6),3),"-",(RIGHT(RIGHT(CONCATENATE("000",IFAData_TEA_1617!A362),6),3)))</f>
        <v>027-903</v>
      </c>
      <c r="C362" s="2266" t="s">
        <v>154</v>
      </c>
      <c r="D362" s="2266">
        <v>2</v>
      </c>
      <c r="E362" s="2266">
        <v>1655</v>
      </c>
      <c r="F362" s="2266" t="s">
        <v>5009</v>
      </c>
      <c r="G362" s="2266" t="s">
        <v>7160</v>
      </c>
      <c r="H362" s="2266">
        <v>546449</v>
      </c>
      <c r="I362" s="2266">
        <v>487418</v>
      </c>
      <c r="J362" s="2266">
        <v>1</v>
      </c>
      <c r="K362" s="2266">
        <v>546449</v>
      </c>
      <c r="L362" s="2266">
        <v>487418</v>
      </c>
      <c r="M362" s="2266">
        <v>599</v>
      </c>
    </row>
    <row r="363" spans="1:13" ht="15">
      <c r="A363" s="2266" t="s">
        <v>5011</v>
      </c>
      <c r="B363" s="2465" t="str">
        <f>CONCATENATE(LEFT(RIGHT(CONCATENATE("000",IFAData_TEA_1617!A363),6),3),"-",(RIGHT(RIGHT(CONCATENATE("000",IFAData_TEA_1617!A363),6),3)))</f>
        <v>027-904</v>
      </c>
      <c r="C363" s="2266" t="s">
        <v>322</v>
      </c>
      <c r="D363" s="2266">
        <v>1</v>
      </c>
      <c r="E363" s="2266">
        <v>2062</v>
      </c>
      <c r="F363" s="2266" t="s">
        <v>5012</v>
      </c>
      <c r="G363" s="2266" t="s">
        <v>5012</v>
      </c>
      <c r="H363" s="2266">
        <v>539135</v>
      </c>
      <c r="I363" s="2266">
        <v>0</v>
      </c>
      <c r="J363" s="2266">
        <v>0</v>
      </c>
      <c r="K363" s="2266"/>
      <c r="L363" s="2266">
        <v>0</v>
      </c>
      <c r="M363" s="2266">
        <v>599</v>
      </c>
    </row>
    <row r="364" spans="1:13" ht="15">
      <c r="A364" s="2266" t="s">
        <v>4058</v>
      </c>
      <c r="B364" s="2465" t="str">
        <f>CONCATENATE(LEFT(RIGHT(CONCATENATE("000",IFAData_TEA_1617!A364),6),3),"-",(RIGHT(RIGHT(CONCATENATE("000",IFAData_TEA_1617!A364),6),3)))</f>
        <v>028-902</v>
      </c>
      <c r="C364" s="2266" t="s">
        <v>2546</v>
      </c>
      <c r="D364" s="2266">
        <v>6</v>
      </c>
      <c r="E364" s="2266">
        <v>2031</v>
      </c>
      <c r="F364" s="2266" t="s">
        <v>5019</v>
      </c>
      <c r="G364" s="2266" t="s">
        <v>5020</v>
      </c>
      <c r="H364" s="2266">
        <v>954099</v>
      </c>
      <c r="I364" s="2266">
        <v>1052528</v>
      </c>
      <c r="J364" s="2266">
        <v>1</v>
      </c>
      <c r="K364" s="2266">
        <v>954099</v>
      </c>
      <c r="L364" s="2266">
        <v>954099</v>
      </c>
      <c r="M364" s="2266">
        <v>599</v>
      </c>
    </row>
    <row r="365" spans="1:13" ht="15">
      <c r="A365" s="2266" t="s">
        <v>4058</v>
      </c>
      <c r="B365" s="2465" t="str">
        <f>CONCATENATE(LEFT(RIGHT(CONCATENATE("000",IFAData_TEA_1617!A365),6),3),"-",(RIGHT(RIGHT(CONCATENATE("000",IFAData_TEA_1617!A365),6),3)))</f>
        <v>028-902</v>
      </c>
      <c r="C365" s="2266" t="s">
        <v>2546</v>
      </c>
      <c r="D365" s="2266">
        <v>6</v>
      </c>
      <c r="E365" s="2266">
        <v>2031</v>
      </c>
      <c r="F365" s="2266" t="s">
        <v>5019</v>
      </c>
      <c r="G365" s="2266" t="s">
        <v>5019</v>
      </c>
      <c r="H365" s="2266">
        <v>954099</v>
      </c>
      <c r="I365" s="2266">
        <v>0</v>
      </c>
      <c r="J365" s="2266">
        <v>0</v>
      </c>
      <c r="K365" s="2266">
        <v>0</v>
      </c>
      <c r="L365" s="2266">
        <v>0</v>
      </c>
      <c r="M365" s="2266">
        <v>599</v>
      </c>
    </row>
    <row r="366" spans="1:13" ht="15">
      <c r="A366" s="2266" t="s">
        <v>4058</v>
      </c>
      <c r="B366" s="2465" t="str">
        <f>CONCATENATE(LEFT(RIGHT(CONCATENATE("000",IFAData_TEA_1617!A366),6),3),"-",(RIGHT(RIGHT(CONCATENATE("000",IFAData_TEA_1617!A366),6),3)))</f>
        <v>028-902</v>
      </c>
      <c r="C366" s="2266" t="s">
        <v>2546</v>
      </c>
      <c r="D366" s="2266">
        <v>1</v>
      </c>
      <c r="E366" s="2266">
        <v>2030</v>
      </c>
      <c r="F366" s="2266" t="s">
        <v>5016</v>
      </c>
      <c r="G366" s="2266" t="s">
        <v>5016</v>
      </c>
      <c r="H366" s="2266">
        <v>930541</v>
      </c>
      <c r="I366" s="2266">
        <v>0</v>
      </c>
      <c r="J366" s="2266">
        <v>0</v>
      </c>
      <c r="K366" s="2266">
        <v>0</v>
      </c>
      <c r="L366" s="2266">
        <v>0</v>
      </c>
      <c r="M366" s="2266">
        <v>599</v>
      </c>
    </row>
    <row r="367" spans="1:13" ht="15">
      <c r="A367" s="2266" t="s">
        <v>4058</v>
      </c>
      <c r="B367" s="2465" t="str">
        <f>CONCATENATE(LEFT(RIGHT(CONCATENATE("000",IFAData_TEA_1617!A367),6),3),"-",(RIGHT(RIGHT(CONCATENATE("000",IFAData_TEA_1617!A367),6),3)))</f>
        <v>028-902</v>
      </c>
      <c r="C367" s="2266" t="s">
        <v>2546</v>
      </c>
      <c r="D367" s="2266">
        <v>1</v>
      </c>
      <c r="E367" s="2266">
        <v>2030</v>
      </c>
      <c r="F367" s="2266" t="s">
        <v>5016</v>
      </c>
      <c r="G367" s="2266" t="s">
        <v>5017</v>
      </c>
      <c r="H367" s="2266">
        <v>930541</v>
      </c>
      <c r="I367" s="2266">
        <v>952875</v>
      </c>
      <c r="J367" s="2266">
        <v>0.84105430675411952</v>
      </c>
      <c r="K367" s="2266">
        <v>782635.51566128514</v>
      </c>
      <c r="L367" s="2266">
        <v>782635.51566128514</v>
      </c>
      <c r="M367" s="2266">
        <v>599</v>
      </c>
    </row>
    <row r="368" spans="1:13" ht="15">
      <c r="A368" s="2266" t="s">
        <v>4058</v>
      </c>
      <c r="B368" s="2465" t="str">
        <f>CONCATENATE(LEFT(RIGHT(CONCATENATE("000",IFAData_TEA_1617!A368),6),3),"-",(RIGHT(RIGHT(CONCATENATE("000",IFAData_TEA_1617!A368),6),3)))</f>
        <v>028-902</v>
      </c>
      <c r="C368" s="2266" t="s">
        <v>2546</v>
      </c>
      <c r="D368" s="2266">
        <v>6</v>
      </c>
      <c r="E368" s="2266">
        <v>2031</v>
      </c>
      <c r="F368" s="2266" t="s">
        <v>5019</v>
      </c>
      <c r="G368" s="2266" t="s">
        <v>5021</v>
      </c>
      <c r="H368" s="2266">
        <v>954099</v>
      </c>
      <c r="I368" s="2266">
        <v>0</v>
      </c>
      <c r="J368" s="2266">
        <v>0</v>
      </c>
      <c r="K368" s="2266">
        <v>0</v>
      </c>
      <c r="L368" s="2266">
        <v>0</v>
      </c>
      <c r="M368" s="2266">
        <v>599</v>
      </c>
    </row>
    <row r="369" spans="1:13" ht="15">
      <c r="A369" s="2266" t="s">
        <v>4058</v>
      </c>
      <c r="B369" s="2465" t="str">
        <f>CONCATENATE(LEFT(RIGHT(CONCATENATE("000",IFAData_TEA_1617!A369),6),3),"-",(RIGHT(RIGHT(CONCATENATE("000",IFAData_TEA_1617!A369),6),3)))</f>
        <v>028-902</v>
      </c>
      <c r="C369" s="2266" t="s">
        <v>2546</v>
      </c>
      <c r="D369" s="2266">
        <v>1</v>
      </c>
      <c r="E369" s="2266">
        <v>2030</v>
      </c>
      <c r="F369" s="2266" t="s">
        <v>5016</v>
      </c>
      <c r="G369" s="2266" t="s">
        <v>5018</v>
      </c>
      <c r="H369" s="2266">
        <v>930541</v>
      </c>
      <c r="I369" s="2266">
        <v>180078</v>
      </c>
      <c r="J369" s="2266">
        <v>0.15894569324588045</v>
      </c>
      <c r="K369" s="2266">
        <v>147905.48433871486</v>
      </c>
      <c r="L369" s="2266">
        <v>147905.48433871486</v>
      </c>
      <c r="M369" s="2266">
        <v>599</v>
      </c>
    </row>
    <row r="370" spans="1:13" ht="15">
      <c r="A370" s="2266" t="s">
        <v>4059</v>
      </c>
      <c r="B370" s="2465" t="str">
        <f>CONCATENATE(LEFT(RIGHT(CONCATENATE("000",IFAData_TEA_1617!A370),6),3),"-",(RIGHT(RIGHT(CONCATENATE("000",IFAData_TEA_1617!A370),6),3)))</f>
        <v>028-903</v>
      </c>
      <c r="C370" s="2266" t="s">
        <v>948</v>
      </c>
      <c r="D370" s="2266">
        <v>5</v>
      </c>
      <c r="E370" s="2266">
        <v>2043</v>
      </c>
      <c r="F370" s="2266" t="s">
        <v>5022</v>
      </c>
      <c r="G370" s="2266" t="s">
        <v>5023</v>
      </c>
      <c r="H370" s="2266">
        <v>352232</v>
      </c>
      <c r="I370" s="2266">
        <v>0</v>
      </c>
      <c r="J370" s="2266">
        <v>0</v>
      </c>
      <c r="K370" s="2266">
        <v>0</v>
      </c>
      <c r="L370" s="2266">
        <v>0</v>
      </c>
      <c r="M370" s="2266">
        <v>599</v>
      </c>
    </row>
    <row r="371" spans="1:13" ht="15">
      <c r="A371" s="2266" t="s">
        <v>4059</v>
      </c>
      <c r="B371" s="2465" t="str">
        <f>CONCATENATE(LEFT(RIGHT(CONCATENATE("000",IFAData_TEA_1617!A371),6),3),"-",(RIGHT(RIGHT(CONCATENATE("000",IFAData_TEA_1617!A371),6),3)))</f>
        <v>028-903</v>
      </c>
      <c r="C371" s="2266" t="s">
        <v>948</v>
      </c>
      <c r="D371" s="2266">
        <v>5</v>
      </c>
      <c r="E371" s="2266">
        <v>2043</v>
      </c>
      <c r="F371" s="2266" t="s">
        <v>5022</v>
      </c>
      <c r="G371" s="2266" t="s">
        <v>5022</v>
      </c>
      <c r="H371" s="2266">
        <v>352232</v>
      </c>
      <c r="I371" s="2266">
        <v>0</v>
      </c>
      <c r="J371" s="2266">
        <v>0</v>
      </c>
      <c r="K371" s="2266">
        <v>0</v>
      </c>
      <c r="L371" s="2266">
        <v>0</v>
      </c>
      <c r="M371" s="2266">
        <v>599</v>
      </c>
    </row>
    <row r="372" spans="1:13" ht="15">
      <c r="A372" s="2266" t="s">
        <v>4059</v>
      </c>
      <c r="B372" s="2465" t="str">
        <f>CONCATENATE(LEFT(RIGHT(CONCATENATE("000",IFAData_TEA_1617!A372),6),3),"-",(RIGHT(RIGHT(CONCATENATE("000",IFAData_TEA_1617!A372),6),3)))</f>
        <v>028-903</v>
      </c>
      <c r="C372" s="2266" t="s">
        <v>948</v>
      </c>
      <c r="D372" s="2266">
        <v>5</v>
      </c>
      <c r="E372" s="2266">
        <v>2043</v>
      </c>
      <c r="F372" s="2266" t="s">
        <v>5022</v>
      </c>
      <c r="G372" s="2266" t="s">
        <v>7161</v>
      </c>
      <c r="H372" s="2266">
        <v>352232</v>
      </c>
      <c r="I372" s="2266">
        <v>333250</v>
      </c>
      <c r="J372" s="2266">
        <v>1</v>
      </c>
      <c r="K372" s="2266">
        <v>352232</v>
      </c>
      <c r="L372" s="2266">
        <v>333250</v>
      </c>
      <c r="M372" s="2266">
        <v>599</v>
      </c>
    </row>
    <row r="373" spans="1:13" ht="15">
      <c r="A373" s="2266" t="s">
        <v>4060</v>
      </c>
      <c r="B373" s="2465" t="str">
        <f>CONCATENATE(LEFT(RIGHT(CONCATENATE("000",IFAData_TEA_1617!A373),6),3),"-",(RIGHT(RIGHT(CONCATENATE("000",IFAData_TEA_1617!A373),6),3)))</f>
        <v>030-902</v>
      </c>
      <c r="C373" s="2266" t="s">
        <v>38</v>
      </c>
      <c r="D373" s="2266">
        <v>9</v>
      </c>
      <c r="E373" s="2266">
        <v>1702</v>
      </c>
      <c r="F373" s="2266" t="s">
        <v>5026</v>
      </c>
      <c r="G373" s="2266" t="s">
        <v>6928</v>
      </c>
      <c r="H373" s="2266">
        <v>342278</v>
      </c>
      <c r="I373" s="2266">
        <v>165390</v>
      </c>
      <c r="J373" s="2266">
        <v>0.36892952663078271</v>
      </c>
      <c r="K373" s="2266">
        <v>126276.46051613105</v>
      </c>
      <c r="L373" s="2266">
        <v>126276.46051613105</v>
      </c>
      <c r="M373" s="2266">
        <v>599</v>
      </c>
    </row>
    <row r="374" spans="1:13" ht="15">
      <c r="A374" s="2266" t="s">
        <v>4060</v>
      </c>
      <c r="B374" s="2465" t="str">
        <f>CONCATENATE(LEFT(RIGHT(CONCATENATE("000",IFAData_TEA_1617!A374),6),3),"-",(RIGHT(RIGHT(CONCATENATE("000",IFAData_TEA_1617!A374),6),3)))</f>
        <v>030-902</v>
      </c>
      <c r="C374" s="2266" t="s">
        <v>38</v>
      </c>
      <c r="D374" s="2266">
        <v>9</v>
      </c>
      <c r="E374" s="2266">
        <v>1702</v>
      </c>
      <c r="F374" s="2266" t="s">
        <v>5026</v>
      </c>
      <c r="G374" s="2266" t="s">
        <v>5026</v>
      </c>
      <c r="H374" s="2266">
        <v>342278</v>
      </c>
      <c r="I374" s="2266">
        <v>185811</v>
      </c>
      <c r="J374" s="2266">
        <v>0.41448191712190802</v>
      </c>
      <c r="K374" s="2266">
        <v>141868.04162865243</v>
      </c>
      <c r="L374" s="2266">
        <v>141868.04162865243</v>
      </c>
      <c r="M374" s="2266">
        <v>599</v>
      </c>
    </row>
    <row r="375" spans="1:13" ht="15">
      <c r="A375" s="2266" t="s">
        <v>4060</v>
      </c>
      <c r="B375" s="2465" t="str">
        <f>CONCATENATE(LEFT(RIGHT(CONCATENATE("000",IFAData_TEA_1617!A375),6),3),"-",(RIGHT(RIGHT(CONCATENATE("000",IFAData_TEA_1617!A375),6),3)))</f>
        <v>030-902</v>
      </c>
      <c r="C375" s="2266" t="s">
        <v>38</v>
      </c>
      <c r="D375" s="2266">
        <v>4</v>
      </c>
      <c r="E375" s="2266">
        <v>1703</v>
      </c>
      <c r="F375" s="2266" t="s">
        <v>5024</v>
      </c>
      <c r="G375" s="2266" t="s">
        <v>5024</v>
      </c>
      <c r="H375" s="2266">
        <v>375000</v>
      </c>
      <c r="I375" s="2266">
        <v>0</v>
      </c>
      <c r="J375" s="2266">
        <v>0</v>
      </c>
      <c r="K375" s="2266">
        <v>0</v>
      </c>
      <c r="L375" s="2266">
        <v>0</v>
      </c>
      <c r="M375" s="2266">
        <v>599</v>
      </c>
    </row>
    <row r="376" spans="1:13" ht="15">
      <c r="A376" s="2266" t="s">
        <v>4060</v>
      </c>
      <c r="B376" s="2465" t="str">
        <f>CONCATENATE(LEFT(RIGHT(CONCATENATE("000",IFAData_TEA_1617!A376),6),3),"-",(RIGHT(RIGHT(CONCATENATE("000",IFAData_TEA_1617!A376),6),3)))</f>
        <v>030-902</v>
      </c>
      <c r="C376" s="2266" t="s">
        <v>38</v>
      </c>
      <c r="D376" s="2266">
        <v>4</v>
      </c>
      <c r="E376" s="2266">
        <v>1703</v>
      </c>
      <c r="F376" s="2266" t="s">
        <v>5024</v>
      </c>
      <c r="G376" s="2266" t="s">
        <v>5025</v>
      </c>
      <c r="H376" s="2266">
        <v>375000</v>
      </c>
      <c r="I376" s="2266">
        <v>0</v>
      </c>
      <c r="J376" s="2266">
        <v>0</v>
      </c>
      <c r="K376" s="2266">
        <v>0</v>
      </c>
      <c r="L376" s="2266">
        <v>0</v>
      </c>
      <c r="M376" s="2266">
        <v>599</v>
      </c>
    </row>
    <row r="377" spans="1:13" ht="15">
      <c r="A377" s="2266" t="s">
        <v>4060</v>
      </c>
      <c r="B377" s="2465" t="str">
        <f>CONCATENATE(LEFT(RIGHT(CONCATENATE("000",IFAData_TEA_1617!A377),6),3),"-",(RIGHT(RIGHT(CONCATENATE("000",IFAData_TEA_1617!A377),6),3)))</f>
        <v>030-902</v>
      </c>
      <c r="C377" s="2266" t="s">
        <v>38</v>
      </c>
      <c r="D377" s="2266">
        <v>4</v>
      </c>
      <c r="E377" s="2266">
        <v>1703</v>
      </c>
      <c r="F377" s="2266" t="s">
        <v>5024</v>
      </c>
      <c r="G377" s="2266" t="s">
        <v>6927</v>
      </c>
      <c r="H377" s="2266">
        <v>375000</v>
      </c>
      <c r="I377" s="2266">
        <v>433021</v>
      </c>
      <c r="J377" s="2266">
        <v>1</v>
      </c>
      <c r="K377" s="2266">
        <v>375000</v>
      </c>
      <c r="L377" s="2266">
        <v>375000</v>
      </c>
      <c r="M377" s="2266">
        <v>599</v>
      </c>
    </row>
    <row r="378" spans="1:13" ht="15">
      <c r="A378" s="2266" t="s">
        <v>4060</v>
      </c>
      <c r="B378" s="2465" t="str">
        <f>CONCATENATE(LEFT(RIGHT(CONCATENATE("000",IFAData_TEA_1617!A378),6),3),"-",(RIGHT(RIGHT(CONCATENATE("000",IFAData_TEA_1617!A378),6),3)))</f>
        <v>030-902</v>
      </c>
      <c r="C378" s="2266" t="s">
        <v>38</v>
      </c>
      <c r="D378" s="2266">
        <v>9</v>
      </c>
      <c r="E378" s="2266">
        <v>1702</v>
      </c>
      <c r="F378" s="2266" t="s">
        <v>5026</v>
      </c>
      <c r="G378" s="2266" t="s">
        <v>6927</v>
      </c>
      <c r="H378" s="2266">
        <v>342278</v>
      </c>
      <c r="I378" s="2266">
        <v>97096</v>
      </c>
      <c r="J378" s="2266">
        <v>0.21658855624730927</v>
      </c>
      <c r="K378" s="2266">
        <v>74133.497855216527</v>
      </c>
      <c r="L378" s="2266">
        <v>74133.497855216527</v>
      </c>
      <c r="M378" s="2266">
        <v>599</v>
      </c>
    </row>
    <row r="379" spans="1:13" ht="15">
      <c r="A379" s="2266" t="s">
        <v>4061</v>
      </c>
      <c r="B379" s="2465" t="str">
        <f>CONCATENATE(LEFT(RIGHT(CONCATENATE("000",IFAData_TEA_1617!A379),6),3),"-",(RIGHT(RIGHT(CONCATENATE("000",IFAData_TEA_1617!A379),6),3)))</f>
        <v>030-903</v>
      </c>
      <c r="C379" s="2266" t="s">
        <v>1798</v>
      </c>
      <c r="D379" s="2266">
        <v>9</v>
      </c>
      <c r="E379" s="2266">
        <v>1589</v>
      </c>
      <c r="F379" s="2266" t="s">
        <v>5027</v>
      </c>
      <c r="G379" s="2266" t="s">
        <v>5027</v>
      </c>
      <c r="H379" s="2266">
        <v>94523</v>
      </c>
      <c r="I379" s="2266">
        <v>94320</v>
      </c>
      <c r="J379" s="2266">
        <v>1</v>
      </c>
      <c r="K379" s="2266">
        <v>94523</v>
      </c>
      <c r="L379" s="2266">
        <v>94320</v>
      </c>
      <c r="M379" s="2266">
        <v>599</v>
      </c>
    </row>
    <row r="380" spans="1:13" ht="15">
      <c r="A380" s="2266" t="s">
        <v>4062</v>
      </c>
      <c r="B380" s="2465" t="str">
        <f>CONCATENATE(LEFT(RIGHT(CONCATENATE("000",IFAData_TEA_1617!A380),6),3),"-",(RIGHT(RIGHT(CONCATENATE("000",IFAData_TEA_1617!A380),6),3)))</f>
        <v>031-901</v>
      </c>
      <c r="C380" s="2266" t="s">
        <v>3031</v>
      </c>
      <c r="D380" s="2266">
        <v>5</v>
      </c>
      <c r="E380" s="2266">
        <v>1643</v>
      </c>
      <c r="F380" s="2266" t="s">
        <v>5031</v>
      </c>
      <c r="G380" s="2266" t="s">
        <v>5031</v>
      </c>
      <c r="H380" s="2266">
        <v>3118521</v>
      </c>
      <c r="I380" s="2266">
        <v>0</v>
      </c>
      <c r="J380" s="2266">
        <v>0</v>
      </c>
      <c r="K380" s="2266">
        <v>0</v>
      </c>
      <c r="L380" s="2266">
        <v>0</v>
      </c>
      <c r="M380" s="2266">
        <v>599</v>
      </c>
    </row>
    <row r="381" spans="1:13" ht="15">
      <c r="A381" s="2266" t="s">
        <v>4062</v>
      </c>
      <c r="B381" s="2465" t="str">
        <f>CONCATENATE(LEFT(RIGHT(CONCATENATE("000",IFAData_TEA_1617!A381),6),3),"-",(RIGHT(RIGHT(CONCATENATE("000",IFAData_TEA_1617!A381),6),3)))</f>
        <v>031-901</v>
      </c>
      <c r="C381" s="2266" t="s">
        <v>3031</v>
      </c>
      <c r="D381" s="2266">
        <v>5</v>
      </c>
      <c r="E381" s="2266">
        <v>1643</v>
      </c>
      <c r="F381" s="2266" t="s">
        <v>5031</v>
      </c>
      <c r="G381" s="2266" t="s">
        <v>6929</v>
      </c>
      <c r="H381" s="2266">
        <v>3118521</v>
      </c>
      <c r="I381" s="2266">
        <v>0</v>
      </c>
      <c r="J381" s="2266">
        <v>0</v>
      </c>
      <c r="K381" s="2266">
        <v>0</v>
      </c>
      <c r="L381" s="2266">
        <v>0</v>
      </c>
      <c r="M381" s="2266">
        <v>599</v>
      </c>
    </row>
    <row r="382" spans="1:13" ht="15">
      <c r="A382" s="2266" t="s">
        <v>4062</v>
      </c>
      <c r="B382" s="2465" t="str">
        <f>CONCATENATE(LEFT(RIGHT(CONCATENATE("000",IFAData_TEA_1617!A382),6),3),"-",(RIGHT(RIGHT(CONCATENATE("000",IFAData_TEA_1617!A382),6),3)))</f>
        <v>031-901</v>
      </c>
      <c r="C382" s="2266" t="s">
        <v>3031</v>
      </c>
      <c r="D382" s="2266">
        <v>8</v>
      </c>
      <c r="E382" s="2266">
        <v>1644</v>
      </c>
      <c r="F382" s="2266" t="s">
        <v>5033</v>
      </c>
      <c r="G382" s="2266" t="s">
        <v>5032</v>
      </c>
      <c r="H382" s="2266">
        <v>9847713</v>
      </c>
      <c r="I382" s="2266">
        <v>9263925</v>
      </c>
      <c r="J382" s="2266">
        <v>1</v>
      </c>
      <c r="K382" s="2266">
        <v>9847713</v>
      </c>
      <c r="L382" s="2266">
        <v>9263925</v>
      </c>
      <c r="M382" s="2266">
        <v>599</v>
      </c>
    </row>
    <row r="383" spans="1:13" ht="15">
      <c r="A383" s="2266" t="s">
        <v>4062</v>
      </c>
      <c r="B383" s="2465" t="str">
        <f>CONCATENATE(LEFT(RIGHT(CONCATENATE("000",IFAData_TEA_1617!A383),6),3),"-",(RIGHT(RIGHT(CONCATENATE("000",IFAData_TEA_1617!A383),6),3)))</f>
        <v>031-901</v>
      </c>
      <c r="C383" s="2266" t="s">
        <v>3031</v>
      </c>
      <c r="D383" s="2266">
        <v>3</v>
      </c>
      <c r="E383" s="2266">
        <v>1642</v>
      </c>
      <c r="F383" s="2266" t="s">
        <v>5028</v>
      </c>
      <c r="G383" s="2266" t="s">
        <v>5029</v>
      </c>
      <c r="H383" s="2266">
        <v>2472263</v>
      </c>
      <c r="I383" s="2266">
        <v>0</v>
      </c>
      <c r="J383" s="2266">
        <v>0</v>
      </c>
      <c r="K383" s="2266">
        <v>0</v>
      </c>
      <c r="L383" s="2266">
        <v>0</v>
      </c>
      <c r="M383" s="2266">
        <v>599</v>
      </c>
    </row>
    <row r="384" spans="1:13" ht="15">
      <c r="A384" s="2266" t="s">
        <v>4062</v>
      </c>
      <c r="B384" s="2465" t="str">
        <f>CONCATENATE(LEFT(RIGHT(CONCATENATE("000",IFAData_TEA_1617!A384),6),3),"-",(RIGHT(RIGHT(CONCATENATE("000",IFAData_TEA_1617!A384),6),3)))</f>
        <v>031-901</v>
      </c>
      <c r="C384" s="2266" t="s">
        <v>3031</v>
      </c>
      <c r="D384" s="2266">
        <v>10</v>
      </c>
      <c r="E384" s="2266">
        <v>1638</v>
      </c>
      <c r="F384" s="2266" t="s">
        <v>5035</v>
      </c>
      <c r="G384" s="2266" t="s">
        <v>5035</v>
      </c>
      <c r="H384" s="2266">
        <v>414217</v>
      </c>
      <c r="I384" s="2266">
        <v>326748</v>
      </c>
      <c r="J384" s="2266">
        <v>1</v>
      </c>
      <c r="K384" s="2266">
        <v>414217</v>
      </c>
      <c r="L384" s="2266">
        <v>326748</v>
      </c>
      <c r="M384" s="2266">
        <v>199</v>
      </c>
    </row>
    <row r="385" spans="1:13" ht="15">
      <c r="A385" s="2266" t="s">
        <v>4062</v>
      </c>
      <c r="B385" s="2465" t="str">
        <f>CONCATENATE(LEFT(RIGHT(CONCATENATE("000",IFAData_TEA_1617!A385),6),3),"-",(RIGHT(RIGHT(CONCATENATE("000",IFAData_TEA_1617!A385),6),3)))</f>
        <v>031-901</v>
      </c>
      <c r="C385" s="2266" t="s">
        <v>3031</v>
      </c>
      <c r="D385" s="2266">
        <v>10</v>
      </c>
      <c r="E385" s="2266">
        <v>1639</v>
      </c>
      <c r="F385" s="2266" t="s">
        <v>5037</v>
      </c>
      <c r="G385" s="2266" t="s">
        <v>5037</v>
      </c>
      <c r="H385" s="2266">
        <v>427251</v>
      </c>
      <c r="I385" s="2266">
        <v>347082</v>
      </c>
      <c r="J385" s="2266">
        <v>1</v>
      </c>
      <c r="K385" s="2266">
        <v>427251</v>
      </c>
      <c r="L385" s="2266">
        <v>347082</v>
      </c>
      <c r="M385" s="2266">
        <v>199</v>
      </c>
    </row>
    <row r="386" spans="1:13" ht="15">
      <c r="A386" s="2266" t="s">
        <v>4062</v>
      </c>
      <c r="B386" s="2465" t="str">
        <f>CONCATENATE(LEFT(RIGHT(CONCATENATE("000",IFAData_TEA_1617!A386),6),3),"-",(RIGHT(RIGHT(CONCATENATE("000",IFAData_TEA_1617!A386),6),3)))</f>
        <v>031-901</v>
      </c>
      <c r="C386" s="2266" t="s">
        <v>3031</v>
      </c>
      <c r="D386" s="2266">
        <v>3</v>
      </c>
      <c r="E386" s="2266">
        <v>1642</v>
      </c>
      <c r="F386" s="2266" t="s">
        <v>5028</v>
      </c>
      <c r="G386" s="2266" t="s">
        <v>5030</v>
      </c>
      <c r="H386" s="2266">
        <v>2472263</v>
      </c>
      <c r="I386" s="2266">
        <v>2062072</v>
      </c>
      <c r="J386" s="2266">
        <v>0.8923350146611323</v>
      </c>
      <c r="K386" s="2266">
        <v>2206086.8403511751</v>
      </c>
      <c r="L386" s="2266">
        <v>2062072</v>
      </c>
      <c r="M386" s="2266">
        <v>599</v>
      </c>
    </row>
    <row r="387" spans="1:13" ht="15">
      <c r="A387" s="2266" t="s">
        <v>4062</v>
      </c>
      <c r="B387" s="2465" t="str">
        <f>CONCATENATE(LEFT(RIGHT(CONCATENATE("000",IFAData_TEA_1617!A387),6),3),"-",(RIGHT(RIGHT(CONCATENATE("000",IFAData_TEA_1617!A387),6),3)))</f>
        <v>031-901</v>
      </c>
      <c r="C387" s="2266" t="s">
        <v>3031</v>
      </c>
      <c r="D387" s="2266">
        <v>3</v>
      </c>
      <c r="E387" s="2266">
        <v>1642</v>
      </c>
      <c r="F387" s="2266" t="s">
        <v>5028</v>
      </c>
      <c r="G387" s="2266" t="s">
        <v>6929</v>
      </c>
      <c r="H387" s="2266">
        <v>2472263</v>
      </c>
      <c r="I387" s="2266">
        <v>248800</v>
      </c>
      <c r="J387" s="2266">
        <v>0.10766498533886776</v>
      </c>
      <c r="K387" s="2266">
        <v>266176.15964882524</v>
      </c>
      <c r="L387" s="2266">
        <v>248800</v>
      </c>
      <c r="M387" s="2266">
        <v>599</v>
      </c>
    </row>
    <row r="388" spans="1:13" ht="15">
      <c r="A388" s="2266" t="s">
        <v>4062</v>
      </c>
      <c r="B388" s="2465" t="str">
        <f>CONCATENATE(LEFT(RIGHT(CONCATENATE("000",IFAData_TEA_1617!A388),6),3),"-",(RIGHT(RIGHT(CONCATENATE("000",IFAData_TEA_1617!A388),6),3)))</f>
        <v>031-901</v>
      </c>
      <c r="C388" s="2266" t="s">
        <v>3031</v>
      </c>
      <c r="D388" s="2266">
        <v>5</v>
      </c>
      <c r="E388" s="2266">
        <v>1643</v>
      </c>
      <c r="F388" s="2266" t="s">
        <v>5031</v>
      </c>
      <c r="G388" s="2266" t="s">
        <v>5032</v>
      </c>
      <c r="H388" s="2266">
        <v>3118521</v>
      </c>
      <c r="I388" s="2266">
        <v>0</v>
      </c>
      <c r="J388" s="2266">
        <v>0</v>
      </c>
      <c r="K388" s="2266">
        <v>0</v>
      </c>
      <c r="L388" s="2266">
        <v>0</v>
      </c>
      <c r="M388" s="2266">
        <v>599</v>
      </c>
    </row>
    <row r="389" spans="1:13" ht="15">
      <c r="A389" s="2266" t="s">
        <v>4062</v>
      </c>
      <c r="B389" s="2465" t="str">
        <f>CONCATENATE(LEFT(RIGHT(CONCATENATE("000",IFAData_TEA_1617!A389),6),3),"-",(RIGHT(RIGHT(CONCATENATE("000",IFAData_TEA_1617!A389),6),3)))</f>
        <v>031-901</v>
      </c>
      <c r="C389" s="2266" t="s">
        <v>3031</v>
      </c>
      <c r="D389" s="2266">
        <v>5</v>
      </c>
      <c r="E389" s="2266">
        <v>1643</v>
      </c>
      <c r="F389" s="2266" t="s">
        <v>5031</v>
      </c>
      <c r="G389" s="2266" t="s">
        <v>5029</v>
      </c>
      <c r="H389" s="2266">
        <v>3118521</v>
      </c>
      <c r="I389" s="2266">
        <v>0</v>
      </c>
      <c r="J389" s="2266">
        <v>0</v>
      </c>
      <c r="K389" s="2266">
        <v>0</v>
      </c>
      <c r="L389" s="2266">
        <v>0</v>
      </c>
      <c r="M389" s="2266">
        <v>599</v>
      </c>
    </row>
    <row r="390" spans="1:13" ht="15">
      <c r="A390" s="2266" t="s">
        <v>4062</v>
      </c>
      <c r="B390" s="2465" t="str">
        <f>CONCATENATE(LEFT(RIGHT(CONCATENATE("000",IFAData_TEA_1617!A390),6),3),"-",(RIGHT(RIGHT(CONCATENATE("000",IFAData_TEA_1617!A390),6),3)))</f>
        <v>031-901</v>
      </c>
      <c r="C390" s="2266" t="s">
        <v>3031</v>
      </c>
      <c r="D390" s="2266">
        <v>10</v>
      </c>
      <c r="E390" s="2266">
        <v>1640</v>
      </c>
      <c r="F390" s="2266" t="s">
        <v>5036</v>
      </c>
      <c r="G390" s="2266" t="s">
        <v>5036</v>
      </c>
      <c r="H390" s="2266">
        <v>651339</v>
      </c>
      <c r="I390" s="2266">
        <v>544198</v>
      </c>
      <c r="J390" s="2266">
        <v>1</v>
      </c>
      <c r="K390" s="2266">
        <v>651339</v>
      </c>
      <c r="L390" s="2266">
        <v>544198</v>
      </c>
      <c r="M390" s="2266">
        <v>199</v>
      </c>
    </row>
    <row r="391" spans="1:13" ht="15">
      <c r="A391" s="2266" t="s">
        <v>4062</v>
      </c>
      <c r="B391" s="2465" t="str">
        <f>CONCATENATE(LEFT(RIGHT(CONCATENATE("000",IFAData_TEA_1617!A391),6),3),"-",(RIGHT(RIGHT(CONCATENATE("000",IFAData_TEA_1617!A391),6),3)))</f>
        <v>031-901</v>
      </c>
      <c r="C391" s="2266" t="s">
        <v>3031</v>
      </c>
      <c r="D391" s="2266">
        <v>8</v>
      </c>
      <c r="E391" s="2266">
        <v>1644</v>
      </c>
      <c r="F391" s="2266" t="s">
        <v>5033</v>
      </c>
      <c r="G391" s="2266" t="s">
        <v>5033</v>
      </c>
      <c r="H391" s="2266">
        <v>9847713</v>
      </c>
      <c r="I391" s="2266">
        <v>0</v>
      </c>
      <c r="J391" s="2266">
        <v>0</v>
      </c>
      <c r="K391" s="2266">
        <v>0</v>
      </c>
      <c r="L391" s="2266">
        <v>0</v>
      </c>
      <c r="M391" s="2266">
        <v>599</v>
      </c>
    </row>
    <row r="392" spans="1:13" ht="15">
      <c r="A392" s="2266" t="s">
        <v>4062</v>
      </c>
      <c r="B392" s="2465" t="str">
        <f>CONCATENATE(LEFT(RIGHT(CONCATENATE("000",IFAData_TEA_1617!A392),6),3),"-",(RIGHT(RIGHT(CONCATENATE("000",IFAData_TEA_1617!A392),6),3)))</f>
        <v>031-901</v>
      </c>
      <c r="C392" s="2266" t="s">
        <v>3031</v>
      </c>
      <c r="D392" s="2266">
        <v>10</v>
      </c>
      <c r="E392" s="2266">
        <v>1637</v>
      </c>
      <c r="F392" s="2266" t="s">
        <v>5038</v>
      </c>
      <c r="G392" s="2266" t="s">
        <v>5038</v>
      </c>
      <c r="H392" s="2266">
        <v>276579</v>
      </c>
      <c r="I392" s="2266">
        <v>198207</v>
      </c>
      <c r="J392" s="2266">
        <v>1</v>
      </c>
      <c r="K392" s="2266">
        <v>276579</v>
      </c>
      <c r="L392" s="2266">
        <v>198207</v>
      </c>
      <c r="M392" s="2266">
        <v>199</v>
      </c>
    </row>
    <row r="393" spans="1:13" ht="15">
      <c r="A393" s="2266" t="s">
        <v>4062</v>
      </c>
      <c r="B393" s="2465" t="str">
        <f>CONCATENATE(LEFT(RIGHT(CONCATENATE("000",IFAData_TEA_1617!A393),6),3),"-",(RIGHT(RIGHT(CONCATENATE("000",IFAData_TEA_1617!A393),6),3)))</f>
        <v>031-901</v>
      </c>
      <c r="C393" s="2266" t="s">
        <v>3031</v>
      </c>
      <c r="D393" s="2266">
        <v>3</v>
      </c>
      <c r="E393" s="2266">
        <v>1642</v>
      </c>
      <c r="F393" s="2266" t="s">
        <v>5028</v>
      </c>
      <c r="G393" s="2266" t="s">
        <v>5028</v>
      </c>
      <c r="H393" s="2266">
        <v>2472263</v>
      </c>
      <c r="I393" s="2266">
        <v>0</v>
      </c>
      <c r="J393" s="2266">
        <v>0</v>
      </c>
      <c r="K393" s="2266">
        <v>0</v>
      </c>
      <c r="L393" s="2266">
        <v>0</v>
      </c>
      <c r="M393" s="2266">
        <v>599</v>
      </c>
    </row>
    <row r="394" spans="1:13" ht="15">
      <c r="A394" s="2266" t="s">
        <v>4062</v>
      </c>
      <c r="B394" s="2465" t="str">
        <f>CONCATENATE(LEFT(RIGHT(CONCATENATE("000",IFAData_TEA_1617!A394),6),3),"-",(RIGHT(RIGHT(CONCATENATE("000",IFAData_TEA_1617!A394),6),3)))</f>
        <v>031-901</v>
      </c>
      <c r="C394" s="2266" t="s">
        <v>3031</v>
      </c>
      <c r="D394" s="2266">
        <v>10</v>
      </c>
      <c r="E394" s="2266">
        <v>1641</v>
      </c>
      <c r="F394" s="2266" t="s">
        <v>5034</v>
      </c>
      <c r="G394" s="2266" t="s">
        <v>5034</v>
      </c>
      <c r="H394" s="2266">
        <v>1323878</v>
      </c>
      <c r="I394" s="2266">
        <v>1206014</v>
      </c>
      <c r="J394" s="2266">
        <v>1</v>
      </c>
      <c r="K394" s="2266">
        <v>1323878</v>
      </c>
      <c r="L394" s="2266">
        <v>1206014</v>
      </c>
      <c r="M394" s="2266">
        <v>199</v>
      </c>
    </row>
    <row r="395" spans="1:13" ht="15">
      <c r="A395" s="2266" t="s">
        <v>4062</v>
      </c>
      <c r="B395" s="2465" t="str">
        <f>CONCATENATE(LEFT(RIGHT(CONCATENATE("000",IFAData_TEA_1617!A395),6),3),"-",(RIGHT(RIGHT(CONCATENATE("000",IFAData_TEA_1617!A395),6),3)))</f>
        <v>031-901</v>
      </c>
      <c r="C395" s="2266" t="s">
        <v>3031</v>
      </c>
      <c r="D395" s="2266">
        <v>5</v>
      </c>
      <c r="E395" s="2266">
        <v>1643</v>
      </c>
      <c r="F395" s="2266" t="s">
        <v>5031</v>
      </c>
      <c r="G395" s="2266" t="s">
        <v>5030</v>
      </c>
      <c r="H395" s="2266">
        <v>3118521</v>
      </c>
      <c r="I395" s="2266">
        <v>2435015</v>
      </c>
      <c r="J395" s="2266">
        <v>1</v>
      </c>
      <c r="K395" s="2266">
        <v>3118521</v>
      </c>
      <c r="L395" s="2266">
        <v>2435015</v>
      </c>
      <c r="M395" s="2266">
        <v>599</v>
      </c>
    </row>
    <row r="396" spans="1:13" ht="15">
      <c r="A396" s="2266" t="s">
        <v>4063</v>
      </c>
      <c r="B396" s="2465" t="str">
        <f>CONCATENATE(LEFT(RIGHT(CONCATENATE("000",IFAData_TEA_1617!A396),6),3),"-",(RIGHT(RIGHT(CONCATENATE("000",IFAData_TEA_1617!A396),6),3)))</f>
        <v>031-903</v>
      </c>
      <c r="C396" s="2266" t="s">
        <v>41</v>
      </c>
      <c r="D396" s="2266">
        <v>3</v>
      </c>
      <c r="E396" s="2266">
        <v>1872</v>
      </c>
      <c r="F396" s="2266" t="s">
        <v>5039</v>
      </c>
      <c r="G396" s="2266" t="s">
        <v>5040</v>
      </c>
      <c r="H396" s="2266">
        <v>3617370</v>
      </c>
      <c r="I396" s="2266">
        <v>0</v>
      </c>
      <c r="J396" s="2266">
        <v>0</v>
      </c>
      <c r="K396" s="2266">
        <v>0</v>
      </c>
      <c r="L396" s="2266">
        <v>0</v>
      </c>
      <c r="M396" s="2266">
        <v>599</v>
      </c>
    </row>
    <row r="397" spans="1:13" ht="15">
      <c r="A397" s="2266" t="s">
        <v>4063</v>
      </c>
      <c r="B397" s="2465" t="str">
        <f>CONCATENATE(LEFT(RIGHT(CONCATENATE("000",IFAData_TEA_1617!A397),6),3),"-",(RIGHT(RIGHT(CONCATENATE("000",IFAData_TEA_1617!A397),6),3)))</f>
        <v>031-903</v>
      </c>
      <c r="C397" s="2266" t="s">
        <v>41</v>
      </c>
      <c r="D397" s="2266">
        <v>5</v>
      </c>
      <c r="E397" s="2266">
        <v>1871</v>
      </c>
      <c r="F397" s="2266" t="s">
        <v>5041</v>
      </c>
      <c r="G397" s="2266" t="s">
        <v>5042</v>
      </c>
      <c r="H397" s="2266">
        <v>830941</v>
      </c>
      <c r="I397" s="2266">
        <v>749550</v>
      </c>
      <c r="J397" s="2266">
        <v>1</v>
      </c>
      <c r="K397" s="2266">
        <v>830941</v>
      </c>
      <c r="L397" s="2266">
        <v>749550</v>
      </c>
      <c r="M397" s="2266">
        <v>599</v>
      </c>
    </row>
    <row r="398" spans="1:13" ht="15">
      <c r="A398" s="2266" t="s">
        <v>4063</v>
      </c>
      <c r="B398" s="2465" t="str">
        <f>CONCATENATE(LEFT(RIGHT(CONCATENATE("000",IFAData_TEA_1617!A398),6),3),"-",(RIGHT(RIGHT(CONCATENATE("000",IFAData_TEA_1617!A398),6),3)))</f>
        <v>031-903</v>
      </c>
      <c r="C398" s="2266" t="s">
        <v>41</v>
      </c>
      <c r="D398" s="2266">
        <v>3</v>
      </c>
      <c r="E398" s="2266">
        <v>1872</v>
      </c>
      <c r="F398" s="2266" t="s">
        <v>5039</v>
      </c>
      <c r="G398" s="2266" t="s">
        <v>6930</v>
      </c>
      <c r="H398" s="2266">
        <v>3617370</v>
      </c>
      <c r="I398" s="2266">
        <v>2846816</v>
      </c>
      <c r="J398" s="2266">
        <v>1</v>
      </c>
      <c r="K398" s="2266">
        <v>3617370</v>
      </c>
      <c r="L398" s="2266">
        <v>2846816</v>
      </c>
      <c r="M398" s="2266">
        <v>599</v>
      </c>
    </row>
    <row r="399" spans="1:13" ht="15">
      <c r="A399" s="2266" t="s">
        <v>4063</v>
      </c>
      <c r="B399" s="2465" t="str">
        <f>CONCATENATE(LEFT(RIGHT(CONCATENATE("000",IFAData_TEA_1617!A399),6),3),"-",(RIGHT(RIGHT(CONCATENATE("000",IFAData_TEA_1617!A399),6),3)))</f>
        <v>031-903</v>
      </c>
      <c r="C399" s="2266" t="s">
        <v>41</v>
      </c>
      <c r="D399" s="2266">
        <v>5</v>
      </c>
      <c r="E399" s="2266">
        <v>1871</v>
      </c>
      <c r="F399" s="2266" t="s">
        <v>5041</v>
      </c>
      <c r="G399" s="2266" t="s">
        <v>5041</v>
      </c>
      <c r="H399" s="2266">
        <v>830941</v>
      </c>
      <c r="I399" s="2266">
        <v>0</v>
      </c>
      <c r="J399" s="2266">
        <v>0</v>
      </c>
      <c r="K399" s="2266">
        <v>0</v>
      </c>
      <c r="L399" s="2266">
        <v>0</v>
      </c>
      <c r="M399" s="2266">
        <v>599</v>
      </c>
    </row>
    <row r="400" spans="1:13" ht="15">
      <c r="A400" s="2266" t="s">
        <v>4063</v>
      </c>
      <c r="B400" s="2465" t="str">
        <f>CONCATENATE(LEFT(RIGHT(CONCATENATE("000",IFAData_TEA_1617!A400),6),3),"-",(RIGHT(RIGHT(CONCATENATE("000",IFAData_TEA_1617!A400),6),3)))</f>
        <v>031-903</v>
      </c>
      <c r="C400" s="2266" t="s">
        <v>41</v>
      </c>
      <c r="D400" s="2266">
        <v>9</v>
      </c>
      <c r="E400" s="2266">
        <v>1870</v>
      </c>
      <c r="F400" s="2266" t="s">
        <v>5043</v>
      </c>
      <c r="G400" s="2266" t="s">
        <v>5043</v>
      </c>
      <c r="H400" s="2266">
        <v>462864</v>
      </c>
      <c r="I400" s="2266">
        <v>453586</v>
      </c>
      <c r="J400" s="2266">
        <v>1</v>
      </c>
      <c r="K400" s="2266">
        <v>462864</v>
      </c>
      <c r="L400" s="2266">
        <v>453586</v>
      </c>
      <c r="M400" s="2266">
        <v>199</v>
      </c>
    </row>
    <row r="401" spans="1:13" ht="15">
      <c r="A401" s="2266" t="s">
        <v>4063</v>
      </c>
      <c r="B401" s="2465" t="str">
        <f>CONCATENATE(LEFT(RIGHT(CONCATENATE("000",IFAData_TEA_1617!A401),6),3),"-",(RIGHT(RIGHT(CONCATENATE("000",IFAData_TEA_1617!A401),6),3)))</f>
        <v>031-903</v>
      </c>
      <c r="C401" s="2266" t="s">
        <v>41</v>
      </c>
      <c r="D401" s="2266">
        <v>3</v>
      </c>
      <c r="E401" s="2266">
        <v>1872</v>
      </c>
      <c r="F401" s="2266" t="s">
        <v>5039</v>
      </c>
      <c r="G401" s="2266" t="s">
        <v>5039</v>
      </c>
      <c r="H401" s="2266">
        <v>3617370</v>
      </c>
      <c r="I401" s="2266">
        <v>0</v>
      </c>
      <c r="J401" s="2266">
        <v>0</v>
      </c>
      <c r="K401" s="2266">
        <v>0</v>
      </c>
      <c r="L401" s="2266">
        <v>0</v>
      </c>
      <c r="M401" s="2266">
        <v>599</v>
      </c>
    </row>
    <row r="402" spans="1:13" ht="15">
      <c r="A402" s="2266" t="s">
        <v>4063</v>
      </c>
      <c r="B402" s="2465" t="str">
        <f>CONCATENATE(LEFT(RIGHT(CONCATENATE("000",IFAData_TEA_1617!A402),6),3),"-",(RIGHT(RIGHT(CONCATENATE("000",IFAData_TEA_1617!A402),6),3)))</f>
        <v>031-903</v>
      </c>
      <c r="C402" s="2266" t="s">
        <v>41</v>
      </c>
      <c r="D402" s="2266">
        <v>10</v>
      </c>
      <c r="E402" s="2266">
        <v>1873</v>
      </c>
      <c r="F402" s="2266" t="s">
        <v>5044</v>
      </c>
      <c r="G402" s="2266" t="s">
        <v>5044</v>
      </c>
      <c r="H402" s="2266">
        <v>3813436</v>
      </c>
      <c r="I402" s="2266">
        <v>3886939</v>
      </c>
      <c r="J402" s="2266">
        <v>1</v>
      </c>
      <c r="K402" s="2266">
        <v>3813436</v>
      </c>
      <c r="L402" s="2266">
        <v>3813436</v>
      </c>
      <c r="M402" s="2266">
        <v>599</v>
      </c>
    </row>
    <row r="403" spans="1:13" ht="15">
      <c r="A403" s="2266" t="s">
        <v>4064</v>
      </c>
      <c r="B403" s="2465" t="str">
        <f>CONCATENATE(LEFT(RIGHT(CONCATENATE("000",IFAData_TEA_1617!A403),6),3),"-",(RIGHT(RIGHT(CONCATENATE("000",IFAData_TEA_1617!A403),6),3)))</f>
        <v>031-905</v>
      </c>
      <c r="C403" s="2266" t="s">
        <v>2148</v>
      </c>
      <c r="D403" s="2266">
        <v>8</v>
      </c>
      <c r="E403" s="2266">
        <v>1977</v>
      </c>
      <c r="F403" s="2266" t="s">
        <v>5052</v>
      </c>
      <c r="G403" s="2266" t="s">
        <v>6933</v>
      </c>
      <c r="H403" s="2266">
        <v>520989</v>
      </c>
      <c r="I403" s="2266">
        <v>167000</v>
      </c>
      <c r="J403" s="2266">
        <v>0.42820512820512818</v>
      </c>
      <c r="K403" s="2266">
        <v>223090.16153846151</v>
      </c>
      <c r="L403" s="2266">
        <v>167000</v>
      </c>
      <c r="M403" s="2266">
        <v>599</v>
      </c>
    </row>
    <row r="404" spans="1:13" ht="15">
      <c r="A404" s="2266" t="s">
        <v>4064</v>
      </c>
      <c r="B404" s="2465" t="str">
        <f>CONCATENATE(LEFT(RIGHT(CONCATENATE("000",IFAData_TEA_1617!A404),6),3),"-",(RIGHT(RIGHT(CONCATENATE("000",IFAData_TEA_1617!A404),6),3)))</f>
        <v>031-905</v>
      </c>
      <c r="C404" s="2266" t="s">
        <v>2148</v>
      </c>
      <c r="D404" s="2266">
        <v>3</v>
      </c>
      <c r="E404" s="2266">
        <v>1975</v>
      </c>
      <c r="F404" s="2266" t="s">
        <v>5047</v>
      </c>
      <c r="G404" s="2266" t="s">
        <v>6931</v>
      </c>
      <c r="H404" s="2266">
        <v>124856</v>
      </c>
      <c r="I404" s="2266">
        <v>109532</v>
      </c>
      <c r="J404" s="2266">
        <v>1</v>
      </c>
      <c r="K404" s="2266">
        <v>124856</v>
      </c>
      <c r="L404" s="2266">
        <v>109532</v>
      </c>
      <c r="M404" s="2266">
        <v>599</v>
      </c>
    </row>
    <row r="405" spans="1:13" ht="15">
      <c r="A405" s="2266" t="s">
        <v>4064</v>
      </c>
      <c r="B405" s="2465" t="str">
        <f>CONCATENATE(LEFT(RIGHT(CONCATENATE("000",IFAData_TEA_1617!A405),6),3),"-",(RIGHT(RIGHT(CONCATENATE("000",IFAData_TEA_1617!A405),6),3)))</f>
        <v>031-905</v>
      </c>
      <c r="C405" s="2266" t="s">
        <v>2148</v>
      </c>
      <c r="D405" s="2266">
        <v>3</v>
      </c>
      <c r="E405" s="2266">
        <v>1975</v>
      </c>
      <c r="F405" s="2266" t="s">
        <v>5047</v>
      </c>
      <c r="G405" s="2266" t="s">
        <v>5047</v>
      </c>
      <c r="H405" s="2266">
        <v>124856</v>
      </c>
      <c r="I405" s="2266">
        <v>0</v>
      </c>
      <c r="J405" s="2266">
        <v>0</v>
      </c>
      <c r="K405" s="2266">
        <v>0</v>
      </c>
      <c r="L405" s="2266">
        <v>0</v>
      </c>
      <c r="M405" s="2266">
        <v>199</v>
      </c>
    </row>
    <row r="406" spans="1:13" ht="15">
      <c r="A406" s="2266" t="s">
        <v>4064</v>
      </c>
      <c r="B406" s="2465" t="str">
        <f>CONCATENATE(LEFT(RIGHT(CONCATENATE("000",IFAData_TEA_1617!A406),6),3),"-",(RIGHT(RIGHT(CONCATENATE("000",IFAData_TEA_1617!A406),6),3)))</f>
        <v>031-905</v>
      </c>
      <c r="C406" s="2266" t="s">
        <v>2148</v>
      </c>
      <c r="D406" s="2266">
        <v>5</v>
      </c>
      <c r="E406" s="2266">
        <v>1979</v>
      </c>
      <c r="F406" s="2266" t="s">
        <v>5050</v>
      </c>
      <c r="G406" s="2266" t="s">
        <v>5048</v>
      </c>
      <c r="H406" s="2266">
        <v>562519</v>
      </c>
      <c r="I406" s="2266">
        <v>0</v>
      </c>
      <c r="J406" s="2266">
        <v>0</v>
      </c>
      <c r="K406" s="2266">
        <v>0</v>
      </c>
      <c r="L406" s="2266">
        <v>0</v>
      </c>
      <c r="M406" s="2266">
        <v>599</v>
      </c>
    </row>
    <row r="407" spans="1:13" ht="15">
      <c r="A407" s="2266" t="s">
        <v>4064</v>
      </c>
      <c r="B407" s="2465" t="str">
        <f>CONCATENATE(LEFT(RIGHT(CONCATENATE("000",IFAData_TEA_1617!A407),6),3),"-",(RIGHT(RIGHT(CONCATENATE("000",IFAData_TEA_1617!A407),6),3)))</f>
        <v>031-905</v>
      </c>
      <c r="C407" s="2266" t="s">
        <v>2148</v>
      </c>
      <c r="D407" s="2266">
        <v>3</v>
      </c>
      <c r="E407" s="2266">
        <v>1975</v>
      </c>
      <c r="F407" s="2266" t="s">
        <v>5047</v>
      </c>
      <c r="G407" s="2266" t="s">
        <v>5048</v>
      </c>
      <c r="H407" s="2266">
        <v>124856</v>
      </c>
      <c r="I407" s="2266">
        <v>0</v>
      </c>
      <c r="J407" s="2266">
        <v>0</v>
      </c>
      <c r="K407" s="2266">
        <v>0</v>
      </c>
      <c r="L407" s="2266">
        <v>0</v>
      </c>
      <c r="M407" s="2266">
        <v>599</v>
      </c>
    </row>
    <row r="408" spans="1:13" ht="15">
      <c r="A408" s="2266" t="s">
        <v>4064</v>
      </c>
      <c r="B408" s="2465" t="str">
        <f>CONCATENATE(LEFT(RIGHT(CONCATENATE("000",IFAData_TEA_1617!A408),6),3),"-",(RIGHT(RIGHT(CONCATENATE("000",IFAData_TEA_1617!A408),6),3)))</f>
        <v>031-905</v>
      </c>
      <c r="C408" s="2266" t="s">
        <v>2148</v>
      </c>
      <c r="D408" s="2266">
        <v>4</v>
      </c>
      <c r="E408" s="2266">
        <v>1976</v>
      </c>
      <c r="F408" s="2266" t="s">
        <v>5049</v>
      </c>
      <c r="G408" s="2266" t="s">
        <v>5049</v>
      </c>
      <c r="H408" s="2266">
        <v>159423</v>
      </c>
      <c r="I408" s="2266">
        <v>0</v>
      </c>
      <c r="J408" s="2266">
        <v>0</v>
      </c>
      <c r="K408" s="2266"/>
      <c r="L408" s="2266">
        <v>0</v>
      </c>
      <c r="M408" s="2266">
        <v>199</v>
      </c>
    </row>
    <row r="409" spans="1:13" ht="15">
      <c r="A409" s="2266" t="s">
        <v>4064</v>
      </c>
      <c r="B409" s="2465" t="str">
        <f>CONCATENATE(LEFT(RIGHT(CONCATENATE("000",IFAData_TEA_1617!A409),6),3),"-",(RIGHT(RIGHT(CONCATENATE("000",IFAData_TEA_1617!A409),6),3)))</f>
        <v>031-905</v>
      </c>
      <c r="C409" s="2266" t="s">
        <v>2148</v>
      </c>
      <c r="D409" s="2266">
        <v>1</v>
      </c>
      <c r="E409" s="2266">
        <v>1978</v>
      </c>
      <c r="F409" s="2266" t="s">
        <v>5045</v>
      </c>
      <c r="G409" s="2266" t="s">
        <v>5045</v>
      </c>
      <c r="H409" s="2266">
        <v>531801</v>
      </c>
      <c r="I409" s="2266">
        <v>0</v>
      </c>
      <c r="J409" s="2266">
        <v>0</v>
      </c>
      <c r="K409" s="2266">
        <v>0</v>
      </c>
      <c r="L409" s="2266">
        <v>0</v>
      </c>
      <c r="M409" s="2266">
        <v>599</v>
      </c>
    </row>
    <row r="410" spans="1:13" ht="15">
      <c r="A410" s="2266" t="s">
        <v>4064</v>
      </c>
      <c r="B410" s="2465" t="str">
        <f>CONCATENATE(LEFT(RIGHT(CONCATENATE("000",IFAData_TEA_1617!A410),6),3),"-",(RIGHT(RIGHT(CONCATENATE("000",IFAData_TEA_1617!A410),6),3)))</f>
        <v>031-905</v>
      </c>
      <c r="C410" s="2266" t="s">
        <v>2148</v>
      </c>
      <c r="D410" s="2266">
        <v>6</v>
      </c>
      <c r="E410" s="2266">
        <v>1974</v>
      </c>
      <c r="F410" s="2266" t="s">
        <v>5051</v>
      </c>
      <c r="G410" s="2266" t="s">
        <v>5048</v>
      </c>
      <c r="H410" s="2266">
        <v>89560</v>
      </c>
      <c r="I410" s="2266">
        <v>0</v>
      </c>
      <c r="J410" s="2266">
        <v>0</v>
      </c>
      <c r="K410" s="2266">
        <v>0</v>
      </c>
      <c r="L410" s="2266">
        <v>0</v>
      </c>
      <c r="M410" s="2266">
        <v>599</v>
      </c>
    </row>
    <row r="411" spans="1:13" ht="15">
      <c r="A411" s="2266" t="s">
        <v>4064</v>
      </c>
      <c r="B411" s="2465" t="str">
        <f>CONCATENATE(LEFT(RIGHT(CONCATENATE("000",IFAData_TEA_1617!A411),6),3),"-",(RIGHT(RIGHT(CONCATENATE("000",IFAData_TEA_1617!A411),6),3)))</f>
        <v>031-905</v>
      </c>
      <c r="C411" s="2266" t="s">
        <v>2148</v>
      </c>
      <c r="D411" s="2266">
        <v>5</v>
      </c>
      <c r="E411" s="2266">
        <v>1979</v>
      </c>
      <c r="F411" s="2266" t="s">
        <v>5050</v>
      </c>
      <c r="G411" s="2266" t="s">
        <v>6931</v>
      </c>
      <c r="H411" s="2266">
        <v>562519</v>
      </c>
      <c r="I411" s="2266">
        <v>457750</v>
      </c>
      <c r="J411" s="2266">
        <v>1</v>
      </c>
      <c r="K411" s="2266">
        <v>562519</v>
      </c>
      <c r="L411" s="2266">
        <v>457750</v>
      </c>
      <c r="M411" s="2266">
        <v>599</v>
      </c>
    </row>
    <row r="412" spans="1:13" ht="15">
      <c r="A412" s="2266" t="s">
        <v>4064</v>
      </c>
      <c r="B412" s="2465" t="str">
        <f>CONCATENATE(LEFT(RIGHT(CONCATENATE("000",IFAData_TEA_1617!A412),6),3),"-",(RIGHT(RIGHT(CONCATENATE("000",IFAData_TEA_1617!A412),6),3)))</f>
        <v>031-905</v>
      </c>
      <c r="C412" s="2266" t="s">
        <v>2148</v>
      </c>
      <c r="D412" s="2266">
        <v>1</v>
      </c>
      <c r="E412" s="2266">
        <v>1978</v>
      </c>
      <c r="F412" s="2266" t="s">
        <v>5045</v>
      </c>
      <c r="G412" s="2266" t="s">
        <v>5046</v>
      </c>
      <c r="H412" s="2266">
        <v>531801</v>
      </c>
      <c r="I412" s="2266">
        <v>501800</v>
      </c>
      <c r="J412" s="2266">
        <v>1</v>
      </c>
      <c r="K412" s="2266">
        <v>531801</v>
      </c>
      <c r="L412" s="2266">
        <v>501800</v>
      </c>
      <c r="M412" s="2266">
        <v>599</v>
      </c>
    </row>
    <row r="413" spans="1:13" ht="15">
      <c r="A413" s="2266" t="s">
        <v>4064</v>
      </c>
      <c r="B413" s="2465" t="str">
        <f>CONCATENATE(LEFT(RIGHT(CONCATENATE("000",IFAData_TEA_1617!A413),6),3),"-",(RIGHT(RIGHT(CONCATENATE("000",IFAData_TEA_1617!A413),6),3)))</f>
        <v>031-905</v>
      </c>
      <c r="C413" s="2266" t="s">
        <v>2148</v>
      </c>
      <c r="D413" s="2266">
        <v>8</v>
      </c>
      <c r="E413" s="2266">
        <v>1977</v>
      </c>
      <c r="F413" s="2266" t="s">
        <v>5052</v>
      </c>
      <c r="G413" s="2266" t="s">
        <v>6932</v>
      </c>
      <c r="H413" s="2266">
        <v>520989</v>
      </c>
      <c r="I413" s="2266">
        <v>223000</v>
      </c>
      <c r="J413" s="2266">
        <v>0.57179487179487176</v>
      </c>
      <c r="K413" s="2266">
        <v>297898.83846153843</v>
      </c>
      <c r="L413" s="2266">
        <v>223000</v>
      </c>
      <c r="M413" s="2266">
        <v>599</v>
      </c>
    </row>
    <row r="414" spans="1:13" ht="15">
      <c r="A414" s="2266" t="s">
        <v>4064</v>
      </c>
      <c r="B414" s="2465" t="str">
        <f>CONCATENATE(LEFT(RIGHT(CONCATENATE("000",IFAData_TEA_1617!A414),6),3),"-",(RIGHT(RIGHT(CONCATENATE("000",IFAData_TEA_1617!A414),6),3)))</f>
        <v>031-905</v>
      </c>
      <c r="C414" s="2266" t="s">
        <v>2148</v>
      </c>
      <c r="D414" s="2266">
        <v>6</v>
      </c>
      <c r="E414" s="2266">
        <v>1974</v>
      </c>
      <c r="F414" s="2266" t="s">
        <v>5051</v>
      </c>
      <c r="G414" s="2266" t="s">
        <v>5051</v>
      </c>
      <c r="H414" s="2266">
        <v>89560</v>
      </c>
      <c r="I414" s="2266">
        <v>0</v>
      </c>
      <c r="J414" s="2266">
        <v>0</v>
      </c>
      <c r="K414" s="2266">
        <v>0</v>
      </c>
      <c r="L414" s="2266">
        <v>0</v>
      </c>
      <c r="M414" s="2266">
        <v>199</v>
      </c>
    </row>
    <row r="415" spans="1:13" ht="15">
      <c r="A415" s="2266" t="s">
        <v>4064</v>
      </c>
      <c r="B415" s="2465" t="str">
        <f>CONCATENATE(LEFT(RIGHT(CONCATENATE("000",IFAData_TEA_1617!A415),6),3),"-",(RIGHT(RIGHT(CONCATENATE("000",IFAData_TEA_1617!A415),6),3)))</f>
        <v>031-905</v>
      </c>
      <c r="C415" s="2266" t="s">
        <v>2148</v>
      </c>
      <c r="D415" s="2266">
        <v>9</v>
      </c>
      <c r="E415" s="2266">
        <v>1980</v>
      </c>
      <c r="F415" s="2266" t="s">
        <v>5053</v>
      </c>
      <c r="G415" s="2266" t="s">
        <v>5053</v>
      </c>
      <c r="H415" s="2266">
        <v>790500</v>
      </c>
      <c r="I415" s="2266">
        <v>786125</v>
      </c>
      <c r="J415" s="2266">
        <v>1</v>
      </c>
      <c r="K415" s="2266">
        <v>790500</v>
      </c>
      <c r="L415" s="2266">
        <v>786125</v>
      </c>
      <c r="M415" s="2266">
        <v>599</v>
      </c>
    </row>
    <row r="416" spans="1:13" ht="15">
      <c r="A416" s="2266" t="s">
        <v>4064</v>
      </c>
      <c r="B416" s="2465" t="str">
        <f>CONCATENATE(LEFT(RIGHT(CONCATENATE("000",IFAData_TEA_1617!A416),6),3),"-",(RIGHT(RIGHT(CONCATENATE("000",IFAData_TEA_1617!A416),6),3)))</f>
        <v>031-905</v>
      </c>
      <c r="C416" s="2266" t="s">
        <v>2148</v>
      </c>
      <c r="D416" s="2266">
        <v>8</v>
      </c>
      <c r="E416" s="2266">
        <v>1977</v>
      </c>
      <c r="F416" s="2266" t="s">
        <v>5052</v>
      </c>
      <c r="G416" s="2266" t="s">
        <v>5052</v>
      </c>
      <c r="H416" s="2266">
        <v>520989</v>
      </c>
      <c r="I416" s="2266">
        <v>0</v>
      </c>
      <c r="J416" s="2266">
        <v>0</v>
      </c>
      <c r="K416" s="2266">
        <v>0</v>
      </c>
      <c r="L416" s="2266">
        <v>0</v>
      </c>
      <c r="M416" s="2266">
        <v>599</v>
      </c>
    </row>
    <row r="417" spans="1:13" ht="15">
      <c r="A417" s="2266" t="s">
        <v>4064</v>
      </c>
      <c r="B417" s="2465" t="str">
        <f>CONCATENATE(LEFT(RIGHT(CONCATENATE("000",IFAData_TEA_1617!A417),6),3),"-",(RIGHT(RIGHT(CONCATENATE("000",IFAData_TEA_1617!A417),6),3)))</f>
        <v>031-905</v>
      </c>
      <c r="C417" s="2266" t="s">
        <v>2148</v>
      </c>
      <c r="D417" s="2266">
        <v>6</v>
      </c>
      <c r="E417" s="2266">
        <v>1974</v>
      </c>
      <c r="F417" s="2266" t="s">
        <v>5051</v>
      </c>
      <c r="G417" s="2266" t="s">
        <v>6931</v>
      </c>
      <c r="H417" s="2266">
        <v>89560</v>
      </c>
      <c r="I417" s="2266">
        <v>79244</v>
      </c>
      <c r="J417" s="2266">
        <v>1</v>
      </c>
      <c r="K417" s="2266">
        <v>89560</v>
      </c>
      <c r="L417" s="2266">
        <v>79244</v>
      </c>
      <c r="M417" s="2266">
        <v>599</v>
      </c>
    </row>
    <row r="418" spans="1:13" ht="15">
      <c r="A418" s="2266" t="s">
        <v>4064</v>
      </c>
      <c r="B418" s="2465" t="str">
        <f>CONCATENATE(LEFT(RIGHT(CONCATENATE("000",IFAData_TEA_1617!A418),6),3),"-",(RIGHT(RIGHT(CONCATENATE("000",IFAData_TEA_1617!A418),6),3)))</f>
        <v>031-905</v>
      </c>
      <c r="C418" s="2266" t="s">
        <v>2148</v>
      </c>
      <c r="D418" s="2266">
        <v>5</v>
      </c>
      <c r="E418" s="2266">
        <v>1979</v>
      </c>
      <c r="F418" s="2266" t="s">
        <v>5050</v>
      </c>
      <c r="G418" s="2266" t="s">
        <v>5050</v>
      </c>
      <c r="H418" s="2266">
        <v>562519</v>
      </c>
      <c r="I418" s="2266">
        <v>0</v>
      </c>
      <c r="J418" s="2266">
        <v>0</v>
      </c>
      <c r="K418" s="2266">
        <v>0</v>
      </c>
      <c r="L418" s="2266">
        <v>0</v>
      </c>
      <c r="M418" s="2266">
        <v>199</v>
      </c>
    </row>
    <row r="419" spans="1:13" ht="15">
      <c r="A419" s="2266" t="s">
        <v>4065</v>
      </c>
      <c r="B419" s="2465" t="str">
        <f>CONCATENATE(LEFT(RIGHT(CONCATENATE("000",IFAData_TEA_1617!A419),6),3),"-",(RIGHT(RIGHT(CONCATENATE("000",IFAData_TEA_1617!A419),6),3)))</f>
        <v>031-906</v>
      </c>
      <c r="C419" s="2266" t="s">
        <v>43</v>
      </c>
      <c r="D419" s="2266">
        <v>1</v>
      </c>
      <c r="E419" s="2266">
        <v>2037</v>
      </c>
      <c r="F419" s="2266" t="s">
        <v>5054</v>
      </c>
      <c r="G419" s="2266" t="s">
        <v>7162</v>
      </c>
      <c r="H419" s="2266">
        <v>680974</v>
      </c>
      <c r="I419" s="2266">
        <v>265142</v>
      </c>
      <c r="J419" s="2266">
        <v>0.28744110613146695</v>
      </c>
      <c r="K419" s="2266">
        <v>195739.91980676958</v>
      </c>
      <c r="L419" s="2266">
        <v>195739.91980676958</v>
      </c>
      <c r="M419" s="2266">
        <v>599</v>
      </c>
    </row>
    <row r="420" spans="1:13" ht="15">
      <c r="A420" s="2266" t="s">
        <v>4065</v>
      </c>
      <c r="B420" s="2465" t="str">
        <f>CONCATENATE(LEFT(RIGHT(CONCATENATE("000",IFAData_TEA_1617!A420),6),3),"-",(RIGHT(RIGHT(CONCATENATE("000",IFAData_TEA_1617!A420),6),3)))</f>
        <v>031-906</v>
      </c>
      <c r="C420" s="2266" t="s">
        <v>43</v>
      </c>
      <c r="D420" s="2266">
        <v>4</v>
      </c>
      <c r="E420" s="2266">
        <v>2038</v>
      </c>
      <c r="F420" s="2266" t="s">
        <v>5056</v>
      </c>
      <c r="G420" s="2266" t="s">
        <v>5055</v>
      </c>
      <c r="H420" s="2266">
        <v>1668879</v>
      </c>
      <c r="I420" s="2266">
        <v>1579045</v>
      </c>
      <c r="J420" s="2266">
        <v>0.7008651598717085</v>
      </c>
      <c r="K420" s="2266">
        <v>1169659.1471415369</v>
      </c>
      <c r="L420" s="2266">
        <v>1169659.1471415369</v>
      </c>
      <c r="M420" s="2266">
        <v>599</v>
      </c>
    </row>
    <row r="421" spans="1:13" ht="15">
      <c r="A421" s="2266" t="s">
        <v>4065</v>
      </c>
      <c r="B421" s="2465" t="str">
        <f>CONCATENATE(LEFT(RIGHT(CONCATENATE("000",IFAData_TEA_1617!A421),6),3),"-",(RIGHT(RIGHT(CONCATENATE("000",IFAData_TEA_1617!A421),6),3)))</f>
        <v>031-906</v>
      </c>
      <c r="C421" s="2266" t="s">
        <v>43</v>
      </c>
      <c r="D421" s="2266">
        <v>8</v>
      </c>
      <c r="E421" s="2266">
        <v>2039</v>
      </c>
      <c r="F421" s="2266" t="s">
        <v>5057</v>
      </c>
      <c r="G421" s="2266" t="s">
        <v>5057</v>
      </c>
      <c r="H421" s="2266">
        <v>1935141</v>
      </c>
      <c r="I421" s="2266">
        <v>0</v>
      </c>
      <c r="J421" s="2266">
        <v>0</v>
      </c>
      <c r="K421" s="2266">
        <v>0</v>
      </c>
      <c r="L421" s="2266">
        <v>0</v>
      </c>
      <c r="M421" s="2266">
        <v>599</v>
      </c>
    </row>
    <row r="422" spans="1:13" ht="15">
      <c r="A422" s="2266" t="s">
        <v>4065</v>
      </c>
      <c r="B422" s="2465" t="str">
        <f>CONCATENATE(LEFT(RIGHT(CONCATENATE("000",IFAData_TEA_1617!A422),6),3),"-",(RIGHT(RIGHT(CONCATENATE("000",IFAData_TEA_1617!A422),6),3)))</f>
        <v>031-906</v>
      </c>
      <c r="C422" s="2266" t="s">
        <v>43</v>
      </c>
      <c r="D422" s="2266">
        <v>4</v>
      </c>
      <c r="E422" s="2266">
        <v>2038</v>
      </c>
      <c r="F422" s="2266" t="s">
        <v>5056</v>
      </c>
      <c r="G422" s="2266" t="s">
        <v>5056</v>
      </c>
      <c r="H422" s="2266">
        <v>1668879</v>
      </c>
      <c r="I422" s="2266">
        <v>0</v>
      </c>
      <c r="J422" s="2266">
        <v>0</v>
      </c>
      <c r="K422" s="2266">
        <v>0</v>
      </c>
      <c r="L422" s="2266">
        <v>0</v>
      </c>
      <c r="M422" s="2266">
        <v>599</v>
      </c>
    </row>
    <row r="423" spans="1:13" ht="15">
      <c r="A423" s="2266" t="s">
        <v>4065</v>
      </c>
      <c r="B423" s="2465" t="str">
        <f>CONCATENATE(LEFT(RIGHT(CONCATENATE("000",IFAData_TEA_1617!A423),6),3),"-",(RIGHT(RIGHT(CONCATENATE("000",IFAData_TEA_1617!A423),6),3)))</f>
        <v>031-906</v>
      </c>
      <c r="C423" s="2266" t="s">
        <v>43</v>
      </c>
      <c r="D423" s="2266">
        <v>8</v>
      </c>
      <c r="E423" s="2266">
        <v>2039</v>
      </c>
      <c r="F423" s="2266" t="s">
        <v>5057</v>
      </c>
      <c r="G423" s="2266" t="s">
        <v>7162</v>
      </c>
      <c r="H423" s="2266">
        <v>1935141</v>
      </c>
      <c r="I423" s="2266">
        <v>3331524</v>
      </c>
      <c r="J423" s="2266">
        <v>1</v>
      </c>
      <c r="K423" s="2266">
        <v>1935141</v>
      </c>
      <c r="L423" s="2266">
        <v>1935141</v>
      </c>
      <c r="M423" s="2266">
        <v>599</v>
      </c>
    </row>
    <row r="424" spans="1:13" ht="15">
      <c r="A424" s="2266" t="s">
        <v>4065</v>
      </c>
      <c r="B424" s="2465" t="str">
        <f>CONCATENATE(LEFT(RIGHT(CONCATENATE("000",IFAData_TEA_1617!A424),6),3),"-",(RIGHT(RIGHT(CONCATENATE("000",IFAData_TEA_1617!A424),6),3)))</f>
        <v>031-906</v>
      </c>
      <c r="C424" s="2266" t="s">
        <v>43</v>
      </c>
      <c r="D424" s="2266">
        <v>4</v>
      </c>
      <c r="E424" s="2266">
        <v>2038</v>
      </c>
      <c r="F424" s="2266" t="s">
        <v>5056</v>
      </c>
      <c r="G424" s="2266" t="s">
        <v>7162</v>
      </c>
      <c r="H424" s="2266">
        <v>1668879</v>
      </c>
      <c r="I424" s="2266">
        <v>673949</v>
      </c>
      <c r="J424" s="2266">
        <v>0.2991348401282915</v>
      </c>
      <c r="K424" s="2266">
        <v>499219.85285846301</v>
      </c>
      <c r="L424" s="2266">
        <v>499219.85285846301</v>
      </c>
      <c r="M424" s="2266">
        <v>599</v>
      </c>
    </row>
    <row r="425" spans="1:13" ht="15">
      <c r="A425" s="2266" t="s">
        <v>4065</v>
      </c>
      <c r="B425" s="2465" t="str">
        <f>CONCATENATE(LEFT(RIGHT(CONCATENATE("000",IFAData_TEA_1617!A425),6),3),"-",(RIGHT(RIGHT(CONCATENATE("000",IFAData_TEA_1617!A425),6),3)))</f>
        <v>031-906</v>
      </c>
      <c r="C425" s="2266" t="s">
        <v>43</v>
      </c>
      <c r="D425" s="2266">
        <v>1</v>
      </c>
      <c r="E425" s="2266">
        <v>2037</v>
      </c>
      <c r="F425" s="2266" t="s">
        <v>5054</v>
      </c>
      <c r="G425" s="2266" t="s">
        <v>5054</v>
      </c>
      <c r="H425" s="2266">
        <v>680974</v>
      </c>
      <c r="I425" s="2266">
        <v>0</v>
      </c>
      <c r="J425" s="2266">
        <v>0</v>
      </c>
      <c r="K425" s="2266">
        <v>0</v>
      </c>
      <c r="L425" s="2266">
        <v>0</v>
      </c>
      <c r="M425" s="2266">
        <v>599</v>
      </c>
    </row>
    <row r="426" spans="1:13" ht="15">
      <c r="A426" s="2266" t="s">
        <v>4065</v>
      </c>
      <c r="B426" s="2465" t="str">
        <f>CONCATENATE(LEFT(RIGHT(CONCATENATE("000",IFAData_TEA_1617!A426),6),3),"-",(RIGHT(RIGHT(CONCATENATE("000",IFAData_TEA_1617!A426),6),3)))</f>
        <v>031-906</v>
      </c>
      <c r="C426" s="2266" t="s">
        <v>43</v>
      </c>
      <c r="D426" s="2266">
        <v>1</v>
      </c>
      <c r="E426" s="2266">
        <v>2037</v>
      </c>
      <c r="F426" s="2266" t="s">
        <v>5054</v>
      </c>
      <c r="G426" s="2266" t="s">
        <v>5055</v>
      </c>
      <c r="H426" s="2266">
        <v>680974</v>
      </c>
      <c r="I426" s="2266">
        <v>657280</v>
      </c>
      <c r="J426" s="2266">
        <v>0.71255889386853311</v>
      </c>
      <c r="K426" s="2266">
        <v>485234.08019323047</v>
      </c>
      <c r="L426" s="2266">
        <v>485234.08019323047</v>
      </c>
      <c r="M426" s="2266">
        <v>599</v>
      </c>
    </row>
    <row r="427" spans="1:13" ht="15">
      <c r="A427" s="2266" t="s">
        <v>4066</v>
      </c>
      <c r="B427" s="2465" t="str">
        <f>CONCATENATE(LEFT(RIGHT(CONCATENATE("000",IFAData_TEA_1617!A427),6),3),"-",(RIGHT(RIGHT(CONCATENATE("000",IFAData_TEA_1617!A427),6),3)))</f>
        <v>031-911</v>
      </c>
      <c r="C427" s="2266" t="s">
        <v>3093</v>
      </c>
      <c r="D427" s="2266">
        <v>4</v>
      </c>
      <c r="E427" s="2266">
        <v>2247</v>
      </c>
      <c r="F427" s="2266" t="s">
        <v>5058</v>
      </c>
      <c r="G427" s="2266" t="s">
        <v>6934</v>
      </c>
      <c r="H427" s="2266">
        <v>501695</v>
      </c>
      <c r="I427" s="2266">
        <v>434625</v>
      </c>
      <c r="J427" s="2266">
        <v>1</v>
      </c>
      <c r="K427" s="2266">
        <v>501695</v>
      </c>
      <c r="L427" s="2266">
        <v>434625</v>
      </c>
      <c r="M427" s="2266">
        <v>599</v>
      </c>
    </row>
    <row r="428" spans="1:13" ht="15">
      <c r="A428" s="2266" t="s">
        <v>4066</v>
      </c>
      <c r="B428" s="2465" t="str">
        <f>CONCATENATE(LEFT(RIGHT(CONCATENATE("000",IFAData_TEA_1617!A428),6),3),"-",(RIGHT(RIGHT(CONCATENATE("000",IFAData_TEA_1617!A428),6),3)))</f>
        <v>031-911</v>
      </c>
      <c r="C428" s="2266" t="s">
        <v>3093</v>
      </c>
      <c r="D428" s="2266">
        <v>4</v>
      </c>
      <c r="E428" s="2266">
        <v>2247</v>
      </c>
      <c r="F428" s="2266" t="s">
        <v>5058</v>
      </c>
      <c r="G428" s="2266" t="s">
        <v>5058</v>
      </c>
      <c r="H428" s="2266">
        <v>501695</v>
      </c>
      <c r="I428" s="2266">
        <v>0</v>
      </c>
      <c r="J428" s="2266">
        <v>0</v>
      </c>
      <c r="K428" s="2266">
        <v>0</v>
      </c>
      <c r="L428" s="2266">
        <v>0</v>
      </c>
      <c r="M428" s="2266">
        <v>599</v>
      </c>
    </row>
    <row r="429" spans="1:13" ht="15">
      <c r="A429" s="2266" t="s">
        <v>4066</v>
      </c>
      <c r="B429" s="2465" t="str">
        <f>CONCATENATE(LEFT(RIGHT(CONCATENATE("000",IFAData_TEA_1617!A429),6),3),"-",(RIGHT(RIGHT(CONCATENATE("000",IFAData_TEA_1617!A429),6),3)))</f>
        <v>031-911</v>
      </c>
      <c r="C429" s="2266" t="s">
        <v>3093</v>
      </c>
      <c r="D429" s="2266">
        <v>5</v>
      </c>
      <c r="E429" s="2266">
        <v>2246</v>
      </c>
      <c r="F429" s="2266" t="s">
        <v>5060</v>
      </c>
      <c r="G429" s="2266" t="s">
        <v>5061</v>
      </c>
      <c r="H429" s="2266">
        <v>476290</v>
      </c>
      <c r="I429" s="2266">
        <v>0</v>
      </c>
      <c r="J429" s="2266">
        <v>0</v>
      </c>
      <c r="K429" s="2266">
        <v>0</v>
      </c>
      <c r="L429" s="2266">
        <v>0</v>
      </c>
      <c r="M429" s="2266">
        <v>599</v>
      </c>
    </row>
    <row r="430" spans="1:13" ht="15">
      <c r="A430" s="2266" t="s">
        <v>4066</v>
      </c>
      <c r="B430" s="2465" t="str">
        <f>CONCATENATE(LEFT(RIGHT(CONCATENATE("000",IFAData_TEA_1617!A430),6),3),"-",(RIGHT(RIGHT(CONCATENATE("000",IFAData_TEA_1617!A430),6),3)))</f>
        <v>031-911</v>
      </c>
      <c r="C430" s="2266" t="s">
        <v>3093</v>
      </c>
      <c r="D430" s="2266">
        <v>8</v>
      </c>
      <c r="E430" s="2266">
        <v>2245</v>
      </c>
      <c r="F430" s="2266" t="s">
        <v>5062</v>
      </c>
      <c r="G430" s="2266" t="s">
        <v>5062</v>
      </c>
      <c r="H430" s="2266">
        <v>262428</v>
      </c>
      <c r="I430" s="2266">
        <v>259525</v>
      </c>
      <c r="J430" s="2266">
        <v>1</v>
      </c>
      <c r="K430" s="2266">
        <v>262428</v>
      </c>
      <c r="L430" s="2266">
        <v>259525</v>
      </c>
      <c r="M430" s="2266">
        <v>599</v>
      </c>
    </row>
    <row r="431" spans="1:13" ht="15">
      <c r="A431" s="2266" t="s">
        <v>4066</v>
      </c>
      <c r="B431" s="2465" t="str">
        <f>CONCATENATE(LEFT(RIGHT(CONCATENATE("000",IFAData_TEA_1617!A431),6),3),"-",(RIGHT(RIGHT(CONCATENATE("000",IFAData_TEA_1617!A431),6),3)))</f>
        <v>031-911</v>
      </c>
      <c r="C431" s="2266" t="s">
        <v>3093</v>
      </c>
      <c r="D431" s="2266">
        <v>5</v>
      </c>
      <c r="E431" s="2266">
        <v>2246</v>
      </c>
      <c r="F431" s="2266" t="s">
        <v>5060</v>
      </c>
      <c r="G431" s="2266" t="s">
        <v>5060</v>
      </c>
      <c r="H431" s="2266">
        <v>476290</v>
      </c>
      <c r="I431" s="2266">
        <v>0</v>
      </c>
      <c r="J431" s="2266">
        <v>0</v>
      </c>
      <c r="K431" s="2266">
        <v>0</v>
      </c>
      <c r="L431" s="2266">
        <v>0</v>
      </c>
      <c r="M431" s="2266">
        <v>599</v>
      </c>
    </row>
    <row r="432" spans="1:13" ht="15">
      <c r="A432" s="2266" t="s">
        <v>4066</v>
      </c>
      <c r="B432" s="2465" t="str">
        <f>CONCATENATE(LEFT(RIGHT(CONCATENATE("000",IFAData_TEA_1617!A432),6),3),"-",(RIGHT(RIGHT(CONCATENATE("000",IFAData_TEA_1617!A432),6),3)))</f>
        <v>031-911</v>
      </c>
      <c r="C432" s="2266" t="s">
        <v>3093</v>
      </c>
      <c r="D432" s="2266">
        <v>5</v>
      </c>
      <c r="E432" s="2266">
        <v>2246</v>
      </c>
      <c r="F432" s="2266" t="s">
        <v>5060</v>
      </c>
      <c r="G432" s="2266" t="s">
        <v>7163</v>
      </c>
      <c r="H432" s="2266">
        <v>476290</v>
      </c>
      <c r="I432" s="2266">
        <v>411100</v>
      </c>
      <c r="J432" s="2266">
        <v>1</v>
      </c>
      <c r="K432" s="2266">
        <v>476290</v>
      </c>
      <c r="L432" s="2266">
        <v>411100</v>
      </c>
      <c r="M432" s="2266">
        <v>599</v>
      </c>
    </row>
    <row r="433" spans="1:13" ht="15">
      <c r="A433" s="2266" t="s">
        <v>4066</v>
      </c>
      <c r="B433" s="2465" t="str">
        <f>CONCATENATE(LEFT(RIGHT(CONCATENATE("000",IFAData_TEA_1617!A433),6),3),"-",(RIGHT(RIGHT(CONCATENATE("000",IFAData_TEA_1617!A433),6),3)))</f>
        <v>031-911</v>
      </c>
      <c r="C433" s="2266" t="s">
        <v>3093</v>
      </c>
      <c r="D433" s="2266">
        <v>4</v>
      </c>
      <c r="E433" s="2266">
        <v>2247</v>
      </c>
      <c r="F433" s="2266" t="s">
        <v>5058</v>
      </c>
      <c r="G433" s="2266" t="s">
        <v>5059</v>
      </c>
      <c r="H433" s="2266">
        <v>501695</v>
      </c>
      <c r="I433" s="2266">
        <v>0</v>
      </c>
      <c r="J433" s="2266">
        <v>0</v>
      </c>
      <c r="K433" s="2266">
        <v>0</v>
      </c>
      <c r="L433" s="2266">
        <v>0</v>
      </c>
      <c r="M433" s="2266">
        <v>599</v>
      </c>
    </row>
    <row r="434" spans="1:13" ht="15">
      <c r="A434" s="2266" t="s">
        <v>4067</v>
      </c>
      <c r="B434" s="2465" t="str">
        <f>CONCATENATE(LEFT(RIGHT(CONCATENATE("000",IFAData_TEA_1617!A434),6),3),"-",(RIGHT(RIGHT(CONCATENATE("000",IFAData_TEA_1617!A434),6),3)))</f>
        <v>031-912</v>
      </c>
      <c r="C434" s="2266" t="s">
        <v>46</v>
      </c>
      <c r="D434" s="2266">
        <v>4</v>
      </c>
      <c r="E434" s="2266">
        <v>2285</v>
      </c>
      <c r="F434" s="2266" t="s">
        <v>5065</v>
      </c>
      <c r="G434" s="2266" t="s">
        <v>5065</v>
      </c>
      <c r="H434" s="2266">
        <v>1943392</v>
      </c>
      <c r="I434" s="2266">
        <v>0</v>
      </c>
      <c r="J434" s="2266">
        <v>0</v>
      </c>
      <c r="K434" s="2266">
        <v>0</v>
      </c>
      <c r="L434" s="2266">
        <v>0</v>
      </c>
      <c r="M434" s="2266">
        <v>599</v>
      </c>
    </row>
    <row r="435" spans="1:13" ht="15">
      <c r="A435" s="2266" t="s">
        <v>4067</v>
      </c>
      <c r="B435" s="2465" t="str">
        <f>CONCATENATE(LEFT(RIGHT(CONCATENATE("000",IFAData_TEA_1617!A435),6),3),"-",(RIGHT(RIGHT(CONCATENATE("000",IFAData_TEA_1617!A435),6),3)))</f>
        <v>031-912</v>
      </c>
      <c r="C435" s="2266" t="s">
        <v>46</v>
      </c>
      <c r="D435" s="2266">
        <v>7</v>
      </c>
      <c r="E435" s="2266">
        <v>2286</v>
      </c>
      <c r="F435" s="2266" t="s">
        <v>5067</v>
      </c>
      <c r="G435" s="2266" t="s">
        <v>5069</v>
      </c>
      <c r="H435" s="2266">
        <v>2335517</v>
      </c>
      <c r="I435" s="2266">
        <v>0</v>
      </c>
      <c r="J435" s="2266">
        <v>0</v>
      </c>
      <c r="K435" s="2266">
        <v>0</v>
      </c>
      <c r="L435" s="2266">
        <v>0</v>
      </c>
      <c r="M435" s="2266">
        <v>599</v>
      </c>
    </row>
    <row r="436" spans="1:13" ht="15">
      <c r="A436" s="2266" t="s">
        <v>4067</v>
      </c>
      <c r="B436" s="2465" t="str">
        <f>CONCATENATE(LEFT(RIGHT(CONCATENATE("000",IFAData_TEA_1617!A436),6),3),"-",(RIGHT(RIGHT(CONCATENATE("000",IFAData_TEA_1617!A436),6),3)))</f>
        <v>031-912</v>
      </c>
      <c r="C436" s="2266" t="s">
        <v>46</v>
      </c>
      <c r="D436" s="2266">
        <v>7</v>
      </c>
      <c r="E436" s="2266">
        <v>2286</v>
      </c>
      <c r="F436" s="2266" t="s">
        <v>5067</v>
      </c>
      <c r="G436" s="2266" t="s">
        <v>5068</v>
      </c>
      <c r="H436" s="2266">
        <v>2335517</v>
      </c>
      <c r="I436" s="2266">
        <v>352850</v>
      </c>
      <c r="J436" s="2266">
        <v>1</v>
      </c>
      <c r="K436" s="2266">
        <v>2335517</v>
      </c>
      <c r="L436" s="2266">
        <v>352850</v>
      </c>
      <c r="M436" s="2266">
        <v>599</v>
      </c>
    </row>
    <row r="437" spans="1:13" ht="15">
      <c r="A437" s="2266" t="s">
        <v>4067</v>
      </c>
      <c r="B437" s="2465" t="str">
        <f>CONCATENATE(LEFT(RIGHT(CONCATENATE("000",IFAData_TEA_1617!A437),6),3),"-",(RIGHT(RIGHT(CONCATENATE("000",IFAData_TEA_1617!A437),6),3)))</f>
        <v>031-912</v>
      </c>
      <c r="C437" s="2266" t="s">
        <v>46</v>
      </c>
      <c r="D437" s="2266">
        <v>9</v>
      </c>
      <c r="E437" s="2266">
        <v>2287</v>
      </c>
      <c r="F437" s="2266" t="s">
        <v>5070</v>
      </c>
      <c r="G437" s="2266" t="s">
        <v>7164</v>
      </c>
      <c r="H437" s="2266">
        <v>2359625</v>
      </c>
      <c r="I437" s="2266">
        <v>2079500</v>
      </c>
      <c r="J437" s="2266">
        <v>1</v>
      </c>
      <c r="K437" s="2266">
        <v>2359625</v>
      </c>
      <c r="L437" s="2266">
        <v>2079500</v>
      </c>
      <c r="M437" s="2266">
        <v>599</v>
      </c>
    </row>
    <row r="438" spans="1:13" ht="15">
      <c r="A438" s="2266" t="s">
        <v>4067</v>
      </c>
      <c r="B438" s="2465" t="str">
        <f>CONCATENATE(LEFT(RIGHT(CONCATENATE("000",IFAData_TEA_1617!A438),6),3),"-",(RIGHT(RIGHT(CONCATENATE("000",IFAData_TEA_1617!A438),6),3)))</f>
        <v>031-912</v>
      </c>
      <c r="C438" s="2266" t="s">
        <v>46</v>
      </c>
      <c r="D438" s="2266">
        <v>2</v>
      </c>
      <c r="E438" s="2266">
        <v>2284</v>
      </c>
      <c r="F438" s="2266" t="s">
        <v>5063</v>
      </c>
      <c r="G438" s="2266" t="s">
        <v>5064</v>
      </c>
      <c r="H438" s="2266">
        <v>1925904</v>
      </c>
      <c r="I438" s="2266">
        <v>0</v>
      </c>
      <c r="J438" s="2266">
        <v>0</v>
      </c>
      <c r="K438" s="2266">
        <v>0</v>
      </c>
      <c r="L438" s="2266">
        <v>0</v>
      </c>
      <c r="M438" s="2266">
        <v>599</v>
      </c>
    </row>
    <row r="439" spans="1:13" ht="15">
      <c r="A439" s="2266" t="s">
        <v>4067</v>
      </c>
      <c r="B439" s="2465" t="str">
        <f>CONCATENATE(LEFT(RIGHT(CONCATENATE("000",IFAData_TEA_1617!A439),6),3),"-",(RIGHT(RIGHT(CONCATENATE("000",IFAData_TEA_1617!A439),6),3)))</f>
        <v>031-912</v>
      </c>
      <c r="C439" s="2266" t="s">
        <v>46</v>
      </c>
      <c r="D439" s="2266">
        <v>4</v>
      </c>
      <c r="E439" s="2266">
        <v>2285</v>
      </c>
      <c r="F439" s="2266" t="s">
        <v>5065</v>
      </c>
      <c r="G439" s="2266" t="s">
        <v>5064</v>
      </c>
      <c r="H439" s="2266">
        <v>1943392</v>
      </c>
      <c r="I439" s="2266">
        <v>0</v>
      </c>
      <c r="J439" s="2266">
        <v>0</v>
      </c>
      <c r="K439" s="2266">
        <v>0</v>
      </c>
      <c r="L439" s="2266">
        <v>0</v>
      </c>
      <c r="M439" s="2266">
        <v>599</v>
      </c>
    </row>
    <row r="440" spans="1:13" ht="15">
      <c r="A440" s="2266" t="s">
        <v>4067</v>
      </c>
      <c r="B440" s="2465" t="str">
        <f>CONCATENATE(LEFT(RIGHT(CONCATENATE("000",IFAData_TEA_1617!A440),6),3),"-",(RIGHT(RIGHT(CONCATENATE("000",IFAData_TEA_1617!A440),6),3)))</f>
        <v>031-912</v>
      </c>
      <c r="C440" s="2266" t="s">
        <v>46</v>
      </c>
      <c r="D440" s="2266">
        <v>4</v>
      </c>
      <c r="E440" s="2266">
        <v>2285</v>
      </c>
      <c r="F440" s="2266" t="s">
        <v>5065</v>
      </c>
      <c r="G440" s="2266" t="s">
        <v>5066</v>
      </c>
      <c r="H440" s="2266">
        <v>1943392</v>
      </c>
      <c r="I440" s="2266">
        <v>1292075</v>
      </c>
      <c r="J440" s="2266">
        <v>0.7113195643365513</v>
      </c>
      <c r="K440" s="2266">
        <v>1382372.7507751391</v>
      </c>
      <c r="L440" s="2266">
        <v>1292075</v>
      </c>
      <c r="M440" s="2266">
        <v>599</v>
      </c>
    </row>
    <row r="441" spans="1:13" ht="15">
      <c r="A441" s="2266" t="s">
        <v>4067</v>
      </c>
      <c r="B441" s="2465" t="str">
        <f>CONCATENATE(LEFT(RIGHT(CONCATENATE("000",IFAData_TEA_1617!A441),6),3),"-",(RIGHT(RIGHT(CONCATENATE("000",IFAData_TEA_1617!A441),6),3)))</f>
        <v>031-912</v>
      </c>
      <c r="C441" s="2266" t="s">
        <v>46</v>
      </c>
      <c r="D441" s="2266">
        <v>4</v>
      </c>
      <c r="E441" s="2266">
        <v>2285</v>
      </c>
      <c r="F441" s="2266" t="s">
        <v>5065</v>
      </c>
      <c r="G441" s="2266" t="s">
        <v>6935</v>
      </c>
      <c r="H441" s="2266">
        <v>1943392</v>
      </c>
      <c r="I441" s="2266">
        <v>524373</v>
      </c>
      <c r="J441" s="2266">
        <v>0.28868043566344864</v>
      </c>
      <c r="K441" s="2266">
        <v>561019.2492248608</v>
      </c>
      <c r="L441" s="2266">
        <v>524373</v>
      </c>
      <c r="M441" s="2266">
        <v>599</v>
      </c>
    </row>
    <row r="442" spans="1:13" ht="15">
      <c r="A442" s="2266" t="s">
        <v>4067</v>
      </c>
      <c r="B442" s="2465" t="str">
        <f>CONCATENATE(LEFT(RIGHT(CONCATENATE("000",IFAData_TEA_1617!A442),6),3),"-",(RIGHT(RIGHT(CONCATENATE("000",IFAData_TEA_1617!A442),6),3)))</f>
        <v>031-912</v>
      </c>
      <c r="C442" s="2266" t="s">
        <v>46</v>
      </c>
      <c r="D442" s="2266">
        <v>7</v>
      </c>
      <c r="E442" s="2266">
        <v>2286</v>
      </c>
      <c r="F442" s="2266" t="s">
        <v>5067</v>
      </c>
      <c r="G442" s="2266" t="s">
        <v>5067</v>
      </c>
      <c r="H442" s="2266">
        <v>2335517</v>
      </c>
      <c r="I442" s="2266">
        <v>0</v>
      </c>
      <c r="J442" s="2266">
        <v>0</v>
      </c>
      <c r="K442" s="2266">
        <v>0</v>
      </c>
      <c r="L442" s="2266">
        <v>0</v>
      </c>
      <c r="M442" s="2266">
        <v>599</v>
      </c>
    </row>
    <row r="443" spans="1:13" ht="15">
      <c r="A443" s="2266" t="s">
        <v>4067</v>
      </c>
      <c r="B443" s="2465" t="str">
        <f>CONCATENATE(LEFT(RIGHT(CONCATENATE("000",IFAData_TEA_1617!A443),6),3),"-",(RIGHT(RIGHT(CONCATENATE("000",IFAData_TEA_1617!A443),6),3)))</f>
        <v>031-912</v>
      </c>
      <c r="C443" s="2266" t="s">
        <v>46</v>
      </c>
      <c r="D443" s="2266">
        <v>2</v>
      </c>
      <c r="E443" s="2266">
        <v>2284</v>
      </c>
      <c r="F443" s="2266" t="s">
        <v>5063</v>
      </c>
      <c r="G443" s="2266" t="s">
        <v>5063</v>
      </c>
      <c r="H443" s="2266">
        <v>1925904</v>
      </c>
      <c r="I443" s="2266">
        <v>0</v>
      </c>
      <c r="J443" s="2266">
        <v>0</v>
      </c>
      <c r="K443" s="2266">
        <v>0</v>
      </c>
      <c r="L443" s="2266">
        <v>0</v>
      </c>
      <c r="M443" s="2266">
        <v>599</v>
      </c>
    </row>
    <row r="444" spans="1:13" ht="15">
      <c r="A444" s="2266" t="s">
        <v>4067</v>
      </c>
      <c r="B444" s="2465" t="str">
        <f>CONCATENATE(LEFT(RIGHT(CONCATENATE("000",IFAData_TEA_1617!A444),6),3),"-",(RIGHT(RIGHT(CONCATENATE("000",IFAData_TEA_1617!A444),6),3)))</f>
        <v>031-912</v>
      </c>
      <c r="C444" s="2266" t="s">
        <v>46</v>
      </c>
      <c r="D444" s="2266">
        <v>2</v>
      </c>
      <c r="E444" s="2266">
        <v>2284</v>
      </c>
      <c r="F444" s="2266" t="s">
        <v>5063</v>
      </c>
      <c r="G444" s="2266" t="s">
        <v>6935</v>
      </c>
      <c r="H444" s="2266">
        <v>1925904</v>
      </c>
      <c r="I444" s="2266">
        <v>1596388</v>
      </c>
      <c r="J444" s="2266">
        <v>1</v>
      </c>
      <c r="K444" s="2266">
        <v>1925904</v>
      </c>
      <c r="L444" s="2266">
        <v>1596388</v>
      </c>
      <c r="M444" s="2266">
        <v>599</v>
      </c>
    </row>
    <row r="445" spans="1:13" ht="15">
      <c r="A445" s="2266" t="s">
        <v>4067</v>
      </c>
      <c r="B445" s="2465" t="str">
        <f>CONCATENATE(LEFT(RIGHT(CONCATENATE("000",IFAData_TEA_1617!A445),6),3),"-",(RIGHT(RIGHT(CONCATENATE("000",IFAData_TEA_1617!A445),6),3)))</f>
        <v>031-912</v>
      </c>
      <c r="C445" s="2266" t="s">
        <v>46</v>
      </c>
      <c r="D445" s="2266">
        <v>9</v>
      </c>
      <c r="E445" s="2266">
        <v>2287</v>
      </c>
      <c r="F445" s="2266" t="s">
        <v>5070</v>
      </c>
      <c r="G445" s="2266" t="s">
        <v>5070</v>
      </c>
      <c r="H445" s="2266">
        <v>2359625</v>
      </c>
      <c r="I445" s="2266">
        <v>0</v>
      </c>
      <c r="J445" s="2266">
        <v>0</v>
      </c>
      <c r="K445" s="2266">
        <v>0</v>
      </c>
      <c r="L445" s="2266">
        <v>0</v>
      </c>
      <c r="M445" s="2266">
        <v>599</v>
      </c>
    </row>
    <row r="446" spans="1:13" ht="15">
      <c r="A446" s="2266" t="s">
        <v>4068</v>
      </c>
      <c r="B446" s="2465" t="str">
        <f>CONCATENATE(LEFT(RIGHT(CONCATENATE("000",IFAData_TEA_1617!A446),6),3),"-",(RIGHT(RIGHT(CONCATENATE("000",IFAData_TEA_1617!A446),6),3)))</f>
        <v>031-913</v>
      </c>
      <c r="C446" s="2266" t="s">
        <v>99</v>
      </c>
      <c r="D446" s="2266">
        <v>4</v>
      </c>
      <c r="E446" s="2266">
        <v>2310</v>
      </c>
      <c r="F446" s="2266" t="s">
        <v>5071</v>
      </c>
      <c r="G446" s="2266" t="s">
        <v>5072</v>
      </c>
      <c r="H446" s="2266">
        <v>103380</v>
      </c>
      <c r="I446" s="2266">
        <v>100938</v>
      </c>
      <c r="J446" s="2266">
        <v>1</v>
      </c>
      <c r="K446" s="2266">
        <v>103380</v>
      </c>
      <c r="L446" s="2266">
        <v>100938</v>
      </c>
      <c r="M446" s="2266">
        <v>599</v>
      </c>
    </row>
    <row r="447" spans="1:13" ht="15">
      <c r="A447" s="2266" t="s">
        <v>4068</v>
      </c>
      <c r="B447" s="2465" t="str">
        <f>CONCATENATE(LEFT(RIGHT(CONCATENATE("000",IFAData_TEA_1617!A447),6),3),"-",(RIGHT(RIGHT(CONCATENATE("000",IFAData_TEA_1617!A447),6),3)))</f>
        <v>031-913</v>
      </c>
      <c r="C447" s="2266" t="s">
        <v>99</v>
      </c>
      <c r="D447" s="2266">
        <v>7</v>
      </c>
      <c r="E447" s="2266">
        <v>2311</v>
      </c>
      <c r="F447" s="2266" t="s">
        <v>5073</v>
      </c>
      <c r="G447" s="2266" t="s">
        <v>5073</v>
      </c>
      <c r="H447" s="2266">
        <v>128701</v>
      </c>
      <c r="I447" s="2266">
        <v>0</v>
      </c>
      <c r="J447" s="2266">
        <v>0</v>
      </c>
      <c r="K447" s="2266">
        <v>0</v>
      </c>
      <c r="L447" s="2266">
        <v>0</v>
      </c>
      <c r="M447" s="2266">
        <v>599</v>
      </c>
    </row>
    <row r="448" spans="1:13" ht="15">
      <c r="A448" s="2266" t="s">
        <v>4068</v>
      </c>
      <c r="B448" s="2465" t="str">
        <f>CONCATENATE(LEFT(RIGHT(CONCATENATE("000",IFAData_TEA_1617!A448),6),3),"-",(RIGHT(RIGHT(CONCATENATE("000",IFAData_TEA_1617!A448),6),3)))</f>
        <v>031-913</v>
      </c>
      <c r="C448" s="2266" t="s">
        <v>99</v>
      </c>
      <c r="D448" s="2266">
        <v>4</v>
      </c>
      <c r="E448" s="2266">
        <v>2310</v>
      </c>
      <c r="F448" s="2266" t="s">
        <v>5071</v>
      </c>
      <c r="G448" s="2266" t="s">
        <v>5071</v>
      </c>
      <c r="H448" s="2266">
        <v>103380</v>
      </c>
      <c r="I448" s="2266">
        <v>0</v>
      </c>
      <c r="J448" s="2266">
        <v>0</v>
      </c>
      <c r="K448" s="2266">
        <v>0</v>
      </c>
      <c r="L448" s="2266">
        <v>0</v>
      </c>
      <c r="M448" s="2266">
        <v>599</v>
      </c>
    </row>
    <row r="449" spans="1:13" ht="15">
      <c r="A449" s="2266" t="s">
        <v>4068</v>
      </c>
      <c r="B449" s="2465" t="str">
        <f>CONCATENATE(LEFT(RIGHT(CONCATENATE("000",IFAData_TEA_1617!A449),6),3),"-",(RIGHT(RIGHT(CONCATENATE("000",IFAData_TEA_1617!A449),6),3)))</f>
        <v>031-913</v>
      </c>
      <c r="C449" s="2266" t="s">
        <v>99</v>
      </c>
      <c r="D449" s="2266">
        <v>10</v>
      </c>
      <c r="E449" s="2266">
        <v>2309</v>
      </c>
      <c r="F449" s="2266" t="s">
        <v>5074</v>
      </c>
      <c r="G449" s="2266" t="s">
        <v>5074</v>
      </c>
      <c r="H449" s="2266">
        <v>60163</v>
      </c>
      <c r="I449" s="2266">
        <v>52700</v>
      </c>
      <c r="J449" s="2266">
        <v>1</v>
      </c>
      <c r="K449" s="2266">
        <v>60163</v>
      </c>
      <c r="L449" s="2266">
        <v>52700</v>
      </c>
      <c r="M449" s="2266">
        <v>599</v>
      </c>
    </row>
    <row r="450" spans="1:13" ht="15">
      <c r="A450" s="2266" t="s">
        <v>4068</v>
      </c>
      <c r="B450" s="2465" t="str">
        <f>CONCATENATE(LEFT(RIGHT(CONCATENATE("000",IFAData_TEA_1617!A450),6),3),"-",(RIGHT(RIGHT(CONCATENATE("000",IFAData_TEA_1617!A450),6),3)))</f>
        <v>031-913</v>
      </c>
      <c r="C450" s="2266" t="s">
        <v>99</v>
      </c>
      <c r="D450" s="2266">
        <v>7</v>
      </c>
      <c r="E450" s="2266">
        <v>2311</v>
      </c>
      <c r="F450" s="2266" t="s">
        <v>5073</v>
      </c>
      <c r="G450" s="2266" t="s">
        <v>7165</v>
      </c>
      <c r="H450" s="2266">
        <v>128701</v>
      </c>
      <c r="I450" s="2266">
        <v>105650</v>
      </c>
      <c r="J450" s="2266">
        <v>1</v>
      </c>
      <c r="K450" s="2266">
        <v>128701</v>
      </c>
      <c r="L450" s="2266">
        <v>105650</v>
      </c>
      <c r="M450" s="2266">
        <v>599</v>
      </c>
    </row>
    <row r="451" spans="1:13" ht="15">
      <c r="A451" s="2266" t="s">
        <v>4069</v>
      </c>
      <c r="B451" s="2465" t="str">
        <f>CONCATENATE(LEFT(RIGHT(CONCATENATE("000",IFAData_TEA_1617!A451),6),3),"-",(RIGHT(RIGHT(CONCATENATE("000",IFAData_TEA_1617!A451),6),3)))</f>
        <v>031-914</v>
      </c>
      <c r="C451" s="2266" t="s">
        <v>100</v>
      </c>
      <c r="D451" s="2266">
        <v>5</v>
      </c>
      <c r="E451" s="2266">
        <v>2312</v>
      </c>
      <c r="F451" s="2266" t="s">
        <v>5078</v>
      </c>
      <c r="G451" s="2266" t="s">
        <v>5078</v>
      </c>
      <c r="H451" s="2266">
        <v>265690</v>
      </c>
      <c r="I451" s="2266">
        <v>0</v>
      </c>
      <c r="J451" s="2266">
        <v>0</v>
      </c>
      <c r="K451" s="2266">
        <v>0</v>
      </c>
      <c r="L451" s="2266">
        <v>0</v>
      </c>
      <c r="M451" s="2266">
        <v>599</v>
      </c>
    </row>
    <row r="452" spans="1:13" ht="15">
      <c r="A452" s="2266" t="s">
        <v>4069</v>
      </c>
      <c r="B452" s="2465" t="str">
        <f>CONCATENATE(LEFT(RIGHT(CONCATENATE("000",IFAData_TEA_1617!A452),6),3),"-",(RIGHT(RIGHT(CONCATENATE("000",IFAData_TEA_1617!A452),6),3)))</f>
        <v>031-914</v>
      </c>
      <c r="C452" s="2266" t="s">
        <v>100</v>
      </c>
      <c r="D452" s="2266">
        <v>4</v>
      </c>
      <c r="E452" s="2266">
        <v>2315</v>
      </c>
      <c r="F452" s="2266" t="s">
        <v>5077</v>
      </c>
      <c r="G452" s="2266" t="s">
        <v>5077</v>
      </c>
      <c r="H452" s="2266">
        <v>307688</v>
      </c>
      <c r="I452" s="2266">
        <v>0</v>
      </c>
      <c r="J452" s="2266">
        <v>0</v>
      </c>
      <c r="K452" s="2266">
        <v>0</v>
      </c>
      <c r="L452" s="2266">
        <v>0</v>
      </c>
      <c r="M452" s="2266">
        <v>599</v>
      </c>
    </row>
    <row r="453" spans="1:13" ht="15">
      <c r="A453" s="2266" t="s">
        <v>4069</v>
      </c>
      <c r="B453" s="2465" t="str">
        <f>CONCATENATE(LEFT(RIGHT(CONCATENATE("000",IFAData_TEA_1617!A453),6),3),"-",(RIGHT(RIGHT(CONCATENATE("000",IFAData_TEA_1617!A453),6),3)))</f>
        <v>031-914</v>
      </c>
      <c r="C453" s="2266" t="s">
        <v>100</v>
      </c>
      <c r="D453" s="2266">
        <v>1</v>
      </c>
      <c r="E453" s="2266">
        <v>2314</v>
      </c>
      <c r="F453" s="2266" t="s">
        <v>5075</v>
      </c>
      <c r="G453" s="2266" t="s">
        <v>5076</v>
      </c>
      <c r="H453" s="2266">
        <v>290250</v>
      </c>
      <c r="I453" s="2266">
        <v>282399</v>
      </c>
      <c r="J453" s="2266">
        <v>1</v>
      </c>
      <c r="K453" s="2266">
        <v>290250</v>
      </c>
      <c r="L453" s="2266">
        <v>282399</v>
      </c>
      <c r="M453" s="2266">
        <v>599</v>
      </c>
    </row>
    <row r="454" spans="1:13" ht="15">
      <c r="A454" s="2266" t="s">
        <v>4069</v>
      </c>
      <c r="B454" s="2465" t="str">
        <f>CONCATENATE(LEFT(RIGHT(CONCATENATE("000",IFAData_TEA_1617!A454),6),3),"-",(RIGHT(RIGHT(CONCATENATE("000",IFAData_TEA_1617!A454),6),3)))</f>
        <v>031-914</v>
      </c>
      <c r="C454" s="2266" t="s">
        <v>100</v>
      </c>
      <c r="D454" s="2266">
        <v>4</v>
      </c>
      <c r="E454" s="2266">
        <v>2315</v>
      </c>
      <c r="F454" s="2266" t="s">
        <v>5077</v>
      </c>
      <c r="G454" s="2266" t="s">
        <v>5076</v>
      </c>
      <c r="H454" s="2266">
        <v>307688</v>
      </c>
      <c r="I454" s="2266">
        <v>287518</v>
      </c>
      <c r="J454" s="2266">
        <v>1</v>
      </c>
      <c r="K454" s="2266">
        <v>307688</v>
      </c>
      <c r="L454" s="2266">
        <v>287518</v>
      </c>
      <c r="M454" s="2266">
        <v>599</v>
      </c>
    </row>
    <row r="455" spans="1:13" ht="15">
      <c r="A455" s="2266" t="s">
        <v>4069</v>
      </c>
      <c r="B455" s="2465" t="str">
        <f>CONCATENATE(LEFT(RIGHT(CONCATENATE("000",IFAData_TEA_1617!A455),6),3),"-",(RIGHT(RIGHT(CONCATENATE("000",IFAData_TEA_1617!A455),6),3)))</f>
        <v>031-914</v>
      </c>
      <c r="C455" s="2266" t="s">
        <v>100</v>
      </c>
      <c r="D455" s="2266">
        <v>9</v>
      </c>
      <c r="E455" s="2266">
        <v>2313</v>
      </c>
      <c r="F455" s="2266" t="s">
        <v>5079</v>
      </c>
      <c r="G455" s="2266" t="s">
        <v>5079</v>
      </c>
      <c r="H455" s="2266">
        <v>284877</v>
      </c>
      <c r="I455" s="2266">
        <v>282688</v>
      </c>
      <c r="J455" s="2266">
        <v>1</v>
      </c>
      <c r="K455" s="2266">
        <v>284877</v>
      </c>
      <c r="L455" s="2266">
        <v>282688</v>
      </c>
      <c r="M455" s="2266">
        <v>599</v>
      </c>
    </row>
    <row r="456" spans="1:13" ht="15">
      <c r="A456" s="2266" t="s">
        <v>4069</v>
      </c>
      <c r="B456" s="2465" t="str">
        <f>CONCATENATE(LEFT(RIGHT(CONCATENATE("000",IFAData_TEA_1617!A456),6),3),"-",(RIGHT(RIGHT(CONCATENATE("000",IFAData_TEA_1617!A456),6),3)))</f>
        <v>031-914</v>
      </c>
      <c r="C456" s="2266" t="s">
        <v>100</v>
      </c>
      <c r="D456" s="2266">
        <v>5</v>
      </c>
      <c r="E456" s="2266">
        <v>2312</v>
      </c>
      <c r="F456" s="2266" t="s">
        <v>5078</v>
      </c>
      <c r="G456" s="2266" t="s">
        <v>5076</v>
      </c>
      <c r="H456" s="2266">
        <v>265690</v>
      </c>
      <c r="I456" s="2266">
        <v>261302</v>
      </c>
      <c r="J456" s="2266">
        <v>1</v>
      </c>
      <c r="K456" s="2266">
        <v>265690</v>
      </c>
      <c r="L456" s="2266">
        <v>261302</v>
      </c>
      <c r="M456" s="2266">
        <v>599</v>
      </c>
    </row>
    <row r="457" spans="1:13" ht="15">
      <c r="A457" s="2266" t="s">
        <v>4069</v>
      </c>
      <c r="B457" s="2465" t="str">
        <f>CONCATENATE(LEFT(RIGHT(CONCATENATE("000",IFAData_TEA_1617!A457),6),3),"-",(RIGHT(RIGHT(CONCATENATE("000",IFAData_TEA_1617!A457),6),3)))</f>
        <v>031-914</v>
      </c>
      <c r="C457" s="2266" t="s">
        <v>100</v>
      </c>
      <c r="D457" s="2266">
        <v>1</v>
      </c>
      <c r="E457" s="2266">
        <v>2314</v>
      </c>
      <c r="F457" s="2266" t="s">
        <v>5075</v>
      </c>
      <c r="G457" s="2266" t="s">
        <v>5075</v>
      </c>
      <c r="H457" s="2266">
        <v>290250</v>
      </c>
      <c r="I457" s="2266">
        <v>0</v>
      </c>
      <c r="J457" s="2266">
        <v>0</v>
      </c>
      <c r="K457" s="2266">
        <v>0</v>
      </c>
      <c r="L457" s="2266">
        <v>0</v>
      </c>
      <c r="M457" s="2266">
        <v>599</v>
      </c>
    </row>
    <row r="458" spans="1:13" ht="15">
      <c r="A458" s="2266" t="s">
        <v>5080</v>
      </c>
      <c r="B458" s="2465" t="str">
        <f>CONCATENATE(LEFT(RIGHT(CONCATENATE("000",IFAData_TEA_1617!A458),6),3),"-",(RIGHT(RIGHT(CONCATENATE("000",IFAData_TEA_1617!A458),6),3)))</f>
        <v>034-906</v>
      </c>
      <c r="C458" s="2266" t="s">
        <v>929</v>
      </c>
      <c r="D458" s="2266">
        <v>4</v>
      </c>
      <c r="E458" s="2266">
        <v>2083</v>
      </c>
      <c r="F458" s="2266" t="s">
        <v>5081</v>
      </c>
      <c r="G458" s="2266" t="s">
        <v>5081</v>
      </c>
      <c r="H458" s="2266">
        <v>80006</v>
      </c>
      <c r="I458" s="2266">
        <v>79646</v>
      </c>
      <c r="J458" s="2266">
        <v>1</v>
      </c>
      <c r="K458" s="2266">
        <v>80006</v>
      </c>
      <c r="L458" s="2266">
        <v>79646</v>
      </c>
      <c r="M458" s="2266">
        <v>199</v>
      </c>
    </row>
    <row r="459" spans="1:13" ht="15">
      <c r="A459" s="2266" t="s">
        <v>4070</v>
      </c>
      <c r="B459" s="2465" t="str">
        <f>CONCATENATE(LEFT(RIGHT(CONCATENATE("000",IFAData_TEA_1617!A459),6),3),"-",(RIGHT(RIGHT(CONCATENATE("000",IFAData_TEA_1617!A459),6),3)))</f>
        <v>035-903</v>
      </c>
      <c r="C459" s="2266" t="s">
        <v>425</v>
      </c>
      <c r="D459" s="2266">
        <v>3</v>
      </c>
      <c r="E459" s="2266">
        <v>2128</v>
      </c>
      <c r="F459" s="2266" t="s">
        <v>5082</v>
      </c>
      <c r="G459" s="2266" t="s">
        <v>5082</v>
      </c>
      <c r="H459" s="2266">
        <v>100000</v>
      </c>
      <c r="I459" s="2266">
        <v>0</v>
      </c>
      <c r="J459" s="2266">
        <v>0</v>
      </c>
      <c r="K459" s="2266"/>
      <c r="L459" s="2266">
        <v>0</v>
      </c>
      <c r="M459" s="2266">
        <v>599</v>
      </c>
    </row>
    <row r="460" spans="1:13" ht="15">
      <c r="A460" s="2266" t="s">
        <v>4071</v>
      </c>
      <c r="B460" s="2465" t="str">
        <f>CONCATENATE(LEFT(RIGHT(CONCATENATE("000",IFAData_TEA_1617!A460),6),3),"-",(RIGHT(RIGHT(CONCATENATE("000",IFAData_TEA_1617!A460),6),3)))</f>
        <v>036-901</v>
      </c>
      <c r="C460" s="2266" t="s">
        <v>1205</v>
      </c>
      <c r="D460" s="2266">
        <v>3</v>
      </c>
      <c r="E460" s="2266">
        <v>1573</v>
      </c>
      <c r="F460" s="2266" t="s">
        <v>5083</v>
      </c>
      <c r="G460" s="2266" t="s">
        <v>5083</v>
      </c>
      <c r="H460" s="2266">
        <v>342500</v>
      </c>
      <c r="I460" s="2266">
        <v>0</v>
      </c>
      <c r="J460" s="2266">
        <v>0</v>
      </c>
      <c r="K460" s="2266">
        <v>0</v>
      </c>
      <c r="L460" s="2266">
        <v>0</v>
      </c>
      <c r="M460" s="2266">
        <v>599</v>
      </c>
    </row>
    <row r="461" spans="1:13" ht="15">
      <c r="A461" s="2266" t="s">
        <v>4071</v>
      </c>
      <c r="B461" s="2465" t="str">
        <f>CONCATENATE(LEFT(RIGHT(CONCATENATE("000",IFAData_TEA_1617!A461),6),3),"-",(RIGHT(RIGHT(CONCATENATE("000",IFAData_TEA_1617!A461),6),3)))</f>
        <v>036-901</v>
      </c>
      <c r="C461" s="2266" t="s">
        <v>1205</v>
      </c>
      <c r="D461" s="2266">
        <v>10</v>
      </c>
      <c r="E461" s="2266">
        <v>1572</v>
      </c>
      <c r="F461" s="2266" t="s">
        <v>5085</v>
      </c>
      <c r="G461" s="2266" t="s">
        <v>5085</v>
      </c>
      <c r="H461" s="2266">
        <v>321500</v>
      </c>
      <c r="I461" s="2266">
        <v>718600</v>
      </c>
      <c r="J461" s="2266">
        <v>1</v>
      </c>
      <c r="K461" s="2266">
        <v>321500</v>
      </c>
      <c r="L461" s="2266">
        <v>321500</v>
      </c>
      <c r="M461" s="2266">
        <v>599</v>
      </c>
    </row>
    <row r="462" spans="1:13" ht="15">
      <c r="A462" s="2266" t="s">
        <v>4071</v>
      </c>
      <c r="B462" s="2465" t="str">
        <f>CONCATENATE(LEFT(RIGHT(CONCATENATE("000",IFAData_TEA_1617!A462),6),3),"-",(RIGHT(RIGHT(CONCATENATE("000",IFAData_TEA_1617!A462),6),3)))</f>
        <v>036-901</v>
      </c>
      <c r="C462" s="2266" t="s">
        <v>1205</v>
      </c>
      <c r="D462" s="2266">
        <v>3</v>
      </c>
      <c r="E462" s="2266">
        <v>1573</v>
      </c>
      <c r="F462" s="2266" t="s">
        <v>5083</v>
      </c>
      <c r="G462" s="2266" t="s">
        <v>5084</v>
      </c>
      <c r="H462" s="2266">
        <v>342500</v>
      </c>
      <c r="I462" s="2266">
        <v>515875</v>
      </c>
      <c r="J462" s="2266">
        <v>1</v>
      </c>
      <c r="K462" s="2266">
        <v>342500</v>
      </c>
      <c r="L462" s="2266">
        <v>342500</v>
      </c>
      <c r="M462" s="2266">
        <v>599</v>
      </c>
    </row>
    <row r="463" spans="1:13" ht="15">
      <c r="A463" s="2266" t="s">
        <v>4072</v>
      </c>
      <c r="B463" s="2465" t="str">
        <f>CONCATENATE(LEFT(RIGHT(CONCATENATE("000",IFAData_TEA_1617!A463),6),3),"-",(RIGHT(RIGHT(CONCATENATE("000",IFAData_TEA_1617!A463),6),3)))</f>
        <v>036-903</v>
      </c>
      <c r="C463" s="2266" t="s">
        <v>2716</v>
      </c>
      <c r="D463" s="2266">
        <v>9</v>
      </c>
      <c r="E463" s="2266">
        <v>1782</v>
      </c>
      <c r="F463" s="2266" t="s">
        <v>5086</v>
      </c>
      <c r="G463" s="2266" t="s">
        <v>5086</v>
      </c>
      <c r="H463" s="2266">
        <v>300000</v>
      </c>
      <c r="I463" s="2266">
        <v>545037</v>
      </c>
      <c r="J463" s="2266">
        <v>1</v>
      </c>
      <c r="K463" s="2266">
        <v>300000</v>
      </c>
      <c r="L463" s="2266">
        <v>300000</v>
      </c>
      <c r="M463" s="2266">
        <v>599</v>
      </c>
    </row>
    <row r="464" spans="1:13" ht="15">
      <c r="A464" s="2266" t="s">
        <v>4073</v>
      </c>
      <c r="B464" s="2465" t="str">
        <f>CONCATENATE(LEFT(RIGHT(CONCATENATE("000",IFAData_TEA_1617!A464),6),3),"-",(RIGHT(RIGHT(CONCATENATE("000",IFAData_TEA_1617!A464),6),3)))</f>
        <v>037-904</v>
      </c>
      <c r="C464" s="2266" t="s">
        <v>445</v>
      </c>
      <c r="D464" s="2266">
        <v>2</v>
      </c>
      <c r="E464" s="2266">
        <v>1932</v>
      </c>
      <c r="F464" s="2266" t="s">
        <v>5087</v>
      </c>
      <c r="G464" s="2266" t="s">
        <v>5089</v>
      </c>
      <c r="H464" s="2266">
        <v>895013</v>
      </c>
      <c r="I464" s="2266">
        <v>800175</v>
      </c>
      <c r="J464" s="2266">
        <v>1</v>
      </c>
      <c r="K464" s="2266">
        <v>895013</v>
      </c>
      <c r="L464" s="2266">
        <v>800175</v>
      </c>
      <c r="M464" s="2266">
        <v>599</v>
      </c>
    </row>
    <row r="465" spans="1:13" ht="15">
      <c r="A465" s="2266" t="s">
        <v>4073</v>
      </c>
      <c r="B465" s="2465" t="str">
        <f>CONCATENATE(LEFT(RIGHT(CONCATENATE("000",IFAData_TEA_1617!A465),6),3),"-",(RIGHT(RIGHT(CONCATENATE("000",IFAData_TEA_1617!A465),6),3)))</f>
        <v>037-904</v>
      </c>
      <c r="C465" s="2266" t="s">
        <v>445</v>
      </c>
      <c r="D465" s="2266">
        <v>2</v>
      </c>
      <c r="E465" s="2266">
        <v>1932</v>
      </c>
      <c r="F465" s="2266" t="s">
        <v>5087</v>
      </c>
      <c r="G465" s="2266" t="s">
        <v>5087</v>
      </c>
      <c r="H465" s="2266">
        <v>895013</v>
      </c>
      <c r="I465" s="2266">
        <v>0</v>
      </c>
      <c r="J465" s="2266">
        <v>0</v>
      </c>
      <c r="K465" s="2266">
        <v>0</v>
      </c>
      <c r="L465" s="2266">
        <v>0</v>
      </c>
      <c r="M465" s="2266">
        <v>599</v>
      </c>
    </row>
    <row r="466" spans="1:13" ht="15">
      <c r="A466" s="2266" t="s">
        <v>4073</v>
      </c>
      <c r="B466" s="2465" t="str">
        <f>CONCATENATE(LEFT(RIGHT(CONCATENATE("000",IFAData_TEA_1617!A466),6),3),"-",(RIGHT(RIGHT(CONCATENATE("000",IFAData_TEA_1617!A466),6),3)))</f>
        <v>037-904</v>
      </c>
      <c r="C466" s="2266" t="s">
        <v>445</v>
      </c>
      <c r="D466" s="2266">
        <v>2</v>
      </c>
      <c r="E466" s="2266">
        <v>1932</v>
      </c>
      <c r="F466" s="2266" t="s">
        <v>5087</v>
      </c>
      <c r="G466" s="2266" t="s">
        <v>5088</v>
      </c>
      <c r="H466" s="2266">
        <v>895013</v>
      </c>
      <c r="I466" s="2266">
        <v>0</v>
      </c>
      <c r="J466" s="2266">
        <v>0</v>
      </c>
      <c r="K466" s="2266">
        <v>0</v>
      </c>
      <c r="L466" s="2266">
        <v>0</v>
      </c>
      <c r="M466" s="2266">
        <v>599</v>
      </c>
    </row>
    <row r="467" spans="1:13" ht="15">
      <c r="A467" s="2266" t="s">
        <v>4074</v>
      </c>
      <c r="B467" s="2465" t="str">
        <f>CONCATENATE(LEFT(RIGHT(CONCATENATE("000",IFAData_TEA_1617!A467),6),3),"-",(RIGHT(RIGHT(CONCATENATE("000",IFAData_TEA_1617!A467),6),3)))</f>
        <v>037-907</v>
      </c>
      <c r="C467" s="2266" t="s">
        <v>669</v>
      </c>
      <c r="D467" s="2266">
        <v>1</v>
      </c>
      <c r="E467" s="2266">
        <v>2272</v>
      </c>
      <c r="F467" s="2266" t="s">
        <v>5090</v>
      </c>
      <c r="G467" s="2266" t="s">
        <v>5090</v>
      </c>
      <c r="H467" s="2266">
        <v>30292</v>
      </c>
      <c r="I467" s="2266">
        <v>0</v>
      </c>
      <c r="J467" s="2266">
        <v>0</v>
      </c>
      <c r="K467" s="2266"/>
      <c r="L467" s="2266">
        <v>0</v>
      </c>
      <c r="M467" s="2266">
        <v>599</v>
      </c>
    </row>
    <row r="468" spans="1:13" ht="15">
      <c r="A468" s="2266" t="s">
        <v>4074</v>
      </c>
      <c r="B468" s="2465" t="str">
        <f>CONCATENATE(LEFT(RIGHT(CONCATENATE("000",IFAData_TEA_1617!A468),6),3),"-",(RIGHT(RIGHT(CONCATENATE("000",IFAData_TEA_1617!A468),6),3)))</f>
        <v>037-907</v>
      </c>
      <c r="C468" s="2266" t="s">
        <v>669</v>
      </c>
      <c r="D468" s="2266">
        <v>5</v>
      </c>
      <c r="E468" s="2266">
        <v>2273</v>
      </c>
      <c r="F468" s="2266" t="s">
        <v>5092</v>
      </c>
      <c r="G468" s="2266" t="s">
        <v>5093</v>
      </c>
      <c r="H468" s="2266">
        <v>387158</v>
      </c>
      <c r="I468" s="2266">
        <v>376762</v>
      </c>
      <c r="J468" s="2266">
        <v>1</v>
      </c>
      <c r="K468" s="2266">
        <v>387158</v>
      </c>
      <c r="L468" s="2266">
        <v>376762</v>
      </c>
      <c r="M468" s="2266">
        <v>599</v>
      </c>
    </row>
    <row r="469" spans="1:13" ht="15">
      <c r="A469" s="2266" t="s">
        <v>4074</v>
      </c>
      <c r="B469" s="2465" t="str">
        <f>CONCATENATE(LEFT(RIGHT(CONCATENATE("000",IFAData_TEA_1617!A469),6),3),"-",(RIGHT(RIGHT(CONCATENATE("000",IFAData_TEA_1617!A469),6),3)))</f>
        <v>037-907</v>
      </c>
      <c r="C469" s="2266" t="s">
        <v>669</v>
      </c>
      <c r="D469" s="2266">
        <v>5</v>
      </c>
      <c r="E469" s="2266">
        <v>2273</v>
      </c>
      <c r="F469" s="2266" t="s">
        <v>5092</v>
      </c>
      <c r="G469" s="2266" t="s">
        <v>5092</v>
      </c>
      <c r="H469" s="2266">
        <v>387158</v>
      </c>
      <c r="I469" s="2266">
        <v>0</v>
      </c>
      <c r="J469" s="2266">
        <v>0</v>
      </c>
      <c r="K469" s="2266">
        <v>0</v>
      </c>
      <c r="L469" s="2266">
        <v>0</v>
      </c>
      <c r="M469" s="2266">
        <v>599</v>
      </c>
    </row>
    <row r="470" spans="1:13" ht="15">
      <c r="A470" s="2266" t="s">
        <v>5094</v>
      </c>
      <c r="B470" s="2465" t="str">
        <f>CONCATENATE(LEFT(RIGHT(CONCATENATE("000",IFAData_TEA_1617!A470),6),3),"-",(RIGHT(RIGHT(CONCATENATE("000",IFAData_TEA_1617!A470),6),3)))</f>
        <v>037-908</v>
      </c>
      <c r="C470" s="2266" t="s">
        <v>1306</v>
      </c>
      <c r="D470" s="2266">
        <v>6</v>
      </c>
      <c r="E470" s="2266">
        <v>2143</v>
      </c>
      <c r="F470" s="2266" t="s">
        <v>5095</v>
      </c>
      <c r="G470" s="2266" t="s">
        <v>5095</v>
      </c>
      <c r="H470" s="2266">
        <v>100400</v>
      </c>
      <c r="I470" s="2266">
        <v>0</v>
      </c>
      <c r="J470" s="2266">
        <v>0</v>
      </c>
      <c r="K470" s="2266"/>
      <c r="L470" s="2266">
        <v>0</v>
      </c>
      <c r="M470" s="2266">
        <v>199</v>
      </c>
    </row>
    <row r="471" spans="1:13" ht="15">
      <c r="A471" s="2266" t="s">
        <v>4075</v>
      </c>
      <c r="B471" s="2465" t="str">
        <f>CONCATENATE(LEFT(RIGHT(CONCATENATE("000",IFAData_TEA_1617!A471),6),3),"-",(RIGHT(RIGHT(CONCATENATE("000",IFAData_TEA_1617!A471),6),3)))</f>
        <v>038-901</v>
      </c>
      <c r="C471" s="2266" t="s">
        <v>2500</v>
      </c>
      <c r="D471" s="2266">
        <v>2</v>
      </c>
      <c r="E471" s="2266">
        <v>1686</v>
      </c>
      <c r="F471" s="2266" t="s">
        <v>5096</v>
      </c>
      <c r="G471" s="2266" t="s">
        <v>5096</v>
      </c>
      <c r="H471" s="2266">
        <v>143416</v>
      </c>
      <c r="I471" s="2266">
        <v>0</v>
      </c>
      <c r="J471" s="2266">
        <v>0</v>
      </c>
      <c r="K471" s="2266">
        <v>0</v>
      </c>
      <c r="L471" s="2266">
        <v>0</v>
      </c>
      <c r="M471" s="2266">
        <v>599</v>
      </c>
    </row>
    <row r="472" spans="1:13" ht="15">
      <c r="A472" s="2266" t="s">
        <v>4075</v>
      </c>
      <c r="B472" s="2465" t="str">
        <f>CONCATENATE(LEFT(RIGHT(CONCATENATE("000",IFAData_TEA_1617!A472),6),3),"-",(RIGHT(RIGHT(CONCATENATE("000",IFAData_TEA_1617!A472),6),3)))</f>
        <v>038-901</v>
      </c>
      <c r="C472" s="2266" t="s">
        <v>2500</v>
      </c>
      <c r="D472" s="2266">
        <v>5</v>
      </c>
      <c r="E472" s="2266">
        <v>1687</v>
      </c>
      <c r="F472" s="2266" t="s">
        <v>5098</v>
      </c>
      <c r="G472" s="2266" t="s">
        <v>5097</v>
      </c>
      <c r="H472" s="2266">
        <v>198700</v>
      </c>
      <c r="I472" s="2266">
        <v>171600</v>
      </c>
      <c r="J472" s="2266">
        <v>1</v>
      </c>
      <c r="K472" s="2266">
        <v>198700</v>
      </c>
      <c r="L472" s="2266">
        <v>171600</v>
      </c>
      <c r="M472" s="2266">
        <v>599</v>
      </c>
    </row>
    <row r="473" spans="1:13" ht="15">
      <c r="A473" s="2266" t="s">
        <v>4075</v>
      </c>
      <c r="B473" s="2465" t="str">
        <f>CONCATENATE(LEFT(RIGHT(CONCATENATE("000",IFAData_TEA_1617!A473),6),3),"-",(RIGHT(RIGHT(CONCATENATE("000",IFAData_TEA_1617!A473),6),3)))</f>
        <v>038-901</v>
      </c>
      <c r="C473" s="2266" t="s">
        <v>2500</v>
      </c>
      <c r="D473" s="2266">
        <v>5</v>
      </c>
      <c r="E473" s="2266">
        <v>1687</v>
      </c>
      <c r="F473" s="2266" t="s">
        <v>5098</v>
      </c>
      <c r="G473" s="2266" t="s">
        <v>5098</v>
      </c>
      <c r="H473" s="2266">
        <v>198700</v>
      </c>
      <c r="I473" s="2266">
        <v>0</v>
      </c>
      <c r="J473" s="2266">
        <v>0</v>
      </c>
      <c r="K473" s="2266">
        <v>0</v>
      </c>
      <c r="L473" s="2266">
        <v>0</v>
      </c>
      <c r="M473" s="2266">
        <v>599</v>
      </c>
    </row>
    <row r="474" spans="1:13" ht="15">
      <c r="A474" s="2266" t="s">
        <v>4075</v>
      </c>
      <c r="B474" s="2465" t="str">
        <f>CONCATENATE(LEFT(RIGHT(CONCATENATE("000",IFAData_TEA_1617!A474),6),3),"-",(RIGHT(RIGHT(CONCATENATE("000",IFAData_TEA_1617!A474),6),3)))</f>
        <v>038-901</v>
      </c>
      <c r="C474" s="2266" t="s">
        <v>2500</v>
      </c>
      <c r="D474" s="2266">
        <v>2</v>
      </c>
      <c r="E474" s="2266">
        <v>1686</v>
      </c>
      <c r="F474" s="2266" t="s">
        <v>5096</v>
      </c>
      <c r="G474" s="2266" t="s">
        <v>5097</v>
      </c>
      <c r="H474" s="2266">
        <v>143416</v>
      </c>
      <c r="I474" s="2266">
        <v>102243</v>
      </c>
      <c r="J474" s="2266">
        <v>1</v>
      </c>
      <c r="K474" s="2266">
        <v>143416</v>
      </c>
      <c r="L474" s="2266">
        <v>102243</v>
      </c>
      <c r="M474" s="2266">
        <v>599</v>
      </c>
    </row>
    <row r="475" spans="1:13" ht="15">
      <c r="A475" s="2266" t="s">
        <v>4076</v>
      </c>
      <c r="B475" s="2465" t="str">
        <f>CONCATENATE(LEFT(RIGHT(CONCATENATE("000",IFAData_TEA_1617!A475),6),3),"-",(RIGHT(RIGHT(CONCATENATE("000",IFAData_TEA_1617!A475),6),3)))</f>
        <v>039-903</v>
      </c>
      <c r="C475" s="2266" t="s">
        <v>4581</v>
      </c>
      <c r="D475" s="2266">
        <v>5</v>
      </c>
      <c r="E475" s="2266">
        <v>2187</v>
      </c>
      <c r="F475" s="2266" t="s">
        <v>5099</v>
      </c>
      <c r="G475" s="2266" t="s">
        <v>7166</v>
      </c>
      <c r="H475" s="2266">
        <v>232853</v>
      </c>
      <c r="I475" s="2266">
        <v>200311</v>
      </c>
      <c r="J475" s="2266">
        <v>1</v>
      </c>
      <c r="K475" s="2266">
        <v>232853</v>
      </c>
      <c r="L475" s="2266">
        <v>200311</v>
      </c>
      <c r="M475" s="2266">
        <v>599</v>
      </c>
    </row>
    <row r="476" spans="1:13" ht="15">
      <c r="A476" s="2266" t="s">
        <v>4076</v>
      </c>
      <c r="B476" s="2465" t="str">
        <f>CONCATENATE(LEFT(RIGHT(CONCATENATE("000",IFAData_TEA_1617!A476),6),3),"-",(RIGHT(RIGHT(CONCATENATE("000",IFAData_TEA_1617!A476),6),3)))</f>
        <v>039-903</v>
      </c>
      <c r="C476" s="2266" t="s">
        <v>4581</v>
      </c>
      <c r="D476" s="2266">
        <v>5</v>
      </c>
      <c r="E476" s="2266">
        <v>2187</v>
      </c>
      <c r="F476" s="2266" t="s">
        <v>5099</v>
      </c>
      <c r="G476" s="2266" t="s">
        <v>5100</v>
      </c>
      <c r="H476" s="2266">
        <v>232853</v>
      </c>
      <c r="I476" s="2266">
        <v>0</v>
      </c>
      <c r="J476" s="2266">
        <v>0</v>
      </c>
      <c r="K476" s="2266">
        <v>0</v>
      </c>
      <c r="L476" s="2266">
        <v>0</v>
      </c>
      <c r="M476" s="2266">
        <v>599</v>
      </c>
    </row>
    <row r="477" spans="1:13" ht="15">
      <c r="A477" s="2266" t="s">
        <v>4076</v>
      </c>
      <c r="B477" s="2465" t="str">
        <f>CONCATENATE(LEFT(RIGHT(CONCATENATE("000",IFAData_TEA_1617!A477),6),3),"-",(RIGHT(RIGHT(CONCATENATE("000",IFAData_TEA_1617!A477),6),3)))</f>
        <v>039-903</v>
      </c>
      <c r="C477" s="2266" t="s">
        <v>4581</v>
      </c>
      <c r="D477" s="2266">
        <v>5</v>
      </c>
      <c r="E477" s="2266">
        <v>2187</v>
      </c>
      <c r="F477" s="2266" t="s">
        <v>5099</v>
      </c>
      <c r="G477" s="2266" t="s">
        <v>5099</v>
      </c>
      <c r="H477" s="2266">
        <v>232853</v>
      </c>
      <c r="I477" s="2266">
        <v>0</v>
      </c>
      <c r="J477" s="2266">
        <v>0</v>
      </c>
      <c r="K477" s="2266">
        <v>0</v>
      </c>
      <c r="L477" s="2266">
        <v>0</v>
      </c>
      <c r="M477" s="2266">
        <v>599</v>
      </c>
    </row>
    <row r="478" spans="1:13" ht="15">
      <c r="A478" s="2266" t="s">
        <v>5101</v>
      </c>
      <c r="B478" s="2465" t="str">
        <f>CONCATENATE(LEFT(RIGHT(CONCATENATE("000",IFAData_TEA_1617!A478),6),3),"-",(RIGHT(RIGHT(CONCATENATE("000",IFAData_TEA_1617!A478),6),3)))</f>
        <v>042-901</v>
      </c>
      <c r="C478" s="2266" t="s">
        <v>1333</v>
      </c>
      <c r="D478" s="2266">
        <v>2</v>
      </c>
      <c r="E478" s="2266">
        <v>1704</v>
      </c>
      <c r="F478" s="2266" t="s">
        <v>5102</v>
      </c>
      <c r="G478" s="2266" t="s">
        <v>5102</v>
      </c>
      <c r="H478" s="2266">
        <v>71550</v>
      </c>
      <c r="I478" s="2266">
        <v>0</v>
      </c>
      <c r="J478" s="2266">
        <v>0</v>
      </c>
      <c r="K478" s="2266"/>
      <c r="L478" s="2266">
        <v>0</v>
      </c>
      <c r="M478" s="2266">
        <v>599</v>
      </c>
    </row>
    <row r="479" spans="1:13" ht="15">
      <c r="A479" s="2266" t="s">
        <v>4077</v>
      </c>
      <c r="B479" s="2465" t="str">
        <f>CONCATENATE(LEFT(RIGHT(CONCATENATE("000",IFAData_TEA_1617!A479),6),3),"-",(RIGHT(RIGHT(CONCATENATE("000",IFAData_TEA_1617!A479),6),3)))</f>
        <v>042-903</v>
      </c>
      <c r="C479" s="2266" t="s">
        <v>97</v>
      </c>
      <c r="D479" s="2266">
        <v>6</v>
      </c>
      <c r="E479" s="2266">
        <v>2306</v>
      </c>
      <c r="F479" s="2266" t="s">
        <v>5103</v>
      </c>
      <c r="G479" s="2266" t="s">
        <v>5104</v>
      </c>
      <c r="H479" s="2266">
        <v>100000</v>
      </c>
      <c r="I479" s="2266">
        <v>90432</v>
      </c>
      <c r="J479" s="2266">
        <v>1</v>
      </c>
      <c r="K479" s="2266">
        <v>100000</v>
      </c>
      <c r="L479" s="2266">
        <v>90432</v>
      </c>
      <c r="M479" s="2266">
        <v>599</v>
      </c>
    </row>
    <row r="480" spans="1:13" ht="15">
      <c r="A480" s="2266" t="s">
        <v>4077</v>
      </c>
      <c r="B480" s="2465" t="str">
        <f>CONCATENATE(LEFT(RIGHT(CONCATENATE("000",IFAData_TEA_1617!A480),6),3),"-",(RIGHT(RIGHT(CONCATENATE("000",IFAData_TEA_1617!A480),6),3)))</f>
        <v>042-903</v>
      </c>
      <c r="C480" s="2266" t="s">
        <v>97</v>
      </c>
      <c r="D480" s="2266">
        <v>6</v>
      </c>
      <c r="E480" s="2266">
        <v>2306</v>
      </c>
      <c r="F480" s="2266" t="s">
        <v>5103</v>
      </c>
      <c r="G480" s="2266" t="s">
        <v>5103</v>
      </c>
      <c r="H480" s="2266">
        <v>100000</v>
      </c>
      <c r="I480" s="2266">
        <v>0</v>
      </c>
      <c r="J480" s="2266">
        <v>0</v>
      </c>
      <c r="K480" s="2266">
        <v>0</v>
      </c>
      <c r="L480" s="2266">
        <v>0</v>
      </c>
      <c r="M480" s="2266">
        <v>599</v>
      </c>
    </row>
    <row r="481" spans="1:13" ht="15">
      <c r="A481" s="2266" t="s">
        <v>4078</v>
      </c>
      <c r="B481" s="2465" t="str">
        <f>CONCATENATE(LEFT(RIGHT(CONCATENATE("000",IFAData_TEA_1617!A481),6),3),"-",(RIGHT(RIGHT(CONCATENATE("000",IFAData_TEA_1617!A481),6),3)))</f>
        <v>043-901</v>
      </c>
      <c r="C481" s="2266" t="s">
        <v>2234</v>
      </c>
      <c r="D481" s="2266">
        <v>1</v>
      </c>
      <c r="E481" s="2266">
        <v>1560</v>
      </c>
      <c r="F481" s="2266" t="s">
        <v>5105</v>
      </c>
      <c r="G481" s="2266" t="s">
        <v>5105</v>
      </c>
      <c r="H481" s="2266">
        <v>1385015</v>
      </c>
      <c r="I481" s="2266">
        <v>0</v>
      </c>
      <c r="J481" s="2266">
        <v>0</v>
      </c>
      <c r="K481" s="2266">
        <v>0</v>
      </c>
      <c r="L481" s="2266">
        <v>0</v>
      </c>
      <c r="M481" s="2266">
        <v>599</v>
      </c>
    </row>
    <row r="482" spans="1:13" ht="15">
      <c r="A482" s="2266" t="s">
        <v>4078</v>
      </c>
      <c r="B482" s="2465" t="str">
        <f>CONCATENATE(LEFT(RIGHT(CONCATENATE("000",IFAData_TEA_1617!A482),6),3),"-",(RIGHT(RIGHT(CONCATENATE("000",IFAData_TEA_1617!A482),6),3)))</f>
        <v>043-901</v>
      </c>
      <c r="C482" s="2266" t="s">
        <v>2234</v>
      </c>
      <c r="D482" s="2266">
        <v>1</v>
      </c>
      <c r="E482" s="2266">
        <v>1560</v>
      </c>
      <c r="F482" s="2266" t="s">
        <v>5105</v>
      </c>
      <c r="G482" s="2266" t="s">
        <v>5106</v>
      </c>
      <c r="H482" s="2266">
        <v>1385015</v>
      </c>
      <c r="I482" s="2266">
        <v>0</v>
      </c>
      <c r="J482" s="2266">
        <v>0</v>
      </c>
      <c r="K482" s="2266">
        <v>0</v>
      </c>
      <c r="L482" s="2266">
        <v>0</v>
      </c>
      <c r="M482" s="2266">
        <v>599</v>
      </c>
    </row>
    <row r="483" spans="1:13" ht="15">
      <c r="A483" s="2266" t="s">
        <v>4078</v>
      </c>
      <c r="B483" s="2465" t="str">
        <f>CONCATENATE(LEFT(RIGHT(CONCATENATE("000",IFAData_TEA_1617!A483),6),3),"-",(RIGHT(RIGHT(CONCATENATE("000",IFAData_TEA_1617!A483),6),3)))</f>
        <v>043-901</v>
      </c>
      <c r="C483" s="2266" t="s">
        <v>2234</v>
      </c>
      <c r="D483" s="2266">
        <v>1</v>
      </c>
      <c r="E483" s="2266">
        <v>1560</v>
      </c>
      <c r="F483" s="2266" t="s">
        <v>5105</v>
      </c>
      <c r="G483" s="2266" t="s">
        <v>5107</v>
      </c>
      <c r="H483" s="2266">
        <v>1385015</v>
      </c>
      <c r="I483" s="2266">
        <v>1195721</v>
      </c>
      <c r="J483" s="2266">
        <v>0.69738989341909263</v>
      </c>
      <c r="K483" s="2266">
        <v>965895.46323384461</v>
      </c>
      <c r="L483" s="2266">
        <v>965895.46323384461</v>
      </c>
      <c r="M483" s="2266">
        <v>599</v>
      </c>
    </row>
    <row r="484" spans="1:13" ht="15">
      <c r="A484" s="2266" t="s">
        <v>4078</v>
      </c>
      <c r="B484" s="2465" t="str">
        <f>CONCATENATE(LEFT(RIGHT(CONCATENATE("000",IFAData_TEA_1617!A484),6),3),"-",(RIGHT(RIGHT(CONCATENATE("000",IFAData_TEA_1617!A484),6),3)))</f>
        <v>043-901</v>
      </c>
      <c r="C484" s="2266" t="s">
        <v>2234</v>
      </c>
      <c r="D484" s="2266">
        <v>1</v>
      </c>
      <c r="E484" s="2266">
        <v>1560</v>
      </c>
      <c r="F484" s="2266" t="s">
        <v>5105</v>
      </c>
      <c r="G484" s="2266" t="s">
        <v>6936</v>
      </c>
      <c r="H484" s="2266">
        <v>1385015</v>
      </c>
      <c r="I484" s="2266">
        <v>518845</v>
      </c>
      <c r="J484" s="2266">
        <v>0.30261010658090737</v>
      </c>
      <c r="K484" s="2266">
        <v>419119.53676615539</v>
      </c>
      <c r="L484" s="2266">
        <v>419119.53676615539</v>
      </c>
      <c r="M484" s="2266">
        <v>599</v>
      </c>
    </row>
    <row r="485" spans="1:13" ht="15">
      <c r="A485" s="2266" t="s">
        <v>4079</v>
      </c>
      <c r="B485" s="2465" t="str">
        <f>CONCATENATE(LEFT(RIGHT(CONCATENATE("000",IFAData_TEA_1617!A485),6),3),"-",(RIGHT(RIGHT(CONCATENATE("000",IFAData_TEA_1617!A485),6),3)))</f>
        <v>043-902</v>
      </c>
      <c r="C485" s="2266" t="s">
        <v>1206</v>
      </c>
      <c r="D485" s="2266">
        <v>9</v>
      </c>
      <c r="E485" s="2266">
        <v>1578</v>
      </c>
      <c r="F485" s="2266" t="s">
        <v>5110</v>
      </c>
      <c r="G485" s="2266" t="s">
        <v>6937</v>
      </c>
      <c r="H485" s="2266">
        <v>634691</v>
      </c>
      <c r="I485" s="2266">
        <v>132176</v>
      </c>
      <c r="J485" s="2266">
        <v>9.18254277570172E-2</v>
      </c>
      <c r="K485" s="2266">
        <v>58280.772568529006</v>
      </c>
      <c r="L485" s="2266">
        <v>58280.772568529006</v>
      </c>
      <c r="M485" s="2266">
        <v>599</v>
      </c>
    </row>
    <row r="486" spans="1:13" ht="15">
      <c r="A486" s="2266" t="s">
        <v>4079</v>
      </c>
      <c r="B486" s="2465" t="str">
        <f>CONCATENATE(LEFT(RIGHT(CONCATENATE("000",IFAData_TEA_1617!A486),6),3),"-",(RIGHT(RIGHT(CONCATENATE("000",IFAData_TEA_1617!A486),6),3)))</f>
        <v>043-902</v>
      </c>
      <c r="C486" s="2266" t="s">
        <v>1206</v>
      </c>
      <c r="D486" s="2266">
        <v>2</v>
      </c>
      <c r="E486" s="2266">
        <v>1575</v>
      </c>
      <c r="F486" s="2266" t="s">
        <v>5108</v>
      </c>
      <c r="G486" s="2266" t="s">
        <v>5109</v>
      </c>
      <c r="H486" s="2266">
        <v>200000</v>
      </c>
      <c r="I486" s="2266">
        <v>495949</v>
      </c>
      <c r="J486" s="2266">
        <v>1</v>
      </c>
      <c r="K486" s="2266">
        <v>200000</v>
      </c>
      <c r="L486" s="2266">
        <v>200000</v>
      </c>
      <c r="M486" s="2266">
        <v>599</v>
      </c>
    </row>
    <row r="487" spans="1:13" ht="15">
      <c r="A487" s="2266" t="s">
        <v>4079</v>
      </c>
      <c r="B487" s="2465" t="str">
        <f>CONCATENATE(LEFT(RIGHT(CONCATENATE("000",IFAData_TEA_1617!A487),6),3),"-",(RIGHT(RIGHT(CONCATENATE("000",IFAData_TEA_1617!A487),6),3)))</f>
        <v>043-902</v>
      </c>
      <c r="C487" s="2266" t="s">
        <v>1206</v>
      </c>
      <c r="D487" s="2266">
        <v>10</v>
      </c>
      <c r="E487" s="2266">
        <v>1574</v>
      </c>
      <c r="F487" s="2266" t="s">
        <v>5111</v>
      </c>
      <c r="G487" s="2266" t="s">
        <v>5111</v>
      </c>
      <c r="H487" s="2266">
        <v>180500</v>
      </c>
      <c r="I487" s="2266">
        <v>180500</v>
      </c>
      <c r="J487" s="2266">
        <v>1</v>
      </c>
      <c r="K487" s="2266">
        <v>180500</v>
      </c>
      <c r="L487" s="2266">
        <v>180500</v>
      </c>
      <c r="M487" s="2266">
        <v>599</v>
      </c>
    </row>
    <row r="488" spans="1:13" ht="15">
      <c r="A488" s="2266" t="s">
        <v>4079</v>
      </c>
      <c r="B488" s="2465" t="str">
        <f>CONCATENATE(LEFT(RIGHT(CONCATENATE("000",IFAData_TEA_1617!A488),6),3),"-",(RIGHT(RIGHT(CONCATENATE("000",IFAData_TEA_1617!A488),6),3)))</f>
        <v>043-902</v>
      </c>
      <c r="C488" s="2266" t="s">
        <v>1206</v>
      </c>
      <c r="D488" s="2266">
        <v>10</v>
      </c>
      <c r="E488" s="2266">
        <v>1576</v>
      </c>
      <c r="F488" s="2266" t="s">
        <v>5112</v>
      </c>
      <c r="G488" s="2266" t="s">
        <v>5112</v>
      </c>
      <c r="H488" s="2266">
        <v>261525</v>
      </c>
      <c r="I488" s="2266">
        <v>261525</v>
      </c>
      <c r="J488" s="2266">
        <v>1</v>
      </c>
      <c r="K488" s="2266">
        <v>261525</v>
      </c>
      <c r="L488" s="2266">
        <v>261525</v>
      </c>
      <c r="M488" s="2266">
        <v>599</v>
      </c>
    </row>
    <row r="489" spans="1:13" ht="15">
      <c r="A489" s="2266" t="s">
        <v>4079</v>
      </c>
      <c r="B489" s="2465" t="str">
        <f>CONCATENATE(LEFT(RIGHT(CONCATENATE("000",IFAData_TEA_1617!A489),6),3),"-",(RIGHT(RIGHT(CONCATENATE("000",IFAData_TEA_1617!A489),6),3)))</f>
        <v>043-902</v>
      </c>
      <c r="C489" s="2266" t="s">
        <v>1206</v>
      </c>
      <c r="D489" s="2266">
        <v>10</v>
      </c>
      <c r="E489" s="2266">
        <v>1577</v>
      </c>
      <c r="F489" s="2266" t="s">
        <v>5113</v>
      </c>
      <c r="G489" s="2266" t="s">
        <v>5113</v>
      </c>
      <c r="H489" s="2266">
        <v>285928</v>
      </c>
      <c r="I489" s="2266">
        <v>844750</v>
      </c>
      <c r="J489" s="2266">
        <v>1</v>
      </c>
      <c r="K489" s="2266">
        <v>285928</v>
      </c>
      <c r="L489" s="2266">
        <v>285928</v>
      </c>
      <c r="M489" s="2266">
        <v>599</v>
      </c>
    </row>
    <row r="490" spans="1:13" ht="15">
      <c r="A490" s="2266" t="s">
        <v>4079</v>
      </c>
      <c r="B490" s="2465" t="str">
        <f>CONCATENATE(LEFT(RIGHT(CONCATENATE("000",IFAData_TEA_1617!A490),6),3),"-",(RIGHT(RIGHT(CONCATENATE("000",IFAData_TEA_1617!A490),6),3)))</f>
        <v>043-902</v>
      </c>
      <c r="C490" s="2266" t="s">
        <v>1206</v>
      </c>
      <c r="D490" s="2266">
        <v>2</v>
      </c>
      <c r="E490" s="2266">
        <v>1575</v>
      </c>
      <c r="F490" s="2266" t="s">
        <v>5108</v>
      </c>
      <c r="G490" s="2266" t="s">
        <v>5108</v>
      </c>
      <c r="H490" s="2266">
        <v>200000</v>
      </c>
      <c r="I490" s="2266">
        <v>0</v>
      </c>
      <c r="J490" s="2266">
        <v>0</v>
      </c>
      <c r="K490" s="2266">
        <v>0</v>
      </c>
      <c r="L490" s="2266">
        <v>0</v>
      </c>
      <c r="M490" s="2266">
        <v>599</v>
      </c>
    </row>
    <row r="491" spans="1:13" ht="15">
      <c r="A491" s="2266" t="s">
        <v>4079</v>
      </c>
      <c r="B491" s="2465" t="str">
        <f>CONCATENATE(LEFT(RIGHT(CONCATENATE("000",IFAData_TEA_1617!A491),6),3),"-",(RIGHT(RIGHT(CONCATENATE("000",IFAData_TEA_1617!A491),6),3)))</f>
        <v>043-902</v>
      </c>
      <c r="C491" s="2266" t="s">
        <v>1206</v>
      </c>
      <c r="D491" s="2266">
        <v>9</v>
      </c>
      <c r="E491" s="2266">
        <v>1578</v>
      </c>
      <c r="F491" s="2266" t="s">
        <v>5110</v>
      </c>
      <c r="G491" s="2266" t="s">
        <v>5110</v>
      </c>
      <c r="H491" s="2266">
        <v>634691</v>
      </c>
      <c r="I491" s="2266">
        <v>836494</v>
      </c>
      <c r="J491" s="2266">
        <v>0.58112985236486459</v>
      </c>
      <c r="K491" s="2266">
        <v>368837.88712730829</v>
      </c>
      <c r="L491" s="2266">
        <v>368837.88712730829</v>
      </c>
      <c r="M491" s="2266">
        <v>599</v>
      </c>
    </row>
    <row r="492" spans="1:13" ht="15">
      <c r="A492" s="2266" t="s">
        <v>4079</v>
      </c>
      <c r="B492" s="2465" t="str">
        <f>CONCATENATE(LEFT(RIGHT(CONCATENATE("000",IFAData_TEA_1617!A492),6),3),"-",(RIGHT(RIGHT(CONCATENATE("000",IFAData_TEA_1617!A492),6),3)))</f>
        <v>043-902</v>
      </c>
      <c r="C492" s="2266" t="s">
        <v>1206</v>
      </c>
      <c r="D492" s="2266">
        <v>9</v>
      </c>
      <c r="E492" s="2266">
        <v>1578</v>
      </c>
      <c r="F492" s="2266" t="s">
        <v>5110</v>
      </c>
      <c r="G492" s="2266" t="s">
        <v>7606</v>
      </c>
      <c r="H492" s="2266">
        <v>634691</v>
      </c>
      <c r="I492" s="2266">
        <v>470757</v>
      </c>
      <c r="J492" s="2266">
        <v>0.32704471987811817</v>
      </c>
      <c r="K492" s="2266">
        <v>207572.3403041627</v>
      </c>
      <c r="L492" s="2266">
        <v>207572.3403041627</v>
      </c>
      <c r="M492" s="2266">
        <v>599</v>
      </c>
    </row>
    <row r="493" spans="1:13" ht="15">
      <c r="A493" s="2266" t="s">
        <v>4080</v>
      </c>
      <c r="B493" s="2465" t="str">
        <f>CONCATENATE(LEFT(RIGHT(CONCATENATE("000",IFAData_TEA_1617!A493),6),3),"-",(RIGHT(RIGHT(CONCATENATE("000",IFAData_TEA_1617!A493),6),3)))</f>
        <v>043-903</v>
      </c>
      <c r="C493" s="2266" t="s">
        <v>733</v>
      </c>
      <c r="D493" s="2266">
        <v>6</v>
      </c>
      <c r="E493" s="2266">
        <v>1671</v>
      </c>
      <c r="F493" s="2266" t="s">
        <v>5114</v>
      </c>
      <c r="G493" s="2266" t="s">
        <v>5115</v>
      </c>
      <c r="H493" s="2266">
        <v>129550</v>
      </c>
      <c r="I493" s="2266">
        <v>18138</v>
      </c>
      <c r="J493" s="2266">
        <v>0.19123228744939272</v>
      </c>
      <c r="K493" s="2266">
        <v>24774.142839068827</v>
      </c>
      <c r="L493" s="2266">
        <v>18138</v>
      </c>
      <c r="M493" s="2266">
        <v>599</v>
      </c>
    </row>
    <row r="494" spans="1:13" ht="15">
      <c r="A494" s="2266" t="s">
        <v>4080</v>
      </c>
      <c r="B494" s="2465" t="str">
        <f>CONCATENATE(LEFT(RIGHT(CONCATENATE("000",IFAData_TEA_1617!A494),6),3),"-",(RIGHT(RIGHT(CONCATENATE("000",IFAData_TEA_1617!A494),6),3)))</f>
        <v>043-903</v>
      </c>
      <c r="C494" s="2266" t="s">
        <v>733</v>
      </c>
      <c r="D494" s="2266">
        <v>6</v>
      </c>
      <c r="E494" s="2266">
        <v>1672</v>
      </c>
      <c r="F494" s="2266" t="s">
        <v>5116</v>
      </c>
      <c r="G494" s="2266" t="s">
        <v>5115</v>
      </c>
      <c r="H494" s="2266">
        <v>143455</v>
      </c>
      <c r="I494" s="2266">
        <v>237781</v>
      </c>
      <c r="J494" s="2266">
        <v>0.53786019493900517</v>
      </c>
      <c r="K494" s="2266">
        <v>77158.734264974992</v>
      </c>
      <c r="L494" s="2266">
        <v>77158.734264974992</v>
      </c>
      <c r="M494" s="2266">
        <v>599</v>
      </c>
    </row>
    <row r="495" spans="1:13" ht="15">
      <c r="A495" s="2266" t="s">
        <v>4080</v>
      </c>
      <c r="B495" s="2465" t="str">
        <f>CONCATENATE(LEFT(RIGHT(CONCATENATE("000",IFAData_TEA_1617!A495),6),3),"-",(RIGHT(RIGHT(CONCATENATE("000",IFAData_TEA_1617!A495),6),3)))</f>
        <v>043-903</v>
      </c>
      <c r="C495" s="2266" t="s">
        <v>733</v>
      </c>
      <c r="D495" s="2266">
        <v>6</v>
      </c>
      <c r="E495" s="2266">
        <v>1671</v>
      </c>
      <c r="F495" s="2266" t="s">
        <v>5114</v>
      </c>
      <c r="G495" s="2266" t="s">
        <v>5114</v>
      </c>
      <c r="H495" s="2266">
        <v>129550</v>
      </c>
      <c r="I495" s="2266">
        <v>0</v>
      </c>
      <c r="J495" s="2266">
        <v>0</v>
      </c>
      <c r="K495" s="2266">
        <v>0</v>
      </c>
      <c r="L495" s="2266">
        <v>0</v>
      </c>
      <c r="M495" s="2266">
        <v>599</v>
      </c>
    </row>
    <row r="496" spans="1:13" ht="15">
      <c r="A496" s="2266" t="s">
        <v>4080</v>
      </c>
      <c r="B496" s="2465" t="str">
        <f>CONCATENATE(LEFT(RIGHT(CONCATENATE("000",IFAData_TEA_1617!A496),6),3),"-",(RIGHT(RIGHT(CONCATENATE("000",IFAData_TEA_1617!A496),6),3)))</f>
        <v>043-903</v>
      </c>
      <c r="C496" s="2266" t="s">
        <v>733</v>
      </c>
      <c r="D496" s="2266">
        <v>6</v>
      </c>
      <c r="E496" s="2266">
        <v>1672</v>
      </c>
      <c r="F496" s="2266" t="s">
        <v>5116</v>
      </c>
      <c r="G496" s="2266" t="s">
        <v>5116</v>
      </c>
      <c r="H496" s="2266">
        <v>143455</v>
      </c>
      <c r="I496" s="2266">
        <v>0</v>
      </c>
      <c r="J496" s="2266">
        <v>0</v>
      </c>
      <c r="K496" s="2266">
        <v>0</v>
      </c>
      <c r="L496" s="2266">
        <v>0</v>
      </c>
      <c r="M496" s="2266">
        <v>599</v>
      </c>
    </row>
    <row r="497" spans="1:13" ht="15">
      <c r="A497" s="2266" t="s">
        <v>4080</v>
      </c>
      <c r="B497" s="2465" t="str">
        <f>CONCATENATE(LEFT(RIGHT(CONCATENATE("000",IFAData_TEA_1617!A497),6),3),"-",(RIGHT(RIGHT(CONCATENATE("000",IFAData_TEA_1617!A497),6),3)))</f>
        <v>043-903</v>
      </c>
      <c r="C497" s="2266" t="s">
        <v>733</v>
      </c>
      <c r="D497" s="2266">
        <v>6</v>
      </c>
      <c r="E497" s="2266">
        <v>1672</v>
      </c>
      <c r="F497" s="2266" t="s">
        <v>5116</v>
      </c>
      <c r="G497" s="2266" t="s">
        <v>6938</v>
      </c>
      <c r="H497" s="2266">
        <v>143455</v>
      </c>
      <c r="I497" s="2266">
        <v>204306</v>
      </c>
      <c r="J497" s="2266">
        <v>0.46213980506099478</v>
      </c>
      <c r="K497" s="2266">
        <v>66296.265735025008</v>
      </c>
      <c r="L497" s="2266">
        <v>66296.265735025008</v>
      </c>
      <c r="M497" s="2266">
        <v>599</v>
      </c>
    </row>
    <row r="498" spans="1:13" ht="15">
      <c r="A498" s="2266" t="s">
        <v>4080</v>
      </c>
      <c r="B498" s="2465" t="str">
        <f>CONCATENATE(LEFT(RIGHT(CONCATENATE("000",IFAData_TEA_1617!A498),6),3),"-",(RIGHT(RIGHT(CONCATENATE("000",IFAData_TEA_1617!A498),6),3)))</f>
        <v>043-903</v>
      </c>
      <c r="C498" s="2266" t="s">
        <v>733</v>
      </c>
      <c r="D498" s="2266">
        <v>6</v>
      </c>
      <c r="E498" s="2266">
        <v>1671</v>
      </c>
      <c r="F498" s="2266" t="s">
        <v>5114</v>
      </c>
      <c r="G498" s="2266" t="s">
        <v>6938</v>
      </c>
      <c r="H498" s="2266">
        <v>129550</v>
      </c>
      <c r="I498" s="2266">
        <v>76710</v>
      </c>
      <c r="J498" s="2266">
        <v>0.80876771255060731</v>
      </c>
      <c r="K498" s="2266">
        <v>104775.85716093118</v>
      </c>
      <c r="L498" s="2266">
        <v>76710</v>
      </c>
      <c r="M498" s="2266">
        <v>599</v>
      </c>
    </row>
    <row r="499" spans="1:13" ht="15">
      <c r="A499" s="2266" t="s">
        <v>4081</v>
      </c>
      <c r="B499" s="2465" t="str">
        <f>CONCATENATE(LEFT(RIGHT(CONCATENATE("000",IFAData_TEA_1617!A499),6),3),"-",(RIGHT(RIGHT(CONCATENATE("000",IFAData_TEA_1617!A499),6),3)))</f>
        <v>043-904</v>
      </c>
      <c r="C499" s="2266" t="s">
        <v>129</v>
      </c>
      <c r="D499" s="2266">
        <v>3</v>
      </c>
      <c r="E499" s="2266">
        <v>1811</v>
      </c>
      <c r="F499" s="2266" t="s">
        <v>5117</v>
      </c>
      <c r="G499" s="2266" t="s">
        <v>5118</v>
      </c>
      <c r="H499" s="2266">
        <v>172081</v>
      </c>
      <c r="I499" s="2266">
        <v>645100</v>
      </c>
      <c r="J499" s="2266">
        <v>1</v>
      </c>
      <c r="K499" s="2266">
        <v>172081</v>
      </c>
      <c r="L499" s="2266">
        <v>172081</v>
      </c>
      <c r="M499" s="2266">
        <v>599</v>
      </c>
    </row>
    <row r="500" spans="1:13" ht="15">
      <c r="A500" s="2266" t="s">
        <v>4081</v>
      </c>
      <c r="B500" s="2465" t="str">
        <f>CONCATENATE(LEFT(RIGHT(CONCATENATE("000",IFAData_TEA_1617!A500),6),3),"-",(RIGHT(RIGHT(CONCATENATE("000",IFAData_TEA_1617!A500),6),3)))</f>
        <v>043-904</v>
      </c>
      <c r="C500" s="2266" t="s">
        <v>129</v>
      </c>
      <c r="D500" s="2266">
        <v>3</v>
      </c>
      <c r="E500" s="2266">
        <v>1811</v>
      </c>
      <c r="F500" s="2266" t="s">
        <v>5117</v>
      </c>
      <c r="G500" s="2266" t="s">
        <v>5117</v>
      </c>
      <c r="H500" s="2266">
        <v>172081</v>
      </c>
      <c r="I500" s="2266">
        <v>0</v>
      </c>
      <c r="J500" s="2266">
        <v>0</v>
      </c>
      <c r="K500" s="2266">
        <v>0</v>
      </c>
      <c r="L500" s="2266">
        <v>0</v>
      </c>
      <c r="M500" s="2266">
        <v>599</v>
      </c>
    </row>
    <row r="501" spans="1:13" ht="15">
      <c r="A501" s="2266" t="s">
        <v>4082</v>
      </c>
      <c r="B501" s="2465" t="str">
        <f>CONCATENATE(LEFT(RIGHT(CONCATENATE("000",IFAData_TEA_1617!A501),6),3),"-",(RIGHT(RIGHT(CONCATENATE("000",IFAData_TEA_1617!A501),6),3)))</f>
        <v>043-905</v>
      </c>
      <c r="C501" s="2266" t="s">
        <v>1667</v>
      </c>
      <c r="D501" s="2266">
        <v>1</v>
      </c>
      <c r="E501" s="2266">
        <v>1831</v>
      </c>
      <c r="F501" s="2266" t="s">
        <v>5119</v>
      </c>
      <c r="G501" s="2266" t="s">
        <v>5123</v>
      </c>
      <c r="H501" s="2266">
        <v>569214</v>
      </c>
      <c r="I501" s="2266">
        <v>9037</v>
      </c>
      <c r="J501" s="2266">
        <v>2.6796701488244382E-2</v>
      </c>
      <c r="K501" s="2266">
        <v>15253.057640929537</v>
      </c>
      <c r="L501" s="2266">
        <v>9037</v>
      </c>
      <c r="M501" s="2266">
        <v>599</v>
      </c>
    </row>
    <row r="502" spans="1:13" ht="15">
      <c r="A502" s="2266" t="s">
        <v>4082</v>
      </c>
      <c r="B502" s="2465" t="str">
        <f>CONCATENATE(LEFT(RIGHT(CONCATENATE("000",IFAData_TEA_1617!A502),6),3),"-",(RIGHT(RIGHT(CONCATENATE("000",IFAData_TEA_1617!A502),6),3)))</f>
        <v>043-905</v>
      </c>
      <c r="C502" s="2266" t="s">
        <v>1667</v>
      </c>
      <c r="D502" s="2266">
        <v>2</v>
      </c>
      <c r="E502" s="2266">
        <v>1830</v>
      </c>
      <c r="F502" s="2266" t="s">
        <v>5127</v>
      </c>
      <c r="G502" s="2266" t="s">
        <v>5123</v>
      </c>
      <c r="H502" s="2266">
        <v>364536</v>
      </c>
      <c r="I502" s="2266">
        <v>21475</v>
      </c>
      <c r="J502" s="2266">
        <v>1.7282033123561507E-2</v>
      </c>
      <c r="K502" s="2266">
        <v>6299.9232267306179</v>
      </c>
      <c r="L502" s="2266">
        <v>6299.9232267306179</v>
      </c>
      <c r="M502" s="2266">
        <v>599</v>
      </c>
    </row>
    <row r="503" spans="1:13" ht="15">
      <c r="A503" s="2266" t="s">
        <v>4082</v>
      </c>
      <c r="B503" s="2465" t="str">
        <f>CONCATENATE(LEFT(RIGHT(CONCATENATE("000",IFAData_TEA_1617!A503),6),3),"-",(RIGHT(RIGHT(CONCATENATE("000",IFAData_TEA_1617!A503),6),3)))</f>
        <v>043-905</v>
      </c>
      <c r="C503" s="2266" t="s">
        <v>1667</v>
      </c>
      <c r="D503" s="2266">
        <v>2</v>
      </c>
      <c r="E503" s="2266">
        <v>1830</v>
      </c>
      <c r="F503" s="2266" t="s">
        <v>5127</v>
      </c>
      <c r="G503" s="2266" t="s">
        <v>5121</v>
      </c>
      <c r="H503" s="2266">
        <v>364536</v>
      </c>
      <c r="I503" s="2266">
        <v>0</v>
      </c>
      <c r="J503" s="2266">
        <v>0</v>
      </c>
      <c r="K503" s="2266">
        <v>0</v>
      </c>
      <c r="L503" s="2266">
        <v>0</v>
      </c>
      <c r="M503" s="2266">
        <v>599</v>
      </c>
    </row>
    <row r="504" spans="1:13" ht="15">
      <c r="A504" s="2266" t="s">
        <v>4082</v>
      </c>
      <c r="B504" s="2465" t="str">
        <f>CONCATENATE(LEFT(RIGHT(CONCATENATE("000",IFAData_TEA_1617!A504),6),3),"-",(RIGHT(RIGHT(CONCATENATE("000",IFAData_TEA_1617!A504),6),3)))</f>
        <v>043-905</v>
      </c>
      <c r="C504" s="2266" t="s">
        <v>1667</v>
      </c>
      <c r="D504" s="2266">
        <v>2</v>
      </c>
      <c r="E504" s="2266">
        <v>1830</v>
      </c>
      <c r="F504" s="2266" t="s">
        <v>5127</v>
      </c>
      <c r="G504" s="2266" t="s">
        <v>5125</v>
      </c>
      <c r="H504" s="2266">
        <v>364536</v>
      </c>
      <c r="I504" s="2266">
        <v>743</v>
      </c>
      <c r="J504" s="2266">
        <v>5.9793017978142953E-4</v>
      </c>
      <c r="K504" s="2266">
        <v>217.96707601680319</v>
      </c>
      <c r="L504" s="2266">
        <v>217.96707601680319</v>
      </c>
      <c r="M504" s="2266">
        <v>599</v>
      </c>
    </row>
    <row r="505" spans="1:13" ht="15">
      <c r="A505" s="2266" t="s">
        <v>4082</v>
      </c>
      <c r="B505" s="2465" t="str">
        <f>CONCATENATE(LEFT(RIGHT(CONCATENATE("000",IFAData_TEA_1617!A505),6),3),"-",(RIGHT(RIGHT(CONCATENATE("000",IFAData_TEA_1617!A505),6),3)))</f>
        <v>043-905</v>
      </c>
      <c r="C505" s="2266" t="s">
        <v>1667</v>
      </c>
      <c r="D505" s="2266">
        <v>1</v>
      </c>
      <c r="E505" s="2266">
        <v>1831</v>
      </c>
      <c r="F505" s="2266" t="s">
        <v>5119</v>
      </c>
      <c r="G505" s="2266" t="s">
        <v>5124</v>
      </c>
      <c r="H505" s="2266">
        <v>569214</v>
      </c>
      <c r="I505" s="2266">
        <v>6764</v>
      </c>
      <c r="J505" s="2266">
        <v>2.0056754328481242E-2</v>
      </c>
      <c r="K505" s="2266">
        <v>11416.585358332122</v>
      </c>
      <c r="L505" s="2266">
        <v>6764</v>
      </c>
      <c r="M505" s="2266">
        <v>599</v>
      </c>
    </row>
    <row r="506" spans="1:13" ht="15">
      <c r="A506" s="2266" t="s">
        <v>4082</v>
      </c>
      <c r="B506" s="2465" t="str">
        <f>CONCATENATE(LEFT(RIGHT(CONCATENATE("000",IFAData_TEA_1617!A506),6),3),"-",(RIGHT(RIGHT(CONCATENATE("000",IFAData_TEA_1617!A506),6),3)))</f>
        <v>043-905</v>
      </c>
      <c r="C506" s="2266" t="s">
        <v>1667</v>
      </c>
      <c r="D506" s="2266">
        <v>1</v>
      </c>
      <c r="E506" s="2266">
        <v>1831</v>
      </c>
      <c r="F506" s="2266" t="s">
        <v>5119</v>
      </c>
      <c r="G506" s="2266" t="s">
        <v>5121</v>
      </c>
      <c r="H506" s="2266">
        <v>569214</v>
      </c>
      <c r="I506" s="2266">
        <v>0</v>
      </c>
      <c r="J506" s="2266">
        <v>0</v>
      </c>
      <c r="K506" s="2266">
        <v>0</v>
      </c>
      <c r="L506" s="2266">
        <v>0</v>
      </c>
      <c r="M506" s="2266">
        <v>599</v>
      </c>
    </row>
    <row r="507" spans="1:13" ht="15">
      <c r="A507" s="2266" t="s">
        <v>4082</v>
      </c>
      <c r="B507" s="2465" t="str">
        <f>CONCATENATE(LEFT(RIGHT(CONCATENATE("000",IFAData_TEA_1617!A507),6),3),"-",(RIGHT(RIGHT(CONCATENATE("000",IFAData_TEA_1617!A507),6),3)))</f>
        <v>043-905</v>
      </c>
      <c r="C507" s="2266" t="s">
        <v>1667</v>
      </c>
      <c r="D507" s="2266">
        <v>1</v>
      </c>
      <c r="E507" s="2266">
        <v>1831</v>
      </c>
      <c r="F507" s="2266" t="s">
        <v>5119</v>
      </c>
      <c r="G507" s="2266" t="s">
        <v>5120</v>
      </c>
      <c r="H507" s="2266">
        <v>569214</v>
      </c>
      <c r="I507" s="2266">
        <v>0</v>
      </c>
      <c r="J507" s="2266">
        <v>0</v>
      </c>
      <c r="K507" s="2266">
        <v>0</v>
      </c>
      <c r="L507" s="2266">
        <v>0</v>
      </c>
      <c r="M507" s="2266">
        <v>599</v>
      </c>
    </row>
    <row r="508" spans="1:13" ht="15">
      <c r="A508" s="2266" t="s">
        <v>4082</v>
      </c>
      <c r="B508" s="2465" t="str">
        <f>CONCATENATE(LEFT(RIGHT(CONCATENATE("000",IFAData_TEA_1617!A508),6),3),"-",(RIGHT(RIGHT(CONCATENATE("000",IFAData_TEA_1617!A508),6),3)))</f>
        <v>043-905</v>
      </c>
      <c r="C508" s="2266" t="s">
        <v>1667</v>
      </c>
      <c r="D508" s="2266">
        <v>2</v>
      </c>
      <c r="E508" s="2266">
        <v>1830</v>
      </c>
      <c r="F508" s="2266" t="s">
        <v>5127</v>
      </c>
      <c r="G508" s="2266" t="s">
        <v>5128</v>
      </c>
      <c r="H508" s="2266">
        <v>364536</v>
      </c>
      <c r="I508" s="2266">
        <v>1204344</v>
      </c>
      <c r="J508" s="2266">
        <v>0.96919734110186539</v>
      </c>
      <c r="K508" s="2266">
        <v>353307.32193590963</v>
      </c>
      <c r="L508" s="2266">
        <v>353307.32193590963</v>
      </c>
      <c r="M508" s="2266">
        <v>599</v>
      </c>
    </row>
    <row r="509" spans="1:13" ht="15">
      <c r="A509" s="2266" t="s">
        <v>4082</v>
      </c>
      <c r="B509" s="2465" t="str">
        <f>CONCATENATE(LEFT(RIGHT(CONCATENATE("000",IFAData_TEA_1617!A509),6),3),"-",(RIGHT(RIGHT(CONCATENATE("000",IFAData_TEA_1617!A509),6),3)))</f>
        <v>043-905</v>
      </c>
      <c r="C509" s="2266" t="s">
        <v>1667</v>
      </c>
      <c r="D509" s="2266">
        <v>1</v>
      </c>
      <c r="E509" s="2266">
        <v>1831</v>
      </c>
      <c r="F509" s="2266" t="s">
        <v>5119</v>
      </c>
      <c r="G509" s="2266" t="s">
        <v>5122</v>
      </c>
      <c r="H509" s="2266">
        <v>569214</v>
      </c>
      <c r="I509" s="2266">
        <v>0</v>
      </c>
      <c r="J509" s="2266">
        <v>0</v>
      </c>
      <c r="K509" s="2266">
        <v>0</v>
      </c>
      <c r="L509" s="2266">
        <v>0</v>
      </c>
      <c r="M509" s="2266">
        <v>599</v>
      </c>
    </row>
    <row r="510" spans="1:13" ht="15">
      <c r="A510" s="2266" t="s">
        <v>4082</v>
      </c>
      <c r="B510" s="2465" t="str">
        <f>CONCATENATE(LEFT(RIGHT(CONCATENATE("000",IFAData_TEA_1617!A510),6),3),"-",(RIGHT(RIGHT(CONCATENATE("000",IFAData_TEA_1617!A510),6),3)))</f>
        <v>043-905</v>
      </c>
      <c r="C510" s="2266" t="s">
        <v>1667</v>
      </c>
      <c r="D510" s="2266">
        <v>2</v>
      </c>
      <c r="E510" s="2266">
        <v>1830</v>
      </c>
      <c r="F510" s="2266" t="s">
        <v>5127</v>
      </c>
      <c r="G510" s="2266" t="s">
        <v>5120</v>
      </c>
      <c r="H510" s="2266">
        <v>364536</v>
      </c>
      <c r="I510" s="2266">
        <v>0</v>
      </c>
      <c r="J510" s="2266">
        <v>0</v>
      </c>
      <c r="K510" s="2266">
        <v>0</v>
      </c>
      <c r="L510" s="2266">
        <v>0</v>
      </c>
      <c r="M510" s="2266">
        <v>599</v>
      </c>
    </row>
    <row r="511" spans="1:13" ht="15">
      <c r="A511" s="2266" t="s">
        <v>4082</v>
      </c>
      <c r="B511" s="2465" t="str">
        <f>CONCATENATE(LEFT(RIGHT(CONCATENATE("000",IFAData_TEA_1617!A511),6),3),"-",(RIGHT(RIGHT(CONCATENATE("000",IFAData_TEA_1617!A511),6),3)))</f>
        <v>043-905</v>
      </c>
      <c r="C511" s="2266" t="s">
        <v>1667</v>
      </c>
      <c r="D511" s="2266">
        <v>1</v>
      </c>
      <c r="E511" s="2266">
        <v>1831</v>
      </c>
      <c r="F511" s="2266" t="s">
        <v>5119</v>
      </c>
      <c r="G511" s="2266" t="s">
        <v>5119</v>
      </c>
      <c r="H511" s="2266">
        <v>569214</v>
      </c>
      <c r="I511" s="2266">
        <v>0</v>
      </c>
      <c r="J511" s="2266">
        <v>0</v>
      </c>
      <c r="K511" s="2266">
        <v>0</v>
      </c>
      <c r="L511" s="2266">
        <v>0</v>
      </c>
      <c r="M511" s="2266">
        <v>599</v>
      </c>
    </row>
    <row r="512" spans="1:13" ht="15">
      <c r="A512" s="2266" t="s">
        <v>4082</v>
      </c>
      <c r="B512" s="2465" t="str">
        <f>CONCATENATE(LEFT(RIGHT(CONCATENATE("000",IFAData_TEA_1617!A512),6),3),"-",(RIGHT(RIGHT(CONCATENATE("000",IFAData_TEA_1617!A512),6),3)))</f>
        <v>043-905</v>
      </c>
      <c r="C512" s="2266" t="s">
        <v>1667</v>
      </c>
      <c r="D512" s="2266">
        <v>2</v>
      </c>
      <c r="E512" s="2266">
        <v>1830</v>
      </c>
      <c r="F512" s="2266" t="s">
        <v>5127</v>
      </c>
      <c r="G512" s="2266" t="s">
        <v>5127</v>
      </c>
      <c r="H512" s="2266">
        <v>364536</v>
      </c>
      <c r="I512" s="2266">
        <v>0</v>
      </c>
      <c r="J512" s="2266">
        <v>0</v>
      </c>
      <c r="K512" s="2266">
        <v>0</v>
      </c>
      <c r="L512" s="2266">
        <v>0</v>
      </c>
      <c r="M512" s="2266">
        <v>599</v>
      </c>
    </row>
    <row r="513" spans="1:13" ht="15">
      <c r="A513" s="2266" t="s">
        <v>4082</v>
      </c>
      <c r="B513" s="2465" t="str">
        <f>CONCATENATE(LEFT(RIGHT(CONCATENATE("000",IFAData_TEA_1617!A513),6),3),"-",(RIGHT(RIGHT(CONCATENATE("000",IFAData_TEA_1617!A513),6),3)))</f>
        <v>043-905</v>
      </c>
      <c r="C513" s="2266" t="s">
        <v>1667</v>
      </c>
      <c r="D513" s="2266">
        <v>1</v>
      </c>
      <c r="E513" s="2266">
        <v>1831</v>
      </c>
      <c r="F513" s="2266" t="s">
        <v>5119</v>
      </c>
      <c r="G513" s="2266" t="s">
        <v>5125</v>
      </c>
      <c r="H513" s="2266">
        <v>569214</v>
      </c>
      <c r="I513" s="2266">
        <v>313</v>
      </c>
      <c r="J513" s="2266">
        <v>9.2811414914468202E-4</v>
      </c>
      <c r="K513" s="2266">
        <v>528.29556729124101</v>
      </c>
      <c r="L513" s="2266">
        <v>313</v>
      </c>
      <c r="M513" s="2266">
        <v>599</v>
      </c>
    </row>
    <row r="514" spans="1:13" ht="15">
      <c r="A514" s="2266" t="s">
        <v>4082</v>
      </c>
      <c r="B514" s="2465" t="str">
        <f>CONCATENATE(LEFT(RIGHT(CONCATENATE("000",IFAData_TEA_1617!A514),6),3),"-",(RIGHT(RIGHT(CONCATENATE("000",IFAData_TEA_1617!A514),6),3)))</f>
        <v>043-905</v>
      </c>
      <c r="C514" s="2266" t="s">
        <v>1667</v>
      </c>
      <c r="D514" s="2266">
        <v>2</v>
      </c>
      <c r="E514" s="2266">
        <v>1830</v>
      </c>
      <c r="F514" s="2266" t="s">
        <v>5127</v>
      </c>
      <c r="G514" s="2266" t="s">
        <v>5124</v>
      </c>
      <c r="H514" s="2266">
        <v>364536</v>
      </c>
      <c r="I514" s="2266">
        <v>16058</v>
      </c>
      <c r="J514" s="2266">
        <v>1.292269559479165E-2</v>
      </c>
      <c r="K514" s="2266">
        <v>4710.7877613429691</v>
      </c>
      <c r="L514" s="2266">
        <v>4710.7877613429691</v>
      </c>
      <c r="M514" s="2266">
        <v>599</v>
      </c>
    </row>
    <row r="515" spans="1:13" ht="15">
      <c r="A515" s="2266" t="s">
        <v>4082</v>
      </c>
      <c r="B515" s="2465" t="str">
        <f>CONCATENATE(LEFT(RIGHT(CONCATENATE("000",IFAData_TEA_1617!A515),6),3),"-",(RIGHT(RIGHT(CONCATENATE("000",IFAData_TEA_1617!A515),6),3)))</f>
        <v>043-905</v>
      </c>
      <c r="C515" s="2266" t="s">
        <v>1667</v>
      </c>
      <c r="D515" s="2266">
        <v>1</v>
      </c>
      <c r="E515" s="2266">
        <v>1831</v>
      </c>
      <c r="F515" s="2266" t="s">
        <v>5119</v>
      </c>
      <c r="G515" s="2266" t="s">
        <v>6939</v>
      </c>
      <c r="H515" s="2266">
        <v>569214</v>
      </c>
      <c r="I515" s="2266">
        <v>217879</v>
      </c>
      <c r="J515" s="2266">
        <v>0.64605936965333599</v>
      </c>
      <c r="K515" s="2266">
        <v>367746.03803785401</v>
      </c>
      <c r="L515" s="2266">
        <v>217879</v>
      </c>
      <c r="M515" s="2266">
        <v>599</v>
      </c>
    </row>
    <row r="516" spans="1:13" ht="15">
      <c r="A516" s="2266" t="s">
        <v>4082</v>
      </c>
      <c r="B516" s="2465" t="str">
        <f>CONCATENATE(LEFT(RIGHT(CONCATENATE("000",IFAData_TEA_1617!A516),6),3),"-",(RIGHT(RIGHT(CONCATENATE("000",IFAData_TEA_1617!A516),6),3)))</f>
        <v>043-905</v>
      </c>
      <c r="C516" s="2266" t="s">
        <v>1667</v>
      </c>
      <c r="D516" s="2266">
        <v>1</v>
      </c>
      <c r="E516" s="2266">
        <v>1831</v>
      </c>
      <c r="F516" s="2266" t="s">
        <v>5119</v>
      </c>
      <c r="G516" s="2266" t="s">
        <v>5126</v>
      </c>
      <c r="H516" s="2266">
        <v>569214</v>
      </c>
      <c r="I516" s="2266">
        <v>103250</v>
      </c>
      <c r="J516" s="2266">
        <v>0.30615906038079366</v>
      </c>
      <c r="K516" s="2266">
        <v>174270.02339559307</v>
      </c>
      <c r="L516" s="2266">
        <v>103250</v>
      </c>
      <c r="M516" s="2266">
        <v>599</v>
      </c>
    </row>
    <row r="517" spans="1:13" ht="15">
      <c r="A517" s="2266" t="s">
        <v>4083</v>
      </c>
      <c r="B517" s="2465" t="str">
        <f>CONCATENATE(LEFT(RIGHT(CONCATENATE("000",IFAData_TEA_1617!A517),6),3),"-",(RIGHT(RIGHT(CONCATENATE("000",IFAData_TEA_1617!A517),6),3)))</f>
        <v>043-907</v>
      </c>
      <c r="C517" s="2266" t="s">
        <v>928</v>
      </c>
      <c r="D517" s="2266">
        <v>1</v>
      </c>
      <c r="E517" s="2266">
        <v>2082</v>
      </c>
      <c r="F517" s="2266" t="s">
        <v>5129</v>
      </c>
      <c r="G517" s="2266" t="s">
        <v>6940</v>
      </c>
      <c r="H517" s="2266">
        <v>1347187</v>
      </c>
      <c r="I517" s="2266">
        <v>635003</v>
      </c>
      <c r="J517" s="2266">
        <v>1</v>
      </c>
      <c r="K517" s="2266">
        <v>1347187</v>
      </c>
      <c r="L517" s="2266">
        <v>635003</v>
      </c>
      <c r="M517" s="2266">
        <v>599</v>
      </c>
    </row>
    <row r="518" spans="1:13" ht="15">
      <c r="A518" s="2266" t="s">
        <v>4083</v>
      </c>
      <c r="B518" s="2465" t="str">
        <f>CONCATENATE(LEFT(RIGHT(CONCATENATE("000",IFAData_TEA_1617!A518),6),3),"-",(RIGHT(RIGHT(CONCATENATE("000",IFAData_TEA_1617!A518),6),3)))</f>
        <v>043-907</v>
      </c>
      <c r="C518" s="2266" t="s">
        <v>928</v>
      </c>
      <c r="D518" s="2266">
        <v>1</v>
      </c>
      <c r="E518" s="2266">
        <v>2082</v>
      </c>
      <c r="F518" s="2266" t="s">
        <v>5129</v>
      </c>
      <c r="G518" s="2266" t="s">
        <v>5130</v>
      </c>
      <c r="H518" s="2266">
        <v>1347187</v>
      </c>
      <c r="I518" s="2266">
        <v>0</v>
      </c>
      <c r="J518" s="2266">
        <v>0</v>
      </c>
      <c r="K518" s="2266">
        <v>0</v>
      </c>
      <c r="L518" s="2266">
        <v>0</v>
      </c>
      <c r="M518" s="2266">
        <v>599</v>
      </c>
    </row>
    <row r="519" spans="1:13" ht="15">
      <c r="A519" s="2266" t="s">
        <v>4083</v>
      </c>
      <c r="B519" s="2465" t="str">
        <f>CONCATENATE(LEFT(RIGHT(CONCATENATE("000",IFAData_TEA_1617!A519),6),3),"-",(RIGHT(RIGHT(CONCATENATE("000",IFAData_TEA_1617!A519),6),3)))</f>
        <v>043-907</v>
      </c>
      <c r="C519" s="2266" t="s">
        <v>928</v>
      </c>
      <c r="D519" s="2266">
        <v>1</v>
      </c>
      <c r="E519" s="2266">
        <v>2082</v>
      </c>
      <c r="F519" s="2266" t="s">
        <v>5129</v>
      </c>
      <c r="G519" s="2266" t="s">
        <v>5129</v>
      </c>
      <c r="H519" s="2266">
        <v>1347187</v>
      </c>
      <c r="I519" s="2266">
        <v>0</v>
      </c>
      <c r="J519" s="2266">
        <v>0</v>
      </c>
      <c r="K519" s="2266">
        <v>0</v>
      </c>
      <c r="L519" s="2266">
        <v>0</v>
      </c>
      <c r="M519" s="2266">
        <v>599</v>
      </c>
    </row>
    <row r="520" spans="1:13" ht="15">
      <c r="A520" s="2266" t="s">
        <v>4084</v>
      </c>
      <c r="B520" s="2465" t="str">
        <f>CONCATENATE(LEFT(RIGHT(CONCATENATE("000",IFAData_TEA_1617!A520),6),3),"-",(RIGHT(RIGHT(CONCATENATE("000",IFAData_TEA_1617!A520),6),3)))</f>
        <v>043-908</v>
      </c>
      <c r="C520" s="2266" t="s">
        <v>2518</v>
      </c>
      <c r="D520" s="2266">
        <v>10</v>
      </c>
      <c r="E520" s="2266">
        <v>2088</v>
      </c>
      <c r="F520" s="2266" t="s">
        <v>5132</v>
      </c>
      <c r="G520" s="2266" t="s">
        <v>5132</v>
      </c>
      <c r="H520" s="2266">
        <v>121098</v>
      </c>
      <c r="I520" s="2266">
        <v>226098</v>
      </c>
      <c r="J520" s="2266">
        <v>1</v>
      </c>
      <c r="K520" s="2266">
        <v>121098</v>
      </c>
      <c r="L520" s="2266">
        <v>121098</v>
      </c>
      <c r="M520" s="2266">
        <v>599</v>
      </c>
    </row>
    <row r="521" spans="1:13" ht="15">
      <c r="A521" s="2266" t="s">
        <v>4084</v>
      </c>
      <c r="B521" s="2465" t="str">
        <f>CONCATENATE(LEFT(RIGHT(CONCATENATE("000",IFAData_TEA_1617!A521),6),3),"-",(RIGHT(RIGHT(CONCATENATE("000",IFAData_TEA_1617!A521),6),3)))</f>
        <v>043-908</v>
      </c>
      <c r="C521" s="2266" t="s">
        <v>2518</v>
      </c>
      <c r="D521" s="2266">
        <v>9</v>
      </c>
      <c r="E521" s="2266">
        <v>2089</v>
      </c>
      <c r="F521" s="2266" t="s">
        <v>5131</v>
      </c>
      <c r="G521" s="2266" t="s">
        <v>5131</v>
      </c>
      <c r="H521" s="2266">
        <v>334507</v>
      </c>
      <c r="I521" s="2266">
        <v>278912</v>
      </c>
      <c r="J521" s="2266">
        <v>0.43145177507927912</v>
      </c>
      <c r="K521" s="2266">
        <v>144323.63892644443</v>
      </c>
      <c r="L521" s="2266">
        <v>144323.63892644443</v>
      </c>
      <c r="M521" s="2266">
        <v>599</v>
      </c>
    </row>
    <row r="522" spans="1:13" ht="15">
      <c r="A522" s="2266" t="s">
        <v>4084</v>
      </c>
      <c r="B522" s="2465" t="str">
        <f>CONCATENATE(LEFT(RIGHT(CONCATENATE("000",IFAData_TEA_1617!A522),6),3),"-",(RIGHT(RIGHT(CONCATENATE("000",IFAData_TEA_1617!A522),6),3)))</f>
        <v>043-908</v>
      </c>
      <c r="C522" s="2266" t="s">
        <v>2518</v>
      </c>
      <c r="D522" s="2266">
        <v>9</v>
      </c>
      <c r="E522" s="2266">
        <v>2089</v>
      </c>
      <c r="F522" s="2266" t="s">
        <v>5131</v>
      </c>
      <c r="G522" s="2266" t="s">
        <v>7607</v>
      </c>
      <c r="H522" s="2266">
        <v>334507</v>
      </c>
      <c r="I522" s="2266">
        <v>367538</v>
      </c>
      <c r="J522" s="2266">
        <v>0.56854822492072088</v>
      </c>
      <c r="K522" s="2266">
        <v>190183.36107355557</v>
      </c>
      <c r="L522" s="2266">
        <v>190183.36107355557</v>
      </c>
      <c r="M522" s="2266">
        <v>599</v>
      </c>
    </row>
    <row r="523" spans="1:13" ht="15">
      <c r="A523" s="2266" t="s">
        <v>4085</v>
      </c>
      <c r="B523" s="2465" t="str">
        <f>CONCATENATE(LEFT(RIGHT(CONCATENATE("000",IFAData_TEA_1617!A523),6),3),"-",(RIGHT(RIGHT(CONCATENATE("000",IFAData_TEA_1617!A523),6),3)))</f>
        <v>043-911</v>
      </c>
      <c r="C523" s="2266" t="s">
        <v>87</v>
      </c>
      <c r="D523" s="2266">
        <v>10</v>
      </c>
      <c r="E523" s="2266">
        <v>2213</v>
      </c>
      <c r="F523" s="2266" t="s">
        <v>5139</v>
      </c>
      <c r="G523" s="2266" t="s">
        <v>5139</v>
      </c>
      <c r="H523" s="2266">
        <v>251143</v>
      </c>
      <c r="I523" s="2266">
        <v>215250</v>
      </c>
      <c r="J523" s="2266">
        <v>1</v>
      </c>
      <c r="K523" s="2266">
        <v>251143</v>
      </c>
      <c r="L523" s="2266">
        <v>215250</v>
      </c>
      <c r="M523" s="2266">
        <v>599</v>
      </c>
    </row>
    <row r="524" spans="1:13" ht="15">
      <c r="A524" s="2266" t="s">
        <v>4085</v>
      </c>
      <c r="B524" s="2465" t="str">
        <f>CONCATENATE(LEFT(RIGHT(CONCATENATE("000",IFAData_TEA_1617!A524),6),3),"-",(RIGHT(RIGHT(CONCATENATE("000",IFAData_TEA_1617!A524),6),3)))</f>
        <v>043-911</v>
      </c>
      <c r="C524" s="2266" t="s">
        <v>87</v>
      </c>
      <c r="D524" s="2266">
        <v>2</v>
      </c>
      <c r="E524" s="2266">
        <v>2214</v>
      </c>
      <c r="F524" s="2266" t="s">
        <v>5133</v>
      </c>
      <c r="G524" s="2266" t="s">
        <v>5134</v>
      </c>
      <c r="H524" s="2266">
        <v>470750</v>
      </c>
      <c r="I524" s="2266">
        <v>663710</v>
      </c>
      <c r="J524" s="2266">
        <v>1</v>
      </c>
      <c r="K524" s="2266">
        <v>470750</v>
      </c>
      <c r="L524" s="2266">
        <v>470750</v>
      </c>
      <c r="M524" s="2266">
        <v>599</v>
      </c>
    </row>
    <row r="525" spans="1:13" ht="15">
      <c r="A525" s="2266" t="s">
        <v>4085</v>
      </c>
      <c r="B525" s="2465" t="str">
        <f>CONCATENATE(LEFT(RIGHT(CONCATENATE("000",IFAData_TEA_1617!A525),6),3),"-",(RIGHT(RIGHT(CONCATENATE("000",IFAData_TEA_1617!A525),6),3)))</f>
        <v>043-911</v>
      </c>
      <c r="C525" s="2266" t="s">
        <v>87</v>
      </c>
      <c r="D525" s="2266">
        <v>9</v>
      </c>
      <c r="E525" s="2266">
        <v>2216</v>
      </c>
      <c r="F525" s="2266" t="s">
        <v>5138</v>
      </c>
      <c r="G525" s="2266" t="s">
        <v>7167</v>
      </c>
      <c r="H525" s="2266">
        <v>607244</v>
      </c>
      <c r="I525" s="2266">
        <v>575744</v>
      </c>
      <c r="J525" s="2266">
        <v>0.9695924553721792</v>
      </c>
      <c r="K525" s="2266">
        <v>588779.20097002364</v>
      </c>
      <c r="L525" s="2266">
        <v>575744</v>
      </c>
      <c r="M525" s="2266">
        <v>599</v>
      </c>
    </row>
    <row r="526" spans="1:13" ht="15">
      <c r="A526" s="2266" t="s">
        <v>4085</v>
      </c>
      <c r="B526" s="2465" t="str">
        <f>CONCATENATE(LEFT(RIGHT(CONCATENATE("000",IFAData_TEA_1617!A526),6),3),"-",(RIGHT(RIGHT(CONCATENATE("000",IFAData_TEA_1617!A526),6),3)))</f>
        <v>043-911</v>
      </c>
      <c r="C526" s="2266" t="s">
        <v>87</v>
      </c>
      <c r="D526" s="2266">
        <v>6</v>
      </c>
      <c r="E526" s="2266">
        <v>2215</v>
      </c>
      <c r="F526" s="2266" t="s">
        <v>5135</v>
      </c>
      <c r="G526" s="2266" t="s">
        <v>6941</v>
      </c>
      <c r="H526" s="2266">
        <v>556250</v>
      </c>
      <c r="I526" s="2266">
        <v>433986</v>
      </c>
      <c r="J526" s="2266">
        <v>0.30455820442409626</v>
      </c>
      <c r="K526" s="2266">
        <v>169410.50121090355</v>
      </c>
      <c r="L526" s="2266">
        <v>169410.50121090355</v>
      </c>
      <c r="M526" s="2266">
        <v>599</v>
      </c>
    </row>
    <row r="527" spans="1:13" ht="15">
      <c r="A527" s="2266" t="s">
        <v>4085</v>
      </c>
      <c r="B527" s="2465" t="str">
        <f>CONCATENATE(LEFT(RIGHT(CONCATENATE("000",IFAData_TEA_1617!A527),6),3),"-",(RIGHT(RIGHT(CONCATENATE("000",IFAData_TEA_1617!A527),6),3)))</f>
        <v>043-911</v>
      </c>
      <c r="C527" s="2266" t="s">
        <v>87</v>
      </c>
      <c r="D527" s="2266">
        <v>2</v>
      </c>
      <c r="E527" s="2266">
        <v>2214</v>
      </c>
      <c r="F527" s="2266" t="s">
        <v>5133</v>
      </c>
      <c r="G527" s="2266" t="s">
        <v>5133</v>
      </c>
      <c r="H527" s="2266">
        <v>470750</v>
      </c>
      <c r="I527" s="2266">
        <v>0</v>
      </c>
      <c r="J527" s="2266">
        <v>0</v>
      </c>
      <c r="K527" s="2266">
        <v>0</v>
      </c>
      <c r="L527" s="2266">
        <v>0</v>
      </c>
      <c r="M527" s="2266">
        <v>599</v>
      </c>
    </row>
    <row r="528" spans="1:13" ht="15">
      <c r="A528" s="2266" t="s">
        <v>4085</v>
      </c>
      <c r="B528" s="2465" t="str">
        <f>CONCATENATE(LEFT(RIGHT(CONCATENATE("000",IFAData_TEA_1617!A528),6),3),"-",(RIGHT(RIGHT(CONCATENATE("000",IFAData_TEA_1617!A528),6),3)))</f>
        <v>043-911</v>
      </c>
      <c r="C528" s="2266" t="s">
        <v>87</v>
      </c>
      <c r="D528" s="2266">
        <v>6</v>
      </c>
      <c r="E528" s="2266">
        <v>2215</v>
      </c>
      <c r="F528" s="2266" t="s">
        <v>5135</v>
      </c>
      <c r="G528" s="2266" t="s">
        <v>5135</v>
      </c>
      <c r="H528" s="2266">
        <v>556250</v>
      </c>
      <c r="I528" s="2266">
        <v>0</v>
      </c>
      <c r="J528" s="2266">
        <v>0</v>
      </c>
      <c r="K528" s="2266">
        <v>0</v>
      </c>
      <c r="L528" s="2266">
        <v>0</v>
      </c>
      <c r="M528" s="2266">
        <v>599</v>
      </c>
    </row>
    <row r="529" spans="1:13" ht="15">
      <c r="A529" s="2266" t="s">
        <v>4085</v>
      </c>
      <c r="B529" s="2465" t="str">
        <f>CONCATENATE(LEFT(RIGHT(CONCATENATE("000",IFAData_TEA_1617!A529),6),3),"-",(RIGHT(RIGHT(CONCATENATE("000",IFAData_TEA_1617!A529),6),3)))</f>
        <v>043-911</v>
      </c>
      <c r="C529" s="2266" t="s">
        <v>87</v>
      </c>
      <c r="D529" s="2266">
        <v>9</v>
      </c>
      <c r="E529" s="2266">
        <v>2216</v>
      </c>
      <c r="F529" s="2266" t="s">
        <v>5138</v>
      </c>
      <c r="G529" s="2266" t="s">
        <v>5138</v>
      </c>
      <c r="H529" s="2266">
        <v>607244</v>
      </c>
      <c r="I529" s="2266">
        <v>18056</v>
      </c>
      <c r="J529" s="2266">
        <v>3.0407544627820814E-2</v>
      </c>
      <c r="K529" s="2266">
        <v>18464.799029976424</v>
      </c>
      <c r="L529" s="2266">
        <v>18056</v>
      </c>
      <c r="M529" s="2266">
        <v>599</v>
      </c>
    </row>
    <row r="530" spans="1:13" ht="15">
      <c r="A530" s="2266" t="s">
        <v>4085</v>
      </c>
      <c r="B530" s="2465" t="str">
        <f>CONCATENATE(LEFT(RIGHT(CONCATENATE("000",IFAData_TEA_1617!A530),6),3),"-",(RIGHT(RIGHT(CONCATENATE("000",IFAData_TEA_1617!A530),6),3)))</f>
        <v>043-911</v>
      </c>
      <c r="C530" s="2266" t="s">
        <v>87</v>
      </c>
      <c r="D530" s="2266">
        <v>6</v>
      </c>
      <c r="E530" s="2266">
        <v>2215</v>
      </c>
      <c r="F530" s="2266" t="s">
        <v>5135</v>
      </c>
      <c r="G530" s="2266" t="s">
        <v>5137</v>
      </c>
      <c r="H530" s="2266">
        <v>556250</v>
      </c>
      <c r="I530" s="2266">
        <v>550340</v>
      </c>
      <c r="J530" s="2266">
        <v>0.38621191057489673</v>
      </c>
      <c r="K530" s="2266">
        <v>214830.3752572863</v>
      </c>
      <c r="L530" s="2266">
        <v>214830.3752572863</v>
      </c>
      <c r="M530" s="2266">
        <v>599</v>
      </c>
    </row>
    <row r="531" spans="1:13" ht="15">
      <c r="A531" s="2266" t="s">
        <v>4085</v>
      </c>
      <c r="B531" s="2465" t="str">
        <f>CONCATENATE(LEFT(RIGHT(CONCATENATE("000",IFAData_TEA_1617!A531),6),3),"-",(RIGHT(RIGHT(CONCATENATE("000",IFAData_TEA_1617!A531),6),3)))</f>
        <v>043-911</v>
      </c>
      <c r="C531" s="2266" t="s">
        <v>87</v>
      </c>
      <c r="D531" s="2266">
        <v>6</v>
      </c>
      <c r="E531" s="2266">
        <v>2215</v>
      </c>
      <c r="F531" s="2266" t="s">
        <v>5135</v>
      </c>
      <c r="G531" s="2266" t="s">
        <v>5136</v>
      </c>
      <c r="H531" s="2266">
        <v>556250</v>
      </c>
      <c r="I531" s="2266">
        <v>440643</v>
      </c>
      <c r="J531" s="2266">
        <v>0.30922988500100707</v>
      </c>
      <c r="K531" s="2266">
        <v>172009.12353181018</v>
      </c>
      <c r="L531" s="2266">
        <v>172009.12353181018</v>
      </c>
      <c r="M531" s="2266">
        <v>599</v>
      </c>
    </row>
    <row r="532" spans="1:13" ht="15">
      <c r="A532" s="2266" t="s">
        <v>4086</v>
      </c>
      <c r="B532" s="2465" t="str">
        <f>CONCATENATE(LEFT(RIGHT(CONCATENATE("000",IFAData_TEA_1617!A532),6),3),"-",(RIGHT(RIGHT(CONCATENATE("000",IFAData_TEA_1617!A532),6),3)))</f>
        <v>043-912</v>
      </c>
      <c r="C532" s="2266" t="s">
        <v>89</v>
      </c>
      <c r="D532" s="2266">
        <v>2</v>
      </c>
      <c r="E532" s="2266">
        <v>2222</v>
      </c>
      <c r="F532" s="2266" t="s">
        <v>5140</v>
      </c>
      <c r="G532" s="2266" t="s">
        <v>5142</v>
      </c>
      <c r="H532" s="2266">
        <v>210750</v>
      </c>
      <c r="I532" s="2266">
        <v>258334</v>
      </c>
      <c r="J532" s="2266">
        <v>0.4775217241015991</v>
      </c>
      <c r="K532" s="2266">
        <v>100637.70335441201</v>
      </c>
      <c r="L532" s="2266">
        <v>100637.70335441201</v>
      </c>
      <c r="M532" s="2266">
        <v>599</v>
      </c>
    </row>
    <row r="533" spans="1:13" ht="15">
      <c r="A533" s="2266" t="s">
        <v>4086</v>
      </c>
      <c r="B533" s="2465" t="str">
        <f>CONCATENATE(LEFT(RIGHT(CONCATENATE("000",IFAData_TEA_1617!A533),6),3),"-",(RIGHT(RIGHT(CONCATENATE("000",IFAData_TEA_1617!A533),6),3)))</f>
        <v>043-912</v>
      </c>
      <c r="C533" s="2266" t="s">
        <v>89</v>
      </c>
      <c r="D533" s="2266">
        <v>2</v>
      </c>
      <c r="E533" s="2266">
        <v>2222</v>
      </c>
      <c r="F533" s="2266" t="s">
        <v>5140</v>
      </c>
      <c r="G533" s="2266" t="s">
        <v>5143</v>
      </c>
      <c r="H533" s="2266">
        <v>210750</v>
      </c>
      <c r="I533" s="2266">
        <v>970</v>
      </c>
      <c r="J533" s="2266">
        <v>1.7930124272397406E-3</v>
      </c>
      <c r="K533" s="2266">
        <v>377.87736904077536</v>
      </c>
      <c r="L533" s="2266">
        <v>377.87736904077536</v>
      </c>
      <c r="M533" s="2266">
        <v>599</v>
      </c>
    </row>
    <row r="534" spans="1:13" ht="15">
      <c r="A534" s="2266" t="s">
        <v>4086</v>
      </c>
      <c r="B534" s="2465" t="str">
        <f>CONCATENATE(LEFT(RIGHT(CONCATENATE("000",IFAData_TEA_1617!A534),6),3),"-",(RIGHT(RIGHT(CONCATENATE("000",IFAData_TEA_1617!A534),6),3)))</f>
        <v>043-912</v>
      </c>
      <c r="C534" s="2266" t="s">
        <v>89</v>
      </c>
      <c r="D534" s="2266">
        <v>2</v>
      </c>
      <c r="E534" s="2266">
        <v>2222</v>
      </c>
      <c r="F534" s="2266" t="s">
        <v>5140</v>
      </c>
      <c r="G534" s="2266" t="s">
        <v>5141</v>
      </c>
      <c r="H534" s="2266">
        <v>210750</v>
      </c>
      <c r="I534" s="2266">
        <v>8295</v>
      </c>
      <c r="J534" s="2266">
        <v>1.5333028952529535E-2</v>
      </c>
      <c r="K534" s="2266">
        <v>3231.4358517455994</v>
      </c>
      <c r="L534" s="2266">
        <v>3231.4358517455994</v>
      </c>
      <c r="M534" s="2266">
        <v>599</v>
      </c>
    </row>
    <row r="535" spans="1:13" ht="15">
      <c r="A535" s="2266" t="s">
        <v>4086</v>
      </c>
      <c r="B535" s="2465" t="str">
        <f>CONCATENATE(LEFT(RIGHT(CONCATENATE("000",IFAData_TEA_1617!A535),6),3),"-",(RIGHT(RIGHT(CONCATENATE("000",IFAData_TEA_1617!A535),6),3)))</f>
        <v>043-912</v>
      </c>
      <c r="C535" s="2266" t="s">
        <v>89</v>
      </c>
      <c r="D535" s="2266">
        <v>2</v>
      </c>
      <c r="E535" s="2266">
        <v>2222</v>
      </c>
      <c r="F535" s="2266" t="s">
        <v>5140</v>
      </c>
      <c r="G535" s="2266" t="s">
        <v>5140</v>
      </c>
      <c r="H535" s="2266">
        <v>210750</v>
      </c>
      <c r="I535" s="2266">
        <v>0</v>
      </c>
      <c r="J535" s="2266">
        <v>0</v>
      </c>
      <c r="K535" s="2266">
        <v>0</v>
      </c>
      <c r="L535" s="2266">
        <v>0</v>
      </c>
      <c r="M535" s="2266">
        <v>599</v>
      </c>
    </row>
    <row r="536" spans="1:13" ht="15">
      <c r="A536" s="2266" t="s">
        <v>4086</v>
      </c>
      <c r="B536" s="2465" t="str">
        <f>CONCATENATE(LEFT(RIGHT(CONCATENATE("000",IFAData_TEA_1617!A536),6),3),"-",(RIGHT(RIGHT(CONCATENATE("000",IFAData_TEA_1617!A536),6),3)))</f>
        <v>043-912</v>
      </c>
      <c r="C536" s="2266" t="s">
        <v>89</v>
      </c>
      <c r="D536" s="2266">
        <v>2</v>
      </c>
      <c r="E536" s="2266">
        <v>2222</v>
      </c>
      <c r="F536" s="2266" t="s">
        <v>5140</v>
      </c>
      <c r="G536" s="2266" t="s">
        <v>6942</v>
      </c>
      <c r="H536" s="2266">
        <v>210750</v>
      </c>
      <c r="I536" s="2266">
        <v>273390</v>
      </c>
      <c r="J536" s="2266">
        <v>0.50535223451863165</v>
      </c>
      <c r="K536" s="2266">
        <v>106502.98342480163</v>
      </c>
      <c r="L536" s="2266">
        <v>106502.98342480163</v>
      </c>
      <c r="M536" s="2266">
        <v>599</v>
      </c>
    </row>
    <row r="537" spans="1:13" ht="15">
      <c r="A537" s="2266" t="s">
        <v>4087</v>
      </c>
      <c r="B537" s="2465" t="str">
        <f>CONCATENATE(LEFT(RIGHT(CONCATENATE("000",IFAData_TEA_1617!A537),6),3),"-",(RIGHT(RIGHT(CONCATENATE("000",IFAData_TEA_1617!A537),6),3)))</f>
        <v>043-914</v>
      </c>
      <c r="C537" s="2266" t="s">
        <v>1293</v>
      </c>
      <c r="D537" s="2266">
        <v>9</v>
      </c>
      <c r="E537" s="2266">
        <v>2464</v>
      </c>
      <c r="F537" s="2266" t="s">
        <v>5150</v>
      </c>
      <c r="G537" s="2266" t="s">
        <v>7168</v>
      </c>
      <c r="H537" s="2266">
        <v>633540</v>
      </c>
      <c r="I537" s="2266">
        <v>829996</v>
      </c>
      <c r="J537" s="2266">
        <v>0.38038383205102116</v>
      </c>
      <c r="K537" s="2266">
        <v>240988.37295760395</v>
      </c>
      <c r="L537" s="2266">
        <v>240988.37295760395</v>
      </c>
      <c r="M537" s="2266">
        <v>599</v>
      </c>
    </row>
    <row r="538" spans="1:13" ht="15">
      <c r="A538" s="2266" t="s">
        <v>4087</v>
      </c>
      <c r="B538" s="2465" t="str">
        <f>CONCATENATE(LEFT(RIGHT(CONCATENATE("000",IFAData_TEA_1617!A538),6),3),"-",(RIGHT(RIGHT(CONCATENATE("000",IFAData_TEA_1617!A538),6),3)))</f>
        <v>043-914</v>
      </c>
      <c r="C538" s="2266" t="s">
        <v>1293</v>
      </c>
      <c r="D538" s="2266">
        <v>5</v>
      </c>
      <c r="E538" s="2266">
        <v>2463</v>
      </c>
      <c r="F538" s="2266" t="s">
        <v>5144</v>
      </c>
      <c r="G538" s="2266" t="s">
        <v>5148</v>
      </c>
      <c r="H538" s="2266">
        <v>440511</v>
      </c>
      <c r="I538" s="2266">
        <v>58977</v>
      </c>
      <c r="J538" s="2266">
        <v>0.26549951381135883</v>
      </c>
      <c r="K538" s="2266">
        <v>116955.45632855549</v>
      </c>
      <c r="L538" s="2266">
        <v>58977</v>
      </c>
      <c r="M538" s="2266">
        <v>599</v>
      </c>
    </row>
    <row r="539" spans="1:13" ht="15">
      <c r="A539" s="2266" t="s">
        <v>4087</v>
      </c>
      <c r="B539" s="2465" t="str">
        <f>CONCATENATE(LEFT(RIGHT(CONCATENATE("000",IFAData_TEA_1617!A539),6),3),"-",(RIGHT(RIGHT(CONCATENATE("000",IFAData_TEA_1617!A539),6),3)))</f>
        <v>043-914</v>
      </c>
      <c r="C539" s="2266" t="s">
        <v>1293</v>
      </c>
      <c r="D539" s="2266">
        <v>9</v>
      </c>
      <c r="E539" s="2266">
        <v>2464</v>
      </c>
      <c r="F539" s="2266" t="s">
        <v>5150</v>
      </c>
      <c r="G539" s="2266" t="s">
        <v>5150</v>
      </c>
      <c r="H539" s="2266">
        <v>633540</v>
      </c>
      <c r="I539" s="2266">
        <v>1352000</v>
      </c>
      <c r="J539" s="2266">
        <v>0.61961616794897878</v>
      </c>
      <c r="K539" s="2266">
        <v>392551.62704239599</v>
      </c>
      <c r="L539" s="2266">
        <v>392551.62704239599</v>
      </c>
      <c r="M539" s="2266">
        <v>599</v>
      </c>
    </row>
    <row r="540" spans="1:13" ht="15">
      <c r="A540" s="2266" t="s">
        <v>4087</v>
      </c>
      <c r="B540" s="2465" t="str">
        <f>CONCATENATE(LEFT(RIGHT(CONCATENATE("000",IFAData_TEA_1617!A540),6),3),"-",(RIGHT(RIGHT(CONCATENATE("000",IFAData_TEA_1617!A540),6),3)))</f>
        <v>043-914</v>
      </c>
      <c r="C540" s="2266" t="s">
        <v>1293</v>
      </c>
      <c r="D540" s="2266">
        <v>5</v>
      </c>
      <c r="E540" s="2266">
        <v>2463</v>
      </c>
      <c r="F540" s="2266" t="s">
        <v>5144</v>
      </c>
      <c r="G540" s="2266" t="s">
        <v>5147</v>
      </c>
      <c r="H540" s="2266">
        <v>440511</v>
      </c>
      <c r="I540" s="2266">
        <v>95872</v>
      </c>
      <c r="J540" s="2266">
        <v>0.43159145748550437</v>
      </c>
      <c r="K540" s="2266">
        <v>190120.78452839702</v>
      </c>
      <c r="L540" s="2266">
        <v>95872</v>
      </c>
      <c r="M540" s="2266">
        <v>599</v>
      </c>
    </row>
    <row r="541" spans="1:13" ht="15">
      <c r="A541" s="2266" t="s">
        <v>4087</v>
      </c>
      <c r="B541" s="2465" t="str">
        <f>CONCATENATE(LEFT(RIGHT(CONCATENATE("000",IFAData_TEA_1617!A541),6),3),"-",(RIGHT(RIGHT(CONCATENATE("000",IFAData_TEA_1617!A541),6),3)))</f>
        <v>043-914</v>
      </c>
      <c r="C541" s="2266" t="s">
        <v>1293</v>
      </c>
      <c r="D541" s="2266">
        <v>5</v>
      </c>
      <c r="E541" s="2266">
        <v>2463</v>
      </c>
      <c r="F541" s="2266" t="s">
        <v>5144</v>
      </c>
      <c r="G541" s="2266" t="s">
        <v>5146</v>
      </c>
      <c r="H541" s="2266">
        <v>440511</v>
      </c>
      <c r="I541" s="2266">
        <v>53430</v>
      </c>
      <c r="J541" s="2266">
        <v>0.24052832499009616</v>
      </c>
      <c r="K541" s="2266">
        <v>105955.37296971225</v>
      </c>
      <c r="L541" s="2266">
        <v>53430</v>
      </c>
      <c r="M541" s="2266">
        <v>599</v>
      </c>
    </row>
    <row r="542" spans="1:13" ht="15">
      <c r="A542" s="2266" t="s">
        <v>4087</v>
      </c>
      <c r="B542" s="2465" t="str">
        <f>CONCATENATE(LEFT(RIGHT(CONCATENATE("000",IFAData_TEA_1617!A542),6),3),"-",(RIGHT(RIGHT(CONCATENATE("000",IFAData_TEA_1617!A542),6),3)))</f>
        <v>043-914</v>
      </c>
      <c r="C542" s="2266" t="s">
        <v>1293</v>
      </c>
      <c r="D542" s="2266">
        <v>9</v>
      </c>
      <c r="E542" s="2266">
        <v>2465</v>
      </c>
      <c r="F542" s="2266" t="s">
        <v>5149</v>
      </c>
      <c r="G542" s="2266" t="s">
        <v>5148</v>
      </c>
      <c r="H542" s="2266">
        <v>897102</v>
      </c>
      <c r="I542" s="2266">
        <v>2510197</v>
      </c>
      <c r="J542" s="2266">
        <v>1</v>
      </c>
      <c r="K542" s="2266">
        <v>897102</v>
      </c>
      <c r="L542" s="2266">
        <v>897102</v>
      </c>
      <c r="M542" s="2266">
        <v>599</v>
      </c>
    </row>
    <row r="543" spans="1:13" ht="15">
      <c r="A543" s="2266" t="s">
        <v>4087</v>
      </c>
      <c r="B543" s="2465" t="str">
        <f>CONCATENATE(LEFT(RIGHT(CONCATENATE("000",IFAData_TEA_1617!A543),6),3),"-",(RIGHT(RIGHT(CONCATENATE("000",IFAData_TEA_1617!A543),6),3)))</f>
        <v>043-914</v>
      </c>
      <c r="C543" s="2266" t="s">
        <v>1293</v>
      </c>
      <c r="D543" s="2266">
        <v>10</v>
      </c>
      <c r="E543" s="2266">
        <v>2462</v>
      </c>
      <c r="F543" s="2266" t="s">
        <v>5151</v>
      </c>
      <c r="G543" s="2266" t="s">
        <v>5151</v>
      </c>
      <c r="H543" s="2266">
        <v>92075</v>
      </c>
      <c r="I543" s="2266">
        <v>0</v>
      </c>
      <c r="J543" s="2266">
        <v>0</v>
      </c>
      <c r="K543" s="2266"/>
      <c r="L543" s="2266">
        <v>0</v>
      </c>
      <c r="M543" s="2266">
        <v>599</v>
      </c>
    </row>
    <row r="544" spans="1:13" ht="15">
      <c r="A544" s="2266" t="s">
        <v>4087</v>
      </c>
      <c r="B544" s="2465" t="str">
        <f>CONCATENATE(LEFT(RIGHT(CONCATENATE("000",IFAData_TEA_1617!A544),6),3),"-",(RIGHT(RIGHT(CONCATENATE("000",IFAData_TEA_1617!A544),6),3)))</f>
        <v>043-914</v>
      </c>
      <c r="C544" s="2266" t="s">
        <v>1293</v>
      </c>
      <c r="D544" s="2266">
        <v>9</v>
      </c>
      <c r="E544" s="2266">
        <v>2465</v>
      </c>
      <c r="F544" s="2266" t="s">
        <v>5149</v>
      </c>
      <c r="G544" s="2266" t="s">
        <v>5149</v>
      </c>
      <c r="H544" s="2266">
        <v>897102</v>
      </c>
      <c r="I544" s="2266">
        <v>0</v>
      </c>
      <c r="J544" s="2266">
        <v>0</v>
      </c>
      <c r="K544" s="2266">
        <v>0</v>
      </c>
      <c r="L544" s="2266">
        <v>0</v>
      </c>
      <c r="M544" s="2266">
        <v>599</v>
      </c>
    </row>
    <row r="545" spans="1:13" ht="15">
      <c r="A545" s="2266" t="s">
        <v>4087</v>
      </c>
      <c r="B545" s="2465" t="str">
        <f>CONCATENATE(LEFT(RIGHT(CONCATENATE("000",IFAData_TEA_1617!A545),6),3),"-",(RIGHT(RIGHT(CONCATENATE("000",IFAData_TEA_1617!A545),6),3)))</f>
        <v>043-914</v>
      </c>
      <c r="C545" s="2266" t="s">
        <v>1293</v>
      </c>
      <c r="D545" s="2266">
        <v>5</v>
      </c>
      <c r="E545" s="2266">
        <v>2463</v>
      </c>
      <c r="F545" s="2266" t="s">
        <v>5144</v>
      </c>
      <c r="G545" s="2266" t="s">
        <v>5145</v>
      </c>
      <c r="H545" s="2266">
        <v>440511</v>
      </c>
      <c r="I545" s="2266">
        <v>0</v>
      </c>
      <c r="J545" s="2266">
        <v>0</v>
      </c>
      <c r="K545" s="2266">
        <v>0</v>
      </c>
      <c r="L545" s="2266">
        <v>0</v>
      </c>
      <c r="M545" s="2266">
        <v>599</v>
      </c>
    </row>
    <row r="546" spans="1:13" ht="15">
      <c r="A546" s="2266" t="s">
        <v>4087</v>
      </c>
      <c r="B546" s="2465" t="str">
        <f>CONCATENATE(LEFT(RIGHT(CONCATENATE("000",IFAData_TEA_1617!A546),6),3),"-",(RIGHT(RIGHT(CONCATENATE("000",IFAData_TEA_1617!A546),6),3)))</f>
        <v>043-914</v>
      </c>
      <c r="C546" s="2266" t="s">
        <v>1293</v>
      </c>
      <c r="D546" s="2266">
        <v>5</v>
      </c>
      <c r="E546" s="2266">
        <v>2463</v>
      </c>
      <c r="F546" s="2266" t="s">
        <v>5144</v>
      </c>
      <c r="G546" s="2266" t="s">
        <v>5144</v>
      </c>
      <c r="H546" s="2266">
        <v>440511</v>
      </c>
      <c r="I546" s="2266">
        <v>0</v>
      </c>
      <c r="J546" s="2266">
        <v>0</v>
      </c>
      <c r="K546" s="2266">
        <v>0</v>
      </c>
      <c r="L546" s="2266">
        <v>0</v>
      </c>
      <c r="M546" s="2266">
        <v>599</v>
      </c>
    </row>
    <row r="547" spans="1:13" ht="15">
      <c r="A547" s="2266" t="s">
        <v>4087</v>
      </c>
      <c r="B547" s="2465" t="str">
        <f>CONCATENATE(LEFT(RIGHT(CONCATENATE("000",IFAData_TEA_1617!A547),6),3),"-",(RIGHT(RIGHT(CONCATENATE("000",IFAData_TEA_1617!A547),6),3)))</f>
        <v>043-914</v>
      </c>
      <c r="C547" s="2266" t="s">
        <v>1293</v>
      </c>
      <c r="D547" s="2266">
        <v>5</v>
      </c>
      <c r="E547" s="2266">
        <v>2463</v>
      </c>
      <c r="F547" s="2266" t="s">
        <v>5144</v>
      </c>
      <c r="G547" s="2266" t="s">
        <v>7168</v>
      </c>
      <c r="H547" s="2266">
        <v>440511</v>
      </c>
      <c r="I547" s="2266">
        <v>13857</v>
      </c>
      <c r="J547" s="2266">
        <v>6.2380703713040657E-2</v>
      </c>
      <c r="K547" s="2266">
        <v>27479.386173335253</v>
      </c>
      <c r="L547" s="2266">
        <v>13857</v>
      </c>
      <c r="M547" s="2266">
        <v>599</v>
      </c>
    </row>
    <row r="548" spans="1:13" ht="15">
      <c r="A548" s="2266" t="s">
        <v>4088</v>
      </c>
      <c r="B548" s="2465" t="str">
        <f>CONCATENATE(LEFT(RIGHT(CONCATENATE("000",IFAData_TEA_1617!A548),6),3),"-",(RIGHT(RIGHT(CONCATENATE("000",IFAData_TEA_1617!A548),6),3)))</f>
        <v>043-917</v>
      </c>
      <c r="C548" s="2266" t="s">
        <v>1521</v>
      </c>
      <c r="D548" s="2266">
        <v>6</v>
      </c>
      <c r="E548" s="2266">
        <v>1624</v>
      </c>
      <c r="F548" s="2266" t="s">
        <v>5155</v>
      </c>
      <c r="G548" s="2266" t="s">
        <v>5156</v>
      </c>
      <c r="H548" s="2266">
        <v>192252</v>
      </c>
      <c r="I548" s="2266">
        <v>215078</v>
      </c>
      <c r="J548" s="2266">
        <v>1</v>
      </c>
      <c r="K548" s="2266">
        <v>192252</v>
      </c>
      <c r="L548" s="2266">
        <v>192252</v>
      </c>
      <c r="M548" s="2266">
        <v>599</v>
      </c>
    </row>
    <row r="549" spans="1:13" ht="15">
      <c r="A549" s="2266" t="s">
        <v>4088</v>
      </c>
      <c r="B549" s="2465" t="str">
        <f>CONCATENATE(LEFT(RIGHT(CONCATENATE("000",IFAData_TEA_1617!A549),6),3),"-",(RIGHT(RIGHT(CONCATENATE("000",IFAData_TEA_1617!A549),6),3)))</f>
        <v>043-917</v>
      </c>
      <c r="C549" s="2266" t="s">
        <v>1521</v>
      </c>
      <c r="D549" s="2266">
        <v>4</v>
      </c>
      <c r="E549" s="2266">
        <v>1623</v>
      </c>
      <c r="F549" s="2266" t="s">
        <v>5153</v>
      </c>
      <c r="G549" s="2266" t="s">
        <v>5154</v>
      </c>
      <c r="H549" s="2266">
        <v>172750</v>
      </c>
      <c r="I549" s="2266">
        <v>0</v>
      </c>
      <c r="J549" s="2266">
        <v>0</v>
      </c>
      <c r="K549" s="2266">
        <v>0</v>
      </c>
      <c r="L549" s="2266">
        <v>0</v>
      </c>
      <c r="M549" s="2266">
        <v>599</v>
      </c>
    </row>
    <row r="550" spans="1:13" ht="15">
      <c r="A550" s="2266" t="s">
        <v>4088</v>
      </c>
      <c r="B550" s="2465" t="str">
        <f>CONCATENATE(LEFT(RIGHT(CONCATENATE("000",IFAData_TEA_1617!A550),6),3),"-",(RIGHT(RIGHT(CONCATENATE("000",IFAData_TEA_1617!A550),6),3)))</f>
        <v>043-917</v>
      </c>
      <c r="C550" s="2266" t="s">
        <v>1521</v>
      </c>
      <c r="D550" s="2266">
        <v>4</v>
      </c>
      <c r="E550" s="2266">
        <v>1623</v>
      </c>
      <c r="F550" s="2266" t="s">
        <v>5153</v>
      </c>
      <c r="G550" s="2266" t="s">
        <v>5153</v>
      </c>
      <c r="H550" s="2266">
        <v>172750</v>
      </c>
      <c r="I550" s="2266">
        <v>0</v>
      </c>
      <c r="J550" s="2266">
        <v>0</v>
      </c>
      <c r="K550" s="2266">
        <v>0</v>
      </c>
      <c r="L550" s="2266">
        <v>0</v>
      </c>
      <c r="M550" s="2266">
        <v>599</v>
      </c>
    </row>
    <row r="551" spans="1:13" ht="15">
      <c r="A551" s="2266" t="s">
        <v>4088</v>
      </c>
      <c r="B551" s="2465" t="str">
        <f>CONCATENATE(LEFT(RIGHT(CONCATENATE("000",IFAData_TEA_1617!A551),6),3),"-",(RIGHT(RIGHT(CONCATENATE("000",IFAData_TEA_1617!A551),6),3)))</f>
        <v>043-917</v>
      </c>
      <c r="C551" s="2266" t="s">
        <v>1521</v>
      </c>
      <c r="D551" s="2266">
        <v>10</v>
      </c>
      <c r="E551" s="2266">
        <v>1622</v>
      </c>
      <c r="F551" s="2266" t="s">
        <v>5157</v>
      </c>
      <c r="G551" s="2266" t="s">
        <v>5157</v>
      </c>
      <c r="H551" s="2266">
        <v>158475</v>
      </c>
      <c r="I551" s="2266">
        <v>342100</v>
      </c>
      <c r="J551" s="2266">
        <v>1</v>
      </c>
      <c r="K551" s="2266">
        <v>158475</v>
      </c>
      <c r="L551" s="2266">
        <v>158475</v>
      </c>
      <c r="M551" s="2266">
        <v>599</v>
      </c>
    </row>
    <row r="552" spans="1:13" ht="15">
      <c r="A552" s="2266" t="s">
        <v>4088</v>
      </c>
      <c r="B552" s="2465" t="str">
        <f>CONCATENATE(LEFT(RIGHT(CONCATENATE("000",IFAData_TEA_1617!A552),6),3),"-",(RIGHT(RIGHT(CONCATENATE("000",IFAData_TEA_1617!A552),6),3)))</f>
        <v>043-917</v>
      </c>
      <c r="C552" s="2266" t="s">
        <v>1521</v>
      </c>
      <c r="D552" s="2266">
        <v>4</v>
      </c>
      <c r="E552" s="2266">
        <v>1623</v>
      </c>
      <c r="F552" s="2266" t="s">
        <v>5153</v>
      </c>
      <c r="G552" s="2266" t="s">
        <v>7169</v>
      </c>
      <c r="H552" s="2266">
        <v>172750</v>
      </c>
      <c r="I552" s="2266">
        <v>231288</v>
      </c>
      <c r="J552" s="2266">
        <v>1</v>
      </c>
      <c r="K552" s="2266">
        <v>172750</v>
      </c>
      <c r="L552" s="2266">
        <v>172750</v>
      </c>
      <c r="M552" s="2266">
        <v>599</v>
      </c>
    </row>
    <row r="553" spans="1:13" ht="15">
      <c r="A553" s="2266" t="s">
        <v>4088</v>
      </c>
      <c r="B553" s="2465" t="str">
        <f>CONCATENATE(LEFT(RIGHT(CONCATENATE("000",IFAData_TEA_1617!A553),6),3),"-",(RIGHT(RIGHT(CONCATENATE("000",IFAData_TEA_1617!A553),6),3)))</f>
        <v>043-917</v>
      </c>
      <c r="C553" s="2266" t="s">
        <v>1521</v>
      </c>
      <c r="D553" s="2266">
        <v>6</v>
      </c>
      <c r="E553" s="2266">
        <v>1624</v>
      </c>
      <c r="F553" s="2266" t="s">
        <v>5155</v>
      </c>
      <c r="G553" s="2266" t="s">
        <v>5155</v>
      </c>
      <c r="H553" s="2266">
        <v>192252</v>
      </c>
      <c r="I553" s="2266">
        <v>0</v>
      </c>
      <c r="J553" s="2266">
        <v>0</v>
      </c>
      <c r="K553" s="2266">
        <v>0</v>
      </c>
      <c r="L553" s="2266">
        <v>0</v>
      </c>
      <c r="M553" s="2266">
        <v>599</v>
      </c>
    </row>
    <row r="554" spans="1:13" ht="15">
      <c r="A554" s="2266" t="s">
        <v>4088</v>
      </c>
      <c r="B554" s="2465" t="str">
        <f>CONCATENATE(LEFT(RIGHT(CONCATENATE("000",IFAData_TEA_1617!A554),6),3),"-",(RIGHT(RIGHT(CONCATENATE("000",IFAData_TEA_1617!A554),6),3)))</f>
        <v>043-917</v>
      </c>
      <c r="C554" s="2266" t="s">
        <v>1521</v>
      </c>
      <c r="D554" s="2266">
        <v>2</v>
      </c>
      <c r="E554" s="2266">
        <v>1621</v>
      </c>
      <c r="F554" s="2266" t="s">
        <v>5152</v>
      </c>
      <c r="G554" s="2266" t="s">
        <v>5152</v>
      </c>
      <c r="H554" s="2266">
        <v>95044</v>
      </c>
      <c r="I554" s="2266">
        <v>0</v>
      </c>
      <c r="J554" s="2266">
        <v>0</v>
      </c>
      <c r="K554" s="2266"/>
      <c r="L554" s="2266">
        <v>0</v>
      </c>
      <c r="M554" s="2266">
        <v>199</v>
      </c>
    </row>
    <row r="555" spans="1:13" ht="15">
      <c r="A555" s="2266" t="s">
        <v>4089</v>
      </c>
      <c r="B555" s="2465" t="str">
        <f>CONCATENATE(LEFT(RIGHT(CONCATENATE("000",IFAData_TEA_1617!A555),6),3),"-",(RIGHT(RIGHT(CONCATENATE("000",IFAData_TEA_1617!A555),6),3)))</f>
        <v>043-918</v>
      </c>
      <c r="C555" s="2266" t="s">
        <v>1744</v>
      </c>
      <c r="D555" s="2266">
        <v>2</v>
      </c>
      <c r="E555" s="2266">
        <v>1713</v>
      </c>
      <c r="F555" s="2266" t="s">
        <v>5158</v>
      </c>
      <c r="G555" s="2266" t="s">
        <v>6943</v>
      </c>
      <c r="H555" s="2266">
        <v>245000</v>
      </c>
      <c r="I555" s="2266">
        <v>53725</v>
      </c>
      <c r="J555" s="2266">
        <v>0.13868130790218869</v>
      </c>
      <c r="K555" s="2266">
        <v>33976.920436036227</v>
      </c>
      <c r="L555" s="2266">
        <v>33976.920436036227</v>
      </c>
      <c r="M555" s="2266">
        <v>599</v>
      </c>
    </row>
    <row r="556" spans="1:13" ht="15">
      <c r="A556" s="2266" t="s">
        <v>4089</v>
      </c>
      <c r="B556" s="2465" t="str">
        <f>CONCATENATE(LEFT(RIGHT(CONCATENATE("000",IFAData_TEA_1617!A556),6),3),"-",(RIGHT(RIGHT(CONCATENATE("000",IFAData_TEA_1617!A556),6),3)))</f>
        <v>043-918</v>
      </c>
      <c r="C556" s="2266" t="s">
        <v>1744</v>
      </c>
      <c r="D556" s="2266">
        <v>5</v>
      </c>
      <c r="E556" s="2266">
        <v>1712</v>
      </c>
      <c r="F556" s="2266" t="s">
        <v>5160</v>
      </c>
      <c r="G556" s="2266" t="s">
        <v>5160</v>
      </c>
      <c r="H556" s="2266">
        <v>12352</v>
      </c>
      <c r="I556" s="2266">
        <v>66048</v>
      </c>
      <c r="J556" s="2266">
        <v>0.47519623572749314</v>
      </c>
      <c r="K556" s="2266">
        <v>5869.623903705995</v>
      </c>
      <c r="L556" s="2266">
        <v>5869.623903705995</v>
      </c>
      <c r="M556" s="2266">
        <v>599</v>
      </c>
    </row>
    <row r="557" spans="1:13" ht="15">
      <c r="A557" s="2266" t="s">
        <v>4089</v>
      </c>
      <c r="B557" s="2465" t="str">
        <f>CONCATENATE(LEFT(RIGHT(CONCATENATE("000",IFAData_TEA_1617!A557),6),3),"-",(RIGHT(RIGHT(CONCATENATE("000",IFAData_TEA_1617!A557),6),3)))</f>
        <v>043-918</v>
      </c>
      <c r="C557" s="2266" t="s">
        <v>1744</v>
      </c>
      <c r="D557" s="2266">
        <v>9</v>
      </c>
      <c r="E557" s="2266">
        <v>1714</v>
      </c>
      <c r="F557" s="2266" t="s">
        <v>5161</v>
      </c>
      <c r="G557" s="2266" t="s">
        <v>6943</v>
      </c>
      <c r="H557" s="2266">
        <v>347968</v>
      </c>
      <c r="I557" s="2266">
        <v>237090</v>
      </c>
      <c r="J557" s="2266">
        <v>0.2892322031127626</v>
      </c>
      <c r="K557" s="2266">
        <v>100643.55125274177</v>
      </c>
      <c r="L557" s="2266">
        <v>100643.55125274177</v>
      </c>
      <c r="M557" s="2266">
        <v>599</v>
      </c>
    </row>
    <row r="558" spans="1:13" ht="15">
      <c r="A558" s="2266" t="s">
        <v>4089</v>
      </c>
      <c r="B558" s="2465" t="str">
        <f>CONCATENATE(LEFT(RIGHT(CONCATENATE("000",IFAData_TEA_1617!A558),6),3),"-",(RIGHT(RIGHT(CONCATENATE("000",IFAData_TEA_1617!A558),6),3)))</f>
        <v>043-918</v>
      </c>
      <c r="C558" s="2266" t="s">
        <v>1744</v>
      </c>
      <c r="D558" s="2266">
        <v>2</v>
      </c>
      <c r="E558" s="2266">
        <v>1713</v>
      </c>
      <c r="F558" s="2266" t="s">
        <v>5158</v>
      </c>
      <c r="G558" s="2266" t="s">
        <v>5159</v>
      </c>
      <c r="H558" s="2266">
        <v>245000</v>
      </c>
      <c r="I558" s="2266">
        <v>0</v>
      </c>
      <c r="J558" s="2266">
        <v>0</v>
      </c>
      <c r="K558" s="2266">
        <v>0</v>
      </c>
      <c r="L558" s="2266">
        <v>0</v>
      </c>
      <c r="M558" s="2266">
        <v>599</v>
      </c>
    </row>
    <row r="559" spans="1:13" ht="15">
      <c r="A559" s="2266" t="s">
        <v>4089</v>
      </c>
      <c r="B559" s="2465" t="str">
        <f>CONCATENATE(LEFT(RIGHT(CONCATENATE("000",IFAData_TEA_1617!A559),6),3),"-",(RIGHT(RIGHT(CONCATENATE("000",IFAData_TEA_1617!A559),6),3)))</f>
        <v>043-918</v>
      </c>
      <c r="C559" s="2266" t="s">
        <v>1744</v>
      </c>
      <c r="D559" s="2266">
        <v>5</v>
      </c>
      <c r="E559" s="2266">
        <v>1712</v>
      </c>
      <c r="F559" s="2266" t="s">
        <v>5160</v>
      </c>
      <c r="G559" s="2266" t="s">
        <v>7170</v>
      </c>
      <c r="H559" s="2266">
        <v>12352</v>
      </c>
      <c r="I559" s="2266">
        <v>72943</v>
      </c>
      <c r="J559" s="2266">
        <v>0.52480376427250686</v>
      </c>
      <c r="K559" s="2266">
        <v>6482.376096294005</v>
      </c>
      <c r="L559" s="2266">
        <v>6482.376096294005</v>
      </c>
      <c r="M559" s="2266">
        <v>599</v>
      </c>
    </row>
    <row r="560" spans="1:13" ht="15">
      <c r="A560" s="2266" t="s">
        <v>4089</v>
      </c>
      <c r="B560" s="2465" t="str">
        <f>CONCATENATE(LEFT(RIGHT(CONCATENATE("000",IFAData_TEA_1617!A560),6),3),"-",(RIGHT(RIGHT(CONCATENATE("000",IFAData_TEA_1617!A560),6),3)))</f>
        <v>043-918</v>
      </c>
      <c r="C560" s="2266" t="s">
        <v>1744</v>
      </c>
      <c r="D560" s="2266">
        <v>2</v>
      </c>
      <c r="E560" s="2266">
        <v>1713</v>
      </c>
      <c r="F560" s="2266" t="s">
        <v>5158</v>
      </c>
      <c r="G560" s="2266" t="s">
        <v>5163</v>
      </c>
      <c r="H560" s="2266">
        <v>245000</v>
      </c>
      <c r="I560" s="2266">
        <v>0</v>
      </c>
      <c r="J560" s="2266">
        <v>0</v>
      </c>
      <c r="K560" s="2266">
        <v>0</v>
      </c>
      <c r="L560" s="2266">
        <v>0</v>
      </c>
      <c r="M560" s="2266">
        <v>599</v>
      </c>
    </row>
    <row r="561" spans="1:13" ht="15">
      <c r="A561" s="2266" t="s">
        <v>4089</v>
      </c>
      <c r="B561" s="2465" t="str">
        <f>CONCATENATE(LEFT(RIGHT(CONCATENATE("000",IFAData_TEA_1617!A561),6),3),"-",(RIGHT(RIGHT(CONCATENATE("000",IFAData_TEA_1617!A561),6),3)))</f>
        <v>043-918</v>
      </c>
      <c r="C561" s="2266" t="s">
        <v>1744</v>
      </c>
      <c r="D561" s="2266">
        <v>2</v>
      </c>
      <c r="E561" s="2266">
        <v>1713</v>
      </c>
      <c r="F561" s="2266" t="s">
        <v>5158</v>
      </c>
      <c r="G561" s="2266" t="s">
        <v>5158</v>
      </c>
      <c r="H561" s="2266">
        <v>245000</v>
      </c>
      <c r="I561" s="2266">
        <v>0</v>
      </c>
      <c r="J561" s="2266">
        <v>0</v>
      </c>
      <c r="K561" s="2266">
        <v>0</v>
      </c>
      <c r="L561" s="2266">
        <v>0</v>
      </c>
      <c r="M561" s="2266">
        <v>599</v>
      </c>
    </row>
    <row r="562" spans="1:13" ht="15">
      <c r="A562" s="2266" t="s">
        <v>4089</v>
      </c>
      <c r="B562" s="2465" t="str">
        <f>CONCATENATE(LEFT(RIGHT(CONCATENATE("000",IFAData_TEA_1617!A562),6),3),"-",(RIGHT(RIGHT(CONCATENATE("000",IFAData_TEA_1617!A562),6),3)))</f>
        <v>043-918</v>
      </c>
      <c r="C562" s="2266" t="s">
        <v>1744</v>
      </c>
      <c r="D562" s="2266">
        <v>9</v>
      </c>
      <c r="E562" s="2266">
        <v>1714</v>
      </c>
      <c r="F562" s="2266" t="s">
        <v>5161</v>
      </c>
      <c r="G562" s="2266" t="s">
        <v>7171</v>
      </c>
      <c r="H562" s="2266">
        <v>347968</v>
      </c>
      <c r="I562" s="2266">
        <v>183921</v>
      </c>
      <c r="J562" s="2266">
        <v>0.2243699693310659</v>
      </c>
      <c r="K562" s="2266">
        <v>78073.569488192341</v>
      </c>
      <c r="L562" s="2266">
        <v>78073.569488192341</v>
      </c>
      <c r="M562" s="2266">
        <v>599</v>
      </c>
    </row>
    <row r="563" spans="1:13" ht="15">
      <c r="A563" s="2266" t="s">
        <v>4089</v>
      </c>
      <c r="B563" s="2465" t="str">
        <f>CONCATENATE(LEFT(RIGHT(CONCATENATE("000",IFAData_TEA_1617!A563),6),3),"-",(RIGHT(RIGHT(CONCATENATE("000",IFAData_TEA_1617!A563),6),3)))</f>
        <v>043-918</v>
      </c>
      <c r="C563" s="2266" t="s">
        <v>1744</v>
      </c>
      <c r="D563" s="2266">
        <v>2</v>
      </c>
      <c r="E563" s="2266">
        <v>1713</v>
      </c>
      <c r="F563" s="2266" t="s">
        <v>5158</v>
      </c>
      <c r="G563" s="2266" t="s">
        <v>7171</v>
      </c>
      <c r="H563" s="2266">
        <v>245000</v>
      </c>
      <c r="I563" s="2266">
        <v>41669</v>
      </c>
      <c r="J563" s="2266">
        <v>0.10756093846396093</v>
      </c>
      <c r="K563" s="2266">
        <v>26352.429923670428</v>
      </c>
      <c r="L563" s="2266">
        <v>26352.429923670428</v>
      </c>
      <c r="M563" s="2266">
        <v>599</v>
      </c>
    </row>
    <row r="564" spans="1:13" ht="15">
      <c r="A564" s="2266" t="s">
        <v>4089</v>
      </c>
      <c r="B564" s="2465" t="str">
        <f>CONCATENATE(LEFT(RIGHT(CONCATENATE("000",IFAData_TEA_1617!A564),6),3),"-",(RIGHT(RIGHT(CONCATENATE("000",IFAData_TEA_1617!A564),6),3)))</f>
        <v>043-918</v>
      </c>
      <c r="C564" s="2266" t="s">
        <v>1744</v>
      </c>
      <c r="D564" s="2266">
        <v>9</v>
      </c>
      <c r="E564" s="2266">
        <v>1714</v>
      </c>
      <c r="F564" s="2266" t="s">
        <v>5161</v>
      </c>
      <c r="G564" s="2266" t="s">
        <v>5161</v>
      </c>
      <c r="H564" s="2266">
        <v>347968</v>
      </c>
      <c r="I564" s="2266">
        <v>398711</v>
      </c>
      <c r="J564" s="2266">
        <v>0.4863978275561715</v>
      </c>
      <c r="K564" s="2266">
        <v>169250.8792590659</v>
      </c>
      <c r="L564" s="2266">
        <v>169250.8792590659</v>
      </c>
      <c r="M564" s="2266">
        <v>599</v>
      </c>
    </row>
    <row r="565" spans="1:13" ht="15">
      <c r="A565" s="2266" t="s">
        <v>4089</v>
      </c>
      <c r="B565" s="2465" t="str">
        <f>CONCATENATE(LEFT(RIGHT(CONCATENATE("000",IFAData_TEA_1617!A565),6),3),"-",(RIGHT(RIGHT(CONCATENATE("000",IFAData_TEA_1617!A565),6),3)))</f>
        <v>043-918</v>
      </c>
      <c r="C565" s="2266" t="s">
        <v>1744</v>
      </c>
      <c r="D565" s="2266">
        <v>2</v>
      </c>
      <c r="E565" s="2266">
        <v>1713</v>
      </c>
      <c r="F565" s="2266" t="s">
        <v>5158</v>
      </c>
      <c r="G565" s="2266" t="s">
        <v>5160</v>
      </c>
      <c r="H565" s="2266">
        <v>245000</v>
      </c>
      <c r="I565" s="2266">
        <v>0</v>
      </c>
      <c r="J565" s="2266">
        <v>0</v>
      </c>
      <c r="K565" s="2266">
        <v>0</v>
      </c>
      <c r="L565" s="2266">
        <v>0</v>
      </c>
      <c r="M565" s="2266">
        <v>599</v>
      </c>
    </row>
    <row r="566" spans="1:13" ht="15">
      <c r="A566" s="2266" t="s">
        <v>4089</v>
      </c>
      <c r="B566" s="2465" t="str">
        <f>CONCATENATE(LEFT(RIGHT(CONCATENATE("000",IFAData_TEA_1617!A566),6),3),"-",(RIGHT(RIGHT(CONCATENATE("000",IFAData_TEA_1617!A566),6),3)))</f>
        <v>043-918</v>
      </c>
      <c r="C566" s="2266" t="s">
        <v>1744</v>
      </c>
      <c r="D566" s="2266">
        <v>2</v>
      </c>
      <c r="E566" s="2266">
        <v>1713</v>
      </c>
      <c r="F566" s="2266" t="s">
        <v>5158</v>
      </c>
      <c r="G566" s="2266" t="s">
        <v>5162</v>
      </c>
      <c r="H566" s="2266">
        <v>245000</v>
      </c>
      <c r="I566" s="2266">
        <v>0</v>
      </c>
      <c r="J566" s="2266">
        <v>0</v>
      </c>
      <c r="K566" s="2266">
        <v>0</v>
      </c>
      <c r="L566" s="2266">
        <v>0</v>
      </c>
      <c r="M566" s="2266">
        <v>599</v>
      </c>
    </row>
    <row r="567" spans="1:13" ht="15">
      <c r="A567" s="2266" t="s">
        <v>4089</v>
      </c>
      <c r="B567" s="2465" t="str">
        <f>CONCATENATE(LEFT(RIGHT(CONCATENATE("000",IFAData_TEA_1617!A567),6),3),"-",(RIGHT(RIGHT(CONCATENATE("000",IFAData_TEA_1617!A567),6),3)))</f>
        <v>043-918</v>
      </c>
      <c r="C567" s="2266" t="s">
        <v>1744</v>
      </c>
      <c r="D567" s="2266">
        <v>2</v>
      </c>
      <c r="E567" s="2266">
        <v>1713</v>
      </c>
      <c r="F567" s="2266" t="s">
        <v>5158</v>
      </c>
      <c r="G567" s="2266" t="s">
        <v>7170</v>
      </c>
      <c r="H567" s="2266">
        <v>245000</v>
      </c>
      <c r="I567" s="2266">
        <v>7644</v>
      </c>
      <c r="J567" s="2266">
        <v>1.9731594557549192E-2</v>
      </c>
      <c r="K567" s="2266">
        <v>4834.2406665995522</v>
      </c>
      <c r="L567" s="2266">
        <v>4834.2406665995522</v>
      </c>
      <c r="M567" s="2266">
        <v>599</v>
      </c>
    </row>
    <row r="568" spans="1:13" ht="15">
      <c r="A568" s="2266" t="s">
        <v>4089</v>
      </c>
      <c r="B568" s="2465" t="str">
        <f>CONCATENATE(LEFT(RIGHT(CONCATENATE("000",IFAData_TEA_1617!A568),6),3),"-",(RIGHT(RIGHT(CONCATENATE("000",IFAData_TEA_1617!A568),6),3)))</f>
        <v>043-918</v>
      </c>
      <c r="C568" s="2266" t="s">
        <v>1744</v>
      </c>
      <c r="D568" s="2266">
        <v>2</v>
      </c>
      <c r="E568" s="2266">
        <v>1713</v>
      </c>
      <c r="F568" s="2266" t="s">
        <v>5158</v>
      </c>
      <c r="G568" s="2266" t="s">
        <v>5161</v>
      </c>
      <c r="H568" s="2266">
        <v>245000</v>
      </c>
      <c r="I568" s="2266">
        <v>284361</v>
      </c>
      <c r="J568" s="2266">
        <v>0.7340261590763012</v>
      </c>
      <c r="K568" s="2266">
        <v>179836.40897369379</v>
      </c>
      <c r="L568" s="2266">
        <v>179836.40897369379</v>
      </c>
      <c r="M568" s="2266">
        <v>599</v>
      </c>
    </row>
    <row r="569" spans="1:13" ht="15">
      <c r="A569" s="2266" t="s">
        <v>4090</v>
      </c>
      <c r="B569" s="2465" t="str">
        <f>CONCATENATE(LEFT(RIGHT(CONCATENATE("000",IFAData_TEA_1617!A569),6),3),"-",(RIGHT(RIGHT(CONCATENATE("000",IFAData_TEA_1617!A569),6),3)))</f>
        <v>045-902</v>
      </c>
      <c r="C569" s="2266" t="s">
        <v>1742</v>
      </c>
      <c r="D569" s="2266">
        <v>2</v>
      </c>
      <c r="E569" s="2266">
        <v>1709</v>
      </c>
      <c r="F569" s="2266" t="s">
        <v>5164</v>
      </c>
      <c r="G569" s="2266" t="s">
        <v>5164</v>
      </c>
      <c r="H569" s="2266">
        <v>289660</v>
      </c>
      <c r="I569" s="2266">
        <v>0</v>
      </c>
      <c r="J569" s="2266">
        <v>0</v>
      </c>
      <c r="K569" s="2266">
        <v>0</v>
      </c>
      <c r="L569" s="2266">
        <v>0</v>
      </c>
      <c r="M569" s="2266">
        <v>599</v>
      </c>
    </row>
    <row r="570" spans="1:13" ht="15">
      <c r="A570" s="2266" t="s">
        <v>4090</v>
      </c>
      <c r="B570" s="2465" t="str">
        <f>CONCATENATE(LEFT(RIGHT(CONCATENATE("000",IFAData_TEA_1617!A570),6),3),"-",(RIGHT(RIGHT(CONCATENATE("000",IFAData_TEA_1617!A570),6),3)))</f>
        <v>045-902</v>
      </c>
      <c r="C570" s="2266" t="s">
        <v>1742</v>
      </c>
      <c r="D570" s="2266">
        <v>2</v>
      </c>
      <c r="E570" s="2266">
        <v>1709</v>
      </c>
      <c r="F570" s="2266" t="s">
        <v>5164</v>
      </c>
      <c r="G570" s="2266" t="s">
        <v>5165</v>
      </c>
      <c r="H570" s="2266">
        <v>289660</v>
      </c>
      <c r="I570" s="2266">
        <v>320480</v>
      </c>
      <c r="J570" s="2266">
        <v>1</v>
      </c>
      <c r="K570" s="2266">
        <v>289660</v>
      </c>
      <c r="L570" s="2266">
        <v>289660</v>
      </c>
      <c r="M570" s="2266">
        <v>599</v>
      </c>
    </row>
    <row r="571" spans="1:13" ht="15">
      <c r="A571" s="2266" t="s">
        <v>4091</v>
      </c>
      <c r="B571" s="2465" t="str">
        <f>CONCATENATE(LEFT(RIGHT(CONCATENATE("000",IFAData_TEA_1617!A571),6),3),"-",(RIGHT(RIGHT(CONCATENATE("000",IFAData_TEA_1617!A571),6),3)))</f>
        <v>046-901</v>
      </c>
      <c r="C571" s="2266" t="s">
        <v>2525</v>
      </c>
      <c r="D571" s="2266">
        <v>9</v>
      </c>
      <c r="E571" s="2266">
        <v>2135</v>
      </c>
      <c r="F571" s="2266" t="s">
        <v>5166</v>
      </c>
      <c r="G571" s="2266" t="s">
        <v>5167</v>
      </c>
      <c r="H571" s="2266">
        <v>1200408</v>
      </c>
      <c r="I571" s="2266">
        <v>307475</v>
      </c>
      <c r="J571" s="2266">
        <v>0.33092500791055796</v>
      </c>
      <c r="K571" s="2266">
        <v>397245.02689589706</v>
      </c>
      <c r="L571" s="2266">
        <v>307475</v>
      </c>
      <c r="M571" s="2266">
        <v>599</v>
      </c>
    </row>
    <row r="572" spans="1:13" ht="15">
      <c r="A572" s="2266" t="s">
        <v>4091</v>
      </c>
      <c r="B572" s="2465" t="str">
        <f>CONCATENATE(LEFT(RIGHT(CONCATENATE("000",IFAData_TEA_1617!A572),6),3),"-",(RIGHT(RIGHT(CONCATENATE("000",IFAData_TEA_1617!A572),6),3)))</f>
        <v>046-901</v>
      </c>
      <c r="C572" s="2266" t="s">
        <v>2525</v>
      </c>
      <c r="D572" s="2266">
        <v>9</v>
      </c>
      <c r="E572" s="2266">
        <v>2135</v>
      </c>
      <c r="F572" s="2266" t="s">
        <v>5166</v>
      </c>
      <c r="G572" s="2266" t="s">
        <v>5168</v>
      </c>
      <c r="H572" s="2266">
        <v>1200408</v>
      </c>
      <c r="I572" s="2266">
        <v>438438</v>
      </c>
      <c r="J572" s="2266">
        <v>0.47187608299305378</v>
      </c>
      <c r="K572" s="2266">
        <v>566443.8250335257</v>
      </c>
      <c r="L572" s="2266">
        <v>438438</v>
      </c>
      <c r="M572" s="2266">
        <v>599</v>
      </c>
    </row>
    <row r="573" spans="1:13" ht="15">
      <c r="A573" s="2266" t="s">
        <v>4091</v>
      </c>
      <c r="B573" s="2465" t="str">
        <f>CONCATENATE(LEFT(RIGHT(CONCATENATE("000",IFAData_TEA_1617!A573),6),3),"-",(RIGHT(RIGHT(CONCATENATE("000",IFAData_TEA_1617!A573),6),3)))</f>
        <v>046-901</v>
      </c>
      <c r="C573" s="2266" t="s">
        <v>2525</v>
      </c>
      <c r="D573" s="2266">
        <v>9</v>
      </c>
      <c r="E573" s="2266">
        <v>2135</v>
      </c>
      <c r="F573" s="2266" t="s">
        <v>5166</v>
      </c>
      <c r="G573" s="2266" t="s">
        <v>5166</v>
      </c>
      <c r="H573" s="2266">
        <v>1200408</v>
      </c>
      <c r="I573" s="2266">
        <v>0</v>
      </c>
      <c r="J573" s="2266">
        <v>0</v>
      </c>
      <c r="K573" s="2266">
        <v>0</v>
      </c>
      <c r="L573" s="2266">
        <v>0</v>
      </c>
      <c r="M573" s="2266">
        <v>599</v>
      </c>
    </row>
    <row r="574" spans="1:13" ht="15">
      <c r="A574" s="2266" t="s">
        <v>4091</v>
      </c>
      <c r="B574" s="2465" t="str">
        <f>CONCATENATE(LEFT(RIGHT(CONCATENATE("000",IFAData_TEA_1617!A574),6),3),"-",(RIGHT(RIGHT(CONCATENATE("000",IFAData_TEA_1617!A574),6),3)))</f>
        <v>046-901</v>
      </c>
      <c r="C574" s="2266" t="s">
        <v>2525</v>
      </c>
      <c r="D574" s="2266">
        <v>9</v>
      </c>
      <c r="E574" s="2266">
        <v>2135</v>
      </c>
      <c r="F574" s="2266" t="s">
        <v>5166</v>
      </c>
      <c r="G574" s="2266" t="s">
        <v>6944</v>
      </c>
      <c r="H574" s="2266">
        <v>1200408</v>
      </c>
      <c r="I574" s="2266">
        <v>183225</v>
      </c>
      <c r="J574" s="2266">
        <v>0.19719890909638826</v>
      </c>
      <c r="K574" s="2266">
        <v>236719.14807057724</v>
      </c>
      <c r="L574" s="2266">
        <v>183225</v>
      </c>
      <c r="M574" s="2266">
        <v>599</v>
      </c>
    </row>
    <row r="575" spans="1:13" ht="15">
      <c r="A575" s="2266" t="s">
        <v>4092</v>
      </c>
      <c r="B575" s="2465" t="str">
        <f>CONCATENATE(LEFT(RIGHT(CONCATENATE("000",IFAData_TEA_1617!A575),6),3),"-",(RIGHT(RIGHT(CONCATENATE("000",IFAData_TEA_1617!A575),6),3)))</f>
        <v>047-901</v>
      </c>
      <c r="C575" s="2266" t="s">
        <v>2527</v>
      </c>
      <c r="D575" s="2266">
        <v>9</v>
      </c>
      <c r="E575" s="2266">
        <v>1710</v>
      </c>
      <c r="F575" s="2266" t="s">
        <v>5169</v>
      </c>
      <c r="G575" s="2266" t="s">
        <v>6945</v>
      </c>
      <c r="H575" s="2266">
        <v>312761</v>
      </c>
      <c r="I575" s="2266">
        <v>401450</v>
      </c>
      <c r="J575" s="2266">
        <v>1</v>
      </c>
      <c r="K575" s="2266">
        <v>312761</v>
      </c>
      <c r="L575" s="2266">
        <v>312761</v>
      </c>
      <c r="M575" s="2266">
        <v>599</v>
      </c>
    </row>
    <row r="576" spans="1:13" ht="15">
      <c r="A576" s="2266" t="s">
        <v>4092</v>
      </c>
      <c r="B576" s="2465" t="str">
        <f>CONCATENATE(LEFT(RIGHT(CONCATENATE("000",IFAData_TEA_1617!A576),6),3),"-",(RIGHT(RIGHT(CONCATENATE("000",IFAData_TEA_1617!A576),6),3)))</f>
        <v>047-901</v>
      </c>
      <c r="C576" s="2266" t="s">
        <v>2527</v>
      </c>
      <c r="D576" s="2266">
        <v>9</v>
      </c>
      <c r="E576" s="2266">
        <v>1710</v>
      </c>
      <c r="F576" s="2266" t="s">
        <v>5169</v>
      </c>
      <c r="G576" s="2266" t="s">
        <v>5169</v>
      </c>
      <c r="H576" s="2266">
        <v>312761</v>
      </c>
      <c r="I576" s="2266">
        <v>0</v>
      </c>
      <c r="J576" s="2266">
        <v>0</v>
      </c>
      <c r="K576" s="2266">
        <v>0</v>
      </c>
      <c r="L576" s="2266">
        <v>0</v>
      </c>
      <c r="M576" s="2266">
        <v>599</v>
      </c>
    </row>
    <row r="577" spans="1:13" ht="15">
      <c r="A577" s="2266" t="s">
        <v>4093</v>
      </c>
      <c r="B577" s="2465" t="str">
        <f>CONCATENATE(LEFT(RIGHT(CONCATENATE("000",IFAData_TEA_1617!A577),6),3),"-",(RIGHT(RIGHT(CONCATENATE("000",IFAData_TEA_1617!A577),6),3)))</f>
        <v>047-902</v>
      </c>
      <c r="C577" s="2266" t="s">
        <v>3062</v>
      </c>
      <c r="D577" s="2266">
        <v>10</v>
      </c>
      <c r="E577" s="2266">
        <v>1749</v>
      </c>
      <c r="F577" s="2266" t="s">
        <v>5171</v>
      </c>
      <c r="G577" s="2266" t="s">
        <v>5171</v>
      </c>
      <c r="H577" s="2266">
        <v>157394</v>
      </c>
      <c r="I577" s="2266">
        <v>387313</v>
      </c>
      <c r="J577" s="2266">
        <v>1</v>
      </c>
      <c r="K577" s="2266">
        <v>157394</v>
      </c>
      <c r="L577" s="2266">
        <v>157394</v>
      </c>
      <c r="M577" s="2266">
        <v>599</v>
      </c>
    </row>
    <row r="578" spans="1:13" ht="15">
      <c r="A578" s="2266" t="s">
        <v>4093</v>
      </c>
      <c r="B578" s="2465" t="str">
        <f>CONCATENATE(LEFT(RIGHT(CONCATENATE("000",IFAData_TEA_1617!A578),6),3),"-",(RIGHT(RIGHT(CONCATENATE("000",IFAData_TEA_1617!A578),6),3)))</f>
        <v>047-902</v>
      </c>
      <c r="C578" s="2266" t="s">
        <v>3062</v>
      </c>
      <c r="D578" s="2266">
        <v>2</v>
      </c>
      <c r="E578" s="2266">
        <v>1748</v>
      </c>
      <c r="F578" s="2266" t="s">
        <v>5170</v>
      </c>
      <c r="G578" s="2266" t="s">
        <v>5170</v>
      </c>
      <c r="H578" s="2266">
        <v>129726</v>
      </c>
      <c r="I578" s="2266">
        <v>0</v>
      </c>
      <c r="J578" s="2266">
        <v>0</v>
      </c>
      <c r="K578" s="2266"/>
      <c r="L578" s="2266">
        <v>0</v>
      </c>
      <c r="M578" s="2266">
        <v>199</v>
      </c>
    </row>
    <row r="579" spans="1:13" ht="15">
      <c r="A579" s="2266" t="s">
        <v>4094</v>
      </c>
      <c r="B579" s="2465" t="str">
        <f>CONCATENATE(LEFT(RIGHT(CONCATENATE("000",IFAData_TEA_1617!A579),6),3),"-",(RIGHT(RIGHT(CONCATENATE("000",IFAData_TEA_1617!A579),6),3)))</f>
        <v>047-903</v>
      </c>
      <c r="C579" s="2266" t="s">
        <v>1949</v>
      </c>
      <c r="D579" s="2266">
        <v>5</v>
      </c>
      <c r="E579" s="2266">
        <v>1863</v>
      </c>
      <c r="F579" s="2266" t="s">
        <v>5172</v>
      </c>
      <c r="G579" s="2266" t="s">
        <v>5173</v>
      </c>
      <c r="H579" s="2266">
        <v>100000</v>
      </c>
      <c r="I579" s="2266">
        <v>83238</v>
      </c>
      <c r="J579" s="2266">
        <v>1</v>
      </c>
      <c r="K579" s="2266">
        <v>100000</v>
      </c>
      <c r="L579" s="2266">
        <v>83238</v>
      </c>
      <c r="M579" s="2266">
        <v>599</v>
      </c>
    </row>
    <row r="580" spans="1:13" ht="15">
      <c r="A580" s="2266" t="s">
        <v>4094</v>
      </c>
      <c r="B580" s="2465" t="str">
        <f>CONCATENATE(LEFT(RIGHT(CONCATENATE("000",IFAData_TEA_1617!A580),6),3),"-",(RIGHT(RIGHT(CONCATENATE("000",IFAData_TEA_1617!A580),6),3)))</f>
        <v>047-903</v>
      </c>
      <c r="C580" s="2266" t="s">
        <v>1949</v>
      </c>
      <c r="D580" s="2266">
        <v>5</v>
      </c>
      <c r="E580" s="2266">
        <v>1863</v>
      </c>
      <c r="F580" s="2266" t="s">
        <v>5172</v>
      </c>
      <c r="G580" s="2266" t="s">
        <v>5172</v>
      </c>
      <c r="H580" s="2266">
        <v>100000</v>
      </c>
      <c r="I580" s="2266">
        <v>0</v>
      </c>
      <c r="J580" s="2266">
        <v>0</v>
      </c>
      <c r="K580" s="2266">
        <v>0</v>
      </c>
      <c r="L580" s="2266">
        <v>0</v>
      </c>
      <c r="M580" s="2266">
        <v>599</v>
      </c>
    </row>
    <row r="581" spans="1:13" ht="15">
      <c r="A581" s="2266" t="s">
        <v>4095</v>
      </c>
      <c r="B581" s="2465" t="str">
        <f>CONCATENATE(LEFT(RIGHT(CONCATENATE("000",IFAData_TEA_1617!A581),6),3),"-",(RIGHT(RIGHT(CONCATENATE("000",IFAData_TEA_1617!A581),6),3)))</f>
        <v>047-905</v>
      </c>
      <c r="C581" s="2266" t="s">
        <v>2528</v>
      </c>
      <c r="D581" s="2266">
        <v>10</v>
      </c>
      <c r="E581" s="2266">
        <v>2332</v>
      </c>
      <c r="F581" s="2266" t="s">
        <v>5174</v>
      </c>
      <c r="G581" s="2266" t="s">
        <v>5174</v>
      </c>
      <c r="H581" s="2266">
        <v>99680</v>
      </c>
      <c r="I581" s="2266">
        <v>96775</v>
      </c>
      <c r="J581" s="2266">
        <v>1</v>
      </c>
      <c r="K581" s="2266">
        <v>99680</v>
      </c>
      <c r="L581" s="2266">
        <v>96775</v>
      </c>
      <c r="M581" s="2266">
        <v>599</v>
      </c>
    </row>
    <row r="582" spans="1:13" ht="15">
      <c r="A582" s="2266" t="s">
        <v>4096</v>
      </c>
      <c r="B582" s="2465" t="str">
        <f>CONCATENATE(LEFT(RIGHT(CONCATENATE("000",IFAData_TEA_1617!A582),6),3),"-",(RIGHT(RIGHT(CONCATENATE("000",IFAData_TEA_1617!A582),6),3)))</f>
        <v>049-901</v>
      </c>
      <c r="C582" s="2266" t="s">
        <v>1669</v>
      </c>
      <c r="D582" s="2266">
        <v>1</v>
      </c>
      <c r="E582" s="2266">
        <v>1833</v>
      </c>
      <c r="F582" s="2266" t="s">
        <v>5175</v>
      </c>
      <c r="G582" s="2266" t="s">
        <v>5175</v>
      </c>
      <c r="H582" s="2266">
        <v>301682</v>
      </c>
      <c r="I582" s="2266">
        <v>0</v>
      </c>
      <c r="J582" s="2266">
        <v>0</v>
      </c>
      <c r="K582" s="2266">
        <v>0</v>
      </c>
      <c r="L582" s="2266">
        <v>0</v>
      </c>
      <c r="M582" s="2266">
        <v>599</v>
      </c>
    </row>
    <row r="583" spans="1:13" ht="15">
      <c r="A583" s="2266" t="s">
        <v>4096</v>
      </c>
      <c r="B583" s="2465" t="str">
        <f>CONCATENATE(LEFT(RIGHT(CONCATENATE("000",IFAData_TEA_1617!A583),6),3),"-",(RIGHT(RIGHT(CONCATENATE("000",IFAData_TEA_1617!A583),6),3)))</f>
        <v>049-901</v>
      </c>
      <c r="C583" s="2266" t="s">
        <v>1669</v>
      </c>
      <c r="D583" s="2266">
        <v>1</v>
      </c>
      <c r="E583" s="2266">
        <v>1833</v>
      </c>
      <c r="F583" s="2266" t="s">
        <v>5175</v>
      </c>
      <c r="G583" s="2266" t="s">
        <v>5176</v>
      </c>
      <c r="H583" s="2266">
        <v>301682</v>
      </c>
      <c r="I583" s="2266">
        <v>0</v>
      </c>
      <c r="J583" s="2266">
        <v>0</v>
      </c>
      <c r="K583" s="2266">
        <v>0</v>
      </c>
      <c r="L583" s="2266">
        <v>0</v>
      </c>
      <c r="M583" s="2266">
        <v>599</v>
      </c>
    </row>
    <row r="584" spans="1:13" ht="15">
      <c r="A584" s="2266" t="s">
        <v>4096</v>
      </c>
      <c r="B584" s="2465" t="str">
        <f>CONCATENATE(LEFT(RIGHT(CONCATENATE("000",IFAData_TEA_1617!A584),6),3),"-",(RIGHT(RIGHT(CONCATENATE("000",IFAData_TEA_1617!A584),6),3)))</f>
        <v>049-901</v>
      </c>
      <c r="C584" s="2266" t="s">
        <v>1669</v>
      </c>
      <c r="D584" s="2266">
        <v>1</v>
      </c>
      <c r="E584" s="2266">
        <v>1833</v>
      </c>
      <c r="F584" s="2266" t="s">
        <v>5175</v>
      </c>
      <c r="G584" s="2266" t="s">
        <v>6946</v>
      </c>
      <c r="H584" s="2266">
        <v>301682</v>
      </c>
      <c r="I584" s="2266">
        <v>150972</v>
      </c>
      <c r="J584" s="2266">
        <v>1</v>
      </c>
      <c r="K584" s="2266">
        <v>301682</v>
      </c>
      <c r="L584" s="2266">
        <v>150972</v>
      </c>
      <c r="M584" s="2266">
        <v>599</v>
      </c>
    </row>
    <row r="585" spans="1:13" ht="15">
      <c r="A585" s="2266" t="s">
        <v>4097</v>
      </c>
      <c r="B585" s="2465" t="str">
        <f>CONCATENATE(LEFT(RIGHT(CONCATENATE("000",IFAData_TEA_1617!A585),6),3),"-",(RIGHT(RIGHT(CONCATENATE("000",IFAData_TEA_1617!A585),6),3)))</f>
        <v>049-903</v>
      </c>
      <c r="C585" s="2266" t="s">
        <v>2705</v>
      </c>
      <c r="D585" s="2266">
        <v>6</v>
      </c>
      <c r="E585" s="2266">
        <v>2411</v>
      </c>
      <c r="F585" s="2266" t="s">
        <v>5177</v>
      </c>
      <c r="G585" s="2266" t="s">
        <v>5177</v>
      </c>
      <c r="H585" s="2266">
        <v>163056</v>
      </c>
      <c r="I585" s="2266">
        <v>0</v>
      </c>
      <c r="J585" s="2266">
        <v>0</v>
      </c>
      <c r="K585" s="2266">
        <v>0</v>
      </c>
      <c r="L585" s="2266">
        <v>0</v>
      </c>
      <c r="M585" s="2266">
        <v>599</v>
      </c>
    </row>
    <row r="586" spans="1:13" ht="15">
      <c r="A586" s="2266" t="s">
        <v>4097</v>
      </c>
      <c r="B586" s="2465" t="str">
        <f>CONCATENATE(LEFT(RIGHT(CONCATENATE("000",IFAData_TEA_1617!A586),6),3),"-",(RIGHT(RIGHT(CONCATENATE("000",IFAData_TEA_1617!A586),6),3)))</f>
        <v>049-903</v>
      </c>
      <c r="C586" s="2266" t="s">
        <v>2705</v>
      </c>
      <c r="D586" s="2266">
        <v>6</v>
      </c>
      <c r="E586" s="2266">
        <v>2411</v>
      </c>
      <c r="F586" s="2266" t="s">
        <v>5177</v>
      </c>
      <c r="G586" s="2266" t="s">
        <v>5178</v>
      </c>
      <c r="H586" s="2266">
        <v>163056</v>
      </c>
      <c r="I586" s="2266">
        <v>159469</v>
      </c>
      <c r="J586" s="2266">
        <v>1</v>
      </c>
      <c r="K586" s="2266">
        <v>163056</v>
      </c>
      <c r="L586" s="2266">
        <v>159469</v>
      </c>
      <c r="M586" s="2266">
        <v>599</v>
      </c>
    </row>
    <row r="587" spans="1:13" ht="15">
      <c r="A587" s="2266" t="s">
        <v>4098</v>
      </c>
      <c r="B587" s="2465" t="str">
        <f>CONCATENATE(LEFT(RIGHT(CONCATENATE("000",IFAData_TEA_1617!A587),6),3),"-",(RIGHT(RIGHT(CONCATENATE("000",IFAData_TEA_1617!A587),6),3)))</f>
        <v>049-906</v>
      </c>
      <c r="C587" s="2266" t="s">
        <v>2533</v>
      </c>
      <c r="D587" s="2266">
        <v>9</v>
      </c>
      <c r="E587" s="2266">
        <v>1802</v>
      </c>
      <c r="F587" s="2266" t="s">
        <v>5179</v>
      </c>
      <c r="G587" s="2266" t="s">
        <v>7608</v>
      </c>
      <c r="H587" s="2266">
        <v>43739</v>
      </c>
      <c r="I587" s="2266">
        <v>45286</v>
      </c>
      <c r="J587" s="2266">
        <v>0.27378692429537016</v>
      </c>
      <c r="K587" s="2266">
        <v>11975.166281755195</v>
      </c>
      <c r="L587" s="2266">
        <v>11975.166281755195</v>
      </c>
      <c r="M587" s="2266">
        <v>599</v>
      </c>
    </row>
    <row r="588" spans="1:13" ht="15">
      <c r="A588" s="2266" t="s">
        <v>4098</v>
      </c>
      <c r="B588" s="2465" t="str">
        <f>CONCATENATE(LEFT(RIGHT(CONCATENATE("000",IFAData_TEA_1617!A588),6),3),"-",(RIGHT(RIGHT(CONCATENATE("000",IFAData_TEA_1617!A588),6),3)))</f>
        <v>049-906</v>
      </c>
      <c r="C588" s="2266" t="s">
        <v>2533</v>
      </c>
      <c r="D588" s="2266">
        <v>9</v>
      </c>
      <c r="E588" s="2266">
        <v>1802</v>
      </c>
      <c r="F588" s="2266" t="s">
        <v>5179</v>
      </c>
      <c r="G588" s="2266" t="s">
        <v>5179</v>
      </c>
      <c r="H588" s="2266">
        <v>43739</v>
      </c>
      <c r="I588" s="2266">
        <v>120120</v>
      </c>
      <c r="J588" s="2266">
        <v>0.72621307570462978</v>
      </c>
      <c r="K588" s="2266">
        <v>31763.833718244801</v>
      </c>
      <c r="L588" s="2266">
        <v>31763.833718244801</v>
      </c>
      <c r="M588" s="2266">
        <v>599</v>
      </c>
    </row>
    <row r="589" spans="1:13" ht="15">
      <c r="A589" s="2266" t="s">
        <v>4099</v>
      </c>
      <c r="B589" s="2465" t="str">
        <f>CONCATENATE(LEFT(RIGHT(CONCATENATE("000",IFAData_TEA_1617!A589),6),3),"-",(RIGHT(RIGHT(CONCATENATE("000",IFAData_TEA_1617!A589),6),3)))</f>
        <v>050-904</v>
      </c>
      <c r="C589" s="2266" t="s">
        <v>290</v>
      </c>
      <c r="D589" s="2266">
        <v>5</v>
      </c>
      <c r="E589" s="2266">
        <v>2157</v>
      </c>
      <c r="F589" s="2266" t="s">
        <v>5180</v>
      </c>
      <c r="G589" s="2266" t="s">
        <v>5180</v>
      </c>
      <c r="H589" s="2266">
        <v>93713</v>
      </c>
      <c r="I589" s="2266">
        <v>91360</v>
      </c>
      <c r="J589" s="2266">
        <v>1</v>
      </c>
      <c r="K589" s="2266">
        <v>93713</v>
      </c>
      <c r="L589" s="2266">
        <v>91360</v>
      </c>
      <c r="M589" s="2266">
        <v>599</v>
      </c>
    </row>
    <row r="590" spans="1:13" ht="15">
      <c r="A590" s="2266" t="s">
        <v>4100</v>
      </c>
      <c r="B590" s="2465" t="str">
        <f>CONCATENATE(LEFT(RIGHT(CONCATENATE("000",IFAData_TEA_1617!A590),6),3),"-",(RIGHT(RIGHT(CONCATENATE("000",IFAData_TEA_1617!A590),6),3)))</f>
        <v>050-910</v>
      </c>
      <c r="C590" s="2266" t="s">
        <v>2951</v>
      </c>
      <c r="D590" s="2266">
        <v>1</v>
      </c>
      <c r="E590" s="2266">
        <v>1720</v>
      </c>
      <c r="F590" s="2266" t="s">
        <v>5181</v>
      </c>
      <c r="G590" s="2266" t="s">
        <v>6947</v>
      </c>
      <c r="H590" s="2266">
        <v>767600</v>
      </c>
      <c r="I590" s="2266">
        <v>971054</v>
      </c>
      <c r="J590" s="2266">
        <v>0.28324535033838788</v>
      </c>
      <c r="K590" s="2266">
        <v>217419.13091974653</v>
      </c>
      <c r="L590" s="2266">
        <v>217419.13091974653</v>
      </c>
      <c r="M590" s="2266">
        <v>599</v>
      </c>
    </row>
    <row r="591" spans="1:13" ht="15">
      <c r="A591" s="2266" t="s">
        <v>4100</v>
      </c>
      <c r="B591" s="2465" t="str">
        <f>CONCATENATE(LEFT(RIGHT(CONCATENATE("000",IFAData_TEA_1617!A591),6),3),"-",(RIGHT(RIGHT(CONCATENATE("000",IFAData_TEA_1617!A591),6),3)))</f>
        <v>050-910</v>
      </c>
      <c r="C591" s="2266" t="s">
        <v>2951</v>
      </c>
      <c r="D591" s="2266">
        <v>1</v>
      </c>
      <c r="E591" s="2266">
        <v>1720</v>
      </c>
      <c r="F591" s="2266" t="s">
        <v>5181</v>
      </c>
      <c r="G591" s="2266" t="s">
        <v>5183</v>
      </c>
      <c r="H591" s="2266">
        <v>767600</v>
      </c>
      <c r="I591" s="2266">
        <v>0</v>
      </c>
      <c r="J591" s="2266">
        <v>0</v>
      </c>
      <c r="K591" s="2266">
        <v>0</v>
      </c>
      <c r="L591" s="2266">
        <v>0</v>
      </c>
      <c r="M591" s="2266">
        <v>599</v>
      </c>
    </row>
    <row r="592" spans="1:13" ht="15">
      <c r="A592" s="2266" t="s">
        <v>4100</v>
      </c>
      <c r="B592" s="2465" t="str">
        <f>CONCATENATE(LEFT(RIGHT(CONCATENATE("000",IFAData_TEA_1617!A592),6),3),"-",(RIGHT(RIGHT(CONCATENATE("000",IFAData_TEA_1617!A592),6),3)))</f>
        <v>050-910</v>
      </c>
      <c r="C592" s="2266" t="s">
        <v>2951</v>
      </c>
      <c r="D592" s="2266">
        <v>1</v>
      </c>
      <c r="E592" s="2266">
        <v>1720</v>
      </c>
      <c r="F592" s="2266" t="s">
        <v>5181</v>
      </c>
      <c r="G592" s="2266" t="s">
        <v>5184</v>
      </c>
      <c r="H592" s="2266">
        <v>767600</v>
      </c>
      <c r="I592" s="2266">
        <v>0</v>
      </c>
      <c r="J592" s="2266">
        <v>0</v>
      </c>
      <c r="K592" s="2266">
        <v>0</v>
      </c>
      <c r="L592" s="2266">
        <v>0</v>
      </c>
      <c r="M592" s="2266">
        <v>599</v>
      </c>
    </row>
    <row r="593" spans="1:13" ht="15">
      <c r="A593" s="2266" t="s">
        <v>4100</v>
      </c>
      <c r="B593" s="2465" t="str">
        <f>CONCATENATE(LEFT(RIGHT(CONCATENATE("000",IFAData_TEA_1617!A593),6),3),"-",(RIGHT(RIGHT(CONCATENATE("000",IFAData_TEA_1617!A593),6),3)))</f>
        <v>050-910</v>
      </c>
      <c r="C593" s="2266" t="s">
        <v>2951</v>
      </c>
      <c r="D593" s="2266">
        <v>1</v>
      </c>
      <c r="E593" s="2266">
        <v>1720</v>
      </c>
      <c r="F593" s="2266" t="s">
        <v>5181</v>
      </c>
      <c r="G593" s="2266" t="s">
        <v>5182</v>
      </c>
      <c r="H593" s="2266">
        <v>767600</v>
      </c>
      <c r="I593" s="2266">
        <v>2457260</v>
      </c>
      <c r="J593" s="2266">
        <v>0.71675464966161206</v>
      </c>
      <c r="K593" s="2266">
        <v>550180.86908025341</v>
      </c>
      <c r="L593" s="2266">
        <v>550180.86908025341</v>
      </c>
      <c r="M593" s="2266">
        <v>599</v>
      </c>
    </row>
    <row r="594" spans="1:13" ht="15">
      <c r="A594" s="2266" t="s">
        <v>4100</v>
      </c>
      <c r="B594" s="2465" t="str">
        <f>CONCATENATE(LEFT(RIGHT(CONCATENATE("000",IFAData_TEA_1617!A594),6),3),"-",(RIGHT(RIGHT(CONCATENATE("000",IFAData_TEA_1617!A594),6),3)))</f>
        <v>050-910</v>
      </c>
      <c r="C594" s="2266" t="s">
        <v>2951</v>
      </c>
      <c r="D594" s="2266">
        <v>1</v>
      </c>
      <c r="E594" s="2266">
        <v>1720</v>
      </c>
      <c r="F594" s="2266" t="s">
        <v>5181</v>
      </c>
      <c r="G594" s="2266" t="s">
        <v>5181</v>
      </c>
      <c r="H594" s="2266">
        <v>767600</v>
      </c>
      <c r="I594" s="2266">
        <v>0</v>
      </c>
      <c r="J594" s="2266">
        <v>0</v>
      </c>
      <c r="K594" s="2266">
        <v>0</v>
      </c>
      <c r="L594" s="2266">
        <v>0</v>
      </c>
      <c r="M594" s="2266">
        <v>599</v>
      </c>
    </row>
    <row r="595" spans="1:13" ht="15">
      <c r="A595" s="2266" t="s">
        <v>4101</v>
      </c>
      <c r="B595" s="2465" t="str">
        <f>CONCATENATE(LEFT(RIGHT(CONCATENATE("000",IFAData_TEA_1617!A595),6),3),"-",(RIGHT(RIGHT(CONCATENATE("000",IFAData_TEA_1617!A595),6),3)))</f>
        <v>057-906</v>
      </c>
      <c r="C595" s="2266" t="s">
        <v>149</v>
      </c>
      <c r="D595" s="2266">
        <v>9</v>
      </c>
      <c r="E595" s="2266">
        <v>1752</v>
      </c>
      <c r="F595" s="2266" t="s">
        <v>5185</v>
      </c>
      <c r="G595" s="2266" t="s">
        <v>7172</v>
      </c>
      <c r="H595" s="2266">
        <v>1796397</v>
      </c>
      <c r="I595" s="2266">
        <v>1622142</v>
      </c>
      <c r="J595" s="2266">
        <v>0.95636988582933657</v>
      </c>
      <c r="K595" s="2266">
        <v>1718019.9937941628</v>
      </c>
      <c r="L595" s="2266">
        <v>1622142</v>
      </c>
      <c r="M595" s="2266">
        <v>599</v>
      </c>
    </row>
    <row r="596" spans="1:13" ht="15">
      <c r="A596" s="2266" t="s">
        <v>4101</v>
      </c>
      <c r="B596" s="2465" t="str">
        <f>CONCATENATE(LEFT(RIGHT(CONCATENATE("000",IFAData_TEA_1617!A596),6),3),"-",(RIGHT(RIGHT(CONCATENATE("000",IFAData_TEA_1617!A596),6),3)))</f>
        <v>057-906</v>
      </c>
      <c r="C596" s="2266" t="s">
        <v>149</v>
      </c>
      <c r="D596" s="2266">
        <v>9</v>
      </c>
      <c r="E596" s="2266">
        <v>1752</v>
      </c>
      <c r="F596" s="2266" t="s">
        <v>5185</v>
      </c>
      <c r="G596" s="2266" t="s">
        <v>5185</v>
      </c>
      <c r="H596" s="2266">
        <v>1796397</v>
      </c>
      <c r="I596" s="2266">
        <v>0</v>
      </c>
      <c r="J596" s="2266">
        <v>0</v>
      </c>
      <c r="K596" s="2266">
        <v>0</v>
      </c>
      <c r="L596" s="2266">
        <v>0</v>
      </c>
      <c r="M596" s="2266">
        <v>599</v>
      </c>
    </row>
    <row r="597" spans="1:13" ht="15">
      <c r="A597" s="2266" t="s">
        <v>4101</v>
      </c>
      <c r="B597" s="2465" t="str">
        <f>CONCATENATE(LEFT(RIGHT(CONCATENATE("000",IFAData_TEA_1617!A597),6),3),"-",(RIGHT(RIGHT(CONCATENATE("000",IFAData_TEA_1617!A597),6),3)))</f>
        <v>057-906</v>
      </c>
      <c r="C597" s="2266" t="s">
        <v>149</v>
      </c>
      <c r="D597" s="2266">
        <v>9</v>
      </c>
      <c r="E597" s="2266">
        <v>1752</v>
      </c>
      <c r="F597" s="2266" t="s">
        <v>5185</v>
      </c>
      <c r="G597" s="2266" t="s">
        <v>7173</v>
      </c>
      <c r="H597" s="2266">
        <v>1796397</v>
      </c>
      <c r="I597" s="2266">
        <v>74003</v>
      </c>
      <c r="J597" s="2266">
        <v>4.3630114170663474E-2</v>
      </c>
      <c r="K597" s="2266">
        <v>78377.006205837359</v>
      </c>
      <c r="L597" s="2266">
        <v>74003</v>
      </c>
      <c r="M597" s="2266">
        <v>599</v>
      </c>
    </row>
    <row r="598" spans="1:13" ht="15">
      <c r="A598" s="2266" t="s">
        <v>4102</v>
      </c>
      <c r="B598" s="2465" t="str">
        <f>CONCATENATE(LEFT(RIGHT(CONCATENATE("000",IFAData_TEA_1617!A598),6),3),"-",(RIGHT(RIGHT(CONCATENATE("000",IFAData_TEA_1617!A598),6),3)))</f>
        <v>057-909</v>
      </c>
      <c r="C598" s="2266" t="s">
        <v>1672</v>
      </c>
      <c r="D598" s="2266">
        <v>1</v>
      </c>
      <c r="E598" s="2266">
        <v>1842</v>
      </c>
      <c r="F598" s="2266" t="s">
        <v>5186</v>
      </c>
      <c r="G598" s="2266" t="s">
        <v>5188</v>
      </c>
      <c r="H598" s="2266">
        <v>1619723</v>
      </c>
      <c r="I598" s="2266">
        <v>481440</v>
      </c>
      <c r="J598" s="2266">
        <v>1</v>
      </c>
      <c r="K598" s="2266">
        <v>1619723</v>
      </c>
      <c r="L598" s="2266">
        <v>481440</v>
      </c>
      <c r="M598" s="2266">
        <v>599</v>
      </c>
    </row>
    <row r="599" spans="1:13" ht="15">
      <c r="A599" s="2266" t="s">
        <v>4102</v>
      </c>
      <c r="B599" s="2465" t="str">
        <f>CONCATENATE(LEFT(RIGHT(CONCATENATE("000",IFAData_TEA_1617!A599),6),3),"-",(RIGHT(RIGHT(CONCATENATE("000",IFAData_TEA_1617!A599),6),3)))</f>
        <v>057-909</v>
      </c>
      <c r="C599" s="2266" t="s">
        <v>1672</v>
      </c>
      <c r="D599" s="2266">
        <v>1</v>
      </c>
      <c r="E599" s="2266">
        <v>1843</v>
      </c>
      <c r="F599" s="2266" t="s">
        <v>5191</v>
      </c>
      <c r="G599" s="2266" t="s">
        <v>5191</v>
      </c>
      <c r="H599" s="2266">
        <v>8781971</v>
      </c>
      <c r="I599" s="2266">
        <v>0</v>
      </c>
      <c r="J599" s="2266">
        <v>0</v>
      </c>
      <c r="K599" s="2266">
        <v>0</v>
      </c>
      <c r="L599" s="2266">
        <v>0</v>
      </c>
      <c r="M599" s="2266">
        <v>599</v>
      </c>
    </row>
    <row r="600" spans="1:13" ht="15">
      <c r="A600" s="2266" t="s">
        <v>4102</v>
      </c>
      <c r="B600" s="2465" t="str">
        <f>CONCATENATE(LEFT(RIGHT(CONCATENATE("000",IFAData_TEA_1617!A600),6),3),"-",(RIGHT(RIGHT(CONCATENATE("000",IFAData_TEA_1617!A600),6),3)))</f>
        <v>057-909</v>
      </c>
      <c r="C600" s="2266" t="s">
        <v>1672</v>
      </c>
      <c r="D600" s="2266">
        <v>1</v>
      </c>
      <c r="E600" s="2266">
        <v>1843</v>
      </c>
      <c r="F600" s="2266" t="s">
        <v>5191</v>
      </c>
      <c r="G600" s="2266" t="s">
        <v>5189</v>
      </c>
      <c r="H600" s="2266">
        <v>8781971</v>
      </c>
      <c r="I600" s="2266">
        <v>0</v>
      </c>
      <c r="J600" s="2266">
        <v>0</v>
      </c>
      <c r="K600" s="2266">
        <v>0</v>
      </c>
      <c r="L600" s="2266">
        <v>0</v>
      </c>
      <c r="M600" s="2266">
        <v>599</v>
      </c>
    </row>
    <row r="601" spans="1:13" ht="15">
      <c r="A601" s="2266" t="s">
        <v>4102</v>
      </c>
      <c r="B601" s="2465" t="str">
        <f>CONCATENATE(LEFT(RIGHT(CONCATENATE("000",IFAData_TEA_1617!A601),6),3),"-",(RIGHT(RIGHT(CONCATENATE("000",IFAData_TEA_1617!A601),6),3)))</f>
        <v>057-909</v>
      </c>
      <c r="C601" s="2266" t="s">
        <v>1672</v>
      </c>
      <c r="D601" s="2266">
        <v>1</v>
      </c>
      <c r="E601" s="2266">
        <v>1842</v>
      </c>
      <c r="F601" s="2266" t="s">
        <v>5186</v>
      </c>
      <c r="G601" s="2266" t="s">
        <v>6948</v>
      </c>
      <c r="H601" s="2266">
        <v>1619723</v>
      </c>
      <c r="I601" s="2266">
        <v>0</v>
      </c>
      <c r="J601" s="2266">
        <v>0</v>
      </c>
      <c r="K601" s="2266">
        <v>0</v>
      </c>
      <c r="L601" s="2266">
        <v>0</v>
      </c>
      <c r="M601" s="2266">
        <v>599</v>
      </c>
    </row>
    <row r="602" spans="1:13" ht="15">
      <c r="A602" s="2266" t="s">
        <v>4102</v>
      </c>
      <c r="B602" s="2465" t="str">
        <f>CONCATENATE(LEFT(RIGHT(CONCATENATE("000",IFAData_TEA_1617!A602),6),3),"-",(RIGHT(RIGHT(CONCATENATE("000",IFAData_TEA_1617!A602),6),3)))</f>
        <v>057-909</v>
      </c>
      <c r="C602" s="2266" t="s">
        <v>1672</v>
      </c>
      <c r="D602" s="2266">
        <v>1</v>
      </c>
      <c r="E602" s="2266">
        <v>1843</v>
      </c>
      <c r="F602" s="2266" t="s">
        <v>5191</v>
      </c>
      <c r="G602" s="2266" t="s">
        <v>5188</v>
      </c>
      <c r="H602" s="2266">
        <v>8781971</v>
      </c>
      <c r="I602" s="2266">
        <v>2125823</v>
      </c>
      <c r="J602" s="2266">
        <v>1</v>
      </c>
      <c r="K602" s="2266">
        <v>8781971</v>
      </c>
      <c r="L602" s="2266">
        <v>2125823</v>
      </c>
      <c r="M602" s="2266">
        <v>599</v>
      </c>
    </row>
    <row r="603" spans="1:13" ht="15">
      <c r="A603" s="2266" t="s">
        <v>4102</v>
      </c>
      <c r="B603" s="2465" t="str">
        <f>CONCATENATE(LEFT(RIGHT(CONCATENATE("000",IFAData_TEA_1617!A603),6),3),"-",(RIGHT(RIGHT(CONCATENATE("000",IFAData_TEA_1617!A603),6),3)))</f>
        <v>057-909</v>
      </c>
      <c r="C603" s="2266" t="s">
        <v>1672</v>
      </c>
      <c r="D603" s="2266">
        <v>1</v>
      </c>
      <c r="E603" s="2266">
        <v>1843</v>
      </c>
      <c r="F603" s="2266" t="s">
        <v>5191</v>
      </c>
      <c r="G603" s="2266" t="s">
        <v>5187</v>
      </c>
      <c r="H603" s="2266">
        <v>8781971</v>
      </c>
      <c r="I603" s="2266">
        <v>0</v>
      </c>
      <c r="J603" s="2266">
        <v>0</v>
      </c>
      <c r="K603" s="2266">
        <v>0</v>
      </c>
      <c r="L603" s="2266">
        <v>0</v>
      </c>
      <c r="M603" s="2266">
        <v>599</v>
      </c>
    </row>
    <row r="604" spans="1:13" ht="15">
      <c r="A604" s="2266" t="s">
        <v>4102</v>
      </c>
      <c r="B604" s="2465" t="str">
        <f>CONCATENATE(LEFT(RIGHT(CONCATENATE("000",IFAData_TEA_1617!A604),6),3),"-",(RIGHT(RIGHT(CONCATENATE("000",IFAData_TEA_1617!A604),6),3)))</f>
        <v>057-909</v>
      </c>
      <c r="C604" s="2266" t="s">
        <v>1672</v>
      </c>
      <c r="D604" s="2266">
        <v>1</v>
      </c>
      <c r="E604" s="2266">
        <v>1842</v>
      </c>
      <c r="F604" s="2266" t="s">
        <v>5186</v>
      </c>
      <c r="G604" s="2266" t="s">
        <v>5189</v>
      </c>
      <c r="H604" s="2266">
        <v>1619723</v>
      </c>
      <c r="I604" s="2266">
        <v>0</v>
      </c>
      <c r="J604" s="2266">
        <v>0</v>
      </c>
      <c r="K604" s="2266">
        <v>0</v>
      </c>
      <c r="L604" s="2266">
        <v>0</v>
      </c>
      <c r="M604" s="2266">
        <v>599</v>
      </c>
    </row>
    <row r="605" spans="1:13" ht="15">
      <c r="A605" s="2266" t="s">
        <v>4102</v>
      </c>
      <c r="B605" s="2465" t="str">
        <f>CONCATENATE(LEFT(RIGHT(CONCATENATE("000",IFAData_TEA_1617!A605),6),3),"-",(RIGHT(RIGHT(CONCATENATE("000",IFAData_TEA_1617!A605),6),3)))</f>
        <v>057-909</v>
      </c>
      <c r="C605" s="2266" t="s">
        <v>1672</v>
      </c>
      <c r="D605" s="2266">
        <v>1</v>
      </c>
      <c r="E605" s="2266">
        <v>1843</v>
      </c>
      <c r="F605" s="2266" t="s">
        <v>5191</v>
      </c>
      <c r="G605" s="2266" t="s">
        <v>5190</v>
      </c>
      <c r="H605" s="2266">
        <v>8781971</v>
      </c>
      <c r="I605" s="2266">
        <v>0</v>
      </c>
      <c r="J605" s="2266">
        <v>0</v>
      </c>
      <c r="K605" s="2266">
        <v>0</v>
      </c>
      <c r="L605" s="2266">
        <v>0</v>
      </c>
      <c r="M605" s="2266">
        <v>599</v>
      </c>
    </row>
    <row r="606" spans="1:13" ht="15">
      <c r="A606" s="2266" t="s">
        <v>4102</v>
      </c>
      <c r="B606" s="2465" t="str">
        <f>CONCATENATE(LEFT(RIGHT(CONCATENATE("000",IFAData_TEA_1617!A606),6),3),"-",(RIGHT(RIGHT(CONCATENATE("000",IFAData_TEA_1617!A606),6),3)))</f>
        <v>057-909</v>
      </c>
      <c r="C606" s="2266" t="s">
        <v>1672</v>
      </c>
      <c r="D606" s="2266">
        <v>1</v>
      </c>
      <c r="E606" s="2266">
        <v>1842</v>
      </c>
      <c r="F606" s="2266" t="s">
        <v>5186</v>
      </c>
      <c r="G606" s="2266" t="s">
        <v>5187</v>
      </c>
      <c r="H606" s="2266">
        <v>1619723</v>
      </c>
      <c r="I606" s="2266">
        <v>0</v>
      </c>
      <c r="J606" s="2266">
        <v>0</v>
      </c>
      <c r="K606" s="2266">
        <v>0</v>
      </c>
      <c r="L606" s="2266">
        <v>0</v>
      </c>
      <c r="M606" s="2266">
        <v>599</v>
      </c>
    </row>
    <row r="607" spans="1:13" ht="15">
      <c r="A607" s="2266" t="s">
        <v>4102</v>
      </c>
      <c r="B607" s="2465" t="str">
        <f>CONCATENATE(LEFT(RIGHT(CONCATENATE("000",IFAData_TEA_1617!A607),6),3),"-",(RIGHT(RIGHT(CONCATENATE("000",IFAData_TEA_1617!A607),6),3)))</f>
        <v>057-909</v>
      </c>
      <c r="C607" s="2266" t="s">
        <v>1672</v>
      </c>
      <c r="D607" s="2266">
        <v>1</v>
      </c>
      <c r="E607" s="2266">
        <v>1843</v>
      </c>
      <c r="F607" s="2266" t="s">
        <v>5191</v>
      </c>
      <c r="G607" s="2266" t="s">
        <v>6948</v>
      </c>
      <c r="H607" s="2266">
        <v>8781971</v>
      </c>
      <c r="I607" s="2266">
        <v>0</v>
      </c>
      <c r="J607" s="2266">
        <v>0</v>
      </c>
      <c r="K607" s="2266">
        <v>0</v>
      </c>
      <c r="L607" s="2266">
        <v>0</v>
      </c>
      <c r="M607" s="2266">
        <v>599</v>
      </c>
    </row>
    <row r="608" spans="1:13" ht="15">
      <c r="A608" s="2266" t="s">
        <v>4102</v>
      </c>
      <c r="B608" s="2465" t="str">
        <f>CONCATENATE(LEFT(RIGHT(CONCATENATE("000",IFAData_TEA_1617!A608),6),3),"-",(RIGHT(RIGHT(CONCATENATE("000",IFAData_TEA_1617!A608),6),3)))</f>
        <v>057-909</v>
      </c>
      <c r="C608" s="2266" t="s">
        <v>1672</v>
      </c>
      <c r="D608" s="2266">
        <v>1</v>
      </c>
      <c r="E608" s="2266">
        <v>1842</v>
      </c>
      <c r="F608" s="2266" t="s">
        <v>5186</v>
      </c>
      <c r="G608" s="2266" t="s">
        <v>5190</v>
      </c>
      <c r="H608" s="2266">
        <v>1619723</v>
      </c>
      <c r="I608" s="2266">
        <v>0</v>
      </c>
      <c r="J608" s="2266">
        <v>0</v>
      </c>
      <c r="K608" s="2266">
        <v>0</v>
      </c>
      <c r="L608" s="2266">
        <v>0</v>
      </c>
      <c r="M608" s="2266">
        <v>599</v>
      </c>
    </row>
    <row r="609" spans="1:13" ht="15">
      <c r="A609" s="2266" t="s">
        <v>4102</v>
      </c>
      <c r="B609" s="2465" t="str">
        <f>CONCATENATE(LEFT(RIGHT(CONCATENATE("000",IFAData_TEA_1617!A609),6),3),"-",(RIGHT(RIGHT(CONCATENATE("000",IFAData_TEA_1617!A609),6),3)))</f>
        <v>057-909</v>
      </c>
      <c r="C609" s="2266" t="s">
        <v>1672</v>
      </c>
      <c r="D609" s="2266">
        <v>1</v>
      </c>
      <c r="E609" s="2266">
        <v>1842</v>
      </c>
      <c r="F609" s="2266" t="s">
        <v>5186</v>
      </c>
      <c r="G609" s="2266" t="s">
        <v>5186</v>
      </c>
      <c r="H609" s="2266">
        <v>1619723</v>
      </c>
      <c r="I609" s="2266">
        <v>0</v>
      </c>
      <c r="J609" s="2266">
        <v>0</v>
      </c>
      <c r="K609" s="2266">
        <v>0</v>
      </c>
      <c r="L609" s="2266">
        <v>0</v>
      </c>
      <c r="M609" s="2266">
        <v>599</v>
      </c>
    </row>
    <row r="610" spans="1:13" ht="15">
      <c r="A610" s="2266" t="s">
        <v>4103</v>
      </c>
      <c r="B610" s="2465" t="str">
        <f>CONCATENATE(LEFT(RIGHT(CONCATENATE("000",IFAData_TEA_1617!A610),6),3),"-",(RIGHT(RIGHT(CONCATENATE("000",IFAData_TEA_1617!A610),6),3)))</f>
        <v>057-910</v>
      </c>
      <c r="C610" s="2266" t="s">
        <v>975</v>
      </c>
      <c r="D610" s="2266">
        <v>9</v>
      </c>
      <c r="E610" s="2266">
        <v>1856</v>
      </c>
      <c r="F610" s="2266" t="s">
        <v>5196</v>
      </c>
      <c r="G610" s="2266" t="s">
        <v>5196</v>
      </c>
      <c r="H610" s="2266">
        <v>5871653</v>
      </c>
      <c r="I610" s="2266">
        <v>2119281</v>
      </c>
      <c r="J610" s="2266">
        <v>0.28827609134215876</v>
      </c>
      <c r="K610" s="2266">
        <v>1692657.1765574606</v>
      </c>
      <c r="L610" s="2266">
        <v>1692657.1765574606</v>
      </c>
      <c r="M610" s="2266">
        <v>599</v>
      </c>
    </row>
    <row r="611" spans="1:13" ht="15">
      <c r="A611" s="2266" t="s">
        <v>4103</v>
      </c>
      <c r="B611" s="2465" t="str">
        <f>CONCATENATE(LEFT(RIGHT(CONCATENATE("000",IFAData_TEA_1617!A611),6),3),"-",(RIGHT(RIGHT(CONCATENATE("000",IFAData_TEA_1617!A611),6),3)))</f>
        <v>057-910</v>
      </c>
      <c r="C611" s="2266" t="s">
        <v>975</v>
      </c>
      <c r="D611" s="2266">
        <v>5</v>
      </c>
      <c r="E611" s="2266">
        <v>1855</v>
      </c>
      <c r="F611" s="2266" t="s">
        <v>5193</v>
      </c>
      <c r="G611" s="2266" t="s">
        <v>5194</v>
      </c>
      <c r="H611" s="2266">
        <v>2988473</v>
      </c>
      <c r="I611" s="2266">
        <v>223467</v>
      </c>
      <c r="J611" s="2266">
        <v>3.7665391922032755E-2</v>
      </c>
      <c r="K611" s="2266">
        <v>112562.00679341299</v>
      </c>
      <c r="L611" s="2266">
        <v>112562.00679341299</v>
      </c>
      <c r="M611" s="2266">
        <v>599</v>
      </c>
    </row>
    <row r="612" spans="1:13" ht="15">
      <c r="A612" s="2266" t="s">
        <v>4103</v>
      </c>
      <c r="B612" s="2465" t="str">
        <f>CONCATENATE(LEFT(RIGHT(CONCATENATE("000",IFAData_TEA_1617!A612),6),3),"-",(RIGHT(RIGHT(CONCATENATE("000",IFAData_TEA_1617!A612),6),3)))</f>
        <v>057-910</v>
      </c>
      <c r="C612" s="2266" t="s">
        <v>975</v>
      </c>
      <c r="D612" s="2266">
        <v>5</v>
      </c>
      <c r="E612" s="2266">
        <v>1854</v>
      </c>
      <c r="F612" s="2266" t="s">
        <v>5192</v>
      </c>
      <c r="G612" s="2266" t="s">
        <v>5192</v>
      </c>
      <c r="H612" s="2266">
        <v>1848646</v>
      </c>
      <c r="I612" s="2266">
        <v>0</v>
      </c>
      <c r="J612" s="2266">
        <v>0</v>
      </c>
      <c r="K612" s="2266"/>
      <c r="L612" s="2266">
        <v>0</v>
      </c>
      <c r="M612" s="2266">
        <v>599</v>
      </c>
    </row>
    <row r="613" spans="1:13" ht="15">
      <c r="A613" s="2266" t="s">
        <v>4103</v>
      </c>
      <c r="B613" s="2465" t="str">
        <f>CONCATENATE(LEFT(RIGHT(CONCATENATE("000",IFAData_TEA_1617!A613),6),3),"-",(RIGHT(RIGHT(CONCATENATE("000",IFAData_TEA_1617!A613),6),3)))</f>
        <v>057-910</v>
      </c>
      <c r="C613" s="2266" t="s">
        <v>975</v>
      </c>
      <c r="D613" s="2266">
        <v>5</v>
      </c>
      <c r="E613" s="2266">
        <v>1855</v>
      </c>
      <c r="F613" s="2266" t="s">
        <v>5193</v>
      </c>
      <c r="G613" s="2266" t="s">
        <v>5193</v>
      </c>
      <c r="H613" s="2266">
        <v>2988473</v>
      </c>
      <c r="I613" s="2266">
        <v>3731470</v>
      </c>
      <c r="J613" s="2266">
        <v>0.62893975394714907</v>
      </c>
      <c r="K613" s="2266">
        <v>1879569.4732976984</v>
      </c>
      <c r="L613" s="2266">
        <v>1879569.4732976984</v>
      </c>
      <c r="M613" s="2266">
        <v>599</v>
      </c>
    </row>
    <row r="614" spans="1:13" ht="15">
      <c r="A614" s="2266" t="s">
        <v>4103</v>
      </c>
      <c r="B614" s="2465" t="str">
        <f>CONCATENATE(LEFT(RIGHT(CONCATENATE("000",IFAData_TEA_1617!A614),6),3),"-",(RIGHT(RIGHT(CONCATENATE("000",IFAData_TEA_1617!A614),6),3)))</f>
        <v>057-910</v>
      </c>
      <c r="C614" s="2266" t="s">
        <v>975</v>
      </c>
      <c r="D614" s="2266">
        <v>5</v>
      </c>
      <c r="E614" s="2266">
        <v>1855</v>
      </c>
      <c r="F614" s="2266" t="s">
        <v>5193</v>
      </c>
      <c r="G614" s="2266" t="s">
        <v>5195</v>
      </c>
      <c r="H614" s="2266">
        <v>2988473</v>
      </c>
      <c r="I614" s="2266">
        <v>1978016</v>
      </c>
      <c r="J614" s="2266">
        <v>0.33339485413081815</v>
      </c>
      <c r="K614" s="2266">
        <v>996341.5199088885</v>
      </c>
      <c r="L614" s="2266">
        <v>996341.5199088885</v>
      </c>
      <c r="M614" s="2266">
        <v>599</v>
      </c>
    </row>
    <row r="615" spans="1:13" ht="15">
      <c r="A615" s="2266" t="s">
        <v>4103</v>
      </c>
      <c r="B615" s="2465" t="str">
        <f>CONCATENATE(LEFT(RIGHT(CONCATENATE("000",IFAData_TEA_1617!A615),6),3),"-",(RIGHT(RIGHT(CONCATENATE("000",IFAData_TEA_1617!A615),6),3)))</f>
        <v>057-910</v>
      </c>
      <c r="C615" s="2266" t="s">
        <v>975</v>
      </c>
      <c r="D615" s="2266">
        <v>9</v>
      </c>
      <c r="E615" s="2266">
        <v>1856</v>
      </c>
      <c r="F615" s="2266" t="s">
        <v>5196</v>
      </c>
      <c r="G615" s="2266" t="s">
        <v>6949</v>
      </c>
      <c r="H615" s="2266">
        <v>5871653</v>
      </c>
      <c r="I615" s="2266">
        <v>5232286</v>
      </c>
      <c r="J615" s="2266">
        <v>0.7117239086578413</v>
      </c>
      <c r="K615" s="2266">
        <v>4178995.8234425397</v>
      </c>
      <c r="L615" s="2266">
        <v>4178995.8234425397</v>
      </c>
      <c r="M615" s="2266">
        <v>599</v>
      </c>
    </row>
    <row r="616" spans="1:13" ht="15">
      <c r="A616" s="2266" t="s">
        <v>4104</v>
      </c>
      <c r="B616" s="2465" t="str">
        <f>CONCATENATE(LEFT(RIGHT(CONCATENATE("000",IFAData_TEA_1617!A616),6),3),"-",(RIGHT(RIGHT(CONCATENATE("000",IFAData_TEA_1617!A616),6),3)))</f>
        <v>057-912</v>
      </c>
      <c r="C616" s="2266" t="s">
        <v>1441</v>
      </c>
      <c r="D616" s="2266">
        <v>2</v>
      </c>
      <c r="E616" s="2266">
        <v>1929</v>
      </c>
      <c r="F616" s="2266" t="s">
        <v>5197</v>
      </c>
      <c r="G616" s="2266" t="s">
        <v>5197</v>
      </c>
      <c r="H616" s="2266">
        <v>6225000</v>
      </c>
      <c r="I616" s="2266">
        <v>0</v>
      </c>
      <c r="J616" s="2266">
        <v>0</v>
      </c>
      <c r="K616" s="2266">
        <v>0</v>
      </c>
      <c r="L616" s="2266">
        <v>0</v>
      </c>
      <c r="M616" s="2266">
        <v>599</v>
      </c>
    </row>
    <row r="617" spans="1:13" ht="15">
      <c r="A617" s="2266" t="s">
        <v>4104</v>
      </c>
      <c r="B617" s="2465" t="str">
        <f>CONCATENATE(LEFT(RIGHT(CONCATENATE("000",IFAData_TEA_1617!A617),6),3),"-",(RIGHT(RIGHT(CONCATENATE("000",IFAData_TEA_1617!A617),6),3)))</f>
        <v>057-912</v>
      </c>
      <c r="C617" s="2266" t="s">
        <v>1441</v>
      </c>
      <c r="D617" s="2266">
        <v>2</v>
      </c>
      <c r="E617" s="2266">
        <v>1929</v>
      </c>
      <c r="F617" s="2266" t="s">
        <v>5197</v>
      </c>
      <c r="G617" s="2266" t="s">
        <v>5201</v>
      </c>
      <c r="H617" s="2266">
        <v>6225000</v>
      </c>
      <c r="I617" s="2266">
        <v>1536125</v>
      </c>
      <c r="J617" s="2266">
        <v>0.17684731984713623</v>
      </c>
      <c r="K617" s="2266">
        <v>1100874.5660484231</v>
      </c>
      <c r="L617" s="2266">
        <v>1100874.5660484231</v>
      </c>
      <c r="M617" s="2266">
        <v>599</v>
      </c>
    </row>
    <row r="618" spans="1:13" ht="15">
      <c r="A618" s="2266" t="s">
        <v>4104</v>
      </c>
      <c r="B618" s="2465" t="str">
        <f>CONCATENATE(LEFT(RIGHT(CONCATENATE("000",IFAData_TEA_1617!A618),6),3),"-",(RIGHT(RIGHT(CONCATENATE("000",IFAData_TEA_1617!A618),6),3)))</f>
        <v>057-912</v>
      </c>
      <c r="C618" s="2266" t="s">
        <v>1441</v>
      </c>
      <c r="D618" s="2266">
        <v>2</v>
      </c>
      <c r="E618" s="2266">
        <v>1929</v>
      </c>
      <c r="F618" s="2266" t="s">
        <v>5197</v>
      </c>
      <c r="G618" s="2266" t="s">
        <v>6950</v>
      </c>
      <c r="H618" s="2266">
        <v>6225000</v>
      </c>
      <c r="I618" s="2266">
        <v>194538</v>
      </c>
      <c r="J618" s="2266">
        <v>2.2396304928584708E-2</v>
      </c>
      <c r="K618" s="2266">
        <v>139416.99818043981</v>
      </c>
      <c r="L618" s="2266">
        <v>139416.99818043981</v>
      </c>
      <c r="M618" s="2266">
        <v>599</v>
      </c>
    </row>
    <row r="619" spans="1:13" ht="15">
      <c r="A619" s="2266" t="s">
        <v>4104</v>
      </c>
      <c r="B619" s="2465" t="str">
        <f>CONCATENATE(LEFT(RIGHT(CONCATENATE("000",IFAData_TEA_1617!A619),6),3),"-",(RIGHT(RIGHT(CONCATENATE("000",IFAData_TEA_1617!A619),6),3)))</f>
        <v>057-912</v>
      </c>
      <c r="C619" s="2266" t="s">
        <v>1441</v>
      </c>
      <c r="D619" s="2266">
        <v>2</v>
      </c>
      <c r="E619" s="2266">
        <v>1929</v>
      </c>
      <c r="F619" s="2266" t="s">
        <v>5197</v>
      </c>
      <c r="G619" s="2266" t="s">
        <v>5202</v>
      </c>
      <c r="H619" s="2266">
        <v>6225000</v>
      </c>
      <c r="I619" s="2266">
        <v>5384956</v>
      </c>
      <c r="J619" s="2266">
        <v>0.61994631693042901</v>
      </c>
      <c r="K619" s="2266">
        <v>3859165.8228919208</v>
      </c>
      <c r="L619" s="2266">
        <v>3859165.8228919208</v>
      </c>
      <c r="M619" s="2266">
        <v>599</v>
      </c>
    </row>
    <row r="620" spans="1:13" ht="15">
      <c r="A620" s="2266" t="s">
        <v>4104</v>
      </c>
      <c r="B620" s="2465" t="str">
        <f>CONCATENATE(LEFT(RIGHT(CONCATENATE("000",IFAData_TEA_1617!A620),6),3),"-",(RIGHT(RIGHT(CONCATENATE("000",IFAData_TEA_1617!A620),6),3)))</f>
        <v>057-912</v>
      </c>
      <c r="C620" s="2266" t="s">
        <v>1441</v>
      </c>
      <c r="D620" s="2266">
        <v>2</v>
      </c>
      <c r="E620" s="2266">
        <v>1929</v>
      </c>
      <c r="F620" s="2266" t="s">
        <v>5197</v>
      </c>
      <c r="G620" s="2266" t="s">
        <v>7175</v>
      </c>
      <c r="H620" s="2266">
        <v>6225000</v>
      </c>
      <c r="I620" s="2266">
        <v>1570546</v>
      </c>
      <c r="J620" s="2266">
        <v>0.18081005829385005</v>
      </c>
      <c r="K620" s="2266">
        <v>1125542.6128792167</v>
      </c>
      <c r="L620" s="2266">
        <v>1125542.6128792167</v>
      </c>
      <c r="M620" s="2266">
        <v>599</v>
      </c>
    </row>
    <row r="621" spans="1:13" ht="15">
      <c r="A621" s="2266" t="s">
        <v>4104</v>
      </c>
      <c r="B621" s="2465" t="str">
        <f>CONCATENATE(LEFT(RIGHT(CONCATENATE("000",IFAData_TEA_1617!A621),6),3),"-",(RIGHT(RIGHT(CONCATENATE("000",IFAData_TEA_1617!A621),6),3)))</f>
        <v>057-912</v>
      </c>
      <c r="C621" s="2266" t="s">
        <v>1441</v>
      </c>
      <c r="D621" s="2266">
        <v>9</v>
      </c>
      <c r="E621" s="2266">
        <v>1928</v>
      </c>
      <c r="F621" s="2266" t="s">
        <v>5203</v>
      </c>
      <c r="G621" s="2266" t="s">
        <v>5203</v>
      </c>
      <c r="H621" s="2266">
        <v>4239880</v>
      </c>
      <c r="I621" s="2266">
        <v>1959582</v>
      </c>
      <c r="J621" s="2266">
        <v>0.43278459558916094</v>
      </c>
      <c r="K621" s="2266">
        <v>1834954.7511465717</v>
      </c>
      <c r="L621" s="2266">
        <v>1834954.7511465717</v>
      </c>
      <c r="M621" s="2266">
        <v>599</v>
      </c>
    </row>
    <row r="622" spans="1:13" ht="15">
      <c r="A622" s="2266" t="s">
        <v>4104</v>
      </c>
      <c r="B622" s="2465" t="str">
        <f>CONCATENATE(LEFT(RIGHT(CONCATENATE("000",IFAData_TEA_1617!A622),6),3),"-",(RIGHT(RIGHT(CONCATENATE("000",IFAData_TEA_1617!A622),6),3)))</f>
        <v>057-912</v>
      </c>
      <c r="C622" s="2266" t="s">
        <v>1441</v>
      </c>
      <c r="D622" s="2266">
        <v>10</v>
      </c>
      <c r="E622" s="2266">
        <v>1927</v>
      </c>
      <c r="F622" s="2266" t="s">
        <v>5204</v>
      </c>
      <c r="G622" s="2266" t="s">
        <v>7174</v>
      </c>
      <c r="H622" s="2266">
        <v>3568037</v>
      </c>
      <c r="I622" s="2266">
        <v>1557456</v>
      </c>
      <c r="J622" s="2266">
        <v>0.45038210543027235</v>
      </c>
      <c r="K622" s="2266">
        <v>1606980.0163131126</v>
      </c>
      <c r="L622" s="2266">
        <v>1557456</v>
      </c>
      <c r="M622" s="2266">
        <v>599</v>
      </c>
    </row>
    <row r="623" spans="1:13" ht="15">
      <c r="A623" s="2266" t="s">
        <v>4104</v>
      </c>
      <c r="B623" s="2465" t="str">
        <f>CONCATENATE(LEFT(RIGHT(CONCATENATE("000",IFAData_TEA_1617!A623),6),3),"-",(RIGHT(RIGHT(CONCATENATE("000",IFAData_TEA_1617!A623),6),3)))</f>
        <v>057-912</v>
      </c>
      <c r="C623" s="2266" t="s">
        <v>1441</v>
      </c>
      <c r="D623" s="2266">
        <v>9</v>
      </c>
      <c r="E623" s="2266">
        <v>1928</v>
      </c>
      <c r="F623" s="2266" t="s">
        <v>5203</v>
      </c>
      <c r="G623" s="2266" t="s">
        <v>6950</v>
      </c>
      <c r="H623" s="2266">
        <v>4239880</v>
      </c>
      <c r="I623" s="2266">
        <v>1493169</v>
      </c>
      <c r="J623" s="2266">
        <v>0.32977468756667078</v>
      </c>
      <c r="K623" s="2266">
        <v>1398205.1023201761</v>
      </c>
      <c r="L623" s="2266">
        <v>1398205.1023201761</v>
      </c>
      <c r="M623" s="2266">
        <v>599</v>
      </c>
    </row>
    <row r="624" spans="1:13" ht="15">
      <c r="A624" s="2266" t="s">
        <v>4104</v>
      </c>
      <c r="B624" s="2465" t="str">
        <f>CONCATENATE(LEFT(RIGHT(CONCATENATE("000",IFAData_TEA_1617!A624),6),3),"-",(RIGHT(RIGHT(CONCATENATE("000",IFAData_TEA_1617!A624),6),3)))</f>
        <v>057-912</v>
      </c>
      <c r="C624" s="2266" t="s">
        <v>1441</v>
      </c>
      <c r="D624" s="2266">
        <v>10</v>
      </c>
      <c r="E624" s="2266">
        <v>1927</v>
      </c>
      <c r="F624" s="2266" t="s">
        <v>5204</v>
      </c>
      <c r="G624" s="2266" t="s">
        <v>5204</v>
      </c>
      <c r="H624" s="2266">
        <v>3568037</v>
      </c>
      <c r="I624" s="2266">
        <v>1900621</v>
      </c>
      <c r="J624" s="2266">
        <v>0.54961789456972765</v>
      </c>
      <c r="K624" s="2266">
        <v>1961056.9836868874</v>
      </c>
      <c r="L624" s="2266">
        <v>1900621</v>
      </c>
      <c r="M624" s="2266">
        <v>599</v>
      </c>
    </row>
    <row r="625" spans="1:13" ht="15">
      <c r="A625" s="2266" t="s">
        <v>4104</v>
      </c>
      <c r="B625" s="2465" t="str">
        <f>CONCATENATE(LEFT(RIGHT(CONCATENATE("000",IFAData_TEA_1617!A625),6),3),"-",(RIGHT(RIGHT(CONCATENATE("000",IFAData_TEA_1617!A625),6),3)))</f>
        <v>057-912</v>
      </c>
      <c r="C625" s="2266" t="s">
        <v>1441</v>
      </c>
      <c r="D625" s="2266">
        <v>10</v>
      </c>
      <c r="E625" s="2266">
        <v>1925</v>
      </c>
      <c r="F625" s="2266" t="s">
        <v>5205</v>
      </c>
      <c r="G625" s="2266" t="s">
        <v>5205</v>
      </c>
      <c r="H625" s="2266">
        <v>223714</v>
      </c>
      <c r="I625" s="2266">
        <v>293540</v>
      </c>
      <c r="J625" s="2266">
        <v>1</v>
      </c>
      <c r="K625" s="2266">
        <v>223714</v>
      </c>
      <c r="L625" s="2266">
        <v>223714</v>
      </c>
      <c r="M625" s="2266">
        <v>599</v>
      </c>
    </row>
    <row r="626" spans="1:13" ht="15">
      <c r="A626" s="2266" t="s">
        <v>4104</v>
      </c>
      <c r="B626" s="2465" t="str">
        <f>CONCATENATE(LEFT(RIGHT(CONCATENATE("000",IFAData_TEA_1617!A626),6),3),"-",(RIGHT(RIGHT(CONCATENATE("000",IFAData_TEA_1617!A626),6),3)))</f>
        <v>057-912</v>
      </c>
      <c r="C626" s="2266" t="s">
        <v>1441</v>
      </c>
      <c r="D626" s="2266">
        <v>2</v>
      </c>
      <c r="E626" s="2266">
        <v>1929</v>
      </c>
      <c r="F626" s="2266" t="s">
        <v>5197</v>
      </c>
      <c r="G626" s="2266" t="s">
        <v>5200</v>
      </c>
      <c r="H626" s="2266">
        <v>6225000</v>
      </c>
      <c r="I626" s="2266">
        <v>0</v>
      </c>
      <c r="J626" s="2266">
        <v>0</v>
      </c>
      <c r="K626" s="2266">
        <v>0</v>
      </c>
      <c r="L626" s="2266">
        <v>0</v>
      </c>
      <c r="M626" s="2266">
        <v>599</v>
      </c>
    </row>
    <row r="627" spans="1:13" ht="15">
      <c r="A627" s="2266" t="s">
        <v>4104</v>
      </c>
      <c r="B627" s="2465" t="str">
        <f>CONCATENATE(LEFT(RIGHT(CONCATENATE("000",IFAData_TEA_1617!A627),6),3),"-",(RIGHT(RIGHT(CONCATENATE("000",IFAData_TEA_1617!A627),6),3)))</f>
        <v>057-912</v>
      </c>
      <c r="C627" s="2266" t="s">
        <v>1441</v>
      </c>
      <c r="D627" s="2266">
        <v>2</v>
      </c>
      <c r="E627" s="2266">
        <v>1929</v>
      </c>
      <c r="F627" s="2266" t="s">
        <v>5197</v>
      </c>
      <c r="G627" s="2266" t="s">
        <v>5198</v>
      </c>
      <c r="H627" s="2266">
        <v>6225000</v>
      </c>
      <c r="I627" s="2266">
        <v>0</v>
      </c>
      <c r="J627" s="2266">
        <v>0</v>
      </c>
      <c r="K627" s="2266">
        <v>0</v>
      </c>
      <c r="L627" s="2266">
        <v>0</v>
      </c>
      <c r="M627" s="2266">
        <v>599</v>
      </c>
    </row>
    <row r="628" spans="1:13" ht="15">
      <c r="A628" s="2266" t="s">
        <v>4104</v>
      </c>
      <c r="B628" s="2465" t="str">
        <f>CONCATENATE(LEFT(RIGHT(CONCATENATE("000",IFAData_TEA_1617!A628),6),3),"-",(RIGHT(RIGHT(CONCATENATE("000",IFAData_TEA_1617!A628),6),3)))</f>
        <v>057-912</v>
      </c>
      <c r="C628" s="2266" t="s">
        <v>1441</v>
      </c>
      <c r="D628" s="2266">
        <v>2</v>
      </c>
      <c r="E628" s="2266">
        <v>1929</v>
      </c>
      <c r="F628" s="2266" t="s">
        <v>5197</v>
      </c>
      <c r="G628" s="2266" t="s">
        <v>5199</v>
      </c>
      <c r="H628" s="2266">
        <v>6225000</v>
      </c>
      <c r="I628" s="2266">
        <v>0</v>
      </c>
      <c r="J628" s="2266">
        <v>0</v>
      </c>
      <c r="K628" s="2266">
        <v>0</v>
      </c>
      <c r="L628" s="2266">
        <v>0</v>
      </c>
      <c r="M628" s="2266">
        <v>599</v>
      </c>
    </row>
    <row r="629" spans="1:13" ht="15">
      <c r="A629" s="2266" t="s">
        <v>4104</v>
      </c>
      <c r="B629" s="2465" t="str">
        <f>CONCATENATE(LEFT(RIGHT(CONCATENATE("000",IFAData_TEA_1617!A629),6),3),"-",(RIGHT(RIGHT(CONCATENATE("000",IFAData_TEA_1617!A629),6),3)))</f>
        <v>057-912</v>
      </c>
      <c r="C629" s="2266" t="s">
        <v>1441</v>
      </c>
      <c r="D629" s="2266">
        <v>9</v>
      </c>
      <c r="E629" s="2266">
        <v>1928</v>
      </c>
      <c r="F629" s="2266" t="s">
        <v>5203</v>
      </c>
      <c r="G629" s="2266" t="s">
        <v>7174</v>
      </c>
      <c r="H629" s="2266">
        <v>4239880</v>
      </c>
      <c r="I629" s="2266">
        <v>1075095</v>
      </c>
      <c r="J629" s="2266">
        <v>0.23744071684416829</v>
      </c>
      <c r="K629" s="2266">
        <v>1006720.1465332522</v>
      </c>
      <c r="L629" s="2266">
        <v>1006720.1465332522</v>
      </c>
      <c r="M629" s="2266">
        <v>599</v>
      </c>
    </row>
    <row r="630" spans="1:13" ht="15">
      <c r="A630" s="2266" t="s">
        <v>4104</v>
      </c>
      <c r="B630" s="2465" t="str">
        <f>CONCATENATE(LEFT(RIGHT(CONCATENATE("000",IFAData_TEA_1617!A630),6),3),"-",(RIGHT(RIGHT(CONCATENATE("000",IFAData_TEA_1617!A630),6),3)))</f>
        <v>057-912</v>
      </c>
      <c r="C630" s="2266" t="s">
        <v>1441</v>
      </c>
      <c r="D630" s="2266">
        <v>10</v>
      </c>
      <c r="E630" s="2266">
        <v>1926</v>
      </c>
      <c r="F630" s="2266" t="s">
        <v>5206</v>
      </c>
      <c r="G630" s="2266" t="s">
        <v>5206</v>
      </c>
      <c r="H630" s="2266">
        <v>1178718</v>
      </c>
      <c r="I630" s="2266">
        <v>1301639</v>
      </c>
      <c r="J630" s="2266">
        <v>1</v>
      </c>
      <c r="K630" s="2266">
        <v>1178718</v>
      </c>
      <c r="L630" s="2266">
        <v>1178718</v>
      </c>
      <c r="M630" s="2266">
        <v>599</v>
      </c>
    </row>
    <row r="631" spans="1:13" ht="15">
      <c r="A631" s="2266" t="s">
        <v>4105</v>
      </c>
      <c r="B631" s="2465" t="str">
        <f>CONCATENATE(LEFT(RIGHT(CONCATENATE("000",IFAData_TEA_1617!A631),6),3),"-",(RIGHT(RIGHT(CONCATENATE("000",IFAData_TEA_1617!A631),6),3)))</f>
        <v>057-914</v>
      </c>
      <c r="C631" s="2266" t="s">
        <v>2554</v>
      </c>
      <c r="D631" s="2266">
        <v>6</v>
      </c>
      <c r="E631" s="2266">
        <v>2101</v>
      </c>
      <c r="F631" s="2266" t="s">
        <v>5217</v>
      </c>
      <c r="G631" s="2266" t="s">
        <v>6951</v>
      </c>
      <c r="H631" s="2266">
        <v>3859835</v>
      </c>
      <c r="I631" s="2266">
        <v>83973</v>
      </c>
      <c r="J631" s="2266">
        <v>1.590818932740146E-2</v>
      </c>
      <c r="K631" s="2266">
        <v>61402.985952530616</v>
      </c>
      <c r="L631" s="2266">
        <v>61402.985952530616</v>
      </c>
      <c r="M631" s="2266">
        <v>599</v>
      </c>
    </row>
    <row r="632" spans="1:13" ht="15">
      <c r="A632" s="2266" t="s">
        <v>4105</v>
      </c>
      <c r="B632" s="2465" t="str">
        <f>CONCATENATE(LEFT(RIGHT(CONCATENATE("000",IFAData_TEA_1617!A632),6),3),"-",(RIGHT(RIGHT(CONCATENATE("000",IFAData_TEA_1617!A632),6),3)))</f>
        <v>057-914</v>
      </c>
      <c r="C632" s="2266" t="s">
        <v>2554</v>
      </c>
      <c r="D632" s="2266">
        <v>1</v>
      </c>
      <c r="E632" s="2266">
        <v>2097</v>
      </c>
      <c r="F632" s="2266" t="s">
        <v>5207</v>
      </c>
      <c r="G632" s="2266" t="s">
        <v>5211</v>
      </c>
      <c r="H632" s="2266">
        <v>838538</v>
      </c>
      <c r="I632" s="2266">
        <v>171917</v>
      </c>
      <c r="J632" s="2266">
        <v>0.14793242075771082</v>
      </c>
      <c r="K632" s="2266">
        <v>124046.95623732932</v>
      </c>
      <c r="L632" s="2266">
        <v>124046.95623732932</v>
      </c>
      <c r="M632" s="2266">
        <v>599</v>
      </c>
    </row>
    <row r="633" spans="1:13" ht="15">
      <c r="A633" s="2266" t="s">
        <v>4105</v>
      </c>
      <c r="B633" s="2465" t="str">
        <f>CONCATENATE(LEFT(RIGHT(CONCATENATE("000",IFAData_TEA_1617!A633),6),3),"-",(RIGHT(RIGHT(CONCATENATE("000",IFAData_TEA_1617!A633),6),3)))</f>
        <v>057-914</v>
      </c>
      <c r="C633" s="2266" t="s">
        <v>2554</v>
      </c>
      <c r="D633" s="2266">
        <v>1</v>
      </c>
      <c r="E633" s="2266">
        <v>2102</v>
      </c>
      <c r="F633" s="2266" t="s">
        <v>5212</v>
      </c>
      <c r="G633" s="2266" t="s">
        <v>5211</v>
      </c>
      <c r="H633" s="2266">
        <v>5978212</v>
      </c>
      <c r="I633" s="2266">
        <v>3437795</v>
      </c>
      <c r="J633" s="2266">
        <v>0.34205016278698158</v>
      </c>
      <c r="K633" s="2266">
        <v>2044848.3877750868</v>
      </c>
      <c r="L633" s="2266">
        <v>2044848.3877750868</v>
      </c>
      <c r="M633" s="2266">
        <v>599</v>
      </c>
    </row>
    <row r="634" spans="1:13" ht="15">
      <c r="A634" s="2266" t="s">
        <v>4105</v>
      </c>
      <c r="B634" s="2465" t="str">
        <f>CONCATENATE(LEFT(RIGHT(CONCATENATE("000",IFAData_TEA_1617!A634),6),3),"-",(RIGHT(RIGHT(CONCATENATE("000",IFAData_TEA_1617!A634),6),3)))</f>
        <v>057-914</v>
      </c>
      <c r="C634" s="2266" t="s">
        <v>2554</v>
      </c>
      <c r="D634" s="2266">
        <v>6</v>
      </c>
      <c r="E634" s="2266">
        <v>2101</v>
      </c>
      <c r="F634" s="2266" t="s">
        <v>5217</v>
      </c>
      <c r="G634" s="2266" t="s">
        <v>5216</v>
      </c>
      <c r="H634" s="2266">
        <v>3859835</v>
      </c>
      <c r="I634" s="2266">
        <v>1255847</v>
      </c>
      <c r="J634" s="2266">
        <v>0.2379128034278773</v>
      </c>
      <c r="K634" s="2266">
        <v>918304.16561904072</v>
      </c>
      <c r="L634" s="2266">
        <v>918304.16561904072</v>
      </c>
      <c r="M634" s="2266">
        <v>599</v>
      </c>
    </row>
    <row r="635" spans="1:13" ht="15">
      <c r="A635" s="2266" t="s">
        <v>4105</v>
      </c>
      <c r="B635" s="2465" t="str">
        <f>CONCATENATE(LEFT(RIGHT(CONCATENATE("000",IFAData_TEA_1617!A635),6),3),"-",(RIGHT(RIGHT(CONCATENATE("000",IFAData_TEA_1617!A635),6),3)))</f>
        <v>057-914</v>
      </c>
      <c r="C635" s="2266" t="s">
        <v>2554</v>
      </c>
      <c r="D635" s="2266">
        <v>1</v>
      </c>
      <c r="E635" s="2266">
        <v>2097</v>
      </c>
      <c r="F635" s="2266" t="s">
        <v>5207</v>
      </c>
      <c r="G635" s="2266" t="s">
        <v>5207</v>
      </c>
      <c r="H635" s="2266">
        <v>838538</v>
      </c>
      <c r="I635" s="2266">
        <v>0</v>
      </c>
      <c r="J635" s="2266">
        <v>0</v>
      </c>
      <c r="K635" s="2266">
        <v>0</v>
      </c>
      <c r="L635" s="2266">
        <v>0</v>
      </c>
      <c r="M635" s="2266">
        <v>599</v>
      </c>
    </row>
    <row r="636" spans="1:13" ht="15">
      <c r="A636" s="2266" t="s">
        <v>4105</v>
      </c>
      <c r="B636" s="2465" t="str">
        <f>CONCATENATE(LEFT(RIGHT(CONCATENATE("000",IFAData_TEA_1617!A636),6),3),"-",(RIGHT(RIGHT(CONCATENATE("000",IFAData_TEA_1617!A636),6),3)))</f>
        <v>057-914</v>
      </c>
      <c r="C636" s="2266" t="s">
        <v>2554</v>
      </c>
      <c r="D636" s="2266">
        <v>5</v>
      </c>
      <c r="E636" s="2266">
        <v>2096</v>
      </c>
      <c r="F636" s="2266" t="s">
        <v>5215</v>
      </c>
      <c r="G636" s="2266" t="s">
        <v>5215</v>
      </c>
      <c r="H636" s="2266">
        <v>684105</v>
      </c>
      <c r="I636" s="2266">
        <v>0</v>
      </c>
      <c r="J636" s="2266">
        <v>0</v>
      </c>
      <c r="K636" s="2266">
        <v>0</v>
      </c>
      <c r="L636" s="2266">
        <v>0</v>
      </c>
      <c r="M636" s="2266">
        <v>599</v>
      </c>
    </row>
    <row r="637" spans="1:13" ht="15">
      <c r="A637" s="2266" t="s">
        <v>4105</v>
      </c>
      <c r="B637" s="2465" t="str">
        <f>CONCATENATE(LEFT(RIGHT(CONCATENATE("000",IFAData_TEA_1617!A637),6),3),"-",(RIGHT(RIGHT(CONCATENATE("000",IFAData_TEA_1617!A637),6),3)))</f>
        <v>057-914</v>
      </c>
      <c r="C637" s="2266" t="s">
        <v>2554</v>
      </c>
      <c r="D637" s="2266">
        <v>1</v>
      </c>
      <c r="E637" s="2266">
        <v>2097</v>
      </c>
      <c r="F637" s="2266" t="s">
        <v>5207</v>
      </c>
      <c r="G637" s="2266" t="s">
        <v>5210</v>
      </c>
      <c r="H637" s="2266">
        <v>838538</v>
      </c>
      <c r="I637" s="2266">
        <v>13495</v>
      </c>
      <c r="J637" s="2266">
        <v>1.1612278123311294E-2</v>
      </c>
      <c r="K637" s="2266">
        <v>9737.3364729652058</v>
      </c>
      <c r="L637" s="2266">
        <v>9737.3364729652058</v>
      </c>
      <c r="M637" s="2266">
        <v>599</v>
      </c>
    </row>
    <row r="638" spans="1:13" ht="15">
      <c r="A638" s="2266" t="s">
        <v>4105</v>
      </c>
      <c r="B638" s="2465" t="str">
        <f>CONCATENATE(LEFT(RIGHT(CONCATENATE("000",IFAData_TEA_1617!A638),6),3),"-",(RIGHT(RIGHT(CONCATENATE("000",IFAData_TEA_1617!A638),6),3)))</f>
        <v>057-914</v>
      </c>
      <c r="C638" s="2266" t="s">
        <v>2554</v>
      </c>
      <c r="D638" s="2266">
        <v>1</v>
      </c>
      <c r="E638" s="2266">
        <v>2097</v>
      </c>
      <c r="F638" s="2266" t="s">
        <v>5207</v>
      </c>
      <c r="G638" s="2266" t="s">
        <v>5209</v>
      </c>
      <c r="H638" s="2266">
        <v>838538</v>
      </c>
      <c r="I638" s="2266">
        <v>0</v>
      </c>
      <c r="J638" s="2266">
        <v>0</v>
      </c>
      <c r="K638" s="2266">
        <v>0</v>
      </c>
      <c r="L638" s="2266">
        <v>0</v>
      </c>
      <c r="M638" s="2266">
        <v>599</v>
      </c>
    </row>
    <row r="639" spans="1:13" ht="15">
      <c r="A639" s="2266" t="s">
        <v>4105</v>
      </c>
      <c r="B639" s="2465" t="str">
        <f>CONCATENATE(LEFT(RIGHT(CONCATENATE("000",IFAData_TEA_1617!A639),6),3),"-",(RIGHT(RIGHT(CONCATENATE("000",IFAData_TEA_1617!A639),6),3)))</f>
        <v>057-914</v>
      </c>
      <c r="C639" s="2266" t="s">
        <v>2554</v>
      </c>
      <c r="D639" s="2266">
        <v>9</v>
      </c>
      <c r="E639" s="2266">
        <v>2100</v>
      </c>
      <c r="F639" s="2266" t="s">
        <v>5214</v>
      </c>
      <c r="G639" s="2266" t="s">
        <v>6951</v>
      </c>
      <c r="H639" s="2266">
        <v>3273731</v>
      </c>
      <c r="I639" s="2266">
        <v>435647</v>
      </c>
      <c r="J639" s="2266">
        <v>0.24851639283943841</v>
      </c>
      <c r="K639" s="2266">
        <v>813575.81924664753</v>
      </c>
      <c r="L639" s="2266">
        <v>435647</v>
      </c>
      <c r="M639" s="2266">
        <v>599</v>
      </c>
    </row>
    <row r="640" spans="1:13" ht="15">
      <c r="A640" s="2266" t="s">
        <v>4105</v>
      </c>
      <c r="B640" s="2465" t="str">
        <f>CONCATENATE(LEFT(RIGHT(CONCATENATE("000",IFAData_TEA_1617!A640),6),3),"-",(RIGHT(RIGHT(CONCATENATE("000",IFAData_TEA_1617!A640),6),3)))</f>
        <v>057-914</v>
      </c>
      <c r="C640" s="2266" t="s">
        <v>2554</v>
      </c>
      <c r="D640" s="2266">
        <v>10</v>
      </c>
      <c r="E640" s="2266">
        <v>2098</v>
      </c>
      <c r="F640" s="2266" t="s">
        <v>5218</v>
      </c>
      <c r="G640" s="2266" t="s">
        <v>5218</v>
      </c>
      <c r="H640" s="2266">
        <v>1093194</v>
      </c>
      <c r="I640" s="2266">
        <v>1508250</v>
      </c>
      <c r="J640" s="2266">
        <v>0.67639442865356136</v>
      </c>
      <c r="K640" s="2266">
        <v>739430.33103750134</v>
      </c>
      <c r="L640" s="2266">
        <v>739430.33103750134</v>
      </c>
      <c r="M640" s="2266">
        <v>599</v>
      </c>
    </row>
    <row r="641" spans="1:13" ht="15">
      <c r="A641" s="2266" t="s">
        <v>4105</v>
      </c>
      <c r="B641" s="2465" t="str">
        <f>CONCATENATE(LEFT(RIGHT(CONCATENATE("000",IFAData_TEA_1617!A641),6),3),"-",(RIGHT(RIGHT(CONCATENATE("000",IFAData_TEA_1617!A641),6),3)))</f>
        <v>057-914</v>
      </c>
      <c r="C641" s="2266" t="s">
        <v>2554</v>
      </c>
      <c r="D641" s="2266">
        <v>1</v>
      </c>
      <c r="E641" s="2266">
        <v>2102</v>
      </c>
      <c r="F641" s="2266" t="s">
        <v>5212</v>
      </c>
      <c r="G641" s="2266" t="s">
        <v>5208</v>
      </c>
      <c r="H641" s="2266">
        <v>5978212</v>
      </c>
      <c r="I641" s="2266">
        <v>5142680</v>
      </c>
      <c r="J641" s="2266">
        <v>0.51168104298288708</v>
      </c>
      <c r="K641" s="2266">
        <v>3058937.7513328115</v>
      </c>
      <c r="L641" s="2266">
        <v>3058937.7513328115</v>
      </c>
      <c r="M641" s="2266">
        <v>599</v>
      </c>
    </row>
    <row r="642" spans="1:13" ht="15">
      <c r="A642" s="2266" t="s">
        <v>4105</v>
      </c>
      <c r="B642" s="2465" t="str">
        <f>CONCATENATE(LEFT(RIGHT(CONCATENATE("000",IFAData_TEA_1617!A642),6),3),"-",(RIGHT(RIGHT(CONCATENATE("000",IFAData_TEA_1617!A642),6),3)))</f>
        <v>057-914</v>
      </c>
      <c r="C642" s="2266" t="s">
        <v>2554</v>
      </c>
      <c r="D642" s="2266">
        <v>1</v>
      </c>
      <c r="E642" s="2266">
        <v>2097</v>
      </c>
      <c r="F642" s="2266" t="s">
        <v>5207</v>
      </c>
      <c r="G642" s="2266" t="s">
        <v>5208</v>
      </c>
      <c r="H642" s="2266">
        <v>838538</v>
      </c>
      <c r="I642" s="2266">
        <v>808500</v>
      </c>
      <c r="J642" s="2266">
        <v>0.6957041024599615</v>
      </c>
      <c r="K642" s="2266">
        <v>583374.32666857122</v>
      </c>
      <c r="L642" s="2266">
        <v>583374.32666857122</v>
      </c>
      <c r="M642" s="2266">
        <v>599</v>
      </c>
    </row>
    <row r="643" spans="1:13" ht="15">
      <c r="A643" s="2266" t="s">
        <v>4105</v>
      </c>
      <c r="B643" s="2465" t="str">
        <f>CONCATENATE(LEFT(RIGHT(CONCATENATE("000",IFAData_TEA_1617!A643),6),3),"-",(RIGHT(RIGHT(CONCATENATE("000",IFAData_TEA_1617!A643),6),3)))</f>
        <v>057-914</v>
      </c>
      <c r="C643" s="2266" t="s">
        <v>2554</v>
      </c>
      <c r="D643" s="2266">
        <v>1</v>
      </c>
      <c r="E643" s="2266">
        <v>2102</v>
      </c>
      <c r="F643" s="2266" t="s">
        <v>5212</v>
      </c>
      <c r="G643" s="2266" t="s">
        <v>5213</v>
      </c>
      <c r="H643" s="2266">
        <v>5978212</v>
      </c>
      <c r="I643" s="2266">
        <v>0</v>
      </c>
      <c r="J643" s="2266">
        <v>0</v>
      </c>
      <c r="K643" s="2266">
        <v>0</v>
      </c>
      <c r="L643" s="2266">
        <v>0</v>
      </c>
      <c r="M643" s="2266">
        <v>599</v>
      </c>
    </row>
    <row r="644" spans="1:13" ht="15">
      <c r="A644" s="2266" t="s">
        <v>4105</v>
      </c>
      <c r="B644" s="2465" t="str">
        <f>CONCATENATE(LEFT(RIGHT(CONCATENATE("000",IFAData_TEA_1617!A644),6),3),"-",(RIGHT(RIGHT(CONCATENATE("000",IFAData_TEA_1617!A644),6),3)))</f>
        <v>057-914</v>
      </c>
      <c r="C644" s="2266" t="s">
        <v>2554</v>
      </c>
      <c r="D644" s="2266">
        <v>1</v>
      </c>
      <c r="E644" s="2266">
        <v>2097</v>
      </c>
      <c r="F644" s="2266" t="s">
        <v>5207</v>
      </c>
      <c r="G644" s="2266" t="s">
        <v>6952</v>
      </c>
      <c r="H644" s="2266">
        <v>838538</v>
      </c>
      <c r="I644" s="2266">
        <v>168220</v>
      </c>
      <c r="J644" s="2266">
        <v>0.14475119865901637</v>
      </c>
      <c r="K644" s="2266">
        <v>121379.38062113426</v>
      </c>
      <c r="L644" s="2266">
        <v>121379.38062113426</v>
      </c>
      <c r="M644" s="2266">
        <v>599</v>
      </c>
    </row>
    <row r="645" spans="1:13" ht="15">
      <c r="A645" s="2266" t="s">
        <v>4105</v>
      </c>
      <c r="B645" s="2465" t="str">
        <f>CONCATENATE(LEFT(RIGHT(CONCATENATE("000",IFAData_TEA_1617!A645),6),3),"-",(RIGHT(RIGHT(CONCATENATE("000",IFAData_TEA_1617!A645),6),3)))</f>
        <v>057-914</v>
      </c>
      <c r="C645" s="2266" t="s">
        <v>2554</v>
      </c>
      <c r="D645" s="2266">
        <v>10</v>
      </c>
      <c r="E645" s="2266">
        <v>2098</v>
      </c>
      <c r="F645" s="2266" t="s">
        <v>5218</v>
      </c>
      <c r="G645" s="2266" t="s">
        <v>7609</v>
      </c>
      <c r="H645" s="2266">
        <v>1093194</v>
      </c>
      <c r="I645" s="2266">
        <v>721588</v>
      </c>
      <c r="J645" s="2266">
        <v>0.32360557134643864</v>
      </c>
      <c r="K645" s="2266">
        <v>353763.66896249866</v>
      </c>
      <c r="L645" s="2266">
        <v>353763.66896249866</v>
      </c>
      <c r="M645" s="2266">
        <v>599</v>
      </c>
    </row>
    <row r="646" spans="1:13" ht="15">
      <c r="A646" s="2266" t="s">
        <v>4105</v>
      </c>
      <c r="B646" s="2465" t="str">
        <f>CONCATENATE(LEFT(RIGHT(CONCATENATE("000",IFAData_TEA_1617!A646),6),3),"-",(RIGHT(RIGHT(CONCATENATE("000",IFAData_TEA_1617!A646),6),3)))</f>
        <v>057-914</v>
      </c>
      <c r="C646" s="2266" t="s">
        <v>2554</v>
      </c>
      <c r="D646" s="2266">
        <v>1</v>
      </c>
      <c r="E646" s="2266">
        <v>2102</v>
      </c>
      <c r="F646" s="2266" t="s">
        <v>5212</v>
      </c>
      <c r="G646" s="2266" t="s">
        <v>6951</v>
      </c>
      <c r="H646" s="2266">
        <v>5978212</v>
      </c>
      <c r="I646" s="2266">
        <v>88358</v>
      </c>
      <c r="J646" s="2266">
        <v>8.7913526791248801E-3</v>
      </c>
      <c r="K646" s="2266">
        <v>52556.570082576509</v>
      </c>
      <c r="L646" s="2266">
        <v>52556.570082576509</v>
      </c>
      <c r="M646" s="2266">
        <v>599</v>
      </c>
    </row>
    <row r="647" spans="1:13" ht="15">
      <c r="A647" s="2266" t="s">
        <v>4105</v>
      </c>
      <c r="B647" s="2465" t="str">
        <f>CONCATENATE(LEFT(RIGHT(CONCATENATE("000",IFAData_TEA_1617!A647),6),3),"-",(RIGHT(RIGHT(CONCATENATE("000",IFAData_TEA_1617!A647),6),3)))</f>
        <v>057-914</v>
      </c>
      <c r="C647" s="2266" t="s">
        <v>2554</v>
      </c>
      <c r="D647" s="2266">
        <v>1</v>
      </c>
      <c r="E647" s="2266">
        <v>2102</v>
      </c>
      <c r="F647" s="2266" t="s">
        <v>5212</v>
      </c>
      <c r="G647" s="2266" t="s">
        <v>6952</v>
      </c>
      <c r="H647" s="2266">
        <v>5978212</v>
      </c>
      <c r="I647" s="2266">
        <v>540689</v>
      </c>
      <c r="J647" s="2266">
        <v>5.3796913564401104E-2</v>
      </c>
      <c r="K647" s="2266">
        <v>321609.35423366545</v>
      </c>
      <c r="L647" s="2266">
        <v>321609.35423366545</v>
      </c>
      <c r="M647" s="2266">
        <v>599</v>
      </c>
    </row>
    <row r="648" spans="1:13" ht="15">
      <c r="A648" s="2266" t="s">
        <v>4105</v>
      </c>
      <c r="B648" s="2465" t="str">
        <f>CONCATENATE(LEFT(RIGHT(CONCATENATE("000",IFAData_TEA_1617!A648),6),3),"-",(RIGHT(RIGHT(CONCATENATE("000",IFAData_TEA_1617!A648),6),3)))</f>
        <v>057-914</v>
      </c>
      <c r="C648" s="2266" t="s">
        <v>2554</v>
      </c>
      <c r="D648" s="2266">
        <v>6</v>
      </c>
      <c r="E648" s="2266">
        <v>2101</v>
      </c>
      <c r="F648" s="2266" t="s">
        <v>5217</v>
      </c>
      <c r="G648" s="2266" t="s">
        <v>5217</v>
      </c>
      <c r="H648" s="2266">
        <v>3859835</v>
      </c>
      <c r="I648" s="2266">
        <v>0</v>
      </c>
      <c r="J648" s="2266">
        <v>0</v>
      </c>
      <c r="K648" s="2266">
        <v>0</v>
      </c>
      <c r="L648" s="2266">
        <v>0</v>
      </c>
      <c r="M648" s="2266">
        <v>599</v>
      </c>
    </row>
    <row r="649" spans="1:13" ht="15">
      <c r="A649" s="2266" t="s">
        <v>4105</v>
      </c>
      <c r="B649" s="2465" t="str">
        <f>CONCATENATE(LEFT(RIGHT(CONCATENATE("000",IFAData_TEA_1617!A649),6),3),"-",(RIGHT(RIGHT(CONCATENATE("000",IFAData_TEA_1617!A649),6),3)))</f>
        <v>057-914</v>
      </c>
      <c r="C649" s="2266" t="s">
        <v>2554</v>
      </c>
      <c r="D649" s="2266">
        <v>5</v>
      </c>
      <c r="E649" s="2266">
        <v>2096</v>
      </c>
      <c r="F649" s="2266" t="s">
        <v>5215</v>
      </c>
      <c r="G649" s="2266" t="s">
        <v>5216</v>
      </c>
      <c r="H649" s="2266">
        <v>684105</v>
      </c>
      <c r="I649" s="2266">
        <v>644163</v>
      </c>
      <c r="J649" s="2266">
        <v>1</v>
      </c>
      <c r="K649" s="2266">
        <v>684105</v>
      </c>
      <c r="L649" s="2266">
        <v>644163</v>
      </c>
      <c r="M649" s="2266">
        <v>599</v>
      </c>
    </row>
    <row r="650" spans="1:13" ht="15">
      <c r="A650" s="2266" t="s">
        <v>4105</v>
      </c>
      <c r="B650" s="2465" t="str">
        <f>CONCATENATE(LEFT(RIGHT(CONCATENATE("000",IFAData_TEA_1617!A650),6),3),"-",(RIGHT(RIGHT(CONCATENATE("000",IFAData_TEA_1617!A650),6),3)))</f>
        <v>057-914</v>
      </c>
      <c r="C650" s="2266" t="s">
        <v>2554</v>
      </c>
      <c r="D650" s="2266">
        <v>10</v>
      </c>
      <c r="E650" s="2266">
        <v>2099</v>
      </c>
      <c r="F650" s="2266" t="s">
        <v>5219</v>
      </c>
      <c r="G650" s="2266" t="s">
        <v>5219</v>
      </c>
      <c r="H650" s="2266">
        <v>2344293</v>
      </c>
      <c r="I650" s="2266">
        <v>3312824</v>
      </c>
      <c r="J650" s="2266">
        <v>0.74960537843845709</v>
      </c>
      <c r="K650" s="2266">
        <v>1757294.641435626</v>
      </c>
      <c r="L650" s="2266">
        <v>1757294.641435626</v>
      </c>
      <c r="M650" s="2266">
        <v>599</v>
      </c>
    </row>
    <row r="651" spans="1:13" ht="15">
      <c r="A651" s="2266" t="s">
        <v>4105</v>
      </c>
      <c r="B651" s="2465" t="str">
        <f>CONCATENATE(LEFT(RIGHT(CONCATENATE("000",IFAData_TEA_1617!A651),6),3),"-",(RIGHT(RIGHT(CONCATENATE("000",IFAData_TEA_1617!A651),6),3)))</f>
        <v>057-914</v>
      </c>
      <c r="C651" s="2266" t="s">
        <v>2554</v>
      </c>
      <c r="D651" s="2266">
        <v>1</v>
      </c>
      <c r="E651" s="2266">
        <v>2102</v>
      </c>
      <c r="F651" s="2266" t="s">
        <v>5212</v>
      </c>
      <c r="G651" s="2266" t="s">
        <v>5209</v>
      </c>
      <c r="H651" s="2266">
        <v>5978212</v>
      </c>
      <c r="I651" s="2266">
        <v>0</v>
      </c>
      <c r="J651" s="2266">
        <v>0</v>
      </c>
      <c r="K651" s="2266">
        <v>0</v>
      </c>
      <c r="L651" s="2266">
        <v>0</v>
      </c>
      <c r="M651" s="2266">
        <v>599</v>
      </c>
    </row>
    <row r="652" spans="1:13" ht="15">
      <c r="A652" s="2266" t="s">
        <v>4105</v>
      </c>
      <c r="B652" s="2465" t="str">
        <f>CONCATENATE(LEFT(RIGHT(CONCATENATE("000",IFAData_TEA_1617!A652),6),3),"-",(RIGHT(RIGHT(CONCATENATE("000",IFAData_TEA_1617!A652),6),3)))</f>
        <v>057-914</v>
      </c>
      <c r="C652" s="2266" t="s">
        <v>2554</v>
      </c>
      <c r="D652" s="2266">
        <v>1</v>
      </c>
      <c r="E652" s="2266">
        <v>2102</v>
      </c>
      <c r="F652" s="2266" t="s">
        <v>5212</v>
      </c>
      <c r="G652" s="2266" t="s">
        <v>5214</v>
      </c>
      <c r="H652" s="2266">
        <v>5978212</v>
      </c>
      <c r="I652" s="2266">
        <v>841036</v>
      </c>
      <c r="J652" s="2266">
        <v>8.3680527986605316E-2</v>
      </c>
      <c r="K652" s="2266">
        <v>500259.93657585973</v>
      </c>
      <c r="L652" s="2266">
        <v>500259.93657585973</v>
      </c>
      <c r="M652" s="2266">
        <v>599</v>
      </c>
    </row>
    <row r="653" spans="1:13" ht="15">
      <c r="A653" s="2266" t="s">
        <v>4105</v>
      </c>
      <c r="B653" s="2465" t="str">
        <f>CONCATENATE(LEFT(RIGHT(CONCATENATE("000",IFAData_TEA_1617!A653),6),3),"-",(RIGHT(RIGHT(CONCATENATE("000",IFAData_TEA_1617!A653),6),3)))</f>
        <v>057-914</v>
      </c>
      <c r="C653" s="2266" t="s">
        <v>2554</v>
      </c>
      <c r="D653" s="2266">
        <v>9</v>
      </c>
      <c r="E653" s="2266">
        <v>2100</v>
      </c>
      <c r="F653" s="2266" t="s">
        <v>5214</v>
      </c>
      <c r="G653" s="2266" t="s">
        <v>5214</v>
      </c>
      <c r="H653" s="2266">
        <v>3273731</v>
      </c>
      <c r="I653" s="2266">
        <v>1317344</v>
      </c>
      <c r="J653" s="2266">
        <v>0.75148360716056162</v>
      </c>
      <c r="K653" s="2266">
        <v>2460155.1807533526</v>
      </c>
      <c r="L653" s="2266">
        <v>1317344</v>
      </c>
      <c r="M653" s="2266">
        <v>599</v>
      </c>
    </row>
    <row r="654" spans="1:13" ht="15">
      <c r="A654" s="2266" t="s">
        <v>4105</v>
      </c>
      <c r="B654" s="2465" t="str">
        <f>CONCATENATE(LEFT(RIGHT(CONCATENATE("000",IFAData_TEA_1617!A654),6),3),"-",(RIGHT(RIGHT(CONCATENATE("000",IFAData_TEA_1617!A654),6),3)))</f>
        <v>057-914</v>
      </c>
      <c r="C654" s="2266" t="s">
        <v>2554</v>
      </c>
      <c r="D654" s="2266">
        <v>10</v>
      </c>
      <c r="E654" s="2266">
        <v>2099</v>
      </c>
      <c r="F654" s="2266" t="s">
        <v>5219</v>
      </c>
      <c r="G654" s="2266" t="s">
        <v>7610</v>
      </c>
      <c r="H654" s="2266">
        <v>2344293</v>
      </c>
      <c r="I654" s="2266">
        <v>1106600</v>
      </c>
      <c r="J654" s="2266">
        <v>0.25039462156154285</v>
      </c>
      <c r="K654" s="2266">
        <v>586998.35856437392</v>
      </c>
      <c r="L654" s="2266">
        <v>586998.35856437392</v>
      </c>
      <c r="M654" s="2266">
        <v>599</v>
      </c>
    </row>
    <row r="655" spans="1:13" ht="15">
      <c r="A655" s="2266" t="s">
        <v>4105</v>
      </c>
      <c r="B655" s="2465" t="str">
        <f>CONCATENATE(LEFT(RIGHT(CONCATENATE("000",IFAData_TEA_1617!A655),6),3),"-",(RIGHT(RIGHT(CONCATENATE("000",IFAData_TEA_1617!A655),6),3)))</f>
        <v>057-914</v>
      </c>
      <c r="C655" s="2266" t="s">
        <v>2554</v>
      </c>
      <c r="D655" s="2266">
        <v>1</v>
      </c>
      <c r="E655" s="2266">
        <v>2102</v>
      </c>
      <c r="F655" s="2266" t="s">
        <v>5212</v>
      </c>
      <c r="G655" s="2266" t="s">
        <v>5212</v>
      </c>
      <c r="H655" s="2266">
        <v>5978212</v>
      </c>
      <c r="I655" s="2266">
        <v>0</v>
      </c>
      <c r="J655" s="2266">
        <v>0</v>
      </c>
      <c r="K655" s="2266">
        <v>0</v>
      </c>
      <c r="L655" s="2266">
        <v>0</v>
      </c>
      <c r="M655" s="2266">
        <v>599</v>
      </c>
    </row>
    <row r="656" spans="1:13" ht="15">
      <c r="A656" s="2266" t="s">
        <v>4105</v>
      </c>
      <c r="B656" s="2465" t="str">
        <f>CONCATENATE(LEFT(RIGHT(CONCATENATE("000",IFAData_TEA_1617!A656),6),3),"-",(RIGHT(RIGHT(CONCATENATE("000",IFAData_TEA_1617!A656),6),3)))</f>
        <v>057-914</v>
      </c>
      <c r="C656" s="2266" t="s">
        <v>2554</v>
      </c>
      <c r="D656" s="2266">
        <v>6</v>
      </c>
      <c r="E656" s="2266">
        <v>2101</v>
      </c>
      <c r="F656" s="2266" t="s">
        <v>5217</v>
      </c>
      <c r="G656" s="2266" t="s">
        <v>5213</v>
      </c>
      <c r="H656" s="2266">
        <v>3859835</v>
      </c>
      <c r="I656" s="2266">
        <v>2244487</v>
      </c>
      <c r="J656" s="2266">
        <v>0.42520481748766054</v>
      </c>
      <c r="K656" s="2266">
        <v>1641220.4367074843</v>
      </c>
      <c r="L656" s="2266">
        <v>1641220.4367074843</v>
      </c>
      <c r="M656" s="2266">
        <v>599</v>
      </c>
    </row>
    <row r="657" spans="1:13" ht="15">
      <c r="A657" s="2266" t="s">
        <v>4105</v>
      </c>
      <c r="B657" s="2465" t="str">
        <f>CONCATENATE(LEFT(RIGHT(CONCATENATE("000",IFAData_TEA_1617!A657),6),3),"-",(RIGHT(RIGHT(CONCATENATE("000",IFAData_TEA_1617!A657),6),3)))</f>
        <v>057-914</v>
      </c>
      <c r="C657" s="2266" t="s">
        <v>2554</v>
      </c>
      <c r="D657" s="2266">
        <v>1</v>
      </c>
      <c r="E657" s="2266">
        <v>2102</v>
      </c>
      <c r="F657" s="2266" t="s">
        <v>5212</v>
      </c>
      <c r="G657" s="2266" t="s">
        <v>5210</v>
      </c>
      <c r="H657" s="2266">
        <v>5978212</v>
      </c>
      <c r="I657" s="2266">
        <v>0</v>
      </c>
      <c r="J657" s="2266">
        <v>0</v>
      </c>
      <c r="K657" s="2266">
        <v>0</v>
      </c>
      <c r="L657" s="2266">
        <v>0</v>
      </c>
      <c r="M657" s="2266">
        <v>599</v>
      </c>
    </row>
    <row r="658" spans="1:13" ht="15">
      <c r="A658" s="2266" t="s">
        <v>4105</v>
      </c>
      <c r="B658" s="2465" t="str">
        <f>CONCATENATE(LEFT(RIGHT(CONCATENATE("000",IFAData_TEA_1617!A658),6),3),"-",(RIGHT(RIGHT(CONCATENATE("000",IFAData_TEA_1617!A658),6),3)))</f>
        <v>057-914</v>
      </c>
      <c r="C658" s="2266" t="s">
        <v>2554</v>
      </c>
      <c r="D658" s="2266">
        <v>6</v>
      </c>
      <c r="E658" s="2266">
        <v>2101</v>
      </c>
      <c r="F658" s="2266" t="s">
        <v>5217</v>
      </c>
      <c r="G658" s="2266" t="s">
        <v>5211</v>
      </c>
      <c r="H658" s="2266">
        <v>3859835</v>
      </c>
      <c r="I658" s="2266">
        <v>1694295</v>
      </c>
      <c r="J658" s="2266">
        <v>0.32097418975706066</v>
      </c>
      <c r="K658" s="2266">
        <v>1238907.4117209443</v>
      </c>
      <c r="L658" s="2266">
        <v>1238907.4117209443</v>
      </c>
      <c r="M658" s="2266">
        <v>599</v>
      </c>
    </row>
    <row r="659" spans="1:13" ht="15">
      <c r="A659" s="2266" t="s">
        <v>4105</v>
      </c>
      <c r="B659" s="2465" t="str">
        <f>CONCATENATE(LEFT(RIGHT(CONCATENATE("000",IFAData_TEA_1617!A659),6),3),"-",(RIGHT(RIGHT(CONCATENATE("000",IFAData_TEA_1617!A659),6),3)))</f>
        <v>057-914</v>
      </c>
      <c r="C659" s="2266" t="s">
        <v>2554</v>
      </c>
      <c r="D659" s="2266">
        <v>6</v>
      </c>
      <c r="E659" s="2266">
        <v>2101</v>
      </c>
      <c r="F659" s="2266" t="s">
        <v>5217</v>
      </c>
      <c r="G659" s="2266" t="s">
        <v>5214</v>
      </c>
      <c r="H659" s="2266">
        <v>3859835</v>
      </c>
      <c r="I659" s="2266">
        <v>0</v>
      </c>
      <c r="J659" s="2266">
        <v>0</v>
      </c>
      <c r="K659" s="2266">
        <v>0</v>
      </c>
      <c r="L659" s="2266">
        <v>0</v>
      </c>
      <c r="M659" s="2266">
        <v>599</v>
      </c>
    </row>
    <row r="660" spans="1:13" ht="15">
      <c r="A660" s="2266" t="s">
        <v>5220</v>
      </c>
      <c r="B660" s="2465" t="str">
        <f>CONCATENATE(LEFT(RIGHT(CONCATENATE("000",IFAData_TEA_1617!A660),6),3),"-",(RIGHT(RIGHT(CONCATENATE("000",IFAData_TEA_1617!A660),6),3)))</f>
        <v>059-901</v>
      </c>
      <c r="C660" s="2266" t="s">
        <v>2723</v>
      </c>
      <c r="D660" s="2266">
        <v>2</v>
      </c>
      <c r="E660" s="2266">
        <v>1883</v>
      </c>
      <c r="F660" s="2266" t="s">
        <v>5221</v>
      </c>
      <c r="G660" s="2266" t="s">
        <v>5222</v>
      </c>
      <c r="H660" s="2266">
        <v>1022728</v>
      </c>
      <c r="I660" s="2266">
        <v>950028</v>
      </c>
      <c r="J660" s="2266">
        <v>1</v>
      </c>
      <c r="K660" s="2266">
        <v>1022728</v>
      </c>
      <c r="L660" s="2266">
        <v>950028</v>
      </c>
      <c r="M660" s="2266">
        <v>199</v>
      </c>
    </row>
    <row r="661" spans="1:13" ht="15">
      <c r="A661" s="2266" t="s">
        <v>5220</v>
      </c>
      <c r="B661" s="2465" t="str">
        <f>CONCATENATE(LEFT(RIGHT(CONCATENATE("000",IFAData_TEA_1617!A661),6),3),"-",(RIGHT(RIGHT(CONCATENATE("000",IFAData_TEA_1617!A661),6),3)))</f>
        <v>059-901</v>
      </c>
      <c r="C661" s="2266" t="s">
        <v>2723</v>
      </c>
      <c r="D661" s="2266">
        <v>2</v>
      </c>
      <c r="E661" s="2266">
        <v>1883</v>
      </c>
      <c r="F661" s="2266" t="s">
        <v>5221</v>
      </c>
      <c r="G661" s="2266" t="s">
        <v>5221</v>
      </c>
      <c r="H661" s="2266">
        <v>1022728</v>
      </c>
      <c r="I661" s="2266">
        <v>0</v>
      </c>
      <c r="J661" s="2266">
        <v>0</v>
      </c>
      <c r="K661" s="2266">
        <v>0</v>
      </c>
      <c r="L661" s="2266">
        <v>0</v>
      </c>
      <c r="M661" s="2266">
        <v>199</v>
      </c>
    </row>
    <row r="662" spans="1:13" ht="15">
      <c r="A662" s="2266" t="s">
        <v>4106</v>
      </c>
      <c r="B662" s="2465" t="str">
        <f>CONCATENATE(LEFT(RIGHT(CONCATENATE("000",IFAData_TEA_1617!A662),6),3),"-",(RIGHT(RIGHT(CONCATENATE("000",IFAData_TEA_1617!A662),6),3)))</f>
        <v>060-902</v>
      </c>
      <c r="C662" s="2266" t="s">
        <v>3013</v>
      </c>
      <c r="D662" s="2266">
        <v>9</v>
      </c>
      <c r="E662" s="2266">
        <v>1719</v>
      </c>
      <c r="F662" s="2266" t="s">
        <v>5223</v>
      </c>
      <c r="G662" s="2266" t="s">
        <v>5223</v>
      </c>
      <c r="H662" s="2266">
        <v>201802</v>
      </c>
      <c r="I662" s="2266">
        <v>51047</v>
      </c>
      <c r="J662" s="2266">
        <v>0.26733596233509821</v>
      </c>
      <c r="K662" s="2266">
        <v>53948.931871147492</v>
      </c>
      <c r="L662" s="2266">
        <v>51047</v>
      </c>
      <c r="M662" s="2266">
        <v>599</v>
      </c>
    </row>
    <row r="663" spans="1:13" ht="15">
      <c r="A663" s="2266" t="s">
        <v>4106</v>
      </c>
      <c r="B663" s="2465" t="str">
        <f>CONCATENATE(LEFT(RIGHT(CONCATENATE("000",IFAData_TEA_1617!A663),6),3),"-",(RIGHT(RIGHT(CONCATENATE("000",IFAData_TEA_1617!A663),6),3)))</f>
        <v>060-902</v>
      </c>
      <c r="C663" s="2266" t="s">
        <v>3013</v>
      </c>
      <c r="D663" s="2266">
        <v>9</v>
      </c>
      <c r="E663" s="2266">
        <v>1719</v>
      </c>
      <c r="F663" s="2266" t="s">
        <v>5223</v>
      </c>
      <c r="G663" s="2266" t="s">
        <v>7176</v>
      </c>
      <c r="H663" s="2266">
        <v>201802</v>
      </c>
      <c r="I663" s="2266">
        <v>139900</v>
      </c>
      <c r="J663" s="2266">
        <v>0.73266403766490173</v>
      </c>
      <c r="K663" s="2266">
        <v>147853.06812885249</v>
      </c>
      <c r="L663" s="2266">
        <v>139900</v>
      </c>
      <c r="M663" s="2266">
        <v>599</v>
      </c>
    </row>
    <row r="664" spans="1:13" ht="15">
      <c r="A664" s="2266" t="s">
        <v>4107</v>
      </c>
      <c r="B664" s="2465" t="str">
        <f>CONCATENATE(LEFT(RIGHT(CONCATENATE("000",IFAData_TEA_1617!A664),6),3),"-",(RIGHT(RIGHT(CONCATENATE("000",IFAData_TEA_1617!A664),6),3)))</f>
        <v>060-914</v>
      </c>
      <c r="C664" s="2266" t="s">
        <v>128</v>
      </c>
      <c r="D664" s="2266">
        <v>5</v>
      </c>
      <c r="E664" s="2266">
        <v>1810</v>
      </c>
      <c r="F664" s="2266" t="s">
        <v>5224</v>
      </c>
      <c r="G664" s="2266" t="s">
        <v>5224</v>
      </c>
      <c r="H664" s="2266">
        <v>100000</v>
      </c>
      <c r="I664" s="2266">
        <v>0</v>
      </c>
      <c r="J664" s="2266">
        <v>0</v>
      </c>
      <c r="K664" s="2266">
        <v>0</v>
      </c>
      <c r="L664" s="2266">
        <v>0</v>
      </c>
      <c r="M664" s="2266">
        <v>599</v>
      </c>
    </row>
    <row r="665" spans="1:13" ht="15">
      <c r="A665" s="2266" t="s">
        <v>4107</v>
      </c>
      <c r="B665" s="2465" t="str">
        <f>CONCATENATE(LEFT(RIGHT(CONCATENATE("000",IFAData_TEA_1617!A665),6),3),"-",(RIGHT(RIGHT(CONCATENATE("000",IFAData_TEA_1617!A665),6),3)))</f>
        <v>060-914</v>
      </c>
      <c r="C665" s="2266" t="s">
        <v>128</v>
      </c>
      <c r="D665" s="2266">
        <v>5</v>
      </c>
      <c r="E665" s="2266">
        <v>1810</v>
      </c>
      <c r="F665" s="2266" t="s">
        <v>5224</v>
      </c>
      <c r="G665" s="2266" t="s">
        <v>5225</v>
      </c>
      <c r="H665" s="2266">
        <v>100000</v>
      </c>
      <c r="I665" s="2266">
        <v>103000</v>
      </c>
      <c r="J665" s="2266">
        <v>1</v>
      </c>
      <c r="K665" s="2266">
        <v>100000</v>
      </c>
      <c r="L665" s="2266">
        <v>100000</v>
      </c>
      <c r="M665" s="2266">
        <v>599</v>
      </c>
    </row>
    <row r="666" spans="1:13" ht="15">
      <c r="A666" s="2266" t="s">
        <v>4108</v>
      </c>
      <c r="B666" s="2465" t="str">
        <f>CONCATENATE(LEFT(RIGHT(CONCATENATE("000",IFAData_TEA_1617!A666),6),3),"-",(RIGHT(RIGHT(CONCATENATE("000",IFAData_TEA_1617!A666),6),3)))</f>
        <v>061-902</v>
      </c>
      <c r="C666" s="2266" t="s">
        <v>2825</v>
      </c>
      <c r="D666" s="2266">
        <v>2</v>
      </c>
      <c r="E666" s="2266">
        <v>2018</v>
      </c>
      <c r="F666" s="2266" t="s">
        <v>5229</v>
      </c>
      <c r="G666" s="2266" t="s">
        <v>5228</v>
      </c>
      <c r="H666" s="2266">
        <v>1811486</v>
      </c>
      <c r="I666" s="2266">
        <v>811405</v>
      </c>
      <c r="J666" s="2266">
        <v>0.45570853704083325</v>
      </c>
      <c r="K666" s="2266">
        <v>825509.63492995081</v>
      </c>
      <c r="L666" s="2266">
        <v>811405</v>
      </c>
      <c r="M666" s="2266">
        <v>599</v>
      </c>
    </row>
    <row r="667" spans="1:13" ht="15">
      <c r="A667" s="2266" t="s">
        <v>4108</v>
      </c>
      <c r="B667" s="2465" t="str">
        <f>CONCATENATE(LEFT(RIGHT(CONCATENATE("000",IFAData_TEA_1617!A667),6),3),"-",(RIGHT(RIGHT(CONCATENATE("000",IFAData_TEA_1617!A667),6),3)))</f>
        <v>061-902</v>
      </c>
      <c r="C667" s="2266" t="s">
        <v>2825</v>
      </c>
      <c r="D667" s="2266">
        <v>1</v>
      </c>
      <c r="E667" s="2266">
        <v>2019</v>
      </c>
      <c r="F667" s="2266" t="s">
        <v>5226</v>
      </c>
      <c r="G667" s="2266" t="s">
        <v>5226</v>
      </c>
      <c r="H667" s="2266">
        <v>3797900</v>
      </c>
      <c r="I667" s="2266">
        <v>0</v>
      </c>
      <c r="J667" s="2266">
        <v>0</v>
      </c>
      <c r="K667" s="2266">
        <v>0</v>
      </c>
      <c r="L667" s="2266">
        <v>0</v>
      </c>
      <c r="M667" s="2266">
        <v>599</v>
      </c>
    </row>
    <row r="668" spans="1:13" ht="15">
      <c r="A668" s="2266" t="s">
        <v>4108</v>
      </c>
      <c r="B668" s="2465" t="str">
        <f>CONCATENATE(LEFT(RIGHT(CONCATENATE("000",IFAData_TEA_1617!A668),6),3),"-",(RIGHT(RIGHT(CONCATENATE("000",IFAData_TEA_1617!A668),6),3)))</f>
        <v>061-902</v>
      </c>
      <c r="C668" s="2266" t="s">
        <v>2825</v>
      </c>
      <c r="D668" s="2266">
        <v>2</v>
      </c>
      <c r="E668" s="2266">
        <v>2018</v>
      </c>
      <c r="F668" s="2266" t="s">
        <v>5229</v>
      </c>
      <c r="G668" s="2266" t="s">
        <v>5227</v>
      </c>
      <c r="H668" s="2266">
        <v>1811486</v>
      </c>
      <c r="I668" s="2266">
        <v>0</v>
      </c>
      <c r="J668" s="2266">
        <v>0</v>
      </c>
      <c r="K668" s="2266">
        <v>0</v>
      </c>
      <c r="L668" s="2266">
        <v>0</v>
      </c>
      <c r="M668" s="2266">
        <v>599</v>
      </c>
    </row>
    <row r="669" spans="1:13" ht="15">
      <c r="A669" s="2266" t="s">
        <v>4108</v>
      </c>
      <c r="B669" s="2465" t="str">
        <f>CONCATENATE(LEFT(RIGHT(CONCATENATE("000",IFAData_TEA_1617!A669),6),3),"-",(RIGHT(RIGHT(CONCATENATE("000",IFAData_TEA_1617!A669),6),3)))</f>
        <v>061-902</v>
      </c>
      <c r="C669" s="2266" t="s">
        <v>2825</v>
      </c>
      <c r="D669" s="2266">
        <v>1</v>
      </c>
      <c r="E669" s="2266">
        <v>2019</v>
      </c>
      <c r="F669" s="2266" t="s">
        <v>5226</v>
      </c>
      <c r="G669" s="2266" t="s">
        <v>5227</v>
      </c>
      <c r="H669" s="2266">
        <v>3797900</v>
      </c>
      <c r="I669" s="2266">
        <v>0</v>
      </c>
      <c r="J669" s="2266">
        <v>0</v>
      </c>
      <c r="K669" s="2266">
        <v>0</v>
      </c>
      <c r="L669" s="2266">
        <v>0</v>
      </c>
      <c r="M669" s="2266">
        <v>599</v>
      </c>
    </row>
    <row r="670" spans="1:13" ht="15">
      <c r="A670" s="2266" t="s">
        <v>4108</v>
      </c>
      <c r="B670" s="2465" t="str">
        <f>CONCATENATE(LEFT(RIGHT(CONCATENATE("000",IFAData_TEA_1617!A670),6),3),"-",(RIGHT(RIGHT(CONCATENATE("000",IFAData_TEA_1617!A670),6),3)))</f>
        <v>061-902</v>
      </c>
      <c r="C670" s="2266" t="s">
        <v>2825</v>
      </c>
      <c r="D670" s="2266">
        <v>2</v>
      </c>
      <c r="E670" s="2266">
        <v>2018</v>
      </c>
      <c r="F670" s="2266" t="s">
        <v>5229</v>
      </c>
      <c r="G670" s="2266" t="s">
        <v>7177</v>
      </c>
      <c r="H670" s="2266">
        <v>1811486</v>
      </c>
      <c r="I670" s="2266">
        <v>969130</v>
      </c>
      <c r="J670" s="2266">
        <v>0.54429146295916675</v>
      </c>
      <c r="K670" s="2266">
        <v>985976.36507004919</v>
      </c>
      <c r="L670" s="2266">
        <v>969130</v>
      </c>
      <c r="M670" s="2266">
        <v>599</v>
      </c>
    </row>
    <row r="671" spans="1:13" ht="15">
      <c r="A671" s="2266" t="s">
        <v>4108</v>
      </c>
      <c r="B671" s="2465" t="str">
        <f>CONCATENATE(LEFT(RIGHT(CONCATENATE("000",IFAData_TEA_1617!A671),6),3),"-",(RIGHT(RIGHT(CONCATENATE("000",IFAData_TEA_1617!A671),6),3)))</f>
        <v>061-902</v>
      </c>
      <c r="C671" s="2266" t="s">
        <v>2825</v>
      </c>
      <c r="D671" s="2266">
        <v>1</v>
      </c>
      <c r="E671" s="2266">
        <v>2019</v>
      </c>
      <c r="F671" s="2266" t="s">
        <v>5226</v>
      </c>
      <c r="G671" s="2266" t="s">
        <v>5228</v>
      </c>
      <c r="H671" s="2266">
        <v>3797900</v>
      </c>
      <c r="I671" s="2266">
        <v>1357850</v>
      </c>
      <c r="J671" s="2266">
        <v>0.45570834397497423</v>
      </c>
      <c r="K671" s="2266">
        <v>1730734.7195825547</v>
      </c>
      <c r="L671" s="2266">
        <v>1357850</v>
      </c>
      <c r="M671" s="2266">
        <v>599</v>
      </c>
    </row>
    <row r="672" spans="1:13" ht="15">
      <c r="A672" s="2266" t="s">
        <v>4108</v>
      </c>
      <c r="B672" s="2465" t="str">
        <f>CONCATENATE(LEFT(RIGHT(CONCATENATE("000",IFAData_TEA_1617!A672),6),3),"-",(RIGHT(RIGHT(CONCATENATE("000",IFAData_TEA_1617!A672),6),3)))</f>
        <v>061-902</v>
      </c>
      <c r="C672" s="2266" t="s">
        <v>2825</v>
      </c>
      <c r="D672" s="2266">
        <v>2</v>
      </c>
      <c r="E672" s="2266">
        <v>2018</v>
      </c>
      <c r="F672" s="2266" t="s">
        <v>5229</v>
      </c>
      <c r="G672" s="2266" t="s">
        <v>5229</v>
      </c>
      <c r="H672" s="2266">
        <v>1811486</v>
      </c>
      <c r="I672" s="2266">
        <v>0</v>
      </c>
      <c r="J672" s="2266">
        <v>0</v>
      </c>
      <c r="K672" s="2266">
        <v>0</v>
      </c>
      <c r="L672" s="2266">
        <v>0</v>
      </c>
      <c r="M672" s="2266">
        <v>599</v>
      </c>
    </row>
    <row r="673" spans="1:13" ht="15">
      <c r="A673" s="2266" t="s">
        <v>4108</v>
      </c>
      <c r="B673" s="2465" t="str">
        <f>CONCATENATE(LEFT(RIGHT(CONCATENATE("000",IFAData_TEA_1617!A673),6),3),"-",(RIGHT(RIGHT(CONCATENATE("000",IFAData_TEA_1617!A673),6),3)))</f>
        <v>061-902</v>
      </c>
      <c r="C673" s="2266" t="s">
        <v>2825</v>
      </c>
      <c r="D673" s="2266">
        <v>1</v>
      </c>
      <c r="E673" s="2266">
        <v>2019</v>
      </c>
      <c r="F673" s="2266" t="s">
        <v>5226</v>
      </c>
      <c r="G673" s="2266" t="s">
        <v>7177</v>
      </c>
      <c r="H673" s="2266">
        <v>3797900</v>
      </c>
      <c r="I673" s="2266">
        <v>1621797</v>
      </c>
      <c r="J673" s="2266">
        <v>0.54429165602502583</v>
      </c>
      <c r="K673" s="2266">
        <v>2067165.2804174456</v>
      </c>
      <c r="L673" s="2266">
        <v>1621797</v>
      </c>
      <c r="M673" s="2266">
        <v>599</v>
      </c>
    </row>
    <row r="674" spans="1:13" ht="15">
      <c r="A674" s="2266" t="s">
        <v>5230</v>
      </c>
      <c r="B674" s="2465" t="str">
        <f>CONCATENATE(LEFT(RIGHT(CONCATENATE("000",IFAData_TEA_1617!A674),6),3),"-",(RIGHT(RIGHT(CONCATENATE("000",IFAData_TEA_1617!A674),6),3)))</f>
        <v>061-903</v>
      </c>
      <c r="C674" s="2266" t="s">
        <v>1127</v>
      </c>
      <c r="D674" s="2266">
        <v>1</v>
      </c>
      <c r="E674" s="2266">
        <v>2197</v>
      </c>
      <c r="F674" s="2266" t="s">
        <v>5231</v>
      </c>
      <c r="G674" s="2266" t="s">
        <v>5231</v>
      </c>
      <c r="H674" s="2266">
        <v>294250</v>
      </c>
      <c r="I674" s="2266">
        <v>0</v>
      </c>
      <c r="J674" s="2266">
        <v>0</v>
      </c>
      <c r="K674" s="2266"/>
      <c r="L674" s="2266">
        <v>0</v>
      </c>
      <c r="M674" s="2266">
        <v>599</v>
      </c>
    </row>
    <row r="675" spans="1:13" ht="15">
      <c r="A675" s="2266" t="s">
        <v>4109</v>
      </c>
      <c r="B675" s="2465" t="str">
        <f>CONCATENATE(LEFT(RIGHT(CONCATENATE("000",IFAData_TEA_1617!A675),6),3),"-",(RIGHT(RIGHT(CONCATENATE("000",IFAData_TEA_1617!A675),6),3)))</f>
        <v>061-905</v>
      </c>
      <c r="C675" s="2266" t="s">
        <v>1905</v>
      </c>
      <c r="D675" s="2266">
        <v>4</v>
      </c>
      <c r="E675" s="2266">
        <v>1973</v>
      </c>
      <c r="F675" s="2266" t="s">
        <v>5234</v>
      </c>
      <c r="G675" s="2266" t="s">
        <v>6953</v>
      </c>
      <c r="H675" s="2266">
        <v>236619</v>
      </c>
      <c r="I675" s="2266">
        <v>420814</v>
      </c>
      <c r="J675" s="2266">
        <v>0.52166227210575711</v>
      </c>
      <c r="K675" s="2266">
        <v>123435.20516339214</v>
      </c>
      <c r="L675" s="2266">
        <v>123435.20516339214</v>
      </c>
      <c r="M675" s="2266">
        <v>599</v>
      </c>
    </row>
    <row r="676" spans="1:13" ht="15">
      <c r="A676" s="2266" t="s">
        <v>4109</v>
      </c>
      <c r="B676" s="2465" t="str">
        <f>CONCATENATE(LEFT(RIGHT(CONCATENATE("000",IFAData_TEA_1617!A676),6),3),"-",(RIGHT(RIGHT(CONCATENATE("000",IFAData_TEA_1617!A676),6),3)))</f>
        <v>061-905</v>
      </c>
      <c r="C676" s="2266" t="s">
        <v>1905</v>
      </c>
      <c r="D676" s="2266">
        <v>4</v>
      </c>
      <c r="E676" s="2266">
        <v>1973</v>
      </c>
      <c r="F676" s="2266" t="s">
        <v>5234</v>
      </c>
      <c r="G676" s="2266" t="s">
        <v>5236</v>
      </c>
      <c r="H676" s="2266">
        <v>236619</v>
      </c>
      <c r="I676" s="2266">
        <v>3014</v>
      </c>
      <c r="J676" s="2266">
        <v>3.7363065110161539E-3</v>
      </c>
      <c r="K676" s="2266">
        <v>884.08111033013131</v>
      </c>
      <c r="L676" s="2266">
        <v>884.08111033013131</v>
      </c>
      <c r="M676" s="2266">
        <v>599</v>
      </c>
    </row>
    <row r="677" spans="1:13" ht="15">
      <c r="A677" s="2266" t="s">
        <v>4109</v>
      </c>
      <c r="B677" s="2465" t="str">
        <f>CONCATENATE(LEFT(RIGHT(CONCATENATE("000",IFAData_TEA_1617!A677),6),3),"-",(RIGHT(RIGHT(CONCATENATE("000",IFAData_TEA_1617!A677),6),3)))</f>
        <v>061-905</v>
      </c>
      <c r="C677" s="2266" t="s">
        <v>1905</v>
      </c>
      <c r="D677" s="2266">
        <v>4</v>
      </c>
      <c r="E677" s="2266">
        <v>1972</v>
      </c>
      <c r="F677" s="2266" t="s">
        <v>5232</v>
      </c>
      <c r="G677" s="2266" t="s">
        <v>5233</v>
      </c>
      <c r="H677" s="2266">
        <v>90131</v>
      </c>
      <c r="I677" s="2266">
        <v>0</v>
      </c>
      <c r="J677" s="2266">
        <v>0</v>
      </c>
      <c r="K677" s="2266">
        <v>0</v>
      </c>
      <c r="L677" s="2266">
        <v>0</v>
      </c>
      <c r="M677" s="2266">
        <v>599</v>
      </c>
    </row>
    <row r="678" spans="1:13" ht="15">
      <c r="A678" s="2266" t="s">
        <v>4109</v>
      </c>
      <c r="B678" s="2465" t="str">
        <f>CONCATENATE(LEFT(RIGHT(CONCATENATE("000",IFAData_TEA_1617!A678),6),3),"-",(RIGHT(RIGHT(CONCATENATE("000",IFAData_TEA_1617!A678),6),3)))</f>
        <v>061-905</v>
      </c>
      <c r="C678" s="2266" t="s">
        <v>1905</v>
      </c>
      <c r="D678" s="2266">
        <v>4</v>
      </c>
      <c r="E678" s="2266">
        <v>1973</v>
      </c>
      <c r="F678" s="2266" t="s">
        <v>5234</v>
      </c>
      <c r="G678" s="2266" t="s">
        <v>5233</v>
      </c>
      <c r="H678" s="2266">
        <v>236619</v>
      </c>
      <c r="I678" s="2266">
        <v>382851</v>
      </c>
      <c r="J678" s="2266">
        <v>0.47460142138322681</v>
      </c>
      <c r="K678" s="2266">
        <v>112299.71372627774</v>
      </c>
      <c r="L678" s="2266">
        <v>112299.71372627774</v>
      </c>
      <c r="M678" s="2266">
        <v>599</v>
      </c>
    </row>
    <row r="679" spans="1:13" ht="15">
      <c r="A679" s="2266" t="s">
        <v>4109</v>
      </c>
      <c r="B679" s="2465" t="str">
        <f>CONCATENATE(LEFT(RIGHT(CONCATENATE("000",IFAData_TEA_1617!A679),6),3),"-",(RIGHT(RIGHT(CONCATENATE("000",IFAData_TEA_1617!A679),6),3)))</f>
        <v>061-905</v>
      </c>
      <c r="C679" s="2266" t="s">
        <v>1905</v>
      </c>
      <c r="D679" s="2266">
        <v>4</v>
      </c>
      <c r="E679" s="2266">
        <v>1973</v>
      </c>
      <c r="F679" s="2266" t="s">
        <v>5234</v>
      </c>
      <c r="G679" s="2266" t="s">
        <v>5234</v>
      </c>
      <c r="H679" s="2266">
        <v>236619</v>
      </c>
      <c r="I679" s="2266">
        <v>0</v>
      </c>
      <c r="J679" s="2266">
        <v>0</v>
      </c>
      <c r="K679" s="2266">
        <v>0</v>
      </c>
      <c r="L679" s="2266">
        <v>0</v>
      </c>
      <c r="M679" s="2266">
        <v>599</v>
      </c>
    </row>
    <row r="680" spans="1:13" ht="15">
      <c r="A680" s="2266" t="s">
        <v>4109</v>
      </c>
      <c r="B680" s="2465" t="str">
        <f>CONCATENATE(LEFT(RIGHT(CONCATENATE("000",IFAData_TEA_1617!A680),6),3),"-",(RIGHT(RIGHT(CONCATENATE("000",IFAData_TEA_1617!A680),6),3)))</f>
        <v>061-905</v>
      </c>
      <c r="C680" s="2266" t="s">
        <v>1905</v>
      </c>
      <c r="D680" s="2266">
        <v>4</v>
      </c>
      <c r="E680" s="2266">
        <v>1972</v>
      </c>
      <c r="F680" s="2266" t="s">
        <v>5232</v>
      </c>
      <c r="G680" s="2266" t="s">
        <v>6953</v>
      </c>
      <c r="H680" s="2266">
        <v>90131</v>
      </c>
      <c r="I680" s="2266">
        <v>62040</v>
      </c>
      <c r="J680" s="2266">
        <v>1</v>
      </c>
      <c r="K680" s="2266">
        <v>90131</v>
      </c>
      <c r="L680" s="2266">
        <v>62040</v>
      </c>
      <c r="M680" s="2266">
        <v>599</v>
      </c>
    </row>
    <row r="681" spans="1:13" ht="15">
      <c r="A681" s="2266" t="s">
        <v>4109</v>
      </c>
      <c r="B681" s="2465" t="str">
        <f>CONCATENATE(LEFT(RIGHT(CONCATENATE("000",IFAData_TEA_1617!A681),6),3),"-",(RIGHT(RIGHT(CONCATENATE("000",IFAData_TEA_1617!A681),6),3)))</f>
        <v>061-905</v>
      </c>
      <c r="C681" s="2266" t="s">
        <v>1905</v>
      </c>
      <c r="D681" s="2266">
        <v>4</v>
      </c>
      <c r="E681" s="2266">
        <v>1972</v>
      </c>
      <c r="F681" s="2266" t="s">
        <v>5232</v>
      </c>
      <c r="G681" s="2266" t="s">
        <v>5232</v>
      </c>
      <c r="H681" s="2266">
        <v>90131</v>
      </c>
      <c r="I681" s="2266">
        <v>0</v>
      </c>
      <c r="J681" s="2266">
        <v>0</v>
      </c>
      <c r="K681" s="2266">
        <v>0</v>
      </c>
      <c r="L681" s="2266">
        <v>0</v>
      </c>
      <c r="M681" s="2266">
        <v>599</v>
      </c>
    </row>
    <row r="682" spans="1:13" ht="15">
      <c r="A682" s="2266" t="s">
        <v>4109</v>
      </c>
      <c r="B682" s="2465" t="str">
        <f>CONCATENATE(LEFT(RIGHT(CONCATENATE("000",IFAData_TEA_1617!A682),6),3),"-",(RIGHT(RIGHT(CONCATENATE("000",IFAData_TEA_1617!A682),6),3)))</f>
        <v>061-905</v>
      </c>
      <c r="C682" s="2266" t="s">
        <v>1905</v>
      </c>
      <c r="D682" s="2266">
        <v>4</v>
      </c>
      <c r="E682" s="2266">
        <v>1973</v>
      </c>
      <c r="F682" s="2266" t="s">
        <v>5234</v>
      </c>
      <c r="G682" s="2266" t="s">
        <v>5235</v>
      </c>
      <c r="H682" s="2266">
        <v>236619</v>
      </c>
      <c r="I682" s="2266">
        <v>0</v>
      </c>
      <c r="J682" s="2266">
        <v>0</v>
      </c>
      <c r="K682" s="2266">
        <v>0</v>
      </c>
      <c r="L682" s="2266">
        <v>0</v>
      </c>
      <c r="M682" s="2266">
        <v>599</v>
      </c>
    </row>
    <row r="683" spans="1:13" ht="15">
      <c r="A683" s="2266" t="s">
        <v>4110</v>
      </c>
      <c r="B683" s="2465" t="str">
        <f>CONCATENATE(LEFT(RIGHT(CONCATENATE("000",IFAData_TEA_1617!A683),6),3),"-",(RIGHT(RIGHT(CONCATENATE("000",IFAData_TEA_1617!A683),6),3)))</f>
        <v>061-906</v>
      </c>
      <c r="C683" s="2266" t="s">
        <v>1129</v>
      </c>
      <c r="D683" s="2266">
        <v>2</v>
      </c>
      <c r="E683" s="2266">
        <v>2201</v>
      </c>
      <c r="F683" s="2266" t="s">
        <v>5237</v>
      </c>
      <c r="G683" s="2266" t="s">
        <v>5238</v>
      </c>
      <c r="H683" s="2266">
        <v>139761</v>
      </c>
      <c r="I683" s="2266">
        <v>475925</v>
      </c>
      <c r="J683" s="2266">
        <v>1</v>
      </c>
      <c r="K683" s="2266">
        <v>139761</v>
      </c>
      <c r="L683" s="2266">
        <v>139761</v>
      </c>
      <c r="M683" s="2266">
        <v>599</v>
      </c>
    </row>
    <row r="684" spans="1:13" ht="15">
      <c r="A684" s="2266" t="s">
        <v>4110</v>
      </c>
      <c r="B684" s="2465" t="str">
        <f>CONCATENATE(LEFT(RIGHT(CONCATENATE("000",IFAData_TEA_1617!A684),6),3),"-",(RIGHT(RIGHT(CONCATENATE("000",IFAData_TEA_1617!A684),6),3)))</f>
        <v>061-906</v>
      </c>
      <c r="C684" s="2266" t="s">
        <v>1129</v>
      </c>
      <c r="D684" s="2266">
        <v>2</v>
      </c>
      <c r="E684" s="2266">
        <v>2201</v>
      </c>
      <c r="F684" s="2266" t="s">
        <v>5237</v>
      </c>
      <c r="G684" s="2266" t="s">
        <v>5237</v>
      </c>
      <c r="H684" s="2266">
        <v>139761</v>
      </c>
      <c r="I684" s="2266">
        <v>0</v>
      </c>
      <c r="J684" s="2266">
        <v>0</v>
      </c>
      <c r="K684" s="2266">
        <v>0</v>
      </c>
      <c r="L684" s="2266">
        <v>0</v>
      </c>
      <c r="M684" s="2266">
        <v>599</v>
      </c>
    </row>
    <row r="685" spans="1:13" ht="15">
      <c r="A685" s="2266" t="s">
        <v>4111</v>
      </c>
      <c r="B685" s="2465" t="str">
        <f>CONCATENATE(LEFT(RIGHT(CONCATENATE("000",IFAData_TEA_1617!A685),6),3),"-",(RIGHT(RIGHT(CONCATENATE("000",IFAData_TEA_1617!A685),6),3)))</f>
        <v>061-907</v>
      </c>
      <c r="C685" s="2266" t="s">
        <v>2426</v>
      </c>
      <c r="D685" s="2266">
        <v>1</v>
      </c>
      <c r="E685" s="2266">
        <v>1585</v>
      </c>
      <c r="F685" s="2266" t="s">
        <v>5239</v>
      </c>
      <c r="G685" s="2266" t="s">
        <v>5242</v>
      </c>
      <c r="H685" s="2266">
        <v>223500</v>
      </c>
      <c r="I685" s="2266">
        <v>29490</v>
      </c>
      <c r="J685" s="2266">
        <v>3.6865864010090919E-2</v>
      </c>
      <c r="K685" s="2266">
        <v>8239.5206062553207</v>
      </c>
      <c r="L685" s="2266">
        <v>8239.5206062553207</v>
      </c>
      <c r="M685" s="2266">
        <v>599</v>
      </c>
    </row>
    <row r="686" spans="1:13" ht="15">
      <c r="A686" s="2266" t="s">
        <v>4111</v>
      </c>
      <c r="B686" s="2465" t="str">
        <f>CONCATENATE(LEFT(RIGHT(CONCATENATE("000",IFAData_TEA_1617!A686),6),3),"-",(RIGHT(RIGHT(CONCATENATE("000",IFAData_TEA_1617!A686),6),3)))</f>
        <v>061-907</v>
      </c>
      <c r="C686" s="2266" t="s">
        <v>2426</v>
      </c>
      <c r="D686" s="2266">
        <v>1</v>
      </c>
      <c r="E686" s="2266">
        <v>1585</v>
      </c>
      <c r="F686" s="2266" t="s">
        <v>5239</v>
      </c>
      <c r="G686" s="2266" t="s">
        <v>5240</v>
      </c>
      <c r="H686" s="2266">
        <v>223500</v>
      </c>
      <c r="I686" s="2266">
        <v>0</v>
      </c>
      <c r="J686" s="2266">
        <v>0</v>
      </c>
      <c r="K686" s="2266">
        <v>0</v>
      </c>
      <c r="L686" s="2266">
        <v>0</v>
      </c>
      <c r="M686" s="2266">
        <v>599</v>
      </c>
    </row>
    <row r="687" spans="1:13" ht="15">
      <c r="A687" s="2266" t="s">
        <v>4111</v>
      </c>
      <c r="B687" s="2465" t="str">
        <f>CONCATENATE(LEFT(RIGHT(CONCATENATE("000",IFAData_TEA_1617!A687),6),3),"-",(RIGHT(RIGHT(CONCATENATE("000",IFAData_TEA_1617!A687),6),3)))</f>
        <v>061-907</v>
      </c>
      <c r="C687" s="2266" t="s">
        <v>2426</v>
      </c>
      <c r="D687" s="2266">
        <v>1</v>
      </c>
      <c r="E687" s="2266">
        <v>1585</v>
      </c>
      <c r="F687" s="2266" t="s">
        <v>5239</v>
      </c>
      <c r="G687" s="2266" t="s">
        <v>5241</v>
      </c>
      <c r="H687" s="2266">
        <v>223500</v>
      </c>
      <c r="I687" s="2266">
        <v>35448</v>
      </c>
      <c r="J687" s="2266">
        <v>4.4314043656483657E-2</v>
      </c>
      <c r="K687" s="2266">
        <v>9904.1887572240976</v>
      </c>
      <c r="L687" s="2266">
        <v>9904.1887572240976</v>
      </c>
      <c r="M687" s="2266">
        <v>599</v>
      </c>
    </row>
    <row r="688" spans="1:13" ht="15">
      <c r="A688" s="2266" t="s">
        <v>4111</v>
      </c>
      <c r="B688" s="2465" t="str">
        <f>CONCATENATE(LEFT(RIGHT(CONCATENATE("000",IFAData_TEA_1617!A688),6),3),"-",(RIGHT(RIGHT(CONCATENATE("000",IFAData_TEA_1617!A688),6),3)))</f>
        <v>061-907</v>
      </c>
      <c r="C688" s="2266" t="s">
        <v>2426</v>
      </c>
      <c r="D688" s="2266">
        <v>1</v>
      </c>
      <c r="E688" s="2266">
        <v>1585</v>
      </c>
      <c r="F688" s="2266" t="s">
        <v>5239</v>
      </c>
      <c r="G688" s="2266" t="s">
        <v>5239</v>
      </c>
      <c r="H688" s="2266">
        <v>223500</v>
      </c>
      <c r="I688" s="2266">
        <v>685000</v>
      </c>
      <c r="J688" s="2266">
        <v>0.85632813994276979</v>
      </c>
      <c r="K688" s="2266">
        <v>191389.33927720904</v>
      </c>
      <c r="L688" s="2266">
        <v>191389.33927720904</v>
      </c>
      <c r="M688" s="2266">
        <v>599</v>
      </c>
    </row>
    <row r="689" spans="1:13" ht="15">
      <c r="A689" s="2266" t="s">
        <v>4111</v>
      </c>
      <c r="B689" s="2465" t="str">
        <f>CONCATENATE(LEFT(RIGHT(CONCATENATE("000",IFAData_TEA_1617!A689),6),3),"-",(RIGHT(RIGHT(CONCATENATE("000",IFAData_TEA_1617!A689),6),3)))</f>
        <v>061-907</v>
      </c>
      <c r="C689" s="2266" t="s">
        <v>2426</v>
      </c>
      <c r="D689" s="2266">
        <v>1</v>
      </c>
      <c r="E689" s="2266">
        <v>1585</v>
      </c>
      <c r="F689" s="2266" t="s">
        <v>5239</v>
      </c>
      <c r="G689" s="2266" t="s">
        <v>7178</v>
      </c>
      <c r="H689" s="2266">
        <v>223500</v>
      </c>
      <c r="I689" s="2266">
        <v>34335</v>
      </c>
      <c r="J689" s="2266">
        <v>4.2922666693335769E-2</v>
      </c>
      <c r="K689" s="2266">
        <v>9593.2160059605449</v>
      </c>
      <c r="L689" s="2266">
        <v>9593.2160059605449</v>
      </c>
      <c r="M689" s="2266">
        <v>599</v>
      </c>
    </row>
    <row r="690" spans="1:13" ht="15">
      <c r="A690" s="2266" t="s">
        <v>4111</v>
      </c>
      <c r="B690" s="2465" t="str">
        <f>CONCATENATE(LEFT(RIGHT(CONCATENATE("000",IFAData_TEA_1617!A690),6),3),"-",(RIGHT(RIGHT(CONCATENATE("000",IFAData_TEA_1617!A690),6),3)))</f>
        <v>061-907</v>
      </c>
      <c r="C690" s="2266" t="s">
        <v>2426</v>
      </c>
      <c r="D690" s="2266">
        <v>9</v>
      </c>
      <c r="E690" s="2266">
        <v>1586</v>
      </c>
      <c r="F690" s="2266" t="s">
        <v>5243</v>
      </c>
      <c r="G690" s="2266" t="s">
        <v>5243</v>
      </c>
      <c r="H690" s="2266">
        <v>244398</v>
      </c>
      <c r="I690" s="2266">
        <v>355351</v>
      </c>
      <c r="J690" s="2266">
        <v>1</v>
      </c>
      <c r="K690" s="2266">
        <v>244398</v>
      </c>
      <c r="L690" s="2266">
        <v>244398</v>
      </c>
      <c r="M690" s="2266">
        <v>599</v>
      </c>
    </row>
    <row r="691" spans="1:13" ht="15">
      <c r="A691" s="2266" t="s">
        <v>4111</v>
      </c>
      <c r="B691" s="2465" t="str">
        <f>CONCATENATE(LEFT(RIGHT(CONCATENATE("000",IFAData_TEA_1617!A691),6),3),"-",(RIGHT(RIGHT(CONCATENATE("000",IFAData_TEA_1617!A691),6),3)))</f>
        <v>061-907</v>
      </c>
      <c r="C691" s="2266" t="s">
        <v>2426</v>
      </c>
      <c r="D691" s="2266">
        <v>1</v>
      </c>
      <c r="E691" s="2266">
        <v>1585</v>
      </c>
      <c r="F691" s="2266" t="s">
        <v>5239</v>
      </c>
      <c r="G691" s="2266" t="s">
        <v>6954</v>
      </c>
      <c r="H691" s="2266">
        <v>223500</v>
      </c>
      <c r="I691" s="2266">
        <v>15654</v>
      </c>
      <c r="J691" s="2266">
        <v>1.9569285697319881E-2</v>
      </c>
      <c r="K691" s="2266">
        <v>4373.7353533509931</v>
      </c>
      <c r="L691" s="2266">
        <v>4373.7353533509931</v>
      </c>
      <c r="M691" s="2266">
        <v>599</v>
      </c>
    </row>
    <row r="692" spans="1:13" ht="15">
      <c r="A692" s="2266" t="s">
        <v>4112</v>
      </c>
      <c r="B692" s="2465" t="str">
        <f>CONCATENATE(LEFT(RIGHT(CONCATENATE("000",IFAData_TEA_1617!A692),6),3),"-",(RIGHT(RIGHT(CONCATENATE("000",IFAData_TEA_1617!A692),6),3)))</f>
        <v>061-908</v>
      </c>
      <c r="C692" s="2266" t="s">
        <v>2353</v>
      </c>
      <c r="D692" s="2266">
        <v>1</v>
      </c>
      <c r="E692" s="2266">
        <v>2303</v>
      </c>
      <c r="F692" s="2266" t="s">
        <v>5244</v>
      </c>
      <c r="G692" s="2266" t="s">
        <v>5245</v>
      </c>
      <c r="H692" s="2266">
        <v>161107</v>
      </c>
      <c r="I692" s="2266">
        <v>29602</v>
      </c>
      <c r="J692" s="2266">
        <v>5.6405712598012595E-2</v>
      </c>
      <c r="K692" s="2266">
        <v>9087.3551395280156</v>
      </c>
      <c r="L692" s="2266">
        <v>9087.3551395280156</v>
      </c>
      <c r="M692" s="2266">
        <v>599</v>
      </c>
    </row>
    <row r="693" spans="1:13" ht="15">
      <c r="A693" s="2266" t="s">
        <v>4112</v>
      </c>
      <c r="B693" s="2465" t="str">
        <f>CONCATENATE(LEFT(RIGHT(CONCATENATE("000",IFAData_TEA_1617!A693),6),3),"-",(RIGHT(RIGHT(CONCATENATE("000",IFAData_TEA_1617!A693),6),3)))</f>
        <v>061-908</v>
      </c>
      <c r="C693" s="2266" t="s">
        <v>2353</v>
      </c>
      <c r="D693" s="2266">
        <v>9</v>
      </c>
      <c r="E693" s="2266">
        <v>2305</v>
      </c>
      <c r="F693" s="2266" t="s">
        <v>5245</v>
      </c>
      <c r="G693" s="2266" t="s">
        <v>6955</v>
      </c>
      <c r="H693" s="2266">
        <v>566674</v>
      </c>
      <c r="I693" s="2266">
        <v>312914</v>
      </c>
      <c r="J693" s="2266">
        <v>0.47751769055979537</v>
      </c>
      <c r="K693" s="2266">
        <v>270596.85978028149</v>
      </c>
      <c r="L693" s="2266">
        <v>270596.85978028149</v>
      </c>
      <c r="M693" s="2266">
        <v>599</v>
      </c>
    </row>
    <row r="694" spans="1:13" ht="15">
      <c r="A694" s="2266" t="s">
        <v>4112</v>
      </c>
      <c r="B694" s="2465" t="str">
        <f>CONCATENATE(LEFT(RIGHT(CONCATENATE("000",IFAData_TEA_1617!A694),6),3),"-",(RIGHT(RIGHT(CONCATENATE("000",IFAData_TEA_1617!A694),6),3)))</f>
        <v>061-908</v>
      </c>
      <c r="C694" s="2266" t="s">
        <v>2353</v>
      </c>
      <c r="D694" s="2266">
        <v>1</v>
      </c>
      <c r="E694" s="2266">
        <v>2303</v>
      </c>
      <c r="F694" s="2266" t="s">
        <v>5244</v>
      </c>
      <c r="G694" s="2266" t="s">
        <v>5246</v>
      </c>
      <c r="H694" s="2266">
        <v>161107</v>
      </c>
      <c r="I694" s="2266">
        <v>14142</v>
      </c>
      <c r="J694" s="2266">
        <v>2.6947151799239719E-2</v>
      </c>
      <c r="K694" s="2266">
        <v>4341.3747849201136</v>
      </c>
      <c r="L694" s="2266">
        <v>4341.3747849201136</v>
      </c>
      <c r="M694" s="2266">
        <v>599</v>
      </c>
    </row>
    <row r="695" spans="1:13" ht="15">
      <c r="A695" s="2266" t="s">
        <v>4112</v>
      </c>
      <c r="B695" s="2465" t="str">
        <f>CONCATENATE(LEFT(RIGHT(CONCATENATE("000",IFAData_TEA_1617!A695),6),3),"-",(RIGHT(RIGHT(CONCATENATE("000",IFAData_TEA_1617!A695),6),3)))</f>
        <v>061-908</v>
      </c>
      <c r="C695" s="2266" t="s">
        <v>2353</v>
      </c>
      <c r="D695" s="2266">
        <v>9</v>
      </c>
      <c r="E695" s="2266">
        <v>2305</v>
      </c>
      <c r="F695" s="2266" t="s">
        <v>5245</v>
      </c>
      <c r="G695" s="2266" t="s">
        <v>5246</v>
      </c>
      <c r="H695" s="2266">
        <v>566674</v>
      </c>
      <c r="I695" s="2266">
        <v>0</v>
      </c>
      <c r="J695" s="2266">
        <v>0</v>
      </c>
      <c r="K695" s="2266">
        <v>0</v>
      </c>
      <c r="L695" s="2266">
        <v>0</v>
      </c>
      <c r="M695" s="2266">
        <v>599</v>
      </c>
    </row>
    <row r="696" spans="1:13" ht="15">
      <c r="A696" s="2266" t="s">
        <v>4112</v>
      </c>
      <c r="B696" s="2465" t="str">
        <f>CONCATENATE(LEFT(RIGHT(CONCATENATE("000",IFAData_TEA_1617!A696),6),3),"-",(RIGHT(RIGHT(CONCATENATE("000",IFAData_TEA_1617!A696),6),3)))</f>
        <v>061-908</v>
      </c>
      <c r="C696" s="2266" t="s">
        <v>2353</v>
      </c>
      <c r="D696" s="2266">
        <v>9</v>
      </c>
      <c r="E696" s="2266">
        <v>2305</v>
      </c>
      <c r="F696" s="2266" t="s">
        <v>5245</v>
      </c>
      <c r="G696" s="2266" t="s">
        <v>5245</v>
      </c>
      <c r="H696" s="2266">
        <v>566674</v>
      </c>
      <c r="I696" s="2266">
        <v>342379</v>
      </c>
      <c r="J696" s="2266">
        <v>0.52248230944020457</v>
      </c>
      <c r="K696" s="2266">
        <v>296077.14021971851</v>
      </c>
      <c r="L696" s="2266">
        <v>296077.14021971851</v>
      </c>
      <c r="M696" s="2266">
        <v>599</v>
      </c>
    </row>
    <row r="697" spans="1:13" ht="15">
      <c r="A697" s="2266" t="s">
        <v>4112</v>
      </c>
      <c r="B697" s="2465" t="str">
        <f>CONCATENATE(LEFT(RIGHT(CONCATENATE("000",IFAData_TEA_1617!A697),6),3),"-",(RIGHT(RIGHT(CONCATENATE("000",IFAData_TEA_1617!A697),6),3)))</f>
        <v>061-908</v>
      </c>
      <c r="C697" s="2266" t="s">
        <v>2353</v>
      </c>
      <c r="D697" s="2266">
        <v>1</v>
      </c>
      <c r="E697" s="2266">
        <v>2303</v>
      </c>
      <c r="F697" s="2266" t="s">
        <v>5244</v>
      </c>
      <c r="G697" s="2266" t="s">
        <v>6955</v>
      </c>
      <c r="H697" s="2266">
        <v>161107</v>
      </c>
      <c r="I697" s="2266">
        <v>39981</v>
      </c>
      <c r="J697" s="2266">
        <v>7.6182582101923565E-2</v>
      </c>
      <c r="K697" s="2266">
        <v>12273.5472546946</v>
      </c>
      <c r="L697" s="2266">
        <v>12273.5472546946</v>
      </c>
      <c r="M697" s="2266">
        <v>599</v>
      </c>
    </row>
    <row r="698" spans="1:13" ht="15">
      <c r="A698" s="2266" t="s">
        <v>4112</v>
      </c>
      <c r="B698" s="2465" t="str">
        <f>CONCATENATE(LEFT(RIGHT(CONCATENATE("000",IFAData_TEA_1617!A698),6),3),"-",(RIGHT(RIGHT(CONCATENATE("000",IFAData_TEA_1617!A698),6),3)))</f>
        <v>061-908</v>
      </c>
      <c r="C698" s="2266" t="s">
        <v>2353</v>
      </c>
      <c r="D698" s="2266">
        <v>1</v>
      </c>
      <c r="E698" s="2266">
        <v>2303</v>
      </c>
      <c r="F698" s="2266" t="s">
        <v>5244</v>
      </c>
      <c r="G698" s="2266" t="s">
        <v>5244</v>
      </c>
      <c r="H698" s="2266">
        <v>161107</v>
      </c>
      <c r="I698" s="2266">
        <v>441080</v>
      </c>
      <c r="J698" s="2266">
        <v>0.84046455350082416</v>
      </c>
      <c r="K698" s="2266">
        <v>135404.72282085728</v>
      </c>
      <c r="L698" s="2266">
        <v>135404.72282085728</v>
      </c>
      <c r="M698" s="2266">
        <v>599</v>
      </c>
    </row>
    <row r="699" spans="1:13" ht="15">
      <c r="A699" s="2266" t="s">
        <v>4112</v>
      </c>
      <c r="B699" s="2465" t="str">
        <f>CONCATENATE(LEFT(RIGHT(CONCATENATE("000",IFAData_TEA_1617!A699),6),3),"-",(RIGHT(RIGHT(CONCATENATE("000",IFAData_TEA_1617!A699),6),3)))</f>
        <v>061-908</v>
      </c>
      <c r="C699" s="2266" t="s">
        <v>2353</v>
      </c>
      <c r="D699" s="2266">
        <v>5</v>
      </c>
      <c r="E699" s="2266">
        <v>2304</v>
      </c>
      <c r="F699" s="2266" t="s">
        <v>5247</v>
      </c>
      <c r="G699" s="2266" t="s">
        <v>5247</v>
      </c>
      <c r="H699" s="2266">
        <v>461721</v>
      </c>
      <c r="I699" s="2266">
        <v>1386827</v>
      </c>
      <c r="J699" s="2266">
        <v>1</v>
      </c>
      <c r="K699" s="2266">
        <v>461721</v>
      </c>
      <c r="L699" s="2266">
        <v>461721</v>
      </c>
      <c r="M699" s="2266">
        <v>599</v>
      </c>
    </row>
    <row r="700" spans="1:13" ht="15">
      <c r="A700" s="2266" t="s">
        <v>4113</v>
      </c>
      <c r="B700" s="2465" t="str">
        <f>CONCATENATE(LEFT(RIGHT(CONCATENATE("000",IFAData_TEA_1617!A700),6),3),"-",(RIGHT(RIGHT(CONCATENATE("000",IFAData_TEA_1617!A700),6),3)))</f>
        <v>061-911</v>
      </c>
      <c r="C700" s="2266" t="s">
        <v>1425</v>
      </c>
      <c r="D700" s="2266">
        <v>1</v>
      </c>
      <c r="E700" s="2266">
        <v>2154</v>
      </c>
      <c r="F700" s="2266" t="s">
        <v>5248</v>
      </c>
      <c r="G700" s="2266" t="s">
        <v>7179</v>
      </c>
      <c r="H700" s="2266">
        <v>740900</v>
      </c>
      <c r="I700" s="2266">
        <v>6926</v>
      </c>
      <c r="J700" s="2266">
        <v>4.5454396298544681E-3</v>
      </c>
      <c r="K700" s="2266">
        <v>3367.7162217591754</v>
      </c>
      <c r="L700" s="2266">
        <v>3367.7162217591754</v>
      </c>
      <c r="M700" s="2266">
        <v>599</v>
      </c>
    </row>
    <row r="701" spans="1:13" ht="15">
      <c r="A701" s="2266" t="s">
        <v>4113</v>
      </c>
      <c r="B701" s="2465" t="str">
        <f>CONCATENATE(LEFT(RIGHT(CONCATENATE("000",IFAData_TEA_1617!A701),6),3),"-",(RIGHT(RIGHT(CONCATENATE("000",IFAData_TEA_1617!A701),6),3)))</f>
        <v>061-911</v>
      </c>
      <c r="C701" s="2266" t="s">
        <v>1425</v>
      </c>
      <c r="D701" s="2266">
        <v>1</v>
      </c>
      <c r="E701" s="2266">
        <v>2154</v>
      </c>
      <c r="F701" s="2266" t="s">
        <v>5248</v>
      </c>
      <c r="G701" s="2266" t="s">
        <v>5250</v>
      </c>
      <c r="H701" s="2266">
        <v>740900</v>
      </c>
      <c r="I701" s="2266">
        <v>0</v>
      </c>
      <c r="J701" s="2266">
        <v>0</v>
      </c>
      <c r="K701" s="2266">
        <v>0</v>
      </c>
      <c r="L701" s="2266">
        <v>0</v>
      </c>
      <c r="M701" s="2266">
        <v>599</v>
      </c>
    </row>
    <row r="702" spans="1:13" ht="15">
      <c r="A702" s="2266" t="s">
        <v>4113</v>
      </c>
      <c r="B702" s="2465" t="str">
        <f>CONCATENATE(LEFT(RIGHT(CONCATENATE("000",IFAData_TEA_1617!A702),6),3),"-",(RIGHT(RIGHT(CONCATENATE("000",IFAData_TEA_1617!A702),6),3)))</f>
        <v>061-911</v>
      </c>
      <c r="C702" s="2266" t="s">
        <v>1425</v>
      </c>
      <c r="D702" s="2266">
        <v>1</v>
      </c>
      <c r="E702" s="2266">
        <v>2154</v>
      </c>
      <c r="F702" s="2266" t="s">
        <v>5248</v>
      </c>
      <c r="G702" s="2266" t="s">
        <v>5248</v>
      </c>
      <c r="H702" s="2266">
        <v>740900</v>
      </c>
      <c r="I702" s="2266">
        <v>0</v>
      </c>
      <c r="J702" s="2266">
        <v>0</v>
      </c>
      <c r="K702" s="2266">
        <v>0</v>
      </c>
      <c r="L702" s="2266">
        <v>0</v>
      </c>
      <c r="M702" s="2266">
        <v>599</v>
      </c>
    </row>
    <row r="703" spans="1:13" ht="15">
      <c r="A703" s="2266" t="s">
        <v>4113</v>
      </c>
      <c r="B703" s="2465" t="str">
        <f>CONCATENATE(LEFT(RIGHT(CONCATENATE("000",IFAData_TEA_1617!A703),6),3),"-",(RIGHT(RIGHT(CONCATENATE("000",IFAData_TEA_1617!A703),6),3)))</f>
        <v>061-911</v>
      </c>
      <c r="C703" s="2266" t="s">
        <v>1425</v>
      </c>
      <c r="D703" s="2266">
        <v>1</v>
      </c>
      <c r="E703" s="2266">
        <v>2154</v>
      </c>
      <c r="F703" s="2266" t="s">
        <v>5248</v>
      </c>
      <c r="G703" s="2266" t="s">
        <v>6956</v>
      </c>
      <c r="H703" s="2266">
        <v>740900</v>
      </c>
      <c r="I703" s="2266">
        <v>1516799</v>
      </c>
      <c r="J703" s="2266">
        <v>0.99545456037014557</v>
      </c>
      <c r="K703" s="2266">
        <v>737532.2837782409</v>
      </c>
      <c r="L703" s="2266">
        <v>737532.2837782409</v>
      </c>
      <c r="M703" s="2266">
        <v>599</v>
      </c>
    </row>
    <row r="704" spans="1:13" ht="15">
      <c r="A704" s="2266" t="s">
        <v>4113</v>
      </c>
      <c r="B704" s="2465" t="str">
        <f>CONCATENATE(LEFT(RIGHT(CONCATENATE("000",IFAData_TEA_1617!A704),6),3),"-",(RIGHT(RIGHT(CONCATENATE("000",IFAData_TEA_1617!A704),6),3)))</f>
        <v>061-911</v>
      </c>
      <c r="C704" s="2266" t="s">
        <v>1425</v>
      </c>
      <c r="D704" s="2266">
        <v>1</v>
      </c>
      <c r="E704" s="2266">
        <v>2154</v>
      </c>
      <c r="F704" s="2266" t="s">
        <v>5248</v>
      </c>
      <c r="G704" s="2266" t="s">
        <v>5249</v>
      </c>
      <c r="H704" s="2266">
        <v>740900</v>
      </c>
      <c r="I704" s="2266">
        <v>0</v>
      </c>
      <c r="J704" s="2266">
        <v>0</v>
      </c>
      <c r="K704" s="2266">
        <v>0</v>
      </c>
      <c r="L704" s="2266">
        <v>0</v>
      </c>
      <c r="M704" s="2266">
        <v>599</v>
      </c>
    </row>
    <row r="705" spans="1:13" ht="15">
      <c r="A705" s="2266" t="s">
        <v>4114</v>
      </c>
      <c r="B705" s="2465" t="str">
        <f>CONCATENATE(LEFT(RIGHT(CONCATENATE("000",IFAData_TEA_1617!A705),6),3),"-",(RIGHT(RIGHT(CONCATENATE("000",IFAData_TEA_1617!A705),6),3)))</f>
        <v>061-912</v>
      </c>
      <c r="C705" s="2266" t="s">
        <v>2623</v>
      </c>
      <c r="D705" s="2266">
        <v>3</v>
      </c>
      <c r="E705" s="2266">
        <v>1997</v>
      </c>
      <c r="F705" s="2266" t="s">
        <v>5251</v>
      </c>
      <c r="G705" s="2266" t="s">
        <v>5251</v>
      </c>
      <c r="H705" s="2266">
        <v>661840</v>
      </c>
      <c r="I705" s="2266">
        <v>0</v>
      </c>
      <c r="J705" s="2266">
        <v>0</v>
      </c>
      <c r="K705" s="2266">
        <v>0</v>
      </c>
      <c r="L705" s="2266">
        <v>0</v>
      </c>
      <c r="M705" s="2266">
        <v>599</v>
      </c>
    </row>
    <row r="706" spans="1:13" ht="15">
      <c r="A706" s="2266" t="s">
        <v>4114</v>
      </c>
      <c r="B706" s="2465" t="str">
        <f>CONCATENATE(LEFT(RIGHT(CONCATENATE("000",IFAData_TEA_1617!A706),6),3),"-",(RIGHT(RIGHT(CONCATENATE("000",IFAData_TEA_1617!A706),6),3)))</f>
        <v>061-912</v>
      </c>
      <c r="C706" s="2266" t="s">
        <v>2623</v>
      </c>
      <c r="D706" s="2266">
        <v>3</v>
      </c>
      <c r="E706" s="2266">
        <v>1997</v>
      </c>
      <c r="F706" s="2266" t="s">
        <v>5251</v>
      </c>
      <c r="G706" s="2266" t="s">
        <v>5254</v>
      </c>
      <c r="H706" s="2266">
        <v>661840</v>
      </c>
      <c r="I706" s="2266">
        <v>0</v>
      </c>
      <c r="J706" s="2266">
        <v>0</v>
      </c>
      <c r="K706" s="2266">
        <v>0</v>
      </c>
      <c r="L706" s="2266">
        <v>0</v>
      </c>
      <c r="M706" s="2266">
        <v>599</v>
      </c>
    </row>
    <row r="707" spans="1:13" ht="15">
      <c r="A707" s="2266" t="s">
        <v>4114</v>
      </c>
      <c r="B707" s="2465" t="str">
        <f>CONCATENATE(LEFT(RIGHT(CONCATENATE("000",IFAData_TEA_1617!A707),6),3),"-",(RIGHT(RIGHT(CONCATENATE("000",IFAData_TEA_1617!A707),6),3)))</f>
        <v>061-912</v>
      </c>
      <c r="C707" s="2266" t="s">
        <v>2623</v>
      </c>
      <c r="D707" s="2266">
        <v>9</v>
      </c>
      <c r="E707" s="2266">
        <v>1996</v>
      </c>
      <c r="F707" s="2266" t="s">
        <v>5256</v>
      </c>
      <c r="G707" s="2266" t="s">
        <v>5256</v>
      </c>
      <c r="H707" s="2266">
        <v>296517</v>
      </c>
      <c r="I707" s="2266">
        <v>677051</v>
      </c>
      <c r="J707" s="2266">
        <v>0.6522140372475751</v>
      </c>
      <c r="K707" s="2266">
        <v>193392.54968253922</v>
      </c>
      <c r="L707" s="2266">
        <v>193392.54968253922</v>
      </c>
      <c r="M707" s="2266">
        <v>599</v>
      </c>
    </row>
    <row r="708" spans="1:13" ht="15">
      <c r="A708" s="2266" t="s">
        <v>4114</v>
      </c>
      <c r="B708" s="2465" t="str">
        <f>CONCATENATE(LEFT(RIGHT(CONCATENATE("000",IFAData_TEA_1617!A708),6),3),"-",(RIGHT(RIGHT(CONCATENATE("000",IFAData_TEA_1617!A708),6),3)))</f>
        <v>061-912</v>
      </c>
      <c r="C708" s="2266" t="s">
        <v>2623</v>
      </c>
      <c r="D708" s="2266">
        <v>10</v>
      </c>
      <c r="E708" s="2266">
        <v>1995</v>
      </c>
      <c r="F708" s="2266" t="s">
        <v>5257</v>
      </c>
      <c r="G708" s="2266" t="s">
        <v>5257</v>
      </c>
      <c r="H708" s="2266">
        <v>177100</v>
      </c>
      <c r="I708" s="2266">
        <v>82727</v>
      </c>
      <c r="J708" s="2266">
        <v>0.3683254453413356</v>
      </c>
      <c r="K708" s="2266">
        <v>65230.436369950534</v>
      </c>
      <c r="L708" s="2266">
        <v>65230.436369950534</v>
      </c>
      <c r="M708" s="2266">
        <v>599</v>
      </c>
    </row>
    <row r="709" spans="1:13" ht="15">
      <c r="A709" s="2266" t="s">
        <v>4114</v>
      </c>
      <c r="B709" s="2465" t="str">
        <f>CONCATENATE(LEFT(RIGHT(CONCATENATE("000",IFAData_TEA_1617!A709),6),3),"-",(RIGHT(RIGHT(CONCATENATE("000",IFAData_TEA_1617!A709),6),3)))</f>
        <v>061-912</v>
      </c>
      <c r="C709" s="2266" t="s">
        <v>2623</v>
      </c>
      <c r="D709" s="2266">
        <v>10</v>
      </c>
      <c r="E709" s="2266">
        <v>1995</v>
      </c>
      <c r="F709" s="2266" t="s">
        <v>5257</v>
      </c>
      <c r="G709" s="2266" t="s">
        <v>6957</v>
      </c>
      <c r="H709" s="2266">
        <v>177100</v>
      </c>
      <c r="I709" s="2266">
        <v>141876</v>
      </c>
      <c r="J709" s="2266">
        <v>0.6316745546586644</v>
      </c>
      <c r="K709" s="2266">
        <v>111869.56363004947</v>
      </c>
      <c r="L709" s="2266">
        <v>111869.56363004947</v>
      </c>
      <c r="M709" s="2266">
        <v>599</v>
      </c>
    </row>
    <row r="710" spans="1:13" ht="15">
      <c r="A710" s="2266" t="s">
        <v>4114</v>
      </c>
      <c r="B710" s="2465" t="str">
        <f>CONCATENATE(LEFT(RIGHT(CONCATENATE("000",IFAData_TEA_1617!A710),6),3),"-",(RIGHT(RIGHT(CONCATENATE("000",IFAData_TEA_1617!A710),6),3)))</f>
        <v>061-912</v>
      </c>
      <c r="C710" s="2266" t="s">
        <v>2623</v>
      </c>
      <c r="D710" s="2266">
        <v>9</v>
      </c>
      <c r="E710" s="2266">
        <v>1996</v>
      </c>
      <c r="F710" s="2266" t="s">
        <v>5256</v>
      </c>
      <c r="G710" s="2266" t="s">
        <v>7180</v>
      </c>
      <c r="H710" s="2266">
        <v>296517</v>
      </c>
      <c r="I710" s="2266">
        <v>304034</v>
      </c>
      <c r="J710" s="2266">
        <v>0.29288080602573402</v>
      </c>
      <c r="K710" s="2266">
        <v>86844.137960332577</v>
      </c>
      <c r="L710" s="2266">
        <v>86844.137960332577</v>
      </c>
      <c r="M710" s="2266">
        <v>599</v>
      </c>
    </row>
    <row r="711" spans="1:13" ht="15">
      <c r="A711" s="2266" t="s">
        <v>4114</v>
      </c>
      <c r="B711" s="2465" t="str">
        <f>CONCATENATE(LEFT(RIGHT(CONCATENATE("000",IFAData_TEA_1617!A711),6),3),"-",(RIGHT(RIGHT(CONCATENATE("000",IFAData_TEA_1617!A711),6),3)))</f>
        <v>061-912</v>
      </c>
      <c r="C711" s="2266" t="s">
        <v>2623</v>
      </c>
      <c r="D711" s="2266">
        <v>3</v>
      </c>
      <c r="E711" s="2266">
        <v>1997</v>
      </c>
      <c r="F711" s="2266" t="s">
        <v>5251</v>
      </c>
      <c r="G711" s="2266" t="s">
        <v>5253</v>
      </c>
      <c r="H711" s="2266">
        <v>661840</v>
      </c>
      <c r="I711" s="2266">
        <v>559075</v>
      </c>
      <c r="J711" s="2266">
        <v>0.98993903572687014</v>
      </c>
      <c r="K711" s="2266">
        <v>655181.2514054717</v>
      </c>
      <c r="L711" s="2266">
        <v>559075</v>
      </c>
      <c r="M711" s="2266">
        <v>599</v>
      </c>
    </row>
    <row r="712" spans="1:13" ht="15">
      <c r="A712" s="2266" t="s">
        <v>4114</v>
      </c>
      <c r="B712" s="2465" t="str">
        <f>CONCATENATE(LEFT(RIGHT(CONCATENATE("000",IFAData_TEA_1617!A712),6),3),"-",(RIGHT(RIGHT(CONCATENATE("000",IFAData_TEA_1617!A712),6),3)))</f>
        <v>061-912</v>
      </c>
      <c r="C712" s="2266" t="s">
        <v>2623</v>
      </c>
      <c r="D712" s="2266">
        <v>9</v>
      </c>
      <c r="E712" s="2266">
        <v>1996</v>
      </c>
      <c r="F712" s="2266" t="s">
        <v>5256</v>
      </c>
      <c r="G712" s="2266" t="s">
        <v>6957</v>
      </c>
      <c r="H712" s="2266">
        <v>296517</v>
      </c>
      <c r="I712" s="2266">
        <v>56996</v>
      </c>
      <c r="J712" s="2266">
        <v>5.4905156726690885E-2</v>
      </c>
      <c r="K712" s="2266">
        <v>16280.312357128201</v>
      </c>
      <c r="L712" s="2266">
        <v>16280.312357128201</v>
      </c>
      <c r="M712" s="2266">
        <v>599</v>
      </c>
    </row>
    <row r="713" spans="1:13" ht="15">
      <c r="A713" s="2266" t="s">
        <v>4114</v>
      </c>
      <c r="B713" s="2465" t="str">
        <f>CONCATENATE(LEFT(RIGHT(CONCATENATE("000",IFAData_TEA_1617!A713),6),3),"-",(RIGHT(RIGHT(CONCATENATE("000",IFAData_TEA_1617!A713),6),3)))</f>
        <v>061-912</v>
      </c>
      <c r="C713" s="2266" t="s">
        <v>2623</v>
      </c>
      <c r="D713" s="2266">
        <v>3</v>
      </c>
      <c r="E713" s="2266">
        <v>1997</v>
      </c>
      <c r="F713" s="2266" t="s">
        <v>5251</v>
      </c>
      <c r="G713" s="2266" t="s">
        <v>5252</v>
      </c>
      <c r="H713" s="2266">
        <v>661840</v>
      </c>
      <c r="I713" s="2266">
        <v>0</v>
      </c>
      <c r="J713" s="2266">
        <v>0</v>
      </c>
      <c r="K713" s="2266">
        <v>0</v>
      </c>
      <c r="L713" s="2266">
        <v>0</v>
      </c>
      <c r="M713" s="2266">
        <v>599</v>
      </c>
    </row>
    <row r="714" spans="1:13" ht="15">
      <c r="A714" s="2266" t="s">
        <v>4114</v>
      </c>
      <c r="B714" s="2465" t="str">
        <f>CONCATENATE(LEFT(RIGHT(CONCATENATE("000",IFAData_TEA_1617!A714),6),3),"-",(RIGHT(RIGHT(CONCATENATE("000",IFAData_TEA_1617!A714),6),3)))</f>
        <v>061-912</v>
      </c>
      <c r="C714" s="2266" t="s">
        <v>2623</v>
      </c>
      <c r="D714" s="2266">
        <v>3</v>
      </c>
      <c r="E714" s="2266">
        <v>1997</v>
      </c>
      <c r="F714" s="2266" t="s">
        <v>5251</v>
      </c>
      <c r="G714" s="2266" t="s">
        <v>5255</v>
      </c>
      <c r="H714" s="2266">
        <v>661840</v>
      </c>
      <c r="I714" s="2266">
        <v>2110</v>
      </c>
      <c r="J714" s="2266">
        <v>3.7361201366251325E-3</v>
      </c>
      <c r="K714" s="2266">
        <v>2472.7137512239779</v>
      </c>
      <c r="L714" s="2266">
        <v>2110</v>
      </c>
      <c r="M714" s="2266">
        <v>599</v>
      </c>
    </row>
    <row r="715" spans="1:13" ht="15">
      <c r="A715" s="2266" t="s">
        <v>4114</v>
      </c>
      <c r="B715" s="2465" t="str">
        <f>CONCATENATE(LEFT(RIGHT(CONCATENATE("000",IFAData_TEA_1617!A715),6),3),"-",(RIGHT(RIGHT(CONCATENATE("000",IFAData_TEA_1617!A715),6),3)))</f>
        <v>061-912</v>
      </c>
      <c r="C715" s="2266" t="s">
        <v>2623</v>
      </c>
      <c r="D715" s="2266">
        <v>3</v>
      </c>
      <c r="E715" s="2266">
        <v>1997</v>
      </c>
      <c r="F715" s="2266" t="s">
        <v>5251</v>
      </c>
      <c r="G715" s="2266" t="s">
        <v>6957</v>
      </c>
      <c r="H715" s="2266">
        <v>661840</v>
      </c>
      <c r="I715" s="2266">
        <v>3572</v>
      </c>
      <c r="J715" s="2266">
        <v>6.3248441365047264E-3</v>
      </c>
      <c r="K715" s="2266">
        <v>4186.0348433042882</v>
      </c>
      <c r="L715" s="2266">
        <v>3572</v>
      </c>
      <c r="M715" s="2266">
        <v>599</v>
      </c>
    </row>
    <row r="716" spans="1:13" ht="15">
      <c r="A716" s="2266" t="s">
        <v>4115</v>
      </c>
      <c r="B716" s="2465" t="str">
        <f>CONCATENATE(LEFT(RIGHT(CONCATENATE("000",IFAData_TEA_1617!A716),6),3),"-",(RIGHT(RIGHT(CONCATENATE("000",IFAData_TEA_1617!A716),6),3)))</f>
        <v>061-914</v>
      </c>
      <c r="C716" s="2266" t="s">
        <v>1764</v>
      </c>
      <c r="D716" s="2266">
        <v>5</v>
      </c>
      <c r="E716" s="2266">
        <v>2026</v>
      </c>
      <c r="F716" s="2266" t="s">
        <v>5258</v>
      </c>
      <c r="G716" s="2266" t="s">
        <v>5260</v>
      </c>
      <c r="H716" s="2266">
        <v>512028</v>
      </c>
      <c r="I716" s="2266">
        <v>0</v>
      </c>
      <c r="J716" s="2266">
        <v>0</v>
      </c>
      <c r="K716" s="2266">
        <v>0</v>
      </c>
      <c r="L716" s="2266">
        <v>0</v>
      </c>
      <c r="M716" s="2266">
        <v>599</v>
      </c>
    </row>
    <row r="717" spans="1:13" ht="15">
      <c r="A717" s="2266" t="s">
        <v>4115</v>
      </c>
      <c r="B717" s="2465" t="str">
        <f>CONCATENATE(LEFT(RIGHT(CONCATENATE("000",IFAData_TEA_1617!A717),6),3),"-",(RIGHT(RIGHT(CONCATENATE("000",IFAData_TEA_1617!A717),6),3)))</f>
        <v>061-914</v>
      </c>
      <c r="C717" s="2266" t="s">
        <v>1764</v>
      </c>
      <c r="D717" s="2266">
        <v>5</v>
      </c>
      <c r="E717" s="2266">
        <v>2026</v>
      </c>
      <c r="F717" s="2266" t="s">
        <v>5258</v>
      </c>
      <c r="G717" s="2266" t="s">
        <v>5268</v>
      </c>
      <c r="H717" s="2266">
        <v>512028</v>
      </c>
      <c r="I717" s="2266">
        <v>3</v>
      </c>
      <c r="J717" s="2266">
        <v>2.5119653281798969E-6</v>
      </c>
      <c r="K717" s="2266">
        <v>1.2861965830572963</v>
      </c>
      <c r="L717" s="2266">
        <v>1.2861965830572963</v>
      </c>
      <c r="M717" s="2266">
        <v>599</v>
      </c>
    </row>
    <row r="718" spans="1:13" ht="15">
      <c r="A718" s="2266" t="s">
        <v>4115</v>
      </c>
      <c r="B718" s="2465" t="str">
        <f>CONCATENATE(LEFT(RIGHT(CONCATENATE("000",IFAData_TEA_1617!A718),6),3),"-",(RIGHT(RIGHT(CONCATENATE("000",IFAData_TEA_1617!A718),6),3)))</f>
        <v>061-914</v>
      </c>
      <c r="C718" s="2266" t="s">
        <v>1764</v>
      </c>
      <c r="D718" s="2266">
        <v>5</v>
      </c>
      <c r="E718" s="2266">
        <v>2026</v>
      </c>
      <c r="F718" s="2266" t="s">
        <v>5258</v>
      </c>
      <c r="G718" s="2266" t="s">
        <v>6958</v>
      </c>
      <c r="H718" s="2266">
        <v>512028</v>
      </c>
      <c r="I718" s="2266">
        <v>2105</v>
      </c>
      <c r="J718" s="2266">
        <v>1.7625623386062278E-3</v>
      </c>
      <c r="K718" s="2266">
        <v>902.48126911186955</v>
      </c>
      <c r="L718" s="2266">
        <v>902.48126911186955</v>
      </c>
      <c r="M718" s="2266">
        <v>599</v>
      </c>
    </row>
    <row r="719" spans="1:13" ht="15">
      <c r="A719" s="2266" t="s">
        <v>4115</v>
      </c>
      <c r="B719" s="2465" t="str">
        <f>CONCATENATE(LEFT(RIGHT(CONCATENATE("000",IFAData_TEA_1617!A719),6),3),"-",(RIGHT(RIGHT(CONCATENATE("000",IFAData_TEA_1617!A719),6),3)))</f>
        <v>061-914</v>
      </c>
      <c r="C719" s="2266" t="s">
        <v>1764</v>
      </c>
      <c r="D719" s="2266">
        <v>5</v>
      </c>
      <c r="E719" s="2266">
        <v>2026</v>
      </c>
      <c r="F719" s="2266" t="s">
        <v>5258</v>
      </c>
      <c r="G719" s="2266" t="s">
        <v>5266</v>
      </c>
      <c r="H719" s="2266">
        <v>512028</v>
      </c>
      <c r="I719" s="2266">
        <v>21194</v>
      </c>
      <c r="J719" s="2266">
        <v>1.7746197721814912E-2</v>
      </c>
      <c r="K719" s="2266">
        <v>9086.5501271054454</v>
      </c>
      <c r="L719" s="2266">
        <v>9086.5501271054454</v>
      </c>
      <c r="M719" s="2266">
        <v>599</v>
      </c>
    </row>
    <row r="720" spans="1:13" ht="15">
      <c r="A720" s="2266" t="s">
        <v>4115</v>
      </c>
      <c r="B720" s="2465" t="str">
        <f>CONCATENATE(LEFT(RIGHT(CONCATENATE("000",IFAData_TEA_1617!A720),6),3),"-",(RIGHT(RIGHT(CONCATENATE("000",IFAData_TEA_1617!A720),6),3)))</f>
        <v>061-914</v>
      </c>
      <c r="C720" s="2266" t="s">
        <v>1764</v>
      </c>
      <c r="D720" s="2266">
        <v>5</v>
      </c>
      <c r="E720" s="2266">
        <v>2026</v>
      </c>
      <c r="F720" s="2266" t="s">
        <v>5258</v>
      </c>
      <c r="G720" s="2266" t="s">
        <v>5265</v>
      </c>
      <c r="H720" s="2266">
        <v>512028</v>
      </c>
      <c r="I720" s="2266">
        <v>333580</v>
      </c>
      <c r="J720" s="2266">
        <v>0.27931379805808332</v>
      </c>
      <c r="K720" s="2266">
        <v>143016.48539208429</v>
      </c>
      <c r="L720" s="2266">
        <v>143016.48539208429</v>
      </c>
      <c r="M720" s="2266">
        <v>599</v>
      </c>
    </row>
    <row r="721" spans="1:13" ht="15">
      <c r="A721" s="2266" t="s">
        <v>4115</v>
      </c>
      <c r="B721" s="2465" t="str">
        <f>CONCATENATE(LEFT(RIGHT(CONCATENATE("000",IFAData_TEA_1617!A721),6),3),"-",(RIGHT(RIGHT(CONCATENATE("000",IFAData_TEA_1617!A721),6),3)))</f>
        <v>061-914</v>
      </c>
      <c r="C721" s="2266" t="s">
        <v>1764</v>
      </c>
      <c r="D721" s="2266">
        <v>5</v>
      </c>
      <c r="E721" s="2266">
        <v>2026</v>
      </c>
      <c r="F721" s="2266" t="s">
        <v>5258</v>
      </c>
      <c r="G721" s="2266" t="s">
        <v>6959</v>
      </c>
      <c r="H721" s="2266">
        <v>512028</v>
      </c>
      <c r="I721" s="2266">
        <v>44406</v>
      </c>
      <c r="J721" s="2266">
        <v>3.7182110787718832E-2</v>
      </c>
      <c r="K721" s="2266">
        <v>19038.281822414097</v>
      </c>
      <c r="L721" s="2266">
        <v>19038.281822414097</v>
      </c>
      <c r="M721" s="2266">
        <v>599</v>
      </c>
    </row>
    <row r="722" spans="1:13" ht="15">
      <c r="A722" s="2266" t="s">
        <v>4115</v>
      </c>
      <c r="B722" s="2465" t="str">
        <f>CONCATENATE(LEFT(RIGHT(CONCATENATE("000",IFAData_TEA_1617!A722),6),3),"-",(RIGHT(RIGHT(CONCATENATE("000",IFAData_TEA_1617!A722),6),3)))</f>
        <v>061-914</v>
      </c>
      <c r="C722" s="2266" t="s">
        <v>1764</v>
      </c>
      <c r="D722" s="2266">
        <v>9</v>
      </c>
      <c r="E722" s="2266">
        <v>2027</v>
      </c>
      <c r="F722" s="2266" t="s">
        <v>5263</v>
      </c>
      <c r="G722" s="2266" t="s">
        <v>5263</v>
      </c>
      <c r="H722" s="2266">
        <v>606882</v>
      </c>
      <c r="I722" s="2266">
        <v>799122</v>
      </c>
      <c r="J722" s="2266">
        <v>0.69233548279778656</v>
      </c>
      <c r="K722" s="2266">
        <v>420165.94247128628</v>
      </c>
      <c r="L722" s="2266">
        <v>420165.94247128628</v>
      </c>
      <c r="M722" s="2266">
        <v>599</v>
      </c>
    </row>
    <row r="723" spans="1:13" ht="15">
      <c r="A723" s="2266" t="s">
        <v>4115</v>
      </c>
      <c r="B723" s="2465" t="str">
        <f>CONCATENATE(LEFT(RIGHT(CONCATENATE("000",IFAData_TEA_1617!A723),6),3),"-",(RIGHT(RIGHT(CONCATENATE("000",IFAData_TEA_1617!A723),6),3)))</f>
        <v>061-914</v>
      </c>
      <c r="C723" s="2266" t="s">
        <v>1764</v>
      </c>
      <c r="D723" s="2266">
        <v>5</v>
      </c>
      <c r="E723" s="2266">
        <v>2026</v>
      </c>
      <c r="F723" s="2266" t="s">
        <v>5258</v>
      </c>
      <c r="G723" s="2266" t="s">
        <v>5262</v>
      </c>
      <c r="H723" s="2266">
        <v>512028</v>
      </c>
      <c r="I723" s="2266">
        <v>0</v>
      </c>
      <c r="J723" s="2266">
        <v>0</v>
      </c>
      <c r="K723" s="2266">
        <v>0</v>
      </c>
      <c r="L723" s="2266">
        <v>0</v>
      </c>
      <c r="M723" s="2266">
        <v>599</v>
      </c>
    </row>
    <row r="724" spans="1:13" ht="15">
      <c r="A724" s="2266" t="s">
        <v>4115</v>
      </c>
      <c r="B724" s="2465" t="str">
        <f>CONCATENATE(LEFT(RIGHT(CONCATENATE("000",IFAData_TEA_1617!A724),6),3),"-",(RIGHT(RIGHT(CONCATENATE("000",IFAData_TEA_1617!A724),6),3)))</f>
        <v>061-914</v>
      </c>
      <c r="C724" s="2266" t="s">
        <v>1764</v>
      </c>
      <c r="D724" s="2266">
        <v>5</v>
      </c>
      <c r="E724" s="2266">
        <v>2026</v>
      </c>
      <c r="F724" s="2266" t="s">
        <v>5258</v>
      </c>
      <c r="G724" s="2266" t="s">
        <v>5261</v>
      </c>
      <c r="H724" s="2266">
        <v>512028</v>
      </c>
      <c r="I724" s="2266">
        <v>0</v>
      </c>
      <c r="J724" s="2266">
        <v>0</v>
      </c>
      <c r="K724" s="2266">
        <v>0</v>
      </c>
      <c r="L724" s="2266">
        <v>0</v>
      </c>
      <c r="M724" s="2266">
        <v>599</v>
      </c>
    </row>
    <row r="725" spans="1:13" ht="15">
      <c r="A725" s="2266" t="s">
        <v>4115</v>
      </c>
      <c r="B725" s="2465" t="str">
        <f>CONCATENATE(LEFT(RIGHT(CONCATENATE("000",IFAData_TEA_1617!A725),6),3),"-",(RIGHT(RIGHT(CONCATENATE("000",IFAData_TEA_1617!A725),6),3)))</f>
        <v>061-914</v>
      </c>
      <c r="C725" s="2266" t="s">
        <v>1764</v>
      </c>
      <c r="D725" s="2266">
        <v>5</v>
      </c>
      <c r="E725" s="2266">
        <v>2026</v>
      </c>
      <c r="F725" s="2266" t="s">
        <v>5258</v>
      </c>
      <c r="G725" s="2266" t="s">
        <v>5267</v>
      </c>
      <c r="H725" s="2266">
        <v>512028</v>
      </c>
      <c r="I725" s="2266">
        <v>2</v>
      </c>
      <c r="J725" s="2266">
        <v>1.6746435521199312E-6</v>
      </c>
      <c r="K725" s="2266">
        <v>0.85746438870486419</v>
      </c>
      <c r="L725" s="2266">
        <v>0.85746438870486419</v>
      </c>
      <c r="M725" s="2266">
        <v>599</v>
      </c>
    </row>
    <row r="726" spans="1:13" ht="15">
      <c r="A726" s="2266" t="s">
        <v>4115</v>
      </c>
      <c r="B726" s="2465" t="str">
        <f>CONCATENATE(LEFT(RIGHT(CONCATENATE("000",IFAData_TEA_1617!A726),6),3),"-",(RIGHT(RIGHT(CONCATENATE("000",IFAData_TEA_1617!A726),6),3)))</f>
        <v>061-914</v>
      </c>
      <c r="C726" s="2266" t="s">
        <v>1764</v>
      </c>
      <c r="D726" s="2266">
        <v>5</v>
      </c>
      <c r="E726" s="2266">
        <v>2026</v>
      </c>
      <c r="F726" s="2266" t="s">
        <v>5258</v>
      </c>
      <c r="G726" s="2266" t="s">
        <v>5259</v>
      </c>
      <c r="H726" s="2266">
        <v>512028</v>
      </c>
      <c r="I726" s="2266">
        <v>0</v>
      </c>
      <c r="J726" s="2266">
        <v>0</v>
      </c>
      <c r="K726" s="2266">
        <v>0</v>
      </c>
      <c r="L726" s="2266">
        <v>0</v>
      </c>
      <c r="M726" s="2266">
        <v>599</v>
      </c>
    </row>
    <row r="727" spans="1:13" ht="15">
      <c r="A727" s="2266" t="s">
        <v>4115</v>
      </c>
      <c r="B727" s="2465" t="str">
        <f>CONCATENATE(LEFT(RIGHT(CONCATENATE("000",IFAData_TEA_1617!A727),6),3),"-",(RIGHT(RIGHT(CONCATENATE("000",IFAData_TEA_1617!A727),6),3)))</f>
        <v>061-914</v>
      </c>
      <c r="C727" s="2266" t="s">
        <v>1764</v>
      </c>
      <c r="D727" s="2266">
        <v>5</v>
      </c>
      <c r="E727" s="2266">
        <v>2026</v>
      </c>
      <c r="F727" s="2266" t="s">
        <v>5258</v>
      </c>
      <c r="G727" s="2266" t="s">
        <v>5264</v>
      </c>
      <c r="H727" s="2266">
        <v>512028</v>
      </c>
      <c r="I727" s="2266">
        <v>0</v>
      </c>
      <c r="J727" s="2266">
        <v>0</v>
      </c>
      <c r="K727" s="2266">
        <v>0</v>
      </c>
      <c r="L727" s="2266">
        <v>0</v>
      </c>
      <c r="M727" s="2266">
        <v>599</v>
      </c>
    </row>
    <row r="728" spans="1:13" ht="15">
      <c r="A728" s="2266" t="s">
        <v>4115</v>
      </c>
      <c r="B728" s="2465" t="str">
        <f>CONCATENATE(LEFT(RIGHT(CONCATENATE("000",IFAData_TEA_1617!A728),6),3),"-",(RIGHT(RIGHT(CONCATENATE("000",IFAData_TEA_1617!A728),6),3)))</f>
        <v>061-914</v>
      </c>
      <c r="C728" s="2266" t="s">
        <v>1764</v>
      </c>
      <c r="D728" s="2266">
        <v>9</v>
      </c>
      <c r="E728" s="2266">
        <v>2025</v>
      </c>
      <c r="F728" s="2266" t="s">
        <v>5269</v>
      </c>
      <c r="G728" s="2266" t="s">
        <v>5269</v>
      </c>
      <c r="H728" s="2266">
        <v>353398</v>
      </c>
      <c r="I728" s="2266">
        <v>552912</v>
      </c>
      <c r="J728" s="2266">
        <v>1</v>
      </c>
      <c r="K728" s="2266">
        <v>353398</v>
      </c>
      <c r="L728" s="2266">
        <v>353398</v>
      </c>
      <c r="M728" s="2266">
        <v>599</v>
      </c>
    </row>
    <row r="729" spans="1:13" ht="15">
      <c r="A729" s="2266" t="s">
        <v>4115</v>
      </c>
      <c r="B729" s="2465" t="str">
        <f>CONCATENATE(LEFT(RIGHT(CONCATENATE("000",IFAData_TEA_1617!A729),6),3),"-",(RIGHT(RIGHT(CONCATENATE("000",IFAData_TEA_1617!A729),6),3)))</f>
        <v>061-914</v>
      </c>
      <c r="C729" s="2266" t="s">
        <v>1764</v>
      </c>
      <c r="D729" s="2266">
        <v>9</v>
      </c>
      <c r="E729" s="2266">
        <v>2027</v>
      </c>
      <c r="F729" s="2266" t="s">
        <v>5263</v>
      </c>
      <c r="G729" s="2266" t="s">
        <v>6959</v>
      </c>
      <c r="H729" s="2266">
        <v>606882</v>
      </c>
      <c r="I729" s="2266">
        <v>103155</v>
      </c>
      <c r="J729" s="2266">
        <v>8.9370417443150954E-2</v>
      </c>
      <c r="K729" s="2266">
        <v>54237.297678734336</v>
      </c>
      <c r="L729" s="2266">
        <v>54237.297678734336</v>
      </c>
      <c r="M729" s="2266">
        <v>599</v>
      </c>
    </row>
    <row r="730" spans="1:13" ht="15">
      <c r="A730" s="2266" t="s">
        <v>4115</v>
      </c>
      <c r="B730" s="2465" t="str">
        <f>CONCATENATE(LEFT(RIGHT(CONCATENATE("000",IFAData_TEA_1617!A730),6),3),"-",(RIGHT(RIGHT(CONCATENATE("000",IFAData_TEA_1617!A730),6),3)))</f>
        <v>061-914</v>
      </c>
      <c r="C730" s="2266" t="s">
        <v>1764</v>
      </c>
      <c r="D730" s="2266">
        <v>5</v>
      </c>
      <c r="E730" s="2266">
        <v>2026</v>
      </c>
      <c r="F730" s="2266" t="s">
        <v>5258</v>
      </c>
      <c r="G730" s="2266" t="s">
        <v>7181</v>
      </c>
      <c r="H730" s="2266">
        <v>512028</v>
      </c>
      <c r="I730" s="2266">
        <v>213247</v>
      </c>
      <c r="J730" s="2266">
        <v>0.1785563567794595</v>
      </c>
      <c r="K730" s="2266">
        <v>91425.854249073091</v>
      </c>
      <c r="L730" s="2266">
        <v>91425.854249073091</v>
      </c>
      <c r="M730" s="2266">
        <v>599</v>
      </c>
    </row>
    <row r="731" spans="1:13" ht="15">
      <c r="A731" s="2266" t="s">
        <v>4115</v>
      </c>
      <c r="B731" s="2465" t="str">
        <f>CONCATENATE(LEFT(RIGHT(CONCATENATE("000",IFAData_TEA_1617!A731),6),3),"-",(RIGHT(RIGHT(CONCATENATE("000",IFAData_TEA_1617!A731),6),3)))</f>
        <v>061-914</v>
      </c>
      <c r="C731" s="2266" t="s">
        <v>1764</v>
      </c>
      <c r="D731" s="2266">
        <v>9</v>
      </c>
      <c r="E731" s="2266">
        <v>2027</v>
      </c>
      <c r="F731" s="2266" t="s">
        <v>5263</v>
      </c>
      <c r="G731" s="2266" t="s">
        <v>7181</v>
      </c>
      <c r="H731" s="2266">
        <v>606882</v>
      </c>
      <c r="I731" s="2266">
        <v>251964</v>
      </c>
      <c r="J731" s="2266">
        <v>0.21829409975906244</v>
      </c>
      <c r="K731" s="2266">
        <v>132478.75984997934</v>
      </c>
      <c r="L731" s="2266">
        <v>132478.75984997934</v>
      </c>
      <c r="M731" s="2266">
        <v>599</v>
      </c>
    </row>
    <row r="732" spans="1:13" ht="15">
      <c r="A732" s="2266" t="s">
        <v>4115</v>
      </c>
      <c r="B732" s="2465" t="str">
        <f>CONCATENATE(LEFT(RIGHT(CONCATENATE("000",IFAData_TEA_1617!A732),6),3),"-",(RIGHT(RIGHT(CONCATENATE("000",IFAData_TEA_1617!A732),6),3)))</f>
        <v>061-914</v>
      </c>
      <c r="C732" s="2266" t="s">
        <v>1764</v>
      </c>
      <c r="D732" s="2266">
        <v>5</v>
      </c>
      <c r="E732" s="2266">
        <v>2026</v>
      </c>
      <c r="F732" s="2266" t="s">
        <v>5258</v>
      </c>
      <c r="G732" s="2266" t="s">
        <v>5263</v>
      </c>
      <c r="H732" s="2266">
        <v>512028</v>
      </c>
      <c r="I732" s="2266">
        <v>579747</v>
      </c>
      <c r="J732" s="2266">
        <v>0.48543478770543691</v>
      </c>
      <c r="K732" s="2266">
        <v>248556.20347923946</v>
      </c>
      <c r="L732" s="2266">
        <v>248556.20347923946</v>
      </c>
      <c r="M732" s="2266">
        <v>599</v>
      </c>
    </row>
    <row r="733" spans="1:13" ht="15">
      <c r="A733" s="2266" t="s">
        <v>4115</v>
      </c>
      <c r="B733" s="2465" t="str">
        <f>CONCATENATE(LEFT(RIGHT(CONCATENATE("000",IFAData_TEA_1617!A733),6),3),"-",(RIGHT(RIGHT(CONCATENATE("000",IFAData_TEA_1617!A733),6),3)))</f>
        <v>061-914</v>
      </c>
      <c r="C733" s="2266" t="s">
        <v>1764</v>
      </c>
      <c r="D733" s="2266">
        <v>5</v>
      </c>
      <c r="E733" s="2266">
        <v>2026</v>
      </c>
      <c r="F733" s="2266" t="s">
        <v>5258</v>
      </c>
      <c r="G733" s="2266" t="s">
        <v>5258</v>
      </c>
      <c r="H733" s="2266">
        <v>512028</v>
      </c>
      <c r="I733" s="2266">
        <v>0</v>
      </c>
      <c r="J733" s="2266">
        <v>0</v>
      </c>
      <c r="K733" s="2266">
        <v>0</v>
      </c>
      <c r="L733" s="2266">
        <v>0</v>
      </c>
      <c r="M733" s="2266">
        <v>599</v>
      </c>
    </row>
    <row r="734" spans="1:13" ht="15">
      <c r="A734" s="2266" t="s">
        <v>4116</v>
      </c>
      <c r="B734" s="2465" t="str">
        <f>CONCATENATE(LEFT(RIGHT(CONCATENATE("000",IFAData_TEA_1617!A734),6),3),"-",(RIGHT(RIGHT(CONCATENATE("000",IFAData_TEA_1617!A734),6),3)))</f>
        <v>062-901</v>
      </c>
      <c r="C734" s="2266" t="s">
        <v>461</v>
      </c>
      <c r="D734" s="2266">
        <v>6</v>
      </c>
      <c r="E734" s="2266">
        <v>1741</v>
      </c>
      <c r="F734" s="2266" t="s">
        <v>5270</v>
      </c>
      <c r="G734" s="2266" t="s">
        <v>6960</v>
      </c>
      <c r="H734" s="2266">
        <v>487605</v>
      </c>
      <c r="I734" s="2266">
        <v>354166</v>
      </c>
      <c r="J734" s="2266">
        <v>1</v>
      </c>
      <c r="K734" s="2266">
        <v>487605</v>
      </c>
      <c r="L734" s="2266">
        <v>354166</v>
      </c>
      <c r="M734" s="2266">
        <v>599</v>
      </c>
    </row>
    <row r="735" spans="1:13" ht="15">
      <c r="A735" s="2266" t="s">
        <v>4116</v>
      </c>
      <c r="B735" s="2465" t="str">
        <f>CONCATENATE(LEFT(RIGHT(CONCATENATE("000",IFAData_TEA_1617!A735),6),3),"-",(RIGHT(RIGHT(CONCATENATE("000",IFAData_TEA_1617!A735),6),3)))</f>
        <v>062-901</v>
      </c>
      <c r="C735" s="2266" t="s">
        <v>461</v>
      </c>
      <c r="D735" s="2266">
        <v>6</v>
      </c>
      <c r="E735" s="2266">
        <v>1741</v>
      </c>
      <c r="F735" s="2266" t="s">
        <v>5270</v>
      </c>
      <c r="G735" s="2266" t="s">
        <v>5270</v>
      </c>
      <c r="H735" s="2266">
        <v>487605</v>
      </c>
      <c r="I735" s="2266">
        <v>0</v>
      </c>
      <c r="J735" s="2266">
        <v>0</v>
      </c>
      <c r="K735" s="2266">
        <v>0</v>
      </c>
      <c r="L735" s="2266">
        <v>0</v>
      </c>
      <c r="M735" s="2266">
        <v>599</v>
      </c>
    </row>
    <row r="736" spans="1:13" ht="15">
      <c r="A736" s="2266" t="s">
        <v>4117</v>
      </c>
      <c r="B736" s="2465" t="str">
        <f>CONCATENATE(LEFT(RIGHT(CONCATENATE("000",IFAData_TEA_1617!A736),6),3),"-",(RIGHT(RIGHT(CONCATENATE("000",IFAData_TEA_1617!A736),6),3)))</f>
        <v>062-903</v>
      </c>
      <c r="C736" s="2266" t="s">
        <v>2511</v>
      </c>
      <c r="D736" s="2266">
        <v>3</v>
      </c>
      <c r="E736" s="2266">
        <v>2466</v>
      </c>
      <c r="F736" s="2266" t="s">
        <v>5271</v>
      </c>
      <c r="G736" s="2266" t="s">
        <v>5271</v>
      </c>
      <c r="H736" s="2266">
        <v>5516</v>
      </c>
      <c r="I736" s="2266">
        <v>0</v>
      </c>
      <c r="J736" s="2266">
        <v>0</v>
      </c>
      <c r="K736" s="2266"/>
      <c r="L736" s="2266">
        <v>0</v>
      </c>
      <c r="M736" s="2266">
        <v>599</v>
      </c>
    </row>
    <row r="737" spans="1:13" ht="15">
      <c r="A737" s="2266" t="s">
        <v>4117</v>
      </c>
      <c r="B737" s="2465" t="str">
        <f>CONCATENATE(LEFT(RIGHT(CONCATENATE("000",IFAData_TEA_1617!A737),6),3),"-",(RIGHT(RIGHT(CONCATENATE("000",IFAData_TEA_1617!A737),6),3)))</f>
        <v>062-903</v>
      </c>
      <c r="C737" s="2266" t="s">
        <v>2511</v>
      </c>
      <c r="D737" s="2266">
        <v>3</v>
      </c>
      <c r="E737" s="2266">
        <v>2467</v>
      </c>
      <c r="F737" s="2266" t="s">
        <v>5274</v>
      </c>
      <c r="G737" s="2266" t="s">
        <v>5273</v>
      </c>
      <c r="H737" s="2266">
        <v>324334</v>
      </c>
      <c r="I737" s="2266">
        <v>0</v>
      </c>
      <c r="J737" s="2266">
        <v>0</v>
      </c>
      <c r="K737" s="2266"/>
      <c r="L737" s="2266">
        <v>0</v>
      </c>
      <c r="M737" s="2266">
        <v>599</v>
      </c>
    </row>
    <row r="738" spans="1:13" ht="15">
      <c r="A738" s="2266" t="s">
        <v>4117</v>
      </c>
      <c r="B738" s="2465" t="str">
        <f>CONCATENATE(LEFT(RIGHT(CONCATENATE("000",IFAData_TEA_1617!A738),6),3),"-",(RIGHT(RIGHT(CONCATENATE("000",IFAData_TEA_1617!A738),6),3)))</f>
        <v>062-903</v>
      </c>
      <c r="C738" s="2266" t="s">
        <v>2511</v>
      </c>
      <c r="D738" s="2266">
        <v>9</v>
      </c>
      <c r="E738" s="2266">
        <v>2468</v>
      </c>
      <c r="F738" s="2266" t="s">
        <v>5275</v>
      </c>
      <c r="G738" s="2266" t="s">
        <v>5275</v>
      </c>
      <c r="H738" s="2266">
        <v>368750</v>
      </c>
      <c r="I738" s="2266">
        <v>0</v>
      </c>
      <c r="J738" s="2266">
        <v>0</v>
      </c>
      <c r="K738" s="2266">
        <v>0</v>
      </c>
      <c r="L738" s="2266">
        <v>0</v>
      </c>
      <c r="M738" s="2266">
        <v>599</v>
      </c>
    </row>
    <row r="739" spans="1:13" ht="15">
      <c r="A739" s="2266" t="s">
        <v>4117</v>
      </c>
      <c r="B739" s="2465" t="str">
        <f>CONCATENATE(LEFT(RIGHT(CONCATENATE("000",IFAData_TEA_1617!A739),6),3),"-",(RIGHT(RIGHT(CONCATENATE("000",IFAData_TEA_1617!A739),6),3)))</f>
        <v>062-903</v>
      </c>
      <c r="C739" s="2266" t="s">
        <v>2511</v>
      </c>
      <c r="D739" s="2266">
        <v>3</v>
      </c>
      <c r="E739" s="2266">
        <v>2467</v>
      </c>
      <c r="F739" s="2266" t="s">
        <v>5274</v>
      </c>
      <c r="G739" s="2266" t="s">
        <v>5272</v>
      </c>
      <c r="H739" s="2266">
        <v>324334</v>
      </c>
      <c r="I739" s="2266">
        <v>0</v>
      </c>
      <c r="J739" s="2266">
        <v>0</v>
      </c>
      <c r="K739" s="2266"/>
      <c r="L739" s="2266">
        <v>0</v>
      </c>
      <c r="M739" s="2266">
        <v>599</v>
      </c>
    </row>
    <row r="740" spans="1:13" ht="15">
      <c r="A740" s="2266" t="s">
        <v>4117</v>
      </c>
      <c r="B740" s="2465" t="str">
        <f>CONCATENATE(LEFT(RIGHT(CONCATENATE("000",IFAData_TEA_1617!A740),6),3),"-",(RIGHT(RIGHT(CONCATENATE("000",IFAData_TEA_1617!A740),6),3)))</f>
        <v>062-903</v>
      </c>
      <c r="C740" s="2266" t="s">
        <v>2511</v>
      </c>
      <c r="D740" s="2266">
        <v>3</v>
      </c>
      <c r="E740" s="2266">
        <v>2466</v>
      </c>
      <c r="F740" s="2266" t="s">
        <v>5271</v>
      </c>
      <c r="G740" s="2266" t="s">
        <v>5272</v>
      </c>
      <c r="H740" s="2266">
        <v>5516</v>
      </c>
      <c r="I740" s="2266">
        <v>0</v>
      </c>
      <c r="J740" s="2266">
        <v>0</v>
      </c>
      <c r="K740" s="2266"/>
      <c r="L740" s="2266">
        <v>0</v>
      </c>
      <c r="M740" s="2266">
        <v>599</v>
      </c>
    </row>
    <row r="741" spans="1:13" ht="15">
      <c r="A741" s="2266" t="s">
        <v>4117</v>
      </c>
      <c r="B741" s="2465" t="str">
        <f>CONCATENATE(LEFT(RIGHT(CONCATENATE("000",IFAData_TEA_1617!A741),6),3),"-",(RIGHT(RIGHT(CONCATENATE("000",IFAData_TEA_1617!A741),6),3)))</f>
        <v>062-903</v>
      </c>
      <c r="C741" s="2266" t="s">
        <v>2511</v>
      </c>
      <c r="D741" s="2266">
        <v>3</v>
      </c>
      <c r="E741" s="2266">
        <v>2467</v>
      </c>
      <c r="F741" s="2266" t="s">
        <v>5274</v>
      </c>
      <c r="G741" s="2266" t="s">
        <v>5274</v>
      </c>
      <c r="H741" s="2266">
        <v>324334</v>
      </c>
      <c r="I741" s="2266">
        <v>0</v>
      </c>
      <c r="J741" s="2266">
        <v>0</v>
      </c>
      <c r="K741" s="2266"/>
      <c r="L741" s="2266">
        <v>0</v>
      </c>
      <c r="M741" s="2266">
        <v>599</v>
      </c>
    </row>
    <row r="742" spans="1:13" ht="15">
      <c r="A742" s="2266" t="s">
        <v>4117</v>
      </c>
      <c r="B742" s="2465" t="str">
        <f>CONCATENATE(LEFT(RIGHT(CONCATENATE("000",IFAData_TEA_1617!A742),6),3),"-",(RIGHT(RIGHT(CONCATENATE("000",IFAData_TEA_1617!A742),6),3)))</f>
        <v>062-903</v>
      </c>
      <c r="C742" s="2266" t="s">
        <v>2511</v>
      </c>
      <c r="D742" s="2266">
        <v>9</v>
      </c>
      <c r="E742" s="2266">
        <v>2468</v>
      </c>
      <c r="F742" s="2266" t="s">
        <v>5275</v>
      </c>
      <c r="G742" s="2266" t="s">
        <v>7182</v>
      </c>
      <c r="H742" s="2266">
        <v>368750</v>
      </c>
      <c r="I742" s="2266">
        <v>457483</v>
      </c>
      <c r="J742" s="2266">
        <v>1</v>
      </c>
      <c r="K742" s="2266">
        <v>368750</v>
      </c>
      <c r="L742" s="2266">
        <v>368750</v>
      </c>
      <c r="M742" s="2266">
        <v>599</v>
      </c>
    </row>
    <row r="743" spans="1:13" ht="15">
      <c r="A743" s="2266" t="s">
        <v>4117</v>
      </c>
      <c r="B743" s="2465" t="str">
        <f>CONCATENATE(LEFT(RIGHT(CONCATENATE("000",IFAData_TEA_1617!A743),6),3),"-",(RIGHT(RIGHT(CONCATENATE("000",IFAData_TEA_1617!A743),6),3)))</f>
        <v>062-903</v>
      </c>
      <c r="C743" s="2266" t="s">
        <v>2511</v>
      </c>
      <c r="D743" s="2266">
        <v>3</v>
      </c>
      <c r="E743" s="2266">
        <v>2466</v>
      </c>
      <c r="F743" s="2266" t="s">
        <v>5271</v>
      </c>
      <c r="G743" s="2266" t="s">
        <v>5273</v>
      </c>
      <c r="H743" s="2266">
        <v>5516</v>
      </c>
      <c r="I743" s="2266">
        <v>0</v>
      </c>
      <c r="J743" s="2266">
        <v>0</v>
      </c>
      <c r="K743" s="2266"/>
      <c r="L743" s="2266">
        <v>0</v>
      </c>
      <c r="M743" s="2266">
        <v>599</v>
      </c>
    </row>
    <row r="744" spans="1:13" ht="15">
      <c r="A744" s="2266" t="s">
        <v>4118</v>
      </c>
      <c r="B744" s="2465" t="str">
        <f>CONCATENATE(LEFT(RIGHT(CONCATENATE("000",IFAData_TEA_1617!A744),6),3),"-",(RIGHT(RIGHT(CONCATENATE("000",IFAData_TEA_1617!A744),6),3)))</f>
        <v>064-903</v>
      </c>
      <c r="C744" s="2266" t="s">
        <v>37</v>
      </c>
      <c r="D744" s="2266">
        <v>4</v>
      </c>
      <c r="E744" s="2266">
        <v>1665</v>
      </c>
      <c r="F744" s="2266" t="s">
        <v>5276</v>
      </c>
      <c r="G744" s="2266" t="s">
        <v>6961</v>
      </c>
      <c r="H744" s="2266">
        <v>551763</v>
      </c>
      <c r="I744" s="2266">
        <v>464000</v>
      </c>
      <c r="J744" s="2266">
        <v>1</v>
      </c>
      <c r="K744" s="2266">
        <v>551763</v>
      </c>
      <c r="L744" s="2266">
        <v>464000</v>
      </c>
      <c r="M744" s="2266">
        <v>599</v>
      </c>
    </row>
    <row r="745" spans="1:13" ht="15">
      <c r="A745" s="2266" t="s">
        <v>4118</v>
      </c>
      <c r="B745" s="2465" t="str">
        <f>CONCATENATE(LEFT(RIGHT(CONCATENATE("000",IFAData_TEA_1617!A745),6),3),"-",(RIGHT(RIGHT(CONCATENATE("000",IFAData_TEA_1617!A745),6),3)))</f>
        <v>064-903</v>
      </c>
      <c r="C745" s="2266" t="s">
        <v>37</v>
      </c>
      <c r="D745" s="2266">
        <v>4</v>
      </c>
      <c r="E745" s="2266">
        <v>1665</v>
      </c>
      <c r="F745" s="2266" t="s">
        <v>5276</v>
      </c>
      <c r="G745" s="2266" t="s">
        <v>5276</v>
      </c>
      <c r="H745" s="2266">
        <v>551763</v>
      </c>
      <c r="I745" s="2266">
        <v>0</v>
      </c>
      <c r="J745" s="2266">
        <v>0</v>
      </c>
      <c r="K745" s="2266">
        <v>0</v>
      </c>
      <c r="L745" s="2266">
        <v>0</v>
      </c>
      <c r="M745" s="2266">
        <v>599</v>
      </c>
    </row>
    <row r="746" spans="1:13" ht="15">
      <c r="A746" s="2266" t="s">
        <v>4118</v>
      </c>
      <c r="B746" s="2465" t="str">
        <f>CONCATENATE(LEFT(RIGHT(CONCATENATE("000",IFAData_TEA_1617!A746),6),3),"-",(RIGHT(RIGHT(CONCATENATE("000",IFAData_TEA_1617!A746),6),3)))</f>
        <v>064-903</v>
      </c>
      <c r="C746" s="2266" t="s">
        <v>37</v>
      </c>
      <c r="D746" s="2266">
        <v>4</v>
      </c>
      <c r="E746" s="2266">
        <v>1665</v>
      </c>
      <c r="F746" s="2266" t="s">
        <v>5276</v>
      </c>
      <c r="G746" s="2266" t="s">
        <v>5277</v>
      </c>
      <c r="H746" s="2266">
        <v>551763</v>
      </c>
      <c r="I746" s="2266">
        <v>0</v>
      </c>
      <c r="J746" s="2266">
        <v>0</v>
      </c>
      <c r="K746" s="2266">
        <v>0</v>
      </c>
      <c r="L746" s="2266">
        <v>0</v>
      </c>
      <c r="M746" s="2266">
        <v>599</v>
      </c>
    </row>
    <row r="747" spans="1:13" ht="15">
      <c r="A747" s="2266" t="s">
        <v>4119</v>
      </c>
      <c r="B747" s="2465" t="str">
        <f>CONCATENATE(LEFT(RIGHT(CONCATENATE("000",IFAData_TEA_1617!A747),6),3),"-",(RIGHT(RIGHT(CONCATENATE("000",IFAData_TEA_1617!A747),6),3)))</f>
        <v>065-902</v>
      </c>
      <c r="C747" s="2266" t="s">
        <v>2721</v>
      </c>
      <c r="D747" s="2266">
        <v>6</v>
      </c>
      <c r="E747" s="2266">
        <v>1880</v>
      </c>
      <c r="F747" s="2266" t="s">
        <v>5278</v>
      </c>
      <c r="G747" s="2266" t="s">
        <v>5278</v>
      </c>
      <c r="H747" s="2266">
        <v>89335</v>
      </c>
      <c r="I747" s="2266">
        <v>0</v>
      </c>
      <c r="J747" s="2266">
        <v>0</v>
      </c>
      <c r="K747" s="2266"/>
      <c r="L747" s="2266">
        <v>0</v>
      </c>
      <c r="M747" s="2266">
        <v>599</v>
      </c>
    </row>
    <row r="748" spans="1:13" ht="15">
      <c r="A748" s="2266" t="s">
        <v>4120</v>
      </c>
      <c r="B748" s="2465" t="str">
        <f>CONCATENATE(LEFT(RIGHT(CONCATENATE("000",IFAData_TEA_1617!A748),6),3),"-",(RIGHT(RIGHT(CONCATENATE("000",IFAData_TEA_1617!A748),6),3)))</f>
        <v>066-902</v>
      </c>
      <c r="C748" s="2266" t="s">
        <v>2310</v>
      </c>
      <c r="D748" s="2266">
        <v>5</v>
      </c>
      <c r="E748" s="2266">
        <v>2288</v>
      </c>
      <c r="F748" s="2266" t="s">
        <v>5281</v>
      </c>
      <c r="G748" s="2266" t="s">
        <v>5281</v>
      </c>
      <c r="H748" s="2266">
        <v>221765</v>
      </c>
      <c r="I748" s="2266">
        <v>0</v>
      </c>
      <c r="J748" s="2266">
        <v>0</v>
      </c>
      <c r="K748" s="2266">
        <v>0</v>
      </c>
      <c r="L748" s="2266">
        <v>0</v>
      </c>
      <c r="M748" s="2266">
        <v>599</v>
      </c>
    </row>
    <row r="749" spans="1:13" ht="15">
      <c r="A749" s="2266" t="s">
        <v>4120</v>
      </c>
      <c r="B749" s="2465" t="str">
        <f>CONCATENATE(LEFT(RIGHT(CONCATENATE("000",IFAData_TEA_1617!A749),6),3),"-",(RIGHT(RIGHT(CONCATENATE("000",IFAData_TEA_1617!A749),6),3)))</f>
        <v>066-902</v>
      </c>
      <c r="C749" s="2266" t="s">
        <v>2310</v>
      </c>
      <c r="D749" s="2266">
        <v>5</v>
      </c>
      <c r="E749" s="2266">
        <v>2288</v>
      </c>
      <c r="F749" s="2266" t="s">
        <v>5281</v>
      </c>
      <c r="G749" s="2266" t="s">
        <v>5280</v>
      </c>
      <c r="H749" s="2266">
        <v>221765</v>
      </c>
      <c r="I749" s="2266">
        <v>0</v>
      </c>
      <c r="J749" s="2266">
        <v>0</v>
      </c>
      <c r="K749" s="2266">
        <v>0</v>
      </c>
      <c r="L749" s="2266">
        <v>0</v>
      </c>
      <c r="M749" s="2266">
        <v>599</v>
      </c>
    </row>
    <row r="750" spans="1:13" ht="15">
      <c r="A750" s="2266" t="s">
        <v>4120</v>
      </c>
      <c r="B750" s="2465" t="str">
        <f>CONCATENATE(LEFT(RIGHT(CONCATENATE("000",IFAData_TEA_1617!A750),6),3),"-",(RIGHT(RIGHT(CONCATENATE("000",IFAData_TEA_1617!A750),6),3)))</f>
        <v>066-902</v>
      </c>
      <c r="C750" s="2266" t="s">
        <v>2310</v>
      </c>
      <c r="D750" s="2266">
        <v>4</v>
      </c>
      <c r="E750" s="2266">
        <v>2291</v>
      </c>
      <c r="F750" s="2266" t="s">
        <v>5279</v>
      </c>
      <c r="G750" s="2266" t="s">
        <v>5280</v>
      </c>
      <c r="H750" s="2266">
        <v>395737</v>
      </c>
      <c r="I750" s="2266">
        <v>0</v>
      </c>
      <c r="J750" s="2266">
        <v>0</v>
      </c>
      <c r="K750" s="2266">
        <v>0</v>
      </c>
      <c r="L750" s="2266">
        <v>0</v>
      </c>
      <c r="M750" s="2266">
        <v>599</v>
      </c>
    </row>
    <row r="751" spans="1:13" ht="15">
      <c r="A751" s="2266" t="s">
        <v>4120</v>
      </c>
      <c r="B751" s="2465" t="str">
        <f>CONCATENATE(LEFT(RIGHT(CONCATENATE("000",IFAData_TEA_1617!A751),6),3),"-",(RIGHT(RIGHT(CONCATENATE("000",IFAData_TEA_1617!A751),6),3)))</f>
        <v>066-902</v>
      </c>
      <c r="C751" s="2266" t="s">
        <v>2310</v>
      </c>
      <c r="D751" s="2266">
        <v>8</v>
      </c>
      <c r="E751" s="2266">
        <v>2290</v>
      </c>
      <c r="F751" s="2266" t="s">
        <v>5282</v>
      </c>
      <c r="G751" s="2266" t="s">
        <v>5282</v>
      </c>
      <c r="H751" s="2266">
        <v>346350</v>
      </c>
      <c r="I751" s="2266">
        <v>0</v>
      </c>
      <c r="J751" s="2266">
        <v>0</v>
      </c>
      <c r="K751" s="2266">
        <v>0</v>
      </c>
      <c r="L751" s="2266">
        <v>0</v>
      </c>
      <c r="M751" s="2266">
        <v>599</v>
      </c>
    </row>
    <row r="752" spans="1:13" ht="15">
      <c r="A752" s="2266" t="s">
        <v>4120</v>
      </c>
      <c r="B752" s="2465" t="str">
        <f>CONCATENATE(LEFT(RIGHT(CONCATENATE("000",IFAData_TEA_1617!A752),6),3),"-",(RIGHT(RIGHT(CONCATENATE("000",IFAData_TEA_1617!A752),6),3)))</f>
        <v>066-902</v>
      </c>
      <c r="C752" s="2266" t="s">
        <v>2310</v>
      </c>
      <c r="D752" s="2266">
        <v>4</v>
      </c>
      <c r="E752" s="2266">
        <v>2291</v>
      </c>
      <c r="F752" s="2266" t="s">
        <v>5279</v>
      </c>
      <c r="G752" s="2266" t="s">
        <v>5279</v>
      </c>
      <c r="H752" s="2266">
        <v>395737</v>
      </c>
      <c r="I752" s="2266">
        <v>0</v>
      </c>
      <c r="J752" s="2266">
        <v>0</v>
      </c>
      <c r="K752" s="2266">
        <v>0</v>
      </c>
      <c r="L752" s="2266">
        <v>0</v>
      </c>
      <c r="M752" s="2266">
        <v>599</v>
      </c>
    </row>
    <row r="753" spans="1:13" ht="15">
      <c r="A753" s="2266" t="s">
        <v>4120</v>
      </c>
      <c r="B753" s="2465" t="str">
        <f>CONCATENATE(LEFT(RIGHT(CONCATENATE("000",IFAData_TEA_1617!A753),6),3),"-",(RIGHT(RIGHT(CONCATENATE("000",IFAData_TEA_1617!A753),6),3)))</f>
        <v>066-902</v>
      </c>
      <c r="C753" s="2266" t="s">
        <v>2310</v>
      </c>
      <c r="D753" s="2266">
        <v>10</v>
      </c>
      <c r="E753" s="2266">
        <v>2289</v>
      </c>
      <c r="F753" s="2266" t="s">
        <v>5283</v>
      </c>
      <c r="G753" s="2266" t="s">
        <v>5283</v>
      </c>
      <c r="H753" s="2266">
        <v>275767</v>
      </c>
      <c r="I753" s="2266">
        <v>273881</v>
      </c>
      <c r="J753" s="2266">
        <v>1</v>
      </c>
      <c r="K753" s="2266">
        <v>275767</v>
      </c>
      <c r="L753" s="2266">
        <v>273881</v>
      </c>
      <c r="M753" s="2266">
        <v>599</v>
      </c>
    </row>
    <row r="754" spans="1:13" ht="15">
      <c r="A754" s="2266" t="s">
        <v>4120</v>
      </c>
      <c r="B754" s="2465" t="str">
        <f>CONCATENATE(LEFT(RIGHT(CONCATENATE("000",IFAData_TEA_1617!A754),6),3),"-",(RIGHT(RIGHT(CONCATENATE("000",IFAData_TEA_1617!A754),6),3)))</f>
        <v>066-902</v>
      </c>
      <c r="C754" s="2266" t="s">
        <v>2310</v>
      </c>
      <c r="D754" s="2266">
        <v>5</v>
      </c>
      <c r="E754" s="2266">
        <v>2288</v>
      </c>
      <c r="F754" s="2266" t="s">
        <v>5281</v>
      </c>
      <c r="G754" s="2266" t="s">
        <v>6962</v>
      </c>
      <c r="H754" s="2266">
        <v>221765</v>
      </c>
      <c r="I754" s="2266">
        <v>202000</v>
      </c>
      <c r="J754" s="2266">
        <v>1</v>
      </c>
      <c r="K754" s="2266">
        <v>221765</v>
      </c>
      <c r="L754" s="2266">
        <v>202000</v>
      </c>
      <c r="M754" s="2266">
        <v>599</v>
      </c>
    </row>
    <row r="755" spans="1:13" ht="15">
      <c r="A755" s="2266" t="s">
        <v>4120</v>
      </c>
      <c r="B755" s="2465" t="str">
        <f>CONCATENATE(LEFT(RIGHT(CONCATENATE("000",IFAData_TEA_1617!A755),6),3),"-",(RIGHT(RIGHT(CONCATENATE("000",IFAData_TEA_1617!A755),6),3)))</f>
        <v>066-902</v>
      </c>
      <c r="C755" s="2266" t="s">
        <v>2310</v>
      </c>
      <c r="D755" s="2266">
        <v>8</v>
      </c>
      <c r="E755" s="2266">
        <v>2290</v>
      </c>
      <c r="F755" s="2266" t="s">
        <v>5282</v>
      </c>
      <c r="G755" s="2266" t="s">
        <v>7183</v>
      </c>
      <c r="H755" s="2266">
        <v>346350</v>
      </c>
      <c r="I755" s="2266">
        <v>457600</v>
      </c>
      <c r="J755" s="2266">
        <v>1</v>
      </c>
      <c r="K755" s="2266">
        <v>346350</v>
      </c>
      <c r="L755" s="2266">
        <v>346350</v>
      </c>
      <c r="M755" s="2266">
        <v>599</v>
      </c>
    </row>
    <row r="756" spans="1:13" ht="15">
      <c r="A756" s="2266" t="s">
        <v>4120</v>
      </c>
      <c r="B756" s="2465" t="str">
        <f>CONCATENATE(LEFT(RIGHT(CONCATENATE("000",IFAData_TEA_1617!A756),6),3),"-",(RIGHT(RIGHT(CONCATENATE("000",IFAData_TEA_1617!A756),6),3)))</f>
        <v>066-902</v>
      </c>
      <c r="C756" s="2266" t="s">
        <v>2310</v>
      </c>
      <c r="D756" s="2266">
        <v>4</v>
      </c>
      <c r="E756" s="2266">
        <v>2291</v>
      </c>
      <c r="F756" s="2266" t="s">
        <v>5279</v>
      </c>
      <c r="G756" s="2266" t="s">
        <v>6962</v>
      </c>
      <c r="H756" s="2266">
        <v>395737</v>
      </c>
      <c r="I756" s="2266">
        <v>316400</v>
      </c>
      <c r="J756" s="2266">
        <v>1</v>
      </c>
      <c r="K756" s="2266">
        <v>395737</v>
      </c>
      <c r="L756" s="2266">
        <v>316400</v>
      </c>
      <c r="M756" s="2266">
        <v>599</v>
      </c>
    </row>
    <row r="757" spans="1:13" ht="15">
      <c r="A757" s="2266" t="s">
        <v>5284</v>
      </c>
      <c r="B757" s="2465" t="str">
        <f>CONCATENATE(LEFT(RIGHT(CONCATENATE("000",IFAData_TEA_1617!A757),6),3),"-",(RIGHT(RIGHT(CONCATENATE("000",IFAData_TEA_1617!A757),6),3)))</f>
        <v>067-902</v>
      </c>
      <c r="C757" s="2266" t="s">
        <v>2465</v>
      </c>
      <c r="D757" s="2266">
        <v>5</v>
      </c>
      <c r="E757" s="2266">
        <v>1692</v>
      </c>
      <c r="F757" s="2266" t="s">
        <v>5285</v>
      </c>
      <c r="G757" s="2266" t="s">
        <v>5285</v>
      </c>
      <c r="H757" s="2266">
        <v>108854</v>
      </c>
      <c r="I757" s="2266">
        <v>0</v>
      </c>
      <c r="J757" s="2266">
        <v>0</v>
      </c>
      <c r="K757" s="2266"/>
      <c r="L757" s="2266">
        <v>0</v>
      </c>
      <c r="M757" s="2266">
        <v>199</v>
      </c>
    </row>
    <row r="758" spans="1:13" ht="15">
      <c r="A758" s="2266" t="s">
        <v>4121</v>
      </c>
      <c r="B758" s="2465" t="str">
        <f>CONCATENATE(LEFT(RIGHT(CONCATENATE("000",IFAData_TEA_1617!A758),6),3),"-",(RIGHT(RIGHT(CONCATENATE("000",IFAData_TEA_1617!A758),6),3)))</f>
        <v>070-901</v>
      </c>
      <c r="C758" s="2266" t="s">
        <v>2427</v>
      </c>
      <c r="D758" s="2266">
        <v>5</v>
      </c>
      <c r="E758" s="2266">
        <v>1587</v>
      </c>
      <c r="F758" s="2266" t="s">
        <v>5286</v>
      </c>
      <c r="G758" s="2266" t="s">
        <v>5286</v>
      </c>
      <c r="H758" s="2266">
        <v>100000</v>
      </c>
      <c r="I758" s="2266">
        <v>0</v>
      </c>
      <c r="J758" s="2266">
        <v>0</v>
      </c>
      <c r="K758" s="2266">
        <v>0</v>
      </c>
      <c r="L758" s="2266">
        <v>0</v>
      </c>
      <c r="M758" s="2266">
        <v>599</v>
      </c>
    </row>
    <row r="759" spans="1:13" ht="15">
      <c r="A759" s="2266" t="s">
        <v>4121</v>
      </c>
      <c r="B759" s="2465" t="str">
        <f>CONCATENATE(LEFT(RIGHT(CONCATENATE("000",IFAData_TEA_1617!A759),6),3),"-",(RIGHT(RIGHT(CONCATENATE("000",IFAData_TEA_1617!A759),6),3)))</f>
        <v>070-901</v>
      </c>
      <c r="C759" s="2266" t="s">
        <v>2427</v>
      </c>
      <c r="D759" s="2266">
        <v>5</v>
      </c>
      <c r="E759" s="2266">
        <v>1587</v>
      </c>
      <c r="F759" s="2266" t="s">
        <v>5286</v>
      </c>
      <c r="G759" s="2266" t="s">
        <v>5287</v>
      </c>
      <c r="H759" s="2266">
        <v>100000</v>
      </c>
      <c r="I759" s="2266">
        <v>84000</v>
      </c>
      <c r="J759" s="2266">
        <v>1</v>
      </c>
      <c r="K759" s="2266">
        <v>100000</v>
      </c>
      <c r="L759" s="2266">
        <v>84000</v>
      </c>
      <c r="M759" s="2266">
        <v>599</v>
      </c>
    </row>
    <row r="760" spans="1:13" ht="15">
      <c r="A760" s="2266" t="s">
        <v>4122</v>
      </c>
      <c r="B760" s="2465" t="str">
        <f>CONCATENATE(LEFT(RIGHT(CONCATENATE("000",IFAData_TEA_1617!A760),6),3),"-",(RIGHT(RIGHT(CONCATENATE("000",IFAData_TEA_1617!A760),6),3)))</f>
        <v>070-905</v>
      </c>
      <c r="C760" s="2266" t="s">
        <v>2247</v>
      </c>
      <c r="D760" s="2266">
        <v>9</v>
      </c>
      <c r="E760" s="2266">
        <v>1812</v>
      </c>
      <c r="F760" s="2266" t="s">
        <v>5288</v>
      </c>
      <c r="G760" s="2266" t="s">
        <v>6963</v>
      </c>
      <c r="H760" s="2266">
        <v>367965</v>
      </c>
      <c r="I760" s="2266">
        <v>207223</v>
      </c>
      <c r="J760" s="2266">
        <v>0.18678869080348082</v>
      </c>
      <c r="K760" s="2266">
        <v>68731.70061150282</v>
      </c>
      <c r="L760" s="2266">
        <v>68731.70061150282</v>
      </c>
      <c r="M760" s="2266">
        <v>599</v>
      </c>
    </row>
    <row r="761" spans="1:13" ht="15">
      <c r="A761" s="2266" t="s">
        <v>4122</v>
      </c>
      <c r="B761" s="2465" t="str">
        <f>CONCATENATE(LEFT(RIGHT(CONCATENATE("000",IFAData_TEA_1617!A761),6),3),"-",(RIGHT(RIGHT(CONCATENATE("000",IFAData_TEA_1617!A761),6),3)))</f>
        <v>070-905</v>
      </c>
      <c r="C761" s="2266" t="s">
        <v>2247</v>
      </c>
      <c r="D761" s="2266">
        <v>9</v>
      </c>
      <c r="E761" s="2266">
        <v>1812</v>
      </c>
      <c r="F761" s="2266" t="s">
        <v>5288</v>
      </c>
      <c r="G761" s="2266" t="s">
        <v>5288</v>
      </c>
      <c r="H761" s="2266">
        <v>367965</v>
      </c>
      <c r="I761" s="2266">
        <v>349525</v>
      </c>
      <c r="J761" s="2266">
        <v>0.31505825682036565</v>
      </c>
      <c r="K761" s="2266">
        <v>115930.41147090585</v>
      </c>
      <c r="L761" s="2266">
        <v>115930.41147090585</v>
      </c>
      <c r="M761" s="2266">
        <v>599</v>
      </c>
    </row>
    <row r="762" spans="1:13" ht="15">
      <c r="A762" s="2266" t="s">
        <v>4122</v>
      </c>
      <c r="B762" s="2465" t="str">
        <f>CONCATENATE(LEFT(RIGHT(CONCATENATE("000",IFAData_TEA_1617!A762),6),3),"-",(RIGHT(RIGHT(CONCATENATE("000",IFAData_TEA_1617!A762),6),3)))</f>
        <v>070-905</v>
      </c>
      <c r="C762" s="2266" t="s">
        <v>2247</v>
      </c>
      <c r="D762" s="2266">
        <v>9</v>
      </c>
      <c r="E762" s="2266">
        <v>1812</v>
      </c>
      <c r="F762" s="2266" t="s">
        <v>5288</v>
      </c>
      <c r="G762" s="2266" t="s">
        <v>5289</v>
      </c>
      <c r="H762" s="2266">
        <v>367965</v>
      </c>
      <c r="I762" s="2266">
        <v>552650</v>
      </c>
      <c r="J762" s="2266">
        <v>0.49815305237615354</v>
      </c>
      <c r="K762" s="2266">
        <v>183302.88791759135</v>
      </c>
      <c r="L762" s="2266">
        <v>183302.88791759135</v>
      </c>
      <c r="M762" s="2266">
        <v>599</v>
      </c>
    </row>
    <row r="763" spans="1:13" ht="15">
      <c r="A763" s="2266" t="s">
        <v>4123</v>
      </c>
      <c r="B763" s="2465" t="str">
        <f>CONCATENATE(LEFT(RIGHT(CONCATENATE("000",IFAData_TEA_1617!A763),6),3),"-",(RIGHT(RIGHT(CONCATENATE("000",IFAData_TEA_1617!A763),6),3)))</f>
        <v>070-907</v>
      </c>
      <c r="C763" s="2266" t="s">
        <v>1442</v>
      </c>
      <c r="D763" s="2266">
        <v>4</v>
      </c>
      <c r="E763" s="2266">
        <v>1930</v>
      </c>
      <c r="F763" s="2266" t="s">
        <v>5290</v>
      </c>
      <c r="G763" s="2266" t="s">
        <v>5290</v>
      </c>
      <c r="H763" s="2266">
        <v>137308</v>
      </c>
      <c r="I763" s="2266">
        <v>0</v>
      </c>
      <c r="J763" s="2266">
        <v>0</v>
      </c>
      <c r="K763" s="2266">
        <v>0</v>
      </c>
      <c r="L763" s="2266">
        <v>0</v>
      </c>
      <c r="M763" s="2266">
        <v>599</v>
      </c>
    </row>
    <row r="764" spans="1:13" ht="15">
      <c r="A764" s="2266" t="s">
        <v>4123</v>
      </c>
      <c r="B764" s="2465" t="str">
        <f>CONCATENATE(LEFT(RIGHT(CONCATENATE("000",IFAData_TEA_1617!A764),6),3),"-",(RIGHT(RIGHT(CONCATENATE("000",IFAData_TEA_1617!A764),6),3)))</f>
        <v>070-907</v>
      </c>
      <c r="C764" s="2266" t="s">
        <v>1442</v>
      </c>
      <c r="D764" s="2266">
        <v>4</v>
      </c>
      <c r="E764" s="2266">
        <v>1930</v>
      </c>
      <c r="F764" s="2266" t="s">
        <v>5290</v>
      </c>
      <c r="G764" s="2266" t="s">
        <v>5291</v>
      </c>
      <c r="H764" s="2266">
        <v>137308</v>
      </c>
      <c r="I764" s="2266">
        <v>133513</v>
      </c>
      <c r="J764" s="2266">
        <v>1</v>
      </c>
      <c r="K764" s="2266">
        <v>137308</v>
      </c>
      <c r="L764" s="2266">
        <v>133513</v>
      </c>
      <c r="M764" s="2266">
        <v>599</v>
      </c>
    </row>
    <row r="765" spans="1:13" ht="15">
      <c r="A765" s="2266" t="s">
        <v>4124</v>
      </c>
      <c r="B765" s="2465" t="str">
        <f>CONCATENATE(LEFT(RIGHT(CONCATENATE("000",IFAData_TEA_1617!A765),6),3),"-",(RIGHT(RIGHT(CONCATENATE("000",IFAData_TEA_1617!A765),6),3)))</f>
        <v>070-910</v>
      </c>
      <c r="C765" s="2266" t="s">
        <v>1539</v>
      </c>
      <c r="D765" s="2266">
        <v>5</v>
      </c>
      <c r="E765" s="2266">
        <v>2171</v>
      </c>
      <c r="F765" s="2266" t="s">
        <v>5292</v>
      </c>
      <c r="G765" s="2266" t="s">
        <v>5292</v>
      </c>
      <c r="H765" s="2266">
        <v>229000</v>
      </c>
      <c r="I765" s="2266">
        <v>0</v>
      </c>
      <c r="J765" s="2266">
        <v>0</v>
      </c>
      <c r="K765" s="2266">
        <v>0</v>
      </c>
      <c r="L765" s="2266">
        <v>0</v>
      </c>
      <c r="M765" s="2266">
        <v>599</v>
      </c>
    </row>
    <row r="766" spans="1:13" ht="15">
      <c r="A766" s="2266" t="s">
        <v>4124</v>
      </c>
      <c r="B766" s="2465" t="str">
        <f>CONCATENATE(LEFT(RIGHT(CONCATENATE("000",IFAData_TEA_1617!A766),6),3),"-",(RIGHT(RIGHT(CONCATENATE("000",IFAData_TEA_1617!A766),6),3)))</f>
        <v>070-910</v>
      </c>
      <c r="C766" s="2266" t="s">
        <v>1539</v>
      </c>
      <c r="D766" s="2266">
        <v>5</v>
      </c>
      <c r="E766" s="2266">
        <v>2171</v>
      </c>
      <c r="F766" s="2266" t="s">
        <v>5292</v>
      </c>
      <c r="G766" s="2266" t="s">
        <v>5293</v>
      </c>
      <c r="H766" s="2266">
        <v>229000</v>
      </c>
      <c r="I766" s="2266">
        <v>354971</v>
      </c>
      <c r="J766" s="2266">
        <v>0.53507354470716273</v>
      </c>
      <c r="K766" s="2266">
        <v>122531.84173794027</v>
      </c>
      <c r="L766" s="2266">
        <v>122531.84173794027</v>
      </c>
      <c r="M766" s="2266">
        <v>599</v>
      </c>
    </row>
    <row r="767" spans="1:13" ht="15">
      <c r="A767" s="2266" t="s">
        <v>4124</v>
      </c>
      <c r="B767" s="2465" t="str">
        <f>CONCATENATE(LEFT(RIGHT(CONCATENATE("000",IFAData_TEA_1617!A767),6),3),"-",(RIGHT(RIGHT(CONCATENATE("000",IFAData_TEA_1617!A767),6),3)))</f>
        <v>070-910</v>
      </c>
      <c r="C767" s="2266" t="s">
        <v>1539</v>
      </c>
      <c r="D767" s="2266">
        <v>5</v>
      </c>
      <c r="E767" s="2266">
        <v>2171</v>
      </c>
      <c r="F767" s="2266" t="s">
        <v>5292</v>
      </c>
      <c r="G767" s="2266" t="s">
        <v>7184</v>
      </c>
      <c r="H767" s="2266">
        <v>229000</v>
      </c>
      <c r="I767" s="2266">
        <v>308435</v>
      </c>
      <c r="J767" s="2266">
        <v>0.46492645529283727</v>
      </c>
      <c r="K767" s="2266">
        <v>106468.15826205973</v>
      </c>
      <c r="L767" s="2266">
        <v>106468.15826205973</v>
      </c>
      <c r="M767" s="2266">
        <v>599</v>
      </c>
    </row>
    <row r="768" spans="1:13" ht="15">
      <c r="A768" s="2266" t="s">
        <v>4125</v>
      </c>
      <c r="B768" s="2465" t="str">
        <f>CONCATENATE(LEFT(RIGHT(CONCATENATE("000",IFAData_TEA_1617!A768),6),3),"-",(RIGHT(RIGHT(CONCATENATE("000",IFAData_TEA_1617!A768),6),3)))</f>
        <v>070-911</v>
      </c>
      <c r="C768" s="2266" t="s">
        <v>92</v>
      </c>
      <c r="D768" s="2266">
        <v>9</v>
      </c>
      <c r="E768" s="2266">
        <v>2231</v>
      </c>
      <c r="F768" s="2266" t="s">
        <v>5298</v>
      </c>
      <c r="G768" s="2266" t="s">
        <v>6965</v>
      </c>
      <c r="H768" s="2266">
        <v>1269033</v>
      </c>
      <c r="I768" s="2266">
        <v>369200</v>
      </c>
      <c r="J768" s="2266">
        <v>0.24527894500822137</v>
      </c>
      <c r="K768" s="2266">
        <v>311267.07542061817</v>
      </c>
      <c r="L768" s="2266">
        <v>311267.07542061817</v>
      </c>
      <c r="M768" s="2266">
        <v>599</v>
      </c>
    </row>
    <row r="769" spans="1:13" ht="15">
      <c r="A769" s="2266" t="s">
        <v>4125</v>
      </c>
      <c r="B769" s="2465" t="str">
        <f>CONCATENATE(LEFT(RIGHT(CONCATENATE("000",IFAData_TEA_1617!A769),6),3),"-",(RIGHT(RIGHT(CONCATENATE("000",IFAData_TEA_1617!A769),6),3)))</f>
        <v>070-911</v>
      </c>
      <c r="C769" s="2266" t="s">
        <v>92</v>
      </c>
      <c r="D769" s="2266">
        <v>3</v>
      </c>
      <c r="E769" s="2266">
        <v>2230</v>
      </c>
      <c r="F769" s="2266" t="s">
        <v>5294</v>
      </c>
      <c r="G769" s="2266" t="s">
        <v>5294</v>
      </c>
      <c r="H769" s="2266">
        <v>350000</v>
      </c>
      <c r="I769" s="2266">
        <v>295000</v>
      </c>
      <c r="J769" s="2266">
        <v>1</v>
      </c>
      <c r="K769" s="2266">
        <v>350000</v>
      </c>
      <c r="L769" s="2266">
        <v>295000</v>
      </c>
      <c r="M769" s="2266">
        <v>599</v>
      </c>
    </row>
    <row r="770" spans="1:13" ht="15">
      <c r="A770" s="2266" t="s">
        <v>4125</v>
      </c>
      <c r="B770" s="2465" t="str">
        <f>CONCATENATE(LEFT(RIGHT(CONCATENATE("000",IFAData_TEA_1617!A770),6),3),"-",(RIGHT(RIGHT(CONCATENATE("000",IFAData_TEA_1617!A770),6),3)))</f>
        <v>070-911</v>
      </c>
      <c r="C770" s="2266" t="s">
        <v>92</v>
      </c>
      <c r="D770" s="2266">
        <v>9</v>
      </c>
      <c r="E770" s="2266">
        <v>2231</v>
      </c>
      <c r="F770" s="2266" t="s">
        <v>5298</v>
      </c>
      <c r="G770" s="2266" t="s">
        <v>7185</v>
      </c>
      <c r="H770" s="2266">
        <v>1269033</v>
      </c>
      <c r="I770" s="2266">
        <v>368800</v>
      </c>
      <c r="J770" s="2266">
        <v>0.24501320400604562</v>
      </c>
      <c r="K770" s="2266">
        <v>310929.84131940408</v>
      </c>
      <c r="L770" s="2266">
        <v>310929.84131940408</v>
      </c>
      <c r="M770" s="2266">
        <v>599</v>
      </c>
    </row>
    <row r="771" spans="1:13" ht="15">
      <c r="A771" s="2266" t="s">
        <v>4125</v>
      </c>
      <c r="B771" s="2465" t="str">
        <f>CONCATENATE(LEFT(RIGHT(CONCATENATE("000",IFAData_TEA_1617!A771),6),3),"-",(RIGHT(RIGHT(CONCATENATE("000",IFAData_TEA_1617!A771),6),3)))</f>
        <v>070-911</v>
      </c>
      <c r="C771" s="2266" t="s">
        <v>92</v>
      </c>
      <c r="D771" s="2266">
        <v>3</v>
      </c>
      <c r="E771" s="2266">
        <v>2230</v>
      </c>
      <c r="F771" s="2266" t="s">
        <v>5294</v>
      </c>
      <c r="G771" s="2266" t="s">
        <v>5295</v>
      </c>
      <c r="H771" s="2266">
        <v>350000</v>
      </c>
      <c r="I771" s="2266">
        <v>0</v>
      </c>
      <c r="J771" s="2266">
        <v>0</v>
      </c>
      <c r="K771" s="2266">
        <v>0</v>
      </c>
      <c r="L771" s="2266">
        <v>0</v>
      </c>
      <c r="M771" s="2266">
        <v>599</v>
      </c>
    </row>
    <row r="772" spans="1:13" ht="15">
      <c r="A772" s="2266" t="s">
        <v>4125</v>
      </c>
      <c r="B772" s="2465" t="str">
        <f>CONCATENATE(LEFT(RIGHT(CONCATENATE("000",IFAData_TEA_1617!A772),6),3),"-",(RIGHT(RIGHT(CONCATENATE("000",IFAData_TEA_1617!A772),6),3)))</f>
        <v>070-911</v>
      </c>
      <c r="C772" s="2266" t="s">
        <v>92</v>
      </c>
      <c r="D772" s="2266">
        <v>10</v>
      </c>
      <c r="E772" s="2266">
        <v>2232</v>
      </c>
      <c r="F772" s="2266" t="s">
        <v>5299</v>
      </c>
      <c r="G772" s="2266" t="s">
        <v>5299</v>
      </c>
      <c r="H772" s="2266">
        <v>1279231</v>
      </c>
      <c r="I772" s="2266">
        <v>2621694</v>
      </c>
      <c r="J772" s="2266">
        <v>1</v>
      </c>
      <c r="K772" s="2266">
        <v>1279231</v>
      </c>
      <c r="L772" s="2266">
        <v>1279231</v>
      </c>
      <c r="M772" s="2266">
        <v>599</v>
      </c>
    </row>
    <row r="773" spans="1:13" ht="15">
      <c r="A773" s="2266" t="s">
        <v>4125</v>
      </c>
      <c r="B773" s="2465" t="str">
        <f>CONCATENATE(LEFT(RIGHT(CONCATENATE("000",IFAData_TEA_1617!A773),6),3),"-",(RIGHT(RIGHT(CONCATENATE("000",IFAData_TEA_1617!A773),6),3)))</f>
        <v>070-911</v>
      </c>
      <c r="C773" s="2266" t="s">
        <v>92</v>
      </c>
      <c r="D773" s="2266">
        <v>6</v>
      </c>
      <c r="E773" s="2266">
        <v>2229</v>
      </c>
      <c r="F773" s="2266" t="s">
        <v>5296</v>
      </c>
      <c r="G773" s="2266" t="s">
        <v>5297</v>
      </c>
      <c r="H773" s="2266">
        <v>67680</v>
      </c>
      <c r="I773" s="2266">
        <v>96733</v>
      </c>
      <c r="J773" s="2266">
        <v>1</v>
      </c>
      <c r="K773" s="2266">
        <v>67680</v>
      </c>
      <c r="L773" s="2266">
        <v>67680</v>
      </c>
      <c r="M773" s="2266">
        <v>599</v>
      </c>
    </row>
    <row r="774" spans="1:13" ht="15">
      <c r="A774" s="2266" t="s">
        <v>4125</v>
      </c>
      <c r="B774" s="2465" t="str">
        <f>CONCATENATE(LEFT(RIGHT(CONCATENATE("000",IFAData_TEA_1617!A774),6),3),"-",(RIGHT(RIGHT(CONCATENATE("000",IFAData_TEA_1617!A774),6),3)))</f>
        <v>070-911</v>
      </c>
      <c r="C774" s="2266" t="s">
        <v>92</v>
      </c>
      <c r="D774" s="2266">
        <v>9</v>
      </c>
      <c r="E774" s="2266">
        <v>2231</v>
      </c>
      <c r="F774" s="2266" t="s">
        <v>5298</v>
      </c>
      <c r="G774" s="2266" t="s">
        <v>5298</v>
      </c>
      <c r="H774" s="2266">
        <v>1269033</v>
      </c>
      <c r="I774" s="2266">
        <v>388575</v>
      </c>
      <c r="J774" s="2266">
        <v>0.25815077480110948</v>
      </c>
      <c r="K774" s="2266">
        <v>327601.85219817638</v>
      </c>
      <c r="L774" s="2266">
        <v>327601.85219817638</v>
      </c>
      <c r="M774" s="2266">
        <v>599</v>
      </c>
    </row>
    <row r="775" spans="1:13" ht="15">
      <c r="A775" s="2266" t="s">
        <v>4125</v>
      </c>
      <c r="B775" s="2465" t="str">
        <f>CONCATENATE(LEFT(RIGHT(CONCATENATE("000",IFAData_TEA_1617!A775),6),3),"-",(RIGHT(RIGHT(CONCATENATE("000",IFAData_TEA_1617!A775),6),3)))</f>
        <v>070-911</v>
      </c>
      <c r="C775" s="2266" t="s">
        <v>92</v>
      </c>
      <c r="D775" s="2266">
        <v>6</v>
      </c>
      <c r="E775" s="2266">
        <v>2229</v>
      </c>
      <c r="F775" s="2266" t="s">
        <v>5296</v>
      </c>
      <c r="G775" s="2266" t="s">
        <v>5296</v>
      </c>
      <c r="H775" s="2266">
        <v>67680</v>
      </c>
      <c r="I775" s="2266">
        <v>0</v>
      </c>
      <c r="J775" s="2266">
        <v>0</v>
      </c>
      <c r="K775" s="2266">
        <v>0</v>
      </c>
      <c r="L775" s="2266">
        <v>0</v>
      </c>
      <c r="M775" s="2266">
        <v>599</v>
      </c>
    </row>
    <row r="776" spans="1:13" ht="15">
      <c r="A776" s="2266" t="s">
        <v>4125</v>
      </c>
      <c r="B776" s="2465" t="str">
        <f>CONCATENATE(LEFT(RIGHT(CONCATENATE("000",IFAData_TEA_1617!A776),6),3),"-",(RIGHT(RIGHT(CONCATENATE("000",IFAData_TEA_1617!A776),6),3)))</f>
        <v>070-911</v>
      </c>
      <c r="C776" s="2266" t="s">
        <v>92</v>
      </c>
      <c r="D776" s="2266">
        <v>9</v>
      </c>
      <c r="E776" s="2266">
        <v>2231</v>
      </c>
      <c r="F776" s="2266" t="s">
        <v>5298</v>
      </c>
      <c r="G776" s="2266" t="s">
        <v>6964</v>
      </c>
      <c r="H776" s="2266">
        <v>1269033</v>
      </c>
      <c r="I776" s="2266">
        <v>378650</v>
      </c>
      <c r="J776" s="2266">
        <v>0.25155707618462358</v>
      </c>
      <c r="K776" s="2266">
        <v>319234.23106180143</v>
      </c>
      <c r="L776" s="2266">
        <v>319234.23106180143</v>
      </c>
      <c r="M776" s="2266">
        <v>599</v>
      </c>
    </row>
    <row r="777" spans="1:13" ht="15">
      <c r="A777" s="2266" t="s">
        <v>4126</v>
      </c>
      <c r="B777" s="2465" t="str">
        <f>CONCATENATE(LEFT(RIGHT(CONCATENATE("000",IFAData_TEA_1617!A777),6),3),"-",(RIGHT(RIGHT(CONCATENATE("000",IFAData_TEA_1617!A777),6),3)))</f>
        <v>070-912</v>
      </c>
      <c r="C777" s="2266" t="s">
        <v>160</v>
      </c>
      <c r="D777" s="2266">
        <v>1</v>
      </c>
      <c r="E777" s="2266">
        <v>2438</v>
      </c>
      <c r="F777" s="2266" t="s">
        <v>5300</v>
      </c>
      <c r="G777" s="2266" t="s">
        <v>5300</v>
      </c>
      <c r="H777" s="2266">
        <v>1270445</v>
      </c>
      <c r="I777" s="2266">
        <v>0</v>
      </c>
      <c r="J777" s="2266">
        <v>0</v>
      </c>
      <c r="K777" s="2266"/>
      <c r="L777" s="2266">
        <v>0</v>
      </c>
      <c r="M777" s="2266">
        <v>599</v>
      </c>
    </row>
    <row r="778" spans="1:13" ht="15">
      <c r="A778" s="2266" t="s">
        <v>4127</v>
      </c>
      <c r="B778" s="2465" t="str">
        <f>CONCATENATE(LEFT(RIGHT(CONCATENATE("000",IFAData_TEA_1617!A778),6),3),"-",(RIGHT(RIGHT(CONCATENATE("000",IFAData_TEA_1617!A778),6),3)))</f>
        <v>070-915</v>
      </c>
      <c r="C778" s="2266" t="s">
        <v>2269</v>
      </c>
      <c r="D778" s="2266">
        <v>4</v>
      </c>
      <c r="E778" s="2266">
        <v>2078</v>
      </c>
      <c r="F778" s="2266" t="s">
        <v>5303</v>
      </c>
      <c r="G778" s="2266" t="s">
        <v>5306</v>
      </c>
      <c r="H778" s="2266">
        <v>207500</v>
      </c>
      <c r="I778" s="2266">
        <v>65278</v>
      </c>
      <c r="J778" s="2266">
        <v>0.22481127396958342</v>
      </c>
      <c r="K778" s="2266">
        <v>46648.339348688562</v>
      </c>
      <c r="L778" s="2266">
        <v>46648.339348688562</v>
      </c>
      <c r="M778" s="2266">
        <v>599</v>
      </c>
    </row>
    <row r="779" spans="1:13" ht="15">
      <c r="A779" s="2266" t="s">
        <v>4127</v>
      </c>
      <c r="B779" s="2465" t="str">
        <f>CONCATENATE(LEFT(RIGHT(CONCATENATE("000",IFAData_TEA_1617!A779),6),3),"-",(RIGHT(RIGHT(CONCATENATE("000",IFAData_TEA_1617!A779),6),3)))</f>
        <v>070-915</v>
      </c>
      <c r="C779" s="2266" t="s">
        <v>2269</v>
      </c>
      <c r="D779" s="2266">
        <v>4</v>
      </c>
      <c r="E779" s="2266">
        <v>2078</v>
      </c>
      <c r="F779" s="2266" t="s">
        <v>5303</v>
      </c>
      <c r="G779" s="2266" t="s">
        <v>6966</v>
      </c>
      <c r="H779" s="2266">
        <v>207500</v>
      </c>
      <c r="I779" s="2266">
        <v>46794</v>
      </c>
      <c r="J779" s="2266">
        <v>0.1611541216662993</v>
      </c>
      <c r="K779" s="2266">
        <v>33439.480245757106</v>
      </c>
      <c r="L779" s="2266">
        <v>33439.480245757106</v>
      </c>
      <c r="M779" s="2266">
        <v>599</v>
      </c>
    </row>
    <row r="780" spans="1:13" ht="15">
      <c r="A780" s="2266" t="s">
        <v>4127</v>
      </c>
      <c r="B780" s="2465" t="str">
        <f>CONCATENATE(LEFT(RIGHT(CONCATENATE("000",IFAData_TEA_1617!A780),6),3),"-",(RIGHT(RIGHT(CONCATENATE("000",IFAData_TEA_1617!A780),6),3)))</f>
        <v>070-915</v>
      </c>
      <c r="C780" s="2266" t="s">
        <v>2269</v>
      </c>
      <c r="D780" s="2266">
        <v>4</v>
      </c>
      <c r="E780" s="2266">
        <v>2078</v>
      </c>
      <c r="F780" s="2266" t="s">
        <v>5303</v>
      </c>
      <c r="G780" s="2266" t="s">
        <v>5305</v>
      </c>
      <c r="H780" s="2266">
        <v>207500</v>
      </c>
      <c r="I780" s="2266">
        <v>51550</v>
      </c>
      <c r="J780" s="2266">
        <v>0.17753333700683271</v>
      </c>
      <c r="K780" s="2266">
        <v>36838.16742891779</v>
      </c>
      <c r="L780" s="2266">
        <v>36838.16742891779</v>
      </c>
      <c r="M780" s="2266">
        <v>599</v>
      </c>
    </row>
    <row r="781" spans="1:13" ht="15">
      <c r="A781" s="2266" t="s">
        <v>4127</v>
      </c>
      <c r="B781" s="2465" t="str">
        <f>CONCATENATE(LEFT(RIGHT(CONCATENATE("000",IFAData_TEA_1617!A781),6),3),"-",(RIGHT(RIGHT(CONCATENATE("000",IFAData_TEA_1617!A781),6),3)))</f>
        <v>070-915</v>
      </c>
      <c r="C781" s="2266" t="s">
        <v>2269</v>
      </c>
      <c r="D781" s="2266">
        <v>4</v>
      </c>
      <c r="E781" s="2266">
        <v>2078</v>
      </c>
      <c r="F781" s="2266" t="s">
        <v>5303</v>
      </c>
      <c r="G781" s="2266" t="s">
        <v>5304</v>
      </c>
      <c r="H781" s="2266">
        <v>207500</v>
      </c>
      <c r="I781" s="2266">
        <v>126746</v>
      </c>
      <c r="J781" s="2266">
        <v>0.43650126735728456</v>
      </c>
      <c r="K781" s="2266">
        <v>90574.012976636543</v>
      </c>
      <c r="L781" s="2266">
        <v>90574.012976636543</v>
      </c>
      <c r="M781" s="2266">
        <v>599</v>
      </c>
    </row>
    <row r="782" spans="1:13" ht="15">
      <c r="A782" s="2266" t="s">
        <v>4127</v>
      </c>
      <c r="B782" s="2465" t="str">
        <f>CONCATENATE(LEFT(RIGHT(CONCATENATE("000",IFAData_TEA_1617!A782),6),3),"-",(RIGHT(RIGHT(CONCATENATE("000",IFAData_TEA_1617!A782),6),3)))</f>
        <v>070-915</v>
      </c>
      <c r="C782" s="2266" t="s">
        <v>2269</v>
      </c>
      <c r="D782" s="2266">
        <v>4</v>
      </c>
      <c r="E782" s="2266">
        <v>2078</v>
      </c>
      <c r="F782" s="2266" t="s">
        <v>5303</v>
      </c>
      <c r="G782" s="2266" t="s">
        <v>5303</v>
      </c>
      <c r="H782" s="2266">
        <v>207500</v>
      </c>
      <c r="I782" s="2266">
        <v>0</v>
      </c>
      <c r="J782" s="2266">
        <v>0</v>
      </c>
      <c r="K782" s="2266">
        <v>0</v>
      </c>
      <c r="L782" s="2266">
        <v>0</v>
      </c>
      <c r="M782" s="2266">
        <v>599</v>
      </c>
    </row>
    <row r="783" spans="1:13" ht="15">
      <c r="A783" s="2266" t="s">
        <v>4128</v>
      </c>
      <c r="B783" s="2465" t="str">
        <f>CONCATENATE(LEFT(RIGHT(CONCATENATE("000",IFAData_TEA_1617!A783),6),3),"-",(RIGHT(RIGHT(CONCATENATE("000",IFAData_TEA_1617!A783),6),3)))</f>
        <v>071-901</v>
      </c>
      <c r="C783" s="2266" t="s">
        <v>1331</v>
      </c>
      <c r="D783" s="2266">
        <v>3</v>
      </c>
      <c r="E783" s="2266">
        <v>1698</v>
      </c>
      <c r="F783" s="2266" t="s">
        <v>5308</v>
      </c>
      <c r="G783" s="2266" t="s">
        <v>5309</v>
      </c>
      <c r="H783" s="2266">
        <v>1037938</v>
      </c>
      <c r="I783" s="2266">
        <v>0</v>
      </c>
      <c r="J783" s="2266">
        <v>0</v>
      </c>
      <c r="K783" s="2266">
        <v>0</v>
      </c>
      <c r="L783" s="2266">
        <v>0</v>
      </c>
      <c r="M783" s="2266">
        <v>599</v>
      </c>
    </row>
    <row r="784" spans="1:13" ht="15">
      <c r="A784" s="2266" t="s">
        <v>4128</v>
      </c>
      <c r="B784" s="2465" t="str">
        <f>CONCATENATE(LEFT(RIGHT(CONCATENATE("000",IFAData_TEA_1617!A784),6),3),"-",(RIGHT(RIGHT(CONCATENATE("000",IFAData_TEA_1617!A784),6),3)))</f>
        <v>071-901</v>
      </c>
      <c r="C784" s="2266" t="s">
        <v>1331</v>
      </c>
      <c r="D784" s="2266">
        <v>4</v>
      </c>
      <c r="E784" s="2266">
        <v>1697</v>
      </c>
      <c r="F784" s="2266" t="s">
        <v>5312</v>
      </c>
      <c r="G784" s="2266" t="s">
        <v>5310</v>
      </c>
      <c r="H784" s="2266">
        <v>732644</v>
      </c>
      <c r="I784" s="2266">
        <v>0</v>
      </c>
      <c r="J784" s="2266">
        <v>0</v>
      </c>
      <c r="K784" s="2266">
        <v>0</v>
      </c>
      <c r="L784" s="2266">
        <v>0</v>
      </c>
      <c r="M784" s="2266">
        <v>599</v>
      </c>
    </row>
    <row r="785" spans="1:13" ht="15">
      <c r="A785" s="2266" t="s">
        <v>4128</v>
      </c>
      <c r="B785" s="2465" t="str">
        <f>CONCATENATE(LEFT(RIGHT(CONCATENATE("000",IFAData_TEA_1617!A785),6),3),"-",(RIGHT(RIGHT(CONCATENATE("000",IFAData_TEA_1617!A785),6),3)))</f>
        <v>071-901</v>
      </c>
      <c r="C785" s="2266" t="s">
        <v>1331</v>
      </c>
      <c r="D785" s="2266">
        <v>3</v>
      </c>
      <c r="E785" s="2266">
        <v>1698</v>
      </c>
      <c r="F785" s="2266" t="s">
        <v>5308</v>
      </c>
      <c r="G785" s="2266" t="s">
        <v>5310</v>
      </c>
      <c r="H785" s="2266">
        <v>1037938</v>
      </c>
      <c r="I785" s="2266">
        <v>0</v>
      </c>
      <c r="J785" s="2266">
        <v>0</v>
      </c>
      <c r="K785" s="2266">
        <v>0</v>
      </c>
      <c r="L785" s="2266">
        <v>0</v>
      </c>
      <c r="M785" s="2266">
        <v>599</v>
      </c>
    </row>
    <row r="786" spans="1:13" ht="15">
      <c r="A786" s="2266" t="s">
        <v>4128</v>
      </c>
      <c r="B786" s="2465" t="str">
        <f>CONCATENATE(LEFT(RIGHT(CONCATENATE("000",IFAData_TEA_1617!A786),6),3),"-",(RIGHT(RIGHT(CONCATENATE("000",IFAData_TEA_1617!A786),6),3)))</f>
        <v>071-901</v>
      </c>
      <c r="C786" s="2266" t="s">
        <v>1331</v>
      </c>
      <c r="D786" s="2266">
        <v>6</v>
      </c>
      <c r="E786" s="2266">
        <v>1699</v>
      </c>
      <c r="F786" s="2266" t="s">
        <v>5313</v>
      </c>
      <c r="G786" s="2266" t="s">
        <v>5310</v>
      </c>
      <c r="H786" s="2266">
        <v>1200698</v>
      </c>
      <c r="I786" s="2266">
        <v>0</v>
      </c>
      <c r="J786" s="2266">
        <v>0</v>
      </c>
      <c r="K786" s="2266">
        <v>0</v>
      </c>
      <c r="L786" s="2266">
        <v>0</v>
      </c>
      <c r="M786" s="2266">
        <v>599</v>
      </c>
    </row>
    <row r="787" spans="1:13" ht="15">
      <c r="A787" s="2266" t="s">
        <v>4128</v>
      </c>
      <c r="B787" s="2465" t="str">
        <f>CONCATENATE(LEFT(RIGHT(CONCATENATE("000",IFAData_TEA_1617!A787),6),3),"-",(RIGHT(RIGHT(CONCATENATE("000",IFAData_TEA_1617!A787),6),3)))</f>
        <v>071-901</v>
      </c>
      <c r="C787" s="2266" t="s">
        <v>1331</v>
      </c>
      <c r="D787" s="2266">
        <v>6</v>
      </c>
      <c r="E787" s="2266">
        <v>1699</v>
      </c>
      <c r="F787" s="2266" t="s">
        <v>5313</v>
      </c>
      <c r="G787" s="2266" t="s">
        <v>5314</v>
      </c>
      <c r="H787" s="2266">
        <v>1200698</v>
      </c>
      <c r="I787" s="2266">
        <v>288307</v>
      </c>
      <c r="J787" s="2266">
        <v>0.25009932597135592</v>
      </c>
      <c r="K787" s="2266">
        <v>300293.76049515512</v>
      </c>
      <c r="L787" s="2266">
        <v>288307</v>
      </c>
      <c r="M787" s="2266">
        <v>599</v>
      </c>
    </row>
    <row r="788" spans="1:13" ht="15">
      <c r="A788" s="2266" t="s">
        <v>4128</v>
      </c>
      <c r="B788" s="2465" t="str">
        <f>CONCATENATE(LEFT(RIGHT(CONCATENATE("000",IFAData_TEA_1617!A788),6),3),"-",(RIGHT(RIGHT(CONCATENATE("000",IFAData_TEA_1617!A788),6),3)))</f>
        <v>071-901</v>
      </c>
      <c r="C788" s="2266" t="s">
        <v>1331</v>
      </c>
      <c r="D788" s="2266">
        <v>8</v>
      </c>
      <c r="E788" s="2266">
        <v>1700</v>
      </c>
      <c r="F788" s="2266" t="s">
        <v>5315</v>
      </c>
      <c r="G788" s="2266" t="s">
        <v>5315</v>
      </c>
      <c r="H788" s="2266">
        <v>2334930</v>
      </c>
      <c r="I788" s="2266">
        <v>0</v>
      </c>
      <c r="J788" s="2266">
        <v>0</v>
      </c>
      <c r="K788" s="2266">
        <v>0</v>
      </c>
      <c r="L788" s="2266">
        <v>0</v>
      </c>
      <c r="M788" s="2266">
        <v>599</v>
      </c>
    </row>
    <row r="789" spans="1:13" ht="15">
      <c r="A789" s="2266" t="s">
        <v>4128</v>
      </c>
      <c r="B789" s="2465" t="str">
        <f>CONCATENATE(LEFT(RIGHT(CONCATENATE("000",IFAData_TEA_1617!A789),6),3),"-",(RIGHT(RIGHT(CONCATENATE("000",IFAData_TEA_1617!A789),6),3)))</f>
        <v>071-901</v>
      </c>
      <c r="C789" s="2266" t="s">
        <v>1331</v>
      </c>
      <c r="D789" s="2266">
        <v>2</v>
      </c>
      <c r="E789" s="2266">
        <v>1696</v>
      </c>
      <c r="F789" s="2266" t="s">
        <v>5307</v>
      </c>
      <c r="G789" s="2266" t="s">
        <v>5307</v>
      </c>
      <c r="H789" s="2266">
        <v>530747</v>
      </c>
      <c r="I789" s="2266">
        <v>0</v>
      </c>
      <c r="J789" s="2266">
        <v>0</v>
      </c>
      <c r="K789" s="2266"/>
      <c r="L789" s="2266">
        <v>0</v>
      </c>
      <c r="M789" s="2266">
        <v>199</v>
      </c>
    </row>
    <row r="790" spans="1:13" ht="15">
      <c r="A790" s="2266" t="s">
        <v>4128</v>
      </c>
      <c r="B790" s="2465" t="str">
        <f>CONCATENATE(LEFT(RIGHT(CONCATENATE("000",IFAData_TEA_1617!A790),6),3),"-",(RIGHT(RIGHT(CONCATENATE("000",IFAData_TEA_1617!A790),6),3)))</f>
        <v>071-901</v>
      </c>
      <c r="C790" s="2266" t="s">
        <v>1331</v>
      </c>
      <c r="D790" s="2266">
        <v>8</v>
      </c>
      <c r="E790" s="2266">
        <v>1700</v>
      </c>
      <c r="F790" s="2266" t="s">
        <v>5315</v>
      </c>
      <c r="G790" s="2266" t="s">
        <v>5316</v>
      </c>
      <c r="H790" s="2266">
        <v>2334930</v>
      </c>
      <c r="I790" s="2266">
        <v>2190250</v>
      </c>
      <c r="J790" s="2266">
        <v>1</v>
      </c>
      <c r="K790" s="2266">
        <v>2334930</v>
      </c>
      <c r="L790" s="2266">
        <v>2190250</v>
      </c>
      <c r="M790" s="2266">
        <v>599</v>
      </c>
    </row>
    <row r="791" spans="1:13" ht="15">
      <c r="A791" s="2266" t="s">
        <v>4128</v>
      </c>
      <c r="B791" s="2465" t="str">
        <f>CONCATENATE(LEFT(RIGHT(CONCATENATE("000",IFAData_TEA_1617!A791),6),3),"-",(RIGHT(RIGHT(CONCATENATE("000",IFAData_TEA_1617!A791),6),3)))</f>
        <v>071-901</v>
      </c>
      <c r="C791" s="2266" t="s">
        <v>1331</v>
      </c>
      <c r="D791" s="2266">
        <v>4</v>
      </c>
      <c r="E791" s="2266">
        <v>1697</v>
      </c>
      <c r="F791" s="2266" t="s">
        <v>5312</v>
      </c>
      <c r="G791" s="2266" t="s">
        <v>5312</v>
      </c>
      <c r="H791" s="2266">
        <v>732644</v>
      </c>
      <c r="I791" s="2266">
        <v>0</v>
      </c>
      <c r="J791" s="2266">
        <v>0</v>
      </c>
      <c r="K791" s="2266">
        <v>0</v>
      </c>
      <c r="L791" s="2266">
        <v>0</v>
      </c>
      <c r="M791" s="2266">
        <v>199</v>
      </c>
    </row>
    <row r="792" spans="1:13" ht="15">
      <c r="A792" s="2266" t="s">
        <v>4128</v>
      </c>
      <c r="B792" s="2465" t="str">
        <f>CONCATENATE(LEFT(RIGHT(CONCATENATE("000",IFAData_TEA_1617!A792),6),3),"-",(RIGHT(RIGHT(CONCATENATE("000",IFAData_TEA_1617!A792),6),3)))</f>
        <v>071-901</v>
      </c>
      <c r="C792" s="2266" t="s">
        <v>1331</v>
      </c>
      <c r="D792" s="2266">
        <v>3</v>
      </c>
      <c r="E792" s="2266">
        <v>1698</v>
      </c>
      <c r="F792" s="2266" t="s">
        <v>5308</v>
      </c>
      <c r="G792" s="2266" t="s">
        <v>5311</v>
      </c>
      <c r="H792" s="2266">
        <v>1037938</v>
      </c>
      <c r="I792" s="2266">
        <v>753919</v>
      </c>
      <c r="J792" s="2266">
        <v>0.88848440565909881</v>
      </c>
      <c r="K792" s="2266">
        <v>922191.72704099375</v>
      </c>
      <c r="L792" s="2266">
        <v>753919</v>
      </c>
      <c r="M792" s="2266">
        <v>599</v>
      </c>
    </row>
    <row r="793" spans="1:13" ht="15">
      <c r="A793" s="2266" t="s">
        <v>4128</v>
      </c>
      <c r="B793" s="2465" t="str">
        <f>CONCATENATE(LEFT(RIGHT(CONCATENATE("000",IFAData_TEA_1617!A793),6),3),"-",(RIGHT(RIGHT(CONCATENATE("000",IFAData_TEA_1617!A793),6),3)))</f>
        <v>071-901</v>
      </c>
      <c r="C793" s="2266" t="s">
        <v>1331</v>
      </c>
      <c r="D793" s="2266">
        <v>9</v>
      </c>
      <c r="E793" s="2266">
        <v>1701</v>
      </c>
      <c r="F793" s="2266" t="s">
        <v>5317</v>
      </c>
      <c r="G793" s="2266" t="s">
        <v>7186</v>
      </c>
      <c r="H793" s="2266">
        <v>2567970</v>
      </c>
      <c r="I793" s="2266">
        <v>977400</v>
      </c>
      <c r="J793" s="2266">
        <v>0.51019848882276941</v>
      </c>
      <c r="K793" s="2266">
        <v>1310174.4133422072</v>
      </c>
      <c r="L793" s="2266">
        <v>977400</v>
      </c>
      <c r="M793" s="2266">
        <v>599</v>
      </c>
    </row>
    <row r="794" spans="1:13" ht="15">
      <c r="A794" s="2266" t="s">
        <v>4128</v>
      </c>
      <c r="B794" s="2465" t="str">
        <f>CONCATENATE(LEFT(RIGHT(CONCATENATE("000",IFAData_TEA_1617!A794),6),3),"-",(RIGHT(RIGHT(CONCATENATE("000",IFAData_TEA_1617!A794),6),3)))</f>
        <v>071-901</v>
      </c>
      <c r="C794" s="2266" t="s">
        <v>1331</v>
      </c>
      <c r="D794" s="2266">
        <v>3</v>
      </c>
      <c r="E794" s="2266">
        <v>1698</v>
      </c>
      <c r="F794" s="2266" t="s">
        <v>5308</v>
      </c>
      <c r="G794" s="2266" t="s">
        <v>7187</v>
      </c>
      <c r="H794" s="2266">
        <v>1037938</v>
      </c>
      <c r="I794" s="2266">
        <v>94626</v>
      </c>
      <c r="J794" s="2266">
        <v>0.11151559434090119</v>
      </c>
      <c r="K794" s="2266">
        <v>115746.2729590063</v>
      </c>
      <c r="L794" s="2266">
        <v>94626</v>
      </c>
      <c r="M794" s="2266">
        <v>599</v>
      </c>
    </row>
    <row r="795" spans="1:13" ht="15">
      <c r="A795" s="2266" t="s">
        <v>4128</v>
      </c>
      <c r="B795" s="2465" t="str">
        <f>CONCATENATE(LEFT(RIGHT(CONCATENATE("000",IFAData_TEA_1617!A795),6),3),"-",(RIGHT(RIGHT(CONCATENATE("000",IFAData_TEA_1617!A795),6),3)))</f>
        <v>071-901</v>
      </c>
      <c r="C795" s="2266" t="s">
        <v>1331</v>
      </c>
      <c r="D795" s="2266">
        <v>3</v>
      </c>
      <c r="E795" s="2266">
        <v>1698</v>
      </c>
      <c r="F795" s="2266" t="s">
        <v>5308</v>
      </c>
      <c r="G795" s="2266" t="s">
        <v>5308</v>
      </c>
      <c r="H795" s="2266">
        <v>1037938</v>
      </c>
      <c r="I795" s="2266">
        <v>0</v>
      </c>
      <c r="J795" s="2266">
        <v>0</v>
      </c>
      <c r="K795" s="2266">
        <v>0</v>
      </c>
      <c r="L795" s="2266">
        <v>0</v>
      </c>
      <c r="M795" s="2266">
        <v>199</v>
      </c>
    </row>
    <row r="796" spans="1:13" ht="15">
      <c r="A796" s="2266" t="s">
        <v>4128</v>
      </c>
      <c r="B796" s="2465" t="str">
        <f>CONCATENATE(LEFT(RIGHT(CONCATENATE("000",IFAData_TEA_1617!A796),6),3),"-",(RIGHT(RIGHT(CONCATENATE("000",IFAData_TEA_1617!A796),6),3)))</f>
        <v>071-901</v>
      </c>
      <c r="C796" s="2266" t="s">
        <v>1331</v>
      </c>
      <c r="D796" s="2266">
        <v>6</v>
      </c>
      <c r="E796" s="2266">
        <v>1699</v>
      </c>
      <c r="F796" s="2266" t="s">
        <v>5313</v>
      </c>
      <c r="G796" s="2266" t="s">
        <v>5313</v>
      </c>
      <c r="H796" s="2266">
        <v>1200698</v>
      </c>
      <c r="I796" s="2266">
        <v>0</v>
      </c>
      <c r="J796" s="2266">
        <v>0</v>
      </c>
      <c r="K796" s="2266">
        <v>0</v>
      </c>
      <c r="L796" s="2266">
        <v>0</v>
      </c>
      <c r="M796" s="2266">
        <v>599</v>
      </c>
    </row>
    <row r="797" spans="1:13" ht="15">
      <c r="A797" s="2266" t="s">
        <v>4128</v>
      </c>
      <c r="B797" s="2465" t="str">
        <f>CONCATENATE(LEFT(RIGHT(CONCATENATE("000",IFAData_TEA_1617!A797),6),3),"-",(RIGHT(RIGHT(CONCATENATE("000",IFAData_TEA_1617!A797),6),3)))</f>
        <v>071-901</v>
      </c>
      <c r="C797" s="2266" t="s">
        <v>1331</v>
      </c>
      <c r="D797" s="2266">
        <v>9</v>
      </c>
      <c r="E797" s="2266">
        <v>1701</v>
      </c>
      <c r="F797" s="2266" t="s">
        <v>5317</v>
      </c>
      <c r="G797" s="2266" t="s">
        <v>5317</v>
      </c>
      <c r="H797" s="2266">
        <v>2567970</v>
      </c>
      <c r="I797" s="2266">
        <v>938325</v>
      </c>
      <c r="J797" s="2266">
        <v>0.48980151117723053</v>
      </c>
      <c r="K797" s="2266">
        <v>1257795.5866577928</v>
      </c>
      <c r="L797" s="2266">
        <v>938325</v>
      </c>
      <c r="M797" s="2266">
        <v>599</v>
      </c>
    </row>
    <row r="798" spans="1:13" ht="15">
      <c r="A798" s="2266" t="s">
        <v>4128</v>
      </c>
      <c r="B798" s="2465" t="str">
        <f>CONCATENATE(LEFT(RIGHT(CONCATENATE("000",IFAData_TEA_1617!A798),6),3),"-",(RIGHT(RIGHT(CONCATENATE("000",IFAData_TEA_1617!A798),6),3)))</f>
        <v>071-901</v>
      </c>
      <c r="C798" s="2266" t="s">
        <v>1331</v>
      </c>
      <c r="D798" s="2266">
        <v>4</v>
      </c>
      <c r="E798" s="2266">
        <v>1697</v>
      </c>
      <c r="F798" s="2266" t="s">
        <v>5312</v>
      </c>
      <c r="G798" s="2266" t="s">
        <v>7187</v>
      </c>
      <c r="H798" s="2266">
        <v>732644</v>
      </c>
      <c r="I798" s="2266">
        <v>66624</v>
      </c>
      <c r="J798" s="2266">
        <v>0.13730961851569423</v>
      </c>
      <c r="K798" s="2266">
        <v>100599.06814781229</v>
      </c>
      <c r="L798" s="2266">
        <v>66624</v>
      </c>
      <c r="M798" s="2266">
        <v>599</v>
      </c>
    </row>
    <row r="799" spans="1:13" ht="15">
      <c r="A799" s="2266" t="s">
        <v>4128</v>
      </c>
      <c r="B799" s="2465" t="str">
        <f>CONCATENATE(LEFT(RIGHT(CONCATENATE("000",IFAData_TEA_1617!A799),6),3),"-",(RIGHT(RIGHT(CONCATENATE("000",IFAData_TEA_1617!A799),6),3)))</f>
        <v>071-901</v>
      </c>
      <c r="C799" s="2266" t="s">
        <v>1331</v>
      </c>
      <c r="D799" s="2266">
        <v>6</v>
      </c>
      <c r="E799" s="2266">
        <v>1699</v>
      </c>
      <c r="F799" s="2266" t="s">
        <v>5313</v>
      </c>
      <c r="G799" s="2266" t="s">
        <v>7187</v>
      </c>
      <c r="H799" s="2266">
        <v>1200698</v>
      </c>
      <c r="I799" s="2266">
        <v>864463</v>
      </c>
      <c r="J799" s="2266">
        <v>0.74990067402864402</v>
      </c>
      <c r="K799" s="2266">
        <v>900404.23950484477</v>
      </c>
      <c r="L799" s="2266">
        <v>864463</v>
      </c>
      <c r="M799" s="2266">
        <v>599</v>
      </c>
    </row>
    <row r="800" spans="1:13" ht="15">
      <c r="A800" s="2266" t="s">
        <v>4128</v>
      </c>
      <c r="B800" s="2465" t="str">
        <f>CONCATENATE(LEFT(RIGHT(CONCATENATE("000",IFAData_TEA_1617!A800),6),3),"-",(RIGHT(RIGHT(CONCATENATE("000",IFAData_TEA_1617!A800),6),3)))</f>
        <v>071-901</v>
      </c>
      <c r="C800" s="2266" t="s">
        <v>1331</v>
      </c>
      <c r="D800" s="2266">
        <v>4</v>
      </c>
      <c r="E800" s="2266">
        <v>1697</v>
      </c>
      <c r="F800" s="2266" t="s">
        <v>5312</v>
      </c>
      <c r="G800" s="2266" t="s">
        <v>5311</v>
      </c>
      <c r="H800" s="2266">
        <v>732644</v>
      </c>
      <c r="I800" s="2266">
        <v>418586</v>
      </c>
      <c r="J800" s="2266">
        <v>0.86269038148430577</v>
      </c>
      <c r="K800" s="2266">
        <v>632044.93185218773</v>
      </c>
      <c r="L800" s="2266">
        <v>418586</v>
      </c>
      <c r="M800" s="2266">
        <v>599</v>
      </c>
    </row>
    <row r="801" spans="1:13" ht="15">
      <c r="A801" s="2266" t="s">
        <v>4128</v>
      </c>
      <c r="B801" s="2465" t="str">
        <f>CONCATENATE(LEFT(RIGHT(CONCATENATE("000",IFAData_TEA_1617!A801),6),3),"-",(RIGHT(RIGHT(CONCATENATE("000",IFAData_TEA_1617!A801),6),3)))</f>
        <v>071-901</v>
      </c>
      <c r="C801" s="2266" t="s">
        <v>1331</v>
      </c>
      <c r="D801" s="2266">
        <v>4</v>
      </c>
      <c r="E801" s="2266">
        <v>1697</v>
      </c>
      <c r="F801" s="2266" t="s">
        <v>5312</v>
      </c>
      <c r="G801" s="2266" t="s">
        <v>5309</v>
      </c>
      <c r="H801" s="2266">
        <v>732644</v>
      </c>
      <c r="I801" s="2266">
        <v>0</v>
      </c>
      <c r="J801" s="2266">
        <v>0</v>
      </c>
      <c r="K801" s="2266">
        <v>0</v>
      </c>
      <c r="L801" s="2266">
        <v>0</v>
      </c>
      <c r="M801" s="2266">
        <v>599</v>
      </c>
    </row>
    <row r="802" spans="1:13" ht="15">
      <c r="A802" s="2266" t="s">
        <v>4129</v>
      </c>
      <c r="B802" s="2465" t="str">
        <f>CONCATENATE(LEFT(RIGHT(CONCATENATE("000",IFAData_TEA_1617!A802),6),3),"-",(RIGHT(RIGHT(CONCATENATE("000",IFAData_TEA_1617!A802),6),3)))</f>
        <v>071-902</v>
      </c>
      <c r="C802" s="2266" t="s">
        <v>2250</v>
      </c>
      <c r="D802" s="2266">
        <v>9</v>
      </c>
      <c r="E802" s="2266">
        <v>1798</v>
      </c>
      <c r="F802" s="2266" t="s">
        <v>5318</v>
      </c>
      <c r="G802" s="2266" t="s">
        <v>6967</v>
      </c>
      <c r="H802" s="2266">
        <v>9773773</v>
      </c>
      <c r="I802" s="2266">
        <v>4888225</v>
      </c>
      <c r="J802" s="2266">
        <v>0.82007222275813763</v>
      </c>
      <c r="K802" s="2266">
        <v>8015199.7488434715</v>
      </c>
      <c r="L802" s="2266">
        <v>4888225</v>
      </c>
      <c r="M802" s="2266">
        <v>599</v>
      </c>
    </row>
    <row r="803" spans="1:13" ht="15">
      <c r="A803" s="2266" t="s">
        <v>4129</v>
      </c>
      <c r="B803" s="2465" t="str">
        <f>CONCATENATE(LEFT(RIGHT(CONCATENATE("000",IFAData_TEA_1617!A803),6),3),"-",(RIGHT(RIGHT(CONCATENATE("000",IFAData_TEA_1617!A803),6),3)))</f>
        <v>071-902</v>
      </c>
      <c r="C803" s="2266" t="s">
        <v>2250</v>
      </c>
      <c r="D803" s="2266">
        <v>9</v>
      </c>
      <c r="E803" s="2266">
        <v>1798</v>
      </c>
      <c r="F803" s="2266" t="s">
        <v>5318</v>
      </c>
      <c r="G803" s="2266" t="s">
        <v>5318</v>
      </c>
      <c r="H803" s="2266">
        <v>9773773</v>
      </c>
      <c r="I803" s="2266">
        <v>1072500</v>
      </c>
      <c r="J803" s="2266">
        <v>0.17992777724186235</v>
      </c>
      <c r="K803" s="2266">
        <v>1758573.2511565287</v>
      </c>
      <c r="L803" s="2266">
        <v>1072500</v>
      </c>
      <c r="M803" s="2266">
        <v>599</v>
      </c>
    </row>
    <row r="804" spans="1:13" ht="15">
      <c r="A804" s="2266" t="s">
        <v>4130</v>
      </c>
      <c r="B804" s="2465" t="str">
        <f>CONCATENATE(LEFT(RIGHT(CONCATENATE("000",IFAData_TEA_1617!A804),6),3),"-",(RIGHT(RIGHT(CONCATENATE("000",IFAData_TEA_1617!A804),6),3)))</f>
        <v>071-903</v>
      </c>
      <c r="C804" s="2266" t="s">
        <v>1004</v>
      </c>
      <c r="D804" s="2266">
        <v>8</v>
      </c>
      <c r="E804" s="2266">
        <v>1806</v>
      </c>
      <c r="F804" s="2266" t="s">
        <v>5321</v>
      </c>
      <c r="G804" s="2266" t="s">
        <v>5321</v>
      </c>
      <c r="H804" s="2266">
        <v>601866</v>
      </c>
      <c r="I804" s="2266">
        <v>10800</v>
      </c>
      <c r="J804" s="2266">
        <v>3.5121951219512199E-2</v>
      </c>
      <c r="K804" s="2266">
        <v>21138.708292682928</v>
      </c>
      <c r="L804" s="2266">
        <v>10800</v>
      </c>
      <c r="M804" s="2266">
        <v>599</v>
      </c>
    </row>
    <row r="805" spans="1:13" ht="15">
      <c r="A805" s="2266" t="s">
        <v>4130</v>
      </c>
      <c r="B805" s="2465" t="str">
        <f>CONCATENATE(LEFT(RIGHT(CONCATENATE("000",IFAData_TEA_1617!A805),6),3),"-",(RIGHT(RIGHT(CONCATENATE("000",IFAData_TEA_1617!A805),6),3)))</f>
        <v>071-903</v>
      </c>
      <c r="C805" s="2266" t="s">
        <v>1004</v>
      </c>
      <c r="D805" s="2266">
        <v>2</v>
      </c>
      <c r="E805" s="2266">
        <v>1807</v>
      </c>
      <c r="F805" s="2266" t="s">
        <v>5319</v>
      </c>
      <c r="G805" s="2266" t="s">
        <v>5320</v>
      </c>
      <c r="H805" s="2266">
        <v>665953</v>
      </c>
      <c r="I805" s="2266">
        <v>0</v>
      </c>
      <c r="J805" s="2266">
        <v>0</v>
      </c>
      <c r="K805" s="2266">
        <v>0</v>
      </c>
      <c r="L805" s="2266">
        <v>0</v>
      </c>
      <c r="M805" s="2266">
        <v>599</v>
      </c>
    </row>
    <row r="806" spans="1:13" ht="15">
      <c r="A806" s="2266" t="s">
        <v>4130</v>
      </c>
      <c r="B806" s="2465" t="str">
        <f>CONCATENATE(LEFT(RIGHT(CONCATENATE("000",IFAData_TEA_1617!A806),6),3),"-",(RIGHT(RIGHT(CONCATENATE("000",IFAData_TEA_1617!A806),6),3)))</f>
        <v>071-903</v>
      </c>
      <c r="C806" s="2266" t="s">
        <v>1004</v>
      </c>
      <c r="D806" s="2266">
        <v>8</v>
      </c>
      <c r="E806" s="2266">
        <v>1806</v>
      </c>
      <c r="F806" s="2266" t="s">
        <v>5321</v>
      </c>
      <c r="G806" s="2266" t="s">
        <v>6968</v>
      </c>
      <c r="H806" s="2266">
        <v>601866</v>
      </c>
      <c r="I806" s="2266">
        <v>296700</v>
      </c>
      <c r="J806" s="2266">
        <v>0.96487804878048777</v>
      </c>
      <c r="K806" s="2266">
        <v>580727.29170731711</v>
      </c>
      <c r="L806" s="2266">
        <v>296700</v>
      </c>
      <c r="M806" s="2266">
        <v>599</v>
      </c>
    </row>
    <row r="807" spans="1:13" ht="15">
      <c r="A807" s="2266" t="s">
        <v>4130</v>
      </c>
      <c r="B807" s="2465" t="str">
        <f>CONCATENATE(LEFT(RIGHT(CONCATENATE("000",IFAData_TEA_1617!A807),6),3),"-",(RIGHT(RIGHT(CONCATENATE("000",IFAData_TEA_1617!A807),6),3)))</f>
        <v>071-903</v>
      </c>
      <c r="C807" s="2266" t="s">
        <v>1004</v>
      </c>
      <c r="D807" s="2266">
        <v>2</v>
      </c>
      <c r="E807" s="2266">
        <v>1807</v>
      </c>
      <c r="F807" s="2266" t="s">
        <v>5319</v>
      </c>
      <c r="G807" s="2266" t="s">
        <v>5319</v>
      </c>
      <c r="H807" s="2266">
        <v>665953</v>
      </c>
      <c r="I807" s="2266">
        <v>0</v>
      </c>
      <c r="J807" s="2266">
        <v>0</v>
      </c>
      <c r="K807" s="2266">
        <v>0</v>
      </c>
      <c r="L807" s="2266">
        <v>0</v>
      </c>
      <c r="M807" s="2266">
        <v>599</v>
      </c>
    </row>
    <row r="808" spans="1:13" ht="15">
      <c r="A808" s="2266" t="s">
        <v>4130</v>
      </c>
      <c r="B808" s="2465" t="str">
        <f>CONCATENATE(LEFT(RIGHT(CONCATENATE("000",IFAData_TEA_1617!A808),6),3),"-",(RIGHT(RIGHT(CONCATENATE("000",IFAData_TEA_1617!A808),6),3)))</f>
        <v>071-903</v>
      </c>
      <c r="C808" s="2266" t="s">
        <v>1004</v>
      </c>
      <c r="D808" s="2266">
        <v>2</v>
      </c>
      <c r="E808" s="2266">
        <v>1807</v>
      </c>
      <c r="F808" s="2266" t="s">
        <v>5319</v>
      </c>
      <c r="G808" s="2266" t="s">
        <v>7189</v>
      </c>
      <c r="H808" s="2266">
        <v>665953</v>
      </c>
      <c r="I808" s="2266">
        <v>534600</v>
      </c>
      <c r="J808" s="2266">
        <v>1</v>
      </c>
      <c r="K808" s="2266">
        <v>665953</v>
      </c>
      <c r="L808" s="2266">
        <v>534600</v>
      </c>
      <c r="M808" s="2266">
        <v>599</v>
      </c>
    </row>
    <row r="809" spans="1:13" ht="15">
      <c r="A809" s="2266" t="s">
        <v>4130</v>
      </c>
      <c r="B809" s="2465" t="str">
        <f>CONCATENATE(LEFT(RIGHT(CONCATENATE("000",IFAData_TEA_1617!A809),6),3),"-",(RIGHT(RIGHT(CONCATENATE("000",IFAData_TEA_1617!A809),6),3)))</f>
        <v>071-903</v>
      </c>
      <c r="C809" s="2266" t="s">
        <v>1004</v>
      </c>
      <c r="D809" s="2266">
        <v>9</v>
      </c>
      <c r="E809" s="2266">
        <v>1805</v>
      </c>
      <c r="F809" s="2266" t="s">
        <v>5322</v>
      </c>
      <c r="G809" s="2266" t="s">
        <v>7188</v>
      </c>
      <c r="H809" s="2266">
        <v>586545</v>
      </c>
      <c r="I809" s="2266">
        <v>307099</v>
      </c>
      <c r="J809" s="2266">
        <v>0.55464969901441441</v>
      </c>
      <c r="K809" s="2266">
        <v>325327.00770840968</v>
      </c>
      <c r="L809" s="2266">
        <v>307099</v>
      </c>
      <c r="M809" s="2266">
        <v>599</v>
      </c>
    </row>
    <row r="810" spans="1:13" ht="15">
      <c r="A810" s="2266" t="s">
        <v>4130</v>
      </c>
      <c r="B810" s="2465" t="str">
        <f>CONCATENATE(LEFT(RIGHT(CONCATENATE("000",IFAData_TEA_1617!A810),6),3),"-",(RIGHT(RIGHT(CONCATENATE("000",IFAData_TEA_1617!A810),6),3)))</f>
        <v>071-903</v>
      </c>
      <c r="C810" s="2266" t="s">
        <v>1004</v>
      </c>
      <c r="D810" s="2266">
        <v>9</v>
      </c>
      <c r="E810" s="2266">
        <v>1805</v>
      </c>
      <c r="F810" s="2266" t="s">
        <v>5322</v>
      </c>
      <c r="G810" s="2266" t="s">
        <v>5322</v>
      </c>
      <c r="H810" s="2266">
        <v>586545</v>
      </c>
      <c r="I810" s="2266">
        <v>246582</v>
      </c>
      <c r="J810" s="2266">
        <v>0.44535030098558559</v>
      </c>
      <c r="K810" s="2266">
        <v>261217.99229159029</v>
      </c>
      <c r="L810" s="2266">
        <v>246582</v>
      </c>
      <c r="M810" s="2266">
        <v>599</v>
      </c>
    </row>
    <row r="811" spans="1:13" ht="15">
      <c r="A811" s="2266" t="s">
        <v>5323</v>
      </c>
      <c r="B811" s="2465" t="str">
        <f>CONCATENATE(LEFT(RIGHT(CONCATENATE("000",IFAData_TEA_1617!A811),6),3),"-",(RIGHT(RIGHT(CONCATENATE("000",IFAData_TEA_1617!A811),6),3)))</f>
        <v>071-904</v>
      </c>
      <c r="C811" s="2266" t="s">
        <v>2311</v>
      </c>
      <c r="D811" s="2266">
        <v>2</v>
      </c>
      <c r="E811" s="2266">
        <v>2293</v>
      </c>
      <c r="F811" s="2266" t="s">
        <v>5324</v>
      </c>
      <c r="G811" s="2266" t="s">
        <v>5324</v>
      </c>
      <c r="H811" s="2266">
        <v>204473</v>
      </c>
      <c r="I811" s="2266">
        <v>0</v>
      </c>
      <c r="J811" s="2266">
        <v>0</v>
      </c>
      <c r="K811" s="2266"/>
      <c r="L811" s="2266">
        <v>0</v>
      </c>
      <c r="M811" s="2266">
        <v>199</v>
      </c>
    </row>
    <row r="812" spans="1:13" ht="15">
      <c r="A812" s="2266" t="s">
        <v>5323</v>
      </c>
      <c r="B812" s="2465" t="str">
        <f>CONCATENATE(LEFT(RIGHT(CONCATENATE("000",IFAData_TEA_1617!A812),6),3),"-",(RIGHT(RIGHT(CONCATENATE("000",IFAData_TEA_1617!A812),6),3)))</f>
        <v>071-904</v>
      </c>
      <c r="C812" s="2266" t="s">
        <v>2311</v>
      </c>
      <c r="D812" s="2266">
        <v>7</v>
      </c>
      <c r="E812" s="2266">
        <v>2292</v>
      </c>
      <c r="F812" s="2266" t="s">
        <v>5327</v>
      </c>
      <c r="G812" s="2266" t="s">
        <v>5327</v>
      </c>
      <c r="H812" s="2266">
        <v>177544</v>
      </c>
      <c r="I812" s="2266">
        <v>162175</v>
      </c>
      <c r="J812" s="2266">
        <v>1</v>
      </c>
      <c r="K812" s="2266">
        <v>177544</v>
      </c>
      <c r="L812" s="2266">
        <v>162175</v>
      </c>
      <c r="M812" s="2266">
        <v>199</v>
      </c>
    </row>
    <row r="813" spans="1:13" ht="15">
      <c r="A813" s="2266" t="s">
        <v>5323</v>
      </c>
      <c r="B813" s="2465" t="str">
        <f>CONCATENATE(LEFT(RIGHT(CONCATENATE("000",IFAData_TEA_1617!A813),6),3),"-",(RIGHT(RIGHT(CONCATENATE("000",IFAData_TEA_1617!A813),6),3)))</f>
        <v>071-904</v>
      </c>
      <c r="C813" s="2266" t="s">
        <v>2311</v>
      </c>
      <c r="D813" s="2266">
        <v>8</v>
      </c>
      <c r="E813" s="2266">
        <v>2295</v>
      </c>
      <c r="F813" s="2266" t="s">
        <v>5328</v>
      </c>
      <c r="G813" s="2266" t="s">
        <v>5328</v>
      </c>
      <c r="H813" s="2266">
        <v>837604</v>
      </c>
      <c r="I813" s="2266">
        <v>836182</v>
      </c>
      <c r="J813" s="2266">
        <v>1</v>
      </c>
      <c r="K813" s="2266">
        <v>837604</v>
      </c>
      <c r="L813" s="2266">
        <v>836182</v>
      </c>
      <c r="M813" s="2266">
        <v>199</v>
      </c>
    </row>
    <row r="814" spans="1:13" ht="15">
      <c r="A814" s="2266" t="s">
        <v>5323</v>
      </c>
      <c r="B814" s="2465" t="str">
        <f>CONCATENATE(LEFT(RIGHT(CONCATENATE("000",IFAData_TEA_1617!A814),6),3),"-",(RIGHT(RIGHT(CONCATENATE("000",IFAData_TEA_1617!A814),6),3)))</f>
        <v>071-904</v>
      </c>
      <c r="C814" s="2266" t="s">
        <v>2311</v>
      </c>
      <c r="D814" s="2266">
        <v>3</v>
      </c>
      <c r="E814" s="2266">
        <v>2294</v>
      </c>
      <c r="F814" s="2266" t="s">
        <v>5325</v>
      </c>
      <c r="G814" s="2266" t="s">
        <v>5325</v>
      </c>
      <c r="H814" s="2266">
        <v>828370</v>
      </c>
      <c r="I814" s="2266">
        <v>0</v>
      </c>
      <c r="J814" s="2266">
        <v>0</v>
      </c>
      <c r="K814" s="2266"/>
      <c r="L814" s="2266">
        <v>0</v>
      </c>
      <c r="M814" s="2266">
        <v>199</v>
      </c>
    </row>
    <row r="815" spans="1:13" ht="15">
      <c r="A815" s="2266" t="s">
        <v>5329</v>
      </c>
      <c r="B815" s="2465" t="str">
        <f>CONCATENATE(LEFT(RIGHT(CONCATENATE("000",IFAData_TEA_1617!A815),6),3),"-",(RIGHT(RIGHT(CONCATENATE("000",IFAData_TEA_1617!A815),6),3)))</f>
        <v>071-905</v>
      </c>
      <c r="C815" s="2266" t="s">
        <v>861</v>
      </c>
      <c r="D815" s="2266">
        <v>3</v>
      </c>
      <c r="E815" s="2266">
        <v>2469</v>
      </c>
      <c r="F815" s="2266" t="s">
        <v>5330</v>
      </c>
      <c r="G815" s="2266" t="s">
        <v>5330</v>
      </c>
      <c r="H815" s="2266">
        <v>5086781</v>
      </c>
      <c r="I815" s="2266">
        <v>0</v>
      </c>
      <c r="J815" s="2266">
        <v>0</v>
      </c>
      <c r="K815" s="2266">
        <v>0</v>
      </c>
      <c r="L815" s="2266">
        <v>0</v>
      </c>
      <c r="M815" s="2266">
        <v>199</v>
      </c>
    </row>
    <row r="816" spans="1:13" ht="15">
      <c r="A816" s="2266" t="s">
        <v>5329</v>
      </c>
      <c r="B816" s="2465" t="str">
        <f>CONCATENATE(LEFT(RIGHT(CONCATENATE("000",IFAData_TEA_1617!A816),6),3),"-",(RIGHT(RIGHT(CONCATENATE("000",IFAData_TEA_1617!A816),6),3)))</f>
        <v>071-905</v>
      </c>
      <c r="C816" s="2266" t="s">
        <v>861</v>
      </c>
      <c r="D816" s="2266">
        <v>3</v>
      </c>
      <c r="E816" s="2266">
        <v>2469</v>
      </c>
      <c r="F816" s="2266" t="s">
        <v>5330</v>
      </c>
      <c r="G816" s="2266" t="s">
        <v>5331</v>
      </c>
      <c r="H816" s="2266">
        <v>5086781</v>
      </c>
      <c r="I816" s="2266">
        <v>3540100</v>
      </c>
      <c r="J816" s="2266">
        <v>1</v>
      </c>
      <c r="K816" s="2266">
        <v>5086781</v>
      </c>
      <c r="L816" s="2266">
        <v>3540100</v>
      </c>
      <c r="M816" s="2266">
        <v>199</v>
      </c>
    </row>
    <row r="817" spans="1:13" ht="15">
      <c r="A817" s="2266" t="s">
        <v>4131</v>
      </c>
      <c r="B817" s="2465" t="str">
        <f>CONCATENATE(LEFT(RIGHT(CONCATENATE("000",IFAData_TEA_1617!A817),6),3),"-",(RIGHT(RIGHT(CONCATENATE("000",IFAData_TEA_1617!A817),6),3)))</f>
        <v>071-906</v>
      </c>
      <c r="C817" s="2266" t="s">
        <v>153</v>
      </c>
      <c r="D817" s="2266">
        <v>2</v>
      </c>
      <c r="E817" s="2266">
        <v>1580</v>
      </c>
      <c r="F817" s="2266" t="s">
        <v>5332</v>
      </c>
      <c r="G817" s="2266" t="s">
        <v>5333</v>
      </c>
      <c r="H817" s="2266">
        <v>199299</v>
      </c>
      <c r="I817" s="2266">
        <v>0</v>
      </c>
      <c r="J817" s="2266">
        <v>0</v>
      </c>
      <c r="K817" s="2266">
        <v>0</v>
      </c>
      <c r="L817" s="2266">
        <v>0</v>
      </c>
      <c r="M817" s="2266">
        <v>599</v>
      </c>
    </row>
    <row r="818" spans="1:13" ht="15">
      <c r="A818" s="2266" t="s">
        <v>4131</v>
      </c>
      <c r="B818" s="2465" t="str">
        <f>CONCATENATE(LEFT(RIGHT(CONCATENATE("000",IFAData_TEA_1617!A818),6),3),"-",(RIGHT(RIGHT(CONCATENATE("000",IFAData_TEA_1617!A818),6),3)))</f>
        <v>071-906</v>
      </c>
      <c r="C818" s="2266" t="s">
        <v>153</v>
      </c>
      <c r="D818" s="2266">
        <v>2</v>
      </c>
      <c r="E818" s="2266">
        <v>1580</v>
      </c>
      <c r="F818" s="2266" t="s">
        <v>5332</v>
      </c>
      <c r="G818" s="2266" t="s">
        <v>5332</v>
      </c>
      <c r="H818" s="2266">
        <v>199299</v>
      </c>
      <c r="I818" s="2266">
        <v>0</v>
      </c>
      <c r="J818" s="2266">
        <v>0</v>
      </c>
      <c r="K818" s="2266">
        <v>0</v>
      </c>
      <c r="L818" s="2266">
        <v>0</v>
      </c>
      <c r="M818" s="2266">
        <v>599</v>
      </c>
    </row>
    <row r="819" spans="1:13" ht="15">
      <c r="A819" s="2266" t="s">
        <v>4131</v>
      </c>
      <c r="B819" s="2465" t="str">
        <f>CONCATENATE(LEFT(RIGHT(CONCATENATE("000",IFAData_TEA_1617!A819),6),3),"-",(RIGHT(RIGHT(CONCATENATE("000",IFAData_TEA_1617!A819),6),3)))</f>
        <v>071-906</v>
      </c>
      <c r="C819" s="2266" t="s">
        <v>153</v>
      </c>
      <c r="D819" s="2266">
        <v>3</v>
      </c>
      <c r="E819" s="2266">
        <v>1579</v>
      </c>
      <c r="F819" s="2266" t="s">
        <v>5334</v>
      </c>
      <c r="G819" s="2266" t="s">
        <v>5334</v>
      </c>
      <c r="H819" s="2266">
        <v>91971</v>
      </c>
      <c r="I819" s="2266">
        <v>0</v>
      </c>
      <c r="J819" s="2266">
        <v>0</v>
      </c>
      <c r="K819" s="2266"/>
      <c r="L819" s="2266">
        <v>0</v>
      </c>
      <c r="M819" s="2266">
        <v>199</v>
      </c>
    </row>
    <row r="820" spans="1:13" ht="15">
      <c r="A820" s="2266" t="s">
        <v>4131</v>
      </c>
      <c r="B820" s="2465" t="str">
        <f>CONCATENATE(LEFT(RIGHT(CONCATENATE("000",IFAData_TEA_1617!A820),6),3),"-",(RIGHT(RIGHT(CONCATENATE("000",IFAData_TEA_1617!A820),6),3)))</f>
        <v>071-906</v>
      </c>
      <c r="C820" s="2266" t="s">
        <v>153</v>
      </c>
      <c r="D820" s="2266">
        <v>2</v>
      </c>
      <c r="E820" s="2266">
        <v>1580</v>
      </c>
      <c r="F820" s="2266" t="s">
        <v>5332</v>
      </c>
      <c r="G820" s="2266" t="s">
        <v>7190</v>
      </c>
      <c r="H820" s="2266">
        <v>199299</v>
      </c>
      <c r="I820" s="2266">
        <v>245950</v>
      </c>
      <c r="J820" s="2266">
        <v>1</v>
      </c>
      <c r="K820" s="2266">
        <v>199299</v>
      </c>
      <c r="L820" s="2266">
        <v>199299</v>
      </c>
      <c r="M820" s="2266">
        <v>599</v>
      </c>
    </row>
    <row r="821" spans="1:13" ht="15">
      <c r="A821" s="2266" t="s">
        <v>4132</v>
      </c>
      <c r="B821" s="2465" t="str">
        <f>CONCATENATE(LEFT(RIGHT(CONCATENATE("000",IFAData_TEA_1617!A821),6),3),"-",(RIGHT(RIGHT(CONCATENATE("000",IFAData_TEA_1617!A821),6),3)))</f>
        <v>071-907</v>
      </c>
      <c r="C821" s="2266" t="s">
        <v>728</v>
      </c>
      <c r="D821" s="2266">
        <v>5</v>
      </c>
      <c r="E821" s="2266">
        <v>1662</v>
      </c>
      <c r="F821" s="2266" t="s">
        <v>5335</v>
      </c>
      <c r="G821" s="2266" t="s">
        <v>5335</v>
      </c>
      <c r="H821" s="2266">
        <v>1070895</v>
      </c>
      <c r="I821" s="2266">
        <v>0</v>
      </c>
      <c r="J821" s="2266">
        <v>0</v>
      </c>
      <c r="K821" s="2266">
        <v>0</v>
      </c>
      <c r="L821" s="2266">
        <v>0</v>
      </c>
      <c r="M821" s="2266">
        <v>599</v>
      </c>
    </row>
    <row r="822" spans="1:13" ht="15">
      <c r="A822" s="2266" t="s">
        <v>4132</v>
      </c>
      <c r="B822" s="2465" t="str">
        <f>CONCATENATE(LEFT(RIGHT(CONCATENATE("000",IFAData_TEA_1617!A822),6),3),"-",(RIGHT(RIGHT(CONCATENATE("000",IFAData_TEA_1617!A822),6),3)))</f>
        <v>071-907</v>
      </c>
      <c r="C822" s="2266" t="s">
        <v>728</v>
      </c>
      <c r="D822" s="2266">
        <v>5</v>
      </c>
      <c r="E822" s="2266">
        <v>1662</v>
      </c>
      <c r="F822" s="2266" t="s">
        <v>5335</v>
      </c>
      <c r="G822" s="2266" t="s">
        <v>5337</v>
      </c>
      <c r="H822" s="2266">
        <v>1070895</v>
      </c>
      <c r="I822" s="2266">
        <v>1587018</v>
      </c>
      <c r="J822" s="2266">
        <v>0.89525065605841458</v>
      </c>
      <c r="K822" s="2266">
        <v>958719.45131967589</v>
      </c>
      <c r="L822" s="2266">
        <v>958719.45131967589</v>
      </c>
      <c r="M822" s="2266">
        <v>599</v>
      </c>
    </row>
    <row r="823" spans="1:13" ht="15">
      <c r="A823" s="2266" t="s">
        <v>4132</v>
      </c>
      <c r="B823" s="2465" t="str">
        <f>CONCATENATE(LEFT(RIGHT(CONCATENATE("000",IFAData_TEA_1617!A823),6),3),"-",(RIGHT(RIGHT(CONCATENATE("000",IFAData_TEA_1617!A823),6),3)))</f>
        <v>071-907</v>
      </c>
      <c r="C823" s="2266" t="s">
        <v>728</v>
      </c>
      <c r="D823" s="2266">
        <v>5</v>
      </c>
      <c r="E823" s="2266">
        <v>1662</v>
      </c>
      <c r="F823" s="2266" t="s">
        <v>5335</v>
      </c>
      <c r="G823" s="2266" t="s">
        <v>5338</v>
      </c>
      <c r="H823" s="2266">
        <v>1070895</v>
      </c>
      <c r="I823" s="2266">
        <v>185690</v>
      </c>
      <c r="J823" s="2266">
        <v>0.10474934394158542</v>
      </c>
      <c r="K823" s="2266">
        <v>112175.54868032411</v>
      </c>
      <c r="L823" s="2266">
        <v>112175.54868032411</v>
      </c>
      <c r="M823" s="2266">
        <v>599</v>
      </c>
    </row>
    <row r="824" spans="1:13" ht="15">
      <c r="A824" s="2266" t="s">
        <v>4132</v>
      </c>
      <c r="B824" s="2465" t="str">
        <f>CONCATENATE(LEFT(RIGHT(CONCATENATE("000",IFAData_TEA_1617!A824),6),3),"-",(RIGHT(RIGHT(CONCATENATE("000",IFAData_TEA_1617!A824),6),3)))</f>
        <v>071-907</v>
      </c>
      <c r="C824" s="2266" t="s">
        <v>728</v>
      </c>
      <c r="D824" s="2266">
        <v>5</v>
      </c>
      <c r="E824" s="2266">
        <v>1662</v>
      </c>
      <c r="F824" s="2266" t="s">
        <v>5335</v>
      </c>
      <c r="G824" s="2266" t="s">
        <v>5336</v>
      </c>
      <c r="H824" s="2266">
        <v>1070895</v>
      </c>
      <c r="I824" s="2266">
        <v>0</v>
      </c>
      <c r="J824" s="2266">
        <v>0</v>
      </c>
      <c r="K824" s="2266">
        <v>0</v>
      </c>
      <c r="L824" s="2266">
        <v>0</v>
      </c>
      <c r="M824" s="2266">
        <v>599</v>
      </c>
    </row>
    <row r="825" spans="1:13" ht="15">
      <c r="A825" s="2266" t="s">
        <v>4133</v>
      </c>
      <c r="B825" s="2465" t="str">
        <f>CONCATENATE(LEFT(RIGHT(CONCATENATE("000",IFAData_TEA_1617!A825),6),3),"-",(RIGHT(RIGHT(CONCATENATE("000",IFAData_TEA_1617!A825),6),3)))</f>
        <v>071-908</v>
      </c>
      <c r="C825" s="2266" t="s">
        <v>661</v>
      </c>
      <c r="D825" s="2266">
        <v>1</v>
      </c>
      <c r="E825" s="2266">
        <v>2396</v>
      </c>
      <c r="F825" s="2266" t="s">
        <v>5339</v>
      </c>
      <c r="G825" s="2266" t="s">
        <v>5339</v>
      </c>
      <c r="H825" s="2266">
        <v>44910</v>
      </c>
      <c r="I825" s="2266">
        <v>0</v>
      </c>
      <c r="J825" s="2266">
        <v>0</v>
      </c>
      <c r="K825" s="2266">
        <v>0</v>
      </c>
      <c r="L825" s="2266">
        <v>0</v>
      </c>
      <c r="M825" s="2266">
        <v>599</v>
      </c>
    </row>
    <row r="826" spans="1:13" ht="15">
      <c r="A826" s="2266" t="s">
        <v>4133</v>
      </c>
      <c r="B826" s="2465" t="str">
        <f>CONCATENATE(LEFT(RIGHT(CONCATENATE("000",IFAData_TEA_1617!A826),6),3),"-",(RIGHT(RIGHT(CONCATENATE("000",IFAData_TEA_1617!A826),6),3)))</f>
        <v>071-908</v>
      </c>
      <c r="C826" s="2266" t="s">
        <v>661</v>
      </c>
      <c r="D826" s="2266">
        <v>1</v>
      </c>
      <c r="E826" s="2266">
        <v>2396</v>
      </c>
      <c r="F826" s="2266" t="s">
        <v>5339</v>
      </c>
      <c r="G826" s="2266" t="s">
        <v>5341</v>
      </c>
      <c r="H826" s="2266">
        <v>44910</v>
      </c>
      <c r="I826" s="2266">
        <v>10947</v>
      </c>
      <c r="J826" s="2266">
        <v>0.33809994440669588</v>
      </c>
      <c r="K826" s="2266">
        <v>15184.068503304712</v>
      </c>
      <c r="L826" s="2266">
        <v>10947</v>
      </c>
      <c r="M826" s="2266">
        <v>599</v>
      </c>
    </row>
    <row r="827" spans="1:13" ht="15">
      <c r="A827" s="2266" t="s">
        <v>4133</v>
      </c>
      <c r="B827" s="2465" t="str">
        <f>CONCATENATE(LEFT(RIGHT(CONCATENATE("000",IFAData_TEA_1617!A827),6),3),"-",(RIGHT(RIGHT(CONCATENATE("000",IFAData_TEA_1617!A827),6),3)))</f>
        <v>071-908</v>
      </c>
      <c r="C827" s="2266" t="s">
        <v>661</v>
      </c>
      <c r="D827" s="2266">
        <v>4</v>
      </c>
      <c r="E827" s="2266">
        <v>2397</v>
      </c>
      <c r="F827" s="2266" t="s">
        <v>5343</v>
      </c>
      <c r="G827" s="2266" t="s">
        <v>5341</v>
      </c>
      <c r="H827" s="2266">
        <v>170176</v>
      </c>
      <c r="I827" s="2266">
        <v>71083</v>
      </c>
      <c r="J827" s="2266">
        <v>0.43088701513617711</v>
      </c>
      <c r="K827" s="2266">
        <v>73326.628687814082</v>
      </c>
      <c r="L827" s="2266">
        <v>71083</v>
      </c>
      <c r="M827" s="2266">
        <v>599</v>
      </c>
    </row>
    <row r="828" spans="1:13" ht="15">
      <c r="A828" s="2266" t="s">
        <v>4133</v>
      </c>
      <c r="B828" s="2465" t="str">
        <f>CONCATENATE(LEFT(RIGHT(CONCATENATE("000",IFAData_TEA_1617!A828),6),3),"-",(RIGHT(RIGHT(CONCATENATE("000",IFAData_TEA_1617!A828),6),3)))</f>
        <v>071-908</v>
      </c>
      <c r="C828" s="2266" t="s">
        <v>661</v>
      </c>
      <c r="D828" s="2266">
        <v>3</v>
      </c>
      <c r="E828" s="2266">
        <v>2395</v>
      </c>
      <c r="F828" s="2266" t="s">
        <v>5342</v>
      </c>
      <c r="G828" s="2266" t="s">
        <v>5341</v>
      </c>
      <c r="H828" s="2266">
        <v>37010</v>
      </c>
      <c r="I828" s="2266">
        <v>9858</v>
      </c>
      <c r="J828" s="2266">
        <v>0.30511622148627315</v>
      </c>
      <c r="K828" s="2266">
        <v>11292.35135720697</v>
      </c>
      <c r="L828" s="2266">
        <v>9858</v>
      </c>
      <c r="M828" s="2266">
        <v>599</v>
      </c>
    </row>
    <row r="829" spans="1:13" ht="15">
      <c r="A829" s="2266" t="s">
        <v>4133</v>
      </c>
      <c r="B829" s="2465" t="str">
        <f>CONCATENATE(LEFT(RIGHT(CONCATENATE("000",IFAData_TEA_1617!A829),6),3),"-",(RIGHT(RIGHT(CONCATENATE("000",IFAData_TEA_1617!A829),6),3)))</f>
        <v>071-908</v>
      </c>
      <c r="C829" s="2266" t="s">
        <v>661</v>
      </c>
      <c r="D829" s="2266">
        <v>3</v>
      </c>
      <c r="E829" s="2266">
        <v>2395</v>
      </c>
      <c r="F829" s="2266" t="s">
        <v>5342</v>
      </c>
      <c r="G829" s="2266" t="s">
        <v>5340</v>
      </c>
      <c r="H829" s="2266">
        <v>37010</v>
      </c>
      <c r="I829" s="2266">
        <v>22451</v>
      </c>
      <c r="J829" s="2266">
        <v>0.69488377851372685</v>
      </c>
      <c r="K829" s="2266">
        <v>25717.648642793032</v>
      </c>
      <c r="L829" s="2266">
        <v>22451</v>
      </c>
      <c r="M829" s="2266">
        <v>599</v>
      </c>
    </row>
    <row r="830" spans="1:13" ht="15">
      <c r="A830" s="2266" t="s">
        <v>4133</v>
      </c>
      <c r="B830" s="2465" t="str">
        <f>CONCATENATE(LEFT(RIGHT(CONCATENATE("000",IFAData_TEA_1617!A830),6),3),"-",(RIGHT(RIGHT(CONCATENATE("000",IFAData_TEA_1617!A830),6),3)))</f>
        <v>071-908</v>
      </c>
      <c r="C830" s="2266" t="s">
        <v>661</v>
      </c>
      <c r="D830" s="2266">
        <v>1</v>
      </c>
      <c r="E830" s="2266">
        <v>2396</v>
      </c>
      <c r="F830" s="2266" t="s">
        <v>5339</v>
      </c>
      <c r="G830" s="2266" t="s">
        <v>5340</v>
      </c>
      <c r="H830" s="2266">
        <v>44910</v>
      </c>
      <c r="I830" s="2266">
        <v>21431</v>
      </c>
      <c r="J830" s="2266">
        <v>0.66190005559330412</v>
      </c>
      <c r="K830" s="2266">
        <v>29725.931496695288</v>
      </c>
      <c r="L830" s="2266">
        <v>21431</v>
      </c>
      <c r="M830" s="2266">
        <v>599</v>
      </c>
    </row>
    <row r="831" spans="1:13" ht="15">
      <c r="A831" s="2266" t="s">
        <v>4133</v>
      </c>
      <c r="B831" s="2465" t="str">
        <f>CONCATENATE(LEFT(RIGHT(CONCATENATE("000",IFAData_TEA_1617!A831),6),3),"-",(RIGHT(RIGHT(CONCATENATE("000",IFAData_TEA_1617!A831),6),3)))</f>
        <v>071-908</v>
      </c>
      <c r="C831" s="2266" t="s">
        <v>661</v>
      </c>
      <c r="D831" s="2266">
        <v>4</v>
      </c>
      <c r="E831" s="2266">
        <v>2397</v>
      </c>
      <c r="F831" s="2266" t="s">
        <v>5343</v>
      </c>
      <c r="G831" s="2266" t="s">
        <v>5340</v>
      </c>
      <c r="H831" s="2266">
        <v>170176</v>
      </c>
      <c r="I831" s="2266">
        <v>93886</v>
      </c>
      <c r="J831" s="2266">
        <v>0.56911298486382289</v>
      </c>
      <c r="K831" s="2266">
        <v>96849.371312185918</v>
      </c>
      <c r="L831" s="2266">
        <v>93886</v>
      </c>
      <c r="M831" s="2266">
        <v>599</v>
      </c>
    </row>
    <row r="832" spans="1:13" ht="15">
      <c r="A832" s="2266" t="s">
        <v>4133</v>
      </c>
      <c r="B832" s="2465" t="str">
        <f>CONCATENATE(LEFT(RIGHT(CONCATENATE("000",IFAData_TEA_1617!A832),6),3),"-",(RIGHT(RIGHT(CONCATENATE("000",IFAData_TEA_1617!A832),6),3)))</f>
        <v>071-908</v>
      </c>
      <c r="C832" s="2266" t="s">
        <v>661</v>
      </c>
      <c r="D832" s="2266">
        <v>8</v>
      </c>
      <c r="E832" s="2266">
        <v>2399</v>
      </c>
      <c r="F832" s="2266" t="s">
        <v>5346</v>
      </c>
      <c r="G832" s="2266" t="s">
        <v>5347</v>
      </c>
      <c r="H832" s="2266">
        <v>317310</v>
      </c>
      <c r="I832" s="2266">
        <v>300875</v>
      </c>
      <c r="J832" s="2266">
        <v>1</v>
      </c>
      <c r="K832" s="2266">
        <v>317310</v>
      </c>
      <c r="L832" s="2266">
        <v>300875</v>
      </c>
      <c r="M832" s="2266">
        <v>599</v>
      </c>
    </row>
    <row r="833" spans="1:13" ht="15">
      <c r="A833" s="2266" t="s">
        <v>4133</v>
      </c>
      <c r="B833" s="2465" t="str">
        <f>CONCATENATE(LEFT(RIGHT(CONCATENATE("000",IFAData_TEA_1617!A833),6),3),"-",(RIGHT(RIGHT(CONCATENATE("000",IFAData_TEA_1617!A833),6),3)))</f>
        <v>071-908</v>
      </c>
      <c r="C833" s="2266" t="s">
        <v>661</v>
      </c>
      <c r="D833" s="2266">
        <v>4</v>
      </c>
      <c r="E833" s="2266">
        <v>2397</v>
      </c>
      <c r="F833" s="2266" t="s">
        <v>5343</v>
      </c>
      <c r="G833" s="2266" t="s">
        <v>5343</v>
      </c>
      <c r="H833" s="2266">
        <v>170176</v>
      </c>
      <c r="I833" s="2266">
        <v>0</v>
      </c>
      <c r="J833" s="2266">
        <v>0</v>
      </c>
      <c r="K833" s="2266">
        <v>0</v>
      </c>
      <c r="L833" s="2266">
        <v>0</v>
      </c>
      <c r="M833" s="2266">
        <v>599</v>
      </c>
    </row>
    <row r="834" spans="1:13" ht="15">
      <c r="A834" s="2266" t="s">
        <v>4133</v>
      </c>
      <c r="B834" s="2465" t="str">
        <f>CONCATENATE(LEFT(RIGHT(CONCATENATE("000",IFAData_TEA_1617!A834),6),3),"-",(RIGHT(RIGHT(CONCATENATE("000",IFAData_TEA_1617!A834),6),3)))</f>
        <v>071-908</v>
      </c>
      <c r="C834" s="2266" t="s">
        <v>661</v>
      </c>
      <c r="D834" s="2266">
        <v>3</v>
      </c>
      <c r="E834" s="2266">
        <v>2395</v>
      </c>
      <c r="F834" s="2266" t="s">
        <v>5342</v>
      </c>
      <c r="G834" s="2266" t="s">
        <v>5342</v>
      </c>
      <c r="H834" s="2266">
        <v>37010</v>
      </c>
      <c r="I834" s="2266">
        <v>0</v>
      </c>
      <c r="J834" s="2266">
        <v>0</v>
      </c>
      <c r="K834" s="2266">
        <v>0</v>
      </c>
      <c r="L834" s="2266">
        <v>0</v>
      </c>
      <c r="M834" s="2266">
        <v>599</v>
      </c>
    </row>
    <row r="835" spans="1:13" ht="15">
      <c r="A835" s="2266" t="s">
        <v>4133</v>
      </c>
      <c r="B835" s="2465" t="str">
        <f>CONCATENATE(LEFT(RIGHT(CONCATENATE("000",IFAData_TEA_1617!A835),6),3),"-",(RIGHT(RIGHT(CONCATENATE("000",IFAData_TEA_1617!A835),6),3)))</f>
        <v>071-908</v>
      </c>
      <c r="C835" s="2266" t="s">
        <v>661</v>
      </c>
      <c r="D835" s="2266">
        <v>5</v>
      </c>
      <c r="E835" s="2266">
        <v>2398</v>
      </c>
      <c r="F835" s="2266" t="s">
        <v>5344</v>
      </c>
      <c r="G835" s="2266" t="s">
        <v>5345</v>
      </c>
      <c r="H835" s="2266">
        <v>229390</v>
      </c>
      <c r="I835" s="2266">
        <v>0</v>
      </c>
      <c r="J835" s="2266">
        <v>0</v>
      </c>
      <c r="K835" s="2266">
        <v>0</v>
      </c>
      <c r="L835" s="2266">
        <v>0</v>
      </c>
      <c r="M835" s="2266">
        <v>599</v>
      </c>
    </row>
    <row r="836" spans="1:13" ht="15">
      <c r="A836" s="2266" t="s">
        <v>4133</v>
      </c>
      <c r="B836" s="2465" t="str">
        <f>CONCATENATE(LEFT(RIGHT(CONCATENATE("000",IFAData_TEA_1617!A836),6),3),"-",(RIGHT(RIGHT(CONCATENATE("000",IFAData_TEA_1617!A836),6),3)))</f>
        <v>071-908</v>
      </c>
      <c r="C836" s="2266" t="s">
        <v>661</v>
      </c>
      <c r="D836" s="2266">
        <v>5</v>
      </c>
      <c r="E836" s="2266">
        <v>2398</v>
      </c>
      <c r="F836" s="2266" t="s">
        <v>5344</v>
      </c>
      <c r="G836" s="2266" t="s">
        <v>5344</v>
      </c>
      <c r="H836" s="2266">
        <v>229390</v>
      </c>
      <c r="I836" s="2266">
        <v>0</v>
      </c>
      <c r="J836" s="2266">
        <v>0</v>
      </c>
      <c r="K836" s="2266">
        <v>0</v>
      </c>
      <c r="L836" s="2266">
        <v>0</v>
      </c>
      <c r="M836" s="2266">
        <v>599</v>
      </c>
    </row>
    <row r="837" spans="1:13" ht="15">
      <c r="A837" s="2266" t="s">
        <v>4133</v>
      </c>
      <c r="B837" s="2465" t="str">
        <f>CONCATENATE(LEFT(RIGHT(CONCATENATE("000",IFAData_TEA_1617!A837),6),3),"-",(RIGHT(RIGHT(CONCATENATE("000",IFAData_TEA_1617!A837),6),3)))</f>
        <v>071-908</v>
      </c>
      <c r="C837" s="2266" t="s">
        <v>661</v>
      </c>
      <c r="D837" s="2266">
        <v>5</v>
      </c>
      <c r="E837" s="2266">
        <v>2398</v>
      </c>
      <c r="F837" s="2266" t="s">
        <v>5344</v>
      </c>
      <c r="G837" s="2266" t="s">
        <v>7191</v>
      </c>
      <c r="H837" s="2266">
        <v>229390</v>
      </c>
      <c r="I837" s="2266">
        <v>200050</v>
      </c>
      <c r="J837" s="2266">
        <v>1</v>
      </c>
      <c r="K837" s="2266">
        <v>229390</v>
      </c>
      <c r="L837" s="2266">
        <v>200050</v>
      </c>
      <c r="M837" s="2266">
        <v>599</v>
      </c>
    </row>
    <row r="838" spans="1:13" ht="15">
      <c r="A838" s="2266" t="s">
        <v>4133</v>
      </c>
      <c r="B838" s="2465" t="str">
        <f>CONCATENATE(LEFT(RIGHT(CONCATENATE("000",IFAData_TEA_1617!A838),6),3),"-",(RIGHT(RIGHT(CONCATENATE("000",IFAData_TEA_1617!A838),6),3)))</f>
        <v>071-908</v>
      </c>
      <c r="C838" s="2266" t="s">
        <v>661</v>
      </c>
      <c r="D838" s="2266">
        <v>8</v>
      </c>
      <c r="E838" s="2266">
        <v>2399</v>
      </c>
      <c r="F838" s="2266" t="s">
        <v>5346</v>
      </c>
      <c r="G838" s="2266" t="s">
        <v>5346</v>
      </c>
      <c r="H838" s="2266">
        <v>317310</v>
      </c>
      <c r="I838" s="2266">
        <v>0</v>
      </c>
      <c r="J838" s="2266">
        <v>0</v>
      </c>
      <c r="K838" s="2266">
        <v>0</v>
      </c>
      <c r="L838" s="2266">
        <v>0</v>
      </c>
      <c r="M838" s="2266">
        <v>599</v>
      </c>
    </row>
    <row r="839" spans="1:13" ht="15">
      <c r="A839" s="2266" t="s">
        <v>4134</v>
      </c>
      <c r="B839" s="2465" t="str">
        <f>CONCATENATE(LEFT(RIGHT(CONCATENATE("000",IFAData_TEA_1617!A839),6),3),"-",(RIGHT(RIGHT(CONCATENATE("000",IFAData_TEA_1617!A839),6),3)))</f>
        <v>071-909</v>
      </c>
      <c r="C839" s="2266" t="s">
        <v>2204</v>
      </c>
      <c r="D839" s="2266">
        <v>2</v>
      </c>
      <c r="E839" s="2266">
        <v>2346</v>
      </c>
      <c r="F839" s="2266" t="s">
        <v>5348</v>
      </c>
      <c r="G839" s="2266" t="s">
        <v>7192</v>
      </c>
      <c r="H839" s="2266">
        <v>1524945</v>
      </c>
      <c r="I839" s="2266">
        <v>90825</v>
      </c>
      <c r="J839" s="2266">
        <v>5.6064434130385532E-2</v>
      </c>
      <c r="K839" s="2266">
        <v>85495.178504960772</v>
      </c>
      <c r="L839" s="2266">
        <v>85495.178504960772</v>
      </c>
      <c r="M839" s="2266">
        <v>599</v>
      </c>
    </row>
    <row r="840" spans="1:13" ht="15">
      <c r="A840" s="2266" t="s">
        <v>4134</v>
      </c>
      <c r="B840" s="2465" t="str">
        <f>CONCATENATE(LEFT(RIGHT(CONCATENATE("000",IFAData_TEA_1617!A840),6),3),"-",(RIGHT(RIGHT(CONCATENATE("000",IFAData_TEA_1617!A840),6),3)))</f>
        <v>071-909</v>
      </c>
      <c r="C840" s="2266" t="s">
        <v>2204</v>
      </c>
      <c r="D840" s="2266">
        <v>8</v>
      </c>
      <c r="E840" s="2266">
        <v>2350</v>
      </c>
      <c r="F840" s="2266" t="s">
        <v>5358</v>
      </c>
      <c r="G840" s="2266" t="s">
        <v>5359</v>
      </c>
      <c r="H840" s="2266">
        <v>4042418</v>
      </c>
      <c r="I840" s="2266">
        <v>3300659</v>
      </c>
      <c r="J840" s="2266">
        <v>1</v>
      </c>
      <c r="K840" s="2266">
        <v>4042418</v>
      </c>
      <c r="L840" s="2266">
        <v>3300659</v>
      </c>
      <c r="M840" s="2266">
        <v>599</v>
      </c>
    </row>
    <row r="841" spans="1:13" ht="15">
      <c r="A841" s="2266" t="s">
        <v>4134</v>
      </c>
      <c r="B841" s="2465" t="str">
        <f>CONCATENATE(LEFT(RIGHT(CONCATENATE("000",IFAData_TEA_1617!A841),6),3),"-",(RIGHT(RIGHT(CONCATENATE("000",IFAData_TEA_1617!A841),6),3)))</f>
        <v>071-909</v>
      </c>
      <c r="C841" s="2266" t="s">
        <v>2204</v>
      </c>
      <c r="D841" s="2266">
        <v>5</v>
      </c>
      <c r="E841" s="2266">
        <v>2348</v>
      </c>
      <c r="F841" s="2266" t="s">
        <v>5355</v>
      </c>
      <c r="G841" s="2266" t="s">
        <v>5355</v>
      </c>
      <c r="H841" s="2266">
        <v>2358164</v>
      </c>
      <c r="I841" s="2266">
        <v>0</v>
      </c>
      <c r="J841" s="2266">
        <v>0</v>
      </c>
      <c r="K841" s="2266">
        <v>0</v>
      </c>
      <c r="L841" s="2266">
        <v>0</v>
      </c>
      <c r="M841" s="2266">
        <v>599</v>
      </c>
    </row>
    <row r="842" spans="1:13" ht="15">
      <c r="A842" s="2266" t="s">
        <v>4134</v>
      </c>
      <c r="B842" s="2465" t="str">
        <f>CONCATENATE(LEFT(RIGHT(CONCATENATE("000",IFAData_TEA_1617!A842),6),3),"-",(RIGHT(RIGHT(CONCATENATE("000",IFAData_TEA_1617!A842),6),3)))</f>
        <v>071-909</v>
      </c>
      <c r="C842" s="2266" t="s">
        <v>2204</v>
      </c>
      <c r="D842" s="2266">
        <v>4</v>
      </c>
      <c r="E842" s="2266">
        <v>2347</v>
      </c>
      <c r="F842" s="2266" t="s">
        <v>5352</v>
      </c>
      <c r="G842" s="2266" t="s">
        <v>5351</v>
      </c>
      <c r="H842" s="2266">
        <v>1767522</v>
      </c>
      <c r="I842" s="2266">
        <v>1440267</v>
      </c>
      <c r="J842" s="2266">
        <v>0.77827575790816639</v>
      </c>
      <c r="K842" s="2266">
        <v>1375619.524169358</v>
      </c>
      <c r="L842" s="2266">
        <v>1375619.524169358</v>
      </c>
      <c r="M842" s="2266">
        <v>599</v>
      </c>
    </row>
    <row r="843" spans="1:13" ht="15">
      <c r="A843" s="2266" t="s">
        <v>4134</v>
      </c>
      <c r="B843" s="2465" t="str">
        <f>CONCATENATE(LEFT(RIGHT(CONCATENATE("000",IFAData_TEA_1617!A843),6),3),"-",(RIGHT(RIGHT(CONCATENATE("000",IFAData_TEA_1617!A843),6),3)))</f>
        <v>071-909</v>
      </c>
      <c r="C843" s="2266" t="s">
        <v>2204</v>
      </c>
      <c r="D843" s="2266">
        <v>8</v>
      </c>
      <c r="E843" s="2266">
        <v>2350</v>
      </c>
      <c r="F843" s="2266" t="s">
        <v>5358</v>
      </c>
      <c r="G843" s="2266" t="s">
        <v>5358</v>
      </c>
      <c r="H843" s="2266">
        <v>4042418</v>
      </c>
      <c r="I843" s="2266">
        <v>0</v>
      </c>
      <c r="J843" s="2266">
        <v>0</v>
      </c>
      <c r="K843" s="2266">
        <v>0</v>
      </c>
      <c r="L843" s="2266">
        <v>0</v>
      </c>
      <c r="M843" s="2266">
        <v>599</v>
      </c>
    </row>
    <row r="844" spans="1:13" ht="15">
      <c r="A844" s="2266" t="s">
        <v>4134</v>
      </c>
      <c r="B844" s="2465" t="str">
        <f>CONCATENATE(LEFT(RIGHT(CONCATENATE("000",IFAData_TEA_1617!A844),6),3),"-",(RIGHT(RIGHT(CONCATENATE("000",IFAData_TEA_1617!A844),6),3)))</f>
        <v>071-909</v>
      </c>
      <c r="C844" s="2266" t="s">
        <v>2204</v>
      </c>
      <c r="D844" s="2266">
        <v>2</v>
      </c>
      <c r="E844" s="2266">
        <v>2346</v>
      </c>
      <c r="F844" s="2266" t="s">
        <v>5348</v>
      </c>
      <c r="G844" s="2266" t="s">
        <v>6969</v>
      </c>
      <c r="H844" s="2266">
        <v>1524945</v>
      </c>
      <c r="I844" s="2266">
        <v>156876</v>
      </c>
      <c r="J844" s="2266">
        <v>9.6836379506065079E-2</v>
      </c>
      <c r="K844" s="2266">
        <v>147670.1527458764</v>
      </c>
      <c r="L844" s="2266">
        <v>147670.1527458764</v>
      </c>
      <c r="M844" s="2266">
        <v>599</v>
      </c>
    </row>
    <row r="845" spans="1:13" ht="15">
      <c r="A845" s="2266" t="s">
        <v>4134</v>
      </c>
      <c r="B845" s="2465" t="str">
        <f>CONCATENATE(LEFT(RIGHT(CONCATENATE("000",IFAData_TEA_1617!A845),6),3),"-",(RIGHT(RIGHT(CONCATENATE("000",IFAData_TEA_1617!A845),6),3)))</f>
        <v>071-909</v>
      </c>
      <c r="C845" s="2266" t="s">
        <v>2204</v>
      </c>
      <c r="D845" s="2266">
        <v>5</v>
      </c>
      <c r="E845" s="2266">
        <v>2348</v>
      </c>
      <c r="F845" s="2266" t="s">
        <v>5355</v>
      </c>
      <c r="G845" s="2266" t="s">
        <v>5350</v>
      </c>
      <c r="H845" s="2266">
        <v>2358164</v>
      </c>
      <c r="I845" s="2266">
        <v>1535262</v>
      </c>
      <c r="J845" s="2266">
        <v>0.61978400479271667</v>
      </c>
      <c r="K845" s="2266">
        <v>1461552.3278780119</v>
      </c>
      <c r="L845" s="2266">
        <v>1461552.3278780119</v>
      </c>
      <c r="M845" s="2266">
        <v>599</v>
      </c>
    </row>
    <row r="846" spans="1:13" ht="15">
      <c r="A846" s="2266" t="s">
        <v>4134</v>
      </c>
      <c r="B846" s="2465" t="str">
        <f>CONCATENATE(LEFT(RIGHT(CONCATENATE("000",IFAData_TEA_1617!A846),6),3),"-",(RIGHT(RIGHT(CONCATENATE("000",IFAData_TEA_1617!A846),6),3)))</f>
        <v>071-909</v>
      </c>
      <c r="C846" s="2266" t="s">
        <v>2204</v>
      </c>
      <c r="D846" s="2266">
        <v>2</v>
      </c>
      <c r="E846" s="2266">
        <v>2346</v>
      </c>
      <c r="F846" s="2266" t="s">
        <v>5348</v>
      </c>
      <c r="G846" s="2266" t="s">
        <v>5350</v>
      </c>
      <c r="H846" s="2266">
        <v>1524945</v>
      </c>
      <c r="I846" s="2266">
        <v>129230</v>
      </c>
      <c r="J846" s="2266">
        <v>7.9771063282903634E-2</v>
      </c>
      <c r="K846" s="2266">
        <v>121646.48409794748</v>
      </c>
      <c r="L846" s="2266">
        <v>121646.48409794748</v>
      </c>
      <c r="M846" s="2266">
        <v>599</v>
      </c>
    </row>
    <row r="847" spans="1:13" ht="15">
      <c r="A847" s="2266" t="s">
        <v>4134</v>
      </c>
      <c r="B847" s="2465" t="str">
        <f>CONCATENATE(LEFT(RIGHT(CONCATENATE("000",IFAData_TEA_1617!A847),6),3),"-",(RIGHT(RIGHT(CONCATENATE("000",IFAData_TEA_1617!A847),6),3)))</f>
        <v>071-909</v>
      </c>
      <c r="C847" s="2266" t="s">
        <v>2204</v>
      </c>
      <c r="D847" s="2266">
        <v>5</v>
      </c>
      <c r="E847" s="2266">
        <v>2348</v>
      </c>
      <c r="F847" s="2266" t="s">
        <v>5355</v>
      </c>
      <c r="G847" s="2266" t="s">
        <v>5357</v>
      </c>
      <c r="H847" s="2266">
        <v>2358164</v>
      </c>
      <c r="I847" s="2266">
        <v>482665</v>
      </c>
      <c r="J847" s="2266">
        <v>0.19485146292507505</v>
      </c>
      <c r="K847" s="2266">
        <v>459491.70521724666</v>
      </c>
      <c r="L847" s="2266">
        <v>459491.70521724666</v>
      </c>
      <c r="M847" s="2266">
        <v>599</v>
      </c>
    </row>
    <row r="848" spans="1:13" ht="15">
      <c r="A848" s="2266" t="s">
        <v>4134</v>
      </c>
      <c r="B848" s="2465" t="str">
        <f>CONCATENATE(LEFT(RIGHT(CONCATENATE("000",IFAData_TEA_1617!A848),6),3),"-",(RIGHT(RIGHT(CONCATENATE("000",IFAData_TEA_1617!A848),6),3)))</f>
        <v>071-909</v>
      </c>
      <c r="C848" s="2266" t="s">
        <v>2204</v>
      </c>
      <c r="D848" s="2266">
        <v>4</v>
      </c>
      <c r="E848" s="2266">
        <v>2349</v>
      </c>
      <c r="F848" s="2266" t="s">
        <v>5354</v>
      </c>
      <c r="G848" s="2266" t="s">
        <v>5350</v>
      </c>
      <c r="H848" s="2266">
        <v>3395093</v>
      </c>
      <c r="I848" s="2266">
        <v>0</v>
      </c>
      <c r="J848" s="2266">
        <v>0</v>
      </c>
      <c r="K848" s="2266">
        <v>0</v>
      </c>
      <c r="L848" s="2266">
        <v>0</v>
      </c>
      <c r="M848" s="2266">
        <v>599</v>
      </c>
    </row>
    <row r="849" spans="1:13" ht="15">
      <c r="A849" s="2266" t="s">
        <v>4134</v>
      </c>
      <c r="B849" s="2465" t="str">
        <f>CONCATENATE(LEFT(RIGHT(CONCATENATE("000",IFAData_TEA_1617!A849),6),3),"-",(RIGHT(RIGHT(CONCATENATE("000",IFAData_TEA_1617!A849),6),3)))</f>
        <v>071-909</v>
      </c>
      <c r="C849" s="2266" t="s">
        <v>2204</v>
      </c>
      <c r="D849" s="2266">
        <v>2</v>
      </c>
      <c r="E849" s="2266">
        <v>2346</v>
      </c>
      <c r="F849" s="2266" t="s">
        <v>5348</v>
      </c>
      <c r="G849" s="2266" t="s">
        <v>5348</v>
      </c>
      <c r="H849" s="2266">
        <v>1524945</v>
      </c>
      <c r="I849" s="2266">
        <v>0</v>
      </c>
      <c r="J849" s="2266">
        <v>0</v>
      </c>
      <c r="K849" s="2266">
        <v>0</v>
      </c>
      <c r="L849" s="2266">
        <v>0</v>
      </c>
      <c r="M849" s="2266">
        <v>599</v>
      </c>
    </row>
    <row r="850" spans="1:13" ht="15">
      <c r="A850" s="2266" t="s">
        <v>4134</v>
      </c>
      <c r="B850" s="2465" t="str">
        <f>CONCATENATE(LEFT(RIGHT(CONCATENATE("000",IFAData_TEA_1617!A850),6),3),"-",(RIGHT(RIGHT(CONCATENATE("000",IFAData_TEA_1617!A850),6),3)))</f>
        <v>071-909</v>
      </c>
      <c r="C850" s="2266" t="s">
        <v>2204</v>
      </c>
      <c r="D850" s="2266">
        <v>4</v>
      </c>
      <c r="E850" s="2266">
        <v>2349</v>
      </c>
      <c r="F850" s="2266" t="s">
        <v>5354</v>
      </c>
      <c r="G850" s="2266" t="s">
        <v>5349</v>
      </c>
      <c r="H850" s="2266">
        <v>3395093</v>
      </c>
      <c r="I850" s="2266">
        <v>403494</v>
      </c>
      <c r="J850" s="2266">
        <v>0.11398860097040066</v>
      </c>
      <c r="K850" s="2266">
        <v>387001.90123440046</v>
      </c>
      <c r="L850" s="2266">
        <v>387001.90123440046</v>
      </c>
      <c r="M850" s="2266">
        <v>599</v>
      </c>
    </row>
    <row r="851" spans="1:13" ht="15">
      <c r="A851" s="2266" t="s">
        <v>4134</v>
      </c>
      <c r="B851" s="2465" t="str">
        <f>CONCATENATE(LEFT(RIGHT(CONCATENATE("000",IFAData_TEA_1617!A851),6),3),"-",(RIGHT(RIGHT(CONCATENATE("000",IFAData_TEA_1617!A851),6),3)))</f>
        <v>071-909</v>
      </c>
      <c r="C851" s="2266" t="s">
        <v>2204</v>
      </c>
      <c r="D851" s="2266">
        <v>4</v>
      </c>
      <c r="E851" s="2266">
        <v>2349</v>
      </c>
      <c r="F851" s="2266" t="s">
        <v>5354</v>
      </c>
      <c r="G851" s="2266" t="s">
        <v>5354</v>
      </c>
      <c r="H851" s="2266">
        <v>3395093</v>
      </c>
      <c r="I851" s="2266">
        <v>0</v>
      </c>
      <c r="J851" s="2266">
        <v>0</v>
      </c>
      <c r="K851" s="2266">
        <v>0</v>
      </c>
      <c r="L851" s="2266">
        <v>0</v>
      </c>
      <c r="M851" s="2266">
        <v>599</v>
      </c>
    </row>
    <row r="852" spans="1:13" ht="15">
      <c r="A852" s="2266" t="s">
        <v>4134</v>
      </c>
      <c r="B852" s="2465" t="str">
        <f>CONCATENATE(LEFT(RIGHT(CONCATENATE("000",IFAData_TEA_1617!A852),6),3),"-",(RIGHT(RIGHT(CONCATENATE("000",IFAData_TEA_1617!A852),6),3)))</f>
        <v>071-909</v>
      </c>
      <c r="C852" s="2266" t="s">
        <v>2204</v>
      </c>
      <c r="D852" s="2266">
        <v>4</v>
      </c>
      <c r="E852" s="2266">
        <v>2347</v>
      </c>
      <c r="F852" s="2266" t="s">
        <v>5352</v>
      </c>
      <c r="G852" s="2266" t="s">
        <v>5349</v>
      </c>
      <c r="H852" s="2266">
        <v>1767522</v>
      </c>
      <c r="I852" s="2266">
        <v>178940</v>
      </c>
      <c r="J852" s="2266">
        <v>9.6693643692514861E-2</v>
      </c>
      <c r="K852" s="2266">
        <v>170908.14248668126</v>
      </c>
      <c r="L852" s="2266">
        <v>170908.14248668126</v>
      </c>
      <c r="M852" s="2266">
        <v>599</v>
      </c>
    </row>
    <row r="853" spans="1:13" ht="15">
      <c r="A853" s="2266" t="s">
        <v>4134</v>
      </c>
      <c r="B853" s="2465" t="str">
        <f>CONCATENATE(LEFT(RIGHT(CONCATENATE("000",IFAData_TEA_1617!A853),6),3),"-",(RIGHT(RIGHT(CONCATENATE("000",IFAData_TEA_1617!A853),6),3)))</f>
        <v>071-909</v>
      </c>
      <c r="C853" s="2266" t="s">
        <v>2204</v>
      </c>
      <c r="D853" s="2266">
        <v>5</v>
      </c>
      <c r="E853" s="2266">
        <v>2348</v>
      </c>
      <c r="F853" s="2266" t="s">
        <v>5355</v>
      </c>
      <c r="G853" s="2266" t="s">
        <v>5356</v>
      </c>
      <c r="H853" s="2266">
        <v>2358164</v>
      </c>
      <c r="I853" s="2266">
        <v>138502</v>
      </c>
      <c r="J853" s="2266">
        <v>5.5913143314822382E-2</v>
      </c>
      <c r="K853" s="2266">
        <v>131852.36169185481</v>
      </c>
      <c r="L853" s="2266">
        <v>131852.36169185481</v>
      </c>
      <c r="M853" s="2266">
        <v>599</v>
      </c>
    </row>
    <row r="854" spans="1:13" ht="15">
      <c r="A854" s="2266" t="s">
        <v>4134</v>
      </c>
      <c r="B854" s="2465" t="str">
        <f>CONCATENATE(LEFT(RIGHT(CONCATENATE("000",IFAData_TEA_1617!A854),6),3),"-",(RIGHT(RIGHT(CONCATENATE("000",IFAData_TEA_1617!A854),6),3)))</f>
        <v>071-909</v>
      </c>
      <c r="C854" s="2266" t="s">
        <v>2204</v>
      </c>
      <c r="D854" s="2266">
        <v>4</v>
      </c>
      <c r="E854" s="2266">
        <v>2349</v>
      </c>
      <c r="F854" s="2266" t="s">
        <v>5354</v>
      </c>
      <c r="G854" s="2266" t="s">
        <v>7192</v>
      </c>
      <c r="H854" s="2266">
        <v>3395093</v>
      </c>
      <c r="I854" s="2266">
        <v>211996</v>
      </c>
      <c r="J854" s="2266">
        <v>5.9889682253815565E-2</v>
      </c>
      <c r="K854" s="2266">
        <v>203331.04099215346</v>
      </c>
      <c r="L854" s="2266">
        <v>203331.04099215346</v>
      </c>
      <c r="M854" s="2266">
        <v>599</v>
      </c>
    </row>
    <row r="855" spans="1:13" ht="15">
      <c r="A855" s="2266" t="s">
        <v>4134</v>
      </c>
      <c r="B855" s="2465" t="str">
        <f>CONCATENATE(LEFT(RIGHT(CONCATENATE("000",IFAData_TEA_1617!A855),6),3),"-",(RIGHT(RIGHT(CONCATENATE("000",IFAData_TEA_1617!A855),6),3)))</f>
        <v>071-909</v>
      </c>
      <c r="C855" s="2266" t="s">
        <v>2204</v>
      </c>
      <c r="D855" s="2266">
        <v>4</v>
      </c>
      <c r="E855" s="2266">
        <v>2347</v>
      </c>
      <c r="F855" s="2266" t="s">
        <v>5352</v>
      </c>
      <c r="G855" s="2266" t="s">
        <v>5353</v>
      </c>
      <c r="H855" s="2266">
        <v>1767522</v>
      </c>
      <c r="I855" s="2266">
        <v>58121</v>
      </c>
      <c r="J855" s="2266">
        <v>3.1406791466707593E-2</v>
      </c>
      <c r="K855" s="2266">
        <v>55512.194866817939</v>
      </c>
      <c r="L855" s="2266">
        <v>55512.194866817939</v>
      </c>
      <c r="M855" s="2266">
        <v>599</v>
      </c>
    </row>
    <row r="856" spans="1:13" ht="15">
      <c r="A856" s="2266" t="s">
        <v>4134</v>
      </c>
      <c r="B856" s="2465" t="str">
        <f>CONCATENATE(LEFT(RIGHT(CONCATENATE("000",IFAData_TEA_1617!A856),6),3),"-",(RIGHT(RIGHT(CONCATENATE("000",IFAData_TEA_1617!A856),6),3)))</f>
        <v>071-909</v>
      </c>
      <c r="C856" s="2266" t="s">
        <v>2204</v>
      </c>
      <c r="D856" s="2266">
        <v>4</v>
      </c>
      <c r="E856" s="2266">
        <v>2347</v>
      </c>
      <c r="F856" s="2266" t="s">
        <v>5352</v>
      </c>
      <c r="G856" s="2266" t="s">
        <v>5352</v>
      </c>
      <c r="H856" s="2266">
        <v>1767522</v>
      </c>
      <c r="I856" s="2266">
        <v>0</v>
      </c>
      <c r="J856" s="2266">
        <v>0</v>
      </c>
      <c r="K856" s="2266">
        <v>0</v>
      </c>
      <c r="L856" s="2266">
        <v>0</v>
      </c>
      <c r="M856" s="2266">
        <v>599</v>
      </c>
    </row>
    <row r="857" spans="1:13" ht="15">
      <c r="A857" s="2266" t="s">
        <v>4134</v>
      </c>
      <c r="B857" s="2465" t="str">
        <f>CONCATENATE(LEFT(RIGHT(CONCATENATE("000",IFAData_TEA_1617!A857),6),3),"-",(RIGHT(RIGHT(CONCATENATE("000",IFAData_TEA_1617!A857),6),3)))</f>
        <v>071-909</v>
      </c>
      <c r="C857" s="2266" t="s">
        <v>2204</v>
      </c>
      <c r="D857" s="2266">
        <v>5</v>
      </c>
      <c r="E857" s="2266">
        <v>2348</v>
      </c>
      <c r="F857" s="2266" t="s">
        <v>5355</v>
      </c>
      <c r="G857" s="2266" t="s">
        <v>7192</v>
      </c>
      <c r="H857" s="2266">
        <v>2358164</v>
      </c>
      <c r="I857" s="2266">
        <v>320663</v>
      </c>
      <c r="J857" s="2266">
        <v>0.12945138896738595</v>
      </c>
      <c r="K857" s="2266">
        <v>305267.6052128867</v>
      </c>
      <c r="L857" s="2266">
        <v>305267.6052128867</v>
      </c>
      <c r="M857" s="2266">
        <v>599</v>
      </c>
    </row>
    <row r="858" spans="1:13" ht="15">
      <c r="A858" s="2266" t="s">
        <v>4134</v>
      </c>
      <c r="B858" s="2465" t="str">
        <f>CONCATENATE(LEFT(RIGHT(CONCATENATE("000",IFAData_TEA_1617!A858),6),3),"-",(RIGHT(RIGHT(CONCATENATE("000",IFAData_TEA_1617!A858),6),3)))</f>
        <v>071-909</v>
      </c>
      <c r="C858" s="2266" t="s">
        <v>2204</v>
      </c>
      <c r="D858" s="2266">
        <v>2</v>
      </c>
      <c r="E858" s="2266">
        <v>2346</v>
      </c>
      <c r="F858" s="2266" t="s">
        <v>5348</v>
      </c>
      <c r="G858" s="2266" t="s">
        <v>5351</v>
      </c>
      <c r="H858" s="2266">
        <v>1524945</v>
      </c>
      <c r="I858" s="2266">
        <v>1079105</v>
      </c>
      <c r="J858" s="2266">
        <v>0.6661096745639381</v>
      </c>
      <c r="K858" s="2266">
        <v>1015780.6176779045</v>
      </c>
      <c r="L858" s="2266">
        <v>1015780.6176779045</v>
      </c>
      <c r="M858" s="2266">
        <v>599</v>
      </c>
    </row>
    <row r="859" spans="1:13" ht="15">
      <c r="A859" s="2266" t="s">
        <v>4134</v>
      </c>
      <c r="B859" s="2465" t="str">
        <f>CONCATENATE(LEFT(RIGHT(CONCATENATE("000",IFAData_TEA_1617!A859),6),3),"-",(RIGHT(RIGHT(CONCATENATE("000",IFAData_TEA_1617!A859),6),3)))</f>
        <v>071-909</v>
      </c>
      <c r="C859" s="2266" t="s">
        <v>2204</v>
      </c>
      <c r="D859" s="2266">
        <v>4</v>
      </c>
      <c r="E859" s="2266">
        <v>2349</v>
      </c>
      <c r="F859" s="2266" t="s">
        <v>5354</v>
      </c>
      <c r="G859" s="2266" t="s">
        <v>5351</v>
      </c>
      <c r="H859" s="2266">
        <v>3395093</v>
      </c>
      <c r="I859" s="2266">
        <v>2655347</v>
      </c>
      <c r="J859" s="2266">
        <v>0.75014570135107461</v>
      </c>
      <c r="K859" s="2266">
        <v>2546814.4196371241</v>
      </c>
      <c r="L859" s="2266">
        <v>2546814.4196371241</v>
      </c>
      <c r="M859" s="2266">
        <v>599</v>
      </c>
    </row>
    <row r="860" spans="1:13" ht="15">
      <c r="A860" s="2266" t="s">
        <v>4134</v>
      </c>
      <c r="B860" s="2465" t="str">
        <f>CONCATENATE(LEFT(RIGHT(CONCATENATE("000",IFAData_TEA_1617!A860),6),3),"-",(RIGHT(RIGHT(CONCATENATE("000",IFAData_TEA_1617!A860),6),3)))</f>
        <v>071-909</v>
      </c>
      <c r="C860" s="2266" t="s">
        <v>2204</v>
      </c>
      <c r="D860" s="2266">
        <v>4</v>
      </c>
      <c r="E860" s="2266">
        <v>2347</v>
      </c>
      <c r="F860" s="2266" t="s">
        <v>5352</v>
      </c>
      <c r="G860" s="2266" t="s">
        <v>6969</v>
      </c>
      <c r="H860" s="2266">
        <v>1767522</v>
      </c>
      <c r="I860" s="2266">
        <v>173259</v>
      </c>
      <c r="J860" s="2266">
        <v>9.3623806932611117E-2</v>
      </c>
      <c r="K860" s="2266">
        <v>165482.13847714267</v>
      </c>
      <c r="L860" s="2266">
        <v>165482.13847714267</v>
      </c>
      <c r="M860" s="2266">
        <v>599</v>
      </c>
    </row>
    <row r="861" spans="1:13" ht="15">
      <c r="A861" s="2266" t="s">
        <v>4134</v>
      </c>
      <c r="B861" s="2465" t="str">
        <f>CONCATENATE(LEFT(RIGHT(CONCATENATE("000",IFAData_TEA_1617!A861),6),3),"-",(RIGHT(RIGHT(CONCATENATE("000",IFAData_TEA_1617!A861),6),3)))</f>
        <v>071-909</v>
      </c>
      <c r="C861" s="2266" t="s">
        <v>2204</v>
      </c>
      <c r="D861" s="2266">
        <v>2</v>
      </c>
      <c r="E861" s="2266">
        <v>2346</v>
      </c>
      <c r="F861" s="2266" t="s">
        <v>5348</v>
      </c>
      <c r="G861" s="2266" t="s">
        <v>5349</v>
      </c>
      <c r="H861" s="2266">
        <v>1524945</v>
      </c>
      <c r="I861" s="2266">
        <v>163975</v>
      </c>
      <c r="J861" s="2266">
        <v>0.1012184485167076</v>
      </c>
      <c r="K861" s="2266">
        <v>154352.56697331066</v>
      </c>
      <c r="L861" s="2266">
        <v>154352.56697331066</v>
      </c>
      <c r="M861" s="2266">
        <v>599</v>
      </c>
    </row>
    <row r="862" spans="1:13" ht="15">
      <c r="A862" s="2266" t="s">
        <v>4134</v>
      </c>
      <c r="B862" s="2465" t="str">
        <f>CONCATENATE(LEFT(RIGHT(CONCATENATE("000",IFAData_TEA_1617!A862),6),3),"-",(RIGHT(RIGHT(CONCATENATE("000",IFAData_TEA_1617!A862),6),3)))</f>
        <v>071-909</v>
      </c>
      <c r="C862" s="2266" t="s">
        <v>2204</v>
      </c>
      <c r="D862" s="2266">
        <v>4</v>
      </c>
      <c r="E862" s="2266">
        <v>2349</v>
      </c>
      <c r="F862" s="2266" t="s">
        <v>5354</v>
      </c>
      <c r="G862" s="2266" t="s">
        <v>6969</v>
      </c>
      <c r="H862" s="2266">
        <v>3395093</v>
      </c>
      <c r="I862" s="2266">
        <v>268938</v>
      </c>
      <c r="J862" s="2266">
        <v>7.5976015424709192E-2</v>
      </c>
      <c r="K862" s="2266">
        <v>257945.6381363222</v>
      </c>
      <c r="L862" s="2266">
        <v>257945.6381363222</v>
      </c>
      <c r="M862" s="2266">
        <v>599</v>
      </c>
    </row>
    <row r="863" spans="1:13" ht="15">
      <c r="A863" s="2266" t="s">
        <v>4135</v>
      </c>
      <c r="B863" s="2465" t="str">
        <f>CONCATENATE(LEFT(RIGHT(CONCATENATE("000",IFAData_TEA_1617!A863),6),3),"-",(RIGHT(RIGHT(CONCATENATE("000",IFAData_TEA_1617!A863),6),3)))</f>
        <v>072-903</v>
      </c>
      <c r="C863" s="2266" t="s">
        <v>2409</v>
      </c>
      <c r="D863" s="2266">
        <v>2</v>
      </c>
      <c r="E863" s="2266">
        <v>2383</v>
      </c>
      <c r="F863" s="2266" t="s">
        <v>5360</v>
      </c>
      <c r="G863" s="2266" t="s">
        <v>5360</v>
      </c>
      <c r="H863" s="2266">
        <v>583662</v>
      </c>
      <c r="I863" s="2266">
        <v>0</v>
      </c>
      <c r="J863" s="2266">
        <v>0</v>
      </c>
      <c r="K863" s="2266">
        <v>0</v>
      </c>
      <c r="L863" s="2266">
        <v>0</v>
      </c>
      <c r="M863" s="2266">
        <v>599</v>
      </c>
    </row>
    <row r="864" spans="1:13" ht="15">
      <c r="A864" s="2266" t="s">
        <v>4135</v>
      </c>
      <c r="B864" s="2465" t="str">
        <f>CONCATENATE(LEFT(RIGHT(CONCATENATE("000",IFAData_TEA_1617!A864),6),3),"-",(RIGHT(RIGHT(CONCATENATE("000",IFAData_TEA_1617!A864),6),3)))</f>
        <v>072-903</v>
      </c>
      <c r="C864" s="2266" t="s">
        <v>2409</v>
      </c>
      <c r="D864" s="2266">
        <v>2</v>
      </c>
      <c r="E864" s="2266">
        <v>2383</v>
      </c>
      <c r="F864" s="2266" t="s">
        <v>5360</v>
      </c>
      <c r="G864" s="2266" t="s">
        <v>5362</v>
      </c>
      <c r="H864" s="2266">
        <v>583662</v>
      </c>
      <c r="I864" s="2266">
        <v>1411170</v>
      </c>
      <c r="J864" s="2266">
        <v>1</v>
      </c>
      <c r="K864" s="2266">
        <v>583662</v>
      </c>
      <c r="L864" s="2266">
        <v>583662</v>
      </c>
      <c r="M864" s="2266">
        <v>599</v>
      </c>
    </row>
    <row r="865" spans="1:13" ht="15">
      <c r="A865" s="2266" t="s">
        <v>4135</v>
      </c>
      <c r="B865" s="2465" t="str">
        <f>CONCATENATE(LEFT(RIGHT(CONCATENATE("000",IFAData_TEA_1617!A865),6),3),"-",(RIGHT(RIGHT(CONCATENATE("000",IFAData_TEA_1617!A865),6),3)))</f>
        <v>072-903</v>
      </c>
      <c r="C865" s="2266" t="s">
        <v>2409</v>
      </c>
      <c r="D865" s="2266">
        <v>2</v>
      </c>
      <c r="E865" s="2266">
        <v>2383</v>
      </c>
      <c r="F865" s="2266" t="s">
        <v>5360</v>
      </c>
      <c r="G865" s="2266" t="s">
        <v>5361</v>
      </c>
      <c r="H865" s="2266">
        <v>583662</v>
      </c>
      <c r="I865" s="2266">
        <v>0</v>
      </c>
      <c r="J865" s="2266">
        <v>0</v>
      </c>
      <c r="K865" s="2266">
        <v>0</v>
      </c>
      <c r="L865" s="2266">
        <v>0</v>
      </c>
      <c r="M865" s="2266">
        <v>599</v>
      </c>
    </row>
    <row r="866" spans="1:13" ht="15">
      <c r="A866" s="2266" t="s">
        <v>4136</v>
      </c>
      <c r="B866" s="2465" t="str">
        <f>CONCATENATE(LEFT(RIGHT(CONCATENATE("000",IFAData_TEA_1617!A866),6),3),"-",(RIGHT(RIGHT(CONCATENATE("000",IFAData_TEA_1617!A866),6),3)))</f>
        <v>072-909</v>
      </c>
      <c r="C866" s="2266" t="s">
        <v>2827</v>
      </c>
      <c r="D866" s="2266">
        <v>5</v>
      </c>
      <c r="E866" s="2266">
        <v>2022</v>
      </c>
      <c r="F866" s="2266" t="s">
        <v>5363</v>
      </c>
      <c r="G866" s="2266" t="s">
        <v>5364</v>
      </c>
      <c r="H866" s="2266">
        <v>100000</v>
      </c>
      <c r="I866" s="2266">
        <v>92238</v>
      </c>
      <c r="J866" s="2266">
        <v>1</v>
      </c>
      <c r="K866" s="2266">
        <v>100000</v>
      </c>
      <c r="L866" s="2266">
        <v>92238</v>
      </c>
      <c r="M866" s="2266">
        <v>599</v>
      </c>
    </row>
    <row r="867" spans="1:13" ht="15">
      <c r="A867" s="2266" t="s">
        <v>4136</v>
      </c>
      <c r="B867" s="2465" t="str">
        <f>CONCATENATE(LEFT(RIGHT(CONCATENATE("000",IFAData_TEA_1617!A867),6),3),"-",(RIGHT(RIGHT(CONCATENATE("000",IFAData_TEA_1617!A867),6),3)))</f>
        <v>072-909</v>
      </c>
      <c r="C867" s="2266" t="s">
        <v>2827</v>
      </c>
      <c r="D867" s="2266">
        <v>5</v>
      </c>
      <c r="E867" s="2266">
        <v>2022</v>
      </c>
      <c r="F867" s="2266" t="s">
        <v>5363</v>
      </c>
      <c r="G867" s="2266" t="s">
        <v>5363</v>
      </c>
      <c r="H867" s="2266">
        <v>100000</v>
      </c>
      <c r="I867" s="2266">
        <v>0</v>
      </c>
      <c r="J867" s="2266">
        <v>0</v>
      </c>
      <c r="K867" s="2266">
        <v>0</v>
      </c>
      <c r="L867" s="2266">
        <v>0</v>
      </c>
      <c r="M867" s="2266">
        <v>599</v>
      </c>
    </row>
    <row r="868" spans="1:13" ht="15">
      <c r="A868" s="2266" t="s">
        <v>5365</v>
      </c>
      <c r="B868" s="2465" t="str">
        <f>CONCATENATE(LEFT(RIGHT(CONCATENATE("000",IFAData_TEA_1617!A868),6),3),"-",(RIGHT(RIGHT(CONCATENATE("000",IFAData_TEA_1617!A868),6),3)))</f>
        <v>073-903</v>
      </c>
      <c r="C868" s="2266" t="s">
        <v>2357</v>
      </c>
      <c r="D868" s="2266">
        <v>2</v>
      </c>
      <c r="E868" s="2266">
        <v>2068</v>
      </c>
      <c r="F868" s="2266" t="s">
        <v>5366</v>
      </c>
      <c r="G868" s="2266" t="s">
        <v>5366</v>
      </c>
      <c r="H868" s="2266">
        <v>386120</v>
      </c>
      <c r="I868" s="2266">
        <v>375155</v>
      </c>
      <c r="J868" s="2266">
        <v>1</v>
      </c>
      <c r="K868" s="2266">
        <v>386120</v>
      </c>
      <c r="L868" s="2266">
        <v>375155</v>
      </c>
      <c r="M868" s="2266">
        <v>199</v>
      </c>
    </row>
    <row r="869" spans="1:13" ht="15">
      <c r="A869" s="2266" t="s">
        <v>5367</v>
      </c>
      <c r="B869" s="2465" t="str">
        <f>CONCATENATE(LEFT(RIGHT(CONCATENATE("000",IFAData_TEA_1617!A869),6),3),"-",(RIGHT(RIGHT(CONCATENATE("000",IFAData_TEA_1617!A869),6),3)))</f>
        <v>073-904</v>
      </c>
      <c r="C869" s="2266" t="s">
        <v>1508</v>
      </c>
      <c r="D869" s="2266">
        <v>4</v>
      </c>
      <c r="E869" s="2266">
        <v>2448</v>
      </c>
      <c r="F869" s="2266" t="s">
        <v>5368</v>
      </c>
      <c r="G869" s="2266" t="s">
        <v>5369</v>
      </c>
      <c r="H869" s="2266">
        <v>100000</v>
      </c>
      <c r="I869" s="2266">
        <v>95500</v>
      </c>
      <c r="J869" s="2266">
        <v>1</v>
      </c>
      <c r="K869" s="2266">
        <v>100000</v>
      </c>
      <c r="L869" s="2266">
        <v>95500</v>
      </c>
      <c r="M869" s="2266">
        <v>199</v>
      </c>
    </row>
    <row r="870" spans="1:13" ht="15">
      <c r="A870" s="2266" t="s">
        <v>5367</v>
      </c>
      <c r="B870" s="2465" t="str">
        <f>CONCATENATE(LEFT(RIGHT(CONCATENATE("000",IFAData_TEA_1617!A870),6),3),"-",(RIGHT(RIGHT(CONCATENATE("000",IFAData_TEA_1617!A870),6),3)))</f>
        <v>073-904</v>
      </c>
      <c r="C870" s="2266" t="s">
        <v>1508</v>
      </c>
      <c r="D870" s="2266">
        <v>8</v>
      </c>
      <c r="E870" s="2266">
        <v>2447</v>
      </c>
      <c r="F870" s="2266" t="s">
        <v>5370</v>
      </c>
      <c r="G870" s="2266" t="s">
        <v>5370</v>
      </c>
      <c r="H870" s="2266">
        <v>91803</v>
      </c>
      <c r="I870" s="2266">
        <v>91797</v>
      </c>
      <c r="J870" s="2266">
        <v>1</v>
      </c>
      <c r="K870" s="2266">
        <v>91803</v>
      </c>
      <c r="L870" s="2266">
        <v>91797</v>
      </c>
      <c r="M870" s="2266">
        <v>199</v>
      </c>
    </row>
    <row r="871" spans="1:13" ht="15">
      <c r="A871" s="2266" t="s">
        <v>5367</v>
      </c>
      <c r="B871" s="2465" t="str">
        <f>CONCATENATE(LEFT(RIGHT(CONCATENATE("000",IFAData_TEA_1617!A871),6),3),"-",(RIGHT(RIGHT(CONCATENATE("000",IFAData_TEA_1617!A871),6),3)))</f>
        <v>073-904</v>
      </c>
      <c r="C871" s="2266" t="s">
        <v>1508</v>
      </c>
      <c r="D871" s="2266">
        <v>4</v>
      </c>
      <c r="E871" s="2266">
        <v>2448</v>
      </c>
      <c r="F871" s="2266" t="s">
        <v>5368</v>
      </c>
      <c r="G871" s="2266" t="s">
        <v>5368</v>
      </c>
      <c r="H871" s="2266">
        <v>100000</v>
      </c>
      <c r="I871" s="2266">
        <v>0</v>
      </c>
      <c r="J871" s="2266">
        <v>0</v>
      </c>
      <c r="K871" s="2266">
        <v>0</v>
      </c>
      <c r="L871" s="2266">
        <v>0</v>
      </c>
      <c r="M871" s="2266">
        <v>199</v>
      </c>
    </row>
    <row r="872" spans="1:13" ht="15">
      <c r="A872" s="2266" t="s">
        <v>4137</v>
      </c>
      <c r="B872" s="2465" t="str">
        <f>CONCATENATE(LEFT(RIGHT(CONCATENATE("000",IFAData_TEA_1617!A872),6),3),"-",(RIGHT(RIGHT(CONCATENATE("000",IFAData_TEA_1617!A872),6),3)))</f>
        <v>074-904</v>
      </c>
      <c r="C872" s="2266" t="s">
        <v>2495</v>
      </c>
      <c r="D872" s="2266">
        <v>5</v>
      </c>
      <c r="E872" s="2266">
        <v>1765</v>
      </c>
      <c r="F872" s="2266" t="s">
        <v>5371</v>
      </c>
      <c r="G872" s="2266" t="s">
        <v>5371</v>
      </c>
      <c r="H872" s="2266">
        <v>100000</v>
      </c>
      <c r="I872" s="2266">
        <v>0</v>
      </c>
      <c r="J872" s="2266">
        <v>0</v>
      </c>
      <c r="K872" s="2266">
        <v>0</v>
      </c>
      <c r="L872" s="2266">
        <v>0</v>
      </c>
      <c r="M872" s="2266">
        <v>599</v>
      </c>
    </row>
    <row r="873" spans="1:13" ht="15">
      <c r="A873" s="2266" t="s">
        <v>4137</v>
      </c>
      <c r="B873" s="2465" t="str">
        <f>CONCATENATE(LEFT(RIGHT(CONCATENATE("000",IFAData_TEA_1617!A873),6),3),"-",(RIGHT(RIGHT(CONCATENATE("000",IFAData_TEA_1617!A873),6),3)))</f>
        <v>074-904</v>
      </c>
      <c r="C873" s="2266" t="s">
        <v>2495</v>
      </c>
      <c r="D873" s="2266">
        <v>5</v>
      </c>
      <c r="E873" s="2266">
        <v>1765</v>
      </c>
      <c r="F873" s="2266" t="s">
        <v>5371</v>
      </c>
      <c r="G873" s="2266" t="s">
        <v>5372</v>
      </c>
      <c r="H873" s="2266">
        <v>100000</v>
      </c>
      <c r="I873" s="2266">
        <v>94050</v>
      </c>
      <c r="J873" s="2266">
        <v>1</v>
      </c>
      <c r="K873" s="2266">
        <v>100000</v>
      </c>
      <c r="L873" s="2266">
        <v>94050</v>
      </c>
      <c r="M873" s="2266">
        <v>599</v>
      </c>
    </row>
    <row r="874" spans="1:13" ht="15">
      <c r="A874" s="2266" t="s">
        <v>4138</v>
      </c>
      <c r="B874" s="2465" t="str">
        <f>CONCATENATE(LEFT(RIGHT(CONCATENATE("000",IFAData_TEA_1617!A874),6),3),"-",(RIGHT(RIGHT(CONCATENATE("000",IFAData_TEA_1617!A874),6),3)))</f>
        <v>074-905</v>
      </c>
      <c r="C874" s="2266" t="s">
        <v>1216</v>
      </c>
      <c r="D874" s="2266">
        <v>6</v>
      </c>
      <c r="E874" s="2266">
        <v>1783</v>
      </c>
      <c r="F874" s="2266" t="s">
        <v>5375</v>
      </c>
      <c r="G874" s="2266" t="s">
        <v>5374</v>
      </c>
      <c r="H874" s="2266">
        <v>79936</v>
      </c>
      <c r="I874" s="2266">
        <v>67980</v>
      </c>
      <c r="J874" s="2266">
        <v>1</v>
      </c>
      <c r="K874" s="2266">
        <v>79936</v>
      </c>
      <c r="L874" s="2266">
        <v>67980</v>
      </c>
      <c r="M874" s="2266">
        <v>599</v>
      </c>
    </row>
    <row r="875" spans="1:13" ht="15">
      <c r="A875" s="2266" t="s">
        <v>4138</v>
      </c>
      <c r="B875" s="2465" t="str">
        <f>CONCATENATE(LEFT(RIGHT(CONCATENATE("000",IFAData_TEA_1617!A875),6),3),"-",(RIGHT(RIGHT(CONCATENATE("000",IFAData_TEA_1617!A875),6),3)))</f>
        <v>074-905</v>
      </c>
      <c r="C875" s="2266" t="s">
        <v>1216</v>
      </c>
      <c r="D875" s="2266">
        <v>5</v>
      </c>
      <c r="E875" s="2266">
        <v>1784</v>
      </c>
      <c r="F875" s="2266" t="s">
        <v>5373</v>
      </c>
      <c r="G875" s="2266" t="s">
        <v>5374</v>
      </c>
      <c r="H875" s="2266">
        <v>110298</v>
      </c>
      <c r="I875" s="2266">
        <v>88211</v>
      </c>
      <c r="J875" s="2266">
        <v>1</v>
      </c>
      <c r="K875" s="2266">
        <v>110298</v>
      </c>
      <c r="L875" s="2266">
        <v>88211</v>
      </c>
      <c r="M875" s="2266">
        <v>599</v>
      </c>
    </row>
    <row r="876" spans="1:13" ht="15">
      <c r="A876" s="2266" t="s">
        <v>4138</v>
      </c>
      <c r="B876" s="2465" t="str">
        <f>CONCATENATE(LEFT(RIGHT(CONCATENATE("000",IFAData_TEA_1617!A876),6),3),"-",(RIGHT(RIGHT(CONCATENATE("000",IFAData_TEA_1617!A876),6),3)))</f>
        <v>074-905</v>
      </c>
      <c r="C876" s="2266" t="s">
        <v>1216</v>
      </c>
      <c r="D876" s="2266">
        <v>5</v>
      </c>
      <c r="E876" s="2266">
        <v>1784</v>
      </c>
      <c r="F876" s="2266" t="s">
        <v>5373</v>
      </c>
      <c r="G876" s="2266" t="s">
        <v>5373</v>
      </c>
      <c r="H876" s="2266">
        <v>110298</v>
      </c>
      <c r="I876" s="2266">
        <v>0</v>
      </c>
      <c r="J876" s="2266">
        <v>0</v>
      </c>
      <c r="K876" s="2266">
        <v>0</v>
      </c>
      <c r="L876" s="2266">
        <v>0</v>
      </c>
      <c r="M876" s="2266">
        <v>599</v>
      </c>
    </row>
    <row r="877" spans="1:13" ht="15">
      <c r="A877" s="2266" t="s">
        <v>4138</v>
      </c>
      <c r="B877" s="2465" t="str">
        <f>CONCATENATE(LEFT(RIGHT(CONCATENATE("000",IFAData_TEA_1617!A877),6),3),"-",(RIGHT(RIGHT(CONCATENATE("000",IFAData_TEA_1617!A877),6),3)))</f>
        <v>074-905</v>
      </c>
      <c r="C877" s="2266" t="s">
        <v>1216</v>
      </c>
      <c r="D877" s="2266">
        <v>6</v>
      </c>
      <c r="E877" s="2266">
        <v>1783</v>
      </c>
      <c r="F877" s="2266" t="s">
        <v>5375</v>
      </c>
      <c r="G877" s="2266" t="s">
        <v>5375</v>
      </c>
      <c r="H877" s="2266">
        <v>79936</v>
      </c>
      <c r="I877" s="2266">
        <v>0</v>
      </c>
      <c r="J877" s="2266">
        <v>0</v>
      </c>
      <c r="K877" s="2266">
        <v>0</v>
      </c>
      <c r="L877" s="2266">
        <v>0</v>
      </c>
      <c r="M877" s="2266">
        <v>599</v>
      </c>
    </row>
    <row r="878" spans="1:13" ht="15">
      <c r="A878" s="2266" t="s">
        <v>4139</v>
      </c>
      <c r="B878" s="2465" t="str">
        <f>CONCATENATE(LEFT(RIGHT(CONCATENATE("000",IFAData_TEA_1617!A878),6),3),"-",(RIGHT(RIGHT(CONCATENATE("000",IFAData_TEA_1617!A878),6),3)))</f>
        <v>074-907</v>
      </c>
      <c r="C878" s="2266" t="s">
        <v>2</v>
      </c>
      <c r="D878" s="2266">
        <v>9</v>
      </c>
      <c r="E878" s="2266">
        <v>1899</v>
      </c>
      <c r="F878" s="2266" t="s">
        <v>5376</v>
      </c>
      <c r="G878" s="2266" t="s">
        <v>6970</v>
      </c>
      <c r="H878" s="2266">
        <v>162500</v>
      </c>
      <c r="I878" s="2266">
        <v>340876</v>
      </c>
      <c r="J878" s="2266">
        <v>0.87459493576701142</v>
      </c>
      <c r="K878" s="2266">
        <v>142121.67706213935</v>
      </c>
      <c r="L878" s="2266">
        <v>142121.67706213935</v>
      </c>
      <c r="M878" s="2266">
        <v>599</v>
      </c>
    </row>
    <row r="879" spans="1:13" ht="15">
      <c r="A879" s="2266" t="s">
        <v>4139</v>
      </c>
      <c r="B879" s="2465" t="str">
        <f>CONCATENATE(LEFT(RIGHT(CONCATENATE("000",IFAData_TEA_1617!A879),6),3),"-",(RIGHT(RIGHT(CONCATENATE("000",IFAData_TEA_1617!A879),6),3)))</f>
        <v>074-907</v>
      </c>
      <c r="C879" s="2266" t="s">
        <v>2</v>
      </c>
      <c r="D879" s="2266">
        <v>9</v>
      </c>
      <c r="E879" s="2266">
        <v>1899</v>
      </c>
      <c r="F879" s="2266" t="s">
        <v>5376</v>
      </c>
      <c r="G879" s="2266" t="s">
        <v>5376</v>
      </c>
      <c r="H879" s="2266">
        <v>162500</v>
      </c>
      <c r="I879" s="2266">
        <v>48877</v>
      </c>
      <c r="J879" s="2266">
        <v>0.12540506423298858</v>
      </c>
      <c r="K879" s="2266">
        <v>20378.322937860645</v>
      </c>
      <c r="L879" s="2266">
        <v>20378.322937860645</v>
      </c>
      <c r="M879" s="2266">
        <v>599</v>
      </c>
    </row>
    <row r="880" spans="1:13" ht="15">
      <c r="A880" s="2266" t="s">
        <v>4140</v>
      </c>
      <c r="B880" s="2465" t="str">
        <f>CONCATENATE(LEFT(RIGHT(CONCATENATE("000",IFAData_TEA_1617!A880),6),3),"-",(RIGHT(RIGHT(CONCATENATE("000",IFAData_TEA_1617!A880),6),3)))</f>
        <v>074-912</v>
      </c>
      <c r="C880" s="2266" t="s">
        <v>5</v>
      </c>
      <c r="D880" s="2266">
        <v>9</v>
      </c>
      <c r="E880" s="2266">
        <v>2400</v>
      </c>
      <c r="F880" s="2266" t="s">
        <v>5377</v>
      </c>
      <c r="G880" s="2266" t="s">
        <v>5377</v>
      </c>
      <c r="H880" s="2266">
        <v>25828</v>
      </c>
      <c r="I880" s="2266">
        <v>11096</v>
      </c>
      <c r="J880" s="2266">
        <v>0.39425810119386012</v>
      </c>
      <c r="K880" s="2266">
        <v>10182.89823763502</v>
      </c>
      <c r="L880" s="2266">
        <v>10182.89823763502</v>
      </c>
      <c r="M880" s="2266">
        <v>599</v>
      </c>
    </row>
    <row r="881" spans="1:13" ht="15">
      <c r="A881" s="2266" t="s">
        <v>4140</v>
      </c>
      <c r="B881" s="2465" t="str">
        <f>CONCATENATE(LEFT(RIGHT(CONCATENATE("000",IFAData_TEA_1617!A881),6),3),"-",(RIGHT(RIGHT(CONCATENATE("000",IFAData_TEA_1617!A881),6),3)))</f>
        <v>074-912</v>
      </c>
      <c r="C881" s="2266" t="s">
        <v>5</v>
      </c>
      <c r="D881" s="2266">
        <v>9</v>
      </c>
      <c r="E881" s="2266">
        <v>2400</v>
      </c>
      <c r="F881" s="2266" t="s">
        <v>5377</v>
      </c>
      <c r="G881" s="2266" t="s">
        <v>7193</v>
      </c>
      <c r="H881" s="2266">
        <v>25828</v>
      </c>
      <c r="I881" s="2266">
        <v>17048</v>
      </c>
      <c r="J881" s="2266">
        <v>0.60574189880613982</v>
      </c>
      <c r="K881" s="2266">
        <v>15645.101762364979</v>
      </c>
      <c r="L881" s="2266">
        <v>15645.101762364979</v>
      </c>
      <c r="M881" s="2266">
        <v>599</v>
      </c>
    </row>
    <row r="882" spans="1:13" ht="15">
      <c r="A882" s="2266" t="s">
        <v>4141</v>
      </c>
      <c r="B882" s="2465" t="str">
        <f>CONCATENATE(LEFT(RIGHT(CONCATENATE("000",IFAData_TEA_1617!A882),6),3),"-",(RIGHT(RIGHT(CONCATENATE("000",IFAData_TEA_1617!A882),6),3)))</f>
        <v>074-917</v>
      </c>
      <c r="C882" s="2266" t="s">
        <v>2306</v>
      </c>
      <c r="D882" s="2266">
        <v>5</v>
      </c>
      <c r="E882" s="2266">
        <v>2276</v>
      </c>
      <c r="F882" s="2266" t="s">
        <v>5378</v>
      </c>
      <c r="G882" s="2266" t="s">
        <v>5378</v>
      </c>
      <c r="H882" s="2266">
        <v>45485</v>
      </c>
      <c r="I882" s="2266">
        <v>0</v>
      </c>
      <c r="J882" s="2266">
        <v>0</v>
      </c>
      <c r="K882" s="2266"/>
      <c r="L882" s="2266">
        <v>0</v>
      </c>
      <c r="M882" s="2266">
        <v>599</v>
      </c>
    </row>
    <row r="883" spans="1:13" ht="15">
      <c r="A883" s="2266" t="s">
        <v>4142</v>
      </c>
      <c r="B883" s="2465" t="str">
        <f>CONCATENATE(LEFT(RIGHT(CONCATENATE("000",IFAData_TEA_1617!A883),6),3),"-",(RIGHT(RIGHT(CONCATENATE("000",IFAData_TEA_1617!A883),6),3)))</f>
        <v>076-904</v>
      </c>
      <c r="C883" s="2266" t="s">
        <v>665</v>
      </c>
      <c r="D883" s="2266">
        <v>6</v>
      </c>
      <c r="E883" s="2266">
        <v>2265</v>
      </c>
      <c r="F883" s="2266" t="s">
        <v>5379</v>
      </c>
      <c r="G883" s="2266" t="s">
        <v>5379</v>
      </c>
      <c r="H883" s="2266">
        <v>42457</v>
      </c>
      <c r="I883" s="2266">
        <v>41289</v>
      </c>
      <c r="J883" s="2266">
        <v>1</v>
      </c>
      <c r="K883" s="2266">
        <v>42457</v>
      </c>
      <c r="L883" s="2266">
        <v>41289</v>
      </c>
      <c r="M883" s="2266">
        <v>599</v>
      </c>
    </row>
    <row r="884" spans="1:13" ht="15">
      <c r="A884" s="2266" t="s">
        <v>4143</v>
      </c>
      <c r="B884" s="2465" t="str">
        <f>CONCATENATE(LEFT(RIGHT(CONCATENATE("000",IFAData_TEA_1617!A884),6),3),"-",(RIGHT(RIGHT(CONCATENATE("000",IFAData_TEA_1617!A884),6),3)))</f>
        <v>079-906</v>
      </c>
      <c r="C884" s="2266" t="s">
        <v>1006</v>
      </c>
      <c r="D884" s="2266">
        <v>9</v>
      </c>
      <c r="E884" s="2266">
        <v>2131</v>
      </c>
      <c r="F884" s="2266" t="s">
        <v>5383</v>
      </c>
      <c r="G884" s="2266" t="s">
        <v>6971</v>
      </c>
      <c r="H884" s="2266">
        <v>338364</v>
      </c>
      <c r="I884" s="2266">
        <v>217220</v>
      </c>
      <c r="J884" s="2266">
        <v>0.45408460832537223</v>
      </c>
      <c r="K884" s="2266">
        <v>153645.88441140624</v>
      </c>
      <c r="L884" s="2266">
        <v>153645.88441140624</v>
      </c>
      <c r="M884" s="2266">
        <v>599</v>
      </c>
    </row>
    <row r="885" spans="1:13" ht="15">
      <c r="A885" s="2266" t="s">
        <v>4143</v>
      </c>
      <c r="B885" s="2465" t="str">
        <f>CONCATENATE(LEFT(RIGHT(CONCATENATE("000",IFAData_TEA_1617!A885),6),3),"-",(RIGHT(RIGHT(CONCATENATE("000",IFAData_TEA_1617!A885),6),3)))</f>
        <v>079-906</v>
      </c>
      <c r="C885" s="2266" t="s">
        <v>1006</v>
      </c>
      <c r="D885" s="2266">
        <v>10</v>
      </c>
      <c r="E885" s="2266">
        <v>2133</v>
      </c>
      <c r="F885" s="2266" t="s">
        <v>5384</v>
      </c>
      <c r="G885" s="2266" t="s">
        <v>6971</v>
      </c>
      <c r="H885" s="2266">
        <v>639148</v>
      </c>
      <c r="I885" s="2266">
        <v>54443</v>
      </c>
      <c r="J885" s="2266">
        <v>3.8042152910686224E-2</v>
      </c>
      <c r="K885" s="2266">
        <v>24314.565948559277</v>
      </c>
      <c r="L885" s="2266">
        <v>24314.565948559277</v>
      </c>
      <c r="M885" s="2266">
        <v>599</v>
      </c>
    </row>
    <row r="886" spans="1:13" ht="15">
      <c r="A886" s="2266" t="s">
        <v>4143</v>
      </c>
      <c r="B886" s="2465" t="str">
        <f>CONCATENATE(LEFT(RIGHT(CONCATENATE("000",IFAData_TEA_1617!A886),6),3),"-",(RIGHT(RIGHT(CONCATENATE("000",IFAData_TEA_1617!A886),6),3)))</f>
        <v>079-906</v>
      </c>
      <c r="C886" s="2266" t="s">
        <v>1006</v>
      </c>
      <c r="D886" s="2266">
        <v>3</v>
      </c>
      <c r="E886" s="2266">
        <v>2132</v>
      </c>
      <c r="F886" s="2266" t="s">
        <v>5380</v>
      </c>
      <c r="G886" s="2266" t="s">
        <v>6972</v>
      </c>
      <c r="H886" s="2266">
        <v>559413</v>
      </c>
      <c r="I886" s="2266">
        <v>703525</v>
      </c>
      <c r="J886" s="2266">
        <v>0.82251013925472827</v>
      </c>
      <c r="K886" s="2266">
        <v>460122.86453090532</v>
      </c>
      <c r="L886" s="2266">
        <v>460122.86453090532</v>
      </c>
      <c r="M886" s="2266">
        <v>599</v>
      </c>
    </row>
    <row r="887" spans="1:13" ht="15">
      <c r="A887" s="2266" t="s">
        <v>4143</v>
      </c>
      <c r="B887" s="2465" t="str">
        <f>CONCATENATE(LEFT(RIGHT(CONCATENATE("000",IFAData_TEA_1617!A887),6),3),"-",(RIGHT(RIGHT(CONCATENATE("000",IFAData_TEA_1617!A887),6),3)))</f>
        <v>079-906</v>
      </c>
      <c r="C887" s="2266" t="s">
        <v>1006</v>
      </c>
      <c r="D887" s="2266">
        <v>3</v>
      </c>
      <c r="E887" s="2266">
        <v>2132</v>
      </c>
      <c r="F887" s="2266" t="s">
        <v>5380</v>
      </c>
      <c r="G887" s="2266" t="s">
        <v>5381</v>
      </c>
      <c r="H887" s="2266">
        <v>559413</v>
      </c>
      <c r="I887" s="2266">
        <v>0</v>
      </c>
      <c r="J887" s="2266">
        <v>0</v>
      </c>
      <c r="K887" s="2266">
        <v>0</v>
      </c>
      <c r="L887" s="2266">
        <v>0</v>
      </c>
      <c r="M887" s="2266">
        <v>599</v>
      </c>
    </row>
    <row r="888" spans="1:13" ht="15">
      <c r="A888" s="2266" t="s">
        <v>4143</v>
      </c>
      <c r="B888" s="2465" t="str">
        <f>CONCATENATE(LEFT(RIGHT(CONCATENATE("000",IFAData_TEA_1617!A888),6),3),"-",(RIGHT(RIGHT(CONCATENATE("000",IFAData_TEA_1617!A888),6),3)))</f>
        <v>079-906</v>
      </c>
      <c r="C888" s="2266" t="s">
        <v>1006</v>
      </c>
      <c r="D888" s="2266">
        <v>3</v>
      </c>
      <c r="E888" s="2266">
        <v>2132</v>
      </c>
      <c r="F888" s="2266" t="s">
        <v>5380</v>
      </c>
      <c r="G888" s="2266" t="s">
        <v>5382</v>
      </c>
      <c r="H888" s="2266">
        <v>559413</v>
      </c>
      <c r="I888" s="2266">
        <v>151814</v>
      </c>
      <c r="J888" s="2266">
        <v>0.17748986074527176</v>
      </c>
      <c r="K888" s="2266">
        <v>99290.135469094705</v>
      </c>
      <c r="L888" s="2266">
        <v>99290.135469094705</v>
      </c>
      <c r="M888" s="2266">
        <v>599</v>
      </c>
    </row>
    <row r="889" spans="1:13" ht="15">
      <c r="A889" s="2266" t="s">
        <v>4143</v>
      </c>
      <c r="B889" s="2465" t="str">
        <f>CONCATENATE(LEFT(RIGHT(CONCATENATE("000",IFAData_TEA_1617!A889),6),3),"-",(RIGHT(RIGHT(CONCATENATE("000",IFAData_TEA_1617!A889),6),3)))</f>
        <v>079-906</v>
      </c>
      <c r="C889" s="2266" t="s">
        <v>1006</v>
      </c>
      <c r="D889" s="2266">
        <v>10</v>
      </c>
      <c r="E889" s="2266">
        <v>2133</v>
      </c>
      <c r="F889" s="2266" t="s">
        <v>5384</v>
      </c>
      <c r="G889" s="2266" t="s">
        <v>5384</v>
      </c>
      <c r="H889" s="2266">
        <v>639148</v>
      </c>
      <c r="I889" s="2266">
        <v>1376680</v>
      </c>
      <c r="J889" s="2266">
        <v>0.96195784708931376</v>
      </c>
      <c r="K889" s="2266">
        <v>614833.43405144068</v>
      </c>
      <c r="L889" s="2266">
        <v>614833.43405144068</v>
      </c>
      <c r="M889" s="2266">
        <v>599</v>
      </c>
    </row>
    <row r="890" spans="1:13" ht="15">
      <c r="A890" s="2266" t="s">
        <v>4143</v>
      </c>
      <c r="B890" s="2465" t="str">
        <f>CONCATENATE(LEFT(RIGHT(CONCATENATE("000",IFAData_TEA_1617!A890),6),3),"-",(RIGHT(RIGHT(CONCATENATE("000",IFAData_TEA_1617!A890),6),3)))</f>
        <v>079-906</v>
      </c>
      <c r="C890" s="2266" t="s">
        <v>1006</v>
      </c>
      <c r="D890" s="2266">
        <v>9</v>
      </c>
      <c r="E890" s="2266">
        <v>2131</v>
      </c>
      <c r="F890" s="2266" t="s">
        <v>5383</v>
      </c>
      <c r="G890" s="2266" t="s">
        <v>5383</v>
      </c>
      <c r="H890" s="2266">
        <v>338364</v>
      </c>
      <c r="I890" s="2266">
        <v>261149</v>
      </c>
      <c r="J890" s="2266">
        <v>0.54591539167462777</v>
      </c>
      <c r="K890" s="2266">
        <v>184718.11558859376</v>
      </c>
      <c r="L890" s="2266">
        <v>184718.11558859376</v>
      </c>
      <c r="M890" s="2266">
        <v>599</v>
      </c>
    </row>
    <row r="891" spans="1:13" ht="15">
      <c r="A891" s="2266" t="s">
        <v>4143</v>
      </c>
      <c r="B891" s="2465" t="str">
        <f>CONCATENATE(LEFT(RIGHT(CONCATENATE("000",IFAData_TEA_1617!A891),6),3),"-",(RIGHT(RIGHT(CONCATENATE("000",IFAData_TEA_1617!A891),6),3)))</f>
        <v>079-906</v>
      </c>
      <c r="C891" s="2266" t="s">
        <v>1006</v>
      </c>
      <c r="D891" s="2266">
        <v>3</v>
      </c>
      <c r="E891" s="2266">
        <v>2132</v>
      </c>
      <c r="F891" s="2266" t="s">
        <v>5380</v>
      </c>
      <c r="G891" s="2266" t="s">
        <v>5380</v>
      </c>
      <c r="H891" s="2266">
        <v>559413</v>
      </c>
      <c r="I891" s="2266">
        <v>0</v>
      </c>
      <c r="J891" s="2266">
        <v>0</v>
      </c>
      <c r="K891" s="2266">
        <v>0</v>
      </c>
      <c r="L891" s="2266">
        <v>0</v>
      </c>
      <c r="M891" s="2266">
        <v>599</v>
      </c>
    </row>
    <row r="892" spans="1:13" ht="15">
      <c r="A892" s="2266" t="s">
        <v>4144</v>
      </c>
      <c r="B892" s="2465" t="str">
        <f>CONCATENATE(LEFT(RIGHT(CONCATENATE("000",IFAData_TEA_1617!A892),6),3),"-",(RIGHT(RIGHT(CONCATENATE("000",IFAData_TEA_1617!A892),6),3)))</f>
        <v>079-907</v>
      </c>
      <c r="C892" s="2266" t="s">
        <v>133</v>
      </c>
      <c r="D892" s="2266">
        <v>2</v>
      </c>
      <c r="E892" s="2266">
        <v>1821</v>
      </c>
      <c r="F892" s="2266" t="s">
        <v>5389</v>
      </c>
      <c r="G892" s="2266" t="s">
        <v>5391</v>
      </c>
      <c r="H892" s="2266">
        <v>2155774</v>
      </c>
      <c r="I892" s="2266">
        <v>32220</v>
      </c>
      <c r="J892" s="2266">
        <v>1.5234467533609684E-2</v>
      </c>
      <c r="K892" s="2266">
        <v>32842.069012799882</v>
      </c>
      <c r="L892" s="2266">
        <v>32220</v>
      </c>
      <c r="M892" s="2266">
        <v>599</v>
      </c>
    </row>
    <row r="893" spans="1:13" ht="15">
      <c r="A893" s="2266" t="s">
        <v>4144</v>
      </c>
      <c r="B893" s="2465" t="str">
        <f>CONCATENATE(LEFT(RIGHT(CONCATENATE("000",IFAData_TEA_1617!A893),6),3),"-",(RIGHT(RIGHT(CONCATENATE("000",IFAData_TEA_1617!A893),6),3)))</f>
        <v>079-907</v>
      </c>
      <c r="C893" s="2266" t="s">
        <v>133</v>
      </c>
      <c r="D893" s="2266">
        <v>9</v>
      </c>
      <c r="E893" s="2266">
        <v>1823</v>
      </c>
      <c r="F893" s="2266" t="s">
        <v>5392</v>
      </c>
      <c r="G893" s="2266" t="s">
        <v>5392</v>
      </c>
      <c r="H893" s="2266">
        <v>7005446</v>
      </c>
      <c r="I893" s="2266">
        <v>0</v>
      </c>
      <c r="J893" s="2266">
        <v>0</v>
      </c>
      <c r="K893" s="2266">
        <v>0</v>
      </c>
      <c r="L893" s="2266">
        <v>0</v>
      </c>
      <c r="M893" s="2266">
        <v>599</v>
      </c>
    </row>
    <row r="894" spans="1:13" ht="15">
      <c r="A894" s="2266" t="s">
        <v>4144</v>
      </c>
      <c r="B894" s="2465" t="str">
        <f>CONCATENATE(LEFT(RIGHT(CONCATENATE("000",IFAData_TEA_1617!A894),6),3),"-",(RIGHT(RIGHT(CONCATENATE("000",IFAData_TEA_1617!A894),6),3)))</f>
        <v>079-907</v>
      </c>
      <c r="C894" s="2266" t="s">
        <v>133</v>
      </c>
      <c r="D894" s="2266">
        <v>2</v>
      </c>
      <c r="E894" s="2266">
        <v>1821</v>
      </c>
      <c r="F894" s="2266" t="s">
        <v>5389</v>
      </c>
      <c r="G894" s="2266" t="s">
        <v>5389</v>
      </c>
      <c r="H894" s="2266">
        <v>2155774</v>
      </c>
      <c r="I894" s="2266">
        <v>0</v>
      </c>
      <c r="J894" s="2266">
        <v>0</v>
      </c>
      <c r="K894" s="2266">
        <v>0</v>
      </c>
      <c r="L894" s="2266">
        <v>0</v>
      </c>
      <c r="M894" s="2266">
        <v>599</v>
      </c>
    </row>
    <row r="895" spans="1:13" ht="15">
      <c r="A895" s="2266" t="s">
        <v>4144</v>
      </c>
      <c r="B895" s="2465" t="str">
        <f>CONCATENATE(LEFT(RIGHT(CONCATENATE("000",IFAData_TEA_1617!A895),6),3),"-",(RIGHT(RIGHT(CONCATENATE("000",IFAData_TEA_1617!A895),6),3)))</f>
        <v>079-907</v>
      </c>
      <c r="C895" s="2266" t="s">
        <v>133</v>
      </c>
      <c r="D895" s="2266">
        <v>10</v>
      </c>
      <c r="E895" s="2266">
        <v>1820</v>
      </c>
      <c r="F895" s="2266" t="s">
        <v>5387</v>
      </c>
      <c r="G895" s="2266" t="s">
        <v>5387</v>
      </c>
      <c r="H895" s="2266">
        <v>653006</v>
      </c>
      <c r="I895" s="2266">
        <v>653006</v>
      </c>
      <c r="J895" s="2266">
        <v>1</v>
      </c>
      <c r="K895" s="2266">
        <v>653006</v>
      </c>
      <c r="L895" s="2266">
        <v>653006</v>
      </c>
      <c r="M895" s="2266">
        <v>599</v>
      </c>
    </row>
    <row r="896" spans="1:13" ht="15">
      <c r="A896" s="2266" t="s">
        <v>4144</v>
      </c>
      <c r="B896" s="2465" t="str">
        <f>CONCATENATE(LEFT(RIGHT(CONCATENATE("000",IFAData_TEA_1617!A896),6),3),"-",(RIGHT(RIGHT(CONCATENATE("000",IFAData_TEA_1617!A896),6),3)))</f>
        <v>079-907</v>
      </c>
      <c r="C896" s="2266" t="s">
        <v>133</v>
      </c>
      <c r="D896" s="2266">
        <v>1</v>
      </c>
      <c r="E896" s="2266">
        <v>1822</v>
      </c>
      <c r="F896" s="2266" t="s">
        <v>5385</v>
      </c>
      <c r="G896" s="2266" t="s">
        <v>5387</v>
      </c>
      <c r="H896" s="2266">
        <v>4738980</v>
      </c>
      <c r="I896" s="2266">
        <v>790038</v>
      </c>
      <c r="J896" s="2266">
        <v>0.17055988663278518</v>
      </c>
      <c r="K896" s="2266">
        <v>808279.8915550363</v>
      </c>
      <c r="L896" s="2266">
        <v>790038</v>
      </c>
      <c r="M896" s="2266">
        <v>599</v>
      </c>
    </row>
    <row r="897" spans="1:13" ht="15">
      <c r="A897" s="2266" t="s">
        <v>4144</v>
      </c>
      <c r="B897" s="2465" t="str">
        <f>CONCATENATE(LEFT(RIGHT(CONCATENATE("000",IFAData_TEA_1617!A897),6),3),"-",(RIGHT(RIGHT(CONCATENATE("000",IFAData_TEA_1617!A897),6),3)))</f>
        <v>079-907</v>
      </c>
      <c r="C897" s="2266" t="s">
        <v>133</v>
      </c>
      <c r="D897" s="2266">
        <v>1</v>
      </c>
      <c r="E897" s="2266">
        <v>1822</v>
      </c>
      <c r="F897" s="2266" t="s">
        <v>5385</v>
      </c>
      <c r="G897" s="2266" t="s">
        <v>5388</v>
      </c>
      <c r="H897" s="2266">
        <v>4738980</v>
      </c>
      <c r="I897" s="2266">
        <v>51302</v>
      </c>
      <c r="J897" s="2266">
        <v>1.1075496753365211E-2</v>
      </c>
      <c r="K897" s="2266">
        <v>52486.557604262671</v>
      </c>
      <c r="L897" s="2266">
        <v>51302</v>
      </c>
      <c r="M897" s="2266">
        <v>599</v>
      </c>
    </row>
    <row r="898" spans="1:13" ht="15">
      <c r="A898" s="2266" t="s">
        <v>4144</v>
      </c>
      <c r="B898" s="2465" t="str">
        <f>CONCATENATE(LEFT(RIGHT(CONCATENATE("000",IFAData_TEA_1617!A898),6),3),"-",(RIGHT(RIGHT(CONCATENATE("000",IFAData_TEA_1617!A898),6),3)))</f>
        <v>079-907</v>
      </c>
      <c r="C898" s="2266" t="s">
        <v>133</v>
      </c>
      <c r="D898" s="2266">
        <v>10</v>
      </c>
      <c r="E898" s="2266">
        <v>1824</v>
      </c>
      <c r="F898" s="2266" t="s">
        <v>5393</v>
      </c>
      <c r="G898" s="2266" t="s">
        <v>5393</v>
      </c>
      <c r="H898" s="2266">
        <v>8781990</v>
      </c>
      <c r="I898" s="2266">
        <v>13956452</v>
      </c>
      <c r="J898" s="2266">
        <v>1</v>
      </c>
      <c r="K898" s="2266">
        <v>8781990</v>
      </c>
      <c r="L898" s="2266">
        <v>8781990</v>
      </c>
      <c r="M898" s="2266">
        <v>599</v>
      </c>
    </row>
    <row r="899" spans="1:13" ht="15">
      <c r="A899" s="2266" t="s">
        <v>4144</v>
      </c>
      <c r="B899" s="2465" t="str">
        <f>CONCATENATE(LEFT(RIGHT(CONCATENATE("000",IFAData_TEA_1617!A899),6),3),"-",(RIGHT(RIGHT(CONCATENATE("000",IFAData_TEA_1617!A899),6),3)))</f>
        <v>079-907</v>
      </c>
      <c r="C899" s="2266" t="s">
        <v>133</v>
      </c>
      <c r="D899" s="2266">
        <v>2</v>
      </c>
      <c r="E899" s="2266">
        <v>1821</v>
      </c>
      <c r="F899" s="2266" t="s">
        <v>5389</v>
      </c>
      <c r="G899" s="2266" t="s">
        <v>5390</v>
      </c>
      <c r="H899" s="2266">
        <v>2155774</v>
      </c>
      <c r="I899" s="2266">
        <v>0</v>
      </c>
      <c r="J899" s="2266">
        <v>0</v>
      </c>
      <c r="K899" s="2266">
        <v>0</v>
      </c>
      <c r="L899" s="2266">
        <v>0</v>
      </c>
      <c r="M899" s="2266">
        <v>599</v>
      </c>
    </row>
    <row r="900" spans="1:13" ht="15">
      <c r="A900" s="2266" t="s">
        <v>4144</v>
      </c>
      <c r="B900" s="2465" t="str">
        <f>CONCATENATE(LEFT(RIGHT(CONCATENATE("000",IFAData_TEA_1617!A900),6),3),"-",(RIGHT(RIGHT(CONCATENATE("000",IFAData_TEA_1617!A900),6),3)))</f>
        <v>079-907</v>
      </c>
      <c r="C900" s="2266" t="s">
        <v>133</v>
      </c>
      <c r="D900" s="2266">
        <v>1</v>
      </c>
      <c r="E900" s="2266">
        <v>1822</v>
      </c>
      <c r="F900" s="2266" t="s">
        <v>5385</v>
      </c>
      <c r="G900" s="2266" t="s">
        <v>5386</v>
      </c>
      <c r="H900" s="2266">
        <v>4738980</v>
      </c>
      <c r="I900" s="2266">
        <v>3790687</v>
      </c>
      <c r="J900" s="2266">
        <v>0.81836461661384963</v>
      </c>
      <c r="K900" s="2266">
        <v>3878213.550840701</v>
      </c>
      <c r="L900" s="2266">
        <v>3790687</v>
      </c>
      <c r="M900" s="2266">
        <v>599</v>
      </c>
    </row>
    <row r="901" spans="1:13" ht="15">
      <c r="A901" s="2266" t="s">
        <v>4144</v>
      </c>
      <c r="B901" s="2465" t="str">
        <f>CONCATENATE(LEFT(RIGHT(CONCATENATE("000",IFAData_TEA_1617!A901),6),3),"-",(RIGHT(RIGHT(CONCATENATE("000",IFAData_TEA_1617!A901),6),3)))</f>
        <v>079-907</v>
      </c>
      <c r="C901" s="2266" t="s">
        <v>133</v>
      </c>
      <c r="D901" s="2266">
        <v>9</v>
      </c>
      <c r="E901" s="2266">
        <v>1823</v>
      </c>
      <c r="F901" s="2266" t="s">
        <v>5392</v>
      </c>
      <c r="G901" s="2266" t="s">
        <v>7194</v>
      </c>
      <c r="H901" s="2266">
        <v>7005446</v>
      </c>
      <c r="I901" s="2266">
        <v>5110970</v>
      </c>
      <c r="J901" s="2266">
        <v>1</v>
      </c>
      <c r="K901" s="2266">
        <v>7005446</v>
      </c>
      <c r="L901" s="2266">
        <v>5110970</v>
      </c>
      <c r="M901" s="2266">
        <v>599</v>
      </c>
    </row>
    <row r="902" spans="1:13" ht="15">
      <c r="A902" s="2266" t="s">
        <v>4144</v>
      </c>
      <c r="B902" s="2465" t="str">
        <f>CONCATENATE(LEFT(RIGHT(CONCATENATE("000",IFAData_TEA_1617!A902),6),3),"-",(RIGHT(RIGHT(CONCATENATE("000",IFAData_TEA_1617!A902),6),3)))</f>
        <v>079-907</v>
      </c>
      <c r="C902" s="2266" t="s">
        <v>133</v>
      </c>
      <c r="D902" s="2266">
        <v>2</v>
      </c>
      <c r="E902" s="2266">
        <v>1821</v>
      </c>
      <c r="F902" s="2266" t="s">
        <v>5389</v>
      </c>
      <c r="G902" s="2266" t="s">
        <v>5388</v>
      </c>
      <c r="H902" s="2266">
        <v>2155774</v>
      </c>
      <c r="I902" s="2266">
        <v>57016</v>
      </c>
      <c r="J902" s="2266">
        <v>2.6958671660344189E-2</v>
      </c>
      <c r="K902" s="2266">
        <v>58116.803439906835</v>
      </c>
      <c r="L902" s="2266">
        <v>57016</v>
      </c>
      <c r="M902" s="2266">
        <v>599</v>
      </c>
    </row>
    <row r="903" spans="1:13" ht="15">
      <c r="A903" s="2266" t="s">
        <v>4144</v>
      </c>
      <c r="B903" s="2465" t="str">
        <f>CONCATENATE(LEFT(RIGHT(CONCATENATE("000",IFAData_TEA_1617!A903),6),3),"-",(RIGHT(RIGHT(CONCATENATE("000",IFAData_TEA_1617!A903),6),3)))</f>
        <v>079-907</v>
      </c>
      <c r="C903" s="2266" t="s">
        <v>133</v>
      </c>
      <c r="D903" s="2266">
        <v>1</v>
      </c>
      <c r="E903" s="2266">
        <v>1822</v>
      </c>
      <c r="F903" s="2266" t="s">
        <v>5385</v>
      </c>
      <c r="G903" s="2266" t="s">
        <v>5385</v>
      </c>
      <c r="H903" s="2266">
        <v>4738980</v>
      </c>
      <c r="I903" s="2266">
        <v>0</v>
      </c>
      <c r="J903" s="2266">
        <v>0</v>
      </c>
      <c r="K903" s="2266">
        <v>0</v>
      </c>
      <c r="L903" s="2266">
        <v>0</v>
      </c>
      <c r="M903" s="2266">
        <v>599</v>
      </c>
    </row>
    <row r="904" spans="1:13" ht="15">
      <c r="A904" s="2266" t="s">
        <v>4144</v>
      </c>
      <c r="B904" s="2465" t="str">
        <f>CONCATENATE(LEFT(RIGHT(CONCATENATE("000",IFAData_TEA_1617!A904),6),3),"-",(RIGHT(RIGHT(CONCATENATE("000",IFAData_TEA_1617!A904),6),3)))</f>
        <v>079-907</v>
      </c>
      <c r="C904" s="2266" t="s">
        <v>133</v>
      </c>
      <c r="D904" s="2266">
        <v>2</v>
      </c>
      <c r="E904" s="2266">
        <v>1821</v>
      </c>
      <c r="F904" s="2266" t="s">
        <v>5389</v>
      </c>
      <c r="G904" s="2266" t="s">
        <v>5386</v>
      </c>
      <c r="H904" s="2266">
        <v>2155774</v>
      </c>
      <c r="I904" s="2266">
        <v>2025705</v>
      </c>
      <c r="J904" s="2266">
        <v>0.95780686080604616</v>
      </c>
      <c r="K904" s="2266">
        <v>2064815.1275472934</v>
      </c>
      <c r="L904" s="2266">
        <v>2025705</v>
      </c>
      <c r="M904" s="2266">
        <v>599</v>
      </c>
    </row>
    <row r="905" spans="1:13" ht="15">
      <c r="A905" s="2266" t="s">
        <v>4145</v>
      </c>
      <c r="B905" s="2465" t="str">
        <f>CONCATENATE(LEFT(RIGHT(CONCATENATE("000",IFAData_TEA_1617!A905),6),3),"-",(RIGHT(RIGHT(CONCATENATE("000",IFAData_TEA_1617!A905),6),3)))</f>
        <v>082-902</v>
      </c>
      <c r="C905" s="2266" t="s">
        <v>2494</v>
      </c>
      <c r="D905" s="2266">
        <v>5</v>
      </c>
      <c r="E905" s="2266">
        <v>1764</v>
      </c>
      <c r="F905" s="2266" t="s">
        <v>5394</v>
      </c>
      <c r="G905" s="2266" t="s">
        <v>5394</v>
      </c>
      <c r="H905" s="2266">
        <v>192327</v>
      </c>
      <c r="I905" s="2266">
        <v>0</v>
      </c>
      <c r="J905" s="2266">
        <v>0</v>
      </c>
      <c r="K905" s="2266">
        <v>0</v>
      </c>
      <c r="L905" s="2266">
        <v>0</v>
      </c>
      <c r="M905" s="2266">
        <v>599</v>
      </c>
    </row>
    <row r="906" spans="1:13" ht="15">
      <c r="A906" s="2266" t="s">
        <v>4145</v>
      </c>
      <c r="B906" s="2465" t="str">
        <f>CONCATENATE(LEFT(RIGHT(CONCATENATE("000",IFAData_TEA_1617!A906),6),3),"-",(RIGHT(RIGHT(CONCATENATE("000",IFAData_TEA_1617!A906),6),3)))</f>
        <v>082-902</v>
      </c>
      <c r="C906" s="2266" t="s">
        <v>2494</v>
      </c>
      <c r="D906" s="2266">
        <v>5</v>
      </c>
      <c r="E906" s="2266">
        <v>1764</v>
      </c>
      <c r="F906" s="2266" t="s">
        <v>5394</v>
      </c>
      <c r="G906" s="2266" t="s">
        <v>5396</v>
      </c>
      <c r="H906" s="2266">
        <v>192327</v>
      </c>
      <c r="I906" s="2266">
        <v>0</v>
      </c>
      <c r="J906" s="2266">
        <v>0</v>
      </c>
      <c r="K906" s="2266">
        <v>0</v>
      </c>
      <c r="L906" s="2266">
        <v>0</v>
      </c>
      <c r="M906" s="2266">
        <v>599</v>
      </c>
    </row>
    <row r="907" spans="1:13" ht="15">
      <c r="A907" s="2266" t="s">
        <v>4145</v>
      </c>
      <c r="B907" s="2465" t="str">
        <f>CONCATENATE(LEFT(RIGHT(CONCATENATE("000",IFAData_TEA_1617!A907),6),3),"-",(RIGHT(RIGHT(CONCATENATE("000",IFAData_TEA_1617!A907),6),3)))</f>
        <v>082-902</v>
      </c>
      <c r="C907" s="2266" t="s">
        <v>2494</v>
      </c>
      <c r="D907" s="2266">
        <v>9</v>
      </c>
      <c r="E907" s="2266">
        <v>1763</v>
      </c>
      <c r="F907" s="2266" t="s">
        <v>5397</v>
      </c>
      <c r="G907" s="2266" t="s">
        <v>5397</v>
      </c>
      <c r="H907" s="2266">
        <v>183808</v>
      </c>
      <c r="I907" s="2266">
        <v>194098</v>
      </c>
      <c r="J907" s="2266">
        <v>1</v>
      </c>
      <c r="K907" s="2266">
        <v>183808</v>
      </c>
      <c r="L907" s="2266">
        <v>183808</v>
      </c>
      <c r="M907" s="2266">
        <v>599</v>
      </c>
    </row>
    <row r="908" spans="1:13" ht="15">
      <c r="A908" s="2266" t="s">
        <v>4145</v>
      </c>
      <c r="B908" s="2465" t="str">
        <f>CONCATENATE(LEFT(RIGHT(CONCATENATE("000",IFAData_TEA_1617!A908),6),3),"-",(RIGHT(RIGHT(CONCATENATE("000",IFAData_TEA_1617!A908),6),3)))</f>
        <v>082-902</v>
      </c>
      <c r="C908" s="2266" t="s">
        <v>2494</v>
      </c>
      <c r="D908" s="2266">
        <v>5</v>
      </c>
      <c r="E908" s="2266">
        <v>1764</v>
      </c>
      <c r="F908" s="2266" t="s">
        <v>5394</v>
      </c>
      <c r="G908" s="2266" t="s">
        <v>5395</v>
      </c>
      <c r="H908" s="2266">
        <v>192327</v>
      </c>
      <c r="I908" s="2266">
        <v>191840</v>
      </c>
      <c r="J908" s="2266">
        <v>1</v>
      </c>
      <c r="K908" s="2266">
        <v>192327</v>
      </c>
      <c r="L908" s="2266">
        <v>191840</v>
      </c>
      <c r="M908" s="2266">
        <v>599</v>
      </c>
    </row>
    <row r="909" spans="1:13" ht="15">
      <c r="A909" s="2266" t="s">
        <v>4146</v>
      </c>
      <c r="B909" s="2465" t="str">
        <f>CONCATENATE(LEFT(RIGHT(CONCATENATE("000",IFAData_TEA_1617!A909),6),3),"-",(RIGHT(RIGHT(CONCATENATE("000",IFAData_TEA_1617!A909),6),3)))</f>
        <v>082-903</v>
      </c>
      <c r="C909" s="2266" t="s">
        <v>2987</v>
      </c>
      <c r="D909" s="2266">
        <v>6</v>
      </c>
      <c r="E909" s="2266">
        <v>2182</v>
      </c>
      <c r="F909" s="2266" t="s">
        <v>5398</v>
      </c>
      <c r="G909" s="2266" t="s">
        <v>5400</v>
      </c>
      <c r="H909" s="2266">
        <v>496016</v>
      </c>
      <c r="I909" s="2266">
        <v>304300</v>
      </c>
      <c r="J909" s="2266">
        <v>0.52217753006424683</v>
      </c>
      <c r="K909" s="2266">
        <v>259008.40975234745</v>
      </c>
      <c r="L909" s="2266">
        <v>259008.40975234745</v>
      </c>
      <c r="M909" s="2266">
        <v>599</v>
      </c>
    </row>
    <row r="910" spans="1:13" ht="15">
      <c r="A910" s="2266" t="s">
        <v>4146</v>
      </c>
      <c r="B910" s="2465" t="str">
        <f>CONCATENATE(LEFT(RIGHT(CONCATENATE("000",IFAData_TEA_1617!A910),6),3),"-",(RIGHT(RIGHT(CONCATENATE("000",IFAData_TEA_1617!A910),6),3)))</f>
        <v>082-903</v>
      </c>
      <c r="C910" s="2266" t="s">
        <v>2987</v>
      </c>
      <c r="D910" s="2266">
        <v>6</v>
      </c>
      <c r="E910" s="2266">
        <v>2182</v>
      </c>
      <c r="F910" s="2266" t="s">
        <v>5398</v>
      </c>
      <c r="G910" s="2266" t="s">
        <v>5399</v>
      </c>
      <c r="H910" s="2266">
        <v>496016</v>
      </c>
      <c r="I910" s="2266">
        <v>170453</v>
      </c>
      <c r="J910" s="2266">
        <v>0.29249663664817965</v>
      </c>
      <c r="K910" s="2266">
        <v>145083.01172368348</v>
      </c>
      <c r="L910" s="2266">
        <v>145083.01172368348</v>
      </c>
      <c r="M910" s="2266">
        <v>599</v>
      </c>
    </row>
    <row r="911" spans="1:13" ht="15">
      <c r="A911" s="2266" t="s">
        <v>4146</v>
      </c>
      <c r="B911" s="2465" t="str">
        <f>CONCATENATE(LEFT(RIGHT(CONCATENATE("000",IFAData_TEA_1617!A911),6),3),"-",(RIGHT(RIGHT(CONCATENATE("000",IFAData_TEA_1617!A911),6),3)))</f>
        <v>082-903</v>
      </c>
      <c r="C911" s="2266" t="s">
        <v>2987</v>
      </c>
      <c r="D911" s="2266">
        <v>6</v>
      </c>
      <c r="E911" s="2266">
        <v>2182</v>
      </c>
      <c r="F911" s="2266" t="s">
        <v>5398</v>
      </c>
      <c r="G911" s="2266" t="s">
        <v>5398</v>
      </c>
      <c r="H911" s="2266">
        <v>496016</v>
      </c>
      <c r="I911" s="2266">
        <v>0</v>
      </c>
      <c r="J911" s="2266">
        <v>0</v>
      </c>
      <c r="K911" s="2266">
        <v>0</v>
      </c>
      <c r="L911" s="2266">
        <v>0</v>
      </c>
      <c r="M911" s="2266">
        <v>599</v>
      </c>
    </row>
    <row r="912" spans="1:13" ht="15">
      <c r="A912" s="2266" t="s">
        <v>4146</v>
      </c>
      <c r="B912" s="2465" t="str">
        <f>CONCATENATE(LEFT(RIGHT(CONCATENATE("000",IFAData_TEA_1617!A912),6),3),"-",(RIGHT(RIGHT(CONCATENATE("000",IFAData_TEA_1617!A912),6),3)))</f>
        <v>082-903</v>
      </c>
      <c r="C912" s="2266" t="s">
        <v>2987</v>
      </c>
      <c r="D912" s="2266">
        <v>9</v>
      </c>
      <c r="E912" s="2266">
        <v>2181</v>
      </c>
      <c r="F912" s="2266" t="s">
        <v>5401</v>
      </c>
      <c r="G912" s="2266" t="s">
        <v>5401</v>
      </c>
      <c r="H912" s="2266">
        <v>285496</v>
      </c>
      <c r="I912" s="2266">
        <v>553392</v>
      </c>
      <c r="J912" s="2266">
        <v>1</v>
      </c>
      <c r="K912" s="2266">
        <v>285496</v>
      </c>
      <c r="L912" s="2266">
        <v>285496</v>
      </c>
      <c r="M912" s="2266">
        <v>599</v>
      </c>
    </row>
    <row r="913" spans="1:13" ht="15">
      <c r="A913" s="2266" t="s">
        <v>4146</v>
      </c>
      <c r="B913" s="2465" t="str">
        <f>CONCATENATE(LEFT(RIGHT(CONCATENATE("000",IFAData_TEA_1617!A913),6),3),"-",(RIGHT(RIGHT(CONCATENATE("000",IFAData_TEA_1617!A913),6),3)))</f>
        <v>082-903</v>
      </c>
      <c r="C913" s="2266" t="s">
        <v>2987</v>
      </c>
      <c r="D913" s="2266">
        <v>6</v>
      </c>
      <c r="E913" s="2266">
        <v>2182</v>
      </c>
      <c r="F913" s="2266" t="s">
        <v>5398</v>
      </c>
      <c r="G913" s="2266" t="s">
        <v>7195</v>
      </c>
      <c r="H913" s="2266">
        <v>496016</v>
      </c>
      <c r="I913" s="2266">
        <v>107999</v>
      </c>
      <c r="J913" s="2266">
        <v>0.18532583328757343</v>
      </c>
      <c r="K913" s="2266">
        <v>91924.57852396903</v>
      </c>
      <c r="L913" s="2266">
        <v>91924.57852396903</v>
      </c>
      <c r="M913" s="2266">
        <v>599</v>
      </c>
    </row>
    <row r="914" spans="1:13" ht="15">
      <c r="A914" s="2266" t="s">
        <v>4147</v>
      </c>
      <c r="B914" s="2465" t="str">
        <f>CONCATENATE(LEFT(RIGHT(CONCATENATE("000",IFAData_TEA_1617!A914),6),3),"-",(RIGHT(RIGHT(CONCATENATE("000",IFAData_TEA_1617!A914),6),3)))</f>
        <v>084-909</v>
      </c>
      <c r="C914" s="2266" t="s">
        <v>98</v>
      </c>
      <c r="D914" s="2266">
        <v>1</v>
      </c>
      <c r="E914" s="2266">
        <v>2307</v>
      </c>
      <c r="F914" s="2266" t="s">
        <v>5402</v>
      </c>
      <c r="G914" s="2266" t="s">
        <v>5405</v>
      </c>
      <c r="H914" s="2266">
        <v>1012578</v>
      </c>
      <c r="I914" s="2266">
        <v>0</v>
      </c>
      <c r="J914" s="2266">
        <v>0</v>
      </c>
      <c r="K914" s="2266">
        <v>0</v>
      </c>
      <c r="L914" s="2266">
        <v>0</v>
      </c>
      <c r="M914" s="2266">
        <v>599</v>
      </c>
    </row>
    <row r="915" spans="1:13" ht="15">
      <c r="A915" s="2266" t="s">
        <v>4147</v>
      </c>
      <c r="B915" s="2465" t="str">
        <f>CONCATENATE(LEFT(RIGHT(CONCATENATE("000",IFAData_TEA_1617!A915),6),3),"-",(RIGHT(RIGHT(CONCATENATE("000",IFAData_TEA_1617!A915),6),3)))</f>
        <v>084-909</v>
      </c>
      <c r="C915" s="2266" t="s">
        <v>98</v>
      </c>
      <c r="D915" s="2266">
        <v>1</v>
      </c>
      <c r="E915" s="2266">
        <v>2307</v>
      </c>
      <c r="F915" s="2266" t="s">
        <v>5402</v>
      </c>
      <c r="G915" s="2266" t="s">
        <v>5402</v>
      </c>
      <c r="H915" s="2266">
        <v>1012578</v>
      </c>
      <c r="I915" s="2266">
        <v>0</v>
      </c>
      <c r="J915" s="2266">
        <v>0</v>
      </c>
      <c r="K915" s="2266">
        <v>0</v>
      </c>
      <c r="L915" s="2266">
        <v>0</v>
      </c>
      <c r="M915" s="2266">
        <v>599</v>
      </c>
    </row>
    <row r="916" spans="1:13" ht="15">
      <c r="A916" s="2266" t="s">
        <v>4147</v>
      </c>
      <c r="B916" s="2465" t="str">
        <f>CONCATENATE(LEFT(RIGHT(CONCATENATE("000",IFAData_TEA_1617!A916),6),3),"-",(RIGHT(RIGHT(CONCATENATE("000",IFAData_TEA_1617!A916),6),3)))</f>
        <v>084-909</v>
      </c>
      <c r="C916" s="2266" t="s">
        <v>98</v>
      </c>
      <c r="D916" s="2266">
        <v>1</v>
      </c>
      <c r="E916" s="2266">
        <v>2307</v>
      </c>
      <c r="F916" s="2266" t="s">
        <v>5402</v>
      </c>
      <c r="G916" s="2266" t="s">
        <v>5404</v>
      </c>
      <c r="H916" s="2266">
        <v>1012578</v>
      </c>
      <c r="I916" s="2266">
        <v>266210</v>
      </c>
      <c r="J916" s="2266">
        <v>1</v>
      </c>
      <c r="K916" s="2266">
        <v>1012578</v>
      </c>
      <c r="L916" s="2266">
        <v>266210</v>
      </c>
      <c r="M916" s="2266">
        <v>599</v>
      </c>
    </row>
    <row r="917" spans="1:13" ht="15">
      <c r="A917" s="2266" t="s">
        <v>4147</v>
      </c>
      <c r="B917" s="2465" t="str">
        <f>CONCATENATE(LEFT(RIGHT(CONCATENATE("000",IFAData_TEA_1617!A917),6),3),"-",(RIGHT(RIGHT(CONCATENATE("000",IFAData_TEA_1617!A917),6),3)))</f>
        <v>084-909</v>
      </c>
      <c r="C917" s="2266" t="s">
        <v>98</v>
      </c>
      <c r="D917" s="2266">
        <v>1</v>
      </c>
      <c r="E917" s="2266">
        <v>2307</v>
      </c>
      <c r="F917" s="2266" t="s">
        <v>5402</v>
      </c>
      <c r="G917" s="2266" t="s">
        <v>5403</v>
      </c>
      <c r="H917" s="2266">
        <v>1012578</v>
      </c>
      <c r="I917" s="2266">
        <v>0</v>
      </c>
      <c r="J917" s="2266">
        <v>0</v>
      </c>
      <c r="K917" s="2266">
        <v>0</v>
      </c>
      <c r="L917" s="2266">
        <v>0</v>
      </c>
      <c r="M917" s="2266">
        <v>599</v>
      </c>
    </row>
    <row r="918" spans="1:13" ht="15">
      <c r="A918" s="2266" t="s">
        <v>4147</v>
      </c>
      <c r="B918" s="2465" t="str">
        <f>CONCATENATE(LEFT(RIGHT(CONCATENATE("000",IFAData_TEA_1617!A918),6),3),"-",(RIGHT(RIGHT(CONCATENATE("000",IFAData_TEA_1617!A918),6),3)))</f>
        <v>084-909</v>
      </c>
      <c r="C918" s="2266" t="s">
        <v>98</v>
      </c>
      <c r="D918" s="2266">
        <v>10</v>
      </c>
      <c r="E918" s="2266">
        <v>2308</v>
      </c>
      <c r="F918" s="2266" t="s">
        <v>5406</v>
      </c>
      <c r="G918" s="2266" t="s">
        <v>5406</v>
      </c>
      <c r="H918" s="2266">
        <v>1049443</v>
      </c>
      <c r="I918" s="2266">
        <v>1008905</v>
      </c>
      <c r="J918" s="2266">
        <v>0.7924260810487086</v>
      </c>
      <c r="K918" s="2266">
        <v>831606.00377399987</v>
      </c>
      <c r="L918" s="2266">
        <v>831606.00377399987</v>
      </c>
      <c r="M918" s="2266">
        <v>599</v>
      </c>
    </row>
    <row r="919" spans="1:13" ht="15">
      <c r="A919" s="2266" t="s">
        <v>4147</v>
      </c>
      <c r="B919" s="2465" t="str">
        <f>CONCATENATE(LEFT(RIGHT(CONCATENATE("000",IFAData_TEA_1617!A919),6),3),"-",(RIGHT(RIGHT(CONCATENATE("000",IFAData_TEA_1617!A919),6),3)))</f>
        <v>084-909</v>
      </c>
      <c r="C919" s="2266" t="s">
        <v>98</v>
      </c>
      <c r="D919" s="2266">
        <v>10</v>
      </c>
      <c r="E919" s="2266">
        <v>2308</v>
      </c>
      <c r="F919" s="2266" t="s">
        <v>5406</v>
      </c>
      <c r="G919" s="2266" t="s">
        <v>6973</v>
      </c>
      <c r="H919" s="2266">
        <v>1049443</v>
      </c>
      <c r="I919" s="2266">
        <v>264280</v>
      </c>
      <c r="J919" s="2266">
        <v>0.20757391895129146</v>
      </c>
      <c r="K919" s="2266">
        <v>217836.99622600016</v>
      </c>
      <c r="L919" s="2266">
        <v>217836.99622600016</v>
      </c>
      <c r="M919" s="2266">
        <v>599</v>
      </c>
    </row>
    <row r="920" spans="1:13" ht="15">
      <c r="A920" s="2266" t="s">
        <v>4148</v>
      </c>
      <c r="B920" s="2465" t="str">
        <f>CONCATENATE(LEFT(RIGHT(CONCATENATE("000",IFAData_TEA_1617!A920),6),3),"-",(RIGHT(RIGHT(CONCATENATE("000",IFAData_TEA_1617!A920),6),3)))</f>
        <v>084-911</v>
      </c>
      <c r="C920" s="2266" t="s">
        <v>1666</v>
      </c>
      <c r="D920" s="2266">
        <v>2</v>
      </c>
      <c r="E920" s="2266">
        <v>1829</v>
      </c>
      <c r="F920" s="2266" t="s">
        <v>5407</v>
      </c>
      <c r="G920" s="2266" t="s">
        <v>5407</v>
      </c>
      <c r="H920" s="2266">
        <v>1100400</v>
      </c>
      <c r="I920" s="2266">
        <v>0</v>
      </c>
      <c r="J920" s="2266">
        <v>0</v>
      </c>
      <c r="K920" s="2266">
        <v>0</v>
      </c>
      <c r="L920" s="2266">
        <v>0</v>
      </c>
      <c r="M920" s="2266">
        <v>599</v>
      </c>
    </row>
    <row r="921" spans="1:13" ht="15">
      <c r="A921" s="2266" t="s">
        <v>4148</v>
      </c>
      <c r="B921" s="2465" t="str">
        <f>CONCATENATE(LEFT(RIGHT(CONCATENATE("000",IFAData_TEA_1617!A921),6),3),"-",(RIGHT(RIGHT(CONCATENATE("000",IFAData_TEA_1617!A921),6),3)))</f>
        <v>084-911</v>
      </c>
      <c r="C921" s="2266" t="s">
        <v>1666</v>
      </c>
      <c r="D921" s="2266">
        <v>2</v>
      </c>
      <c r="E921" s="2266">
        <v>1829</v>
      </c>
      <c r="F921" s="2266" t="s">
        <v>5407</v>
      </c>
      <c r="G921" s="2266" t="s">
        <v>5409</v>
      </c>
      <c r="H921" s="2266">
        <v>1100400</v>
      </c>
      <c r="I921" s="2266">
        <v>0</v>
      </c>
      <c r="J921" s="2266">
        <v>0</v>
      </c>
      <c r="K921" s="2266">
        <v>0</v>
      </c>
      <c r="L921" s="2266">
        <v>0</v>
      </c>
      <c r="M921" s="2266">
        <v>599</v>
      </c>
    </row>
    <row r="922" spans="1:13" ht="15">
      <c r="A922" s="2266" t="s">
        <v>4148</v>
      </c>
      <c r="B922" s="2465" t="str">
        <f>CONCATENATE(LEFT(RIGHT(CONCATENATE("000",IFAData_TEA_1617!A922),6),3),"-",(RIGHT(RIGHT(CONCATENATE("000",IFAData_TEA_1617!A922),6),3)))</f>
        <v>084-911</v>
      </c>
      <c r="C922" s="2266" t="s">
        <v>1666</v>
      </c>
      <c r="D922" s="2266">
        <v>2</v>
      </c>
      <c r="E922" s="2266">
        <v>1829</v>
      </c>
      <c r="F922" s="2266" t="s">
        <v>5407</v>
      </c>
      <c r="G922" s="2266" t="s">
        <v>5408</v>
      </c>
      <c r="H922" s="2266">
        <v>1100400</v>
      </c>
      <c r="I922" s="2266">
        <v>1266361</v>
      </c>
      <c r="J922" s="2266">
        <v>1</v>
      </c>
      <c r="K922" s="2266">
        <v>1100400</v>
      </c>
      <c r="L922" s="2266">
        <v>1100400</v>
      </c>
      <c r="M922" s="2266">
        <v>599</v>
      </c>
    </row>
    <row r="923" spans="1:13" ht="15">
      <c r="A923" s="2266" t="s">
        <v>4149</v>
      </c>
      <c r="B923" s="2465" t="str">
        <f>CONCATENATE(LEFT(RIGHT(CONCATENATE("000",IFAData_TEA_1617!A923),6),3),"-",(RIGHT(RIGHT(CONCATENATE("000",IFAData_TEA_1617!A923),6),3)))</f>
        <v>089-901</v>
      </c>
      <c r="C923" s="2266" t="s">
        <v>973</v>
      </c>
      <c r="D923" s="2266">
        <v>2</v>
      </c>
      <c r="E923" s="2266">
        <v>1850</v>
      </c>
      <c r="F923" s="2266" t="s">
        <v>5410</v>
      </c>
      <c r="G923" s="2266" t="s">
        <v>5411</v>
      </c>
      <c r="H923" s="2266">
        <v>566258</v>
      </c>
      <c r="I923" s="2266">
        <v>578646</v>
      </c>
      <c r="J923" s="2266">
        <v>1</v>
      </c>
      <c r="K923" s="2266">
        <v>566258</v>
      </c>
      <c r="L923" s="2266">
        <v>566258</v>
      </c>
      <c r="M923" s="2266">
        <v>599</v>
      </c>
    </row>
    <row r="924" spans="1:13" ht="15">
      <c r="A924" s="2266" t="s">
        <v>4149</v>
      </c>
      <c r="B924" s="2465" t="str">
        <f>CONCATENATE(LEFT(RIGHT(CONCATENATE("000",IFAData_TEA_1617!A924),6),3),"-",(RIGHT(RIGHT(CONCATENATE("000",IFAData_TEA_1617!A924),6),3)))</f>
        <v>089-901</v>
      </c>
      <c r="C924" s="2266" t="s">
        <v>973</v>
      </c>
      <c r="D924" s="2266">
        <v>2</v>
      </c>
      <c r="E924" s="2266">
        <v>1850</v>
      </c>
      <c r="F924" s="2266" t="s">
        <v>5410</v>
      </c>
      <c r="G924" s="2266" t="s">
        <v>5410</v>
      </c>
      <c r="H924" s="2266">
        <v>566258</v>
      </c>
      <c r="I924" s="2266">
        <v>0</v>
      </c>
      <c r="J924" s="2266">
        <v>0</v>
      </c>
      <c r="K924" s="2266">
        <v>0</v>
      </c>
      <c r="L924" s="2266">
        <v>0</v>
      </c>
      <c r="M924" s="2266">
        <v>599</v>
      </c>
    </row>
    <row r="925" spans="1:13" ht="15">
      <c r="A925" s="2266" t="s">
        <v>4150</v>
      </c>
      <c r="B925" s="2465" t="str">
        <f>CONCATENATE(LEFT(RIGHT(CONCATENATE("000",IFAData_TEA_1617!A925),6),3),"-",(RIGHT(RIGHT(CONCATENATE("000",IFAData_TEA_1617!A925),6),3)))</f>
        <v>090-904</v>
      </c>
      <c r="C925" s="2266" t="s">
        <v>1540</v>
      </c>
      <c r="D925" s="2266">
        <v>1</v>
      </c>
      <c r="E925" s="2266">
        <v>2172</v>
      </c>
      <c r="F925" s="2266" t="s">
        <v>5412</v>
      </c>
      <c r="G925" s="2266" t="s">
        <v>5413</v>
      </c>
      <c r="H925" s="2266">
        <v>779066</v>
      </c>
      <c r="I925" s="2266">
        <v>0</v>
      </c>
      <c r="J925" s="2266">
        <v>0</v>
      </c>
      <c r="K925" s="2266">
        <v>0</v>
      </c>
      <c r="L925" s="2266">
        <v>0</v>
      </c>
      <c r="M925" s="2266">
        <v>599</v>
      </c>
    </row>
    <row r="926" spans="1:13" ht="15">
      <c r="A926" s="2266" t="s">
        <v>4150</v>
      </c>
      <c r="B926" s="2465" t="str">
        <f>CONCATENATE(LEFT(RIGHT(CONCATENATE("000",IFAData_TEA_1617!A926),6),3),"-",(RIGHT(RIGHT(CONCATENATE("000",IFAData_TEA_1617!A926),6),3)))</f>
        <v>090-904</v>
      </c>
      <c r="C926" s="2266" t="s">
        <v>1540</v>
      </c>
      <c r="D926" s="2266">
        <v>1</v>
      </c>
      <c r="E926" s="2266">
        <v>2172</v>
      </c>
      <c r="F926" s="2266" t="s">
        <v>5412</v>
      </c>
      <c r="G926" s="2266" t="s">
        <v>5412</v>
      </c>
      <c r="H926" s="2266">
        <v>779066</v>
      </c>
      <c r="I926" s="2266">
        <v>0</v>
      </c>
      <c r="J926" s="2266">
        <v>0</v>
      </c>
      <c r="K926" s="2266">
        <v>0</v>
      </c>
      <c r="L926" s="2266">
        <v>0</v>
      </c>
      <c r="M926" s="2266">
        <v>599</v>
      </c>
    </row>
    <row r="927" spans="1:13" ht="15">
      <c r="A927" s="2266" t="s">
        <v>4150</v>
      </c>
      <c r="B927" s="2465" t="str">
        <f>CONCATENATE(LEFT(RIGHT(CONCATENATE("000",IFAData_TEA_1617!A927),6),3),"-",(RIGHT(RIGHT(CONCATENATE("000",IFAData_TEA_1617!A927),6),3)))</f>
        <v>090-904</v>
      </c>
      <c r="C927" s="2266" t="s">
        <v>1540</v>
      </c>
      <c r="D927" s="2266">
        <v>1</v>
      </c>
      <c r="E927" s="2266">
        <v>2172</v>
      </c>
      <c r="F927" s="2266" t="s">
        <v>5412</v>
      </c>
      <c r="G927" s="2266" t="s">
        <v>5414</v>
      </c>
      <c r="H927" s="2266">
        <v>779066</v>
      </c>
      <c r="I927" s="2266">
        <v>529250</v>
      </c>
      <c r="J927" s="2266">
        <v>1</v>
      </c>
      <c r="K927" s="2266">
        <v>779066</v>
      </c>
      <c r="L927" s="2266">
        <v>529250</v>
      </c>
      <c r="M927" s="2266">
        <v>599</v>
      </c>
    </row>
    <row r="928" spans="1:13" ht="15">
      <c r="A928" s="2266" t="s">
        <v>4151</v>
      </c>
      <c r="B928" s="2465" t="str">
        <f>CONCATENATE(LEFT(RIGHT(CONCATENATE("000",IFAData_TEA_1617!A928),6),3),"-",(RIGHT(RIGHT(CONCATENATE("000",IFAData_TEA_1617!A928),6),3)))</f>
        <v>091-901</v>
      </c>
      <c r="C928" s="2266" t="s">
        <v>1757</v>
      </c>
      <c r="D928" s="2266">
        <v>2</v>
      </c>
      <c r="E928" s="2266">
        <v>1601</v>
      </c>
      <c r="F928" s="2266" t="s">
        <v>5415</v>
      </c>
      <c r="G928" s="2266" t="s">
        <v>5415</v>
      </c>
      <c r="H928" s="2266">
        <v>85000</v>
      </c>
      <c r="I928" s="2266">
        <v>0</v>
      </c>
      <c r="J928" s="2266">
        <v>0</v>
      </c>
      <c r="K928" s="2266">
        <v>0</v>
      </c>
      <c r="L928" s="2266">
        <v>0</v>
      </c>
      <c r="M928" s="2266">
        <v>599</v>
      </c>
    </row>
    <row r="929" spans="1:13" ht="15">
      <c r="A929" s="2266" t="s">
        <v>4151</v>
      </c>
      <c r="B929" s="2465" t="str">
        <f>CONCATENATE(LEFT(RIGHT(CONCATENATE("000",IFAData_TEA_1617!A929),6),3),"-",(RIGHT(RIGHT(CONCATENATE("000",IFAData_TEA_1617!A929),6),3)))</f>
        <v>091-901</v>
      </c>
      <c r="C929" s="2266" t="s">
        <v>1757</v>
      </c>
      <c r="D929" s="2266">
        <v>2</v>
      </c>
      <c r="E929" s="2266">
        <v>1601</v>
      </c>
      <c r="F929" s="2266" t="s">
        <v>5415</v>
      </c>
      <c r="G929" s="2266" t="s">
        <v>5416</v>
      </c>
      <c r="H929" s="2266">
        <v>85000</v>
      </c>
      <c r="I929" s="2266">
        <v>250847</v>
      </c>
      <c r="J929" s="2266">
        <v>1</v>
      </c>
      <c r="K929" s="2266">
        <v>85000</v>
      </c>
      <c r="L929" s="2266">
        <v>85000</v>
      </c>
      <c r="M929" s="2266">
        <v>599</v>
      </c>
    </row>
    <row r="930" spans="1:13" ht="15">
      <c r="A930" s="2266" t="s">
        <v>4151</v>
      </c>
      <c r="B930" s="2465" t="str">
        <f>CONCATENATE(LEFT(RIGHT(CONCATENATE("000",IFAData_TEA_1617!A930),6),3),"-",(RIGHT(RIGHT(CONCATENATE("000",IFAData_TEA_1617!A930),6),3)))</f>
        <v>091-901</v>
      </c>
      <c r="C930" s="2266" t="s">
        <v>1757</v>
      </c>
      <c r="D930" s="2266">
        <v>3</v>
      </c>
      <c r="E930" s="2266">
        <v>1600</v>
      </c>
      <c r="F930" s="2266" t="s">
        <v>5418</v>
      </c>
      <c r="G930" s="2266" t="s">
        <v>5418</v>
      </c>
      <c r="H930" s="2266">
        <v>51750</v>
      </c>
      <c r="I930" s="2266">
        <v>0</v>
      </c>
      <c r="J930" s="2266">
        <v>0</v>
      </c>
      <c r="K930" s="2266">
        <v>0</v>
      </c>
      <c r="L930" s="2266">
        <v>0</v>
      </c>
      <c r="M930" s="2266">
        <v>599</v>
      </c>
    </row>
    <row r="931" spans="1:13" ht="15">
      <c r="A931" s="2266" t="s">
        <v>4151</v>
      </c>
      <c r="B931" s="2465" t="str">
        <f>CONCATENATE(LEFT(RIGHT(CONCATENATE("000",IFAData_TEA_1617!A931),6),3),"-",(RIGHT(RIGHT(CONCATENATE("000",IFAData_TEA_1617!A931),6),3)))</f>
        <v>091-901</v>
      </c>
      <c r="C931" s="2266" t="s">
        <v>1757</v>
      </c>
      <c r="D931" s="2266">
        <v>3</v>
      </c>
      <c r="E931" s="2266">
        <v>1600</v>
      </c>
      <c r="F931" s="2266" t="s">
        <v>5418</v>
      </c>
      <c r="G931" s="2266" t="s">
        <v>5417</v>
      </c>
      <c r="H931" s="2266">
        <v>51750</v>
      </c>
      <c r="I931" s="2266">
        <v>45950</v>
      </c>
      <c r="J931" s="2266">
        <v>1</v>
      </c>
      <c r="K931" s="2266">
        <v>51750</v>
      </c>
      <c r="L931" s="2266">
        <v>45950</v>
      </c>
      <c r="M931" s="2266">
        <v>599</v>
      </c>
    </row>
    <row r="932" spans="1:13" ht="15">
      <c r="A932" s="2266" t="s">
        <v>4151</v>
      </c>
      <c r="B932" s="2465" t="str">
        <f>CONCATENATE(LEFT(RIGHT(CONCATENATE("000",IFAData_TEA_1617!A932),6),3),"-",(RIGHT(RIGHT(CONCATENATE("000",IFAData_TEA_1617!A932),6),3)))</f>
        <v>091-901</v>
      </c>
      <c r="C932" s="2266" t="s">
        <v>1757</v>
      </c>
      <c r="D932" s="2266">
        <v>2</v>
      </c>
      <c r="E932" s="2266">
        <v>1601</v>
      </c>
      <c r="F932" s="2266" t="s">
        <v>5415</v>
      </c>
      <c r="G932" s="2266" t="s">
        <v>5417</v>
      </c>
      <c r="H932" s="2266">
        <v>85000</v>
      </c>
      <c r="I932" s="2266">
        <v>0</v>
      </c>
      <c r="J932" s="2266">
        <v>0</v>
      </c>
      <c r="K932" s="2266">
        <v>0</v>
      </c>
      <c r="L932" s="2266">
        <v>0</v>
      </c>
      <c r="M932" s="2266">
        <v>599</v>
      </c>
    </row>
    <row r="933" spans="1:13" ht="15">
      <c r="A933" s="2266" t="s">
        <v>4151</v>
      </c>
      <c r="B933" s="2465" t="str">
        <f>CONCATENATE(LEFT(RIGHT(CONCATENATE("000",IFAData_TEA_1617!A933),6),3),"-",(RIGHT(RIGHT(CONCATENATE("000",IFAData_TEA_1617!A933),6),3)))</f>
        <v>091-901</v>
      </c>
      <c r="C933" s="2266" t="s">
        <v>1757</v>
      </c>
      <c r="D933" s="2266">
        <v>9</v>
      </c>
      <c r="E933" s="2266">
        <v>1602</v>
      </c>
      <c r="F933" s="2266" t="s">
        <v>5416</v>
      </c>
      <c r="G933" s="2266" t="s">
        <v>5416</v>
      </c>
      <c r="H933" s="2266">
        <v>180464</v>
      </c>
      <c r="I933" s="2266">
        <v>426406</v>
      </c>
      <c r="J933" s="2266">
        <v>1</v>
      </c>
      <c r="K933" s="2266">
        <v>180464</v>
      </c>
      <c r="L933" s="2266">
        <v>180464</v>
      </c>
      <c r="M933" s="2266">
        <v>599</v>
      </c>
    </row>
    <row r="934" spans="1:13" ht="15">
      <c r="A934" s="2266" t="s">
        <v>5419</v>
      </c>
      <c r="B934" s="2465" t="str">
        <f>CONCATENATE(LEFT(RIGHT(CONCATENATE("000",IFAData_TEA_1617!A934),6),3),"-",(RIGHT(RIGHT(CONCATENATE("000",IFAData_TEA_1617!A934),6),3)))</f>
        <v>091-902</v>
      </c>
      <c r="C934" s="2266" t="s">
        <v>1630</v>
      </c>
      <c r="D934" s="2266">
        <v>9</v>
      </c>
      <c r="E934" s="2266">
        <v>1706</v>
      </c>
      <c r="F934" s="2266" t="s">
        <v>5420</v>
      </c>
      <c r="G934" s="2266" t="s">
        <v>5420</v>
      </c>
      <c r="H934" s="2266">
        <v>147510</v>
      </c>
      <c r="I934" s="2266">
        <v>0</v>
      </c>
      <c r="J934" s="2266">
        <v>0</v>
      </c>
      <c r="K934" s="2266"/>
      <c r="L934" s="2266">
        <v>0</v>
      </c>
      <c r="M934" s="2266">
        <v>199</v>
      </c>
    </row>
    <row r="935" spans="1:13" ht="15">
      <c r="A935" s="2266" t="s">
        <v>4152</v>
      </c>
      <c r="B935" s="2465" t="str">
        <f>CONCATENATE(LEFT(RIGHT(CONCATENATE("000",IFAData_TEA_1617!A935),6),3),"-",(RIGHT(RIGHT(CONCATENATE("000",IFAData_TEA_1617!A935),6),3)))</f>
        <v>091-905</v>
      </c>
      <c r="C935" s="2266" t="s">
        <v>2731</v>
      </c>
      <c r="D935" s="2266">
        <v>5</v>
      </c>
      <c r="E935" s="2266">
        <v>1903</v>
      </c>
      <c r="F935" s="2266" t="s">
        <v>5424</v>
      </c>
      <c r="G935" s="2266" t="s">
        <v>5424</v>
      </c>
      <c r="H935" s="2266">
        <v>153973</v>
      </c>
      <c r="I935" s="2266">
        <v>152757</v>
      </c>
      <c r="J935" s="2266">
        <v>1</v>
      </c>
      <c r="K935" s="2266">
        <v>153973</v>
      </c>
      <c r="L935" s="2266">
        <v>152757</v>
      </c>
      <c r="M935" s="2266">
        <v>599</v>
      </c>
    </row>
    <row r="936" spans="1:13" ht="15">
      <c r="A936" s="2266" t="s">
        <v>4152</v>
      </c>
      <c r="B936" s="2465" t="str">
        <f>CONCATENATE(LEFT(RIGHT(CONCATENATE("000",IFAData_TEA_1617!A936),6),3),"-",(RIGHT(RIGHT(CONCATENATE("000",IFAData_TEA_1617!A936),6),3)))</f>
        <v>091-905</v>
      </c>
      <c r="C936" s="2266" t="s">
        <v>2731</v>
      </c>
      <c r="D936" s="2266">
        <v>5</v>
      </c>
      <c r="E936" s="2266">
        <v>1904</v>
      </c>
      <c r="F936" s="2266" t="s">
        <v>5421</v>
      </c>
      <c r="G936" s="2266" t="s">
        <v>5422</v>
      </c>
      <c r="H936" s="2266">
        <v>308470</v>
      </c>
      <c r="I936" s="2266">
        <v>532179</v>
      </c>
      <c r="J936" s="2266">
        <v>0.52260949749143437</v>
      </c>
      <c r="K936" s="2266">
        <v>161209.35169118276</v>
      </c>
      <c r="L936" s="2266">
        <v>161209.35169118276</v>
      </c>
      <c r="M936" s="2266">
        <v>599</v>
      </c>
    </row>
    <row r="937" spans="1:13" ht="15">
      <c r="A937" s="2266" t="s">
        <v>4152</v>
      </c>
      <c r="B937" s="2465" t="str">
        <f>CONCATENATE(LEFT(RIGHT(CONCATENATE("000",IFAData_TEA_1617!A937),6),3),"-",(RIGHT(RIGHT(CONCATENATE("000",IFAData_TEA_1617!A937),6),3)))</f>
        <v>091-905</v>
      </c>
      <c r="C937" s="2266" t="s">
        <v>2731</v>
      </c>
      <c r="D937" s="2266">
        <v>5</v>
      </c>
      <c r="E937" s="2266">
        <v>1904</v>
      </c>
      <c r="F937" s="2266" t="s">
        <v>5421</v>
      </c>
      <c r="G937" s="2266" t="s">
        <v>5421</v>
      </c>
      <c r="H937" s="2266">
        <v>308470</v>
      </c>
      <c r="I937" s="2266">
        <v>0</v>
      </c>
      <c r="J937" s="2266">
        <v>0</v>
      </c>
      <c r="K937" s="2266">
        <v>0</v>
      </c>
      <c r="L937" s="2266">
        <v>0</v>
      </c>
      <c r="M937" s="2266">
        <v>599</v>
      </c>
    </row>
    <row r="938" spans="1:13" ht="15">
      <c r="A938" s="2266" t="s">
        <v>4152</v>
      </c>
      <c r="B938" s="2465" t="str">
        <f>CONCATENATE(LEFT(RIGHT(CONCATENATE("000",IFAData_TEA_1617!A938),6),3),"-",(RIGHT(RIGHT(CONCATENATE("000",IFAData_TEA_1617!A938),6),3)))</f>
        <v>091-905</v>
      </c>
      <c r="C938" s="2266" t="s">
        <v>2731</v>
      </c>
      <c r="D938" s="2266">
        <v>5</v>
      </c>
      <c r="E938" s="2266">
        <v>1904</v>
      </c>
      <c r="F938" s="2266" t="s">
        <v>5421</v>
      </c>
      <c r="G938" s="2266" t="s">
        <v>5423</v>
      </c>
      <c r="H938" s="2266">
        <v>308470</v>
      </c>
      <c r="I938" s="2266">
        <v>31406</v>
      </c>
      <c r="J938" s="2266">
        <v>3.0841265585857366E-2</v>
      </c>
      <c r="K938" s="2266">
        <v>9513.6051952694215</v>
      </c>
      <c r="L938" s="2266">
        <v>9513.6051952694215</v>
      </c>
      <c r="M938" s="2266">
        <v>599</v>
      </c>
    </row>
    <row r="939" spans="1:13" ht="15">
      <c r="A939" s="2266" t="s">
        <v>4152</v>
      </c>
      <c r="B939" s="2465" t="str">
        <f>CONCATENATE(LEFT(RIGHT(CONCATENATE("000",IFAData_TEA_1617!A939),6),3),"-",(RIGHT(RIGHT(CONCATENATE("000",IFAData_TEA_1617!A939),6),3)))</f>
        <v>091-905</v>
      </c>
      <c r="C939" s="2266" t="s">
        <v>2731</v>
      </c>
      <c r="D939" s="2266">
        <v>5</v>
      </c>
      <c r="E939" s="2266">
        <v>1904</v>
      </c>
      <c r="F939" s="2266" t="s">
        <v>5421</v>
      </c>
      <c r="G939" s="2266" t="s">
        <v>7196</v>
      </c>
      <c r="H939" s="2266">
        <v>308470</v>
      </c>
      <c r="I939" s="2266">
        <v>454726</v>
      </c>
      <c r="J939" s="2266">
        <v>0.44654923692270831</v>
      </c>
      <c r="K939" s="2266">
        <v>137747.04311354784</v>
      </c>
      <c r="L939" s="2266">
        <v>137747.04311354784</v>
      </c>
      <c r="M939" s="2266">
        <v>599</v>
      </c>
    </row>
    <row r="940" spans="1:13" ht="15">
      <c r="A940" s="2266" t="s">
        <v>4153</v>
      </c>
      <c r="B940" s="2465" t="str">
        <f>CONCATENATE(LEFT(RIGHT(CONCATENATE("000",IFAData_TEA_1617!A940),6),3),"-",(RIGHT(RIGHT(CONCATENATE("000",IFAData_TEA_1617!A940),6),3)))</f>
        <v>091-906</v>
      </c>
      <c r="C940" s="2266" t="s">
        <v>1849</v>
      </c>
      <c r="D940" s="2266">
        <v>9</v>
      </c>
      <c r="E940" s="2266">
        <v>2331</v>
      </c>
      <c r="F940" s="2266" t="s">
        <v>5425</v>
      </c>
      <c r="G940" s="2266" t="s">
        <v>5427</v>
      </c>
      <c r="H940" s="2266">
        <v>1512500</v>
      </c>
      <c r="I940" s="2266">
        <v>1880793</v>
      </c>
      <c r="J940" s="2266">
        <v>0.59950408765899288</v>
      </c>
      <c r="K940" s="2266">
        <v>906749.93258422671</v>
      </c>
      <c r="L940" s="2266">
        <v>906749.93258422671</v>
      </c>
      <c r="M940" s="2266">
        <v>599</v>
      </c>
    </row>
    <row r="941" spans="1:13" ht="15">
      <c r="A941" s="2266" t="s">
        <v>4153</v>
      </c>
      <c r="B941" s="2465" t="str">
        <f>CONCATENATE(LEFT(RIGHT(CONCATENATE("000",IFAData_TEA_1617!A941),6),3),"-",(RIGHT(RIGHT(CONCATENATE("000",IFAData_TEA_1617!A941),6),3)))</f>
        <v>091-906</v>
      </c>
      <c r="C941" s="2266" t="s">
        <v>1849</v>
      </c>
      <c r="D941" s="2266">
        <v>9</v>
      </c>
      <c r="E941" s="2266">
        <v>2331</v>
      </c>
      <c r="F941" s="2266" t="s">
        <v>5425</v>
      </c>
      <c r="G941" s="2266" t="s">
        <v>5426</v>
      </c>
      <c r="H941" s="2266">
        <v>1512500</v>
      </c>
      <c r="I941" s="2266">
        <v>154682</v>
      </c>
      <c r="J941" s="2266">
        <v>4.9304995970991139E-2</v>
      </c>
      <c r="K941" s="2266">
        <v>74573.806406124102</v>
      </c>
      <c r="L941" s="2266">
        <v>74573.806406124102</v>
      </c>
      <c r="M941" s="2266">
        <v>599</v>
      </c>
    </row>
    <row r="942" spans="1:13" ht="15">
      <c r="A942" s="2266" t="s">
        <v>4153</v>
      </c>
      <c r="B942" s="2465" t="str">
        <f>CONCATENATE(LEFT(RIGHT(CONCATENATE("000",IFAData_TEA_1617!A942),6),3),"-",(RIGHT(RIGHT(CONCATENATE("000",IFAData_TEA_1617!A942),6),3)))</f>
        <v>091-906</v>
      </c>
      <c r="C942" s="2266" t="s">
        <v>1849</v>
      </c>
      <c r="D942" s="2266">
        <v>9</v>
      </c>
      <c r="E942" s="2266">
        <v>2331</v>
      </c>
      <c r="F942" s="2266" t="s">
        <v>5425</v>
      </c>
      <c r="G942" s="2266" t="s">
        <v>5425</v>
      </c>
      <c r="H942" s="2266">
        <v>1512500</v>
      </c>
      <c r="I942" s="2266">
        <v>953806</v>
      </c>
      <c r="J942" s="2266">
        <v>0.304026331357929</v>
      </c>
      <c r="K942" s="2266">
        <v>459839.8261788676</v>
      </c>
      <c r="L942" s="2266">
        <v>459839.8261788676</v>
      </c>
      <c r="M942" s="2266">
        <v>599</v>
      </c>
    </row>
    <row r="943" spans="1:13" ht="15">
      <c r="A943" s="2266" t="s">
        <v>4153</v>
      </c>
      <c r="B943" s="2465" t="str">
        <f>CONCATENATE(LEFT(RIGHT(CONCATENATE("000",IFAData_TEA_1617!A943),6),3),"-",(RIGHT(RIGHT(CONCATENATE("000",IFAData_TEA_1617!A943),6),3)))</f>
        <v>091-906</v>
      </c>
      <c r="C943" s="2266" t="s">
        <v>1849</v>
      </c>
      <c r="D943" s="2266">
        <v>9</v>
      </c>
      <c r="E943" s="2266">
        <v>2331</v>
      </c>
      <c r="F943" s="2266" t="s">
        <v>5425</v>
      </c>
      <c r="G943" s="2266" t="s">
        <v>7197</v>
      </c>
      <c r="H943" s="2266">
        <v>1512500</v>
      </c>
      <c r="I943" s="2266">
        <v>147967</v>
      </c>
      <c r="J943" s="2266">
        <v>4.7164585012087028E-2</v>
      </c>
      <c r="K943" s="2266">
        <v>71336.434830781625</v>
      </c>
      <c r="L943" s="2266">
        <v>71336.434830781625</v>
      </c>
      <c r="M943" s="2266">
        <v>599</v>
      </c>
    </row>
    <row r="944" spans="1:13" ht="15">
      <c r="A944" s="2266" t="s">
        <v>4154</v>
      </c>
      <c r="B944" s="2465" t="str">
        <f>CONCATENATE(LEFT(RIGHT(CONCATENATE("000",IFAData_TEA_1617!A944),6),3),"-",(RIGHT(RIGHT(CONCATENATE("000",IFAData_TEA_1617!A944),6),3)))</f>
        <v>091-908</v>
      </c>
      <c r="C944" s="2266" t="s">
        <v>2706</v>
      </c>
      <c r="D944" s="2266">
        <v>6</v>
      </c>
      <c r="E944" s="2266">
        <v>2418</v>
      </c>
      <c r="F944" s="2266" t="s">
        <v>5430</v>
      </c>
      <c r="G944" s="2266" t="s">
        <v>5430</v>
      </c>
      <c r="H944" s="2266">
        <v>15230</v>
      </c>
      <c r="I944" s="2266">
        <v>0</v>
      </c>
      <c r="J944" s="2266">
        <v>0</v>
      </c>
      <c r="K944" s="2266">
        <v>0</v>
      </c>
      <c r="L944" s="2266">
        <v>0</v>
      </c>
      <c r="M944" s="2266">
        <v>599</v>
      </c>
    </row>
    <row r="945" spans="1:13" ht="15">
      <c r="A945" s="2266" t="s">
        <v>4154</v>
      </c>
      <c r="B945" s="2465" t="str">
        <f>CONCATENATE(LEFT(RIGHT(CONCATENATE("000",IFAData_TEA_1617!A945),6),3),"-",(RIGHT(RIGHT(CONCATENATE("000",IFAData_TEA_1617!A945),6),3)))</f>
        <v>091-908</v>
      </c>
      <c r="C945" s="2266" t="s">
        <v>2706</v>
      </c>
      <c r="D945" s="2266">
        <v>9</v>
      </c>
      <c r="E945" s="2266">
        <v>2419</v>
      </c>
      <c r="F945" s="2266" t="s">
        <v>5432</v>
      </c>
      <c r="G945" s="2266" t="s">
        <v>5432</v>
      </c>
      <c r="H945" s="2266">
        <v>292584</v>
      </c>
      <c r="I945" s="2266">
        <v>400612</v>
      </c>
      <c r="J945" s="2266">
        <v>1</v>
      </c>
      <c r="K945" s="2266">
        <v>292584</v>
      </c>
      <c r="L945" s="2266">
        <v>292584</v>
      </c>
      <c r="M945" s="2266">
        <v>599</v>
      </c>
    </row>
    <row r="946" spans="1:13" ht="15">
      <c r="A946" s="2266" t="s">
        <v>4154</v>
      </c>
      <c r="B946" s="2465" t="str">
        <f>CONCATENATE(LEFT(RIGHT(CONCATENATE("000",IFAData_TEA_1617!A946),6),3),"-",(RIGHT(RIGHT(CONCATENATE("000",IFAData_TEA_1617!A946),6),3)))</f>
        <v>091-908</v>
      </c>
      <c r="C946" s="2266" t="s">
        <v>2706</v>
      </c>
      <c r="D946" s="2266">
        <v>5</v>
      </c>
      <c r="E946" s="2266">
        <v>2420</v>
      </c>
      <c r="F946" s="2266" t="s">
        <v>5428</v>
      </c>
      <c r="G946" s="2266" t="s">
        <v>5428</v>
      </c>
      <c r="H946" s="2266">
        <v>304630</v>
      </c>
      <c r="I946" s="2266">
        <v>0</v>
      </c>
      <c r="J946" s="2266">
        <v>0</v>
      </c>
      <c r="K946" s="2266">
        <v>0</v>
      </c>
      <c r="L946" s="2266">
        <v>0</v>
      </c>
      <c r="M946" s="2266">
        <v>599</v>
      </c>
    </row>
    <row r="947" spans="1:13" ht="15">
      <c r="A947" s="2266" t="s">
        <v>4154</v>
      </c>
      <c r="B947" s="2465" t="str">
        <f>CONCATENATE(LEFT(RIGHT(CONCATENATE("000",IFAData_TEA_1617!A947),6),3),"-",(RIGHT(RIGHT(CONCATENATE("000",IFAData_TEA_1617!A947),6),3)))</f>
        <v>091-908</v>
      </c>
      <c r="C947" s="2266" t="s">
        <v>2706</v>
      </c>
      <c r="D947" s="2266">
        <v>6</v>
      </c>
      <c r="E947" s="2266">
        <v>2418</v>
      </c>
      <c r="F947" s="2266" t="s">
        <v>5430</v>
      </c>
      <c r="G947" s="2266" t="s">
        <v>5431</v>
      </c>
      <c r="H947" s="2266">
        <v>15230</v>
      </c>
      <c r="I947" s="2266">
        <v>273950</v>
      </c>
      <c r="J947" s="2266">
        <v>1</v>
      </c>
      <c r="K947" s="2266">
        <v>15230</v>
      </c>
      <c r="L947" s="2266">
        <v>15230</v>
      </c>
      <c r="M947" s="2266">
        <v>599</v>
      </c>
    </row>
    <row r="948" spans="1:13" ht="15">
      <c r="A948" s="2266" t="s">
        <v>4154</v>
      </c>
      <c r="B948" s="2465" t="str">
        <f>CONCATENATE(LEFT(RIGHT(CONCATENATE("000",IFAData_TEA_1617!A948),6),3),"-",(RIGHT(RIGHT(CONCATENATE("000",IFAData_TEA_1617!A948),6),3)))</f>
        <v>091-908</v>
      </c>
      <c r="C948" s="2266" t="s">
        <v>2706</v>
      </c>
      <c r="D948" s="2266">
        <v>5</v>
      </c>
      <c r="E948" s="2266">
        <v>2420</v>
      </c>
      <c r="F948" s="2266" t="s">
        <v>5428</v>
      </c>
      <c r="G948" s="2266" t="s">
        <v>5429</v>
      </c>
      <c r="H948" s="2266">
        <v>304630</v>
      </c>
      <c r="I948" s="2266">
        <v>426549</v>
      </c>
      <c r="J948" s="2266">
        <v>1</v>
      </c>
      <c r="K948" s="2266">
        <v>304630</v>
      </c>
      <c r="L948" s="2266">
        <v>304630</v>
      </c>
      <c r="M948" s="2266">
        <v>599</v>
      </c>
    </row>
    <row r="949" spans="1:13" ht="15">
      <c r="A949" s="2266" t="s">
        <v>4155</v>
      </c>
      <c r="B949" s="2465" t="str">
        <f>CONCATENATE(LEFT(RIGHT(CONCATENATE("000",IFAData_TEA_1617!A949),6),3),"-",(RIGHT(RIGHT(CONCATENATE("000",IFAData_TEA_1617!A949),6),3)))</f>
        <v>091-909</v>
      </c>
      <c r="C949" s="2266" t="s">
        <v>1511</v>
      </c>
      <c r="D949" s="2266">
        <v>5</v>
      </c>
      <c r="E949" s="2266">
        <v>2452</v>
      </c>
      <c r="F949" s="2266" t="s">
        <v>5433</v>
      </c>
      <c r="G949" s="2266" t="s">
        <v>5434</v>
      </c>
      <c r="H949" s="2266">
        <v>323783</v>
      </c>
      <c r="I949" s="2266">
        <v>337513</v>
      </c>
      <c r="J949" s="2266">
        <v>1</v>
      </c>
      <c r="K949" s="2266">
        <v>323783</v>
      </c>
      <c r="L949" s="2266">
        <v>323783</v>
      </c>
      <c r="M949" s="2266">
        <v>599</v>
      </c>
    </row>
    <row r="950" spans="1:13" ht="15">
      <c r="A950" s="2266" t="s">
        <v>4155</v>
      </c>
      <c r="B950" s="2465" t="str">
        <f>CONCATENATE(LEFT(RIGHT(CONCATENATE("000",IFAData_TEA_1617!A950),6),3),"-",(RIGHT(RIGHT(CONCATENATE("000",IFAData_TEA_1617!A950),6),3)))</f>
        <v>091-909</v>
      </c>
      <c r="C950" s="2266" t="s">
        <v>1511</v>
      </c>
      <c r="D950" s="2266">
        <v>5</v>
      </c>
      <c r="E950" s="2266">
        <v>2452</v>
      </c>
      <c r="F950" s="2266" t="s">
        <v>5433</v>
      </c>
      <c r="G950" s="2266" t="s">
        <v>5433</v>
      </c>
      <c r="H950" s="2266">
        <v>323783</v>
      </c>
      <c r="I950" s="2266">
        <v>0</v>
      </c>
      <c r="J950" s="2266">
        <v>0</v>
      </c>
      <c r="K950" s="2266">
        <v>0</v>
      </c>
      <c r="L950" s="2266">
        <v>0</v>
      </c>
      <c r="M950" s="2266">
        <v>599</v>
      </c>
    </row>
    <row r="951" spans="1:13" ht="15">
      <c r="A951" s="2266" t="s">
        <v>4156</v>
      </c>
      <c r="B951" s="2465" t="str">
        <f>CONCATENATE(LEFT(RIGHT(CONCATENATE("000",IFAData_TEA_1617!A951),6),3),"-",(RIGHT(RIGHT(CONCATENATE("000",IFAData_TEA_1617!A951),6),3)))</f>
        <v>091-913</v>
      </c>
      <c r="C951" s="2266" t="s">
        <v>2410</v>
      </c>
      <c r="D951" s="2266">
        <v>2</v>
      </c>
      <c r="E951" s="2266">
        <v>2207</v>
      </c>
      <c r="F951" s="2266" t="s">
        <v>5435</v>
      </c>
      <c r="G951" s="2266" t="s">
        <v>6974</v>
      </c>
      <c r="H951" s="2266">
        <v>315852</v>
      </c>
      <c r="I951" s="2266">
        <v>145301</v>
      </c>
      <c r="J951" s="2266">
        <v>0.21780927054633326</v>
      </c>
      <c r="K951" s="2266">
        <v>68795.493720600454</v>
      </c>
      <c r="L951" s="2266">
        <v>68795.493720600454</v>
      </c>
      <c r="M951" s="2266">
        <v>599</v>
      </c>
    </row>
    <row r="952" spans="1:13" ht="15">
      <c r="A952" s="2266" t="s">
        <v>4156</v>
      </c>
      <c r="B952" s="2465" t="str">
        <f>CONCATENATE(LEFT(RIGHT(CONCATENATE("000",IFAData_TEA_1617!A952),6),3),"-",(RIGHT(RIGHT(CONCATENATE("000",IFAData_TEA_1617!A952),6),3)))</f>
        <v>091-913</v>
      </c>
      <c r="C952" s="2266" t="s">
        <v>2410</v>
      </c>
      <c r="D952" s="2266">
        <v>2</v>
      </c>
      <c r="E952" s="2266">
        <v>2207</v>
      </c>
      <c r="F952" s="2266" t="s">
        <v>5435</v>
      </c>
      <c r="G952" s="2266" t="s">
        <v>5436</v>
      </c>
      <c r="H952" s="2266">
        <v>315852</v>
      </c>
      <c r="I952" s="2266">
        <v>521801</v>
      </c>
      <c r="J952" s="2266">
        <v>0.78219072945366674</v>
      </c>
      <c r="K952" s="2266">
        <v>247056.50627939956</v>
      </c>
      <c r="L952" s="2266">
        <v>247056.50627939956</v>
      </c>
      <c r="M952" s="2266">
        <v>599</v>
      </c>
    </row>
    <row r="953" spans="1:13" ht="15">
      <c r="A953" s="2266" t="s">
        <v>4156</v>
      </c>
      <c r="B953" s="2465" t="str">
        <f>CONCATENATE(LEFT(RIGHT(CONCATENATE("000",IFAData_TEA_1617!A953),6),3),"-",(RIGHT(RIGHT(CONCATENATE("000",IFAData_TEA_1617!A953),6),3)))</f>
        <v>091-913</v>
      </c>
      <c r="C953" s="2266" t="s">
        <v>2410</v>
      </c>
      <c r="D953" s="2266">
        <v>2</v>
      </c>
      <c r="E953" s="2266">
        <v>2207</v>
      </c>
      <c r="F953" s="2266" t="s">
        <v>5435</v>
      </c>
      <c r="G953" s="2266" t="s">
        <v>5435</v>
      </c>
      <c r="H953" s="2266">
        <v>315852</v>
      </c>
      <c r="I953" s="2266">
        <v>0</v>
      </c>
      <c r="J953" s="2266">
        <v>0</v>
      </c>
      <c r="K953" s="2266">
        <v>0</v>
      </c>
      <c r="L953" s="2266">
        <v>0</v>
      </c>
      <c r="M953" s="2266">
        <v>599</v>
      </c>
    </row>
    <row r="954" spans="1:13" ht="15">
      <c r="A954" s="2266" t="s">
        <v>4157</v>
      </c>
      <c r="B954" s="2465" t="str">
        <f>CONCATENATE(LEFT(RIGHT(CONCATENATE("000",IFAData_TEA_1617!A954),6),3),"-",(RIGHT(RIGHT(CONCATENATE("000",IFAData_TEA_1617!A954),6),3)))</f>
        <v>091-917</v>
      </c>
      <c r="C954" s="2266" t="s">
        <v>1948</v>
      </c>
      <c r="D954" s="2266">
        <v>9</v>
      </c>
      <c r="E954" s="2266">
        <v>1861</v>
      </c>
      <c r="F954" s="2266" t="s">
        <v>5439</v>
      </c>
      <c r="G954" s="2266" t="s">
        <v>5439</v>
      </c>
      <c r="H954" s="2266">
        <v>129415</v>
      </c>
      <c r="I954" s="2266">
        <v>52125</v>
      </c>
      <c r="J954" s="2266">
        <v>0.50721535123142647</v>
      </c>
      <c r="K954" s="2266">
        <v>65641.27467961506</v>
      </c>
      <c r="L954" s="2266">
        <v>52125</v>
      </c>
      <c r="M954" s="2266">
        <v>599</v>
      </c>
    </row>
    <row r="955" spans="1:13" ht="15">
      <c r="A955" s="2266" t="s">
        <v>4157</v>
      </c>
      <c r="B955" s="2465" t="str">
        <f>CONCATENATE(LEFT(RIGHT(CONCATENATE("000",IFAData_TEA_1617!A955),6),3),"-",(RIGHT(RIGHT(CONCATENATE("000",IFAData_TEA_1617!A955),6),3)))</f>
        <v>091-917</v>
      </c>
      <c r="C955" s="2266" t="s">
        <v>1948</v>
      </c>
      <c r="D955" s="2266">
        <v>3</v>
      </c>
      <c r="E955" s="2266">
        <v>1862</v>
      </c>
      <c r="F955" s="2266" t="s">
        <v>5437</v>
      </c>
      <c r="G955" s="2266" t="s">
        <v>5438</v>
      </c>
      <c r="H955" s="2266">
        <v>145000</v>
      </c>
      <c r="I955" s="2266">
        <v>140925</v>
      </c>
      <c r="J955" s="2266">
        <v>1</v>
      </c>
      <c r="K955" s="2266">
        <v>145000</v>
      </c>
      <c r="L955" s="2266">
        <v>140925</v>
      </c>
      <c r="M955" s="2266">
        <v>599</v>
      </c>
    </row>
    <row r="956" spans="1:13" ht="15">
      <c r="A956" s="2266" t="s">
        <v>4157</v>
      </c>
      <c r="B956" s="2465" t="str">
        <f>CONCATENATE(LEFT(RIGHT(CONCATENATE("000",IFAData_TEA_1617!A956),6),3),"-",(RIGHT(RIGHT(CONCATENATE("000",IFAData_TEA_1617!A956),6),3)))</f>
        <v>091-917</v>
      </c>
      <c r="C956" s="2266" t="s">
        <v>1948</v>
      </c>
      <c r="D956" s="2266">
        <v>3</v>
      </c>
      <c r="E956" s="2266">
        <v>1862</v>
      </c>
      <c r="F956" s="2266" t="s">
        <v>5437</v>
      </c>
      <c r="G956" s="2266" t="s">
        <v>5437</v>
      </c>
      <c r="H956" s="2266">
        <v>145000</v>
      </c>
      <c r="I956" s="2266">
        <v>0</v>
      </c>
      <c r="J956" s="2266">
        <v>0</v>
      </c>
      <c r="K956" s="2266">
        <v>0</v>
      </c>
      <c r="L956" s="2266">
        <v>0</v>
      </c>
      <c r="M956" s="2266">
        <v>599</v>
      </c>
    </row>
    <row r="957" spans="1:13" ht="15">
      <c r="A957" s="2266" t="s">
        <v>4157</v>
      </c>
      <c r="B957" s="2465" t="str">
        <f>CONCATENATE(LEFT(RIGHT(CONCATENATE("000",IFAData_TEA_1617!A957),6),3),"-",(RIGHT(RIGHT(CONCATENATE("000",IFAData_TEA_1617!A957),6),3)))</f>
        <v>091-917</v>
      </c>
      <c r="C957" s="2266" t="s">
        <v>1948</v>
      </c>
      <c r="D957" s="2266">
        <v>9</v>
      </c>
      <c r="E957" s="2266">
        <v>1861</v>
      </c>
      <c r="F957" s="2266" t="s">
        <v>5439</v>
      </c>
      <c r="G957" s="2266" t="s">
        <v>7198</v>
      </c>
      <c r="H957" s="2266">
        <v>129415</v>
      </c>
      <c r="I957" s="2266">
        <v>50642</v>
      </c>
      <c r="J957" s="2266">
        <v>0.49278464876857359</v>
      </c>
      <c r="K957" s="2266">
        <v>63773.725320384954</v>
      </c>
      <c r="L957" s="2266">
        <v>50642</v>
      </c>
      <c r="M957" s="2266">
        <v>599</v>
      </c>
    </row>
    <row r="958" spans="1:13" ht="15">
      <c r="A958" s="2266" t="s">
        <v>5440</v>
      </c>
      <c r="B958" s="2465" t="str">
        <f>CONCATENATE(LEFT(RIGHT(CONCATENATE("000",IFAData_TEA_1617!A958),6),3),"-",(RIGHT(RIGHT(CONCATENATE("000",IFAData_TEA_1617!A958),6),3)))</f>
        <v>092-903</v>
      </c>
      <c r="C958" s="2266" t="s">
        <v>2436</v>
      </c>
      <c r="D958" s="2266">
        <v>1</v>
      </c>
      <c r="E958" s="2266">
        <v>2034</v>
      </c>
      <c r="F958" s="2266" t="s">
        <v>5441</v>
      </c>
      <c r="G958" s="2266" t="s">
        <v>5441</v>
      </c>
      <c r="H958" s="2266">
        <v>346003</v>
      </c>
      <c r="I958" s="2266">
        <v>0</v>
      </c>
      <c r="J958" s="2266">
        <v>0</v>
      </c>
      <c r="K958" s="2266"/>
      <c r="L958" s="2266">
        <v>0</v>
      </c>
      <c r="M958" s="2266">
        <v>599</v>
      </c>
    </row>
    <row r="959" spans="1:13" ht="15">
      <c r="A959" s="2266" t="s">
        <v>4158</v>
      </c>
      <c r="B959" s="2465" t="str">
        <f>CONCATENATE(LEFT(RIGHT(CONCATENATE("000",IFAData_TEA_1617!A959),6),3),"-",(RIGHT(RIGHT(CONCATENATE("000",IFAData_TEA_1617!A959),6),3)))</f>
        <v>092-907</v>
      </c>
      <c r="C959" s="2266" t="s">
        <v>2210</v>
      </c>
      <c r="D959" s="2266">
        <v>9</v>
      </c>
      <c r="E959" s="2266">
        <v>2376</v>
      </c>
      <c r="F959" s="2266" t="s">
        <v>5445</v>
      </c>
      <c r="G959" s="2266" t="s">
        <v>6975</v>
      </c>
      <c r="H959" s="2266">
        <v>437500</v>
      </c>
      <c r="I959" s="2266">
        <v>341020</v>
      </c>
      <c r="J959" s="2266">
        <v>0.17908663818953502</v>
      </c>
      <c r="K959" s="2266">
        <v>78350.404207921572</v>
      </c>
      <c r="L959" s="2266">
        <v>78350.404207921572</v>
      </c>
      <c r="M959" s="2266">
        <v>599</v>
      </c>
    </row>
    <row r="960" spans="1:13" ht="15">
      <c r="A960" s="2266" t="s">
        <v>4158</v>
      </c>
      <c r="B960" s="2465" t="str">
        <f>CONCATENATE(LEFT(RIGHT(CONCATENATE("000",IFAData_TEA_1617!A960),6),3),"-",(RIGHT(RIGHT(CONCATENATE("000",IFAData_TEA_1617!A960),6),3)))</f>
        <v>092-907</v>
      </c>
      <c r="C960" s="2266" t="s">
        <v>2210</v>
      </c>
      <c r="D960" s="2266">
        <v>2</v>
      </c>
      <c r="E960" s="2266">
        <v>2375</v>
      </c>
      <c r="F960" s="2266" t="s">
        <v>5442</v>
      </c>
      <c r="G960" s="2266" t="s">
        <v>5444</v>
      </c>
      <c r="H960" s="2266">
        <v>398517</v>
      </c>
      <c r="I960" s="2266">
        <v>75968</v>
      </c>
      <c r="J960" s="2266">
        <v>5.8099143594395046E-2</v>
      </c>
      <c r="K960" s="2266">
        <v>23153.496407807532</v>
      </c>
      <c r="L960" s="2266">
        <v>23153.496407807532</v>
      </c>
      <c r="M960" s="2266">
        <v>599</v>
      </c>
    </row>
    <row r="961" spans="1:13" ht="15">
      <c r="A961" s="2266" t="s">
        <v>4158</v>
      </c>
      <c r="B961" s="2465" t="str">
        <f>CONCATENATE(LEFT(RIGHT(CONCATENATE("000",IFAData_TEA_1617!A961),6),3),"-",(RIGHT(RIGHT(CONCATENATE("000",IFAData_TEA_1617!A961),6),3)))</f>
        <v>092-907</v>
      </c>
      <c r="C961" s="2266" t="s">
        <v>2210</v>
      </c>
      <c r="D961" s="2266">
        <v>2</v>
      </c>
      <c r="E961" s="2266">
        <v>2375</v>
      </c>
      <c r="F961" s="2266" t="s">
        <v>5442</v>
      </c>
      <c r="G961" s="2266" t="s">
        <v>5443</v>
      </c>
      <c r="H961" s="2266">
        <v>398517</v>
      </c>
      <c r="I961" s="2266">
        <v>647870</v>
      </c>
      <c r="J961" s="2266">
        <v>0.49548088880187341</v>
      </c>
      <c r="K961" s="2266">
        <v>197457.5573626562</v>
      </c>
      <c r="L961" s="2266">
        <v>197457.5573626562</v>
      </c>
      <c r="M961" s="2266">
        <v>599</v>
      </c>
    </row>
    <row r="962" spans="1:13" ht="15">
      <c r="A962" s="2266" t="s">
        <v>4158</v>
      </c>
      <c r="B962" s="2465" t="str">
        <f>CONCATENATE(LEFT(RIGHT(CONCATENATE("000",IFAData_TEA_1617!A962),6),3),"-",(RIGHT(RIGHT(CONCATENATE("000",IFAData_TEA_1617!A962),6),3)))</f>
        <v>092-907</v>
      </c>
      <c r="C962" s="2266" t="s">
        <v>2210</v>
      </c>
      <c r="D962" s="2266">
        <v>9</v>
      </c>
      <c r="E962" s="2266">
        <v>2376</v>
      </c>
      <c r="F962" s="2266" t="s">
        <v>5445</v>
      </c>
      <c r="G962" s="2266" t="s">
        <v>7200</v>
      </c>
      <c r="H962" s="2266">
        <v>437500</v>
      </c>
      <c r="I962" s="2266">
        <v>315509</v>
      </c>
      <c r="J962" s="2266">
        <v>0.16568953764747524</v>
      </c>
      <c r="K962" s="2266">
        <v>72489.17272077041</v>
      </c>
      <c r="L962" s="2266">
        <v>72489.17272077041</v>
      </c>
      <c r="M962" s="2266">
        <v>599</v>
      </c>
    </row>
    <row r="963" spans="1:13" ht="15">
      <c r="A963" s="2266" t="s">
        <v>4158</v>
      </c>
      <c r="B963" s="2465" t="str">
        <f>CONCATENATE(LEFT(RIGHT(CONCATENATE("000",IFAData_TEA_1617!A963),6),3),"-",(RIGHT(RIGHT(CONCATENATE("000",IFAData_TEA_1617!A963),6),3)))</f>
        <v>092-907</v>
      </c>
      <c r="C963" s="2266" t="s">
        <v>2210</v>
      </c>
      <c r="D963" s="2266">
        <v>10</v>
      </c>
      <c r="E963" s="2266">
        <v>2377</v>
      </c>
      <c r="F963" s="2266" t="s">
        <v>5446</v>
      </c>
      <c r="G963" s="2266" t="s">
        <v>5446</v>
      </c>
      <c r="H963" s="2266">
        <v>456338</v>
      </c>
      <c r="I963" s="2266">
        <v>268626</v>
      </c>
      <c r="J963" s="2266">
        <v>1</v>
      </c>
      <c r="K963" s="2266">
        <v>456338</v>
      </c>
      <c r="L963" s="2266">
        <v>268626</v>
      </c>
      <c r="M963" s="2266">
        <v>599</v>
      </c>
    </row>
    <row r="964" spans="1:13" ht="15">
      <c r="A964" s="2266" t="s">
        <v>4158</v>
      </c>
      <c r="B964" s="2465" t="str">
        <f>CONCATENATE(LEFT(RIGHT(CONCATENATE("000",IFAData_TEA_1617!A964),6),3),"-",(RIGHT(RIGHT(CONCATENATE("000",IFAData_TEA_1617!A964),6),3)))</f>
        <v>092-907</v>
      </c>
      <c r="C964" s="2266" t="s">
        <v>2210</v>
      </c>
      <c r="D964" s="2266">
        <v>9</v>
      </c>
      <c r="E964" s="2266">
        <v>2376</v>
      </c>
      <c r="F964" s="2266" t="s">
        <v>5445</v>
      </c>
      <c r="G964" s="2266" t="s">
        <v>5445</v>
      </c>
      <c r="H964" s="2266">
        <v>437500</v>
      </c>
      <c r="I964" s="2266">
        <v>1247689</v>
      </c>
      <c r="J964" s="2266">
        <v>0.65522382416298974</v>
      </c>
      <c r="K964" s="2266">
        <v>286660.423071308</v>
      </c>
      <c r="L964" s="2266">
        <v>286660.423071308</v>
      </c>
      <c r="M964" s="2266">
        <v>599</v>
      </c>
    </row>
    <row r="965" spans="1:13" ht="15">
      <c r="A965" s="2266" t="s">
        <v>4158</v>
      </c>
      <c r="B965" s="2465" t="str">
        <f>CONCATENATE(LEFT(RIGHT(CONCATENATE("000",IFAData_TEA_1617!A965),6),3),"-",(RIGHT(RIGHT(CONCATENATE("000",IFAData_TEA_1617!A965),6),3)))</f>
        <v>092-907</v>
      </c>
      <c r="C965" s="2266" t="s">
        <v>2210</v>
      </c>
      <c r="D965" s="2266">
        <v>2</v>
      </c>
      <c r="E965" s="2266">
        <v>2375</v>
      </c>
      <c r="F965" s="2266" t="s">
        <v>5442</v>
      </c>
      <c r="G965" s="2266" t="s">
        <v>7199</v>
      </c>
      <c r="H965" s="2266">
        <v>398517</v>
      </c>
      <c r="I965" s="2266">
        <v>583720</v>
      </c>
      <c r="J965" s="2266">
        <v>0.44641996760373154</v>
      </c>
      <c r="K965" s="2266">
        <v>177905.94622953629</v>
      </c>
      <c r="L965" s="2266">
        <v>177905.94622953629</v>
      </c>
      <c r="M965" s="2266">
        <v>599</v>
      </c>
    </row>
    <row r="966" spans="1:13" ht="15">
      <c r="A966" s="2266" t="s">
        <v>4158</v>
      </c>
      <c r="B966" s="2465" t="str">
        <f>CONCATENATE(LEFT(RIGHT(CONCATENATE("000",IFAData_TEA_1617!A966),6),3),"-",(RIGHT(RIGHT(CONCATENATE("000",IFAData_TEA_1617!A966),6),3)))</f>
        <v>092-907</v>
      </c>
      <c r="C966" s="2266" t="s">
        <v>2210</v>
      </c>
      <c r="D966" s="2266">
        <v>2</v>
      </c>
      <c r="E966" s="2266">
        <v>2375</v>
      </c>
      <c r="F966" s="2266" t="s">
        <v>5442</v>
      </c>
      <c r="G966" s="2266" t="s">
        <v>5442</v>
      </c>
      <c r="H966" s="2266">
        <v>398517</v>
      </c>
      <c r="I966" s="2266">
        <v>0</v>
      </c>
      <c r="J966" s="2266">
        <v>0</v>
      </c>
      <c r="K966" s="2266">
        <v>0</v>
      </c>
      <c r="L966" s="2266">
        <v>0</v>
      </c>
      <c r="M966" s="2266">
        <v>599</v>
      </c>
    </row>
    <row r="967" spans="1:13" ht="15">
      <c r="A967" s="2266" t="s">
        <v>4159</v>
      </c>
      <c r="B967" s="2465" t="str">
        <f>CONCATENATE(LEFT(RIGHT(CONCATENATE("000",IFAData_TEA_1617!A967),6),3),"-",(RIGHT(RIGHT(CONCATENATE("000",IFAData_TEA_1617!A967),6),3)))</f>
        <v>093-903</v>
      </c>
      <c r="C967" s="2266" t="s">
        <v>257</v>
      </c>
      <c r="D967" s="2266">
        <v>10</v>
      </c>
      <c r="E967" s="2266">
        <v>1924</v>
      </c>
      <c r="F967" s="2266" t="s">
        <v>5447</v>
      </c>
      <c r="G967" s="2266" t="s">
        <v>5447</v>
      </c>
      <c r="H967" s="2266">
        <v>119954</v>
      </c>
      <c r="I967" s="2266">
        <v>518748</v>
      </c>
      <c r="J967" s="2266">
        <v>1</v>
      </c>
      <c r="K967" s="2266">
        <v>119954</v>
      </c>
      <c r="L967" s="2266">
        <v>119954</v>
      </c>
      <c r="M967" s="2266">
        <v>599</v>
      </c>
    </row>
    <row r="968" spans="1:13" ht="15">
      <c r="A968" s="2266" t="s">
        <v>4160</v>
      </c>
      <c r="B968" s="2465" t="str">
        <f>CONCATENATE(LEFT(RIGHT(CONCATENATE("000",IFAData_TEA_1617!A968),6),3),"-",(RIGHT(RIGHT(CONCATENATE("000",IFAData_TEA_1617!A968),6),3)))</f>
        <v>094-901</v>
      </c>
      <c r="C968" s="2266" t="s">
        <v>1416</v>
      </c>
      <c r="D968" s="2266">
        <v>6</v>
      </c>
      <c r="E968" s="2266">
        <v>2323</v>
      </c>
      <c r="F968" s="2266" t="s">
        <v>5451</v>
      </c>
      <c r="G968" s="2266" t="s">
        <v>5452</v>
      </c>
      <c r="H968" s="2266">
        <v>931261</v>
      </c>
      <c r="I968" s="2266">
        <v>0</v>
      </c>
      <c r="J968" s="2266">
        <v>0</v>
      </c>
      <c r="K968" s="2266">
        <v>0</v>
      </c>
      <c r="L968" s="2266">
        <v>0</v>
      </c>
      <c r="M968" s="2266">
        <v>599</v>
      </c>
    </row>
    <row r="969" spans="1:13" ht="15">
      <c r="A969" s="2266" t="s">
        <v>4160</v>
      </c>
      <c r="B969" s="2465" t="str">
        <f>CONCATENATE(LEFT(RIGHT(CONCATENATE("000",IFAData_TEA_1617!A969),6),3),"-",(RIGHT(RIGHT(CONCATENATE("000",IFAData_TEA_1617!A969),6),3)))</f>
        <v>094-901</v>
      </c>
      <c r="C969" s="2266" t="s">
        <v>1416</v>
      </c>
      <c r="D969" s="2266">
        <v>6</v>
      </c>
      <c r="E969" s="2266">
        <v>2323</v>
      </c>
      <c r="F969" s="2266" t="s">
        <v>5451</v>
      </c>
      <c r="G969" s="2266" t="s">
        <v>7201</v>
      </c>
      <c r="H969" s="2266">
        <v>931261</v>
      </c>
      <c r="I969" s="2266">
        <v>223940</v>
      </c>
      <c r="J969" s="2266">
        <v>0.17832897610945961</v>
      </c>
      <c r="K969" s="2266">
        <v>166070.82062067147</v>
      </c>
      <c r="L969" s="2266">
        <v>166070.82062067147</v>
      </c>
      <c r="M969" s="2266">
        <v>599</v>
      </c>
    </row>
    <row r="970" spans="1:13" ht="15">
      <c r="A970" s="2266" t="s">
        <v>4160</v>
      </c>
      <c r="B970" s="2465" t="str">
        <f>CONCATENATE(LEFT(RIGHT(CONCATENATE("000",IFAData_TEA_1617!A970),6),3),"-",(RIGHT(RIGHT(CONCATENATE("000",IFAData_TEA_1617!A970),6),3)))</f>
        <v>094-901</v>
      </c>
      <c r="C970" s="2266" t="s">
        <v>1416</v>
      </c>
      <c r="D970" s="2266">
        <v>2</v>
      </c>
      <c r="E970" s="2266">
        <v>2324</v>
      </c>
      <c r="F970" s="2266" t="s">
        <v>5448</v>
      </c>
      <c r="G970" s="2266" t="s">
        <v>5450</v>
      </c>
      <c r="H970" s="2266">
        <v>1582356</v>
      </c>
      <c r="I970" s="2266">
        <v>1422610</v>
      </c>
      <c r="J970" s="2266">
        <v>1</v>
      </c>
      <c r="K970" s="2266">
        <v>1582356</v>
      </c>
      <c r="L970" s="2266">
        <v>1422610</v>
      </c>
      <c r="M970" s="2266">
        <v>599</v>
      </c>
    </row>
    <row r="971" spans="1:13" ht="15">
      <c r="A971" s="2266" t="s">
        <v>4160</v>
      </c>
      <c r="B971" s="2465" t="str">
        <f>CONCATENATE(LEFT(RIGHT(CONCATENATE("000",IFAData_TEA_1617!A971),6),3),"-",(RIGHT(RIGHT(CONCATENATE("000",IFAData_TEA_1617!A971),6),3)))</f>
        <v>094-901</v>
      </c>
      <c r="C971" s="2266" t="s">
        <v>1416</v>
      </c>
      <c r="D971" s="2266">
        <v>2</v>
      </c>
      <c r="E971" s="2266">
        <v>2324</v>
      </c>
      <c r="F971" s="2266" t="s">
        <v>5448</v>
      </c>
      <c r="G971" s="2266" t="s">
        <v>5449</v>
      </c>
      <c r="H971" s="2266">
        <v>1582356</v>
      </c>
      <c r="I971" s="2266">
        <v>0</v>
      </c>
      <c r="J971" s="2266">
        <v>0</v>
      </c>
      <c r="K971" s="2266">
        <v>0</v>
      </c>
      <c r="L971" s="2266">
        <v>0</v>
      </c>
      <c r="M971" s="2266">
        <v>599</v>
      </c>
    </row>
    <row r="972" spans="1:13" ht="15">
      <c r="A972" s="2266" t="s">
        <v>4160</v>
      </c>
      <c r="B972" s="2465" t="str">
        <f>CONCATENATE(LEFT(RIGHT(CONCATENATE("000",IFAData_TEA_1617!A972),6),3),"-",(RIGHT(RIGHT(CONCATENATE("000",IFAData_TEA_1617!A972),6),3)))</f>
        <v>094-901</v>
      </c>
      <c r="C972" s="2266" t="s">
        <v>1416</v>
      </c>
      <c r="D972" s="2266">
        <v>6</v>
      </c>
      <c r="E972" s="2266">
        <v>2323</v>
      </c>
      <c r="F972" s="2266" t="s">
        <v>5451</v>
      </c>
      <c r="G972" s="2266" t="s">
        <v>5453</v>
      </c>
      <c r="H972" s="2266">
        <v>931261</v>
      </c>
      <c r="I972" s="2266">
        <v>1031829</v>
      </c>
      <c r="J972" s="2266">
        <v>0.82167102389054036</v>
      </c>
      <c r="K972" s="2266">
        <v>765190.1793793285</v>
      </c>
      <c r="L972" s="2266">
        <v>765190.1793793285</v>
      </c>
      <c r="M972" s="2266">
        <v>599</v>
      </c>
    </row>
    <row r="973" spans="1:13" ht="15">
      <c r="A973" s="2266" t="s">
        <v>4160</v>
      </c>
      <c r="B973" s="2465" t="str">
        <f>CONCATENATE(LEFT(RIGHT(CONCATENATE("000",IFAData_TEA_1617!A973),6),3),"-",(RIGHT(RIGHT(CONCATENATE("000",IFAData_TEA_1617!A973),6),3)))</f>
        <v>094-901</v>
      </c>
      <c r="C973" s="2266" t="s">
        <v>1416</v>
      </c>
      <c r="D973" s="2266">
        <v>2</v>
      </c>
      <c r="E973" s="2266">
        <v>2324</v>
      </c>
      <c r="F973" s="2266" t="s">
        <v>5448</v>
      </c>
      <c r="G973" s="2266" t="s">
        <v>5448</v>
      </c>
      <c r="H973" s="2266">
        <v>1582356</v>
      </c>
      <c r="I973" s="2266">
        <v>0</v>
      </c>
      <c r="J973" s="2266">
        <v>0</v>
      </c>
      <c r="K973" s="2266">
        <v>0</v>
      </c>
      <c r="L973" s="2266">
        <v>0</v>
      </c>
      <c r="M973" s="2266">
        <v>599</v>
      </c>
    </row>
    <row r="974" spans="1:13" ht="15">
      <c r="A974" s="2266" t="s">
        <v>4160</v>
      </c>
      <c r="B974" s="2465" t="str">
        <f>CONCATENATE(LEFT(RIGHT(CONCATENATE("000",IFAData_TEA_1617!A974),6),3),"-",(RIGHT(RIGHT(CONCATENATE("000",IFAData_TEA_1617!A974),6),3)))</f>
        <v>094-901</v>
      </c>
      <c r="C974" s="2266" t="s">
        <v>1416</v>
      </c>
      <c r="D974" s="2266">
        <v>6</v>
      </c>
      <c r="E974" s="2266">
        <v>2323</v>
      </c>
      <c r="F974" s="2266" t="s">
        <v>5451</v>
      </c>
      <c r="G974" s="2266" t="s">
        <v>5451</v>
      </c>
      <c r="H974" s="2266">
        <v>931261</v>
      </c>
      <c r="I974" s="2266">
        <v>0</v>
      </c>
      <c r="J974" s="2266">
        <v>0</v>
      </c>
      <c r="K974" s="2266">
        <v>0</v>
      </c>
      <c r="L974" s="2266">
        <v>0</v>
      </c>
      <c r="M974" s="2266">
        <v>599</v>
      </c>
    </row>
    <row r="975" spans="1:13" ht="15">
      <c r="A975" s="2266" t="s">
        <v>4161</v>
      </c>
      <c r="B975" s="2465" t="str">
        <f>CONCATENATE(LEFT(RIGHT(CONCATENATE("000",IFAData_TEA_1617!A975),6),3),"-",(RIGHT(RIGHT(CONCATENATE("000",IFAData_TEA_1617!A975),6),3)))</f>
        <v>094-902</v>
      </c>
      <c r="C975" s="2266" t="s">
        <v>1414</v>
      </c>
      <c r="D975" s="2266">
        <v>9</v>
      </c>
      <c r="E975" s="2266">
        <v>2319</v>
      </c>
      <c r="F975" s="2266" t="s">
        <v>5462</v>
      </c>
      <c r="G975" s="2266" t="s">
        <v>6976</v>
      </c>
      <c r="H975" s="2266">
        <v>1351905</v>
      </c>
      <c r="I975" s="2266">
        <v>142700</v>
      </c>
      <c r="J975" s="2266">
        <v>5.9608870568548321E-2</v>
      </c>
      <c r="K975" s="2266">
        <v>80585.530165973323</v>
      </c>
      <c r="L975" s="2266">
        <v>80585.530165973323</v>
      </c>
      <c r="M975" s="2266">
        <v>599</v>
      </c>
    </row>
    <row r="976" spans="1:13" ht="15">
      <c r="A976" s="2266" t="s">
        <v>4161</v>
      </c>
      <c r="B976" s="2465" t="str">
        <f>CONCATENATE(LEFT(RIGHT(CONCATENATE("000",IFAData_TEA_1617!A976),6),3),"-",(RIGHT(RIGHT(CONCATENATE("000",IFAData_TEA_1617!A976),6),3)))</f>
        <v>094-902</v>
      </c>
      <c r="C976" s="2266" t="s">
        <v>1414</v>
      </c>
      <c r="D976" s="2266">
        <v>1</v>
      </c>
      <c r="E976" s="2266">
        <v>2316</v>
      </c>
      <c r="F976" s="2266" t="s">
        <v>5454</v>
      </c>
      <c r="G976" s="2266" t="s">
        <v>5459</v>
      </c>
      <c r="H976" s="2266">
        <v>328404</v>
      </c>
      <c r="I976" s="2266">
        <v>272835</v>
      </c>
      <c r="J976" s="2266">
        <v>0.38842698708731366</v>
      </c>
      <c r="K976" s="2266">
        <v>127560.97626742216</v>
      </c>
      <c r="L976" s="2266">
        <v>127560.97626742216</v>
      </c>
      <c r="M976" s="2266">
        <v>599</v>
      </c>
    </row>
    <row r="977" spans="1:13" ht="15">
      <c r="A977" s="2266" t="s">
        <v>4161</v>
      </c>
      <c r="B977" s="2465" t="str">
        <f>CONCATENATE(LEFT(RIGHT(CONCATENATE("000",IFAData_TEA_1617!A977),6),3),"-",(RIGHT(RIGHT(CONCATENATE("000",IFAData_TEA_1617!A977),6),3)))</f>
        <v>094-902</v>
      </c>
      <c r="C977" s="2266" t="s">
        <v>1414</v>
      </c>
      <c r="D977" s="2266">
        <v>1</v>
      </c>
      <c r="E977" s="2266">
        <v>2316</v>
      </c>
      <c r="F977" s="2266" t="s">
        <v>5454</v>
      </c>
      <c r="G977" s="2266" t="s">
        <v>5458</v>
      </c>
      <c r="H977" s="2266">
        <v>328404</v>
      </c>
      <c r="I977" s="2266">
        <v>125</v>
      </c>
      <c r="J977" s="2266">
        <v>1.7795874204524424E-4</v>
      </c>
      <c r="K977" s="2266">
        <v>58.442362722626392</v>
      </c>
      <c r="L977" s="2266">
        <v>58.442362722626392</v>
      </c>
      <c r="M977" s="2266">
        <v>599</v>
      </c>
    </row>
    <row r="978" spans="1:13" ht="15">
      <c r="A978" s="2266" t="s">
        <v>4161</v>
      </c>
      <c r="B978" s="2465" t="str">
        <f>CONCATENATE(LEFT(RIGHT(CONCATENATE("000",IFAData_TEA_1617!A978),6),3),"-",(RIGHT(RIGHT(CONCATENATE("000",IFAData_TEA_1617!A978),6),3)))</f>
        <v>094-902</v>
      </c>
      <c r="C978" s="2266" t="s">
        <v>1414</v>
      </c>
      <c r="D978" s="2266">
        <v>1</v>
      </c>
      <c r="E978" s="2266">
        <v>2317</v>
      </c>
      <c r="F978" s="2266" t="s">
        <v>5460</v>
      </c>
      <c r="G978" s="2266" t="s">
        <v>5458</v>
      </c>
      <c r="H978" s="2266">
        <v>445556</v>
      </c>
      <c r="I978" s="2266">
        <v>1130</v>
      </c>
      <c r="J978" s="2266">
        <v>2.5132725254830264E-3</v>
      </c>
      <c r="K978" s="2266">
        <v>1119.8036533641152</v>
      </c>
      <c r="L978" s="2266">
        <v>1119.8036533641152</v>
      </c>
      <c r="M978" s="2266">
        <v>599</v>
      </c>
    </row>
    <row r="979" spans="1:13" ht="15">
      <c r="A979" s="2266" t="s">
        <v>4161</v>
      </c>
      <c r="B979" s="2465" t="str">
        <f>CONCATENATE(LEFT(RIGHT(CONCATENATE("000",IFAData_TEA_1617!A979),6),3),"-",(RIGHT(RIGHT(CONCATENATE("000",IFAData_TEA_1617!A979),6),3)))</f>
        <v>094-902</v>
      </c>
      <c r="C979" s="2266" t="s">
        <v>1414</v>
      </c>
      <c r="D979" s="2266">
        <v>6</v>
      </c>
      <c r="E979" s="2266">
        <v>2320</v>
      </c>
      <c r="F979" s="2266" t="s">
        <v>5461</v>
      </c>
      <c r="G979" s="2266" t="s">
        <v>5458</v>
      </c>
      <c r="H979" s="2266">
        <v>1730235</v>
      </c>
      <c r="I979" s="2266">
        <v>75563</v>
      </c>
      <c r="J979" s="2266">
        <v>3.4710680781905597E-2</v>
      </c>
      <c r="K979" s="2266">
        <v>60057.634762680427</v>
      </c>
      <c r="L979" s="2266">
        <v>60057.634762680427</v>
      </c>
      <c r="M979" s="2266">
        <v>599</v>
      </c>
    </row>
    <row r="980" spans="1:13" ht="15">
      <c r="A980" s="2266" t="s">
        <v>4161</v>
      </c>
      <c r="B980" s="2465" t="str">
        <f>CONCATENATE(LEFT(RIGHT(CONCATENATE("000",IFAData_TEA_1617!A980),6),3),"-",(RIGHT(RIGHT(CONCATENATE("000",IFAData_TEA_1617!A980),6),3)))</f>
        <v>094-902</v>
      </c>
      <c r="C980" s="2266" t="s">
        <v>1414</v>
      </c>
      <c r="D980" s="2266">
        <v>9</v>
      </c>
      <c r="E980" s="2266">
        <v>2319</v>
      </c>
      <c r="F980" s="2266" t="s">
        <v>5462</v>
      </c>
      <c r="G980" s="2266" t="s">
        <v>5462</v>
      </c>
      <c r="H980" s="2266">
        <v>1351905</v>
      </c>
      <c r="I980" s="2266">
        <v>0</v>
      </c>
      <c r="J980" s="2266">
        <v>0</v>
      </c>
      <c r="K980" s="2266">
        <v>0</v>
      </c>
      <c r="L980" s="2266">
        <v>0</v>
      </c>
      <c r="M980" s="2266">
        <v>599</v>
      </c>
    </row>
    <row r="981" spans="1:13" ht="15">
      <c r="A981" s="2266" t="s">
        <v>4161</v>
      </c>
      <c r="B981" s="2465" t="str">
        <f>CONCATENATE(LEFT(RIGHT(CONCATENATE("000",IFAData_TEA_1617!A981),6),3),"-",(RIGHT(RIGHT(CONCATENATE("000",IFAData_TEA_1617!A981),6),3)))</f>
        <v>094-902</v>
      </c>
      <c r="C981" s="2266" t="s">
        <v>1414</v>
      </c>
      <c r="D981" s="2266">
        <v>1</v>
      </c>
      <c r="E981" s="2266">
        <v>2316</v>
      </c>
      <c r="F981" s="2266" t="s">
        <v>5454</v>
      </c>
      <c r="G981" s="2266" t="s">
        <v>5456</v>
      </c>
      <c r="H981" s="2266">
        <v>328404</v>
      </c>
      <c r="I981" s="2266">
        <v>429450</v>
      </c>
      <c r="J981" s="2266">
        <v>0.61139505417064111</v>
      </c>
      <c r="K981" s="2266">
        <v>200784.58136985521</v>
      </c>
      <c r="L981" s="2266">
        <v>200784.58136985521</v>
      </c>
      <c r="M981" s="2266">
        <v>599</v>
      </c>
    </row>
    <row r="982" spans="1:13" ht="15">
      <c r="A982" s="2266" t="s">
        <v>4161</v>
      </c>
      <c r="B982" s="2465" t="str">
        <f>CONCATENATE(LEFT(RIGHT(CONCATENATE("000",IFAData_TEA_1617!A982),6),3),"-",(RIGHT(RIGHT(CONCATENATE("000",IFAData_TEA_1617!A982),6),3)))</f>
        <v>094-902</v>
      </c>
      <c r="C982" s="2266" t="s">
        <v>1414</v>
      </c>
      <c r="D982" s="2266">
        <v>1</v>
      </c>
      <c r="E982" s="2266">
        <v>2317</v>
      </c>
      <c r="F982" s="2266" t="s">
        <v>5460</v>
      </c>
      <c r="G982" s="2266" t="s">
        <v>5455</v>
      </c>
      <c r="H982" s="2266">
        <v>445556</v>
      </c>
      <c r="I982" s="2266">
        <v>0</v>
      </c>
      <c r="J982" s="2266">
        <v>0</v>
      </c>
      <c r="K982" s="2266">
        <v>0</v>
      </c>
      <c r="L982" s="2266">
        <v>0</v>
      </c>
      <c r="M982" s="2266">
        <v>599</v>
      </c>
    </row>
    <row r="983" spans="1:13" ht="15">
      <c r="A983" s="2266" t="s">
        <v>4161</v>
      </c>
      <c r="B983" s="2465" t="str">
        <f>CONCATENATE(LEFT(RIGHT(CONCATENATE("000",IFAData_TEA_1617!A983),6),3),"-",(RIGHT(RIGHT(CONCATENATE("000",IFAData_TEA_1617!A983),6),3)))</f>
        <v>094-902</v>
      </c>
      <c r="C983" s="2266" t="s">
        <v>1414</v>
      </c>
      <c r="D983" s="2266">
        <v>1</v>
      </c>
      <c r="E983" s="2266">
        <v>2316</v>
      </c>
      <c r="F983" s="2266" t="s">
        <v>5454</v>
      </c>
      <c r="G983" s="2266" t="s">
        <v>5455</v>
      </c>
      <c r="H983" s="2266">
        <v>328404</v>
      </c>
      <c r="I983" s="2266">
        <v>0</v>
      </c>
      <c r="J983" s="2266">
        <v>0</v>
      </c>
      <c r="K983" s="2266">
        <v>0</v>
      </c>
      <c r="L983" s="2266">
        <v>0</v>
      </c>
      <c r="M983" s="2266">
        <v>599</v>
      </c>
    </row>
    <row r="984" spans="1:13" ht="15">
      <c r="A984" s="2266" t="s">
        <v>4161</v>
      </c>
      <c r="B984" s="2465" t="str">
        <f>CONCATENATE(LEFT(RIGHT(CONCATENATE("000",IFAData_TEA_1617!A984),6),3),"-",(RIGHT(RIGHT(CONCATENATE("000",IFAData_TEA_1617!A984),6),3)))</f>
        <v>094-902</v>
      </c>
      <c r="C984" s="2266" t="s">
        <v>1414</v>
      </c>
      <c r="D984" s="2266">
        <v>1</v>
      </c>
      <c r="E984" s="2266">
        <v>2316</v>
      </c>
      <c r="F984" s="2266" t="s">
        <v>5454</v>
      </c>
      <c r="G984" s="2266" t="s">
        <v>5457</v>
      </c>
      <c r="H984" s="2266">
        <v>328404</v>
      </c>
      <c r="I984" s="2266">
        <v>0</v>
      </c>
      <c r="J984" s="2266">
        <v>0</v>
      </c>
      <c r="K984" s="2266">
        <v>0</v>
      </c>
      <c r="L984" s="2266">
        <v>0</v>
      </c>
      <c r="M984" s="2266">
        <v>599</v>
      </c>
    </row>
    <row r="985" spans="1:13" ht="15">
      <c r="A985" s="2266" t="s">
        <v>4161</v>
      </c>
      <c r="B985" s="2465" t="str">
        <f>CONCATENATE(LEFT(RIGHT(CONCATENATE("000",IFAData_TEA_1617!A985),6),3),"-",(RIGHT(RIGHT(CONCATENATE("000",IFAData_TEA_1617!A985),6),3)))</f>
        <v>094-902</v>
      </c>
      <c r="C985" s="2266" t="s">
        <v>1414</v>
      </c>
      <c r="D985" s="2266">
        <v>1</v>
      </c>
      <c r="E985" s="2266">
        <v>2317</v>
      </c>
      <c r="F985" s="2266" t="s">
        <v>5460</v>
      </c>
      <c r="G985" s="2266" t="s">
        <v>5457</v>
      </c>
      <c r="H985" s="2266">
        <v>445556</v>
      </c>
      <c r="I985" s="2266">
        <v>448483</v>
      </c>
      <c r="J985" s="2266">
        <v>0.99748672747451694</v>
      </c>
      <c r="K985" s="2266">
        <v>444436.19634663587</v>
      </c>
      <c r="L985" s="2266">
        <v>444436.19634663587</v>
      </c>
      <c r="M985" s="2266">
        <v>599</v>
      </c>
    </row>
    <row r="986" spans="1:13" ht="15">
      <c r="A986" s="2266" t="s">
        <v>4161</v>
      </c>
      <c r="B986" s="2465" t="str">
        <f>CONCATENATE(LEFT(RIGHT(CONCATENATE("000",IFAData_TEA_1617!A986),6),3),"-",(RIGHT(RIGHT(CONCATENATE("000",IFAData_TEA_1617!A986),6),3)))</f>
        <v>094-902</v>
      </c>
      <c r="C986" s="2266" t="s">
        <v>1414</v>
      </c>
      <c r="D986" s="2266">
        <v>6</v>
      </c>
      <c r="E986" s="2266">
        <v>2320</v>
      </c>
      <c r="F986" s="2266" t="s">
        <v>5461</v>
      </c>
      <c r="G986" s="2266" t="s">
        <v>5457</v>
      </c>
      <c r="H986" s="2266">
        <v>1730235</v>
      </c>
      <c r="I986" s="2266">
        <v>2019775</v>
      </c>
      <c r="J986" s="2266">
        <v>0.92780547723453766</v>
      </c>
      <c r="K986" s="2266">
        <v>1605321.5099029003</v>
      </c>
      <c r="L986" s="2266">
        <v>1605321.5099029003</v>
      </c>
      <c r="M986" s="2266">
        <v>599</v>
      </c>
    </row>
    <row r="987" spans="1:13" ht="15">
      <c r="A987" s="2266" t="s">
        <v>4161</v>
      </c>
      <c r="B987" s="2465" t="str">
        <f>CONCATENATE(LEFT(RIGHT(CONCATENATE("000",IFAData_TEA_1617!A987),6),3),"-",(RIGHT(RIGHT(CONCATENATE("000",IFAData_TEA_1617!A987),6),3)))</f>
        <v>094-902</v>
      </c>
      <c r="C987" s="2266" t="s">
        <v>1414</v>
      </c>
      <c r="D987" s="2266">
        <v>1</v>
      </c>
      <c r="E987" s="2266">
        <v>2317</v>
      </c>
      <c r="F987" s="2266" t="s">
        <v>5460</v>
      </c>
      <c r="G987" s="2266" t="s">
        <v>5460</v>
      </c>
      <c r="H987" s="2266">
        <v>445556</v>
      </c>
      <c r="I987" s="2266">
        <v>0</v>
      </c>
      <c r="J987" s="2266">
        <v>0</v>
      </c>
      <c r="K987" s="2266">
        <v>0</v>
      </c>
      <c r="L987" s="2266">
        <v>0</v>
      </c>
      <c r="M987" s="2266">
        <v>599</v>
      </c>
    </row>
    <row r="988" spans="1:13" ht="15">
      <c r="A988" s="2266" t="s">
        <v>4161</v>
      </c>
      <c r="B988" s="2465" t="str">
        <f>CONCATENATE(LEFT(RIGHT(CONCATENATE("000",IFAData_TEA_1617!A988),6),3),"-",(RIGHT(RIGHT(CONCATENATE("000",IFAData_TEA_1617!A988),6),3)))</f>
        <v>094-902</v>
      </c>
      <c r="C988" s="2266" t="s">
        <v>1414</v>
      </c>
      <c r="D988" s="2266">
        <v>9</v>
      </c>
      <c r="E988" s="2266">
        <v>2319</v>
      </c>
      <c r="F988" s="2266" t="s">
        <v>5462</v>
      </c>
      <c r="G988" s="2266" t="s">
        <v>7202</v>
      </c>
      <c r="H988" s="2266">
        <v>1351905</v>
      </c>
      <c r="I988" s="2266">
        <v>2251239</v>
      </c>
      <c r="J988" s="2266">
        <v>0.94039112943145164</v>
      </c>
      <c r="K988" s="2266">
        <v>1271319.4698340266</v>
      </c>
      <c r="L988" s="2266">
        <v>1271319.4698340266</v>
      </c>
      <c r="M988" s="2266">
        <v>599</v>
      </c>
    </row>
    <row r="989" spans="1:13" ht="15">
      <c r="A989" s="2266" t="s">
        <v>4161</v>
      </c>
      <c r="B989" s="2465" t="str">
        <f>CONCATENATE(LEFT(RIGHT(CONCATENATE("000",IFAData_TEA_1617!A989),6),3),"-",(RIGHT(RIGHT(CONCATENATE("000",IFAData_TEA_1617!A989),6),3)))</f>
        <v>094-902</v>
      </c>
      <c r="C989" s="2266" t="s">
        <v>1414</v>
      </c>
      <c r="D989" s="2266">
        <v>6</v>
      </c>
      <c r="E989" s="2266">
        <v>2320</v>
      </c>
      <c r="F989" s="2266" t="s">
        <v>5461</v>
      </c>
      <c r="G989" s="2266" t="s">
        <v>5461</v>
      </c>
      <c r="H989" s="2266">
        <v>1730235</v>
      </c>
      <c r="I989" s="2266">
        <v>81600</v>
      </c>
      <c r="J989" s="2266">
        <v>3.7483841983556719E-2</v>
      </c>
      <c r="K989" s="2266">
        <v>64855.855334419262</v>
      </c>
      <c r="L989" s="2266">
        <v>64855.855334419262</v>
      </c>
      <c r="M989" s="2266">
        <v>599</v>
      </c>
    </row>
    <row r="990" spans="1:13" ht="15">
      <c r="A990" s="2266" t="s">
        <v>4161</v>
      </c>
      <c r="B990" s="2465" t="str">
        <f>CONCATENATE(LEFT(RIGHT(CONCATENATE("000",IFAData_TEA_1617!A990),6),3),"-",(RIGHT(RIGHT(CONCATENATE("000",IFAData_TEA_1617!A990),6),3)))</f>
        <v>094-902</v>
      </c>
      <c r="C990" s="2266" t="s">
        <v>1414</v>
      </c>
      <c r="D990" s="2266">
        <v>9</v>
      </c>
      <c r="E990" s="2266">
        <v>2318</v>
      </c>
      <c r="F990" s="2266" t="s">
        <v>5463</v>
      </c>
      <c r="G990" s="2266" t="s">
        <v>5463</v>
      </c>
      <c r="H990" s="2266">
        <v>1272470</v>
      </c>
      <c r="I990" s="2266">
        <v>0</v>
      </c>
      <c r="J990" s="2266">
        <v>0</v>
      </c>
      <c r="K990" s="2266">
        <v>0</v>
      </c>
      <c r="L990" s="2266">
        <v>0</v>
      </c>
      <c r="M990" s="2266">
        <v>599</v>
      </c>
    </row>
    <row r="991" spans="1:13" ht="15">
      <c r="A991" s="2266" t="s">
        <v>4161</v>
      </c>
      <c r="B991" s="2465" t="str">
        <f>CONCATENATE(LEFT(RIGHT(CONCATENATE("000",IFAData_TEA_1617!A991),6),3),"-",(RIGHT(RIGHT(CONCATENATE("000",IFAData_TEA_1617!A991),6),3)))</f>
        <v>094-902</v>
      </c>
      <c r="C991" s="2266" t="s">
        <v>1414</v>
      </c>
      <c r="D991" s="2266">
        <v>9</v>
      </c>
      <c r="E991" s="2266">
        <v>2318</v>
      </c>
      <c r="F991" s="2266" t="s">
        <v>5463</v>
      </c>
      <c r="G991" s="2266" t="s">
        <v>7202</v>
      </c>
      <c r="H991" s="2266">
        <v>1272470</v>
      </c>
      <c r="I991" s="2266">
        <v>4148635</v>
      </c>
      <c r="J991" s="2266">
        <v>1</v>
      </c>
      <c r="K991" s="2266">
        <v>1272470</v>
      </c>
      <c r="L991" s="2266">
        <v>1272470</v>
      </c>
      <c r="M991" s="2266">
        <v>599</v>
      </c>
    </row>
    <row r="992" spans="1:13" ht="15">
      <c r="A992" s="2266" t="s">
        <v>4161</v>
      </c>
      <c r="B992" s="2465" t="str">
        <f>CONCATENATE(LEFT(RIGHT(CONCATENATE("000",IFAData_TEA_1617!A992),6),3),"-",(RIGHT(RIGHT(CONCATENATE("000",IFAData_TEA_1617!A992),6),3)))</f>
        <v>094-902</v>
      </c>
      <c r="C992" s="2266" t="s">
        <v>1414</v>
      </c>
      <c r="D992" s="2266">
        <v>1</v>
      </c>
      <c r="E992" s="2266">
        <v>2316</v>
      </c>
      <c r="F992" s="2266" t="s">
        <v>5454</v>
      </c>
      <c r="G992" s="2266" t="s">
        <v>5454</v>
      </c>
      <c r="H992" s="2266">
        <v>328404</v>
      </c>
      <c r="I992" s="2266">
        <v>0</v>
      </c>
      <c r="J992" s="2266">
        <v>0</v>
      </c>
      <c r="K992" s="2266">
        <v>0</v>
      </c>
      <c r="L992" s="2266">
        <v>0</v>
      </c>
      <c r="M992" s="2266">
        <v>599</v>
      </c>
    </row>
    <row r="993" spans="1:13" ht="15">
      <c r="A993" s="2266" t="s">
        <v>4162</v>
      </c>
      <c r="B993" s="2465" t="str">
        <f>CONCATENATE(LEFT(RIGHT(CONCATENATE("000",IFAData_TEA_1617!A993),6),3),"-",(RIGHT(RIGHT(CONCATENATE("000",IFAData_TEA_1617!A993),6),3)))</f>
        <v>094-903</v>
      </c>
      <c r="C993" s="2266" t="s">
        <v>260</v>
      </c>
      <c r="D993" s="2266">
        <v>9</v>
      </c>
      <c r="E993" s="2266">
        <v>2127</v>
      </c>
      <c r="F993" s="2266" t="s">
        <v>5464</v>
      </c>
      <c r="G993" s="2266" t="s">
        <v>5466</v>
      </c>
      <c r="H993" s="2266">
        <v>388765</v>
      </c>
      <c r="I993" s="2266">
        <v>152488</v>
      </c>
      <c r="J993" s="2266">
        <v>0.20198771553122977</v>
      </c>
      <c r="K993" s="2266">
        <v>78525.754228498539</v>
      </c>
      <c r="L993" s="2266">
        <v>78525.754228498539</v>
      </c>
      <c r="M993" s="2266">
        <v>599</v>
      </c>
    </row>
    <row r="994" spans="1:13" ht="15">
      <c r="A994" s="2266" t="s">
        <v>4162</v>
      </c>
      <c r="B994" s="2465" t="str">
        <f>CONCATENATE(LEFT(RIGHT(CONCATENATE("000",IFAData_TEA_1617!A994),6),3),"-",(RIGHT(RIGHT(CONCATENATE("000",IFAData_TEA_1617!A994),6),3)))</f>
        <v>094-903</v>
      </c>
      <c r="C994" s="2266" t="s">
        <v>260</v>
      </c>
      <c r="D994" s="2266">
        <v>9</v>
      </c>
      <c r="E994" s="2266">
        <v>2127</v>
      </c>
      <c r="F994" s="2266" t="s">
        <v>5464</v>
      </c>
      <c r="G994" s="2266" t="s">
        <v>5465</v>
      </c>
      <c r="H994" s="2266">
        <v>388765</v>
      </c>
      <c r="I994" s="2266">
        <v>602449</v>
      </c>
      <c r="J994" s="2266">
        <v>0.79801228446877026</v>
      </c>
      <c r="K994" s="2266">
        <v>310239.24577150145</v>
      </c>
      <c r="L994" s="2266">
        <v>310239.24577150145</v>
      </c>
      <c r="M994" s="2266">
        <v>599</v>
      </c>
    </row>
    <row r="995" spans="1:13" ht="15">
      <c r="A995" s="2266" t="s">
        <v>4162</v>
      </c>
      <c r="B995" s="2465" t="str">
        <f>CONCATENATE(LEFT(RIGHT(CONCATENATE("000",IFAData_TEA_1617!A995),6),3),"-",(RIGHT(RIGHT(CONCATENATE("000",IFAData_TEA_1617!A995),6),3)))</f>
        <v>094-903</v>
      </c>
      <c r="C995" s="2266" t="s">
        <v>260</v>
      </c>
      <c r="D995" s="2266">
        <v>9</v>
      </c>
      <c r="E995" s="2266">
        <v>2127</v>
      </c>
      <c r="F995" s="2266" t="s">
        <v>5464</v>
      </c>
      <c r="G995" s="2266" t="s">
        <v>5464</v>
      </c>
      <c r="H995" s="2266">
        <v>388765</v>
      </c>
      <c r="I995" s="2266">
        <v>0</v>
      </c>
      <c r="J995" s="2266">
        <v>0</v>
      </c>
      <c r="K995" s="2266">
        <v>0</v>
      </c>
      <c r="L995" s="2266">
        <v>0</v>
      </c>
      <c r="M995" s="2266">
        <v>599</v>
      </c>
    </row>
    <row r="996" spans="1:13" ht="15">
      <c r="A996" s="2266" t="s">
        <v>5467</v>
      </c>
      <c r="B996" s="2465" t="str">
        <f>CONCATENATE(LEFT(RIGHT(CONCATENATE("000",IFAData_TEA_1617!A996),6),3),"-",(RIGHT(RIGHT(CONCATENATE("000",IFAData_TEA_1617!A996),6),3)))</f>
        <v>094-904</v>
      </c>
      <c r="C996" s="2266" t="s">
        <v>324</v>
      </c>
      <c r="D996" s="2266">
        <v>1</v>
      </c>
      <c r="E996" s="2266">
        <v>2066</v>
      </c>
      <c r="F996" s="2266" t="s">
        <v>5468</v>
      </c>
      <c r="G996" s="2266" t="s">
        <v>5468</v>
      </c>
      <c r="H996" s="2266">
        <v>213569</v>
      </c>
      <c r="I996" s="2266">
        <v>0</v>
      </c>
      <c r="J996" s="2266">
        <v>0</v>
      </c>
      <c r="K996" s="2266"/>
      <c r="L996" s="2266">
        <v>0</v>
      </c>
      <c r="M996" s="2266">
        <v>599</v>
      </c>
    </row>
    <row r="997" spans="1:13" ht="15">
      <c r="A997" s="2266" t="s">
        <v>5467</v>
      </c>
      <c r="B997" s="2465" t="str">
        <f>CONCATENATE(LEFT(RIGHT(CONCATENATE("000",IFAData_TEA_1617!A997),6),3),"-",(RIGHT(RIGHT(CONCATENATE("000",IFAData_TEA_1617!A997),6),3)))</f>
        <v>094-904</v>
      </c>
      <c r="C997" s="2266" t="s">
        <v>324</v>
      </c>
      <c r="D997" s="2266">
        <v>5</v>
      </c>
      <c r="E997" s="2266">
        <v>2067</v>
      </c>
      <c r="F997" s="2266" t="s">
        <v>5470</v>
      </c>
      <c r="G997" s="2266" t="s">
        <v>5470</v>
      </c>
      <c r="H997" s="2266">
        <v>325000</v>
      </c>
      <c r="I997" s="2266">
        <v>0</v>
      </c>
      <c r="J997" s="2266">
        <v>0</v>
      </c>
      <c r="K997" s="2266"/>
      <c r="L997" s="2266">
        <v>0</v>
      </c>
      <c r="M997" s="2266">
        <v>599</v>
      </c>
    </row>
    <row r="998" spans="1:13" ht="15">
      <c r="A998" s="2266" t="s">
        <v>5467</v>
      </c>
      <c r="B998" s="2465" t="str">
        <f>CONCATENATE(LEFT(RIGHT(CONCATENATE("000",IFAData_TEA_1617!A998),6),3),"-",(RIGHT(RIGHT(CONCATENATE("000",IFAData_TEA_1617!A998),6),3)))</f>
        <v>094-904</v>
      </c>
      <c r="C998" s="2266" t="s">
        <v>324</v>
      </c>
      <c r="D998" s="2266">
        <v>3</v>
      </c>
      <c r="E998" s="2266">
        <v>2065</v>
      </c>
      <c r="F998" s="2266" t="s">
        <v>5469</v>
      </c>
      <c r="G998" s="2266" t="s">
        <v>5469</v>
      </c>
      <c r="H998" s="2266">
        <v>167150</v>
      </c>
      <c r="I998" s="2266">
        <v>0</v>
      </c>
      <c r="J998" s="2266">
        <v>0</v>
      </c>
      <c r="K998" s="2266"/>
      <c r="L998" s="2266">
        <v>0</v>
      </c>
      <c r="M998" s="2266">
        <v>199</v>
      </c>
    </row>
    <row r="999" spans="1:13" ht="15">
      <c r="A999" s="2266" t="s">
        <v>4163</v>
      </c>
      <c r="B999" s="2465" t="str">
        <f>CONCATENATE(LEFT(RIGHT(CONCATENATE("000",IFAData_TEA_1617!A999),6),3),"-",(RIGHT(RIGHT(CONCATENATE("000",IFAData_TEA_1617!A999),6),3)))</f>
        <v>097-903</v>
      </c>
      <c r="C999" s="2266" t="s">
        <v>2724</v>
      </c>
      <c r="D999" s="2266">
        <v>6</v>
      </c>
      <c r="E999" s="2266">
        <v>1884</v>
      </c>
      <c r="F999" s="2266" t="s">
        <v>5471</v>
      </c>
      <c r="G999" s="2266" t="s">
        <v>5471</v>
      </c>
      <c r="H999" s="2266">
        <v>176577</v>
      </c>
      <c r="I999" s="2266">
        <v>0</v>
      </c>
      <c r="J999" s="2266">
        <v>0</v>
      </c>
      <c r="K999" s="2266">
        <v>0</v>
      </c>
      <c r="L999" s="2266">
        <v>0</v>
      </c>
      <c r="M999" s="2266">
        <v>599</v>
      </c>
    </row>
    <row r="1000" spans="1:13" ht="15">
      <c r="A1000" s="2266" t="s">
        <v>4163</v>
      </c>
      <c r="B1000" s="2465" t="str">
        <f>CONCATENATE(LEFT(RIGHT(CONCATENATE("000",IFAData_TEA_1617!A1000),6),3),"-",(RIGHT(RIGHT(CONCATENATE("000",IFAData_TEA_1617!A1000),6),3)))</f>
        <v>097-903</v>
      </c>
      <c r="C1000" s="2266" t="s">
        <v>2724</v>
      </c>
      <c r="D1000" s="2266">
        <v>6</v>
      </c>
      <c r="E1000" s="2266">
        <v>1884</v>
      </c>
      <c r="F1000" s="2266" t="s">
        <v>5471</v>
      </c>
      <c r="G1000" s="2266" t="s">
        <v>5472</v>
      </c>
      <c r="H1000" s="2266">
        <v>176577</v>
      </c>
      <c r="I1000" s="2266">
        <v>213052</v>
      </c>
      <c r="J1000" s="2266">
        <v>1</v>
      </c>
      <c r="K1000" s="2266">
        <v>176577</v>
      </c>
      <c r="L1000" s="2266">
        <v>176577</v>
      </c>
      <c r="M1000" s="2266">
        <v>599</v>
      </c>
    </row>
    <row r="1001" spans="1:13" ht="15">
      <c r="A1001" s="2266" t="s">
        <v>4164</v>
      </c>
      <c r="B1001" s="2465" t="str">
        <f>CONCATENATE(LEFT(RIGHT(CONCATENATE("000",IFAData_TEA_1617!A1001),6),3),"-",(RIGHT(RIGHT(CONCATENATE("000",IFAData_TEA_1617!A1001),6),3)))</f>
        <v>100-904</v>
      </c>
      <c r="C1001" s="2266" t="s">
        <v>1684</v>
      </c>
      <c r="D1001" s="2266">
        <v>3</v>
      </c>
      <c r="E1001" s="2266">
        <v>2333</v>
      </c>
      <c r="F1001" s="2266" t="s">
        <v>5475</v>
      </c>
      <c r="G1001" s="2266" t="s">
        <v>5476</v>
      </c>
      <c r="H1001" s="2266">
        <v>701598</v>
      </c>
      <c r="I1001" s="2266">
        <v>682509</v>
      </c>
      <c r="J1001" s="2266">
        <v>1</v>
      </c>
      <c r="K1001" s="2266">
        <v>701598</v>
      </c>
      <c r="L1001" s="2266">
        <v>682509</v>
      </c>
      <c r="M1001" s="2266">
        <v>599</v>
      </c>
    </row>
    <row r="1002" spans="1:13" ht="15">
      <c r="A1002" s="2266" t="s">
        <v>4164</v>
      </c>
      <c r="B1002" s="2465" t="str">
        <f>CONCATENATE(LEFT(RIGHT(CONCATENATE("000",IFAData_TEA_1617!A1002),6),3),"-",(RIGHT(RIGHT(CONCATENATE("000",IFAData_TEA_1617!A1002),6),3)))</f>
        <v>100-904</v>
      </c>
      <c r="C1002" s="2266" t="s">
        <v>1684</v>
      </c>
      <c r="D1002" s="2266">
        <v>2</v>
      </c>
      <c r="E1002" s="2266">
        <v>2334</v>
      </c>
      <c r="F1002" s="2266" t="s">
        <v>5473</v>
      </c>
      <c r="G1002" s="2266" t="s">
        <v>5473</v>
      </c>
      <c r="H1002" s="2266">
        <v>831475</v>
      </c>
      <c r="I1002" s="2266">
        <v>0</v>
      </c>
      <c r="J1002" s="2266">
        <v>0</v>
      </c>
      <c r="K1002" s="2266">
        <v>0</v>
      </c>
      <c r="L1002" s="2266">
        <v>0</v>
      </c>
      <c r="M1002" s="2266">
        <v>599</v>
      </c>
    </row>
    <row r="1003" spans="1:13" ht="15">
      <c r="A1003" s="2266" t="s">
        <v>4164</v>
      </c>
      <c r="B1003" s="2465" t="str">
        <f>CONCATENATE(LEFT(RIGHT(CONCATENATE("000",IFAData_TEA_1617!A1003),6),3),"-",(RIGHT(RIGHT(CONCATENATE("000",IFAData_TEA_1617!A1003),6),3)))</f>
        <v>100-904</v>
      </c>
      <c r="C1003" s="2266" t="s">
        <v>1684</v>
      </c>
      <c r="D1003" s="2266">
        <v>2</v>
      </c>
      <c r="E1003" s="2266">
        <v>2334</v>
      </c>
      <c r="F1003" s="2266" t="s">
        <v>5473</v>
      </c>
      <c r="G1003" s="2266" t="s">
        <v>5474</v>
      </c>
      <c r="H1003" s="2266">
        <v>831475</v>
      </c>
      <c r="I1003" s="2266">
        <v>796383</v>
      </c>
      <c r="J1003" s="2266">
        <v>1</v>
      </c>
      <c r="K1003" s="2266">
        <v>831475</v>
      </c>
      <c r="L1003" s="2266">
        <v>796383</v>
      </c>
      <c r="M1003" s="2266">
        <v>599</v>
      </c>
    </row>
    <row r="1004" spans="1:13" ht="15">
      <c r="A1004" s="2266" t="s">
        <v>4164</v>
      </c>
      <c r="B1004" s="2465" t="str">
        <f>CONCATENATE(LEFT(RIGHT(CONCATENATE("000",IFAData_TEA_1617!A1004),6),3),"-",(RIGHT(RIGHT(CONCATENATE("000",IFAData_TEA_1617!A1004),6),3)))</f>
        <v>100-904</v>
      </c>
      <c r="C1004" s="2266" t="s">
        <v>1684</v>
      </c>
      <c r="D1004" s="2266">
        <v>3</v>
      </c>
      <c r="E1004" s="2266">
        <v>2333</v>
      </c>
      <c r="F1004" s="2266" t="s">
        <v>5475</v>
      </c>
      <c r="G1004" s="2266" t="s">
        <v>5475</v>
      </c>
      <c r="H1004" s="2266">
        <v>701598</v>
      </c>
      <c r="I1004" s="2266">
        <v>0</v>
      </c>
      <c r="J1004" s="2266">
        <v>0</v>
      </c>
      <c r="K1004" s="2266">
        <v>0</v>
      </c>
      <c r="L1004" s="2266">
        <v>0</v>
      </c>
      <c r="M1004" s="2266">
        <v>599</v>
      </c>
    </row>
    <row r="1005" spans="1:13" ht="15">
      <c r="A1005" s="2266" t="s">
        <v>4165</v>
      </c>
      <c r="B1005" s="2465" t="str">
        <f>CONCATENATE(LEFT(RIGHT(CONCATENATE("000",IFAData_TEA_1617!A1005),6),3),"-",(RIGHT(RIGHT(CONCATENATE("000",IFAData_TEA_1617!A1005),6),3)))</f>
        <v>100-907</v>
      </c>
      <c r="C1005" s="2266" t="s">
        <v>949</v>
      </c>
      <c r="D1005" s="2266">
        <v>5</v>
      </c>
      <c r="E1005" s="2266">
        <v>2044</v>
      </c>
      <c r="F1005" s="2266" t="s">
        <v>5479</v>
      </c>
      <c r="G1005" s="2266" t="s">
        <v>5479</v>
      </c>
      <c r="H1005" s="2266">
        <v>663791</v>
      </c>
      <c r="I1005" s="2266">
        <v>0</v>
      </c>
      <c r="J1005" s="2266">
        <v>0</v>
      </c>
      <c r="K1005" s="2266">
        <v>0</v>
      </c>
      <c r="L1005" s="2266">
        <v>0</v>
      </c>
      <c r="M1005" s="2266">
        <v>599</v>
      </c>
    </row>
    <row r="1006" spans="1:13" ht="15">
      <c r="A1006" s="2266" t="s">
        <v>4165</v>
      </c>
      <c r="B1006" s="2465" t="str">
        <f>CONCATENATE(LEFT(RIGHT(CONCATENATE("000",IFAData_TEA_1617!A1006),6),3),"-",(RIGHT(RIGHT(CONCATENATE("000",IFAData_TEA_1617!A1006),6),3)))</f>
        <v>100-907</v>
      </c>
      <c r="C1006" s="2266" t="s">
        <v>949</v>
      </c>
      <c r="D1006" s="2266">
        <v>5</v>
      </c>
      <c r="E1006" s="2266">
        <v>2044</v>
      </c>
      <c r="F1006" s="2266" t="s">
        <v>5479</v>
      </c>
      <c r="G1006" s="2266" t="s">
        <v>5480</v>
      </c>
      <c r="H1006" s="2266">
        <v>663791</v>
      </c>
      <c r="I1006" s="2266">
        <v>0</v>
      </c>
      <c r="J1006" s="2266">
        <v>0</v>
      </c>
      <c r="K1006" s="2266">
        <v>0</v>
      </c>
      <c r="L1006" s="2266">
        <v>0</v>
      </c>
      <c r="M1006" s="2266">
        <v>599</v>
      </c>
    </row>
    <row r="1007" spans="1:13" ht="15">
      <c r="A1007" s="2266" t="s">
        <v>4165</v>
      </c>
      <c r="B1007" s="2465" t="str">
        <f>CONCATENATE(LEFT(RIGHT(CONCATENATE("000",IFAData_TEA_1617!A1007),6),3),"-",(RIGHT(RIGHT(CONCATENATE("000",IFAData_TEA_1617!A1007),6),3)))</f>
        <v>100-907</v>
      </c>
      <c r="C1007" s="2266" t="s">
        <v>949</v>
      </c>
      <c r="D1007" s="2266">
        <v>5</v>
      </c>
      <c r="E1007" s="2266">
        <v>2044</v>
      </c>
      <c r="F1007" s="2266" t="s">
        <v>5479</v>
      </c>
      <c r="G1007" s="2266" t="s">
        <v>5478</v>
      </c>
      <c r="H1007" s="2266">
        <v>663791</v>
      </c>
      <c r="I1007" s="2266">
        <v>0</v>
      </c>
      <c r="J1007" s="2266">
        <v>0</v>
      </c>
      <c r="K1007" s="2266">
        <v>0</v>
      </c>
      <c r="L1007" s="2266">
        <v>0</v>
      </c>
      <c r="M1007" s="2266">
        <v>599</v>
      </c>
    </row>
    <row r="1008" spans="1:13" ht="15">
      <c r="A1008" s="2266" t="s">
        <v>4165</v>
      </c>
      <c r="B1008" s="2465" t="str">
        <f>CONCATENATE(LEFT(RIGHT(CONCATENATE("000",IFAData_TEA_1617!A1008),6),3),"-",(RIGHT(RIGHT(CONCATENATE("000",IFAData_TEA_1617!A1008),6),3)))</f>
        <v>100-907</v>
      </c>
      <c r="C1008" s="2266" t="s">
        <v>949</v>
      </c>
      <c r="D1008" s="2266">
        <v>1</v>
      </c>
      <c r="E1008" s="2266">
        <v>2045</v>
      </c>
      <c r="F1008" s="2266" t="s">
        <v>5477</v>
      </c>
      <c r="G1008" s="2266" t="s">
        <v>5478</v>
      </c>
      <c r="H1008" s="2266">
        <v>855058</v>
      </c>
      <c r="I1008" s="2266">
        <v>0</v>
      </c>
      <c r="J1008" s="2266">
        <v>0</v>
      </c>
      <c r="K1008" s="2266">
        <v>0</v>
      </c>
      <c r="L1008" s="2266">
        <v>0</v>
      </c>
      <c r="M1008" s="2266">
        <v>599</v>
      </c>
    </row>
    <row r="1009" spans="1:13" ht="15">
      <c r="A1009" s="2266" t="s">
        <v>4165</v>
      </c>
      <c r="B1009" s="2465" t="str">
        <f>CONCATENATE(LEFT(RIGHT(CONCATENATE("000",IFAData_TEA_1617!A1009),6),3),"-",(RIGHT(RIGHT(CONCATENATE("000",IFAData_TEA_1617!A1009),6),3)))</f>
        <v>100-907</v>
      </c>
      <c r="C1009" s="2266" t="s">
        <v>949</v>
      </c>
      <c r="D1009" s="2266">
        <v>1</v>
      </c>
      <c r="E1009" s="2266">
        <v>2045</v>
      </c>
      <c r="F1009" s="2266" t="s">
        <v>5477</v>
      </c>
      <c r="G1009" s="2266" t="s">
        <v>5477</v>
      </c>
      <c r="H1009" s="2266">
        <v>855058</v>
      </c>
      <c r="I1009" s="2266">
        <v>0</v>
      </c>
      <c r="J1009" s="2266">
        <v>0</v>
      </c>
      <c r="K1009" s="2266">
        <v>0</v>
      </c>
      <c r="L1009" s="2266">
        <v>0</v>
      </c>
      <c r="M1009" s="2266">
        <v>599</v>
      </c>
    </row>
    <row r="1010" spans="1:13" ht="15">
      <c r="A1010" s="2266" t="s">
        <v>4165</v>
      </c>
      <c r="B1010" s="2465" t="str">
        <f>CONCATENATE(LEFT(RIGHT(CONCATENATE("000",IFAData_TEA_1617!A1010),6),3),"-",(RIGHT(RIGHT(CONCATENATE("000",IFAData_TEA_1617!A1010),6),3)))</f>
        <v>100-907</v>
      </c>
      <c r="C1010" s="2266" t="s">
        <v>949</v>
      </c>
      <c r="D1010" s="2266">
        <v>5</v>
      </c>
      <c r="E1010" s="2266">
        <v>2044</v>
      </c>
      <c r="F1010" s="2266" t="s">
        <v>5479</v>
      </c>
      <c r="G1010" s="2266" t="s">
        <v>7203</v>
      </c>
      <c r="H1010" s="2266">
        <v>663791</v>
      </c>
      <c r="I1010" s="2266">
        <v>525567</v>
      </c>
      <c r="J1010" s="2266">
        <v>1</v>
      </c>
      <c r="K1010" s="2266">
        <v>663791</v>
      </c>
      <c r="L1010" s="2266">
        <v>525567</v>
      </c>
      <c r="M1010" s="2266">
        <v>599</v>
      </c>
    </row>
    <row r="1011" spans="1:13" ht="15">
      <c r="A1011" s="2266" t="s">
        <v>4165</v>
      </c>
      <c r="B1011" s="2465" t="str">
        <f>CONCATENATE(LEFT(RIGHT(CONCATENATE("000",IFAData_TEA_1617!A1011),6),3),"-",(RIGHT(RIGHT(CONCATENATE("000",IFAData_TEA_1617!A1011),6),3)))</f>
        <v>100-907</v>
      </c>
      <c r="C1011" s="2266" t="s">
        <v>949</v>
      </c>
      <c r="D1011" s="2266">
        <v>1</v>
      </c>
      <c r="E1011" s="2266">
        <v>2045</v>
      </c>
      <c r="F1011" s="2266" t="s">
        <v>5477</v>
      </c>
      <c r="G1011" s="2266" t="s">
        <v>7203</v>
      </c>
      <c r="H1011" s="2266">
        <v>855058</v>
      </c>
      <c r="I1011" s="2266">
        <v>975103</v>
      </c>
      <c r="J1011" s="2266">
        <v>1</v>
      </c>
      <c r="K1011" s="2266">
        <v>855058</v>
      </c>
      <c r="L1011" s="2266">
        <v>855058</v>
      </c>
      <c r="M1011" s="2266">
        <v>599</v>
      </c>
    </row>
    <row r="1012" spans="1:13" ht="15">
      <c r="A1012" s="2266" t="s">
        <v>4166</v>
      </c>
      <c r="B1012" s="2465" t="str">
        <f>CONCATENATE(LEFT(RIGHT(CONCATENATE("000",IFAData_TEA_1617!A1012),6),3),"-",(RIGHT(RIGHT(CONCATENATE("000",IFAData_TEA_1617!A1012),6),3)))</f>
        <v>100-908</v>
      </c>
      <c r="C1012" s="2266" t="s">
        <v>328</v>
      </c>
      <c r="D1012" s="2266">
        <v>3</v>
      </c>
      <c r="E1012" s="2266">
        <v>2443</v>
      </c>
      <c r="F1012" s="2266" t="s">
        <v>5481</v>
      </c>
      <c r="G1012" s="2266" t="s">
        <v>5481</v>
      </c>
      <c r="H1012" s="2266">
        <v>1101</v>
      </c>
      <c r="I1012" s="2266">
        <v>0</v>
      </c>
      <c r="J1012" s="2266">
        <v>0</v>
      </c>
      <c r="K1012" s="2266">
        <v>0</v>
      </c>
      <c r="L1012" s="2266">
        <v>0</v>
      </c>
      <c r="M1012" s="2266">
        <v>599</v>
      </c>
    </row>
    <row r="1013" spans="1:13" ht="15">
      <c r="A1013" s="2266" t="s">
        <v>4166</v>
      </c>
      <c r="B1013" s="2465" t="str">
        <f>CONCATENATE(LEFT(RIGHT(CONCATENATE("000",IFAData_TEA_1617!A1013),6),3),"-",(RIGHT(RIGHT(CONCATENATE("000",IFAData_TEA_1617!A1013),6),3)))</f>
        <v>100-908</v>
      </c>
      <c r="C1013" s="2266" t="s">
        <v>328</v>
      </c>
      <c r="D1013" s="2266">
        <v>3</v>
      </c>
      <c r="E1013" s="2266">
        <v>2443</v>
      </c>
      <c r="F1013" s="2266" t="s">
        <v>5481</v>
      </c>
      <c r="G1013" s="2266" t="s">
        <v>5482</v>
      </c>
      <c r="H1013" s="2266">
        <v>1101</v>
      </c>
      <c r="I1013" s="2266">
        <v>0</v>
      </c>
      <c r="J1013" s="2266">
        <v>0</v>
      </c>
      <c r="K1013" s="2266">
        <v>0</v>
      </c>
      <c r="L1013" s="2266">
        <v>0</v>
      </c>
      <c r="M1013" s="2266">
        <v>599</v>
      </c>
    </row>
    <row r="1014" spans="1:13" ht="15">
      <c r="A1014" s="2266" t="s">
        <v>4166</v>
      </c>
      <c r="B1014" s="2465" t="str">
        <f>CONCATENATE(LEFT(RIGHT(CONCATENATE("000",IFAData_TEA_1617!A1014),6),3),"-",(RIGHT(RIGHT(CONCATENATE("000",IFAData_TEA_1617!A1014),6),3)))</f>
        <v>100-908</v>
      </c>
      <c r="C1014" s="2266" t="s">
        <v>328</v>
      </c>
      <c r="D1014" s="2266">
        <v>3</v>
      </c>
      <c r="E1014" s="2266">
        <v>2443</v>
      </c>
      <c r="F1014" s="2266" t="s">
        <v>5481</v>
      </c>
      <c r="G1014" s="2266" t="s">
        <v>7204</v>
      </c>
      <c r="H1014" s="2266">
        <v>1101</v>
      </c>
      <c r="I1014" s="2266">
        <v>219427</v>
      </c>
      <c r="J1014" s="2266">
        <v>1</v>
      </c>
      <c r="K1014" s="2266">
        <v>1101</v>
      </c>
      <c r="L1014" s="2266">
        <v>1101</v>
      </c>
      <c r="M1014" s="2266">
        <v>599</v>
      </c>
    </row>
    <row r="1015" spans="1:13" ht="15">
      <c r="A1015" s="2266" t="s">
        <v>4167</v>
      </c>
      <c r="B1015" s="2465" t="str">
        <f>CONCATENATE(LEFT(RIGHT(CONCATENATE("000",IFAData_TEA_1617!A1015),6),3),"-",(RIGHT(RIGHT(CONCATENATE("000",IFAData_TEA_1617!A1015),6),3)))</f>
        <v>101-902</v>
      </c>
      <c r="C1015" s="2266" t="s">
        <v>797</v>
      </c>
      <c r="D1015" s="2266">
        <v>2</v>
      </c>
      <c r="E1015" s="2266">
        <v>1543</v>
      </c>
      <c r="F1015" s="2266" t="s">
        <v>5489</v>
      </c>
      <c r="G1015" s="2266" t="s">
        <v>5489</v>
      </c>
      <c r="H1015" s="2266">
        <v>871986</v>
      </c>
      <c r="I1015" s="2266">
        <v>0</v>
      </c>
      <c r="J1015" s="2266">
        <v>0</v>
      </c>
      <c r="K1015" s="2266"/>
      <c r="L1015" s="2266">
        <v>0</v>
      </c>
      <c r="M1015" s="2266">
        <v>199</v>
      </c>
    </row>
    <row r="1016" spans="1:13" ht="15">
      <c r="A1016" s="2266" t="s">
        <v>4167</v>
      </c>
      <c r="B1016" s="2465" t="str">
        <f>CONCATENATE(LEFT(RIGHT(CONCATENATE("000",IFAData_TEA_1617!A1016),6),3),"-",(RIGHT(RIGHT(CONCATENATE("000",IFAData_TEA_1617!A1016),6),3)))</f>
        <v>101-902</v>
      </c>
      <c r="C1016" s="2266" t="s">
        <v>797</v>
      </c>
      <c r="D1016" s="2266">
        <v>1</v>
      </c>
      <c r="E1016" s="2266">
        <v>1545</v>
      </c>
      <c r="F1016" s="2266" t="s">
        <v>5483</v>
      </c>
      <c r="G1016" s="2266" t="s">
        <v>5487</v>
      </c>
      <c r="H1016" s="2266">
        <v>3458574</v>
      </c>
      <c r="I1016" s="2266">
        <v>3803268</v>
      </c>
      <c r="J1016" s="2266">
        <v>0.83504014518970193</v>
      </c>
      <c r="K1016" s="2266">
        <v>2888048.1351093282</v>
      </c>
      <c r="L1016" s="2266">
        <v>2888048.1351093282</v>
      </c>
      <c r="M1016" s="2266">
        <v>599</v>
      </c>
    </row>
    <row r="1017" spans="1:13" ht="15">
      <c r="A1017" s="2266" t="s">
        <v>4167</v>
      </c>
      <c r="B1017" s="2465" t="str">
        <f>CONCATENATE(LEFT(RIGHT(CONCATENATE("000",IFAData_TEA_1617!A1017),6),3),"-",(RIGHT(RIGHT(CONCATENATE("000",IFAData_TEA_1617!A1017),6),3)))</f>
        <v>101-902</v>
      </c>
      <c r="C1017" s="2266" t="s">
        <v>797</v>
      </c>
      <c r="D1017" s="2266">
        <v>1</v>
      </c>
      <c r="E1017" s="2266">
        <v>1548</v>
      </c>
      <c r="F1017" s="2266" t="s">
        <v>5488</v>
      </c>
      <c r="G1017" s="2266" t="s">
        <v>5487</v>
      </c>
      <c r="H1017" s="2266">
        <v>6381926</v>
      </c>
      <c r="I1017" s="2266">
        <v>1591800</v>
      </c>
      <c r="J1017" s="2266">
        <v>0.84740078256008944</v>
      </c>
      <c r="K1017" s="2266">
        <v>5408049.0866405815</v>
      </c>
      <c r="L1017" s="2266">
        <v>1591800</v>
      </c>
      <c r="M1017" s="2266">
        <v>599</v>
      </c>
    </row>
    <row r="1018" spans="1:13" ht="15">
      <c r="A1018" s="2266" t="s">
        <v>4167</v>
      </c>
      <c r="B1018" s="2465" t="str">
        <f>CONCATENATE(LEFT(RIGHT(CONCATENATE("000",IFAData_TEA_1617!A1018),6),3),"-",(RIGHT(RIGHT(CONCATENATE("000",IFAData_TEA_1617!A1018),6),3)))</f>
        <v>101-902</v>
      </c>
      <c r="C1018" s="2266" t="s">
        <v>797</v>
      </c>
      <c r="D1018" s="2266">
        <v>5</v>
      </c>
      <c r="E1018" s="2266">
        <v>1546</v>
      </c>
      <c r="F1018" s="2266" t="s">
        <v>5490</v>
      </c>
      <c r="G1018" s="2266" t="s">
        <v>5490</v>
      </c>
      <c r="H1018" s="2266">
        <v>5192317</v>
      </c>
      <c r="I1018" s="2266">
        <v>0</v>
      </c>
      <c r="J1018" s="2266">
        <v>0</v>
      </c>
      <c r="K1018" s="2266">
        <v>0</v>
      </c>
      <c r="L1018" s="2266">
        <v>0</v>
      </c>
      <c r="M1018" s="2266">
        <v>599</v>
      </c>
    </row>
    <row r="1019" spans="1:13" ht="15">
      <c r="A1019" s="2266" t="s">
        <v>4167</v>
      </c>
      <c r="B1019" s="2465" t="str">
        <f>CONCATENATE(LEFT(RIGHT(CONCATENATE("000",IFAData_TEA_1617!A1019),6),3),"-",(RIGHT(RIGHT(CONCATENATE("000",IFAData_TEA_1617!A1019),6),3)))</f>
        <v>101-902</v>
      </c>
      <c r="C1019" s="2266" t="s">
        <v>797</v>
      </c>
      <c r="D1019" s="2266">
        <v>5</v>
      </c>
      <c r="E1019" s="2266">
        <v>1542</v>
      </c>
      <c r="F1019" s="2266" t="s">
        <v>5491</v>
      </c>
      <c r="G1019" s="2266" t="s">
        <v>5492</v>
      </c>
      <c r="H1019" s="2266">
        <v>871410</v>
      </c>
      <c r="I1019" s="2266">
        <v>335588</v>
      </c>
      <c r="J1019" s="2266">
        <v>1</v>
      </c>
      <c r="K1019" s="2266">
        <v>871410</v>
      </c>
      <c r="L1019" s="2266">
        <v>335588</v>
      </c>
      <c r="M1019" s="2266">
        <v>199</v>
      </c>
    </row>
    <row r="1020" spans="1:13" ht="15">
      <c r="A1020" s="2266" t="s">
        <v>4167</v>
      </c>
      <c r="B1020" s="2465" t="str">
        <f>CONCATENATE(LEFT(RIGHT(CONCATENATE("000",IFAData_TEA_1617!A1020),6),3),"-",(RIGHT(RIGHT(CONCATENATE("000",IFAData_TEA_1617!A1020),6),3)))</f>
        <v>101-902</v>
      </c>
      <c r="C1020" s="2266" t="s">
        <v>797</v>
      </c>
      <c r="D1020" s="2266">
        <v>1</v>
      </c>
      <c r="E1020" s="2266">
        <v>1545</v>
      </c>
      <c r="F1020" s="2266" t="s">
        <v>5483</v>
      </c>
      <c r="G1020" s="2266" t="s">
        <v>5483</v>
      </c>
      <c r="H1020" s="2266">
        <v>3458574</v>
      </c>
      <c r="I1020" s="2266">
        <v>0</v>
      </c>
      <c r="J1020" s="2266">
        <v>0</v>
      </c>
      <c r="K1020" s="2266">
        <v>0</v>
      </c>
      <c r="L1020" s="2266">
        <v>0</v>
      </c>
      <c r="M1020" s="2266">
        <v>599</v>
      </c>
    </row>
    <row r="1021" spans="1:13" ht="15">
      <c r="A1021" s="2266" t="s">
        <v>4167</v>
      </c>
      <c r="B1021" s="2465" t="str">
        <f>CONCATENATE(LEFT(RIGHT(CONCATENATE("000",IFAData_TEA_1617!A1021),6),3),"-",(RIGHT(RIGHT(CONCATENATE("000",IFAData_TEA_1617!A1021),6),3)))</f>
        <v>101-902</v>
      </c>
      <c r="C1021" s="2266" t="s">
        <v>797</v>
      </c>
      <c r="D1021" s="2266">
        <v>5</v>
      </c>
      <c r="E1021" s="2266">
        <v>1546</v>
      </c>
      <c r="F1021" s="2266" t="s">
        <v>5490</v>
      </c>
      <c r="G1021" s="2266" t="s">
        <v>5486</v>
      </c>
      <c r="H1021" s="2266">
        <v>5192317</v>
      </c>
      <c r="I1021" s="2266">
        <v>1148788</v>
      </c>
      <c r="J1021" s="2266">
        <v>0.23176875015257395</v>
      </c>
      <c r="K1021" s="2266">
        <v>1203416.8214859623</v>
      </c>
      <c r="L1021" s="2266">
        <v>1148788</v>
      </c>
      <c r="M1021" s="2266">
        <v>599</v>
      </c>
    </row>
    <row r="1022" spans="1:13" ht="15">
      <c r="A1022" s="2266" t="s">
        <v>4167</v>
      </c>
      <c r="B1022" s="2465" t="str">
        <f>CONCATENATE(LEFT(RIGHT(CONCATENATE("000",IFAData_TEA_1617!A1022),6),3),"-",(RIGHT(RIGHT(CONCATENATE("000",IFAData_TEA_1617!A1022),6),3)))</f>
        <v>101-902</v>
      </c>
      <c r="C1022" s="2266" t="s">
        <v>797</v>
      </c>
      <c r="D1022" s="2266">
        <v>1</v>
      </c>
      <c r="E1022" s="2266">
        <v>1548</v>
      </c>
      <c r="F1022" s="2266" t="s">
        <v>5488</v>
      </c>
      <c r="G1022" s="2266" t="s">
        <v>5486</v>
      </c>
      <c r="H1022" s="2266">
        <v>6381926</v>
      </c>
      <c r="I1022" s="2266">
        <v>0</v>
      </c>
      <c r="J1022" s="2266">
        <v>0</v>
      </c>
      <c r="K1022" s="2266">
        <v>0</v>
      </c>
      <c r="L1022" s="2266">
        <v>0</v>
      </c>
      <c r="M1022" s="2266">
        <v>599</v>
      </c>
    </row>
    <row r="1023" spans="1:13" ht="15">
      <c r="A1023" s="2266" t="s">
        <v>4167</v>
      </c>
      <c r="B1023" s="2465" t="str">
        <f>CONCATENATE(LEFT(RIGHT(CONCATENATE("000",IFAData_TEA_1617!A1023),6),3),"-",(RIGHT(RIGHT(CONCATENATE("000",IFAData_TEA_1617!A1023),6),3)))</f>
        <v>101-902</v>
      </c>
      <c r="C1023" s="2266" t="s">
        <v>797</v>
      </c>
      <c r="D1023" s="2266">
        <v>1</v>
      </c>
      <c r="E1023" s="2266">
        <v>1545</v>
      </c>
      <c r="F1023" s="2266" t="s">
        <v>5483</v>
      </c>
      <c r="G1023" s="2266" t="s">
        <v>5486</v>
      </c>
      <c r="H1023" s="2266">
        <v>3458574</v>
      </c>
      <c r="I1023" s="2266">
        <v>454438</v>
      </c>
      <c r="J1023" s="2266">
        <v>9.9775764815868292E-2</v>
      </c>
      <c r="K1023" s="2266">
        <v>345081.86602227687</v>
      </c>
      <c r="L1023" s="2266">
        <v>345081.86602227687</v>
      </c>
      <c r="M1023" s="2266">
        <v>599</v>
      </c>
    </row>
    <row r="1024" spans="1:13" ht="15">
      <c r="A1024" s="2266" t="s">
        <v>4167</v>
      </c>
      <c r="B1024" s="2465" t="str">
        <f>CONCATENATE(LEFT(RIGHT(CONCATENATE("000",IFAData_TEA_1617!A1024),6),3),"-",(RIGHT(RIGHT(CONCATENATE("000",IFAData_TEA_1617!A1024),6),3)))</f>
        <v>101-902</v>
      </c>
      <c r="C1024" s="2266" t="s">
        <v>797</v>
      </c>
      <c r="D1024" s="2266">
        <v>1</v>
      </c>
      <c r="E1024" s="2266">
        <v>1545</v>
      </c>
      <c r="F1024" s="2266" t="s">
        <v>5483</v>
      </c>
      <c r="G1024" s="2266" t="s">
        <v>5484</v>
      </c>
      <c r="H1024" s="2266">
        <v>3458574</v>
      </c>
      <c r="I1024" s="2266">
        <v>0</v>
      </c>
      <c r="J1024" s="2266">
        <v>0</v>
      </c>
      <c r="K1024" s="2266">
        <v>0</v>
      </c>
      <c r="L1024" s="2266">
        <v>0</v>
      </c>
      <c r="M1024" s="2266">
        <v>599</v>
      </c>
    </row>
    <row r="1025" spans="1:13" ht="15">
      <c r="A1025" s="2266" t="s">
        <v>4167</v>
      </c>
      <c r="B1025" s="2465" t="str">
        <f>CONCATENATE(LEFT(RIGHT(CONCATENATE("000",IFAData_TEA_1617!A1025),6),3),"-",(RIGHT(RIGHT(CONCATENATE("000",IFAData_TEA_1617!A1025),6),3)))</f>
        <v>101-902</v>
      </c>
      <c r="C1025" s="2266" t="s">
        <v>797</v>
      </c>
      <c r="D1025" s="2266">
        <v>1</v>
      </c>
      <c r="E1025" s="2266">
        <v>1548</v>
      </c>
      <c r="F1025" s="2266" t="s">
        <v>5488</v>
      </c>
      <c r="G1025" s="2266" t="s">
        <v>5484</v>
      </c>
      <c r="H1025" s="2266">
        <v>6381926</v>
      </c>
      <c r="I1025" s="2266">
        <v>0</v>
      </c>
      <c r="J1025" s="2266">
        <v>0</v>
      </c>
      <c r="K1025" s="2266">
        <v>0</v>
      </c>
      <c r="L1025" s="2266">
        <v>0</v>
      </c>
      <c r="M1025" s="2266">
        <v>599</v>
      </c>
    </row>
    <row r="1026" spans="1:13" ht="15">
      <c r="A1026" s="2266" t="s">
        <v>4167</v>
      </c>
      <c r="B1026" s="2465" t="str">
        <f>CONCATENATE(LEFT(RIGHT(CONCATENATE("000",IFAData_TEA_1617!A1026),6),3),"-",(RIGHT(RIGHT(CONCATENATE("000",IFAData_TEA_1617!A1026),6),3)))</f>
        <v>101-902</v>
      </c>
      <c r="C1026" s="2266" t="s">
        <v>797</v>
      </c>
      <c r="D1026" s="2266">
        <v>1</v>
      </c>
      <c r="E1026" s="2266">
        <v>1548</v>
      </c>
      <c r="F1026" s="2266" t="s">
        <v>5488</v>
      </c>
      <c r="G1026" s="2266" t="s">
        <v>5488</v>
      </c>
      <c r="H1026" s="2266">
        <v>6381926</v>
      </c>
      <c r="I1026" s="2266">
        <v>0</v>
      </c>
      <c r="J1026" s="2266">
        <v>0</v>
      </c>
      <c r="K1026" s="2266">
        <v>0</v>
      </c>
      <c r="L1026" s="2266">
        <v>0</v>
      </c>
      <c r="M1026" s="2266">
        <v>599</v>
      </c>
    </row>
    <row r="1027" spans="1:13" ht="15">
      <c r="A1027" s="2266" t="s">
        <v>4167</v>
      </c>
      <c r="B1027" s="2465" t="str">
        <f>CONCATENATE(LEFT(RIGHT(CONCATENATE("000",IFAData_TEA_1617!A1027),6),3),"-",(RIGHT(RIGHT(CONCATENATE("000",IFAData_TEA_1617!A1027),6),3)))</f>
        <v>101-902</v>
      </c>
      <c r="C1027" s="2266" t="s">
        <v>797</v>
      </c>
      <c r="D1027" s="2266">
        <v>9</v>
      </c>
      <c r="E1027" s="2266">
        <v>1544</v>
      </c>
      <c r="F1027" s="2266" t="s">
        <v>5494</v>
      </c>
      <c r="G1027" s="2266" t="s">
        <v>5494</v>
      </c>
      <c r="H1027" s="2266">
        <v>1073703</v>
      </c>
      <c r="I1027" s="2266">
        <v>0</v>
      </c>
      <c r="J1027" s="2266">
        <v>0</v>
      </c>
      <c r="K1027" s="2266"/>
      <c r="L1027" s="2266">
        <v>0</v>
      </c>
      <c r="M1027" s="2266">
        <v>199</v>
      </c>
    </row>
    <row r="1028" spans="1:13" ht="15">
      <c r="A1028" s="2266" t="s">
        <v>4167</v>
      </c>
      <c r="B1028" s="2465" t="str">
        <f>CONCATENATE(LEFT(RIGHT(CONCATENATE("000",IFAData_TEA_1617!A1028),6),3),"-",(RIGHT(RIGHT(CONCATENATE("000",IFAData_TEA_1617!A1028),6),3)))</f>
        <v>101-902</v>
      </c>
      <c r="C1028" s="2266" t="s">
        <v>797</v>
      </c>
      <c r="D1028" s="2266">
        <v>9</v>
      </c>
      <c r="E1028" s="2266">
        <v>1547</v>
      </c>
      <c r="F1028" s="2266" t="s">
        <v>5493</v>
      </c>
      <c r="G1028" s="2266" t="s">
        <v>5493</v>
      </c>
      <c r="H1028" s="2266">
        <v>6114066</v>
      </c>
      <c r="I1028" s="2266">
        <v>5269081</v>
      </c>
      <c r="J1028" s="2266">
        <v>1</v>
      </c>
      <c r="K1028" s="2266">
        <v>6114066</v>
      </c>
      <c r="L1028" s="2266">
        <v>5269081</v>
      </c>
      <c r="M1028" s="2266">
        <v>599</v>
      </c>
    </row>
    <row r="1029" spans="1:13" ht="15">
      <c r="A1029" s="2266" t="s">
        <v>4167</v>
      </c>
      <c r="B1029" s="2465" t="str">
        <f>CONCATENATE(LEFT(RIGHT(CONCATENATE("000",IFAData_TEA_1617!A1029),6),3),"-",(RIGHT(RIGHT(CONCATENATE("000",IFAData_TEA_1617!A1029),6),3)))</f>
        <v>101-902</v>
      </c>
      <c r="C1029" s="2266" t="s">
        <v>797</v>
      </c>
      <c r="D1029" s="2266">
        <v>5</v>
      </c>
      <c r="E1029" s="2266">
        <v>1542</v>
      </c>
      <c r="F1029" s="2266" t="s">
        <v>5491</v>
      </c>
      <c r="G1029" s="2266" t="s">
        <v>5491</v>
      </c>
      <c r="H1029" s="2266">
        <v>871410</v>
      </c>
      <c r="I1029" s="2266">
        <v>0</v>
      </c>
      <c r="J1029" s="2266">
        <v>0</v>
      </c>
      <c r="K1029" s="2266">
        <v>0</v>
      </c>
      <c r="L1029" s="2266">
        <v>0</v>
      </c>
      <c r="M1029" s="2266">
        <v>199</v>
      </c>
    </row>
    <row r="1030" spans="1:13" ht="15">
      <c r="A1030" s="2266" t="s">
        <v>4167</v>
      </c>
      <c r="B1030" s="2465" t="str">
        <f>CONCATENATE(LEFT(RIGHT(CONCATENATE("000",IFAData_TEA_1617!A1030),6),3),"-",(RIGHT(RIGHT(CONCATENATE("000",IFAData_TEA_1617!A1030),6),3)))</f>
        <v>101-902</v>
      </c>
      <c r="C1030" s="2266" t="s">
        <v>797</v>
      </c>
      <c r="D1030" s="2266">
        <v>5</v>
      </c>
      <c r="E1030" s="2266">
        <v>1546</v>
      </c>
      <c r="F1030" s="2266" t="s">
        <v>5490</v>
      </c>
      <c r="G1030" s="2266" t="s">
        <v>5485</v>
      </c>
      <c r="H1030" s="2266">
        <v>5192317</v>
      </c>
      <c r="I1030" s="2266">
        <v>3807825</v>
      </c>
      <c r="J1030" s="2266">
        <v>0.76823124984742608</v>
      </c>
      <c r="K1030" s="2266">
        <v>3988900.1785140377</v>
      </c>
      <c r="L1030" s="2266">
        <v>3807825</v>
      </c>
      <c r="M1030" s="2266">
        <v>599</v>
      </c>
    </row>
    <row r="1031" spans="1:13" ht="15">
      <c r="A1031" s="2266" t="s">
        <v>4167</v>
      </c>
      <c r="B1031" s="2465" t="str">
        <f>CONCATENATE(LEFT(RIGHT(CONCATENATE("000",IFAData_TEA_1617!A1031),6),3),"-",(RIGHT(RIGHT(CONCATENATE("000",IFAData_TEA_1617!A1031),6),3)))</f>
        <v>101-902</v>
      </c>
      <c r="C1031" s="2266" t="s">
        <v>797</v>
      </c>
      <c r="D1031" s="2266">
        <v>1</v>
      </c>
      <c r="E1031" s="2266">
        <v>1548</v>
      </c>
      <c r="F1031" s="2266" t="s">
        <v>5488</v>
      </c>
      <c r="G1031" s="2266" t="s">
        <v>5485</v>
      </c>
      <c r="H1031" s="2266">
        <v>6381926</v>
      </c>
      <c r="I1031" s="2266">
        <v>286650</v>
      </c>
      <c r="J1031" s="2266">
        <v>0.15259921743991056</v>
      </c>
      <c r="K1031" s="2266">
        <v>973876.91335941863</v>
      </c>
      <c r="L1031" s="2266">
        <v>286650</v>
      </c>
      <c r="M1031" s="2266">
        <v>599</v>
      </c>
    </row>
    <row r="1032" spans="1:13" ht="15">
      <c r="A1032" s="2266" t="s">
        <v>4167</v>
      </c>
      <c r="B1032" s="2465" t="str">
        <f>CONCATENATE(LEFT(RIGHT(CONCATENATE("000",IFAData_TEA_1617!A1032),6),3),"-",(RIGHT(RIGHT(CONCATENATE("000",IFAData_TEA_1617!A1032),6),3)))</f>
        <v>101-902</v>
      </c>
      <c r="C1032" s="2266" t="s">
        <v>797</v>
      </c>
      <c r="D1032" s="2266">
        <v>1</v>
      </c>
      <c r="E1032" s="2266">
        <v>1545</v>
      </c>
      <c r="F1032" s="2266" t="s">
        <v>5483</v>
      </c>
      <c r="G1032" s="2266" t="s">
        <v>5485</v>
      </c>
      <c r="H1032" s="2266">
        <v>3458574</v>
      </c>
      <c r="I1032" s="2266">
        <v>296887</v>
      </c>
      <c r="J1032" s="2266">
        <v>6.5184089994429803E-2</v>
      </c>
      <c r="K1032" s="2266">
        <v>225443.99886839505</v>
      </c>
      <c r="L1032" s="2266">
        <v>225443.99886839505</v>
      </c>
      <c r="M1032" s="2266">
        <v>599</v>
      </c>
    </row>
    <row r="1033" spans="1:13" ht="15">
      <c r="A1033" s="2266" t="s">
        <v>4168</v>
      </c>
      <c r="B1033" s="2465" t="str">
        <f>CONCATENATE(LEFT(RIGHT(CONCATENATE("000",IFAData_TEA_1617!A1033),6),3),"-",(RIGHT(RIGHT(CONCATENATE("000",IFAData_TEA_1617!A1033),6),3)))</f>
        <v>101-903</v>
      </c>
      <c r="C1033" s="2266" t="s">
        <v>2264</v>
      </c>
      <c r="D1033" s="2266">
        <v>3</v>
      </c>
      <c r="E1033" s="2266">
        <v>1555</v>
      </c>
      <c r="F1033" s="2266" t="s">
        <v>5501</v>
      </c>
      <c r="G1033" s="2266" t="s">
        <v>5501</v>
      </c>
      <c r="H1033" s="2266">
        <v>2098629</v>
      </c>
      <c r="I1033" s="2266">
        <v>0</v>
      </c>
      <c r="J1033" s="2266">
        <v>0</v>
      </c>
      <c r="K1033" s="2266">
        <v>0</v>
      </c>
      <c r="L1033" s="2266">
        <v>0</v>
      </c>
      <c r="M1033" s="2266">
        <v>599</v>
      </c>
    </row>
    <row r="1034" spans="1:13" ht="15">
      <c r="A1034" s="2266" t="s">
        <v>4168</v>
      </c>
      <c r="B1034" s="2465" t="str">
        <f>CONCATENATE(LEFT(RIGHT(CONCATENATE("000",IFAData_TEA_1617!A1034),6),3),"-",(RIGHT(RIGHT(CONCATENATE("000",IFAData_TEA_1617!A1034),6),3)))</f>
        <v>101-903</v>
      </c>
      <c r="C1034" s="2266" t="s">
        <v>2264</v>
      </c>
      <c r="D1034" s="2266">
        <v>3</v>
      </c>
      <c r="E1034" s="2266">
        <v>1555</v>
      </c>
      <c r="F1034" s="2266" t="s">
        <v>5501</v>
      </c>
      <c r="G1034" s="2266" t="s">
        <v>6977</v>
      </c>
      <c r="H1034" s="2266">
        <v>2098629</v>
      </c>
      <c r="I1034" s="2266">
        <v>0</v>
      </c>
      <c r="J1034" s="2266">
        <v>0</v>
      </c>
      <c r="K1034" s="2266">
        <v>0</v>
      </c>
      <c r="L1034" s="2266">
        <v>0</v>
      </c>
      <c r="M1034" s="2266">
        <v>599</v>
      </c>
    </row>
    <row r="1035" spans="1:13" ht="15">
      <c r="A1035" s="2266" t="s">
        <v>4168</v>
      </c>
      <c r="B1035" s="2465" t="str">
        <f>CONCATENATE(LEFT(RIGHT(CONCATENATE("000",IFAData_TEA_1617!A1035),6),3),"-",(RIGHT(RIGHT(CONCATENATE("000",IFAData_TEA_1617!A1035),6),3)))</f>
        <v>101-903</v>
      </c>
      <c r="C1035" s="2266" t="s">
        <v>2264</v>
      </c>
      <c r="D1035" s="2266">
        <v>1</v>
      </c>
      <c r="E1035" s="2266">
        <v>1554</v>
      </c>
      <c r="F1035" s="2266" t="s">
        <v>5495</v>
      </c>
      <c r="G1035" s="2266" t="s">
        <v>5499</v>
      </c>
      <c r="H1035" s="2266">
        <v>1417777</v>
      </c>
      <c r="I1035" s="2266">
        <v>0</v>
      </c>
      <c r="J1035" s="2266">
        <v>0</v>
      </c>
      <c r="K1035" s="2266"/>
      <c r="L1035" s="2266">
        <v>0</v>
      </c>
      <c r="M1035" s="2266">
        <v>599</v>
      </c>
    </row>
    <row r="1036" spans="1:13" ht="15">
      <c r="A1036" s="2266" t="s">
        <v>4168</v>
      </c>
      <c r="B1036" s="2465" t="str">
        <f>CONCATENATE(LEFT(RIGHT(CONCATENATE("000",IFAData_TEA_1617!A1036),6),3),"-",(RIGHT(RIGHT(CONCATENATE("000",IFAData_TEA_1617!A1036),6),3)))</f>
        <v>101-903</v>
      </c>
      <c r="C1036" s="2266" t="s">
        <v>2264</v>
      </c>
      <c r="D1036" s="2266">
        <v>3</v>
      </c>
      <c r="E1036" s="2266">
        <v>1558</v>
      </c>
      <c r="F1036" s="2266" t="s">
        <v>5503</v>
      </c>
      <c r="G1036" s="2266" t="s">
        <v>5499</v>
      </c>
      <c r="H1036" s="2266">
        <v>3113521</v>
      </c>
      <c r="I1036" s="2266">
        <v>0</v>
      </c>
      <c r="J1036" s="2266">
        <v>0</v>
      </c>
      <c r="K1036" s="2266">
        <v>0</v>
      </c>
      <c r="L1036" s="2266">
        <v>0</v>
      </c>
      <c r="M1036" s="2266">
        <v>599</v>
      </c>
    </row>
    <row r="1037" spans="1:13" ht="15">
      <c r="A1037" s="2266" t="s">
        <v>4168</v>
      </c>
      <c r="B1037" s="2465" t="str">
        <f>CONCATENATE(LEFT(RIGHT(CONCATENATE("000",IFAData_TEA_1617!A1037),6),3),"-",(RIGHT(RIGHT(CONCATENATE("000",IFAData_TEA_1617!A1037),6),3)))</f>
        <v>101-903</v>
      </c>
      <c r="C1037" s="2266" t="s">
        <v>2264</v>
      </c>
      <c r="D1037" s="2266">
        <v>2</v>
      </c>
      <c r="E1037" s="2266">
        <v>1559</v>
      </c>
      <c r="F1037" s="2266" t="s">
        <v>5500</v>
      </c>
      <c r="G1037" s="2266" t="s">
        <v>5499</v>
      </c>
      <c r="H1037" s="2266">
        <v>4312614</v>
      </c>
      <c r="I1037" s="2266">
        <v>0</v>
      </c>
      <c r="J1037" s="2266">
        <v>0</v>
      </c>
      <c r="K1037" s="2266"/>
      <c r="L1037" s="2266">
        <v>0</v>
      </c>
      <c r="M1037" s="2266">
        <v>599</v>
      </c>
    </row>
    <row r="1038" spans="1:13" ht="15">
      <c r="A1038" s="2266" t="s">
        <v>4168</v>
      </c>
      <c r="B1038" s="2465" t="str">
        <f>CONCATENATE(LEFT(RIGHT(CONCATENATE("000",IFAData_TEA_1617!A1038),6),3),"-",(RIGHT(RIGHT(CONCATENATE("000",IFAData_TEA_1617!A1038),6),3)))</f>
        <v>101-903</v>
      </c>
      <c r="C1038" s="2266" t="s">
        <v>2264</v>
      </c>
      <c r="D1038" s="2266">
        <v>1</v>
      </c>
      <c r="E1038" s="2266">
        <v>1554</v>
      </c>
      <c r="F1038" s="2266" t="s">
        <v>5495</v>
      </c>
      <c r="G1038" s="2266" t="s">
        <v>5498</v>
      </c>
      <c r="H1038" s="2266">
        <v>1417777</v>
      </c>
      <c r="I1038" s="2266">
        <v>0</v>
      </c>
      <c r="J1038" s="2266">
        <v>0</v>
      </c>
      <c r="K1038" s="2266"/>
      <c r="L1038" s="2266">
        <v>0</v>
      </c>
      <c r="M1038" s="2266">
        <v>599</v>
      </c>
    </row>
    <row r="1039" spans="1:13" ht="15">
      <c r="A1039" s="2266" t="s">
        <v>4168</v>
      </c>
      <c r="B1039" s="2465" t="str">
        <f>CONCATENATE(LEFT(RIGHT(CONCATENATE("000",IFAData_TEA_1617!A1039),6),3),"-",(RIGHT(RIGHT(CONCATENATE("000",IFAData_TEA_1617!A1039),6),3)))</f>
        <v>101-903</v>
      </c>
      <c r="C1039" s="2266" t="s">
        <v>2264</v>
      </c>
      <c r="D1039" s="2266">
        <v>3</v>
      </c>
      <c r="E1039" s="2266">
        <v>1558</v>
      </c>
      <c r="F1039" s="2266" t="s">
        <v>5503</v>
      </c>
      <c r="G1039" s="2266" t="s">
        <v>5498</v>
      </c>
      <c r="H1039" s="2266">
        <v>3113521</v>
      </c>
      <c r="I1039" s="2266">
        <v>0</v>
      </c>
      <c r="J1039" s="2266">
        <v>0</v>
      </c>
      <c r="K1039" s="2266">
        <v>0</v>
      </c>
      <c r="L1039" s="2266">
        <v>0</v>
      </c>
      <c r="M1039" s="2266">
        <v>599</v>
      </c>
    </row>
    <row r="1040" spans="1:13" ht="15">
      <c r="A1040" s="2266" t="s">
        <v>4168</v>
      </c>
      <c r="B1040" s="2465" t="str">
        <f>CONCATENATE(LEFT(RIGHT(CONCATENATE("000",IFAData_TEA_1617!A1040),6),3),"-",(RIGHT(RIGHT(CONCATENATE("000",IFAData_TEA_1617!A1040),6),3)))</f>
        <v>101-903</v>
      </c>
      <c r="C1040" s="2266" t="s">
        <v>2264</v>
      </c>
      <c r="D1040" s="2266">
        <v>2</v>
      </c>
      <c r="E1040" s="2266">
        <v>1559</v>
      </c>
      <c r="F1040" s="2266" t="s">
        <v>5500</v>
      </c>
      <c r="G1040" s="2266" t="s">
        <v>5498</v>
      </c>
      <c r="H1040" s="2266">
        <v>4312614</v>
      </c>
      <c r="I1040" s="2266">
        <v>0</v>
      </c>
      <c r="J1040" s="2266">
        <v>0</v>
      </c>
      <c r="K1040" s="2266"/>
      <c r="L1040" s="2266">
        <v>0</v>
      </c>
      <c r="M1040" s="2266">
        <v>599</v>
      </c>
    </row>
    <row r="1041" spans="1:13" ht="15">
      <c r="A1041" s="2266" t="s">
        <v>4168</v>
      </c>
      <c r="B1041" s="2465" t="str">
        <f>CONCATENATE(LEFT(RIGHT(CONCATENATE("000",IFAData_TEA_1617!A1041),6),3),"-",(RIGHT(RIGHT(CONCATENATE("000",IFAData_TEA_1617!A1041),6),3)))</f>
        <v>101-903</v>
      </c>
      <c r="C1041" s="2266" t="s">
        <v>2264</v>
      </c>
      <c r="D1041" s="2266">
        <v>5</v>
      </c>
      <c r="E1041" s="2266">
        <v>1556</v>
      </c>
      <c r="F1041" s="2266" t="s">
        <v>5505</v>
      </c>
      <c r="G1041" s="2266" t="s">
        <v>5505</v>
      </c>
      <c r="H1041" s="2266">
        <v>2380440</v>
      </c>
      <c r="I1041" s="2266">
        <v>0</v>
      </c>
      <c r="J1041" s="2266">
        <v>0</v>
      </c>
      <c r="K1041" s="2266">
        <v>0</v>
      </c>
      <c r="L1041" s="2266">
        <v>0</v>
      </c>
      <c r="M1041" s="2266">
        <v>599</v>
      </c>
    </row>
    <row r="1042" spans="1:13" ht="15">
      <c r="A1042" s="2266" t="s">
        <v>4168</v>
      </c>
      <c r="B1042" s="2465" t="str">
        <f>CONCATENATE(LEFT(RIGHT(CONCATENATE("000",IFAData_TEA_1617!A1042),6),3),"-",(RIGHT(RIGHT(CONCATENATE("000",IFAData_TEA_1617!A1042),6),3)))</f>
        <v>101-903</v>
      </c>
      <c r="C1042" s="2266" t="s">
        <v>2264</v>
      </c>
      <c r="D1042" s="2266">
        <v>2</v>
      </c>
      <c r="E1042" s="2266">
        <v>1559</v>
      </c>
      <c r="F1042" s="2266" t="s">
        <v>5500</v>
      </c>
      <c r="G1042" s="2266" t="s">
        <v>5497</v>
      </c>
      <c r="H1042" s="2266">
        <v>4312614</v>
      </c>
      <c r="I1042" s="2266">
        <v>0</v>
      </c>
      <c r="J1042" s="2266">
        <v>0</v>
      </c>
      <c r="K1042" s="2266"/>
      <c r="L1042" s="2266">
        <v>0</v>
      </c>
      <c r="M1042" s="2266">
        <v>599</v>
      </c>
    </row>
    <row r="1043" spans="1:13" ht="15">
      <c r="A1043" s="2266" t="s">
        <v>4168</v>
      </c>
      <c r="B1043" s="2465" t="str">
        <f>CONCATENATE(LEFT(RIGHT(CONCATENATE("000",IFAData_TEA_1617!A1043),6),3),"-",(RIGHT(RIGHT(CONCATENATE("000",IFAData_TEA_1617!A1043),6),3)))</f>
        <v>101-903</v>
      </c>
      <c r="C1043" s="2266" t="s">
        <v>2264</v>
      </c>
      <c r="D1043" s="2266">
        <v>3</v>
      </c>
      <c r="E1043" s="2266">
        <v>1558</v>
      </c>
      <c r="F1043" s="2266" t="s">
        <v>5503</v>
      </c>
      <c r="G1043" s="2266" t="s">
        <v>5502</v>
      </c>
      <c r="H1043" s="2266">
        <v>3113521</v>
      </c>
      <c r="I1043" s="2266">
        <v>0</v>
      </c>
      <c r="J1043" s="2266">
        <v>0</v>
      </c>
      <c r="K1043" s="2266">
        <v>0</v>
      </c>
      <c r="L1043" s="2266">
        <v>0</v>
      </c>
      <c r="M1043" s="2266">
        <v>599</v>
      </c>
    </row>
    <row r="1044" spans="1:13" ht="15">
      <c r="A1044" s="2266" t="s">
        <v>4168</v>
      </c>
      <c r="B1044" s="2465" t="str">
        <f>CONCATENATE(LEFT(RIGHT(CONCATENATE("000",IFAData_TEA_1617!A1044),6),3),"-",(RIGHT(RIGHT(CONCATENATE("000",IFAData_TEA_1617!A1044),6),3)))</f>
        <v>101-903</v>
      </c>
      <c r="C1044" s="2266" t="s">
        <v>2264</v>
      </c>
      <c r="D1044" s="2266">
        <v>5</v>
      </c>
      <c r="E1044" s="2266">
        <v>1556</v>
      </c>
      <c r="F1044" s="2266" t="s">
        <v>5505</v>
      </c>
      <c r="G1044" s="2266" t="s">
        <v>6977</v>
      </c>
      <c r="H1044" s="2266">
        <v>2380440</v>
      </c>
      <c r="I1044" s="2266">
        <v>0</v>
      </c>
      <c r="J1044" s="2266">
        <v>0</v>
      </c>
      <c r="K1044" s="2266">
        <v>0</v>
      </c>
      <c r="L1044" s="2266">
        <v>0</v>
      </c>
      <c r="M1044" s="2266">
        <v>599</v>
      </c>
    </row>
    <row r="1045" spans="1:13" ht="15">
      <c r="A1045" s="2266" t="s">
        <v>4168</v>
      </c>
      <c r="B1045" s="2465" t="str">
        <f>CONCATENATE(LEFT(RIGHT(CONCATENATE("000",IFAData_TEA_1617!A1045),6),3),"-",(RIGHT(RIGHT(CONCATENATE("000",IFAData_TEA_1617!A1045),6),3)))</f>
        <v>101-903</v>
      </c>
      <c r="C1045" s="2266" t="s">
        <v>2264</v>
      </c>
      <c r="D1045" s="2266">
        <v>1</v>
      </c>
      <c r="E1045" s="2266">
        <v>1554</v>
      </c>
      <c r="F1045" s="2266" t="s">
        <v>5495</v>
      </c>
      <c r="G1045" s="2266" t="s">
        <v>5495</v>
      </c>
      <c r="H1045" s="2266">
        <v>1417777</v>
      </c>
      <c r="I1045" s="2266">
        <v>0</v>
      </c>
      <c r="J1045" s="2266">
        <v>0</v>
      </c>
      <c r="K1045" s="2266"/>
      <c r="L1045" s="2266">
        <v>0</v>
      </c>
      <c r="M1045" s="2266">
        <v>599</v>
      </c>
    </row>
    <row r="1046" spans="1:13" ht="15">
      <c r="A1046" s="2266" t="s">
        <v>4168</v>
      </c>
      <c r="B1046" s="2465" t="str">
        <f>CONCATENATE(LEFT(RIGHT(CONCATENATE("000",IFAData_TEA_1617!A1046),6),3),"-",(RIGHT(RIGHT(CONCATENATE("000",IFAData_TEA_1617!A1046),6),3)))</f>
        <v>101-903</v>
      </c>
      <c r="C1046" s="2266" t="s">
        <v>2264</v>
      </c>
      <c r="D1046" s="2266">
        <v>1</v>
      </c>
      <c r="E1046" s="2266">
        <v>1554</v>
      </c>
      <c r="F1046" s="2266" t="s">
        <v>5495</v>
      </c>
      <c r="G1046" s="2266" t="s">
        <v>5496</v>
      </c>
      <c r="H1046" s="2266">
        <v>1417777</v>
      </c>
      <c r="I1046" s="2266">
        <v>0</v>
      </c>
      <c r="J1046" s="2266">
        <v>0</v>
      </c>
      <c r="K1046" s="2266"/>
      <c r="L1046" s="2266">
        <v>0</v>
      </c>
      <c r="M1046" s="2266">
        <v>599</v>
      </c>
    </row>
    <row r="1047" spans="1:13" ht="15">
      <c r="A1047" s="2266" t="s">
        <v>4168</v>
      </c>
      <c r="B1047" s="2465" t="str">
        <f>CONCATENATE(LEFT(RIGHT(CONCATENATE("000",IFAData_TEA_1617!A1047),6),3),"-",(RIGHT(RIGHT(CONCATENATE("000",IFAData_TEA_1617!A1047),6),3)))</f>
        <v>101-903</v>
      </c>
      <c r="C1047" s="2266" t="s">
        <v>2264</v>
      </c>
      <c r="D1047" s="2266">
        <v>2</v>
      </c>
      <c r="E1047" s="2266">
        <v>1559</v>
      </c>
      <c r="F1047" s="2266" t="s">
        <v>5500</v>
      </c>
      <c r="G1047" s="2266" t="s">
        <v>5496</v>
      </c>
      <c r="H1047" s="2266">
        <v>4312614</v>
      </c>
      <c r="I1047" s="2266">
        <v>0</v>
      </c>
      <c r="J1047" s="2266">
        <v>0</v>
      </c>
      <c r="K1047" s="2266"/>
      <c r="L1047" s="2266">
        <v>0</v>
      </c>
      <c r="M1047" s="2266">
        <v>599</v>
      </c>
    </row>
    <row r="1048" spans="1:13" ht="15">
      <c r="A1048" s="2266" t="s">
        <v>4168</v>
      </c>
      <c r="B1048" s="2465" t="str">
        <f>CONCATENATE(LEFT(RIGHT(CONCATENATE("000",IFAData_TEA_1617!A1048),6),3),"-",(RIGHT(RIGHT(CONCATENATE("000",IFAData_TEA_1617!A1048),6),3)))</f>
        <v>101-903</v>
      </c>
      <c r="C1048" s="2266" t="s">
        <v>2264</v>
      </c>
      <c r="D1048" s="2266">
        <v>3</v>
      </c>
      <c r="E1048" s="2266">
        <v>1558</v>
      </c>
      <c r="F1048" s="2266" t="s">
        <v>5503</v>
      </c>
      <c r="G1048" s="2266" t="s">
        <v>6977</v>
      </c>
      <c r="H1048" s="2266">
        <v>3113521</v>
      </c>
      <c r="I1048" s="2266">
        <v>0</v>
      </c>
      <c r="J1048" s="2266">
        <v>0</v>
      </c>
      <c r="K1048" s="2266">
        <v>0</v>
      </c>
      <c r="L1048" s="2266">
        <v>0</v>
      </c>
      <c r="M1048" s="2266">
        <v>599</v>
      </c>
    </row>
    <row r="1049" spans="1:13" ht="15">
      <c r="A1049" s="2266" t="s">
        <v>4168</v>
      </c>
      <c r="B1049" s="2465" t="str">
        <f>CONCATENATE(LEFT(RIGHT(CONCATENATE("000",IFAData_TEA_1617!A1049),6),3),"-",(RIGHT(RIGHT(CONCATENATE("000",IFAData_TEA_1617!A1049),6),3)))</f>
        <v>101-903</v>
      </c>
      <c r="C1049" s="2266" t="s">
        <v>2264</v>
      </c>
      <c r="D1049" s="2266">
        <v>3</v>
      </c>
      <c r="E1049" s="2266">
        <v>1555</v>
      </c>
      <c r="F1049" s="2266" t="s">
        <v>5501</v>
      </c>
      <c r="G1049" s="2266" t="s">
        <v>7205</v>
      </c>
      <c r="H1049" s="2266">
        <v>2098629</v>
      </c>
      <c r="I1049" s="2266">
        <v>96626</v>
      </c>
      <c r="J1049" s="2266">
        <v>1</v>
      </c>
      <c r="K1049" s="2266">
        <v>2098629</v>
      </c>
      <c r="L1049" s="2266">
        <v>96626</v>
      </c>
      <c r="M1049" s="2266">
        <v>599</v>
      </c>
    </row>
    <row r="1050" spans="1:13" ht="15">
      <c r="A1050" s="2266" t="s">
        <v>4168</v>
      </c>
      <c r="B1050" s="2465" t="str">
        <f>CONCATENATE(LEFT(RIGHT(CONCATENATE("000",IFAData_TEA_1617!A1050),6),3),"-",(RIGHT(RIGHT(CONCATENATE("000",IFAData_TEA_1617!A1050),6),3)))</f>
        <v>101-903</v>
      </c>
      <c r="C1050" s="2266" t="s">
        <v>2264</v>
      </c>
      <c r="D1050" s="2266">
        <v>10</v>
      </c>
      <c r="E1050" s="2266">
        <v>1552</v>
      </c>
      <c r="F1050" s="2266" t="s">
        <v>5508</v>
      </c>
      <c r="G1050" s="2266" t="s">
        <v>5508</v>
      </c>
      <c r="H1050" s="2266">
        <v>901072</v>
      </c>
      <c r="I1050" s="2266">
        <v>910461</v>
      </c>
      <c r="J1050" s="2266">
        <v>1</v>
      </c>
      <c r="K1050" s="2266">
        <v>901072</v>
      </c>
      <c r="L1050" s="2266">
        <v>901072</v>
      </c>
      <c r="M1050" s="2266">
        <v>599</v>
      </c>
    </row>
    <row r="1051" spans="1:13" ht="15">
      <c r="A1051" s="2266" t="s">
        <v>4168</v>
      </c>
      <c r="B1051" s="2465" t="str">
        <f>CONCATENATE(LEFT(RIGHT(CONCATENATE("000",IFAData_TEA_1617!A1051),6),3),"-",(RIGHT(RIGHT(CONCATENATE("000",IFAData_TEA_1617!A1051),6),3)))</f>
        <v>101-903</v>
      </c>
      <c r="C1051" s="2266" t="s">
        <v>2264</v>
      </c>
      <c r="D1051" s="2266">
        <v>5</v>
      </c>
      <c r="E1051" s="2266">
        <v>1556</v>
      </c>
      <c r="F1051" s="2266" t="s">
        <v>5505</v>
      </c>
      <c r="G1051" s="2266" t="s">
        <v>5504</v>
      </c>
      <c r="H1051" s="2266">
        <v>2380440</v>
      </c>
      <c r="I1051" s="2266">
        <v>0</v>
      </c>
      <c r="J1051" s="2266">
        <v>0</v>
      </c>
      <c r="K1051" s="2266">
        <v>0</v>
      </c>
      <c r="L1051" s="2266">
        <v>0</v>
      </c>
      <c r="M1051" s="2266">
        <v>599</v>
      </c>
    </row>
    <row r="1052" spans="1:13" ht="15">
      <c r="A1052" s="2266" t="s">
        <v>4168</v>
      </c>
      <c r="B1052" s="2465" t="str">
        <f>CONCATENATE(LEFT(RIGHT(CONCATENATE("000",IFAData_TEA_1617!A1052),6),3),"-",(RIGHT(RIGHT(CONCATENATE("000",IFAData_TEA_1617!A1052),6),3)))</f>
        <v>101-903</v>
      </c>
      <c r="C1052" s="2266" t="s">
        <v>2264</v>
      </c>
      <c r="D1052" s="2266">
        <v>6</v>
      </c>
      <c r="E1052" s="2266">
        <v>1557</v>
      </c>
      <c r="F1052" s="2266" t="s">
        <v>5506</v>
      </c>
      <c r="G1052" s="2266" t="s">
        <v>5504</v>
      </c>
      <c r="H1052" s="2266">
        <v>2566718</v>
      </c>
      <c r="I1052" s="2266">
        <v>1123975</v>
      </c>
      <c r="J1052" s="2266">
        <v>1</v>
      </c>
      <c r="K1052" s="2266">
        <v>2566718</v>
      </c>
      <c r="L1052" s="2266">
        <v>1123975</v>
      </c>
      <c r="M1052" s="2266">
        <v>599</v>
      </c>
    </row>
    <row r="1053" spans="1:13" ht="15">
      <c r="A1053" s="2266" t="s">
        <v>4168</v>
      </c>
      <c r="B1053" s="2465" t="str">
        <f>CONCATENATE(LEFT(RIGHT(CONCATENATE("000",IFAData_TEA_1617!A1053),6),3),"-",(RIGHT(RIGHT(CONCATENATE("000",IFAData_TEA_1617!A1053),6),3)))</f>
        <v>101-903</v>
      </c>
      <c r="C1053" s="2266" t="s">
        <v>2264</v>
      </c>
      <c r="D1053" s="2266">
        <v>3</v>
      </c>
      <c r="E1053" s="2266">
        <v>1558</v>
      </c>
      <c r="F1053" s="2266" t="s">
        <v>5503</v>
      </c>
      <c r="G1053" s="2266" t="s">
        <v>5504</v>
      </c>
      <c r="H1053" s="2266">
        <v>3113521</v>
      </c>
      <c r="I1053" s="2266">
        <v>0</v>
      </c>
      <c r="J1053" s="2266">
        <v>0</v>
      </c>
      <c r="K1053" s="2266">
        <v>0</v>
      </c>
      <c r="L1053" s="2266">
        <v>0</v>
      </c>
      <c r="M1053" s="2266">
        <v>599</v>
      </c>
    </row>
    <row r="1054" spans="1:13" ht="15">
      <c r="A1054" s="2266" t="s">
        <v>4168</v>
      </c>
      <c r="B1054" s="2465" t="str">
        <f>CONCATENATE(LEFT(RIGHT(CONCATENATE("000",IFAData_TEA_1617!A1054),6),3),"-",(RIGHT(RIGHT(CONCATENATE("000",IFAData_TEA_1617!A1054),6),3)))</f>
        <v>101-903</v>
      </c>
      <c r="C1054" s="2266" t="s">
        <v>2264</v>
      </c>
      <c r="D1054" s="2266">
        <v>1</v>
      </c>
      <c r="E1054" s="2266">
        <v>1554</v>
      </c>
      <c r="F1054" s="2266" t="s">
        <v>5495</v>
      </c>
      <c r="G1054" s="2266" t="s">
        <v>5497</v>
      </c>
      <c r="H1054" s="2266">
        <v>1417777</v>
      </c>
      <c r="I1054" s="2266">
        <v>0</v>
      </c>
      <c r="J1054" s="2266">
        <v>0</v>
      </c>
      <c r="K1054" s="2266"/>
      <c r="L1054" s="2266">
        <v>0</v>
      </c>
      <c r="M1054" s="2266">
        <v>599</v>
      </c>
    </row>
    <row r="1055" spans="1:13" ht="15">
      <c r="A1055" s="2266" t="s">
        <v>4168</v>
      </c>
      <c r="B1055" s="2465" t="str">
        <f>CONCATENATE(LEFT(RIGHT(CONCATENATE("000",IFAData_TEA_1617!A1055),6),3),"-",(RIGHT(RIGHT(CONCATENATE("000",IFAData_TEA_1617!A1055),6),3)))</f>
        <v>101-903</v>
      </c>
      <c r="C1055" s="2266" t="s">
        <v>2264</v>
      </c>
      <c r="D1055" s="2266">
        <v>3</v>
      </c>
      <c r="E1055" s="2266">
        <v>1555</v>
      </c>
      <c r="F1055" s="2266" t="s">
        <v>5501</v>
      </c>
      <c r="G1055" s="2266" t="s">
        <v>5497</v>
      </c>
      <c r="H1055" s="2266">
        <v>2098629</v>
      </c>
      <c r="I1055" s="2266">
        <v>0</v>
      </c>
      <c r="J1055" s="2266">
        <v>0</v>
      </c>
      <c r="K1055" s="2266">
        <v>0</v>
      </c>
      <c r="L1055" s="2266">
        <v>0</v>
      </c>
      <c r="M1055" s="2266">
        <v>599</v>
      </c>
    </row>
    <row r="1056" spans="1:13" ht="15">
      <c r="A1056" s="2266" t="s">
        <v>4168</v>
      </c>
      <c r="B1056" s="2465" t="str">
        <f>CONCATENATE(LEFT(RIGHT(CONCATENATE("000",IFAData_TEA_1617!A1056),6),3),"-",(RIGHT(RIGHT(CONCATENATE("000",IFAData_TEA_1617!A1056),6),3)))</f>
        <v>101-903</v>
      </c>
      <c r="C1056" s="2266" t="s">
        <v>2264</v>
      </c>
      <c r="D1056" s="2266">
        <v>10</v>
      </c>
      <c r="E1056" s="2266">
        <v>1553</v>
      </c>
      <c r="F1056" s="2266" t="s">
        <v>5507</v>
      </c>
      <c r="G1056" s="2266" t="s">
        <v>5507</v>
      </c>
      <c r="H1056" s="2266">
        <v>967583</v>
      </c>
      <c r="I1056" s="2266">
        <v>1032089</v>
      </c>
      <c r="J1056" s="2266">
        <v>1</v>
      </c>
      <c r="K1056" s="2266">
        <v>967583</v>
      </c>
      <c r="L1056" s="2266">
        <v>967583</v>
      </c>
      <c r="M1056" s="2266">
        <v>599</v>
      </c>
    </row>
    <row r="1057" spans="1:13" ht="15">
      <c r="A1057" s="2266" t="s">
        <v>4168</v>
      </c>
      <c r="B1057" s="2465" t="str">
        <f>CONCATENATE(LEFT(RIGHT(CONCATENATE("000",IFAData_TEA_1617!A1057),6),3),"-",(RIGHT(RIGHT(CONCATENATE("000",IFAData_TEA_1617!A1057),6),3)))</f>
        <v>101-903</v>
      </c>
      <c r="C1057" s="2266" t="s">
        <v>2264</v>
      </c>
      <c r="D1057" s="2266">
        <v>3</v>
      </c>
      <c r="E1057" s="2266">
        <v>1558</v>
      </c>
      <c r="F1057" s="2266" t="s">
        <v>5503</v>
      </c>
      <c r="G1057" s="2266" t="s">
        <v>5496</v>
      </c>
      <c r="H1057" s="2266">
        <v>3113521</v>
      </c>
      <c r="I1057" s="2266">
        <v>0</v>
      </c>
      <c r="J1057" s="2266">
        <v>0</v>
      </c>
      <c r="K1057" s="2266">
        <v>0</v>
      </c>
      <c r="L1057" s="2266">
        <v>0</v>
      </c>
      <c r="M1057" s="2266">
        <v>599</v>
      </c>
    </row>
    <row r="1058" spans="1:13" ht="15">
      <c r="A1058" s="2266" t="s">
        <v>4168</v>
      </c>
      <c r="B1058" s="2465" t="str">
        <f>CONCATENATE(LEFT(RIGHT(CONCATENATE("000",IFAData_TEA_1617!A1058),6),3),"-",(RIGHT(RIGHT(CONCATENATE("000",IFAData_TEA_1617!A1058),6),3)))</f>
        <v>101-903</v>
      </c>
      <c r="C1058" s="2266" t="s">
        <v>2264</v>
      </c>
      <c r="D1058" s="2266">
        <v>3</v>
      </c>
      <c r="E1058" s="2266">
        <v>1558</v>
      </c>
      <c r="F1058" s="2266" t="s">
        <v>5503</v>
      </c>
      <c r="G1058" s="2266" t="s">
        <v>5503</v>
      </c>
      <c r="H1058" s="2266">
        <v>3113521</v>
      </c>
      <c r="I1058" s="2266">
        <v>0</v>
      </c>
      <c r="J1058" s="2266">
        <v>0</v>
      </c>
      <c r="K1058" s="2266">
        <v>0</v>
      </c>
      <c r="L1058" s="2266">
        <v>0</v>
      </c>
      <c r="M1058" s="2266">
        <v>599</v>
      </c>
    </row>
    <row r="1059" spans="1:13" ht="15">
      <c r="A1059" s="2266" t="s">
        <v>4168</v>
      </c>
      <c r="B1059" s="2465" t="str">
        <f>CONCATENATE(LEFT(RIGHT(CONCATENATE("000",IFAData_TEA_1617!A1059),6),3),"-",(RIGHT(RIGHT(CONCATENATE("000",IFAData_TEA_1617!A1059),6),3)))</f>
        <v>101-903</v>
      </c>
      <c r="C1059" s="2266" t="s">
        <v>2264</v>
      </c>
      <c r="D1059" s="2266">
        <v>3</v>
      </c>
      <c r="E1059" s="2266">
        <v>1558</v>
      </c>
      <c r="F1059" s="2266" t="s">
        <v>5503</v>
      </c>
      <c r="G1059" s="2266" t="s">
        <v>7205</v>
      </c>
      <c r="H1059" s="2266">
        <v>3113521</v>
      </c>
      <c r="I1059" s="2266">
        <v>158409</v>
      </c>
      <c r="J1059" s="2266">
        <v>1</v>
      </c>
      <c r="K1059" s="2266">
        <v>3113521</v>
      </c>
      <c r="L1059" s="2266">
        <v>158409</v>
      </c>
      <c r="M1059" s="2266">
        <v>599</v>
      </c>
    </row>
    <row r="1060" spans="1:13" ht="15">
      <c r="A1060" s="2266" t="s">
        <v>4168</v>
      </c>
      <c r="B1060" s="2465" t="str">
        <f>CONCATENATE(LEFT(RIGHT(CONCATENATE("000",IFAData_TEA_1617!A1060),6),3),"-",(RIGHT(RIGHT(CONCATENATE("000",IFAData_TEA_1617!A1060),6),3)))</f>
        <v>101-903</v>
      </c>
      <c r="C1060" s="2266" t="s">
        <v>2264</v>
      </c>
      <c r="D1060" s="2266">
        <v>2</v>
      </c>
      <c r="E1060" s="2266">
        <v>1559</v>
      </c>
      <c r="F1060" s="2266" t="s">
        <v>5500</v>
      </c>
      <c r="G1060" s="2266" t="s">
        <v>5500</v>
      </c>
      <c r="H1060" s="2266">
        <v>4312614</v>
      </c>
      <c r="I1060" s="2266">
        <v>0</v>
      </c>
      <c r="J1060" s="2266">
        <v>0</v>
      </c>
      <c r="K1060" s="2266"/>
      <c r="L1060" s="2266">
        <v>0</v>
      </c>
      <c r="M1060" s="2266">
        <v>599</v>
      </c>
    </row>
    <row r="1061" spans="1:13" ht="15">
      <c r="A1061" s="2266" t="s">
        <v>4168</v>
      </c>
      <c r="B1061" s="2465" t="str">
        <f>CONCATENATE(LEFT(RIGHT(CONCATENATE("000",IFAData_TEA_1617!A1061),6),3),"-",(RIGHT(RIGHT(CONCATENATE("000",IFAData_TEA_1617!A1061),6),3)))</f>
        <v>101-903</v>
      </c>
      <c r="C1061" s="2266" t="s">
        <v>2264</v>
      </c>
      <c r="D1061" s="2266">
        <v>5</v>
      </c>
      <c r="E1061" s="2266">
        <v>1556</v>
      </c>
      <c r="F1061" s="2266" t="s">
        <v>5505</v>
      </c>
      <c r="G1061" s="2266" t="s">
        <v>7205</v>
      </c>
      <c r="H1061" s="2266">
        <v>2380440</v>
      </c>
      <c r="I1061" s="2266">
        <v>259810</v>
      </c>
      <c r="J1061" s="2266">
        <v>1</v>
      </c>
      <c r="K1061" s="2266">
        <v>2380440</v>
      </c>
      <c r="L1061" s="2266">
        <v>259810</v>
      </c>
      <c r="M1061" s="2266">
        <v>599</v>
      </c>
    </row>
    <row r="1062" spans="1:13" ht="15">
      <c r="A1062" s="2266" t="s">
        <v>4168</v>
      </c>
      <c r="B1062" s="2465" t="str">
        <f>CONCATENATE(LEFT(RIGHT(CONCATENATE("000",IFAData_TEA_1617!A1062),6),3),"-",(RIGHT(RIGHT(CONCATENATE("000",IFAData_TEA_1617!A1062),6),3)))</f>
        <v>101-903</v>
      </c>
      <c r="C1062" s="2266" t="s">
        <v>2264</v>
      </c>
      <c r="D1062" s="2266">
        <v>6</v>
      </c>
      <c r="E1062" s="2266">
        <v>1557</v>
      </c>
      <c r="F1062" s="2266" t="s">
        <v>5506</v>
      </c>
      <c r="G1062" s="2266" t="s">
        <v>5506</v>
      </c>
      <c r="H1062" s="2266">
        <v>2566718</v>
      </c>
      <c r="I1062" s="2266">
        <v>0</v>
      </c>
      <c r="J1062" s="2266">
        <v>0</v>
      </c>
      <c r="K1062" s="2266">
        <v>0</v>
      </c>
      <c r="L1062" s="2266">
        <v>0</v>
      </c>
      <c r="M1062" s="2266">
        <v>599</v>
      </c>
    </row>
    <row r="1063" spans="1:13" ht="15">
      <c r="A1063" s="2266" t="s">
        <v>4168</v>
      </c>
      <c r="B1063" s="2465" t="str">
        <f>CONCATENATE(LEFT(RIGHT(CONCATENATE("000",IFAData_TEA_1617!A1063),6),3),"-",(RIGHT(RIGHT(CONCATENATE("000",IFAData_TEA_1617!A1063),6),3)))</f>
        <v>101-903</v>
      </c>
      <c r="C1063" s="2266" t="s">
        <v>2264</v>
      </c>
      <c r="D1063" s="2266">
        <v>5</v>
      </c>
      <c r="E1063" s="2266">
        <v>1556</v>
      </c>
      <c r="F1063" s="2266" t="s">
        <v>5505</v>
      </c>
      <c r="G1063" s="2266" t="s">
        <v>5502</v>
      </c>
      <c r="H1063" s="2266">
        <v>2380440</v>
      </c>
      <c r="I1063" s="2266">
        <v>0</v>
      </c>
      <c r="J1063" s="2266">
        <v>0</v>
      </c>
      <c r="K1063" s="2266">
        <v>0</v>
      </c>
      <c r="L1063" s="2266">
        <v>0</v>
      </c>
      <c r="M1063" s="2266">
        <v>599</v>
      </c>
    </row>
    <row r="1064" spans="1:13" ht="15">
      <c r="A1064" s="2266" t="s">
        <v>4168</v>
      </c>
      <c r="B1064" s="2465" t="str">
        <f>CONCATENATE(LEFT(RIGHT(CONCATENATE("000",IFAData_TEA_1617!A1064),6),3),"-",(RIGHT(RIGHT(CONCATENATE("000",IFAData_TEA_1617!A1064),6),3)))</f>
        <v>101-903</v>
      </c>
      <c r="C1064" s="2266" t="s">
        <v>2264</v>
      </c>
      <c r="D1064" s="2266">
        <v>3</v>
      </c>
      <c r="E1064" s="2266">
        <v>1555</v>
      </c>
      <c r="F1064" s="2266" t="s">
        <v>5501</v>
      </c>
      <c r="G1064" s="2266" t="s">
        <v>5502</v>
      </c>
      <c r="H1064" s="2266">
        <v>2098629</v>
      </c>
      <c r="I1064" s="2266">
        <v>0</v>
      </c>
      <c r="J1064" s="2266">
        <v>0</v>
      </c>
      <c r="K1064" s="2266">
        <v>0</v>
      </c>
      <c r="L1064" s="2266">
        <v>0</v>
      </c>
      <c r="M1064" s="2266">
        <v>599</v>
      </c>
    </row>
    <row r="1065" spans="1:13" ht="15">
      <c r="A1065" s="2266" t="s">
        <v>4169</v>
      </c>
      <c r="B1065" s="2465" t="str">
        <f>CONCATENATE(LEFT(RIGHT(CONCATENATE("000",IFAData_TEA_1617!A1065),6),3),"-",(RIGHT(RIGHT(CONCATENATE("000",IFAData_TEA_1617!A1065),6),3)))</f>
        <v>101-905</v>
      </c>
      <c r="C1065" s="2266" t="s">
        <v>522</v>
      </c>
      <c r="D1065" s="2266">
        <v>10</v>
      </c>
      <c r="E1065" s="2266">
        <v>1678</v>
      </c>
      <c r="F1065" s="2266" t="s">
        <v>5510</v>
      </c>
      <c r="G1065" s="2266" t="s">
        <v>5510</v>
      </c>
      <c r="H1065" s="2266">
        <v>1101389</v>
      </c>
      <c r="I1065" s="2266">
        <v>1112329</v>
      </c>
      <c r="J1065" s="2266">
        <v>1</v>
      </c>
      <c r="K1065" s="2266">
        <v>1101389</v>
      </c>
      <c r="L1065" s="2266">
        <v>1101389</v>
      </c>
      <c r="M1065" s="2266">
        <v>599</v>
      </c>
    </row>
    <row r="1066" spans="1:13" ht="15">
      <c r="A1066" s="2266" t="s">
        <v>4169</v>
      </c>
      <c r="B1066" s="2465" t="str">
        <f>CONCATENATE(LEFT(RIGHT(CONCATENATE("000",IFAData_TEA_1617!A1066),6),3),"-",(RIGHT(RIGHT(CONCATENATE("000",IFAData_TEA_1617!A1066),6),3)))</f>
        <v>101-905</v>
      </c>
      <c r="C1066" s="2266" t="s">
        <v>522</v>
      </c>
      <c r="D1066" s="2266">
        <v>10</v>
      </c>
      <c r="E1066" s="2266">
        <v>1677</v>
      </c>
      <c r="F1066" s="2266" t="s">
        <v>5509</v>
      </c>
      <c r="G1066" s="2266" t="s">
        <v>5509</v>
      </c>
      <c r="H1066" s="2266">
        <v>330868</v>
      </c>
      <c r="I1066" s="2266">
        <v>1362738</v>
      </c>
      <c r="J1066" s="2266">
        <v>1</v>
      </c>
      <c r="K1066" s="2266">
        <v>330868</v>
      </c>
      <c r="L1066" s="2266">
        <v>330868</v>
      </c>
      <c r="M1066" s="2266">
        <v>599</v>
      </c>
    </row>
    <row r="1067" spans="1:13" ht="15">
      <c r="A1067" s="2266" t="s">
        <v>4170</v>
      </c>
      <c r="B1067" s="2465" t="str">
        <f>CONCATENATE(LEFT(RIGHT(CONCATENATE("000",IFAData_TEA_1617!A1067),6),3),"-",(RIGHT(RIGHT(CONCATENATE("000",IFAData_TEA_1617!A1067),6),3)))</f>
        <v>101-906</v>
      </c>
      <c r="C1067" s="2266" t="s">
        <v>458</v>
      </c>
      <c r="D1067" s="2266">
        <v>3</v>
      </c>
      <c r="E1067" s="2266">
        <v>1732</v>
      </c>
      <c r="F1067" s="2266" t="s">
        <v>5511</v>
      </c>
      <c r="G1067" s="2266" t="s">
        <v>5511</v>
      </c>
      <c r="H1067" s="2266">
        <v>926340</v>
      </c>
      <c r="I1067" s="2266">
        <v>1290569</v>
      </c>
      <c r="J1067" s="2266">
        <v>0.6128119036324674</v>
      </c>
      <c r="K1067" s="2266">
        <v>567672.17881089984</v>
      </c>
      <c r="L1067" s="2266">
        <v>567672.17881089984</v>
      </c>
      <c r="M1067" s="2266">
        <v>599</v>
      </c>
    </row>
    <row r="1068" spans="1:13" ht="15">
      <c r="A1068" s="2266" t="s">
        <v>4170</v>
      </c>
      <c r="B1068" s="2465" t="str">
        <f>CONCATENATE(LEFT(RIGHT(CONCATENATE("000",IFAData_TEA_1617!A1068),6),3),"-",(RIGHT(RIGHT(CONCATENATE("000",IFAData_TEA_1617!A1068),6),3)))</f>
        <v>101-906</v>
      </c>
      <c r="C1068" s="2266" t="s">
        <v>458</v>
      </c>
      <c r="D1068" s="2266">
        <v>3</v>
      </c>
      <c r="E1068" s="2266">
        <v>1732</v>
      </c>
      <c r="F1068" s="2266" t="s">
        <v>5511</v>
      </c>
      <c r="G1068" s="2266" t="s">
        <v>5512</v>
      </c>
      <c r="H1068" s="2266">
        <v>926340</v>
      </c>
      <c r="I1068" s="2266">
        <v>335782</v>
      </c>
      <c r="J1068" s="2266">
        <v>0.15944223565382182</v>
      </c>
      <c r="K1068" s="2266">
        <v>147697.72057556131</v>
      </c>
      <c r="L1068" s="2266">
        <v>147697.72057556131</v>
      </c>
      <c r="M1068" s="2266">
        <v>599</v>
      </c>
    </row>
    <row r="1069" spans="1:13" ht="15">
      <c r="A1069" s="2266" t="s">
        <v>4170</v>
      </c>
      <c r="B1069" s="2465" t="str">
        <f>CONCATENATE(LEFT(RIGHT(CONCATENATE("000",IFAData_TEA_1617!A1069),6),3),"-",(RIGHT(RIGHT(CONCATENATE("000",IFAData_TEA_1617!A1069),6),3)))</f>
        <v>101-906</v>
      </c>
      <c r="C1069" s="2266" t="s">
        <v>458</v>
      </c>
      <c r="D1069" s="2266">
        <v>3</v>
      </c>
      <c r="E1069" s="2266">
        <v>1732</v>
      </c>
      <c r="F1069" s="2266" t="s">
        <v>5511</v>
      </c>
      <c r="G1069" s="2266" t="s">
        <v>5513</v>
      </c>
      <c r="H1069" s="2266">
        <v>926340</v>
      </c>
      <c r="I1069" s="2266">
        <v>145249</v>
      </c>
      <c r="J1069" s="2266">
        <v>6.8969823535752262E-2</v>
      </c>
      <c r="K1069" s="2266">
        <v>63889.506334108752</v>
      </c>
      <c r="L1069" s="2266">
        <v>63889.506334108752</v>
      </c>
      <c r="M1069" s="2266">
        <v>599</v>
      </c>
    </row>
    <row r="1070" spans="1:13" ht="15">
      <c r="A1070" s="2266" t="s">
        <v>4170</v>
      </c>
      <c r="B1070" s="2465" t="str">
        <f>CONCATENATE(LEFT(RIGHT(CONCATENATE("000",IFAData_TEA_1617!A1070),6),3),"-",(RIGHT(RIGHT(CONCATENATE("000",IFAData_TEA_1617!A1070),6),3)))</f>
        <v>101-906</v>
      </c>
      <c r="C1070" s="2266" t="s">
        <v>458</v>
      </c>
      <c r="D1070" s="2266">
        <v>3</v>
      </c>
      <c r="E1070" s="2266">
        <v>1732</v>
      </c>
      <c r="F1070" s="2266" t="s">
        <v>5511</v>
      </c>
      <c r="G1070" s="2266" t="s">
        <v>7206</v>
      </c>
      <c r="H1070" s="2266">
        <v>926340</v>
      </c>
      <c r="I1070" s="2266">
        <v>334379</v>
      </c>
      <c r="J1070" s="2266">
        <v>0.15877603717795857</v>
      </c>
      <c r="K1070" s="2266">
        <v>147080.59427943014</v>
      </c>
      <c r="L1070" s="2266">
        <v>147080.59427943014</v>
      </c>
      <c r="M1070" s="2266">
        <v>599</v>
      </c>
    </row>
    <row r="1071" spans="1:13" ht="15">
      <c r="A1071" s="2266" t="s">
        <v>4171</v>
      </c>
      <c r="B1071" s="2465" t="str">
        <f>CONCATENATE(LEFT(RIGHT(CONCATENATE("000",IFAData_TEA_1617!A1071),6),3),"-",(RIGHT(RIGHT(CONCATENATE("000",IFAData_TEA_1617!A1071),6),3)))</f>
        <v>101-910</v>
      </c>
      <c r="C1071" s="2266" t="s">
        <v>1670</v>
      </c>
      <c r="D1071" s="2266">
        <v>6</v>
      </c>
      <c r="E1071" s="2266">
        <v>1838</v>
      </c>
      <c r="F1071" s="2266" t="s">
        <v>5518</v>
      </c>
      <c r="G1071" s="2266" t="s">
        <v>5519</v>
      </c>
      <c r="H1071" s="2266">
        <v>907274</v>
      </c>
      <c r="I1071" s="2266">
        <v>1010193</v>
      </c>
      <c r="J1071" s="2266">
        <v>0.92125671887339977</v>
      </c>
      <c r="K1071" s="2266">
        <v>835832.26835914492</v>
      </c>
      <c r="L1071" s="2266">
        <v>835832.26835914492</v>
      </c>
      <c r="M1071" s="2266">
        <v>599</v>
      </c>
    </row>
    <row r="1072" spans="1:13" ht="15">
      <c r="A1072" s="2266" t="s">
        <v>4171</v>
      </c>
      <c r="B1072" s="2465" t="str">
        <f>CONCATENATE(LEFT(RIGHT(CONCATENATE("000",IFAData_TEA_1617!A1072),6),3),"-",(RIGHT(RIGHT(CONCATENATE("000",IFAData_TEA_1617!A1072),6),3)))</f>
        <v>101-910</v>
      </c>
      <c r="C1072" s="2266" t="s">
        <v>1670</v>
      </c>
      <c r="D1072" s="2266">
        <v>6</v>
      </c>
      <c r="E1072" s="2266">
        <v>1838</v>
      </c>
      <c r="F1072" s="2266" t="s">
        <v>5518</v>
      </c>
      <c r="G1072" s="2266" t="s">
        <v>5518</v>
      </c>
      <c r="H1072" s="2266">
        <v>907274</v>
      </c>
      <c r="I1072" s="2266">
        <v>0</v>
      </c>
      <c r="J1072" s="2266">
        <v>0</v>
      </c>
      <c r="K1072" s="2266">
        <v>0</v>
      </c>
      <c r="L1072" s="2266">
        <v>0</v>
      </c>
      <c r="M1072" s="2266">
        <v>599</v>
      </c>
    </row>
    <row r="1073" spans="1:13" ht="15">
      <c r="A1073" s="2266" t="s">
        <v>4171</v>
      </c>
      <c r="B1073" s="2465" t="str">
        <f>CONCATENATE(LEFT(RIGHT(CONCATENATE("000",IFAData_TEA_1617!A1073),6),3),"-",(RIGHT(RIGHT(CONCATENATE("000",IFAData_TEA_1617!A1073),6),3)))</f>
        <v>101-910</v>
      </c>
      <c r="C1073" s="2266" t="s">
        <v>1670</v>
      </c>
      <c r="D1073" s="2266">
        <v>6</v>
      </c>
      <c r="E1073" s="2266">
        <v>1838</v>
      </c>
      <c r="F1073" s="2266" t="s">
        <v>5518</v>
      </c>
      <c r="G1073" s="2266" t="s">
        <v>6978</v>
      </c>
      <c r="H1073" s="2266">
        <v>907274</v>
      </c>
      <c r="I1073" s="2266">
        <v>0</v>
      </c>
      <c r="J1073" s="2266">
        <v>0</v>
      </c>
      <c r="K1073" s="2266">
        <v>0</v>
      </c>
      <c r="L1073" s="2266">
        <v>0</v>
      </c>
      <c r="M1073" s="2266">
        <v>599</v>
      </c>
    </row>
    <row r="1074" spans="1:13" ht="15">
      <c r="A1074" s="2266" t="s">
        <v>4171</v>
      </c>
      <c r="B1074" s="2465" t="str">
        <f>CONCATENATE(LEFT(RIGHT(CONCATENATE("000",IFAData_TEA_1617!A1074),6),3),"-",(RIGHT(RIGHT(CONCATENATE("000",IFAData_TEA_1617!A1074),6),3)))</f>
        <v>101-910</v>
      </c>
      <c r="C1074" s="2266" t="s">
        <v>1670</v>
      </c>
      <c r="D1074" s="2266">
        <v>1</v>
      </c>
      <c r="E1074" s="2266">
        <v>1837</v>
      </c>
      <c r="F1074" s="2266" t="s">
        <v>5514</v>
      </c>
      <c r="G1074" s="2266" t="s">
        <v>5516</v>
      </c>
      <c r="H1074" s="2266">
        <v>827390</v>
      </c>
      <c r="I1074" s="2266">
        <v>1077843</v>
      </c>
      <c r="J1074" s="2266">
        <v>1</v>
      </c>
      <c r="K1074" s="2266">
        <v>827390</v>
      </c>
      <c r="L1074" s="2266">
        <v>827390</v>
      </c>
      <c r="M1074" s="2266">
        <v>599</v>
      </c>
    </row>
    <row r="1075" spans="1:13" ht="15">
      <c r="A1075" s="2266" t="s">
        <v>4171</v>
      </c>
      <c r="B1075" s="2465" t="str">
        <f>CONCATENATE(LEFT(RIGHT(CONCATENATE("000",IFAData_TEA_1617!A1075),6),3),"-",(RIGHT(RIGHT(CONCATENATE("000",IFAData_TEA_1617!A1075),6),3)))</f>
        <v>101-910</v>
      </c>
      <c r="C1075" s="2266" t="s">
        <v>1670</v>
      </c>
      <c r="D1075" s="2266">
        <v>2</v>
      </c>
      <c r="E1075" s="2266">
        <v>1839</v>
      </c>
      <c r="F1075" s="2266" t="s">
        <v>5517</v>
      </c>
      <c r="G1075" s="2266" t="s">
        <v>5516</v>
      </c>
      <c r="H1075" s="2266">
        <v>1792083</v>
      </c>
      <c r="I1075" s="2266">
        <v>1527850</v>
      </c>
      <c r="J1075" s="2266">
        <v>1</v>
      </c>
      <c r="K1075" s="2266">
        <v>1792083</v>
      </c>
      <c r="L1075" s="2266">
        <v>1527850</v>
      </c>
      <c r="M1075" s="2266">
        <v>599</v>
      </c>
    </row>
    <row r="1076" spans="1:13" ht="15">
      <c r="A1076" s="2266" t="s">
        <v>4171</v>
      </c>
      <c r="B1076" s="2465" t="str">
        <f>CONCATENATE(LEFT(RIGHT(CONCATENATE("000",IFAData_TEA_1617!A1076),6),3),"-",(RIGHT(RIGHT(CONCATENATE("000",IFAData_TEA_1617!A1076),6),3)))</f>
        <v>101-910</v>
      </c>
      <c r="C1076" s="2266" t="s">
        <v>1670</v>
      </c>
      <c r="D1076" s="2266">
        <v>6</v>
      </c>
      <c r="E1076" s="2266">
        <v>1834</v>
      </c>
      <c r="F1076" s="2266" t="s">
        <v>5521</v>
      </c>
      <c r="G1076" s="2266" t="s">
        <v>5522</v>
      </c>
      <c r="H1076" s="2266">
        <v>608673</v>
      </c>
      <c r="I1076" s="2266">
        <v>1858588</v>
      </c>
      <c r="J1076" s="2266">
        <v>0.89066454278270013</v>
      </c>
      <c r="K1076" s="2266">
        <v>542123.45924917446</v>
      </c>
      <c r="L1076" s="2266">
        <v>542123.45924917446</v>
      </c>
      <c r="M1076" s="2266">
        <v>599</v>
      </c>
    </row>
    <row r="1077" spans="1:13" ht="15">
      <c r="A1077" s="2266" t="s">
        <v>4171</v>
      </c>
      <c r="B1077" s="2465" t="str">
        <f>CONCATENATE(LEFT(RIGHT(CONCATENATE("000",IFAData_TEA_1617!A1077),6),3),"-",(RIGHT(RIGHT(CONCATENATE("000",IFAData_TEA_1617!A1077),6),3)))</f>
        <v>101-910</v>
      </c>
      <c r="C1077" s="2266" t="s">
        <v>1670</v>
      </c>
      <c r="D1077" s="2266">
        <v>2</v>
      </c>
      <c r="E1077" s="2266">
        <v>1839</v>
      </c>
      <c r="F1077" s="2266" t="s">
        <v>5517</v>
      </c>
      <c r="G1077" s="2266" t="s">
        <v>5517</v>
      </c>
      <c r="H1077" s="2266">
        <v>1792083</v>
      </c>
      <c r="I1077" s="2266">
        <v>0</v>
      </c>
      <c r="J1077" s="2266">
        <v>0</v>
      </c>
      <c r="K1077" s="2266">
        <v>0</v>
      </c>
      <c r="L1077" s="2266">
        <v>0</v>
      </c>
      <c r="M1077" s="2266">
        <v>599</v>
      </c>
    </row>
    <row r="1078" spans="1:13" ht="15">
      <c r="A1078" s="2266" t="s">
        <v>4171</v>
      </c>
      <c r="B1078" s="2465" t="str">
        <f>CONCATENATE(LEFT(RIGHT(CONCATENATE("000",IFAData_TEA_1617!A1078),6),3),"-",(RIGHT(RIGHT(CONCATENATE("000",IFAData_TEA_1617!A1078),6),3)))</f>
        <v>101-910</v>
      </c>
      <c r="C1078" s="2266" t="s">
        <v>1670</v>
      </c>
      <c r="D1078" s="2266">
        <v>6</v>
      </c>
      <c r="E1078" s="2266">
        <v>1834</v>
      </c>
      <c r="F1078" s="2266" t="s">
        <v>5521</v>
      </c>
      <c r="G1078" s="2266" t="s">
        <v>5520</v>
      </c>
      <c r="H1078" s="2266">
        <v>608673</v>
      </c>
      <c r="I1078" s="2266">
        <v>228155</v>
      </c>
      <c r="J1078" s="2266">
        <v>0.10933545721729988</v>
      </c>
      <c r="K1078" s="2266">
        <v>66549.540750825574</v>
      </c>
      <c r="L1078" s="2266">
        <v>66549.540750825574</v>
      </c>
      <c r="M1078" s="2266">
        <v>599</v>
      </c>
    </row>
    <row r="1079" spans="1:13" ht="15">
      <c r="A1079" s="2266" t="s">
        <v>4171</v>
      </c>
      <c r="B1079" s="2465" t="str">
        <f>CONCATENATE(LEFT(RIGHT(CONCATENATE("000",IFAData_TEA_1617!A1079),6),3),"-",(RIGHT(RIGHT(CONCATENATE("000",IFAData_TEA_1617!A1079),6),3)))</f>
        <v>101-910</v>
      </c>
      <c r="C1079" s="2266" t="s">
        <v>1670</v>
      </c>
      <c r="D1079" s="2266">
        <v>6</v>
      </c>
      <c r="E1079" s="2266">
        <v>1838</v>
      </c>
      <c r="F1079" s="2266" t="s">
        <v>5518</v>
      </c>
      <c r="G1079" s="2266" t="s">
        <v>5520</v>
      </c>
      <c r="H1079" s="2266">
        <v>907274</v>
      </c>
      <c r="I1079" s="2266">
        <v>86345</v>
      </c>
      <c r="J1079" s="2266">
        <v>7.874328112660027E-2</v>
      </c>
      <c r="K1079" s="2266">
        <v>71441.731640855127</v>
      </c>
      <c r="L1079" s="2266">
        <v>71441.731640855127</v>
      </c>
      <c r="M1079" s="2266">
        <v>599</v>
      </c>
    </row>
    <row r="1080" spans="1:13" ht="15">
      <c r="A1080" s="2266" t="s">
        <v>4171</v>
      </c>
      <c r="B1080" s="2465" t="str">
        <f>CONCATENATE(LEFT(RIGHT(CONCATENATE("000",IFAData_TEA_1617!A1080),6),3),"-",(RIGHT(RIGHT(CONCATENATE("000",IFAData_TEA_1617!A1080),6),3)))</f>
        <v>101-910</v>
      </c>
      <c r="C1080" s="2266" t="s">
        <v>1670</v>
      </c>
      <c r="D1080" s="2266">
        <v>9</v>
      </c>
      <c r="E1080" s="2266">
        <v>1836</v>
      </c>
      <c r="F1080" s="2266" t="s">
        <v>5523</v>
      </c>
      <c r="G1080" s="2266" t="s">
        <v>5523</v>
      </c>
      <c r="H1080" s="2266">
        <v>792979</v>
      </c>
      <c r="I1080" s="2266">
        <v>699409</v>
      </c>
      <c r="J1080" s="2266">
        <v>1</v>
      </c>
      <c r="K1080" s="2266">
        <v>792979</v>
      </c>
      <c r="L1080" s="2266">
        <v>699409</v>
      </c>
      <c r="M1080" s="2266">
        <v>599</v>
      </c>
    </row>
    <row r="1081" spans="1:13" ht="15">
      <c r="A1081" s="2266" t="s">
        <v>4171</v>
      </c>
      <c r="B1081" s="2465" t="str">
        <f>CONCATENATE(LEFT(RIGHT(CONCATENATE("000",IFAData_TEA_1617!A1081),6),3),"-",(RIGHT(RIGHT(CONCATENATE("000",IFAData_TEA_1617!A1081),6),3)))</f>
        <v>101-910</v>
      </c>
      <c r="C1081" s="2266" t="s">
        <v>1670</v>
      </c>
      <c r="D1081" s="2266">
        <v>2</v>
      </c>
      <c r="E1081" s="2266">
        <v>1839</v>
      </c>
      <c r="F1081" s="2266" t="s">
        <v>5517</v>
      </c>
      <c r="G1081" s="2266" t="s">
        <v>5515</v>
      </c>
      <c r="H1081" s="2266">
        <v>1792083</v>
      </c>
      <c r="I1081" s="2266">
        <v>0</v>
      </c>
      <c r="J1081" s="2266">
        <v>0</v>
      </c>
      <c r="K1081" s="2266">
        <v>0</v>
      </c>
      <c r="L1081" s="2266">
        <v>0</v>
      </c>
      <c r="M1081" s="2266">
        <v>599</v>
      </c>
    </row>
    <row r="1082" spans="1:13" ht="15">
      <c r="A1082" s="2266" t="s">
        <v>4171</v>
      </c>
      <c r="B1082" s="2465" t="str">
        <f>CONCATENATE(LEFT(RIGHT(CONCATENATE("000",IFAData_TEA_1617!A1082),6),3),"-",(RIGHT(RIGHT(CONCATENATE("000",IFAData_TEA_1617!A1082),6),3)))</f>
        <v>101-910</v>
      </c>
      <c r="C1082" s="2266" t="s">
        <v>1670</v>
      </c>
      <c r="D1082" s="2266">
        <v>1</v>
      </c>
      <c r="E1082" s="2266">
        <v>1837</v>
      </c>
      <c r="F1082" s="2266" t="s">
        <v>5514</v>
      </c>
      <c r="G1082" s="2266" t="s">
        <v>5515</v>
      </c>
      <c r="H1082" s="2266">
        <v>827390</v>
      </c>
      <c r="I1082" s="2266">
        <v>0</v>
      </c>
      <c r="J1082" s="2266">
        <v>0</v>
      </c>
      <c r="K1082" s="2266">
        <v>0</v>
      </c>
      <c r="L1082" s="2266">
        <v>0</v>
      </c>
      <c r="M1082" s="2266">
        <v>599</v>
      </c>
    </row>
    <row r="1083" spans="1:13" ht="15">
      <c r="A1083" s="2266" t="s">
        <v>4171</v>
      </c>
      <c r="B1083" s="2465" t="str">
        <f>CONCATENATE(LEFT(RIGHT(CONCATENATE("000",IFAData_TEA_1617!A1083),6),3),"-",(RIGHT(RIGHT(CONCATENATE("000",IFAData_TEA_1617!A1083),6),3)))</f>
        <v>101-910</v>
      </c>
      <c r="C1083" s="2266" t="s">
        <v>1670</v>
      </c>
      <c r="D1083" s="2266">
        <v>10</v>
      </c>
      <c r="E1083" s="2266">
        <v>1835</v>
      </c>
      <c r="F1083" s="2266" t="s">
        <v>5524</v>
      </c>
      <c r="G1083" s="2266" t="s">
        <v>5524</v>
      </c>
      <c r="H1083" s="2266">
        <v>663147</v>
      </c>
      <c r="I1083" s="2266">
        <v>650456</v>
      </c>
      <c r="J1083" s="2266">
        <v>1</v>
      </c>
      <c r="K1083" s="2266">
        <v>663147</v>
      </c>
      <c r="L1083" s="2266">
        <v>650456</v>
      </c>
      <c r="M1083" s="2266">
        <v>599</v>
      </c>
    </row>
    <row r="1084" spans="1:13" ht="15">
      <c r="A1084" s="2266" t="s">
        <v>4171</v>
      </c>
      <c r="B1084" s="2465" t="str">
        <f>CONCATENATE(LEFT(RIGHT(CONCATENATE("000",IFAData_TEA_1617!A1084),6),3),"-",(RIGHT(RIGHT(CONCATENATE("000",IFAData_TEA_1617!A1084),6),3)))</f>
        <v>101-910</v>
      </c>
      <c r="C1084" s="2266" t="s">
        <v>1670</v>
      </c>
      <c r="D1084" s="2266">
        <v>6</v>
      </c>
      <c r="E1084" s="2266">
        <v>1834</v>
      </c>
      <c r="F1084" s="2266" t="s">
        <v>5521</v>
      </c>
      <c r="G1084" s="2266" t="s">
        <v>5521</v>
      </c>
      <c r="H1084" s="2266">
        <v>608673</v>
      </c>
      <c r="I1084" s="2266">
        <v>0</v>
      </c>
      <c r="J1084" s="2266">
        <v>0</v>
      </c>
      <c r="K1084" s="2266">
        <v>0</v>
      </c>
      <c r="L1084" s="2266">
        <v>0</v>
      </c>
      <c r="M1084" s="2266">
        <v>599</v>
      </c>
    </row>
    <row r="1085" spans="1:13" ht="15">
      <c r="A1085" s="2266" t="s">
        <v>4171</v>
      </c>
      <c r="B1085" s="2465" t="str">
        <f>CONCATENATE(LEFT(RIGHT(CONCATENATE("000",IFAData_TEA_1617!A1085),6),3),"-",(RIGHT(RIGHT(CONCATENATE("000",IFAData_TEA_1617!A1085),6),3)))</f>
        <v>101-910</v>
      </c>
      <c r="C1085" s="2266" t="s">
        <v>1670</v>
      </c>
      <c r="D1085" s="2266">
        <v>1</v>
      </c>
      <c r="E1085" s="2266">
        <v>1837</v>
      </c>
      <c r="F1085" s="2266" t="s">
        <v>5514</v>
      </c>
      <c r="G1085" s="2266" t="s">
        <v>5514</v>
      </c>
      <c r="H1085" s="2266">
        <v>827390</v>
      </c>
      <c r="I1085" s="2266">
        <v>0</v>
      </c>
      <c r="J1085" s="2266">
        <v>0</v>
      </c>
      <c r="K1085" s="2266">
        <v>0</v>
      </c>
      <c r="L1085" s="2266">
        <v>0</v>
      </c>
      <c r="M1085" s="2266">
        <v>599</v>
      </c>
    </row>
    <row r="1086" spans="1:13" ht="15">
      <c r="A1086" s="2266" t="s">
        <v>4172</v>
      </c>
      <c r="B1086" s="2465" t="str">
        <f>CONCATENATE(LEFT(RIGHT(CONCATENATE("000",IFAData_TEA_1617!A1086),6),3),"-",(RIGHT(RIGHT(CONCATENATE("000",IFAData_TEA_1617!A1086),6),3)))</f>
        <v>101-913</v>
      </c>
      <c r="C1086" s="2266" t="s">
        <v>2736</v>
      </c>
      <c r="D1086" s="2266">
        <v>1</v>
      </c>
      <c r="E1086" s="2266">
        <v>1914</v>
      </c>
      <c r="F1086" s="2266" t="s">
        <v>5525</v>
      </c>
      <c r="G1086" s="2266" t="s">
        <v>6979</v>
      </c>
      <c r="H1086" s="2266">
        <v>1259509</v>
      </c>
      <c r="I1086" s="2266">
        <v>88556</v>
      </c>
      <c r="J1086" s="2266">
        <v>6.616903155425044E-2</v>
      </c>
      <c r="K1086" s="2266">
        <v>83340.490763862414</v>
      </c>
      <c r="L1086" s="2266">
        <v>83340.490763862414</v>
      </c>
      <c r="M1086" s="2266">
        <v>599</v>
      </c>
    </row>
    <row r="1087" spans="1:13" ht="15">
      <c r="A1087" s="2266" t="s">
        <v>4172</v>
      </c>
      <c r="B1087" s="2465" t="str">
        <f>CONCATENATE(LEFT(RIGHT(CONCATENATE("000",IFAData_TEA_1617!A1087),6),3),"-",(RIGHT(RIGHT(CONCATENATE("000",IFAData_TEA_1617!A1087),6),3)))</f>
        <v>101-913</v>
      </c>
      <c r="C1087" s="2266" t="s">
        <v>2736</v>
      </c>
      <c r="D1087" s="2266">
        <v>1</v>
      </c>
      <c r="E1087" s="2266">
        <v>1915</v>
      </c>
      <c r="F1087" s="2266" t="s">
        <v>5528</v>
      </c>
      <c r="G1087" s="2266" t="s">
        <v>6979</v>
      </c>
      <c r="H1087" s="2266">
        <v>1479767</v>
      </c>
      <c r="I1087" s="2266">
        <v>0</v>
      </c>
      <c r="J1087" s="2266">
        <v>0</v>
      </c>
      <c r="K1087" s="2266">
        <v>0</v>
      </c>
      <c r="L1087" s="2266">
        <v>0</v>
      </c>
      <c r="M1087" s="2266">
        <v>599</v>
      </c>
    </row>
    <row r="1088" spans="1:13" ht="15">
      <c r="A1088" s="2266" t="s">
        <v>4172</v>
      </c>
      <c r="B1088" s="2465" t="str">
        <f>CONCATENATE(LEFT(RIGHT(CONCATENATE("000",IFAData_TEA_1617!A1088),6),3),"-",(RIGHT(RIGHT(CONCATENATE("000",IFAData_TEA_1617!A1088),6),3)))</f>
        <v>101-913</v>
      </c>
      <c r="C1088" s="2266" t="s">
        <v>2736</v>
      </c>
      <c r="D1088" s="2266">
        <v>1</v>
      </c>
      <c r="E1088" s="2266">
        <v>1914</v>
      </c>
      <c r="F1088" s="2266" t="s">
        <v>5525</v>
      </c>
      <c r="G1088" s="2266" t="s">
        <v>5527</v>
      </c>
      <c r="H1088" s="2266">
        <v>1259509</v>
      </c>
      <c r="I1088" s="2266">
        <v>1249774</v>
      </c>
      <c r="J1088" s="2266">
        <v>0.93383096844574953</v>
      </c>
      <c r="K1088" s="2266">
        <v>1176168.5092361376</v>
      </c>
      <c r="L1088" s="2266">
        <v>1176168.5092361376</v>
      </c>
      <c r="M1088" s="2266">
        <v>599</v>
      </c>
    </row>
    <row r="1089" spans="1:13" ht="15">
      <c r="A1089" s="2266" t="s">
        <v>4172</v>
      </c>
      <c r="B1089" s="2465" t="str">
        <f>CONCATENATE(LEFT(RIGHT(CONCATENATE("000",IFAData_TEA_1617!A1089),6),3),"-",(RIGHT(RIGHT(CONCATENATE("000",IFAData_TEA_1617!A1089),6),3)))</f>
        <v>101-913</v>
      </c>
      <c r="C1089" s="2266" t="s">
        <v>2736</v>
      </c>
      <c r="D1089" s="2266">
        <v>1</v>
      </c>
      <c r="E1089" s="2266">
        <v>1915</v>
      </c>
      <c r="F1089" s="2266" t="s">
        <v>5528</v>
      </c>
      <c r="G1089" s="2266" t="s">
        <v>5528</v>
      </c>
      <c r="H1089" s="2266">
        <v>1479767</v>
      </c>
      <c r="I1089" s="2266">
        <v>0</v>
      </c>
      <c r="J1089" s="2266">
        <v>0</v>
      </c>
      <c r="K1089" s="2266">
        <v>0</v>
      </c>
      <c r="L1089" s="2266">
        <v>0</v>
      </c>
      <c r="M1089" s="2266">
        <v>599</v>
      </c>
    </row>
    <row r="1090" spans="1:13" ht="15">
      <c r="A1090" s="2266" t="s">
        <v>4172</v>
      </c>
      <c r="B1090" s="2465" t="str">
        <f>CONCATENATE(LEFT(RIGHT(CONCATENATE("000",IFAData_TEA_1617!A1090),6),3),"-",(RIGHT(RIGHT(CONCATENATE("000",IFAData_TEA_1617!A1090),6),3)))</f>
        <v>101-913</v>
      </c>
      <c r="C1090" s="2266" t="s">
        <v>2736</v>
      </c>
      <c r="D1090" s="2266">
        <v>1</v>
      </c>
      <c r="E1090" s="2266">
        <v>1915</v>
      </c>
      <c r="F1090" s="2266" t="s">
        <v>5528</v>
      </c>
      <c r="G1090" s="2266" t="s">
        <v>5527</v>
      </c>
      <c r="H1090" s="2266">
        <v>1479767</v>
      </c>
      <c r="I1090" s="2266">
        <v>820898</v>
      </c>
      <c r="J1090" s="2266">
        <v>1</v>
      </c>
      <c r="K1090" s="2266">
        <v>1479767</v>
      </c>
      <c r="L1090" s="2266">
        <v>820898</v>
      </c>
      <c r="M1090" s="2266">
        <v>599</v>
      </c>
    </row>
    <row r="1091" spans="1:13" ht="15">
      <c r="A1091" s="2266" t="s">
        <v>4172</v>
      </c>
      <c r="B1091" s="2465" t="str">
        <f>CONCATENATE(LEFT(RIGHT(CONCATENATE("000",IFAData_TEA_1617!A1091),6),3),"-",(RIGHT(RIGHT(CONCATENATE("000",IFAData_TEA_1617!A1091),6),3)))</f>
        <v>101-913</v>
      </c>
      <c r="C1091" s="2266" t="s">
        <v>2736</v>
      </c>
      <c r="D1091" s="2266">
        <v>1</v>
      </c>
      <c r="E1091" s="2266">
        <v>1914</v>
      </c>
      <c r="F1091" s="2266" t="s">
        <v>5525</v>
      </c>
      <c r="G1091" s="2266" t="s">
        <v>5526</v>
      </c>
      <c r="H1091" s="2266">
        <v>1259509</v>
      </c>
      <c r="I1091" s="2266">
        <v>0</v>
      </c>
      <c r="J1091" s="2266">
        <v>0</v>
      </c>
      <c r="K1091" s="2266">
        <v>0</v>
      </c>
      <c r="L1091" s="2266">
        <v>0</v>
      </c>
      <c r="M1091" s="2266">
        <v>599</v>
      </c>
    </row>
    <row r="1092" spans="1:13" ht="15">
      <c r="A1092" s="2266" t="s">
        <v>4172</v>
      </c>
      <c r="B1092" s="2465" t="str">
        <f>CONCATENATE(LEFT(RIGHT(CONCATENATE("000",IFAData_TEA_1617!A1092),6),3),"-",(RIGHT(RIGHT(CONCATENATE("000",IFAData_TEA_1617!A1092),6),3)))</f>
        <v>101-913</v>
      </c>
      <c r="C1092" s="2266" t="s">
        <v>2736</v>
      </c>
      <c r="D1092" s="2266">
        <v>1</v>
      </c>
      <c r="E1092" s="2266">
        <v>1915</v>
      </c>
      <c r="F1092" s="2266" t="s">
        <v>5528</v>
      </c>
      <c r="G1092" s="2266" t="s">
        <v>5526</v>
      </c>
      <c r="H1092" s="2266">
        <v>1479767</v>
      </c>
      <c r="I1092" s="2266">
        <v>0</v>
      </c>
      <c r="J1092" s="2266">
        <v>0</v>
      </c>
      <c r="K1092" s="2266">
        <v>0</v>
      </c>
      <c r="L1092" s="2266">
        <v>0</v>
      </c>
      <c r="M1092" s="2266">
        <v>599</v>
      </c>
    </row>
    <row r="1093" spans="1:13" ht="15">
      <c r="A1093" s="2266" t="s">
        <v>4172</v>
      </c>
      <c r="B1093" s="2465" t="str">
        <f>CONCATENATE(LEFT(RIGHT(CONCATENATE("000",IFAData_TEA_1617!A1093),6),3),"-",(RIGHT(RIGHT(CONCATENATE("000",IFAData_TEA_1617!A1093),6),3)))</f>
        <v>101-913</v>
      </c>
      <c r="C1093" s="2266" t="s">
        <v>2736</v>
      </c>
      <c r="D1093" s="2266">
        <v>1</v>
      </c>
      <c r="E1093" s="2266">
        <v>1914</v>
      </c>
      <c r="F1093" s="2266" t="s">
        <v>5525</v>
      </c>
      <c r="G1093" s="2266" t="s">
        <v>5525</v>
      </c>
      <c r="H1093" s="2266">
        <v>1259509</v>
      </c>
      <c r="I1093" s="2266">
        <v>0</v>
      </c>
      <c r="J1093" s="2266">
        <v>0</v>
      </c>
      <c r="K1093" s="2266">
        <v>0</v>
      </c>
      <c r="L1093" s="2266">
        <v>0</v>
      </c>
      <c r="M1093" s="2266">
        <v>599</v>
      </c>
    </row>
    <row r="1094" spans="1:13" ht="15">
      <c r="A1094" s="2266" t="s">
        <v>4173</v>
      </c>
      <c r="B1094" s="2465" t="str">
        <f>CONCATENATE(LEFT(RIGHT(CONCATENATE("000",IFAData_TEA_1617!A1094),6),3),"-",(RIGHT(RIGHT(CONCATENATE("000",IFAData_TEA_1617!A1094),6),3)))</f>
        <v>101-914</v>
      </c>
      <c r="C1094" s="2266" t="s">
        <v>450</v>
      </c>
      <c r="D1094" s="2266">
        <v>9</v>
      </c>
      <c r="E1094" s="2266">
        <v>1946</v>
      </c>
      <c r="F1094" s="2266" t="s">
        <v>5535</v>
      </c>
      <c r="G1094" s="2266" t="s">
        <v>6982</v>
      </c>
      <c r="H1094" s="2266">
        <v>5902797</v>
      </c>
      <c r="I1094" s="2266">
        <v>585202</v>
      </c>
      <c r="J1094" s="2266">
        <v>9.9275521881763459E-2</v>
      </c>
      <c r="K1094" s="2266">
        <v>586003.25273710769</v>
      </c>
      <c r="L1094" s="2266">
        <v>585202</v>
      </c>
      <c r="M1094" s="2266">
        <v>599</v>
      </c>
    </row>
    <row r="1095" spans="1:13" ht="15">
      <c r="A1095" s="2266" t="s">
        <v>4173</v>
      </c>
      <c r="B1095" s="2465" t="str">
        <f>CONCATENATE(LEFT(RIGHT(CONCATENATE("000",IFAData_TEA_1617!A1095),6),3),"-",(RIGHT(RIGHT(CONCATENATE("000",IFAData_TEA_1617!A1095),6),3)))</f>
        <v>101-914</v>
      </c>
      <c r="C1095" s="2266" t="s">
        <v>450</v>
      </c>
      <c r="D1095" s="2266">
        <v>2</v>
      </c>
      <c r="E1095" s="2266">
        <v>1944</v>
      </c>
      <c r="F1095" s="2266" t="s">
        <v>5533</v>
      </c>
      <c r="G1095" s="2266" t="s">
        <v>6980</v>
      </c>
      <c r="H1095" s="2266">
        <v>1987951</v>
      </c>
      <c r="I1095" s="2266">
        <v>356644</v>
      </c>
      <c r="J1095" s="2266">
        <v>0.22439825461592428</v>
      </c>
      <c r="K1095" s="2266">
        <v>446092.73466198129</v>
      </c>
      <c r="L1095" s="2266">
        <v>356644</v>
      </c>
      <c r="M1095" s="2266">
        <v>599</v>
      </c>
    </row>
    <row r="1096" spans="1:13" ht="15">
      <c r="A1096" s="2266" t="s">
        <v>4173</v>
      </c>
      <c r="B1096" s="2465" t="str">
        <f>CONCATENATE(LEFT(RIGHT(CONCATENATE("000",IFAData_TEA_1617!A1096),6),3),"-",(RIGHT(RIGHT(CONCATENATE("000",IFAData_TEA_1617!A1096),6),3)))</f>
        <v>101-914</v>
      </c>
      <c r="C1096" s="2266" t="s">
        <v>450</v>
      </c>
      <c r="D1096" s="2266">
        <v>9</v>
      </c>
      <c r="E1096" s="2266">
        <v>1945</v>
      </c>
      <c r="F1096" s="2266" t="s">
        <v>5534</v>
      </c>
      <c r="G1096" s="2266" t="s">
        <v>6981</v>
      </c>
      <c r="H1096" s="2266">
        <v>5681065</v>
      </c>
      <c r="I1096" s="2266">
        <v>1813184</v>
      </c>
      <c r="J1096" s="2266">
        <v>1</v>
      </c>
      <c r="K1096" s="2266">
        <v>5681065</v>
      </c>
      <c r="L1096" s="2266">
        <v>1813184</v>
      </c>
      <c r="M1096" s="2266">
        <v>599</v>
      </c>
    </row>
    <row r="1097" spans="1:13" ht="15">
      <c r="A1097" s="2266" t="s">
        <v>4173</v>
      </c>
      <c r="B1097" s="2465" t="str">
        <f>CONCATENATE(LEFT(RIGHT(CONCATENATE("000",IFAData_TEA_1617!A1097),6),3),"-",(RIGHT(RIGHT(CONCATENATE("000",IFAData_TEA_1617!A1097),6),3)))</f>
        <v>101-914</v>
      </c>
      <c r="C1097" s="2266" t="s">
        <v>450</v>
      </c>
      <c r="D1097" s="2266">
        <v>9</v>
      </c>
      <c r="E1097" s="2266">
        <v>1946</v>
      </c>
      <c r="F1097" s="2266" t="s">
        <v>5535</v>
      </c>
      <c r="G1097" s="2266" t="s">
        <v>6981</v>
      </c>
      <c r="H1097" s="2266">
        <v>5902797</v>
      </c>
      <c r="I1097" s="2266">
        <v>692364</v>
      </c>
      <c r="J1097" s="2266">
        <v>0.11745482317583548</v>
      </c>
      <c r="K1097" s="2266">
        <v>693311.97787785216</v>
      </c>
      <c r="L1097" s="2266">
        <v>692364</v>
      </c>
      <c r="M1097" s="2266">
        <v>599</v>
      </c>
    </row>
    <row r="1098" spans="1:13" ht="15">
      <c r="A1098" s="2266" t="s">
        <v>4173</v>
      </c>
      <c r="B1098" s="2465" t="str">
        <f>CONCATENATE(LEFT(RIGHT(CONCATENATE("000",IFAData_TEA_1617!A1098),6),3),"-",(RIGHT(RIGHT(CONCATENATE("000",IFAData_TEA_1617!A1098),6),3)))</f>
        <v>101-914</v>
      </c>
      <c r="C1098" s="2266" t="s">
        <v>450</v>
      </c>
      <c r="D1098" s="2266">
        <v>1</v>
      </c>
      <c r="E1098" s="2266">
        <v>1943</v>
      </c>
      <c r="F1098" s="2266" t="s">
        <v>5531</v>
      </c>
      <c r="G1098" s="2266" t="s">
        <v>5531</v>
      </c>
      <c r="H1098" s="2266">
        <v>1506643</v>
      </c>
      <c r="I1098" s="2266">
        <v>0</v>
      </c>
      <c r="J1098" s="2266">
        <v>0</v>
      </c>
      <c r="K1098" s="2266"/>
      <c r="L1098" s="2266">
        <v>0</v>
      </c>
      <c r="M1098" s="2266">
        <v>599</v>
      </c>
    </row>
    <row r="1099" spans="1:13" ht="15">
      <c r="A1099" s="2266" t="s">
        <v>4173</v>
      </c>
      <c r="B1099" s="2465" t="str">
        <f>CONCATENATE(LEFT(RIGHT(CONCATENATE("000",IFAData_TEA_1617!A1099),6),3),"-",(RIGHT(RIGHT(CONCATENATE("000",IFAData_TEA_1617!A1099),6),3)))</f>
        <v>101-914</v>
      </c>
      <c r="C1099" s="2266" t="s">
        <v>450</v>
      </c>
      <c r="D1099" s="2266">
        <v>1</v>
      </c>
      <c r="E1099" s="2266">
        <v>1942</v>
      </c>
      <c r="F1099" s="2266" t="s">
        <v>5529</v>
      </c>
      <c r="G1099" s="2266" t="s">
        <v>5529</v>
      </c>
      <c r="H1099" s="2266">
        <v>1428934</v>
      </c>
      <c r="I1099" s="2266">
        <v>3047622</v>
      </c>
      <c r="J1099" s="2266">
        <v>0.58383048731754472</v>
      </c>
      <c r="K1099" s="2266">
        <v>834255.2335646085</v>
      </c>
      <c r="L1099" s="2266">
        <v>834255.2335646085</v>
      </c>
      <c r="M1099" s="2266">
        <v>599</v>
      </c>
    </row>
    <row r="1100" spans="1:13" ht="15">
      <c r="A1100" s="2266" t="s">
        <v>4173</v>
      </c>
      <c r="B1100" s="2465" t="str">
        <f>CONCATENATE(LEFT(RIGHT(CONCATENATE("000",IFAData_TEA_1617!A1100),6),3),"-",(RIGHT(RIGHT(CONCATENATE("000",IFAData_TEA_1617!A1100),6),3)))</f>
        <v>101-914</v>
      </c>
      <c r="C1100" s="2266" t="s">
        <v>450</v>
      </c>
      <c r="D1100" s="2266">
        <v>2</v>
      </c>
      <c r="E1100" s="2266">
        <v>1944</v>
      </c>
      <c r="F1100" s="2266" t="s">
        <v>5533</v>
      </c>
      <c r="G1100" s="2266" t="s">
        <v>5532</v>
      </c>
      <c r="H1100" s="2266">
        <v>1987951</v>
      </c>
      <c r="I1100" s="2266">
        <v>261179</v>
      </c>
      <c r="J1100" s="2266">
        <v>0.16433225216835973</v>
      </c>
      <c r="K1100" s="2266">
        <v>326684.46503034286</v>
      </c>
      <c r="L1100" s="2266">
        <v>261179</v>
      </c>
      <c r="M1100" s="2266">
        <v>599</v>
      </c>
    </row>
    <row r="1101" spans="1:13" ht="15">
      <c r="A1101" s="2266" t="s">
        <v>4173</v>
      </c>
      <c r="B1101" s="2465" t="str">
        <f>CONCATENATE(LEFT(RIGHT(CONCATENATE("000",IFAData_TEA_1617!A1101),6),3),"-",(RIGHT(RIGHT(CONCATENATE("000",IFAData_TEA_1617!A1101),6),3)))</f>
        <v>101-914</v>
      </c>
      <c r="C1101" s="2266" t="s">
        <v>450</v>
      </c>
      <c r="D1101" s="2266">
        <v>9</v>
      </c>
      <c r="E1101" s="2266">
        <v>1941</v>
      </c>
      <c r="F1101" s="2266" t="s">
        <v>5536</v>
      </c>
      <c r="G1101" s="2266" t="s">
        <v>7207</v>
      </c>
      <c r="H1101" s="2266">
        <v>212152</v>
      </c>
      <c r="I1101" s="2266">
        <v>138536</v>
      </c>
      <c r="J1101" s="2266">
        <v>0.21708288217421348</v>
      </c>
      <c r="K1101" s="2266">
        <v>46054.567619023735</v>
      </c>
      <c r="L1101" s="2266">
        <v>46054.567619023735</v>
      </c>
      <c r="M1101" s="2266">
        <v>599</v>
      </c>
    </row>
    <row r="1102" spans="1:13" ht="15">
      <c r="A1102" s="2266" t="s">
        <v>4173</v>
      </c>
      <c r="B1102" s="2465" t="str">
        <f>CONCATENATE(LEFT(RIGHT(CONCATENATE("000",IFAData_TEA_1617!A1102),6),3),"-",(RIGHT(RIGHT(CONCATENATE("000",IFAData_TEA_1617!A1102),6),3)))</f>
        <v>101-914</v>
      </c>
      <c r="C1102" s="2266" t="s">
        <v>450</v>
      </c>
      <c r="D1102" s="2266">
        <v>9</v>
      </c>
      <c r="E1102" s="2266">
        <v>1946</v>
      </c>
      <c r="F1102" s="2266" t="s">
        <v>5535</v>
      </c>
      <c r="G1102" s="2266" t="s">
        <v>7207</v>
      </c>
      <c r="H1102" s="2266">
        <v>5902797</v>
      </c>
      <c r="I1102" s="2266">
        <v>560357</v>
      </c>
      <c r="J1102" s="2266">
        <v>9.5060737343856186E-2</v>
      </c>
      <c r="K1102" s="2266">
        <v>561124.23521110229</v>
      </c>
      <c r="L1102" s="2266">
        <v>560357</v>
      </c>
      <c r="M1102" s="2266">
        <v>599</v>
      </c>
    </row>
    <row r="1103" spans="1:13" ht="15">
      <c r="A1103" s="2266" t="s">
        <v>4173</v>
      </c>
      <c r="B1103" s="2465" t="str">
        <f>CONCATENATE(LEFT(RIGHT(CONCATENATE("000",IFAData_TEA_1617!A1103),6),3),"-",(RIGHT(RIGHT(CONCATENATE("000",IFAData_TEA_1617!A1103),6),3)))</f>
        <v>101-914</v>
      </c>
      <c r="C1103" s="2266" t="s">
        <v>450</v>
      </c>
      <c r="D1103" s="2266">
        <v>9</v>
      </c>
      <c r="E1103" s="2266">
        <v>1941</v>
      </c>
      <c r="F1103" s="2266" t="s">
        <v>5536</v>
      </c>
      <c r="G1103" s="2266" t="s">
        <v>5536</v>
      </c>
      <c r="H1103" s="2266">
        <v>212152</v>
      </c>
      <c r="I1103" s="2266">
        <v>282466</v>
      </c>
      <c r="J1103" s="2266">
        <v>0.44261804437995461</v>
      </c>
      <c r="K1103" s="2266">
        <v>93902.303351296126</v>
      </c>
      <c r="L1103" s="2266">
        <v>93902.303351296126</v>
      </c>
      <c r="M1103" s="2266">
        <v>599</v>
      </c>
    </row>
    <row r="1104" spans="1:13" ht="15">
      <c r="A1104" s="2266" t="s">
        <v>4173</v>
      </c>
      <c r="B1104" s="2465" t="str">
        <f>CONCATENATE(LEFT(RIGHT(CONCATENATE("000",IFAData_TEA_1617!A1104),6),3),"-",(RIGHT(RIGHT(CONCATENATE("000",IFAData_TEA_1617!A1104),6),3)))</f>
        <v>101-914</v>
      </c>
      <c r="C1104" s="2266" t="s">
        <v>450</v>
      </c>
      <c r="D1104" s="2266">
        <v>9</v>
      </c>
      <c r="E1104" s="2266">
        <v>1946</v>
      </c>
      <c r="F1104" s="2266" t="s">
        <v>5535</v>
      </c>
      <c r="G1104" s="2266" t="s">
        <v>5535</v>
      </c>
      <c r="H1104" s="2266">
        <v>5902797</v>
      </c>
      <c r="I1104" s="2266">
        <v>4056803</v>
      </c>
      <c r="J1104" s="2266">
        <v>0.68820891759854486</v>
      </c>
      <c r="K1104" s="2266">
        <v>4062357.534173938</v>
      </c>
      <c r="L1104" s="2266">
        <v>4056803</v>
      </c>
      <c r="M1104" s="2266">
        <v>599</v>
      </c>
    </row>
    <row r="1105" spans="1:13" ht="15">
      <c r="A1105" s="2266" t="s">
        <v>4173</v>
      </c>
      <c r="B1105" s="2465" t="str">
        <f>CONCATENATE(LEFT(RIGHT(CONCATENATE("000",IFAData_TEA_1617!A1105),6),3),"-",(RIGHT(RIGHT(CONCATENATE("000",IFAData_TEA_1617!A1105),6),3)))</f>
        <v>101-914</v>
      </c>
      <c r="C1105" s="2266" t="s">
        <v>450</v>
      </c>
      <c r="D1105" s="2266">
        <v>9</v>
      </c>
      <c r="E1105" s="2266">
        <v>1941</v>
      </c>
      <c r="F1105" s="2266" t="s">
        <v>5536</v>
      </c>
      <c r="G1105" s="2266" t="s">
        <v>6982</v>
      </c>
      <c r="H1105" s="2266">
        <v>212152</v>
      </c>
      <c r="I1105" s="2266">
        <v>217169</v>
      </c>
      <c r="J1105" s="2266">
        <v>0.34029907344583193</v>
      </c>
      <c r="K1105" s="2266">
        <v>72195.129029680131</v>
      </c>
      <c r="L1105" s="2266">
        <v>72195.129029680131</v>
      </c>
      <c r="M1105" s="2266">
        <v>599</v>
      </c>
    </row>
    <row r="1106" spans="1:13" ht="15">
      <c r="A1106" s="2266" t="s">
        <v>4173</v>
      </c>
      <c r="B1106" s="2465" t="str">
        <f>CONCATENATE(LEFT(RIGHT(CONCATENATE("000",IFAData_TEA_1617!A1106),6),3),"-",(RIGHT(RIGHT(CONCATENATE("000",IFAData_TEA_1617!A1106),6),3)))</f>
        <v>101-914</v>
      </c>
      <c r="C1106" s="2266" t="s">
        <v>450</v>
      </c>
      <c r="D1106" s="2266">
        <v>9</v>
      </c>
      <c r="E1106" s="2266">
        <v>1945</v>
      </c>
      <c r="F1106" s="2266" t="s">
        <v>5534</v>
      </c>
      <c r="G1106" s="2266" t="s">
        <v>5534</v>
      </c>
      <c r="H1106" s="2266">
        <v>5681065</v>
      </c>
      <c r="I1106" s="2266">
        <v>0</v>
      </c>
      <c r="J1106" s="2266">
        <v>0</v>
      </c>
      <c r="K1106" s="2266">
        <v>0</v>
      </c>
      <c r="L1106" s="2266">
        <v>0</v>
      </c>
      <c r="M1106" s="2266">
        <v>599</v>
      </c>
    </row>
    <row r="1107" spans="1:13" ht="15">
      <c r="A1107" s="2266" t="s">
        <v>4173</v>
      </c>
      <c r="B1107" s="2465" t="str">
        <f>CONCATENATE(LEFT(RIGHT(CONCATENATE("000",IFAData_TEA_1617!A1107),6),3),"-",(RIGHT(RIGHT(CONCATENATE("000",IFAData_TEA_1617!A1107),6),3)))</f>
        <v>101-914</v>
      </c>
      <c r="C1107" s="2266" t="s">
        <v>450</v>
      </c>
      <c r="D1107" s="2266">
        <v>2</v>
      </c>
      <c r="E1107" s="2266">
        <v>1944</v>
      </c>
      <c r="F1107" s="2266" t="s">
        <v>5533</v>
      </c>
      <c r="G1107" s="2266" t="s">
        <v>5533</v>
      </c>
      <c r="H1107" s="2266">
        <v>1987951</v>
      </c>
      <c r="I1107" s="2266">
        <v>0</v>
      </c>
      <c r="J1107" s="2266">
        <v>0</v>
      </c>
      <c r="K1107" s="2266">
        <v>0</v>
      </c>
      <c r="L1107" s="2266">
        <v>0</v>
      </c>
      <c r="M1107" s="2266">
        <v>599</v>
      </c>
    </row>
    <row r="1108" spans="1:13" ht="15">
      <c r="A1108" s="2266" t="s">
        <v>4173</v>
      </c>
      <c r="B1108" s="2465" t="str">
        <f>CONCATENATE(LEFT(RIGHT(CONCATENATE("000",IFAData_TEA_1617!A1108),6),3),"-",(RIGHT(RIGHT(CONCATENATE("000",IFAData_TEA_1617!A1108),6),3)))</f>
        <v>101-914</v>
      </c>
      <c r="C1108" s="2266" t="s">
        <v>450</v>
      </c>
      <c r="D1108" s="2266">
        <v>1</v>
      </c>
      <c r="E1108" s="2266">
        <v>1942</v>
      </c>
      <c r="F1108" s="2266" t="s">
        <v>5529</v>
      </c>
      <c r="G1108" s="2266" t="s">
        <v>5530</v>
      </c>
      <c r="H1108" s="2266">
        <v>1428934</v>
      </c>
      <c r="I1108" s="2266">
        <v>2172424</v>
      </c>
      <c r="J1108" s="2266">
        <v>0.41616951268245528</v>
      </c>
      <c r="K1108" s="2266">
        <v>594678.7664353915</v>
      </c>
      <c r="L1108" s="2266">
        <v>594678.7664353915</v>
      </c>
      <c r="M1108" s="2266">
        <v>599</v>
      </c>
    </row>
    <row r="1109" spans="1:13" ht="15">
      <c r="A1109" s="2266" t="s">
        <v>4173</v>
      </c>
      <c r="B1109" s="2465" t="str">
        <f>CONCATENATE(LEFT(RIGHT(CONCATENATE("000",IFAData_TEA_1617!A1109),6),3),"-",(RIGHT(RIGHT(CONCATENATE("000",IFAData_TEA_1617!A1109),6),3)))</f>
        <v>101-914</v>
      </c>
      <c r="C1109" s="2266" t="s">
        <v>450</v>
      </c>
      <c r="D1109" s="2266">
        <v>2</v>
      </c>
      <c r="E1109" s="2266">
        <v>1944</v>
      </c>
      <c r="F1109" s="2266" t="s">
        <v>5533</v>
      </c>
      <c r="G1109" s="2266" t="s">
        <v>5530</v>
      </c>
      <c r="H1109" s="2266">
        <v>1987951</v>
      </c>
      <c r="I1109" s="2266">
        <v>971512</v>
      </c>
      <c r="J1109" s="2266">
        <v>0.611269493215716</v>
      </c>
      <c r="K1109" s="2266">
        <v>1215173.8003076757</v>
      </c>
      <c r="L1109" s="2266">
        <v>971512</v>
      </c>
      <c r="M1109" s="2266">
        <v>599</v>
      </c>
    </row>
    <row r="1110" spans="1:13" ht="15">
      <c r="A1110" s="2266" t="s">
        <v>4174</v>
      </c>
      <c r="B1110" s="2465" t="str">
        <f>CONCATENATE(LEFT(RIGHT(CONCATENATE("000",IFAData_TEA_1617!A1110),6),3),"-",(RIGHT(RIGHT(CONCATENATE("000",IFAData_TEA_1617!A1110),6),3)))</f>
        <v>101-915</v>
      </c>
      <c r="C1110" s="2266" t="s">
        <v>2980</v>
      </c>
      <c r="D1110" s="2266">
        <v>2</v>
      </c>
      <c r="E1110" s="2266">
        <v>1965</v>
      </c>
      <c r="F1110" s="2266" t="s">
        <v>5539</v>
      </c>
      <c r="G1110" s="2266" t="s">
        <v>5538</v>
      </c>
      <c r="H1110" s="2266">
        <v>1172621</v>
      </c>
      <c r="I1110" s="2266">
        <v>0</v>
      </c>
      <c r="J1110" s="2266">
        <v>0</v>
      </c>
      <c r="K1110" s="2266">
        <v>0</v>
      </c>
      <c r="L1110" s="2266">
        <v>0</v>
      </c>
      <c r="M1110" s="2266">
        <v>599</v>
      </c>
    </row>
    <row r="1111" spans="1:13" ht="15">
      <c r="A1111" s="2266" t="s">
        <v>4174</v>
      </c>
      <c r="B1111" s="2465" t="str">
        <f>CONCATENATE(LEFT(RIGHT(CONCATENATE("000",IFAData_TEA_1617!A1111),6),3),"-",(RIGHT(RIGHT(CONCATENATE("000",IFAData_TEA_1617!A1111),6),3)))</f>
        <v>101-915</v>
      </c>
      <c r="C1111" s="2266" t="s">
        <v>2980</v>
      </c>
      <c r="D1111" s="2266">
        <v>6</v>
      </c>
      <c r="E1111" s="2266">
        <v>1966</v>
      </c>
      <c r="F1111" s="2266" t="s">
        <v>5541</v>
      </c>
      <c r="G1111" s="2266" t="s">
        <v>5541</v>
      </c>
      <c r="H1111" s="2266">
        <v>2380705</v>
      </c>
      <c r="I1111" s="2266">
        <v>0</v>
      </c>
      <c r="J1111" s="2266">
        <v>0</v>
      </c>
      <c r="K1111" s="2266">
        <v>0</v>
      </c>
      <c r="L1111" s="2266">
        <v>0</v>
      </c>
      <c r="M1111" s="2266">
        <v>599</v>
      </c>
    </row>
    <row r="1112" spans="1:13" ht="15">
      <c r="A1112" s="2266" t="s">
        <v>4174</v>
      </c>
      <c r="B1112" s="2465" t="str">
        <f>CONCATENATE(LEFT(RIGHT(CONCATENATE("000",IFAData_TEA_1617!A1112),6),3),"-",(RIGHT(RIGHT(CONCATENATE("000",IFAData_TEA_1617!A1112),6),3)))</f>
        <v>101-915</v>
      </c>
      <c r="C1112" s="2266" t="s">
        <v>2980</v>
      </c>
      <c r="D1112" s="2266">
        <v>9</v>
      </c>
      <c r="E1112" s="2266">
        <v>1968</v>
      </c>
      <c r="F1112" s="2266" t="s">
        <v>5542</v>
      </c>
      <c r="G1112" s="2266" t="s">
        <v>6983</v>
      </c>
      <c r="H1112" s="2266">
        <v>8267781</v>
      </c>
      <c r="I1112" s="2266">
        <v>1184778</v>
      </c>
      <c r="J1112" s="2266">
        <v>9.4641360656181631E-2</v>
      </c>
      <c r="K1112" s="2266">
        <v>782474.04344732605</v>
      </c>
      <c r="L1112" s="2266">
        <v>782474.04344732605</v>
      </c>
      <c r="M1112" s="2266">
        <v>599</v>
      </c>
    </row>
    <row r="1113" spans="1:13" ht="15">
      <c r="A1113" s="2266" t="s">
        <v>4174</v>
      </c>
      <c r="B1113" s="2465" t="str">
        <f>CONCATENATE(LEFT(RIGHT(CONCATENATE("000",IFAData_TEA_1617!A1113),6),3),"-",(RIGHT(RIGHT(CONCATENATE("000",IFAData_TEA_1617!A1113),6),3)))</f>
        <v>101-915</v>
      </c>
      <c r="C1113" s="2266" t="s">
        <v>2980</v>
      </c>
      <c r="D1113" s="2266">
        <v>9</v>
      </c>
      <c r="E1113" s="2266">
        <v>1968</v>
      </c>
      <c r="F1113" s="2266" t="s">
        <v>5542</v>
      </c>
      <c r="G1113" s="2266" t="s">
        <v>7208</v>
      </c>
      <c r="H1113" s="2266">
        <v>8267781</v>
      </c>
      <c r="I1113" s="2266">
        <v>2529519</v>
      </c>
      <c r="J1113" s="2266">
        <v>0.20206074046417466</v>
      </c>
      <c r="K1113" s="2266">
        <v>1670593.9508556344</v>
      </c>
      <c r="L1113" s="2266">
        <v>1670593.9508556344</v>
      </c>
      <c r="M1113" s="2266">
        <v>599</v>
      </c>
    </row>
    <row r="1114" spans="1:13" ht="15">
      <c r="A1114" s="2266" t="s">
        <v>4174</v>
      </c>
      <c r="B1114" s="2465" t="str">
        <f>CONCATENATE(LEFT(RIGHT(CONCATENATE("000",IFAData_TEA_1617!A1114),6),3),"-",(RIGHT(RIGHT(CONCATENATE("000",IFAData_TEA_1617!A1114),6),3)))</f>
        <v>101-915</v>
      </c>
      <c r="C1114" s="2266" t="s">
        <v>2980</v>
      </c>
      <c r="D1114" s="2266">
        <v>10</v>
      </c>
      <c r="E1114" s="2266">
        <v>1967</v>
      </c>
      <c r="F1114" s="2266" t="s">
        <v>5545</v>
      </c>
      <c r="G1114" s="2266" t="s">
        <v>5545</v>
      </c>
      <c r="H1114" s="2266">
        <v>3671148</v>
      </c>
      <c r="I1114" s="2266">
        <v>2936917</v>
      </c>
      <c r="J1114" s="2266">
        <v>1</v>
      </c>
      <c r="K1114" s="2266">
        <v>3671148</v>
      </c>
      <c r="L1114" s="2266">
        <v>2936917</v>
      </c>
      <c r="M1114" s="2266">
        <v>599</v>
      </c>
    </row>
    <row r="1115" spans="1:13" ht="15">
      <c r="A1115" s="2266" t="s">
        <v>4174</v>
      </c>
      <c r="B1115" s="2465" t="str">
        <f>CONCATENATE(LEFT(RIGHT(CONCATENATE("000",IFAData_TEA_1617!A1115),6),3),"-",(RIGHT(RIGHT(CONCATENATE("000",IFAData_TEA_1617!A1115),6),3)))</f>
        <v>101-915</v>
      </c>
      <c r="C1115" s="2266" t="s">
        <v>2980</v>
      </c>
      <c r="D1115" s="2266">
        <v>2</v>
      </c>
      <c r="E1115" s="2266">
        <v>1965</v>
      </c>
      <c r="F1115" s="2266" t="s">
        <v>5539</v>
      </c>
      <c r="G1115" s="2266" t="s">
        <v>6983</v>
      </c>
      <c r="H1115" s="2266">
        <v>1172621</v>
      </c>
      <c r="I1115" s="2266">
        <v>123205</v>
      </c>
      <c r="J1115" s="2266">
        <v>8.5817792259716447E-2</v>
      </c>
      <c r="K1115" s="2266">
        <v>100631.74537738095</v>
      </c>
      <c r="L1115" s="2266">
        <v>100631.74537738095</v>
      </c>
      <c r="M1115" s="2266">
        <v>599</v>
      </c>
    </row>
    <row r="1116" spans="1:13" ht="15">
      <c r="A1116" s="2266" t="s">
        <v>4174</v>
      </c>
      <c r="B1116" s="2465" t="str">
        <f>CONCATENATE(LEFT(RIGHT(CONCATENATE("000",IFAData_TEA_1617!A1116),6),3),"-",(RIGHT(RIGHT(CONCATENATE("000",IFAData_TEA_1617!A1116),6),3)))</f>
        <v>101-915</v>
      </c>
      <c r="C1116" s="2266" t="s">
        <v>2980</v>
      </c>
      <c r="D1116" s="2266">
        <v>2</v>
      </c>
      <c r="E1116" s="2266">
        <v>1965</v>
      </c>
      <c r="F1116" s="2266" t="s">
        <v>5539</v>
      </c>
      <c r="G1116" s="2266" t="s">
        <v>5540</v>
      </c>
      <c r="H1116" s="2266">
        <v>1172621</v>
      </c>
      <c r="I1116" s="2266">
        <v>1312453</v>
      </c>
      <c r="J1116" s="2266">
        <v>0.91418220774028358</v>
      </c>
      <c r="K1116" s="2266">
        <v>1071989.2546226191</v>
      </c>
      <c r="L1116" s="2266">
        <v>1071989.2546226191</v>
      </c>
      <c r="M1116" s="2266">
        <v>599</v>
      </c>
    </row>
    <row r="1117" spans="1:13" ht="15">
      <c r="A1117" s="2266" t="s">
        <v>4174</v>
      </c>
      <c r="B1117" s="2465" t="str">
        <f>CONCATENATE(LEFT(RIGHT(CONCATENATE("000",IFAData_TEA_1617!A1117),6),3),"-",(RIGHT(RIGHT(CONCATENATE("000",IFAData_TEA_1617!A1117),6),3)))</f>
        <v>101-915</v>
      </c>
      <c r="C1117" s="2266" t="s">
        <v>2980</v>
      </c>
      <c r="D1117" s="2266">
        <v>1</v>
      </c>
      <c r="E1117" s="2266">
        <v>1963</v>
      </c>
      <c r="F1117" s="2266" t="s">
        <v>5537</v>
      </c>
      <c r="G1117" s="2266" t="s">
        <v>5537</v>
      </c>
      <c r="H1117" s="2266">
        <v>282821</v>
      </c>
      <c r="I1117" s="2266">
        <v>0</v>
      </c>
      <c r="J1117" s="2266">
        <v>0</v>
      </c>
      <c r="K1117" s="2266"/>
      <c r="L1117" s="2266">
        <v>0</v>
      </c>
      <c r="M1117" s="2266">
        <v>599</v>
      </c>
    </row>
    <row r="1118" spans="1:13" ht="15">
      <c r="A1118" s="2266" t="s">
        <v>4174</v>
      </c>
      <c r="B1118" s="2465" t="str">
        <f>CONCATENATE(LEFT(RIGHT(CONCATENATE("000",IFAData_TEA_1617!A1118),6),3),"-",(RIGHT(RIGHT(CONCATENATE("000",IFAData_TEA_1617!A1118),6),3)))</f>
        <v>101-915</v>
      </c>
      <c r="C1118" s="2266" t="s">
        <v>2980</v>
      </c>
      <c r="D1118" s="2266">
        <v>9</v>
      </c>
      <c r="E1118" s="2266">
        <v>1964</v>
      </c>
      <c r="F1118" s="2266" t="s">
        <v>5544</v>
      </c>
      <c r="G1118" s="2266" t="s">
        <v>5544</v>
      </c>
      <c r="H1118" s="2266">
        <v>1083584</v>
      </c>
      <c r="I1118" s="2266">
        <v>400641</v>
      </c>
      <c r="J1118" s="2266">
        <v>0.44661162810400101</v>
      </c>
      <c r="K1118" s="2266">
        <v>483941.21442744584</v>
      </c>
      <c r="L1118" s="2266">
        <v>400641</v>
      </c>
      <c r="M1118" s="2266">
        <v>599</v>
      </c>
    </row>
    <row r="1119" spans="1:13" ht="15">
      <c r="A1119" s="2266" t="s">
        <v>4174</v>
      </c>
      <c r="B1119" s="2465" t="str">
        <f>CONCATENATE(LEFT(RIGHT(CONCATENATE("000",IFAData_TEA_1617!A1119),6),3),"-",(RIGHT(RIGHT(CONCATENATE("000",IFAData_TEA_1617!A1119),6),3)))</f>
        <v>101-915</v>
      </c>
      <c r="C1119" s="2266" t="s">
        <v>2980</v>
      </c>
      <c r="D1119" s="2266">
        <v>6</v>
      </c>
      <c r="E1119" s="2266">
        <v>1966</v>
      </c>
      <c r="F1119" s="2266" t="s">
        <v>5541</v>
      </c>
      <c r="G1119" s="2266" t="s">
        <v>7208</v>
      </c>
      <c r="H1119" s="2266">
        <v>2380705</v>
      </c>
      <c r="I1119" s="2266">
        <v>85819</v>
      </c>
      <c r="J1119" s="2266">
        <v>3.2104696498220418E-2</v>
      </c>
      <c r="K1119" s="2266">
        <v>76431.811476795847</v>
      </c>
      <c r="L1119" s="2266">
        <v>76431.811476795847</v>
      </c>
      <c r="M1119" s="2266">
        <v>599</v>
      </c>
    </row>
    <row r="1120" spans="1:13" ht="15">
      <c r="A1120" s="2266" t="s">
        <v>4174</v>
      </c>
      <c r="B1120" s="2465" t="str">
        <f>CONCATENATE(LEFT(RIGHT(CONCATENATE("000",IFAData_TEA_1617!A1120),6),3),"-",(RIGHT(RIGHT(CONCATENATE("000",IFAData_TEA_1617!A1120),6),3)))</f>
        <v>101-915</v>
      </c>
      <c r="C1120" s="2266" t="s">
        <v>2980</v>
      </c>
      <c r="D1120" s="2266">
        <v>6</v>
      </c>
      <c r="E1120" s="2266">
        <v>1966</v>
      </c>
      <c r="F1120" s="2266" t="s">
        <v>5541</v>
      </c>
      <c r="G1120" s="2266" t="s">
        <v>5542</v>
      </c>
      <c r="H1120" s="2266">
        <v>2380705</v>
      </c>
      <c r="I1120" s="2266">
        <v>2194643</v>
      </c>
      <c r="J1120" s="2266">
        <v>0.8210110515963126</v>
      </c>
      <c r="K1120" s="2266">
        <v>1954585.1155905994</v>
      </c>
      <c r="L1120" s="2266">
        <v>1954585.1155905994</v>
      </c>
      <c r="M1120" s="2266">
        <v>599</v>
      </c>
    </row>
    <row r="1121" spans="1:13" ht="15">
      <c r="A1121" s="2266" t="s">
        <v>4174</v>
      </c>
      <c r="B1121" s="2465" t="str">
        <f>CONCATENATE(LEFT(RIGHT(CONCATENATE("000",IFAData_TEA_1617!A1121),6),3),"-",(RIGHT(RIGHT(CONCATENATE("000",IFAData_TEA_1617!A1121),6),3)))</f>
        <v>101-915</v>
      </c>
      <c r="C1121" s="2266" t="s">
        <v>2980</v>
      </c>
      <c r="D1121" s="2266">
        <v>9</v>
      </c>
      <c r="E1121" s="2266">
        <v>1968</v>
      </c>
      <c r="F1121" s="2266" t="s">
        <v>5542</v>
      </c>
      <c r="G1121" s="2266" t="s">
        <v>5542</v>
      </c>
      <c r="H1121" s="2266">
        <v>8267781</v>
      </c>
      <c r="I1121" s="2266">
        <v>8804310</v>
      </c>
      <c r="J1121" s="2266">
        <v>0.70329789887964367</v>
      </c>
      <c r="K1121" s="2266">
        <v>5814713.005697039</v>
      </c>
      <c r="L1121" s="2266">
        <v>5814713.005697039</v>
      </c>
      <c r="M1121" s="2266">
        <v>599</v>
      </c>
    </row>
    <row r="1122" spans="1:13" ht="15">
      <c r="A1122" s="2266" t="s">
        <v>4174</v>
      </c>
      <c r="B1122" s="2465" t="str">
        <f>CONCATENATE(LEFT(RIGHT(CONCATENATE("000",IFAData_TEA_1617!A1122),6),3),"-",(RIGHT(RIGHT(CONCATENATE("000",IFAData_TEA_1617!A1122),6),3)))</f>
        <v>101-915</v>
      </c>
      <c r="C1122" s="2266" t="s">
        <v>2980</v>
      </c>
      <c r="D1122" s="2266">
        <v>6</v>
      </c>
      <c r="E1122" s="2266">
        <v>1966</v>
      </c>
      <c r="F1122" s="2266" t="s">
        <v>5541</v>
      </c>
      <c r="G1122" s="2266" t="s">
        <v>6983</v>
      </c>
      <c r="H1122" s="2266">
        <v>2380705</v>
      </c>
      <c r="I1122" s="2266">
        <v>192692</v>
      </c>
      <c r="J1122" s="2266">
        <v>7.2085647439787098E-2</v>
      </c>
      <c r="K1122" s="2266">
        <v>171614.66128813833</v>
      </c>
      <c r="L1122" s="2266">
        <v>171614.66128813833</v>
      </c>
      <c r="M1122" s="2266">
        <v>599</v>
      </c>
    </row>
    <row r="1123" spans="1:13" ht="15">
      <c r="A1123" s="2266" t="s">
        <v>4174</v>
      </c>
      <c r="B1123" s="2465" t="str">
        <f>CONCATENATE(LEFT(RIGHT(CONCATENATE("000",IFAData_TEA_1617!A1123),6),3),"-",(RIGHT(RIGHT(CONCATENATE("000",IFAData_TEA_1617!A1123),6),3)))</f>
        <v>101-915</v>
      </c>
      <c r="C1123" s="2266" t="s">
        <v>2980</v>
      </c>
      <c r="D1123" s="2266">
        <v>6</v>
      </c>
      <c r="E1123" s="2266">
        <v>1966</v>
      </c>
      <c r="F1123" s="2266" t="s">
        <v>5541</v>
      </c>
      <c r="G1123" s="2266" t="s">
        <v>5543</v>
      </c>
      <c r="H1123" s="2266">
        <v>2380705</v>
      </c>
      <c r="I1123" s="2266">
        <v>199944</v>
      </c>
      <c r="J1123" s="2266">
        <v>7.4798604465679902E-2</v>
      </c>
      <c r="K1123" s="2266">
        <v>178073.41164446648</v>
      </c>
      <c r="L1123" s="2266">
        <v>178073.41164446648</v>
      </c>
      <c r="M1123" s="2266">
        <v>599</v>
      </c>
    </row>
    <row r="1124" spans="1:13" ht="15">
      <c r="A1124" s="2266" t="s">
        <v>4174</v>
      </c>
      <c r="B1124" s="2465" t="str">
        <f>CONCATENATE(LEFT(RIGHT(CONCATENATE("000",IFAData_TEA_1617!A1124),6),3),"-",(RIGHT(RIGHT(CONCATENATE("000",IFAData_TEA_1617!A1124),6),3)))</f>
        <v>101-915</v>
      </c>
      <c r="C1124" s="2266" t="s">
        <v>2980</v>
      </c>
      <c r="D1124" s="2266">
        <v>9</v>
      </c>
      <c r="E1124" s="2266">
        <v>1964</v>
      </c>
      <c r="F1124" s="2266" t="s">
        <v>5544</v>
      </c>
      <c r="G1124" s="2266" t="s">
        <v>7208</v>
      </c>
      <c r="H1124" s="2266">
        <v>1083584</v>
      </c>
      <c r="I1124" s="2266">
        <v>234325</v>
      </c>
      <c r="J1124" s="2266">
        <v>0.26121208202722646</v>
      </c>
      <c r="K1124" s="2266">
        <v>283045.23269139015</v>
      </c>
      <c r="L1124" s="2266">
        <v>234325</v>
      </c>
      <c r="M1124" s="2266">
        <v>599</v>
      </c>
    </row>
    <row r="1125" spans="1:13" ht="15">
      <c r="A1125" s="2266" t="s">
        <v>4174</v>
      </c>
      <c r="B1125" s="2465" t="str">
        <f>CONCATENATE(LEFT(RIGHT(CONCATENATE("000",IFAData_TEA_1617!A1125),6),3),"-",(RIGHT(RIGHT(CONCATENATE("000",IFAData_TEA_1617!A1125),6),3)))</f>
        <v>101-915</v>
      </c>
      <c r="C1125" s="2266" t="s">
        <v>2980</v>
      </c>
      <c r="D1125" s="2266">
        <v>2</v>
      </c>
      <c r="E1125" s="2266">
        <v>1965</v>
      </c>
      <c r="F1125" s="2266" t="s">
        <v>5539</v>
      </c>
      <c r="G1125" s="2266" t="s">
        <v>5539</v>
      </c>
      <c r="H1125" s="2266">
        <v>1172621</v>
      </c>
      <c r="I1125" s="2266">
        <v>0</v>
      </c>
      <c r="J1125" s="2266">
        <v>0</v>
      </c>
      <c r="K1125" s="2266">
        <v>0</v>
      </c>
      <c r="L1125" s="2266">
        <v>0</v>
      </c>
      <c r="M1125" s="2266">
        <v>599</v>
      </c>
    </row>
    <row r="1126" spans="1:13" ht="15">
      <c r="A1126" s="2266" t="s">
        <v>4174</v>
      </c>
      <c r="B1126" s="2465" t="str">
        <f>CONCATENATE(LEFT(RIGHT(CONCATENATE("000",IFAData_TEA_1617!A1126),6),3),"-",(RIGHT(RIGHT(CONCATENATE("000",IFAData_TEA_1617!A1126),6),3)))</f>
        <v>101-915</v>
      </c>
      <c r="C1126" s="2266" t="s">
        <v>2980</v>
      </c>
      <c r="D1126" s="2266">
        <v>6</v>
      </c>
      <c r="E1126" s="2266">
        <v>1966</v>
      </c>
      <c r="F1126" s="2266" t="s">
        <v>5541</v>
      </c>
      <c r="G1126" s="2266" t="s">
        <v>5538</v>
      </c>
      <c r="H1126" s="2266">
        <v>2380705</v>
      </c>
      <c r="I1126" s="2266">
        <v>0</v>
      </c>
      <c r="J1126" s="2266">
        <v>0</v>
      </c>
      <c r="K1126" s="2266">
        <v>0</v>
      </c>
      <c r="L1126" s="2266">
        <v>0</v>
      </c>
      <c r="M1126" s="2266">
        <v>599</v>
      </c>
    </row>
    <row r="1127" spans="1:13" ht="15">
      <c r="A1127" s="2266" t="s">
        <v>4174</v>
      </c>
      <c r="B1127" s="2465" t="str">
        <f>CONCATENATE(LEFT(RIGHT(CONCATENATE("000",IFAData_TEA_1617!A1127),6),3),"-",(RIGHT(RIGHT(CONCATENATE("000",IFAData_TEA_1617!A1127),6),3)))</f>
        <v>101-915</v>
      </c>
      <c r="C1127" s="2266" t="s">
        <v>2980</v>
      </c>
      <c r="D1127" s="2266">
        <v>9</v>
      </c>
      <c r="E1127" s="2266">
        <v>1964</v>
      </c>
      <c r="F1127" s="2266" t="s">
        <v>5544</v>
      </c>
      <c r="G1127" s="2266" t="s">
        <v>6983</v>
      </c>
      <c r="H1127" s="2266">
        <v>1083584</v>
      </c>
      <c r="I1127" s="2266">
        <v>262102</v>
      </c>
      <c r="J1127" s="2266">
        <v>0.29217628986877248</v>
      </c>
      <c r="K1127" s="2266">
        <v>316597.55288116395</v>
      </c>
      <c r="L1127" s="2266">
        <v>262102</v>
      </c>
      <c r="M1127" s="2266">
        <v>599</v>
      </c>
    </row>
    <row r="1128" spans="1:13" ht="15">
      <c r="A1128" s="2266" t="s">
        <v>4175</v>
      </c>
      <c r="B1128" s="2465" t="str">
        <f>CONCATENATE(LEFT(RIGHT(CONCATENATE("000",IFAData_TEA_1617!A1128),6),3),"-",(RIGHT(RIGHT(CONCATENATE("000",IFAData_TEA_1617!A1128),6),3)))</f>
        <v>101-917</v>
      </c>
      <c r="C1128" s="2266" t="s">
        <v>302</v>
      </c>
      <c r="D1128" s="2266">
        <v>2</v>
      </c>
      <c r="E1128" s="2266">
        <v>2178</v>
      </c>
      <c r="F1128" s="2266" t="s">
        <v>5546</v>
      </c>
      <c r="G1128" s="2266" t="s">
        <v>5546</v>
      </c>
      <c r="H1128" s="2266">
        <v>1635967</v>
      </c>
      <c r="I1128" s="2266">
        <v>0</v>
      </c>
      <c r="J1128" s="2266">
        <v>0</v>
      </c>
      <c r="K1128" s="2266">
        <v>0</v>
      </c>
      <c r="L1128" s="2266">
        <v>0</v>
      </c>
      <c r="M1128" s="2266">
        <v>599</v>
      </c>
    </row>
    <row r="1129" spans="1:13" ht="15">
      <c r="A1129" s="2266" t="s">
        <v>4175</v>
      </c>
      <c r="B1129" s="2465" t="str">
        <f>CONCATENATE(LEFT(RIGHT(CONCATENATE("000",IFAData_TEA_1617!A1129),6),3),"-",(RIGHT(RIGHT(CONCATENATE("000",IFAData_TEA_1617!A1129),6),3)))</f>
        <v>101-917</v>
      </c>
      <c r="C1129" s="2266" t="s">
        <v>302</v>
      </c>
      <c r="D1129" s="2266">
        <v>6</v>
      </c>
      <c r="E1129" s="2266">
        <v>2179</v>
      </c>
      <c r="F1129" s="2266" t="s">
        <v>5549</v>
      </c>
      <c r="G1129" s="2266" t="s">
        <v>5550</v>
      </c>
      <c r="H1129" s="2266">
        <v>7578719</v>
      </c>
      <c r="I1129" s="2266">
        <v>0</v>
      </c>
      <c r="J1129" s="2266">
        <v>0</v>
      </c>
      <c r="K1129" s="2266">
        <v>0</v>
      </c>
      <c r="L1129" s="2266">
        <v>0</v>
      </c>
      <c r="M1129" s="2266">
        <v>599</v>
      </c>
    </row>
    <row r="1130" spans="1:13" ht="15">
      <c r="A1130" s="2266" t="s">
        <v>4175</v>
      </c>
      <c r="B1130" s="2465" t="str">
        <f>CONCATENATE(LEFT(RIGHT(CONCATENATE("000",IFAData_TEA_1617!A1130),6),3),"-",(RIGHT(RIGHT(CONCATENATE("000",IFAData_TEA_1617!A1130),6),3)))</f>
        <v>101-917</v>
      </c>
      <c r="C1130" s="2266" t="s">
        <v>302</v>
      </c>
      <c r="D1130" s="2266">
        <v>2</v>
      </c>
      <c r="E1130" s="2266">
        <v>2178</v>
      </c>
      <c r="F1130" s="2266" t="s">
        <v>5546</v>
      </c>
      <c r="G1130" s="2266" t="s">
        <v>5548</v>
      </c>
      <c r="H1130" s="2266">
        <v>1635967</v>
      </c>
      <c r="I1130" s="2266">
        <v>1562542</v>
      </c>
      <c r="J1130" s="2266">
        <v>1</v>
      </c>
      <c r="K1130" s="2266">
        <v>1635967</v>
      </c>
      <c r="L1130" s="2266">
        <v>1562542</v>
      </c>
      <c r="M1130" s="2266">
        <v>599</v>
      </c>
    </row>
    <row r="1131" spans="1:13" ht="15">
      <c r="A1131" s="2266" t="s">
        <v>4175</v>
      </c>
      <c r="B1131" s="2465" t="str">
        <f>CONCATENATE(LEFT(RIGHT(CONCATENATE("000",IFAData_TEA_1617!A1131),6),3),"-",(RIGHT(RIGHT(CONCATENATE("000",IFAData_TEA_1617!A1131),6),3)))</f>
        <v>101-917</v>
      </c>
      <c r="C1131" s="2266" t="s">
        <v>302</v>
      </c>
      <c r="D1131" s="2266">
        <v>6</v>
      </c>
      <c r="E1131" s="2266">
        <v>2179</v>
      </c>
      <c r="F1131" s="2266" t="s">
        <v>5549</v>
      </c>
      <c r="G1131" s="2266" t="s">
        <v>5549</v>
      </c>
      <c r="H1131" s="2266">
        <v>7578719</v>
      </c>
      <c r="I1131" s="2266">
        <v>0</v>
      </c>
      <c r="J1131" s="2266">
        <v>0</v>
      </c>
      <c r="K1131" s="2266">
        <v>0</v>
      </c>
      <c r="L1131" s="2266">
        <v>0</v>
      </c>
      <c r="M1131" s="2266">
        <v>599</v>
      </c>
    </row>
    <row r="1132" spans="1:13" ht="15">
      <c r="A1132" s="2266" t="s">
        <v>4175</v>
      </c>
      <c r="B1132" s="2465" t="str">
        <f>CONCATENATE(LEFT(RIGHT(CONCATENATE("000",IFAData_TEA_1617!A1132),6),3),"-",(RIGHT(RIGHT(CONCATENATE("000",IFAData_TEA_1617!A1132),6),3)))</f>
        <v>101-917</v>
      </c>
      <c r="C1132" s="2266" t="s">
        <v>302</v>
      </c>
      <c r="D1132" s="2266">
        <v>6</v>
      </c>
      <c r="E1132" s="2266">
        <v>2179</v>
      </c>
      <c r="F1132" s="2266" t="s">
        <v>5549</v>
      </c>
      <c r="G1132" s="2266" t="s">
        <v>5551</v>
      </c>
      <c r="H1132" s="2266">
        <v>7578719</v>
      </c>
      <c r="I1132" s="2266">
        <v>2055367</v>
      </c>
      <c r="J1132" s="2266">
        <v>1</v>
      </c>
      <c r="K1132" s="2266">
        <v>7578719</v>
      </c>
      <c r="L1132" s="2266">
        <v>2055367</v>
      </c>
      <c r="M1132" s="2266">
        <v>599</v>
      </c>
    </row>
    <row r="1133" spans="1:13" ht="15">
      <c r="A1133" s="2266" t="s">
        <v>4175</v>
      </c>
      <c r="B1133" s="2465" t="str">
        <f>CONCATENATE(LEFT(RIGHT(CONCATENATE("000",IFAData_TEA_1617!A1133),6),3),"-",(RIGHT(RIGHT(CONCATENATE("000",IFAData_TEA_1617!A1133),6),3)))</f>
        <v>101-917</v>
      </c>
      <c r="C1133" s="2266" t="s">
        <v>302</v>
      </c>
      <c r="D1133" s="2266">
        <v>2</v>
      </c>
      <c r="E1133" s="2266">
        <v>2178</v>
      </c>
      <c r="F1133" s="2266" t="s">
        <v>5546</v>
      </c>
      <c r="G1133" s="2266" t="s">
        <v>5547</v>
      </c>
      <c r="H1133" s="2266">
        <v>1635967</v>
      </c>
      <c r="I1133" s="2266">
        <v>0</v>
      </c>
      <c r="J1133" s="2266">
        <v>0</v>
      </c>
      <c r="K1133" s="2266">
        <v>0</v>
      </c>
      <c r="L1133" s="2266">
        <v>0</v>
      </c>
      <c r="M1133" s="2266">
        <v>599</v>
      </c>
    </row>
    <row r="1134" spans="1:13" ht="15">
      <c r="A1134" s="2266" t="s">
        <v>4176</v>
      </c>
      <c r="B1134" s="2465" t="str">
        <f>CONCATENATE(LEFT(RIGHT(CONCATENATE("000",IFAData_TEA_1617!A1134),6),3),"-",(RIGHT(RIGHT(CONCATENATE("000",IFAData_TEA_1617!A1134),6),3)))</f>
        <v>101-925</v>
      </c>
      <c r="C1134" s="2266" t="s">
        <v>2734</v>
      </c>
      <c r="D1134" s="2266">
        <v>5</v>
      </c>
      <c r="E1134" s="2266">
        <v>1912</v>
      </c>
      <c r="F1134" s="2266" t="s">
        <v>5552</v>
      </c>
      <c r="G1134" s="2266" t="s">
        <v>5554</v>
      </c>
      <c r="H1134" s="2266">
        <v>409219</v>
      </c>
      <c r="I1134" s="2266">
        <v>415501</v>
      </c>
      <c r="J1134" s="2266">
        <v>1</v>
      </c>
      <c r="K1134" s="2266">
        <v>409219</v>
      </c>
      <c r="L1134" s="2266">
        <v>409219</v>
      </c>
      <c r="M1134" s="2266">
        <v>599</v>
      </c>
    </row>
    <row r="1135" spans="1:13" ht="15">
      <c r="A1135" s="2266" t="s">
        <v>4176</v>
      </c>
      <c r="B1135" s="2465" t="str">
        <f>CONCATENATE(LEFT(RIGHT(CONCATENATE("000",IFAData_TEA_1617!A1135),6),3),"-",(RIGHT(RIGHT(CONCATENATE("000",IFAData_TEA_1617!A1135),6),3)))</f>
        <v>101-925</v>
      </c>
      <c r="C1135" s="2266" t="s">
        <v>2734</v>
      </c>
      <c r="D1135" s="2266">
        <v>5</v>
      </c>
      <c r="E1135" s="2266">
        <v>1911</v>
      </c>
      <c r="F1135" s="2266" t="s">
        <v>5555</v>
      </c>
      <c r="G1135" s="2266" t="s">
        <v>5555</v>
      </c>
      <c r="H1135" s="2266">
        <v>189309</v>
      </c>
      <c r="I1135" s="2266">
        <v>0</v>
      </c>
      <c r="J1135" s="2266">
        <v>0</v>
      </c>
      <c r="K1135" s="2266">
        <v>0</v>
      </c>
      <c r="L1135" s="2266">
        <v>0</v>
      </c>
      <c r="M1135" s="2266">
        <v>599</v>
      </c>
    </row>
    <row r="1136" spans="1:13" ht="15">
      <c r="A1136" s="2266" t="s">
        <v>4176</v>
      </c>
      <c r="B1136" s="2465" t="str">
        <f>CONCATENATE(LEFT(RIGHT(CONCATENATE("000",IFAData_TEA_1617!A1136),6),3),"-",(RIGHT(RIGHT(CONCATENATE("000",IFAData_TEA_1617!A1136),6),3)))</f>
        <v>101-925</v>
      </c>
      <c r="C1136" s="2266" t="s">
        <v>2734</v>
      </c>
      <c r="D1136" s="2266">
        <v>5</v>
      </c>
      <c r="E1136" s="2266">
        <v>1912</v>
      </c>
      <c r="F1136" s="2266" t="s">
        <v>5552</v>
      </c>
      <c r="G1136" s="2266" t="s">
        <v>5553</v>
      </c>
      <c r="H1136" s="2266">
        <v>409219</v>
      </c>
      <c r="I1136" s="2266">
        <v>0</v>
      </c>
      <c r="J1136" s="2266">
        <v>0</v>
      </c>
      <c r="K1136" s="2266">
        <v>0</v>
      </c>
      <c r="L1136" s="2266">
        <v>0</v>
      </c>
      <c r="M1136" s="2266">
        <v>599</v>
      </c>
    </row>
    <row r="1137" spans="1:13" ht="15">
      <c r="A1137" s="2266" t="s">
        <v>4176</v>
      </c>
      <c r="B1137" s="2465" t="str">
        <f>CONCATENATE(LEFT(RIGHT(CONCATENATE("000",IFAData_TEA_1617!A1137),6),3),"-",(RIGHT(RIGHT(CONCATENATE("000",IFAData_TEA_1617!A1137),6),3)))</f>
        <v>101-925</v>
      </c>
      <c r="C1137" s="2266" t="s">
        <v>2734</v>
      </c>
      <c r="D1137" s="2266">
        <v>5</v>
      </c>
      <c r="E1137" s="2266">
        <v>1911</v>
      </c>
      <c r="F1137" s="2266" t="s">
        <v>5555</v>
      </c>
      <c r="G1137" s="2266" t="s">
        <v>5556</v>
      </c>
      <c r="H1137" s="2266">
        <v>189309</v>
      </c>
      <c r="I1137" s="2266">
        <v>288618</v>
      </c>
      <c r="J1137" s="2266">
        <v>1</v>
      </c>
      <c r="K1137" s="2266">
        <v>189309</v>
      </c>
      <c r="L1137" s="2266">
        <v>189309</v>
      </c>
      <c r="M1137" s="2266">
        <v>599</v>
      </c>
    </row>
    <row r="1138" spans="1:13" ht="15">
      <c r="A1138" s="2266" t="s">
        <v>4176</v>
      </c>
      <c r="B1138" s="2465" t="str">
        <f>CONCATENATE(LEFT(RIGHT(CONCATENATE("000",IFAData_TEA_1617!A1138),6),3),"-",(RIGHT(RIGHT(CONCATENATE("000",IFAData_TEA_1617!A1138),6),3)))</f>
        <v>101-925</v>
      </c>
      <c r="C1138" s="2266" t="s">
        <v>2734</v>
      </c>
      <c r="D1138" s="2266">
        <v>5</v>
      </c>
      <c r="E1138" s="2266">
        <v>1912</v>
      </c>
      <c r="F1138" s="2266" t="s">
        <v>5552</v>
      </c>
      <c r="G1138" s="2266" t="s">
        <v>5552</v>
      </c>
      <c r="H1138" s="2266">
        <v>409219</v>
      </c>
      <c r="I1138" s="2266">
        <v>0</v>
      </c>
      <c r="J1138" s="2266">
        <v>0</v>
      </c>
      <c r="K1138" s="2266">
        <v>0</v>
      </c>
      <c r="L1138" s="2266">
        <v>0</v>
      </c>
      <c r="M1138" s="2266">
        <v>599</v>
      </c>
    </row>
    <row r="1139" spans="1:13" ht="15">
      <c r="A1139" s="2266" t="s">
        <v>4177</v>
      </c>
      <c r="B1139" s="2465" t="str">
        <f>CONCATENATE(LEFT(RIGHT(CONCATENATE("000",IFAData_TEA_1617!A1139),6),3),"-",(RIGHT(RIGHT(CONCATENATE("000",IFAData_TEA_1617!A1139),6),3)))</f>
        <v>104-901</v>
      </c>
      <c r="C1139" s="2266" t="s">
        <v>936</v>
      </c>
      <c r="D1139" s="2266">
        <v>6</v>
      </c>
      <c r="E1139" s="2266">
        <v>1875</v>
      </c>
      <c r="F1139" s="2266" t="s">
        <v>5557</v>
      </c>
      <c r="G1139" s="2266" t="s">
        <v>5558</v>
      </c>
      <c r="H1139" s="2266">
        <v>90011</v>
      </c>
      <c r="I1139" s="2266">
        <v>85032</v>
      </c>
      <c r="J1139" s="2266">
        <v>1</v>
      </c>
      <c r="K1139" s="2266">
        <v>90011</v>
      </c>
      <c r="L1139" s="2266">
        <v>85032</v>
      </c>
      <c r="M1139" s="2266">
        <v>599</v>
      </c>
    </row>
    <row r="1140" spans="1:13" ht="15">
      <c r="A1140" s="2266" t="s">
        <v>4177</v>
      </c>
      <c r="B1140" s="2465" t="str">
        <f>CONCATENATE(LEFT(RIGHT(CONCATENATE("000",IFAData_TEA_1617!A1140),6),3),"-",(RIGHT(RIGHT(CONCATENATE("000",IFAData_TEA_1617!A1140),6),3)))</f>
        <v>104-901</v>
      </c>
      <c r="C1140" s="2266" t="s">
        <v>936</v>
      </c>
      <c r="D1140" s="2266">
        <v>6</v>
      </c>
      <c r="E1140" s="2266">
        <v>1875</v>
      </c>
      <c r="F1140" s="2266" t="s">
        <v>5557</v>
      </c>
      <c r="G1140" s="2266" t="s">
        <v>5557</v>
      </c>
      <c r="H1140" s="2266">
        <v>90011</v>
      </c>
      <c r="I1140" s="2266">
        <v>0</v>
      </c>
      <c r="J1140" s="2266">
        <v>0</v>
      </c>
      <c r="K1140" s="2266">
        <v>0</v>
      </c>
      <c r="L1140" s="2266">
        <v>0</v>
      </c>
      <c r="M1140" s="2266">
        <v>599</v>
      </c>
    </row>
    <row r="1141" spans="1:13" ht="15">
      <c r="A1141" s="2266" t="s">
        <v>4178</v>
      </c>
      <c r="B1141" s="2465" t="str">
        <f>CONCATENATE(LEFT(RIGHT(CONCATENATE("000",IFAData_TEA_1617!A1141),6),3),"-",(RIGHT(RIGHT(CONCATENATE("000",IFAData_TEA_1617!A1141),6),3)))</f>
        <v>105-904</v>
      </c>
      <c r="C1141" s="2266" t="s">
        <v>1212</v>
      </c>
      <c r="D1141" s="2266">
        <v>1</v>
      </c>
      <c r="E1141" s="2266">
        <v>1771</v>
      </c>
      <c r="F1141" s="2266" t="s">
        <v>5559</v>
      </c>
      <c r="G1141" s="2266" t="s">
        <v>6984</v>
      </c>
      <c r="H1141" s="2266">
        <v>687500</v>
      </c>
      <c r="I1141" s="2266">
        <v>238708</v>
      </c>
      <c r="J1141" s="2266">
        <v>1</v>
      </c>
      <c r="K1141" s="2266">
        <v>687500</v>
      </c>
      <c r="L1141" s="2266">
        <v>238708</v>
      </c>
      <c r="M1141" s="2266">
        <v>599</v>
      </c>
    </row>
    <row r="1142" spans="1:13" ht="15">
      <c r="A1142" s="2266" t="s">
        <v>4178</v>
      </c>
      <c r="B1142" s="2465" t="str">
        <f>CONCATENATE(LEFT(RIGHT(CONCATENATE("000",IFAData_TEA_1617!A1142),6),3),"-",(RIGHT(RIGHT(CONCATENATE("000",IFAData_TEA_1617!A1142),6),3)))</f>
        <v>105-904</v>
      </c>
      <c r="C1142" s="2266" t="s">
        <v>1212</v>
      </c>
      <c r="D1142" s="2266">
        <v>1</v>
      </c>
      <c r="E1142" s="2266">
        <v>1771</v>
      </c>
      <c r="F1142" s="2266" t="s">
        <v>5559</v>
      </c>
      <c r="G1142" s="2266" t="s">
        <v>5559</v>
      </c>
      <c r="H1142" s="2266">
        <v>687500</v>
      </c>
      <c r="I1142" s="2266">
        <v>0</v>
      </c>
      <c r="J1142" s="2266">
        <v>0</v>
      </c>
      <c r="K1142" s="2266">
        <v>0</v>
      </c>
      <c r="L1142" s="2266">
        <v>0</v>
      </c>
      <c r="M1142" s="2266">
        <v>599</v>
      </c>
    </row>
    <row r="1143" spans="1:13" ht="15">
      <c r="A1143" s="2266" t="s">
        <v>4178</v>
      </c>
      <c r="B1143" s="2465" t="str">
        <f>CONCATENATE(LEFT(RIGHT(CONCATENATE("000",IFAData_TEA_1617!A1143),6),3),"-",(RIGHT(RIGHT(CONCATENATE("000",IFAData_TEA_1617!A1143),6),3)))</f>
        <v>105-904</v>
      </c>
      <c r="C1143" s="2266" t="s">
        <v>1212</v>
      </c>
      <c r="D1143" s="2266">
        <v>1</v>
      </c>
      <c r="E1143" s="2266">
        <v>1771</v>
      </c>
      <c r="F1143" s="2266" t="s">
        <v>5559</v>
      </c>
      <c r="G1143" s="2266" t="s">
        <v>5560</v>
      </c>
      <c r="H1143" s="2266">
        <v>687500</v>
      </c>
      <c r="I1143" s="2266">
        <v>0</v>
      </c>
      <c r="J1143" s="2266">
        <v>0</v>
      </c>
      <c r="K1143" s="2266">
        <v>0</v>
      </c>
      <c r="L1143" s="2266">
        <v>0</v>
      </c>
      <c r="M1143" s="2266">
        <v>599</v>
      </c>
    </row>
    <row r="1144" spans="1:13" ht="15">
      <c r="A1144" s="2266" t="s">
        <v>4179</v>
      </c>
      <c r="B1144" s="2465" t="str">
        <f>CONCATENATE(LEFT(RIGHT(CONCATENATE("000",IFAData_TEA_1617!A1144),6),3),"-",(RIGHT(RIGHT(CONCATENATE("000",IFAData_TEA_1617!A1144),6),3)))</f>
        <v>105-906</v>
      </c>
      <c r="C1144" s="2266" t="s">
        <v>42</v>
      </c>
      <c r="D1144" s="2266">
        <v>5</v>
      </c>
      <c r="E1144" s="2266">
        <v>1879</v>
      </c>
      <c r="F1144" s="2266" t="s">
        <v>5564</v>
      </c>
      <c r="G1144" s="2266" t="s">
        <v>5568</v>
      </c>
      <c r="H1144" s="2266">
        <v>1891253</v>
      </c>
      <c r="I1144" s="2266">
        <v>0</v>
      </c>
      <c r="J1144" s="2266">
        <v>0</v>
      </c>
      <c r="K1144" s="2266">
        <v>0</v>
      </c>
      <c r="L1144" s="2266">
        <v>0</v>
      </c>
      <c r="M1144" s="2266">
        <v>599</v>
      </c>
    </row>
    <row r="1145" spans="1:13" ht="15">
      <c r="A1145" s="2266" t="s">
        <v>4179</v>
      </c>
      <c r="B1145" s="2465" t="str">
        <f>CONCATENATE(LEFT(RIGHT(CONCATENATE("000",IFAData_TEA_1617!A1145),6),3),"-",(RIGHT(RIGHT(CONCATENATE("000",IFAData_TEA_1617!A1145),6),3)))</f>
        <v>105-906</v>
      </c>
      <c r="C1145" s="2266" t="s">
        <v>42</v>
      </c>
      <c r="D1145" s="2266">
        <v>1</v>
      </c>
      <c r="E1145" s="2266">
        <v>1876</v>
      </c>
      <c r="F1145" s="2266" t="s">
        <v>5561</v>
      </c>
      <c r="G1145" s="2266" t="s">
        <v>5563</v>
      </c>
      <c r="H1145" s="2266">
        <v>1147081</v>
      </c>
      <c r="I1145" s="2266">
        <v>1608335</v>
      </c>
      <c r="J1145" s="2266">
        <v>1</v>
      </c>
      <c r="K1145" s="2266">
        <v>1147081</v>
      </c>
      <c r="L1145" s="2266">
        <v>1147081</v>
      </c>
      <c r="M1145" s="2266">
        <v>599</v>
      </c>
    </row>
    <row r="1146" spans="1:13" ht="15">
      <c r="A1146" s="2266" t="s">
        <v>4179</v>
      </c>
      <c r="B1146" s="2465" t="str">
        <f>CONCATENATE(LEFT(RIGHT(CONCATENATE("000",IFAData_TEA_1617!A1146),6),3),"-",(RIGHT(RIGHT(CONCATENATE("000",IFAData_TEA_1617!A1146),6),3)))</f>
        <v>105-906</v>
      </c>
      <c r="C1146" s="2266" t="s">
        <v>42</v>
      </c>
      <c r="D1146" s="2266">
        <v>5</v>
      </c>
      <c r="E1146" s="2266">
        <v>1879</v>
      </c>
      <c r="F1146" s="2266" t="s">
        <v>5564</v>
      </c>
      <c r="G1146" s="2266" t="s">
        <v>5563</v>
      </c>
      <c r="H1146" s="2266">
        <v>1891253</v>
      </c>
      <c r="I1146" s="2266">
        <v>5981216</v>
      </c>
      <c r="J1146" s="2266">
        <v>1</v>
      </c>
      <c r="K1146" s="2266">
        <v>1891253</v>
      </c>
      <c r="L1146" s="2266">
        <v>1891253</v>
      </c>
      <c r="M1146" s="2266">
        <v>599</v>
      </c>
    </row>
    <row r="1147" spans="1:13" ht="15">
      <c r="A1147" s="2266" t="s">
        <v>4179</v>
      </c>
      <c r="B1147" s="2465" t="str">
        <f>CONCATENATE(LEFT(RIGHT(CONCATENATE("000",IFAData_TEA_1617!A1147),6),3),"-",(RIGHT(RIGHT(CONCATENATE("000",IFAData_TEA_1617!A1147),6),3)))</f>
        <v>105-906</v>
      </c>
      <c r="C1147" s="2266" t="s">
        <v>42</v>
      </c>
      <c r="D1147" s="2266">
        <v>5</v>
      </c>
      <c r="E1147" s="2266">
        <v>1879</v>
      </c>
      <c r="F1147" s="2266" t="s">
        <v>5564</v>
      </c>
      <c r="G1147" s="2266" t="s">
        <v>5564</v>
      </c>
      <c r="H1147" s="2266">
        <v>1891253</v>
      </c>
      <c r="I1147" s="2266">
        <v>0</v>
      </c>
      <c r="J1147" s="2266">
        <v>0</v>
      </c>
      <c r="K1147" s="2266">
        <v>0</v>
      </c>
      <c r="L1147" s="2266">
        <v>0</v>
      </c>
      <c r="M1147" s="2266">
        <v>599</v>
      </c>
    </row>
    <row r="1148" spans="1:13" ht="15">
      <c r="A1148" s="2266" t="s">
        <v>4179</v>
      </c>
      <c r="B1148" s="2465" t="str">
        <f>CONCATENATE(LEFT(RIGHT(CONCATENATE("000",IFAData_TEA_1617!A1148),6),3),"-",(RIGHT(RIGHT(CONCATENATE("000",IFAData_TEA_1617!A1148),6),3)))</f>
        <v>105-906</v>
      </c>
      <c r="C1148" s="2266" t="s">
        <v>42</v>
      </c>
      <c r="D1148" s="2266">
        <v>9</v>
      </c>
      <c r="E1148" s="2266">
        <v>1878</v>
      </c>
      <c r="F1148" s="2266" t="s">
        <v>5569</v>
      </c>
      <c r="G1148" s="2266" t="s">
        <v>7209</v>
      </c>
      <c r="H1148" s="2266">
        <v>1795685</v>
      </c>
      <c r="I1148" s="2266">
        <v>54801</v>
      </c>
      <c r="J1148" s="2266">
        <v>7.4772208168578241E-2</v>
      </c>
      <c r="K1148" s="2266">
        <v>134267.3326251934</v>
      </c>
      <c r="L1148" s="2266">
        <v>54801</v>
      </c>
      <c r="M1148" s="2266">
        <v>599</v>
      </c>
    </row>
    <row r="1149" spans="1:13" ht="15">
      <c r="A1149" s="2266" t="s">
        <v>4179</v>
      </c>
      <c r="B1149" s="2465" t="str">
        <f>CONCATENATE(LEFT(RIGHT(CONCATENATE("000",IFAData_TEA_1617!A1149),6),3),"-",(RIGHT(RIGHT(CONCATENATE("000",IFAData_TEA_1617!A1149),6),3)))</f>
        <v>105-906</v>
      </c>
      <c r="C1149" s="2266" t="s">
        <v>42</v>
      </c>
      <c r="D1149" s="2266">
        <v>5</v>
      </c>
      <c r="E1149" s="2266">
        <v>1879</v>
      </c>
      <c r="F1149" s="2266" t="s">
        <v>5564</v>
      </c>
      <c r="G1149" s="2266" t="s">
        <v>5567</v>
      </c>
      <c r="H1149" s="2266">
        <v>1891253</v>
      </c>
      <c r="I1149" s="2266">
        <v>0</v>
      </c>
      <c r="J1149" s="2266">
        <v>0</v>
      </c>
      <c r="K1149" s="2266">
        <v>0</v>
      </c>
      <c r="L1149" s="2266">
        <v>0</v>
      </c>
      <c r="M1149" s="2266">
        <v>599</v>
      </c>
    </row>
    <row r="1150" spans="1:13" ht="15">
      <c r="A1150" s="2266" t="s">
        <v>4179</v>
      </c>
      <c r="B1150" s="2465" t="str">
        <f>CONCATENATE(LEFT(RIGHT(CONCATENATE("000",IFAData_TEA_1617!A1150),6),3),"-",(RIGHT(RIGHT(CONCATENATE("000",IFAData_TEA_1617!A1150),6),3)))</f>
        <v>105-906</v>
      </c>
      <c r="C1150" s="2266" t="s">
        <v>42</v>
      </c>
      <c r="D1150" s="2266">
        <v>5</v>
      </c>
      <c r="E1150" s="2266">
        <v>1879</v>
      </c>
      <c r="F1150" s="2266" t="s">
        <v>5564</v>
      </c>
      <c r="G1150" s="2266" t="s">
        <v>5566</v>
      </c>
      <c r="H1150" s="2266">
        <v>1891253</v>
      </c>
      <c r="I1150" s="2266">
        <v>0</v>
      </c>
      <c r="J1150" s="2266">
        <v>0</v>
      </c>
      <c r="K1150" s="2266">
        <v>0</v>
      </c>
      <c r="L1150" s="2266">
        <v>0</v>
      </c>
      <c r="M1150" s="2266">
        <v>599</v>
      </c>
    </row>
    <row r="1151" spans="1:13" ht="15">
      <c r="A1151" s="2266" t="s">
        <v>4179</v>
      </c>
      <c r="B1151" s="2465" t="str">
        <f>CONCATENATE(LEFT(RIGHT(CONCATENATE("000",IFAData_TEA_1617!A1151),6),3),"-",(RIGHT(RIGHT(CONCATENATE("000",IFAData_TEA_1617!A1151),6),3)))</f>
        <v>105-906</v>
      </c>
      <c r="C1151" s="2266" t="s">
        <v>42</v>
      </c>
      <c r="D1151" s="2266">
        <v>5</v>
      </c>
      <c r="E1151" s="2266">
        <v>1879</v>
      </c>
      <c r="F1151" s="2266" t="s">
        <v>5564</v>
      </c>
      <c r="G1151" s="2266" t="s">
        <v>5562</v>
      </c>
      <c r="H1151" s="2266">
        <v>1891253</v>
      </c>
      <c r="I1151" s="2266">
        <v>0</v>
      </c>
      <c r="J1151" s="2266">
        <v>0</v>
      </c>
      <c r="K1151" s="2266">
        <v>0</v>
      </c>
      <c r="L1151" s="2266">
        <v>0</v>
      </c>
      <c r="M1151" s="2266">
        <v>599</v>
      </c>
    </row>
    <row r="1152" spans="1:13" ht="15">
      <c r="A1152" s="2266" t="s">
        <v>4179</v>
      </c>
      <c r="B1152" s="2465" t="str">
        <f>CONCATENATE(LEFT(RIGHT(CONCATENATE("000",IFAData_TEA_1617!A1152),6),3),"-",(RIGHT(RIGHT(CONCATENATE("000",IFAData_TEA_1617!A1152),6),3)))</f>
        <v>105-906</v>
      </c>
      <c r="C1152" s="2266" t="s">
        <v>42</v>
      </c>
      <c r="D1152" s="2266">
        <v>1</v>
      </c>
      <c r="E1152" s="2266">
        <v>1876</v>
      </c>
      <c r="F1152" s="2266" t="s">
        <v>5561</v>
      </c>
      <c r="G1152" s="2266" t="s">
        <v>5562</v>
      </c>
      <c r="H1152" s="2266">
        <v>1147081</v>
      </c>
      <c r="I1152" s="2266">
        <v>0</v>
      </c>
      <c r="J1152" s="2266">
        <v>0</v>
      </c>
      <c r="K1152" s="2266">
        <v>0</v>
      </c>
      <c r="L1152" s="2266">
        <v>0</v>
      </c>
      <c r="M1152" s="2266">
        <v>599</v>
      </c>
    </row>
    <row r="1153" spans="1:13" ht="15">
      <c r="A1153" s="2266" t="s">
        <v>4179</v>
      </c>
      <c r="B1153" s="2465" t="str">
        <f>CONCATENATE(LEFT(RIGHT(CONCATENATE("000",IFAData_TEA_1617!A1153),6),3),"-",(RIGHT(RIGHT(CONCATENATE("000",IFAData_TEA_1617!A1153),6),3)))</f>
        <v>105-906</v>
      </c>
      <c r="C1153" s="2266" t="s">
        <v>42</v>
      </c>
      <c r="D1153" s="2266">
        <v>5</v>
      </c>
      <c r="E1153" s="2266">
        <v>1879</v>
      </c>
      <c r="F1153" s="2266" t="s">
        <v>5564</v>
      </c>
      <c r="G1153" s="2266" t="s">
        <v>5565</v>
      </c>
      <c r="H1153" s="2266">
        <v>1891253</v>
      </c>
      <c r="I1153" s="2266">
        <v>0</v>
      </c>
      <c r="J1153" s="2266">
        <v>0</v>
      </c>
      <c r="K1153" s="2266">
        <v>0</v>
      </c>
      <c r="L1153" s="2266">
        <v>0</v>
      </c>
      <c r="M1153" s="2266">
        <v>599</v>
      </c>
    </row>
    <row r="1154" spans="1:13" ht="15">
      <c r="A1154" s="2266" t="s">
        <v>4179</v>
      </c>
      <c r="B1154" s="2465" t="str">
        <f>CONCATENATE(LEFT(RIGHT(CONCATENATE("000",IFAData_TEA_1617!A1154),6),3),"-",(RIGHT(RIGHT(CONCATENATE("000",IFAData_TEA_1617!A1154),6),3)))</f>
        <v>105-906</v>
      </c>
      <c r="C1154" s="2266" t="s">
        <v>42</v>
      </c>
      <c r="D1154" s="2266">
        <v>9</v>
      </c>
      <c r="E1154" s="2266">
        <v>1878</v>
      </c>
      <c r="F1154" s="2266" t="s">
        <v>5569</v>
      </c>
      <c r="G1154" s="2266" t="s">
        <v>5569</v>
      </c>
      <c r="H1154" s="2266">
        <v>1795685</v>
      </c>
      <c r="I1154" s="2266">
        <v>309287</v>
      </c>
      <c r="J1154" s="2266">
        <v>0.42200091144021196</v>
      </c>
      <c r="K1154" s="2266">
        <v>757780.70665951702</v>
      </c>
      <c r="L1154" s="2266">
        <v>309287</v>
      </c>
      <c r="M1154" s="2266">
        <v>599</v>
      </c>
    </row>
    <row r="1155" spans="1:13" ht="15">
      <c r="A1155" s="2266" t="s">
        <v>4179</v>
      </c>
      <c r="B1155" s="2465" t="str">
        <f>CONCATENATE(LEFT(RIGHT(CONCATENATE("000",IFAData_TEA_1617!A1155),6),3),"-",(RIGHT(RIGHT(CONCATENATE("000",IFAData_TEA_1617!A1155),6),3)))</f>
        <v>105-906</v>
      </c>
      <c r="C1155" s="2266" t="s">
        <v>42</v>
      </c>
      <c r="D1155" s="2266">
        <v>9</v>
      </c>
      <c r="E1155" s="2266">
        <v>1877</v>
      </c>
      <c r="F1155" s="2266" t="s">
        <v>5570</v>
      </c>
      <c r="G1155" s="2266" t="s">
        <v>5570</v>
      </c>
      <c r="H1155" s="2266">
        <v>1578006</v>
      </c>
      <c r="I1155" s="2266">
        <v>2377792</v>
      </c>
      <c r="J1155" s="2266">
        <v>0.5210780026459404</v>
      </c>
      <c r="K1155" s="2266">
        <v>822264.21464330982</v>
      </c>
      <c r="L1155" s="2266">
        <v>822264.21464330982</v>
      </c>
      <c r="M1155" s="2266">
        <v>599</v>
      </c>
    </row>
    <row r="1156" spans="1:13" ht="15">
      <c r="A1156" s="2266" t="s">
        <v>4179</v>
      </c>
      <c r="B1156" s="2465" t="str">
        <f>CONCATENATE(LEFT(RIGHT(CONCATENATE("000",IFAData_TEA_1617!A1156),6),3),"-",(RIGHT(RIGHT(CONCATENATE("000",IFAData_TEA_1617!A1156),6),3)))</f>
        <v>105-906</v>
      </c>
      <c r="C1156" s="2266" t="s">
        <v>42</v>
      </c>
      <c r="D1156" s="2266">
        <v>9</v>
      </c>
      <c r="E1156" s="2266">
        <v>1877</v>
      </c>
      <c r="F1156" s="2266" t="s">
        <v>5570</v>
      </c>
      <c r="G1156" s="2266" t="s">
        <v>7209</v>
      </c>
      <c r="H1156" s="2266">
        <v>1578006</v>
      </c>
      <c r="I1156" s="2266">
        <v>2185425</v>
      </c>
      <c r="J1156" s="2266">
        <v>0.47892199735405966</v>
      </c>
      <c r="K1156" s="2266">
        <v>755741.78535669029</v>
      </c>
      <c r="L1156" s="2266">
        <v>755741.78535669029</v>
      </c>
      <c r="M1156" s="2266">
        <v>599</v>
      </c>
    </row>
    <row r="1157" spans="1:13" ht="15">
      <c r="A1157" s="2266" t="s">
        <v>4179</v>
      </c>
      <c r="B1157" s="2465" t="str">
        <f>CONCATENATE(LEFT(RIGHT(CONCATENATE("000",IFAData_TEA_1617!A1157),6),3),"-",(RIGHT(RIGHT(CONCATENATE("000",IFAData_TEA_1617!A1157),6),3)))</f>
        <v>105-906</v>
      </c>
      <c r="C1157" s="2266" t="s">
        <v>42</v>
      </c>
      <c r="D1157" s="2266">
        <v>9</v>
      </c>
      <c r="E1157" s="2266">
        <v>1878</v>
      </c>
      <c r="F1157" s="2266" t="s">
        <v>5569</v>
      </c>
      <c r="G1157" s="2266" t="s">
        <v>5568</v>
      </c>
      <c r="H1157" s="2266">
        <v>1795685</v>
      </c>
      <c r="I1157" s="2266">
        <v>70609</v>
      </c>
      <c r="J1157" s="2266">
        <v>9.6341140610119169E-2</v>
      </c>
      <c r="K1157" s="2266">
        <v>172998.34107648185</v>
      </c>
      <c r="L1157" s="2266">
        <v>70609</v>
      </c>
      <c r="M1157" s="2266">
        <v>599</v>
      </c>
    </row>
    <row r="1158" spans="1:13" ht="15">
      <c r="A1158" s="2266" t="s">
        <v>4179</v>
      </c>
      <c r="B1158" s="2465" t="str">
        <f>CONCATENATE(LEFT(RIGHT(CONCATENATE("000",IFAData_TEA_1617!A1158),6),3),"-",(RIGHT(RIGHT(CONCATENATE("000",IFAData_TEA_1617!A1158),6),3)))</f>
        <v>105-906</v>
      </c>
      <c r="C1158" s="2266" t="s">
        <v>42</v>
      </c>
      <c r="D1158" s="2266">
        <v>9</v>
      </c>
      <c r="E1158" s="2266">
        <v>1878</v>
      </c>
      <c r="F1158" s="2266" t="s">
        <v>5569</v>
      </c>
      <c r="G1158" s="2266" t="s">
        <v>7210</v>
      </c>
      <c r="H1158" s="2266">
        <v>1795685</v>
      </c>
      <c r="I1158" s="2266">
        <v>298209</v>
      </c>
      <c r="J1158" s="2266">
        <v>0.40688573978109061</v>
      </c>
      <c r="K1158" s="2266">
        <v>730638.61963880772</v>
      </c>
      <c r="L1158" s="2266">
        <v>298209</v>
      </c>
      <c r="M1158" s="2266">
        <v>599</v>
      </c>
    </row>
    <row r="1159" spans="1:13" ht="15">
      <c r="A1159" s="2266" t="s">
        <v>4179</v>
      </c>
      <c r="B1159" s="2465" t="str">
        <f>CONCATENATE(LEFT(RIGHT(CONCATENATE("000",IFAData_TEA_1617!A1159),6),3),"-",(RIGHT(RIGHT(CONCATENATE("000",IFAData_TEA_1617!A1159),6),3)))</f>
        <v>105-906</v>
      </c>
      <c r="C1159" s="2266" t="s">
        <v>42</v>
      </c>
      <c r="D1159" s="2266">
        <v>1</v>
      </c>
      <c r="E1159" s="2266">
        <v>1876</v>
      </c>
      <c r="F1159" s="2266" t="s">
        <v>5561</v>
      </c>
      <c r="G1159" s="2266" t="s">
        <v>5561</v>
      </c>
      <c r="H1159" s="2266">
        <v>1147081</v>
      </c>
      <c r="I1159" s="2266">
        <v>0</v>
      </c>
      <c r="J1159" s="2266">
        <v>0</v>
      </c>
      <c r="K1159" s="2266">
        <v>0</v>
      </c>
      <c r="L1159" s="2266">
        <v>0</v>
      </c>
      <c r="M1159" s="2266">
        <v>599</v>
      </c>
    </row>
    <row r="1160" spans="1:13" ht="15">
      <c r="A1160" s="2266" t="s">
        <v>4180</v>
      </c>
      <c r="B1160" s="2465" t="str">
        <f>CONCATENATE(LEFT(RIGHT(CONCATENATE("000",IFAData_TEA_1617!A1160),6),3),"-",(RIGHT(RIGHT(CONCATENATE("000",IFAData_TEA_1617!A1160),6),3)))</f>
        <v>107-907</v>
      </c>
      <c r="C1160" s="2266" t="s">
        <v>662</v>
      </c>
      <c r="D1160" s="2266">
        <v>3</v>
      </c>
      <c r="E1160" s="2266">
        <v>2401</v>
      </c>
      <c r="F1160" s="2266" t="s">
        <v>5571</v>
      </c>
      <c r="G1160" s="2266" t="s">
        <v>5572</v>
      </c>
      <c r="H1160" s="2266">
        <v>68908</v>
      </c>
      <c r="I1160" s="2266">
        <v>39157</v>
      </c>
      <c r="J1160" s="2266">
        <v>1</v>
      </c>
      <c r="K1160" s="2266">
        <v>68908</v>
      </c>
      <c r="L1160" s="2266">
        <v>39157</v>
      </c>
      <c r="M1160" s="2266">
        <v>599</v>
      </c>
    </row>
    <row r="1161" spans="1:13" ht="15">
      <c r="A1161" s="2266" t="s">
        <v>4180</v>
      </c>
      <c r="B1161" s="2465" t="str">
        <f>CONCATENATE(LEFT(RIGHT(CONCATENATE("000",IFAData_TEA_1617!A1161),6),3),"-",(RIGHT(RIGHT(CONCATENATE("000",IFAData_TEA_1617!A1161),6),3)))</f>
        <v>107-907</v>
      </c>
      <c r="C1161" s="2266" t="s">
        <v>662</v>
      </c>
      <c r="D1161" s="2266">
        <v>3</v>
      </c>
      <c r="E1161" s="2266">
        <v>2401</v>
      </c>
      <c r="F1161" s="2266" t="s">
        <v>5571</v>
      </c>
      <c r="G1161" s="2266" t="s">
        <v>5571</v>
      </c>
      <c r="H1161" s="2266">
        <v>68908</v>
      </c>
      <c r="I1161" s="2266">
        <v>0</v>
      </c>
      <c r="J1161" s="2266">
        <v>0</v>
      </c>
      <c r="K1161" s="2266">
        <v>0</v>
      </c>
      <c r="L1161" s="2266">
        <v>0</v>
      </c>
      <c r="M1161" s="2266">
        <v>599</v>
      </c>
    </row>
    <row r="1162" spans="1:13" ht="15">
      <c r="A1162" s="2266" t="s">
        <v>5573</v>
      </c>
      <c r="B1162" s="2465" t="str">
        <f>CONCATENATE(LEFT(RIGHT(CONCATENATE("000",IFAData_TEA_1617!A1162),6),3),"-",(RIGHT(RIGHT(CONCATENATE("000",IFAData_TEA_1617!A1162),6),3)))</f>
        <v>107-908</v>
      </c>
      <c r="C1162" s="2266" t="s">
        <v>2415</v>
      </c>
      <c r="D1162" s="2266">
        <v>5</v>
      </c>
      <c r="E1162" s="2266">
        <v>2124</v>
      </c>
      <c r="F1162" s="2266" t="s">
        <v>5574</v>
      </c>
      <c r="G1162" s="2266" t="s">
        <v>5574</v>
      </c>
      <c r="H1162" s="2266">
        <v>100000</v>
      </c>
      <c r="I1162" s="2266">
        <v>104640</v>
      </c>
      <c r="J1162" s="2266">
        <v>1</v>
      </c>
      <c r="K1162" s="2266">
        <v>100000</v>
      </c>
      <c r="L1162" s="2266">
        <v>100000</v>
      </c>
      <c r="M1162" s="2266">
        <v>199</v>
      </c>
    </row>
    <row r="1163" spans="1:13" ht="15">
      <c r="A1163" s="2266" t="s">
        <v>4181</v>
      </c>
      <c r="B1163" s="2465" t="str">
        <f>CONCATENATE(LEFT(RIGHT(CONCATENATE("000",IFAData_TEA_1617!A1163),6),3),"-",(RIGHT(RIGHT(CONCATENATE("000",IFAData_TEA_1617!A1163),6),3)))</f>
        <v>108-902</v>
      </c>
      <c r="C1163" s="2266" t="s">
        <v>39</v>
      </c>
      <c r="D1163" s="2266">
        <v>4</v>
      </c>
      <c r="E1163" s="2266">
        <v>1768</v>
      </c>
      <c r="F1163" s="2266" t="s">
        <v>5577</v>
      </c>
      <c r="G1163" s="2266" t="s">
        <v>5577</v>
      </c>
      <c r="H1163" s="2266">
        <v>2119597</v>
      </c>
      <c r="I1163" s="2266">
        <v>0</v>
      </c>
      <c r="J1163" s="2266">
        <v>0</v>
      </c>
      <c r="K1163" s="2266">
        <v>0</v>
      </c>
      <c r="L1163" s="2266">
        <v>0</v>
      </c>
      <c r="M1163" s="2266">
        <v>599</v>
      </c>
    </row>
    <row r="1164" spans="1:13" ht="15">
      <c r="A1164" s="2266" t="s">
        <v>4181</v>
      </c>
      <c r="B1164" s="2465" t="str">
        <f>CONCATENATE(LEFT(RIGHT(CONCATENATE("000",IFAData_TEA_1617!A1164),6),3),"-",(RIGHT(RIGHT(CONCATENATE("000",IFAData_TEA_1617!A1164),6),3)))</f>
        <v>108-902</v>
      </c>
      <c r="C1164" s="2266" t="s">
        <v>39</v>
      </c>
      <c r="D1164" s="2266">
        <v>4</v>
      </c>
      <c r="E1164" s="2266">
        <v>1768</v>
      </c>
      <c r="F1164" s="2266" t="s">
        <v>5577</v>
      </c>
      <c r="G1164" s="2266" t="s">
        <v>6985</v>
      </c>
      <c r="H1164" s="2266">
        <v>2119597</v>
      </c>
      <c r="I1164" s="2266">
        <v>1497841</v>
      </c>
      <c r="J1164" s="2266">
        <v>0.76942609001186113</v>
      </c>
      <c r="K1164" s="2266">
        <v>1630873.2321108708</v>
      </c>
      <c r="L1164" s="2266">
        <v>1497841</v>
      </c>
      <c r="M1164" s="2266">
        <v>599</v>
      </c>
    </row>
    <row r="1165" spans="1:13" ht="15">
      <c r="A1165" s="2266" t="s">
        <v>4181</v>
      </c>
      <c r="B1165" s="2465" t="str">
        <f>CONCATENATE(LEFT(RIGHT(CONCATENATE("000",IFAData_TEA_1617!A1165),6),3),"-",(RIGHT(RIGHT(CONCATENATE("000",IFAData_TEA_1617!A1165),6),3)))</f>
        <v>108-902</v>
      </c>
      <c r="C1165" s="2266" t="s">
        <v>39</v>
      </c>
      <c r="D1165" s="2266">
        <v>2</v>
      </c>
      <c r="E1165" s="2266">
        <v>1769</v>
      </c>
      <c r="F1165" s="2266" t="s">
        <v>5575</v>
      </c>
      <c r="G1165" s="2266" t="s">
        <v>6985</v>
      </c>
      <c r="H1165" s="2266">
        <v>2278200</v>
      </c>
      <c r="I1165" s="2266">
        <v>1958559</v>
      </c>
      <c r="J1165" s="2266">
        <v>1</v>
      </c>
      <c r="K1165" s="2266">
        <v>2278200</v>
      </c>
      <c r="L1165" s="2266">
        <v>1958559</v>
      </c>
      <c r="M1165" s="2266">
        <v>599</v>
      </c>
    </row>
    <row r="1166" spans="1:13" ht="15">
      <c r="A1166" s="2266" t="s">
        <v>4181</v>
      </c>
      <c r="B1166" s="2465" t="str">
        <f>CONCATENATE(LEFT(RIGHT(CONCATENATE("000",IFAData_TEA_1617!A1166),6),3),"-",(RIGHT(RIGHT(CONCATENATE("000",IFAData_TEA_1617!A1166),6),3)))</f>
        <v>108-902</v>
      </c>
      <c r="C1166" s="2266" t="s">
        <v>39</v>
      </c>
      <c r="D1166" s="2266">
        <v>7</v>
      </c>
      <c r="E1166" s="2266">
        <v>1766</v>
      </c>
      <c r="F1166" s="2266" t="s">
        <v>5582</v>
      </c>
      <c r="G1166" s="2266" t="s">
        <v>5583</v>
      </c>
      <c r="H1166" s="2266">
        <v>1010853</v>
      </c>
      <c r="I1166" s="2266">
        <v>634125</v>
      </c>
      <c r="J1166" s="2266">
        <v>0.73012471848532434</v>
      </c>
      <c r="K1166" s="2266">
        <v>738048.76205504558</v>
      </c>
      <c r="L1166" s="2266">
        <v>634125</v>
      </c>
      <c r="M1166" s="2266">
        <v>599</v>
      </c>
    </row>
    <row r="1167" spans="1:13" ht="15">
      <c r="A1167" s="2266" t="s">
        <v>4181</v>
      </c>
      <c r="B1167" s="2465" t="str">
        <f>CONCATENATE(LEFT(RIGHT(CONCATENATE("000",IFAData_TEA_1617!A1167),6),3),"-",(RIGHT(RIGHT(CONCATENATE("000",IFAData_TEA_1617!A1167),6),3)))</f>
        <v>108-902</v>
      </c>
      <c r="C1167" s="2266" t="s">
        <v>39</v>
      </c>
      <c r="D1167" s="2266">
        <v>7</v>
      </c>
      <c r="E1167" s="2266">
        <v>1766</v>
      </c>
      <c r="F1167" s="2266" t="s">
        <v>5582</v>
      </c>
      <c r="G1167" s="2266" t="s">
        <v>5581</v>
      </c>
      <c r="H1167" s="2266">
        <v>1010853</v>
      </c>
      <c r="I1167" s="2266">
        <v>234391</v>
      </c>
      <c r="J1167" s="2266">
        <v>0.2698752815146756</v>
      </c>
      <c r="K1167" s="2266">
        <v>272804.23794495437</v>
      </c>
      <c r="L1167" s="2266">
        <v>234391</v>
      </c>
      <c r="M1167" s="2266">
        <v>599</v>
      </c>
    </row>
    <row r="1168" spans="1:13" ht="15">
      <c r="A1168" s="2266" t="s">
        <v>4181</v>
      </c>
      <c r="B1168" s="2465" t="str">
        <f>CONCATENATE(LEFT(RIGHT(CONCATENATE("000",IFAData_TEA_1617!A1168),6),3),"-",(RIGHT(RIGHT(CONCATENATE("000",IFAData_TEA_1617!A1168),6),3)))</f>
        <v>108-902</v>
      </c>
      <c r="C1168" s="2266" t="s">
        <v>39</v>
      </c>
      <c r="D1168" s="2266">
        <v>6</v>
      </c>
      <c r="E1168" s="2266">
        <v>1767</v>
      </c>
      <c r="F1168" s="2266" t="s">
        <v>5580</v>
      </c>
      <c r="G1168" s="2266" t="s">
        <v>5581</v>
      </c>
      <c r="H1168" s="2266">
        <v>1121326</v>
      </c>
      <c r="I1168" s="2266">
        <v>50460</v>
      </c>
      <c r="J1168" s="2266">
        <v>0.12150925767620167</v>
      </c>
      <c r="K1168" s="2266">
        <v>136251.48987302452</v>
      </c>
      <c r="L1168" s="2266">
        <v>50460</v>
      </c>
      <c r="M1168" s="2266">
        <v>599</v>
      </c>
    </row>
    <row r="1169" spans="1:13" ht="15">
      <c r="A1169" s="2266" t="s">
        <v>4181</v>
      </c>
      <c r="B1169" s="2465" t="str">
        <f>CONCATENATE(LEFT(RIGHT(CONCATENATE("000",IFAData_TEA_1617!A1169),6),3),"-",(RIGHT(RIGHT(CONCATENATE("000",IFAData_TEA_1617!A1169),6),3)))</f>
        <v>108-902</v>
      </c>
      <c r="C1169" s="2266" t="s">
        <v>39</v>
      </c>
      <c r="D1169" s="2266">
        <v>6</v>
      </c>
      <c r="E1169" s="2266">
        <v>1767</v>
      </c>
      <c r="F1169" s="2266" t="s">
        <v>5580</v>
      </c>
      <c r="G1169" s="2266" t="s">
        <v>5579</v>
      </c>
      <c r="H1169" s="2266">
        <v>1121326</v>
      </c>
      <c r="I1169" s="2266">
        <v>269302</v>
      </c>
      <c r="J1169" s="2266">
        <v>0.64848763596346537</v>
      </c>
      <c r="K1169" s="2266">
        <v>727166.04688436876</v>
      </c>
      <c r="L1169" s="2266">
        <v>269302</v>
      </c>
      <c r="M1169" s="2266">
        <v>599</v>
      </c>
    </row>
    <row r="1170" spans="1:13" ht="15">
      <c r="A1170" s="2266" t="s">
        <v>4181</v>
      </c>
      <c r="B1170" s="2465" t="str">
        <f>CONCATENATE(LEFT(RIGHT(CONCATENATE("000",IFAData_TEA_1617!A1170),6),3),"-",(RIGHT(RIGHT(CONCATENATE("000",IFAData_TEA_1617!A1170),6),3)))</f>
        <v>108-902</v>
      </c>
      <c r="C1170" s="2266" t="s">
        <v>39</v>
      </c>
      <c r="D1170" s="2266">
        <v>4</v>
      </c>
      <c r="E1170" s="2266">
        <v>1768</v>
      </c>
      <c r="F1170" s="2266" t="s">
        <v>5577</v>
      </c>
      <c r="G1170" s="2266" t="s">
        <v>5579</v>
      </c>
      <c r="H1170" s="2266">
        <v>2119597</v>
      </c>
      <c r="I1170" s="2266">
        <v>5400</v>
      </c>
      <c r="J1170" s="2266">
        <v>2.7739265289600497E-3</v>
      </c>
      <c r="K1170" s="2266">
        <v>5879.6063490041342</v>
      </c>
      <c r="L1170" s="2266">
        <v>5400</v>
      </c>
      <c r="M1170" s="2266">
        <v>599</v>
      </c>
    </row>
    <row r="1171" spans="1:13" ht="15">
      <c r="A1171" s="2266" t="s">
        <v>4181</v>
      </c>
      <c r="B1171" s="2465" t="str">
        <f>CONCATENATE(LEFT(RIGHT(CONCATENATE("000",IFAData_TEA_1617!A1171),6),3),"-",(RIGHT(RIGHT(CONCATENATE("000",IFAData_TEA_1617!A1171),6),3)))</f>
        <v>108-902</v>
      </c>
      <c r="C1171" s="2266" t="s">
        <v>39</v>
      </c>
      <c r="D1171" s="2266">
        <v>4</v>
      </c>
      <c r="E1171" s="2266">
        <v>1768</v>
      </c>
      <c r="F1171" s="2266" t="s">
        <v>5577</v>
      </c>
      <c r="G1171" s="2266" t="s">
        <v>5576</v>
      </c>
      <c r="H1171" s="2266">
        <v>2119597</v>
      </c>
      <c r="I1171" s="2266">
        <v>0</v>
      </c>
      <c r="J1171" s="2266">
        <v>0</v>
      </c>
      <c r="K1171" s="2266">
        <v>0</v>
      </c>
      <c r="L1171" s="2266">
        <v>0</v>
      </c>
      <c r="M1171" s="2266">
        <v>599</v>
      </c>
    </row>
    <row r="1172" spans="1:13" ht="15">
      <c r="A1172" s="2266" t="s">
        <v>4181</v>
      </c>
      <c r="B1172" s="2465" t="str">
        <f>CONCATENATE(LEFT(RIGHT(CONCATENATE("000",IFAData_TEA_1617!A1172),6),3),"-",(RIGHT(RIGHT(CONCATENATE("000",IFAData_TEA_1617!A1172),6),3)))</f>
        <v>108-902</v>
      </c>
      <c r="C1172" s="2266" t="s">
        <v>39</v>
      </c>
      <c r="D1172" s="2266">
        <v>2</v>
      </c>
      <c r="E1172" s="2266">
        <v>1769</v>
      </c>
      <c r="F1172" s="2266" t="s">
        <v>5575</v>
      </c>
      <c r="G1172" s="2266" t="s">
        <v>5576</v>
      </c>
      <c r="H1172" s="2266">
        <v>2278200</v>
      </c>
      <c r="I1172" s="2266">
        <v>0</v>
      </c>
      <c r="J1172" s="2266">
        <v>0</v>
      </c>
      <c r="K1172" s="2266">
        <v>0</v>
      </c>
      <c r="L1172" s="2266">
        <v>0</v>
      </c>
      <c r="M1172" s="2266">
        <v>599</v>
      </c>
    </row>
    <row r="1173" spans="1:13" ht="15">
      <c r="A1173" s="2266" t="s">
        <v>4181</v>
      </c>
      <c r="B1173" s="2465" t="str">
        <f>CONCATENATE(LEFT(RIGHT(CONCATENATE("000",IFAData_TEA_1617!A1173),6),3),"-",(RIGHT(RIGHT(CONCATENATE("000",IFAData_TEA_1617!A1173),6),3)))</f>
        <v>108-902</v>
      </c>
      <c r="C1173" s="2266" t="s">
        <v>39</v>
      </c>
      <c r="D1173" s="2266">
        <v>10</v>
      </c>
      <c r="E1173" s="2266">
        <v>1770</v>
      </c>
      <c r="F1173" s="2266" t="s">
        <v>5584</v>
      </c>
      <c r="G1173" s="2266" t="s">
        <v>5584</v>
      </c>
      <c r="H1173" s="2266">
        <v>2922800</v>
      </c>
      <c r="I1173" s="2266">
        <v>2919906</v>
      </c>
      <c r="J1173" s="2266">
        <v>1</v>
      </c>
      <c r="K1173" s="2266">
        <v>2922800</v>
      </c>
      <c r="L1173" s="2266">
        <v>2919906</v>
      </c>
      <c r="M1173" s="2266">
        <v>599</v>
      </c>
    </row>
    <row r="1174" spans="1:13" ht="15">
      <c r="A1174" s="2266" t="s">
        <v>4181</v>
      </c>
      <c r="B1174" s="2465" t="str">
        <f>CONCATENATE(LEFT(RIGHT(CONCATENATE("000",IFAData_TEA_1617!A1174),6),3),"-",(RIGHT(RIGHT(CONCATENATE("000",IFAData_TEA_1617!A1174),6),3)))</f>
        <v>108-902</v>
      </c>
      <c r="C1174" s="2266" t="s">
        <v>39</v>
      </c>
      <c r="D1174" s="2266">
        <v>2</v>
      </c>
      <c r="E1174" s="2266">
        <v>1769</v>
      </c>
      <c r="F1174" s="2266" t="s">
        <v>5575</v>
      </c>
      <c r="G1174" s="2266" t="s">
        <v>5575</v>
      </c>
      <c r="H1174" s="2266">
        <v>2278200</v>
      </c>
      <c r="I1174" s="2266">
        <v>0</v>
      </c>
      <c r="J1174" s="2266">
        <v>0</v>
      </c>
      <c r="K1174" s="2266">
        <v>0</v>
      </c>
      <c r="L1174" s="2266">
        <v>0</v>
      </c>
      <c r="M1174" s="2266">
        <v>599</v>
      </c>
    </row>
    <row r="1175" spans="1:13" ht="15">
      <c r="A1175" s="2266" t="s">
        <v>4181</v>
      </c>
      <c r="B1175" s="2465" t="str">
        <f>CONCATENATE(LEFT(RIGHT(CONCATENATE("000",IFAData_TEA_1617!A1175),6),3),"-",(RIGHT(RIGHT(CONCATENATE("000",IFAData_TEA_1617!A1175),6),3)))</f>
        <v>108-902</v>
      </c>
      <c r="C1175" s="2266" t="s">
        <v>39</v>
      </c>
      <c r="D1175" s="2266">
        <v>7</v>
      </c>
      <c r="E1175" s="2266">
        <v>1766</v>
      </c>
      <c r="F1175" s="2266" t="s">
        <v>5582</v>
      </c>
      <c r="G1175" s="2266" t="s">
        <v>5582</v>
      </c>
      <c r="H1175" s="2266">
        <v>1010853</v>
      </c>
      <c r="I1175" s="2266">
        <v>0</v>
      </c>
      <c r="J1175" s="2266">
        <v>0</v>
      </c>
      <c r="K1175" s="2266">
        <v>0</v>
      </c>
      <c r="L1175" s="2266">
        <v>0</v>
      </c>
      <c r="M1175" s="2266">
        <v>599</v>
      </c>
    </row>
    <row r="1176" spans="1:13" ht="15">
      <c r="A1176" s="2266" t="s">
        <v>4181</v>
      </c>
      <c r="B1176" s="2465" t="str">
        <f>CONCATENATE(LEFT(RIGHT(CONCATENATE("000",IFAData_TEA_1617!A1176),6),3),"-",(RIGHT(RIGHT(CONCATENATE("000",IFAData_TEA_1617!A1176),6),3)))</f>
        <v>108-902</v>
      </c>
      <c r="C1176" s="2266" t="s">
        <v>39</v>
      </c>
      <c r="D1176" s="2266">
        <v>6</v>
      </c>
      <c r="E1176" s="2266">
        <v>1767</v>
      </c>
      <c r="F1176" s="2266" t="s">
        <v>5580</v>
      </c>
      <c r="G1176" s="2266" t="s">
        <v>5580</v>
      </c>
      <c r="H1176" s="2266">
        <v>1121326</v>
      </c>
      <c r="I1176" s="2266">
        <v>95515</v>
      </c>
      <c r="J1176" s="2266">
        <v>0.23000310636033297</v>
      </c>
      <c r="K1176" s="2266">
        <v>257908.46324260673</v>
      </c>
      <c r="L1176" s="2266">
        <v>95515</v>
      </c>
      <c r="M1176" s="2266">
        <v>599</v>
      </c>
    </row>
    <row r="1177" spans="1:13" ht="15">
      <c r="A1177" s="2266" t="s">
        <v>4181</v>
      </c>
      <c r="B1177" s="2465" t="str">
        <f>CONCATENATE(LEFT(RIGHT(CONCATENATE("000",IFAData_TEA_1617!A1177),6),3),"-",(RIGHT(RIGHT(CONCATENATE("000",IFAData_TEA_1617!A1177),6),3)))</f>
        <v>108-902</v>
      </c>
      <c r="C1177" s="2266" t="s">
        <v>39</v>
      </c>
      <c r="D1177" s="2266">
        <v>4</v>
      </c>
      <c r="E1177" s="2266">
        <v>1768</v>
      </c>
      <c r="F1177" s="2266" t="s">
        <v>5577</v>
      </c>
      <c r="G1177" s="2266" t="s">
        <v>5578</v>
      </c>
      <c r="H1177" s="2266">
        <v>2119597</v>
      </c>
      <c r="I1177" s="2266">
        <v>443458</v>
      </c>
      <c r="J1177" s="2266">
        <v>0.22779998345917885</v>
      </c>
      <c r="K1177" s="2266">
        <v>482844.16154012509</v>
      </c>
      <c r="L1177" s="2266">
        <v>443458</v>
      </c>
      <c r="M1177" s="2266">
        <v>599</v>
      </c>
    </row>
    <row r="1178" spans="1:13" ht="15">
      <c r="A1178" s="2266" t="s">
        <v>4182</v>
      </c>
      <c r="B1178" s="2465" t="str">
        <f>CONCATENATE(LEFT(RIGHT(CONCATENATE("000",IFAData_TEA_1617!A1178),6),3),"-",(RIGHT(RIGHT(CONCATENATE("000",IFAData_TEA_1617!A1178),6),3)))</f>
        <v>108-903</v>
      </c>
      <c r="C1178" s="2266" t="s">
        <v>1217</v>
      </c>
      <c r="D1178" s="2266">
        <v>1</v>
      </c>
      <c r="E1178" s="2266">
        <v>1786</v>
      </c>
      <c r="F1178" s="2266" t="s">
        <v>5585</v>
      </c>
      <c r="G1178" s="2266" t="s">
        <v>6986</v>
      </c>
      <c r="H1178" s="2266">
        <v>1057575</v>
      </c>
      <c r="I1178" s="2266">
        <v>0</v>
      </c>
      <c r="J1178" s="2266">
        <v>0</v>
      </c>
      <c r="K1178" s="2266">
        <v>0</v>
      </c>
      <c r="L1178" s="2266">
        <v>0</v>
      </c>
      <c r="M1178" s="2266">
        <v>599</v>
      </c>
    </row>
    <row r="1179" spans="1:13" ht="15">
      <c r="A1179" s="2266" t="s">
        <v>4182</v>
      </c>
      <c r="B1179" s="2465" t="str">
        <f>CONCATENATE(LEFT(RIGHT(CONCATENATE("000",IFAData_TEA_1617!A1179),6),3),"-",(RIGHT(RIGHT(CONCATENATE("000",IFAData_TEA_1617!A1179),6),3)))</f>
        <v>108-903</v>
      </c>
      <c r="C1179" s="2266" t="s">
        <v>1217</v>
      </c>
      <c r="D1179" s="2266">
        <v>4</v>
      </c>
      <c r="E1179" s="2266">
        <v>1787</v>
      </c>
      <c r="F1179" s="2266" t="s">
        <v>5588</v>
      </c>
      <c r="G1179" s="2266" t="s">
        <v>6986</v>
      </c>
      <c r="H1179" s="2266">
        <v>1123190</v>
      </c>
      <c r="I1179" s="2266">
        <v>146105</v>
      </c>
      <c r="J1179" s="2266">
        <v>0.14321450171194774</v>
      </c>
      <c r="K1179" s="2266">
        <v>160857.09617784258</v>
      </c>
      <c r="L1179" s="2266">
        <v>146105</v>
      </c>
      <c r="M1179" s="2266">
        <v>599</v>
      </c>
    </row>
    <row r="1180" spans="1:13" ht="15">
      <c r="A1180" s="2266" t="s">
        <v>4182</v>
      </c>
      <c r="B1180" s="2465" t="str">
        <f>CONCATENATE(LEFT(RIGHT(CONCATENATE("000",IFAData_TEA_1617!A1180),6),3),"-",(RIGHT(RIGHT(CONCATENATE("000",IFAData_TEA_1617!A1180),6),3)))</f>
        <v>108-903</v>
      </c>
      <c r="C1180" s="2266" t="s">
        <v>1217</v>
      </c>
      <c r="D1180" s="2266">
        <v>8</v>
      </c>
      <c r="E1180" s="2266">
        <v>1788</v>
      </c>
      <c r="F1180" s="2266" t="s">
        <v>5590</v>
      </c>
      <c r="G1180" s="2266" t="s">
        <v>6986</v>
      </c>
      <c r="H1180" s="2266">
        <v>1293870</v>
      </c>
      <c r="I1180" s="2266">
        <v>372904</v>
      </c>
      <c r="J1180" s="2266">
        <v>0.29927489416343972</v>
      </c>
      <c r="K1180" s="2266">
        <v>387222.80731124972</v>
      </c>
      <c r="L1180" s="2266">
        <v>372904</v>
      </c>
      <c r="M1180" s="2266">
        <v>599</v>
      </c>
    </row>
    <row r="1181" spans="1:13" ht="15">
      <c r="A1181" s="2266" t="s">
        <v>4182</v>
      </c>
      <c r="B1181" s="2465" t="str">
        <f>CONCATENATE(LEFT(RIGHT(CONCATENATE("000",IFAData_TEA_1617!A1181),6),3),"-",(RIGHT(RIGHT(CONCATENATE("000",IFAData_TEA_1617!A1181),6),3)))</f>
        <v>108-903</v>
      </c>
      <c r="C1181" s="2266" t="s">
        <v>1217</v>
      </c>
      <c r="D1181" s="2266">
        <v>4</v>
      </c>
      <c r="E1181" s="2266">
        <v>1787</v>
      </c>
      <c r="F1181" s="2266" t="s">
        <v>5588</v>
      </c>
      <c r="G1181" s="2266" t="s">
        <v>5587</v>
      </c>
      <c r="H1181" s="2266">
        <v>1123190</v>
      </c>
      <c r="I1181" s="2266">
        <v>874078</v>
      </c>
      <c r="J1181" s="2266">
        <v>0.85678549828805228</v>
      </c>
      <c r="K1181" s="2266">
        <v>962332.90382215742</v>
      </c>
      <c r="L1181" s="2266">
        <v>874078</v>
      </c>
      <c r="M1181" s="2266">
        <v>599</v>
      </c>
    </row>
    <row r="1182" spans="1:13" ht="15">
      <c r="A1182" s="2266" t="s">
        <v>4182</v>
      </c>
      <c r="B1182" s="2465" t="str">
        <f>CONCATENATE(LEFT(RIGHT(CONCATENATE("000",IFAData_TEA_1617!A1182),6),3),"-",(RIGHT(RIGHT(CONCATENATE("000",IFAData_TEA_1617!A1182),6),3)))</f>
        <v>108-903</v>
      </c>
      <c r="C1182" s="2266" t="s">
        <v>1217</v>
      </c>
      <c r="D1182" s="2266">
        <v>6</v>
      </c>
      <c r="E1182" s="2266">
        <v>1785</v>
      </c>
      <c r="F1182" s="2266" t="s">
        <v>7211</v>
      </c>
      <c r="G1182" s="2266" t="s">
        <v>5589</v>
      </c>
      <c r="H1182" s="2266">
        <v>259798</v>
      </c>
      <c r="I1182" s="2266">
        <v>242604</v>
      </c>
      <c r="J1182" s="2266">
        <v>1</v>
      </c>
      <c r="K1182" s="2266">
        <v>259798</v>
      </c>
      <c r="L1182" s="2266">
        <v>242604</v>
      </c>
      <c r="M1182" s="2266">
        <v>599</v>
      </c>
    </row>
    <row r="1183" spans="1:13" ht="15">
      <c r="A1183" s="2266" t="s">
        <v>4182</v>
      </c>
      <c r="B1183" s="2465" t="str">
        <f>CONCATENATE(LEFT(RIGHT(CONCATENATE("000",IFAData_TEA_1617!A1183),6),3),"-",(RIGHT(RIGHT(CONCATENATE("000",IFAData_TEA_1617!A1183),6),3)))</f>
        <v>108-903</v>
      </c>
      <c r="C1183" s="2266" t="s">
        <v>1217</v>
      </c>
      <c r="D1183" s="2266">
        <v>8</v>
      </c>
      <c r="E1183" s="2266">
        <v>1788</v>
      </c>
      <c r="F1183" s="2266" t="s">
        <v>5590</v>
      </c>
      <c r="G1183" s="2266" t="s">
        <v>5589</v>
      </c>
      <c r="H1183" s="2266">
        <v>1293870</v>
      </c>
      <c r="I1183" s="2266">
        <v>332521</v>
      </c>
      <c r="J1183" s="2266">
        <v>0.26686543207399532</v>
      </c>
      <c r="K1183" s="2266">
        <v>345289.17659758031</v>
      </c>
      <c r="L1183" s="2266">
        <v>332521</v>
      </c>
      <c r="M1183" s="2266">
        <v>599</v>
      </c>
    </row>
    <row r="1184" spans="1:13" ht="15">
      <c r="A1184" s="2266" t="s">
        <v>4182</v>
      </c>
      <c r="B1184" s="2465" t="str">
        <f>CONCATENATE(LEFT(RIGHT(CONCATENATE("000",IFAData_TEA_1617!A1184),6),3),"-",(RIGHT(RIGHT(CONCATENATE("000",IFAData_TEA_1617!A1184),6),3)))</f>
        <v>108-903</v>
      </c>
      <c r="C1184" s="2266" t="s">
        <v>1217</v>
      </c>
      <c r="D1184" s="2266">
        <v>8</v>
      </c>
      <c r="E1184" s="2266">
        <v>1788</v>
      </c>
      <c r="F1184" s="2266" t="s">
        <v>5590</v>
      </c>
      <c r="G1184" s="2266" t="s">
        <v>5590</v>
      </c>
      <c r="H1184" s="2266">
        <v>1293870</v>
      </c>
      <c r="I1184" s="2266">
        <v>540600</v>
      </c>
      <c r="J1184" s="2266">
        <v>0.43385967376256496</v>
      </c>
      <c r="K1184" s="2266">
        <v>561358.01609116991</v>
      </c>
      <c r="L1184" s="2266">
        <v>540600</v>
      </c>
      <c r="M1184" s="2266">
        <v>599</v>
      </c>
    </row>
    <row r="1185" spans="1:13" ht="15">
      <c r="A1185" s="2266" t="s">
        <v>4182</v>
      </c>
      <c r="B1185" s="2465" t="str">
        <f>CONCATENATE(LEFT(RIGHT(CONCATENATE("000",IFAData_TEA_1617!A1185),6),3),"-",(RIGHT(RIGHT(CONCATENATE("000",IFAData_TEA_1617!A1185),6),3)))</f>
        <v>108-903</v>
      </c>
      <c r="C1185" s="2266" t="s">
        <v>1217</v>
      </c>
      <c r="D1185" s="2266">
        <v>1</v>
      </c>
      <c r="E1185" s="2266">
        <v>1786</v>
      </c>
      <c r="F1185" s="2266" t="s">
        <v>5585</v>
      </c>
      <c r="G1185" s="2266" t="s">
        <v>5585</v>
      </c>
      <c r="H1185" s="2266">
        <v>1057575</v>
      </c>
      <c r="I1185" s="2266">
        <v>0</v>
      </c>
      <c r="J1185" s="2266">
        <v>0</v>
      </c>
      <c r="K1185" s="2266">
        <v>0</v>
      </c>
      <c r="L1185" s="2266">
        <v>0</v>
      </c>
      <c r="M1185" s="2266">
        <v>599</v>
      </c>
    </row>
    <row r="1186" spans="1:13" ht="15">
      <c r="A1186" s="2266" t="s">
        <v>4182</v>
      </c>
      <c r="B1186" s="2465" t="str">
        <f>CONCATENATE(LEFT(RIGHT(CONCATENATE("000",IFAData_TEA_1617!A1186),6),3),"-",(RIGHT(RIGHT(CONCATENATE("000",IFAData_TEA_1617!A1186),6),3)))</f>
        <v>108-903</v>
      </c>
      <c r="C1186" s="2266" t="s">
        <v>1217</v>
      </c>
      <c r="D1186" s="2266">
        <v>1</v>
      </c>
      <c r="E1186" s="2266">
        <v>1786</v>
      </c>
      <c r="F1186" s="2266" t="s">
        <v>5585</v>
      </c>
      <c r="G1186" s="2266" t="s">
        <v>5586</v>
      </c>
      <c r="H1186" s="2266">
        <v>1057575</v>
      </c>
      <c r="I1186" s="2266">
        <v>149835</v>
      </c>
      <c r="J1186" s="2266">
        <v>0.15890750625459352</v>
      </c>
      <c r="K1186" s="2266">
        <v>168056.60592720174</v>
      </c>
      <c r="L1186" s="2266">
        <v>149835</v>
      </c>
      <c r="M1186" s="2266">
        <v>599</v>
      </c>
    </row>
    <row r="1187" spans="1:13" ht="15">
      <c r="A1187" s="2266" t="s">
        <v>4182</v>
      </c>
      <c r="B1187" s="2465" t="str">
        <f>CONCATENATE(LEFT(RIGHT(CONCATENATE("000",IFAData_TEA_1617!A1187),6),3),"-",(RIGHT(RIGHT(CONCATENATE("000",IFAData_TEA_1617!A1187),6),3)))</f>
        <v>108-903</v>
      </c>
      <c r="C1187" s="2266" t="s">
        <v>1217</v>
      </c>
      <c r="D1187" s="2266">
        <v>4</v>
      </c>
      <c r="E1187" s="2266">
        <v>1787</v>
      </c>
      <c r="F1187" s="2266" t="s">
        <v>5588</v>
      </c>
      <c r="G1187" s="2266" t="s">
        <v>5588</v>
      </c>
      <c r="H1187" s="2266">
        <v>1123190</v>
      </c>
      <c r="I1187" s="2266">
        <v>0</v>
      </c>
      <c r="J1187" s="2266">
        <v>0</v>
      </c>
      <c r="K1187" s="2266">
        <v>0</v>
      </c>
      <c r="L1187" s="2266">
        <v>0</v>
      </c>
      <c r="M1187" s="2266">
        <v>599</v>
      </c>
    </row>
    <row r="1188" spans="1:13" ht="15">
      <c r="A1188" s="2266" t="s">
        <v>4182</v>
      </c>
      <c r="B1188" s="2465" t="str">
        <f>CONCATENATE(LEFT(RIGHT(CONCATENATE("000",IFAData_TEA_1617!A1188),6),3),"-",(RIGHT(RIGHT(CONCATENATE("000",IFAData_TEA_1617!A1188),6),3)))</f>
        <v>108-903</v>
      </c>
      <c r="C1188" s="2266" t="s">
        <v>1217</v>
      </c>
      <c r="D1188" s="2266">
        <v>4</v>
      </c>
      <c r="E1188" s="2266">
        <v>1787</v>
      </c>
      <c r="F1188" s="2266" t="s">
        <v>5588</v>
      </c>
      <c r="G1188" s="2266" t="s">
        <v>5586</v>
      </c>
      <c r="H1188" s="2266">
        <v>1123190</v>
      </c>
      <c r="I1188" s="2266">
        <v>0</v>
      </c>
      <c r="J1188" s="2266">
        <v>0</v>
      </c>
      <c r="K1188" s="2266">
        <v>0</v>
      </c>
      <c r="L1188" s="2266">
        <v>0</v>
      </c>
      <c r="M1188" s="2266">
        <v>599</v>
      </c>
    </row>
    <row r="1189" spans="1:13" ht="15">
      <c r="A1189" s="2266" t="s">
        <v>4182</v>
      </c>
      <c r="B1189" s="2465" t="str">
        <f>CONCATENATE(LEFT(RIGHT(CONCATENATE("000",IFAData_TEA_1617!A1189),6),3),"-",(RIGHT(RIGHT(CONCATENATE("000",IFAData_TEA_1617!A1189),6),3)))</f>
        <v>108-903</v>
      </c>
      <c r="C1189" s="2266" t="s">
        <v>1217</v>
      </c>
      <c r="D1189" s="2266">
        <v>1</v>
      </c>
      <c r="E1189" s="2266">
        <v>1786</v>
      </c>
      <c r="F1189" s="2266" t="s">
        <v>5585</v>
      </c>
      <c r="G1189" s="2266" t="s">
        <v>5587</v>
      </c>
      <c r="H1189" s="2266">
        <v>1057575</v>
      </c>
      <c r="I1189" s="2266">
        <v>793072</v>
      </c>
      <c r="J1189" s="2266">
        <v>0.84109249374540651</v>
      </c>
      <c r="K1189" s="2266">
        <v>889518.39407279831</v>
      </c>
      <c r="L1189" s="2266">
        <v>793072</v>
      </c>
      <c r="M1189" s="2266">
        <v>599</v>
      </c>
    </row>
    <row r="1190" spans="1:13" ht="15">
      <c r="A1190" s="2266" t="s">
        <v>4182</v>
      </c>
      <c r="B1190" s="2465" t="str">
        <f>CONCATENATE(LEFT(RIGHT(CONCATENATE("000",IFAData_TEA_1617!A1190),6),3),"-",(RIGHT(RIGHT(CONCATENATE("000",IFAData_TEA_1617!A1190),6),3)))</f>
        <v>108-903</v>
      </c>
      <c r="C1190" s="2266" t="s">
        <v>1217</v>
      </c>
      <c r="D1190" s="2266">
        <v>6</v>
      </c>
      <c r="E1190" s="2266">
        <v>1785</v>
      </c>
      <c r="F1190" s="2266" t="s">
        <v>7211</v>
      </c>
      <c r="G1190" s="2266" t="s">
        <v>7211</v>
      </c>
      <c r="H1190" s="2266">
        <v>259798</v>
      </c>
      <c r="I1190" s="2266">
        <v>0</v>
      </c>
      <c r="J1190" s="2266">
        <v>0</v>
      </c>
      <c r="K1190" s="2266">
        <v>0</v>
      </c>
      <c r="L1190" s="2266">
        <v>0</v>
      </c>
      <c r="M1190" s="2266">
        <v>599</v>
      </c>
    </row>
    <row r="1191" spans="1:13" ht="15">
      <c r="A1191" s="2266" t="s">
        <v>4183</v>
      </c>
      <c r="B1191" s="2465" t="str">
        <f>CONCATENATE(LEFT(RIGHT(CONCATENATE("000",IFAData_TEA_1617!A1191),6),3),"-",(RIGHT(RIGHT(CONCATENATE("000",IFAData_TEA_1617!A1191),6),3)))</f>
        <v>108-904</v>
      </c>
      <c r="C1191" s="2266" t="s">
        <v>40</v>
      </c>
      <c r="D1191" s="2266">
        <v>3</v>
      </c>
      <c r="E1191" s="2266">
        <v>1795</v>
      </c>
      <c r="F1191" s="2266" t="s">
        <v>5591</v>
      </c>
      <c r="G1191" s="2266" t="s">
        <v>5591</v>
      </c>
      <c r="H1191" s="2266">
        <v>3968103</v>
      </c>
      <c r="I1191" s="2266">
        <v>0</v>
      </c>
      <c r="J1191" s="2266">
        <v>0</v>
      </c>
      <c r="K1191" s="2266">
        <v>0</v>
      </c>
      <c r="L1191" s="2266">
        <v>0</v>
      </c>
      <c r="M1191" s="2266">
        <v>199</v>
      </c>
    </row>
    <row r="1192" spans="1:13" ht="15">
      <c r="A1192" s="2266" t="s">
        <v>4183</v>
      </c>
      <c r="B1192" s="2465" t="str">
        <f>CONCATENATE(LEFT(RIGHT(CONCATENATE("000",IFAData_TEA_1617!A1192),6),3),"-",(RIGHT(RIGHT(CONCATENATE("000",IFAData_TEA_1617!A1192),6),3)))</f>
        <v>108-904</v>
      </c>
      <c r="C1192" s="2266" t="s">
        <v>40</v>
      </c>
      <c r="D1192" s="2266">
        <v>4</v>
      </c>
      <c r="E1192" s="2266">
        <v>1796</v>
      </c>
      <c r="F1192" s="2266" t="s">
        <v>5593</v>
      </c>
      <c r="G1192" s="2266" t="s">
        <v>6987</v>
      </c>
      <c r="H1192" s="2266">
        <v>3996878</v>
      </c>
      <c r="I1192" s="2266">
        <v>3309186</v>
      </c>
      <c r="J1192" s="2266">
        <v>1</v>
      </c>
      <c r="K1192" s="2266">
        <v>3996878</v>
      </c>
      <c r="L1192" s="2266">
        <v>3309186</v>
      </c>
      <c r="M1192" s="2266">
        <v>599</v>
      </c>
    </row>
    <row r="1193" spans="1:13" ht="15">
      <c r="A1193" s="2266" t="s">
        <v>4183</v>
      </c>
      <c r="B1193" s="2465" t="str">
        <f>CONCATENATE(LEFT(RIGHT(CONCATENATE("000",IFAData_TEA_1617!A1193),6),3),"-",(RIGHT(RIGHT(CONCATENATE("000",IFAData_TEA_1617!A1193),6),3)))</f>
        <v>108-904</v>
      </c>
      <c r="C1193" s="2266" t="s">
        <v>40</v>
      </c>
      <c r="D1193" s="2266">
        <v>4</v>
      </c>
      <c r="E1193" s="2266">
        <v>1796</v>
      </c>
      <c r="F1193" s="2266" t="s">
        <v>5593</v>
      </c>
      <c r="G1193" s="2266" t="s">
        <v>5594</v>
      </c>
      <c r="H1193" s="2266">
        <v>3996878</v>
      </c>
      <c r="I1193" s="2266">
        <v>0</v>
      </c>
      <c r="J1193" s="2266">
        <v>0</v>
      </c>
      <c r="K1193" s="2266">
        <v>0</v>
      </c>
      <c r="L1193" s="2266">
        <v>0</v>
      </c>
      <c r="M1193" s="2266">
        <v>599</v>
      </c>
    </row>
    <row r="1194" spans="1:13" ht="15">
      <c r="A1194" s="2266" t="s">
        <v>4183</v>
      </c>
      <c r="B1194" s="2465" t="str">
        <f>CONCATENATE(LEFT(RIGHT(CONCATENATE("000",IFAData_TEA_1617!A1194),6),3),"-",(RIGHT(RIGHT(CONCATENATE("000",IFAData_TEA_1617!A1194),6),3)))</f>
        <v>108-904</v>
      </c>
      <c r="C1194" s="2266" t="s">
        <v>40</v>
      </c>
      <c r="D1194" s="2266">
        <v>9</v>
      </c>
      <c r="E1194" s="2266">
        <v>1797</v>
      </c>
      <c r="F1194" s="2266" t="s">
        <v>5595</v>
      </c>
      <c r="G1194" s="2266" t="s">
        <v>7212</v>
      </c>
      <c r="H1194" s="2266">
        <v>7109662</v>
      </c>
      <c r="I1194" s="2266">
        <v>3951650</v>
      </c>
      <c r="J1194" s="2266">
        <v>0.60114397851997781</v>
      </c>
      <c r="K1194" s="2266">
        <v>4273930.5006123027</v>
      </c>
      <c r="L1194" s="2266">
        <v>3951650</v>
      </c>
      <c r="M1194" s="2266">
        <v>599</v>
      </c>
    </row>
    <row r="1195" spans="1:13" ht="15">
      <c r="A1195" s="2266" t="s">
        <v>4183</v>
      </c>
      <c r="B1195" s="2465" t="str">
        <f>CONCATENATE(LEFT(RIGHT(CONCATENATE("000",IFAData_TEA_1617!A1195),6),3),"-",(RIGHT(RIGHT(CONCATENATE("000",IFAData_TEA_1617!A1195),6),3)))</f>
        <v>108-904</v>
      </c>
      <c r="C1195" s="2266" t="s">
        <v>40</v>
      </c>
      <c r="D1195" s="2266">
        <v>4</v>
      </c>
      <c r="E1195" s="2266">
        <v>1796</v>
      </c>
      <c r="F1195" s="2266" t="s">
        <v>5593</v>
      </c>
      <c r="G1195" s="2266" t="s">
        <v>5593</v>
      </c>
      <c r="H1195" s="2266">
        <v>3996878</v>
      </c>
      <c r="I1195" s="2266">
        <v>0</v>
      </c>
      <c r="J1195" s="2266">
        <v>0</v>
      </c>
      <c r="K1195" s="2266">
        <v>0</v>
      </c>
      <c r="L1195" s="2266">
        <v>0</v>
      </c>
      <c r="M1195" s="2266">
        <v>599</v>
      </c>
    </row>
    <row r="1196" spans="1:13" ht="15">
      <c r="A1196" s="2266" t="s">
        <v>4183</v>
      </c>
      <c r="B1196" s="2465" t="str">
        <f>CONCATENATE(LEFT(RIGHT(CONCATENATE("000",IFAData_TEA_1617!A1196),6),3),"-",(RIGHT(RIGHT(CONCATENATE("000",IFAData_TEA_1617!A1196),6),3)))</f>
        <v>108-904</v>
      </c>
      <c r="C1196" s="2266" t="s">
        <v>40</v>
      </c>
      <c r="D1196" s="2266">
        <v>9</v>
      </c>
      <c r="E1196" s="2266">
        <v>1797</v>
      </c>
      <c r="F1196" s="2266" t="s">
        <v>5595</v>
      </c>
      <c r="G1196" s="2266" t="s">
        <v>5595</v>
      </c>
      <c r="H1196" s="2266">
        <v>7109662</v>
      </c>
      <c r="I1196" s="2266">
        <v>2621900</v>
      </c>
      <c r="J1196" s="2266">
        <v>0.39885602148002219</v>
      </c>
      <c r="K1196" s="2266">
        <v>2835731.4993876978</v>
      </c>
      <c r="L1196" s="2266">
        <v>2621900</v>
      </c>
      <c r="M1196" s="2266">
        <v>599</v>
      </c>
    </row>
    <row r="1197" spans="1:13" ht="15">
      <c r="A1197" s="2266" t="s">
        <v>4183</v>
      </c>
      <c r="B1197" s="2465" t="str">
        <f>CONCATENATE(LEFT(RIGHT(CONCATENATE("000",IFAData_TEA_1617!A1197),6),3),"-",(RIGHT(RIGHT(CONCATENATE("000",IFAData_TEA_1617!A1197),6),3)))</f>
        <v>108-904</v>
      </c>
      <c r="C1197" s="2266" t="s">
        <v>40</v>
      </c>
      <c r="D1197" s="2266">
        <v>3</v>
      </c>
      <c r="E1197" s="2266">
        <v>1795</v>
      </c>
      <c r="F1197" s="2266" t="s">
        <v>5591</v>
      </c>
      <c r="G1197" s="2266" t="s">
        <v>5592</v>
      </c>
      <c r="H1197" s="2266">
        <v>3968103</v>
      </c>
      <c r="I1197" s="2266">
        <v>3766011</v>
      </c>
      <c r="J1197" s="2266">
        <v>1</v>
      </c>
      <c r="K1197" s="2266">
        <v>3968103</v>
      </c>
      <c r="L1197" s="2266">
        <v>3766011</v>
      </c>
      <c r="M1197" s="2266">
        <v>599</v>
      </c>
    </row>
    <row r="1198" spans="1:13" ht="15">
      <c r="A1198" s="2266" t="s">
        <v>4184</v>
      </c>
      <c r="B1198" s="2465" t="str">
        <f>CONCATENATE(LEFT(RIGHT(CONCATENATE("000",IFAData_TEA_1617!A1198),6),3),"-",(RIGHT(RIGHT(CONCATENATE("000",IFAData_TEA_1617!A1198),6),3)))</f>
        <v>108-905</v>
      </c>
      <c r="C1198" s="2266" t="s">
        <v>2725</v>
      </c>
      <c r="D1198" s="2266">
        <v>7</v>
      </c>
      <c r="E1198" s="2266">
        <v>1888</v>
      </c>
      <c r="F1198" s="2266" t="s">
        <v>5601</v>
      </c>
      <c r="G1198" s="2266" t="s">
        <v>6988</v>
      </c>
      <c r="H1198" s="2266">
        <v>437778</v>
      </c>
      <c r="I1198" s="2266">
        <v>328850</v>
      </c>
      <c r="J1198" s="2266">
        <v>1</v>
      </c>
      <c r="K1198" s="2266">
        <v>437778</v>
      </c>
      <c r="L1198" s="2266">
        <v>328850</v>
      </c>
      <c r="M1198" s="2266">
        <v>599</v>
      </c>
    </row>
    <row r="1199" spans="1:13" ht="15">
      <c r="A1199" s="2266" t="s">
        <v>4184</v>
      </c>
      <c r="B1199" s="2465" t="str">
        <f>CONCATENATE(LEFT(RIGHT(CONCATENATE("000",IFAData_TEA_1617!A1199),6),3),"-",(RIGHT(RIGHT(CONCATENATE("000",IFAData_TEA_1617!A1199),6),3)))</f>
        <v>108-905</v>
      </c>
      <c r="C1199" s="2266" t="s">
        <v>2725</v>
      </c>
      <c r="D1199" s="2266">
        <v>8</v>
      </c>
      <c r="E1199" s="2266">
        <v>1891</v>
      </c>
      <c r="F1199" s="2266" t="s">
        <v>5602</v>
      </c>
      <c r="G1199" s="2266" t="s">
        <v>5602</v>
      </c>
      <c r="H1199" s="2266">
        <v>750887</v>
      </c>
      <c r="I1199" s="2266">
        <v>0</v>
      </c>
      <c r="J1199" s="2266">
        <v>0</v>
      </c>
      <c r="K1199" s="2266">
        <v>0</v>
      </c>
      <c r="L1199" s="2266">
        <v>0</v>
      </c>
      <c r="M1199" s="2266">
        <v>599</v>
      </c>
    </row>
    <row r="1200" spans="1:13" ht="15">
      <c r="A1200" s="2266" t="s">
        <v>4184</v>
      </c>
      <c r="B1200" s="2465" t="str">
        <f>CONCATENATE(LEFT(RIGHT(CONCATENATE("000",IFAData_TEA_1617!A1200),6),3),"-",(RIGHT(RIGHT(CONCATENATE("000",IFAData_TEA_1617!A1200),6),3)))</f>
        <v>108-905</v>
      </c>
      <c r="C1200" s="2266" t="s">
        <v>2725</v>
      </c>
      <c r="D1200" s="2266">
        <v>7</v>
      </c>
      <c r="E1200" s="2266">
        <v>1885</v>
      </c>
      <c r="F1200" s="2266" t="s">
        <v>5599</v>
      </c>
      <c r="G1200" s="2266" t="s">
        <v>5600</v>
      </c>
      <c r="H1200" s="2266">
        <v>198684</v>
      </c>
      <c r="I1200" s="2266">
        <v>257995</v>
      </c>
      <c r="J1200" s="2266">
        <v>1</v>
      </c>
      <c r="K1200" s="2266">
        <v>198684</v>
      </c>
      <c r="L1200" s="2266">
        <v>198684</v>
      </c>
      <c r="M1200" s="2266">
        <v>599</v>
      </c>
    </row>
    <row r="1201" spans="1:13" ht="15">
      <c r="A1201" s="2266" t="s">
        <v>4184</v>
      </c>
      <c r="B1201" s="2465" t="str">
        <f>CONCATENATE(LEFT(RIGHT(CONCATENATE("000",IFAData_TEA_1617!A1201),6),3),"-",(RIGHT(RIGHT(CONCATENATE("000",IFAData_TEA_1617!A1201),6),3)))</f>
        <v>108-905</v>
      </c>
      <c r="C1201" s="2266" t="s">
        <v>2725</v>
      </c>
      <c r="D1201" s="2266">
        <v>1</v>
      </c>
      <c r="E1201" s="2266">
        <v>1889</v>
      </c>
      <c r="F1201" s="2266" t="s">
        <v>5596</v>
      </c>
      <c r="G1201" s="2266" t="s">
        <v>5597</v>
      </c>
      <c r="H1201" s="2266">
        <v>551171</v>
      </c>
      <c r="I1201" s="2266">
        <v>482640</v>
      </c>
      <c r="J1201" s="2266">
        <v>1</v>
      </c>
      <c r="K1201" s="2266">
        <v>551171</v>
      </c>
      <c r="L1201" s="2266">
        <v>482640</v>
      </c>
      <c r="M1201" s="2266">
        <v>599</v>
      </c>
    </row>
    <row r="1202" spans="1:13" ht="15">
      <c r="A1202" s="2266" t="s">
        <v>4184</v>
      </c>
      <c r="B1202" s="2465" t="str">
        <f>CONCATENATE(LEFT(RIGHT(CONCATENATE("000",IFAData_TEA_1617!A1202),6),3),"-",(RIGHT(RIGHT(CONCATENATE("000",IFAData_TEA_1617!A1202),6),3)))</f>
        <v>108-905</v>
      </c>
      <c r="C1202" s="2266" t="s">
        <v>2725</v>
      </c>
      <c r="D1202" s="2266">
        <v>4</v>
      </c>
      <c r="E1202" s="2266">
        <v>1890</v>
      </c>
      <c r="F1202" s="2266" t="s">
        <v>5598</v>
      </c>
      <c r="G1202" s="2266" t="s">
        <v>5597</v>
      </c>
      <c r="H1202" s="2266">
        <v>613155</v>
      </c>
      <c r="I1202" s="2266">
        <v>522435</v>
      </c>
      <c r="J1202" s="2266">
        <v>1</v>
      </c>
      <c r="K1202" s="2266">
        <v>613155</v>
      </c>
      <c r="L1202" s="2266">
        <v>522435</v>
      </c>
      <c r="M1202" s="2266">
        <v>599</v>
      </c>
    </row>
    <row r="1203" spans="1:13" ht="15">
      <c r="A1203" s="2266" t="s">
        <v>4184</v>
      </c>
      <c r="B1203" s="2465" t="str">
        <f>CONCATENATE(LEFT(RIGHT(CONCATENATE("000",IFAData_TEA_1617!A1203),6),3),"-",(RIGHT(RIGHT(CONCATENATE("000",IFAData_TEA_1617!A1203),6),3)))</f>
        <v>108-905</v>
      </c>
      <c r="C1203" s="2266" t="s">
        <v>2725</v>
      </c>
      <c r="D1203" s="2266">
        <v>9</v>
      </c>
      <c r="E1203" s="2266">
        <v>1886</v>
      </c>
      <c r="F1203" s="2266" t="s">
        <v>5603</v>
      </c>
      <c r="G1203" s="2266" t="s">
        <v>5603</v>
      </c>
      <c r="H1203" s="2266">
        <v>199228</v>
      </c>
      <c r="I1203" s="2266">
        <v>86700</v>
      </c>
      <c r="J1203" s="2266">
        <v>0.48422228427813457</v>
      </c>
      <c r="K1203" s="2266">
        <v>96470.63725216419</v>
      </c>
      <c r="L1203" s="2266">
        <v>86700</v>
      </c>
      <c r="M1203" s="2266">
        <v>599</v>
      </c>
    </row>
    <row r="1204" spans="1:13" ht="15">
      <c r="A1204" s="2266" t="s">
        <v>4184</v>
      </c>
      <c r="B1204" s="2465" t="str">
        <f>CONCATENATE(LEFT(RIGHT(CONCATENATE("000",IFAData_TEA_1617!A1204),6),3),"-",(RIGHT(RIGHT(CONCATENATE("000",IFAData_TEA_1617!A1204),6),3)))</f>
        <v>108-905</v>
      </c>
      <c r="C1204" s="2266" t="s">
        <v>2725</v>
      </c>
      <c r="D1204" s="2266">
        <v>9</v>
      </c>
      <c r="E1204" s="2266">
        <v>1886</v>
      </c>
      <c r="F1204" s="2266" t="s">
        <v>5603</v>
      </c>
      <c r="G1204" s="2266" t="s">
        <v>7213</v>
      </c>
      <c r="H1204" s="2266">
        <v>199228</v>
      </c>
      <c r="I1204" s="2266">
        <v>92350</v>
      </c>
      <c r="J1204" s="2266">
        <v>0.51577771572186537</v>
      </c>
      <c r="K1204" s="2266">
        <v>102757.3627478358</v>
      </c>
      <c r="L1204" s="2266">
        <v>92350</v>
      </c>
      <c r="M1204" s="2266">
        <v>599</v>
      </c>
    </row>
    <row r="1205" spans="1:13" ht="15">
      <c r="A1205" s="2266" t="s">
        <v>4184</v>
      </c>
      <c r="B1205" s="2465" t="str">
        <f>CONCATENATE(LEFT(RIGHT(CONCATENATE("000",IFAData_TEA_1617!A1205),6),3),"-",(RIGHT(RIGHT(CONCATENATE("000",IFAData_TEA_1617!A1205),6),3)))</f>
        <v>108-905</v>
      </c>
      <c r="C1205" s="2266" t="s">
        <v>2725</v>
      </c>
      <c r="D1205" s="2266">
        <v>1</v>
      </c>
      <c r="E1205" s="2266">
        <v>1889</v>
      </c>
      <c r="F1205" s="2266" t="s">
        <v>5596</v>
      </c>
      <c r="G1205" s="2266" t="s">
        <v>5596</v>
      </c>
      <c r="H1205" s="2266">
        <v>551171</v>
      </c>
      <c r="I1205" s="2266">
        <v>0</v>
      </c>
      <c r="J1205" s="2266">
        <v>0</v>
      </c>
      <c r="K1205" s="2266">
        <v>0</v>
      </c>
      <c r="L1205" s="2266">
        <v>0</v>
      </c>
      <c r="M1205" s="2266">
        <v>599</v>
      </c>
    </row>
    <row r="1206" spans="1:13" ht="15">
      <c r="A1206" s="2266" t="s">
        <v>4184</v>
      </c>
      <c r="B1206" s="2465" t="str">
        <f>CONCATENATE(LEFT(RIGHT(CONCATENATE("000",IFAData_TEA_1617!A1206),6),3),"-",(RIGHT(RIGHT(CONCATENATE("000",IFAData_TEA_1617!A1206),6),3)))</f>
        <v>108-905</v>
      </c>
      <c r="C1206" s="2266" t="s">
        <v>2725</v>
      </c>
      <c r="D1206" s="2266">
        <v>7</v>
      </c>
      <c r="E1206" s="2266">
        <v>1888</v>
      </c>
      <c r="F1206" s="2266" t="s">
        <v>5601</v>
      </c>
      <c r="G1206" s="2266" t="s">
        <v>5601</v>
      </c>
      <c r="H1206" s="2266">
        <v>437778</v>
      </c>
      <c r="I1206" s="2266">
        <v>0</v>
      </c>
      <c r="J1206" s="2266">
        <v>0</v>
      </c>
      <c r="K1206" s="2266">
        <v>0</v>
      </c>
      <c r="L1206" s="2266">
        <v>0</v>
      </c>
      <c r="M1206" s="2266">
        <v>599</v>
      </c>
    </row>
    <row r="1207" spans="1:13" ht="15">
      <c r="A1207" s="2266" t="s">
        <v>4184</v>
      </c>
      <c r="B1207" s="2465" t="str">
        <f>CONCATENATE(LEFT(RIGHT(CONCATENATE("000",IFAData_TEA_1617!A1207),6),3),"-",(RIGHT(RIGHT(CONCATENATE("000",IFAData_TEA_1617!A1207),6),3)))</f>
        <v>108-905</v>
      </c>
      <c r="C1207" s="2266" t="s">
        <v>2725</v>
      </c>
      <c r="D1207" s="2266">
        <v>4</v>
      </c>
      <c r="E1207" s="2266">
        <v>1890</v>
      </c>
      <c r="F1207" s="2266" t="s">
        <v>5598</v>
      </c>
      <c r="G1207" s="2266" t="s">
        <v>5598</v>
      </c>
      <c r="H1207" s="2266">
        <v>613155</v>
      </c>
      <c r="I1207" s="2266">
        <v>0</v>
      </c>
      <c r="J1207" s="2266">
        <v>0</v>
      </c>
      <c r="K1207" s="2266">
        <v>0</v>
      </c>
      <c r="L1207" s="2266">
        <v>0</v>
      </c>
      <c r="M1207" s="2266">
        <v>599</v>
      </c>
    </row>
    <row r="1208" spans="1:13" ht="15">
      <c r="A1208" s="2266" t="s">
        <v>4184</v>
      </c>
      <c r="B1208" s="2465" t="str">
        <f>CONCATENATE(LEFT(RIGHT(CONCATENATE("000",IFAData_TEA_1617!A1208),6),3),"-",(RIGHT(RIGHT(CONCATENATE("000",IFAData_TEA_1617!A1208),6),3)))</f>
        <v>108-905</v>
      </c>
      <c r="C1208" s="2266" t="s">
        <v>2725</v>
      </c>
      <c r="D1208" s="2266">
        <v>7</v>
      </c>
      <c r="E1208" s="2266">
        <v>1885</v>
      </c>
      <c r="F1208" s="2266" t="s">
        <v>5599</v>
      </c>
      <c r="G1208" s="2266" t="s">
        <v>5599</v>
      </c>
      <c r="H1208" s="2266">
        <v>198684</v>
      </c>
      <c r="I1208" s="2266">
        <v>0</v>
      </c>
      <c r="J1208" s="2266">
        <v>0</v>
      </c>
      <c r="K1208" s="2266">
        <v>0</v>
      </c>
      <c r="L1208" s="2266">
        <v>0</v>
      </c>
      <c r="M1208" s="2266">
        <v>599</v>
      </c>
    </row>
    <row r="1209" spans="1:13" ht="15">
      <c r="A1209" s="2266" t="s">
        <v>4184</v>
      </c>
      <c r="B1209" s="2465" t="str">
        <f>CONCATENATE(LEFT(RIGHT(CONCATENATE("000",IFAData_TEA_1617!A1209),6),3),"-",(RIGHT(RIGHT(CONCATENATE("000",IFAData_TEA_1617!A1209),6),3)))</f>
        <v>108-905</v>
      </c>
      <c r="C1209" s="2266" t="s">
        <v>2725</v>
      </c>
      <c r="D1209" s="2266">
        <v>9</v>
      </c>
      <c r="E1209" s="2266">
        <v>1887</v>
      </c>
      <c r="F1209" s="2266" t="s">
        <v>5604</v>
      </c>
      <c r="G1209" s="2266" t="s">
        <v>5604</v>
      </c>
      <c r="H1209" s="2266">
        <v>342650</v>
      </c>
      <c r="I1209" s="2266">
        <v>341718</v>
      </c>
      <c r="J1209" s="2266">
        <v>1</v>
      </c>
      <c r="K1209" s="2266">
        <v>342650</v>
      </c>
      <c r="L1209" s="2266">
        <v>341718</v>
      </c>
      <c r="M1209" s="2266">
        <v>599</v>
      </c>
    </row>
    <row r="1210" spans="1:13" ht="15">
      <c r="A1210" s="2266" t="s">
        <v>4184</v>
      </c>
      <c r="B1210" s="2465" t="str">
        <f>CONCATENATE(LEFT(RIGHT(CONCATENATE("000",IFAData_TEA_1617!A1210),6),3),"-",(RIGHT(RIGHT(CONCATENATE("000",IFAData_TEA_1617!A1210),6),3)))</f>
        <v>108-905</v>
      </c>
      <c r="C1210" s="2266" t="s">
        <v>2725</v>
      </c>
      <c r="D1210" s="2266">
        <v>8</v>
      </c>
      <c r="E1210" s="2266">
        <v>1891</v>
      </c>
      <c r="F1210" s="2266" t="s">
        <v>5602</v>
      </c>
      <c r="G1210" s="2266" t="s">
        <v>7214</v>
      </c>
      <c r="H1210" s="2266">
        <v>750887</v>
      </c>
      <c r="I1210" s="2266">
        <v>416350</v>
      </c>
      <c r="J1210" s="2266">
        <v>1</v>
      </c>
      <c r="K1210" s="2266">
        <v>750887</v>
      </c>
      <c r="L1210" s="2266">
        <v>416350</v>
      </c>
      <c r="M1210" s="2266">
        <v>599</v>
      </c>
    </row>
    <row r="1211" spans="1:13" ht="15">
      <c r="A1211" s="2266" t="s">
        <v>4185</v>
      </c>
      <c r="B1211" s="2465" t="str">
        <f>CONCATENATE(LEFT(RIGHT(CONCATENATE("000",IFAData_TEA_1617!A1211),6),3),"-",(RIGHT(RIGHT(CONCATENATE("000",IFAData_TEA_1617!A1211),6),3)))</f>
        <v>108-906</v>
      </c>
      <c r="C1211" s="2266" t="s">
        <v>925</v>
      </c>
      <c r="D1211" s="2266">
        <v>2</v>
      </c>
      <c r="E1211" s="2266">
        <v>2079</v>
      </c>
      <c r="F1211" s="2266" t="s">
        <v>5605</v>
      </c>
      <c r="G1211" s="2266" t="s">
        <v>5609</v>
      </c>
      <c r="H1211" s="2266">
        <v>1567290</v>
      </c>
      <c r="I1211" s="2266">
        <v>0</v>
      </c>
      <c r="J1211" s="2266">
        <v>0</v>
      </c>
      <c r="K1211" s="2266">
        <v>0</v>
      </c>
      <c r="L1211" s="2266">
        <v>0</v>
      </c>
      <c r="M1211" s="2266">
        <v>599</v>
      </c>
    </row>
    <row r="1212" spans="1:13" ht="15">
      <c r="A1212" s="2266" t="s">
        <v>4185</v>
      </c>
      <c r="B1212" s="2465" t="str">
        <f>CONCATENATE(LEFT(RIGHT(CONCATENATE("000",IFAData_TEA_1617!A1212),6),3),"-",(RIGHT(RIGHT(CONCATENATE("000",IFAData_TEA_1617!A1212),6),3)))</f>
        <v>108-906</v>
      </c>
      <c r="C1212" s="2266" t="s">
        <v>925</v>
      </c>
      <c r="D1212" s="2266">
        <v>2</v>
      </c>
      <c r="E1212" s="2266">
        <v>2079</v>
      </c>
      <c r="F1212" s="2266" t="s">
        <v>5605</v>
      </c>
      <c r="G1212" s="2266" t="s">
        <v>5608</v>
      </c>
      <c r="H1212" s="2266">
        <v>1567290</v>
      </c>
      <c r="I1212" s="2266">
        <v>0</v>
      </c>
      <c r="J1212" s="2266">
        <v>0</v>
      </c>
      <c r="K1212" s="2266">
        <v>0</v>
      </c>
      <c r="L1212" s="2266">
        <v>0</v>
      </c>
      <c r="M1212" s="2266">
        <v>599</v>
      </c>
    </row>
    <row r="1213" spans="1:13" ht="15">
      <c r="A1213" s="2266" t="s">
        <v>4185</v>
      </c>
      <c r="B1213" s="2465" t="str">
        <f>CONCATENATE(LEFT(RIGHT(CONCATENATE("000",IFAData_TEA_1617!A1213),6),3),"-",(RIGHT(RIGHT(CONCATENATE("000",IFAData_TEA_1617!A1213),6),3)))</f>
        <v>108-906</v>
      </c>
      <c r="C1213" s="2266" t="s">
        <v>925</v>
      </c>
      <c r="D1213" s="2266">
        <v>2</v>
      </c>
      <c r="E1213" s="2266">
        <v>2079</v>
      </c>
      <c r="F1213" s="2266" t="s">
        <v>5605</v>
      </c>
      <c r="G1213" s="2266" t="s">
        <v>5606</v>
      </c>
      <c r="H1213" s="2266">
        <v>1567290</v>
      </c>
      <c r="I1213" s="2266">
        <v>0</v>
      </c>
      <c r="J1213" s="2266">
        <v>0</v>
      </c>
      <c r="K1213" s="2266">
        <v>0</v>
      </c>
      <c r="L1213" s="2266">
        <v>0</v>
      </c>
      <c r="M1213" s="2266">
        <v>599</v>
      </c>
    </row>
    <row r="1214" spans="1:13" ht="15">
      <c r="A1214" s="2266" t="s">
        <v>4185</v>
      </c>
      <c r="B1214" s="2465" t="str">
        <f>CONCATENATE(LEFT(RIGHT(CONCATENATE("000",IFAData_TEA_1617!A1214),6),3),"-",(RIGHT(RIGHT(CONCATENATE("000",IFAData_TEA_1617!A1214),6),3)))</f>
        <v>108-906</v>
      </c>
      <c r="C1214" s="2266" t="s">
        <v>925</v>
      </c>
      <c r="D1214" s="2266">
        <v>2</v>
      </c>
      <c r="E1214" s="2266">
        <v>2079</v>
      </c>
      <c r="F1214" s="2266" t="s">
        <v>5605</v>
      </c>
      <c r="G1214" s="2266" t="s">
        <v>5607</v>
      </c>
      <c r="H1214" s="2266">
        <v>1567290</v>
      </c>
      <c r="I1214" s="2266">
        <v>1603800</v>
      </c>
      <c r="J1214" s="2266">
        <v>1</v>
      </c>
      <c r="K1214" s="2266">
        <v>1567290</v>
      </c>
      <c r="L1214" s="2266">
        <v>1567290</v>
      </c>
      <c r="M1214" s="2266">
        <v>599</v>
      </c>
    </row>
    <row r="1215" spans="1:13" ht="15">
      <c r="A1215" s="2266" t="s">
        <v>4185</v>
      </c>
      <c r="B1215" s="2465" t="str">
        <f>CONCATENATE(LEFT(RIGHT(CONCATENATE("000",IFAData_TEA_1617!A1215),6),3),"-",(RIGHT(RIGHT(CONCATENATE("000",IFAData_TEA_1617!A1215),6),3)))</f>
        <v>108-906</v>
      </c>
      <c r="C1215" s="2266" t="s">
        <v>925</v>
      </c>
      <c r="D1215" s="2266">
        <v>2</v>
      </c>
      <c r="E1215" s="2266">
        <v>2079</v>
      </c>
      <c r="F1215" s="2266" t="s">
        <v>5605</v>
      </c>
      <c r="G1215" s="2266" t="s">
        <v>5605</v>
      </c>
      <c r="H1215" s="2266">
        <v>1567290</v>
      </c>
      <c r="I1215" s="2266">
        <v>0</v>
      </c>
      <c r="J1215" s="2266">
        <v>0</v>
      </c>
      <c r="K1215" s="2266">
        <v>0</v>
      </c>
      <c r="L1215" s="2266">
        <v>0</v>
      </c>
      <c r="M1215" s="2266">
        <v>599</v>
      </c>
    </row>
    <row r="1216" spans="1:13" ht="15">
      <c r="A1216" s="2266" t="s">
        <v>4186</v>
      </c>
      <c r="B1216" s="2465" t="str">
        <f>CONCATENATE(LEFT(RIGHT(CONCATENATE("000",IFAData_TEA_1617!A1216),6),3),"-",(RIGHT(RIGHT(CONCATENATE("000",IFAData_TEA_1617!A1216),6),3)))</f>
        <v>108-907</v>
      </c>
      <c r="C1216" s="2266" t="s">
        <v>2553</v>
      </c>
      <c r="D1216" s="2266">
        <v>8</v>
      </c>
      <c r="E1216" s="2266">
        <v>2090</v>
      </c>
      <c r="F1216" s="2266" t="s">
        <v>5617</v>
      </c>
      <c r="G1216" s="2266" t="s">
        <v>5617</v>
      </c>
      <c r="H1216" s="2266">
        <v>547625</v>
      </c>
      <c r="I1216" s="2266">
        <v>162000</v>
      </c>
      <c r="J1216" s="2266">
        <v>0.31206897880242568</v>
      </c>
      <c r="K1216" s="2266">
        <v>170896.77451667836</v>
      </c>
      <c r="L1216" s="2266">
        <v>162000</v>
      </c>
      <c r="M1216" s="2266">
        <v>599</v>
      </c>
    </row>
    <row r="1217" spans="1:13" ht="15">
      <c r="A1217" s="2266" t="s">
        <v>4186</v>
      </c>
      <c r="B1217" s="2465" t="str">
        <f>CONCATENATE(LEFT(RIGHT(CONCATENATE("000",IFAData_TEA_1617!A1217),6),3),"-",(RIGHT(RIGHT(CONCATENATE("000",IFAData_TEA_1617!A1217),6),3)))</f>
        <v>108-907</v>
      </c>
      <c r="C1217" s="2266" t="s">
        <v>2553</v>
      </c>
      <c r="D1217" s="2266">
        <v>7</v>
      </c>
      <c r="E1217" s="2266">
        <v>2094</v>
      </c>
      <c r="F1217" s="2266" t="s">
        <v>5615</v>
      </c>
      <c r="G1217" s="2266" t="s">
        <v>5616</v>
      </c>
      <c r="H1217" s="2266">
        <v>1254960</v>
      </c>
      <c r="I1217" s="2266">
        <v>566994</v>
      </c>
      <c r="J1217" s="2266">
        <v>1</v>
      </c>
      <c r="K1217" s="2266">
        <v>1254960</v>
      </c>
      <c r="L1217" s="2266">
        <v>566994</v>
      </c>
      <c r="M1217" s="2266">
        <v>599</v>
      </c>
    </row>
    <row r="1218" spans="1:13" ht="15">
      <c r="A1218" s="2266" t="s">
        <v>4186</v>
      </c>
      <c r="B1218" s="2465" t="str">
        <f>CONCATENATE(LEFT(RIGHT(CONCATENATE("000",IFAData_TEA_1617!A1218),6),3),"-",(RIGHT(RIGHT(CONCATENATE("000",IFAData_TEA_1617!A1218),6),3)))</f>
        <v>108-907</v>
      </c>
      <c r="C1218" s="2266" t="s">
        <v>2553</v>
      </c>
      <c r="D1218" s="2266">
        <v>2</v>
      </c>
      <c r="E1218" s="2266">
        <v>2092</v>
      </c>
      <c r="F1218" s="2266" t="s">
        <v>5610</v>
      </c>
      <c r="G1218" s="2266" t="s">
        <v>5610</v>
      </c>
      <c r="H1218" s="2266">
        <v>1136573</v>
      </c>
      <c r="I1218" s="2266">
        <v>0</v>
      </c>
      <c r="J1218" s="2266">
        <v>0</v>
      </c>
      <c r="K1218" s="2266">
        <v>0</v>
      </c>
      <c r="L1218" s="2266">
        <v>0</v>
      </c>
      <c r="M1218" s="2266">
        <v>599</v>
      </c>
    </row>
    <row r="1219" spans="1:13" ht="15">
      <c r="A1219" s="2266" t="s">
        <v>4186</v>
      </c>
      <c r="B1219" s="2465" t="str">
        <f>CONCATENATE(LEFT(RIGHT(CONCATENATE("000",IFAData_TEA_1617!A1219),6),3),"-",(RIGHT(RIGHT(CONCATENATE("000",IFAData_TEA_1617!A1219),6),3)))</f>
        <v>108-907</v>
      </c>
      <c r="C1219" s="2266" t="s">
        <v>2553</v>
      </c>
      <c r="D1219" s="2266">
        <v>2</v>
      </c>
      <c r="E1219" s="2266">
        <v>2092</v>
      </c>
      <c r="F1219" s="2266" t="s">
        <v>5610</v>
      </c>
      <c r="G1219" s="2266" t="s">
        <v>5611</v>
      </c>
      <c r="H1219" s="2266">
        <v>1136573</v>
      </c>
      <c r="I1219" s="2266">
        <v>0</v>
      </c>
      <c r="J1219" s="2266">
        <v>0</v>
      </c>
      <c r="K1219" s="2266">
        <v>0</v>
      </c>
      <c r="L1219" s="2266">
        <v>0</v>
      </c>
      <c r="M1219" s="2266">
        <v>599</v>
      </c>
    </row>
    <row r="1220" spans="1:13" ht="15">
      <c r="A1220" s="2266" t="s">
        <v>4186</v>
      </c>
      <c r="B1220" s="2465" t="str">
        <f>CONCATENATE(LEFT(RIGHT(CONCATENATE("000",IFAData_TEA_1617!A1220),6),3),"-",(RIGHT(RIGHT(CONCATENATE("000",IFAData_TEA_1617!A1220),6),3)))</f>
        <v>108-907</v>
      </c>
      <c r="C1220" s="2266" t="s">
        <v>2553</v>
      </c>
      <c r="D1220" s="2266">
        <v>4</v>
      </c>
      <c r="E1220" s="2266">
        <v>2093</v>
      </c>
      <c r="F1220" s="2266" t="s">
        <v>5612</v>
      </c>
      <c r="G1220" s="2266" t="s">
        <v>5611</v>
      </c>
      <c r="H1220" s="2266">
        <v>1178123</v>
      </c>
      <c r="I1220" s="2266">
        <v>0</v>
      </c>
      <c r="J1220" s="2266">
        <v>0</v>
      </c>
      <c r="K1220" s="2266">
        <v>0</v>
      </c>
      <c r="L1220" s="2266">
        <v>0</v>
      </c>
      <c r="M1220" s="2266">
        <v>599</v>
      </c>
    </row>
    <row r="1221" spans="1:13" ht="15">
      <c r="A1221" s="2266" t="s">
        <v>4186</v>
      </c>
      <c r="B1221" s="2465" t="str">
        <f>CONCATENATE(LEFT(RIGHT(CONCATENATE("000",IFAData_TEA_1617!A1221),6),3),"-",(RIGHT(RIGHT(CONCATENATE("000",IFAData_TEA_1617!A1221),6),3)))</f>
        <v>108-907</v>
      </c>
      <c r="C1221" s="2266" t="s">
        <v>2553</v>
      </c>
      <c r="D1221" s="2266">
        <v>6</v>
      </c>
      <c r="E1221" s="2266">
        <v>2091</v>
      </c>
      <c r="F1221" s="2266" t="s">
        <v>5613</v>
      </c>
      <c r="G1221" s="2266" t="s">
        <v>5614</v>
      </c>
      <c r="H1221" s="2266">
        <v>668147</v>
      </c>
      <c r="I1221" s="2266">
        <v>638978</v>
      </c>
      <c r="J1221" s="2266">
        <v>1</v>
      </c>
      <c r="K1221" s="2266">
        <v>668147</v>
      </c>
      <c r="L1221" s="2266">
        <v>638978</v>
      </c>
      <c r="M1221" s="2266">
        <v>599</v>
      </c>
    </row>
    <row r="1222" spans="1:13" ht="15">
      <c r="A1222" s="2266" t="s">
        <v>4186</v>
      </c>
      <c r="B1222" s="2465" t="str">
        <f>CONCATENATE(LEFT(RIGHT(CONCATENATE("000",IFAData_TEA_1617!A1222),6),3),"-",(RIGHT(RIGHT(CONCATENATE("000",IFAData_TEA_1617!A1222),6),3)))</f>
        <v>108-907</v>
      </c>
      <c r="C1222" s="2266" t="s">
        <v>2553</v>
      </c>
      <c r="D1222" s="2266">
        <v>4</v>
      </c>
      <c r="E1222" s="2266">
        <v>2093</v>
      </c>
      <c r="F1222" s="2266" t="s">
        <v>5612</v>
      </c>
      <c r="G1222" s="2266" t="s">
        <v>5612</v>
      </c>
      <c r="H1222" s="2266">
        <v>1178123</v>
      </c>
      <c r="I1222" s="2266">
        <v>0</v>
      </c>
      <c r="J1222" s="2266">
        <v>0</v>
      </c>
      <c r="K1222" s="2266">
        <v>0</v>
      </c>
      <c r="L1222" s="2266">
        <v>0</v>
      </c>
      <c r="M1222" s="2266">
        <v>599</v>
      </c>
    </row>
    <row r="1223" spans="1:13" ht="15">
      <c r="A1223" s="2266" t="s">
        <v>4186</v>
      </c>
      <c r="B1223" s="2465" t="str">
        <f>CONCATENATE(LEFT(RIGHT(CONCATENATE("000",IFAData_TEA_1617!A1223),6),3),"-",(RIGHT(RIGHT(CONCATENATE("000",IFAData_TEA_1617!A1223),6),3)))</f>
        <v>108-907</v>
      </c>
      <c r="C1223" s="2266" t="s">
        <v>2553</v>
      </c>
      <c r="D1223" s="2266">
        <v>7</v>
      </c>
      <c r="E1223" s="2266">
        <v>2094</v>
      </c>
      <c r="F1223" s="2266" t="s">
        <v>5615</v>
      </c>
      <c r="G1223" s="2266" t="s">
        <v>5615</v>
      </c>
      <c r="H1223" s="2266">
        <v>1254960</v>
      </c>
      <c r="I1223" s="2266">
        <v>0</v>
      </c>
      <c r="J1223" s="2266">
        <v>0</v>
      </c>
      <c r="K1223" s="2266">
        <v>0</v>
      </c>
      <c r="L1223" s="2266">
        <v>0</v>
      </c>
      <c r="M1223" s="2266">
        <v>599</v>
      </c>
    </row>
    <row r="1224" spans="1:13" ht="15">
      <c r="A1224" s="2266" t="s">
        <v>4186</v>
      </c>
      <c r="B1224" s="2465" t="str">
        <f>CONCATENATE(LEFT(RIGHT(CONCATENATE("000",IFAData_TEA_1617!A1224),6),3),"-",(RIGHT(RIGHT(CONCATENATE("000",IFAData_TEA_1617!A1224),6),3)))</f>
        <v>108-907</v>
      </c>
      <c r="C1224" s="2266" t="s">
        <v>2553</v>
      </c>
      <c r="D1224" s="2266">
        <v>6</v>
      </c>
      <c r="E1224" s="2266">
        <v>2091</v>
      </c>
      <c r="F1224" s="2266" t="s">
        <v>5613</v>
      </c>
      <c r="G1224" s="2266" t="s">
        <v>5613</v>
      </c>
      <c r="H1224" s="2266">
        <v>668147</v>
      </c>
      <c r="I1224" s="2266">
        <v>0</v>
      </c>
      <c r="J1224" s="2266">
        <v>0</v>
      </c>
      <c r="K1224" s="2266">
        <v>0</v>
      </c>
      <c r="L1224" s="2266">
        <v>0</v>
      </c>
      <c r="M1224" s="2266">
        <v>599</v>
      </c>
    </row>
    <row r="1225" spans="1:13" ht="15">
      <c r="A1225" s="2266" t="s">
        <v>4186</v>
      </c>
      <c r="B1225" s="2465" t="str">
        <f>CONCATENATE(LEFT(RIGHT(CONCATENATE("000",IFAData_TEA_1617!A1225),6),3),"-",(RIGHT(RIGHT(CONCATENATE("000",IFAData_TEA_1617!A1225),6),3)))</f>
        <v>108-907</v>
      </c>
      <c r="C1225" s="2266" t="s">
        <v>2553</v>
      </c>
      <c r="D1225" s="2266">
        <v>8</v>
      </c>
      <c r="E1225" s="2266">
        <v>2090</v>
      </c>
      <c r="F1225" s="2266" t="s">
        <v>5617</v>
      </c>
      <c r="G1225" s="2266" t="s">
        <v>6989</v>
      </c>
      <c r="H1225" s="2266">
        <v>547625</v>
      </c>
      <c r="I1225" s="2266">
        <v>357116</v>
      </c>
      <c r="J1225" s="2266">
        <v>0.68793102119757432</v>
      </c>
      <c r="K1225" s="2266">
        <v>376728.22548332164</v>
      </c>
      <c r="L1225" s="2266">
        <v>357116</v>
      </c>
      <c r="M1225" s="2266">
        <v>599</v>
      </c>
    </row>
    <row r="1226" spans="1:13" ht="15">
      <c r="A1226" s="2266" t="s">
        <v>4186</v>
      </c>
      <c r="B1226" s="2465" t="str">
        <f>CONCATENATE(LEFT(RIGHT(CONCATENATE("000",IFAData_TEA_1617!A1226),6),3),"-",(RIGHT(RIGHT(CONCATENATE("000",IFAData_TEA_1617!A1226),6),3)))</f>
        <v>108-907</v>
      </c>
      <c r="C1226" s="2266" t="s">
        <v>2553</v>
      </c>
      <c r="D1226" s="2266">
        <v>2</v>
      </c>
      <c r="E1226" s="2266">
        <v>2092</v>
      </c>
      <c r="F1226" s="2266" t="s">
        <v>5610</v>
      </c>
      <c r="G1226" s="2266" t="s">
        <v>6989</v>
      </c>
      <c r="H1226" s="2266">
        <v>1136573</v>
      </c>
      <c r="I1226" s="2266">
        <v>993398</v>
      </c>
      <c r="J1226" s="2266">
        <v>1</v>
      </c>
      <c r="K1226" s="2266">
        <v>1136573</v>
      </c>
      <c r="L1226" s="2266">
        <v>993398</v>
      </c>
      <c r="M1226" s="2266">
        <v>599</v>
      </c>
    </row>
    <row r="1227" spans="1:13" ht="15">
      <c r="A1227" s="2266" t="s">
        <v>4186</v>
      </c>
      <c r="B1227" s="2465" t="str">
        <f>CONCATENATE(LEFT(RIGHT(CONCATENATE("000",IFAData_TEA_1617!A1227),6),3),"-",(RIGHT(RIGHT(CONCATENATE("000",IFAData_TEA_1617!A1227),6),3)))</f>
        <v>108-907</v>
      </c>
      <c r="C1227" s="2266" t="s">
        <v>2553</v>
      </c>
      <c r="D1227" s="2266">
        <v>4</v>
      </c>
      <c r="E1227" s="2266">
        <v>2093</v>
      </c>
      <c r="F1227" s="2266" t="s">
        <v>5612</v>
      </c>
      <c r="G1227" s="2266" t="s">
        <v>6989</v>
      </c>
      <c r="H1227" s="2266">
        <v>1178123</v>
      </c>
      <c r="I1227" s="2266">
        <v>1062836</v>
      </c>
      <c r="J1227" s="2266">
        <v>1</v>
      </c>
      <c r="K1227" s="2266">
        <v>1178123</v>
      </c>
      <c r="L1227" s="2266">
        <v>1062836</v>
      </c>
      <c r="M1227" s="2266">
        <v>599</v>
      </c>
    </row>
    <row r="1228" spans="1:13" ht="15">
      <c r="A1228" s="2266" t="s">
        <v>4187</v>
      </c>
      <c r="B1228" s="2465" t="str">
        <f>CONCATENATE(LEFT(RIGHT(CONCATENATE("000",IFAData_TEA_1617!A1228),6),3),"-",(RIGHT(RIGHT(CONCATENATE("000",IFAData_TEA_1617!A1228),6),3)))</f>
        <v>108-908</v>
      </c>
      <c r="C1228" s="2266" t="s">
        <v>45</v>
      </c>
      <c r="D1228" s="2266">
        <v>4</v>
      </c>
      <c r="E1228" s="2266">
        <v>2111</v>
      </c>
      <c r="F1228" s="2266" t="s">
        <v>5621</v>
      </c>
      <c r="G1228" s="2266" t="s">
        <v>6990</v>
      </c>
      <c r="H1228" s="2266">
        <v>2592893</v>
      </c>
      <c r="I1228" s="2266">
        <v>1018050</v>
      </c>
      <c r="J1228" s="2266">
        <v>1</v>
      </c>
      <c r="K1228" s="2266">
        <v>2592893</v>
      </c>
      <c r="L1228" s="2266">
        <v>1018050</v>
      </c>
      <c r="M1228" s="2266">
        <v>599</v>
      </c>
    </row>
    <row r="1229" spans="1:13" ht="15">
      <c r="A1229" s="2266" t="s">
        <v>4187</v>
      </c>
      <c r="B1229" s="2465" t="str">
        <f>CONCATENATE(LEFT(RIGHT(CONCATENATE("000",IFAData_TEA_1617!A1229),6),3),"-",(RIGHT(RIGHT(CONCATENATE("000",IFAData_TEA_1617!A1229),6),3)))</f>
        <v>108-908</v>
      </c>
      <c r="C1229" s="2266" t="s">
        <v>45</v>
      </c>
      <c r="D1229" s="2266">
        <v>2</v>
      </c>
      <c r="E1229" s="2266">
        <v>2112</v>
      </c>
      <c r="F1229" s="2266" t="s">
        <v>5618</v>
      </c>
      <c r="G1229" s="2266" t="s">
        <v>6990</v>
      </c>
      <c r="H1229" s="2266">
        <v>2844700</v>
      </c>
      <c r="I1229" s="2266">
        <v>0</v>
      </c>
      <c r="J1229" s="2266">
        <v>0</v>
      </c>
      <c r="K1229" s="2266">
        <v>0</v>
      </c>
      <c r="L1229" s="2266">
        <v>0</v>
      </c>
      <c r="M1229" s="2266">
        <v>599</v>
      </c>
    </row>
    <row r="1230" spans="1:13" ht="15">
      <c r="A1230" s="2266" t="s">
        <v>4187</v>
      </c>
      <c r="B1230" s="2465" t="str">
        <f>CONCATENATE(LEFT(RIGHT(CONCATENATE("000",IFAData_TEA_1617!A1230),6),3),"-",(RIGHT(RIGHT(CONCATENATE("000",IFAData_TEA_1617!A1230),6),3)))</f>
        <v>108-908</v>
      </c>
      <c r="C1230" s="2266" t="s">
        <v>45</v>
      </c>
      <c r="D1230" s="2266">
        <v>8</v>
      </c>
      <c r="E1230" s="2266">
        <v>2113</v>
      </c>
      <c r="F1230" s="2266" t="s">
        <v>5622</v>
      </c>
      <c r="G1230" s="2266" t="s">
        <v>5622</v>
      </c>
      <c r="H1230" s="2266">
        <v>3559524</v>
      </c>
      <c r="I1230" s="2266">
        <v>0</v>
      </c>
      <c r="J1230" s="2266">
        <v>0</v>
      </c>
      <c r="K1230" s="2266">
        <v>0</v>
      </c>
      <c r="L1230" s="2266">
        <v>0</v>
      </c>
      <c r="M1230" s="2266">
        <v>599</v>
      </c>
    </row>
    <row r="1231" spans="1:13" ht="15">
      <c r="A1231" s="2266" t="s">
        <v>4187</v>
      </c>
      <c r="B1231" s="2465" t="str">
        <f>CONCATENATE(LEFT(RIGHT(CONCATENATE("000",IFAData_TEA_1617!A1231),6),3),"-",(RIGHT(RIGHT(CONCATENATE("000",IFAData_TEA_1617!A1231),6),3)))</f>
        <v>108-908</v>
      </c>
      <c r="C1231" s="2266" t="s">
        <v>45</v>
      </c>
      <c r="D1231" s="2266">
        <v>2</v>
      </c>
      <c r="E1231" s="2266">
        <v>2112</v>
      </c>
      <c r="F1231" s="2266" t="s">
        <v>5618</v>
      </c>
      <c r="G1231" s="2266" t="s">
        <v>5618</v>
      </c>
      <c r="H1231" s="2266">
        <v>2844700</v>
      </c>
      <c r="I1231" s="2266">
        <v>0</v>
      </c>
      <c r="J1231" s="2266">
        <v>0</v>
      </c>
      <c r="K1231" s="2266">
        <v>0</v>
      </c>
      <c r="L1231" s="2266">
        <v>0</v>
      </c>
      <c r="M1231" s="2266">
        <v>599</v>
      </c>
    </row>
    <row r="1232" spans="1:13" ht="15">
      <c r="A1232" s="2266" t="s">
        <v>4187</v>
      </c>
      <c r="B1232" s="2465" t="str">
        <f>CONCATENATE(LEFT(RIGHT(CONCATENATE("000",IFAData_TEA_1617!A1232),6),3),"-",(RIGHT(RIGHT(CONCATENATE("000",IFAData_TEA_1617!A1232),6),3)))</f>
        <v>108-908</v>
      </c>
      <c r="C1232" s="2266" t="s">
        <v>45</v>
      </c>
      <c r="D1232" s="2266">
        <v>2</v>
      </c>
      <c r="E1232" s="2266">
        <v>2112</v>
      </c>
      <c r="F1232" s="2266" t="s">
        <v>5618</v>
      </c>
      <c r="G1232" s="2266" t="s">
        <v>5620</v>
      </c>
      <c r="H1232" s="2266">
        <v>2844700</v>
      </c>
      <c r="I1232" s="2266">
        <v>2720406</v>
      </c>
      <c r="J1232" s="2266">
        <v>1</v>
      </c>
      <c r="K1232" s="2266">
        <v>2844700</v>
      </c>
      <c r="L1232" s="2266">
        <v>2720406</v>
      </c>
      <c r="M1232" s="2266">
        <v>599</v>
      </c>
    </row>
    <row r="1233" spans="1:13" ht="15">
      <c r="A1233" s="2266" t="s">
        <v>4187</v>
      </c>
      <c r="B1233" s="2465" t="str">
        <f>CONCATENATE(LEFT(RIGHT(CONCATENATE("000",IFAData_TEA_1617!A1233),6),3),"-",(RIGHT(RIGHT(CONCATENATE("000",IFAData_TEA_1617!A1233),6),3)))</f>
        <v>108-908</v>
      </c>
      <c r="C1233" s="2266" t="s">
        <v>45</v>
      </c>
      <c r="D1233" s="2266">
        <v>4</v>
      </c>
      <c r="E1233" s="2266">
        <v>2111</v>
      </c>
      <c r="F1233" s="2266" t="s">
        <v>5621</v>
      </c>
      <c r="G1233" s="2266" t="s">
        <v>5619</v>
      </c>
      <c r="H1233" s="2266">
        <v>2592893</v>
      </c>
      <c r="I1233" s="2266">
        <v>0</v>
      </c>
      <c r="J1233" s="2266">
        <v>0</v>
      </c>
      <c r="K1233" s="2266">
        <v>0</v>
      </c>
      <c r="L1233" s="2266">
        <v>0</v>
      </c>
      <c r="M1233" s="2266">
        <v>599</v>
      </c>
    </row>
    <row r="1234" spans="1:13" ht="15">
      <c r="A1234" s="2266" t="s">
        <v>4187</v>
      </c>
      <c r="B1234" s="2465" t="str">
        <f>CONCATENATE(LEFT(RIGHT(CONCATENATE("000",IFAData_TEA_1617!A1234),6),3),"-",(RIGHT(RIGHT(CONCATENATE("000",IFAData_TEA_1617!A1234),6),3)))</f>
        <v>108-908</v>
      </c>
      <c r="C1234" s="2266" t="s">
        <v>45</v>
      </c>
      <c r="D1234" s="2266">
        <v>2</v>
      </c>
      <c r="E1234" s="2266">
        <v>2112</v>
      </c>
      <c r="F1234" s="2266" t="s">
        <v>5618</v>
      </c>
      <c r="G1234" s="2266" t="s">
        <v>5619</v>
      </c>
      <c r="H1234" s="2266">
        <v>2844700</v>
      </c>
      <c r="I1234" s="2266">
        <v>0</v>
      </c>
      <c r="J1234" s="2266">
        <v>0</v>
      </c>
      <c r="K1234" s="2266">
        <v>0</v>
      </c>
      <c r="L1234" s="2266">
        <v>0</v>
      </c>
      <c r="M1234" s="2266">
        <v>599</v>
      </c>
    </row>
    <row r="1235" spans="1:13" ht="15">
      <c r="A1235" s="2266" t="s">
        <v>4187</v>
      </c>
      <c r="B1235" s="2465" t="str">
        <f>CONCATENATE(LEFT(RIGHT(CONCATENATE("000",IFAData_TEA_1617!A1235),6),3),"-",(RIGHT(RIGHT(CONCATENATE("000",IFAData_TEA_1617!A1235),6),3)))</f>
        <v>108-908</v>
      </c>
      <c r="C1235" s="2266" t="s">
        <v>45</v>
      </c>
      <c r="D1235" s="2266">
        <v>4</v>
      </c>
      <c r="E1235" s="2266">
        <v>2111</v>
      </c>
      <c r="F1235" s="2266" t="s">
        <v>5621</v>
      </c>
      <c r="G1235" s="2266" t="s">
        <v>5621</v>
      </c>
      <c r="H1235" s="2266">
        <v>2592893</v>
      </c>
      <c r="I1235" s="2266">
        <v>0</v>
      </c>
      <c r="J1235" s="2266">
        <v>0</v>
      </c>
      <c r="K1235" s="2266">
        <v>0</v>
      </c>
      <c r="L1235" s="2266">
        <v>0</v>
      </c>
      <c r="M1235" s="2266">
        <v>599</v>
      </c>
    </row>
    <row r="1236" spans="1:13" ht="15">
      <c r="A1236" s="2266" t="s">
        <v>4187</v>
      </c>
      <c r="B1236" s="2465" t="str">
        <f>CONCATENATE(LEFT(RIGHT(CONCATENATE("000",IFAData_TEA_1617!A1236),6),3),"-",(RIGHT(RIGHT(CONCATENATE("000",IFAData_TEA_1617!A1236),6),3)))</f>
        <v>108-908</v>
      </c>
      <c r="C1236" s="2266" t="s">
        <v>45</v>
      </c>
      <c r="D1236" s="2266">
        <v>8</v>
      </c>
      <c r="E1236" s="2266">
        <v>2113</v>
      </c>
      <c r="F1236" s="2266" t="s">
        <v>5622</v>
      </c>
      <c r="G1236" s="2266" t="s">
        <v>6991</v>
      </c>
      <c r="H1236" s="2266">
        <v>3559524</v>
      </c>
      <c r="I1236" s="2266">
        <v>1925300</v>
      </c>
      <c r="J1236" s="2266">
        <v>1</v>
      </c>
      <c r="K1236" s="2266">
        <v>3559524</v>
      </c>
      <c r="L1236" s="2266">
        <v>1925300</v>
      </c>
      <c r="M1236" s="2266">
        <v>599</v>
      </c>
    </row>
    <row r="1237" spans="1:13" ht="15">
      <c r="A1237" s="2266" t="s">
        <v>4187</v>
      </c>
      <c r="B1237" s="2465" t="str">
        <f>CONCATENATE(LEFT(RIGHT(CONCATENATE("000",IFAData_TEA_1617!A1237),6),3),"-",(RIGHT(RIGHT(CONCATENATE("000",IFAData_TEA_1617!A1237),6),3)))</f>
        <v>108-908</v>
      </c>
      <c r="C1237" s="2266" t="s">
        <v>45</v>
      </c>
      <c r="D1237" s="2266">
        <v>9</v>
      </c>
      <c r="E1237" s="2266">
        <v>2114</v>
      </c>
      <c r="F1237" s="2266" t="s">
        <v>5623</v>
      </c>
      <c r="G1237" s="2266" t="s">
        <v>5623</v>
      </c>
      <c r="H1237" s="2266">
        <v>3776225</v>
      </c>
      <c r="I1237" s="2266">
        <v>3757750</v>
      </c>
      <c r="J1237" s="2266">
        <v>1</v>
      </c>
      <c r="K1237" s="2266">
        <v>3776225</v>
      </c>
      <c r="L1237" s="2266">
        <v>3757750</v>
      </c>
      <c r="M1237" s="2266">
        <v>599</v>
      </c>
    </row>
    <row r="1238" spans="1:13" ht="15">
      <c r="A1238" s="2266" t="s">
        <v>4188</v>
      </c>
      <c r="B1238" s="2465" t="str">
        <f>CONCATENATE(LEFT(RIGHT(CONCATENATE("000",IFAData_TEA_1617!A1238),6),3),"-",(RIGHT(RIGHT(CONCATENATE("000",IFAData_TEA_1617!A1238),6),3)))</f>
        <v>108-909</v>
      </c>
      <c r="C1238" s="2266" t="s">
        <v>1126</v>
      </c>
      <c r="D1238" s="2266">
        <v>8</v>
      </c>
      <c r="E1238" s="2266">
        <v>2191</v>
      </c>
      <c r="F1238" s="2266" t="s">
        <v>5628</v>
      </c>
      <c r="G1238" s="2266" t="s">
        <v>6992</v>
      </c>
      <c r="H1238" s="2266">
        <v>1734000</v>
      </c>
      <c r="I1238" s="2266">
        <v>571552</v>
      </c>
      <c r="J1238" s="2266">
        <v>0.19003515081067637</v>
      </c>
      <c r="K1238" s="2266">
        <v>329520.95150571282</v>
      </c>
      <c r="L1238" s="2266">
        <v>329520.95150571282</v>
      </c>
      <c r="M1238" s="2266">
        <v>599</v>
      </c>
    </row>
    <row r="1239" spans="1:13" ht="15">
      <c r="A1239" s="2266" t="s">
        <v>4188</v>
      </c>
      <c r="B1239" s="2465" t="str">
        <f>CONCATENATE(LEFT(RIGHT(CONCATENATE("000",IFAData_TEA_1617!A1239),6),3),"-",(RIGHT(RIGHT(CONCATENATE("000",IFAData_TEA_1617!A1239),6),3)))</f>
        <v>108-909</v>
      </c>
      <c r="C1239" s="2266" t="s">
        <v>1126</v>
      </c>
      <c r="D1239" s="2266">
        <v>4</v>
      </c>
      <c r="E1239" s="2266">
        <v>2193</v>
      </c>
      <c r="F1239" s="2266" t="s">
        <v>5627</v>
      </c>
      <c r="G1239" s="2266" t="s">
        <v>6992</v>
      </c>
      <c r="H1239" s="2266">
        <v>4254043</v>
      </c>
      <c r="I1239" s="2266">
        <v>216077</v>
      </c>
      <c r="J1239" s="2266">
        <v>3.6826916882294371E-2</v>
      </c>
      <c r="K1239" s="2266">
        <v>156663.28797470618</v>
      </c>
      <c r="L1239" s="2266">
        <v>156663.28797470618</v>
      </c>
      <c r="M1239" s="2266">
        <v>599</v>
      </c>
    </row>
    <row r="1240" spans="1:13" ht="15">
      <c r="A1240" s="2266" t="s">
        <v>4188</v>
      </c>
      <c r="B1240" s="2465" t="str">
        <f>CONCATENATE(LEFT(RIGHT(CONCATENATE("000",IFAData_TEA_1617!A1240),6),3),"-",(RIGHT(RIGHT(CONCATENATE("000",IFAData_TEA_1617!A1240),6),3)))</f>
        <v>108-909</v>
      </c>
      <c r="C1240" s="2266" t="s">
        <v>1126</v>
      </c>
      <c r="D1240" s="2266">
        <v>9</v>
      </c>
      <c r="E1240" s="2266">
        <v>2196</v>
      </c>
      <c r="F1240" s="2266" t="s">
        <v>5629</v>
      </c>
      <c r="G1240" s="2266" t="s">
        <v>6992</v>
      </c>
      <c r="H1240" s="2266">
        <v>6721621</v>
      </c>
      <c r="I1240" s="2266">
        <v>2268352</v>
      </c>
      <c r="J1240" s="2266">
        <v>0.21897743559871913</v>
      </c>
      <c r="K1240" s="2266">
        <v>1471883.329646498</v>
      </c>
      <c r="L1240" s="2266">
        <v>1471883.329646498</v>
      </c>
      <c r="M1240" s="2266">
        <v>599</v>
      </c>
    </row>
    <row r="1241" spans="1:13" ht="15">
      <c r="A1241" s="2266" t="s">
        <v>4188</v>
      </c>
      <c r="B1241" s="2465" t="str">
        <f>CONCATENATE(LEFT(RIGHT(CONCATENATE("000",IFAData_TEA_1617!A1241),6),3),"-",(RIGHT(RIGHT(CONCATENATE("000",IFAData_TEA_1617!A1241),6),3)))</f>
        <v>108-909</v>
      </c>
      <c r="C1241" s="2266" t="s">
        <v>1126</v>
      </c>
      <c r="D1241" s="2266">
        <v>8</v>
      </c>
      <c r="E1241" s="2266">
        <v>2191</v>
      </c>
      <c r="F1241" s="2266" t="s">
        <v>5628</v>
      </c>
      <c r="G1241" s="2266" t="s">
        <v>5625</v>
      </c>
      <c r="H1241" s="2266">
        <v>1734000</v>
      </c>
      <c r="I1241" s="2266">
        <v>906644</v>
      </c>
      <c r="J1241" s="2266">
        <v>0.3014497880710677</v>
      </c>
      <c r="K1241" s="2266">
        <v>522713.93251523143</v>
      </c>
      <c r="L1241" s="2266">
        <v>522713.93251523143</v>
      </c>
      <c r="M1241" s="2266">
        <v>599</v>
      </c>
    </row>
    <row r="1242" spans="1:13" ht="15">
      <c r="A1242" s="2266" t="s">
        <v>4188</v>
      </c>
      <c r="B1242" s="2465" t="str">
        <f>CONCATENATE(LEFT(RIGHT(CONCATENATE("000",IFAData_TEA_1617!A1242),6),3),"-",(RIGHT(RIGHT(CONCATENATE("000",IFAData_TEA_1617!A1242),6),3)))</f>
        <v>108-909</v>
      </c>
      <c r="C1242" s="2266" t="s">
        <v>1126</v>
      </c>
      <c r="D1242" s="2266">
        <v>1</v>
      </c>
      <c r="E1242" s="2266">
        <v>2192</v>
      </c>
      <c r="F1242" s="2266" t="s">
        <v>5624</v>
      </c>
      <c r="G1242" s="2266" t="s">
        <v>5625</v>
      </c>
      <c r="H1242" s="2266">
        <v>3945431</v>
      </c>
      <c r="I1242" s="2266">
        <v>3719602</v>
      </c>
      <c r="J1242" s="2266">
        <v>0.73338141570377058</v>
      </c>
      <c r="K1242" s="2266">
        <v>2893505.7723415433</v>
      </c>
      <c r="L1242" s="2266">
        <v>2893505.7723415433</v>
      </c>
      <c r="M1242" s="2266">
        <v>599</v>
      </c>
    </row>
    <row r="1243" spans="1:13" ht="15">
      <c r="A1243" s="2266" t="s">
        <v>4188</v>
      </c>
      <c r="B1243" s="2465" t="str">
        <f>CONCATENATE(LEFT(RIGHT(CONCATENATE("000",IFAData_TEA_1617!A1243),6),3),"-",(RIGHT(RIGHT(CONCATENATE("000",IFAData_TEA_1617!A1243),6),3)))</f>
        <v>108-909</v>
      </c>
      <c r="C1243" s="2266" t="s">
        <v>1126</v>
      </c>
      <c r="D1243" s="2266">
        <v>4</v>
      </c>
      <c r="E1243" s="2266">
        <v>2193</v>
      </c>
      <c r="F1243" s="2266" t="s">
        <v>5627</v>
      </c>
      <c r="G1243" s="2266" t="s">
        <v>5625</v>
      </c>
      <c r="H1243" s="2266">
        <v>4254043</v>
      </c>
      <c r="I1243" s="2266">
        <v>3161526</v>
      </c>
      <c r="J1243" s="2266">
        <v>0.5388322460197642</v>
      </c>
      <c r="K1243" s="2266">
        <v>2292215.5443546558</v>
      </c>
      <c r="L1243" s="2266">
        <v>2292215.5443546558</v>
      </c>
      <c r="M1243" s="2266">
        <v>599</v>
      </c>
    </row>
    <row r="1244" spans="1:13" ht="15">
      <c r="A1244" s="2266" t="s">
        <v>4188</v>
      </c>
      <c r="B1244" s="2465" t="str">
        <f>CONCATENATE(LEFT(RIGHT(CONCATENATE("000",IFAData_TEA_1617!A1244),6),3),"-",(RIGHT(RIGHT(CONCATENATE("000",IFAData_TEA_1617!A1244),6),3)))</f>
        <v>108-909</v>
      </c>
      <c r="C1244" s="2266" t="s">
        <v>1126</v>
      </c>
      <c r="D1244" s="2266">
        <v>8</v>
      </c>
      <c r="E1244" s="2266">
        <v>2194</v>
      </c>
      <c r="F1244" s="2266" t="s">
        <v>5625</v>
      </c>
      <c r="G1244" s="2266" t="s">
        <v>5625</v>
      </c>
      <c r="H1244" s="2266">
        <v>4319089</v>
      </c>
      <c r="I1244" s="2266">
        <v>3438907</v>
      </c>
      <c r="J1244" s="2266">
        <v>0.66320104695644388</v>
      </c>
      <c r="K1244" s="2266">
        <v>2864424.3466980602</v>
      </c>
      <c r="L1244" s="2266">
        <v>2864424.3466980602</v>
      </c>
      <c r="M1244" s="2266">
        <v>599</v>
      </c>
    </row>
    <row r="1245" spans="1:13" ht="15">
      <c r="A1245" s="2266" t="s">
        <v>4188</v>
      </c>
      <c r="B1245" s="2465" t="str">
        <f>CONCATENATE(LEFT(RIGHT(CONCATENATE("000",IFAData_TEA_1617!A1245),6),3),"-",(RIGHT(RIGHT(CONCATENATE("000",IFAData_TEA_1617!A1245),6),3)))</f>
        <v>108-909</v>
      </c>
      <c r="C1245" s="2266" t="s">
        <v>1126</v>
      </c>
      <c r="D1245" s="2266">
        <v>8</v>
      </c>
      <c r="E1245" s="2266">
        <v>2194</v>
      </c>
      <c r="F1245" s="2266" t="s">
        <v>5625</v>
      </c>
      <c r="G1245" s="2266" t="s">
        <v>6992</v>
      </c>
      <c r="H1245" s="2266">
        <v>4319089</v>
      </c>
      <c r="I1245" s="2266">
        <v>252385</v>
      </c>
      <c r="J1245" s="2266">
        <v>4.8673022049186589E-2</v>
      </c>
      <c r="K1245" s="2266">
        <v>210223.11412939924</v>
      </c>
      <c r="L1245" s="2266">
        <v>210223.11412939924</v>
      </c>
      <c r="M1245" s="2266">
        <v>599</v>
      </c>
    </row>
    <row r="1246" spans="1:13" ht="15">
      <c r="A1246" s="2266" t="s">
        <v>4188</v>
      </c>
      <c r="B1246" s="2465" t="str">
        <f>CONCATENATE(LEFT(RIGHT(CONCATENATE("000",IFAData_TEA_1617!A1246),6),3),"-",(RIGHT(RIGHT(CONCATENATE("000",IFAData_TEA_1617!A1246),6),3)))</f>
        <v>108-909</v>
      </c>
      <c r="C1246" s="2266" t="s">
        <v>1126</v>
      </c>
      <c r="D1246" s="2266">
        <v>1</v>
      </c>
      <c r="E1246" s="2266">
        <v>2192</v>
      </c>
      <c r="F1246" s="2266" t="s">
        <v>5624</v>
      </c>
      <c r="G1246" s="2266" t="s">
        <v>5626</v>
      </c>
      <c r="H1246" s="2266">
        <v>3945431</v>
      </c>
      <c r="I1246" s="2266">
        <v>0</v>
      </c>
      <c r="J1246" s="2266">
        <v>0</v>
      </c>
      <c r="K1246" s="2266">
        <v>0</v>
      </c>
      <c r="L1246" s="2266">
        <v>0</v>
      </c>
      <c r="M1246" s="2266">
        <v>599</v>
      </c>
    </row>
    <row r="1247" spans="1:13" ht="15">
      <c r="A1247" s="2266" t="s">
        <v>4188</v>
      </c>
      <c r="B1247" s="2465" t="str">
        <f>CONCATENATE(LEFT(RIGHT(CONCATENATE("000",IFAData_TEA_1617!A1247),6),3),"-",(RIGHT(RIGHT(CONCATENATE("000",IFAData_TEA_1617!A1247),6),3)))</f>
        <v>108-909</v>
      </c>
      <c r="C1247" s="2266" t="s">
        <v>1126</v>
      </c>
      <c r="D1247" s="2266">
        <v>8</v>
      </c>
      <c r="E1247" s="2266">
        <v>2194</v>
      </c>
      <c r="F1247" s="2266" t="s">
        <v>5625</v>
      </c>
      <c r="G1247" s="2266" t="s">
        <v>5626</v>
      </c>
      <c r="H1247" s="2266">
        <v>4319089</v>
      </c>
      <c r="I1247" s="2266">
        <v>526318</v>
      </c>
      <c r="J1247" s="2266">
        <v>0.10150162497328996</v>
      </c>
      <c r="K1247" s="2266">
        <v>438394.55190426199</v>
      </c>
      <c r="L1247" s="2266">
        <v>438394.55190426199</v>
      </c>
      <c r="M1247" s="2266">
        <v>599</v>
      </c>
    </row>
    <row r="1248" spans="1:13" ht="15">
      <c r="A1248" s="2266" t="s">
        <v>4188</v>
      </c>
      <c r="B1248" s="2465" t="str">
        <f>CONCATENATE(LEFT(RIGHT(CONCATENATE("000",IFAData_TEA_1617!A1248),6),3),"-",(RIGHT(RIGHT(CONCATENATE("000",IFAData_TEA_1617!A1248),6),3)))</f>
        <v>108-909</v>
      </c>
      <c r="C1248" s="2266" t="s">
        <v>1126</v>
      </c>
      <c r="D1248" s="2266">
        <v>4</v>
      </c>
      <c r="E1248" s="2266">
        <v>2193</v>
      </c>
      <c r="F1248" s="2266" t="s">
        <v>5627</v>
      </c>
      <c r="G1248" s="2266" t="s">
        <v>5626</v>
      </c>
      <c r="H1248" s="2266">
        <v>4254043</v>
      </c>
      <c r="I1248" s="2266">
        <v>794494</v>
      </c>
      <c r="J1248" s="2266">
        <v>0.13540897227137355</v>
      </c>
      <c r="K1248" s="2266">
        <v>576035.59062823071</v>
      </c>
      <c r="L1248" s="2266">
        <v>576035.59062823071</v>
      </c>
      <c r="M1248" s="2266">
        <v>599</v>
      </c>
    </row>
    <row r="1249" spans="1:13" ht="15">
      <c r="A1249" s="2266" t="s">
        <v>4188</v>
      </c>
      <c r="B1249" s="2465" t="str">
        <f>CONCATENATE(LEFT(RIGHT(CONCATENATE("000",IFAData_TEA_1617!A1249),6),3),"-",(RIGHT(RIGHT(CONCATENATE("000",IFAData_TEA_1617!A1249),6),3)))</f>
        <v>108-909</v>
      </c>
      <c r="C1249" s="2266" t="s">
        <v>1126</v>
      </c>
      <c r="D1249" s="2266">
        <v>1</v>
      </c>
      <c r="E1249" s="2266">
        <v>2192</v>
      </c>
      <c r="F1249" s="2266" t="s">
        <v>5624</v>
      </c>
      <c r="G1249" s="2266" t="s">
        <v>6992</v>
      </c>
      <c r="H1249" s="2266">
        <v>3945431</v>
      </c>
      <c r="I1249" s="2266">
        <v>152871</v>
      </c>
      <c r="J1249" s="2266">
        <v>3.0141060898464703E-2</v>
      </c>
      <c r="K1249" s="2266">
        <v>118919.47604169049</v>
      </c>
      <c r="L1249" s="2266">
        <v>118919.47604169049</v>
      </c>
      <c r="M1249" s="2266">
        <v>599</v>
      </c>
    </row>
    <row r="1250" spans="1:13" ht="15">
      <c r="A1250" s="2266" t="s">
        <v>4188</v>
      </c>
      <c r="B1250" s="2465" t="str">
        <f>CONCATENATE(LEFT(RIGHT(CONCATENATE("000",IFAData_TEA_1617!A1250),6),3),"-",(RIGHT(RIGHT(CONCATENATE("000",IFAData_TEA_1617!A1250),6),3)))</f>
        <v>108-909</v>
      </c>
      <c r="C1250" s="2266" t="s">
        <v>1126</v>
      </c>
      <c r="D1250" s="2266">
        <v>1</v>
      </c>
      <c r="E1250" s="2266">
        <v>2192</v>
      </c>
      <c r="F1250" s="2266" t="s">
        <v>5624</v>
      </c>
      <c r="G1250" s="2266" t="s">
        <v>7215</v>
      </c>
      <c r="H1250" s="2266">
        <v>3945431</v>
      </c>
      <c r="I1250" s="2266">
        <v>1199379</v>
      </c>
      <c r="J1250" s="2266">
        <v>0.23647752339776476</v>
      </c>
      <c r="K1250" s="2266">
        <v>933005.75161676644</v>
      </c>
      <c r="L1250" s="2266">
        <v>933005.75161676644</v>
      </c>
      <c r="M1250" s="2266">
        <v>599</v>
      </c>
    </row>
    <row r="1251" spans="1:13" ht="15">
      <c r="A1251" s="2266" t="s">
        <v>4188</v>
      </c>
      <c r="B1251" s="2465" t="str">
        <f>CONCATENATE(LEFT(RIGHT(CONCATENATE("000",IFAData_TEA_1617!A1251),6),3),"-",(RIGHT(RIGHT(CONCATENATE("000",IFAData_TEA_1617!A1251),6),3)))</f>
        <v>108-909</v>
      </c>
      <c r="C1251" s="2266" t="s">
        <v>1126</v>
      </c>
      <c r="D1251" s="2266">
        <v>8</v>
      </c>
      <c r="E1251" s="2266">
        <v>2191</v>
      </c>
      <c r="F1251" s="2266" t="s">
        <v>5628</v>
      </c>
      <c r="G1251" s="2266" t="s">
        <v>5628</v>
      </c>
      <c r="H1251" s="2266">
        <v>1734000</v>
      </c>
      <c r="I1251" s="2266">
        <v>0</v>
      </c>
      <c r="J1251" s="2266">
        <v>0</v>
      </c>
      <c r="K1251" s="2266">
        <v>0</v>
      </c>
      <c r="L1251" s="2266">
        <v>0</v>
      </c>
      <c r="M1251" s="2266">
        <v>599</v>
      </c>
    </row>
    <row r="1252" spans="1:13" ht="15">
      <c r="A1252" s="2266" t="s">
        <v>4188</v>
      </c>
      <c r="B1252" s="2465" t="str">
        <f>CONCATENATE(LEFT(RIGHT(CONCATENATE("000",IFAData_TEA_1617!A1252),6),3),"-",(RIGHT(RIGHT(CONCATENATE("000",IFAData_TEA_1617!A1252),6),3)))</f>
        <v>108-909</v>
      </c>
      <c r="C1252" s="2266" t="s">
        <v>1126</v>
      </c>
      <c r="D1252" s="2266">
        <v>8</v>
      </c>
      <c r="E1252" s="2266">
        <v>2191</v>
      </c>
      <c r="F1252" s="2266" t="s">
        <v>5628</v>
      </c>
      <c r="G1252" s="2266" t="s">
        <v>5626</v>
      </c>
      <c r="H1252" s="2266">
        <v>1734000</v>
      </c>
      <c r="I1252" s="2266">
        <v>397409</v>
      </c>
      <c r="J1252" s="2266">
        <v>0.13213439765501667</v>
      </c>
      <c r="K1252" s="2266">
        <v>229121.0455337989</v>
      </c>
      <c r="L1252" s="2266">
        <v>229121.0455337989</v>
      </c>
      <c r="M1252" s="2266">
        <v>599</v>
      </c>
    </row>
    <row r="1253" spans="1:13" ht="15">
      <c r="A1253" s="2266" t="s">
        <v>4188</v>
      </c>
      <c r="B1253" s="2465" t="str">
        <f>CONCATENATE(LEFT(RIGHT(CONCATENATE("000",IFAData_TEA_1617!A1253),6),3),"-",(RIGHT(RIGHT(CONCATENATE("000",IFAData_TEA_1617!A1253),6),3)))</f>
        <v>108-909</v>
      </c>
      <c r="C1253" s="2266" t="s">
        <v>1126</v>
      </c>
      <c r="D1253" s="2266">
        <v>10</v>
      </c>
      <c r="E1253" s="2266">
        <v>2195</v>
      </c>
      <c r="F1253" s="2266" t="s">
        <v>5630</v>
      </c>
      <c r="G1253" s="2266" t="s">
        <v>5630</v>
      </c>
      <c r="H1253" s="2266">
        <v>5985990</v>
      </c>
      <c r="I1253" s="2266">
        <v>4530775</v>
      </c>
      <c r="J1253" s="2266">
        <v>0.52596535862612093</v>
      </c>
      <c r="K1253" s="2266">
        <v>3148423.3770823735</v>
      </c>
      <c r="L1253" s="2266">
        <v>3148423.3770823735</v>
      </c>
      <c r="M1253" s="2266">
        <v>599</v>
      </c>
    </row>
    <row r="1254" spans="1:13" ht="15">
      <c r="A1254" s="2266" t="s">
        <v>4188</v>
      </c>
      <c r="B1254" s="2465" t="str">
        <f>CONCATENATE(LEFT(RIGHT(CONCATENATE("000",IFAData_TEA_1617!A1254),6),3),"-",(RIGHT(RIGHT(CONCATENATE("000",IFAData_TEA_1617!A1254),6),3)))</f>
        <v>108-909</v>
      </c>
      <c r="C1254" s="2266" t="s">
        <v>1126</v>
      </c>
      <c r="D1254" s="2266">
        <v>1</v>
      </c>
      <c r="E1254" s="2266">
        <v>2192</v>
      </c>
      <c r="F1254" s="2266" t="s">
        <v>5624</v>
      </c>
      <c r="G1254" s="2266" t="s">
        <v>5624</v>
      </c>
      <c r="H1254" s="2266">
        <v>3945431</v>
      </c>
      <c r="I1254" s="2266">
        <v>0</v>
      </c>
      <c r="J1254" s="2266">
        <v>0</v>
      </c>
      <c r="K1254" s="2266">
        <v>0</v>
      </c>
      <c r="L1254" s="2266">
        <v>0</v>
      </c>
      <c r="M1254" s="2266">
        <v>599</v>
      </c>
    </row>
    <row r="1255" spans="1:13" ht="15">
      <c r="A1255" s="2266" t="s">
        <v>4188</v>
      </c>
      <c r="B1255" s="2465" t="str">
        <f>CONCATENATE(LEFT(RIGHT(CONCATENATE("000",IFAData_TEA_1617!A1255),6),3),"-",(RIGHT(RIGHT(CONCATENATE("000",IFAData_TEA_1617!A1255),6),3)))</f>
        <v>108-909</v>
      </c>
      <c r="C1255" s="2266" t="s">
        <v>1126</v>
      </c>
      <c r="D1255" s="2266">
        <v>10</v>
      </c>
      <c r="E1255" s="2266">
        <v>2195</v>
      </c>
      <c r="F1255" s="2266" t="s">
        <v>5630</v>
      </c>
      <c r="G1255" s="2266" t="s">
        <v>7215</v>
      </c>
      <c r="H1255" s="2266">
        <v>5985990</v>
      </c>
      <c r="I1255" s="2266">
        <v>4083433</v>
      </c>
      <c r="J1255" s="2266">
        <v>0.47403464137387907</v>
      </c>
      <c r="K1255" s="2266">
        <v>2837566.6229176265</v>
      </c>
      <c r="L1255" s="2266">
        <v>2837566.6229176265</v>
      </c>
      <c r="M1255" s="2266">
        <v>599</v>
      </c>
    </row>
    <row r="1256" spans="1:13" ht="15">
      <c r="A1256" s="2266" t="s">
        <v>4188</v>
      </c>
      <c r="B1256" s="2465" t="str">
        <f>CONCATENATE(LEFT(RIGHT(CONCATENATE("000",IFAData_TEA_1617!A1256),6),3),"-",(RIGHT(RIGHT(CONCATENATE("000",IFAData_TEA_1617!A1256),6),3)))</f>
        <v>108-909</v>
      </c>
      <c r="C1256" s="2266" t="s">
        <v>1126</v>
      </c>
      <c r="D1256" s="2266">
        <v>4</v>
      </c>
      <c r="E1256" s="2266">
        <v>2193</v>
      </c>
      <c r="F1256" s="2266" t="s">
        <v>5627</v>
      </c>
      <c r="G1256" s="2266" t="s">
        <v>5627</v>
      </c>
      <c r="H1256" s="2266">
        <v>4254043</v>
      </c>
      <c r="I1256" s="2266">
        <v>0</v>
      </c>
      <c r="J1256" s="2266">
        <v>0</v>
      </c>
      <c r="K1256" s="2266">
        <v>0</v>
      </c>
      <c r="L1256" s="2266">
        <v>0</v>
      </c>
      <c r="M1256" s="2266">
        <v>599</v>
      </c>
    </row>
    <row r="1257" spans="1:13" ht="15">
      <c r="A1257" s="2266" t="s">
        <v>4188</v>
      </c>
      <c r="B1257" s="2465" t="str">
        <f>CONCATENATE(LEFT(RIGHT(CONCATENATE("000",IFAData_TEA_1617!A1257),6),3),"-",(RIGHT(RIGHT(CONCATENATE("000",IFAData_TEA_1617!A1257),6),3)))</f>
        <v>108-909</v>
      </c>
      <c r="C1257" s="2266" t="s">
        <v>1126</v>
      </c>
      <c r="D1257" s="2266">
        <v>9</v>
      </c>
      <c r="E1257" s="2266">
        <v>2196</v>
      </c>
      <c r="F1257" s="2266" t="s">
        <v>5629</v>
      </c>
      <c r="G1257" s="2266" t="s">
        <v>5629</v>
      </c>
      <c r="H1257" s="2266">
        <v>6721621</v>
      </c>
      <c r="I1257" s="2266">
        <v>4040375</v>
      </c>
      <c r="J1257" s="2266">
        <v>0.39004129709902818</v>
      </c>
      <c r="K1257" s="2266">
        <v>2621709.7734480668</v>
      </c>
      <c r="L1257" s="2266">
        <v>2621709.7734480668</v>
      </c>
      <c r="M1257" s="2266">
        <v>599</v>
      </c>
    </row>
    <row r="1258" spans="1:13" ht="15">
      <c r="A1258" s="2266" t="s">
        <v>4188</v>
      </c>
      <c r="B1258" s="2465" t="str">
        <f>CONCATENATE(LEFT(RIGHT(CONCATENATE("000",IFAData_TEA_1617!A1258),6),3),"-",(RIGHT(RIGHT(CONCATENATE("000",IFAData_TEA_1617!A1258),6),3)))</f>
        <v>108-909</v>
      </c>
      <c r="C1258" s="2266" t="s">
        <v>1126</v>
      </c>
      <c r="D1258" s="2266">
        <v>4</v>
      </c>
      <c r="E1258" s="2266">
        <v>2193</v>
      </c>
      <c r="F1258" s="2266" t="s">
        <v>5627</v>
      </c>
      <c r="G1258" s="2266" t="s">
        <v>7215</v>
      </c>
      <c r="H1258" s="2266">
        <v>4254043</v>
      </c>
      <c r="I1258" s="2266">
        <v>1695269</v>
      </c>
      <c r="J1258" s="2266">
        <v>0.28893186482656785</v>
      </c>
      <c r="K1258" s="2266">
        <v>1229128.5770424071</v>
      </c>
      <c r="L1258" s="2266">
        <v>1229128.5770424071</v>
      </c>
      <c r="M1258" s="2266">
        <v>599</v>
      </c>
    </row>
    <row r="1259" spans="1:13" ht="15">
      <c r="A1259" s="2266" t="s">
        <v>4188</v>
      </c>
      <c r="B1259" s="2465" t="str">
        <f>CONCATENATE(LEFT(RIGHT(CONCATENATE("000",IFAData_TEA_1617!A1259),6),3),"-",(RIGHT(RIGHT(CONCATENATE("000",IFAData_TEA_1617!A1259),6),3)))</f>
        <v>108-909</v>
      </c>
      <c r="C1259" s="2266" t="s">
        <v>1126</v>
      </c>
      <c r="D1259" s="2266">
        <v>9</v>
      </c>
      <c r="E1259" s="2266">
        <v>2196</v>
      </c>
      <c r="F1259" s="2266" t="s">
        <v>5629</v>
      </c>
      <c r="G1259" s="2266" t="s">
        <v>7215</v>
      </c>
      <c r="H1259" s="2266">
        <v>6721621</v>
      </c>
      <c r="I1259" s="2266">
        <v>4050112</v>
      </c>
      <c r="J1259" s="2266">
        <v>0.39098126730225269</v>
      </c>
      <c r="K1259" s="2266">
        <v>2628027.8969054352</v>
      </c>
      <c r="L1259" s="2266">
        <v>2628027.8969054352</v>
      </c>
      <c r="M1259" s="2266">
        <v>599</v>
      </c>
    </row>
    <row r="1260" spans="1:13" ht="15">
      <c r="A1260" s="2266" t="s">
        <v>4188</v>
      </c>
      <c r="B1260" s="2465" t="str">
        <f>CONCATENATE(LEFT(RIGHT(CONCATENATE("000",IFAData_TEA_1617!A1260),6),3),"-",(RIGHT(RIGHT(CONCATENATE("000",IFAData_TEA_1617!A1260),6),3)))</f>
        <v>108-909</v>
      </c>
      <c r="C1260" s="2266" t="s">
        <v>1126</v>
      </c>
      <c r="D1260" s="2266">
        <v>8</v>
      </c>
      <c r="E1260" s="2266">
        <v>2191</v>
      </c>
      <c r="F1260" s="2266" t="s">
        <v>5628</v>
      </c>
      <c r="G1260" s="2266" t="s">
        <v>7215</v>
      </c>
      <c r="H1260" s="2266">
        <v>1734000</v>
      </c>
      <c r="I1260" s="2266">
        <v>1132007</v>
      </c>
      <c r="J1260" s="2266">
        <v>0.37638066346323928</v>
      </c>
      <c r="K1260" s="2266">
        <v>652644.07044525689</v>
      </c>
      <c r="L1260" s="2266">
        <v>652644.07044525689</v>
      </c>
      <c r="M1260" s="2266">
        <v>599</v>
      </c>
    </row>
    <row r="1261" spans="1:13" ht="15">
      <c r="A1261" s="2266" t="s">
        <v>4188</v>
      </c>
      <c r="B1261" s="2465" t="str">
        <f>CONCATENATE(LEFT(RIGHT(CONCATENATE("000",IFAData_TEA_1617!A1261),6),3),"-",(RIGHT(RIGHT(CONCATENATE("000",IFAData_TEA_1617!A1261),6),3)))</f>
        <v>108-909</v>
      </c>
      <c r="C1261" s="2266" t="s">
        <v>1126</v>
      </c>
      <c r="D1261" s="2266">
        <v>8</v>
      </c>
      <c r="E1261" s="2266">
        <v>2194</v>
      </c>
      <c r="F1261" s="2266" t="s">
        <v>5625</v>
      </c>
      <c r="G1261" s="2266" t="s">
        <v>7215</v>
      </c>
      <c r="H1261" s="2266">
        <v>4319089</v>
      </c>
      <c r="I1261" s="2266">
        <v>967706</v>
      </c>
      <c r="J1261" s="2266">
        <v>0.18662430602107952</v>
      </c>
      <c r="K1261" s="2266">
        <v>806046.98726827826</v>
      </c>
      <c r="L1261" s="2266">
        <v>806046.98726827826</v>
      </c>
      <c r="M1261" s="2266">
        <v>599</v>
      </c>
    </row>
    <row r="1262" spans="1:13" ht="15">
      <c r="A1262" s="2266" t="s">
        <v>4189</v>
      </c>
      <c r="B1262" s="2465" t="str">
        <f>CONCATENATE(LEFT(RIGHT(CONCATENATE("000",IFAData_TEA_1617!A1262),6),3),"-",(RIGHT(RIGHT(CONCATENATE("000",IFAData_TEA_1617!A1262),6),3)))</f>
        <v>108-910</v>
      </c>
      <c r="C1262" s="2266" t="s">
        <v>88</v>
      </c>
      <c r="D1262" s="2266">
        <v>8</v>
      </c>
      <c r="E1262" s="2266">
        <v>2221</v>
      </c>
      <c r="F1262" s="2266" t="s">
        <v>5638</v>
      </c>
      <c r="G1262" s="2266" t="s">
        <v>5638</v>
      </c>
      <c r="H1262" s="2266">
        <v>486219</v>
      </c>
      <c r="I1262" s="2266">
        <v>483491</v>
      </c>
      <c r="J1262" s="2266">
        <v>1</v>
      </c>
      <c r="K1262" s="2266">
        <v>486219</v>
      </c>
      <c r="L1262" s="2266">
        <v>483491</v>
      </c>
      <c r="M1262" s="2266">
        <v>599</v>
      </c>
    </row>
    <row r="1263" spans="1:13" ht="15">
      <c r="A1263" s="2266" t="s">
        <v>4189</v>
      </c>
      <c r="B1263" s="2465" t="str">
        <f>CONCATENATE(LEFT(RIGHT(CONCATENATE("000",IFAData_TEA_1617!A1263),6),3),"-",(RIGHT(RIGHT(CONCATENATE("000",IFAData_TEA_1617!A1263),6),3)))</f>
        <v>108-910</v>
      </c>
      <c r="C1263" s="2266" t="s">
        <v>88</v>
      </c>
      <c r="D1263" s="2266">
        <v>7</v>
      </c>
      <c r="E1263" s="2266">
        <v>2217</v>
      </c>
      <c r="F1263" s="2266" t="s">
        <v>5636</v>
      </c>
      <c r="G1263" s="2266" t="s">
        <v>5637</v>
      </c>
      <c r="H1263" s="2266">
        <v>267450</v>
      </c>
      <c r="I1263" s="2266">
        <v>229475</v>
      </c>
      <c r="J1263" s="2266">
        <v>1</v>
      </c>
      <c r="K1263" s="2266">
        <v>267450</v>
      </c>
      <c r="L1263" s="2266">
        <v>229475</v>
      </c>
      <c r="M1263" s="2266">
        <v>599</v>
      </c>
    </row>
    <row r="1264" spans="1:13" ht="15">
      <c r="A1264" s="2266" t="s">
        <v>4189</v>
      </c>
      <c r="B1264" s="2465" t="str">
        <f>CONCATENATE(LEFT(RIGHT(CONCATENATE("000",IFAData_TEA_1617!A1264),6),3),"-",(RIGHT(RIGHT(CONCATENATE("000",IFAData_TEA_1617!A1264),6),3)))</f>
        <v>108-910</v>
      </c>
      <c r="C1264" s="2266" t="s">
        <v>88</v>
      </c>
      <c r="D1264" s="2266">
        <v>1</v>
      </c>
      <c r="E1264" s="2266">
        <v>2218</v>
      </c>
      <c r="F1264" s="2266" t="s">
        <v>5631</v>
      </c>
      <c r="G1264" s="2266" t="s">
        <v>5631</v>
      </c>
      <c r="H1264" s="2266">
        <v>426618</v>
      </c>
      <c r="I1264" s="2266">
        <v>0</v>
      </c>
      <c r="J1264" s="2266">
        <v>0</v>
      </c>
      <c r="K1264" s="2266">
        <v>0</v>
      </c>
      <c r="L1264" s="2266">
        <v>0</v>
      </c>
      <c r="M1264" s="2266">
        <v>599</v>
      </c>
    </row>
    <row r="1265" spans="1:13" ht="15">
      <c r="A1265" s="2266" t="s">
        <v>4189</v>
      </c>
      <c r="B1265" s="2465" t="str">
        <f>CONCATENATE(LEFT(RIGHT(CONCATENATE("000",IFAData_TEA_1617!A1265),6),3),"-",(RIGHT(RIGHT(CONCATENATE("000",IFAData_TEA_1617!A1265),6),3)))</f>
        <v>108-910</v>
      </c>
      <c r="C1265" s="2266" t="s">
        <v>88</v>
      </c>
      <c r="D1265" s="2266">
        <v>6</v>
      </c>
      <c r="E1265" s="2266">
        <v>2220</v>
      </c>
      <c r="F1265" s="2266" t="s">
        <v>5633</v>
      </c>
      <c r="G1265" s="2266" t="s">
        <v>5635</v>
      </c>
      <c r="H1265" s="2266">
        <v>448118</v>
      </c>
      <c r="I1265" s="2266">
        <v>0</v>
      </c>
      <c r="J1265" s="2266">
        <v>0</v>
      </c>
      <c r="K1265" s="2266">
        <v>0</v>
      </c>
      <c r="L1265" s="2266">
        <v>0</v>
      </c>
      <c r="M1265" s="2266">
        <v>599</v>
      </c>
    </row>
    <row r="1266" spans="1:13" ht="15">
      <c r="A1266" s="2266" t="s">
        <v>4189</v>
      </c>
      <c r="B1266" s="2465" t="str">
        <f>CONCATENATE(LEFT(RIGHT(CONCATENATE("000",IFAData_TEA_1617!A1266),6),3),"-",(RIGHT(RIGHT(CONCATENATE("000",IFAData_TEA_1617!A1266),6),3)))</f>
        <v>108-910</v>
      </c>
      <c r="C1266" s="2266" t="s">
        <v>88</v>
      </c>
      <c r="D1266" s="2266">
        <v>6</v>
      </c>
      <c r="E1266" s="2266">
        <v>2220</v>
      </c>
      <c r="F1266" s="2266" t="s">
        <v>5633</v>
      </c>
      <c r="G1266" s="2266" t="s">
        <v>5634</v>
      </c>
      <c r="H1266" s="2266">
        <v>448118</v>
      </c>
      <c r="I1266" s="2266">
        <v>431063</v>
      </c>
      <c r="J1266" s="2266">
        <v>1</v>
      </c>
      <c r="K1266" s="2266">
        <v>448118</v>
      </c>
      <c r="L1266" s="2266">
        <v>431063</v>
      </c>
      <c r="M1266" s="2266">
        <v>599</v>
      </c>
    </row>
    <row r="1267" spans="1:13" ht="15">
      <c r="A1267" s="2266" t="s">
        <v>4189</v>
      </c>
      <c r="B1267" s="2465" t="str">
        <f>CONCATENATE(LEFT(RIGHT(CONCATENATE("000",IFAData_TEA_1617!A1267),6),3),"-",(RIGHT(RIGHT(CONCATENATE("000",IFAData_TEA_1617!A1267),6),3)))</f>
        <v>108-910</v>
      </c>
      <c r="C1267" s="2266" t="s">
        <v>88</v>
      </c>
      <c r="D1267" s="2266">
        <v>10</v>
      </c>
      <c r="E1267" s="2266">
        <v>2219</v>
      </c>
      <c r="F1267" s="2266" t="s">
        <v>5639</v>
      </c>
      <c r="G1267" s="2266" t="s">
        <v>5639</v>
      </c>
      <c r="H1267" s="2266">
        <v>428983</v>
      </c>
      <c r="I1267" s="2266">
        <v>474219</v>
      </c>
      <c r="J1267" s="2266">
        <v>1</v>
      </c>
      <c r="K1267" s="2266">
        <v>428983</v>
      </c>
      <c r="L1267" s="2266">
        <v>428983</v>
      </c>
      <c r="M1267" s="2266">
        <v>599</v>
      </c>
    </row>
    <row r="1268" spans="1:13" ht="15">
      <c r="A1268" s="2266" t="s">
        <v>4189</v>
      </c>
      <c r="B1268" s="2465" t="str">
        <f>CONCATENATE(LEFT(RIGHT(CONCATENATE("000",IFAData_TEA_1617!A1268),6),3),"-",(RIGHT(RIGHT(CONCATENATE("000",IFAData_TEA_1617!A1268),6),3)))</f>
        <v>108-910</v>
      </c>
      <c r="C1268" s="2266" t="s">
        <v>88</v>
      </c>
      <c r="D1268" s="2266">
        <v>1</v>
      </c>
      <c r="E1268" s="2266">
        <v>2218</v>
      </c>
      <c r="F1268" s="2266" t="s">
        <v>5631</v>
      </c>
      <c r="G1268" s="2266" t="s">
        <v>5632</v>
      </c>
      <c r="H1268" s="2266">
        <v>426618</v>
      </c>
      <c r="I1268" s="2266">
        <v>400600</v>
      </c>
      <c r="J1268" s="2266">
        <v>1</v>
      </c>
      <c r="K1268" s="2266">
        <v>426618</v>
      </c>
      <c r="L1268" s="2266">
        <v>400600</v>
      </c>
      <c r="M1268" s="2266">
        <v>599</v>
      </c>
    </row>
    <row r="1269" spans="1:13" ht="15">
      <c r="A1269" s="2266" t="s">
        <v>4189</v>
      </c>
      <c r="B1269" s="2465" t="str">
        <f>CONCATENATE(LEFT(RIGHT(CONCATENATE("000",IFAData_TEA_1617!A1269),6),3),"-",(RIGHT(RIGHT(CONCATENATE("000",IFAData_TEA_1617!A1269),6),3)))</f>
        <v>108-910</v>
      </c>
      <c r="C1269" s="2266" t="s">
        <v>88</v>
      </c>
      <c r="D1269" s="2266">
        <v>7</v>
      </c>
      <c r="E1269" s="2266">
        <v>2217</v>
      </c>
      <c r="F1269" s="2266" t="s">
        <v>5636</v>
      </c>
      <c r="G1269" s="2266" t="s">
        <v>5636</v>
      </c>
      <c r="H1269" s="2266">
        <v>267450</v>
      </c>
      <c r="I1269" s="2266">
        <v>0</v>
      </c>
      <c r="J1269" s="2266">
        <v>0</v>
      </c>
      <c r="K1269" s="2266">
        <v>0</v>
      </c>
      <c r="L1269" s="2266">
        <v>0</v>
      </c>
      <c r="M1269" s="2266">
        <v>599</v>
      </c>
    </row>
    <row r="1270" spans="1:13" ht="15">
      <c r="A1270" s="2266" t="s">
        <v>4189</v>
      </c>
      <c r="B1270" s="2465" t="str">
        <f>CONCATENATE(LEFT(RIGHT(CONCATENATE("000",IFAData_TEA_1617!A1270),6),3),"-",(RIGHT(RIGHT(CONCATENATE("000",IFAData_TEA_1617!A1270),6),3)))</f>
        <v>108-910</v>
      </c>
      <c r="C1270" s="2266" t="s">
        <v>88</v>
      </c>
      <c r="D1270" s="2266">
        <v>6</v>
      </c>
      <c r="E1270" s="2266">
        <v>2220</v>
      </c>
      <c r="F1270" s="2266" t="s">
        <v>5633</v>
      </c>
      <c r="G1270" s="2266" t="s">
        <v>5633</v>
      </c>
      <c r="H1270" s="2266">
        <v>448118</v>
      </c>
      <c r="I1270" s="2266">
        <v>0</v>
      </c>
      <c r="J1270" s="2266">
        <v>0</v>
      </c>
      <c r="K1270" s="2266">
        <v>0</v>
      </c>
      <c r="L1270" s="2266">
        <v>0</v>
      </c>
      <c r="M1270" s="2266">
        <v>599</v>
      </c>
    </row>
    <row r="1271" spans="1:13" ht="15">
      <c r="A1271" s="2266" t="s">
        <v>4190</v>
      </c>
      <c r="B1271" s="2465" t="str">
        <f>CONCATENATE(LEFT(RIGHT(CONCATENATE("000",IFAData_TEA_1617!A1271),6),3),"-",(RIGHT(RIGHT(CONCATENATE("000",IFAData_TEA_1617!A1271),6),3)))</f>
        <v>108-911</v>
      </c>
      <c r="C1271" s="2266" t="s">
        <v>2998</v>
      </c>
      <c r="D1271" s="2266">
        <v>10</v>
      </c>
      <c r="E1271" s="2266">
        <v>2327</v>
      </c>
      <c r="F1271" s="2266" t="s">
        <v>5640</v>
      </c>
      <c r="G1271" s="2266" t="s">
        <v>5640</v>
      </c>
      <c r="H1271" s="2266">
        <v>570407</v>
      </c>
      <c r="I1271" s="2266">
        <v>566756</v>
      </c>
      <c r="J1271" s="2266">
        <v>1</v>
      </c>
      <c r="K1271" s="2266">
        <v>570407</v>
      </c>
      <c r="L1271" s="2266">
        <v>566756</v>
      </c>
      <c r="M1271" s="2266">
        <v>599</v>
      </c>
    </row>
    <row r="1272" spans="1:13" ht="15">
      <c r="A1272" s="2266" t="s">
        <v>4191</v>
      </c>
      <c r="B1272" s="2465" t="str">
        <f>CONCATENATE(LEFT(RIGHT(CONCATENATE("000",IFAData_TEA_1617!A1272),6),3),"-",(RIGHT(RIGHT(CONCATENATE("000",IFAData_TEA_1617!A1272),6),3)))</f>
        <v>108-912</v>
      </c>
      <c r="C1272" s="2266" t="s">
        <v>2170</v>
      </c>
      <c r="D1272" s="2266">
        <v>4</v>
      </c>
      <c r="E1272" s="2266">
        <v>1982</v>
      </c>
      <c r="F1272" s="2266" t="s">
        <v>5645</v>
      </c>
      <c r="G1272" s="2266" t="s">
        <v>6993</v>
      </c>
      <c r="H1272" s="2266">
        <v>3469419</v>
      </c>
      <c r="I1272" s="2266">
        <v>265999</v>
      </c>
      <c r="J1272" s="2266">
        <v>6.8856679718421715E-2</v>
      </c>
      <c r="K1272" s="2266">
        <v>238892.67289200696</v>
      </c>
      <c r="L1272" s="2266">
        <v>238892.67289200696</v>
      </c>
      <c r="M1272" s="2266">
        <v>599</v>
      </c>
    </row>
    <row r="1273" spans="1:13" ht="15">
      <c r="A1273" s="2266" t="s">
        <v>4191</v>
      </c>
      <c r="B1273" s="2465" t="str">
        <f>CONCATENATE(LEFT(RIGHT(CONCATENATE("000",IFAData_TEA_1617!A1273),6),3),"-",(RIGHT(RIGHT(CONCATENATE("000",IFAData_TEA_1617!A1273),6),3)))</f>
        <v>108-912</v>
      </c>
      <c r="C1273" s="2266" t="s">
        <v>2170</v>
      </c>
      <c r="D1273" s="2266">
        <v>9</v>
      </c>
      <c r="E1273" s="2266">
        <v>1985</v>
      </c>
      <c r="F1273" s="2266" t="s">
        <v>5651</v>
      </c>
      <c r="G1273" s="2266" t="s">
        <v>6993</v>
      </c>
      <c r="H1273" s="2266">
        <v>5948498</v>
      </c>
      <c r="I1273" s="2266">
        <v>1016050</v>
      </c>
      <c r="J1273" s="2266">
        <v>0.1827522720601355</v>
      </c>
      <c r="K1273" s="2266">
        <v>1087101.524845172</v>
      </c>
      <c r="L1273" s="2266">
        <v>1016050</v>
      </c>
      <c r="M1273" s="2266">
        <v>599</v>
      </c>
    </row>
    <row r="1274" spans="1:13" ht="15">
      <c r="A1274" s="2266" t="s">
        <v>4191</v>
      </c>
      <c r="B1274" s="2465" t="str">
        <f>CONCATENATE(LEFT(RIGHT(CONCATENATE("000",IFAData_TEA_1617!A1274),6),3),"-",(RIGHT(RIGHT(CONCATENATE("000",IFAData_TEA_1617!A1274),6),3)))</f>
        <v>108-912</v>
      </c>
      <c r="C1274" s="2266" t="s">
        <v>2170</v>
      </c>
      <c r="D1274" s="2266">
        <v>8</v>
      </c>
      <c r="E1274" s="2266">
        <v>1984</v>
      </c>
      <c r="F1274" s="2266" t="s">
        <v>5649</v>
      </c>
      <c r="G1274" s="2266" t="s">
        <v>5649</v>
      </c>
      <c r="H1274" s="2266">
        <v>5556579</v>
      </c>
      <c r="I1274" s="2266">
        <v>0</v>
      </c>
      <c r="J1274" s="2266">
        <v>0</v>
      </c>
      <c r="K1274" s="2266">
        <v>0</v>
      </c>
      <c r="L1274" s="2266">
        <v>0</v>
      </c>
      <c r="M1274" s="2266">
        <v>599</v>
      </c>
    </row>
    <row r="1275" spans="1:13" ht="15">
      <c r="A1275" s="2266" t="s">
        <v>4191</v>
      </c>
      <c r="B1275" s="2465" t="str">
        <f>CONCATENATE(LEFT(RIGHT(CONCATENATE("000",IFAData_TEA_1617!A1275),6),3),"-",(RIGHT(RIGHT(CONCATENATE("000",IFAData_TEA_1617!A1275),6),3)))</f>
        <v>108-912</v>
      </c>
      <c r="C1275" s="2266" t="s">
        <v>2170</v>
      </c>
      <c r="D1275" s="2266">
        <v>8</v>
      </c>
      <c r="E1275" s="2266">
        <v>1984</v>
      </c>
      <c r="F1275" s="2266" t="s">
        <v>5649</v>
      </c>
      <c r="G1275" s="2266" t="s">
        <v>6993</v>
      </c>
      <c r="H1275" s="2266">
        <v>5556579</v>
      </c>
      <c r="I1275" s="2266">
        <v>2052097</v>
      </c>
      <c r="J1275" s="2266">
        <v>0.39653971683146505</v>
      </c>
      <c r="K1275" s="2266">
        <v>2203404.2632116652</v>
      </c>
      <c r="L1275" s="2266">
        <v>2052097</v>
      </c>
      <c r="M1275" s="2266">
        <v>599</v>
      </c>
    </row>
    <row r="1276" spans="1:13" ht="15">
      <c r="A1276" s="2266" t="s">
        <v>4191</v>
      </c>
      <c r="B1276" s="2465" t="str">
        <f>CONCATENATE(LEFT(RIGHT(CONCATENATE("000",IFAData_TEA_1617!A1276),6),3),"-",(RIGHT(RIGHT(CONCATENATE("000",IFAData_TEA_1617!A1276),6),3)))</f>
        <v>108-912</v>
      </c>
      <c r="C1276" s="2266" t="s">
        <v>2170</v>
      </c>
      <c r="D1276" s="2266">
        <v>2</v>
      </c>
      <c r="E1276" s="2266">
        <v>1981</v>
      </c>
      <c r="F1276" s="2266" t="s">
        <v>5641</v>
      </c>
      <c r="G1276" s="2266" t="s">
        <v>5644</v>
      </c>
      <c r="H1276" s="2266">
        <v>3415997</v>
      </c>
      <c r="I1276" s="2266">
        <v>1737740</v>
      </c>
      <c r="J1276" s="2266">
        <v>0.48669237727943626</v>
      </c>
      <c r="K1276" s="2266">
        <v>1662539.7007094224</v>
      </c>
      <c r="L1276" s="2266">
        <v>1662539.7007094224</v>
      </c>
      <c r="M1276" s="2266">
        <v>599</v>
      </c>
    </row>
    <row r="1277" spans="1:13" ht="15">
      <c r="A1277" s="2266" t="s">
        <v>4191</v>
      </c>
      <c r="B1277" s="2465" t="str">
        <f>CONCATENATE(LEFT(RIGHT(CONCATENATE("000",IFAData_TEA_1617!A1277),6),3),"-",(RIGHT(RIGHT(CONCATENATE("000",IFAData_TEA_1617!A1277),6),3)))</f>
        <v>108-912</v>
      </c>
      <c r="C1277" s="2266" t="s">
        <v>2170</v>
      </c>
      <c r="D1277" s="2266">
        <v>4</v>
      </c>
      <c r="E1277" s="2266">
        <v>1982</v>
      </c>
      <c r="F1277" s="2266" t="s">
        <v>5645</v>
      </c>
      <c r="G1277" s="2266" t="s">
        <v>5644</v>
      </c>
      <c r="H1277" s="2266">
        <v>3469419</v>
      </c>
      <c r="I1277" s="2266">
        <v>3597083</v>
      </c>
      <c r="J1277" s="2266">
        <v>0.93114332028157831</v>
      </c>
      <c r="K1277" s="2266">
        <v>3230526.327107993</v>
      </c>
      <c r="L1277" s="2266">
        <v>3230526.327107993</v>
      </c>
      <c r="M1277" s="2266">
        <v>599</v>
      </c>
    </row>
    <row r="1278" spans="1:13" ht="15">
      <c r="A1278" s="2266" t="s">
        <v>4191</v>
      </c>
      <c r="B1278" s="2465" t="str">
        <f>CONCATENATE(LEFT(RIGHT(CONCATENATE("000",IFAData_TEA_1617!A1278),6),3),"-",(RIGHT(RIGHT(CONCATENATE("000",IFAData_TEA_1617!A1278),6),3)))</f>
        <v>108-912</v>
      </c>
      <c r="C1278" s="2266" t="s">
        <v>2170</v>
      </c>
      <c r="D1278" s="2266">
        <v>8</v>
      </c>
      <c r="E1278" s="2266">
        <v>1984</v>
      </c>
      <c r="F1278" s="2266" t="s">
        <v>5649</v>
      </c>
      <c r="G1278" s="2266" t="s">
        <v>5650</v>
      </c>
      <c r="H1278" s="2266">
        <v>5556579</v>
      </c>
      <c r="I1278" s="2266">
        <v>1773863</v>
      </c>
      <c r="J1278" s="2266">
        <v>0.34277479657044141</v>
      </c>
      <c r="K1278" s="2266">
        <v>1904655.2363525867</v>
      </c>
      <c r="L1278" s="2266">
        <v>1773863</v>
      </c>
      <c r="M1278" s="2266">
        <v>599</v>
      </c>
    </row>
    <row r="1279" spans="1:13" ht="15">
      <c r="A1279" s="2266" t="s">
        <v>4191</v>
      </c>
      <c r="B1279" s="2465" t="str">
        <f>CONCATENATE(LEFT(RIGHT(CONCATENATE("000",IFAData_TEA_1617!A1279),6),3),"-",(RIGHT(RIGHT(CONCATENATE("000",IFAData_TEA_1617!A1279),6),3)))</f>
        <v>108-912</v>
      </c>
      <c r="C1279" s="2266" t="s">
        <v>2170</v>
      </c>
      <c r="D1279" s="2266">
        <v>9</v>
      </c>
      <c r="E1279" s="2266">
        <v>1985</v>
      </c>
      <c r="F1279" s="2266" t="s">
        <v>5651</v>
      </c>
      <c r="G1279" s="2266" t="s">
        <v>5650</v>
      </c>
      <c r="H1279" s="2266">
        <v>5948498</v>
      </c>
      <c r="I1279" s="2266">
        <v>2194187</v>
      </c>
      <c r="J1279" s="2266">
        <v>0.39465839237715911</v>
      </c>
      <c r="K1279" s="2266">
        <v>2347624.6577387461</v>
      </c>
      <c r="L1279" s="2266">
        <v>2194187</v>
      </c>
      <c r="M1279" s="2266">
        <v>599</v>
      </c>
    </row>
    <row r="1280" spans="1:13" ht="15">
      <c r="A1280" s="2266" t="s">
        <v>4191</v>
      </c>
      <c r="B1280" s="2465" t="str">
        <f>CONCATENATE(LEFT(RIGHT(CONCATENATE("000",IFAData_TEA_1617!A1280),6),3),"-",(RIGHT(RIGHT(CONCATENATE("000",IFAData_TEA_1617!A1280),6),3)))</f>
        <v>108-912</v>
      </c>
      <c r="C1280" s="2266" t="s">
        <v>2170</v>
      </c>
      <c r="D1280" s="2266">
        <v>7</v>
      </c>
      <c r="E1280" s="2266">
        <v>1983</v>
      </c>
      <c r="F1280" s="2266" t="s">
        <v>5646</v>
      </c>
      <c r="G1280" s="2266" t="s">
        <v>5648</v>
      </c>
      <c r="H1280" s="2266">
        <v>5218175</v>
      </c>
      <c r="I1280" s="2266">
        <v>1637625</v>
      </c>
      <c r="J1280" s="2266">
        <v>0.43832929922718072</v>
      </c>
      <c r="K1280" s="2266">
        <v>2287278.9909947938</v>
      </c>
      <c r="L1280" s="2266">
        <v>1637625</v>
      </c>
      <c r="M1280" s="2266">
        <v>599</v>
      </c>
    </row>
    <row r="1281" spans="1:13" ht="15">
      <c r="A1281" s="2266" t="s">
        <v>4191</v>
      </c>
      <c r="B1281" s="2465" t="str">
        <f>CONCATENATE(LEFT(RIGHT(CONCATENATE("000",IFAData_TEA_1617!A1281),6),3),"-",(RIGHT(RIGHT(CONCATENATE("000",IFAData_TEA_1617!A1281),6),3)))</f>
        <v>108-912</v>
      </c>
      <c r="C1281" s="2266" t="s">
        <v>2170</v>
      </c>
      <c r="D1281" s="2266">
        <v>8</v>
      </c>
      <c r="E1281" s="2266">
        <v>1984</v>
      </c>
      <c r="F1281" s="2266" t="s">
        <v>5649</v>
      </c>
      <c r="G1281" s="2266" t="s">
        <v>5648</v>
      </c>
      <c r="H1281" s="2266">
        <v>5556579</v>
      </c>
      <c r="I1281" s="2266">
        <v>1349050</v>
      </c>
      <c r="J1281" s="2266">
        <v>0.26068548659809354</v>
      </c>
      <c r="K1281" s="2266">
        <v>1448519.5004357479</v>
      </c>
      <c r="L1281" s="2266">
        <v>1349050</v>
      </c>
      <c r="M1281" s="2266">
        <v>599</v>
      </c>
    </row>
    <row r="1282" spans="1:13" ht="15">
      <c r="A1282" s="2266" t="s">
        <v>4191</v>
      </c>
      <c r="B1282" s="2465" t="str">
        <f>CONCATENATE(LEFT(RIGHT(CONCATENATE("000",IFAData_TEA_1617!A1282),6),3),"-",(RIGHT(RIGHT(CONCATENATE("000",IFAData_TEA_1617!A1282),6),3)))</f>
        <v>108-912</v>
      </c>
      <c r="C1282" s="2266" t="s">
        <v>2170</v>
      </c>
      <c r="D1282" s="2266">
        <v>7</v>
      </c>
      <c r="E1282" s="2266">
        <v>1983</v>
      </c>
      <c r="F1282" s="2266" t="s">
        <v>5646</v>
      </c>
      <c r="G1282" s="2266" t="s">
        <v>5647</v>
      </c>
      <c r="H1282" s="2266">
        <v>5218175</v>
      </c>
      <c r="I1282" s="2266">
        <v>785388</v>
      </c>
      <c r="J1282" s="2266">
        <v>0.21021819504553058</v>
      </c>
      <c r="K1282" s="2266">
        <v>1096955.3299317115</v>
      </c>
      <c r="L1282" s="2266">
        <v>785388</v>
      </c>
      <c r="M1282" s="2266">
        <v>599</v>
      </c>
    </row>
    <row r="1283" spans="1:13" ht="15">
      <c r="A1283" s="2266" t="s">
        <v>4191</v>
      </c>
      <c r="B1283" s="2465" t="str">
        <f>CONCATENATE(LEFT(RIGHT(CONCATENATE("000",IFAData_TEA_1617!A1283),6),3),"-",(RIGHT(RIGHT(CONCATENATE("000",IFAData_TEA_1617!A1283),6),3)))</f>
        <v>108-912</v>
      </c>
      <c r="C1283" s="2266" t="s">
        <v>2170</v>
      </c>
      <c r="D1283" s="2266">
        <v>2</v>
      </c>
      <c r="E1283" s="2266">
        <v>1981</v>
      </c>
      <c r="F1283" s="2266" t="s">
        <v>5641</v>
      </c>
      <c r="G1283" s="2266" t="s">
        <v>5642</v>
      </c>
      <c r="H1283" s="2266">
        <v>3415997</v>
      </c>
      <c r="I1283" s="2266">
        <v>0</v>
      </c>
      <c r="J1283" s="2266">
        <v>0</v>
      </c>
      <c r="K1283" s="2266">
        <v>0</v>
      </c>
      <c r="L1283" s="2266">
        <v>0</v>
      </c>
      <c r="M1283" s="2266">
        <v>599</v>
      </c>
    </row>
    <row r="1284" spans="1:13" ht="15">
      <c r="A1284" s="2266" t="s">
        <v>4191</v>
      </c>
      <c r="B1284" s="2465" t="str">
        <f>CONCATENATE(LEFT(RIGHT(CONCATENATE("000",IFAData_TEA_1617!A1284),6),3),"-",(RIGHT(RIGHT(CONCATENATE("000",IFAData_TEA_1617!A1284),6),3)))</f>
        <v>108-912</v>
      </c>
      <c r="C1284" s="2266" t="s">
        <v>2170</v>
      </c>
      <c r="D1284" s="2266">
        <v>4</v>
      </c>
      <c r="E1284" s="2266">
        <v>1982</v>
      </c>
      <c r="F1284" s="2266" t="s">
        <v>5645</v>
      </c>
      <c r="G1284" s="2266" t="s">
        <v>5642</v>
      </c>
      <c r="H1284" s="2266">
        <v>3469419</v>
      </c>
      <c r="I1284" s="2266">
        <v>0</v>
      </c>
      <c r="J1284" s="2266">
        <v>0</v>
      </c>
      <c r="K1284" s="2266">
        <v>0</v>
      </c>
      <c r="L1284" s="2266">
        <v>0</v>
      </c>
      <c r="M1284" s="2266">
        <v>599</v>
      </c>
    </row>
    <row r="1285" spans="1:13" ht="15">
      <c r="A1285" s="2266" t="s">
        <v>4191</v>
      </c>
      <c r="B1285" s="2465" t="str">
        <f>CONCATENATE(LEFT(RIGHT(CONCATENATE("000",IFAData_TEA_1617!A1285),6),3),"-",(RIGHT(RIGHT(CONCATENATE("000",IFAData_TEA_1617!A1285),6),3)))</f>
        <v>108-912</v>
      </c>
      <c r="C1285" s="2266" t="s">
        <v>2170</v>
      </c>
      <c r="D1285" s="2266">
        <v>2</v>
      </c>
      <c r="E1285" s="2266">
        <v>1981</v>
      </c>
      <c r="F1285" s="2266" t="s">
        <v>5641</v>
      </c>
      <c r="G1285" s="2266" t="s">
        <v>5643</v>
      </c>
      <c r="H1285" s="2266">
        <v>3415997</v>
      </c>
      <c r="I1285" s="2266">
        <v>1703165</v>
      </c>
      <c r="J1285" s="2266">
        <v>0.47700888668565555</v>
      </c>
      <c r="K1285" s="2266">
        <v>1629460.9258915393</v>
      </c>
      <c r="L1285" s="2266">
        <v>1629460.9258915393</v>
      </c>
      <c r="M1285" s="2266">
        <v>599</v>
      </c>
    </row>
    <row r="1286" spans="1:13" ht="15">
      <c r="A1286" s="2266" t="s">
        <v>4191</v>
      </c>
      <c r="B1286" s="2465" t="str">
        <f>CONCATENATE(LEFT(RIGHT(CONCATENATE("000",IFAData_TEA_1617!A1286),6),3),"-",(RIGHT(RIGHT(CONCATENATE("000",IFAData_TEA_1617!A1286),6),3)))</f>
        <v>108-912</v>
      </c>
      <c r="C1286" s="2266" t="s">
        <v>2170</v>
      </c>
      <c r="D1286" s="2266">
        <v>7</v>
      </c>
      <c r="E1286" s="2266">
        <v>1983</v>
      </c>
      <c r="F1286" s="2266" t="s">
        <v>5646</v>
      </c>
      <c r="G1286" s="2266" t="s">
        <v>5643</v>
      </c>
      <c r="H1286" s="2266">
        <v>5218175</v>
      </c>
      <c r="I1286" s="2266">
        <v>1313048</v>
      </c>
      <c r="J1286" s="2266">
        <v>0.3514525057272887</v>
      </c>
      <c r="K1286" s="2266">
        <v>1833940.6790734946</v>
      </c>
      <c r="L1286" s="2266">
        <v>1313048</v>
      </c>
      <c r="M1286" s="2266">
        <v>599</v>
      </c>
    </row>
    <row r="1287" spans="1:13" ht="15">
      <c r="A1287" s="2266" t="s">
        <v>4191</v>
      </c>
      <c r="B1287" s="2465" t="str">
        <f>CONCATENATE(LEFT(RIGHT(CONCATENATE("000",IFAData_TEA_1617!A1287),6),3),"-",(RIGHT(RIGHT(CONCATENATE("000",IFAData_TEA_1617!A1287),6),3)))</f>
        <v>108-912</v>
      </c>
      <c r="C1287" s="2266" t="s">
        <v>2170</v>
      </c>
      <c r="D1287" s="2266">
        <v>4</v>
      </c>
      <c r="E1287" s="2266">
        <v>1982</v>
      </c>
      <c r="F1287" s="2266" t="s">
        <v>5645</v>
      </c>
      <c r="G1287" s="2266" t="s">
        <v>5645</v>
      </c>
      <c r="H1287" s="2266">
        <v>3469419</v>
      </c>
      <c r="I1287" s="2266">
        <v>0</v>
      </c>
      <c r="J1287" s="2266">
        <v>0</v>
      </c>
      <c r="K1287" s="2266">
        <v>0</v>
      </c>
      <c r="L1287" s="2266">
        <v>0</v>
      </c>
      <c r="M1287" s="2266">
        <v>599</v>
      </c>
    </row>
    <row r="1288" spans="1:13" ht="15">
      <c r="A1288" s="2266" t="s">
        <v>4191</v>
      </c>
      <c r="B1288" s="2465" t="str">
        <f>CONCATENATE(LEFT(RIGHT(CONCATENATE("000",IFAData_TEA_1617!A1288),6),3),"-",(RIGHT(RIGHT(CONCATENATE("000",IFAData_TEA_1617!A1288),6),3)))</f>
        <v>108-912</v>
      </c>
      <c r="C1288" s="2266" t="s">
        <v>2170</v>
      </c>
      <c r="D1288" s="2266">
        <v>7</v>
      </c>
      <c r="E1288" s="2266">
        <v>1983</v>
      </c>
      <c r="F1288" s="2266" t="s">
        <v>5646</v>
      </c>
      <c r="G1288" s="2266" t="s">
        <v>5646</v>
      </c>
      <c r="H1288" s="2266">
        <v>5218175</v>
      </c>
      <c r="I1288" s="2266">
        <v>0</v>
      </c>
      <c r="J1288" s="2266">
        <v>0</v>
      </c>
      <c r="K1288" s="2266">
        <v>0</v>
      </c>
      <c r="L1288" s="2266">
        <v>0</v>
      </c>
      <c r="M1288" s="2266">
        <v>599</v>
      </c>
    </row>
    <row r="1289" spans="1:13" ht="15">
      <c r="A1289" s="2266" t="s">
        <v>4191</v>
      </c>
      <c r="B1289" s="2465" t="str">
        <f>CONCATENATE(LEFT(RIGHT(CONCATENATE("000",IFAData_TEA_1617!A1289),6),3),"-",(RIGHT(RIGHT(CONCATENATE("000",IFAData_TEA_1617!A1289),6),3)))</f>
        <v>108-912</v>
      </c>
      <c r="C1289" s="2266" t="s">
        <v>2170</v>
      </c>
      <c r="D1289" s="2266">
        <v>2</v>
      </c>
      <c r="E1289" s="2266">
        <v>1981</v>
      </c>
      <c r="F1289" s="2266" t="s">
        <v>5641</v>
      </c>
      <c r="G1289" s="2266" t="s">
        <v>5641</v>
      </c>
      <c r="H1289" s="2266">
        <v>3415997</v>
      </c>
      <c r="I1289" s="2266">
        <v>0</v>
      </c>
      <c r="J1289" s="2266">
        <v>0</v>
      </c>
      <c r="K1289" s="2266">
        <v>0</v>
      </c>
      <c r="L1289" s="2266">
        <v>0</v>
      </c>
      <c r="M1289" s="2266">
        <v>599</v>
      </c>
    </row>
    <row r="1290" spans="1:13" ht="15">
      <c r="A1290" s="2266" t="s">
        <v>4191</v>
      </c>
      <c r="B1290" s="2465" t="str">
        <f>CONCATENATE(LEFT(RIGHT(CONCATENATE("000",IFAData_TEA_1617!A1290),6),3),"-",(RIGHT(RIGHT(CONCATENATE("000",IFAData_TEA_1617!A1290),6),3)))</f>
        <v>108-912</v>
      </c>
      <c r="C1290" s="2266" t="s">
        <v>2170</v>
      </c>
      <c r="D1290" s="2266">
        <v>9</v>
      </c>
      <c r="E1290" s="2266">
        <v>1985</v>
      </c>
      <c r="F1290" s="2266" t="s">
        <v>5651</v>
      </c>
      <c r="G1290" s="2266" t="s">
        <v>5651</v>
      </c>
      <c r="H1290" s="2266">
        <v>5948498</v>
      </c>
      <c r="I1290" s="2266">
        <v>2349475</v>
      </c>
      <c r="J1290" s="2266">
        <v>0.42258933556270539</v>
      </c>
      <c r="K1290" s="2266">
        <v>2513771.8174160817</v>
      </c>
      <c r="L1290" s="2266">
        <v>2349475</v>
      </c>
      <c r="M1290" s="2266">
        <v>599</v>
      </c>
    </row>
    <row r="1291" spans="1:13" ht="15">
      <c r="A1291" s="2266" t="s">
        <v>4191</v>
      </c>
      <c r="B1291" s="2465" t="str">
        <f>CONCATENATE(LEFT(RIGHT(CONCATENATE("000",IFAData_TEA_1617!A1291),6),3),"-",(RIGHT(RIGHT(CONCATENATE("000",IFAData_TEA_1617!A1291),6),3)))</f>
        <v>108-912</v>
      </c>
      <c r="C1291" s="2266" t="s">
        <v>2170</v>
      </c>
      <c r="D1291" s="2266">
        <v>2</v>
      </c>
      <c r="E1291" s="2266">
        <v>1981</v>
      </c>
      <c r="F1291" s="2266" t="s">
        <v>5641</v>
      </c>
      <c r="G1291" s="2266" t="s">
        <v>6993</v>
      </c>
      <c r="H1291" s="2266">
        <v>3415997</v>
      </c>
      <c r="I1291" s="2266">
        <v>129605</v>
      </c>
      <c r="J1291" s="2266">
        <v>3.6298736034908179E-2</v>
      </c>
      <c r="K1291" s="2266">
        <v>123996.37339903823</v>
      </c>
      <c r="L1291" s="2266">
        <v>123996.37339903823</v>
      </c>
      <c r="M1291" s="2266">
        <v>599</v>
      </c>
    </row>
    <row r="1292" spans="1:13" ht="15">
      <c r="A1292" s="2266" t="s">
        <v>4192</v>
      </c>
      <c r="B1292" s="2465" t="str">
        <f>CONCATENATE(LEFT(RIGHT(CONCATENATE("000",IFAData_TEA_1617!A1292),6),3),"-",(RIGHT(RIGHT(CONCATENATE("000",IFAData_TEA_1617!A1292),6),3)))</f>
        <v>108-913</v>
      </c>
      <c r="C1292" s="2266" t="s">
        <v>162</v>
      </c>
      <c r="D1292" s="2266">
        <v>8</v>
      </c>
      <c r="E1292" s="2266">
        <v>2441</v>
      </c>
      <c r="F1292" s="2266" t="s">
        <v>5654</v>
      </c>
      <c r="G1292" s="2266" t="s">
        <v>6994</v>
      </c>
      <c r="H1292" s="2266">
        <v>1506042</v>
      </c>
      <c r="I1292" s="2266">
        <v>827250</v>
      </c>
      <c r="J1292" s="2266">
        <v>1</v>
      </c>
      <c r="K1292" s="2266">
        <v>1506042</v>
      </c>
      <c r="L1292" s="2266">
        <v>827250</v>
      </c>
      <c r="M1292" s="2266">
        <v>599</v>
      </c>
    </row>
    <row r="1293" spans="1:13" ht="15">
      <c r="A1293" s="2266" t="s">
        <v>4192</v>
      </c>
      <c r="B1293" s="2465" t="str">
        <f>CONCATENATE(LEFT(RIGHT(CONCATENATE("000",IFAData_TEA_1617!A1293),6),3),"-",(RIGHT(RIGHT(CONCATENATE("000",IFAData_TEA_1617!A1293),6),3)))</f>
        <v>108-913</v>
      </c>
      <c r="C1293" s="2266" t="s">
        <v>162</v>
      </c>
      <c r="D1293" s="2266">
        <v>4</v>
      </c>
      <c r="E1293" s="2266">
        <v>2440</v>
      </c>
      <c r="F1293" s="2266" t="s">
        <v>5652</v>
      </c>
      <c r="G1293" s="2266" t="s">
        <v>6995</v>
      </c>
      <c r="H1293" s="2266">
        <v>1471397</v>
      </c>
      <c r="I1293" s="2266">
        <v>1140352</v>
      </c>
      <c r="J1293" s="2266">
        <v>1</v>
      </c>
      <c r="K1293" s="2266">
        <v>1471397</v>
      </c>
      <c r="L1293" s="2266">
        <v>1140352</v>
      </c>
      <c r="M1293" s="2266">
        <v>599</v>
      </c>
    </row>
    <row r="1294" spans="1:13" ht="15">
      <c r="A1294" s="2266" t="s">
        <v>4192</v>
      </c>
      <c r="B1294" s="2465" t="str">
        <f>CONCATENATE(LEFT(RIGHT(CONCATENATE("000",IFAData_TEA_1617!A1294),6),3),"-",(RIGHT(RIGHT(CONCATENATE("000",IFAData_TEA_1617!A1294),6),3)))</f>
        <v>108-913</v>
      </c>
      <c r="C1294" s="2266" t="s">
        <v>162</v>
      </c>
      <c r="D1294" s="2266">
        <v>8</v>
      </c>
      <c r="E1294" s="2266">
        <v>2441</v>
      </c>
      <c r="F1294" s="2266" t="s">
        <v>5654</v>
      </c>
      <c r="G1294" s="2266" t="s">
        <v>5654</v>
      </c>
      <c r="H1294" s="2266">
        <v>1506042</v>
      </c>
      <c r="I1294" s="2266">
        <v>0</v>
      </c>
      <c r="J1294" s="2266">
        <v>0</v>
      </c>
      <c r="K1294" s="2266">
        <v>0</v>
      </c>
      <c r="L1294" s="2266">
        <v>0</v>
      </c>
      <c r="M1294" s="2266">
        <v>599</v>
      </c>
    </row>
    <row r="1295" spans="1:13" ht="15">
      <c r="A1295" s="2266" t="s">
        <v>4192</v>
      </c>
      <c r="B1295" s="2465" t="str">
        <f>CONCATENATE(LEFT(RIGHT(CONCATENATE("000",IFAData_TEA_1617!A1295),6),3),"-",(RIGHT(RIGHT(CONCATENATE("000",IFAData_TEA_1617!A1295),6),3)))</f>
        <v>108-913</v>
      </c>
      <c r="C1295" s="2266" t="s">
        <v>162</v>
      </c>
      <c r="D1295" s="2266">
        <v>4</v>
      </c>
      <c r="E1295" s="2266">
        <v>2440</v>
      </c>
      <c r="F1295" s="2266" t="s">
        <v>5652</v>
      </c>
      <c r="G1295" s="2266" t="s">
        <v>5653</v>
      </c>
      <c r="H1295" s="2266">
        <v>1471397</v>
      </c>
      <c r="I1295" s="2266">
        <v>0</v>
      </c>
      <c r="J1295" s="2266">
        <v>0</v>
      </c>
      <c r="K1295" s="2266">
        <v>0</v>
      </c>
      <c r="L1295" s="2266">
        <v>0</v>
      </c>
      <c r="M1295" s="2266">
        <v>599</v>
      </c>
    </row>
    <row r="1296" spans="1:13" ht="15">
      <c r="A1296" s="2266" t="s">
        <v>4192</v>
      </c>
      <c r="B1296" s="2465" t="str">
        <f>CONCATENATE(LEFT(RIGHT(CONCATENATE("000",IFAData_TEA_1617!A1296),6),3),"-",(RIGHT(RIGHT(CONCATENATE("000",IFAData_TEA_1617!A1296),6),3)))</f>
        <v>108-913</v>
      </c>
      <c r="C1296" s="2266" t="s">
        <v>162</v>
      </c>
      <c r="D1296" s="2266">
        <v>4</v>
      </c>
      <c r="E1296" s="2266">
        <v>2440</v>
      </c>
      <c r="F1296" s="2266" t="s">
        <v>5652</v>
      </c>
      <c r="G1296" s="2266" t="s">
        <v>5652</v>
      </c>
      <c r="H1296" s="2266">
        <v>1471397</v>
      </c>
      <c r="I1296" s="2266">
        <v>0</v>
      </c>
      <c r="J1296" s="2266">
        <v>0</v>
      </c>
      <c r="K1296" s="2266">
        <v>0</v>
      </c>
      <c r="L1296" s="2266">
        <v>0</v>
      </c>
      <c r="M1296" s="2266">
        <v>599</v>
      </c>
    </row>
    <row r="1297" spans="1:13" ht="15">
      <c r="A1297" s="2266" t="s">
        <v>4192</v>
      </c>
      <c r="B1297" s="2465" t="str">
        <f>CONCATENATE(LEFT(RIGHT(CONCATENATE("000",IFAData_TEA_1617!A1297),6),3),"-",(RIGHT(RIGHT(CONCATENATE("000",IFAData_TEA_1617!A1297),6),3)))</f>
        <v>108-913</v>
      </c>
      <c r="C1297" s="2266" t="s">
        <v>162</v>
      </c>
      <c r="D1297" s="2266">
        <v>9</v>
      </c>
      <c r="E1297" s="2266">
        <v>2442</v>
      </c>
      <c r="F1297" s="2266" t="s">
        <v>5655</v>
      </c>
      <c r="G1297" s="2266" t="s">
        <v>5655</v>
      </c>
      <c r="H1297" s="2266">
        <v>1586343</v>
      </c>
      <c r="I1297" s="2266">
        <v>1587450</v>
      </c>
      <c r="J1297" s="2266">
        <v>1</v>
      </c>
      <c r="K1297" s="2266">
        <v>1586343</v>
      </c>
      <c r="L1297" s="2266">
        <v>1586343</v>
      </c>
      <c r="M1297" s="2266">
        <v>599</v>
      </c>
    </row>
    <row r="1298" spans="1:13" ht="15">
      <c r="A1298" s="2266" t="s">
        <v>4193</v>
      </c>
      <c r="B1298" s="2465" t="str">
        <f>CONCATENATE(LEFT(RIGHT(CONCATENATE("000",IFAData_TEA_1617!A1298),6),3),"-",(RIGHT(RIGHT(CONCATENATE("000",IFAData_TEA_1617!A1298),6),3)))</f>
        <v>108-914</v>
      </c>
      <c r="C1298" s="2266" t="s">
        <v>2622</v>
      </c>
      <c r="D1298" s="2266">
        <v>1</v>
      </c>
      <c r="E1298" s="2266">
        <v>1993</v>
      </c>
      <c r="F1298" s="2266" t="s">
        <v>5656</v>
      </c>
      <c r="G1298" s="2266" t="s">
        <v>5656</v>
      </c>
      <c r="H1298" s="2266">
        <v>163370</v>
      </c>
      <c r="I1298" s="2266">
        <v>0</v>
      </c>
      <c r="J1298" s="2266">
        <v>0</v>
      </c>
      <c r="K1298" s="2266">
        <v>0</v>
      </c>
      <c r="L1298" s="2266">
        <v>0</v>
      </c>
      <c r="M1298" s="2266">
        <v>599</v>
      </c>
    </row>
    <row r="1299" spans="1:13" ht="15">
      <c r="A1299" s="2266" t="s">
        <v>4193</v>
      </c>
      <c r="B1299" s="2465" t="str">
        <f>CONCATENATE(LEFT(RIGHT(CONCATENATE("000",IFAData_TEA_1617!A1299),6),3),"-",(RIGHT(RIGHT(CONCATENATE("000",IFAData_TEA_1617!A1299),6),3)))</f>
        <v>108-914</v>
      </c>
      <c r="C1299" s="2266" t="s">
        <v>2622</v>
      </c>
      <c r="D1299" s="2266">
        <v>4</v>
      </c>
      <c r="E1299" s="2266">
        <v>1994</v>
      </c>
      <c r="F1299" s="2266" t="s">
        <v>5658</v>
      </c>
      <c r="G1299" s="2266" t="s">
        <v>5658</v>
      </c>
      <c r="H1299" s="2266">
        <v>173535</v>
      </c>
      <c r="I1299" s="2266">
        <v>0</v>
      </c>
      <c r="J1299" s="2266">
        <v>0</v>
      </c>
      <c r="K1299" s="2266">
        <v>0</v>
      </c>
      <c r="L1299" s="2266">
        <v>0</v>
      </c>
      <c r="M1299" s="2266">
        <v>599</v>
      </c>
    </row>
    <row r="1300" spans="1:13" ht="15">
      <c r="A1300" s="2266" t="s">
        <v>4193</v>
      </c>
      <c r="B1300" s="2465" t="str">
        <f>CONCATENATE(LEFT(RIGHT(CONCATENATE("000",IFAData_TEA_1617!A1300),6),3),"-",(RIGHT(RIGHT(CONCATENATE("000",IFAData_TEA_1617!A1300),6),3)))</f>
        <v>108-914</v>
      </c>
      <c r="C1300" s="2266" t="s">
        <v>2622</v>
      </c>
      <c r="D1300" s="2266">
        <v>4</v>
      </c>
      <c r="E1300" s="2266">
        <v>1994</v>
      </c>
      <c r="F1300" s="2266" t="s">
        <v>5658</v>
      </c>
      <c r="G1300" s="2266" t="s">
        <v>5657</v>
      </c>
      <c r="H1300" s="2266">
        <v>173535</v>
      </c>
      <c r="I1300" s="2266">
        <v>174181</v>
      </c>
      <c r="J1300" s="2266">
        <v>1</v>
      </c>
      <c r="K1300" s="2266">
        <v>173535</v>
      </c>
      <c r="L1300" s="2266">
        <v>173535</v>
      </c>
      <c r="M1300" s="2266">
        <v>599</v>
      </c>
    </row>
    <row r="1301" spans="1:13" ht="15">
      <c r="A1301" s="2266" t="s">
        <v>4193</v>
      </c>
      <c r="B1301" s="2465" t="str">
        <f>CONCATENATE(LEFT(RIGHT(CONCATENATE("000",IFAData_TEA_1617!A1301),6),3),"-",(RIGHT(RIGHT(CONCATENATE("000",IFAData_TEA_1617!A1301),6),3)))</f>
        <v>108-914</v>
      </c>
      <c r="C1301" s="2266" t="s">
        <v>2622</v>
      </c>
      <c r="D1301" s="2266">
        <v>1</v>
      </c>
      <c r="E1301" s="2266">
        <v>1993</v>
      </c>
      <c r="F1301" s="2266" t="s">
        <v>5656</v>
      </c>
      <c r="G1301" s="2266" t="s">
        <v>5657</v>
      </c>
      <c r="H1301" s="2266">
        <v>163370</v>
      </c>
      <c r="I1301" s="2266">
        <v>138401</v>
      </c>
      <c r="J1301" s="2266">
        <v>1</v>
      </c>
      <c r="K1301" s="2266">
        <v>163370</v>
      </c>
      <c r="L1301" s="2266">
        <v>138401</v>
      </c>
      <c r="M1301" s="2266">
        <v>599</v>
      </c>
    </row>
    <row r="1302" spans="1:13" ht="15">
      <c r="A1302" s="2266" t="s">
        <v>4194</v>
      </c>
      <c r="B1302" s="2465" t="str">
        <f>CONCATENATE(LEFT(RIGHT(CONCATENATE("000",IFAData_TEA_1617!A1302),6),3),"-",(RIGHT(RIGHT(CONCATENATE("000",IFAData_TEA_1617!A1302),6),3)))</f>
        <v>108-915</v>
      </c>
      <c r="C1302" s="2266" t="s">
        <v>2561</v>
      </c>
      <c r="D1302" s="2266">
        <v>5</v>
      </c>
      <c r="E1302" s="2266">
        <v>2116</v>
      </c>
      <c r="F1302" s="2266" t="s">
        <v>5661</v>
      </c>
      <c r="G1302" s="2266" t="s">
        <v>5661</v>
      </c>
      <c r="H1302" s="2266">
        <v>110000</v>
      </c>
      <c r="I1302" s="2266">
        <v>0</v>
      </c>
      <c r="J1302" s="2266">
        <v>0</v>
      </c>
      <c r="K1302" s="2266">
        <v>0</v>
      </c>
      <c r="L1302" s="2266">
        <v>0</v>
      </c>
      <c r="M1302" s="2266">
        <v>599</v>
      </c>
    </row>
    <row r="1303" spans="1:13" ht="15">
      <c r="A1303" s="2266" t="s">
        <v>4194</v>
      </c>
      <c r="B1303" s="2465" t="str">
        <f>CONCATENATE(LEFT(RIGHT(CONCATENATE("000",IFAData_TEA_1617!A1303),6),3),"-",(RIGHT(RIGHT(CONCATENATE("000",IFAData_TEA_1617!A1303),6),3)))</f>
        <v>108-915</v>
      </c>
      <c r="C1303" s="2266" t="s">
        <v>2561</v>
      </c>
      <c r="D1303" s="2266">
        <v>4</v>
      </c>
      <c r="E1303" s="2266">
        <v>2115</v>
      </c>
      <c r="F1303" s="2266" t="s">
        <v>5659</v>
      </c>
      <c r="G1303" s="2266" t="s">
        <v>5660</v>
      </c>
      <c r="H1303" s="2266">
        <v>99356</v>
      </c>
      <c r="I1303" s="2266">
        <v>81313</v>
      </c>
      <c r="J1303" s="2266">
        <v>1</v>
      </c>
      <c r="K1303" s="2266">
        <v>99356</v>
      </c>
      <c r="L1303" s="2266">
        <v>81313</v>
      </c>
      <c r="M1303" s="2266">
        <v>599</v>
      </c>
    </row>
    <row r="1304" spans="1:13" ht="15">
      <c r="A1304" s="2266" t="s">
        <v>4194</v>
      </c>
      <c r="B1304" s="2465" t="str">
        <f>CONCATENATE(LEFT(RIGHT(CONCATENATE("000",IFAData_TEA_1617!A1304),6),3),"-",(RIGHT(RIGHT(CONCATENATE("000",IFAData_TEA_1617!A1304),6),3)))</f>
        <v>108-915</v>
      </c>
      <c r="C1304" s="2266" t="s">
        <v>2561</v>
      </c>
      <c r="D1304" s="2266">
        <v>5</v>
      </c>
      <c r="E1304" s="2266">
        <v>2116</v>
      </c>
      <c r="F1304" s="2266" t="s">
        <v>5661</v>
      </c>
      <c r="G1304" s="2266" t="s">
        <v>5660</v>
      </c>
      <c r="H1304" s="2266">
        <v>110000</v>
      </c>
      <c r="I1304" s="2266">
        <v>88388</v>
      </c>
      <c r="J1304" s="2266">
        <v>1</v>
      </c>
      <c r="K1304" s="2266">
        <v>110000</v>
      </c>
      <c r="L1304" s="2266">
        <v>88388</v>
      </c>
      <c r="M1304" s="2266">
        <v>599</v>
      </c>
    </row>
    <row r="1305" spans="1:13" ht="15">
      <c r="A1305" s="2266" t="s">
        <v>4194</v>
      </c>
      <c r="B1305" s="2465" t="str">
        <f>CONCATENATE(LEFT(RIGHT(CONCATENATE("000",IFAData_TEA_1617!A1305),6),3),"-",(RIGHT(RIGHT(CONCATENATE("000",IFAData_TEA_1617!A1305),6),3)))</f>
        <v>108-915</v>
      </c>
      <c r="C1305" s="2266" t="s">
        <v>2561</v>
      </c>
      <c r="D1305" s="2266">
        <v>4</v>
      </c>
      <c r="E1305" s="2266">
        <v>2115</v>
      </c>
      <c r="F1305" s="2266" t="s">
        <v>5659</v>
      </c>
      <c r="G1305" s="2266" t="s">
        <v>5659</v>
      </c>
      <c r="H1305" s="2266">
        <v>99356</v>
      </c>
      <c r="I1305" s="2266">
        <v>0</v>
      </c>
      <c r="J1305" s="2266">
        <v>0</v>
      </c>
      <c r="K1305" s="2266">
        <v>0</v>
      </c>
      <c r="L1305" s="2266">
        <v>0</v>
      </c>
      <c r="M1305" s="2266">
        <v>599</v>
      </c>
    </row>
    <row r="1306" spans="1:13" ht="15">
      <c r="A1306" s="2266" t="s">
        <v>4194</v>
      </c>
      <c r="B1306" s="2465" t="str">
        <f>CONCATENATE(LEFT(RIGHT(CONCATENATE("000",IFAData_TEA_1617!A1306),6),3),"-",(RIGHT(RIGHT(CONCATENATE("000",IFAData_TEA_1617!A1306),6),3)))</f>
        <v>108-915</v>
      </c>
      <c r="C1306" s="2266" t="s">
        <v>2561</v>
      </c>
      <c r="D1306" s="2266">
        <v>10</v>
      </c>
      <c r="E1306" s="2266">
        <v>2118</v>
      </c>
      <c r="F1306" s="2266" t="s">
        <v>5663</v>
      </c>
      <c r="G1306" s="2266" t="s">
        <v>5663</v>
      </c>
      <c r="H1306" s="2266">
        <v>184727</v>
      </c>
      <c r="I1306" s="2266">
        <v>632475</v>
      </c>
      <c r="J1306" s="2266">
        <v>1</v>
      </c>
      <c r="K1306" s="2266">
        <v>184727</v>
      </c>
      <c r="L1306" s="2266">
        <v>184727</v>
      </c>
      <c r="M1306" s="2266">
        <v>599</v>
      </c>
    </row>
    <row r="1307" spans="1:13" ht="15">
      <c r="A1307" s="2266" t="s">
        <v>4194</v>
      </c>
      <c r="B1307" s="2465" t="str">
        <f>CONCATENATE(LEFT(RIGHT(CONCATENATE("000",IFAData_TEA_1617!A1307),6),3),"-",(RIGHT(RIGHT(CONCATENATE("000",IFAData_TEA_1617!A1307),6),3)))</f>
        <v>108-915</v>
      </c>
      <c r="C1307" s="2266" t="s">
        <v>2561</v>
      </c>
      <c r="D1307" s="2266">
        <v>9</v>
      </c>
      <c r="E1307" s="2266">
        <v>2117</v>
      </c>
      <c r="F1307" s="2266" t="s">
        <v>5662</v>
      </c>
      <c r="G1307" s="2266" t="s">
        <v>5662</v>
      </c>
      <c r="H1307" s="2266">
        <v>152606</v>
      </c>
      <c r="I1307" s="2266">
        <v>169005</v>
      </c>
      <c r="J1307" s="2266">
        <v>1</v>
      </c>
      <c r="K1307" s="2266">
        <v>152606</v>
      </c>
      <c r="L1307" s="2266">
        <v>152606</v>
      </c>
      <c r="M1307" s="2266">
        <v>599</v>
      </c>
    </row>
    <row r="1308" spans="1:13" ht="15">
      <c r="A1308" s="2266" t="s">
        <v>4195</v>
      </c>
      <c r="B1308" s="2465" t="str">
        <f>CONCATENATE(LEFT(RIGHT(CONCATENATE("000",IFAData_TEA_1617!A1308),6),3),"-",(RIGHT(RIGHT(CONCATENATE("000",IFAData_TEA_1617!A1308),6),3)))</f>
        <v>108-916</v>
      </c>
      <c r="C1308" s="2266" t="s">
        <v>2705</v>
      </c>
      <c r="D1308" s="2266">
        <v>5</v>
      </c>
      <c r="E1308" s="2266">
        <v>2412</v>
      </c>
      <c r="F1308" s="2266" t="s">
        <v>5667</v>
      </c>
      <c r="G1308" s="2266" t="s">
        <v>5666</v>
      </c>
      <c r="H1308" s="2266">
        <v>164762</v>
      </c>
      <c r="I1308" s="2266">
        <v>158556</v>
      </c>
      <c r="J1308" s="2266">
        <v>0.50376979020712398</v>
      </c>
      <c r="K1308" s="2266">
        <v>83002.118174106159</v>
      </c>
      <c r="L1308" s="2266">
        <v>83002.118174106159</v>
      </c>
      <c r="M1308" s="2266">
        <v>599</v>
      </c>
    </row>
    <row r="1309" spans="1:13" ht="15">
      <c r="A1309" s="2266" t="s">
        <v>4195</v>
      </c>
      <c r="B1309" s="2465" t="str">
        <f>CONCATENATE(LEFT(RIGHT(CONCATENATE("000",IFAData_TEA_1617!A1309),6),3),"-",(RIGHT(RIGHT(CONCATENATE("000",IFAData_TEA_1617!A1309),6),3)))</f>
        <v>108-916</v>
      </c>
      <c r="C1309" s="2266" t="s">
        <v>2705</v>
      </c>
      <c r="D1309" s="2266">
        <v>4</v>
      </c>
      <c r="E1309" s="2266">
        <v>2414</v>
      </c>
      <c r="F1309" s="2266" t="s">
        <v>5665</v>
      </c>
      <c r="G1309" s="2266" t="s">
        <v>5666</v>
      </c>
      <c r="H1309" s="2266">
        <v>511379</v>
      </c>
      <c r="I1309" s="2266">
        <v>485119</v>
      </c>
      <c r="J1309" s="2266">
        <v>0.51433039477102005</v>
      </c>
      <c r="K1309" s="2266">
        <v>263017.76294760947</v>
      </c>
      <c r="L1309" s="2266">
        <v>263017.76294760947</v>
      </c>
      <c r="M1309" s="2266">
        <v>599</v>
      </c>
    </row>
    <row r="1310" spans="1:13" ht="15">
      <c r="A1310" s="2266" t="s">
        <v>4195</v>
      </c>
      <c r="B1310" s="2465" t="str">
        <f>CONCATENATE(LEFT(RIGHT(CONCATENATE("000",IFAData_TEA_1617!A1310),6),3),"-",(RIGHT(RIGHT(CONCATENATE("000",IFAData_TEA_1617!A1310),6),3)))</f>
        <v>108-916</v>
      </c>
      <c r="C1310" s="2266" t="s">
        <v>2705</v>
      </c>
      <c r="D1310" s="2266">
        <v>7</v>
      </c>
      <c r="E1310" s="2266">
        <v>2415</v>
      </c>
      <c r="F1310" s="2266" t="s">
        <v>5668</v>
      </c>
      <c r="G1310" s="2266" t="s">
        <v>6996</v>
      </c>
      <c r="H1310" s="2266">
        <v>753475</v>
      </c>
      <c r="I1310" s="2266">
        <v>309654</v>
      </c>
      <c r="J1310" s="2266">
        <v>0.43769824442371302</v>
      </c>
      <c r="K1310" s="2266">
        <v>329794.68471715716</v>
      </c>
      <c r="L1310" s="2266">
        <v>309654</v>
      </c>
      <c r="M1310" s="2266">
        <v>599</v>
      </c>
    </row>
    <row r="1311" spans="1:13" ht="15">
      <c r="A1311" s="2266" t="s">
        <v>4195</v>
      </c>
      <c r="B1311" s="2465" t="str">
        <f>CONCATENATE(LEFT(RIGHT(CONCATENATE("000",IFAData_TEA_1617!A1311),6),3),"-",(RIGHT(RIGHT(CONCATENATE("000",IFAData_TEA_1617!A1311),6),3)))</f>
        <v>108-916</v>
      </c>
      <c r="C1311" s="2266" t="s">
        <v>2705</v>
      </c>
      <c r="D1311" s="2266">
        <v>8</v>
      </c>
      <c r="E1311" s="2266">
        <v>2416</v>
      </c>
      <c r="F1311" s="2266" t="s">
        <v>5671</v>
      </c>
      <c r="G1311" s="2266" t="s">
        <v>6996</v>
      </c>
      <c r="H1311" s="2266">
        <v>913768</v>
      </c>
      <c r="I1311" s="2266">
        <v>710171</v>
      </c>
      <c r="J1311" s="2266">
        <v>0.74697207312673486</v>
      </c>
      <c r="K1311" s="2266">
        <v>682559.17731687031</v>
      </c>
      <c r="L1311" s="2266">
        <v>682559.17731687031</v>
      </c>
      <c r="M1311" s="2266">
        <v>599</v>
      </c>
    </row>
    <row r="1312" spans="1:13" ht="15">
      <c r="A1312" s="2266" t="s">
        <v>4195</v>
      </c>
      <c r="B1312" s="2465" t="str">
        <f>CONCATENATE(LEFT(RIGHT(CONCATENATE("000",IFAData_TEA_1617!A1312),6),3),"-",(RIGHT(RIGHT(CONCATENATE("000",IFAData_TEA_1617!A1312),6),3)))</f>
        <v>108-916</v>
      </c>
      <c r="C1312" s="2266" t="s">
        <v>2705</v>
      </c>
      <c r="D1312" s="2266">
        <v>5</v>
      </c>
      <c r="E1312" s="2266">
        <v>2412</v>
      </c>
      <c r="F1312" s="2266" t="s">
        <v>5667</v>
      </c>
      <c r="G1312" s="2266" t="s">
        <v>5667</v>
      </c>
      <c r="H1312" s="2266">
        <v>164762</v>
      </c>
      <c r="I1312" s="2266">
        <v>0</v>
      </c>
      <c r="J1312" s="2266">
        <v>0</v>
      </c>
      <c r="K1312" s="2266">
        <v>0</v>
      </c>
      <c r="L1312" s="2266">
        <v>0</v>
      </c>
      <c r="M1312" s="2266">
        <v>599</v>
      </c>
    </row>
    <row r="1313" spans="1:13" ht="15">
      <c r="A1313" s="2266" t="s">
        <v>4195</v>
      </c>
      <c r="B1313" s="2465" t="str">
        <f>CONCATENATE(LEFT(RIGHT(CONCATENATE("000",IFAData_TEA_1617!A1313),6),3),"-",(RIGHT(RIGHT(CONCATENATE("000",IFAData_TEA_1617!A1313),6),3)))</f>
        <v>108-916</v>
      </c>
      <c r="C1313" s="2266" t="s">
        <v>2705</v>
      </c>
      <c r="D1313" s="2266">
        <v>8</v>
      </c>
      <c r="E1313" s="2266">
        <v>2416</v>
      </c>
      <c r="F1313" s="2266" t="s">
        <v>5671</v>
      </c>
      <c r="G1313" s="2266" t="s">
        <v>5671</v>
      </c>
      <c r="H1313" s="2266">
        <v>913768</v>
      </c>
      <c r="I1313" s="2266">
        <v>0</v>
      </c>
      <c r="J1313" s="2266">
        <v>0</v>
      </c>
      <c r="K1313" s="2266">
        <v>0</v>
      </c>
      <c r="L1313" s="2266">
        <v>0</v>
      </c>
      <c r="M1313" s="2266">
        <v>599</v>
      </c>
    </row>
    <row r="1314" spans="1:13" ht="15">
      <c r="A1314" s="2266" t="s">
        <v>4195</v>
      </c>
      <c r="B1314" s="2465" t="str">
        <f>CONCATENATE(LEFT(RIGHT(CONCATENATE("000",IFAData_TEA_1617!A1314),6),3),"-",(RIGHT(RIGHT(CONCATENATE("000",IFAData_TEA_1617!A1314),6),3)))</f>
        <v>108-916</v>
      </c>
      <c r="C1314" s="2266" t="s">
        <v>2705</v>
      </c>
      <c r="D1314" s="2266">
        <v>1</v>
      </c>
      <c r="E1314" s="2266">
        <v>2413</v>
      </c>
      <c r="F1314" s="2266" t="s">
        <v>5664</v>
      </c>
      <c r="G1314" s="2266" t="s">
        <v>5664</v>
      </c>
      <c r="H1314" s="2266">
        <v>401791</v>
      </c>
      <c r="I1314" s="2266">
        <v>0</v>
      </c>
      <c r="J1314" s="2266">
        <v>0</v>
      </c>
      <c r="K1314" s="2266"/>
      <c r="L1314" s="2266">
        <v>0</v>
      </c>
      <c r="M1314" s="2266">
        <v>599</v>
      </c>
    </row>
    <row r="1315" spans="1:13" ht="15">
      <c r="A1315" s="2266" t="s">
        <v>4195</v>
      </c>
      <c r="B1315" s="2465" t="str">
        <f>CONCATENATE(LEFT(RIGHT(CONCATENATE("000",IFAData_TEA_1617!A1315),6),3),"-",(RIGHT(RIGHT(CONCATENATE("000",IFAData_TEA_1617!A1315),6),3)))</f>
        <v>108-916</v>
      </c>
      <c r="C1315" s="2266" t="s">
        <v>2705</v>
      </c>
      <c r="D1315" s="2266">
        <v>7</v>
      </c>
      <c r="E1315" s="2266">
        <v>2415</v>
      </c>
      <c r="F1315" s="2266" t="s">
        <v>5668</v>
      </c>
      <c r="G1315" s="2266" t="s">
        <v>5670</v>
      </c>
      <c r="H1315" s="2266">
        <v>753475</v>
      </c>
      <c r="I1315" s="2266">
        <v>103613</v>
      </c>
      <c r="J1315" s="2266">
        <v>0.14645775026149888</v>
      </c>
      <c r="K1315" s="2266">
        <v>110352.25337828287</v>
      </c>
      <c r="L1315" s="2266">
        <v>103613</v>
      </c>
      <c r="M1315" s="2266">
        <v>599</v>
      </c>
    </row>
    <row r="1316" spans="1:13" ht="15">
      <c r="A1316" s="2266" t="s">
        <v>4195</v>
      </c>
      <c r="B1316" s="2465" t="str">
        <f>CONCATENATE(LEFT(RIGHT(CONCATENATE("000",IFAData_TEA_1617!A1316),6),3),"-",(RIGHT(RIGHT(CONCATENATE("000",IFAData_TEA_1617!A1316),6),3)))</f>
        <v>108-916</v>
      </c>
      <c r="C1316" s="2266" t="s">
        <v>2705</v>
      </c>
      <c r="D1316" s="2266">
        <v>8</v>
      </c>
      <c r="E1316" s="2266">
        <v>2416</v>
      </c>
      <c r="F1316" s="2266" t="s">
        <v>5671</v>
      </c>
      <c r="G1316" s="2266" t="s">
        <v>5670</v>
      </c>
      <c r="H1316" s="2266">
        <v>913768</v>
      </c>
      <c r="I1316" s="2266">
        <v>240562</v>
      </c>
      <c r="J1316" s="2266">
        <v>0.25302792687326514</v>
      </c>
      <c r="K1316" s="2266">
        <v>231208.82268312975</v>
      </c>
      <c r="L1316" s="2266">
        <v>231208.82268312975</v>
      </c>
      <c r="M1316" s="2266">
        <v>599</v>
      </c>
    </row>
    <row r="1317" spans="1:13" ht="15">
      <c r="A1317" s="2266" t="s">
        <v>4195</v>
      </c>
      <c r="B1317" s="2465" t="str">
        <f>CONCATENATE(LEFT(RIGHT(CONCATENATE("000",IFAData_TEA_1617!A1317),6),3),"-",(RIGHT(RIGHT(CONCATENATE("000",IFAData_TEA_1617!A1317),6),3)))</f>
        <v>108-916</v>
      </c>
      <c r="C1317" s="2266" t="s">
        <v>2705</v>
      </c>
      <c r="D1317" s="2266">
        <v>7</v>
      </c>
      <c r="E1317" s="2266">
        <v>2415</v>
      </c>
      <c r="F1317" s="2266" t="s">
        <v>5668</v>
      </c>
      <c r="G1317" s="2266" t="s">
        <v>5668</v>
      </c>
      <c r="H1317" s="2266">
        <v>753475</v>
      </c>
      <c r="I1317" s="2266">
        <v>0</v>
      </c>
      <c r="J1317" s="2266">
        <v>0</v>
      </c>
      <c r="K1317" s="2266">
        <v>0</v>
      </c>
      <c r="L1317" s="2266">
        <v>0</v>
      </c>
      <c r="M1317" s="2266">
        <v>599</v>
      </c>
    </row>
    <row r="1318" spans="1:13" ht="15">
      <c r="A1318" s="2266" t="s">
        <v>4195</v>
      </c>
      <c r="B1318" s="2465" t="str">
        <f>CONCATENATE(LEFT(RIGHT(CONCATENATE("000",IFAData_TEA_1617!A1318),6),3),"-",(RIGHT(RIGHT(CONCATENATE("000",IFAData_TEA_1617!A1318),6),3)))</f>
        <v>108-916</v>
      </c>
      <c r="C1318" s="2266" t="s">
        <v>2705</v>
      </c>
      <c r="D1318" s="2266">
        <v>4</v>
      </c>
      <c r="E1318" s="2266">
        <v>2414</v>
      </c>
      <c r="F1318" s="2266" t="s">
        <v>5665</v>
      </c>
      <c r="G1318" s="2266" t="s">
        <v>5665</v>
      </c>
      <c r="H1318" s="2266">
        <v>511379</v>
      </c>
      <c r="I1318" s="2266">
        <v>0</v>
      </c>
      <c r="J1318" s="2266">
        <v>0</v>
      </c>
      <c r="K1318" s="2266">
        <v>0</v>
      </c>
      <c r="L1318" s="2266">
        <v>0</v>
      </c>
      <c r="M1318" s="2266">
        <v>599</v>
      </c>
    </row>
    <row r="1319" spans="1:13" ht="15">
      <c r="A1319" s="2266" t="s">
        <v>4195</v>
      </c>
      <c r="B1319" s="2465" t="str">
        <f>CONCATENATE(LEFT(RIGHT(CONCATENATE("000",IFAData_TEA_1617!A1319),6),3),"-",(RIGHT(RIGHT(CONCATENATE("000",IFAData_TEA_1617!A1319),6),3)))</f>
        <v>108-916</v>
      </c>
      <c r="C1319" s="2266" t="s">
        <v>2705</v>
      </c>
      <c r="D1319" s="2266">
        <v>9</v>
      </c>
      <c r="E1319" s="2266">
        <v>2417</v>
      </c>
      <c r="F1319" s="2266" t="s">
        <v>5672</v>
      </c>
      <c r="G1319" s="2266" t="s">
        <v>5672</v>
      </c>
      <c r="H1319" s="2266">
        <v>1075060</v>
      </c>
      <c r="I1319" s="2266">
        <v>723319</v>
      </c>
      <c r="J1319" s="2266">
        <v>0.71920586167706879</v>
      </c>
      <c r="K1319" s="2266">
        <v>773189.45365454955</v>
      </c>
      <c r="L1319" s="2266">
        <v>723319</v>
      </c>
      <c r="M1319" s="2266">
        <v>599</v>
      </c>
    </row>
    <row r="1320" spans="1:13" ht="15">
      <c r="A1320" s="2266" t="s">
        <v>4195</v>
      </c>
      <c r="B1320" s="2465" t="str">
        <f>CONCATENATE(LEFT(RIGHT(CONCATENATE("000",IFAData_TEA_1617!A1320),6),3),"-",(RIGHT(RIGHT(CONCATENATE("000",IFAData_TEA_1617!A1320),6),3)))</f>
        <v>108-916</v>
      </c>
      <c r="C1320" s="2266" t="s">
        <v>2705</v>
      </c>
      <c r="D1320" s="2266">
        <v>5</v>
      </c>
      <c r="E1320" s="2266">
        <v>2412</v>
      </c>
      <c r="F1320" s="2266" t="s">
        <v>5667</v>
      </c>
      <c r="G1320" s="2266" t="s">
        <v>7216</v>
      </c>
      <c r="H1320" s="2266">
        <v>164762</v>
      </c>
      <c r="I1320" s="2266">
        <v>156183</v>
      </c>
      <c r="J1320" s="2266">
        <v>0.49623020979287602</v>
      </c>
      <c r="K1320" s="2266">
        <v>81759.881825893841</v>
      </c>
      <c r="L1320" s="2266">
        <v>81759.881825893841</v>
      </c>
      <c r="M1320" s="2266">
        <v>599</v>
      </c>
    </row>
    <row r="1321" spans="1:13" ht="15">
      <c r="A1321" s="2266" t="s">
        <v>4195</v>
      </c>
      <c r="B1321" s="2465" t="str">
        <f>CONCATENATE(LEFT(RIGHT(CONCATENATE("000",IFAData_TEA_1617!A1321),6),3),"-",(RIGHT(RIGHT(CONCATENATE("000",IFAData_TEA_1617!A1321),6),3)))</f>
        <v>108-916</v>
      </c>
      <c r="C1321" s="2266" t="s">
        <v>2705</v>
      </c>
      <c r="D1321" s="2266">
        <v>4</v>
      </c>
      <c r="E1321" s="2266">
        <v>2414</v>
      </c>
      <c r="F1321" s="2266" t="s">
        <v>5665</v>
      </c>
      <c r="G1321" s="2266" t="s">
        <v>7216</v>
      </c>
      <c r="H1321" s="2266">
        <v>511379</v>
      </c>
      <c r="I1321" s="2266">
        <v>458086</v>
      </c>
      <c r="J1321" s="2266">
        <v>0.48566960522897989</v>
      </c>
      <c r="K1321" s="2266">
        <v>248361.2370523905</v>
      </c>
      <c r="L1321" s="2266">
        <v>248361.2370523905</v>
      </c>
      <c r="M1321" s="2266">
        <v>599</v>
      </c>
    </row>
    <row r="1322" spans="1:13" ht="15">
      <c r="A1322" s="2266" t="s">
        <v>4195</v>
      </c>
      <c r="B1322" s="2465" t="str">
        <f>CONCATENATE(LEFT(RIGHT(CONCATENATE("000",IFAData_TEA_1617!A1322),6),3),"-",(RIGHT(RIGHT(CONCATENATE("000",IFAData_TEA_1617!A1322),6),3)))</f>
        <v>108-916</v>
      </c>
      <c r="C1322" s="2266" t="s">
        <v>2705</v>
      </c>
      <c r="D1322" s="2266">
        <v>7</v>
      </c>
      <c r="E1322" s="2266">
        <v>2415</v>
      </c>
      <c r="F1322" s="2266" t="s">
        <v>5668</v>
      </c>
      <c r="G1322" s="2266" t="s">
        <v>5669</v>
      </c>
      <c r="H1322" s="2266">
        <v>753475</v>
      </c>
      <c r="I1322" s="2266">
        <v>294193</v>
      </c>
      <c r="J1322" s="2266">
        <v>0.4158440053147881</v>
      </c>
      <c r="K1322" s="2266">
        <v>313328.06190455996</v>
      </c>
      <c r="L1322" s="2266">
        <v>294193</v>
      </c>
      <c r="M1322" s="2266">
        <v>599</v>
      </c>
    </row>
    <row r="1323" spans="1:13" ht="15">
      <c r="A1323" s="2266" t="s">
        <v>4195</v>
      </c>
      <c r="B1323" s="2465" t="str">
        <f>CONCATENATE(LEFT(RIGHT(CONCATENATE("000",IFAData_TEA_1617!A1323),6),3),"-",(RIGHT(RIGHT(CONCATENATE("000",IFAData_TEA_1617!A1323),6),3)))</f>
        <v>108-916</v>
      </c>
      <c r="C1323" s="2266" t="s">
        <v>2705</v>
      </c>
      <c r="D1323" s="2266">
        <v>9</v>
      </c>
      <c r="E1323" s="2266">
        <v>2417</v>
      </c>
      <c r="F1323" s="2266" t="s">
        <v>5672</v>
      </c>
      <c r="G1323" s="2266" t="s">
        <v>7217</v>
      </c>
      <c r="H1323" s="2266">
        <v>1075060</v>
      </c>
      <c r="I1323" s="2266">
        <v>282400</v>
      </c>
      <c r="J1323" s="2266">
        <v>0.28079413832293115</v>
      </c>
      <c r="K1323" s="2266">
        <v>301870.54634545039</v>
      </c>
      <c r="L1323" s="2266">
        <v>282400</v>
      </c>
      <c r="M1323" s="2266">
        <v>599</v>
      </c>
    </row>
    <row r="1324" spans="1:13" ht="15">
      <c r="A1324" s="2266" t="s">
        <v>4196</v>
      </c>
      <c r="B1324" s="2465" t="str">
        <f>CONCATENATE(LEFT(RIGHT(CONCATENATE("000",IFAData_TEA_1617!A1324),6),3),"-",(RIGHT(RIGHT(CONCATENATE("000",IFAData_TEA_1617!A1324),6),3)))</f>
        <v>109-901</v>
      </c>
      <c r="C1324" s="2266" t="s">
        <v>2464</v>
      </c>
      <c r="D1324" s="2266">
        <v>9</v>
      </c>
      <c r="E1324" s="2266">
        <v>1541</v>
      </c>
      <c r="F1324" s="2266" t="s">
        <v>5673</v>
      </c>
      <c r="G1324" s="2266" t="s">
        <v>5673</v>
      </c>
      <c r="H1324" s="2266">
        <v>100000</v>
      </c>
      <c r="I1324" s="2266">
        <v>18841</v>
      </c>
      <c r="J1324" s="2266">
        <v>0.12401187396744531</v>
      </c>
      <c r="K1324" s="2266">
        <v>12401.187396744532</v>
      </c>
      <c r="L1324" s="2266">
        <v>12401.187396744532</v>
      </c>
      <c r="M1324" s="2266">
        <v>599</v>
      </c>
    </row>
    <row r="1325" spans="1:13" ht="15">
      <c r="A1325" s="2266" t="s">
        <v>4196</v>
      </c>
      <c r="B1325" s="2465" t="str">
        <f>CONCATENATE(LEFT(RIGHT(CONCATENATE("000",IFAData_TEA_1617!A1325),6),3),"-",(RIGHT(RIGHT(CONCATENATE("000",IFAData_TEA_1617!A1325),6),3)))</f>
        <v>109-901</v>
      </c>
      <c r="C1325" s="2266" t="s">
        <v>2464</v>
      </c>
      <c r="D1325" s="2266">
        <v>9</v>
      </c>
      <c r="E1325" s="2266">
        <v>1541</v>
      </c>
      <c r="F1325" s="2266" t="s">
        <v>5673</v>
      </c>
      <c r="G1325" s="2266" t="s">
        <v>6997</v>
      </c>
      <c r="H1325" s="2266">
        <v>100000</v>
      </c>
      <c r="I1325" s="2266">
        <v>133088</v>
      </c>
      <c r="J1325" s="2266">
        <v>0.87598812603255471</v>
      </c>
      <c r="K1325" s="2266">
        <v>87598.812603255472</v>
      </c>
      <c r="L1325" s="2266">
        <v>87598.812603255472</v>
      </c>
      <c r="M1325" s="2266">
        <v>599</v>
      </c>
    </row>
    <row r="1326" spans="1:13" ht="15">
      <c r="A1326" s="2266" t="s">
        <v>4197</v>
      </c>
      <c r="B1326" s="2465" t="str">
        <f>CONCATENATE(LEFT(RIGHT(CONCATENATE("000",IFAData_TEA_1617!A1326),6),3),"-",(RIGHT(RIGHT(CONCATENATE("000",IFAData_TEA_1617!A1326),6),3)))</f>
        <v>109-902</v>
      </c>
      <c r="C1326" s="2266" t="s">
        <v>1010</v>
      </c>
      <c r="D1326" s="2266">
        <v>6</v>
      </c>
      <c r="E1326" s="2266">
        <v>1656</v>
      </c>
      <c r="F1326" s="2266" t="s">
        <v>5674</v>
      </c>
      <c r="G1326" s="2266" t="s">
        <v>5675</v>
      </c>
      <c r="H1326" s="2266">
        <v>93778</v>
      </c>
      <c r="I1326" s="2266">
        <v>91275</v>
      </c>
      <c r="J1326" s="2266">
        <v>1</v>
      </c>
      <c r="K1326" s="2266">
        <v>93778</v>
      </c>
      <c r="L1326" s="2266">
        <v>91275</v>
      </c>
      <c r="M1326" s="2266">
        <v>599</v>
      </c>
    </row>
    <row r="1327" spans="1:13" ht="15">
      <c r="A1327" s="2266" t="s">
        <v>4197</v>
      </c>
      <c r="B1327" s="2465" t="str">
        <f>CONCATENATE(LEFT(RIGHT(CONCATENATE("000",IFAData_TEA_1617!A1327),6),3),"-",(RIGHT(RIGHT(CONCATENATE("000",IFAData_TEA_1617!A1327),6),3)))</f>
        <v>109-902</v>
      </c>
      <c r="C1327" s="2266" t="s">
        <v>1010</v>
      </c>
      <c r="D1327" s="2266">
        <v>6</v>
      </c>
      <c r="E1327" s="2266">
        <v>1656</v>
      </c>
      <c r="F1327" s="2266" t="s">
        <v>5674</v>
      </c>
      <c r="G1327" s="2266" t="s">
        <v>5674</v>
      </c>
      <c r="H1327" s="2266">
        <v>93778</v>
      </c>
      <c r="I1327" s="2266">
        <v>0</v>
      </c>
      <c r="J1327" s="2266">
        <v>0</v>
      </c>
      <c r="K1327" s="2266">
        <v>0</v>
      </c>
      <c r="L1327" s="2266">
        <v>0</v>
      </c>
      <c r="M1327" s="2266">
        <v>599</v>
      </c>
    </row>
    <row r="1328" spans="1:13" ht="15">
      <c r="A1328" s="2266" t="s">
        <v>5676</v>
      </c>
      <c r="B1328" s="2465" t="str">
        <f>CONCATENATE(LEFT(RIGHT(CONCATENATE("000",IFAData_TEA_1617!A1328),6),3),"-",(RIGHT(RIGHT(CONCATENATE("000",IFAData_TEA_1617!A1328),6),3)))</f>
        <v>109-903</v>
      </c>
      <c r="C1328" s="2266" t="s">
        <v>742</v>
      </c>
      <c r="D1328" s="2266">
        <v>3</v>
      </c>
      <c r="E1328" s="2266">
        <v>1727</v>
      </c>
      <c r="F1328" s="2266" t="s">
        <v>5677</v>
      </c>
      <c r="G1328" s="2266" t="s">
        <v>5677</v>
      </c>
      <c r="H1328" s="2266">
        <v>111000</v>
      </c>
      <c r="I1328" s="2266">
        <v>0</v>
      </c>
      <c r="J1328" s="2266">
        <v>0</v>
      </c>
      <c r="K1328" s="2266"/>
      <c r="L1328" s="2266">
        <v>0</v>
      </c>
      <c r="M1328" s="2266">
        <v>199</v>
      </c>
    </row>
    <row r="1329" spans="1:13" ht="15">
      <c r="A1329" s="2266" t="s">
        <v>4198</v>
      </c>
      <c r="B1329" s="2465" t="str">
        <f>CONCATENATE(LEFT(RIGHT(CONCATENATE("000",IFAData_TEA_1617!A1329),6),3),"-",(RIGHT(RIGHT(CONCATENATE("000",IFAData_TEA_1617!A1329),6),3)))</f>
        <v>109-904</v>
      </c>
      <c r="C1329" s="2266" t="s">
        <v>2727</v>
      </c>
      <c r="D1329" s="2266">
        <v>1</v>
      </c>
      <c r="E1329" s="2266">
        <v>1892</v>
      </c>
      <c r="F1329" s="2266" t="s">
        <v>5678</v>
      </c>
      <c r="G1329" s="2266" t="s">
        <v>6998</v>
      </c>
      <c r="H1329" s="2266">
        <v>373075</v>
      </c>
      <c r="I1329" s="2266">
        <v>2038</v>
      </c>
      <c r="J1329" s="2266">
        <v>3.3689625645111697E-3</v>
      </c>
      <c r="K1329" s="2266">
        <v>1256.8757087550046</v>
      </c>
      <c r="L1329" s="2266">
        <v>1256.8757087550046</v>
      </c>
      <c r="M1329" s="2266">
        <v>599</v>
      </c>
    </row>
    <row r="1330" spans="1:13" ht="15">
      <c r="A1330" s="2266" t="s">
        <v>4198</v>
      </c>
      <c r="B1330" s="2465" t="str">
        <f>CONCATENATE(LEFT(RIGHT(CONCATENATE("000",IFAData_TEA_1617!A1330),6),3),"-",(RIGHT(RIGHT(CONCATENATE("000",IFAData_TEA_1617!A1330),6),3)))</f>
        <v>109-904</v>
      </c>
      <c r="C1330" s="2266" t="s">
        <v>2727</v>
      </c>
      <c r="D1330" s="2266">
        <v>1</v>
      </c>
      <c r="E1330" s="2266">
        <v>1892</v>
      </c>
      <c r="F1330" s="2266" t="s">
        <v>5678</v>
      </c>
      <c r="G1330" s="2266" t="s">
        <v>5681</v>
      </c>
      <c r="H1330" s="2266">
        <v>373075</v>
      </c>
      <c r="I1330" s="2266">
        <v>0</v>
      </c>
      <c r="J1330" s="2266">
        <v>0</v>
      </c>
      <c r="K1330" s="2266">
        <v>0</v>
      </c>
      <c r="L1330" s="2266">
        <v>0</v>
      </c>
      <c r="M1330" s="2266">
        <v>599</v>
      </c>
    </row>
    <row r="1331" spans="1:13" ht="15">
      <c r="A1331" s="2266" t="s">
        <v>4198</v>
      </c>
      <c r="B1331" s="2465" t="str">
        <f>CONCATENATE(LEFT(RIGHT(CONCATENATE("000",IFAData_TEA_1617!A1331),6),3),"-",(RIGHT(RIGHT(CONCATENATE("000",IFAData_TEA_1617!A1331),6),3)))</f>
        <v>109-904</v>
      </c>
      <c r="C1331" s="2266" t="s">
        <v>2727</v>
      </c>
      <c r="D1331" s="2266">
        <v>6</v>
      </c>
      <c r="E1331" s="2266">
        <v>1893</v>
      </c>
      <c r="F1331" s="2266" t="s">
        <v>5679</v>
      </c>
      <c r="G1331" s="2266" t="s">
        <v>5681</v>
      </c>
      <c r="H1331" s="2266">
        <v>449169</v>
      </c>
      <c r="I1331" s="2266">
        <v>813837</v>
      </c>
      <c r="J1331" s="2266">
        <v>0.52896088415256359</v>
      </c>
      <c r="K1331" s="2266">
        <v>237592.83137392285</v>
      </c>
      <c r="L1331" s="2266">
        <v>237592.83137392285</v>
      </c>
      <c r="M1331" s="2266">
        <v>599</v>
      </c>
    </row>
    <row r="1332" spans="1:13" ht="15">
      <c r="A1332" s="2266" t="s">
        <v>4198</v>
      </c>
      <c r="B1332" s="2465" t="str">
        <f>CONCATENATE(LEFT(RIGHT(CONCATENATE("000",IFAData_TEA_1617!A1332),6),3),"-",(RIGHT(RIGHT(CONCATENATE("000",IFAData_TEA_1617!A1332),6),3)))</f>
        <v>109-904</v>
      </c>
      <c r="C1332" s="2266" t="s">
        <v>2727</v>
      </c>
      <c r="D1332" s="2266">
        <v>1</v>
      </c>
      <c r="E1332" s="2266">
        <v>1892</v>
      </c>
      <c r="F1332" s="2266" t="s">
        <v>5678</v>
      </c>
      <c r="G1332" s="2266" t="s">
        <v>5682</v>
      </c>
      <c r="H1332" s="2266">
        <v>373075</v>
      </c>
      <c r="I1332" s="2266">
        <v>602896</v>
      </c>
      <c r="J1332" s="2266">
        <v>0.99663103743548886</v>
      </c>
      <c r="K1332" s="2266">
        <v>371818.12429124501</v>
      </c>
      <c r="L1332" s="2266">
        <v>371818.12429124501</v>
      </c>
      <c r="M1332" s="2266">
        <v>599</v>
      </c>
    </row>
    <row r="1333" spans="1:13" ht="15">
      <c r="A1333" s="2266" t="s">
        <v>4198</v>
      </c>
      <c r="B1333" s="2465" t="str">
        <f>CONCATENATE(LEFT(RIGHT(CONCATENATE("000",IFAData_TEA_1617!A1333),6),3),"-",(RIGHT(RIGHT(CONCATENATE("000",IFAData_TEA_1617!A1333),6),3)))</f>
        <v>109-904</v>
      </c>
      <c r="C1333" s="2266" t="s">
        <v>2727</v>
      </c>
      <c r="D1333" s="2266">
        <v>6</v>
      </c>
      <c r="E1333" s="2266">
        <v>1893</v>
      </c>
      <c r="F1333" s="2266" t="s">
        <v>5679</v>
      </c>
      <c r="G1333" s="2266" t="s">
        <v>5679</v>
      </c>
      <c r="H1333" s="2266">
        <v>449169</v>
      </c>
      <c r="I1333" s="2266">
        <v>0</v>
      </c>
      <c r="J1333" s="2266">
        <v>0</v>
      </c>
      <c r="K1333" s="2266">
        <v>0</v>
      </c>
      <c r="L1333" s="2266">
        <v>0</v>
      </c>
      <c r="M1333" s="2266">
        <v>599</v>
      </c>
    </row>
    <row r="1334" spans="1:13" ht="15">
      <c r="A1334" s="2266" t="s">
        <v>4198</v>
      </c>
      <c r="B1334" s="2465" t="str">
        <f>CONCATENATE(LEFT(RIGHT(CONCATENATE("000",IFAData_TEA_1617!A1334),6),3),"-",(RIGHT(RIGHT(CONCATENATE("000",IFAData_TEA_1617!A1334),6),3)))</f>
        <v>109-904</v>
      </c>
      <c r="C1334" s="2266" t="s">
        <v>2727</v>
      </c>
      <c r="D1334" s="2266">
        <v>1</v>
      </c>
      <c r="E1334" s="2266">
        <v>1892</v>
      </c>
      <c r="F1334" s="2266" t="s">
        <v>5678</v>
      </c>
      <c r="G1334" s="2266" t="s">
        <v>5679</v>
      </c>
      <c r="H1334" s="2266">
        <v>373075</v>
      </c>
      <c r="I1334" s="2266">
        <v>0</v>
      </c>
      <c r="J1334" s="2266">
        <v>0</v>
      </c>
      <c r="K1334" s="2266">
        <v>0</v>
      </c>
      <c r="L1334" s="2266">
        <v>0</v>
      </c>
      <c r="M1334" s="2266">
        <v>599</v>
      </c>
    </row>
    <row r="1335" spans="1:13" ht="15">
      <c r="A1335" s="2266" t="s">
        <v>4198</v>
      </c>
      <c r="B1335" s="2465" t="str">
        <f>CONCATENATE(LEFT(RIGHT(CONCATENATE("000",IFAData_TEA_1617!A1335),6),3),"-",(RIGHT(RIGHT(CONCATENATE("000",IFAData_TEA_1617!A1335),6),3)))</f>
        <v>109-904</v>
      </c>
      <c r="C1335" s="2266" t="s">
        <v>2727</v>
      </c>
      <c r="D1335" s="2266">
        <v>1</v>
      </c>
      <c r="E1335" s="2266">
        <v>1892</v>
      </c>
      <c r="F1335" s="2266" t="s">
        <v>5678</v>
      </c>
      <c r="G1335" s="2266" t="s">
        <v>5680</v>
      </c>
      <c r="H1335" s="2266">
        <v>373075</v>
      </c>
      <c r="I1335" s="2266">
        <v>0</v>
      </c>
      <c r="J1335" s="2266">
        <v>0</v>
      </c>
      <c r="K1335" s="2266">
        <v>0</v>
      </c>
      <c r="L1335" s="2266">
        <v>0</v>
      </c>
      <c r="M1335" s="2266">
        <v>599</v>
      </c>
    </row>
    <row r="1336" spans="1:13" ht="15">
      <c r="A1336" s="2266" t="s">
        <v>4198</v>
      </c>
      <c r="B1336" s="2465" t="str">
        <f>CONCATENATE(LEFT(RIGHT(CONCATENATE("000",IFAData_TEA_1617!A1336),6),3),"-",(RIGHT(RIGHT(CONCATENATE("000",IFAData_TEA_1617!A1336),6),3)))</f>
        <v>109-904</v>
      </c>
      <c r="C1336" s="2266" t="s">
        <v>2727</v>
      </c>
      <c r="D1336" s="2266">
        <v>1</v>
      </c>
      <c r="E1336" s="2266">
        <v>1892</v>
      </c>
      <c r="F1336" s="2266" t="s">
        <v>5678</v>
      </c>
      <c r="G1336" s="2266" t="s">
        <v>5678</v>
      </c>
      <c r="H1336" s="2266">
        <v>373075</v>
      </c>
      <c r="I1336" s="2266">
        <v>0</v>
      </c>
      <c r="J1336" s="2266">
        <v>0</v>
      </c>
      <c r="K1336" s="2266">
        <v>0</v>
      </c>
      <c r="L1336" s="2266">
        <v>0</v>
      </c>
      <c r="M1336" s="2266">
        <v>599</v>
      </c>
    </row>
    <row r="1337" spans="1:13" ht="15">
      <c r="A1337" s="2266" t="s">
        <v>4198</v>
      </c>
      <c r="B1337" s="2465" t="str">
        <f>CONCATENATE(LEFT(RIGHT(CONCATENATE("000",IFAData_TEA_1617!A1337),6),3),"-",(RIGHT(RIGHT(CONCATENATE("000",IFAData_TEA_1617!A1337),6),3)))</f>
        <v>109-904</v>
      </c>
      <c r="C1337" s="2266" t="s">
        <v>2727</v>
      </c>
      <c r="D1337" s="2266">
        <v>6</v>
      </c>
      <c r="E1337" s="2266">
        <v>1893</v>
      </c>
      <c r="F1337" s="2266" t="s">
        <v>5679</v>
      </c>
      <c r="G1337" s="2266" t="s">
        <v>6998</v>
      </c>
      <c r="H1337" s="2266">
        <v>449169</v>
      </c>
      <c r="I1337" s="2266">
        <v>724721</v>
      </c>
      <c r="J1337" s="2266">
        <v>0.47103911584743635</v>
      </c>
      <c r="K1337" s="2266">
        <v>211576.16862607715</v>
      </c>
      <c r="L1337" s="2266">
        <v>211576.16862607715</v>
      </c>
      <c r="M1337" s="2266">
        <v>599</v>
      </c>
    </row>
    <row r="1338" spans="1:13" ht="15">
      <c r="A1338" s="2266" t="s">
        <v>4199</v>
      </c>
      <c r="B1338" s="2465" t="str">
        <f>CONCATENATE(LEFT(RIGHT(CONCATENATE("000",IFAData_TEA_1617!A1338),6),3),"-",(RIGHT(RIGHT(CONCATENATE("000",IFAData_TEA_1617!A1338),6),3)))</f>
        <v>109-905</v>
      </c>
      <c r="C1338" s="2266" t="s">
        <v>2732</v>
      </c>
      <c r="D1338" s="2266">
        <v>5</v>
      </c>
      <c r="E1338" s="2266">
        <v>1907</v>
      </c>
      <c r="F1338" s="2266" t="s">
        <v>5685</v>
      </c>
      <c r="G1338" s="2266" t="s">
        <v>5685</v>
      </c>
      <c r="H1338" s="2266">
        <v>109410</v>
      </c>
      <c r="I1338" s="2266">
        <v>0</v>
      </c>
      <c r="J1338" s="2266">
        <v>0</v>
      </c>
      <c r="K1338" s="2266">
        <v>0</v>
      </c>
      <c r="L1338" s="2266">
        <v>0</v>
      </c>
      <c r="M1338" s="2266">
        <v>599</v>
      </c>
    </row>
    <row r="1339" spans="1:13" ht="15">
      <c r="A1339" s="2266" t="s">
        <v>4199</v>
      </c>
      <c r="B1339" s="2465" t="str">
        <f>CONCATENATE(LEFT(RIGHT(CONCATENATE("000",IFAData_TEA_1617!A1339),6),3),"-",(RIGHT(RIGHT(CONCATENATE("000",IFAData_TEA_1617!A1339),6),3)))</f>
        <v>109-905</v>
      </c>
      <c r="C1339" s="2266" t="s">
        <v>2732</v>
      </c>
      <c r="D1339" s="2266">
        <v>10</v>
      </c>
      <c r="E1339" s="2266">
        <v>1905</v>
      </c>
      <c r="F1339" s="2266" t="s">
        <v>5686</v>
      </c>
      <c r="G1339" s="2266" t="s">
        <v>5686</v>
      </c>
      <c r="H1339" s="2266">
        <v>100000</v>
      </c>
      <c r="I1339" s="2266">
        <v>238044</v>
      </c>
      <c r="J1339" s="2266">
        <v>1</v>
      </c>
      <c r="K1339" s="2266">
        <v>100000</v>
      </c>
      <c r="L1339" s="2266">
        <v>100000</v>
      </c>
      <c r="M1339" s="2266">
        <v>599</v>
      </c>
    </row>
    <row r="1340" spans="1:13" ht="15">
      <c r="A1340" s="2266" t="s">
        <v>4199</v>
      </c>
      <c r="B1340" s="2465" t="str">
        <f>CONCATENATE(LEFT(RIGHT(CONCATENATE("000",IFAData_TEA_1617!A1340),6),3),"-",(RIGHT(RIGHT(CONCATENATE("000",IFAData_TEA_1617!A1340),6),3)))</f>
        <v>109-905</v>
      </c>
      <c r="C1340" s="2266" t="s">
        <v>2732</v>
      </c>
      <c r="D1340" s="2266">
        <v>5</v>
      </c>
      <c r="E1340" s="2266">
        <v>1907</v>
      </c>
      <c r="F1340" s="2266" t="s">
        <v>5685</v>
      </c>
      <c r="G1340" s="2266" t="s">
        <v>5686</v>
      </c>
      <c r="H1340" s="2266">
        <v>109410</v>
      </c>
      <c r="I1340" s="2266">
        <v>102975</v>
      </c>
      <c r="J1340" s="2266">
        <v>1</v>
      </c>
      <c r="K1340" s="2266">
        <v>109410</v>
      </c>
      <c r="L1340" s="2266">
        <v>102975</v>
      </c>
      <c r="M1340" s="2266">
        <v>599</v>
      </c>
    </row>
    <row r="1341" spans="1:13" ht="15">
      <c r="A1341" s="2266" t="s">
        <v>4199</v>
      </c>
      <c r="B1341" s="2465" t="str">
        <f>CONCATENATE(LEFT(RIGHT(CONCATENATE("000",IFAData_TEA_1617!A1341),6),3),"-",(RIGHT(RIGHT(CONCATENATE("000",IFAData_TEA_1617!A1341),6),3)))</f>
        <v>109-905</v>
      </c>
      <c r="C1341" s="2266" t="s">
        <v>2732</v>
      </c>
      <c r="D1341" s="2266">
        <v>4</v>
      </c>
      <c r="E1341" s="2266">
        <v>1906</v>
      </c>
      <c r="F1341" s="2266" t="s">
        <v>5683</v>
      </c>
      <c r="G1341" s="2266" t="s">
        <v>5683</v>
      </c>
      <c r="H1341" s="2266">
        <v>105808</v>
      </c>
      <c r="I1341" s="2266">
        <v>0</v>
      </c>
      <c r="J1341" s="2266">
        <v>0</v>
      </c>
      <c r="K1341" s="2266">
        <v>0</v>
      </c>
      <c r="L1341" s="2266">
        <v>0</v>
      </c>
      <c r="M1341" s="2266">
        <v>599</v>
      </c>
    </row>
    <row r="1342" spans="1:13" ht="15">
      <c r="A1342" s="2266" t="s">
        <v>4199</v>
      </c>
      <c r="B1342" s="2465" t="str">
        <f>CONCATENATE(LEFT(RIGHT(CONCATENATE("000",IFAData_TEA_1617!A1342),6),3),"-",(RIGHT(RIGHT(CONCATENATE("000",IFAData_TEA_1617!A1342),6),3)))</f>
        <v>109-905</v>
      </c>
      <c r="C1342" s="2266" t="s">
        <v>2732</v>
      </c>
      <c r="D1342" s="2266">
        <v>4</v>
      </c>
      <c r="E1342" s="2266">
        <v>1906</v>
      </c>
      <c r="F1342" s="2266" t="s">
        <v>5683</v>
      </c>
      <c r="G1342" s="2266" t="s">
        <v>5684</v>
      </c>
      <c r="H1342" s="2266">
        <v>105808</v>
      </c>
      <c r="I1342" s="2266">
        <v>88016</v>
      </c>
      <c r="J1342" s="2266">
        <v>1</v>
      </c>
      <c r="K1342" s="2266">
        <v>105808</v>
      </c>
      <c r="L1342" s="2266">
        <v>88016</v>
      </c>
      <c r="M1342" s="2266">
        <v>599</v>
      </c>
    </row>
    <row r="1343" spans="1:13" ht="15">
      <c r="A1343" s="2266" t="s">
        <v>4200</v>
      </c>
      <c r="B1343" s="2465" t="str">
        <f>CONCATENATE(LEFT(RIGHT(CONCATENATE("000",IFAData_TEA_1617!A1343),6),3),"-",(RIGHT(RIGHT(CONCATENATE("000",IFAData_TEA_1617!A1343),6),3)))</f>
        <v>109-907</v>
      </c>
      <c r="C1343" s="2266" t="s">
        <v>444</v>
      </c>
      <c r="D1343" s="2266">
        <v>2</v>
      </c>
      <c r="E1343" s="2266">
        <v>1931</v>
      </c>
      <c r="F1343" s="2266" t="s">
        <v>5687</v>
      </c>
      <c r="G1343" s="2266" t="s">
        <v>5687</v>
      </c>
      <c r="H1343" s="2266">
        <v>110751</v>
      </c>
      <c r="I1343" s="2266">
        <v>115000</v>
      </c>
      <c r="J1343" s="2266">
        <v>1</v>
      </c>
      <c r="K1343" s="2266">
        <v>110751</v>
      </c>
      <c r="L1343" s="2266">
        <v>110751</v>
      </c>
      <c r="M1343" s="2266">
        <v>599</v>
      </c>
    </row>
    <row r="1344" spans="1:13" ht="15">
      <c r="A1344" s="2266" t="s">
        <v>4201</v>
      </c>
      <c r="B1344" s="2465" t="str">
        <f>CONCATENATE(LEFT(RIGHT(CONCATENATE("000",IFAData_TEA_1617!A1344),6),3),"-",(RIGHT(RIGHT(CONCATENATE("000",IFAData_TEA_1617!A1344),6),3)))</f>
        <v>109-908</v>
      </c>
      <c r="C1344" s="2266" t="s">
        <v>2466</v>
      </c>
      <c r="D1344" s="2266">
        <v>9</v>
      </c>
      <c r="E1344" s="2266">
        <v>2054</v>
      </c>
      <c r="F1344" s="2266" t="s">
        <v>5689</v>
      </c>
      <c r="G1344" s="2266" t="s">
        <v>5689</v>
      </c>
      <c r="H1344" s="2266">
        <v>100000</v>
      </c>
      <c r="I1344" s="2266">
        <v>78594</v>
      </c>
      <c r="J1344" s="2266">
        <v>1</v>
      </c>
      <c r="K1344" s="2266">
        <v>100000</v>
      </c>
      <c r="L1344" s="2266">
        <v>78594</v>
      </c>
      <c r="M1344" s="2266">
        <v>599</v>
      </c>
    </row>
    <row r="1345" spans="1:13" ht="15">
      <c r="A1345" s="2266" t="s">
        <v>4201</v>
      </c>
      <c r="B1345" s="2465" t="str">
        <f>CONCATENATE(LEFT(RIGHT(CONCATENATE("000",IFAData_TEA_1617!A1345),6),3),"-",(RIGHT(RIGHT(CONCATENATE("000",IFAData_TEA_1617!A1345),6),3)))</f>
        <v>109-908</v>
      </c>
      <c r="C1345" s="2266" t="s">
        <v>2466</v>
      </c>
      <c r="D1345" s="2266">
        <v>5</v>
      </c>
      <c r="E1345" s="2266">
        <v>2053</v>
      </c>
      <c r="F1345" s="2266" t="s">
        <v>5688</v>
      </c>
      <c r="G1345" s="2266" t="s">
        <v>5688</v>
      </c>
      <c r="H1345" s="2266">
        <v>99613</v>
      </c>
      <c r="I1345" s="2266">
        <v>99720</v>
      </c>
      <c r="J1345" s="2266">
        <v>1</v>
      </c>
      <c r="K1345" s="2266">
        <v>99613</v>
      </c>
      <c r="L1345" s="2266">
        <v>99613</v>
      </c>
      <c r="M1345" s="2266">
        <v>199</v>
      </c>
    </row>
    <row r="1346" spans="1:13" ht="15">
      <c r="A1346" s="2266" t="s">
        <v>4202</v>
      </c>
      <c r="B1346" s="2465" t="str">
        <f>CONCATENATE(LEFT(RIGHT(CONCATENATE("000",IFAData_TEA_1617!A1346),6),3),"-",(RIGHT(RIGHT(CONCATENATE("000",IFAData_TEA_1617!A1346),6),3)))</f>
        <v>109-910</v>
      </c>
      <c r="C1346" s="2266" t="s">
        <v>2562</v>
      </c>
      <c r="D1346" s="2266">
        <v>10</v>
      </c>
      <c r="E1346" s="2266">
        <v>2120</v>
      </c>
      <c r="F1346" s="2266" t="s">
        <v>5691</v>
      </c>
      <c r="G1346" s="2266" t="s">
        <v>5691</v>
      </c>
      <c r="H1346" s="2266">
        <v>85000</v>
      </c>
      <c r="I1346" s="2266">
        <v>90000</v>
      </c>
      <c r="J1346" s="2266">
        <v>1</v>
      </c>
      <c r="K1346" s="2266">
        <v>85000</v>
      </c>
      <c r="L1346" s="2266">
        <v>85000</v>
      </c>
      <c r="M1346" s="2266">
        <v>599</v>
      </c>
    </row>
    <row r="1347" spans="1:13" ht="15">
      <c r="A1347" s="2266" t="s">
        <v>4202</v>
      </c>
      <c r="B1347" s="2465" t="str">
        <f>CONCATENATE(LEFT(RIGHT(CONCATENATE("000",IFAData_TEA_1617!A1347),6),3),"-",(RIGHT(RIGHT(CONCATENATE("000",IFAData_TEA_1617!A1347),6),3)))</f>
        <v>109-910</v>
      </c>
      <c r="C1347" s="2266" t="s">
        <v>2562</v>
      </c>
      <c r="D1347" s="2266">
        <v>5</v>
      </c>
      <c r="E1347" s="2266">
        <v>2121</v>
      </c>
      <c r="F1347" s="2266" t="s">
        <v>5690</v>
      </c>
      <c r="G1347" s="2266" t="s">
        <v>5690</v>
      </c>
      <c r="H1347" s="2266">
        <v>100000</v>
      </c>
      <c r="I1347" s="2266">
        <v>84162</v>
      </c>
      <c r="J1347" s="2266">
        <v>1</v>
      </c>
      <c r="K1347" s="2266">
        <v>100000</v>
      </c>
      <c r="L1347" s="2266">
        <v>84162</v>
      </c>
      <c r="M1347" s="2266">
        <v>199</v>
      </c>
    </row>
    <row r="1348" spans="1:13" ht="15">
      <c r="A1348" s="2266" t="s">
        <v>4203</v>
      </c>
      <c r="B1348" s="2465" t="str">
        <f>CONCATENATE(LEFT(RIGHT(CONCATENATE("000",IFAData_TEA_1617!A1348),6),3),"-",(RIGHT(RIGHT(CONCATENATE("000",IFAData_TEA_1617!A1348),6),3)))</f>
        <v>109-912</v>
      </c>
      <c r="C1348" s="2266" t="s">
        <v>2773</v>
      </c>
      <c r="D1348" s="2266">
        <v>5</v>
      </c>
      <c r="E1348" s="2266">
        <v>1581</v>
      </c>
      <c r="F1348" s="2266" t="s">
        <v>5692</v>
      </c>
      <c r="G1348" s="2266" t="s">
        <v>5692</v>
      </c>
      <c r="H1348" s="2266">
        <v>88897</v>
      </c>
      <c r="I1348" s="2266">
        <v>0</v>
      </c>
      <c r="J1348" s="2266">
        <v>0</v>
      </c>
      <c r="K1348" s="2266">
        <v>0</v>
      </c>
      <c r="L1348" s="2266">
        <v>0</v>
      </c>
      <c r="M1348" s="2266">
        <v>599</v>
      </c>
    </row>
    <row r="1349" spans="1:13" ht="15">
      <c r="A1349" s="2266" t="s">
        <v>4203</v>
      </c>
      <c r="B1349" s="2465" t="str">
        <f>CONCATENATE(LEFT(RIGHT(CONCATENATE("000",IFAData_TEA_1617!A1349),6),3),"-",(RIGHT(RIGHT(CONCATENATE("000",IFAData_TEA_1617!A1349),6),3)))</f>
        <v>109-912</v>
      </c>
      <c r="C1349" s="2266" t="s">
        <v>2773</v>
      </c>
      <c r="D1349" s="2266">
        <v>5</v>
      </c>
      <c r="E1349" s="2266">
        <v>1581</v>
      </c>
      <c r="F1349" s="2266" t="s">
        <v>5692</v>
      </c>
      <c r="G1349" s="2266" t="s">
        <v>5693</v>
      </c>
      <c r="H1349" s="2266">
        <v>88897</v>
      </c>
      <c r="I1349" s="2266">
        <v>89750</v>
      </c>
      <c r="J1349" s="2266">
        <v>1</v>
      </c>
      <c r="K1349" s="2266">
        <v>88897</v>
      </c>
      <c r="L1349" s="2266">
        <v>88897</v>
      </c>
      <c r="M1349" s="2266">
        <v>599</v>
      </c>
    </row>
    <row r="1350" spans="1:13" ht="15">
      <c r="A1350" s="2266" t="s">
        <v>5694</v>
      </c>
      <c r="B1350" s="2465" t="str">
        <f>CONCATENATE(LEFT(RIGHT(CONCATENATE("000",IFAData_TEA_1617!A1350),6),3),"-",(RIGHT(RIGHT(CONCATENATE("000",IFAData_TEA_1617!A1350),6),3)))</f>
        <v>109-913</v>
      </c>
      <c r="C1350" s="2266" t="s">
        <v>1522</v>
      </c>
      <c r="D1350" s="2266">
        <v>5</v>
      </c>
      <c r="E1350" s="2266">
        <v>1625</v>
      </c>
      <c r="F1350" s="2266" t="s">
        <v>5695</v>
      </c>
      <c r="G1350" s="2266" t="s">
        <v>5695</v>
      </c>
      <c r="H1350" s="2266">
        <v>91413</v>
      </c>
      <c r="I1350" s="2266">
        <v>0</v>
      </c>
      <c r="J1350" s="2266">
        <v>0</v>
      </c>
      <c r="K1350" s="2266">
        <v>0</v>
      </c>
      <c r="L1350" s="2266">
        <v>0</v>
      </c>
      <c r="M1350" s="2266">
        <v>599</v>
      </c>
    </row>
    <row r="1351" spans="1:13" ht="15">
      <c r="A1351" s="2266" t="s">
        <v>5694</v>
      </c>
      <c r="B1351" s="2465" t="str">
        <f>CONCATENATE(LEFT(RIGHT(CONCATENATE("000",IFAData_TEA_1617!A1351),6),3),"-",(RIGHT(RIGHT(CONCATENATE("000",IFAData_TEA_1617!A1351),6),3)))</f>
        <v>109-913</v>
      </c>
      <c r="C1351" s="2266" t="s">
        <v>1522</v>
      </c>
      <c r="D1351" s="2266">
        <v>5</v>
      </c>
      <c r="E1351" s="2266">
        <v>1625</v>
      </c>
      <c r="F1351" s="2266" t="s">
        <v>5695</v>
      </c>
      <c r="G1351" s="2266" t="s">
        <v>5696</v>
      </c>
      <c r="H1351" s="2266">
        <v>91413</v>
      </c>
      <c r="I1351" s="2266">
        <v>0</v>
      </c>
      <c r="J1351" s="2266">
        <v>0</v>
      </c>
      <c r="K1351" s="2266">
        <v>0</v>
      </c>
      <c r="L1351" s="2266">
        <v>0</v>
      </c>
      <c r="M1351" s="2266">
        <v>599</v>
      </c>
    </row>
    <row r="1352" spans="1:13" ht="15">
      <c r="A1352" s="2266" t="s">
        <v>5694</v>
      </c>
      <c r="B1352" s="2465" t="str">
        <f>CONCATENATE(LEFT(RIGHT(CONCATENATE("000",IFAData_TEA_1617!A1352),6),3),"-",(RIGHT(RIGHT(CONCATENATE("000",IFAData_TEA_1617!A1352),6),3)))</f>
        <v>109-913</v>
      </c>
      <c r="C1352" s="2266" t="s">
        <v>1522</v>
      </c>
      <c r="D1352" s="2266">
        <v>5</v>
      </c>
      <c r="E1352" s="2266">
        <v>1625</v>
      </c>
      <c r="F1352" s="2266" t="s">
        <v>5695</v>
      </c>
      <c r="G1352" s="2266" t="s">
        <v>7611</v>
      </c>
      <c r="H1352" s="2266">
        <v>91413</v>
      </c>
      <c r="I1352" s="2266">
        <v>58629</v>
      </c>
      <c r="J1352" s="2266">
        <v>1</v>
      </c>
      <c r="K1352" s="2266">
        <v>91413</v>
      </c>
      <c r="L1352" s="2266">
        <v>58629</v>
      </c>
      <c r="M1352" s="2266">
        <v>599</v>
      </c>
    </row>
    <row r="1353" spans="1:13" ht="15">
      <c r="A1353" s="2266" t="s">
        <v>5697</v>
      </c>
      <c r="B1353" s="2465" t="str">
        <f>CONCATENATE(LEFT(RIGHT(CONCATENATE("000",IFAData_TEA_1617!A1353),6),3),"-",(RIGHT(RIGHT(CONCATENATE("000",IFAData_TEA_1617!A1353),6),3)))</f>
        <v>109-914</v>
      </c>
      <c r="C1353" s="2266" t="s">
        <v>2989</v>
      </c>
      <c r="D1353" s="2266">
        <v>5</v>
      </c>
      <c r="E1353" s="2266">
        <v>2185</v>
      </c>
      <c r="F1353" s="2266" t="s">
        <v>5698</v>
      </c>
      <c r="G1353" s="2266" t="s">
        <v>5698</v>
      </c>
      <c r="H1353" s="2266">
        <v>99258</v>
      </c>
      <c r="I1353" s="2266">
        <v>87630</v>
      </c>
      <c r="J1353" s="2266">
        <v>1</v>
      </c>
      <c r="K1353" s="2266">
        <v>99258</v>
      </c>
      <c r="L1353" s="2266">
        <v>87630</v>
      </c>
      <c r="M1353" s="2266">
        <v>199</v>
      </c>
    </row>
    <row r="1354" spans="1:13" ht="15">
      <c r="A1354" s="2266" t="s">
        <v>4204</v>
      </c>
      <c r="B1354" s="2465" t="str">
        <f>CONCATENATE(LEFT(RIGHT(CONCATENATE("000",IFAData_TEA_1617!A1354),6),3),"-",(RIGHT(RIGHT(CONCATENATE("000",IFAData_TEA_1617!A1354),6),3)))</f>
        <v>110-906</v>
      </c>
      <c r="C1354" s="2266" t="s">
        <v>2203</v>
      </c>
      <c r="D1354" s="2266">
        <v>4</v>
      </c>
      <c r="E1354" s="2266">
        <v>2344</v>
      </c>
      <c r="F1354" s="2266" t="s">
        <v>5699</v>
      </c>
      <c r="G1354" s="2266" t="s">
        <v>5699</v>
      </c>
      <c r="H1354" s="2266">
        <v>97293</v>
      </c>
      <c r="I1354" s="2266">
        <v>0</v>
      </c>
      <c r="J1354" s="2266">
        <v>0</v>
      </c>
      <c r="K1354" s="2266"/>
      <c r="L1354" s="2266">
        <v>0</v>
      </c>
      <c r="M1354" s="2266">
        <v>199</v>
      </c>
    </row>
    <row r="1355" spans="1:13" ht="15">
      <c r="A1355" s="2266" t="s">
        <v>4204</v>
      </c>
      <c r="B1355" s="2465" t="str">
        <f>CONCATENATE(LEFT(RIGHT(CONCATENATE("000",IFAData_TEA_1617!A1355),6),3),"-",(RIGHT(RIGHT(CONCATENATE("000",IFAData_TEA_1617!A1355),6),3)))</f>
        <v>110-906</v>
      </c>
      <c r="C1355" s="2266" t="s">
        <v>2203</v>
      </c>
      <c r="D1355" s="2266">
        <v>10</v>
      </c>
      <c r="E1355" s="2266">
        <v>2343</v>
      </c>
      <c r="F1355" s="2266" t="s">
        <v>5700</v>
      </c>
      <c r="G1355" s="2266" t="s">
        <v>5700</v>
      </c>
      <c r="H1355" s="2266">
        <v>51451</v>
      </c>
      <c r="I1355" s="2266">
        <v>46709</v>
      </c>
      <c r="J1355" s="2266">
        <v>1</v>
      </c>
      <c r="K1355" s="2266">
        <v>51451</v>
      </c>
      <c r="L1355" s="2266">
        <v>46709</v>
      </c>
      <c r="M1355" s="2266">
        <v>599</v>
      </c>
    </row>
    <row r="1356" spans="1:13" ht="15">
      <c r="A1356" s="2266" t="s">
        <v>4205</v>
      </c>
      <c r="B1356" s="2465" t="str">
        <f>CONCATENATE(LEFT(RIGHT(CONCATENATE("000",IFAData_TEA_1617!A1356),6),3),"-",(RIGHT(RIGHT(CONCATENATE("000",IFAData_TEA_1617!A1356),6),3)))</f>
        <v>111-902</v>
      </c>
      <c r="C1356" s="2266" t="s">
        <v>1763</v>
      </c>
      <c r="D1356" s="2266">
        <v>2</v>
      </c>
      <c r="E1356" s="2266">
        <v>2023</v>
      </c>
      <c r="F1356" s="2266" t="s">
        <v>5701</v>
      </c>
      <c r="G1356" s="2266" t="s">
        <v>5701</v>
      </c>
      <c r="H1356" s="2266">
        <v>100000</v>
      </c>
      <c r="I1356" s="2266">
        <v>0</v>
      </c>
      <c r="J1356" s="2266">
        <v>0</v>
      </c>
      <c r="K1356" s="2266">
        <v>0</v>
      </c>
      <c r="L1356" s="2266">
        <v>0</v>
      </c>
      <c r="M1356" s="2266">
        <v>599</v>
      </c>
    </row>
    <row r="1357" spans="1:13" ht="15">
      <c r="A1357" s="2266" t="s">
        <v>4205</v>
      </c>
      <c r="B1357" s="2465" t="str">
        <f>CONCATENATE(LEFT(RIGHT(CONCATENATE("000",IFAData_TEA_1617!A1357),6),3),"-",(RIGHT(RIGHT(CONCATENATE("000",IFAData_TEA_1617!A1357),6),3)))</f>
        <v>111-902</v>
      </c>
      <c r="C1357" s="2266" t="s">
        <v>1763</v>
      </c>
      <c r="D1357" s="2266">
        <v>2</v>
      </c>
      <c r="E1357" s="2266">
        <v>2023</v>
      </c>
      <c r="F1357" s="2266" t="s">
        <v>5701</v>
      </c>
      <c r="G1357" s="2266" t="s">
        <v>5702</v>
      </c>
      <c r="H1357" s="2266">
        <v>100000</v>
      </c>
      <c r="I1357" s="2266">
        <v>90080</v>
      </c>
      <c r="J1357" s="2266">
        <v>1</v>
      </c>
      <c r="K1357" s="2266">
        <v>100000</v>
      </c>
      <c r="L1357" s="2266">
        <v>90080</v>
      </c>
      <c r="M1357" s="2266">
        <v>599</v>
      </c>
    </row>
    <row r="1358" spans="1:13" ht="15">
      <c r="A1358" s="2266" t="s">
        <v>4205</v>
      </c>
      <c r="B1358" s="2465" t="str">
        <f>CONCATENATE(LEFT(RIGHT(CONCATENATE("000",IFAData_TEA_1617!A1358),6),3),"-",(RIGHT(RIGHT(CONCATENATE("000",IFAData_TEA_1617!A1358),6),3)))</f>
        <v>111-902</v>
      </c>
      <c r="C1358" s="2266" t="s">
        <v>1763</v>
      </c>
      <c r="D1358" s="2266">
        <v>3</v>
      </c>
      <c r="E1358" s="2266">
        <v>2024</v>
      </c>
      <c r="F1358" s="2266" t="s">
        <v>5703</v>
      </c>
      <c r="G1358" s="2266" t="s">
        <v>5703</v>
      </c>
      <c r="H1358" s="2266">
        <v>100000</v>
      </c>
      <c r="I1358" s="2266">
        <v>155000</v>
      </c>
      <c r="J1358" s="2266">
        <v>1</v>
      </c>
      <c r="K1358" s="2266">
        <v>100000</v>
      </c>
      <c r="L1358" s="2266">
        <v>100000</v>
      </c>
      <c r="M1358" s="2266">
        <v>599</v>
      </c>
    </row>
    <row r="1359" spans="1:13" ht="15">
      <c r="A1359" s="2266" t="s">
        <v>4206</v>
      </c>
      <c r="B1359" s="2465" t="str">
        <f>CONCATENATE(LEFT(RIGHT(CONCATENATE("000",IFAData_TEA_1617!A1359),6),3),"-",(RIGHT(RIGHT(CONCATENATE("000",IFAData_TEA_1617!A1359),6),3)))</f>
        <v>111-903</v>
      </c>
      <c r="C1359" s="2266" t="s">
        <v>660</v>
      </c>
      <c r="D1359" s="2266">
        <v>3</v>
      </c>
      <c r="E1359" s="2266">
        <v>2394</v>
      </c>
      <c r="F1359" s="2266" t="s">
        <v>5704</v>
      </c>
      <c r="G1359" s="2266" t="s">
        <v>5704</v>
      </c>
      <c r="H1359" s="2266">
        <v>142382</v>
      </c>
      <c r="I1359" s="2266">
        <v>0</v>
      </c>
      <c r="J1359" s="2266">
        <v>0</v>
      </c>
      <c r="K1359" s="2266">
        <v>0</v>
      </c>
      <c r="L1359" s="2266">
        <v>0</v>
      </c>
      <c r="M1359" s="2266">
        <v>599</v>
      </c>
    </row>
    <row r="1360" spans="1:13" ht="15">
      <c r="A1360" s="2266" t="s">
        <v>4206</v>
      </c>
      <c r="B1360" s="2465" t="str">
        <f>CONCATENATE(LEFT(RIGHT(CONCATENATE("000",IFAData_TEA_1617!A1360),6),3),"-",(RIGHT(RIGHT(CONCATENATE("000",IFAData_TEA_1617!A1360),6),3)))</f>
        <v>111-903</v>
      </c>
      <c r="C1360" s="2266" t="s">
        <v>660</v>
      </c>
      <c r="D1360" s="2266">
        <v>3</v>
      </c>
      <c r="E1360" s="2266">
        <v>2394</v>
      </c>
      <c r="F1360" s="2266" t="s">
        <v>5704</v>
      </c>
      <c r="G1360" s="2266" t="s">
        <v>5705</v>
      </c>
      <c r="H1360" s="2266">
        <v>142382</v>
      </c>
      <c r="I1360" s="2266">
        <v>210163</v>
      </c>
      <c r="J1360" s="2266">
        <v>1</v>
      </c>
      <c r="K1360" s="2266">
        <v>142382</v>
      </c>
      <c r="L1360" s="2266">
        <v>142382</v>
      </c>
      <c r="M1360" s="2266">
        <v>599</v>
      </c>
    </row>
    <row r="1361" spans="1:13" ht="15">
      <c r="A1361" s="2266" t="s">
        <v>4207</v>
      </c>
      <c r="B1361" s="2465" t="str">
        <f>CONCATENATE(LEFT(RIGHT(CONCATENATE("000",IFAData_TEA_1617!A1361),6),3),"-",(RIGHT(RIGHT(CONCATENATE("000",IFAData_TEA_1617!A1361),6),3)))</f>
        <v>112-901</v>
      </c>
      <c r="C1361" s="2266" t="s">
        <v>248</v>
      </c>
      <c r="D1361" s="2266">
        <v>10</v>
      </c>
      <c r="E1361" s="2266">
        <v>2387</v>
      </c>
      <c r="F1361" s="2266" t="s">
        <v>5706</v>
      </c>
      <c r="G1361" s="2266" t="s">
        <v>5706</v>
      </c>
      <c r="H1361" s="2266">
        <v>922406</v>
      </c>
      <c r="I1361" s="2266">
        <v>2081589</v>
      </c>
      <c r="J1361" s="2266">
        <v>1</v>
      </c>
      <c r="K1361" s="2266">
        <v>922406</v>
      </c>
      <c r="L1361" s="2266">
        <v>922406</v>
      </c>
      <c r="M1361" s="2266">
        <v>599</v>
      </c>
    </row>
    <row r="1362" spans="1:13" ht="15">
      <c r="A1362" s="2266" t="s">
        <v>4208</v>
      </c>
      <c r="B1362" s="2465" t="str">
        <f>CONCATENATE(LEFT(RIGHT(CONCATENATE("000",IFAData_TEA_1617!A1362),6),3),"-",(RIGHT(RIGHT(CONCATENATE("000",IFAData_TEA_1617!A1362),6),3)))</f>
        <v>112-905</v>
      </c>
      <c r="C1362" s="2266" t="s">
        <v>462</v>
      </c>
      <c r="D1362" s="2266">
        <v>5</v>
      </c>
      <c r="E1362" s="2266">
        <v>1742</v>
      </c>
      <c r="F1362" s="2266" t="s">
        <v>5707</v>
      </c>
      <c r="G1362" s="2266" t="s">
        <v>5707</v>
      </c>
      <c r="H1362" s="2266">
        <v>100000</v>
      </c>
      <c r="I1362" s="2266">
        <v>0</v>
      </c>
      <c r="J1362" s="2266">
        <v>0</v>
      </c>
      <c r="K1362" s="2266">
        <v>0</v>
      </c>
      <c r="L1362" s="2266">
        <v>0</v>
      </c>
      <c r="M1362" s="2266">
        <v>599</v>
      </c>
    </row>
    <row r="1363" spans="1:13" ht="15">
      <c r="A1363" s="2266" t="s">
        <v>4208</v>
      </c>
      <c r="B1363" s="2465" t="str">
        <f>CONCATENATE(LEFT(RIGHT(CONCATENATE("000",IFAData_TEA_1617!A1363),6),3),"-",(RIGHT(RIGHT(CONCATENATE("000",IFAData_TEA_1617!A1363),6),3)))</f>
        <v>112-905</v>
      </c>
      <c r="C1363" s="2266" t="s">
        <v>462</v>
      </c>
      <c r="D1363" s="2266">
        <v>5</v>
      </c>
      <c r="E1363" s="2266">
        <v>1742</v>
      </c>
      <c r="F1363" s="2266" t="s">
        <v>5707</v>
      </c>
      <c r="G1363" s="2266" t="s">
        <v>5708</v>
      </c>
      <c r="H1363" s="2266">
        <v>100000</v>
      </c>
      <c r="I1363" s="2266">
        <v>94100</v>
      </c>
      <c r="J1363" s="2266">
        <v>1</v>
      </c>
      <c r="K1363" s="2266">
        <v>100000</v>
      </c>
      <c r="L1363" s="2266">
        <v>94100</v>
      </c>
      <c r="M1363" s="2266">
        <v>599</v>
      </c>
    </row>
    <row r="1364" spans="1:13" ht="15">
      <c r="A1364" s="2266" t="s">
        <v>4209</v>
      </c>
      <c r="B1364" s="2465" t="str">
        <f>CONCATENATE(LEFT(RIGHT(CONCATENATE("000",IFAData_TEA_1617!A1364),6),3),"-",(RIGHT(RIGHT(CONCATENATE("000",IFAData_TEA_1617!A1364),6),3)))</f>
        <v>112-907</v>
      </c>
      <c r="C1364" s="2266" t="s">
        <v>2557</v>
      </c>
      <c r="D1364" s="2266">
        <v>6</v>
      </c>
      <c r="E1364" s="2266">
        <v>2106</v>
      </c>
      <c r="F1364" s="2266" t="s">
        <v>5711</v>
      </c>
      <c r="G1364" s="2266" t="s">
        <v>5710</v>
      </c>
      <c r="H1364" s="2266">
        <v>94341</v>
      </c>
      <c r="I1364" s="2266">
        <v>101309</v>
      </c>
      <c r="J1364" s="2266">
        <v>1</v>
      </c>
      <c r="K1364" s="2266">
        <v>94341</v>
      </c>
      <c r="L1364" s="2266">
        <v>94341</v>
      </c>
      <c r="M1364" s="2266">
        <v>599</v>
      </c>
    </row>
    <row r="1365" spans="1:13" ht="15">
      <c r="A1365" s="2266" t="s">
        <v>4209</v>
      </c>
      <c r="B1365" s="2465" t="str">
        <f>CONCATENATE(LEFT(RIGHT(CONCATENATE("000",IFAData_TEA_1617!A1365),6),3),"-",(RIGHT(RIGHT(CONCATENATE("000",IFAData_TEA_1617!A1365),6),3)))</f>
        <v>112-907</v>
      </c>
      <c r="C1365" s="2266" t="s">
        <v>2557</v>
      </c>
      <c r="D1365" s="2266">
        <v>4</v>
      </c>
      <c r="E1365" s="2266">
        <v>2107</v>
      </c>
      <c r="F1365" s="2266" t="s">
        <v>5709</v>
      </c>
      <c r="G1365" s="2266" t="s">
        <v>5710</v>
      </c>
      <c r="H1365" s="2266">
        <v>98475</v>
      </c>
      <c r="I1365" s="2266">
        <v>80791</v>
      </c>
      <c r="J1365" s="2266">
        <v>1</v>
      </c>
      <c r="K1365" s="2266">
        <v>98475</v>
      </c>
      <c r="L1365" s="2266">
        <v>80791</v>
      </c>
      <c r="M1365" s="2266">
        <v>599</v>
      </c>
    </row>
    <row r="1366" spans="1:13" ht="15">
      <c r="A1366" s="2266" t="s">
        <v>4209</v>
      </c>
      <c r="B1366" s="2465" t="str">
        <f>CONCATENATE(LEFT(RIGHT(CONCATENATE("000",IFAData_TEA_1617!A1366),6),3),"-",(RIGHT(RIGHT(CONCATENATE("000",IFAData_TEA_1617!A1366),6),3)))</f>
        <v>112-907</v>
      </c>
      <c r="C1366" s="2266" t="s">
        <v>2557</v>
      </c>
      <c r="D1366" s="2266">
        <v>4</v>
      </c>
      <c r="E1366" s="2266">
        <v>2107</v>
      </c>
      <c r="F1366" s="2266" t="s">
        <v>5709</v>
      </c>
      <c r="G1366" s="2266" t="s">
        <v>5709</v>
      </c>
      <c r="H1366" s="2266">
        <v>98475</v>
      </c>
      <c r="I1366" s="2266">
        <v>0</v>
      </c>
      <c r="J1366" s="2266">
        <v>0</v>
      </c>
      <c r="K1366" s="2266">
        <v>0</v>
      </c>
      <c r="L1366" s="2266">
        <v>0</v>
      </c>
      <c r="M1366" s="2266">
        <v>599</v>
      </c>
    </row>
    <row r="1367" spans="1:13" ht="15">
      <c r="A1367" s="2266" t="s">
        <v>4209</v>
      </c>
      <c r="B1367" s="2465" t="str">
        <f>CONCATENATE(LEFT(RIGHT(CONCATENATE("000",IFAData_TEA_1617!A1367),6),3),"-",(RIGHT(RIGHT(CONCATENATE("000",IFAData_TEA_1617!A1367),6),3)))</f>
        <v>112-907</v>
      </c>
      <c r="C1367" s="2266" t="s">
        <v>2557</v>
      </c>
      <c r="D1367" s="2266">
        <v>6</v>
      </c>
      <c r="E1367" s="2266">
        <v>2106</v>
      </c>
      <c r="F1367" s="2266" t="s">
        <v>5711</v>
      </c>
      <c r="G1367" s="2266" t="s">
        <v>5711</v>
      </c>
      <c r="H1367" s="2266">
        <v>94341</v>
      </c>
      <c r="I1367" s="2266">
        <v>0</v>
      </c>
      <c r="J1367" s="2266">
        <v>0</v>
      </c>
      <c r="K1367" s="2266">
        <v>0</v>
      </c>
      <c r="L1367" s="2266">
        <v>0</v>
      </c>
      <c r="M1367" s="2266">
        <v>599</v>
      </c>
    </row>
    <row r="1368" spans="1:13" ht="15">
      <c r="A1368" s="2266" t="s">
        <v>4210</v>
      </c>
      <c r="B1368" s="2465" t="str">
        <f>CONCATENATE(LEFT(RIGHT(CONCATENATE("000",IFAData_TEA_1617!A1368),6),3),"-",(RIGHT(RIGHT(CONCATENATE("000",IFAData_TEA_1617!A1368),6),3)))</f>
        <v>112-910</v>
      </c>
      <c r="C1368" s="2266" t="s">
        <v>2216</v>
      </c>
      <c r="D1368" s="2266">
        <v>5</v>
      </c>
      <c r="E1368" s="2266">
        <v>2386</v>
      </c>
      <c r="F1368" s="2266" t="s">
        <v>5712</v>
      </c>
      <c r="G1368" s="2266" t="s">
        <v>5712</v>
      </c>
      <c r="H1368" s="2266">
        <v>100000</v>
      </c>
      <c r="I1368" s="2266">
        <v>0</v>
      </c>
      <c r="J1368" s="2266">
        <v>0</v>
      </c>
      <c r="K1368" s="2266">
        <v>0</v>
      </c>
      <c r="L1368" s="2266">
        <v>0</v>
      </c>
      <c r="M1368" s="2266">
        <v>599</v>
      </c>
    </row>
    <row r="1369" spans="1:13" ht="15">
      <c r="A1369" s="2266" t="s">
        <v>4210</v>
      </c>
      <c r="B1369" s="2465" t="str">
        <f>CONCATENATE(LEFT(RIGHT(CONCATENATE("000",IFAData_TEA_1617!A1369),6),3),"-",(RIGHT(RIGHT(CONCATENATE("000",IFAData_TEA_1617!A1369),6),3)))</f>
        <v>112-910</v>
      </c>
      <c r="C1369" s="2266" t="s">
        <v>2216</v>
      </c>
      <c r="D1369" s="2266">
        <v>5</v>
      </c>
      <c r="E1369" s="2266">
        <v>2386</v>
      </c>
      <c r="F1369" s="2266" t="s">
        <v>5712</v>
      </c>
      <c r="G1369" s="2266" t="s">
        <v>5713</v>
      </c>
      <c r="H1369" s="2266">
        <v>100000</v>
      </c>
      <c r="I1369" s="2266">
        <v>84934</v>
      </c>
      <c r="J1369" s="2266">
        <v>1</v>
      </c>
      <c r="K1369" s="2266">
        <v>100000</v>
      </c>
      <c r="L1369" s="2266">
        <v>84934</v>
      </c>
      <c r="M1369" s="2266">
        <v>599</v>
      </c>
    </row>
    <row r="1370" spans="1:13" ht="15">
      <c r="A1370" s="2266" t="s">
        <v>4211</v>
      </c>
      <c r="B1370" s="2465" t="str">
        <f>CONCATENATE(LEFT(RIGHT(CONCATENATE("000",IFAData_TEA_1617!A1370),6),3),"-",(RIGHT(RIGHT(CONCATENATE("000",IFAData_TEA_1617!A1370),6),3)))</f>
        <v>114-901</v>
      </c>
      <c r="C1370" s="2266" t="s">
        <v>1769</v>
      </c>
      <c r="D1370" s="2266">
        <v>10</v>
      </c>
      <c r="E1370" s="2266">
        <v>1608</v>
      </c>
      <c r="F1370" s="2266" t="s">
        <v>5714</v>
      </c>
      <c r="G1370" s="2266" t="s">
        <v>5714</v>
      </c>
      <c r="H1370" s="2266">
        <v>889573</v>
      </c>
      <c r="I1370" s="2266">
        <v>2624075</v>
      </c>
      <c r="J1370" s="2266">
        <v>1</v>
      </c>
      <c r="K1370" s="2266">
        <v>889573</v>
      </c>
      <c r="L1370" s="2266">
        <v>889573</v>
      </c>
      <c r="M1370" s="2266">
        <v>599</v>
      </c>
    </row>
    <row r="1371" spans="1:13" ht="15">
      <c r="A1371" s="2266" t="s">
        <v>4212</v>
      </c>
      <c r="B1371" s="2465" t="str">
        <f>CONCATENATE(LEFT(RIGHT(CONCATENATE("000",IFAData_TEA_1617!A1371),6),3),"-",(RIGHT(RIGHT(CONCATENATE("000",IFAData_TEA_1617!A1371),6),3)))</f>
        <v>116-901</v>
      </c>
      <c r="C1371" s="2266" t="s">
        <v>726</v>
      </c>
      <c r="D1371" s="2266">
        <v>5</v>
      </c>
      <c r="E1371" s="2266">
        <v>1658</v>
      </c>
      <c r="F1371" s="2266" t="s">
        <v>5715</v>
      </c>
      <c r="G1371" s="2266" t="s">
        <v>5716</v>
      </c>
      <c r="H1371" s="2266">
        <v>490385</v>
      </c>
      <c r="I1371" s="2266">
        <v>67637</v>
      </c>
      <c r="J1371" s="2266">
        <v>9.0421862633954353E-2</v>
      </c>
      <c r="K1371" s="2266">
        <v>44341.525107751702</v>
      </c>
      <c r="L1371" s="2266">
        <v>44341.525107751702</v>
      </c>
      <c r="M1371" s="2266">
        <v>599</v>
      </c>
    </row>
    <row r="1372" spans="1:13" ht="15">
      <c r="A1372" s="2266" t="s">
        <v>4212</v>
      </c>
      <c r="B1372" s="2465" t="str">
        <f>CONCATENATE(LEFT(RIGHT(CONCATENATE("000",IFAData_TEA_1617!A1372),6),3),"-",(RIGHT(RIGHT(CONCATENATE("000",IFAData_TEA_1617!A1372),6),3)))</f>
        <v>116-901</v>
      </c>
      <c r="C1372" s="2266" t="s">
        <v>726</v>
      </c>
      <c r="D1372" s="2266">
        <v>5</v>
      </c>
      <c r="E1372" s="2266">
        <v>1658</v>
      </c>
      <c r="F1372" s="2266" t="s">
        <v>5715</v>
      </c>
      <c r="G1372" s="2266" t="s">
        <v>5717</v>
      </c>
      <c r="H1372" s="2266">
        <v>490385</v>
      </c>
      <c r="I1372" s="2266">
        <v>196958</v>
      </c>
      <c r="J1372" s="2266">
        <v>0.26330720198498425</v>
      </c>
      <c r="K1372" s="2266">
        <v>129121.9022454065</v>
      </c>
      <c r="L1372" s="2266">
        <v>129121.9022454065</v>
      </c>
      <c r="M1372" s="2266">
        <v>599</v>
      </c>
    </row>
    <row r="1373" spans="1:13" ht="15">
      <c r="A1373" s="2266" t="s">
        <v>4212</v>
      </c>
      <c r="B1373" s="2465" t="str">
        <f>CONCATENATE(LEFT(RIGHT(CONCATENATE("000",IFAData_TEA_1617!A1373),6),3),"-",(RIGHT(RIGHT(CONCATENATE("000",IFAData_TEA_1617!A1373),6),3)))</f>
        <v>116-901</v>
      </c>
      <c r="C1373" s="2266" t="s">
        <v>726</v>
      </c>
      <c r="D1373" s="2266">
        <v>5</v>
      </c>
      <c r="E1373" s="2266">
        <v>1658</v>
      </c>
      <c r="F1373" s="2266" t="s">
        <v>5715</v>
      </c>
      <c r="G1373" s="2266" t="s">
        <v>5715</v>
      </c>
      <c r="H1373" s="2266">
        <v>490385</v>
      </c>
      <c r="I1373" s="2266">
        <v>276432</v>
      </c>
      <c r="J1373" s="2266">
        <v>0.36955359243652541</v>
      </c>
      <c r="K1373" s="2266">
        <v>181223.53842698553</v>
      </c>
      <c r="L1373" s="2266">
        <v>181223.53842698553</v>
      </c>
      <c r="M1373" s="2266">
        <v>599</v>
      </c>
    </row>
    <row r="1374" spans="1:13" ht="15">
      <c r="A1374" s="2266" t="s">
        <v>4212</v>
      </c>
      <c r="B1374" s="2465" t="str">
        <f>CONCATENATE(LEFT(RIGHT(CONCATENATE("000",IFAData_TEA_1617!A1374),6),3),"-",(RIGHT(RIGHT(CONCATENATE("000",IFAData_TEA_1617!A1374),6),3)))</f>
        <v>116-901</v>
      </c>
      <c r="C1374" s="2266" t="s">
        <v>726</v>
      </c>
      <c r="D1374" s="2266">
        <v>9</v>
      </c>
      <c r="E1374" s="2266">
        <v>1657</v>
      </c>
      <c r="F1374" s="2266" t="s">
        <v>5718</v>
      </c>
      <c r="G1374" s="2266" t="s">
        <v>7218</v>
      </c>
      <c r="H1374" s="2266">
        <v>355698</v>
      </c>
      <c r="I1374" s="2266">
        <v>198626</v>
      </c>
      <c r="J1374" s="2266">
        <v>0.29559243941966695</v>
      </c>
      <c r="K1374" s="2266">
        <v>105141.6395166967</v>
      </c>
      <c r="L1374" s="2266">
        <v>105141.6395166967</v>
      </c>
      <c r="M1374" s="2266">
        <v>599</v>
      </c>
    </row>
    <row r="1375" spans="1:13" ht="15">
      <c r="A1375" s="2266" t="s">
        <v>4212</v>
      </c>
      <c r="B1375" s="2465" t="str">
        <f>CONCATENATE(LEFT(RIGHT(CONCATENATE("000",IFAData_TEA_1617!A1375),6),3),"-",(RIGHT(RIGHT(CONCATENATE("000",IFAData_TEA_1617!A1375),6),3)))</f>
        <v>116-901</v>
      </c>
      <c r="C1375" s="2266" t="s">
        <v>726</v>
      </c>
      <c r="D1375" s="2266">
        <v>9</v>
      </c>
      <c r="E1375" s="2266">
        <v>1657</v>
      </c>
      <c r="F1375" s="2266" t="s">
        <v>5718</v>
      </c>
      <c r="G1375" s="2266" t="s">
        <v>5718</v>
      </c>
      <c r="H1375" s="2266">
        <v>355698</v>
      </c>
      <c r="I1375" s="2266">
        <v>196074</v>
      </c>
      <c r="J1375" s="2266">
        <v>0.29179458865793895</v>
      </c>
      <c r="K1375" s="2266">
        <v>103790.75159645156</v>
      </c>
      <c r="L1375" s="2266">
        <v>103790.75159645156</v>
      </c>
      <c r="M1375" s="2266">
        <v>599</v>
      </c>
    </row>
    <row r="1376" spans="1:13" ht="15">
      <c r="A1376" s="2266" t="s">
        <v>4212</v>
      </c>
      <c r="B1376" s="2465" t="str">
        <f>CONCATENATE(LEFT(RIGHT(CONCATENATE("000",IFAData_TEA_1617!A1376),6),3),"-",(RIGHT(RIGHT(CONCATENATE("000",IFAData_TEA_1617!A1376),6),3)))</f>
        <v>116-901</v>
      </c>
      <c r="C1376" s="2266" t="s">
        <v>726</v>
      </c>
      <c r="D1376" s="2266">
        <v>9</v>
      </c>
      <c r="E1376" s="2266">
        <v>1657</v>
      </c>
      <c r="F1376" s="2266" t="s">
        <v>5718</v>
      </c>
      <c r="G1376" s="2266" t="s">
        <v>6999</v>
      </c>
      <c r="H1376" s="2266">
        <v>355698</v>
      </c>
      <c r="I1376" s="2266">
        <v>277259</v>
      </c>
      <c r="J1376" s="2266">
        <v>0.4126129719223941</v>
      </c>
      <c r="K1376" s="2266">
        <v>146765.60888685173</v>
      </c>
      <c r="L1376" s="2266">
        <v>146765.60888685173</v>
      </c>
      <c r="M1376" s="2266">
        <v>599</v>
      </c>
    </row>
    <row r="1377" spans="1:13" ht="15">
      <c r="A1377" s="2266" t="s">
        <v>4212</v>
      </c>
      <c r="B1377" s="2465" t="str">
        <f>CONCATENATE(LEFT(RIGHT(CONCATENATE("000",IFAData_TEA_1617!A1377),6),3),"-",(RIGHT(RIGHT(CONCATENATE("000",IFAData_TEA_1617!A1377),6),3)))</f>
        <v>116-901</v>
      </c>
      <c r="C1377" s="2266" t="s">
        <v>726</v>
      </c>
      <c r="D1377" s="2266">
        <v>5</v>
      </c>
      <c r="E1377" s="2266">
        <v>1658</v>
      </c>
      <c r="F1377" s="2266" t="s">
        <v>5715</v>
      </c>
      <c r="G1377" s="2266" t="s">
        <v>7000</v>
      </c>
      <c r="H1377" s="2266">
        <v>490385</v>
      </c>
      <c r="I1377" s="2266">
        <v>206989</v>
      </c>
      <c r="J1377" s="2266">
        <v>0.27671734294453593</v>
      </c>
      <c r="K1377" s="2266">
        <v>135698.03421985626</v>
      </c>
      <c r="L1377" s="2266">
        <v>135698.03421985626</v>
      </c>
      <c r="M1377" s="2266">
        <v>599</v>
      </c>
    </row>
    <row r="1378" spans="1:13" ht="15">
      <c r="A1378" s="2266" t="s">
        <v>4213</v>
      </c>
      <c r="B1378" s="2465" t="str">
        <f>CONCATENATE(LEFT(RIGHT(CONCATENATE("000",IFAData_TEA_1617!A1378),6),3),"-",(RIGHT(RIGHT(CONCATENATE("000",IFAData_TEA_1617!A1378),6),3)))</f>
        <v>116-902</v>
      </c>
      <c r="C1378" s="2266" t="s">
        <v>1775</v>
      </c>
      <c r="D1378" s="2266">
        <v>9</v>
      </c>
      <c r="E1378" s="2266">
        <v>1670</v>
      </c>
      <c r="F1378" s="2266" t="s">
        <v>5719</v>
      </c>
      <c r="G1378" s="2266" t="s">
        <v>5719</v>
      </c>
      <c r="H1378" s="2266">
        <v>123500</v>
      </c>
      <c r="I1378" s="2266">
        <v>201054</v>
      </c>
      <c r="J1378" s="2266">
        <v>0.44650388087544557</v>
      </c>
      <c r="K1378" s="2266">
        <v>55143.229288117531</v>
      </c>
      <c r="L1378" s="2266">
        <v>55143.229288117531</v>
      </c>
      <c r="M1378" s="2266">
        <v>599</v>
      </c>
    </row>
    <row r="1379" spans="1:13" ht="15">
      <c r="A1379" s="2266" t="s">
        <v>4213</v>
      </c>
      <c r="B1379" s="2465" t="str">
        <f>CONCATENATE(LEFT(RIGHT(CONCATENATE("000",IFAData_TEA_1617!A1379),6),3),"-",(RIGHT(RIGHT(CONCATENATE("000",IFAData_TEA_1617!A1379),6),3)))</f>
        <v>116-902</v>
      </c>
      <c r="C1379" s="2266" t="s">
        <v>1775</v>
      </c>
      <c r="D1379" s="2266">
        <v>9</v>
      </c>
      <c r="E1379" s="2266">
        <v>1670</v>
      </c>
      <c r="F1379" s="2266" t="s">
        <v>5719</v>
      </c>
      <c r="G1379" s="2266" t="s">
        <v>7001</v>
      </c>
      <c r="H1379" s="2266">
        <v>123500</v>
      </c>
      <c r="I1379" s="2266">
        <v>249231</v>
      </c>
      <c r="J1379" s="2266">
        <v>0.55349611912455443</v>
      </c>
      <c r="K1379" s="2266">
        <v>68356.770711882476</v>
      </c>
      <c r="L1379" s="2266">
        <v>68356.770711882476</v>
      </c>
      <c r="M1379" s="2266">
        <v>599</v>
      </c>
    </row>
    <row r="1380" spans="1:13" ht="15">
      <c r="A1380" s="2266" t="s">
        <v>4214</v>
      </c>
      <c r="B1380" s="2465" t="str">
        <f>CONCATENATE(LEFT(RIGHT(CONCATENATE("000",IFAData_TEA_1617!A1380),6),3),"-",(RIGHT(RIGHT(CONCATENATE("000",IFAData_TEA_1617!A1380),6),3)))</f>
        <v>116-903</v>
      </c>
      <c r="C1380" s="2266" t="s">
        <v>1743</v>
      </c>
      <c r="D1380" s="2266">
        <v>5</v>
      </c>
      <c r="E1380" s="2266">
        <v>1711</v>
      </c>
      <c r="F1380" s="2266" t="s">
        <v>5720</v>
      </c>
      <c r="G1380" s="2266" t="s">
        <v>5722</v>
      </c>
      <c r="H1380" s="2266">
        <v>568204</v>
      </c>
      <c r="I1380" s="2266">
        <v>186863</v>
      </c>
      <c r="J1380" s="2266">
        <v>0.16284385680846503</v>
      </c>
      <c r="K1380" s="2266">
        <v>92528.530813997058</v>
      </c>
      <c r="L1380" s="2266">
        <v>92528.530813997058</v>
      </c>
      <c r="M1380" s="2266">
        <v>599</v>
      </c>
    </row>
    <row r="1381" spans="1:13" ht="15">
      <c r="A1381" s="2266" t="s">
        <v>4214</v>
      </c>
      <c r="B1381" s="2465" t="str">
        <f>CONCATENATE(LEFT(RIGHT(CONCATENATE("000",IFAData_TEA_1617!A1381),6),3),"-",(RIGHT(RIGHT(CONCATENATE("000",IFAData_TEA_1617!A1381),6),3)))</f>
        <v>116-903</v>
      </c>
      <c r="C1381" s="2266" t="s">
        <v>1743</v>
      </c>
      <c r="D1381" s="2266">
        <v>5</v>
      </c>
      <c r="E1381" s="2266">
        <v>1711</v>
      </c>
      <c r="F1381" s="2266" t="s">
        <v>5720</v>
      </c>
      <c r="G1381" s="2266" t="s">
        <v>5720</v>
      </c>
      <c r="H1381" s="2266">
        <v>568204</v>
      </c>
      <c r="I1381" s="2266">
        <v>0</v>
      </c>
      <c r="J1381" s="2266">
        <v>0</v>
      </c>
      <c r="K1381" s="2266">
        <v>0</v>
      </c>
      <c r="L1381" s="2266">
        <v>0</v>
      </c>
      <c r="M1381" s="2266">
        <v>599</v>
      </c>
    </row>
    <row r="1382" spans="1:13" ht="15">
      <c r="A1382" s="2266" t="s">
        <v>4214</v>
      </c>
      <c r="B1382" s="2465" t="str">
        <f>CONCATENATE(LEFT(RIGHT(CONCATENATE("000",IFAData_TEA_1617!A1382),6),3),"-",(RIGHT(RIGHT(CONCATENATE("000",IFAData_TEA_1617!A1382),6),3)))</f>
        <v>116-903</v>
      </c>
      <c r="C1382" s="2266" t="s">
        <v>1743</v>
      </c>
      <c r="D1382" s="2266">
        <v>5</v>
      </c>
      <c r="E1382" s="2266">
        <v>1711</v>
      </c>
      <c r="F1382" s="2266" t="s">
        <v>5720</v>
      </c>
      <c r="G1382" s="2266" t="s">
        <v>5721</v>
      </c>
      <c r="H1382" s="2266">
        <v>568204</v>
      </c>
      <c r="I1382" s="2266">
        <v>774201</v>
      </c>
      <c r="J1382" s="2266">
        <v>0.6746861432438227</v>
      </c>
      <c r="K1382" s="2266">
        <v>383359.36533571302</v>
      </c>
      <c r="L1382" s="2266">
        <v>383359.36533571302</v>
      </c>
      <c r="M1382" s="2266">
        <v>599</v>
      </c>
    </row>
    <row r="1383" spans="1:13" ht="15">
      <c r="A1383" s="2266" t="s">
        <v>4214</v>
      </c>
      <c r="B1383" s="2465" t="str">
        <f>CONCATENATE(LEFT(RIGHT(CONCATENATE("000",IFAData_TEA_1617!A1383),6),3),"-",(RIGHT(RIGHT(CONCATENATE("000",IFAData_TEA_1617!A1383),6),3)))</f>
        <v>116-903</v>
      </c>
      <c r="C1383" s="2266" t="s">
        <v>1743</v>
      </c>
      <c r="D1383" s="2266">
        <v>5</v>
      </c>
      <c r="E1383" s="2266">
        <v>1711</v>
      </c>
      <c r="F1383" s="2266" t="s">
        <v>5720</v>
      </c>
      <c r="G1383" s="2266" t="s">
        <v>7002</v>
      </c>
      <c r="H1383" s="2266">
        <v>568204</v>
      </c>
      <c r="I1383" s="2266">
        <v>186434</v>
      </c>
      <c r="J1383" s="2266">
        <v>0.16246999994771233</v>
      </c>
      <c r="K1383" s="2266">
        <v>92316.103850289932</v>
      </c>
      <c r="L1383" s="2266">
        <v>92316.103850289932</v>
      </c>
      <c r="M1383" s="2266">
        <v>599</v>
      </c>
    </row>
    <row r="1384" spans="1:13" ht="15">
      <c r="A1384" s="2266" t="s">
        <v>4215</v>
      </c>
      <c r="B1384" s="2465" t="str">
        <f>CONCATENATE(LEFT(RIGHT(CONCATENATE("000",IFAData_TEA_1617!A1384),6),3),"-",(RIGHT(RIGHT(CONCATENATE("000",IFAData_TEA_1617!A1384),6),3)))</f>
        <v>116-906</v>
      </c>
      <c r="C1384" s="2266" t="s">
        <v>2435</v>
      </c>
      <c r="D1384" s="2266">
        <v>4</v>
      </c>
      <c r="E1384" s="2266">
        <v>2033</v>
      </c>
      <c r="F1384" s="2266" t="s">
        <v>5723</v>
      </c>
      <c r="G1384" s="2266" t="s">
        <v>5724</v>
      </c>
      <c r="H1384" s="2266">
        <v>179503</v>
      </c>
      <c r="I1384" s="2266">
        <v>235444</v>
      </c>
      <c r="J1384" s="2266">
        <v>1</v>
      </c>
      <c r="K1384" s="2266">
        <v>179503</v>
      </c>
      <c r="L1384" s="2266">
        <v>179503</v>
      </c>
      <c r="M1384" s="2266">
        <v>599</v>
      </c>
    </row>
    <row r="1385" spans="1:13" ht="15">
      <c r="A1385" s="2266" t="s">
        <v>4215</v>
      </c>
      <c r="B1385" s="2465" t="str">
        <f>CONCATENATE(LEFT(RIGHT(CONCATENATE("000",IFAData_TEA_1617!A1385),6),3),"-",(RIGHT(RIGHT(CONCATENATE("000",IFAData_TEA_1617!A1385),6),3)))</f>
        <v>116-906</v>
      </c>
      <c r="C1385" s="2266" t="s">
        <v>2435</v>
      </c>
      <c r="D1385" s="2266">
        <v>4</v>
      </c>
      <c r="E1385" s="2266">
        <v>2033</v>
      </c>
      <c r="F1385" s="2266" t="s">
        <v>5723</v>
      </c>
      <c r="G1385" s="2266" t="s">
        <v>5723</v>
      </c>
      <c r="H1385" s="2266">
        <v>179503</v>
      </c>
      <c r="I1385" s="2266">
        <v>0</v>
      </c>
      <c r="J1385" s="2266">
        <v>0</v>
      </c>
      <c r="K1385" s="2266">
        <v>0</v>
      </c>
      <c r="L1385" s="2266">
        <v>0</v>
      </c>
      <c r="M1385" s="2266">
        <v>599</v>
      </c>
    </row>
    <row r="1386" spans="1:13" ht="15">
      <c r="A1386" s="2266" t="s">
        <v>4216</v>
      </c>
      <c r="B1386" s="2465" t="str">
        <f>CONCATENATE(LEFT(RIGHT(CONCATENATE("000",IFAData_TEA_1617!A1386),6),3),"-",(RIGHT(RIGHT(CONCATENATE("000",IFAData_TEA_1617!A1386),6),3)))</f>
        <v>116-908</v>
      </c>
      <c r="C1386" s="2266" t="s">
        <v>90</v>
      </c>
      <c r="D1386" s="2266">
        <v>1</v>
      </c>
      <c r="E1386" s="2266">
        <v>2223</v>
      </c>
      <c r="F1386" s="2266" t="s">
        <v>5725</v>
      </c>
      <c r="G1386" s="2266" t="s">
        <v>5726</v>
      </c>
      <c r="H1386" s="2266">
        <v>647776</v>
      </c>
      <c r="I1386" s="2266">
        <v>596329</v>
      </c>
      <c r="J1386" s="2266">
        <v>1</v>
      </c>
      <c r="K1386" s="2266">
        <v>647776</v>
      </c>
      <c r="L1386" s="2266">
        <v>596329</v>
      </c>
      <c r="M1386" s="2266">
        <v>599</v>
      </c>
    </row>
    <row r="1387" spans="1:13" ht="15">
      <c r="A1387" s="2266" t="s">
        <v>4216</v>
      </c>
      <c r="B1387" s="2465" t="str">
        <f>CONCATENATE(LEFT(RIGHT(CONCATENATE("000",IFAData_TEA_1617!A1387),6),3),"-",(RIGHT(RIGHT(CONCATENATE("000",IFAData_TEA_1617!A1387),6),3)))</f>
        <v>116-908</v>
      </c>
      <c r="C1387" s="2266" t="s">
        <v>90</v>
      </c>
      <c r="D1387" s="2266">
        <v>6</v>
      </c>
      <c r="E1387" s="2266">
        <v>2224</v>
      </c>
      <c r="F1387" s="2266" t="s">
        <v>5727</v>
      </c>
      <c r="G1387" s="2266" t="s">
        <v>5728</v>
      </c>
      <c r="H1387" s="2266">
        <v>685070</v>
      </c>
      <c r="I1387" s="2266">
        <v>623360</v>
      </c>
      <c r="J1387" s="2266">
        <v>1</v>
      </c>
      <c r="K1387" s="2266">
        <v>685070</v>
      </c>
      <c r="L1387" s="2266">
        <v>623360</v>
      </c>
      <c r="M1387" s="2266">
        <v>599</v>
      </c>
    </row>
    <row r="1388" spans="1:13" ht="15">
      <c r="A1388" s="2266" t="s">
        <v>4216</v>
      </c>
      <c r="B1388" s="2465" t="str">
        <f>CONCATENATE(LEFT(RIGHT(CONCATENATE("000",IFAData_TEA_1617!A1388),6),3),"-",(RIGHT(RIGHT(CONCATENATE("000",IFAData_TEA_1617!A1388),6),3)))</f>
        <v>116-908</v>
      </c>
      <c r="C1388" s="2266" t="s">
        <v>90</v>
      </c>
      <c r="D1388" s="2266">
        <v>1</v>
      </c>
      <c r="E1388" s="2266">
        <v>2223</v>
      </c>
      <c r="F1388" s="2266" t="s">
        <v>5725</v>
      </c>
      <c r="G1388" s="2266" t="s">
        <v>5725</v>
      </c>
      <c r="H1388" s="2266">
        <v>647776</v>
      </c>
      <c r="I1388" s="2266">
        <v>0</v>
      </c>
      <c r="J1388" s="2266">
        <v>0</v>
      </c>
      <c r="K1388" s="2266">
        <v>0</v>
      </c>
      <c r="L1388" s="2266">
        <v>0</v>
      </c>
      <c r="M1388" s="2266">
        <v>599</v>
      </c>
    </row>
    <row r="1389" spans="1:13" ht="15">
      <c r="A1389" s="2266" t="s">
        <v>4216</v>
      </c>
      <c r="B1389" s="2465" t="str">
        <f>CONCATENATE(LEFT(RIGHT(CONCATENATE("000",IFAData_TEA_1617!A1389),6),3),"-",(RIGHT(RIGHT(CONCATENATE("000",IFAData_TEA_1617!A1389),6),3)))</f>
        <v>116-908</v>
      </c>
      <c r="C1389" s="2266" t="s">
        <v>90</v>
      </c>
      <c r="D1389" s="2266">
        <v>6</v>
      </c>
      <c r="E1389" s="2266">
        <v>2224</v>
      </c>
      <c r="F1389" s="2266" t="s">
        <v>5727</v>
      </c>
      <c r="G1389" s="2266" t="s">
        <v>5727</v>
      </c>
      <c r="H1389" s="2266">
        <v>685070</v>
      </c>
      <c r="I1389" s="2266">
        <v>0</v>
      </c>
      <c r="J1389" s="2266">
        <v>0</v>
      </c>
      <c r="K1389" s="2266">
        <v>0</v>
      </c>
      <c r="L1389" s="2266">
        <v>0</v>
      </c>
      <c r="M1389" s="2266">
        <v>599</v>
      </c>
    </row>
    <row r="1390" spans="1:13" ht="15">
      <c r="A1390" s="2266" t="s">
        <v>4217</v>
      </c>
      <c r="B1390" s="2465" t="str">
        <f>CONCATENATE(LEFT(RIGHT(CONCATENATE("000",IFAData_TEA_1617!A1390),6),3),"-",(RIGHT(RIGHT(CONCATENATE("000",IFAData_TEA_1617!A1390),6),3)))</f>
        <v>116-909</v>
      </c>
      <c r="C1390" s="2266" t="s">
        <v>1292</v>
      </c>
      <c r="D1390" s="2266">
        <v>5</v>
      </c>
      <c r="E1390" s="2266">
        <v>2461</v>
      </c>
      <c r="F1390" s="2266" t="s">
        <v>5729</v>
      </c>
      <c r="G1390" s="2266" t="s">
        <v>5729</v>
      </c>
      <c r="H1390" s="2266">
        <v>144000</v>
      </c>
      <c r="I1390" s="2266">
        <v>0</v>
      </c>
      <c r="J1390" s="2266">
        <v>0</v>
      </c>
      <c r="K1390" s="2266">
        <v>0</v>
      </c>
      <c r="L1390" s="2266">
        <v>0</v>
      </c>
      <c r="M1390" s="2266">
        <v>599</v>
      </c>
    </row>
    <row r="1391" spans="1:13" ht="15">
      <c r="A1391" s="2266" t="s">
        <v>4217</v>
      </c>
      <c r="B1391" s="2465" t="str">
        <f>CONCATENATE(LEFT(RIGHT(CONCATENATE("000",IFAData_TEA_1617!A1391),6),3),"-",(RIGHT(RIGHT(CONCATENATE("000",IFAData_TEA_1617!A1391),6),3)))</f>
        <v>116-909</v>
      </c>
      <c r="C1391" s="2266" t="s">
        <v>1292</v>
      </c>
      <c r="D1391" s="2266">
        <v>5</v>
      </c>
      <c r="E1391" s="2266">
        <v>2461</v>
      </c>
      <c r="F1391" s="2266" t="s">
        <v>5729</v>
      </c>
      <c r="G1391" s="2266" t="s">
        <v>5730</v>
      </c>
      <c r="H1391" s="2266">
        <v>144000</v>
      </c>
      <c r="I1391" s="2266">
        <v>126900</v>
      </c>
      <c r="J1391" s="2266">
        <v>1</v>
      </c>
      <c r="K1391" s="2266">
        <v>144000</v>
      </c>
      <c r="L1391" s="2266">
        <v>126900</v>
      </c>
      <c r="M1391" s="2266">
        <v>599</v>
      </c>
    </row>
    <row r="1392" spans="1:13" ht="15">
      <c r="A1392" s="2266" t="s">
        <v>4218</v>
      </c>
      <c r="B1392" s="2465" t="str">
        <f>CONCATENATE(LEFT(RIGHT(CONCATENATE("000",IFAData_TEA_1617!A1392),6),3),"-",(RIGHT(RIGHT(CONCATENATE("000",IFAData_TEA_1617!A1392),6),3)))</f>
        <v>116-915</v>
      </c>
      <c r="C1392" s="2266" t="s">
        <v>903</v>
      </c>
      <c r="D1392" s="2266">
        <v>9</v>
      </c>
      <c r="E1392" s="2266">
        <v>1615</v>
      </c>
      <c r="F1392" s="2266" t="s">
        <v>5732</v>
      </c>
      <c r="G1392" s="2266" t="s">
        <v>7219</v>
      </c>
      <c r="H1392" s="2266">
        <v>136678</v>
      </c>
      <c r="I1392" s="2266">
        <v>391650</v>
      </c>
      <c r="J1392" s="2266">
        <v>0.49449196679397744</v>
      </c>
      <c r="K1392" s="2266">
        <v>67586.173037467248</v>
      </c>
      <c r="L1392" s="2266">
        <v>67586.173037467248</v>
      </c>
      <c r="M1392" s="2266">
        <v>599</v>
      </c>
    </row>
    <row r="1393" spans="1:13" ht="15">
      <c r="A1393" s="2266" t="s">
        <v>4218</v>
      </c>
      <c r="B1393" s="2465" t="str">
        <f>CONCATENATE(LEFT(RIGHT(CONCATENATE("000",IFAData_TEA_1617!A1393),6),3),"-",(RIGHT(RIGHT(CONCATENATE("000",IFAData_TEA_1617!A1393),6),3)))</f>
        <v>116-915</v>
      </c>
      <c r="C1393" s="2266" t="s">
        <v>903</v>
      </c>
      <c r="D1393" s="2266">
        <v>2</v>
      </c>
      <c r="E1393" s="2266">
        <v>1614</v>
      </c>
      <c r="F1393" s="2266" t="s">
        <v>5731</v>
      </c>
      <c r="G1393" s="2266" t="s">
        <v>5731</v>
      </c>
      <c r="H1393" s="2266">
        <v>93784</v>
      </c>
      <c r="I1393" s="2266">
        <v>0</v>
      </c>
      <c r="J1393" s="2266">
        <v>0</v>
      </c>
      <c r="K1393" s="2266"/>
      <c r="L1393" s="2266">
        <v>0</v>
      </c>
      <c r="M1393" s="2266">
        <v>199</v>
      </c>
    </row>
    <row r="1394" spans="1:13" ht="15">
      <c r="A1394" s="2266" t="s">
        <v>4218</v>
      </c>
      <c r="B1394" s="2465" t="str">
        <f>CONCATENATE(LEFT(RIGHT(CONCATENATE("000",IFAData_TEA_1617!A1394),6),3),"-",(RIGHT(RIGHT(CONCATENATE("000",IFAData_TEA_1617!A1394),6),3)))</f>
        <v>116-915</v>
      </c>
      <c r="C1394" s="2266" t="s">
        <v>903</v>
      </c>
      <c r="D1394" s="2266">
        <v>9</v>
      </c>
      <c r="E1394" s="2266">
        <v>1615</v>
      </c>
      <c r="F1394" s="2266" t="s">
        <v>5732</v>
      </c>
      <c r="G1394" s="2266" t="s">
        <v>5732</v>
      </c>
      <c r="H1394" s="2266">
        <v>136678</v>
      </c>
      <c r="I1394" s="2266">
        <v>400375</v>
      </c>
      <c r="J1394" s="2266">
        <v>0.50550803320602256</v>
      </c>
      <c r="K1394" s="2266">
        <v>69091.826962532752</v>
      </c>
      <c r="L1394" s="2266">
        <v>69091.826962532752</v>
      </c>
      <c r="M1394" s="2266">
        <v>599</v>
      </c>
    </row>
    <row r="1395" spans="1:13" ht="15">
      <c r="A1395" s="2266" t="s">
        <v>4219</v>
      </c>
      <c r="B1395" s="2465" t="str">
        <f>CONCATENATE(LEFT(RIGHT(CONCATENATE("000",IFAData_TEA_1617!A1395),6),3),"-",(RIGHT(RIGHT(CONCATENATE("000",IFAData_TEA_1617!A1395),6),3)))</f>
        <v>116-916</v>
      </c>
      <c r="C1395" s="2266" t="s">
        <v>1523</v>
      </c>
      <c r="D1395" s="2266">
        <v>5</v>
      </c>
      <c r="E1395" s="2266">
        <v>1626</v>
      </c>
      <c r="F1395" s="2266" t="s">
        <v>5733</v>
      </c>
      <c r="G1395" s="2266" t="s">
        <v>7003</v>
      </c>
      <c r="H1395" s="2266">
        <v>139355</v>
      </c>
      <c r="I1395" s="2266">
        <v>129504</v>
      </c>
      <c r="J1395" s="2266">
        <v>1</v>
      </c>
      <c r="K1395" s="2266">
        <v>139355</v>
      </c>
      <c r="L1395" s="2266">
        <v>129504</v>
      </c>
      <c r="M1395" s="2266">
        <v>599</v>
      </c>
    </row>
    <row r="1396" spans="1:13" ht="15">
      <c r="A1396" s="2266" t="s">
        <v>4219</v>
      </c>
      <c r="B1396" s="2465" t="str">
        <f>CONCATENATE(LEFT(RIGHT(CONCATENATE("000",IFAData_TEA_1617!A1396),6),3),"-",(RIGHT(RIGHT(CONCATENATE("000",IFAData_TEA_1617!A1396),6),3)))</f>
        <v>116-916</v>
      </c>
      <c r="C1396" s="2266" t="s">
        <v>1523</v>
      </c>
      <c r="D1396" s="2266">
        <v>5</v>
      </c>
      <c r="E1396" s="2266">
        <v>1626</v>
      </c>
      <c r="F1396" s="2266" t="s">
        <v>5733</v>
      </c>
      <c r="G1396" s="2266" t="s">
        <v>5733</v>
      </c>
      <c r="H1396" s="2266">
        <v>139355</v>
      </c>
      <c r="I1396" s="2266">
        <v>0</v>
      </c>
      <c r="J1396" s="2266">
        <v>0</v>
      </c>
      <c r="K1396" s="2266">
        <v>0</v>
      </c>
      <c r="L1396" s="2266">
        <v>0</v>
      </c>
      <c r="M1396" s="2266">
        <v>599</v>
      </c>
    </row>
    <row r="1397" spans="1:13" ht="15">
      <c r="A1397" s="2266" t="s">
        <v>4219</v>
      </c>
      <c r="B1397" s="2465" t="str">
        <f>CONCATENATE(LEFT(RIGHT(CONCATENATE("000",IFAData_TEA_1617!A1397),6),3),"-",(RIGHT(RIGHT(CONCATENATE("000",IFAData_TEA_1617!A1397),6),3)))</f>
        <v>116-916</v>
      </c>
      <c r="C1397" s="2266" t="s">
        <v>1523</v>
      </c>
      <c r="D1397" s="2266">
        <v>5</v>
      </c>
      <c r="E1397" s="2266">
        <v>1626</v>
      </c>
      <c r="F1397" s="2266" t="s">
        <v>5733</v>
      </c>
      <c r="G1397" s="2266" t="s">
        <v>5734</v>
      </c>
      <c r="H1397" s="2266">
        <v>139355</v>
      </c>
      <c r="I1397" s="2266">
        <v>0</v>
      </c>
      <c r="J1397" s="2266">
        <v>0</v>
      </c>
      <c r="K1397" s="2266">
        <v>0</v>
      </c>
      <c r="L1397" s="2266">
        <v>0</v>
      </c>
      <c r="M1397" s="2266">
        <v>599</v>
      </c>
    </row>
    <row r="1398" spans="1:13" ht="15">
      <c r="A1398" s="2266" t="s">
        <v>4220</v>
      </c>
      <c r="B1398" s="2465" t="str">
        <f>CONCATENATE(LEFT(RIGHT(CONCATENATE("000",IFAData_TEA_1617!A1398),6),3),"-",(RIGHT(RIGHT(CONCATENATE("000",IFAData_TEA_1617!A1398),6),3)))</f>
        <v>120-902</v>
      </c>
      <c r="C1398" s="2266" t="s">
        <v>1671</v>
      </c>
      <c r="D1398" s="2266">
        <v>9</v>
      </c>
      <c r="E1398" s="2266">
        <v>1841</v>
      </c>
      <c r="F1398" s="2266" t="s">
        <v>5736</v>
      </c>
      <c r="G1398" s="2266" t="s">
        <v>7220</v>
      </c>
      <c r="H1398" s="2266">
        <v>152500</v>
      </c>
      <c r="I1398" s="2266">
        <v>92782</v>
      </c>
      <c r="J1398" s="2266">
        <v>0.27221650104594836</v>
      </c>
      <c r="K1398" s="2266">
        <v>41513.016409507123</v>
      </c>
      <c r="L1398" s="2266">
        <v>41513.016409507123</v>
      </c>
      <c r="M1398" s="2266">
        <v>599</v>
      </c>
    </row>
    <row r="1399" spans="1:13" ht="15">
      <c r="A1399" s="2266" t="s">
        <v>4220</v>
      </c>
      <c r="B1399" s="2465" t="str">
        <f>CONCATENATE(LEFT(RIGHT(CONCATENATE("000",IFAData_TEA_1617!A1399),6),3),"-",(RIGHT(RIGHT(CONCATENATE("000",IFAData_TEA_1617!A1399),6),3)))</f>
        <v>120-902</v>
      </c>
      <c r="C1399" s="2266" t="s">
        <v>1671</v>
      </c>
      <c r="D1399" s="2266">
        <v>2</v>
      </c>
      <c r="E1399" s="2266">
        <v>1840</v>
      </c>
      <c r="F1399" s="2266" t="s">
        <v>5735</v>
      </c>
      <c r="G1399" s="2266" t="s">
        <v>5735</v>
      </c>
      <c r="H1399" s="2266">
        <v>137438</v>
      </c>
      <c r="I1399" s="2266">
        <v>0</v>
      </c>
      <c r="J1399" s="2266">
        <v>0</v>
      </c>
      <c r="K1399" s="2266"/>
      <c r="L1399" s="2266">
        <v>0</v>
      </c>
      <c r="M1399" s="2266">
        <v>599</v>
      </c>
    </row>
    <row r="1400" spans="1:13" ht="15">
      <c r="A1400" s="2266" t="s">
        <v>4220</v>
      </c>
      <c r="B1400" s="2465" t="str">
        <f>CONCATENATE(LEFT(RIGHT(CONCATENATE("000",IFAData_TEA_1617!A1400),6),3),"-",(RIGHT(RIGHT(CONCATENATE("000",IFAData_TEA_1617!A1400),6),3)))</f>
        <v>120-902</v>
      </c>
      <c r="C1400" s="2266" t="s">
        <v>1671</v>
      </c>
      <c r="D1400" s="2266">
        <v>9</v>
      </c>
      <c r="E1400" s="2266">
        <v>1841</v>
      </c>
      <c r="F1400" s="2266" t="s">
        <v>5736</v>
      </c>
      <c r="G1400" s="2266" t="s">
        <v>5736</v>
      </c>
      <c r="H1400" s="2266">
        <v>152500</v>
      </c>
      <c r="I1400" s="2266">
        <v>248057</v>
      </c>
      <c r="J1400" s="2266">
        <v>0.72778349895405159</v>
      </c>
      <c r="K1400" s="2266">
        <v>110986.98359049286</v>
      </c>
      <c r="L1400" s="2266">
        <v>110986.98359049286</v>
      </c>
      <c r="M1400" s="2266">
        <v>599</v>
      </c>
    </row>
    <row r="1401" spans="1:13" ht="15">
      <c r="A1401" s="2266" t="s">
        <v>4221</v>
      </c>
      <c r="B1401" s="2465" t="str">
        <f>CONCATENATE(LEFT(RIGHT(CONCATENATE("000",IFAData_TEA_1617!A1401),6),3),"-",(RIGHT(RIGHT(CONCATENATE("000",IFAData_TEA_1617!A1401),6),3)))</f>
        <v>121-903</v>
      </c>
      <c r="C1401" s="2266" t="s">
        <v>1632</v>
      </c>
      <c r="D1401" s="2266">
        <v>2</v>
      </c>
      <c r="E1401" s="2266">
        <v>1651</v>
      </c>
      <c r="F1401" s="2266" t="s">
        <v>5737</v>
      </c>
      <c r="G1401" s="2266" t="s">
        <v>5738</v>
      </c>
      <c r="H1401" s="2266">
        <v>409486</v>
      </c>
      <c r="I1401" s="2266">
        <v>597989</v>
      </c>
      <c r="J1401" s="2266">
        <v>0.52644649999075621</v>
      </c>
      <c r="K1401" s="2266">
        <v>215572.47149521479</v>
      </c>
      <c r="L1401" s="2266">
        <v>215572.47149521479</v>
      </c>
      <c r="M1401" s="2266">
        <v>599</v>
      </c>
    </row>
    <row r="1402" spans="1:13" ht="15">
      <c r="A1402" s="2266" t="s">
        <v>4221</v>
      </c>
      <c r="B1402" s="2465" t="str">
        <f>CONCATENATE(LEFT(RIGHT(CONCATENATE("000",IFAData_TEA_1617!A1402),6),3),"-",(RIGHT(RIGHT(CONCATENATE("000",IFAData_TEA_1617!A1402),6),3)))</f>
        <v>121-903</v>
      </c>
      <c r="C1402" s="2266" t="s">
        <v>1632</v>
      </c>
      <c r="D1402" s="2266">
        <v>2</v>
      </c>
      <c r="E1402" s="2266">
        <v>1651</v>
      </c>
      <c r="F1402" s="2266" t="s">
        <v>5737</v>
      </c>
      <c r="G1402" s="2266" t="s">
        <v>5737</v>
      </c>
      <c r="H1402" s="2266">
        <v>409486</v>
      </c>
      <c r="I1402" s="2266">
        <v>0</v>
      </c>
      <c r="J1402" s="2266">
        <v>0</v>
      </c>
      <c r="K1402" s="2266">
        <v>0</v>
      </c>
      <c r="L1402" s="2266">
        <v>0</v>
      </c>
      <c r="M1402" s="2266">
        <v>599</v>
      </c>
    </row>
    <row r="1403" spans="1:13" ht="15">
      <c r="A1403" s="2266" t="s">
        <v>4221</v>
      </c>
      <c r="B1403" s="2465" t="str">
        <f>CONCATENATE(LEFT(RIGHT(CONCATENATE("000",IFAData_TEA_1617!A1403),6),3),"-",(RIGHT(RIGHT(CONCATENATE("000",IFAData_TEA_1617!A1403),6),3)))</f>
        <v>121-903</v>
      </c>
      <c r="C1403" s="2266" t="s">
        <v>1632</v>
      </c>
      <c r="D1403" s="2266">
        <v>3</v>
      </c>
      <c r="E1403" s="2266">
        <v>1650</v>
      </c>
      <c r="F1403" s="2266" t="s">
        <v>5739</v>
      </c>
      <c r="G1403" s="2266" t="s">
        <v>5739</v>
      </c>
      <c r="H1403" s="2266">
        <v>319854</v>
      </c>
      <c r="I1403" s="2266">
        <v>0</v>
      </c>
      <c r="J1403" s="2266">
        <v>0</v>
      </c>
      <c r="K1403" s="2266">
        <v>0</v>
      </c>
      <c r="L1403" s="2266">
        <v>0</v>
      </c>
      <c r="M1403" s="2266">
        <v>599</v>
      </c>
    </row>
    <row r="1404" spans="1:13" ht="15">
      <c r="A1404" s="2266" t="s">
        <v>4221</v>
      </c>
      <c r="B1404" s="2465" t="str">
        <f>CONCATENATE(LEFT(RIGHT(CONCATENATE("000",IFAData_TEA_1617!A1404),6),3),"-",(RIGHT(RIGHT(CONCATENATE("000",IFAData_TEA_1617!A1404),6),3)))</f>
        <v>121-903</v>
      </c>
      <c r="C1404" s="2266" t="s">
        <v>1632</v>
      </c>
      <c r="D1404" s="2266">
        <v>3</v>
      </c>
      <c r="E1404" s="2266">
        <v>1650</v>
      </c>
      <c r="F1404" s="2266" t="s">
        <v>5739</v>
      </c>
      <c r="G1404" s="2266" t="s">
        <v>7221</v>
      </c>
      <c r="H1404" s="2266">
        <v>319854</v>
      </c>
      <c r="I1404" s="2266">
        <v>272393</v>
      </c>
      <c r="J1404" s="2266">
        <v>0.47212256089740257</v>
      </c>
      <c r="K1404" s="2266">
        <v>151010.28959327779</v>
      </c>
      <c r="L1404" s="2266">
        <v>151010.28959327779</v>
      </c>
      <c r="M1404" s="2266">
        <v>599</v>
      </c>
    </row>
    <row r="1405" spans="1:13" ht="15">
      <c r="A1405" s="2266" t="s">
        <v>4221</v>
      </c>
      <c r="B1405" s="2465" t="str">
        <f>CONCATENATE(LEFT(RIGHT(CONCATENATE("000",IFAData_TEA_1617!A1405),6),3),"-",(RIGHT(RIGHT(CONCATENATE("000",IFAData_TEA_1617!A1405),6),3)))</f>
        <v>121-903</v>
      </c>
      <c r="C1405" s="2266" t="s">
        <v>1632</v>
      </c>
      <c r="D1405" s="2266">
        <v>2</v>
      </c>
      <c r="E1405" s="2266">
        <v>1651</v>
      </c>
      <c r="F1405" s="2266" t="s">
        <v>5737</v>
      </c>
      <c r="G1405" s="2266" t="s">
        <v>7221</v>
      </c>
      <c r="H1405" s="2266">
        <v>409486</v>
      </c>
      <c r="I1405" s="2266">
        <v>537908</v>
      </c>
      <c r="J1405" s="2266">
        <v>0.47355350000924379</v>
      </c>
      <c r="K1405" s="2266">
        <v>193913.52850478521</v>
      </c>
      <c r="L1405" s="2266">
        <v>193913.52850478521</v>
      </c>
      <c r="M1405" s="2266">
        <v>599</v>
      </c>
    </row>
    <row r="1406" spans="1:13" ht="15">
      <c r="A1406" s="2266" t="s">
        <v>4221</v>
      </c>
      <c r="B1406" s="2465" t="str">
        <f>CONCATENATE(LEFT(RIGHT(CONCATENATE("000",IFAData_TEA_1617!A1406),6),3),"-",(RIGHT(RIGHT(CONCATENATE("000",IFAData_TEA_1617!A1406),6),3)))</f>
        <v>121-903</v>
      </c>
      <c r="C1406" s="2266" t="s">
        <v>1632</v>
      </c>
      <c r="D1406" s="2266">
        <v>3</v>
      </c>
      <c r="E1406" s="2266">
        <v>1650</v>
      </c>
      <c r="F1406" s="2266" t="s">
        <v>5739</v>
      </c>
      <c r="G1406" s="2266" t="s">
        <v>5738</v>
      </c>
      <c r="H1406" s="2266">
        <v>319854</v>
      </c>
      <c r="I1406" s="2266">
        <v>304561</v>
      </c>
      <c r="J1406" s="2266">
        <v>0.52787743910259743</v>
      </c>
      <c r="K1406" s="2266">
        <v>168843.71040672221</v>
      </c>
      <c r="L1406" s="2266">
        <v>168843.71040672221</v>
      </c>
      <c r="M1406" s="2266">
        <v>599</v>
      </c>
    </row>
    <row r="1407" spans="1:13" ht="15">
      <c r="A1407" s="2266" t="s">
        <v>4222</v>
      </c>
      <c r="B1407" s="2465" t="str">
        <f>CONCATENATE(LEFT(RIGHT(CONCATENATE("000",IFAData_TEA_1617!A1407),6),3),"-",(RIGHT(RIGHT(CONCATENATE("000",IFAData_TEA_1617!A1407),6),3)))</f>
        <v>121-904</v>
      </c>
      <c r="C1407" s="2266" t="s">
        <v>446</v>
      </c>
      <c r="D1407" s="2266">
        <v>1</v>
      </c>
      <c r="E1407" s="2266">
        <v>1935</v>
      </c>
      <c r="F1407" s="2266" t="s">
        <v>5740</v>
      </c>
      <c r="G1407" s="2266" t="s">
        <v>5742</v>
      </c>
      <c r="H1407" s="2266">
        <v>422458</v>
      </c>
      <c r="I1407" s="2266">
        <v>525650</v>
      </c>
      <c r="J1407" s="2266">
        <v>1</v>
      </c>
      <c r="K1407" s="2266">
        <v>422458</v>
      </c>
      <c r="L1407" s="2266">
        <v>422458</v>
      </c>
      <c r="M1407" s="2266">
        <v>599</v>
      </c>
    </row>
    <row r="1408" spans="1:13" ht="15">
      <c r="A1408" s="2266" t="s">
        <v>4222</v>
      </c>
      <c r="B1408" s="2465" t="str">
        <f>CONCATENATE(LEFT(RIGHT(CONCATENATE("000",IFAData_TEA_1617!A1408),6),3),"-",(RIGHT(RIGHT(CONCATENATE("000",IFAData_TEA_1617!A1408),6),3)))</f>
        <v>121-904</v>
      </c>
      <c r="C1408" s="2266" t="s">
        <v>446</v>
      </c>
      <c r="D1408" s="2266">
        <v>1</v>
      </c>
      <c r="E1408" s="2266">
        <v>1935</v>
      </c>
      <c r="F1408" s="2266" t="s">
        <v>5740</v>
      </c>
      <c r="G1408" s="2266" t="s">
        <v>5740</v>
      </c>
      <c r="H1408" s="2266">
        <v>422458</v>
      </c>
      <c r="I1408" s="2266">
        <v>0</v>
      </c>
      <c r="J1408" s="2266">
        <v>0</v>
      </c>
      <c r="K1408" s="2266">
        <v>0</v>
      </c>
      <c r="L1408" s="2266">
        <v>0</v>
      </c>
      <c r="M1408" s="2266">
        <v>599</v>
      </c>
    </row>
    <row r="1409" spans="1:13" ht="15">
      <c r="A1409" s="2266" t="s">
        <v>4222</v>
      </c>
      <c r="B1409" s="2465" t="str">
        <f>CONCATENATE(LEFT(RIGHT(CONCATENATE("000",IFAData_TEA_1617!A1409),6),3),"-",(RIGHT(RIGHT(CONCATENATE("000",IFAData_TEA_1617!A1409),6),3)))</f>
        <v>121-904</v>
      </c>
      <c r="C1409" s="2266" t="s">
        <v>446</v>
      </c>
      <c r="D1409" s="2266">
        <v>3</v>
      </c>
      <c r="E1409" s="2266">
        <v>1933</v>
      </c>
      <c r="F1409" s="2266" t="s">
        <v>5745</v>
      </c>
      <c r="G1409" s="2266" t="s">
        <v>5744</v>
      </c>
      <c r="H1409" s="2266">
        <v>359938</v>
      </c>
      <c r="I1409" s="2266">
        <v>353137</v>
      </c>
      <c r="J1409" s="2266">
        <v>1</v>
      </c>
      <c r="K1409" s="2266">
        <v>359938</v>
      </c>
      <c r="L1409" s="2266">
        <v>353137</v>
      </c>
      <c r="M1409" s="2266">
        <v>599</v>
      </c>
    </row>
    <row r="1410" spans="1:13" ht="15">
      <c r="A1410" s="2266" t="s">
        <v>4222</v>
      </c>
      <c r="B1410" s="2465" t="str">
        <f>CONCATENATE(LEFT(RIGHT(CONCATENATE("000",IFAData_TEA_1617!A1410),6),3),"-",(RIGHT(RIGHT(CONCATENATE("000",IFAData_TEA_1617!A1410),6),3)))</f>
        <v>121-904</v>
      </c>
      <c r="C1410" s="2266" t="s">
        <v>446</v>
      </c>
      <c r="D1410" s="2266">
        <v>2</v>
      </c>
      <c r="E1410" s="2266">
        <v>1934</v>
      </c>
      <c r="F1410" s="2266" t="s">
        <v>5743</v>
      </c>
      <c r="G1410" s="2266" t="s">
        <v>5744</v>
      </c>
      <c r="H1410" s="2266">
        <v>410042</v>
      </c>
      <c r="I1410" s="2266">
        <v>440297</v>
      </c>
      <c r="J1410" s="2266">
        <v>1</v>
      </c>
      <c r="K1410" s="2266">
        <v>410042</v>
      </c>
      <c r="L1410" s="2266">
        <v>410042</v>
      </c>
      <c r="M1410" s="2266">
        <v>599</v>
      </c>
    </row>
    <row r="1411" spans="1:13" ht="15">
      <c r="A1411" s="2266" t="s">
        <v>4222</v>
      </c>
      <c r="B1411" s="2465" t="str">
        <f>CONCATENATE(LEFT(RIGHT(CONCATENATE("000",IFAData_TEA_1617!A1411),6),3),"-",(RIGHT(RIGHT(CONCATENATE("000",IFAData_TEA_1617!A1411),6),3)))</f>
        <v>121-904</v>
      </c>
      <c r="C1411" s="2266" t="s">
        <v>446</v>
      </c>
      <c r="D1411" s="2266">
        <v>1</v>
      </c>
      <c r="E1411" s="2266">
        <v>1935</v>
      </c>
      <c r="F1411" s="2266" t="s">
        <v>5740</v>
      </c>
      <c r="G1411" s="2266" t="s">
        <v>5741</v>
      </c>
      <c r="H1411" s="2266">
        <v>422458</v>
      </c>
      <c r="I1411" s="2266">
        <v>0</v>
      </c>
      <c r="J1411" s="2266">
        <v>0</v>
      </c>
      <c r="K1411" s="2266">
        <v>0</v>
      </c>
      <c r="L1411" s="2266">
        <v>0</v>
      </c>
      <c r="M1411" s="2266">
        <v>599</v>
      </c>
    </row>
    <row r="1412" spans="1:13" ht="15">
      <c r="A1412" s="2266" t="s">
        <v>4222</v>
      </c>
      <c r="B1412" s="2465" t="str">
        <f>CONCATENATE(LEFT(RIGHT(CONCATENATE("000",IFAData_TEA_1617!A1412),6),3),"-",(RIGHT(RIGHT(CONCATENATE("000",IFAData_TEA_1617!A1412),6),3)))</f>
        <v>121-904</v>
      </c>
      <c r="C1412" s="2266" t="s">
        <v>446</v>
      </c>
      <c r="D1412" s="2266">
        <v>2</v>
      </c>
      <c r="E1412" s="2266">
        <v>1934</v>
      </c>
      <c r="F1412" s="2266" t="s">
        <v>5743</v>
      </c>
      <c r="G1412" s="2266" t="s">
        <v>5743</v>
      </c>
      <c r="H1412" s="2266">
        <v>410042</v>
      </c>
      <c r="I1412" s="2266">
        <v>0</v>
      </c>
      <c r="J1412" s="2266">
        <v>0</v>
      </c>
      <c r="K1412" s="2266">
        <v>0</v>
      </c>
      <c r="L1412" s="2266">
        <v>0</v>
      </c>
      <c r="M1412" s="2266">
        <v>599</v>
      </c>
    </row>
    <row r="1413" spans="1:13" ht="15">
      <c r="A1413" s="2266" t="s">
        <v>4222</v>
      </c>
      <c r="B1413" s="2465" t="str">
        <f>CONCATENATE(LEFT(RIGHT(CONCATENATE("000",IFAData_TEA_1617!A1413),6),3),"-",(RIGHT(RIGHT(CONCATENATE("000",IFAData_TEA_1617!A1413),6),3)))</f>
        <v>121-904</v>
      </c>
      <c r="C1413" s="2266" t="s">
        <v>446</v>
      </c>
      <c r="D1413" s="2266">
        <v>3</v>
      </c>
      <c r="E1413" s="2266">
        <v>1933</v>
      </c>
      <c r="F1413" s="2266" t="s">
        <v>5745</v>
      </c>
      <c r="G1413" s="2266" t="s">
        <v>5745</v>
      </c>
      <c r="H1413" s="2266">
        <v>359938</v>
      </c>
      <c r="I1413" s="2266">
        <v>0</v>
      </c>
      <c r="J1413" s="2266">
        <v>0</v>
      </c>
      <c r="K1413" s="2266">
        <v>0</v>
      </c>
      <c r="L1413" s="2266">
        <v>0</v>
      </c>
      <c r="M1413" s="2266">
        <v>599</v>
      </c>
    </row>
    <row r="1414" spans="1:13" ht="15">
      <c r="A1414" s="2266" t="s">
        <v>4223</v>
      </c>
      <c r="B1414" s="2465" t="str">
        <f>CONCATENATE(LEFT(RIGHT(CONCATENATE("000",IFAData_TEA_1617!A1414),6),3),"-",(RIGHT(RIGHT(CONCATENATE("000",IFAData_TEA_1617!A1414),6),3)))</f>
        <v>121-905</v>
      </c>
      <c r="C1414" s="2266" t="s">
        <v>2296</v>
      </c>
      <c r="D1414" s="2266">
        <v>3</v>
      </c>
      <c r="E1414" s="2266">
        <v>1962</v>
      </c>
      <c r="F1414" s="2266" t="s">
        <v>5746</v>
      </c>
      <c r="G1414" s="2266" t="s">
        <v>5747</v>
      </c>
      <c r="H1414" s="2266">
        <v>413051</v>
      </c>
      <c r="I1414" s="2266">
        <v>403536</v>
      </c>
      <c r="J1414" s="2266">
        <v>0.57210503109790412</v>
      </c>
      <c r="K1414" s="2266">
        <v>236308.5552000204</v>
      </c>
      <c r="L1414" s="2266">
        <v>236308.5552000204</v>
      </c>
      <c r="M1414" s="2266">
        <v>599</v>
      </c>
    </row>
    <row r="1415" spans="1:13" ht="15">
      <c r="A1415" s="2266" t="s">
        <v>4223</v>
      </c>
      <c r="B1415" s="2465" t="str">
        <f>CONCATENATE(LEFT(RIGHT(CONCATENATE("000",IFAData_TEA_1617!A1415),6),3),"-",(RIGHT(RIGHT(CONCATENATE("000",IFAData_TEA_1617!A1415),6),3)))</f>
        <v>121-905</v>
      </c>
      <c r="C1415" s="2266" t="s">
        <v>2296</v>
      </c>
      <c r="D1415" s="2266">
        <v>3</v>
      </c>
      <c r="E1415" s="2266">
        <v>1962</v>
      </c>
      <c r="F1415" s="2266" t="s">
        <v>5746</v>
      </c>
      <c r="G1415" s="2266" t="s">
        <v>5746</v>
      </c>
      <c r="H1415" s="2266">
        <v>413051</v>
      </c>
      <c r="I1415" s="2266">
        <v>0</v>
      </c>
      <c r="J1415" s="2266">
        <v>0</v>
      </c>
      <c r="K1415" s="2266">
        <v>0</v>
      </c>
      <c r="L1415" s="2266">
        <v>0</v>
      </c>
      <c r="M1415" s="2266">
        <v>599</v>
      </c>
    </row>
    <row r="1416" spans="1:13" ht="15">
      <c r="A1416" s="2266" t="s">
        <v>4223</v>
      </c>
      <c r="B1416" s="2465" t="str">
        <f>CONCATENATE(LEFT(RIGHT(CONCATENATE("000",IFAData_TEA_1617!A1416),6),3),"-",(RIGHT(RIGHT(CONCATENATE("000",IFAData_TEA_1617!A1416),6),3)))</f>
        <v>121-905</v>
      </c>
      <c r="C1416" s="2266" t="s">
        <v>2296</v>
      </c>
      <c r="D1416" s="2266">
        <v>3</v>
      </c>
      <c r="E1416" s="2266">
        <v>1962</v>
      </c>
      <c r="F1416" s="2266" t="s">
        <v>5746</v>
      </c>
      <c r="G1416" s="2266" t="s">
        <v>7004</v>
      </c>
      <c r="H1416" s="2266">
        <v>413051</v>
      </c>
      <c r="I1416" s="2266">
        <v>301817</v>
      </c>
      <c r="J1416" s="2266">
        <v>0.42789496890209583</v>
      </c>
      <c r="K1416" s="2266">
        <v>176742.4447999796</v>
      </c>
      <c r="L1416" s="2266">
        <v>176742.4447999796</v>
      </c>
      <c r="M1416" s="2266">
        <v>599</v>
      </c>
    </row>
    <row r="1417" spans="1:13" ht="15">
      <c r="A1417" s="2266" t="s">
        <v>4224</v>
      </c>
      <c r="B1417" s="2465" t="str">
        <f>CONCATENATE(LEFT(RIGHT(CONCATENATE("000",IFAData_TEA_1617!A1417),6),3),"-",(RIGHT(RIGHT(CONCATENATE("000",IFAData_TEA_1617!A1417),6),3)))</f>
        <v>123-905</v>
      </c>
      <c r="C1417" s="2266" t="s">
        <v>426</v>
      </c>
      <c r="D1417" s="2266">
        <v>2</v>
      </c>
      <c r="E1417" s="2266">
        <v>2130</v>
      </c>
      <c r="F1417" s="2266" t="s">
        <v>5750</v>
      </c>
      <c r="G1417" s="2266" t="s">
        <v>5750</v>
      </c>
      <c r="H1417" s="2266">
        <v>539458</v>
      </c>
      <c r="I1417" s="2266">
        <v>0</v>
      </c>
      <c r="J1417" s="2266">
        <v>0</v>
      </c>
      <c r="K1417" s="2266">
        <v>0</v>
      </c>
      <c r="L1417" s="2266">
        <v>0</v>
      </c>
      <c r="M1417" s="2266">
        <v>599</v>
      </c>
    </row>
    <row r="1418" spans="1:13" ht="15">
      <c r="A1418" s="2266" t="s">
        <v>4224</v>
      </c>
      <c r="B1418" s="2465" t="str">
        <f>CONCATENATE(LEFT(RIGHT(CONCATENATE("000",IFAData_TEA_1617!A1418),6),3),"-",(RIGHT(RIGHT(CONCATENATE("000",IFAData_TEA_1617!A1418),6),3)))</f>
        <v>123-905</v>
      </c>
      <c r="C1418" s="2266" t="s">
        <v>426</v>
      </c>
      <c r="D1418" s="2266">
        <v>1</v>
      </c>
      <c r="E1418" s="2266">
        <v>2129</v>
      </c>
      <c r="F1418" s="2266" t="s">
        <v>5748</v>
      </c>
      <c r="G1418" s="2266" t="s">
        <v>5748</v>
      </c>
      <c r="H1418" s="2266">
        <v>285609</v>
      </c>
      <c r="I1418" s="2266">
        <v>0</v>
      </c>
      <c r="J1418" s="2266">
        <v>0</v>
      </c>
      <c r="K1418" s="2266">
        <v>0</v>
      </c>
      <c r="L1418" s="2266">
        <v>0</v>
      </c>
      <c r="M1418" s="2266">
        <v>599</v>
      </c>
    </row>
    <row r="1419" spans="1:13" ht="15">
      <c r="A1419" s="2266" t="s">
        <v>4224</v>
      </c>
      <c r="B1419" s="2465" t="str">
        <f>CONCATENATE(LEFT(RIGHT(CONCATENATE("000",IFAData_TEA_1617!A1419),6),3),"-",(RIGHT(RIGHT(CONCATENATE("000",IFAData_TEA_1617!A1419),6),3)))</f>
        <v>123-905</v>
      </c>
      <c r="C1419" s="2266" t="s">
        <v>426</v>
      </c>
      <c r="D1419" s="2266">
        <v>1</v>
      </c>
      <c r="E1419" s="2266">
        <v>2129</v>
      </c>
      <c r="F1419" s="2266" t="s">
        <v>5748</v>
      </c>
      <c r="G1419" s="2266" t="s">
        <v>5749</v>
      </c>
      <c r="H1419" s="2266">
        <v>285609</v>
      </c>
      <c r="I1419" s="2266">
        <v>283849</v>
      </c>
      <c r="J1419" s="2266">
        <v>1</v>
      </c>
      <c r="K1419" s="2266">
        <v>285609</v>
      </c>
      <c r="L1419" s="2266">
        <v>283849</v>
      </c>
      <c r="M1419" s="2266">
        <v>599</v>
      </c>
    </row>
    <row r="1420" spans="1:13" ht="15">
      <c r="A1420" s="2266" t="s">
        <v>4224</v>
      </c>
      <c r="B1420" s="2465" t="str">
        <f>CONCATENATE(LEFT(RIGHT(CONCATENATE("000",IFAData_TEA_1617!A1420),6),3),"-",(RIGHT(RIGHT(CONCATENATE("000",IFAData_TEA_1617!A1420),6),3)))</f>
        <v>123-905</v>
      </c>
      <c r="C1420" s="2266" t="s">
        <v>426</v>
      </c>
      <c r="D1420" s="2266">
        <v>2</v>
      </c>
      <c r="E1420" s="2266">
        <v>2130</v>
      </c>
      <c r="F1420" s="2266" t="s">
        <v>5750</v>
      </c>
      <c r="G1420" s="2266" t="s">
        <v>5749</v>
      </c>
      <c r="H1420" s="2266">
        <v>539458</v>
      </c>
      <c r="I1420" s="2266">
        <v>536916</v>
      </c>
      <c r="J1420" s="2266">
        <v>1</v>
      </c>
      <c r="K1420" s="2266">
        <v>539458</v>
      </c>
      <c r="L1420" s="2266">
        <v>536916</v>
      </c>
      <c r="M1420" s="2266">
        <v>599</v>
      </c>
    </row>
    <row r="1421" spans="1:13" ht="15">
      <c r="A1421" s="2266" t="s">
        <v>4225</v>
      </c>
      <c r="B1421" s="2465" t="str">
        <f>CONCATENATE(LEFT(RIGHT(CONCATENATE("000",IFAData_TEA_1617!A1421),6),3),"-",(RIGHT(RIGHT(CONCATENATE("000",IFAData_TEA_1617!A1421),6),3)))</f>
        <v>123-914</v>
      </c>
      <c r="C1421" s="2266" t="s">
        <v>1950</v>
      </c>
      <c r="D1421" s="2266">
        <v>2</v>
      </c>
      <c r="E1421" s="2266">
        <v>1864</v>
      </c>
      <c r="F1421" s="2266" t="s">
        <v>5751</v>
      </c>
      <c r="G1421" s="2266" t="s">
        <v>5751</v>
      </c>
      <c r="H1421" s="2266">
        <v>512950</v>
      </c>
      <c r="I1421" s="2266">
        <v>0</v>
      </c>
      <c r="J1421" s="2266">
        <v>0</v>
      </c>
      <c r="K1421" s="2266"/>
      <c r="L1421" s="2266">
        <v>0</v>
      </c>
      <c r="M1421" s="2266">
        <v>599</v>
      </c>
    </row>
    <row r="1422" spans="1:13" ht="15">
      <c r="A1422" s="2266" t="s">
        <v>4225</v>
      </c>
      <c r="B1422" s="2465" t="str">
        <f>CONCATENATE(LEFT(RIGHT(CONCATENATE("000",IFAData_TEA_1617!A1422),6),3),"-",(RIGHT(RIGHT(CONCATENATE("000",IFAData_TEA_1617!A1422),6),3)))</f>
        <v>123-914</v>
      </c>
      <c r="C1422" s="2266" t="s">
        <v>1950</v>
      </c>
      <c r="D1422" s="2266">
        <v>2</v>
      </c>
      <c r="E1422" s="2266">
        <v>1864</v>
      </c>
      <c r="F1422" s="2266" t="s">
        <v>5751</v>
      </c>
      <c r="G1422" s="2266" t="s">
        <v>5752</v>
      </c>
      <c r="H1422" s="2266">
        <v>512950</v>
      </c>
      <c r="I1422" s="2266">
        <v>0</v>
      </c>
      <c r="J1422" s="2266">
        <v>0</v>
      </c>
      <c r="K1422" s="2266"/>
      <c r="L1422" s="2266">
        <v>0</v>
      </c>
      <c r="M1422" s="2266">
        <v>599</v>
      </c>
    </row>
    <row r="1423" spans="1:13" ht="15">
      <c r="A1423" s="2266" t="s">
        <v>4226</v>
      </c>
      <c r="B1423" s="2465" t="str">
        <f>CONCATENATE(LEFT(RIGHT(CONCATENATE("000",IFAData_TEA_1617!A1423),6),3),"-",(RIGHT(RIGHT(CONCATENATE("000",IFAData_TEA_1617!A1423),6),3)))</f>
        <v>125-901</v>
      </c>
      <c r="C1423" s="2266" t="s">
        <v>799</v>
      </c>
      <c r="D1423" s="2266">
        <v>6</v>
      </c>
      <c r="E1423" s="2266">
        <v>1549</v>
      </c>
      <c r="F1423" s="2266" t="s">
        <v>5757</v>
      </c>
      <c r="G1423" s="2266" t="s">
        <v>5758</v>
      </c>
      <c r="H1423" s="2266">
        <v>1226843</v>
      </c>
      <c r="I1423" s="2266">
        <v>426300</v>
      </c>
      <c r="J1423" s="2266">
        <v>0.27676426670129195</v>
      </c>
      <c r="K1423" s="2266">
        <v>339546.30325261311</v>
      </c>
      <c r="L1423" s="2266">
        <v>339546.30325261311</v>
      </c>
      <c r="M1423" s="2266">
        <v>599</v>
      </c>
    </row>
    <row r="1424" spans="1:13" ht="15">
      <c r="A1424" s="2266" t="s">
        <v>4226</v>
      </c>
      <c r="B1424" s="2465" t="str">
        <f>CONCATENATE(LEFT(RIGHT(CONCATENATE("000",IFAData_TEA_1617!A1424),6),3),"-",(RIGHT(RIGHT(CONCATENATE("000",IFAData_TEA_1617!A1424),6),3)))</f>
        <v>125-901</v>
      </c>
      <c r="C1424" s="2266" t="s">
        <v>799</v>
      </c>
      <c r="D1424" s="2266">
        <v>3</v>
      </c>
      <c r="E1424" s="2266">
        <v>1551</v>
      </c>
      <c r="F1424" s="2266" t="s">
        <v>5753</v>
      </c>
      <c r="G1424" s="2266" t="s">
        <v>5756</v>
      </c>
      <c r="H1424" s="2266">
        <v>1313562</v>
      </c>
      <c r="I1424" s="2266">
        <v>1261050</v>
      </c>
      <c r="J1424" s="2266">
        <v>1</v>
      </c>
      <c r="K1424" s="2266">
        <v>1313562</v>
      </c>
      <c r="L1424" s="2266">
        <v>1261050</v>
      </c>
      <c r="M1424" s="2266">
        <v>599</v>
      </c>
    </row>
    <row r="1425" spans="1:13" ht="15">
      <c r="A1425" s="2266" t="s">
        <v>4226</v>
      </c>
      <c r="B1425" s="2465" t="str">
        <f>CONCATENATE(LEFT(RIGHT(CONCATENATE("000",IFAData_TEA_1617!A1425),6),3),"-",(RIGHT(RIGHT(CONCATENATE("000",IFAData_TEA_1617!A1425),6),3)))</f>
        <v>125-901</v>
      </c>
      <c r="C1425" s="2266" t="s">
        <v>799</v>
      </c>
      <c r="D1425" s="2266">
        <v>3</v>
      </c>
      <c r="E1425" s="2266">
        <v>1551</v>
      </c>
      <c r="F1425" s="2266" t="s">
        <v>5753</v>
      </c>
      <c r="G1425" s="2266" t="s">
        <v>5753</v>
      </c>
      <c r="H1425" s="2266">
        <v>1313562</v>
      </c>
      <c r="I1425" s="2266">
        <v>0</v>
      </c>
      <c r="J1425" s="2266">
        <v>0</v>
      </c>
      <c r="K1425" s="2266">
        <v>0</v>
      </c>
      <c r="L1425" s="2266">
        <v>0</v>
      </c>
      <c r="M1425" s="2266">
        <v>599</v>
      </c>
    </row>
    <row r="1426" spans="1:13" ht="15">
      <c r="A1426" s="2266" t="s">
        <v>4226</v>
      </c>
      <c r="B1426" s="2465" t="str">
        <f>CONCATENATE(LEFT(RIGHT(CONCATENATE("000",IFAData_TEA_1617!A1426),6),3),"-",(RIGHT(RIGHT(CONCATENATE("000",IFAData_TEA_1617!A1426),6),3)))</f>
        <v>125-901</v>
      </c>
      <c r="C1426" s="2266" t="s">
        <v>799</v>
      </c>
      <c r="D1426" s="2266">
        <v>3</v>
      </c>
      <c r="E1426" s="2266">
        <v>1551</v>
      </c>
      <c r="F1426" s="2266" t="s">
        <v>5753</v>
      </c>
      <c r="G1426" s="2266" t="s">
        <v>5754</v>
      </c>
      <c r="H1426" s="2266">
        <v>1313562</v>
      </c>
      <c r="I1426" s="2266">
        <v>0</v>
      </c>
      <c r="J1426" s="2266">
        <v>0</v>
      </c>
      <c r="K1426" s="2266">
        <v>0</v>
      </c>
      <c r="L1426" s="2266">
        <v>0</v>
      </c>
      <c r="M1426" s="2266">
        <v>599</v>
      </c>
    </row>
    <row r="1427" spans="1:13" ht="15">
      <c r="A1427" s="2266" t="s">
        <v>4226</v>
      </c>
      <c r="B1427" s="2465" t="str">
        <f>CONCATENATE(LEFT(RIGHT(CONCATENATE("000",IFAData_TEA_1617!A1427),6),3),"-",(RIGHT(RIGHT(CONCATENATE("000",IFAData_TEA_1617!A1427),6),3)))</f>
        <v>125-901</v>
      </c>
      <c r="C1427" s="2266" t="s">
        <v>799</v>
      </c>
      <c r="D1427" s="2266">
        <v>6</v>
      </c>
      <c r="E1427" s="2266">
        <v>1549</v>
      </c>
      <c r="F1427" s="2266" t="s">
        <v>5757</v>
      </c>
      <c r="G1427" s="2266" t="s">
        <v>5755</v>
      </c>
      <c r="H1427" s="2266">
        <v>1226843</v>
      </c>
      <c r="I1427" s="2266">
        <v>790000</v>
      </c>
      <c r="J1427" s="2266">
        <v>0.51288709991560089</v>
      </c>
      <c r="K1427" s="2266">
        <v>629231.94832175551</v>
      </c>
      <c r="L1427" s="2266">
        <v>629231.94832175551</v>
      </c>
      <c r="M1427" s="2266">
        <v>599</v>
      </c>
    </row>
    <row r="1428" spans="1:13" ht="15">
      <c r="A1428" s="2266" t="s">
        <v>4226</v>
      </c>
      <c r="B1428" s="2465" t="str">
        <f>CONCATENATE(LEFT(RIGHT(CONCATENATE("000",IFAData_TEA_1617!A1428),6),3),"-",(RIGHT(RIGHT(CONCATENATE("000",IFAData_TEA_1617!A1428),6),3)))</f>
        <v>125-901</v>
      </c>
      <c r="C1428" s="2266" t="s">
        <v>799</v>
      </c>
      <c r="D1428" s="2266">
        <v>3</v>
      </c>
      <c r="E1428" s="2266">
        <v>1551</v>
      </c>
      <c r="F1428" s="2266" t="s">
        <v>5753</v>
      </c>
      <c r="G1428" s="2266" t="s">
        <v>5755</v>
      </c>
      <c r="H1428" s="2266">
        <v>1313562</v>
      </c>
      <c r="I1428" s="2266">
        <v>0</v>
      </c>
      <c r="J1428" s="2266">
        <v>0</v>
      </c>
      <c r="K1428" s="2266">
        <v>0</v>
      </c>
      <c r="L1428" s="2266">
        <v>0</v>
      </c>
      <c r="M1428" s="2266">
        <v>599</v>
      </c>
    </row>
    <row r="1429" spans="1:13" ht="15">
      <c r="A1429" s="2266" t="s">
        <v>4226</v>
      </c>
      <c r="B1429" s="2465" t="str">
        <f>CONCATENATE(LEFT(RIGHT(CONCATENATE("000",IFAData_TEA_1617!A1429),6),3),"-",(RIGHT(RIGHT(CONCATENATE("000",IFAData_TEA_1617!A1429),6),3)))</f>
        <v>125-901</v>
      </c>
      <c r="C1429" s="2266" t="s">
        <v>799</v>
      </c>
      <c r="D1429" s="2266">
        <v>9</v>
      </c>
      <c r="E1429" s="2266">
        <v>1550</v>
      </c>
      <c r="F1429" s="2266" t="s">
        <v>5759</v>
      </c>
      <c r="G1429" s="2266" t="s">
        <v>5759</v>
      </c>
      <c r="H1429" s="2266">
        <v>1240465</v>
      </c>
      <c r="I1429" s="2266">
        <v>871575</v>
      </c>
      <c r="J1429" s="2266">
        <v>0.73009989319595403</v>
      </c>
      <c r="K1429" s="2266">
        <v>905663.36401331914</v>
      </c>
      <c r="L1429" s="2266">
        <v>871575</v>
      </c>
      <c r="M1429" s="2266">
        <v>599</v>
      </c>
    </row>
    <row r="1430" spans="1:13" ht="15">
      <c r="A1430" s="2266" t="s">
        <v>4226</v>
      </c>
      <c r="B1430" s="2465" t="str">
        <f>CONCATENATE(LEFT(RIGHT(CONCATENATE("000",IFAData_TEA_1617!A1430),6),3),"-",(RIGHT(RIGHT(CONCATENATE("000",IFAData_TEA_1617!A1430),6),3)))</f>
        <v>125-901</v>
      </c>
      <c r="C1430" s="2266" t="s">
        <v>799</v>
      </c>
      <c r="D1430" s="2266">
        <v>6</v>
      </c>
      <c r="E1430" s="2266">
        <v>1549</v>
      </c>
      <c r="F1430" s="2266" t="s">
        <v>5757</v>
      </c>
      <c r="G1430" s="2266" t="s">
        <v>7223</v>
      </c>
      <c r="H1430" s="2266">
        <v>1226843</v>
      </c>
      <c r="I1430" s="2266">
        <v>324000</v>
      </c>
      <c r="J1430" s="2266">
        <v>0.21034863338310719</v>
      </c>
      <c r="K1430" s="2266">
        <v>258064.74842563138</v>
      </c>
      <c r="L1430" s="2266">
        <v>258064.74842563138</v>
      </c>
      <c r="M1430" s="2266">
        <v>599</v>
      </c>
    </row>
    <row r="1431" spans="1:13" ht="15">
      <c r="A1431" s="2266" t="s">
        <v>4226</v>
      </c>
      <c r="B1431" s="2465" t="str">
        <f>CONCATENATE(LEFT(RIGHT(CONCATENATE("000",IFAData_TEA_1617!A1431),6),3),"-",(RIGHT(RIGHT(CONCATENATE("000",IFAData_TEA_1617!A1431),6),3)))</f>
        <v>125-901</v>
      </c>
      <c r="C1431" s="2266" t="s">
        <v>799</v>
      </c>
      <c r="D1431" s="2266">
        <v>9</v>
      </c>
      <c r="E1431" s="2266">
        <v>1550</v>
      </c>
      <c r="F1431" s="2266" t="s">
        <v>5759</v>
      </c>
      <c r="G1431" s="2266" t="s">
        <v>7222</v>
      </c>
      <c r="H1431" s="2266">
        <v>1240465</v>
      </c>
      <c r="I1431" s="2266">
        <v>322200</v>
      </c>
      <c r="J1431" s="2266">
        <v>0.26990010680404597</v>
      </c>
      <c r="K1431" s="2266">
        <v>334801.63598668086</v>
      </c>
      <c r="L1431" s="2266">
        <v>322200</v>
      </c>
      <c r="M1431" s="2266">
        <v>599</v>
      </c>
    </row>
    <row r="1432" spans="1:13" ht="15">
      <c r="A1432" s="2266" t="s">
        <v>4226</v>
      </c>
      <c r="B1432" s="2465" t="str">
        <f>CONCATENATE(LEFT(RIGHT(CONCATENATE("000",IFAData_TEA_1617!A1432),6),3),"-",(RIGHT(RIGHT(CONCATENATE("000",IFAData_TEA_1617!A1432),6),3)))</f>
        <v>125-901</v>
      </c>
      <c r="C1432" s="2266" t="s">
        <v>799</v>
      </c>
      <c r="D1432" s="2266">
        <v>6</v>
      </c>
      <c r="E1432" s="2266">
        <v>1549</v>
      </c>
      <c r="F1432" s="2266" t="s">
        <v>5757</v>
      </c>
      <c r="G1432" s="2266" t="s">
        <v>5757</v>
      </c>
      <c r="H1432" s="2266">
        <v>1226843</v>
      </c>
      <c r="I1432" s="2266">
        <v>0</v>
      </c>
      <c r="J1432" s="2266">
        <v>0</v>
      </c>
      <c r="K1432" s="2266">
        <v>0</v>
      </c>
      <c r="L1432" s="2266">
        <v>0</v>
      </c>
      <c r="M1432" s="2266">
        <v>599</v>
      </c>
    </row>
    <row r="1433" spans="1:13" ht="15">
      <c r="A1433" s="2266" t="s">
        <v>4227</v>
      </c>
      <c r="B1433" s="2465" t="str">
        <f>CONCATENATE(LEFT(RIGHT(CONCATENATE("000",IFAData_TEA_1617!A1433),6),3),"-",(RIGHT(RIGHT(CONCATENATE("000",IFAData_TEA_1617!A1433),6),3)))</f>
        <v>125-902</v>
      </c>
      <c r="C1433" s="2266" t="s">
        <v>3080</v>
      </c>
      <c r="D1433" s="2266">
        <v>4</v>
      </c>
      <c r="E1433" s="2266">
        <v>1607</v>
      </c>
      <c r="F1433" s="2266" t="s">
        <v>5760</v>
      </c>
      <c r="G1433" s="2266" t="s">
        <v>5761</v>
      </c>
      <c r="H1433" s="2266">
        <v>148749</v>
      </c>
      <c r="I1433" s="2266">
        <v>141989</v>
      </c>
      <c r="J1433" s="2266">
        <v>1</v>
      </c>
      <c r="K1433" s="2266">
        <v>148749</v>
      </c>
      <c r="L1433" s="2266">
        <v>141989</v>
      </c>
      <c r="M1433" s="2266">
        <v>599</v>
      </c>
    </row>
    <row r="1434" spans="1:13" ht="15">
      <c r="A1434" s="2266" t="s">
        <v>4227</v>
      </c>
      <c r="B1434" s="2465" t="str">
        <f>CONCATENATE(LEFT(RIGHT(CONCATENATE("000",IFAData_TEA_1617!A1434),6),3),"-",(RIGHT(RIGHT(CONCATENATE("000",IFAData_TEA_1617!A1434),6),3)))</f>
        <v>125-902</v>
      </c>
      <c r="C1434" s="2266" t="s">
        <v>3080</v>
      </c>
      <c r="D1434" s="2266">
        <v>6</v>
      </c>
      <c r="E1434" s="2266">
        <v>1605</v>
      </c>
      <c r="F1434" s="2266" t="s">
        <v>5762</v>
      </c>
      <c r="G1434" s="2266" t="s">
        <v>5763</v>
      </c>
      <c r="H1434" s="2266">
        <v>134002</v>
      </c>
      <c r="I1434" s="2266">
        <v>129838</v>
      </c>
      <c r="J1434" s="2266">
        <v>1</v>
      </c>
      <c r="K1434" s="2266">
        <v>134002</v>
      </c>
      <c r="L1434" s="2266">
        <v>129838</v>
      </c>
      <c r="M1434" s="2266">
        <v>599</v>
      </c>
    </row>
    <row r="1435" spans="1:13" ht="15">
      <c r="A1435" s="2266" t="s">
        <v>4227</v>
      </c>
      <c r="B1435" s="2465" t="str">
        <f>CONCATENATE(LEFT(RIGHT(CONCATENATE("000",IFAData_TEA_1617!A1435),6),3),"-",(RIGHT(RIGHT(CONCATENATE("000",IFAData_TEA_1617!A1435),6),3)))</f>
        <v>125-902</v>
      </c>
      <c r="C1435" s="2266" t="s">
        <v>3080</v>
      </c>
      <c r="D1435" s="2266">
        <v>4</v>
      </c>
      <c r="E1435" s="2266">
        <v>1607</v>
      </c>
      <c r="F1435" s="2266" t="s">
        <v>5760</v>
      </c>
      <c r="G1435" s="2266" t="s">
        <v>5760</v>
      </c>
      <c r="H1435" s="2266">
        <v>148749</v>
      </c>
      <c r="I1435" s="2266">
        <v>0</v>
      </c>
      <c r="J1435" s="2266">
        <v>0</v>
      </c>
      <c r="K1435" s="2266">
        <v>0</v>
      </c>
      <c r="L1435" s="2266">
        <v>0</v>
      </c>
      <c r="M1435" s="2266">
        <v>599</v>
      </c>
    </row>
    <row r="1436" spans="1:13" ht="15">
      <c r="A1436" s="2266" t="s">
        <v>4227</v>
      </c>
      <c r="B1436" s="2465" t="str">
        <f>CONCATENATE(LEFT(RIGHT(CONCATENATE("000",IFAData_TEA_1617!A1436),6),3),"-",(RIGHT(RIGHT(CONCATENATE("000",IFAData_TEA_1617!A1436),6),3)))</f>
        <v>125-902</v>
      </c>
      <c r="C1436" s="2266" t="s">
        <v>3080</v>
      </c>
      <c r="D1436" s="2266">
        <v>10</v>
      </c>
      <c r="E1436" s="2266">
        <v>1606</v>
      </c>
      <c r="F1436" s="2266" t="s">
        <v>5764</v>
      </c>
      <c r="G1436" s="2266" t="s">
        <v>5764</v>
      </c>
      <c r="H1436" s="2266">
        <v>142643</v>
      </c>
      <c r="I1436" s="2266">
        <v>160075</v>
      </c>
      <c r="J1436" s="2266">
        <v>1</v>
      </c>
      <c r="K1436" s="2266">
        <v>142643</v>
      </c>
      <c r="L1436" s="2266">
        <v>142643</v>
      </c>
      <c r="M1436" s="2266">
        <v>599</v>
      </c>
    </row>
    <row r="1437" spans="1:13" ht="15">
      <c r="A1437" s="2266" t="s">
        <v>4227</v>
      </c>
      <c r="B1437" s="2465" t="str">
        <f>CONCATENATE(LEFT(RIGHT(CONCATENATE("000",IFAData_TEA_1617!A1437),6),3),"-",(RIGHT(RIGHT(CONCATENATE("000",IFAData_TEA_1617!A1437),6),3)))</f>
        <v>125-902</v>
      </c>
      <c r="C1437" s="2266" t="s">
        <v>3080</v>
      </c>
      <c r="D1437" s="2266">
        <v>6</v>
      </c>
      <c r="E1437" s="2266">
        <v>1605</v>
      </c>
      <c r="F1437" s="2266" t="s">
        <v>5762</v>
      </c>
      <c r="G1437" s="2266" t="s">
        <v>5762</v>
      </c>
      <c r="H1437" s="2266">
        <v>134002</v>
      </c>
      <c r="I1437" s="2266">
        <v>0</v>
      </c>
      <c r="J1437" s="2266">
        <v>0</v>
      </c>
      <c r="K1437" s="2266">
        <v>0</v>
      </c>
      <c r="L1437" s="2266">
        <v>0</v>
      </c>
      <c r="M1437" s="2266">
        <v>599</v>
      </c>
    </row>
    <row r="1438" spans="1:13" ht="15">
      <c r="A1438" s="2266" t="s">
        <v>4228</v>
      </c>
      <c r="B1438" s="2465" t="str">
        <f>CONCATENATE(LEFT(RIGHT(CONCATENATE("000",IFAData_TEA_1617!A1438),6),3),"-",(RIGHT(RIGHT(CONCATENATE("000",IFAData_TEA_1617!A1438),6),3)))</f>
        <v>125-903</v>
      </c>
      <c r="C1438" s="2266" t="s">
        <v>1151</v>
      </c>
      <c r="D1438" s="2266">
        <v>2</v>
      </c>
      <c r="E1438" s="2266">
        <v>2163</v>
      </c>
      <c r="F1438" s="2266" t="s">
        <v>5765</v>
      </c>
      <c r="G1438" s="2266" t="s">
        <v>5765</v>
      </c>
      <c r="H1438" s="2266">
        <v>340500</v>
      </c>
      <c r="I1438" s="2266">
        <v>0</v>
      </c>
      <c r="J1438" s="2266">
        <v>0</v>
      </c>
      <c r="K1438" s="2266">
        <v>0</v>
      </c>
      <c r="L1438" s="2266">
        <v>0</v>
      </c>
      <c r="M1438" s="2266">
        <v>599</v>
      </c>
    </row>
    <row r="1439" spans="1:13" ht="15">
      <c r="A1439" s="2266" t="s">
        <v>4228</v>
      </c>
      <c r="B1439" s="2465" t="str">
        <f>CONCATENATE(LEFT(RIGHT(CONCATENATE("000",IFAData_TEA_1617!A1439),6),3),"-",(RIGHT(RIGHT(CONCATENATE("000",IFAData_TEA_1617!A1439),6),3)))</f>
        <v>125-903</v>
      </c>
      <c r="C1439" s="2266" t="s">
        <v>1151</v>
      </c>
      <c r="D1439" s="2266">
        <v>6</v>
      </c>
      <c r="E1439" s="2266">
        <v>2162</v>
      </c>
      <c r="F1439" s="2266" t="s">
        <v>5767</v>
      </c>
      <c r="G1439" s="2266" t="s">
        <v>5766</v>
      </c>
      <c r="H1439" s="2266">
        <v>318941</v>
      </c>
      <c r="I1439" s="2266">
        <v>341350</v>
      </c>
      <c r="J1439" s="2266">
        <v>1</v>
      </c>
      <c r="K1439" s="2266">
        <v>318941</v>
      </c>
      <c r="L1439" s="2266">
        <v>318941</v>
      </c>
      <c r="M1439" s="2266">
        <v>599</v>
      </c>
    </row>
    <row r="1440" spans="1:13" ht="15">
      <c r="A1440" s="2266" t="s">
        <v>4228</v>
      </c>
      <c r="B1440" s="2465" t="str">
        <f>CONCATENATE(LEFT(RIGHT(CONCATENATE("000",IFAData_TEA_1617!A1440),6),3),"-",(RIGHT(RIGHT(CONCATENATE("000",IFAData_TEA_1617!A1440),6),3)))</f>
        <v>125-903</v>
      </c>
      <c r="C1440" s="2266" t="s">
        <v>1151</v>
      </c>
      <c r="D1440" s="2266">
        <v>2</v>
      </c>
      <c r="E1440" s="2266">
        <v>2163</v>
      </c>
      <c r="F1440" s="2266" t="s">
        <v>5765</v>
      </c>
      <c r="G1440" s="2266" t="s">
        <v>5766</v>
      </c>
      <c r="H1440" s="2266">
        <v>340500</v>
      </c>
      <c r="I1440" s="2266">
        <v>411751</v>
      </c>
      <c r="J1440" s="2266">
        <v>1</v>
      </c>
      <c r="K1440" s="2266">
        <v>340500</v>
      </c>
      <c r="L1440" s="2266">
        <v>340500</v>
      </c>
      <c r="M1440" s="2266">
        <v>599</v>
      </c>
    </row>
    <row r="1441" spans="1:13" ht="15">
      <c r="A1441" s="2266" t="s">
        <v>4228</v>
      </c>
      <c r="B1441" s="2465" t="str">
        <f>CONCATENATE(LEFT(RIGHT(CONCATENATE("000",IFAData_TEA_1617!A1441),6),3),"-",(RIGHT(RIGHT(CONCATENATE("000",IFAData_TEA_1617!A1441),6),3)))</f>
        <v>125-903</v>
      </c>
      <c r="C1441" s="2266" t="s">
        <v>1151</v>
      </c>
      <c r="D1441" s="2266">
        <v>9</v>
      </c>
      <c r="E1441" s="2266">
        <v>2164</v>
      </c>
      <c r="F1441" s="2266" t="s">
        <v>5768</v>
      </c>
      <c r="G1441" s="2266" t="s">
        <v>5768</v>
      </c>
      <c r="H1441" s="2266">
        <v>408114</v>
      </c>
      <c r="I1441" s="2266">
        <v>167600</v>
      </c>
      <c r="J1441" s="2266">
        <v>0.43498572540877239</v>
      </c>
      <c r="K1441" s="2266">
        <v>177523.76433947575</v>
      </c>
      <c r="L1441" s="2266">
        <v>167600</v>
      </c>
      <c r="M1441" s="2266">
        <v>599</v>
      </c>
    </row>
    <row r="1442" spans="1:13" ht="15">
      <c r="A1442" s="2266" t="s">
        <v>4228</v>
      </c>
      <c r="B1442" s="2465" t="str">
        <f>CONCATENATE(LEFT(RIGHT(CONCATENATE("000",IFAData_TEA_1617!A1442),6),3),"-",(RIGHT(RIGHT(CONCATENATE("000",IFAData_TEA_1617!A1442),6),3)))</f>
        <v>125-903</v>
      </c>
      <c r="C1442" s="2266" t="s">
        <v>1151</v>
      </c>
      <c r="D1442" s="2266">
        <v>6</v>
      </c>
      <c r="E1442" s="2266">
        <v>2162</v>
      </c>
      <c r="F1442" s="2266" t="s">
        <v>5767</v>
      </c>
      <c r="G1442" s="2266" t="s">
        <v>5767</v>
      </c>
      <c r="H1442" s="2266">
        <v>318941</v>
      </c>
      <c r="I1442" s="2266">
        <v>0</v>
      </c>
      <c r="J1442" s="2266">
        <v>0</v>
      </c>
      <c r="K1442" s="2266">
        <v>0</v>
      </c>
      <c r="L1442" s="2266">
        <v>0</v>
      </c>
      <c r="M1442" s="2266">
        <v>599</v>
      </c>
    </row>
    <row r="1443" spans="1:13" ht="15">
      <c r="A1443" s="2266" t="s">
        <v>4228</v>
      </c>
      <c r="B1443" s="2465" t="str">
        <f>CONCATENATE(LEFT(RIGHT(CONCATENATE("000",IFAData_TEA_1617!A1443),6),3),"-",(RIGHT(RIGHT(CONCATENATE("000",IFAData_TEA_1617!A1443),6),3)))</f>
        <v>125-903</v>
      </c>
      <c r="C1443" s="2266" t="s">
        <v>1151</v>
      </c>
      <c r="D1443" s="2266">
        <v>9</v>
      </c>
      <c r="E1443" s="2266">
        <v>2164</v>
      </c>
      <c r="F1443" s="2266" t="s">
        <v>5768</v>
      </c>
      <c r="G1443" s="2266" t="s">
        <v>7005</v>
      </c>
      <c r="H1443" s="2266">
        <v>408114</v>
      </c>
      <c r="I1443" s="2266">
        <v>217700</v>
      </c>
      <c r="J1443" s="2266">
        <v>0.56501427459122766</v>
      </c>
      <c r="K1443" s="2266">
        <v>230590.23566052428</v>
      </c>
      <c r="L1443" s="2266">
        <v>217700</v>
      </c>
      <c r="M1443" s="2266">
        <v>599</v>
      </c>
    </row>
    <row r="1444" spans="1:13" ht="15">
      <c r="A1444" s="2266" t="s">
        <v>4229</v>
      </c>
      <c r="B1444" s="2465" t="str">
        <f>CONCATENATE(LEFT(RIGHT(CONCATENATE("000",IFAData_TEA_1617!A1444),6),3),"-",(RIGHT(RIGHT(CONCATENATE("000",IFAData_TEA_1617!A1444),6),3)))</f>
        <v>125-905</v>
      </c>
      <c r="C1444" s="2266" t="s">
        <v>2412</v>
      </c>
      <c r="D1444" s="2266">
        <v>3</v>
      </c>
      <c r="E1444" s="2266">
        <v>2209</v>
      </c>
      <c r="F1444" s="2266" t="s">
        <v>5769</v>
      </c>
      <c r="G1444" s="2266" t="s">
        <v>5770</v>
      </c>
      <c r="H1444" s="2266">
        <v>228901</v>
      </c>
      <c r="I1444" s="2266">
        <v>233776</v>
      </c>
      <c r="J1444" s="2266">
        <v>1</v>
      </c>
      <c r="K1444" s="2266">
        <v>228901</v>
      </c>
      <c r="L1444" s="2266">
        <v>228901</v>
      </c>
      <c r="M1444" s="2266">
        <v>599</v>
      </c>
    </row>
    <row r="1445" spans="1:13" ht="15">
      <c r="A1445" s="2266" t="s">
        <v>4229</v>
      </c>
      <c r="B1445" s="2465" t="str">
        <f>CONCATENATE(LEFT(RIGHT(CONCATENATE("000",IFAData_TEA_1617!A1445),6),3),"-",(RIGHT(RIGHT(CONCATENATE("000",IFAData_TEA_1617!A1445),6),3)))</f>
        <v>125-905</v>
      </c>
      <c r="C1445" s="2266" t="s">
        <v>2412</v>
      </c>
      <c r="D1445" s="2266">
        <v>3</v>
      </c>
      <c r="E1445" s="2266">
        <v>2209</v>
      </c>
      <c r="F1445" s="2266" t="s">
        <v>5769</v>
      </c>
      <c r="G1445" s="2266" t="s">
        <v>5769</v>
      </c>
      <c r="H1445" s="2266">
        <v>228901</v>
      </c>
      <c r="I1445" s="2266">
        <v>0</v>
      </c>
      <c r="J1445" s="2266">
        <v>0</v>
      </c>
      <c r="K1445" s="2266">
        <v>0</v>
      </c>
      <c r="L1445" s="2266">
        <v>0</v>
      </c>
      <c r="M1445" s="2266">
        <v>599</v>
      </c>
    </row>
    <row r="1446" spans="1:13" ht="15">
      <c r="A1446" s="2266" t="s">
        <v>4230</v>
      </c>
      <c r="B1446" s="2465" t="str">
        <f>CONCATENATE(LEFT(RIGHT(CONCATENATE("000",IFAData_TEA_1617!A1446),6),3),"-",(RIGHT(RIGHT(CONCATENATE("000",IFAData_TEA_1617!A1446),6),3)))</f>
        <v>126-901</v>
      </c>
      <c r="C1446" s="2266" t="s">
        <v>1201</v>
      </c>
      <c r="D1446" s="2266">
        <v>9</v>
      </c>
      <c r="E1446" s="2266">
        <v>1563</v>
      </c>
      <c r="F1446" s="2266" t="s">
        <v>5777</v>
      </c>
      <c r="G1446" s="2266" t="s">
        <v>7006</v>
      </c>
      <c r="H1446" s="2266">
        <v>760564</v>
      </c>
      <c r="I1446" s="2266">
        <v>284404</v>
      </c>
      <c r="J1446" s="2266">
        <v>0.20529011618506457</v>
      </c>
      <c r="K1446" s="2266">
        <v>156136.27192617746</v>
      </c>
      <c r="L1446" s="2266">
        <v>156136.27192617746</v>
      </c>
      <c r="M1446" s="2266">
        <v>599</v>
      </c>
    </row>
    <row r="1447" spans="1:13" ht="15">
      <c r="A1447" s="2266" t="s">
        <v>4230</v>
      </c>
      <c r="B1447" s="2465" t="str">
        <f>CONCATENATE(LEFT(RIGHT(CONCATENATE("000",IFAData_TEA_1617!A1447),6),3),"-",(RIGHT(RIGHT(CONCATENATE("000",IFAData_TEA_1617!A1447),6),3)))</f>
        <v>126-901</v>
      </c>
      <c r="C1447" s="2266" t="s">
        <v>1201</v>
      </c>
      <c r="D1447" s="2266">
        <v>3</v>
      </c>
      <c r="E1447" s="2266">
        <v>1561</v>
      </c>
      <c r="F1447" s="2266" t="s">
        <v>5773</v>
      </c>
      <c r="G1447" s="2266" t="s">
        <v>5773</v>
      </c>
      <c r="H1447" s="2266">
        <v>87080</v>
      </c>
      <c r="I1447" s="2266">
        <v>0</v>
      </c>
      <c r="J1447" s="2266">
        <v>0</v>
      </c>
      <c r="K1447" s="2266"/>
      <c r="L1447" s="2266">
        <v>0</v>
      </c>
      <c r="M1447" s="2266">
        <v>599</v>
      </c>
    </row>
    <row r="1448" spans="1:13" ht="15">
      <c r="A1448" s="2266" t="s">
        <v>4230</v>
      </c>
      <c r="B1448" s="2465" t="str">
        <f>CONCATENATE(LEFT(RIGHT(CONCATENATE("000",IFAData_TEA_1617!A1448),6),3),"-",(RIGHT(RIGHT(CONCATENATE("000",IFAData_TEA_1617!A1448),6),3)))</f>
        <v>126-901</v>
      </c>
      <c r="C1448" s="2266" t="s">
        <v>1201</v>
      </c>
      <c r="D1448" s="2266">
        <v>9</v>
      </c>
      <c r="E1448" s="2266">
        <v>1563</v>
      </c>
      <c r="F1448" s="2266" t="s">
        <v>5777</v>
      </c>
      <c r="G1448" s="2266" t="s">
        <v>5777</v>
      </c>
      <c r="H1448" s="2266">
        <v>760564</v>
      </c>
      <c r="I1448" s="2266">
        <v>843096</v>
      </c>
      <c r="J1448" s="2266">
        <v>0.60856835978102697</v>
      </c>
      <c r="K1448" s="2266">
        <v>462855.18598849699</v>
      </c>
      <c r="L1448" s="2266">
        <v>462855.18598849699</v>
      </c>
      <c r="M1448" s="2266">
        <v>599</v>
      </c>
    </row>
    <row r="1449" spans="1:13" ht="15">
      <c r="A1449" s="2266" t="s">
        <v>4230</v>
      </c>
      <c r="B1449" s="2465" t="str">
        <f>CONCATENATE(LEFT(RIGHT(CONCATENATE("000",IFAData_TEA_1617!A1449),6),3),"-",(RIGHT(RIGHT(CONCATENATE("000",IFAData_TEA_1617!A1449),6),3)))</f>
        <v>126-901</v>
      </c>
      <c r="C1449" s="2266" t="s">
        <v>1201</v>
      </c>
      <c r="D1449" s="2266">
        <v>3</v>
      </c>
      <c r="E1449" s="2266">
        <v>1562</v>
      </c>
      <c r="F1449" s="2266" t="s">
        <v>5771</v>
      </c>
      <c r="G1449" s="2266" t="s">
        <v>5771</v>
      </c>
      <c r="H1449" s="2266">
        <v>590835</v>
      </c>
      <c r="I1449" s="2266">
        <v>0</v>
      </c>
      <c r="J1449" s="2266">
        <v>0</v>
      </c>
      <c r="K1449" s="2266">
        <v>0</v>
      </c>
      <c r="L1449" s="2266">
        <v>0</v>
      </c>
      <c r="M1449" s="2266">
        <v>599</v>
      </c>
    </row>
    <row r="1450" spans="1:13" ht="15">
      <c r="A1450" s="2266" t="s">
        <v>4230</v>
      </c>
      <c r="B1450" s="2465" t="str">
        <f>CONCATENATE(LEFT(RIGHT(CONCATENATE("000",IFAData_TEA_1617!A1450),6),3),"-",(RIGHT(RIGHT(CONCATENATE("000",IFAData_TEA_1617!A1450),6),3)))</f>
        <v>126-901</v>
      </c>
      <c r="C1450" s="2266" t="s">
        <v>1201</v>
      </c>
      <c r="D1450" s="2266">
        <v>9</v>
      </c>
      <c r="E1450" s="2266">
        <v>1563</v>
      </c>
      <c r="F1450" s="2266" t="s">
        <v>5777</v>
      </c>
      <c r="G1450" s="2266" t="s">
        <v>7224</v>
      </c>
      <c r="H1450" s="2266">
        <v>760564</v>
      </c>
      <c r="I1450" s="2266">
        <v>257876</v>
      </c>
      <c r="J1450" s="2266">
        <v>0.18614152403390849</v>
      </c>
      <c r="K1450" s="2266">
        <v>141572.54208532558</v>
      </c>
      <c r="L1450" s="2266">
        <v>141572.54208532558</v>
      </c>
      <c r="M1450" s="2266">
        <v>599</v>
      </c>
    </row>
    <row r="1451" spans="1:13" ht="15">
      <c r="A1451" s="2266" t="s">
        <v>4230</v>
      </c>
      <c r="B1451" s="2465" t="str">
        <f>CONCATENATE(LEFT(RIGHT(CONCATENATE("000",IFAData_TEA_1617!A1451),6),3),"-",(RIGHT(RIGHT(CONCATENATE("000",IFAData_TEA_1617!A1451),6),3)))</f>
        <v>126-901</v>
      </c>
      <c r="C1451" s="2266" t="s">
        <v>1201</v>
      </c>
      <c r="D1451" s="2266">
        <v>3</v>
      </c>
      <c r="E1451" s="2266">
        <v>1562</v>
      </c>
      <c r="F1451" s="2266" t="s">
        <v>5771</v>
      </c>
      <c r="G1451" s="2266" t="s">
        <v>5772</v>
      </c>
      <c r="H1451" s="2266">
        <v>590835</v>
      </c>
      <c r="I1451" s="2266">
        <v>496900</v>
      </c>
      <c r="J1451" s="2266">
        <v>1</v>
      </c>
      <c r="K1451" s="2266">
        <v>590835</v>
      </c>
      <c r="L1451" s="2266">
        <v>496900</v>
      </c>
      <c r="M1451" s="2266">
        <v>599</v>
      </c>
    </row>
    <row r="1452" spans="1:13" ht="15">
      <c r="A1452" s="2266" t="s">
        <v>4230</v>
      </c>
      <c r="B1452" s="2465" t="str">
        <f>CONCATENATE(LEFT(RIGHT(CONCATENATE("000",IFAData_TEA_1617!A1452),6),3),"-",(RIGHT(RIGHT(CONCATENATE("000",IFAData_TEA_1617!A1452),6),3)))</f>
        <v>126-901</v>
      </c>
      <c r="C1452" s="2266" t="s">
        <v>1201</v>
      </c>
      <c r="D1452" s="2266">
        <v>5</v>
      </c>
      <c r="E1452" s="2266">
        <v>1564</v>
      </c>
      <c r="F1452" s="2266" t="s">
        <v>5774</v>
      </c>
      <c r="G1452" s="2266" t="s">
        <v>5774</v>
      </c>
      <c r="H1452" s="2266">
        <v>793345</v>
      </c>
      <c r="I1452" s="2266">
        <v>0</v>
      </c>
      <c r="J1452" s="2266">
        <v>0</v>
      </c>
      <c r="K1452" s="2266">
        <v>0</v>
      </c>
      <c r="L1452" s="2266">
        <v>0</v>
      </c>
      <c r="M1452" s="2266">
        <v>599</v>
      </c>
    </row>
    <row r="1453" spans="1:13" ht="15">
      <c r="A1453" s="2266" t="s">
        <v>4230</v>
      </c>
      <c r="B1453" s="2465" t="str">
        <f>CONCATENATE(LEFT(RIGHT(CONCATENATE("000",IFAData_TEA_1617!A1453),6),3),"-",(RIGHT(RIGHT(CONCATENATE("000",IFAData_TEA_1617!A1453),6),3)))</f>
        <v>126-901</v>
      </c>
      <c r="C1453" s="2266" t="s">
        <v>1201</v>
      </c>
      <c r="D1453" s="2266">
        <v>5</v>
      </c>
      <c r="E1453" s="2266">
        <v>1564</v>
      </c>
      <c r="F1453" s="2266" t="s">
        <v>5774</v>
      </c>
      <c r="G1453" s="2266" t="s">
        <v>5776</v>
      </c>
      <c r="H1453" s="2266">
        <v>793345</v>
      </c>
      <c r="I1453" s="2266">
        <v>402123</v>
      </c>
      <c r="J1453" s="2266">
        <v>0.42912665288616791</v>
      </c>
      <c r="K1453" s="2266">
        <v>340445.48443397688</v>
      </c>
      <c r="L1453" s="2266">
        <v>340445.48443397688</v>
      </c>
      <c r="M1453" s="2266">
        <v>599</v>
      </c>
    </row>
    <row r="1454" spans="1:13" ht="15">
      <c r="A1454" s="2266" t="s">
        <v>4230</v>
      </c>
      <c r="B1454" s="2465" t="str">
        <f>CONCATENATE(LEFT(RIGHT(CONCATENATE("000",IFAData_TEA_1617!A1454),6),3),"-",(RIGHT(RIGHT(CONCATENATE("000",IFAData_TEA_1617!A1454),6),3)))</f>
        <v>126-901</v>
      </c>
      <c r="C1454" s="2266" t="s">
        <v>1201</v>
      </c>
      <c r="D1454" s="2266">
        <v>5</v>
      </c>
      <c r="E1454" s="2266">
        <v>1564</v>
      </c>
      <c r="F1454" s="2266" t="s">
        <v>5774</v>
      </c>
      <c r="G1454" s="2266" t="s">
        <v>5775</v>
      </c>
      <c r="H1454" s="2266">
        <v>793345</v>
      </c>
      <c r="I1454" s="2266">
        <v>534950</v>
      </c>
      <c r="J1454" s="2266">
        <v>0.57087334711383209</v>
      </c>
      <c r="K1454" s="2266">
        <v>452899.51556602312</v>
      </c>
      <c r="L1454" s="2266">
        <v>452899.51556602312</v>
      </c>
      <c r="M1454" s="2266">
        <v>599</v>
      </c>
    </row>
    <row r="1455" spans="1:13" ht="15">
      <c r="A1455" s="2266" t="s">
        <v>4231</v>
      </c>
      <c r="B1455" s="2465" t="str">
        <f>CONCATENATE(LEFT(RIGHT(CONCATENATE("000",IFAData_TEA_1617!A1455),6),3),"-",(RIGHT(RIGHT(CONCATENATE("000",IFAData_TEA_1617!A1455),6),3)))</f>
        <v>126-902</v>
      </c>
      <c r="C1455" s="2266" t="s">
        <v>1634</v>
      </c>
      <c r="D1455" s="2266">
        <v>1</v>
      </c>
      <c r="E1455" s="2266">
        <v>1653</v>
      </c>
      <c r="F1455" s="2266" t="s">
        <v>5778</v>
      </c>
      <c r="G1455" s="2266" t="s">
        <v>5778</v>
      </c>
      <c r="H1455" s="2266">
        <v>584119</v>
      </c>
      <c r="I1455" s="2266">
        <v>0</v>
      </c>
      <c r="J1455" s="2266">
        <v>0</v>
      </c>
      <c r="K1455" s="2266">
        <v>0</v>
      </c>
      <c r="L1455" s="2266">
        <v>0</v>
      </c>
      <c r="M1455" s="2266">
        <v>599</v>
      </c>
    </row>
    <row r="1456" spans="1:13" ht="15">
      <c r="A1456" s="2266" t="s">
        <v>4231</v>
      </c>
      <c r="B1456" s="2465" t="str">
        <f>CONCATENATE(LEFT(RIGHT(CONCATENATE("000",IFAData_TEA_1617!A1456),6),3),"-",(RIGHT(RIGHT(CONCATENATE("000",IFAData_TEA_1617!A1456),6),3)))</f>
        <v>126-902</v>
      </c>
      <c r="C1456" s="2266" t="s">
        <v>1634</v>
      </c>
      <c r="D1456" s="2266">
        <v>1</v>
      </c>
      <c r="E1456" s="2266">
        <v>1653</v>
      </c>
      <c r="F1456" s="2266" t="s">
        <v>5778</v>
      </c>
      <c r="G1456" s="2266" t="s">
        <v>5779</v>
      </c>
      <c r="H1456" s="2266">
        <v>584119</v>
      </c>
      <c r="I1456" s="2266">
        <v>312223</v>
      </c>
      <c r="J1456" s="2266">
        <v>1</v>
      </c>
      <c r="K1456" s="2266">
        <v>584119</v>
      </c>
      <c r="L1456" s="2266">
        <v>312223</v>
      </c>
      <c r="M1456" s="2266">
        <v>599</v>
      </c>
    </row>
    <row r="1457" spans="1:13" ht="15">
      <c r="A1457" s="2266" t="s">
        <v>4231</v>
      </c>
      <c r="B1457" s="2465" t="str">
        <f>CONCATENATE(LEFT(RIGHT(CONCATENATE("000",IFAData_TEA_1617!A1457),6),3),"-",(RIGHT(RIGHT(CONCATENATE("000",IFAData_TEA_1617!A1457),6),3)))</f>
        <v>126-902</v>
      </c>
      <c r="C1457" s="2266" t="s">
        <v>1634</v>
      </c>
      <c r="D1457" s="2266">
        <v>9</v>
      </c>
      <c r="E1457" s="2266">
        <v>1654</v>
      </c>
      <c r="F1457" s="2266" t="s">
        <v>5780</v>
      </c>
      <c r="G1457" s="2266" t="s">
        <v>5780</v>
      </c>
      <c r="H1457" s="2266">
        <v>2156750</v>
      </c>
      <c r="I1457" s="2266">
        <v>188144</v>
      </c>
      <c r="J1457" s="2266">
        <v>5.4650907106180674E-2</v>
      </c>
      <c r="K1457" s="2266">
        <v>117868.34390125517</v>
      </c>
      <c r="L1457" s="2266">
        <v>117868.34390125517</v>
      </c>
      <c r="M1457" s="2266">
        <v>599</v>
      </c>
    </row>
    <row r="1458" spans="1:13" ht="15">
      <c r="A1458" s="2266" t="s">
        <v>4231</v>
      </c>
      <c r="B1458" s="2465" t="str">
        <f>CONCATENATE(LEFT(RIGHT(CONCATENATE("000",IFAData_TEA_1617!A1458),6),3),"-",(RIGHT(RIGHT(CONCATENATE("000",IFAData_TEA_1617!A1458),6),3)))</f>
        <v>126-902</v>
      </c>
      <c r="C1458" s="2266" t="s">
        <v>1634</v>
      </c>
      <c r="D1458" s="2266">
        <v>9</v>
      </c>
      <c r="E1458" s="2266">
        <v>1654</v>
      </c>
      <c r="F1458" s="2266" t="s">
        <v>5780</v>
      </c>
      <c r="G1458" s="2266" t="s">
        <v>7225</v>
      </c>
      <c r="H1458" s="2266">
        <v>2156750</v>
      </c>
      <c r="I1458" s="2266">
        <v>3254507</v>
      </c>
      <c r="J1458" s="2266">
        <v>0.9453490928938193</v>
      </c>
      <c r="K1458" s="2266">
        <v>2038881.6560987448</v>
      </c>
      <c r="L1458" s="2266">
        <v>2038881.6560987448</v>
      </c>
      <c r="M1458" s="2266">
        <v>599</v>
      </c>
    </row>
    <row r="1459" spans="1:13" ht="15">
      <c r="A1459" s="2266" t="s">
        <v>5781</v>
      </c>
      <c r="B1459" s="2465" t="str">
        <f>CONCATENATE(LEFT(RIGHT(CONCATENATE("000",IFAData_TEA_1617!A1459),6),3),"-",(RIGHT(RIGHT(CONCATENATE("000",IFAData_TEA_1617!A1459),6),3)))</f>
        <v>126-904</v>
      </c>
      <c r="C1459" s="2266" t="s">
        <v>977</v>
      </c>
      <c r="D1459" s="2266">
        <v>6</v>
      </c>
      <c r="E1459" s="2266">
        <v>1858</v>
      </c>
      <c r="F1459" s="2266" t="s">
        <v>5782</v>
      </c>
      <c r="G1459" s="2266" t="s">
        <v>5782</v>
      </c>
      <c r="H1459" s="2266">
        <v>262527</v>
      </c>
      <c r="I1459" s="2266">
        <v>0</v>
      </c>
      <c r="J1459" s="2266">
        <v>0</v>
      </c>
      <c r="K1459" s="2266"/>
      <c r="L1459" s="2266">
        <v>0</v>
      </c>
      <c r="M1459" s="2266">
        <v>199</v>
      </c>
    </row>
    <row r="1460" spans="1:13" ht="15">
      <c r="A1460" s="2266" t="s">
        <v>4232</v>
      </c>
      <c r="B1460" s="2465" t="str">
        <f>CONCATENATE(LEFT(RIGHT(CONCATENATE("000",IFAData_TEA_1617!A1460),6),3),"-",(RIGHT(RIGHT(CONCATENATE("000",IFAData_TEA_1617!A1460),6),3)))</f>
        <v>126-905</v>
      </c>
      <c r="C1460" s="2266" t="s">
        <v>447</v>
      </c>
      <c r="D1460" s="2266">
        <v>2</v>
      </c>
      <c r="E1460" s="2266">
        <v>1936</v>
      </c>
      <c r="F1460" s="2266" t="s">
        <v>5783</v>
      </c>
      <c r="G1460" s="2266" t="s">
        <v>5784</v>
      </c>
      <c r="H1460" s="2266">
        <v>787721</v>
      </c>
      <c r="I1460" s="2266">
        <v>760475</v>
      </c>
      <c r="J1460" s="2266">
        <v>1</v>
      </c>
      <c r="K1460" s="2266">
        <v>787721</v>
      </c>
      <c r="L1460" s="2266">
        <v>760475</v>
      </c>
      <c r="M1460" s="2266">
        <v>599</v>
      </c>
    </row>
    <row r="1461" spans="1:13" ht="15">
      <c r="A1461" s="2266" t="s">
        <v>4232</v>
      </c>
      <c r="B1461" s="2465" t="str">
        <f>CONCATENATE(LEFT(RIGHT(CONCATENATE("000",IFAData_TEA_1617!A1461),6),3),"-",(RIGHT(RIGHT(CONCATENATE("000",IFAData_TEA_1617!A1461),6),3)))</f>
        <v>126-905</v>
      </c>
      <c r="C1461" s="2266" t="s">
        <v>447</v>
      </c>
      <c r="D1461" s="2266">
        <v>2</v>
      </c>
      <c r="E1461" s="2266">
        <v>1936</v>
      </c>
      <c r="F1461" s="2266" t="s">
        <v>5783</v>
      </c>
      <c r="G1461" s="2266" t="s">
        <v>5783</v>
      </c>
      <c r="H1461" s="2266">
        <v>787721</v>
      </c>
      <c r="I1461" s="2266">
        <v>0</v>
      </c>
      <c r="J1461" s="2266">
        <v>0</v>
      </c>
      <c r="K1461" s="2266">
        <v>0</v>
      </c>
      <c r="L1461" s="2266">
        <v>0</v>
      </c>
      <c r="M1461" s="2266">
        <v>599</v>
      </c>
    </row>
    <row r="1462" spans="1:13" ht="15">
      <c r="A1462" s="2266" t="s">
        <v>4233</v>
      </c>
      <c r="B1462" s="2465" t="str">
        <f>CONCATENATE(LEFT(RIGHT(CONCATENATE("000",IFAData_TEA_1617!A1462),6),3),"-",(RIGHT(RIGHT(CONCATENATE("000",IFAData_TEA_1617!A1462),6),3)))</f>
        <v>126-906</v>
      </c>
      <c r="C1462" s="2266" t="s">
        <v>2314</v>
      </c>
      <c r="D1462" s="2266">
        <v>9</v>
      </c>
      <c r="E1462" s="2266">
        <v>1949</v>
      </c>
      <c r="F1462" s="2266" t="s">
        <v>5785</v>
      </c>
      <c r="G1462" s="2266" t="s">
        <v>5786</v>
      </c>
      <c r="H1462" s="2266">
        <v>196049</v>
      </c>
      <c r="I1462" s="2266">
        <v>841072</v>
      </c>
      <c r="J1462" s="2266">
        <v>1</v>
      </c>
      <c r="K1462" s="2266">
        <v>196049</v>
      </c>
      <c r="L1462" s="2266">
        <v>196049</v>
      </c>
      <c r="M1462" s="2266">
        <v>599</v>
      </c>
    </row>
    <row r="1463" spans="1:13" ht="15">
      <c r="A1463" s="2266" t="s">
        <v>4233</v>
      </c>
      <c r="B1463" s="2465" t="str">
        <f>CONCATENATE(LEFT(RIGHT(CONCATENATE("000",IFAData_TEA_1617!A1463),6),3),"-",(RIGHT(RIGHT(CONCATENATE("000",IFAData_TEA_1617!A1463),6),3)))</f>
        <v>126-906</v>
      </c>
      <c r="C1463" s="2266" t="s">
        <v>2314</v>
      </c>
      <c r="D1463" s="2266">
        <v>9</v>
      </c>
      <c r="E1463" s="2266">
        <v>1949</v>
      </c>
      <c r="F1463" s="2266" t="s">
        <v>5785</v>
      </c>
      <c r="G1463" s="2266" t="s">
        <v>5785</v>
      </c>
      <c r="H1463" s="2266">
        <v>196049</v>
      </c>
      <c r="I1463" s="2266">
        <v>0</v>
      </c>
      <c r="J1463" s="2266">
        <v>0</v>
      </c>
      <c r="K1463" s="2266">
        <v>0</v>
      </c>
      <c r="L1463" s="2266">
        <v>0</v>
      </c>
      <c r="M1463" s="2266">
        <v>599</v>
      </c>
    </row>
    <row r="1464" spans="1:13" ht="15">
      <c r="A1464" s="2266" t="s">
        <v>4234</v>
      </c>
      <c r="B1464" s="2465" t="str">
        <f>CONCATENATE(LEFT(RIGHT(CONCATENATE("000",IFAData_TEA_1617!A1464),6),3),"-",(RIGHT(RIGHT(CONCATENATE("000",IFAData_TEA_1617!A1464),6),3)))</f>
        <v>126-907</v>
      </c>
      <c r="C1464" s="2266" t="s">
        <v>3094</v>
      </c>
      <c r="D1464" s="2266">
        <v>4</v>
      </c>
      <c r="E1464" s="2266">
        <v>2248</v>
      </c>
      <c r="F1464" s="2266" t="s">
        <v>5787</v>
      </c>
      <c r="G1464" s="2266" t="s">
        <v>5788</v>
      </c>
      <c r="H1464" s="2266">
        <v>140320</v>
      </c>
      <c r="I1464" s="2266">
        <v>265447</v>
      </c>
      <c r="J1464" s="2266">
        <v>1</v>
      </c>
      <c r="K1464" s="2266">
        <v>140320</v>
      </c>
      <c r="L1464" s="2266">
        <v>140320</v>
      </c>
      <c r="M1464" s="2266">
        <v>599</v>
      </c>
    </row>
    <row r="1465" spans="1:13" ht="15">
      <c r="A1465" s="2266" t="s">
        <v>4234</v>
      </c>
      <c r="B1465" s="2465" t="str">
        <f>CONCATENATE(LEFT(RIGHT(CONCATENATE("000",IFAData_TEA_1617!A1465),6),3),"-",(RIGHT(RIGHT(CONCATENATE("000",IFAData_TEA_1617!A1465),6),3)))</f>
        <v>126-907</v>
      </c>
      <c r="C1465" s="2266" t="s">
        <v>3094</v>
      </c>
      <c r="D1465" s="2266">
        <v>4</v>
      </c>
      <c r="E1465" s="2266">
        <v>2248</v>
      </c>
      <c r="F1465" s="2266" t="s">
        <v>5787</v>
      </c>
      <c r="G1465" s="2266" t="s">
        <v>5787</v>
      </c>
      <c r="H1465" s="2266">
        <v>140320</v>
      </c>
      <c r="I1465" s="2266">
        <v>0</v>
      </c>
      <c r="J1465" s="2266">
        <v>0</v>
      </c>
      <c r="K1465" s="2266">
        <v>0</v>
      </c>
      <c r="L1465" s="2266">
        <v>0</v>
      </c>
      <c r="M1465" s="2266">
        <v>599</v>
      </c>
    </row>
    <row r="1466" spans="1:13" ht="15">
      <c r="A1466" s="2266" t="s">
        <v>4235</v>
      </c>
      <c r="B1466" s="2465" t="str">
        <f>CONCATENATE(LEFT(RIGHT(CONCATENATE("000",IFAData_TEA_1617!A1466),6),3),"-",(RIGHT(RIGHT(CONCATENATE("000",IFAData_TEA_1617!A1466),6),3)))</f>
        <v>126-908</v>
      </c>
      <c r="C1466" s="2266" t="s">
        <v>3040</v>
      </c>
      <c r="D1466" s="2266">
        <v>3</v>
      </c>
      <c r="E1466" s="2266">
        <v>2422</v>
      </c>
      <c r="F1466" s="2266" t="s">
        <v>5789</v>
      </c>
      <c r="G1466" s="2266" t="s">
        <v>5791</v>
      </c>
      <c r="H1466" s="2266">
        <v>198161</v>
      </c>
      <c r="I1466" s="2266">
        <v>154084</v>
      </c>
      <c r="J1466" s="2266">
        <v>0.37077480972055449</v>
      </c>
      <c r="K1466" s="2266">
        <v>73473.107069034799</v>
      </c>
      <c r="L1466" s="2266">
        <v>73473.107069034799</v>
      </c>
      <c r="M1466" s="2266">
        <v>599</v>
      </c>
    </row>
    <row r="1467" spans="1:13" ht="15">
      <c r="A1467" s="2266" t="s">
        <v>4235</v>
      </c>
      <c r="B1467" s="2465" t="str">
        <f>CONCATENATE(LEFT(RIGHT(CONCATENATE("000",IFAData_TEA_1617!A1467),6),3),"-",(RIGHT(RIGHT(CONCATENATE("000",IFAData_TEA_1617!A1467),6),3)))</f>
        <v>126-908</v>
      </c>
      <c r="C1467" s="2266" t="s">
        <v>3040</v>
      </c>
      <c r="D1467" s="2266">
        <v>3</v>
      </c>
      <c r="E1467" s="2266">
        <v>2423</v>
      </c>
      <c r="F1467" s="2266" t="s">
        <v>5793</v>
      </c>
      <c r="G1467" s="2266" t="s">
        <v>5791</v>
      </c>
      <c r="H1467" s="2266">
        <v>260380</v>
      </c>
      <c r="I1467" s="2266">
        <v>168708</v>
      </c>
      <c r="J1467" s="2266">
        <v>0.31020483212591476</v>
      </c>
      <c r="K1467" s="2266">
        <v>80771.134188945682</v>
      </c>
      <c r="L1467" s="2266">
        <v>80771.134188945682</v>
      </c>
      <c r="M1467" s="2266">
        <v>599</v>
      </c>
    </row>
    <row r="1468" spans="1:13" ht="15">
      <c r="A1468" s="2266" t="s">
        <v>4235</v>
      </c>
      <c r="B1468" s="2465" t="str">
        <f>CONCATENATE(LEFT(RIGHT(CONCATENATE("000",IFAData_TEA_1617!A1468),6),3),"-",(RIGHT(RIGHT(CONCATENATE("000",IFAData_TEA_1617!A1468),6),3)))</f>
        <v>126-908</v>
      </c>
      <c r="C1468" s="2266" t="s">
        <v>3040</v>
      </c>
      <c r="D1468" s="2266">
        <v>3</v>
      </c>
      <c r="E1468" s="2266">
        <v>2423</v>
      </c>
      <c r="F1468" s="2266" t="s">
        <v>5793</v>
      </c>
      <c r="G1468" s="2266" t="s">
        <v>7226</v>
      </c>
      <c r="H1468" s="2266">
        <v>260380</v>
      </c>
      <c r="I1468" s="2266">
        <v>264934</v>
      </c>
      <c r="J1468" s="2266">
        <v>0.48713639539587394</v>
      </c>
      <c r="K1468" s="2266">
        <v>126840.57463317766</v>
      </c>
      <c r="L1468" s="2266">
        <v>126840.57463317766</v>
      </c>
      <c r="M1468" s="2266">
        <v>599</v>
      </c>
    </row>
    <row r="1469" spans="1:13" ht="15">
      <c r="A1469" s="2266" t="s">
        <v>4235</v>
      </c>
      <c r="B1469" s="2465" t="str">
        <f>CONCATENATE(LEFT(RIGHT(CONCATENATE("000",IFAData_TEA_1617!A1469),6),3),"-",(RIGHT(RIGHT(CONCATENATE("000",IFAData_TEA_1617!A1469),6),3)))</f>
        <v>126-908</v>
      </c>
      <c r="C1469" s="2266" t="s">
        <v>3040</v>
      </c>
      <c r="D1469" s="2266">
        <v>3</v>
      </c>
      <c r="E1469" s="2266">
        <v>2422</v>
      </c>
      <c r="F1469" s="2266" t="s">
        <v>5789</v>
      </c>
      <c r="G1469" s="2266" t="s">
        <v>5790</v>
      </c>
      <c r="H1469" s="2266">
        <v>198161</v>
      </c>
      <c r="I1469" s="2266">
        <v>0</v>
      </c>
      <c r="J1469" s="2266">
        <v>0</v>
      </c>
      <c r="K1469" s="2266">
        <v>0</v>
      </c>
      <c r="L1469" s="2266">
        <v>0</v>
      </c>
      <c r="M1469" s="2266">
        <v>599</v>
      </c>
    </row>
    <row r="1470" spans="1:13" ht="15">
      <c r="A1470" s="2266" t="s">
        <v>4235</v>
      </c>
      <c r="B1470" s="2465" t="str">
        <f>CONCATENATE(LEFT(RIGHT(CONCATENATE("000",IFAData_TEA_1617!A1470),6),3),"-",(RIGHT(RIGHT(CONCATENATE("000",IFAData_TEA_1617!A1470),6),3)))</f>
        <v>126-908</v>
      </c>
      <c r="C1470" s="2266" t="s">
        <v>3040</v>
      </c>
      <c r="D1470" s="2266">
        <v>3</v>
      </c>
      <c r="E1470" s="2266">
        <v>2423</v>
      </c>
      <c r="F1470" s="2266" t="s">
        <v>5793</v>
      </c>
      <c r="G1470" s="2266" t="s">
        <v>5790</v>
      </c>
      <c r="H1470" s="2266">
        <v>260380</v>
      </c>
      <c r="I1470" s="2266">
        <v>98800</v>
      </c>
      <c r="J1470" s="2266">
        <v>0.18166439892619424</v>
      </c>
      <c r="K1470" s="2266">
        <v>47301.776192402453</v>
      </c>
      <c r="L1470" s="2266">
        <v>47301.776192402453</v>
      </c>
      <c r="M1470" s="2266">
        <v>599</v>
      </c>
    </row>
    <row r="1471" spans="1:13" ht="15">
      <c r="A1471" s="2266" t="s">
        <v>4235</v>
      </c>
      <c r="B1471" s="2465" t="str">
        <f>CONCATENATE(LEFT(RIGHT(CONCATENATE("000",IFAData_TEA_1617!A1471),6),3),"-",(RIGHT(RIGHT(CONCATENATE("000",IFAData_TEA_1617!A1471),6),3)))</f>
        <v>126-908</v>
      </c>
      <c r="C1471" s="2266" t="s">
        <v>3040</v>
      </c>
      <c r="D1471" s="2266">
        <v>8</v>
      </c>
      <c r="E1471" s="2266">
        <v>2424</v>
      </c>
      <c r="F1471" s="2266" t="s">
        <v>5790</v>
      </c>
      <c r="G1471" s="2266" t="s">
        <v>5790</v>
      </c>
      <c r="H1471" s="2266">
        <v>338505</v>
      </c>
      <c r="I1471" s="2266">
        <v>368845</v>
      </c>
      <c r="J1471" s="2266">
        <v>0.5398943177493486</v>
      </c>
      <c r="K1471" s="2266">
        <v>182756.92602974325</v>
      </c>
      <c r="L1471" s="2266">
        <v>182756.92602974325</v>
      </c>
      <c r="M1471" s="2266">
        <v>599</v>
      </c>
    </row>
    <row r="1472" spans="1:13" ht="15">
      <c r="A1472" s="2266" t="s">
        <v>4235</v>
      </c>
      <c r="B1472" s="2465" t="str">
        <f>CONCATENATE(LEFT(RIGHT(CONCATENATE("000",IFAData_TEA_1617!A1472),6),3),"-",(RIGHT(RIGHT(CONCATENATE("000",IFAData_TEA_1617!A1472),6),3)))</f>
        <v>126-908</v>
      </c>
      <c r="C1472" s="2266" t="s">
        <v>3040</v>
      </c>
      <c r="D1472" s="2266">
        <v>3</v>
      </c>
      <c r="E1472" s="2266">
        <v>2423</v>
      </c>
      <c r="F1472" s="2266" t="s">
        <v>5793</v>
      </c>
      <c r="G1472" s="2266" t="s">
        <v>5793</v>
      </c>
      <c r="H1472" s="2266">
        <v>260380</v>
      </c>
      <c r="I1472" s="2266">
        <v>0</v>
      </c>
      <c r="J1472" s="2266">
        <v>0</v>
      </c>
      <c r="K1472" s="2266">
        <v>0</v>
      </c>
      <c r="L1472" s="2266">
        <v>0</v>
      </c>
      <c r="M1472" s="2266">
        <v>599</v>
      </c>
    </row>
    <row r="1473" spans="1:13" ht="15">
      <c r="A1473" s="2266" t="s">
        <v>4235</v>
      </c>
      <c r="B1473" s="2465" t="str">
        <f>CONCATENATE(LEFT(RIGHT(CONCATENATE("000",IFAData_TEA_1617!A1473),6),3),"-",(RIGHT(RIGHT(CONCATENATE("000",IFAData_TEA_1617!A1473),6),3)))</f>
        <v>126-908</v>
      </c>
      <c r="C1473" s="2266" t="s">
        <v>3040</v>
      </c>
      <c r="D1473" s="2266">
        <v>3</v>
      </c>
      <c r="E1473" s="2266">
        <v>2422</v>
      </c>
      <c r="F1473" s="2266" t="s">
        <v>5789</v>
      </c>
      <c r="G1473" s="2266" t="s">
        <v>5792</v>
      </c>
      <c r="H1473" s="2266">
        <v>198161</v>
      </c>
      <c r="I1473" s="2266">
        <v>124842</v>
      </c>
      <c r="J1473" s="2266">
        <v>0.30040931436835405</v>
      </c>
      <c r="K1473" s="2266">
        <v>59529.410144547408</v>
      </c>
      <c r="L1473" s="2266">
        <v>59529.410144547408</v>
      </c>
      <c r="M1473" s="2266">
        <v>599</v>
      </c>
    </row>
    <row r="1474" spans="1:13" ht="15">
      <c r="A1474" s="2266" t="s">
        <v>4235</v>
      </c>
      <c r="B1474" s="2465" t="str">
        <f>CONCATENATE(LEFT(RIGHT(CONCATENATE("000",IFAData_TEA_1617!A1474),6),3),"-",(RIGHT(RIGHT(CONCATENATE("000",IFAData_TEA_1617!A1474),6),3)))</f>
        <v>126-908</v>
      </c>
      <c r="C1474" s="2266" t="s">
        <v>3040</v>
      </c>
      <c r="D1474" s="2266">
        <v>3</v>
      </c>
      <c r="E1474" s="2266">
        <v>2423</v>
      </c>
      <c r="F1474" s="2266" t="s">
        <v>5793</v>
      </c>
      <c r="G1474" s="2266" t="s">
        <v>5792</v>
      </c>
      <c r="H1474" s="2266">
        <v>260380</v>
      </c>
      <c r="I1474" s="2266">
        <v>11418</v>
      </c>
      <c r="J1474" s="2266">
        <v>2.0994373552017064E-2</v>
      </c>
      <c r="K1474" s="2266">
        <v>5466.5149854742031</v>
      </c>
      <c r="L1474" s="2266">
        <v>5466.5149854742031</v>
      </c>
      <c r="M1474" s="2266">
        <v>599</v>
      </c>
    </row>
    <row r="1475" spans="1:13" ht="15">
      <c r="A1475" s="2266" t="s">
        <v>4235</v>
      </c>
      <c r="B1475" s="2465" t="str">
        <f>CONCATENATE(LEFT(RIGHT(CONCATENATE("000",IFAData_TEA_1617!A1475),6),3),"-",(RIGHT(RIGHT(CONCATENATE("000",IFAData_TEA_1617!A1475),6),3)))</f>
        <v>126-908</v>
      </c>
      <c r="C1475" s="2266" t="s">
        <v>3040</v>
      </c>
      <c r="D1475" s="2266">
        <v>3</v>
      </c>
      <c r="E1475" s="2266">
        <v>2422</v>
      </c>
      <c r="F1475" s="2266" t="s">
        <v>5789</v>
      </c>
      <c r="G1475" s="2266" t="s">
        <v>5789</v>
      </c>
      <c r="H1475" s="2266">
        <v>198161</v>
      </c>
      <c r="I1475" s="2266">
        <v>0</v>
      </c>
      <c r="J1475" s="2266">
        <v>0</v>
      </c>
      <c r="K1475" s="2266">
        <v>0</v>
      </c>
      <c r="L1475" s="2266">
        <v>0</v>
      </c>
      <c r="M1475" s="2266">
        <v>599</v>
      </c>
    </row>
    <row r="1476" spans="1:13" ht="15">
      <c r="A1476" s="2266" t="s">
        <v>4235</v>
      </c>
      <c r="B1476" s="2465" t="str">
        <f>CONCATENATE(LEFT(RIGHT(CONCATENATE("000",IFAData_TEA_1617!A1476),6),3),"-",(RIGHT(RIGHT(CONCATENATE("000",IFAData_TEA_1617!A1476),6),3)))</f>
        <v>126-908</v>
      </c>
      <c r="C1476" s="2266" t="s">
        <v>3040</v>
      </c>
      <c r="D1476" s="2266">
        <v>3</v>
      </c>
      <c r="E1476" s="2266">
        <v>2422</v>
      </c>
      <c r="F1476" s="2266" t="s">
        <v>5789</v>
      </c>
      <c r="G1476" s="2266" t="s">
        <v>7226</v>
      </c>
      <c r="H1476" s="2266">
        <v>198161</v>
      </c>
      <c r="I1476" s="2266">
        <v>136647</v>
      </c>
      <c r="J1476" s="2266">
        <v>0.32881587591109146</v>
      </c>
      <c r="K1476" s="2266">
        <v>65158.482786417793</v>
      </c>
      <c r="L1476" s="2266">
        <v>65158.482786417793</v>
      </c>
      <c r="M1476" s="2266">
        <v>599</v>
      </c>
    </row>
    <row r="1477" spans="1:13" ht="15">
      <c r="A1477" s="2266" t="s">
        <v>4235</v>
      </c>
      <c r="B1477" s="2465" t="str">
        <f>CONCATENATE(LEFT(RIGHT(CONCATENATE("000",IFAData_TEA_1617!A1477),6),3),"-",(RIGHT(RIGHT(CONCATENATE("000",IFAData_TEA_1617!A1477),6),3)))</f>
        <v>126-908</v>
      </c>
      <c r="C1477" s="2266" t="s">
        <v>3040</v>
      </c>
      <c r="D1477" s="2266">
        <v>8</v>
      </c>
      <c r="E1477" s="2266">
        <v>2424</v>
      </c>
      <c r="F1477" s="2266" t="s">
        <v>5790</v>
      </c>
      <c r="G1477" s="2266" t="s">
        <v>7226</v>
      </c>
      <c r="H1477" s="2266">
        <v>338505</v>
      </c>
      <c r="I1477" s="2266">
        <v>314335</v>
      </c>
      <c r="J1477" s="2266">
        <v>0.46010568225065135</v>
      </c>
      <c r="K1477" s="2266">
        <v>155748.07397025672</v>
      </c>
      <c r="L1477" s="2266">
        <v>155748.07397025672</v>
      </c>
      <c r="M1477" s="2266">
        <v>599</v>
      </c>
    </row>
    <row r="1478" spans="1:13" ht="15">
      <c r="A1478" s="2266" t="s">
        <v>4236</v>
      </c>
      <c r="B1478" s="2465" t="str">
        <f>CONCATENATE(LEFT(RIGHT(CONCATENATE("000",IFAData_TEA_1617!A1478),6),3),"-",(RIGHT(RIGHT(CONCATENATE("000",IFAData_TEA_1617!A1478),6),3)))</f>
        <v>126-911</v>
      </c>
      <c r="C1478" s="2266" t="s">
        <v>2651</v>
      </c>
      <c r="D1478" s="2266">
        <v>1</v>
      </c>
      <c r="E1478" s="2266">
        <v>1847</v>
      </c>
      <c r="F1478" s="2266" t="s">
        <v>5794</v>
      </c>
      <c r="G1478" s="2266" t="s">
        <v>5795</v>
      </c>
      <c r="H1478" s="2266">
        <v>212707</v>
      </c>
      <c r="I1478" s="2266">
        <v>0</v>
      </c>
      <c r="J1478" s="2266">
        <v>0</v>
      </c>
      <c r="K1478" s="2266">
        <v>0</v>
      </c>
      <c r="L1478" s="2266">
        <v>0</v>
      </c>
      <c r="M1478" s="2266">
        <v>599</v>
      </c>
    </row>
    <row r="1479" spans="1:13" ht="15">
      <c r="A1479" s="2266" t="s">
        <v>4236</v>
      </c>
      <c r="B1479" s="2465" t="str">
        <f>CONCATENATE(LEFT(RIGHT(CONCATENATE("000",IFAData_TEA_1617!A1479),6),3),"-",(RIGHT(RIGHT(CONCATENATE("000",IFAData_TEA_1617!A1479),6),3)))</f>
        <v>126-911</v>
      </c>
      <c r="C1479" s="2266" t="s">
        <v>2651</v>
      </c>
      <c r="D1479" s="2266">
        <v>4</v>
      </c>
      <c r="E1479" s="2266">
        <v>1848</v>
      </c>
      <c r="F1479" s="2266" t="s">
        <v>5796</v>
      </c>
      <c r="G1479" s="2266" t="s">
        <v>5795</v>
      </c>
      <c r="H1479" s="2266">
        <v>279766</v>
      </c>
      <c r="I1479" s="2266">
        <v>0</v>
      </c>
      <c r="J1479" s="2266">
        <v>0</v>
      </c>
      <c r="K1479" s="2266">
        <v>0</v>
      </c>
      <c r="L1479" s="2266">
        <v>0</v>
      </c>
      <c r="M1479" s="2266">
        <v>599</v>
      </c>
    </row>
    <row r="1480" spans="1:13" ht="15">
      <c r="A1480" s="2266" t="s">
        <v>4236</v>
      </c>
      <c r="B1480" s="2465" t="str">
        <f>CONCATENATE(LEFT(RIGHT(CONCATENATE("000",IFAData_TEA_1617!A1480),6),3),"-",(RIGHT(RIGHT(CONCATENATE("000",IFAData_TEA_1617!A1480),6),3)))</f>
        <v>126-911</v>
      </c>
      <c r="C1480" s="2266" t="s">
        <v>2651</v>
      </c>
      <c r="D1480" s="2266">
        <v>1</v>
      </c>
      <c r="E1480" s="2266">
        <v>1847</v>
      </c>
      <c r="F1480" s="2266" t="s">
        <v>5794</v>
      </c>
      <c r="G1480" s="2266" t="s">
        <v>5794</v>
      </c>
      <c r="H1480" s="2266">
        <v>212707</v>
      </c>
      <c r="I1480" s="2266">
        <v>0</v>
      </c>
      <c r="J1480" s="2266">
        <v>0</v>
      </c>
      <c r="K1480" s="2266">
        <v>0</v>
      </c>
      <c r="L1480" s="2266">
        <v>0</v>
      </c>
      <c r="M1480" s="2266">
        <v>599</v>
      </c>
    </row>
    <row r="1481" spans="1:13" ht="15">
      <c r="A1481" s="2266" t="s">
        <v>4236</v>
      </c>
      <c r="B1481" s="2465" t="str">
        <f>CONCATENATE(LEFT(RIGHT(CONCATENATE("000",IFAData_TEA_1617!A1481),6),3),"-",(RIGHT(RIGHT(CONCATENATE("000",IFAData_TEA_1617!A1481),6),3)))</f>
        <v>126-911</v>
      </c>
      <c r="C1481" s="2266" t="s">
        <v>2651</v>
      </c>
      <c r="D1481" s="2266">
        <v>4</v>
      </c>
      <c r="E1481" s="2266">
        <v>1848</v>
      </c>
      <c r="F1481" s="2266" t="s">
        <v>5796</v>
      </c>
      <c r="G1481" s="2266" t="s">
        <v>5796</v>
      </c>
      <c r="H1481" s="2266">
        <v>279766</v>
      </c>
      <c r="I1481" s="2266">
        <v>0</v>
      </c>
      <c r="J1481" s="2266">
        <v>0</v>
      </c>
      <c r="K1481" s="2266">
        <v>0</v>
      </c>
      <c r="L1481" s="2266">
        <v>0</v>
      </c>
      <c r="M1481" s="2266">
        <v>599</v>
      </c>
    </row>
    <row r="1482" spans="1:13" ht="15">
      <c r="A1482" s="2266" t="s">
        <v>4236</v>
      </c>
      <c r="B1482" s="2465" t="str">
        <f>CONCATENATE(LEFT(RIGHT(CONCATENATE("000",IFAData_TEA_1617!A1482),6),3),"-",(RIGHT(RIGHT(CONCATENATE("000",IFAData_TEA_1617!A1482),6),3)))</f>
        <v>126-911</v>
      </c>
      <c r="C1482" s="2266" t="s">
        <v>2651</v>
      </c>
      <c r="D1482" s="2266">
        <v>1</v>
      </c>
      <c r="E1482" s="2266">
        <v>1847</v>
      </c>
      <c r="F1482" s="2266" t="s">
        <v>5794</v>
      </c>
      <c r="G1482" s="2266" t="s">
        <v>7007</v>
      </c>
      <c r="H1482" s="2266">
        <v>212707</v>
      </c>
      <c r="I1482" s="2266">
        <v>202807</v>
      </c>
      <c r="J1482" s="2266">
        <v>1</v>
      </c>
      <c r="K1482" s="2266">
        <v>212707</v>
      </c>
      <c r="L1482" s="2266">
        <v>202807</v>
      </c>
      <c r="M1482" s="2266">
        <v>599</v>
      </c>
    </row>
    <row r="1483" spans="1:13" ht="15">
      <c r="A1483" s="2266" t="s">
        <v>4236</v>
      </c>
      <c r="B1483" s="2465" t="str">
        <f>CONCATENATE(LEFT(RIGHT(CONCATENATE("000",IFAData_TEA_1617!A1483),6),3),"-",(RIGHT(RIGHT(CONCATENATE("000",IFAData_TEA_1617!A1483),6),3)))</f>
        <v>126-911</v>
      </c>
      <c r="C1483" s="2266" t="s">
        <v>2651</v>
      </c>
      <c r="D1483" s="2266">
        <v>4</v>
      </c>
      <c r="E1483" s="2266">
        <v>1848</v>
      </c>
      <c r="F1483" s="2266" t="s">
        <v>5796</v>
      </c>
      <c r="G1483" s="2266" t="s">
        <v>7007</v>
      </c>
      <c r="H1483" s="2266">
        <v>279766</v>
      </c>
      <c r="I1483" s="2266">
        <v>255305</v>
      </c>
      <c r="J1483" s="2266">
        <v>1</v>
      </c>
      <c r="K1483" s="2266">
        <v>279766</v>
      </c>
      <c r="L1483" s="2266">
        <v>255305</v>
      </c>
      <c r="M1483" s="2266">
        <v>599</v>
      </c>
    </row>
    <row r="1484" spans="1:13" ht="15">
      <c r="A1484" s="2266" t="s">
        <v>4237</v>
      </c>
      <c r="B1484" s="2465" t="str">
        <f>CONCATENATE(LEFT(RIGHT(CONCATENATE("000",IFAData_TEA_1617!A1484),6),3),"-",(RIGHT(RIGHT(CONCATENATE("000",IFAData_TEA_1617!A1484),6),3)))</f>
        <v>127-905</v>
      </c>
      <c r="C1484" s="2266" t="s">
        <v>165</v>
      </c>
      <c r="D1484" s="2266">
        <v>6</v>
      </c>
      <c r="E1484" s="2266">
        <v>2042</v>
      </c>
      <c r="F1484" s="2266" t="s">
        <v>5797</v>
      </c>
      <c r="G1484" s="2266" t="s">
        <v>5798</v>
      </c>
      <c r="H1484" s="2266">
        <v>100000</v>
      </c>
      <c r="I1484" s="2266">
        <v>88500</v>
      </c>
      <c r="J1484" s="2266">
        <v>1</v>
      </c>
      <c r="K1484" s="2266">
        <v>100000</v>
      </c>
      <c r="L1484" s="2266">
        <v>88500</v>
      </c>
      <c r="M1484" s="2266">
        <v>599</v>
      </c>
    </row>
    <row r="1485" spans="1:13" ht="15">
      <c r="A1485" s="2266" t="s">
        <v>4237</v>
      </c>
      <c r="B1485" s="2465" t="str">
        <f>CONCATENATE(LEFT(RIGHT(CONCATENATE("000",IFAData_TEA_1617!A1485),6),3),"-",(RIGHT(RIGHT(CONCATENATE("000",IFAData_TEA_1617!A1485),6),3)))</f>
        <v>127-905</v>
      </c>
      <c r="C1485" s="2266" t="s">
        <v>165</v>
      </c>
      <c r="D1485" s="2266">
        <v>6</v>
      </c>
      <c r="E1485" s="2266">
        <v>2042</v>
      </c>
      <c r="F1485" s="2266" t="s">
        <v>5797</v>
      </c>
      <c r="G1485" s="2266" t="s">
        <v>5797</v>
      </c>
      <c r="H1485" s="2266">
        <v>100000</v>
      </c>
      <c r="I1485" s="2266">
        <v>0</v>
      </c>
      <c r="J1485" s="2266">
        <v>0</v>
      </c>
      <c r="K1485" s="2266">
        <v>0</v>
      </c>
      <c r="L1485" s="2266">
        <v>0</v>
      </c>
      <c r="M1485" s="2266">
        <v>599</v>
      </c>
    </row>
    <row r="1486" spans="1:13" ht="15">
      <c r="A1486" s="2266" t="s">
        <v>4238</v>
      </c>
      <c r="B1486" s="2465" t="str">
        <f>CONCATENATE(LEFT(RIGHT(CONCATENATE("000",IFAData_TEA_1617!A1486),6),3),"-",(RIGHT(RIGHT(CONCATENATE("000",IFAData_TEA_1617!A1486),6),3)))</f>
        <v>127-906</v>
      </c>
      <c r="C1486" s="2266" t="s">
        <v>2213</v>
      </c>
      <c r="D1486" s="2266">
        <v>5</v>
      </c>
      <c r="E1486" s="2266">
        <v>2382</v>
      </c>
      <c r="F1486" s="2266" t="s">
        <v>5799</v>
      </c>
      <c r="G1486" s="2266" t="s">
        <v>5799</v>
      </c>
      <c r="H1486" s="2266">
        <v>187854</v>
      </c>
      <c r="I1486" s="2266">
        <v>0</v>
      </c>
      <c r="J1486" s="2266">
        <v>0</v>
      </c>
      <c r="K1486" s="2266">
        <v>0</v>
      </c>
      <c r="L1486" s="2266">
        <v>0</v>
      </c>
      <c r="M1486" s="2266">
        <v>599</v>
      </c>
    </row>
    <row r="1487" spans="1:13" ht="15">
      <c r="A1487" s="2266" t="s">
        <v>4238</v>
      </c>
      <c r="B1487" s="2465" t="str">
        <f>CONCATENATE(LEFT(RIGHT(CONCATENATE("000",IFAData_TEA_1617!A1487),6),3),"-",(RIGHT(RIGHT(CONCATENATE("000",IFAData_TEA_1617!A1487),6),3)))</f>
        <v>127-906</v>
      </c>
      <c r="C1487" s="2266" t="s">
        <v>2213</v>
      </c>
      <c r="D1487" s="2266">
        <v>10</v>
      </c>
      <c r="E1487" s="2266">
        <v>2381</v>
      </c>
      <c r="F1487" s="2266" t="s">
        <v>5801</v>
      </c>
      <c r="G1487" s="2266" t="s">
        <v>5801</v>
      </c>
      <c r="H1487" s="2266">
        <v>143981</v>
      </c>
      <c r="I1487" s="2266">
        <v>167326</v>
      </c>
      <c r="J1487" s="2266">
        <v>0.40234976146506618</v>
      </c>
      <c r="K1487" s="2266">
        <v>57930.721005501691</v>
      </c>
      <c r="L1487" s="2266">
        <v>57930.721005501691</v>
      </c>
      <c r="M1487" s="2266">
        <v>599</v>
      </c>
    </row>
    <row r="1488" spans="1:13" ht="15">
      <c r="A1488" s="2266" t="s">
        <v>4238</v>
      </c>
      <c r="B1488" s="2465" t="str">
        <f>CONCATENATE(LEFT(RIGHT(CONCATENATE("000",IFAData_TEA_1617!A1488),6),3),"-",(RIGHT(RIGHT(CONCATENATE("000",IFAData_TEA_1617!A1488),6),3)))</f>
        <v>127-906</v>
      </c>
      <c r="C1488" s="2266" t="s">
        <v>2213</v>
      </c>
      <c r="D1488" s="2266">
        <v>5</v>
      </c>
      <c r="E1488" s="2266">
        <v>2382</v>
      </c>
      <c r="F1488" s="2266" t="s">
        <v>5799</v>
      </c>
      <c r="G1488" s="2266" t="s">
        <v>5800</v>
      </c>
      <c r="H1488" s="2266">
        <v>187854</v>
      </c>
      <c r="I1488" s="2266">
        <v>107175</v>
      </c>
      <c r="J1488" s="2266">
        <v>0.60195456204892017</v>
      </c>
      <c r="K1488" s="2266">
        <v>113079.57229913786</v>
      </c>
      <c r="L1488" s="2266">
        <v>107175</v>
      </c>
      <c r="M1488" s="2266">
        <v>599</v>
      </c>
    </row>
    <row r="1489" spans="1:13" ht="15">
      <c r="A1489" s="2266" t="s">
        <v>4238</v>
      </c>
      <c r="B1489" s="2465" t="str">
        <f>CONCATENATE(LEFT(RIGHT(CONCATENATE("000",IFAData_TEA_1617!A1489),6),3),"-",(RIGHT(RIGHT(CONCATENATE("000",IFAData_TEA_1617!A1489),6),3)))</f>
        <v>127-906</v>
      </c>
      <c r="C1489" s="2266" t="s">
        <v>2213</v>
      </c>
      <c r="D1489" s="2266">
        <v>10</v>
      </c>
      <c r="E1489" s="2266">
        <v>2381</v>
      </c>
      <c r="F1489" s="2266" t="s">
        <v>5801</v>
      </c>
      <c r="G1489" s="2266" t="s">
        <v>7227</v>
      </c>
      <c r="H1489" s="2266">
        <v>143981</v>
      </c>
      <c r="I1489" s="2266">
        <v>248546</v>
      </c>
      <c r="J1489" s="2266">
        <v>0.59765023853493382</v>
      </c>
      <c r="K1489" s="2266">
        <v>86050.278994498309</v>
      </c>
      <c r="L1489" s="2266">
        <v>86050.278994498309</v>
      </c>
      <c r="M1489" s="2266">
        <v>599</v>
      </c>
    </row>
    <row r="1490" spans="1:13" ht="15">
      <c r="A1490" s="2266" t="s">
        <v>4238</v>
      </c>
      <c r="B1490" s="2465" t="str">
        <f>CONCATENATE(LEFT(RIGHT(CONCATENATE("000",IFAData_TEA_1617!A1490),6),3),"-",(RIGHT(RIGHT(CONCATENATE("000",IFAData_TEA_1617!A1490),6),3)))</f>
        <v>127-906</v>
      </c>
      <c r="C1490" s="2266" t="s">
        <v>2213</v>
      </c>
      <c r="D1490" s="2266">
        <v>5</v>
      </c>
      <c r="E1490" s="2266">
        <v>2382</v>
      </c>
      <c r="F1490" s="2266" t="s">
        <v>5799</v>
      </c>
      <c r="G1490" s="2266" t="s">
        <v>7227</v>
      </c>
      <c r="H1490" s="2266">
        <v>187854</v>
      </c>
      <c r="I1490" s="2266">
        <v>70870</v>
      </c>
      <c r="J1490" s="2266">
        <v>0.39804543795107977</v>
      </c>
      <c r="K1490" s="2266">
        <v>74774.427700862143</v>
      </c>
      <c r="L1490" s="2266">
        <v>70870</v>
      </c>
      <c r="M1490" s="2266">
        <v>599</v>
      </c>
    </row>
    <row r="1491" spans="1:13" ht="15">
      <c r="A1491" s="2266" t="s">
        <v>5802</v>
      </c>
      <c r="B1491" s="2465" t="str">
        <f>CONCATENATE(LEFT(RIGHT(CONCATENATE("000",IFAData_TEA_1617!A1491),6),3),"-",(RIGHT(RIGHT(CONCATENATE("000",IFAData_TEA_1617!A1491),6),3)))</f>
        <v>128-901</v>
      </c>
      <c r="C1491" s="2266" t="s">
        <v>449</v>
      </c>
      <c r="D1491" s="2266">
        <v>2</v>
      </c>
      <c r="E1491" s="2266">
        <v>1940</v>
      </c>
      <c r="F1491" s="2266" t="s">
        <v>5803</v>
      </c>
      <c r="G1491" s="2266" t="s">
        <v>5803</v>
      </c>
      <c r="H1491" s="2266">
        <v>91832</v>
      </c>
      <c r="I1491" s="2266">
        <v>0</v>
      </c>
      <c r="J1491" s="2266">
        <v>0</v>
      </c>
      <c r="K1491" s="2266"/>
      <c r="L1491" s="2266">
        <v>0</v>
      </c>
      <c r="M1491" s="2266">
        <v>599</v>
      </c>
    </row>
    <row r="1492" spans="1:13" ht="15">
      <c r="A1492" s="2266" t="s">
        <v>4239</v>
      </c>
      <c r="B1492" s="2465" t="str">
        <f>CONCATENATE(LEFT(RIGHT(CONCATENATE("000",IFAData_TEA_1617!A1492),6),3),"-",(RIGHT(RIGHT(CONCATENATE("000",IFAData_TEA_1617!A1492),6),3)))</f>
        <v>128-902</v>
      </c>
      <c r="C1492" s="2266" t="s">
        <v>454</v>
      </c>
      <c r="D1492" s="2266">
        <v>6</v>
      </c>
      <c r="E1492" s="2266">
        <v>1954</v>
      </c>
      <c r="F1492" s="2266" t="s">
        <v>5804</v>
      </c>
      <c r="G1492" s="2266" t="s">
        <v>5805</v>
      </c>
      <c r="H1492" s="2266">
        <v>195337</v>
      </c>
      <c r="I1492" s="2266">
        <v>196125</v>
      </c>
      <c r="J1492" s="2266">
        <v>1</v>
      </c>
      <c r="K1492" s="2266">
        <v>195337</v>
      </c>
      <c r="L1492" s="2266">
        <v>195337</v>
      </c>
      <c r="M1492" s="2266">
        <v>599</v>
      </c>
    </row>
    <row r="1493" spans="1:13" ht="15">
      <c r="A1493" s="2266" t="s">
        <v>4239</v>
      </c>
      <c r="B1493" s="2465" t="str">
        <f>CONCATENATE(LEFT(RIGHT(CONCATENATE("000",IFAData_TEA_1617!A1493),6),3),"-",(RIGHT(RIGHT(CONCATENATE("000",IFAData_TEA_1617!A1493),6),3)))</f>
        <v>128-902</v>
      </c>
      <c r="C1493" s="2266" t="s">
        <v>454</v>
      </c>
      <c r="D1493" s="2266">
        <v>6</v>
      </c>
      <c r="E1493" s="2266">
        <v>1954</v>
      </c>
      <c r="F1493" s="2266" t="s">
        <v>5804</v>
      </c>
      <c r="G1493" s="2266" t="s">
        <v>5804</v>
      </c>
      <c r="H1493" s="2266">
        <v>195337</v>
      </c>
      <c r="I1493" s="2266">
        <v>0</v>
      </c>
      <c r="J1493" s="2266">
        <v>0</v>
      </c>
      <c r="K1493" s="2266">
        <v>0</v>
      </c>
      <c r="L1493" s="2266">
        <v>0</v>
      </c>
      <c r="M1493" s="2266">
        <v>599</v>
      </c>
    </row>
    <row r="1494" spans="1:13" ht="15">
      <c r="A1494" s="2266" t="s">
        <v>4240</v>
      </c>
      <c r="B1494" s="2465" t="str">
        <f>CONCATENATE(LEFT(RIGHT(CONCATENATE("000",IFAData_TEA_1617!A1494),6),3),"-",(RIGHT(RIGHT(CONCATENATE("000",IFAData_TEA_1617!A1494),6),3)))</f>
        <v>128-904</v>
      </c>
      <c r="C1494" s="2266" t="s">
        <v>1005</v>
      </c>
      <c r="D1494" s="2266">
        <v>3</v>
      </c>
      <c r="E1494" s="2266">
        <v>1809</v>
      </c>
      <c r="F1494" s="2266" t="s">
        <v>5806</v>
      </c>
      <c r="G1494" s="2266" t="s">
        <v>5806</v>
      </c>
      <c r="H1494" s="2266">
        <v>114000</v>
      </c>
      <c r="I1494" s="2266">
        <v>0</v>
      </c>
      <c r="J1494" s="2266">
        <v>0</v>
      </c>
      <c r="K1494" s="2266"/>
      <c r="L1494" s="2266">
        <v>0</v>
      </c>
      <c r="M1494" s="2266">
        <v>199</v>
      </c>
    </row>
    <row r="1495" spans="1:13" ht="15">
      <c r="A1495" s="2266" t="s">
        <v>4240</v>
      </c>
      <c r="B1495" s="2465" t="str">
        <f>CONCATENATE(LEFT(RIGHT(CONCATENATE("000",IFAData_TEA_1617!A1495),6),3),"-",(RIGHT(RIGHT(CONCATENATE("000",IFAData_TEA_1617!A1495),6),3)))</f>
        <v>128-904</v>
      </c>
      <c r="C1495" s="2266" t="s">
        <v>1005</v>
      </c>
      <c r="D1495" s="2266">
        <v>5</v>
      </c>
      <c r="E1495" s="2266">
        <v>1808</v>
      </c>
      <c r="F1495" s="2266" t="s">
        <v>5807</v>
      </c>
      <c r="G1495" s="2266" t="s">
        <v>5810</v>
      </c>
      <c r="H1495" s="2266">
        <v>95588</v>
      </c>
      <c r="I1495" s="2266">
        <v>0</v>
      </c>
      <c r="J1495" s="2266">
        <v>0</v>
      </c>
      <c r="K1495" s="2266">
        <v>0</v>
      </c>
      <c r="L1495" s="2266">
        <v>0</v>
      </c>
      <c r="M1495" s="2266">
        <v>599</v>
      </c>
    </row>
    <row r="1496" spans="1:13" ht="15">
      <c r="A1496" s="2266" t="s">
        <v>4240</v>
      </c>
      <c r="B1496" s="2465" t="str">
        <f>CONCATENATE(LEFT(RIGHT(CONCATENATE("000",IFAData_TEA_1617!A1496),6),3),"-",(RIGHT(RIGHT(CONCATENATE("000",IFAData_TEA_1617!A1496),6),3)))</f>
        <v>128-904</v>
      </c>
      <c r="C1496" s="2266" t="s">
        <v>1005</v>
      </c>
      <c r="D1496" s="2266">
        <v>5</v>
      </c>
      <c r="E1496" s="2266">
        <v>1808</v>
      </c>
      <c r="F1496" s="2266" t="s">
        <v>5807</v>
      </c>
      <c r="G1496" s="2266" t="s">
        <v>5809</v>
      </c>
      <c r="H1496" s="2266">
        <v>95588</v>
      </c>
      <c r="I1496" s="2266">
        <v>44568</v>
      </c>
      <c r="J1496" s="2266">
        <v>1</v>
      </c>
      <c r="K1496" s="2266">
        <v>95588</v>
      </c>
      <c r="L1496" s="2266">
        <v>44568</v>
      </c>
      <c r="M1496" s="2266">
        <v>599</v>
      </c>
    </row>
    <row r="1497" spans="1:13" ht="15">
      <c r="A1497" s="2266" t="s">
        <v>4240</v>
      </c>
      <c r="B1497" s="2465" t="str">
        <f>CONCATENATE(LEFT(RIGHT(CONCATENATE("000",IFAData_TEA_1617!A1497),6),3),"-",(RIGHT(RIGHT(CONCATENATE("000",IFAData_TEA_1617!A1497),6),3)))</f>
        <v>128-904</v>
      </c>
      <c r="C1497" s="2266" t="s">
        <v>1005</v>
      </c>
      <c r="D1497" s="2266">
        <v>5</v>
      </c>
      <c r="E1497" s="2266">
        <v>1808</v>
      </c>
      <c r="F1497" s="2266" t="s">
        <v>5807</v>
      </c>
      <c r="G1497" s="2266" t="s">
        <v>5808</v>
      </c>
      <c r="H1497" s="2266">
        <v>95588</v>
      </c>
      <c r="I1497" s="2266">
        <v>0</v>
      </c>
      <c r="J1497" s="2266">
        <v>0</v>
      </c>
      <c r="K1497" s="2266">
        <v>0</v>
      </c>
      <c r="L1497" s="2266">
        <v>0</v>
      </c>
      <c r="M1497" s="2266">
        <v>599</v>
      </c>
    </row>
    <row r="1498" spans="1:13" ht="15">
      <c r="A1498" s="2266" t="s">
        <v>4240</v>
      </c>
      <c r="B1498" s="2465" t="str">
        <f>CONCATENATE(LEFT(RIGHT(CONCATENATE("000",IFAData_TEA_1617!A1498),6),3),"-",(RIGHT(RIGHT(CONCATENATE("000",IFAData_TEA_1617!A1498),6),3)))</f>
        <v>128-904</v>
      </c>
      <c r="C1498" s="2266" t="s">
        <v>1005</v>
      </c>
      <c r="D1498" s="2266">
        <v>5</v>
      </c>
      <c r="E1498" s="2266">
        <v>1808</v>
      </c>
      <c r="F1498" s="2266" t="s">
        <v>5807</v>
      </c>
      <c r="G1498" s="2266" t="s">
        <v>5807</v>
      </c>
      <c r="H1498" s="2266">
        <v>95588</v>
      </c>
      <c r="I1498" s="2266">
        <v>0</v>
      </c>
      <c r="J1498" s="2266">
        <v>0</v>
      </c>
      <c r="K1498" s="2266">
        <v>0</v>
      </c>
      <c r="L1498" s="2266">
        <v>0</v>
      </c>
      <c r="M1498" s="2266">
        <v>199</v>
      </c>
    </row>
    <row r="1499" spans="1:13" ht="15">
      <c r="A1499" s="2266" t="s">
        <v>4241</v>
      </c>
      <c r="B1499" s="2465" t="str">
        <f>CONCATENATE(LEFT(RIGHT(CONCATENATE("000",IFAData_TEA_1617!A1499),6),3),"-",(RIGHT(RIGHT(CONCATENATE("000",IFAData_TEA_1617!A1499),6),3)))</f>
        <v>129-901</v>
      </c>
      <c r="C1499" s="2266" t="s">
        <v>456</v>
      </c>
      <c r="D1499" s="2266">
        <v>2</v>
      </c>
      <c r="E1499" s="2266">
        <v>1728</v>
      </c>
      <c r="F1499" s="2266" t="s">
        <v>5811</v>
      </c>
      <c r="G1499" s="2266" t="s">
        <v>5813</v>
      </c>
      <c r="H1499" s="2266">
        <v>347484</v>
      </c>
      <c r="I1499" s="2266">
        <v>0</v>
      </c>
      <c r="J1499" s="2266">
        <v>0</v>
      </c>
      <c r="K1499" s="2266"/>
      <c r="L1499" s="2266">
        <v>0</v>
      </c>
      <c r="M1499" s="2266">
        <v>599</v>
      </c>
    </row>
    <row r="1500" spans="1:13" ht="15">
      <c r="A1500" s="2266" t="s">
        <v>4241</v>
      </c>
      <c r="B1500" s="2465" t="str">
        <f>CONCATENATE(LEFT(RIGHT(CONCATENATE("000",IFAData_TEA_1617!A1500),6),3),"-",(RIGHT(RIGHT(CONCATENATE("000",IFAData_TEA_1617!A1500),6),3)))</f>
        <v>129-901</v>
      </c>
      <c r="C1500" s="2266" t="s">
        <v>456</v>
      </c>
      <c r="D1500" s="2266">
        <v>6</v>
      </c>
      <c r="E1500" s="2266">
        <v>1729</v>
      </c>
      <c r="F1500" s="2266" t="s">
        <v>5814</v>
      </c>
      <c r="G1500" s="2266" t="s">
        <v>5815</v>
      </c>
      <c r="H1500" s="2266">
        <v>483733</v>
      </c>
      <c r="I1500" s="2266">
        <v>0</v>
      </c>
      <c r="J1500" s="2266">
        <v>0</v>
      </c>
      <c r="K1500" s="2266">
        <v>0</v>
      </c>
      <c r="L1500" s="2266">
        <v>0</v>
      </c>
      <c r="M1500" s="2266">
        <v>599</v>
      </c>
    </row>
    <row r="1501" spans="1:13" ht="15">
      <c r="A1501" s="2266" t="s">
        <v>4241</v>
      </c>
      <c r="B1501" s="2465" t="str">
        <f>CONCATENATE(LEFT(RIGHT(CONCATENATE("000",IFAData_TEA_1617!A1501),6),3),"-",(RIGHT(RIGHT(CONCATENATE("000",IFAData_TEA_1617!A1501),6),3)))</f>
        <v>129-901</v>
      </c>
      <c r="C1501" s="2266" t="s">
        <v>456</v>
      </c>
      <c r="D1501" s="2266">
        <v>9</v>
      </c>
      <c r="E1501" s="2266">
        <v>1730</v>
      </c>
      <c r="F1501" s="2266" t="s">
        <v>5816</v>
      </c>
      <c r="G1501" s="2266" t="s">
        <v>7228</v>
      </c>
      <c r="H1501" s="2266">
        <v>538407</v>
      </c>
      <c r="I1501" s="2266">
        <v>281080</v>
      </c>
      <c r="J1501" s="2266">
        <v>0.25754549286224782</v>
      </c>
      <c r="K1501" s="2266">
        <v>138664.29617548425</v>
      </c>
      <c r="L1501" s="2266">
        <v>138664.29617548425</v>
      </c>
      <c r="M1501" s="2266">
        <v>599</v>
      </c>
    </row>
    <row r="1502" spans="1:13" ht="15">
      <c r="A1502" s="2266" t="s">
        <v>4241</v>
      </c>
      <c r="B1502" s="2465" t="str">
        <f>CONCATENATE(LEFT(RIGHT(CONCATENATE("000",IFAData_TEA_1617!A1502),6),3),"-",(RIGHT(RIGHT(CONCATENATE("000",IFAData_TEA_1617!A1502),6),3)))</f>
        <v>129-901</v>
      </c>
      <c r="C1502" s="2266" t="s">
        <v>456</v>
      </c>
      <c r="D1502" s="2266">
        <v>2</v>
      </c>
      <c r="E1502" s="2266">
        <v>1728</v>
      </c>
      <c r="F1502" s="2266" t="s">
        <v>5811</v>
      </c>
      <c r="G1502" s="2266" t="s">
        <v>5811</v>
      </c>
      <c r="H1502" s="2266">
        <v>347484</v>
      </c>
      <c r="I1502" s="2266">
        <v>0</v>
      </c>
      <c r="J1502" s="2266">
        <v>0</v>
      </c>
      <c r="K1502" s="2266"/>
      <c r="L1502" s="2266">
        <v>0</v>
      </c>
      <c r="M1502" s="2266">
        <v>599</v>
      </c>
    </row>
    <row r="1503" spans="1:13" ht="15">
      <c r="A1503" s="2266" t="s">
        <v>4241</v>
      </c>
      <c r="B1503" s="2465" t="str">
        <f>CONCATENATE(LEFT(RIGHT(CONCATENATE("000",IFAData_TEA_1617!A1503),6),3),"-",(RIGHT(RIGHT(CONCATENATE("000",IFAData_TEA_1617!A1503),6),3)))</f>
        <v>129-901</v>
      </c>
      <c r="C1503" s="2266" t="s">
        <v>456</v>
      </c>
      <c r="D1503" s="2266">
        <v>9</v>
      </c>
      <c r="E1503" s="2266">
        <v>1730</v>
      </c>
      <c r="F1503" s="2266" t="s">
        <v>5816</v>
      </c>
      <c r="G1503" s="2266" t="s">
        <v>7229</v>
      </c>
      <c r="H1503" s="2266">
        <v>538407</v>
      </c>
      <c r="I1503" s="2266">
        <v>254300</v>
      </c>
      <c r="J1503" s="2266">
        <v>0.23300775165386942</v>
      </c>
      <c r="K1503" s="2266">
        <v>125453.00454470488</v>
      </c>
      <c r="L1503" s="2266">
        <v>125453.00454470488</v>
      </c>
      <c r="M1503" s="2266">
        <v>599</v>
      </c>
    </row>
    <row r="1504" spans="1:13" ht="15">
      <c r="A1504" s="2266" t="s">
        <v>4241</v>
      </c>
      <c r="B1504" s="2465" t="str">
        <f>CONCATENATE(LEFT(RIGHT(CONCATENATE("000",IFAData_TEA_1617!A1504),6),3),"-",(RIGHT(RIGHT(CONCATENATE("000",IFAData_TEA_1617!A1504),6),3)))</f>
        <v>129-901</v>
      </c>
      <c r="C1504" s="2266" t="s">
        <v>456</v>
      </c>
      <c r="D1504" s="2266">
        <v>9</v>
      </c>
      <c r="E1504" s="2266">
        <v>1730</v>
      </c>
      <c r="F1504" s="2266" t="s">
        <v>5816</v>
      </c>
      <c r="G1504" s="2266" t="s">
        <v>5816</v>
      </c>
      <c r="H1504" s="2266">
        <v>538407</v>
      </c>
      <c r="I1504" s="2266">
        <v>556000</v>
      </c>
      <c r="J1504" s="2266">
        <v>0.50944675548388274</v>
      </c>
      <c r="K1504" s="2266">
        <v>274289.69927981083</v>
      </c>
      <c r="L1504" s="2266">
        <v>274289.69927981083</v>
      </c>
      <c r="M1504" s="2266">
        <v>599</v>
      </c>
    </row>
    <row r="1505" spans="1:13" ht="15">
      <c r="A1505" s="2266" t="s">
        <v>4241</v>
      </c>
      <c r="B1505" s="2465" t="str">
        <f>CONCATENATE(LEFT(RIGHT(CONCATENATE("000",IFAData_TEA_1617!A1505),6),3),"-",(RIGHT(RIGHT(CONCATENATE("000",IFAData_TEA_1617!A1505),6),3)))</f>
        <v>129-901</v>
      </c>
      <c r="C1505" s="2266" t="s">
        <v>456</v>
      </c>
      <c r="D1505" s="2266">
        <v>6</v>
      </c>
      <c r="E1505" s="2266">
        <v>1729</v>
      </c>
      <c r="F1505" s="2266" t="s">
        <v>5814</v>
      </c>
      <c r="G1505" s="2266" t="s">
        <v>5814</v>
      </c>
      <c r="H1505" s="2266">
        <v>483733</v>
      </c>
      <c r="I1505" s="2266">
        <v>1996523</v>
      </c>
      <c r="J1505" s="2266">
        <v>1</v>
      </c>
      <c r="K1505" s="2266">
        <v>483733</v>
      </c>
      <c r="L1505" s="2266">
        <v>483733</v>
      </c>
      <c r="M1505" s="2266">
        <v>599</v>
      </c>
    </row>
    <row r="1506" spans="1:13" ht="15">
      <c r="A1506" s="2266" t="s">
        <v>4241</v>
      </c>
      <c r="B1506" s="2465" t="str">
        <f>CONCATENATE(LEFT(RIGHT(CONCATENATE("000",IFAData_TEA_1617!A1506),6),3),"-",(RIGHT(RIGHT(CONCATENATE("000",IFAData_TEA_1617!A1506),6),3)))</f>
        <v>129-901</v>
      </c>
      <c r="C1506" s="2266" t="s">
        <v>456</v>
      </c>
      <c r="D1506" s="2266">
        <v>2</v>
      </c>
      <c r="E1506" s="2266">
        <v>1728</v>
      </c>
      <c r="F1506" s="2266" t="s">
        <v>5811</v>
      </c>
      <c r="G1506" s="2266" t="s">
        <v>5812</v>
      </c>
      <c r="H1506" s="2266">
        <v>347484</v>
      </c>
      <c r="I1506" s="2266">
        <v>0</v>
      </c>
      <c r="J1506" s="2266">
        <v>0</v>
      </c>
      <c r="K1506" s="2266"/>
      <c r="L1506" s="2266">
        <v>0</v>
      </c>
      <c r="M1506" s="2266">
        <v>599</v>
      </c>
    </row>
    <row r="1507" spans="1:13" ht="15">
      <c r="A1507" s="2266" t="s">
        <v>4242</v>
      </c>
      <c r="B1507" s="2465" t="str">
        <f>CONCATENATE(LEFT(RIGHT(CONCATENATE("000",IFAData_TEA_1617!A1507),6),3),"-",(RIGHT(RIGHT(CONCATENATE("000",IFAData_TEA_1617!A1507),6),3)))</f>
        <v>129-902</v>
      </c>
      <c r="C1507" s="2266" t="s">
        <v>132</v>
      </c>
      <c r="D1507" s="2266">
        <v>1</v>
      </c>
      <c r="E1507" s="2266">
        <v>1817</v>
      </c>
      <c r="F1507" s="2266" t="s">
        <v>5817</v>
      </c>
      <c r="G1507" s="2266" t="s">
        <v>5820</v>
      </c>
      <c r="H1507" s="2266">
        <v>553750</v>
      </c>
      <c r="I1507" s="2266">
        <v>0</v>
      </c>
      <c r="J1507" s="2266">
        <v>0</v>
      </c>
      <c r="K1507" s="2266">
        <v>0</v>
      </c>
      <c r="L1507" s="2266">
        <v>0</v>
      </c>
      <c r="M1507" s="2266">
        <v>599</v>
      </c>
    </row>
    <row r="1508" spans="1:13" ht="15">
      <c r="A1508" s="2266" t="s">
        <v>4242</v>
      </c>
      <c r="B1508" s="2465" t="str">
        <f>CONCATENATE(LEFT(RIGHT(CONCATENATE("000",IFAData_TEA_1617!A1508),6),3),"-",(RIGHT(RIGHT(CONCATENATE("000",IFAData_TEA_1617!A1508),6),3)))</f>
        <v>129-902</v>
      </c>
      <c r="C1508" s="2266" t="s">
        <v>132</v>
      </c>
      <c r="D1508" s="2266">
        <v>9</v>
      </c>
      <c r="E1508" s="2266">
        <v>1818</v>
      </c>
      <c r="F1508" s="2266" t="s">
        <v>5821</v>
      </c>
      <c r="G1508" s="2266" t="s">
        <v>5821</v>
      </c>
      <c r="H1508" s="2266">
        <v>1954750</v>
      </c>
      <c r="I1508" s="2266">
        <v>2175250</v>
      </c>
      <c r="J1508" s="2266">
        <v>1</v>
      </c>
      <c r="K1508" s="2266">
        <v>1954750</v>
      </c>
      <c r="L1508" s="2266">
        <v>1954750</v>
      </c>
      <c r="M1508" s="2266">
        <v>599</v>
      </c>
    </row>
    <row r="1509" spans="1:13" ht="15">
      <c r="A1509" s="2266" t="s">
        <v>4242</v>
      </c>
      <c r="B1509" s="2465" t="str">
        <f>CONCATENATE(LEFT(RIGHT(CONCATENATE("000",IFAData_TEA_1617!A1509),6),3),"-",(RIGHT(RIGHT(CONCATENATE("000",IFAData_TEA_1617!A1509),6),3)))</f>
        <v>129-902</v>
      </c>
      <c r="C1509" s="2266" t="s">
        <v>132</v>
      </c>
      <c r="D1509" s="2266">
        <v>1</v>
      </c>
      <c r="E1509" s="2266">
        <v>1817</v>
      </c>
      <c r="F1509" s="2266" t="s">
        <v>5817</v>
      </c>
      <c r="G1509" s="2266" t="s">
        <v>5817</v>
      </c>
      <c r="H1509" s="2266">
        <v>553750</v>
      </c>
      <c r="I1509" s="2266">
        <v>0</v>
      </c>
      <c r="J1509" s="2266">
        <v>0</v>
      </c>
      <c r="K1509" s="2266">
        <v>0</v>
      </c>
      <c r="L1509" s="2266">
        <v>0</v>
      </c>
      <c r="M1509" s="2266">
        <v>599</v>
      </c>
    </row>
    <row r="1510" spans="1:13" ht="15">
      <c r="A1510" s="2266" t="s">
        <v>4242</v>
      </c>
      <c r="B1510" s="2465" t="str">
        <f>CONCATENATE(LEFT(RIGHT(CONCATENATE("000",IFAData_TEA_1617!A1510),6),3),"-",(RIGHT(RIGHT(CONCATENATE("000",IFAData_TEA_1617!A1510),6),3)))</f>
        <v>129-902</v>
      </c>
      <c r="C1510" s="2266" t="s">
        <v>132</v>
      </c>
      <c r="D1510" s="2266">
        <v>1</v>
      </c>
      <c r="E1510" s="2266">
        <v>1817</v>
      </c>
      <c r="F1510" s="2266" t="s">
        <v>5817</v>
      </c>
      <c r="G1510" s="2266" t="s">
        <v>5819</v>
      </c>
      <c r="H1510" s="2266">
        <v>553750</v>
      </c>
      <c r="I1510" s="2266">
        <v>0</v>
      </c>
      <c r="J1510" s="2266">
        <v>0</v>
      </c>
      <c r="K1510" s="2266">
        <v>0</v>
      </c>
      <c r="L1510" s="2266">
        <v>0</v>
      </c>
      <c r="M1510" s="2266">
        <v>599</v>
      </c>
    </row>
    <row r="1511" spans="1:13" ht="15">
      <c r="A1511" s="2266" t="s">
        <v>4242</v>
      </c>
      <c r="B1511" s="2465" t="str">
        <f>CONCATENATE(LEFT(RIGHT(CONCATENATE("000",IFAData_TEA_1617!A1511),6),3),"-",(RIGHT(RIGHT(CONCATENATE("000",IFAData_TEA_1617!A1511),6),3)))</f>
        <v>129-902</v>
      </c>
      <c r="C1511" s="2266" t="s">
        <v>132</v>
      </c>
      <c r="D1511" s="2266">
        <v>10</v>
      </c>
      <c r="E1511" s="2266">
        <v>1816</v>
      </c>
      <c r="F1511" s="2266" t="s">
        <v>5823</v>
      </c>
      <c r="G1511" s="2266" t="s">
        <v>5823</v>
      </c>
      <c r="H1511" s="2266">
        <v>497282</v>
      </c>
      <c r="I1511" s="2266">
        <v>812654</v>
      </c>
      <c r="J1511" s="2266">
        <v>1</v>
      </c>
      <c r="K1511" s="2266">
        <v>497282</v>
      </c>
      <c r="L1511" s="2266">
        <v>497282</v>
      </c>
      <c r="M1511" s="2266">
        <v>599</v>
      </c>
    </row>
    <row r="1512" spans="1:13" ht="15">
      <c r="A1512" s="2266" t="s">
        <v>4242</v>
      </c>
      <c r="B1512" s="2465" t="str">
        <f>CONCATENATE(LEFT(RIGHT(CONCATENATE("000",IFAData_TEA_1617!A1512),6),3),"-",(RIGHT(RIGHT(CONCATENATE("000",IFAData_TEA_1617!A1512),6),3)))</f>
        <v>129-902</v>
      </c>
      <c r="C1512" s="2266" t="s">
        <v>132</v>
      </c>
      <c r="D1512" s="2266">
        <v>1</v>
      </c>
      <c r="E1512" s="2266">
        <v>1817</v>
      </c>
      <c r="F1512" s="2266" t="s">
        <v>5817</v>
      </c>
      <c r="G1512" s="2266" t="s">
        <v>5818</v>
      </c>
      <c r="H1512" s="2266">
        <v>553750</v>
      </c>
      <c r="I1512" s="2266">
        <v>0</v>
      </c>
      <c r="J1512" s="2266">
        <v>0</v>
      </c>
      <c r="K1512" s="2266">
        <v>0</v>
      </c>
      <c r="L1512" s="2266">
        <v>0</v>
      </c>
      <c r="M1512" s="2266">
        <v>599</v>
      </c>
    </row>
    <row r="1513" spans="1:13" ht="15">
      <c r="A1513" s="2266" t="s">
        <v>4242</v>
      </c>
      <c r="B1513" s="2465" t="str">
        <f>CONCATENATE(LEFT(RIGHT(CONCATENATE("000",IFAData_TEA_1617!A1513),6),3),"-",(RIGHT(RIGHT(CONCATENATE("000",IFAData_TEA_1617!A1513),6),3)))</f>
        <v>129-902</v>
      </c>
      <c r="C1513" s="2266" t="s">
        <v>132</v>
      </c>
      <c r="D1513" s="2266">
        <v>10</v>
      </c>
      <c r="E1513" s="2266">
        <v>1819</v>
      </c>
      <c r="F1513" s="2266" t="s">
        <v>5822</v>
      </c>
      <c r="G1513" s="2266" t="s">
        <v>5822</v>
      </c>
      <c r="H1513" s="2266">
        <v>2007613</v>
      </c>
      <c r="I1513" s="2266">
        <v>2572613</v>
      </c>
      <c r="J1513" s="2266">
        <v>1</v>
      </c>
      <c r="K1513" s="2266">
        <v>2007613</v>
      </c>
      <c r="L1513" s="2266">
        <v>2007613</v>
      </c>
      <c r="M1513" s="2266">
        <v>599</v>
      </c>
    </row>
    <row r="1514" spans="1:13" ht="15">
      <c r="A1514" s="2266" t="s">
        <v>4242</v>
      </c>
      <c r="B1514" s="2465" t="str">
        <f>CONCATENATE(LEFT(RIGHT(CONCATENATE("000",IFAData_TEA_1617!A1514),6),3),"-",(RIGHT(RIGHT(CONCATENATE("000",IFAData_TEA_1617!A1514),6),3)))</f>
        <v>129-902</v>
      </c>
      <c r="C1514" s="2266" t="s">
        <v>132</v>
      </c>
      <c r="D1514" s="2266">
        <v>1</v>
      </c>
      <c r="E1514" s="2266">
        <v>1817</v>
      </c>
      <c r="F1514" s="2266" t="s">
        <v>5817</v>
      </c>
      <c r="G1514" s="2266" t="s">
        <v>7008</v>
      </c>
      <c r="H1514" s="2266">
        <v>553750</v>
      </c>
      <c r="I1514" s="2266">
        <v>684596</v>
      </c>
      <c r="J1514" s="2266">
        <v>1</v>
      </c>
      <c r="K1514" s="2266">
        <v>553750</v>
      </c>
      <c r="L1514" s="2266">
        <v>553750</v>
      </c>
      <c r="M1514" s="2266">
        <v>599</v>
      </c>
    </row>
    <row r="1515" spans="1:13" ht="15">
      <c r="A1515" s="2266" t="s">
        <v>4242</v>
      </c>
      <c r="B1515" s="2465" t="str">
        <f>CONCATENATE(LEFT(RIGHT(CONCATENATE("000",IFAData_TEA_1617!A1515),6),3),"-",(RIGHT(RIGHT(CONCATENATE("000",IFAData_TEA_1617!A1515),6),3)))</f>
        <v>129-902</v>
      </c>
      <c r="C1515" s="2266" t="s">
        <v>132</v>
      </c>
      <c r="D1515" s="2266">
        <v>9</v>
      </c>
      <c r="E1515" s="2266">
        <v>1818</v>
      </c>
      <c r="F1515" s="2266" t="s">
        <v>5821</v>
      </c>
      <c r="G1515" s="2266" t="s">
        <v>7008</v>
      </c>
      <c r="H1515" s="2266">
        <v>1954750</v>
      </c>
      <c r="I1515" s="2266">
        <v>0</v>
      </c>
      <c r="J1515" s="2266">
        <v>0</v>
      </c>
      <c r="K1515" s="2266">
        <v>0</v>
      </c>
      <c r="L1515" s="2266">
        <v>0</v>
      </c>
      <c r="M1515" s="2266">
        <v>599</v>
      </c>
    </row>
    <row r="1516" spans="1:13" ht="15">
      <c r="A1516" s="2266" t="s">
        <v>4242</v>
      </c>
      <c r="B1516" s="2465" t="str">
        <f>CONCATENATE(LEFT(RIGHT(CONCATENATE("000",IFAData_TEA_1617!A1516),6),3),"-",(RIGHT(RIGHT(CONCATENATE("000",IFAData_TEA_1617!A1516),6),3)))</f>
        <v>129-902</v>
      </c>
      <c r="C1516" s="2266" t="s">
        <v>132</v>
      </c>
      <c r="D1516" s="2266">
        <v>10</v>
      </c>
      <c r="E1516" s="2266">
        <v>1819</v>
      </c>
      <c r="F1516" s="2266" t="s">
        <v>5822</v>
      </c>
      <c r="G1516" s="2266" t="s">
        <v>7008</v>
      </c>
      <c r="H1516" s="2266">
        <v>2007613</v>
      </c>
      <c r="I1516" s="2266">
        <v>0</v>
      </c>
      <c r="J1516" s="2266">
        <v>0</v>
      </c>
      <c r="K1516" s="2266">
        <v>0</v>
      </c>
      <c r="L1516" s="2266">
        <v>0</v>
      </c>
      <c r="M1516" s="2266">
        <v>599</v>
      </c>
    </row>
    <row r="1517" spans="1:13" ht="15">
      <c r="A1517" s="2266" t="s">
        <v>4243</v>
      </c>
      <c r="B1517" s="2465" t="str">
        <f>CONCATENATE(LEFT(RIGHT(CONCATENATE("000",IFAData_TEA_1617!A1517),6),3),"-",(RIGHT(RIGHT(CONCATENATE("000",IFAData_TEA_1617!A1517),6),3)))</f>
        <v>129-903</v>
      </c>
      <c r="C1517" s="2266" t="s">
        <v>451</v>
      </c>
      <c r="D1517" s="2266">
        <v>6</v>
      </c>
      <c r="E1517" s="2266">
        <v>1948</v>
      </c>
      <c r="F1517" s="2266" t="s">
        <v>5825</v>
      </c>
      <c r="G1517" s="2266" t="s">
        <v>5826</v>
      </c>
      <c r="H1517" s="2266">
        <v>812500</v>
      </c>
      <c r="I1517" s="2266">
        <v>0</v>
      </c>
      <c r="J1517" s="2266">
        <v>0</v>
      </c>
      <c r="K1517" s="2266">
        <v>0</v>
      </c>
      <c r="L1517" s="2266">
        <v>0</v>
      </c>
      <c r="M1517" s="2266">
        <v>599</v>
      </c>
    </row>
    <row r="1518" spans="1:13" ht="15">
      <c r="A1518" s="2266" t="s">
        <v>4243</v>
      </c>
      <c r="B1518" s="2465" t="str">
        <f>CONCATENATE(LEFT(RIGHT(CONCATENATE("000",IFAData_TEA_1617!A1518),6),3),"-",(RIGHT(RIGHT(CONCATENATE("000",IFAData_TEA_1617!A1518),6),3)))</f>
        <v>129-903</v>
      </c>
      <c r="C1518" s="2266" t="s">
        <v>451</v>
      </c>
      <c r="D1518" s="2266">
        <v>3</v>
      </c>
      <c r="E1518" s="2266">
        <v>1947</v>
      </c>
      <c r="F1518" s="2266" t="s">
        <v>5824</v>
      </c>
      <c r="G1518" s="2266" t="s">
        <v>5826</v>
      </c>
      <c r="H1518" s="2266">
        <v>709521</v>
      </c>
      <c r="I1518" s="2266">
        <v>0</v>
      </c>
      <c r="J1518" s="2266">
        <v>0</v>
      </c>
      <c r="K1518" s="2266">
        <v>0</v>
      </c>
      <c r="L1518" s="2266">
        <v>0</v>
      </c>
      <c r="M1518" s="2266">
        <v>599</v>
      </c>
    </row>
    <row r="1519" spans="1:13" ht="15">
      <c r="A1519" s="2266" t="s">
        <v>4243</v>
      </c>
      <c r="B1519" s="2465" t="str">
        <f>CONCATENATE(LEFT(RIGHT(CONCATENATE("000",IFAData_TEA_1617!A1519),6),3),"-",(RIGHT(RIGHT(CONCATENATE("000",IFAData_TEA_1617!A1519),6),3)))</f>
        <v>129-903</v>
      </c>
      <c r="C1519" s="2266" t="s">
        <v>451</v>
      </c>
      <c r="D1519" s="2266">
        <v>3</v>
      </c>
      <c r="E1519" s="2266">
        <v>1947</v>
      </c>
      <c r="F1519" s="2266" t="s">
        <v>5824</v>
      </c>
      <c r="G1519" s="2266" t="s">
        <v>7009</v>
      </c>
      <c r="H1519" s="2266">
        <v>709521</v>
      </c>
      <c r="I1519" s="2266">
        <v>16876</v>
      </c>
      <c r="J1519" s="2266">
        <v>5.1511997387161071E-2</v>
      </c>
      <c r="K1519" s="2266">
        <v>36548.843898135907</v>
      </c>
      <c r="L1519" s="2266">
        <v>16876</v>
      </c>
      <c r="M1519" s="2266">
        <v>599</v>
      </c>
    </row>
    <row r="1520" spans="1:13" ht="15">
      <c r="A1520" s="2266" t="s">
        <v>4243</v>
      </c>
      <c r="B1520" s="2465" t="str">
        <f>CONCATENATE(LEFT(RIGHT(CONCATENATE("000",IFAData_TEA_1617!A1520),6),3),"-",(RIGHT(RIGHT(CONCATENATE("000",IFAData_TEA_1617!A1520),6),3)))</f>
        <v>129-903</v>
      </c>
      <c r="C1520" s="2266" t="s">
        <v>451</v>
      </c>
      <c r="D1520" s="2266">
        <v>6</v>
      </c>
      <c r="E1520" s="2266">
        <v>1948</v>
      </c>
      <c r="F1520" s="2266" t="s">
        <v>5825</v>
      </c>
      <c r="G1520" s="2266" t="s">
        <v>7009</v>
      </c>
      <c r="H1520" s="2266">
        <v>812500</v>
      </c>
      <c r="I1520" s="2266">
        <v>27721</v>
      </c>
      <c r="J1520" s="2266">
        <v>5.1511277441029894E-2</v>
      </c>
      <c r="K1520" s="2266">
        <v>41852.912920836789</v>
      </c>
      <c r="L1520" s="2266">
        <v>27721</v>
      </c>
      <c r="M1520" s="2266">
        <v>599</v>
      </c>
    </row>
    <row r="1521" spans="1:13" ht="15">
      <c r="A1521" s="2266" t="s">
        <v>4243</v>
      </c>
      <c r="B1521" s="2465" t="str">
        <f>CONCATENATE(LEFT(RIGHT(CONCATENATE("000",IFAData_TEA_1617!A1521),6),3),"-",(RIGHT(RIGHT(CONCATENATE("000",IFAData_TEA_1617!A1521),6),3)))</f>
        <v>129-903</v>
      </c>
      <c r="C1521" s="2266" t="s">
        <v>451</v>
      </c>
      <c r="D1521" s="2266">
        <v>3</v>
      </c>
      <c r="E1521" s="2266">
        <v>1947</v>
      </c>
      <c r="F1521" s="2266" t="s">
        <v>5824</v>
      </c>
      <c r="G1521" s="2266" t="s">
        <v>7230</v>
      </c>
      <c r="H1521" s="2266">
        <v>709521</v>
      </c>
      <c r="I1521" s="2266">
        <v>310737</v>
      </c>
      <c r="J1521" s="2266">
        <v>0.94848800261283894</v>
      </c>
      <c r="K1521" s="2266">
        <v>672972.15610186406</v>
      </c>
      <c r="L1521" s="2266">
        <v>310737</v>
      </c>
      <c r="M1521" s="2266">
        <v>599</v>
      </c>
    </row>
    <row r="1522" spans="1:13" ht="15">
      <c r="A1522" s="2266" t="s">
        <v>4243</v>
      </c>
      <c r="B1522" s="2465" t="str">
        <f>CONCATENATE(LEFT(RIGHT(CONCATENATE("000",IFAData_TEA_1617!A1522),6),3),"-",(RIGHT(RIGHT(CONCATENATE("000",IFAData_TEA_1617!A1522),6),3)))</f>
        <v>129-903</v>
      </c>
      <c r="C1522" s="2266" t="s">
        <v>451</v>
      </c>
      <c r="D1522" s="2266">
        <v>3</v>
      </c>
      <c r="E1522" s="2266">
        <v>1947</v>
      </c>
      <c r="F1522" s="2266" t="s">
        <v>5824</v>
      </c>
      <c r="G1522" s="2266" t="s">
        <v>5824</v>
      </c>
      <c r="H1522" s="2266">
        <v>709521</v>
      </c>
      <c r="I1522" s="2266">
        <v>0</v>
      </c>
      <c r="J1522" s="2266">
        <v>0</v>
      </c>
      <c r="K1522" s="2266">
        <v>0</v>
      </c>
      <c r="L1522" s="2266">
        <v>0</v>
      </c>
      <c r="M1522" s="2266">
        <v>199</v>
      </c>
    </row>
    <row r="1523" spans="1:13" ht="15">
      <c r="A1523" s="2266" t="s">
        <v>4243</v>
      </c>
      <c r="B1523" s="2465" t="str">
        <f>CONCATENATE(LEFT(RIGHT(CONCATENATE("000",IFAData_TEA_1617!A1523),6),3),"-",(RIGHT(RIGHT(CONCATENATE("000",IFAData_TEA_1617!A1523),6),3)))</f>
        <v>129-903</v>
      </c>
      <c r="C1523" s="2266" t="s">
        <v>451</v>
      </c>
      <c r="D1523" s="2266">
        <v>6</v>
      </c>
      <c r="E1523" s="2266">
        <v>1948</v>
      </c>
      <c r="F1523" s="2266" t="s">
        <v>5825</v>
      </c>
      <c r="G1523" s="2266" t="s">
        <v>7230</v>
      </c>
      <c r="H1523" s="2266">
        <v>812500</v>
      </c>
      <c r="I1523" s="2266">
        <v>510433</v>
      </c>
      <c r="J1523" s="2266">
        <v>0.9484887225589701</v>
      </c>
      <c r="K1523" s="2266">
        <v>770647.08707916318</v>
      </c>
      <c r="L1523" s="2266">
        <v>510433</v>
      </c>
      <c r="M1523" s="2266">
        <v>599</v>
      </c>
    </row>
    <row r="1524" spans="1:13" ht="15">
      <c r="A1524" s="2266" t="s">
        <v>4243</v>
      </c>
      <c r="B1524" s="2465" t="str">
        <f>CONCATENATE(LEFT(RIGHT(CONCATENATE("000",IFAData_TEA_1617!A1524),6),3),"-",(RIGHT(RIGHT(CONCATENATE("000",IFAData_TEA_1617!A1524),6),3)))</f>
        <v>129-903</v>
      </c>
      <c r="C1524" s="2266" t="s">
        <v>451</v>
      </c>
      <c r="D1524" s="2266">
        <v>3</v>
      </c>
      <c r="E1524" s="2266">
        <v>1947</v>
      </c>
      <c r="F1524" s="2266" t="s">
        <v>5824</v>
      </c>
      <c r="G1524" s="2266" t="s">
        <v>5825</v>
      </c>
      <c r="H1524" s="2266">
        <v>709521</v>
      </c>
      <c r="I1524" s="2266">
        <v>0</v>
      </c>
      <c r="J1524" s="2266">
        <v>0</v>
      </c>
      <c r="K1524" s="2266">
        <v>0</v>
      </c>
      <c r="L1524" s="2266">
        <v>0</v>
      </c>
      <c r="M1524" s="2266">
        <v>599</v>
      </c>
    </row>
    <row r="1525" spans="1:13" ht="15">
      <c r="A1525" s="2266" t="s">
        <v>4243</v>
      </c>
      <c r="B1525" s="2465" t="str">
        <f>CONCATENATE(LEFT(RIGHT(CONCATENATE("000",IFAData_TEA_1617!A1525),6),3),"-",(RIGHT(RIGHT(CONCATENATE("000",IFAData_TEA_1617!A1525),6),3)))</f>
        <v>129-903</v>
      </c>
      <c r="C1525" s="2266" t="s">
        <v>451</v>
      </c>
      <c r="D1525" s="2266">
        <v>6</v>
      </c>
      <c r="E1525" s="2266">
        <v>1948</v>
      </c>
      <c r="F1525" s="2266" t="s">
        <v>5825</v>
      </c>
      <c r="G1525" s="2266" t="s">
        <v>5825</v>
      </c>
      <c r="H1525" s="2266">
        <v>812500</v>
      </c>
      <c r="I1525" s="2266">
        <v>0</v>
      </c>
      <c r="J1525" s="2266">
        <v>0</v>
      </c>
      <c r="K1525" s="2266">
        <v>0</v>
      </c>
      <c r="L1525" s="2266">
        <v>0</v>
      </c>
      <c r="M1525" s="2266">
        <v>599</v>
      </c>
    </row>
    <row r="1526" spans="1:13" ht="15">
      <c r="A1526" s="2266" t="s">
        <v>4244</v>
      </c>
      <c r="B1526" s="2465" t="str">
        <f>CONCATENATE(LEFT(RIGHT(CONCATENATE("000",IFAData_TEA_1617!A1526),6),3),"-",(RIGHT(RIGHT(CONCATENATE("000",IFAData_TEA_1617!A1526),6),3)))</f>
        <v>129-904</v>
      </c>
      <c r="C1526" s="2266" t="s">
        <v>453</v>
      </c>
      <c r="D1526" s="2266">
        <v>9</v>
      </c>
      <c r="E1526" s="2266">
        <v>1952</v>
      </c>
      <c r="F1526" s="2266" t="s">
        <v>5830</v>
      </c>
      <c r="G1526" s="2266" t="s">
        <v>7010</v>
      </c>
      <c r="H1526" s="2266">
        <v>395867</v>
      </c>
      <c r="I1526" s="2266">
        <v>309619</v>
      </c>
      <c r="J1526" s="2266">
        <v>0.23235877715939315</v>
      </c>
      <c r="K1526" s="2266">
        <v>91983.172037757497</v>
      </c>
      <c r="L1526" s="2266">
        <v>91983.172037757497</v>
      </c>
      <c r="M1526" s="2266">
        <v>599</v>
      </c>
    </row>
    <row r="1527" spans="1:13" ht="15">
      <c r="A1527" s="2266" t="s">
        <v>4244</v>
      </c>
      <c r="B1527" s="2465" t="str">
        <f>CONCATENATE(LEFT(RIGHT(CONCATENATE("000",IFAData_TEA_1617!A1527),6),3),"-",(RIGHT(RIGHT(CONCATENATE("000",IFAData_TEA_1617!A1527),6),3)))</f>
        <v>129-904</v>
      </c>
      <c r="C1527" s="2266" t="s">
        <v>453</v>
      </c>
      <c r="D1527" s="2266">
        <v>9</v>
      </c>
      <c r="E1527" s="2266">
        <v>1952</v>
      </c>
      <c r="F1527" s="2266" t="s">
        <v>5830</v>
      </c>
      <c r="G1527" s="2266" t="s">
        <v>7011</v>
      </c>
      <c r="H1527" s="2266">
        <v>395867</v>
      </c>
      <c r="I1527" s="2266">
        <v>372139</v>
      </c>
      <c r="J1527" s="2266">
        <v>0.27927796089167461</v>
      </c>
      <c r="K1527" s="2266">
        <v>110556.92854430455</v>
      </c>
      <c r="L1527" s="2266">
        <v>110556.92854430455</v>
      </c>
      <c r="M1527" s="2266">
        <v>599</v>
      </c>
    </row>
    <row r="1528" spans="1:13" ht="15">
      <c r="A1528" s="2266" t="s">
        <v>4244</v>
      </c>
      <c r="B1528" s="2465" t="str">
        <f>CONCATENATE(LEFT(RIGHT(CONCATENATE("000",IFAData_TEA_1617!A1528),6),3),"-",(RIGHT(RIGHT(CONCATENATE("000",IFAData_TEA_1617!A1528),6),3)))</f>
        <v>129-904</v>
      </c>
      <c r="C1528" s="2266" t="s">
        <v>453</v>
      </c>
      <c r="D1528" s="2266">
        <v>3</v>
      </c>
      <c r="E1528" s="2266">
        <v>1953</v>
      </c>
      <c r="F1528" s="2266" t="s">
        <v>5827</v>
      </c>
      <c r="G1528" s="2266" t="s">
        <v>5829</v>
      </c>
      <c r="H1528" s="2266">
        <v>438984</v>
      </c>
      <c r="I1528" s="2266">
        <v>596650</v>
      </c>
      <c r="J1528" s="2266">
        <v>1</v>
      </c>
      <c r="K1528" s="2266">
        <v>438984</v>
      </c>
      <c r="L1528" s="2266">
        <v>438984</v>
      </c>
      <c r="M1528" s="2266">
        <v>599</v>
      </c>
    </row>
    <row r="1529" spans="1:13" ht="15">
      <c r="A1529" s="2266" t="s">
        <v>4244</v>
      </c>
      <c r="B1529" s="2465" t="str">
        <f>CONCATENATE(LEFT(RIGHT(CONCATENATE("000",IFAData_TEA_1617!A1529),6),3),"-",(RIGHT(RIGHT(CONCATENATE("000",IFAData_TEA_1617!A1529),6),3)))</f>
        <v>129-904</v>
      </c>
      <c r="C1529" s="2266" t="s">
        <v>453</v>
      </c>
      <c r="D1529" s="2266">
        <v>3</v>
      </c>
      <c r="E1529" s="2266">
        <v>1953</v>
      </c>
      <c r="F1529" s="2266" t="s">
        <v>5827</v>
      </c>
      <c r="G1529" s="2266" t="s">
        <v>5828</v>
      </c>
      <c r="H1529" s="2266">
        <v>438984</v>
      </c>
      <c r="I1529" s="2266">
        <v>0</v>
      </c>
      <c r="J1529" s="2266">
        <v>0</v>
      </c>
      <c r="K1529" s="2266">
        <v>0</v>
      </c>
      <c r="L1529" s="2266">
        <v>0</v>
      </c>
      <c r="M1529" s="2266">
        <v>599</v>
      </c>
    </row>
    <row r="1530" spans="1:13" ht="15">
      <c r="A1530" s="2266" t="s">
        <v>4244</v>
      </c>
      <c r="B1530" s="2465" t="str">
        <f>CONCATENATE(LEFT(RIGHT(CONCATENATE("000",IFAData_TEA_1617!A1530),6),3),"-",(RIGHT(RIGHT(CONCATENATE("000",IFAData_TEA_1617!A1530),6),3)))</f>
        <v>129-904</v>
      </c>
      <c r="C1530" s="2266" t="s">
        <v>453</v>
      </c>
      <c r="D1530" s="2266">
        <v>3</v>
      </c>
      <c r="E1530" s="2266">
        <v>1953</v>
      </c>
      <c r="F1530" s="2266" t="s">
        <v>5827</v>
      </c>
      <c r="G1530" s="2266" t="s">
        <v>5827</v>
      </c>
      <c r="H1530" s="2266">
        <v>438984</v>
      </c>
      <c r="I1530" s="2266">
        <v>0</v>
      </c>
      <c r="J1530" s="2266">
        <v>0</v>
      </c>
      <c r="K1530" s="2266">
        <v>0</v>
      </c>
      <c r="L1530" s="2266">
        <v>0</v>
      </c>
      <c r="M1530" s="2266">
        <v>599</v>
      </c>
    </row>
    <row r="1531" spans="1:13" ht="15">
      <c r="A1531" s="2266" t="s">
        <v>4244</v>
      </c>
      <c r="B1531" s="2465" t="str">
        <f>CONCATENATE(LEFT(RIGHT(CONCATENATE("000",IFAData_TEA_1617!A1531),6),3),"-",(RIGHT(RIGHT(CONCATENATE("000",IFAData_TEA_1617!A1531),6),3)))</f>
        <v>129-904</v>
      </c>
      <c r="C1531" s="2266" t="s">
        <v>453</v>
      </c>
      <c r="D1531" s="2266">
        <v>9</v>
      </c>
      <c r="E1531" s="2266">
        <v>1952</v>
      </c>
      <c r="F1531" s="2266" t="s">
        <v>5830</v>
      </c>
      <c r="G1531" s="2266" t="s">
        <v>7231</v>
      </c>
      <c r="H1531" s="2266">
        <v>395867</v>
      </c>
      <c r="I1531" s="2266">
        <v>145152</v>
      </c>
      <c r="J1531" s="2266">
        <v>0.10893175555195332</v>
      </c>
      <c r="K1531" s="2266">
        <v>43122.487275085106</v>
      </c>
      <c r="L1531" s="2266">
        <v>43122.487275085106</v>
      </c>
      <c r="M1531" s="2266">
        <v>599</v>
      </c>
    </row>
    <row r="1532" spans="1:13" ht="15">
      <c r="A1532" s="2266" t="s">
        <v>4244</v>
      </c>
      <c r="B1532" s="2465" t="str">
        <f>CONCATENATE(LEFT(RIGHT(CONCATENATE("000",IFAData_TEA_1617!A1532),6),3),"-",(RIGHT(RIGHT(CONCATENATE("000",IFAData_TEA_1617!A1532),6),3)))</f>
        <v>129-904</v>
      </c>
      <c r="C1532" s="2266" t="s">
        <v>453</v>
      </c>
      <c r="D1532" s="2266">
        <v>9</v>
      </c>
      <c r="E1532" s="2266">
        <v>1952</v>
      </c>
      <c r="F1532" s="2266" t="s">
        <v>5830</v>
      </c>
      <c r="G1532" s="2266" t="s">
        <v>5830</v>
      </c>
      <c r="H1532" s="2266">
        <v>395867</v>
      </c>
      <c r="I1532" s="2266">
        <v>505594</v>
      </c>
      <c r="J1532" s="2266">
        <v>0.37943150639697892</v>
      </c>
      <c r="K1532" s="2266">
        <v>150204.41214285285</v>
      </c>
      <c r="L1532" s="2266">
        <v>150204.41214285285</v>
      </c>
      <c r="M1532" s="2266">
        <v>599</v>
      </c>
    </row>
    <row r="1533" spans="1:13" ht="15">
      <c r="A1533" s="2266" t="s">
        <v>4245</v>
      </c>
      <c r="B1533" s="2465" t="str">
        <f>CONCATENATE(LEFT(RIGHT(CONCATENATE("000",IFAData_TEA_1617!A1533),6),3),"-",(RIGHT(RIGHT(CONCATENATE("000",IFAData_TEA_1617!A1533),6),3)))</f>
        <v>129-910</v>
      </c>
      <c r="C1533" s="2266" t="s">
        <v>1415</v>
      </c>
      <c r="D1533" s="2266">
        <v>6</v>
      </c>
      <c r="E1533" s="2266">
        <v>2322</v>
      </c>
      <c r="F1533" s="2266" t="s">
        <v>5832</v>
      </c>
      <c r="G1533" s="2266" t="s">
        <v>5833</v>
      </c>
      <c r="H1533" s="2266">
        <v>186248</v>
      </c>
      <c r="I1533" s="2266">
        <v>250324</v>
      </c>
      <c r="J1533" s="2266">
        <v>0.41931020620110887</v>
      </c>
      <c r="K1533" s="2266">
        <v>78095.687284544125</v>
      </c>
      <c r="L1533" s="2266">
        <v>78095.687284544125</v>
      </c>
      <c r="M1533" s="2266">
        <v>599</v>
      </c>
    </row>
    <row r="1534" spans="1:13" ht="15">
      <c r="A1534" s="2266" t="s">
        <v>4245</v>
      </c>
      <c r="B1534" s="2465" t="str">
        <f>CONCATENATE(LEFT(RIGHT(CONCATENATE("000",IFAData_TEA_1617!A1534),6),3),"-",(RIGHT(RIGHT(CONCATENATE("000",IFAData_TEA_1617!A1534),6),3)))</f>
        <v>129-910</v>
      </c>
      <c r="C1534" s="2266" t="s">
        <v>1415</v>
      </c>
      <c r="D1534" s="2266">
        <v>6</v>
      </c>
      <c r="E1534" s="2266">
        <v>2322</v>
      </c>
      <c r="F1534" s="2266" t="s">
        <v>5832</v>
      </c>
      <c r="G1534" s="2266" t="s">
        <v>5834</v>
      </c>
      <c r="H1534" s="2266">
        <v>186248</v>
      </c>
      <c r="I1534" s="2266">
        <v>36173</v>
      </c>
      <c r="J1534" s="2266">
        <v>6.0592304728722422E-2</v>
      </c>
      <c r="K1534" s="2266">
        <v>11285.195571115093</v>
      </c>
      <c r="L1534" s="2266">
        <v>11285.195571115093</v>
      </c>
      <c r="M1534" s="2266">
        <v>599</v>
      </c>
    </row>
    <row r="1535" spans="1:13" ht="15">
      <c r="A1535" s="2266" t="s">
        <v>4245</v>
      </c>
      <c r="B1535" s="2465" t="str">
        <f>CONCATENATE(LEFT(RIGHT(CONCATENATE("000",IFAData_TEA_1617!A1535),6),3),"-",(RIGHT(RIGHT(CONCATENATE("000",IFAData_TEA_1617!A1535),6),3)))</f>
        <v>129-910</v>
      </c>
      <c r="C1535" s="2266" t="s">
        <v>1415</v>
      </c>
      <c r="D1535" s="2266">
        <v>2</v>
      </c>
      <c r="E1535" s="2266">
        <v>2321</v>
      </c>
      <c r="F1535" s="2266" t="s">
        <v>5831</v>
      </c>
      <c r="G1535" s="2266" t="s">
        <v>5831</v>
      </c>
      <c r="H1535" s="2266">
        <v>170846</v>
      </c>
      <c r="I1535" s="2266">
        <v>0</v>
      </c>
      <c r="J1535" s="2266">
        <v>0</v>
      </c>
      <c r="K1535" s="2266"/>
      <c r="L1535" s="2266">
        <v>0</v>
      </c>
      <c r="M1535" s="2266">
        <v>199</v>
      </c>
    </row>
    <row r="1536" spans="1:13" ht="15">
      <c r="A1536" s="2266" t="s">
        <v>4245</v>
      </c>
      <c r="B1536" s="2465" t="str">
        <f>CONCATENATE(LEFT(RIGHT(CONCATENATE("000",IFAData_TEA_1617!A1536),6),3),"-",(RIGHT(RIGHT(CONCATENATE("000",IFAData_TEA_1617!A1536),6),3)))</f>
        <v>129-910</v>
      </c>
      <c r="C1536" s="2266" t="s">
        <v>1415</v>
      </c>
      <c r="D1536" s="2266">
        <v>6</v>
      </c>
      <c r="E1536" s="2266">
        <v>2322</v>
      </c>
      <c r="F1536" s="2266" t="s">
        <v>5832</v>
      </c>
      <c r="G1536" s="2266" t="s">
        <v>5832</v>
      </c>
      <c r="H1536" s="2266">
        <v>186248</v>
      </c>
      <c r="I1536" s="2266">
        <v>310493</v>
      </c>
      <c r="J1536" s="2266">
        <v>0.52009748907016873</v>
      </c>
      <c r="K1536" s="2266">
        <v>96867.11714434078</v>
      </c>
      <c r="L1536" s="2266">
        <v>96867.11714434078</v>
      </c>
      <c r="M1536" s="2266">
        <v>599</v>
      </c>
    </row>
    <row r="1537" spans="1:13" ht="15">
      <c r="A1537" s="2266" t="s">
        <v>4246</v>
      </c>
      <c r="B1537" s="2465" t="str">
        <f>CONCATENATE(LEFT(RIGHT(CONCATENATE("000",IFAData_TEA_1617!A1537),6),3),"-",(RIGHT(RIGHT(CONCATENATE("000",IFAData_TEA_1617!A1537),6),3)))</f>
        <v>133-901</v>
      </c>
      <c r="C1537" s="2266" t="s">
        <v>734</v>
      </c>
      <c r="D1537" s="2266">
        <v>6</v>
      </c>
      <c r="E1537" s="2266">
        <v>1674</v>
      </c>
      <c r="F1537" s="2266" t="s">
        <v>5835</v>
      </c>
      <c r="G1537" s="2266" t="s">
        <v>5835</v>
      </c>
      <c r="H1537" s="2266">
        <v>140055</v>
      </c>
      <c r="I1537" s="2266">
        <v>0</v>
      </c>
      <c r="J1537" s="2266">
        <v>0</v>
      </c>
      <c r="K1537" s="2266">
        <v>0</v>
      </c>
      <c r="L1537" s="2266">
        <v>0</v>
      </c>
      <c r="M1537" s="2266">
        <v>599</v>
      </c>
    </row>
    <row r="1538" spans="1:13" ht="15">
      <c r="A1538" s="2266" t="s">
        <v>4246</v>
      </c>
      <c r="B1538" s="2465" t="str">
        <f>CONCATENATE(LEFT(RIGHT(CONCATENATE("000",IFAData_TEA_1617!A1538),6),3),"-",(RIGHT(RIGHT(CONCATENATE("000",IFAData_TEA_1617!A1538),6),3)))</f>
        <v>133-901</v>
      </c>
      <c r="C1538" s="2266" t="s">
        <v>734</v>
      </c>
      <c r="D1538" s="2266">
        <v>6</v>
      </c>
      <c r="E1538" s="2266">
        <v>1674</v>
      </c>
      <c r="F1538" s="2266" t="s">
        <v>5835</v>
      </c>
      <c r="G1538" s="2266" t="s">
        <v>5836</v>
      </c>
      <c r="H1538" s="2266">
        <v>140055</v>
      </c>
      <c r="I1538" s="2266">
        <v>136375</v>
      </c>
      <c r="J1538" s="2266">
        <v>1</v>
      </c>
      <c r="K1538" s="2266">
        <v>140055</v>
      </c>
      <c r="L1538" s="2266">
        <v>136375</v>
      </c>
      <c r="M1538" s="2266">
        <v>599</v>
      </c>
    </row>
    <row r="1539" spans="1:13" ht="15">
      <c r="A1539" s="2266" t="s">
        <v>4247</v>
      </c>
      <c r="B1539" s="2465" t="str">
        <f>CONCATENATE(LEFT(RIGHT(CONCATENATE("000",IFAData_TEA_1617!A1539),6),3),"-",(RIGHT(RIGHT(CONCATENATE("000",IFAData_TEA_1617!A1539),6),3)))</f>
        <v>137-901</v>
      </c>
      <c r="C1539" s="2266" t="s">
        <v>2295</v>
      </c>
      <c r="D1539" s="2266">
        <v>9</v>
      </c>
      <c r="E1539" s="2266">
        <v>1960</v>
      </c>
      <c r="F1539" s="2266" t="s">
        <v>5840</v>
      </c>
      <c r="G1539" s="2266" t="s">
        <v>7012</v>
      </c>
      <c r="H1539" s="2266">
        <v>889358</v>
      </c>
      <c r="I1539" s="2266">
        <v>303475</v>
      </c>
      <c r="J1539" s="2266">
        <v>0.21977675794248833</v>
      </c>
      <c r="K1539" s="2266">
        <v>195460.21789021554</v>
      </c>
      <c r="L1539" s="2266">
        <v>195460.21789021554</v>
      </c>
      <c r="M1539" s="2266">
        <v>599</v>
      </c>
    </row>
    <row r="1540" spans="1:13" ht="15">
      <c r="A1540" s="2266" t="s">
        <v>4247</v>
      </c>
      <c r="B1540" s="2465" t="str">
        <f>CONCATENATE(LEFT(RIGHT(CONCATENATE("000",IFAData_TEA_1617!A1540),6),3),"-",(RIGHT(RIGHT(CONCATENATE("000",IFAData_TEA_1617!A1540),6),3)))</f>
        <v>137-901</v>
      </c>
      <c r="C1540" s="2266" t="s">
        <v>2295</v>
      </c>
      <c r="D1540" s="2266">
        <v>9</v>
      </c>
      <c r="E1540" s="2266">
        <v>1960</v>
      </c>
      <c r="F1540" s="2266" t="s">
        <v>5840</v>
      </c>
      <c r="G1540" s="2266" t="s">
        <v>7013</v>
      </c>
      <c r="H1540" s="2266">
        <v>889358</v>
      </c>
      <c r="I1540" s="2266">
        <v>350500</v>
      </c>
      <c r="J1540" s="2266">
        <v>0.25383228819125847</v>
      </c>
      <c r="K1540" s="2266">
        <v>225747.77616120124</v>
      </c>
      <c r="L1540" s="2266">
        <v>225747.77616120124</v>
      </c>
      <c r="M1540" s="2266">
        <v>599</v>
      </c>
    </row>
    <row r="1541" spans="1:13" ht="15">
      <c r="A1541" s="2266" t="s">
        <v>4247</v>
      </c>
      <c r="B1541" s="2465" t="str">
        <f>CONCATENATE(LEFT(RIGHT(CONCATENATE("000",IFAData_TEA_1617!A1541),6),3),"-",(RIGHT(RIGHT(CONCATENATE("000",IFAData_TEA_1617!A1541),6),3)))</f>
        <v>137-901</v>
      </c>
      <c r="C1541" s="2266" t="s">
        <v>2295</v>
      </c>
      <c r="D1541" s="2266">
        <v>6</v>
      </c>
      <c r="E1541" s="2266">
        <v>1961</v>
      </c>
      <c r="F1541" s="2266" t="s">
        <v>5837</v>
      </c>
      <c r="G1541" s="2266" t="s">
        <v>5838</v>
      </c>
      <c r="H1541" s="2266">
        <v>1060285</v>
      </c>
      <c r="I1541" s="2266">
        <v>124900</v>
      </c>
      <c r="J1541" s="2266">
        <v>0.10824245964306854</v>
      </c>
      <c r="K1541" s="2266">
        <v>114767.85632265093</v>
      </c>
      <c r="L1541" s="2266">
        <v>114767.85632265093</v>
      </c>
      <c r="M1541" s="2266">
        <v>599</v>
      </c>
    </row>
    <row r="1542" spans="1:13" ht="15">
      <c r="A1542" s="2266" t="s">
        <v>4247</v>
      </c>
      <c r="B1542" s="2465" t="str">
        <f>CONCATENATE(LEFT(RIGHT(CONCATENATE("000",IFAData_TEA_1617!A1542),6),3),"-",(RIGHT(RIGHT(CONCATENATE("000",IFAData_TEA_1617!A1542),6),3)))</f>
        <v>137-901</v>
      </c>
      <c r="C1542" s="2266" t="s">
        <v>2295</v>
      </c>
      <c r="D1542" s="2266">
        <v>6</v>
      </c>
      <c r="E1542" s="2266">
        <v>1961</v>
      </c>
      <c r="F1542" s="2266" t="s">
        <v>5837</v>
      </c>
      <c r="G1542" s="2266" t="s">
        <v>5837</v>
      </c>
      <c r="H1542" s="2266">
        <v>1060285</v>
      </c>
      <c r="I1542" s="2266">
        <v>0</v>
      </c>
      <c r="J1542" s="2266">
        <v>0</v>
      </c>
      <c r="K1542" s="2266">
        <v>0</v>
      </c>
      <c r="L1542" s="2266">
        <v>0</v>
      </c>
      <c r="M1542" s="2266">
        <v>599</v>
      </c>
    </row>
    <row r="1543" spans="1:13" ht="15">
      <c r="A1543" s="2266" t="s">
        <v>4247</v>
      </c>
      <c r="B1543" s="2465" t="str">
        <f>CONCATENATE(LEFT(RIGHT(CONCATENATE("000",IFAData_TEA_1617!A1543),6),3),"-",(RIGHT(RIGHT(CONCATENATE("000",IFAData_TEA_1617!A1543),6),3)))</f>
        <v>137-901</v>
      </c>
      <c r="C1543" s="2266" t="s">
        <v>2295</v>
      </c>
      <c r="D1543" s="2266">
        <v>10</v>
      </c>
      <c r="E1543" s="2266">
        <v>1959</v>
      </c>
      <c r="F1543" s="2266" t="s">
        <v>5841</v>
      </c>
      <c r="G1543" s="2266" t="s">
        <v>5841</v>
      </c>
      <c r="H1543" s="2266">
        <v>861411</v>
      </c>
      <c r="I1543" s="2266">
        <v>859600</v>
      </c>
      <c r="J1543" s="2266">
        <v>1</v>
      </c>
      <c r="K1543" s="2266">
        <v>861411</v>
      </c>
      <c r="L1543" s="2266">
        <v>859600</v>
      </c>
      <c r="M1543" s="2266">
        <v>599</v>
      </c>
    </row>
    <row r="1544" spans="1:13" ht="15">
      <c r="A1544" s="2266" t="s">
        <v>4247</v>
      </c>
      <c r="B1544" s="2465" t="str">
        <f>CONCATENATE(LEFT(RIGHT(CONCATENATE("000",IFAData_TEA_1617!A1544),6),3),"-",(RIGHT(RIGHT(CONCATENATE("000",IFAData_TEA_1617!A1544),6),3)))</f>
        <v>137-901</v>
      </c>
      <c r="C1544" s="2266" t="s">
        <v>2295</v>
      </c>
      <c r="D1544" s="2266">
        <v>6</v>
      </c>
      <c r="E1544" s="2266">
        <v>1961</v>
      </c>
      <c r="F1544" s="2266" t="s">
        <v>5837</v>
      </c>
      <c r="G1544" s="2266" t="s">
        <v>5839</v>
      </c>
      <c r="H1544" s="2266">
        <v>1060285</v>
      </c>
      <c r="I1544" s="2266">
        <v>780350</v>
      </c>
      <c r="J1544" s="2266">
        <v>0.67627704869870719</v>
      </c>
      <c r="K1544" s="2266">
        <v>717046.41057950875</v>
      </c>
      <c r="L1544" s="2266">
        <v>717046.41057950875</v>
      </c>
      <c r="M1544" s="2266">
        <v>599</v>
      </c>
    </row>
    <row r="1545" spans="1:13" ht="15">
      <c r="A1545" s="2266" t="s">
        <v>4247</v>
      </c>
      <c r="B1545" s="2465" t="str">
        <f>CONCATENATE(LEFT(RIGHT(CONCATENATE("000",IFAData_TEA_1617!A1545),6),3),"-",(RIGHT(RIGHT(CONCATENATE("000",IFAData_TEA_1617!A1545),6),3)))</f>
        <v>137-901</v>
      </c>
      <c r="C1545" s="2266" t="s">
        <v>2295</v>
      </c>
      <c r="D1545" s="2266">
        <v>9</v>
      </c>
      <c r="E1545" s="2266">
        <v>1960</v>
      </c>
      <c r="F1545" s="2266" t="s">
        <v>5840</v>
      </c>
      <c r="G1545" s="2266" t="s">
        <v>7232</v>
      </c>
      <c r="H1545" s="2266">
        <v>889358</v>
      </c>
      <c r="I1545" s="2266">
        <v>72220</v>
      </c>
      <c r="J1545" s="2266">
        <v>5.2301762776526921E-2</v>
      </c>
      <c r="K1545" s="2266">
        <v>46514.991139406426</v>
      </c>
      <c r="L1545" s="2266">
        <v>46514.991139406426</v>
      </c>
      <c r="M1545" s="2266">
        <v>599</v>
      </c>
    </row>
    <row r="1546" spans="1:13" ht="15">
      <c r="A1546" s="2266" t="s">
        <v>4247</v>
      </c>
      <c r="B1546" s="2465" t="str">
        <f>CONCATENATE(LEFT(RIGHT(CONCATENATE("000",IFAData_TEA_1617!A1546),6),3),"-",(RIGHT(RIGHT(CONCATENATE("000",IFAData_TEA_1617!A1546),6),3)))</f>
        <v>137-901</v>
      </c>
      <c r="C1546" s="2266" t="s">
        <v>2295</v>
      </c>
      <c r="D1546" s="2266">
        <v>6</v>
      </c>
      <c r="E1546" s="2266">
        <v>1961</v>
      </c>
      <c r="F1546" s="2266" t="s">
        <v>5837</v>
      </c>
      <c r="G1546" s="2266" t="s">
        <v>7232</v>
      </c>
      <c r="H1546" s="2266">
        <v>1060285</v>
      </c>
      <c r="I1546" s="2266">
        <v>248641</v>
      </c>
      <c r="J1546" s="2266">
        <v>0.21548049165822422</v>
      </c>
      <c r="K1546" s="2266">
        <v>228470.73309784028</v>
      </c>
      <c r="L1546" s="2266">
        <v>228470.73309784028</v>
      </c>
      <c r="M1546" s="2266">
        <v>599</v>
      </c>
    </row>
    <row r="1547" spans="1:13" ht="15">
      <c r="A1547" s="2266" t="s">
        <v>4247</v>
      </c>
      <c r="B1547" s="2465" t="str">
        <f>CONCATENATE(LEFT(RIGHT(CONCATENATE("000",IFAData_TEA_1617!A1547),6),3),"-",(RIGHT(RIGHT(CONCATENATE("000",IFAData_TEA_1617!A1547),6),3)))</f>
        <v>137-901</v>
      </c>
      <c r="C1547" s="2266" t="s">
        <v>2295</v>
      </c>
      <c r="D1547" s="2266">
        <v>9</v>
      </c>
      <c r="E1547" s="2266">
        <v>1960</v>
      </c>
      <c r="F1547" s="2266" t="s">
        <v>5840</v>
      </c>
      <c r="G1547" s="2266" t="s">
        <v>5840</v>
      </c>
      <c r="H1547" s="2266">
        <v>889358</v>
      </c>
      <c r="I1547" s="2266">
        <v>654638</v>
      </c>
      <c r="J1547" s="2266">
        <v>0.47408919108972625</v>
      </c>
      <c r="K1547" s="2266">
        <v>421635.01480917673</v>
      </c>
      <c r="L1547" s="2266">
        <v>421635.01480917673</v>
      </c>
      <c r="M1547" s="2266">
        <v>599</v>
      </c>
    </row>
    <row r="1548" spans="1:13" ht="15">
      <c r="A1548" s="2266" t="s">
        <v>4248</v>
      </c>
      <c r="B1548" s="2465" t="str">
        <f>CONCATENATE(LEFT(RIGHT(CONCATENATE("000",IFAData_TEA_1617!A1548),6),3),"-",(RIGHT(RIGHT(CONCATENATE("000",IFAData_TEA_1617!A1548),6),3)))</f>
        <v>138-902</v>
      </c>
      <c r="C1548" s="2266" t="s">
        <v>1904</v>
      </c>
      <c r="D1548" s="2266">
        <v>6</v>
      </c>
      <c r="E1548" s="2266">
        <v>1971</v>
      </c>
      <c r="F1548" s="2266" t="s">
        <v>5842</v>
      </c>
      <c r="G1548" s="2266" t="s">
        <v>5842</v>
      </c>
      <c r="H1548" s="2266">
        <v>88605</v>
      </c>
      <c r="I1548" s="2266">
        <v>92002</v>
      </c>
      <c r="J1548" s="2266">
        <v>1</v>
      </c>
      <c r="K1548" s="2266">
        <v>88605</v>
      </c>
      <c r="L1548" s="2266">
        <v>88605</v>
      </c>
      <c r="M1548" s="2266">
        <v>599</v>
      </c>
    </row>
    <row r="1549" spans="1:13" ht="15">
      <c r="A1549" s="2266" t="s">
        <v>4249</v>
      </c>
      <c r="B1549" s="2465" t="str">
        <f>CONCATENATE(LEFT(RIGHT(CONCATENATE("000",IFAData_TEA_1617!A1549),6),3),"-",(RIGHT(RIGHT(CONCATENATE("000",IFAData_TEA_1617!A1549),6),3)))</f>
        <v>139-908</v>
      </c>
      <c r="C1549" s="2266" t="s">
        <v>667</v>
      </c>
      <c r="D1549" s="2266">
        <v>4</v>
      </c>
      <c r="E1549" s="2266">
        <v>2267</v>
      </c>
      <c r="F1549" s="2266" t="s">
        <v>5843</v>
      </c>
      <c r="G1549" s="2266" t="s">
        <v>5844</v>
      </c>
      <c r="H1549" s="2266">
        <v>84250</v>
      </c>
      <c r="I1549" s="2266">
        <v>78096</v>
      </c>
      <c r="J1549" s="2266">
        <v>1</v>
      </c>
      <c r="K1549" s="2266">
        <v>84250</v>
      </c>
      <c r="L1549" s="2266">
        <v>78096</v>
      </c>
      <c r="M1549" s="2266">
        <v>599</v>
      </c>
    </row>
    <row r="1550" spans="1:13" ht="15">
      <c r="A1550" s="2266" t="s">
        <v>4249</v>
      </c>
      <c r="B1550" s="2465" t="str">
        <f>CONCATENATE(LEFT(RIGHT(CONCATENATE("000",IFAData_TEA_1617!A1550),6),3),"-",(RIGHT(RIGHT(CONCATENATE("000",IFAData_TEA_1617!A1550),6),3)))</f>
        <v>139-908</v>
      </c>
      <c r="C1550" s="2266" t="s">
        <v>667</v>
      </c>
      <c r="D1550" s="2266">
        <v>4</v>
      </c>
      <c r="E1550" s="2266">
        <v>2267</v>
      </c>
      <c r="F1550" s="2266" t="s">
        <v>5843</v>
      </c>
      <c r="G1550" s="2266" t="s">
        <v>5843</v>
      </c>
      <c r="H1550" s="2266">
        <v>84250</v>
      </c>
      <c r="I1550" s="2266">
        <v>0</v>
      </c>
      <c r="J1550" s="2266">
        <v>0</v>
      </c>
      <c r="K1550" s="2266">
        <v>0</v>
      </c>
      <c r="L1550" s="2266">
        <v>0</v>
      </c>
      <c r="M1550" s="2266">
        <v>599</v>
      </c>
    </row>
    <row r="1551" spans="1:13" ht="15">
      <c r="A1551" s="2266" t="s">
        <v>4250</v>
      </c>
      <c r="B1551" s="2465" t="str">
        <f>CONCATENATE(LEFT(RIGHT(CONCATENATE("000",IFAData_TEA_1617!A1551),6),3),"-",(RIGHT(RIGHT(CONCATENATE("000",IFAData_TEA_1617!A1551),6),3)))</f>
        <v>139-909</v>
      </c>
      <c r="C1551" s="2266" t="s">
        <v>226</v>
      </c>
      <c r="D1551" s="2266">
        <v>10</v>
      </c>
      <c r="E1551" s="2266">
        <v>2175</v>
      </c>
      <c r="F1551" s="2266" t="s">
        <v>5850</v>
      </c>
      <c r="G1551" s="2266" t="s">
        <v>5850</v>
      </c>
      <c r="H1551" s="2266">
        <v>185701</v>
      </c>
      <c r="I1551" s="2266">
        <v>178750</v>
      </c>
      <c r="J1551" s="2266">
        <v>1</v>
      </c>
      <c r="K1551" s="2266">
        <v>185701</v>
      </c>
      <c r="L1551" s="2266">
        <v>178750</v>
      </c>
      <c r="M1551" s="2266">
        <v>599</v>
      </c>
    </row>
    <row r="1552" spans="1:13" ht="15">
      <c r="A1552" s="2266" t="s">
        <v>4250</v>
      </c>
      <c r="B1552" s="2465" t="str">
        <f>CONCATENATE(LEFT(RIGHT(CONCATENATE("000",IFAData_TEA_1617!A1552),6),3),"-",(RIGHT(RIGHT(CONCATENATE("000",IFAData_TEA_1617!A1552),6),3)))</f>
        <v>139-909</v>
      </c>
      <c r="C1552" s="2266" t="s">
        <v>226</v>
      </c>
      <c r="D1552" s="2266">
        <v>1</v>
      </c>
      <c r="E1552" s="2266">
        <v>2177</v>
      </c>
      <c r="F1552" s="2266" t="s">
        <v>5845</v>
      </c>
      <c r="G1552" s="2266" t="s">
        <v>5845</v>
      </c>
      <c r="H1552" s="2266">
        <v>824548</v>
      </c>
      <c r="I1552" s="2266">
        <v>0</v>
      </c>
      <c r="J1552" s="2266">
        <v>0</v>
      </c>
      <c r="K1552" s="2266"/>
      <c r="L1552" s="2266">
        <v>0</v>
      </c>
      <c r="M1552" s="2266">
        <v>599</v>
      </c>
    </row>
    <row r="1553" spans="1:13" ht="15">
      <c r="A1553" s="2266" t="s">
        <v>4250</v>
      </c>
      <c r="B1553" s="2465" t="str">
        <f>CONCATENATE(LEFT(RIGHT(CONCATENATE("000",IFAData_TEA_1617!A1553),6),3),"-",(RIGHT(RIGHT(CONCATENATE("000",IFAData_TEA_1617!A1553),6),3)))</f>
        <v>139-909</v>
      </c>
      <c r="C1553" s="2266" t="s">
        <v>226</v>
      </c>
      <c r="D1553" s="2266">
        <v>10</v>
      </c>
      <c r="E1553" s="2266">
        <v>2176</v>
      </c>
      <c r="F1553" s="2266" t="s">
        <v>5849</v>
      </c>
      <c r="G1553" s="2266" t="s">
        <v>5849</v>
      </c>
      <c r="H1553" s="2266">
        <v>493697</v>
      </c>
      <c r="I1553" s="2266">
        <v>410197</v>
      </c>
      <c r="J1553" s="2266">
        <v>1</v>
      </c>
      <c r="K1553" s="2266">
        <v>493697</v>
      </c>
      <c r="L1553" s="2266">
        <v>410197</v>
      </c>
      <c r="M1553" s="2266">
        <v>599</v>
      </c>
    </row>
    <row r="1554" spans="1:13" ht="15">
      <c r="A1554" s="2266" t="s">
        <v>4251</v>
      </c>
      <c r="B1554" s="2465" t="str">
        <f>CONCATENATE(LEFT(RIGHT(CONCATENATE("000",IFAData_TEA_1617!A1554),6),3),"-",(RIGHT(RIGHT(CONCATENATE("000",IFAData_TEA_1617!A1554),6),3)))</f>
        <v>139-912</v>
      </c>
      <c r="C1554" s="2266" t="s">
        <v>2411</v>
      </c>
      <c r="D1554" s="2266">
        <v>6</v>
      </c>
      <c r="E1554" s="2266">
        <v>2208</v>
      </c>
      <c r="F1554" s="2266" t="s">
        <v>5851</v>
      </c>
      <c r="G1554" s="2266" t="s">
        <v>5853</v>
      </c>
      <c r="H1554" s="2266">
        <v>229112</v>
      </c>
      <c r="I1554" s="2266">
        <v>82026</v>
      </c>
      <c r="J1554" s="2266">
        <v>0.23964310338782999</v>
      </c>
      <c r="K1554" s="2266">
        <v>54905.110703392507</v>
      </c>
      <c r="L1554" s="2266">
        <v>54905.110703392507</v>
      </c>
      <c r="M1554" s="2266">
        <v>599</v>
      </c>
    </row>
    <row r="1555" spans="1:13" ht="15">
      <c r="A1555" s="2266" t="s">
        <v>4251</v>
      </c>
      <c r="B1555" s="2465" t="str">
        <f>CONCATENATE(LEFT(RIGHT(CONCATENATE("000",IFAData_TEA_1617!A1555),6),3),"-",(RIGHT(RIGHT(CONCATENATE("000",IFAData_TEA_1617!A1555),6),3)))</f>
        <v>139-912</v>
      </c>
      <c r="C1555" s="2266" t="s">
        <v>2411</v>
      </c>
      <c r="D1555" s="2266">
        <v>6</v>
      </c>
      <c r="E1555" s="2266">
        <v>2208</v>
      </c>
      <c r="F1555" s="2266" t="s">
        <v>5851</v>
      </c>
      <c r="G1555" s="2266" t="s">
        <v>5852</v>
      </c>
      <c r="H1555" s="2266">
        <v>229112</v>
      </c>
      <c r="I1555" s="2266">
        <v>260258</v>
      </c>
      <c r="J1555" s="2266">
        <v>0.76035689661216999</v>
      </c>
      <c r="K1555" s="2266">
        <v>174206.88929660749</v>
      </c>
      <c r="L1555" s="2266">
        <v>174206.88929660749</v>
      </c>
      <c r="M1555" s="2266">
        <v>599</v>
      </c>
    </row>
    <row r="1556" spans="1:13" ht="15">
      <c r="A1556" s="2266" t="s">
        <v>4251</v>
      </c>
      <c r="B1556" s="2465" t="str">
        <f>CONCATENATE(LEFT(RIGHT(CONCATENATE("000",IFAData_TEA_1617!A1556),6),3),"-",(RIGHT(RIGHT(CONCATENATE("000",IFAData_TEA_1617!A1556),6),3)))</f>
        <v>139-912</v>
      </c>
      <c r="C1556" s="2266" t="s">
        <v>2411</v>
      </c>
      <c r="D1556" s="2266">
        <v>6</v>
      </c>
      <c r="E1556" s="2266">
        <v>2208</v>
      </c>
      <c r="F1556" s="2266" t="s">
        <v>5851</v>
      </c>
      <c r="G1556" s="2266" t="s">
        <v>5851</v>
      </c>
      <c r="H1556" s="2266">
        <v>229112</v>
      </c>
      <c r="I1556" s="2266">
        <v>0</v>
      </c>
      <c r="J1556" s="2266">
        <v>0</v>
      </c>
      <c r="K1556" s="2266">
        <v>0</v>
      </c>
      <c r="L1556" s="2266">
        <v>0</v>
      </c>
      <c r="M1556" s="2266">
        <v>599</v>
      </c>
    </row>
    <row r="1557" spans="1:13" ht="15">
      <c r="A1557" s="2266" t="s">
        <v>5854</v>
      </c>
      <c r="B1557" s="2465" t="str">
        <f>CONCATENATE(LEFT(RIGHT(CONCATENATE("000",IFAData_TEA_1617!A1557),6),3),"-",(RIGHT(RIGHT(CONCATENATE("000",IFAData_TEA_1617!A1557),6),3)))</f>
        <v>140-905</v>
      </c>
      <c r="C1557" s="2266" t="s">
        <v>934</v>
      </c>
      <c r="D1557" s="2266">
        <v>2</v>
      </c>
      <c r="E1557" s="2266">
        <v>2161</v>
      </c>
      <c r="F1557" s="2266" t="s">
        <v>5855</v>
      </c>
      <c r="G1557" s="2266" t="s">
        <v>5855</v>
      </c>
      <c r="H1557" s="2266">
        <v>187763</v>
      </c>
      <c r="I1557" s="2266">
        <v>0</v>
      </c>
      <c r="J1557" s="2266">
        <v>0</v>
      </c>
      <c r="K1557" s="2266">
        <v>0</v>
      </c>
      <c r="L1557" s="2266">
        <v>0</v>
      </c>
      <c r="M1557" s="2266">
        <v>599</v>
      </c>
    </row>
    <row r="1558" spans="1:13" ht="15">
      <c r="A1558" s="2266" t="s">
        <v>5854</v>
      </c>
      <c r="B1558" s="2465" t="str">
        <f>CONCATENATE(LEFT(RIGHT(CONCATENATE("000",IFAData_TEA_1617!A1558),6),3),"-",(RIGHT(RIGHT(CONCATENATE("000",IFAData_TEA_1617!A1558),6),3)))</f>
        <v>140-905</v>
      </c>
      <c r="C1558" s="2266" t="s">
        <v>934</v>
      </c>
      <c r="D1558" s="2266">
        <v>2</v>
      </c>
      <c r="E1558" s="2266">
        <v>2161</v>
      </c>
      <c r="F1558" s="2266" t="s">
        <v>5855</v>
      </c>
      <c r="G1558" s="2266" t="s">
        <v>5856</v>
      </c>
      <c r="H1558" s="2266">
        <v>187763</v>
      </c>
      <c r="I1558" s="2266">
        <v>192062</v>
      </c>
      <c r="J1558" s="2266">
        <v>1</v>
      </c>
      <c r="K1558" s="2266">
        <v>187763</v>
      </c>
      <c r="L1558" s="2266">
        <v>187763</v>
      </c>
      <c r="M1558" s="2266">
        <v>599</v>
      </c>
    </row>
    <row r="1559" spans="1:13" ht="15">
      <c r="A1559" s="2266" t="s">
        <v>4252</v>
      </c>
      <c r="B1559" s="2465" t="str">
        <f>CONCATENATE(LEFT(RIGHT(CONCATENATE("000",IFAData_TEA_1617!A1559),6),3),"-",(RIGHT(RIGHT(CONCATENATE("000",IFAData_TEA_1617!A1559),6),3)))</f>
        <v>141-901</v>
      </c>
      <c r="C1559" s="2266" t="s">
        <v>1069</v>
      </c>
      <c r="D1559" s="2266">
        <v>9</v>
      </c>
      <c r="E1559" s="2266">
        <v>2002</v>
      </c>
      <c r="F1559" s="2266" t="s">
        <v>5857</v>
      </c>
      <c r="G1559" s="2266" t="s">
        <v>5859</v>
      </c>
      <c r="H1559" s="2266">
        <v>800000</v>
      </c>
      <c r="I1559" s="2266">
        <v>2456356</v>
      </c>
      <c r="J1559" s="2266">
        <v>0.90079258992776734</v>
      </c>
      <c r="K1559" s="2266">
        <v>720634.07194221392</v>
      </c>
      <c r="L1559" s="2266">
        <v>720634.07194221392</v>
      </c>
      <c r="M1559" s="2266">
        <v>599</v>
      </c>
    </row>
    <row r="1560" spans="1:13" ht="15">
      <c r="A1560" s="2266" t="s">
        <v>4252</v>
      </c>
      <c r="B1560" s="2465" t="str">
        <f>CONCATENATE(LEFT(RIGHT(CONCATENATE("000",IFAData_TEA_1617!A1560),6),3),"-",(RIGHT(RIGHT(CONCATENATE("000",IFAData_TEA_1617!A1560),6),3)))</f>
        <v>141-901</v>
      </c>
      <c r="C1560" s="2266" t="s">
        <v>1069</v>
      </c>
      <c r="D1560" s="2266">
        <v>9</v>
      </c>
      <c r="E1560" s="2266">
        <v>2002</v>
      </c>
      <c r="F1560" s="2266" t="s">
        <v>5857</v>
      </c>
      <c r="G1560" s="2266" t="s">
        <v>5858</v>
      </c>
      <c r="H1560" s="2266">
        <v>800000</v>
      </c>
      <c r="I1560" s="2266">
        <v>270527</v>
      </c>
      <c r="J1560" s="2266">
        <v>9.920741007223266E-2</v>
      </c>
      <c r="K1560" s="2266">
        <v>79365.928057786121</v>
      </c>
      <c r="L1560" s="2266">
        <v>79365.928057786121</v>
      </c>
      <c r="M1560" s="2266">
        <v>599</v>
      </c>
    </row>
    <row r="1561" spans="1:13" ht="15">
      <c r="A1561" s="2266" t="s">
        <v>4252</v>
      </c>
      <c r="B1561" s="2465" t="str">
        <f>CONCATENATE(LEFT(RIGHT(CONCATENATE("000",IFAData_TEA_1617!A1561),6),3),"-",(RIGHT(RIGHT(CONCATENATE("000",IFAData_TEA_1617!A1561),6),3)))</f>
        <v>141-901</v>
      </c>
      <c r="C1561" s="2266" t="s">
        <v>1069</v>
      </c>
      <c r="D1561" s="2266">
        <v>9</v>
      </c>
      <c r="E1561" s="2266">
        <v>2002</v>
      </c>
      <c r="F1561" s="2266" t="s">
        <v>5857</v>
      </c>
      <c r="G1561" s="2266" t="s">
        <v>5857</v>
      </c>
      <c r="H1561" s="2266">
        <v>800000</v>
      </c>
      <c r="I1561" s="2266">
        <v>0</v>
      </c>
      <c r="J1561" s="2266">
        <v>0</v>
      </c>
      <c r="K1561" s="2266">
        <v>0</v>
      </c>
      <c r="L1561" s="2266">
        <v>0</v>
      </c>
      <c r="M1561" s="2266">
        <v>599</v>
      </c>
    </row>
    <row r="1562" spans="1:13" ht="15">
      <c r="A1562" s="2266" t="s">
        <v>4253</v>
      </c>
      <c r="B1562" s="2465" t="str">
        <f>CONCATENATE(LEFT(RIGHT(CONCATENATE("000",IFAData_TEA_1617!A1562),6),3),"-",(RIGHT(RIGHT(CONCATENATE("000",IFAData_TEA_1617!A1562),6),3)))</f>
        <v>142-901</v>
      </c>
      <c r="C1562" s="2266" t="s">
        <v>1258</v>
      </c>
      <c r="D1562" s="2266">
        <v>2</v>
      </c>
      <c r="E1562" s="2266">
        <v>1726</v>
      </c>
      <c r="F1562" s="2266" t="s">
        <v>5860</v>
      </c>
      <c r="G1562" s="2266" t="s">
        <v>5860</v>
      </c>
      <c r="H1562" s="2266">
        <v>282771</v>
      </c>
      <c r="I1562" s="2266">
        <v>0</v>
      </c>
      <c r="J1562" s="2266">
        <v>0</v>
      </c>
      <c r="K1562" s="2266">
        <v>0</v>
      </c>
      <c r="L1562" s="2266">
        <v>0</v>
      </c>
      <c r="M1562" s="2266">
        <v>599</v>
      </c>
    </row>
    <row r="1563" spans="1:13" ht="15">
      <c r="A1563" s="2266" t="s">
        <v>4253</v>
      </c>
      <c r="B1563" s="2465" t="str">
        <f>CONCATENATE(LEFT(RIGHT(CONCATENATE("000",IFAData_TEA_1617!A1563),6),3),"-",(RIGHT(RIGHT(CONCATENATE("000",IFAData_TEA_1617!A1563),6),3)))</f>
        <v>142-901</v>
      </c>
      <c r="C1563" s="2266" t="s">
        <v>1258</v>
      </c>
      <c r="D1563" s="2266">
        <v>2</v>
      </c>
      <c r="E1563" s="2266">
        <v>1726</v>
      </c>
      <c r="F1563" s="2266" t="s">
        <v>5860</v>
      </c>
      <c r="G1563" s="2266" t="s">
        <v>5861</v>
      </c>
      <c r="H1563" s="2266">
        <v>282771</v>
      </c>
      <c r="I1563" s="2266">
        <v>235800</v>
      </c>
      <c r="J1563" s="2266">
        <v>1</v>
      </c>
      <c r="K1563" s="2266">
        <v>282771</v>
      </c>
      <c r="L1563" s="2266">
        <v>235800</v>
      </c>
      <c r="M1563" s="2266">
        <v>599</v>
      </c>
    </row>
    <row r="1564" spans="1:13" ht="15">
      <c r="A1564" s="2266" t="s">
        <v>4254</v>
      </c>
      <c r="B1564" s="2465" t="str">
        <f>CONCATENATE(LEFT(RIGHT(CONCATENATE("000",IFAData_TEA_1617!A1564),6),3),"-",(RIGHT(RIGHT(CONCATENATE("000",IFAData_TEA_1617!A1564),6),3)))</f>
        <v>146-901</v>
      </c>
      <c r="C1564" s="2266" t="s">
        <v>1329</v>
      </c>
      <c r="D1564" s="2266">
        <v>5</v>
      </c>
      <c r="E1564" s="2266">
        <v>1694</v>
      </c>
      <c r="F1564" s="2266" t="s">
        <v>5862</v>
      </c>
      <c r="G1564" s="2266" t="s">
        <v>5864</v>
      </c>
      <c r="H1564" s="2266">
        <v>754473</v>
      </c>
      <c r="I1564" s="2266">
        <v>813726</v>
      </c>
      <c r="J1564" s="2266">
        <v>0.55242882368395863</v>
      </c>
      <c r="K1564" s="2266">
        <v>416792.6318913073</v>
      </c>
      <c r="L1564" s="2266">
        <v>416792.6318913073</v>
      </c>
      <c r="M1564" s="2266">
        <v>599</v>
      </c>
    </row>
    <row r="1565" spans="1:13" ht="15">
      <c r="A1565" s="2266" t="s">
        <v>4254</v>
      </c>
      <c r="B1565" s="2465" t="str">
        <f>CONCATENATE(LEFT(RIGHT(CONCATENATE("000",IFAData_TEA_1617!A1565),6),3),"-",(RIGHT(RIGHT(CONCATENATE("000",IFAData_TEA_1617!A1565),6),3)))</f>
        <v>146-901</v>
      </c>
      <c r="C1565" s="2266" t="s">
        <v>1329</v>
      </c>
      <c r="D1565" s="2266">
        <v>5</v>
      </c>
      <c r="E1565" s="2266">
        <v>1694</v>
      </c>
      <c r="F1565" s="2266" t="s">
        <v>5862</v>
      </c>
      <c r="G1565" s="2266" t="s">
        <v>5863</v>
      </c>
      <c r="H1565" s="2266">
        <v>754473</v>
      </c>
      <c r="I1565" s="2266">
        <v>158630</v>
      </c>
      <c r="J1565" s="2266">
        <v>0.10769200480381155</v>
      </c>
      <c r="K1565" s="2266">
        <v>81250.709940346118</v>
      </c>
      <c r="L1565" s="2266">
        <v>81250.709940346118</v>
      </c>
      <c r="M1565" s="2266">
        <v>599</v>
      </c>
    </row>
    <row r="1566" spans="1:13" ht="15">
      <c r="A1566" s="2266" t="s">
        <v>4254</v>
      </c>
      <c r="B1566" s="2465" t="str">
        <f>CONCATENATE(LEFT(RIGHT(CONCATENATE("000",IFAData_TEA_1617!A1566),6),3),"-",(RIGHT(RIGHT(CONCATENATE("000",IFAData_TEA_1617!A1566),6),3)))</f>
        <v>146-901</v>
      </c>
      <c r="C1566" s="2266" t="s">
        <v>1329</v>
      </c>
      <c r="D1566" s="2266">
        <v>5</v>
      </c>
      <c r="E1566" s="2266">
        <v>1694</v>
      </c>
      <c r="F1566" s="2266" t="s">
        <v>5862</v>
      </c>
      <c r="G1566" s="2266" t="s">
        <v>5862</v>
      </c>
      <c r="H1566" s="2266">
        <v>754473</v>
      </c>
      <c r="I1566" s="2266">
        <v>0</v>
      </c>
      <c r="J1566" s="2266">
        <v>0</v>
      </c>
      <c r="K1566" s="2266">
        <v>0</v>
      </c>
      <c r="L1566" s="2266">
        <v>0</v>
      </c>
      <c r="M1566" s="2266">
        <v>599</v>
      </c>
    </row>
    <row r="1567" spans="1:13" ht="15">
      <c r="A1567" s="2266" t="s">
        <v>4254</v>
      </c>
      <c r="B1567" s="2465" t="str">
        <f>CONCATENATE(LEFT(RIGHT(CONCATENATE("000",IFAData_TEA_1617!A1567),6),3),"-",(RIGHT(RIGHT(CONCATENATE("000",IFAData_TEA_1617!A1567),6),3)))</f>
        <v>146-901</v>
      </c>
      <c r="C1567" s="2266" t="s">
        <v>1329</v>
      </c>
      <c r="D1567" s="2266">
        <v>5</v>
      </c>
      <c r="E1567" s="2266">
        <v>1694</v>
      </c>
      <c r="F1567" s="2266" t="s">
        <v>5862</v>
      </c>
      <c r="G1567" s="2266" t="s">
        <v>5865</v>
      </c>
      <c r="H1567" s="2266">
        <v>754473</v>
      </c>
      <c r="I1567" s="2266">
        <v>228087</v>
      </c>
      <c r="J1567" s="2266">
        <v>0.15484552921696379</v>
      </c>
      <c r="K1567" s="2266">
        <v>116826.77096491032</v>
      </c>
      <c r="L1567" s="2266">
        <v>116826.77096491032</v>
      </c>
      <c r="M1567" s="2266">
        <v>599</v>
      </c>
    </row>
    <row r="1568" spans="1:13" ht="15">
      <c r="A1568" s="2266" t="s">
        <v>4254</v>
      </c>
      <c r="B1568" s="2465" t="str">
        <f>CONCATENATE(LEFT(RIGHT(CONCATENATE("000",IFAData_TEA_1617!A1568),6),3),"-",(RIGHT(RIGHT(CONCATENATE("000",IFAData_TEA_1617!A1568),6),3)))</f>
        <v>146-901</v>
      </c>
      <c r="C1568" s="2266" t="s">
        <v>1329</v>
      </c>
      <c r="D1568" s="2266">
        <v>5</v>
      </c>
      <c r="E1568" s="2266">
        <v>1694</v>
      </c>
      <c r="F1568" s="2266" t="s">
        <v>5862</v>
      </c>
      <c r="G1568" s="2266" t="s">
        <v>7233</v>
      </c>
      <c r="H1568" s="2266">
        <v>754473</v>
      </c>
      <c r="I1568" s="2266">
        <v>272554</v>
      </c>
      <c r="J1568" s="2266">
        <v>0.18503364229526606</v>
      </c>
      <c r="K1568" s="2266">
        <v>139602.88720343626</v>
      </c>
      <c r="L1568" s="2266">
        <v>139602.88720343626</v>
      </c>
      <c r="M1568" s="2266">
        <v>599</v>
      </c>
    </row>
    <row r="1569" spans="1:13" ht="15">
      <c r="A1569" s="2266" t="s">
        <v>4255</v>
      </c>
      <c r="B1569" s="2465" t="str">
        <f>CONCATENATE(LEFT(RIGHT(CONCATENATE("000",IFAData_TEA_1617!A1569),6),3),"-",(RIGHT(RIGHT(CONCATENATE("000",IFAData_TEA_1617!A1569),6),3)))</f>
        <v>146-902</v>
      </c>
      <c r="C1569" s="2266" t="s">
        <v>3061</v>
      </c>
      <c r="D1569" s="2266">
        <v>1</v>
      </c>
      <c r="E1569" s="2266">
        <v>1747</v>
      </c>
      <c r="F1569" s="2266" t="s">
        <v>5866</v>
      </c>
      <c r="G1569" s="2266" t="s">
        <v>5869</v>
      </c>
      <c r="H1569" s="2266">
        <v>967500</v>
      </c>
      <c r="I1569" s="2266">
        <v>894653</v>
      </c>
      <c r="J1569" s="2266">
        <v>0.87117738305871673</v>
      </c>
      <c r="K1569" s="2266">
        <v>842864.11810930842</v>
      </c>
      <c r="L1569" s="2266">
        <v>842864.11810930842</v>
      </c>
      <c r="M1569" s="2266">
        <v>599</v>
      </c>
    </row>
    <row r="1570" spans="1:13" ht="15">
      <c r="A1570" s="2266" t="s">
        <v>4255</v>
      </c>
      <c r="B1570" s="2465" t="str">
        <f>CONCATENATE(LEFT(RIGHT(CONCATENATE("000",IFAData_TEA_1617!A1570),6),3),"-",(RIGHT(RIGHT(CONCATENATE("000",IFAData_TEA_1617!A1570),6),3)))</f>
        <v>146-902</v>
      </c>
      <c r="C1570" s="2266" t="s">
        <v>3061</v>
      </c>
      <c r="D1570" s="2266">
        <v>1</v>
      </c>
      <c r="E1570" s="2266">
        <v>1747</v>
      </c>
      <c r="F1570" s="2266" t="s">
        <v>5866</v>
      </c>
      <c r="G1570" s="2266" t="s">
        <v>5866</v>
      </c>
      <c r="H1570" s="2266">
        <v>967500</v>
      </c>
      <c r="I1570" s="2266">
        <v>0</v>
      </c>
      <c r="J1570" s="2266">
        <v>0</v>
      </c>
      <c r="K1570" s="2266">
        <v>0</v>
      </c>
      <c r="L1570" s="2266">
        <v>0</v>
      </c>
      <c r="M1570" s="2266">
        <v>599</v>
      </c>
    </row>
    <row r="1571" spans="1:13" ht="15">
      <c r="A1571" s="2266" t="s">
        <v>4255</v>
      </c>
      <c r="B1571" s="2465" t="str">
        <f>CONCATENATE(LEFT(RIGHT(CONCATENATE("000",IFAData_TEA_1617!A1571),6),3),"-",(RIGHT(RIGHT(CONCATENATE("000",IFAData_TEA_1617!A1571),6),3)))</f>
        <v>146-902</v>
      </c>
      <c r="C1571" s="2266" t="s">
        <v>3061</v>
      </c>
      <c r="D1571" s="2266">
        <v>1</v>
      </c>
      <c r="E1571" s="2266">
        <v>1747</v>
      </c>
      <c r="F1571" s="2266" t="s">
        <v>5866</v>
      </c>
      <c r="G1571" s="2266" t="s">
        <v>5867</v>
      </c>
      <c r="H1571" s="2266">
        <v>967500</v>
      </c>
      <c r="I1571" s="2266">
        <v>0</v>
      </c>
      <c r="J1571" s="2266">
        <v>0</v>
      </c>
      <c r="K1571" s="2266">
        <v>0</v>
      </c>
      <c r="L1571" s="2266">
        <v>0</v>
      </c>
      <c r="M1571" s="2266">
        <v>599</v>
      </c>
    </row>
    <row r="1572" spans="1:13" ht="15">
      <c r="A1572" s="2266" t="s">
        <v>4255</v>
      </c>
      <c r="B1572" s="2465" t="str">
        <f>CONCATENATE(LEFT(RIGHT(CONCATENATE("000",IFAData_TEA_1617!A1572),6),3),"-",(RIGHT(RIGHT(CONCATENATE("000",IFAData_TEA_1617!A1572),6),3)))</f>
        <v>146-902</v>
      </c>
      <c r="C1572" s="2266" t="s">
        <v>3061</v>
      </c>
      <c r="D1572" s="2266">
        <v>1</v>
      </c>
      <c r="E1572" s="2266">
        <v>1747</v>
      </c>
      <c r="F1572" s="2266" t="s">
        <v>5866</v>
      </c>
      <c r="G1572" s="2266" t="s">
        <v>5868</v>
      </c>
      <c r="H1572" s="2266">
        <v>967500</v>
      </c>
      <c r="I1572" s="2266">
        <v>132294</v>
      </c>
      <c r="J1572" s="2266">
        <v>0.12882261694128325</v>
      </c>
      <c r="K1572" s="2266">
        <v>124635.88189069154</v>
      </c>
      <c r="L1572" s="2266">
        <v>124635.88189069154</v>
      </c>
      <c r="M1572" s="2266">
        <v>599</v>
      </c>
    </row>
    <row r="1573" spans="1:13" ht="15">
      <c r="A1573" s="2266" t="s">
        <v>4256</v>
      </c>
      <c r="B1573" s="2465" t="str">
        <f>CONCATENATE(LEFT(RIGHT(CONCATENATE("000",IFAData_TEA_1617!A1573),6),3),"-",(RIGHT(RIGHT(CONCATENATE("000",IFAData_TEA_1617!A1573),6),3)))</f>
        <v>146-904</v>
      </c>
      <c r="C1573" s="2266" t="s">
        <v>1951</v>
      </c>
      <c r="D1573" s="2266">
        <v>9</v>
      </c>
      <c r="E1573" s="2266">
        <v>1865</v>
      </c>
      <c r="F1573" s="2266" t="s">
        <v>5870</v>
      </c>
      <c r="G1573" s="2266" t="s">
        <v>5870</v>
      </c>
      <c r="H1573" s="2266">
        <v>80675</v>
      </c>
      <c r="I1573" s="2266">
        <v>109118</v>
      </c>
      <c r="J1573" s="2266">
        <v>0.84013828042592831</v>
      </c>
      <c r="K1573" s="2266">
        <v>67778.155773361766</v>
      </c>
      <c r="L1573" s="2266">
        <v>67778.155773361766</v>
      </c>
      <c r="M1573" s="2266">
        <v>599</v>
      </c>
    </row>
    <row r="1574" spans="1:13" ht="15">
      <c r="A1574" s="2266" t="s">
        <v>4256</v>
      </c>
      <c r="B1574" s="2465" t="str">
        <f>CONCATENATE(LEFT(RIGHT(CONCATENATE("000",IFAData_TEA_1617!A1574),6),3),"-",(RIGHT(RIGHT(CONCATENATE("000",IFAData_TEA_1617!A1574),6),3)))</f>
        <v>146-904</v>
      </c>
      <c r="C1574" s="2266" t="s">
        <v>1951</v>
      </c>
      <c r="D1574" s="2266">
        <v>9</v>
      </c>
      <c r="E1574" s="2266">
        <v>1865</v>
      </c>
      <c r="F1574" s="2266" t="s">
        <v>5870</v>
      </c>
      <c r="G1574" s="2266" t="s">
        <v>7234</v>
      </c>
      <c r="H1574" s="2266">
        <v>80675</v>
      </c>
      <c r="I1574" s="2266">
        <v>20763</v>
      </c>
      <c r="J1574" s="2266">
        <v>0.15986171957407164</v>
      </c>
      <c r="K1574" s="2266">
        <v>12896.84422663823</v>
      </c>
      <c r="L1574" s="2266">
        <v>12896.84422663823</v>
      </c>
      <c r="M1574" s="2266">
        <v>599</v>
      </c>
    </row>
    <row r="1575" spans="1:13" ht="15">
      <c r="A1575" s="2266" t="s">
        <v>4257</v>
      </c>
      <c r="B1575" s="2465" t="str">
        <f>CONCATENATE(LEFT(RIGHT(CONCATENATE("000",IFAData_TEA_1617!A1575),6),3),"-",(RIGHT(RIGHT(CONCATENATE("000",IFAData_TEA_1617!A1575),6),3)))</f>
        <v>146-905</v>
      </c>
      <c r="C1575" s="2266" t="s">
        <v>2735</v>
      </c>
      <c r="D1575" s="2266">
        <v>2</v>
      </c>
      <c r="E1575" s="2266">
        <v>1913</v>
      </c>
      <c r="F1575" s="2266" t="s">
        <v>5871</v>
      </c>
      <c r="G1575" s="2266" t="s">
        <v>5871</v>
      </c>
      <c r="H1575" s="2266">
        <v>159897</v>
      </c>
      <c r="I1575" s="2266">
        <v>0</v>
      </c>
      <c r="J1575" s="2266">
        <v>0</v>
      </c>
      <c r="K1575" s="2266"/>
      <c r="L1575" s="2266">
        <v>0</v>
      </c>
      <c r="M1575" s="2266">
        <v>599</v>
      </c>
    </row>
    <row r="1576" spans="1:13" ht="15">
      <c r="A1576" s="2266" t="s">
        <v>4258</v>
      </c>
      <c r="B1576" s="2465" t="str">
        <f>CONCATENATE(LEFT(RIGHT(CONCATENATE("000",IFAData_TEA_1617!A1576),6),3),"-",(RIGHT(RIGHT(CONCATENATE("000",IFAData_TEA_1617!A1576),6),3)))</f>
        <v>147-901</v>
      </c>
      <c r="C1576" s="2266" t="s">
        <v>1747</v>
      </c>
      <c r="D1576" s="2266">
        <v>4</v>
      </c>
      <c r="E1576" s="2266">
        <v>1718</v>
      </c>
      <c r="F1576" s="2266" t="s">
        <v>5873</v>
      </c>
      <c r="G1576" s="2266" t="s">
        <v>5874</v>
      </c>
      <c r="H1576" s="2266">
        <v>100000</v>
      </c>
      <c r="I1576" s="2266">
        <v>86825</v>
      </c>
      <c r="J1576" s="2266">
        <v>1</v>
      </c>
      <c r="K1576" s="2266">
        <v>100000</v>
      </c>
      <c r="L1576" s="2266">
        <v>86825</v>
      </c>
      <c r="M1576" s="2266">
        <v>599</v>
      </c>
    </row>
    <row r="1577" spans="1:13" ht="15">
      <c r="A1577" s="2266" t="s">
        <v>4258</v>
      </c>
      <c r="B1577" s="2465" t="str">
        <f>CONCATENATE(LEFT(RIGHT(CONCATENATE("000",IFAData_TEA_1617!A1577),6),3),"-",(RIGHT(RIGHT(CONCATENATE("000",IFAData_TEA_1617!A1577),6),3)))</f>
        <v>147-901</v>
      </c>
      <c r="C1577" s="2266" t="s">
        <v>1747</v>
      </c>
      <c r="D1577" s="2266">
        <v>4</v>
      </c>
      <c r="E1577" s="2266">
        <v>1718</v>
      </c>
      <c r="F1577" s="2266" t="s">
        <v>5873</v>
      </c>
      <c r="G1577" s="2266" t="s">
        <v>5873</v>
      </c>
      <c r="H1577" s="2266">
        <v>100000</v>
      </c>
      <c r="I1577" s="2266">
        <v>0</v>
      </c>
      <c r="J1577" s="2266">
        <v>0</v>
      </c>
      <c r="K1577" s="2266">
        <v>0</v>
      </c>
      <c r="L1577" s="2266">
        <v>0</v>
      </c>
      <c r="M1577" s="2266">
        <v>599</v>
      </c>
    </row>
    <row r="1578" spans="1:13" ht="15">
      <c r="A1578" s="2266" t="s">
        <v>5875</v>
      </c>
      <c r="B1578" s="2465" t="str">
        <f>CONCATENATE(LEFT(RIGHT(CONCATENATE("000",IFAData_TEA_1617!A1578),6),3),"-",(RIGHT(RIGHT(CONCATENATE("000",IFAData_TEA_1617!A1578),6),3)))</f>
        <v>152-901</v>
      </c>
      <c r="C1578" s="2266" t="s">
        <v>640</v>
      </c>
      <c r="D1578" s="2266">
        <v>1</v>
      </c>
      <c r="E1578" s="2266">
        <v>2040</v>
      </c>
      <c r="F1578" s="2266" t="s">
        <v>5876</v>
      </c>
      <c r="G1578" s="2266" t="s">
        <v>5876</v>
      </c>
      <c r="H1578" s="2266">
        <v>112803</v>
      </c>
      <c r="I1578" s="2266">
        <v>0</v>
      </c>
      <c r="J1578" s="2266">
        <v>0</v>
      </c>
      <c r="K1578" s="2266"/>
      <c r="L1578" s="2266">
        <v>0</v>
      </c>
      <c r="M1578" s="2266">
        <v>599</v>
      </c>
    </row>
    <row r="1579" spans="1:13" ht="15">
      <c r="A1579" s="2266" t="s">
        <v>4259</v>
      </c>
      <c r="B1579" s="2465" t="str">
        <f>CONCATENATE(LEFT(RIGHT(CONCATENATE("000",IFAData_TEA_1617!A1579),6),3),"-",(RIGHT(RIGHT(CONCATENATE("000",IFAData_TEA_1617!A1579),6),3)))</f>
        <v>152-906</v>
      </c>
      <c r="C1579" s="2266" t="s">
        <v>641</v>
      </c>
      <c r="D1579" s="2266">
        <v>5</v>
      </c>
      <c r="E1579" s="2266">
        <v>2041</v>
      </c>
      <c r="F1579" s="2266" t="s">
        <v>5877</v>
      </c>
      <c r="G1579" s="2266" t="s">
        <v>5877</v>
      </c>
      <c r="H1579" s="2266">
        <v>445840</v>
      </c>
      <c r="I1579" s="2266">
        <v>0</v>
      </c>
      <c r="J1579" s="2266">
        <v>0</v>
      </c>
      <c r="K1579" s="2266">
        <v>0</v>
      </c>
      <c r="L1579" s="2266">
        <v>0</v>
      </c>
      <c r="M1579" s="2266">
        <v>599</v>
      </c>
    </row>
    <row r="1580" spans="1:13" ht="15">
      <c r="A1580" s="2266" t="s">
        <v>4259</v>
      </c>
      <c r="B1580" s="2465" t="str">
        <f>CONCATENATE(LEFT(RIGHT(CONCATENATE("000",IFAData_TEA_1617!A1580),6),3),"-",(RIGHT(RIGHT(CONCATENATE("000",IFAData_TEA_1617!A1580),6),3)))</f>
        <v>152-906</v>
      </c>
      <c r="C1580" s="2266" t="s">
        <v>641</v>
      </c>
      <c r="D1580" s="2266">
        <v>5</v>
      </c>
      <c r="E1580" s="2266">
        <v>2041</v>
      </c>
      <c r="F1580" s="2266" t="s">
        <v>5877</v>
      </c>
      <c r="G1580" s="2266" t="s">
        <v>5878</v>
      </c>
      <c r="H1580" s="2266">
        <v>445840</v>
      </c>
      <c r="I1580" s="2266">
        <v>657800</v>
      </c>
      <c r="J1580" s="2266">
        <v>1</v>
      </c>
      <c r="K1580" s="2266">
        <v>445840</v>
      </c>
      <c r="L1580" s="2266">
        <v>445840</v>
      </c>
      <c r="M1580" s="2266">
        <v>599</v>
      </c>
    </row>
    <row r="1581" spans="1:13" ht="15">
      <c r="A1581" s="2266" t="s">
        <v>4260</v>
      </c>
      <c r="B1581" s="2465" t="str">
        <f>CONCATENATE(LEFT(RIGHT(CONCATENATE("000",IFAData_TEA_1617!A1581),6),3),"-",(RIGHT(RIGHT(CONCATENATE("000",IFAData_TEA_1617!A1581),6),3)))</f>
        <v>152-907</v>
      </c>
      <c r="C1581" s="2266" t="s">
        <v>2627</v>
      </c>
      <c r="D1581" s="2266">
        <v>1</v>
      </c>
      <c r="E1581" s="2266">
        <v>1825</v>
      </c>
      <c r="F1581" s="2266" t="s">
        <v>5879</v>
      </c>
      <c r="G1581" s="2266" t="s">
        <v>5880</v>
      </c>
      <c r="H1581" s="2266">
        <v>125335</v>
      </c>
      <c r="I1581" s="2266">
        <v>116358</v>
      </c>
      <c r="J1581" s="2266">
        <v>0.69710930713237274</v>
      </c>
      <c r="K1581" s="2266">
        <v>87372.195009435934</v>
      </c>
      <c r="L1581" s="2266">
        <v>87372.195009435934</v>
      </c>
      <c r="M1581" s="2266">
        <v>599</v>
      </c>
    </row>
    <row r="1582" spans="1:13" ht="15">
      <c r="A1582" s="2266" t="s">
        <v>4260</v>
      </c>
      <c r="B1582" s="2465" t="str">
        <f>CONCATENATE(LEFT(RIGHT(CONCATENATE("000",IFAData_TEA_1617!A1582),6),3),"-",(RIGHT(RIGHT(CONCATENATE("000",IFAData_TEA_1617!A1582),6),3)))</f>
        <v>152-907</v>
      </c>
      <c r="C1582" s="2266" t="s">
        <v>2627</v>
      </c>
      <c r="D1582" s="2266">
        <v>9</v>
      </c>
      <c r="E1582" s="2266">
        <v>1828</v>
      </c>
      <c r="F1582" s="2266" t="s">
        <v>5883</v>
      </c>
      <c r="G1582" s="2266" t="s">
        <v>7015</v>
      </c>
      <c r="H1582" s="2266">
        <v>1482602</v>
      </c>
      <c r="I1582" s="2266">
        <v>2126036</v>
      </c>
      <c r="J1582" s="2266">
        <v>0.54523236224973526</v>
      </c>
      <c r="K1582" s="2266">
        <v>808362.59073618194</v>
      </c>
      <c r="L1582" s="2266">
        <v>808362.59073618194</v>
      </c>
      <c r="M1582" s="2266">
        <v>599</v>
      </c>
    </row>
    <row r="1583" spans="1:13" ht="15">
      <c r="A1583" s="2266" t="s">
        <v>4260</v>
      </c>
      <c r="B1583" s="2465" t="str">
        <f>CONCATENATE(LEFT(RIGHT(CONCATENATE("000",IFAData_TEA_1617!A1583),6),3),"-",(RIGHT(RIGHT(CONCATENATE("000",IFAData_TEA_1617!A1583),6),3)))</f>
        <v>152-907</v>
      </c>
      <c r="C1583" s="2266" t="s">
        <v>2627</v>
      </c>
      <c r="D1583" s="2266">
        <v>2</v>
      </c>
      <c r="E1583" s="2266">
        <v>1826</v>
      </c>
      <c r="F1583" s="2266" t="s">
        <v>5881</v>
      </c>
      <c r="G1583" s="2266" t="s">
        <v>5881</v>
      </c>
      <c r="H1583" s="2266">
        <v>596622</v>
      </c>
      <c r="I1583" s="2266">
        <v>0</v>
      </c>
      <c r="J1583" s="2266">
        <v>0</v>
      </c>
      <c r="K1583" s="2266">
        <v>0</v>
      </c>
      <c r="L1583" s="2266">
        <v>0</v>
      </c>
      <c r="M1583" s="2266">
        <v>599</v>
      </c>
    </row>
    <row r="1584" spans="1:13" ht="15">
      <c r="A1584" s="2266" t="s">
        <v>4260</v>
      </c>
      <c r="B1584" s="2465" t="str">
        <f>CONCATENATE(LEFT(RIGHT(CONCATENATE("000",IFAData_TEA_1617!A1584),6),3),"-",(RIGHT(RIGHT(CONCATENATE("000",IFAData_TEA_1617!A1584),6),3)))</f>
        <v>152-907</v>
      </c>
      <c r="C1584" s="2266" t="s">
        <v>2627</v>
      </c>
      <c r="D1584" s="2266">
        <v>1</v>
      </c>
      <c r="E1584" s="2266">
        <v>1825</v>
      </c>
      <c r="F1584" s="2266" t="s">
        <v>5879</v>
      </c>
      <c r="G1584" s="2266" t="s">
        <v>7235</v>
      </c>
      <c r="H1584" s="2266">
        <v>125335</v>
      </c>
      <c r="I1584" s="2266">
        <v>50557</v>
      </c>
      <c r="J1584" s="2266">
        <v>0.30289069286762721</v>
      </c>
      <c r="K1584" s="2266">
        <v>37962.804990564058</v>
      </c>
      <c r="L1584" s="2266">
        <v>37962.804990564058</v>
      </c>
      <c r="M1584" s="2266">
        <v>599</v>
      </c>
    </row>
    <row r="1585" spans="1:13" ht="15">
      <c r="A1585" s="2266" t="s">
        <v>4260</v>
      </c>
      <c r="B1585" s="2465" t="str">
        <f>CONCATENATE(LEFT(RIGHT(CONCATENATE("000",IFAData_TEA_1617!A1585),6),3),"-",(RIGHT(RIGHT(CONCATENATE("000",IFAData_TEA_1617!A1585),6),3)))</f>
        <v>152-907</v>
      </c>
      <c r="C1585" s="2266" t="s">
        <v>2627</v>
      </c>
      <c r="D1585" s="2266">
        <v>1</v>
      </c>
      <c r="E1585" s="2266">
        <v>1825</v>
      </c>
      <c r="F1585" s="2266" t="s">
        <v>5879</v>
      </c>
      <c r="G1585" s="2266" t="s">
        <v>5879</v>
      </c>
      <c r="H1585" s="2266">
        <v>125335</v>
      </c>
      <c r="I1585" s="2266">
        <v>0</v>
      </c>
      <c r="J1585" s="2266">
        <v>0</v>
      </c>
      <c r="K1585" s="2266">
        <v>0</v>
      </c>
      <c r="L1585" s="2266">
        <v>0</v>
      </c>
      <c r="M1585" s="2266">
        <v>599</v>
      </c>
    </row>
    <row r="1586" spans="1:13" ht="15">
      <c r="A1586" s="2266" t="s">
        <v>4260</v>
      </c>
      <c r="B1586" s="2465" t="str">
        <f>CONCATENATE(LEFT(RIGHT(CONCATENATE("000",IFAData_TEA_1617!A1586),6),3),"-",(RIGHT(RIGHT(CONCATENATE("000",IFAData_TEA_1617!A1586),6),3)))</f>
        <v>152-907</v>
      </c>
      <c r="C1586" s="2266" t="s">
        <v>2627</v>
      </c>
      <c r="D1586" s="2266">
        <v>10</v>
      </c>
      <c r="E1586" s="2266">
        <v>1827</v>
      </c>
      <c r="F1586" s="2266" t="s">
        <v>5884</v>
      </c>
      <c r="G1586" s="2266" t="s">
        <v>5884</v>
      </c>
      <c r="H1586" s="2266">
        <v>664408</v>
      </c>
      <c r="I1586" s="2266">
        <v>116789</v>
      </c>
      <c r="J1586" s="2266">
        <v>0.27155054152463948</v>
      </c>
      <c r="K1586" s="2266">
        <v>180420.35219330268</v>
      </c>
      <c r="L1586" s="2266">
        <v>116789</v>
      </c>
      <c r="M1586" s="2266">
        <v>599</v>
      </c>
    </row>
    <row r="1587" spans="1:13" ht="15">
      <c r="A1587" s="2266" t="s">
        <v>4260</v>
      </c>
      <c r="B1587" s="2465" t="str">
        <f>CONCATENATE(LEFT(RIGHT(CONCATENATE("000",IFAData_TEA_1617!A1587),6),3),"-",(RIGHT(RIGHT(CONCATENATE("000",IFAData_TEA_1617!A1587),6),3)))</f>
        <v>152-907</v>
      </c>
      <c r="C1587" s="2266" t="s">
        <v>2627</v>
      </c>
      <c r="D1587" s="2266">
        <v>2</v>
      </c>
      <c r="E1587" s="2266">
        <v>1826</v>
      </c>
      <c r="F1587" s="2266" t="s">
        <v>5881</v>
      </c>
      <c r="G1587" s="2266" t="s">
        <v>5882</v>
      </c>
      <c r="H1587" s="2266">
        <v>596622</v>
      </c>
      <c r="I1587" s="2266">
        <v>582542</v>
      </c>
      <c r="J1587" s="2266">
        <v>1</v>
      </c>
      <c r="K1587" s="2266">
        <v>596622</v>
      </c>
      <c r="L1587" s="2266">
        <v>582542</v>
      </c>
      <c r="M1587" s="2266">
        <v>599</v>
      </c>
    </row>
    <row r="1588" spans="1:13" ht="15">
      <c r="A1588" s="2266" t="s">
        <v>4260</v>
      </c>
      <c r="B1588" s="2465" t="str">
        <f>CONCATENATE(LEFT(RIGHT(CONCATENATE("000",IFAData_TEA_1617!A1588),6),3),"-",(RIGHT(RIGHT(CONCATENATE("000",IFAData_TEA_1617!A1588),6),3)))</f>
        <v>152-907</v>
      </c>
      <c r="C1588" s="2266" t="s">
        <v>2627</v>
      </c>
      <c r="D1588" s="2266">
        <v>10</v>
      </c>
      <c r="E1588" s="2266">
        <v>1827</v>
      </c>
      <c r="F1588" s="2266" t="s">
        <v>5884</v>
      </c>
      <c r="G1588" s="2266" t="s">
        <v>7236</v>
      </c>
      <c r="H1588" s="2266">
        <v>664408</v>
      </c>
      <c r="I1588" s="2266">
        <v>313293</v>
      </c>
      <c r="J1588" s="2266">
        <v>0.72844945847536047</v>
      </c>
      <c r="K1588" s="2266">
        <v>483987.64780669729</v>
      </c>
      <c r="L1588" s="2266">
        <v>313293</v>
      </c>
      <c r="M1588" s="2266">
        <v>599</v>
      </c>
    </row>
    <row r="1589" spans="1:13" ht="15">
      <c r="A1589" s="2266" t="s">
        <v>4260</v>
      </c>
      <c r="B1589" s="2465" t="str">
        <f>CONCATENATE(LEFT(RIGHT(CONCATENATE("000",IFAData_TEA_1617!A1589),6),3),"-",(RIGHT(RIGHT(CONCATENATE("000",IFAData_TEA_1617!A1589),6),3)))</f>
        <v>152-907</v>
      </c>
      <c r="C1589" s="2266" t="s">
        <v>2627</v>
      </c>
      <c r="D1589" s="2266">
        <v>9</v>
      </c>
      <c r="E1589" s="2266">
        <v>1828</v>
      </c>
      <c r="F1589" s="2266" t="s">
        <v>5883</v>
      </c>
      <c r="G1589" s="2266" t="s">
        <v>5883</v>
      </c>
      <c r="H1589" s="2266">
        <v>1482602</v>
      </c>
      <c r="I1589" s="2266">
        <v>1773285</v>
      </c>
      <c r="J1589" s="2266">
        <v>0.45476763775026474</v>
      </c>
      <c r="K1589" s="2266">
        <v>674239.40926381806</v>
      </c>
      <c r="L1589" s="2266">
        <v>674239.40926381806</v>
      </c>
      <c r="M1589" s="2266">
        <v>599</v>
      </c>
    </row>
    <row r="1590" spans="1:13" ht="15">
      <c r="A1590" s="2266" t="s">
        <v>4261</v>
      </c>
      <c r="B1590" s="2465" t="str">
        <f>CONCATENATE(LEFT(RIGHT(CONCATENATE("000",IFAData_TEA_1617!A1590),6),3),"-",(RIGHT(RIGHT(CONCATENATE("000",IFAData_TEA_1617!A1590),6),3)))</f>
        <v>152-909</v>
      </c>
      <c r="C1590" s="2266" t="s">
        <v>1417</v>
      </c>
      <c r="D1590" s="2266">
        <v>5</v>
      </c>
      <c r="E1590" s="2266">
        <v>2326</v>
      </c>
      <c r="F1590" s="2266" t="s">
        <v>5888</v>
      </c>
      <c r="G1590" s="2266" t="s">
        <v>5888</v>
      </c>
      <c r="H1590" s="2266">
        <v>289979</v>
      </c>
      <c r="I1590" s="2266">
        <v>0</v>
      </c>
      <c r="J1590" s="2266">
        <v>0</v>
      </c>
      <c r="K1590" s="2266">
        <v>0</v>
      </c>
      <c r="L1590" s="2266">
        <v>0</v>
      </c>
      <c r="M1590" s="2266">
        <v>599</v>
      </c>
    </row>
    <row r="1591" spans="1:13" ht="15">
      <c r="A1591" s="2266" t="s">
        <v>4261</v>
      </c>
      <c r="B1591" s="2465" t="str">
        <f>CONCATENATE(LEFT(RIGHT(CONCATENATE("000",IFAData_TEA_1617!A1591),6),3),"-",(RIGHT(RIGHT(CONCATENATE("000",IFAData_TEA_1617!A1591),6),3)))</f>
        <v>152-909</v>
      </c>
      <c r="C1591" s="2266" t="s">
        <v>1417</v>
      </c>
      <c r="D1591" s="2266">
        <v>2</v>
      </c>
      <c r="E1591" s="2266">
        <v>2325</v>
      </c>
      <c r="F1591" s="2266" t="s">
        <v>5885</v>
      </c>
      <c r="G1591" s="2266" t="s">
        <v>5885</v>
      </c>
      <c r="H1591" s="2266">
        <v>281008</v>
      </c>
      <c r="I1591" s="2266">
        <v>0</v>
      </c>
      <c r="J1591" s="2266">
        <v>0</v>
      </c>
      <c r="K1591" s="2266">
        <v>0</v>
      </c>
      <c r="L1591" s="2266">
        <v>0</v>
      </c>
      <c r="M1591" s="2266">
        <v>599</v>
      </c>
    </row>
    <row r="1592" spans="1:13" ht="15">
      <c r="A1592" s="2266" t="s">
        <v>4261</v>
      </c>
      <c r="B1592" s="2465" t="str">
        <f>CONCATENATE(LEFT(RIGHT(CONCATENATE("000",IFAData_TEA_1617!A1592),6),3),"-",(RIGHT(RIGHT(CONCATENATE("000",IFAData_TEA_1617!A1592),6),3)))</f>
        <v>152-909</v>
      </c>
      <c r="C1592" s="2266" t="s">
        <v>1417</v>
      </c>
      <c r="D1592" s="2266">
        <v>2</v>
      </c>
      <c r="E1592" s="2266">
        <v>2325</v>
      </c>
      <c r="F1592" s="2266" t="s">
        <v>5885</v>
      </c>
      <c r="G1592" s="2266" t="s">
        <v>5887</v>
      </c>
      <c r="H1592" s="2266">
        <v>281008</v>
      </c>
      <c r="I1592" s="2266">
        <v>51855</v>
      </c>
      <c r="J1592" s="2266">
        <v>0.20286288808212319</v>
      </c>
      <c r="K1592" s="2266">
        <v>57006.094454181271</v>
      </c>
      <c r="L1592" s="2266">
        <v>51855</v>
      </c>
      <c r="M1592" s="2266">
        <v>599</v>
      </c>
    </row>
    <row r="1593" spans="1:13" ht="15">
      <c r="A1593" s="2266" t="s">
        <v>4261</v>
      </c>
      <c r="B1593" s="2465" t="str">
        <f>CONCATENATE(LEFT(RIGHT(CONCATENATE("000",IFAData_TEA_1617!A1593),6),3),"-",(RIGHT(RIGHT(CONCATENATE("000",IFAData_TEA_1617!A1593),6),3)))</f>
        <v>152-909</v>
      </c>
      <c r="C1593" s="2266" t="s">
        <v>1417</v>
      </c>
      <c r="D1593" s="2266">
        <v>5</v>
      </c>
      <c r="E1593" s="2266">
        <v>2326</v>
      </c>
      <c r="F1593" s="2266" t="s">
        <v>5888</v>
      </c>
      <c r="G1593" s="2266" t="s">
        <v>5887</v>
      </c>
      <c r="H1593" s="2266">
        <v>289979</v>
      </c>
      <c r="I1593" s="2266">
        <v>137370</v>
      </c>
      <c r="J1593" s="2266">
        <v>0.51399578685844072</v>
      </c>
      <c r="K1593" s="2266">
        <v>149047.98427742379</v>
      </c>
      <c r="L1593" s="2266">
        <v>137370</v>
      </c>
      <c r="M1593" s="2266">
        <v>599</v>
      </c>
    </row>
    <row r="1594" spans="1:13" ht="15">
      <c r="A1594" s="2266" t="s">
        <v>4261</v>
      </c>
      <c r="B1594" s="2465" t="str">
        <f>CONCATENATE(LEFT(RIGHT(CONCATENATE("000",IFAData_TEA_1617!A1594),6),3),"-",(RIGHT(RIGHT(CONCATENATE("000",IFAData_TEA_1617!A1594),6),3)))</f>
        <v>152-909</v>
      </c>
      <c r="C1594" s="2266" t="s">
        <v>1417</v>
      </c>
      <c r="D1594" s="2266">
        <v>2</v>
      </c>
      <c r="E1594" s="2266">
        <v>2325</v>
      </c>
      <c r="F1594" s="2266" t="s">
        <v>5885</v>
      </c>
      <c r="G1594" s="2266" t="s">
        <v>5886</v>
      </c>
      <c r="H1594" s="2266">
        <v>281008</v>
      </c>
      <c r="I1594" s="2266">
        <v>203761</v>
      </c>
      <c r="J1594" s="2266">
        <v>0.79713711191787684</v>
      </c>
      <c r="K1594" s="2266">
        <v>224001.90554581874</v>
      </c>
      <c r="L1594" s="2266">
        <v>203761</v>
      </c>
      <c r="M1594" s="2266">
        <v>599</v>
      </c>
    </row>
    <row r="1595" spans="1:13" ht="15">
      <c r="A1595" s="2266" t="s">
        <v>4261</v>
      </c>
      <c r="B1595" s="2465" t="str">
        <f>CONCATENATE(LEFT(RIGHT(CONCATENATE("000",IFAData_TEA_1617!A1595),6),3),"-",(RIGHT(RIGHT(CONCATENATE("000",IFAData_TEA_1617!A1595),6),3)))</f>
        <v>152-909</v>
      </c>
      <c r="C1595" s="2266" t="s">
        <v>1417</v>
      </c>
      <c r="D1595" s="2266">
        <v>5</v>
      </c>
      <c r="E1595" s="2266">
        <v>2326</v>
      </c>
      <c r="F1595" s="2266" t="s">
        <v>5888</v>
      </c>
      <c r="G1595" s="2266" t="s">
        <v>5886</v>
      </c>
      <c r="H1595" s="2266">
        <v>289979</v>
      </c>
      <c r="I1595" s="2266">
        <v>129889</v>
      </c>
      <c r="J1595" s="2266">
        <v>0.48600421314155934</v>
      </c>
      <c r="K1595" s="2266">
        <v>140931.01572257624</v>
      </c>
      <c r="L1595" s="2266">
        <v>129889</v>
      </c>
      <c r="M1595" s="2266">
        <v>599</v>
      </c>
    </row>
    <row r="1596" spans="1:13" ht="15">
      <c r="A1596" s="2266" t="s">
        <v>4262</v>
      </c>
      <c r="B1596" s="2465" t="str">
        <f>CONCATENATE(LEFT(RIGHT(CONCATENATE("000",IFAData_TEA_1617!A1596),6),3),"-",(RIGHT(RIGHT(CONCATENATE("000",IFAData_TEA_1617!A1596),6),3)))</f>
        <v>152-910</v>
      </c>
      <c r="C1596" s="2266" t="s">
        <v>604</v>
      </c>
      <c r="D1596" s="2266">
        <v>10</v>
      </c>
      <c r="E1596" s="2266">
        <v>1923</v>
      </c>
      <c r="F1596" s="2266" t="s">
        <v>5889</v>
      </c>
      <c r="G1596" s="2266" t="s">
        <v>5889</v>
      </c>
      <c r="H1596" s="2266">
        <v>220668</v>
      </c>
      <c r="I1596" s="2266">
        <v>527764</v>
      </c>
      <c r="J1596" s="2266">
        <v>0.66180623479547562</v>
      </c>
      <c r="K1596" s="2266">
        <v>146039.45821984802</v>
      </c>
      <c r="L1596" s="2266">
        <v>146039.45821984802</v>
      </c>
      <c r="M1596" s="2266">
        <v>599</v>
      </c>
    </row>
    <row r="1597" spans="1:13" ht="15">
      <c r="A1597" s="2266" t="s">
        <v>4262</v>
      </c>
      <c r="B1597" s="2465" t="str">
        <f>CONCATENATE(LEFT(RIGHT(CONCATENATE("000",IFAData_TEA_1617!A1597),6),3),"-",(RIGHT(RIGHT(CONCATENATE("000",IFAData_TEA_1617!A1597),6),3)))</f>
        <v>152-910</v>
      </c>
      <c r="C1597" s="2266" t="s">
        <v>604</v>
      </c>
      <c r="D1597" s="2266">
        <v>10</v>
      </c>
      <c r="E1597" s="2266">
        <v>1923</v>
      </c>
      <c r="F1597" s="2266" t="s">
        <v>5889</v>
      </c>
      <c r="G1597" s="2266" t="s">
        <v>7237</v>
      </c>
      <c r="H1597" s="2266">
        <v>220668</v>
      </c>
      <c r="I1597" s="2266">
        <v>269696</v>
      </c>
      <c r="J1597" s="2266">
        <v>0.33819376520452438</v>
      </c>
      <c r="K1597" s="2266">
        <v>74628.54178015198</v>
      </c>
      <c r="L1597" s="2266">
        <v>74628.54178015198</v>
      </c>
      <c r="M1597" s="2266">
        <v>599</v>
      </c>
    </row>
    <row r="1598" spans="1:13" ht="15">
      <c r="A1598" s="2266" t="s">
        <v>4263</v>
      </c>
      <c r="B1598" s="2465" t="str">
        <f>CONCATENATE(LEFT(RIGHT(CONCATENATE("000",IFAData_TEA_1617!A1598),6),3),"-",(RIGHT(RIGHT(CONCATENATE("000",IFAData_TEA_1617!A1598),6),3)))</f>
        <v>154-901</v>
      </c>
      <c r="C1598" s="2266" t="s">
        <v>44</v>
      </c>
      <c r="D1598" s="2266">
        <v>3</v>
      </c>
      <c r="E1598" s="2266">
        <v>2049</v>
      </c>
      <c r="F1598" s="2266" t="s">
        <v>5890</v>
      </c>
      <c r="G1598" s="2266" t="s">
        <v>5891</v>
      </c>
      <c r="H1598" s="2266">
        <v>471642</v>
      </c>
      <c r="I1598" s="2266">
        <v>719816</v>
      </c>
      <c r="J1598" s="2266">
        <v>1</v>
      </c>
      <c r="K1598" s="2266">
        <v>471642</v>
      </c>
      <c r="L1598" s="2266">
        <v>471642</v>
      </c>
      <c r="M1598" s="2266">
        <v>599</v>
      </c>
    </row>
    <row r="1599" spans="1:13" ht="15">
      <c r="A1599" s="2266" t="s">
        <v>4263</v>
      </c>
      <c r="B1599" s="2465" t="str">
        <f>CONCATENATE(LEFT(RIGHT(CONCATENATE("000",IFAData_TEA_1617!A1599),6),3),"-",(RIGHT(RIGHT(CONCATENATE("000",IFAData_TEA_1617!A1599),6),3)))</f>
        <v>154-901</v>
      </c>
      <c r="C1599" s="2266" t="s">
        <v>44</v>
      </c>
      <c r="D1599" s="2266">
        <v>6</v>
      </c>
      <c r="E1599" s="2266">
        <v>2050</v>
      </c>
      <c r="F1599" s="2266" t="s">
        <v>5892</v>
      </c>
      <c r="G1599" s="2266" t="s">
        <v>5893</v>
      </c>
      <c r="H1599" s="2266">
        <v>471900</v>
      </c>
      <c r="I1599" s="2266">
        <v>430580</v>
      </c>
      <c r="J1599" s="2266">
        <v>1</v>
      </c>
      <c r="K1599" s="2266">
        <v>471900</v>
      </c>
      <c r="L1599" s="2266">
        <v>430580</v>
      </c>
      <c r="M1599" s="2266">
        <v>599</v>
      </c>
    </row>
    <row r="1600" spans="1:13" ht="15">
      <c r="A1600" s="2266" t="s">
        <v>4263</v>
      </c>
      <c r="B1600" s="2465" t="str">
        <f>CONCATENATE(LEFT(RIGHT(CONCATENATE("000",IFAData_TEA_1617!A1600),6),3),"-",(RIGHT(RIGHT(CONCATENATE("000",IFAData_TEA_1617!A1600),6),3)))</f>
        <v>154-901</v>
      </c>
      <c r="C1600" s="2266" t="s">
        <v>44</v>
      </c>
      <c r="D1600" s="2266">
        <v>6</v>
      </c>
      <c r="E1600" s="2266">
        <v>2050</v>
      </c>
      <c r="F1600" s="2266" t="s">
        <v>5892</v>
      </c>
      <c r="G1600" s="2266" t="s">
        <v>5892</v>
      </c>
      <c r="H1600" s="2266">
        <v>471900</v>
      </c>
      <c r="I1600" s="2266">
        <v>0</v>
      </c>
      <c r="J1600" s="2266">
        <v>0</v>
      </c>
      <c r="K1600" s="2266">
        <v>0</v>
      </c>
      <c r="L1600" s="2266">
        <v>0</v>
      </c>
      <c r="M1600" s="2266">
        <v>599</v>
      </c>
    </row>
    <row r="1601" spans="1:13" ht="15">
      <c r="A1601" s="2266" t="s">
        <v>4263</v>
      </c>
      <c r="B1601" s="2465" t="str">
        <f>CONCATENATE(LEFT(RIGHT(CONCATENATE("000",IFAData_TEA_1617!A1601),6),3),"-",(RIGHT(RIGHT(CONCATENATE("000",IFAData_TEA_1617!A1601),6),3)))</f>
        <v>154-901</v>
      </c>
      <c r="C1601" s="2266" t="s">
        <v>44</v>
      </c>
      <c r="D1601" s="2266">
        <v>3</v>
      </c>
      <c r="E1601" s="2266">
        <v>2049</v>
      </c>
      <c r="F1601" s="2266" t="s">
        <v>5890</v>
      </c>
      <c r="G1601" s="2266" t="s">
        <v>5890</v>
      </c>
      <c r="H1601" s="2266">
        <v>471642</v>
      </c>
      <c r="I1601" s="2266">
        <v>0</v>
      </c>
      <c r="J1601" s="2266">
        <v>0</v>
      </c>
      <c r="K1601" s="2266">
        <v>0</v>
      </c>
      <c r="L1601" s="2266">
        <v>0</v>
      </c>
      <c r="M1601" s="2266">
        <v>599</v>
      </c>
    </row>
    <row r="1602" spans="1:13" ht="15">
      <c r="A1602" s="2266" t="s">
        <v>4264</v>
      </c>
      <c r="B1602" s="2465" t="str">
        <f>CONCATENATE(LEFT(RIGHT(CONCATENATE("000",IFAData_TEA_1617!A1602),6),3),"-",(RIGHT(RIGHT(CONCATENATE("000",IFAData_TEA_1617!A1602),6),3)))</f>
        <v>154-903</v>
      </c>
      <c r="C1602" s="2266" t="s">
        <v>609</v>
      </c>
      <c r="D1602" s="2266">
        <v>9</v>
      </c>
      <c r="E1602" s="2266">
        <v>2150</v>
      </c>
      <c r="F1602" s="2266" t="s">
        <v>5894</v>
      </c>
      <c r="G1602" s="2266" t="s">
        <v>5894</v>
      </c>
      <c r="H1602" s="2266">
        <v>100000</v>
      </c>
      <c r="I1602" s="2266">
        <v>0</v>
      </c>
      <c r="J1602" s="2266">
        <v>0</v>
      </c>
      <c r="K1602" s="2266">
        <v>0</v>
      </c>
      <c r="L1602" s="2266">
        <v>0</v>
      </c>
      <c r="M1602" s="2266">
        <v>599</v>
      </c>
    </row>
    <row r="1603" spans="1:13" ht="15">
      <c r="A1603" s="2266" t="s">
        <v>4264</v>
      </c>
      <c r="B1603" s="2465" t="str">
        <f>CONCATENATE(LEFT(RIGHT(CONCATENATE("000",IFAData_TEA_1617!A1603),6),3),"-",(RIGHT(RIGHT(CONCATENATE("000",IFAData_TEA_1617!A1603),6),3)))</f>
        <v>154-903</v>
      </c>
      <c r="C1603" s="2266" t="s">
        <v>609</v>
      </c>
      <c r="D1603" s="2266">
        <v>9</v>
      </c>
      <c r="E1603" s="2266">
        <v>2150</v>
      </c>
      <c r="F1603" s="2266" t="s">
        <v>5894</v>
      </c>
      <c r="G1603" s="2266" t="s">
        <v>5895</v>
      </c>
      <c r="H1603" s="2266">
        <v>100000</v>
      </c>
      <c r="I1603" s="2266">
        <v>356728</v>
      </c>
      <c r="J1603" s="2266">
        <v>1</v>
      </c>
      <c r="K1603" s="2266">
        <v>100000</v>
      </c>
      <c r="L1603" s="2266">
        <v>100000</v>
      </c>
      <c r="M1603" s="2266">
        <v>599</v>
      </c>
    </row>
    <row r="1604" spans="1:13" ht="15">
      <c r="A1604" s="2266" t="s">
        <v>4265</v>
      </c>
      <c r="B1604" s="2465" t="str">
        <f>CONCATENATE(LEFT(RIGHT(CONCATENATE("000",IFAData_TEA_1617!A1604),6),3),"-",(RIGHT(RIGHT(CONCATENATE("000",IFAData_TEA_1617!A1604),6),3)))</f>
        <v>159-901</v>
      </c>
      <c r="C1604" s="2266" t="s">
        <v>1213</v>
      </c>
      <c r="D1604" s="2266">
        <v>1</v>
      </c>
      <c r="E1604" s="2266">
        <v>1774</v>
      </c>
      <c r="F1604" s="2266" t="s">
        <v>5896</v>
      </c>
      <c r="G1604" s="2266" t="s">
        <v>7016</v>
      </c>
      <c r="H1604" s="2266">
        <v>1514140</v>
      </c>
      <c r="I1604" s="2266">
        <v>1375050</v>
      </c>
      <c r="J1604" s="2266">
        <v>1</v>
      </c>
      <c r="K1604" s="2266">
        <v>1514140</v>
      </c>
      <c r="L1604" s="2266">
        <v>1375050</v>
      </c>
      <c r="M1604" s="2266">
        <v>599</v>
      </c>
    </row>
    <row r="1605" spans="1:13" ht="15">
      <c r="A1605" s="2266" t="s">
        <v>4265</v>
      </c>
      <c r="B1605" s="2465" t="str">
        <f>CONCATENATE(LEFT(RIGHT(CONCATENATE("000",IFAData_TEA_1617!A1605),6),3),"-",(RIGHT(RIGHT(CONCATENATE("000",IFAData_TEA_1617!A1605),6),3)))</f>
        <v>159-901</v>
      </c>
      <c r="C1605" s="2266" t="s">
        <v>1213</v>
      </c>
      <c r="D1605" s="2266">
        <v>4</v>
      </c>
      <c r="E1605" s="2266">
        <v>1773</v>
      </c>
      <c r="F1605" s="2266" t="s">
        <v>5898</v>
      </c>
      <c r="G1605" s="2266" t="s">
        <v>7016</v>
      </c>
      <c r="H1605" s="2266">
        <v>1415215</v>
      </c>
      <c r="I1605" s="2266">
        <v>1274650</v>
      </c>
      <c r="J1605" s="2266">
        <v>1</v>
      </c>
      <c r="K1605" s="2266">
        <v>1415215</v>
      </c>
      <c r="L1605" s="2266">
        <v>1274650</v>
      </c>
      <c r="M1605" s="2266">
        <v>599</v>
      </c>
    </row>
    <row r="1606" spans="1:13" ht="15">
      <c r="A1606" s="2266" t="s">
        <v>4265</v>
      </c>
      <c r="B1606" s="2465" t="str">
        <f>CONCATENATE(LEFT(RIGHT(CONCATENATE("000",IFAData_TEA_1617!A1606),6),3),"-",(RIGHT(RIGHT(CONCATENATE("000",IFAData_TEA_1617!A1606),6),3)))</f>
        <v>159-901</v>
      </c>
      <c r="C1606" s="2266" t="s">
        <v>1213</v>
      </c>
      <c r="D1606" s="2266">
        <v>9</v>
      </c>
      <c r="E1606" s="2266">
        <v>1775</v>
      </c>
      <c r="F1606" s="2266" t="s">
        <v>5899</v>
      </c>
      <c r="G1606" s="2266" t="s">
        <v>7238</v>
      </c>
      <c r="H1606" s="2266">
        <v>1955528</v>
      </c>
      <c r="I1606" s="2266">
        <v>1039677</v>
      </c>
      <c r="J1606" s="2266">
        <v>0.57570267236715544</v>
      </c>
      <c r="K1606" s="2266">
        <v>1125802.6954887987</v>
      </c>
      <c r="L1606" s="2266">
        <v>1039677</v>
      </c>
      <c r="M1606" s="2266">
        <v>599</v>
      </c>
    </row>
    <row r="1607" spans="1:13" ht="15">
      <c r="A1607" s="2266" t="s">
        <v>4265</v>
      </c>
      <c r="B1607" s="2465" t="str">
        <f>CONCATENATE(LEFT(RIGHT(CONCATENATE("000",IFAData_TEA_1617!A1607),6),3),"-",(RIGHT(RIGHT(CONCATENATE("000",IFAData_TEA_1617!A1607),6),3)))</f>
        <v>159-901</v>
      </c>
      <c r="C1607" s="2266" t="s">
        <v>1213</v>
      </c>
      <c r="D1607" s="2266">
        <v>1</v>
      </c>
      <c r="E1607" s="2266">
        <v>1774</v>
      </c>
      <c r="F1607" s="2266" t="s">
        <v>5896</v>
      </c>
      <c r="G1607" s="2266" t="s">
        <v>5896</v>
      </c>
      <c r="H1607" s="2266">
        <v>1514140</v>
      </c>
      <c r="I1607" s="2266">
        <v>0</v>
      </c>
      <c r="J1607" s="2266">
        <v>0</v>
      </c>
      <c r="K1607" s="2266">
        <v>0</v>
      </c>
      <c r="L1607" s="2266">
        <v>0</v>
      </c>
      <c r="M1607" s="2266">
        <v>599</v>
      </c>
    </row>
    <row r="1608" spans="1:13" ht="15">
      <c r="A1608" s="2266" t="s">
        <v>4265</v>
      </c>
      <c r="B1608" s="2465" t="str">
        <f>CONCATENATE(LEFT(RIGHT(CONCATENATE("000",IFAData_TEA_1617!A1608),6),3),"-",(RIGHT(RIGHT(CONCATENATE("000",IFAData_TEA_1617!A1608),6),3)))</f>
        <v>159-901</v>
      </c>
      <c r="C1608" s="2266" t="s">
        <v>1213</v>
      </c>
      <c r="D1608" s="2266">
        <v>1</v>
      </c>
      <c r="E1608" s="2266">
        <v>1774</v>
      </c>
      <c r="F1608" s="2266" t="s">
        <v>5896</v>
      </c>
      <c r="G1608" s="2266" t="s">
        <v>5897</v>
      </c>
      <c r="H1608" s="2266">
        <v>1514140</v>
      </c>
      <c r="I1608" s="2266">
        <v>0</v>
      </c>
      <c r="J1608" s="2266">
        <v>0</v>
      </c>
      <c r="K1608" s="2266">
        <v>0</v>
      </c>
      <c r="L1608" s="2266">
        <v>0</v>
      </c>
      <c r="M1608" s="2266">
        <v>599</v>
      </c>
    </row>
    <row r="1609" spans="1:13" ht="15">
      <c r="A1609" s="2266" t="s">
        <v>4265</v>
      </c>
      <c r="B1609" s="2465" t="str">
        <f>CONCATENATE(LEFT(RIGHT(CONCATENATE("000",IFAData_TEA_1617!A1609),6),3),"-",(RIGHT(RIGHT(CONCATENATE("000",IFAData_TEA_1617!A1609),6),3)))</f>
        <v>159-901</v>
      </c>
      <c r="C1609" s="2266" t="s">
        <v>1213</v>
      </c>
      <c r="D1609" s="2266">
        <v>4</v>
      </c>
      <c r="E1609" s="2266">
        <v>1773</v>
      </c>
      <c r="F1609" s="2266" t="s">
        <v>5898</v>
      </c>
      <c r="G1609" s="2266" t="s">
        <v>5898</v>
      </c>
      <c r="H1609" s="2266">
        <v>1415215</v>
      </c>
      <c r="I1609" s="2266">
        <v>0</v>
      </c>
      <c r="J1609" s="2266">
        <v>0</v>
      </c>
      <c r="K1609" s="2266">
        <v>0</v>
      </c>
      <c r="L1609" s="2266">
        <v>0</v>
      </c>
      <c r="M1609" s="2266">
        <v>599</v>
      </c>
    </row>
    <row r="1610" spans="1:13" ht="15">
      <c r="A1610" s="2266" t="s">
        <v>4265</v>
      </c>
      <c r="B1610" s="2465" t="str">
        <f>CONCATENATE(LEFT(RIGHT(CONCATENATE("000",IFAData_TEA_1617!A1610),6),3),"-",(RIGHT(RIGHT(CONCATENATE("000",IFAData_TEA_1617!A1610),6),3)))</f>
        <v>159-901</v>
      </c>
      <c r="C1610" s="2266" t="s">
        <v>1213</v>
      </c>
      <c r="D1610" s="2266">
        <v>4</v>
      </c>
      <c r="E1610" s="2266">
        <v>1773</v>
      </c>
      <c r="F1610" s="2266" t="s">
        <v>5898</v>
      </c>
      <c r="G1610" s="2266" t="s">
        <v>5897</v>
      </c>
      <c r="H1610" s="2266">
        <v>1415215</v>
      </c>
      <c r="I1610" s="2266">
        <v>0</v>
      </c>
      <c r="J1610" s="2266">
        <v>0</v>
      </c>
      <c r="K1610" s="2266">
        <v>0</v>
      </c>
      <c r="L1610" s="2266">
        <v>0</v>
      </c>
      <c r="M1610" s="2266">
        <v>599</v>
      </c>
    </row>
    <row r="1611" spans="1:13" ht="15">
      <c r="A1611" s="2266" t="s">
        <v>4265</v>
      </c>
      <c r="B1611" s="2465" t="str">
        <f>CONCATENATE(LEFT(RIGHT(CONCATENATE("000",IFAData_TEA_1617!A1611),6),3),"-",(RIGHT(RIGHT(CONCATENATE("000",IFAData_TEA_1617!A1611),6),3)))</f>
        <v>159-901</v>
      </c>
      <c r="C1611" s="2266" t="s">
        <v>1213</v>
      </c>
      <c r="D1611" s="2266">
        <v>9</v>
      </c>
      <c r="E1611" s="2266">
        <v>1775</v>
      </c>
      <c r="F1611" s="2266" t="s">
        <v>5899</v>
      </c>
      <c r="G1611" s="2266" t="s">
        <v>5899</v>
      </c>
      <c r="H1611" s="2266">
        <v>1955528</v>
      </c>
      <c r="I1611" s="2266">
        <v>766250</v>
      </c>
      <c r="J1611" s="2266">
        <v>0.4242973276328445</v>
      </c>
      <c r="K1611" s="2266">
        <v>829725.3045112011</v>
      </c>
      <c r="L1611" s="2266">
        <v>766250</v>
      </c>
      <c r="M1611" s="2266">
        <v>599</v>
      </c>
    </row>
    <row r="1612" spans="1:13" ht="15">
      <c r="A1612" s="2266" t="s">
        <v>4266</v>
      </c>
      <c r="B1612" s="2465" t="str">
        <f>CONCATENATE(LEFT(RIGHT(CONCATENATE("000",IFAData_TEA_1617!A1612),6),3),"-",(RIGHT(RIGHT(CONCATENATE("000",IFAData_TEA_1617!A1612),6),3)))</f>
        <v>160-901</v>
      </c>
      <c r="C1612" s="2266" t="s">
        <v>2120</v>
      </c>
      <c r="D1612" s="2266">
        <v>2</v>
      </c>
      <c r="E1612" s="2266">
        <v>1632</v>
      </c>
      <c r="F1612" s="2266" t="s">
        <v>5900</v>
      </c>
      <c r="G1612" s="2266" t="s">
        <v>5901</v>
      </c>
      <c r="H1612" s="2266">
        <v>348110</v>
      </c>
      <c r="I1612" s="2266">
        <v>0</v>
      </c>
      <c r="J1612" s="2266">
        <v>0</v>
      </c>
      <c r="K1612" s="2266">
        <v>0</v>
      </c>
      <c r="L1612" s="2266">
        <v>0</v>
      </c>
      <c r="M1612" s="2266">
        <v>599</v>
      </c>
    </row>
    <row r="1613" spans="1:13" ht="15">
      <c r="A1613" s="2266" t="s">
        <v>4266</v>
      </c>
      <c r="B1613" s="2465" t="str">
        <f>CONCATENATE(LEFT(RIGHT(CONCATENATE("000",IFAData_TEA_1617!A1613),6),3),"-",(RIGHT(RIGHT(CONCATENATE("000",IFAData_TEA_1617!A1613),6),3)))</f>
        <v>160-901</v>
      </c>
      <c r="C1613" s="2266" t="s">
        <v>2120</v>
      </c>
      <c r="D1613" s="2266">
        <v>9</v>
      </c>
      <c r="E1613" s="2266">
        <v>1631</v>
      </c>
      <c r="F1613" s="2266" t="s">
        <v>5904</v>
      </c>
      <c r="G1613" s="2266" t="s">
        <v>5904</v>
      </c>
      <c r="H1613" s="2266">
        <v>309622</v>
      </c>
      <c r="I1613" s="2266">
        <v>0</v>
      </c>
      <c r="J1613" s="2266">
        <v>0</v>
      </c>
      <c r="K1613" s="2266">
        <v>0</v>
      </c>
      <c r="L1613" s="2266">
        <v>0</v>
      </c>
      <c r="M1613" s="2266">
        <v>599</v>
      </c>
    </row>
    <row r="1614" spans="1:13" ht="15">
      <c r="A1614" s="2266" t="s">
        <v>4266</v>
      </c>
      <c r="B1614" s="2465" t="str">
        <f>CONCATENATE(LEFT(RIGHT(CONCATENATE("000",IFAData_TEA_1617!A1614),6),3),"-",(RIGHT(RIGHT(CONCATENATE("000",IFAData_TEA_1617!A1614),6),3)))</f>
        <v>160-901</v>
      </c>
      <c r="C1614" s="2266" t="s">
        <v>2120</v>
      </c>
      <c r="D1614" s="2266">
        <v>2</v>
      </c>
      <c r="E1614" s="2266">
        <v>1632</v>
      </c>
      <c r="F1614" s="2266" t="s">
        <v>5900</v>
      </c>
      <c r="G1614" s="2266" t="s">
        <v>5900</v>
      </c>
      <c r="H1614" s="2266">
        <v>348110</v>
      </c>
      <c r="I1614" s="2266">
        <v>0</v>
      </c>
      <c r="J1614" s="2266">
        <v>0</v>
      </c>
      <c r="K1614" s="2266">
        <v>0</v>
      </c>
      <c r="L1614" s="2266">
        <v>0</v>
      </c>
      <c r="M1614" s="2266">
        <v>599</v>
      </c>
    </row>
    <row r="1615" spans="1:13" ht="15">
      <c r="A1615" s="2266" t="s">
        <v>4266</v>
      </c>
      <c r="B1615" s="2465" t="str">
        <f>CONCATENATE(LEFT(RIGHT(CONCATENATE("000",IFAData_TEA_1617!A1615),6),3),"-",(RIGHT(RIGHT(CONCATENATE("000",IFAData_TEA_1617!A1615),6),3)))</f>
        <v>160-901</v>
      </c>
      <c r="C1615" s="2266" t="s">
        <v>2120</v>
      </c>
      <c r="D1615" s="2266">
        <v>2</v>
      </c>
      <c r="E1615" s="2266">
        <v>1632</v>
      </c>
      <c r="F1615" s="2266" t="s">
        <v>5900</v>
      </c>
      <c r="G1615" s="2266" t="s">
        <v>5902</v>
      </c>
      <c r="H1615" s="2266">
        <v>348110</v>
      </c>
      <c r="I1615" s="2266">
        <v>56702</v>
      </c>
      <c r="J1615" s="2266">
        <v>9.0213673173913739E-2</v>
      </c>
      <c r="K1615" s="2266">
        <v>31404.281768571112</v>
      </c>
      <c r="L1615" s="2266">
        <v>31404.281768571112</v>
      </c>
      <c r="M1615" s="2266">
        <v>599</v>
      </c>
    </row>
    <row r="1616" spans="1:13" ht="15">
      <c r="A1616" s="2266" t="s">
        <v>4266</v>
      </c>
      <c r="B1616" s="2465" t="str">
        <f>CONCATENATE(LEFT(RIGHT(CONCATENATE("000",IFAData_TEA_1617!A1616),6),3),"-",(RIGHT(RIGHT(CONCATENATE("000",IFAData_TEA_1617!A1616),6),3)))</f>
        <v>160-901</v>
      </c>
      <c r="C1616" s="2266" t="s">
        <v>2120</v>
      </c>
      <c r="D1616" s="2266">
        <v>2</v>
      </c>
      <c r="E1616" s="2266">
        <v>1632</v>
      </c>
      <c r="F1616" s="2266" t="s">
        <v>5900</v>
      </c>
      <c r="G1616" s="2266" t="s">
        <v>5903</v>
      </c>
      <c r="H1616" s="2266">
        <v>348110</v>
      </c>
      <c r="I1616" s="2266">
        <v>571828</v>
      </c>
      <c r="J1616" s="2266">
        <v>0.90978632682608629</v>
      </c>
      <c r="K1616" s="2266">
        <v>316705.71823142888</v>
      </c>
      <c r="L1616" s="2266">
        <v>316705.71823142888</v>
      </c>
      <c r="M1616" s="2266">
        <v>599</v>
      </c>
    </row>
    <row r="1617" spans="1:13" ht="15">
      <c r="A1617" s="2266" t="s">
        <v>4266</v>
      </c>
      <c r="B1617" s="2465" t="str">
        <f>CONCATENATE(LEFT(RIGHT(CONCATENATE("000",IFAData_TEA_1617!A1617),6),3),"-",(RIGHT(RIGHT(CONCATENATE("000",IFAData_TEA_1617!A1617),6),3)))</f>
        <v>160-901</v>
      </c>
      <c r="C1617" s="2266" t="s">
        <v>2120</v>
      </c>
      <c r="D1617" s="2266">
        <v>9</v>
      </c>
      <c r="E1617" s="2266">
        <v>1631</v>
      </c>
      <c r="F1617" s="2266" t="s">
        <v>5904</v>
      </c>
      <c r="G1617" s="2266" t="s">
        <v>7017</v>
      </c>
      <c r="H1617" s="2266">
        <v>309622</v>
      </c>
      <c r="I1617" s="2266">
        <v>766877</v>
      </c>
      <c r="J1617" s="2266">
        <v>1</v>
      </c>
      <c r="K1617" s="2266">
        <v>309622</v>
      </c>
      <c r="L1617" s="2266">
        <v>309622</v>
      </c>
      <c r="M1617" s="2266">
        <v>599</v>
      </c>
    </row>
    <row r="1618" spans="1:13" ht="15">
      <c r="A1618" s="2266" t="s">
        <v>4267</v>
      </c>
      <c r="B1618" s="2465" t="str">
        <f>CONCATENATE(LEFT(RIGHT(CONCATENATE("000",IFAData_TEA_1617!A1618),6),3),"-",(RIGHT(RIGHT(CONCATENATE("000",IFAData_TEA_1617!A1618),6),3)))</f>
        <v>160-905</v>
      </c>
      <c r="C1618" s="2266" t="s">
        <v>2547</v>
      </c>
      <c r="D1618" s="2266">
        <v>6</v>
      </c>
      <c r="E1618" s="2266">
        <v>2032</v>
      </c>
      <c r="F1618" s="2266" t="s">
        <v>5905</v>
      </c>
      <c r="G1618" s="2266" t="s">
        <v>5905</v>
      </c>
      <c r="H1618" s="2266">
        <v>100000</v>
      </c>
      <c r="I1618" s="2266">
        <v>95188</v>
      </c>
      <c r="J1618" s="2266">
        <v>1</v>
      </c>
      <c r="K1618" s="2266">
        <v>100000</v>
      </c>
      <c r="L1618" s="2266">
        <v>95188</v>
      </c>
      <c r="M1618" s="2266">
        <v>599</v>
      </c>
    </row>
    <row r="1619" spans="1:13" ht="15">
      <c r="A1619" s="2266" t="s">
        <v>4268</v>
      </c>
      <c r="B1619" s="2465" t="str">
        <f>CONCATENATE(LEFT(RIGHT(CONCATENATE("000",IFAData_TEA_1617!A1619),6),3),"-",(RIGHT(RIGHT(CONCATENATE("000",IFAData_TEA_1617!A1619),6),3)))</f>
        <v>161-901</v>
      </c>
      <c r="C1619" s="2266" t="s">
        <v>457</v>
      </c>
      <c r="D1619" s="2266">
        <v>5</v>
      </c>
      <c r="E1619" s="2266">
        <v>1731</v>
      </c>
      <c r="F1619" s="2266" t="s">
        <v>5906</v>
      </c>
      <c r="G1619" s="2266" t="s">
        <v>7018</v>
      </c>
      <c r="H1619" s="2266">
        <v>257868</v>
      </c>
      <c r="I1619" s="2266">
        <v>227800</v>
      </c>
      <c r="J1619" s="2266">
        <v>1</v>
      </c>
      <c r="K1619" s="2266">
        <v>257868</v>
      </c>
      <c r="L1619" s="2266">
        <v>227800</v>
      </c>
      <c r="M1619" s="2266">
        <v>599</v>
      </c>
    </row>
    <row r="1620" spans="1:13" ht="15">
      <c r="A1620" s="2266" t="s">
        <v>4268</v>
      </c>
      <c r="B1620" s="2465" t="str">
        <f>CONCATENATE(LEFT(RIGHT(CONCATENATE("000",IFAData_TEA_1617!A1620),6),3),"-",(RIGHT(RIGHT(CONCATENATE("000",IFAData_TEA_1617!A1620),6),3)))</f>
        <v>161-901</v>
      </c>
      <c r="C1620" s="2266" t="s">
        <v>457</v>
      </c>
      <c r="D1620" s="2266">
        <v>5</v>
      </c>
      <c r="E1620" s="2266">
        <v>1731</v>
      </c>
      <c r="F1620" s="2266" t="s">
        <v>5906</v>
      </c>
      <c r="G1620" s="2266" t="s">
        <v>5907</v>
      </c>
      <c r="H1620" s="2266">
        <v>257868</v>
      </c>
      <c r="I1620" s="2266">
        <v>0</v>
      </c>
      <c r="J1620" s="2266">
        <v>0</v>
      </c>
      <c r="K1620" s="2266">
        <v>0</v>
      </c>
      <c r="L1620" s="2266">
        <v>0</v>
      </c>
      <c r="M1620" s="2266">
        <v>599</v>
      </c>
    </row>
    <row r="1621" spans="1:13" ht="15">
      <c r="A1621" s="2266" t="s">
        <v>4268</v>
      </c>
      <c r="B1621" s="2465" t="str">
        <f>CONCATENATE(LEFT(RIGHT(CONCATENATE("000",IFAData_TEA_1617!A1621),6),3),"-",(RIGHT(RIGHT(CONCATENATE("000",IFAData_TEA_1617!A1621),6),3)))</f>
        <v>161-901</v>
      </c>
      <c r="C1621" s="2266" t="s">
        <v>457</v>
      </c>
      <c r="D1621" s="2266">
        <v>5</v>
      </c>
      <c r="E1621" s="2266">
        <v>1731</v>
      </c>
      <c r="F1621" s="2266" t="s">
        <v>5906</v>
      </c>
      <c r="G1621" s="2266" t="s">
        <v>5906</v>
      </c>
      <c r="H1621" s="2266">
        <v>257868</v>
      </c>
      <c r="I1621" s="2266">
        <v>0</v>
      </c>
      <c r="J1621" s="2266">
        <v>0</v>
      </c>
      <c r="K1621" s="2266">
        <v>0</v>
      </c>
      <c r="L1621" s="2266">
        <v>0</v>
      </c>
      <c r="M1621" s="2266">
        <v>599</v>
      </c>
    </row>
    <row r="1622" spans="1:13" ht="15">
      <c r="A1622" s="2266" t="s">
        <v>4269</v>
      </c>
      <c r="B1622" s="2465" t="str">
        <f>CONCATENATE(LEFT(RIGHT(CONCATENATE("000",IFAData_TEA_1617!A1622),6),3),"-",(RIGHT(RIGHT(CONCATENATE("000",IFAData_TEA_1617!A1622),6),3)))</f>
        <v>161-906</v>
      </c>
      <c r="C1622" s="2266" t="s">
        <v>2172</v>
      </c>
      <c r="D1622" s="2266">
        <v>5</v>
      </c>
      <c r="E1622" s="2266">
        <v>1988</v>
      </c>
      <c r="F1622" s="2266" t="s">
        <v>5908</v>
      </c>
      <c r="G1622" s="2266" t="s">
        <v>5909</v>
      </c>
      <c r="H1622" s="2266">
        <v>575000</v>
      </c>
      <c r="I1622" s="2266">
        <v>0</v>
      </c>
      <c r="J1622" s="2266">
        <v>0</v>
      </c>
      <c r="K1622" s="2266">
        <v>0</v>
      </c>
      <c r="L1622" s="2266">
        <v>0</v>
      </c>
      <c r="M1622" s="2266">
        <v>599</v>
      </c>
    </row>
    <row r="1623" spans="1:13" ht="15">
      <c r="A1623" s="2266" t="s">
        <v>4269</v>
      </c>
      <c r="B1623" s="2465" t="str">
        <f>CONCATENATE(LEFT(RIGHT(CONCATENATE("000",IFAData_TEA_1617!A1623),6),3),"-",(RIGHT(RIGHT(CONCATENATE("000",IFAData_TEA_1617!A1623),6),3)))</f>
        <v>161-906</v>
      </c>
      <c r="C1623" s="2266" t="s">
        <v>2172</v>
      </c>
      <c r="D1623" s="2266">
        <v>5</v>
      </c>
      <c r="E1623" s="2266">
        <v>1988</v>
      </c>
      <c r="F1623" s="2266" t="s">
        <v>5908</v>
      </c>
      <c r="G1623" s="2266" t="s">
        <v>5908</v>
      </c>
      <c r="H1623" s="2266">
        <v>575000</v>
      </c>
      <c r="I1623" s="2266">
        <v>0</v>
      </c>
      <c r="J1623" s="2266">
        <v>0</v>
      </c>
      <c r="K1623" s="2266">
        <v>0</v>
      </c>
      <c r="L1623" s="2266">
        <v>0</v>
      </c>
      <c r="M1623" s="2266">
        <v>599</v>
      </c>
    </row>
    <row r="1624" spans="1:13" ht="15">
      <c r="A1624" s="2266" t="s">
        <v>4269</v>
      </c>
      <c r="B1624" s="2465" t="str">
        <f>CONCATENATE(LEFT(RIGHT(CONCATENATE("000",IFAData_TEA_1617!A1624),6),3),"-",(RIGHT(RIGHT(CONCATENATE("000",IFAData_TEA_1617!A1624),6),3)))</f>
        <v>161-906</v>
      </c>
      <c r="C1624" s="2266" t="s">
        <v>2172</v>
      </c>
      <c r="D1624" s="2266">
        <v>10</v>
      </c>
      <c r="E1624" s="2266">
        <v>1989</v>
      </c>
      <c r="F1624" s="2266" t="s">
        <v>5910</v>
      </c>
      <c r="G1624" s="2266" t="s">
        <v>5910</v>
      </c>
      <c r="H1624" s="2266">
        <v>634429</v>
      </c>
      <c r="I1624" s="2266">
        <v>1018575</v>
      </c>
      <c r="J1624" s="2266">
        <v>1</v>
      </c>
      <c r="K1624" s="2266">
        <v>634429</v>
      </c>
      <c r="L1624" s="2266">
        <v>634429</v>
      </c>
      <c r="M1624" s="2266">
        <v>599</v>
      </c>
    </row>
    <row r="1625" spans="1:13" ht="15">
      <c r="A1625" s="2266" t="s">
        <v>4269</v>
      </c>
      <c r="B1625" s="2465" t="str">
        <f>CONCATENATE(LEFT(RIGHT(CONCATENATE("000",IFAData_TEA_1617!A1625),6),3),"-",(RIGHT(RIGHT(CONCATENATE("000",IFAData_TEA_1617!A1625),6),3)))</f>
        <v>161-906</v>
      </c>
      <c r="C1625" s="2266" t="s">
        <v>2172</v>
      </c>
      <c r="D1625" s="2266">
        <v>5</v>
      </c>
      <c r="E1625" s="2266">
        <v>1988</v>
      </c>
      <c r="F1625" s="2266" t="s">
        <v>5908</v>
      </c>
      <c r="G1625" s="2266" t="s">
        <v>7239</v>
      </c>
      <c r="H1625" s="2266">
        <v>575000</v>
      </c>
      <c r="I1625" s="2266">
        <v>481550</v>
      </c>
      <c r="J1625" s="2266">
        <v>1</v>
      </c>
      <c r="K1625" s="2266">
        <v>575000</v>
      </c>
      <c r="L1625" s="2266">
        <v>481550</v>
      </c>
      <c r="M1625" s="2266">
        <v>599</v>
      </c>
    </row>
    <row r="1626" spans="1:13" ht="15">
      <c r="A1626" s="2266" t="s">
        <v>4270</v>
      </c>
      <c r="B1626" s="2465" t="str">
        <f>CONCATENATE(LEFT(RIGHT(CONCATENATE("000",IFAData_TEA_1617!A1626),6),3),"-",(RIGHT(RIGHT(CONCATENATE("000",IFAData_TEA_1617!A1626),6),3)))</f>
        <v>161-907</v>
      </c>
      <c r="C1626" s="2266" t="s">
        <v>1426</v>
      </c>
      <c r="D1626" s="2266">
        <v>4</v>
      </c>
      <c r="E1626" s="2266">
        <v>2036</v>
      </c>
      <c r="F1626" s="2266" t="s">
        <v>5911</v>
      </c>
      <c r="G1626" s="2266" t="s">
        <v>7019</v>
      </c>
      <c r="H1626" s="2266">
        <v>336827</v>
      </c>
      <c r="I1626" s="2266">
        <v>575600</v>
      </c>
      <c r="J1626" s="2266">
        <v>1</v>
      </c>
      <c r="K1626" s="2266">
        <v>336827</v>
      </c>
      <c r="L1626" s="2266">
        <v>336827</v>
      </c>
      <c r="M1626" s="2266">
        <v>599</v>
      </c>
    </row>
    <row r="1627" spans="1:13" ht="15">
      <c r="A1627" s="2266" t="s">
        <v>4270</v>
      </c>
      <c r="B1627" s="2465" t="str">
        <f>CONCATENATE(LEFT(RIGHT(CONCATENATE("000",IFAData_TEA_1617!A1627),6),3),"-",(RIGHT(RIGHT(CONCATENATE("000",IFAData_TEA_1617!A1627),6),3)))</f>
        <v>161-907</v>
      </c>
      <c r="C1627" s="2266" t="s">
        <v>1426</v>
      </c>
      <c r="D1627" s="2266">
        <v>6</v>
      </c>
      <c r="E1627" s="2266">
        <v>2035</v>
      </c>
      <c r="F1627" s="2266" t="s">
        <v>5913</v>
      </c>
      <c r="G1627" s="2266" t="s">
        <v>5914</v>
      </c>
      <c r="H1627" s="2266">
        <v>330640</v>
      </c>
      <c r="I1627" s="2266">
        <v>0</v>
      </c>
      <c r="J1627" s="2266">
        <v>0</v>
      </c>
      <c r="K1627" s="2266">
        <v>0</v>
      </c>
      <c r="L1627" s="2266">
        <v>0</v>
      </c>
      <c r="M1627" s="2266">
        <v>599</v>
      </c>
    </row>
    <row r="1628" spans="1:13" ht="15">
      <c r="A1628" s="2266" t="s">
        <v>4270</v>
      </c>
      <c r="B1628" s="2465" t="str">
        <f>CONCATENATE(LEFT(RIGHT(CONCATENATE("000",IFAData_TEA_1617!A1628),6),3),"-",(RIGHT(RIGHT(CONCATENATE("000",IFAData_TEA_1617!A1628),6),3)))</f>
        <v>161-907</v>
      </c>
      <c r="C1628" s="2266" t="s">
        <v>1426</v>
      </c>
      <c r="D1628" s="2266">
        <v>6</v>
      </c>
      <c r="E1628" s="2266">
        <v>2035</v>
      </c>
      <c r="F1628" s="2266" t="s">
        <v>5913</v>
      </c>
      <c r="G1628" s="2266" t="s">
        <v>5915</v>
      </c>
      <c r="H1628" s="2266">
        <v>330640</v>
      </c>
      <c r="I1628" s="2266">
        <v>247570</v>
      </c>
      <c r="J1628" s="2266">
        <v>0.71319102353585118</v>
      </c>
      <c r="K1628" s="2266">
        <v>235809.48002189383</v>
      </c>
      <c r="L1628" s="2266">
        <v>235809.48002189383</v>
      </c>
      <c r="M1628" s="2266">
        <v>599</v>
      </c>
    </row>
    <row r="1629" spans="1:13" ht="15">
      <c r="A1629" s="2266" t="s">
        <v>4270</v>
      </c>
      <c r="B1629" s="2465" t="str">
        <f>CONCATENATE(LEFT(RIGHT(CONCATENATE("000",IFAData_TEA_1617!A1629),6),3),"-",(RIGHT(RIGHT(CONCATENATE("000",IFAData_TEA_1617!A1629),6),3)))</f>
        <v>161-907</v>
      </c>
      <c r="C1629" s="2266" t="s">
        <v>1426</v>
      </c>
      <c r="D1629" s="2266">
        <v>4</v>
      </c>
      <c r="E1629" s="2266">
        <v>2036</v>
      </c>
      <c r="F1629" s="2266" t="s">
        <v>5911</v>
      </c>
      <c r="G1629" s="2266" t="s">
        <v>5911</v>
      </c>
      <c r="H1629" s="2266">
        <v>336827</v>
      </c>
      <c r="I1629" s="2266">
        <v>0</v>
      </c>
      <c r="J1629" s="2266">
        <v>0</v>
      </c>
      <c r="K1629" s="2266">
        <v>0</v>
      </c>
      <c r="L1629" s="2266">
        <v>0</v>
      </c>
      <c r="M1629" s="2266">
        <v>599</v>
      </c>
    </row>
    <row r="1630" spans="1:13" ht="15">
      <c r="A1630" s="2266" t="s">
        <v>4270</v>
      </c>
      <c r="B1630" s="2465" t="str">
        <f>CONCATENATE(LEFT(RIGHT(CONCATENATE("000",IFAData_TEA_1617!A1630),6),3),"-",(RIGHT(RIGHT(CONCATENATE("000",IFAData_TEA_1617!A1630),6),3)))</f>
        <v>161-907</v>
      </c>
      <c r="C1630" s="2266" t="s">
        <v>1426</v>
      </c>
      <c r="D1630" s="2266">
        <v>4</v>
      </c>
      <c r="E1630" s="2266">
        <v>2036</v>
      </c>
      <c r="F1630" s="2266" t="s">
        <v>5911</v>
      </c>
      <c r="G1630" s="2266" t="s">
        <v>5912</v>
      </c>
      <c r="H1630" s="2266">
        <v>336827</v>
      </c>
      <c r="I1630" s="2266">
        <v>0</v>
      </c>
      <c r="J1630" s="2266">
        <v>0</v>
      </c>
      <c r="K1630" s="2266">
        <v>0</v>
      </c>
      <c r="L1630" s="2266">
        <v>0</v>
      </c>
      <c r="M1630" s="2266">
        <v>599</v>
      </c>
    </row>
    <row r="1631" spans="1:13" ht="15">
      <c r="A1631" s="2266" t="s">
        <v>4270</v>
      </c>
      <c r="B1631" s="2465" t="str">
        <f>CONCATENATE(LEFT(RIGHT(CONCATENATE("000",IFAData_TEA_1617!A1631),6),3),"-",(RIGHT(RIGHT(CONCATENATE("000",IFAData_TEA_1617!A1631),6),3)))</f>
        <v>161-907</v>
      </c>
      <c r="C1631" s="2266" t="s">
        <v>1426</v>
      </c>
      <c r="D1631" s="2266">
        <v>6</v>
      </c>
      <c r="E1631" s="2266">
        <v>2035</v>
      </c>
      <c r="F1631" s="2266" t="s">
        <v>5913</v>
      </c>
      <c r="G1631" s="2266" t="s">
        <v>5913</v>
      </c>
      <c r="H1631" s="2266">
        <v>330640</v>
      </c>
      <c r="I1631" s="2266">
        <v>0</v>
      </c>
      <c r="J1631" s="2266">
        <v>0</v>
      </c>
      <c r="K1631" s="2266">
        <v>0</v>
      </c>
      <c r="L1631" s="2266">
        <v>0</v>
      </c>
      <c r="M1631" s="2266">
        <v>599</v>
      </c>
    </row>
    <row r="1632" spans="1:13" ht="15">
      <c r="A1632" s="2266" t="s">
        <v>4270</v>
      </c>
      <c r="B1632" s="2465" t="str">
        <f>CONCATENATE(LEFT(RIGHT(CONCATENATE("000",IFAData_TEA_1617!A1632),6),3),"-",(RIGHT(RIGHT(CONCATENATE("000",IFAData_TEA_1617!A1632),6),3)))</f>
        <v>161-907</v>
      </c>
      <c r="C1632" s="2266" t="s">
        <v>1426</v>
      </c>
      <c r="D1632" s="2266">
        <v>6</v>
      </c>
      <c r="E1632" s="2266">
        <v>2035</v>
      </c>
      <c r="F1632" s="2266" t="s">
        <v>5913</v>
      </c>
      <c r="G1632" s="2266" t="s">
        <v>7240</v>
      </c>
      <c r="H1632" s="2266">
        <v>330640</v>
      </c>
      <c r="I1632" s="2266">
        <v>99560</v>
      </c>
      <c r="J1632" s="2266">
        <v>0.28680897646414888</v>
      </c>
      <c r="K1632" s="2266">
        <v>94830.519978106182</v>
      </c>
      <c r="L1632" s="2266">
        <v>94830.519978106182</v>
      </c>
      <c r="M1632" s="2266">
        <v>599</v>
      </c>
    </row>
    <row r="1633" spans="1:13" ht="15">
      <c r="A1633" s="2266" t="s">
        <v>4272</v>
      </c>
      <c r="B1633" s="2465" t="str">
        <f>CONCATENATE(LEFT(RIGHT(CONCATENATE("000",IFAData_TEA_1617!A1633),6),3),"-",(RIGHT(RIGHT(CONCATENATE("000",IFAData_TEA_1617!A1633),6),3)))</f>
        <v>161-909</v>
      </c>
      <c r="C1633" s="2266" t="s">
        <v>927</v>
      </c>
      <c r="D1633" s="2266">
        <v>5</v>
      </c>
      <c r="E1633" s="2266">
        <v>2081</v>
      </c>
      <c r="F1633" s="2266" t="s">
        <v>5918</v>
      </c>
      <c r="G1633" s="2266" t="s">
        <v>5919</v>
      </c>
      <c r="H1633" s="2266">
        <v>241790</v>
      </c>
      <c r="I1633" s="2266">
        <v>315847</v>
      </c>
      <c r="J1633" s="2266">
        <v>0.52305106358314502</v>
      </c>
      <c r="K1633" s="2266">
        <v>126468.51666376863</v>
      </c>
      <c r="L1633" s="2266">
        <v>126468.51666376863</v>
      </c>
      <c r="M1633" s="2266">
        <v>599</v>
      </c>
    </row>
    <row r="1634" spans="1:13" ht="15">
      <c r="A1634" s="2266" t="s">
        <v>4272</v>
      </c>
      <c r="B1634" s="2465" t="str">
        <f>CONCATENATE(LEFT(RIGHT(CONCATENATE("000",IFAData_TEA_1617!A1634),6),3),"-",(RIGHT(RIGHT(CONCATENATE("000",IFAData_TEA_1617!A1634),6),3)))</f>
        <v>161-909</v>
      </c>
      <c r="C1634" s="2266" t="s">
        <v>927</v>
      </c>
      <c r="D1634" s="2266">
        <v>5</v>
      </c>
      <c r="E1634" s="2266">
        <v>2081</v>
      </c>
      <c r="F1634" s="2266" t="s">
        <v>5918</v>
      </c>
      <c r="G1634" s="2266" t="s">
        <v>5918</v>
      </c>
      <c r="H1634" s="2266">
        <v>241790</v>
      </c>
      <c r="I1634" s="2266">
        <v>288008</v>
      </c>
      <c r="J1634" s="2266">
        <v>0.47694893641685504</v>
      </c>
      <c r="K1634" s="2266">
        <v>115321.48333623138</v>
      </c>
      <c r="L1634" s="2266">
        <v>115321.48333623138</v>
      </c>
      <c r="M1634" s="2266">
        <v>599</v>
      </c>
    </row>
    <row r="1635" spans="1:13" ht="15">
      <c r="A1635" s="2266" t="s">
        <v>4273</v>
      </c>
      <c r="B1635" s="2465" t="str">
        <f>CONCATENATE(LEFT(RIGHT(CONCATENATE("000",IFAData_TEA_1617!A1635),6),3),"-",(RIGHT(RIGHT(CONCATENATE("000",IFAData_TEA_1617!A1635),6),3)))</f>
        <v>161-910</v>
      </c>
      <c r="C1635" s="2266" t="s">
        <v>1969</v>
      </c>
      <c r="D1635" s="2266">
        <v>10</v>
      </c>
      <c r="E1635" s="2266">
        <v>2119</v>
      </c>
      <c r="F1635" s="2266" t="s">
        <v>5920</v>
      </c>
      <c r="G1635" s="2266" t="s">
        <v>5920</v>
      </c>
      <c r="H1635" s="2266">
        <v>185967</v>
      </c>
      <c r="I1635" s="2266">
        <v>726744</v>
      </c>
      <c r="J1635" s="2266">
        <v>1</v>
      </c>
      <c r="K1635" s="2266">
        <v>185967</v>
      </c>
      <c r="L1635" s="2266">
        <v>185967</v>
      </c>
      <c r="M1635" s="2266">
        <v>599</v>
      </c>
    </row>
    <row r="1636" spans="1:13" ht="15">
      <c r="A1636" s="2266" t="s">
        <v>4274</v>
      </c>
      <c r="B1636" s="2465" t="str">
        <f>CONCATENATE(LEFT(RIGHT(CONCATENATE("000",IFAData_TEA_1617!A1636),6),3),"-",(RIGHT(RIGHT(CONCATENATE("000",IFAData_TEA_1617!A1636),6),3)))</f>
        <v>161-912</v>
      </c>
      <c r="C1636" s="2266" t="s">
        <v>1958</v>
      </c>
      <c r="D1636" s="2266">
        <v>2</v>
      </c>
      <c r="E1636" s="2266">
        <v>2238</v>
      </c>
      <c r="F1636" s="2266" t="s">
        <v>5921</v>
      </c>
      <c r="G1636" s="2266" t="s">
        <v>5921</v>
      </c>
      <c r="H1636" s="2266">
        <v>154071</v>
      </c>
      <c r="I1636" s="2266">
        <v>0</v>
      </c>
      <c r="J1636" s="2266">
        <v>0</v>
      </c>
      <c r="K1636" s="2266">
        <v>0</v>
      </c>
      <c r="L1636" s="2266">
        <v>0</v>
      </c>
      <c r="M1636" s="2266">
        <v>599</v>
      </c>
    </row>
    <row r="1637" spans="1:13" ht="15">
      <c r="A1637" s="2266" t="s">
        <v>4274</v>
      </c>
      <c r="B1637" s="2465" t="str">
        <f>CONCATENATE(LEFT(RIGHT(CONCATENATE("000",IFAData_TEA_1617!A1637),6),3),"-",(RIGHT(RIGHT(CONCATENATE("000",IFAData_TEA_1617!A1637),6),3)))</f>
        <v>161-912</v>
      </c>
      <c r="C1637" s="2266" t="s">
        <v>1958</v>
      </c>
      <c r="D1637" s="2266">
        <v>10</v>
      </c>
      <c r="E1637" s="2266">
        <v>2237</v>
      </c>
      <c r="F1637" s="2266" t="s">
        <v>5924</v>
      </c>
      <c r="G1637" s="2266" t="s">
        <v>5924</v>
      </c>
      <c r="H1637" s="2266">
        <v>131250</v>
      </c>
      <c r="I1637" s="2266">
        <v>900000</v>
      </c>
      <c r="J1637" s="2266">
        <v>1</v>
      </c>
      <c r="K1637" s="2266">
        <v>131250</v>
      </c>
      <c r="L1637" s="2266">
        <v>131250</v>
      </c>
      <c r="M1637" s="2266">
        <v>599</v>
      </c>
    </row>
    <row r="1638" spans="1:13" ht="15">
      <c r="A1638" s="2266" t="s">
        <v>4274</v>
      </c>
      <c r="B1638" s="2465" t="str">
        <f>CONCATENATE(LEFT(RIGHT(CONCATENATE("000",IFAData_TEA_1617!A1638),6),3),"-",(RIGHT(RIGHT(CONCATENATE("000",IFAData_TEA_1617!A1638),6),3)))</f>
        <v>161-912</v>
      </c>
      <c r="C1638" s="2266" t="s">
        <v>1958</v>
      </c>
      <c r="D1638" s="2266">
        <v>2</v>
      </c>
      <c r="E1638" s="2266">
        <v>2238</v>
      </c>
      <c r="F1638" s="2266" t="s">
        <v>5921</v>
      </c>
      <c r="G1638" s="2266" t="s">
        <v>5922</v>
      </c>
      <c r="H1638" s="2266">
        <v>154071</v>
      </c>
      <c r="I1638" s="2266">
        <v>138800</v>
      </c>
      <c r="J1638" s="2266">
        <v>1</v>
      </c>
      <c r="K1638" s="2266">
        <v>154071</v>
      </c>
      <c r="L1638" s="2266">
        <v>138800</v>
      </c>
      <c r="M1638" s="2266">
        <v>599</v>
      </c>
    </row>
    <row r="1639" spans="1:13" ht="15">
      <c r="A1639" s="2266" t="s">
        <v>4274</v>
      </c>
      <c r="B1639" s="2465" t="str">
        <f>CONCATENATE(LEFT(RIGHT(CONCATENATE("000",IFAData_TEA_1617!A1639),6),3),"-",(RIGHT(RIGHT(CONCATENATE("000",IFAData_TEA_1617!A1639),6),3)))</f>
        <v>161-912</v>
      </c>
      <c r="C1639" s="2266" t="s">
        <v>1958</v>
      </c>
      <c r="D1639" s="2266">
        <v>6</v>
      </c>
      <c r="E1639" s="2266">
        <v>2236</v>
      </c>
      <c r="F1639" s="2266" t="s">
        <v>5923</v>
      </c>
      <c r="G1639" s="2266" t="s">
        <v>5923</v>
      </c>
      <c r="H1639" s="2266">
        <v>120494</v>
      </c>
      <c r="I1639" s="2266">
        <v>0</v>
      </c>
      <c r="J1639" s="2266">
        <v>0</v>
      </c>
      <c r="K1639" s="2266"/>
      <c r="L1639" s="2266">
        <v>0</v>
      </c>
      <c r="M1639" s="2266">
        <v>599</v>
      </c>
    </row>
    <row r="1640" spans="1:13" ht="15">
      <c r="A1640" s="2266" t="s">
        <v>4275</v>
      </c>
      <c r="B1640" s="2465" t="str">
        <f>CONCATENATE(LEFT(RIGHT(CONCATENATE("000",IFAData_TEA_1617!A1640),6),3),"-",(RIGHT(RIGHT(CONCATENATE("000",IFAData_TEA_1617!A1640),6),3)))</f>
        <v>161-914</v>
      </c>
      <c r="C1640" s="2266" t="s">
        <v>157</v>
      </c>
      <c r="D1640" s="2266">
        <v>6</v>
      </c>
      <c r="E1640" s="2266">
        <v>2429</v>
      </c>
      <c r="F1640" s="2266" t="s">
        <v>5926</v>
      </c>
      <c r="G1640" s="2266" t="s">
        <v>5927</v>
      </c>
      <c r="H1640" s="2266">
        <v>908082</v>
      </c>
      <c r="I1640" s="2266">
        <v>0</v>
      </c>
      <c r="J1640" s="2266">
        <v>0</v>
      </c>
      <c r="K1640" s="2266">
        <v>0</v>
      </c>
      <c r="L1640" s="2266">
        <v>0</v>
      </c>
      <c r="M1640" s="2266">
        <v>599</v>
      </c>
    </row>
    <row r="1641" spans="1:13" ht="15">
      <c r="A1641" s="2266" t="s">
        <v>4275</v>
      </c>
      <c r="B1641" s="2465" t="str">
        <f>CONCATENATE(LEFT(RIGHT(CONCATENATE("000",IFAData_TEA_1617!A1641),6),3),"-",(RIGHT(RIGHT(CONCATENATE("000",IFAData_TEA_1617!A1641),6),3)))</f>
        <v>161-914</v>
      </c>
      <c r="C1641" s="2266" t="s">
        <v>157</v>
      </c>
      <c r="D1641" s="2266">
        <v>6</v>
      </c>
      <c r="E1641" s="2266">
        <v>2429</v>
      </c>
      <c r="F1641" s="2266" t="s">
        <v>5926</v>
      </c>
      <c r="G1641" s="2266" t="s">
        <v>5926</v>
      </c>
      <c r="H1641" s="2266">
        <v>908082</v>
      </c>
      <c r="I1641" s="2266">
        <v>0</v>
      </c>
      <c r="J1641" s="2266">
        <v>0</v>
      </c>
      <c r="K1641" s="2266">
        <v>0</v>
      </c>
      <c r="L1641" s="2266">
        <v>0</v>
      </c>
      <c r="M1641" s="2266">
        <v>599</v>
      </c>
    </row>
    <row r="1642" spans="1:13" ht="15">
      <c r="A1642" s="2266" t="s">
        <v>4275</v>
      </c>
      <c r="B1642" s="2465" t="str">
        <f>CONCATENATE(LEFT(RIGHT(CONCATENATE("000",IFAData_TEA_1617!A1642),6),3),"-",(RIGHT(RIGHT(CONCATENATE("000",IFAData_TEA_1617!A1642),6),3)))</f>
        <v>161-914</v>
      </c>
      <c r="C1642" s="2266" t="s">
        <v>157</v>
      </c>
      <c r="D1642" s="2266">
        <v>2</v>
      </c>
      <c r="E1642" s="2266">
        <v>2430</v>
      </c>
      <c r="F1642" s="2266" t="s">
        <v>5925</v>
      </c>
      <c r="G1642" s="2266" t="s">
        <v>5925</v>
      </c>
      <c r="H1642" s="2266">
        <v>1464892</v>
      </c>
      <c r="I1642" s="2266">
        <v>0</v>
      </c>
      <c r="J1642" s="2266">
        <v>0</v>
      </c>
      <c r="K1642" s="2266"/>
      <c r="L1642" s="2266">
        <v>0</v>
      </c>
      <c r="M1642" s="2266">
        <v>599</v>
      </c>
    </row>
    <row r="1643" spans="1:13" ht="15">
      <c r="A1643" s="2266" t="s">
        <v>4275</v>
      </c>
      <c r="B1643" s="2465" t="str">
        <f>CONCATENATE(LEFT(RIGHT(CONCATENATE("000",IFAData_TEA_1617!A1643),6),3),"-",(RIGHT(RIGHT(CONCATENATE("000",IFAData_TEA_1617!A1643),6),3)))</f>
        <v>161-914</v>
      </c>
      <c r="C1643" s="2266" t="s">
        <v>157</v>
      </c>
      <c r="D1643" s="2266">
        <v>6</v>
      </c>
      <c r="E1643" s="2266">
        <v>2429</v>
      </c>
      <c r="F1643" s="2266" t="s">
        <v>5926</v>
      </c>
      <c r="G1643" s="2266" t="s">
        <v>5928</v>
      </c>
      <c r="H1643" s="2266">
        <v>908082</v>
      </c>
      <c r="I1643" s="2266">
        <v>1884756</v>
      </c>
      <c r="J1643" s="2266">
        <v>0.90264362751671423</v>
      </c>
      <c r="K1643" s="2266">
        <v>819674.43056263286</v>
      </c>
      <c r="L1643" s="2266">
        <v>819674.43056263286</v>
      </c>
      <c r="M1643" s="2266">
        <v>599</v>
      </c>
    </row>
    <row r="1644" spans="1:13" ht="15">
      <c r="A1644" s="2266" t="s">
        <v>4275</v>
      </c>
      <c r="B1644" s="2465" t="str">
        <f>CONCATENATE(LEFT(RIGHT(CONCATENATE("000",IFAData_TEA_1617!A1644),6),3),"-",(RIGHT(RIGHT(CONCATENATE("000",IFAData_TEA_1617!A1644),6),3)))</f>
        <v>161-914</v>
      </c>
      <c r="C1644" s="2266" t="s">
        <v>157</v>
      </c>
      <c r="D1644" s="2266">
        <v>10</v>
      </c>
      <c r="E1644" s="2266">
        <v>2431</v>
      </c>
      <c r="F1644" s="2266" t="s">
        <v>5929</v>
      </c>
      <c r="G1644" s="2266" t="s">
        <v>5929</v>
      </c>
      <c r="H1644" s="2266">
        <v>2267241</v>
      </c>
      <c r="I1644" s="2266">
        <v>0</v>
      </c>
      <c r="J1644" s="2266">
        <v>0</v>
      </c>
      <c r="K1644" s="2266">
        <v>0</v>
      </c>
      <c r="L1644" s="2266">
        <v>0</v>
      </c>
      <c r="M1644" s="2266">
        <v>599</v>
      </c>
    </row>
    <row r="1645" spans="1:13" ht="15">
      <c r="A1645" s="2266" t="s">
        <v>4275</v>
      </c>
      <c r="B1645" s="2465" t="str">
        <f>CONCATENATE(LEFT(RIGHT(CONCATENATE("000",IFAData_TEA_1617!A1645),6),3),"-",(RIGHT(RIGHT(CONCATENATE("000",IFAData_TEA_1617!A1645),6),3)))</f>
        <v>161-914</v>
      </c>
      <c r="C1645" s="2266" t="s">
        <v>157</v>
      </c>
      <c r="D1645" s="2266">
        <v>6</v>
      </c>
      <c r="E1645" s="2266">
        <v>2429</v>
      </c>
      <c r="F1645" s="2266" t="s">
        <v>5926</v>
      </c>
      <c r="G1645" s="2266" t="s">
        <v>7241</v>
      </c>
      <c r="H1645" s="2266">
        <v>908082</v>
      </c>
      <c r="I1645" s="2266">
        <v>203284</v>
      </c>
      <c r="J1645" s="2266">
        <v>9.7356372483285755E-2</v>
      </c>
      <c r="K1645" s="2266">
        <v>88407.569437367099</v>
      </c>
      <c r="L1645" s="2266">
        <v>88407.569437367099</v>
      </c>
      <c r="M1645" s="2266">
        <v>599</v>
      </c>
    </row>
    <row r="1646" spans="1:13" ht="15">
      <c r="A1646" s="2266" t="s">
        <v>4275</v>
      </c>
      <c r="B1646" s="2465" t="str">
        <f>CONCATENATE(LEFT(RIGHT(CONCATENATE("000",IFAData_TEA_1617!A1646),6),3),"-",(RIGHT(RIGHT(CONCATENATE("000",IFAData_TEA_1617!A1646),6),3)))</f>
        <v>161-914</v>
      </c>
      <c r="C1646" s="2266" t="s">
        <v>157</v>
      </c>
      <c r="D1646" s="2266">
        <v>10</v>
      </c>
      <c r="E1646" s="2266">
        <v>2431</v>
      </c>
      <c r="F1646" s="2266" t="s">
        <v>5929</v>
      </c>
      <c r="G1646" s="2266" t="s">
        <v>7241</v>
      </c>
      <c r="H1646" s="2266">
        <v>2267241</v>
      </c>
      <c r="I1646" s="2266">
        <v>2010487</v>
      </c>
      <c r="J1646" s="2266">
        <v>1</v>
      </c>
      <c r="K1646" s="2266">
        <v>2267241</v>
      </c>
      <c r="L1646" s="2266">
        <v>2010487</v>
      </c>
      <c r="M1646" s="2266">
        <v>599</v>
      </c>
    </row>
    <row r="1647" spans="1:13" ht="15">
      <c r="A1647" s="2266" t="s">
        <v>4276</v>
      </c>
      <c r="B1647" s="2465" t="str">
        <f>CONCATENATE(LEFT(RIGHT(CONCATENATE("000",IFAData_TEA_1617!A1647),6),3),"-",(RIGHT(RIGHT(CONCATENATE("000",IFAData_TEA_1617!A1647),6),3)))</f>
        <v>161-916</v>
      </c>
      <c r="C1647" s="2266" t="s">
        <v>1610</v>
      </c>
      <c r="D1647" s="2266">
        <v>3</v>
      </c>
      <c r="E1647" s="2266">
        <v>2444</v>
      </c>
      <c r="F1647" s="2266" t="s">
        <v>5930</v>
      </c>
      <c r="G1647" s="2266" t="s">
        <v>5931</v>
      </c>
      <c r="H1647" s="2266">
        <v>489842</v>
      </c>
      <c r="I1647" s="2266">
        <v>663519</v>
      </c>
      <c r="J1647" s="2266">
        <v>0.94915208170914012</v>
      </c>
      <c r="K1647" s="2266">
        <v>464934.55400856864</v>
      </c>
      <c r="L1647" s="2266">
        <v>464934.55400856864</v>
      </c>
      <c r="M1647" s="2266">
        <v>599</v>
      </c>
    </row>
    <row r="1648" spans="1:13" ht="15">
      <c r="A1648" s="2266" t="s">
        <v>4276</v>
      </c>
      <c r="B1648" s="2465" t="str">
        <f>CONCATENATE(LEFT(RIGHT(CONCATENATE("000",IFAData_TEA_1617!A1648),6),3),"-",(RIGHT(RIGHT(CONCATENATE("000",IFAData_TEA_1617!A1648),6),3)))</f>
        <v>161-916</v>
      </c>
      <c r="C1648" s="2266" t="s">
        <v>1610</v>
      </c>
      <c r="D1648" s="2266">
        <v>3</v>
      </c>
      <c r="E1648" s="2266">
        <v>2444</v>
      </c>
      <c r="F1648" s="2266" t="s">
        <v>5930</v>
      </c>
      <c r="G1648" s="2266" t="s">
        <v>5930</v>
      </c>
      <c r="H1648" s="2266">
        <v>489842</v>
      </c>
      <c r="I1648" s="2266">
        <v>35546</v>
      </c>
      <c r="J1648" s="2266">
        <v>5.0847918290859932E-2</v>
      </c>
      <c r="K1648" s="2266">
        <v>24907.44599143141</v>
      </c>
      <c r="L1648" s="2266">
        <v>24907.44599143141</v>
      </c>
      <c r="M1648" s="2266">
        <v>599</v>
      </c>
    </row>
    <row r="1649" spans="1:13" ht="15">
      <c r="A1649" s="2266" t="s">
        <v>4277</v>
      </c>
      <c r="B1649" s="2465" t="str">
        <f>CONCATENATE(LEFT(RIGHT(CONCATENATE("000",IFAData_TEA_1617!A1649),6),3),"-",(RIGHT(RIGHT(CONCATENATE("000",IFAData_TEA_1617!A1649),6),3)))</f>
        <v>161-919</v>
      </c>
      <c r="C1649" s="2266" t="s">
        <v>1971</v>
      </c>
      <c r="D1649" s="2266">
        <v>9</v>
      </c>
      <c r="E1649" s="2266">
        <v>1645</v>
      </c>
      <c r="F1649" s="2266" t="s">
        <v>5932</v>
      </c>
      <c r="G1649" s="2266" t="s">
        <v>5932</v>
      </c>
      <c r="H1649" s="2266">
        <v>204185</v>
      </c>
      <c r="I1649" s="2266">
        <v>0</v>
      </c>
      <c r="J1649" s="2266">
        <v>0</v>
      </c>
      <c r="K1649" s="2266">
        <v>0</v>
      </c>
      <c r="L1649" s="2266">
        <v>0</v>
      </c>
      <c r="M1649" s="2266">
        <v>599</v>
      </c>
    </row>
    <row r="1650" spans="1:13" ht="15">
      <c r="A1650" s="2266" t="s">
        <v>4277</v>
      </c>
      <c r="B1650" s="2465" t="str">
        <f>CONCATENATE(LEFT(RIGHT(CONCATENATE("000",IFAData_TEA_1617!A1650),6),3),"-",(RIGHT(RIGHT(CONCATENATE("000",IFAData_TEA_1617!A1650),6),3)))</f>
        <v>161-919</v>
      </c>
      <c r="C1650" s="2266" t="s">
        <v>1971</v>
      </c>
      <c r="D1650" s="2266">
        <v>9</v>
      </c>
      <c r="E1650" s="2266">
        <v>1645</v>
      </c>
      <c r="F1650" s="2266" t="s">
        <v>5932</v>
      </c>
      <c r="G1650" s="2266" t="s">
        <v>7242</v>
      </c>
      <c r="H1650" s="2266">
        <v>204185</v>
      </c>
      <c r="I1650" s="2266">
        <v>329195</v>
      </c>
      <c r="J1650" s="2266">
        <v>1</v>
      </c>
      <c r="K1650" s="2266">
        <v>204185</v>
      </c>
      <c r="L1650" s="2266">
        <v>204185</v>
      </c>
      <c r="M1650" s="2266">
        <v>599</v>
      </c>
    </row>
    <row r="1651" spans="1:13" ht="15">
      <c r="A1651" s="2266" t="s">
        <v>4278</v>
      </c>
      <c r="B1651" s="2465" t="str">
        <f>CONCATENATE(LEFT(RIGHT(CONCATENATE("000",IFAData_TEA_1617!A1651),6),3),"-",(RIGHT(RIGHT(CONCATENATE("000",IFAData_TEA_1617!A1651),6),3)))</f>
        <v>161-920</v>
      </c>
      <c r="C1651" s="2266" t="s">
        <v>1325</v>
      </c>
      <c r="D1651" s="2266">
        <v>9</v>
      </c>
      <c r="E1651" s="2266">
        <v>1690</v>
      </c>
      <c r="F1651" s="2266" t="s">
        <v>5937</v>
      </c>
      <c r="G1651" s="2266" t="s">
        <v>7020</v>
      </c>
      <c r="H1651" s="2266">
        <v>535250</v>
      </c>
      <c r="I1651" s="2266">
        <v>298900</v>
      </c>
      <c r="J1651" s="2266">
        <v>0.25230761438887789</v>
      </c>
      <c r="K1651" s="2266">
        <v>135047.65060164689</v>
      </c>
      <c r="L1651" s="2266">
        <v>135047.65060164689</v>
      </c>
      <c r="M1651" s="2266">
        <v>599</v>
      </c>
    </row>
    <row r="1652" spans="1:13" ht="15">
      <c r="A1652" s="2266" t="s">
        <v>4278</v>
      </c>
      <c r="B1652" s="2465" t="str">
        <f>CONCATENATE(LEFT(RIGHT(CONCATENATE("000",IFAData_TEA_1617!A1652),6),3),"-",(RIGHT(RIGHT(CONCATENATE("000",IFAData_TEA_1617!A1652),6),3)))</f>
        <v>161-920</v>
      </c>
      <c r="C1652" s="2266" t="s">
        <v>1325</v>
      </c>
      <c r="D1652" s="2266">
        <v>2</v>
      </c>
      <c r="E1652" s="2266">
        <v>1688</v>
      </c>
      <c r="F1652" s="2266" t="s">
        <v>5933</v>
      </c>
      <c r="G1652" s="2266" t="s">
        <v>5934</v>
      </c>
      <c r="H1652" s="2266">
        <v>361316</v>
      </c>
      <c r="I1652" s="2266">
        <v>252083</v>
      </c>
      <c r="J1652" s="2266">
        <v>1</v>
      </c>
      <c r="K1652" s="2266">
        <v>361316</v>
      </c>
      <c r="L1652" s="2266">
        <v>252083</v>
      </c>
      <c r="M1652" s="2266">
        <v>599</v>
      </c>
    </row>
    <row r="1653" spans="1:13" ht="15">
      <c r="A1653" s="2266" t="s">
        <v>4278</v>
      </c>
      <c r="B1653" s="2465" t="str">
        <f>CONCATENATE(LEFT(RIGHT(CONCATENATE("000",IFAData_TEA_1617!A1653),6),3),"-",(RIGHT(RIGHT(CONCATENATE("000",IFAData_TEA_1617!A1653),6),3)))</f>
        <v>161-920</v>
      </c>
      <c r="C1653" s="2266" t="s">
        <v>1325</v>
      </c>
      <c r="D1653" s="2266">
        <v>6</v>
      </c>
      <c r="E1653" s="2266">
        <v>1689</v>
      </c>
      <c r="F1653" s="2266" t="s">
        <v>5935</v>
      </c>
      <c r="G1653" s="2266" t="s">
        <v>5934</v>
      </c>
      <c r="H1653" s="2266">
        <v>361625</v>
      </c>
      <c r="I1653" s="2266">
        <v>262994</v>
      </c>
      <c r="J1653" s="2266">
        <v>0.53752434754705491</v>
      </c>
      <c r="K1653" s="2266">
        <v>194382.24218170374</v>
      </c>
      <c r="L1653" s="2266">
        <v>194382.24218170374</v>
      </c>
      <c r="M1653" s="2266">
        <v>599</v>
      </c>
    </row>
    <row r="1654" spans="1:13" ht="15">
      <c r="A1654" s="2266" t="s">
        <v>4278</v>
      </c>
      <c r="B1654" s="2465" t="str">
        <f>CONCATENATE(LEFT(RIGHT(CONCATENATE("000",IFAData_TEA_1617!A1654),6),3),"-",(RIGHT(RIGHT(CONCATENATE("000",IFAData_TEA_1617!A1654),6),3)))</f>
        <v>161-920</v>
      </c>
      <c r="C1654" s="2266" t="s">
        <v>1325</v>
      </c>
      <c r="D1654" s="2266">
        <v>6</v>
      </c>
      <c r="E1654" s="2266">
        <v>1689</v>
      </c>
      <c r="F1654" s="2266" t="s">
        <v>5935</v>
      </c>
      <c r="G1654" s="2266" t="s">
        <v>5936</v>
      </c>
      <c r="H1654" s="2266">
        <v>361625</v>
      </c>
      <c r="I1654" s="2266">
        <v>226275</v>
      </c>
      <c r="J1654" s="2266">
        <v>0.46247565245294509</v>
      </c>
      <c r="K1654" s="2266">
        <v>167242.75781829626</v>
      </c>
      <c r="L1654" s="2266">
        <v>167242.75781829626</v>
      </c>
      <c r="M1654" s="2266">
        <v>599</v>
      </c>
    </row>
    <row r="1655" spans="1:13" ht="15">
      <c r="A1655" s="2266" t="s">
        <v>4278</v>
      </c>
      <c r="B1655" s="2465" t="str">
        <f>CONCATENATE(LEFT(RIGHT(CONCATENATE("000",IFAData_TEA_1617!A1655),6),3),"-",(RIGHT(RIGHT(CONCATENATE("000",IFAData_TEA_1617!A1655),6),3)))</f>
        <v>161-920</v>
      </c>
      <c r="C1655" s="2266" t="s">
        <v>1325</v>
      </c>
      <c r="D1655" s="2266">
        <v>2</v>
      </c>
      <c r="E1655" s="2266">
        <v>1688</v>
      </c>
      <c r="F1655" s="2266" t="s">
        <v>5933</v>
      </c>
      <c r="G1655" s="2266" t="s">
        <v>5933</v>
      </c>
      <c r="H1655" s="2266">
        <v>361316</v>
      </c>
      <c r="I1655" s="2266">
        <v>0</v>
      </c>
      <c r="J1655" s="2266">
        <v>0</v>
      </c>
      <c r="K1655" s="2266">
        <v>0</v>
      </c>
      <c r="L1655" s="2266">
        <v>0</v>
      </c>
      <c r="M1655" s="2266">
        <v>599</v>
      </c>
    </row>
    <row r="1656" spans="1:13" ht="15">
      <c r="A1656" s="2266" t="s">
        <v>4278</v>
      </c>
      <c r="B1656" s="2465" t="str">
        <f>CONCATENATE(LEFT(RIGHT(CONCATENATE("000",IFAData_TEA_1617!A1656),6),3),"-",(RIGHT(RIGHT(CONCATENATE("000",IFAData_TEA_1617!A1656),6),3)))</f>
        <v>161-920</v>
      </c>
      <c r="C1656" s="2266" t="s">
        <v>1325</v>
      </c>
      <c r="D1656" s="2266">
        <v>6</v>
      </c>
      <c r="E1656" s="2266">
        <v>1689</v>
      </c>
      <c r="F1656" s="2266" t="s">
        <v>5935</v>
      </c>
      <c r="G1656" s="2266" t="s">
        <v>5935</v>
      </c>
      <c r="H1656" s="2266">
        <v>361625</v>
      </c>
      <c r="I1656" s="2266">
        <v>0</v>
      </c>
      <c r="J1656" s="2266">
        <v>0</v>
      </c>
      <c r="K1656" s="2266">
        <v>0</v>
      </c>
      <c r="L1656" s="2266">
        <v>0</v>
      </c>
      <c r="M1656" s="2266">
        <v>599</v>
      </c>
    </row>
    <row r="1657" spans="1:13" ht="15">
      <c r="A1657" s="2266" t="s">
        <v>4278</v>
      </c>
      <c r="B1657" s="2465" t="str">
        <f>CONCATENATE(LEFT(RIGHT(CONCATENATE("000",IFAData_TEA_1617!A1657),6),3),"-",(RIGHT(RIGHT(CONCATENATE("000",IFAData_TEA_1617!A1657),6),3)))</f>
        <v>161-920</v>
      </c>
      <c r="C1657" s="2266" t="s">
        <v>1325</v>
      </c>
      <c r="D1657" s="2266">
        <v>9</v>
      </c>
      <c r="E1657" s="2266">
        <v>1690</v>
      </c>
      <c r="F1657" s="2266" t="s">
        <v>5937</v>
      </c>
      <c r="G1657" s="2266" t="s">
        <v>7243</v>
      </c>
      <c r="H1657" s="2266">
        <v>535250</v>
      </c>
      <c r="I1657" s="2266">
        <v>321350</v>
      </c>
      <c r="J1657" s="2266">
        <v>0.27125811938396088</v>
      </c>
      <c r="K1657" s="2266">
        <v>145190.90840026506</v>
      </c>
      <c r="L1657" s="2266">
        <v>145190.90840026506</v>
      </c>
      <c r="M1657" s="2266">
        <v>599</v>
      </c>
    </row>
    <row r="1658" spans="1:13" ht="15">
      <c r="A1658" s="2266" t="s">
        <v>4278</v>
      </c>
      <c r="B1658" s="2465" t="str">
        <f>CONCATENATE(LEFT(RIGHT(CONCATENATE("000",IFAData_TEA_1617!A1658),6),3),"-",(RIGHT(RIGHT(CONCATENATE("000",IFAData_TEA_1617!A1658),6),3)))</f>
        <v>161-920</v>
      </c>
      <c r="C1658" s="2266" t="s">
        <v>1325</v>
      </c>
      <c r="D1658" s="2266">
        <v>9</v>
      </c>
      <c r="E1658" s="2266">
        <v>1690</v>
      </c>
      <c r="F1658" s="2266" t="s">
        <v>5937</v>
      </c>
      <c r="G1658" s="2266" t="s">
        <v>5937</v>
      </c>
      <c r="H1658" s="2266">
        <v>535250</v>
      </c>
      <c r="I1658" s="2266">
        <v>564415</v>
      </c>
      <c r="J1658" s="2266">
        <v>0.47643426622716128</v>
      </c>
      <c r="K1658" s="2266">
        <v>255011.44099808807</v>
      </c>
      <c r="L1658" s="2266">
        <v>255011.44099808807</v>
      </c>
      <c r="M1658" s="2266">
        <v>599</v>
      </c>
    </row>
    <row r="1659" spans="1:13" ht="15">
      <c r="A1659" s="2266" t="s">
        <v>4279</v>
      </c>
      <c r="B1659" s="2465" t="str">
        <f>CONCATENATE(LEFT(RIGHT(CONCATENATE("000",IFAData_TEA_1617!A1659),6),3),"-",(RIGHT(RIGHT(CONCATENATE("000",IFAData_TEA_1617!A1659),6),3)))</f>
        <v>161-921</v>
      </c>
      <c r="C1659" s="2266" t="s">
        <v>1745</v>
      </c>
      <c r="D1659" s="2266">
        <v>3</v>
      </c>
      <c r="E1659" s="2266">
        <v>1716</v>
      </c>
      <c r="F1659" s="2266" t="s">
        <v>5939</v>
      </c>
      <c r="G1659" s="2266" t="s">
        <v>5940</v>
      </c>
      <c r="H1659" s="2266">
        <v>590544</v>
      </c>
      <c r="I1659" s="2266">
        <v>0</v>
      </c>
      <c r="J1659" s="2266">
        <v>0</v>
      </c>
      <c r="K1659" s="2266">
        <v>0</v>
      </c>
      <c r="L1659" s="2266">
        <v>0</v>
      </c>
      <c r="M1659" s="2266">
        <v>599</v>
      </c>
    </row>
    <row r="1660" spans="1:13" ht="15">
      <c r="A1660" s="2266" t="s">
        <v>4279</v>
      </c>
      <c r="B1660" s="2465" t="str">
        <f>CONCATENATE(LEFT(RIGHT(CONCATENATE("000",IFAData_TEA_1617!A1660),6),3),"-",(RIGHT(RIGHT(CONCATENATE("000",IFAData_TEA_1617!A1660),6),3)))</f>
        <v>161-921</v>
      </c>
      <c r="C1660" s="2266" t="s">
        <v>1745</v>
      </c>
      <c r="D1660" s="2266">
        <v>3</v>
      </c>
      <c r="E1660" s="2266">
        <v>1716</v>
      </c>
      <c r="F1660" s="2266" t="s">
        <v>5939</v>
      </c>
      <c r="G1660" s="2266" t="s">
        <v>5941</v>
      </c>
      <c r="H1660" s="2266">
        <v>590544</v>
      </c>
      <c r="I1660" s="2266">
        <v>44678</v>
      </c>
      <c r="J1660" s="2266">
        <v>5.7510857784265415E-2</v>
      </c>
      <c r="K1660" s="2266">
        <v>33962.691999351235</v>
      </c>
      <c r="L1660" s="2266">
        <v>33962.691999351235</v>
      </c>
      <c r="M1660" s="2266">
        <v>599</v>
      </c>
    </row>
    <row r="1661" spans="1:13" ht="15">
      <c r="A1661" s="2266" t="s">
        <v>4279</v>
      </c>
      <c r="B1661" s="2465" t="str">
        <f>CONCATENATE(LEFT(RIGHT(CONCATENATE("000",IFAData_TEA_1617!A1661),6),3),"-",(RIGHT(RIGHT(CONCATENATE("000",IFAData_TEA_1617!A1661),6),3)))</f>
        <v>161-921</v>
      </c>
      <c r="C1661" s="2266" t="s">
        <v>1745</v>
      </c>
      <c r="D1661" s="2266">
        <v>2</v>
      </c>
      <c r="E1661" s="2266">
        <v>1715</v>
      </c>
      <c r="F1661" s="2266" t="s">
        <v>5938</v>
      </c>
      <c r="G1661" s="2266" t="s">
        <v>5938</v>
      </c>
      <c r="H1661" s="2266">
        <v>141220</v>
      </c>
      <c r="I1661" s="2266">
        <v>0</v>
      </c>
      <c r="J1661" s="2266">
        <v>0</v>
      </c>
      <c r="K1661" s="2266"/>
      <c r="L1661" s="2266">
        <v>0</v>
      </c>
      <c r="M1661" s="2266">
        <v>599</v>
      </c>
    </row>
    <row r="1662" spans="1:13" ht="15">
      <c r="A1662" s="2266" t="s">
        <v>4279</v>
      </c>
      <c r="B1662" s="2465" t="str">
        <f>CONCATENATE(LEFT(RIGHT(CONCATENATE("000",IFAData_TEA_1617!A1662),6),3),"-",(RIGHT(RIGHT(CONCATENATE("000",IFAData_TEA_1617!A1662),6),3)))</f>
        <v>161-921</v>
      </c>
      <c r="C1662" s="2266" t="s">
        <v>1745</v>
      </c>
      <c r="D1662" s="2266">
        <v>3</v>
      </c>
      <c r="E1662" s="2266">
        <v>1716</v>
      </c>
      <c r="F1662" s="2266" t="s">
        <v>5939</v>
      </c>
      <c r="G1662" s="2266" t="s">
        <v>7244</v>
      </c>
      <c r="H1662" s="2266">
        <v>590544</v>
      </c>
      <c r="I1662" s="2266">
        <v>732184</v>
      </c>
      <c r="J1662" s="2266">
        <v>0.94248914221573454</v>
      </c>
      <c r="K1662" s="2266">
        <v>556581.30800064874</v>
      </c>
      <c r="L1662" s="2266">
        <v>556581.30800064874</v>
      </c>
      <c r="M1662" s="2266">
        <v>599</v>
      </c>
    </row>
    <row r="1663" spans="1:13" ht="15">
      <c r="A1663" s="2266" t="s">
        <v>4279</v>
      </c>
      <c r="B1663" s="2465" t="str">
        <f>CONCATENATE(LEFT(RIGHT(CONCATENATE("000",IFAData_TEA_1617!A1663),6),3),"-",(RIGHT(RIGHT(CONCATENATE("000",IFAData_TEA_1617!A1663),6),3)))</f>
        <v>161-921</v>
      </c>
      <c r="C1663" s="2266" t="s">
        <v>1745</v>
      </c>
      <c r="D1663" s="2266">
        <v>3</v>
      </c>
      <c r="E1663" s="2266">
        <v>1716</v>
      </c>
      <c r="F1663" s="2266" t="s">
        <v>5939</v>
      </c>
      <c r="G1663" s="2266" t="s">
        <v>5939</v>
      </c>
      <c r="H1663" s="2266">
        <v>590544</v>
      </c>
      <c r="I1663" s="2266">
        <v>0</v>
      </c>
      <c r="J1663" s="2266">
        <v>0</v>
      </c>
      <c r="K1663" s="2266">
        <v>0</v>
      </c>
      <c r="L1663" s="2266">
        <v>0</v>
      </c>
      <c r="M1663" s="2266">
        <v>599</v>
      </c>
    </row>
    <row r="1664" spans="1:13" ht="15">
      <c r="A1664" s="2266" t="s">
        <v>4280</v>
      </c>
      <c r="B1664" s="2465" t="str">
        <f>CONCATENATE(LEFT(RIGHT(CONCATENATE("000",IFAData_TEA_1617!A1664),6),3),"-",(RIGHT(RIGHT(CONCATENATE("000",IFAData_TEA_1617!A1664),6),3)))</f>
        <v>161-922</v>
      </c>
      <c r="C1664" s="2266" t="s">
        <v>3097</v>
      </c>
      <c r="D1664" s="2266">
        <v>3</v>
      </c>
      <c r="E1664" s="2266">
        <v>2252</v>
      </c>
      <c r="F1664" s="2266" t="s">
        <v>5942</v>
      </c>
      <c r="G1664" s="2266" t="s">
        <v>5943</v>
      </c>
      <c r="H1664" s="2266">
        <v>486000</v>
      </c>
      <c r="I1664" s="2266">
        <v>1078534</v>
      </c>
      <c r="J1664" s="2266">
        <v>1</v>
      </c>
      <c r="K1664" s="2266">
        <v>486000</v>
      </c>
      <c r="L1664" s="2266">
        <v>486000</v>
      </c>
      <c r="M1664" s="2266">
        <v>599</v>
      </c>
    </row>
    <row r="1665" spans="1:13" ht="15">
      <c r="A1665" s="2266" t="s">
        <v>4280</v>
      </c>
      <c r="B1665" s="2465" t="str">
        <f>CONCATENATE(LEFT(RIGHT(CONCATENATE("000",IFAData_TEA_1617!A1665),6),3),"-",(RIGHT(RIGHT(CONCATENATE("000",IFAData_TEA_1617!A1665),6),3)))</f>
        <v>161-922</v>
      </c>
      <c r="C1665" s="2266" t="s">
        <v>3097</v>
      </c>
      <c r="D1665" s="2266">
        <v>3</v>
      </c>
      <c r="E1665" s="2266">
        <v>2252</v>
      </c>
      <c r="F1665" s="2266" t="s">
        <v>5942</v>
      </c>
      <c r="G1665" s="2266" t="s">
        <v>5944</v>
      </c>
      <c r="H1665" s="2266">
        <v>486000</v>
      </c>
      <c r="I1665" s="2266">
        <v>0</v>
      </c>
      <c r="J1665" s="2266">
        <v>0</v>
      </c>
      <c r="K1665" s="2266">
        <v>0</v>
      </c>
      <c r="L1665" s="2266">
        <v>0</v>
      </c>
      <c r="M1665" s="2266">
        <v>599</v>
      </c>
    </row>
    <row r="1666" spans="1:13" ht="15">
      <c r="A1666" s="2266" t="s">
        <v>4280</v>
      </c>
      <c r="B1666" s="2465" t="str">
        <f>CONCATENATE(LEFT(RIGHT(CONCATENATE("000",IFAData_TEA_1617!A1666),6),3),"-",(RIGHT(RIGHT(CONCATENATE("000",IFAData_TEA_1617!A1666),6),3)))</f>
        <v>161-922</v>
      </c>
      <c r="C1666" s="2266" t="s">
        <v>3097</v>
      </c>
      <c r="D1666" s="2266">
        <v>3</v>
      </c>
      <c r="E1666" s="2266">
        <v>2252</v>
      </c>
      <c r="F1666" s="2266" t="s">
        <v>5942</v>
      </c>
      <c r="G1666" s="2266" t="s">
        <v>5942</v>
      </c>
      <c r="H1666" s="2266">
        <v>486000</v>
      </c>
      <c r="I1666" s="2266">
        <v>0</v>
      </c>
      <c r="J1666" s="2266">
        <v>0</v>
      </c>
      <c r="K1666" s="2266">
        <v>0</v>
      </c>
      <c r="L1666" s="2266">
        <v>0</v>
      </c>
      <c r="M1666" s="2266">
        <v>599</v>
      </c>
    </row>
    <row r="1667" spans="1:13" ht="15">
      <c r="A1667" s="2266" t="s">
        <v>4281</v>
      </c>
      <c r="B1667" s="2465" t="str">
        <f>CONCATENATE(LEFT(RIGHT(CONCATENATE("000",IFAData_TEA_1617!A1667),6),3),"-",(RIGHT(RIGHT(CONCATENATE("000",IFAData_TEA_1617!A1667),6),3)))</f>
        <v>161-923</v>
      </c>
      <c r="C1667" s="2266" t="s">
        <v>1524</v>
      </c>
      <c r="D1667" s="2266">
        <v>3</v>
      </c>
      <c r="E1667" s="2266">
        <v>1628</v>
      </c>
      <c r="F1667" s="2266" t="s">
        <v>5945</v>
      </c>
      <c r="G1667" s="2266" t="s">
        <v>5946</v>
      </c>
      <c r="H1667" s="2266">
        <v>96640</v>
      </c>
      <c r="I1667" s="2266">
        <v>28665</v>
      </c>
      <c r="J1667" s="2266">
        <v>0.48072246725586543</v>
      </c>
      <c r="K1667" s="2266">
        <v>46457.019235606836</v>
      </c>
      <c r="L1667" s="2266">
        <v>28665</v>
      </c>
      <c r="M1667" s="2266">
        <v>599</v>
      </c>
    </row>
    <row r="1668" spans="1:13" ht="15">
      <c r="A1668" s="2266" t="s">
        <v>4281</v>
      </c>
      <c r="B1668" s="2465" t="str">
        <f>CONCATENATE(LEFT(RIGHT(CONCATENATE("000",IFAData_TEA_1617!A1668),6),3),"-",(RIGHT(RIGHT(CONCATENATE("000",IFAData_TEA_1617!A1668),6),3)))</f>
        <v>161-923</v>
      </c>
      <c r="C1668" s="2266" t="s">
        <v>1524</v>
      </c>
      <c r="D1668" s="2266">
        <v>9</v>
      </c>
      <c r="E1668" s="2266">
        <v>1629</v>
      </c>
      <c r="F1668" s="2266" t="s">
        <v>5946</v>
      </c>
      <c r="G1668" s="2266" t="s">
        <v>5946</v>
      </c>
      <c r="H1668" s="2266">
        <v>109337</v>
      </c>
      <c r="I1668" s="2266">
        <v>231144</v>
      </c>
      <c r="J1668" s="2266">
        <v>0.45217023873799855</v>
      </c>
      <c r="K1668" s="2266">
        <v>49438.937392896551</v>
      </c>
      <c r="L1668" s="2266">
        <v>49438.937392896551</v>
      </c>
      <c r="M1668" s="2266">
        <v>599</v>
      </c>
    </row>
    <row r="1669" spans="1:13" ht="15">
      <c r="A1669" s="2266" t="s">
        <v>4281</v>
      </c>
      <c r="B1669" s="2465" t="str">
        <f>CONCATENATE(LEFT(RIGHT(CONCATENATE("000",IFAData_TEA_1617!A1669),6),3),"-",(RIGHT(RIGHT(CONCATENATE("000",IFAData_TEA_1617!A1669),6),3)))</f>
        <v>161-923</v>
      </c>
      <c r="C1669" s="2266" t="s">
        <v>1524</v>
      </c>
      <c r="D1669" s="2266">
        <v>3</v>
      </c>
      <c r="E1669" s="2266">
        <v>1628</v>
      </c>
      <c r="F1669" s="2266" t="s">
        <v>5945</v>
      </c>
      <c r="G1669" s="2266" t="s">
        <v>7021</v>
      </c>
      <c r="H1669" s="2266">
        <v>96640</v>
      </c>
      <c r="I1669" s="2266">
        <v>30964</v>
      </c>
      <c r="J1669" s="2266">
        <v>0.51927753274413457</v>
      </c>
      <c r="K1669" s="2266">
        <v>50182.980764393164</v>
      </c>
      <c r="L1669" s="2266">
        <v>30964</v>
      </c>
      <c r="M1669" s="2266">
        <v>599</v>
      </c>
    </row>
    <row r="1670" spans="1:13" ht="15">
      <c r="A1670" s="2266" t="s">
        <v>4281</v>
      </c>
      <c r="B1670" s="2465" t="str">
        <f>CONCATENATE(LEFT(RIGHT(CONCATENATE("000",IFAData_TEA_1617!A1670),6),3),"-",(RIGHT(RIGHT(CONCATENATE("000",IFAData_TEA_1617!A1670),6),3)))</f>
        <v>161-923</v>
      </c>
      <c r="C1670" s="2266" t="s">
        <v>1524</v>
      </c>
      <c r="D1670" s="2266">
        <v>5</v>
      </c>
      <c r="E1670" s="2266">
        <v>1627</v>
      </c>
      <c r="F1670" s="2266" t="s">
        <v>5947</v>
      </c>
      <c r="G1670" s="2266" t="s">
        <v>5947</v>
      </c>
      <c r="H1670" s="2266">
        <v>47466</v>
      </c>
      <c r="I1670" s="2266">
        <v>0</v>
      </c>
      <c r="J1670" s="2266">
        <v>0</v>
      </c>
      <c r="K1670" s="2266"/>
      <c r="L1670" s="2266">
        <v>0</v>
      </c>
      <c r="M1670" s="2266">
        <v>599</v>
      </c>
    </row>
    <row r="1671" spans="1:13" ht="15">
      <c r="A1671" s="2266" t="s">
        <v>4281</v>
      </c>
      <c r="B1671" s="2465" t="str">
        <f>CONCATENATE(LEFT(RIGHT(CONCATENATE("000",IFAData_TEA_1617!A1671),6),3),"-",(RIGHT(RIGHT(CONCATENATE("000",IFAData_TEA_1617!A1671),6),3)))</f>
        <v>161-923</v>
      </c>
      <c r="C1671" s="2266" t="s">
        <v>1524</v>
      </c>
      <c r="D1671" s="2266">
        <v>3</v>
      </c>
      <c r="E1671" s="2266">
        <v>1628</v>
      </c>
      <c r="F1671" s="2266" t="s">
        <v>5945</v>
      </c>
      <c r="G1671" s="2266" t="s">
        <v>5945</v>
      </c>
      <c r="H1671" s="2266">
        <v>96640</v>
      </c>
      <c r="I1671" s="2266">
        <v>0</v>
      </c>
      <c r="J1671" s="2266">
        <v>0</v>
      </c>
      <c r="K1671" s="2266">
        <v>0</v>
      </c>
      <c r="L1671" s="2266">
        <v>0</v>
      </c>
      <c r="M1671" s="2266">
        <v>599</v>
      </c>
    </row>
    <row r="1672" spans="1:13" ht="15">
      <c r="A1672" s="2266" t="s">
        <v>4281</v>
      </c>
      <c r="B1672" s="2465" t="str">
        <f>CONCATENATE(LEFT(RIGHT(CONCATENATE("000",IFAData_TEA_1617!A1672),6),3),"-",(RIGHT(RIGHT(CONCATENATE("000",IFAData_TEA_1617!A1672),6),3)))</f>
        <v>161-923</v>
      </c>
      <c r="C1672" s="2266" t="s">
        <v>1524</v>
      </c>
      <c r="D1672" s="2266">
        <v>9</v>
      </c>
      <c r="E1672" s="2266">
        <v>1629</v>
      </c>
      <c r="F1672" s="2266" t="s">
        <v>5946</v>
      </c>
      <c r="G1672" s="2266" t="s">
        <v>7021</v>
      </c>
      <c r="H1672" s="2266">
        <v>109337</v>
      </c>
      <c r="I1672" s="2266">
        <v>280044</v>
      </c>
      <c r="J1672" s="2266">
        <v>0.54782976126200145</v>
      </c>
      <c r="K1672" s="2266">
        <v>59898.062607103449</v>
      </c>
      <c r="L1672" s="2266">
        <v>59898.062607103449</v>
      </c>
      <c r="M1672" s="2266">
        <v>599</v>
      </c>
    </row>
    <row r="1673" spans="1:13" ht="15">
      <c r="A1673" s="2266" t="s">
        <v>4282</v>
      </c>
      <c r="B1673" s="2465" t="str">
        <f>CONCATENATE(LEFT(RIGHT(CONCATENATE("000",IFAData_TEA_1617!A1673),6),3),"-",(RIGHT(RIGHT(CONCATENATE("000",IFAData_TEA_1617!A1673),6),3)))</f>
        <v>163-901</v>
      </c>
      <c r="C1673" s="2266" t="s">
        <v>3066</v>
      </c>
      <c r="D1673" s="2266">
        <v>10</v>
      </c>
      <c r="E1673" s="2266">
        <v>1756</v>
      </c>
      <c r="F1673" s="2266" t="s">
        <v>5951</v>
      </c>
      <c r="G1673" s="2266" t="s">
        <v>5951</v>
      </c>
      <c r="H1673" s="2266">
        <v>403194</v>
      </c>
      <c r="I1673" s="2266">
        <v>401950</v>
      </c>
      <c r="J1673" s="2266">
        <v>1</v>
      </c>
      <c r="K1673" s="2266">
        <v>403194</v>
      </c>
      <c r="L1673" s="2266">
        <v>401950</v>
      </c>
      <c r="M1673" s="2266">
        <v>599</v>
      </c>
    </row>
    <row r="1674" spans="1:13" ht="15">
      <c r="A1674" s="2266" t="s">
        <v>4282</v>
      </c>
      <c r="B1674" s="2465" t="str">
        <f>CONCATENATE(LEFT(RIGHT(CONCATENATE("000",IFAData_TEA_1617!A1674),6),3),"-",(RIGHT(RIGHT(CONCATENATE("000",IFAData_TEA_1617!A1674),6),3)))</f>
        <v>163-901</v>
      </c>
      <c r="C1674" s="2266" t="s">
        <v>3066</v>
      </c>
      <c r="D1674" s="2266">
        <v>2</v>
      </c>
      <c r="E1674" s="2266">
        <v>1758</v>
      </c>
      <c r="F1674" s="2266" t="s">
        <v>5948</v>
      </c>
      <c r="G1674" s="2266" t="s">
        <v>5948</v>
      </c>
      <c r="H1674" s="2266">
        <v>429904</v>
      </c>
      <c r="I1674" s="2266">
        <v>0</v>
      </c>
      <c r="J1674" s="2266">
        <v>0</v>
      </c>
      <c r="K1674" s="2266">
        <v>0</v>
      </c>
      <c r="L1674" s="2266">
        <v>0</v>
      </c>
      <c r="M1674" s="2266">
        <v>599</v>
      </c>
    </row>
    <row r="1675" spans="1:13" ht="15">
      <c r="A1675" s="2266" t="s">
        <v>4282</v>
      </c>
      <c r="B1675" s="2465" t="str">
        <f>CONCATENATE(LEFT(RIGHT(CONCATENATE("000",IFAData_TEA_1617!A1675),6),3),"-",(RIGHT(RIGHT(CONCATENATE("000",IFAData_TEA_1617!A1675),6),3)))</f>
        <v>163-901</v>
      </c>
      <c r="C1675" s="2266" t="s">
        <v>3066</v>
      </c>
      <c r="D1675" s="2266">
        <v>2</v>
      </c>
      <c r="E1675" s="2266">
        <v>1758</v>
      </c>
      <c r="F1675" s="2266" t="s">
        <v>5948</v>
      </c>
      <c r="G1675" s="2266" t="s">
        <v>5949</v>
      </c>
      <c r="H1675" s="2266">
        <v>429904</v>
      </c>
      <c r="I1675" s="2266">
        <v>389143</v>
      </c>
      <c r="J1675" s="2266">
        <v>1</v>
      </c>
      <c r="K1675" s="2266">
        <v>429904</v>
      </c>
      <c r="L1675" s="2266">
        <v>389143</v>
      </c>
      <c r="M1675" s="2266">
        <v>599</v>
      </c>
    </row>
    <row r="1676" spans="1:13" ht="15">
      <c r="A1676" s="2266" t="s">
        <v>4282</v>
      </c>
      <c r="B1676" s="2465" t="str">
        <f>CONCATENATE(LEFT(RIGHT(CONCATENATE("000",IFAData_TEA_1617!A1676),6),3),"-",(RIGHT(RIGHT(CONCATENATE("000",IFAData_TEA_1617!A1676),6),3)))</f>
        <v>163-901</v>
      </c>
      <c r="C1676" s="2266" t="s">
        <v>3066</v>
      </c>
      <c r="D1676" s="2266">
        <v>9</v>
      </c>
      <c r="E1676" s="2266">
        <v>1757</v>
      </c>
      <c r="F1676" s="2266" t="s">
        <v>5950</v>
      </c>
      <c r="G1676" s="2266" t="s">
        <v>5950</v>
      </c>
      <c r="H1676" s="2266">
        <v>417950</v>
      </c>
      <c r="I1676" s="2266">
        <v>159200</v>
      </c>
      <c r="J1676" s="2266">
        <v>0.43355119825708061</v>
      </c>
      <c r="K1676" s="2266">
        <v>181202.72331154684</v>
      </c>
      <c r="L1676" s="2266">
        <v>159200</v>
      </c>
      <c r="M1676" s="2266">
        <v>599</v>
      </c>
    </row>
    <row r="1677" spans="1:13" ht="15">
      <c r="A1677" s="2266" t="s">
        <v>4282</v>
      </c>
      <c r="B1677" s="2465" t="str">
        <f>CONCATENATE(LEFT(RIGHT(CONCATENATE("000",IFAData_TEA_1617!A1677),6),3),"-",(RIGHT(RIGHT(CONCATENATE("000",IFAData_TEA_1617!A1677),6),3)))</f>
        <v>163-901</v>
      </c>
      <c r="C1677" s="2266" t="s">
        <v>3066</v>
      </c>
      <c r="D1677" s="2266">
        <v>9</v>
      </c>
      <c r="E1677" s="2266">
        <v>1757</v>
      </c>
      <c r="F1677" s="2266" t="s">
        <v>5950</v>
      </c>
      <c r="G1677" s="2266" t="s">
        <v>7245</v>
      </c>
      <c r="H1677" s="2266">
        <v>417950</v>
      </c>
      <c r="I1677" s="2266">
        <v>208000</v>
      </c>
      <c r="J1677" s="2266">
        <v>0.56644880174291934</v>
      </c>
      <c r="K1677" s="2266">
        <v>236747.27668845313</v>
      </c>
      <c r="L1677" s="2266">
        <v>208000</v>
      </c>
      <c r="M1677" s="2266">
        <v>599</v>
      </c>
    </row>
    <row r="1678" spans="1:13" ht="15">
      <c r="A1678" s="2266" t="s">
        <v>4283</v>
      </c>
      <c r="B1678" s="2465" t="str">
        <f>CONCATENATE(LEFT(RIGHT(CONCATENATE("000",IFAData_TEA_1617!A1678),6),3),"-",(RIGHT(RIGHT(CONCATENATE("000",IFAData_TEA_1617!A1678),6),3)))</f>
        <v>163-902</v>
      </c>
      <c r="C1678" s="2266" t="s">
        <v>2493</v>
      </c>
      <c r="D1678" s="2266">
        <v>6</v>
      </c>
      <c r="E1678" s="2266">
        <v>1760</v>
      </c>
      <c r="F1678" s="2266" t="s">
        <v>5952</v>
      </c>
      <c r="G1678" s="2266" t="s">
        <v>5953</v>
      </c>
      <c r="H1678" s="2266">
        <v>100000</v>
      </c>
      <c r="I1678" s="2266">
        <v>90182</v>
      </c>
      <c r="J1678" s="2266">
        <v>1</v>
      </c>
      <c r="K1678" s="2266">
        <v>100000</v>
      </c>
      <c r="L1678" s="2266">
        <v>90182</v>
      </c>
      <c r="M1678" s="2266">
        <v>599</v>
      </c>
    </row>
    <row r="1679" spans="1:13" ht="15">
      <c r="A1679" s="2266" t="s">
        <v>4283</v>
      </c>
      <c r="B1679" s="2465" t="str">
        <f>CONCATENATE(LEFT(RIGHT(CONCATENATE("000",IFAData_TEA_1617!A1679),6),3),"-",(RIGHT(RIGHT(CONCATENATE("000",IFAData_TEA_1617!A1679),6),3)))</f>
        <v>163-902</v>
      </c>
      <c r="C1679" s="2266" t="s">
        <v>2493</v>
      </c>
      <c r="D1679" s="2266">
        <v>6</v>
      </c>
      <c r="E1679" s="2266">
        <v>1760</v>
      </c>
      <c r="F1679" s="2266" t="s">
        <v>5952</v>
      </c>
      <c r="G1679" s="2266" t="s">
        <v>5952</v>
      </c>
      <c r="H1679" s="2266">
        <v>100000</v>
      </c>
      <c r="I1679" s="2266">
        <v>0</v>
      </c>
      <c r="J1679" s="2266">
        <v>0</v>
      </c>
      <c r="K1679" s="2266">
        <v>0</v>
      </c>
      <c r="L1679" s="2266">
        <v>0</v>
      </c>
      <c r="M1679" s="2266">
        <v>599</v>
      </c>
    </row>
    <row r="1680" spans="1:13" ht="15">
      <c r="A1680" s="2266" t="s">
        <v>4283</v>
      </c>
      <c r="B1680" s="2465" t="str">
        <f>CONCATENATE(LEFT(RIGHT(CONCATENATE("000",IFAData_TEA_1617!A1680),6),3),"-",(RIGHT(RIGHT(CONCATENATE("000",IFAData_TEA_1617!A1680),6),3)))</f>
        <v>163-902</v>
      </c>
      <c r="C1680" s="2266" t="s">
        <v>2493</v>
      </c>
      <c r="D1680" s="2266">
        <v>9</v>
      </c>
      <c r="E1680" s="2266">
        <v>1761</v>
      </c>
      <c r="F1680" s="2266" t="s">
        <v>5954</v>
      </c>
      <c r="G1680" s="2266" t="s">
        <v>7022</v>
      </c>
      <c r="H1680" s="2266">
        <v>100000</v>
      </c>
      <c r="I1680" s="2266">
        <v>138522</v>
      </c>
      <c r="J1680" s="2266">
        <v>1</v>
      </c>
      <c r="K1680" s="2266">
        <v>100000</v>
      </c>
      <c r="L1680" s="2266">
        <v>100000</v>
      </c>
      <c r="M1680" s="2266">
        <v>599</v>
      </c>
    </row>
    <row r="1681" spans="1:13" ht="15">
      <c r="A1681" s="2266" t="s">
        <v>4283</v>
      </c>
      <c r="B1681" s="2465" t="str">
        <f>CONCATENATE(LEFT(RIGHT(CONCATENATE("000",IFAData_TEA_1617!A1681),6),3),"-",(RIGHT(RIGHT(CONCATENATE("000",IFAData_TEA_1617!A1681),6),3)))</f>
        <v>163-902</v>
      </c>
      <c r="C1681" s="2266" t="s">
        <v>2493</v>
      </c>
      <c r="D1681" s="2266">
        <v>9</v>
      </c>
      <c r="E1681" s="2266">
        <v>1761</v>
      </c>
      <c r="F1681" s="2266" t="s">
        <v>5954</v>
      </c>
      <c r="G1681" s="2266" t="s">
        <v>5954</v>
      </c>
      <c r="H1681" s="2266">
        <v>100000</v>
      </c>
      <c r="I1681" s="2266">
        <v>0</v>
      </c>
      <c r="J1681" s="2266">
        <v>0</v>
      </c>
      <c r="K1681" s="2266">
        <v>0</v>
      </c>
      <c r="L1681" s="2266">
        <v>0</v>
      </c>
      <c r="M1681" s="2266">
        <v>599</v>
      </c>
    </row>
    <row r="1682" spans="1:13" ht="15">
      <c r="A1682" s="2266" t="s">
        <v>4284</v>
      </c>
      <c r="B1682" s="2465" t="str">
        <f>CONCATENATE(LEFT(RIGHT(CONCATENATE("000",IFAData_TEA_1617!A1682),6),3),"-",(RIGHT(RIGHT(CONCATENATE("000",IFAData_TEA_1617!A1682),6),3)))</f>
        <v>163-903</v>
      </c>
      <c r="C1682" s="2266" t="s">
        <v>2563</v>
      </c>
      <c r="D1682" s="2266">
        <v>8</v>
      </c>
      <c r="E1682" s="2266">
        <v>2126</v>
      </c>
      <c r="F1682" s="2266" t="s">
        <v>5957</v>
      </c>
      <c r="G1682" s="2266" t="s">
        <v>5957</v>
      </c>
      <c r="H1682" s="2266">
        <v>260720</v>
      </c>
      <c r="I1682" s="2266">
        <v>0</v>
      </c>
      <c r="J1682" s="2266">
        <v>0</v>
      </c>
      <c r="K1682" s="2266">
        <v>0</v>
      </c>
      <c r="L1682" s="2266">
        <v>0</v>
      </c>
      <c r="M1682" s="2266">
        <v>599</v>
      </c>
    </row>
    <row r="1683" spans="1:13" ht="15">
      <c r="A1683" s="2266" t="s">
        <v>4284</v>
      </c>
      <c r="B1683" s="2465" t="str">
        <f>CONCATENATE(LEFT(RIGHT(CONCATENATE("000",IFAData_TEA_1617!A1683),6),3),"-",(RIGHT(RIGHT(CONCATENATE("000",IFAData_TEA_1617!A1683),6),3)))</f>
        <v>163-903</v>
      </c>
      <c r="C1683" s="2266" t="s">
        <v>2563</v>
      </c>
      <c r="D1683" s="2266">
        <v>4</v>
      </c>
      <c r="E1683" s="2266">
        <v>2125</v>
      </c>
      <c r="F1683" s="2266" t="s">
        <v>5955</v>
      </c>
      <c r="G1683" s="2266" t="s">
        <v>5955</v>
      </c>
      <c r="H1683" s="2266">
        <v>240522</v>
      </c>
      <c r="I1683" s="2266">
        <v>0</v>
      </c>
      <c r="J1683" s="2266">
        <v>0</v>
      </c>
      <c r="K1683" s="2266"/>
      <c r="L1683" s="2266">
        <v>0</v>
      </c>
      <c r="M1683" s="2266">
        <v>599</v>
      </c>
    </row>
    <row r="1684" spans="1:13" ht="15">
      <c r="A1684" s="2266" t="s">
        <v>4284</v>
      </c>
      <c r="B1684" s="2465" t="str">
        <f>CONCATENATE(LEFT(RIGHT(CONCATENATE("000",IFAData_TEA_1617!A1684),6),3),"-",(RIGHT(RIGHT(CONCATENATE("000",IFAData_TEA_1617!A1684),6),3)))</f>
        <v>163-903</v>
      </c>
      <c r="C1684" s="2266" t="s">
        <v>2563</v>
      </c>
      <c r="D1684" s="2266">
        <v>8</v>
      </c>
      <c r="E1684" s="2266">
        <v>2126</v>
      </c>
      <c r="F1684" s="2266" t="s">
        <v>5957</v>
      </c>
      <c r="G1684" s="2266" t="s">
        <v>7246</v>
      </c>
      <c r="H1684" s="2266">
        <v>260720</v>
      </c>
      <c r="I1684" s="2266">
        <v>143157</v>
      </c>
      <c r="J1684" s="2266">
        <v>1</v>
      </c>
      <c r="K1684" s="2266">
        <v>260720</v>
      </c>
      <c r="L1684" s="2266">
        <v>143157</v>
      </c>
      <c r="M1684" s="2266">
        <v>599</v>
      </c>
    </row>
    <row r="1685" spans="1:13" ht="15">
      <c r="A1685" s="2266" t="s">
        <v>4285</v>
      </c>
      <c r="B1685" s="2465" t="str">
        <f>CONCATENATE(LEFT(RIGHT(CONCATENATE("000",IFAData_TEA_1617!A1685),6),3),"-",(RIGHT(RIGHT(CONCATENATE("000",IFAData_TEA_1617!A1685),6),3)))</f>
        <v>163-904</v>
      </c>
      <c r="C1685" s="2266" t="s">
        <v>2729</v>
      </c>
      <c r="D1685" s="2266">
        <v>5</v>
      </c>
      <c r="E1685" s="2266">
        <v>1897</v>
      </c>
      <c r="F1685" s="2266" t="s">
        <v>5961</v>
      </c>
      <c r="G1685" s="2266" t="s">
        <v>5961</v>
      </c>
      <c r="H1685" s="2266">
        <v>351045</v>
      </c>
      <c r="I1685" s="2266">
        <v>0</v>
      </c>
      <c r="J1685" s="2266">
        <v>0</v>
      </c>
      <c r="K1685" s="2266">
        <v>0</v>
      </c>
      <c r="L1685" s="2266">
        <v>0</v>
      </c>
      <c r="M1685" s="2266">
        <v>599</v>
      </c>
    </row>
    <row r="1686" spans="1:13" ht="15">
      <c r="A1686" s="2266" t="s">
        <v>4285</v>
      </c>
      <c r="B1686" s="2465" t="str">
        <f>CONCATENATE(LEFT(RIGHT(CONCATENATE("000",IFAData_TEA_1617!A1686),6),3),"-",(RIGHT(RIGHT(CONCATENATE("000",IFAData_TEA_1617!A1686),6),3)))</f>
        <v>163-904</v>
      </c>
      <c r="C1686" s="2266" t="s">
        <v>2729</v>
      </c>
      <c r="D1686" s="2266">
        <v>5</v>
      </c>
      <c r="E1686" s="2266">
        <v>1897</v>
      </c>
      <c r="F1686" s="2266" t="s">
        <v>5961</v>
      </c>
      <c r="G1686" s="2266" t="s">
        <v>5960</v>
      </c>
      <c r="H1686" s="2266">
        <v>351045</v>
      </c>
      <c r="I1686" s="2266">
        <v>0</v>
      </c>
      <c r="J1686" s="2266">
        <v>0</v>
      </c>
      <c r="K1686" s="2266">
        <v>0</v>
      </c>
      <c r="L1686" s="2266">
        <v>0</v>
      </c>
      <c r="M1686" s="2266">
        <v>599</v>
      </c>
    </row>
    <row r="1687" spans="1:13" ht="15">
      <c r="A1687" s="2266" t="s">
        <v>4285</v>
      </c>
      <c r="B1687" s="2465" t="str">
        <f>CONCATENATE(LEFT(RIGHT(CONCATENATE("000",IFAData_TEA_1617!A1687),6),3),"-",(RIGHT(RIGHT(CONCATENATE("000",IFAData_TEA_1617!A1687),6),3)))</f>
        <v>163-904</v>
      </c>
      <c r="C1687" s="2266" t="s">
        <v>2729</v>
      </c>
      <c r="D1687" s="2266">
        <v>2</v>
      </c>
      <c r="E1687" s="2266">
        <v>1898</v>
      </c>
      <c r="F1687" s="2266" t="s">
        <v>5958</v>
      </c>
      <c r="G1687" s="2266" t="s">
        <v>5960</v>
      </c>
      <c r="H1687" s="2266">
        <v>468918</v>
      </c>
      <c r="I1687" s="2266">
        <v>404510</v>
      </c>
      <c r="J1687" s="2266">
        <v>1</v>
      </c>
      <c r="K1687" s="2266">
        <v>468918</v>
      </c>
      <c r="L1687" s="2266">
        <v>404510</v>
      </c>
      <c r="M1687" s="2266">
        <v>599</v>
      </c>
    </row>
    <row r="1688" spans="1:13" ht="15">
      <c r="A1688" s="2266" t="s">
        <v>4285</v>
      </c>
      <c r="B1688" s="2465" t="str">
        <f>CONCATENATE(LEFT(RIGHT(CONCATENATE("000",IFAData_TEA_1617!A1688),6),3),"-",(RIGHT(RIGHT(CONCATENATE("000",IFAData_TEA_1617!A1688),6),3)))</f>
        <v>163-904</v>
      </c>
      <c r="C1688" s="2266" t="s">
        <v>2729</v>
      </c>
      <c r="D1688" s="2266">
        <v>2</v>
      </c>
      <c r="E1688" s="2266">
        <v>1898</v>
      </c>
      <c r="F1688" s="2266" t="s">
        <v>5958</v>
      </c>
      <c r="G1688" s="2266" t="s">
        <v>5959</v>
      </c>
      <c r="H1688" s="2266">
        <v>468918</v>
      </c>
      <c r="I1688" s="2266">
        <v>0</v>
      </c>
      <c r="J1688" s="2266">
        <v>0</v>
      </c>
      <c r="K1688" s="2266">
        <v>0</v>
      </c>
      <c r="L1688" s="2266">
        <v>0</v>
      </c>
      <c r="M1688" s="2266">
        <v>599</v>
      </c>
    </row>
    <row r="1689" spans="1:13" ht="15">
      <c r="A1689" s="2266" t="s">
        <v>4285</v>
      </c>
      <c r="B1689" s="2465" t="str">
        <f>CONCATENATE(LEFT(RIGHT(CONCATENATE("000",IFAData_TEA_1617!A1689),6),3),"-",(RIGHT(RIGHT(CONCATENATE("000",IFAData_TEA_1617!A1689),6),3)))</f>
        <v>163-904</v>
      </c>
      <c r="C1689" s="2266" t="s">
        <v>2729</v>
      </c>
      <c r="D1689" s="2266">
        <v>2</v>
      </c>
      <c r="E1689" s="2266">
        <v>1898</v>
      </c>
      <c r="F1689" s="2266" t="s">
        <v>5958</v>
      </c>
      <c r="G1689" s="2266" t="s">
        <v>5958</v>
      </c>
      <c r="H1689" s="2266">
        <v>468918</v>
      </c>
      <c r="I1689" s="2266">
        <v>0</v>
      </c>
      <c r="J1689" s="2266">
        <v>0</v>
      </c>
      <c r="K1689" s="2266">
        <v>0</v>
      </c>
      <c r="L1689" s="2266">
        <v>0</v>
      </c>
      <c r="M1689" s="2266">
        <v>599</v>
      </c>
    </row>
    <row r="1690" spans="1:13" ht="15">
      <c r="A1690" s="2266" t="s">
        <v>4285</v>
      </c>
      <c r="B1690" s="2465" t="str">
        <f>CONCATENATE(LEFT(RIGHT(CONCATENATE("000",IFAData_TEA_1617!A1690),6),3),"-",(RIGHT(RIGHT(CONCATENATE("000",IFAData_TEA_1617!A1690),6),3)))</f>
        <v>163-904</v>
      </c>
      <c r="C1690" s="2266" t="s">
        <v>2729</v>
      </c>
      <c r="D1690" s="2266">
        <v>5</v>
      </c>
      <c r="E1690" s="2266">
        <v>1897</v>
      </c>
      <c r="F1690" s="2266" t="s">
        <v>5961</v>
      </c>
      <c r="G1690" s="2266" t="s">
        <v>5962</v>
      </c>
      <c r="H1690" s="2266">
        <v>351045</v>
      </c>
      <c r="I1690" s="2266">
        <v>331924</v>
      </c>
      <c r="J1690" s="2266">
        <v>1</v>
      </c>
      <c r="K1690" s="2266">
        <v>351045</v>
      </c>
      <c r="L1690" s="2266">
        <v>331924</v>
      </c>
      <c r="M1690" s="2266">
        <v>599</v>
      </c>
    </row>
    <row r="1691" spans="1:13" ht="15">
      <c r="A1691" s="2266" t="s">
        <v>4286</v>
      </c>
      <c r="B1691" s="2465" t="str">
        <f>CONCATENATE(LEFT(RIGHT(CONCATENATE("000",IFAData_TEA_1617!A1691),6),3),"-",(RIGHT(RIGHT(CONCATENATE("000",IFAData_TEA_1617!A1691),6),3)))</f>
        <v>163-908</v>
      </c>
      <c r="C1691" s="2266" t="s">
        <v>931</v>
      </c>
      <c r="D1691" s="2266">
        <v>9</v>
      </c>
      <c r="E1691" s="2266">
        <v>2087</v>
      </c>
      <c r="F1691" s="2266" t="s">
        <v>5967</v>
      </c>
      <c r="G1691" s="2266" t="s">
        <v>7024</v>
      </c>
      <c r="H1691" s="2266">
        <v>778750</v>
      </c>
      <c r="I1691" s="2266">
        <v>225117</v>
      </c>
      <c r="J1691" s="2266">
        <v>8.8012720415923507E-2</v>
      </c>
      <c r="K1691" s="2266">
        <v>68539.906023900432</v>
      </c>
      <c r="L1691" s="2266">
        <v>68539.906023900432</v>
      </c>
      <c r="M1691" s="2266">
        <v>599</v>
      </c>
    </row>
    <row r="1692" spans="1:13" ht="15">
      <c r="A1692" s="2266" t="s">
        <v>4286</v>
      </c>
      <c r="B1692" s="2465" t="str">
        <f>CONCATENATE(LEFT(RIGHT(CONCATENATE("000",IFAData_TEA_1617!A1692),6),3),"-",(RIGHT(RIGHT(CONCATENATE("000",IFAData_TEA_1617!A1692),6),3)))</f>
        <v>163-908</v>
      </c>
      <c r="C1692" s="2266" t="s">
        <v>931</v>
      </c>
      <c r="D1692" s="2266">
        <v>9</v>
      </c>
      <c r="E1692" s="2266">
        <v>2087</v>
      </c>
      <c r="F1692" s="2266" t="s">
        <v>5967</v>
      </c>
      <c r="G1692" s="2266" t="s">
        <v>7023</v>
      </c>
      <c r="H1692" s="2266">
        <v>778750</v>
      </c>
      <c r="I1692" s="2266">
        <v>99183</v>
      </c>
      <c r="J1692" s="2266">
        <v>3.8777016613638866E-2</v>
      </c>
      <c r="K1692" s="2266">
        <v>30197.601687871269</v>
      </c>
      <c r="L1692" s="2266">
        <v>30197.601687871269</v>
      </c>
      <c r="M1692" s="2266">
        <v>599</v>
      </c>
    </row>
    <row r="1693" spans="1:13" ht="15">
      <c r="A1693" s="2266" t="s">
        <v>4286</v>
      </c>
      <c r="B1693" s="2465" t="str">
        <f>CONCATENATE(LEFT(RIGHT(CONCATENATE("000",IFAData_TEA_1617!A1693),6),3),"-",(RIGHT(RIGHT(CONCATENATE("000",IFAData_TEA_1617!A1693),6),3)))</f>
        <v>163-908</v>
      </c>
      <c r="C1693" s="2266" t="s">
        <v>931</v>
      </c>
      <c r="D1693" s="2266">
        <v>5</v>
      </c>
      <c r="E1693" s="2266">
        <v>2086</v>
      </c>
      <c r="F1693" s="2266" t="s">
        <v>5966</v>
      </c>
      <c r="G1693" s="2266" t="s">
        <v>5966</v>
      </c>
      <c r="H1693" s="2266">
        <v>728095</v>
      </c>
      <c r="I1693" s="2266">
        <v>0</v>
      </c>
      <c r="J1693" s="2266">
        <v>0</v>
      </c>
      <c r="K1693" s="2266">
        <v>0</v>
      </c>
      <c r="L1693" s="2266">
        <v>0</v>
      </c>
      <c r="M1693" s="2266">
        <v>599</v>
      </c>
    </row>
    <row r="1694" spans="1:13" ht="15">
      <c r="A1694" s="2266" t="s">
        <v>4286</v>
      </c>
      <c r="B1694" s="2465" t="str">
        <f>CONCATENATE(LEFT(RIGHT(CONCATENATE("000",IFAData_TEA_1617!A1694),6),3),"-",(RIGHT(RIGHT(CONCATENATE("000",IFAData_TEA_1617!A1694),6),3)))</f>
        <v>163-908</v>
      </c>
      <c r="C1694" s="2266" t="s">
        <v>931</v>
      </c>
      <c r="D1694" s="2266">
        <v>2</v>
      </c>
      <c r="E1694" s="2266">
        <v>2085</v>
      </c>
      <c r="F1694" s="2266" t="s">
        <v>5963</v>
      </c>
      <c r="G1694" s="2266" t="s">
        <v>7248</v>
      </c>
      <c r="H1694" s="2266">
        <v>528404</v>
      </c>
      <c r="I1694" s="2266">
        <v>480256</v>
      </c>
      <c r="J1694" s="2266">
        <v>0.8401621348336229</v>
      </c>
      <c r="K1694" s="2266">
        <v>443945.03269462567</v>
      </c>
      <c r="L1694" s="2266">
        <v>443945.03269462567</v>
      </c>
      <c r="M1694" s="2266">
        <v>599</v>
      </c>
    </row>
    <row r="1695" spans="1:13" ht="15">
      <c r="A1695" s="2266" t="s">
        <v>4286</v>
      </c>
      <c r="B1695" s="2465" t="str">
        <f>CONCATENATE(LEFT(RIGHT(CONCATENATE("000",IFAData_TEA_1617!A1695),6),3),"-",(RIGHT(RIGHT(CONCATENATE("000",IFAData_TEA_1617!A1695),6),3)))</f>
        <v>163-908</v>
      </c>
      <c r="C1695" s="2266" t="s">
        <v>931</v>
      </c>
      <c r="D1695" s="2266">
        <v>2</v>
      </c>
      <c r="E1695" s="2266">
        <v>2085</v>
      </c>
      <c r="F1695" s="2266" t="s">
        <v>5963</v>
      </c>
      <c r="G1695" s="2266" t="s">
        <v>5964</v>
      </c>
      <c r="H1695" s="2266">
        <v>528404</v>
      </c>
      <c r="I1695" s="2266">
        <v>15482</v>
      </c>
      <c r="J1695" s="2266">
        <v>2.7084284572174318E-2</v>
      </c>
      <c r="K1695" s="2266">
        <v>14311.444305075198</v>
      </c>
      <c r="L1695" s="2266">
        <v>14311.444305075198</v>
      </c>
      <c r="M1695" s="2266">
        <v>599</v>
      </c>
    </row>
    <row r="1696" spans="1:13" ht="15">
      <c r="A1696" s="2266" t="s">
        <v>4286</v>
      </c>
      <c r="B1696" s="2465" t="str">
        <f>CONCATENATE(LEFT(RIGHT(CONCATENATE("000",IFAData_TEA_1617!A1696),6),3),"-",(RIGHT(RIGHT(CONCATENATE("000",IFAData_TEA_1617!A1696),6),3)))</f>
        <v>163-908</v>
      </c>
      <c r="C1696" s="2266" t="s">
        <v>931</v>
      </c>
      <c r="D1696" s="2266">
        <v>5</v>
      </c>
      <c r="E1696" s="2266">
        <v>2086</v>
      </c>
      <c r="F1696" s="2266" t="s">
        <v>5966</v>
      </c>
      <c r="G1696" s="2266" t="s">
        <v>5964</v>
      </c>
      <c r="H1696" s="2266">
        <v>728095</v>
      </c>
      <c r="I1696" s="2266">
        <v>143408</v>
      </c>
      <c r="J1696" s="2266">
        <v>0.20752338849134283</v>
      </c>
      <c r="K1696" s="2266">
        <v>151096.74154360426</v>
      </c>
      <c r="L1696" s="2266">
        <v>143408</v>
      </c>
      <c r="M1696" s="2266">
        <v>599</v>
      </c>
    </row>
    <row r="1697" spans="1:13" ht="15">
      <c r="A1697" s="2266" t="s">
        <v>4286</v>
      </c>
      <c r="B1697" s="2465" t="str">
        <f>CONCATENATE(LEFT(RIGHT(CONCATENATE("000",IFAData_TEA_1617!A1697),6),3),"-",(RIGHT(RIGHT(CONCATENATE("000",IFAData_TEA_1617!A1697),6),3)))</f>
        <v>163-908</v>
      </c>
      <c r="C1697" s="2266" t="s">
        <v>931</v>
      </c>
      <c r="D1697" s="2266">
        <v>2</v>
      </c>
      <c r="E1697" s="2266">
        <v>2085</v>
      </c>
      <c r="F1697" s="2266" t="s">
        <v>5963</v>
      </c>
      <c r="G1697" s="2266" t="s">
        <v>5965</v>
      </c>
      <c r="H1697" s="2266">
        <v>528404</v>
      </c>
      <c r="I1697" s="2266">
        <v>75885</v>
      </c>
      <c r="J1697" s="2266">
        <v>0.13275358059420284</v>
      </c>
      <c r="K1697" s="2266">
        <v>70147.523000299159</v>
      </c>
      <c r="L1697" s="2266">
        <v>70147.523000299159</v>
      </c>
      <c r="M1697" s="2266">
        <v>599</v>
      </c>
    </row>
    <row r="1698" spans="1:13" ht="15">
      <c r="A1698" s="2266" t="s">
        <v>4286</v>
      </c>
      <c r="B1698" s="2465" t="str">
        <f>CONCATENATE(LEFT(RIGHT(CONCATENATE("000",IFAData_TEA_1617!A1698),6),3),"-",(RIGHT(RIGHT(CONCATENATE("000",IFAData_TEA_1617!A1698),6),3)))</f>
        <v>163-908</v>
      </c>
      <c r="C1698" s="2266" t="s">
        <v>931</v>
      </c>
      <c r="D1698" s="2266">
        <v>5</v>
      </c>
      <c r="E1698" s="2266">
        <v>2086</v>
      </c>
      <c r="F1698" s="2266" t="s">
        <v>5966</v>
      </c>
      <c r="G1698" s="2266" t="s">
        <v>5965</v>
      </c>
      <c r="H1698" s="2266">
        <v>728095</v>
      </c>
      <c r="I1698" s="2266">
        <v>218293</v>
      </c>
      <c r="J1698" s="2266">
        <v>0.31588825619170968</v>
      </c>
      <c r="K1698" s="2266">
        <v>229996.65989190285</v>
      </c>
      <c r="L1698" s="2266">
        <v>218293</v>
      </c>
      <c r="M1698" s="2266">
        <v>599</v>
      </c>
    </row>
    <row r="1699" spans="1:13" ht="15">
      <c r="A1699" s="2266" t="s">
        <v>4286</v>
      </c>
      <c r="B1699" s="2465" t="str">
        <f>CONCATENATE(LEFT(RIGHT(CONCATENATE("000",IFAData_TEA_1617!A1699),6),3),"-",(RIGHT(RIGHT(CONCATENATE("000",IFAData_TEA_1617!A1699),6),3)))</f>
        <v>163-908</v>
      </c>
      <c r="C1699" s="2266" t="s">
        <v>931</v>
      </c>
      <c r="D1699" s="2266">
        <v>2</v>
      </c>
      <c r="E1699" s="2266">
        <v>2085</v>
      </c>
      <c r="F1699" s="2266" t="s">
        <v>5963</v>
      </c>
      <c r="G1699" s="2266" t="s">
        <v>5963</v>
      </c>
      <c r="H1699" s="2266">
        <v>528404</v>
      </c>
      <c r="I1699" s="2266">
        <v>0</v>
      </c>
      <c r="J1699" s="2266">
        <v>0</v>
      </c>
      <c r="K1699" s="2266">
        <v>0</v>
      </c>
      <c r="L1699" s="2266">
        <v>0</v>
      </c>
      <c r="M1699" s="2266">
        <v>599</v>
      </c>
    </row>
    <row r="1700" spans="1:13" ht="15">
      <c r="A1700" s="2266" t="s">
        <v>4286</v>
      </c>
      <c r="B1700" s="2465" t="str">
        <f>CONCATENATE(LEFT(RIGHT(CONCATENATE("000",IFAData_TEA_1617!A1700),6),3),"-",(RIGHT(RIGHT(CONCATENATE("000",IFAData_TEA_1617!A1700),6),3)))</f>
        <v>163-908</v>
      </c>
      <c r="C1700" s="2266" t="s">
        <v>931</v>
      </c>
      <c r="D1700" s="2266">
        <v>9</v>
      </c>
      <c r="E1700" s="2266">
        <v>2087</v>
      </c>
      <c r="F1700" s="2266" t="s">
        <v>5967</v>
      </c>
      <c r="G1700" s="2266" t="s">
        <v>7247</v>
      </c>
      <c r="H1700" s="2266">
        <v>778750</v>
      </c>
      <c r="I1700" s="2266">
        <v>594605</v>
      </c>
      <c r="J1700" s="2266">
        <v>0.2324693542598302</v>
      </c>
      <c r="K1700" s="2266">
        <v>181035.50962984277</v>
      </c>
      <c r="L1700" s="2266">
        <v>181035.50962984277</v>
      </c>
      <c r="M1700" s="2266">
        <v>599</v>
      </c>
    </row>
    <row r="1701" spans="1:13" ht="15">
      <c r="A1701" s="2266" t="s">
        <v>4286</v>
      </c>
      <c r="B1701" s="2465" t="str">
        <f>CONCATENATE(LEFT(RIGHT(CONCATENATE("000",IFAData_TEA_1617!A1701),6),3),"-",(RIGHT(RIGHT(CONCATENATE("000",IFAData_TEA_1617!A1701),6),3)))</f>
        <v>163-908</v>
      </c>
      <c r="C1701" s="2266" t="s">
        <v>931</v>
      </c>
      <c r="D1701" s="2266">
        <v>9</v>
      </c>
      <c r="E1701" s="2266">
        <v>2087</v>
      </c>
      <c r="F1701" s="2266" t="s">
        <v>5967</v>
      </c>
      <c r="G1701" s="2266" t="s">
        <v>5967</v>
      </c>
      <c r="H1701" s="2266">
        <v>778750</v>
      </c>
      <c r="I1701" s="2266">
        <v>1638873</v>
      </c>
      <c r="J1701" s="2266">
        <v>0.6407409087106074</v>
      </c>
      <c r="K1701" s="2266">
        <v>498976.98265838553</v>
      </c>
      <c r="L1701" s="2266">
        <v>498976.98265838553</v>
      </c>
      <c r="M1701" s="2266">
        <v>599</v>
      </c>
    </row>
    <row r="1702" spans="1:13" ht="15">
      <c r="A1702" s="2266" t="s">
        <v>4286</v>
      </c>
      <c r="B1702" s="2465" t="str">
        <f>CONCATENATE(LEFT(RIGHT(CONCATENATE("000",IFAData_TEA_1617!A1702),6),3),"-",(RIGHT(RIGHT(CONCATENATE("000",IFAData_TEA_1617!A1702),6),3)))</f>
        <v>163-908</v>
      </c>
      <c r="C1702" s="2266" t="s">
        <v>931</v>
      </c>
      <c r="D1702" s="2266">
        <v>5</v>
      </c>
      <c r="E1702" s="2266">
        <v>2086</v>
      </c>
      <c r="F1702" s="2266" t="s">
        <v>5966</v>
      </c>
      <c r="G1702" s="2266" t="s">
        <v>7248</v>
      </c>
      <c r="H1702" s="2266">
        <v>728095</v>
      </c>
      <c r="I1702" s="2266">
        <v>329344</v>
      </c>
      <c r="J1702" s="2266">
        <v>0.47658835531694754</v>
      </c>
      <c r="K1702" s="2266">
        <v>347001.59856449295</v>
      </c>
      <c r="L1702" s="2266">
        <v>329344</v>
      </c>
      <c r="M1702" s="2266">
        <v>599</v>
      </c>
    </row>
    <row r="1703" spans="1:13" ht="15">
      <c r="A1703" s="2266" t="s">
        <v>4287</v>
      </c>
      <c r="B1703" s="2465" t="str">
        <f>CONCATENATE(LEFT(RIGHT(CONCATENATE("000",IFAData_TEA_1617!A1703),6),3),"-",(RIGHT(RIGHT(CONCATENATE("000",IFAData_TEA_1617!A1703),6),3)))</f>
        <v>165-901</v>
      </c>
      <c r="C1703" s="2266" t="s">
        <v>2555</v>
      </c>
      <c r="D1703" s="2266">
        <v>1</v>
      </c>
      <c r="E1703" s="2266">
        <v>2104</v>
      </c>
      <c r="F1703" s="2266" t="s">
        <v>5970</v>
      </c>
      <c r="G1703" s="2266" t="s">
        <v>5970</v>
      </c>
      <c r="H1703" s="2266">
        <v>1498095</v>
      </c>
      <c r="I1703" s="2266">
        <v>0</v>
      </c>
      <c r="J1703" s="2266">
        <v>0</v>
      </c>
      <c r="K1703" s="2266">
        <v>0</v>
      </c>
      <c r="L1703" s="2266">
        <v>0</v>
      </c>
      <c r="M1703" s="2266">
        <v>599</v>
      </c>
    </row>
    <row r="1704" spans="1:13" ht="15">
      <c r="A1704" s="2266" t="s">
        <v>4287</v>
      </c>
      <c r="B1704" s="2465" t="str">
        <f>CONCATENATE(LEFT(RIGHT(CONCATENATE("000",IFAData_TEA_1617!A1704),6),3),"-",(RIGHT(RIGHT(CONCATENATE("000",IFAData_TEA_1617!A1704),6),3)))</f>
        <v>165-901</v>
      </c>
      <c r="C1704" s="2266" t="s">
        <v>2555</v>
      </c>
      <c r="D1704" s="2266">
        <v>1</v>
      </c>
      <c r="E1704" s="2266">
        <v>2103</v>
      </c>
      <c r="F1704" s="2266" t="s">
        <v>5968</v>
      </c>
      <c r="G1704" s="2266" t="s">
        <v>5969</v>
      </c>
      <c r="H1704" s="2266">
        <v>1268572</v>
      </c>
      <c r="I1704" s="2266">
        <v>80700</v>
      </c>
      <c r="J1704" s="2266">
        <v>1</v>
      </c>
      <c r="K1704" s="2266">
        <v>1268572</v>
      </c>
      <c r="L1704" s="2266">
        <v>80700</v>
      </c>
      <c r="M1704" s="2266">
        <v>599</v>
      </c>
    </row>
    <row r="1705" spans="1:13" ht="15">
      <c r="A1705" s="2266" t="s">
        <v>4287</v>
      </c>
      <c r="B1705" s="2465" t="str">
        <f>CONCATENATE(LEFT(RIGHT(CONCATENATE("000",IFAData_TEA_1617!A1705),6),3),"-",(RIGHT(RIGHT(CONCATENATE("000",IFAData_TEA_1617!A1705),6),3)))</f>
        <v>165-901</v>
      </c>
      <c r="C1705" s="2266" t="s">
        <v>2555</v>
      </c>
      <c r="D1705" s="2266">
        <v>1</v>
      </c>
      <c r="E1705" s="2266">
        <v>2103</v>
      </c>
      <c r="F1705" s="2266" t="s">
        <v>5968</v>
      </c>
      <c r="G1705" s="2266" t="s">
        <v>5968</v>
      </c>
      <c r="H1705" s="2266">
        <v>1268572</v>
      </c>
      <c r="I1705" s="2266">
        <v>0</v>
      </c>
      <c r="J1705" s="2266">
        <v>0</v>
      </c>
      <c r="K1705" s="2266">
        <v>0</v>
      </c>
      <c r="L1705" s="2266">
        <v>0</v>
      </c>
      <c r="M1705" s="2266">
        <v>599</v>
      </c>
    </row>
    <row r="1706" spans="1:13" ht="15">
      <c r="A1706" s="2266" t="s">
        <v>4287</v>
      </c>
      <c r="B1706" s="2465" t="str">
        <f>CONCATENATE(LEFT(RIGHT(CONCATENATE("000",IFAData_TEA_1617!A1706),6),3),"-",(RIGHT(RIGHT(CONCATENATE("000",IFAData_TEA_1617!A1706),6),3)))</f>
        <v>165-901</v>
      </c>
      <c r="C1706" s="2266" t="s">
        <v>2555</v>
      </c>
      <c r="D1706" s="2266">
        <v>1</v>
      </c>
      <c r="E1706" s="2266">
        <v>2104</v>
      </c>
      <c r="F1706" s="2266" t="s">
        <v>5970</v>
      </c>
      <c r="G1706" s="2266" t="s">
        <v>5971</v>
      </c>
      <c r="H1706" s="2266">
        <v>1498095</v>
      </c>
      <c r="I1706" s="2266">
        <v>102179</v>
      </c>
      <c r="J1706" s="2266">
        <v>1</v>
      </c>
      <c r="K1706" s="2266">
        <v>1498095</v>
      </c>
      <c r="L1706" s="2266">
        <v>102179</v>
      </c>
      <c r="M1706" s="2266">
        <v>599</v>
      </c>
    </row>
    <row r="1707" spans="1:13" ht="15">
      <c r="A1707" s="2266" t="s">
        <v>4288</v>
      </c>
      <c r="B1707" s="2465" t="str">
        <f>CONCATENATE(LEFT(RIGHT(CONCATENATE("000",IFAData_TEA_1617!A1707),6),3),"-",(RIGHT(RIGHT(CONCATENATE("000",IFAData_TEA_1617!A1707),6),3)))</f>
        <v>166-901</v>
      </c>
      <c r="C1707" s="2266" t="s">
        <v>727</v>
      </c>
      <c r="D1707" s="2266">
        <v>3</v>
      </c>
      <c r="E1707" s="2266">
        <v>1660</v>
      </c>
      <c r="F1707" s="2266" t="s">
        <v>5972</v>
      </c>
      <c r="G1707" s="2266" t="s">
        <v>5973</v>
      </c>
      <c r="H1707" s="2266">
        <v>407753</v>
      </c>
      <c r="I1707" s="2266">
        <v>536500</v>
      </c>
      <c r="J1707" s="2266">
        <v>0.5736734669873107</v>
      </c>
      <c r="K1707" s="2266">
        <v>233917.07718447689</v>
      </c>
      <c r="L1707" s="2266">
        <v>233917.07718447689</v>
      </c>
      <c r="M1707" s="2266">
        <v>599</v>
      </c>
    </row>
    <row r="1708" spans="1:13" ht="15">
      <c r="A1708" s="2266" t="s">
        <v>4288</v>
      </c>
      <c r="B1708" s="2465" t="str">
        <f>CONCATENATE(LEFT(RIGHT(CONCATENATE("000",IFAData_TEA_1617!A1708),6),3),"-",(RIGHT(RIGHT(CONCATENATE("000",IFAData_TEA_1617!A1708),6),3)))</f>
        <v>166-901</v>
      </c>
      <c r="C1708" s="2266" t="s">
        <v>727</v>
      </c>
      <c r="D1708" s="2266">
        <v>6</v>
      </c>
      <c r="E1708" s="2266">
        <v>1659</v>
      </c>
      <c r="F1708" s="2266" t="s">
        <v>5974</v>
      </c>
      <c r="G1708" s="2266" t="s">
        <v>5975</v>
      </c>
      <c r="H1708" s="2266">
        <v>390173</v>
      </c>
      <c r="I1708" s="2266">
        <v>714118</v>
      </c>
      <c r="J1708" s="2266">
        <v>1</v>
      </c>
      <c r="K1708" s="2266">
        <v>390173</v>
      </c>
      <c r="L1708" s="2266">
        <v>390173</v>
      </c>
      <c r="M1708" s="2266">
        <v>599</v>
      </c>
    </row>
    <row r="1709" spans="1:13" ht="15">
      <c r="A1709" s="2266" t="s">
        <v>4288</v>
      </c>
      <c r="B1709" s="2465" t="str">
        <f>CONCATENATE(LEFT(RIGHT(CONCATENATE("000",IFAData_TEA_1617!A1709),6),3),"-",(RIGHT(RIGHT(CONCATENATE("000",IFAData_TEA_1617!A1709),6),3)))</f>
        <v>166-901</v>
      </c>
      <c r="C1709" s="2266" t="s">
        <v>727</v>
      </c>
      <c r="D1709" s="2266">
        <v>6</v>
      </c>
      <c r="E1709" s="2266">
        <v>1659</v>
      </c>
      <c r="F1709" s="2266" t="s">
        <v>5974</v>
      </c>
      <c r="G1709" s="2266" t="s">
        <v>5974</v>
      </c>
      <c r="H1709" s="2266">
        <v>390173</v>
      </c>
      <c r="I1709" s="2266">
        <v>0</v>
      </c>
      <c r="J1709" s="2266">
        <v>0</v>
      </c>
      <c r="K1709" s="2266">
        <v>0</v>
      </c>
      <c r="L1709" s="2266">
        <v>0</v>
      </c>
      <c r="M1709" s="2266">
        <v>599</v>
      </c>
    </row>
    <row r="1710" spans="1:13" ht="15">
      <c r="A1710" s="2266" t="s">
        <v>4288</v>
      </c>
      <c r="B1710" s="2465" t="str">
        <f>CONCATENATE(LEFT(RIGHT(CONCATENATE("000",IFAData_TEA_1617!A1710),6),3),"-",(RIGHT(RIGHT(CONCATENATE("000",IFAData_TEA_1617!A1710),6),3)))</f>
        <v>166-901</v>
      </c>
      <c r="C1710" s="2266" t="s">
        <v>727</v>
      </c>
      <c r="D1710" s="2266">
        <v>3</v>
      </c>
      <c r="E1710" s="2266">
        <v>1660</v>
      </c>
      <c r="F1710" s="2266" t="s">
        <v>5972</v>
      </c>
      <c r="G1710" s="2266" t="s">
        <v>7249</v>
      </c>
      <c r="H1710" s="2266">
        <v>407753</v>
      </c>
      <c r="I1710" s="2266">
        <v>398701</v>
      </c>
      <c r="J1710" s="2266">
        <v>0.42632653301268925</v>
      </c>
      <c r="K1710" s="2266">
        <v>173835.92281552308</v>
      </c>
      <c r="L1710" s="2266">
        <v>173835.92281552308</v>
      </c>
      <c r="M1710" s="2266">
        <v>599</v>
      </c>
    </row>
    <row r="1711" spans="1:13" ht="15">
      <c r="A1711" s="2266" t="s">
        <v>4288</v>
      </c>
      <c r="B1711" s="2465" t="str">
        <f>CONCATENATE(LEFT(RIGHT(CONCATENATE("000",IFAData_TEA_1617!A1711),6),3),"-",(RIGHT(RIGHT(CONCATENATE("000",IFAData_TEA_1617!A1711),6),3)))</f>
        <v>166-901</v>
      </c>
      <c r="C1711" s="2266" t="s">
        <v>727</v>
      </c>
      <c r="D1711" s="2266">
        <v>3</v>
      </c>
      <c r="E1711" s="2266">
        <v>1660</v>
      </c>
      <c r="F1711" s="2266" t="s">
        <v>5972</v>
      </c>
      <c r="G1711" s="2266" t="s">
        <v>5972</v>
      </c>
      <c r="H1711" s="2266">
        <v>407753</v>
      </c>
      <c r="I1711" s="2266">
        <v>0</v>
      </c>
      <c r="J1711" s="2266">
        <v>0</v>
      </c>
      <c r="K1711" s="2266">
        <v>0</v>
      </c>
      <c r="L1711" s="2266">
        <v>0</v>
      </c>
      <c r="M1711" s="2266">
        <v>599</v>
      </c>
    </row>
    <row r="1712" spans="1:13" ht="15">
      <c r="A1712" s="2266" t="s">
        <v>4289</v>
      </c>
      <c r="B1712" s="2465" t="str">
        <f>CONCATENATE(LEFT(RIGHT(CONCATENATE("000",IFAData_TEA_1617!A1712),6),3),"-",(RIGHT(RIGHT(CONCATENATE("000",IFAData_TEA_1617!A1712),6),3)))</f>
        <v>166-907</v>
      </c>
      <c r="C1712" s="2266" t="s">
        <v>3033</v>
      </c>
      <c r="D1712" s="2266">
        <v>4</v>
      </c>
      <c r="E1712" s="2266">
        <v>1649</v>
      </c>
      <c r="F1712" s="2266" t="s">
        <v>5976</v>
      </c>
      <c r="G1712" s="2266" t="s">
        <v>5977</v>
      </c>
      <c r="H1712" s="2266">
        <v>100000</v>
      </c>
      <c r="I1712" s="2266">
        <v>87359</v>
      </c>
      <c r="J1712" s="2266">
        <v>1</v>
      </c>
      <c r="K1712" s="2266">
        <v>100000</v>
      </c>
      <c r="L1712" s="2266">
        <v>87359</v>
      </c>
      <c r="M1712" s="2266">
        <v>599</v>
      </c>
    </row>
    <row r="1713" spans="1:13" ht="15">
      <c r="A1713" s="2266" t="s">
        <v>4289</v>
      </c>
      <c r="B1713" s="2465" t="str">
        <f>CONCATENATE(LEFT(RIGHT(CONCATENATE("000",IFAData_TEA_1617!A1713),6),3),"-",(RIGHT(RIGHT(CONCATENATE("000",IFAData_TEA_1617!A1713),6),3)))</f>
        <v>166-907</v>
      </c>
      <c r="C1713" s="2266" t="s">
        <v>3033</v>
      </c>
      <c r="D1713" s="2266">
        <v>4</v>
      </c>
      <c r="E1713" s="2266">
        <v>1649</v>
      </c>
      <c r="F1713" s="2266" t="s">
        <v>5976</v>
      </c>
      <c r="G1713" s="2266" t="s">
        <v>5976</v>
      </c>
      <c r="H1713" s="2266">
        <v>100000</v>
      </c>
      <c r="I1713" s="2266">
        <v>0</v>
      </c>
      <c r="J1713" s="2266">
        <v>0</v>
      </c>
      <c r="K1713" s="2266">
        <v>0</v>
      </c>
      <c r="L1713" s="2266">
        <v>0</v>
      </c>
      <c r="M1713" s="2266">
        <v>599</v>
      </c>
    </row>
    <row r="1714" spans="1:13" ht="15">
      <c r="A1714" s="2266" t="s">
        <v>4290</v>
      </c>
      <c r="B1714" s="2465" t="str">
        <f>CONCATENATE(LEFT(RIGHT(CONCATENATE("000",IFAData_TEA_1617!A1714),6),3),"-",(RIGHT(RIGHT(CONCATENATE("000",IFAData_TEA_1617!A1714),6),3)))</f>
        <v>167-901</v>
      </c>
      <c r="C1714" s="2266" t="s">
        <v>972</v>
      </c>
      <c r="D1714" s="2266">
        <v>2</v>
      </c>
      <c r="E1714" s="2266">
        <v>1849</v>
      </c>
      <c r="F1714" s="2266" t="s">
        <v>5978</v>
      </c>
      <c r="G1714" s="2266" t="s">
        <v>5978</v>
      </c>
      <c r="H1714" s="2266">
        <v>149754</v>
      </c>
      <c r="I1714" s="2266">
        <v>0</v>
      </c>
      <c r="J1714" s="2266">
        <v>0</v>
      </c>
      <c r="K1714" s="2266">
        <v>0</v>
      </c>
      <c r="L1714" s="2266">
        <v>0</v>
      </c>
      <c r="M1714" s="2266">
        <v>599</v>
      </c>
    </row>
    <row r="1715" spans="1:13" ht="15">
      <c r="A1715" s="2266" t="s">
        <v>4290</v>
      </c>
      <c r="B1715" s="2465" t="str">
        <f>CONCATENATE(LEFT(RIGHT(CONCATENATE("000",IFAData_TEA_1617!A1715),6),3),"-",(RIGHT(RIGHT(CONCATENATE("000",IFAData_TEA_1617!A1715),6),3)))</f>
        <v>167-901</v>
      </c>
      <c r="C1715" s="2266" t="s">
        <v>972</v>
      </c>
      <c r="D1715" s="2266">
        <v>2</v>
      </c>
      <c r="E1715" s="2266">
        <v>1849</v>
      </c>
      <c r="F1715" s="2266" t="s">
        <v>5978</v>
      </c>
      <c r="G1715" s="2266" t="s">
        <v>5979</v>
      </c>
      <c r="H1715" s="2266">
        <v>149754</v>
      </c>
      <c r="I1715" s="2266">
        <v>145955</v>
      </c>
      <c r="J1715" s="2266">
        <v>1</v>
      </c>
      <c r="K1715" s="2266">
        <v>149754</v>
      </c>
      <c r="L1715" s="2266">
        <v>145955</v>
      </c>
      <c r="M1715" s="2266">
        <v>599</v>
      </c>
    </row>
    <row r="1716" spans="1:13" ht="15">
      <c r="A1716" s="2266" t="s">
        <v>4291</v>
      </c>
      <c r="B1716" s="2465" t="str">
        <f>CONCATENATE(LEFT(RIGHT(CONCATENATE("000",IFAData_TEA_1617!A1716),6),3),"-",(RIGHT(RIGHT(CONCATENATE("000",IFAData_TEA_1617!A1716),6),3)))</f>
        <v>167-904</v>
      </c>
      <c r="C1716" s="2266" t="s">
        <v>86</v>
      </c>
      <c r="D1716" s="2266">
        <v>6</v>
      </c>
      <c r="E1716" s="2266">
        <v>2212</v>
      </c>
      <c r="F1716" s="2266" t="s">
        <v>5980</v>
      </c>
      <c r="G1716" s="2266" t="s">
        <v>5980</v>
      </c>
      <c r="H1716" s="2266">
        <v>73691</v>
      </c>
      <c r="I1716" s="2266">
        <v>73010</v>
      </c>
      <c r="J1716" s="2266">
        <v>1</v>
      </c>
      <c r="K1716" s="2266">
        <v>73691</v>
      </c>
      <c r="L1716" s="2266">
        <v>73010</v>
      </c>
      <c r="M1716" s="2266">
        <v>599</v>
      </c>
    </row>
    <row r="1717" spans="1:13" ht="15">
      <c r="A1717" s="2266" t="s">
        <v>4292</v>
      </c>
      <c r="B1717" s="2465" t="str">
        <f>CONCATENATE(LEFT(RIGHT(CONCATENATE("000",IFAData_TEA_1617!A1717),6),3),"-",(RIGHT(RIGHT(CONCATENATE("000",IFAData_TEA_1617!A1717),6),3)))</f>
        <v>169-901</v>
      </c>
      <c r="C1717" s="2266" t="s">
        <v>1542</v>
      </c>
      <c r="D1717" s="2266">
        <v>9</v>
      </c>
      <c r="E1717" s="2266">
        <v>1630</v>
      </c>
      <c r="F1717" s="2266" t="s">
        <v>5981</v>
      </c>
      <c r="G1717" s="2266" t="s">
        <v>5982</v>
      </c>
      <c r="H1717" s="2266">
        <v>357946</v>
      </c>
      <c r="I1717" s="2266">
        <v>554968</v>
      </c>
      <c r="J1717" s="2266">
        <v>1</v>
      </c>
      <c r="K1717" s="2266">
        <v>357946</v>
      </c>
      <c r="L1717" s="2266">
        <v>357946</v>
      </c>
      <c r="M1717" s="2266">
        <v>599</v>
      </c>
    </row>
    <row r="1718" spans="1:13" ht="15">
      <c r="A1718" s="2266" t="s">
        <v>4292</v>
      </c>
      <c r="B1718" s="2465" t="str">
        <f>CONCATENATE(LEFT(RIGHT(CONCATENATE("000",IFAData_TEA_1617!A1718),6),3),"-",(RIGHT(RIGHT(CONCATENATE("000",IFAData_TEA_1617!A1718),6),3)))</f>
        <v>169-901</v>
      </c>
      <c r="C1718" s="2266" t="s">
        <v>1542</v>
      </c>
      <c r="D1718" s="2266">
        <v>9</v>
      </c>
      <c r="E1718" s="2266">
        <v>1630</v>
      </c>
      <c r="F1718" s="2266" t="s">
        <v>5981</v>
      </c>
      <c r="G1718" s="2266" t="s">
        <v>5981</v>
      </c>
      <c r="H1718" s="2266">
        <v>357946</v>
      </c>
      <c r="I1718" s="2266">
        <v>0</v>
      </c>
      <c r="J1718" s="2266">
        <v>0</v>
      </c>
      <c r="K1718" s="2266">
        <v>0</v>
      </c>
      <c r="L1718" s="2266">
        <v>0</v>
      </c>
      <c r="M1718" s="2266">
        <v>599</v>
      </c>
    </row>
    <row r="1719" spans="1:13" ht="15">
      <c r="A1719" s="2266" t="s">
        <v>4293</v>
      </c>
      <c r="B1719" s="2465" t="str">
        <f>CONCATENATE(LEFT(RIGHT(CONCATENATE("000",IFAData_TEA_1617!A1719),6),3),"-",(RIGHT(RIGHT(CONCATENATE("000",IFAData_TEA_1617!A1719),6),3)))</f>
        <v>170-902</v>
      </c>
      <c r="C1719" s="2266" t="s">
        <v>1746</v>
      </c>
      <c r="D1719" s="2266">
        <v>1</v>
      </c>
      <c r="E1719" s="2266">
        <v>1717</v>
      </c>
      <c r="F1719" s="2266" t="s">
        <v>5983</v>
      </c>
      <c r="G1719" s="2266" t="s">
        <v>5983</v>
      </c>
      <c r="H1719" s="2266">
        <v>398132</v>
      </c>
      <c r="I1719" s="2266">
        <v>0</v>
      </c>
      <c r="J1719" s="2266">
        <v>0</v>
      </c>
      <c r="K1719" s="2266">
        <v>0</v>
      </c>
      <c r="L1719" s="2266">
        <v>0</v>
      </c>
      <c r="M1719" s="2266">
        <v>599</v>
      </c>
    </row>
    <row r="1720" spans="1:13" ht="15">
      <c r="A1720" s="2266" t="s">
        <v>4293</v>
      </c>
      <c r="B1720" s="2465" t="str">
        <f>CONCATENATE(LEFT(RIGHT(CONCATENATE("000",IFAData_TEA_1617!A1720),6),3),"-",(RIGHT(RIGHT(CONCATENATE("000",IFAData_TEA_1617!A1720),6),3)))</f>
        <v>170-902</v>
      </c>
      <c r="C1720" s="2266" t="s">
        <v>1746</v>
      </c>
      <c r="D1720" s="2266">
        <v>1</v>
      </c>
      <c r="E1720" s="2266">
        <v>1717</v>
      </c>
      <c r="F1720" s="2266" t="s">
        <v>5983</v>
      </c>
      <c r="G1720" s="2266" t="s">
        <v>5985</v>
      </c>
      <c r="H1720" s="2266">
        <v>398132</v>
      </c>
      <c r="I1720" s="2266">
        <v>0</v>
      </c>
      <c r="J1720" s="2266">
        <v>0</v>
      </c>
      <c r="K1720" s="2266">
        <v>0</v>
      </c>
      <c r="L1720" s="2266">
        <v>0</v>
      </c>
      <c r="M1720" s="2266">
        <v>599</v>
      </c>
    </row>
    <row r="1721" spans="1:13" ht="15">
      <c r="A1721" s="2266" t="s">
        <v>4293</v>
      </c>
      <c r="B1721" s="2465" t="str">
        <f>CONCATENATE(LEFT(RIGHT(CONCATENATE("000",IFAData_TEA_1617!A1721),6),3),"-",(RIGHT(RIGHT(CONCATENATE("000",IFAData_TEA_1617!A1721),6),3)))</f>
        <v>170-902</v>
      </c>
      <c r="C1721" s="2266" t="s">
        <v>1746</v>
      </c>
      <c r="D1721" s="2266">
        <v>1</v>
      </c>
      <c r="E1721" s="2266">
        <v>1717</v>
      </c>
      <c r="F1721" s="2266" t="s">
        <v>5983</v>
      </c>
      <c r="G1721" s="2266" t="s">
        <v>7025</v>
      </c>
      <c r="H1721" s="2266">
        <v>398132</v>
      </c>
      <c r="I1721" s="2266">
        <v>183549</v>
      </c>
      <c r="J1721" s="2266">
        <v>0.47378977093798236</v>
      </c>
      <c r="K1721" s="2266">
        <v>188630.86908308079</v>
      </c>
      <c r="L1721" s="2266">
        <v>183549</v>
      </c>
      <c r="M1721" s="2266">
        <v>599</v>
      </c>
    </row>
    <row r="1722" spans="1:13" ht="15">
      <c r="A1722" s="2266" t="s">
        <v>4293</v>
      </c>
      <c r="B1722" s="2465" t="str">
        <f>CONCATENATE(LEFT(RIGHT(CONCATENATE("000",IFAData_TEA_1617!A1722),6),3),"-",(RIGHT(RIGHT(CONCATENATE("000",IFAData_TEA_1617!A1722),6),3)))</f>
        <v>170-902</v>
      </c>
      <c r="C1722" s="2266" t="s">
        <v>1746</v>
      </c>
      <c r="D1722" s="2266">
        <v>1</v>
      </c>
      <c r="E1722" s="2266">
        <v>1717</v>
      </c>
      <c r="F1722" s="2266" t="s">
        <v>5983</v>
      </c>
      <c r="G1722" s="2266" t="s">
        <v>5987</v>
      </c>
      <c r="H1722" s="2266">
        <v>398132</v>
      </c>
      <c r="I1722" s="2266">
        <v>59756</v>
      </c>
      <c r="J1722" s="2266">
        <v>0.15424644946128868</v>
      </c>
      <c r="K1722" s="2266">
        <v>61410.447416921786</v>
      </c>
      <c r="L1722" s="2266">
        <v>59756</v>
      </c>
      <c r="M1722" s="2266">
        <v>599</v>
      </c>
    </row>
    <row r="1723" spans="1:13" ht="15">
      <c r="A1723" s="2266" t="s">
        <v>4293</v>
      </c>
      <c r="B1723" s="2465" t="str">
        <f>CONCATENATE(LEFT(RIGHT(CONCATENATE("000",IFAData_TEA_1617!A1723),6),3),"-",(RIGHT(RIGHT(CONCATENATE("000",IFAData_TEA_1617!A1723),6),3)))</f>
        <v>170-902</v>
      </c>
      <c r="C1723" s="2266" t="s">
        <v>1746</v>
      </c>
      <c r="D1723" s="2266">
        <v>1</v>
      </c>
      <c r="E1723" s="2266">
        <v>1717</v>
      </c>
      <c r="F1723" s="2266" t="s">
        <v>5983</v>
      </c>
      <c r="G1723" s="2266" t="s">
        <v>5986</v>
      </c>
      <c r="H1723" s="2266">
        <v>398132</v>
      </c>
      <c r="I1723" s="2266">
        <v>78154</v>
      </c>
      <c r="J1723" s="2266">
        <v>0.20173667934931314</v>
      </c>
      <c r="K1723" s="2266">
        <v>80317.827622700745</v>
      </c>
      <c r="L1723" s="2266">
        <v>78154</v>
      </c>
      <c r="M1723" s="2266">
        <v>599</v>
      </c>
    </row>
    <row r="1724" spans="1:13" ht="15">
      <c r="A1724" s="2266" t="s">
        <v>4293</v>
      </c>
      <c r="B1724" s="2465" t="str">
        <f>CONCATENATE(LEFT(RIGHT(CONCATENATE("000",IFAData_TEA_1617!A1724),6),3),"-",(RIGHT(RIGHT(CONCATENATE("000",IFAData_TEA_1617!A1724),6),3)))</f>
        <v>170-902</v>
      </c>
      <c r="C1724" s="2266" t="s">
        <v>1746</v>
      </c>
      <c r="D1724" s="2266">
        <v>1</v>
      </c>
      <c r="E1724" s="2266">
        <v>1717</v>
      </c>
      <c r="F1724" s="2266" t="s">
        <v>5983</v>
      </c>
      <c r="G1724" s="2266" t="s">
        <v>5984</v>
      </c>
      <c r="H1724" s="2266">
        <v>398132</v>
      </c>
      <c r="I1724" s="2266">
        <v>0</v>
      </c>
      <c r="J1724" s="2266">
        <v>0</v>
      </c>
      <c r="K1724" s="2266">
        <v>0</v>
      </c>
      <c r="L1724" s="2266">
        <v>0</v>
      </c>
      <c r="M1724" s="2266">
        <v>599</v>
      </c>
    </row>
    <row r="1725" spans="1:13" ht="15">
      <c r="A1725" s="2266" t="s">
        <v>4293</v>
      </c>
      <c r="B1725" s="2465" t="str">
        <f>CONCATENATE(LEFT(RIGHT(CONCATENATE("000",IFAData_TEA_1617!A1725),6),3),"-",(RIGHT(RIGHT(CONCATENATE("000",IFAData_TEA_1617!A1725),6),3)))</f>
        <v>170-902</v>
      </c>
      <c r="C1725" s="2266" t="s">
        <v>1746</v>
      </c>
      <c r="D1725" s="2266">
        <v>1</v>
      </c>
      <c r="E1725" s="2266">
        <v>1717</v>
      </c>
      <c r="F1725" s="2266" t="s">
        <v>5983</v>
      </c>
      <c r="G1725" s="2266" t="s">
        <v>7250</v>
      </c>
      <c r="H1725" s="2266">
        <v>398132</v>
      </c>
      <c r="I1725" s="2266">
        <v>65947</v>
      </c>
      <c r="J1725" s="2266">
        <v>0.17022710025141582</v>
      </c>
      <c r="K1725" s="2266">
        <v>67772.855877296679</v>
      </c>
      <c r="L1725" s="2266">
        <v>65947</v>
      </c>
      <c r="M1725" s="2266">
        <v>599</v>
      </c>
    </row>
    <row r="1726" spans="1:13" ht="15">
      <c r="A1726" s="2266" t="s">
        <v>4294</v>
      </c>
      <c r="B1726" s="2465" t="str">
        <f>CONCATENATE(LEFT(RIGHT(CONCATENATE("000",IFAData_TEA_1617!A1726),6),3),"-",(RIGHT(RIGHT(CONCATENATE("000",IFAData_TEA_1617!A1726),6),3)))</f>
        <v>170-904</v>
      </c>
      <c r="C1726" s="2266" t="s">
        <v>1288</v>
      </c>
      <c r="D1726" s="2266">
        <v>9</v>
      </c>
      <c r="E1726" s="2266">
        <v>2456</v>
      </c>
      <c r="F1726" s="2266" t="s">
        <v>5993</v>
      </c>
      <c r="G1726" s="2266" t="s">
        <v>5993</v>
      </c>
      <c r="H1726" s="2266">
        <v>798894</v>
      </c>
      <c r="I1726" s="2266">
        <v>690020</v>
      </c>
      <c r="J1726" s="2266">
        <v>0.54625627384854103</v>
      </c>
      <c r="K1726" s="2266">
        <v>436400.85963995632</v>
      </c>
      <c r="L1726" s="2266">
        <v>436400.85963995632</v>
      </c>
      <c r="M1726" s="2266">
        <v>599</v>
      </c>
    </row>
    <row r="1727" spans="1:13" ht="15">
      <c r="A1727" s="2266" t="s">
        <v>4294</v>
      </c>
      <c r="B1727" s="2465" t="str">
        <f>CONCATENATE(LEFT(RIGHT(CONCATENATE("000",IFAData_TEA_1617!A1727),6),3),"-",(RIGHT(RIGHT(CONCATENATE("000",IFAData_TEA_1617!A1727),6),3)))</f>
        <v>170-904</v>
      </c>
      <c r="C1727" s="2266" t="s">
        <v>1288</v>
      </c>
      <c r="D1727" s="2266">
        <v>6</v>
      </c>
      <c r="E1727" s="2266">
        <v>2455</v>
      </c>
      <c r="F1727" s="2266" t="s">
        <v>5991</v>
      </c>
      <c r="G1727" s="2266" t="s">
        <v>7026</v>
      </c>
      <c r="H1727" s="2266">
        <v>700706</v>
      </c>
      <c r="I1727" s="2266">
        <v>18936</v>
      </c>
      <c r="J1727" s="2266">
        <v>4.2108540232824468E-2</v>
      </c>
      <c r="K1727" s="2266">
        <v>29505.706792381501</v>
      </c>
      <c r="L1727" s="2266">
        <v>18936</v>
      </c>
      <c r="M1727" s="2266">
        <v>599</v>
      </c>
    </row>
    <row r="1728" spans="1:13" ht="15">
      <c r="A1728" s="2266" t="s">
        <v>4294</v>
      </c>
      <c r="B1728" s="2465" t="str">
        <f>CONCATENATE(LEFT(RIGHT(CONCATENATE("000",IFAData_TEA_1617!A1728),6),3),"-",(RIGHT(RIGHT(CONCATENATE("000",IFAData_TEA_1617!A1728),6),3)))</f>
        <v>170-904</v>
      </c>
      <c r="C1728" s="2266" t="s">
        <v>1288</v>
      </c>
      <c r="D1728" s="2266">
        <v>9</v>
      </c>
      <c r="E1728" s="2266">
        <v>2456</v>
      </c>
      <c r="F1728" s="2266" t="s">
        <v>5993</v>
      </c>
      <c r="G1728" s="2266" t="s">
        <v>7026</v>
      </c>
      <c r="H1728" s="2266">
        <v>798894</v>
      </c>
      <c r="I1728" s="2266">
        <v>406570</v>
      </c>
      <c r="J1728" s="2266">
        <v>0.32186228407669532</v>
      </c>
      <c r="K1728" s="2266">
        <v>257133.84757516743</v>
      </c>
      <c r="L1728" s="2266">
        <v>257133.84757516743</v>
      </c>
      <c r="M1728" s="2266">
        <v>599</v>
      </c>
    </row>
    <row r="1729" spans="1:13" ht="15">
      <c r="A1729" s="2266" t="s">
        <v>4294</v>
      </c>
      <c r="B1729" s="2465" t="str">
        <f>CONCATENATE(LEFT(RIGHT(CONCATENATE("000",IFAData_TEA_1617!A1729),6),3),"-",(RIGHT(RIGHT(CONCATENATE("000",IFAData_TEA_1617!A1729),6),3)))</f>
        <v>170-904</v>
      </c>
      <c r="C1729" s="2266" t="s">
        <v>1288</v>
      </c>
      <c r="D1729" s="2266">
        <v>2</v>
      </c>
      <c r="E1729" s="2266">
        <v>2457</v>
      </c>
      <c r="F1729" s="2266" t="s">
        <v>5988</v>
      </c>
      <c r="G1729" s="2266" t="s">
        <v>7026</v>
      </c>
      <c r="H1729" s="2266">
        <v>890114</v>
      </c>
      <c r="I1729" s="2266">
        <v>130303</v>
      </c>
      <c r="J1729" s="2266">
        <v>5.984429818216222E-2</v>
      </c>
      <c r="K1729" s="2266">
        <v>53268.247632117142</v>
      </c>
      <c r="L1729" s="2266">
        <v>53268.247632117142</v>
      </c>
      <c r="M1729" s="2266">
        <v>599</v>
      </c>
    </row>
    <row r="1730" spans="1:13" ht="15">
      <c r="A1730" s="2266" t="s">
        <v>4294</v>
      </c>
      <c r="B1730" s="2465" t="str">
        <f>CONCATENATE(LEFT(RIGHT(CONCATENATE("000",IFAData_TEA_1617!A1730),6),3),"-",(RIGHT(RIGHT(CONCATENATE("000",IFAData_TEA_1617!A1730),6),3)))</f>
        <v>170-904</v>
      </c>
      <c r="C1730" s="2266" t="s">
        <v>1288</v>
      </c>
      <c r="D1730" s="2266">
        <v>9</v>
      </c>
      <c r="E1730" s="2266">
        <v>2456</v>
      </c>
      <c r="F1730" s="2266" t="s">
        <v>5993</v>
      </c>
      <c r="G1730" s="2266" t="s">
        <v>5994</v>
      </c>
      <c r="H1730" s="2266">
        <v>798894</v>
      </c>
      <c r="I1730" s="2266">
        <v>166590</v>
      </c>
      <c r="J1730" s="2266">
        <v>0.13188144207476368</v>
      </c>
      <c r="K1730" s="2266">
        <v>105359.29278487626</v>
      </c>
      <c r="L1730" s="2266">
        <v>105359.29278487626</v>
      </c>
      <c r="M1730" s="2266">
        <v>599</v>
      </c>
    </row>
    <row r="1731" spans="1:13" ht="15">
      <c r="A1731" s="2266" t="s">
        <v>4294</v>
      </c>
      <c r="B1731" s="2465" t="str">
        <f>CONCATENATE(LEFT(RIGHT(CONCATENATE("000",IFAData_TEA_1617!A1731),6),3),"-",(RIGHT(RIGHT(CONCATENATE("000",IFAData_TEA_1617!A1731),6),3)))</f>
        <v>170-904</v>
      </c>
      <c r="C1731" s="2266" t="s">
        <v>1288</v>
      </c>
      <c r="D1731" s="2266">
        <v>2</v>
      </c>
      <c r="E1731" s="2266">
        <v>2457</v>
      </c>
      <c r="F1731" s="2266" t="s">
        <v>5988</v>
      </c>
      <c r="G1731" s="2266" t="s">
        <v>5989</v>
      </c>
      <c r="H1731" s="2266">
        <v>890114</v>
      </c>
      <c r="I1731" s="2266">
        <v>0</v>
      </c>
      <c r="J1731" s="2266">
        <v>0</v>
      </c>
      <c r="K1731" s="2266">
        <v>0</v>
      </c>
      <c r="L1731" s="2266">
        <v>0</v>
      </c>
      <c r="M1731" s="2266">
        <v>599</v>
      </c>
    </row>
    <row r="1732" spans="1:13" ht="15">
      <c r="A1732" s="2266" t="s">
        <v>4294</v>
      </c>
      <c r="B1732" s="2465" t="str">
        <f>CONCATENATE(LEFT(RIGHT(CONCATENATE("000",IFAData_TEA_1617!A1732),6),3),"-",(RIGHT(RIGHT(CONCATENATE("000",IFAData_TEA_1617!A1732),6),3)))</f>
        <v>170-904</v>
      </c>
      <c r="C1732" s="2266" t="s">
        <v>1288</v>
      </c>
      <c r="D1732" s="2266">
        <v>6</v>
      </c>
      <c r="E1732" s="2266">
        <v>2455</v>
      </c>
      <c r="F1732" s="2266" t="s">
        <v>5991</v>
      </c>
      <c r="G1732" s="2266" t="s">
        <v>5992</v>
      </c>
      <c r="H1732" s="2266">
        <v>700706</v>
      </c>
      <c r="I1732" s="2266">
        <v>430759</v>
      </c>
      <c r="J1732" s="2266">
        <v>0.95789145976717549</v>
      </c>
      <c r="K1732" s="2266">
        <v>671200.29320761852</v>
      </c>
      <c r="L1732" s="2266">
        <v>430759</v>
      </c>
      <c r="M1732" s="2266">
        <v>599</v>
      </c>
    </row>
    <row r="1733" spans="1:13" ht="15">
      <c r="A1733" s="2266" t="s">
        <v>4294</v>
      </c>
      <c r="B1733" s="2465" t="str">
        <f>CONCATENATE(LEFT(RIGHT(CONCATENATE("000",IFAData_TEA_1617!A1733),6),3),"-",(RIGHT(RIGHT(CONCATENATE("000",IFAData_TEA_1617!A1733),6),3)))</f>
        <v>170-904</v>
      </c>
      <c r="C1733" s="2266" t="s">
        <v>1288</v>
      </c>
      <c r="D1733" s="2266">
        <v>6</v>
      </c>
      <c r="E1733" s="2266">
        <v>2455</v>
      </c>
      <c r="F1733" s="2266" t="s">
        <v>5991</v>
      </c>
      <c r="G1733" s="2266" t="s">
        <v>5991</v>
      </c>
      <c r="H1733" s="2266">
        <v>700706</v>
      </c>
      <c r="I1733" s="2266">
        <v>0</v>
      </c>
      <c r="J1733" s="2266">
        <v>0</v>
      </c>
      <c r="K1733" s="2266">
        <v>0</v>
      </c>
      <c r="L1733" s="2266">
        <v>0</v>
      </c>
      <c r="M1733" s="2266">
        <v>599</v>
      </c>
    </row>
    <row r="1734" spans="1:13" ht="15">
      <c r="A1734" s="2266" t="s">
        <v>4294</v>
      </c>
      <c r="B1734" s="2465" t="str">
        <f>CONCATENATE(LEFT(RIGHT(CONCATENATE("000",IFAData_TEA_1617!A1734),6),3),"-",(RIGHT(RIGHT(CONCATENATE("000",IFAData_TEA_1617!A1734),6),3)))</f>
        <v>170-904</v>
      </c>
      <c r="C1734" s="2266" t="s">
        <v>1288</v>
      </c>
      <c r="D1734" s="2266">
        <v>10</v>
      </c>
      <c r="E1734" s="2266">
        <v>2454</v>
      </c>
      <c r="F1734" s="2266" t="s">
        <v>5995</v>
      </c>
      <c r="G1734" s="2266" t="s">
        <v>5995</v>
      </c>
      <c r="H1734" s="2266">
        <v>258116</v>
      </c>
      <c r="I1734" s="2266">
        <v>226864</v>
      </c>
      <c r="J1734" s="2266">
        <v>0.53124143825592152</v>
      </c>
      <c r="K1734" s="2266">
        <v>137121.91507686544</v>
      </c>
      <c r="L1734" s="2266">
        <v>137121.91507686544</v>
      </c>
      <c r="M1734" s="2266">
        <v>599</v>
      </c>
    </row>
    <row r="1735" spans="1:13" ht="15">
      <c r="A1735" s="2266" t="s">
        <v>4294</v>
      </c>
      <c r="B1735" s="2465" t="str">
        <f>CONCATENATE(LEFT(RIGHT(CONCATENATE("000",IFAData_TEA_1617!A1735),6),3),"-",(RIGHT(RIGHT(CONCATENATE("000",IFAData_TEA_1617!A1735),6),3)))</f>
        <v>170-904</v>
      </c>
      <c r="C1735" s="2266" t="s">
        <v>1288</v>
      </c>
      <c r="D1735" s="2266">
        <v>2</v>
      </c>
      <c r="E1735" s="2266">
        <v>2457</v>
      </c>
      <c r="F1735" s="2266" t="s">
        <v>5988</v>
      </c>
      <c r="G1735" s="2266" t="s">
        <v>5990</v>
      </c>
      <c r="H1735" s="2266">
        <v>890114</v>
      </c>
      <c r="I1735" s="2266">
        <v>73363</v>
      </c>
      <c r="J1735" s="2266">
        <v>3.3693447177255829E-2</v>
      </c>
      <c r="K1735" s="2266">
        <v>29991.009040735895</v>
      </c>
      <c r="L1735" s="2266">
        <v>29991.009040735895</v>
      </c>
      <c r="M1735" s="2266">
        <v>599</v>
      </c>
    </row>
    <row r="1736" spans="1:13" ht="15">
      <c r="A1736" s="2266" t="s">
        <v>4294</v>
      </c>
      <c r="B1736" s="2465" t="str">
        <f>CONCATENATE(LEFT(RIGHT(CONCATENATE("000",IFAData_TEA_1617!A1736),6),3),"-",(RIGHT(RIGHT(CONCATENATE("000",IFAData_TEA_1617!A1736),6),3)))</f>
        <v>170-904</v>
      </c>
      <c r="C1736" s="2266" t="s">
        <v>1288</v>
      </c>
      <c r="D1736" s="2266">
        <v>10</v>
      </c>
      <c r="E1736" s="2266">
        <v>2454</v>
      </c>
      <c r="F1736" s="2266" t="s">
        <v>5995</v>
      </c>
      <c r="G1736" s="2266" t="s">
        <v>7251</v>
      </c>
      <c r="H1736" s="2266">
        <v>258116</v>
      </c>
      <c r="I1736" s="2266">
        <v>200181</v>
      </c>
      <c r="J1736" s="2266">
        <v>0.46875856174407848</v>
      </c>
      <c r="K1736" s="2266">
        <v>120994.08492313456</v>
      </c>
      <c r="L1736" s="2266">
        <v>120994.08492313456</v>
      </c>
      <c r="M1736" s="2266">
        <v>599</v>
      </c>
    </row>
    <row r="1737" spans="1:13" ht="15">
      <c r="A1737" s="2266" t="s">
        <v>4294</v>
      </c>
      <c r="B1737" s="2465" t="str">
        <f>CONCATENATE(LEFT(RIGHT(CONCATENATE("000",IFAData_TEA_1617!A1737),6),3),"-",(RIGHT(RIGHT(CONCATENATE("000",IFAData_TEA_1617!A1737),6),3)))</f>
        <v>170-904</v>
      </c>
      <c r="C1737" s="2266" t="s">
        <v>1288</v>
      </c>
      <c r="D1737" s="2266">
        <v>2</v>
      </c>
      <c r="E1737" s="2266">
        <v>2457</v>
      </c>
      <c r="F1737" s="2266" t="s">
        <v>5988</v>
      </c>
      <c r="G1737" s="2266" t="s">
        <v>5988</v>
      </c>
      <c r="H1737" s="2266">
        <v>890114</v>
      </c>
      <c r="I1737" s="2266">
        <v>1973701</v>
      </c>
      <c r="J1737" s="2266">
        <v>0.90646225464058194</v>
      </c>
      <c r="K1737" s="2266">
        <v>806854.74332714698</v>
      </c>
      <c r="L1737" s="2266">
        <v>806854.74332714698</v>
      </c>
      <c r="M1737" s="2266">
        <v>599</v>
      </c>
    </row>
    <row r="1738" spans="1:13" ht="15">
      <c r="A1738" s="2266" t="s">
        <v>4295</v>
      </c>
      <c r="B1738" s="2465" t="str">
        <f>CONCATENATE(LEFT(RIGHT(CONCATENATE("000",IFAData_TEA_1617!A1738),6),3),"-",(RIGHT(RIGHT(CONCATENATE("000",IFAData_TEA_1617!A1738),6),3)))</f>
        <v>170-906</v>
      </c>
      <c r="C1738" s="2266" t="s">
        <v>319</v>
      </c>
      <c r="D1738" s="2266">
        <v>9</v>
      </c>
      <c r="E1738" s="2266">
        <v>2051</v>
      </c>
      <c r="F1738" s="2266" t="s">
        <v>5997</v>
      </c>
      <c r="G1738" s="2266" t="s">
        <v>5997</v>
      </c>
      <c r="H1738" s="2266">
        <v>617287</v>
      </c>
      <c r="I1738" s="2266">
        <v>198633</v>
      </c>
      <c r="J1738" s="2266">
        <v>0.94033687439640967</v>
      </c>
      <c r="K1738" s="2266">
        <v>580457.72818553657</v>
      </c>
      <c r="L1738" s="2266">
        <v>198633</v>
      </c>
      <c r="M1738" s="2266">
        <v>599</v>
      </c>
    </row>
    <row r="1739" spans="1:13" ht="15">
      <c r="A1739" s="2266" t="s">
        <v>4295</v>
      </c>
      <c r="B1739" s="2465" t="str">
        <f>CONCATENATE(LEFT(RIGHT(CONCATENATE("000",IFAData_TEA_1617!A1739),6),3),"-",(RIGHT(RIGHT(CONCATENATE("000",IFAData_TEA_1617!A1739),6),3)))</f>
        <v>170-906</v>
      </c>
      <c r="C1739" s="2266" t="s">
        <v>319</v>
      </c>
      <c r="D1739" s="2266">
        <v>3</v>
      </c>
      <c r="E1739" s="2266">
        <v>2052</v>
      </c>
      <c r="F1739" s="2266" t="s">
        <v>5996</v>
      </c>
      <c r="G1739" s="2266" t="s">
        <v>5997</v>
      </c>
      <c r="H1739" s="2266">
        <v>1530990</v>
      </c>
      <c r="I1739" s="2266">
        <v>2629612</v>
      </c>
      <c r="J1739" s="2266">
        <v>0.71416229845362411</v>
      </c>
      <c r="K1739" s="2266">
        <v>1093375.3373095139</v>
      </c>
      <c r="L1739" s="2266">
        <v>1093375.3373095139</v>
      </c>
      <c r="M1739" s="2266">
        <v>599</v>
      </c>
    </row>
    <row r="1740" spans="1:13" ht="15">
      <c r="A1740" s="2266" t="s">
        <v>4295</v>
      </c>
      <c r="B1740" s="2465" t="str">
        <f>CONCATENATE(LEFT(RIGHT(CONCATENATE("000",IFAData_TEA_1617!A1740),6),3),"-",(RIGHT(RIGHT(CONCATENATE("000",IFAData_TEA_1617!A1740),6),3)))</f>
        <v>170-906</v>
      </c>
      <c r="C1740" s="2266" t="s">
        <v>319</v>
      </c>
      <c r="D1740" s="2266">
        <v>3</v>
      </c>
      <c r="E1740" s="2266">
        <v>2052</v>
      </c>
      <c r="F1740" s="2266" t="s">
        <v>5996</v>
      </c>
      <c r="G1740" s="2266" t="s">
        <v>5998</v>
      </c>
      <c r="H1740" s="2266">
        <v>1530990</v>
      </c>
      <c r="I1740" s="2266">
        <v>885631</v>
      </c>
      <c r="J1740" s="2266">
        <v>0.24052379991488537</v>
      </c>
      <c r="K1740" s="2266">
        <v>368239.53243169037</v>
      </c>
      <c r="L1740" s="2266">
        <v>368239.53243169037</v>
      </c>
      <c r="M1740" s="2266">
        <v>599</v>
      </c>
    </row>
    <row r="1741" spans="1:13" ht="15">
      <c r="A1741" s="2266" t="s">
        <v>4295</v>
      </c>
      <c r="B1741" s="2465" t="str">
        <f>CONCATENATE(LEFT(RIGHT(CONCATENATE("000",IFAData_TEA_1617!A1741),6),3),"-",(RIGHT(RIGHT(CONCATENATE("000",IFAData_TEA_1617!A1741),6),3)))</f>
        <v>170-906</v>
      </c>
      <c r="C1741" s="2266" t="s">
        <v>319</v>
      </c>
      <c r="D1741" s="2266">
        <v>9</v>
      </c>
      <c r="E1741" s="2266">
        <v>2051</v>
      </c>
      <c r="F1741" s="2266" t="s">
        <v>5997</v>
      </c>
      <c r="G1741" s="2266" t="s">
        <v>7252</v>
      </c>
      <c r="H1741" s="2266">
        <v>617287</v>
      </c>
      <c r="I1741" s="2266">
        <v>12603</v>
      </c>
      <c r="J1741" s="2266">
        <v>5.96631256035903E-2</v>
      </c>
      <c r="K1741" s="2266">
        <v>36829.271814463449</v>
      </c>
      <c r="L1741" s="2266">
        <v>12603</v>
      </c>
      <c r="M1741" s="2266">
        <v>599</v>
      </c>
    </row>
    <row r="1742" spans="1:13" ht="15">
      <c r="A1742" s="2266" t="s">
        <v>4295</v>
      </c>
      <c r="B1742" s="2465" t="str">
        <f>CONCATENATE(LEFT(RIGHT(CONCATENATE("000",IFAData_TEA_1617!A1742),6),3),"-",(RIGHT(RIGHT(CONCATENATE("000",IFAData_TEA_1617!A1742),6),3)))</f>
        <v>170-906</v>
      </c>
      <c r="C1742" s="2266" t="s">
        <v>319</v>
      </c>
      <c r="D1742" s="2266">
        <v>3</v>
      </c>
      <c r="E1742" s="2266">
        <v>2052</v>
      </c>
      <c r="F1742" s="2266" t="s">
        <v>5996</v>
      </c>
      <c r="G1742" s="2266" t="s">
        <v>7252</v>
      </c>
      <c r="H1742" s="2266">
        <v>1530990</v>
      </c>
      <c r="I1742" s="2266">
        <v>166850</v>
      </c>
      <c r="J1742" s="2266">
        <v>4.5313901631490565E-2</v>
      </c>
      <c r="K1742" s="2266">
        <v>69375.130258795747</v>
      </c>
      <c r="L1742" s="2266">
        <v>69375.130258795747</v>
      </c>
      <c r="M1742" s="2266">
        <v>599</v>
      </c>
    </row>
    <row r="1743" spans="1:13" ht="15">
      <c r="A1743" s="2266" t="s">
        <v>4295</v>
      </c>
      <c r="B1743" s="2465" t="str">
        <f>CONCATENATE(LEFT(RIGHT(CONCATENATE("000",IFAData_TEA_1617!A1743),6),3),"-",(RIGHT(RIGHT(CONCATENATE("000",IFAData_TEA_1617!A1743),6),3)))</f>
        <v>170-906</v>
      </c>
      <c r="C1743" s="2266" t="s">
        <v>319</v>
      </c>
      <c r="D1743" s="2266">
        <v>3</v>
      </c>
      <c r="E1743" s="2266">
        <v>2052</v>
      </c>
      <c r="F1743" s="2266" t="s">
        <v>5996</v>
      </c>
      <c r="G1743" s="2266" t="s">
        <v>5996</v>
      </c>
      <c r="H1743" s="2266">
        <v>1530990</v>
      </c>
      <c r="I1743" s="2266">
        <v>0</v>
      </c>
      <c r="J1743" s="2266">
        <v>0</v>
      </c>
      <c r="K1743" s="2266">
        <v>0</v>
      </c>
      <c r="L1743" s="2266">
        <v>0</v>
      </c>
      <c r="M1743" s="2266">
        <v>599</v>
      </c>
    </row>
    <row r="1744" spans="1:13" ht="15">
      <c r="A1744" s="2266" t="s">
        <v>4296</v>
      </c>
      <c r="B1744" s="2465" t="str">
        <f>CONCATENATE(LEFT(RIGHT(CONCATENATE("000",IFAData_TEA_1617!A1744),6),3),"-",(RIGHT(RIGHT(CONCATENATE("000",IFAData_TEA_1617!A1744),6),3)))</f>
        <v>170-907</v>
      </c>
      <c r="C1744" s="2266" t="s">
        <v>2209</v>
      </c>
      <c r="D1744" s="2266">
        <v>2</v>
      </c>
      <c r="E1744" s="2266">
        <v>2373</v>
      </c>
      <c r="F1744" s="2266" t="s">
        <v>5999</v>
      </c>
      <c r="G1744" s="2266" t="s">
        <v>5999</v>
      </c>
      <c r="H1744" s="2266">
        <v>605123</v>
      </c>
      <c r="I1744" s="2266">
        <v>0</v>
      </c>
      <c r="J1744" s="2266">
        <v>0</v>
      </c>
      <c r="K1744" s="2266"/>
      <c r="L1744" s="2266">
        <v>0</v>
      </c>
      <c r="M1744" s="2266">
        <v>199</v>
      </c>
    </row>
    <row r="1745" spans="1:13" ht="15">
      <c r="A1745" s="2266" t="s">
        <v>4296</v>
      </c>
      <c r="B1745" s="2465" t="str">
        <f>CONCATENATE(LEFT(RIGHT(CONCATENATE("000",IFAData_TEA_1617!A1745),6),3),"-",(RIGHT(RIGHT(CONCATENATE("000",IFAData_TEA_1617!A1745),6),3)))</f>
        <v>170-907</v>
      </c>
      <c r="C1745" s="2266" t="s">
        <v>2209</v>
      </c>
      <c r="D1745" s="2266">
        <v>6</v>
      </c>
      <c r="E1745" s="2266">
        <v>2374</v>
      </c>
      <c r="F1745" s="2266" t="s">
        <v>6000</v>
      </c>
      <c r="G1745" s="2266" t="s">
        <v>6001</v>
      </c>
      <c r="H1745" s="2266">
        <v>687496</v>
      </c>
      <c r="I1745" s="2266">
        <v>636786</v>
      </c>
      <c r="J1745" s="2266">
        <v>0.89060107103846531</v>
      </c>
      <c r="K1745" s="2266">
        <v>612284.67393466074</v>
      </c>
      <c r="L1745" s="2266">
        <v>612284.67393466074</v>
      </c>
      <c r="M1745" s="2266">
        <v>599</v>
      </c>
    </row>
    <row r="1746" spans="1:13" ht="15">
      <c r="A1746" s="2266" t="s">
        <v>4296</v>
      </c>
      <c r="B1746" s="2465" t="str">
        <f>CONCATENATE(LEFT(RIGHT(CONCATENATE("000",IFAData_TEA_1617!A1746),6),3),"-",(RIGHT(RIGHT(CONCATENATE("000",IFAData_TEA_1617!A1746),6),3)))</f>
        <v>170-907</v>
      </c>
      <c r="C1746" s="2266" t="s">
        <v>2209</v>
      </c>
      <c r="D1746" s="2266">
        <v>9</v>
      </c>
      <c r="E1746" s="2266">
        <v>2371</v>
      </c>
      <c r="F1746" s="2266" t="s">
        <v>6003</v>
      </c>
      <c r="G1746" s="2266" t="s">
        <v>6003</v>
      </c>
      <c r="H1746" s="2266">
        <v>207452</v>
      </c>
      <c r="I1746" s="2266">
        <v>181334</v>
      </c>
      <c r="J1746" s="2266">
        <v>1</v>
      </c>
      <c r="K1746" s="2266">
        <v>207452</v>
      </c>
      <c r="L1746" s="2266">
        <v>181334</v>
      </c>
      <c r="M1746" s="2266">
        <v>599</v>
      </c>
    </row>
    <row r="1747" spans="1:13" ht="15">
      <c r="A1747" s="2266" t="s">
        <v>4296</v>
      </c>
      <c r="B1747" s="2465" t="str">
        <f>CONCATENATE(LEFT(RIGHT(CONCATENATE("000",IFAData_TEA_1617!A1747),6),3),"-",(RIGHT(RIGHT(CONCATENATE("000",IFAData_TEA_1617!A1747),6),3)))</f>
        <v>170-907</v>
      </c>
      <c r="C1747" s="2266" t="s">
        <v>2209</v>
      </c>
      <c r="D1747" s="2266">
        <v>9</v>
      </c>
      <c r="E1747" s="2266">
        <v>2372</v>
      </c>
      <c r="F1747" s="2266" t="s">
        <v>6002</v>
      </c>
      <c r="G1747" s="2266" t="s">
        <v>6002</v>
      </c>
      <c r="H1747" s="2266">
        <v>565041</v>
      </c>
      <c r="I1747" s="2266">
        <v>209356</v>
      </c>
      <c r="J1747" s="2266">
        <v>1</v>
      </c>
      <c r="K1747" s="2266">
        <v>565041</v>
      </c>
      <c r="L1747" s="2266">
        <v>209356</v>
      </c>
      <c r="M1747" s="2266">
        <v>599</v>
      </c>
    </row>
    <row r="1748" spans="1:13" ht="15">
      <c r="A1748" s="2266" t="s">
        <v>4296</v>
      </c>
      <c r="B1748" s="2465" t="str">
        <f>CONCATENATE(LEFT(RIGHT(CONCATENATE("000",IFAData_TEA_1617!A1748),6),3),"-",(RIGHT(RIGHT(CONCATENATE("000",IFAData_TEA_1617!A1748),6),3)))</f>
        <v>170-907</v>
      </c>
      <c r="C1748" s="2266" t="s">
        <v>2209</v>
      </c>
      <c r="D1748" s="2266">
        <v>6</v>
      </c>
      <c r="E1748" s="2266">
        <v>2374</v>
      </c>
      <c r="F1748" s="2266" t="s">
        <v>6000</v>
      </c>
      <c r="G1748" s="2266" t="s">
        <v>6000</v>
      </c>
      <c r="H1748" s="2266">
        <v>687496</v>
      </c>
      <c r="I1748" s="2266">
        <v>78221</v>
      </c>
      <c r="J1748" s="2266">
        <v>0.10939892896153464</v>
      </c>
      <c r="K1748" s="2266">
        <v>75211.326065339221</v>
      </c>
      <c r="L1748" s="2266">
        <v>75211.326065339221</v>
      </c>
      <c r="M1748" s="2266">
        <v>599</v>
      </c>
    </row>
    <row r="1749" spans="1:13" ht="15">
      <c r="A1749" s="2266" t="s">
        <v>4297</v>
      </c>
      <c r="B1749" s="2465" t="str">
        <f>CONCATENATE(LEFT(RIGHT(CONCATENATE("000",IFAData_TEA_1617!A1749),6),3),"-",(RIGHT(RIGHT(CONCATENATE("000",IFAData_TEA_1617!A1749),6),3)))</f>
        <v>170-908</v>
      </c>
      <c r="C1749" s="2266" t="s">
        <v>1305</v>
      </c>
      <c r="D1749" s="2266">
        <v>9</v>
      </c>
      <c r="E1749" s="2266">
        <v>2137</v>
      </c>
      <c r="F1749" s="2266" t="s">
        <v>6009</v>
      </c>
      <c r="G1749" s="2266" t="s">
        <v>7027</v>
      </c>
      <c r="H1749" s="2266">
        <v>527036</v>
      </c>
      <c r="I1749" s="2266">
        <v>1144086</v>
      </c>
      <c r="J1749" s="2266">
        <v>0.60059624645063281</v>
      </c>
      <c r="K1749" s="2266">
        <v>316535.8433443557</v>
      </c>
      <c r="L1749" s="2266">
        <v>316535.8433443557</v>
      </c>
      <c r="M1749" s="2266">
        <v>599</v>
      </c>
    </row>
    <row r="1750" spans="1:13" ht="15">
      <c r="A1750" s="2266" t="s">
        <v>4297</v>
      </c>
      <c r="B1750" s="2465" t="str">
        <f>CONCATENATE(LEFT(RIGHT(CONCATENATE("000",IFAData_TEA_1617!A1750),6),3),"-",(RIGHT(RIGHT(CONCATENATE("000",IFAData_TEA_1617!A1750),6),3)))</f>
        <v>170-908</v>
      </c>
      <c r="C1750" s="2266" t="s">
        <v>1305</v>
      </c>
      <c r="D1750" s="2266">
        <v>9</v>
      </c>
      <c r="E1750" s="2266">
        <v>2138</v>
      </c>
      <c r="F1750" s="2266" t="s">
        <v>6008</v>
      </c>
      <c r="G1750" s="2266" t="s">
        <v>7027</v>
      </c>
      <c r="H1750" s="2266">
        <v>571354</v>
      </c>
      <c r="I1750" s="2266">
        <v>767568</v>
      </c>
      <c r="J1750" s="2266">
        <v>1</v>
      </c>
      <c r="K1750" s="2266">
        <v>571354</v>
      </c>
      <c r="L1750" s="2266">
        <v>571354</v>
      </c>
      <c r="M1750" s="2266">
        <v>599</v>
      </c>
    </row>
    <row r="1751" spans="1:13" ht="15">
      <c r="A1751" s="2266" t="s">
        <v>4297</v>
      </c>
      <c r="B1751" s="2465" t="str">
        <f>CONCATENATE(LEFT(RIGHT(CONCATENATE("000",IFAData_TEA_1617!A1751),6),3),"-",(RIGHT(RIGHT(CONCATENATE("000",IFAData_TEA_1617!A1751),6),3)))</f>
        <v>170-908</v>
      </c>
      <c r="C1751" s="2266" t="s">
        <v>1305</v>
      </c>
      <c r="D1751" s="2266">
        <v>9</v>
      </c>
      <c r="E1751" s="2266">
        <v>2138</v>
      </c>
      <c r="F1751" s="2266" t="s">
        <v>6008</v>
      </c>
      <c r="G1751" s="2266" t="s">
        <v>6008</v>
      </c>
      <c r="H1751" s="2266">
        <v>571354</v>
      </c>
      <c r="I1751" s="2266">
        <v>0</v>
      </c>
      <c r="J1751" s="2266">
        <v>0</v>
      </c>
      <c r="K1751" s="2266">
        <v>0</v>
      </c>
      <c r="L1751" s="2266">
        <v>0</v>
      </c>
      <c r="M1751" s="2266">
        <v>599</v>
      </c>
    </row>
    <row r="1752" spans="1:13" ht="15">
      <c r="A1752" s="2266" t="s">
        <v>4297</v>
      </c>
      <c r="B1752" s="2465" t="str">
        <f>CONCATENATE(LEFT(RIGHT(CONCATENATE("000",IFAData_TEA_1617!A1752),6),3),"-",(RIGHT(RIGHT(CONCATENATE("000",IFAData_TEA_1617!A1752),6),3)))</f>
        <v>170-908</v>
      </c>
      <c r="C1752" s="2266" t="s">
        <v>1305</v>
      </c>
      <c r="D1752" s="2266">
        <v>5</v>
      </c>
      <c r="E1752" s="2266">
        <v>2136</v>
      </c>
      <c r="F1752" s="2266" t="s">
        <v>6004</v>
      </c>
      <c r="G1752" s="2266" t="s">
        <v>6004</v>
      </c>
      <c r="H1752" s="2266">
        <v>342303</v>
      </c>
      <c r="I1752" s="2266">
        <v>0</v>
      </c>
      <c r="J1752" s="2266">
        <v>0</v>
      </c>
      <c r="K1752" s="2266">
        <v>0</v>
      </c>
      <c r="L1752" s="2266">
        <v>0</v>
      </c>
      <c r="M1752" s="2266">
        <v>599</v>
      </c>
    </row>
    <row r="1753" spans="1:13" ht="15">
      <c r="A1753" s="2266" t="s">
        <v>4297</v>
      </c>
      <c r="B1753" s="2465" t="str">
        <f>CONCATENATE(LEFT(RIGHT(CONCATENATE("000",IFAData_TEA_1617!A1753),6),3),"-",(RIGHT(RIGHT(CONCATENATE("000",IFAData_TEA_1617!A1753),6),3)))</f>
        <v>170-908</v>
      </c>
      <c r="C1753" s="2266" t="s">
        <v>1305</v>
      </c>
      <c r="D1753" s="2266">
        <v>5</v>
      </c>
      <c r="E1753" s="2266">
        <v>2136</v>
      </c>
      <c r="F1753" s="2266" t="s">
        <v>6004</v>
      </c>
      <c r="G1753" s="2266" t="s">
        <v>6005</v>
      </c>
      <c r="H1753" s="2266">
        <v>342303</v>
      </c>
      <c r="I1753" s="2266">
        <v>297025</v>
      </c>
      <c r="J1753" s="2266">
        <v>1</v>
      </c>
      <c r="K1753" s="2266">
        <v>342303</v>
      </c>
      <c r="L1753" s="2266">
        <v>297025</v>
      </c>
      <c r="M1753" s="2266">
        <v>599</v>
      </c>
    </row>
    <row r="1754" spans="1:13" ht="15">
      <c r="A1754" s="2266" t="s">
        <v>4297</v>
      </c>
      <c r="B1754" s="2465" t="str">
        <f>CONCATENATE(LEFT(RIGHT(CONCATENATE("000",IFAData_TEA_1617!A1754),6),3),"-",(RIGHT(RIGHT(CONCATENATE("000",IFAData_TEA_1617!A1754),6),3)))</f>
        <v>170-908</v>
      </c>
      <c r="C1754" s="2266" t="s">
        <v>1305</v>
      </c>
      <c r="D1754" s="2266">
        <v>6</v>
      </c>
      <c r="E1754" s="2266">
        <v>2139</v>
      </c>
      <c r="F1754" s="2266" t="s">
        <v>6006</v>
      </c>
      <c r="G1754" s="2266" t="s">
        <v>6007</v>
      </c>
      <c r="H1754" s="2266">
        <v>945263</v>
      </c>
      <c r="I1754" s="2266">
        <v>624000</v>
      </c>
      <c r="J1754" s="2266">
        <v>1</v>
      </c>
      <c r="K1754" s="2266">
        <v>945263</v>
      </c>
      <c r="L1754" s="2266">
        <v>624000</v>
      </c>
      <c r="M1754" s="2266">
        <v>599</v>
      </c>
    </row>
    <row r="1755" spans="1:13" ht="15">
      <c r="A1755" s="2266" t="s">
        <v>4297</v>
      </c>
      <c r="B1755" s="2465" t="str">
        <f>CONCATENATE(LEFT(RIGHT(CONCATENATE("000",IFAData_TEA_1617!A1755),6),3),"-",(RIGHT(RIGHT(CONCATENATE("000",IFAData_TEA_1617!A1755),6),3)))</f>
        <v>170-908</v>
      </c>
      <c r="C1755" s="2266" t="s">
        <v>1305</v>
      </c>
      <c r="D1755" s="2266">
        <v>10</v>
      </c>
      <c r="E1755" s="2266">
        <v>2141</v>
      </c>
      <c r="F1755" s="2266" t="s">
        <v>6011</v>
      </c>
      <c r="G1755" s="2266" t="s">
        <v>6011</v>
      </c>
      <c r="H1755" s="2266">
        <v>2229297</v>
      </c>
      <c r="I1755" s="2266">
        <v>1727494</v>
      </c>
      <c r="J1755" s="2266">
        <v>1</v>
      </c>
      <c r="K1755" s="2266">
        <v>2229297</v>
      </c>
      <c r="L1755" s="2266">
        <v>1727494</v>
      </c>
      <c r="M1755" s="2266">
        <v>599</v>
      </c>
    </row>
    <row r="1756" spans="1:13" ht="15">
      <c r="A1756" s="2266" t="s">
        <v>4297</v>
      </c>
      <c r="B1756" s="2465" t="str">
        <f>CONCATENATE(LEFT(RIGHT(CONCATENATE("000",IFAData_TEA_1617!A1756),6),3),"-",(RIGHT(RIGHT(CONCATENATE("000",IFAData_TEA_1617!A1756),6),3)))</f>
        <v>170-908</v>
      </c>
      <c r="C1756" s="2266" t="s">
        <v>1305</v>
      </c>
      <c r="D1756" s="2266">
        <v>9</v>
      </c>
      <c r="E1756" s="2266">
        <v>2140</v>
      </c>
      <c r="F1756" s="2266" t="s">
        <v>6010</v>
      </c>
      <c r="G1756" s="2266" t="s">
        <v>6010</v>
      </c>
      <c r="H1756" s="2266">
        <v>1003527</v>
      </c>
      <c r="I1756" s="2266">
        <v>839688</v>
      </c>
      <c r="J1756" s="2266">
        <v>0.63993878692637507</v>
      </c>
      <c r="K1756" s="2266">
        <v>642195.85102786438</v>
      </c>
      <c r="L1756" s="2266">
        <v>642195.85102786438</v>
      </c>
      <c r="M1756" s="2266">
        <v>599</v>
      </c>
    </row>
    <row r="1757" spans="1:13" ht="15">
      <c r="A1757" s="2266" t="s">
        <v>4297</v>
      </c>
      <c r="B1757" s="2465" t="str">
        <f>CONCATENATE(LEFT(RIGHT(CONCATENATE("000",IFAData_TEA_1617!A1757),6),3),"-",(RIGHT(RIGHT(CONCATENATE("000",IFAData_TEA_1617!A1757),6),3)))</f>
        <v>170-908</v>
      </c>
      <c r="C1757" s="2266" t="s">
        <v>1305</v>
      </c>
      <c r="D1757" s="2266">
        <v>9</v>
      </c>
      <c r="E1757" s="2266">
        <v>2140</v>
      </c>
      <c r="F1757" s="2266" t="s">
        <v>6010</v>
      </c>
      <c r="G1757" s="2266" t="s">
        <v>7253</v>
      </c>
      <c r="H1757" s="2266">
        <v>1003527</v>
      </c>
      <c r="I1757" s="2266">
        <v>472450</v>
      </c>
      <c r="J1757" s="2266">
        <v>0.36006121307362488</v>
      </c>
      <c r="K1757" s="2266">
        <v>361331.14897213556</v>
      </c>
      <c r="L1757" s="2266">
        <v>361331.14897213556</v>
      </c>
      <c r="M1757" s="2266">
        <v>599</v>
      </c>
    </row>
    <row r="1758" spans="1:13" ht="15">
      <c r="A1758" s="2266" t="s">
        <v>4297</v>
      </c>
      <c r="B1758" s="2465" t="str">
        <f>CONCATENATE(LEFT(RIGHT(CONCATENATE("000",IFAData_TEA_1617!A1758),6),3),"-",(RIGHT(RIGHT(CONCATENATE("000",IFAData_TEA_1617!A1758),6),3)))</f>
        <v>170-908</v>
      </c>
      <c r="C1758" s="2266" t="s">
        <v>1305</v>
      </c>
      <c r="D1758" s="2266">
        <v>9</v>
      </c>
      <c r="E1758" s="2266">
        <v>2137</v>
      </c>
      <c r="F1758" s="2266" t="s">
        <v>6009</v>
      </c>
      <c r="G1758" s="2266" t="s">
        <v>6009</v>
      </c>
      <c r="H1758" s="2266">
        <v>527036</v>
      </c>
      <c r="I1758" s="2266">
        <v>760831</v>
      </c>
      <c r="J1758" s="2266">
        <v>0.39940375354936725</v>
      </c>
      <c r="K1758" s="2266">
        <v>210500.15665564433</v>
      </c>
      <c r="L1758" s="2266">
        <v>210500.15665564433</v>
      </c>
      <c r="M1758" s="2266">
        <v>599</v>
      </c>
    </row>
    <row r="1759" spans="1:13" ht="15">
      <c r="A1759" s="2266" t="s">
        <v>4297</v>
      </c>
      <c r="B1759" s="2465" t="str">
        <f>CONCATENATE(LEFT(RIGHT(CONCATENATE("000",IFAData_TEA_1617!A1759),6),3),"-",(RIGHT(RIGHT(CONCATENATE("000",IFAData_TEA_1617!A1759),6),3)))</f>
        <v>170-908</v>
      </c>
      <c r="C1759" s="2266" t="s">
        <v>1305</v>
      </c>
      <c r="D1759" s="2266">
        <v>6</v>
      </c>
      <c r="E1759" s="2266">
        <v>2139</v>
      </c>
      <c r="F1759" s="2266" t="s">
        <v>6006</v>
      </c>
      <c r="G1759" s="2266" t="s">
        <v>6006</v>
      </c>
      <c r="H1759" s="2266">
        <v>945263</v>
      </c>
      <c r="I1759" s="2266">
        <v>0</v>
      </c>
      <c r="J1759" s="2266">
        <v>0</v>
      </c>
      <c r="K1759" s="2266">
        <v>0</v>
      </c>
      <c r="L1759" s="2266">
        <v>0</v>
      </c>
      <c r="M1759" s="2266">
        <v>599</v>
      </c>
    </row>
    <row r="1760" spans="1:13" ht="15">
      <c r="A1760" s="2266" t="s">
        <v>4298</v>
      </c>
      <c r="B1760" s="2465" t="str">
        <f>CONCATENATE(LEFT(RIGHT(CONCATENATE("000",IFAData_TEA_1617!A1760),6),3),"-",(RIGHT(RIGHT(CONCATENATE("000",IFAData_TEA_1617!A1760),6),3)))</f>
        <v>174-901</v>
      </c>
      <c r="C1760" s="2266" t="s">
        <v>1326</v>
      </c>
      <c r="D1760" s="2266">
        <v>5</v>
      </c>
      <c r="E1760" s="2266">
        <v>1691</v>
      </c>
      <c r="F1760" s="2266" t="s">
        <v>6012</v>
      </c>
      <c r="G1760" s="2266" t="s">
        <v>6012</v>
      </c>
      <c r="H1760" s="2266">
        <v>91693</v>
      </c>
      <c r="I1760" s="2266">
        <v>0</v>
      </c>
      <c r="J1760" s="2266">
        <v>0</v>
      </c>
      <c r="K1760" s="2266">
        <v>0</v>
      </c>
      <c r="L1760" s="2266">
        <v>0</v>
      </c>
      <c r="M1760" s="2266">
        <v>599</v>
      </c>
    </row>
    <row r="1761" spans="1:13" ht="15">
      <c r="A1761" s="2266" t="s">
        <v>4298</v>
      </c>
      <c r="B1761" s="2465" t="str">
        <f>CONCATENATE(LEFT(RIGHT(CONCATENATE("000",IFAData_TEA_1617!A1761),6),3),"-",(RIGHT(RIGHT(CONCATENATE("000",IFAData_TEA_1617!A1761),6),3)))</f>
        <v>174-901</v>
      </c>
      <c r="C1761" s="2266" t="s">
        <v>1326</v>
      </c>
      <c r="D1761" s="2266">
        <v>5</v>
      </c>
      <c r="E1761" s="2266">
        <v>1691</v>
      </c>
      <c r="F1761" s="2266" t="s">
        <v>6012</v>
      </c>
      <c r="G1761" s="2266" t="s">
        <v>6013</v>
      </c>
      <c r="H1761" s="2266">
        <v>91693</v>
      </c>
      <c r="I1761" s="2266">
        <v>76856</v>
      </c>
      <c r="J1761" s="2266">
        <v>1</v>
      </c>
      <c r="K1761" s="2266">
        <v>91693</v>
      </c>
      <c r="L1761" s="2266">
        <v>76856</v>
      </c>
      <c r="M1761" s="2266">
        <v>599</v>
      </c>
    </row>
    <row r="1762" spans="1:13" ht="15">
      <c r="A1762" s="2266" t="s">
        <v>4299</v>
      </c>
      <c r="B1762" s="2465" t="str">
        <f>CONCATENATE(LEFT(RIGHT(CONCATENATE("000",IFAData_TEA_1617!A1762),6),3),"-",(RIGHT(RIGHT(CONCATENATE("000",IFAData_TEA_1617!A1762),6),3)))</f>
        <v>174-903</v>
      </c>
      <c r="C1762" s="2266" t="s">
        <v>493</v>
      </c>
      <c r="D1762" s="2266">
        <v>5</v>
      </c>
      <c r="E1762" s="2266">
        <v>1844</v>
      </c>
      <c r="F1762" s="2266" t="s">
        <v>6014</v>
      </c>
      <c r="G1762" s="2266" t="s">
        <v>6014</v>
      </c>
      <c r="H1762" s="2266">
        <v>152414</v>
      </c>
      <c r="I1762" s="2266">
        <v>0</v>
      </c>
      <c r="J1762" s="2266">
        <v>0</v>
      </c>
      <c r="K1762" s="2266">
        <v>0</v>
      </c>
      <c r="L1762" s="2266">
        <v>0</v>
      </c>
      <c r="M1762" s="2266">
        <v>599</v>
      </c>
    </row>
    <row r="1763" spans="1:13" ht="15">
      <c r="A1763" s="2266" t="s">
        <v>4299</v>
      </c>
      <c r="B1763" s="2465" t="str">
        <f>CONCATENATE(LEFT(RIGHT(CONCATENATE("000",IFAData_TEA_1617!A1763),6),3),"-",(RIGHT(RIGHT(CONCATENATE("000",IFAData_TEA_1617!A1763),6),3)))</f>
        <v>174-903</v>
      </c>
      <c r="C1763" s="2266" t="s">
        <v>493</v>
      </c>
      <c r="D1763" s="2266">
        <v>5</v>
      </c>
      <c r="E1763" s="2266">
        <v>1844</v>
      </c>
      <c r="F1763" s="2266" t="s">
        <v>6014</v>
      </c>
      <c r="G1763" s="2266" t="s">
        <v>6015</v>
      </c>
      <c r="H1763" s="2266">
        <v>152414</v>
      </c>
      <c r="I1763" s="2266">
        <v>142612</v>
      </c>
      <c r="J1763" s="2266">
        <v>1</v>
      </c>
      <c r="K1763" s="2266">
        <v>152414</v>
      </c>
      <c r="L1763" s="2266">
        <v>142612</v>
      </c>
      <c r="M1763" s="2266">
        <v>599</v>
      </c>
    </row>
    <row r="1764" spans="1:13" ht="15">
      <c r="A1764" s="2266" t="s">
        <v>4300</v>
      </c>
      <c r="B1764" s="2465" t="str">
        <f>CONCATENATE(LEFT(RIGHT(CONCATENATE("000",IFAData_TEA_1617!A1764),6),3),"-",(RIGHT(RIGHT(CONCATENATE("000",IFAData_TEA_1617!A1764),6),3)))</f>
        <v>174-906</v>
      </c>
      <c r="C1764" s="2266" t="s">
        <v>1291</v>
      </c>
      <c r="D1764" s="2266">
        <v>4</v>
      </c>
      <c r="E1764" s="2266">
        <v>2460</v>
      </c>
      <c r="F1764" s="2266" t="s">
        <v>6016</v>
      </c>
      <c r="G1764" s="2266" t="s">
        <v>6016</v>
      </c>
      <c r="H1764" s="2266">
        <v>188922</v>
      </c>
      <c r="I1764" s="2266">
        <v>0</v>
      </c>
      <c r="J1764" s="2266">
        <v>0</v>
      </c>
      <c r="K1764" s="2266">
        <v>0</v>
      </c>
      <c r="L1764" s="2266">
        <v>0</v>
      </c>
      <c r="M1764" s="2266">
        <v>599</v>
      </c>
    </row>
    <row r="1765" spans="1:13" ht="15">
      <c r="A1765" s="2266" t="s">
        <v>4300</v>
      </c>
      <c r="B1765" s="2465" t="str">
        <f>CONCATENATE(LEFT(RIGHT(CONCATENATE("000",IFAData_TEA_1617!A1765),6),3),"-",(RIGHT(RIGHT(CONCATENATE("000",IFAData_TEA_1617!A1765),6),3)))</f>
        <v>174-906</v>
      </c>
      <c r="C1765" s="2266" t="s">
        <v>1291</v>
      </c>
      <c r="D1765" s="2266">
        <v>4</v>
      </c>
      <c r="E1765" s="2266">
        <v>2460</v>
      </c>
      <c r="F1765" s="2266" t="s">
        <v>6016</v>
      </c>
      <c r="G1765" s="2266" t="s">
        <v>6017</v>
      </c>
      <c r="H1765" s="2266">
        <v>188922</v>
      </c>
      <c r="I1765" s="2266">
        <v>178250</v>
      </c>
      <c r="J1765" s="2266">
        <v>1</v>
      </c>
      <c r="K1765" s="2266">
        <v>188922</v>
      </c>
      <c r="L1765" s="2266">
        <v>178250</v>
      </c>
      <c r="M1765" s="2266">
        <v>599</v>
      </c>
    </row>
    <row r="1766" spans="1:13" ht="15">
      <c r="A1766" s="2266" t="s">
        <v>4301</v>
      </c>
      <c r="B1766" s="2465" t="str">
        <f>CONCATENATE(LEFT(RIGHT(CONCATENATE("000",IFAData_TEA_1617!A1766),6),3),"-",(RIGHT(RIGHT(CONCATENATE("000",IFAData_TEA_1617!A1766),6),3)))</f>
        <v>174-908</v>
      </c>
      <c r="C1766" s="2266" t="s">
        <v>2576</v>
      </c>
      <c r="D1766" s="2266">
        <v>10</v>
      </c>
      <c r="E1766" s="2266">
        <v>1675</v>
      </c>
      <c r="F1766" s="2266" t="s">
        <v>6018</v>
      </c>
      <c r="G1766" s="2266" t="s">
        <v>6018</v>
      </c>
      <c r="H1766" s="2266">
        <v>176552</v>
      </c>
      <c r="I1766" s="2266">
        <v>762731</v>
      </c>
      <c r="J1766" s="2266">
        <v>1</v>
      </c>
      <c r="K1766" s="2266">
        <v>176552</v>
      </c>
      <c r="L1766" s="2266">
        <v>176552</v>
      </c>
      <c r="M1766" s="2266">
        <v>599</v>
      </c>
    </row>
    <row r="1767" spans="1:13" ht="15">
      <c r="A1767" s="2266" t="s">
        <v>6019</v>
      </c>
      <c r="B1767" s="2465" t="str">
        <f>CONCATENATE(LEFT(RIGHT(CONCATENATE("000",IFAData_TEA_1617!A1767),6),3),"-",(RIGHT(RIGHT(CONCATENATE("000",IFAData_TEA_1617!A1767),6),3)))</f>
        <v>174-909</v>
      </c>
      <c r="C1767" s="2266" t="s">
        <v>2577</v>
      </c>
      <c r="D1767" s="2266">
        <v>10</v>
      </c>
      <c r="E1767" s="2266">
        <v>2072</v>
      </c>
      <c r="F1767" s="2266" t="s">
        <v>6020</v>
      </c>
      <c r="G1767" s="2266" t="s">
        <v>6020</v>
      </c>
      <c r="H1767" s="2266">
        <v>100000</v>
      </c>
      <c r="I1767" s="2266">
        <v>187548</v>
      </c>
      <c r="J1767" s="2266">
        <v>1</v>
      </c>
      <c r="K1767" s="2266">
        <v>100000</v>
      </c>
      <c r="L1767" s="2266">
        <v>100000</v>
      </c>
      <c r="M1767" s="2266">
        <v>599</v>
      </c>
    </row>
    <row r="1768" spans="1:13" ht="15">
      <c r="A1768" s="2266" t="s">
        <v>4302</v>
      </c>
      <c r="B1768" s="2465" t="str">
        <f>CONCATENATE(LEFT(RIGHT(CONCATENATE("000",IFAData_TEA_1617!A1768),6),3),"-",(RIGHT(RIGHT(CONCATENATE("000",IFAData_TEA_1617!A1768),6),3)))</f>
        <v>175-903</v>
      </c>
      <c r="C1768" s="2266" t="s">
        <v>1257</v>
      </c>
      <c r="D1768" s="2266">
        <v>2</v>
      </c>
      <c r="E1768" s="2266">
        <v>1725</v>
      </c>
      <c r="F1768" s="2266" t="s">
        <v>6021</v>
      </c>
      <c r="G1768" s="2266" t="s">
        <v>6022</v>
      </c>
      <c r="H1768" s="2266">
        <v>1169000</v>
      </c>
      <c r="I1768" s="2266">
        <v>0</v>
      </c>
      <c r="J1768" s="2266">
        <v>0</v>
      </c>
      <c r="K1768" s="2266">
        <v>0</v>
      </c>
      <c r="L1768" s="2266">
        <v>0</v>
      </c>
      <c r="M1768" s="2266">
        <v>599</v>
      </c>
    </row>
    <row r="1769" spans="1:13" ht="15">
      <c r="A1769" s="2266" t="s">
        <v>4302</v>
      </c>
      <c r="B1769" s="2465" t="str">
        <f>CONCATENATE(LEFT(RIGHT(CONCATENATE("000",IFAData_TEA_1617!A1769),6),3),"-",(RIGHT(RIGHT(CONCATENATE("000",IFAData_TEA_1617!A1769),6),3)))</f>
        <v>175-903</v>
      </c>
      <c r="C1769" s="2266" t="s">
        <v>1257</v>
      </c>
      <c r="D1769" s="2266">
        <v>2</v>
      </c>
      <c r="E1769" s="2266">
        <v>1725</v>
      </c>
      <c r="F1769" s="2266" t="s">
        <v>6021</v>
      </c>
      <c r="G1769" s="2266" t="s">
        <v>6021</v>
      </c>
      <c r="H1769" s="2266">
        <v>1169000</v>
      </c>
      <c r="I1769" s="2266">
        <v>0</v>
      </c>
      <c r="J1769" s="2266">
        <v>0</v>
      </c>
      <c r="K1769" s="2266">
        <v>0</v>
      </c>
      <c r="L1769" s="2266">
        <v>0</v>
      </c>
      <c r="M1769" s="2266">
        <v>599</v>
      </c>
    </row>
    <row r="1770" spans="1:13" ht="15">
      <c r="A1770" s="2266" t="s">
        <v>4302</v>
      </c>
      <c r="B1770" s="2465" t="str">
        <f>CONCATENATE(LEFT(RIGHT(CONCATENATE("000",IFAData_TEA_1617!A1770),6),3),"-",(RIGHT(RIGHT(CONCATENATE("000",IFAData_TEA_1617!A1770),6),3)))</f>
        <v>175-903</v>
      </c>
      <c r="C1770" s="2266" t="s">
        <v>1257</v>
      </c>
      <c r="D1770" s="2266">
        <v>2</v>
      </c>
      <c r="E1770" s="2266">
        <v>1725</v>
      </c>
      <c r="F1770" s="2266" t="s">
        <v>6021</v>
      </c>
      <c r="G1770" s="2266" t="s">
        <v>7254</v>
      </c>
      <c r="H1770" s="2266">
        <v>1169000</v>
      </c>
      <c r="I1770" s="2266">
        <v>1317075</v>
      </c>
      <c r="J1770" s="2266">
        <v>1</v>
      </c>
      <c r="K1770" s="2266">
        <v>1169000</v>
      </c>
      <c r="L1770" s="2266">
        <v>1169000</v>
      </c>
      <c r="M1770" s="2266">
        <v>599</v>
      </c>
    </row>
    <row r="1771" spans="1:13" ht="15">
      <c r="A1771" s="2266" t="s">
        <v>4303</v>
      </c>
      <c r="B1771" s="2465" t="str">
        <f>CONCATENATE(LEFT(RIGHT(CONCATENATE("000",IFAData_TEA_1617!A1771),6),3),"-",(RIGHT(RIGHT(CONCATENATE("000",IFAData_TEA_1617!A1771),6),3)))</f>
        <v>175-904</v>
      </c>
      <c r="C1771" s="2266" t="s">
        <v>3060</v>
      </c>
      <c r="D1771" s="2266">
        <v>4</v>
      </c>
      <c r="E1771" s="2266">
        <v>1746</v>
      </c>
      <c r="F1771" s="2266" t="s">
        <v>6023</v>
      </c>
      <c r="G1771" s="2266" t="s">
        <v>6023</v>
      </c>
      <c r="H1771" s="2266">
        <v>123498</v>
      </c>
      <c r="I1771" s="2266">
        <v>0</v>
      </c>
      <c r="J1771" s="2266">
        <v>0</v>
      </c>
      <c r="K1771" s="2266"/>
      <c r="L1771" s="2266">
        <v>0</v>
      </c>
      <c r="M1771" s="2266">
        <v>199</v>
      </c>
    </row>
    <row r="1772" spans="1:13" ht="15">
      <c r="A1772" s="2266" t="s">
        <v>4303</v>
      </c>
      <c r="B1772" s="2465" t="str">
        <f>CONCATENATE(LEFT(RIGHT(CONCATENATE("000",IFAData_TEA_1617!A1772),6),3),"-",(RIGHT(RIGHT(CONCATENATE("000",IFAData_TEA_1617!A1772),6),3)))</f>
        <v>175-904</v>
      </c>
      <c r="C1772" s="2266" t="s">
        <v>3060</v>
      </c>
      <c r="D1772" s="2266">
        <v>9</v>
      </c>
      <c r="E1772" s="2266">
        <v>1745</v>
      </c>
      <c r="F1772" s="2266" t="s">
        <v>6025</v>
      </c>
      <c r="G1772" s="2266" t="s">
        <v>6025</v>
      </c>
      <c r="H1772" s="2266">
        <v>45525</v>
      </c>
      <c r="I1772" s="2266">
        <v>349594</v>
      </c>
      <c r="J1772" s="2266">
        <v>1</v>
      </c>
      <c r="K1772" s="2266">
        <v>45525</v>
      </c>
      <c r="L1772" s="2266">
        <v>45525</v>
      </c>
      <c r="M1772" s="2266">
        <v>599</v>
      </c>
    </row>
    <row r="1773" spans="1:13" ht="15">
      <c r="A1773" s="2266" t="s">
        <v>4304</v>
      </c>
      <c r="B1773" s="2465" t="str">
        <f>CONCATENATE(LEFT(RIGHT(CONCATENATE("000",IFAData_TEA_1617!A1773),6),3),"-",(RIGHT(RIGHT(CONCATENATE("000",IFAData_TEA_1617!A1773),6),3)))</f>
        <v>175-907</v>
      </c>
      <c r="C1773" s="2266" t="s">
        <v>2877</v>
      </c>
      <c r="D1773" s="2266">
        <v>5</v>
      </c>
      <c r="E1773" s="2266">
        <v>1956</v>
      </c>
      <c r="F1773" s="2266" t="s">
        <v>6026</v>
      </c>
      <c r="G1773" s="2266" t="s">
        <v>6026</v>
      </c>
      <c r="H1773" s="2266">
        <v>172700</v>
      </c>
      <c r="I1773" s="2266">
        <v>0</v>
      </c>
      <c r="J1773" s="2266">
        <v>0</v>
      </c>
      <c r="K1773" s="2266">
        <v>0</v>
      </c>
      <c r="L1773" s="2266">
        <v>0</v>
      </c>
      <c r="M1773" s="2266">
        <v>599</v>
      </c>
    </row>
    <row r="1774" spans="1:13" ht="15">
      <c r="A1774" s="2266" t="s">
        <v>4304</v>
      </c>
      <c r="B1774" s="2465" t="str">
        <f>CONCATENATE(LEFT(RIGHT(CONCATENATE("000",IFAData_TEA_1617!A1774),6),3),"-",(RIGHT(RIGHT(CONCATENATE("000",IFAData_TEA_1617!A1774),6),3)))</f>
        <v>175-907</v>
      </c>
      <c r="C1774" s="2266" t="s">
        <v>2877</v>
      </c>
      <c r="D1774" s="2266">
        <v>5</v>
      </c>
      <c r="E1774" s="2266">
        <v>1956</v>
      </c>
      <c r="F1774" s="2266" t="s">
        <v>6026</v>
      </c>
      <c r="G1774" s="2266" t="s">
        <v>6027</v>
      </c>
      <c r="H1774" s="2266">
        <v>172700</v>
      </c>
      <c r="I1774" s="2266">
        <v>153000</v>
      </c>
      <c r="J1774" s="2266">
        <v>1</v>
      </c>
      <c r="K1774" s="2266">
        <v>172700</v>
      </c>
      <c r="L1774" s="2266">
        <v>153000</v>
      </c>
      <c r="M1774" s="2266">
        <v>599</v>
      </c>
    </row>
    <row r="1775" spans="1:13" ht="15">
      <c r="A1775" s="2266" t="s">
        <v>4305</v>
      </c>
      <c r="B1775" s="2465" t="str">
        <f>CONCATENATE(LEFT(RIGHT(CONCATENATE("000",IFAData_TEA_1617!A1775),6),3),"-",(RIGHT(RIGHT(CONCATENATE("000",IFAData_TEA_1617!A1775),6),3)))</f>
        <v>175-911</v>
      </c>
      <c r="C1775" s="2266" t="s">
        <v>93</v>
      </c>
      <c r="D1775" s="2266">
        <v>2</v>
      </c>
      <c r="E1775" s="2266">
        <v>2234</v>
      </c>
      <c r="F1775" s="2266" t="s">
        <v>6028</v>
      </c>
      <c r="G1775" s="2266" t="s">
        <v>7028</v>
      </c>
      <c r="H1775" s="2266">
        <v>81645</v>
      </c>
      <c r="I1775" s="2266">
        <v>66150</v>
      </c>
      <c r="J1775" s="2266">
        <v>1</v>
      </c>
      <c r="K1775" s="2266">
        <v>81645</v>
      </c>
      <c r="L1775" s="2266">
        <v>66150</v>
      </c>
      <c r="M1775" s="2266">
        <v>599</v>
      </c>
    </row>
    <row r="1776" spans="1:13" ht="15">
      <c r="A1776" s="2266" t="s">
        <v>4305</v>
      </c>
      <c r="B1776" s="2465" t="str">
        <f>CONCATENATE(LEFT(RIGHT(CONCATENATE("000",IFAData_TEA_1617!A1776),6),3),"-",(RIGHT(RIGHT(CONCATENATE("000",IFAData_TEA_1617!A1776),6),3)))</f>
        <v>175-911</v>
      </c>
      <c r="C1776" s="2266" t="s">
        <v>93</v>
      </c>
      <c r="D1776" s="2266">
        <v>2</v>
      </c>
      <c r="E1776" s="2266">
        <v>2234</v>
      </c>
      <c r="F1776" s="2266" t="s">
        <v>6028</v>
      </c>
      <c r="G1776" s="2266" t="s">
        <v>6028</v>
      </c>
      <c r="H1776" s="2266">
        <v>81645</v>
      </c>
      <c r="I1776" s="2266">
        <v>0</v>
      </c>
      <c r="J1776" s="2266">
        <v>0</v>
      </c>
      <c r="K1776" s="2266">
        <v>0</v>
      </c>
      <c r="L1776" s="2266">
        <v>0</v>
      </c>
      <c r="M1776" s="2266">
        <v>599</v>
      </c>
    </row>
    <row r="1777" spans="1:13" ht="15">
      <c r="A1777" s="2266" t="s">
        <v>4305</v>
      </c>
      <c r="B1777" s="2465" t="str">
        <f>CONCATENATE(LEFT(RIGHT(CONCATENATE("000",IFAData_TEA_1617!A1777),6),3),"-",(RIGHT(RIGHT(CONCATENATE("000",IFAData_TEA_1617!A1777),6),3)))</f>
        <v>175-911</v>
      </c>
      <c r="C1777" s="2266" t="s">
        <v>93</v>
      </c>
      <c r="D1777" s="2266">
        <v>2</v>
      </c>
      <c r="E1777" s="2266">
        <v>2234</v>
      </c>
      <c r="F1777" s="2266" t="s">
        <v>6028</v>
      </c>
      <c r="G1777" s="2266" t="s">
        <v>6029</v>
      </c>
      <c r="H1777" s="2266">
        <v>81645</v>
      </c>
      <c r="I1777" s="2266">
        <v>0</v>
      </c>
      <c r="J1777" s="2266">
        <v>0</v>
      </c>
      <c r="K1777" s="2266">
        <v>0</v>
      </c>
      <c r="L1777" s="2266">
        <v>0</v>
      </c>
      <c r="M1777" s="2266">
        <v>599</v>
      </c>
    </row>
    <row r="1778" spans="1:13" ht="15">
      <c r="A1778" s="2266" t="s">
        <v>4305</v>
      </c>
      <c r="B1778" s="2465" t="str">
        <f>CONCATENATE(LEFT(RIGHT(CONCATENATE("000",IFAData_TEA_1617!A1778),6),3),"-",(RIGHT(RIGHT(CONCATENATE("000",IFAData_TEA_1617!A1778),6),3)))</f>
        <v>175-911</v>
      </c>
      <c r="C1778" s="2266" t="s">
        <v>93</v>
      </c>
      <c r="D1778" s="2266">
        <v>10</v>
      </c>
      <c r="E1778" s="2266">
        <v>2233</v>
      </c>
      <c r="F1778" s="2266" t="s">
        <v>6031</v>
      </c>
      <c r="G1778" s="2266" t="s">
        <v>6031</v>
      </c>
      <c r="H1778" s="2266">
        <v>62309</v>
      </c>
      <c r="I1778" s="2266">
        <v>1163</v>
      </c>
      <c r="J1778" s="2266">
        <v>1</v>
      </c>
      <c r="K1778" s="2266">
        <v>62309</v>
      </c>
      <c r="L1778" s="2266">
        <v>1163</v>
      </c>
      <c r="M1778" s="2266">
        <v>599</v>
      </c>
    </row>
    <row r="1779" spans="1:13" ht="15">
      <c r="A1779" s="2266" t="s">
        <v>4305</v>
      </c>
      <c r="B1779" s="2465" t="str">
        <f>CONCATENATE(LEFT(RIGHT(CONCATENATE("000",IFAData_TEA_1617!A1779),6),3),"-",(RIGHT(RIGHT(CONCATENATE("000",IFAData_TEA_1617!A1779),6),3)))</f>
        <v>175-911</v>
      </c>
      <c r="C1779" s="2266" t="s">
        <v>93</v>
      </c>
      <c r="D1779" s="2266">
        <v>9</v>
      </c>
      <c r="E1779" s="2266">
        <v>2235</v>
      </c>
      <c r="F1779" s="2266" t="s">
        <v>6030</v>
      </c>
      <c r="G1779" s="2266" t="s">
        <v>6031</v>
      </c>
      <c r="H1779" s="2266">
        <v>173838</v>
      </c>
      <c r="I1779" s="2266">
        <v>485234</v>
      </c>
      <c r="J1779" s="2266">
        <v>1</v>
      </c>
      <c r="K1779" s="2266">
        <v>173838</v>
      </c>
      <c r="L1779" s="2266">
        <v>173838</v>
      </c>
      <c r="M1779" s="2266">
        <v>599</v>
      </c>
    </row>
    <row r="1780" spans="1:13" ht="15">
      <c r="A1780" s="2266" t="s">
        <v>4305</v>
      </c>
      <c r="B1780" s="2465" t="str">
        <f>CONCATENATE(LEFT(RIGHT(CONCATENATE("000",IFAData_TEA_1617!A1780),6),3),"-",(RIGHT(RIGHT(CONCATENATE("000",IFAData_TEA_1617!A1780),6),3)))</f>
        <v>175-911</v>
      </c>
      <c r="C1780" s="2266" t="s">
        <v>93</v>
      </c>
      <c r="D1780" s="2266">
        <v>9</v>
      </c>
      <c r="E1780" s="2266">
        <v>2235</v>
      </c>
      <c r="F1780" s="2266" t="s">
        <v>6030</v>
      </c>
      <c r="G1780" s="2266" t="s">
        <v>6030</v>
      </c>
      <c r="H1780" s="2266">
        <v>173838</v>
      </c>
      <c r="I1780" s="2266">
        <v>0</v>
      </c>
      <c r="J1780" s="2266">
        <v>0</v>
      </c>
      <c r="K1780" s="2266">
        <v>0</v>
      </c>
      <c r="L1780" s="2266">
        <v>0</v>
      </c>
      <c r="M1780" s="2266">
        <v>599</v>
      </c>
    </row>
    <row r="1781" spans="1:13" ht="15">
      <c r="A1781" s="2266" t="s">
        <v>4306</v>
      </c>
      <c r="B1781" s="2465" t="str">
        <f>CONCATENATE(LEFT(RIGHT(CONCATENATE("000",IFAData_TEA_1617!A1781),6),3),"-",(RIGHT(RIGHT(CONCATENATE("000",IFAData_TEA_1617!A1781),6),3)))</f>
        <v>176-902</v>
      </c>
      <c r="C1781" s="2266" t="s">
        <v>2609</v>
      </c>
      <c r="D1781" s="2266">
        <v>3</v>
      </c>
      <c r="E1781" s="2266">
        <v>2146</v>
      </c>
      <c r="F1781" s="2266" t="s">
        <v>6032</v>
      </c>
      <c r="G1781" s="2266" t="s">
        <v>6033</v>
      </c>
      <c r="H1781" s="2266">
        <v>343700</v>
      </c>
      <c r="I1781" s="2266">
        <v>0</v>
      </c>
      <c r="J1781" s="2266">
        <v>0</v>
      </c>
      <c r="K1781" s="2266">
        <v>0</v>
      </c>
      <c r="L1781" s="2266">
        <v>0</v>
      </c>
      <c r="M1781" s="2266">
        <v>599</v>
      </c>
    </row>
    <row r="1782" spans="1:13" ht="15">
      <c r="A1782" s="2266" t="s">
        <v>4306</v>
      </c>
      <c r="B1782" s="2465" t="str">
        <f>CONCATENATE(LEFT(RIGHT(CONCATENATE("000",IFAData_TEA_1617!A1782),6),3),"-",(RIGHT(RIGHT(CONCATENATE("000",IFAData_TEA_1617!A1782),6),3)))</f>
        <v>176-902</v>
      </c>
      <c r="C1782" s="2266" t="s">
        <v>2609</v>
      </c>
      <c r="D1782" s="2266">
        <v>3</v>
      </c>
      <c r="E1782" s="2266">
        <v>2146</v>
      </c>
      <c r="F1782" s="2266" t="s">
        <v>6032</v>
      </c>
      <c r="G1782" s="2266" t="s">
        <v>6032</v>
      </c>
      <c r="H1782" s="2266">
        <v>343700</v>
      </c>
      <c r="I1782" s="2266">
        <v>0</v>
      </c>
      <c r="J1782" s="2266">
        <v>0</v>
      </c>
      <c r="K1782" s="2266">
        <v>0</v>
      </c>
      <c r="L1782" s="2266">
        <v>0</v>
      </c>
      <c r="M1782" s="2266">
        <v>599</v>
      </c>
    </row>
    <row r="1783" spans="1:13" ht="15">
      <c r="A1783" s="2266" t="s">
        <v>4306</v>
      </c>
      <c r="B1783" s="2465" t="str">
        <f>CONCATENATE(LEFT(RIGHT(CONCATENATE("000",IFAData_TEA_1617!A1783),6),3),"-",(RIGHT(RIGHT(CONCATENATE("000",IFAData_TEA_1617!A1783),6),3)))</f>
        <v>176-902</v>
      </c>
      <c r="C1783" s="2266" t="s">
        <v>2609</v>
      </c>
      <c r="D1783" s="2266">
        <v>3</v>
      </c>
      <c r="E1783" s="2266">
        <v>2146</v>
      </c>
      <c r="F1783" s="2266" t="s">
        <v>6032</v>
      </c>
      <c r="G1783" s="2266" t="s">
        <v>7255</v>
      </c>
      <c r="H1783" s="2266">
        <v>343700</v>
      </c>
      <c r="I1783" s="2266">
        <v>734725</v>
      </c>
      <c r="J1783" s="2266">
        <v>1</v>
      </c>
      <c r="K1783" s="2266">
        <v>343700</v>
      </c>
      <c r="L1783" s="2266">
        <v>343700</v>
      </c>
      <c r="M1783" s="2266">
        <v>599</v>
      </c>
    </row>
    <row r="1784" spans="1:13" ht="15">
      <c r="A1784" s="2266" t="s">
        <v>4307</v>
      </c>
      <c r="B1784" s="2465" t="str">
        <f>CONCATENATE(LEFT(RIGHT(CONCATENATE("000",IFAData_TEA_1617!A1784),6),3),"-",(RIGHT(RIGHT(CONCATENATE("000",IFAData_TEA_1617!A1784),6),3)))</f>
        <v>176-903</v>
      </c>
      <c r="C1784" s="2266" t="s">
        <v>3067</v>
      </c>
      <c r="D1784" s="2266">
        <v>6</v>
      </c>
      <c r="E1784" s="2266">
        <v>1759</v>
      </c>
      <c r="F1784" s="2266" t="s">
        <v>6034</v>
      </c>
      <c r="G1784" s="2266" t="s">
        <v>6035</v>
      </c>
      <c r="H1784" s="2266">
        <v>173765</v>
      </c>
      <c r="I1784" s="2266">
        <v>566614</v>
      </c>
      <c r="J1784" s="2266">
        <v>1</v>
      </c>
      <c r="K1784" s="2266">
        <v>173765</v>
      </c>
      <c r="L1784" s="2266">
        <v>173765</v>
      </c>
      <c r="M1784" s="2266">
        <v>599</v>
      </c>
    </row>
    <row r="1785" spans="1:13" ht="15">
      <c r="A1785" s="2266" t="s">
        <v>4307</v>
      </c>
      <c r="B1785" s="2465" t="str">
        <f>CONCATENATE(LEFT(RIGHT(CONCATENATE("000",IFAData_TEA_1617!A1785),6),3),"-",(RIGHT(RIGHT(CONCATENATE("000",IFAData_TEA_1617!A1785),6),3)))</f>
        <v>176-903</v>
      </c>
      <c r="C1785" s="2266" t="s">
        <v>3067</v>
      </c>
      <c r="D1785" s="2266">
        <v>6</v>
      </c>
      <c r="E1785" s="2266">
        <v>1759</v>
      </c>
      <c r="F1785" s="2266" t="s">
        <v>6034</v>
      </c>
      <c r="G1785" s="2266" t="s">
        <v>6034</v>
      </c>
      <c r="H1785" s="2266">
        <v>173765</v>
      </c>
      <c r="I1785" s="2266">
        <v>0</v>
      </c>
      <c r="J1785" s="2266">
        <v>0</v>
      </c>
      <c r="K1785" s="2266">
        <v>0</v>
      </c>
      <c r="L1785" s="2266">
        <v>0</v>
      </c>
      <c r="M1785" s="2266">
        <v>599</v>
      </c>
    </row>
    <row r="1786" spans="1:13" ht="15">
      <c r="A1786" s="2266" t="s">
        <v>4308</v>
      </c>
      <c r="B1786" s="2465" t="str">
        <f>CONCATENATE(LEFT(RIGHT(CONCATENATE("000",IFAData_TEA_1617!A1786),6),3),"-",(RIGHT(RIGHT(CONCATENATE("000",IFAData_TEA_1617!A1786),6),3)))</f>
        <v>177-901</v>
      </c>
      <c r="C1786" s="2266" t="s">
        <v>4583</v>
      </c>
      <c r="D1786" s="2266">
        <v>5</v>
      </c>
      <c r="E1786" s="2266">
        <v>2264</v>
      </c>
      <c r="F1786" s="2266" t="s">
        <v>6036</v>
      </c>
      <c r="G1786" s="2266" t="s">
        <v>6036</v>
      </c>
      <c r="H1786" s="2266">
        <v>100000</v>
      </c>
      <c r="I1786" s="2266">
        <v>0</v>
      </c>
      <c r="J1786" s="2266">
        <v>0</v>
      </c>
      <c r="K1786" s="2266">
        <v>0</v>
      </c>
      <c r="L1786" s="2266">
        <v>0</v>
      </c>
      <c r="M1786" s="2266">
        <v>599</v>
      </c>
    </row>
    <row r="1787" spans="1:13" ht="15">
      <c r="A1787" s="2266" t="s">
        <v>4308</v>
      </c>
      <c r="B1787" s="2465" t="str">
        <f>CONCATENATE(LEFT(RIGHT(CONCATENATE("000",IFAData_TEA_1617!A1787),6),3),"-",(RIGHT(RIGHT(CONCATENATE("000",IFAData_TEA_1617!A1787),6),3)))</f>
        <v>177-901</v>
      </c>
      <c r="C1787" s="2266" t="s">
        <v>4583</v>
      </c>
      <c r="D1787" s="2266">
        <v>5</v>
      </c>
      <c r="E1787" s="2266">
        <v>2264</v>
      </c>
      <c r="F1787" s="2266" t="s">
        <v>6036</v>
      </c>
      <c r="G1787" s="2266" t="s">
        <v>6037</v>
      </c>
      <c r="H1787" s="2266">
        <v>100000</v>
      </c>
      <c r="I1787" s="2266">
        <v>77650</v>
      </c>
      <c r="J1787" s="2266">
        <v>1</v>
      </c>
      <c r="K1787" s="2266">
        <v>100000</v>
      </c>
      <c r="L1787" s="2266">
        <v>77650</v>
      </c>
      <c r="M1787" s="2266">
        <v>599</v>
      </c>
    </row>
    <row r="1788" spans="1:13" ht="15">
      <c r="A1788" s="2266" t="s">
        <v>4309</v>
      </c>
      <c r="B1788" s="2465" t="str">
        <f>CONCATENATE(LEFT(RIGHT(CONCATENATE("000",IFAData_TEA_1617!A1788),6),3),"-",(RIGHT(RIGHT(CONCATENATE("000",IFAData_TEA_1617!A1788),6),3)))</f>
        <v>178-904</v>
      </c>
      <c r="C1788" s="2266" t="s">
        <v>1256</v>
      </c>
      <c r="D1788" s="2266">
        <v>9</v>
      </c>
      <c r="E1788" s="2266">
        <v>1721</v>
      </c>
      <c r="F1788" s="2266" t="s">
        <v>6041</v>
      </c>
      <c r="G1788" s="2266" t="s">
        <v>6041</v>
      </c>
      <c r="H1788" s="2266">
        <v>379812</v>
      </c>
      <c r="I1788" s="2266">
        <v>0</v>
      </c>
      <c r="J1788" s="2266">
        <v>0</v>
      </c>
      <c r="K1788" s="2266">
        <v>0</v>
      </c>
      <c r="L1788" s="2266">
        <v>0</v>
      </c>
      <c r="M1788" s="2266">
        <v>199</v>
      </c>
    </row>
    <row r="1789" spans="1:13" ht="15">
      <c r="A1789" s="2266" t="s">
        <v>4309</v>
      </c>
      <c r="B1789" s="2465" t="str">
        <f>CONCATENATE(LEFT(RIGHT(CONCATENATE("000",IFAData_TEA_1617!A1789),6),3),"-",(RIGHT(RIGHT(CONCATENATE("000",IFAData_TEA_1617!A1789),6),3)))</f>
        <v>178-904</v>
      </c>
      <c r="C1789" s="2266" t="s">
        <v>1256</v>
      </c>
      <c r="D1789" s="2266">
        <v>9</v>
      </c>
      <c r="E1789" s="2266">
        <v>1723</v>
      </c>
      <c r="F1789" s="2266" t="s">
        <v>6039</v>
      </c>
      <c r="G1789" s="2266" t="s">
        <v>6039</v>
      </c>
      <c r="H1789" s="2266">
        <v>822393</v>
      </c>
      <c r="I1789" s="2266">
        <v>0</v>
      </c>
      <c r="J1789" s="2266">
        <v>0</v>
      </c>
      <c r="K1789" s="2266">
        <v>0</v>
      </c>
      <c r="L1789" s="2266">
        <v>0</v>
      </c>
      <c r="M1789" s="2266">
        <v>199</v>
      </c>
    </row>
    <row r="1790" spans="1:13" ht="15">
      <c r="A1790" s="2266" t="s">
        <v>4309</v>
      </c>
      <c r="B1790" s="2465" t="str">
        <f>CONCATENATE(LEFT(RIGHT(CONCATENATE("000",IFAData_TEA_1617!A1790),6),3),"-",(RIGHT(RIGHT(CONCATENATE("000",IFAData_TEA_1617!A1790),6),3)))</f>
        <v>178-904</v>
      </c>
      <c r="C1790" s="2266" t="s">
        <v>1256</v>
      </c>
      <c r="D1790" s="2266">
        <v>9</v>
      </c>
      <c r="E1790" s="2266">
        <v>1721</v>
      </c>
      <c r="F1790" s="2266" t="s">
        <v>6041</v>
      </c>
      <c r="G1790" s="2266" t="s">
        <v>6040</v>
      </c>
      <c r="H1790" s="2266">
        <v>379812</v>
      </c>
      <c r="I1790" s="2266">
        <v>370238</v>
      </c>
      <c r="J1790" s="2266">
        <v>1</v>
      </c>
      <c r="K1790" s="2266">
        <v>379812</v>
      </c>
      <c r="L1790" s="2266">
        <v>370238</v>
      </c>
      <c r="M1790" s="2266">
        <v>599</v>
      </c>
    </row>
    <row r="1791" spans="1:13" ht="15">
      <c r="A1791" s="2266" t="s">
        <v>4309</v>
      </c>
      <c r="B1791" s="2465" t="str">
        <f>CONCATENATE(LEFT(RIGHT(CONCATENATE("000",IFAData_TEA_1617!A1791),6),3),"-",(RIGHT(RIGHT(CONCATENATE("000",IFAData_TEA_1617!A1791),6),3)))</f>
        <v>178-904</v>
      </c>
      <c r="C1791" s="2266" t="s">
        <v>1256</v>
      </c>
      <c r="D1791" s="2266">
        <v>9</v>
      </c>
      <c r="E1791" s="2266">
        <v>1723</v>
      </c>
      <c r="F1791" s="2266" t="s">
        <v>6039</v>
      </c>
      <c r="G1791" s="2266" t="s">
        <v>6040</v>
      </c>
      <c r="H1791" s="2266">
        <v>822393</v>
      </c>
      <c r="I1791" s="2266">
        <v>804027</v>
      </c>
      <c r="J1791" s="2266">
        <v>1</v>
      </c>
      <c r="K1791" s="2266">
        <v>822393</v>
      </c>
      <c r="L1791" s="2266">
        <v>804027</v>
      </c>
      <c r="M1791" s="2266">
        <v>599</v>
      </c>
    </row>
    <row r="1792" spans="1:13" ht="15">
      <c r="A1792" s="2266" t="s">
        <v>4309</v>
      </c>
      <c r="B1792" s="2465" t="str">
        <f>CONCATENATE(LEFT(RIGHT(CONCATENATE("000",IFAData_TEA_1617!A1792),6),3),"-",(RIGHT(RIGHT(CONCATENATE("000",IFAData_TEA_1617!A1792),6),3)))</f>
        <v>178-904</v>
      </c>
      <c r="C1792" s="2266" t="s">
        <v>1256</v>
      </c>
      <c r="D1792" s="2266">
        <v>1</v>
      </c>
      <c r="E1792" s="2266">
        <v>1724</v>
      </c>
      <c r="F1792" s="2266" t="s">
        <v>6038</v>
      </c>
      <c r="G1792" s="2266" t="s">
        <v>6038</v>
      </c>
      <c r="H1792" s="2266">
        <v>3668595</v>
      </c>
      <c r="I1792" s="2266">
        <v>0</v>
      </c>
      <c r="J1792" s="2266">
        <v>0</v>
      </c>
      <c r="K1792" s="2266"/>
      <c r="L1792" s="2266">
        <v>0</v>
      </c>
      <c r="M1792" s="2266">
        <v>599</v>
      </c>
    </row>
    <row r="1793" spans="1:13" ht="15">
      <c r="A1793" s="2266" t="s">
        <v>4310</v>
      </c>
      <c r="B1793" s="2465" t="str">
        <f>CONCATENATE(LEFT(RIGHT(CONCATENATE("000",IFAData_TEA_1617!A1793),6),3),"-",(RIGHT(RIGHT(CONCATENATE("000",IFAData_TEA_1617!A1793),6),3)))</f>
        <v>178-909</v>
      </c>
      <c r="C1793" s="2266" t="s">
        <v>3098</v>
      </c>
      <c r="D1793" s="2266">
        <v>9</v>
      </c>
      <c r="E1793" s="2266">
        <v>2255</v>
      </c>
      <c r="F1793" s="2266" t="s">
        <v>6047</v>
      </c>
      <c r="G1793" s="2266" t="s">
        <v>7029</v>
      </c>
      <c r="H1793" s="2266">
        <v>829400</v>
      </c>
      <c r="I1793" s="2266">
        <v>364775</v>
      </c>
      <c r="J1793" s="2266">
        <v>0.33947242295504565</v>
      </c>
      <c r="K1793" s="2266">
        <v>281558.42759891489</v>
      </c>
      <c r="L1793" s="2266">
        <v>281558.42759891489</v>
      </c>
      <c r="M1793" s="2266">
        <v>599</v>
      </c>
    </row>
    <row r="1794" spans="1:13" ht="15">
      <c r="A1794" s="2266" t="s">
        <v>4310</v>
      </c>
      <c r="B1794" s="2465" t="str">
        <f>CONCATENATE(LEFT(RIGHT(CONCATENATE("000",IFAData_TEA_1617!A1794),6),3),"-",(RIGHT(RIGHT(CONCATENATE("000",IFAData_TEA_1617!A1794),6),3)))</f>
        <v>178-909</v>
      </c>
      <c r="C1794" s="2266" t="s">
        <v>3098</v>
      </c>
      <c r="D1794" s="2266">
        <v>7</v>
      </c>
      <c r="E1794" s="2266">
        <v>2256</v>
      </c>
      <c r="F1794" s="2266" t="s">
        <v>6044</v>
      </c>
      <c r="G1794" s="2266" t="s">
        <v>6046</v>
      </c>
      <c r="H1794" s="2266">
        <v>883718</v>
      </c>
      <c r="I1794" s="2266">
        <v>465375</v>
      </c>
      <c r="J1794" s="2266">
        <v>0.54332090345086848</v>
      </c>
      <c r="K1794" s="2266">
        <v>480142.46215579461</v>
      </c>
      <c r="L1794" s="2266">
        <v>465375</v>
      </c>
      <c r="M1794" s="2266">
        <v>599</v>
      </c>
    </row>
    <row r="1795" spans="1:13" ht="15">
      <c r="A1795" s="2266" t="s">
        <v>4310</v>
      </c>
      <c r="B1795" s="2465" t="str">
        <f>CONCATENATE(LEFT(RIGHT(CONCATENATE("000",IFAData_TEA_1617!A1795),6),3),"-",(RIGHT(RIGHT(CONCATENATE("000",IFAData_TEA_1617!A1795),6),3)))</f>
        <v>178-909</v>
      </c>
      <c r="C1795" s="2266" t="s">
        <v>3098</v>
      </c>
      <c r="D1795" s="2266">
        <v>1</v>
      </c>
      <c r="E1795" s="2266">
        <v>2253</v>
      </c>
      <c r="F1795" s="2266" t="s">
        <v>6042</v>
      </c>
      <c r="G1795" s="2266" t="s">
        <v>6042</v>
      </c>
      <c r="H1795" s="2266">
        <v>485685</v>
      </c>
      <c r="I1795" s="2266">
        <v>0</v>
      </c>
      <c r="J1795" s="2266">
        <v>0</v>
      </c>
      <c r="K1795" s="2266">
        <v>0</v>
      </c>
      <c r="L1795" s="2266">
        <v>0</v>
      </c>
      <c r="M1795" s="2266">
        <v>599</v>
      </c>
    </row>
    <row r="1796" spans="1:13" ht="15">
      <c r="A1796" s="2266" t="s">
        <v>4310</v>
      </c>
      <c r="B1796" s="2465" t="str">
        <f>CONCATENATE(LEFT(RIGHT(CONCATENATE("000",IFAData_TEA_1617!A1796),6),3),"-",(RIGHT(RIGHT(CONCATENATE("000",IFAData_TEA_1617!A1796),6),3)))</f>
        <v>178-909</v>
      </c>
      <c r="C1796" s="2266" t="s">
        <v>3098</v>
      </c>
      <c r="D1796" s="2266">
        <v>7</v>
      </c>
      <c r="E1796" s="2266">
        <v>2256</v>
      </c>
      <c r="F1796" s="2266" t="s">
        <v>6044</v>
      </c>
      <c r="G1796" s="2266" t="s">
        <v>6045</v>
      </c>
      <c r="H1796" s="2266">
        <v>883718</v>
      </c>
      <c r="I1796" s="2266">
        <v>391163</v>
      </c>
      <c r="J1796" s="2266">
        <v>0.45667909654913152</v>
      </c>
      <c r="K1796" s="2266">
        <v>403575.53784420539</v>
      </c>
      <c r="L1796" s="2266">
        <v>391163</v>
      </c>
      <c r="M1796" s="2266">
        <v>599</v>
      </c>
    </row>
    <row r="1797" spans="1:13" ht="15">
      <c r="A1797" s="2266" t="s">
        <v>4310</v>
      </c>
      <c r="B1797" s="2465" t="str">
        <f>CONCATENATE(LEFT(RIGHT(CONCATENATE("000",IFAData_TEA_1617!A1797),6),3),"-",(RIGHT(RIGHT(CONCATENATE("000",IFAData_TEA_1617!A1797),6),3)))</f>
        <v>178-909</v>
      </c>
      <c r="C1797" s="2266" t="s">
        <v>3098</v>
      </c>
      <c r="D1797" s="2266">
        <v>10</v>
      </c>
      <c r="E1797" s="2266">
        <v>2254</v>
      </c>
      <c r="F1797" s="2266" t="s">
        <v>6048</v>
      </c>
      <c r="G1797" s="2266" t="s">
        <v>6048</v>
      </c>
      <c r="H1797" s="2266">
        <v>707375</v>
      </c>
      <c r="I1797" s="2266">
        <v>703350</v>
      </c>
      <c r="J1797" s="2266">
        <v>1</v>
      </c>
      <c r="K1797" s="2266">
        <v>707375</v>
      </c>
      <c r="L1797" s="2266">
        <v>703350</v>
      </c>
      <c r="M1797" s="2266">
        <v>599</v>
      </c>
    </row>
    <row r="1798" spans="1:13" ht="15">
      <c r="A1798" s="2266" t="s">
        <v>4310</v>
      </c>
      <c r="B1798" s="2465" t="str">
        <f>CONCATENATE(LEFT(RIGHT(CONCATENATE("000",IFAData_TEA_1617!A1798),6),3),"-",(RIGHT(RIGHT(CONCATENATE("000",IFAData_TEA_1617!A1798),6),3)))</f>
        <v>178-909</v>
      </c>
      <c r="C1798" s="2266" t="s">
        <v>3098</v>
      </c>
      <c r="D1798" s="2266">
        <v>1</v>
      </c>
      <c r="E1798" s="2266">
        <v>2253</v>
      </c>
      <c r="F1798" s="2266" t="s">
        <v>6042</v>
      </c>
      <c r="G1798" s="2266" t="s">
        <v>6043</v>
      </c>
      <c r="H1798" s="2266">
        <v>485685</v>
      </c>
      <c r="I1798" s="2266">
        <v>350685</v>
      </c>
      <c r="J1798" s="2266">
        <v>1</v>
      </c>
      <c r="K1798" s="2266">
        <v>485685</v>
      </c>
      <c r="L1798" s="2266">
        <v>350685</v>
      </c>
      <c r="M1798" s="2266">
        <v>599</v>
      </c>
    </row>
    <row r="1799" spans="1:13" ht="15">
      <c r="A1799" s="2266" t="s">
        <v>4310</v>
      </c>
      <c r="B1799" s="2465" t="str">
        <f>CONCATENATE(LEFT(RIGHT(CONCATENATE("000",IFAData_TEA_1617!A1799),6),3),"-",(RIGHT(RIGHT(CONCATENATE("000",IFAData_TEA_1617!A1799),6),3)))</f>
        <v>178-909</v>
      </c>
      <c r="C1799" s="2266" t="s">
        <v>3098</v>
      </c>
      <c r="D1799" s="2266">
        <v>7</v>
      </c>
      <c r="E1799" s="2266">
        <v>2256</v>
      </c>
      <c r="F1799" s="2266" t="s">
        <v>6044</v>
      </c>
      <c r="G1799" s="2266" t="s">
        <v>6044</v>
      </c>
      <c r="H1799" s="2266">
        <v>883718</v>
      </c>
      <c r="I1799" s="2266">
        <v>0</v>
      </c>
      <c r="J1799" s="2266">
        <v>0</v>
      </c>
      <c r="K1799" s="2266">
        <v>0</v>
      </c>
      <c r="L1799" s="2266">
        <v>0</v>
      </c>
      <c r="M1799" s="2266">
        <v>599</v>
      </c>
    </row>
    <row r="1800" spans="1:13" ht="15">
      <c r="A1800" s="2266" t="s">
        <v>4310</v>
      </c>
      <c r="B1800" s="2465" t="str">
        <f>CONCATENATE(LEFT(RIGHT(CONCATENATE("000",IFAData_TEA_1617!A1800),6),3),"-",(RIGHT(RIGHT(CONCATENATE("000",IFAData_TEA_1617!A1800),6),3)))</f>
        <v>178-909</v>
      </c>
      <c r="C1800" s="2266" t="s">
        <v>3098</v>
      </c>
      <c r="D1800" s="2266">
        <v>9</v>
      </c>
      <c r="E1800" s="2266">
        <v>2255</v>
      </c>
      <c r="F1800" s="2266" t="s">
        <v>6047</v>
      </c>
      <c r="G1800" s="2266" t="s">
        <v>6047</v>
      </c>
      <c r="H1800" s="2266">
        <v>829400</v>
      </c>
      <c r="I1800" s="2266">
        <v>449560</v>
      </c>
      <c r="J1800" s="2266">
        <v>0.41837632092021199</v>
      </c>
      <c r="K1800" s="2266">
        <v>347001.3205712238</v>
      </c>
      <c r="L1800" s="2266">
        <v>347001.3205712238</v>
      </c>
      <c r="M1800" s="2266">
        <v>599</v>
      </c>
    </row>
    <row r="1801" spans="1:13" ht="15">
      <c r="A1801" s="2266" t="s">
        <v>4310</v>
      </c>
      <c r="B1801" s="2465" t="str">
        <f>CONCATENATE(LEFT(RIGHT(CONCATENATE("000",IFAData_TEA_1617!A1801),6),3),"-",(RIGHT(RIGHT(CONCATENATE("000",IFAData_TEA_1617!A1801),6),3)))</f>
        <v>178-909</v>
      </c>
      <c r="C1801" s="2266" t="s">
        <v>3098</v>
      </c>
      <c r="D1801" s="2266">
        <v>9</v>
      </c>
      <c r="E1801" s="2266">
        <v>2255</v>
      </c>
      <c r="F1801" s="2266" t="s">
        <v>6047</v>
      </c>
      <c r="G1801" s="2266" t="s">
        <v>7256</v>
      </c>
      <c r="H1801" s="2266">
        <v>829400</v>
      </c>
      <c r="I1801" s="2266">
        <v>260200</v>
      </c>
      <c r="J1801" s="2266">
        <v>0.24215125612474234</v>
      </c>
      <c r="K1801" s="2266">
        <v>200840.25182986128</v>
      </c>
      <c r="L1801" s="2266">
        <v>200840.25182986128</v>
      </c>
      <c r="M1801" s="2266">
        <v>599</v>
      </c>
    </row>
    <row r="1802" spans="1:13" ht="15">
      <c r="A1802" s="2266" t="s">
        <v>4311</v>
      </c>
      <c r="B1802" s="2465" t="str">
        <f>CONCATENATE(LEFT(RIGHT(CONCATENATE("000",IFAData_TEA_1617!A1802),6),3),"-",(RIGHT(RIGHT(CONCATENATE("000",IFAData_TEA_1617!A1802),6),3)))</f>
        <v>178-913</v>
      </c>
      <c r="C1802" s="2266" t="s">
        <v>353</v>
      </c>
      <c r="D1802" s="2266">
        <v>9</v>
      </c>
      <c r="E1802" s="2266">
        <v>1592</v>
      </c>
      <c r="F1802" s="2266" t="s">
        <v>6049</v>
      </c>
      <c r="G1802" s="2266" t="s">
        <v>6049</v>
      </c>
      <c r="H1802" s="2266">
        <v>156610</v>
      </c>
      <c r="I1802" s="2266">
        <v>101236</v>
      </c>
      <c r="J1802" s="2266">
        <v>0.68747368564016897</v>
      </c>
      <c r="K1802" s="2266">
        <v>107665.25390810687</v>
      </c>
      <c r="L1802" s="2266">
        <v>101236</v>
      </c>
      <c r="M1802" s="2266">
        <v>599</v>
      </c>
    </row>
    <row r="1803" spans="1:13" ht="15">
      <c r="A1803" s="2266" t="s">
        <v>4311</v>
      </c>
      <c r="B1803" s="2465" t="str">
        <f>CONCATENATE(LEFT(RIGHT(CONCATENATE("000",IFAData_TEA_1617!A1803),6),3),"-",(RIGHT(RIGHT(CONCATENATE("000",IFAData_TEA_1617!A1803),6),3)))</f>
        <v>178-913</v>
      </c>
      <c r="C1803" s="2266" t="s">
        <v>353</v>
      </c>
      <c r="D1803" s="2266">
        <v>9</v>
      </c>
      <c r="E1803" s="2266">
        <v>1592</v>
      </c>
      <c r="F1803" s="2266" t="s">
        <v>6049</v>
      </c>
      <c r="G1803" s="2266" t="s">
        <v>7030</v>
      </c>
      <c r="H1803" s="2266">
        <v>156610</v>
      </c>
      <c r="I1803" s="2266">
        <v>46022</v>
      </c>
      <c r="J1803" s="2266">
        <v>0.31252631435983103</v>
      </c>
      <c r="K1803" s="2266">
        <v>48944.746091893139</v>
      </c>
      <c r="L1803" s="2266">
        <v>46022</v>
      </c>
      <c r="M1803" s="2266">
        <v>599</v>
      </c>
    </row>
    <row r="1804" spans="1:13" ht="15">
      <c r="A1804" s="2266" t="s">
        <v>4312</v>
      </c>
      <c r="B1804" s="2465" t="str">
        <f>CONCATENATE(LEFT(RIGHT(CONCATENATE("000",IFAData_TEA_1617!A1804),6),3),"-",(RIGHT(RIGHT(CONCATENATE("000",IFAData_TEA_1617!A1804),6),3)))</f>
        <v>178-915</v>
      </c>
      <c r="C1804" s="2266" t="s">
        <v>355</v>
      </c>
      <c r="D1804" s="2266">
        <v>10</v>
      </c>
      <c r="E1804" s="2266">
        <v>2445</v>
      </c>
      <c r="F1804" s="2266" t="s">
        <v>6050</v>
      </c>
      <c r="G1804" s="2266" t="s">
        <v>6050</v>
      </c>
      <c r="H1804" s="2266">
        <v>243416</v>
      </c>
      <c r="I1804" s="2266">
        <v>354200</v>
      </c>
      <c r="J1804" s="2266">
        <v>0.68859597962595742</v>
      </c>
      <c r="K1804" s="2266">
        <v>167615.27897663205</v>
      </c>
      <c r="L1804" s="2266">
        <v>167615.27897663205</v>
      </c>
      <c r="M1804" s="2266">
        <v>599</v>
      </c>
    </row>
    <row r="1805" spans="1:13" ht="15">
      <c r="A1805" s="2266" t="s">
        <v>4312</v>
      </c>
      <c r="B1805" s="2465" t="str">
        <f>CONCATENATE(LEFT(RIGHT(CONCATENATE("000",IFAData_TEA_1617!A1805),6),3),"-",(RIGHT(RIGHT(CONCATENATE("000",IFAData_TEA_1617!A1805),6),3)))</f>
        <v>178-915</v>
      </c>
      <c r="C1805" s="2266" t="s">
        <v>355</v>
      </c>
      <c r="D1805" s="2266">
        <v>10</v>
      </c>
      <c r="E1805" s="2266">
        <v>2445</v>
      </c>
      <c r="F1805" s="2266" t="s">
        <v>6050</v>
      </c>
      <c r="G1805" s="2266" t="s">
        <v>7612</v>
      </c>
      <c r="H1805" s="2266">
        <v>243416</v>
      </c>
      <c r="I1805" s="2266">
        <v>160180</v>
      </c>
      <c r="J1805" s="2266">
        <v>0.31140402037404252</v>
      </c>
      <c r="K1805" s="2266">
        <v>75800.721023367936</v>
      </c>
      <c r="L1805" s="2266">
        <v>75800.721023367936</v>
      </c>
      <c r="M1805" s="2266">
        <v>599</v>
      </c>
    </row>
    <row r="1806" spans="1:13" ht="15">
      <c r="A1806" s="2266" t="s">
        <v>4313</v>
      </c>
      <c r="B1806" s="2465" t="str">
        <f>CONCATENATE(LEFT(RIGHT(CONCATENATE("000",IFAData_TEA_1617!A1806),6),3),"-",(RIGHT(RIGHT(CONCATENATE("000",IFAData_TEA_1617!A1806),6),3)))</f>
        <v>179-901</v>
      </c>
      <c r="C1806" s="2266" t="s">
        <v>1123</v>
      </c>
      <c r="D1806" s="2266">
        <v>1</v>
      </c>
      <c r="E1806" s="2266">
        <v>2186</v>
      </c>
      <c r="F1806" s="2266" t="s">
        <v>6051</v>
      </c>
      <c r="G1806" s="2266" t="s">
        <v>6051</v>
      </c>
      <c r="H1806" s="2266">
        <v>477623</v>
      </c>
      <c r="I1806" s="2266">
        <v>0</v>
      </c>
      <c r="J1806" s="2266">
        <v>0</v>
      </c>
      <c r="K1806" s="2266"/>
      <c r="L1806" s="2266">
        <v>0</v>
      </c>
      <c r="M1806" s="2266">
        <v>599</v>
      </c>
    </row>
    <row r="1807" spans="1:13" ht="15">
      <c r="A1807" s="2266" t="s">
        <v>4313</v>
      </c>
      <c r="B1807" s="2465" t="str">
        <f>CONCATENATE(LEFT(RIGHT(CONCATENATE("000",IFAData_TEA_1617!A1807),6),3),"-",(RIGHT(RIGHT(CONCATENATE("000",IFAData_TEA_1617!A1807),6),3)))</f>
        <v>179-901</v>
      </c>
      <c r="C1807" s="2266" t="s">
        <v>1123</v>
      </c>
      <c r="D1807" s="2266">
        <v>1</v>
      </c>
      <c r="E1807" s="2266">
        <v>2186</v>
      </c>
      <c r="F1807" s="2266" t="s">
        <v>6051</v>
      </c>
      <c r="G1807" s="2266" t="s">
        <v>6052</v>
      </c>
      <c r="H1807" s="2266">
        <v>477623</v>
      </c>
      <c r="I1807" s="2266">
        <v>0</v>
      </c>
      <c r="J1807" s="2266">
        <v>0</v>
      </c>
      <c r="K1807" s="2266"/>
      <c r="L1807" s="2266">
        <v>0</v>
      </c>
      <c r="M1807" s="2266">
        <v>599</v>
      </c>
    </row>
    <row r="1808" spans="1:13" ht="15">
      <c r="A1808" s="2266" t="s">
        <v>4314</v>
      </c>
      <c r="B1808" s="2465" t="str">
        <f>CONCATENATE(LEFT(RIGHT(CONCATENATE("000",IFAData_TEA_1617!A1808),6),3),"-",(RIGHT(RIGHT(CONCATENATE("000",IFAData_TEA_1617!A1808),6),3)))</f>
        <v>181-901</v>
      </c>
      <c r="C1808" s="2266" t="s">
        <v>2121</v>
      </c>
      <c r="D1808" s="2266">
        <v>6</v>
      </c>
      <c r="E1808" s="2266">
        <v>1633</v>
      </c>
      <c r="F1808" s="2266" t="s">
        <v>6053</v>
      </c>
      <c r="G1808" s="2266" t="s">
        <v>6055</v>
      </c>
      <c r="H1808" s="2266">
        <v>649545</v>
      </c>
      <c r="I1808" s="2266">
        <v>17352</v>
      </c>
      <c r="J1808" s="2266">
        <v>2.8810807041313422E-2</v>
      </c>
      <c r="K1808" s="2266">
        <v>18713.915659649927</v>
      </c>
      <c r="L1808" s="2266">
        <v>17352</v>
      </c>
      <c r="M1808" s="2266">
        <v>599</v>
      </c>
    </row>
    <row r="1809" spans="1:13" ht="15">
      <c r="A1809" s="2266" t="s">
        <v>4314</v>
      </c>
      <c r="B1809" s="2465" t="str">
        <f>CONCATENATE(LEFT(RIGHT(CONCATENATE("000",IFAData_TEA_1617!A1809),6),3),"-",(RIGHT(RIGHT(CONCATENATE("000",IFAData_TEA_1617!A1809),6),3)))</f>
        <v>181-901</v>
      </c>
      <c r="C1809" s="2266" t="s">
        <v>2121</v>
      </c>
      <c r="D1809" s="2266">
        <v>6</v>
      </c>
      <c r="E1809" s="2266">
        <v>1633</v>
      </c>
      <c r="F1809" s="2266" t="s">
        <v>6053</v>
      </c>
      <c r="G1809" s="2266" t="s">
        <v>6054</v>
      </c>
      <c r="H1809" s="2266">
        <v>649545</v>
      </c>
      <c r="I1809" s="2266">
        <v>584922</v>
      </c>
      <c r="J1809" s="2266">
        <v>0.97118919295868655</v>
      </c>
      <c r="K1809" s="2266">
        <v>630831.08434035</v>
      </c>
      <c r="L1809" s="2266">
        <v>584922</v>
      </c>
      <c r="M1809" s="2266">
        <v>599</v>
      </c>
    </row>
    <row r="1810" spans="1:13" ht="15">
      <c r="A1810" s="2266" t="s">
        <v>4314</v>
      </c>
      <c r="B1810" s="2465" t="str">
        <f>CONCATENATE(LEFT(RIGHT(CONCATENATE("000",IFAData_TEA_1617!A1810),6),3),"-",(RIGHT(RIGHT(CONCATENATE("000",IFAData_TEA_1617!A1810),6),3)))</f>
        <v>181-901</v>
      </c>
      <c r="C1810" s="2266" t="s">
        <v>2121</v>
      </c>
      <c r="D1810" s="2266">
        <v>6</v>
      </c>
      <c r="E1810" s="2266">
        <v>1633</v>
      </c>
      <c r="F1810" s="2266" t="s">
        <v>6053</v>
      </c>
      <c r="G1810" s="2266" t="s">
        <v>6053</v>
      </c>
      <c r="H1810" s="2266">
        <v>649545</v>
      </c>
      <c r="I1810" s="2266">
        <v>0</v>
      </c>
      <c r="J1810" s="2266">
        <v>0</v>
      </c>
      <c r="K1810" s="2266">
        <v>0</v>
      </c>
      <c r="L1810" s="2266">
        <v>0</v>
      </c>
      <c r="M1810" s="2266">
        <v>599</v>
      </c>
    </row>
    <row r="1811" spans="1:13" ht="15">
      <c r="A1811" s="2266" t="s">
        <v>4315</v>
      </c>
      <c r="B1811" s="2465" t="str">
        <f>CONCATENATE(LEFT(RIGHT(CONCATENATE("000",IFAData_TEA_1617!A1811),6),3),"-",(RIGHT(RIGHT(CONCATENATE("000",IFAData_TEA_1617!A1811),6),3)))</f>
        <v>181-907</v>
      </c>
      <c r="C1811" s="2266" t="s">
        <v>156</v>
      </c>
      <c r="D1811" s="2266">
        <v>6</v>
      </c>
      <c r="E1811" s="2266">
        <v>2428</v>
      </c>
      <c r="F1811" s="2266" t="s">
        <v>6056</v>
      </c>
      <c r="G1811" s="2266" t="s">
        <v>6058</v>
      </c>
      <c r="H1811" s="2266">
        <v>1258064</v>
      </c>
      <c r="I1811" s="2266">
        <v>760250</v>
      </c>
      <c r="J1811" s="2266">
        <v>0.72449611664363656</v>
      </c>
      <c r="K1811" s="2266">
        <v>911462.48248916003</v>
      </c>
      <c r="L1811" s="2266">
        <v>760250</v>
      </c>
      <c r="M1811" s="2266">
        <v>599</v>
      </c>
    </row>
    <row r="1812" spans="1:13" ht="15">
      <c r="A1812" s="2266" t="s">
        <v>4315</v>
      </c>
      <c r="B1812" s="2465" t="str">
        <f>CONCATENATE(LEFT(RIGHT(CONCATENATE("000",IFAData_TEA_1617!A1812),6),3),"-",(RIGHT(RIGHT(CONCATENATE("000",IFAData_TEA_1617!A1812),6),3)))</f>
        <v>181-907</v>
      </c>
      <c r="C1812" s="2266" t="s">
        <v>156</v>
      </c>
      <c r="D1812" s="2266">
        <v>6</v>
      </c>
      <c r="E1812" s="2266">
        <v>2428</v>
      </c>
      <c r="F1812" s="2266" t="s">
        <v>6056</v>
      </c>
      <c r="G1812" s="2266" t="s">
        <v>6056</v>
      </c>
      <c r="H1812" s="2266">
        <v>1258064</v>
      </c>
      <c r="I1812" s="2266">
        <v>0</v>
      </c>
      <c r="J1812" s="2266">
        <v>0</v>
      </c>
      <c r="K1812" s="2266">
        <v>0</v>
      </c>
      <c r="L1812" s="2266">
        <v>0</v>
      </c>
      <c r="M1812" s="2266">
        <v>599</v>
      </c>
    </row>
    <row r="1813" spans="1:13" ht="15">
      <c r="A1813" s="2266" t="s">
        <v>4315</v>
      </c>
      <c r="B1813" s="2465" t="str">
        <f>CONCATENATE(LEFT(RIGHT(CONCATENATE("000",IFAData_TEA_1617!A1813),6),3),"-",(RIGHT(RIGHT(CONCATENATE("000",IFAData_TEA_1617!A1813),6),3)))</f>
        <v>181-907</v>
      </c>
      <c r="C1813" s="2266" t="s">
        <v>156</v>
      </c>
      <c r="D1813" s="2266">
        <v>6</v>
      </c>
      <c r="E1813" s="2266">
        <v>2428</v>
      </c>
      <c r="F1813" s="2266" t="s">
        <v>6056</v>
      </c>
      <c r="G1813" s="2266" t="s">
        <v>6057</v>
      </c>
      <c r="H1813" s="2266">
        <v>1258064</v>
      </c>
      <c r="I1813" s="2266">
        <v>0</v>
      </c>
      <c r="J1813" s="2266">
        <v>0</v>
      </c>
      <c r="K1813" s="2266">
        <v>0</v>
      </c>
      <c r="L1813" s="2266">
        <v>0</v>
      </c>
      <c r="M1813" s="2266">
        <v>599</v>
      </c>
    </row>
    <row r="1814" spans="1:13" ht="15">
      <c r="A1814" s="2266" t="s">
        <v>4315</v>
      </c>
      <c r="B1814" s="2465" t="str">
        <f>CONCATENATE(LEFT(RIGHT(CONCATENATE("000",IFAData_TEA_1617!A1814),6),3),"-",(RIGHT(RIGHT(CONCATENATE("000",IFAData_TEA_1617!A1814),6),3)))</f>
        <v>181-907</v>
      </c>
      <c r="C1814" s="2266" t="s">
        <v>156</v>
      </c>
      <c r="D1814" s="2266">
        <v>6</v>
      </c>
      <c r="E1814" s="2266">
        <v>2428</v>
      </c>
      <c r="F1814" s="2266" t="s">
        <v>6056</v>
      </c>
      <c r="G1814" s="2266" t="s">
        <v>7257</v>
      </c>
      <c r="H1814" s="2266">
        <v>1258064</v>
      </c>
      <c r="I1814" s="2266">
        <v>289100</v>
      </c>
      <c r="J1814" s="2266">
        <v>0.27550388335636344</v>
      </c>
      <c r="K1814" s="2266">
        <v>346601.51751084003</v>
      </c>
      <c r="L1814" s="2266">
        <v>289100</v>
      </c>
      <c r="M1814" s="2266">
        <v>599</v>
      </c>
    </row>
    <row r="1815" spans="1:13" ht="15">
      <c r="A1815" s="2266" t="s">
        <v>4316</v>
      </c>
      <c r="B1815" s="2465" t="str">
        <f>CONCATENATE(LEFT(RIGHT(CONCATENATE("000",IFAData_TEA_1617!A1815),6),3),"-",(RIGHT(RIGHT(CONCATENATE("000",IFAData_TEA_1617!A1815),6),3)))</f>
        <v>182-903</v>
      </c>
      <c r="C1815" s="2266" t="s">
        <v>2559</v>
      </c>
      <c r="D1815" s="2266">
        <v>2</v>
      </c>
      <c r="E1815" s="2266">
        <v>2110</v>
      </c>
      <c r="F1815" s="2266" t="s">
        <v>6059</v>
      </c>
      <c r="G1815" s="2266" t="s">
        <v>7031</v>
      </c>
      <c r="H1815" s="2266">
        <v>772750</v>
      </c>
      <c r="I1815" s="2266">
        <v>589259</v>
      </c>
      <c r="J1815" s="2266">
        <v>0.30534101549403864</v>
      </c>
      <c r="K1815" s="2266">
        <v>235952.26972301837</v>
      </c>
      <c r="L1815" s="2266">
        <v>235952.26972301837</v>
      </c>
      <c r="M1815" s="2266">
        <v>599</v>
      </c>
    </row>
    <row r="1816" spans="1:13" ht="15">
      <c r="A1816" s="2266" t="s">
        <v>4316</v>
      </c>
      <c r="B1816" s="2465" t="str">
        <f>CONCATENATE(LEFT(RIGHT(CONCATENATE("000",IFAData_TEA_1617!A1816),6),3),"-",(RIGHT(RIGHT(CONCATENATE("000",IFAData_TEA_1617!A1816),6),3)))</f>
        <v>182-903</v>
      </c>
      <c r="C1816" s="2266" t="s">
        <v>2559</v>
      </c>
      <c r="D1816" s="2266">
        <v>2</v>
      </c>
      <c r="E1816" s="2266">
        <v>2110</v>
      </c>
      <c r="F1816" s="2266" t="s">
        <v>6059</v>
      </c>
      <c r="G1816" s="2266" t="s">
        <v>6060</v>
      </c>
      <c r="H1816" s="2266">
        <v>772750</v>
      </c>
      <c r="I1816" s="2266">
        <v>388791</v>
      </c>
      <c r="J1816" s="2266">
        <v>0.20146291996378973</v>
      </c>
      <c r="K1816" s="2266">
        <v>155680.47140201851</v>
      </c>
      <c r="L1816" s="2266">
        <v>155680.47140201851</v>
      </c>
      <c r="M1816" s="2266">
        <v>599</v>
      </c>
    </row>
    <row r="1817" spans="1:13" ht="15">
      <c r="A1817" s="2266" t="s">
        <v>4316</v>
      </c>
      <c r="B1817" s="2465" t="str">
        <f>CONCATENATE(LEFT(RIGHT(CONCATENATE("000",IFAData_TEA_1617!A1817),6),3),"-",(RIGHT(RIGHT(CONCATENATE("000",IFAData_TEA_1617!A1817),6),3)))</f>
        <v>182-903</v>
      </c>
      <c r="C1817" s="2266" t="s">
        <v>2559</v>
      </c>
      <c r="D1817" s="2266">
        <v>2</v>
      </c>
      <c r="E1817" s="2266">
        <v>2110</v>
      </c>
      <c r="F1817" s="2266" t="s">
        <v>6059</v>
      </c>
      <c r="G1817" s="2266" t="s">
        <v>6059</v>
      </c>
      <c r="H1817" s="2266">
        <v>772750</v>
      </c>
      <c r="I1817" s="2266">
        <v>0</v>
      </c>
      <c r="J1817" s="2266">
        <v>0</v>
      </c>
      <c r="K1817" s="2266">
        <v>0</v>
      </c>
      <c r="L1817" s="2266">
        <v>0</v>
      </c>
      <c r="M1817" s="2266">
        <v>599</v>
      </c>
    </row>
    <row r="1818" spans="1:13" ht="15">
      <c r="A1818" s="2266" t="s">
        <v>4316</v>
      </c>
      <c r="B1818" s="2465" t="str">
        <f>CONCATENATE(LEFT(RIGHT(CONCATENATE("000",IFAData_TEA_1617!A1818),6),3),"-",(RIGHT(RIGHT(CONCATENATE("000",IFAData_TEA_1617!A1818),6),3)))</f>
        <v>182-903</v>
      </c>
      <c r="C1818" s="2266" t="s">
        <v>2559</v>
      </c>
      <c r="D1818" s="2266">
        <v>2</v>
      </c>
      <c r="E1818" s="2266">
        <v>2110</v>
      </c>
      <c r="F1818" s="2266" t="s">
        <v>6059</v>
      </c>
      <c r="G1818" s="2266" t="s">
        <v>6062</v>
      </c>
      <c r="H1818" s="2266">
        <v>772750</v>
      </c>
      <c r="I1818" s="2266">
        <v>285364</v>
      </c>
      <c r="J1818" s="2266">
        <v>0.14786933003219441</v>
      </c>
      <c r="K1818" s="2266">
        <v>114266.02478237823</v>
      </c>
      <c r="L1818" s="2266">
        <v>114266.02478237823</v>
      </c>
      <c r="M1818" s="2266">
        <v>599</v>
      </c>
    </row>
    <row r="1819" spans="1:13" ht="15">
      <c r="A1819" s="2266" t="s">
        <v>4316</v>
      </c>
      <c r="B1819" s="2465" t="str">
        <f>CONCATENATE(LEFT(RIGHT(CONCATENATE("000",IFAData_TEA_1617!A1819),6),3),"-",(RIGHT(RIGHT(CONCATENATE("000",IFAData_TEA_1617!A1819),6),3)))</f>
        <v>182-903</v>
      </c>
      <c r="C1819" s="2266" t="s">
        <v>2559</v>
      </c>
      <c r="D1819" s="2266">
        <v>2</v>
      </c>
      <c r="E1819" s="2266">
        <v>2110</v>
      </c>
      <c r="F1819" s="2266" t="s">
        <v>6059</v>
      </c>
      <c r="G1819" s="2266" t="s">
        <v>6061</v>
      </c>
      <c r="H1819" s="2266">
        <v>772750</v>
      </c>
      <c r="I1819" s="2266">
        <v>294822</v>
      </c>
      <c r="J1819" s="2266">
        <v>0.15277025700071353</v>
      </c>
      <c r="K1819" s="2266">
        <v>118053.21609730138</v>
      </c>
      <c r="L1819" s="2266">
        <v>118053.21609730138</v>
      </c>
      <c r="M1819" s="2266">
        <v>599</v>
      </c>
    </row>
    <row r="1820" spans="1:13" ht="15">
      <c r="A1820" s="2266" t="s">
        <v>4316</v>
      </c>
      <c r="B1820" s="2465" t="str">
        <f>CONCATENATE(LEFT(RIGHT(CONCATENATE("000",IFAData_TEA_1617!A1820),6),3),"-",(RIGHT(RIGHT(CONCATENATE("000",IFAData_TEA_1617!A1820),6),3)))</f>
        <v>182-903</v>
      </c>
      <c r="C1820" s="2266" t="s">
        <v>2559</v>
      </c>
      <c r="D1820" s="2266">
        <v>2</v>
      </c>
      <c r="E1820" s="2266">
        <v>2110</v>
      </c>
      <c r="F1820" s="2266" t="s">
        <v>6059</v>
      </c>
      <c r="G1820" s="2266" t="s">
        <v>7258</v>
      </c>
      <c r="H1820" s="2266">
        <v>772750</v>
      </c>
      <c r="I1820" s="2266">
        <v>155676</v>
      </c>
      <c r="J1820" s="2266">
        <v>8.066786918494237E-2</v>
      </c>
      <c r="K1820" s="2266">
        <v>62336.095912664219</v>
      </c>
      <c r="L1820" s="2266">
        <v>62336.095912664219</v>
      </c>
      <c r="M1820" s="2266">
        <v>599</v>
      </c>
    </row>
    <row r="1821" spans="1:13" ht="15">
      <c r="A1821" s="2266" t="s">
        <v>4316</v>
      </c>
      <c r="B1821" s="2465" t="str">
        <f>CONCATENATE(LEFT(RIGHT(CONCATENATE("000",IFAData_TEA_1617!A1821),6),3),"-",(RIGHT(RIGHT(CONCATENATE("000",IFAData_TEA_1617!A1821),6),3)))</f>
        <v>182-903</v>
      </c>
      <c r="C1821" s="2266" t="s">
        <v>2559</v>
      </c>
      <c r="D1821" s="2266">
        <v>2</v>
      </c>
      <c r="E1821" s="2266">
        <v>2110</v>
      </c>
      <c r="F1821" s="2266" t="s">
        <v>6059</v>
      </c>
      <c r="G1821" s="2266" t="s">
        <v>7259</v>
      </c>
      <c r="H1821" s="2266">
        <v>772750</v>
      </c>
      <c r="I1821" s="2266">
        <v>215927</v>
      </c>
      <c r="J1821" s="2266">
        <v>0.11188860832432136</v>
      </c>
      <c r="K1821" s="2266">
        <v>86461.922082619334</v>
      </c>
      <c r="L1821" s="2266">
        <v>86461.922082619334</v>
      </c>
      <c r="M1821" s="2266">
        <v>599</v>
      </c>
    </row>
    <row r="1822" spans="1:13" ht="15">
      <c r="A1822" s="2266" t="s">
        <v>4317</v>
      </c>
      <c r="B1822" s="2465" t="str">
        <f>CONCATENATE(LEFT(RIGHT(CONCATENATE("000",IFAData_TEA_1617!A1822),6),3),"-",(RIGHT(RIGHT(CONCATENATE("000",IFAData_TEA_1617!A1822),6),3)))</f>
        <v>183-904</v>
      </c>
      <c r="C1822" s="2266" t="s">
        <v>494</v>
      </c>
      <c r="D1822" s="2266">
        <v>1</v>
      </c>
      <c r="E1822" s="2266">
        <v>1845</v>
      </c>
      <c r="F1822" s="2266" t="s">
        <v>6063</v>
      </c>
      <c r="G1822" s="2266" t="s">
        <v>6064</v>
      </c>
      <c r="H1822" s="2266">
        <v>100000</v>
      </c>
      <c r="I1822" s="2266">
        <v>0</v>
      </c>
      <c r="J1822" s="2266">
        <v>0</v>
      </c>
      <c r="K1822" s="2266">
        <v>0</v>
      </c>
      <c r="L1822" s="2266">
        <v>0</v>
      </c>
      <c r="M1822" s="2266">
        <v>599</v>
      </c>
    </row>
    <row r="1823" spans="1:13" ht="15">
      <c r="A1823" s="2266" t="s">
        <v>4317</v>
      </c>
      <c r="B1823" s="2465" t="str">
        <f>CONCATENATE(LEFT(RIGHT(CONCATENATE("000",IFAData_TEA_1617!A1823),6),3),"-",(RIGHT(RIGHT(CONCATENATE("000",IFAData_TEA_1617!A1823),6),3)))</f>
        <v>183-904</v>
      </c>
      <c r="C1823" s="2266" t="s">
        <v>494</v>
      </c>
      <c r="D1823" s="2266">
        <v>1</v>
      </c>
      <c r="E1823" s="2266">
        <v>1845</v>
      </c>
      <c r="F1823" s="2266" t="s">
        <v>6063</v>
      </c>
      <c r="G1823" s="2266" t="s">
        <v>6063</v>
      </c>
      <c r="H1823" s="2266">
        <v>100000</v>
      </c>
      <c r="I1823" s="2266">
        <v>0</v>
      </c>
      <c r="J1823" s="2266">
        <v>0</v>
      </c>
      <c r="K1823" s="2266">
        <v>0</v>
      </c>
      <c r="L1823" s="2266">
        <v>0</v>
      </c>
      <c r="M1823" s="2266">
        <v>599</v>
      </c>
    </row>
    <row r="1824" spans="1:13" ht="15">
      <c r="A1824" s="2266" t="s">
        <v>4317</v>
      </c>
      <c r="B1824" s="2465" t="str">
        <f>CONCATENATE(LEFT(RIGHT(CONCATENATE("000",IFAData_TEA_1617!A1824),6),3),"-",(RIGHT(RIGHT(CONCATENATE("000",IFAData_TEA_1617!A1824),6),3)))</f>
        <v>183-904</v>
      </c>
      <c r="C1824" s="2266" t="s">
        <v>494</v>
      </c>
      <c r="D1824" s="2266">
        <v>1</v>
      </c>
      <c r="E1824" s="2266">
        <v>1845</v>
      </c>
      <c r="F1824" s="2266" t="s">
        <v>6063</v>
      </c>
      <c r="G1824" s="2266" t="s">
        <v>7260</v>
      </c>
      <c r="H1824" s="2266">
        <v>100000</v>
      </c>
      <c r="I1824" s="2266">
        <v>95440</v>
      </c>
      <c r="J1824" s="2266">
        <v>1</v>
      </c>
      <c r="K1824" s="2266">
        <v>100000</v>
      </c>
      <c r="L1824" s="2266">
        <v>95440</v>
      </c>
      <c r="M1824" s="2266">
        <v>599</v>
      </c>
    </row>
    <row r="1825" spans="1:13" ht="15">
      <c r="A1825" s="2266" t="s">
        <v>4318</v>
      </c>
      <c r="B1825" s="2465" t="str">
        <f>CONCATENATE(LEFT(RIGHT(CONCATENATE("000",IFAData_TEA_1617!A1825),6),3),"-",(RIGHT(RIGHT(CONCATENATE("000",IFAData_TEA_1617!A1825),6),3)))</f>
        <v>184-901</v>
      </c>
      <c r="C1825" s="2266" t="s">
        <v>1130</v>
      </c>
      <c r="D1825" s="2266">
        <v>5</v>
      </c>
      <c r="E1825" s="2266">
        <v>2202</v>
      </c>
      <c r="F1825" s="2266" t="s">
        <v>6065</v>
      </c>
      <c r="G1825" s="2266" t="s">
        <v>6065</v>
      </c>
      <c r="H1825" s="2266">
        <v>107925</v>
      </c>
      <c r="I1825" s="2266">
        <v>0</v>
      </c>
      <c r="J1825" s="2266">
        <v>0</v>
      </c>
      <c r="K1825" s="2266">
        <v>0</v>
      </c>
      <c r="L1825" s="2266">
        <v>0</v>
      </c>
      <c r="M1825" s="2266">
        <v>599</v>
      </c>
    </row>
    <row r="1826" spans="1:13" ht="15">
      <c r="A1826" s="2266" t="s">
        <v>4318</v>
      </c>
      <c r="B1826" s="2465" t="str">
        <f>CONCATENATE(LEFT(RIGHT(CONCATENATE("000",IFAData_TEA_1617!A1826),6),3),"-",(RIGHT(RIGHT(CONCATENATE("000",IFAData_TEA_1617!A1826),6),3)))</f>
        <v>184-901</v>
      </c>
      <c r="C1826" s="2266" t="s">
        <v>1130</v>
      </c>
      <c r="D1826" s="2266">
        <v>5</v>
      </c>
      <c r="E1826" s="2266">
        <v>2202</v>
      </c>
      <c r="F1826" s="2266" t="s">
        <v>6065</v>
      </c>
      <c r="G1826" s="2266" t="s">
        <v>6066</v>
      </c>
      <c r="H1826" s="2266">
        <v>107925</v>
      </c>
      <c r="I1826" s="2266">
        <v>112274</v>
      </c>
      <c r="J1826" s="2266">
        <v>1</v>
      </c>
      <c r="K1826" s="2266">
        <v>107925</v>
      </c>
      <c r="L1826" s="2266">
        <v>107925</v>
      </c>
      <c r="M1826" s="2266">
        <v>599</v>
      </c>
    </row>
    <row r="1827" spans="1:13" ht="15">
      <c r="A1827" s="2266" t="s">
        <v>4319</v>
      </c>
      <c r="B1827" s="2465" t="str">
        <f>CONCATENATE(LEFT(RIGHT(CONCATENATE("000",IFAData_TEA_1617!A1827),6),3),"-",(RIGHT(RIGHT(CONCATENATE("000",IFAData_TEA_1617!A1827),6),3)))</f>
        <v>184-902</v>
      </c>
      <c r="C1827" s="2266" t="s">
        <v>2211</v>
      </c>
      <c r="D1827" s="2266">
        <v>2</v>
      </c>
      <c r="E1827" s="2266">
        <v>2378</v>
      </c>
      <c r="F1827" s="2266" t="s">
        <v>6067</v>
      </c>
      <c r="G1827" s="2266" t="s">
        <v>7032</v>
      </c>
      <c r="H1827" s="2266">
        <v>700070</v>
      </c>
      <c r="I1827" s="2266">
        <v>177798</v>
      </c>
      <c r="J1827" s="2266">
        <v>0.3037895524606718</v>
      </c>
      <c r="K1827" s="2266">
        <v>212673.9519911425</v>
      </c>
      <c r="L1827" s="2266">
        <v>177798</v>
      </c>
      <c r="M1827" s="2266">
        <v>599</v>
      </c>
    </row>
    <row r="1828" spans="1:13" ht="15">
      <c r="A1828" s="2266" t="s">
        <v>4319</v>
      </c>
      <c r="B1828" s="2465" t="str">
        <f>CONCATENATE(LEFT(RIGHT(CONCATENATE("000",IFAData_TEA_1617!A1828),6),3),"-",(RIGHT(RIGHT(CONCATENATE("000",IFAData_TEA_1617!A1828),6),3)))</f>
        <v>184-902</v>
      </c>
      <c r="C1828" s="2266" t="s">
        <v>2211</v>
      </c>
      <c r="D1828" s="2266">
        <v>2</v>
      </c>
      <c r="E1828" s="2266">
        <v>2378</v>
      </c>
      <c r="F1828" s="2266" t="s">
        <v>6067</v>
      </c>
      <c r="G1828" s="2266" t="s">
        <v>6070</v>
      </c>
      <c r="H1828" s="2266">
        <v>700070</v>
      </c>
      <c r="I1828" s="2266">
        <v>0</v>
      </c>
      <c r="J1828" s="2266">
        <v>0</v>
      </c>
      <c r="K1828" s="2266">
        <v>0</v>
      </c>
      <c r="L1828" s="2266">
        <v>0</v>
      </c>
      <c r="M1828" s="2266">
        <v>599</v>
      </c>
    </row>
    <row r="1829" spans="1:13" ht="15">
      <c r="A1829" s="2266" t="s">
        <v>4319</v>
      </c>
      <c r="B1829" s="2465" t="str">
        <f>CONCATENATE(LEFT(RIGHT(CONCATENATE("000",IFAData_TEA_1617!A1829),6),3),"-",(RIGHT(RIGHT(CONCATENATE("000",IFAData_TEA_1617!A1829),6),3)))</f>
        <v>184-902</v>
      </c>
      <c r="C1829" s="2266" t="s">
        <v>2211</v>
      </c>
      <c r="D1829" s="2266">
        <v>2</v>
      </c>
      <c r="E1829" s="2266">
        <v>2378</v>
      </c>
      <c r="F1829" s="2266" t="s">
        <v>6067</v>
      </c>
      <c r="G1829" s="2266" t="s">
        <v>6068</v>
      </c>
      <c r="H1829" s="2266">
        <v>700070</v>
      </c>
      <c r="I1829" s="2266">
        <v>0</v>
      </c>
      <c r="J1829" s="2266">
        <v>0</v>
      </c>
      <c r="K1829" s="2266">
        <v>0</v>
      </c>
      <c r="L1829" s="2266">
        <v>0</v>
      </c>
      <c r="M1829" s="2266">
        <v>599</v>
      </c>
    </row>
    <row r="1830" spans="1:13" ht="15">
      <c r="A1830" s="2266" t="s">
        <v>4319</v>
      </c>
      <c r="B1830" s="2465" t="str">
        <f>CONCATENATE(LEFT(RIGHT(CONCATENATE("000",IFAData_TEA_1617!A1830),6),3),"-",(RIGHT(RIGHT(CONCATENATE("000",IFAData_TEA_1617!A1830),6),3)))</f>
        <v>184-902</v>
      </c>
      <c r="C1830" s="2266" t="s">
        <v>2211</v>
      </c>
      <c r="D1830" s="2266">
        <v>2</v>
      </c>
      <c r="E1830" s="2266">
        <v>2378</v>
      </c>
      <c r="F1830" s="2266" t="s">
        <v>6067</v>
      </c>
      <c r="G1830" s="2266" t="s">
        <v>6067</v>
      </c>
      <c r="H1830" s="2266">
        <v>700070</v>
      </c>
      <c r="I1830" s="2266">
        <v>0</v>
      </c>
      <c r="J1830" s="2266">
        <v>0</v>
      </c>
      <c r="K1830" s="2266">
        <v>0</v>
      </c>
      <c r="L1830" s="2266">
        <v>0</v>
      </c>
      <c r="M1830" s="2266">
        <v>599</v>
      </c>
    </row>
    <row r="1831" spans="1:13" ht="15">
      <c r="A1831" s="2266" t="s">
        <v>4319</v>
      </c>
      <c r="B1831" s="2465" t="str">
        <f>CONCATENATE(LEFT(RIGHT(CONCATENATE("000",IFAData_TEA_1617!A1831),6),3),"-",(RIGHT(RIGHT(CONCATENATE("000",IFAData_TEA_1617!A1831),6),3)))</f>
        <v>184-902</v>
      </c>
      <c r="C1831" s="2266" t="s">
        <v>2211</v>
      </c>
      <c r="D1831" s="2266">
        <v>9</v>
      </c>
      <c r="E1831" s="2266">
        <v>2379</v>
      </c>
      <c r="F1831" s="2266" t="s">
        <v>6071</v>
      </c>
      <c r="G1831" s="2266" t="s">
        <v>6071</v>
      </c>
      <c r="H1831" s="2266">
        <v>824218</v>
      </c>
      <c r="I1831" s="2266">
        <v>1013300</v>
      </c>
      <c r="J1831" s="2266">
        <v>0.5651466324890434</v>
      </c>
      <c r="K1831" s="2266">
        <v>465804.02713685436</v>
      </c>
      <c r="L1831" s="2266">
        <v>465804.02713685436</v>
      </c>
      <c r="M1831" s="2266">
        <v>599</v>
      </c>
    </row>
    <row r="1832" spans="1:13" ht="15">
      <c r="A1832" s="2266" t="s">
        <v>4319</v>
      </c>
      <c r="B1832" s="2465" t="str">
        <f>CONCATENATE(LEFT(RIGHT(CONCATENATE("000",IFAData_TEA_1617!A1832),6),3),"-",(RIGHT(RIGHT(CONCATENATE("000",IFAData_TEA_1617!A1832),6),3)))</f>
        <v>184-902</v>
      </c>
      <c r="C1832" s="2266" t="s">
        <v>2211</v>
      </c>
      <c r="D1832" s="2266">
        <v>9</v>
      </c>
      <c r="E1832" s="2266">
        <v>2379</v>
      </c>
      <c r="F1832" s="2266" t="s">
        <v>6071</v>
      </c>
      <c r="G1832" s="2266" t="s">
        <v>7261</v>
      </c>
      <c r="H1832" s="2266">
        <v>824218</v>
      </c>
      <c r="I1832" s="2266">
        <v>578120</v>
      </c>
      <c r="J1832" s="2266">
        <v>0.32243419636293869</v>
      </c>
      <c r="K1832" s="2266">
        <v>265756.06845786859</v>
      </c>
      <c r="L1832" s="2266">
        <v>265756.06845786859</v>
      </c>
      <c r="M1832" s="2266">
        <v>599</v>
      </c>
    </row>
    <row r="1833" spans="1:13" ht="15">
      <c r="A1833" s="2266" t="s">
        <v>4319</v>
      </c>
      <c r="B1833" s="2465" t="str">
        <f>CONCATENATE(LEFT(RIGHT(CONCATENATE("000",IFAData_TEA_1617!A1833),6),3),"-",(RIGHT(RIGHT(CONCATENATE("000",IFAData_TEA_1617!A1833),6),3)))</f>
        <v>184-902</v>
      </c>
      <c r="C1833" s="2266" t="s">
        <v>2211</v>
      </c>
      <c r="D1833" s="2266">
        <v>2</v>
      </c>
      <c r="E1833" s="2266">
        <v>2378</v>
      </c>
      <c r="F1833" s="2266" t="s">
        <v>6067</v>
      </c>
      <c r="G1833" s="2266" t="s">
        <v>6069</v>
      </c>
      <c r="H1833" s="2266">
        <v>700070</v>
      </c>
      <c r="I1833" s="2266">
        <v>336601</v>
      </c>
      <c r="J1833" s="2266">
        <v>0.57512383237052489</v>
      </c>
      <c r="K1833" s="2266">
        <v>402626.94132763334</v>
      </c>
      <c r="L1833" s="2266">
        <v>336601</v>
      </c>
      <c r="M1833" s="2266">
        <v>599</v>
      </c>
    </row>
    <row r="1834" spans="1:13" ht="15">
      <c r="A1834" s="2266" t="s">
        <v>4319</v>
      </c>
      <c r="B1834" s="2465" t="str">
        <f>CONCATENATE(LEFT(RIGHT(CONCATENATE("000",IFAData_TEA_1617!A1834),6),3),"-",(RIGHT(RIGHT(CONCATENATE("000",IFAData_TEA_1617!A1834),6),3)))</f>
        <v>184-902</v>
      </c>
      <c r="C1834" s="2266" t="s">
        <v>2211</v>
      </c>
      <c r="D1834" s="2266">
        <v>2</v>
      </c>
      <c r="E1834" s="2266">
        <v>2378</v>
      </c>
      <c r="F1834" s="2266" t="s">
        <v>6067</v>
      </c>
      <c r="G1834" s="2266" t="s">
        <v>7033</v>
      </c>
      <c r="H1834" s="2266">
        <v>700070</v>
      </c>
      <c r="I1834" s="2266">
        <v>70868</v>
      </c>
      <c r="J1834" s="2266">
        <v>0.1210866151688033</v>
      </c>
      <c r="K1834" s="2266">
        <v>84769.106681224119</v>
      </c>
      <c r="L1834" s="2266">
        <v>70868</v>
      </c>
      <c r="M1834" s="2266">
        <v>599</v>
      </c>
    </row>
    <row r="1835" spans="1:13" ht="15">
      <c r="A1835" s="2266" t="s">
        <v>4319</v>
      </c>
      <c r="B1835" s="2465" t="str">
        <f>CONCATENATE(LEFT(RIGHT(CONCATENATE("000",IFAData_TEA_1617!A1835),6),3),"-",(RIGHT(RIGHT(CONCATENATE("000",IFAData_TEA_1617!A1835),6),3)))</f>
        <v>184-902</v>
      </c>
      <c r="C1835" s="2266" t="s">
        <v>2211</v>
      </c>
      <c r="D1835" s="2266">
        <v>9</v>
      </c>
      <c r="E1835" s="2266">
        <v>2379</v>
      </c>
      <c r="F1835" s="2266" t="s">
        <v>6071</v>
      </c>
      <c r="G1835" s="2266" t="s">
        <v>7033</v>
      </c>
      <c r="H1835" s="2266">
        <v>824218</v>
      </c>
      <c r="I1835" s="2266">
        <v>201566</v>
      </c>
      <c r="J1835" s="2266">
        <v>0.11241917114801789</v>
      </c>
      <c r="K1835" s="2266">
        <v>92657.904405277004</v>
      </c>
      <c r="L1835" s="2266">
        <v>92657.904405277004</v>
      </c>
      <c r="M1835" s="2266">
        <v>599</v>
      </c>
    </row>
    <row r="1836" spans="1:13" ht="15">
      <c r="A1836" s="2266" t="s">
        <v>4320</v>
      </c>
      <c r="B1836" s="2465" t="str">
        <f>CONCATENATE(LEFT(RIGHT(CONCATENATE("000",IFAData_TEA_1617!A1836),6),3),"-",(RIGHT(RIGHT(CONCATENATE("000",IFAData_TEA_1617!A1836),6),3)))</f>
        <v>184-903</v>
      </c>
      <c r="C1836" s="2266" t="s">
        <v>161</v>
      </c>
      <c r="D1836" s="2266">
        <v>6</v>
      </c>
      <c r="E1836" s="2266">
        <v>2439</v>
      </c>
      <c r="F1836" s="2266" t="s">
        <v>6072</v>
      </c>
      <c r="G1836" s="2266" t="s">
        <v>6075</v>
      </c>
      <c r="H1836" s="2266">
        <v>240000</v>
      </c>
      <c r="I1836" s="2266">
        <v>0</v>
      </c>
      <c r="J1836" s="2266">
        <v>0</v>
      </c>
      <c r="K1836" s="2266">
        <v>0</v>
      </c>
      <c r="L1836" s="2266">
        <v>0</v>
      </c>
      <c r="M1836" s="2266">
        <v>599</v>
      </c>
    </row>
    <row r="1837" spans="1:13" ht="15">
      <c r="A1837" s="2266" t="s">
        <v>4320</v>
      </c>
      <c r="B1837" s="2465" t="str">
        <f>CONCATENATE(LEFT(RIGHT(CONCATENATE("000",IFAData_TEA_1617!A1837),6),3),"-",(RIGHT(RIGHT(CONCATENATE("000",IFAData_TEA_1617!A1837),6),3)))</f>
        <v>184-903</v>
      </c>
      <c r="C1837" s="2266" t="s">
        <v>161</v>
      </c>
      <c r="D1837" s="2266">
        <v>6</v>
      </c>
      <c r="E1837" s="2266">
        <v>2439</v>
      </c>
      <c r="F1837" s="2266" t="s">
        <v>6072</v>
      </c>
      <c r="G1837" s="2266" t="s">
        <v>6077</v>
      </c>
      <c r="H1837" s="2266">
        <v>240000</v>
      </c>
      <c r="I1837" s="2266">
        <v>61995</v>
      </c>
      <c r="J1837" s="2266">
        <v>1.1137315855678927E-2</v>
      </c>
      <c r="K1837" s="2266">
        <v>2672.9558053629426</v>
      </c>
      <c r="L1837" s="2266">
        <v>2672.9558053629426</v>
      </c>
      <c r="M1837" s="2266">
        <v>599</v>
      </c>
    </row>
    <row r="1838" spans="1:13" ht="15">
      <c r="A1838" s="2266" t="s">
        <v>4320</v>
      </c>
      <c r="B1838" s="2465" t="str">
        <f>CONCATENATE(LEFT(RIGHT(CONCATENATE("000",IFAData_TEA_1617!A1838),6),3),"-",(RIGHT(RIGHT(CONCATENATE("000",IFAData_TEA_1617!A1838),6),3)))</f>
        <v>184-903</v>
      </c>
      <c r="C1838" s="2266" t="s">
        <v>161</v>
      </c>
      <c r="D1838" s="2266">
        <v>6</v>
      </c>
      <c r="E1838" s="2266">
        <v>2439</v>
      </c>
      <c r="F1838" s="2266" t="s">
        <v>6072</v>
      </c>
      <c r="G1838" s="2266" t="s">
        <v>6073</v>
      </c>
      <c r="H1838" s="2266">
        <v>240000</v>
      </c>
      <c r="I1838" s="2266">
        <v>189543</v>
      </c>
      <c r="J1838" s="2266">
        <v>3.4051137337413516E-2</v>
      </c>
      <c r="K1838" s="2266">
        <v>8172.2729609792441</v>
      </c>
      <c r="L1838" s="2266">
        <v>8172.2729609792441</v>
      </c>
      <c r="M1838" s="2266">
        <v>599</v>
      </c>
    </row>
    <row r="1839" spans="1:13" ht="15">
      <c r="A1839" s="2266" t="s">
        <v>4320</v>
      </c>
      <c r="B1839" s="2465" t="str">
        <f>CONCATENATE(LEFT(RIGHT(CONCATENATE("000",IFAData_TEA_1617!A1839),6),3),"-",(RIGHT(RIGHT(CONCATENATE("000",IFAData_TEA_1617!A1839),6),3)))</f>
        <v>184-903</v>
      </c>
      <c r="C1839" s="2266" t="s">
        <v>161</v>
      </c>
      <c r="D1839" s="2266">
        <v>6</v>
      </c>
      <c r="E1839" s="2266">
        <v>2439</v>
      </c>
      <c r="F1839" s="2266" t="s">
        <v>6072</v>
      </c>
      <c r="G1839" s="2266" t="s">
        <v>6076</v>
      </c>
      <c r="H1839" s="2266">
        <v>240000</v>
      </c>
      <c r="I1839" s="2266">
        <v>226037</v>
      </c>
      <c r="J1839" s="2266">
        <v>4.0607233874830187E-2</v>
      </c>
      <c r="K1839" s="2266">
        <v>9745.7361299592449</v>
      </c>
      <c r="L1839" s="2266">
        <v>9745.7361299592449</v>
      </c>
      <c r="M1839" s="2266">
        <v>599</v>
      </c>
    </row>
    <row r="1840" spans="1:13" ht="15">
      <c r="A1840" s="2266" t="s">
        <v>4320</v>
      </c>
      <c r="B1840" s="2465" t="str">
        <f>CONCATENATE(LEFT(RIGHT(CONCATENATE("000",IFAData_TEA_1617!A1840),6),3),"-",(RIGHT(RIGHT(CONCATENATE("000",IFAData_TEA_1617!A1840),6),3)))</f>
        <v>184-903</v>
      </c>
      <c r="C1840" s="2266" t="s">
        <v>161</v>
      </c>
      <c r="D1840" s="2266">
        <v>6</v>
      </c>
      <c r="E1840" s="2266">
        <v>2439</v>
      </c>
      <c r="F1840" s="2266" t="s">
        <v>6072</v>
      </c>
      <c r="G1840" s="2266" t="s">
        <v>6072</v>
      </c>
      <c r="H1840" s="2266">
        <v>240000</v>
      </c>
      <c r="I1840" s="2266">
        <v>4843921</v>
      </c>
      <c r="J1840" s="2266">
        <v>0.87020369637803241</v>
      </c>
      <c r="K1840" s="2266">
        <v>208848.88713072779</v>
      </c>
      <c r="L1840" s="2266">
        <v>208848.88713072779</v>
      </c>
      <c r="M1840" s="2266">
        <v>599</v>
      </c>
    </row>
    <row r="1841" spans="1:13" ht="15">
      <c r="A1841" s="2266" t="s">
        <v>4320</v>
      </c>
      <c r="B1841" s="2465" t="str">
        <f>CONCATENATE(LEFT(RIGHT(CONCATENATE("000",IFAData_TEA_1617!A1841),6),3),"-",(RIGHT(RIGHT(CONCATENATE("000",IFAData_TEA_1617!A1841),6),3)))</f>
        <v>184-903</v>
      </c>
      <c r="C1841" s="2266" t="s">
        <v>161</v>
      </c>
      <c r="D1841" s="2266">
        <v>6</v>
      </c>
      <c r="E1841" s="2266">
        <v>2439</v>
      </c>
      <c r="F1841" s="2266" t="s">
        <v>6072</v>
      </c>
      <c r="G1841" s="2266" t="s">
        <v>7262</v>
      </c>
      <c r="H1841" s="2266">
        <v>240000</v>
      </c>
      <c r="I1841" s="2266">
        <v>133841</v>
      </c>
      <c r="J1841" s="2266">
        <v>2.4044350212757856E-2</v>
      </c>
      <c r="K1841" s="2266">
        <v>5770.644051061885</v>
      </c>
      <c r="L1841" s="2266">
        <v>5770.644051061885</v>
      </c>
      <c r="M1841" s="2266">
        <v>599</v>
      </c>
    </row>
    <row r="1842" spans="1:13" ht="15">
      <c r="A1842" s="2266" t="s">
        <v>4320</v>
      </c>
      <c r="B1842" s="2465" t="str">
        <f>CONCATENATE(LEFT(RIGHT(CONCATENATE("000",IFAData_TEA_1617!A1842),6),3),"-",(RIGHT(RIGHT(CONCATENATE("000",IFAData_TEA_1617!A1842),6),3)))</f>
        <v>184-903</v>
      </c>
      <c r="C1842" s="2266" t="s">
        <v>161</v>
      </c>
      <c r="D1842" s="2266">
        <v>6</v>
      </c>
      <c r="E1842" s="2266">
        <v>2439</v>
      </c>
      <c r="F1842" s="2266" t="s">
        <v>6072</v>
      </c>
      <c r="G1842" s="2266" t="s">
        <v>6074</v>
      </c>
      <c r="H1842" s="2266">
        <v>240000</v>
      </c>
      <c r="I1842" s="2266">
        <v>111085</v>
      </c>
      <c r="J1842" s="2266">
        <v>1.9956266341287096E-2</v>
      </c>
      <c r="K1842" s="2266">
        <v>4789.5039219089031</v>
      </c>
      <c r="L1842" s="2266">
        <v>4789.5039219089031</v>
      </c>
      <c r="M1842" s="2266">
        <v>599</v>
      </c>
    </row>
    <row r="1843" spans="1:13" ht="15">
      <c r="A1843" s="2266" t="s">
        <v>4321</v>
      </c>
      <c r="B1843" s="2465" t="str">
        <f>CONCATENATE(LEFT(RIGHT(CONCATENATE("000",IFAData_TEA_1617!A1843),6),3),"-",(RIGHT(RIGHT(CONCATENATE("000",IFAData_TEA_1617!A1843),6),3)))</f>
        <v>184-904</v>
      </c>
      <c r="C1843" s="2266" t="s">
        <v>2558</v>
      </c>
      <c r="D1843" s="2266">
        <v>9</v>
      </c>
      <c r="E1843" s="2266">
        <v>2109</v>
      </c>
      <c r="F1843" s="2266" t="s">
        <v>6080</v>
      </c>
      <c r="G1843" s="2266" t="s">
        <v>7034</v>
      </c>
      <c r="H1843" s="2266">
        <v>193685</v>
      </c>
      <c r="I1843" s="2266">
        <v>374600</v>
      </c>
      <c r="J1843" s="2266">
        <v>0.56912792464296569</v>
      </c>
      <c r="K1843" s="2266">
        <v>110231.54208447281</v>
      </c>
      <c r="L1843" s="2266">
        <v>110231.54208447281</v>
      </c>
      <c r="M1843" s="2266">
        <v>599</v>
      </c>
    </row>
    <row r="1844" spans="1:13" ht="15">
      <c r="A1844" s="2266" t="s">
        <v>4321</v>
      </c>
      <c r="B1844" s="2465" t="str">
        <f>CONCATENATE(LEFT(RIGHT(CONCATENATE("000",IFAData_TEA_1617!A1844),6),3),"-",(RIGHT(RIGHT(CONCATENATE("000",IFAData_TEA_1617!A1844),6),3)))</f>
        <v>184-904</v>
      </c>
      <c r="C1844" s="2266" t="s">
        <v>2558</v>
      </c>
      <c r="D1844" s="2266">
        <v>9</v>
      </c>
      <c r="E1844" s="2266">
        <v>2109</v>
      </c>
      <c r="F1844" s="2266" t="s">
        <v>6080</v>
      </c>
      <c r="G1844" s="2266" t="s">
        <v>7035</v>
      </c>
      <c r="H1844" s="2266">
        <v>193685</v>
      </c>
      <c r="I1844" s="2266">
        <v>188600</v>
      </c>
      <c r="J1844" s="2266">
        <v>0.2865390458827104</v>
      </c>
      <c r="K1844" s="2266">
        <v>55498.315101792767</v>
      </c>
      <c r="L1844" s="2266">
        <v>55498.315101792767</v>
      </c>
      <c r="M1844" s="2266">
        <v>599</v>
      </c>
    </row>
    <row r="1845" spans="1:13" ht="15">
      <c r="A1845" s="2266" t="s">
        <v>4321</v>
      </c>
      <c r="B1845" s="2465" t="str">
        <f>CONCATENATE(LEFT(RIGHT(CONCATENATE("000",IFAData_TEA_1617!A1845),6),3),"-",(RIGHT(RIGHT(CONCATENATE("000",IFAData_TEA_1617!A1845),6),3)))</f>
        <v>184-904</v>
      </c>
      <c r="C1845" s="2266" t="s">
        <v>2558</v>
      </c>
      <c r="D1845" s="2266">
        <v>3</v>
      </c>
      <c r="E1845" s="2266">
        <v>2108</v>
      </c>
      <c r="F1845" s="2266" t="s">
        <v>6078</v>
      </c>
      <c r="G1845" s="2266" t="s">
        <v>7036</v>
      </c>
      <c r="H1845" s="2266">
        <v>166883</v>
      </c>
      <c r="I1845" s="2266">
        <v>364200</v>
      </c>
      <c r="J1845" s="2266">
        <v>1</v>
      </c>
      <c r="K1845" s="2266">
        <v>166883</v>
      </c>
      <c r="L1845" s="2266">
        <v>166883</v>
      </c>
      <c r="M1845" s="2266">
        <v>599</v>
      </c>
    </row>
    <row r="1846" spans="1:13" ht="15">
      <c r="A1846" s="2266" t="s">
        <v>4321</v>
      </c>
      <c r="B1846" s="2465" t="str">
        <f>CONCATENATE(LEFT(RIGHT(CONCATENATE("000",IFAData_TEA_1617!A1846),6),3),"-",(RIGHT(RIGHT(CONCATENATE("000",IFAData_TEA_1617!A1846),6),3)))</f>
        <v>184-904</v>
      </c>
      <c r="C1846" s="2266" t="s">
        <v>2558</v>
      </c>
      <c r="D1846" s="2266">
        <v>3</v>
      </c>
      <c r="E1846" s="2266">
        <v>2108</v>
      </c>
      <c r="F1846" s="2266" t="s">
        <v>6078</v>
      </c>
      <c r="G1846" s="2266" t="s">
        <v>6079</v>
      </c>
      <c r="H1846" s="2266">
        <v>166883</v>
      </c>
      <c r="I1846" s="2266">
        <v>0</v>
      </c>
      <c r="J1846" s="2266">
        <v>0</v>
      </c>
      <c r="K1846" s="2266">
        <v>0</v>
      </c>
      <c r="L1846" s="2266">
        <v>0</v>
      </c>
      <c r="M1846" s="2266">
        <v>599</v>
      </c>
    </row>
    <row r="1847" spans="1:13" ht="15">
      <c r="A1847" s="2266" t="s">
        <v>4321</v>
      </c>
      <c r="B1847" s="2465" t="str">
        <f>CONCATENATE(LEFT(RIGHT(CONCATENATE("000",IFAData_TEA_1617!A1847),6),3),"-",(RIGHT(RIGHT(CONCATENATE("000",IFAData_TEA_1617!A1847),6),3)))</f>
        <v>184-904</v>
      </c>
      <c r="C1847" s="2266" t="s">
        <v>2558</v>
      </c>
      <c r="D1847" s="2266">
        <v>3</v>
      </c>
      <c r="E1847" s="2266">
        <v>2108</v>
      </c>
      <c r="F1847" s="2266" t="s">
        <v>6078</v>
      </c>
      <c r="G1847" s="2266" t="s">
        <v>6078</v>
      </c>
      <c r="H1847" s="2266">
        <v>166883</v>
      </c>
      <c r="I1847" s="2266">
        <v>0</v>
      </c>
      <c r="J1847" s="2266">
        <v>0</v>
      </c>
      <c r="K1847" s="2266">
        <v>0</v>
      </c>
      <c r="L1847" s="2266">
        <v>0</v>
      </c>
      <c r="M1847" s="2266">
        <v>599</v>
      </c>
    </row>
    <row r="1848" spans="1:13" ht="15">
      <c r="A1848" s="2266" t="s">
        <v>4321</v>
      </c>
      <c r="B1848" s="2465" t="str">
        <f>CONCATENATE(LEFT(RIGHT(CONCATENATE("000",IFAData_TEA_1617!A1848),6),3),"-",(RIGHT(RIGHT(CONCATENATE("000",IFAData_TEA_1617!A1848),6),3)))</f>
        <v>184-904</v>
      </c>
      <c r="C1848" s="2266" t="s">
        <v>2558</v>
      </c>
      <c r="D1848" s="2266">
        <v>9</v>
      </c>
      <c r="E1848" s="2266">
        <v>2109</v>
      </c>
      <c r="F1848" s="2266" t="s">
        <v>6080</v>
      </c>
      <c r="G1848" s="2266" t="s">
        <v>6080</v>
      </c>
      <c r="H1848" s="2266">
        <v>193685</v>
      </c>
      <c r="I1848" s="2266">
        <v>95000</v>
      </c>
      <c r="J1848" s="2266">
        <v>0.14433302947432392</v>
      </c>
      <c r="K1848" s="2266">
        <v>27955.142813734426</v>
      </c>
      <c r="L1848" s="2266">
        <v>27955.142813734426</v>
      </c>
      <c r="M1848" s="2266">
        <v>599</v>
      </c>
    </row>
    <row r="1849" spans="1:13" ht="15">
      <c r="A1849" s="2266" t="s">
        <v>4322</v>
      </c>
      <c r="B1849" s="2465" t="str">
        <f>CONCATENATE(LEFT(RIGHT(CONCATENATE("000",IFAData_TEA_1617!A1849),6),3),"-",(RIGHT(RIGHT(CONCATENATE("000",IFAData_TEA_1617!A1849),6),3)))</f>
        <v>184-908</v>
      </c>
      <c r="C1849" s="2266" t="s">
        <v>2988</v>
      </c>
      <c r="D1849" s="2266">
        <v>6</v>
      </c>
      <c r="E1849" s="2266">
        <v>2184</v>
      </c>
      <c r="F1849" s="2266" t="s">
        <v>6081</v>
      </c>
      <c r="G1849" s="2266" t="s">
        <v>6082</v>
      </c>
      <c r="H1849" s="2266">
        <v>242636</v>
      </c>
      <c r="I1849" s="2266">
        <v>569766</v>
      </c>
      <c r="J1849" s="2266">
        <v>1</v>
      </c>
      <c r="K1849" s="2266">
        <v>242636</v>
      </c>
      <c r="L1849" s="2266">
        <v>242636</v>
      </c>
      <c r="M1849" s="2266">
        <v>599</v>
      </c>
    </row>
    <row r="1850" spans="1:13" ht="15">
      <c r="A1850" s="2266" t="s">
        <v>4322</v>
      </c>
      <c r="B1850" s="2465" t="str">
        <f>CONCATENATE(LEFT(RIGHT(CONCATENATE("000",IFAData_TEA_1617!A1850),6),3),"-",(RIGHT(RIGHT(CONCATENATE("000",IFAData_TEA_1617!A1850),6),3)))</f>
        <v>184-908</v>
      </c>
      <c r="C1850" s="2266" t="s">
        <v>2988</v>
      </c>
      <c r="D1850" s="2266">
        <v>6</v>
      </c>
      <c r="E1850" s="2266">
        <v>2184</v>
      </c>
      <c r="F1850" s="2266" t="s">
        <v>6081</v>
      </c>
      <c r="G1850" s="2266" t="s">
        <v>6081</v>
      </c>
      <c r="H1850" s="2266">
        <v>242636</v>
      </c>
      <c r="I1850" s="2266">
        <v>0</v>
      </c>
      <c r="J1850" s="2266">
        <v>0</v>
      </c>
      <c r="K1850" s="2266">
        <v>0</v>
      </c>
      <c r="L1850" s="2266">
        <v>0</v>
      </c>
      <c r="M1850" s="2266">
        <v>599</v>
      </c>
    </row>
    <row r="1851" spans="1:13" ht="15">
      <c r="A1851" s="2266" t="s">
        <v>4322</v>
      </c>
      <c r="B1851" s="2465" t="str">
        <f>CONCATENATE(LEFT(RIGHT(CONCATENATE("000",IFAData_TEA_1617!A1851),6),3),"-",(RIGHT(RIGHT(CONCATENATE("000",IFAData_TEA_1617!A1851),6),3)))</f>
        <v>184-908</v>
      </c>
      <c r="C1851" s="2266" t="s">
        <v>2988</v>
      </c>
      <c r="D1851" s="2266">
        <v>9</v>
      </c>
      <c r="E1851" s="2266">
        <v>2183</v>
      </c>
      <c r="F1851" s="2266" t="s">
        <v>6083</v>
      </c>
      <c r="G1851" s="2266" t="s">
        <v>6083</v>
      </c>
      <c r="H1851" s="2266">
        <v>201241</v>
      </c>
      <c r="I1851" s="2266">
        <v>0</v>
      </c>
      <c r="J1851" s="2266">
        <v>0</v>
      </c>
      <c r="K1851" s="2266">
        <v>0</v>
      </c>
      <c r="L1851" s="2266">
        <v>0</v>
      </c>
      <c r="M1851" s="2266">
        <v>599</v>
      </c>
    </row>
    <row r="1852" spans="1:13" ht="15">
      <c r="A1852" s="2266" t="s">
        <v>4322</v>
      </c>
      <c r="B1852" s="2465" t="str">
        <f>CONCATENATE(LEFT(RIGHT(CONCATENATE("000",IFAData_TEA_1617!A1852),6),3),"-",(RIGHT(RIGHT(CONCATENATE("000",IFAData_TEA_1617!A1852),6),3)))</f>
        <v>184-908</v>
      </c>
      <c r="C1852" s="2266" t="s">
        <v>2988</v>
      </c>
      <c r="D1852" s="2266">
        <v>9</v>
      </c>
      <c r="E1852" s="2266">
        <v>2183</v>
      </c>
      <c r="F1852" s="2266" t="s">
        <v>6083</v>
      </c>
      <c r="G1852" s="2266" t="s">
        <v>7037</v>
      </c>
      <c r="H1852" s="2266">
        <v>201241</v>
      </c>
      <c r="I1852" s="2266">
        <v>238650</v>
      </c>
      <c r="J1852" s="2266">
        <v>1</v>
      </c>
      <c r="K1852" s="2266">
        <v>201241</v>
      </c>
      <c r="L1852" s="2266">
        <v>201241</v>
      </c>
      <c r="M1852" s="2266">
        <v>599</v>
      </c>
    </row>
    <row r="1853" spans="1:13" ht="15">
      <c r="A1853" s="2266" t="s">
        <v>4323</v>
      </c>
      <c r="B1853" s="2465" t="str">
        <f>CONCATENATE(LEFT(RIGHT(CONCATENATE("000",IFAData_TEA_1617!A1853),6),3),"-",(RIGHT(RIGHT(CONCATENATE("000",IFAData_TEA_1617!A1853),6),3)))</f>
        <v>184-909</v>
      </c>
      <c r="C1853" s="2266" t="s">
        <v>2122</v>
      </c>
      <c r="D1853" s="2266">
        <v>5</v>
      </c>
      <c r="E1853" s="2266">
        <v>1634</v>
      </c>
      <c r="F1853" s="2266" t="s">
        <v>6084</v>
      </c>
      <c r="G1853" s="2266" t="s">
        <v>6085</v>
      </c>
      <c r="H1853" s="2266">
        <v>167169</v>
      </c>
      <c r="I1853" s="2266">
        <v>225503</v>
      </c>
      <c r="J1853" s="2266">
        <v>0.91708894220993131</v>
      </c>
      <c r="K1853" s="2266">
        <v>153308.841380292</v>
      </c>
      <c r="L1853" s="2266">
        <v>153308.841380292</v>
      </c>
      <c r="M1853" s="2266">
        <v>599</v>
      </c>
    </row>
    <row r="1854" spans="1:13" ht="15">
      <c r="A1854" s="2266" t="s">
        <v>4323</v>
      </c>
      <c r="B1854" s="2465" t="str">
        <f>CONCATENATE(LEFT(RIGHT(CONCATENATE("000",IFAData_TEA_1617!A1854),6),3),"-",(RIGHT(RIGHT(CONCATENATE("000",IFAData_TEA_1617!A1854),6),3)))</f>
        <v>184-909</v>
      </c>
      <c r="C1854" s="2266" t="s">
        <v>2122</v>
      </c>
      <c r="D1854" s="2266">
        <v>5</v>
      </c>
      <c r="E1854" s="2266">
        <v>1634</v>
      </c>
      <c r="F1854" s="2266" t="s">
        <v>6084</v>
      </c>
      <c r="G1854" s="2266" t="s">
        <v>6084</v>
      </c>
      <c r="H1854" s="2266">
        <v>167169</v>
      </c>
      <c r="I1854" s="2266">
        <v>0</v>
      </c>
      <c r="J1854" s="2266">
        <v>0</v>
      </c>
      <c r="K1854" s="2266">
        <v>0</v>
      </c>
      <c r="L1854" s="2266">
        <v>0</v>
      </c>
      <c r="M1854" s="2266">
        <v>599</v>
      </c>
    </row>
    <row r="1855" spans="1:13" ht="15">
      <c r="A1855" s="2266" t="s">
        <v>4323</v>
      </c>
      <c r="B1855" s="2465" t="str">
        <f>CONCATENATE(LEFT(RIGHT(CONCATENATE("000",IFAData_TEA_1617!A1855),6),3),"-",(RIGHT(RIGHT(CONCATENATE("000",IFAData_TEA_1617!A1855),6),3)))</f>
        <v>184-909</v>
      </c>
      <c r="C1855" s="2266" t="s">
        <v>2122</v>
      </c>
      <c r="D1855" s="2266">
        <v>5</v>
      </c>
      <c r="E1855" s="2266">
        <v>1634</v>
      </c>
      <c r="F1855" s="2266" t="s">
        <v>6084</v>
      </c>
      <c r="G1855" s="2266" t="s">
        <v>7263</v>
      </c>
      <c r="H1855" s="2266">
        <v>167169</v>
      </c>
      <c r="I1855" s="2266">
        <v>20387</v>
      </c>
      <c r="J1855" s="2266">
        <v>8.2911057790068729E-2</v>
      </c>
      <c r="K1855" s="2266">
        <v>13860.158619708</v>
      </c>
      <c r="L1855" s="2266">
        <v>13860.158619708</v>
      </c>
      <c r="M1855" s="2266">
        <v>599</v>
      </c>
    </row>
    <row r="1856" spans="1:13" ht="15">
      <c r="A1856" s="2266" t="s">
        <v>4324</v>
      </c>
      <c r="B1856" s="2465" t="str">
        <f>CONCATENATE(LEFT(RIGHT(CONCATENATE("000",IFAData_TEA_1617!A1856),6),3),"-",(RIGHT(RIGHT(CONCATENATE("000",IFAData_TEA_1617!A1856),6),3)))</f>
        <v>187-907</v>
      </c>
      <c r="C1856" s="2266" t="s">
        <v>2545</v>
      </c>
      <c r="D1856" s="2266">
        <v>1</v>
      </c>
      <c r="E1856" s="2266">
        <v>2028</v>
      </c>
      <c r="F1856" s="2266" t="s">
        <v>6086</v>
      </c>
      <c r="G1856" s="2266" t="s">
        <v>7038</v>
      </c>
      <c r="H1856" s="2266">
        <v>925000</v>
      </c>
      <c r="I1856" s="2266">
        <v>860550</v>
      </c>
      <c r="J1856" s="2266">
        <v>1</v>
      </c>
      <c r="K1856" s="2266">
        <v>925000</v>
      </c>
      <c r="L1856" s="2266">
        <v>860550</v>
      </c>
      <c r="M1856" s="2266">
        <v>599</v>
      </c>
    </row>
    <row r="1857" spans="1:13" ht="15">
      <c r="A1857" s="2266" t="s">
        <v>4324</v>
      </c>
      <c r="B1857" s="2465" t="str">
        <f>CONCATENATE(LEFT(RIGHT(CONCATENATE("000",IFAData_TEA_1617!A1857),6),3),"-",(RIGHT(RIGHT(CONCATENATE("000",IFAData_TEA_1617!A1857),6),3)))</f>
        <v>187-907</v>
      </c>
      <c r="C1857" s="2266" t="s">
        <v>2545</v>
      </c>
      <c r="D1857" s="2266">
        <v>1</v>
      </c>
      <c r="E1857" s="2266">
        <v>2028</v>
      </c>
      <c r="F1857" s="2266" t="s">
        <v>6086</v>
      </c>
      <c r="G1857" s="2266" t="s">
        <v>6087</v>
      </c>
      <c r="H1857" s="2266">
        <v>925000</v>
      </c>
      <c r="I1857" s="2266">
        <v>0</v>
      </c>
      <c r="J1857" s="2266">
        <v>0</v>
      </c>
      <c r="K1857" s="2266">
        <v>0</v>
      </c>
      <c r="L1857" s="2266">
        <v>0</v>
      </c>
      <c r="M1857" s="2266">
        <v>599</v>
      </c>
    </row>
    <row r="1858" spans="1:13" ht="15">
      <c r="A1858" s="2266" t="s">
        <v>4324</v>
      </c>
      <c r="B1858" s="2465" t="str">
        <f>CONCATENATE(LEFT(RIGHT(CONCATENATE("000",IFAData_TEA_1617!A1858),6),3),"-",(RIGHT(RIGHT(CONCATENATE("000",IFAData_TEA_1617!A1858),6),3)))</f>
        <v>187-907</v>
      </c>
      <c r="C1858" s="2266" t="s">
        <v>2545</v>
      </c>
      <c r="D1858" s="2266">
        <v>1</v>
      </c>
      <c r="E1858" s="2266">
        <v>2028</v>
      </c>
      <c r="F1858" s="2266" t="s">
        <v>6086</v>
      </c>
      <c r="G1858" s="2266" t="s">
        <v>6086</v>
      </c>
      <c r="H1858" s="2266">
        <v>925000</v>
      </c>
      <c r="I1858" s="2266">
        <v>0</v>
      </c>
      <c r="J1858" s="2266">
        <v>0</v>
      </c>
      <c r="K1858" s="2266">
        <v>0</v>
      </c>
      <c r="L1858" s="2266">
        <v>0</v>
      </c>
      <c r="M1858" s="2266">
        <v>599</v>
      </c>
    </row>
    <row r="1859" spans="1:13" ht="15">
      <c r="A1859" s="2266" t="s">
        <v>4324</v>
      </c>
      <c r="B1859" s="2465" t="str">
        <f>CONCATENATE(LEFT(RIGHT(CONCATENATE("000",IFAData_TEA_1617!A1859),6),3),"-",(RIGHT(RIGHT(CONCATENATE("000",IFAData_TEA_1617!A1859),6),3)))</f>
        <v>187-907</v>
      </c>
      <c r="C1859" s="2266" t="s">
        <v>2545</v>
      </c>
      <c r="D1859" s="2266">
        <v>9</v>
      </c>
      <c r="E1859" s="2266">
        <v>2029</v>
      </c>
      <c r="F1859" s="2266" t="s">
        <v>6088</v>
      </c>
      <c r="G1859" s="2266" t="s">
        <v>6088</v>
      </c>
      <c r="H1859" s="2266">
        <v>954000</v>
      </c>
      <c r="I1859" s="2266">
        <v>2797319</v>
      </c>
      <c r="J1859" s="2266">
        <v>0.87991822758060778</v>
      </c>
      <c r="K1859" s="2266">
        <v>839441.98911189986</v>
      </c>
      <c r="L1859" s="2266">
        <v>839441.98911189986</v>
      </c>
      <c r="M1859" s="2266">
        <v>599</v>
      </c>
    </row>
    <row r="1860" spans="1:13" ht="15">
      <c r="A1860" s="2266" t="s">
        <v>4324</v>
      </c>
      <c r="B1860" s="2465" t="str">
        <f>CONCATENATE(LEFT(RIGHT(CONCATENATE("000",IFAData_TEA_1617!A1860),6),3),"-",(RIGHT(RIGHT(CONCATENATE("000",IFAData_TEA_1617!A1860),6),3)))</f>
        <v>187-907</v>
      </c>
      <c r="C1860" s="2266" t="s">
        <v>2545</v>
      </c>
      <c r="D1860" s="2266">
        <v>9</v>
      </c>
      <c r="E1860" s="2266">
        <v>2029</v>
      </c>
      <c r="F1860" s="2266" t="s">
        <v>6088</v>
      </c>
      <c r="G1860" s="2266" t="s">
        <v>7264</v>
      </c>
      <c r="H1860" s="2266">
        <v>954000</v>
      </c>
      <c r="I1860" s="2266">
        <v>381748</v>
      </c>
      <c r="J1860" s="2266">
        <v>0.12008177241939223</v>
      </c>
      <c r="K1860" s="2266">
        <v>114558.01088810019</v>
      </c>
      <c r="L1860" s="2266">
        <v>114558.01088810019</v>
      </c>
      <c r="M1860" s="2266">
        <v>599</v>
      </c>
    </row>
    <row r="1861" spans="1:13" ht="15">
      <c r="A1861" s="2266" t="s">
        <v>4325</v>
      </c>
      <c r="B1861" s="2465" t="str">
        <f>CONCATENATE(LEFT(RIGHT(CONCATENATE("000",IFAData_TEA_1617!A1861),6),3),"-",(RIGHT(RIGHT(CONCATENATE("000",IFAData_TEA_1617!A1861),6),3)))</f>
        <v>188-901</v>
      </c>
      <c r="C1861" s="2266" t="s">
        <v>1204</v>
      </c>
      <c r="D1861" s="2266">
        <v>1</v>
      </c>
      <c r="E1861" s="2266">
        <v>1571</v>
      </c>
      <c r="F1861" s="2266" t="s">
        <v>6089</v>
      </c>
      <c r="G1861" s="2266" t="s">
        <v>6089</v>
      </c>
      <c r="H1861" s="2266">
        <v>2142810</v>
      </c>
      <c r="I1861" s="2266">
        <v>0</v>
      </c>
      <c r="J1861" s="2266">
        <v>0</v>
      </c>
      <c r="K1861" s="2266"/>
      <c r="L1861" s="2266">
        <v>0</v>
      </c>
      <c r="M1861" s="2266">
        <v>599</v>
      </c>
    </row>
    <row r="1862" spans="1:13" ht="15">
      <c r="A1862" s="2266" t="s">
        <v>4326</v>
      </c>
      <c r="B1862" s="2465" t="str">
        <f>CONCATENATE(LEFT(RIGHT(CONCATENATE("000",IFAData_TEA_1617!A1862),6),3),"-",(RIGHT(RIGHT(CONCATENATE("000",IFAData_TEA_1617!A1862),6),3)))</f>
        <v>188-902</v>
      </c>
      <c r="C1862" s="2266" t="s">
        <v>3095</v>
      </c>
      <c r="D1862" s="2266">
        <v>1</v>
      </c>
      <c r="E1862" s="2266">
        <v>2249</v>
      </c>
      <c r="F1862" s="2266" t="s">
        <v>6092</v>
      </c>
      <c r="G1862" s="2266" t="s">
        <v>6093</v>
      </c>
      <c r="H1862" s="2266">
        <v>331772</v>
      </c>
      <c r="I1862" s="2266">
        <v>322875</v>
      </c>
      <c r="J1862" s="2266">
        <v>1</v>
      </c>
      <c r="K1862" s="2266">
        <v>331772</v>
      </c>
      <c r="L1862" s="2266">
        <v>322875</v>
      </c>
      <c r="M1862" s="2266">
        <v>599</v>
      </c>
    </row>
    <row r="1863" spans="1:13" ht="15">
      <c r="A1863" s="2266" t="s">
        <v>4326</v>
      </c>
      <c r="B1863" s="2465" t="str">
        <f>CONCATENATE(LEFT(RIGHT(CONCATENATE("000",IFAData_TEA_1617!A1863),6),3),"-",(RIGHT(RIGHT(CONCATENATE("000",IFAData_TEA_1617!A1863),6),3)))</f>
        <v>188-902</v>
      </c>
      <c r="C1863" s="2266" t="s">
        <v>3095</v>
      </c>
      <c r="D1863" s="2266">
        <v>1</v>
      </c>
      <c r="E1863" s="2266">
        <v>2249</v>
      </c>
      <c r="F1863" s="2266" t="s">
        <v>6092</v>
      </c>
      <c r="G1863" s="2266" t="s">
        <v>6092</v>
      </c>
      <c r="H1863" s="2266">
        <v>331772</v>
      </c>
      <c r="I1863" s="2266">
        <v>0</v>
      </c>
      <c r="J1863" s="2266">
        <v>0</v>
      </c>
      <c r="K1863" s="2266">
        <v>0</v>
      </c>
      <c r="L1863" s="2266">
        <v>0</v>
      </c>
      <c r="M1863" s="2266">
        <v>599</v>
      </c>
    </row>
    <row r="1864" spans="1:13" ht="15">
      <c r="A1864" s="2266" t="s">
        <v>4327</v>
      </c>
      <c r="B1864" s="2465" t="str">
        <f>CONCATENATE(LEFT(RIGHT(CONCATENATE("000",IFAData_TEA_1617!A1864),6),3),"-",(RIGHT(RIGHT(CONCATENATE("000",IFAData_TEA_1617!A1864),6),3)))</f>
        <v>189-901</v>
      </c>
      <c r="C1864" s="2266" t="s">
        <v>323</v>
      </c>
      <c r="D1864" s="2266">
        <v>6</v>
      </c>
      <c r="E1864" s="2266">
        <v>2064</v>
      </c>
      <c r="F1864" s="2266" t="s">
        <v>6094</v>
      </c>
      <c r="G1864" s="2266" t="s">
        <v>6095</v>
      </c>
      <c r="H1864" s="2266">
        <v>141412</v>
      </c>
      <c r="I1864" s="2266">
        <v>100000</v>
      </c>
      <c r="J1864" s="2266">
        <v>0.59541530217326588</v>
      </c>
      <c r="K1864" s="2266">
        <v>84198.868710925875</v>
      </c>
      <c r="L1864" s="2266">
        <v>84198.868710925875</v>
      </c>
      <c r="M1864" s="2266">
        <v>599</v>
      </c>
    </row>
    <row r="1865" spans="1:13" ht="15">
      <c r="A1865" s="2266" t="s">
        <v>4327</v>
      </c>
      <c r="B1865" s="2465" t="str">
        <f>CONCATENATE(LEFT(RIGHT(CONCATENATE("000",IFAData_TEA_1617!A1865),6),3),"-",(RIGHT(RIGHT(CONCATENATE("000",IFAData_TEA_1617!A1865),6),3)))</f>
        <v>189-901</v>
      </c>
      <c r="C1865" s="2266" t="s">
        <v>323</v>
      </c>
      <c r="D1865" s="2266">
        <v>6</v>
      </c>
      <c r="E1865" s="2266">
        <v>2064</v>
      </c>
      <c r="F1865" s="2266" t="s">
        <v>6094</v>
      </c>
      <c r="G1865" s="2266" t="s">
        <v>6094</v>
      </c>
      <c r="H1865" s="2266">
        <v>141412</v>
      </c>
      <c r="I1865" s="2266">
        <v>0</v>
      </c>
      <c r="J1865" s="2266">
        <v>0</v>
      </c>
      <c r="K1865" s="2266">
        <v>0</v>
      </c>
      <c r="L1865" s="2266">
        <v>0</v>
      </c>
      <c r="M1865" s="2266">
        <v>599</v>
      </c>
    </row>
    <row r="1866" spans="1:13" ht="15">
      <c r="A1866" s="2266" t="s">
        <v>4327</v>
      </c>
      <c r="B1866" s="2465" t="str">
        <f>CONCATENATE(LEFT(RIGHT(CONCATENATE("000",IFAData_TEA_1617!A1866),6),3),"-",(RIGHT(RIGHT(CONCATENATE("000",IFAData_TEA_1617!A1866),6),3)))</f>
        <v>189-901</v>
      </c>
      <c r="C1866" s="2266" t="s">
        <v>323</v>
      </c>
      <c r="D1866" s="2266">
        <v>9</v>
      </c>
      <c r="E1866" s="2266">
        <v>2063</v>
      </c>
      <c r="F1866" s="2266" t="s">
        <v>6096</v>
      </c>
      <c r="G1866" s="2266" t="s">
        <v>6096</v>
      </c>
      <c r="H1866" s="2266">
        <v>100000</v>
      </c>
      <c r="I1866" s="2266">
        <v>0</v>
      </c>
      <c r="J1866" s="2266">
        <v>0</v>
      </c>
      <c r="K1866" s="2266">
        <v>0</v>
      </c>
      <c r="L1866" s="2266">
        <v>0</v>
      </c>
      <c r="M1866" s="2266">
        <v>599</v>
      </c>
    </row>
    <row r="1867" spans="1:13" ht="15">
      <c r="A1867" s="2266" t="s">
        <v>4327</v>
      </c>
      <c r="B1867" s="2465" t="str">
        <f>CONCATENATE(LEFT(RIGHT(CONCATENATE("000",IFAData_TEA_1617!A1867),6),3),"-",(RIGHT(RIGHT(CONCATENATE("000",IFAData_TEA_1617!A1867),6),3)))</f>
        <v>189-901</v>
      </c>
      <c r="C1867" s="2266" t="s">
        <v>323</v>
      </c>
      <c r="D1867" s="2266">
        <v>9</v>
      </c>
      <c r="E1867" s="2266">
        <v>2063</v>
      </c>
      <c r="F1867" s="2266" t="s">
        <v>6096</v>
      </c>
      <c r="G1867" s="2266" t="s">
        <v>7039</v>
      </c>
      <c r="H1867" s="2266">
        <v>100000</v>
      </c>
      <c r="I1867" s="2266">
        <v>139736</v>
      </c>
      <c r="J1867" s="2266">
        <v>1</v>
      </c>
      <c r="K1867" s="2266">
        <v>100000</v>
      </c>
      <c r="L1867" s="2266">
        <v>100000</v>
      </c>
      <c r="M1867" s="2266">
        <v>599</v>
      </c>
    </row>
    <row r="1868" spans="1:13" ht="15">
      <c r="A1868" s="2266" t="s">
        <v>4327</v>
      </c>
      <c r="B1868" s="2465" t="str">
        <f>CONCATENATE(LEFT(RIGHT(CONCATENATE("000",IFAData_TEA_1617!A1868),6),3),"-",(RIGHT(RIGHT(CONCATENATE("000",IFAData_TEA_1617!A1868),6),3)))</f>
        <v>189-901</v>
      </c>
      <c r="C1868" s="2266" t="s">
        <v>323</v>
      </c>
      <c r="D1868" s="2266">
        <v>6</v>
      </c>
      <c r="E1868" s="2266">
        <v>2064</v>
      </c>
      <c r="F1868" s="2266" t="s">
        <v>6094</v>
      </c>
      <c r="G1868" s="2266" t="s">
        <v>7039</v>
      </c>
      <c r="H1868" s="2266">
        <v>141412</v>
      </c>
      <c r="I1868" s="2266">
        <v>67950</v>
      </c>
      <c r="J1868" s="2266">
        <v>0.40458469782673417</v>
      </c>
      <c r="K1868" s="2266">
        <v>57213.131289074132</v>
      </c>
      <c r="L1868" s="2266">
        <v>57213.131289074132</v>
      </c>
      <c r="M1868" s="2266">
        <v>599</v>
      </c>
    </row>
    <row r="1869" spans="1:13" ht="15">
      <c r="A1869" s="2266" t="s">
        <v>4328</v>
      </c>
      <c r="B1869" s="2465" t="str">
        <f>CONCATENATE(LEFT(RIGHT(CONCATENATE("000",IFAData_TEA_1617!A1869),6),3),"-",(RIGHT(RIGHT(CONCATENATE("000",IFAData_TEA_1617!A1869),6),3)))</f>
        <v>189-902</v>
      </c>
      <c r="C1869" s="2266" t="s">
        <v>2413</v>
      </c>
      <c r="D1869" s="2266">
        <v>2</v>
      </c>
      <c r="E1869" s="2266">
        <v>2210</v>
      </c>
      <c r="F1869" s="2266" t="s">
        <v>6097</v>
      </c>
      <c r="G1869" s="2266" t="s">
        <v>6098</v>
      </c>
      <c r="H1869" s="2266">
        <v>292085</v>
      </c>
      <c r="I1869" s="2266">
        <v>241395</v>
      </c>
      <c r="J1869" s="2266">
        <v>0.99700973488243383</v>
      </c>
      <c r="K1869" s="2266">
        <v>291211.58841313567</v>
      </c>
      <c r="L1869" s="2266">
        <v>241395</v>
      </c>
      <c r="M1869" s="2266">
        <v>599</v>
      </c>
    </row>
    <row r="1870" spans="1:13" ht="15">
      <c r="A1870" s="2266" t="s">
        <v>4328</v>
      </c>
      <c r="B1870" s="2465" t="str">
        <f>CONCATENATE(LEFT(RIGHT(CONCATENATE("000",IFAData_TEA_1617!A1870),6),3),"-",(RIGHT(RIGHT(CONCATENATE("000",IFAData_TEA_1617!A1870),6),3)))</f>
        <v>189-902</v>
      </c>
      <c r="C1870" s="2266" t="s">
        <v>2413</v>
      </c>
      <c r="D1870" s="2266">
        <v>4</v>
      </c>
      <c r="E1870" s="2266">
        <v>2211</v>
      </c>
      <c r="F1870" s="2266" t="s">
        <v>6099</v>
      </c>
      <c r="G1870" s="2266" t="s">
        <v>6098</v>
      </c>
      <c r="H1870" s="2266">
        <v>333511</v>
      </c>
      <c r="I1870" s="2266">
        <v>246488</v>
      </c>
      <c r="J1870" s="2266">
        <v>1</v>
      </c>
      <c r="K1870" s="2266">
        <v>333511</v>
      </c>
      <c r="L1870" s="2266">
        <v>246488</v>
      </c>
      <c r="M1870" s="2266">
        <v>599</v>
      </c>
    </row>
    <row r="1871" spans="1:13" ht="15">
      <c r="A1871" s="2266" t="s">
        <v>4328</v>
      </c>
      <c r="B1871" s="2465" t="str">
        <f>CONCATENATE(LEFT(RIGHT(CONCATENATE("000",IFAData_TEA_1617!A1871),6),3),"-",(RIGHT(RIGHT(CONCATENATE("000",IFAData_TEA_1617!A1871),6),3)))</f>
        <v>189-902</v>
      </c>
      <c r="C1871" s="2266" t="s">
        <v>2413</v>
      </c>
      <c r="D1871" s="2266">
        <v>2</v>
      </c>
      <c r="E1871" s="2266">
        <v>2210</v>
      </c>
      <c r="F1871" s="2266" t="s">
        <v>6097</v>
      </c>
      <c r="G1871" s="2266" t="s">
        <v>6097</v>
      </c>
      <c r="H1871" s="2266">
        <v>292085</v>
      </c>
      <c r="I1871" s="2266">
        <v>724</v>
      </c>
      <c r="J1871" s="2266">
        <v>2.9902651175661554E-3</v>
      </c>
      <c r="K1871" s="2266">
        <v>873.41158686431049</v>
      </c>
      <c r="L1871" s="2266">
        <v>724</v>
      </c>
      <c r="M1871" s="2266">
        <v>599</v>
      </c>
    </row>
    <row r="1872" spans="1:13" ht="15">
      <c r="A1872" s="2266" t="s">
        <v>4328</v>
      </c>
      <c r="B1872" s="2465" t="str">
        <f>CONCATENATE(LEFT(RIGHT(CONCATENATE("000",IFAData_TEA_1617!A1872),6),3),"-",(RIGHT(RIGHT(CONCATENATE("000",IFAData_TEA_1617!A1872),6),3)))</f>
        <v>189-902</v>
      </c>
      <c r="C1872" s="2266" t="s">
        <v>2413</v>
      </c>
      <c r="D1872" s="2266">
        <v>4</v>
      </c>
      <c r="E1872" s="2266">
        <v>2211</v>
      </c>
      <c r="F1872" s="2266" t="s">
        <v>6099</v>
      </c>
      <c r="G1872" s="2266" t="s">
        <v>6099</v>
      </c>
      <c r="H1872" s="2266">
        <v>333511</v>
      </c>
      <c r="I1872" s="2266">
        <v>0</v>
      </c>
      <c r="J1872" s="2266">
        <v>0</v>
      </c>
      <c r="K1872" s="2266">
        <v>0</v>
      </c>
      <c r="L1872" s="2266">
        <v>0</v>
      </c>
      <c r="M1872" s="2266">
        <v>599</v>
      </c>
    </row>
    <row r="1873" spans="1:13" ht="15">
      <c r="A1873" s="2266" t="s">
        <v>4329</v>
      </c>
      <c r="B1873" s="2465" t="str">
        <f>CONCATENATE(LEFT(RIGHT(CONCATENATE("000",IFAData_TEA_1617!A1873),6),3),"-",(RIGHT(RIGHT(CONCATENATE("000",IFAData_TEA_1617!A1873),6),3)))</f>
        <v>194-903</v>
      </c>
      <c r="C1873" s="2266" t="s">
        <v>3096</v>
      </c>
      <c r="D1873" s="2266">
        <v>3</v>
      </c>
      <c r="E1873" s="2266">
        <v>2251</v>
      </c>
      <c r="F1873" s="2266" t="s">
        <v>6100</v>
      </c>
      <c r="G1873" s="2266" t="s">
        <v>7040</v>
      </c>
      <c r="H1873" s="2266">
        <v>172500</v>
      </c>
      <c r="I1873" s="2266">
        <v>244070</v>
      </c>
      <c r="J1873" s="2266">
        <v>1</v>
      </c>
      <c r="K1873" s="2266">
        <v>172500</v>
      </c>
      <c r="L1873" s="2266">
        <v>172500</v>
      </c>
      <c r="M1873" s="2266">
        <v>599</v>
      </c>
    </row>
    <row r="1874" spans="1:13" ht="15">
      <c r="A1874" s="2266" t="s">
        <v>4329</v>
      </c>
      <c r="B1874" s="2465" t="str">
        <f>CONCATENATE(LEFT(RIGHT(CONCATENATE("000",IFAData_TEA_1617!A1874),6),3),"-",(RIGHT(RIGHT(CONCATENATE("000",IFAData_TEA_1617!A1874),6),3)))</f>
        <v>194-903</v>
      </c>
      <c r="C1874" s="2266" t="s">
        <v>3096</v>
      </c>
      <c r="D1874" s="2266">
        <v>5</v>
      </c>
      <c r="E1874" s="2266">
        <v>2250</v>
      </c>
      <c r="F1874" s="2266" t="s">
        <v>6102</v>
      </c>
      <c r="G1874" s="2266" t="s">
        <v>6102</v>
      </c>
      <c r="H1874" s="2266">
        <v>166474</v>
      </c>
      <c r="I1874" s="2266">
        <v>0</v>
      </c>
      <c r="J1874" s="2266">
        <v>0</v>
      </c>
      <c r="K1874" s="2266">
        <v>0</v>
      </c>
      <c r="L1874" s="2266">
        <v>0</v>
      </c>
      <c r="M1874" s="2266">
        <v>599</v>
      </c>
    </row>
    <row r="1875" spans="1:13" ht="15">
      <c r="A1875" s="2266" t="s">
        <v>4329</v>
      </c>
      <c r="B1875" s="2465" t="str">
        <f>CONCATENATE(LEFT(RIGHT(CONCATENATE("000",IFAData_TEA_1617!A1875),6),3),"-",(RIGHT(RIGHT(CONCATENATE("000",IFAData_TEA_1617!A1875),6),3)))</f>
        <v>194-903</v>
      </c>
      <c r="C1875" s="2266" t="s">
        <v>3096</v>
      </c>
      <c r="D1875" s="2266">
        <v>3</v>
      </c>
      <c r="E1875" s="2266">
        <v>2251</v>
      </c>
      <c r="F1875" s="2266" t="s">
        <v>6100</v>
      </c>
      <c r="G1875" s="2266" t="s">
        <v>6101</v>
      </c>
      <c r="H1875" s="2266">
        <v>172500</v>
      </c>
      <c r="I1875" s="2266">
        <v>0</v>
      </c>
      <c r="J1875" s="2266">
        <v>0</v>
      </c>
      <c r="K1875" s="2266">
        <v>0</v>
      </c>
      <c r="L1875" s="2266">
        <v>0</v>
      </c>
      <c r="M1875" s="2266">
        <v>599</v>
      </c>
    </row>
    <row r="1876" spans="1:13" ht="15">
      <c r="A1876" s="2266" t="s">
        <v>4329</v>
      </c>
      <c r="B1876" s="2465" t="str">
        <f>CONCATENATE(LEFT(RIGHT(CONCATENATE("000",IFAData_TEA_1617!A1876),6),3),"-",(RIGHT(RIGHT(CONCATENATE("000",IFAData_TEA_1617!A1876),6),3)))</f>
        <v>194-903</v>
      </c>
      <c r="C1876" s="2266" t="s">
        <v>3096</v>
      </c>
      <c r="D1876" s="2266">
        <v>5</v>
      </c>
      <c r="E1876" s="2266">
        <v>2250</v>
      </c>
      <c r="F1876" s="2266" t="s">
        <v>6102</v>
      </c>
      <c r="G1876" s="2266" t="s">
        <v>6103</v>
      </c>
      <c r="H1876" s="2266">
        <v>166474</v>
      </c>
      <c r="I1876" s="2266">
        <v>197875</v>
      </c>
      <c r="J1876" s="2266">
        <v>1</v>
      </c>
      <c r="K1876" s="2266">
        <v>166474</v>
      </c>
      <c r="L1876" s="2266">
        <v>166474</v>
      </c>
      <c r="M1876" s="2266">
        <v>599</v>
      </c>
    </row>
    <row r="1877" spans="1:13" ht="15">
      <c r="A1877" s="2266" t="s">
        <v>4329</v>
      </c>
      <c r="B1877" s="2465" t="str">
        <f>CONCATENATE(LEFT(RIGHT(CONCATENATE("000",IFAData_TEA_1617!A1877),6),3),"-",(RIGHT(RIGHT(CONCATENATE("000",IFAData_TEA_1617!A1877),6),3)))</f>
        <v>194-903</v>
      </c>
      <c r="C1877" s="2266" t="s">
        <v>3096</v>
      </c>
      <c r="D1877" s="2266">
        <v>3</v>
      </c>
      <c r="E1877" s="2266">
        <v>2251</v>
      </c>
      <c r="F1877" s="2266" t="s">
        <v>6100</v>
      </c>
      <c r="G1877" s="2266" t="s">
        <v>6100</v>
      </c>
      <c r="H1877" s="2266">
        <v>172500</v>
      </c>
      <c r="I1877" s="2266">
        <v>0</v>
      </c>
      <c r="J1877" s="2266">
        <v>0</v>
      </c>
      <c r="K1877" s="2266">
        <v>0</v>
      </c>
      <c r="L1877" s="2266">
        <v>0</v>
      </c>
      <c r="M1877" s="2266">
        <v>599</v>
      </c>
    </row>
    <row r="1878" spans="1:13" ht="15">
      <c r="A1878" s="2266" t="s">
        <v>4330</v>
      </c>
      <c r="B1878" s="2465" t="str">
        <f>CONCATENATE(LEFT(RIGHT(CONCATENATE("000",IFAData_TEA_1617!A1878),6),3),"-",(RIGHT(RIGHT(CONCATENATE("000",IFAData_TEA_1617!A1878),6),3)))</f>
        <v>194-905</v>
      </c>
      <c r="C1878" s="2266" t="s">
        <v>3065</v>
      </c>
      <c r="D1878" s="2266">
        <v>8</v>
      </c>
      <c r="E1878" s="2266">
        <v>1755</v>
      </c>
      <c r="F1878" s="2266" t="s">
        <v>6106</v>
      </c>
      <c r="G1878" s="2266" t="s">
        <v>6106</v>
      </c>
      <c r="H1878" s="2266">
        <v>116500</v>
      </c>
      <c r="I1878" s="2266">
        <v>0</v>
      </c>
      <c r="J1878" s="2266">
        <v>0</v>
      </c>
      <c r="K1878" s="2266">
        <v>0</v>
      </c>
      <c r="L1878" s="2266">
        <v>0</v>
      </c>
      <c r="M1878" s="2266">
        <v>599</v>
      </c>
    </row>
    <row r="1879" spans="1:13" ht="15">
      <c r="A1879" s="2266" t="s">
        <v>4330</v>
      </c>
      <c r="B1879" s="2465" t="str">
        <f>CONCATENATE(LEFT(RIGHT(CONCATENATE("000",IFAData_TEA_1617!A1879),6),3),"-",(RIGHT(RIGHT(CONCATENATE("000",IFAData_TEA_1617!A1879),6),3)))</f>
        <v>194-905</v>
      </c>
      <c r="C1879" s="2266" t="s">
        <v>3065</v>
      </c>
      <c r="D1879" s="2266">
        <v>4</v>
      </c>
      <c r="E1879" s="2266">
        <v>1753</v>
      </c>
      <c r="F1879" s="2266" t="s">
        <v>6104</v>
      </c>
      <c r="G1879" s="2266" t="s">
        <v>6104</v>
      </c>
      <c r="H1879" s="2266">
        <v>109658</v>
      </c>
      <c r="I1879" s="2266">
        <v>0</v>
      </c>
      <c r="J1879" s="2266">
        <v>0</v>
      </c>
      <c r="K1879" s="2266">
        <v>0</v>
      </c>
      <c r="L1879" s="2266">
        <v>0</v>
      </c>
      <c r="M1879" s="2266">
        <v>599</v>
      </c>
    </row>
    <row r="1880" spans="1:13" ht="15">
      <c r="A1880" s="2266" t="s">
        <v>4330</v>
      </c>
      <c r="B1880" s="2465" t="str">
        <f>CONCATENATE(LEFT(RIGHT(CONCATENATE("000",IFAData_TEA_1617!A1880),6),3),"-",(RIGHT(RIGHT(CONCATENATE("000",IFAData_TEA_1617!A1880),6),3)))</f>
        <v>194-905</v>
      </c>
      <c r="C1880" s="2266" t="s">
        <v>3065</v>
      </c>
      <c r="D1880" s="2266">
        <v>8</v>
      </c>
      <c r="E1880" s="2266">
        <v>1755</v>
      </c>
      <c r="F1880" s="2266" t="s">
        <v>6106</v>
      </c>
      <c r="G1880" s="2266" t="s">
        <v>7265</v>
      </c>
      <c r="H1880" s="2266">
        <v>116500</v>
      </c>
      <c r="I1880" s="2266">
        <v>108500</v>
      </c>
      <c r="J1880" s="2266">
        <v>1</v>
      </c>
      <c r="K1880" s="2266">
        <v>116500</v>
      </c>
      <c r="L1880" s="2266">
        <v>108500</v>
      </c>
      <c r="M1880" s="2266">
        <v>599</v>
      </c>
    </row>
    <row r="1881" spans="1:13" ht="15">
      <c r="A1881" s="2266" t="s">
        <v>4330</v>
      </c>
      <c r="B1881" s="2465" t="str">
        <f>CONCATENATE(LEFT(RIGHT(CONCATENATE("000",IFAData_TEA_1617!A1881),6),3),"-",(RIGHT(RIGHT(CONCATENATE("000",IFAData_TEA_1617!A1881),6),3)))</f>
        <v>194-905</v>
      </c>
      <c r="C1881" s="2266" t="s">
        <v>3065</v>
      </c>
      <c r="D1881" s="2266">
        <v>9</v>
      </c>
      <c r="E1881" s="2266">
        <v>1754</v>
      </c>
      <c r="F1881" s="2266" t="s">
        <v>6105</v>
      </c>
      <c r="G1881" s="2266" t="s">
        <v>6105</v>
      </c>
      <c r="H1881" s="2266">
        <v>115000</v>
      </c>
      <c r="I1881" s="2266">
        <v>168362</v>
      </c>
      <c r="J1881" s="2266">
        <v>1</v>
      </c>
      <c r="K1881" s="2266">
        <v>115000</v>
      </c>
      <c r="L1881" s="2266">
        <v>115000</v>
      </c>
      <c r="M1881" s="2266">
        <v>599</v>
      </c>
    </row>
    <row r="1882" spans="1:13" ht="15">
      <c r="A1882" s="2266" t="s">
        <v>4330</v>
      </c>
      <c r="B1882" s="2465" t="str">
        <f>CONCATENATE(LEFT(RIGHT(CONCATENATE("000",IFAData_TEA_1617!A1882),6),3),"-",(RIGHT(RIGHT(CONCATENATE("000",IFAData_TEA_1617!A1882),6),3)))</f>
        <v>194-905</v>
      </c>
      <c r="C1882" s="2266" t="s">
        <v>3065</v>
      </c>
      <c r="D1882" s="2266">
        <v>4</v>
      </c>
      <c r="E1882" s="2266">
        <v>1753</v>
      </c>
      <c r="F1882" s="2266" t="s">
        <v>6104</v>
      </c>
      <c r="G1882" s="2266" t="s">
        <v>6105</v>
      </c>
      <c r="H1882" s="2266">
        <v>109658</v>
      </c>
      <c r="I1882" s="2266">
        <v>80226</v>
      </c>
      <c r="J1882" s="2266">
        <v>1</v>
      </c>
      <c r="K1882" s="2266">
        <v>109658</v>
      </c>
      <c r="L1882" s="2266">
        <v>80226</v>
      </c>
      <c r="M1882" s="2266">
        <v>599</v>
      </c>
    </row>
    <row r="1883" spans="1:13" ht="15">
      <c r="A1883" s="2266" t="s">
        <v>4331</v>
      </c>
      <c r="B1883" s="2465" t="str">
        <f>CONCATENATE(LEFT(RIGHT(CONCATENATE("000",IFAData_TEA_1617!A1883),6),3),"-",(RIGHT(RIGHT(CONCATENATE("000",IFAData_TEA_1617!A1883),6),3)))</f>
        <v>195-902</v>
      </c>
      <c r="C1883" s="2266" t="s">
        <v>2430</v>
      </c>
      <c r="D1883" s="2266">
        <v>5</v>
      </c>
      <c r="E1883" s="2266">
        <v>1590</v>
      </c>
      <c r="F1883" s="2266" t="s">
        <v>6107</v>
      </c>
      <c r="G1883" s="2266" t="s">
        <v>6107</v>
      </c>
      <c r="H1883" s="2266">
        <v>100000</v>
      </c>
      <c r="I1883" s="2266">
        <v>0</v>
      </c>
      <c r="J1883" s="2266">
        <v>0</v>
      </c>
      <c r="K1883" s="2266">
        <v>0</v>
      </c>
      <c r="L1883" s="2266">
        <v>0</v>
      </c>
      <c r="M1883" s="2266">
        <v>599</v>
      </c>
    </row>
    <row r="1884" spans="1:13" ht="15">
      <c r="A1884" s="2266" t="s">
        <v>4331</v>
      </c>
      <c r="B1884" s="2465" t="str">
        <f>CONCATENATE(LEFT(RIGHT(CONCATENATE("000",IFAData_TEA_1617!A1884),6),3),"-",(RIGHT(RIGHT(CONCATENATE("000",IFAData_TEA_1617!A1884),6),3)))</f>
        <v>195-902</v>
      </c>
      <c r="C1884" s="2266" t="s">
        <v>2430</v>
      </c>
      <c r="D1884" s="2266">
        <v>5</v>
      </c>
      <c r="E1884" s="2266">
        <v>1590</v>
      </c>
      <c r="F1884" s="2266" t="s">
        <v>6107</v>
      </c>
      <c r="G1884" s="2266" t="s">
        <v>6108</v>
      </c>
      <c r="H1884" s="2266">
        <v>100000</v>
      </c>
      <c r="I1884" s="2266">
        <v>95512</v>
      </c>
      <c r="J1884" s="2266">
        <v>1</v>
      </c>
      <c r="K1884" s="2266">
        <v>100000</v>
      </c>
      <c r="L1884" s="2266">
        <v>95512</v>
      </c>
      <c r="M1884" s="2266">
        <v>599</v>
      </c>
    </row>
    <row r="1885" spans="1:13" ht="15">
      <c r="A1885" s="2266" t="s">
        <v>4332</v>
      </c>
      <c r="B1885" s="2465" t="str">
        <f>CONCATENATE(LEFT(RIGHT(CONCATENATE("000",IFAData_TEA_1617!A1885),6),3),"-",(RIGHT(RIGHT(CONCATENATE("000",IFAData_TEA_1617!A1885),6),3)))</f>
        <v>199-902</v>
      </c>
      <c r="C1885" s="2266" t="s">
        <v>668</v>
      </c>
      <c r="D1885" s="2266">
        <v>9</v>
      </c>
      <c r="E1885" s="2266">
        <v>2271</v>
      </c>
      <c r="F1885" s="2266" t="s">
        <v>6112</v>
      </c>
      <c r="G1885" s="2266" t="s">
        <v>7041</v>
      </c>
      <c r="H1885" s="2266">
        <v>523367</v>
      </c>
      <c r="I1885" s="2266">
        <v>384844</v>
      </c>
      <c r="J1885" s="2266">
        <v>0.26272012582909854</v>
      </c>
      <c r="K1885" s="2266">
        <v>137499.04409479781</v>
      </c>
      <c r="L1885" s="2266">
        <v>137499.04409479781</v>
      </c>
      <c r="M1885" s="2266">
        <v>599</v>
      </c>
    </row>
    <row r="1886" spans="1:13" ht="15">
      <c r="A1886" s="2266" t="s">
        <v>4332</v>
      </c>
      <c r="B1886" s="2465" t="str">
        <f>CONCATENATE(LEFT(RIGHT(CONCATENATE("000",IFAData_TEA_1617!A1886),6),3),"-",(RIGHT(RIGHT(CONCATENATE("000",IFAData_TEA_1617!A1886),6),3)))</f>
        <v>199-902</v>
      </c>
      <c r="C1886" s="2266" t="s">
        <v>668</v>
      </c>
      <c r="D1886" s="2266">
        <v>5</v>
      </c>
      <c r="E1886" s="2266">
        <v>2270</v>
      </c>
      <c r="F1886" s="2266" t="s">
        <v>6109</v>
      </c>
      <c r="G1886" s="2266" t="s">
        <v>6111</v>
      </c>
      <c r="H1886" s="2266">
        <v>491500</v>
      </c>
      <c r="I1886" s="2266">
        <v>0</v>
      </c>
      <c r="J1886" s="2266">
        <v>0</v>
      </c>
      <c r="K1886" s="2266">
        <v>0</v>
      </c>
      <c r="L1886" s="2266">
        <v>0</v>
      </c>
      <c r="M1886" s="2266">
        <v>599</v>
      </c>
    </row>
    <row r="1887" spans="1:13" ht="15">
      <c r="A1887" s="2266" t="s">
        <v>4332</v>
      </c>
      <c r="B1887" s="2465" t="str">
        <f>CONCATENATE(LEFT(RIGHT(CONCATENATE("000",IFAData_TEA_1617!A1887),6),3),"-",(RIGHT(RIGHT(CONCATENATE("000",IFAData_TEA_1617!A1887),6),3)))</f>
        <v>199-902</v>
      </c>
      <c r="C1887" s="2266" t="s">
        <v>668</v>
      </c>
      <c r="D1887" s="2266">
        <v>5</v>
      </c>
      <c r="E1887" s="2266">
        <v>2270</v>
      </c>
      <c r="F1887" s="2266" t="s">
        <v>6109</v>
      </c>
      <c r="G1887" s="2266" t="s">
        <v>6109</v>
      </c>
      <c r="H1887" s="2266">
        <v>491500</v>
      </c>
      <c r="I1887" s="2266">
        <v>0</v>
      </c>
      <c r="J1887" s="2266">
        <v>0</v>
      </c>
      <c r="K1887" s="2266">
        <v>0</v>
      </c>
      <c r="L1887" s="2266">
        <v>0</v>
      </c>
      <c r="M1887" s="2266">
        <v>599</v>
      </c>
    </row>
    <row r="1888" spans="1:13" ht="15">
      <c r="A1888" s="2266" t="s">
        <v>4332</v>
      </c>
      <c r="B1888" s="2465" t="str">
        <f>CONCATENATE(LEFT(RIGHT(CONCATENATE("000",IFAData_TEA_1617!A1888),6),3),"-",(RIGHT(RIGHT(CONCATENATE("000",IFAData_TEA_1617!A1888),6),3)))</f>
        <v>199-902</v>
      </c>
      <c r="C1888" s="2266" t="s">
        <v>668</v>
      </c>
      <c r="D1888" s="2266">
        <v>5</v>
      </c>
      <c r="E1888" s="2266">
        <v>2270</v>
      </c>
      <c r="F1888" s="2266" t="s">
        <v>6109</v>
      </c>
      <c r="G1888" s="2266" t="s">
        <v>6110</v>
      </c>
      <c r="H1888" s="2266">
        <v>491500</v>
      </c>
      <c r="I1888" s="2266">
        <v>676058</v>
      </c>
      <c r="J1888" s="2266">
        <v>1</v>
      </c>
      <c r="K1888" s="2266">
        <v>491500</v>
      </c>
      <c r="L1888" s="2266">
        <v>491500</v>
      </c>
      <c r="M1888" s="2266">
        <v>599</v>
      </c>
    </row>
    <row r="1889" spans="1:13" ht="15">
      <c r="A1889" s="2266" t="s">
        <v>4332</v>
      </c>
      <c r="B1889" s="2465" t="str">
        <f>CONCATENATE(LEFT(RIGHT(CONCATENATE("000",IFAData_TEA_1617!A1889),6),3),"-",(RIGHT(RIGHT(CONCATENATE("000",IFAData_TEA_1617!A1889),6),3)))</f>
        <v>199-902</v>
      </c>
      <c r="C1889" s="2266" t="s">
        <v>668</v>
      </c>
      <c r="D1889" s="2266">
        <v>9</v>
      </c>
      <c r="E1889" s="2266">
        <v>2271</v>
      </c>
      <c r="F1889" s="2266" t="s">
        <v>6112</v>
      </c>
      <c r="G1889" s="2266" t="s">
        <v>6112</v>
      </c>
      <c r="H1889" s="2266">
        <v>523367</v>
      </c>
      <c r="I1889" s="2266">
        <v>1080000</v>
      </c>
      <c r="J1889" s="2266">
        <v>0.73727987417090146</v>
      </c>
      <c r="K1889" s="2266">
        <v>385867.95590520219</v>
      </c>
      <c r="L1889" s="2266">
        <v>385867.95590520219</v>
      </c>
      <c r="M1889" s="2266">
        <v>599</v>
      </c>
    </row>
    <row r="1890" spans="1:13" ht="15">
      <c r="A1890" s="2266" t="s">
        <v>4333</v>
      </c>
      <c r="B1890" s="2465" t="str">
        <f>CONCATENATE(LEFT(RIGHT(CONCATENATE("000",IFAData_TEA_1617!A1890),6),3),"-",(RIGHT(RIGHT(CONCATENATE("000",IFAData_TEA_1617!A1890),6),3)))</f>
        <v>200-902</v>
      </c>
      <c r="C1890" s="2266" t="s">
        <v>2556</v>
      </c>
      <c r="D1890" s="2266">
        <v>4</v>
      </c>
      <c r="E1890" s="2266">
        <v>2105</v>
      </c>
      <c r="F1890" s="2266" t="s">
        <v>6113</v>
      </c>
      <c r="G1890" s="2266" t="s">
        <v>6114</v>
      </c>
      <c r="H1890" s="2266">
        <v>116481</v>
      </c>
      <c r="I1890" s="2266">
        <v>100912</v>
      </c>
      <c r="J1890" s="2266">
        <v>1</v>
      </c>
      <c r="K1890" s="2266">
        <v>116481</v>
      </c>
      <c r="L1890" s="2266">
        <v>100912</v>
      </c>
      <c r="M1890" s="2266">
        <v>599</v>
      </c>
    </row>
    <row r="1891" spans="1:13" ht="15">
      <c r="A1891" s="2266" t="s">
        <v>4333</v>
      </c>
      <c r="B1891" s="2465" t="str">
        <f>CONCATENATE(LEFT(RIGHT(CONCATENATE("000",IFAData_TEA_1617!A1891),6),3),"-",(RIGHT(RIGHT(CONCATENATE("000",IFAData_TEA_1617!A1891),6),3)))</f>
        <v>200-902</v>
      </c>
      <c r="C1891" s="2266" t="s">
        <v>2556</v>
      </c>
      <c r="D1891" s="2266">
        <v>4</v>
      </c>
      <c r="E1891" s="2266">
        <v>2105</v>
      </c>
      <c r="F1891" s="2266" t="s">
        <v>6113</v>
      </c>
      <c r="G1891" s="2266" t="s">
        <v>6113</v>
      </c>
      <c r="H1891" s="2266">
        <v>116481</v>
      </c>
      <c r="I1891" s="2266">
        <v>0</v>
      </c>
      <c r="J1891" s="2266">
        <v>0</v>
      </c>
      <c r="K1891" s="2266">
        <v>0</v>
      </c>
      <c r="L1891" s="2266">
        <v>0</v>
      </c>
      <c r="M1891" s="2266">
        <v>599</v>
      </c>
    </row>
    <row r="1892" spans="1:13" ht="15">
      <c r="A1892" s="2266" t="s">
        <v>6115</v>
      </c>
      <c r="B1892" s="2465" t="str">
        <f>CONCATENATE(LEFT(RIGHT(CONCATENATE("000",IFAData_TEA_1617!A1892),6),3),"-",(RIGHT(RIGHT(CONCATENATE("000",IFAData_TEA_1617!A1892),6),3)))</f>
        <v>200-904</v>
      </c>
      <c r="C1892" s="2266" t="s">
        <v>1290</v>
      </c>
      <c r="D1892" s="2266">
        <v>2</v>
      </c>
      <c r="E1892" s="2266">
        <v>2459</v>
      </c>
      <c r="F1892" s="2266" t="s">
        <v>6116</v>
      </c>
      <c r="G1892" s="2266" t="s">
        <v>6116</v>
      </c>
      <c r="H1892" s="2266">
        <v>177666</v>
      </c>
      <c r="I1892" s="2266">
        <v>0</v>
      </c>
      <c r="J1892" s="2266">
        <v>0</v>
      </c>
      <c r="K1892" s="2266"/>
      <c r="L1892" s="2266">
        <v>0</v>
      </c>
      <c r="M1892" s="2266">
        <v>199</v>
      </c>
    </row>
    <row r="1893" spans="1:13" ht="15">
      <c r="A1893" s="2266" t="s">
        <v>4334</v>
      </c>
      <c r="B1893" s="2465" t="str">
        <f>CONCATENATE(LEFT(RIGHT(CONCATENATE("000",IFAData_TEA_1617!A1893),6),3),"-",(RIGHT(RIGHT(CONCATENATE("000",IFAData_TEA_1617!A1893),6),3)))</f>
        <v>200-906</v>
      </c>
      <c r="C1893" s="2266" t="s">
        <v>291</v>
      </c>
      <c r="D1893" s="2266">
        <v>4</v>
      </c>
      <c r="E1893" s="2266">
        <v>2158</v>
      </c>
      <c r="F1893" s="2266" t="s">
        <v>6117</v>
      </c>
      <c r="G1893" s="2266" t="s">
        <v>6118</v>
      </c>
      <c r="H1893" s="2266">
        <v>100000</v>
      </c>
      <c r="I1893" s="2266">
        <v>82500</v>
      </c>
      <c r="J1893" s="2266">
        <v>1</v>
      </c>
      <c r="K1893" s="2266">
        <v>100000</v>
      </c>
      <c r="L1893" s="2266">
        <v>82500</v>
      </c>
      <c r="M1893" s="2266">
        <v>599</v>
      </c>
    </row>
    <row r="1894" spans="1:13" ht="15">
      <c r="A1894" s="2266" t="s">
        <v>4334</v>
      </c>
      <c r="B1894" s="2465" t="str">
        <f>CONCATENATE(LEFT(RIGHT(CONCATENATE("000",IFAData_TEA_1617!A1894),6),3),"-",(RIGHT(RIGHT(CONCATENATE("000",IFAData_TEA_1617!A1894),6),3)))</f>
        <v>200-906</v>
      </c>
      <c r="C1894" s="2266" t="s">
        <v>291</v>
      </c>
      <c r="D1894" s="2266">
        <v>4</v>
      </c>
      <c r="E1894" s="2266">
        <v>2158</v>
      </c>
      <c r="F1894" s="2266" t="s">
        <v>6117</v>
      </c>
      <c r="G1894" s="2266" t="s">
        <v>6117</v>
      </c>
      <c r="H1894" s="2266">
        <v>100000</v>
      </c>
      <c r="I1894" s="2266">
        <v>0</v>
      </c>
      <c r="J1894" s="2266">
        <v>0</v>
      </c>
      <c r="K1894" s="2266">
        <v>0</v>
      </c>
      <c r="L1894" s="2266">
        <v>0</v>
      </c>
      <c r="M1894" s="2266">
        <v>599</v>
      </c>
    </row>
    <row r="1895" spans="1:13" ht="15">
      <c r="A1895" s="2266" t="s">
        <v>6119</v>
      </c>
      <c r="B1895" s="2465" t="str">
        <f>CONCATENATE(LEFT(RIGHT(CONCATENATE("000",IFAData_TEA_1617!A1895),6),3),"-",(RIGHT(RIGHT(CONCATENATE("000",IFAData_TEA_1617!A1895),6),3)))</f>
        <v>201-907</v>
      </c>
      <c r="C1895" s="2266" t="s">
        <v>2467</v>
      </c>
      <c r="D1895" s="2266">
        <v>5</v>
      </c>
      <c r="E1895" s="2266">
        <v>2122</v>
      </c>
      <c r="F1895" s="2266" t="s">
        <v>6120</v>
      </c>
      <c r="G1895" s="2266" t="s">
        <v>6120</v>
      </c>
      <c r="H1895" s="2266">
        <v>59747</v>
      </c>
      <c r="I1895" s="2266">
        <v>0</v>
      </c>
      <c r="J1895" s="2266">
        <v>0</v>
      </c>
      <c r="K1895" s="2266"/>
      <c r="L1895" s="2266">
        <v>0</v>
      </c>
      <c r="M1895" s="2266">
        <v>199</v>
      </c>
    </row>
    <row r="1896" spans="1:13" ht="15">
      <c r="A1896" s="2266" t="s">
        <v>4335</v>
      </c>
      <c r="B1896" s="2465" t="str">
        <f>CONCATENATE(LEFT(RIGHT(CONCATENATE("000",IFAData_TEA_1617!A1896),6),3),"-",(RIGHT(RIGHT(CONCATENATE("000",IFAData_TEA_1617!A1896),6),3)))</f>
        <v>201-908</v>
      </c>
      <c r="C1896" s="2266" t="s">
        <v>1538</v>
      </c>
      <c r="D1896" s="2266">
        <v>5</v>
      </c>
      <c r="E1896" s="2266">
        <v>2167</v>
      </c>
      <c r="F1896" s="2266" t="s">
        <v>6121</v>
      </c>
      <c r="G1896" s="2266" t="s">
        <v>7042</v>
      </c>
      <c r="H1896" s="2266">
        <v>112110</v>
      </c>
      <c r="I1896" s="2266">
        <v>115607</v>
      </c>
      <c r="J1896" s="2266">
        <v>1</v>
      </c>
      <c r="K1896" s="2266">
        <v>112110</v>
      </c>
      <c r="L1896" s="2266">
        <v>112110</v>
      </c>
      <c r="M1896" s="2266">
        <v>599</v>
      </c>
    </row>
    <row r="1897" spans="1:13" ht="15">
      <c r="A1897" s="2266" t="s">
        <v>4335</v>
      </c>
      <c r="B1897" s="2465" t="str">
        <f>CONCATENATE(LEFT(RIGHT(CONCATENATE("000",IFAData_TEA_1617!A1897),6),3),"-",(RIGHT(RIGHT(CONCATENATE("000",IFAData_TEA_1617!A1897),6),3)))</f>
        <v>201-908</v>
      </c>
      <c r="C1897" s="2266" t="s">
        <v>1538</v>
      </c>
      <c r="D1897" s="2266">
        <v>5</v>
      </c>
      <c r="E1897" s="2266">
        <v>2167</v>
      </c>
      <c r="F1897" s="2266" t="s">
        <v>6121</v>
      </c>
      <c r="G1897" s="2266" t="s">
        <v>6121</v>
      </c>
      <c r="H1897" s="2266">
        <v>112110</v>
      </c>
      <c r="I1897" s="2266">
        <v>0</v>
      </c>
      <c r="J1897" s="2266">
        <v>0</v>
      </c>
      <c r="K1897" s="2266">
        <v>0</v>
      </c>
      <c r="L1897" s="2266">
        <v>0</v>
      </c>
      <c r="M1897" s="2266">
        <v>599</v>
      </c>
    </row>
    <row r="1898" spans="1:13" ht="15">
      <c r="A1898" s="2266" t="s">
        <v>4335</v>
      </c>
      <c r="B1898" s="2465" t="str">
        <f>CONCATENATE(LEFT(RIGHT(CONCATENATE("000",IFAData_TEA_1617!A1898),6),3),"-",(RIGHT(RIGHT(CONCATENATE("000",IFAData_TEA_1617!A1898),6),3)))</f>
        <v>201-908</v>
      </c>
      <c r="C1898" s="2266" t="s">
        <v>1538</v>
      </c>
      <c r="D1898" s="2266">
        <v>8</v>
      </c>
      <c r="E1898" s="2266">
        <v>2169</v>
      </c>
      <c r="F1898" s="2266" t="s">
        <v>6122</v>
      </c>
      <c r="G1898" s="2266" t="s">
        <v>6122</v>
      </c>
      <c r="H1898" s="2266">
        <v>126133</v>
      </c>
      <c r="I1898" s="2266">
        <v>0</v>
      </c>
      <c r="J1898" s="2266">
        <v>0</v>
      </c>
      <c r="K1898" s="2266">
        <v>0</v>
      </c>
      <c r="L1898" s="2266">
        <v>0</v>
      </c>
      <c r="M1898" s="2266">
        <v>599</v>
      </c>
    </row>
    <row r="1899" spans="1:13" ht="15">
      <c r="A1899" s="2266" t="s">
        <v>4335</v>
      </c>
      <c r="B1899" s="2465" t="str">
        <f>CONCATENATE(LEFT(RIGHT(CONCATENATE("000",IFAData_TEA_1617!A1899),6),3),"-",(RIGHT(RIGHT(CONCATENATE("000",IFAData_TEA_1617!A1899),6),3)))</f>
        <v>201-908</v>
      </c>
      <c r="C1899" s="2266" t="s">
        <v>1538</v>
      </c>
      <c r="D1899" s="2266">
        <v>10</v>
      </c>
      <c r="E1899" s="2266">
        <v>2168</v>
      </c>
      <c r="F1899" s="2266" t="s">
        <v>6123</v>
      </c>
      <c r="G1899" s="2266" t="s">
        <v>6123</v>
      </c>
      <c r="H1899" s="2266">
        <v>123590</v>
      </c>
      <c r="I1899" s="2266">
        <v>350926</v>
      </c>
      <c r="J1899" s="2266">
        <v>1</v>
      </c>
      <c r="K1899" s="2266">
        <v>123590</v>
      </c>
      <c r="L1899" s="2266">
        <v>123590</v>
      </c>
      <c r="M1899" s="2266">
        <v>599</v>
      </c>
    </row>
    <row r="1900" spans="1:13" ht="15">
      <c r="A1900" s="2266" t="s">
        <v>4335</v>
      </c>
      <c r="B1900" s="2465" t="str">
        <f>CONCATENATE(LEFT(RIGHT(CONCATENATE("000",IFAData_TEA_1617!A1900),6),3),"-",(RIGHT(RIGHT(CONCATENATE("000",IFAData_TEA_1617!A1900),6),3)))</f>
        <v>201-908</v>
      </c>
      <c r="C1900" s="2266" t="s">
        <v>1538</v>
      </c>
      <c r="D1900" s="2266">
        <v>8</v>
      </c>
      <c r="E1900" s="2266">
        <v>2169</v>
      </c>
      <c r="F1900" s="2266" t="s">
        <v>6122</v>
      </c>
      <c r="G1900" s="2266" t="s">
        <v>7266</v>
      </c>
      <c r="H1900" s="2266">
        <v>126133</v>
      </c>
      <c r="I1900" s="2266">
        <v>113031</v>
      </c>
      <c r="J1900" s="2266">
        <v>1</v>
      </c>
      <c r="K1900" s="2266">
        <v>126133</v>
      </c>
      <c r="L1900" s="2266">
        <v>113031</v>
      </c>
      <c r="M1900" s="2266">
        <v>599</v>
      </c>
    </row>
    <row r="1901" spans="1:13" ht="15">
      <c r="A1901" s="2266" t="s">
        <v>4336</v>
      </c>
      <c r="B1901" s="2465" t="str">
        <f>CONCATENATE(LEFT(RIGHT(CONCATENATE("000",IFAData_TEA_1617!A1901),6),3),"-",(RIGHT(RIGHT(CONCATENATE("000",IFAData_TEA_1617!A1901),6),3)))</f>
        <v>201-913</v>
      </c>
      <c r="C1901" s="2266" t="s">
        <v>729</v>
      </c>
      <c r="D1901" s="2266">
        <v>8</v>
      </c>
      <c r="E1901" s="2266">
        <v>1664</v>
      </c>
      <c r="F1901" s="2266" t="s">
        <v>6126</v>
      </c>
      <c r="G1901" s="2266" t="s">
        <v>6126</v>
      </c>
      <c r="H1901" s="2266">
        <v>134790</v>
      </c>
      <c r="I1901" s="2266">
        <v>0</v>
      </c>
      <c r="J1901" s="2266">
        <v>0</v>
      </c>
      <c r="K1901" s="2266">
        <v>0</v>
      </c>
      <c r="L1901" s="2266">
        <v>0</v>
      </c>
      <c r="M1901" s="2266">
        <v>599</v>
      </c>
    </row>
    <row r="1902" spans="1:13" ht="15">
      <c r="A1902" s="2266" t="s">
        <v>4336</v>
      </c>
      <c r="B1902" s="2465" t="str">
        <f>CONCATENATE(LEFT(RIGHT(CONCATENATE("000",IFAData_TEA_1617!A1902),6),3),"-",(RIGHT(RIGHT(CONCATENATE("000",IFAData_TEA_1617!A1902),6),3)))</f>
        <v>201-913</v>
      </c>
      <c r="C1902" s="2266" t="s">
        <v>729</v>
      </c>
      <c r="D1902" s="2266">
        <v>4</v>
      </c>
      <c r="E1902" s="2266">
        <v>1663</v>
      </c>
      <c r="F1902" s="2266" t="s">
        <v>6124</v>
      </c>
      <c r="G1902" s="2266" t="s">
        <v>6125</v>
      </c>
      <c r="H1902" s="2266">
        <v>113895</v>
      </c>
      <c r="I1902" s="2266">
        <v>99081</v>
      </c>
      <c r="J1902" s="2266">
        <v>1</v>
      </c>
      <c r="K1902" s="2266">
        <v>113895</v>
      </c>
      <c r="L1902" s="2266">
        <v>99081</v>
      </c>
      <c r="M1902" s="2266">
        <v>599</v>
      </c>
    </row>
    <row r="1903" spans="1:13" ht="15">
      <c r="A1903" s="2266" t="s">
        <v>4336</v>
      </c>
      <c r="B1903" s="2465" t="str">
        <f>CONCATENATE(LEFT(RIGHT(CONCATENATE("000",IFAData_TEA_1617!A1903),6),3),"-",(RIGHT(RIGHT(CONCATENATE("000",IFAData_TEA_1617!A1903),6),3)))</f>
        <v>201-913</v>
      </c>
      <c r="C1903" s="2266" t="s">
        <v>729</v>
      </c>
      <c r="D1903" s="2266">
        <v>4</v>
      </c>
      <c r="E1903" s="2266">
        <v>1663</v>
      </c>
      <c r="F1903" s="2266" t="s">
        <v>6124</v>
      </c>
      <c r="G1903" s="2266" t="s">
        <v>6124</v>
      </c>
      <c r="H1903" s="2266">
        <v>113895</v>
      </c>
      <c r="I1903" s="2266">
        <v>0</v>
      </c>
      <c r="J1903" s="2266">
        <v>0</v>
      </c>
      <c r="K1903" s="2266">
        <v>0</v>
      </c>
      <c r="L1903" s="2266">
        <v>0</v>
      </c>
      <c r="M1903" s="2266">
        <v>599</v>
      </c>
    </row>
    <row r="1904" spans="1:13" ht="15">
      <c r="A1904" s="2266" t="s">
        <v>4336</v>
      </c>
      <c r="B1904" s="2465" t="str">
        <f>CONCATENATE(LEFT(RIGHT(CONCATENATE("000",IFAData_TEA_1617!A1904),6),3),"-",(RIGHT(RIGHT(CONCATENATE("000",IFAData_TEA_1617!A1904),6),3)))</f>
        <v>201-913</v>
      </c>
      <c r="C1904" s="2266" t="s">
        <v>729</v>
      </c>
      <c r="D1904" s="2266">
        <v>8</v>
      </c>
      <c r="E1904" s="2266">
        <v>1664</v>
      </c>
      <c r="F1904" s="2266" t="s">
        <v>6126</v>
      </c>
      <c r="G1904" s="2266" t="s">
        <v>7267</v>
      </c>
      <c r="H1904" s="2266">
        <v>134790</v>
      </c>
      <c r="I1904" s="2266">
        <v>102100</v>
      </c>
      <c r="J1904" s="2266">
        <v>1</v>
      </c>
      <c r="K1904" s="2266">
        <v>134790</v>
      </c>
      <c r="L1904" s="2266">
        <v>102100</v>
      </c>
      <c r="M1904" s="2266">
        <v>599</v>
      </c>
    </row>
    <row r="1905" spans="1:13" ht="15">
      <c r="A1905" s="2266" t="s">
        <v>4337</v>
      </c>
      <c r="B1905" s="2465" t="str">
        <f>CONCATENATE(LEFT(RIGHT(CONCATENATE("000",IFAData_TEA_1617!A1905),6),3),"-",(RIGHT(RIGHT(CONCATENATE("000",IFAData_TEA_1617!A1905),6),3)))</f>
        <v>202-905</v>
      </c>
      <c r="C1905" s="2266" t="s">
        <v>1723</v>
      </c>
      <c r="D1905" s="2266">
        <v>9</v>
      </c>
      <c r="E1905" s="2266">
        <v>2446</v>
      </c>
      <c r="F1905" s="2266" t="s">
        <v>6127</v>
      </c>
      <c r="G1905" s="2266" t="s">
        <v>7043</v>
      </c>
      <c r="H1905" s="2266">
        <v>142579</v>
      </c>
      <c r="I1905" s="2266">
        <v>327925</v>
      </c>
      <c r="J1905" s="2266">
        <v>0.5890251021599533</v>
      </c>
      <c r="K1905" s="2266">
        <v>83982.610040863976</v>
      </c>
      <c r="L1905" s="2266">
        <v>83982.610040863976</v>
      </c>
      <c r="M1905" s="2266">
        <v>599</v>
      </c>
    </row>
    <row r="1906" spans="1:13" ht="15">
      <c r="A1906" s="2266" t="s">
        <v>4337</v>
      </c>
      <c r="B1906" s="2465" t="str">
        <f>CONCATENATE(LEFT(RIGHT(CONCATENATE("000",IFAData_TEA_1617!A1906),6),3),"-",(RIGHT(RIGHT(CONCATENATE("000",IFAData_TEA_1617!A1906),6),3)))</f>
        <v>202-905</v>
      </c>
      <c r="C1906" s="2266" t="s">
        <v>1723</v>
      </c>
      <c r="D1906" s="2266">
        <v>9</v>
      </c>
      <c r="E1906" s="2266">
        <v>2446</v>
      </c>
      <c r="F1906" s="2266" t="s">
        <v>6127</v>
      </c>
      <c r="G1906" s="2266" t="s">
        <v>6127</v>
      </c>
      <c r="H1906" s="2266">
        <v>142579</v>
      </c>
      <c r="I1906" s="2266">
        <v>228800</v>
      </c>
      <c r="J1906" s="2266">
        <v>0.4109748978400467</v>
      </c>
      <c r="K1906" s="2266">
        <v>58596.389959136017</v>
      </c>
      <c r="L1906" s="2266">
        <v>58596.389959136017</v>
      </c>
      <c r="M1906" s="2266">
        <v>599</v>
      </c>
    </row>
    <row r="1907" spans="1:13" ht="15">
      <c r="A1907" s="2266" t="s">
        <v>4338</v>
      </c>
      <c r="B1907" s="2465" t="str">
        <f>CONCATENATE(LEFT(RIGHT(CONCATENATE("000",IFAData_TEA_1617!A1907),6),3),"-",(RIGHT(RIGHT(CONCATENATE("000",IFAData_TEA_1617!A1907),6),3)))</f>
        <v>203-901</v>
      </c>
      <c r="C1907" s="2266" t="s">
        <v>2364</v>
      </c>
      <c r="D1907" s="2266">
        <v>9</v>
      </c>
      <c r="E1907" s="2266">
        <v>2283</v>
      </c>
      <c r="F1907" s="2266" t="s">
        <v>6128</v>
      </c>
      <c r="G1907" s="2266" t="s">
        <v>6128</v>
      </c>
      <c r="H1907" s="2266">
        <v>152660</v>
      </c>
      <c r="I1907" s="2266">
        <v>0</v>
      </c>
      <c r="J1907" s="2266">
        <v>0</v>
      </c>
      <c r="K1907" s="2266"/>
      <c r="L1907" s="2266">
        <v>0</v>
      </c>
      <c r="M1907" s="2266">
        <v>599</v>
      </c>
    </row>
    <row r="1908" spans="1:13" ht="15">
      <c r="A1908" s="2266" t="s">
        <v>4339</v>
      </c>
      <c r="B1908" s="2465" t="str">
        <f>CONCATENATE(LEFT(RIGHT(CONCATENATE("000",IFAData_TEA_1617!A1908),6),3),"-",(RIGHT(RIGHT(CONCATENATE("000",IFAData_TEA_1617!A1908),6),3)))</f>
        <v>204-904</v>
      </c>
      <c r="C1908" s="2266" t="s">
        <v>384</v>
      </c>
      <c r="D1908" s="2266">
        <v>10</v>
      </c>
      <c r="E1908" s="2266">
        <v>2329</v>
      </c>
      <c r="F1908" s="2266" t="s">
        <v>6130</v>
      </c>
      <c r="G1908" s="2266" t="s">
        <v>6130</v>
      </c>
      <c r="H1908" s="2266">
        <v>132650</v>
      </c>
      <c r="I1908" s="2266">
        <v>176350</v>
      </c>
      <c r="J1908" s="2266">
        <v>1</v>
      </c>
      <c r="K1908" s="2266">
        <v>132650</v>
      </c>
      <c r="L1908" s="2266">
        <v>132650</v>
      </c>
      <c r="M1908" s="2266">
        <v>599</v>
      </c>
    </row>
    <row r="1909" spans="1:13" ht="15">
      <c r="A1909" s="2266" t="s">
        <v>4339</v>
      </c>
      <c r="B1909" s="2465" t="str">
        <f>CONCATENATE(LEFT(RIGHT(CONCATENATE("000",IFAData_TEA_1617!A1909),6),3),"-",(RIGHT(RIGHT(CONCATENATE("000",IFAData_TEA_1617!A1909),6),3)))</f>
        <v>204-904</v>
      </c>
      <c r="C1909" s="2266" t="s">
        <v>384</v>
      </c>
      <c r="D1909" s="2266">
        <v>9</v>
      </c>
      <c r="E1909" s="2266">
        <v>2330</v>
      </c>
      <c r="F1909" s="2266" t="s">
        <v>6129</v>
      </c>
      <c r="G1909" s="2266" t="s">
        <v>6129</v>
      </c>
      <c r="H1909" s="2266">
        <v>436757</v>
      </c>
      <c r="I1909" s="2266">
        <v>184038</v>
      </c>
      <c r="J1909" s="2266">
        <v>0.43120835246815808</v>
      </c>
      <c r="K1909" s="2266">
        <v>188333.26639893532</v>
      </c>
      <c r="L1909" s="2266">
        <v>184038</v>
      </c>
      <c r="M1909" s="2266">
        <v>599</v>
      </c>
    </row>
    <row r="1910" spans="1:13" ht="15">
      <c r="A1910" s="2266" t="s">
        <v>4339</v>
      </c>
      <c r="B1910" s="2465" t="str">
        <f>CONCATENATE(LEFT(RIGHT(CONCATENATE("000",IFAData_TEA_1617!A1910),6),3),"-",(RIGHT(RIGHT(CONCATENATE("000",IFAData_TEA_1617!A1910),6),3)))</f>
        <v>204-904</v>
      </c>
      <c r="C1910" s="2266" t="s">
        <v>384</v>
      </c>
      <c r="D1910" s="2266">
        <v>9</v>
      </c>
      <c r="E1910" s="2266">
        <v>2330</v>
      </c>
      <c r="F1910" s="2266" t="s">
        <v>6129</v>
      </c>
      <c r="G1910" s="2266" t="s">
        <v>7268</v>
      </c>
      <c r="H1910" s="2266">
        <v>436757</v>
      </c>
      <c r="I1910" s="2266">
        <v>242758</v>
      </c>
      <c r="J1910" s="2266">
        <v>0.56879164753184186</v>
      </c>
      <c r="K1910" s="2266">
        <v>248423.73360106465</v>
      </c>
      <c r="L1910" s="2266">
        <v>242758</v>
      </c>
      <c r="M1910" s="2266">
        <v>599</v>
      </c>
    </row>
    <row r="1911" spans="1:13" ht="15">
      <c r="A1911" s="2266" t="s">
        <v>4340</v>
      </c>
      <c r="B1911" s="2465" t="str">
        <f>CONCATENATE(LEFT(RIGHT(CONCATENATE("000",IFAData_TEA_1617!A1911),6),3),"-",(RIGHT(RIGHT(CONCATENATE("000",IFAData_TEA_1617!A1911),6),3)))</f>
        <v>205-901</v>
      </c>
      <c r="C1911" s="2266" t="s">
        <v>2774</v>
      </c>
      <c r="D1911" s="2266">
        <v>5</v>
      </c>
      <c r="E1911" s="2266">
        <v>1582</v>
      </c>
      <c r="F1911" s="2266" t="s">
        <v>6131</v>
      </c>
      <c r="G1911" s="2266" t="s">
        <v>6131</v>
      </c>
      <c r="H1911" s="2266">
        <v>270047</v>
      </c>
      <c r="I1911" s="2266">
        <v>0</v>
      </c>
      <c r="J1911" s="2266">
        <v>0</v>
      </c>
      <c r="K1911" s="2266">
        <v>0</v>
      </c>
      <c r="L1911" s="2266">
        <v>0</v>
      </c>
      <c r="M1911" s="2266">
        <v>599</v>
      </c>
    </row>
    <row r="1912" spans="1:13" ht="15">
      <c r="A1912" s="2266" t="s">
        <v>4340</v>
      </c>
      <c r="B1912" s="2465" t="str">
        <f>CONCATENATE(LEFT(RIGHT(CONCATENATE("000",IFAData_TEA_1617!A1912),6),3),"-",(RIGHT(RIGHT(CONCATENATE("000",IFAData_TEA_1617!A1912),6),3)))</f>
        <v>205-901</v>
      </c>
      <c r="C1912" s="2266" t="s">
        <v>2774</v>
      </c>
      <c r="D1912" s="2266">
        <v>5</v>
      </c>
      <c r="E1912" s="2266">
        <v>1582</v>
      </c>
      <c r="F1912" s="2266" t="s">
        <v>6131</v>
      </c>
      <c r="G1912" s="2266" t="s">
        <v>6132</v>
      </c>
      <c r="H1912" s="2266">
        <v>270047</v>
      </c>
      <c r="I1912" s="2266">
        <v>154237</v>
      </c>
      <c r="J1912" s="2266">
        <v>1</v>
      </c>
      <c r="K1912" s="2266">
        <v>270047</v>
      </c>
      <c r="L1912" s="2266">
        <v>154237</v>
      </c>
      <c r="M1912" s="2266">
        <v>599</v>
      </c>
    </row>
    <row r="1913" spans="1:13" ht="15">
      <c r="A1913" s="2266" t="s">
        <v>4341</v>
      </c>
      <c r="B1913" s="2465" t="str">
        <f>CONCATENATE(LEFT(RIGHT(CONCATENATE("000",IFAData_TEA_1617!A1913),6),3),"-",(RIGHT(RIGHT(CONCATENATE("000",IFAData_TEA_1617!A1913),6),3)))</f>
        <v>205-904</v>
      </c>
      <c r="C1913" s="2266" t="s">
        <v>2360</v>
      </c>
      <c r="D1913" s="2266">
        <v>10</v>
      </c>
      <c r="E1913" s="2266">
        <v>2073</v>
      </c>
      <c r="F1913" s="2266" t="s">
        <v>6135</v>
      </c>
      <c r="G1913" s="2266" t="s">
        <v>6135</v>
      </c>
      <c r="H1913" s="2266">
        <v>383389</v>
      </c>
      <c r="I1913" s="2266">
        <v>231981</v>
      </c>
      <c r="J1913" s="2266">
        <v>1</v>
      </c>
      <c r="K1913" s="2266">
        <v>383389</v>
      </c>
      <c r="L1913" s="2266">
        <v>231981</v>
      </c>
      <c r="M1913" s="2266">
        <v>599</v>
      </c>
    </row>
    <row r="1914" spans="1:13" ht="15">
      <c r="A1914" s="2266" t="s">
        <v>4341</v>
      </c>
      <c r="B1914" s="2465" t="str">
        <f>CONCATENATE(LEFT(RIGHT(CONCATENATE("000",IFAData_TEA_1617!A1914),6),3),"-",(RIGHT(RIGHT(CONCATENATE("000",IFAData_TEA_1617!A1914),6),3)))</f>
        <v>205-904</v>
      </c>
      <c r="C1914" s="2266" t="s">
        <v>2360</v>
      </c>
      <c r="D1914" s="2266">
        <v>3</v>
      </c>
      <c r="E1914" s="2266">
        <v>2075</v>
      </c>
      <c r="F1914" s="2266" t="s">
        <v>6133</v>
      </c>
      <c r="G1914" s="2266" t="s">
        <v>6135</v>
      </c>
      <c r="H1914" s="2266">
        <v>513813</v>
      </c>
      <c r="I1914" s="2266">
        <v>74685</v>
      </c>
      <c r="J1914" s="2266">
        <v>0.22859442815428785</v>
      </c>
      <c r="K1914" s="2266">
        <v>117454.7889132391</v>
      </c>
      <c r="L1914" s="2266">
        <v>74685</v>
      </c>
      <c r="M1914" s="2266">
        <v>599</v>
      </c>
    </row>
    <row r="1915" spans="1:13" ht="15">
      <c r="A1915" s="2266" t="s">
        <v>4341</v>
      </c>
      <c r="B1915" s="2465" t="str">
        <f>CONCATENATE(LEFT(RIGHT(CONCATENATE("000",IFAData_TEA_1617!A1915),6),3),"-",(RIGHT(RIGHT(CONCATENATE("000",IFAData_TEA_1617!A1915),6),3)))</f>
        <v>205-904</v>
      </c>
      <c r="C1915" s="2266" t="s">
        <v>2360</v>
      </c>
      <c r="D1915" s="2266">
        <v>3</v>
      </c>
      <c r="E1915" s="2266">
        <v>2075</v>
      </c>
      <c r="F1915" s="2266" t="s">
        <v>6133</v>
      </c>
      <c r="G1915" s="2266" t="s">
        <v>6133</v>
      </c>
      <c r="H1915" s="2266">
        <v>513813</v>
      </c>
      <c r="I1915" s="2266">
        <v>0</v>
      </c>
      <c r="J1915" s="2266">
        <v>0</v>
      </c>
      <c r="K1915" s="2266">
        <v>0</v>
      </c>
      <c r="L1915" s="2266">
        <v>0</v>
      </c>
      <c r="M1915" s="2266">
        <v>599</v>
      </c>
    </row>
    <row r="1916" spans="1:13" ht="15">
      <c r="A1916" s="2266" t="s">
        <v>4341</v>
      </c>
      <c r="B1916" s="2465" t="str">
        <f>CONCATENATE(LEFT(RIGHT(CONCATENATE("000",IFAData_TEA_1617!A1916),6),3),"-",(RIGHT(RIGHT(CONCATENATE("000",IFAData_TEA_1617!A1916),6),3)))</f>
        <v>205-904</v>
      </c>
      <c r="C1916" s="2266" t="s">
        <v>2360</v>
      </c>
      <c r="D1916" s="2266">
        <v>9</v>
      </c>
      <c r="E1916" s="2266">
        <v>2074</v>
      </c>
      <c r="F1916" s="2266" t="s">
        <v>6134</v>
      </c>
      <c r="G1916" s="2266" t="s">
        <v>7269</v>
      </c>
      <c r="H1916" s="2266">
        <v>425296</v>
      </c>
      <c r="I1916" s="2266">
        <v>92485</v>
      </c>
      <c r="J1916" s="2266">
        <v>0.19814293886138243</v>
      </c>
      <c r="K1916" s="2266">
        <v>84269.399325990496</v>
      </c>
      <c r="L1916" s="2266">
        <v>84269.399325990496</v>
      </c>
      <c r="M1916" s="2266">
        <v>599</v>
      </c>
    </row>
    <row r="1917" spans="1:13" ht="15">
      <c r="A1917" s="2266" t="s">
        <v>4341</v>
      </c>
      <c r="B1917" s="2465" t="str">
        <f>CONCATENATE(LEFT(RIGHT(CONCATENATE("000",IFAData_TEA_1617!A1917),6),3),"-",(RIGHT(RIGHT(CONCATENATE("000",IFAData_TEA_1617!A1917),6),3)))</f>
        <v>205-904</v>
      </c>
      <c r="C1917" s="2266" t="s">
        <v>2360</v>
      </c>
      <c r="D1917" s="2266">
        <v>3</v>
      </c>
      <c r="E1917" s="2266">
        <v>2075</v>
      </c>
      <c r="F1917" s="2266" t="s">
        <v>6133</v>
      </c>
      <c r="G1917" s="2266" t="s">
        <v>7269</v>
      </c>
      <c r="H1917" s="2266">
        <v>513813</v>
      </c>
      <c r="I1917" s="2266">
        <v>51051</v>
      </c>
      <c r="J1917" s="2266">
        <v>0.15625593026316595</v>
      </c>
      <c r="K1917" s="2266">
        <v>80286.328296308086</v>
      </c>
      <c r="L1917" s="2266">
        <v>51051</v>
      </c>
      <c r="M1917" s="2266">
        <v>599</v>
      </c>
    </row>
    <row r="1918" spans="1:13" ht="15">
      <c r="A1918" s="2266" t="s">
        <v>4341</v>
      </c>
      <c r="B1918" s="2465" t="str">
        <f>CONCATENATE(LEFT(RIGHT(CONCATENATE("000",IFAData_TEA_1617!A1918),6),3),"-",(RIGHT(RIGHT(CONCATENATE("000",IFAData_TEA_1617!A1918),6),3)))</f>
        <v>205-904</v>
      </c>
      <c r="C1918" s="2266" t="s">
        <v>2360</v>
      </c>
      <c r="D1918" s="2266">
        <v>9</v>
      </c>
      <c r="E1918" s="2266">
        <v>2074</v>
      </c>
      <c r="F1918" s="2266" t="s">
        <v>6134</v>
      </c>
      <c r="G1918" s="2266" t="s">
        <v>6134</v>
      </c>
      <c r="H1918" s="2266">
        <v>425296</v>
      </c>
      <c r="I1918" s="2266">
        <v>374274</v>
      </c>
      <c r="J1918" s="2266">
        <v>0.80185706113861754</v>
      </c>
      <c r="K1918" s="2266">
        <v>341026.60067400947</v>
      </c>
      <c r="L1918" s="2266">
        <v>341026.60067400947</v>
      </c>
      <c r="M1918" s="2266">
        <v>599</v>
      </c>
    </row>
    <row r="1919" spans="1:13" ht="15">
      <c r="A1919" s="2266" t="s">
        <v>4341</v>
      </c>
      <c r="B1919" s="2465" t="str">
        <f>CONCATENATE(LEFT(RIGHT(CONCATENATE("000",IFAData_TEA_1617!A1919),6),3),"-",(RIGHT(RIGHT(CONCATENATE("000",IFAData_TEA_1617!A1919),6),3)))</f>
        <v>205-904</v>
      </c>
      <c r="C1919" s="2266" t="s">
        <v>2360</v>
      </c>
      <c r="D1919" s="2266">
        <v>3</v>
      </c>
      <c r="E1919" s="2266">
        <v>2075</v>
      </c>
      <c r="F1919" s="2266" t="s">
        <v>6133</v>
      </c>
      <c r="G1919" s="2266" t="s">
        <v>6134</v>
      </c>
      <c r="H1919" s="2266">
        <v>513813</v>
      </c>
      <c r="I1919" s="2266">
        <v>200978</v>
      </c>
      <c r="J1919" s="2266">
        <v>0.61514964158254615</v>
      </c>
      <c r="K1919" s="2266">
        <v>316071.8827904528</v>
      </c>
      <c r="L1919" s="2266">
        <v>200978</v>
      </c>
      <c r="M1919" s="2266">
        <v>599</v>
      </c>
    </row>
    <row r="1920" spans="1:13" ht="15">
      <c r="A1920" s="2266" t="s">
        <v>4342</v>
      </c>
      <c r="B1920" s="2465" t="str">
        <f>CONCATENATE(LEFT(RIGHT(CONCATENATE("000",IFAData_TEA_1617!A1920),6),3),"-",(RIGHT(RIGHT(CONCATENATE("000",IFAData_TEA_1617!A1920),6),3)))</f>
        <v>205-905</v>
      </c>
      <c r="C1920" s="2266" t="s">
        <v>289</v>
      </c>
      <c r="D1920" s="2266">
        <v>5</v>
      </c>
      <c r="E1920" s="2266">
        <v>2156</v>
      </c>
      <c r="F1920" s="2266" t="s">
        <v>6138</v>
      </c>
      <c r="G1920" s="2266" t="s">
        <v>6138</v>
      </c>
      <c r="H1920" s="2266">
        <v>274260</v>
      </c>
      <c r="I1920" s="2266">
        <v>143043</v>
      </c>
      <c r="J1920" s="2266">
        <v>0.45955818570850282</v>
      </c>
      <c r="K1920" s="2266">
        <v>126038.42801241398</v>
      </c>
      <c r="L1920" s="2266">
        <v>126038.42801241398</v>
      </c>
      <c r="M1920" s="2266">
        <v>599</v>
      </c>
    </row>
    <row r="1921" spans="1:13" ht="15">
      <c r="A1921" s="2266" t="s">
        <v>4342</v>
      </c>
      <c r="B1921" s="2465" t="str">
        <f>CONCATENATE(LEFT(RIGHT(CONCATENATE("000",IFAData_TEA_1617!A1921),6),3),"-",(RIGHT(RIGHT(CONCATENATE("000",IFAData_TEA_1617!A1921),6),3)))</f>
        <v>205-905</v>
      </c>
      <c r="C1921" s="2266" t="s">
        <v>289</v>
      </c>
      <c r="D1921" s="2266">
        <v>3</v>
      </c>
      <c r="E1921" s="2266">
        <v>2155</v>
      </c>
      <c r="F1921" s="2266" t="s">
        <v>6136</v>
      </c>
      <c r="G1921" s="2266" t="s">
        <v>6137</v>
      </c>
      <c r="H1921" s="2266">
        <v>175026</v>
      </c>
      <c r="I1921" s="2266">
        <v>118613</v>
      </c>
      <c r="J1921" s="2266">
        <v>1</v>
      </c>
      <c r="K1921" s="2266">
        <v>175026</v>
      </c>
      <c r="L1921" s="2266">
        <v>118613</v>
      </c>
      <c r="M1921" s="2266">
        <v>599</v>
      </c>
    </row>
    <row r="1922" spans="1:13" ht="15">
      <c r="A1922" s="2266" t="s">
        <v>4342</v>
      </c>
      <c r="B1922" s="2465" t="str">
        <f>CONCATENATE(LEFT(RIGHT(CONCATENATE("000",IFAData_TEA_1617!A1922),6),3),"-",(RIGHT(RIGHT(CONCATENATE("000",IFAData_TEA_1617!A1922),6),3)))</f>
        <v>205-905</v>
      </c>
      <c r="C1922" s="2266" t="s">
        <v>289</v>
      </c>
      <c r="D1922" s="2266">
        <v>5</v>
      </c>
      <c r="E1922" s="2266">
        <v>2156</v>
      </c>
      <c r="F1922" s="2266" t="s">
        <v>6138</v>
      </c>
      <c r="G1922" s="2266" t="s">
        <v>6137</v>
      </c>
      <c r="H1922" s="2266">
        <v>274260</v>
      </c>
      <c r="I1922" s="2266">
        <v>168219</v>
      </c>
      <c r="J1922" s="2266">
        <v>0.54044181429149718</v>
      </c>
      <c r="K1922" s="2266">
        <v>148221.57198758601</v>
      </c>
      <c r="L1922" s="2266">
        <v>148221.57198758601</v>
      </c>
      <c r="M1922" s="2266">
        <v>599</v>
      </c>
    </row>
    <row r="1923" spans="1:13" ht="15">
      <c r="A1923" s="2266" t="s">
        <v>4342</v>
      </c>
      <c r="B1923" s="2465" t="str">
        <f>CONCATENATE(LEFT(RIGHT(CONCATENATE("000",IFAData_TEA_1617!A1923),6),3),"-",(RIGHT(RIGHT(CONCATENATE("000",IFAData_TEA_1617!A1923),6),3)))</f>
        <v>205-905</v>
      </c>
      <c r="C1923" s="2266" t="s">
        <v>289</v>
      </c>
      <c r="D1923" s="2266">
        <v>3</v>
      </c>
      <c r="E1923" s="2266">
        <v>2155</v>
      </c>
      <c r="F1923" s="2266" t="s">
        <v>6136</v>
      </c>
      <c r="G1923" s="2266" t="s">
        <v>6136</v>
      </c>
      <c r="H1923" s="2266">
        <v>175026</v>
      </c>
      <c r="I1923" s="2266">
        <v>0</v>
      </c>
      <c r="J1923" s="2266">
        <v>0</v>
      </c>
      <c r="K1923" s="2266">
        <v>0</v>
      </c>
      <c r="L1923" s="2266">
        <v>0</v>
      </c>
      <c r="M1923" s="2266">
        <v>599</v>
      </c>
    </row>
    <row r="1924" spans="1:13" ht="15">
      <c r="A1924" s="2266" t="s">
        <v>4343</v>
      </c>
      <c r="B1924" s="2465" t="str">
        <f>CONCATENATE(LEFT(RIGHT(CONCATENATE("000",IFAData_TEA_1617!A1924),6),3),"-",(RIGHT(RIGHT(CONCATENATE("000",IFAData_TEA_1617!A1924),6),3)))</f>
        <v>205-906</v>
      </c>
      <c r="C1924" s="2266" t="s">
        <v>296</v>
      </c>
      <c r="D1924" s="2266">
        <v>5</v>
      </c>
      <c r="E1924" s="2266">
        <v>2337</v>
      </c>
      <c r="F1924" s="2266" t="s">
        <v>6139</v>
      </c>
      <c r="G1924" s="2266" t="s">
        <v>6139</v>
      </c>
      <c r="H1924" s="2266">
        <v>463509</v>
      </c>
      <c r="I1924" s="2266">
        <v>0</v>
      </c>
      <c r="J1924" s="2266">
        <v>0</v>
      </c>
      <c r="K1924" s="2266">
        <v>0</v>
      </c>
      <c r="L1924" s="2266">
        <v>0</v>
      </c>
      <c r="M1924" s="2266">
        <v>599</v>
      </c>
    </row>
    <row r="1925" spans="1:13" ht="15">
      <c r="A1925" s="2266" t="s">
        <v>4343</v>
      </c>
      <c r="B1925" s="2465" t="str">
        <f>CONCATENATE(LEFT(RIGHT(CONCATENATE("000",IFAData_TEA_1617!A1925),6),3),"-",(RIGHT(RIGHT(CONCATENATE("000",IFAData_TEA_1617!A1925),6),3)))</f>
        <v>205-906</v>
      </c>
      <c r="C1925" s="2266" t="s">
        <v>296</v>
      </c>
      <c r="D1925" s="2266">
        <v>5</v>
      </c>
      <c r="E1925" s="2266">
        <v>2337</v>
      </c>
      <c r="F1925" s="2266" t="s">
        <v>6139</v>
      </c>
      <c r="G1925" s="2266" t="s">
        <v>6141</v>
      </c>
      <c r="H1925" s="2266">
        <v>463509</v>
      </c>
      <c r="I1925" s="2266">
        <v>307700</v>
      </c>
      <c r="J1925" s="2266">
        <v>0.68436785495049068</v>
      </c>
      <c r="K1925" s="2266">
        <v>317210.66008024698</v>
      </c>
      <c r="L1925" s="2266">
        <v>307700</v>
      </c>
      <c r="M1925" s="2266">
        <v>599</v>
      </c>
    </row>
    <row r="1926" spans="1:13" ht="15">
      <c r="A1926" s="2266" t="s">
        <v>4343</v>
      </c>
      <c r="B1926" s="2465" t="str">
        <f>CONCATENATE(LEFT(RIGHT(CONCATENATE("000",IFAData_TEA_1617!A1926),6),3),"-",(RIGHT(RIGHT(CONCATENATE("000",IFAData_TEA_1617!A1926),6),3)))</f>
        <v>205-906</v>
      </c>
      <c r="C1926" s="2266" t="s">
        <v>296</v>
      </c>
      <c r="D1926" s="2266">
        <v>10</v>
      </c>
      <c r="E1926" s="2266">
        <v>2336</v>
      </c>
      <c r="F1926" s="2266" t="s">
        <v>6142</v>
      </c>
      <c r="G1926" s="2266" t="s">
        <v>6142</v>
      </c>
      <c r="H1926" s="2266">
        <v>359677</v>
      </c>
      <c r="I1926" s="2266">
        <v>366900</v>
      </c>
      <c r="J1926" s="2266">
        <v>1</v>
      </c>
      <c r="K1926" s="2266">
        <v>359677</v>
      </c>
      <c r="L1926" s="2266">
        <v>359677</v>
      </c>
      <c r="M1926" s="2266">
        <v>199</v>
      </c>
    </row>
    <row r="1927" spans="1:13" ht="15">
      <c r="A1927" s="2266" t="s">
        <v>4343</v>
      </c>
      <c r="B1927" s="2465" t="str">
        <f>CONCATENATE(LEFT(RIGHT(CONCATENATE("000",IFAData_TEA_1617!A1927),6),3),"-",(RIGHT(RIGHT(CONCATENATE("000",IFAData_TEA_1617!A1927),6),3)))</f>
        <v>205-906</v>
      </c>
      <c r="C1927" s="2266" t="s">
        <v>296</v>
      </c>
      <c r="D1927" s="2266">
        <v>5</v>
      </c>
      <c r="E1927" s="2266">
        <v>2337</v>
      </c>
      <c r="F1927" s="2266" t="s">
        <v>6139</v>
      </c>
      <c r="G1927" s="2266" t="s">
        <v>6140</v>
      </c>
      <c r="H1927" s="2266">
        <v>463509</v>
      </c>
      <c r="I1927" s="2266">
        <v>141912</v>
      </c>
      <c r="J1927" s="2266">
        <v>0.31563214504950937</v>
      </c>
      <c r="K1927" s="2266">
        <v>146298.33991975305</v>
      </c>
      <c r="L1927" s="2266">
        <v>141912</v>
      </c>
      <c r="M1927" s="2266">
        <v>599</v>
      </c>
    </row>
    <row r="1928" spans="1:13" ht="15">
      <c r="A1928" s="2266" t="s">
        <v>4344</v>
      </c>
      <c r="B1928" s="2465" t="str">
        <f>CONCATENATE(LEFT(RIGHT(CONCATENATE("000",IFAData_TEA_1617!A1928),6),3),"-",(RIGHT(RIGHT(CONCATENATE("000",IFAData_TEA_1617!A1928),6),3)))</f>
        <v>205-907</v>
      </c>
      <c r="C1928" s="2266" t="s">
        <v>656</v>
      </c>
      <c r="D1928" s="2266">
        <v>4</v>
      </c>
      <c r="E1928" s="2266">
        <v>2389</v>
      </c>
      <c r="F1928" s="2266" t="s">
        <v>6143</v>
      </c>
      <c r="G1928" s="2266" t="s">
        <v>6144</v>
      </c>
      <c r="H1928" s="2266">
        <v>347528</v>
      </c>
      <c r="I1928" s="2266">
        <v>0</v>
      </c>
      <c r="J1928" s="2266">
        <v>0</v>
      </c>
      <c r="K1928" s="2266">
        <v>0</v>
      </c>
      <c r="L1928" s="2266">
        <v>0</v>
      </c>
      <c r="M1928" s="2266">
        <v>599</v>
      </c>
    </row>
    <row r="1929" spans="1:13" ht="15">
      <c r="A1929" s="2266" t="s">
        <v>4344</v>
      </c>
      <c r="B1929" s="2465" t="str">
        <f>CONCATENATE(LEFT(RIGHT(CONCATENATE("000",IFAData_TEA_1617!A1929),6),3),"-",(RIGHT(RIGHT(CONCATENATE("000",IFAData_TEA_1617!A1929),6),3)))</f>
        <v>205-907</v>
      </c>
      <c r="C1929" s="2266" t="s">
        <v>656</v>
      </c>
      <c r="D1929" s="2266">
        <v>10</v>
      </c>
      <c r="E1929" s="2266">
        <v>2388</v>
      </c>
      <c r="F1929" s="2266" t="s">
        <v>6145</v>
      </c>
      <c r="G1929" s="2266" t="s">
        <v>6145</v>
      </c>
      <c r="H1929" s="2266">
        <v>284438</v>
      </c>
      <c r="I1929" s="2266">
        <v>879261</v>
      </c>
      <c r="J1929" s="2266">
        <v>1</v>
      </c>
      <c r="K1929" s="2266">
        <v>284438</v>
      </c>
      <c r="L1929" s="2266">
        <v>284438</v>
      </c>
      <c r="M1929" s="2266">
        <v>599</v>
      </c>
    </row>
    <row r="1930" spans="1:13" ht="15">
      <c r="A1930" s="2266" t="s">
        <v>4344</v>
      </c>
      <c r="B1930" s="2465" t="str">
        <f>CONCATENATE(LEFT(RIGHT(CONCATENATE("000",IFAData_TEA_1617!A1930),6),3),"-",(RIGHT(RIGHT(CONCATENATE("000",IFAData_TEA_1617!A1930),6),3)))</f>
        <v>205-907</v>
      </c>
      <c r="C1930" s="2266" t="s">
        <v>656</v>
      </c>
      <c r="D1930" s="2266">
        <v>4</v>
      </c>
      <c r="E1930" s="2266">
        <v>2389</v>
      </c>
      <c r="F1930" s="2266" t="s">
        <v>6143</v>
      </c>
      <c r="G1930" s="2266" t="s">
        <v>6143</v>
      </c>
      <c r="H1930" s="2266">
        <v>347528</v>
      </c>
      <c r="I1930" s="2266">
        <v>0</v>
      </c>
      <c r="J1930" s="2266">
        <v>0</v>
      </c>
      <c r="K1930" s="2266">
        <v>0</v>
      </c>
      <c r="L1930" s="2266">
        <v>0</v>
      </c>
      <c r="M1930" s="2266">
        <v>599</v>
      </c>
    </row>
    <row r="1931" spans="1:13" ht="15">
      <c r="A1931" s="2266" t="s">
        <v>4344</v>
      </c>
      <c r="B1931" s="2465" t="str">
        <f>CONCATENATE(LEFT(RIGHT(CONCATENATE("000",IFAData_TEA_1617!A1931),6),3),"-",(RIGHT(RIGHT(CONCATENATE("000",IFAData_TEA_1617!A1931),6),3)))</f>
        <v>205-907</v>
      </c>
      <c r="C1931" s="2266" t="s">
        <v>656</v>
      </c>
      <c r="D1931" s="2266">
        <v>4</v>
      </c>
      <c r="E1931" s="2266">
        <v>2389</v>
      </c>
      <c r="F1931" s="2266" t="s">
        <v>6143</v>
      </c>
      <c r="G1931" s="2266" t="s">
        <v>7270</v>
      </c>
      <c r="H1931" s="2266">
        <v>347528</v>
      </c>
      <c r="I1931" s="2266">
        <v>298156</v>
      </c>
      <c r="J1931" s="2266">
        <v>1</v>
      </c>
      <c r="K1931" s="2266">
        <v>347528</v>
      </c>
      <c r="L1931" s="2266">
        <v>298156</v>
      </c>
      <c r="M1931" s="2266">
        <v>599</v>
      </c>
    </row>
    <row r="1932" spans="1:13" ht="15">
      <c r="A1932" s="2266" t="s">
        <v>4345</v>
      </c>
      <c r="B1932" s="2465" t="str">
        <f>CONCATENATE(LEFT(RIGHT(CONCATENATE("000",IFAData_TEA_1617!A1932),6),3),"-",(RIGHT(RIGHT(CONCATENATE("000",IFAData_TEA_1617!A1932),6),3)))</f>
        <v>206-901</v>
      </c>
      <c r="C1932" s="2266" t="s">
        <v>1584</v>
      </c>
      <c r="D1932" s="2266">
        <v>2</v>
      </c>
      <c r="E1932" s="2266">
        <v>2302</v>
      </c>
      <c r="F1932" s="2266" t="s">
        <v>6146</v>
      </c>
      <c r="G1932" s="2266" t="s">
        <v>6146</v>
      </c>
      <c r="H1932" s="2266">
        <v>190287</v>
      </c>
      <c r="I1932" s="2266">
        <v>0</v>
      </c>
      <c r="J1932" s="2266">
        <v>0</v>
      </c>
      <c r="K1932" s="2266">
        <v>0</v>
      </c>
      <c r="L1932" s="2266">
        <v>0</v>
      </c>
      <c r="M1932" s="2266">
        <v>599</v>
      </c>
    </row>
    <row r="1933" spans="1:13" ht="15">
      <c r="A1933" s="2266" t="s">
        <v>4345</v>
      </c>
      <c r="B1933" s="2465" t="str">
        <f>CONCATENATE(LEFT(RIGHT(CONCATENATE("000",IFAData_TEA_1617!A1933),6),3),"-",(RIGHT(RIGHT(CONCATENATE("000",IFAData_TEA_1617!A1933),6),3)))</f>
        <v>206-901</v>
      </c>
      <c r="C1933" s="2266" t="s">
        <v>1584</v>
      </c>
      <c r="D1933" s="2266">
        <v>2</v>
      </c>
      <c r="E1933" s="2266">
        <v>2302</v>
      </c>
      <c r="F1933" s="2266" t="s">
        <v>6146</v>
      </c>
      <c r="G1933" s="2266" t="s">
        <v>6147</v>
      </c>
      <c r="H1933" s="2266">
        <v>190287</v>
      </c>
      <c r="I1933" s="2266">
        <v>180650</v>
      </c>
      <c r="J1933" s="2266">
        <v>1</v>
      </c>
      <c r="K1933" s="2266">
        <v>190287</v>
      </c>
      <c r="L1933" s="2266">
        <v>180650</v>
      </c>
      <c r="M1933" s="2266">
        <v>599</v>
      </c>
    </row>
    <row r="1934" spans="1:13" ht="15">
      <c r="A1934" s="2266" t="s">
        <v>4346</v>
      </c>
      <c r="B1934" s="2465" t="str">
        <f>CONCATENATE(LEFT(RIGHT(CONCATENATE("000",IFAData_TEA_1617!A1934),6),3),"-",(RIGHT(RIGHT(CONCATENATE("000",IFAData_TEA_1617!A1934),6),3)))</f>
        <v>210-901</v>
      </c>
      <c r="C1934" s="2266" t="s">
        <v>1995</v>
      </c>
      <c r="D1934" s="2266">
        <v>9</v>
      </c>
      <c r="E1934" s="2266">
        <v>1673</v>
      </c>
      <c r="F1934" s="2266" t="s">
        <v>6148</v>
      </c>
      <c r="G1934" s="2266" t="s">
        <v>7271</v>
      </c>
      <c r="H1934" s="2266">
        <v>246712</v>
      </c>
      <c r="I1934" s="2266">
        <v>192350</v>
      </c>
      <c r="J1934" s="2266">
        <v>0.15608390473485617</v>
      </c>
      <c r="K1934" s="2266">
        <v>38507.772304945836</v>
      </c>
      <c r="L1934" s="2266">
        <v>38507.772304945836</v>
      </c>
      <c r="M1934" s="2266">
        <v>599</v>
      </c>
    </row>
    <row r="1935" spans="1:13" ht="15">
      <c r="A1935" s="2266" t="s">
        <v>4346</v>
      </c>
      <c r="B1935" s="2465" t="str">
        <f>CONCATENATE(LEFT(RIGHT(CONCATENATE("000",IFAData_TEA_1617!A1935),6),3),"-",(RIGHT(RIGHT(CONCATENATE("000",IFAData_TEA_1617!A1935),6),3)))</f>
        <v>210-901</v>
      </c>
      <c r="C1935" s="2266" t="s">
        <v>1995</v>
      </c>
      <c r="D1935" s="2266">
        <v>9</v>
      </c>
      <c r="E1935" s="2266">
        <v>1673</v>
      </c>
      <c r="F1935" s="2266" t="s">
        <v>6148</v>
      </c>
      <c r="G1935" s="2266" t="s">
        <v>6148</v>
      </c>
      <c r="H1935" s="2266">
        <v>246712</v>
      </c>
      <c r="I1935" s="2266">
        <v>1040000</v>
      </c>
      <c r="J1935" s="2266">
        <v>0.84391609526514388</v>
      </c>
      <c r="K1935" s="2266">
        <v>208204.22769505417</v>
      </c>
      <c r="L1935" s="2266">
        <v>208204.22769505417</v>
      </c>
      <c r="M1935" s="2266">
        <v>599</v>
      </c>
    </row>
    <row r="1936" spans="1:13" ht="15">
      <c r="A1936" s="2266" t="s">
        <v>4347</v>
      </c>
      <c r="B1936" s="2465" t="str">
        <f>CONCATENATE(LEFT(RIGHT(CONCATENATE("000",IFAData_TEA_1617!A1936),6),3),"-",(RIGHT(RIGHT(CONCATENATE("000",IFAData_TEA_1617!A1936),6),3)))</f>
        <v>210-903</v>
      </c>
      <c r="C1936" s="2266" t="s">
        <v>1418</v>
      </c>
      <c r="D1936" s="2266">
        <v>4</v>
      </c>
      <c r="E1936" s="2266">
        <v>2328</v>
      </c>
      <c r="F1936" s="2266" t="s">
        <v>6149</v>
      </c>
      <c r="G1936" s="2266" t="s">
        <v>7044</v>
      </c>
      <c r="H1936" s="2266">
        <v>176318</v>
      </c>
      <c r="I1936" s="2266">
        <v>154575</v>
      </c>
      <c r="J1936" s="2266">
        <v>1</v>
      </c>
      <c r="K1936" s="2266">
        <v>176318</v>
      </c>
      <c r="L1936" s="2266">
        <v>154575</v>
      </c>
      <c r="M1936" s="2266">
        <v>599</v>
      </c>
    </row>
    <row r="1937" spans="1:13" ht="15">
      <c r="A1937" s="2266" t="s">
        <v>4347</v>
      </c>
      <c r="B1937" s="2465" t="str">
        <f>CONCATENATE(LEFT(RIGHT(CONCATENATE("000",IFAData_TEA_1617!A1937),6),3),"-",(RIGHT(RIGHT(CONCATENATE("000",IFAData_TEA_1617!A1937),6),3)))</f>
        <v>210-903</v>
      </c>
      <c r="C1937" s="2266" t="s">
        <v>1418</v>
      </c>
      <c r="D1937" s="2266">
        <v>4</v>
      </c>
      <c r="E1937" s="2266">
        <v>2328</v>
      </c>
      <c r="F1937" s="2266" t="s">
        <v>6149</v>
      </c>
      <c r="G1937" s="2266" t="s">
        <v>6150</v>
      </c>
      <c r="H1937" s="2266">
        <v>176318</v>
      </c>
      <c r="I1937" s="2266">
        <v>0</v>
      </c>
      <c r="J1937" s="2266">
        <v>0</v>
      </c>
      <c r="K1937" s="2266">
        <v>0</v>
      </c>
      <c r="L1937" s="2266">
        <v>0</v>
      </c>
      <c r="M1937" s="2266">
        <v>599</v>
      </c>
    </row>
    <row r="1938" spans="1:13" ht="15">
      <c r="A1938" s="2266" t="s">
        <v>4347</v>
      </c>
      <c r="B1938" s="2465" t="str">
        <f>CONCATENATE(LEFT(RIGHT(CONCATENATE("000",IFAData_TEA_1617!A1938),6),3),"-",(RIGHT(RIGHT(CONCATENATE("000",IFAData_TEA_1617!A1938),6),3)))</f>
        <v>210-903</v>
      </c>
      <c r="C1938" s="2266" t="s">
        <v>1418</v>
      </c>
      <c r="D1938" s="2266">
        <v>4</v>
      </c>
      <c r="E1938" s="2266">
        <v>2328</v>
      </c>
      <c r="F1938" s="2266" t="s">
        <v>6149</v>
      </c>
      <c r="G1938" s="2266" t="s">
        <v>6149</v>
      </c>
      <c r="H1938" s="2266">
        <v>176318</v>
      </c>
      <c r="I1938" s="2266">
        <v>0</v>
      </c>
      <c r="J1938" s="2266">
        <v>0</v>
      </c>
      <c r="K1938" s="2266">
        <v>0</v>
      </c>
      <c r="L1938" s="2266">
        <v>0</v>
      </c>
      <c r="M1938" s="2266">
        <v>599</v>
      </c>
    </row>
    <row r="1939" spans="1:13" ht="15">
      <c r="A1939" s="2266" t="s">
        <v>4348</v>
      </c>
      <c r="B1939" s="2465" t="str">
        <f>CONCATENATE(LEFT(RIGHT(CONCATENATE("000",IFAData_TEA_1617!A1939),6),3),"-",(RIGHT(RIGHT(CONCATENATE("000",IFAData_TEA_1617!A1939),6),3)))</f>
        <v>212-901</v>
      </c>
      <c r="C1939" s="2266" t="s">
        <v>2425</v>
      </c>
      <c r="D1939" s="2266">
        <v>6</v>
      </c>
      <c r="E1939" s="2266">
        <v>1584</v>
      </c>
      <c r="F1939" s="2266" t="s">
        <v>6151</v>
      </c>
      <c r="G1939" s="2266" t="s">
        <v>6153</v>
      </c>
      <c r="H1939" s="2266">
        <v>219258</v>
      </c>
      <c r="I1939" s="2266">
        <v>138498</v>
      </c>
      <c r="J1939" s="2266">
        <v>0.34618182181751828</v>
      </c>
      <c r="K1939" s="2266">
        <v>75903.133888065422</v>
      </c>
      <c r="L1939" s="2266">
        <v>75903.133888065422</v>
      </c>
      <c r="M1939" s="2266">
        <v>599</v>
      </c>
    </row>
    <row r="1940" spans="1:13" ht="15">
      <c r="A1940" s="2266" t="s">
        <v>4348</v>
      </c>
      <c r="B1940" s="2465" t="str">
        <f>CONCATENATE(LEFT(RIGHT(CONCATENATE("000",IFAData_TEA_1617!A1940),6),3),"-",(RIGHT(RIGHT(CONCATENATE("000",IFAData_TEA_1617!A1940),6),3)))</f>
        <v>212-901</v>
      </c>
      <c r="C1940" s="2266" t="s">
        <v>2425</v>
      </c>
      <c r="D1940" s="2266">
        <v>6</v>
      </c>
      <c r="E1940" s="2266">
        <v>1584</v>
      </c>
      <c r="F1940" s="2266" t="s">
        <v>6151</v>
      </c>
      <c r="G1940" s="2266" t="s">
        <v>6151</v>
      </c>
      <c r="H1940" s="2266">
        <v>219258</v>
      </c>
      <c r="I1940" s="2266">
        <v>0</v>
      </c>
      <c r="J1940" s="2266">
        <v>0</v>
      </c>
      <c r="K1940" s="2266">
        <v>0</v>
      </c>
      <c r="L1940" s="2266">
        <v>0</v>
      </c>
      <c r="M1940" s="2266">
        <v>599</v>
      </c>
    </row>
    <row r="1941" spans="1:13" ht="15">
      <c r="A1941" s="2266" t="s">
        <v>4348</v>
      </c>
      <c r="B1941" s="2465" t="str">
        <f>CONCATENATE(LEFT(RIGHT(CONCATENATE("000",IFAData_TEA_1617!A1941),6),3),"-",(RIGHT(RIGHT(CONCATENATE("000",IFAData_TEA_1617!A1941),6),3)))</f>
        <v>212-901</v>
      </c>
      <c r="C1941" s="2266" t="s">
        <v>2425</v>
      </c>
      <c r="D1941" s="2266">
        <v>6</v>
      </c>
      <c r="E1941" s="2266">
        <v>1584</v>
      </c>
      <c r="F1941" s="2266" t="s">
        <v>6151</v>
      </c>
      <c r="G1941" s="2266" t="s">
        <v>6152</v>
      </c>
      <c r="H1941" s="2266">
        <v>219258</v>
      </c>
      <c r="I1941" s="2266">
        <v>261575</v>
      </c>
      <c r="J1941" s="2266">
        <v>0.65381817818248167</v>
      </c>
      <c r="K1941" s="2266">
        <v>143354.86611193456</v>
      </c>
      <c r="L1941" s="2266">
        <v>143354.86611193456</v>
      </c>
      <c r="M1941" s="2266">
        <v>599</v>
      </c>
    </row>
    <row r="1942" spans="1:13" ht="15">
      <c r="A1942" s="2266" t="s">
        <v>4349</v>
      </c>
      <c r="B1942" s="2465" t="str">
        <f>CONCATENATE(LEFT(RIGHT(CONCATENATE("000",IFAData_TEA_1617!A1942),6),3),"-",(RIGHT(RIGHT(CONCATENATE("000",IFAData_TEA_1617!A1942),6),3)))</f>
        <v>212-903</v>
      </c>
      <c r="C1942" s="2266" t="s">
        <v>2273</v>
      </c>
      <c r="D1942" s="2266">
        <v>10</v>
      </c>
      <c r="E1942" s="2266">
        <v>2021</v>
      </c>
      <c r="F1942" s="2266" t="s">
        <v>6154</v>
      </c>
      <c r="G1942" s="2266" t="s">
        <v>6154</v>
      </c>
      <c r="H1942" s="2266">
        <v>863361</v>
      </c>
      <c r="I1942" s="2266">
        <v>1027354</v>
      </c>
      <c r="J1942" s="2266">
        <v>1</v>
      </c>
      <c r="K1942" s="2266">
        <v>863361</v>
      </c>
      <c r="L1942" s="2266">
        <v>863361</v>
      </c>
      <c r="M1942" s="2266">
        <v>599</v>
      </c>
    </row>
    <row r="1943" spans="1:13" ht="15">
      <c r="A1943" s="2266" t="s">
        <v>4350</v>
      </c>
      <c r="B1943" s="2465" t="str">
        <f>CONCATENATE(LEFT(RIGHT(CONCATENATE("000",IFAData_TEA_1617!A1943),6),3),"-",(RIGHT(RIGHT(CONCATENATE("000",IFAData_TEA_1617!A1943),6),3)))</f>
        <v>212-906</v>
      </c>
      <c r="C1943" s="2266" t="s">
        <v>1510</v>
      </c>
      <c r="D1943" s="2266">
        <v>2</v>
      </c>
      <c r="E1943" s="2266">
        <v>2451</v>
      </c>
      <c r="F1943" s="2266" t="s">
        <v>6155</v>
      </c>
      <c r="G1943" s="2266" t="s">
        <v>6156</v>
      </c>
      <c r="H1943" s="2266">
        <v>962500</v>
      </c>
      <c r="I1943" s="2266">
        <v>1256393</v>
      </c>
      <c r="J1943" s="2266">
        <v>1</v>
      </c>
      <c r="K1943" s="2266">
        <v>962500</v>
      </c>
      <c r="L1943" s="2266">
        <v>962500</v>
      </c>
      <c r="M1943" s="2266">
        <v>599</v>
      </c>
    </row>
    <row r="1944" spans="1:13" ht="15">
      <c r="A1944" s="2266" t="s">
        <v>4350</v>
      </c>
      <c r="B1944" s="2465" t="str">
        <f>CONCATENATE(LEFT(RIGHT(CONCATENATE("000",IFAData_TEA_1617!A1944),6),3),"-",(RIGHT(RIGHT(CONCATENATE("000",IFAData_TEA_1617!A1944),6),3)))</f>
        <v>212-906</v>
      </c>
      <c r="C1944" s="2266" t="s">
        <v>1510</v>
      </c>
      <c r="D1944" s="2266">
        <v>2</v>
      </c>
      <c r="E1944" s="2266">
        <v>2451</v>
      </c>
      <c r="F1944" s="2266" t="s">
        <v>6155</v>
      </c>
      <c r="G1944" s="2266" t="s">
        <v>6155</v>
      </c>
      <c r="H1944" s="2266">
        <v>962500</v>
      </c>
      <c r="I1944" s="2266">
        <v>0</v>
      </c>
      <c r="J1944" s="2266">
        <v>0</v>
      </c>
      <c r="K1944" s="2266">
        <v>0</v>
      </c>
      <c r="L1944" s="2266">
        <v>0</v>
      </c>
      <c r="M1944" s="2266">
        <v>599</v>
      </c>
    </row>
    <row r="1945" spans="1:13" ht="15">
      <c r="A1945" s="2266" t="s">
        <v>4351</v>
      </c>
      <c r="B1945" s="2465" t="str">
        <f>CONCATENATE(LEFT(RIGHT(CONCATENATE("000",IFAData_TEA_1617!A1945),6),3),"-",(RIGHT(RIGHT(CONCATENATE("000",IFAData_TEA_1617!A1945),6),3)))</f>
        <v>212-909</v>
      </c>
      <c r="C1945" s="2266" t="s">
        <v>735</v>
      </c>
      <c r="D1945" s="2266">
        <v>9</v>
      </c>
      <c r="E1945" s="2266">
        <v>1681</v>
      </c>
      <c r="F1945" s="2266" t="s">
        <v>6157</v>
      </c>
      <c r="G1945" s="2266" t="s">
        <v>7045</v>
      </c>
      <c r="H1945" s="2266">
        <v>722890</v>
      </c>
      <c r="I1945" s="2266">
        <v>281125</v>
      </c>
      <c r="J1945" s="2266">
        <v>0.38854911716941365</v>
      </c>
      <c r="K1945" s="2266">
        <v>280878.27131059743</v>
      </c>
      <c r="L1945" s="2266">
        <v>280878.27131059743</v>
      </c>
      <c r="M1945" s="2266">
        <v>599</v>
      </c>
    </row>
    <row r="1946" spans="1:13" ht="15">
      <c r="A1946" s="2266" t="s">
        <v>4351</v>
      </c>
      <c r="B1946" s="2465" t="str">
        <f>CONCATENATE(LEFT(RIGHT(CONCATENATE("000",IFAData_TEA_1617!A1946),6),3),"-",(RIGHT(RIGHT(CONCATENATE("000",IFAData_TEA_1617!A1946),6),3)))</f>
        <v>212-909</v>
      </c>
      <c r="C1946" s="2266" t="s">
        <v>735</v>
      </c>
      <c r="D1946" s="2266">
        <v>9</v>
      </c>
      <c r="E1946" s="2266">
        <v>1681</v>
      </c>
      <c r="F1946" s="2266" t="s">
        <v>6157</v>
      </c>
      <c r="G1946" s="2266" t="s">
        <v>6157</v>
      </c>
      <c r="H1946" s="2266">
        <v>722890</v>
      </c>
      <c r="I1946" s="2266">
        <v>212500</v>
      </c>
      <c r="J1946" s="2266">
        <v>0.29370097785149096</v>
      </c>
      <c r="K1946" s="2266">
        <v>212313.4998790643</v>
      </c>
      <c r="L1946" s="2266">
        <v>212313.4998790643</v>
      </c>
      <c r="M1946" s="2266">
        <v>599</v>
      </c>
    </row>
    <row r="1947" spans="1:13" ht="15">
      <c r="A1947" s="2266" t="s">
        <v>4351</v>
      </c>
      <c r="B1947" s="2465" t="str">
        <f>CONCATENATE(LEFT(RIGHT(CONCATENATE("000",IFAData_TEA_1617!A1947),6),3),"-",(RIGHT(RIGHT(CONCATENATE("000",IFAData_TEA_1617!A1947),6),3)))</f>
        <v>212-909</v>
      </c>
      <c r="C1947" s="2266" t="s">
        <v>735</v>
      </c>
      <c r="D1947" s="2266">
        <v>9</v>
      </c>
      <c r="E1947" s="2266">
        <v>1681</v>
      </c>
      <c r="F1947" s="2266" t="s">
        <v>6157</v>
      </c>
      <c r="G1947" s="2266" t="s">
        <v>7046</v>
      </c>
      <c r="H1947" s="2266">
        <v>722890</v>
      </c>
      <c r="I1947" s="2266">
        <v>229900</v>
      </c>
      <c r="J1947" s="2266">
        <v>0.31774990497909539</v>
      </c>
      <c r="K1947" s="2266">
        <v>229698.22881033827</v>
      </c>
      <c r="L1947" s="2266">
        <v>229698.22881033827</v>
      </c>
      <c r="M1947" s="2266">
        <v>599</v>
      </c>
    </row>
    <row r="1948" spans="1:13" ht="15">
      <c r="A1948" s="2266" t="s">
        <v>4352</v>
      </c>
      <c r="B1948" s="2465" t="str">
        <f>CONCATENATE(LEFT(RIGHT(CONCATENATE("000",IFAData_TEA_1617!A1948),6),3),"-",(RIGHT(RIGHT(CONCATENATE("000",IFAData_TEA_1617!A1948),6),3)))</f>
        <v>214-901</v>
      </c>
      <c r="C1948" s="2266" t="s">
        <v>3092</v>
      </c>
      <c r="D1948" s="2266">
        <v>2</v>
      </c>
      <c r="E1948" s="2266">
        <v>2239</v>
      </c>
      <c r="F1948" s="2266" t="s">
        <v>6158</v>
      </c>
      <c r="G1948" s="2266" t="s">
        <v>6158</v>
      </c>
      <c r="H1948" s="2266">
        <v>595803</v>
      </c>
      <c r="I1948" s="2266">
        <v>0</v>
      </c>
      <c r="J1948" s="2266">
        <v>0</v>
      </c>
      <c r="K1948" s="2266"/>
      <c r="L1948" s="2266">
        <v>0</v>
      </c>
      <c r="M1948" s="2266">
        <v>199</v>
      </c>
    </row>
    <row r="1949" spans="1:13" ht="15">
      <c r="A1949" s="2266" t="s">
        <v>4352</v>
      </c>
      <c r="B1949" s="2465" t="str">
        <f>CONCATENATE(LEFT(RIGHT(CONCATENATE("000",IFAData_TEA_1617!A1949),6),3),"-",(RIGHT(RIGHT(CONCATENATE("000",IFAData_TEA_1617!A1949),6),3)))</f>
        <v>214-901</v>
      </c>
      <c r="C1949" s="2266" t="s">
        <v>3092</v>
      </c>
      <c r="D1949" s="2266">
        <v>8</v>
      </c>
      <c r="E1949" s="2266">
        <v>2244</v>
      </c>
      <c r="F1949" s="2266" t="s">
        <v>6166</v>
      </c>
      <c r="G1949" s="2266" t="s">
        <v>6166</v>
      </c>
      <c r="H1949" s="2266">
        <v>2370209</v>
      </c>
      <c r="I1949" s="2266">
        <v>0</v>
      </c>
      <c r="J1949" s="2266">
        <v>0</v>
      </c>
      <c r="K1949" s="2266">
        <v>0</v>
      </c>
      <c r="L1949" s="2266">
        <v>0</v>
      </c>
      <c r="M1949" s="2266">
        <v>599</v>
      </c>
    </row>
    <row r="1950" spans="1:13" ht="15">
      <c r="A1950" s="2266" t="s">
        <v>4352</v>
      </c>
      <c r="B1950" s="2465" t="str">
        <f>CONCATENATE(LEFT(RIGHT(CONCATENATE("000",IFAData_TEA_1617!A1950),6),3),"-",(RIGHT(RIGHT(CONCATENATE("000",IFAData_TEA_1617!A1950),6),3)))</f>
        <v>214-901</v>
      </c>
      <c r="C1950" s="2266" t="s">
        <v>3092</v>
      </c>
      <c r="D1950" s="2266">
        <v>7</v>
      </c>
      <c r="E1950" s="2266">
        <v>2240</v>
      </c>
      <c r="F1950" s="2266" t="s">
        <v>6164</v>
      </c>
      <c r="G1950" s="2266" t="s">
        <v>6165</v>
      </c>
      <c r="H1950" s="2266">
        <v>1469426</v>
      </c>
      <c r="I1950" s="2266">
        <v>1360325</v>
      </c>
      <c r="J1950" s="2266">
        <v>1</v>
      </c>
      <c r="K1950" s="2266">
        <v>1469426</v>
      </c>
      <c r="L1950" s="2266">
        <v>1360325</v>
      </c>
      <c r="M1950" s="2266">
        <v>599</v>
      </c>
    </row>
    <row r="1951" spans="1:13" ht="15">
      <c r="A1951" s="2266" t="s">
        <v>4352</v>
      </c>
      <c r="B1951" s="2465" t="str">
        <f>CONCATENATE(LEFT(RIGHT(CONCATENATE("000",IFAData_TEA_1617!A1951),6),3),"-",(RIGHT(RIGHT(CONCATENATE("000",IFAData_TEA_1617!A1951),6),3)))</f>
        <v>214-901</v>
      </c>
      <c r="C1951" s="2266" t="s">
        <v>3092</v>
      </c>
      <c r="D1951" s="2266">
        <v>6</v>
      </c>
      <c r="E1951" s="2266">
        <v>2241</v>
      </c>
      <c r="F1951" s="2266" t="s">
        <v>6161</v>
      </c>
      <c r="G1951" s="2266" t="s">
        <v>6163</v>
      </c>
      <c r="H1951" s="2266">
        <v>1797043</v>
      </c>
      <c r="I1951" s="2266">
        <v>377196</v>
      </c>
      <c r="J1951" s="2266">
        <v>0.40685973653071811</v>
      </c>
      <c r="K1951" s="2266">
        <v>731144.44151437131</v>
      </c>
      <c r="L1951" s="2266">
        <v>377196</v>
      </c>
      <c r="M1951" s="2266">
        <v>599</v>
      </c>
    </row>
    <row r="1952" spans="1:13" ht="15">
      <c r="A1952" s="2266" t="s">
        <v>4352</v>
      </c>
      <c r="B1952" s="2465" t="str">
        <f>CONCATENATE(LEFT(RIGHT(CONCATENATE("000",IFAData_TEA_1617!A1952),6),3),"-",(RIGHT(RIGHT(CONCATENATE("000",IFAData_TEA_1617!A1952),6),3)))</f>
        <v>214-901</v>
      </c>
      <c r="C1952" s="2266" t="s">
        <v>3092</v>
      </c>
      <c r="D1952" s="2266">
        <v>6</v>
      </c>
      <c r="E1952" s="2266">
        <v>2241</v>
      </c>
      <c r="F1952" s="2266" t="s">
        <v>6161</v>
      </c>
      <c r="G1952" s="2266" t="s">
        <v>6162</v>
      </c>
      <c r="H1952" s="2266">
        <v>1797043</v>
      </c>
      <c r="I1952" s="2266">
        <v>549895</v>
      </c>
      <c r="J1952" s="2266">
        <v>0.59314026346928184</v>
      </c>
      <c r="K1952" s="2266">
        <v>1065898.5584856286</v>
      </c>
      <c r="L1952" s="2266">
        <v>549895</v>
      </c>
      <c r="M1952" s="2266">
        <v>599</v>
      </c>
    </row>
    <row r="1953" spans="1:13" ht="15">
      <c r="A1953" s="2266" t="s">
        <v>4352</v>
      </c>
      <c r="B1953" s="2465" t="str">
        <f>CONCATENATE(LEFT(RIGHT(CONCATENATE("000",IFAData_TEA_1617!A1953),6),3),"-",(RIGHT(RIGHT(CONCATENATE("000",IFAData_TEA_1617!A1953),6),3)))</f>
        <v>214-901</v>
      </c>
      <c r="C1953" s="2266" t="s">
        <v>3092</v>
      </c>
      <c r="D1953" s="2266">
        <v>4</v>
      </c>
      <c r="E1953" s="2266">
        <v>2242</v>
      </c>
      <c r="F1953" s="2266" t="s">
        <v>6159</v>
      </c>
      <c r="G1953" s="2266" t="s">
        <v>6160</v>
      </c>
      <c r="H1953" s="2266">
        <v>1967288</v>
      </c>
      <c r="I1953" s="2266">
        <v>0</v>
      </c>
      <c r="J1953" s="2266">
        <v>0</v>
      </c>
      <c r="K1953" s="2266">
        <v>0</v>
      </c>
      <c r="L1953" s="2266">
        <v>0</v>
      </c>
      <c r="M1953" s="2266">
        <v>599</v>
      </c>
    </row>
    <row r="1954" spans="1:13" ht="15">
      <c r="A1954" s="2266" t="s">
        <v>4352</v>
      </c>
      <c r="B1954" s="2465" t="str">
        <f>CONCATENATE(LEFT(RIGHT(CONCATENATE("000",IFAData_TEA_1617!A1954),6),3),"-",(RIGHT(RIGHT(CONCATENATE("000",IFAData_TEA_1617!A1954),6),3)))</f>
        <v>214-901</v>
      </c>
      <c r="C1954" s="2266" t="s">
        <v>3092</v>
      </c>
      <c r="D1954" s="2266">
        <v>4</v>
      </c>
      <c r="E1954" s="2266">
        <v>2242</v>
      </c>
      <c r="F1954" s="2266" t="s">
        <v>6159</v>
      </c>
      <c r="G1954" s="2266" t="s">
        <v>6159</v>
      </c>
      <c r="H1954" s="2266">
        <v>1967288</v>
      </c>
      <c r="I1954" s="2266">
        <v>0</v>
      </c>
      <c r="J1954" s="2266">
        <v>0</v>
      </c>
      <c r="K1954" s="2266">
        <v>0</v>
      </c>
      <c r="L1954" s="2266">
        <v>0</v>
      </c>
      <c r="M1954" s="2266">
        <v>599</v>
      </c>
    </row>
    <row r="1955" spans="1:13" ht="15">
      <c r="A1955" s="2266" t="s">
        <v>4352</v>
      </c>
      <c r="B1955" s="2465" t="str">
        <f>CONCATENATE(LEFT(RIGHT(CONCATENATE("000",IFAData_TEA_1617!A1955),6),3),"-",(RIGHT(RIGHT(CONCATENATE("000",IFAData_TEA_1617!A1955),6),3)))</f>
        <v>214-901</v>
      </c>
      <c r="C1955" s="2266" t="s">
        <v>3092</v>
      </c>
      <c r="D1955" s="2266">
        <v>10</v>
      </c>
      <c r="E1955" s="2266">
        <v>2243</v>
      </c>
      <c r="F1955" s="2266" t="s">
        <v>6167</v>
      </c>
      <c r="G1955" s="2266" t="s">
        <v>6167</v>
      </c>
      <c r="H1955" s="2266">
        <v>2133360</v>
      </c>
      <c r="I1955" s="2266">
        <v>2126960</v>
      </c>
      <c r="J1955" s="2266">
        <v>1</v>
      </c>
      <c r="K1955" s="2266">
        <v>2133360</v>
      </c>
      <c r="L1955" s="2266">
        <v>2126960</v>
      </c>
      <c r="M1955" s="2266">
        <v>599</v>
      </c>
    </row>
    <row r="1956" spans="1:13" ht="15">
      <c r="A1956" s="2266" t="s">
        <v>4352</v>
      </c>
      <c r="B1956" s="2465" t="str">
        <f>CONCATENATE(LEFT(RIGHT(CONCATENATE("000",IFAData_TEA_1617!A1956),6),3),"-",(RIGHT(RIGHT(CONCATENATE("000",IFAData_TEA_1617!A1956),6),3)))</f>
        <v>214-901</v>
      </c>
      <c r="C1956" s="2266" t="s">
        <v>3092</v>
      </c>
      <c r="D1956" s="2266">
        <v>7</v>
      </c>
      <c r="E1956" s="2266">
        <v>2240</v>
      </c>
      <c r="F1956" s="2266" t="s">
        <v>6164</v>
      </c>
      <c r="G1956" s="2266" t="s">
        <v>6164</v>
      </c>
      <c r="H1956" s="2266">
        <v>1469426</v>
      </c>
      <c r="I1956" s="2266">
        <v>0</v>
      </c>
      <c r="J1956" s="2266">
        <v>0</v>
      </c>
      <c r="K1956" s="2266">
        <v>0</v>
      </c>
      <c r="L1956" s="2266">
        <v>0</v>
      </c>
      <c r="M1956" s="2266">
        <v>599</v>
      </c>
    </row>
    <row r="1957" spans="1:13" ht="15">
      <c r="A1957" s="2266" t="s">
        <v>4352</v>
      </c>
      <c r="B1957" s="2465" t="str">
        <f>CONCATENATE(LEFT(RIGHT(CONCATENATE("000",IFAData_TEA_1617!A1957),6),3),"-",(RIGHT(RIGHT(CONCATENATE("000",IFAData_TEA_1617!A1957),6),3)))</f>
        <v>214-901</v>
      </c>
      <c r="C1957" s="2266" t="s">
        <v>3092</v>
      </c>
      <c r="D1957" s="2266">
        <v>6</v>
      </c>
      <c r="E1957" s="2266">
        <v>2241</v>
      </c>
      <c r="F1957" s="2266" t="s">
        <v>6161</v>
      </c>
      <c r="G1957" s="2266" t="s">
        <v>6161</v>
      </c>
      <c r="H1957" s="2266">
        <v>1797043</v>
      </c>
      <c r="I1957" s="2266">
        <v>0</v>
      </c>
      <c r="J1957" s="2266">
        <v>0</v>
      </c>
      <c r="K1957" s="2266">
        <v>0</v>
      </c>
      <c r="L1957" s="2266">
        <v>0</v>
      </c>
      <c r="M1957" s="2266">
        <v>599</v>
      </c>
    </row>
    <row r="1958" spans="1:13" ht="15">
      <c r="A1958" s="2266" t="s">
        <v>4352</v>
      </c>
      <c r="B1958" s="2465" t="str">
        <f>CONCATENATE(LEFT(RIGHT(CONCATENATE("000",IFAData_TEA_1617!A1958),6),3),"-",(RIGHT(RIGHT(CONCATENATE("000",IFAData_TEA_1617!A1958),6),3)))</f>
        <v>214-901</v>
      </c>
      <c r="C1958" s="2266" t="s">
        <v>3092</v>
      </c>
      <c r="D1958" s="2266">
        <v>8</v>
      </c>
      <c r="E1958" s="2266">
        <v>2244</v>
      </c>
      <c r="F1958" s="2266" t="s">
        <v>6166</v>
      </c>
      <c r="G1958" s="2266" t="s">
        <v>7272</v>
      </c>
      <c r="H1958" s="2266">
        <v>2370209</v>
      </c>
      <c r="I1958" s="2266">
        <v>2123875</v>
      </c>
      <c r="J1958" s="2266">
        <v>1</v>
      </c>
      <c r="K1958" s="2266">
        <v>2370209</v>
      </c>
      <c r="L1958" s="2266">
        <v>2123875</v>
      </c>
      <c r="M1958" s="2266">
        <v>599</v>
      </c>
    </row>
    <row r="1959" spans="1:13" ht="15">
      <c r="A1959" s="2266" t="s">
        <v>4352</v>
      </c>
      <c r="B1959" s="2465" t="str">
        <f>CONCATENATE(LEFT(RIGHT(CONCATENATE("000",IFAData_TEA_1617!A1959),6),3),"-",(RIGHT(RIGHT(CONCATENATE("000",IFAData_TEA_1617!A1959),6),3)))</f>
        <v>214-901</v>
      </c>
      <c r="C1959" s="2266" t="s">
        <v>3092</v>
      </c>
      <c r="D1959" s="2266">
        <v>4</v>
      </c>
      <c r="E1959" s="2266">
        <v>2242</v>
      </c>
      <c r="F1959" s="2266" t="s">
        <v>6159</v>
      </c>
      <c r="G1959" s="2266" t="s">
        <v>7047</v>
      </c>
      <c r="H1959" s="2266">
        <v>1967288</v>
      </c>
      <c r="I1959" s="2266">
        <v>1682550</v>
      </c>
      <c r="J1959" s="2266">
        <v>1</v>
      </c>
      <c r="K1959" s="2266">
        <v>1967288</v>
      </c>
      <c r="L1959" s="2266">
        <v>1682550</v>
      </c>
      <c r="M1959" s="2266">
        <v>599</v>
      </c>
    </row>
    <row r="1960" spans="1:13" ht="15">
      <c r="A1960" s="2266" t="s">
        <v>4353</v>
      </c>
      <c r="B1960" s="2465" t="str">
        <f>CONCATENATE(LEFT(RIGHT(CONCATENATE("000",IFAData_TEA_1617!A1960),6),3),"-",(RIGHT(RIGHT(CONCATENATE("000",IFAData_TEA_1617!A1960),6),3)))</f>
        <v>214-903</v>
      </c>
      <c r="C1960" s="2266" t="s">
        <v>663</v>
      </c>
      <c r="D1960" s="2266">
        <v>4</v>
      </c>
      <c r="E1960" s="2266">
        <v>2262</v>
      </c>
      <c r="F1960" s="2266" t="s">
        <v>6168</v>
      </c>
      <c r="G1960" s="2266" t="s">
        <v>7048</v>
      </c>
      <c r="H1960" s="2266">
        <v>1385266</v>
      </c>
      <c r="I1960" s="2266">
        <v>1184350</v>
      </c>
      <c r="J1960" s="2266">
        <v>1</v>
      </c>
      <c r="K1960" s="2266">
        <v>1385266</v>
      </c>
      <c r="L1960" s="2266">
        <v>1184350</v>
      </c>
      <c r="M1960" s="2266">
        <v>599</v>
      </c>
    </row>
    <row r="1961" spans="1:13" ht="15">
      <c r="A1961" s="2266" t="s">
        <v>4353</v>
      </c>
      <c r="B1961" s="2465" t="str">
        <f>CONCATENATE(LEFT(RIGHT(CONCATENATE("000",IFAData_TEA_1617!A1961),6),3),"-",(RIGHT(RIGHT(CONCATENATE("000",IFAData_TEA_1617!A1961),6),3)))</f>
        <v>214-903</v>
      </c>
      <c r="C1961" s="2266" t="s">
        <v>663</v>
      </c>
      <c r="D1961" s="2266">
        <v>8</v>
      </c>
      <c r="E1961" s="2266">
        <v>2263</v>
      </c>
      <c r="F1961" s="2266" t="s">
        <v>6172</v>
      </c>
      <c r="G1961" s="2266" t="s">
        <v>6174</v>
      </c>
      <c r="H1961" s="2266">
        <v>1448810</v>
      </c>
      <c r="I1961" s="2266">
        <v>335775</v>
      </c>
      <c r="J1961" s="2266">
        <v>0.25305928343770229</v>
      </c>
      <c r="K1961" s="2266">
        <v>366634.82043737744</v>
      </c>
      <c r="L1961" s="2266">
        <v>335775</v>
      </c>
      <c r="M1961" s="2266">
        <v>599</v>
      </c>
    </row>
    <row r="1962" spans="1:13" ht="15">
      <c r="A1962" s="2266" t="s">
        <v>4353</v>
      </c>
      <c r="B1962" s="2465" t="str">
        <f>CONCATENATE(LEFT(RIGHT(CONCATENATE("000",IFAData_TEA_1617!A1962),6),3),"-",(RIGHT(RIGHT(CONCATENATE("000",IFAData_TEA_1617!A1962),6),3)))</f>
        <v>214-903</v>
      </c>
      <c r="C1962" s="2266" t="s">
        <v>663</v>
      </c>
      <c r="D1962" s="2266">
        <v>8</v>
      </c>
      <c r="E1962" s="2266">
        <v>2263</v>
      </c>
      <c r="F1962" s="2266" t="s">
        <v>6172</v>
      </c>
      <c r="G1962" s="2266" t="s">
        <v>6172</v>
      </c>
      <c r="H1962" s="2266">
        <v>1448810</v>
      </c>
      <c r="I1962" s="2266">
        <v>633363</v>
      </c>
      <c r="J1962" s="2266">
        <v>0.47733865515882196</v>
      </c>
      <c r="K1962" s="2266">
        <v>691573.01698065281</v>
      </c>
      <c r="L1962" s="2266">
        <v>633363</v>
      </c>
      <c r="M1962" s="2266">
        <v>599</v>
      </c>
    </row>
    <row r="1963" spans="1:13" ht="15">
      <c r="A1963" s="2266" t="s">
        <v>4353</v>
      </c>
      <c r="B1963" s="2465" t="str">
        <f>CONCATENATE(LEFT(RIGHT(CONCATENATE("000",IFAData_TEA_1617!A1963),6),3),"-",(RIGHT(RIGHT(CONCATENATE("000",IFAData_TEA_1617!A1963),6),3)))</f>
        <v>214-903</v>
      </c>
      <c r="C1963" s="2266" t="s">
        <v>663</v>
      </c>
      <c r="D1963" s="2266">
        <v>8</v>
      </c>
      <c r="E1963" s="2266">
        <v>2263</v>
      </c>
      <c r="F1963" s="2266" t="s">
        <v>6172</v>
      </c>
      <c r="G1963" s="2266" t="s">
        <v>6173</v>
      </c>
      <c r="H1963" s="2266">
        <v>1448810</v>
      </c>
      <c r="I1963" s="2266">
        <v>357725</v>
      </c>
      <c r="J1963" s="2266">
        <v>0.2696020614034757</v>
      </c>
      <c r="K1963" s="2266">
        <v>390602.16258196963</v>
      </c>
      <c r="L1963" s="2266">
        <v>357725</v>
      </c>
      <c r="M1963" s="2266">
        <v>599</v>
      </c>
    </row>
    <row r="1964" spans="1:13" ht="15">
      <c r="A1964" s="2266" t="s">
        <v>4353</v>
      </c>
      <c r="B1964" s="2465" t="str">
        <f>CONCATENATE(LEFT(RIGHT(CONCATENATE("000",IFAData_TEA_1617!A1964),6),3),"-",(RIGHT(RIGHT(CONCATENATE("000",IFAData_TEA_1617!A1964),6),3)))</f>
        <v>214-903</v>
      </c>
      <c r="C1964" s="2266" t="s">
        <v>663</v>
      </c>
      <c r="D1964" s="2266">
        <v>7</v>
      </c>
      <c r="E1964" s="2266">
        <v>2260</v>
      </c>
      <c r="F1964" s="2266" t="s">
        <v>6170</v>
      </c>
      <c r="G1964" s="2266" t="s">
        <v>6171</v>
      </c>
      <c r="H1964" s="2266">
        <v>816105</v>
      </c>
      <c r="I1964" s="2266">
        <v>738400</v>
      </c>
      <c r="J1964" s="2266">
        <v>1</v>
      </c>
      <c r="K1964" s="2266">
        <v>816105</v>
      </c>
      <c r="L1964" s="2266">
        <v>738400</v>
      </c>
      <c r="M1964" s="2266">
        <v>599</v>
      </c>
    </row>
    <row r="1965" spans="1:13" ht="15">
      <c r="A1965" s="2266" t="s">
        <v>4353</v>
      </c>
      <c r="B1965" s="2465" t="str">
        <f>CONCATENATE(LEFT(RIGHT(CONCATENATE("000",IFAData_TEA_1617!A1965),6),3),"-",(RIGHT(RIGHT(CONCATENATE("000",IFAData_TEA_1617!A1965),6),3)))</f>
        <v>214-903</v>
      </c>
      <c r="C1965" s="2266" t="s">
        <v>663</v>
      </c>
      <c r="D1965" s="2266">
        <v>10</v>
      </c>
      <c r="E1965" s="2266">
        <v>2259</v>
      </c>
      <c r="F1965" s="2266" t="s">
        <v>6176</v>
      </c>
      <c r="G1965" s="2266" t="s">
        <v>6176</v>
      </c>
      <c r="H1965" s="2266">
        <v>623963</v>
      </c>
      <c r="I1965" s="2266">
        <v>619162</v>
      </c>
      <c r="J1965" s="2266">
        <v>1</v>
      </c>
      <c r="K1965" s="2266">
        <v>623963</v>
      </c>
      <c r="L1965" s="2266">
        <v>619162</v>
      </c>
      <c r="M1965" s="2266">
        <v>599</v>
      </c>
    </row>
    <row r="1966" spans="1:13" ht="15">
      <c r="A1966" s="2266" t="s">
        <v>4353</v>
      </c>
      <c r="B1966" s="2465" t="str">
        <f>CONCATENATE(LEFT(RIGHT(CONCATENATE("000",IFAData_TEA_1617!A1966),6),3),"-",(RIGHT(RIGHT(CONCATENATE("000",IFAData_TEA_1617!A1966),6),3)))</f>
        <v>214-903</v>
      </c>
      <c r="C1966" s="2266" t="s">
        <v>663</v>
      </c>
      <c r="D1966" s="2266">
        <v>4</v>
      </c>
      <c r="E1966" s="2266">
        <v>2262</v>
      </c>
      <c r="F1966" s="2266" t="s">
        <v>6168</v>
      </c>
      <c r="G1966" s="2266" t="s">
        <v>6169</v>
      </c>
      <c r="H1966" s="2266">
        <v>1385266</v>
      </c>
      <c r="I1966" s="2266">
        <v>0</v>
      </c>
      <c r="J1966" s="2266">
        <v>0</v>
      </c>
      <c r="K1966" s="2266">
        <v>0</v>
      </c>
      <c r="L1966" s="2266">
        <v>0</v>
      </c>
      <c r="M1966" s="2266">
        <v>599</v>
      </c>
    </row>
    <row r="1967" spans="1:13" ht="15">
      <c r="A1967" s="2266" t="s">
        <v>4353</v>
      </c>
      <c r="B1967" s="2465" t="str">
        <f>CONCATENATE(LEFT(RIGHT(CONCATENATE("000",IFAData_TEA_1617!A1967),6),3),"-",(RIGHT(RIGHT(CONCATENATE("000",IFAData_TEA_1617!A1967),6),3)))</f>
        <v>214-903</v>
      </c>
      <c r="C1967" s="2266" t="s">
        <v>663</v>
      </c>
      <c r="D1967" s="2266">
        <v>4</v>
      </c>
      <c r="E1967" s="2266">
        <v>2262</v>
      </c>
      <c r="F1967" s="2266" t="s">
        <v>6168</v>
      </c>
      <c r="G1967" s="2266" t="s">
        <v>6168</v>
      </c>
      <c r="H1967" s="2266">
        <v>1385266</v>
      </c>
      <c r="I1967" s="2266">
        <v>0</v>
      </c>
      <c r="J1967" s="2266">
        <v>0</v>
      </c>
      <c r="K1967" s="2266">
        <v>0</v>
      </c>
      <c r="L1967" s="2266">
        <v>0</v>
      </c>
      <c r="M1967" s="2266">
        <v>599</v>
      </c>
    </row>
    <row r="1968" spans="1:13" ht="15">
      <c r="A1968" s="2266" t="s">
        <v>4353</v>
      </c>
      <c r="B1968" s="2465" t="str">
        <f>CONCATENATE(LEFT(RIGHT(CONCATENATE("000",IFAData_TEA_1617!A1968),6),3),"-",(RIGHT(RIGHT(CONCATENATE("000",IFAData_TEA_1617!A1968),6),3)))</f>
        <v>214-903</v>
      </c>
      <c r="C1968" s="2266" t="s">
        <v>663</v>
      </c>
      <c r="D1968" s="2266">
        <v>7</v>
      </c>
      <c r="E1968" s="2266">
        <v>2260</v>
      </c>
      <c r="F1968" s="2266" t="s">
        <v>6170</v>
      </c>
      <c r="G1968" s="2266" t="s">
        <v>6170</v>
      </c>
      <c r="H1968" s="2266">
        <v>816105</v>
      </c>
      <c r="I1968" s="2266">
        <v>0</v>
      </c>
      <c r="J1968" s="2266">
        <v>0</v>
      </c>
      <c r="K1968" s="2266">
        <v>0</v>
      </c>
      <c r="L1968" s="2266">
        <v>0</v>
      </c>
      <c r="M1968" s="2266">
        <v>599</v>
      </c>
    </row>
    <row r="1969" spans="1:13" ht="15">
      <c r="A1969" s="2266" t="s">
        <v>4353</v>
      </c>
      <c r="B1969" s="2465" t="str">
        <f>CONCATENATE(LEFT(RIGHT(CONCATENATE("000",IFAData_TEA_1617!A1969),6),3),"-",(RIGHT(RIGHT(CONCATENATE("000",IFAData_TEA_1617!A1969),6),3)))</f>
        <v>214-903</v>
      </c>
      <c r="C1969" s="2266" t="s">
        <v>663</v>
      </c>
      <c r="D1969" s="2266">
        <v>9</v>
      </c>
      <c r="E1969" s="2266">
        <v>2261</v>
      </c>
      <c r="F1969" s="2266" t="s">
        <v>6175</v>
      </c>
      <c r="G1969" s="2266" t="s">
        <v>6175</v>
      </c>
      <c r="H1969" s="2266">
        <v>1016430</v>
      </c>
      <c r="I1969" s="2266">
        <v>400200</v>
      </c>
      <c r="J1969" s="2266">
        <v>0.42889293752009433</v>
      </c>
      <c r="K1969" s="2266">
        <v>435939.64848354948</v>
      </c>
      <c r="L1969" s="2266">
        <v>400200</v>
      </c>
      <c r="M1969" s="2266">
        <v>599</v>
      </c>
    </row>
    <row r="1970" spans="1:13" ht="15">
      <c r="A1970" s="2266" t="s">
        <v>4353</v>
      </c>
      <c r="B1970" s="2465" t="str">
        <f>CONCATENATE(LEFT(RIGHT(CONCATENATE("000",IFAData_TEA_1617!A1970),6),3),"-",(RIGHT(RIGHT(CONCATENATE("000",IFAData_TEA_1617!A1970),6),3)))</f>
        <v>214-903</v>
      </c>
      <c r="C1970" s="2266" t="s">
        <v>663</v>
      </c>
      <c r="D1970" s="2266">
        <v>9</v>
      </c>
      <c r="E1970" s="2266">
        <v>2261</v>
      </c>
      <c r="F1970" s="2266" t="s">
        <v>6175</v>
      </c>
      <c r="G1970" s="2266" t="s">
        <v>7273</v>
      </c>
      <c r="H1970" s="2266">
        <v>1016430</v>
      </c>
      <c r="I1970" s="2266">
        <v>532900</v>
      </c>
      <c r="J1970" s="2266">
        <v>0.57110706247990572</v>
      </c>
      <c r="K1970" s="2266">
        <v>580490.35151645052</v>
      </c>
      <c r="L1970" s="2266">
        <v>532900</v>
      </c>
      <c r="M1970" s="2266">
        <v>599</v>
      </c>
    </row>
    <row r="1971" spans="1:13" ht="15">
      <c r="A1971" s="2266" t="s">
        <v>4354</v>
      </c>
      <c r="B1971" s="2465" t="str">
        <f>CONCATENATE(LEFT(RIGHT(CONCATENATE("000",IFAData_TEA_1617!A1971),6),3),"-",(RIGHT(RIGHT(CONCATENATE("000",IFAData_TEA_1617!A1971),6),3)))</f>
        <v>220-901</v>
      </c>
      <c r="C1971" s="2266" t="s">
        <v>2775</v>
      </c>
      <c r="D1971" s="2266">
        <v>1</v>
      </c>
      <c r="E1971" s="2266">
        <v>1583</v>
      </c>
      <c r="F1971" s="2266" t="s">
        <v>6177</v>
      </c>
      <c r="G1971" s="2266" t="s">
        <v>6177</v>
      </c>
      <c r="H1971" s="2266">
        <v>5173531</v>
      </c>
      <c r="I1971" s="2266">
        <v>0</v>
      </c>
      <c r="J1971" s="2266">
        <v>0</v>
      </c>
      <c r="K1971" s="2266">
        <v>0</v>
      </c>
      <c r="L1971" s="2266">
        <v>0</v>
      </c>
      <c r="M1971" s="2266">
        <v>599</v>
      </c>
    </row>
    <row r="1972" spans="1:13" ht="15">
      <c r="A1972" s="2266" t="s">
        <v>4354</v>
      </c>
      <c r="B1972" s="2465" t="str">
        <f>CONCATENATE(LEFT(RIGHT(CONCATENATE("000",IFAData_TEA_1617!A1972),6),3),"-",(RIGHT(RIGHT(CONCATENATE("000",IFAData_TEA_1617!A1972),6),3)))</f>
        <v>220-901</v>
      </c>
      <c r="C1972" s="2266" t="s">
        <v>2775</v>
      </c>
      <c r="D1972" s="2266">
        <v>1</v>
      </c>
      <c r="E1972" s="2266">
        <v>1583</v>
      </c>
      <c r="F1972" s="2266" t="s">
        <v>6177</v>
      </c>
      <c r="G1972" s="2266" t="s">
        <v>6180</v>
      </c>
      <c r="H1972" s="2266">
        <v>5173531</v>
      </c>
      <c r="I1972" s="2266">
        <v>0</v>
      </c>
      <c r="J1972" s="2266">
        <v>0</v>
      </c>
      <c r="K1972" s="2266">
        <v>0</v>
      </c>
      <c r="L1972" s="2266">
        <v>0</v>
      </c>
      <c r="M1972" s="2266">
        <v>599</v>
      </c>
    </row>
    <row r="1973" spans="1:13" ht="15">
      <c r="A1973" s="2266" t="s">
        <v>4354</v>
      </c>
      <c r="B1973" s="2465" t="str">
        <f>CONCATENATE(LEFT(RIGHT(CONCATENATE("000",IFAData_TEA_1617!A1973),6),3),"-",(RIGHT(RIGHT(CONCATENATE("000",IFAData_TEA_1617!A1973),6),3)))</f>
        <v>220-901</v>
      </c>
      <c r="C1973" s="2266" t="s">
        <v>2775</v>
      </c>
      <c r="D1973" s="2266">
        <v>1</v>
      </c>
      <c r="E1973" s="2266">
        <v>1583</v>
      </c>
      <c r="F1973" s="2266" t="s">
        <v>6177</v>
      </c>
      <c r="G1973" s="2266" t="s">
        <v>6178</v>
      </c>
      <c r="H1973" s="2266">
        <v>5173531</v>
      </c>
      <c r="I1973" s="2266">
        <v>0</v>
      </c>
      <c r="J1973" s="2266">
        <v>0</v>
      </c>
      <c r="K1973" s="2266">
        <v>0</v>
      </c>
      <c r="L1973" s="2266">
        <v>0</v>
      </c>
      <c r="M1973" s="2266">
        <v>599</v>
      </c>
    </row>
    <row r="1974" spans="1:13" ht="15">
      <c r="A1974" s="2266" t="s">
        <v>4354</v>
      </c>
      <c r="B1974" s="2465" t="str">
        <f>CONCATENATE(LEFT(RIGHT(CONCATENATE("000",IFAData_TEA_1617!A1974),6),3),"-",(RIGHT(RIGHT(CONCATENATE("000",IFAData_TEA_1617!A1974),6),3)))</f>
        <v>220-901</v>
      </c>
      <c r="C1974" s="2266" t="s">
        <v>2775</v>
      </c>
      <c r="D1974" s="2266">
        <v>1</v>
      </c>
      <c r="E1974" s="2266">
        <v>1583</v>
      </c>
      <c r="F1974" s="2266" t="s">
        <v>6177</v>
      </c>
      <c r="G1974" s="2266" t="s">
        <v>6179</v>
      </c>
      <c r="H1974" s="2266">
        <v>5173531</v>
      </c>
      <c r="I1974" s="2266">
        <v>334362</v>
      </c>
      <c r="J1974" s="2266">
        <v>1</v>
      </c>
      <c r="K1974" s="2266">
        <v>5173531</v>
      </c>
      <c r="L1974" s="2266">
        <v>334362</v>
      </c>
      <c r="M1974" s="2266">
        <v>599</v>
      </c>
    </row>
    <row r="1975" spans="1:13" ht="15">
      <c r="A1975" s="2266" t="s">
        <v>4355</v>
      </c>
      <c r="B1975" s="2465" t="str">
        <f>CONCATENATE(LEFT(RIGHT(CONCATENATE("000",IFAData_TEA_1617!A1975),6),3),"-",(RIGHT(RIGHT(CONCATENATE("000",IFAData_TEA_1617!A1975),6),3)))</f>
        <v>220-902</v>
      </c>
      <c r="C1975" s="2266" t="s">
        <v>901</v>
      </c>
      <c r="D1975" s="2266">
        <v>9</v>
      </c>
      <c r="E1975" s="2266">
        <v>1610</v>
      </c>
      <c r="F1975" s="2266" t="s">
        <v>6184</v>
      </c>
      <c r="G1975" s="2266" t="s">
        <v>7049</v>
      </c>
      <c r="H1975" s="2266">
        <v>1653470</v>
      </c>
      <c r="I1975" s="2266">
        <v>2335695</v>
      </c>
      <c r="J1975" s="2266">
        <v>0.7086926311829066</v>
      </c>
      <c r="K1975" s="2266">
        <v>1171802.0048820006</v>
      </c>
      <c r="L1975" s="2266">
        <v>1171802.0048820006</v>
      </c>
      <c r="M1975" s="2266">
        <v>599</v>
      </c>
    </row>
    <row r="1976" spans="1:13" ht="15">
      <c r="A1976" s="2266" t="s">
        <v>4355</v>
      </c>
      <c r="B1976" s="2465" t="str">
        <f>CONCATENATE(LEFT(RIGHT(CONCATENATE("000",IFAData_TEA_1617!A1976),6),3),"-",(RIGHT(RIGHT(CONCATENATE("000",IFAData_TEA_1617!A1976),6),3)))</f>
        <v>220-902</v>
      </c>
      <c r="C1976" s="2266" t="s">
        <v>901</v>
      </c>
      <c r="D1976" s="2266">
        <v>9</v>
      </c>
      <c r="E1976" s="2266">
        <v>1610</v>
      </c>
      <c r="F1976" s="2266" t="s">
        <v>6184</v>
      </c>
      <c r="G1976" s="2266" t="s">
        <v>6184</v>
      </c>
      <c r="H1976" s="2266">
        <v>1653470</v>
      </c>
      <c r="I1976" s="2266">
        <v>960085</v>
      </c>
      <c r="J1976" s="2266">
        <v>0.29130736881709335</v>
      </c>
      <c r="K1976" s="2266">
        <v>481667.99511799932</v>
      </c>
      <c r="L1976" s="2266">
        <v>481667.99511799932</v>
      </c>
      <c r="M1976" s="2266">
        <v>599</v>
      </c>
    </row>
    <row r="1977" spans="1:13" ht="15">
      <c r="A1977" s="2266" t="s">
        <v>4355</v>
      </c>
      <c r="B1977" s="2465" t="str">
        <f>CONCATENATE(LEFT(RIGHT(CONCATENATE("000",IFAData_TEA_1617!A1977),6),3),"-",(RIGHT(RIGHT(CONCATENATE("000",IFAData_TEA_1617!A1977),6),3)))</f>
        <v>220-902</v>
      </c>
      <c r="C1977" s="2266" t="s">
        <v>901</v>
      </c>
      <c r="D1977" s="2266">
        <v>1</v>
      </c>
      <c r="E1977" s="2266">
        <v>1611</v>
      </c>
      <c r="F1977" s="2266" t="s">
        <v>6186</v>
      </c>
      <c r="G1977" s="2266" t="s">
        <v>6186</v>
      </c>
      <c r="H1977" s="2266">
        <v>1775156</v>
      </c>
      <c r="I1977" s="2266">
        <v>0</v>
      </c>
      <c r="J1977" s="2266">
        <v>0</v>
      </c>
      <c r="K1977" s="2266"/>
      <c r="L1977" s="2266">
        <v>0</v>
      </c>
      <c r="M1977" s="2266">
        <v>599</v>
      </c>
    </row>
    <row r="1978" spans="1:13" ht="15">
      <c r="A1978" s="2266" t="s">
        <v>4355</v>
      </c>
      <c r="B1978" s="2465" t="str">
        <f>CONCATENATE(LEFT(RIGHT(CONCATENATE("000",IFAData_TEA_1617!A1978),6),3),"-",(RIGHT(RIGHT(CONCATENATE("000",IFAData_TEA_1617!A1978),6),3)))</f>
        <v>220-902</v>
      </c>
      <c r="C1978" s="2266" t="s">
        <v>901</v>
      </c>
      <c r="D1978" s="2266">
        <v>1</v>
      </c>
      <c r="E1978" s="2266">
        <v>1609</v>
      </c>
      <c r="F1978" s="2266" t="s">
        <v>6181</v>
      </c>
      <c r="G1978" s="2266" t="s">
        <v>6181</v>
      </c>
      <c r="H1978" s="2266">
        <v>796895</v>
      </c>
      <c r="I1978" s="2266">
        <v>0</v>
      </c>
      <c r="J1978" s="2266">
        <v>0</v>
      </c>
      <c r="K1978" s="2266"/>
      <c r="L1978" s="2266">
        <v>0</v>
      </c>
      <c r="M1978" s="2266">
        <v>599</v>
      </c>
    </row>
    <row r="1979" spans="1:13" ht="15">
      <c r="A1979" s="2266" t="s">
        <v>4355</v>
      </c>
      <c r="B1979" s="2465" t="str">
        <f>CONCATENATE(LEFT(RIGHT(CONCATENATE("000",IFAData_TEA_1617!A1979),6),3),"-",(RIGHT(RIGHT(CONCATENATE("000",IFAData_TEA_1617!A1979),6),3)))</f>
        <v>220-902</v>
      </c>
      <c r="C1979" s="2266" t="s">
        <v>901</v>
      </c>
      <c r="D1979" s="2266">
        <v>9</v>
      </c>
      <c r="E1979" s="2266">
        <v>1612</v>
      </c>
      <c r="F1979" s="2266" t="s">
        <v>6188</v>
      </c>
      <c r="G1979" s="2266" t="s">
        <v>6189</v>
      </c>
      <c r="H1979" s="2266">
        <v>3559977</v>
      </c>
      <c r="I1979" s="2266">
        <v>1832841</v>
      </c>
      <c r="J1979" s="2266">
        <v>1</v>
      </c>
      <c r="K1979" s="2266">
        <v>3559977</v>
      </c>
      <c r="L1979" s="2266">
        <v>1832841</v>
      </c>
      <c r="M1979" s="2266">
        <v>599</v>
      </c>
    </row>
    <row r="1980" spans="1:13" ht="15">
      <c r="A1980" s="2266" t="s">
        <v>4355</v>
      </c>
      <c r="B1980" s="2465" t="str">
        <f>CONCATENATE(LEFT(RIGHT(CONCATENATE("000",IFAData_TEA_1617!A1980),6),3),"-",(RIGHT(RIGHT(CONCATENATE("000",IFAData_TEA_1617!A1980),6),3)))</f>
        <v>220-902</v>
      </c>
      <c r="C1980" s="2266" t="s">
        <v>901</v>
      </c>
      <c r="D1980" s="2266">
        <v>9</v>
      </c>
      <c r="E1980" s="2266">
        <v>1612</v>
      </c>
      <c r="F1980" s="2266" t="s">
        <v>6188</v>
      </c>
      <c r="G1980" s="2266" t="s">
        <v>6188</v>
      </c>
      <c r="H1980" s="2266">
        <v>3559977</v>
      </c>
      <c r="I1980" s="2266">
        <v>0</v>
      </c>
      <c r="J1980" s="2266">
        <v>0</v>
      </c>
      <c r="K1980" s="2266">
        <v>0</v>
      </c>
      <c r="L1980" s="2266">
        <v>0</v>
      </c>
      <c r="M1980" s="2266">
        <v>599</v>
      </c>
    </row>
    <row r="1981" spans="1:13" ht="15">
      <c r="A1981" s="2266" t="s">
        <v>4356</v>
      </c>
      <c r="B1981" s="2465" t="str">
        <f>CONCATENATE(LEFT(RIGHT(CONCATENATE("000",IFAData_TEA_1617!A1981),6),3),"-",(RIGHT(RIGHT(CONCATENATE("000",IFAData_TEA_1617!A1981),6),3)))</f>
        <v>220-904</v>
      </c>
      <c r="C1981" s="2266" t="s">
        <v>2937</v>
      </c>
      <c r="D1981" s="2266">
        <v>9</v>
      </c>
      <c r="E1981" s="2266">
        <v>1804</v>
      </c>
      <c r="F1981" s="2266" t="s">
        <v>6190</v>
      </c>
      <c r="G1981" s="2266" t="s">
        <v>6191</v>
      </c>
      <c r="H1981" s="2266">
        <v>784151</v>
      </c>
      <c r="I1981" s="2266">
        <v>386512</v>
      </c>
      <c r="J1981" s="2266">
        <v>0.47989530784980056</v>
      </c>
      <c r="K1981" s="2266">
        <v>376310.38554572896</v>
      </c>
      <c r="L1981" s="2266">
        <v>376310.38554572896</v>
      </c>
      <c r="M1981" s="2266">
        <v>599</v>
      </c>
    </row>
    <row r="1982" spans="1:13" ht="15">
      <c r="A1982" s="2266" t="s">
        <v>4356</v>
      </c>
      <c r="B1982" s="2465" t="str">
        <f>CONCATENATE(LEFT(RIGHT(CONCATENATE("000",IFAData_TEA_1617!A1982),6),3),"-",(RIGHT(RIGHT(CONCATENATE("000",IFAData_TEA_1617!A1982),6),3)))</f>
        <v>220-904</v>
      </c>
      <c r="C1982" s="2266" t="s">
        <v>2937</v>
      </c>
      <c r="D1982" s="2266">
        <v>9</v>
      </c>
      <c r="E1982" s="2266">
        <v>1804</v>
      </c>
      <c r="F1982" s="2266" t="s">
        <v>6190</v>
      </c>
      <c r="G1982" s="2266" t="s">
        <v>6190</v>
      </c>
      <c r="H1982" s="2266">
        <v>784151</v>
      </c>
      <c r="I1982" s="2266">
        <v>344573</v>
      </c>
      <c r="J1982" s="2266">
        <v>0.42782362749857528</v>
      </c>
      <c r="K1982" s="2266">
        <v>335478.32532663533</v>
      </c>
      <c r="L1982" s="2266">
        <v>335478.32532663533</v>
      </c>
      <c r="M1982" s="2266">
        <v>599</v>
      </c>
    </row>
    <row r="1983" spans="1:13" ht="15">
      <c r="A1983" s="2266" t="s">
        <v>4356</v>
      </c>
      <c r="B1983" s="2465" t="str">
        <f>CONCATENATE(LEFT(RIGHT(CONCATENATE("000",IFAData_TEA_1617!A1983),6),3),"-",(RIGHT(RIGHT(CONCATENATE("000",IFAData_TEA_1617!A1983),6),3)))</f>
        <v>220-904</v>
      </c>
      <c r="C1983" s="2266" t="s">
        <v>2937</v>
      </c>
      <c r="D1983" s="2266">
        <v>9</v>
      </c>
      <c r="E1983" s="2266">
        <v>1803</v>
      </c>
      <c r="F1983" s="2266" t="s">
        <v>6192</v>
      </c>
      <c r="G1983" s="2266" t="s">
        <v>6192</v>
      </c>
      <c r="H1983" s="2266">
        <v>357599</v>
      </c>
      <c r="I1983" s="2266">
        <v>1254107</v>
      </c>
      <c r="J1983" s="2266">
        <v>1</v>
      </c>
      <c r="K1983" s="2266">
        <v>357599</v>
      </c>
      <c r="L1983" s="2266">
        <v>357599</v>
      </c>
      <c r="M1983" s="2266">
        <v>599</v>
      </c>
    </row>
    <row r="1984" spans="1:13" ht="15">
      <c r="A1984" s="2266" t="s">
        <v>4356</v>
      </c>
      <c r="B1984" s="2465" t="str">
        <f>CONCATENATE(LEFT(RIGHT(CONCATENATE("000",IFAData_TEA_1617!A1984),6),3),"-",(RIGHT(RIGHT(CONCATENATE("000",IFAData_TEA_1617!A1984),6),3)))</f>
        <v>220-904</v>
      </c>
      <c r="C1984" s="2266" t="s">
        <v>2937</v>
      </c>
      <c r="D1984" s="2266">
        <v>9</v>
      </c>
      <c r="E1984" s="2266">
        <v>1804</v>
      </c>
      <c r="F1984" s="2266" t="s">
        <v>6190</v>
      </c>
      <c r="G1984" s="2266" t="s">
        <v>7050</v>
      </c>
      <c r="H1984" s="2266">
        <v>784151</v>
      </c>
      <c r="I1984" s="2266">
        <v>74324</v>
      </c>
      <c r="J1984" s="2266">
        <v>9.2281064651624209E-2</v>
      </c>
      <c r="K1984" s="2266">
        <v>72362.28912763577</v>
      </c>
      <c r="L1984" s="2266">
        <v>72362.28912763577</v>
      </c>
      <c r="M1984" s="2266">
        <v>599</v>
      </c>
    </row>
    <row r="1985" spans="1:13" ht="15">
      <c r="A1985" s="2266" t="s">
        <v>4357</v>
      </c>
      <c r="B1985" s="2465" t="str">
        <f>CONCATENATE(LEFT(RIGHT(CONCATENATE("000",IFAData_TEA_1617!A1985),6),3),"-",(RIGHT(RIGHT(CONCATENATE("000",IFAData_TEA_1617!A1985),6),3)))</f>
        <v>220-907</v>
      </c>
      <c r="C1985" s="2266" t="s">
        <v>452</v>
      </c>
      <c r="D1985" s="2266">
        <v>10</v>
      </c>
      <c r="E1985" s="2266">
        <v>1951</v>
      </c>
      <c r="F1985" s="2266" t="s">
        <v>6206</v>
      </c>
      <c r="G1985" s="2266" t="s">
        <v>7051</v>
      </c>
      <c r="H1985" s="2266">
        <v>6801638</v>
      </c>
      <c r="I1985" s="2266">
        <v>4927181</v>
      </c>
      <c r="J1985" s="2266">
        <v>0.70474389500660017</v>
      </c>
      <c r="K1985" s="2266">
        <v>4793412.8565449016</v>
      </c>
      <c r="L1985" s="2266">
        <v>4793412.8565449016</v>
      </c>
      <c r="M1985" s="2266">
        <v>599</v>
      </c>
    </row>
    <row r="1986" spans="1:13" ht="15">
      <c r="A1986" s="2266" t="s">
        <v>4357</v>
      </c>
      <c r="B1986" s="2465" t="str">
        <f>CONCATENATE(LEFT(RIGHT(CONCATENATE("000",IFAData_TEA_1617!A1986),6),3),"-",(RIGHT(RIGHT(CONCATENATE("000",IFAData_TEA_1617!A1986),6),3)))</f>
        <v>220-907</v>
      </c>
      <c r="C1986" s="2266" t="s">
        <v>452</v>
      </c>
      <c r="D1986" s="2266">
        <v>2</v>
      </c>
      <c r="E1986" s="2266">
        <v>1950</v>
      </c>
      <c r="F1986" s="2266" t="s">
        <v>6193</v>
      </c>
      <c r="G1986" s="2266" t="s">
        <v>7052</v>
      </c>
      <c r="H1986" s="2266">
        <v>1280601</v>
      </c>
      <c r="I1986" s="2266">
        <v>135919</v>
      </c>
      <c r="J1986" s="2266">
        <v>5.0463295219503213E-2</v>
      </c>
      <c r="K1986" s="2266">
        <v>64623.346321391036</v>
      </c>
      <c r="L1986" s="2266">
        <v>64623.346321391036</v>
      </c>
      <c r="M1986" s="2266">
        <v>599</v>
      </c>
    </row>
    <row r="1987" spans="1:13" ht="15">
      <c r="A1987" s="2266" t="s">
        <v>4357</v>
      </c>
      <c r="B1987" s="2465" t="str">
        <f>CONCATENATE(LEFT(RIGHT(CONCATENATE("000",IFAData_TEA_1617!A1987),6),3),"-",(RIGHT(RIGHT(CONCATENATE("000",IFAData_TEA_1617!A1987),6),3)))</f>
        <v>220-907</v>
      </c>
      <c r="C1987" s="2266" t="s">
        <v>452</v>
      </c>
      <c r="D1987" s="2266">
        <v>2</v>
      </c>
      <c r="E1987" s="2266">
        <v>1950</v>
      </c>
      <c r="F1987" s="2266" t="s">
        <v>6193</v>
      </c>
      <c r="G1987" s="2266" t="s">
        <v>6198</v>
      </c>
      <c r="H1987" s="2266">
        <v>1280601</v>
      </c>
      <c r="I1987" s="2266">
        <v>322996</v>
      </c>
      <c r="J1987" s="2266">
        <v>0.11992026503078053</v>
      </c>
      <c r="K1987" s="2266">
        <v>153570.01131868258</v>
      </c>
      <c r="L1987" s="2266">
        <v>153570.01131868258</v>
      </c>
      <c r="M1987" s="2266">
        <v>599</v>
      </c>
    </row>
    <row r="1988" spans="1:13" ht="15">
      <c r="A1988" s="2266" t="s">
        <v>4357</v>
      </c>
      <c r="B1988" s="2465" t="str">
        <f>CONCATENATE(LEFT(RIGHT(CONCATENATE("000",IFAData_TEA_1617!A1988),6),3),"-",(RIGHT(RIGHT(CONCATENATE("000",IFAData_TEA_1617!A1988),6),3)))</f>
        <v>220-907</v>
      </c>
      <c r="C1988" s="2266" t="s">
        <v>452</v>
      </c>
      <c r="D1988" s="2266">
        <v>2</v>
      </c>
      <c r="E1988" s="2266">
        <v>1950</v>
      </c>
      <c r="F1988" s="2266" t="s">
        <v>6193</v>
      </c>
      <c r="G1988" s="2266" t="s">
        <v>6205</v>
      </c>
      <c r="H1988" s="2266">
        <v>1280601</v>
      </c>
      <c r="I1988" s="2266">
        <v>395607</v>
      </c>
      <c r="J1988" s="2266">
        <v>0.14687889722483249</v>
      </c>
      <c r="K1988" s="2266">
        <v>188093.26266501771</v>
      </c>
      <c r="L1988" s="2266">
        <v>188093.26266501771</v>
      </c>
      <c r="M1988" s="2266">
        <v>599</v>
      </c>
    </row>
    <row r="1989" spans="1:13" ht="15">
      <c r="A1989" s="2266" t="s">
        <v>4357</v>
      </c>
      <c r="B1989" s="2465" t="str">
        <f>CONCATENATE(LEFT(RIGHT(CONCATENATE("000",IFAData_TEA_1617!A1989),6),3),"-",(RIGHT(RIGHT(CONCATENATE("000",IFAData_TEA_1617!A1989),6),3)))</f>
        <v>220-907</v>
      </c>
      <c r="C1989" s="2266" t="s">
        <v>452</v>
      </c>
      <c r="D1989" s="2266">
        <v>2</v>
      </c>
      <c r="E1989" s="2266">
        <v>1950</v>
      </c>
      <c r="F1989" s="2266" t="s">
        <v>6193</v>
      </c>
      <c r="G1989" s="2266" t="s">
        <v>6204</v>
      </c>
      <c r="H1989" s="2266">
        <v>1280601</v>
      </c>
      <c r="I1989" s="2266">
        <v>0</v>
      </c>
      <c r="J1989" s="2266">
        <v>0</v>
      </c>
      <c r="K1989" s="2266">
        <v>0</v>
      </c>
      <c r="L1989" s="2266">
        <v>0</v>
      </c>
      <c r="M1989" s="2266">
        <v>599</v>
      </c>
    </row>
    <row r="1990" spans="1:13" ht="15">
      <c r="A1990" s="2266" t="s">
        <v>4357</v>
      </c>
      <c r="B1990" s="2465" t="str">
        <f>CONCATENATE(LEFT(RIGHT(CONCATENATE("000",IFAData_TEA_1617!A1990),6),3),"-",(RIGHT(RIGHT(CONCATENATE("000",IFAData_TEA_1617!A1990),6),3)))</f>
        <v>220-907</v>
      </c>
      <c r="C1990" s="2266" t="s">
        <v>452</v>
      </c>
      <c r="D1990" s="2266">
        <v>2</v>
      </c>
      <c r="E1990" s="2266">
        <v>1950</v>
      </c>
      <c r="F1990" s="2266" t="s">
        <v>6193</v>
      </c>
      <c r="G1990" s="2266" t="s">
        <v>6197</v>
      </c>
      <c r="H1990" s="2266">
        <v>1280601</v>
      </c>
      <c r="I1990" s="2266">
        <v>0</v>
      </c>
      <c r="J1990" s="2266">
        <v>0</v>
      </c>
      <c r="K1990" s="2266">
        <v>0</v>
      </c>
      <c r="L1990" s="2266">
        <v>0</v>
      </c>
      <c r="M1990" s="2266">
        <v>599</v>
      </c>
    </row>
    <row r="1991" spans="1:13" ht="15">
      <c r="A1991" s="2266" t="s">
        <v>4357</v>
      </c>
      <c r="B1991" s="2465" t="str">
        <f>CONCATENATE(LEFT(RIGHT(CONCATENATE("000",IFAData_TEA_1617!A1991),6),3),"-",(RIGHT(RIGHT(CONCATENATE("000",IFAData_TEA_1617!A1991),6),3)))</f>
        <v>220-907</v>
      </c>
      <c r="C1991" s="2266" t="s">
        <v>452</v>
      </c>
      <c r="D1991" s="2266">
        <v>2</v>
      </c>
      <c r="E1991" s="2266">
        <v>1950</v>
      </c>
      <c r="F1991" s="2266" t="s">
        <v>6193</v>
      </c>
      <c r="G1991" s="2266" t="s">
        <v>6194</v>
      </c>
      <c r="H1991" s="2266">
        <v>1280601</v>
      </c>
      <c r="I1991" s="2266">
        <v>0</v>
      </c>
      <c r="J1991" s="2266">
        <v>0</v>
      </c>
      <c r="K1991" s="2266">
        <v>0</v>
      </c>
      <c r="L1991" s="2266">
        <v>0</v>
      </c>
      <c r="M1991" s="2266">
        <v>599</v>
      </c>
    </row>
    <row r="1992" spans="1:13" ht="15">
      <c r="A1992" s="2266" t="s">
        <v>4357</v>
      </c>
      <c r="B1992" s="2465" t="str">
        <f>CONCATENATE(LEFT(RIGHT(CONCATENATE("000",IFAData_TEA_1617!A1992),6),3),"-",(RIGHT(RIGHT(CONCATENATE("000",IFAData_TEA_1617!A1992),6),3)))</f>
        <v>220-907</v>
      </c>
      <c r="C1992" s="2266" t="s">
        <v>452</v>
      </c>
      <c r="D1992" s="2266">
        <v>2</v>
      </c>
      <c r="E1992" s="2266">
        <v>1950</v>
      </c>
      <c r="F1992" s="2266" t="s">
        <v>6193</v>
      </c>
      <c r="G1992" s="2266" t="s">
        <v>6203</v>
      </c>
      <c r="H1992" s="2266">
        <v>1280601</v>
      </c>
      <c r="I1992" s="2266">
        <v>0</v>
      </c>
      <c r="J1992" s="2266">
        <v>0</v>
      </c>
      <c r="K1992" s="2266">
        <v>0</v>
      </c>
      <c r="L1992" s="2266">
        <v>0</v>
      </c>
      <c r="M1992" s="2266">
        <v>599</v>
      </c>
    </row>
    <row r="1993" spans="1:13" ht="15">
      <c r="A1993" s="2266" t="s">
        <v>4357</v>
      </c>
      <c r="B1993" s="2465" t="str">
        <f>CONCATENATE(LEFT(RIGHT(CONCATENATE("000",IFAData_TEA_1617!A1993),6),3),"-",(RIGHT(RIGHT(CONCATENATE("000",IFAData_TEA_1617!A1993),6),3)))</f>
        <v>220-907</v>
      </c>
      <c r="C1993" s="2266" t="s">
        <v>452</v>
      </c>
      <c r="D1993" s="2266">
        <v>2</v>
      </c>
      <c r="E1993" s="2266">
        <v>1950</v>
      </c>
      <c r="F1993" s="2266" t="s">
        <v>6193</v>
      </c>
      <c r="G1993" s="2266" t="s">
        <v>6202</v>
      </c>
      <c r="H1993" s="2266">
        <v>1280601</v>
      </c>
      <c r="I1993" s="2266">
        <v>0</v>
      </c>
      <c r="J1993" s="2266">
        <v>0</v>
      </c>
      <c r="K1993" s="2266">
        <v>0</v>
      </c>
      <c r="L1993" s="2266">
        <v>0</v>
      </c>
      <c r="M1993" s="2266">
        <v>599</v>
      </c>
    </row>
    <row r="1994" spans="1:13" ht="15">
      <c r="A1994" s="2266" t="s">
        <v>4357</v>
      </c>
      <c r="B1994" s="2465" t="str">
        <f>CONCATENATE(LEFT(RIGHT(CONCATENATE("000",IFAData_TEA_1617!A1994),6),3),"-",(RIGHT(RIGHT(CONCATENATE("000",IFAData_TEA_1617!A1994),6),3)))</f>
        <v>220-907</v>
      </c>
      <c r="C1994" s="2266" t="s">
        <v>452</v>
      </c>
      <c r="D1994" s="2266">
        <v>2</v>
      </c>
      <c r="E1994" s="2266">
        <v>1950</v>
      </c>
      <c r="F1994" s="2266" t="s">
        <v>6193</v>
      </c>
      <c r="G1994" s="2266" t="s">
        <v>6201</v>
      </c>
      <c r="H1994" s="2266">
        <v>1280601</v>
      </c>
      <c r="I1994" s="2266">
        <v>0</v>
      </c>
      <c r="J1994" s="2266">
        <v>0</v>
      </c>
      <c r="K1994" s="2266">
        <v>0</v>
      </c>
      <c r="L1994" s="2266">
        <v>0</v>
      </c>
      <c r="M1994" s="2266">
        <v>599</v>
      </c>
    </row>
    <row r="1995" spans="1:13" ht="15">
      <c r="A1995" s="2266" t="s">
        <v>4357</v>
      </c>
      <c r="B1995" s="2465" t="str">
        <f>CONCATENATE(LEFT(RIGHT(CONCATENATE("000",IFAData_TEA_1617!A1995),6),3),"-",(RIGHT(RIGHT(CONCATENATE("000",IFAData_TEA_1617!A1995),6),3)))</f>
        <v>220-907</v>
      </c>
      <c r="C1995" s="2266" t="s">
        <v>452</v>
      </c>
      <c r="D1995" s="2266">
        <v>2</v>
      </c>
      <c r="E1995" s="2266">
        <v>1950</v>
      </c>
      <c r="F1995" s="2266" t="s">
        <v>6193</v>
      </c>
      <c r="G1995" s="2266" t="s">
        <v>6196</v>
      </c>
      <c r="H1995" s="2266">
        <v>1280601</v>
      </c>
      <c r="I1995" s="2266">
        <v>0</v>
      </c>
      <c r="J1995" s="2266">
        <v>0</v>
      </c>
      <c r="K1995" s="2266">
        <v>0</v>
      </c>
      <c r="L1995" s="2266">
        <v>0</v>
      </c>
      <c r="M1995" s="2266">
        <v>599</v>
      </c>
    </row>
    <row r="1996" spans="1:13" ht="15">
      <c r="A1996" s="2266" t="s">
        <v>4357</v>
      </c>
      <c r="B1996" s="2465" t="str">
        <f>CONCATENATE(LEFT(RIGHT(CONCATENATE("000",IFAData_TEA_1617!A1996),6),3),"-",(RIGHT(RIGHT(CONCATENATE("000",IFAData_TEA_1617!A1996),6),3)))</f>
        <v>220-907</v>
      </c>
      <c r="C1996" s="2266" t="s">
        <v>452</v>
      </c>
      <c r="D1996" s="2266">
        <v>2</v>
      </c>
      <c r="E1996" s="2266">
        <v>1950</v>
      </c>
      <c r="F1996" s="2266" t="s">
        <v>6193</v>
      </c>
      <c r="G1996" s="2266" t="s">
        <v>6195</v>
      </c>
      <c r="H1996" s="2266">
        <v>1280601</v>
      </c>
      <c r="I1996" s="2266">
        <v>0</v>
      </c>
      <c r="J1996" s="2266">
        <v>0</v>
      </c>
      <c r="K1996" s="2266">
        <v>0</v>
      </c>
      <c r="L1996" s="2266">
        <v>0</v>
      </c>
      <c r="M1996" s="2266">
        <v>599</v>
      </c>
    </row>
    <row r="1997" spans="1:13" ht="15">
      <c r="A1997" s="2266" t="s">
        <v>4357</v>
      </c>
      <c r="B1997" s="2465" t="str">
        <f>CONCATENATE(LEFT(RIGHT(CONCATENATE("000",IFAData_TEA_1617!A1997),6),3),"-",(RIGHT(RIGHT(CONCATENATE("000",IFAData_TEA_1617!A1997),6),3)))</f>
        <v>220-907</v>
      </c>
      <c r="C1997" s="2266" t="s">
        <v>452</v>
      </c>
      <c r="D1997" s="2266">
        <v>2</v>
      </c>
      <c r="E1997" s="2266">
        <v>1950</v>
      </c>
      <c r="F1997" s="2266" t="s">
        <v>6193</v>
      </c>
      <c r="G1997" s="2266" t="s">
        <v>6200</v>
      </c>
      <c r="H1997" s="2266">
        <v>1280601</v>
      </c>
      <c r="I1997" s="2266">
        <v>476165</v>
      </c>
      <c r="J1997" s="2266">
        <v>0.17678805000180067</v>
      </c>
      <c r="K1997" s="2266">
        <v>226394.95362035595</v>
      </c>
      <c r="L1997" s="2266">
        <v>226394.95362035595</v>
      </c>
      <c r="M1997" s="2266">
        <v>599</v>
      </c>
    </row>
    <row r="1998" spans="1:13" ht="15">
      <c r="A1998" s="2266" t="s">
        <v>4357</v>
      </c>
      <c r="B1998" s="2465" t="str">
        <f>CONCATENATE(LEFT(RIGHT(CONCATENATE("000",IFAData_TEA_1617!A1998),6),3),"-",(RIGHT(RIGHT(CONCATENATE("000",IFAData_TEA_1617!A1998),6),3)))</f>
        <v>220-907</v>
      </c>
      <c r="C1998" s="2266" t="s">
        <v>452</v>
      </c>
      <c r="D1998" s="2266">
        <v>10</v>
      </c>
      <c r="E1998" s="2266">
        <v>1951</v>
      </c>
      <c r="F1998" s="2266" t="s">
        <v>6206</v>
      </c>
      <c r="G1998" s="2266" t="s">
        <v>6206</v>
      </c>
      <c r="H1998" s="2266">
        <v>6801638</v>
      </c>
      <c r="I1998" s="2266">
        <v>2064268</v>
      </c>
      <c r="J1998" s="2266">
        <v>0.29525610499339977</v>
      </c>
      <c r="K1998" s="2266">
        <v>2008225.1434550977</v>
      </c>
      <c r="L1998" s="2266">
        <v>2008225.1434550977</v>
      </c>
      <c r="M1998" s="2266">
        <v>599</v>
      </c>
    </row>
    <row r="1999" spans="1:13" ht="15">
      <c r="A1999" s="2266" t="s">
        <v>4357</v>
      </c>
      <c r="B1999" s="2465" t="str">
        <f>CONCATENATE(LEFT(RIGHT(CONCATENATE("000",IFAData_TEA_1617!A1999),6),3),"-",(RIGHT(RIGHT(CONCATENATE("000",IFAData_TEA_1617!A1999),6),3)))</f>
        <v>220-907</v>
      </c>
      <c r="C1999" s="2266" t="s">
        <v>452</v>
      </c>
      <c r="D1999" s="2266">
        <v>2</v>
      </c>
      <c r="E1999" s="2266">
        <v>1950</v>
      </c>
      <c r="F1999" s="2266" t="s">
        <v>6193</v>
      </c>
      <c r="G1999" s="2266" t="s">
        <v>6199</v>
      </c>
      <c r="H1999" s="2266">
        <v>1280601</v>
      </c>
      <c r="I1999" s="2266">
        <v>450925</v>
      </c>
      <c r="J1999" s="2266">
        <v>0.16741707485233473</v>
      </c>
      <c r="K1999" s="2266">
        <v>214394.4734729747</v>
      </c>
      <c r="L1999" s="2266">
        <v>214394.4734729747</v>
      </c>
      <c r="M1999" s="2266">
        <v>599</v>
      </c>
    </row>
    <row r="2000" spans="1:13" ht="15">
      <c r="A2000" s="2266" t="s">
        <v>4357</v>
      </c>
      <c r="B2000" s="2465" t="str">
        <f>CONCATENATE(LEFT(RIGHT(CONCATENATE("000",IFAData_TEA_1617!A2000),6),3),"-",(RIGHT(RIGHT(CONCATENATE("000",IFAData_TEA_1617!A2000),6),3)))</f>
        <v>220-907</v>
      </c>
      <c r="C2000" s="2266" t="s">
        <v>452</v>
      </c>
      <c r="D2000" s="2266">
        <v>2</v>
      </c>
      <c r="E2000" s="2266">
        <v>1950</v>
      </c>
      <c r="F2000" s="2266" t="s">
        <v>6193</v>
      </c>
      <c r="G2000" s="2266" t="s">
        <v>7274</v>
      </c>
      <c r="H2000" s="2266">
        <v>1280601</v>
      </c>
      <c r="I2000" s="2266">
        <v>905610</v>
      </c>
      <c r="J2000" s="2266">
        <v>0.33623014283311609</v>
      </c>
      <c r="K2000" s="2266">
        <v>430576.6571422313</v>
      </c>
      <c r="L2000" s="2266">
        <v>430576.6571422313</v>
      </c>
      <c r="M2000" s="2266">
        <v>599</v>
      </c>
    </row>
    <row r="2001" spans="1:13" ht="15">
      <c r="A2001" s="2266" t="s">
        <v>4357</v>
      </c>
      <c r="B2001" s="2465" t="str">
        <f>CONCATENATE(LEFT(RIGHT(CONCATENATE("000",IFAData_TEA_1617!A2001),6),3),"-",(RIGHT(RIGHT(CONCATENATE("000",IFAData_TEA_1617!A2001),6),3)))</f>
        <v>220-907</v>
      </c>
      <c r="C2001" s="2266" t="s">
        <v>452</v>
      </c>
      <c r="D2001" s="2266">
        <v>2</v>
      </c>
      <c r="E2001" s="2266">
        <v>1950</v>
      </c>
      <c r="F2001" s="2266" t="s">
        <v>6193</v>
      </c>
      <c r="G2001" s="2266" t="s">
        <v>7275</v>
      </c>
      <c r="H2001" s="2266">
        <v>1280601</v>
      </c>
      <c r="I2001" s="2266">
        <v>6201</v>
      </c>
      <c r="J2001" s="2266">
        <v>2.3022748376322621E-3</v>
      </c>
      <c r="K2001" s="2266">
        <v>2948.2954593467125</v>
      </c>
      <c r="L2001" s="2266">
        <v>2948.2954593467125</v>
      </c>
      <c r="M2001" s="2266">
        <v>599</v>
      </c>
    </row>
    <row r="2002" spans="1:13" ht="15">
      <c r="A2002" s="2266" t="s">
        <v>4357</v>
      </c>
      <c r="B2002" s="2465" t="str">
        <f>CONCATENATE(LEFT(RIGHT(CONCATENATE("000",IFAData_TEA_1617!A2002),6),3),"-",(RIGHT(RIGHT(CONCATENATE("000",IFAData_TEA_1617!A2002),6),3)))</f>
        <v>220-907</v>
      </c>
      <c r="C2002" s="2266" t="s">
        <v>452</v>
      </c>
      <c r="D2002" s="2266">
        <v>2</v>
      </c>
      <c r="E2002" s="2266">
        <v>1950</v>
      </c>
      <c r="F2002" s="2266" t="s">
        <v>6193</v>
      </c>
      <c r="G2002" s="2266" t="s">
        <v>6193</v>
      </c>
      <c r="H2002" s="2266">
        <v>1280601</v>
      </c>
      <c r="I2002" s="2266">
        <v>0</v>
      </c>
      <c r="J2002" s="2266">
        <v>0</v>
      </c>
      <c r="K2002" s="2266">
        <v>0</v>
      </c>
      <c r="L2002" s="2266">
        <v>0</v>
      </c>
      <c r="M2002" s="2266">
        <v>599</v>
      </c>
    </row>
    <row r="2003" spans="1:13" ht="15">
      <c r="A2003" s="2266" t="s">
        <v>4358</v>
      </c>
      <c r="B2003" s="2465" t="str">
        <f>CONCATENATE(LEFT(RIGHT(CONCATENATE("000",IFAData_TEA_1617!A2003),6),3),"-",(RIGHT(RIGHT(CONCATENATE("000",IFAData_TEA_1617!A2003),6),3)))</f>
        <v>220-908</v>
      </c>
      <c r="C2003" s="2266" t="s">
        <v>321</v>
      </c>
      <c r="D2003" s="2266">
        <v>9</v>
      </c>
      <c r="E2003" s="2266">
        <v>2059</v>
      </c>
      <c r="F2003" s="2266" t="s">
        <v>6217</v>
      </c>
      <c r="G2003" s="2266" t="s">
        <v>7053</v>
      </c>
      <c r="H2003" s="2266">
        <v>3920147</v>
      </c>
      <c r="I2003" s="2266">
        <v>3930400</v>
      </c>
      <c r="J2003" s="2266">
        <v>0.94476658587691253</v>
      </c>
      <c r="K2003" s="2266">
        <v>3703623.897325621</v>
      </c>
      <c r="L2003" s="2266">
        <v>3703623.897325621</v>
      </c>
      <c r="M2003" s="2266">
        <v>599</v>
      </c>
    </row>
    <row r="2004" spans="1:13" ht="15">
      <c r="A2004" s="2266" t="s">
        <v>4358</v>
      </c>
      <c r="B2004" s="2465" t="str">
        <f>CONCATENATE(LEFT(RIGHT(CONCATENATE("000",IFAData_TEA_1617!A2004),6),3),"-",(RIGHT(RIGHT(CONCATENATE("000",IFAData_TEA_1617!A2004),6),3)))</f>
        <v>220-908</v>
      </c>
      <c r="C2004" s="2266" t="s">
        <v>321</v>
      </c>
      <c r="D2004" s="2266">
        <v>6</v>
      </c>
      <c r="E2004" s="2266">
        <v>2056</v>
      </c>
      <c r="F2004" s="2266" t="s">
        <v>6214</v>
      </c>
      <c r="G2004" s="2266" t="s">
        <v>6212</v>
      </c>
      <c r="H2004" s="2266">
        <v>2153875</v>
      </c>
      <c r="I2004" s="2266">
        <v>1606888</v>
      </c>
      <c r="J2004" s="2266">
        <v>0.25112808440617196</v>
      </c>
      <c r="K2004" s="2266">
        <v>540898.50280034367</v>
      </c>
      <c r="L2004" s="2266">
        <v>540898.50280034367</v>
      </c>
      <c r="M2004" s="2266">
        <v>599</v>
      </c>
    </row>
    <row r="2005" spans="1:13" ht="15">
      <c r="A2005" s="2266" t="s">
        <v>4358</v>
      </c>
      <c r="B2005" s="2465" t="str">
        <f>CONCATENATE(LEFT(RIGHT(CONCATENATE("000",IFAData_TEA_1617!A2005),6),3),"-",(RIGHT(RIGHT(CONCATENATE("000",IFAData_TEA_1617!A2005),6),3)))</f>
        <v>220-908</v>
      </c>
      <c r="C2005" s="2266" t="s">
        <v>321</v>
      </c>
      <c r="D2005" s="2266">
        <v>6</v>
      </c>
      <c r="E2005" s="2266">
        <v>2057</v>
      </c>
      <c r="F2005" s="2266" t="s">
        <v>6211</v>
      </c>
      <c r="G2005" s="2266" t="s">
        <v>6212</v>
      </c>
      <c r="H2005" s="2266">
        <v>2346513</v>
      </c>
      <c r="I2005" s="2266">
        <v>1226608</v>
      </c>
      <c r="J2005" s="2266">
        <v>0.36447159095298626</v>
      </c>
      <c r="K2005" s="2266">
        <v>855237.3263018647</v>
      </c>
      <c r="L2005" s="2266">
        <v>855237.3263018647</v>
      </c>
      <c r="M2005" s="2266">
        <v>599</v>
      </c>
    </row>
    <row r="2006" spans="1:13" ht="15">
      <c r="A2006" s="2266" t="s">
        <v>4358</v>
      </c>
      <c r="B2006" s="2465" t="str">
        <f>CONCATENATE(LEFT(RIGHT(CONCATENATE("000",IFAData_TEA_1617!A2006),6),3),"-",(RIGHT(RIGHT(CONCATENATE("000",IFAData_TEA_1617!A2006),6),3)))</f>
        <v>220-908</v>
      </c>
      <c r="C2006" s="2266" t="s">
        <v>321</v>
      </c>
      <c r="D2006" s="2266">
        <v>9</v>
      </c>
      <c r="E2006" s="2266">
        <v>2060</v>
      </c>
      <c r="F2006" s="2266" t="s">
        <v>6215</v>
      </c>
      <c r="G2006" s="2266" t="s">
        <v>6215</v>
      </c>
      <c r="H2006" s="2266">
        <v>4155279</v>
      </c>
      <c r="I2006" s="2266">
        <v>0</v>
      </c>
      <c r="J2006" s="2266">
        <v>0</v>
      </c>
      <c r="K2006" s="2266">
        <v>0</v>
      </c>
      <c r="L2006" s="2266">
        <v>0</v>
      </c>
      <c r="M2006" s="2266">
        <v>599</v>
      </c>
    </row>
    <row r="2007" spans="1:13" ht="15">
      <c r="A2007" s="2266" t="s">
        <v>4358</v>
      </c>
      <c r="B2007" s="2465" t="str">
        <f>CONCATENATE(LEFT(RIGHT(CONCATENATE("000",IFAData_TEA_1617!A2007),6),3),"-",(RIGHT(RIGHT(CONCATENATE("000",IFAData_TEA_1617!A2007),6),3)))</f>
        <v>220-908</v>
      </c>
      <c r="C2007" s="2266" t="s">
        <v>321</v>
      </c>
      <c r="D2007" s="2266">
        <v>9</v>
      </c>
      <c r="E2007" s="2266">
        <v>2060</v>
      </c>
      <c r="F2007" s="2266" t="s">
        <v>6215</v>
      </c>
      <c r="G2007" s="2266" t="s">
        <v>6216</v>
      </c>
      <c r="H2007" s="2266">
        <v>4155279</v>
      </c>
      <c r="I2007" s="2266">
        <v>4939161</v>
      </c>
      <c r="J2007" s="2266">
        <v>1</v>
      </c>
      <c r="K2007" s="2266">
        <v>4155279</v>
      </c>
      <c r="L2007" s="2266">
        <v>4155279</v>
      </c>
      <c r="M2007" s="2266">
        <v>599</v>
      </c>
    </row>
    <row r="2008" spans="1:13" ht="15">
      <c r="A2008" s="2266" t="s">
        <v>4358</v>
      </c>
      <c r="B2008" s="2465" t="str">
        <f>CONCATENATE(LEFT(RIGHT(CONCATENATE("000",IFAData_TEA_1617!A2008),6),3),"-",(RIGHT(RIGHT(CONCATENATE("000",IFAData_TEA_1617!A2008),6),3)))</f>
        <v>220-908</v>
      </c>
      <c r="C2008" s="2266" t="s">
        <v>321</v>
      </c>
      <c r="D2008" s="2266">
        <v>6</v>
      </c>
      <c r="E2008" s="2266">
        <v>2057</v>
      </c>
      <c r="F2008" s="2266" t="s">
        <v>6211</v>
      </c>
      <c r="G2008" s="2266" t="s">
        <v>6211</v>
      </c>
      <c r="H2008" s="2266">
        <v>2346513</v>
      </c>
      <c r="I2008" s="2266">
        <v>0</v>
      </c>
      <c r="J2008" s="2266">
        <v>0</v>
      </c>
      <c r="K2008" s="2266">
        <v>0</v>
      </c>
      <c r="L2008" s="2266">
        <v>0</v>
      </c>
      <c r="M2008" s="2266">
        <v>599</v>
      </c>
    </row>
    <row r="2009" spans="1:13" ht="15">
      <c r="A2009" s="2266" t="s">
        <v>4358</v>
      </c>
      <c r="B2009" s="2465" t="str">
        <f>CONCATENATE(LEFT(RIGHT(CONCATENATE("000",IFAData_TEA_1617!A2009),6),3),"-",(RIGHT(RIGHT(CONCATENATE("000",IFAData_TEA_1617!A2009),6),3)))</f>
        <v>220-908</v>
      </c>
      <c r="C2009" s="2266" t="s">
        <v>321</v>
      </c>
      <c r="D2009" s="2266">
        <v>10</v>
      </c>
      <c r="E2009" s="2266">
        <v>2061</v>
      </c>
      <c r="F2009" s="2266" t="s">
        <v>6218</v>
      </c>
      <c r="G2009" s="2266" t="s">
        <v>6218</v>
      </c>
      <c r="H2009" s="2266">
        <v>4627576</v>
      </c>
      <c r="I2009" s="2266">
        <v>0</v>
      </c>
      <c r="J2009" s="2266">
        <v>0</v>
      </c>
      <c r="K2009" s="2266">
        <v>0</v>
      </c>
      <c r="L2009" s="2266">
        <v>0</v>
      </c>
      <c r="M2009" s="2266">
        <v>599</v>
      </c>
    </row>
    <row r="2010" spans="1:13" ht="15">
      <c r="A2010" s="2266" t="s">
        <v>4358</v>
      </c>
      <c r="B2010" s="2465" t="str">
        <f>CONCATENATE(LEFT(RIGHT(CONCATENATE("000",IFAData_TEA_1617!A2010),6),3),"-",(RIGHT(RIGHT(CONCATENATE("000",IFAData_TEA_1617!A2010),6),3)))</f>
        <v>220-908</v>
      </c>
      <c r="C2010" s="2266" t="s">
        <v>321</v>
      </c>
      <c r="D2010" s="2266">
        <v>6</v>
      </c>
      <c r="E2010" s="2266">
        <v>2056</v>
      </c>
      <c r="F2010" s="2266" t="s">
        <v>6214</v>
      </c>
      <c r="G2010" s="2266" t="s">
        <v>6209</v>
      </c>
      <c r="H2010" s="2266">
        <v>2153875</v>
      </c>
      <c r="I2010" s="2266">
        <v>4725262</v>
      </c>
      <c r="J2010" s="2266">
        <v>0.73847461327564645</v>
      </c>
      <c r="K2010" s="2266">
        <v>1590582.0076690831</v>
      </c>
      <c r="L2010" s="2266">
        <v>1590582.0076690831</v>
      </c>
      <c r="M2010" s="2266">
        <v>599</v>
      </c>
    </row>
    <row r="2011" spans="1:13" ht="15">
      <c r="A2011" s="2266" t="s">
        <v>4358</v>
      </c>
      <c r="B2011" s="2465" t="str">
        <f>CONCATENATE(LEFT(RIGHT(CONCATENATE("000",IFAData_TEA_1617!A2011),6),3),"-",(RIGHT(RIGHT(CONCATENATE("000",IFAData_TEA_1617!A2011),6),3)))</f>
        <v>220-908</v>
      </c>
      <c r="C2011" s="2266" t="s">
        <v>321</v>
      </c>
      <c r="D2011" s="2266">
        <v>1</v>
      </c>
      <c r="E2011" s="2266">
        <v>2058</v>
      </c>
      <c r="F2011" s="2266" t="s">
        <v>6207</v>
      </c>
      <c r="G2011" s="2266" t="s">
        <v>6207</v>
      </c>
      <c r="H2011" s="2266">
        <v>2772030</v>
      </c>
      <c r="I2011" s="2266">
        <v>0</v>
      </c>
      <c r="J2011" s="2266">
        <v>0</v>
      </c>
      <c r="K2011" s="2266"/>
      <c r="L2011" s="2266">
        <v>0</v>
      </c>
      <c r="M2011" s="2266">
        <v>599</v>
      </c>
    </row>
    <row r="2012" spans="1:13" ht="15">
      <c r="A2012" s="2266" t="s">
        <v>4358</v>
      </c>
      <c r="B2012" s="2465" t="str">
        <f>CONCATENATE(LEFT(RIGHT(CONCATENATE("000",IFAData_TEA_1617!A2012),6),3),"-",(RIGHT(RIGHT(CONCATENATE("000",IFAData_TEA_1617!A2012),6),3)))</f>
        <v>220-908</v>
      </c>
      <c r="C2012" s="2266" t="s">
        <v>321</v>
      </c>
      <c r="D2012" s="2266">
        <v>6</v>
      </c>
      <c r="E2012" s="2266">
        <v>2057</v>
      </c>
      <c r="F2012" s="2266" t="s">
        <v>6211</v>
      </c>
      <c r="G2012" s="2266" t="s">
        <v>6213</v>
      </c>
      <c r="H2012" s="2266">
        <v>2346513</v>
      </c>
      <c r="I2012" s="2266">
        <v>2138834</v>
      </c>
      <c r="J2012" s="2266">
        <v>0.63552840904701369</v>
      </c>
      <c r="K2012" s="2266">
        <v>1491275.6736981352</v>
      </c>
      <c r="L2012" s="2266">
        <v>1491275.6736981352</v>
      </c>
      <c r="M2012" s="2266">
        <v>599</v>
      </c>
    </row>
    <row r="2013" spans="1:13" ht="15">
      <c r="A2013" s="2266" t="s">
        <v>4358</v>
      </c>
      <c r="B2013" s="2465" t="str">
        <f>CONCATENATE(LEFT(RIGHT(CONCATENATE("000",IFAData_TEA_1617!A2013),6),3),"-",(RIGHT(RIGHT(CONCATENATE("000",IFAData_TEA_1617!A2013),6),3)))</f>
        <v>220-908</v>
      </c>
      <c r="C2013" s="2266" t="s">
        <v>321</v>
      </c>
      <c r="D2013" s="2266">
        <v>9</v>
      </c>
      <c r="E2013" s="2266">
        <v>2059</v>
      </c>
      <c r="F2013" s="2266" t="s">
        <v>6217</v>
      </c>
      <c r="G2013" s="2266" t="s">
        <v>6217</v>
      </c>
      <c r="H2013" s="2266">
        <v>3920147</v>
      </c>
      <c r="I2013" s="2266">
        <v>229781</v>
      </c>
      <c r="J2013" s="2266">
        <v>5.5233414123087431E-2</v>
      </c>
      <c r="K2013" s="2266">
        <v>216523.10267437881</v>
      </c>
      <c r="L2013" s="2266">
        <v>216523.10267437881</v>
      </c>
      <c r="M2013" s="2266">
        <v>599</v>
      </c>
    </row>
    <row r="2014" spans="1:13" ht="15">
      <c r="A2014" s="2266" t="s">
        <v>4358</v>
      </c>
      <c r="B2014" s="2465" t="str">
        <f>CONCATENATE(LEFT(RIGHT(CONCATENATE("000",IFAData_TEA_1617!A2014),6),3),"-",(RIGHT(RIGHT(CONCATENATE("000",IFAData_TEA_1617!A2014),6),3)))</f>
        <v>220-908</v>
      </c>
      <c r="C2014" s="2266" t="s">
        <v>321</v>
      </c>
      <c r="D2014" s="2266">
        <v>6</v>
      </c>
      <c r="E2014" s="2266">
        <v>2056</v>
      </c>
      <c r="F2014" s="2266" t="s">
        <v>6214</v>
      </c>
      <c r="G2014" s="2266" t="s">
        <v>6214</v>
      </c>
      <c r="H2014" s="2266">
        <v>2153875</v>
      </c>
      <c r="I2014" s="2266">
        <v>66529</v>
      </c>
      <c r="J2014" s="2266">
        <v>1.0397302318181612E-2</v>
      </c>
      <c r="K2014" s="2266">
        <v>22394.489530573421</v>
      </c>
      <c r="L2014" s="2266">
        <v>22394.489530573421</v>
      </c>
      <c r="M2014" s="2266">
        <v>599</v>
      </c>
    </row>
    <row r="2015" spans="1:13" ht="15">
      <c r="A2015" s="2266" t="s">
        <v>4358</v>
      </c>
      <c r="B2015" s="2465" t="str">
        <f>CONCATENATE(LEFT(RIGHT(CONCATENATE("000",IFAData_TEA_1617!A2015),6),3),"-",(RIGHT(RIGHT(CONCATENATE("000",IFAData_TEA_1617!A2015),6),3)))</f>
        <v>220-908</v>
      </c>
      <c r="C2015" s="2266" t="s">
        <v>321</v>
      </c>
      <c r="D2015" s="2266">
        <v>10</v>
      </c>
      <c r="E2015" s="2266">
        <v>2061</v>
      </c>
      <c r="F2015" s="2266" t="s">
        <v>6218</v>
      </c>
      <c r="G2015" s="2266" t="s">
        <v>7276</v>
      </c>
      <c r="H2015" s="2266">
        <v>4627576</v>
      </c>
      <c r="I2015" s="2266">
        <v>2123100</v>
      </c>
      <c r="J2015" s="2266">
        <v>1</v>
      </c>
      <c r="K2015" s="2266">
        <v>4627576</v>
      </c>
      <c r="L2015" s="2266">
        <v>2123100</v>
      </c>
      <c r="M2015" s="2266">
        <v>599</v>
      </c>
    </row>
    <row r="2016" spans="1:13" ht="15">
      <c r="A2016" s="2266" t="s">
        <v>4359</v>
      </c>
      <c r="B2016" s="2465" t="str">
        <f>CONCATENATE(LEFT(RIGHT(CONCATENATE("000",IFAData_TEA_1617!A2016),6),3),"-",(RIGHT(RIGHT(CONCATENATE("000",IFAData_TEA_1617!A2016),6),3)))</f>
        <v>220-910</v>
      </c>
      <c r="C2016" s="2266" t="s">
        <v>2624</v>
      </c>
      <c r="D2016" s="2266">
        <v>2</v>
      </c>
      <c r="E2016" s="2266">
        <v>2000</v>
      </c>
      <c r="F2016" s="2266" t="s">
        <v>6219</v>
      </c>
      <c r="G2016" s="2266" t="s">
        <v>6219</v>
      </c>
      <c r="H2016" s="2266">
        <v>425000</v>
      </c>
      <c r="I2016" s="2266">
        <v>0</v>
      </c>
      <c r="J2016" s="2266">
        <v>0</v>
      </c>
      <c r="K2016" s="2266">
        <v>0</v>
      </c>
      <c r="L2016" s="2266">
        <v>0</v>
      </c>
      <c r="M2016" s="2266">
        <v>599</v>
      </c>
    </row>
    <row r="2017" spans="1:13" ht="15">
      <c r="A2017" s="2266" t="s">
        <v>4359</v>
      </c>
      <c r="B2017" s="2465" t="str">
        <f>CONCATENATE(LEFT(RIGHT(CONCATENATE("000",IFAData_TEA_1617!A2017),6),3),"-",(RIGHT(RIGHT(CONCATENATE("000",IFAData_TEA_1617!A2017),6),3)))</f>
        <v>220-910</v>
      </c>
      <c r="C2017" s="2266" t="s">
        <v>2624</v>
      </c>
      <c r="D2017" s="2266">
        <v>5</v>
      </c>
      <c r="E2017" s="2266">
        <v>2001</v>
      </c>
      <c r="F2017" s="2266" t="s">
        <v>6221</v>
      </c>
      <c r="G2017" s="2266" t="s">
        <v>6222</v>
      </c>
      <c r="H2017" s="2266">
        <v>464180</v>
      </c>
      <c r="I2017" s="2266">
        <v>644112</v>
      </c>
      <c r="J2017" s="2266">
        <v>1</v>
      </c>
      <c r="K2017" s="2266">
        <v>464180</v>
      </c>
      <c r="L2017" s="2266">
        <v>464180</v>
      </c>
      <c r="M2017" s="2266">
        <v>599</v>
      </c>
    </row>
    <row r="2018" spans="1:13" ht="15">
      <c r="A2018" s="2266" t="s">
        <v>4359</v>
      </c>
      <c r="B2018" s="2465" t="str">
        <f>CONCATENATE(LEFT(RIGHT(CONCATENATE("000",IFAData_TEA_1617!A2018),6),3),"-",(RIGHT(RIGHT(CONCATENATE("000",IFAData_TEA_1617!A2018),6),3)))</f>
        <v>220-910</v>
      </c>
      <c r="C2018" s="2266" t="s">
        <v>2624</v>
      </c>
      <c r="D2018" s="2266">
        <v>9</v>
      </c>
      <c r="E2018" s="2266">
        <v>1999</v>
      </c>
      <c r="F2018" s="2266" t="s">
        <v>6223</v>
      </c>
      <c r="G2018" s="2266" t="s">
        <v>7054</v>
      </c>
      <c r="H2018" s="2266">
        <v>335046</v>
      </c>
      <c r="I2018" s="2266">
        <v>399656</v>
      </c>
      <c r="J2018" s="2266">
        <v>1</v>
      </c>
      <c r="K2018" s="2266">
        <v>335046</v>
      </c>
      <c r="L2018" s="2266">
        <v>335046</v>
      </c>
      <c r="M2018" s="2266">
        <v>599</v>
      </c>
    </row>
    <row r="2019" spans="1:13" ht="15">
      <c r="A2019" s="2266" t="s">
        <v>4359</v>
      </c>
      <c r="B2019" s="2465" t="str">
        <f>CONCATENATE(LEFT(RIGHT(CONCATENATE("000",IFAData_TEA_1617!A2019),6),3),"-",(RIGHT(RIGHT(CONCATENATE("000",IFAData_TEA_1617!A2019),6),3)))</f>
        <v>220-910</v>
      </c>
      <c r="C2019" s="2266" t="s">
        <v>2624</v>
      </c>
      <c r="D2019" s="2266">
        <v>9</v>
      </c>
      <c r="E2019" s="2266">
        <v>1999</v>
      </c>
      <c r="F2019" s="2266" t="s">
        <v>6223</v>
      </c>
      <c r="G2019" s="2266" t="s">
        <v>6223</v>
      </c>
      <c r="H2019" s="2266">
        <v>335046</v>
      </c>
      <c r="I2019" s="2266">
        <v>0</v>
      </c>
      <c r="J2019" s="2266">
        <v>0</v>
      </c>
      <c r="K2019" s="2266">
        <v>0</v>
      </c>
      <c r="L2019" s="2266">
        <v>0</v>
      </c>
      <c r="M2019" s="2266">
        <v>599</v>
      </c>
    </row>
    <row r="2020" spans="1:13" ht="15">
      <c r="A2020" s="2266" t="s">
        <v>4359</v>
      </c>
      <c r="B2020" s="2465" t="str">
        <f>CONCATENATE(LEFT(RIGHT(CONCATENATE("000",IFAData_TEA_1617!A2020),6),3),"-",(RIGHT(RIGHT(CONCATENATE("000",IFAData_TEA_1617!A2020),6),3)))</f>
        <v>220-910</v>
      </c>
      <c r="C2020" s="2266" t="s">
        <v>2624</v>
      </c>
      <c r="D2020" s="2266">
        <v>5</v>
      </c>
      <c r="E2020" s="2266">
        <v>2001</v>
      </c>
      <c r="F2020" s="2266" t="s">
        <v>6221</v>
      </c>
      <c r="G2020" s="2266" t="s">
        <v>6221</v>
      </c>
      <c r="H2020" s="2266">
        <v>464180</v>
      </c>
      <c r="I2020" s="2266">
        <v>0</v>
      </c>
      <c r="J2020" s="2266">
        <v>0</v>
      </c>
      <c r="K2020" s="2266">
        <v>0</v>
      </c>
      <c r="L2020" s="2266">
        <v>0</v>
      </c>
      <c r="M2020" s="2266">
        <v>599</v>
      </c>
    </row>
    <row r="2021" spans="1:13" ht="15">
      <c r="A2021" s="2266" t="s">
        <v>4359</v>
      </c>
      <c r="B2021" s="2465" t="str">
        <f>CONCATENATE(LEFT(RIGHT(CONCATENATE("000",IFAData_TEA_1617!A2021),6),3),"-",(RIGHT(RIGHT(CONCATENATE("000",IFAData_TEA_1617!A2021),6),3)))</f>
        <v>220-910</v>
      </c>
      <c r="C2021" s="2266" t="s">
        <v>2624</v>
      </c>
      <c r="D2021" s="2266">
        <v>2</v>
      </c>
      <c r="E2021" s="2266">
        <v>2000</v>
      </c>
      <c r="F2021" s="2266" t="s">
        <v>6219</v>
      </c>
      <c r="G2021" s="2266" t="s">
        <v>6220</v>
      </c>
      <c r="H2021" s="2266">
        <v>425000</v>
      </c>
      <c r="I2021" s="2266">
        <v>396194</v>
      </c>
      <c r="J2021" s="2266">
        <v>1</v>
      </c>
      <c r="K2021" s="2266">
        <v>425000</v>
      </c>
      <c r="L2021" s="2266">
        <v>396194</v>
      </c>
      <c r="M2021" s="2266">
        <v>599</v>
      </c>
    </row>
    <row r="2022" spans="1:13" ht="15">
      <c r="A2022" s="2266" t="s">
        <v>4359</v>
      </c>
      <c r="B2022" s="2465" t="str">
        <f>CONCATENATE(LEFT(RIGHT(CONCATENATE("000",IFAData_TEA_1617!A2022),6),3),"-",(RIGHT(RIGHT(CONCATENATE("000",IFAData_TEA_1617!A2022),6),3)))</f>
        <v>220-910</v>
      </c>
      <c r="C2022" s="2266" t="s">
        <v>2624</v>
      </c>
      <c r="D2022" s="2266">
        <v>9</v>
      </c>
      <c r="E2022" s="2266">
        <v>1998</v>
      </c>
      <c r="F2022" s="2266" t="s">
        <v>6224</v>
      </c>
      <c r="G2022" s="2266" t="s">
        <v>7277</v>
      </c>
      <c r="H2022" s="2266">
        <v>83579</v>
      </c>
      <c r="I2022" s="2266">
        <v>358950</v>
      </c>
      <c r="J2022" s="2266">
        <v>0.71941076260146308</v>
      </c>
      <c r="K2022" s="2266">
        <v>60127.632127467681</v>
      </c>
      <c r="L2022" s="2266">
        <v>60127.632127467681</v>
      </c>
      <c r="M2022" s="2266">
        <v>599</v>
      </c>
    </row>
    <row r="2023" spans="1:13" ht="15">
      <c r="A2023" s="2266" t="s">
        <v>4359</v>
      </c>
      <c r="B2023" s="2465" t="str">
        <f>CONCATENATE(LEFT(RIGHT(CONCATENATE("000",IFAData_TEA_1617!A2023),6),3),"-",(RIGHT(RIGHT(CONCATENATE("000",IFAData_TEA_1617!A2023),6),3)))</f>
        <v>220-910</v>
      </c>
      <c r="C2023" s="2266" t="s">
        <v>2624</v>
      </c>
      <c r="D2023" s="2266">
        <v>9</v>
      </c>
      <c r="E2023" s="2266">
        <v>1998</v>
      </c>
      <c r="F2023" s="2266" t="s">
        <v>6224</v>
      </c>
      <c r="G2023" s="2266" t="s">
        <v>6224</v>
      </c>
      <c r="H2023" s="2266">
        <v>83579</v>
      </c>
      <c r="I2023" s="2266">
        <v>140000</v>
      </c>
      <c r="J2023" s="2266">
        <v>0.28058923739853692</v>
      </c>
      <c r="K2023" s="2266">
        <v>23451.367872532315</v>
      </c>
      <c r="L2023" s="2266">
        <v>23451.367872532315</v>
      </c>
      <c r="M2023" s="2266">
        <v>599</v>
      </c>
    </row>
    <row r="2024" spans="1:13" ht="15">
      <c r="A2024" s="2266" t="s">
        <v>4360</v>
      </c>
      <c r="B2024" s="2465" t="str">
        <f>CONCATENATE(LEFT(RIGHT(CONCATENATE("000",IFAData_TEA_1617!A2024),6),3),"-",(RIGHT(RIGHT(CONCATENATE("000",IFAData_TEA_1617!A2024),6),3)))</f>
        <v>220-912</v>
      </c>
      <c r="C2024" s="2266" t="s">
        <v>459</v>
      </c>
      <c r="D2024" s="2266">
        <v>1</v>
      </c>
      <c r="E2024" s="2266">
        <v>1733</v>
      </c>
      <c r="F2024" s="2266" t="s">
        <v>6225</v>
      </c>
      <c r="G2024" s="2266" t="s">
        <v>6227</v>
      </c>
      <c r="H2024" s="2266">
        <v>1863688</v>
      </c>
      <c r="I2024" s="2266">
        <v>642410</v>
      </c>
      <c r="J2024" s="2266">
        <v>0.21496708451414481</v>
      </c>
      <c r="K2024" s="2266">
        <v>400631.57580399752</v>
      </c>
      <c r="L2024" s="2266">
        <v>400631.57580399752</v>
      </c>
      <c r="M2024" s="2266">
        <v>599</v>
      </c>
    </row>
    <row r="2025" spans="1:13" ht="15">
      <c r="A2025" s="2266" t="s">
        <v>4360</v>
      </c>
      <c r="B2025" s="2465" t="str">
        <f>CONCATENATE(LEFT(RIGHT(CONCATENATE("000",IFAData_TEA_1617!A2025),6),3),"-",(RIGHT(RIGHT(CONCATENATE("000",IFAData_TEA_1617!A2025),6),3)))</f>
        <v>220-912</v>
      </c>
      <c r="C2025" s="2266" t="s">
        <v>459</v>
      </c>
      <c r="D2025" s="2266">
        <v>1</v>
      </c>
      <c r="E2025" s="2266">
        <v>1733</v>
      </c>
      <c r="F2025" s="2266" t="s">
        <v>6225</v>
      </c>
      <c r="G2025" s="2266" t="s">
        <v>6225</v>
      </c>
      <c r="H2025" s="2266">
        <v>1863688</v>
      </c>
      <c r="I2025" s="2266">
        <v>0</v>
      </c>
      <c r="J2025" s="2266">
        <v>0</v>
      </c>
      <c r="K2025" s="2266">
        <v>0</v>
      </c>
      <c r="L2025" s="2266">
        <v>0</v>
      </c>
      <c r="M2025" s="2266">
        <v>599</v>
      </c>
    </row>
    <row r="2026" spans="1:13" ht="15">
      <c r="A2026" s="2266" t="s">
        <v>4360</v>
      </c>
      <c r="B2026" s="2465" t="str">
        <f>CONCATENATE(LEFT(RIGHT(CONCATENATE("000",IFAData_TEA_1617!A2026),6),3),"-",(RIGHT(RIGHT(CONCATENATE("000",IFAData_TEA_1617!A2026),6),3)))</f>
        <v>220-912</v>
      </c>
      <c r="C2026" s="2266" t="s">
        <v>459</v>
      </c>
      <c r="D2026" s="2266">
        <v>1</v>
      </c>
      <c r="E2026" s="2266">
        <v>1733</v>
      </c>
      <c r="F2026" s="2266" t="s">
        <v>6225</v>
      </c>
      <c r="G2026" s="2266" t="s">
        <v>6226</v>
      </c>
      <c r="H2026" s="2266">
        <v>1863688</v>
      </c>
      <c r="I2026" s="2266">
        <v>1207468</v>
      </c>
      <c r="J2026" s="2266">
        <v>0.40405017917548824</v>
      </c>
      <c r="K2026" s="2266">
        <v>753023.47032720735</v>
      </c>
      <c r="L2026" s="2266">
        <v>753023.47032720735</v>
      </c>
      <c r="M2026" s="2266">
        <v>599</v>
      </c>
    </row>
    <row r="2027" spans="1:13" ht="15">
      <c r="A2027" s="2266" t="s">
        <v>4360</v>
      </c>
      <c r="B2027" s="2465" t="str">
        <f>CONCATENATE(LEFT(RIGHT(CONCATENATE("000",IFAData_TEA_1617!A2027),6),3),"-",(RIGHT(RIGHT(CONCATENATE("000",IFAData_TEA_1617!A2027),6),3)))</f>
        <v>220-912</v>
      </c>
      <c r="C2027" s="2266" t="s">
        <v>459</v>
      </c>
      <c r="D2027" s="2266">
        <v>10</v>
      </c>
      <c r="E2027" s="2266">
        <v>1734</v>
      </c>
      <c r="F2027" s="2266" t="s">
        <v>6229</v>
      </c>
      <c r="G2027" s="2266" t="s">
        <v>6229</v>
      </c>
      <c r="H2027" s="2266">
        <v>3735112</v>
      </c>
      <c r="I2027" s="2266">
        <v>280000</v>
      </c>
      <c r="J2027" s="2266">
        <v>7.7248837818823884E-2</v>
      </c>
      <c r="K2027" s="2266">
        <v>288533.06112314289</v>
      </c>
      <c r="L2027" s="2266">
        <v>280000</v>
      </c>
      <c r="M2027" s="2266">
        <v>599</v>
      </c>
    </row>
    <row r="2028" spans="1:13" ht="15">
      <c r="A2028" s="2266" t="s">
        <v>4360</v>
      </c>
      <c r="B2028" s="2465" t="str">
        <f>CONCATENATE(LEFT(RIGHT(CONCATENATE("000",IFAData_TEA_1617!A2028),6),3),"-",(RIGHT(RIGHT(CONCATENATE("000",IFAData_TEA_1617!A2028),6),3)))</f>
        <v>220-912</v>
      </c>
      <c r="C2028" s="2266" t="s">
        <v>459</v>
      </c>
      <c r="D2028" s="2266">
        <v>10</v>
      </c>
      <c r="E2028" s="2266">
        <v>1734</v>
      </c>
      <c r="F2028" s="2266" t="s">
        <v>6229</v>
      </c>
      <c r="G2028" s="2266" t="s">
        <v>7278</v>
      </c>
      <c r="H2028" s="2266">
        <v>3735112</v>
      </c>
      <c r="I2028" s="2266">
        <v>3344650</v>
      </c>
      <c r="J2028" s="2266">
        <v>0.92275116218117614</v>
      </c>
      <c r="K2028" s="2266">
        <v>3446578.938876857</v>
      </c>
      <c r="L2028" s="2266">
        <v>3344650</v>
      </c>
      <c r="M2028" s="2266">
        <v>599</v>
      </c>
    </row>
    <row r="2029" spans="1:13" ht="15">
      <c r="A2029" s="2266" t="s">
        <v>4360</v>
      </c>
      <c r="B2029" s="2465" t="str">
        <f>CONCATENATE(LEFT(RIGHT(CONCATENATE("000",IFAData_TEA_1617!A2029),6),3),"-",(RIGHT(RIGHT(CONCATENATE("000",IFAData_TEA_1617!A2029),6),3)))</f>
        <v>220-912</v>
      </c>
      <c r="C2029" s="2266" t="s">
        <v>459</v>
      </c>
      <c r="D2029" s="2266">
        <v>9</v>
      </c>
      <c r="E2029" s="2266">
        <v>1735</v>
      </c>
      <c r="F2029" s="2266" t="s">
        <v>6228</v>
      </c>
      <c r="G2029" s="2266" t="s">
        <v>7279</v>
      </c>
      <c r="H2029" s="2266">
        <v>3761388</v>
      </c>
      <c r="I2029" s="2266">
        <v>982250</v>
      </c>
      <c r="J2029" s="2266">
        <v>0.25785414945013868</v>
      </c>
      <c r="K2029" s="2266">
        <v>969889.50349195825</v>
      </c>
      <c r="L2029" s="2266">
        <v>969889.50349195825</v>
      </c>
      <c r="M2029" s="2266">
        <v>599</v>
      </c>
    </row>
    <row r="2030" spans="1:13" ht="15">
      <c r="A2030" s="2266" t="s">
        <v>4360</v>
      </c>
      <c r="B2030" s="2465" t="str">
        <f>CONCATENATE(LEFT(RIGHT(CONCATENATE("000",IFAData_TEA_1617!A2030),6),3),"-",(RIGHT(RIGHT(CONCATENATE("000",IFAData_TEA_1617!A2030),6),3)))</f>
        <v>220-912</v>
      </c>
      <c r="C2030" s="2266" t="s">
        <v>459</v>
      </c>
      <c r="D2030" s="2266">
        <v>9</v>
      </c>
      <c r="E2030" s="2266">
        <v>1735</v>
      </c>
      <c r="F2030" s="2266" t="s">
        <v>6228</v>
      </c>
      <c r="G2030" s="2266" t="s">
        <v>6228</v>
      </c>
      <c r="H2030" s="2266">
        <v>3761388</v>
      </c>
      <c r="I2030" s="2266">
        <v>1567855</v>
      </c>
      <c r="J2030" s="2266">
        <v>0.41158352505588919</v>
      </c>
      <c r="K2030" s="2266">
        <v>1548125.3321429209</v>
      </c>
      <c r="L2030" s="2266">
        <v>1548125.3321429209</v>
      </c>
      <c r="M2030" s="2266">
        <v>599</v>
      </c>
    </row>
    <row r="2031" spans="1:13" ht="15">
      <c r="A2031" s="2266" t="s">
        <v>4360</v>
      </c>
      <c r="B2031" s="2465" t="str">
        <f>CONCATENATE(LEFT(RIGHT(CONCATENATE("000",IFAData_TEA_1617!A2031),6),3),"-",(RIGHT(RIGHT(CONCATENATE("000",IFAData_TEA_1617!A2031),6),3)))</f>
        <v>220-912</v>
      </c>
      <c r="C2031" s="2266" t="s">
        <v>459</v>
      </c>
      <c r="D2031" s="2266">
        <v>9</v>
      </c>
      <c r="E2031" s="2266">
        <v>1735</v>
      </c>
      <c r="F2031" s="2266" t="s">
        <v>6228</v>
      </c>
      <c r="G2031" s="2266" t="s">
        <v>7055</v>
      </c>
      <c r="H2031" s="2266">
        <v>3761388</v>
      </c>
      <c r="I2031" s="2266">
        <v>1259219</v>
      </c>
      <c r="J2031" s="2266">
        <v>0.33056232549397213</v>
      </c>
      <c r="K2031" s="2266">
        <v>1243373.1643651209</v>
      </c>
      <c r="L2031" s="2266">
        <v>1243373.1643651209</v>
      </c>
      <c r="M2031" s="2266">
        <v>599</v>
      </c>
    </row>
    <row r="2032" spans="1:13" ht="15">
      <c r="A2032" s="2266" t="s">
        <v>4360</v>
      </c>
      <c r="B2032" s="2465" t="str">
        <f>CONCATENATE(LEFT(RIGHT(CONCATENATE("000",IFAData_TEA_1617!A2032),6),3),"-",(RIGHT(RIGHT(CONCATENATE("000",IFAData_TEA_1617!A2032),6),3)))</f>
        <v>220-912</v>
      </c>
      <c r="C2032" s="2266" t="s">
        <v>459</v>
      </c>
      <c r="D2032" s="2266">
        <v>1</v>
      </c>
      <c r="E2032" s="2266">
        <v>1733</v>
      </c>
      <c r="F2032" s="2266" t="s">
        <v>6225</v>
      </c>
      <c r="G2032" s="2266" t="s">
        <v>7056</v>
      </c>
      <c r="H2032" s="2266">
        <v>1863688</v>
      </c>
      <c r="I2032" s="2266">
        <v>1138533</v>
      </c>
      <c r="J2032" s="2266">
        <v>0.38098273631036694</v>
      </c>
      <c r="K2032" s="2266">
        <v>710032.95386879519</v>
      </c>
      <c r="L2032" s="2266">
        <v>710032.95386879519</v>
      </c>
      <c r="M2032" s="2266">
        <v>599</v>
      </c>
    </row>
    <row r="2033" spans="1:13" ht="15">
      <c r="A2033" s="2266" t="s">
        <v>4361</v>
      </c>
      <c r="B2033" s="2465" t="str">
        <f>CONCATENATE(LEFT(RIGHT(CONCATENATE("000",IFAData_TEA_1617!A2033),6),3),"-",(RIGHT(RIGHT(CONCATENATE("000",IFAData_TEA_1617!A2033),6),3)))</f>
        <v>220-914</v>
      </c>
      <c r="C2033" s="2266" t="s">
        <v>2876</v>
      </c>
      <c r="D2033" s="2266">
        <v>1</v>
      </c>
      <c r="E2033" s="2266">
        <v>1955</v>
      </c>
      <c r="F2033" s="2266" t="s">
        <v>6230</v>
      </c>
      <c r="G2033" s="2266" t="s">
        <v>7057</v>
      </c>
      <c r="H2033" s="2266">
        <v>565360</v>
      </c>
      <c r="I2033" s="2266">
        <v>86201</v>
      </c>
      <c r="J2033" s="2266">
        <v>0.17737561216510966</v>
      </c>
      <c r="K2033" s="2266">
        <v>100281.0760936664</v>
      </c>
      <c r="L2033" s="2266">
        <v>86201</v>
      </c>
      <c r="M2033" s="2266">
        <v>599</v>
      </c>
    </row>
    <row r="2034" spans="1:13" ht="15">
      <c r="A2034" s="2266" t="s">
        <v>4361</v>
      </c>
      <c r="B2034" s="2465" t="str">
        <f>CONCATENATE(LEFT(RIGHT(CONCATENATE("000",IFAData_TEA_1617!A2034),6),3),"-",(RIGHT(RIGHT(CONCATENATE("000",IFAData_TEA_1617!A2034),6),3)))</f>
        <v>220-914</v>
      </c>
      <c r="C2034" s="2266" t="s">
        <v>2876</v>
      </c>
      <c r="D2034" s="2266">
        <v>1</v>
      </c>
      <c r="E2034" s="2266">
        <v>1955</v>
      </c>
      <c r="F2034" s="2266" t="s">
        <v>6230</v>
      </c>
      <c r="G2034" s="2266" t="s">
        <v>6232</v>
      </c>
      <c r="H2034" s="2266">
        <v>565360</v>
      </c>
      <c r="I2034" s="2266">
        <v>0</v>
      </c>
      <c r="J2034" s="2266">
        <v>0</v>
      </c>
      <c r="K2034" s="2266">
        <v>0</v>
      </c>
      <c r="L2034" s="2266">
        <v>0</v>
      </c>
      <c r="M2034" s="2266">
        <v>599</v>
      </c>
    </row>
    <row r="2035" spans="1:13" ht="15">
      <c r="A2035" s="2266" t="s">
        <v>4361</v>
      </c>
      <c r="B2035" s="2465" t="str">
        <f>CONCATENATE(LEFT(RIGHT(CONCATENATE("000",IFAData_TEA_1617!A2035),6),3),"-",(RIGHT(RIGHT(CONCATENATE("000",IFAData_TEA_1617!A2035),6),3)))</f>
        <v>220-914</v>
      </c>
      <c r="C2035" s="2266" t="s">
        <v>2876</v>
      </c>
      <c r="D2035" s="2266">
        <v>1</v>
      </c>
      <c r="E2035" s="2266">
        <v>1955</v>
      </c>
      <c r="F2035" s="2266" t="s">
        <v>6230</v>
      </c>
      <c r="G2035" s="2266" t="s">
        <v>6230</v>
      </c>
      <c r="H2035" s="2266">
        <v>565360</v>
      </c>
      <c r="I2035" s="2266">
        <v>0</v>
      </c>
      <c r="J2035" s="2266">
        <v>0</v>
      </c>
      <c r="K2035" s="2266">
        <v>0</v>
      </c>
      <c r="L2035" s="2266">
        <v>0</v>
      </c>
      <c r="M2035" s="2266">
        <v>599</v>
      </c>
    </row>
    <row r="2036" spans="1:13" ht="15">
      <c r="A2036" s="2266" t="s">
        <v>4361</v>
      </c>
      <c r="B2036" s="2465" t="str">
        <f>CONCATENATE(LEFT(RIGHT(CONCATENATE("000",IFAData_TEA_1617!A2036),6),3),"-",(RIGHT(RIGHT(CONCATENATE("000",IFAData_TEA_1617!A2036),6),3)))</f>
        <v>220-914</v>
      </c>
      <c r="C2036" s="2266" t="s">
        <v>2876</v>
      </c>
      <c r="D2036" s="2266">
        <v>1</v>
      </c>
      <c r="E2036" s="2266">
        <v>1955</v>
      </c>
      <c r="F2036" s="2266" t="s">
        <v>6230</v>
      </c>
      <c r="G2036" s="2266" t="s">
        <v>6231</v>
      </c>
      <c r="H2036" s="2266">
        <v>565360</v>
      </c>
      <c r="I2036" s="2266">
        <v>399779</v>
      </c>
      <c r="J2036" s="2266">
        <v>0.82262438783489034</v>
      </c>
      <c r="K2036" s="2266">
        <v>465078.92390633363</v>
      </c>
      <c r="L2036" s="2266">
        <v>399779</v>
      </c>
      <c r="M2036" s="2266">
        <v>599</v>
      </c>
    </row>
    <row r="2037" spans="1:13" ht="15">
      <c r="A2037" s="2266" t="s">
        <v>4362</v>
      </c>
      <c r="B2037" s="2465" t="str">
        <f>CONCATENATE(LEFT(RIGHT(CONCATENATE("000",IFAData_TEA_1617!A2037),6),3),"-",(RIGHT(RIGHT(CONCATENATE("000",IFAData_TEA_1617!A2037),6),3)))</f>
        <v>220-915</v>
      </c>
      <c r="C2037" s="2266" t="s">
        <v>2429</v>
      </c>
      <c r="D2037" s="2266">
        <v>3</v>
      </c>
      <c r="E2037" s="2266">
        <v>1588</v>
      </c>
      <c r="F2037" s="2266" t="s">
        <v>6233</v>
      </c>
      <c r="G2037" s="2266" t="s">
        <v>6234</v>
      </c>
      <c r="H2037" s="2266">
        <v>1377910</v>
      </c>
      <c r="I2037" s="2266">
        <v>0</v>
      </c>
      <c r="J2037" s="2266">
        <v>0</v>
      </c>
      <c r="K2037" s="2266">
        <v>0</v>
      </c>
      <c r="L2037" s="2266">
        <v>0</v>
      </c>
      <c r="M2037" s="2266">
        <v>599</v>
      </c>
    </row>
    <row r="2038" spans="1:13" ht="15">
      <c r="A2038" s="2266" t="s">
        <v>4362</v>
      </c>
      <c r="B2038" s="2465" t="str">
        <f>CONCATENATE(LEFT(RIGHT(CONCATENATE("000",IFAData_TEA_1617!A2038),6),3),"-",(RIGHT(RIGHT(CONCATENATE("000",IFAData_TEA_1617!A2038),6),3)))</f>
        <v>220-915</v>
      </c>
      <c r="C2038" s="2266" t="s">
        <v>2429</v>
      </c>
      <c r="D2038" s="2266">
        <v>3</v>
      </c>
      <c r="E2038" s="2266">
        <v>1588</v>
      </c>
      <c r="F2038" s="2266" t="s">
        <v>6233</v>
      </c>
      <c r="G2038" s="2266" t="s">
        <v>6236</v>
      </c>
      <c r="H2038" s="2266">
        <v>1377910</v>
      </c>
      <c r="I2038" s="2266">
        <v>2029514</v>
      </c>
      <c r="J2038" s="2266">
        <v>1</v>
      </c>
      <c r="K2038" s="2266">
        <v>1377910</v>
      </c>
      <c r="L2038" s="2266">
        <v>1377910</v>
      </c>
      <c r="M2038" s="2266">
        <v>599</v>
      </c>
    </row>
    <row r="2039" spans="1:13" ht="15">
      <c r="A2039" s="2266" t="s">
        <v>4362</v>
      </c>
      <c r="B2039" s="2465" t="str">
        <f>CONCATENATE(LEFT(RIGHT(CONCATENATE("000",IFAData_TEA_1617!A2039),6),3),"-",(RIGHT(RIGHT(CONCATENATE("000",IFAData_TEA_1617!A2039),6),3)))</f>
        <v>220-915</v>
      </c>
      <c r="C2039" s="2266" t="s">
        <v>2429</v>
      </c>
      <c r="D2039" s="2266">
        <v>3</v>
      </c>
      <c r="E2039" s="2266">
        <v>1588</v>
      </c>
      <c r="F2039" s="2266" t="s">
        <v>6233</v>
      </c>
      <c r="G2039" s="2266" t="s">
        <v>6235</v>
      </c>
      <c r="H2039" s="2266">
        <v>1377910</v>
      </c>
      <c r="I2039" s="2266">
        <v>0</v>
      </c>
      <c r="J2039" s="2266">
        <v>0</v>
      </c>
      <c r="K2039" s="2266">
        <v>0</v>
      </c>
      <c r="L2039" s="2266">
        <v>0</v>
      </c>
      <c r="M2039" s="2266">
        <v>599</v>
      </c>
    </row>
    <row r="2040" spans="1:13" ht="15">
      <c r="A2040" s="2266" t="s">
        <v>4362</v>
      </c>
      <c r="B2040" s="2465" t="str">
        <f>CONCATENATE(LEFT(RIGHT(CONCATENATE("000",IFAData_TEA_1617!A2040),6),3),"-",(RIGHT(RIGHT(CONCATENATE("000",IFAData_TEA_1617!A2040),6),3)))</f>
        <v>220-915</v>
      </c>
      <c r="C2040" s="2266" t="s">
        <v>2429</v>
      </c>
      <c r="D2040" s="2266">
        <v>3</v>
      </c>
      <c r="E2040" s="2266">
        <v>1588</v>
      </c>
      <c r="F2040" s="2266" t="s">
        <v>6233</v>
      </c>
      <c r="G2040" s="2266" t="s">
        <v>6233</v>
      </c>
      <c r="H2040" s="2266">
        <v>1377910</v>
      </c>
      <c r="I2040" s="2266">
        <v>0</v>
      </c>
      <c r="J2040" s="2266">
        <v>0</v>
      </c>
      <c r="K2040" s="2266">
        <v>0</v>
      </c>
      <c r="L2040" s="2266">
        <v>0</v>
      </c>
      <c r="M2040" s="2266">
        <v>599</v>
      </c>
    </row>
    <row r="2041" spans="1:13" ht="15">
      <c r="A2041" s="2266" t="s">
        <v>4363</v>
      </c>
      <c r="B2041" s="2465" t="str">
        <f>CONCATENATE(LEFT(RIGHT(CONCATENATE("000",IFAData_TEA_1617!A2041),6),3),"-",(RIGHT(RIGHT(CONCATENATE("000",IFAData_TEA_1617!A2041),6),3)))</f>
        <v>220-916</v>
      </c>
      <c r="C2041" s="2266" t="s">
        <v>1439</v>
      </c>
      <c r="D2041" s="2266">
        <v>2</v>
      </c>
      <c r="E2041" s="2266">
        <v>1920</v>
      </c>
      <c r="F2041" s="2266" t="s">
        <v>6237</v>
      </c>
      <c r="G2041" s="2266" t="s">
        <v>6237</v>
      </c>
      <c r="H2041" s="2266">
        <v>4462566</v>
      </c>
      <c r="I2041" s="2266">
        <v>0</v>
      </c>
      <c r="J2041" s="2266">
        <v>0</v>
      </c>
      <c r="K2041" s="2266">
        <v>0</v>
      </c>
      <c r="L2041" s="2266">
        <v>0</v>
      </c>
      <c r="M2041" s="2266">
        <v>599</v>
      </c>
    </row>
    <row r="2042" spans="1:13" ht="15">
      <c r="A2042" s="2266" t="s">
        <v>4363</v>
      </c>
      <c r="B2042" s="2465" t="str">
        <f>CONCATENATE(LEFT(RIGHT(CONCATENATE("000",IFAData_TEA_1617!A2042),6),3),"-",(RIGHT(RIGHT(CONCATENATE("000",IFAData_TEA_1617!A2042),6),3)))</f>
        <v>220-916</v>
      </c>
      <c r="C2042" s="2266" t="s">
        <v>1439</v>
      </c>
      <c r="D2042" s="2266">
        <v>2</v>
      </c>
      <c r="E2042" s="2266">
        <v>1920</v>
      </c>
      <c r="F2042" s="2266" t="s">
        <v>6237</v>
      </c>
      <c r="G2042" s="2266" t="s">
        <v>6238</v>
      </c>
      <c r="H2042" s="2266">
        <v>4462566</v>
      </c>
      <c r="I2042" s="2266">
        <v>531727</v>
      </c>
      <c r="J2042" s="2266">
        <v>6.9695631549690246E-2</v>
      </c>
      <c r="K2042" s="2266">
        <v>311021.355702175</v>
      </c>
      <c r="L2042" s="2266">
        <v>311021.355702175</v>
      </c>
      <c r="M2042" s="2266">
        <v>599</v>
      </c>
    </row>
    <row r="2043" spans="1:13" ht="15">
      <c r="A2043" s="2266" t="s">
        <v>4363</v>
      </c>
      <c r="B2043" s="2465" t="str">
        <f>CONCATENATE(LEFT(RIGHT(CONCATENATE("000",IFAData_TEA_1617!A2043),6),3),"-",(RIGHT(RIGHT(CONCATENATE("000",IFAData_TEA_1617!A2043),6),3)))</f>
        <v>220-916</v>
      </c>
      <c r="C2043" s="2266" t="s">
        <v>1439</v>
      </c>
      <c r="D2043" s="2266">
        <v>2</v>
      </c>
      <c r="E2043" s="2266">
        <v>1920</v>
      </c>
      <c r="F2043" s="2266" t="s">
        <v>6237</v>
      </c>
      <c r="G2043" s="2266" t="s">
        <v>6239</v>
      </c>
      <c r="H2043" s="2266">
        <v>4462566</v>
      </c>
      <c r="I2043" s="2266">
        <v>3530156</v>
      </c>
      <c r="J2043" s="2266">
        <v>0.46271197793026936</v>
      </c>
      <c r="K2043" s="2266">
        <v>2064882.7405043703</v>
      </c>
      <c r="L2043" s="2266">
        <v>2064882.7405043703</v>
      </c>
      <c r="M2043" s="2266">
        <v>599</v>
      </c>
    </row>
    <row r="2044" spans="1:13" ht="15">
      <c r="A2044" s="2266" t="s">
        <v>4363</v>
      </c>
      <c r="B2044" s="2465" t="str">
        <f>CONCATENATE(LEFT(RIGHT(CONCATENATE("000",IFAData_TEA_1617!A2044),6),3),"-",(RIGHT(RIGHT(CONCATENATE("000",IFAData_TEA_1617!A2044),6),3)))</f>
        <v>220-916</v>
      </c>
      <c r="C2044" s="2266" t="s">
        <v>1439</v>
      </c>
      <c r="D2044" s="2266">
        <v>2</v>
      </c>
      <c r="E2044" s="2266">
        <v>1920</v>
      </c>
      <c r="F2044" s="2266" t="s">
        <v>6237</v>
      </c>
      <c r="G2044" s="2266" t="s">
        <v>7058</v>
      </c>
      <c r="H2044" s="2266">
        <v>4462566</v>
      </c>
      <c r="I2044" s="2266">
        <v>3567390</v>
      </c>
      <c r="J2044" s="2266">
        <v>0.46759239052004037</v>
      </c>
      <c r="K2044" s="2266">
        <v>2086661.9037934544</v>
      </c>
      <c r="L2044" s="2266">
        <v>2086661.9037934544</v>
      </c>
      <c r="M2044" s="2266">
        <v>599</v>
      </c>
    </row>
    <row r="2045" spans="1:13" ht="15">
      <c r="A2045" s="2266" t="s">
        <v>4364</v>
      </c>
      <c r="B2045" s="2465" t="str">
        <f>CONCATENATE(LEFT(RIGHT(CONCATENATE("000",IFAData_TEA_1617!A2045),6),3),"-",(RIGHT(RIGHT(CONCATENATE("000",IFAData_TEA_1617!A2045),6),3)))</f>
        <v>220-917</v>
      </c>
      <c r="C2045" s="2266" t="s">
        <v>732</v>
      </c>
      <c r="D2045" s="2266">
        <v>5</v>
      </c>
      <c r="E2045" s="2266">
        <v>1668</v>
      </c>
      <c r="F2045" s="2266" t="s">
        <v>6240</v>
      </c>
      <c r="G2045" s="2266" t="s">
        <v>6240</v>
      </c>
      <c r="H2045" s="2266">
        <v>711722</v>
      </c>
      <c r="I2045" s="2266">
        <v>0</v>
      </c>
      <c r="J2045" s="2266">
        <v>0</v>
      </c>
      <c r="K2045" s="2266">
        <v>0</v>
      </c>
      <c r="L2045" s="2266">
        <v>0</v>
      </c>
      <c r="M2045" s="2266">
        <v>199</v>
      </c>
    </row>
    <row r="2046" spans="1:13" ht="15">
      <c r="A2046" s="2266" t="s">
        <v>4364</v>
      </c>
      <c r="B2046" s="2465" t="str">
        <f>CONCATENATE(LEFT(RIGHT(CONCATENATE("000",IFAData_TEA_1617!A2046),6),3),"-",(RIGHT(RIGHT(CONCATENATE("000",IFAData_TEA_1617!A2046),6),3)))</f>
        <v>220-917</v>
      </c>
      <c r="C2046" s="2266" t="s">
        <v>732</v>
      </c>
      <c r="D2046" s="2266">
        <v>5</v>
      </c>
      <c r="E2046" s="2266">
        <v>1668</v>
      </c>
      <c r="F2046" s="2266" t="s">
        <v>6240</v>
      </c>
      <c r="G2046" s="2266" t="s">
        <v>6241</v>
      </c>
      <c r="H2046" s="2266">
        <v>711722</v>
      </c>
      <c r="I2046" s="2266">
        <v>0</v>
      </c>
      <c r="J2046" s="2266">
        <v>0</v>
      </c>
      <c r="K2046" s="2266">
        <v>0</v>
      </c>
      <c r="L2046" s="2266">
        <v>0</v>
      </c>
      <c r="M2046" s="2266">
        <v>599</v>
      </c>
    </row>
    <row r="2047" spans="1:13" ht="15">
      <c r="A2047" s="2266" t="s">
        <v>4364</v>
      </c>
      <c r="B2047" s="2465" t="str">
        <f>CONCATENATE(LEFT(RIGHT(CONCATENATE("000",IFAData_TEA_1617!A2047),6),3),"-",(RIGHT(RIGHT(CONCATENATE("000",IFAData_TEA_1617!A2047),6),3)))</f>
        <v>220-917</v>
      </c>
      <c r="C2047" s="2266" t="s">
        <v>732</v>
      </c>
      <c r="D2047" s="2266">
        <v>5</v>
      </c>
      <c r="E2047" s="2266">
        <v>1668</v>
      </c>
      <c r="F2047" s="2266" t="s">
        <v>6240</v>
      </c>
      <c r="G2047" s="2266" t="s">
        <v>6242</v>
      </c>
      <c r="H2047" s="2266">
        <v>711722</v>
      </c>
      <c r="I2047" s="2266">
        <v>574106</v>
      </c>
      <c r="J2047" s="2266">
        <v>1</v>
      </c>
      <c r="K2047" s="2266">
        <v>711722</v>
      </c>
      <c r="L2047" s="2266">
        <v>574106</v>
      </c>
      <c r="M2047" s="2266">
        <v>599</v>
      </c>
    </row>
    <row r="2048" spans="1:13" ht="15">
      <c r="A2048" s="2266" t="s">
        <v>4364</v>
      </c>
      <c r="B2048" s="2465" t="str">
        <f>CONCATENATE(LEFT(RIGHT(CONCATENATE("000",IFAData_TEA_1617!A2048),6),3),"-",(RIGHT(RIGHT(CONCATENATE("000",IFAData_TEA_1617!A2048),6),3)))</f>
        <v>220-917</v>
      </c>
      <c r="C2048" s="2266" t="s">
        <v>732</v>
      </c>
      <c r="D2048" s="2266">
        <v>10</v>
      </c>
      <c r="E2048" s="2266">
        <v>1669</v>
      </c>
      <c r="F2048" s="2266" t="s">
        <v>6243</v>
      </c>
      <c r="G2048" s="2266" t="s">
        <v>6243</v>
      </c>
      <c r="H2048" s="2266">
        <v>843841</v>
      </c>
      <c r="I2048" s="2266">
        <v>1529000</v>
      </c>
      <c r="J2048" s="2266">
        <v>1</v>
      </c>
      <c r="K2048" s="2266">
        <v>843841</v>
      </c>
      <c r="L2048" s="2266">
        <v>843841</v>
      </c>
      <c r="M2048" s="2266">
        <v>599</v>
      </c>
    </row>
    <row r="2049" spans="1:13" ht="15">
      <c r="A2049" s="2266" t="s">
        <v>4365</v>
      </c>
      <c r="B2049" s="2465" t="str">
        <f>CONCATENATE(LEFT(RIGHT(CONCATENATE("000",IFAData_TEA_1617!A2049),6),3),"-",(RIGHT(RIGHT(CONCATENATE("000",IFAData_TEA_1617!A2049),6),3)))</f>
        <v>220-918</v>
      </c>
      <c r="C2049" s="2266" t="s">
        <v>1455</v>
      </c>
      <c r="D2049" s="2266">
        <v>10</v>
      </c>
      <c r="E2049" s="2266">
        <v>1772</v>
      </c>
      <c r="F2049" s="2266" t="s">
        <v>6244</v>
      </c>
      <c r="G2049" s="2266" t="s">
        <v>7059</v>
      </c>
      <c r="H2049" s="2266">
        <v>4072151</v>
      </c>
      <c r="I2049" s="2266">
        <v>0</v>
      </c>
      <c r="J2049" s="2266">
        <v>0</v>
      </c>
      <c r="K2049" s="2266">
        <v>0</v>
      </c>
      <c r="L2049" s="2266">
        <v>0</v>
      </c>
      <c r="M2049" s="2266">
        <v>599</v>
      </c>
    </row>
    <row r="2050" spans="1:13" ht="15">
      <c r="A2050" s="2266" t="s">
        <v>4365</v>
      </c>
      <c r="B2050" s="2465" t="str">
        <f>CONCATENATE(LEFT(RIGHT(CONCATENATE("000",IFAData_TEA_1617!A2050),6),3),"-",(RIGHT(RIGHT(CONCATENATE("000",IFAData_TEA_1617!A2050),6),3)))</f>
        <v>220-918</v>
      </c>
      <c r="C2050" s="2266" t="s">
        <v>1455</v>
      </c>
      <c r="D2050" s="2266">
        <v>10</v>
      </c>
      <c r="E2050" s="2266">
        <v>1772</v>
      </c>
      <c r="F2050" s="2266" t="s">
        <v>6244</v>
      </c>
      <c r="G2050" s="2266" t="s">
        <v>6244</v>
      </c>
      <c r="H2050" s="2266">
        <v>4072151</v>
      </c>
      <c r="I2050" s="2266">
        <v>4372737</v>
      </c>
      <c r="J2050" s="2266">
        <v>0.75291282697632134</v>
      </c>
      <c r="K2050" s="2266">
        <v>3065974.7212844538</v>
      </c>
      <c r="L2050" s="2266">
        <v>3065974.7212844538</v>
      </c>
      <c r="M2050" s="2266">
        <v>599</v>
      </c>
    </row>
    <row r="2051" spans="1:13" ht="15">
      <c r="A2051" s="2266" t="s">
        <v>4365</v>
      </c>
      <c r="B2051" s="2465" t="str">
        <f>CONCATENATE(LEFT(RIGHT(CONCATENATE("000",IFAData_TEA_1617!A2051),6),3),"-",(RIGHT(RIGHT(CONCATENATE("000",IFAData_TEA_1617!A2051),6),3)))</f>
        <v>220-918</v>
      </c>
      <c r="C2051" s="2266" t="s">
        <v>1455</v>
      </c>
      <c r="D2051" s="2266">
        <v>10</v>
      </c>
      <c r="E2051" s="2266">
        <v>1772</v>
      </c>
      <c r="F2051" s="2266" t="s">
        <v>6244</v>
      </c>
      <c r="G2051" s="2266" t="s">
        <v>7280</v>
      </c>
      <c r="H2051" s="2266">
        <v>4072151</v>
      </c>
      <c r="I2051" s="2266">
        <v>1435023</v>
      </c>
      <c r="J2051" s="2266">
        <v>0.24708717302367866</v>
      </c>
      <c r="K2051" s="2266">
        <v>1006176.2787155461</v>
      </c>
      <c r="L2051" s="2266">
        <v>1006176.2787155461</v>
      </c>
      <c r="M2051" s="2266">
        <v>599</v>
      </c>
    </row>
    <row r="2052" spans="1:13" ht="15">
      <c r="A2052" s="2266" t="s">
        <v>6245</v>
      </c>
      <c r="B2052" s="2465" t="str">
        <f>CONCATENATE(LEFT(RIGHT(CONCATENATE("000",IFAData_TEA_1617!A2052),6),3),"-",(RIGHT(RIGHT(CONCATENATE("000",IFAData_TEA_1617!A2052),6),3)))</f>
        <v>220-919</v>
      </c>
      <c r="C2052" s="2266" t="s">
        <v>731</v>
      </c>
      <c r="D2052" s="2266">
        <v>1</v>
      </c>
      <c r="E2052" s="2266">
        <v>1667</v>
      </c>
      <c r="F2052" s="2266" t="s">
        <v>6247</v>
      </c>
      <c r="G2052" s="2266" t="s">
        <v>6247</v>
      </c>
      <c r="H2052" s="2266">
        <v>693277</v>
      </c>
      <c r="I2052" s="2266">
        <v>197593</v>
      </c>
      <c r="J2052" s="2266">
        <v>1</v>
      </c>
      <c r="K2052" s="2266">
        <v>693277</v>
      </c>
      <c r="L2052" s="2266">
        <v>197593</v>
      </c>
      <c r="M2052" s="2266">
        <v>599</v>
      </c>
    </row>
    <row r="2053" spans="1:13" ht="15">
      <c r="A2053" s="2266" t="s">
        <v>6245</v>
      </c>
      <c r="B2053" s="2465" t="str">
        <f>CONCATENATE(LEFT(RIGHT(CONCATENATE("000",IFAData_TEA_1617!A2053),6),3),"-",(RIGHT(RIGHT(CONCATENATE("000",IFAData_TEA_1617!A2053),6),3)))</f>
        <v>220-919</v>
      </c>
      <c r="C2053" s="2266" t="s">
        <v>731</v>
      </c>
      <c r="D2053" s="2266">
        <v>1</v>
      </c>
      <c r="E2053" s="2266">
        <v>1666</v>
      </c>
      <c r="F2053" s="2266" t="s">
        <v>6246</v>
      </c>
      <c r="G2053" s="2266" t="s">
        <v>6246</v>
      </c>
      <c r="H2053" s="2266">
        <v>602473</v>
      </c>
      <c r="I2053" s="2266">
        <v>0</v>
      </c>
      <c r="J2053" s="2266">
        <v>0</v>
      </c>
      <c r="K2053" s="2266"/>
      <c r="L2053" s="2266">
        <v>0</v>
      </c>
      <c r="M2053" s="2266">
        <v>599</v>
      </c>
    </row>
    <row r="2054" spans="1:13" ht="15">
      <c r="A2054" s="2266" t="s">
        <v>4366</v>
      </c>
      <c r="B2054" s="2465" t="str">
        <f>CONCATENATE(LEFT(RIGHT(CONCATENATE("000",IFAData_TEA_1617!A2054),6),3),"-",(RIGHT(RIGHT(CONCATENATE("000",IFAData_TEA_1617!A2054),6),3)))</f>
        <v>220-920</v>
      </c>
      <c r="C2054" s="2266" t="s">
        <v>1509</v>
      </c>
      <c r="D2054" s="2266">
        <v>1</v>
      </c>
      <c r="E2054" s="2266">
        <v>2449</v>
      </c>
      <c r="F2054" s="2266" t="s">
        <v>6248</v>
      </c>
      <c r="G2054" s="2266" t="s">
        <v>6252</v>
      </c>
      <c r="H2054" s="2266">
        <v>729878</v>
      </c>
      <c r="I2054" s="2266">
        <v>5346</v>
      </c>
      <c r="J2054" s="2266">
        <v>5.7468607799863909E-3</v>
      </c>
      <c r="K2054" s="2266">
        <v>4194.5072523749068</v>
      </c>
      <c r="L2054" s="2266">
        <v>4194.5072523749068</v>
      </c>
      <c r="M2054" s="2266">
        <v>599</v>
      </c>
    </row>
    <row r="2055" spans="1:13" ht="15">
      <c r="A2055" s="2266" t="s">
        <v>4366</v>
      </c>
      <c r="B2055" s="2465" t="str">
        <f>CONCATENATE(LEFT(RIGHT(CONCATENATE("000",IFAData_TEA_1617!A2055),6),3),"-",(RIGHT(RIGHT(CONCATENATE("000",IFAData_TEA_1617!A2055),6),3)))</f>
        <v>220-920</v>
      </c>
      <c r="C2055" s="2266" t="s">
        <v>1509</v>
      </c>
      <c r="D2055" s="2266">
        <v>9</v>
      </c>
      <c r="E2055" s="2266">
        <v>2450</v>
      </c>
      <c r="F2055" s="2266" t="s">
        <v>6249</v>
      </c>
      <c r="G2055" s="2266" t="s">
        <v>6252</v>
      </c>
      <c r="H2055" s="2266">
        <v>1433532</v>
      </c>
      <c r="I2055" s="2266">
        <v>289</v>
      </c>
      <c r="J2055" s="2266">
        <v>3.9975599668575998E-4</v>
      </c>
      <c r="K2055" s="2266">
        <v>573.06301344093083</v>
      </c>
      <c r="L2055" s="2266">
        <v>289</v>
      </c>
      <c r="M2055" s="2266">
        <v>599</v>
      </c>
    </row>
    <row r="2056" spans="1:13" ht="15">
      <c r="A2056" s="2266" t="s">
        <v>4366</v>
      </c>
      <c r="B2056" s="2465" t="str">
        <f>CONCATENATE(LEFT(RIGHT(CONCATENATE("000",IFAData_TEA_1617!A2056),6),3),"-",(RIGHT(RIGHT(CONCATENATE("000",IFAData_TEA_1617!A2056),6),3)))</f>
        <v>220-920</v>
      </c>
      <c r="C2056" s="2266" t="s">
        <v>1509</v>
      </c>
      <c r="D2056" s="2266">
        <v>1</v>
      </c>
      <c r="E2056" s="2266">
        <v>2449</v>
      </c>
      <c r="F2056" s="2266" t="s">
        <v>6248</v>
      </c>
      <c r="G2056" s="2266" t="s">
        <v>6251</v>
      </c>
      <c r="H2056" s="2266">
        <v>729878</v>
      </c>
      <c r="I2056" s="2266">
        <v>621295</v>
      </c>
      <c r="J2056" s="2266">
        <v>0.66788175613573597</v>
      </c>
      <c r="K2056" s="2266">
        <v>487472.20040483872</v>
      </c>
      <c r="L2056" s="2266">
        <v>487472.20040483872</v>
      </c>
      <c r="M2056" s="2266">
        <v>599</v>
      </c>
    </row>
    <row r="2057" spans="1:13" ht="15">
      <c r="A2057" s="2266" t="s">
        <v>4366</v>
      </c>
      <c r="B2057" s="2465" t="str">
        <f>CONCATENATE(LEFT(RIGHT(CONCATENATE("000",IFAData_TEA_1617!A2057),6),3),"-",(RIGHT(RIGHT(CONCATENATE("000",IFAData_TEA_1617!A2057),6),3)))</f>
        <v>220-920</v>
      </c>
      <c r="C2057" s="2266" t="s">
        <v>1509</v>
      </c>
      <c r="D2057" s="2266">
        <v>9</v>
      </c>
      <c r="E2057" s="2266">
        <v>2450</v>
      </c>
      <c r="F2057" s="2266" t="s">
        <v>6249</v>
      </c>
      <c r="G2057" s="2266" t="s">
        <v>6251</v>
      </c>
      <c r="H2057" s="2266">
        <v>1433532</v>
      </c>
      <c r="I2057" s="2266">
        <v>519967</v>
      </c>
      <c r="J2057" s="2266">
        <v>0.71923849940728224</v>
      </c>
      <c r="K2057" s="2266">
        <v>1031051.4045323201</v>
      </c>
      <c r="L2057" s="2266">
        <v>519967</v>
      </c>
      <c r="M2057" s="2266">
        <v>599</v>
      </c>
    </row>
    <row r="2058" spans="1:13" ht="15">
      <c r="A2058" s="2266" t="s">
        <v>4366</v>
      </c>
      <c r="B2058" s="2465" t="str">
        <f>CONCATENATE(LEFT(RIGHT(CONCATENATE("000",IFAData_TEA_1617!A2058),6),3),"-",(RIGHT(RIGHT(CONCATENATE("000",IFAData_TEA_1617!A2058),6),3)))</f>
        <v>220-920</v>
      </c>
      <c r="C2058" s="2266" t="s">
        <v>1509</v>
      </c>
      <c r="D2058" s="2266">
        <v>9</v>
      </c>
      <c r="E2058" s="2266">
        <v>2450</v>
      </c>
      <c r="F2058" s="2266" t="s">
        <v>6249</v>
      </c>
      <c r="G2058" s="2266" t="s">
        <v>6249</v>
      </c>
      <c r="H2058" s="2266">
        <v>1433532</v>
      </c>
      <c r="I2058" s="2266">
        <v>0</v>
      </c>
      <c r="J2058" s="2266">
        <v>0</v>
      </c>
      <c r="K2058" s="2266">
        <v>0</v>
      </c>
      <c r="L2058" s="2266">
        <v>0</v>
      </c>
      <c r="M2058" s="2266">
        <v>599</v>
      </c>
    </row>
    <row r="2059" spans="1:13" ht="15">
      <c r="A2059" s="2266" t="s">
        <v>4366</v>
      </c>
      <c r="B2059" s="2465" t="str">
        <f>CONCATENATE(LEFT(RIGHT(CONCATENATE("000",IFAData_TEA_1617!A2059),6),3),"-",(RIGHT(RIGHT(CONCATENATE("000",IFAData_TEA_1617!A2059),6),3)))</f>
        <v>220-920</v>
      </c>
      <c r="C2059" s="2266" t="s">
        <v>1509</v>
      </c>
      <c r="D2059" s="2266">
        <v>1</v>
      </c>
      <c r="E2059" s="2266">
        <v>2449</v>
      </c>
      <c r="F2059" s="2266" t="s">
        <v>6248</v>
      </c>
      <c r="G2059" s="2266" t="s">
        <v>6249</v>
      </c>
      <c r="H2059" s="2266">
        <v>729878</v>
      </c>
      <c r="I2059" s="2266">
        <v>100485</v>
      </c>
      <c r="J2059" s="2266">
        <v>0.10801969799418865</v>
      </c>
      <c r="K2059" s="2266">
        <v>78841.201132602422</v>
      </c>
      <c r="L2059" s="2266">
        <v>78841.201132602422</v>
      </c>
      <c r="M2059" s="2266">
        <v>599</v>
      </c>
    </row>
    <row r="2060" spans="1:13" ht="15">
      <c r="A2060" s="2266" t="s">
        <v>4366</v>
      </c>
      <c r="B2060" s="2465" t="str">
        <f>CONCATENATE(LEFT(RIGHT(CONCATENATE("000",IFAData_TEA_1617!A2060),6),3),"-",(RIGHT(RIGHT(CONCATENATE("000",IFAData_TEA_1617!A2060),6),3)))</f>
        <v>220-920</v>
      </c>
      <c r="C2060" s="2266" t="s">
        <v>1509</v>
      </c>
      <c r="D2060" s="2266">
        <v>1</v>
      </c>
      <c r="E2060" s="2266">
        <v>2449</v>
      </c>
      <c r="F2060" s="2266" t="s">
        <v>6248</v>
      </c>
      <c r="G2060" s="2266" t="s">
        <v>7281</v>
      </c>
      <c r="H2060" s="2266">
        <v>729878</v>
      </c>
      <c r="I2060" s="2266">
        <v>18908</v>
      </c>
      <c r="J2060" s="2266">
        <v>2.0325784442196536E-2</v>
      </c>
      <c r="K2060" s="2266">
        <v>14835.342897101524</v>
      </c>
      <c r="L2060" s="2266">
        <v>14835.342897101524</v>
      </c>
      <c r="M2060" s="2266">
        <v>599</v>
      </c>
    </row>
    <row r="2061" spans="1:13" ht="15">
      <c r="A2061" s="2266" t="s">
        <v>4366</v>
      </c>
      <c r="B2061" s="2465" t="str">
        <f>CONCATENATE(LEFT(RIGHT(CONCATENATE("000",IFAData_TEA_1617!A2061),6),3),"-",(RIGHT(RIGHT(CONCATENATE("000",IFAData_TEA_1617!A2061),6),3)))</f>
        <v>220-920</v>
      </c>
      <c r="C2061" s="2266" t="s">
        <v>1509</v>
      </c>
      <c r="D2061" s="2266">
        <v>1</v>
      </c>
      <c r="E2061" s="2266">
        <v>2449</v>
      </c>
      <c r="F2061" s="2266" t="s">
        <v>6248</v>
      </c>
      <c r="G2061" s="2266" t="s">
        <v>6250</v>
      </c>
      <c r="H2061" s="2266">
        <v>729878</v>
      </c>
      <c r="I2061" s="2266">
        <v>93763</v>
      </c>
      <c r="J2061" s="2266">
        <v>0.10079366017842573</v>
      </c>
      <c r="K2061" s="2266">
        <v>73567.075103709009</v>
      </c>
      <c r="L2061" s="2266">
        <v>73567.075103709009</v>
      </c>
      <c r="M2061" s="2266">
        <v>599</v>
      </c>
    </row>
    <row r="2062" spans="1:13" ht="15">
      <c r="A2062" s="2266" t="s">
        <v>4366</v>
      </c>
      <c r="B2062" s="2465" t="str">
        <f>CONCATENATE(LEFT(RIGHT(CONCATENATE("000",IFAData_TEA_1617!A2062),6),3),"-",(RIGHT(RIGHT(CONCATENATE("000",IFAData_TEA_1617!A2062),6),3)))</f>
        <v>220-920</v>
      </c>
      <c r="C2062" s="2266" t="s">
        <v>1509</v>
      </c>
      <c r="D2062" s="2266">
        <v>1</v>
      </c>
      <c r="E2062" s="2266">
        <v>2449</v>
      </c>
      <c r="F2062" s="2266" t="s">
        <v>6248</v>
      </c>
      <c r="G2062" s="2266" t="s">
        <v>6248</v>
      </c>
      <c r="H2062" s="2266">
        <v>729878</v>
      </c>
      <c r="I2062" s="2266">
        <v>0</v>
      </c>
      <c r="J2062" s="2266">
        <v>0</v>
      </c>
      <c r="K2062" s="2266">
        <v>0</v>
      </c>
      <c r="L2062" s="2266">
        <v>0</v>
      </c>
      <c r="M2062" s="2266">
        <v>599</v>
      </c>
    </row>
    <row r="2063" spans="1:13" ht="15">
      <c r="A2063" s="2266" t="s">
        <v>4366</v>
      </c>
      <c r="B2063" s="2465" t="str">
        <f>CONCATENATE(LEFT(RIGHT(CONCATENATE("000",IFAData_TEA_1617!A2063),6),3),"-",(RIGHT(RIGHT(CONCATENATE("000",IFAData_TEA_1617!A2063),6),3)))</f>
        <v>220-920</v>
      </c>
      <c r="C2063" s="2266" t="s">
        <v>1509</v>
      </c>
      <c r="D2063" s="2266">
        <v>1</v>
      </c>
      <c r="E2063" s="2266">
        <v>2449</v>
      </c>
      <c r="F2063" s="2266" t="s">
        <v>6248</v>
      </c>
      <c r="G2063" s="2266" t="s">
        <v>7060</v>
      </c>
      <c r="H2063" s="2266">
        <v>729878</v>
      </c>
      <c r="I2063" s="2266">
        <v>25494</v>
      </c>
      <c r="J2063" s="2266">
        <v>2.7405624527679209E-2</v>
      </c>
      <c r="K2063" s="2266">
        <v>20002.762419013445</v>
      </c>
      <c r="L2063" s="2266">
        <v>20002.762419013445</v>
      </c>
      <c r="M2063" s="2266">
        <v>599</v>
      </c>
    </row>
    <row r="2064" spans="1:13" ht="15">
      <c r="A2064" s="2266" t="s">
        <v>4366</v>
      </c>
      <c r="B2064" s="2465" t="str">
        <f>CONCATENATE(LEFT(RIGHT(CONCATENATE("000",IFAData_TEA_1617!A2064),6),3),"-",(RIGHT(RIGHT(CONCATENATE("000",IFAData_TEA_1617!A2064),6),3)))</f>
        <v>220-920</v>
      </c>
      <c r="C2064" s="2266" t="s">
        <v>1509</v>
      </c>
      <c r="D2064" s="2266">
        <v>9</v>
      </c>
      <c r="E2064" s="2266">
        <v>2450</v>
      </c>
      <c r="F2064" s="2266" t="s">
        <v>6249</v>
      </c>
      <c r="G2064" s="2266" t="s">
        <v>7060</v>
      </c>
      <c r="H2064" s="2266">
        <v>1433532</v>
      </c>
      <c r="I2064" s="2266">
        <v>202685</v>
      </c>
      <c r="J2064" s="2266">
        <v>0.28036174459603203</v>
      </c>
      <c r="K2064" s="2266">
        <v>401907.53245423897</v>
      </c>
      <c r="L2064" s="2266">
        <v>202685</v>
      </c>
      <c r="M2064" s="2266">
        <v>599</v>
      </c>
    </row>
    <row r="2065" spans="1:13" ht="15">
      <c r="A2065" s="2266" t="s">
        <v>4366</v>
      </c>
      <c r="B2065" s="2465" t="str">
        <f>CONCATENATE(LEFT(RIGHT(CONCATENATE("000",IFAData_TEA_1617!A2065),6),3),"-",(RIGHT(RIGHT(CONCATENATE("000",IFAData_TEA_1617!A2065),6),3)))</f>
        <v>220-920</v>
      </c>
      <c r="C2065" s="2266" t="s">
        <v>1509</v>
      </c>
      <c r="D2065" s="2266">
        <v>1</v>
      </c>
      <c r="E2065" s="2266">
        <v>2449</v>
      </c>
      <c r="F2065" s="2266" t="s">
        <v>6248</v>
      </c>
      <c r="G2065" s="2266" t="s">
        <v>7061</v>
      </c>
      <c r="H2065" s="2266">
        <v>729878</v>
      </c>
      <c r="I2065" s="2266">
        <v>64956</v>
      </c>
      <c r="J2065" s="2266">
        <v>6.9826615941787504E-2</v>
      </c>
      <c r="K2065" s="2266">
        <v>50964.91079035998</v>
      </c>
      <c r="L2065" s="2266">
        <v>50964.91079035998</v>
      </c>
      <c r="M2065" s="2266">
        <v>599</v>
      </c>
    </row>
    <row r="2066" spans="1:13" ht="15">
      <c r="A2066" s="2266" t="s">
        <v>4367</v>
      </c>
      <c r="B2066" s="2465" t="str">
        <f>CONCATENATE(LEFT(RIGHT(CONCATENATE("000",IFAData_TEA_1617!A2066),6),3),"-",(RIGHT(RIGHT(CONCATENATE("000",IFAData_TEA_1617!A2066),6),3)))</f>
        <v>223-902</v>
      </c>
      <c r="C2066" s="2266" t="s">
        <v>930</v>
      </c>
      <c r="D2066" s="2266">
        <v>5</v>
      </c>
      <c r="E2066" s="2266">
        <v>2084</v>
      </c>
      <c r="F2066" s="2266" t="s">
        <v>6253</v>
      </c>
      <c r="G2066" s="2266" t="s">
        <v>6253</v>
      </c>
      <c r="H2066" s="2266">
        <v>100000</v>
      </c>
      <c r="I2066" s="2266">
        <v>0</v>
      </c>
      <c r="J2066" s="2266">
        <v>0</v>
      </c>
      <c r="K2066" s="2266">
        <v>0</v>
      </c>
      <c r="L2066" s="2266">
        <v>0</v>
      </c>
      <c r="M2066" s="2266">
        <v>599</v>
      </c>
    </row>
    <row r="2067" spans="1:13" ht="15">
      <c r="A2067" s="2266" t="s">
        <v>4367</v>
      </c>
      <c r="B2067" s="2465" t="str">
        <f>CONCATENATE(LEFT(RIGHT(CONCATENATE("000",IFAData_TEA_1617!A2067),6),3),"-",(RIGHT(RIGHT(CONCATENATE("000",IFAData_TEA_1617!A2067),6),3)))</f>
        <v>223-902</v>
      </c>
      <c r="C2067" s="2266" t="s">
        <v>930</v>
      </c>
      <c r="D2067" s="2266">
        <v>5</v>
      </c>
      <c r="E2067" s="2266">
        <v>2084</v>
      </c>
      <c r="F2067" s="2266" t="s">
        <v>6253</v>
      </c>
      <c r="G2067" s="2266" t="s">
        <v>6254</v>
      </c>
      <c r="H2067" s="2266">
        <v>100000</v>
      </c>
      <c r="I2067" s="2266">
        <v>87350</v>
      </c>
      <c r="J2067" s="2266">
        <v>1</v>
      </c>
      <c r="K2067" s="2266">
        <v>100000</v>
      </c>
      <c r="L2067" s="2266">
        <v>87350</v>
      </c>
      <c r="M2067" s="2266">
        <v>599</v>
      </c>
    </row>
    <row r="2068" spans="1:13" ht="15">
      <c r="A2068" s="2266" t="s">
        <v>4368</v>
      </c>
      <c r="B2068" s="2465" t="str">
        <f>CONCATENATE(LEFT(RIGHT(CONCATENATE("000",IFAData_TEA_1617!A2068),6),3),"-",(RIGHT(RIGHT(CONCATENATE("000",IFAData_TEA_1617!A2068),6),3)))</f>
        <v>225-906</v>
      </c>
      <c r="C2068" s="2266" t="s">
        <v>735</v>
      </c>
      <c r="D2068" s="2266">
        <v>8</v>
      </c>
      <c r="E2068" s="2266">
        <v>1679</v>
      </c>
      <c r="F2068" s="2266" t="s">
        <v>6257</v>
      </c>
      <c r="G2068" s="2266" t="s">
        <v>6257</v>
      </c>
      <c r="H2068" s="2266">
        <v>163986</v>
      </c>
      <c r="I2068" s="2266">
        <v>0</v>
      </c>
      <c r="J2068" s="2266">
        <v>0</v>
      </c>
      <c r="K2068" s="2266">
        <v>0</v>
      </c>
      <c r="L2068" s="2266">
        <v>0</v>
      </c>
      <c r="M2068" s="2266">
        <v>599</v>
      </c>
    </row>
    <row r="2069" spans="1:13" ht="15">
      <c r="A2069" s="2266" t="s">
        <v>4368</v>
      </c>
      <c r="B2069" s="2465" t="str">
        <f>CONCATENATE(LEFT(RIGHT(CONCATENATE("000",IFAData_TEA_1617!A2069),6),3),"-",(RIGHT(RIGHT(CONCATENATE("000",IFAData_TEA_1617!A2069),6),3)))</f>
        <v>225-906</v>
      </c>
      <c r="C2069" s="2266" t="s">
        <v>735</v>
      </c>
      <c r="D2069" s="2266">
        <v>6</v>
      </c>
      <c r="E2069" s="2266">
        <v>1680</v>
      </c>
      <c r="F2069" s="2266" t="s">
        <v>6255</v>
      </c>
      <c r="G2069" s="2266" t="s">
        <v>6256</v>
      </c>
      <c r="H2069" s="2266">
        <v>178703</v>
      </c>
      <c r="I2069" s="2266">
        <v>164810</v>
      </c>
      <c r="J2069" s="2266">
        <v>1</v>
      </c>
      <c r="K2069" s="2266">
        <v>178703</v>
      </c>
      <c r="L2069" s="2266">
        <v>164810</v>
      </c>
      <c r="M2069" s="2266">
        <v>599</v>
      </c>
    </row>
    <row r="2070" spans="1:13" ht="15">
      <c r="A2070" s="2266" t="s">
        <v>4368</v>
      </c>
      <c r="B2070" s="2465" t="str">
        <f>CONCATENATE(LEFT(RIGHT(CONCATENATE("000",IFAData_TEA_1617!A2070),6),3),"-",(RIGHT(RIGHT(CONCATENATE("000",IFAData_TEA_1617!A2070),6),3)))</f>
        <v>225-906</v>
      </c>
      <c r="C2070" s="2266" t="s">
        <v>735</v>
      </c>
      <c r="D2070" s="2266">
        <v>6</v>
      </c>
      <c r="E2070" s="2266">
        <v>1680</v>
      </c>
      <c r="F2070" s="2266" t="s">
        <v>6255</v>
      </c>
      <c r="G2070" s="2266" t="s">
        <v>6255</v>
      </c>
      <c r="H2070" s="2266">
        <v>178703</v>
      </c>
      <c r="I2070" s="2266">
        <v>0</v>
      </c>
      <c r="J2070" s="2266">
        <v>0</v>
      </c>
      <c r="K2070" s="2266">
        <v>0</v>
      </c>
      <c r="L2070" s="2266">
        <v>0</v>
      </c>
      <c r="M2070" s="2266">
        <v>599</v>
      </c>
    </row>
    <row r="2071" spans="1:13" ht="15">
      <c r="A2071" s="2266" t="s">
        <v>4368</v>
      </c>
      <c r="B2071" s="2465" t="str">
        <f>CONCATENATE(LEFT(RIGHT(CONCATENATE("000",IFAData_TEA_1617!A2071),6),3),"-",(RIGHT(RIGHT(CONCATENATE("000",IFAData_TEA_1617!A2071),6),3)))</f>
        <v>225-906</v>
      </c>
      <c r="C2071" s="2266" t="s">
        <v>735</v>
      </c>
      <c r="D2071" s="2266">
        <v>8</v>
      </c>
      <c r="E2071" s="2266">
        <v>1679</v>
      </c>
      <c r="F2071" s="2266" t="s">
        <v>6257</v>
      </c>
      <c r="G2071" s="2266" t="s">
        <v>7282</v>
      </c>
      <c r="H2071" s="2266">
        <v>163986</v>
      </c>
      <c r="I2071" s="2266">
        <v>128100</v>
      </c>
      <c r="J2071" s="2266">
        <v>1</v>
      </c>
      <c r="K2071" s="2266">
        <v>163986</v>
      </c>
      <c r="L2071" s="2266">
        <v>128100</v>
      </c>
      <c r="M2071" s="2266">
        <v>599</v>
      </c>
    </row>
    <row r="2072" spans="1:13" ht="15">
      <c r="A2072" s="2266" t="s">
        <v>4369</v>
      </c>
      <c r="B2072" s="2465" t="str">
        <f>CONCATENATE(LEFT(RIGHT(CONCATENATE("000",IFAData_TEA_1617!A2072),6),3),"-",(RIGHT(RIGHT(CONCATENATE("000",IFAData_TEA_1617!A2072),6),3)))</f>
        <v>226-903</v>
      </c>
      <c r="C2072" s="2266" t="s">
        <v>2307</v>
      </c>
      <c r="D2072" s="2266">
        <v>1</v>
      </c>
      <c r="E2072" s="2266">
        <v>2277</v>
      </c>
      <c r="F2072" s="2266" t="s">
        <v>6260</v>
      </c>
      <c r="G2072" s="2266" t="s">
        <v>7062</v>
      </c>
      <c r="H2072" s="2266">
        <v>726000</v>
      </c>
      <c r="I2072" s="2266">
        <v>666075</v>
      </c>
      <c r="J2072" s="2266">
        <v>1</v>
      </c>
      <c r="K2072" s="2266">
        <v>726000</v>
      </c>
      <c r="L2072" s="2266">
        <v>666075</v>
      </c>
      <c r="M2072" s="2266">
        <v>599</v>
      </c>
    </row>
    <row r="2073" spans="1:13" ht="15">
      <c r="A2073" s="2266" t="s">
        <v>4369</v>
      </c>
      <c r="B2073" s="2465" t="str">
        <f>CONCATENATE(LEFT(RIGHT(CONCATENATE("000",IFAData_TEA_1617!A2073),6),3),"-",(RIGHT(RIGHT(CONCATENATE("000",IFAData_TEA_1617!A2073),6),3)))</f>
        <v>226-903</v>
      </c>
      <c r="C2073" s="2266" t="s">
        <v>2307</v>
      </c>
      <c r="D2073" s="2266">
        <v>10</v>
      </c>
      <c r="E2073" s="2266">
        <v>2279</v>
      </c>
      <c r="F2073" s="2266" t="s">
        <v>6262</v>
      </c>
      <c r="G2073" s="2266" t="s">
        <v>7063</v>
      </c>
      <c r="H2073" s="2266">
        <v>3492500</v>
      </c>
      <c r="I2073" s="2266">
        <v>4510400</v>
      </c>
      <c r="J2073" s="2266">
        <v>0.55784500457614961</v>
      </c>
      <c r="K2073" s="2266">
        <v>1948273.6784822026</v>
      </c>
      <c r="L2073" s="2266">
        <v>1948273.6784822026</v>
      </c>
      <c r="M2073" s="2266">
        <v>599</v>
      </c>
    </row>
    <row r="2074" spans="1:13" ht="15">
      <c r="A2074" s="2266" t="s">
        <v>4369</v>
      </c>
      <c r="B2074" s="2465" t="str">
        <f>CONCATENATE(LEFT(RIGHT(CONCATENATE("000",IFAData_TEA_1617!A2074),6),3),"-",(RIGHT(RIGHT(CONCATENATE("000",IFAData_TEA_1617!A2074),6),3)))</f>
        <v>226-903</v>
      </c>
      <c r="C2074" s="2266" t="s">
        <v>2307</v>
      </c>
      <c r="D2074" s="2266">
        <v>1</v>
      </c>
      <c r="E2074" s="2266">
        <v>2277</v>
      </c>
      <c r="F2074" s="2266" t="s">
        <v>6260</v>
      </c>
      <c r="G2074" s="2266" t="s">
        <v>6260</v>
      </c>
      <c r="H2074" s="2266">
        <v>726000</v>
      </c>
      <c r="I2074" s="2266">
        <v>0</v>
      </c>
      <c r="J2074" s="2266">
        <v>0</v>
      </c>
      <c r="K2074" s="2266">
        <v>0</v>
      </c>
      <c r="L2074" s="2266">
        <v>0</v>
      </c>
      <c r="M2074" s="2266">
        <v>599</v>
      </c>
    </row>
    <row r="2075" spans="1:13" ht="15">
      <c r="A2075" s="2266" t="s">
        <v>4369</v>
      </c>
      <c r="B2075" s="2465" t="str">
        <f>CONCATENATE(LEFT(RIGHT(CONCATENATE("000",IFAData_TEA_1617!A2075),6),3),"-",(RIGHT(RIGHT(CONCATENATE("000",IFAData_TEA_1617!A2075),6),3)))</f>
        <v>226-903</v>
      </c>
      <c r="C2075" s="2266" t="s">
        <v>2307</v>
      </c>
      <c r="D2075" s="2266">
        <v>1</v>
      </c>
      <c r="E2075" s="2266">
        <v>2278</v>
      </c>
      <c r="F2075" s="2266" t="s">
        <v>6258</v>
      </c>
      <c r="G2075" s="2266" t="s">
        <v>6258</v>
      </c>
      <c r="H2075" s="2266">
        <v>1247036</v>
      </c>
      <c r="I2075" s="2266">
        <v>0</v>
      </c>
      <c r="J2075" s="2266">
        <v>0</v>
      </c>
      <c r="K2075" s="2266">
        <v>0</v>
      </c>
      <c r="L2075" s="2266">
        <v>0</v>
      </c>
      <c r="M2075" s="2266">
        <v>599</v>
      </c>
    </row>
    <row r="2076" spans="1:13" ht="15">
      <c r="A2076" s="2266" t="s">
        <v>4369</v>
      </c>
      <c r="B2076" s="2465" t="str">
        <f>CONCATENATE(LEFT(RIGHT(CONCATENATE("000",IFAData_TEA_1617!A2076),6),3),"-",(RIGHT(RIGHT(CONCATENATE("000",IFAData_TEA_1617!A2076),6),3)))</f>
        <v>226-903</v>
      </c>
      <c r="C2076" s="2266" t="s">
        <v>2307</v>
      </c>
      <c r="D2076" s="2266">
        <v>1</v>
      </c>
      <c r="E2076" s="2266">
        <v>2277</v>
      </c>
      <c r="F2076" s="2266" t="s">
        <v>6260</v>
      </c>
      <c r="G2076" s="2266" t="s">
        <v>6261</v>
      </c>
      <c r="H2076" s="2266">
        <v>726000</v>
      </c>
      <c r="I2076" s="2266">
        <v>0</v>
      </c>
      <c r="J2076" s="2266">
        <v>0</v>
      </c>
      <c r="K2076" s="2266">
        <v>0</v>
      </c>
      <c r="L2076" s="2266">
        <v>0</v>
      </c>
      <c r="M2076" s="2266">
        <v>599</v>
      </c>
    </row>
    <row r="2077" spans="1:13" ht="15">
      <c r="A2077" s="2266" t="s">
        <v>4369</v>
      </c>
      <c r="B2077" s="2465" t="str">
        <f>CONCATENATE(LEFT(RIGHT(CONCATENATE("000",IFAData_TEA_1617!A2077),6),3),"-",(RIGHT(RIGHT(CONCATENATE("000",IFAData_TEA_1617!A2077),6),3)))</f>
        <v>226-903</v>
      </c>
      <c r="C2077" s="2266" t="s">
        <v>2307</v>
      </c>
      <c r="D2077" s="2266">
        <v>1</v>
      </c>
      <c r="E2077" s="2266">
        <v>2278</v>
      </c>
      <c r="F2077" s="2266" t="s">
        <v>6258</v>
      </c>
      <c r="G2077" s="2266" t="s">
        <v>6259</v>
      </c>
      <c r="H2077" s="2266">
        <v>1247036</v>
      </c>
      <c r="I2077" s="2266">
        <v>600325</v>
      </c>
      <c r="J2077" s="2266">
        <v>1</v>
      </c>
      <c r="K2077" s="2266">
        <v>1247036</v>
      </c>
      <c r="L2077" s="2266">
        <v>600325</v>
      </c>
      <c r="M2077" s="2266">
        <v>599</v>
      </c>
    </row>
    <row r="2078" spans="1:13" ht="15">
      <c r="A2078" s="2266" t="s">
        <v>4369</v>
      </c>
      <c r="B2078" s="2465" t="str">
        <f>CONCATENATE(LEFT(RIGHT(CONCATENATE("000",IFAData_TEA_1617!A2078),6),3),"-",(RIGHT(RIGHT(CONCATENATE("000",IFAData_TEA_1617!A2078),6),3)))</f>
        <v>226-903</v>
      </c>
      <c r="C2078" s="2266" t="s">
        <v>2307</v>
      </c>
      <c r="D2078" s="2266">
        <v>10</v>
      </c>
      <c r="E2078" s="2266">
        <v>2279</v>
      </c>
      <c r="F2078" s="2266" t="s">
        <v>6262</v>
      </c>
      <c r="G2078" s="2266" t="s">
        <v>6262</v>
      </c>
      <c r="H2078" s="2266">
        <v>3492500</v>
      </c>
      <c r="I2078" s="2266">
        <v>3575000</v>
      </c>
      <c r="J2078" s="2266">
        <v>0.44215499542385039</v>
      </c>
      <c r="K2078" s="2266">
        <v>1544226.3215177974</v>
      </c>
      <c r="L2078" s="2266">
        <v>1544226.3215177974</v>
      </c>
      <c r="M2078" s="2266">
        <v>599</v>
      </c>
    </row>
    <row r="2079" spans="1:13" ht="15">
      <c r="A2079" s="2266" t="s">
        <v>4370</v>
      </c>
      <c r="B2079" s="2465" t="str">
        <f>CONCATENATE(LEFT(RIGHT(CONCATENATE("000",IFAData_TEA_1617!A2079),6),3),"-",(RIGHT(RIGHT(CONCATENATE("000",IFAData_TEA_1617!A2079),6),3)))</f>
        <v>226-906</v>
      </c>
      <c r="C2079" s="2266" t="s">
        <v>158</v>
      </c>
      <c r="D2079" s="2266">
        <v>1</v>
      </c>
      <c r="E2079" s="2266">
        <v>2432</v>
      </c>
      <c r="F2079" s="2266" t="s">
        <v>6263</v>
      </c>
      <c r="G2079" s="2266" t="s">
        <v>7064</v>
      </c>
      <c r="H2079" s="2266">
        <v>216359</v>
      </c>
      <c r="I2079" s="2266">
        <v>198225</v>
      </c>
      <c r="J2079" s="2266">
        <v>1</v>
      </c>
      <c r="K2079" s="2266">
        <v>216359</v>
      </c>
      <c r="L2079" s="2266">
        <v>198225</v>
      </c>
      <c r="M2079" s="2266">
        <v>599</v>
      </c>
    </row>
    <row r="2080" spans="1:13" ht="15">
      <c r="A2080" s="2266" t="s">
        <v>4370</v>
      </c>
      <c r="B2080" s="2465" t="str">
        <f>CONCATENATE(LEFT(RIGHT(CONCATENATE("000",IFAData_TEA_1617!A2080),6),3),"-",(RIGHT(RIGHT(CONCATENATE("000",IFAData_TEA_1617!A2080),6),3)))</f>
        <v>226-906</v>
      </c>
      <c r="C2080" s="2266" t="s">
        <v>158</v>
      </c>
      <c r="D2080" s="2266">
        <v>1</v>
      </c>
      <c r="E2080" s="2266">
        <v>2432</v>
      </c>
      <c r="F2080" s="2266" t="s">
        <v>6263</v>
      </c>
      <c r="G2080" s="2266" t="s">
        <v>6264</v>
      </c>
      <c r="H2080" s="2266">
        <v>216359</v>
      </c>
      <c r="I2080" s="2266">
        <v>0</v>
      </c>
      <c r="J2080" s="2266">
        <v>0</v>
      </c>
      <c r="K2080" s="2266">
        <v>0</v>
      </c>
      <c r="L2080" s="2266">
        <v>0</v>
      </c>
      <c r="M2080" s="2266">
        <v>599</v>
      </c>
    </row>
    <row r="2081" spans="1:13" ht="15">
      <c r="A2081" s="2266" t="s">
        <v>4370</v>
      </c>
      <c r="B2081" s="2465" t="str">
        <f>CONCATENATE(LEFT(RIGHT(CONCATENATE("000",IFAData_TEA_1617!A2081),6),3),"-",(RIGHT(RIGHT(CONCATENATE("000",IFAData_TEA_1617!A2081),6),3)))</f>
        <v>226-906</v>
      </c>
      <c r="C2081" s="2266" t="s">
        <v>158</v>
      </c>
      <c r="D2081" s="2266">
        <v>1</v>
      </c>
      <c r="E2081" s="2266">
        <v>2432</v>
      </c>
      <c r="F2081" s="2266" t="s">
        <v>6263</v>
      </c>
      <c r="G2081" s="2266" t="s">
        <v>6263</v>
      </c>
      <c r="H2081" s="2266">
        <v>216359</v>
      </c>
      <c r="I2081" s="2266">
        <v>0</v>
      </c>
      <c r="J2081" s="2266">
        <v>0</v>
      </c>
      <c r="K2081" s="2266">
        <v>0</v>
      </c>
      <c r="L2081" s="2266">
        <v>0</v>
      </c>
      <c r="M2081" s="2266">
        <v>599</v>
      </c>
    </row>
    <row r="2082" spans="1:13" ht="15">
      <c r="A2082" s="2266" t="s">
        <v>4371</v>
      </c>
      <c r="B2082" s="2465" t="str">
        <f>CONCATENATE(LEFT(RIGHT(CONCATENATE("000",IFAData_TEA_1617!A2082),6),3),"-",(RIGHT(RIGHT(CONCATENATE("000",IFAData_TEA_1617!A2082),6),3)))</f>
        <v>226-907</v>
      </c>
      <c r="C2082" s="2266" t="s">
        <v>1947</v>
      </c>
      <c r="D2082" s="2266">
        <v>4</v>
      </c>
      <c r="E2082" s="2266">
        <v>1860</v>
      </c>
      <c r="F2082" s="2266" t="s">
        <v>6265</v>
      </c>
      <c r="G2082" s="2266" t="s">
        <v>6265</v>
      </c>
      <c r="H2082" s="2266">
        <v>498900</v>
      </c>
      <c r="I2082" s="2266">
        <v>0</v>
      </c>
      <c r="J2082" s="2266">
        <v>0</v>
      </c>
      <c r="K2082" s="2266">
        <v>0</v>
      </c>
      <c r="L2082" s="2266">
        <v>0</v>
      </c>
      <c r="M2082" s="2266">
        <v>599</v>
      </c>
    </row>
    <row r="2083" spans="1:13" ht="15">
      <c r="A2083" s="2266" t="s">
        <v>4371</v>
      </c>
      <c r="B2083" s="2465" t="str">
        <f>CONCATENATE(LEFT(RIGHT(CONCATENATE("000",IFAData_TEA_1617!A2083),6),3),"-",(RIGHT(RIGHT(CONCATENATE("000",IFAData_TEA_1617!A2083),6),3)))</f>
        <v>226-907</v>
      </c>
      <c r="C2083" s="2266" t="s">
        <v>1947</v>
      </c>
      <c r="D2083" s="2266">
        <v>4</v>
      </c>
      <c r="E2083" s="2266">
        <v>1860</v>
      </c>
      <c r="F2083" s="2266" t="s">
        <v>6265</v>
      </c>
      <c r="G2083" s="2266" t="s">
        <v>6266</v>
      </c>
      <c r="H2083" s="2266">
        <v>498900</v>
      </c>
      <c r="I2083" s="2266">
        <v>656325</v>
      </c>
      <c r="J2083" s="2266">
        <v>1</v>
      </c>
      <c r="K2083" s="2266">
        <v>498900</v>
      </c>
      <c r="L2083" s="2266">
        <v>498900</v>
      </c>
      <c r="M2083" s="2266">
        <v>599</v>
      </c>
    </row>
    <row r="2084" spans="1:13" ht="15">
      <c r="A2084" s="2266" t="s">
        <v>4372</v>
      </c>
      <c r="B2084" s="2465" t="str">
        <f>CONCATENATE(LEFT(RIGHT(CONCATENATE("000",IFAData_TEA_1617!A2084),6),3),"-",(RIGHT(RIGHT(CONCATENATE("000",IFAData_TEA_1617!A2084),6),3)))</f>
        <v>226-908</v>
      </c>
      <c r="C2084" s="2266" t="s">
        <v>3041</v>
      </c>
      <c r="D2084" s="2266">
        <v>5</v>
      </c>
      <c r="E2084" s="2266">
        <v>2425</v>
      </c>
      <c r="F2084" s="2266" t="s">
        <v>6267</v>
      </c>
      <c r="G2084" s="2266" t="s">
        <v>6267</v>
      </c>
      <c r="H2084" s="2266">
        <v>100000</v>
      </c>
      <c r="I2084" s="2266">
        <v>0</v>
      </c>
      <c r="J2084" s="2266">
        <v>0</v>
      </c>
      <c r="K2084" s="2266">
        <v>0</v>
      </c>
      <c r="L2084" s="2266">
        <v>0</v>
      </c>
      <c r="M2084" s="2266">
        <v>599</v>
      </c>
    </row>
    <row r="2085" spans="1:13" ht="15">
      <c r="A2085" s="2266" t="s">
        <v>4372</v>
      </c>
      <c r="B2085" s="2465" t="str">
        <f>CONCATENATE(LEFT(RIGHT(CONCATENATE("000",IFAData_TEA_1617!A2085),6),3),"-",(RIGHT(RIGHT(CONCATENATE("000",IFAData_TEA_1617!A2085),6),3)))</f>
        <v>226-908</v>
      </c>
      <c r="C2085" s="2266" t="s">
        <v>3041</v>
      </c>
      <c r="D2085" s="2266">
        <v>5</v>
      </c>
      <c r="E2085" s="2266">
        <v>2425</v>
      </c>
      <c r="F2085" s="2266" t="s">
        <v>6267</v>
      </c>
      <c r="G2085" s="2266" t="s">
        <v>6268</v>
      </c>
      <c r="H2085" s="2266">
        <v>100000</v>
      </c>
      <c r="I2085" s="2266">
        <v>93031</v>
      </c>
      <c r="J2085" s="2266">
        <v>1</v>
      </c>
      <c r="K2085" s="2266">
        <v>100000</v>
      </c>
      <c r="L2085" s="2266">
        <v>93031</v>
      </c>
      <c r="M2085" s="2266">
        <v>599</v>
      </c>
    </row>
    <row r="2086" spans="1:13" ht="15">
      <c r="A2086" s="2266" t="s">
        <v>4373</v>
      </c>
      <c r="B2086" s="2465" t="str">
        <f>CONCATENATE(LEFT(RIGHT(CONCATENATE("000",IFAData_TEA_1617!A2086),6),3),"-",(RIGHT(RIGHT(CONCATENATE("000",IFAData_TEA_1617!A2086),6),3)))</f>
        <v>227-904</v>
      </c>
      <c r="C2086" s="2266" t="s">
        <v>1125</v>
      </c>
      <c r="D2086" s="2266">
        <v>9</v>
      </c>
      <c r="E2086" s="2266">
        <v>2190</v>
      </c>
      <c r="F2086" s="2266" t="s">
        <v>6275</v>
      </c>
      <c r="G2086" s="2266" t="s">
        <v>7065</v>
      </c>
      <c r="H2086" s="2266">
        <v>5151250</v>
      </c>
      <c r="I2086" s="2266">
        <v>3513610</v>
      </c>
      <c r="J2086" s="2266">
        <v>0.57320860991597822</v>
      </c>
      <c r="K2086" s="2266">
        <v>2952740.8518296829</v>
      </c>
      <c r="L2086" s="2266">
        <v>2952740.8518296829</v>
      </c>
      <c r="M2086" s="2266">
        <v>599</v>
      </c>
    </row>
    <row r="2087" spans="1:13" ht="15">
      <c r="A2087" s="2266" t="s">
        <v>4373</v>
      </c>
      <c r="B2087" s="2465" t="str">
        <f>CONCATENATE(LEFT(RIGHT(CONCATENATE("000",IFAData_TEA_1617!A2087),6),3),"-",(RIGHT(RIGHT(CONCATENATE("000",IFAData_TEA_1617!A2087),6),3)))</f>
        <v>227-904</v>
      </c>
      <c r="C2087" s="2266" t="s">
        <v>1125</v>
      </c>
      <c r="D2087" s="2266">
        <v>1</v>
      </c>
      <c r="E2087" s="2266">
        <v>2188</v>
      </c>
      <c r="F2087" s="2266" t="s">
        <v>6272</v>
      </c>
      <c r="G2087" s="2266" t="s">
        <v>6272</v>
      </c>
      <c r="H2087" s="2266">
        <v>743639</v>
      </c>
      <c r="I2087" s="2266">
        <v>0</v>
      </c>
      <c r="J2087" s="2266">
        <v>0</v>
      </c>
      <c r="K2087" s="2266">
        <v>0</v>
      </c>
      <c r="L2087" s="2266">
        <v>0</v>
      </c>
      <c r="M2087" s="2266">
        <v>599</v>
      </c>
    </row>
    <row r="2088" spans="1:13" ht="15">
      <c r="A2088" s="2266" t="s">
        <v>4373</v>
      </c>
      <c r="B2088" s="2465" t="str">
        <f>CONCATENATE(LEFT(RIGHT(CONCATENATE("000",IFAData_TEA_1617!A2088),6),3),"-",(RIGHT(RIGHT(CONCATENATE("000",IFAData_TEA_1617!A2088),6),3)))</f>
        <v>227-904</v>
      </c>
      <c r="C2088" s="2266" t="s">
        <v>1125</v>
      </c>
      <c r="D2088" s="2266">
        <v>1</v>
      </c>
      <c r="E2088" s="2266">
        <v>2188</v>
      </c>
      <c r="F2088" s="2266" t="s">
        <v>6272</v>
      </c>
      <c r="G2088" s="2266" t="s">
        <v>6271</v>
      </c>
      <c r="H2088" s="2266">
        <v>743639</v>
      </c>
      <c r="I2088" s="2266">
        <v>1177759</v>
      </c>
      <c r="J2088" s="2266">
        <v>0.59627087375101762</v>
      </c>
      <c r="K2088" s="2266">
        <v>443410.27628533298</v>
      </c>
      <c r="L2088" s="2266">
        <v>443410.27628533298</v>
      </c>
      <c r="M2088" s="2266">
        <v>599</v>
      </c>
    </row>
    <row r="2089" spans="1:13" ht="15">
      <c r="A2089" s="2266" t="s">
        <v>4373</v>
      </c>
      <c r="B2089" s="2465" t="str">
        <f>CONCATENATE(LEFT(RIGHT(CONCATENATE("000",IFAData_TEA_1617!A2089),6),3),"-",(RIGHT(RIGHT(CONCATENATE("000",IFAData_TEA_1617!A2089),6),3)))</f>
        <v>227-904</v>
      </c>
      <c r="C2089" s="2266" t="s">
        <v>1125</v>
      </c>
      <c r="D2089" s="2266">
        <v>1</v>
      </c>
      <c r="E2089" s="2266">
        <v>2189</v>
      </c>
      <c r="F2089" s="2266" t="s">
        <v>6269</v>
      </c>
      <c r="G2089" s="2266" t="s">
        <v>6271</v>
      </c>
      <c r="H2089" s="2266">
        <v>906295</v>
      </c>
      <c r="I2089" s="2266">
        <v>2700875</v>
      </c>
      <c r="J2089" s="2266">
        <v>1</v>
      </c>
      <c r="K2089" s="2266">
        <v>906295</v>
      </c>
      <c r="L2089" s="2266">
        <v>906295</v>
      </c>
      <c r="M2089" s="2266">
        <v>599</v>
      </c>
    </row>
    <row r="2090" spans="1:13" ht="15">
      <c r="A2090" s="2266" t="s">
        <v>4373</v>
      </c>
      <c r="B2090" s="2465" t="str">
        <f>CONCATENATE(LEFT(RIGHT(CONCATENATE("000",IFAData_TEA_1617!A2090),6),3),"-",(RIGHT(RIGHT(CONCATENATE("000",IFAData_TEA_1617!A2090),6),3)))</f>
        <v>227-904</v>
      </c>
      <c r="C2090" s="2266" t="s">
        <v>1125</v>
      </c>
      <c r="D2090" s="2266">
        <v>1</v>
      </c>
      <c r="E2090" s="2266">
        <v>2188</v>
      </c>
      <c r="F2090" s="2266" t="s">
        <v>6272</v>
      </c>
      <c r="G2090" s="2266" t="s">
        <v>6273</v>
      </c>
      <c r="H2090" s="2266">
        <v>743639</v>
      </c>
      <c r="I2090" s="2266">
        <v>0</v>
      </c>
      <c r="J2090" s="2266">
        <v>0</v>
      </c>
      <c r="K2090" s="2266">
        <v>0</v>
      </c>
      <c r="L2090" s="2266">
        <v>0</v>
      </c>
      <c r="M2090" s="2266">
        <v>599</v>
      </c>
    </row>
    <row r="2091" spans="1:13" ht="15">
      <c r="A2091" s="2266" t="s">
        <v>4373</v>
      </c>
      <c r="B2091" s="2465" t="str">
        <f>CONCATENATE(LEFT(RIGHT(CONCATENATE("000",IFAData_TEA_1617!A2091),6),3),"-",(RIGHT(RIGHT(CONCATENATE("000",IFAData_TEA_1617!A2091),6),3)))</f>
        <v>227-904</v>
      </c>
      <c r="C2091" s="2266" t="s">
        <v>1125</v>
      </c>
      <c r="D2091" s="2266">
        <v>1</v>
      </c>
      <c r="E2091" s="2266">
        <v>2188</v>
      </c>
      <c r="F2091" s="2266" t="s">
        <v>6272</v>
      </c>
      <c r="G2091" s="2266" t="s">
        <v>6274</v>
      </c>
      <c r="H2091" s="2266">
        <v>743639</v>
      </c>
      <c r="I2091" s="2266">
        <v>797449</v>
      </c>
      <c r="J2091" s="2266">
        <v>0.40372912624898238</v>
      </c>
      <c r="K2091" s="2266">
        <v>300228.72371466702</v>
      </c>
      <c r="L2091" s="2266">
        <v>300228.72371466702</v>
      </c>
      <c r="M2091" s="2266">
        <v>599</v>
      </c>
    </row>
    <row r="2092" spans="1:13" ht="15">
      <c r="A2092" s="2266" t="s">
        <v>4373</v>
      </c>
      <c r="B2092" s="2465" t="str">
        <f>CONCATENATE(LEFT(RIGHT(CONCATENATE("000",IFAData_TEA_1617!A2092),6),3),"-",(RIGHT(RIGHT(CONCATENATE("000",IFAData_TEA_1617!A2092),6),3)))</f>
        <v>227-904</v>
      </c>
      <c r="C2092" s="2266" t="s">
        <v>1125</v>
      </c>
      <c r="D2092" s="2266">
        <v>1</v>
      </c>
      <c r="E2092" s="2266">
        <v>2189</v>
      </c>
      <c r="F2092" s="2266" t="s">
        <v>6269</v>
      </c>
      <c r="G2092" s="2266" t="s">
        <v>6269</v>
      </c>
      <c r="H2092" s="2266">
        <v>906295</v>
      </c>
      <c r="I2092" s="2266">
        <v>0</v>
      </c>
      <c r="J2092" s="2266">
        <v>0</v>
      </c>
      <c r="K2092" s="2266">
        <v>0</v>
      </c>
      <c r="L2092" s="2266">
        <v>0</v>
      </c>
      <c r="M2092" s="2266">
        <v>599</v>
      </c>
    </row>
    <row r="2093" spans="1:13" ht="15">
      <c r="A2093" s="2266" t="s">
        <v>4373</v>
      </c>
      <c r="B2093" s="2465" t="str">
        <f>CONCATENATE(LEFT(RIGHT(CONCATENATE("000",IFAData_TEA_1617!A2093),6),3),"-",(RIGHT(RIGHT(CONCATENATE("000",IFAData_TEA_1617!A2093),6),3)))</f>
        <v>227-904</v>
      </c>
      <c r="C2093" s="2266" t="s">
        <v>1125</v>
      </c>
      <c r="D2093" s="2266">
        <v>1</v>
      </c>
      <c r="E2093" s="2266">
        <v>2189</v>
      </c>
      <c r="F2093" s="2266" t="s">
        <v>6269</v>
      </c>
      <c r="G2093" s="2266" t="s">
        <v>6270</v>
      </c>
      <c r="H2093" s="2266">
        <v>906295</v>
      </c>
      <c r="I2093" s="2266">
        <v>0</v>
      </c>
      <c r="J2093" s="2266">
        <v>0</v>
      </c>
      <c r="K2093" s="2266">
        <v>0</v>
      </c>
      <c r="L2093" s="2266">
        <v>0</v>
      </c>
      <c r="M2093" s="2266">
        <v>599</v>
      </c>
    </row>
    <row r="2094" spans="1:13" ht="15">
      <c r="A2094" s="2266" t="s">
        <v>4373</v>
      </c>
      <c r="B2094" s="2465" t="str">
        <f>CONCATENATE(LEFT(RIGHT(CONCATENATE("000",IFAData_TEA_1617!A2094),6),3),"-",(RIGHT(RIGHT(CONCATENATE("000",IFAData_TEA_1617!A2094),6),3)))</f>
        <v>227-904</v>
      </c>
      <c r="C2094" s="2266" t="s">
        <v>1125</v>
      </c>
      <c r="D2094" s="2266">
        <v>9</v>
      </c>
      <c r="E2094" s="2266">
        <v>2190</v>
      </c>
      <c r="F2094" s="2266" t="s">
        <v>6275</v>
      </c>
      <c r="G2094" s="2266" t="s">
        <v>6275</v>
      </c>
      <c r="H2094" s="2266">
        <v>5151250</v>
      </c>
      <c r="I2094" s="2266">
        <v>2616113</v>
      </c>
      <c r="J2094" s="2266">
        <v>0.42679139008402173</v>
      </c>
      <c r="K2094" s="2266">
        <v>2198509.1481703171</v>
      </c>
      <c r="L2094" s="2266">
        <v>2198509.1481703171</v>
      </c>
      <c r="M2094" s="2266">
        <v>599</v>
      </c>
    </row>
    <row r="2095" spans="1:13" ht="15">
      <c r="A2095" s="2266" t="s">
        <v>4374</v>
      </c>
      <c r="B2095" s="2465" t="str">
        <f>CONCATENATE(LEFT(RIGHT(CONCATENATE("000",IFAData_TEA_1617!A2095),6),3),"-",(RIGHT(RIGHT(CONCATENATE("000",IFAData_TEA_1617!A2095),6),3)))</f>
        <v>227-910</v>
      </c>
      <c r="C2095" s="2266" t="s">
        <v>3064</v>
      </c>
      <c r="D2095" s="2266">
        <v>1</v>
      </c>
      <c r="E2095" s="2266">
        <v>1751</v>
      </c>
      <c r="F2095" s="2266" t="s">
        <v>6276</v>
      </c>
      <c r="G2095" s="2266" t="s">
        <v>6278</v>
      </c>
      <c r="H2095" s="2266">
        <v>1138000</v>
      </c>
      <c r="I2095" s="2266">
        <v>2924617</v>
      </c>
      <c r="J2095" s="2266">
        <v>1</v>
      </c>
      <c r="K2095" s="2266">
        <v>1138000</v>
      </c>
      <c r="L2095" s="2266">
        <v>1138000</v>
      </c>
      <c r="M2095" s="2266">
        <v>599</v>
      </c>
    </row>
    <row r="2096" spans="1:13" ht="15">
      <c r="A2096" s="2266" t="s">
        <v>4374</v>
      </c>
      <c r="B2096" s="2465" t="str">
        <f>CONCATENATE(LEFT(RIGHT(CONCATENATE("000",IFAData_TEA_1617!A2096),6),3),"-",(RIGHT(RIGHT(CONCATENATE("000",IFAData_TEA_1617!A2096),6),3)))</f>
        <v>227-910</v>
      </c>
      <c r="C2096" s="2266" t="s">
        <v>3064</v>
      </c>
      <c r="D2096" s="2266">
        <v>1</v>
      </c>
      <c r="E2096" s="2266">
        <v>1751</v>
      </c>
      <c r="F2096" s="2266" t="s">
        <v>6276</v>
      </c>
      <c r="G2096" s="2266" t="s">
        <v>6276</v>
      </c>
      <c r="H2096" s="2266">
        <v>1138000</v>
      </c>
      <c r="I2096" s="2266">
        <v>0</v>
      </c>
      <c r="J2096" s="2266">
        <v>0</v>
      </c>
      <c r="K2096" s="2266">
        <v>0</v>
      </c>
      <c r="L2096" s="2266">
        <v>0</v>
      </c>
      <c r="M2096" s="2266">
        <v>599</v>
      </c>
    </row>
    <row r="2097" spans="1:13" ht="15">
      <c r="A2097" s="2266" t="s">
        <v>4374</v>
      </c>
      <c r="B2097" s="2465" t="str">
        <f>CONCATENATE(LEFT(RIGHT(CONCATENATE("000",IFAData_TEA_1617!A2097),6),3),"-",(RIGHT(RIGHT(CONCATENATE("000",IFAData_TEA_1617!A2097),6),3)))</f>
        <v>227-910</v>
      </c>
      <c r="C2097" s="2266" t="s">
        <v>3064</v>
      </c>
      <c r="D2097" s="2266">
        <v>1</v>
      </c>
      <c r="E2097" s="2266">
        <v>1751</v>
      </c>
      <c r="F2097" s="2266" t="s">
        <v>6276</v>
      </c>
      <c r="G2097" s="2266" t="s">
        <v>6277</v>
      </c>
      <c r="H2097" s="2266">
        <v>1138000</v>
      </c>
      <c r="I2097" s="2266">
        <v>0</v>
      </c>
      <c r="J2097" s="2266">
        <v>0</v>
      </c>
      <c r="K2097" s="2266">
        <v>0</v>
      </c>
      <c r="L2097" s="2266">
        <v>0</v>
      </c>
      <c r="M2097" s="2266">
        <v>599</v>
      </c>
    </row>
    <row r="2098" spans="1:13" ht="15">
      <c r="A2098" s="2266" t="s">
        <v>6279</v>
      </c>
      <c r="B2098" s="2465" t="str">
        <f>CONCATENATE(LEFT(RIGHT(CONCATENATE("000",IFAData_TEA_1617!A2098),6),3),"-",(RIGHT(RIGHT(CONCATENATE("000",IFAData_TEA_1617!A2098),6),3)))</f>
        <v>229-901</v>
      </c>
      <c r="C2098" s="2266" t="s">
        <v>1740</v>
      </c>
      <c r="D2098" s="2266">
        <v>5</v>
      </c>
      <c r="E2098" s="2266">
        <v>1707</v>
      </c>
      <c r="F2098" s="2266" t="s">
        <v>6280</v>
      </c>
      <c r="G2098" s="2266" t="s">
        <v>6280</v>
      </c>
      <c r="H2098" s="2266">
        <v>158074</v>
      </c>
      <c r="I2098" s="2266">
        <v>0</v>
      </c>
      <c r="J2098" s="2266">
        <v>0</v>
      </c>
      <c r="K2098" s="2266"/>
      <c r="L2098" s="2266">
        <v>0</v>
      </c>
      <c r="M2098" s="2266">
        <v>199</v>
      </c>
    </row>
    <row r="2099" spans="1:13" ht="15">
      <c r="A2099" s="2266" t="s">
        <v>4375</v>
      </c>
      <c r="B2099" s="2465" t="str">
        <f>CONCATENATE(LEFT(RIGHT(CONCATENATE("000",IFAData_TEA_1617!A2099),6),3),"-",(RIGHT(RIGHT(CONCATENATE("000",IFAData_TEA_1617!A2099),6),3)))</f>
        <v>229-904</v>
      </c>
      <c r="C2099" s="2266" t="s">
        <v>2190</v>
      </c>
      <c r="D2099" s="2266">
        <v>10</v>
      </c>
      <c r="E2099" s="2266">
        <v>2437</v>
      </c>
      <c r="F2099" s="2266" t="s">
        <v>6282</v>
      </c>
      <c r="G2099" s="2266" t="s">
        <v>6282</v>
      </c>
      <c r="H2099" s="2266">
        <v>287703</v>
      </c>
      <c r="I2099" s="2266">
        <v>285055</v>
      </c>
      <c r="J2099" s="2266">
        <v>1</v>
      </c>
      <c r="K2099" s="2266">
        <v>287703</v>
      </c>
      <c r="L2099" s="2266">
        <v>285055</v>
      </c>
      <c r="M2099" s="2266">
        <v>599</v>
      </c>
    </row>
    <row r="2100" spans="1:13" ht="15">
      <c r="A2100" s="2266" t="s">
        <v>4375</v>
      </c>
      <c r="B2100" s="2465" t="str">
        <f>CONCATENATE(LEFT(RIGHT(CONCATENATE("000",IFAData_TEA_1617!A2100),6),3),"-",(RIGHT(RIGHT(CONCATENATE("000",IFAData_TEA_1617!A2100),6),3)))</f>
        <v>229-904</v>
      </c>
      <c r="C2100" s="2266" t="s">
        <v>2190</v>
      </c>
      <c r="D2100" s="2266">
        <v>9</v>
      </c>
      <c r="E2100" s="2266">
        <v>2436</v>
      </c>
      <c r="F2100" s="2266" t="s">
        <v>6281</v>
      </c>
      <c r="G2100" s="2266" t="s">
        <v>6281</v>
      </c>
      <c r="H2100" s="2266">
        <v>281704</v>
      </c>
      <c r="I2100" s="2266">
        <v>144971</v>
      </c>
      <c r="J2100" s="2266">
        <v>0.50106973866578186</v>
      </c>
      <c r="K2100" s="2266">
        <v>141153.3496611054</v>
      </c>
      <c r="L2100" s="2266">
        <v>141153.3496611054</v>
      </c>
      <c r="M2100" s="2266">
        <v>599</v>
      </c>
    </row>
    <row r="2101" spans="1:13" ht="15">
      <c r="A2101" s="2266" t="s">
        <v>4375</v>
      </c>
      <c r="B2101" s="2465" t="str">
        <f>CONCATENATE(LEFT(RIGHT(CONCATENATE("000",IFAData_TEA_1617!A2101),6),3),"-",(RIGHT(RIGHT(CONCATENATE("000",IFAData_TEA_1617!A2101),6),3)))</f>
        <v>229-904</v>
      </c>
      <c r="C2101" s="2266" t="s">
        <v>2190</v>
      </c>
      <c r="D2101" s="2266">
        <v>9</v>
      </c>
      <c r="E2101" s="2266">
        <v>2436</v>
      </c>
      <c r="F2101" s="2266" t="s">
        <v>6281</v>
      </c>
      <c r="G2101" s="2266" t="s">
        <v>7613</v>
      </c>
      <c r="H2101" s="2266">
        <v>281704</v>
      </c>
      <c r="I2101" s="2266">
        <v>144352</v>
      </c>
      <c r="J2101" s="2266">
        <v>0.49893026133421814</v>
      </c>
      <c r="K2101" s="2266">
        <v>140550.6503388946</v>
      </c>
      <c r="L2101" s="2266">
        <v>140550.6503388946</v>
      </c>
      <c r="M2101" s="2266">
        <v>599</v>
      </c>
    </row>
    <row r="2102" spans="1:13" ht="15">
      <c r="A2102" s="2266" t="s">
        <v>4376</v>
      </c>
      <c r="B2102" s="2465" t="str">
        <f>CONCATENATE(LEFT(RIGHT(CONCATENATE("000",IFAData_TEA_1617!A2102),6),3),"-",(RIGHT(RIGHT(CONCATENATE("000",IFAData_TEA_1617!A2102),6),3)))</f>
        <v>229-905</v>
      </c>
      <c r="C2102" s="2266" t="s">
        <v>2212</v>
      </c>
      <c r="D2102" s="2266">
        <v>5</v>
      </c>
      <c r="E2102" s="2266">
        <v>2380</v>
      </c>
      <c r="F2102" s="2266" t="s">
        <v>6283</v>
      </c>
      <c r="G2102" s="2266" t="s">
        <v>6283</v>
      </c>
      <c r="H2102" s="2266">
        <v>103335</v>
      </c>
      <c r="I2102" s="2266">
        <v>0</v>
      </c>
      <c r="J2102" s="2266">
        <v>0</v>
      </c>
      <c r="K2102" s="2266">
        <v>0</v>
      </c>
      <c r="L2102" s="2266">
        <v>0</v>
      </c>
      <c r="M2102" s="2266">
        <v>599</v>
      </c>
    </row>
    <row r="2103" spans="1:13" ht="15">
      <c r="A2103" s="2266" t="s">
        <v>4376</v>
      </c>
      <c r="B2103" s="2465" t="str">
        <f>CONCATENATE(LEFT(RIGHT(CONCATENATE("000",IFAData_TEA_1617!A2103),6),3),"-",(RIGHT(RIGHT(CONCATENATE("000",IFAData_TEA_1617!A2103),6),3)))</f>
        <v>229-905</v>
      </c>
      <c r="C2103" s="2266" t="s">
        <v>2212</v>
      </c>
      <c r="D2103" s="2266">
        <v>5</v>
      </c>
      <c r="E2103" s="2266">
        <v>2380</v>
      </c>
      <c r="F2103" s="2266" t="s">
        <v>6283</v>
      </c>
      <c r="G2103" s="2266" t="s">
        <v>6284</v>
      </c>
      <c r="H2103" s="2266">
        <v>103335</v>
      </c>
      <c r="I2103" s="2266">
        <v>187979</v>
      </c>
      <c r="J2103" s="2266">
        <v>1</v>
      </c>
      <c r="K2103" s="2266">
        <v>103335</v>
      </c>
      <c r="L2103" s="2266">
        <v>103335</v>
      </c>
      <c r="M2103" s="2266">
        <v>599</v>
      </c>
    </row>
    <row r="2104" spans="1:13" ht="15">
      <c r="A2104" s="2266" t="s">
        <v>4377</v>
      </c>
      <c r="B2104" s="2465" t="str">
        <f>CONCATENATE(LEFT(RIGHT(CONCATENATE("000",IFAData_TEA_1617!A2104),6),3),"-",(RIGHT(RIGHT(CONCATENATE("000",IFAData_TEA_1617!A2104),6),3)))</f>
        <v>229-906</v>
      </c>
      <c r="C2104" s="2266" t="s">
        <v>2499</v>
      </c>
      <c r="D2104" s="2266">
        <v>2</v>
      </c>
      <c r="E2104" s="2266">
        <v>1685</v>
      </c>
      <c r="F2104" s="2266" t="s">
        <v>6285</v>
      </c>
      <c r="G2104" s="2266" t="s">
        <v>6285</v>
      </c>
      <c r="H2104" s="2266">
        <v>71236</v>
      </c>
      <c r="I2104" s="2266">
        <v>64845</v>
      </c>
      <c r="J2104" s="2266">
        <v>1</v>
      </c>
      <c r="K2104" s="2266">
        <v>71236</v>
      </c>
      <c r="L2104" s="2266">
        <v>64845</v>
      </c>
      <c r="M2104" s="2266">
        <v>599</v>
      </c>
    </row>
    <row r="2105" spans="1:13" ht="15">
      <c r="A2105" s="2266" t="s">
        <v>4378</v>
      </c>
      <c r="B2105" s="2465" t="str">
        <f>CONCATENATE(LEFT(RIGHT(CONCATENATE("000",IFAData_TEA_1617!A2105),6),3),"-",(RIGHT(RIGHT(CONCATENATE("000",IFAData_TEA_1617!A2105),6),3)))</f>
        <v>230-903</v>
      </c>
      <c r="C2105" s="2266" t="s">
        <v>1152</v>
      </c>
      <c r="D2105" s="2266">
        <v>2</v>
      </c>
      <c r="E2105" s="2266">
        <v>2165</v>
      </c>
      <c r="F2105" s="2266" t="s">
        <v>6286</v>
      </c>
      <c r="G2105" s="2266" t="s">
        <v>6287</v>
      </c>
      <c r="H2105" s="2266">
        <v>184136</v>
      </c>
      <c r="I2105" s="2266">
        <v>144324</v>
      </c>
      <c r="J2105" s="2266">
        <v>0.86289281102023241</v>
      </c>
      <c r="K2105" s="2266">
        <v>158889.63065002151</v>
      </c>
      <c r="L2105" s="2266">
        <v>144324</v>
      </c>
      <c r="M2105" s="2266">
        <v>599</v>
      </c>
    </row>
    <row r="2106" spans="1:13" ht="15">
      <c r="A2106" s="2266" t="s">
        <v>4378</v>
      </c>
      <c r="B2106" s="2465" t="str">
        <f>CONCATENATE(LEFT(RIGHT(CONCATENATE("000",IFAData_TEA_1617!A2106),6),3),"-",(RIGHT(RIGHT(CONCATENATE("000",IFAData_TEA_1617!A2106),6),3)))</f>
        <v>230-903</v>
      </c>
      <c r="C2106" s="2266" t="s">
        <v>1152</v>
      </c>
      <c r="D2106" s="2266">
        <v>9</v>
      </c>
      <c r="E2106" s="2266">
        <v>2166</v>
      </c>
      <c r="F2106" s="2266" t="s">
        <v>6288</v>
      </c>
      <c r="G2106" s="2266" t="s">
        <v>6288</v>
      </c>
      <c r="H2106" s="2266">
        <v>202862</v>
      </c>
      <c r="I2106" s="2266">
        <v>110906</v>
      </c>
      <c r="J2106" s="2266">
        <v>0.28187435031350155</v>
      </c>
      <c r="K2106" s="2266">
        <v>57181.594453297555</v>
      </c>
      <c r="L2106" s="2266">
        <v>57181.594453297555</v>
      </c>
      <c r="M2106" s="2266">
        <v>599</v>
      </c>
    </row>
    <row r="2107" spans="1:13" ht="15">
      <c r="A2107" s="2266" t="s">
        <v>4378</v>
      </c>
      <c r="B2107" s="2465" t="str">
        <f>CONCATENATE(LEFT(RIGHT(CONCATENATE("000",IFAData_TEA_1617!A2107),6),3),"-",(RIGHT(RIGHT(CONCATENATE("000",IFAData_TEA_1617!A2107),6),3)))</f>
        <v>230-903</v>
      </c>
      <c r="C2107" s="2266" t="s">
        <v>1152</v>
      </c>
      <c r="D2107" s="2266">
        <v>2</v>
      </c>
      <c r="E2107" s="2266">
        <v>2165</v>
      </c>
      <c r="F2107" s="2266" t="s">
        <v>6286</v>
      </c>
      <c r="G2107" s="2266" t="s">
        <v>7283</v>
      </c>
      <c r="H2107" s="2266">
        <v>184136</v>
      </c>
      <c r="I2107" s="2266">
        <v>22932</v>
      </c>
      <c r="J2107" s="2266">
        <v>0.13710718897976754</v>
      </c>
      <c r="K2107" s="2266">
        <v>25246.369349978475</v>
      </c>
      <c r="L2107" s="2266">
        <v>22932</v>
      </c>
      <c r="M2107" s="2266">
        <v>599</v>
      </c>
    </row>
    <row r="2108" spans="1:13" ht="15">
      <c r="A2108" s="2266" t="s">
        <v>4378</v>
      </c>
      <c r="B2108" s="2465" t="str">
        <f>CONCATENATE(LEFT(RIGHT(CONCATENATE("000",IFAData_TEA_1617!A2108),6),3),"-",(RIGHT(RIGHT(CONCATENATE("000",IFAData_TEA_1617!A2108),6),3)))</f>
        <v>230-903</v>
      </c>
      <c r="C2108" s="2266" t="s">
        <v>1152</v>
      </c>
      <c r="D2108" s="2266">
        <v>9</v>
      </c>
      <c r="E2108" s="2266">
        <v>2166</v>
      </c>
      <c r="F2108" s="2266" t="s">
        <v>6288</v>
      </c>
      <c r="G2108" s="2266" t="s">
        <v>7283</v>
      </c>
      <c r="H2108" s="2266">
        <v>202862</v>
      </c>
      <c r="I2108" s="2266">
        <v>282553</v>
      </c>
      <c r="J2108" s="2266">
        <v>0.7181256496864985</v>
      </c>
      <c r="K2108" s="2266">
        <v>145680.40554670244</v>
      </c>
      <c r="L2108" s="2266">
        <v>145680.40554670244</v>
      </c>
      <c r="M2108" s="2266">
        <v>599</v>
      </c>
    </row>
    <row r="2109" spans="1:13" ht="15">
      <c r="A2109" s="2266" t="s">
        <v>4378</v>
      </c>
      <c r="B2109" s="2465" t="str">
        <f>CONCATENATE(LEFT(RIGHT(CONCATENATE("000",IFAData_TEA_1617!A2109),6),3),"-",(RIGHT(RIGHT(CONCATENATE("000",IFAData_TEA_1617!A2109),6),3)))</f>
        <v>230-903</v>
      </c>
      <c r="C2109" s="2266" t="s">
        <v>1152</v>
      </c>
      <c r="D2109" s="2266">
        <v>2</v>
      </c>
      <c r="E2109" s="2266">
        <v>2165</v>
      </c>
      <c r="F2109" s="2266" t="s">
        <v>6286</v>
      </c>
      <c r="G2109" s="2266" t="s">
        <v>6286</v>
      </c>
      <c r="H2109" s="2266">
        <v>184136</v>
      </c>
      <c r="I2109" s="2266">
        <v>0</v>
      </c>
      <c r="J2109" s="2266">
        <v>0</v>
      </c>
      <c r="K2109" s="2266">
        <v>0</v>
      </c>
      <c r="L2109" s="2266">
        <v>0</v>
      </c>
      <c r="M2109" s="2266">
        <v>599</v>
      </c>
    </row>
    <row r="2110" spans="1:13" ht="15">
      <c r="A2110" s="2266" t="s">
        <v>4379</v>
      </c>
      <c r="B2110" s="2465" t="str">
        <f>CONCATENATE(LEFT(RIGHT(CONCATENATE("000",IFAData_TEA_1617!A2110),6),3),"-",(RIGHT(RIGHT(CONCATENATE("000",IFAData_TEA_1617!A2110),6),3)))</f>
        <v>230-905</v>
      </c>
      <c r="C2110" s="2266" t="s">
        <v>935</v>
      </c>
      <c r="D2110" s="2266">
        <v>1</v>
      </c>
      <c r="E2110" s="2266">
        <v>1874</v>
      </c>
      <c r="F2110" s="2266" t="s">
        <v>6289</v>
      </c>
      <c r="G2110" s="2266" t="s">
        <v>6289</v>
      </c>
      <c r="H2110" s="2266">
        <v>223024</v>
      </c>
      <c r="I2110" s="2266">
        <v>0</v>
      </c>
      <c r="J2110" s="2266">
        <v>0</v>
      </c>
      <c r="K2110" s="2266">
        <v>0</v>
      </c>
      <c r="L2110" s="2266">
        <v>0</v>
      </c>
      <c r="M2110" s="2266">
        <v>599</v>
      </c>
    </row>
    <row r="2111" spans="1:13" ht="15">
      <c r="A2111" s="2266" t="s">
        <v>4379</v>
      </c>
      <c r="B2111" s="2465" t="str">
        <f>CONCATENATE(LEFT(RIGHT(CONCATENATE("000",IFAData_TEA_1617!A2111),6),3),"-",(RIGHT(RIGHT(CONCATENATE("000",IFAData_TEA_1617!A2111),6),3)))</f>
        <v>230-905</v>
      </c>
      <c r="C2111" s="2266" t="s">
        <v>935</v>
      </c>
      <c r="D2111" s="2266">
        <v>1</v>
      </c>
      <c r="E2111" s="2266">
        <v>1874</v>
      </c>
      <c r="F2111" s="2266" t="s">
        <v>6289</v>
      </c>
      <c r="G2111" s="2266" t="s">
        <v>6290</v>
      </c>
      <c r="H2111" s="2266">
        <v>223024</v>
      </c>
      <c r="I2111" s="2266">
        <v>206798</v>
      </c>
      <c r="J2111" s="2266">
        <v>1</v>
      </c>
      <c r="K2111" s="2266">
        <v>223024</v>
      </c>
      <c r="L2111" s="2266">
        <v>206798</v>
      </c>
      <c r="M2111" s="2266">
        <v>599</v>
      </c>
    </row>
    <row r="2112" spans="1:13" ht="15">
      <c r="A2112" s="2266" t="s">
        <v>4380</v>
      </c>
      <c r="B2112" s="2465" t="str">
        <f>CONCATENATE(LEFT(RIGHT(CONCATENATE("000",IFAData_TEA_1617!A2112),6),3),"-",(RIGHT(RIGHT(CONCATENATE("000",IFAData_TEA_1617!A2112),6),3)))</f>
        <v>230-906</v>
      </c>
      <c r="C2112" s="2266" t="s">
        <v>1729</v>
      </c>
      <c r="D2112" s="2266">
        <v>8</v>
      </c>
      <c r="E2112" s="2266">
        <v>2142</v>
      </c>
      <c r="F2112" s="2266" t="s">
        <v>6291</v>
      </c>
      <c r="G2112" s="2266" t="s">
        <v>6291</v>
      </c>
      <c r="H2112" s="2266">
        <v>207500</v>
      </c>
      <c r="I2112" s="2266">
        <v>147791</v>
      </c>
      <c r="J2112" s="2266">
        <v>0.55660547901868773</v>
      </c>
      <c r="K2112" s="2266">
        <v>115495.63689637771</v>
      </c>
      <c r="L2112" s="2266">
        <v>115495.63689637771</v>
      </c>
      <c r="M2112" s="2266">
        <v>599</v>
      </c>
    </row>
    <row r="2113" spans="1:13" ht="15">
      <c r="A2113" s="2266" t="s">
        <v>4380</v>
      </c>
      <c r="B2113" s="2465" t="str">
        <f>CONCATENATE(LEFT(RIGHT(CONCATENATE("000",IFAData_TEA_1617!A2113),6),3),"-",(RIGHT(RIGHT(CONCATENATE("000",IFAData_TEA_1617!A2113),6),3)))</f>
        <v>230-906</v>
      </c>
      <c r="C2113" s="2266" t="s">
        <v>1729</v>
      </c>
      <c r="D2113" s="2266">
        <v>8</v>
      </c>
      <c r="E2113" s="2266">
        <v>2142</v>
      </c>
      <c r="F2113" s="2266" t="s">
        <v>6291</v>
      </c>
      <c r="G2113" s="2266" t="s">
        <v>7284</v>
      </c>
      <c r="H2113" s="2266">
        <v>207500</v>
      </c>
      <c r="I2113" s="2266">
        <v>117731</v>
      </c>
      <c r="J2113" s="2266">
        <v>0.44339452098131227</v>
      </c>
      <c r="K2113" s="2266">
        <v>92004.363103622294</v>
      </c>
      <c r="L2113" s="2266">
        <v>92004.363103622294</v>
      </c>
      <c r="M2113" s="2266">
        <v>599</v>
      </c>
    </row>
    <row r="2114" spans="1:13" ht="15">
      <c r="A2114" s="2266" t="s">
        <v>4381</v>
      </c>
      <c r="B2114" s="2465" t="str">
        <f>CONCATENATE(LEFT(RIGHT(CONCATENATE("000",IFAData_TEA_1617!A2114),6),3),"-",(RIGHT(RIGHT(CONCATENATE("000",IFAData_TEA_1617!A2114),6),3)))</f>
        <v>232-901</v>
      </c>
      <c r="C2114" s="2266" t="s">
        <v>2832</v>
      </c>
      <c r="D2114" s="2266">
        <v>5</v>
      </c>
      <c r="E2114" s="2266">
        <v>1969</v>
      </c>
      <c r="F2114" s="2266" t="s">
        <v>6294</v>
      </c>
      <c r="G2114" s="2266" t="s">
        <v>6294</v>
      </c>
      <c r="H2114" s="2266">
        <v>39885</v>
      </c>
      <c r="I2114" s="2266">
        <v>0</v>
      </c>
      <c r="J2114" s="2266">
        <v>0</v>
      </c>
      <c r="K2114" s="2266">
        <v>0</v>
      </c>
      <c r="L2114" s="2266">
        <v>0</v>
      </c>
      <c r="M2114" s="2266">
        <v>599</v>
      </c>
    </row>
    <row r="2115" spans="1:13" ht="15">
      <c r="A2115" s="2266" t="s">
        <v>4381</v>
      </c>
      <c r="B2115" s="2465" t="str">
        <f>CONCATENATE(LEFT(RIGHT(CONCATENATE("000",IFAData_TEA_1617!A2115),6),3),"-",(RIGHT(RIGHT(CONCATENATE("000",IFAData_TEA_1617!A2115),6),3)))</f>
        <v>232-901</v>
      </c>
      <c r="C2115" s="2266" t="s">
        <v>2832</v>
      </c>
      <c r="D2115" s="2266">
        <v>2</v>
      </c>
      <c r="E2115" s="2266">
        <v>1970</v>
      </c>
      <c r="F2115" s="2266" t="s">
        <v>6292</v>
      </c>
      <c r="G2115" s="2266" t="s">
        <v>6292</v>
      </c>
      <c r="H2115" s="2266">
        <v>52660</v>
      </c>
      <c r="I2115" s="2266">
        <v>0</v>
      </c>
      <c r="J2115" s="2266">
        <v>0</v>
      </c>
      <c r="K2115" s="2266">
        <v>0</v>
      </c>
      <c r="L2115" s="2266">
        <v>0</v>
      </c>
      <c r="M2115" s="2266">
        <v>599</v>
      </c>
    </row>
    <row r="2116" spans="1:13" ht="15">
      <c r="A2116" s="2266" t="s">
        <v>4381</v>
      </c>
      <c r="B2116" s="2465" t="str">
        <f>CONCATENATE(LEFT(RIGHT(CONCATENATE("000",IFAData_TEA_1617!A2116),6),3),"-",(RIGHT(RIGHT(CONCATENATE("000",IFAData_TEA_1617!A2116),6),3)))</f>
        <v>232-901</v>
      </c>
      <c r="C2116" s="2266" t="s">
        <v>2832</v>
      </c>
      <c r="D2116" s="2266">
        <v>5</v>
      </c>
      <c r="E2116" s="2266">
        <v>1969</v>
      </c>
      <c r="F2116" s="2266" t="s">
        <v>6294</v>
      </c>
      <c r="G2116" s="2266" t="s">
        <v>6293</v>
      </c>
      <c r="H2116" s="2266">
        <v>39885</v>
      </c>
      <c r="I2116" s="2266">
        <v>39323</v>
      </c>
      <c r="J2116" s="2266">
        <v>1</v>
      </c>
      <c r="K2116" s="2266">
        <v>39885</v>
      </c>
      <c r="L2116" s="2266">
        <v>39323</v>
      </c>
      <c r="M2116" s="2266">
        <v>599</v>
      </c>
    </row>
    <row r="2117" spans="1:13" ht="15">
      <c r="A2117" s="2266" t="s">
        <v>4381</v>
      </c>
      <c r="B2117" s="2465" t="str">
        <f>CONCATENATE(LEFT(RIGHT(CONCATENATE("000",IFAData_TEA_1617!A2117),6),3),"-",(RIGHT(RIGHT(CONCATENATE("000",IFAData_TEA_1617!A2117),6),3)))</f>
        <v>232-901</v>
      </c>
      <c r="C2117" s="2266" t="s">
        <v>2832</v>
      </c>
      <c r="D2117" s="2266">
        <v>2</v>
      </c>
      <c r="E2117" s="2266">
        <v>1970</v>
      </c>
      <c r="F2117" s="2266" t="s">
        <v>6292</v>
      </c>
      <c r="G2117" s="2266" t="s">
        <v>6293</v>
      </c>
      <c r="H2117" s="2266">
        <v>52660</v>
      </c>
      <c r="I2117" s="2266">
        <v>52226</v>
      </c>
      <c r="J2117" s="2266">
        <v>1</v>
      </c>
      <c r="K2117" s="2266">
        <v>52660</v>
      </c>
      <c r="L2117" s="2266">
        <v>52226</v>
      </c>
      <c r="M2117" s="2266">
        <v>599</v>
      </c>
    </row>
    <row r="2118" spans="1:13" ht="15">
      <c r="A2118" s="2266" t="s">
        <v>4382</v>
      </c>
      <c r="B2118" s="2465" t="str">
        <f>CONCATENATE(LEFT(RIGHT(CONCATENATE("000",IFAData_TEA_1617!A2118),6),3),"-",(RIGHT(RIGHT(CONCATENATE("000",IFAData_TEA_1617!A2118),6),3)))</f>
        <v>232-902</v>
      </c>
      <c r="C2118" s="2266" t="s">
        <v>670</v>
      </c>
      <c r="D2118" s="2266">
        <v>5</v>
      </c>
      <c r="E2118" s="2266">
        <v>2274</v>
      </c>
      <c r="F2118" s="2266" t="s">
        <v>6295</v>
      </c>
      <c r="G2118" s="2266" t="s">
        <v>6295</v>
      </c>
      <c r="H2118" s="2266">
        <v>124225</v>
      </c>
      <c r="I2118" s="2266">
        <v>0</v>
      </c>
      <c r="J2118" s="2266">
        <v>0</v>
      </c>
      <c r="K2118" s="2266">
        <v>0</v>
      </c>
      <c r="L2118" s="2266">
        <v>0</v>
      </c>
      <c r="M2118" s="2266">
        <v>599</v>
      </c>
    </row>
    <row r="2119" spans="1:13" ht="15">
      <c r="A2119" s="2266" t="s">
        <v>4382</v>
      </c>
      <c r="B2119" s="2465" t="str">
        <f>CONCATENATE(LEFT(RIGHT(CONCATENATE("000",IFAData_TEA_1617!A2119),6),3),"-",(RIGHT(RIGHT(CONCATENATE("000",IFAData_TEA_1617!A2119),6),3)))</f>
        <v>232-902</v>
      </c>
      <c r="C2119" s="2266" t="s">
        <v>670</v>
      </c>
      <c r="D2119" s="2266">
        <v>5</v>
      </c>
      <c r="E2119" s="2266">
        <v>2274</v>
      </c>
      <c r="F2119" s="2266" t="s">
        <v>6295</v>
      </c>
      <c r="G2119" s="2266" t="s">
        <v>6296</v>
      </c>
      <c r="H2119" s="2266">
        <v>124225</v>
      </c>
      <c r="I2119" s="2266">
        <v>121330</v>
      </c>
      <c r="J2119" s="2266">
        <v>1</v>
      </c>
      <c r="K2119" s="2266">
        <v>124225</v>
      </c>
      <c r="L2119" s="2266">
        <v>121330</v>
      </c>
      <c r="M2119" s="2266">
        <v>599</v>
      </c>
    </row>
    <row r="2120" spans="1:13" ht="15">
      <c r="A2120" s="2266" t="s">
        <v>4383</v>
      </c>
      <c r="B2120" s="2465" t="str">
        <f>CONCATENATE(LEFT(RIGHT(CONCATENATE("000",IFAData_TEA_1617!A2120),6),3),"-",(RIGHT(RIGHT(CONCATENATE("000",IFAData_TEA_1617!A2120),6),3)))</f>
        <v>232-903</v>
      </c>
      <c r="C2120" s="2266" t="s">
        <v>327</v>
      </c>
      <c r="D2120" s="2266">
        <v>4</v>
      </c>
      <c r="E2120" s="2266">
        <v>2408</v>
      </c>
      <c r="F2120" s="2266" t="s">
        <v>6301</v>
      </c>
      <c r="G2120" s="2266" t="s">
        <v>6300</v>
      </c>
      <c r="H2120" s="2266">
        <v>1100156</v>
      </c>
      <c r="I2120" s="2266">
        <v>879242</v>
      </c>
      <c r="J2120" s="2266">
        <v>0.87127678760769045</v>
      </c>
      <c r="K2120" s="2266">
        <v>958540.3855473263</v>
      </c>
      <c r="L2120" s="2266">
        <v>879242</v>
      </c>
      <c r="M2120" s="2266">
        <v>599</v>
      </c>
    </row>
    <row r="2121" spans="1:13" ht="15">
      <c r="A2121" s="2266" t="s">
        <v>4383</v>
      </c>
      <c r="B2121" s="2465" t="str">
        <f>CONCATENATE(LEFT(RIGHT(CONCATENATE("000",IFAData_TEA_1617!A2121),6),3),"-",(RIGHT(RIGHT(CONCATENATE("000",IFAData_TEA_1617!A2121),6),3)))</f>
        <v>232-903</v>
      </c>
      <c r="C2121" s="2266" t="s">
        <v>327</v>
      </c>
      <c r="D2121" s="2266">
        <v>2</v>
      </c>
      <c r="E2121" s="2266">
        <v>2409</v>
      </c>
      <c r="F2121" s="2266" t="s">
        <v>6297</v>
      </c>
      <c r="G2121" s="2266" t="s">
        <v>6300</v>
      </c>
      <c r="H2121" s="2266">
        <v>1300000</v>
      </c>
      <c r="I2121" s="2266">
        <v>1085439</v>
      </c>
      <c r="J2121" s="2266">
        <v>0.89771584435519625</v>
      </c>
      <c r="K2121" s="2266">
        <v>1167030.597661755</v>
      </c>
      <c r="L2121" s="2266">
        <v>1085439</v>
      </c>
      <c r="M2121" s="2266">
        <v>599</v>
      </c>
    </row>
    <row r="2122" spans="1:13" ht="15">
      <c r="A2122" s="2266" t="s">
        <v>4383</v>
      </c>
      <c r="B2122" s="2465" t="str">
        <f>CONCATENATE(LEFT(RIGHT(CONCATENATE("000",IFAData_TEA_1617!A2122),6),3),"-",(RIGHT(RIGHT(CONCATENATE("000",IFAData_TEA_1617!A2122),6),3)))</f>
        <v>232-903</v>
      </c>
      <c r="C2122" s="2266" t="s">
        <v>327</v>
      </c>
      <c r="D2122" s="2266">
        <v>2</v>
      </c>
      <c r="E2122" s="2266">
        <v>2409</v>
      </c>
      <c r="F2122" s="2266" t="s">
        <v>6297</v>
      </c>
      <c r="G2122" s="2266" t="s">
        <v>6299</v>
      </c>
      <c r="H2122" s="2266">
        <v>1300000</v>
      </c>
      <c r="I2122" s="2266">
        <v>123673</v>
      </c>
      <c r="J2122" s="2266">
        <v>0.1022841556448038</v>
      </c>
      <c r="K2122" s="2266">
        <v>132969.40233824492</v>
      </c>
      <c r="L2122" s="2266">
        <v>123673</v>
      </c>
      <c r="M2122" s="2266">
        <v>599</v>
      </c>
    </row>
    <row r="2123" spans="1:13" ht="15">
      <c r="A2123" s="2266" t="s">
        <v>4383</v>
      </c>
      <c r="B2123" s="2465" t="str">
        <f>CONCATENATE(LEFT(RIGHT(CONCATENATE("000",IFAData_TEA_1617!A2123),6),3),"-",(RIGHT(RIGHT(CONCATENATE("000",IFAData_TEA_1617!A2123),6),3)))</f>
        <v>232-903</v>
      </c>
      <c r="C2123" s="2266" t="s">
        <v>327</v>
      </c>
      <c r="D2123" s="2266">
        <v>4</v>
      </c>
      <c r="E2123" s="2266">
        <v>2408</v>
      </c>
      <c r="F2123" s="2266" t="s">
        <v>6301</v>
      </c>
      <c r="G2123" s="2266" t="s">
        <v>6299</v>
      </c>
      <c r="H2123" s="2266">
        <v>1100156</v>
      </c>
      <c r="I2123" s="2266">
        <v>129900</v>
      </c>
      <c r="J2123" s="2266">
        <v>0.12872321239230949</v>
      </c>
      <c r="K2123" s="2266">
        <v>141615.61445267365</v>
      </c>
      <c r="L2123" s="2266">
        <v>129900</v>
      </c>
      <c r="M2123" s="2266">
        <v>599</v>
      </c>
    </row>
    <row r="2124" spans="1:13" ht="15">
      <c r="A2124" s="2266" t="s">
        <v>4383</v>
      </c>
      <c r="B2124" s="2465" t="str">
        <f>CONCATENATE(LEFT(RIGHT(CONCATENATE("000",IFAData_TEA_1617!A2124),6),3),"-",(RIGHT(RIGHT(CONCATENATE("000",IFAData_TEA_1617!A2124),6),3)))</f>
        <v>232-903</v>
      </c>
      <c r="C2124" s="2266" t="s">
        <v>327</v>
      </c>
      <c r="D2124" s="2266">
        <v>4</v>
      </c>
      <c r="E2124" s="2266">
        <v>2408</v>
      </c>
      <c r="F2124" s="2266" t="s">
        <v>6301</v>
      </c>
      <c r="G2124" s="2266" t="s">
        <v>6301</v>
      </c>
      <c r="H2124" s="2266">
        <v>1100156</v>
      </c>
      <c r="I2124" s="2266">
        <v>0</v>
      </c>
      <c r="J2124" s="2266">
        <v>0</v>
      </c>
      <c r="K2124" s="2266">
        <v>0</v>
      </c>
      <c r="L2124" s="2266">
        <v>0</v>
      </c>
      <c r="M2124" s="2266">
        <v>599</v>
      </c>
    </row>
    <row r="2125" spans="1:13" ht="15">
      <c r="A2125" s="2266" t="s">
        <v>4383</v>
      </c>
      <c r="B2125" s="2465" t="str">
        <f>CONCATENATE(LEFT(RIGHT(CONCATENATE("000",IFAData_TEA_1617!A2125),6),3),"-",(RIGHT(RIGHT(CONCATENATE("000",IFAData_TEA_1617!A2125),6),3)))</f>
        <v>232-903</v>
      </c>
      <c r="C2125" s="2266" t="s">
        <v>327</v>
      </c>
      <c r="D2125" s="2266">
        <v>2</v>
      </c>
      <c r="E2125" s="2266">
        <v>2409</v>
      </c>
      <c r="F2125" s="2266" t="s">
        <v>6297</v>
      </c>
      <c r="G2125" s="2266" t="s">
        <v>6298</v>
      </c>
      <c r="H2125" s="2266">
        <v>1300000</v>
      </c>
      <c r="I2125" s="2266">
        <v>0</v>
      </c>
      <c r="J2125" s="2266">
        <v>0</v>
      </c>
      <c r="K2125" s="2266">
        <v>0</v>
      </c>
      <c r="L2125" s="2266">
        <v>0</v>
      </c>
      <c r="M2125" s="2266">
        <v>599</v>
      </c>
    </row>
    <row r="2126" spans="1:13" ht="15">
      <c r="A2126" s="2266" t="s">
        <v>4383</v>
      </c>
      <c r="B2126" s="2465" t="str">
        <f>CONCATENATE(LEFT(RIGHT(CONCATENATE("000",IFAData_TEA_1617!A2126),6),3),"-",(RIGHT(RIGHT(CONCATENATE("000",IFAData_TEA_1617!A2126),6),3)))</f>
        <v>232-903</v>
      </c>
      <c r="C2126" s="2266" t="s">
        <v>327</v>
      </c>
      <c r="D2126" s="2266">
        <v>4</v>
      </c>
      <c r="E2126" s="2266">
        <v>2408</v>
      </c>
      <c r="F2126" s="2266" t="s">
        <v>6301</v>
      </c>
      <c r="G2126" s="2266" t="s">
        <v>6298</v>
      </c>
      <c r="H2126" s="2266">
        <v>1100156</v>
      </c>
      <c r="I2126" s="2266">
        <v>0</v>
      </c>
      <c r="J2126" s="2266">
        <v>0</v>
      </c>
      <c r="K2126" s="2266">
        <v>0</v>
      </c>
      <c r="L2126" s="2266">
        <v>0</v>
      </c>
      <c r="M2126" s="2266">
        <v>599</v>
      </c>
    </row>
    <row r="2127" spans="1:13" ht="15">
      <c r="A2127" s="2266" t="s">
        <v>4383</v>
      </c>
      <c r="B2127" s="2465" t="str">
        <f>CONCATENATE(LEFT(RIGHT(CONCATENATE("000",IFAData_TEA_1617!A2127),6),3),"-",(RIGHT(RIGHT(CONCATENATE("000",IFAData_TEA_1617!A2127),6),3)))</f>
        <v>232-903</v>
      </c>
      <c r="C2127" s="2266" t="s">
        <v>327</v>
      </c>
      <c r="D2127" s="2266">
        <v>2</v>
      </c>
      <c r="E2127" s="2266">
        <v>2409</v>
      </c>
      <c r="F2127" s="2266" t="s">
        <v>6297</v>
      </c>
      <c r="G2127" s="2266" t="s">
        <v>6297</v>
      </c>
      <c r="H2127" s="2266">
        <v>1300000</v>
      </c>
      <c r="I2127" s="2266">
        <v>0</v>
      </c>
      <c r="J2127" s="2266">
        <v>0</v>
      </c>
      <c r="K2127" s="2266">
        <v>0</v>
      </c>
      <c r="L2127" s="2266">
        <v>0</v>
      </c>
      <c r="M2127" s="2266">
        <v>599</v>
      </c>
    </row>
    <row r="2128" spans="1:13" ht="15">
      <c r="A2128" s="2266" t="s">
        <v>4384</v>
      </c>
      <c r="B2128" s="2465" t="str">
        <f>CONCATENATE(LEFT(RIGHT(CONCATENATE("000",IFAData_TEA_1617!A2128),6),3),"-",(RIGHT(RIGHT(CONCATENATE("000",IFAData_TEA_1617!A2128),6),3)))</f>
        <v>233-901</v>
      </c>
      <c r="C2128" s="2266" t="s">
        <v>2460</v>
      </c>
      <c r="D2128" s="2266">
        <v>8</v>
      </c>
      <c r="E2128" s="2266">
        <v>2297</v>
      </c>
      <c r="F2128" s="2266" t="s">
        <v>6305</v>
      </c>
      <c r="G2128" s="2266" t="s">
        <v>7066</v>
      </c>
      <c r="H2128" s="2266">
        <v>1506687</v>
      </c>
      <c r="I2128" s="2266">
        <v>1003850</v>
      </c>
      <c r="J2128" s="2266">
        <v>0.72375891766012135</v>
      </c>
      <c r="K2128" s="2266">
        <v>1090478.1523725754</v>
      </c>
      <c r="L2128" s="2266">
        <v>1003850</v>
      </c>
      <c r="M2128" s="2266">
        <v>599</v>
      </c>
    </row>
    <row r="2129" spans="1:13" ht="15">
      <c r="A2129" s="2266" t="s">
        <v>4384</v>
      </c>
      <c r="B2129" s="2465" t="str">
        <f>CONCATENATE(LEFT(RIGHT(CONCATENATE("000",IFAData_TEA_1617!A2129),6),3),"-",(RIGHT(RIGHT(CONCATENATE("000",IFAData_TEA_1617!A2129),6),3)))</f>
        <v>233-901</v>
      </c>
      <c r="C2129" s="2266" t="s">
        <v>2460</v>
      </c>
      <c r="D2129" s="2266">
        <v>4</v>
      </c>
      <c r="E2129" s="2266">
        <v>2298</v>
      </c>
      <c r="F2129" s="2266" t="s">
        <v>6302</v>
      </c>
      <c r="G2129" s="2266" t="s">
        <v>6304</v>
      </c>
      <c r="H2129" s="2266">
        <v>2143670</v>
      </c>
      <c r="I2129" s="2266">
        <v>1934425</v>
      </c>
      <c r="J2129" s="2266">
        <v>1</v>
      </c>
      <c r="K2129" s="2266">
        <v>2143670</v>
      </c>
      <c r="L2129" s="2266">
        <v>1934425</v>
      </c>
      <c r="M2129" s="2266">
        <v>599</v>
      </c>
    </row>
    <row r="2130" spans="1:13" ht="15">
      <c r="A2130" s="2266" t="s">
        <v>4384</v>
      </c>
      <c r="B2130" s="2465" t="str">
        <f>CONCATENATE(LEFT(RIGHT(CONCATENATE("000",IFAData_TEA_1617!A2130),6),3),"-",(RIGHT(RIGHT(CONCATENATE("000",IFAData_TEA_1617!A2130),6),3)))</f>
        <v>233-901</v>
      </c>
      <c r="C2130" s="2266" t="s">
        <v>2460</v>
      </c>
      <c r="D2130" s="2266">
        <v>8</v>
      </c>
      <c r="E2130" s="2266">
        <v>2297</v>
      </c>
      <c r="F2130" s="2266" t="s">
        <v>6305</v>
      </c>
      <c r="G2130" s="2266" t="s">
        <v>6305</v>
      </c>
      <c r="H2130" s="2266">
        <v>1506687</v>
      </c>
      <c r="I2130" s="2266">
        <v>62490</v>
      </c>
      <c r="J2130" s="2266">
        <v>4.5054235956149803E-2</v>
      </c>
      <c r="K2130" s="2266">
        <v>67882.631610063472</v>
      </c>
      <c r="L2130" s="2266">
        <v>62490</v>
      </c>
      <c r="M2130" s="2266">
        <v>599</v>
      </c>
    </row>
    <row r="2131" spans="1:13" ht="15">
      <c r="A2131" s="2266" t="s">
        <v>4384</v>
      </c>
      <c r="B2131" s="2465" t="str">
        <f>CONCATENATE(LEFT(RIGHT(CONCATENATE("000",IFAData_TEA_1617!A2131),6),3),"-",(RIGHT(RIGHT(CONCATENATE("000",IFAData_TEA_1617!A2131),6),3)))</f>
        <v>233-901</v>
      </c>
      <c r="C2131" s="2266" t="s">
        <v>2460</v>
      </c>
      <c r="D2131" s="2266">
        <v>4</v>
      </c>
      <c r="E2131" s="2266">
        <v>2298</v>
      </c>
      <c r="F2131" s="2266" t="s">
        <v>6302</v>
      </c>
      <c r="G2131" s="2266" t="s">
        <v>6302</v>
      </c>
      <c r="H2131" s="2266">
        <v>2143670</v>
      </c>
      <c r="I2131" s="2266">
        <v>0</v>
      </c>
      <c r="J2131" s="2266">
        <v>0</v>
      </c>
      <c r="K2131" s="2266">
        <v>0</v>
      </c>
      <c r="L2131" s="2266">
        <v>0</v>
      </c>
      <c r="M2131" s="2266">
        <v>599</v>
      </c>
    </row>
    <row r="2132" spans="1:13" ht="15">
      <c r="A2132" s="2266" t="s">
        <v>4384</v>
      </c>
      <c r="B2132" s="2465" t="str">
        <f>CONCATENATE(LEFT(RIGHT(CONCATENATE("000",IFAData_TEA_1617!A2132),6),3),"-",(RIGHT(RIGHT(CONCATENATE("000",IFAData_TEA_1617!A2132),6),3)))</f>
        <v>233-901</v>
      </c>
      <c r="C2132" s="2266" t="s">
        <v>2460</v>
      </c>
      <c r="D2132" s="2266">
        <v>4</v>
      </c>
      <c r="E2132" s="2266">
        <v>2298</v>
      </c>
      <c r="F2132" s="2266" t="s">
        <v>6302</v>
      </c>
      <c r="G2132" s="2266" t="s">
        <v>6303</v>
      </c>
      <c r="H2132" s="2266">
        <v>2143670</v>
      </c>
      <c r="I2132" s="2266">
        <v>0</v>
      </c>
      <c r="J2132" s="2266">
        <v>0</v>
      </c>
      <c r="K2132" s="2266">
        <v>0</v>
      </c>
      <c r="L2132" s="2266">
        <v>0</v>
      </c>
      <c r="M2132" s="2266">
        <v>599</v>
      </c>
    </row>
    <row r="2133" spans="1:13" ht="15">
      <c r="A2133" s="2266" t="s">
        <v>4384</v>
      </c>
      <c r="B2133" s="2465" t="str">
        <f>CONCATENATE(LEFT(RIGHT(CONCATENATE("000",IFAData_TEA_1617!A2133),6),3),"-",(RIGHT(RIGHT(CONCATENATE("000",IFAData_TEA_1617!A2133),6),3)))</f>
        <v>233-901</v>
      </c>
      <c r="C2133" s="2266" t="s">
        <v>2460</v>
      </c>
      <c r="D2133" s="2266">
        <v>9</v>
      </c>
      <c r="E2133" s="2266">
        <v>2296</v>
      </c>
      <c r="F2133" s="2266" t="s">
        <v>6307</v>
      </c>
      <c r="G2133" s="2266" t="s">
        <v>6307</v>
      </c>
      <c r="H2133" s="2266">
        <v>866517</v>
      </c>
      <c r="I2133" s="2266">
        <v>432800</v>
      </c>
      <c r="J2133" s="2266">
        <v>0.56723460026212325</v>
      </c>
      <c r="K2133" s="2266">
        <v>491518.42411533423</v>
      </c>
      <c r="L2133" s="2266">
        <v>432800</v>
      </c>
      <c r="M2133" s="2266">
        <v>599</v>
      </c>
    </row>
    <row r="2134" spans="1:13" ht="15">
      <c r="A2134" s="2266" t="s">
        <v>4384</v>
      </c>
      <c r="B2134" s="2465" t="str">
        <f>CONCATENATE(LEFT(RIGHT(CONCATENATE("000",IFAData_TEA_1617!A2134),6),3),"-",(RIGHT(RIGHT(CONCATENATE("000",IFAData_TEA_1617!A2134),6),3)))</f>
        <v>233-901</v>
      </c>
      <c r="C2134" s="2266" t="s">
        <v>2460</v>
      </c>
      <c r="D2134" s="2266">
        <v>9</v>
      </c>
      <c r="E2134" s="2266">
        <v>2296</v>
      </c>
      <c r="F2134" s="2266" t="s">
        <v>6307</v>
      </c>
      <c r="G2134" s="2266" t="s">
        <v>7285</v>
      </c>
      <c r="H2134" s="2266">
        <v>866517</v>
      </c>
      <c r="I2134" s="2266">
        <v>330200</v>
      </c>
      <c r="J2134" s="2266">
        <v>0.43276539973787681</v>
      </c>
      <c r="K2134" s="2266">
        <v>374998.57588466583</v>
      </c>
      <c r="L2134" s="2266">
        <v>330200</v>
      </c>
      <c r="M2134" s="2266">
        <v>599</v>
      </c>
    </row>
    <row r="2135" spans="1:13" ht="15">
      <c r="A2135" s="2266" t="s">
        <v>4384</v>
      </c>
      <c r="B2135" s="2465" t="str">
        <f>CONCATENATE(LEFT(RIGHT(CONCATENATE("000",IFAData_TEA_1617!A2135),6),3),"-",(RIGHT(RIGHT(CONCATENATE("000",IFAData_TEA_1617!A2135),6),3)))</f>
        <v>233-901</v>
      </c>
      <c r="C2135" s="2266" t="s">
        <v>2460</v>
      </c>
      <c r="D2135" s="2266">
        <v>8</v>
      </c>
      <c r="E2135" s="2266">
        <v>2297</v>
      </c>
      <c r="F2135" s="2266" t="s">
        <v>6305</v>
      </c>
      <c r="G2135" s="2266" t="s">
        <v>6306</v>
      </c>
      <c r="H2135" s="2266">
        <v>1506687</v>
      </c>
      <c r="I2135" s="2266">
        <v>320655</v>
      </c>
      <c r="J2135" s="2266">
        <v>0.23118684638372886</v>
      </c>
      <c r="K2135" s="2266">
        <v>348326.21601736126</v>
      </c>
      <c r="L2135" s="2266">
        <v>320655</v>
      </c>
      <c r="M2135" s="2266">
        <v>599</v>
      </c>
    </row>
    <row r="2136" spans="1:13" ht="15">
      <c r="A2136" s="2266" t="s">
        <v>4385</v>
      </c>
      <c r="B2136" s="2465" t="str">
        <f>CONCATENATE(LEFT(RIGHT(CONCATENATE("000",IFAData_TEA_1617!A2136),6),3),"-",(RIGHT(RIGHT(CONCATENATE("000",IFAData_TEA_1617!A2136),6),3)))</f>
        <v>234-902</v>
      </c>
      <c r="C2136" s="2266" t="s">
        <v>1310</v>
      </c>
      <c r="D2136" s="2266">
        <v>10</v>
      </c>
      <c r="E2136" s="2266">
        <v>1661</v>
      </c>
      <c r="F2136" s="2266" t="s">
        <v>6308</v>
      </c>
      <c r="G2136" s="2266" t="s">
        <v>7067</v>
      </c>
      <c r="H2136" s="2266">
        <v>944380</v>
      </c>
      <c r="I2136" s="2266">
        <v>394066</v>
      </c>
      <c r="J2136" s="2266">
        <v>0.35221509766522291</v>
      </c>
      <c r="K2136" s="2266">
        <v>332624.89393308322</v>
      </c>
      <c r="L2136" s="2266">
        <v>332624.89393308322</v>
      </c>
      <c r="M2136" s="2266">
        <v>599</v>
      </c>
    </row>
    <row r="2137" spans="1:13" ht="15">
      <c r="A2137" s="2266" t="s">
        <v>4385</v>
      </c>
      <c r="B2137" s="2465" t="str">
        <f>CONCATENATE(LEFT(RIGHT(CONCATENATE("000",IFAData_TEA_1617!A2137),6),3),"-",(RIGHT(RIGHT(CONCATENATE("000",IFAData_TEA_1617!A2137),6),3)))</f>
        <v>234-902</v>
      </c>
      <c r="C2137" s="2266" t="s">
        <v>1310</v>
      </c>
      <c r="D2137" s="2266">
        <v>10</v>
      </c>
      <c r="E2137" s="2266">
        <v>1661</v>
      </c>
      <c r="F2137" s="2266" t="s">
        <v>6308</v>
      </c>
      <c r="G2137" s="2266" t="s">
        <v>7068</v>
      </c>
      <c r="H2137" s="2266">
        <v>944380</v>
      </c>
      <c r="I2137" s="2266">
        <v>284416</v>
      </c>
      <c r="J2137" s="2266">
        <v>0.25421023183312447</v>
      </c>
      <c r="K2137" s="2266">
        <v>240071.05873856609</v>
      </c>
      <c r="L2137" s="2266">
        <v>240071.05873856609</v>
      </c>
      <c r="M2137" s="2266">
        <v>599</v>
      </c>
    </row>
    <row r="2138" spans="1:13" ht="15">
      <c r="A2138" s="2266" t="s">
        <v>4385</v>
      </c>
      <c r="B2138" s="2465" t="str">
        <f>CONCATENATE(LEFT(RIGHT(CONCATENATE("000",IFAData_TEA_1617!A2138),6),3),"-",(RIGHT(RIGHT(CONCATENATE("000",IFAData_TEA_1617!A2138),6),3)))</f>
        <v>234-902</v>
      </c>
      <c r="C2138" s="2266" t="s">
        <v>1310</v>
      </c>
      <c r="D2138" s="2266">
        <v>10</v>
      </c>
      <c r="E2138" s="2266">
        <v>1661</v>
      </c>
      <c r="F2138" s="2266" t="s">
        <v>6308</v>
      </c>
      <c r="G2138" s="2266" t="s">
        <v>6308</v>
      </c>
      <c r="H2138" s="2266">
        <v>944380</v>
      </c>
      <c r="I2138" s="2266">
        <v>440340</v>
      </c>
      <c r="J2138" s="2266">
        <v>0.39357467050165262</v>
      </c>
      <c r="K2138" s="2266">
        <v>371684.04732835072</v>
      </c>
      <c r="L2138" s="2266">
        <v>371684.04732835072</v>
      </c>
      <c r="M2138" s="2266">
        <v>599</v>
      </c>
    </row>
    <row r="2139" spans="1:13" ht="15">
      <c r="A2139" s="2266" t="s">
        <v>4386</v>
      </c>
      <c r="B2139" s="2465" t="str">
        <f>CONCATENATE(LEFT(RIGHT(CONCATENATE("000",IFAData_TEA_1617!A2139),6),3),"-",(RIGHT(RIGHT(CONCATENATE("000",IFAData_TEA_1617!A2139),6),3)))</f>
        <v>234-904</v>
      </c>
      <c r="C2139" s="2266" t="s">
        <v>976</v>
      </c>
      <c r="D2139" s="2266">
        <v>5</v>
      </c>
      <c r="E2139" s="2266">
        <v>1857</v>
      </c>
      <c r="F2139" s="2266" t="s">
        <v>6309</v>
      </c>
      <c r="G2139" s="2266" t="s">
        <v>6309</v>
      </c>
      <c r="H2139" s="2266">
        <v>287500</v>
      </c>
      <c r="I2139" s="2266">
        <v>0</v>
      </c>
      <c r="J2139" s="2266">
        <v>0</v>
      </c>
      <c r="K2139" s="2266">
        <v>0</v>
      </c>
      <c r="L2139" s="2266">
        <v>0</v>
      </c>
      <c r="M2139" s="2266">
        <v>599</v>
      </c>
    </row>
    <row r="2140" spans="1:13" ht="15">
      <c r="A2140" s="2266" t="s">
        <v>4386</v>
      </c>
      <c r="B2140" s="2465" t="str">
        <f>CONCATENATE(LEFT(RIGHT(CONCATENATE("000",IFAData_TEA_1617!A2140),6),3),"-",(RIGHT(RIGHT(CONCATENATE("000",IFAData_TEA_1617!A2140),6),3)))</f>
        <v>234-904</v>
      </c>
      <c r="C2140" s="2266" t="s">
        <v>976</v>
      </c>
      <c r="D2140" s="2266">
        <v>5</v>
      </c>
      <c r="E2140" s="2266">
        <v>1857</v>
      </c>
      <c r="F2140" s="2266" t="s">
        <v>6309</v>
      </c>
      <c r="G2140" s="2266" t="s">
        <v>6310</v>
      </c>
      <c r="H2140" s="2266">
        <v>287500</v>
      </c>
      <c r="I2140" s="2266">
        <v>558840</v>
      </c>
      <c r="J2140" s="2266">
        <v>1</v>
      </c>
      <c r="K2140" s="2266">
        <v>287500</v>
      </c>
      <c r="L2140" s="2266">
        <v>287500</v>
      </c>
      <c r="M2140" s="2266">
        <v>599</v>
      </c>
    </row>
    <row r="2141" spans="1:13" ht="15">
      <c r="A2141" s="2266" t="s">
        <v>4387</v>
      </c>
      <c r="B2141" s="2465" t="str">
        <f>CONCATENATE(LEFT(RIGHT(CONCATENATE("000",IFAData_TEA_1617!A2141),6),3),"-",(RIGHT(RIGHT(CONCATENATE("000",IFAData_TEA_1617!A2141),6),3)))</f>
        <v>234-905</v>
      </c>
      <c r="C2141" s="2266" t="s">
        <v>2359</v>
      </c>
      <c r="D2141" s="2266">
        <v>2</v>
      </c>
      <c r="E2141" s="2266">
        <v>2070</v>
      </c>
      <c r="F2141" s="2266" t="s">
        <v>6311</v>
      </c>
      <c r="G2141" s="2266" t="s">
        <v>6311</v>
      </c>
      <c r="H2141" s="2266">
        <v>95558</v>
      </c>
      <c r="I2141" s="2266">
        <v>0</v>
      </c>
      <c r="J2141" s="2266">
        <v>0</v>
      </c>
      <c r="K2141" s="2266">
        <v>0</v>
      </c>
      <c r="L2141" s="2266">
        <v>0</v>
      </c>
      <c r="M2141" s="2266">
        <v>599</v>
      </c>
    </row>
    <row r="2142" spans="1:13" ht="15">
      <c r="A2142" s="2266" t="s">
        <v>4387</v>
      </c>
      <c r="B2142" s="2465" t="str">
        <f>CONCATENATE(LEFT(RIGHT(CONCATENATE("000",IFAData_TEA_1617!A2142),6),3),"-",(RIGHT(RIGHT(CONCATENATE("000",IFAData_TEA_1617!A2142),6),3)))</f>
        <v>234-905</v>
      </c>
      <c r="C2142" s="2266" t="s">
        <v>2359</v>
      </c>
      <c r="D2142" s="2266">
        <v>2</v>
      </c>
      <c r="E2142" s="2266">
        <v>2070</v>
      </c>
      <c r="F2142" s="2266" t="s">
        <v>6311</v>
      </c>
      <c r="G2142" s="2266" t="s">
        <v>6312</v>
      </c>
      <c r="H2142" s="2266">
        <v>95558</v>
      </c>
      <c r="I2142" s="2266">
        <v>63913</v>
      </c>
      <c r="J2142" s="2266">
        <v>1</v>
      </c>
      <c r="K2142" s="2266">
        <v>95558</v>
      </c>
      <c r="L2142" s="2266">
        <v>63913</v>
      </c>
      <c r="M2142" s="2266">
        <v>599</v>
      </c>
    </row>
    <row r="2143" spans="1:13" ht="15">
      <c r="A2143" s="2266" t="s">
        <v>4387</v>
      </c>
      <c r="B2143" s="2465" t="str">
        <f>CONCATENATE(LEFT(RIGHT(CONCATENATE("000",IFAData_TEA_1617!A2143),6),3),"-",(RIGHT(RIGHT(CONCATENATE("000",IFAData_TEA_1617!A2143),6),3)))</f>
        <v>234-905</v>
      </c>
      <c r="C2143" s="2266" t="s">
        <v>2359</v>
      </c>
      <c r="D2143" s="2266">
        <v>10</v>
      </c>
      <c r="E2143" s="2266">
        <v>2071</v>
      </c>
      <c r="F2143" s="2266" t="s">
        <v>6313</v>
      </c>
      <c r="G2143" s="2266" t="s">
        <v>6313</v>
      </c>
      <c r="H2143" s="2266">
        <v>121250</v>
      </c>
      <c r="I2143" s="2266">
        <v>147369</v>
      </c>
      <c r="J2143" s="2266">
        <v>1</v>
      </c>
      <c r="K2143" s="2266">
        <v>121250</v>
      </c>
      <c r="L2143" s="2266">
        <v>121250</v>
      </c>
      <c r="M2143" s="2266">
        <v>599</v>
      </c>
    </row>
    <row r="2144" spans="1:13" ht="15">
      <c r="A2144" s="2266" t="s">
        <v>4388</v>
      </c>
      <c r="B2144" s="2465" t="str">
        <f>CONCATENATE(LEFT(RIGHT(CONCATENATE("000",IFAData_TEA_1617!A2144),6),3),"-",(RIGHT(RIGHT(CONCATENATE("000",IFAData_TEA_1617!A2144),6),3)))</f>
        <v>234-906</v>
      </c>
      <c r="C2144" s="2266" t="s">
        <v>1311</v>
      </c>
      <c r="D2144" s="2266">
        <v>9</v>
      </c>
      <c r="E2144" s="2266">
        <v>2421</v>
      </c>
      <c r="F2144" s="2266" t="s">
        <v>6314</v>
      </c>
      <c r="G2144" s="2266" t="s">
        <v>7069</v>
      </c>
      <c r="H2144" s="2266">
        <v>518746</v>
      </c>
      <c r="I2144" s="2266">
        <v>219793</v>
      </c>
      <c r="J2144" s="2266">
        <v>0.18786802321158563</v>
      </c>
      <c r="K2144" s="2266">
        <v>97455.785568917199</v>
      </c>
      <c r="L2144" s="2266">
        <v>97455.785568917199</v>
      </c>
      <c r="M2144" s="2266">
        <v>599</v>
      </c>
    </row>
    <row r="2145" spans="1:13" ht="15">
      <c r="A2145" s="2266" t="s">
        <v>4388</v>
      </c>
      <c r="B2145" s="2465" t="str">
        <f>CONCATENATE(LEFT(RIGHT(CONCATENATE("000",IFAData_TEA_1617!A2145),6),3),"-",(RIGHT(RIGHT(CONCATENATE("000",IFAData_TEA_1617!A2145),6),3)))</f>
        <v>234-906</v>
      </c>
      <c r="C2145" s="2266" t="s">
        <v>1311</v>
      </c>
      <c r="D2145" s="2266">
        <v>9</v>
      </c>
      <c r="E2145" s="2266">
        <v>2421</v>
      </c>
      <c r="F2145" s="2266" t="s">
        <v>6314</v>
      </c>
      <c r="G2145" s="2266" t="s">
        <v>7070</v>
      </c>
      <c r="H2145" s="2266">
        <v>518746</v>
      </c>
      <c r="I2145" s="2266">
        <v>285056</v>
      </c>
      <c r="J2145" s="2266">
        <v>0.24365155953375109</v>
      </c>
      <c r="K2145" s="2266">
        <v>126393.27190189525</v>
      </c>
      <c r="L2145" s="2266">
        <v>126393.27190189525</v>
      </c>
      <c r="M2145" s="2266">
        <v>599</v>
      </c>
    </row>
    <row r="2146" spans="1:13" ht="15">
      <c r="A2146" s="2266" t="s">
        <v>4388</v>
      </c>
      <c r="B2146" s="2465" t="str">
        <f>CONCATENATE(LEFT(RIGHT(CONCATENATE("000",IFAData_TEA_1617!A2146),6),3),"-",(RIGHT(RIGHT(CONCATENATE("000",IFAData_TEA_1617!A2146),6),3)))</f>
        <v>234-906</v>
      </c>
      <c r="C2146" s="2266" t="s">
        <v>1311</v>
      </c>
      <c r="D2146" s="2266">
        <v>9</v>
      </c>
      <c r="E2146" s="2266">
        <v>2421</v>
      </c>
      <c r="F2146" s="2266" t="s">
        <v>6314</v>
      </c>
      <c r="G2146" s="2266" t="s">
        <v>6314</v>
      </c>
      <c r="H2146" s="2266">
        <v>518746</v>
      </c>
      <c r="I2146" s="2266">
        <v>481535</v>
      </c>
      <c r="J2146" s="2266">
        <v>0.41159194586356657</v>
      </c>
      <c r="K2146" s="2266">
        <v>213511.67554894171</v>
      </c>
      <c r="L2146" s="2266">
        <v>213511.67554894171</v>
      </c>
      <c r="M2146" s="2266">
        <v>599</v>
      </c>
    </row>
    <row r="2147" spans="1:13" ht="15">
      <c r="A2147" s="2266" t="s">
        <v>4388</v>
      </c>
      <c r="B2147" s="2465" t="str">
        <f>CONCATENATE(LEFT(RIGHT(CONCATENATE("000",IFAData_TEA_1617!A2147),6),3),"-",(RIGHT(RIGHT(CONCATENATE("000",IFAData_TEA_1617!A2147),6),3)))</f>
        <v>234-906</v>
      </c>
      <c r="C2147" s="2266" t="s">
        <v>1311</v>
      </c>
      <c r="D2147" s="2266">
        <v>9</v>
      </c>
      <c r="E2147" s="2266">
        <v>2421</v>
      </c>
      <c r="F2147" s="2266" t="s">
        <v>6314</v>
      </c>
      <c r="G2147" s="2266" t="s">
        <v>7286</v>
      </c>
      <c r="H2147" s="2266">
        <v>518746</v>
      </c>
      <c r="I2147" s="2266">
        <v>183549</v>
      </c>
      <c r="J2147" s="2266">
        <v>0.15688847139109677</v>
      </c>
      <c r="K2147" s="2266">
        <v>81385.266980245884</v>
      </c>
      <c r="L2147" s="2266">
        <v>81385.266980245884</v>
      </c>
      <c r="M2147" s="2266">
        <v>599</v>
      </c>
    </row>
    <row r="2148" spans="1:13" ht="15">
      <c r="A2148" s="2266" t="s">
        <v>4389</v>
      </c>
      <c r="B2148" s="2465" t="str">
        <f>CONCATENATE(LEFT(RIGHT(CONCATENATE("000",IFAData_TEA_1617!A2148),6),3),"-",(RIGHT(RIGHT(CONCATENATE("000",IFAData_TEA_1617!A2148),6),3)))</f>
        <v>234-909</v>
      </c>
      <c r="C2148" s="2266" t="s">
        <v>1668</v>
      </c>
      <c r="D2148" s="2266">
        <v>6</v>
      </c>
      <c r="E2148" s="2266">
        <v>1832</v>
      </c>
      <c r="F2148" s="2266" t="s">
        <v>6315</v>
      </c>
      <c r="G2148" s="2266" t="s">
        <v>6316</v>
      </c>
      <c r="H2148" s="2266">
        <v>95608</v>
      </c>
      <c r="I2148" s="2266">
        <v>94150</v>
      </c>
      <c r="J2148" s="2266">
        <v>1</v>
      </c>
      <c r="K2148" s="2266">
        <v>95608</v>
      </c>
      <c r="L2148" s="2266">
        <v>94150</v>
      </c>
      <c r="M2148" s="2266">
        <v>599</v>
      </c>
    </row>
    <row r="2149" spans="1:13" ht="15">
      <c r="A2149" s="2266" t="s">
        <v>4389</v>
      </c>
      <c r="B2149" s="2465" t="str">
        <f>CONCATENATE(LEFT(RIGHT(CONCATENATE("000",IFAData_TEA_1617!A2149),6),3),"-",(RIGHT(RIGHT(CONCATENATE("000",IFAData_TEA_1617!A2149),6),3)))</f>
        <v>234-909</v>
      </c>
      <c r="C2149" s="2266" t="s">
        <v>1668</v>
      </c>
      <c r="D2149" s="2266">
        <v>6</v>
      </c>
      <c r="E2149" s="2266">
        <v>1832</v>
      </c>
      <c r="F2149" s="2266" t="s">
        <v>6315</v>
      </c>
      <c r="G2149" s="2266" t="s">
        <v>6315</v>
      </c>
      <c r="H2149" s="2266">
        <v>95608</v>
      </c>
      <c r="I2149" s="2266">
        <v>0</v>
      </c>
      <c r="J2149" s="2266">
        <v>0</v>
      </c>
      <c r="K2149" s="2266">
        <v>0</v>
      </c>
      <c r="L2149" s="2266">
        <v>0</v>
      </c>
      <c r="M2149" s="2266">
        <v>599</v>
      </c>
    </row>
    <row r="2150" spans="1:13" ht="15">
      <c r="A2150" s="2266" t="s">
        <v>4390</v>
      </c>
      <c r="B2150" s="2465" t="str">
        <f>CONCATENATE(LEFT(RIGHT(CONCATENATE("000",IFAData_TEA_1617!A2150),6),3),"-",(RIGHT(RIGHT(CONCATENATE("000",IFAData_TEA_1617!A2150),6),3)))</f>
        <v>235-901</v>
      </c>
      <c r="C2150" s="2266" t="s">
        <v>1520</v>
      </c>
      <c r="D2150" s="2266">
        <v>3</v>
      </c>
      <c r="E2150" s="2266">
        <v>1620</v>
      </c>
      <c r="F2150" s="2266" t="s">
        <v>6317</v>
      </c>
      <c r="G2150" s="2266" t="s">
        <v>6318</v>
      </c>
      <c r="H2150" s="2266">
        <v>239379</v>
      </c>
      <c r="I2150" s="2266">
        <v>0</v>
      </c>
      <c r="J2150" s="2266">
        <v>0</v>
      </c>
      <c r="K2150" s="2266">
        <v>0</v>
      </c>
      <c r="L2150" s="2266">
        <v>0</v>
      </c>
      <c r="M2150" s="2266">
        <v>599</v>
      </c>
    </row>
    <row r="2151" spans="1:13" ht="15">
      <c r="A2151" s="2266" t="s">
        <v>4390</v>
      </c>
      <c r="B2151" s="2465" t="str">
        <f>CONCATENATE(LEFT(RIGHT(CONCATENATE("000",IFAData_TEA_1617!A2151),6),3),"-",(RIGHT(RIGHT(CONCATENATE("000",IFAData_TEA_1617!A2151),6),3)))</f>
        <v>235-901</v>
      </c>
      <c r="C2151" s="2266" t="s">
        <v>1520</v>
      </c>
      <c r="D2151" s="2266">
        <v>6</v>
      </c>
      <c r="E2151" s="2266">
        <v>1619</v>
      </c>
      <c r="F2151" s="2266" t="s">
        <v>6319</v>
      </c>
      <c r="G2151" s="2266" t="s">
        <v>6318</v>
      </c>
      <c r="H2151" s="2266">
        <v>218942</v>
      </c>
      <c r="I2151" s="2266">
        <v>78918</v>
      </c>
      <c r="J2151" s="2266">
        <v>0.27325988047174188</v>
      </c>
      <c r="K2151" s="2266">
        <v>59828.064750244113</v>
      </c>
      <c r="L2151" s="2266">
        <v>59828.064750244113</v>
      </c>
      <c r="M2151" s="2266">
        <v>599</v>
      </c>
    </row>
    <row r="2152" spans="1:13" ht="15">
      <c r="A2152" s="2266" t="s">
        <v>4390</v>
      </c>
      <c r="B2152" s="2465" t="str">
        <f>CONCATENATE(LEFT(RIGHT(CONCATENATE("000",IFAData_TEA_1617!A2152),6),3),"-",(RIGHT(RIGHT(CONCATENATE("000",IFAData_TEA_1617!A2152),6),3)))</f>
        <v>235-901</v>
      </c>
      <c r="C2152" s="2266" t="s">
        <v>1520</v>
      </c>
      <c r="D2152" s="2266">
        <v>6</v>
      </c>
      <c r="E2152" s="2266">
        <v>1619</v>
      </c>
      <c r="F2152" s="2266" t="s">
        <v>6319</v>
      </c>
      <c r="G2152" s="2266" t="s">
        <v>6320</v>
      </c>
      <c r="H2152" s="2266">
        <v>218942</v>
      </c>
      <c r="I2152" s="2266">
        <v>137082</v>
      </c>
      <c r="J2152" s="2266">
        <v>0.47465737771899086</v>
      </c>
      <c r="K2152" s="2266">
        <v>103922.43559255129</v>
      </c>
      <c r="L2152" s="2266">
        <v>103922.43559255129</v>
      </c>
      <c r="M2152" s="2266">
        <v>599</v>
      </c>
    </row>
    <row r="2153" spans="1:13" ht="15">
      <c r="A2153" s="2266" t="s">
        <v>4390</v>
      </c>
      <c r="B2153" s="2465" t="str">
        <f>CONCATENATE(LEFT(RIGHT(CONCATENATE("000",IFAData_TEA_1617!A2153),6),3),"-",(RIGHT(RIGHT(CONCATENATE("000",IFAData_TEA_1617!A2153),6),3)))</f>
        <v>235-901</v>
      </c>
      <c r="C2153" s="2266" t="s">
        <v>1520</v>
      </c>
      <c r="D2153" s="2266">
        <v>10</v>
      </c>
      <c r="E2153" s="2266">
        <v>1618</v>
      </c>
      <c r="F2153" s="2266" t="s">
        <v>6321</v>
      </c>
      <c r="G2153" s="2266" t="s">
        <v>6321</v>
      </c>
      <c r="H2153" s="2266">
        <v>191935</v>
      </c>
      <c r="I2153" s="2266">
        <v>133663</v>
      </c>
      <c r="J2153" s="2266">
        <v>0.29881981565068866</v>
      </c>
      <c r="K2153" s="2266">
        <v>57353.981316914927</v>
      </c>
      <c r="L2153" s="2266">
        <v>57353.981316914927</v>
      </c>
      <c r="M2153" s="2266">
        <v>599</v>
      </c>
    </row>
    <row r="2154" spans="1:13" ht="15">
      <c r="A2154" s="2266" t="s">
        <v>4390</v>
      </c>
      <c r="B2154" s="2465" t="str">
        <f>CONCATENATE(LEFT(RIGHT(CONCATENATE("000",IFAData_TEA_1617!A2154),6),3),"-",(RIGHT(RIGHT(CONCATENATE("000",IFAData_TEA_1617!A2154),6),3)))</f>
        <v>235-901</v>
      </c>
      <c r="C2154" s="2266" t="s">
        <v>1520</v>
      </c>
      <c r="D2154" s="2266">
        <v>3</v>
      </c>
      <c r="E2154" s="2266">
        <v>1620</v>
      </c>
      <c r="F2154" s="2266" t="s">
        <v>6317</v>
      </c>
      <c r="G2154" s="2266" t="s">
        <v>6317</v>
      </c>
      <c r="H2154" s="2266">
        <v>239379</v>
      </c>
      <c r="I2154" s="2266">
        <v>0</v>
      </c>
      <c r="J2154" s="2266">
        <v>0</v>
      </c>
      <c r="K2154" s="2266">
        <v>0</v>
      </c>
      <c r="L2154" s="2266">
        <v>0</v>
      </c>
      <c r="M2154" s="2266">
        <v>599</v>
      </c>
    </row>
    <row r="2155" spans="1:13" ht="15">
      <c r="A2155" s="2266" t="s">
        <v>4390</v>
      </c>
      <c r="B2155" s="2465" t="str">
        <f>CONCATENATE(LEFT(RIGHT(CONCATENATE("000",IFAData_TEA_1617!A2155),6),3),"-",(RIGHT(RIGHT(CONCATENATE("000",IFAData_TEA_1617!A2155),6),3)))</f>
        <v>235-901</v>
      </c>
      <c r="C2155" s="2266" t="s">
        <v>1520</v>
      </c>
      <c r="D2155" s="2266">
        <v>6</v>
      </c>
      <c r="E2155" s="2266">
        <v>1619</v>
      </c>
      <c r="F2155" s="2266" t="s">
        <v>6319</v>
      </c>
      <c r="G2155" s="2266" t="s">
        <v>7287</v>
      </c>
      <c r="H2155" s="2266">
        <v>218942</v>
      </c>
      <c r="I2155" s="2266">
        <v>72802</v>
      </c>
      <c r="J2155" s="2266">
        <v>0.25208274180926726</v>
      </c>
      <c r="K2155" s="2266">
        <v>55191.499657204593</v>
      </c>
      <c r="L2155" s="2266">
        <v>55191.499657204593</v>
      </c>
      <c r="M2155" s="2266">
        <v>599</v>
      </c>
    </row>
    <row r="2156" spans="1:13" ht="15">
      <c r="A2156" s="2266" t="s">
        <v>4390</v>
      </c>
      <c r="B2156" s="2465" t="str">
        <f>CONCATENATE(LEFT(RIGHT(CONCATENATE("000",IFAData_TEA_1617!A2156),6),3),"-",(RIGHT(RIGHT(CONCATENATE("000",IFAData_TEA_1617!A2156),6),3)))</f>
        <v>235-901</v>
      </c>
      <c r="C2156" s="2266" t="s">
        <v>1520</v>
      </c>
      <c r="D2156" s="2266">
        <v>3</v>
      </c>
      <c r="E2156" s="2266">
        <v>1620</v>
      </c>
      <c r="F2156" s="2266" t="s">
        <v>6317</v>
      </c>
      <c r="G2156" s="2266" t="s">
        <v>7287</v>
      </c>
      <c r="H2156" s="2266">
        <v>239379</v>
      </c>
      <c r="I2156" s="2266">
        <v>75661</v>
      </c>
      <c r="J2156" s="2266">
        <v>1</v>
      </c>
      <c r="K2156" s="2266">
        <v>239379</v>
      </c>
      <c r="L2156" s="2266">
        <v>75661</v>
      </c>
      <c r="M2156" s="2266">
        <v>599</v>
      </c>
    </row>
    <row r="2157" spans="1:13" ht="15">
      <c r="A2157" s="2266" t="s">
        <v>4390</v>
      </c>
      <c r="B2157" s="2465" t="str">
        <f>CONCATENATE(LEFT(RIGHT(CONCATENATE("000",IFAData_TEA_1617!A2157),6),3),"-",(RIGHT(RIGHT(CONCATENATE("000",IFAData_TEA_1617!A2157),6),3)))</f>
        <v>235-901</v>
      </c>
      <c r="C2157" s="2266" t="s">
        <v>1520</v>
      </c>
      <c r="D2157" s="2266">
        <v>6</v>
      </c>
      <c r="E2157" s="2266">
        <v>1619</v>
      </c>
      <c r="F2157" s="2266" t="s">
        <v>6319</v>
      </c>
      <c r="G2157" s="2266" t="s">
        <v>6319</v>
      </c>
      <c r="H2157" s="2266">
        <v>218942</v>
      </c>
      <c r="I2157" s="2266">
        <v>0</v>
      </c>
      <c r="J2157" s="2266">
        <v>0</v>
      </c>
      <c r="K2157" s="2266">
        <v>0</v>
      </c>
      <c r="L2157" s="2266">
        <v>0</v>
      </c>
      <c r="M2157" s="2266">
        <v>599</v>
      </c>
    </row>
    <row r="2158" spans="1:13" ht="15">
      <c r="A2158" s="2266" t="s">
        <v>4390</v>
      </c>
      <c r="B2158" s="2465" t="str">
        <f>CONCATENATE(LEFT(RIGHT(CONCATENATE("000",IFAData_TEA_1617!A2158),6),3),"-",(RIGHT(RIGHT(CONCATENATE("000",IFAData_TEA_1617!A2158),6),3)))</f>
        <v>235-901</v>
      </c>
      <c r="C2158" s="2266" t="s">
        <v>1520</v>
      </c>
      <c r="D2158" s="2266">
        <v>10</v>
      </c>
      <c r="E2158" s="2266">
        <v>1618</v>
      </c>
      <c r="F2158" s="2266" t="s">
        <v>6321</v>
      </c>
      <c r="G2158" s="2266" t="s">
        <v>7287</v>
      </c>
      <c r="H2158" s="2266">
        <v>191935</v>
      </c>
      <c r="I2158" s="2266">
        <v>313640</v>
      </c>
      <c r="J2158" s="2266">
        <v>0.70118018434931129</v>
      </c>
      <c r="K2158" s="2266">
        <v>134581.01868308507</v>
      </c>
      <c r="L2158" s="2266">
        <v>134581.01868308507</v>
      </c>
      <c r="M2158" s="2266">
        <v>599</v>
      </c>
    </row>
    <row r="2159" spans="1:13" ht="15">
      <c r="A2159" s="2266" t="s">
        <v>4391</v>
      </c>
      <c r="B2159" s="2465" t="str">
        <f>CONCATENATE(LEFT(RIGHT(CONCATENATE("000",IFAData_TEA_1617!A2159),6),3),"-",(RIGHT(RIGHT(CONCATENATE("000",IFAData_TEA_1617!A2159),6),3)))</f>
        <v>235-902</v>
      </c>
      <c r="C2159" s="2266" t="s">
        <v>155</v>
      </c>
      <c r="D2159" s="2266">
        <v>2</v>
      </c>
      <c r="E2159" s="2266">
        <v>2426</v>
      </c>
      <c r="F2159" s="2266" t="s">
        <v>6322</v>
      </c>
      <c r="G2159" s="2266" t="s">
        <v>7071</v>
      </c>
      <c r="H2159" s="2266">
        <v>2126212</v>
      </c>
      <c r="I2159" s="2266">
        <v>1688877</v>
      </c>
      <c r="J2159" s="2266">
        <v>1</v>
      </c>
      <c r="K2159" s="2266">
        <v>2126212</v>
      </c>
      <c r="L2159" s="2266">
        <v>1688877</v>
      </c>
      <c r="M2159" s="2266">
        <v>599</v>
      </c>
    </row>
    <row r="2160" spans="1:13" ht="15">
      <c r="A2160" s="2266" t="s">
        <v>4391</v>
      </c>
      <c r="B2160" s="2465" t="str">
        <f>CONCATENATE(LEFT(RIGHT(CONCATENATE("000",IFAData_TEA_1617!A2160),6),3),"-",(RIGHT(RIGHT(CONCATENATE("000",IFAData_TEA_1617!A2160),6),3)))</f>
        <v>235-902</v>
      </c>
      <c r="C2160" s="2266" t="s">
        <v>155</v>
      </c>
      <c r="D2160" s="2266">
        <v>2</v>
      </c>
      <c r="E2160" s="2266">
        <v>2426</v>
      </c>
      <c r="F2160" s="2266" t="s">
        <v>6322</v>
      </c>
      <c r="G2160" s="2266" t="s">
        <v>6322</v>
      </c>
      <c r="H2160" s="2266">
        <v>2126212</v>
      </c>
      <c r="I2160" s="2266">
        <v>0</v>
      </c>
      <c r="J2160" s="2266">
        <v>0</v>
      </c>
      <c r="K2160" s="2266">
        <v>0</v>
      </c>
      <c r="L2160" s="2266">
        <v>0</v>
      </c>
      <c r="M2160" s="2266">
        <v>599</v>
      </c>
    </row>
    <row r="2161" spans="1:13" ht="15">
      <c r="A2161" s="2266" t="s">
        <v>4391</v>
      </c>
      <c r="B2161" s="2465" t="str">
        <f>CONCATENATE(LEFT(RIGHT(CONCATENATE("000",IFAData_TEA_1617!A2161),6),3),"-",(RIGHT(RIGHT(CONCATENATE("000",IFAData_TEA_1617!A2161),6),3)))</f>
        <v>235-902</v>
      </c>
      <c r="C2161" s="2266" t="s">
        <v>155</v>
      </c>
      <c r="D2161" s="2266">
        <v>2</v>
      </c>
      <c r="E2161" s="2266">
        <v>2426</v>
      </c>
      <c r="F2161" s="2266" t="s">
        <v>6322</v>
      </c>
      <c r="G2161" s="2266" t="s">
        <v>6323</v>
      </c>
      <c r="H2161" s="2266">
        <v>2126212</v>
      </c>
      <c r="I2161" s="2266">
        <v>0</v>
      </c>
      <c r="J2161" s="2266">
        <v>0</v>
      </c>
      <c r="K2161" s="2266">
        <v>0</v>
      </c>
      <c r="L2161" s="2266">
        <v>0</v>
      </c>
      <c r="M2161" s="2266">
        <v>599</v>
      </c>
    </row>
    <row r="2162" spans="1:13" ht="15">
      <c r="A2162" s="2266" t="s">
        <v>4391</v>
      </c>
      <c r="B2162" s="2465" t="str">
        <f>CONCATENATE(LEFT(RIGHT(CONCATENATE("000",IFAData_TEA_1617!A2162),6),3),"-",(RIGHT(RIGHT(CONCATENATE("000",IFAData_TEA_1617!A2162),6),3)))</f>
        <v>235-902</v>
      </c>
      <c r="C2162" s="2266" t="s">
        <v>155</v>
      </c>
      <c r="D2162" s="2266">
        <v>9</v>
      </c>
      <c r="E2162" s="2266">
        <v>2427</v>
      </c>
      <c r="F2162" s="2266" t="s">
        <v>6324</v>
      </c>
      <c r="G2162" s="2266" t="s">
        <v>6324</v>
      </c>
      <c r="H2162" s="2266">
        <v>3088095</v>
      </c>
      <c r="I2162" s="2266">
        <v>6119707</v>
      </c>
      <c r="J2162" s="2266">
        <v>1</v>
      </c>
      <c r="K2162" s="2266">
        <v>3088095</v>
      </c>
      <c r="L2162" s="2266">
        <v>3088095</v>
      </c>
      <c r="M2162" s="2266">
        <v>599</v>
      </c>
    </row>
    <row r="2163" spans="1:13" ht="15">
      <c r="A2163" s="2266" t="s">
        <v>4392</v>
      </c>
      <c r="B2163" s="2465" t="str">
        <f>CONCATENATE(LEFT(RIGHT(CONCATENATE("000",IFAData_TEA_1617!A2163),6),3),"-",(RIGHT(RIGHT(CONCATENATE("000",IFAData_TEA_1617!A2163),6),3)))</f>
        <v>236-901</v>
      </c>
      <c r="C2163" s="2266" t="s">
        <v>1307</v>
      </c>
      <c r="D2163" s="2266">
        <v>6</v>
      </c>
      <c r="E2163" s="2266">
        <v>2144</v>
      </c>
      <c r="F2163" s="2266" t="s">
        <v>6327</v>
      </c>
      <c r="G2163" s="2266" t="s">
        <v>6328</v>
      </c>
      <c r="H2163" s="2266">
        <v>207728</v>
      </c>
      <c r="I2163" s="2266">
        <v>325924</v>
      </c>
      <c r="J2163" s="2266">
        <v>1</v>
      </c>
      <c r="K2163" s="2266">
        <v>207728</v>
      </c>
      <c r="L2163" s="2266">
        <v>207728</v>
      </c>
      <c r="M2163" s="2266">
        <v>599</v>
      </c>
    </row>
    <row r="2164" spans="1:13" ht="15">
      <c r="A2164" s="2266" t="s">
        <v>4392</v>
      </c>
      <c r="B2164" s="2465" t="str">
        <f>CONCATENATE(LEFT(RIGHT(CONCATENATE("000",IFAData_TEA_1617!A2164),6),3),"-",(RIGHT(RIGHT(CONCATENATE("000",IFAData_TEA_1617!A2164),6),3)))</f>
        <v>236-901</v>
      </c>
      <c r="C2164" s="2266" t="s">
        <v>1307</v>
      </c>
      <c r="D2164" s="2266">
        <v>2</v>
      </c>
      <c r="E2164" s="2266">
        <v>2145</v>
      </c>
      <c r="F2164" s="2266" t="s">
        <v>6325</v>
      </c>
      <c r="G2164" s="2266" t="s">
        <v>6325</v>
      </c>
      <c r="H2164" s="2266">
        <v>227546</v>
      </c>
      <c r="I2164" s="2266">
        <v>0</v>
      </c>
      <c r="J2164" s="2266">
        <v>0</v>
      </c>
      <c r="K2164" s="2266">
        <v>0</v>
      </c>
      <c r="L2164" s="2266">
        <v>0</v>
      </c>
      <c r="M2164" s="2266">
        <v>599</v>
      </c>
    </row>
    <row r="2165" spans="1:13" ht="15">
      <c r="A2165" s="2266" t="s">
        <v>4392</v>
      </c>
      <c r="B2165" s="2465" t="str">
        <f>CONCATENATE(LEFT(RIGHT(CONCATENATE("000",IFAData_TEA_1617!A2165),6),3),"-",(RIGHT(RIGHT(CONCATENATE("000",IFAData_TEA_1617!A2165),6),3)))</f>
        <v>236-901</v>
      </c>
      <c r="C2165" s="2266" t="s">
        <v>1307</v>
      </c>
      <c r="D2165" s="2266">
        <v>2</v>
      </c>
      <c r="E2165" s="2266">
        <v>2145</v>
      </c>
      <c r="F2165" s="2266" t="s">
        <v>6325</v>
      </c>
      <c r="G2165" s="2266" t="s">
        <v>6326</v>
      </c>
      <c r="H2165" s="2266">
        <v>227546</v>
      </c>
      <c r="I2165" s="2266">
        <v>266138</v>
      </c>
      <c r="J2165" s="2266">
        <v>1</v>
      </c>
      <c r="K2165" s="2266">
        <v>227546</v>
      </c>
      <c r="L2165" s="2266">
        <v>227546</v>
      </c>
      <c r="M2165" s="2266">
        <v>599</v>
      </c>
    </row>
    <row r="2166" spans="1:13" ht="15">
      <c r="A2166" s="2266" t="s">
        <v>4392</v>
      </c>
      <c r="B2166" s="2465" t="str">
        <f>CONCATENATE(LEFT(RIGHT(CONCATENATE("000",IFAData_TEA_1617!A2166),6),3),"-",(RIGHT(RIGHT(CONCATENATE("000",IFAData_TEA_1617!A2166),6),3)))</f>
        <v>236-901</v>
      </c>
      <c r="C2166" s="2266" t="s">
        <v>1307</v>
      </c>
      <c r="D2166" s="2266">
        <v>6</v>
      </c>
      <c r="E2166" s="2266">
        <v>2144</v>
      </c>
      <c r="F2166" s="2266" t="s">
        <v>6327</v>
      </c>
      <c r="G2166" s="2266" t="s">
        <v>6327</v>
      </c>
      <c r="H2166" s="2266">
        <v>207728</v>
      </c>
      <c r="I2166" s="2266">
        <v>0</v>
      </c>
      <c r="J2166" s="2266">
        <v>0</v>
      </c>
      <c r="K2166" s="2266">
        <v>0</v>
      </c>
      <c r="L2166" s="2266">
        <v>0</v>
      </c>
      <c r="M2166" s="2266">
        <v>599</v>
      </c>
    </row>
    <row r="2167" spans="1:13" ht="15">
      <c r="A2167" s="2266" t="s">
        <v>4393</v>
      </c>
      <c r="B2167" s="2465" t="str">
        <f>CONCATENATE(LEFT(RIGHT(CONCATENATE("000",IFAData_TEA_1617!A2167),6),3),"-",(RIGHT(RIGHT(CONCATENATE("000",IFAData_TEA_1617!A2167),6),3)))</f>
        <v>236-902</v>
      </c>
      <c r="C2167" s="2266" t="s">
        <v>106</v>
      </c>
      <c r="D2167" s="2266">
        <v>10</v>
      </c>
      <c r="E2167" s="2266">
        <v>1919</v>
      </c>
      <c r="F2167" s="2266" t="s">
        <v>6329</v>
      </c>
      <c r="G2167" s="2266" t="s">
        <v>6329</v>
      </c>
      <c r="H2167" s="2266">
        <v>470421</v>
      </c>
      <c r="I2167" s="2266">
        <v>485283</v>
      </c>
      <c r="J2167" s="2266">
        <v>1</v>
      </c>
      <c r="K2167" s="2266">
        <v>470421</v>
      </c>
      <c r="L2167" s="2266">
        <v>470421</v>
      </c>
      <c r="M2167" s="2266">
        <v>199</v>
      </c>
    </row>
    <row r="2168" spans="1:13" ht="15">
      <c r="A2168" s="2266" t="s">
        <v>4394</v>
      </c>
      <c r="B2168" s="2465" t="str">
        <f>CONCATENATE(LEFT(RIGHT(CONCATENATE("000",IFAData_TEA_1617!A2168),6),3),"-",(RIGHT(RIGHT(CONCATENATE("000",IFAData_TEA_1617!A2168),6),3)))</f>
        <v>237-902</v>
      </c>
      <c r="C2168" s="2266" t="s">
        <v>2722</v>
      </c>
      <c r="D2168" s="2266">
        <v>6</v>
      </c>
      <c r="E2168" s="2266">
        <v>1882</v>
      </c>
      <c r="F2168" s="2266" t="s">
        <v>6330</v>
      </c>
      <c r="G2168" s="2266" t="s">
        <v>7072</v>
      </c>
      <c r="H2168" s="2266">
        <v>361936</v>
      </c>
      <c r="I2168" s="2266">
        <v>370757</v>
      </c>
      <c r="J2168" s="2266">
        <v>1</v>
      </c>
      <c r="K2168" s="2266">
        <v>361936</v>
      </c>
      <c r="L2168" s="2266">
        <v>361936</v>
      </c>
      <c r="M2168" s="2266">
        <v>599</v>
      </c>
    </row>
    <row r="2169" spans="1:13" ht="15">
      <c r="A2169" s="2266" t="s">
        <v>4394</v>
      </c>
      <c r="B2169" s="2465" t="str">
        <f>CONCATENATE(LEFT(RIGHT(CONCATENATE("000",IFAData_TEA_1617!A2169),6),3),"-",(RIGHT(RIGHT(CONCATENATE("000",IFAData_TEA_1617!A2169),6),3)))</f>
        <v>237-902</v>
      </c>
      <c r="C2169" s="2266" t="s">
        <v>2722</v>
      </c>
      <c r="D2169" s="2266">
        <v>6</v>
      </c>
      <c r="E2169" s="2266">
        <v>1882</v>
      </c>
      <c r="F2169" s="2266" t="s">
        <v>6330</v>
      </c>
      <c r="G2169" s="2266" t="s">
        <v>6330</v>
      </c>
      <c r="H2169" s="2266">
        <v>361936</v>
      </c>
      <c r="I2169" s="2266">
        <v>0</v>
      </c>
      <c r="J2169" s="2266">
        <v>0</v>
      </c>
      <c r="K2169" s="2266">
        <v>0</v>
      </c>
      <c r="L2169" s="2266">
        <v>0</v>
      </c>
      <c r="M2169" s="2266">
        <v>599</v>
      </c>
    </row>
    <row r="2170" spans="1:13" ht="15">
      <c r="A2170" s="2266" t="s">
        <v>4394</v>
      </c>
      <c r="B2170" s="2465" t="str">
        <f>CONCATENATE(LEFT(RIGHT(CONCATENATE("000",IFAData_TEA_1617!A2170),6),3),"-",(RIGHT(RIGHT(CONCATENATE("000",IFAData_TEA_1617!A2170),6),3)))</f>
        <v>237-902</v>
      </c>
      <c r="C2170" s="2266" t="s">
        <v>2722</v>
      </c>
      <c r="D2170" s="2266">
        <v>6</v>
      </c>
      <c r="E2170" s="2266">
        <v>1882</v>
      </c>
      <c r="F2170" s="2266" t="s">
        <v>6330</v>
      </c>
      <c r="G2170" s="2266" t="s">
        <v>6331</v>
      </c>
      <c r="H2170" s="2266">
        <v>361936</v>
      </c>
      <c r="I2170" s="2266">
        <v>0</v>
      </c>
      <c r="J2170" s="2266">
        <v>0</v>
      </c>
      <c r="K2170" s="2266">
        <v>0</v>
      </c>
      <c r="L2170" s="2266">
        <v>0</v>
      </c>
      <c r="M2170" s="2266">
        <v>599</v>
      </c>
    </row>
    <row r="2171" spans="1:13" ht="15">
      <c r="A2171" s="2266" t="s">
        <v>4394</v>
      </c>
      <c r="B2171" s="2465" t="str">
        <f>CONCATENATE(LEFT(RIGHT(CONCATENATE("000",IFAData_TEA_1617!A2171),6),3),"-",(RIGHT(RIGHT(CONCATENATE("000",IFAData_TEA_1617!A2171),6),3)))</f>
        <v>237-902</v>
      </c>
      <c r="C2171" s="2266" t="s">
        <v>2722</v>
      </c>
      <c r="D2171" s="2266">
        <v>9</v>
      </c>
      <c r="E2171" s="2266">
        <v>1881</v>
      </c>
      <c r="F2171" s="2266" t="s">
        <v>6332</v>
      </c>
      <c r="G2171" s="2266" t="s">
        <v>7288</v>
      </c>
      <c r="H2171" s="2266">
        <v>294703</v>
      </c>
      <c r="I2171" s="2266">
        <v>239389</v>
      </c>
      <c r="J2171" s="2266">
        <v>0.54642547363615612</v>
      </c>
      <c r="K2171" s="2266">
        <v>161033.22635699611</v>
      </c>
      <c r="L2171" s="2266">
        <v>161033.22635699611</v>
      </c>
      <c r="M2171" s="2266">
        <v>599</v>
      </c>
    </row>
    <row r="2172" spans="1:13" ht="15">
      <c r="A2172" s="2266" t="s">
        <v>4394</v>
      </c>
      <c r="B2172" s="2465" t="str">
        <f>CONCATENATE(LEFT(RIGHT(CONCATENATE("000",IFAData_TEA_1617!A2172),6),3),"-",(RIGHT(RIGHT(CONCATENATE("000",IFAData_TEA_1617!A2172),6),3)))</f>
        <v>237-902</v>
      </c>
      <c r="C2172" s="2266" t="s">
        <v>2722</v>
      </c>
      <c r="D2172" s="2266">
        <v>9</v>
      </c>
      <c r="E2172" s="2266">
        <v>1881</v>
      </c>
      <c r="F2172" s="2266" t="s">
        <v>6332</v>
      </c>
      <c r="G2172" s="2266" t="s">
        <v>6332</v>
      </c>
      <c r="H2172" s="2266">
        <v>294703</v>
      </c>
      <c r="I2172" s="2266">
        <v>198711</v>
      </c>
      <c r="J2172" s="2266">
        <v>0.45357452636384388</v>
      </c>
      <c r="K2172" s="2266">
        <v>133669.77364300389</v>
      </c>
      <c r="L2172" s="2266">
        <v>133669.77364300389</v>
      </c>
      <c r="M2172" s="2266">
        <v>599</v>
      </c>
    </row>
    <row r="2173" spans="1:13" ht="15">
      <c r="A2173" s="2266" t="s">
        <v>4395</v>
      </c>
      <c r="B2173" s="2465" t="str">
        <f>CONCATENATE(LEFT(RIGHT(CONCATENATE("000",IFAData_TEA_1617!A2173),6),3),"-",(RIGHT(RIGHT(CONCATENATE("000",IFAData_TEA_1617!A2173),6),3)))</f>
        <v>237-904</v>
      </c>
      <c r="C2173" s="2266" t="s">
        <v>159</v>
      </c>
      <c r="D2173" s="2266">
        <v>9</v>
      </c>
      <c r="E2173" s="2266">
        <v>2434</v>
      </c>
      <c r="F2173" s="2266" t="s">
        <v>6338</v>
      </c>
      <c r="G2173" s="2266" t="s">
        <v>7073</v>
      </c>
      <c r="H2173" s="2266">
        <v>1234114</v>
      </c>
      <c r="I2173" s="2266">
        <v>235104</v>
      </c>
      <c r="J2173" s="2266">
        <v>8.1529666098176551E-2</v>
      </c>
      <c r="K2173" s="2266">
        <v>100616.90234708505</v>
      </c>
      <c r="L2173" s="2266">
        <v>100616.90234708505</v>
      </c>
      <c r="M2173" s="2266">
        <v>599</v>
      </c>
    </row>
    <row r="2174" spans="1:13" ht="15">
      <c r="A2174" s="2266" t="s">
        <v>4395</v>
      </c>
      <c r="B2174" s="2465" t="str">
        <f>CONCATENATE(LEFT(RIGHT(CONCATENATE("000",IFAData_TEA_1617!A2174),6),3),"-",(RIGHT(RIGHT(CONCATENATE("000",IFAData_TEA_1617!A2174),6),3)))</f>
        <v>237-904</v>
      </c>
      <c r="C2174" s="2266" t="s">
        <v>159</v>
      </c>
      <c r="D2174" s="2266">
        <v>6</v>
      </c>
      <c r="E2174" s="2266">
        <v>2433</v>
      </c>
      <c r="F2174" s="2266" t="s">
        <v>6333</v>
      </c>
      <c r="G2174" s="2266" t="s">
        <v>6337</v>
      </c>
      <c r="H2174" s="2266">
        <v>1125381</v>
      </c>
      <c r="I2174" s="2266">
        <v>11938</v>
      </c>
      <c r="J2174" s="2266">
        <v>1.2431687160518512E-2</v>
      </c>
      <c r="K2174" s="2266">
        <v>13990.384528391483</v>
      </c>
      <c r="L2174" s="2266">
        <v>11938</v>
      </c>
      <c r="M2174" s="2266">
        <v>599</v>
      </c>
    </row>
    <row r="2175" spans="1:13" ht="15">
      <c r="A2175" s="2266" t="s">
        <v>4395</v>
      </c>
      <c r="B2175" s="2465" t="str">
        <f>CONCATENATE(LEFT(RIGHT(CONCATENATE("000",IFAData_TEA_1617!A2175),6),3),"-",(RIGHT(RIGHT(CONCATENATE("000",IFAData_TEA_1617!A2175),6),3)))</f>
        <v>237-904</v>
      </c>
      <c r="C2175" s="2266" t="s">
        <v>159</v>
      </c>
      <c r="D2175" s="2266">
        <v>6</v>
      </c>
      <c r="E2175" s="2266">
        <v>2433</v>
      </c>
      <c r="F2175" s="2266" t="s">
        <v>6333</v>
      </c>
      <c r="G2175" s="2266" t="s">
        <v>6336</v>
      </c>
      <c r="H2175" s="2266">
        <v>1125381</v>
      </c>
      <c r="I2175" s="2266">
        <v>0</v>
      </c>
      <c r="J2175" s="2266">
        <v>0</v>
      </c>
      <c r="K2175" s="2266">
        <v>0</v>
      </c>
      <c r="L2175" s="2266">
        <v>0</v>
      </c>
      <c r="M2175" s="2266">
        <v>599</v>
      </c>
    </row>
    <row r="2176" spans="1:13" ht="15">
      <c r="A2176" s="2266" t="s">
        <v>4395</v>
      </c>
      <c r="B2176" s="2465" t="str">
        <f>CONCATENATE(LEFT(RIGHT(CONCATENATE("000",IFAData_TEA_1617!A2176),6),3),"-",(RIGHT(RIGHT(CONCATENATE("000",IFAData_TEA_1617!A2176),6),3)))</f>
        <v>237-904</v>
      </c>
      <c r="C2176" s="2266" t="s">
        <v>159</v>
      </c>
      <c r="D2176" s="2266">
        <v>6</v>
      </c>
      <c r="E2176" s="2266">
        <v>2433</v>
      </c>
      <c r="F2176" s="2266" t="s">
        <v>6333</v>
      </c>
      <c r="G2176" s="2266" t="s">
        <v>6333</v>
      </c>
      <c r="H2176" s="2266">
        <v>1125381</v>
      </c>
      <c r="I2176" s="2266">
        <v>0</v>
      </c>
      <c r="J2176" s="2266">
        <v>0</v>
      </c>
      <c r="K2176" s="2266">
        <v>0</v>
      </c>
      <c r="L2176" s="2266">
        <v>0</v>
      </c>
      <c r="M2176" s="2266">
        <v>599</v>
      </c>
    </row>
    <row r="2177" spans="1:13" ht="15">
      <c r="A2177" s="2266" t="s">
        <v>4395</v>
      </c>
      <c r="B2177" s="2465" t="str">
        <f>CONCATENATE(LEFT(RIGHT(CONCATENATE("000",IFAData_TEA_1617!A2177),6),3),"-",(RIGHT(RIGHT(CONCATENATE("000",IFAData_TEA_1617!A2177),6),3)))</f>
        <v>237-904</v>
      </c>
      <c r="C2177" s="2266" t="s">
        <v>159</v>
      </c>
      <c r="D2177" s="2266">
        <v>6</v>
      </c>
      <c r="E2177" s="2266">
        <v>2433</v>
      </c>
      <c r="F2177" s="2266" t="s">
        <v>6333</v>
      </c>
      <c r="G2177" s="2266" t="s">
        <v>6335</v>
      </c>
      <c r="H2177" s="2266">
        <v>1125381</v>
      </c>
      <c r="I2177" s="2266">
        <v>948350</v>
      </c>
      <c r="J2177" s="2266">
        <v>0.98756831283948154</v>
      </c>
      <c r="K2177" s="2266">
        <v>1111390.6154716085</v>
      </c>
      <c r="L2177" s="2266">
        <v>948350</v>
      </c>
      <c r="M2177" s="2266">
        <v>599</v>
      </c>
    </row>
    <row r="2178" spans="1:13" ht="15">
      <c r="A2178" s="2266" t="s">
        <v>4395</v>
      </c>
      <c r="B2178" s="2465" t="str">
        <f>CONCATENATE(LEFT(RIGHT(CONCATENATE("000",IFAData_TEA_1617!A2178),6),3),"-",(RIGHT(RIGHT(CONCATENATE("000",IFAData_TEA_1617!A2178),6),3)))</f>
        <v>237-904</v>
      </c>
      <c r="C2178" s="2266" t="s">
        <v>159</v>
      </c>
      <c r="D2178" s="2266">
        <v>6</v>
      </c>
      <c r="E2178" s="2266">
        <v>2433</v>
      </c>
      <c r="F2178" s="2266" t="s">
        <v>6333</v>
      </c>
      <c r="G2178" s="2266" t="s">
        <v>6334</v>
      </c>
      <c r="H2178" s="2266">
        <v>1125381</v>
      </c>
      <c r="I2178" s="2266">
        <v>0</v>
      </c>
      <c r="J2178" s="2266">
        <v>0</v>
      </c>
      <c r="K2178" s="2266">
        <v>0</v>
      </c>
      <c r="L2178" s="2266">
        <v>0</v>
      </c>
      <c r="M2178" s="2266">
        <v>599</v>
      </c>
    </row>
    <row r="2179" spans="1:13" ht="15">
      <c r="A2179" s="2266" t="s">
        <v>4395</v>
      </c>
      <c r="B2179" s="2465" t="str">
        <f>CONCATENATE(LEFT(RIGHT(CONCATENATE("000",IFAData_TEA_1617!A2179),6),3),"-",(RIGHT(RIGHT(CONCATENATE("000",IFAData_TEA_1617!A2179),6),3)))</f>
        <v>237-904</v>
      </c>
      <c r="C2179" s="2266" t="s">
        <v>159</v>
      </c>
      <c r="D2179" s="2266">
        <v>9</v>
      </c>
      <c r="E2179" s="2266">
        <v>2434</v>
      </c>
      <c r="F2179" s="2266" t="s">
        <v>6338</v>
      </c>
      <c r="G2179" s="2266" t="s">
        <v>6338</v>
      </c>
      <c r="H2179" s="2266">
        <v>1234114</v>
      </c>
      <c r="I2179" s="2266">
        <v>1759992</v>
      </c>
      <c r="J2179" s="2266">
        <v>0.61033227888705399</v>
      </c>
      <c r="K2179" s="2266">
        <v>753219.61002641777</v>
      </c>
      <c r="L2179" s="2266">
        <v>753219.61002641777</v>
      </c>
      <c r="M2179" s="2266">
        <v>599</v>
      </c>
    </row>
    <row r="2180" spans="1:13" ht="15">
      <c r="A2180" s="2266" t="s">
        <v>4395</v>
      </c>
      <c r="B2180" s="2465" t="str">
        <f>CONCATENATE(LEFT(RIGHT(CONCATENATE("000",IFAData_TEA_1617!A2180),6),3),"-",(RIGHT(RIGHT(CONCATENATE("000",IFAData_TEA_1617!A2180),6),3)))</f>
        <v>237-904</v>
      </c>
      <c r="C2180" s="2266" t="s">
        <v>159</v>
      </c>
      <c r="D2180" s="2266">
        <v>9</v>
      </c>
      <c r="E2180" s="2266">
        <v>2434</v>
      </c>
      <c r="F2180" s="2266" t="s">
        <v>6338</v>
      </c>
      <c r="G2180" s="2266" t="s">
        <v>7289</v>
      </c>
      <c r="H2180" s="2266">
        <v>1234114</v>
      </c>
      <c r="I2180" s="2266">
        <v>718185</v>
      </c>
      <c r="J2180" s="2266">
        <v>0.24905311371443672</v>
      </c>
      <c r="K2180" s="2266">
        <v>307359.93437857839</v>
      </c>
      <c r="L2180" s="2266">
        <v>307359.93437857839</v>
      </c>
      <c r="M2180" s="2266">
        <v>599</v>
      </c>
    </row>
    <row r="2181" spans="1:13" ht="15">
      <c r="A2181" s="2266" t="s">
        <v>4395</v>
      </c>
      <c r="B2181" s="2465" t="str">
        <f>CONCATENATE(LEFT(RIGHT(CONCATENATE("000",IFAData_TEA_1617!A2181),6),3),"-",(RIGHT(RIGHT(CONCATENATE("000",IFAData_TEA_1617!A2181),6),3)))</f>
        <v>237-904</v>
      </c>
      <c r="C2181" s="2266" t="s">
        <v>159</v>
      </c>
      <c r="D2181" s="2266">
        <v>9</v>
      </c>
      <c r="E2181" s="2266">
        <v>2434</v>
      </c>
      <c r="F2181" s="2266" t="s">
        <v>6338</v>
      </c>
      <c r="G2181" s="2266" t="s">
        <v>7290</v>
      </c>
      <c r="H2181" s="2266">
        <v>1234114</v>
      </c>
      <c r="I2181" s="2266">
        <v>170381</v>
      </c>
      <c r="J2181" s="2266">
        <v>5.9084941300332705E-2</v>
      </c>
      <c r="K2181" s="2266">
        <v>72917.553247918797</v>
      </c>
      <c r="L2181" s="2266">
        <v>72917.553247918797</v>
      </c>
      <c r="M2181" s="2266">
        <v>599</v>
      </c>
    </row>
    <row r="2182" spans="1:13" ht="15">
      <c r="A2182" s="2266" t="s">
        <v>4396</v>
      </c>
      <c r="B2182" s="2465" t="str">
        <f>CONCATENATE(LEFT(RIGHT(CONCATENATE("000",IFAData_TEA_1617!A2182),6),3),"-",(RIGHT(RIGHT(CONCATENATE("000",IFAData_TEA_1617!A2182),6),3)))</f>
        <v>237-905</v>
      </c>
      <c r="C2182" s="2266" t="s">
        <v>107</v>
      </c>
      <c r="D2182" s="2266">
        <v>9</v>
      </c>
      <c r="E2182" s="2266">
        <v>2269</v>
      </c>
      <c r="F2182" s="2266" t="s">
        <v>6339</v>
      </c>
      <c r="G2182" s="2266" t="s">
        <v>6339</v>
      </c>
      <c r="H2182" s="2266">
        <v>402311</v>
      </c>
      <c r="I2182" s="2266">
        <v>0</v>
      </c>
      <c r="J2182" s="2266">
        <v>0</v>
      </c>
      <c r="K2182" s="2266">
        <v>0</v>
      </c>
      <c r="L2182" s="2266">
        <v>0</v>
      </c>
      <c r="M2182" s="2266">
        <v>599</v>
      </c>
    </row>
    <row r="2183" spans="1:13" ht="15">
      <c r="A2183" s="2266" t="s">
        <v>4396</v>
      </c>
      <c r="B2183" s="2465" t="str">
        <f>CONCATENATE(LEFT(RIGHT(CONCATENATE("000",IFAData_TEA_1617!A2183),6),3),"-",(RIGHT(RIGHT(CONCATENATE("000",IFAData_TEA_1617!A2183),6),3)))</f>
        <v>237-905</v>
      </c>
      <c r="C2183" s="2266" t="s">
        <v>107</v>
      </c>
      <c r="D2183" s="2266">
        <v>9</v>
      </c>
      <c r="E2183" s="2266">
        <v>2269</v>
      </c>
      <c r="F2183" s="2266" t="s">
        <v>6339</v>
      </c>
      <c r="G2183" s="2266" t="s">
        <v>7074</v>
      </c>
      <c r="H2183" s="2266">
        <v>402311</v>
      </c>
      <c r="I2183" s="2266">
        <v>219212</v>
      </c>
      <c r="J2183" s="2266">
        <v>0.46546866008845966</v>
      </c>
      <c r="K2183" s="2266">
        <v>187263.16210884831</v>
      </c>
      <c r="L2183" s="2266">
        <v>187263.16210884831</v>
      </c>
      <c r="M2183" s="2266">
        <v>599</v>
      </c>
    </row>
    <row r="2184" spans="1:13" ht="15">
      <c r="A2184" s="2266" t="s">
        <v>4396</v>
      </c>
      <c r="B2184" s="2465" t="str">
        <f>CONCATENATE(LEFT(RIGHT(CONCATENATE("000",IFAData_TEA_1617!A2184),6),3),"-",(RIGHT(RIGHT(CONCATENATE("000",IFAData_TEA_1617!A2184),6),3)))</f>
        <v>237-905</v>
      </c>
      <c r="C2184" s="2266" t="s">
        <v>107</v>
      </c>
      <c r="D2184" s="2266">
        <v>9</v>
      </c>
      <c r="E2184" s="2266">
        <v>2269</v>
      </c>
      <c r="F2184" s="2266" t="s">
        <v>6339</v>
      </c>
      <c r="G2184" s="2266" t="s">
        <v>6340</v>
      </c>
      <c r="H2184" s="2266">
        <v>402311</v>
      </c>
      <c r="I2184" s="2266">
        <v>251737</v>
      </c>
      <c r="J2184" s="2266">
        <v>0.53453133991154034</v>
      </c>
      <c r="K2184" s="2266">
        <v>215047.83789115169</v>
      </c>
      <c r="L2184" s="2266">
        <v>215047.83789115169</v>
      </c>
      <c r="M2184" s="2266">
        <v>599</v>
      </c>
    </row>
    <row r="2185" spans="1:13" ht="15">
      <c r="A2185" s="2266" t="s">
        <v>4396</v>
      </c>
      <c r="B2185" s="2465" t="str">
        <f>CONCATENATE(LEFT(RIGHT(CONCATENATE("000",IFAData_TEA_1617!A2185),6),3),"-",(RIGHT(RIGHT(CONCATENATE("000",IFAData_TEA_1617!A2185),6),3)))</f>
        <v>237-905</v>
      </c>
      <c r="C2185" s="2266" t="s">
        <v>107</v>
      </c>
      <c r="D2185" s="2266">
        <v>9</v>
      </c>
      <c r="E2185" s="2266">
        <v>2268</v>
      </c>
      <c r="F2185" s="2266" t="s">
        <v>6341</v>
      </c>
      <c r="G2185" s="2266" t="s">
        <v>6341</v>
      </c>
      <c r="H2185" s="2266">
        <v>70170</v>
      </c>
      <c r="I2185" s="2266">
        <v>2020623</v>
      </c>
      <c r="J2185" s="2266">
        <v>0.95733588291507021</v>
      </c>
      <c r="K2185" s="2266">
        <v>67176.258904150483</v>
      </c>
      <c r="L2185" s="2266">
        <v>67176.258904150483</v>
      </c>
      <c r="M2185" s="2266">
        <v>599</v>
      </c>
    </row>
    <row r="2186" spans="1:13" ht="15">
      <c r="A2186" s="2266" t="s">
        <v>4396</v>
      </c>
      <c r="B2186" s="2465" t="str">
        <f>CONCATENATE(LEFT(RIGHT(CONCATENATE("000",IFAData_TEA_1617!A2186),6),3),"-",(RIGHT(RIGHT(CONCATENATE("000",IFAData_TEA_1617!A2186),6),3)))</f>
        <v>237-905</v>
      </c>
      <c r="C2186" s="2266" t="s">
        <v>107</v>
      </c>
      <c r="D2186" s="2266">
        <v>9</v>
      </c>
      <c r="E2186" s="2266">
        <v>2268</v>
      </c>
      <c r="F2186" s="2266" t="s">
        <v>6341</v>
      </c>
      <c r="G2186" s="2266" t="s">
        <v>7291</v>
      </c>
      <c r="H2186" s="2266">
        <v>70170</v>
      </c>
      <c r="I2186" s="2266">
        <v>23800</v>
      </c>
      <c r="J2186" s="2266">
        <v>1.1276024282302375E-2</v>
      </c>
      <c r="K2186" s="2266">
        <v>791.23862388915768</v>
      </c>
      <c r="L2186" s="2266">
        <v>791.23862388915768</v>
      </c>
      <c r="M2186" s="2266">
        <v>599</v>
      </c>
    </row>
    <row r="2187" spans="1:13" ht="15">
      <c r="A2187" s="2266" t="s">
        <v>4396</v>
      </c>
      <c r="B2187" s="2465" t="str">
        <f>CONCATENATE(LEFT(RIGHT(CONCATENATE("000",IFAData_TEA_1617!A2187),6),3),"-",(RIGHT(RIGHT(CONCATENATE("000",IFAData_TEA_1617!A2187),6),3)))</f>
        <v>237-905</v>
      </c>
      <c r="C2187" s="2266" t="s">
        <v>107</v>
      </c>
      <c r="D2187" s="2266">
        <v>9</v>
      </c>
      <c r="E2187" s="2266">
        <v>2268</v>
      </c>
      <c r="F2187" s="2266" t="s">
        <v>6341</v>
      </c>
      <c r="G2187" s="2266" t="s">
        <v>7075</v>
      </c>
      <c r="H2187" s="2266">
        <v>70170</v>
      </c>
      <c r="I2187" s="2266">
        <v>66250</v>
      </c>
      <c r="J2187" s="2266">
        <v>3.1388092802627408E-2</v>
      </c>
      <c r="K2187" s="2266">
        <v>2202.5024719603653</v>
      </c>
      <c r="L2187" s="2266">
        <v>2202.5024719603653</v>
      </c>
      <c r="M2187" s="2266">
        <v>599</v>
      </c>
    </row>
    <row r="2188" spans="1:13" ht="15">
      <c r="A2188" s="2266" t="s">
        <v>4397</v>
      </c>
      <c r="B2188" s="2465" t="str">
        <f>CONCATENATE(LEFT(RIGHT(CONCATENATE("000",IFAData_TEA_1617!A2188),6),3),"-",(RIGHT(RIGHT(CONCATENATE("000",IFAData_TEA_1617!A2188),6),3)))</f>
        <v>240-901</v>
      </c>
      <c r="C2188" s="2266" t="s">
        <v>2677</v>
      </c>
      <c r="D2188" s="2266">
        <v>3</v>
      </c>
      <c r="E2188" s="2266">
        <v>2010</v>
      </c>
      <c r="F2188" s="2266" t="s">
        <v>6342</v>
      </c>
      <c r="G2188" s="2266" t="s">
        <v>6343</v>
      </c>
      <c r="H2188" s="2266">
        <v>5155243</v>
      </c>
      <c r="I2188" s="2266">
        <v>2857450</v>
      </c>
      <c r="J2188" s="2266">
        <v>0.58295616480556056</v>
      </c>
      <c r="K2188" s="2266">
        <v>3005280.6879207124</v>
      </c>
      <c r="L2188" s="2266">
        <v>2857450</v>
      </c>
      <c r="M2188" s="2266">
        <v>599</v>
      </c>
    </row>
    <row r="2189" spans="1:13" ht="15">
      <c r="A2189" s="2266" t="s">
        <v>4397</v>
      </c>
      <c r="B2189" s="2465" t="str">
        <f>CONCATENATE(LEFT(RIGHT(CONCATENATE("000",IFAData_TEA_1617!A2189),6),3),"-",(RIGHT(RIGHT(CONCATENATE("000",IFAData_TEA_1617!A2189),6),3)))</f>
        <v>240-901</v>
      </c>
      <c r="C2189" s="2266" t="s">
        <v>2677</v>
      </c>
      <c r="D2189" s="2266">
        <v>5</v>
      </c>
      <c r="E2189" s="2266">
        <v>2011</v>
      </c>
      <c r="F2189" s="2266" t="s">
        <v>6343</v>
      </c>
      <c r="G2189" s="2266" t="s">
        <v>6343</v>
      </c>
      <c r="H2189" s="2266">
        <v>5174604</v>
      </c>
      <c r="I2189" s="2266">
        <v>987375</v>
      </c>
      <c r="J2189" s="2266">
        <v>0.22359415071587493</v>
      </c>
      <c r="K2189" s="2266">
        <v>1157011.1866709692</v>
      </c>
      <c r="L2189" s="2266">
        <v>987375</v>
      </c>
      <c r="M2189" s="2266">
        <v>599</v>
      </c>
    </row>
    <row r="2190" spans="1:13" ht="15">
      <c r="A2190" s="2266" t="s">
        <v>4397</v>
      </c>
      <c r="B2190" s="2465" t="str">
        <f>CONCATENATE(LEFT(RIGHT(CONCATENATE("000",IFAData_TEA_1617!A2190),6),3),"-",(RIGHT(RIGHT(CONCATENATE("000",IFAData_TEA_1617!A2190),6),3)))</f>
        <v>240-901</v>
      </c>
      <c r="C2190" s="2266" t="s">
        <v>2677</v>
      </c>
      <c r="D2190" s="2266">
        <v>8</v>
      </c>
      <c r="E2190" s="2266">
        <v>2009</v>
      </c>
      <c r="F2190" s="2266" t="s">
        <v>6354</v>
      </c>
      <c r="G2190" s="2266" t="s">
        <v>6354</v>
      </c>
      <c r="H2190" s="2266">
        <v>4074803</v>
      </c>
      <c r="I2190" s="2266">
        <v>0</v>
      </c>
      <c r="J2190" s="2266">
        <v>0</v>
      </c>
      <c r="K2190" s="2266">
        <v>0</v>
      </c>
      <c r="L2190" s="2266">
        <v>0</v>
      </c>
      <c r="M2190" s="2266">
        <v>599</v>
      </c>
    </row>
    <row r="2191" spans="1:13" ht="15">
      <c r="A2191" s="2266" t="s">
        <v>4397</v>
      </c>
      <c r="B2191" s="2465" t="str">
        <f>CONCATENATE(LEFT(RIGHT(CONCATENATE("000",IFAData_TEA_1617!A2191),6),3),"-",(RIGHT(RIGHT(CONCATENATE("000",IFAData_TEA_1617!A2191),6),3)))</f>
        <v>240-901</v>
      </c>
      <c r="C2191" s="2266" t="s">
        <v>2677</v>
      </c>
      <c r="D2191" s="2266">
        <v>7</v>
      </c>
      <c r="E2191" s="2266">
        <v>2003</v>
      </c>
      <c r="F2191" s="2266" t="s">
        <v>6352</v>
      </c>
      <c r="G2191" s="2266" t="s">
        <v>6348</v>
      </c>
      <c r="H2191" s="2266">
        <v>87600</v>
      </c>
      <c r="I2191" s="2266">
        <v>69889</v>
      </c>
      <c r="J2191" s="2266">
        <v>1</v>
      </c>
      <c r="K2191" s="2266">
        <v>87600</v>
      </c>
      <c r="L2191" s="2266">
        <v>69889</v>
      </c>
      <c r="M2191" s="2266">
        <v>599</v>
      </c>
    </row>
    <row r="2192" spans="1:13" ht="15">
      <c r="A2192" s="2266" t="s">
        <v>4397</v>
      </c>
      <c r="B2192" s="2465" t="str">
        <f>CONCATENATE(LEFT(RIGHT(CONCATENATE("000",IFAData_TEA_1617!A2192),6),3),"-",(RIGHT(RIGHT(CONCATENATE("000",IFAData_TEA_1617!A2192),6),3)))</f>
        <v>240-901</v>
      </c>
      <c r="C2192" s="2266" t="s">
        <v>2677</v>
      </c>
      <c r="D2192" s="2266">
        <v>7</v>
      </c>
      <c r="E2192" s="2266">
        <v>2004</v>
      </c>
      <c r="F2192" s="2266" t="s">
        <v>6351</v>
      </c>
      <c r="G2192" s="2266" t="s">
        <v>6348</v>
      </c>
      <c r="H2192" s="2266">
        <v>158336</v>
      </c>
      <c r="I2192" s="2266">
        <v>128733</v>
      </c>
      <c r="J2192" s="2266">
        <v>1</v>
      </c>
      <c r="K2192" s="2266">
        <v>158336</v>
      </c>
      <c r="L2192" s="2266">
        <v>128733</v>
      </c>
      <c r="M2192" s="2266">
        <v>599</v>
      </c>
    </row>
    <row r="2193" spans="1:13" ht="15">
      <c r="A2193" s="2266" t="s">
        <v>4397</v>
      </c>
      <c r="B2193" s="2465" t="str">
        <f>CONCATENATE(LEFT(RIGHT(CONCATENATE("000",IFAData_TEA_1617!A2193),6),3),"-",(RIGHT(RIGHT(CONCATENATE("000",IFAData_TEA_1617!A2193),6),3)))</f>
        <v>240-901</v>
      </c>
      <c r="C2193" s="2266" t="s">
        <v>2677</v>
      </c>
      <c r="D2193" s="2266">
        <v>7</v>
      </c>
      <c r="E2193" s="2266">
        <v>2005</v>
      </c>
      <c r="F2193" s="2266" t="s">
        <v>6353</v>
      </c>
      <c r="G2193" s="2266" t="s">
        <v>6348</v>
      </c>
      <c r="H2193" s="2266">
        <v>325863</v>
      </c>
      <c r="I2193" s="2266">
        <v>266598</v>
      </c>
      <c r="J2193" s="2266">
        <v>1</v>
      </c>
      <c r="K2193" s="2266">
        <v>325863</v>
      </c>
      <c r="L2193" s="2266">
        <v>266598</v>
      </c>
      <c r="M2193" s="2266">
        <v>599</v>
      </c>
    </row>
    <row r="2194" spans="1:13" ht="15">
      <c r="A2194" s="2266" t="s">
        <v>4397</v>
      </c>
      <c r="B2194" s="2465" t="str">
        <f>CONCATENATE(LEFT(RIGHT(CONCATENATE("000",IFAData_TEA_1617!A2194),6),3),"-",(RIGHT(RIGHT(CONCATENATE("000",IFAData_TEA_1617!A2194),6),3)))</f>
        <v>240-901</v>
      </c>
      <c r="C2194" s="2266" t="s">
        <v>2677</v>
      </c>
      <c r="D2194" s="2266">
        <v>7</v>
      </c>
      <c r="E2194" s="2266">
        <v>2006</v>
      </c>
      <c r="F2194" s="2266" t="s">
        <v>6349</v>
      </c>
      <c r="G2194" s="2266" t="s">
        <v>6348</v>
      </c>
      <c r="H2194" s="2266">
        <v>434993</v>
      </c>
      <c r="I2194" s="2266">
        <v>358400</v>
      </c>
      <c r="J2194" s="2266">
        <v>1</v>
      </c>
      <c r="K2194" s="2266">
        <v>434993</v>
      </c>
      <c r="L2194" s="2266">
        <v>358400</v>
      </c>
      <c r="M2194" s="2266">
        <v>599</v>
      </c>
    </row>
    <row r="2195" spans="1:13" ht="15">
      <c r="A2195" s="2266" t="s">
        <v>4397</v>
      </c>
      <c r="B2195" s="2465" t="str">
        <f>CONCATENATE(LEFT(RIGHT(CONCATENATE("000",IFAData_TEA_1617!A2195),6),3),"-",(RIGHT(RIGHT(CONCATENATE("000",IFAData_TEA_1617!A2195),6),3)))</f>
        <v>240-901</v>
      </c>
      <c r="C2195" s="2266" t="s">
        <v>2677</v>
      </c>
      <c r="D2195" s="2266">
        <v>7</v>
      </c>
      <c r="E2195" s="2266">
        <v>2007</v>
      </c>
      <c r="F2195" s="2266" t="s">
        <v>6350</v>
      </c>
      <c r="G2195" s="2266" t="s">
        <v>6348</v>
      </c>
      <c r="H2195" s="2266">
        <v>1646500</v>
      </c>
      <c r="I2195" s="2266">
        <v>1367504</v>
      </c>
      <c r="J2195" s="2266">
        <v>1</v>
      </c>
      <c r="K2195" s="2266">
        <v>1646500</v>
      </c>
      <c r="L2195" s="2266">
        <v>1367504</v>
      </c>
      <c r="M2195" s="2266">
        <v>599</v>
      </c>
    </row>
    <row r="2196" spans="1:13" ht="15">
      <c r="A2196" s="2266" t="s">
        <v>4397</v>
      </c>
      <c r="B2196" s="2465" t="str">
        <f>CONCATENATE(LEFT(RIGHT(CONCATENATE("000",IFAData_TEA_1617!A2196),6),3),"-",(RIGHT(RIGHT(CONCATENATE("000",IFAData_TEA_1617!A2196),6),3)))</f>
        <v>240-901</v>
      </c>
      <c r="C2196" s="2266" t="s">
        <v>2677</v>
      </c>
      <c r="D2196" s="2266">
        <v>7</v>
      </c>
      <c r="E2196" s="2266">
        <v>2008</v>
      </c>
      <c r="F2196" s="2266" t="s">
        <v>6347</v>
      </c>
      <c r="G2196" s="2266" t="s">
        <v>6348</v>
      </c>
      <c r="H2196" s="2266">
        <v>2084063</v>
      </c>
      <c r="I2196" s="2266">
        <v>1727509</v>
      </c>
      <c r="J2196" s="2266">
        <v>1</v>
      </c>
      <c r="K2196" s="2266">
        <v>2084063</v>
      </c>
      <c r="L2196" s="2266">
        <v>1727509</v>
      </c>
      <c r="M2196" s="2266">
        <v>599</v>
      </c>
    </row>
    <row r="2197" spans="1:13" ht="15">
      <c r="A2197" s="2266" t="s">
        <v>4397</v>
      </c>
      <c r="B2197" s="2465" t="str">
        <f>CONCATENATE(LEFT(RIGHT(CONCATENATE("000",IFAData_TEA_1617!A2197),6),3),"-",(RIGHT(RIGHT(CONCATENATE("000",IFAData_TEA_1617!A2197),6),3)))</f>
        <v>240-901</v>
      </c>
      <c r="C2197" s="2266" t="s">
        <v>2677</v>
      </c>
      <c r="D2197" s="2266">
        <v>3</v>
      </c>
      <c r="E2197" s="2266">
        <v>2010</v>
      </c>
      <c r="F2197" s="2266" t="s">
        <v>6342</v>
      </c>
      <c r="G2197" s="2266" t="s">
        <v>6346</v>
      </c>
      <c r="H2197" s="2266">
        <v>5155243</v>
      </c>
      <c r="I2197" s="2266">
        <v>1231492</v>
      </c>
      <c r="J2197" s="2266">
        <v>0.25124004035371728</v>
      </c>
      <c r="K2197" s="2266">
        <v>1295203.4593532186</v>
      </c>
      <c r="L2197" s="2266">
        <v>1231492</v>
      </c>
      <c r="M2197" s="2266">
        <v>599</v>
      </c>
    </row>
    <row r="2198" spans="1:13" ht="15">
      <c r="A2198" s="2266" t="s">
        <v>4397</v>
      </c>
      <c r="B2198" s="2465" t="str">
        <f>CONCATENATE(LEFT(RIGHT(CONCATENATE("000",IFAData_TEA_1617!A2198),6),3),"-",(RIGHT(RIGHT(CONCATENATE("000",IFAData_TEA_1617!A2198),6),3)))</f>
        <v>240-901</v>
      </c>
      <c r="C2198" s="2266" t="s">
        <v>2677</v>
      </c>
      <c r="D2198" s="2266">
        <v>5</v>
      </c>
      <c r="E2198" s="2266">
        <v>2011</v>
      </c>
      <c r="F2198" s="2266" t="s">
        <v>6343</v>
      </c>
      <c r="G2198" s="2266" t="s">
        <v>6346</v>
      </c>
      <c r="H2198" s="2266">
        <v>5174604</v>
      </c>
      <c r="I2198" s="2266">
        <v>50400</v>
      </c>
      <c r="J2198" s="2266">
        <v>1.1413237317209871E-2</v>
      </c>
      <c r="K2198" s="2266">
        <v>59058.983474583467</v>
      </c>
      <c r="L2198" s="2266">
        <v>50400</v>
      </c>
      <c r="M2198" s="2266">
        <v>599</v>
      </c>
    </row>
    <row r="2199" spans="1:13" ht="15">
      <c r="A2199" s="2266" t="s">
        <v>4397</v>
      </c>
      <c r="B2199" s="2465" t="str">
        <f>CONCATENATE(LEFT(RIGHT(CONCATENATE("000",IFAData_TEA_1617!A2199),6),3),"-",(RIGHT(RIGHT(CONCATENATE("000",IFAData_TEA_1617!A2199),6),3)))</f>
        <v>240-901</v>
      </c>
      <c r="C2199" s="2266" t="s">
        <v>2677</v>
      </c>
      <c r="D2199" s="2266">
        <v>5</v>
      </c>
      <c r="E2199" s="2266">
        <v>2011</v>
      </c>
      <c r="F2199" s="2266" t="s">
        <v>6343</v>
      </c>
      <c r="G2199" s="2266" t="s">
        <v>6344</v>
      </c>
      <c r="H2199" s="2266">
        <v>5174604</v>
      </c>
      <c r="I2199" s="2266">
        <v>0</v>
      </c>
      <c r="J2199" s="2266">
        <v>0</v>
      </c>
      <c r="K2199" s="2266">
        <v>0</v>
      </c>
      <c r="L2199" s="2266">
        <v>0</v>
      </c>
      <c r="M2199" s="2266">
        <v>599</v>
      </c>
    </row>
    <row r="2200" spans="1:13" ht="15">
      <c r="A2200" s="2266" t="s">
        <v>4397</v>
      </c>
      <c r="B2200" s="2465" t="str">
        <f>CONCATENATE(LEFT(RIGHT(CONCATENATE("000",IFAData_TEA_1617!A2200),6),3),"-",(RIGHT(RIGHT(CONCATENATE("000",IFAData_TEA_1617!A2200),6),3)))</f>
        <v>240-901</v>
      </c>
      <c r="C2200" s="2266" t="s">
        <v>2677</v>
      </c>
      <c r="D2200" s="2266">
        <v>3</v>
      </c>
      <c r="E2200" s="2266">
        <v>2010</v>
      </c>
      <c r="F2200" s="2266" t="s">
        <v>6342</v>
      </c>
      <c r="G2200" s="2266" t="s">
        <v>6344</v>
      </c>
      <c r="H2200" s="2266">
        <v>5155243</v>
      </c>
      <c r="I2200" s="2266">
        <v>0</v>
      </c>
      <c r="J2200" s="2266">
        <v>0</v>
      </c>
      <c r="K2200" s="2266">
        <v>0</v>
      </c>
      <c r="L2200" s="2266">
        <v>0</v>
      </c>
      <c r="M2200" s="2266">
        <v>599</v>
      </c>
    </row>
    <row r="2201" spans="1:13" ht="15">
      <c r="A2201" s="2266" t="s">
        <v>4397</v>
      </c>
      <c r="B2201" s="2465" t="str">
        <f>CONCATENATE(LEFT(RIGHT(CONCATENATE("000",IFAData_TEA_1617!A2201),6),3),"-",(RIGHT(RIGHT(CONCATENATE("000",IFAData_TEA_1617!A2201),6),3)))</f>
        <v>240-901</v>
      </c>
      <c r="C2201" s="2266" t="s">
        <v>2677</v>
      </c>
      <c r="D2201" s="2266">
        <v>3</v>
      </c>
      <c r="E2201" s="2266">
        <v>2010</v>
      </c>
      <c r="F2201" s="2266" t="s">
        <v>6342</v>
      </c>
      <c r="G2201" s="2266" t="s">
        <v>6345</v>
      </c>
      <c r="H2201" s="2266">
        <v>5155243</v>
      </c>
      <c r="I2201" s="2266">
        <v>0</v>
      </c>
      <c r="J2201" s="2266">
        <v>0</v>
      </c>
      <c r="K2201" s="2266">
        <v>0</v>
      </c>
      <c r="L2201" s="2266">
        <v>0</v>
      </c>
      <c r="M2201" s="2266">
        <v>599</v>
      </c>
    </row>
    <row r="2202" spans="1:13" ht="15">
      <c r="A2202" s="2266" t="s">
        <v>4397</v>
      </c>
      <c r="B2202" s="2465" t="str">
        <f>CONCATENATE(LEFT(RIGHT(CONCATENATE("000",IFAData_TEA_1617!A2202),6),3),"-",(RIGHT(RIGHT(CONCATENATE("000",IFAData_TEA_1617!A2202),6),3)))</f>
        <v>240-901</v>
      </c>
      <c r="C2202" s="2266" t="s">
        <v>2677</v>
      </c>
      <c r="D2202" s="2266">
        <v>5</v>
      </c>
      <c r="E2202" s="2266">
        <v>2011</v>
      </c>
      <c r="F2202" s="2266" t="s">
        <v>6343</v>
      </c>
      <c r="G2202" s="2266" t="s">
        <v>6345</v>
      </c>
      <c r="H2202" s="2266">
        <v>5174604</v>
      </c>
      <c r="I2202" s="2266">
        <v>822500</v>
      </c>
      <c r="J2202" s="2266">
        <v>0.18625769232946665</v>
      </c>
      <c r="K2202" s="2266">
        <v>963809.79975882743</v>
      </c>
      <c r="L2202" s="2266">
        <v>822500</v>
      </c>
      <c r="M2202" s="2266">
        <v>599</v>
      </c>
    </row>
    <row r="2203" spans="1:13" ht="15">
      <c r="A2203" s="2266" t="s">
        <v>4397</v>
      </c>
      <c r="B2203" s="2465" t="str">
        <f>CONCATENATE(LEFT(RIGHT(CONCATENATE("000",IFAData_TEA_1617!A2203),6),3),"-",(RIGHT(RIGHT(CONCATENATE("000",IFAData_TEA_1617!A2203),6),3)))</f>
        <v>240-901</v>
      </c>
      <c r="C2203" s="2266" t="s">
        <v>2677</v>
      </c>
      <c r="D2203" s="2266">
        <v>7</v>
      </c>
      <c r="E2203" s="2266">
        <v>2005</v>
      </c>
      <c r="F2203" s="2266" t="s">
        <v>6353</v>
      </c>
      <c r="G2203" s="2266" t="s">
        <v>6353</v>
      </c>
      <c r="H2203" s="2266">
        <v>325863</v>
      </c>
      <c r="I2203" s="2266">
        <v>0</v>
      </c>
      <c r="J2203" s="2266">
        <v>0</v>
      </c>
      <c r="K2203" s="2266">
        <v>0</v>
      </c>
      <c r="L2203" s="2266">
        <v>0</v>
      </c>
      <c r="M2203" s="2266">
        <v>199</v>
      </c>
    </row>
    <row r="2204" spans="1:13" ht="15">
      <c r="A2204" s="2266" t="s">
        <v>4397</v>
      </c>
      <c r="B2204" s="2465" t="str">
        <f>CONCATENATE(LEFT(RIGHT(CONCATENATE("000",IFAData_TEA_1617!A2204),6),3),"-",(RIGHT(RIGHT(CONCATENATE("000",IFAData_TEA_1617!A2204),6),3)))</f>
        <v>240-901</v>
      </c>
      <c r="C2204" s="2266" t="s">
        <v>2677</v>
      </c>
      <c r="D2204" s="2266">
        <v>7</v>
      </c>
      <c r="E2204" s="2266">
        <v>2003</v>
      </c>
      <c r="F2204" s="2266" t="s">
        <v>6352</v>
      </c>
      <c r="G2204" s="2266" t="s">
        <v>6352</v>
      </c>
      <c r="H2204" s="2266">
        <v>87600</v>
      </c>
      <c r="I2204" s="2266">
        <v>0</v>
      </c>
      <c r="J2204" s="2266">
        <v>0</v>
      </c>
      <c r="K2204" s="2266">
        <v>0</v>
      </c>
      <c r="L2204" s="2266">
        <v>0</v>
      </c>
      <c r="M2204" s="2266">
        <v>199</v>
      </c>
    </row>
    <row r="2205" spans="1:13" ht="15">
      <c r="A2205" s="2266" t="s">
        <v>4397</v>
      </c>
      <c r="B2205" s="2465" t="str">
        <f>CONCATENATE(LEFT(RIGHT(CONCATENATE("000",IFAData_TEA_1617!A2205),6),3),"-",(RIGHT(RIGHT(CONCATENATE("000",IFAData_TEA_1617!A2205),6),3)))</f>
        <v>240-901</v>
      </c>
      <c r="C2205" s="2266" t="s">
        <v>2677</v>
      </c>
      <c r="D2205" s="2266">
        <v>7</v>
      </c>
      <c r="E2205" s="2266">
        <v>2004</v>
      </c>
      <c r="F2205" s="2266" t="s">
        <v>6351</v>
      </c>
      <c r="G2205" s="2266" t="s">
        <v>6351</v>
      </c>
      <c r="H2205" s="2266">
        <v>158336</v>
      </c>
      <c r="I2205" s="2266">
        <v>0</v>
      </c>
      <c r="J2205" s="2266">
        <v>0</v>
      </c>
      <c r="K2205" s="2266">
        <v>0</v>
      </c>
      <c r="L2205" s="2266">
        <v>0</v>
      </c>
      <c r="M2205" s="2266">
        <v>199</v>
      </c>
    </row>
    <row r="2206" spans="1:13" ht="15">
      <c r="A2206" s="2266" t="s">
        <v>4397</v>
      </c>
      <c r="B2206" s="2465" t="str">
        <f>CONCATENATE(LEFT(RIGHT(CONCATENATE("000",IFAData_TEA_1617!A2206),6),3),"-",(RIGHT(RIGHT(CONCATENATE("000",IFAData_TEA_1617!A2206),6),3)))</f>
        <v>240-901</v>
      </c>
      <c r="C2206" s="2266" t="s">
        <v>2677</v>
      </c>
      <c r="D2206" s="2266">
        <v>7</v>
      </c>
      <c r="E2206" s="2266">
        <v>2007</v>
      </c>
      <c r="F2206" s="2266" t="s">
        <v>6350</v>
      </c>
      <c r="G2206" s="2266" t="s">
        <v>6350</v>
      </c>
      <c r="H2206" s="2266">
        <v>1646500</v>
      </c>
      <c r="I2206" s="2266">
        <v>0</v>
      </c>
      <c r="J2206" s="2266">
        <v>0</v>
      </c>
      <c r="K2206" s="2266">
        <v>0</v>
      </c>
      <c r="L2206" s="2266">
        <v>0</v>
      </c>
      <c r="M2206" s="2266">
        <v>199</v>
      </c>
    </row>
    <row r="2207" spans="1:13" ht="15">
      <c r="A2207" s="2266" t="s">
        <v>4397</v>
      </c>
      <c r="B2207" s="2465" t="str">
        <f>CONCATENATE(LEFT(RIGHT(CONCATENATE("000",IFAData_TEA_1617!A2207),6),3),"-",(RIGHT(RIGHT(CONCATENATE("000",IFAData_TEA_1617!A2207),6),3)))</f>
        <v>240-901</v>
      </c>
      <c r="C2207" s="2266" t="s">
        <v>2677</v>
      </c>
      <c r="D2207" s="2266">
        <v>7</v>
      </c>
      <c r="E2207" s="2266">
        <v>2006</v>
      </c>
      <c r="F2207" s="2266" t="s">
        <v>6349</v>
      </c>
      <c r="G2207" s="2266" t="s">
        <v>6349</v>
      </c>
      <c r="H2207" s="2266">
        <v>434993</v>
      </c>
      <c r="I2207" s="2266">
        <v>0</v>
      </c>
      <c r="J2207" s="2266">
        <v>0</v>
      </c>
      <c r="K2207" s="2266">
        <v>0</v>
      </c>
      <c r="L2207" s="2266">
        <v>0</v>
      </c>
      <c r="M2207" s="2266">
        <v>199</v>
      </c>
    </row>
    <row r="2208" spans="1:13" ht="15">
      <c r="A2208" s="2266" t="s">
        <v>4397</v>
      </c>
      <c r="B2208" s="2465" t="str">
        <f>CONCATENATE(LEFT(RIGHT(CONCATENATE("000",IFAData_TEA_1617!A2208),6),3),"-",(RIGHT(RIGHT(CONCATENATE("000",IFAData_TEA_1617!A2208),6),3)))</f>
        <v>240-901</v>
      </c>
      <c r="C2208" s="2266" t="s">
        <v>2677</v>
      </c>
      <c r="D2208" s="2266">
        <v>7</v>
      </c>
      <c r="E2208" s="2266">
        <v>2008</v>
      </c>
      <c r="F2208" s="2266" t="s">
        <v>6347</v>
      </c>
      <c r="G2208" s="2266" t="s">
        <v>6347</v>
      </c>
      <c r="H2208" s="2266">
        <v>2084063</v>
      </c>
      <c r="I2208" s="2266">
        <v>0</v>
      </c>
      <c r="J2208" s="2266">
        <v>0</v>
      </c>
      <c r="K2208" s="2266">
        <v>0</v>
      </c>
      <c r="L2208" s="2266">
        <v>0</v>
      </c>
      <c r="M2208" s="2266">
        <v>199</v>
      </c>
    </row>
    <row r="2209" spans="1:13" ht="15">
      <c r="A2209" s="2266" t="s">
        <v>4397</v>
      </c>
      <c r="B2209" s="2465" t="str">
        <f>CONCATENATE(LEFT(RIGHT(CONCATENATE("000",IFAData_TEA_1617!A2209),6),3),"-",(RIGHT(RIGHT(CONCATENATE("000",IFAData_TEA_1617!A2209),6),3)))</f>
        <v>240-901</v>
      </c>
      <c r="C2209" s="2266" t="s">
        <v>2677</v>
      </c>
      <c r="D2209" s="2266">
        <v>3</v>
      </c>
      <c r="E2209" s="2266">
        <v>2010</v>
      </c>
      <c r="F2209" s="2266" t="s">
        <v>6342</v>
      </c>
      <c r="G2209" s="2266" t="s">
        <v>6342</v>
      </c>
      <c r="H2209" s="2266">
        <v>5155243</v>
      </c>
      <c r="I2209" s="2266">
        <v>0</v>
      </c>
      <c r="J2209" s="2266">
        <v>0</v>
      </c>
      <c r="K2209" s="2266">
        <v>0</v>
      </c>
      <c r="L2209" s="2266">
        <v>0</v>
      </c>
      <c r="M2209" s="2266">
        <v>599</v>
      </c>
    </row>
    <row r="2210" spans="1:13" ht="15">
      <c r="A2210" s="2266" t="s">
        <v>4397</v>
      </c>
      <c r="B2210" s="2465" t="str">
        <f>CONCATENATE(LEFT(RIGHT(CONCATENATE("000",IFAData_TEA_1617!A2210),6),3),"-",(RIGHT(RIGHT(CONCATENATE("000",IFAData_TEA_1617!A2210),6),3)))</f>
        <v>240-901</v>
      </c>
      <c r="C2210" s="2266" t="s">
        <v>2677</v>
      </c>
      <c r="D2210" s="2266">
        <v>8</v>
      </c>
      <c r="E2210" s="2266">
        <v>2009</v>
      </c>
      <c r="F2210" s="2266" t="s">
        <v>6354</v>
      </c>
      <c r="G2210" s="2266" t="s">
        <v>7076</v>
      </c>
      <c r="H2210" s="2266">
        <v>4074803</v>
      </c>
      <c r="I2210" s="2266">
        <v>3955000</v>
      </c>
      <c r="J2210" s="2266">
        <v>1</v>
      </c>
      <c r="K2210" s="2266">
        <v>4074803</v>
      </c>
      <c r="L2210" s="2266">
        <v>3955000</v>
      </c>
      <c r="M2210" s="2266">
        <v>599</v>
      </c>
    </row>
    <row r="2211" spans="1:13" ht="15">
      <c r="A2211" s="2266" t="s">
        <v>4397</v>
      </c>
      <c r="B2211" s="2465" t="str">
        <f>CONCATENATE(LEFT(RIGHT(CONCATENATE("000",IFAData_TEA_1617!A2211),6),3),"-",(RIGHT(RIGHT(CONCATENATE("000",IFAData_TEA_1617!A2211),6),3)))</f>
        <v>240-901</v>
      </c>
      <c r="C2211" s="2266" t="s">
        <v>2677</v>
      </c>
      <c r="D2211" s="2266">
        <v>3</v>
      </c>
      <c r="E2211" s="2266">
        <v>2010</v>
      </c>
      <c r="F2211" s="2266" t="s">
        <v>6342</v>
      </c>
      <c r="G2211" s="2266" t="s">
        <v>7076</v>
      </c>
      <c r="H2211" s="2266">
        <v>5155243</v>
      </c>
      <c r="I2211" s="2266">
        <v>812713</v>
      </c>
      <c r="J2211" s="2266">
        <v>0.16580379484072216</v>
      </c>
      <c r="K2211" s="2266">
        <v>854758.85272606905</v>
      </c>
      <c r="L2211" s="2266">
        <v>812713</v>
      </c>
      <c r="M2211" s="2266">
        <v>599</v>
      </c>
    </row>
    <row r="2212" spans="1:13" ht="15">
      <c r="A2212" s="2266" t="s">
        <v>4397</v>
      </c>
      <c r="B2212" s="2465" t="str">
        <f>CONCATENATE(LEFT(RIGHT(CONCATENATE("000",IFAData_TEA_1617!A2212),6),3),"-",(RIGHT(RIGHT(CONCATENATE("000",IFAData_TEA_1617!A2212),6),3)))</f>
        <v>240-901</v>
      </c>
      <c r="C2212" s="2266" t="s">
        <v>2677</v>
      </c>
      <c r="D2212" s="2266">
        <v>5</v>
      </c>
      <c r="E2212" s="2266">
        <v>2011</v>
      </c>
      <c r="F2212" s="2266" t="s">
        <v>6343</v>
      </c>
      <c r="G2212" s="2266" t="s">
        <v>7076</v>
      </c>
      <c r="H2212" s="2266">
        <v>5174604</v>
      </c>
      <c r="I2212" s="2266">
        <v>2555650</v>
      </c>
      <c r="J2212" s="2266">
        <v>0.5787349196374485</v>
      </c>
      <c r="K2212" s="2266">
        <v>2994724.0300956196</v>
      </c>
      <c r="L2212" s="2266">
        <v>2555650</v>
      </c>
      <c r="M2212" s="2266">
        <v>599</v>
      </c>
    </row>
    <row r="2213" spans="1:13" ht="15">
      <c r="A2213" s="2266" t="s">
        <v>4398</v>
      </c>
      <c r="B2213" s="2465" t="str">
        <f>CONCATENATE(LEFT(RIGHT(CONCATENATE("000",IFAData_TEA_1617!A2213),6),3),"-",(RIGHT(RIGHT(CONCATENATE("000",IFAData_TEA_1617!A2213),6),3)))</f>
        <v>240-903</v>
      </c>
      <c r="C2213" s="2266" t="s">
        <v>2703</v>
      </c>
      <c r="D2213" s="2266">
        <v>5</v>
      </c>
      <c r="E2213" s="2266">
        <v>2404</v>
      </c>
      <c r="F2213" s="2266" t="s">
        <v>6359</v>
      </c>
      <c r="G2213" s="2266" t="s">
        <v>6360</v>
      </c>
      <c r="H2213" s="2266">
        <v>827517</v>
      </c>
      <c r="I2213" s="2266">
        <v>56094</v>
      </c>
      <c r="J2213" s="2266">
        <v>5.6674345295829293E-2</v>
      </c>
      <c r="K2213" s="2266">
        <v>46898.984196168771</v>
      </c>
      <c r="L2213" s="2266">
        <v>46898.984196168771</v>
      </c>
      <c r="M2213" s="2266">
        <v>599</v>
      </c>
    </row>
    <row r="2214" spans="1:13" ht="15">
      <c r="A2214" s="2266" t="s">
        <v>4398</v>
      </c>
      <c r="B2214" s="2465" t="str">
        <f>CONCATENATE(LEFT(RIGHT(CONCATENATE("000",IFAData_TEA_1617!A2214),6),3),"-",(RIGHT(RIGHT(CONCATENATE("000",IFAData_TEA_1617!A2214),6),3)))</f>
        <v>240-903</v>
      </c>
      <c r="C2214" s="2266" t="s">
        <v>2703</v>
      </c>
      <c r="D2214" s="2266">
        <v>3</v>
      </c>
      <c r="E2214" s="2266">
        <v>2405</v>
      </c>
      <c r="F2214" s="2266" t="s">
        <v>6355</v>
      </c>
      <c r="G2214" s="2266" t="s">
        <v>6355</v>
      </c>
      <c r="H2214" s="2266">
        <v>986173</v>
      </c>
      <c r="I2214" s="2266">
        <v>2796180</v>
      </c>
      <c r="J2214" s="2266">
        <v>0.87684314141760356</v>
      </c>
      <c r="K2214" s="2266">
        <v>864719.03130122239</v>
      </c>
      <c r="L2214" s="2266">
        <v>864719.03130122239</v>
      </c>
      <c r="M2214" s="2266">
        <v>599</v>
      </c>
    </row>
    <row r="2215" spans="1:13" ht="15">
      <c r="A2215" s="2266" t="s">
        <v>4398</v>
      </c>
      <c r="B2215" s="2465" t="str">
        <f>CONCATENATE(LEFT(RIGHT(CONCATENATE("000",IFAData_TEA_1617!A2215),6),3),"-",(RIGHT(RIGHT(CONCATENATE("000",IFAData_TEA_1617!A2215),6),3)))</f>
        <v>240-903</v>
      </c>
      <c r="C2215" s="2266" t="s">
        <v>2703</v>
      </c>
      <c r="D2215" s="2266">
        <v>5</v>
      </c>
      <c r="E2215" s="2266">
        <v>2406</v>
      </c>
      <c r="F2215" s="2266" t="s">
        <v>6362</v>
      </c>
      <c r="G2215" s="2266" t="s">
        <v>6363</v>
      </c>
      <c r="H2215" s="2266">
        <v>1047970</v>
      </c>
      <c r="I2215" s="2266">
        <v>108521</v>
      </c>
      <c r="J2215" s="2266">
        <v>6.9696452013163337E-2</v>
      </c>
      <c r="K2215" s="2266">
        <v>73039.790816234789</v>
      </c>
      <c r="L2215" s="2266">
        <v>73039.790816234789</v>
      </c>
      <c r="M2215" s="2266">
        <v>599</v>
      </c>
    </row>
    <row r="2216" spans="1:13" ht="15">
      <c r="A2216" s="2266" t="s">
        <v>4398</v>
      </c>
      <c r="B2216" s="2465" t="str">
        <f>CONCATENATE(LEFT(RIGHT(CONCATENATE("000",IFAData_TEA_1617!A2216),6),3),"-",(RIGHT(RIGHT(CONCATENATE("000",IFAData_TEA_1617!A2216),6),3)))</f>
        <v>240-903</v>
      </c>
      <c r="C2216" s="2266" t="s">
        <v>2703</v>
      </c>
      <c r="D2216" s="2266">
        <v>5</v>
      </c>
      <c r="E2216" s="2266">
        <v>2406</v>
      </c>
      <c r="F2216" s="2266" t="s">
        <v>6362</v>
      </c>
      <c r="G2216" s="2266" t="s">
        <v>6362</v>
      </c>
      <c r="H2216" s="2266">
        <v>1047970</v>
      </c>
      <c r="I2216" s="2266">
        <v>0</v>
      </c>
      <c r="J2216" s="2266">
        <v>0</v>
      </c>
      <c r="K2216" s="2266">
        <v>0</v>
      </c>
      <c r="L2216" s="2266">
        <v>0</v>
      </c>
      <c r="M2216" s="2266">
        <v>599</v>
      </c>
    </row>
    <row r="2217" spans="1:13" ht="15">
      <c r="A2217" s="2266" t="s">
        <v>4398</v>
      </c>
      <c r="B2217" s="2465" t="str">
        <f>CONCATENATE(LEFT(RIGHT(CONCATENATE("000",IFAData_TEA_1617!A2217),6),3),"-",(RIGHT(RIGHT(CONCATENATE("000",IFAData_TEA_1617!A2217),6),3)))</f>
        <v>240-903</v>
      </c>
      <c r="C2217" s="2266" t="s">
        <v>2703</v>
      </c>
      <c r="D2217" s="2266">
        <v>5</v>
      </c>
      <c r="E2217" s="2266">
        <v>2406</v>
      </c>
      <c r="F2217" s="2266" t="s">
        <v>6362</v>
      </c>
      <c r="G2217" s="2266" t="s">
        <v>6361</v>
      </c>
      <c r="H2217" s="2266">
        <v>1047970</v>
      </c>
      <c r="I2217" s="2266">
        <v>1448531</v>
      </c>
      <c r="J2217" s="2266">
        <v>0.93030354798683668</v>
      </c>
      <c r="K2217" s="2266">
        <v>974930.20918376523</v>
      </c>
      <c r="L2217" s="2266">
        <v>974930.20918376523</v>
      </c>
      <c r="M2217" s="2266">
        <v>599</v>
      </c>
    </row>
    <row r="2218" spans="1:13" ht="15">
      <c r="A2218" s="2266" t="s">
        <v>4398</v>
      </c>
      <c r="B2218" s="2465" t="str">
        <f>CONCATENATE(LEFT(RIGHT(CONCATENATE("000",IFAData_TEA_1617!A2218),6),3),"-",(RIGHT(RIGHT(CONCATENATE("000",IFAData_TEA_1617!A2218),6),3)))</f>
        <v>240-903</v>
      </c>
      <c r="C2218" s="2266" t="s">
        <v>2703</v>
      </c>
      <c r="D2218" s="2266">
        <v>5</v>
      </c>
      <c r="E2218" s="2266">
        <v>2404</v>
      </c>
      <c r="F2218" s="2266" t="s">
        <v>6359</v>
      </c>
      <c r="G2218" s="2266" t="s">
        <v>6361</v>
      </c>
      <c r="H2218" s="2266">
        <v>827517</v>
      </c>
      <c r="I2218" s="2266">
        <v>217991</v>
      </c>
      <c r="J2218" s="2266">
        <v>0.22024632234076949</v>
      </c>
      <c r="K2218" s="2266">
        <v>182257.57592446654</v>
      </c>
      <c r="L2218" s="2266">
        <v>182257.57592446654</v>
      </c>
      <c r="M2218" s="2266">
        <v>599</v>
      </c>
    </row>
    <row r="2219" spans="1:13" ht="15">
      <c r="A2219" s="2266" t="s">
        <v>4398</v>
      </c>
      <c r="B2219" s="2465" t="str">
        <f>CONCATENATE(LEFT(RIGHT(CONCATENATE("000",IFAData_TEA_1617!A2219),6),3),"-",(RIGHT(RIGHT(CONCATENATE("000",IFAData_TEA_1617!A2219),6),3)))</f>
        <v>240-903</v>
      </c>
      <c r="C2219" s="2266" t="s">
        <v>2703</v>
      </c>
      <c r="D2219" s="2266">
        <v>5</v>
      </c>
      <c r="E2219" s="2266">
        <v>2404</v>
      </c>
      <c r="F2219" s="2266" t="s">
        <v>6359</v>
      </c>
      <c r="G2219" s="2266" t="s">
        <v>6356</v>
      </c>
      <c r="H2219" s="2266">
        <v>827517</v>
      </c>
      <c r="I2219" s="2266">
        <v>0</v>
      </c>
      <c r="J2219" s="2266">
        <v>0</v>
      </c>
      <c r="K2219" s="2266">
        <v>0</v>
      </c>
      <c r="L2219" s="2266">
        <v>0</v>
      </c>
      <c r="M2219" s="2266">
        <v>599</v>
      </c>
    </row>
    <row r="2220" spans="1:13" ht="15">
      <c r="A2220" s="2266" t="s">
        <v>4398</v>
      </c>
      <c r="B2220" s="2465" t="str">
        <f>CONCATENATE(LEFT(RIGHT(CONCATENATE("000",IFAData_TEA_1617!A2220),6),3),"-",(RIGHT(RIGHT(CONCATENATE("000",IFAData_TEA_1617!A2220),6),3)))</f>
        <v>240-903</v>
      </c>
      <c r="C2220" s="2266" t="s">
        <v>2703</v>
      </c>
      <c r="D2220" s="2266">
        <v>3</v>
      </c>
      <c r="E2220" s="2266">
        <v>2405</v>
      </c>
      <c r="F2220" s="2266" t="s">
        <v>6355</v>
      </c>
      <c r="G2220" s="2266" t="s">
        <v>6356</v>
      </c>
      <c r="H2220" s="2266">
        <v>986173</v>
      </c>
      <c r="I2220" s="2266">
        <v>0</v>
      </c>
      <c r="J2220" s="2266">
        <v>0</v>
      </c>
      <c r="K2220" s="2266">
        <v>0</v>
      </c>
      <c r="L2220" s="2266">
        <v>0</v>
      </c>
      <c r="M2220" s="2266">
        <v>599</v>
      </c>
    </row>
    <row r="2221" spans="1:13" ht="15">
      <c r="A2221" s="2266" t="s">
        <v>4398</v>
      </c>
      <c r="B2221" s="2465" t="str">
        <f>CONCATENATE(LEFT(RIGHT(CONCATENATE("000",IFAData_TEA_1617!A2221),6),3),"-",(RIGHT(RIGHT(CONCATENATE("000",IFAData_TEA_1617!A2221),6),3)))</f>
        <v>240-903</v>
      </c>
      <c r="C2221" s="2266" t="s">
        <v>2703</v>
      </c>
      <c r="D2221" s="2266">
        <v>3</v>
      </c>
      <c r="E2221" s="2266">
        <v>2407</v>
      </c>
      <c r="F2221" s="2266" t="s">
        <v>6358</v>
      </c>
      <c r="G2221" s="2266" t="s">
        <v>6356</v>
      </c>
      <c r="H2221" s="2266">
        <v>1098957</v>
      </c>
      <c r="I2221" s="2266">
        <v>0</v>
      </c>
      <c r="J2221" s="2266">
        <v>0</v>
      </c>
      <c r="K2221" s="2266">
        <v>0</v>
      </c>
      <c r="L2221" s="2266">
        <v>0</v>
      </c>
      <c r="M2221" s="2266">
        <v>599</v>
      </c>
    </row>
    <row r="2222" spans="1:13" ht="15">
      <c r="A2222" s="2266" t="s">
        <v>4398</v>
      </c>
      <c r="B2222" s="2465" t="str">
        <f>CONCATENATE(LEFT(RIGHT(CONCATENATE("000",IFAData_TEA_1617!A2222),6),3),"-",(RIGHT(RIGHT(CONCATENATE("000",IFAData_TEA_1617!A2222),6),3)))</f>
        <v>240-903</v>
      </c>
      <c r="C2222" s="2266" t="s">
        <v>2703</v>
      </c>
      <c r="D2222" s="2266">
        <v>5</v>
      </c>
      <c r="E2222" s="2266">
        <v>2404</v>
      </c>
      <c r="F2222" s="2266" t="s">
        <v>6359</v>
      </c>
      <c r="G2222" s="2266" t="s">
        <v>6359</v>
      </c>
      <c r="H2222" s="2266">
        <v>827517</v>
      </c>
      <c r="I2222" s="2266">
        <v>0</v>
      </c>
      <c r="J2222" s="2266">
        <v>0</v>
      </c>
      <c r="K2222" s="2266">
        <v>0</v>
      </c>
      <c r="L2222" s="2266">
        <v>0</v>
      </c>
      <c r="M2222" s="2266">
        <v>599</v>
      </c>
    </row>
    <row r="2223" spans="1:13" ht="15">
      <c r="A2223" s="2266" t="s">
        <v>4398</v>
      </c>
      <c r="B2223" s="2465" t="str">
        <f>CONCATENATE(LEFT(RIGHT(CONCATENATE("000",IFAData_TEA_1617!A2223),6),3),"-",(RIGHT(RIGHT(CONCATENATE("000",IFAData_TEA_1617!A2223),6),3)))</f>
        <v>240-903</v>
      </c>
      <c r="C2223" s="2266" t="s">
        <v>2703</v>
      </c>
      <c r="D2223" s="2266">
        <v>3</v>
      </c>
      <c r="E2223" s="2266">
        <v>2405</v>
      </c>
      <c r="F2223" s="2266" t="s">
        <v>6355</v>
      </c>
      <c r="G2223" s="2266" t="s">
        <v>6357</v>
      </c>
      <c r="H2223" s="2266">
        <v>986173</v>
      </c>
      <c r="I2223" s="2266">
        <v>0</v>
      </c>
      <c r="J2223" s="2266">
        <v>0</v>
      </c>
      <c r="K2223" s="2266">
        <v>0</v>
      </c>
      <c r="L2223" s="2266">
        <v>0</v>
      </c>
      <c r="M2223" s="2266">
        <v>599</v>
      </c>
    </row>
    <row r="2224" spans="1:13" ht="15">
      <c r="A2224" s="2266" t="s">
        <v>4398</v>
      </c>
      <c r="B2224" s="2465" t="str">
        <f>CONCATENATE(LEFT(RIGHT(CONCATENATE("000",IFAData_TEA_1617!A2224),6),3),"-",(RIGHT(RIGHT(CONCATENATE("000",IFAData_TEA_1617!A2224),6),3)))</f>
        <v>240-903</v>
      </c>
      <c r="C2224" s="2266" t="s">
        <v>2703</v>
      </c>
      <c r="D2224" s="2266">
        <v>3</v>
      </c>
      <c r="E2224" s="2266">
        <v>2407</v>
      </c>
      <c r="F2224" s="2266" t="s">
        <v>6358</v>
      </c>
      <c r="G2224" s="2266" t="s">
        <v>6358</v>
      </c>
      <c r="H2224" s="2266">
        <v>1098957</v>
      </c>
      <c r="I2224" s="2266">
        <v>0</v>
      </c>
      <c r="J2224" s="2266">
        <v>0</v>
      </c>
      <c r="K2224" s="2266">
        <v>0</v>
      </c>
      <c r="L2224" s="2266">
        <v>0</v>
      </c>
      <c r="M2224" s="2266">
        <v>599</v>
      </c>
    </row>
    <row r="2225" spans="1:13" ht="15">
      <c r="A2225" s="2266" t="s">
        <v>4398</v>
      </c>
      <c r="B2225" s="2465" t="str">
        <f>CONCATENATE(LEFT(RIGHT(CONCATENATE("000",IFAData_TEA_1617!A2225),6),3),"-",(RIGHT(RIGHT(CONCATENATE("000",IFAData_TEA_1617!A2225),6),3)))</f>
        <v>240-903</v>
      </c>
      <c r="C2225" s="2266" t="s">
        <v>2703</v>
      </c>
      <c r="D2225" s="2266">
        <v>5</v>
      </c>
      <c r="E2225" s="2266">
        <v>2404</v>
      </c>
      <c r="F2225" s="2266" t="s">
        <v>6359</v>
      </c>
      <c r="G2225" s="2266" t="s">
        <v>7077</v>
      </c>
      <c r="H2225" s="2266">
        <v>827517</v>
      </c>
      <c r="I2225" s="2266">
        <v>715675</v>
      </c>
      <c r="J2225" s="2266">
        <v>0.72307933236340127</v>
      </c>
      <c r="K2225" s="2266">
        <v>598360.43987936468</v>
      </c>
      <c r="L2225" s="2266">
        <v>598360.43987936468</v>
      </c>
      <c r="M2225" s="2266">
        <v>599</v>
      </c>
    </row>
    <row r="2226" spans="1:13" ht="15">
      <c r="A2226" s="2266" t="s">
        <v>4398</v>
      </c>
      <c r="B2226" s="2465" t="str">
        <f>CONCATENATE(LEFT(RIGHT(CONCATENATE("000",IFAData_TEA_1617!A2226),6),3),"-",(RIGHT(RIGHT(CONCATENATE("000",IFAData_TEA_1617!A2226),6),3)))</f>
        <v>240-903</v>
      </c>
      <c r="C2226" s="2266" t="s">
        <v>2703</v>
      </c>
      <c r="D2226" s="2266">
        <v>3</v>
      </c>
      <c r="E2226" s="2266">
        <v>2405</v>
      </c>
      <c r="F2226" s="2266" t="s">
        <v>6355</v>
      </c>
      <c r="G2226" s="2266" t="s">
        <v>7077</v>
      </c>
      <c r="H2226" s="2266">
        <v>986173</v>
      </c>
      <c r="I2226" s="2266">
        <v>392737</v>
      </c>
      <c r="J2226" s="2266">
        <v>0.12315685858239647</v>
      </c>
      <c r="K2226" s="2266">
        <v>121453.96869877768</v>
      </c>
      <c r="L2226" s="2266">
        <v>121453.96869877768</v>
      </c>
      <c r="M2226" s="2266">
        <v>599</v>
      </c>
    </row>
    <row r="2227" spans="1:13" ht="15">
      <c r="A2227" s="2266" t="s">
        <v>4398</v>
      </c>
      <c r="B2227" s="2465" t="str">
        <f>CONCATENATE(LEFT(RIGHT(CONCATENATE("000",IFAData_TEA_1617!A2227),6),3),"-",(RIGHT(RIGHT(CONCATENATE("000",IFAData_TEA_1617!A2227),6),3)))</f>
        <v>240-903</v>
      </c>
      <c r="C2227" s="2266" t="s">
        <v>2703</v>
      </c>
      <c r="D2227" s="2266">
        <v>3</v>
      </c>
      <c r="E2227" s="2266">
        <v>2407</v>
      </c>
      <c r="F2227" s="2266" t="s">
        <v>6358</v>
      </c>
      <c r="G2227" s="2266" t="s">
        <v>7077</v>
      </c>
      <c r="H2227" s="2266">
        <v>1098957</v>
      </c>
      <c r="I2227" s="2266">
        <v>1924523</v>
      </c>
      <c r="J2227" s="2266">
        <v>1</v>
      </c>
      <c r="K2227" s="2266">
        <v>1098957</v>
      </c>
      <c r="L2227" s="2266">
        <v>1098957</v>
      </c>
      <c r="M2227" s="2266">
        <v>599</v>
      </c>
    </row>
    <row r="2228" spans="1:13" ht="15">
      <c r="A2228" s="2266" t="s">
        <v>4399</v>
      </c>
      <c r="B2228" s="2465" t="str">
        <f>CONCATENATE(LEFT(RIGHT(CONCATENATE("000",IFAData_TEA_1617!A2228),6),3),"-",(RIGHT(RIGHT(CONCATENATE("000",IFAData_TEA_1617!A2228),6),3)))</f>
        <v>243-901</v>
      </c>
      <c r="C2228" s="2266" t="s">
        <v>1633</v>
      </c>
      <c r="D2228" s="2266">
        <v>2</v>
      </c>
      <c r="E2228" s="2266">
        <v>1652</v>
      </c>
      <c r="F2228" s="2266" t="s">
        <v>6364</v>
      </c>
      <c r="G2228" s="2266" t="s">
        <v>6366</v>
      </c>
      <c r="H2228" s="2266">
        <v>871498</v>
      </c>
      <c r="I2228" s="2266">
        <v>1059808</v>
      </c>
      <c r="J2228" s="2266">
        <v>1</v>
      </c>
      <c r="K2228" s="2266">
        <v>871498</v>
      </c>
      <c r="L2228" s="2266">
        <v>871498</v>
      </c>
      <c r="M2228" s="2266">
        <v>599</v>
      </c>
    </row>
    <row r="2229" spans="1:13" ht="15">
      <c r="A2229" s="2266" t="s">
        <v>4399</v>
      </c>
      <c r="B2229" s="2465" t="str">
        <f>CONCATENATE(LEFT(RIGHT(CONCATENATE("000",IFAData_TEA_1617!A2229),6),3),"-",(RIGHT(RIGHT(CONCATENATE("000",IFAData_TEA_1617!A2229),6),3)))</f>
        <v>243-901</v>
      </c>
      <c r="C2229" s="2266" t="s">
        <v>1633</v>
      </c>
      <c r="D2229" s="2266">
        <v>2</v>
      </c>
      <c r="E2229" s="2266">
        <v>1652</v>
      </c>
      <c r="F2229" s="2266" t="s">
        <v>6364</v>
      </c>
      <c r="G2229" s="2266" t="s">
        <v>6365</v>
      </c>
      <c r="H2229" s="2266">
        <v>871498</v>
      </c>
      <c r="I2229" s="2266">
        <v>0</v>
      </c>
      <c r="J2229" s="2266">
        <v>0</v>
      </c>
      <c r="K2229" s="2266">
        <v>0</v>
      </c>
      <c r="L2229" s="2266">
        <v>0</v>
      </c>
      <c r="M2229" s="2266">
        <v>599</v>
      </c>
    </row>
    <row r="2230" spans="1:13" ht="15">
      <c r="A2230" s="2266" t="s">
        <v>4399</v>
      </c>
      <c r="B2230" s="2465" t="str">
        <f>CONCATENATE(LEFT(RIGHT(CONCATENATE("000",IFAData_TEA_1617!A2230),6),3),"-",(RIGHT(RIGHT(CONCATENATE("000",IFAData_TEA_1617!A2230),6),3)))</f>
        <v>243-901</v>
      </c>
      <c r="C2230" s="2266" t="s">
        <v>1633</v>
      </c>
      <c r="D2230" s="2266">
        <v>2</v>
      </c>
      <c r="E2230" s="2266">
        <v>1652</v>
      </c>
      <c r="F2230" s="2266" t="s">
        <v>6364</v>
      </c>
      <c r="G2230" s="2266" t="s">
        <v>6364</v>
      </c>
      <c r="H2230" s="2266">
        <v>871498</v>
      </c>
      <c r="I2230" s="2266">
        <v>0</v>
      </c>
      <c r="J2230" s="2266">
        <v>0</v>
      </c>
      <c r="K2230" s="2266">
        <v>0</v>
      </c>
      <c r="L2230" s="2266">
        <v>0</v>
      </c>
      <c r="M2230" s="2266">
        <v>599</v>
      </c>
    </row>
    <row r="2231" spans="1:13" ht="15">
      <c r="A2231" s="2266" t="s">
        <v>4400</v>
      </c>
      <c r="B2231" s="2465" t="str">
        <f>CONCATENATE(LEFT(RIGHT(CONCATENATE("000",IFAData_TEA_1617!A2231),6),3),"-",(RIGHT(RIGHT(CONCATENATE("000",IFAData_TEA_1617!A2231),6),3)))</f>
        <v>243-905</v>
      </c>
      <c r="C2231" s="2266" t="s">
        <v>1806</v>
      </c>
      <c r="D2231" s="2266">
        <v>9</v>
      </c>
      <c r="E2231" s="2266">
        <v>2453</v>
      </c>
      <c r="F2231" s="2266" t="s">
        <v>6367</v>
      </c>
      <c r="G2231" s="2266" t="s">
        <v>7078</v>
      </c>
      <c r="H2231" s="2266">
        <v>3370543</v>
      </c>
      <c r="I2231" s="2266">
        <v>1453200</v>
      </c>
      <c r="J2231" s="2266">
        <v>0.33069361004915349</v>
      </c>
      <c r="K2231" s="2266">
        <v>1114617.032495904</v>
      </c>
      <c r="L2231" s="2266">
        <v>1114617.032495904</v>
      </c>
      <c r="M2231" s="2266">
        <v>599</v>
      </c>
    </row>
    <row r="2232" spans="1:13" ht="15">
      <c r="A2232" s="2266" t="s">
        <v>4400</v>
      </c>
      <c r="B2232" s="2465" t="str">
        <f>CONCATENATE(LEFT(RIGHT(CONCATENATE("000",IFAData_TEA_1617!A2232),6),3),"-",(RIGHT(RIGHT(CONCATENATE("000",IFAData_TEA_1617!A2232),6),3)))</f>
        <v>243-905</v>
      </c>
      <c r="C2232" s="2266" t="s">
        <v>1806</v>
      </c>
      <c r="D2232" s="2266">
        <v>9</v>
      </c>
      <c r="E2232" s="2266">
        <v>2453</v>
      </c>
      <c r="F2232" s="2266" t="s">
        <v>6367</v>
      </c>
      <c r="G2232" s="2266" t="s">
        <v>6367</v>
      </c>
      <c r="H2232" s="2266">
        <v>3370543</v>
      </c>
      <c r="I2232" s="2266">
        <v>2941200</v>
      </c>
      <c r="J2232" s="2266">
        <v>0.66930638995084657</v>
      </c>
      <c r="K2232" s="2266">
        <v>2255925.9675040962</v>
      </c>
      <c r="L2232" s="2266">
        <v>2255925.9675040962</v>
      </c>
      <c r="M2232" s="2266">
        <v>599</v>
      </c>
    </row>
    <row r="2233" spans="1:13" ht="15">
      <c r="A2233" s="2266" t="s">
        <v>4401</v>
      </c>
      <c r="B2233" s="2465" t="str">
        <f>CONCATENATE(LEFT(RIGHT(CONCATENATE("000",IFAData_TEA_1617!A2233),6),3),"-",(RIGHT(RIGHT(CONCATENATE("000",IFAData_TEA_1617!A2233),6),3)))</f>
        <v>243-906</v>
      </c>
      <c r="C2233" s="2266" t="s">
        <v>1327</v>
      </c>
      <c r="D2233" s="2266">
        <v>5</v>
      </c>
      <c r="E2233" s="2266">
        <v>1693</v>
      </c>
      <c r="F2233" s="2266" t="s">
        <v>6368</v>
      </c>
      <c r="G2233" s="2266" t="s">
        <v>6368</v>
      </c>
      <c r="H2233" s="2266">
        <v>347638</v>
      </c>
      <c r="I2233" s="2266">
        <v>646697</v>
      </c>
      <c r="J2233" s="2266">
        <v>1</v>
      </c>
      <c r="K2233" s="2266">
        <v>347638</v>
      </c>
      <c r="L2233" s="2266">
        <v>347638</v>
      </c>
      <c r="M2233" s="2266">
        <v>599</v>
      </c>
    </row>
    <row r="2234" spans="1:13" ht="15">
      <c r="A2234" s="2266" t="s">
        <v>4402</v>
      </c>
      <c r="B2234" s="2465" t="str">
        <f>CONCATENATE(LEFT(RIGHT(CONCATENATE("000",IFAData_TEA_1617!A2234),6),3),"-",(RIGHT(RIGHT(CONCATENATE("000",IFAData_TEA_1617!A2234),6),3)))</f>
        <v>244-905</v>
      </c>
      <c r="C2234" s="2266" t="s">
        <v>2612</v>
      </c>
      <c r="D2234" s="2266">
        <v>8</v>
      </c>
      <c r="E2234" s="2266">
        <v>2151</v>
      </c>
      <c r="F2234" s="2266" t="s">
        <v>6369</v>
      </c>
      <c r="G2234" s="2266" t="s">
        <v>6369</v>
      </c>
      <c r="H2234" s="2266">
        <v>100000</v>
      </c>
      <c r="I2234" s="2266">
        <v>130550</v>
      </c>
      <c r="J2234" s="2266">
        <v>1</v>
      </c>
      <c r="K2234" s="2266">
        <v>100000</v>
      </c>
      <c r="L2234" s="2266">
        <v>100000</v>
      </c>
      <c r="M2234" s="2266">
        <v>599</v>
      </c>
    </row>
    <row r="2235" spans="1:13" ht="15">
      <c r="A2235" s="2266" t="s">
        <v>4403</v>
      </c>
      <c r="B2235" s="2465" t="str">
        <f>CONCATENATE(LEFT(RIGHT(CONCATENATE("000",IFAData_TEA_1617!A2235),6),3),"-",(RIGHT(RIGHT(CONCATENATE("000",IFAData_TEA_1617!A2235),6),3)))</f>
        <v>245-901</v>
      </c>
      <c r="C2235" s="2266" t="s">
        <v>2678</v>
      </c>
      <c r="D2235" s="2266">
        <v>5</v>
      </c>
      <c r="E2235" s="2266">
        <v>2012</v>
      </c>
      <c r="F2235" s="2266" t="s">
        <v>6372</v>
      </c>
      <c r="G2235" s="2266" t="s">
        <v>6372</v>
      </c>
      <c r="H2235" s="2266">
        <v>92936</v>
      </c>
      <c r="I2235" s="2266">
        <v>0</v>
      </c>
      <c r="J2235" s="2266">
        <v>0</v>
      </c>
      <c r="K2235" s="2266">
        <v>0</v>
      </c>
      <c r="L2235" s="2266">
        <v>0</v>
      </c>
      <c r="M2235" s="2266">
        <v>599</v>
      </c>
    </row>
    <row r="2236" spans="1:13" ht="15">
      <c r="A2236" s="2266" t="s">
        <v>4403</v>
      </c>
      <c r="B2236" s="2465" t="str">
        <f>CONCATENATE(LEFT(RIGHT(CONCATENATE("000",IFAData_TEA_1617!A2236),6),3),"-",(RIGHT(RIGHT(CONCATENATE("000",IFAData_TEA_1617!A2236),6),3)))</f>
        <v>245-901</v>
      </c>
      <c r="C2236" s="2266" t="s">
        <v>2678</v>
      </c>
      <c r="D2236" s="2266">
        <v>8</v>
      </c>
      <c r="E2236" s="2266">
        <v>2014</v>
      </c>
      <c r="F2236" s="2266" t="s">
        <v>6373</v>
      </c>
      <c r="G2236" s="2266" t="s">
        <v>6373</v>
      </c>
      <c r="H2236" s="2266">
        <v>98876</v>
      </c>
      <c r="I2236" s="2266">
        <v>0</v>
      </c>
      <c r="J2236" s="2266">
        <v>0</v>
      </c>
      <c r="K2236" s="2266">
        <v>0</v>
      </c>
      <c r="L2236" s="2266">
        <v>0</v>
      </c>
      <c r="M2236" s="2266">
        <v>599</v>
      </c>
    </row>
    <row r="2237" spans="1:13" ht="15">
      <c r="A2237" s="2266" t="s">
        <v>4403</v>
      </c>
      <c r="B2237" s="2465" t="str">
        <f>CONCATENATE(LEFT(RIGHT(CONCATENATE("000",IFAData_TEA_1617!A2237),6),3),"-",(RIGHT(RIGHT(CONCATENATE("000",IFAData_TEA_1617!A2237),6),3)))</f>
        <v>245-901</v>
      </c>
      <c r="C2237" s="2266" t="s">
        <v>2678</v>
      </c>
      <c r="D2237" s="2266">
        <v>4</v>
      </c>
      <c r="E2237" s="2266">
        <v>2013</v>
      </c>
      <c r="F2237" s="2266" t="s">
        <v>6370</v>
      </c>
      <c r="G2237" s="2266" t="s">
        <v>6370</v>
      </c>
      <c r="H2237" s="2266">
        <v>98474</v>
      </c>
      <c r="I2237" s="2266">
        <v>0</v>
      </c>
      <c r="J2237" s="2266">
        <v>0</v>
      </c>
      <c r="K2237" s="2266">
        <v>0</v>
      </c>
      <c r="L2237" s="2266">
        <v>0</v>
      </c>
      <c r="M2237" s="2266">
        <v>599</v>
      </c>
    </row>
    <row r="2238" spans="1:13" ht="15">
      <c r="A2238" s="2266" t="s">
        <v>4403</v>
      </c>
      <c r="B2238" s="2465" t="str">
        <f>CONCATENATE(LEFT(RIGHT(CONCATENATE("000",IFAData_TEA_1617!A2238),6),3),"-",(RIGHT(RIGHT(CONCATENATE("000",IFAData_TEA_1617!A2238),6),3)))</f>
        <v>245-901</v>
      </c>
      <c r="C2238" s="2266" t="s">
        <v>2678</v>
      </c>
      <c r="D2238" s="2266">
        <v>5</v>
      </c>
      <c r="E2238" s="2266">
        <v>2012</v>
      </c>
      <c r="F2238" s="2266" t="s">
        <v>6372</v>
      </c>
      <c r="G2238" s="2266" t="s">
        <v>6371</v>
      </c>
      <c r="H2238" s="2266">
        <v>92936</v>
      </c>
      <c r="I2238" s="2266">
        <v>82518</v>
      </c>
      <c r="J2238" s="2266">
        <v>1</v>
      </c>
      <c r="K2238" s="2266">
        <v>92936</v>
      </c>
      <c r="L2238" s="2266">
        <v>82518</v>
      </c>
      <c r="M2238" s="2266">
        <v>599</v>
      </c>
    </row>
    <row r="2239" spans="1:13" ht="15">
      <c r="A2239" s="2266" t="s">
        <v>4403</v>
      </c>
      <c r="B2239" s="2465" t="str">
        <f>CONCATENATE(LEFT(RIGHT(CONCATENATE("000",IFAData_TEA_1617!A2239),6),3),"-",(RIGHT(RIGHT(CONCATENATE("000",IFAData_TEA_1617!A2239),6),3)))</f>
        <v>245-901</v>
      </c>
      <c r="C2239" s="2266" t="s">
        <v>2678</v>
      </c>
      <c r="D2239" s="2266">
        <v>4</v>
      </c>
      <c r="E2239" s="2266">
        <v>2013</v>
      </c>
      <c r="F2239" s="2266" t="s">
        <v>6370</v>
      </c>
      <c r="G2239" s="2266" t="s">
        <v>6371</v>
      </c>
      <c r="H2239" s="2266">
        <v>98474</v>
      </c>
      <c r="I2239" s="2266">
        <v>77234</v>
      </c>
      <c r="J2239" s="2266">
        <v>1</v>
      </c>
      <c r="K2239" s="2266">
        <v>98474</v>
      </c>
      <c r="L2239" s="2266">
        <v>77234</v>
      </c>
      <c r="M2239" s="2266">
        <v>599</v>
      </c>
    </row>
    <row r="2240" spans="1:13" ht="15">
      <c r="A2240" s="2266" t="s">
        <v>4403</v>
      </c>
      <c r="B2240" s="2465" t="str">
        <f>CONCATENATE(LEFT(RIGHT(CONCATENATE("000",IFAData_TEA_1617!A2240),6),3),"-",(RIGHT(RIGHT(CONCATENATE("000",IFAData_TEA_1617!A2240),6),3)))</f>
        <v>245-901</v>
      </c>
      <c r="C2240" s="2266" t="s">
        <v>2678</v>
      </c>
      <c r="D2240" s="2266">
        <v>10</v>
      </c>
      <c r="E2240" s="2266">
        <v>2016</v>
      </c>
      <c r="F2240" s="2266" t="s">
        <v>6375</v>
      </c>
      <c r="G2240" s="2266" t="s">
        <v>6375</v>
      </c>
      <c r="H2240" s="2266">
        <v>108827</v>
      </c>
      <c r="I2240" s="2266">
        <v>117412</v>
      </c>
      <c r="J2240" s="2266">
        <v>1</v>
      </c>
      <c r="K2240" s="2266">
        <v>108827</v>
      </c>
      <c r="L2240" s="2266">
        <v>108827</v>
      </c>
      <c r="M2240" s="2266">
        <v>599</v>
      </c>
    </row>
    <row r="2241" spans="1:13" ht="15">
      <c r="A2241" s="2266" t="s">
        <v>4403</v>
      </c>
      <c r="B2241" s="2465" t="str">
        <f>CONCATENATE(LEFT(RIGHT(CONCATENATE("000",IFAData_TEA_1617!A2241),6),3),"-",(RIGHT(RIGHT(CONCATENATE("000",IFAData_TEA_1617!A2241),6),3)))</f>
        <v>245-901</v>
      </c>
      <c r="C2241" s="2266" t="s">
        <v>2678</v>
      </c>
      <c r="D2241" s="2266">
        <v>9</v>
      </c>
      <c r="E2241" s="2266">
        <v>2015</v>
      </c>
      <c r="F2241" s="2266" t="s">
        <v>6374</v>
      </c>
      <c r="G2241" s="2266" t="s">
        <v>6374</v>
      </c>
      <c r="H2241" s="2266">
        <v>100000</v>
      </c>
      <c r="I2241" s="2266">
        <v>40000</v>
      </c>
      <c r="J2241" s="2266">
        <v>0.30946578468918029</v>
      </c>
      <c r="K2241" s="2266">
        <v>30946.578468918029</v>
      </c>
      <c r="L2241" s="2266">
        <v>30946.578468918029</v>
      </c>
      <c r="M2241" s="2266">
        <v>599</v>
      </c>
    </row>
    <row r="2242" spans="1:13" ht="15">
      <c r="A2242" s="2266" t="s">
        <v>4403</v>
      </c>
      <c r="B2242" s="2465" t="str">
        <f>CONCATENATE(LEFT(RIGHT(CONCATENATE("000",IFAData_TEA_1617!A2242),6),3),"-",(RIGHT(RIGHT(CONCATENATE("000",IFAData_TEA_1617!A2242),6),3)))</f>
        <v>245-901</v>
      </c>
      <c r="C2242" s="2266" t="s">
        <v>2678</v>
      </c>
      <c r="D2242" s="2266">
        <v>8</v>
      </c>
      <c r="E2242" s="2266">
        <v>2014</v>
      </c>
      <c r="F2242" s="2266" t="s">
        <v>6373</v>
      </c>
      <c r="G2242" s="2266" t="s">
        <v>7292</v>
      </c>
      <c r="H2242" s="2266">
        <v>98876</v>
      </c>
      <c r="I2242" s="2266">
        <v>76986</v>
      </c>
      <c r="J2242" s="2266">
        <v>1</v>
      </c>
      <c r="K2242" s="2266">
        <v>98876</v>
      </c>
      <c r="L2242" s="2266">
        <v>76986</v>
      </c>
      <c r="M2242" s="2266">
        <v>599</v>
      </c>
    </row>
    <row r="2243" spans="1:13" ht="15">
      <c r="A2243" s="2266" t="s">
        <v>4403</v>
      </c>
      <c r="B2243" s="2465" t="str">
        <f>CONCATENATE(LEFT(RIGHT(CONCATENATE("000",IFAData_TEA_1617!A2243),6),3),"-",(RIGHT(RIGHT(CONCATENATE("000",IFAData_TEA_1617!A2243),6),3)))</f>
        <v>245-901</v>
      </c>
      <c r="C2243" s="2266" t="s">
        <v>2678</v>
      </c>
      <c r="D2243" s="2266">
        <v>9</v>
      </c>
      <c r="E2243" s="2266">
        <v>2015</v>
      </c>
      <c r="F2243" s="2266" t="s">
        <v>6374</v>
      </c>
      <c r="G2243" s="2266" t="s">
        <v>7292</v>
      </c>
      <c r="H2243" s="2266">
        <v>100000</v>
      </c>
      <c r="I2243" s="2266">
        <v>89255</v>
      </c>
      <c r="J2243" s="2266">
        <v>0.69053421531081971</v>
      </c>
      <c r="K2243" s="2266">
        <v>69053.421531081971</v>
      </c>
      <c r="L2243" s="2266">
        <v>69053.421531081971</v>
      </c>
      <c r="M2243" s="2266">
        <v>599</v>
      </c>
    </row>
    <row r="2244" spans="1:13" ht="15">
      <c r="A2244" s="2266" t="s">
        <v>4404</v>
      </c>
      <c r="B2244" s="2465" t="str">
        <f>CONCATENATE(LEFT(RIGHT(CONCATENATE("000",IFAData_TEA_1617!A2244),6),3),"-",(RIGHT(RIGHT(CONCATENATE("000",IFAData_TEA_1617!A2244),6),3)))</f>
        <v>245-902</v>
      </c>
      <c r="C2244" s="2266" t="s">
        <v>950</v>
      </c>
      <c r="D2244" s="2266">
        <v>1</v>
      </c>
      <c r="E2244" s="2266">
        <v>2047</v>
      </c>
      <c r="F2244" s="2266" t="s">
        <v>6376</v>
      </c>
      <c r="G2244" s="2266" t="s">
        <v>6376</v>
      </c>
      <c r="H2244" s="2266">
        <v>412085</v>
      </c>
      <c r="I2244" s="2266">
        <v>0</v>
      </c>
      <c r="J2244" s="2266">
        <v>0</v>
      </c>
      <c r="K2244" s="2266">
        <v>0</v>
      </c>
      <c r="L2244" s="2266">
        <v>0</v>
      </c>
      <c r="M2244" s="2266">
        <v>199</v>
      </c>
    </row>
    <row r="2245" spans="1:13" ht="15">
      <c r="A2245" s="2266" t="s">
        <v>4404</v>
      </c>
      <c r="B2245" s="2465" t="str">
        <f>CONCATENATE(LEFT(RIGHT(CONCATENATE("000",IFAData_TEA_1617!A2245),6),3),"-",(RIGHT(RIGHT(CONCATENATE("000",IFAData_TEA_1617!A2245),6),3)))</f>
        <v>245-902</v>
      </c>
      <c r="C2245" s="2266" t="s">
        <v>950</v>
      </c>
      <c r="D2245" s="2266">
        <v>1</v>
      </c>
      <c r="E2245" s="2266">
        <v>2047</v>
      </c>
      <c r="F2245" s="2266" t="s">
        <v>6376</v>
      </c>
      <c r="G2245" s="2266" t="s">
        <v>6377</v>
      </c>
      <c r="H2245" s="2266">
        <v>412085</v>
      </c>
      <c r="I2245" s="2266">
        <v>454498</v>
      </c>
      <c r="J2245" s="2266">
        <v>1</v>
      </c>
      <c r="K2245" s="2266">
        <v>412085</v>
      </c>
      <c r="L2245" s="2266">
        <v>412085</v>
      </c>
      <c r="M2245" s="2266">
        <v>599</v>
      </c>
    </row>
    <row r="2246" spans="1:13" ht="15">
      <c r="A2246" s="2266" t="s">
        <v>4404</v>
      </c>
      <c r="B2246" s="2465" t="str">
        <f>CONCATENATE(LEFT(RIGHT(CONCATENATE("000",IFAData_TEA_1617!A2246),6),3),"-",(RIGHT(RIGHT(CONCATENATE("000",IFAData_TEA_1617!A2246),6),3)))</f>
        <v>245-902</v>
      </c>
      <c r="C2246" s="2266" t="s">
        <v>950</v>
      </c>
      <c r="D2246" s="2266">
        <v>6</v>
      </c>
      <c r="E2246" s="2266">
        <v>2046</v>
      </c>
      <c r="F2246" s="2266" t="s">
        <v>6378</v>
      </c>
      <c r="G2246" s="2266" t="s">
        <v>6378</v>
      </c>
      <c r="H2246" s="2266">
        <v>342241</v>
      </c>
      <c r="I2246" s="2266">
        <v>0</v>
      </c>
      <c r="J2246" s="2266">
        <v>0</v>
      </c>
      <c r="K2246" s="2266">
        <v>0</v>
      </c>
      <c r="L2246" s="2266">
        <v>0</v>
      </c>
      <c r="M2246" s="2266">
        <v>599</v>
      </c>
    </row>
    <row r="2247" spans="1:13" ht="15">
      <c r="A2247" s="2266" t="s">
        <v>4404</v>
      </c>
      <c r="B2247" s="2465" t="str">
        <f>CONCATENATE(LEFT(RIGHT(CONCATENATE("000",IFAData_TEA_1617!A2247),6),3),"-",(RIGHT(RIGHT(CONCATENATE("000",IFAData_TEA_1617!A2247),6),3)))</f>
        <v>245-902</v>
      </c>
      <c r="C2247" s="2266" t="s">
        <v>950</v>
      </c>
      <c r="D2247" s="2266">
        <v>6</v>
      </c>
      <c r="E2247" s="2266">
        <v>2046</v>
      </c>
      <c r="F2247" s="2266" t="s">
        <v>6378</v>
      </c>
      <c r="G2247" s="2266" t="s">
        <v>6379</v>
      </c>
      <c r="H2247" s="2266">
        <v>342241</v>
      </c>
      <c r="I2247" s="2266">
        <v>334939</v>
      </c>
      <c r="J2247" s="2266">
        <v>1</v>
      </c>
      <c r="K2247" s="2266">
        <v>342241</v>
      </c>
      <c r="L2247" s="2266">
        <v>334939</v>
      </c>
      <c r="M2247" s="2266">
        <v>599</v>
      </c>
    </row>
    <row r="2248" spans="1:13" ht="15">
      <c r="A2248" s="2266" t="s">
        <v>4405</v>
      </c>
      <c r="B2248" s="2465" t="str">
        <f>CONCATENATE(LEFT(RIGHT(CONCATENATE("000",IFAData_TEA_1617!A2248),6),3),"-",(RIGHT(RIGHT(CONCATENATE("000",IFAData_TEA_1617!A2248),6),3)))</f>
        <v>245-903</v>
      </c>
      <c r="C2248" s="2266" t="s">
        <v>91</v>
      </c>
      <c r="D2248" s="2266">
        <v>5</v>
      </c>
      <c r="E2248" s="2266">
        <v>2225</v>
      </c>
      <c r="F2248" s="2266" t="s">
        <v>6384</v>
      </c>
      <c r="G2248" s="2266" t="s">
        <v>7079</v>
      </c>
      <c r="H2248" s="2266">
        <v>198867</v>
      </c>
      <c r="I2248" s="2266">
        <v>25367</v>
      </c>
      <c r="J2248" s="2266">
        <v>0.15143031113445879</v>
      </c>
      <c r="K2248" s="2266">
        <v>30114.491684376415</v>
      </c>
      <c r="L2248" s="2266">
        <v>25367</v>
      </c>
      <c r="M2248" s="2266">
        <v>599</v>
      </c>
    </row>
    <row r="2249" spans="1:13" ht="15">
      <c r="A2249" s="2266" t="s">
        <v>4405</v>
      </c>
      <c r="B2249" s="2465" t="str">
        <f>CONCATENATE(LEFT(RIGHT(CONCATENATE("000",IFAData_TEA_1617!A2249),6),3),"-",(RIGHT(RIGHT(CONCATENATE("000",IFAData_TEA_1617!A2249),6),3)))</f>
        <v>245-903</v>
      </c>
      <c r="C2249" s="2266" t="s">
        <v>91</v>
      </c>
      <c r="D2249" s="2266">
        <v>3</v>
      </c>
      <c r="E2249" s="2266">
        <v>2226</v>
      </c>
      <c r="F2249" s="2266" t="s">
        <v>6383</v>
      </c>
      <c r="G2249" s="2266" t="s">
        <v>7079</v>
      </c>
      <c r="H2249" s="2266">
        <v>415048</v>
      </c>
      <c r="I2249" s="2266">
        <v>371238</v>
      </c>
      <c r="J2249" s="2266">
        <v>1</v>
      </c>
      <c r="K2249" s="2266">
        <v>415048</v>
      </c>
      <c r="L2249" s="2266">
        <v>371238</v>
      </c>
      <c r="M2249" s="2266">
        <v>599</v>
      </c>
    </row>
    <row r="2250" spans="1:13" ht="15">
      <c r="A2250" s="2266" t="s">
        <v>4405</v>
      </c>
      <c r="B2250" s="2465" t="str">
        <f>CONCATENATE(LEFT(RIGHT(CONCATENATE("000",IFAData_TEA_1617!A2250),6),3),"-",(RIGHT(RIGHT(CONCATENATE("000",IFAData_TEA_1617!A2250),6),3)))</f>
        <v>245-903</v>
      </c>
      <c r="C2250" s="2266" t="s">
        <v>91</v>
      </c>
      <c r="D2250" s="2266">
        <v>2</v>
      </c>
      <c r="E2250" s="2266">
        <v>2228</v>
      </c>
      <c r="F2250" s="2266" t="s">
        <v>6380</v>
      </c>
      <c r="G2250" s="2266" t="s">
        <v>7079</v>
      </c>
      <c r="H2250" s="2266">
        <v>679270</v>
      </c>
      <c r="I2250" s="2266">
        <v>477783</v>
      </c>
      <c r="J2250" s="2266">
        <v>0.77311665447672806</v>
      </c>
      <c r="K2250" s="2266">
        <v>525154.94988640712</v>
      </c>
      <c r="L2250" s="2266">
        <v>477783</v>
      </c>
      <c r="M2250" s="2266">
        <v>599</v>
      </c>
    </row>
    <row r="2251" spans="1:13" ht="15">
      <c r="A2251" s="2266" t="s">
        <v>4405</v>
      </c>
      <c r="B2251" s="2465" t="str">
        <f>CONCATENATE(LEFT(RIGHT(CONCATENATE("000",IFAData_TEA_1617!A2251),6),3),"-",(RIGHT(RIGHT(CONCATENATE("000",IFAData_TEA_1617!A2251),6),3)))</f>
        <v>245-903</v>
      </c>
      <c r="C2251" s="2266" t="s">
        <v>91</v>
      </c>
      <c r="D2251" s="2266">
        <v>5</v>
      </c>
      <c r="E2251" s="2266">
        <v>2225</v>
      </c>
      <c r="F2251" s="2266" t="s">
        <v>6384</v>
      </c>
      <c r="G2251" s="2266" t="s">
        <v>6384</v>
      </c>
      <c r="H2251" s="2266">
        <v>198867</v>
      </c>
      <c r="I2251" s="2266">
        <v>0</v>
      </c>
      <c r="J2251" s="2266">
        <v>0</v>
      </c>
      <c r="K2251" s="2266">
        <v>0</v>
      </c>
      <c r="L2251" s="2266">
        <v>0</v>
      </c>
      <c r="M2251" s="2266">
        <v>599</v>
      </c>
    </row>
    <row r="2252" spans="1:13" ht="15">
      <c r="A2252" s="2266" t="s">
        <v>4405</v>
      </c>
      <c r="B2252" s="2465" t="str">
        <f>CONCATENATE(LEFT(RIGHT(CONCATENATE("000",IFAData_TEA_1617!A2252),6),3),"-",(RIGHT(RIGHT(CONCATENATE("000",IFAData_TEA_1617!A2252),6),3)))</f>
        <v>245-903</v>
      </c>
      <c r="C2252" s="2266" t="s">
        <v>91</v>
      </c>
      <c r="D2252" s="2266">
        <v>2</v>
      </c>
      <c r="E2252" s="2266">
        <v>2228</v>
      </c>
      <c r="F2252" s="2266" t="s">
        <v>6380</v>
      </c>
      <c r="G2252" s="2266" t="s">
        <v>6380</v>
      </c>
      <c r="H2252" s="2266">
        <v>679270</v>
      </c>
      <c r="I2252" s="2266">
        <v>0</v>
      </c>
      <c r="J2252" s="2266">
        <v>0</v>
      </c>
      <c r="K2252" s="2266">
        <v>0</v>
      </c>
      <c r="L2252" s="2266">
        <v>0</v>
      </c>
      <c r="M2252" s="2266">
        <v>599</v>
      </c>
    </row>
    <row r="2253" spans="1:13" ht="15">
      <c r="A2253" s="2266" t="s">
        <v>4405</v>
      </c>
      <c r="B2253" s="2465" t="str">
        <f>CONCATENATE(LEFT(RIGHT(CONCATENATE("000",IFAData_TEA_1617!A2253),6),3),"-",(RIGHT(RIGHT(CONCATENATE("000",IFAData_TEA_1617!A2253),6),3)))</f>
        <v>245-903</v>
      </c>
      <c r="C2253" s="2266" t="s">
        <v>91</v>
      </c>
      <c r="D2253" s="2266">
        <v>5</v>
      </c>
      <c r="E2253" s="2266">
        <v>2225</v>
      </c>
      <c r="F2253" s="2266" t="s">
        <v>6384</v>
      </c>
      <c r="G2253" s="2266" t="s">
        <v>6385</v>
      </c>
      <c r="H2253" s="2266">
        <v>198867</v>
      </c>
      <c r="I2253" s="2266">
        <v>142149</v>
      </c>
      <c r="J2253" s="2266">
        <v>0.84856968886554118</v>
      </c>
      <c r="K2253" s="2266">
        <v>168752.50831562359</v>
      </c>
      <c r="L2253" s="2266">
        <v>142149</v>
      </c>
      <c r="M2253" s="2266">
        <v>599</v>
      </c>
    </row>
    <row r="2254" spans="1:13" ht="15">
      <c r="A2254" s="2266" t="s">
        <v>4405</v>
      </c>
      <c r="B2254" s="2465" t="str">
        <f>CONCATENATE(LEFT(RIGHT(CONCATENATE("000",IFAData_TEA_1617!A2254),6),3),"-",(RIGHT(RIGHT(CONCATENATE("000",IFAData_TEA_1617!A2254),6),3)))</f>
        <v>245-903</v>
      </c>
      <c r="C2254" s="2266" t="s">
        <v>91</v>
      </c>
      <c r="D2254" s="2266">
        <v>3</v>
      </c>
      <c r="E2254" s="2266">
        <v>2226</v>
      </c>
      <c r="F2254" s="2266" t="s">
        <v>6383</v>
      </c>
      <c r="G2254" s="2266" t="s">
        <v>6381</v>
      </c>
      <c r="H2254" s="2266">
        <v>415048</v>
      </c>
      <c r="I2254" s="2266">
        <v>0</v>
      </c>
      <c r="J2254" s="2266">
        <v>0</v>
      </c>
      <c r="K2254" s="2266">
        <v>0</v>
      </c>
      <c r="L2254" s="2266">
        <v>0</v>
      </c>
      <c r="M2254" s="2266">
        <v>599</v>
      </c>
    </row>
    <row r="2255" spans="1:13" ht="15">
      <c r="A2255" s="2266" t="s">
        <v>4405</v>
      </c>
      <c r="B2255" s="2465" t="str">
        <f>CONCATENATE(LEFT(RIGHT(CONCATENATE("000",IFAData_TEA_1617!A2255),6),3),"-",(RIGHT(RIGHT(CONCATENATE("000",IFAData_TEA_1617!A2255),6),3)))</f>
        <v>245-903</v>
      </c>
      <c r="C2255" s="2266" t="s">
        <v>91</v>
      </c>
      <c r="D2255" s="2266">
        <v>5</v>
      </c>
      <c r="E2255" s="2266">
        <v>2225</v>
      </c>
      <c r="F2255" s="2266" t="s">
        <v>6384</v>
      </c>
      <c r="G2255" s="2266" t="s">
        <v>6381</v>
      </c>
      <c r="H2255" s="2266">
        <v>198867</v>
      </c>
      <c r="I2255" s="2266">
        <v>0</v>
      </c>
      <c r="J2255" s="2266">
        <v>0</v>
      </c>
      <c r="K2255" s="2266">
        <v>0</v>
      </c>
      <c r="L2255" s="2266">
        <v>0</v>
      </c>
      <c r="M2255" s="2266">
        <v>599</v>
      </c>
    </row>
    <row r="2256" spans="1:13" ht="15">
      <c r="A2256" s="2266" t="s">
        <v>4405</v>
      </c>
      <c r="B2256" s="2465" t="str">
        <f>CONCATENATE(LEFT(RIGHT(CONCATENATE("000",IFAData_TEA_1617!A2256),6),3),"-",(RIGHT(RIGHT(CONCATENATE("000",IFAData_TEA_1617!A2256),6),3)))</f>
        <v>245-903</v>
      </c>
      <c r="C2256" s="2266" t="s">
        <v>91</v>
      </c>
      <c r="D2256" s="2266">
        <v>2</v>
      </c>
      <c r="E2256" s="2266">
        <v>2228</v>
      </c>
      <c r="F2256" s="2266" t="s">
        <v>6380</v>
      </c>
      <c r="G2256" s="2266" t="s">
        <v>6381</v>
      </c>
      <c r="H2256" s="2266">
        <v>679270</v>
      </c>
      <c r="I2256" s="2266">
        <v>0</v>
      </c>
      <c r="J2256" s="2266">
        <v>0</v>
      </c>
      <c r="K2256" s="2266">
        <v>0</v>
      </c>
      <c r="L2256" s="2266">
        <v>0</v>
      </c>
      <c r="M2256" s="2266">
        <v>599</v>
      </c>
    </row>
    <row r="2257" spans="1:13" ht="15">
      <c r="A2257" s="2266" t="s">
        <v>4405</v>
      </c>
      <c r="B2257" s="2465" t="str">
        <f>CONCATENATE(LEFT(RIGHT(CONCATENATE("000",IFAData_TEA_1617!A2257),6),3),"-",(RIGHT(RIGHT(CONCATENATE("000",IFAData_TEA_1617!A2257),6),3)))</f>
        <v>245-903</v>
      </c>
      <c r="C2257" s="2266" t="s">
        <v>91</v>
      </c>
      <c r="D2257" s="2266">
        <v>2</v>
      </c>
      <c r="E2257" s="2266">
        <v>2228</v>
      </c>
      <c r="F2257" s="2266" t="s">
        <v>6380</v>
      </c>
      <c r="G2257" s="2266" t="s">
        <v>6382</v>
      </c>
      <c r="H2257" s="2266">
        <v>679270</v>
      </c>
      <c r="I2257" s="2266">
        <v>140213</v>
      </c>
      <c r="J2257" s="2266">
        <v>0.226883345523272</v>
      </c>
      <c r="K2257" s="2266">
        <v>154115.05011359297</v>
      </c>
      <c r="L2257" s="2266">
        <v>140213</v>
      </c>
      <c r="M2257" s="2266">
        <v>599</v>
      </c>
    </row>
    <row r="2258" spans="1:13" ht="15">
      <c r="A2258" s="2266" t="s">
        <v>4405</v>
      </c>
      <c r="B2258" s="2465" t="str">
        <f>CONCATENATE(LEFT(RIGHT(CONCATENATE("000",IFAData_TEA_1617!A2258),6),3),"-",(RIGHT(RIGHT(CONCATENATE("000",IFAData_TEA_1617!A2258),6),3)))</f>
        <v>245-903</v>
      </c>
      <c r="C2258" s="2266" t="s">
        <v>91</v>
      </c>
      <c r="D2258" s="2266">
        <v>9</v>
      </c>
      <c r="E2258" s="2266">
        <v>2227</v>
      </c>
      <c r="F2258" s="2266" t="s">
        <v>6386</v>
      </c>
      <c r="G2258" s="2266" t="s">
        <v>6386</v>
      </c>
      <c r="H2258" s="2266">
        <v>540475</v>
      </c>
      <c r="I2258" s="2266">
        <v>249500</v>
      </c>
      <c r="J2258" s="2266">
        <v>0.39393700165785112</v>
      </c>
      <c r="K2258" s="2266">
        <v>212913.10097102707</v>
      </c>
      <c r="L2258" s="2266">
        <v>212913.10097102707</v>
      </c>
      <c r="M2258" s="2266">
        <v>599</v>
      </c>
    </row>
    <row r="2259" spans="1:13" ht="15">
      <c r="A2259" s="2266" t="s">
        <v>4405</v>
      </c>
      <c r="B2259" s="2465" t="str">
        <f>CONCATENATE(LEFT(RIGHT(CONCATENATE("000",IFAData_TEA_1617!A2259),6),3),"-",(RIGHT(RIGHT(CONCATENATE("000",IFAData_TEA_1617!A2259),6),3)))</f>
        <v>245-903</v>
      </c>
      <c r="C2259" s="2266" t="s">
        <v>91</v>
      </c>
      <c r="D2259" s="2266">
        <v>9</v>
      </c>
      <c r="E2259" s="2266">
        <v>2227</v>
      </c>
      <c r="F2259" s="2266" t="s">
        <v>6386</v>
      </c>
      <c r="G2259" s="2266" t="s">
        <v>7293</v>
      </c>
      <c r="H2259" s="2266">
        <v>540475</v>
      </c>
      <c r="I2259" s="2266">
        <v>383850</v>
      </c>
      <c r="J2259" s="2266">
        <v>0.60606299834214894</v>
      </c>
      <c r="K2259" s="2266">
        <v>327561.89902897296</v>
      </c>
      <c r="L2259" s="2266">
        <v>327561.89902897296</v>
      </c>
      <c r="M2259" s="2266">
        <v>599</v>
      </c>
    </row>
    <row r="2260" spans="1:13" ht="15">
      <c r="A2260" s="2266" t="s">
        <v>4405</v>
      </c>
      <c r="B2260" s="2465" t="str">
        <f>CONCATENATE(LEFT(RIGHT(CONCATENATE("000",IFAData_TEA_1617!A2260),6),3),"-",(RIGHT(RIGHT(CONCATENATE("000",IFAData_TEA_1617!A2260),6),3)))</f>
        <v>245-903</v>
      </c>
      <c r="C2260" s="2266" t="s">
        <v>91</v>
      </c>
      <c r="D2260" s="2266">
        <v>3</v>
      </c>
      <c r="E2260" s="2266">
        <v>2226</v>
      </c>
      <c r="F2260" s="2266" t="s">
        <v>6383</v>
      </c>
      <c r="G2260" s="2266" t="s">
        <v>6383</v>
      </c>
      <c r="H2260" s="2266">
        <v>415048</v>
      </c>
      <c r="I2260" s="2266">
        <v>0</v>
      </c>
      <c r="J2260" s="2266">
        <v>0</v>
      </c>
      <c r="K2260" s="2266">
        <v>0</v>
      </c>
      <c r="L2260" s="2266">
        <v>0</v>
      </c>
      <c r="M2260" s="2266">
        <v>599</v>
      </c>
    </row>
    <row r="2261" spans="1:13" ht="15">
      <c r="A2261" s="2266" t="s">
        <v>4406</v>
      </c>
      <c r="B2261" s="2465" t="str">
        <f>CONCATENATE(LEFT(RIGHT(CONCATENATE("000",IFAData_TEA_1617!A2261),6),3),"-",(RIGHT(RIGHT(CONCATENATE("000",IFAData_TEA_1617!A2261),6),3)))</f>
        <v>245-904</v>
      </c>
      <c r="C2261" s="2266" t="s">
        <v>580</v>
      </c>
      <c r="D2261" s="2266">
        <v>6</v>
      </c>
      <c r="E2261" s="2266">
        <v>2300</v>
      </c>
      <c r="F2261" s="2266" t="s">
        <v>6387</v>
      </c>
      <c r="G2261" s="2266" t="s">
        <v>6388</v>
      </c>
      <c r="H2261" s="2266">
        <v>99319</v>
      </c>
      <c r="I2261" s="2266">
        <v>87400</v>
      </c>
      <c r="J2261" s="2266">
        <v>1</v>
      </c>
      <c r="K2261" s="2266">
        <v>99319</v>
      </c>
      <c r="L2261" s="2266">
        <v>87400</v>
      </c>
      <c r="M2261" s="2266">
        <v>599</v>
      </c>
    </row>
    <row r="2262" spans="1:13" ht="15">
      <c r="A2262" s="2266" t="s">
        <v>4406</v>
      </c>
      <c r="B2262" s="2465" t="str">
        <f>CONCATENATE(LEFT(RIGHT(CONCATENATE("000",IFAData_TEA_1617!A2262),6),3),"-",(RIGHT(RIGHT(CONCATENATE("000",IFAData_TEA_1617!A2262),6),3)))</f>
        <v>245-904</v>
      </c>
      <c r="C2262" s="2266" t="s">
        <v>580</v>
      </c>
      <c r="D2262" s="2266">
        <v>6</v>
      </c>
      <c r="E2262" s="2266">
        <v>2300</v>
      </c>
      <c r="F2262" s="2266" t="s">
        <v>6387</v>
      </c>
      <c r="G2262" s="2266" t="s">
        <v>6387</v>
      </c>
      <c r="H2262" s="2266">
        <v>99319</v>
      </c>
      <c r="I2262" s="2266">
        <v>0</v>
      </c>
      <c r="J2262" s="2266">
        <v>0</v>
      </c>
      <c r="K2262" s="2266">
        <v>0</v>
      </c>
      <c r="L2262" s="2266">
        <v>0</v>
      </c>
      <c r="M2262" s="2266">
        <v>599</v>
      </c>
    </row>
    <row r="2263" spans="1:13" ht="15">
      <c r="A2263" s="2266" t="s">
        <v>4406</v>
      </c>
      <c r="B2263" s="2465" t="str">
        <f>CONCATENATE(LEFT(RIGHT(CONCATENATE("000",IFAData_TEA_1617!A2263),6),3),"-",(RIGHT(RIGHT(CONCATENATE("000",IFAData_TEA_1617!A2263),6),3)))</f>
        <v>245-904</v>
      </c>
      <c r="C2263" s="2266" t="s">
        <v>580</v>
      </c>
      <c r="D2263" s="2266">
        <v>9</v>
      </c>
      <c r="E2263" s="2266">
        <v>2301</v>
      </c>
      <c r="F2263" s="2266" t="s">
        <v>6389</v>
      </c>
      <c r="G2263" s="2266" t="s">
        <v>7294</v>
      </c>
      <c r="H2263" s="2266">
        <v>100000</v>
      </c>
      <c r="I2263" s="2266">
        <v>73445</v>
      </c>
      <c r="J2263" s="2266">
        <v>0.54551193968878819</v>
      </c>
      <c r="K2263" s="2266">
        <v>54551.193968878819</v>
      </c>
      <c r="L2263" s="2266">
        <v>54551.193968878819</v>
      </c>
      <c r="M2263" s="2266">
        <v>599</v>
      </c>
    </row>
    <row r="2264" spans="1:13" ht="15">
      <c r="A2264" s="2266" t="s">
        <v>4406</v>
      </c>
      <c r="B2264" s="2465" t="str">
        <f>CONCATENATE(LEFT(RIGHT(CONCATENATE("000",IFAData_TEA_1617!A2264),6),3),"-",(RIGHT(RIGHT(CONCATENATE("000",IFAData_TEA_1617!A2264),6),3)))</f>
        <v>245-904</v>
      </c>
      <c r="C2264" s="2266" t="s">
        <v>580</v>
      </c>
      <c r="D2264" s="2266">
        <v>9</v>
      </c>
      <c r="E2264" s="2266">
        <v>2301</v>
      </c>
      <c r="F2264" s="2266" t="s">
        <v>6389</v>
      </c>
      <c r="G2264" s="2266" t="s">
        <v>6389</v>
      </c>
      <c r="H2264" s="2266">
        <v>100000</v>
      </c>
      <c r="I2264" s="2266">
        <v>61190</v>
      </c>
      <c r="J2264" s="2266">
        <v>0.45448806031121181</v>
      </c>
      <c r="K2264" s="2266">
        <v>45448.806031121181</v>
      </c>
      <c r="L2264" s="2266">
        <v>45448.806031121181</v>
      </c>
      <c r="M2264" s="2266">
        <v>599</v>
      </c>
    </row>
    <row r="2265" spans="1:13" ht="15">
      <c r="A2265" s="2266" t="s">
        <v>4407</v>
      </c>
      <c r="B2265" s="2465" t="str">
        <f>CONCATENATE(LEFT(RIGHT(CONCATENATE("000",IFAData_TEA_1617!A2265),6),3),"-",(RIGHT(RIGHT(CONCATENATE("000",IFAData_TEA_1617!A2265),6),3)))</f>
        <v>246-902</v>
      </c>
      <c r="C2265" s="2266" t="s">
        <v>130</v>
      </c>
      <c r="D2265" s="2266">
        <v>2</v>
      </c>
      <c r="E2265" s="2266">
        <v>1813</v>
      </c>
      <c r="F2265" s="2266" t="s">
        <v>6390</v>
      </c>
      <c r="G2265" s="2266" t="s">
        <v>6391</v>
      </c>
      <c r="H2265" s="2266">
        <v>231000</v>
      </c>
      <c r="I2265" s="2266">
        <v>470400</v>
      </c>
      <c r="J2265" s="2266">
        <v>1</v>
      </c>
      <c r="K2265" s="2266">
        <v>231000</v>
      </c>
      <c r="L2265" s="2266">
        <v>231000</v>
      </c>
      <c r="M2265" s="2266">
        <v>599</v>
      </c>
    </row>
    <row r="2266" spans="1:13" ht="15">
      <c r="A2266" s="2266" t="s">
        <v>4407</v>
      </c>
      <c r="B2266" s="2465" t="str">
        <f>CONCATENATE(LEFT(RIGHT(CONCATENATE("000",IFAData_TEA_1617!A2266),6),3),"-",(RIGHT(RIGHT(CONCATENATE("000",IFAData_TEA_1617!A2266),6),3)))</f>
        <v>246-902</v>
      </c>
      <c r="C2266" s="2266" t="s">
        <v>130</v>
      </c>
      <c r="D2266" s="2266">
        <v>2</v>
      </c>
      <c r="E2266" s="2266">
        <v>1813</v>
      </c>
      <c r="F2266" s="2266" t="s">
        <v>6390</v>
      </c>
      <c r="G2266" s="2266" t="s">
        <v>6390</v>
      </c>
      <c r="H2266" s="2266">
        <v>231000</v>
      </c>
      <c r="I2266" s="2266">
        <v>0</v>
      </c>
      <c r="J2266" s="2266">
        <v>0</v>
      </c>
      <c r="K2266" s="2266">
        <v>0</v>
      </c>
      <c r="L2266" s="2266">
        <v>0</v>
      </c>
      <c r="M2266" s="2266">
        <v>599</v>
      </c>
    </row>
    <row r="2267" spans="1:13" ht="15">
      <c r="A2267" s="2266" t="s">
        <v>4409</v>
      </c>
      <c r="B2267" s="2465" t="str">
        <f>CONCATENATE(LEFT(RIGHT(CONCATENATE("000",IFAData_TEA_1617!A2267),6),3),"-",(RIGHT(RIGHT(CONCATENATE("000",IFAData_TEA_1617!A2267),6),3)))</f>
        <v>246-905</v>
      </c>
      <c r="C2267" s="2266" t="s">
        <v>1153</v>
      </c>
      <c r="D2267" s="2266">
        <v>2</v>
      </c>
      <c r="E2267" s="2266">
        <v>1859</v>
      </c>
      <c r="F2267" s="2266" t="s">
        <v>6392</v>
      </c>
      <c r="G2267" s="2266" t="s">
        <v>6392</v>
      </c>
      <c r="H2267" s="2266">
        <v>99992</v>
      </c>
      <c r="I2267" s="2266">
        <v>0</v>
      </c>
      <c r="J2267" s="2266">
        <v>0</v>
      </c>
      <c r="K2267" s="2266">
        <v>0</v>
      </c>
      <c r="L2267" s="2266">
        <v>0</v>
      </c>
      <c r="M2267" s="2266">
        <v>599</v>
      </c>
    </row>
    <row r="2268" spans="1:13" ht="15">
      <c r="A2268" s="2266" t="s">
        <v>4409</v>
      </c>
      <c r="B2268" s="2465" t="str">
        <f>CONCATENATE(LEFT(RIGHT(CONCATENATE("000",IFAData_TEA_1617!A2268),6),3),"-",(RIGHT(RIGHT(CONCATENATE("000",IFAData_TEA_1617!A2268),6),3)))</f>
        <v>246-905</v>
      </c>
      <c r="C2268" s="2266" t="s">
        <v>1153</v>
      </c>
      <c r="D2268" s="2266">
        <v>2</v>
      </c>
      <c r="E2268" s="2266">
        <v>1859</v>
      </c>
      <c r="F2268" s="2266" t="s">
        <v>6392</v>
      </c>
      <c r="G2268" s="2266" t="s">
        <v>6393</v>
      </c>
      <c r="H2268" s="2266">
        <v>99992</v>
      </c>
      <c r="I2268" s="2266">
        <v>64067</v>
      </c>
      <c r="J2268" s="2266">
        <v>1</v>
      </c>
      <c r="K2268" s="2266">
        <v>99992</v>
      </c>
      <c r="L2268" s="2266">
        <v>64067</v>
      </c>
      <c r="M2268" s="2266">
        <v>599</v>
      </c>
    </row>
    <row r="2269" spans="1:13" ht="15">
      <c r="A2269" s="2266" t="s">
        <v>4410</v>
      </c>
      <c r="B2269" s="2465" t="str">
        <f>CONCATENATE(LEFT(RIGHT(CONCATENATE("000",IFAData_TEA_1617!A2269),6),3),"-",(RIGHT(RIGHT(CONCATENATE("000",IFAData_TEA_1617!A2269),6),3)))</f>
        <v>246-906</v>
      </c>
      <c r="C2269" s="2266" t="s">
        <v>1440</v>
      </c>
      <c r="D2269" s="2266">
        <v>9</v>
      </c>
      <c r="E2269" s="2266">
        <v>1922</v>
      </c>
      <c r="F2269" s="2266" t="s">
        <v>6397</v>
      </c>
      <c r="G2269" s="2266" t="s">
        <v>7080</v>
      </c>
      <c r="H2269" s="2266">
        <v>1273250</v>
      </c>
      <c r="I2269" s="2266">
        <v>1037041</v>
      </c>
      <c r="J2269" s="2266">
        <v>0.80808725438858964</v>
      </c>
      <c r="K2269" s="2266">
        <v>1028897.0966502718</v>
      </c>
      <c r="L2269" s="2266">
        <v>1028897.0966502718</v>
      </c>
      <c r="M2269" s="2266">
        <v>599</v>
      </c>
    </row>
    <row r="2270" spans="1:13" ht="15">
      <c r="A2270" s="2266" t="s">
        <v>4410</v>
      </c>
      <c r="B2270" s="2465" t="str">
        <f>CONCATENATE(LEFT(RIGHT(CONCATENATE("000",IFAData_TEA_1617!A2270),6),3),"-",(RIGHT(RIGHT(CONCATENATE("000",IFAData_TEA_1617!A2270),6),3)))</f>
        <v>246-906</v>
      </c>
      <c r="C2270" s="2266" t="s">
        <v>1440</v>
      </c>
      <c r="D2270" s="2266">
        <v>9</v>
      </c>
      <c r="E2270" s="2266">
        <v>1922</v>
      </c>
      <c r="F2270" s="2266" t="s">
        <v>6397</v>
      </c>
      <c r="G2270" s="2266" t="s">
        <v>6397</v>
      </c>
      <c r="H2270" s="2266">
        <v>1273250</v>
      </c>
      <c r="I2270" s="2266">
        <v>0</v>
      </c>
      <c r="J2270" s="2266">
        <v>0</v>
      </c>
      <c r="K2270" s="2266">
        <v>0</v>
      </c>
      <c r="L2270" s="2266">
        <v>0</v>
      </c>
      <c r="M2270" s="2266">
        <v>599</v>
      </c>
    </row>
    <row r="2271" spans="1:13" ht="15">
      <c r="A2271" s="2266" t="s">
        <v>4410</v>
      </c>
      <c r="B2271" s="2465" t="str">
        <f>CONCATENATE(LEFT(RIGHT(CONCATENATE("000",IFAData_TEA_1617!A2271),6),3),"-",(RIGHT(RIGHT(CONCATENATE("000",IFAData_TEA_1617!A2271),6),3)))</f>
        <v>246-906</v>
      </c>
      <c r="C2271" s="2266" t="s">
        <v>1440</v>
      </c>
      <c r="D2271" s="2266">
        <v>3</v>
      </c>
      <c r="E2271" s="2266">
        <v>1921</v>
      </c>
      <c r="F2271" s="2266" t="s">
        <v>6394</v>
      </c>
      <c r="G2271" s="2266" t="s">
        <v>6396</v>
      </c>
      <c r="H2271" s="2266">
        <v>502075</v>
      </c>
      <c r="I2271" s="2266">
        <v>49432</v>
      </c>
      <c r="J2271" s="2266">
        <v>4.8054750840899808E-2</v>
      </c>
      <c r="K2271" s="2266">
        <v>24127.089028444771</v>
      </c>
      <c r="L2271" s="2266">
        <v>24127.089028444771</v>
      </c>
      <c r="M2271" s="2266">
        <v>599</v>
      </c>
    </row>
    <row r="2272" spans="1:13" ht="15">
      <c r="A2272" s="2266" t="s">
        <v>4410</v>
      </c>
      <c r="B2272" s="2465" t="str">
        <f>CONCATENATE(LEFT(RIGHT(CONCATENATE("000",IFAData_TEA_1617!A2272),6),3),"-",(RIGHT(RIGHT(CONCATENATE("000",IFAData_TEA_1617!A2272),6),3)))</f>
        <v>246-906</v>
      </c>
      <c r="C2272" s="2266" t="s">
        <v>1440</v>
      </c>
      <c r="D2272" s="2266">
        <v>9</v>
      </c>
      <c r="E2272" s="2266">
        <v>1922</v>
      </c>
      <c r="F2272" s="2266" t="s">
        <v>6397</v>
      </c>
      <c r="G2272" s="2266" t="s">
        <v>6398</v>
      </c>
      <c r="H2272" s="2266">
        <v>1273250</v>
      </c>
      <c r="I2272" s="2266">
        <v>25335</v>
      </c>
      <c r="J2272" s="2266">
        <v>1.9741640484739677E-2</v>
      </c>
      <c r="K2272" s="2266">
        <v>25136.043747194792</v>
      </c>
      <c r="L2272" s="2266">
        <v>25136.043747194792</v>
      </c>
      <c r="M2272" s="2266">
        <v>599</v>
      </c>
    </row>
    <row r="2273" spans="1:13" ht="15">
      <c r="A2273" s="2266" t="s">
        <v>4410</v>
      </c>
      <c r="B2273" s="2465" t="str">
        <f>CONCATENATE(LEFT(RIGHT(CONCATENATE("000",IFAData_TEA_1617!A2273),6),3),"-",(RIGHT(RIGHT(CONCATENATE("000",IFAData_TEA_1617!A2273),6),3)))</f>
        <v>246-906</v>
      </c>
      <c r="C2273" s="2266" t="s">
        <v>1440</v>
      </c>
      <c r="D2273" s="2266">
        <v>3</v>
      </c>
      <c r="E2273" s="2266">
        <v>1921</v>
      </c>
      <c r="F2273" s="2266" t="s">
        <v>6394</v>
      </c>
      <c r="G2273" s="2266" t="s">
        <v>6395</v>
      </c>
      <c r="H2273" s="2266">
        <v>502075</v>
      </c>
      <c r="I2273" s="2266">
        <v>0</v>
      </c>
      <c r="J2273" s="2266">
        <v>0</v>
      </c>
      <c r="K2273" s="2266">
        <v>0</v>
      </c>
      <c r="L2273" s="2266">
        <v>0</v>
      </c>
      <c r="M2273" s="2266">
        <v>599</v>
      </c>
    </row>
    <row r="2274" spans="1:13" ht="15">
      <c r="A2274" s="2266" t="s">
        <v>4410</v>
      </c>
      <c r="B2274" s="2465" t="str">
        <f>CONCATENATE(LEFT(RIGHT(CONCATENATE("000",IFAData_TEA_1617!A2274),6),3),"-",(RIGHT(RIGHT(CONCATENATE("000",IFAData_TEA_1617!A2274),6),3)))</f>
        <v>246-906</v>
      </c>
      <c r="C2274" s="2266" t="s">
        <v>1440</v>
      </c>
      <c r="D2274" s="2266">
        <v>3</v>
      </c>
      <c r="E2274" s="2266">
        <v>1921</v>
      </c>
      <c r="F2274" s="2266" t="s">
        <v>6394</v>
      </c>
      <c r="G2274" s="2266" t="s">
        <v>6394</v>
      </c>
      <c r="H2274" s="2266">
        <v>502075</v>
      </c>
      <c r="I2274" s="2266">
        <v>979228</v>
      </c>
      <c r="J2274" s="2266">
        <v>0.95194524915910017</v>
      </c>
      <c r="K2274" s="2266">
        <v>477947.91097155522</v>
      </c>
      <c r="L2274" s="2266">
        <v>477947.91097155522</v>
      </c>
      <c r="M2274" s="2266">
        <v>599</v>
      </c>
    </row>
    <row r="2275" spans="1:13" ht="15">
      <c r="A2275" s="2266" t="s">
        <v>4410</v>
      </c>
      <c r="B2275" s="2465" t="str">
        <f>CONCATENATE(LEFT(RIGHT(CONCATENATE("000",IFAData_TEA_1617!A2275),6),3),"-",(RIGHT(RIGHT(CONCATENATE("000",IFAData_TEA_1617!A2275),6),3)))</f>
        <v>246-906</v>
      </c>
      <c r="C2275" s="2266" t="s">
        <v>1440</v>
      </c>
      <c r="D2275" s="2266">
        <v>9</v>
      </c>
      <c r="E2275" s="2266">
        <v>1922</v>
      </c>
      <c r="F2275" s="2266" t="s">
        <v>6397</v>
      </c>
      <c r="G2275" s="2266" t="s">
        <v>7295</v>
      </c>
      <c r="H2275" s="2266">
        <v>1273250</v>
      </c>
      <c r="I2275" s="2266">
        <v>220952</v>
      </c>
      <c r="J2275" s="2266">
        <v>0.17217110512667066</v>
      </c>
      <c r="K2275" s="2266">
        <v>219216.85960253343</v>
      </c>
      <c r="L2275" s="2266">
        <v>219216.85960253343</v>
      </c>
      <c r="M2275" s="2266">
        <v>599</v>
      </c>
    </row>
    <row r="2276" spans="1:13" ht="15">
      <c r="A2276" s="2266" t="s">
        <v>4411</v>
      </c>
      <c r="B2276" s="2465" t="str">
        <f>CONCATENATE(LEFT(RIGHT(CONCATENATE("000",IFAData_TEA_1617!A2276),6),3),"-",(RIGHT(RIGHT(CONCATENATE("000",IFAData_TEA_1617!A2276),6),3)))</f>
        <v>246-908</v>
      </c>
      <c r="C2276" s="2266" t="s">
        <v>2826</v>
      </c>
      <c r="D2276" s="2266">
        <v>1</v>
      </c>
      <c r="E2276" s="2266">
        <v>2020</v>
      </c>
      <c r="F2276" s="2266" t="s">
        <v>6399</v>
      </c>
      <c r="G2276" s="2266" t="s">
        <v>7081</v>
      </c>
      <c r="H2276" s="2266">
        <v>293067</v>
      </c>
      <c r="I2276" s="2266">
        <v>499</v>
      </c>
      <c r="J2276" s="2266">
        <v>6.4285152963880509E-4</v>
      </c>
      <c r="K2276" s="2266">
        <v>188.3985692366557</v>
      </c>
      <c r="L2276" s="2266">
        <v>188.3985692366557</v>
      </c>
      <c r="M2276" s="2266">
        <v>599</v>
      </c>
    </row>
    <row r="2277" spans="1:13" ht="15">
      <c r="A2277" s="2266" t="s">
        <v>4411</v>
      </c>
      <c r="B2277" s="2465" t="str">
        <f>CONCATENATE(LEFT(RIGHT(CONCATENATE("000",IFAData_TEA_1617!A2277),6),3),"-",(RIGHT(RIGHT(CONCATENATE("000",IFAData_TEA_1617!A2277),6),3)))</f>
        <v>246-908</v>
      </c>
      <c r="C2277" s="2266" t="s">
        <v>2826</v>
      </c>
      <c r="D2277" s="2266">
        <v>1</v>
      </c>
      <c r="E2277" s="2266">
        <v>2020</v>
      </c>
      <c r="F2277" s="2266" t="s">
        <v>6399</v>
      </c>
      <c r="G2277" s="2266" t="s">
        <v>6399</v>
      </c>
      <c r="H2277" s="2266">
        <v>293067</v>
      </c>
      <c r="I2277" s="2266">
        <v>0</v>
      </c>
      <c r="J2277" s="2266">
        <v>0</v>
      </c>
      <c r="K2277" s="2266">
        <v>0</v>
      </c>
      <c r="L2277" s="2266">
        <v>0</v>
      </c>
      <c r="M2277" s="2266">
        <v>599</v>
      </c>
    </row>
    <row r="2278" spans="1:13" ht="15">
      <c r="A2278" s="2266" t="s">
        <v>4411</v>
      </c>
      <c r="B2278" s="2465" t="str">
        <f>CONCATENATE(LEFT(RIGHT(CONCATENATE("000",IFAData_TEA_1617!A2278),6),3),"-",(RIGHT(RIGHT(CONCATENATE("000",IFAData_TEA_1617!A2278),6),3)))</f>
        <v>246-908</v>
      </c>
      <c r="C2278" s="2266" t="s">
        <v>2826</v>
      </c>
      <c r="D2278" s="2266">
        <v>1</v>
      </c>
      <c r="E2278" s="2266">
        <v>2020</v>
      </c>
      <c r="F2278" s="2266" t="s">
        <v>6399</v>
      </c>
      <c r="G2278" s="2266" t="s">
        <v>6402</v>
      </c>
      <c r="H2278" s="2266">
        <v>293067</v>
      </c>
      <c r="I2278" s="2266">
        <v>666686</v>
      </c>
      <c r="J2278" s="2266">
        <v>0.85887798574905083</v>
      </c>
      <c r="K2278" s="2266">
        <v>251708.79464951708</v>
      </c>
      <c r="L2278" s="2266">
        <v>251708.79464951708</v>
      </c>
      <c r="M2278" s="2266">
        <v>599</v>
      </c>
    </row>
    <row r="2279" spans="1:13" ht="15">
      <c r="A2279" s="2266" t="s">
        <v>4411</v>
      </c>
      <c r="B2279" s="2465" t="str">
        <f>CONCATENATE(LEFT(RIGHT(CONCATENATE("000",IFAData_TEA_1617!A2279),6),3),"-",(RIGHT(RIGHT(CONCATENATE("000",IFAData_TEA_1617!A2279),6),3)))</f>
        <v>246-908</v>
      </c>
      <c r="C2279" s="2266" t="s">
        <v>2826</v>
      </c>
      <c r="D2279" s="2266">
        <v>1</v>
      </c>
      <c r="E2279" s="2266">
        <v>2020</v>
      </c>
      <c r="F2279" s="2266" t="s">
        <v>6399</v>
      </c>
      <c r="G2279" s="2266" t="s">
        <v>6400</v>
      </c>
      <c r="H2279" s="2266">
        <v>293067</v>
      </c>
      <c r="I2279" s="2266">
        <v>0</v>
      </c>
      <c r="J2279" s="2266">
        <v>0</v>
      </c>
      <c r="K2279" s="2266">
        <v>0</v>
      </c>
      <c r="L2279" s="2266">
        <v>0</v>
      </c>
      <c r="M2279" s="2266">
        <v>599</v>
      </c>
    </row>
    <row r="2280" spans="1:13" ht="15">
      <c r="A2280" s="2266" t="s">
        <v>4411</v>
      </c>
      <c r="B2280" s="2465" t="str">
        <f>CONCATENATE(LEFT(RIGHT(CONCATENATE("000",IFAData_TEA_1617!A2280),6),3),"-",(RIGHT(RIGHT(CONCATENATE("000",IFAData_TEA_1617!A2280),6),3)))</f>
        <v>246-908</v>
      </c>
      <c r="C2280" s="2266" t="s">
        <v>2826</v>
      </c>
      <c r="D2280" s="2266">
        <v>1</v>
      </c>
      <c r="E2280" s="2266">
        <v>2020</v>
      </c>
      <c r="F2280" s="2266" t="s">
        <v>6399</v>
      </c>
      <c r="G2280" s="2266" t="s">
        <v>6401</v>
      </c>
      <c r="H2280" s="2266">
        <v>293067</v>
      </c>
      <c r="I2280" s="2266">
        <v>109044</v>
      </c>
      <c r="J2280" s="2266">
        <v>0.14047916272131034</v>
      </c>
      <c r="K2280" s="2266">
        <v>41169.806781246254</v>
      </c>
      <c r="L2280" s="2266">
        <v>41169.806781246254</v>
      </c>
      <c r="M2280" s="2266">
        <v>599</v>
      </c>
    </row>
    <row r="2281" spans="1:13" ht="15">
      <c r="A2281" s="2266" t="s">
        <v>6403</v>
      </c>
      <c r="B2281" s="2465" t="str">
        <f>CONCATENATE(LEFT(RIGHT(CONCATENATE("000",IFAData_TEA_1617!A2281),6),3),"-",(RIGHT(RIGHT(CONCATENATE("000",IFAData_TEA_1617!A2281),6),3)))</f>
        <v>246-909</v>
      </c>
      <c r="C2281" s="2266" t="s">
        <v>666</v>
      </c>
      <c r="D2281" s="2266">
        <v>2</v>
      </c>
      <c r="E2281" s="2266">
        <v>2266</v>
      </c>
      <c r="F2281" s="2266" t="s">
        <v>6404</v>
      </c>
      <c r="G2281" s="2266" t="s">
        <v>6404</v>
      </c>
      <c r="H2281" s="2266">
        <v>4872062</v>
      </c>
      <c r="I2281" s="2266">
        <v>0</v>
      </c>
      <c r="J2281" s="2266">
        <v>0</v>
      </c>
      <c r="K2281" s="2266"/>
      <c r="L2281" s="2266">
        <v>0</v>
      </c>
      <c r="M2281" s="2266">
        <v>599</v>
      </c>
    </row>
    <row r="2282" spans="1:13" ht="15">
      <c r="A2282" s="2266" t="s">
        <v>4412</v>
      </c>
      <c r="B2282" s="2465" t="str">
        <f>CONCATENATE(LEFT(RIGHT(CONCATENATE("000",IFAData_TEA_1617!A2282),6),3),"-",(RIGHT(RIGHT(CONCATENATE("000",IFAData_TEA_1617!A2282),6),3)))</f>
        <v>246-911</v>
      </c>
      <c r="C2282" s="2266" t="s">
        <v>657</v>
      </c>
      <c r="D2282" s="2266">
        <v>5</v>
      </c>
      <c r="E2282" s="2266">
        <v>2390</v>
      </c>
      <c r="F2282" s="2266" t="s">
        <v>6405</v>
      </c>
      <c r="G2282" s="2266" t="s">
        <v>6408</v>
      </c>
      <c r="H2282" s="2266">
        <v>472480</v>
      </c>
      <c r="I2282" s="2266">
        <v>538650</v>
      </c>
      <c r="J2282" s="2266">
        <v>1</v>
      </c>
      <c r="K2282" s="2266">
        <v>472480</v>
      </c>
      <c r="L2282" s="2266">
        <v>472480</v>
      </c>
      <c r="M2282" s="2266">
        <v>599</v>
      </c>
    </row>
    <row r="2283" spans="1:13" ht="15">
      <c r="A2283" s="2266" t="s">
        <v>4412</v>
      </c>
      <c r="B2283" s="2465" t="str">
        <f>CONCATENATE(LEFT(RIGHT(CONCATENATE("000",IFAData_TEA_1617!A2283),6),3),"-",(RIGHT(RIGHT(CONCATENATE("000",IFAData_TEA_1617!A2283),6),3)))</f>
        <v>246-911</v>
      </c>
      <c r="C2283" s="2266" t="s">
        <v>657</v>
      </c>
      <c r="D2283" s="2266">
        <v>5</v>
      </c>
      <c r="E2283" s="2266">
        <v>2390</v>
      </c>
      <c r="F2283" s="2266" t="s">
        <v>6405</v>
      </c>
      <c r="G2283" s="2266" t="s">
        <v>6406</v>
      </c>
      <c r="H2283" s="2266">
        <v>472480</v>
      </c>
      <c r="I2283" s="2266">
        <v>0</v>
      </c>
      <c r="J2283" s="2266">
        <v>0</v>
      </c>
      <c r="K2283" s="2266">
        <v>0</v>
      </c>
      <c r="L2283" s="2266">
        <v>0</v>
      </c>
      <c r="M2283" s="2266">
        <v>599</v>
      </c>
    </row>
    <row r="2284" spans="1:13" ht="15">
      <c r="A2284" s="2266" t="s">
        <v>4412</v>
      </c>
      <c r="B2284" s="2465" t="str">
        <f>CONCATENATE(LEFT(RIGHT(CONCATENATE("000",IFAData_TEA_1617!A2284),6),3),"-",(RIGHT(RIGHT(CONCATENATE("000",IFAData_TEA_1617!A2284),6),3)))</f>
        <v>246-911</v>
      </c>
      <c r="C2284" s="2266" t="s">
        <v>657</v>
      </c>
      <c r="D2284" s="2266">
        <v>5</v>
      </c>
      <c r="E2284" s="2266">
        <v>2390</v>
      </c>
      <c r="F2284" s="2266" t="s">
        <v>6405</v>
      </c>
      <c r="G2284" s="2266" t="s">
        <v>6407</v>
      </c>
      <c r="H2284" s="2266">
        <v>472480</v>
      </c>
      <c r="I2284" s="2266">
        <v>0</v>
      </c>
      <c r="J2284" s="2266">
        <v>0</v>
      </c>
      <c r="K2284" s="2266">
        <v>0</v>
      </c>
      <c r="L2284" s="2266">
        <v>0</v>
      </c>
      <c r="M2284" s="2266">
        <v>599</v>
      </c>
    </row>
    <row r="2285" spans="1:13" ht="15">
      <c r="A2285" s="2266" t="s">
        <v>4412</v>
      </c>
      <c r="B2285" s="2465" t="str">
        <f>CONCATENATE(LEFT(RIGHT(CONCATENATE("000",IFAData_TEA_1617!A2285),6),3),"-",(RIGHT(RIGHT(CONCATENATE("000",IFAData_TEA_1617!A2285),6),3)))</f>
        <v>246-911</v>
      </c>
      <c r="C2285" s="2266" t="s">
        <v>657</v>
      </c>
      <c r="D2285" s="2266">
        <v>5</v>
      </c>
      <c r="E2285" s="2266">
        <v>2390</v>
      </c>
      <c r="F2285" s="2266" t="s">
        <v>6405</v>
      </c>
      <c r="G2285" s="2266" t="s">
        <v>6405</v>
      </c>
      <c r="H2285" s="2266">
        <v>472480</v>
      </c>
      <c r="I2285" s="2266">
        <v>0</v>
      </c>
      <c r="J2285" s="2266">
        <v>0</v>
      </c>
      <c r="K2285" s="2266">
        <v>0</v>
      </c>
      <c r="L2285" s="2266">
        <v>0</v>
      </c>
      <c r="M2285" s="2266">
        <v>599</v>
      </c>
    </row>
    <row r="2286" spans="1:13" ht="15">
      <c r="A2286" s="2266" t="s">
        <v>4413</v>
      </c>
      <c r="B2286" s="2465" t="str">
        <f>CONCATENATE(LEFT(RIGHT(CONCATENATE("000",IFAData_TEA_1617!A2286),6),3),"-",(RIGHT(RIGHT(CONCATENATE("000",IFAData_TEA_1617!A2286),6),3)))</f>
        <v>246-912</v>
      </c>
      <c r="C2286" s="2266" t="s">
        <v>659</v>
      </c>
      <c r="D2286" s="2266">
        <v>1</v>
      </c>
      <c r="E2286" s="2266">
        <v>2393</v>
      </c>
      <c r="F2286" s="2266" t="s">
        <v>6409</v>
      </c>
      <c r="G2286" s="2266" t="s">
        <v>7082</v>
      </c>
      <c r="H2286" s="2266">
        <v>114342</v>
      </c>
      <c r="I2286" s="2266">
        <v>139687</v>
      </c>
      <c r="J2286" s="2266">
        <v>1</v>
      </c>
      <c r="K2286" s="2266">
        <v>114342</v>
      </c>
      <c r="L2286" s="2266">
        <v>114342</v>
      </c>
      <c r="M2286" s="2266">
        <v>599</v>
      </c>
    </row>
    <row r="2287" spans="1:13" ht="15">
      <c r="A2287" s="2266" t="s">
        <v>4413</v>
      </c>
      <c r="B2287" s="2465" t="str">
        <f>CONCATENATE(LEFT(RIGHT(CONCATENATE("000",IFAData_TEA_1617!A2287),6),3),"-",(RIGHT(RIGHT(CONCATENATE("000",IFAData_TEA_1617!A2287),6),3)))</f>
        <v>246-912</v>
      </c>
      <c r="C2287" s="2266" t="s">
        <v>659</v>
      </c>
      <c r="D2287" s="2266">
        <v>1</v>
      </c>
      <c r="E2287" s="2266">
        <v>2393</v>
      </c>
      <c r="F2287" s="2266" t="s">
        <v>6409</v>
      </c>
      <c r="G2287" s="2266" t="s">
        <v>6410</v>
      </c>
      <c r="H2287" s="2266">
        <v>114342</v>
      </c>
      <c r="I2287" s="2266">
        <v>0</v>
      </c>
      <c r="J2287" s="2266">
        <v>0</v>
      </c>
      <c r="K2287" s="2266">
        <v>0</v>
      </c>
      <c r="L2287" s="2266">
        <v>0</v>
      </c>
      <c r="M2287" s="2266">
        <v>599</v>
      </c>
    </row>
    <row r="2288" spans="1:13" ht="15">
      <c r="A2288" s="2266" t="s">
        <v>4413</v>
      </c>
      <c r="B2288" s="2465" t="str">
        <f>CONCATENATE(LEFT(RIGHT(CONCATENATE("000",IFAData_TEA_1617!A2288),6),3),"-",(RIGHT(RIGHT(CONCATENATE("000",IFAData_TEA_1617!A2288),6),3)))</f>
        <v>246-912</v>
      </c>
      <c r="C2288" s="2266" t="s">
        <v>659</v>
      </c>
      <c r="D2288" s="2266">
        <v>1</v>
      </c>
      <c r="E2288" s="2266">
        <v>2393</v>
      </c>
      <c r="F2288" s="2266" t="s">
        <v>6409</v>
      </c>
      <c r="G2288" s="2266" t="s">
        <v>6409</v>
      </c>
      <c r="H2288" s="2266">
        <v>114342</v>
      </c>
      <c r="I2288" s="2266">
        <v>0</v>
      </c>
      <c r="J2288" s="2266">
        <v>0</v>
      </c>
      <c r="K2288" s="2266">
        <v>0</v>
      </c>
      <c r="L2288" s="2266">
        <v>0</v>
      </c>
      <c r="M2288" s="2266">
        <v>599</v>
      </c>
    </row>
    <row r="2289" spans="1:13" ht="15">
      <c r="A2289" s="2266" t="s">
        <v>4414</v>
      </c>
      <c r="B2289" s="2465" t="str">
        <f>CONCATENATE(LEFT(RIGHT(CONCATENATE("000",IFAData_TEA_1617!A2289),6),3),"-",(RIGHT(RIGHT(CONCATENATE("000",IFAData_TEA_1617!A2289),6),3)))</f>
        <v>246-913</v>
      </c>
      <c r="C2289" s="2266" t="s">
        <v>2824</v>
      </c>
      <c r="D2289" s="2266">
        <v>1</v>
      </c>
      <c r="E2289" s="2266">
        <v>2017</v>
      </c>
      <c r="F2289" s="2266" t="s">
        <v>6411</v>
      </c>
      <c r="G2289" s="2266" t="s">
        <v>7083</v>
      </c>
      <c r="H2289" s="2266">
        <v>379027</v>
      </c>
      <c r="I2289" s="2266">
        <v>37529</v>
      </c>
      <c r="J2289" s="2266">
        <v>0.22925893571659836</v>
      </c>
      <c r="K2289" s="2266">
        <v>86895.326627855131</v>
      </c>
      <c r="L2289" s="2266">
        <v>37529</v>
      </c>
      <c r="M2289" s="2266">
        <v>599</v>
      </c>
    </row>
    <row r="2290" spans="1:13" ht="15">
      <c r="A2290" s="2266" t="s">
        <v>4414</v>
      </c>
      <c r="B2290" s="2465" t="str">
        <f>CONCATENATE(LEFT(RIGHT(CONCATENATE("000",IFAData_TEA_1617!A2290),6),3),"-",(RIGHT(RIGHT(CONCATENATE("000",IFAData_TEA_1617!A2290),6),3)))</f>
        <v>246-913</v>
      </c>
      <c r="C2290" s="2266" t="s">
        <v>2824</v>
      </c>
      <c r="D2290" s="2266">
        <v>1</v>
      </c>
      <c r="E2290" s="2266">
        <v>2017</v>
      </c>
      <c r="F2290" s="2266" t="s">
        <v>6411</v>
      </c>
      <c r="G2290" s="2266" t="s">
        <v>6411</v>
      </c>
      <c r="H2290" s="2266">
        <v>379027</v>
      </c>
      <c r="I2290" s="2266">
        <v>0</v>
      </c>
      <c r="J2290" s="2266">
        <v>0</v>
      </c>
      <c r="K2290" s="2266">
        <v>0</v>
      </c>
      <c r="L2290" s="2266">
        <v>0</v>
      </c>
      <c r="M2290" s="2266">
        <v>599</v>
      </c>
    </row>
    <row r="2291" spans="1:13" ht="15">
      <c r="A2291" s="2266" t="s">
        <v>4414</v>
      </c>
      <c r="B2291" s="2465" t="str">
        <f>CONCATENATE(LEFT(RIGHT(CONCATENATE("000",IFAData_TEA_1617!A2291),6),3),"-",(RIGHT(RIGHT(CONCATENATE("000",IFAData_TEA_1617!A2291),6),3)))</f>
        <v>246-913</v>
      </c>
      <c r="C2291" s="2266" t="s">
        <v>2824</v>
      </c>
      <c r="D2291" s="2266">
        <v>1</v>
      </c>
      <c r="E2291" s="2266">
        <v>2017</v>
      </c>
      <c r="F2291" s="2266" t="s">
        <v>6411</v>
      </c>
      <c r="G2291" s="2266" t="s">
        <v>6413</v>
      </c>
      <c r="H2291" s="2266">
        <v>379027</v>
      </c>
      <c r="I2291" s="2266">
        <v>2481</v>
      </c>
      <c r="J2291" s="2266">
        <v>1.5156050507950665E-2</v>
      </c>
      <c r="K2291" s="2266">
        <v>5744.5523558770165</v>
      </c>
      <c r="L2291" s="2266">
        <v>2481</v>
      </c>
      <c r="M2291" s="2266">
        <v>599</v>
      </c>
    </row>
    <row r="2292" spans="1:13" ht="15">
      <c r="A2292" s="2266" t="s">
        <v>4414</v>
      </c>
      <c r="B2292" s="2465" t="str">
        <f>CONCATENATE(LEFT(RIGHT(CONCATENATE("000",IFAData_TEA_1617!A2292),6),3),"-",(RIGHT(RIGHT(CONCATENATE("000",IFAData_TEA_1617!A2292),6),3)))</f>
        <v>246-913</v>
      </c>
      <c r="C2292" s="2266" t="s">
        <v>2824</v>
      </c>
      <c r="D2292" s="2266">
        <v>1</v>
      </c>
      <c r="E2292" s="2266">
        <v>2017</v>
      </c>
      <c r="F2292" s="2266" t="s">
        <v>6411</v>
      </c>
      <c r="G2292" s="2266" t="s">
        <v>7084</v>
      </c>
      <c r="H2292" s="2266">
        <v>379027</v>
      </c>
      <c r="I2292" s="2266">
        <v>69160</v>
      </c>
      <c r="J2292" s="2266">
        <v>0.42248788920994274</v>
      </c>
      <c r="K2292" s="2266">
        <v>160134.31718357696</v>
      </c>
      <c r="L2292" s="2266">
        <v>69160</v>
      </c>
      <c r="M2292" s="2266">
        <v>599</v>
      </c>
    </row>
    <row r="2293" spans="1:13" ht="15">
      <c r="A2293" s="2266" t="s">
        <v>4414</v>
      </c>
      <c r="B2293" s="2465" t="str">
        <f>CONCATENATE(LEFT(RIGHT(CONCATENATE("000",IFAData_TEA_1617!A2293),6),3),"-",(RIGHT(RIGHT(CONCATENATE("000",IFAData_TEA_1617!A2293),6),3)))</f>
        <v>246-913</v>
      </c>
      <c r="C2293" s="2266" t="s">
        <v>2824</v>
      </c>
      <c r="D2293" s="2266">
        <v>1</v>
      </c>
      <c r="E2293" s="2266">
        <v>2017</v>
      </c>
      <c r="F2293" s="2266" t="s">
        <v>6411</v>
      </c>
      <c r="G2293" s="2266" t="s">
        <v>6412</v>
      </c>
      <c r="H2293" s="2266">
        <v>379027</v>
      </c>
      <c r="I2293" s="2266">
        <v>54527</v>
      </c>
      <c r="J2293" s="2266">
        <v>0.33309712456550822</v>
      </c>
      <c r="K2293" s="2266">
        <v>126252.80383269089</v>
      </c>
      <c r="L2293" s="2266">
        <v>54527</v>
      </c>
      <c r="M2293" s="2266">
        <v>599</v>
      </c>
    </row>
    <row r="2294" spans="1:13" ht="15">
      <c r="A2294" s="2266" t="s">
        <v>4415</v>
      </c>
      <c r="B2294" s="2465" t="str">
        <f>CONCATENATE(LEFT(RIGHT(CONCATENATE("000",IFAData_TEA_1617!A2294),6),3),"-",(RIGHT(RIGHT(CONCATENATE("000",IFAData_TEA_1617!A2294),6),3)))</f>
        <v>247-901</v>
      </c>
      <c r="C2294" s="2266" t="s">
        <v>131</v>
      </c>
      <c r="D2294" s="2266">
        <v>5</v>
      </c>
      <c r="E2294" s="2266">
        <v>1815</v>
      </c>
      <c r="F2294" s="2266" t="s">
        <v>6414</v>
      </c>
      <c r="G2294" s="2266" t="s">
        <v>6415</v>
      </c>
      <c r="H2294" s="2266">
        <v>825000</v>
      </c>
      <c r="I2294" s="2266">
        <v>0</v>
      </c>
      <c r="J2294" s="2266">
        <v>0</v>
      </c>
      <c r="K2294" s="2266">
        <v>0</v>
      </c>
      <c r="L2294" s="2266">
        <v>0</v>
      </c>
      <c r="M2294" s="2266">
        <v>599</v>
      </c>
    </row>
    <row r="2295" spans="1:13" ht="15">
      <c r="A2295" s="2266" t="s">
        <v>4415</v>
      </c>
      <c r="B2295" s="2465" t="str">
        <f>CONCATENATE(LEFT(RIGHT(CONCATENATE("000",IFAData_TEA_1617!A2295),6),3),"-",(RIGHT(RIGHT(CONCATENATE("000",IFAData_TEA_1617!A2295),6),3)))</f>
        <v>247-901</v>
      </c>
      <c r="C2295" s="2266" t="s">
        <v>131</v>
      </c>
      <c r="D2295" s="2266">
        <v>5</v>
      </c>
      <c r="E2295" s="2266">
        <v>1815</v>
      </c>
      <c r="F2295" s="2266" t="s">
        <v>6414</v>
      </c>
      <c r="G2295" s="2266" t="s">
        <v>6414</v>
      </c>
      <c r="H2295" s="2266">
        <v>825000</v>
      </c>
      <c r="I2295" s="2266">
        <v>0</v>
      </c>
      <c r="J2295" s="2266">
        <v>0</v>
      </c>
      <c r="K2295" s="2266">
        <v>0</v>
      </c>
      <c r="L2295" s="2266">
        <v>0</v>
      </c>
      <c r="M2295" s="2266">
        <v>599</v>
      </c>
    </row>
    <row r="2296" spans="1:13" ht="15">
      <c r="A2296" s="2266" t="s">
        <v>4415</v>
      </c>
      <c r="B2296" s="2465" t="str">
        <f>CONCATENATE(LEFT(RIGHT(CONCATENATE("000",IFAData_TEA_1617!A2296),6),3),"-",(RIGHT(RIGHT(CONCATENATE("000",IFAData_TEA_1617!A2296),6),3)))</f>
        <v>247-901</v>
      </c>
      <c r="C2296" s="2266" t="s">
        <v>131</v>
      </c>
      <c r="D2296" s="2266">
        <v>9</v>
      </c>
      <c r="E2296" s="2266">
        <v>1814</v>
      </c>
      <c r="F2296" s="2266" t="s">
        <v>6417</v>
      </c>
      <c r="G2296" s="2266" t="s">
        <v>6417</v>
      </c>
      <c r="H2296" s="2266">
        <v>812750</v>
      </c>
      <c r="I2296" s="2266">
        <v>891669</v>
      </c>
      <c r="J2296" s="2266">
        <v>1</v>
      </c>
      <c r="K2296" s="2266">
        <v>812750</v>
      </c>
      <c r="L2296" s="2266">
        <v>812750</v>
      </c>
      <c r="M2296" s="2266">
        <v>599</v>
      </c>
    </row>
    <row r="2297" spans="1:13" ht="15">
      <c r="A2297" s="2266" t="s">
        <v>4415</v>
      </c>
      <c r="B2297" s="2465" t="str">
        <f>CONCATENATE(LEFT(RIGHT(CONCATENATE("000",IFAData_TEA_1617!A2297),6),3),"-",(RIGHT(RIGHT(CONCATENATE("000",IFAData_TEA_1617!A2297),6),3)))</f>
        <v>247-901</v>
      </c>
      <c r="C2297" s="2266" t="s">
        <v>131</v>
      </c>
      <c r="D2297" s="2266">
        <v>5</v>
      </c>
      <c r="E2297" s="2266">
        <v>1815</v>
      </c>
      <c r="F2297" s="2266" t="s">
        <v>6414</v>
      </c>
      <c r="G2297" s="2266" t="s">
        <v>6416</v>
      </c>
      <c r="H2297" s="2266">
        <v>825000</v>
      </c>
      <c r="I2297" s="2266">
        <v>858011</v>
      </c>
      <c r="J2297" s="2266">
        <v>0.68639562120407294</v>
      </c>
      <c r="K2297" s="2266">
        <v>566276.38749336021</v>
      </c>
      <c r="L2297" s="2266">
        <v>566276.38749336021</v>
      </c>
      <c r="M2297" s="2266">
        <v>599</v>
      </c>
    </row>
    <row r="2298" spans="1:13" ht="15">
      <c r="A2298" s="2266" t="s">
        <v>4415</v>
      </c>
      <c r="B2298" s="2465" t="str">
        <f>CONCATENATE(LEFT(RIGHT(CONCATENATE("000",IFAData_TEA_1617!A2298),6),3),"-",(RIGHT(RIGHT(CONCATENATE("000",IFAData_TEA_1617!A2298),6),3)))</f>
        <v>247-901</v>
      </c>
      <c r="C2298" s="2266" t="s">
        <v>131</v>
      </c>
      <c r="D2298" s="2266">
        <v>5</v>
      </c>
      <c r="E2298" s="2266">
        <v>1815</v>
      </c>
      <c r="F2298" s="2266" t="s">
        <v>6414</v>
      </c>
      <c r="G2298" s="2266" t="s">
        <v>7296</v>
      </c>
      <c r="H2298" s="2266">
        <v>825000</v>
      </c>
      <c r="I2298" s="2266">
        <v>392013</v>
      </c>
      <c r="J2298" s="2266">
        <v>0.31360437879592712</v>
      </c>
      <c r="K2298" s="2266">
        <v>258723.61250663988</v>
      </c>
      <c r="L2298" s="2266">
        <v>258723.61250663988</v>
      </c>
      <c r="M2298" s="2266">
        <v>599</v>
      </c>
    </row>
    <row r="2299" spans="1:13" ht="15">
      <c r="A2299" s="2266" t="s">
        <v>4416</v>
      </c>
      <c r="B2299" s="2465" t="str">
        <f>CONCATENATE(LEFT(RIGHT(CONCATENATE("000",IFAData_TEA_1617!A2299),6),3),"-",(RIGHT(RIGHT(CONCATENATE("000",IFAData_TEA_1617!A2299),6),3)))</f>
        <v>247-903</v>
      </c>
      <c r="C2299" s="2266" t="s">
        <v>2173</v>
      </c>
      <c r="D2299" s="2266">
        <v>9</v>
      </c>
      <c r="E2299" s="2266">
        <v>1992</v>
      </c>
      <c r="F2299" s="2266" t="s">
        <v>6420</v>
      </c>
      <c r="G2299" s="2266" t="s">
        <v>7085</v>
      </c>
      <c r="H2299" s="2266">
        <v>706725</v>
      </c>
      <c r="I2299" s="2266">
        <v>728400</v>
      </c>
      <c r="J2299" s="2266">
        <v>0.67002414625733009</v>
      </c>
      <c r="K2299" s="2266">
        <v>473522.81476371159</v>
      </c>
      <c r="L2299" s="2266">
        <v>473522.81476371159</v>
      </c>
      <c r="M2299" s="2266">
        <v>599</v>
      </c>
    </row>
    <row r="2300" spans="1:13" ht="15">
      <c r="A2300" s="2266" t="s">
        <v>4416</v>
      </c>
      <c r="B2300" s="2465" t="str">
        <f>CONCATENATE(LEFT(RIGHT(CONCATENATE("000",IFAData_TEA_1617!A2300),6),3),"-",(RIGHT(RIGHT(CONCATENATE("000",IFAData_TEA_1617!A2300),6),3)))</f>
        <v>247-903</v>
      </c>
      <c r="C2300" s="2266" t="s">
        <v>2173</v>
      </c>
      <c r="D2300" s="2266">
        <v>9</v>
      </c>
      <c r="E2300" s="2266">
        <v>1992</v>
      </c>
      <c r="F2300" s="2266" t="s">
        <v>6420</v>
      </c>
      <c r="G2300" s="2266" t="s">
        <v>6421</v>
      </c>
      <c r="H2300" s="2266">
        <v>706725</v>
      </c>
      <c r="I2300" s="2266">
        <v>358725</v>
      </c>
      <c r="J2300" s="2266">
        <v>0.32997585374266991</v>
      </c>
      <c r="K2300" s="2266">
        <v>233202.18523628838</v>
      </c>
      <c r="L2300" s="2266">
        <v>233202.18523628838</v>
      </c>
      <c r="M2300" s="2266">
        <v>599</v>
      </c>
    </row>
    <row r="2301" spans="1:13" ht="15">
      <c r="A2301" s="2266" t="s">
        <v>4416</v>
      </c>
      <c r="B2301" s="2465" t="str">
        <f>CONCATENATE(LEFT(RIGHT(CONCATENATE("000",IFAData_TEA_1617!A2301),6),3),"-",(RIGHT(RIGHT(CONCATENATE("000",IFAData_TEA_1617!A2301),6),3)))</f>
        <v>247-903</v>
      </c>
      <c r="C2301" s="2266" t="s">
        <v>2173</v>
      </c>
      <c r="D2301" s="2266">
        <v>2</v>
      </c>
      <c r="E2301" s="2266">
        <v>1991</v>
      </c>
      <c r="F2301" s="2266" t="s">
        <v>6418</v>
      </c>
      <c r="G2301" s="2266" t="s">
        <v>6418</v>
      </c>
      <c r="H2301" s="2266">
        <v>437879</v>
      </c>
      <c r="I2301" s="2266">
        <v>0</v>
      </c>
      <c r="J2301" s="2266">
        <v>0</v>
      </c>
      <c r="K2301" s="2266">
        <v>0</v>
      </c>
      <c r="L2301" s="2266">
        <v>0</v>
      </c>
      <c r="M2301" s="2266">
        <v>599</v>
      </c>
    </row>
    <row r="2302" spans="1:13" ht="15">
      <c r="A2302" s="2266" t="s">
        <v>4416</v>
      </c>
      <c r="B2302" s="2465" t="str">
        <f>CONCATENATE(LEFT(RIGHT(CONCATENATE("000",IFAData_TEA_1617!A2302),6),3),"-",(RIGHT(RIGHT(CONCATENATE("000",IFAData_TEA_1617!A2302),6),3)))</f>
        <v>247-903</v>
      </c>
      <c r="C2302" s="2266" t="s">
        <v>2173</v>
      </c>
      <c r="D2302" s="2266">
        <v>2</v>
      </c>
      <c r="E2302" s="2266">
        <v>1991</v>
      </c>
      <c r="F2302" s="2266" t="s">
        <v>6418</v>
      </c>
      <c r="G2302" s="2266" t="s">
        <v>6419</v>
      </c>
      <c r="H2302" s="2266">
        <v>437879</v>
      </c>
      <c r="I2302" s="2266">
        <v>409400</v>
      </c>
      <c r="J2302" s="2266">
        <v>1</v>
      </c>
      <c r="K2302" s="2266">
        <v>437879</v>
      </c>
      <c r="L2302" s="2266">
        <v>409400</v>
      </c>
      <c r="M2302" s="2266">
        <v>599</v>
      </c>
    </row>
    <row r="2303" spans="1:13" ht="15">
      <c r="A2303" s="2266" t="s">
        <v>4416</v>
      </c>
      <c r="B2303" s="2465" t="str">
        <f>CONCATENATE(LEFT(RIGHT(CONCATENATE("000",IFAData_TEA_1617!A2303),6),3),"-",(RIGHT(RIGHT(CONCATENATE("000",IFAData_TEA_1617!A2303),6),3)))</f>
        <v>247-903</v>
      </c>
      <c r="C2303" s="2266" t="s">
        <v>2173</v>
      </c>
      <c r="D2303" s="2266">
        <v>10</v>
      </c>
      <c r="E2303" s="2266">
        <v>1990</v>
      </c>
      <c r="F2303" s="2266" t="s">
        <v>6422</v>
      </c>
      <c r="G2303" s="2266" t="s">
        <v>6422</v>
      </c>
      <c r="H2303" s="2266">
        <v>294937</v>
      </c>
      <c r="I2303" s="2266">
        <v>297566</v>
      </c>
      <c r="J2303" s="2266">
        <v>0.62758174152741664</v>
      </c>
      <c r="K2303" s="2266">
        <v>185097.07610087169</v>
      </c>
      <c r="L2303" s="2266">
        <v>185097.07610087169</v>
      </c>
      <c r="M2303" s="2266">
        <v>599</v>
      </c>
    </row>
    <row r="2304" spans="1:13" ht="15">
      <c r="A2304" s="2266" t="s">
        <v>4416</v>
      </c>
      <c r="B2304" s="2465" t="str">
        <f>CONCATENATE(LEFT(RIGHT(CONCATENATE("000",IFAData_TEA_1617!A2304),6),3),"-",(RIGHT(RIGHT(CONCATENATE("000",IFAData_TEA_1617!A2304),6),3)))</f>
        <v>247-903</v>
      </c>
      <c r="C2304" s="2266" t="s">
        <v>2173</v>
      </c>
      <c r="D2304" s="2266">
        <v>10</v>
      </c>
      <c r="E2304" s="2266">
        <v>1990</v>
      </c>
      <c r="F2304" s="2266" t="s">
        <v>6422</v>
      </c>
      <c r="G2304" s="2266" t="s">
        <v>7614</v>
      </c>
      <c r="H2304" s="2266">
        <v>294937</v>
      </c>
      <c r="I2304" s="2266">
        <v>176581</v>
      </c>
      <c r="J2304" s="2266">
        <v>0.37241825847258342</v>
      </c>
      <c r="K2304" s="2266">
        <v>109839.92389912833</v>
      </c>
      <c r="L2304" s="2266">
        <v>109839.92389912833</v>
      </c>
      <c r="M2304" s="2266">
        <v>599</v>
      </c>
    </row>
    <row r="2305" spans="1:13" ht="15">
      <c r="A2305" s="2266" t="s">
        <v>4416</v>
      </c>
      <c r="B2305" s="2465" t="str">
        <f>CONCATENATE(LEFT(RIGHT(CONCATENATE("000",IFAData_TEA_1617!A2305),6),3),"-",(RIGHT(RIGHT(CONCATENATE("000",IFAData_TEA_1617!A2305),6),3)))</f>
        <v>247-903</v>
      </c>
      <c r="C2305" s="2266" t="s">
        <v>2173</v>
      </c>
      <c r="D2305" s="2266">
        <v>9</v>
      </c>
      <c r="E2305" s="2266">
        <v>1992</v>
      </c>
      <c r="F2305" s="2266" t="s">
        <v>6420</v>
      </c>
      <c r="G2305" s="2266" t="s">
        <v>6420</v>
      </c>
      <c r="H2305" s="2266">
        <v>706725</v>
      </c>
      <c r="I2305" s="2266">
        <v>0</v>
      </c>
      <c r="J2305" s="2266">
        <v>0</v>
      </c>
      <c r="K2305" s="2266">
        <v>0</v>
      </c>
      <c r="L2305" s="2266">
        <v>0</v>
      </c>
      <c r="M2305" s="2266">
        <v>599</v>
      </c>
    </row>
    <row r="2306" spans="1:13" ht="15">
      <c r="A2306" s="2266" t="s">
        <v>4417</v>
      </c>
      <c r="B2306" s="2465" t="str">
        <f>CONCATENATE(LEFT(RIGHT(CONCATENATE("000",IFAData_TEA_1617!A2306),6),3),"-",(RIGHT(RIGHT(CONCATENATE("000",IFAData_TEA_1617!A2306),6),3)))</f>
        <v>247-904</v>
      </c>
      <c r="C2306" s="2266" t="s">
        <v>1132</v>
      </c>
      <c r="D2306" s="2266">
        <v>5</v>
      </c>
      <c r="E2306" s="2266">
        <v>2206</v>
      </c>
      <c r="F2306" s="2266" t="s">
        <v>6423</v>
      </c>
      <c r="G2306" s="2266" t="s">
        <v>6423</v>
      </c>
      <c r="H2306" s="2266">
        <v>154875</v>
      </c>
      <c r="I2306" s="2266">
        <v>0</v>
      </c>
      <c r="J2306" s="2266">
        <v>0</v>
      </c>
      <c r="K2306" s="2266">
        <v>0</v>
      </c>
      <c r="L2306" s="2266">
        <v>0</v>
      </c>
      <c r="M2306" s="2266">
        <v>599</v>
      </c>
    </row>
    <row r="2307" spans="1:13" ht="15">
      <c r="A2307" s="2266" t="s">
        <v>4417</v>
      </c>
      <c r="B2307" s="2465" t="str">
        <f>CONCATENATE(LEFT(RIGHT(CONCATENATE("000",IFAData_TEA_1617!A2307),6),3),"-",(RIGHT(RIGHT(CONCATENATE("000",IFAData_TEA_1617!A2307),6),3)))</f>
        <v>247-904</v>
      </c>
      <c r="C2307" s="2266" t="s">
        <v>1132</v>
      </c>
      <c r="D2307" s="2266">
        <v>5</v>
      </c>
      <c r="E2307" s="2266">
        <v>2206</v>
      </c>
      <c r="F2307" s="2266" t="s">
        <v>6423</v>
      </c>
      <c r="G2307" s="2266" t="s">
        <v>6424</v>
      </c>
      <c r="H2307" s="2266">
        <v>154875</v>
      </c>
      <c r="I2307" s="2266">
        <v>143900</v>
      </c>
      <c r="J2307" s="2266">
        <v>1</v>
      </c>
      <c r="K2307" s="2266">
        <v>154875</v>
      </c>
      <c r="L2307" s="2266">
        <v>143900</v>
      </c>
      <c r="M2307" s="2266">
        <v>599</v>
      </c>
    </row>
    <row r="2308" spans="1:13" ht="15">
      <c r="A2308" s="2266" t="s">
        <v>4418</v>
      </c>
      <c r="B2308" s="2465" t="str">
        <f>CONCATENATE(LEFT(RIGHT(CONCATENATE("000",IFAData_TEA_1617!A2308),6),3),"-",(RIGHT(RIGHT(CONCATENATE("000",IFAData_TEA_1617!A2308),6),3)))</f>
        <v>247-906</v>
      </c>
      <c r="C2308" s="2266" t="s">
        <v>2215</v>
      </c>
      <c r="D2308" s="2266">
        <v>3</v>
      </c>
      <c r="E2308" s="2266">
        <v>2385</v>
      </c>
      <c r="F2308" s="2266" t="s">
        <v>6425</v>
      </c>
      <c r="G2308" s="2266" t="s">
        <v>6426</v>
      </c>
      <c r="H2308" s="2266">
        <v>184365</v>
      </c>
      <c r="I2308" s="2266">
        <v>0</v>
      </c>
      <c r="J2308" s="2266">
        <v>0</v>
      </c>
      <c r="K2308" s="2266">
        <v>0</v>
      </c>
      <c r="L2308" s="2266">
        <v>0</v>
      </c>
      <c r="M2308" s="2266">
        <v>599</v>
      </c>
    </row>
    <row r="2309" spans="1:13" ht="15">
      <c r="A2309" s="2266" t="s">
        <v>4418</v>
      </c>
      <c r="B2309" s="2465" t="str">
        <f>CONCATENATE(LEFT(RIGHT(CONCATENATE("000",IFAData_TEA_1617!A2309),6),3),"-",(RIGHT(RIGHT(CONCATENATE("000",IFAData_TEA_1617!A2309),6),3)))</f>
        <v>247-906</v>
      </c>
      <c r="C2309" s="2266" t="s">
        <v>2215</v>
      </c>
      <c r="D2309" s="2266">
        <v>3</v>
      </c>
      <c r="E2309" s="2266">
        <v>2385</v>
      </c>
      <c r="F2309" s="2266" t="s">
        <v>6425</v>
      </c>
      <c r="G2309" s="2266" t="s">
        <v>6425</v>
      </c>
      <c r="H2309" s="2266">
        <v>184365</v>
      </c>
      <c r="I2309" s="2266">
        <v>0</v>
      </c>
      <c r="J2309" s="2266">
        <v>0</v>
      </c>
      <c r="K2309" s="2266">
        <v>0</v>
      </c>
      <c r="L2309" s="2266">
        <v>0</v>
      </c>
      <c r="M2309" s="2266">
        <v>599</v>
      </c>
    </row>
    <row r="2310" spans="1:13" ht="15">
      <c r="A2310" s="2266" t="s">
        <v>4418</v>
      </c>
      <c r="B2310" s="2465" t="str">
        <f>CONCATENATE(LEFT(RIGHT(CONCATENATE("000",IFAData_TEA_1617!A2310),6),3),"-",(RIGHT(RIGHT(CONCATENATE("000",IFAData_TEA_1617!A2310),6),3)))</f>
        <v>247-906</v>
      </c>
      <c r="C2310" s="2266" t="s">
        <v>2215</v>
      </c>
      <c r="D2310" s="2266">
        <v>9</v>
      </c>
      <c r="E2310" s="2266">
        <v>2384</v>
      </c>
      <c r="F2310" s="2266" t="s">
        <v>6427</v>
      </c>
      <c r="G2310" s="2266" t="s">
        <v>6427</v>
      </c>
      <c r="H2310" s="2266">
        <v>179000</v>
      </c>
      <c r="I2310" s="2266">
        <v>197600</v>
      </c>
      <c r="J2310" s="2266">
        <v>0.58164692030318643</v>
      </c>
      <c r="K2310" s="2266">
        <v>104114.79873427037</v>
      </c>
      <c r="L2310" s="2266">
        <v>104114.79873427037</v>
      </c>
      <c r="M2310" s="2266">
        <v>599</v>
      </c>
    </row>
    <row r="2311" spans="1:13" ht="15">
      <c r="A2311" s="2266" t="s">
        <v>4418</v>
      </c>
      <c r="B2311" s="2465" t="str">
        <f>CONCATENATE(LEFT(RIGHT(CONCATENATE("000",IFAData_TEA_1617!A2311),6),3),"-",(RIGHT(RIGHT(CONCATENATE("000",IFAData_TEA_1617!A2311),6),3)))</f>
        <v>247-906</v>
      </c>
      <c r="C2311" s="2266" t="s">
        <v>2215</v>
      </c>
      <c r="D2311" s="2266">
        <v>3</v>
      </c>
      <c r="E2311" s="2266">
        <v>2385</v>
      </c>
      <c r="F2311" s="2266" t="s">
        <v>6425</v>
      </c>
      <c r="G2311" s="2266" t="s">
        <v>7297</v>
      </c>
      <c r="H2311" s="2266">
        <v>184365</v>
      </c>
      <c r="I2311" s="2266">
        <v>165450</v>
      </c>
      <c r="J2311" s="2266">
        <v>1</v>
      </c>
      <c r="K2311" s="2266">
        <v>184365</v>
      </c>
      <c r="L2311" s="2266">
        <v>165450</v>
      </c>
      <c r="M2311" s="2266">
        <v>599</v>
      </c>
    </row>
    <row r="2312" spans="1:13" ht="15">
      <c r="A2312" s="2266" t="s">
        <v>4418</v>
      </c>
      <c r="B2312" s="2465" t="str">
        <f>CONCATENATE(LEFT(RIGHT(CONCATENATE("000",IFAData_TEA_1617!A2312),6),3),"-",(RIGHT(RIGHT(CONCATENATE("000",IFAData_TEA_1617!A2312),6),3)))</f>
        <v>247-906</v>
      </c>
      <c r="C2312" s="2266" t="s">
        <v>2215</v>
      </c>
      <c r="D2312" s="2266">
        <v>9</v>
      </c>
      <c r="E2312" s="2266">
        <v>2384</v>
      </c>
      <c r="F2312" s="2266" t="s">
        <v>6427</v>
      </c>
      <c r="G2312" s="2266" t="s">
        <v>7086</v>
      </c>
      <c r="H2312" s="2266">
        <v>179000</v>
      </c>
      <c r="I2312" s="2266">
        <v>142125</v>
      </c>
      <c r="J2312" s="2266">
        <v>0.41835307969681362</v>
      </c>
      <c r="K2312" s="2266">
        <v>74885.201265729644</v>
      </c>
      <c r="L2312" s="2266">
        <v>74885.201265729644</v>
      </c>
      <c r="M2312" s="2266">
        <v>599</v>
      </c>
    </row>
    <row r="2313" spans="1:13" ht="15">
      <c r="A2313" s="2266" t="s">
        <v>4419</v>
      </c>
      <c r="B2313" s="2465" t="str">
        <f>CONCATENATE(LEFT(RIGHT(CONCATENATE("000",IFAData_TEA_1617!A2313),6),3),"-",(RIGHT(RIGHT(CONCATENATE("000",IFAData_TEA_1617!A2313),6),3)))</f>
        <v>249-901</v>
      </c>
      <c r="C2313" s="2266" t="s">
        <v>1203</v>
      </c>
      <c r="D2313" s="2266">
        <v>5</v>
      </c>
      <c r="E2313" s="2266">
        <v>1570</v>
      </c>
      <c r="F2313" s="2266" t="s">
        <v>6428</v>
      </c>
      <c r="G2313" s="2266" t="s">
        <v>6429</v>
      </c>
      <c r="H2313" s="2266">
        <v>283052</v>
      </c>
      <c r="I2313" s="2266">
        <v>0</v>
      </c>
      <c r="J2313" s="2266">
        <v>0</v>
      </c>
      <c r="K2313" s="2266">
        <v>0</v>
      </c>
      <c r="L2313" s="2266">
        <v>0</v>
      </c>
      <c r="M2313" s="2266">
        <v>599</v>
      </c>
    </row>
    <row r="2314" spans="1:13" ht="15">
      <c r="A2314" s="2266" t="s">
        <v>4419</v>
      </c>
      <c r="B2314" s="2465" t="str">
        <f>CONCATENATE(LEFT(RIGHT(CONCATENATE("000",IFAData_TEA_1617!A2314),6),3),"-",(RIGHT(RIGHT(CONCATENATE("000",IFAData_TEA_1617!A2314),6),3)))</f>
        <v>249-901</v>
      </c>
      <c r="C2314" s="2266" t="s">
        <v>1203</v>
      </c>
      <c r="D2314" s="2266">
        <v>5</v>
      </c>
      <c r="E2314" s="2266">
        <v>1570</v>
      </c>
      <c r="F2314" s="2266" t="s">
        <v>6428</v>
      </c>
      <c r="G2314" s="2266" t="s">
        <v>6428</v>
      </c>
      <c r="H2314" s="2266">
        <v>283052</v>
      </c>
      <c r="I2314" s="2266">
        <v>0</v>
      </c>
      <c r="J2314" s="2266">
        <v>0</v>
      </c>
      <c r="K2314" s="2266">
        <v>0</v>
      </c>
      <c r="L2314" s="2266">
        <v>0</v>
      </c>
      <c r="M2314" s="2266">
        <v>599</v>
      </c>
    </row>
    <row r="2315" spans="1:13" ht="15">
      <c r="A2315" s="2266" t="s">
        <v>4419</v>
      </c>
      <c r="B2315" s="2465" t="str">
        <f>CONCATENATE(LEFT(RIGHT(CONCATENATE("000",IFAData_TEA_1617!A2315),6),3),"-",(RIGHT(RIGHT(CONCATENATE("000",IFAData_TEA_1617!A2315),6),3)))</f>
        <v>249-901</v>
      </c>
      <c r="C2315" s="2266" t="s">
        <v>1203</v>
      </c>
      <c r="D2315" s="2266">
        <v>9</v>
      </c>
      <c r="E2315" s="2266">
        <v>1569</v>
      </c>
      <c r="F2315" s="2266" t="s">
        <v>6430</v>
      </c>
      <c r="G2315" s="2266" t="s">
        <v>6430</v>
      </c>
      <c r="H2315" s="2266">
        <v>183118</v>
      </c>
      <c r="I2315" s="2266">
        <v>214366</v>
      </c>
      <c r="J2315" s="2266">
        <v>0.49658428330179</v>
      </c>
      <c r="K2315" s="2266">
        <v>90933.520789657181</v>
      </c>
      <c r="L2315" s="2266">
        <v>90933.520789657181</v>
      </c>
      <c r="M2315" s="2266">
        <v>599</v>
      </c>
    </row>
    <row r="2316" spans="1:13" ht="15">
      <c r="A2316" s="2266" t="s">
        <v>4419</v>
      </c>
      <c r="B2316" s="2465" t="str">
        <f>CONCATENATE(LEFT(RIGHT(CONCATENATE("000",IFAData_TEA_1617!A2316),6),3),"-",(RIGHT(RIGHT(CONCATENATE("000",IFAData_TEA_1617!A2316),6),3)))</f>
        <v>249-901</v>
      </c>
      <c r="C2316" s="2266" t="s">
        <v>1203</v>
      </c>
      <c r="D2316" s="2266">
        <v>9</v>
      </c>
      <c r="E2316" s="2266">
        <v>1569</v>
      </c>
      <c r="F2316" s="2266" t="s">
        <v>6430</v>
      </c>
      <c r="G2316" s="2266" t="s">
        <v>7087</v>
      </c>
      <c r="H2316" s="2266">
        <v>183118</v>
      </c>
      <c r="I2316" s="2266">
        <v>217315</v>
      </c>
      <c r="J2316" s="2266">
        <v>0.50341571669821006</v>
      </c>
      <c r="K2316" s="2266">
        <v>92184.479210342834</v>
      </c>
      <c r="L2316" s="2266">
        <v>92184.479210342834</v>
      </c>
      <c r="M2316" s="2266">
        <v>599</v>
      </c>
    </row>
    <row r="2317" spans="1:13" ht="15">
      <c r="A2317" s="2266" t="s">
        <v>4419</v>
      </c>
      <c r="B2317" s="2465" t="str">
        <f>CONCATENATE(LEFT(RIGHT(CONCATENATE("000",IFAData_TEA_1617!A2317),6),3),"-",(RIGHT(RIGHT(CONCATENATE("000",IFAData_TEA_1617!A2317),6),3)))</f>
        <v>249-901</v>
      </c>
      <c r="C2317" s="2266" t="s">
        <v>1203</v>
      </c>
      <c r="D2317" s="2266">
        <v>5</v>
      </c>
      <c r="E2317" s="2266">
        <v>1570</v>
      </c>
      <c r="F2317" s="2266" t="s">
        <v>6428</v>
      </c>
      <c r="G2317" s="2266" t="s">
        <v>7087</v>
      </c>
      <c r="H2317" s="2266">
        <v>283052</v>
      </c>
      <c r="I2317" s="2266">
        <v>232009</v>
      </c>
      <c r="J2317" s="2266">
        <v>1</v>
      </c>
      <c r="K2317" s="2266">
        <v>283052</v>
      </c>
      <c r="L2317" s="2266">
        <v>232009</v>
      </c>
      <c r="M2317" s="2266">
        <v>599</v>
      </c>
    </row>
    <row r="2318" spans="1:13" ht="15">
      <c r="A2318" s="2266" t="s">
        <v>4420</v>
      </c>
      <c r="B2318" s="2465" t="str">
        <f>CONCATENATE(LEFT(RIGHT(CONCATENATE("000",IFAData_TEA_1617!A2318),6),3),"-",(RIGHT(RIGHT(CONCATENATE("000",IFAData_TEA_1617!A2318),6),3)))</f>
        <v>249-906</v>
      </c>
      <c r="C2318" s="2266" t="s">
        <v>1541</v>
      </c>
      <c r="D2318" s="2266">
        <v>5</v>
      </c>
      <c r="E2318" s="2266">
        <v>2174</v>
      </c>
      <c r="F2318" s="2266" t="s">
        <v>6433</v>
      </c>
      <c r="G2318" s="2266" t="s">
        <v>6433</v>
      </c>
      <c r="H2318" s="2266">
        <v>221531</v>
      </c>
      <c r="I2318" s="2266">
        <v>0</v>
      </c>
      <c r="J2318" s="2266">
        <v>0</v>
      </c>
      <c r="K2318" s="2266">
        <v>0</v>
      </c>
      <c r="L2318" s="2266">
        <v>0</v>
      </c>
      <c r="M2318" s="2266">
        <v>599</v>
      </c>
    </row>
    <row r="2319" spans="1:13" ht="15">
      <c r="A2319" s="2266" t="s">
        <v>4420</v>
      </c>
      <c r="B2319" s="2465" t="str">
        <f>CONCATENATE(LEFT(RIGHT(CONCATENATE("000",IFAData_TEA_1617!A2319),6),3),"-",(RIGHT(RIGHT(CONCATENATE("000",IFAData_TEA_1617!A2319),6),3)))</f>
        <v>249-906</v>
      </c>
      <c r="C2319" s="2266" t="s">
        <v>1541</v>
      </c>
      <c r="D2319" s="2266">
        <v>2</v>
      </c>
      <c r="E2319" s="2266">
        <v>2173</v>
      </c>
      <c r="F2319" s="2266" t="s">
        <v>6431</v>
      </c>
      <c r="G2319" s="2266" t="s">
        <v>6432</v>
      </c>
      <c r="H2319" s="2266">
        <v>191624</v>
      </c>
      <c r="I2319" s="2266">
        <v>182854</v>
      </c>
      <c r="J2319" s="2266">
        <v>1</v>
      </c>
      <c r="K2319" s="2266">
        <v>191624</v>
      </c>
      <c r="L2319" s="2266">
        <v>182854</v>
      </c>
      <c r="M2319" s="2266">
        <v>599</v>
      </c>
    </row>
    <row r="2320" spans="1:13" ht="15">
      <c r="A2320" s="2266" t="s">
        <v>4420</v>
      </c>
      <c r="B2320" s="2465" t="str">
        <f>CONCATENATE(LEFT(RIGHT(CONCATENATE("000",IFAData_TEA_1617!A2320),6),3),"-",(RIGHT(RIGHT(CONCATENATE("000",IFAData_TEA_1617!A2320),6),3)))</f>
        <v>249-906</v>
      </c>
      <c r="C2320" s="2266" t="s">
        <v>1541</v>
      </c>
      <c r="D2320" s="2266">
        <v>5</v>
      </c>
      <c r="E2320" s="2266">
        <v>2174</v>
      </c>
      <c r="F2320" s="2266" t="s">
        <v>6433</v>
      </c>
      <c r="G2320" s="2266" t="s">
        <v>6432</v>
      </c>
      <c r="H2320" s="2266">
        <v>221531</v>
      </c>
      <c r="I2320" s="2266">
        <v>417064</v>
      </c>
      <c r="J2320" s="2266">
        <v>1</v>
      </c>
      <c r="K2320" s="2266">
        <v>221531</v>
      </c>
      <c r="L2320" s="2266">
        <v>221531</v>
      </c>
      <c r="M2320" s="2266">
        <v>599</v>
      </c>
    </row>
    <row r="2321" spans="1:13" ht="15">
      <c r="A2321" s="2266" t="s">
        <v>4420</v>
      </c>
      <c r="B2321" s="2465" t="str">
        <f>CONCATENATE(LEFT(RIGHT(CONCATENATE("000",IFAData_TEA_1617!A2321),6),3),"-",(RIGHT(RIGHT(CONCATENATE("000",IFAData_TEA_1617!A2321),6),3)))</f>
        <v>249-906</v>
      </c>
      <c r="C2321" s="2266" t="s">
        <v>1541</v>
      </c>
      <c r="D2321" s="2266">
        <v>2</v>
      </c>
      <c r="E2321" s="2266">
        <v>2173</v>
      </c>
      <c r="F2321" s="2266" t="s">
        <v>6431</v>
      </c>
      <c r="G2321" s="2266" t="s">
        <v>6431</v>
      </c>
      <c r="H2321" s="2266">
        <v>191624</v>
      </c>
      <c r="I2321" s="2266">
        <v>0</v>
      </c>
      <c r="J2321" s="2266">
        <v>0</v>
      </c>
      <c r="K2321" s="2266">
        <v>0</v>
      </c>
      <c r="L2321" s="2266">
        <v>0</v>
      </c>
      <c r="M2321" s="2266">
        <v>599</v>
      </c>
    </row>
    <row r="2322" spans="1:13" ht="15">
      <c r="A2322" s="2266" t="s">
        <v>4421</v>
      </c>
      <c r="B2322" s="2465" t="str">
        <f>CONCATENATE(LEFT(RIGHT(CONCATENATE("000",IFAData_TEA_1617!A2322),6),3),"-",(RIGHT(RIGHT(CONCATENATE("000",IFAData_TEA_1617!A2322),6),3)))</f>
        <v>249-908</v>
      </c>
      <c r="C2322" s="2266" t="s">
        <v>2201</v>
      </c>
      <c r="D2322" s="2266">
        <v>1</v>
      </c>
      <c r="E2322" s="2266">
        <v>2340</v>
      </c>
      <c r="F2322" s="2266" t="s">
        <v>6434</v>
      </c>
      <c r="G2322" s="2266" t="s">
        <v>6434</v>
      </c>
      <c r="H2322" s="2266">
        <v>100000</v>
      </c>
      <c r="I2322" s="2266">
        <v>0</v>
      </c>
      <c r="J2322" s="2266">
        <v>0</v>
      </c>
      <c r="K2322" s="2266">
        <v>0</v>
      </c>
      <c r="L2322" s="2266">
        <v>0</v>
      </c>
      <c r="M2322" s="2266">
        <v>599</v>
      </c>
    </row>
    <row r="2323" spans="1:13" ht="15">
      <c r="A2323" s="2266" t="s">
        <v>4421</v>
      </c>
      <c r="B2323" s="2465" t="str">
        <f>CONCATENATE(LEFT(RIGHT(CONCATENATE("000",IFAData_TEA_1617!A2323),6),3),"-",(RIGHT(RIGHT(CONCATENATE("000",IFAData_TEA_1617!A2323),6),3)))</f>
        <v>249-908</v>
      </c>
      <c r="C2323" s="2266" t="s">
        <v>2201</v>
      </c>
      <c r="D2323" s="2266">
        <v>5</v>
      </c>
      <c r="E2323" s="2266">
        <v>2341</v>
      </c>
      <c r="F2323" s="2266" t="s">
        <v>6436</v>
      </c>
      <c r="G2323" s="2266" t="s">
        <v>6435</v>
      </c>
      <c r="H2323" s="2266">
        <v>100000</v>
      </c>
      <c r="I2323" s="2266">
        <v>113247</v>
      </c>
      <c r="J2323" s="2266">
        <v>1</v>
      </c>
      <c r="K2323" s="2266">
        <v>100000</v>
      </c>
      <c r="L2323" s="2266">
        <v>100000</v>
      </c>
      <c r="M2323" s="2266">
        <v>599</v>
      </c>
    </row>
    <row r="2324" spans="1:13" ht="15">
      <c r="A2324" s="2266" t="s">
        <v>4421</v>
      </c>
      <c r="B2324" s="2465" t="str">
        <f>CONCATENATE(LEFT(RIGHT(CONCATENATE("000",IFAData_TEA_1617!A2324),6),3),"-",(RIGHT(RIGHT(CONCATENATE("000",IFAData_TEA_1617!A2324),6),3)))</f>
        <v>249-908</v>
      </c>
      <c r="C2324" s="2266" t="s">
        <v>2201</v>
      </c>
      <c r="D2324" s="2266">
        <v>1</v>
      </c>
      <c r="E2324" s="2266">
        <v>2340</v>
      </c>
      <c r="F2324" s="2266" t="s">
        <v>6434</v>
      </c>
      <c r="G2324" s="2266" t="s">
        <v>6435</v>
      </c>
      <c r="H2324" s="2266">
        <v>100000</v>
      </c>
      <c r="I2324" s="2266">
        <v>74593</v>
      </c>
      <c r="J2324" s="2266">
        <v>1</v>
      </c>
      <c r="K2324" s="2266">
        <v>100000</v>
      </c>
      <c r="L2324" s="2266">
        <v>74593</v>
      </c>
      <c r="M2324" s="2266">
        <v>599</v>
      </c>
    </row>
    <row r="2325" spans="1:13" ht="15">
      <c r="A2325" s="2266" t="s">
        <v>4421</v>
      </c>
      <c r="B2325" s="2465" t="str">
        <f>CONCATENATE(LEFT(RIGHT(CONCATENATE("000",IFAData_TEA_1617!A2325),6),3),"-",(RIGHT(RIGHT(CONCATENATE("000",IFAData_TEA_1617!A2325),6),3)))</f>
        <v>249-908</v>
      </c>
      <c r="C2325" s="2266" t="s">
        <v>2201</v>
      </c>
      <c r="D2325" s="2266">
        <v>5</v>
      </c>
      <c r="E2325" s="2266">
        <v>2341</v>
      </c>
      <c r="F2325" s="2266" t="s">
        <v>6436</v>
      </c>
      <c r="G2325" s="2266" t="s">
        <v>6436</v>
      </c>
      <c r="H2325" s="2266">
        <v>100000</v>
      </c>
      <c r="I2325" s="2266">
        <v>0</v>
      </c>
      <c r="J2325" s="2266">
        <v>0</v>
      </c>
      <c r="K2325" s="2266">
        <v>0</v>
      </c>
      <c r="L2325" s="2266">
        <v>0</v>
      </c>
      <c r="M2325" s="2266">
        <v>599</v>
      </c>
    </row>
    <row r="2326" spans="1:13" ht="15">
      <c r="A2326" s="2266" t="s">
        <v>4422</v>
      </c>
      <c r="B2326" s="2465" t="str">
        <f>CONCATENATE(LEFT(RIGHT(CONCATENATE("000",IFAData_TEA_1617!A2326),6),3),"-",(RIGHT(RIGHT(CONCATENATE("000",IFAData_TEA_1617!A2326),6),3)))</f>
        <v>252-901</v>
      </c>
      <c r="C2326" s="2266" t="s">
        <v>974</v>
      </c>
      <c r="D2326" s="2266">
        <v>9</v>
      </c>
      <c r="E2326" s="2266">
        <v>1853</v>
      </c>
      <c r="F2326" s="2266" t="s">
        <v>6440</v>
      </c>
      <c r="G2326" s="2266" t="s">
        <v>6441</v>
      </c>
      <c r="H2326" s="2266">
        <v>557500</v>
      </c>
      <c r="I2326" s="2266">
        <v>1904263</v>
      </c>
      <c r="J2326" s="2266">
        <v>1</v>
      </c>
      <c r="K2326" s="2266">
        <v>557500</v>
      </c>
      <c r="L2326" s="2266">
        <v>557500</v>
      </c>
      <c r="M2326" s="2266">
        <v>599</v>
      </c>
    </row>
    <row r="2327" spans="1:13" ht="15">
      <c r="A2327" s="2266" t="s">
        <v>4422</v>
      </c>
      <c r="B2327" s="2465" t="str">
        <f>CONCATENATE(LEFT(RIGHT(CONCATENATE("000",IFAData_TEA_1617!A2327),6),3),"-",(RIGHT(RIGHT(CONCATENATE("000",IFAData_TEA_1617!A2327),6),3)))</f>
        <v>252-901</v>
      </c>
      <c r="C2327" s="2266" t="s">
        <v>974</v>
      </c>
      <c r="D2327" s="2266">
        <v>6</v>
      </c>
      <c r="E2327" s="2266">
        <v>1852</v>
      </c>
      <c r="F2327" s="2266" t="s">
        <v>6438</v>
      </c>
      <c r="G2327" s="2266" t="s">
        <v>6439</v>
      </c>
      <c r="H2327" s="2266">
        <v>486964</v>
      </c>
      <c r="I2327" s="2266">
        <v>453882</v>
      </c>
      <c r="J2327" s="2266">
        <v>1</v>
      </c>
      <c r="K2327" s="2266">
        <v>486964</v>
      </c>
      <c r="L2327" s="2266">
        <v>453882</v>
      </c>
      <c r="M2327" s="2266">
        <v>599</v>
      </c>
    </row>
    <row r="2328" spans="1:13" ht="15">
      <c r="A2328" s="2266" t="s">
        <v>4422</v>
      </c>
      <c r="B2328" s="2465" t="str">
        <f>CONCATENATE(LEFT(RIGHT(CONCATENATE("000",IFAData_TEA_1617!A2328),6),3),"-",(RIGHT(RIGHT(CONCATENATE("000",IFAData_TEA_1617!A2328),6),3)))</f>
        <v>252-901</v>
      </c>
      <c r="C2328" s="2266" t="s">
        <v>974</v>
      </c>
      <c r="D2328" s="2266">
        <v>2</v>
      </c>
      <c r="E2328" s="2266">
        <v>1851</v>
      </c>
      <c r="F2328" s="2266" t="s">
        <v>6437</v>
      </c>
      <c r="G2328" s="2266" t="s">
        <v>6437</v>
      </c>
      <c r="H2328" s="2266">
        <v>126142</v>
      </c>
      <c r="I2328" s="2266">
        <v>0</v>
      </c>
      <c r="J2328" s="2266">
        <v>0</v>
      </c>
      <c r="K2328" s="2266"/>
      <c r="L2328" s="2266">
        <v>0</v>
      </c>
      <c r="M2328" s="2266">
        <v>599</v>
      </c>
    </row>
    <row r="2329" spans="1:13" ht="15">
      <c r="A2329" s="2266" t="s">
        <v>4422</v>
      </c>
      <c r="B2329" s="2465" t="str">
        <f>CONCATENATE(LEFT(RIGHT(CONCATENATE("000",IFAData_TEA_1617!A2329),6),3),"-",(RIGHT(RIGHT(CONCATENATE("000",IFAData_TEA_1617!A2329),6),3)))</f>
        <v>252-901</v>
      </c>
      <c r="C2329" s="2266" t="s">
        <v>974</v>
      </c>
      <c r="D2329" s="2266">
        <v>6</v>
      </c>
      <c r="E2329" s="2266">
        <v>1852</v>
      </c>
      <c r="F2329" s="2266" t="s">
        <v>6438</v>
      </c>
      <c r="G2329" s="2266" t="s">
        <v>6438</v>
      </c>
      <c r="H2329" s="2266">
        <v>486964</v>
      </c>
      <c r="I2329" s="2266">
        <v>0</v>
      </c>
      <c r="J2329" s="2266">
        <v>0</v>
      </c>
      <c r="K2329" s="2266">
        <v>0</v>
      </c>
      <c r="L2329" s="2266">
        <v>0</v>
      </c>
      <c r="M2329" s="2266">
        <v>599</v>
      </c>
    </row>
    <row r="2330" spans="1:13" ht="15">
      <c r="A2330" s="2266" t="s">
        <v>4422</v>
      </c>
      <c r="B2330" s="2465" t="str">
        <f>CONCATENATE(LEFT(RIGHT(CONCATENATE("000",IFAData_TEA_1617!A2330),6),3),"-",(RIGHT(RIGHT(CONCATENATE("000",IFAData_TEA_1617!A2330),6),3)))</f>
        <v>252-901</v>
      </c>
      <c r="C2330" s="2266" t="s">
        <v>974</v>
      </c>
      <c r="D2330" s="2266">
        <v>9</v>
      </c>
      <c r="E2330" s="2266">
        <v>1853</v>
      </c>
      <c r="F2330" s="2266" t="s">
        <v>6440</v>
      </c>
      <c r="G2330" s="2266" t="s">
        <v>6440</v>
      </c>
      <c r="H2330" s="2266">
        <v>557500</v>
      </c>
      <c r="I2330" s="2266">
        <v>0</v>
      </c>
      <c r="J2330" s="2266">
        <v>0</v>
      </c>
      <c r="K2330" s="2266">
        <v>0</v>
      </c>
      <c r="L2330" s="2266">
        <v>0</v>
      </c>
      <c r="M2330" s="2266">
        <v>599</v>
      </c>
    </row>
    <row r="2331" spans="1:13" ht="15">
      <c r="A2331" s="2266" t="s">
        <v>4423</v>
      </c>
      <c r="B2331" s="2465" t="str">
        <f>CONCATENATE(LEFT(RIGHT(CONCATENATE("000",IFAData_TEA_1617!A2331),6),3),"-",(RIGHT(RIGHT(CONCATENATE("000",IFAData_TEA_1617!A2331),6),3)))</f>
        <v>252-903</v>
      </c>
      <c r="C2331" s="2266" t="s">
        <v>933</v>
      </c>
      <c r="D2331" s="2266">
        <v>5</v>
      </c>
      <c r="E2331" s="2266">
        <v>2159</v>
      </c>
      <c r="F2331" s="2266" t="s">
        <v>6444</v>
      </c>
      <c r="G2331" s="2266" t="s">
        <v>6444</v>
      </c>
      <c r="H2331" s="2266">
        <v>188253</v>
      </c>
      <c r="I2331" s="2266">
        <v>0</v>
      </c>
      <c r="J2331" s="2266">
        <v>0</v>
      </c>
      <c r="K2331" s="2266">
        <v>0</v>
      </c>
      <c r="L2331" s="2266">
        <v>0</v>
      </c>
      <c r="M2331" s="2266">
        <v>599</v>
      </c>
    </row>
    <row r="2332" spans="1:13" ht="15">
      <c r="A2332" s="2266" t="s">
        <v>4423</v>
      </c>
      <c r="B2332" s="2465" t="str">
        <f>CONCATENATE(LEFT(RIGHT(CONCATENATE("000",IFAData_TEA_1617!A2332),6),3),"-",(RIGHT(RIGHT(CONCATENATE("000",IFAData_TEA_1617!A2332),6),3)))</f>
        <v>252-903</v>
      </c>
      <c r="C2332" s="2266" t="s">
        <v>933</v>
      </c>
      <c r="D2332" s="2266">
        <v>4</v>
      </c>
      <c r="E2332" s="2266">
        <v>2160</v>
      </c>
      <c r="F2332" s="2266" t="s">
        <v>6442</v>
      </c>
      <c r="G2332" s="2266" t="s">
        <v>6443</v>
      </c>
      <c r="H2332" s="2266">
        <v>195206</v>
      </c>
      <c r="I2332" s="2266">
        <v>0</v>
      </c>
      <c r="J2332" s="2266">
        <v>0</v>
      </c>
      <c r="K2332" s="2266"/>
      <c r="L2332" s="2266">
        <v>0</v>
      </c>
      <c r="M2332" s="2266">
        <v>599</v>
      </c>
    </row>
    <row r="2333" spans="1:13" ht="15">
      <c r="A2333" s="2266" t="s">
        <v>4423</v>
      </c>
      <c r="B2333" s="2465" t="str">
        <f>CONCATENATE(LEFT(RIGHT(CONCATENATE("000",IFAData_TEA_1617!A2333),6),3),"-",(RIGHT(RIGHT(CONCATENATE("000",IFAData_TEA_1617!A2333),6),3)))</f>
        <v>252-903</v>
      </c>
      <c r="C2333" s="2266" t="s">
        <v>933</v>
      </c>
      <c r="D2333" s="2266">
        <v>4</v>
      </c>
      <c r="E2333" s="2266">
        <v>2160</v>
      </c>
      <c r="F2333" s="2266" t="s">
        <v>6442</v>
      </c>
      <c r="G2333" s="2266" t="s">
        <v>6442</v>
      </c>
      <c r="H2333" s="2266">
        <v>195206</v>
      </c>
      <c r="I2333" s="2266">
        <v>0</v>
      </c>
      <c r="J2333" s="2266">
        <v>0</v>
      </c>
      <c r="K2333" s="2266"/>
      <c r="L2333" s="2266">
        <v>0</v>
      </c>
      <c r="M2333" s="2266">
        <v>599</v>
      </c>
    </row>
    <row r="2334" spans="1:13" ht="15">
      <c r="A2334" s="2266" t="s">
        <v>4423</v>
      </c>
      <c r="B2334" s="2465" t="str">
        <f>CONCATENATE(LEFT(RIGHT(CONCATENATE("000",IFAData_TEA_1617!A2334),6),3),"-",(RIGHT(RIGHT(CONCATENATE("000",IFAData_TEA_1617!A2334),6),3)))</f>
        <v>252-903</v>
      </c>
      <c r="C2334" s="2266" t="s">
        <v>933</v>
      </c>
      <c r="D2334" s="2266">
        <v>5</v>
      </c>
      <c r="E2334" s="2266">
        <v>2159</v>
      </c>
      <c r="F2334" s="2266" t="s">
        <v>6444</v>
      </c>
      <c r="G2334" s="2266" t="s">
        <v>6445</v>
      </c>
      <c r="H2334" s="2266">
        <v>188253</v>
      </c>
      <c r="I2334" s="2266">
        <v>183000</v>
      </c>
      <c r="J2334" s="2266">
        <v>1</v>
      </c>
      <c r="K2334" s="2266">
        <v>188253</v>
      </c>
      <c r="L2334" s="2266">
        <v>183000</v>
      </c>
      <c r="M2334" s="2266">
        <v>599</v>
      </c>
    </row>
    <row r="2335" spans="1:13" ht="15">
      <c r="A2335" s="2266" t="s">
        <v>4424</v>
      </c>
      <c r="B2335" s="2465" t="str">
        <f>CONCATENATE(LEFT(RIGHT(CONCATENATE("000",IFAData_TEA_1617!A2335),6),3),"-",(RIGHT(RIGHT(CONCATENATE("000",IFAData_TEA_1617!A2335),6),3)))</f>
        <v>254-901</v>
      </c>
      <c r="C2335" s="2266" t="s">
        <v>460</v>
      </c>
      <c r="D2335" s="2266">
        <v>5</v>
      </c>
      <c r="E2335" s="2266">
        <v>1737</v>
      </c>
      <c r="F2335" s="2266" t="s">
        <v>6450</v>
      </c>
      <c r="G2335" s="2266" t="s">
        <v>6450</v>
      </c>
      <c r="H2335" s="2266">
        <v>197353</v>
      </c>
      <c r="I2335" s="2266">
        <v>0</v>
      </c>
      <c r="J2335" s="2266">
        <v>0</v>
      </c>
      <c r="K2335" s="2266">
        <v>0</v>
      </c>
      <c r="L2335" s="2266">
        <v>0</v>
      </c>
      <c r="M2335" s="2266">
        <v>599</v>
      </c>
    </row>
    <row r="2336" spans="1:13" ht="15">
      <c r="A2336" s="2266" t="s">
        <v>4424</v>
      </c>
      <c r="B2336" s="2465" t="str">
        <f>CONCATENATE(LEFT(RIGHT(CONCATENATE("000",IFAData_TEA_1617!A2336),6),3),"-",(RIGHT(RIGHT(CONCATENATE("000",IFAData_TEA_1617!A2336),6),3)))</f>
        <v>254-901</v>
      </c>
      <c r="C2336" s="2266" t="s">
        <v>460</v>
      </c>
      <c r="D2336" s="2266">
        <v>4</v>
      </c>
      <c r="E2336" s="2266">
        <v>1736</v>
      </c>
      <c r="F2336" s="2266" t="s">
        <v>6449</v>
      </c>
      <c r="G2336" s="2266" t="s">
        <v>7088</v>
      </c>
      <c r="H2336" s="2266">
        <v>192712</v>
      </c>
      <c r="I2336" s="2266">
        <v>158060</v>
      </c>
      <c r="J2336" s="2266">
        <v>1</v>
      </c>
      <c r="K2336" s="2266">
        <v>192712</v>
      </c>
      <c r="L2336" s="2266">
        <v>158060</v>
      </c>
      <c r="M2336" s="2266">
        <v>599</v>
      </c>
    </row>
    <row r="2337" spans="1:13" ht="15">
      <c r="A2337" s="2266" t="s">
        <v>4424</v>
      </c>
      <c r="B2337" s="2465" t="str">
        <f>CONCATENATE(LEFT(RIGHT(CONCATENATE("000",IFAData_TEA_1617!A2337),6),3),"-",(RIGHT(RIGHT(CONCATENATE("000",IFAData_TEA_1617!A2337),6),3)))</f>
        <v>254-901</v>
      </c>
      <c r="C2337" s="2266" t="s">
        <v>460</v>
      </c>
      <c r="D2337" s="2266">
        <v>5</v>
      </c>
      <c r="E2337" s="2266">
        <v>1737</v>
      </c>
      <c r="F2337" s="2266" t="s">
        <v>6450</v>
      </c>
      <c r="G2337" s="2266" t="s">
        <v>7088</v>
      </c>
      <c r="H2337" s="2266">
        <v>197353</v>
      </c>
      <c r="I2337" s="2266">
        <v>73320</v>
      </c>
      <c r="J2337" s="2266">
        <v>0.42450208429828623</v>
      </c>
      <c r="K2337" s="2266">
        <v>83776.759842519677</v>
      </c>
      <c r="L2337" s="2266">
        <v>73320</v>
      </c>
      <c r="M2337" s="2266">
        <v>599</v>
      </c>
    </row>
    <row r="2338" spans="1:13" ht="15">
      <c r="A2338" s="2266" t="s">
        <v>4424</v>
      </c>
      <c r="B2338" s="2465" t="str">
        <f>CONCATENATE(LEFT(RIGHT(CONCATENATE("000",IFAData_TEA_1617!A2338),6),3),"-",(RIGHT(RIGHT(CONCATENATE("000",IFAData_TEA_1617!A2338),6),3)))</f>
        <v>254-901</v>
      </c>
      <c r="C2338" s="2266" t="s">
        <v>460</v>
      </c>
      <c r="D2338" s="2266">
        <v>2</v>
      </c>
      <c r="E2338" s="2266">
        <v>1739</v>
      </c>
      <c r="F2338" s="2266" t="s">
        <v>6446</v>
      </c>
      <c r="G2338" s="2266" t="s">
        <v>7088</v>
      </c>
      <c r="H2338" s="2266">
        <v>396447</v>
      </c>
      <c r="I2338" s="2266">
        <v>453621</v>
      </c>
      <c r="J2338" s="2266">
        <v>1</v>
      </c>
      <c r="K2338" s="2266">
        <v>396447</v>
      </c>
      <c r="L2338" s="2266">
        <v>396447</v>
      </c>
      <c r="M2338" s="2266">
        <v>599</v>
      </c>
    </row>
    <row r="2339" spans="1:13" ht="15">
      <c r="A2339" s="2266" t="s">
        <v>4424</v>
      </c>
      <c r="B2339" s="2465" t="str">
        <f>CONCATENATE(LEFT(RIGHT(CONCATENATE("000",IFAData_TEA_1617!A2339),6),3),"-",(RIGHT(RIGHT(CONCATENATE("000",IFAData_TEA_1617!A2339),6),3)))</f>
        <v>254-901</v>
      </c>
      <c r="C2339" s="2266" t="s">
        <v>460</v>
      </c>
      <c r="D2339" s="2266">
        <v>8</v>
      </c>
      <c r="E2339" s="2266">
        <v>1740</v>
      </c>
      <c r="F2339" s="2266" t="s">
        <v>6452</v>
      </c>
      <c r="G2339" s="2266" t="s">
        <v>6452</v>
      </c>
      <c r="H2339" s="2266">
        <v>464096</v>
      </c>
      <c r="I2339" s="2266">
        <v>0</v>
      </c>
      <c r="J2339" s="2266">
        <v>0</v>
      </c>
      <c r="K2339" s="2266">
        <v>0</v>
      </c>
      <c r="L2339" s="2266">
        <v>0</v>
      </c>
      <c r="M2339" s="2266">
        <v>599</v>
      </c>
    </row>
    <row r="2340" spans="1:13" ht="15">
      <c r="A2340" s="2266" t="s">
        <v>4424</v>
      </c>
      <c r="B2340" s="2465" t="str">
        <f>CONCATENATE(LEFT(RIGHT(CONCATENATE("000",IFAData_TEA_1617!A2340),6),3),"-",(RIGHT(RIGHT(CONCATENATE("000",IFAData_TEA_1617!A2340),6),3)))</f>
        <v>254-901</v>
      </c>
      <c r="C2340" s="2266" t="s">
        <v>460</v>
      </c>
      <c r="D2340" s="2266">
        <v>2</v>
      </c>
      <c r="E2340" s="2266">
        <v>1739</v>
      </c>
      <c r="F2340" s="2266" t="s">
        <v>6446</v>
      </c>
      <c r="G2340" s="2266" t="s">
        <v>6446</v>
      </c>
      <c r="H2340" s="2266">
        <v>396447</v>
      </c>
      <c r="I2340" s="2266">
        <v>0</v>
      </c>
      <c r="J2340" s="2266">
        <v>0</v>
      </c>
      <c r="K2340" s="2266">
        <v>0</v>
      </c>
      <c r="L2340" s="2266">
        <v>0</v>
      </c>
      <c r="M2340" s="2266">
        <v>599</v>
      </c>
    </row>
    <row r="2341" spans="1:13" ht="15">
      <c r="A2341" s="2266" t="s">
        <v>4424</v>
      </c>
      <c r="B2341" s="2465" t="str">
        <f>CONCATENATE(LEFT(RIGHT(CONCATENATE("000",IFAData_TEA_1617!A2341),6),3),"-",(RIGHT(RIGHT(CONCATENATE("000",IFAData_TEA_1617!A2341),6),3)))</f>
        <v>254-901</v>
      </c>
      <c r="C2341" s="2266" t="s">
        <v>460</v>
      </c>
      <c r="D2341" s="2266">
        <v>4</v>
      </c>
      <c r="E2341" s="2266">
        <v>1736</v>
      </c>
      <c r="F2341" s="2266" t="s">
        <v>6449</v>
      </c>
      <c r="G2341" s="2266" t="s">
        <v>6447</v>
      </c>
      <c r="H2341" s="2266">
        <v>192712</v>
      </c>
      <c r="I2341" s="2266">
        <v>0</v>
      </c>
      <c r="J2341" s="2266">
        <v>0</v>
      </c>
      <c r="K2341" s="2266">
        <v>0</v>
      </c>
      <c r="L2341" s="2266">
        <v>0</v>
      </c>
      <c r="M2341" s="2266">
        <v>599</v>
      </c>
    </row>
    <row r="2342" spans="1:13" ht="15">
      <c r="A2342" s="2266" t="s">
        <v>4424</v>
      </c>
      <c r="B2342" s="2465" t="str">
        <f>CONCATENATE(LEFT(RIGHT(CONCATENATE("000",IFAData_TEA_1617!A2342),6),3),"-",(RIGHT(RIGHT(CONCATENATE("000",IFAData_TEA_1617!A2342),6),3)))</f>
        <v>254-901</v>
      </c>
      <c r="C2342" s="2266" t="s">
        <v>460</v>
      </c>
      <c r="D2342" s="2266">
        <v>5</v>
      </c>
      <c r="E2342" s="2266">
        <v>1737</v>
      </c>
      <c r="F2342" s="2266" t="s">
        <v>6450</v>
      </c>
      <c r="G2342" s="2266" t="s">
        <v>6447</v>
      </c>
      <c r="H2342" s="2266">
        <v>197353</v>
      </c>
      <c r="I2342" s="2266">
        <v>0</v>
      </c>
      <c r="J2342" s="2266">
        <v>0</v>
      </c>
      <c r="K2342" s="2266">
        <v>0</v>
      </c>
      <c r="L2342" s="2266">
        <v>0</v>
      </c>
      <c r="M2342" s="2266">
        <v>599</v>
      </c>
    </row>
    <row r="2343" spans="1:13" ht="15">
      <c r="A2343" s="2266" t="s">
        <v>4424</v>
      </c>
      <c r="B2343" s="2465" t="str">
        <f>CONCATENATE(LEFT(RIGHT(CONCATENATE("000",IFAData_TEA_1617!A2343),6),3),"-",(RIGHT(RIGHT(CONCATENATE("000",IFAData_TEA_1617!A2343),6),3)))</f>
        <v>254-901</v>
      </c>
      <c r="C2343" s="2266" t="s">
        <v>460</v>
      </c>
      <c r="D2343" s="2266">
        <v>2</v>
      </c>
      <c r="E2343" s="2266">
        <v>1739</v>
      </c>
      <c r="F2343" s="2266" t="s">
        <v>6446</v>
      </c>
      <c r="G2343" s="2266" t="s">
        <v>6447</v>
      </c>
      <c r="H2343" s="2266">
        <v>396447</v>
      </c>
      <c r="I2343" s="2266">
        <v>0</v>
      </c>
      <c r="J2343" s="2266">
        <v>0</v>
      </c>
      <c r="K2343" s="2266">
        <v>0</v>
      </c>
      <c r="L2343" s="2266">
        <v>0</v>
      </c>
      <c r="M2343" s="2266">
        <v>599</v>
      </c>
    </row>
    <row r="2344" spans="1:13" ht="15">
      <c r="A2344" s="2266" t="s">
        <v>4424</v>
      </c>
      <c r="B2344" s="2465" t="str">
        <f>CONCATENATE(LEFT(RIGHT(CONCATENATE("000",IFAData_TEA_1617!A2344),6),3),"-",(RIGHT(RIGHT(CONCATENATE("000",IFAData_TEA_1617!A2344),6),3)))</f>
        <v>254-901</v>
      </c>
      <c r="C2344" s="2266" t="s">
        <v>460</v>
      </c>
      <c r="D2344" s="2266">
        <v>4</v>
      </c>
      <c r="E2344" s="2266">
        <v>1736</v>
      </c>
      <c r="F2344" s="2266" t="s">
        <v>6449</v>
      </c>
      <c r="G2344" s="2266" t="s">
        <v>6448</v>
      </c>
      <c r="H2344" s="2266">
        <v>192712</v>
      </c>
      <c r="I2344" s="2266">
        <v>0</v>
      </c>
      <c r="J2344" s="2266">
        <v>0</v>
      </c>
      <c r="K2344" s="2266">
        <v>0</v>
      </c>
      <c r="L2344" s="2266">
        <v>0</v>
      </c>
      <c r="M2344" s="2266">
        <v>599</v>
      </c>
    </row>
    <row r="2345" spans="1:13" ht="15">
      <c r="A2345" s="2266" t="s">
        <v>4424</v>
      </c>
      <c r="B2345" s="2465" t="str">
        <f>CONCATENATE(LEFT(RIGHT(CONCATENATE("000",IFAData_TEA_1617!A2345),6),3),"-",(RIGHT(RIGHT(CONCATENATE("000",IFAData_TEA_1617!A2345),6),3)))</f>
        <v>254-901</v>
      </c>
      <c r="C2345" s="2266" t="s">
        <v>460</v>
      </c>
      <c r="D2345" s="2266">
        <v>5</v>
      </c>
      <c r="E2345" s="2266">
        <v>1737</v>
      </c>
      <c r="F2345" s="2266" t="s">
        <v>6450</v>
      </c>
      <c r="G2345" s="2266" t="s">
        <v>6448</v>
      </c>
      <c r="H2345" s="2266">
        <v>197353</v>
      </c>
      <c r="I2345" s="2266">
        <v>99400</v>
      </c>
      <c r="J2345" s="2266">
        <v>0.57549791570171371</v>
      </c>
      <c r="K2345" s="2266">
        <v>113576.24015748031</v>
      </c>
      <c r="L2345" s="2266">
        <v>99400</v>
      </c>
      <c r="M2345" s="2266">
        <v>599</v>
      </c>
    </row>
    <row r="2346" spans="1:13" ht="15">
      <c r="A2346" s="2266" t="s">
        <v>4424</v>
      </c>
      <c r="B2346" s="2465" t="str">
        <f>CONCATENATE(LEFT(RIGHT(CONCATENATE("000",IFAData_TEA_1617!A2346),6),3),"-",(RIGHT(RIGHT(CONCATENATE("000",IFAData_TEA_1617!A2346),6),3)))</f>
        <v>254-901</v>
      </c>
      <c r="C2346" s="2266" t="s">
        <v>460</v>
      </c>
      <c r="D2346" s="2266">
        <v>6</v>
      </c>
      <c r="E2346" s="2266">
        <v>1738</v>
      </c>
      <c r="F2346" s="2266" t="s">
        <v>6451</v>
      </c>
      <c r="G2346" s="2266" t="s">
        <v>6448</v>
      </c>
      <c r="H2346" s="2266">
        <v>209248</v>
      </c>
      <c r="I2346" s="2266">
        <v>171824</v>
      </c>
      <c r="J2346" s="2266">
        <v>1</v>
      </c>
      <c r="K2346" s="2266">
        <v>209248</v>
      </c>
      <c r="L2346" s="2266">
        <v>171824</v>
      </c>
      <c r="M2346" s="2266">
        <v>599</v>
      </c>
    </row>
    <row r="2347" spans="1:13" ht="15">
      <c r="A2347" s="2266" t="s">
        <v>4424</v>
      </c>
      <c r="B2347" s="2465" t="str">
        <f>CONCATENATE(LEFT(RIGHT(CONCATENATE("000",IFAData_TEA_1617!A2347),6),3),"-",(RIGHT(RIGHT(CONCATENATE("000",IFAData_TEA_1617!A2347),6),3)))</f>
        <v>254-901</v>
      </c>
      <c r="C2347" s="2266" t="s">
        <v>460</v>
      </c>
      <c r="D2347" s="2266">
        <v>2</v>
      </c>
      <c r="E2347" s="2266">
        <v>1739</v>
      </c>
      <c r="F2347" s="2266" t="s">
        <v>6446</v>
      </c>
      <c r="G2347" s="2266" t="s">
        <v>6448</v>
      </c>
      <c r="H2347" s="2266">
        <v>396447</v>
      </c>
      <c r="I2347" s="2266">
        <v>0</v>
      </c>
      <c r="J2347" s="2266">
        <v>0</v>
      </c>
      <c r="K2347" s="2266">
        <v>0</v>
      </c>
      <c r="L2347" s="2266">
        <v>0</v>
      </c>
      <c r="M2347" s="2266">
        <v>599</v>
      </c>
    </row>
    <row r="2348" spans="1:13" ht="15">
      <c r="A2348" s="2266" t="s">
        <v>4424</v>
      </c>
      <c r="B2348" s="2465" t="str">
        <f>CONCATENATE(LEFT(RIGHT(CONCATENATE("000",IFAData_TEA_1617!A2348),6),3),"-",(RIGHT(RIGHT(CONCATENATE("000",IFAData_TEA_1617!A2348),6),3)))</f>
        <v>254-901</v>
      </c>
      <c r="C2348" s="2266" t="s">
        <v>460</v>
      </c>
      <c r="D2348" s="2266">
        <v>4</v>
      </c>
      <c r="E2348" s="2266">
        <v>1736</v>
      </c>
      <c r="F2348" s="2266" t="s">
        <v>6449</v>
      </c>
      <c r="G2348" s="2266" t="s">
        <v>6449</v>
      </c>
      <c r="H2348" s="2266">
        <v>192712</v>
      </c>
      <c r="I2348" s="2266">
        <v>0</v>
      </c>
      <c r="J2348" s="2266">
        <v>0</v>
      </c>
      <c r="K2348" s="2266">
        <v>0</v>
      </c>
      <c r="L2348" s="2266">
        <v>0</v>
      </c>
      <c r="M2348" s="2266">
        <v>599</v>
      </c>
    </row>
    <row r="2349" spans="1:13" ht="15">
      <c r="A2349" s="2266" t="s">
        <v>4424</v>
      </c>
      <c r="B2349" s="2465" t="str">
        <f>CONCATENATE(LEFT(RIGHT(CONCATENATE("000",IFAData_TEA_1617!A2349),6),3),"-",(RIGHT(RIGHT(CONCATENATE("000",IFAData_TEA_1617!A2349),6),3)))</f>
        <v>254-901</v>
      </c>
      <c r="C2349" s="2266" t="s">
        <v>460</v>
      </c>
      <c r="D2349" s="2266">
        <v>6</v>
      </c>
      <c r="E2349" s="2266">
        <v>1738</v>
      </c>
      <c r="F2349" s="2266" t="s">
        <v>6451</v>
      </c>
      <c r="G2349" s="2266" t="s">
        <v>6451</v>
      </c>
      <c r="H2349" s="2266">
        <v>209248</v>
      </c>
      <c r="I2349" s="2266">
        <v>0</v>
      </c>
      <c r="J2349" s="2266">
        <v>0</v>
      </c>
      <c r="K2349" s="2266">
        <v>0</v>
      </c>
      <c r="L2349" s="2266">
        <v>0</v>
      </c>
      <c r="M2349" s="2266">
        <v>599</v>
      </c>
    </row>
    <row r="2350" spans="1:13" ht="15">
      <c r="A2350" s="2266" t="s">
        <v>4424</v>
      </c>
      <c r="B2350" s="2465" t="str">
        <f>CONCATENATE(LEFT(RIGHT(CONCATENATE("000",IFAData_TEA_1617!A2350),6),3),"-",(RIGHT(RIGHT(CONCATENATE("000",IFAData_TEA_1617!A2350),6),3)))</f>
        <v>254-901</v>
      </c>
      <c r="C2350" s="2266" t="s">
        <v>460</v>
      </c>
      <c r="D2350" s="2266">
        <v>8</v>
      </c>
      <c r="E2350" s="2266">
        <v>1740</v>
      </c>
      <c r="F2350" s="2266" t="s">
        <v>6452</v>
      </c>
      <c r="G2350" s="2266" t="s">
        <v>7089</v>
      </c>
      <c r="H2350" s="2266">
        <v>464096</v>
      </c>
      <c r="I2350" s="2266">
        <v>567044</v>
      </c>
      <c r="J2350" s="2266">
        <v>1</v>
      </c>
      <c r="K2350" s="2266">
        <v>464096</v>
      </c>
      <c r="L2350" s="2266">
        <v>464096</v>
      </c>
      <c r="M2350" s="2266">
        <v>599</v>
      </c>
    </row>
    <row r="2351" spans="1:13" ht="15">
      <c r="A2351" s="2266" t="s">
        <v>4425</v>
      </c>
      <c r="B2351" s="2465" t="str">
        <f>CONCATENATE(LEFT(RIGHT(CONCATENATE("000",IFAData_TEA_1617!A2351),6),3),"-",(RIGHT(RIGHT(CONCATENATE("000",IFAData_TEA_1617!A2351),6),3)))</f>
        <v>254-902</v>
      </c>
      <c r="C2351" s="2266" t="s">
        <v>2171</v>
      </c>
      <c r="D2351" s="2266">
        <v>4</v>
      </c>
      <c r="E2351" s="2266">
        <v>1987</v>
      </c>
      <c r="F2351" s="2266" t="s">
        <v>6453</v>
      </c>
      <c r="G2351" s="2266" t="s">
        <v>6454</v>
      </c>
      <c r="H2351" s="2266">
        <v>100000</v>
      </c>
      <c r="I2351" s="2266">
        <v>0</v>
      </c>
      <c r="J2351" s="2266">
        <v>0</v>
      </c>
      <c r="K2351" s="2266">
        <v>0</v>
      </c>
      <c r="L2351" s="2266">
        <v>0</v>
      </c>
      <c r="M2351" s="2266">
        <v>599</v>
      </c>
    </row>
    <row r="2352" spans="1:13" ht="15">
      <c r="A2352" s="2266" t="s">
        <v>4425</v>
      </c>
      <c r="B2352" s="2465" t="str">
        <f>CONCATENATE(LEFT(RIGHT(CONCATENATE("000",IFAData_TEA_1617!A2352),6),3),"-",(RIGHT(RIGHT(CONCATENATE("000",IFAData_TEA_1617!A2352),6),3)))</f>
        <v>254-902</v>
      </c>
      <c r="C2352" s="2266" t="s">
        <v>2171</v>
      </c>
      <c r="D2352" s="2266">
        <v>8</v>
      </c>
      <c r="E2352" s="2266">
        <v>1986</v>
      </c>
      <c r="F2352" s="2266" t="s">
        <v>6454</v>
      </c>
      <c r="G2352" s="2266" t="s">
        <v>6454</v>
      </c>
      <c r="H2352" s="2266">
        <v>95242</v>
      </c>
      <c r="I2352" s="2266">
        <v>0</v>
      </c>
      <c r="J2352" s="2266">
        <v>0</v>
      </c>
      <c r="K2352" s="2266">
        <v>0</v>
      </c>
      <c r="L2352" s="2266">
        <v>0</v>
      </c>
      <c r="M2352" s="2266">
        <v>599</v>
      </c>
    </row>
    <row r="2353" spans="1:13" ht="15">
      <c r="A2353" s="2266" t="s">
        <v>4425</v>
      </c>
      <c r="B2353" s="2465" t="str">
        <f>CONCATENATE(LEFT(RIGHT(CONCATENATE("000",IFAData_TEA_1617!A2353),6),3),"-",(RIGHT(RIGHT(CONCATENATE("000",IFAData_TEA_1617!A2353),6),3)))</f>
        <v>254-902</v>
      </c>
      <c r="C2353" s="2266" t="s">
        <v>2171</v>
      </c>
      <c r="D2353" s="2266">
        <v>4</v>
      </c>
      <c r="E2353" s="2266">
        <v>1987</v>
      </c>
      <c r="F2353" s="2266" t="s">
        <v>6453</v>
      </c>
      <c r="G2353" s="2266" t="s">
        <v>6453</v>
      </c>
      <c r="H2353" s="2266">
        <v>100000</v>
      </c>
      <c r="I2353" s="2266">
        <v>0</v>
      </c>
      <c r="J2353" s="2266">
        <v>0</v>
      </c>
      <c r="K2353" s="2266">
        <v>0</v>
      </c>
      <c r="L2353" s="2266">
        <v>0</v>
      </c>
      <c r="M2353" s="2266">
        <v>599</v>
      </c>
    </row>
    <row r="2354" spans="1:13" ht="15">
      <c r="A2354" s="2266" t="s">
        <v>4425</v>
      </c>
      <c r="B2354" s="2465" t="str">
        <f>CONCATENATE(LEFT(RIGHT(CONCATENATE("000",IFAData_TEA_1617!A2354),6),3),"-",(RIGHT(RIGHT(CONCATENATE("000",IFAData_TEA_1617!A2354),6),3)))</f>
        <v>254-902</v>
      </c>
      <c r="C2354" s="2266" t="s">
        <v>2171</v>
      </c>
      <c r="D2354" s="2266">
        <v>8</v>
      </c>
      <c r="E2354" s="2266">
        <v>1986</v>
      </c>
      <c r="F2354" s="2266" t="s">
        <v>6454</v>
      </c>
      <c r="G2354" s="2266" t="s">
        <v>7298</v>
      </c>
      <c r="H2354" s="2266">
        <v>95242</v>
      </c>
      <c r="I2354" s="2266">
        <v>56459</v>
      </c>
      <c r="J2354" s="2266">
        <v>1</v>
      </c>
      <c r="K2354" s="2266">
        <v>95242</v>
      </c>
      <c r="L2354" s="2266">
        <v>56459</v>
      </c>
      <c r="M2354" s="2266">
        <v>599</v>
      </c>
    </row>
    <row r="2355" spans="1:13" ht="15">
      <c r="A2355" s="2266" t="s">
        <v>4425</v>
      </c>
      <c r="B2355" s="2465" t="str">
        <f>CONCATENATE(LEFT(RIGHT(CONCATENATE("000",IFAData_TEA_1617!A2355),6),3),"-",(RIGHT(RIGHT(CONCATENATE("000",IFAData_TEA_1617!A2355),6),3)))</f>
        <v>254-902</v>
      </c>
      <c r="C2355" s="2266" t="s">
        <v>2171</v>
      </c>
      <c r="D2355" s="2266">
        <v>4</v>
      </c>
      <c r="E2355" s="2266">
        <v>1987</v>
      </c>
      <c r="F2355" s="2266" t="s">
        <v>6453</v>
      </c>
      <c r="G2355" s="2266" t="s">
        <v>7298</v>
      </c>
      <c r="H2355" s="2266">
        <v>100000</v>
      </c>
      <c r="I2355" s="2266">
        <v>73426</v>
      </c>
      <c r="J2355" s="2266">
        <v>1</v>
      </c>
      <c r="K2355" s="2266">
        <v>100000</v>
      </c>
      <c r="L2355" s="2266">
        <v>73426</v>
      </c>
      <c r="M2355" s="2266">
        <v>599</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topLeftCell="A49" workbookViewId="0">
      <selection activeCell="F53" sqref="F53"/>
    </sheetView>
  </sheetViews>
  <sheetFormatPr defaultRowHeight="12.75"/>
  <cols>
    <col min="2" max="5" width="20.7109375" style="121" customWidth="1"/>
    <col min="6" max="9" width="20.7109375" customWidth="1"/>
    <col min="13" max="18" width="20.7109375" customWidth="1"/>
  </cols>
  <sheetData>
    <row r="1" spans="1:9" s="72" customFormat="1">
      <c r="B1" s="424" t="s">
        <v>7120</v>
      </c>
      <c r="C1" s="424" t="s">
        <v>3827</v>
      </c>
      <c r="D1" s="424" t="s">
        <v>7121</v>
      </c>
      <c r="E1" s="424" t="s">
        <v>7122</v>
      </c>
      <c r="F1" s="120" t="s">
        <v>7352</v>
      </c>
      <c r="G1" s="120" t="s">
        <v>7353</v>
      </c>
      <c r="H1" s="120" t="s">
        <v>7354</v>
      </c>
      <c r="I1" s="120" t="s">
        <v>7355</v>
      </c>
    </row>
    <row r="2" spans="1:9" ht="15">
      <c r="A2" s="1080" t="s">
        <v>225</v>
      </c>
      <c r="B2" s="413">
        <v>270576122</v>
      </c>
      <c r="C2" s="413">
        <v>270576122</v>
      </c>
      <c r="D2" s="413">
        <v>275465282</v>
      </c>
      <c r="E2" s="413">
        <v>275465282</v>
      </c>
      <c r="F2" s="836">
        <v>269763945</v>
      </c>
      <c r="G2" s="836">
        <v>264874785</v>
      </c>
      <c r="H2" s="836">
        <v>269763945</v>
      </c>
      <c r="I2" s="836">
        <v>264874785</v>
      </c>
    </row>
    <row r="3" spans="1:9" ht="15">
      <c r="A3" s="1080" t="s">
        <v>2228</v>
      </c>
      <c r="B3" s="413">
        <v>262857720</v>
      </c>
      <c r="C3" s="413">
        <v>262857720</v>
      </c>
      <c r="D3" s="413">
        <v>275728402</v>
      </c>
      <c r="E3" s="413">
        <v>275728402</v>
      </c>
      <c r="F3" s="836">
        <v>275728402</v>
      </c>
      <c r="G3" s="836">
        <v>262857720</v>
      </c>
      <c r="H3" s="836">
        <v>275728402</v>
      </c>
      <c r="I3" s="836">
        <v>262857720</v>
      </c>
    </row>
    <row r="4" spans="1:9" ht="15">
      <c r="A4" s="1080" t="s">
        <v>15</v>
      </c>
      <c r="B4" s="413">
        <v>248392651</v>
      </c>
      <c r="C4" s="413">
        <v>248392651</v>
      </c>
      <c r="D4" s="413">
        <v>258655113</v>
      </c>
      <c r="E4" s="413">
        <v>258655113</v>
      </c>
      <c r="F4" s="836">
        <v>245169016</v>
      </c>
      <c r="G4" s="836">
        <v>234906554</v>
      </c>
      <c r="H4" s="836">
        <v>245169016</v>
      </c>
      <c r="I4" s="836">
        <v>234906554</v>
      </c>
    </row>
    <row r="5" spans="1:9" ht="15">
      <c r="A5" s="1080" t="s">
        <v>16</v>
      </c>
      <c r="B5" s="413">
        <v>104058674</v>
      </c>
      <c r="C5" s="413">
        <v>104058674</v>
      </c>
      <c r="D5" s="413">
        <v>107263359</v>
      </c>
      <c r="E5" s="413">
        <v>107263359</v>
      </c>
      <c r="F5" s="836">
        <v>103649517</v>
      </c>
      <c r="G5" s="836">
        <v>100444832</v>
      </c>
      <c r="H5" s="836">
        <v>103649517</v>
      </c>
      <c r="I5" s="836">
        <v>100444832</v>
      </c>
    </row>
    <row r="6" spans="1:9" ht="15">
      <c r="A6" s="1080" t="s">
        <v>17</v>
      </c>
      <c r="B6" s="413">
        <v>1025551633</v>
      </c>
      <c r="C6" s="413">
        <v>1025551633</v>
      </c>
      <c r="D6" s="413">
        <v>1065905323</v>
      </c>
      <c r="E6" s="413">
        <v>1065905323</v>
      </c>
      <c r="F6" s="836">
        <v>1065905323</v>
      </c>
      <c r="G6" s="836">
        <v>1025551633</v>
      </c>
      <c r="H6" s="836">
        <v>1065905323</v>
      </c>
      <c r="I6" s="836">
        <v>1025551633</v>
      </c>
    </row>
    <row r="7" spans="1:9" ht="15">
      <c r="A7" s="1080" t="s">
        <v>1254</v>
      </c>
      <c r="B7" s="413">
        <v>498754621</v>
      </c>
      <c r="C7" s="413">
        <v>498754621</v>
      </c>
      <c r="D7" s="413">
        <v>515752491</v>
      </c>
      <c r="E7" s="413">
        <v>515752491</v>
      </c>
      <c r="F7" s="836">
        <v>515752491</v>
      </c>
      <c r="G7" s="836">
        <v>498754621</v>
      </c>
      <c r="H7" s="836">
        <v>515752491</v>
      </c>
      <c r="I7" s="836">
        <v>498754621</v>
      </c>
    </row>
    <row r="8" spans="1:9" ht="15">
      <c r="A8" s="1080" t="s">
        <v>1255</v>
      </c>
      <c r="B8" s="413">
        <v>103747742</v>
      </c>
      <c r="C8" s="413">
        <v>103747742</v>
      </c>
      <c r="D8" s="413">
        <v>109067076</v>
      </c>
      <c r="E8" s="413">
        <v>109067076</v>
      </c>
      <c r="F8" s="836">
        <v>109067076</v>
      </c>
      <c r="G8" s="836">
        <v>103747742</v>
      </c>
      <c r="H8" s="836">
        <v>109067076</v>
      </c>
      <c r="I8" s="836">
        <v>103747742</v>
      </c>
    </row>
    <row r="9" spans="1:9" ht="15">
      <c r="A9" s="1080" t="s">
        <v>2102</v>
      </c>
      <c r="B9" s="413">
        <v>4679594936</v>
      </c>
      <c r="C9" s="413">
        <v>4679594936</v>
      </c>
      <c r="D9" s="413">
        <v>4712506209</v>
      </c>
      <c r="E9" s="413">
        <v>4712506209</v>
      </c>
      <c r="F9" s="836">
        <v>4663223217</v>
      </c>
      <c r="G9" s="836">
        <v>4630311944</v>
      </c>
      <c r="H9" s="836">
        <v>4663223217</v>
      </c>
      <c r="I9" s="836">
        <v>4630311944</v>
      </c>
    </row>
    <row r="10" spans="1:9" ht="15">
      <c r="A10" s="1080" t="s">
        <v>774</v>
      </c>
      <c r="B10" s="413">
        <v>439588785</v>
      </c>
      <c r="C10" s="413">
        <v>439588785</v>
      </c>
      <c r="D10" s="413">
        <v>460208073</v>
      </c>
      <c r="E10" s="413">
        <v>460208073</v>
      </c>
      <c r="F10" s="836">
        <v>460208073</v>
      </c>
      <c r="G10" s="836">
        <v>439588785</v>
      </c>
      <c r="H10" s="836">
        <v>460208073</v>
      </c>
      <c r="I10" s="836">
        <v>439588785</v>
      </c>
    </row>
    <row r="11" spans="1:9" ht="15">
      <c r="A11" s="1080" t="s">
        <v>1637</v>
      </c>
      <c r="B11" s="413">
        <v>2255178643</v>
      </c>
      <c r="C11" s="413">
        <v>2255178643</v>
      </c>
      <c r="D11" s="413">
        <v>2332990107</v>
      </c>
      <c r="E11" s="413">
        <v>2332990107</v>
      </c>
      <c r="F11" s="836">
        <v>2332990107</v>
      </c>
      <c r="G11" s="836">
        <v>2255178643</v>
      </c>
      <c r="H11" s="836">
        <v>2332990107</v>
      </c>
      <c r="I11" s="836">
        <v>2255178643</v>
      </c>
    </row>
    <row r="12" spans="1:9" ht="15">
      <c r="A12" s="1080" t="s">
        <v>1279</v>
      </c>
      <c r="B12" s="413">
        <v>250262419</v>
      </c>
      <c r="C12" s="413">
        <v>250262419</v>
      </c>
      <c r="D12" s="413">
        <v>266675465</v>
      </c>
      <c r="E12" s="413">
        <v>266675465</v>
      </c>
      <c r="F12" s="836">
        <v>249357345</v>
      </c>
      <c r="G12" s="836">
        <v>232944299</v>
      </c>
      <c r="H12" s="836">
        <v>249357345</v>
      </c>
      <c r="I12" s="836">
        <v>232944299</v>
      </c>
    </row>
    <row r="13" spans="1:9" ht="15">
      <c r="A13" s="1080" t="s">
        <v>369</v>
      </c>
      <c r="B13" s="413">
        <v>291361068</v>
      </c>
      <c r="C13" s="413">
        <v>291361068</v>
      </c>
      <c r="D13" s="413">
        <v>305324064</v>
      </c>
      <c r="E13" s="413">
        <v>305324064</v>
      </c>
      <c r="F13" s="836">
        <v>293012725</v>
      </c>
      <c r="G13" s="836">
        <v>279049729</v>
      </c>
      <c r="H13" s="836">
        <v>293012725</v>
      </c>
      <c r="I13" s="836">
        <v>279049729</v>
      </c>
    </row>
    <row r="14" spans="1:9" ht="15">
      <c r="A14" s="1080" t="s">
        <v>370</v>
      </c>
      <c r="B14" s="413">
        <v>101499952</v>
      </c>
      <c r="C14" s="413">
        <v>101499952</v>
      </c>
      <c r="D14" s="413">
        <v>106989016</v>
      </c>
      <c r="E14" s="413">
        <v>106989016</v>
      </c>
      <c r="F14" s="836">
        <v>102036794</v>
      </c>
      <c r="G14" s="836">
        <v>96547730</v>
      </c>
      <c r="H14" s="836">
        <v>102036794</v>
      </c>
      <c r="I14" s="836">
        <v>96547730</v>
      </c>
    </row>
    <row r="15" spans="1:9" ht="15">
      <c r="A15" s="1080" t="s">
        <v>371</v>
      </c>
      <c r="B15" s="413">
        <v>255465795</v>
      </c>
      <c r="C15" s="413">
        <v>255465795</v>
      </c>
      <c r="D15" s="413">
        <v>271378651</v>
      </c>
      <c r="E15" s="413">
        <v>271378651</v>
      </c>
      <c r="F15" s="836">
        <v>271378651</v>
      </c>
      <c r="G15" s="836">
        <v>255465795</v>
      </c>
      <c r="H15" s="836">
        <v>271378651</v>
      </c>
      <c r="I15" s="836">
        <v>255465795</v>
      </c>
    </row>
    <row r="16" spans="1:9" ht="15">
      <c r="A16" s="1080" t="s">
        <v>2839</v>
      </c>
      <c r="B16" s="413">
        <v>2687249051</v>
      </c>
      <c r="C16" s="413">
        <v>2687249051</v>
      </c>
      <c r="D16" s="413">
        <v>2737731657</v>
      </c>
      <c r="E16" s="413">
        <v>2737731657</v>
      </c>
      <c r="F16" s="836">
        <v>2737731657</v>
      </c>
      <c r="G16" s="836">
        <v>2687249051</v>
      </c>
      <c r="H16" s="836">
        <v>2737731657</v>
      </c>
      <c r="I16" s="836">
        <v>2687249051</v>
      </c>
    </row>
    <row r="17" spans="1:9" ht="15">
      <c r="A17" s="1080" t="s">
        <v>2840</v>
      </c>
      <c r="B17" s="413">
        <v>249094432</v>
      </c>
      <c r="C17" s="413">
        <v>471112612</v>
      </c>
      <c r="D17" s="413">
        <v>255620242</v>
      </c>
      <c r="E17" s="413">
        <v>477638422</v>
      </c>
      <c r="F17" s="836">
        <v>255620242</v>
      </c>
      <c r="G17" s="836">
        <v>249094432</v>
      </c>
      <c r="H17" s="836">
        <v>477638422</v>
      </c>
      <c r="I17" s="836">
        <v>471112612</v>
      </c>
    </row>
    <row r="18" spans="1:9" ht="15">
      <c r="A18" s="1080" t="s">
        <v>2841</v>
      </c>
      <c r="B18" s="413">
        <v>309774588</v>
      </c>
      <c r="C18" s="413">
        <v>309774588</v>
      </c>
      <c r="D18" s="413">
        <v>321367075</v>
      </c>
      <c r="E18" s="413">
        <v>321367075</v>
      </c>
      <c r="F18" s="836">
        <v>321367075</v>
      </c>
      <c r="G18" s="836">
        <v>309774588</v>
      </c>
      <c r="H18" s="836">
        <v>321367075</v>
      </c>
      <c r="I18" s="836">
        <v>309774588</v>
      </c>
    </row>
    <row r="19" spans="1:9" ht="15">
      <c r="A19" s="1080" t="s">
        <v>2219</v>
      </c>
      <c r="B19" s="413">
        <v>90322317</v>
      </c>
      <c r="C19" s="413">
        <v>90322317</v>
      </c>
      <c r="D19" s="413">
        <v>93803147</v>
      </c>
      <c r="E19" s="413">
        <v>93803147</v>
      </c>
      <c r="F19" s="836">
        <v>93803147</v>
      </c>
      <c r="G19" s="836">
        <v>90322317</v>
      </c>
      <c r="H19" s="836">
        <v>93803147</v>
      </c>
      <c r="I19" s="836">
        <v>90322317</v>
      </c>
    </row>
    <row r="20" spans="1:9" ht="15">
      <c r="A20" s="1080" t="s">
        <v>2843</v>
      </c>
      <c r="B20" s="413">
        <v>147219282</v>
      </c>
      <c r="C20" s="413">
        <v>147219282</v>
      </c>
      <c r="D20" s="413">
        <v>152070192</v>
      </c>
      <c r="E20" s="413">
        <v>152070192</v>
      </c>
      <c r="F20" s="836">
        <v>152070192</v>
      </c>
      <c r="G20" s="836">
        <v>147219282</v>
      </c>
      <c r="H20" s="836">
        <v>152070192</v>
      </c>
      <c r="I20" s="836">
        <v>147219282</v>
      </c>
    </row>
    <row r="21" spans="1:9" ht="15">
      <c r="A21" s="1080" t="s">
        <v>806</v>
      </c>
      <c r="B21" s="413">
        <v>318710315</v>
      </c>
      <c r="C21" s="413">
        <v>318710315</v>
      </c>
      <c r="D21" s="413">
        <v>322286288</v>
      </c>
      <c r="E21" s="413">
        <v>322286288</v>
      </c>
      <c r="F21" s="836">
        <v>322286288</v>
      </c>
      <c r="G21" s="836">
        <v>318710315</v>
      </c>
      <c r="H21" s="836">
        <v>322286288</v>
      </c>
      <c r="I21" s="836">
        <v>318710315</v>
      </c>
    </row>
    <row r="22" spans="1:9" ht="15">
      <c r="A22" s="1080" t="s">
        <v>2844</v>
      </c>
      <c r="B22" s="413">
        <v>858587070</v>
      </c>
      <c r="C22" s="413">
        <v>858587070</v>
      </c>
      <c r="D22" s="413">
        <v>869220233</v>
      </c>
      <c r="E22" s="413">
        <v>869220233</v>
      </c>
      <c r="F22" s="836">
        <v>869220233</v>
      </c>
      <c r="G22" s="836">
        <v>858587070</v>
      </c>
      <c r="H22" s="836">
        <v>869220233</v>
      </c>
      <c r="I22" s="836">
        <v>858587070</v>
      </c>
    </row>
    <row r="23" spans="1:9" ht="15">
      <c r="A23" s="1080" t="s">
        <v>2388</v>
      </c>
      <c r="B23" s="413">
        <v>260111334</v>
      </c>
      <c r="C23" s="413">
        <v>260111334</v>
      </c>
      <c r="D23" s="413">
        <v>272956269</v>
      </c>
      <c r="E23" s="413">
        <v>272956269</v>
      </c>
      <c r="F23" s="836">
        <v>272956269</v>
      </c>
      <c r="G23" s="836">
        <v>260111334</v>
      </c>
      <c r="H23" s="836">
        <v>272956269</v>
      </c>
      <c r="I23" s="836">
        <v>260111334</v>
      </c>
    </row>
    <row r="24" spans="1:9" ht="15">
      <c r="A24" s="1080" t="s">
        <v>241</v>
      </c>
      <c r="B24" s="413">
        <v>2016396281</v>
      </c>
      <c r="C24" s="413">
        <v>2016396281</v>
      </c>
      <c r="D24" s="413">
        <v>2047941016</v>
      </c>
      <c r="E24" s="413">
        <v>2047941016</v>
      </c>
      <c r="F24" s="836">
        <v>2047941016</v>
      </c>
      <c r="G24" s="836">
        <v>2016396281</v>
      </c>
      <c r="H24" s="836">
        <v>2047941016</v>
      </c>
      <c r="I24" s="836">
        <v>2016396281</v>
      </c>
    </row>
    <row r="25" spans="1:9" ht="15">
      <c r="A25" s="1080" t="s">
        <v>2447</v>
      </c>
      <c r="B25" s="413">
        <v>234601853</v>
      </c>
      <c r="C25" s="413">
        <v>234601853</v>
      </c>
      <c r="D25" s="413">
        <v>248202408</v>
      </c>
      <c r="E25" s="413">
        <v>248202408</v>
      </c>
      <c r="F25" s="836">
        <v>248202408</v>
      </c>
      <c r="G25" s="836">
        <v>234601853</v>
      </c>
      <c r="H25" s="836">
        <v>248202408</v>
      </c>
      <c r="I25" s="836">
        <v>234601853</v>
      </c>
    </row>
    <row r="26" spans="1:9" ht="15">
      <c r="A26" s="1080" t="s">
        <v>2845</v>
      </c>
      <c r="B26" s="413">
        <v>1057690814</v>
      </c>
      <c r="C26" s="413">
        <v>1057690814</v>
      </c>
      <c r="D26" s="413">
        <v>1088907147</v>
      </c>
      <c r="E26" s="413">
        <v>1088907147</v>
      </c>
      <c r="F26" s="836">
        <v>1088907147</v>
      </c>
      <c r="G26" s="836">
        <v>1057690814</v>
      </c>
      <c r="H26" s="836">
        <v>1088907147</v>
      </c>
      <c r="I26" s="836">
        <v>1057690814</v>
      </c>
    </row>
    <row r="27" spans="1:9" ht="15">
      <c r="A27" s="1080" t="s">
        <v>783</v>
      </c>
      <c r="B27" s="413">
        <v>1121080881</v>
      </c>
      <c r="C27" s="413">
        <v>1121080881</v>
      </c>
      <c r="D27" s="413">
        <v>1148191140</v>
      </c>
      <c r="E27" s="413">
        <v>1148191140</v>
      </c>
      <c r="F27" s="836">
        <v>1100258519</v>
      </c>
      <c r="G27" s="836">
        <v>1073148260</v>
      </c>
      <c r="H27" s="836">
        <v>1100258519</v>
      </c>
      <c r="I27" s="836">
        <v>1073148260</v>
      </c>
    </row>
    <row r="28" spans="1:9" ht="15">
      <c r="A28" s="1080" t="s">
        <v>784</v>
      </c>
      <c r="B28" s="413">
        <v>278171133</v>
      </c>
      <c r="C28" s="413">
        <v>278171133</v>
      </c>
      <c r="D28" s="413">
        <v>286836253</v>
      </c>
      <c r="E28" s="413">
        <v>286836253</v>
      </c>
      <c r="F28" s="836">
        <v>283597675</v>
      </c>
      <c r="G28" s="836">
        <v>274932555</v>
      </c>
      <c r="H28" s="836">
        <v>283597675</v>
      </c>
      <c r="I28" s="836">
        <v>274932555</v>
      </c>
    </row>
    <row r="29" spans="1:9" ht="15">
      <c r="A29" s="1080" t="s">
        <v>785</v>
      </c>
      <c r="B29" s="413">
        <v>254733327</v>
      </c>
      <c r="C29" s="413">
        <v>254733327</v>
      </c>
      <c r="D29" s="413">
        <v>263817023</v>
      </c>
      <c r="E29" s="413">
        <v>263817023</v>
      </c>
      <c r="F29" s="836">
        <v>263817023</v>
      </c>
      <c r="G29" s="836">
        <v>254733327</v>
      </c>
      <c r="H29" s="836">
        <v>263817023</v>
      </c>
      <c r="I29" s="836">
        <v>254733327</v>
      </c>
    </row>
    <row r="30" spans="1:9" ht="15">
      <c r="A30" s="1080" t="s">
        <v>216</v>
      </c>
      <c r="B30" s="413">
        <v>227543136</v>
      </c>
      <c r="C30" s="413">
        <v>227543136</v>
      </c>
      <c r="D30" s="413">
        <v>232622207</v>
      </c>
      <c r="E30" s="413">
        <v>232622207</v>
      </c>
      <c r="F30" s="836">
        <v>232622207</v>
      </c>
      <c r="G30" s="836">
        <v>227543136</v>
      </c>
      <c r="H30" s="836">
        <v>232622207</v>
      </c>
      <c r="I30" s="836">
        <v>227543136</v>
      </c>
    </row>
    <row r="31" spans="1:9" ht="15">
      <c r="A31" s="1080" t="s">
        <v>2220</v>
      </c>
      <c r="B31" s="413">
        <v>1394058004</v>
      </c>
      <c r="C31" s="413">
        <v>1394058004</v>
      </c>
      <c r="D31" s="413">
        <v>1440662274</v>
      </c>
      <c r="E31" s="413">
        <v>1440662274</v>
      </c>
      <c r="F31" s="836">
        <v>1440662274</v>
      </c>
      <c r="G31" s="836">
        <v>1394058004</v>
      </c>
      <c r="H31" s="836">
        <v>1440662274</v>
      </c>
      <c r="I31" s="836">
        <v>1394058004</v>
      </c>
    </row>
    <row r="32" spans="1:9" ht="15">
      <c r="A32" s="1080" t="s">
        <v>1896</v>
      </c>
      <c r="B32" s="413">
        <v>3112386492</v>
      </c>
      <c r="C32" s="413">
        <v>3112386492</v>
      </c>
      <c r="D32" s="413">
        <v>3195989502</v>
      </c>
      <c r="E32" s="413">
        <v>3195989502</v>
      </c>
      <c r="F32" s="836">
        <v>3195989502</v>
      </c>
      <c r="G32" s="836">
        <v>3112386492</v>
      </c>
      <c r="H32" s="836">
        <v>3195989502</v>
      </c>
      <c r="I32" s="836">
        <v>3112386492</v>
      </c>
    </row>
    <row r="33" spans="1:9" ht="15">
      <c r="A33" s="1080" t="s">
        <v>876</v>
      </c>
      <c r="B33" s="413">
        <v>947768473</v>
      </c>
      <c r="C33" s="413">
        <v>947768473</v>
      </c>
      <c r="D33" s="413">
        <v>985345878</v>
      </c>
      <c r="E33" s="413">
        <v>985345878</v>
      </c>
      <c r="F33" s="836">
        <v>985345878</v>
      </c>
      <c r="G33" s="836">
        <v>947768473</v>
      </c>
      <c r="H33" s="836">
        <v>985345878</v>
      </c>
      <c r="I33" s="836">
        <v>947768473</v>
      </c>
    </row>
    <row r="34" spans="1:9" ht="15">
      <c r="A34" s="1080" t="s">
        <v>2710</v>
      </c>
      <c r="B34" s="413">
        <v>614436288</v>
      </c>
      <c r="C34" s="413">
        <v>614436288</v>
      </c>
      <c r="D34" s="413">
        <v>637717115</v>
      </c>
      <c r="E34" s="413">
        <v>637717115</v>
      </c>
      <c r="F34" s="836">
        <v>637717115</v>
      </c>
      <c r="G34" s="836">
        <v>614436288</v>
      </c>
      <c r="H34" s="836">
        <v>637717115</v>
      </c>
      <c r="I34" s="836">
        <v>614436288</v>
      </c>
    </row>
    <row r="35" spans="1:9" ht="15">
      <c r="A35" s="1080" t="s">
        <v>2448</v>
      </c>
      <c r="B35" s="413">
        <v>68182532</v>
      </c>
      <c r="C35" s="413">
        <v>68182532</v>
      </c>
      <c r="D35" s="413">
        <v>71045704</v>
      </c>
      <c r="E35" s="413">
        <v>71045704</v>
      </c>
      <c r="F35" s="836">
        <v>71045704</v>
      </c>
      <c r="G35" s="836">
        <v>68182532</v>
      </c>
      <c r="H35" s="836">
        <v>71045704</v>
      </c>
      <c r="I35" s="836">
        <v>68182532</v>
      </c>
    </row>
    <row r="36" spans="1:9" ht="15">
      <c r="A36" s="1080" t="s">
        <v>492</v>
      </c>
      <c r="B36" s="413">
        <v>286281387</v>
      </c>
      <c r="C36" s="413">
        <v>286281387</v>
      </c>
      <c r="D36" s="413">
        <v>293825677</v>
      </c>
      <c r="E36" s="413">
        <v>293825677</v>
      </c>
      <c r="F36" s="836">
        <v>293825677</v>
      </c>
      <c r="G36" s="836">
        <v>286281387</v>
      </c>
      <c r="H36" s="836">
        <v>293825677</v>
      </c>
      <c r="I36" s="836">
        <v>286281387</v>
      </c>
    </row>
    <row r="37" spans="1:9" ht="15">
      <c r="A37" s="1080" t="s">
        <v>2711</v>
      </c>
      <c r="B37" s="413">
        <v>763827152</v>
      </c>
      <c r="C37" s="413">
        <v>763827152</v>
      </c>
      <c r="D37" s="413">
        <v>796193692</v>
      </c>
      <c r="E37" s="413">
        <v>796193692</v>
      </c>
      <c r="F37" s="836">
        <v>796193692</v>
      </c>
      <c r="G37" s="836">
        <v>763827152</v>
      </c>
      <c r="H37" s="836">
        <v>796193692</v>
      </c>
      <c r="I37" s="836">
        <v>763827152</v>
      </c>
    </row>
    <row r="38" spans="1:9" ht="15">
      <c r="A38" s="1080" t="s">
        <v>3048</v>
      </c>
      <c r="B38" s="413">
        <v>501154122</v>
      </c>
      <c r="C38" s="413">
        <v>501154122</v>
      </c>
      <c r="D38" s="413">
        <v>502712072</v>
      </c>
      <c r="E38" s="413">
        <v>502712072</v>
      </c>
      <c r="F38" s="836">
        <v>501218664</v>
      </c>
      <c r="G38" s="836">
        <v>499660714</v>
      </c>
      <c r="H38" s="836">
        <v>501218664</v>
      </c>
      <c r="I38" s="836">
        <v>499660714</v>
      </c>
    </row>
    <row r="39" spans="1:9" ht="15">
      <c r="A39" s="1080" t="s">
        <v>3049</v>
      </c>
      <c r="B39" s="413">
        <v>543733997</v>
      </c>
      <c r="C39" s="413">
        <v>612261997</v>
      </c>
      <c r="D39" s="413">
        <v>547047232</v>
      </c>
      <c r="E39" s="413">
        <v>615575232</v>
      </c>
      <c r="F39" s="836">
        <v>547047232</v>
      </c>
      <c r="G39" s="836">
        <v>543733997</v>
      </c>
      <c r="H39" s="836">
        <v>615575232</v>
      </c>
      <c r="I39" s="836">
        <v>612261997</v>
      </c>
    </row>
    <row r="40" spans="1:9" ht="15">
      <c r="A40" s="1080" t="s">
        <v>1313</v>
      </c>
      <c r="B40" s="413">
        <v>157726811</v>
      </c>
      <c r="C40" s="413">
        <v>157726811</v>
      </c>
      <c r="D40" s="413">
        <v>162557891</v>
      </c>
      <c r="E40" s="413">
        <v>162557891</v>
      </c>
      <c r="F40" s="836">
        <v>162557891</v>
      </c>
      <c r="G40" s="836">
        <v>157726811</v>
      </c>
      <c r="H40" s="836">
        <v>162557891</v>
      </c>
      <c r="I40" s="836">
        <v>157726811</v>
      </c>
    </row>
    <row r="41" spans="1:9" ht="15">
      <c r="A41" s="1080" t="s">
        <v>2449</v>
      </c>
      <c r="B41" s="413">
        <v>312766646</v>
      </c>
      <c r="C41" s="413">
        <v>312766646</v>
      </c>
      <c r="D41" s="413">
        <v>327337458</v>
      </c>
      <c r="E41" s="413">
        <v>327337458</v>
      </c>
      <c r="F41" s="836">
        <v>327337458</v>
      </c>
      <c r="G41" s="836">
        <v>312766646</v>
      </c>
      <c r="H41" s="836">
        <v>327337458</v>
      </c>
      <c r="I41" s="836">
        <v>312766646</v>
      </c>
    </row>
    <row r="42" spans="1:9" ht="15">
      <c r="A42" s="1080" t="s">
        <v>1895</v>
      </c>
      <c r="B42" s="413">
        <v>99552753</v>
      </c>
      <c r="C42" s="413">
        <v>99552753</v>
      </c>
      <c r="D42" s="413">
        <v>104218654</v>
      </c>
      <c r="E42" s="413">
        <v>104218654</v>
      </c>
      <c r="F42" s="836">
        <v>104218654</v>
      </c>
      <c r="G42" s="836">
        <v>99552753</v>
      </c>
      <c r="H42" s="836">
        <v>104218654</v>
      </c>
      <c r="I42" s="836">
        <v>99552753</v>
      </c>
    </row>
    <row r="43" spans="1:9" ht="15">
      <c r="A43" s="1080" t="s">
        <v>1898</v>
      </c>
      <c r="B43" s="413">
        <v>2462026695</v>
      </c>
      <c r="C43" s="413">
        <v>2462026695</v>
      </c>
      <c r="D43" s="413">
        <v>2563559455</v>
      </c>
      <c r="E43" s="413">
        <v>2563559455</v>
      </c>
      <c r="F43" s="836">
        <v>2563559455</v>
      </c>
      <c r="G43" s="836">
        <v>2462026695</v>
      </c>
      <c r="H43" s="836">
        <v>2563559455</v>
      </c>
      <c r="I43" s="836">
        <v>2462026695</v>
      </c>
    </row>
    <row r="44" spans="1:9" ht="15">
      <c r="A44" s="1080" t="s">
        <v>198</v>
      </c>
      <c r="B44" s="413">
        <v>97087547</v>
      </c>
      <c r="C44" s="413">
        <v>97087547</v>
      </c>
      <c r="D44" s="413">
        <v>102340320</v>
      </c>
      <c r="E44" s="413">
        <v>102340320</v>
      </c>
      <c r="F44" s="836">
        <v>102340320</v>
      </c>
      <c r="G44" s="836">
        <v>97087547</v>
      </c>
      <c r="H44" s="836">
        <v>102340320</v>
      </c>
      <c r="I44" s="836">
        <v>97087547</v>
      </c>
    </row>
    <row r="45" spans="1:9" ht="15">
      <c r="A45" s="1080" t="s">
        <v>60</v>
      </c>
      <c r="B45" s="413">
        <v>6823211132</v>
      </c>
      <c r="C45" s="413">
        <v>6823211132</v>
      </c>
      <c r="D45" s="413">
        <v>7090274530</v>
      </c>
      <c r="E45" s="413">
        <v>7090274530</v>
      </c>
      <c r="F45" s="836">
        <v>7090274530</v>
      </c>
      <c r="G45" s="836">
        <v>6823211132</v>
      </c>
      <c r="H45" s="836">
        <v>7090274530</v>
      </c>
      <c r="I45" s="836">
        <v>6823211132</v>
      </c>
    </row>
    <row r="46" spans="1:9" ht="15">
      <c r="A46" s="1080" t="s">
        <v>192</v>
      </c>
      <c r="B46" s="413">
        <v>161620667</v>
      </c>
      <c r="C46" s="413">
        <v>161620667</v>
      </c>
      <c r="D46" s="413">
        <v>170122466</v>
      </c>
      <c r="E46" s="413">
        <v>170122466</v>
      </c>
      <c r="F46" s="836">
        <v>170122466</v>
      </c>
      <c r="G46" s="836">
        <v>161620667</v>
      </c>
      <c r="H46" s="836">
        <v>170122466</v>
      </c>
      <c r="I46" s="836">
        <v>161620667</v>
      </c>
    </row>
    <row r="47" spans="1:9" ht="15">
      <c r="A47" s="1080" t="s">
        <v>1487</v>
      </c>
      <c r="B47" s="413">
        <v>694491697</v>
      </c>
      <c r="C47" s="413">
        <v>694491697</v>
      </c>
      <c r="D47" s="413">
        <v>715428061</v>
      </c>
      <c r="E47" s="413">
        <v>715428061</v>
      </c>
      <c r="F47" s="836">
        <v>715428061</v>
      </c>
      <c r="G47" s="836">
        <v>694491697</v>
      </c>
      <c r="H47" s="836">
        <v>715428061</v>
      </c>
      <c r="I47" s="836">
        <v>694491697</v>
      </c>
    </row>
    <row r="48" spans="1:9" ht="15">
      <c r="A48" s="1080" t="s">
        <v>1707</v>
      </c>
      <c r="B48" s="413">
        <v>2896936275</v>
      </c>
      <c r="C48" s="413">
        <v>2896936275</v>
      </c>
      <c r="D48" s="413">
        <v>2991258826</v>
      </c>
      <c r="E48" s="413">
        <v>2991258826</v>
      </c>
      <c r="F48" s="836">
        <v>2991258826</v>
      </c>
      <c r="G48" s="836">
        <v>2896936275</v>
      </c>
      <c r="H48" s="836">
        <v>2991258826</v>
      </c>
      <c r="I48" s="836">
        <v>2896936275</v>
      </c>
    </row>
    <row r="49" spans="1:9" ht="15">
      <c r="A49" s="1080" t="s">
        <v>1712</v>
      </c>
      <c r="B49" s="413">
        <v>287762312</v>
      </c>
      <c r="C49" s="413">
        <v>287762312</v>
      </c>
      <c r="D49" s="413">
        <v>301061523</v>
      </c>
      <c r="E49" s="413">
        <v>301061523</v>
      </c>
      <c r="F49" s="836">
        <v>301061523</v>
      </c>
      <c r="G49" s="836">
        <v>287762312</v>
      </c>
      <c r="H49" s="836">
        <v>301061523</v>
      </c>
      <c r="I49" s="836">
        <v>287762312</v>
      </c>
    </row>
    <row r="50" spans="1:9" ht="15">
      <c r="A50" s="1080" t="s">
        <v>463</v>
      </c>
      <c r="B50" s="413">
        <v>5984429783</v>
      </c>
      <c r="C50" s="413">
        <v>5984429783</v>
      </c>
      <c r="D50" s="413">
        <v>6053653731</v>
      </c>
      <c r="E50" s="413">
        <v>6053653731</v>
      </c>
      <c r="F50" s="836">
        <v>6053653731</v>
      </c>
      <c r="G50" s="836">
        <v>5984429783</v>
      </c>
      <c r="H50" s="836">
        <v>6053653731</v>
      </c>
      <c r="I50" s="836">
        <v>5984429783</v>
      </c>
    </row>
    <row r="51" spans="1:9" ht="15">
      <c r="A51" s="1080" t="s">
        <v>2125</v>
      </c>
      <c r="B51" s="413">
        <v>1289132503</v>
      </c>
      <c r="C51" s="413">
        <v>1289132503</v>
      </c>
      <c r="D51" s="413">
        <v>1388466660</v>
      </c>
      <c r="E51" s="413">
        <v>1388466660</v>
      </c>
      <c r="F51" s="836">
        <v>1388466660</v>
      </c>
      <c r="G51" s="836">
        <v>1289132503</v>
      </c>
      <c r="H51" s="836">
        <v>1388466660</v>
      </c>
      <c r="I51" s="836">
        <v>1289132503</v>
      </c>
    </row>
    <row r="52" spans="1:9" ht="15">
      <c r="A52" s="1080" t="s">
        <v>874</v>
      </c>
      <c r="B52" s="413">
        <v>1071254910</v>
      </c>
      <c r="C52" s="413">
        <v>1071254910</v>
      </c>
      <c r="D52" s="413">
        <v>1154510364</v>
      </c>
      <c r="E52" s="413">
        <v>1154510364</v>
      </c>
      <c r="F52" s="836">
        <v>1154510364</v>
      </c>
      <c r="G52" s="836">
        <v>1071254910</v>
      </c>
      <c r="H52" s="836">
        <v>1154510364</v>
      </c>
      <c r="I52" s="836">
        <v>1071254910</v>
      </c>
    </row>
    <row r="53" spans="1:9" ht="15">
      <c r="A53" s="1080" t="s">
        <v>1489</v>
      </c>
      <c r="B53" s="413">
        <v>14358452226</v>
      </c>
      <c r="C53" s="413">
        <v>14358452226</v>
      </c>
      <c r="D53" s="413">
        <v>14796358523</v>
      </c>
      <c r="E53" s="413">
        <v>14796358523</v>
      </c>
      <c r="F53" s="836">
        <v>14796358523</v>
      </c>
      <c r="G53" s="836">
        <v>14358452226</v>
      </c>
      <c r="H53" s="836">
        <v>14796358523</v>
      </c>
      <c r="I53" s="836">
        <v>14358452226</v>
      </c>
    </row>
    <row r="54" spans="1:9" ht="15">
      <c r="A54" s="1080" t="s">
        <v>1699</v>
      </c>
      <c r="B54" s="413">
        <v>1476061748</v>
      </c>
      <c r="C54" s="413">
        <v>1476061748</v>
      </c>
      <c r="D54" s="413">
        <v>1537414184</v>
      </c>
      <c r="E54" s="413">
        <v>1537414184</v>
      </c>
      <c r="F54" s="836">
        <v>1537414184</v>
      </c>
      <c r="G54" s="836">
        <v>1476061748</v>
      </c>
      <c r="H54" s="836">
        <v>1537414184</v>
      </c>
      <c r="I54" s="836">
        <v>1476061748</v>
      </c>
    </row>
    <row r="55" spans="1:9" ht="15">
      <c r="A55" s="1080" t="s">
        <v>1316</v>
      </c>
      <c r="B55" s="413">
        <v>415622032</v>
      </c>
      <c r="C55" s="413">
        <v>415622032</v>
      </c>
      <c r="D55" s="413">
        <v>436853862</v>
      </c>
      <c r="E55" s="413">
        <v>436853862</v>
      </c>
      <c r="F55" s="836">
        <v>436853862</v>
      </c>
      <c r="G55" s="836">
        <v>415622032</v>
      </c>
      <c r="H55" s="836">
        <v>436853862</v>
      </c>
      <c r="I55" s="836">
        <v>415622032</v>
      </c>
    </row>
    <row r="56" spans="1:9" ht="15">
      <c r="A56" s="1080" t="s">
        <v>1587</v>
      </c>
      <c r="B56" s="413">
        <v>33224608777</v>
      </c>
      <c r="C56" s="413">
        <v>33224608777</v>
      </c>
      <c r="D56" s="413">
        <v>34041799639</v>
      </c>
      <c r="E56" s="413">
        <v>34041799639</v>
      </c>
      <c r="F56" s="836">
        <v>34041799639</v>
      </c>
      <c r="G56" s="836">
        <v>33224608777</v>
      </c>
      <c r="H56" s="836">
        <v>34041799639</v>
      </c>
      <c r="I56" s="836">
        <v>33224608777</v>
      </c>
    </row>
    <row r="57" spans="1:9" ht="15">
      <c r="A57" s="1080" t="s">
        <v>871</v>
      </c>
      <c r="B57" s="413">
        <v>3003860341</v>
      </c>
      <c r="C57" s="413">
        <v>3003860341</v>
      </c>
      <c r="D57" s="413">
        <v>3101427233</v>
      </c>
      <c r="E57" s="413">
        <v>3101427233</v>
      </c>
      <c r="F57" s="836">
        <v>3101427233</v>
      </c>
      <c r="G57" s="836">
        <v>3003860341</v>
      </c>
      <c r="H57" s="836">
        <v>3101427233</v>
      </c>
      <c r="I57" s="836">
        <v>3003860341</v>
      </c>
    </row>
    <row r="58" spans="1:9" ht="15">
      <c r="A58" s="1080" t="s">
        <v>807</v>
      </c>
      <c r="B58" s="413">
        <v>2927894752</v>
      </c>
      <c r="C58" s="413">
        <v>2927894752</v>
      </c>
      <c r="D58" s="413">
        <v>3010939294</v>
      </c>
      <c r="E58" s="413">
        <v>3010939294</v>
      </c>
      <c r="F58" s="836">
        <v>3010939294</v>
      </c>
      <c r="G58" s="836">
        <v>2927894752</v>
      </c>
      <c r="H58" s="836">
        <v>3010939294</v>
      </c>
      <c r="I58" s="836">
        <v>2927894752</v>
      </c>
    </row>
    <row r="59" spans="1:9" ht="15">
      <c r="A59" s="1080" t="s">
        <v>1589</v>
      </c>
      <c r="B59" s="413">
        <v>42731947696</v>
      </c>
      <c r="C59" s="413">
        <v>42731947696</v>
      </c>
      <c r="D59" s="413">
        <v>43759766897</v>
      </c>
      <c r="E59" s="413">
        <v>43759766897</v>
      </c>
      <c r="F59" s="836">
        <v>43759766897</v>
      </c>
      <c r="G59" s="836">
        <v>42731947696</v>
      </c>
      <c r="H59" s="836">
        <v>43759766897</v>
      </c>
      <c r="I59" s="836">
        <v>42731947696</v>
      </c>
    </row>
    <row r="60" spans="1:9" ht="15">
      <c r="A60" s="1080" t="s">
        <v>53</v>
      </c>
      <c r="B60" s="413">
        <v>7487013431</v>
      </c>
      <c r="C60" s="413">
        <v>7487013431</v>
      </c>
      <c r="D60" s="413">
        <v>7718460026</v>
      </c>
      <c r="E60" s="413">
        <v>7718460026</v>
      </c>
      <c r="F60" s="836">
        <v>7718460026</v>
      </c>
      <c r="G60" s="836">
        <v>7487013431</v>
      </c>
      <c r="H60" s="836">
        <v>7718460026</v>
      </c>
      <c r="I60" s="836">
        <v>7487013431</v>
      </c>
    </row>
    <row r="61" spans="1:9" ht="15">
      <c r="A61" s="1080" t="s">
        <v>1700</v>
      </c>
      <c r="B61" s="413">
        <v>1420326718</v>
      </c>
      <c r="C61" s="413">
        <v>1420326718</v>
      </c>
      <c r="D61" s="413">
        <v>1452701579</v>
      </c>
      <c r="E61" s="413">
        <v>1452701579</v>
      </c>
      <c r="F61" s="836">
        <v>1452701579</v>
      </c>
      <c r="G61" s="836">
        <v>1420326718</v>
      </c>
      <c r="H61" s="836">
        <v>1452701579</v>
      </c>
      <c r="I61" s="836">
        <v>1420326718</v>
      </c>
    </row>
    <row r="62" spans="1:9" ht="15">
      <c r="A62" s="1080" t="s">
        <v>1377</v>
      </c>
      <c r="B62" s="413">
        <v>660154775</v>
      </c>
      <c r="C62" s="413">
        <v>660154775</v>
      </c>
      <c r="D62" s="413">
        <v>674274952</v>
      </c>
      <c r="E62" s="413">
        <v>674274952</v>
      </c>
      <c r="F62" s="836">
        <v>674274952</v>
      </c>
      <c r="G62" s="836">
        <v>660154775</v>
      </c>
      <c r="H62" s="836">
        <v>674274952</v>
      </c>
      <c r="I62" s="836">
        <v>660154775</v>
      </c>
    </row>
    <row r="63" spans="1:9" ht="15">
      <c r="A63" s="1080" t="s">
        <v>986</v>
      </c>
      <c r="B63" s="413">
        <v>764015673</v>
      </c>
      <c r="C63" s="413">
        <v>764015673</v>
      </c>
      <c r="D63" s="413">
        <v>782148935</v>
      </c>
      <c r="E63" s="413">
        <v>782148935</v>
      </c>
      <c r="F63" s="836">
        <v>782148935</v>
      </c>
      <c r="G63" s="836">
        <v>764015673</v>
      </c>
      <c r="H63" s="836">
        <v>782148935</v>
      </c>
      <c r="I63" s="836">
        <v>764015673</v>
      </c>
    </row>
    <row r="64" spans="1:9" ht="15">
      <c r="A64" s="1080" t="s">
        <v>1378</v>
      </c>
      <c r="B64" s="413">
        <v>781992902</v>
      </c>
      <c r="C64" s="413">
        <v>826692182</v>
      </c>
      <c r="D64" s="413">
        <v>782382102</v>
      </c>
      <c r="E64" s="413">
        <v>827081382</v>
      </c>
      <c r="F64" s="836">
        <v>782122646</v>
      </c>
      <c r="G64" s="836">
        <v>781733446</v>
      </c>
      <c r="H64" s="836">
        <v>826821926</v>
      </c>
      <c r="I64" s="836">
        <v>826432726</v>
      </c>
    </row>
    <row r="65" spans="1:9" ht="15">
      <c r="A65" s="1080" t="s">
        <v>628</v>
      </c>
      <c r="B65" s="413">
        <v>616993526</v>
      </c>
      <c r="C65" s="413">
        <v>616993526</v>
      </c>
      <c r="D65" s="413">
        <v>632408365</v>
      </c>
      <c r="E65" s="413">
        <v>632408365</v>
      </c>
      <c r="F65" s="836">
        <v>632408365</v>
      </c>
      <c r="G65" s="836">
        <v>616993526</v>
      </c>
      <c r="H65" s="836">
        <v>632408365</v>
      </c>
      <c r="I65" s="836">
        <v>616993526</v>
      </c>
    </row>
    <row r="66" spans="1:9" ht="15">
      <c r="A66" s="1080" t="s">
        <v>1379</v>
      </c>
      <c r="B66" s="413">
        <v>158936032</v>
      </c>
      <c r="C66" s="413">
        <v>158936032</v>
      </c>
      <c r="D66" s="413">
        <v>164269961</v>
      </c>
      <c r="E66" s="413">
        <v>164269961</v>
      </c>
      <c r="F66" s="836">
        <v>164269961</v>
      </c>
      <c r="G66" s="836">
        <v>158936032</v>
      </c>
      <c r="H66" s="836">
        <v>164269961</v>
      </c>
      <c r="I66" s="836">
        <v>158936032</v>
      </c>
    </row>
    <row r="67" spans="1:9" ht="15">
      <c r="A67" s="1080" t="s">
        <v>1273</v>
      </c>
      <c r="B67" s="413">
        <v>56831499</v>
      </c>
      <c r="C67" s="413">
        <v>56831499</v>
      </c>
      <c r="D67" s="413">
        <v>58781475</v>
      </c>
      <c r="E67" s="413">
        <v>58781475</v>
      </c>
      <c r="F67" s="836">
        <v>58781475</v>
      </c>
      <c r="G67" s="836">
        <v>56831499</v>
      </c>
      <c r="H67" s="836">
        <v>58781475</v>
      </c>
      <c r="I67" s="836">
        <v>56831499</v>
      </c>
    </row>
    <row r="68" spans="1:9" ht="15">
      <c r="A68" s="1080" t="s">
        <v>1274</v>
      </c>
      <c r="B68" s="413">
        <v>200305128</v>
      </c>
      <c r="C68" s="413">
        <v>200305128</v>
      </c>
      <c r="D68" s="413">
        <v>207988909</v>
      </c>
      <c r="E68" s="413">
        <v>207988909</v>
      </c>
      <c r="F68" s="836">
        <v>207988909</v>
      </c>
      <c r="G68" s="836">
        <v>200305128</v>
      </c>
      <c r="H68" s="836">
        <v>207988909</v>
      </c>
      <c r="I68" s="836">
        <v>200305128</v>
      </c>
    </row>
    <row r="69" spans="1:9" ht="15">
      <c r="A69" s="1080" t="s">
        <v>2174</v>
      </c>
      <c r="B69" s="413">
        <v>74689616</v>
      </c>
      <c r="C69" s="413">
        <v>74689616</v>
      </c>
      <c r="D69" s="413">
        <v>76543680</v>
      </c>
      <c r="E69" s="413">
        <v>76543680</v>
      </c>
      <c r="F69" s="836">
        <v>76543680</v>
      </c>
      <c r="G69" s="836">
        <v>74689616</v>
      </c>
      <c r="H69" s="836">
        <v>76543680</v>
      </c>
      <c r="I69" s="836">
        <v>74689616</v>
      </c>
    </row>
    <row r="70" spans="1:9" ht="15">
      <c r="A70" s="1080" t="s">
        <v>1846</v>
      </c>
      <c r="B70" s="413">
        <v>112515194</v>
      </c>
      <c r="C70" s="413">
        <v>112515194</v>
      </c>
      <c r="D70" s="413">
        <v>114853359</v>
      </c>
      <c r="E70" s="413">
        <v>114853359</v>
      </c>
      <c r="F70" s="836">
        <v>114853359</v>
      </c>
      <c r="G70" s="836">
        <v>112515194</v>
      </c>
      <c r="H70" s="836">
        <v>114853359</v>
      </c>
      <c r="I70" s="836">
        <v>112515194</v>
      </c>
    </row>
    <row r="71" spans="1:9" ht="15">
      <c r="A71" s="1080" t="s">
        <v>1847</v>
      </c>
      <c r="B71" s="413">
        <v>103868870</v>
      </c>
      <c r="C71" s="413">
        <v>103868870</v>
      </c>
      <c r="D71" s="413">
        <v>108191672</v>
      </c>
      <c r="E71" s="413">
        <v>108191672</v>
      </c>
      <c r="F71" s="836">
        <v>108191672</v>
      </c>
      <c r="G71" s="836">
        <v>103868870</v>
      </c>
      <c r="H71" s="836">
        <v>108191672</v>
      </c>
      <c r="I71" s="836">
        <v>103868870</v>
      </c>
    </row>
    <row r="72" spans="1:9" ht="15">
      <c r="A72" s="1080" t="s">
        <v>1848</v>
      </c>
      <c r="B72" s="413">
        <v>75646201</v>
      </c>
      <c r="C72" s="413">
        <v>75646201</v>
      </c>
      <c r="D72" s="413">
        <v>77778612</v>
      </c>
      <c r="E72" s="413">
        <v>77778612</v>
      </c>
      <c r="F72" s="836">
        <v>77778612</v>
      </c>
      <c r="G72" s="836">
        <v>75646201</v>
      </c>
      <c r="H72" s="836">
        <v>77778612</v>
      </c>
      <c r="I72" s="836">
        <v>75646201</v>
      </c>
    </row>
    <row r="73" spans="1:9" ht="15">
      <c r="A73" s="1080" t="s">
        <v>997</v>
      </c>
      <c r="B73" s="413">
        <v>176065920</v>
      </c>
      <c r="C73" s="413">
        <v>176065920</v>
      </c>
      <c r="D73" s="413">
        <v>185962776</v>
      </c>
      <c r="E73" s="413">
        <v>185962776</v>
      </c>
      <c r="F73" s="836">
        <v>185962776</v>
      </c>
      <c r="G73" s="836">
        <v>176065920</v>
      </c>
      <c r="H73" s="836">
        <v>185962776</v>
      </c>
      <c r="I73" s="836">
        <v>176065920</v>
      </c>
    </row>
    <row r="74" spans="1:9" ht="15">
      <c r="A74" s="1080" t="s">
        <v>808</v>
      </c>
      <c r="B74" s="413">
        <v>142183650</v>
      </c>
      <c r="C74" s="413">
        <v>142183650</v>
      </c>
      <c r="D74" s="413">
        <v>150977380</v>
      </c>
      <c r="E74" s="413">
        <v>150977380</v>
      </c>
      <c r="F74" s="836">
        <v>150977380</v>
      </c>
      <c r="G74" s="836">
        <v>142183650</v>
      </c>
      <c r="H74" s="836">
        <v>150977380</v>
      </c>
      <c r="I74" s="836">
        <v>142183650</v>
      </c>
    </row>
    <row r="75" spans="1:9" ht="15">
      <c r="A75" s="1080" t="s">
        <v>2450</v>
      </c>
      <c r="B75" s="413">
        <v>57538250</v>
      </c>
      <c r="C75" s="413">
        <v>57538250</v>
      </c>
      <c r="D75" s="413">
        <v>62263291</v>
      </c>
      <c r="E75" s="413">
        <v>62263291</v>
      </c>
      <c r="F75" s="836">
        <v>62263291</v>
      </c>
      <c r="G75" s="836">
        <v>57538250</v>
      </c>
      <c r="H75" s="836">
        <v>62263291</v>
      </c>
      <c r="I75" s="836">
        <v>57538250</v>
      </c>
    </row>
    <row r="76" spans="1:9" ht="15">
      <c r="A76" s="1080" t="s">
        <v>3034</v>
      </c>
      <c r="B76" s="413">
        <v>353362327</v>
      </c>
      <c r="C76" s="413">
        <v>353362327</v>
      </c>
      <c r="D76" s="413">
        <v>369445894</v>
      </c>
      <c r="E76" s="413">
        <v>369445894</v>
      </c>
      <c r="F76" s="836">
        <v>369445894</v>
      </c>
      <c r="G76" s="836">
        <v>353362327</v>
      </c>
      <c r="H76" s="836">
        <v>369445894</v>
      </c>
      <c r="I76" s="836">
        <v>353362327</v>
      </c>
    </row>
    <row r="77" spans="1:9" ht="15">
      <c r="A77" s="1080" t="s">
        <v>1252</v>
      </c>
      <c r="B77" s="413">
        <v>212597553</v>
      </c>
      <c r="C77" s="413">
        <v>212597553</v>
      </c>
      <c r="D77" s="413">
        <v>224279231</v>
      </c>
      <c r="E77" s="413">
        <v>224279231</v>
      </c>
      <c r="F77" s="836">
        <v>224279231</v>
      </c>
      <c r="G77" s="836">
        <v>212597553</v>
      </c>
      <c r="H77" s="836">
        <v>224279231</v>
      </c>
      <c r="I77" s="836">
        <v>212597553</v>
      </c>
    </row>
    <row r="78" spans="1:9" ht="15">
      <c r="A78" s="1080" t="s">
        <v>1253</v>
      </c>
      <c r="B78" s="413">
        <v>1845468946</v>
      </c>
      <c r="C78" s="413">
        <v>1845468946</v>
      </c>
      <c r="D78" s="413">
        <v>1891973949</v>
      </c>
      <c r="E78" s="413">
        <v>1891973949</v>
      </c>
      <c r="F78" s="836">
        <v>1891973949</v>
      </c>
      <c r="G78" s="836">
        <v>1845468946</v>
      </c>
      <c r="H78" s="836">
        <v>1891973949</v>
      </c>
      <c r="I78" s="836">
        <v>1845468946</v>
      </c>
    </row>
    <row r="79" spans="1:9" ht="15">
      <c r="A79" s="1080" t="s">
        <v>1285</v>
      </c>
      <c r="B79" s="413">
        <v>522643962</v>
      </c>
      <c r="C79" s="413">
        <v>522643962</v>
      </c>
      <c r="D79" s="413">
        <v>545732036</v>
      </c>
      <c r="E79" s="413">
        <v>545732036</v>
      </c>
      <c r="F79" s="836">
        <v>545732036</v>
      </c>
      <c r="G79" s="836">
        <v>522643962</v>
      </c>
      <c r="H79" s="836">
        <v>545732036</v>
      </c>
      <c r="I79" s="836">
        <v>522643962</v>
      </c>
    </row>
    <row r="80" spans="1:9" ht="15">
      <c r="A80" s="1080" t="s">
        <v>2451</v>
      </c>
      <c r="B80" s="413">
        <v>101728913</v>
      </c>
      <c r="C80" s="413">
        <v>101728913</v>
      </c>
      <c r="D80" s="413">
        <v>108200309</v>
      </c>
      <c r="E80" s="413">
        <v>108200309</v>
      </c>
      <c r="F80" s="836">
        <v>108200309</v>
      </c>
      <c r="G80" s="836">
        <v>101728913</v>
      </c>
      <c r="H80" s="836">
        <v>108200309</v>
      </c>
      <c r="I80" s="836">
        <v>101728913</v>
      </c>
    </row>
    <row r="81" spans="1:9" ht="15">
      <c r="A81" s="1080" t="s">
        <v>1110</v>
      </c>
      <c r="B81" s="413">
        <v>18391547</v>
      </c>
      <c r="C81" s="413">
        <v>18391547</v>
      </c>
      <c r="D81" s="413">
        <v>20017453</v>
      </c>
      <c r="E81" s="413">
        <v>20017453</v>
      </c>
      <c r="F81" s="836">
        <v>20017453</v>
      </c>
      <c r="G81" s="836">
        <v>18391547</v>
      </c>
      <c r="H81" s="836">
        <v>20017453</v>
      </c>
      <c r="I81" s="836">
        <v>18391547</v>
      </c>
    </row>
    <row r="82" spans="1:9" ht="15">
      <c r="A82" s="1080" t="s">
        <v>953</v>
      </c>
      <c r="B82" s="413">
        <v>191228502</v>
      </c>
      <c r="C82" s="413">
        <v>191228502</v>
      </c>
      <c r="D82" s="413">
        <v>198052511</v>
      </c>
      <c r="E82" s="413">
        <v>198052511</v>
      </c>
      <c r="F82" s="836">
        <v>198052511</v>
      </c>
      <c r="G82" s="836">
        <v>191228502</v>
      </c>
      <c r="H82" s="836">
        <v>198052511</v>
      </c>
      <c r="I82" s="836">
        <v>191228502</v>
      </c>
    </row>
    <row r="83" spans="1:9" ht="15">
      <c r="A83" s="1080" t="s">
        <v>1286</v>
      </c>
      <c r="B83" s="413">
        <v>856518405</v>
      </c>
      <c r="C83" s="413">
        <v>856518405</v>
      </c>
      <c r="D83" s="413">
        <v>881798176</v>
      </c>
      <c r="E83" s="413">
        <v>881798176</v>
      </c>
      <c r="F83" s="836">
        <v>881798176</v>
      </c>
      <c r="G83" s="836">
        <v>856518405</v>
      </c>
      <c r="H83" s="836">
        <v>881798176</v>
      </c>
      <c r="I83" s="836">
        <v>856518405</v>
      </c>
    </row>
    <row r="84" spans="1:9" ht="15">
      <c r="A84" s="1080" t="s">
        <v>1287</v>
      </c>
      <c r="B84" s="413">
        <v>18613271</v>
      </c>
      <c r="C84" s="413">
        <v>18613271</v>
      </c>
      <c r="D84" s="413">
        <v>20079640</v>
      </c>
      <c r="E84" s="413">
        <v>20079640</v>
      </c>
      <c r="F84" s="836">
        <v>20079640</v>
      </c>
      <c r="G84" s="836">
        <v>18613271</v>
      </c>
      <c r="H84" s="836">
        <v>20079640</v>
      </c>
      <c r="I84" s="836">
        <v>18613271</v>
      </c>
    </row>
    <row r="85" spans="1:9" ht="15">
      <c r="A85" s="1080" t="s">
        <v>954</v>
      </c>
      <c r="B85" s="413">
        <v>39919032</v>
      </c>
      <c r="C85" s="413">
        <v>39919032</v>
      </c>
      <c r="D85" s="413">
        <v>41687440</v>
      </c>
      <c r="E85" s="413">
        <v>41687440</v>
      </c>
      <c r="F85" s="836">
        <v>41687440</v>
      </c>
      <c r="G85" s="836">
        <v>39919032</v>
      </c>
      <c r="H85" s="836">
        <v>41687440</v>
      </c>
      <c r="I85" s="836">
        <v>39919032</v>
      </c>
    </row>
    <row r="86" spans="1:9" ht="15">
      <c r="A86" s="1080" t="s">
        <v>207</v>
      </c>
      <c r="B86" s="413">
        <v>5100366861</v>
      </c>
      <c r="C86" s="413">
        <v>5100366861</v>
      </c>
      <c r="D86" s="413">
        <v>5300345925</v>
      </c>
      <c r="E86" s="413">
        <v>5300345925</v>
      </c>
      <c r="F86" s="836">
        <v>5300345925</v>
      </c>
      <c r="G86" s="836">
        <v>5100366861</v>
      </c>
      <c r="H86" s="836">
        <v>5300345925</v>
      </c>
      <c r="I86" s="836">
        <v>5100366861</v>
      </c>
    </row>
    <row r="87" spans="1:9" ht="15">
      <c r="A87" s="1080" t="s">
        <v>1035</v>
      </c>
      <c r="B87" s="413">
        <v>2400853670</v>
      </c>
      <c r="C87" s="413">
        <v>2400853670</v>
      </c>
      <c r="D87" s="413">
        <v>2464795243</v>
      </c>
      <c r="E87" s="413">
        <v>2464795243</v>
      </c>
      <c r="F87" s="836">
        <v>2464795243</v>
      </c>
      <c r="G87" s="836">
        <v>2400853670</v>
      </c>
      <c r="H87" s="836">
        <v>2464795243</v>
      </c>
      <c r="I87" s="836">
        <v>2400853670</v>
      </c>
    </row>
    <row r="88" spans="1:9" ht="15">
      <c r="A88" s="1080" t="s">
        <v>809</v>
      </c>
      <c r="B88" s="413">
        <v>229360813</v>
      </c>
      <c r="C88" s="413">
        <v>229360813</v>
      </c>
      <c r="D88" s="413">
        <v>238342712</v>
      </c>
      <c r="E88" s="413">
        <v>238342712</v>
      </c>
      <c r="F88" s="836">
        <v>238342712</v>
      </c>
      <c r="G88" s="836">
        <v>229360813</v>
      </c>
      <c r="H88" s="836">
        <v>238342712</v>
      </c>
      <c r="I88" s="836">
        <v>229360813</v>
      </c>
    </row>
    <row r="89" spans="1:9" ht="15">
      <c r="A89" s="1080" t="s">
        <v>1321</v>
      </c>
      <c r="B89" s="413">
        <v>7904068615</v>
      </c>
      <c r="C89" s="413">
        <v>8074849735</v>
      </c>
      <c r="D89" s="413">
        <v>8027505086</v>
      </c>
      <c r="E89" s="413">
        <v>8198286206</v>
      </c>
      <c r="F89" s="836">
        <v>7941263789</v>
      </c>
      <c r="G89" s="836">
        <v>7817827318</v>
      </c>
      <c r="H89" s="836">
        <v>8112044909</v>
      </c>
      <c r="I89" s="836">
        <v>7988608438</v>
      </c>
    </row>
    <row r="90" spans="1:9" ht="15">
      <c r="A90" s="1080" t="s">
        <v>1322</v>
      </c>
      <c r="B90" s="413">
        <v>1846818546</v>
      </c>
      <c r="C90" s="413">
        <v>1846818546</v>
      </c>
      <c r="D90" s="413">
        <v>1870475539</v>
      </c>
      <c r="E90" s="413">
        <v>1870475539</v>
      </c>
      <c r="F90" s="836">
        <v>1842041999</v>
      </c>
      <c r="G90" s="836">
        <v>1818385006</v>
      </c>
      <c r="H90" s="836">
        <v>1842041999</v>
      </c>
      <c r="I90" s="836">
        <v>1818385006</v>
      </c>
    </row>
    <row r="91" spans="1:9" ht="15">
      <c r="A91" s="1080" t="s">
        <v>1616</v>
      </c>
      <c r="B91" s="413">
        <v>939195668</v>
      </c>
      <c r="C91" s="413">
        <v>939195668</v>
      </c>
      <c r="D91" s="413">
        <v>983436549</v>
      </c>
      <c r="E91" s="413">
        <v>983436549</v>
      </c>
      <c r="F91" s="836">
        <v>954603244</v>
      </c>
      <c r="G91" s="836">
        <v>910362363</v>
      </c>
      <c r="H91" s="836">
        <v>954603244</v>
      </c>
      <c r="I91" s="836">
        <v>910362363</v>
      </c>
    </row>
    <row r="92" spans="1:9" ht="15">
      <c r="A92" s="1080" t="s">
        <v>235</v>
      </c>
      <c r="B92" s="413">
        <v>6334851051</v>
      </c>
      <c r="C92" s="413">
        <v>6334851051</v>
      </c>
      <c r="D92" s="413">
        <v>6566314508</v>
      </c>
      <c r="E92" s="413">
        <v>6566314508</v>
      </c>
      <c r="F92" s="836">
        <v>6566314508</v>
      </c>
      <c r="G92" s="836">
        <v>6334851051</v>
      </c>
      <c r="H92" s="836">
        <v>6566314508</v>
      </c>
      <c r="I92" s="836">
        <v>6334851051</v>
      </c>
    </row>
    <row r="93" spans="1:9" ht="15">
      <c r="A93" s="1080" t="s">
        <v>1323</v>
      </c>
      <c r="B93" s="413">
        <v>55551439</v>
      </c>
      <c r="C93" s="413">
        <v>55551439</v>
      </c>
      <c r="D93" s="413">
        <v>57696336</v>
      </c>
      <c r="E93" s="413">
        <v>57696336</v>
      </c>
      <c r="F93" s="836">
        <v>57696336</v>
      </c>
      <c r="G93" s="836">
        <v>55551439</v>
      </c>
      <c r="H93" s="836">
        <v>57696336</v>
      </c>
      <c r="I93" s="836">
        <v>55551439</v>
      </c>
    </row>
    <row r="94" spans="1:9" ht="15">
      <c r="A94" s="1080" t="s">
        <v>631</v>
      </c>
      <c r="B94" s="413">
        <v>7679110158</v>
      </c>
      <c r="C94" s="413">
        <v>7679110158</v>
      </c>
      <c r="D94" s="413">
        <v>7793076856</v>
      </c>
      <c r="E94" s="413">
        <v>7793076856</v>
      </c>
      <c r="F94" s="836">
        <v>7793076856</v>
      </c>
      <c r="G94" s="836">
        <v>7679110158</v>
      </c>
      <c r="H94" s="836">
        <v>7793076856</v>
      </c>
      <c r="I94" s="836">
        <v>7679110158</v>
      </c>
    </row>
    <row r="95" spans="1:9" ht="15">
      <c r="A95" s="1080" t="s">
        <v>994</v>
      </c>
      <c r="B95" s="413">
        <v>6572848371</v>
      </c>
      <c r="C95" s="413">
        <v>6572848371</v>
      </c>
      <c r="D95" s="413">
        <v>6708224212</v>
      </c>
      <c r="E95" s="413">
        <v>6708224212</v>
      </c>
      <c r="F95" s="836">
        <v>6708224212</v>
      </c>
      <c r="G95" s="836">
        <v>6572848371</v>
      </c>
      <c r="H95" s="836">
        <v>6708224212</v>
      </c>
      <c r="I95" s="836">
        <v>6572848371</v>
      </c>
    </row>
    <row r="96" spans="1:9" ht="15">
      <c r="A96" s="1080" t="s">
        <v>2918</v>
      </c>
      <c r="B96" s="413">
        <v>76121495</v>
      </c>
      <c r="C96" s="413">
        <v>76121495</v>
      </c>
      <c r="D96" s="413">
        <v>77504628</v>
      </c>
      <c r="E96" s="413">
        <v>77504628</v>
      </c>
      <c r="F96" s="836">
        <v>77504628</v>
      </c>
      <c r="G96" s="836">
        <v>76121495</v>
      </c>
      <c r="H96" s="836">
        <v>77504628</v>
      </c>
      <c r="I96" s="836">
        <v>76121495</v>
      </c>
    </row>
    <row r="97" spans="1:9" ht="15">
      <c r="A97" s="1080" t="s">
        <v>440</v>
      </c>
      <c r="B97" s="413">
        <v>486382577</v>
      </c>
      <c r="C97" s="413">
        <v>486382577</v>
      </c>
      <c r="D97" s="413">
        <v>504901114</v>
      </c>
      <c r="E97" s="413">
        <v>504901114</v>
      </c>
      <c r="F97" s="836">
        <v>492890104</v>
      </c>
      <c r="G97" s="836">
        <v>474371567</v>
      </c>
      <c r="H97" s="836">
        <v>492890104</v>
      </c>
      <c r="I97" s="836">
        <v>474371567</v>
      </c>
    </row>
    <row r="98" spans="1:9" ht="15">
      <c r="A98" s="1080" t="s">
        <v>441</v>
      </c>
      <c r="B98" s="413">
        <v>82758025</v>
      </c>
      <c r="C98" s="413">
        <v>82758025</v>
      </c>
      <c r="D98" s="413">
        <v>84202608</v>
      </c>
      <c r="E98" s="413">
        <v>84202608</v>
      </c>
      <c r="F98" s="836">
        <v>84202608</v>
      </c>
      <c r="G98" s="836">
        <v>82758025</v>
      </c>
      <c r="H98" s="836">
        <v>84202608</v>
      </c>
      <c r="I98" s="836">
        <v>82758025</v>
      </c>
    </row>
    <row r="99" spans="1:9" ht="15">
      <c r="A99" s="1080" t="s">
        <v>442</v>
      </c>
      <c r="B99" s="413">
        <v>8791921</v>
      </c>
      <c r="C99" s="413">
        <v>8791921</v>
      </c>
      <c r="D99" s="413">
        <v>8801921</v>
      </c>
      <c r="E99" s="413">
        <v>8801921</v>
      </c>
      <c r="F99" s="836">
        <v>8801921</v>
      </c>
      <c r="G99" s="836">
        <v>8791921</v>
      </c>
      <c r="H99" s="836">
        <v>8801921</v>
      </c>
      <c r="I99" s="836">
        <v>8791921</v>
      </c>
    </row>
    <row r="100" spans="1:9" ht="15">
      <c r="A100" s="1080" t="s">
        <v>443</v>
      </c>
      <c r="B100" s="413">
        <v>154628625</v>
      </c>
      <c r="C100" s="413">
        <v>154628625</v>
      </c>
      <c r="D100" s="413">
        <v>156307735</v>
      </c>
      <c r="E100" s="413">
        <v>156307735</v>
      </c>
      <c r="F100" s="836">
        <v>156307735</v>
      </c>
      <c r="G100" s="836">
        <v>154628625</v>
      </c>
      <c r="H100" s="836">
        <v>156307735</v>
      </c>
      <c r="I100" s="836">
        <v>154628625</v>
      </c>
    </row>
    <row r="101" spans="1:9" ht="15">
      <c r="A101" s="1080" t="s">
        <v>745</v>
      </c>
      <c r="B101" s="413">
        <v>610293282</v>
      </c>
      <c r="C101" s="413">
        <v>610293282</v>
      </c>
      <c r="D101" s="413">
        <v>619011940</v>
      </c>
      <c r="E101" s="413">
        <v>619011940</v>
      </c>
      <c r="F101" s="836">
        <v>619011940</v>
      </c>
      <c r="G101" s="836">
        <v>610293282</v>
      </c>
      <c r="H101" s="836">
        <v>619011940</v>
      </c>
      <c r="I101" s="836">
        <v>610293282</v>
      </c>
    </row>
    <row r="102" spans="1:9" ht="15">
      <c r="A102" s="1080" t="s">
        <v>746</v>
      </c>
      <c r="B102" s="413">
        <v>304156079</v>
      </c>
      <c r="C102" s="413">
        <v>304156079</v>
      </c>
      <c r="D102" s="413">
        <v>318644697</v>
      </c>
      <c r="E102" s="413">
        <v>318644697</v>
      </c>
      <c r="F102" s="836">
        <v>318644697</v>
      </c>
      <c r="G102" s="836">
        <v>304156079</v>
      </c>
      <c r="H102" s="836">
        <v>318644697</v>
      </c>
      <c r="I102" s="836">
        <v>304156079</v>
      </c>
    </row>
    <row r="103" spans="1:9" ht="15">
      <c r="A103" s="1080" t="s">
        <v>747</v>
      </c>
      <c r="B103" s="413">
        <v>1261721552</v>
      </c>
      <c r="C103" s="413">
        <v>1261721552</v>
      </c>
      <c r="D103" s="413">
        <v>1300505081</v>
      </c>
      <c r="E103" s="413">
        <v>1300505081</v>
      </c>
      <c r="F103" s="836">
        <v>1300505081</v>
      </c>
      <c r="G103" s="836">
        <v>1261721552</v>
      </c>
      <c r="H103" s="836">
        <v>1300505081</v>
      </c>
      <c r="I103" s="836">
        <v>1261721552</v>
      </c>
    </row>
    <row r="104" spans="1:9" ht="15">
      <c r="A104" s="1080" t="s">
        <v>988</v>
      </c>
      <c r="B104" s="413">
        <v>46075896</v>
      </c>
      <c r="C104" s="413">
        <v>46075896</v>
      </c>
      <c r="D104" s="413">
        <v>48851046</v>
      </c>
      <c r="E104" s="413">
        <v>48851046</v>
      </c>
      <c r="F104" s="836">
        <v>48851046</v>
      </c>
      <c r="G104" s="836">
        <v>46075896</v>
      </c>
      <c r="H104" s="836">
        <v>48851046</v>
      </c>
      <c r="I104" s="836">
        <v>46075896</v>
      </c>
    </row>
    <row r="105" spans="1:9" ht="15">
      <c r="A105" s="1080" t="s">
        <v>2893</v>
      </c>
      <c r="B105" s="413">
        <v>161030554</v>
      </c>
      <c r="C105" s="413">
        <v>161030554</v>
      </c>
      <c r="D105" s="413">
        <v>166311249</v>
      </c>
      <c r="E105" s="413">
        <v>166311249</v>
      </c>
      <c r="F105" s="836">
        <v>166311249</v>
      </c>
      <c r="G105" s="836">
        <v>161030554</v>
      </c>
      <c r="H105" s="836">
        <v>166311249</v>
      </c>
      <c r="I105" s="836">
        <v>161030554</v>
      </c>
    </row>
    <row r="106" spans="1:9" ht="15">
      <c r="A106" s="1080" t="s">
        <v>1354</v>
      </c>
      <c r="B106" s="413">
        <v>43985014</v>
      </c>
      <c r="C106" s="413">
        <v>43985014</v>
      </c>
      <c r="D106" s="413">
        <v>45907231</v>
      </c>
      <c r="E106" s="413">
        <v>45907231</v>
      </c>
      <c r="F106" s="836">
        <v>45907231</v>
      </c>
      <c r="G106" s="836">
        <v>43985014</v>
      </c>
      <c r="H106" s="836">
        <v>45907231</v>
      </c>
      <c r="I106" s="836">
        <v>43985014</v>
      </c>
    </row>
    <row r="107" spans="1:9" ht="15">
      <c r="A107" s="1080" t="s">
        <v>810</v>
      </c>
      <c r="B107" s="413">
        <v>103407489</v>
      </c>
      <c r="C107" s="413">
        <v>103407489</v>
      </c>
      <c r="D107" s="413">
        <v>105669780</v>
      </c>
      <c r="E107" s="413">
        <v>105669780</v>
      </c>
      <c r="F107" s="836">
        <v>105669780</v>
      </c>
      <c r="G107" s="836">
        <v>103407489</v>
      </c>
      <c r="H107" s="836">
        <v>105669780</v>
      </c>
      <c r="I107" s="836">
        <v>103407489</v>
      </c>
    </row>
    <row r="108" spans="1:9" ht="15">
      <c r="A108" s="1080" t="s">
        <v>872</v>
      </c>
      <c r="B108" s="413">
        <v>277680991</v>
      </c>
      <c r="C108" s="413">
        <v>277680991</v>
      </c>
      <c r="D108" s="413">
        <v>289857186</v>
      </c>
      <c r="E108" s="413">
        <v>289857186</v>
      </c>
      <c r="F108" s="836">
        <v>289857186</v>
      </c>
      <c r="G108" s="836">
        <v>277680991</v>
      </c>
      <c r="H108" s="836">
        <v>289857186</v>
      </c>
      <c r="I108" s="836">
        <v>277680991</v>
      </c>
    </row>
    <row r="109" spans="1:9" ht="15">
      <c r="A109" s="1080" t="s">
        <v>748</v>
      </c>
      <c r="B109" s="413">
        <v>910147059</v>
      </c>
      <c r="C109" s="413">
        <v>910147059</v>
      </c>
      <c r="D109" s="413">
        <v>930182696</v>
      </c>
      <c r="E109" s="413">
        <v>930182696</v>
      </c>
      <c r="F109" s="836">
        <v>930182696</v>
      </c>
      <c r="G109" s="836">
        <v>910147059</v>
      </c>
      <c r="H109" s="836">
        <v>930182696</v>
      </c>
      <c r="I109" s="836">
        <v>910147059</v>
      </c>
    </row>
    <row r="110" spans="1:9" ht="15">
      <c r="A110" s="1080" t="s">
        <v>749</v>
      </c>
      <c r="B110" s="413">
        <v>282891452</v>
      </c>
      <c r="C110" s="413">
        <v>282891452</v>
      </c>
      <c r="D110" s="413">
        <v>291868423</v>
      </c>
      <c r="E110" s="413">
        <v>291868423</v>
      </c>
      <c r="F110" s="836">
        <v>291868423</v>
      </c>
      <c r="G110" s="836">
        <v>282891452</v>
      </c>
      <c r="H110" s="836">
        <v>291868423</v>
      </c>
      <c r="I110" s="836">
        <v>282891452</v>
      </c>
    </row>
    <row r="111" spans="1:9" ht="15">
      <c r="A111" s="1080" t="s">
        <v>750</v>
      </c>
      <c r="B111" s="413">
        <v>287889446</v>
      </c>
      <c r="C111" s="413">
        <v>287889446</v>
      </c>
      <c r="D111" s="413">
        <v>292810178</v>
      </c>
      <c r="E111" s="413">
        <v>292810178</v>
      </c>
      <c r="F111" s="836">
        <v>292810178</v>
      </c>
      <c r="G111" s="836">
        <v>287889446</v>
      </c>
      <c r="H111" s="836">
        <v>292810178</v>
      </c>
      <c r="I111" s="836">
        <v>287889446</v>
      </c>
    </row>
    <row r="112" spans="1:9" ht="15">
      <c r="A112" s="1080" t="s">
        <v>2154</v>
      </c>
      <c r="B112" s="413">
        <v>1858616737</v>
      </c>
      <c r="C112" s="413">
        <v>1858616737</v>
      </c>
      <c r="D112" s="413">
        <v>1913202017</v>
      </c>
      <c r="E112" s="413">
        <v>1913202017</v>
      </c>
      <c r="F112" s="836">
        <v>1913202017</v>
      </c>
      <c r="G112" s="836">
        <v>1858616737</v>
      </c>
      <c r="H112" s="836">
        <v>1913202017</v>
      </c>
      <c r="I112" s="836">
        <v>1858616737</v>
      </c>
    </row>
    <row r="113" spans="1:9" ht="15">
      <c r="A113" s="1080" t="s">
        <v>380</v>
      </c>
      <c r="B113" s="413">
        <v>3139000460</v>
      </c>
      <c r="C113" s="413">
        <v>3139000460</v>
      </c>
      <c r="D113" s="413">
        <v>3194667875</v>
      </c>
      <c r="E113" s="413">
        <v>3194667875</v>
      </c>
      <c r="F113" s="836">
        <v>3194667875</v>
      </c>
      <c r="G113" s="836">
        <v>3139000460</v>
      </c>
      <c r="H113" s="836">
        <v>3194667875</v>
      </c>
      <c r="I113" s="836">
        <v>3139000460</v>
      </c>
    </row>
    <row r="114" spans="1:9" ht="15">
      <c r="A114" s="1080" t="s">
        <v>497</v>
      </c>
      <c r="B114" s="413">
        <v>1045026089</v>
      </c>
      <c r="C114" s="413">
        <v>1045026089</v>
      </c>
      <c r="D114" s="413">
        <v>1085266804</v>
      </c>
      <c r="E114" s="413">
        <v>1085266804</v>
      </c>
      <c r="F114" s="836">
        <v>1085266804</v>
      </c>
      <c r="G114" s="836">
        <v>1045026089</v>
      </c>
      <c r="H114" s="836">
        <v>1085266804</v>
      </c>
      <c r="I114" s="836">
        <v>1045026089</v>
      </c>
    </row>
    <row r="115" spans="1:9" ht="15">
      <c r="A115" s="1080" t="s">
        <v>1318</v>
      </c>
      <c r="B115" s="413">
        <v>425409217</v>
      </c>
      <c r="C115" s="413">
        <v>425409217</v>
      </c>
      <c r="D115" s="413">
        <v>437437437</v>
      </c>
      <c r="E115" s="413">
        <v>437437437</v>
      </c>
      <c r="F115" s="836">
        <v>437437437</v>
      </c>
      <c r="G115" s="836">
        <v>425409217</v>
      </c>
      <c r="H115" s="836">
        <v>437437437</v>
      </c>
      <c r="I115" s="836">
        <v>425409217</v>
      </c>
    </row>
    <row r="116" spans="1:9" ht="15">
      <c r="A116" s="1080" t="s">
        <v>2631</v>
      </c>
      <c r="B116" s="413">
        <v>137050375</v>
      </c>
      <c r="C116" s="413">
        <v>137050375</v>
      </c>
      <c r="D116" s="413">
        <v>138987596</v>
      </c>
      <c r="E116" s="413">
        <v>138987596</v>
      </c>
      <c r="F116" s="836">
        <v>138987596</v>
      </c>
      <c r="G116" s="836">
        <v>137050375</v>
      </c>
      <c r="H116" s="836">
        <v>138987596</v>
      </c>
      <c r="I116" s="836">
        <v>137050375</v>
      </c>
    </row>
    <row r="117" spans="1:9" ht="15">
      <c r="A117" s="1080" t="s">
        <v>1535</v>
      </c>
      <c r="B117" s="413">
        <v>3497230348</v>
      </c>
      <c r="C117" s="413">
        <v>3573681048</v>
      </c>
      <c r="D117" s="413">
        <v>3539708577</v>
      </c>
      <c r="E117" s="413">
        <v>3616159277</v>
      </c>
      <c r="F117" s="836">
        <v>3488422862</v>
      </c>
      <c r="G117" s="836">
        <v>3445944633</v>
      </c>
      <c r="H117" s="836">
        <v>3564873562</v>
      </c>
      <c r="I117" s="836">
        <v>3522395333</v>
      </c>
    </row>
    <row r="118" spans="1:9" ht="15">
      <c r="A118" s="1080" t="s">
        <v>2671</v>
      </c>
      <c r="B118" s="413">
        <v>128590950</v>
      </c>
      <c r="C118" s="413">
        <v>128590950</v>
      </c>
      <c r="D118" s="413">
        <v>134840280</v>
      </c>
      <c r="E118" s="413">
        <v>134840280</v>
      </c>
      <c r="F118" s="836">
        <v>134840280</v>
      </c>
      <c r="G118" s="836">
        <v>128590950</v>
      </c>
      <c r="H118" s="836">
        <v>134840280</v>
      </c>
      <c r="I118" s="836">
        <v>128590950</v>
      </c>
    </row>
    <row r="119" spans="1:9" ht="15">
      <c r="A119" s="1080" t="s">
        <v>811</v>
      </c>
      <c r="B119" s="413">
        <v>316040394</v>
      </c>
      <c r="C119" s="413">
        <v>517030070</v>
      </c>
      <c r="D119" s="413">
        <v>334550829</v>
      </c>
      <c r="E119" s="413">
        <v>535540505</v>
      </c>
      <c r="F119" s="836">
        <v>334550829</v>
      </c>
      <c r="G119" s="836">
        <v>316040394</v>
      </c>
      <c r="H119" s="836">
        <v>535540505</v>
      </c>
      <c r="I119" s="836">
        <v>517030070</v>
      </c>
    </row>
    <row r="120" spans="1:9" ht="15">
      <c r="A120" s="1080" t="s">
        <v>171</v>
      </c>
      <c r="B120" s="413">
        <v>163423616</v>
      </c>
      <c r="C120" s="413">
        <v>163423616</v>
      </c>
      <c r="D120" s="413">
        <v>168998126</v>
      </c>
      <c r="E120" s="413">
        <v>168998126</v>
      </c>
      <c r="F120" s="836">
        <v>168998126</v>
      </c>
      <c r="G120" s="836">
        <v>163423616</v>
      </c>
      <c r="H120" s="836">
        <v>168998126</v>
      </c>
      <c r="I120" s="836">
        <v>163423616</v>
      </c>
    </row>
    <row r="121" spans="1:9" ht="15">
      <c r="A121" s="1080" t="s">
        <v>2090</v>
      </c>
      <c r="B121" s="413">
        <v>225930092</v>
      </c>
      <c r="C121" s="413">
        <v>225930092</v>
      </c>
      <c r="D121" s="413">
        <v>231773352</v>
      </c>
      <c r="E121" s="413">
        <v>231773352</v>
      </c>
      <c r="F121" s="836">
        <v>231773352</v>
      </c>
      <c r="G121" s="836">
        <v>225930092</v>
      </c>
      <c r="H121" s="836">
        <v>231773352</v>
      </c>
      <c r="I121" s="836">
        <v>225930092</v>
      </c>
    </row>
    <row r="122" spans="1:9" ht="15">
      <c r="A122" s="1080" t="s">
        <v>993</v>
      </c>
      <c r="B122" s="413">
        <v>5312597749</v>
      </c>
      <c r="C122" s="413">
        <v>5312597749</v>
      </c>
      <c r="D122" s="413">
        <v>5541675711</v>
      </c>
      <c r="E122" s="413">
        <v>5541675711</v>
      </c>
      <c r="F122" s="836">
        <v>5541675711</v>
      </c>
      <c r="G122" s="836">
        <v>5312597749</v>
      </c>
      <c r="H122" s="836">
        <v>5541675711</v>
      </c>
      <c r="I122" s="836">
        <v>5312597749</v>
      </c>
    </row>
    <row r="123" spans="1:9" ht="15">
      <c r="A123" s="1080" t="s">
        <v>2126</v>
      </c>
      <c r="B123" s="413">
        <v>3257604662</v>
      </c>
      <c r="C123" s="413">
        <v>3257604662</v>
      </c>
      <c r="D123" s="413">
        <v>3375603131</v>
      </c>
      <c r="E123" s="413">
        <v>3375603131</v>
      </c>
      <c r="F123" s="836">
        <v>3375603131</v>
      </c>
      <c r="G123" s="836">
        <v>3257604662</v>
      </c>
      <c r="H123" s="836">
        <v>3375603131</v>
      </c>
      <c r="I123" s="836">
        <v>3257604662</v>
      </c>
    </row>
    <row r="124" spans="1:9" ht="15">
      <c r="A124" s="1080" t="s">
        <v>64</v>
      </c>
      <c r="B124" s="413">
        <v>368886103</v>
      </c>
      <c r="C124" s="413">
        <v>368886103</v>
      </c>
      <c r="D124" s="413">
        <v>387048037</v>
      </c>
      <c r="E124" s="413">
        <v>387048037</v>
      </c>
      <c r="F124" s="836">
        <v>387048037</v>
      </c>
      <c r="G124" s="836">
        <v>368886103</v>
      </c>
      <c r="H124" s="836">
        <v>387048037</v>
      </c>
      <c r="I124" s="836">
        <v>368886103</v>
      </c>
    </row>
    <row r="125" spans="1:9" ht="15">
      <c r="A125" s="1080" t="s">
        <v>2606</v>
      </c>
      <c r="B125" s="413">
        <v>1493649270</v>
      </c>
      <c r="C125" s="413">
        <v>1493649270</v>
      </c>
      <c r="D125" s="413">
        <v>1551120900</v>
      </c>
      <c r="E125" s="413">
        <v>1551120900</v>
      </c>
      <c r="F125" s="836">
        <v>1551120900</v>
      </c>
      <c r="G125" s="836">
        <v>1493649270</v>
      </c>
      <c r="H125" s="836">
        <v>1551120900</v>
      </c>
      <c r="I125" s="836">
        <v>1493649270</v>
      </c>
    </row>
    <row r="126" spans="1:9" ht="15">
      <c r="A126" s="1080" t="s">
        <v>1892</v>
      </c>
      <c r="B126" s="413">
        <v>3528572016</v>
      </c>
      <c r="C126" s="413">
        <v>3528572016</v>
      </c>
      <c r="D126" s="413">
        <v>3551496790</v>
      </c>
      <c r="E126" s="413">
        <v>3551496790</v>
      </c>
      <c r="F126" s="836">
        <v>3551496790</v>
      </c>
      <c r="G126" s="836">
        <v>3528572016</v>
      </c>
      <c r="H126" s="836">
        <v>3551496790</v>
      </c>
      <c r="I126" s="836">
        <v>3528572016</v>
      </c>
    </row>
    <row r="127" spans="1:9" ht="15">
      <c r="A127" s="1080" t="s">
        <v>812</v>
      </c>
      <c r="B127" s="413">
        <v>250114447</v>
      </c>
      <c r="C127" s="413">
        <v>292932637</v>
      </c>
      <c r="D127" s="413">
        <v>261751874</v>
      </c>
      <c r="E127" s="413">
        <v>304570064</v>
      </c>
      <c r="F127" s="836">
        <v>261751874</v>
      </c>
      <c r="G127" s="836">
        <v>250114447</v>
      </c>
      <c r="H127" s="836">
        <v>304570064</v>
      </c>
      <c r="I127" s="836">
        <v>292932637</v>
      </c>
    </row>
    <row r="128" spans="1:9" ht="15">
      <c r="A128" s="1080" t="s">
        <v>1490</v>
      </c>
      <c r="B128" s="413">
        <v>885868060</v>
      </c>
      <c r="C128" s="413">
        <v>885868060</v>
      </c>
      <c r="D128" s="413">
        <v>933631603</v>
      </c>
      <c r="E128" s="413">
        <v>933631603</v>
      </c>
      <c r="F128" s="836">
        <v>933631603</v>
      </c>
      <c r="G128" s="836">
        <v>885868060</v>
      </c>
      <c r="H128" s="836">
        <v>933631603</v>
      </c>
      <c r="I128" s="836">
        <v>885868060</v>
      </c>
    </row>
    <row r="129" spans="1:9" ht="15">
      <c r="A129" s="1080" t="s">
        <v>813</v>
      </c>
      <c r="B129" s="413">
        <v>40983432</v>
      </c>
      <c r="C129" s="413">
        <v>40983432</v>
      </c>
      <c r="D129" s="413">
        <v>43108882</v>
      </c>
      <c r="E129" s="413">
        <v>43108882</v>
      </c>
      <c r="F129" s="836">
        <v>43108882</v>
      </c>
      <c r="G129" s="836">
        <v>40983432</v>
      </c>
      <c r="H129" s="836">
        <v>43108882</v>
      </c>
      <c r="I129" s="836">
        <v>40983432</v>
      </c>
    </row>
    <row r="130" spans="1:9" ht="15">
      <c r="A130" s="1080" t="s">
        <v>534</v>
      </c>
      <c r="B130" s="413">
        <v>76723657</v>
      </c>
      <c r="C130" s="413">
        <v>76723657</v>
      </c>
      <c r="D130" s="413">
        <v>82222997</v>
      </c>
      <c r="E130" s="413">
        <v>82222997</v>
      </c>
      <c r="F130" s="836">
        <v>82222997</v>
      </c>
      <c r="G130" s="836">
        <v>76723657</v>
      </c>
      <c r="H130" s="836">
        <v>82222997</v>
      </c>
      <c r="I130" s="836">
        <v>76723657</v>
      </c>
    </row>
    <row r="131" spans="1:9" ht="15">
      <c r="A131" s="1080" t="s">
        <v>1050</v>
      </c>
      <c r="B131" s="413">
        <v>684381574</v>
      </c>
      <c r="C131" s="413">
        <v>684381574</v>
      </c>
      <c r="D131" s="413">
        <v>709189600</v>
      </c>
      <c r="E131" s="413">
        <v>709189600</v>
      </c>
      <c r="F131" s="836">
        <v>709189600</v>
      </c>
      <c r="G131" s="836">
        <v>684381574</v>
      </c>
      <c r="H131" s="836">
        <v>709189600</v>
      </c>
      <c r="I131" s="836">
        <v>684381574</v>
      </c>
    </row>
    <row r="132" spans="1:9" ht="15">
      <c r="A132" s="1080" t="s">
        <v>1051</v>
      </c>
      <c r="B132" s="413">
        <v>361766760</v>
      </c>
      <c r="C132" s="413">
        <v>361766760</v>
      </c>
      <c r="D132" s="413">
        <v>363741438</v>
      </c>
      <c r="E132" s="413">
        <v>363741438</v>
      </c>
      <c r="F132" s="836">
        <v>363741438</v>
      </c>
      <c r="G132" s="836">
        <v>361766760</v>
      </c>
      <c r="H132" s="836">
        <v>363741438</v>
      </c>
      <c r="I132" s="836">
        <v>361766760</v>
      </c>
    </row>
    <row r="133" spans="1:9" ht="15">
      <c r="A133" s="1080" t="s">
        <v>879</v>
      </c>
      <c r="B133" s="413">
        <v>765488405</v>
      </c>
      <c r="C133" s="413">
        <v>906620285</v>
      </c>
      <c r="D133" s="413">
        <v>774000385</v>
      </c>
      <c r="E133" s="413">
        <v>915132265</v>
      </c>
      <c r="F133" s="836">
        <v>764691240</v>
      </c>
      <c r="G133" s="836">
        <v>756179260</v>
      </c>
      <c r="H133" s="836">
        <v>905823120</v>
      </c>
      <c r="I133" s="836">
        <v>897311140</v>
      </c>
    </row>
    <row r="134" spans="1:9" ht="15">
      <c r="A134" s="1080" t="s">
        <v>2050</v>
      </c>
      <c r="B134" s="413">
        <v>538135091</v>
      </c>
      <c r="C134" s="413">
        <v>538135091</v>
      </c>
      <c r="D134" s="413">
        <v>542023361</v>
      </c>
      <c r="E134" s="413">
        <v>542023361</v>
      </c>
      <c r="F134" s="836">
        <v>540590421</v>
      </c>
      <c r="G134" s="836">
        <v>536702151</v>
      </c>
      <c r="H134" s="836">
        <v>540590421</v>
      </c>
      <c r="I134" s="836">
        <v>536702151</v>
      </c>
    </row>
    <row r="135" spans="1:9" ht="15">
      <c r="A135" s="1080" t="s">
        <v>1941</v>
      </c>
      <c r="B135" s="413">
        <v>516382584</v>
      </c>
      <c r="C135" s="413">
        <v>516382584</v>
      </c>
      <c r="D135" s="413">
        <v>541856208</v>
      </c>
      <c r="E135" s="413">
        <v>541856208</v>
      </c>
      <c r="F135" s="836">
        <v>541856208</v>
      </c>
      <c r="G135" s="836">
        <v>516382584</v>
      </c>
      <c r="H135" s="836">
        <v>541856208</v>
      </c>
      <c r="I135" s="836">
        <v>516382584</v>
      </c>
    </row>
    <row r="136" spans="1:9" ht="15">
      <c r="A136" s="1080" t="s">
        <v>1942</v>
      </c>
      <c r="B136" s="413">
        <v>57590803</v>
      </c>
      <c r="C136" s="413">
        <v>57590803</v>
      </c>
      <c r="D136" s="413">
        <v>60779029</v>
      </c>
      <c r="E136" s="413">
        <v>60779029</v>
      </c>
      <c r="F136" s="836">
        <v>60779029</v>
      </c>
      <c r="G136" s="836">
        <v>57590803</v>
      </c>
      <c r="H136" s="836">
        <v>60779029</v>
      </c>
      <c r="I136" s="836">
        <v>57590803</v>
      </c>
    </row>
    <row r="137" spans="1:9" ht="15">
      <c r="A137" s="1080" t="s">
        <v>842</v>
      </c>
      <c r="B137" s="413">
        <v>330135955</v>
      </c>
      <c r="C137" s="413">
        <v>330135955</v>
      </c>
      <c r="D137" s="413">
        <v>341122992</v>
      </c>
      <c r="E137" s="413">
        <v>341122992</v>
      </c>
      <c r="F137" s="836">
        <v>341122992</v>
      </c>
      <c r="G137" s="836">
        <v>330135955</v>
      </c>
      <c r="H137" s="836">
        <v>341122992</v>
      </c>
      <c r="I137" s="836">
        <v>330135955</v>
      </c>
    </row>
    <row r="138" spans="1:9" ht="15">
      <c r="A138" s="1080" t="s">
        <v>843</v>
      </c>
      <c r="B138" s="413">
        <v>210710977</v>
      </c>
      <c r="C138" s="413">
        <v>210710977</v>
      </c>
      <c r="D138" s="413">
        <v>224434061</v>
      </c>
      <c r="E138" s="413">
        <v>224434061</v>
      </c>
      <c r="F138" s="836">
        <v>224434061</v>
      </c>
      <c r="G138" s="836">
        <v>210710977</v>
      </c>
      <c r="H138" s="836">
        <v>224434061</v>
      </c>
      <c r="I138" s="836">
        <v>210710977</v>
      </c>
    </row>
    <row r="139" spans="1:9" ht="15">
      <c r="A139" s="1080" t="s">
        <v>2142</v>
      </c>
      <c r="B139" s="413">
        <v>27739870</v>
      </c>
      <c r="C139" s="413">
        <v>27739870</v>
      </c>
      <c r="D139" s="413">
        <v>29637121</v>
      </c>
      <c r="E139" s="413">
        <v>29637121</v>
      </c>
      <c r="F139" s="836">
        <v>29637121</v>
      </c>
      <c r="G139" s="836">
        <v>27739870</v>
      </c>
      <c r="H139" s="836">
        <v>29637121</v>
      </c>
      <c r="I139" s="836">
        <v>27739870</v>
      </c>
    </row>
    <row r="140" spans="1:9" ht="15">
      <c r="A140" s="1080" t="s">
        <v>844</v>
      </c>
      <c r="B140" s="413">
        <v>438947939</v>
      </c>
      <c r="C140" s="413">
        <v>438947939</v>
      </c>
      <c r="D140" s="413">
        <v>451144469</v>
      </c>
      <c r="E140" s="413">
        <v>451144469</v>
      </c>
      <c r="F140" s="836">
        <v>440898398</v>
      </c>
      <c r="G140" s="836">
        <v>428701868</v>
      </c>
      <c r="H140" s="836">
        <v>440898398</v>
      </c>
      <c r="I140" s="836">
        <v>428701868</v>
      </c>
    </row>
    <row r="141" spans="1:9" ht="15">
      <c r="A141" s="1080" t="s">
        <v>2226</v>
      </c>
      <c r="B141" s="413">
        <v>38461127</v>
      </c>
      <c r="C141" s="413">
        <v>38461127</v>
      </c>
      <c r="D141" s="413">
        <v>41410136</v>
      </c>
      <c r="E141" s="413">
        <v>41410136</v>
      </c>
      <c r="F141" s="836">
        <v>41410136</v>
      </c>
      <c r="G141" s="836">
        <v>38461127</v>
      </c>
      <c r="H141" s="836">
        <v>41410136</v>
      </c>
      <c r="I141" s="836">
        <v>38461127</v>
      </c>
    </row>
    <row r="142" spans="1:9" ht="15">
      <c r="A142" s="1080" t="s">
        <v>2227</v>
      </c>
      <c r="B142" s="413">
        <v>395868644</v>
      </c>
      <c r="C142" s="413">
        <v>395868644</v>
      </c>
      <c r="D142" s="413">
        <v>403511804</v>
      </c>
      <c r="E142" s="413">
        <v>403511804</v>
      </c>
      <c r="F142" s="836">
        <v>403511804</v>
      </c>
      <c r="G142" s="836">
        <v>395868644</v>
      </c>
      <c r="H142" s="836">
        <v>403511804</v>
      </c>
      <c r="I142" s="836">
        <v>395868644</v>
      </c>
    </row>
    <row r="143" spans="1:9" ht="15">
      <c r="A143" s="1080" t="s">
        <v>2788</v>
      </c>
      <c r="B143" s="413">
        <v>85803438</v>
      </c>
      <c r="C143" s="413">
        <v>85803438</v>
      </c>
      <c r="D143" s="413">
        <v>87476378</v>
      </c>
      <c r="E143" s="413">
        <v>87476378</v>
      </c>
      <c r="F143" s="836">
        <v>87476378</v>
      </c>
      <c r="G143" s="836">
        <v>85803438</v>
      </c>
      <c r="H143" s="836">
        <v>87476378</v>
      </c>
      <c r="I143" s="836">
        <v>85803438</v>
      </c>
    </row>
    <row r="144" spans="1:9" ht="15">
      <c r="A144" s="1080" t="s">
        <v>2904</v>
      </c>
      <c r="B144" s="413">
        <v>58900780</v>
      </c>
      <c r="C144" s="413">
        <v>58900780</v>
      </c>
      <c r="D144" s="413">
        <v>60664930</v>
      </c>
      <c r="E144" s="413">
        <v>60664930</v>
      </c>
      <c r="F144" s="836">
        <v>60664930</v>
      </c>
      <c r="G144" s="836">
        <v>58900780</v>
      </c>
      <c r="H144" s="836">
        <v>60664930</v>
      </c>
      <c r="I144" s="836">
        <v>58900780</v>
      </c>
    </row>
    <row r="145" spans="1:9" ht="15">
      <c r="A145" s="1080" t="s">
        <v>1840</v>
      </c>
      <c r="B145" s="413">
        <v>631722042</v>
      </c>
      <c r="C145" s="413">
        <v>631722042</v>
      </c>
      <c r="D145" s="413">
        <v>648120752</v>
      </c>
      <c r="E145" s="413">
        <v>648120752</v>
      </c>
      <c r="F145" s="836">
        <v>629479492</v>
      </c>
      <c r="G145" s="836">
        <v>613080782</v>
      </c>
      <c r="H145" s="836">
        <v>629479492</v>
      </c>
      <c r="I145" s="836">
        <v>613080782</v>
      </c>
    </row>
    <row r="146" spans="1:9" ht="15">
      <c r="A146" s="1080" t="s">
        <v>2789</v>
      </c>
      <c r="B146" s="413">
        <v>5420661401</v>
      </c>
      <c r="C146" s="413">
        <v>6669173796</v>
      </c>
      <c r="D146" s="413">
        <v>5467570981</v>
      </c>
      <c r="E146" s="413">
        <v>6716083376</v>
      </c>
      <c r="F146" s="836">
        <v>5369147661</v>
      </c>
      <c r="G146" s="836">
        <v>5322238081</v>
      </c>
      <c r="H146" s="836">
        <v>6617660056</v>
      </c>
      <c r="I146" s="836">
        <v>6570750476</v>
      </c>
    </row>
    <row r="147" spans="1:9" ht="15">
      <c r="A147" s="1080" t="s">
        <v>316</v>
      </c>
      <c r="B147" s="413">
        <v>278250076</v>
      </c>
      <c r="C147" s="413">
        <v>278250076</v>
      </c>
      <c r="D147" s="413">
        <v>290174356</v>
      </c>
      <c r="E147" s="413">
        <v>290174356</v>
      </c>
      <c r="F147" s="836">
        <v>276161836</v>
      </c>
      <c r="G147" s="836">
        <v>264237556</v>
      </c>
      <c r="H147" s="836">
        <v>276161836</v>
      </c>
      <c r="I147" s="836">
        <v>264237556</v>
      </c>
    </row>
    <row r="148" spans="1:9" ht="15">
      <c r="A148" s="1080" t="s">
        <v>1658</v>
      </c>
      <c r="B148" s="413">
        <v>125087494</v>
      </c>
      <c r="C148" s="413">
        <v>125087494</v>
      </c>
      <c r="D148" s="413">
        <v>130528737</v>
      </c>
      <c r="E148" s="413">
        <v>130528737</v>
      </c>
      <c r="F148" s="836">
        <v>130528737</v>
      </c>
      <c r="G148" s="836">
        <v>125087494</v>
      </c>
      <c r="H148" s="836">
        <v>130528737</v>
      </c>
      <c r="I148" s="836">
        <v>125087494</v>
      </c>
    </row>
    <row r="149" spans="1:9" ht="15">
      <c r="A149" s="1080" t="s">
        <v>50</v>
      </c>
      <c r="B149" s="413">
        <v>990785817</v>
      </c>
      <c r="C149" s="413">
        <v>990785817</v>
      </c>
      <c r="D149" s="413">
        <v>1034287875</v>
      </c>
      <c r="E149" s="413">
        <v>1034287875</v>
      </c>
      <c r="F149" s="836">
        <v>1034287875</v>
      </c>
      <c r="G149" s="836">
        <v>990785817</v>
      </c>
      <c r="H149" s="836">
        <v>1034287875</v>
      </c>
      <c r="I149" s="836">
        <v>990785817</v>
      </c>
    </row>
    <row r="150" spans="1:9" ht="15">
      <c r="A150" s="1080" t="s">
        <v>1486</v>
      </c>
      <c r="B150" s="413">
        <v>361892906</v>
      </c>
      <c r="C150" s="413">
        <v>361892906</v>
      </c>
      <c r="D150" s="413">
        <v>381394982</v>
      </c>
      <c r="E150" s="413">
        <v>381394982</v>
      </c>
      <c r="F150" s="836">
        <v>381394982</v>
      </c>
      <c r="G150" s="836">
        <v>361892906</v>
      </c>
      <c r="H150" s="836">
        <v>381394982</v>
      </c>
      <c r="I150" s="836">
        <v>361892906</v>
      </c>
    </row>
    <row r="151" spans="1:9" ht="15">
      <c r="A151" s="1080" t="s">
        <v>2907</v>
      </c>
      <c r="B151" s="413">
        <v>60039817</v>
      </c>
      <c r="C151" s="413">
        <v>60039817</v>
      </c>
      <c r="D151" s="413">
        <v>62272883</v>
      </c>
      <c r="E151" s="413">
        <v>62272883</v>
      </c>
      <c r="F151" s="836">
        <v>62272883</v>
      </c>
      <c r="G151" s="836">
        <v>60039817</v>
      </c>
      <c r="H151" s="836">
        <v>62272883</v>
      </c>
      <c r="I151" s="836">
        <v>60039817</v>
      </c>
    </row>
    <row r="152" spans="1:9" ht="15">
      <c r="A152" s="1080" t="s">
        <v>1659</v>
      </c>
      <c r="B152" s="413">
        <v>87489012</v>
      </c>
      <c r="C152" s="413">
        <v>87489012</v>
      </c>
      <c r="D152" s="413">
        <v>90338452</v>
      </c>
      <c r="E152" s="413">
        <v>90338452</v>
      </c>
      <c r="F152" s="836">
        <v>90338452</v>
      </c>
      <c r="G152" s="836">
        <v>87489012</v>
      </c>
      <c r="H152" s="836">
        <v>90338452</v>
      </c>
      <c r="I152" s="836">
        <v>87489012</v>
      </c>
    </row>
    <row r="153" spans="1:9" ht="15">
      <c r="A153" s="1080" t="s">
        <v>84</v>
      </c>
      <c r="B153" s="413">
        <v>390712999</v>
      </c>
      <c r="C153" s="413">
        <v>390712999</v>
      </c>
      <c r="D153" s="413">
        <v>402450211</v>
      </c>
      <c r="E153" s="413">
        <v>402450211</v>
      </c>
      <c r="F153" s="836">
        <v>402450211</v>
      </c>
      <c r="G153" s="836">
        <v>390712999</v>
      </c>
      <c r="H153" s="836">
        <v>402450211</v>
      </c>
      <c r="I153" s="836">
        <v>390712999</v>
      </c>
    </row>
    <row r="154" spans="1:9" ht="15">
      <c r="A154" s="1080" t="s">
        <v>2482</v>
      </c>
      <c r="B154" s="413">
        <v>330340193</v>
      </c>
      <c r="C154" s="413">
        <v>330340193</v>
      </c>
      <c r="D154" s="413">
        <v>343606493</v>
      </c>
      <c r="E154" s="413">
        <v>343606493</v>
      </c>
      <c r="F154" s="836">
        <v>343606493</v>
      </c>
      <c r="G154" s="836">
        <v>330340193</v>
      </c>
      <c r="H154" s="836">
        <v>343606493</v>
      </c>
      <c r="I154" s="836">
        <v>330340193</v>
      </c>
    </row>
    <row r="155" spans="1:9" ht="15">
      <c r="A155" s="1080" t="s">
        <v>814</v>
      </c>
      <c r="B155" s="413">
        <v>129774032</v>
      </c>
      <c r="C155" s="413">
        <v>129774032</v>
      </c>
      <c r="D155" s="413">
        <v>136685462</v>
      </c>
      <c r="E155" s="413">
        <v>136685462</v>
      </c>
      <c r="F155" s="836">
        <v>136685462</v>
      </c>
      <c r="G155" s="836">
        <v>129774032</v>
      </c>
      <c r="H155" s="836">
        <v>136685462</v>
      </c>
      <c r="I155" s="836">
        <v>129774032</v>
      </c>
    </row>
    <row r="156" spans="1:9" ht="15">
      <c r="A156" s="1080" t="s">
        <v>2483</v>
      </c>
      <c r="B156" s="413">
        <v>72964322</v>
      </c>
      <c r="C156" s="413">
        <v>72964322</v>
      </c>
      <c r="D156" s="413">
        <v>74583682</v>
      </c>
      <c r="E156" s="413">
        <v>74583682</v>
      </c>
      <c r="F156" s="836">
        <v>74583682</v>
      </c>
      <c r="G156" s="836">
        <v>72964322</v>
      </c>
      <c r="H156" s="836">
        <v>74583682</v>
      </c>
      <c r="I156" s="836">
        <v>72964322</v>
      </c>
    </row>
    <row r="157" spans="1:9" ht="15">
      <c r="A157" s="1080" t="s">
        <v>1883</v>
      </c>
      <c r="B157" s="413">
        <v>80798150</v>
      </c>
      <c r="C157" s="413">
        <v>80798150</v>
      </c>
      <c r="D157" s="413">
        <v>82959920</v>
      </c>
      <c r="E157" s="413">
        <v>82959920</v>
      </c>
      <c r="F157" s="836">
        <v>82959920</v>
      </c>
      <c r="G157" s="836">
        <v>80798150</v>
      </c>
      <c r="H157" s="836">
        <v>82959920</v>
      </c>
      <c r="I157" s="836">
        <v>80798150</v>
      </c>
    </row>
    <row r="158" spans="1:9" ht="15">
      <c r="A158" s="1080" t="s">
        <v>1884</v>
      </c>
      <c r="B158" s="413">
        <v>58559832</v>
      </c>
      <c r="C158" s="413">
        <v>58559832</v>
      </c>
      <c r="D158" s="413">
        <v>60262241</v>
      </c>
      <c r="E158" s="413">
        <v>60262241</v>
      </c>
      <c r="F158" s="836">
        <v>60262241</v>
      </c>
      <c r="G158" s="836">
        <v>58559832</v>
      </c>
      <c r="H158" s="836">
        <v>60262241</v>
      </c>
      <c r="I158" s="836">
        <v>58559832</v>
      </c>
    </row>
    <row r="159" spans="1:9" ht="15">
      <c r="A159" s="1080" t="s">
        <v>899</v>
      </c>
      <c r="B159" s="413">
        <v>581577151</v>
      </c>
      <c r="C159" s="413">
        <v>581577151</v>
      </c>
      <c r="D159" s="413">
        <v>582440911</v>
      </c>
      <c r="E159" s="413">
        <v>582440911</v>
      </c>
      <c r="F159" s="836">
        <v>582440911</v>
      </c>
      <c r="G159" s="836">
        <v>581577151</v>
      </c>
      <c r="H159" s="836">
        <v>582440911</v>
      </c>
      <c r="I159" s="836">
        <v>581577151</v>
      </c>
    </row>
    <row r="160" spans="1:9" ht="15">
      <c r="A160" s="1080" t="s">
        <v>900</v>
      </c>
      <c r="B160" s="413">
        <v>102007359</v>
      </c>
      <c r="C160" s="413">
        <v>102007359</v>
      </c>
      <c r="D160" s="413">
        <v>105703719</v>
      </c>
      <c r="E160" s="413">
        <v>105703719</v>
      </c>
      <c r="F160" s="836">
        <v>105703719</v>
      </c>
      <c r="G160" s="836">
        <v>102007359</v>
      </c>
      <c r="H160" s="836">
        <v>105703719</v>
      </c>
      <c r="I160" s="836">
        <v>102007359</v>
      </c>
    </row>
    <row r="161" spans="1:9" ht="15">
      <c r="A161" s="1080" t="s">
        <v>922</v>
      </c>
      <c r="B161" s="413">
        <v>206977887</v>
      </c>
      <c r="C161" s="413">
        <v>312177297</v>
      </c>
      <c r="D161" s="413">
        <v>210742867</v>
      </c>
      <c r="E161" s="413">
        <v>315942277</v>
      </c>
      <c r="F161" s="836">
        <v>208046782</v>
      </c>
      <c r="G161" s="836">
        <v>204281802</v>
      </c>
      <c r="H161" s="836">
        <v>313246192</v>
      </c>
      <c r="I161" s="836">
        <v>309481212</v>
      </c>
    </row>
    <row r="162" spans="1:9" ht="15">
      <c r="A162" s="1080" t="s">
        <v>630</v>
      </c>
      <c r="B162" s="413">
        <v>175792657</v>
      </c>
      <c r="C162" s="413">
        <v>175792657</v>
      </c>
      <c r="D162" s="413">
        <v>185309198</v>
      </c>
      <c r="E162" s="413">
        <v>185309198</v>
      </c>
      <c r="F162" s="836">
        <v>185309198</v>
      </c>
      <c r="G162" s="836">
        <v>175792657</v>
      </c>
      <c r="H162" s="836">
        <v>185309198</v>
      </c>
      <c r="I162" s="836">
        <v>175792657</v>
      </c>
    </row>
    <row r="163" spans="1:9" ht="15">
      <c r="A163" s="1080" t="s">
        <v>2712</v>
      </c>
      <c r="B163" s="413">
        <v>90057470</v>
      </c>
      <c r="C163" s="413">
        <v>90057470</v>
      </c>
      <c r="D163" s="413">
        <v>92662940</v>
      </c>
      <c r="E163" s="413">
        <v>92662940</v>
      </c>
      <c r="F163" s="836">
        <v>92662940</v>
      </c>
      <c r="G163" s="836">
        <v>90057470</v>
      </c>
      <c r="H163" s="836">
        <v>92662940</v>
      </c>
      <c r="I163" s="836">
        <v>90057470</v>
      </c>
    </row>
    <row r="164" spans="1:9" ht="15">
      <c r="A164" s="1080" t="s">
        <v>923</v>
      </c>
      <c r="B164" s="413">
        <v>120042058</v>
      </c>
      <c r="C164" s="413">
        <v>120042058</v>
      </c>
      <c r="D164" s="413">
        <v>122408878</v>
      </c>
      <c r="E164" s="413">
        <v>122408878</v>
      </c>
      <c r="F164" s="836">
        <v>122408878</v>
      </c>
      <c r="G164" s="836">
        <v>120042058</v>
      </c>
      <c r="H164" s="836">
        <v>122408878</v>
      </c>
      <c r="I164" s="836">
        <v>120042058</v>
      </c>
    </row>
    <row r="165" spans="1:9" ht="15">
      <c r="A165" s="1080" t="s">
        <v>638</v>
      </c>
      <c r="B165" s="413">
        <v>10015227806</v>
      </c>
      <c r="C165" s="413">
        <v>10015227806</v>
      </c>
      <c r="D165" s="413">
        <v>10221709520</v>
      </c>
      <c r="E165" s="413">
        <v>10221709520</v>
      </c>
      <c r="F165" s="836">
        <v>10221709520</v>
      </c>
      <c r="G165" s="836">
        <v>10015227806</v>
      </c>
      <c r="H165" s="836">
        <v>10221709520</v>
      </c>
      <c r="I165" s="836">
        <v>10015227806</v>
      </c>
    </row>
    <row r="166" spans="1:9" ht="15">
      <c r="A166" s="1080" t="s">
        <v>1841</v>
      </c>
      <c r="B166" s="413">
        <v>719873078</v>
      </c>
      <c r="C166" s="413">
        <v>719873078</v>
      </c>
      <c r="D166" s="413">
        <v>747739055</v>
      </c>
      <c r="E166" s="413">
        <v>747739055</v>
      </c>
      <c r="F166" s="836">
        <v>747739055</v>
      </c>
      <c r="G166" s="836">
        <v>719873078</v>
      </c>
      <c r="H166" s="836">
        <v>747739055</v>
      </c>
      <c r="I166" s="836">
        <v>719873078</v>
      </c>
    </row>
    <row r="167" spans="1:9" ht="15">
      <c r="A167" s="1080" t="s">
        <v>2862</v>
      </c>
      <c r="B167" s="413">
        <v>843188022</v>
      </c>
      <c r="C167" s="413">
        <v>843188022</v>
      </c>
      <c r="D167" s="413">
        <v>864562135</v>
      </c>
      <c r="E167" s="413">
        <v>864562135</v>
      </c>
      <c r="F167" s="836">
        <v>864562135</v>
      </c>
      <c r="G167" s="836">
        <v>843188022</v>
      </c>
      <c r="H167" s="836">
        <v>864562135</v>
      </c>
      <c r="I167" s="836">
        <v>843188022</v>
      </c>
    </row>
    <row r="168" spans="1:9" ht="15">
      <c r="A168" s="1080" t="s">
        <v>1900</v>
      </c>
      <c r="B168" s="413">
        <v>391640881</v>
      </c>
      <c r="C168" s="413">
        <v>391640881</v>
      </c>
      <c r="D168" s="413">
        <v>407678118</v>
      </c>
      <c r="E168" s="413">
        <v>407678118</v>
      </c>
      <c r="F168" s="836">
        <v>407678118</v>
      </c>
      <c r="G168" s="836">
        <v>391640881</v>
      </c>
      <c r="H168" s="836">
        <v>407678118</v>
      </c>
      <c r="I168" s="836">
        <v>391640881</v>
      </c>
    </row>
    <row r="169" spans="1:9" ht="15">
      <c r="A169" s="1080" t="s">
        <v>1605</v>
      </c>
      <c r="B169" s="413">
        <v>24705531490</v>
      </c>
      <c r="C169" s="413">
        <v>24705531490</v>
      </c>
      <c r="D169" s="413">
        <v>25130463296</v>
      </c>
      <c r="E169" s="413">
        <v>25130463296</v>
      </c>
      <c r="F169" s="836">
        <v>25130463296</v>
      </c>
      <c r="G169" s="836">
        <v>24705531490</v>
      </c>
      <c r="H169" s="836">
        <v>25130463296</v>
      </c>
      <c r="I169" s="836">
        <v>24705531490</v>
      </c>
    </row>
    <row r="170" spans="1:9" ht="15">
      <c r="A170" s="1080" t="s">
        <v>2895</v>
      </c>
      <c r="B170" s="413">
        <v>11216724574</v>
      </c>
      <c r="C170" s="413">
        <v>11216724574</v>
      </c>
      <c r="D170" s="413">
        <v>11458901044</v>
      </c>
      <c r="E170" s="413">
        <v>11458901044</v>
      </c>
      <c r="F170" s="836">
        <v>11458901044</v>
      </c>
      <c r="G170" s="836">
        <v>11216724574</v>
      </c>
      <c r="H170" s="836">
        <v>11458901044</v>
      </c>
      <c r="I170" s="836">
        <v>11216724574</v>
      </c>
    </row>
    <row r="171" spans="1:9" ht="15">
      <c r="A171" s="1080" t="s">
        <v>724</v>
      </c>
      <c r="B171" s="413">
        <v>661641200</v>
      </c>
      <c r="C171" s="413">
        <v>661641200</v>
      </c>
      <c r="D171" s="413">
        <v>681871402</v>
      </c>
      <c r="E171" s="413">
        <v>681871402</v>
      </c>
      <c r="F171" s="836">
        <v>681871402</v>
      </c>
      <c r="G171" s="836">
        <v>661641200</v>
      </c>
      <c r="H171" s="836">
        <v>681871402</v>
      </c>
      <c r="I171" s="836">
        <v>661641200</v>
      </c>
    </row>
    <row r="172" spans="1:9" ht="15">
      <c r="A172" s="1080" t="s">
        <v>725</v>
      </c>
      <c r="B172" s="413">
        <v>40414099312</v>
      </c>
      <c r="C172" s="413">
        <v>40414099312</v>
      </c>
      <c r="D172" s="413">
        <v>41097924275</v>
      </c>
      <c r="E172" s="413">
        <v>41097924275</v>
      </c>
      <c r="F172" s="836">
        <v>41097924275</v>
      </c>
      <c r="G172" s="836">
        <v>40414099312</v>
      </c>
      <c r="H172" s="836">
        <v>41097924275</v>
      </c>
      <c r="I172" s="836">
        <v>40414099312</v>
      </c>
    </row>
    <row r="173" spans="1:9" ht="15">
      <c r="A173" s="1080" t="s">
        <v>246</v>
      </c>
      <c r="B173" s="413">
        <v>638526720</v>
      </c>
      <c r="C173" s="413">
        <v>638526720</v>
      </c>
      <c r="D173" s="413">
        <v>668057497</v>
      </c>
      <c r="E173" s="413">
        <v>668057497</v>
      </c>
      <c r="F173" s="836">
        <v>668057497</v>
      </c>
      <c r="G173" s="836">
        <v>638526720</v>
      </c>
      <c r="H173" s="836">
        <v>668057497</v>
      </c>
      <c r="I173" s="836">
        <v>638526720</v>
      </c>
    </row>
    <row r="174" spans="1:9" ht="15">
      <c r="A174" s="1080" t="s">
        <v>1780</v>
      </c>
      <c r="B174" s="413">
        <v>3776112796</v>
      </c>
      <c r="C174" s="413">
        <v>3776112796</v>
      </c>
      <c r="D174" s="413">
        <v>3841945545</v>
      </c>
      <c r="E174" s="413">
        <v>3841945545</v>
      </c>
      <c r="F174" s="836">
        <v>3841945545</v>
      </c>
      <c r="G174" s="836">
        <v>3776112796</v>
      </c>
      <c r="H174" s="836">
        <v>3841945545</v>
      </c>
      <c r="I174" s="836">
        <v>3776112796</v>
      </c>
    </row>
    <row r="175" spans="1:9" ht="15">
      <c r="A175" s="1080" t="s">
        <v>1351</v>
      </c>
      <c r="B175" s="413">
        <v>4217664317</v>
      </c>
      <c r="C175" s="413">
        <v>4217664317</v>
      </c>
      <c r="D175" s="413">
        <v>4356998055</v>
      </c>
      <c r="E175" s="413">
        <v>4356998055</v>
      </c>
      <c r="F175" s="836">
        <v>4356998055</v>
      </c>
      <c r="G175" s="836">
        <v>4217664317</v>
      </c>
      <c r="H175" s="836">
        <v>4356998055</v>
      </c>
      <c r="I175" s="836">
        <v>4217664317</v>
      </c>
    </row>
    <row r="176" spans="1:9" ht="15">
      <c r="A176" s="1080" t="s">
        <v>990</v>
      </c>
      <c r="B176" s="413">
        <v>142233216</v>
      </c>
      <c r="C176" s="413">
        <v>142233216</v>
      </c>
      <c r="D176" s="413">
        <v>149350694</v>
      </c>
      <c r="E176" s="413">
        <v>149350694</v>
      </c>
      <c r="F176" s="836">
        <v>149350694</v>
      </c>
      <c r="G176" s="836">
        <v>142233216</v>
      </c>
      <c r="H176" s="836">
        <v>149350694</v>
      </c>
      <c r="I176" s="836">
        <v>142233216</v>
      </c>
    </row>
    <row r="177" spans="1:9" ht="15">
      <c r="A177" s="1080" t="s">
        <v>1619</v>
      </c>
      <c r="B177" s="413">
        <v>580299240</v>
      </c>
      <c r="C177" s="413">
        <v>580299240</v>
      </c>
      <c r="D177" s="413">
        <v>604415775</v>
      </c>
      <c r="E177" s="413">
        <v>604415775</v>
      </c>
      <c r="F177" s="836">
        <v>604415775</v>
      </c>
      <c r="G177" s="836">
        <v>580299240</v>
      </c>
      <c r="H177" s="836">
        <v>604415775</v>
      </c>
      <c r="I177" s="836">
        <v>580299240</v>
      </c>
    </row>
    <row r="178" spans="1:9" ht="15">
      <c r="A178" s="1080" t="s">
        <v>281</v>
      </c>
      <c r="B178" s="413">
        <v>1968932923</v>
      </c>
      <c r="C178" s="413">
        <v>1968932923</v>
      </c>
      <c r="D178" s="413">
        <v>2010953482</v>
      </c>
      <c r="E178" s="413">
        <v>2010953482</v>
      </c>
      <c r="F178" s="836">
        <v>2010953482</v>
      </c>
      <c r="G178" s="836">
        <v>1968932923</v>
      </c>
      <c r="H178" s="836">
        <v>2010953482</v>
      </c>
      <c r="I178" s="836">
        <v>1968932923</v>
      </c>
    </row>
    <row r="179" spans="1:9" ht="15">
      <c r="A179" s="1080" t="s">
        <v>282</v>
      </c>
      <c r="B179" s="413">
        <v>174705998</v>
      </c>
      <c r="C179" s="413">
        <v>174705998</v>
      </c>
      <c r="D179" s="413">
        <v>179477416</v>
      </c>
      <c r="E179" s="413">
        <v>179477416</v>
      </c>
      <c r="F179" s="836">
        <v>179477416</v>
      </c>
      <c r="G179" s="836">
        <v>174705998</v>
      </c>
      <c r="H179" s="836">
        <v>179477416</v>
      </c>
      <c r="I179" s="836">
        <v>174705998</v>
      </c>
    </row>
    <row r="180" spans="1:9" ht="15">
      <c r="A180" s="1080" t="s">
        <v>1617</v>
      </c>
      <c r="B180" s="413">
        <v>935119777</v>
      </c>
      <c r="C180" s="413">
        <v>935119777</v>
      </c>
      <c r="D180" s="413">
        <v>960599552</v>
      </c>
      <c r="E180" s="413">
        <v>960599552</v>
      </c>
      <c r="F180" s="836">
        <v>960341227</v>
      </c>
      <c r="G180" s="836">
        <v>934861452</v>
      </c>
      <c r="H180" s="836">
        <v>960341227</v>
      </c>
      <c r="I180" s="836">
        <v>934861452</v>
      </c>
    </row>
    <row r="181" spans="1:9" ht="15">
      <c r="A181" s="1080" t="s">
        <v>643</v>
      </c>
      <c r="B181" s="413">
        <v>759947852</v>
      </c>
      <c r="C181" s="413">
        <v>759947852</v>
      </c>
      <c r="D181" s="413">
        <v>772806203</v>
      </c>
      <c r="E181" s="413">
        <v>772806203</v>
      </c>
      <c r="F181" s="836">
        <v>772806203</v>
      </c>
      <c r="G181" s="836">
        <v>759947852</v>
      </c>
      <c r="H181" s="836">
        <v>772806203</v>
      </c>
      <c r="I181" s="836">
        <v>759947852</v>
      </c>
    </row>
    <row r="182" spans="1:9" ht="15">
      <c r="A182" s="1080" t="s">
        <v>34</v>
      </c>
      <c r="B182" s="413">
        <v>363367461</v>
      </c>
      <c r="C182" s="413">
        <v>363367461</v>
      </c>
      <c r="D182" s="413">
        <v>375379832</v>
      </c>
      <c r="E182" s="413">
        <v>375379832</v>
      </c>
      <c r="F182" s="836">
        <v>375379832</v>
      </c>
      <c r="G182" s="836">
        <v>363367461</v>
      </c>
      <c r="H182" s="836">
        <v>375379832</v>
      </c>
      <c r="I182" s="836">
        <v>363367461</v>
      </c>
    </row>
    <row r="183" spans="1:9" ht="15">
      <c r="A183" s="1080" t="s">
        <v>35</v>
      </c>
      <c r="B183" s="413">
        <v>3882112128</v>
      </c>
      <c r="C183" s="413">
        <v>3882112128</v>
      </c>
      <c r="D183" s="413">
        <v>3994431229</v>
      </c>
      <c r="E183" s="413">
        <v>3994431229</v>
      </c>
      <c r="F183" s="836">
        <v>3994431229</v>
      </c>
      <c r="G183" s="836">
        <v>3882112128</v>
      </c>
      <c r="H183" s="836">
        <v>3994431229</v>
      </c>
      <c r="I183" s="836">
        <v>3882112128</v>
      </c>
    </row>
    <row r="184" spans="1:9" ht="15">
      <c r="A184" s="1080" t="s">
        <v>1437</v>
      </c>
      <c r="B184" s="413">
        <v>13457360938</v>
      </c>
      <c r="C184" s="413">
        <v>13537758238</v>
      </c>
      <c r="D184" s="413">
        <v>13754973489</v>
      </c>
      <c r="E184" s="413">
        <v>13835370789</v>
      </c>
      <c r="F184" s="836">
        <v>12939967076</v>
      </c>
      <c r="G184" s="836">
        <v>12642354525</v>
      </c>
      <c r="H184" s="836">
        <v>13020364376</v>
      </c>
      <c r="I184" s="836">
        <v>12722751825</v>
      </c>
    </row>
    <row r="185" spans="1:9" ht="15">
      <c r="A185" s="1080" t="s">
        <v>2644</v>
      </c>
      <c r="B185" s="413">
        <v>274435872</v>
      </c>
      <c r="C185" s="413">
        <v>274435872</v>
      </c>
      <c r="D185" s="413">
        <v>288934671</v>
      </c>
      <c r="E185" s="413">
        <v>288934671</v>
      </c>
      <c r="F185" s="836">
        <v>288934671</v>
      </c>
      <c r="G185" s="836">
        <v>274435872</v>
      </c>
      <c r="H185" s="836">
        <v>288934671</v>
      </c>
      <c r="I185" s="836">
        <v>274435872</v>
      </c>
    </row>
    <row r="186" spans="1:9" ht="15">
      <c r="A186" s="1080" t="s">
        <v>2763</v>
      </c>
      <c r="B186" s="413">
        <v>171882351</v>
      </c>
      <c r="C186" s="413">
        <v>171882351</v>
      </c>
      <c r="D186" s="413">
        <v>181134568</v>
      </c>
      <c r="E186" s="413">
        <v>181134568</v>
      </c>
      <c r="F186" s="836">
        <v>181134568</v>
      </c>
      <c r="G186" s="836">
        <v>171882351</v>
      </c>
      <c r="H186" s="836">
        <v>181134568</v>
      </c>
      <c r="I186" s="836">
        <v>171882351</v>
      </c>
    </row>
    <row r="187" spans="1:9" ht="15">
      <c r="A187" s="1080" t="s">
        <v>2672</v>
      </c>
      <c r="B187" s="413">
        <v>51832419</v>
      </c>
      <c r="C187" s="413">
        <v>51832419</v>
      </c>
      <c r="D187" s="413">
        <v>54022380</v>
      </c>
      <c r="E187" s="413">
        <v>54022380</v>
      </c>
      <c r="F187" s="836">
        <v>54022380</v>
      </c>
      <c r="G187" s="836">
        <v>51832419</v>
      </c>
      <c r="H187" s="836">
        <v>54022380</v>
      </c>
      <c r="I187" s="836">
        <v>51832419</v>
      </c>
    </row>
    <row r="188" spans="1:9" ht="15">
      <c r="A188" s="1080" t="s">
        <v>2645</v>
      </c>
      <c r="B188" s="413">
        <v>25897139</v>
      </c>
      <c r="C188" s="413">
        <v>25897139</v>
      </c>
      <c r="D188" s="413">
        <v>27453268</v>
      </c>
      <c r="E188" s="413">
        <v>27453268</v>
      </c>
      <c r="F188" s="836">
        <v>27453268</v>
      </c>
      <c r="G188" s="836">
        <v>25897139</v>
      </c>
      <c r="H188" s="836">
        <v>27453268</v>
      </c>
      <c r="I188" s="836">
        <v>25897139</v>
      </c>
    </row>
    <row r="189" spans="1:9" ht="15">
      <c r="A189" s="1080" t="s">
        <v>2646</v>
      </c>
      <c r="B189" s="413">
        <v>135456699</v>
      </c>
      <c r="C189" s="413">
        <v>135456699</v>
      </c>
      <c r="D189" s="413">
        <v>138580609</v>
      </c>
      <c r="E189" s="413">
        <v>138580609</v>
      </c>
      <c r="F189" s="836">
        <v>138580609</v>
      </c>
      <c r="G189" s="836">
        <v>135456699</v>
      </c>
      <c r="H189" s="836">
        <v>138580609</v>
      </c>
      <c r="I189" s="836">
        <v>135456699</v>
      </c>
    </row>
    <row r="190" spans="1:9" ht="15">
      <c r="A190" s="1080" t="s">
        <v>331</v>
      </c>
      <c r="B190" s="413">
        <v>69251471</v>
      </c>
      <c r="C190" s="413">
        <v>69251471</v>
      </c>
      <c r="D190" s="413">
        <v>70765101</v>
      </c>
      <c r="E190" s="413">
        <v>70765101</v>
      </c>
      <c r="F190" s="836">
        <v>70765101</v>
      </c>
      <c r="G190" s="836">
        <v>69251471</v>
      </c>
      <c r="H190" s="836">
        <v>70765101</v>
      </c>
      <c r="I190" s="836">
        <v>69251471</v>
      </c>
    </row>
    <row r="191" spans="1:9" ht="15">
      <c r="A191" s="1080" t="s">
        <v>1607</v>
      </c>
      <c r="B191" s="413">
        <v>977175087</v>
      </c>
      <c r="C191" s="413">
        <v>977175087</v>
      </c>
      <c r="D191" s="413">
        <v>1007880242</v>
      </c>
      <c r="E191" s="413">
        <v>1007880242</v>
      </c>
      <c r="F191" s="836">
        <v>1007880242</v>
      </c>
      <c r="G191" s="836">
        <v>977175087</v>
      </c>
      <c r="H191" s="836">
        <v>1007880242</v>
      </c>
      <c r="I191" s="836">
        <v>977175087</v>
      </c>
    </row>
    <row r="192" spans="1:9" ht="15">
      <c r="A192" s="1080" t="s">
        <v>332</v>
      </c>
      <c r="B192" s="413">
        <v>309998557</v>
      </c>
      <c r="C192" s="413">
        <v>371085354</v>
      </c>
      <c r="D192" s="413">
        <v>317629932</v>
      </c>
      <c r="E192" s="413">
        <v>378716729</v>
      </c>
      <c r="F192" s="836">
        <v>317629932</v>
      </c>
      <c r="G192" s="836">
        <v>309998557</v>
      </c>
      <c r="H192" s="836">
        <v>378716729</v>
      </c>
      <c r="I192" s="836">
        <v>371085354</v>
      </c>
    </row>
    <row r="193" spans="1:9" ht="15">
      <c r="A193" s="1080" t="s">
        <v>2863</v>
      </c>
      <c r="B193" s="413">
        <v>216115385</v>
      </c>
      <c r="C193" s="413">
        <v>216115385</v>
      </c>
      <c r="D193" s="413">
        <v>223589083</v>
      </c>
      <c r="E193" s="413">
        <v>223589083</v>
      </c>
      <c r="F193" s="836">
        <v>223589083</v>
      </c>
      <c r="G193" s="836">
        <v>216115385</v>
      </c>
      <c r="H193" s="836">
        <v>223589083</v>
      </c>
      <c r="I193" s="836">
        <v>216115385</v>
      </c>
    </row>
    <row r="194" spans="1:9" ht="15">
      <c r="A194" s="1080" t="s">
        <v>333</v>
      </c>
      <c r="B194" s="413">
        <v>586103113</v>
      </c>
      <c r="C194" s="413">
        <v>586103113</v>
      </c>
      <c r="D194" s="413">
        <v>605926125</v>
      </c>
      <c r="E194" s="413">
        <v>605926125</v>
      </c>
      <c r="F194" s="836">
        <v>605926125</v>
      </c>
      <c r="G194" s="836">
        <v>586103113</v>
      </c>
      <c r="H194" s="836">
        <v>605926125</v>
      </c>
      <c r="I194" s="836">
        <v>586103113</v>
      </c>
    </row>
    <row r="195" spans="1:9" ht="15">
      <c r="A195" s="1080" t="s">
        <v>334</v>
      </c>
      <c r="B195" s="413">
        <v>188983311</v>
      </c>
      <c r="C195" s="413">
        <v>188983311</v>
      </c>
      <c r="D195" s="413">
        <v>193489347</v>
      </c>
      <c r="E195" s="413">
        <v>193489347</v>
      </c>
      <c r="F195" s="836">
        <v>193489347</v>
      </c>
      <c r="G195" s="836">
        <v>188983311</v>
      </c>
      <c r="H195" s="836">
        <v>193489347</v>
      </c>
      <c r="I195" s="836">
        <v>188983311</v>
      </c>
    </row>
    <row r="196" spans="1:9" ht="15">
      <c r="A196" s="1080" t="s">
        <v>335</v>
      </c>
      <c r="B196" s="413">
        <v>383505407</v>
      </c>
      <c r="C196" s="413">
        <v>383505407</v>
      </c>
      <c r="D196" s="413">
        <v>388774190</v>
      </c>
      <c r="E196" s="413">
        <v>388774190</v>
      </c>
      <c r="F196" s="836">
        <v>388774190</v>
      </c>
      <c r="G196" s="836">
        <v>383505407</v>
      </c>
      <c r="H196" s="836">
        <v>388774190</v>
      </c>
      <c r="I196" s="836">
        <v>383505407</v>
      </c>
    </row>
    <row r="197" spans="1:9" ht="15">
      <c r="A197" s="1080" t="s">
        <v>1962</v>
      </c>
      <c r="B197" s="413">
        <v>17810750</v>
      </c>
      <c r="C197" s="413">
        <v>17810750</v>
      </c>
      <c r="D197" s="413">
        <v>18065974</v>
      </c>
      <c r="E197" s="413">
        <v>18065974</v>
      </c>
      <c r="F197" s="836">
        <v>18065974</v>
      </c>
      <c r="G197" s="836">
        <v>17810750</v>
      </c>
      <c r="H197" s="836">
        <v>18065974</v>
      </c>
      <c r="I197" s="836">
        <v>17810750</v>
      </c>
    </row>
    <row r="198" spans="1:9" ht="15">
      <c r="A198" s="1080" t="s">
        <v>1963</v>
      </c>
      <c r="B198" s="413">
        <v>113480019</v>
      </c>
      <c r="C198" s="413">
        <v>113480019</v>
      </c>
      <c r="D198" s="413">
        <v>114757519</v>
      </c>
      <c r="E198" s="413">
        <v>114757519</v>
      </c>
      <c r="F198" s="836">
        <v>114757519</v>
      </c>
      <c r="G198" s="836">
        <v>113480019</v>
      </c>
      <c r="H198" s="836">
        <v>114757519</v>
      </c>
      <c r="I198" s="836">
        <v>113480019</v>
      </c>
    </row>
    <row r="199" spans="1:9" ht="15">
      <c r="A199" s="1080" t="s">
        <v>1492</v>
      </c>
      <c r="B199" s="413">
        <v>87964063</v>
      </c>
      <c r="C199" s="413">
        <v>87964063</v>
      </c>
      <c r="D199" s="413">
        <v>91938269</v>
      </c>
      <c r="E199" s="413">
        <v>91938269</v>
      </c>
      <c r="F199" s="836">
        <v>91938269</v>
      </c>
      <c r="G199" s="836">
        <v>87964063</v>
      </c>
      <c r="H199" s="836">
        <v>91938269</v>
      </c>
      <c r="I199" s="836">
        <v>87964063</v>
      </c>
    </row>
    <row r="200" spans="1:9" ht="15">
      <c r="A200" s="1080" t="s">
        <v>1267</v>
      </c>
      <c r="B200" s="413">
        <v>660104969</v>
      </c>
      <c r="C200" s="413">
        <v>660104969</v>
      </c>
      <c r="D200" s="413">
        <v>695424014</v>
      </c>
      <c r="E200" s="413">
        <v>695424014</v>
      </c>
      <c r="F200" s="836">
        <v>695424014</v>
      </c>
      <c r="G200" s="836">
        <v>660104969</v>
      </c>
      <c r="H200" s="836">
        <v>695424014</v>
      </c>
      <c r="I200" s="836">
        <v>660104969</v>
      </c>
    </row>
    <row r="201" spans="1:9" ht="15">
      <c r="A201" s="1080" t="s">
        <v>2462</v>
      </c>
      <c r="B201" s="413">
        <v>53984718</v>
      </c>
      <c r="C201" s="413">
        <v>53984718</v>
      </c>
      <c r="D201" s="413">
        <v>56802164</v>
      </c>
      <c r="E201" s="413">
        <v>56802164</v>
      </c>
      <c r="F201" s="836">
        <v>56802164</v>
      </c>
      <c r="G201" s="836">
        <v>53984718</v>
      </c>
      <c r="H201" s="836">
        <v>56802164</v>
      </c>
      <c r="I201" s="836">
        <v>53984718</v>
      </c>
    </row>
    <row r="202" spans="1:9" ht="15">
      <c r="A202" s="1080" t="s">
        <v>1268</v>
      </c>
      <c r="B202" s="413">
        <v>71898566</v>
      </c>
      <c r="C202" s="413">
        <v>71898566</v>
      </c>
      <c r="D202" s="413">
        <v>74701497</v>
      </c>
      <c r="E202" s="413">
        <v>74701497</v>
      </c>
      <c r="F202" s="836">
        <v>74701497</v>
      </c>
      <c r="G202" s="836">
        <v>71898566</v>
      </c>
      <c r="H202" s="836">
        <v>74701497</v>
      </c>
      <c r="I202" s="836">
        <v>71898566</v>
      </c>
    </row>
    <row r="203" spans="1:9" ht="15">
      <c r="A203" s="1080" t="s">
        <v>2752</v>
      </c>
      <c r="B203" s="413">
        <v>1278966829</v>
      </c>
      <c r="C203" s="413">
        <v>1278966829</v>
      </c>
      <c r="D203" s="413">
        <v>1351667116</v>
      </c>
      <c r="E203" s="413">
        <v>1351667116</v>
      </c>
      <c r="F203" s="836">
        <v>1351667116</v>
      </c>
      <c r="G203" s="836">
        <v>1278966829</v>
      </c>
      <c r="H203" s="836">
        <v>1351667116</v>
      </c>
      <c r="I203" s="836">
        <v>1278966829</v>
      </c>
    </row>
    <row r="204" spans="1:9" ht="15">
      <c r="A204" s="1080" t="s">
        <v>1269</v>
      </c>
      <c r="B204" s="413">
        <v>161528839</v>
      </c>
      <c r="C204" s="413">
        <v>161528839</v>
      </c>
      <c r="D204" s="413">
        <v>163925479</v>
      </c>
      <c r="E204" s="413">
        <v>163925479</v>
      </c>
      <c r="F204" s="836">
        <v>163158979</v>
      </c>
      <c r="G204" s="836">
        <v>160762339</v>
      </c>
      <c r="H204" s="836">
        <v>163158979</v>
      </c>
      <c r="I204" s="836">
        <v>160762339</v>
      </c>
    </row>
    <row r="205" spans="1:9" ht="15">
      <c r="A205" s="1080" t="s">
        <v>779</v>
      </c>
      <c r="B205" s="413">
        <v>1521534796</v>
      </c>
      <c r="C205" s="413">
        <v>1521534796</v>
      </c>
      <c r="D205" s="413">
        <v>1528639666</v>
      </c>
      <c r="E205" s="413">
        <v>1528639666</v>
      </c>
      <c r="F205" s="836">
        <v>1528639666</v>
      </c>
      <c r="G205" s="836">
        <v>1521534796</v>
      </c>
      <c r="H205" s="836">
        <v>1528639666</v>
      </c>
      <c r="I205" s="836">
        <v>1521534796</v>
      </c>
    </row>
    <row r="206" spans="1:9" ht="15">
      <c r="A206" s="1080" t="s">
        <v>780</v>
      </c>
      <c r="B206" s="413">
        <v>1849674890</v>
      </c>
      <c r="C206" s="413">
        <v>1849674890</v>
      </c>
      <c r="D206" s="413">
        <v>1856163230</v>
      </c>
      <c r="E206" s="413">
        <v>1856163230</v>
      </c>
      <c r="F206" s="836">
        <v>1853059950</v>
      </c>
      <c r="G206" s="836">
        <v>1846571610</v>
      </c>
      <c r="H206" s="836">
        <v>1853059950</v>
      </c>
      <c r="I206" s="836">
        <v>1846571610</v>
      </c>
    </row>
    <row r="207" spans="1:9" ht="15">
      <c r="A207" s="1080" t="s">
        <v>781</v>
      </c>
      <c r="B207" s="413">
        <v>86149163</v>
      </c>
      <c r="C207" s="413">
        <v>86149163</v>
      </c>
      <c r="D207" s="413">
        <v>89939908</v>
      </c>
      <c r="E207" s="413">
        <v>89939908</v>
      </c>
      <c r="F207" s="836">
        <v>89939908</v>
      </c>
      <c r="G207" s="836">
        <v>86149163</v>
      </c>
      <c r="H207" s="836">
        <v>89939908</v>
      </c>
      <c r="I207" s="836">
        <v>86149163</v>
      </c>
    </row>
    <row r="208" spans="1:9" ht="15">
      <c r="A208" s="1080" t="s">
        <v>782</v>
      </c>
      <c r="B208" s="413">
        <v>189959568</v>
      </c>
      <c r="C208" s="413">
        <v>216755569</v>
      </c>
      <c r="D208" s="413">
        <v>192147681</v>
      </c>
      <c r="E208" s="413">
        <v>218943682</v>
      </c>
      <c r="F208" s="836">
        <v>192147681</v>
      </c>
      <c r="G208" s="836">
        <v>189959568</v>
      </c>
      <c r="H208" s="836">
        <v>218943682</v>
      </c>
      <c r="I208" s="836">
        <v>216755569</v>
      </c>
    </row>
    <row r="209" spans="1:9" ht="15">
      <c r="A209" s="1080" t="s">
        <v>428</v>
      </c>
      <c r="B209" s="413">
        <v>139379039</v>
      </c>
      <c r="C209" s="413">
        <v>139379039</v>
      </c>
      <c r="D209" s="413">
        <v>142893217</v>
      </c>
      <c r="E209" s="413">
        <v>142893217</v>
      </c>
      <c r="F209" s="836">
        <v>142893217</v>
      </c>
      <c r="G209" s="836">
        <v>139379039</v>
      </c>
      <c r="H209" s="836">
        <v>142893217</v>
      </c>
      <c r="I209" s="836">
        <v>139379039</v>
      </c>
    </row>
    <row r="210" spans="1:9" ht="15">
      <c r="A210" s="1080" t="s">
        <v>2928</v>
      </c>
      <c r="B210" s="413">
        <v>883087453</v>
      </c>
      <c r="C210" s="413">
        <v>883087453</v>
      </c>
      <c r="D210" s="413">
        <v>886559062</v>
      </c>
      <c r="E210" s="413">
        <v>886559062</v>
      </c>
      <c r="F210" s="836">
        <v>886559062</v>
      </c>
      <c r="G210" s="836">
        <v>883087453</v>
      </c>
      <c r="H210" s="836">
        <v>886559062</v>
      </c>
      <c r="I210" s="836">
        <v>883087453</v>
      </c>
    </row>
    <row r="211" spans="1:9" ht="15">
      <c r="A211" s="1080" t="s">
        <v>2929</v>
      </c>
      <c r="B211" s="413">
        <v>793138128</v>
      </c>
      <c r="C211" s="413">
        <v>1012721348</v>
      </c>
      <c r="D211" s="413">
        <v>807716323</v>
      </c>
      <c r="E211" s="413">
        <v>1027299543</v>
      </c>
      <c r="F211" s="836">
        <v>807716323</v>
      </c>
      <c r="G211" s="836">
        <v>793138128</v>
      </c>
      <c r="H211" s="836">
        <v>1027299543</v>
      </c>
      <c r="I211" s="836">
        <v>1012721348</v>
      </c>
    </row>
    <row r="212" spans="1:9" ht="15">
      <c r="A212" s="1080" t="s">
        <v>2930</v>
      </c>
      <c r="B212" s="413">
        <v>141367418</v>
      </c>
      <c r="C212" s="413">
        <v>141367418</v>
      </c>
      <c r="D212" s="413">
        <v>142359664</v>
      </c>
      <c r="E212" s="413">
        <v>142359664</v>
      </c>
      <c r="F212" s="836">
        <v>142359664</v>
      </c>
      <c r="G212" s="836">
        <v>141367418</v>
      </c>
      <c r="H212" s="836">
        <v>142359664</v>
      </c>
      <c r="I212" s="836">
        <v>141367418</v>
      </c>
    </row>
    <row r="213" spans="1:9" ht="15">
      <c r="A213" s="1080" t="s">
        <v>1843</v>
      </c>
      <c r="B213" s="413">
        <v>15416075523</v>
      </c>
      <c r="C213" s="413">
        <v>15416075523</v>
      </c>
      <c r="D213" s="413">
        <v>15667157867</v>
      </c>
      <c r="E213" s="413">
        <v>15667157867</v>
      </c>
      <c r="F213" s="836">
        <v>15667157867</v>
      </c>
      <c r="G213" s="836">
        <v>15416075523</v>
      </c>
      <c r="H213" s="836">
        <v>15667157867</v>
      </c>
      <c r="I213" s="836">
        <v>15416075523</v>
      </c>
    </row>
    <row r="214" spans="1:9" ht="15">
      <c r="A214" s="1080" t="s">
        <v>421</v>
      </c>
      <c r="B214" s="413">
        <v>2702988674</v>
      </c>
      <c r="C214" s="413">
        <v>2702988674</v>
      </c>
      <c r="D214" s="413">
        <v>2802910304</v>
      </c>
      <c r="E214" s="413">
        <v>2802910304</v>
      </c>
      <c r="F214" s="836">
        <v>2802910304</v>
      </c>
      <c r="G214" s="836">
        <v>2702988674</v>
      </c>
      <c r="H214" s="836">
        <v>2802910304</v>
      </c>
      <c r="I214" s="836">
        <v>2702988674</v>
      </c>
    </row>
    <row r="215" spans="1:9" ht="15">
      <c r="A215" s="1080" t="s">
        <v>422</v>
      </c>
      <c r="B215" s="413">
        <v>90936843690</v>
      </c>
      <c r="C215" s="413">
        <v>90936843690</v>
      </c>
      <c r="D215" s="413">
        <v>92404593456</v>
      </c>
      <c r="E215" s="413">
        <v>92404593456</v>
      </c>
      <c r="F215" s="836">
        <v>90648887467</v>
      </c>
      <c r="G215" s="836">
        <v>89181137701</v>
      </c>
      <c r="H215" s="836">
        <v>90648887467</v>
      </c>
      <c r="I215" s="836">
        <v>89181137701</v>
      </c>
    </row>
    <row r="216" spans="1:9" ht="15">
      <c r="A216" s="1080" t="s">
        <v>423</v>
      </c>
      <c r="B216" s="413">
        <v>2230583033</v>
      </c>
      <c r="C216" s="413">
        <v>2230583033</v>
      </c>
      <c r="D216" s="413">
        <v>2342944202</v>
      </c>
      <c r="E216" s="413">
        <v>2342944202</v>
      </c>
      <c r="F216" s="836">
        <v>2342944202</v>
      </c>
      <c r="G216" s="836">
        <v>2230583033</v>
      </c>
      <c r="H216" s="836">
        <v>2342944202</v>
      </c>
      <c r="I216" s="836">
        <v>2230583033</v>
      </c>
    </row>
    <row r="217" spans="1:9" ht="15">
      <c r="A217" s="1080" t="s">
        <v>424</v>
      </c>
      <c r="B217" s="413">
        <v>3488899521</v>
      </c>
      <c r="C217" s="413">
        <v>3488899521</v>
      </c>
      <c r="D217" s="413">
        <v>3620392234</v>
      </c>
      <c r="E217" s="413">
        <v>3620392234</v>
      </c>
      <c r="F217" s="836">
        <v>3620392234</v>
      </c>
      <c r="G217" s="836">
        <v>3488899521</v>
      </c>
      <c r="H217" s="836">
        <v>3620392234</v>
      </c>
      <c r="I217" s="836">
        <v>3488899521</v>
      </c>
    </row>
    <row r="218" spans="1:9" ht="15">
      <c r="A218" s="1080" t="s">
        <v>2973</v>
      </c>
      <c r="B218" s="413">
        <v>14095895010</v>
      </c>
      <c r="C218" s="413">
        <v>14095895010</v>
      </c>
      <c r="D218" s="413">
        <v>14637454345</v>
      </c>
      <c r="E218" s="413">
        <v>14637454345</v>
      </c>
      <c r="F218" s="836">
        <v>14637454345</v>
      </c>
      <c r="G218" s="836">
        <v>14095895010</v>
      </c>
      <c r="H218" s="836">
        <v>14637454345</v>
      </c>
      <c r="I218" s="836">
        <v>14095895010</v>
      </c>
    </row>
    <row r="219" spans="1:9" ht="15">
      <c r="A219" s="1080" t="s">
        <v>741</v>
      </c>
      <c r="B219" s="413">
        <v>5036882242</v>
      </c>
      <c r="C219" s="413">
        <v>5036882242</v>
      </c>
      <c r="D219" s="413">
        <v>5228626670</v>
      </c>
      <c r="E219" s="413">
        <v>5228626670</v>
      </c>
      <c r="F219" s="836">
        <v>5228626670</v>
      </c>
      <c r="G219" s="836">
        <v>5036882242</v>
      </c>
      <c r="H219" s="836">
        <v>5228626670</v>
      </c>
      <c r="I219" s="836">
        <v>5036882242</v>
      </c>
    </row>
    <row r="220" spans="1:9" ht="15">
      <c r="A220" s="1080" t="s">
        <v>579</v>
      </c>
      <c r="B220" s="413">
        <v>14417484000</v>
      </c>
      <c r="C220" s="413">
        <v>14417484000</v>
      </c>
      <c r="D220" s="413">
        <v>14499243534</v>
      </c>
      <c r="E220" s="413">
        <v>14499243534</v>
      </c>
      <c r="F220" s="836">
        <v>13313983094</v>
      </c>
      <c r="G220" s="836">
        <v>13232223560</v>
      </c>
      <c r="H220" s="836">
        <v>13313983094</v>
      </c>
      <c r="I220" s="836">
        <v>13232223560</v>
      </c>
    </row>
    <row r="221" spans="1:9" ht="15">
      <c r="A221" s="1080" t="s">
        <v>48</v>
      </c>
      <c r="B221" s="413">
        <v>9710292640</v>
      </c>
      <c r="C221" s="413">
        <v>9710292640</v>
      </c>
      <c r="D221" s="413">
        <v>9927128305</v>
      </c>
      <c r="E221" s="413">
        <v>9927128305</v>
      </c>
      <c r="F221" s="836">
        <v>9927128305</v>
      </c>
      <c r="G221" s="836">
        <v>9710292640</v>
      </c>
      <c r="H221" s="836">
        <v>9927128305</v>
      </c>
      <c r="I221" s="836">
        <v>9710292640</v>
      </c>
    </row>
    <row r="222" spans="1:9" ht="15">
      <c r="A222" s="1080" t="s">
        <v>2028</v>
      </c>
      <c r="B222" s="413">
        <v>1718318880</v>
      </c>
      <c r="C222" s="413">
        <v>1718318880</v>
      </c>
      <c r="D222" s="413">
        <v>1789161729</v>
      </c>
      <c r="E222" s="413">
        <v>1789161729</v>
      </c>
      <c r="F222" s="836">
        <v>1789161729</v>
      </c>
      <c r="G222" s="836">
        <v>1718318880</v>
      </c>
      <c r="H222" s="836">
        <v>1789161729</v>
      </c>
      <c r="I222" s="836">
        <v>1718318880</v>
      </c>
    </row>
    <row r="223" spans="1:9" ht="15">
      <c r="A223" s="1080" t="s">
        <v>2898</v>
      </c>
      <c r="B223" s="413">
        <v>6143390791</v>
      </c>
      <c r="C223" s="413">
        <v>6143390791</v>
      </c>
      <c r="D223" s="413">
        <v>6412759627</v>
      </c>
      <c r="E223" s="413">
        <v>6412759627</v>
      </c>
      <c r="F223" s="836">
        <v>6412759627</v>
      </c>
      <c r="G223" s="836">
        <v>6143390791</v>
      </c>
      <c r="H223" s="836">
        <v>6412759627</v>
      </c>
      <c r="I223" s="836">
        <v>6143390791</v>
      </c>
    </row>
    <row r="224" spans="1:9" ht="15">
      <c r="A224" s="1080" t="s">
        <v>2029</v>
      </c>
      <c r="B224" s="413">
        <v>18274358695</v>
      </c>
      <c r="C224" s="413">
        <v>18274358695</v>
      </c>
      <c r="D224" s="413">
        <v>18673449895</v>
      </c>
      <c r="E224" s="413">
        <v>18673449895</v>
      </c>
      <c r="F224" s="836">
        <v>18208763176</v>
      </c>
      <c r="G224" s="836">
        <v>17809671976</v>
      </c>
      <c r="H224" s="836">
        <v>18208763176</v>
      </c>
      <c r="I224" s="836">
        <v>17809671976</v>
      </c>
    </row>
    <row r="225" spans="1:9" ht="15">
      <c r="A225" s="1080" t="s">
        <v>3087</v>
      </c>
      <c r="B225" s="413">
        <v>943334808</v>
      </c>
      <c r="C225" s="413">
        <v>943334808</v>
      </c>
      <c r="D225" s="413">
        <v>959675808</v>
      </c>
      <c r="E225" s="413">
        <v>959675808</v>
      </c>
      <c r="F225" s="836">
        <v>959675808</v>
      </c>
      <c r="G225" s="836">
        <v>943334808</v>
      </c>
      <c r="H225" s="836">
        <v>959675808</v>
      </c>
      <c r="I225" s="836">
        <v>943334808</v>
      </c>
    </row>
    <row r="226" spans="1:9" ht="15">
      <c r="A226" s="1080" t="s">
        <v>277</v>
      </c>
      <c r="B226" s="413">
        <v>9165186691</v>
      </c>
      <c r="C226" s="413">
        <v>9165186691</v>
      </c>
      <c r="D226" s="413">
        <v>9273674511</v>
      </c>
      <c r="E226" s="413">
        <v>9273674511</v>
      </c>
      <c r="F226" s="836">
        <v>9273674511</v>
      </c>
      <c r="G226" s="836">
        <v>9165186691</v>
      </c>
      <c r="H226" s="836">
        <v>9273674511</v>
      </c>
      <c r="I226" s="836">
        <v>9165186691</v>
      </c>
    </row>
    <row r="227" spans="1:9" ht="15">
      <c r="A227" s="1080" t="s">
        <v>278</v>
      </c>
      <c r="B227" s="413">
        <v>166284918</v>
      </c>
      <c r="C227" s="413">
        <v>166284918</v>
      </c>
      <c r="D227" s="413">
        <v>166830456</v>
      </c>
      <c r="E227" s="413">
        <v>166830456</v>
      </c>
      <c r="F227" s="836">
        <v>166830456</v>
      </c>
      <c r="G227" s="836">
        <v>166284918</v>
      </c>
      <c r="H227" s="836">
        <v>166830456</v>
      </c>
      <c r="I227" s="836">
        <v>166284918</v>
      </c>
    </row>
    <row r="228" spans="1:9" ht="15">
      <c r="A228" s="1080" t="s">
        <v>279</v>
      </c>
      <c r="B228" s="413">
        <v>1086436820</v>
      </c>
      <c r="C228" s="413">
        <v>1086436820</v>
      </c>
      <c r="D228" s="413">
        <v>1087837230</v>
      </c>
      <c r="E228" s="413">
        <v>1087837230</v>
      </c>
      <c r="F228" s="836">
        <v>1086439265</v>
      </c>
      <c r="G228" s="836">
        <v>1085038855</v>
      </c>
      <c r="H228" s="836">
        <v>1086439265</v>
      </c>
      <c r="I228" s="836">
        <v>1085038855</v>
      </c>
    </row>
    <row r="229" spans="1:9" ht="15">
      <c r="A229" s="1080" t="s">
        <v>280</v>
      </c>
      <c r="B229" s="413">
        <v>568525828</v>
      </c>
      <c r="C229" s="413">
        <v>568525828</v>
      </c>
      <c r="D229" s="413">
        <v>584199278</v>
      </c>
      <c r="E229" s="413">
        <v>584199278</v>
      </c>
      <c r="F229" s="836">
        <v>584199278</v>
      </c>
      <c r="G229" s="836">
        <v>568525828</v>
      </c>
      <c r="H229" s="836">
        <v>584199278</v>
      </c>
      <c r="I229" s="836">
        <v>568525828</v>
      </c>
    </row>
    <row r="230" spans="1:9" ht="15">
      <c r="A230" s="1080" t="s">
        <v>408</v>
      </c>
      <c r="B230" s="413">
        <v>816439995</v>
      </c>
      <c r="C230" s="413">
        <v>816439995</v>
      </c>
      <c r="D230" s="413">
        <v>817705151</v>
      </c>
      <c r="E230" s="413">
        <v>817705151</v>
      </c>
      <c r="F230" s="836">
        <v>816608707</v>
      </c>
      <c r="G230" s="836">
        <v>815343551</v>
      </c>
      <c r="H230" s="836">
        <v>816608707</v>
      </c>
      <c r="I230" s="836">
        <v>815343551</v>
      </c>
    </row>
    <row r="231" spans="1:9" ht="15">
      <c r="A231" s="1080" t="s">
        <v>2130</v>
      </c>
      <c r="B231" s="413">
        <v>1394815047</v>
      </c>
      <c r="C231" s="413">
        <v>1394815047</v>
      </c>
      <c r="D231" s="413">
        <v>1423305416</v>
      </c>
      <c r="E231" s="413">
        <v>1423305416</v>
      </c>
      <c r="F231" s="836">
        <v>1423305416</v>
      </c>
      <c r="G231" s="836">
        <v>1394815047</v>
      </c>
      <c r="H231" s="836">
        <v>1423305416</v>
      </c>
      <c r="I231" s="836">
        <v>1394815047</v>
      </c>
    </row>
    <row r="232" spans="1:9" ht="15">
      <c r="A232" s="1080" t="s">
        <v>1220</v>
      </c>
      <c r="B232" s="413">
        <v>43075236</v>
      </c>
      <c r="C232" s="413">
        <v>43075236</v>
      </c>
      <c r="D232" s="413">
        <v>43344636</v>
      </c>
      <c r="E232" s="413">
        <v>43344636</v>
      </c>
      <c r="F232" s="836">
        <v>43344636</v>
      </c>
      <c r="G232" s="836">
        <v>43075236</v>
      </c>
      <c r="H232" s="836">
        <v>43344636</v>
      </c>
      <c r="I232" s="836">
        <v>43075236</v>
      </c>
    </row>
    <row r="233" spans="1:9" ht="15">
      <c r="A233" s="1080" t="s">
        <v>1221</v>
      </c>
      <c r="B233" s="413">
        <v>167026258</v>
      </c>
      <c r="C233" s="413">
        <v>167026258</v>
      </c>
      <c r="D233" s="413">
        <v>177753585</v>
      </c>
      <c r="E233" s="413">
        <v>177753585</v>
      </c>
      <c r="F233" s="836">
        <v>177753585</v>
      </c>
      <c r="G233" s="836">
        <v>167026258</v>
      </c>
      <c r="H233" s="836">
        <v>177753585</v>
      </c>
      <c r="I233" s="836">
        <v>167026258</v>
      </c>
    </row>
    <row r="234" spans="1:9" ht="15">
      <c r="A234" s="1080" t="s">
        <v>711</v>
      </c>
      <c r="B234" s="413">
        <v>49346737</v>
      </c>
      <c r="C234" s="413">
        <v>49346737</v>
      </c>
      <c r="D234" s="413">
        <v>52168003</v>
      </c>
      <c r="E234" s="413">
        <v>52168003</v>
      </c>
      <c r="F234" s="836">
        <v>52168003</v>
      </c>
      <c r="G234" s="836">
        <v>49346737</v>
      </c>
      <c r="H234" s="836">
        <v>52168003</v>
      </c>
      <c r="I234" s="836">
        <v>49346737</v>
      </c>
    </row>
    <row r="235" spans="1:9" ht="15">
      <c r="A235" s="1080" t="s">
        <v>1222</v>
      </c>
      <c r="B235" s="413">
        <v>12667105436</v>
      </c>
      <c r="C235" s="413">
        <v>12667105436</v>
      </c>
      <c r="D235" s="413">
        <v>12960399436</v>
      </c>
      <c r="E235" s="413">
        <v>12960399436</v>
      </c>
      <c r="F235" s="836">
        <v>12960399436</v>
      </c>
      <c r="G235" s="836">
        <v>12667105436</v>
      </c>
      <c r="H235" s="836">
        <v>12960399436</v>
      </c>
      <c r="I235" s="836">
        <v>12667105436</v>
      </c>
    </row>
    <row r="236" spans="1:9" ht="15">
      <c r="A236" s="1080" t="s">
        <v>1989</v>
      </c>
      <c r="B236" s="413">
        <v>29222878636</v>
      </c>
      <c r="C236" s="413">
        <v>29222878636</v>
      </c>
      <c r="D236" s="413">
        <v>29785311091</v>
      </c>
      <c r="E236" s="413">
        <v>29785311091</v>
      </c>
      <c r="F236" s="836">
        <v>29785311091</v>
      </c>
      <c r="G236" s="836">
        <v>29222878636</v>
      </c>
      <c r="H236" s="836">
        <v>29785311091</v>
      </c>
      <c r="I236" s="836">
        <v>29222878636</v>
      </c>
    </row>
    <row r="237" spans="1:9" ht="15">
      <c r="A237" s="1080" t="s">
        <v>240</v>
      </c>
      <c r="B237" s="413">
        <v>579738167</v>
      </c>
      <c r="C237" s="413">
        <v>579738167</v>
      </c>
      <c r="D237" s="413">
        <v>596175572</v>
      </c>
      <c r="E237" s="413">
        <v>596175572</v>
      </c>
      <c r="F237" s="836">
        <v>596175572</v>
      </c>
      <c r="G237" s="836">
        <v>579738167</v>
      </c>
      <c r="H237" s="836">
        <v>596175572</v>
      </c>
      <c r="I237" s="836">
        <v>579738167</v>
      </c>
    </row>
    <row r="238" spans="1:9" ht="15">
      <c r="A238" s="1080" t="s">
        <v>815</v>
      </c>
      <c r="B238" s="413">
        <v>735719105</v>
      </c>
      <c r="C238" s="413">
        <v>735719105</v>
      </c>
      <c r="D238" s="413">
        <v>755151613</v>
      </c>
      <c r="E238" s="413">
        <v>755151613</v>
      </c>
      <c r="F238" s="836">
        <v>755151613</v>
      </c>
      <c r="G238" s="836">
        <v>735719105</v>
      </c>
      <c r="H238" s="836">
        <v>755151613</v>
      </c>
      <c r="I238" s="836">
        <v>735719105</v>
      </c>
    </row>
    <row r="239" spans="1:9" ht="15">
      <c r="A239" s="1080" t="s">
        <v>242</v>
      </c>
      <c r="B239" s="413">
        <v>706232230</v>
      </c>
      <c r="C239" s="413">
        <v>706232230</v>
      </c>
      <c r="D239" s="413">
        <v>718117183</v>
      </c>
      <c r="E239" s="413">
        <v>718117183</v>
      </c>
      <c r="F239" s="836">
        <v>718117183</v>
      </c>
      <c r="G239" s="836">
        <v>706232230</v>
      </c>
      <c r="H239" s="836">
        <v>718117183</v>
      </c>
      <c r="I239" s="836">
        <v>706232230</v>
      </c>
    </row>
    <row r="240" spans="1:9" ht="15">
      <c r="A240" s="1080" t="s">
        <v>1893</v>
      </c>
      <c r="B240" s="413">
        <v>717051044</v>
      </c>
      <c r="C240" s="413">
        <v>717051044</v>
      </c>
      <c r="D240" s="413">
        <v>741342617</v>
      </c>
      <c r="E240" s="413">
        <v>741342617</v>
      </c>
      <c r="F240" s="836">
        <v>741342617</v>
      </c>
      <c r="G240" s="836">
        <v>717051044</v>
      </c>
      <c r="H240" s="836">
        <v>741342617</v>
      </c>
      <c r="I240" s="836">
        <v>717051044</v>
      </c>
    </row>
    <row r="241" spans="1:9" ht="15">
      <c r="A241" s="1080" t="s">
        <v>532</v>
      </c>
      <c r="B241" s="413">
        <v>823354345</v>
      </c>
      <c r="C241" s="413">
        <v>823354345</v>
      </c>
      <c r="D241" s="413">
        <v>851232019</v>
      </c>
      <c r="E241" s="413">
        <v>851232019</v>
      </c>
      <c r="F241" s="836">
        <v>851232019</v>
      </c>
      <c r="G241" s="836">
        <v>823354345</v>
      </c>
      <c r="H241" s="836">
        <v>851232019</v>
      </c>
      <c r="I241" s="836">
        <v>823354345</v>
      </c>
    </row>
    <row r="242" spans="1:9" ht="15">
      <c r="A242" s="1080" t="s">
        <v>2099</v>
      </c>
      <c r="B242" s="413">
        <v>1319693996</v>
      </c>
      <c r="C242" s="413">
        <v>1319693996</v>
      </c>
      <c r="D242" s="413">
        <v>1342177268</v>
      </c>
      <c r="E242" s="413">
        <v>1342177268</v>
      </c>
      <c r="F242" s="836">
        <v>1342177268</v>
      </c>
      <c r="G242" s="836">
        <v>1319693996</v>
      </c>
      <c r="H242" s="836">
        <v>1342177268</v>
      </c>
      <c r="I242" s="836">
        <v>1319693996</v>
      </c>
    </row>
    <row r="243" spans="1:9" ht="15">
      <c r="A243" s="1080" t="s">
        <v>1590</v>
      </c>
      <c r="B243" s="413">
        <v>12099913749</v>
      </c>
      <c r="C243" s="413">
        <v>12099913749</v>
      </c>
      <c r="D243" s="413">
        <v>12302904434</v>
      </c>
      <c r="E243" s="413">
        <v>12302904434</v>
      </c>
      <c r="F243" s="836">
        <v>12302904434</v>
      </c>
      <c r="G243" s="836">
        <v>12099913749</v>
      </c>
      <c r="H243" s="836">
        <v>12302904434</v>
      </c>
      <c r="I243" s="836">
        <v>12099913749</v>
      </c>
    </row>
    <row r="244" spans="1:9" ht="15">
      <c r="A244" s="1080" t="s">
        <v>68</v>
      </c>
      <c r="B244" s="413">
        <v>1419973281</v>
      </c>
      <c r="C244" s="413">
        <v>1419973281</v>
      </c>
      <c r="D244" s="413">
        <v>1466510596</v>
      </c>
      <c r="E244" s="413">
        <v>1466510596</v>
      </c>
      <c r="F244" s="836">
        <v>1466510596</v>
      </c>
      <c r="G244" s="836">
        <v>1419973281</v>
      </c>
      <c r="H244" s="836">
        <v>1466510596</v>
      </c>
      <c r="I244" s="836">
        <v>1419973281</v>
      </c>
    </row>
    <row r="245" spans="1:9" ht="15">
      <c r="A245" s="1080" t="s">
        <v>712</v>
      </c>
      <c r="B245" s="413">
        <v>2673026804</v>
      </c>
      <c r="C245" s="413">
        <v>2673026804</v>
      </c>
      <c r="D245" s="413">
        <v>2750897925</v>
      </c>
      <c r="E245" s="413">
        <v>2750897925</v>
      </c>
      <c r="F245" s="836">
        <v>2750897925</v>
      </c>
      <c r="G245" s="836">
        <v>2673026804</v>
      </c>
      <c r="H245" s="836">
        <v>2750897925</v>
      </c>
      <c r="I245" s="836">
        <v>2673026804</v>
      </c>
    </row>
    <row r="246" spans="1:9" ht="15">
      <c r="A246" s="1080" t="s">
        <v>2864</v>
      </c>
      <c r="B246" s="413">
        <v>1608595790</v>
      </c>
      <c r="C246" s="413">
        <v>1608595790</v>
      </c>
      <c r="D246" s="413">
        <v>1626431870</v>
      </c>
      <c r="E246" s="413">
        <v>1626431870</v>
      </c>
      <c r="F246" s="836">
        <v>1626431870</v>
      </c>
      <c r="G246" s="836">
        <v>1608595790</v>
      </c>
      <c r="H246" s="836">
        <v>1626431870</v>
      </c>
      <c r="I246" s="836">
        <v>1608595790</v>
      </c>
    </row>
    <row r="247" spans="1:9" ht="15">
      <c r="A247" s="1080" t="s">
        <v>2100</v>
      </c>
      <c r="B247" s="413">
        <v>868523488</v>
      </c>
      <c r="C247" s="413">
        <v>868523488</v>
      </c>
      <c r="D247" s="413">
        <v>870480168</v>
      </c>
      <c r="E247" s="413">
        <v>870480168</v>
      </c>
      <c r="F247" s="836">
        <v>870480168</v>
      </c>
      <c r="G247" s="836">
        <v>868523488</v>
      </c>
      <c r="H247" s="836">
        <v>870480168</v>
      </c>
      <c r="I247" s="836">
        <v>868523488</v>
      </c>
    </row>
    <row r="248" spans="1:9" ht="15">
      <c r="A248" s="1080" t="s">
        <v>1352</v>
      </c>
      <c r="B248" s="413">
        <v>828918568</v>
      </c>
      <c r="C248" s="413">
        <v>1275818808</v>
      </c>
      <c r="D248" s="413">
        <v>847381091</v>
      </c>
      <c r="E248" s="413">
        <v>1294281331</v>
      </c>
      <c r="F248" s="836">
        <v>847381091</v>
      </c>
      <c r="G248" s="836">
        <v>828918568</v>
      </c>
      <c r="H248" s="836">
        <v>1294281331</v>
      </c>
      <c r="I248" s="836">
        <v>1275818808</v>
      </c>
    </row>
    <row r="249" spans="1:9" ht="15">
      <c r="A249" s="1080" t="s">
        <v>2101</v>
      </c>
      <c r="B249" s="413">
        <v>2150931601</v>
      </c>
      <c r="C249" s="413">
        <v>2150931601</v>
      </c>
      <c r="D249" s="413">
        <v>2159721941</v>
      </c>
      <c r="E249" s="413">
        <v>2159721941</v>
      </c>
      <c r="F249" s="836">
        <v>2159721941</v>
      </c>
      <c r="G249" s="836">
        <v>2150931601</v>
      </c>
      <c r="H249" s="836">
        <v>2159721941</v>
      </c>
      <c r="I249" s="836">
        <v>2150931601</v>
      </c>
    </row>
    <row r="250" spans="1:9" ht="15">
      <c r="A250" s="1080" t="s">
        <v>796</v>
      </c>
      <c r="B250" s="413">
        <v>1114897667</v>
      </c>
      <c r="C250" s="413">
        <v>1114897667</v>
      </c>
      <c r="D250" s="413">
        <v>1116185667</v>
      </c>
      <c r="E250" s="413">
        <v>1116185667</v>
      </c>
      <c r="F250" s="836">
        <v>1116185667</v>
      </c>
      <c r="G250" s="836">
        <v>1114897667</v>
      </c>
      <c r="H250" s="836">
        <v>1116185667</v>
      </c>
      <c r="I250" s="836">
        <v>1114897667</v>
      </c>
    </row>
    <row r="251" spans="1:9" ht="15">
      <c r="A251" s="1080" t="s">
        <v>330</v>
      </c>
      <c r="B251" s="413">
        <v>67737758</v>
      </c>
      <c r="C251" s="413">
        <v>67737758</v>
      </c>
      <c r="D251" s="413">
        <v>70927964</v>
      </c>
      <c r="E251" s="413">
        <v>70927964</v>
      </c>
      <c r="F251" s="836">
        <v>70927964</v>
      </c>
      <c r="G251" s="836">
        <v>67737758</v>
      </c>
      <c r="H251" s="836">
        <v>70927964</v>
      </c>
      <c r="I251" s="836">
        <v>67737758</v>
      </c>
    </row>
    <row r="252" spans="1:9" ht="15">
      <c r="A252" s="1080" t="s">
        <v>203</v>
      </c>
      <c r="B252" s="413">
        <v>150692216</v>
      </c>
      <c r="C252" s="413">
        <v>254369626</v>
      </c>
      <c r="D252" s="413">
        <v>153393506</v>
      </c>
      <c r="E252" s="413">
        <v>257070916</v>
      </c>
      <c r="F252" s="836">
        <v>153393506</v>
      </c>
      <c r="G252" s="836">
        <v>150692216</v>
      </c>
      <c r="H252" s="836">
        <v>257070916</v>
      </c>
      <c r="I252" s="836">
        <v>254369626</v>
      </c>
    </row>
    <row r="253" spans="1:9" ht="15">
      <c r="A253" s="1080" t="s">
        <v>204</v>
      </c>
      <c r="B253" s="413">
        <v>72817111</v>
      </c>
      <c r="C253" s="413">
        <v>72817111</v>
      </c>
      <c r="D253" s="413">
        <v>73260381</v>
      </c>
      <c r="E253" s="413">
        <v>73260381</v>
      </c>
      <c r="F253" s="836">
        <v>73260381</v>
      </c>
      <c r="G253" s="836">
        <v>72817111</v>
      </c>
      <c r="H253" s="836">
        <v>73260381</v>
      </c>
      <c r="I253" s="836">
        <v>72817111</v>
      </c>
    </row>
    <row r="254" spans="1:9" ht="15">
      <c r="A254" s="1080" t="s">
        <v>816</v>
      </c>
      <c r="B254" s="413">
        <v>5998433849</v>
      </c>
      <c r="C254" s="413">
        <v>5998433849</v>
      </c>
      <c r="D254" s="413">
        <v>6014444313</v>
      </c>
      <c r="E254" s="413">
        <v>6014444313</v>
      </c>
      <c r="F254" s="836">
        <v>6002656635</v>
      </c>
      <c r="G254" s="836">
        <v>5986646171</v>
      </c>
      <c r="H254" s="836">
        <v>6002656635</v>
      </c>
      <c r="I254" s="836">
        <v>5986646171</v>
      </c>
    </row>
    <row r="255" spans="1:9" ht="15">
      <c r="A255" s="1080" t="s">
        <v>3025</v>
      </c>
      <c r="B255" s="413">
        <v>140447226</v>
      </c>
      <c r="C255" s="413">
        <v>140447226</v>
      </c>
      <c r="D255" s="413">
        <v>146262474</v>
      </c>
      <c r="E255" s="413">
        <v>146262474</v>
      </c>
      <c r="F255" s="836">
        <v>146262474</v>
      </c>
      <c r="G255" s="836">
        <v>140447226</v>
      </c>
      <c r="H255" s="836">
        <v>146262474</v>
      </c>
      <c r="I255" s="836">
        <v>140447226</v>
      </c>
    </row>
    <row r="256" spans="1:9" ht="15">
      <c r="A256" s="1080" t="s">
        <v>1753</v>
      </c>
      <c r="B256" s="413">
        <v>51838365</v>
      </c>
      <c r="C256" s="413">
        <v>51838365</v>
      </c>
      <c r="D256" s="413">
        <v>52495032</v>
      </c>
      <c r="E256" s="413">
        <v>52495032</v>
      </c>
      <c r="F256" s="836">
        <v>52495032</v>
      </c>
      <c r="G256" s="836">
        <v>51838365</v>
      </c>
      <c r="H256" s="836">
        <v>52495032</v>
      </c>
      <c r="I256" s="836">
        <v>51838365</v>
      </c>
    </row>
    <row r="257" spans="1:9" ht="15">
      <c r="A257" s="1080" t="s">
        <v>3026</v>
      </c>
      <c r="B257" s="413">
        <v>21384902</v>
      </c>
      <c r="C257" s="413">
        <v>21384902</v>
      </c>
      <c r="D257" s="413">
        <v>21584702</v>
      </c>
      <c r="E257" s="413">
        <v>21584702</v>
      </c>
      <c r="F257" s="836">
        <v>21444143</v>
      </c>
      <c r="G257" s="836">
        <v>21244343</v>
      </c>
      <c r="H257" s="836">
        <v>21444143</v>
      </c>
      <c r="I257" s="836">
        <v>21244343</v>
      </c>
    </row>
    <row r="258" spans="1:9" ht="15">
      <c r="A258" s="1080" t="s">
        <v>3027</v>
      </c>
      <c r="B258" s="413">
        <v>227459436</v>
      </c>
      <c r="C258" s="413">
        <v>227459436</v>
      </c>
      <c r="D258" s="413">
        <v>230921997</v>
      </c>
      <c r="E258" s="413">
        <v>230921997</v>
      </c>
      <c r="F258" s="836">
        <v>230921997</v>
      </c>
      <c r="G258" s="836">
        <v>227459436</v>
      </c>
      <c r="H258" s="836">
        <v>230921997</v>
      </c>
      <c r="I258" s="836">
        <v>227459436</v>
      </c>
    </row>
    <row r="259" spans="1:9" ht="15">
      <c r="A259" s="1080" t="s">
        <v>817</v>
      </c>
      <c r="B259" s="413">
        <v>179912186</v>
      </c>
      <c r="C259" s="413">
        <v>179912186</v>
      </c>
      <c r="D259" s="413">
        <v>187342859</v>
      </c>
      <c r="E259" s="413">
        <v>187342859</v>
      </c>
      <c r="F259" s="836">
        <v>187342859</v>
      </c>
      <c r="G259" s="836">
        <v>179912186</v>
      </c>
      <c r="H259" s="836">
        <v>187342859</v>
      </c>
      <c r="I259" s="836">
        <v>179912186</v>
      </c>
    </row>
    <row r="260" spans="1:9" ht="15">
      <c r="A260" s="1080" t="s">
        <v>776</v>
      </c>
      <c r="B260" s="413">
        <v>321179413</v>
      </c>
      <c r="C260" s="413">
        <v>321179413</v>
      </c>
      <c r="D260" s="413">
        <v>326911943</v>
      </c>
      <c r="E260" s="413">
        <v>326911943</v>
      </c>
      <c r="F260" s="836">
        <v>323896837</v>
      </c>
      <c r="G260" s="836">
        <v>318164307</v>
      </c>
      <c r="H260" s="836">
        <v>323896837</v>
      </c>
      <c r="I260" s="836">
        <v>318164307</v>
      </c>
    </row>
    <row r="261" spans="1:9" ht="15">
      <c r="A261" s="1080" t="s">
        <v>2463</v>
      </c>
      <c r="B261" s="413">
        <v>686734657</v>
      </c>
      <c r="C261" s="413">
        <v>686734657</v>
      </c>
      <c r="D261" s="413">
        <v>696611437</v>
      </c>
      <c r="E261" s="413">
        <v>696611437</v>
      </c>
      <c r="F261" s="836">
        <v>696611437</v>
      </c>
      <c r="G261" s="836">
        <v>686734657</v>
      </c>
      <c r="H261" s="836">
        <v>696611437</v>
      </c>
      <c r="I261" s="836">
        <v>686734657</v>
      </c>
    </row>
    <row r="262" spans="1:9" ht="15">
      <c r="A262" s="1080" t="s">
        <v>2620</v>
      </c>
      <c r="B262" s="413">
        <v>442631213</v>
      </c>
      <c r="C262" s="413">
        <v>442631213</v>
      </c>
      <c r="D262" s="413">
        <v>457268733</v>
      </c>
      <c r="E262" s="413">
        <v>457268733</v>
      </c>
      <c r="F262" s="836">
        <v>457268733</v>
      </c>
      <c r="G262" s="836">
        <v>442631213</v>
      </c>
      <c r="H262" s="836">
        <v>457268733</v>
      </c>
      <c r="I262" s="836">
        <v>442631213</v>
      </c>
    </row>
    <row r="263" spans="1:9" ht="15">
      <c r="A263" s="1080" t="s">
        <v>2007</v>
      </c>
      <c r="B263" s="413">
        <v>107629753</v>
      </c>
      <c r="C263" s="413">
        <v>107629753</v>
      </c>
      <c r="D263" s="413">
        <v>111047761</v>
      </c>
      <c r="E263" s="413">
        <v>111047761</v>
      </c>
      <c r="F263" s="836">
        <v>111047761</v>
      </c>
      <c r="G263" s="836">
        <v>107629753</v>
      </c>
      <c r="H263" s="836">
        <v>111047761</v>
      </c>
      <c r="I263" s="836">
        <v>107629753</v>
      </c>
    </row>
    <row r="264" spans="1:9" ht="15">
      <c r="A264" s="1080" t="s">
        <v>672</v>
      </c>
      <c r="B264" s="413">
        <v>108214301</v>
      </c>
      <c r="C264" s="413">
        <v>108214301</v>
      </c>
      <c r="D264" s="413">
        <v>112516561</v>
      </c>
      <c r="E264" s="413">
        <v>112516561</v>
      </c>
      <c r="F264" s="836">
        <v>112516561</v>
      </c>
      <c r="G264" s="836">
        <v>108214301</v>
      </c>
      <c r="H264" s="836">
        <v>112516561</v>
      </c>
      <c r="I264" s="836">
        <v>108214301</v>
      </c>
    </row>
    <row r="265" spans="1:9" ht="15">
      <c r="A265" s="1080" t="s">
        <v>1034</v>
      </c>
      <c r="B265" s="413">
        <v>44161614</v>
      </c>
      <c r="C265" s="413">
        <v>44161614</v>
      </c>
      <c r="D265" s="413">
        <v>46809054</v>
      </c>
      <c r="E265" s="413">
        <v>46809054</v>
      </c>
      <c r="F265" s="836">
        <v>46809054</v>
      </c>
      <c r="G265" s="836">
        <v>44161614</v>
      </c>
      <c r="H265" s="836">
        <v>46809054</v>
      </c>
      <c r="I265" s="836">
        <v>44161614</v>
      </c>
    </row>
    <row r="266" spans="1:9" ht="15">
      <c r="A266" s="1080" t="s">
        <v>2442</v>
      </c>
      <c r="B266" s="413">
        <v>13748494807</v>
      </c>
      <c r="C266" s="413">
        <v>13748494807</v>
      </c>
      <c r="D266" s="413">
        <v>13999723538</v>
      </c>
      <c r="E266" s="413">
        <v>13999723538</v>
      </c>
      <c r="F266" s="836">
        <v>13630698482</v>
      </c>
      <c r="G266" s="836">
        <v>13379469751</v>
      </c>
      <c r="H266" s="836">
        <v>13630698482</v>
      </c>
      <c r="I266" s="836">
        <v>13379469751</v>
      </c>
    </row>
    <row r="267" spans="1:9" ht="15">
      <c r="A267" s="1080" t="s">
        <v>2976</v>
      </c>
      <c r="B267" s="413">
        <v>293106741</v>
      </c>
      <c r="C267" s="413">
        <v>293106741</v>
      </c>
      <c r="D267" s="413">
        <v>293106741</v>
      </c>
      <c r="E267" s="413">
        <v>293106741</v>
      </c>
      <c r="F267" s="836">
        <v>293106741</v>
      </c>
      <c r="G267" s="836">
        <v>293106741</v>
      </c>
      <c r="H267" s="836">
        <v>293106741</v>
      </c>
      <c r="I267" s="836">
        <v>293106741</v>
      </c>
    </row>
    <row r="268" spans="1:9" ht="15">
      <c r="A268" s="1080" t="s">
        <v>2745</v>
      </c>
      <c r="B268" s="413">
        <v>214437930</v>
      </c>
      <c r="C268" s="413">
        <v>214437930</v>
      </c>
      <c r="D268" s="413">
        <v>216344467</v>
      </c>
      <c r="E268" s="413">
        <v>216344467</v>
      </c>
      <c r="F268" s="836">
        <v>216344467</v>
      </c>
      <c r="G268" s="836">
        <v>214437930</v>
      </c>
      <c r="H268" s="836">
        <v>216344467</v>
      </c>
      <c r="I268" s="836">
        <v>214437930</v>
      </c>
    </row>
    <row r="269" spans="1:9" ht="15">
      <c r="A269" s="1080" t="s">
        <v>274</v>
      </c>
      <c r="B269" s="413">
        <v>35917625</v>
      </c>
      <c r="C269" s="413">
        <v>35917625</v>
      </c>
      <c r="D269" s="413">
        <v>37383661</v>
      </c>
      <c r="E269" s="413">
        <v>37383661</v>
      </c>
      <c r="F269" s="836">
        <v>37383661</v>
      </c>
      <c r="G269" s="836">
        <v>35917625</v>
      </c>
      <c r="H269" s="836">
        <v>37383661</v>
      </c>
      <c r="I269" s="836">
        <v>35917625</v>
      </c>
    </row>
    <row r="270" spans="1:9" ht="15">
      <c r="A270" s="1080" t="s">
        <v>1585</v>
      </c>
      <c r="B270" s="413">
        <v>1794328761</v>
      </c>
      <c r="C270" s="413">
        <v>1794328761</v>
      </c>
      <c r="D270" s="413">
        <v>1840270648</v>
      </c>
      <c r="E270" s="413">
        <v>1840270648</v>
      </c>
      <c r="F270" s="836">
        <v>1840270648</v>
      </c>
      <c r="G270" s="836">
        <v>1794328761</v>
      </c>
      <c r="H270" s="836">
        <v>1840270648</v>
      </c>
      <c r="I270" s="836">
        <v>1794328761</v>
      </c>
    </row>
    <row r="271" spans="1:9" ht="15">
      <c r="A271" s="1080" t="s">
        <v>1586</v>
      </c>
      <c r="B271" s="413">
        <v>307308282</v>
      </c>
      <c r="C271" s="413">
        <v>307308282</v>
      </c>
      <c r="D271" s="413">
        <v>323780219</v>
      </c>
      <c r="E271" s="413">
        <v>323780219</v>
      </c>
      <c r="F271" s="836">
        <v>323780219</v>
      </c>
      <c r="G271" s="836">
        <v>307308282</v>
      </c>
      <c r="H271" s="836">
        <v>323780219</v>
      </c>
      <c r="I271" s="836">
        <v>307308282</v>
      </c>
    </row>
    <row r="272" spans="1:9" ht="15">
      <c r="A272" s="1080" t="s">
        <v>818</v>
      </c>
      <c r="B272" s="413">
        <v>95433011</v>
      </c>
      <c r="C272" s="413">
        <v>95433011</v>
      </c>
      <c r="D272" s="413">
        <v>100845668</v>
      </c>
      <c r="E272" s="413">
        <v>100845668</v>
      </c>
      <c r="F272" s="836">
        <v>100845668</v>
      </c>
      <c r="G272" s="836">
        <v>95433011</v>
      </c>
      <c r="H272" s="836">
        <v>100845668</v>
      </c>
      <c r="I272" s="836">
        <v>95433011</v>
      </c>
    </row>
    <row r="273" spans="1:9" ht="15">
      <c r="A273" s="1080" t="s">
        <v>1581</v>
      </c>
      <c r="B273" s="413">
        <v>3169190157</v>
      </c>
      <c r="C273" s="413">
        <v>3169190157</v>
      </c>
      <c r="D273" s="413">
        <v>3260445715</v>
      </c>
      <c r="E273" s="413">
        <v>3260445715</v>
      </c>
      <c r="F273" s="836">
        <v>3165519444</v>
      </c>
      <c r="G273" s="836">
        <v>3074263886</v>
      </c>
      <c r="H273" s="836">
        <v>3165519444</v>
      </c>
      <c r="I273" s="836">
        <v>3074263886</v>
      </c>
    </row>
    <row r="274" spans="1:9" ht="15">
      <c r="A274" s="1080" t="s">
        <v>1049</v>
      </c>
      <c r="B274" s="413">
        <v>76992921</v>
      </c>
      <c r="C274" s="413">
        <v>76992921</v>
      </c>
      <c r="D274" s="413">
        <v>79197926</v>
      </c>
      <c r="E274" s="413">
        <v>79197926</v>
      </c>
      <c r="F274" s="836">
        <v>79197926</v>
      </c>
      <c r="G274" s="836">
        <v>76992921</v>
      </c>
      <c r="H274" s="836">
        <v>79197926</v>
      </c>
      <c r="I274" s="836">
        <v>76992921</v>
      </c>
    </row>
    <row r="275" spans="1:9" ht="15">
      <c r="A275" s="1080" t="s">
        <v>275</v>
      </c>
      <c r="B275" s="413">
        <v>217688340</v>
      </c>
      <c r="C275" s="413">
        <v>217688340</v>
      </c>
      <c r="D275" s="413">
        <v>228707202</v>
      </c>
      <c r="E275" s="413">
        <v>228707202</v>
      </c>
      <c r="F275" s="836">
        <v>228707202</v>
      </c>
      <c r="G275" s="836">
        <v>217688340</v>
      </c>
      <c r="H275" s="836">
        <v>228707202</v>
      </c>
      <c r="I275" s="836">
        <v>217688340</v>
      </c>
    </row>
    <row r="276" spans="1:9" ht="15">
      <c r="A276" s="1080" t="s">
        <v>2382</v>
      </c>
      <c r="B276" s="413">
        <v>1423948006</v>
      </c>
      <c r="C276" s="413">
        <v>1423948006</v>
      </c>
      <c r="D276" s="413">
        <v>1485004320</v>
      </c>
      <c r="E276" s="413">
        <v>1485004320</v>
      </c>
      <c r="F276" s="836">
        <v>1485004320</v>
      </c>
      <c r="G276" s="836">
        <v>1423948006</v>
      </c>
      <c r="H276" s="836">
        <v>1485004320</v>
      </c>
      <c r="I276" s="836">
        <v>1423948006</v>
      </c>
    </row>
    <row r="277" spans="1:9" ht="15">
      <c r="A277" s="1080" t="s">
        <v>375</v>
      </c>
      <c r="B277" s="413">
        <v>3071158583</v>
      </c>
      <c r="C277" s="413">
        <v>3071158583</v>
      </c>
      <c r="D277" s="413">
        <v>3158559971</v>
      </c>
      <c r="E277" s="413">
        <v>3158559971</v>
      </c>
      <c r="F277" s="836">
        <v>3158559971</v>
      </c>
      <c r="G277" s="836">
        <v>3071158583</v>
      </c>
      <c r="H277" s="836">
        <v>3158559971</v>
      </c>
      <c r="I277" s="836">
        <v>3071158583</v>
      </c>
    </row>
    <row r="278" spans="1:9" ht="15">
      <c r="A278" s="1080" t="s">
        <v>819</v>
      </c>
      <c r="B278" s="413">
        <v>270502458</v>
      </c>
      <c r="C278" s="413">
        <v>270502458</v>
      </c>
      <c r="D278" s="413">
        <v>281087513</v>
      </c>
      <c r="E278" s="413">
        <v>281087513</v>
      </c>
      <c r="F278" s="836">
        <v>281087513</v>
      </c>
      <c r="G278" s="836">
        <v>270502458</v>
      </c>
      <c r="H278" s="836">
        <v>281087513</v>
      </c>
      <c r="I278" s="836">
        <v>270502458</v>
      </c>
    </row>
    <row r="279" spans="1:9" ht="15">
      <c r="A279" s="1080" t="s">
        <v>629</v>
      </c>
      <c r="B279" s="413">
        <v>1020839122</v>
      </c>
      <c r="C279" s="413">
        <v>1020839122</v>
      </c>
      <c r="D279" s="413">
        <v>1079164471</v>
      </c>
      <c r="E279" s="413">
        <v>1079164471</v>
      </c>
      <c r="F279" s="836">
        <v>1079164471</v>
      </c>
      <c r="G279" s="836">
        <v>1020839122</v>
      </c>
      <c r="H279" s="836">
        <v>1079164471</v>
      </c>
      <c r="I279" s="836">
        <v>1020839122</v>
      </c>
    </row>
    <row r="280" spans="1:9" ht="15">
      <c r="A280" s="1080" t="s">
        <v>2767</v>
      </c>
      <c r="B280" s="413">
        <v>15552572582</v>
      </c>
      <c r="C280" s="413">
        <v>15552572582</v>
      </c>
      <c r="D280" s="413">
        <v>16103457604</v>
      </c>
      <c r="E280" s="413">
        <v>16103457604</v>
      </c>
      <c r="F280" s="836">
        <v>16103457604</v>
      </c>
      <c r="G280" s="836">
        <v>15552572582</v>
      </c>
      <c r="H280" s="836">
        <v>16103457604</v>
      </c>
      <c r="I280" s="836">
        <v>15552572582</v>
      </c>
    </row>
    <row r="281" spans="1:9" ht="15">
      <c r="A281" s="1080" t="s">
        <v>878</v>
      </c>
      <c r="B281" s="413">
        <v>160843525</v>
      </c>
      <c r="C281" s="413">
        <v>160843525</v>
      </c>
      <c r="D281" s="413">
        <v>168652643</v>
      </c>
      <c r="E281" s="413">
        <v>168652643</v>
      </c>
      <c r="F281" s="836">
        <v>168652643</v>
      </c>
      <c r="G281" s="836">
        <v>160843525</v>
      </c>
      <c r="H281" s="836">
        <v>168652643</v>
      </c>
      <c r="I281" s="836">
        <v>160843525</v>
      </c>
    </row>
    <row r="282" spans="1:9" ht="15">
      <c r="A282" s="1080" t="s">
        <v>212</v>
      </c>
      <c r="B282" s="413">
        <v>190303184</v>
      </c>
      <c r="C282" s="413">
        <v>190303184</v>
      </c>
      <c r="D282" s="413">
        <v>201873130</v>
      </c>
      <c r="E282" s="413">
        <v>201873130</v>
      </c>
      <c r="F282" s="836">
        <v>201873130</v>
      </c>
      <c r="G282" s="836">
        <v>190303184</v>
      </c>
      <c r="H282" s="836">
        <v>201873130</v>
      </c>
      <c r="I282" s="836">
        <v>190303184</v>
      </c>
    </row>
    <row r="283" spans="1:9" ht="15">
      <c r="A283" s="1080" t="s">
        <v>1353</v>
      </c>
      <c r="B283" s="413">
        <v>6735182984</v>
      </c>
      <c r="C283" s="413">
        <v>6735182984</v>
      </c>
      <c r="D283" s="413">
        <v>7094653760</v>
      </c>
      <c r="E283" s="413">
        <v>7094653760</v>
      </c>
      <c r="F283" s="836">
        <v>6711833726</v>
      </c>
      <c r="G283" s="836">
        <v>6352362950</v>
      </c>
      <c r="H283" s="836">
        <v>6711833726</v>
      </c>
      <c r="I283" s="836">
        <v>6352362950</v>
      </c>
    </row>
    <row r="284" spans="1:9" ht="15">
      <c r="A284" s="1080" t="s">
        <v>2401</v>
      </c>
      <c r="B284" s="413">
        <v>176951068</v>
      </c>
      <c r="C284" s="413">
        <v>176951068</v>
      </c>
      <c r="D284" s="413">
        <v>183337849</v>
      </c>
      <c r="E284" s="413">
        <v>183337849</v>
      </c>
      <c r="F284" s="836">
        <v>183337849</v>
      </c>
      <c r="G284" s="836">
        <v>176951068</v>
      </c>
      <c r="H284" s="836">
        <v>183337849</v>
      </c>
      <c r="I284" s="836">
        <v>176951068</v>
      </c>
    </row>
    <row r="285" spans="1:9" ht="15">
      <c r="A285" s="1080" t="s">
        <v>2157</v>
      </c>
      <c r="B285" s="413">
        <v>1733675303</v>
      </c>
      <c r="C285" s="413">
        <v>1733675303</v>
      </c>
      <c r="D285" s="413">
        <v>1781453698</v>
      </c>
      <c r="E285" s="413">
        <v>1781453698</v>
      </c>
      <c r="F285" s="836">
        <v>1781453698</v>
      </c>
      <c r="G285" s="836">
        <v>1733675303</v>
      </c>
      <c r="H285" s="836">
        <v>1781453698</v>
      </c>
      <c r="I285" s="836">
        <v>1733675303</v>
      </c>
    </row>
    <row r="286" spans="1:9" ht="15">
      <c r="A286" s="1080" t="s">
        <v>1710</v>
      </c>
      <c r="B286" s="413">
        <v>61978391</v>
      </c>
      <c r="C286" s="413">
        <v>61978391</v>
      </c>
      <c r="D286" s="413">
        <v>63542576</v>
      </c>
      <c r="E286" s="413">
        <v>63542576</v>
      </c>
      <c r="F286" s="836">
        <v>63542576</v>
      </c>
      <c r="G286" s="836">
        <v>61978391</v>
      </c>
      <c r="H286" s="836">
        <v>63542576</v>
      </c>
      <c r="I286" s="836">
        <v>61978391</v>
      </c>
    </row>
    <row r="287" spans="1:9" ht="15">
      <c r="A287" s="1080" t="s">
        <v>1315</v>
      </c>
      <c r="B287" s="413">
        <v>8561192056</v>
      </c>
      <c r="C287" s="413">
        <v>8561192056</v>
      </c>
      <c r="D287" s="413">
        <v>8945438046</v>
      </c>
      <c r="E287" s="413">
        <v>8945438046</v>
      </c>
      <c r="F287" s="836">
        <v>8945438046</v>
      </c>
      <c r="G287" s="836">
        <v>8561192056</v>
      </c>
      <c r="H287" s="836">
        <v>8945438046</v>
      </c>
      <c r="I287" s="836">
        <v>8561192056</v>
      </c>
    </row>
    <row r="288" spans="1:9" ht="15">
      <c r="A288" s="1080" t="s">
        <v>2768</v>
      </c>
      <c r="B288" s="413">
        <v>48452816</v>
      </c>
      <c r="C288" s="413">
        <v>48452816</v>
      </c>
      <c r="D288" s="413">
        <v>49761246</v>
      </c>
      <c r="E288" s="413">
        <v>49761246</v>
      </c>
      <c r="F288" s="836">
        <v>49761246</v>
      </c>
      <c r="G288" s="836">
        <v>48452816</v>
      </c>
      <c r="H288" s="836">
        <v>49761246</v>
      </c>
      <c r="I288" s="836">
        <v>48452816</v>
      </c>
    </row>
    <row r="289" spans="1:9" ht="15">
      <c r="A289" s="1080" t="s">
        <v>2769</v>
      </c>
      <c r="B289" s="413">
        <v>279441010</v>
      </c>
      <c r="C289" s="413">
        <v>279441010</v>
      </c>
      <c r="D289" s="413">
        <v>292234485</v>
      </c>
      <c r="E289" s="413">
        <v>292234485</v>
      </c>
      <c r="F289" s="836">
        <v>292234485</v>
      </c>
      <c r="G289" s="836">
        <v>279441010</v>
      </c>
      <c r="H289" s="836">
        <v>292234485</v>
      </c>
      <c r="I289" s="836">
        <v>279441010</v>
      </c>
    </row>
    <row r="290" spans="1:9" ht="15">
      <c r="A290" s="1080" t="s">
        <v>1704</v>
      </c>
      <c r="B290" s="413">
        <v>1464557035</v>
      </c>
      <c r="C290" s="413">
        <v>1464557035</v>
      </c>
      <c r="D290" s="413">
        <v>1506391580</v>
      </c>
      <c r="E290" s="413">
        <v>1506391580</v>
      </c>
      <c r="F290" s="836">
        <v>1506391580</v>
      </c>
      <c r="G290" s="836">
        <v>1464557035</v>
      </c>
      <c r="H290" s="836">
        <v>1506391580</v>
      </c>
      <c r="I290" s="836">
        <v>1464557035</v>
      </c>
    </row>
    <row r="291" spans="1:9" ht="15">
      <c r="A291" s="1080" t="s">
        <v>2091</v>
      </c>
      <c r="B291" s="413">
        <v>118321083</v>
      </c>
      <c r="C291" s="413">
        <v>118321083</v>
      </c>
      <c r="D291" s="413">
        <v>121037113</v>
      </c>
      <c r="E291" s="413">
        <v>121037113</v>
      </c>
      <c r="F291" s="836">
        <v>121037113</v>
      </c>
      <c r="G291" s="836">
        <v>118321083</v>
      </c>
      <c r="H291" s="836">
        <v>121037113</v>
      </c>
      <c r="I291" s="836">
        <v>118321083</v>
      </c>
    </row>
    <row r="292" spans="1:9" ht="15">
      <c r="A292" s="1080" t="s">
        <v>2092</v>
      </c>
      <c r="B292" s="413">
        <v>122061319</v>
      </c>
      <c r="C292" s="413">
        <v>122061319</v>
      </c>
      <c r="D292" s="413">
        <v>125459613</v>
      </c>
      <c r="E292" s="413">
        <v>125459613</v>
      </c>
      <c r="F292" s="836">
        <v>125459613</v>
      </c>
      <c r="G292" s="836">
        <v>122061319</v>
      </c>
      <c r="H292" s="836">
        <v>125459613</v>
      </c>
      <c r="I292" s="836">
        <v>122061319</v>
      </c>
    </row>
    <row r="293" spans="1:9" ht="15">
      <c r="A293" s="1080" t="s">
        <v>1400</v>
      </c>
      <c r="B293" s="413">
        <v>77263961</v>
      </c>
      <c r="C293" s="413">
        <v>116305961</v>
      </c>
      <c r="D293" s="413">
        <v>79608581</v>
      </c>
      <c r="E293" s="413">
        <v>118650581</v>
      </c>
      <c r="F293" s="836">
        <v>79608581</v>
      </c>
      <c r="G293" s="836">
        <v>77263961</v>
      </c>
      <c r="H293" s="836">
        <v>118650581</v>
      </c>
      <c r="I293" s="836">
        <v>116305961</v>
      </c>
    </row>
    <row r="294" spans="1:9" ht="15">
      <c r="A294" s="1080" t="s">
        <v>2093</v>
      </c>
      <c r="B294" s="413">
        <v>82330715</v>
      </c>
      <c r="C294" s="413">
        <v>82330715</v>
      </c>
      <c r="D294" s="413">
        <v>84795035</v>
      </c>
      <c r="E294" s="413">
        <v>84795035</v>
      </c>
      <c r="F294" s="836">
        <v>84795035</v>
      </c>
      <c r="G294" s="836">
        <v>82330715</v>
      </c>
      <c r="H294" s="836">
        <v>84795035</v>
      </c>
      <c r="I294" s="836">
        <v>82330715</v>
      </c>
    </row>
    <row r="295" spans="1:9" ht="15">
      <c r="A295" s="1080" t="s">
        <v>229</v>
      </c>
      <c r="B295" s="413">
        <v>60392727</v>
      </c>
      <c r="C295" s="413">
        <v>60392727</v>
      </c>
      <c r="D295" s="413">
        <v>63659659</v>
      </c>
      <c r="E295" s="413">
        <v>63659659</v>
      </c>
      <c r="F295" s="836">
        <v>63659659</v>
      </c>
      <c r="G295" s="836">
        <v>60392727</v>
      </c>
      <c r="H295" s="836">
        <v>63659659</v>
      </c>
      <c r="I295" s="836">
        <v>60392727</v>
      </c>
    </row>
    <row r="296" spans="1:9" ht="15">
      <c r="A296" s="1080" t="s">
        <v>2095</v>
      </c>
      <c r="B296" s="413">
        <v>227372848</v>
      </c>
      <c r="C296" s="413">
        <v>227372848</v>
      </c>
      <c r="D296" s="413">
        <v>238987405</v>
      </c>
      <c r="E296" s="413">
        <v>238987405</v>
      </c>
      <c r="F296" s="836">
        <v>238987405</v>
      </c>
      <c r="G296" s="836">
        <v>227372848</v>
      </c>
      <c r="H296" s="836">
        <v>238987405</v>
      </c>
      <c r="I296" s="836">
        <v>227372848</v>
      </c>
    </row>
    <row r="297" spans="1:9" ht="15">
      <c r="A297" s="1080" t="s">
        <v>2103</v>
      </c>
      <c r="B297" s="413">
        <v>16533710</v>
      </c>
      <c r="C297" s="413">
        <v>16533710</v>
      </c>
      <c r="D297" s="413">
        <v>17655400</v>
      </c>
      <c r="E297" s="413">
        <v>17655400</v>
      </c>
      <c r="F297" s="836">
        <v>17655400</v>
      </c>
      <c r="G297" s="836">
        <v>16533710</v>
      </c>
      <c r="H297" s="836">
        <v>17655400</v>
      </c>
      <c r="I297" s="836">
        <v>16533710</v>
      </c>
    </row>
    <row r="298" spans="1:9" ht="15">
      <c r="A298" s="1080" t="s">
        <v>230</v>
      </c>
      <c r="B298" s="413">
        <v>172460630</v>
      </c>
      <c r="C298" s="413">
        <v>172460630</v>
      </c>
      <c r="D298" s="413">
        <v>180913745</v>
      </c>
      <c r="E298" s="413">
        <v>180913745</v>
      </c>
      <c r="F298" s="836">
        <v>180913745</v>
      </c>
      <c r="G298" s="836">
        <v>172460630</v>
      </c>
      <c r="H298" s="836">
        <v>180913745</v>
      </c>
      <c r="I298" s="836">
        <v>172460630</v>
      </c>
    </row>
    <row r="299" spans="1:9" ht="15">
      <c r="A299" s="1080" t="s">
        <v>231</v>
      </c>
      <c r="B299" s="413">
        <v>565140894</v>
      </c>
      <c r="C299" s="413">
        <v>565140894</v>
      </c>
      <c r="D299" s="413">
        <v>595344878</v>
      </c>
      <c r="E299" s="413">
        <v>595344878</v>
      </c>
      <c r="F299" s="836">
        <v>595344878</v>
      </c>
      <c r="G299" s="836">
        <v>565140894</v>
      </c>
      <c r="H299" s="836">
        <v>595344878</v>
      </c>
      <c r="I299" s="836">
        <v>565140894</v>
      </c>
    </row>
    <row r="300" spans="1:9" ht="15">
      <c r="A300" s="1080" t="s">
        <v>1401</v>
      </c>
      <c r="B300" s="413">
        <v>40805107</v>
      </c>
      <c r="C300" s="413">
        <v>40805107</v>
      </c>
      <c r="D300" s="413">
        <v>43742259</v>
      </c>
      <c r="E300" s="413">
        <v>43742259</v>
      </c>
      <c r="F300" s="836">
        <v>43742259</v>
      </c>
      <c r="G300" s="836">
        <v>40805107</v>
      </c>
      <c r="H300" s="836">
        <v>43742259</v>
      </c>
      <c r="I300" s="836">
        <v>40805107</v>
      </c>
    </row>
    <row r="301" spans="1:9" ht="15">
      <c r="A301" s="1080" t="s">
        <v>820</v>
      </c>
      <c r="B301" s="413">
        <v>37526097</v>
      </c>
      <c r="C301" s="413">
        <v>37526097</v>
      </c>
      <c r="D301" s="413">
        <v>39954308</v>
      </c>
      <c r="E301" s="413">
        <v>39954308</v>
      </c>
      <c r="F301" s="836">
        <v>39954308</v>
      </c>
      <c r="G301" s="836">
        <v>37526097</v>
      </c>
      <c r="H301" s="836">
        <v>39954308</v>
      </c>
      <c r="I301" s="836">
        <v>37526097</v>
      </c>
    </row>
    <row r="302" spans="1:9" ht="15">
      <c r="A302" s="1080" t="s">
        <v>232</v>
      </c>
      <c r="B302" s="413">
        <v>174289603</v>
      </c>
      <c r="C302" s="413">
        <v>174289603</v>
      </c>
      <c r="D302" s="413">
        <v>182038912</v>
      </c>
      <c r="E302" s="413">
        <v>182038912</v>
      </c>
      <c r="F302" s="836">
        <v>182038912</v>
      </c>
      <c r="G302" s="836">
        <v>174289603</v>
      </c>
      <c r="H302" s="836">
        <v>182038912</v>
      </c>
      <c r="I302" s="836">
        <v>174289603</v>
      </c>
    </row>
    <row r="303" spans="1:9" ht="15">
      <c r="A303" s="1080" t="s">
        <v>233</v>
      </c>
      <c r="B303" s="413">
        <v>144632216</v>
      </c>
      <c r="C303" s="413">
        <v>144632216</v>
      </c>
      <c r="D303" s="413">
        <v>153080511</v>
      </c>
      <c r="E303" s="413">
        <v>153080511</v>
      </c>
      <c r="F303" s="836">
        <v>153080511</v>
      </c>
      <c r="G303" s="836">
        <v>144632216</v>
      </c>
      <c r="H303" s="836">
        <v>153080511</v>
      </c>
      <c r="I303" s="836">
        <v>144632216</v>
      </c>
    </row>
    <row r="304" spans="1:9" ht="15">
      <c r="A304" s="1080" t="s">
        <v>1960</v>
      </c>
      <c r="B304" s="413">
        <v>82664896</v>
      </c>
      <c r="C304" s="413">
        <v>82664896</v>
      </c>
      <c r="D304" s="413">
        <v>87388209</v>
      </c>
      <c r="E304" s="413">
        <v>87388209</v>
      </c>
      <c r="F304" s="836">
        <v>87388209</v>
      </c>
      <c r="G304" s="836">
        <v>82664896</v>
      </c>
      <c r="H304" s="836">
        <v>87388209</v>
      </c>
      <c r="I304" s="836">
        <v>82664896</v>
      </c>
    </row>
    <row r="305" spans="1:9" ht="15">
      <c r="A305" s="1080" t="s">
        <v>1961</v>
      </c>
      <c r="B305" s="413">
        <v>152667353</v>
      </c>
      <c r="C305" s="413">
        <v>152667353</v>
      </c>
      <c r="D305" s="413">
        <v>160720194</v>
      </c>
      <c r="E305" s="413">
        <v>160720194</v>
      </c>
      <c r="F305" s="836">
        <v>160720194</v>
      </c>
      <c r="G305" s="836">
        <v>152667353</v>
      </c>
      <c r="H305" s="836">
        <v>160720194</v>
      </c>
      <c r="I305" s="836">
        <v>152667353</v>
      </c>
    </row>
    <row r="306" spans="1:9" ht="15">
      <c r="A306" s="1080" t="s">
        <v>1402</v>
      </c>
      <c r="B306" s="413">
        <v>93076509</v>
      </c>
      <c r="C306" s="413">
        <v>93076509</v>
      </c>
      <c r="D306" s="413">
        <v>99608201</v>
      </c>
      <c r="E306" s="413">
        <v>99608201</v>
      </c>
      <c r="F306" s="836">
        <v>99608201</v>
      </c>
      <c r="G306" s="836">
        <v>93076509</v>
      </c>
      <c r="H306" s="836">
        <v>99608201</v>
      </c>
      <c r="I306" s="836">
        <v>93076509</v>
      </c>
    </row>
    <row r="307" spans="1:9" ht="15">
      <c r="A307" s="1080" t="s">
        <v>2948</v>
      </c>
      <c r="B307" s="413">
        <v>452188385</v>
      </c>
      <c r="C307" s="413">
        <v>452188385</v>
      </c>
      <c r="D307" s="413">
        <v>460864415</v>
      </c>
      <c r="E307" s="413">
        <v>460864415</v>
      </c>
      <c r="F307" s="836">
        <v>460864415</v>
      </c>
      <c r="G307" s="836">
        <v>452188385</v>
      </c>
      <c r="H307" s="836">
        <v>460864415</v>
      </c>
      <c r="I307" s="836">
        <v>452188385</v>
      </c>
    </row>
    <row r="308" spans="1:9" ht="15">
      <c r="A308" s="1080" t="s">
        <v>1911</v>
      </c>
      <c r="B308" s="413">
        <v>1032019318</v>
      </c>
      <c r="C308" s="413">
        <v>1032019318</v>
      </c>
      <c r="D308" s="413">
        <v>1061912771</v>
      </c>
      <c r="E308" s="413">
        <v>1061912771</v>
      </c>
      <c r="F308" s="836">
        <v>1061912771</v>
      </c>
      <c r="G308" s="836">
        <v>1032019318</v>
      </c>
      <c r="H308" s="836">
        <v>1061912771</v>
      </c>
      <c r="I308" s="836">
        <v>1032019318</v>
      </c>
    </row>
    <row r="309" spans="1:9" ht="15">
      <c r="A309" s="1080" t="s">
        <v>1912</v>
      </c>
      <c r="B309" s="413">
        <v>417233297</v>
      </c>
      <c r="C309" s="413">
        <v>417233297</v>
      </c>
      <c r="D309" s="413">
        <v>429791261</v>
      </c>
      <c r="E309" s="413">
        <v>429791261</v>
      </c>
      <c r="F309" s="836">
        <v>429791261</v>
      </c>
      <c r="G309" s="836">
        <v>417233297</v>
      </c>
      <c r="H309" s="836">
        <v>429791261</v>
      </c>
      <c r="I309" s="836">
        <v>417233297</v>
      </c>
    </row>
    <row r="310" spans="1:9" ht="15">
      <c r="A310" s="1080" t="s">
        <v>1037</v>
      </c>
      <c r="B310" s="413">
        <v>182313791</v>
      </c>
      <c r="C310" s="413">
        <v>182313791</v>
      </c>
      <c r="D310" s="413">
        <v>187193993</v>
      </c>
      <c r="E310" s="413">
        <v>187193993</v>
      </c>
      <c r="F310" s="836">
        <v>187193993</v>
      </c>
      <c r="G310" s="836">
        <v>182313791</v>
      </c>
      <c r="H310" s="836">
        <v>187193993</v>
      </c>
      <c r="I310" s="836">
        <v>182313791</v>
      </c>
    </row>
    <row r="311" spans="1:9" ht="15">
      <c r="A311" s="1080" t="s">
        <v>73</v>
      </c>
      <c r="B311" s="413">
        <v>297828688</v>
      </c>
      <c r="C311" s="413">
        <v>297828688</v>
      </c>
      <c r="D311" s="413">
        <v>303920148</v>
      </c>
      <c r="E311" s="413">
        <v>303920148</v>
      </c>
      <c r="F311" s="836">
        <v>293903885</v>
      </c>
      <c r="G311" s="836">
        <v>287812425</v>
      </c>
      <c r="H311" s="836">
        <v>293903885</v>
      </c>
      <c r="I311" s="836">
        <v>287812425</v>
      </c>
    </row>
    <row r="312" spans="1:9" ht="15">
      <c r="A312" s="1080" t="s">
        <v>853</v>
      </c>
      <c r="B312" s="413">
        <v>107133000</v>
      </c>
      <c r="C312" s="413">
        <v>107133000</v>
      </c>
      <c r="D312" s="413">
        <v>109992960</v>
      </c>
      <c r="E312" s="413">
        <v>109992960</v>
      </c>
      <c r="F312" s="836">
        <v>109992960</v>
      </c>
      <c r="G312" s="836">
        <v>107133000</v>
      </c>
      <c r="H312" s="836">
        <v>109992960</v>
      </c>
      <c r="I312" s="836">
        <v>107133000</v>
      </c>
    </row>
    <row r="313" spans="1:9" ht="15">
      <c r="A313" s="1080" t="s">
        <v>2865</v>
      </c>
      <c r="B313" s="413">
        <v>120943566</v>
      </c>
      <c r="C313" s="413">
        <v>144313566</v>
      </c>
      <c r="D313" s="413">
        <v>123760466</v>
      </c>
      <c r="E313" s="413">
        <v>147130466</v>
      </c>
      <c r="F313" s="836">
        <v>123760466</v>
      </c>
      <c r="G313" s="836">
        <v>120943566</v>
      </c>
      <c r="H313" s="836">
        <v>147130466</v>
      </c>
      <c r="I313" s="836">
        <v>144313566</v>
      </c>
    </row>
    <row r="314" spans="1:9" ht="15">
      <c r="A314" s="1080" t="s">
        <v>697</v>
      </c>
      <c r="B314" s="413">
        <v>268662053</v>
      </c>
      <c r="C314" s="413">
        <v>268662053</v>
      </c>
      <c r="D314" s="413">
        <v>275803353</v>
      </c>
      <c r="E314" s="413">
        <v>275803353</v>
      </c>
      <c r="F314" s="836">
        <v>275803353</v>
      </c>
      <c r="G314" s="836">
        <v>268662053</v>
      </c>
      <c r="H314" s="836">
        <v>275803353</v>
      </c>
      <c r="I314" s="836">
        <v>268662053</v>
      </c>
    </row>
    <row r="315" spans="1:9" ht="15">
      <c r="A315" s="1080" t="s">
        <v>698</v>
      </c>
      <c r="B315" s="413">
        <v>106267772</v>
      </c>
      <c r="C315" s="413">
        <v>106267772</v>
      </c>
      <c r="D315" s="413">
        <v>110408802</v>
      </c>
      <c r="E315" s="413">
        <v>110408802</v>
      </c>
      <c r="F315" s="836">
        <v>110408802</v>
      </c>
      <c r="G315" s="836">
        <v>106267772</v>
      </c>
      <c r="H315" s="836">
        <v>110408802</v>
      </c>
      <c r="I315" s="836">
        <v>106267772</v>
      </c>
    </row>
    <row r="316" spans="1:9" ht="15">
      <c r="A316" s="1080" t="s">
        <v>699</v>
      </c>
      <c r="B316" s="413">
        <v>204408389</v>
      </c>
      <c r="C316" s="413">
        <v>204408389</v>
      </c>
      <c r="D316" s="413">
        <v>206628019</v>
      </c>
      <c r="E316" s="413">
        <v>206628019</v>
      </c>
      <c r="F316" s="836">
        <v>206628019</v>
      </c>
      <c r="G316" s="836">
        <v>204408389</v>
      </c>
      <c r="H316" s="836">
        <v>206628019</v>
      </c>
      <c r="I316" s="836">
        <v>204408389</v>
      </c>
    </row>
    <row r="317" spans="1:9" ht="15">
      <c r="A317" s="1080" t="s">
        <v>700</v>
      </c>
      <c r="B317" s="413">
        <v>13029955662</v>
      </c>
      <c r="C317" s="413">
        <v>13029955662</v>
      </c>
      <c r="D317" s="413">
        <v>13331801447</v>
      </c>
      <c r="E317" s="413">
        <v>13331801447</v>
      </c>
      <c r="F317" s="836">
        <v>13331801447</v>
      </c>
      <c r="G317" s="836">
        <v>13029955662</v>
      </c>
      <c r="H317" s="836">
        <v>13331801447</v>
      </c>
      <c r="I317" s="836">
        <v>13029955662</v>
      </c>
    </row>
    <row r="318" spans="1:9" ht="15">
      <c r="A318" s="1080" t="s">
        <v>2906</v>
      </c>
      <c r="B318" s="413">
        <v>739189076</v>
      </c>
      <c r="C318" s="413">
        <v>739189076</v>
      </c>
      <c r="D318" s="413">
        <v>769297381</v>
      </c>
      <c r="E318" s="413">
        <v>769297381</v>
      </c>
      <c r="F318" s="836">
        <v>769297381</v>
      </c>
      <c r="G318" s="836">
        <v>739189076</v>
      </c>
      <c r="H318" s="836">
        <v>769297381</v>
      </c>
      <c r="I318" s="836">
        <v>739189076</v>
      </c>
    </row>
    <row r="319" spans="1:9" ht="15">
      <c r="A319" s="1080" t="s">
        <v>1602</v>
      </c>
      <c r="B319" s="413">
        <v>31487105910</v>
      </c>
      <c r="C319" s="413">
        <v>31487105910</v>
      </c>
      <c r="D319" s="413">
        <v>32307108712</v>
      </c>
      <c r="E319" s="413">
        <v>32307108712</v>
      </c>
      <c r="F319" s="836">
        <v>32307108712</v>
      </c>
      <c r="G319" s="836">
        <v>31487105910</v>
      </c>
      <c r="H319" s="836">
        <v>32307108712</v>
      </c>
      <c r="I319" s="836">
        <v>31487105910</v>
      </c>
    </row>
    <row r="320" spans="1:9" ht="15">
      <c r="A320" s="1080" t="s">
        <v>2647</v>
      </c>
      <c r="B320" s="413">
        <v>2339290170</v>
      </c>
      <c r="C320" s="413">
        <v>2339290170</v>
      </c>
      <c r="D320" s="413">
        <v>2363203843</v>
      </c>
      <c r="E320" s="413">
        <v>2363203843</v>
      </c>
      <c r="F320" s="836">
        <v>2321879508</v>
      </c>
      <c r="G320" s="836">
        <v>2297965835</v>
      </c>
      <c r="H320" s="836">
        <v>2321879508</v>
      </c>
      <c r="I320" s="836">
        <v>2297965835</v>
      </c>
    </row>
    <row r="321" spans="1:16" ht="15">
      <c r="A321" s="1080" t="s">
        <v>2290</v>
      </c>
      <c r="B321" s="413">
        <v>964837108</v>
      </c>
      <c r="C321" s="413">
        <v>964837108</v>
      </c>
      <c r="D321" s="413">
        <v>986005998</v>
      </c>
      <c r="E321" s="413">
        <v>986005998</v>
      </c>
      <c r="F321" s="836">
        <v>986005998</v>
      </c>
      <c r="G321" s="836">
        <v>964837108</v>
      </c>
      <c r="H321" s="836">
        <v>986005998</v>
      </c>
      <c r="I321" s="836">
        <v>964837108</v>
      </c>
    </row>
    <row r="322" spans="1:16" ht="15">
      <c r="A322" s="1080" t="s">
        <v>1478</v>
      </c>
      <c r="B322" s="413">
        <v>1654185155</v>
      </c>
      <c r="C322" s="413">
        <v>1654185155</v>
      </c>
      <c r="D322" s="413">
        <v>1674222947</v>
      </c>
      <c r="E322" s="413">
        <v>1674222947</v>
      </c>
      <c r="F322" s="836">
        <v>1674222947</v>
      </c>
      <c r="G322" s="836">
        <v>1654185155</v>
      </c>
      <c r="H322" s="836">
        <v>1674222947</v>
      </c>
      <c r="I322" s="836">
        <v>1654185155</v>
      </c>
    </row>
    <row r="323" spans="1:16" ht="15">
      <c r="A323" s="1080" t="s">
        <v>2192</v>
      </c>
      <c r="B323" s="413">
        <v>922976268</v>
      </c>
      <c r="C323" s="413">
        <v>922976268</v>
      </c>
      <c r="D323" s="413">
        <v>934445631</v>
      </c>
      <c r="E323" s="413">
        <v>934445631</v>
      </c>
      <c r="F323" s="836">
        <v>934445631</v>
      </c>
      <c r="G323" s="836">
        <v>922976268</v>
      </c>
      <c r="H323" s="836">
        <v>934445631</v>
      </c>
      <c r="I323" s="836">
        <v>922976268</v>
      </c>
    </row>
    <row r="324" spans="1:16" ht="15">
      <c r="A324" s="1080" t="s">
        <v>2198</v>
      </c>
      <c r="B324" s="413">
        <v>141602826</v>
      </c>
      <c r="C324" s="413">
        <v>141602826</v>
      </c>
      <c r="D324" s="413">
        <v>145347394</v>
      </c>
      <c r="E324" s="413">
        <v>145347394</v>
      </c>
      <c r="F324" s="836">
        <v>145347394</v>
      </c>
      <c r="G324" s="836">
        <v>141602826</v>
      </c>
      <c r="H324" s="836">
        <v>145347394</v>
      </c>
      <c r="I324" s="836">
        <v>141602826</v>
      </c>
    </row>
    <row r="325" spans="1:16" ht="15">
      <c r="A325" s="1080" t="s">
        <v>2199</v>
      </c>
      <c r="B325" s="413">
        <v>204915109</v>
      </c>
      <c r="C325" s="413">
        <v>204915109</v>
      </c>
      <c r="D325" s="413">
        <v>206590066</v>
      </c>
      <c r="E325" s="413">
        <v>206590066</v>
      </c>
      <c r="F325" s="836">
        <v>206590066</v>
      </c>
      <c r="G325" s="836">
        <v>204915109</v>
      </c>
      <c r="H325" s="836">
        <v>206590066</v>
      </c>
      <c r="I325" s="836">
        <v>204915109</v>
      </c>
    </row>
    <row r="326" spans="1:16" ht="15">
      <c r="A326" s="1080" t="s">
        <v>1403</v>
      </c>
      <c r="B326" s="413">
        <v>1149677635</v>
      </c>
      <c r="C326" s="413">
        <v>1149677635</v>
      </c>
      <c r="D326" s="413">
        <v>1153971405</v>
      </c>
      <c r="E326" s="413">
        <v>1153971405</v>
      </c>
      <c r="F326" s="836">
        <v>1153971405</v>
      </c>
      <c r="G326" s="836">
        <v>1149677635</v>
      </c>
      <c r="H326" s="836">
        <v>1153971405</v>
      </c>
      <c r="I326" s="836">
        <v>1149677635</v>
      </c>
    </row>
    <row r="327" spans="1:16" ht="15">
      <c r="A327" s="1080" t="s">
        <v>2866</v>
      </c>
      <c r="B327" s="413">
        <v>1409493154</v>
      </c>
      <c r="C327" s="413">
        <v>1409493154</v>
      </c>
      <c r="D327" s="413">
        <v>1423699204</v>
      </c>
      <c r="E327" s="413">
        <v>1423699204</v>
      </c>
      <c r="F327" s="836">
        <v>1423699204</v>
      </c>
      <c r="G327" s="836">
        <v>1409493154</v>
      </c>
      <c r="H327" s="836">
        <v>1423699204</v>
      </c>
      <c r="I327" s="836">
        <v>1409493154</v>
      </c>
    </row>
    <row r="328" spans="1:16" ht="15">
      <c r="A328" s="1080" t="s">
        <v>2200</v>
      </c>
      <c r="B328" s="413">
        <v>217829624</v>
      </c>
      <c r="C328" s="413">
        <v>217829624</v>
      </c>
      <c r="D328" s="413">
        <v>221768721</v>
      </c>
      <c r="E328" s="413">
        <v>221768721</v>
      </c>
      <c r="F328" s="836">
        <v>221768721</v>
      </c>
      <c r="G328" s="836">
        <v>217829624</v>
      </c>
      <c r="H328" s="836">
        <v>221768721</v>
      </c>
      <c r="I328" s="836">
        <v>217829624</v>
      </c>
    </row>
    <row r="329" spans="1:16" ht="15">
      <c r="A329" s="1080" t="s">
        <v>2420</v>
      </c>
      <c r="B329" s="413">
        <v>314194846</v>
      </c>
      <c r="C329" s="413">
        <v>314194846</v>
      </c>
      <c r="D329" s="413">
        <v>314997944</v>
      </c>
      <c r="E329" s="413">
        <v>314997944</v>
      </c>
      <c r="F329" s="836">
        <v>314388124</v>
      </c>
      <c r="G329" s="836">
        <v>313585026</v>
      </c>
      <c r="H329" s="836">
        <v>314388124</v>
      </c>
      <c r="I329" s="836">
        <v>313585026</v>
      </c>
      <c r="M329" s="134">
        <v>1517989509</v>
      </c>
      <c r="N329" s="134">
        <v>1517989509</v>
      </c>
      <c r="O329" s="134">
        <v>1577384158</v>
      </c>
      <c r="P329" s="134">
        <v>1577384158</v>
      </c>
    </row>
    <row r="330" spans="1:16" ht="15">
      <c r="A330" s="1080" t="s">
        <v>2490</v>
      </c>
      <c r="B330" s="413">
        <v>3717203982</v>
      </c>
      <c r="C330" s="413">
        <v>3717203982</v>
      </c>
      <c r="D330" s="413">
        <v>3741720669</v>
      </c>
      <c r="E330" s="413">
        <v>3741720669</v>
      </c>
      <c r="F330" s="836">
        <v>3741720669</v>
      </c>
      <c r="G330" s="836">
        <v>3717203982</v>
      </c>
      <c r="H330" s="836">
        <v>3741720669</v>
      </c>
      <c r="I330" s="836">
        <v>3717203982</v>
      </c>
      <c r="M330" s="134">
        <v>3925910472</v>
      </c>
      <c r="N330" s="134">
        <v>3925910472</v>
      </c>
      <c r="O330" s="134">
        <v>3982622781</v>
      </c>
      <c r="P330" s="134">
        <v>3930386252</v>
      </c>
    </row>
    <row r="331" spans="1:16" ht="15">
      <c r="A331" s="1080" t="s">
        <v>2270</v>
      </c>
      <c r="B331" s="413">
        <v>3085034504</v>
      </c>
      <c r="C331" s="413">
        <v>3085034504</v>
      </c>
      <c r="D331" s="413">
        <v>3194342523</v>
      </c>
      <c r="E331" s="413">
        <v>3194342523</v>
      </c>
      <c r="F331" s="836">
        <v>3194342523</v>
      </c>
      <c r="G331" s="836">
        <v>3085034504</v>
      </c>
      <c r="H331" s="836">
        <v>3194342523</v>
      </c>
      <c r="I331" s="836">
        <v>3085034504</v>
      </c>
      <c r="M331" s="134">
        <f>SUM(M329:M330)</f>
        <v>5443899981</v>
      </c>
      <c r="N331" s="134">
        <f>SUM(N329:N330)</f>
        <v>5443899981</v>
      </c>
      <c r="O331" s="134">
        <f>SUM(O329:O330)</f>
        <v>5560006939</v>
      </c>
      <c r="P331" s="134">
        <f>SUM(P329:P330)</f>
        <v>5507770410</v>
      </c>
    </row>
    <row r="332" spans="1:16" ht="15">
      <c r="A332" s="1080" t="s">
        <v>2550</v>
      </c>
      <c r="B332" s="413">
        <v>6336056563</v>
      </c>
      <c r="C332" s="413">
        <v>6336056563</v>
      </c>
      <c r="D332" s="413">
        <v>6434858454</v>
      </c>
      <c r="E332" s="413">
        <v>6434858454</v>
      </c>
      <c r="F332" s="836">
        <v>6274229342</v>
      </c>
      <c r="G332" s="836">
        <v>6175427451</v>
      </c>
      <c r="H332" s="836">
        <v>6274229342</v>
      </c>
      <c r="I332" s="836">
        <v>6175427451</v>
      </c>
    </row>
    <row r="333" spans="1:16" ht="15">
      <c r="A333" s="1080" t="s">
        <v>2132</v>
      </c>
      <c r="B333" s="413">
        <v>80674261</v>
      </c>
      <c r="C333" s="413">
        <v>80674261</v>
      </c>
      <c r="D333" s="413">
        <v>81833637</v>
      </c>
      <c r="E333" s="413">
        <v>81833637</v>
      </c>
      <c r="F333" s="836">
        <v>81510624</v>
      </c>
      <c r="G333" s="836">
        <v>80351248</v>
      </c>
      <c r="H333" s="836">
        <v>81510624</v>
      </c>
      <c r="I333" s="836">
        <v>80351248</v>
      </c>
    </row>
    <row r="334" spans="1:16" ht="15">
      <c r="A334" s="1080" t="s">
        <v>863</v>
      </c>
      <c r="B334" s="413">
        <v>5443899981</v>
      </c>
      <c r="C334" s="413">
        <v>5443899981</v>
      </c>
      <c r="D334" s="413">
        <v>5560006939</v>
      </c>
      <c r="E334" s="413">
        <v>5560006939</v>
      </c>
      <c r="F334" s="836">
        <v>5507770410</v>
      </c>
      <c r="G334" s="836">
        <v>5391663452</v>
      </c>
      <c r="H334" s="836">
        <v>5507770410</v>
      </c>
      <c r="I334" s="836">
        <v>5391663452</v>
      </c>
      <c r="M334" s="134">
        <v>1577384158</v>
      </c>
      <c r="N334" s="134">
        <v>1517989509</v>
      </c>
      <c r="O334" s="134">
        <v>1577384158</v>
      </c>
      <c r="P334" s="134">
        <v>1517989509</v>
      </c>
    </row>
    <row r="335" spans="1:16" ht="15">
      <c r="A335" s="1080" t="s">
        <v>2817</v>
      </c>
      <c r="B335" s="413">
        <v>580959180</v>
      </c>
      <c r="C335" s="413">
        <v>580959180</v>
      </c>
      <c r="D335" s="413">
        <v>601278625</v>
      </c>
      <c r="E335" s="413">
        <v>601278625</v>
      </c>
      <c r="F335" s="836">
        <v>601278625</v>
      </c>
      <c r="G335" s="836">
        <v>580959180</v>
      </c>
      <c r="H335" s="836">
        <v>601278625</v>
      </c>
      <c r="I335" s="836">
        <v>580959180</v>
      </c>
      <c r="M335" s="134">
        <v>3930386252</v>
      </c>
      <c r="N335" s="134">
        <v>3873673943</v>
      </c>
      <c r="O335" s="134">
        <v>3930386252</v>
      </c>
      <c r="P335" s="134">
        <v>3873673943</v>
      </c>
    </row>
    <row r="336" spans="1:16" ht="15">
      <c r="A336" s="1080" t="s">
        <v>533</v>
      </c>
      <c r="B336" s="413">
        <v>1163650670</v>
      </c>
      <c r="C336" s="413">
        <v>1163650670</v>
      </c>
      <c r="D336" s="413">
        <v>1229761998</v>
      </c>
      <c r="E336" s="413">
        <v>1229761998</v>
      </c>
      <c r="F336" s="836">
        <v>1229761998</v>
      </c>
      <c r="G336" s="836">
        <v>1163650670</v>
      </c>
      <c r="H336" s="836">
        <v>1229761998</v>
      </c>
      <c r="I336" s="836">
        <v>1163650670</v>
      </c>
      <c r="M336" s="134">
        <f>SUM(M334:M335)</f>
        <v>5507770410</v>
      </c>
      <c r="N336" s="134">
        <f>SUM(N334:N335)</f>
        <v>5391663452</v>
      </c>
      <c r="O336" s="134">
        <f>SUM(O334:O335)</f>
        <v>5507770410</v>
      </c>
      <c r="P336" s="134">
        <f>SUM(P334:P335)</f>
        <v>5391663452</v>
      </c>
    </row>
    <row r="337" spans="1:9" ht="15">
      <c r="A337" s="1080" t="s">
        <v>2818</v>
      </c>
      <c r="B337" s="413">
        <v>18654804546</v>
      </c>
      <c r="C337" s="413">
        <v>18654804546</v>
      </c>
      <c r="D337" s="413">
        <v>19174261348</v>
      </c>
      <c r="E337" s="413">
        <v>19174261348</v>
      </c>
      <c r="F337" s="836">
        <v>18891618022</v>
      </c>
      <c r="G337" s="836">
        <v>18372161220</v>
      </c>
      <c r="H337" s="836">
        <v>18891618022</v>
      </c>
      <c r="I337" s="836">
        <v>18372161220</v>
      </c>
    </row>
    <row r="338" spans="1:9" ht="15">
      <c r="A338" s="1080" t="s">
        <v>1604</v>
      </c>
      <c r="B338" s="413">
        <v>2520417783</v>
      </c>
      <c r="C338" s="413">
        <v>2520417783</v>
      </c>
      <c r="D338" s="413">
        <v>2599095264</v>
      </c>
      <c r="E338" s="413">
        <v>2599095264</v>
      </c>
      <c r="F338" s="836">
        <v>2599095264</v>
      </c>
      <c r="G338" s="836">
        <v>2520417783</v>
      </c>
      <c r="H338" s="836">
        <v>2599095264</v>
      </c>
      <c r="I338" s="836">
        <v>2520417783</v>
      </c>
    </row>
    <row r="339" spans="1:9" ht="15">
      <c r="A339" s="1080" t="s">
        <v>1872</v>
      </c>
      <c r="B339" s="413">
        <v>512980633</v>
      </c>
      <c r="C339" s="413">
        <v>512980633</v>
      </c>
      <c r="D339" s="413">
        <v>519973567</v>
      </c>
      <c r="E339" s="413">
        <v>519973567</v>
      </c>
      <c r="F339" s="836">
        <v>519973567</v>
      </c>
      <c r="G339" s="836">
        <v>512980633</v>
      </c>
      <c r="H339" s="836">
        <v>519973567</v>
      </c>
      <c r="I339" s="836">
        <v>512980633</v>
      </c>
    </row>
    <row r="340" spans="1:9" ht="15">
      <c r="A340" s="1080" t="s">
        <v>1873</v>
      </c>
      <c r="B340" s="413">
        <v>58744679</v>
      </c>
      <c r="C340" s="413">
        <v>58744679</v>
      </c>
      <c r="D340" s="413">
        <v>59166917</v>
      </c>
      <c r="E340" s="413">
        <v>59166917</v>
      </c>
      <c r="F340" s="836">
        <v>59166917</v>
      </c>
      <c r="G340" s="836">
        <v>58744679</v>
      </c>
      <c r="H340" s="836">
        <v>59166917</v>
      </c>
      <c r="I340" s="836">
        <v>58744679</v>
      </c>
    </row>
    <row r="341" spans="1:9" ht="15">
      <c r="A341" s="1080" t="s">
        <v>2139</v>
      </c>
      <c r="B341" s="413">
        <v>41092031</v>
      </c>
      <c r="C341" s="413">
        <v>41092031</v>
      </c>
      <c r="D341" s="413">
        <v>42000601</v>
      </c>
      <c r="E341" s="413">
        <v>42000601</v>
      </c>
      <c r="F341" s="836">
        <v>42000601</v>
      </c>
      <c r="G341" s="836">
        <v>41092031</v>
      </c>
      <c r="H341" s="836">
        <v>42000601</v>
      </c>
      <c r="I341" s="836">
        <v>41092031</v>
      </c>
    </row>
    <row r="342" spans="1:9" ht="15">
      <c r="A342" s="1080" t="s">
        <v>1636</v>
      </c>
      <c r="B342" s="413">
        <v>2761376005</v>
      </c>
      <c r="C342" s="413">
        <v>2761376005</v>
      </c>
      <c r="D342" s="413">
        <v>2820928845</v>
      </c>
      <c r="E342" s="413">
        <v>2820928845</v>
      </c>
      <c r="F342" s="836">
        <v>2820928845</v>
      </c>
      <c r="G342" s="836">
        <v>2761376005</v>
      </c>
      <c r="H342" s="836">
        <v>2820928845</v>
      </c>
      <c r="I342" s="836">
        <v>2761376005</v>
      </c>
    </row>
    <row r="343" spans="1:9" ht="15">
      <c r="A343" s="1080" t="s">
        <v>2474</v>
      </c>
      <c r="B343" s="413">
        <v>383166314</v>
      </c>
      <c r="C343" s="413">
        <v>383166314</v>
      </c>
      <c r="D343" s="413">
        <v>394603154</v>
      </c>
      <c r="E343" s="413">
        <v>394603154</v>
      </c>
      <c r="F343" s="836">
        <v>394603154</v>
      </c>
      <c r="G343" s="836">
        <v>383166314</v>
      </c>
      <c r="H343" s="836">
        <v>394603154</v>
      </c>
      <c r="I343" s="836">
        <v>383166314</v>
      </c>
    </row>
    <row r="344" spans="1:9" ht="15">
      <c r="A344" s="1080" t="s">
        <v>2475</v>
      </c>
      <c r="B344" s="413">
        <v>2604146562</v>
      </c>
      <c r="C344" s="413">
        <v>2832262156</v>
      </c>
      <c r="D344" s="413">
        <v>2606267251</v>
      </c>
      <c r="E344" s="413">
        <v>2834382845</v>
      </c>
      <c r="F344" s="836">
        <v>2604087994</v>
      </c>
      <c r="G344" s="836">
        <v>2601967305</v>
      </c>
      <c r="H344" s="836">
        <v>2832203588</v>
      </c>
      <c r="I344" s="836">
        <v>2830082899</v>
      </c>
    </row>
    <row r="345" spans="1:9" ht="15">
      <c r="A345" s="1080" t="s">
        <v>2794</v>
      </c>
      <c r="B345" s="413">
        <v>956453146</v>
      </c>
      <c r="C345" s="413">
        <v>1099995606</v>
      </c>
      <c r="D345" s="413">
        <v>973874355</v>
      </c>
      <c r="E345" s="413">
        <v>1117416815</v>
      </c>
      <c r="F345" s="836">
        <v>964411749</v>
      </c>
      <c r="G345" s="836">
        <v>946990540</v>
      </c>
      <c r="H345" s="836">
        <v>1107954209</v>
      </c>
      <c r="I345" s="836">
        <v>1090533000</v>
      </c>
    </row>
    <row r="346" spans="1:9" ht="15">
      <c r="A346" s="1080" t="s">
        <v>1019</v>
      </c>
      <c r="B346" s="413">
        <v>1610426406</v>
      </c>
      <c r="C346" s="413">
        <v>1610426406</v>
      </c>
      <c r="D346" s="413">
        <v>1631680076</v>
      </c>
      <c r="E346" s="413">
        <v>1631680076</v>
      </c>
      <c r="F346" s="836">
        <v>1631680076</v>
      </c>
      <c r="G346" s="836">
        <v>1610426406</v>
      </c>
      <c r="H346" s="836">
        <v>1631680076</v>
      </c>
      <c r="I346" s="836">
        <v>1610426406</v>
      </c>
    </row>
    <row r="347" spans="1:9" ht="15">
      <c r="A347" s="1080" t="s">
        <v>2795</v>
      </c>
      <c r="B347" s="413">
        <v>1009226669</v>
      </c>
      <c r="C347" s="413">
        <v>1009226669</v>
      </c>
      <c r="D347" s="413">
        <v>1016489142</v>
      </c>
      <c r="E347" s="413">
        <v>1016489142</v>
      </c>
      <c r="F347" s="836">
        <v>1009838060</v>
      </c>
      <c r="G347" s="836">
        <v>1002575587</v>
      </c>
      <c r="H347" s="836">
        <v>1009838060</v>
      </c>
      <c r="I347" s="836">
        <v>1002575587</v>
      </c>
    </row>
    <row r="348" spans="1:9" ht="15">
      <c r="A348" s="1080" t="s">
        <v>2796</v>
      </c>
      <c r="B348" s="413">
        <v>211206711</v>
      </c>
      <c r="C348" s="413">
        <v>211206711</v>
      </c>
      <c r="D348" s="413">
        <v>213835635</v>
      </c>
      <c r="E348" s="413">
        <v>213835635</v>
      </c>
      <c r="F348" s="836">
        <v>213835635</v>
      </c>
      <c r="G348" s="836">
        <v>211206711</v>
      </c>
      <c r="H348" s="836">
        <v>213835635</v>
      </c>
      <c r="I348" s="836">
        <v>211206711</v>
      </c>
    </row>
    <row r="349" spans="1:9" ht="15">
      <c r="A349" s="1080" t="s">
        <v>2118</v>
      </c>
      <c r="B349" s="413">
        <v>148226052</v>
      </c>
      <c r="C349" s="413">
        <v>148226052</v>
      </c>
      <c r="D349" s="413">
        <v>148943962</v>
      </c>
      <c r="E349" s="413">
        <v>148943962</v>
      </c>
      <c r="F349" s="836">
        <v>148943962</v>
      </c>
      <c r="G349" s="836">
        <v>148226052</v>
      </c>
      <c r="H349" s="836">
        <v>148943962</v>
      </c>
      <c r="I349" s="836">
        <v>148226052</v>
      </c>
    </row>
    <row r="350" spans="1:9" ht="15">
      <c r="A350" s="1080" t="s">
        <v>2119</v>
      </c>
      <c r="B350" s="413">
        <v>137945825</v>
      </c>
      <c r="C350" s="413">
        <v>137945825</v>
      </c>
      <c r="D350" s="413">
        <v>139513565</v>
      </c>
      <c r="E350" s="413">
        <v>139513565</v>
      </c>
      <c r="F350" s="836">
        <v>139513565</v>
      </c>
      <c r="G350" s="836">
        <v>137945825</v>
      </c>
      <c r="H350" s="836">
        <v>139513565</v>
      </c>
      <c r="I350" s="836">
        <v>137945825</v>
      </c>
    </row>
    <row r="351" spans="1:9" ht="15">
      <c r="A351" s="1080" t="s">
        <v>2301</v>
      </c>
      <c r="B351" s="413">
        <v>1261564341</v>
      </c>
      <c r="C351" s="413">
        <v>1261564341</v>
      </c>
      <c r="D351" s="413">
        <v>1295309901</v>
      </c>
      <c r="E351" s="413">
        <v>1295309901</v>
      </c>
      <c r="F351" s="836">
        <v>1295309901</v>
      </c>
      <c r="G351" s="836">
        <v>1261564341</v>
      </c>
      <c r="H351" s="836">
        <v>1295309901</v>
      </c>
      <c r="I351" s="836">
        <v>1261564341</v>
      </c>
    </row>
    <row r="352" spans="1:9" ht="15">
      <c r="A352" s="1080" t="s">
        <v>2313</v>
      </c>
      <c r="B352" s="413">
        <v>114251292</v>
      </c>
      <c r="C352" s="413">
        <v>114251292</v>
      </c>
      <c r="D352" s="413">
        <v>114524032</v>
      </c>
      <c r="E352" s="413">
        <v>114524032</v>
      </c>
      <c r="F352" s="836">
        <v>114524032</v>
      </c>
      <c r="G352" s="836">
        <v>114251292</v>
      </c>
      <c r="H352" s="836">
        <v>114524032</v>
      </c>
      <c r="I352" s="836">
        <v>114251292</v>
      </c>
    </row>
    <row r="353" spans="1:9" ht="15">
      <c r="A353" s="1080" t="s">
        <v>1897</v>
      </c>
      <c r="B353" s="413">
        <v>194869124</v>
      </c>
      <c r="C353" s="413">
        <v>194869124</v>
      </c>
      <c r="D353" s="413">
        <v>203781809</v>
      </c>
      <c r="E353" s="413">
        <v>203781809</v>
      </c>
      <c r="F353" s="836">
        <v>203781809</v>
      </c>
      <c r="G353" s="836">
        <v>194869124</v>
      </c>
      <c r="H353" s="836">
        <v>203781809</v>
      </c>
      <c r="I353" s="836">
        <v>194869124</v>
      </c>
    </row>
    <row r="354" spans="1:9" ht="15">
      <c r="A354" s="1080" t="s">
        <v>1107</v>
      </c>
      <c r="B354" s="413">
        <v>143438430</v>
      </c>
      <c r="C354" s="413">
        <v>143438430</v>
      </c>
      <c r="D354" s="413">
        <v>149860109</v>
      </c>
      <c r="E354" s="413">
        <v>149860109</v>
      </c>
      <c r="F354" s="836">
        <v>149860109</v>
      </c>
      <c r="G354" s="836">
        <v>143438430</v>
      </c>
      <c r="H354" s="836">
        <v>149860109</v>
      </c>
      <c r="I354" s="836">
        <v>143438430</v>
      </c>
    </row>
    <row r="355" spans="1:9" ht="15">
      <c r="A355" s="1080" t="s">
        <v>1108</v>
      </c>
      <c r="B355" s="413">
        <v>1393357363</v>
      </c>
      <c r="C355" s="413">
        <v>1393357363</v>
      </c>
      <c r="D355" s="413">
        <v>1450521223</v>
      </c>
      <c r="E355" s="413">
        <v>1450521223</v>
      </c>
      <c r="F355" s="836">
        <v>1450521223</v>
      </c>
      <c r="G355" s="836">
        <v>1393357363</v>
      </c>
      <c r="H355" s="836">
        <v>1450521223</v>
      </c>
      <c r="I355" s="836">
        <v>1393357363</v>
      </c>
    </row>
    <row r="356" spans="1:9" ht="15">
      <c r="A356" s="1080" t="s">
        <v>1276</v>
      </c>
      <c r="B356" s="413">
        <v>206116970</v>
      </c>
      <c r="C356" s="413">
        <v>206116970</v>
      </c>
      <c r="D356" s="413">
        <v>216421300</v>
      </c>
      <c r="E356" s="413">
        <v>216421300</v>
      </c>
      <c r="F356" s="836">
        <v>216421300</v>
      </c>
      <c r="G356" s="836">
        <v>206116970</v>
      </c>
      <c r="H356" s="836">
        <v>216421300</v>
      </c>
      <c r="I356" s="836">
        <v>206116970</v>
      </c>
    </row>
    <row r="357" spans="1:9" ht="15">
      <c r="A357" s="1080" t="s">
        <v>897</v>
      </c>
      <c r="B357" s="413">
        <v>2776768535</v>
      </c>
      <c r="C357" s="413">
        <v>2776768535</v>
      </c>
      <c r="D357" s="413">
        <v>2845780290</v>
      </c>
      <c r="E357" s="413">
        <v>2845780290</v>
      </c>
      <c r="F357" s="836">
        <v>2845780290</v>
      </c>
      <c r="G357" s="836">
        <v>2776768535</v>
      </c>
      <c r="H357" s="836">
        <v>2845780290</v>
      </c>
      <c r="I357" s="836">
        <v>2776768535</v>
      </c>
    </row>
    <row r="358" spans="1:9" ht="15">
      <c r="A358" s="1080" t="s">
        <v>898</v>
      </c>
      <c r="B358" s="413">
        <v>81031689</v>
      </c>
      <c r="C358" s="413">
        <v>81031689</v>
      </c>
      <c r="D358" s="413">
        <v>84326085</v>
      </c>
      <c r="E358" s="413">
        <v>84326085</v>
      </c>
      <c r="F358" s="836">
        <v>84326085</v>
      </c>
      <c r="G358" s="836">
        <v>81031689</v>
      </c>
      <c r="H358" s="836">
        <v>84326085</v>
      </c>
      <c r="I358" s="836">
        <v>81031689</v>
      </c>
    </row>
    <row r="359" spans="1:9" ht="15">
      <c r="A359" s="1080" t="s">
        <v>1404</v>
      </c>
      <c r="B359" s="413">
        <v>516523661</v>
      </c>
      <c r="C359" s="413">
        <v>516523661</v>
      </c>
      <c r="D359" s="413">
        <v>533969340</v>
      </c>
      <c r="E359" s="413">
        <v>533969340</v>
      </c>
      <c r="F359" s="836">
        <v>533969340</v>
      </c>
      <c r="G359" s="836">
        <v>516523661</v>
      </c>
      <c r="H359" s="836">
        <v>533969340</v>
      </c>
      <c r="I359" s="836">
        <v>516523661</v>
      </c>
    </row>
    <row r="360" spans="1:9" ht="15">
      <c r="A360" s="1080" t="s">
        <v>1405</v>
      </c>
      <c r="B360" s="413">
        <v>656358211</v>
      </c>
      <c r="C360" s="413">
        <v>656358211</v>
      </c>
      <c r="D360" s="413">
        <v>678822532</v>
      </c>
      <c r="E360" s="413">
        <v>678822532</v>
      </c>
      <c r="F360" s="836">
        <v>678822532</v>
      </c>
      <c r="G360" s="836">
        <v>656358211</v>
      </c>
      <c r="H360" s="836">
        <v>678822532</v>
      </c>
      <c r="I360" s="836">
        <v>656358211</v>
      </c>
    </row>
    <row r="361" spans="1:9" ht="15">
      <c r="A361" s="1080" t="s">
        <v>1650</v>
      </c>
      <c r="B361" s="413">
        <v>176717143</v>
      </c>
      <c r="C361" s="413">
        <v>176717143</v>
      </c>
      <c r="D361" s="413">
        <v>184827095</v>
      </c>
      <c r="E361" s="413">
        <v>184827095</v>
      </c>
      <c r="F361" s="836">
        <v>184827095</v>
      </c>
      <c r="G361" s="836">
        <v>176717143</v>
      </c>
      <c r="H361" s="836">
        <v>184827095</v>
      </c>
      <c r="I361" s="836">
        <v>176717143</v>
      </c>
    </row>
    <row r="362" spans="1:9" ht="15">
      <c r="A362" s="1080" t="s">
        <v>243</v>
      </c>
      <c r="B362" s="413">
        <v>745591885</v>
      </c>
      <c r="C362" s="413">
        <v>745591885</v>
      </c>
      <c r="D362" s="413">
        <v>767800832</v>
      </c>
      <c r="E362" s="413">
        <v>767800832</v>
      </c>
      <c r="F362" s="836">
        <v>767800832</v>
      </c>
      <c r="G362" s="836">
        <v>745591885</v>
      </c>
      <c r="H362" s="836">
        <v>767800832</v>
      </c>
      <c r="I362" s="836">
        <v>745591885</v>
      </c>
    </row>
    <row r="363" spans="1:9" ht="15">
      <c r="A363" s="1080" t="s">
        <v>2977</v>
      </c>
      <c r="B363" s="413">
        <v>345022503</v>
      </c>
      <c r="C363" s="413">
        <v>345022503</v>
      </c>
      <c r="D363" s="413">
        <v>357114086</v>
      </c>
      <c r="E363" s="413">
        <v>357114086</v>
      </c>
      <c r="F363" s="836">
        <v>357114086</v>
      </c>
      <c r="G363" s="836">
        <v>345022503</v>
      </c>
      <c r="H363" s="836">
        <v>357114086</v>
      </c>
      <c r="I363" s="836">
        <v>345022503</v>
      </c>
    </row>
    <row r="364" spans="1:9" ht="15">
      <c r="A364" s="1080" t="s">
        <v>1483</v>
      </c>
      <c r="B364" s="413">
        <v>220540237</v>
      </c>
      <c r="C364" s="413">
        <v>220540237</v>
      </c>
      <c r="D364" s="413">
        <v>226784896</v>
      </c>
      <c r="E364" s="413">
        <v>226784896</v>
      </c>
      <c r="F364" s="836">
        <v>226784896</v>
      </c>
      <c r="G364" s="836">
        <v>220540237</v>
      </c>
      <c r="H364" s="836">
        <v>226784896</v>
      </c>
      <c r="I364" s="836">
        <v>220540237</v>
      </c>
    </row>
    <row r="365" spans="1:9" ht="15">
      <c r="A365" s="1080" t="s">
        <v>1461</v>
      </c>
      <c r="B365" s="413">
        <v>162574657</v>
      </c>
      <c r="C365" s="413">
        <v>162574657</v>
      </c>
      <c r="D365" s="413">
        <v>172518211</v>
      </c>
      <c r="E365" s="413">
        <v>172518211</v>
      </c>
      <c r="F365" s="836">
        <v>172518211</v>
      </c>
      <c r="G365" s="836">
        <v>162574657</v>
      </c>
      <c r="H365" s="836">
        <v>172518211</v>
      </c>
      <c r="I365" s="836">
        <v>162574657</v>
      </c>
    </row>
    <row r="366" spans="1:9" ht="15">
      <c r="A366" s="1080" t="s">
        <v>1462</v>
      </c>
      <c r="B366" s="413">
        <v>506606668</v>
      </c>
      <c r="C366" s="413">
        <v>506606668</v>
      </c>
      <c r="D366" s="413">
        <v>528599325</v>
      </c>
      <c r="E366" s="413">
        <v>528599325</v>
      </c>
      <c r="F366" s="836">
        <v>504590402</v>
      </c>
      <c r="G366" s="836">
        <v>482597745</v>
      </c>
      <c r="H366" s="836">
        <v>504590402</v>
      </c>
      <c r="I366" s="836">
        <v>482597745</v>
      </c>
    </row>
    <row r="367" spans="1:9" ht="15">
      <c r="A367" s="1080" t="s">
        <v>1463</v>
      </c>
      <c r="B367" s="413">
        <v>1608826229</v>
      </c>
      <c r="C367" s="413">
        <v>1608826229</v>
      </c>
      <c r="D367" s="413">
        <v>1649712758</v>
      </c>
      <c r="E367" s="413">
        <v>1649712758</v>
      </c>
      <c r="F367" s="836">
        <v>1649712758</v>
      </c>
      <c r="G367" s="836">
        <v>1608826229</v>
      </c>
      <c r="H367" s="836">
        <v>1649712758</v>
      </c>
      <c r="I367" s="836">
        <v>1608826229</v>
      </c>
    </row>
    <row r="368" spans="1:9" ht="15">
      <c r="A368" s="1080" t="s">
        <v>498</v>
      </c>
      <c r="B368" s="413">
        <v>3996824162</v>
      </c>
      <c r="C368" s="413">
        <v>3996824162</v>
      </c>
      <c r="D368" s="413">
        <v>4096351352</v>
      </c>
      <c r="E368" s="413">
        <v>4096351352</v>
      </c>
      <c r="F368" s="836">
        <v>4096351352</v>
      </c>
      <c r="G368" s="836">
        <v>3996824162</v>
      </c>
      <c r="H368" s="836">
        <v>4096351352</v>
      </c>
      <c r="I368" s="836">
        <v>3996824162</v>
      </c>
    </row>
    <row r="369" spans="1:9" ht="15">
      <c r="A369" s="1080" t="s">
        <v>2504</v>
      </c>
      <c r="B369" s="413">
        <v>1612227779</v>
      </c>
      <c r="C369" s="413">
        <v>1612227779</v>
      </c>
      <c r="D369" s="413">
        <v>1663113607</v>
      </c>
      <c r="E369" s="413">
        <v>1663113607</v>
      </c>
      <c r="F369" s="836">
        <v>1584867602</v>
      </c>
      <c r="G369" s="836">
        <v>1533981774</v>
      </c>
      <c r="H369" s="836">
        <v>1584867602</v>
      </c>
      <c r="I369" s="836">
        <v>1533981774</v>
      </c>
    </row>
    <row r="370" spans="1:9" ht="15">
      <c r="A370" s="1080" t="s">
        <v>3035</v>
      </c>
      <c r="B370" s="413">
        <v>417014951</v>
      </c>
      <c r="C370" s="413">
        <v>417014951</v>
      </c>
      <c r="D370" s="413">
        <v>430395834</v>
      </c>
      <c r="E370" s="413">
        <v>430395834</v>
      </c>
      <c r="F370" s="836">
        <v>410702385</v>
      </c>
      <c r="G370" s="836">
        <v>397321502</v>
      </c>
      <c r="H370" s="836">
        <v>410702385</v>
      </c>
      <c r="I370" s="836">
        <v>397321502</v>
      </c>
    </row>
    <row r="371" spans="1:9" ht="15">
      <c r="A371" s="1080" t="s">
        <v>1702</v>
      </c>
      <c r="B371" s="413">
        <v>505828818</v>
      </c>
      <c r="C371" s="413">
        <v>505828818</v>
      </c>
      <c r="D371" s="413">
        <v>524805263</v>
      </c>
      <c r="E371" s="413">
        <v>524805263</v>
      </c>
      <c r="F371" s="836">
        <v>494305575</v>
      </c>
      <c r="G371" s="836">
        <v>475329130</v>
      </c>
      <c r="H371" s="836">
        <v>494305575</v>
      </c>
      <c r="I371" s="836">
        <v>475329130</v>
      </c>
    </row>
    <row r="372" spans="1:9" ht="15">
      <c r="A372" s="1080" t="s">
        <v>3036</v>
      </c>
      <c r="B372" s="413">
        <v>358167344</v>
      </c>
      <c r="C372" s="413">
        <v>358167344</v>
      </c>
      <c r="D372" s="413">
        <v>372375675</v>
      </c>
      <c r="E372" s="413">
        <v>372375675</v>
      </c>
      <c r="F372" s="836">
        <v>350281811</v>
      </c>
      <c r="G372" s="836">
        <v>336073480</v>
      </c>
      <c r="H372" s="836">
        <v>350281811</v>
      </c>
      <c r="I372" s="836">
        <v>336073480</v>
      </c>
    </row>
    <row r="373" spans="1:9" ht="15">
      <c r="A373" s="1080" t="s">
        <v>3037</v>
      </c>
      <c r="B373" s="413">
        <v>561535434</v>
      </c>
      <c r="C373" s="413">
        <v>561535434</v>
      </c>
      <c r="D373" s="413">
        <v>569164728</v>
      </c>
      <c r="E373" s="413">
        <v>569164728</v>
      </c>
      <c r="F373" s="836">
        <v>569164728</v>
      </c>
      <c r="G373" s="836">
        <v>561535434</v>
      </c>
      <c r="H373" s="836">
        <v>569164728</v>
      </c>
      <c r="I373" s="836">
        <v>561535434</v>
      </c>
    </row>
    <row r="374" spans="1:9" ht="15">
      <c r="A374" s="1080" t="s">
        <v>3038</v>
      </c>
      <c r="B374" s="413">
        <v>275512440</v>
      </c>
      <c r="C374" s="413">
        <v>275512440</v>
      </c>
      <c r="D374" s="413">
        <v>281519326</v>
      </c>
      <c r="E374" s="413">
        <v>281519326</v>
      </c>
      <c r="F374" s="836">
        <v>281519326</v>
      </c>
      <c r="G374" s="836">
        <v>275512440</v>
      </c>
      <c r="H374" s="836">
        <v>281519326</v>
      </c>
      <c r="I374" s="836">
        <v>275512440</v>
      </c>
    </row>
    <row r="375" spans="1:9" ht="15">
      <c r="A375" s="1080" t="s">
        <v>3039</v>
      </c>
      <c r="B375" s="413">
        <v>1729524119</v>
      </c>
      <c r="C375" s="413">
        <v>1729524119</v>
      </c>
      <c r="D375" s="413">
        <v>1761248757</v>
      </c>
      <c r="E375" s="413">
        <v>1761248757</v>
      </c>
      <c r="F375" s="836">
        <v>1718673687</v>
      </c>
      <c r="G375" s="836">
        <v>1686949049</v>
      </c>
      <c r="H375" s="836">
        <v>1718673687</v>
      </c>
      <c r="I375" s="836">
        <v>1686949049</v>
      </c>
    </row>
    <row r="376" spans="1:9" ht="15">
      <c r="A376" s="1080" t="s">
        <v>2456</v>
      </c>
      <c r="B376" s="413">
        <v>131535105</v>
      </c>
      <c r="C376" s="413">
        <v>131535105</v>
      </c>
      <c r="D376" s="413">
        <v>135298165</v>
      </c>
      <c r="E376" s="413">
        <v>135298165</v>
      </c>
      <c r="F376" s="836">
        <v>135298165</v>
      </c>
      <c r="G376" s="836">
        <v>131535105</v>
      </c>
      <c r="H376" s="836">
        <v>135298165</v>
      </c>
      <c r="I376" s="836">
        <v>131535105</v>
      </c>
    </row>
    <row r="377" spans="1:9" ht="15">
      <c r="A377" s="1080" t="s">
        <v>537</v>
      </c>
      <c r="B377" s="413">
        <v>2878488425</v>
      </c>
      <c r="C377" s="413">
        <v>3008571480</v>
      </c>
      <c r="D377" s="413">
        <v>2960296171</v>
      </c>
      <c r="E377" s="413">
        <v>3090379226</v>
      </c>
      <c r="F377" s="836">
        <v>2960296171</v>
      </c>
      <c r="G377" s="836">
        <v>2878488425</v>
      </c>
      <c r="H377" s="836">
        <v>3090379226</v>
      </c>
      <c r="I377" s="836">
        <v>3008571480</v>
      </c>
    </row>
    <row r="378" spans="1:9" ht="15">
      <c r="A378" s="1080" t="s">
        <v>535</v>
      </c>
      <c r="B378" s="413">
        <v>4586614070</v>
      </c>
      <c r="C378" s="413">
        <v>4586614070</v>
      </c>
      <c r="D378" s="413">
        <v>4745170410</v>
      </c>
      <c r="E378" s="413">
        <v>4745170410</v>
      </c>
      <c r="F378" s="836">
        <v>4745170410</v>
      </c>
      <c r="G378" s="836">
        <v>4586614070</v>
      </c>
      <c r="H378" s="836">
        <v>4745170410</v>
      </c>
      <c r="I378" s="836">
        <v>4586614070</v>
      </c>
    </row>
    <row r="379" spans="1:9" ht="15">
      <c r="A379" s="1080" t="s">
        <v>2457</v>
      </c>
      <c r="B379" s="413">
        <v>706881629</v>
      </c>
      <c r="C379" s="413">
        <v>706881629</v>
      </c>
      <c r="D379" s="413">
        <v>725051341</v>
      </c>
      <c r="E379" s="413">
        <v>725051341</v>
      </c>
      <c r="F379" s="836">
        <v>725051341</v>
      </c>
      <c r="G379" s="836">
        <v>706881629</v>
      </c>
      <c r="H379" s="836">
        <v>725051341</v>
      </c>
      <c r="I379" s="836">
        <v>706881629</v>
      </c>
    </row>
    <row r="380" spans="1:9" ht="15">
      <c r="A380" s="1080" t="s">
        <v>381</v>
      </c>
      <c r="B380" s="413">
        <v>649249749</v>
      </c>
      <c r="C380" s="413">
        <v>649249749</v>
      </c>
      <c r="D380" s="413">
        <v>665927026</v>
      </c>
      <c r="E380" s="413">
        <v>665927026</v>
      </c>
      <c r="F380" s="836">
        <v>665927026</v>
      </c>
      <c r="G380" s="836">
        <v>649249749</v>
      </c>
      <c r="H380" s="836">
        <v>665927026</v>
      </c>
      <c r="I380" s="836">
        <v>649249749</v>
      </c>
    </row>
    <row r="381" spans="1:9" ht="15">
      <c r="A381" s="1080" t="s">
        <v>2458</v>
      </c>
      <c r="B381" s="413">
        <v>539023294</v>
      </c>
      <c r="C381" s="413">
        <v>539023294</v>
      </c>
      <c r="D381" s="413">
        <v>545914637</v>
      </c>
      <c r="E381" s="413">
        <v>545914637</v>
      </c>
      <c r="F381" s="836">
        <v>545914637</v>
      </c>
      <c r="G381" s="836">
        <v>539023294</v>
      </c>
      <c r="H381" s="836">
        <v>545914637</v>
      </c>
      <c r="I381" s="836">
        <v>539023294</v>
      </c>
    </row>
    <row r="382" spans="1:9" ht="15">
      <c r="A382" s="1080" t="s">
        <v>2459</v>
      </c>
      <c r="B382" s="413">
        <v>39164708</v>
      </c>
      <c r="C382" s="413">
        <v>39164708</v>
      </c>
      <c r="D382" s="413">
        <v>39706785</v>
      </c>
      <c r="E382" s="413">
        <v>39706785</v>
      </c>
      <c r="F382" s="836">
        <v>39706785</v>
      </c>
      <c r="G382" s="836">
        <v>39164708</v>
      </c>
      <c r="H382" s="836">
        <v>39706785</v>
      </c>
      <c r="I382" s="836">
        <v>39164708</v>
      </c>
    </row>
    <row r="383" spans="1:9" ht="15">
      <c r="A383" s="1080" t="s">
        <v>547</v>
      </c>
      <c r="B383" s="413">
        <v>88244902</v>
      </c>
      <c r="C383" s="413">
        <v>88244902</v>
      </c>
      <c r="D383" s="413">
        <v>92748325</v>
      </c>
      <c r="E383" s="413">
        <v>92748325</v>
      </c>
      <c r="F383" s="836">
        <v>92748325</v>
      </c>
      <c r="G383" s="836">
        <v>88244902</v>
      </c>
      <c r="H383" s="836">
        <v>92748325</v>
      </c>
      <c r="I383" s="836">
        <v>88244902</v>
      </c>
    </row>
    <row r="384" spans="1:9" ht="15">
      <c r="A384" s="1080" t="s">
        <v>2232</v>
      </c>
      <c r="B384" s="413">
        <v>62017485</v>
      </c>
      <c r="C384" s="413">
        <v>62017485</v>
      </c>
      <c r="D384" s="413">
        <v>64632677</v>
      </c>
      <c r="E384" s="413">
        <v>64632677</v>
      </c>
      <c r="F384" s="836">
        <v>64632677</v>
      </c>
      <c r="G384" s="836">
        <v>62017485</v>
      </c>
      <c r="H384" s="836">
        <v>64632677</v>
      </c>
      <c r="I384" s="836">
        <v>62017485</v>
      </c>
    </row>
    <row r="385" spans="1:9" ht="15">
      <c r="A385" s="1080" t="s">
        <v>2366</v>
      </c>
      <c r="B385" s="413">
        <v>1117505905</v>
      </c>
      <c r="C385" s="413">
        <v>1190298065</v>
      </c>
      <c r="D385" s="413">
        <v>1159846275</v>
      </c>
      <c r="E385" s="413">
        <v>1232638435</v>
      </c>
      <c r="F385" s="836">
        <v>1159846275</v>
      </c>
      <c r="G385" s="836">
        <v>1117505905</v>
      </c>
      <c r="H385" s="836">
        <v>1232638435</v>
      </c>
      <c r="I385" s="836">
        <v>1190298065</v>
      </c>
    </row>
    <row r="386" spans="1:9" ht="15">
      <c r="A386" s="1080" t="s">
        <v>2367</v>
      </c>
      <c r="B386" s="413">
        <v>158227532</v>
      </c>
      <c r="C386" s="413">
        <v>158227532</v>
      </c>
      <c r="D386" s="413">
        <v>162177092</v>
      </c>
      <c r="E386" s="413">
        <v>162177092</v>
      </c>
      <c r="F386" s="836">
        <v>162177092</v>
      </c>
      <c r="G386" s="836">
        <v>158227532</v>
      </c>
      <c r="H386" s="836">
        <v>162177092</v>
      </c>
      <c r="I386" s="836">
        <v>158227532</v>
      </c>
    </row>
    <row r="387" spans="1:9" ht="15">
      <c r="A387" s="1080" t="s">
        <v>169</v>
      </c>
      <c r="B387" s="413">
        <v>80823003</v>
      </c>
      <c r="C387" s="413">
        <v>80823003</v>
      </c>
      <c r="D387" s="413">
        <v>82379186</v>
      </c>
      <c r="E387" s="413">
        <v>82379186</v>
      </c>
      <c r="F387" s="836">
        <v>82379186</v>
      </c>
      <c r="G387" s="836">
        <v>80823003</v>
      </c>
      <c r="H387" s="836">
        <v>82379186</v>
      </c>
      <c r="I387" s="836">
        <v>80823003</v>
      </c>
    </row>
    <row r="388" spans="1:9" ht="15">
      <c r="A388" s="1080" t="s">
        <v>170</v>
      </c>
      <c r="B388" s="413">
        <v>302140145</v>
      </c>
      <c r="C388" s="413">
        <v>302140145</v>
      </c>
      <c r="D388" s="413">
        <v>315298429</v>
      </c>
      <c r="E388" s="413">
        <v>315298429</v>
      </c>
      <c r="F388" s="836">
        <v>315298429</v>
      </c>
      <c r="G388" s="836">
        <v>302140145</v>
      </c>
      <c r="H388" s="836">
        <v>315298429</v>
      </c>
      <c r="I388" s="836">
        <v>302140145</v>
      </c>
    </row>
    <row r="389" spans="1:9" ht="15">
      <c r="A389" s="1080" t="s">
        <v>2867</v>
      </c>
      <c r="B389" s="413">
        <v>162100157</v>
      </c>
      <c r="C389" s="413">
        <v>162100157</v>
      </c>
      <c r="D389" s="413">
        <v>169105434</v>
      </c>
      <c r="E389" s="413">
        <v>169105434</v>
      </c>
      <c r="F389" s="836">
        <v>169105434</v>
      </c>
      <c r="G389" s="836">
        <v>162100157</v>
      </c>
      <c r="H389" s="836">
        <v>169105434</v>
      </c>
      <c r="I389" s="836">
        <v>162100157</v>
      </c>
    </row>
    <row r="390" spans="1:9" ht="15">
      <c r="A390" s="1080" t="s">
        <v>2674</v>
      </c>
      <c r="B390" s="413">
        <v>326683539</v>
      </c>
      <c r="C390" s="413">
        <v>388701539</v>
      </c>
      <c r="D390" s="413">
        <v>330045733</v>
      </c>
      <c r="E390" s="413">
        <v>392063733</v>
      </c>
      <c r="F390" s="836">
        <v>330045733</v>
      </c>
      <c r="G390" s="836">
        <v>326683539</v>
      </c>
      <c r="H390" s="836">
        <v>392063733</v>
      </c>
      <c r="I390" s="836">
        <v>388701539</v>
      </c>
    </row>
    <row r="391" spans="1:9" ht="15">
      <c r="A391" s="1080" t="s">
        <v>1281</v>
      </c>
      <c r="B391" s="413">
        <v>165680261</v>
      </c>
      <c r="C391" s="413">
        <v>167608761</v>
      </c>
      <c r="D391" s="413">
        <v>166262169</v>
      </c>
      <c r="E391" s="413">
        <v>168190669</v>
      </c>
      <c r="F391" s="836">
        <v>165844349</v>
      </c>
      <c r="G391" s="836">
        <v>165262441</v>
      </c>
      <c r="H391" s="836">
        <v>167772849</v>
      </c>
      <c r="I391" s="836">
        <v>167190941</v>
      </c>
    </row>
    <row r="392" spans="1:9" ht="15">
      <c r="A392" s="1080" t="s">
        <v>1282</v>
      </c>
      <c r="B392" s="413">
        <v>503386304</v>
      </c>
      <c r="C392" s="413">
        <v>503386304</v>
      </c>
      <c r="D392" s="413">
        <v>511240224</v>
      </c>
      <c r="E392" s="413">
        <v>511240224</v>
      </c>
      <c r="F392" s="836">
        <v>511240224</v>
      </c>
      <c r="G392" s="836">
        <v>503386304</v>
      </c>
      <c r="H392" s="836">
        <v>511240224</v>
      </c>
      <c r="I392" s="836">
        <v>503386304</v>
      </c>
    </row>
    <row r="393" spans="1:9" ht="15">
      <c r="A393" s="1080" t="s">
        <v>2416</v>
      </c>
      <c r="B393" s="413">
        <v>119785077</v>
      </c>
      <c r="C393" s="413">
        <v>199621297</v>
      </c>
      <c r="D393" s="413">
        <v>121236117</v>
      </c>
      <c r="E393" s="413">
        <v>201072337</v>
      </c>
      <c r="F393" s="836">
        <v>121236117</v>
      </c>
      <c r="G393" s="836">
        <v>119785077</v>
      </c>
      <c r="H393" s="836">
        <v>201072337</v>
      </c>
      <c r="I393" s="836">
        <v>199621297</v>
      </c>
    </row>
    <row r="394" spans="1:9" ht="15">
      <c r="A394" s="1080" t="s">
        <v>2417</v>
      </c>
      <c r="B394" s="413">
        <v>271424101</v>
      </c>
      <c r="C394" s="413">
        <v>271424101</v>
      </c>
      <c r="D394" s="413">
        <v>275786941</v>
      </c>
      <c r="E394" s="413">
        <v>275786941</v>
      </c>
      <c r="F394" s="836">
        <v>275786941</v>
      </c>
      <c r="G394" s="836">
        <v>271424101</v>
      </c>
      <c r="H394" s="836">
        <v>275786941</v>
      </c>
      <c r="I394" s="836">
        <v>271424101</v>
      </c>
    </row>
    <row r="395" spans="1:9" ht="15">
      <c r="A395" s="1080" t="s">
        <v>1158</v>
      </c>
      <c r="B395" s="413">
        <v>356560053</v>
      </c>
      <c r="C395" s="413">
        <v>356560053</v>
      </c>
      <c r="D395" s="413">
        <v>373597803</v>
      </c>
      <c r="E395" s="413">
        <v>373597803</v>
      </c>
      <c r="F395" s="836">
        <v>373597803</v>
      </c>
      <c r="G395" s="836">
        <v>356560053</v>
      </c>
      <c r="H395" s="836">
        <v>373597803</v>
      </c>
      <c r="I395" s="836">
        <v>356560053</v>
      </c>
    </row>
    <row r="396" spans="1:9" ht="15">
      <c r="A396" s="1080" t="s">
        <v>1312</v>
      </c>
      <c r="B396" s="413">
        <v>750759305</v>
      </c>
      <c r="C396" s="413">
        <v>750759305</v>
      </c>
      <c r="D396" s="413">
        <v>787884265</v>
      </c>
      <c r="E396" s="413">
        <v>787884265</v>
      </c>
      <c r="F396" s="836">
        <v>787884265</v>
      </c>
      <c r="G396" s="836">
        <v>750759305</v>
      </c>
      <c r="H396" s="836">
        <v>787884265</v>
      </c>
      <c r="I396" s="836">
        <v>750759305</v>
      </c>
    </row>
    <row r="397" spans="1:9" ht="15">
      <c r="A397" s="1080" t="s">
        <v>416</v>
      </c>
      <c r="B397" s="413">
        <v>815361569</v>
      </c>
      <c r="C397" s="413">
        <v>815361569</v>
      </c>
      <c r="D397" s="413">
        <v>841820974</v>
      </c>
      <c r="E397" s="413">
        <v>841820974</v>
      </c>
      <c r="F397" s="836">
        <v>830984811</v>
      </c>
      <c r="G397" s="836">
        <v>804525406</v>
      </c>
      <c r="H397" s="836">
        <v>830984811</v>
      </c>
      <c r="I397" s="836">
        <v>804525406</v>
      </c>
    </row>
    <row r="398" spans="1:9" ht="15">
      <c r="A398" s="1080" t="s">
        <v>2608</v>
      </c>
      <c r="B398" s="413">
        <v>1017944249</v>
      </c>
      <c r="C398" s="413">
        <v>1017944249</v>
      </c>
      <c r="D398" s="413">
        <v>1067688869</v>
      </c>
      <c r="E398" s="413">
        <v>1067688869</v>
      </c>
      <c r="F398" s="836">
        <v>1067688869</v>
      </c>
      <c r="G398" s="836">
        <v>1017944249</v>
      </c>
      <c r="H398" s="836">
        <v>1067688869</v>
      </c>
      <c r="I398" s="836">
        <v>1017944249</v>
      </c>
    </row>
    <row r="399" spans="1:9" ht="15">
      <c r="A399" s="1080" t="s">
        <v>1346</v>
      </c>
      <c r="B399" s="413">
        <v>185215163</v>
      </c>
      <c r="C399" s="413">
        <v>185215163</v>
      </c>
      <c r="D399" s="413">
        <v>192081643</v>
      </c>
      <c r="E399" s="413">
        <v>192081643</v>
      </c>
      <c r="F399" s="836">
        <v>192081643</v>
      </c>
      <c r="G399" s="836">
        <v>185215163</v>
      </c>
      <c r="H399" s="836">
        <v>192081643</v>
      </c>
      <c r="I399" s="836">
        <v>185215163</v>
      </c>
    </row>
    <row r="400" spans="1:9" ht="15">
      <c r="A400" s="1080" t="s">
        <v>639</v>
      </c>
      <c r="B400" s="413">
        <v>18585811281</v>
      </c>
      <c r="C400" s="413">
        <v>18585811281</v>
      </c>
      <c r="D400" s="413">
        <v>18912302403</v>
      </c>
      <c r="E400" s="413">
        <v>18912302403</v>
      </c>
      <c r="F400" s="836">
        <v>18912302403</v>
      </c>
      <c r="G400" s="836">
        <v>18585811281</v>
      </c>
      <c r="H400" s="836">
        <v>18912302403</v>
      </c>
      <c r="I400" s="836">
        <v>18585811281</v>
      </c>
    </row>
    <row r="401" spans="1:9" ht="15">
      <c r="A401" s="1080" t="s">
        <v>222</v>
      </c>
      <c r="B401" s="413">
        <v>13734225001</v>
      </c>
      <c r="C401" s="413">
        <v>13734225001</v>
      </c>
      <c r="D401" s="413">
        <v>14000791158</v>
      </c>
      <c r="E401" s="413">
        <v>14000791158</v>
      </c>
      <c r="F401" s="836">
        <v>14000791158</v>
      </c>
      <c r="G401" s="836">
        <v>13734225001</v>
      </c>
      <c r="H401" s="836">
        <v>14000791158</v>
      </c>
      <c r="I401" s="836">
        <v>13734225001</v>
      </c>
    </row>
    <row r="402" spans="1:9" ht="15">
      <c r="A402" s="1080" t="s">
        <v>2641</v>
      </c>
      <c r="B402" s="413">
        <v>2721348363</v>
      </c>
      <c r="C402" s="413">
        <v>2721348363</v>
      </c>
      <c r="D402" s="413">
        <v>2778547232</v>
      </c>
      <c r="E402" s="413">
        <v>2778547232</v>
      </c>
      <c r="F402" s="836">
        <v>2778547232</v>
      </c>
      <c r="G402" s="836">
        <v>2721348363</v>
      </c>
      <c r="H402" s="836">
        <v>2778547232</v>
      </c>
      <c r="I402" s="836">
        <v>2721348363</v>
      </c>
    </row>
    <row r="403" spans="1:9" ht="15">
      <c r="A403" s="1080" t="s">
        <v>2758</v>
      </c>
      <c r="B403" s="413">
        <v>1614147943</v>
      </c>
      <c r="C403" s="413">
        <v>1614147943</v>
      </c>
      <c r="D403" s="413">
        <v>1672139821</v>
      </c>
      <c r="E403" s="413">
        <v>1672139821</v>
      </c>
      <c r="F403" s="836">
        <v>1672139821</v>
      </c>
      <c r="G403" s="836">
        <v>1614147943</v>
      </c>
      <c r="H403" s="836">
        <v>1672139821</v>
      </c>
      <c r="I403" s="836">
        <v>1614147943</v>
      </c>
    </row>
    <row r="404" spans="1:9" ht="15">
      <c r="A404" s="1080" t="s">
        <v>2642</v>
      </c>
      <c r="B404" s="413">
        <v>47413420284</v>
      </c>
      <c r="C404" s="413">
        <v>47413420284</v>
      </c>
      <c r="D404" s="413">
        <v>48566639061</v>
      </c>
      <c r="E404" s="413">
        <v>48566639061</v>
      </c>
      <c r="F404" s="836">
        <v>46304857987</v>
      </c>
      <c r="G404" s="836">
        <v>45151639210</v>
      </c>
      <c r="H404" s="836">
        <v>46304857987</v>
      </c>
      <c r="I404" s="836">
        <v>45151639210</v>
      </c>
    </row>
    <row r="405" spans="1:9" ht="15">
      <c r="A405" s="1080" t="s">
        <v>2481</v>
      </c>
      <c r="B405" s="413">
        <v>7759508770</v>
      </c>
      <c r="C405" s="413">
        <v>7759508770</v>
      </c>
      <c r="D405" s="413">
        <v>7872288019</v>
      </c>
      <c r="E405" s="413">
        <v>7872288019</v>
      </c>
      <c r="F405" s="836">
        <v>7703603504</v>
      </c>
      <c r="G405" s="836">
        <v>7590824255</v>
      </c>
      <c r="H405" s="836">
        <v>7703603504</v>
      </c>
      <c r="I405" s="836">
        <v>7590824255</v>
      </c>
    </row>
    <row r="406" spans="1:9" ht="15">
      <c r="A406" s="1080" t="s">
        <v>1608</v>
      </c>
      <c r="B406" s="413">
        <v>8100203387</v>
      </c>
      <c r="C406" s="413">
        <v>8100203387</v>
      </c>
      <c r="D406" s="413">
        <v>8224098413</v>
      </c>
      <c r="E406" s="413">
        <v>8224098413</v>
      </c>
      <c r="F406" s="836">
        <v>8117401161</v>
      </c>
      <c r="G406" s="836">
        <v>7993506135</v>
      </c>
      <c r="H406" s="836">
        <v>8117401161</v>
      </c>
      <c r="I406" s="836">
        <v>7993506135</v>
      </c>
    </row>
    <row r="407" spans="1:9" ht="15">
      <c r="A407" s="1080" t="s">
        <v>2300</v>
      </c>
      <c r="B407" s="413">
        <v>10042558043</v>
      </c>
      <c r="C407" s="413">
        <v>10137558043</v>
      </c>
      <c r="D407" s="413">
        <v>10226259234</v>
      </c>
      <c r="E407" s="413">
        <v>10321259234</v>
      </c>
      <c r="F407" s="836">
        <v>10119539460</v>
      </c>
      <c r="G407" s="836">
        <v>9935838269</v>
      </c>
      <c r="H407" s="836">
        <v>10214539460</v>
      </c>
      <c r="I407" s="836">
        <v>10030838269</v>
      </c>
    </row>
    <row r="408" spans="1:9" ht="15">
      <c r="A408" s="1080" t="s">
        <v>2921</v>
      </c>
      <c r="B408" s="134">
        <v>155051532456</v>
      </c>
      <c r="C408" s="413">
        <f>B408</f>
        <v>155051532456</v>
      </c>
      <c r="D408" s="134">
        <v>157199528947</v>
      </c>
      <c r="E408" s="413">
        <f>D408</f>
        <v>157199528947</v>
      </c>
      <c r="F408" s="836">
        <v>150915901588</v>
      </c>
      <c r="G408" s="836">
        <v>148767905097</v>
      </c>
      <c r="H408" s="836">
        <v>150915901588</v>
      </c>
      <c r="I408" s="836">
        <v>148767905097</v>
      </c>
    </row>
    <row r="409" spans="1:9" ht="15">
      <c r="A409" s="1080" t="s">
        <v>1278</v>
      </c>
      <c r="B409" s="413">
        <v>12937822576</v>
      </c>
      <c r="C409" s="413">
        <v>12937822576</v>
      </c>
      <c r="D409" s="413">
        <v>13365790028</v>
      </c>
      <c r="E409" s="413">
        <v>13365790028</v>
      </c>
      <c r="F409" s="836">
        <v>13365790028</v>
      </c>
      <c r="G409" s="836">
        <v>12937822576</v>
      </c>
      <c r="H409" s="836">
        <v>13365790028</v>
      </c>
      <c r="I409" s="836">
        <v>12937822576</v>
      </c>
    </row>
    <row r="410" spans="1:9" ht="15">
      <c r="A410" s="1080" t="s">
        <v>55</v>
      </c>
      <c r="B410" s="413">
        <v>32324322572</v>
      </c>
      <c r="C410" s="413">
        <v>32353898132</v>
      </c>
      <c r="D410" s="413">
        <v>32991394469</v>
      </c>
      <c r="E410" s="413">
        <v>33020970029</v>
      </c>
      <c r="F410" s="836">
        <v>32991394469</v>
      </c>
      <c r="G410" s="836">
        <v>32324322572</v>
      </c>
      <c r="H410" s="836">
        <v>33020970029</v>
      </c>
      <c r="I410" s="836">
        <v>32353898132</v>
      </c>
    </row>
    <row r="411" spans="1:9" ht="15">
      <c r="A411" s="1080" t="s">
        <v>62</v>
      </c>
      <c r="B411" s="413">
        <v>17229826900</v>
      </c>
      <c r="C411" s="413">
        <v>17296840232</v>
      </c>
      <c r="D411" s="413">
        <v>17758728899</v>
      </c>
      <c r="E411" s="413">
        <v>17825742231</v>
      </c>
      <c r="F411" s="836">
        <v>17758728899</v>
      </c>
      <c r="G411" s="836">
        <v>17229826900</v>
      </c>
      <c r="H411" s="836">
        <v>17825742231</v>
      </c>
      <c r="I411" s="836">
        <v>17296840232</v>
      </c>
    </row>
    <row r="412" spans="1:9" ht="15">
      <c r="A412" s="1080" t="s">
        <v>2922</v>
      </c>
      <c r="B412" s="413">
        <v>8324199872</v>
      </c>
      <c r="C412" s="413">
        <v>8423482572</v>
      </c>
      <c r="D412" s="413">
        <v>8424816447</v>
      </c>
      <c r="E412" s="413">
        <v>8524099147</v>
      </c>
      <c r="F412" s="836">
        <v>8273945180</v>
      </c>
      <c r="G412" s="836">
        <v>8173328605</v>
      </c>
      <c r="H412" s="836">
        <v>8373227880</v>
      </c>
      <c r="I412" s="836">
        <v>8272611305</v>
      </c>
    </row>
    <row r="413" spans="1:9" ht="15">
      <c r="A413" s="1080" t="s">
        <v>234</v>
      </c>
      <c r="B413" s="413">
        <v>11800406152</v>
      </c>
      <c r="C413" s="413">
        <v>11800406152</v>
      </c>
      <c r="D413" s="413">
        <v>12164764020</v>
      </c>
      <c r="E413" s="413">
        <v>12164764020</v>
      </c>
      <c r="F413" s="836">
        <v>11962611789</v>
      </c>
      <c r="G413" s="836">
        <v>11598253921</v>
      </c>
      <c r="H413" s="836">
        <v>11962611789</v>
      </c>
      <c r="I413" s="836">
        <v>11598253921</v>
      </c>
    </row>
    <row r="414" spans="1:9" ht="15">
      <c r="A414" s="1080" t="s">
        <v>743</v>
      </c>
      <c r="B414" s="413">
        <v>10602403555</v>
      </c>
      <c r="C414" s="413">
        <v>10602403555</v>
      </c>
      <c r="D414" s="413">
        <v>10867377189</v>
      </c>
      <c r="E414" s="413">
        <v>10867377189</v>
      </c>
      <c r="F414" s="836">
        <v>10867377189</v>
      </c>
      <c r="G414" s="836">
        <v>10602403555</v>
      </c>
      <c r="H414" s="836">
        <v>10867377189</v>
      </c>
      <c r="I414" s="836">
        <v>10602403555</v>
      </c>
    </row>
    <row r="415" spans="1:9" ht="15">
      <c r="A415" s="1080" t="s">
        <v>918</v>
      </c>
      <c r="B415" s="413">
        <v>28938746268</v>
      </c>
      <c r="C415" s="413">
        <v>28938746268</v>
      </c>
      <c r="D415" s="413">
        <v>29264219935</v>
      </c>
      <c r="E415" s="413">
        <v>29264219935</v>
      </c>
      <c r="F415" s="836">
        <v>27462427551</v>
      </c>
      <c r="G415" s="836">
        <v>27136953884</v>
      </c>
      <c r="H415" s="836">
        <v>27462427551</v>
      </c>
      <c r="I415" s="836">
        <v>27136953884</v>
      </c>
    </row>
    <row r="416" spans="1:9" ht="15">
      <c r="A416" s="1080" t="s">
        <v>2221</v>
      </c>
      <c r="B416" s="413">
        <v>8977875186</v>
      </c>
      <c r="C416" s="413">
        <v>8977875186</v>
      </c>
      <c r="D416" s="413">
        <v>9143406836</v>
      </c>
      <c r="E416" s="413">
        <v>9143406836</v>
      </c>
      <c r="F416" s="836">
        <v>9143406836</v>
      </c>
      <c r="G416" s="836">
        <v>8977875186</v>
      </c>
      <c r="H416" s="836">
        <v>9143406836</v>
      </c>
      <c r="I416" s="836">
        <v>8977875186</v>
      </c>
    </row>
    <row r="417" spans="1:9" ht="15">
      <c r="A417" s="1080" t="s">
        <v>2222</v>
      </c>
      <c r="B417" s="413">
        <v>5476667046</v>
      </c>
      <c r="C417" s="413">
        <v>5476667046</v>
      </c>
      <c r="D417" s="413">
        <v>5529854507</v>
      </c>
      <c r="E417" s="413">
        <v>5529854507</v>
      </c>
      <c r="F417" s="836">
        <v>5477373127</v>
      </c>
      <c r="G417" s="836">
        <v>5424185666</v>
      </c>
      <c r="H417" s="836">
        <v>5477373127</v>
      </c>
      <c r="I417" s="836">
        <v>5424185666</v>
      </c>
    </row>
    <row r="418" spans="1:9" ht="15">
      <c r="A418" s="1080" t="s">
        <v>979</v>
      </c>
      <c r="B418" s="413">
        <v>969962932</v>
      </c>
      <c r="C418" s="413">
        <v>969962932</v>
      </c>
      <c r="D418" s="413">
        <v>1005713498</v>
      </c>
      <c r="E418" s="413">
        <v>1005713498</v>
      </c>
      <c r="F418" s="836">
        <v>1005713498</v>
      </c>
      <c r="G418" s="836">
        <v>969962932</v>
      </c>
      <c r="H418" s="836">
        <v>1005713498</v>
      </c>
      <c r="I418" s="836">
        <v>969962932</v>
      </c>
    </row>
    <row r="419" spans="1:9" ht="15">
      <c r="A419" s="1080" t="s">
        <v>2223</v>
      </c>
      <c r="B419" s="413">
        <v>218235315</v>
      </c>
      <c r="C419" s="413">
        <v>218235315</v>
      </c>
      <c r="D419" s="413">
        <v>223053842</v>
      </c>
      <c r="E419" s="413">
        <v>223053842</v>
      </c>
      <c r="F419" s="836">
        <v>216191398</v>
      </c>
      <c r="G419" s="836">
        <v>211372871</v>
      </c>
      <c r="H419" s="836">
        <v>216191398</v>
      </c>
      <c r="I419" s="836">
        <v>211372871</v>
      </c>
    </row>
    <row r="420" spans="1:9" ht="15">
      <c r="A420" s="1080" t="s">
        <v>1692</v>
      </c>
      <c r="B420" s="413">
        <v>2572765142</v>
      </c>
      <c r="C420" s="413">
        <v>2572765142</v>
      </c>
      <c r="D420" s="413">
        <v>2630574474</v>
      </c>
      <c r="E420" s="413">
        <v>2630574474</v>
      </c>
      <c r="F420" s="836">
        <v>2554383312</v>
      </c>
      <c r="G420" s="836">
        <v>2496573980</v>
      </c>
      <c r="H420" s="836">
        <v>2554383312</v>
      </c>
      <c r="I420" s="836">
        <v>2496573980</v>
      </c>
    </row>
    <row r="421" spans="1:9" ht="15">
      <c r="A421" s="1080" t="s">
        <v>1693</v>
      </c>
      <c r="B421" s="413">
        <v>389101442</v>
      </c>
      <c r="C421" s="413">
        <v>389101442</v>
      </c>
      <c r="D421" s="413">
        <v>395752287</v>
      </c>
      <c r="E421" s="413">
        <v>395752287</v>
      </c>
      <c r="F421" s="836">
        <v>386908514</v>
      </c>
      <c r="G421" s="836">
        <v>380257669</v>
      </c>
      <c r="H421" s="836">
        <v>386908514</v>
      </c>
      <c r="I421" s="836">
        <v>380257669</v>
      </c>
    </row>
    <row r="422" spans="1:9" ht="15">
      <c r="A422" s="1080" t="s">
        <v>1694</v>
      </c>
      <c r="B422" s="413">
        <v>2542366088</v>
      </c>
      <c r="C422" s="413">
        <v>2542366088</v>
      </c>
      <c r="D422" s="413">
        <v>2586288343</v>
      </c>
      <c r="E422" s="413">
        <v>2586288343</v>
      </c>
      <c r="F422" s="836">
        <v>2501340135</v>
      </c>
      <c r="G422" s="836">
        <v>2457417880</v>
      </c>
      <c r="H422" s="836">
        <v>2501340135</v>
      </c>
      <c r="I422" s="836">
        <v>2457417880</v>
      </c>
    </row>
    <row r="423" spans="1:9" ht="15">
      <c r="A423" s="1080" t="s">
        <v>1765</v>
      </c>
      <c r="B423" s="413">
        <v>155457419</v>
      </c>
      <c r="C423" s="413">
        <v>155457419</v>
      </c>
      <c r="D423" s="413">
        <v>160935782</v>
      </c>
      <c r="E423" s="413">
        <v>160935782</v>
      </c>
      <c r="F423" s="836">
        <v>151727887</v>
      </c>
      <c r="G423" s="836">
        <v>146249524</v>
      </c>
      <c r="H423" s="836">
        <v>151727887</v>
      </c>
      <c r="I423" s="836">
        <v>146249524</v>
      </c>
    </row>
    <row r="424" spans="1:9" ht="15">
      <c r="A424" s="1080" t="s">
        <v>1766</v>
      </c>
      <c r="B424" s="413">
        <v>406373462</v>
      </c>
      <c r="C424" s="413">
        <v>406373462</v>
      </c>
      <c r="D424" s="413">
        <v>416602271</v>
      </c>
      <c r="E424" s="413">
        <v>416602271</v>
      </c>
      <c r="F424" s="836">
        <v>403526357</v>
      </c>
      <c r="G424" s="836">
        <v>393297548</v>
      </c>
      <c r="H424" s="836">
        <v>403526357</v>
      </c>
      <c r="I424" s="836">
        <v>393297548</v>
      </c>
    </row>
    <row r="425" spans="1:9" ht="15">
      <c r="A425" s="1080" t="s">
        <v>539</v>
      </c>
      <c r="B425" s="413">
        <v>187218451</v>
      </c>
      <c r="C425" s="413">
        <v>187218451</v>
      </c>
      <c r="D425" s="413">
        <v>187946961</v>
      </c>
      <c r="E425" s="413">
        <v>187946961</v>
      </c>
      <c r="F425" s="836">
        <v>187946961</v>
      </c>
      <c r="G425" s="836">
        <v>187218451</v>
      </c>
      <c r="H425" s="836">
        <v>187946961</v>
      </c>
      <c r="I425" s="836">
        <v>187218451</v>
      </c>
    </row>
    <row r="426" spans="1:9" ht="15">
      <c r="A426" s="1080" t="s">
        <v>506</v>
      </c>
      <c r="B426" s="413">
        <v>162940546</v>
      </c>
      <c r="C426" s="413">
        <v>162940546</v>
      </c>
      <c r="D426" s="413">
        <v>163902496</v>
      </c>
      <c r="E426" s="413">
        <v>163902496</v>
      </c>
      <c r="F426" s="836">
        <v>163902496</v>
      </c>
      <c r="G426" s="836">
        <v>162940546</v>
      </c>
      <c r="H426" s="836">
        <v>163902496</v>
      </c>
      <c r="I426" s="836">
        <v>162940546</v>
      </c>
    </row>
    <row r="427" spans="1:9" ht="15">
      <c r="A427" s="1080" t="s">
        <v>507</v>
      </c>
      <c r="B427" s="413">
        <v>172278929</v>
      </c>
      <c r="C427" s="413">
        <v>172278929</v>
      </c>
      <c r="D427" s="413">
        <v>179094559</v>
      </c>
      <c r="E427" s="413">
        <v>179094559</v>
      </c>
      <c r="F427" s="836">
        <v>179094559</v>
      </c>
      <c r="G427" s="836">
        <v>172278929</v>
      </c>
      <c r="H427" s="836">
        <v>179094559</v>
      </c>
      <c r="I427" s="836">
        <v>172278929</v>
      </c>
    </row>
    <row r="428" spans="1:9" ht="15">
      <c r="A428" s="1080" t="s">
        <v>508</v>
      </c>
      <c r="B428" s="413">
        <v>41826357</v>
      </c>
      <c r="C428" s="413">
        <v>41826357</v>
      </c>
      <c r="D428" s="413">
        <v>42921467</v>
      </c>
      <c r="E428" s="413">
        <v>42921467</v>
      </c>
      <c r="F428" s="836">
        <v>42330173</v>
      </c>
      <c r="G428" s="836">
        <v>41235063</v>
      </c>
      <c r="H428" s="836">
        <v>42330173</v>
      </c>
      <c r="I428" s="836">
        <v>41235063</v>
      </c>
    </row>
    <row r="429" spans="1:9" ht="15">
      <c r="A429" s="1080" t="s">
        <v>509</v>
      </c>
      <c r="B429" s="413">
        <v>141892732</v>
      </c>
      <c r="C429" s="413">
        <v>141892732</v>
      </c>
      <c r="D429" s="413">
        <v>142476922</v>
      </c>
      <c r="E429" s="413">
        <v>142476922</v>
      </c>
      <c r="F429" s="836">
        <v>142476922</v>
      </c>
      <c r="G429" s="836">
        <v>141892732</v>
      </c>
      <c r="H429" s="836">
        <v>142476922</v>
      </c>
      <c r="I429" s="836">
        <v>141892732</v>
      </c>
    </row>
    <row r="430" spans="1:9" ht="15">
      <c r="A430" s="1080" t="s">
        <v>1304</v>
      </c>
      <c r="B430" s="413">
        <v>4398511925</v>
      </c>
      <c r="C430" s="413">
        <v>4398511925</v>
      </c>
      <c r="D430" s="413">
        <v>4464940322</v>
      </c>
      <c r="E430" s="413">
        <v>4464940322</v>
      </c>
      <c r="F430" s="836">
        <v>4464940322</v>
      </c>
      <c r="G430" s="836">
        <v>4398511925</v>
      </c>
      <c r="H430" s="836">
        <v>4464940322</v>
      </c>
      <c r="I430" s="836">
        <v>4398511925</v>
      </c>
    </row>
    <row r="431" spans="1:9" ht="15">
      <c r="A431" s="1080" t="s">
        <v>1678</v>
      </c>
      <c r="B431" s="413">
        <v>3471554037</v>
      </c>
      <c r="C431" s="413">
        <v>3471554037</v>
      </c>
      <c r="D431" s="413">
        <v>3545779515</v>
      </c>
      <c r="E431" s="413">
        <v>3545779515</v>
      </c>
      <c r="F431" s="836">
        <v>3545779515</v>
      </c>
      <c r="G431" s="836">
        <v>3471554037</v>
      </c>
      <c r="H431" s="836">
        <v>3545779515</v>
      </c>
      <c r="I431" s="836">
        <v>3471554037</v>
      </c>
    </row>
    <row r="432" spans="1:9" ht="15">
      <c r="A432" s="1080" t="s">
        <v>1467</v>
      </c>
      <c r="B432" s="413">
        <v>1677959707</v>
      </c>
      <c r="C432" s="413">
        <v>1677959707</v>
      </c>
      <c r="D432" s="413">
        <v>1719104822</v>
      </c>
      <c r="E432" s="413">
        <v>1719104822</v>
      </c>
      <c r="F432" s="836">
        <v>1719104822</v>
      </c>
      <c r="G432" s="836">
        <v>1677959707</v>
      </c>
      <c r="H432" s="836">
        <v>1719104822</v>
      </c>
      <c r="I432" s="836">
        <v>1677959707</v>
      </c>
    </row>
    <row r="433" spans="1:9" ht="15">
      <c r="A433" s="1080" t="s">
        <v>2129</v>
      </c>
      <c r="B433" s="413">
        <v>5255911877</v>
      </c>
      <c r="C433" s="413">
        <v>5255911877</v>
      </c>
      <c r="D433" s="413">
        <v>5415593785</v>
      </c>
      <c r="E433" s="413">
        <v>5415593785</v>
      </c>
      <c r="F433" s="836">
        <v>5415593785</v>
      </c>
      <c r="G433" s="836">
        <v>5255911877</v>
      </c>
      <c r="H433" s="836">
        <v>5415593785</v>
      </c>
      <c r="I433" s="836">
        <v>5255911877</v>
      </c>
    </row>
    <row r="434" spans="1:9" ht="15">
      <c r="A434" s="1080" t="s">
        <v>1918</v>
      </c>
      <c r="B434" s="413">
        <v>1675077838</v>
      </c>
      <c r="C434" s="413">
        <v>1675077838</v>
      </c>
      <c r="D434" s="413">
        <v>1682143938</v>
      </c>
      <c r="E434" s="413">
        <v>1682143938</v>
      </c>
      <c r="F434" s="836">
        <v>1672809083</v>
      </c>
      <c r="G434" s="836">
        <v>1665742983</v>
      </c>
      <c r="H434" s="836">
        <v>1672809083</v>
      </c>
      <c r="I434" s="836">
        <v>1665742983</v>
      </c>
    </row>
    <row r="435" spans="1:9" ht="15">
      <c r="A435" s="1080" t="s">
        <v>1919</v>
      </c>
      <c r="B435" s="413">
        <v>1252534273</v>
      </c>
      <c r="C435" s="413">
        <v>1252534273</v>
      </c>
      <c r="D435" s="413">
        <v>1296626931</v>
      </c>
      <c r="E435" s="413">
        <v>1296626931</v>
      </c>
      <c r="F435" s="836">
        <v>1296626931</v>
      </c>
      <c r="G435" s="836">
        <v>1252534273</v>
      </c>
      <c r="H435" s="836">
        <v>1296626931</v>
      </c>
      <c r="I435" s="836">
        <v>1252534273</v>
      </c>
    </row>
    <row r="436" spans="1:9" ht="15">
      <c r="A436" s="1080" t="s">
        <v>2912</v>
      </c>
      <c r="B436" s="413">
        <v>632146263</v>
      </c>
      <c r="C436" s="413">
        <v>632146263</v>
      </c>
      <c r="D436" s="413">
        <v>669891285</v>
      </c>
      <c r="E436" s="413">
        <v>669891285</v>
      </c>
      <c r="F436" s="836">
        <v>626044396</v>
      </c>
      <c r="G436" s="836">
        <v>588299374</v>
      </c>
      <c r="H436" s="836">
        <v>626044396</v>
      </c>
      <c r="I436" s="836">
        <v>588299374</v>
      </c>
    </row>
    <row r="437" spans="1:9" ht="15">
      <c r="A437" s="1080" t="s">
        <v>2879</v>
      </c>
      <c r="B437" s="413">
        <v>232834634</v>
      </c>
      <c r="C437" s="413">
        <v>232834634</v>
      </c>
      <c r="D437" s="413">
        <v>239037353</v>
      </c>
      <c r="E437" s="413">
        <v>239037353</v>
      </c>
      <c r="F437" s="836">
        <v>239037353</v>
      </c>
      <c r="G437" s="836">
        <v>232834634</v>
      </c>
      <c r="H437" s="836">
        <v>239037353</v>
      </c>
      <c r="I437" s="836">
        <v>232834634</v>
      </c>
    </row>
    <row r="438" spans="1:9" ht="15">
      <c r="A438" s="1080" t="s">
        <v>2284</v>
      </c>
      <c r="B438" s="413">
        <v>547186211</v>
      </c>
      <c r="C438" s="413">
        <v>547186211</v>
      </c>
      <c r="D438" s="413">
        <v>564059735</v>
      </c>
      <c r="E438" s="413">
        <v>564059735</v>
      </c>
      <c r="F438" s="836">
        <v>539433151</v>
      </c>
      <c r="G438" s="836">
        <v>522559627</v>
      </c>
      <c r="H438" s="836">
        <v>539433151</v>
      </c>
      <c r="I438" s="836">
        <v>522559627</v>
      </c>
    </row>
    <row r="439" spans="1:9" ht="15">
      <c r="A439" s="1080" t="s">
        <v>71</v>
      </c>
      <c r="B439" s="413">
        <v>1105596490</v>
      </c>
      <c r="C439" s="413">
        <v>1105596490</v>
      </c>
      <c r="D439" s="413">
        <v>1130020253</v>
      </c>
      <c r="E439" s="413">
        <v>1130020253</v>
      </c>
      <c r="F439" s="836">
        <v>1130020253</v>
      </c>
      <c r="G439" s="836">
        <v>1105596490</v>
      </c>
      <c r="H439" s="836">
        <v>1130020253</v>
      </c>
      <c r="I439" s="836">
        <v>1105596490</v>
      </c>
    </row>
    <row r="440" spans="1:9" ht="15">
      <c r="A440" s="1080" t="s">
        <v>1711</v>
      </c>
      <c r="B440" s="413">
        <v>43626522</v>
      </c>
      <c r="C440" s="413">
        <v>43626522</v>
      </c>
      <c r="D440" s="413">
        <v>45324632</v>
      </c>
      <c r="E440" s="413">
        <v>45324632</v>
      </c>
      <c r="F440" s="836">
        <v>44414349</v>
      </c>
      <c r="G440" s="836">
        <v>42716239</v>
      </c>
      <c r="H440" s="836">
        <v>44414349</v>
      </c>
      <c r="I440" s="836">
        <v>42716239</v>
      </c>
    </row>
    <row r="441" spans="1:9" ht="15">
      <c r="A441" s="1080" t="s">
        <v>980</v>
      </c>
      <c r="B441" s="413">
        <v>36495978</v>
      </c>
      <c r="C441" s="413">
        <v>36495978</v>
      </c>
      <c r="D441" s="413">
        <v>38409688</v>
      </c>
      <c r="E441" s="413">
        <v>38409688</v>
      </c>
      <c r="F441" s="836">
        <v>38409688</v>
      </c>
      <c r="G441" s="836">
        <v>36495978</v>
      </c>
      <c r="H441" s="836">
        <v>38409688</v>
      </c>
      <c r="I441" s="836">
        <v>36495978</v>
      </c>
    </row>
    <row r="442" spans="1:9" ht="15">
      <c r="A442" s="1080" t="s">
        <v>72</v>
      </c>
      <c r="B442" s="413">
        <v>214186220</v>
      </c>
      <c r="C442" s="413">
        <v>214186220</v>
      </c>
      <c r="D442" s="413">
        <v>220318705</v>
      </c>
      <c r="E442" s="413">
        <v>220318705</v>
      </c>
      <c r="F442" s="836">
        <v>212763665</v>
      </c>
      <c r="G442" s="836">
        <v>206631180</v>
      </c>
      <c r="H442" s="836">
        <v>212763665</v>
      </c>
      <c r="I442" s="836">
        <v>206631180</v>
      </c>
    </row>
    <row r="443" spans="1:9" ht="15">
      <c r="A443" s="1080" t="s">
        <v>2437</v>
      </c>
      <c r="B443" s="413">
        <v>1129089583</v>
      </c>
      <c r="C443" s="413">
        <v>1129089583</v>
      </c>
      <c r="D443" s="413">
        <v>1207536283</v>
      </c>
      <c r="E443" s="413">
        <v>1207536283</v>
      </c>
      <c r="F443" s="836">
        <v>1207536283</v>
      </c>
      <c r="G443" s="836">
        <v>1129089583</v>
      </c>
      <c r="H443" s="836">
        <v>1207536283</v>
      </c>
      <c r="I443" s="836">
        <v>1129089583</v>
      </c>
    </row>
    <row r="444" spans="1:9" ht="15">
      <c r="A444" s="1080" t="s">
        <v>873</v>
      </c>
      <c r="B444" s="413">
        <v>294816734</v>
      </c>
      <c r="C444" s="413">
        <v>294816734</v>
      </c>
      <c r="D444" s="413">
        <v>319878559</v>
      </c>
      <c r="E444" s="413">
        <v>319878559</v>
      </c>
      <c r="F444" s="836">
        <v>319878559</v>
      </c>
      <c r="G444" s="836">
        <v>294816734</v>
      </c>
      <c r="H444" s="836">
        <v>319878559</v>
      </c>
      <c r="I444" s="836">
        <v>294816734</v>
      </c>
    </row>
    <row r="445" spans="1:9" ht="15">
      <c r="A445" s="1080" t="s">
        <v>875</v>
      </c>
      <c r="B445" s="413">
        <v>5439280105</v>
      </c>
      <c r="C445" s="413">
        <v>5439280105</v>
      </c>
      <c r="D445" s="413">
        <v>5642246587</v>
      </c>
      <c r="E445" s="413">
        <v>5642246587</v>
      </c>
      <c r="F445" s="836">
        <v>5642246587</v>
      </c>
      <c r="G445" s="836">
        <v>5439280105</v>
      </c>
      <c r="H445" s="836">
        <v>5642246587</v>
      </c>
      <c r="I445" s="836">
        <v>5439280105</v>
      </c>
    </row>
    <row r="446" spans="1:9" ht="15">
      <c r="A446" s="1080" t="s">
        <v>2131</v>
      </c>
      <c r="B446" s="413">
        <v>443999424</v>
      </c>
      <c r="C446" s="413">
        <v>443999424</v>
      </c>
      <c r="D446" s="413">
        <v>455146010</v>
      </c>
      <c r="E446" s="413">
        <v>455146010</v>
      </c>
      <c r="F446" s="836">
        <v>455146010</v>
      </c>
      <c r="G446" s="836">
        <v>443999424</v>
      </c>
      <c r="H446" s="836">
        <v>455146010</v>
      </c>
      <c r="I446" s="836">
        <v>443999424</v>
      </c>
    </row>
    <row r="447" spans="1:9" ht="15">
      <c r="A447" s="1080" t="s">
        <v>2894</v>
      </c>
      <c r="B447" s="413">
        <v>6296201283</v>
      </c>
      <c r="C447" s="413">
        <v>6296201283</v>
      </c>
      <c r="D447" s="413">
        <v>6490578952</v>
      </c>
      <c r="E447" s="413">
        <v>6490578952</v>
      </c>
      <c r="F447" s="836">
        <v>6490578952</v>
      </c>
      <c r="G447" s="836">
        <v>6296201283</v>
      </c>
      <c r="H447" s="836">
        <v>6490578952</v>
      </c>
      <c r="I447" s="836">
        <v>6296201283</v>
      </c>
    </row>
    <row r="448" spans="1:9" ht="15">
      <c r="A448" s="1080" t="s">
        <v>2897</v>
      </c>
      <c r="B448" s="413">
        <v>461589000</v>
      </c>
      <c r="C448" s="413">
        <v>461589000</v>
      </c>
      <c r="D448" s="413">
        <v>489752212</v>
      </c>
      <c r="E448" s="413">
        <v>489752212</v>
      </c>
      <c r="F448" s="836">
        <v>489752212</v>
      </c>
      <c r="G448" s="836">
        <v>461589000</v>
      </c>
      <c r="H448" s="836">
        <v>489752212</v>
      </c>
      <c r="I448" s="836">
        <v>461589000</v>
      </c>
    </row>
    <row r="449" spans="1:9" ht="15">
      <c r="A449" s="1080" t="s">
        <v>2903</v>
      </c>
      <c r="B449" s="413">
        <v>1742332898</v>
      </c>
      <c r="C449" s="413">
        <v>1742332898</v>
      </c>
      <c r="D449" s="413">
        <v>1839638540</v>
      </c>
      <c r="E449" s="413">
        <v>1839638540</v>
      </c>
      <c r="F449" s="836">
        <v>1839638540</v>
      </c>
      <c r="G449" s="836">
        <v>1742332898</v>
      </c>
      <c r="H449" s="836">
        <v>1839638540</v>
      </c>
      <c r="I449" s="836">
        <v>1742332898</v>
      </c>
    </row>
    <row r="450" spans="1:9" ht="15">
      <c r="A450" s="1080" t="s">
        <v>239</v>
      </c>
      <c r="B450" s="413">
        <v>3895524477</v>
      </c>
      <c r="C450" s="413">
        <v>3895524477</v>
      </c>
      <c r="D450" s="413">
        <v>4076323024</v>
      </c>
      <c r="E450" s="413">
        <v>4076323024</v>
      </c>
      <c r="F450" s="836">
        <v>4076323024</v>
      </c>
      <c r="G450" s="836">
        <v>3895524477</v>
      </c>
      <c r="H450" s="836">
        <v>4076323024</v>
      </c>
      <c r="I450" s="836">
        <v>3895524477</v>
      </c>
    </row>
    <row r="451" spans="1:9" ht="15">
      <c r="A451" s="1080" t="s">
        <v>1218</v>
      </c>
      <c r="B451" s="413">
        <v>136072949</v>
      </c>
      <c r="C451" s="413">
        <v>136072949</v>
      </c>
      <c r="D451" s="413">
        <v>145544458</v>
      </c>
      <c r="E451" s="413">
        <v>145544458</v>
      </c>
      <c r="F451" s="836">
        <v>145544458</v>
      </c>
      <c r="G451" s="836">
        <v>136072949</v>
      </c>
      <c r="H451" s="836">
        <v>145544458</v>
      </c>
      <c r="I451" s="836">
        <v>136072949</v>
      </c>
    </row>
    <row r="452" spans="1:9" ht="15">
      <c r="A452" s="1080" t="s">
        <v>1759</v>
      </c>
      <c r="B452" s="413">
        <v>2874445828</v>
      </c>
      <c r="C452" s="413">
        <v>2874445828</v>
      </c>
      <c r="D452" s="413">
        <v>2949569281</v>
      </c>
      <c r="E452" s="413">
        <v>2949569281</v>
      </c>
      <c r="F452" s="836">
        <v>2949569281</v>
      </c>
      <c r="G452" s="836">
        <v>2874445828</v>
      </c>
      <c r="H452" s="836">
        <v>2949569281</v>
      </c>
      <c r="I452" s="836">
        <v>2874445828</v>
      </c>
    </row>
    <row r="453" spans="1:9" ht="15">
      <c r="A453" s="1080" t="s">
        <v>65</v>
      </c>
      <c r="B453" s="413">
        <v>2169995148</v>
      </c>
      <c r="C453" s="413">
        <v>2169995148</v>
      </c>
      <c r="D453" s="413">
        <v>2302781745</v>
      </c>
      <c r="E453" s="413">
        <v>2302781745</v>
      </c>
      <c r="F453" s="836">
        <v>2302781745</v>
      </c>
      <c r="G453" s="836">
        <v>2169995148</v>
      </c>
      <c r="H453" s="836">
        <v>2302781745</v>
      </c>
      <c r="I453" s="836">
        <v>2169995148</v>
      </c>
    </row>
    <row r="454" spans="1:9" ht="15">
      <c r="A454" s="1080" t="s">
        <v>821</v>
      </c>
      <c r="B454" s="413">
        <v>2049883966</v>
      </c>
      <c r="C454" s="413">
        <v>2049883966</v>
      </c>
      <c r="D454" s="413">
        <v>2151592746</v>
      </c>
      <c r="E454" s="413">
        <v>2151592746</v>
      </c>
      <c r="F454" s="836">
        <v>2151592746</v>
      </c>
      <c r="G454" s="836">
        <v>2049883966</v>
      </c>
      <c r="H454" s="836">
        <v>2151592746</v>
      </c>
      <c r="I454" s="836">
        <v>2049883966</v>
      </c>
    </row>
    <row r="455" spans="1:9" ht="15">
      <c r="A455" s="1080" t="s">
        <v>67</v>
      </c>
      <c r="B455" s="413">
        <v>107551354</v>
      </c>
      <c r="C455" s="413">
        <v>107551354</v>
      </c>
      <c r="D455" s="413">
        <v>111227368</v>
      </c>
      <c r="E455" s="413">
        <v>111227368</v>
      </c>
      <c r="F455" s="836">
        <v>111227368</v>
      </c>
      <c r="G455" s="836">
        <v>107551354</v>
      </c>
      <c r="H455" s="836">
        <v>111227368</v>
      </c>
      <c r="I455" s="836">
        <v>107551354</v>
      </c>
    </row>
    <row r="456" spans="1:9" ht="15">
      <c r="A456" s="1080" t="s">
        <v>554</v>
      </c>
      <c r="B456" s="413">
        <v>91258547</v>
      </c>
      <c r="C456" s="413">
        <v>91258547</v>
      </c>
      <c r="D456" s="413">
        <v>96134360</v>
      </c>
      <c r="E456" s="413">
        <v>96134360</v>
      </c>
      <c r="F456" s="836">
        <v>96134360</v>
      </c>
      <c r="G456" s="836">
        <v>91258547</v>
      </c>
      <c r="H456" s="836">
        <v>96134360</v>
      </c>
      <c r="I456" s="836">
        <v>91258547</v>
      </c>
    </row>
    <row r="457" spans="1:9" ht="15">
      <c r="A457" s="1080" t="s">
        <v>1715</v>
      </c>
      <c r="B457" s="413">
        <v>490441340</v>
      </c>
      <c r="C457" s="413">
        <v>490441340</v>
      </c>
      <c r="D457" s="413">
        <v>512744221</v>
      </c>
      <c r="E457" s="413">
        <v>512744221</v>
      </c>
      <c r="F457" s="836">
        <v>512744221</v>
      </c>
      <c r="G457" s="836">
        <v>490441340</v>
      </c>
      <c r="H457" s="836">
        <v>512744221</v>
      </c>
      <c r="I457" s="836">
        <v>490441340</v>
      </c>
    </row>
    <row r="458" spans="1:9" ht="15">
      <c r="A458" s="1080" t="s">
        <v>172</v>
      </c>
      <c r="B458" s="413">
        <v>90133068</v>
      </c>
      <c r="C458" s="413">
        <v>90133068</v>
      </c>
      <c r="D458" s="413">
        <v>92828285</v>
      </c>
      <c r="E458" s="413">
        <v>92828285</v>
      </c>
      <c r="F458" s="836">
        <v>92828285</v>
      </c>
      <c r="G458" s="836">
        <v>90133068</v>
      </c>
      <c r="H458" s="836">
        <v>92828285</v>
      </c>
      <c r="I458" s="836">
        <v>90133068</v>
      </c>
    </row>
    <row r="459" spans="1:9" ht="15">
      <c r="A459" s="1080" t="s">
        <v>2869</v>
      </c>
      <c r="B459" s="413">
        <v>68097638</v>
      </c>
      <c r="C459" s="413">
        <v>68097638</v>
      </c>
      <c r="D459" s="413">
        <v>70327874</v>
      </c>
      <c r="E459" s="413">
        <v>70327874</v>
      </c>
      <c r="F459" s="836">
        <v>70327874</v>
      </c>
      <c r="G459" s="836">
        <v>68097638</v>
      </c>
      <c r="H459" s="836">
        <v>70327874</v>
      </c>
      <c r="I459" s="836">
        <v>68097638</v>
      </c>
    </row>
    <row r="460" spans="1:9" ht="15">
      <c r="A460" s="1080" t="s">
        <v>2756</v>
      </c>
      <c r="B460" s="413">
        <v>77436112</v>
      </c>
      <c r="C460" s="413">
        <v>77436112</v>
      </c>
      <c r="D460" s="413">
        <v>80941724</v>
      </c>
      <c r="E460" s="413">
        <v>80941724</v>
      </c>
      <c r="F460" s="836">
        <v>80941724</v>
      </c>
      <c r="G460" s="836">
        <v>77436112</v>
      </c>
      <c r="H460" s="836">
        <v>80941724</v>
      </c>
      <c r="I460" s="836">
        <v>77436112</v>
      </c>
    </row>
    <row r="461" spans="1:9" ht="15">
      <c r="A461" s="1080" t="s">
        <v>2133</v>
      </c>
      <c r="B461" s="413">
        <v>576753962</v>
      </c>
      <c r="C461" s="413">
        <v>576753962</v>
      </c>
      <c r="D461" s="413">
        <v>594480856</v>
      </c>
      <c r="E461" s="413">
        <v>594480856</v>
      </c>
      <c r="F461" s="836">
        <v>594480856</v>
      </c>
      <c r="G461" s="836">
        <v>576753962</v>
      </c>
      <c r="H461" s="836">
        <v>594480856</v>
      </c>
      <c r="I461" s="836">
        <v>576753962</v>
      </c>
    </row>
    <row r="462" spans="1:9" ht="15">
      <c r="A462" s="1080" t="s">
        <v>555</v>
      </c>
      <c r="B462" s="413">
        <v>68993637</v>
      </c>
      <c r="C462" s="413">
        <v>68993637</v>
      </c>
      <c r="D462" s="413">
        <v>72920089</v>
      </c>
      <c r="E462" s="413">
        <v>72920089</v>
      </c>
      <c r="F462" s="836">
        <v>72920089</v>
      </c>
      <c r="G462" s="836">
        <v>68993637</v>
      </c>
      <c r="H462" s="836">
        <v>72920089</v>
      </c>
      <c r="I462" s="836">
        <v>68993637</v>
      </c>
    </row>
    <row r="463" spans="1:9" ht="15">
      <c r="A463" s="1080" t="s">
        <v>49</v>
      </c>
      <c r="B463" s="413">
        <v>177067569</v>
      </c>
      <c r="C463" s="413">
        <v>177067569</v>
      </c>
      <c r="D463" s="413">
        <v>183800198</v>
      </c>
      <c r="E463" s="413">
        <v>183800198</v>
      </c>
      <c r="F463" s="836">
        <v>183800198</v>
      </c>
      <c r="G463" s="836">
        <v>177067569</v>
      </c>
      <c r="H463" s="836">
        <v>183800198</v>
      </c>
      <c r="I463" s="836">
        <v>177067569</v>
      </c>
    </row>
    <row r="464" spans="1:9" ht="15">
      <c r="A464" s="1080" t="s">
        <v>173</v>
      </c>
      <c r="B464" s="413">
        <v>43112515</v>
      </c>
      <c r="C464" s="413">
        <v>43112515</v>
      </c>
      <c r="D464" s="413">
        <v>44244854</v>
      </c>
      <c r="E464" s="413">
        <v>44244854</v>
      </c>
      <c r="F464" s="836">
        <v>44244854</v>
      </c>
      <c r="G464" s="836">
        <v>43112515</v>
      </c>
      <c r="H464" s="836">
        <v>44244854</v>
      </c>
      <c r="I464" s="836">
        <v>43112515</v>
      </c>
    </row>
    <row r="465" spans="1:9" ht="15">
      <c r="A465" s="1080" t="s">
        <v>567</v>
      </c>
      <c r="B465" s="413">
        <v>26522629</v>
      </c>
      <c r="C465" s="413">
        <v>26522629</v>
      </c>
      <c r="D465" s="413">
        <v>28310842</v>
      </c>
      <c r="E465" s="413">
        <v>28310842</v>
      </c>
      <c r="F465" s="836">
        <v>28310842</v>
      </c>
      <c r="G465" s="836">
        <v>26522629</v>
      </c>
      <c r="H465" s="836">
        <v>28310842</v>
      </c>
      <c r="I465" s="836">
        <v>26522629</v>
      </c>
    </row>
    <row r="466" spans="1:9" ht="15">
      <c r="A466" s="1080" t="s">
        <v>1760</v>
      </c>
      <c r="B466" s="413">
        <v>542522434</v>
      </c>
      <c r="C466" s="413">
        <v>542522434</v>
      </c>
      <c r="D466" s="413">
        <v>564720499</v>
      </c>
      <c r="E466" s="413">
        <v>564720499</v>
      </c>
      <c r="F466" s="836">
        <v>564720499</v>
      </c>
      <c r="G466" s="836">
        <v>542522434</v>
      </c>
      <c r="H466" s="836">
        <v>564720499</v>
      </c>
      <c r="I466" s="836">
        <v>542522434</v>
      </c>
    </row>
    <row r="467" spans="1:9" ht="15">
      <c r="A467" s="1080" t="s">
        <v>568</v>
      </c>
      <c r="B467" s="413">
        <v>71632622</v>
      </c>
      <c r="C467" s="413">
        <v>71632622</v>
      </c>
      <c r="D467" s="413">
        <v>74363125</v>
      </c>
      <c r="E467" s="413">
        <v>74363125</v>
      </c>
      <c r="F467" s="836">
        <v>74363125</v>
      </c>
      <c r="G467" s="836">
        <v>71632622</v>
      </c>
      <c r="H467" s="836">
        <v>74363125</v>
      </c>
      <c r="I467" s="836">
        <v>71632622</v>
      </c>
    </row>
    <row r="468" spans="1:9" ht="15">
      <c r="A468" s="1080" t="s">
        <v>1733</v>
      </c>
      <c r="B468" s="413">
        <v>117826421</v>
      </c>
      <c r="C468" s="413">
        <v>117826421</v>
      </c>
      <c r="D468" s="413">
        <v>121455762</v>
      </c>
      <c r="E468" s="413">
        <v>121455762</v>
      </c>
      <c r="F468" s="836">
        <v>121455762</v>
      </c>
      <c r="G468" s="836">
        <v>117826421</v>
      </c>
      <c r="H468" s="836">
        <v>121455762</v>
      </c>
      <c r="I468" s="836">
        <v>117826421</v>
      </c>
    </row>
    <row r="469" spans="1:9" ht="15">
      <c r="A469" s="1080" t="s">
        <v>569</v>
      </c>
      <c r="B469" s="413">
        <v>25111860</v>
      </c>
      <c r="C469" s="413">
        <v>25111860</v>
      </c>
      <c r="D469" s="413">
        <v>26365435</v>
      </c>
      <c r="E469" s="413">
        <v>26365435</v>
      </c>
      <c r="F469" s="836">
        <v>26365435</v>
      </c>
      <c r="G469" s="836">
        <v>25111860</v>
      </c>
      <c r="H469" s="836">
        <v>26365435</v>
      </c>
      <c r="I469" s="836">
        <v>25111860</v>
      </c>
    </row>
    <row r="470" spans="1:9" ht="15">
      <c r="A470" s="1080" t="s">
        <v>1761</v>
      </c>
      <c r="B470" s="413">
        <v>79648578</v>
      </c>
      <c r="C470" s="413">
        <v>79648578</v>
      </c>
      <c r="D470" s="413">
        <v>81568351</v>
      </c>
      <c r="E470" s="413">
        <v>81568351</v>
      </c>
      <c r="F470" s="836">
        <v>81567056</v>
      </c>
      <c r="G470" s="836">
        <v>79647283</v>
      </c>
      <c r="H470" s="836">
        <v>81567056</v>
      </c>
      <c r="I470" s="836">
        <v>79647283</v>
      </c>
    </row>
    <row r="471" spans="1:9" ht="15">
      <c r="A471" s="1080" t="s">
        <v>1762</v>
      </c>
      <c r="B471" s="413">
        <v>1470487855</v>
      </c>
      <c r="C471" s="413">
        <v>1470487855</v>
      </c>
      <c r="D471" s="413">
        <v>1500081574</v>
      </c>
      <c r="E471" s="413">
        <v>1500081574</v>
      </c>
      <c r="F471" s="836">
        <v>1500081574</v>
      </c>
      <c r="G471" s="836">
        <v>1470487855</v>
      </c>
      <c r="H471" s="836">
        <v>1500081574</v>
      </c>
      <c r="I471" s="836">
        <v>1470487855</v>
      </c>
    </row>
    <row r="472" spans="1:9" ht="15">
      <c r="A472" s="1080" t="s">
        <v>1410</v>
      </c>
      <c r="B472" s="413">
        <v>93603584</v>
      </c>
      <c r="C472" s="413">
        <v>93603584</v>
      </c>
      <c r="D472" s="413">
        <v>96389644</v>
      </c>
      <c r="E472" s="413">
        <v>96389644</v>
      </c>
      <c r="F472" s="836">
        <v>96389644</v>
      </c>
      <c r="G472" s="836">
        <v>93603584</v>
      </c>
      <c r="H472" s="836">
        <v>96389644</v>
      </c>
      <c r="I472" s="836">
        <v>93603584</v>
      </c>
    </row>
    <row r="473" spans="1:9" ht="15">
      <c r="A473" s="1080" t="s">
        <v>2104</v>
      </c>
      <c r="B473" s="413">
        <v>114454963</v>
      </c>
      <c r="C473" s="413">
        <v>114454963</v>
      </c>
      <c r="D473" s="413">
        <v>118014409</v>
      </c>
      <c r="E473" s="413">
        <v>118014409</v>
      </c>
      <c r="F473" s="836">
        <v>118014409</v>
      </c>
      <c r="G473" s="836">
        <v>114454963</v>
      </c>
      <c r="H473" s="836">
        <v>118014409</v>
      </c>
      <c r="I473" s="836">
        <v>114454963</v>
      </c>
    </row>
    <row r="474" spans="1:9" ht="15">
      <c r="A474" s="1080" t="s">
        <v>1411</v>
      </c>
      <c r="B474" s="413">
        <v>1076979217</v>
      </c>
      <c r="C474" s="413">
        <v>1076979217</v>
      </c>
      <c r="D474" s="413">
        <v>1079710620</v>
      </c>
      <c r="E474" s="413">
        <v>1079710620</v>
      </c>
      <c r="F474" s="836">
        <v>1077456775</v>
      </c>
      <c r="G474" s="836">
        <v>1074725372</v>
      </c>
      <c r="H474" s="836">
        <v>1077456775</v>
      </c>
      <c r="I474" s="836">
        <v>1074725372</v>
      </c>
    </row>
    <row r="475" spans="1:9" ht="15">
      <c r="A475" s="1080" t="s">
        <v>1412</v>
      </c>
      <c r="B475" s="413">
        <v>59689518</v>
      </c>
      <c r="C475" s="413">
        <v>59689518</v>
      </c>
      <c r="D475" s="413">
        <v>60589268</v>
      </c>
      <c r="E475" s="413">
        <v>60589268</v>
      </c>
      <c r="F475" s="836">
        <v>60589268</v>
      </c>
      <c r="G475" s="836">
        <v>59689518</v>
      </c>
      <c r="H475" s="836">
        <v>60589268</v>
      </c>
      <c r="I475" s="836">
        <v>59689518</v>
      </c>
    </row>
    <row r="476" spans="1:9" ht="15">
      <c r="A476" s="1080" t="s">
        <v>1413</v>
      </c>
      <c r="B476" s="413">
        <v>4615828672</v>
      </c>
      <c r="C476" s="413">
        <v>4615828672</v>
      </c>
      <c r="D476" s="413">
        <v>4725575210</v>
      </c>
      <c r="E476" s="413">
        <v>4725575210</v>
      </c>
      <c r="F476" s="836">
        <v>4725575210</v>
      </c>
      <c r="G476" s="836">
        <v>4615828672</v>
      </c>
      <c r="H476" s="836">
        <v>4725575210</v>
      </c>
      <c r="I476" s="836">
        <v>4615828672</v>
      </c>
    </row>
    <row r="477" spans="1:9" ht="15">
      <c r="A477" s="1080" t="s">
        <v>1991</v>
      </c>
      <c r="B477" s="413">
        <v>177356150</v>
      </c>
      <c r="C477" s="413">
        <v>177356150</v>
      </c>
      <c r="D477" s="413">
        <v>181403000</v>
      </c>
      <c r="E477" s="413">
        <v>181403000</v>
      </c>
      <c r="F477" s="836">
        <v>181403000</v>
      </c>
      <c r="G477" s="836">
        <v>177356150</v>
      </c>
      <c r="H477" s="836">
        <v>181403000</v>
      </c>
      <c r="I477" s="836">
        <v>177356150</v>
      </c>
    </row>
    <row r="478" spans="1:9" ht="15">
      <c r="A478" s="1080" t="s">
        <v>1709</v>
      </c>
      <c r="B478" s="413">
        <v>202623411</v>
      </c>
      <c r="C478" s="413">
        <v>202623411</v>
      </c>
      <c r="D478" s="413">
        <v>208094307</v>
      </c>
      <c r="E478" s="413">
        <v>208094307</v>
      </c>
      <c r="F478" s="836">
        <v>208094307</v>
      </c>
      <c r="G478" s="836">
        <v>202623411</v>
      </c>
      <c r="H478" s="836">
        <v>208094307</v>
      </c>
      <c r="I478" s="836">
        <v>202623411</v>
      </c>
    </row>
    <row r="479" spans="1:9" ht="15">
      <c r="A479" s="1080" t="s">
        <v>208</v>
      </c>
      <c r="B479" s="413">
        <v>1176028649</v>
      </c>
      <c r="C479" s="413">
        <v>1176028649</v>
      </c>
      <c r="D479" s="413">
        <v>1222665585</v>
      </c>
      <c r="E479" s="413">
        <v>1222665585</v>
      </c>
      <c r="F479" s="836">
        <v>1222665585</v>
      </c>
      <c r="G479" s="836">
        <v>1176028649</v>
      </c>
      <c r="H479" s="836">
        <v>1222665585</v>
      </c>
      <c r="I479" s="836">
        <v>1176028649</v>
      </c>
    </row>
    <row r="480" spans="1:9" ht="15">
      <c r="A480" s="1080" t="s">
        <v>1687</v>
      </c>
      <c r="B480" s="413">
        <v>65737226</v>
      </c>
      <c r="C480" s="413">
        <v>65737226</v>
      </c>
      <c r="D480" s="413">
        <v>70116951</v>
      </c>
      <c r="E480" s="413">
        <v>70116951</v>
      </c>
      <c r="F480" s="836">
        <v>70116951</v>
      </c>
      <c r="G480" s="836">
        <v>65737226</v>
      </c>
      <c r="H480" s="836">
        <v>70116951</v>
      </c>
      <c r="I480" s="836">
        <v>65737226</v>
      </c>
    </row>
    <row r="481" spans="1:9" ht="15">
      <c r="A481" s="1080" t="s">
        <v>209</v>
      </c>
      <c r="B481" s="413">
        <v>85017912</v>
      </c>
      <c r="C481" s="413">
        <v>85017912</v>
      </c>
      <c r="D481" s="413">
        <v>88997971</v>
      </c>
      <c r="E481" s="413">
        <v>88997971</v>
      </c>
      <c r="F481" s="836">
        <v>88997971</v>
      </c>
      <c r="G481" s="836">
        <v>85017912</v>
      </c>
      <c r="H481" s="836">
        <v>88997971</v>
      </c>
      <c r="I481" s="836">
        <v>85017912</v>
      </c>
    </row>
    <row r="482" spans="1:9" ht="15">
      <c r="A482" s="1080" t="s">
        <v>2217</v>
      </c>
      <c r="B482" s="413">
        <v>49338271</v>
      </c>
      <c r="C482" s="413">
        <v>49338271</v>
      </c>
      <c r="D482" s="413">
        <v>52575635</v>
      </c>
      <c r="E482" s="413">
        <v>52575635</v>
      </c>
      <c r="F482" s="836">
        <v>52575635</v>
      </c>
      <c r="G482" s="836">
        <v>49338271</v>
      </c>
      <c r="H482" s="836">
        <v>52575635</v>
      </c>
      <c r="I482" s="836">
        <v>49338271</v>
      </c>
    </row>
    <row r="483" spans="1:9" ht="15">
      <c r="A483" s="1080" t="s">
        <v>210</v>
      </c>
      <c r="B483" s="413">
        <v>137574148</v>
      </c>
      <c r="C483" s="413">
        <v>137574148</v>
      </c>
      <c r="D483" s="413">
        <v>143939027</v>
      </c>
      <c r="E483" s="413">
        <v>143939027</v>
      </c>
      <c r="F483" s="836">
        <v>143939027</v>
      </c>
      <c r="G483" s="836">
        <v>137574148</v>
      </c>
      <c r="H483" s="836">
        <v>143939027</v>
      </c>
      <c r="I483" s="836">
        <v>137574148</v>
      </c>
    </row>
    <row r="484" spans="1:9" ht="15">
      <c r="A484" s="1080" t="s">
        <v>211</v>
      </c>
      <c r="B484" s="413">
        <v>65827690</v>
      </c>
      <c r="C484" s="413">
        <v>65827690</v>
      </c>
      <c r="D484" s="413">
        <v>67770192</v>
      </c>
      <c r="E484" s="413">
        <v>67770192</v>
      </c>
      <c r="F484" s="836">
        <v>67770192</v>
      </c>
      <c r="G484" s="836">
        <v>65827690</v>
      </c>
      <c r="H484" s="836">
        <v>67770192</v>
      </c>
      <c r="I484" s="836">
        <v>65827690</v>
      </c>
    </row>
    <row r="485" spans="1:9" ht="15">
      <c r="A485" s="1080" t="s">
        <v>1688</v>
      </c>
      <c r="B485" s="413">
        <v>96263546</v>
      </c>
      <c r="C485" s="413">
        <v>96263546</v>
      </c>
      <c r="D485" s="413">
        <v>98979131</v>
      </c>
      <c r="E485" s="413">
        <v>98979131</v>
      </c>
      <c r="F485" s="836">
        <v>98979131</v>
      </c>
      <c r="G485" s="836">
        <v>96263546</v>
      </c>
      <c r="H485" s="836">
        <v>98979131</v>
      </c>
      <c r="I485" s="836">
        <v>96263546</v>
      </c>
    </row>
    <row r="486" spans="1:9" ht="15">
      <c r="A486" s="1080" t="s">
        <v>1601</v>
      </c>
      <c r="B486" s="413">
        <v>403040070</v>
      </c>
      <c r="C486" s="413">
        <v>403040070</v>
      </c>
      <c r="D486" s="413">
        <v>420358440</v>
      </c>
      <c r="E486" s="413">
        <v>420358440</v>
      </c>
      <c r="F486" s="836">
        <v>420358440</v>
      </c>
      <c r="G486" s="836">
        <v>403040070</v>
      </c>
      <c r="H486" s="836">
        <v>420358440</v>
      </c>
      <c r="I486" s="836">
        <v>403040070</v>
      </c>
    </row>
    <row r="487" spans="1:9" ht="15">
      <c r="A487" s="1080" t="s">
        <v>1432</v>
      </c>
      <c r="B487" s="413">
        <v>249539339</v>
      </c>
      <c r="C487" s="413">
        <v>249539339</v>
      </c>
      <c r="D487" s="413">
        <v>259445239</v>
      </c>
      <c r="E487" s="413">
        <v>259445239</v>
      </c>
      <c r="F487" s="836">
        <v>259445239</v>
      </c>
      <c r="G487" s="836">
        <v>249539339</v>
      </c>
      <c r="H487" s="836">
        <v>259445239</v>
      </c>
      <c r="I487" s="836">
        <v>249539339</v>
      </c>
    </row>
    <row r="488" spans="1:9" ht="15">
      <c r="A488" s="1080" t="s">
        <v>1104</v>
      </c>
      <c r="B488" s="413">
        <v>386411254</v>
      </c>
      <c r="C488" s="413">
        <v>386411254</v>
      </c>
      <c r="D488" s="413">
        <v>392738574</v>
      </c>
      <c r="E488" s="413">
        <v>392738574</v>
      </c>
      <c r="F488" s="836">
        <v>392738574</v>
      </c>
      <c r="G488" s="836">
        <v>386411254</v>
      </c>
      <c r="H488" s="836">
        <v>392738574</v>
      </c>
      <c r="I488" s="836">
        <v>386411254</v>
      </c>
    </row>
    <row r="489" spans="1:9" ht="15">
      <c r="A489" s="1080" t="s">
        <v>1105</v>
      </c>
      <c r="B489" s="413">
        <v>145915606</v>
      </c>
      <c r="C489" s="413">
        <v>145915606</v>
      </c>
      <c r="D489" s="413">
        <v>151562676</v>
      </c>
      <c r="E489" s="413">
        <v>151562676</v>
      </c>
      <c r="F489" s="836">
        <v>151562676</v>
      </c>
      <c r="G489" s="836">
        <v>145915606</v>
      </c>
      <c r="H489" s="836">
        <v>151562676</v>
      </c>
      <c r="I489" s="836">
        <v>145915606</v>
      </c>
    </row>
    <row r="490" spans="1:9" ht="15">
      <c r="A490" s="1080" t="s">
        <v>1011</v>
      </c>
      <c r="B490" s="413">
        <v>97881480</v>
      </c>
      <c r="C490" s="413">
        <v>97881480</v>
      </c>
      <c r="D490" s="413">
        <v>103002340</v>
      </c>
      <c r="E490" s="413">
        <v>103002340</v>
      </c>
      <c r="F490" s="836">
        <v>103002340</v>
      </c>
      <c r="G490" s="836">
        <v>97881480</v>
      </c>
      <c r="H490" s="836">
        <v>103002340</v>
      </c>
      <c r="I490" s="836">
        <v>97881480</v>
      </c>
    </row>
    <row r="491" spans="1:9" ht="15">
      <c r="A491" s="1080" t="s">
        <v>2036</v>
      </c>
      <c r="B491" s="413">
        <v>1807182389</v>
      </c>
      <c r="C491" s="413">
        <v>1807182389</v>
      </c>
      <c r="D491" s="413">
        <v>1844449048</v>
      </c>
      <c r="E491" s="413">
        <v>1844449048</v>
      </c>
      <c r="F491" s="836">
        <v>1809388560</v>
      </c>
      <c r="G491" s="836">
        <v>1772121901</v>
      </c>
      <c r="H491" s="836">
        <v>1809388560</v>
      </c>
      <c r="I491" s="836">
        <v>1772121901</v>
      </c>
    </row>
    <row r="492" spans="1:9" ht="15">
      <c r="A492" s="1080" t="s">
        <v>3076</v>
      </c>
      <c r="B492" s="413">
        <v>385950913</v>
      </c>
      <c r="C492" s="413">
        <v>385950913</v>
      </c>
      <c r="D492" s="413">
        <v>394410522</v>
      </c>
      <c r="E492" s="413">
        <v>394410522</v>
      </c>
      <c r="F492" s="836">
        <v>385628020</v>
      </c>
      <c r="G492" s="836">
        <v>377168411</v>
      </c>
      <c r="H492" s="836">
        <v>385628020</v>
      </c>
      <c r="I492" s="836">
        <v>377168411</v>
      </c>
    </row>
    <row r="493" spans="1:9" ht="15">
      <c r="A493" s="1080" t="s">
        <v>3077</v>
      </c>
      <c r="B493" s="413">
        <v>582076615</v>
      </c>
      <c r="C493" s="413">
        <v>674620215</v>
      </c>
      <c r="D493" s="413">
        <v>587413792</v>
      </c>
      <c r="E493" s="413">
        <v>679957392</v>
      </c>
      <c r="F493" s="836">
        <v>581402657</v>
      </c>
      <c r="G493" s="836">
        <v>576065480</v>
      </c>
      <c r="H493" s="836">
        <v>673946257</v>
      </c>
      <c r="I493" s="836">
        <v>668609080</v>
      </c>
    </row>
    <row r="494" spans="1:9" ht="15">
      <c r="A494" s="1080" t="s">
        <v>1507</v>
      </c>
      <c r="B494" s="413">
        <v>195378473</v>
      </c>
      <c r="C494" s="413">
        <v>195378473</v>
      </c>
      <c r="D494" s="413">
        <v>197471499</v>
      </c>
      <c r="E494" s="413">
        <v>197471499</v>
      </c>
      <c r="F494" s="836">
        <v>197471499</v>
      </c>
      <c r="G494" s="836">
        <v>195378473</v>
      </c>
      <c r="H494" s="836">
        <v>197471499</v>
      </c>
      <c r="I494" s="836">
        <v>195378473</v>
      </c>
    </row>
    <row r="495" spans="1:9" ht="15">
      <c r="A495" s="1080" t="s">
        <v>2492</v>
      </c>
      <c r="B495" s="413">
        <v>102985967</v>
      </c>
      <c r="C495" s="413">
        <v>102985967</v>
      </c>
      <c r="D495" s="413">
        <v>103622881</v>
      </c>
      <c r="E495" s="413">
        <v>103622881</v>
      </c>
      <c r="F495" s="836">
        <v>103622881</v>
      </c>
      <c r="G495" s="836">
        <v>102985967</v>
      </c>
      <c r="H495" s="836">
        <v>103622881</v>
      </c>
      <c r="I495" s="836">
        <v>102985967</v>
      </c>
    </row>
    <row r="496" spans="1:9" ht="15">
      <c r="A496" s="1080" t="s">
        <v>1271</v>
      </c>
      <c r="B496" s="413">
        <v>61927291</v>
      </c>
      <c r="C496" s="413">
        <v>61927291</v>
      </c>
      <c r="D496" s="413">
        <v>62449796</v>
      </c>
      <c r="E496" s="413">
        <v>62449796</v>
      </c>
      <c r="F496" s="836">
        <v>62197754</v>
      </c>
      <c r="G496" s="836">
        <v>61675249</v>
      </c>
      <c r="H496" s="836">
        <v>62197754</v>
      </c>
      <c r="I496" s="836">
        <v>61675249</v>
      </c>
    </row>
    <row r="497" spans="1:9" ht="15">
      <c r="A497" s="1080" t="s">
        <v>2155</v>
      </c>
      <c r="B497" s="413">
        <v>364635981</v>
      </c>
      <c r="C497" s="413">
        <v>364635981</v>
      </c>
      <c r="D497" s="413">
        <v>380189742</v>
      </c>
      <c r="E497" s="413">
        <v>380189742</v>
      </c>
      <c r="F497" s="836">
        <v>380189742</v>
      </c>
      <c r="G497" s="836">
        <v>364635981</v>
      </c>
      <c r="H497" s="836">
        <v>380189742</v>
      </c>
      <c r="I497" s="836">
        <v>364635981</v>
      </c>
    </row>
    <row r="498" spans="1:9" ht="15">
      <c r="A498" s="1080" t="s">
        <v>1272</v>
      </c>
      <c r="B498" s="413">
        <v>81521195</v>
      </c>
      <c r="C498" s="413">
        <v>81521195</v>
      </c>
      <c r="D498" s="413">
        <v>86802979</v>
      </c>
      <c r="E498" s="413">
        <v>86802979</v>
      </c>
      <c r="F498" s="836">
        <v>86802979</v>
      </c>
      <c r="G498" s="836">
        <v>81521195</v>
      </c>
      <c r="H498" s="836">
        <v>86802979</v>
      </c>
      <c r="I498" s="836">
        <v>81521195</v>
      </c>
    </row>
    <row r="499" spans="1:9" ht="15">
      <c r="A499" s="1080" t="s">
        <v>1618</v>
      </c>
      <c r="B499" s="413">
        <v>384971268</v>
      </c>
      <c r="C499" s="413">
        <v>384971268</v>
      </c>
      <c r="D499" s="413">
        <v>399415525</v>
      </c>
      <c r="E499" s="413">
        <v>399415525</v>
      </c>
      <c r="F499" s="836">
        <v>399415525</v>
      </c>
      <c r="G499" s="836">
        <v>384971268</v>
      </c>
      <c r="H499" s="836">
        <v>399415525</v>
      </c>
      <c r="I499" s="836">
        <v>384971268</v>
      </c>
    </row>
    <row r="500" spans="1:9" ht="15">
      <c r="A500" s="1080" t="s">
        <v>1209</v>
      </c>
      <c r="B500" s="413">
        <v>1771083011</v>
      </c>
      <c r="C500" s="413">
        <v>1771083011</v>
      </c>
      <c r="D500" s="413">
        <v>1825385833</v>
      </c>
      <c r="E500" s="413">
        <v>1825385833</v>
      </c>
      <c r="F500" s="836">
        <v>1825385833</v>
      </c>
      <c r="G500" s="836">
        <v>1771083011</v>
      </c>
      <c r="H500" s="836">
        <v>1825385833</v>
      </c>
      <c r="I500" s="836">
        <v>1771083011</v>
      </c>
    </row>
    <row r="501" spans="1:9" ht="15">
      <c r="A501" s="1080" t="s">
        <v>2218</v>
      </c>
      <c r="B501" s="413">
        <v>200763167</v>
      </c>
      <c r="C501" s="413">
        <v>200763167</v>
      </c>
      <c r="D501" s="413">
        <v>211096354</v>
      </c>
      <c r="E501" s="413">
        <v>211096354</v>
      </c>
      <c r="F501" s="836">
        <v>211096354</v>
      </c>
      <c r="G501" s="836">
        <v>200763167</v>
      </c>
      <c r="H501" s="836">
        <v>211096354</v>
      </c>
      <c r="I501" s="836">
        <v>200763167</v>
      </c>
    </row>
    <row r="502" spans="1:9" ht="15">
      <c r="A502" s="1080" t="s">
        <v>1781</v>
      </c>
      <c r="B502" s="413">
        <v>656884296</v>
      </c>
      <c r="C502" s="413">
        <v>656884296</v>
      </c>
      <c r="D502" s="413">
        <v>686143383</v>
      </c>
      <c r="E502" s="413">
        <v>686143383</v>
      </c>
      <c r="F502" s="836">
        <v>686143383</v>
      </c>
      <c r="G502" s="836">
        <v>656884296</v>
      </c>
      <c r="H502" s="836">
        <v>686143383</v>
      </c>
      <c r="I502" s="836">
        <v>656884296</v>
      </c>
    </row>
    <row r="503" spans="1:9" ht="15">
      <c r="A503" s="1080" t="s">
        <v>273</v>
      </c>
      <c r="B503" s="413">
        <v>99365515</v>
      </c>
      <c r="C503" s="413">
        <v>99365515</v>
      </c>
      <c r="D503" s="413">
        <v>106142102</v>
      </c>
      <c r="E503" s="413">
        <v>106142102</v>
      </c>
      <c r="F503" s="836">
        <v>106142102</v>
      </c>
      <c r="G503" s="836">
        <v>99365515</v>
      </c>
      <c r="H503" s="836">
        <v>106142102</v>
      </c>
      <c r="I503" s="836">
        <v>99365515</v>
      </c>
    </row>
    <row r="504" spans="1:9" ht="15">
      <c r="A504" s="1080" t="s">
        <v>1210</v>
      </c>
      <c r="B504" s="413">
        <v>77843677</v>
      </c>
      <c r="C504" s="413">
        <v>77843677</v>
      </c>
      <c r="D504" s="413">
        <v>82672153</v>
      </c>
      <c r="E504" s="413">
        <v>82672153</v>
      </c>
      <c r="F504" s="836">
        <v>82672153</v>
      </c>
      <c r="G504" s="836">
        <v>77843677</v>
      </c>
      <c r="H504" s="836">
        <v>82672153</v>
      </c>
      <c r="I504" s="836">
        <v>77843677</v>
      </c>
    </row>
    <row r="505" spans="1:9" ht="15">
      <c r="A505" s="1080" t="s">
        <v>987</v>
      </c>
      <c r="B505" s="413">
        <v>126870469</v>
      </c>
      <c r="C505" s="413">
        <v>126870469</v>
      </c>
      <c r="D505" s="413">
        <v>133634255</v>
      </c>
      <c r="E505" s="413">
        <v>133634255</v>
      </c>
      <c r="F505" s="836">
        <v>133634255</v>
      </c>
      <c r="G505" s="836">
        <v>126870469</v>
      </c>
      <c r="H505" s="836">
        <v>133634255</v>
      </c>
      <c r="I505" s="836">
        <v>126870469</v>
      </c>
    </row>
    <row r="506" spans="1:9" ht="15">
      <c r="A506" s="1080" t="s">
        <v>2105</v>
      </c>
      <c r="B506" s="413">
        <v>13701311</v>
      </c>
      <c r="C506" s="413">
        <v>13701311</v>
      </c>
      <c r="D506" s="413">
        <v>14785921</v>
      </c>
      <c r="E506" s="413">
        <v>14785921</v>
      </c>
      <c r="F506" s="836">
        <v>14785921</v>
      </c>
      <c r="G506" s="836">
        <v>13701311</v>
      </c>
      <c r="H506" s="836">
        <v>14785921</v>
      </c>
      <c r="I506" s="836">
        <v>13701311</v>
      </c>
    </row>
    <row r="507" spans="1:9" ht="15">
      <c r="A507" s="1080" t="s">
        <v>1211</v>
      </c>
      <c r="B507" s="413">
        <v>728108718</v>
      </c>
      <c r="C507" s="413">
        <v>728108718</v>
      </c>
      <c r="D507" s="413">
        <v>760839788</v>
      </c>
      <c r="E507" s="413">
        <v>760839788</v>
      </c>
      <c r="F507" s="836">
        <v>747842618</v>
      </c>
      <c r="G507" s="836">
        <v>715111548</v>
      </c>
      <c r="H507" s="836">
        <v>747842618</v>
      </c>
      <c r="I507" s="836">
        <v>715111548</v>
      </c>
    </row>
    <row r="508" spans="1:9" ht="15">
      <c r="A508" s="1080" t="s">
        <v>2454</v>
      </c>
      <c r="B508" s="413">
        <v>133027821</v>
      </c>
      <c r="C508" s="413">
        <v>133027821</v>
      </c>
      <c r="D508" s="413">
        <v>144779111</v>
      </c>
      <c r="E508" s="413">
        <v>144779111</v>
      </c>
      <c r="F508" s="836">
        <v>144456881</v>
      </c>
      <c r="G508" s="836">
        <v>132705591</v>
      </c>
      <c r="H508" s="836">
        <v>144456881</v>
      </c>
      <c r="I508" s="836">
        <v>132705591</v>
      </c>
    </row>
    <row r="509" spans="1:9" ht="15">
      <c r="A509" s="1080" t="s">
        <v>2455</v>
      </c>
      <c r="B509" s="413">
        <v>920551318</v>
      </c>
      <c r="C509" s="413">
        <v>1330643428</v>
      </c>
      <c r="D509" s="413">
        <v>926219808</v>
      </c>
      <c r="E509" s="413">
        <v>1336311918</v>
      </c>
      <c r="F509" s="836">
        <v>922822623</v>
      </c>
      <c r="G509" s="836">
        <v>917154133</v>
      </c>
      <c r="H509" s="836">
        <v>1332914733</v>
      </c>
      <c r="I509" s="836">
        <v>1327246243</v>
      </c>
    </row>
    <row r="510" spans="1:9" ht="15">
      <c r="A510" s="1080" t="s">
        <v>1428</v>
      </c>
      <c r="B510" s="413">
        <v>49134049</v>
      </c>
      <c r="C510" s="413">
        <v>49134049</v>
      </c>
      <c r="D510" s="413">
        <v>49296219</v>
      </c>
      <c r="E510" s="413">
        <v>49296219</v>
      </c>
      <c r="F510" s="836">
        <v>49191109</v>
      </c>
      <c r="G510" s="836">
        <v>49028939</v>
      </c>
      <c r="H510" s="836">
        <v>49191109</v>
      </c>
      <c r="I510" s="836">
        <v>49028939</v>
      </c>
    </row>
    <row r="511" spans="1:9" ht="15">
      <c r="A511" s="1080" t="s">
        <v>1429</v>
      </c>
      <c r="B511" s="413">
        <v>1384172775</v>
      </c>
      <c r="C511" s="413">
        <v>1384172775</v>
      </c>
      <c r="D511" s="413">
        <v>1387354815</v>
      </c>
      <c r="E511" s="413">
        <v>1387354815</v>
      </c>
      <c r="F511" s="836">
        <v>1387354815</v>
      </c>
      <c r="G511" s="836">
        <v>1384172775</v>
      </c>
      <c r="H511" s="836">
        <v>1387354815</v>
      </c>
      <c r="I511" s="836">
        <v>1384172775</v>
      </c>
    </row>
    <row r="512" spans="1:9" ht="15">
      <c r="A512" s="1080" t="s">
        <v>1039</v>
      </c>
      <c r="B512" s="413">
        <v>165890986</v>
      </c>
      <c r="C512" s="413">
        <v>355227586</v>
      </c>
      <c r="D512" s="413">
        <v>168055056</v>
      </c>
      <c r="E512" s="413">
        <v>357391656</v>
      </c>
      <c r="F512" s="836">
        <v>168055056</v>
      </c>
      <c r="G512" s="836">
        <v>165890986</v>
      </c>
      <c r="H512" s="836">
        <v>357391656</v>
      </c>
      <c r="I512" s="836">
        <v>355227586</v>
      </c>
    </row>
    <row r="513" spans="1:9" ht="15">
      <c r="A513" s="1080" t="s">
        <v>1040</v>
      </c>
      <c r="B513" s="413">
        <v>1213746187</v>
      </c>
      <c r="C513" s="413">
        <v>1213746187</v>
      </c>
      <c r="D513" s="413">
        <v>1224402947</v>
      </c>
      <c r="E513" s="413">
        <v>1224402947</v>
      </c>
      <c r="F513" s="836">
        <v>1224402947</v>
      </c>
      <c r="G513" s="836">
        <v>1213746187</v>
      </c>
      <c r="H513" s="836">
        <v>1224402947</v>
      </c>
      <c r="I513" s="836">
        <v>1213746187</v>
      </c>
    </row>
    <row r="514" spans="1:9" ht="15">
      <c r="A514" s="1080" t="s">
        <v>1041</v>
      </c>
      <c r="B514" s="413">
        <v>376939835</v>
      </c>
      <c r="C514" s="413">
        <v>376939835</v>
      </c>
      <c r="D514" s="413">
        <v>381373905</v>
      </c>
      <c r="E514" s="413">
        <v>381373905</v>
      </c>
      <c r="F514" s="836">
        <v>381373905</v>
      </c>
      <c r="G514" s="836">
        <v>376939835</v>
      </c>
      <c r="H514" s="836">
        <v>381373905</v>
      </c>
      <c r="I514" s="836">
        <v>376939835</v>
      </c>
    </row>
    <row r="515" spans="1:9" ht="15">
      <c r="A515" s="1080" t="s">
        <v>1042</v>
      </c>
      <c r="B515" s="413">
        <v>496243679</v>
      </c>
      <c r="C515" s="413">
        <v>599017979</v>
      </c>
      <c r="D515" s="413">
        <v>512307825</v>
      </c>
      <c r="E515" s="413">
        <v>615082125</v>
      </c>
      <c r="F515" s="836">
        <v>512307825</v>
      </c>
      <c r="G515" s="836">
        <v>496243679</v>
      </c>
      <c r="H515" s="836">
        <v>615082125</v>
      </c>
      <c r="I515" s="836">
        <v>599017979</v>
      </c>
    </row>
    <row r="516" spans="1:9" ht="15">
      <c r="A516" s="1080" t="s">
        <v>2972</v>
      </c>
      <c r="B516" s="413">
        <v>213678017</v>
      </c>
      <c r="C516" s="413">
        <v>517684017</v>
      </c>
      <c r="D516" s="413">
        <v>220629125</v>
      </c>
      <c r="E516" s="413">
        <v>524635125</v>
      </c>
      <c r="F516" s="836">
        <v>220629125</v>
      </c>
      <c r="G516" s="836">
        <v>213678017</v>
      </c>
      <c r="H516" s="836">
        <v>524635125</v>
      </c>
      <c r="I516" s="836">
        <v>517684017</v>
      </c>
    </row>
    <row r="517" spans="1:9" ht="15">
      <c r="A517" s="1080" t="s">
        <v>544</v>
      </c>
      <c r="B517" s="413">
        <v>710814114</v>
      </c>
      <c r="C517" s="413">
        <v>710814114</v>
      </c>
      <c r="D517" s="413">
        <v>720526706</v>
      </c>
      <c r="E517" s="413">
        <v>720526706</v>
      </c>
      <c r="F517" s="836">
        <v>706891534</v>
      </c>
      <c r="G517" s="836">
        <v>697178942</v>
      </c>
      <c r="H517" s="836">
        <v>706891534</v>
      </c>
      <c r="I517" s="836">
        <v>697178942</v>
      </c>
    </row>
    <row r="518" spans="1:9" ht="15">
      <c r="A518" s="1080" t="s">
        <v>3042</v>
      </c>
      <c r="B518" s="413">
        <v>246735032</v>
      </c>
      <c r="C518" s="413">
        <v>246735032</v>
      </c>
      <c r="D518" s="413">
        <v>252818262</v>
      </c>
      <c r="E518" s="413">
        <v>252818262</v>
      </c>
      <c r="F518" s="836">
        <v>246554395</v>
      </c>
      <c r="G518" s="836">
        <v>240471165</v>
      </c>
      <c r="H518" s="836">
        <v>246554395</v>
      </c>
      <c r="I518" s="836">
        <v>240471165</v>
      </c>
    </row>
    <row r="519" spans="1:9" ht="15">
      <c r="A519" s="1080" t="s">
        <v>995</v>
      </c>
      <c r="B519" s="413">
        <v>292364827</v>
      </c>
      <c r="C519" s="413">
        <v>292364827</v>
      </c>
      <c r="D519" s="413">
        <v>310403367</v>
      </c>
      <c r="E519" s="413">
        <v>310403367</v>
      </c>
      <c r="F519" s="836">
        <v>310403367</v>
      </c>
      <c r="G519" s="836">
        <v>292364827</v>
      </c>
      <c r="H519" s="836">
        <v>310403367</v>
      </c>
      <c r="I519" s="836">
        <v>292364827</v>
      </c>
    </row>
    <row r="520" spans="1:9" ht="15">
      <c r="A520" s="1080" t="s">
        <v>51</v>
      </c>
      <c r="B520" s="413">
        <v>900985308</v>
      </c>
      <c r="C520" s="413">
        <v>900985308</v>
      </c>
      <c r="D520" s="413">
        <v>933816318</v>
      </c>
      <c r="E520" s="413">
        <v>933816318</v>
      </c>
      <c r="F520" s="836">
        <v>933816318</v>
      </c>
      <c r="G520" s="836">
        <v>900985308</v>
      </c>
      <c r="H520" s="836">
        <v>933816318</v>
      </c>
      <c r="I520" s="836">
        <v>900985308</v>
      </c>
    </row>
    <row r="521" spans="1:9" ht="15">
      <c r="A521" s="1080" t="s">
        <v>61</v>
      </c>
      <c r="B521" s="413">
        <v>253523163</v>
      </c>
      <c r="C521" s="413">
        <v>253523163</v>
      </c>
      <c r="D521" s="413">
        <v>266635444</v>
      </c>
      <c r="E521" s="413">
        <v>266635444</v>
      </c>
      <c r="F521" s="836">
        <v>266635444</v>
      </c>
      <c r="G521" s="836">
        <v>253523163</v>
      </c>
      <c r="H521" s="836">
        <v>266635444</v>
      </c>
      <c r="I521" s="836">
        <v>253523163</v>
      </c>
    </row>
    <row r="522" spans="1:9" ht="15">
      <c r="A522" s="1080" t="s">
        <v>3043</v>
      </c>
      <c r="B522" s="413">
        <v>373033989</v>
      </c>
      <c r="C522" s="413">
        <v>373033989</v>
      </c>
      <c r="D522" s="413">
        <v>376666901</v>
      </c>
      <c r="E522" s="413">
        <v>376666901</v>
      </c>
      <c r="F522" s="836">
        <v>373320488</v>
      </c>
      <c r="G522" s="836">
        <v>369687576</v>
      </c>
      <c r="H522" s="836">
        <v>373320488</v>
      </c>
      <c r="I522" s="836">
        <v>369687576</v>
      </c>
    </row>
    <row r="523" spans="1:9" ht="15">
      <c r="A523" s="1080" t="s">
        <v>3044</v>
      </c>
      <c r="B523" s="413">
        <v>147123705</v>
      </c>
      <c r="C523" s="413">
        <v>147123705</v>
      </c>
      <c r="D523" s="413">
        <v>152134535</v>
      </c>
      <c r="E523" s="413">
        <v>152134535</v>
      </c>
      <c r="F523" s="836">
        <v>152134535</v>
      </c>
      <c r="G523" s="836">
        <v>147123705</v>
      </c>
      <c r="H523" s="836">
        <v>152134535</v>
      </c>
      <c r="I523" s="836">
        <v>147123705</v>
      </c>
    </row>
    <row r="524" spans="1:9" ht="15">
      <c r="A524" s="1080" t="s">
        <v>3045</v>
      </c>
      <c r="B524" s="413">
        <v>43162572</v>
      </c>
      <c r="C524" s="413">
        <v>43162572</v>
      </c>
      <c r="D524" s="413">
        <v>43563152</v>
      </c>
      <c r="E524" s="413">
        <v>43563152</v>
      </c>
      <c r="F524" s="836">
        <v>43563152</v>
      </c>
      <c r="G524" s="836">
        <v>43162572</v>
      </c>
      <c r="H524" s="836">
        <v>43563152</v>
      </c>
      <c r="I524" s="836">
        <v>43162572</v>
      </c>
    </row>
    <row r="525" spans="1:9" ht="15">
      <c r="A525" s="1080" t="s">
        <v>2905</v>
      </c>
      <c r="B525" s="413">
        <v>2297668229</v>
      </c>
      <c r="C525" s="413">
        <v>2297668229</v>
      </c>
      <c r="D525" s="413">
        <v>2362867661</v>
      </c>
      <c r="E525" s="413">
        <v>2362867661</v>
      </c>
      <c r="F525" s="836">
        <v>2362867661</v>
      </c>
      <c r="G525" s="836">
        <v>2297668229</v>
      </c>
      <c r="H525" s="836">
        <v>2362867661</v>
      </c>
      <c r="I525" s="836">
        <v>2297668229</v>
      </c>
    </row>
    <row r="526" spans="1:9" ht="15">
      <c r="A526" s="1080" t="s">
        <v>2615</v>
      </c>
      <c r="B526" s="413">
        <v>3723154483</v>
      </c>
      <c r="C526" s="413">
        <v>8007325233</v>
      </c>
      <c r="D526" s="413">
        <v>3820406437</v>
      </c>
      <c r="E526" s="413">
        <v>8104577187</v>
      </c>
      <c r="F526" s="836">
        <v>3820406437</v>
      </c>
      <c r="G526" s="836">
        <v>3723154483</v>
      </c>
      <c r="H526" s="836">
        <v>8104577187</v>
      </c>
      <c r="I526" s="836">
        <v>8007325233</v>
      </c>
    </row>
    <row r="527" spans="1:9" ht="15">
      <c r="A527" s="1080" t="s">
        <v>2616</v>
      </c>
      <c r="B527" s="413">
        <v>2480801609</v>
      </c>
      <c r="C527" s="413">
        <v>2811279049</v>
      </c>
      <c r="D527" s="413">
        <v>2551206513</v>
      </c>
      <c r="E527" s="413">
        <v>2881683953</v>
      </c>
      <c r="F527" s="836">
        <v>2458061371</v>
      </c>
      <c r="G527" s="836">
        <v>2387656467</v>
      </c>
      <c r="H527" s="836">
        <v>2788538811</v>
      </c>
      <c r="I527" s="836">
        <v>2718133907</v>
      </c>
    </row>
    <row r="528" spans="1:9" ht="15">
      <c r="A528" s="1080" t="s">
        <v>1501</v>
      </c>
      <c r="B528" s="413">
        <v>9608529461</v>
      </c>
      <c r="C528" s="413">
        <v>9785281961</v>
      </c>
      <c r="D528" s="413">
        <v>9833597706</v>
      </c>
      <c r="E528" s="413">
        <v>10010350206</v>
      </c>
      <c r="F528" s="836">
        <v>9833597706</v>
      </c>
      <c r="G528" s="836">
        <v>9608529461</v>
      </c>
      <c r="H528" s="836">
        <v>10010350206</v>
      </c>
      <c r="I528" s="836">
        <v>9785281961</v>
      </c>
    </row>
    <row r="529" spans="1:9" ht="15">
      <c r="A529" s="1080" t="s">
        <v>1502</v>
      </c>
      <c r="B529" s="413">
        <v>574587959</v>
      </c>
      <c r="C529" s="413">
        <v>998737729</v>
      </c>
      <c r="D529" s="413">
        <v>575389684</v>
      </c>
      <c r="E529" s="413">
        <v>999539454</v>
      </c>
      <c r="F529" s="836">
        <v>574983320</v>
      </c>
      <c r="G529" s="836">
        <v>574181595</v>
      </c>
      <c r="H529" s="836">
        <v>999133090</v>
      </c>
      <c r="I529" s="836">
        <v>998331365</v>
      </c>
    </row>
    <row r="530" spans="1:9" ht="15">
      <c r="A530" s="1080" t="s">
        <v>1484</v>
      </c>
      <c r="B530" s="413">
        <v>656210027</v>
      </c>
      <c r="C530" s="413">
        <v>656210027</v>
      </c>
      <c r="D530" s="413">
        <v>678583626</v>
      </c>
      <c r="E530" s="413">
        <v>678583626</v>
      </c>
      <c r="F530" s="836">
        <v>678583626</v>
      </c>
      <c r="G530" s="836">
        <v>656210027</v>
      </c>
      <c r="H530" s="836">
        <v>678583626</v>
      </c>
      <c r="I530" s="836">
        <v>656210027</v>
      </c>
    </row>
    <row r="531" spans="1:9" ht="15">
      <c r="A531" s="1080" t="s">
        <v>1503</v>
      </c>
      <c r="B531" s="413">
        <v>354483072</v>
      </c>
      <c r="C531" s="413">
        <v>354483072</v>
      </c>
      <c r="D531" s="413">
        <v>363072602</v>
      </c>
      <c r="E531" s="413">
        <v>363072602</v>
      </c>
      <c r="F531" s="836">
        <v>360146487</v>
      </c>
      <c r="G531" s="836">
        <v>351556957</v>
      </c>
      <c r="H531" s="836">
        <v>360146487</v>
      </c>
      <c r="I531" s="836">
        <v>351556957</v>
      </c>
    </row>
    <row r="532" spans="1:9" ht="15">
      <c r="A532" s="1080" t="s">
        <v>2299</v>
      </c>
      <c r="B532" s="413">
        <v>1544773617</v>
      </c>
      <c r="C532" s="413">
        <v>1544773617</v>
      </c>
      <c r="D532" s="413">
        <v>1581264640</v>
      </c>
      <c r="E532" s="413">
        <v>1581264640</v>
      </c>
      <c r="F532" s="836">
        <v>1581264640</v>
      </c>
      <c r="G532" s="836">
        <v>1544773617</v>
      </c>
      <c r="H532" s="836">
        <v>1581264640</v>
      </c>
      <c r="I532" s="836">
        <v>1544773617</v>
      </c>
    </row>
    <row r="533" spans="1:9" ht="15">
      <c r="A533" s="1080" t="s">
        <v>2652</v>
      </c>
      <c r="B533" s="413">
        <v>76413478</v>
      </c>
      <c r="C533" s="413">
        <v>76413478</v>
      </c>
      <c r="D533" s="413">
        <v>79968650</v>
      </c>
      <c r="E533" s="413">
        <v>79968650</v>
      </c>
      <c r="F533" s="836">
        <v>79968650</v>
      </c>
      <c r="G533" s="836">
        <v>76413478</v>
      </c>
      <c r="H533" s="836">
        <v>79968650</v>
      </c>
      <c r="I533" s="836">
        <v>76413478</v>
      </c>
    </row>
    <row r="534" spans="1:9" ht="15">
      <c r="A534" s="1080" t="s">
        <v>1593</v>
      </c>
      <c r="B534" s="413">
        <v>289528783</v>
      </c>
      <c r="C534" s="413">
        <v>289528783</v>
      </c>
      <c r="D534" s="413">
        <v>300290045</v>
      </c>
      <c r="E534" s="413">
        <v>300290045</v>
      </c>
      <c r="F534" s="836">
        <v>300290045</v>
      </c>
      <c r="G534" s="836">
        <v>289528783</v>
      </c>
      <c r="H534" s="836">
        <v>300290045</v>
      </c>
      <c r="I534" s="836">
        <v>289528783</v>
      </c>
    </row>
    <row r="535" spans="1:9" ht="15">
      <c r="A535" s="1080" t="s">
        <v>244</v>
      </c>
      <c r="B535" s="413">
        <v>135965612</v>
      </c>
      <c r="C535" s="413">
        <v>135965612</v>
      </c>
      <c r="D535" s="413">
        <v>140779673</v>
      </c>
      <c r="E535" s="413">
        <v>140779673</v>
      </c>
      <c r="F535" s="836">
        <v>140779673</v>
      </c>
      <c r="G535" s="836">
        <v>135965612</v>
      </c>
      <c r="H535" s="836">
        <v>140779673</v>
      </c>
      <c r="I535" s="836">
        <v>135965612</v>
      </c>
    </row>
    <row r="536" spans="1:9" ht="15">
      <c r="A536" s="1080" t="s">
        <v>1504</v>
      </c>
      <c r="B536" s="413">
        <v>58052113</v>
      </c>
      <c r="C536" s="413">
        <v>58052113</v>
      </c>
      <c r="D536" s="413">
        <v>58571397</v>
      </c>
      <c r="E536" s="413">
        <v>58571397</v>
      </c>
      <c r="F536" s="836">
        <v>58431140</v>
      </c>
      <c r="G536" s="836">
        <v>57911856</v>
      </c>
      <c r="H536" s="836">
        <v>58431140</v>
      </c>
      <c r="I536" s="836">
        <v>57911856</v>
      </c>
    </row>
    <row r="537" spans="1:9" ht="15">
      <c r="A537" s="1080" t="s">
        <v>223</v>
      </c>
      <c r="B537" s="413">
        <v>1442178936</v>
      </c>
      <c r="C537" s="413">
        <v>1442178936</v>
      </c>
      <c r="D537" s="413">
        <v>1473279320</v>
      </c>
      <c r="E537" s="413">
        <v>1473279320</v>
      </c>
      <c r="F537" s="836">
        <v>1473279320</v>
      </c>
      <c r="G537" s="836">
        <v>1442178936</v>
      </c>
      <c r="H537" s="836">
        <v>1473279320</v>
      </c>
      <c r="I537" s="836">
        <v>1442178936</v>
      </c>
    </row>
    <row r="538" spans="1:9" ht="15">
      <c r="A538" s="1080" t="s">
        <v>2153</v>
      </c>
      <c r="B538" s="413">
        <v>3619998246</v>
      </c>
      <c r="C538" s="413">
        <v>3619998246</v>
      </c>
      <c r="D538" s="413">
        <v>3746856025</v>
      </c>
      <c r="E538" s="413">
        <v>3746856025</v>
      </c>
      <c r="F538" s="836">
        <v>3746856025</v>
      </c>
      <c r="G538" s="836">
        <v>3619998246</v>
      </c>
      <c r="H538" s="836">
        <v>3746856025</v>
      </c>
      <c r="I538" s="836">
        <v>3619998246</v>
      </c>
    </row>
    <row r="539" spans="1:9" ht="15">
      <c r="A539" s="1080" t="s">
        <v>627</v>
      </c>
      <c r="B539" s="413">
        <v>2574891746</v>
      </c>
      <c r="C539" s="413">
        <v>2574891746</v>
      </c>
      <c r="D539" s="413">
        <v>2644454906</v>
      </c>
      <c r="E539" s="413">
        <v>2644454906</v>
      </c>
      <c r="F539" s="836">
        <v>2644454906</v>
      </c>
      <c r="G539" s="836">
        <v>2574891746</v>
      </c>
      <c r="H539" s="836">
        <v>2644454906</v>
      </c>
      <c r="I539" s="836">
        <v>2574891746</v>
      </c>
    </row>
    <row r="540" spans="1:9" ht="15">
      <c r="A540" s="1080" t="s">
        <v>2037</v>
      </c>
      <c r="B540" s="413">
        <v>280938116</v>
      </c>
      <c r="C540" s="413">
        <v>280938116</v>
      </c>
      <c r="D540" s="413">
        <v>291915051</v>
      </c>
      <c r="E540" s="413">
        <v>291915051</v>
      </c>
      <c r="F540" s="836">
        <v>291915051</v>
      </c>
      <c r="G540" s="836">
        <v>280938116</v>
      </c>
      <c r="H540" s="836">
        <v>291915051</v>
      </c>
      <c r="I540" s="836">
        <v>280938116</v>
      </c>
    </row>
    <row r="541" spans="1:9" ht="15">
      <c r="A541" s="1080" t="s">
        <v>52</v>
      </c>
      <c r="B541" s="413">
        <v>1367174031</v>
      </c>
      <c r="C541" s="413">
        <v>1367174031</v>
      </c>
      <c r="D541" s="413">
        <v>1418536444</v>
      </c>
      <c r="E541" s="413">
        <v>1418536444</v>
      </c>
      <c r="F541" s="836">
        <v>1418536444</v>
      </c>
      <c r="G541" s="836">
        <v>1367174031</v>
      </c>
      <c r="H541" s="836">
        <v>1418536444</v>
      </c>
      <c r="I541" s="836">
        <v>1367174031</v>
      </c>
    </row>
    <row r="542" spans="1:9" ht="15">
      <c r="A542" s="1080" t="s">
        <v>1505</v>
      </c>
      <c r="B542" s="413">
        <v>153874863</v>
      </c>
      <c r="C542" s="413">
        <v>153874863</v>
      </c>
      <c r="D542" s="413">
        <v>159770007</v>
      </c>
      <c r="E542" s="413">
        <v>159770007</v>
      </c>
      <c r="F542" s="836">
        <v>159770007</v>
      </c>
      <c r="G542" s="836">
        <v>153874863</v>
      </c>
      <c r="H542" s="836">
        <v>159770007</v>
      </c>
      <c r="I542" s="836">
        <v>153874863</v>
      </c>
    </row>
    <row r="543" spans="1:9" ht="15">
      <c r="A543" s="1080" t="s">
        <v>2653</v>
      </c>
      <c r="B543" s="413">
        <v>269124090</v>
      </c>
      <c r="C543" s="413">
        <v>269124090</v>
      </c>
      <c r="D543" s="413">
        <v>278408807</v>
      </c>
      <c r="E543" s="413">
        <v>278408807</v>
      </c>
      <c r="F543" s="836">
        <v>278408807</v>
      </c>
      <c r="G543" s="836">
        <v>269124090</v>
      </c>
      <c r="H543" s="836">
        <v>278408807</v>
      </c>
      <c r="I543" s="836">
        <v>269124090</v>
      </c>
    </row>
    <row r="544" spans="1:9" ht="15">
      <c r="A544" s="1080" t="s">
        <v>283</v>
      </c>
      <c r="B544" s="413">
        <v>260666997</v>
      </c>
      <c r="C544" s="413">
        <v>260666997</v>
      </c>
      <c r="D544" s="413">
        <v>273477817</v>
      </c>
      <c r="E544" s="413">
        <v>273477817</v>
      </c>
      <c r="F544" s="836">
        <v>273477817</v>
      </c>
      <c r="G544" s="836">
        <v>260666997</v>
      </c>
      <c r="H544" s="836">
        <v>273477817</v>
      </c>
      <c r="I544" s="836">
        <v>260666997</v>
      </c>
    </row>
    <row r="545" spans="1:9" ht="15">
      <c r="A545" s="1080" t="s">
        <v>1435</v>
      </c>
      <c r="B545" s="413">
        <v>942892561</v>
      </c>
      <c r="C545" s="413">
        <v>942892561</v>
      </c>
      <c r="D545" s="413">
        <v>954322107</v>
      </c>
      <c r="E545" s="413">
        <v>954322107</v>
      </c>
      <c r="F545" s="836">
        <v>954322107</v>
      </c>
      <c r="G545" s="836">
        <v>942892561</v>
      </c>
      <c r="H545" s="836">
        <v>954322107</v>
      </c>
      <c r="I545" s="836">
        <v>942892561</v>
      </c>
    </row>
    <row r="546" spans="1:9" ht="15">
      <c r="A546" s="1080" t="s">
        <v>2400</v>
      </c>
      <c r="B546" s="413">
        <v>129287676</v>
      </c>
      <c r="C546" s="413">
        <v>129287676</v>
      </c>
      <c r="D546" s="413">
        <v>136890346</v>
      </c>
      <c r="E546" s="413">
        <v>136890346</v>
      </c>
      <c r="F546" s="836">
        <v>136890346</v>
      </c>
      <c r="G546" s="836">
        <v>129287676</v>
      </c>
      <c r="H546" s="836">
        <v>136890346</v>
      </c>
      <c r="I546" s="836">
        <v>129287676</v>
      </c>
    </row>
    <row r="547" spans="1:9" ht="15">
      <c r="A547" s="1080" t="s">
        <v>1506</v>
      </c>
      <c r="B547" s="413">
        <v>149531658</v>
      </c>
      <c r="C547" s="413">
        <v>149531658</v>
      </c>
      <c r="D547" s="413">
        <v>153821768</v>
      </c>
      <c r="E547" s="413">
        <v>153821768</v>
      </c>
      <c r="F547" s="836">
        <v>153821768</v>
      </c>
      <c r="G547" s="836">
        <v>149531658</v>
      </c>
      <c r="H547" s="836">
        <v>153821768</v>
      </c>
      <c r="I547" s="836">
        <v>149531658</v>
      </c>
    </row>
    <row r="548" spans="1:9" ht="15">
      <c r="A548" s="1080" t="s">
        <v>2128</v>
      </c>
      <c r="B548" s="413">
        <v>123725781</v>
      </c>
      <c r="C548" s="413">
        <v>123725781</v>
      </c>
      <c r="D548" s="413">
        <v>131718041</v>
      </c>
      <c r="E548" s="413">
        <v>131718041</v>
      </c>
      <c r="F548" s="836">
        <v>131718041</v>
      </c>
      <c r="G548" s="836">
        <v>123725781</v>
      </c>
      <c r="H548" s="836">
        <v>131718041</v>
      </c>
      <c r="I548" s="836">
        <v>123725781</v>
      </c>
    </row>
    <row r="549" spans="1:9" ht="15">
      <c r="A549" s="1080" t="s">
        <v>2870</v>
      </c>
      <c r="B549" s="413">
        <v>86378608</v>
      </c>
      <c r="C549" s="413">
        <v>86378608</v>
      </c>
      <c r="D549" s="413">
        <v>87951570</v>
      </c>
      <c r="E549" s="413">
        <v>87951570</v>
      </c>
      <c r="F549" s="836">
        <v>87951570</v>
      </c>
      <c r="G549" s="836">
        <v>86378608</v>
      </c>
      <c r="H549" s="836">
        <v>87951570</v>
      </c>
      <c r="I549" s="836">
        <v>86378608</v>
      </c>
    </row>
    <row r="550" spans="1:9" ht="15">
      <c r="A550" s="1080" t="s">
        <v>288</v>
      </c>
      <c r="B550" s="413">
        <v>97827533</v>
      </c>
      <c r="C550" s="413">
        <v>97827533</v>
      </c>
      <c r="D550" s="413">
        <v>103961313</v>
      </c>
      <c r="E550" s="413">
        <v>103961313</v>
      </c>
      <c r="F550" s="836">
        <v>103961313</v>
      </c>
      <c r="G550" s="836">
        <v>97827533</v>
      </c>
      <c r="H550" s="836">
        <v>103961313</v>
      </c>
      <c r="I550" s="836">
        <v>97827533</v>
      </c>
    </row>
    <row r="551" spans="1:9" ht="15">
      <c r="A551" s="1080" t="s">
        <v>54</v>
      </c>
      <c r="B551" s="413">
        <v>5999387766</v>
      </c>
      <c r="C551" s="413">
        <v>5999387766</v>
      </c>
      <c r="D551" s="413">
        <v>6008320023</v>
      </c>
      <c r="E551" s="413">
        <v>6008320023</v>
      </c>
      <c r="F551" s="836">
        <v>6008320023</v>
      </c>
      <c r="G551" s="836">
        <v>5999387766</v>
      </c>
      <c r="H551" s="836">
        <v>6008320023</v>
      </c>
      <c r="I551" s="836">
        <v>5999387766</v>
      </c>
    </row>
    <row r="552" spans="1:9" ht="15">
      <c r="A552" s="1080" t="s">
        <v>2871</v>
      </c>
      <c r="B552" s="413">
        <v>1446553696</v>
      </c>
      <c r="C552" s="413">
        <v>1521788386</v>
      </c>
      <c r="D552" s="413">
        <v>1453831937</v>
      </c>
      <c r="E552" s="413">
        <v>1529066627</v>
      </c>
      <c r="F552" s="836">
        <v>1453831937</v>
      </c>
      <c r="G552" s="836">
        <v>1446553696</v>
      </c>
      <c r="H552" s="836">
        <v>1529066627</v>
      </c>
      <c r="I552" s="836">
        <v>1521788386</v>
      </c>
    </row>
    <row r="553" spans="1:9" ht="15">
      <c r="A553" s="1080" t="s">
        <v>1317</v>
      </c>
      <c r="B553" s="413">
        <v>562675068</v>
      </c>
      <c r="C553" s="413">
        <v>562675068</v>
      </c>
      <c r="D553" s="413">
        <v>564848484</v>
      </c>
      <c r="E553" s="413">
        <v>564848484</v>
      </c>
      <c r="F553" s="836">
        <v>564848484</v>
      </c>
      <c r="G553" s="836">
        <v>562675068</v>
      </c>
      <c r="H553" s="836">
        <v>564848484</v>
      </c>
      <c r="I553" s="836">
        <v>562675068</v>
      </c>
    </row>
    <row r="554" spans="1:9" ht="15">
      <c r="A554" s="1080" t="s">
        <v>1899</v>
      </c>
      <c r="B554" s="413">
        <v>811078501</v>
      </c>
      <c r="C554" s="413">
        <v>811078501</v>
      </c>
      <c r="D554" s="413">
        <v>815737947</v>
      </c>
      <c r="E554" s="413">
        <v>815737947</v>
      </c>
      <c r="F554" s="836">
        <v>815737947</v>
      </c>
      <c r="G554" s="836">
        <v>811078501</v>
      </c>
      <c r="H554" s="836">
        <v>815737947</v>
      </c>
      <c r="I554" s="836">
        <v>811078501</v>
      </c>
    </row>
    <row r="555" spans="1:9" ht="15">
      <c r="A555" s="1080" t="s">
        <v>2757</v>
      </c>
      <c r="B555" s="413">
        <v>575098708</v>
      </c>
      <c r="C555" s="413">
        <v>575098708</v>
      </c>
      <c r="D555" s="413">
        <v>606932240</v>
      </c>
      <c r="E555" s="413">
        <v>606932240</v>
      </c>
      <c r="F555" s="836">
        <v>606932240</v>
      </c>
      <c r="G555" s="836">
        <v>575098708</v>
      </c>
      <c r="H555" s="836">
        <v>606932240</v>
      </c>
      <c r="I555" s="836">
        <v>575098708</v>
      </c>
    </row>
    <row r="556" spans="1:9" ht="15">
      <c r="A556" s="1080" t="s">
        <v>1515</v>
      </c>
      <c r="B556" s="413">
        <v>2613753957</v>
      </c>
      <c r="C556" s="413">
        <v>2613753957</v>
      </c>
      <c r="D556" s="413">
        <v>2696251442</v>
      </c>
      <c r="E556" s="413">
        <v>2696251442</v>
      </c>
      <c r="F556" s="836">
        <v>2696251442</v>
      </c>
      <c r="G556" s="836">
        <v>2613753957</v>
      </c>
      <c r="H556" s="836">
        <v>2696251442</v>
      </c>
      <c r="I556" s="836">
        <v>2613753957</v>
      </c>
    </row>
    <row r="557" spans="1:9" ht="15">
      <c r="A557" s="1080" t="s">
        <v>56</v>
      </c>
      <c r="B557" s="413">
        <v>593925500</v>
      </c>
      <c r="C557" s="413">
        <v>593925500</v>
      </c>
      <c r="D557" s="413">
        <v>626108810</v>
      </c>
      <c r="E557" s="413">
        <v>626108810</v>
      </c>
      <c r="F557" s="836">
        <v>626108810</v>
      </c>
      <c r="G557" s="836">
        <v>593925500</v>
      </c>
      <c r="H557" s="836">
        <v>626108810</v>
      </c>
      <c r="I557" s="836">
        <v>593925500</v>
      </c>
    </row>
    <row r="558" spans="1:9" ht="15">
      <c r="A558" s="1080" t="s">
        <v>58</v>
      </c>
      <c r="B558" s="413">
        <v>306856967</v>
      </c>
      <c r="C558" s="413">
        <v>306856967</v>
      </c>
      <c r="D558" s="413">
        <v>325309789</v>
      </c>
      <c r="E558" s="413">
        <v>325309789</v>
      </c>
      <c r="F558" s="836">
        <v>325309789</v>
      </c>
      <c r="G558" s="836">
        <v>306856967</v>
      </c>
      <c r="H558" s="836">
        <v>325309789</v>
      </c>
      <c r="I558" s="836">
        <v>306856967</v>
      </c>
    </row>
    <row r="559" spans="1:9" ht="15">
      <c r="A559" s="1080" t="s">
        <v>2923</v>
      </c>
      <c r="B559" s="413">
        <v>1060990267</v>
      </c>
      <c r="C559" s="413">
        <v>1060990267</v>
      </c>
      <c r="D559" s="413">
        <v>1100515160</v>
      </c>
      <c r="E559" s="413">
        <v>1100515160</v>
      </c>
      <c r="F559" s="836">
        <v>1100515160</v>
      </c>
      <c r="G559" s="836">
        <v>1060990267</v>
      </c>
      <c r="H559" s="836">
        <v>1100515160</v>
      </c>
      <c r="I559" s="836">
        <v>1060990267</v>
      </c>
    </row>
    <row r="560" spans="1:9" ht="15">
      <c r="A560" s="1080" t="s">
        <v>2924</v>
      </c>
      <c r="B560" s="413">
        <v>1366835340</v>
      </c>
      <c r="C560" s="413">
        <v>1366835340</v>
      </c>
      <c r="D560" s="413">
        <v>1411536748</v>
      </c>
      <c r="E560" s="413">
        <v>1411536748</v>
      </c>
      <c r="F560" s="836">
        <v>1411536748</v>
      </c>
      <c r="G560" s="836">
        <v>1366835340</v>
      </c>
      <c r="H560" s="836">
        <v>1411536748</v>
      </c>
      <c r="I560" s="836">
        <v>1366835340</v>
      </c>
    </row>
    <row r="561" spans="1:9" ht="15">
      <c r="A561" s="1080" t="s">
        <v>536</v>
      </c>
      <c r="B561" s="413">
        <v>151219819</v>
      </c>
      <c r="C561" s="413">
        <v>151219819</v>
      </c>
      <c r="D561" s="413">
        <v>160346299</v>
      </c>
      <c r="E561" s="413">
        <v>160346299</v>
      </c>
      <c r="F561" s="836">
        <v>160346299</v>
      </c>
      <c r="G561" s="836">
        <v>151219819</v>
      </c>
      <c r="H561" s="836">
        <v>160346299</v>
      </c>
      <c r="I561" s="836">
        <v>151219819</v>
      </c>
    </row>
    <row r="562" spans="1:9" ht="15">
      <c r="A562" s="1080" t="s">
        <v>2925</v>
      </c>
      <c r="B562" s="413">
        <v>5597316382</v>
      </c>
      <c r="C562" s="413">
        <v>5597316382</v>
      </c>
      <c r="D562" s="413">
        <v>5703578906</v>
      </c>
      <c r="E562" s="413">
        <v>5703578906</v>
      </c>
      <c r="F562" s="836">
        <v>5703578906</v>
      </c>
      <c r="G562" s="836">
        <v>5597316382</v>
      </c>
      <c r="H562" s="836">
        <v>5703578906</v>
      </c>
      <c r="I562" s="836">
        <v>5597316382</v>
      </c>
    </row>
    <row r="563" spans="1:9" ht="15">
      <c r="A563" s="1080" t="s">
        <v>1732</v>
      </c>
      <c r="B563" s="413">
        <v>770780271</v>
      </c>
      <c r="C563" s="413">
        <v>770780271</v>
      </c>
      <c r="D563" s="413">
        <v>788463631</v>
      </c>
      <c r="E563" s="413">
        <v>788463631</v>
      </c>
      <c r="F563" s="836">
        <v>788463631</v>
      </c>
      <c r="G563" s="836">
        <v>770780271</v>
      </c>
      <c r="H563" s="836">
        <v>788463631</v>
      </c>
      <c r="I563" s="836">
        <v>770780271</v>
      </c>
    </row>
    <row r="564" spans="1:9" ht="15">
      <c r="A564" s="1080" t="s">
        <v>3088</v>
      </c>
      <c r="B564" s="413">
        <v>943599088</v>
      </c>
      <c r="C564" s="413">
        <v>1076130288</v>
      </c>
      <c r="D564" s="413">
        <v>943758130</v>
      </c>
      <c r="E564" s="413">
        <v>1076289330</v>
      </c>
      <c r="F564" s="836">
        <v>943503710</v>
      </c>
      <c r="G564" s="836">
        <v>943344668</v>
      </c>
      <c r="H564" s="836">
        <v>1076034910</v>
      </c>
      <c r="I564" s="836">
        <v>1075875868</v>
      </c>
    </row>
    <row r="565" spans="1:9" ht="15">
      <c r="A565" s="1080" t="s">
        <v>2649</v>
      </c>
      <c r="B565" s="413">
        <v>522933611</v>
      </c>
      <c r="C565" s="413">
        <v>522933611</v>
      </c>
      <c r="D565" s="413">
        <v>524100341</v>
      </c>
      <c r="E565" s="413">
        <v>524100341</v>
      </c>
      <c r="F565" s="836">
        <v>523362936</v>
      </c>
      <c r="G565" s="836">
        <v>522196206</v>
      </c>
      <c r="H565" s="836">
        <v>523362936</v>
      </c>
      <c r="I565" s="836">
        <v>522196206</v>
      </c>
    </row>
    <row r="566" spans="1:9" ht="15">
      <c r="A566" s="1080" t="s">
        <v>1734</v>
      </c>
      <c r="B566" s="413">
        <v>244462082</v>
      </c>
      <c r="C566" s="413">
        <v>244462082</v>
      </c>
      <c r="D566" s="413">
        <v>252342583</v>
      </c>
      <c r="E566" s="413">
        <v>252342583</v>
      </c>
      <c r="F566" s="836">
        <v>252342583</v>
      </c>
      <c r="G566" s="836">
        <v>244462082</v>
      </c>
      <c r="H566" s="836">
        <v>252342583</v>
      </c>
      <c r="I566" s="836">
        <v>244462082</v>
      </c>
    </row>
    <row r="567" spans="1:9" ht="15">
      <c r="A567" s="1080" t="s">
        <v>2913</v>
      </c>
      <c r="B567" s="413">
        <v>354066282</v>
      </c>
      <c r="C567" s="413">
        <v>354066282</v>
      </c>
      <c r="D567" s="413">
        <v>358625131</v>
      </c>
      <c r="E567" s="413">
        <v>358625131</v>
      </c>
      <c r="F567" s="836">
        <v>358625131</v>
      </c>
      <c r="G567" s="836">
        <v>354066282</v>
      </c>
      <c r="H567" s="836">
        <v>358625131</v>
      </c>
      <c r="I567" s="836">
        <v>354066282</v>
      </c>
    </row>
    <row r="568" spans="1:9" ht="15">
      <c r="A568" s="1080" t="s">
        <v>2914</v>
      </c>
      <c r="B568" s="413">
        <v>2382594852</v>
      </c>
      <c r="C568" s="413">
        <v>2382594852</v>
      </c>
      <c r="D568" s="413">
        <v>2460022889</v>
      </c>
      <c r="E568" s="413">
        <v>2460022889</v>
      </c>
      <c r="F568" s="836">
        <v>2460022889</v>
      </c>
      <c r="G568" s="836">
        <v>2382594852</v>
      </c>
      <c r="H568" s="836">
        <v>2460022889</v>
      </c>
      <c r="I568" s="836">
        <v>2382594852</v>
      </c>
    </row>
    <row r="569" spans="1:9" ht="15">
      <c r="A569" s="1080" t="s">
        <v>529</v>
      </c>
      <c r="B569" s="413">
        <v>462560169</v>
      </c>
      <c r="C569" s="413">
        <v>462560169</v>
      </c>
      <c r="D569" s="413">
        <v>481779291</v>
      </c>
      <c r="E569" s="413">
        <v>481779291</v>
      </c>
      <c r="F569" s="836">
        <v>481779291</v>
      </c>
      <c r="G569" s="836">
        <v>462560169</v>
      </c>
      <c r="H569" s="836">
        <v>481779291</v>
      </c>
      <c r="I569" s="836">
        <v>462560169</v>
      </c>
    </row>
    <row r="570" spans="1:9" ht="15">
      <c r="A570" s="1080" t="s">
        <v>2601</v>
      </c>
      <c r="B570" s="413">
        <v>62771760</v>
      </c>
      <c r="C570" s="413">
        <v>62771760</v>
      </c>
      <c r="D570" s="413">
        <v>63133250</v>
      </c>
      <c r="E570" s="413">
        <v>63133250</v>
      </c>
      <c r="F570" s="836">
        <v>63133250</v>
      </c>
      <c r="G570" s="836">
        <v>62771760</v>
      </c>
      <c r="H570" s="836">
        <v>63133250</v>
      </c>
      <c r="I570" s="836">
        <v>62771760</v>
      </c>
    </row>
    <row r="571" spans="1:9" ht="15">
      <c r="A571" s="1080" t="s">
        <v>2602</v>
      </c>
      <c r="B571" s="413">
        <v>387607078</v>
      </c>
      <c r="C571" s="413">
        <v>387607078</v>
      </c>
      <c r="D571" s="413">
        <v>397132292</v>
      </c>
      <c r="E571" s="413">
        <v>397132292</v>
      </c>
      <c r="F571" s="836">
        <v>397132292</v>
      </c>
      <c r="G571" s="836">
        <v>387607078</v>
      </c>
      <c r="H571" s="836">
        <v>397132292</v>
      </c>
      <c r="I571" s="836">
        <v>387607078</v>
      </c>
    </row>
    <row r="572" spans="1:9" ht="15">
      <c r="A572" s="1080" t="s">
        <v>1727</v>
      </c>
      <c r="B572" s="413">
        <v>257603903</v>
      </c>
      <c r="C572" s="413">
        <v>257603903</v>
      </c>
      <c r="D572" s="413">
        <v>257778783</v>
      </c>
      <c r="E572" s="413">
        <v>257778783</v>
      </c>
      <c r="F572" s="836">
        <v>257650358</v>
      </c>
      <c r="G572" s="836">
        <v>257475478</v>
      </c>
      <c r="H572" s="836">
        <v>257650358</v>
      </c>
      <c r="I572" s="836">
        <v>257475478</v>
      </c>
    </row>
    <row r="573" spans="1:9" ht="15">
      <c r="A573" s="1080" t="s">
        <v>1728</v>
      </c>
      <c r="B573" s="413">
        <v>357734737</v>
      </c>
      <c r="C573" s="413">
        <v>477334737</v>
      </c>
      <c r="D573" s="413">
        <v>365174514</v>
      </c>
      <c r="E573" s="413">
        <v>484774514</v>
      </c>
      <c r="F573" s="836">
        <v>365174514</v>
      </c>
      <c r="G573" s="836">
        <v>357734737</v>
      </c>
      <c r="H573" s="836">
        <v>484774514</v>
      </c>
      <c r="I573" s="836">
        <v>477334737</v>
      </c>
    </row>
    <row r="574" spans="1:9" ht="15">
      <c r="A574" s="1080" t="s">
        <v>2872</v>
      </c>
      <c r="B574" s="413">
        <v>784405239</v>
      </c>
      <c r="C574" s="413">
        <v>784405239</v>
      </c>
      <c r="D574" s="413">
        <v>819365425</v>
      </c>
      <c r="E574" s="413">
        <v>819365425</v>
      </c>
      <c r="F574" s="836">
        <v>819365425</v>
      </c>
      <c r="G574" s="836">
        <v>784405239</v>
      </c>
      <c r="H574" s="836">
        <v>819365425</v>
      </c>
      <c r="I574" s="836">
        <v>784405239</v>
      </c>
    </row>
    <row r="575" spans="1:9" ht="15">
      <c r="A575" s="1080" t="s">
        <v>429</v>
      </c>
      <c r="B575" s="413">
        <v>144967852</v>
      </c>
      <c r="C575" s="413">
        <v>144967852</v>
      </c>
      <c r="D575" s="413">
        <v>152423023</v>
      </c>
      <c r="E575" s="413">
        <v>152423023</v>
      </c>
      <c r="F575" s="836">
        <v>147981749</v>
      </c>
      <c r="G575" s="836">
        <v>140526578</v>
      </c>
      <c r="H575" s="836">
        <v>147981749</v>
      </c>
      <c r="I575" s="836">
        <v>140526578</v>
      </c>
    </row>
    <row r="576" spans="1:9" ht="15">
      <c r="A576" s="1080" t="s">
        <v>430</v>
      </c>
      <c r="B576" s="413">
        <v>219079847</v>
      </c>
      <c r="C576" s="413">
        <v>219079847</v>
      </c>
      <c r="D576" s="413">
        <v>222486059</v>
      </c>
      <c r="E576" s="413">
        <v>222486059</v>
      </c>
      <c r="F576" s="836">
        <v>222486059</v>
      </c>
      <c r="G576" s="836">
        <v>219079847</v>
      </c>
      <c r="H576" s="836">
        <v>222486059</v>
      </c>
      <c r="I576" s="836">
        <v>219079847</v>
      </c>
    </row>
    <row r="577" spans="1:9" ht="15">
      <c r="A577" s="1080" t="s">
        <v>431</v>
      </c>
      <c r="B577" s="413">
        <v>151777320</v>
      </c>
      <c r="C577" s="413">
        <v>151777320</v>
      </c>
      <c r="D577" s="413">
        <v>151777320</v>
      </c>
      <c r="E577" s="413">
        <v>151777320</v>
      </c>
      <c r="F577" s="836">
        <v>151777320</v>
      </c>
      <c r="G577" s="836">
        <v>151777320</v>
      </c>
      <c r="H577" s="836">
        <v>151777320</v>
      </c>
      <c r="I577" s="836">
        <v>151777320</v>
      </c>
    </row>
    <row r="578" spans="1:9" ht="15">
      <c r="A578" s="1080" t="s">
        <v>2873</v>
      </c>
      <c r="B578" s="413">
        <v>90440633</v>
      </c>
      <c r="C578" s="413">
        <v>90440633</v>
      </c>
      <c r="D578" s="413">
        <v>93020743</v>
      </c>
      <c r="E578" s="413">
        <v>93020743</v>
      </c>
      <c r="F578" s="836">
        <v>93020743</v>
      </c>
      <c r="G578" s="836">
        <v>90440633</v>
      </c>
      <c r="H578" s="836">
        <v>93020743</v>
      </c>
      <c r="I578" s="836">
        <v>90440633</v>
      </c>
    </row>
    <row r="579" spans="1:9" ht="15">
      <c r="A579" s="1080" t="s">
        <v>270</v>
      </c>
      <c r="B579" s="413">
        <v>62015155</v>
      </c>
      <c r="C579" s="413">
        <v>62015155</v>
      </c>
      <c r="D579" s="413">
        <v>65066165</v>
      </c>
      <c r="E579" s="413">
        <v>65066165</v>
      </c>
      <c r="F579" s="836">
        <v>65066165</v>
      </c>
      <c r="G579" s="836">
        <v>62015155</v>
      </c>
      <c r="H579" s="836">
        <v>65066165</v>
      </c>
      <c r="I579" s="836">
        <v>62015155</v>
      </c>
    </row>
    <row r="580" spans="1:9" ht="15">
      <c r="A580" s="1080" t="s">
        <v>271</v>
      </c>
      <c r="B580" s="413">
        <v>49492446</v>
      </c>
      <c r="C580" s="413">
        <v>49492446</v>
      </c>
      <c r="D580" s="413">
        <v>50033626</v>
      </c>
      <c r="E580" s="413">
        <v>50033626</v>
      </c>
      <c r="F580" s="836">
        <v>50033626</v>
      </c>
      <c r="G580" s="836">
        <v>49492446</v>
      </c>
      <c r="H580" s="836">
        <v>50033626</v>
      </c>
      <c r="I580" s="836">
        <v>49492446</v>
      </c>
    </row>
    <row r="581" spans="1:9" ht="15">
      <c r="A581" s="1080" t="s">
        <v>272</v>
      </c>
      <c r="B581" s="413">
        <v>818017151</v>
      </c>
      <c r="C581" s="413">
        <v>818017151</v>
      </c>
      <c r="D581" s="413">
        <v>826734068</v>
      </c>
      <c r="E581" s="413">
        <v>826734068</v>
      </c>
      <c r="F581" s="836">
        <v>826734068</v>
      </c>
      <c r="G581" s="836">
        <v>818017151</v>
      </c>
      <c r="H581" s="836">
        <v>826734068</v>
      </c>
      <c r="I581" s="836">
        <v>818017151</v>
      </c>
    </row>
    <row r="582" spans="1:9" ht="15">
      <c r="A582" s="1080" t="s">
        <v>2654</v>
      </c>
      <c r="B582" s="413">
        <v>111191665</v>
      </c>
      <c r="C582" s="413">
        <v>111191665</v>
      </c>
      <c r="D582" s="413">
        <v>113971314</v>
      </c>
      <c r="E582" s="413">
        <v>113971314</v>
      </c>
      <c r="F582" s="836">
        <v>113971314</v>
      </c>
      <c r="G582" s="836">
        <v>111191665</v>
      </c>
      <c r="H582" s="836">
        <v>113971314</v>
      </c>
      <c r="I582" s="836">
        <v>111191665</v>
      </c>
    </row>
    <row r="583" spans="1:9" ht="15">
      <c r="A583" s="1080" t="s">
        <v>2303</v>
      </c>
      <c r="B583" s="413">
        <v>718813579</v>
      </c>
      <c r="C583" s="413">
        <v>718813579</v>
      </c>
      <c r="D583" s="413">
        <v>753662944</v>
      </c>
      <c r="E583" s="413">
        <v>753662944</v>
      </c>
      <c r="F583" s="836">
        <v>753662944</v>
      </c>
      <c r="G583" s="836">
        <v>718813579</v>
      </c>
      <c r="H583" s="836">
        <v>753662944</v>
      </c>
      <c r="I583" s="836">
        <v>718813579</v>
      </c>
    </row>
    <row r="584" spans="1:9" ht="15">
      <c r="A584" s="1080" t="s">
        <v>2370</v>
      </c>
      <c r="B584" s="413">
        <v>1072272707</v>
      </c>
      <c r="C584" s="413">
        <v>1072272707</v>
      </c>
      <c r="D584" s="413">
        <v>1115075576</v>
      </c>
      <c r="E584" s="413">
        <v>1115075576</v>
      </c>
      <c r="F584" s="836">
        <v>1115075576</v>
      </c>
      <c r="G584" s="836">
        <v>1072272707</v>
      </c>
      <c r="H584" s="836">
        <v>1115075576</v>
      </c>
      <c r="I584" s="836">
        <v>1072272707</v>
      </c>
    </row>
    <row r="585" spans="1:9" ht="15">
      <c r="A585" s="1080" t="s">
        <v>2874</v>
      </c>
      <c r="B585" s="413">
        <v>213446144</v>
      </c>
      <c r="C585" s="413">
        <v>213446144</v>
      </c>
      <c r="D585" s="413">
        <v>227789934</v>
      </c>
      <c r="E585" s="413">
        <v>227789934</v>
      </c>
      <c r="F585" s="836">
        <v>227789934</v>
      </c>
      <c r="G585" s="836">
        <v>213446144</v>
      </c>
      <c r="H585" s="836">
        <v>227789934</v>
      </c>
      <c r="I585" s="836">
        <v>213446144</v>
      </c>
    </row>
    <row r="586" spans="1:9" ht="15">
      <c r="A586" s="1080" t="s">
        <v>1754</v>
      </c>
      <c r="B586" s="413">
        <v>44866906</v>
      </c>
      <c r="C586" s="413">
        <v>44866906</v>
      </c>
      <c r="D586" s="413">
        <v>45718976</v>
      </c>
      <c r="E586" s="413">
        <v>45718976</v>
      </c>
      <c r="F586" s="836">
        <v>45718976</v>
      </c>
      <c r="G586" s="836">
        <v>44866906</v>
      </c>
      <c r="H586" s="836">
        <v>45718976</v>
      </c>
      <c r="I586" s="836">
        <v>44866906</v>
      </c>
    </row>
    <row r="587" spans="1:9" ht="15">
      <c r="A587" s="1080" t="s">
        <v>1755</v>
      </c>
      <c r="B587" s="413">
        <v>186768298</v>
      </c>
      <c r="C587" s="413">
        <v>186768298</v>
      </c>
      <c r="D587" s="413">
        <v>194941269</v>
      </c>
      <c r="E587" s="413">
        <v>194941269</v>
      </c>
      <c r="F587" s="836">
        <v>194941269</v>
      </c>
      <c r="G587" s="836">
        <v>186768298</v>
      </c>
      <c r="H587" s="836">
        <v>194941269</v>
      </c>
      <c r="I587" s="836">
        <v>186768298</v>
      </c>
    </row>
    <row r="588" spans="1:9" ht="15">
      <c r="A588" s="1080" t="s">
        <v>1592</v>
      </c>
      <c r="B588" s="413">
        <v>130392348</v>
      </c>
      <c r="C588" s="413">
        <v>130392348</v>
      </c>
      <c r="D588" s="413">
        <v>133870632</v>
      </c>
      <c r="E588" s="413">
        <v>133870632</v>
      </c>
      <c r="F588" s="836">
        <v>133870632</v>
      </c>
      <c r="G588" s="836">
        <v>130392348</v>
      </c>
      <c r="H588" s="836">
        <v>133870632</v>
      </c>
      <c r="I588" s="836">
        <v>130392348</v>
      </c>
    </row>
    <row r="589" spans="1:9" ht="15">
      <c r="A589" s="1080" t="s">
        <v>2584</v>
      </c>
      <c r="B589" s="413">
        <v>80835759</v>
      </c>
      <c r="C589" s="413">
        <v>80835759</v>
      </c>
      <c r="D589" s="413">
        <v>82723271</v>
      </c>
      <c r="E589" s="413">
        <v>82723271</v>
      </c>
      <c r="F589" s="836">
        <v>82723271</v>
      </c>
      <c r="G589" s="836">
        <v>80835759</v>
      </c>
      <c r="H589" s="836">
        <v>82723271</v>
      </c>
      <c r="I589" s="836">
        <v>80835759</v>
      </c>
    </row>
    <row r="590" spans="1:9" ht="15">
      <c r="A590" s="1080" t="s">
        <v>2585</v>
      </c>
      <c r="B590" s="413">
        <v>406325742</v>
      </c>
      <c r="C590" s="413">
        <v>406325742</v>
      </c>
      <c r="D590" s="413">
        <v>408425296</v>
      </c>
      <c r="E590" s="413">
        <v>408425296</v>
      </c>
      <c r="F590" s="836">
        <v>408425296</v>
      </c>
      <c r="G590" s="836">
        <v>406325742</v>
      </c>
      <c r="H590" s="836">
        <v>408425296</v>
      </c>
      <c r="I590" s="836">
        <v>406325742</v>
      </c>
    </row>
    <row r="591" spans="1:9" ht="15">
      <c r="A591" s="1080" t="s">
        <v>2586</v>
      </c>
      <c r="B591" s="413">
        <v>1053211552</v>
      </c>
      <c r="C591" s="413">
        <v>1053211552</v>
      </c>
      <c r="D591" s="413">
        <v>1100362530</v>
      </c>
      <c r="E591" s="413">
        <v>1100362530</v>
      </c>
      <c r="F591" s="836">
        <v>1100362530</v>
      </c>
      <c r="G591" s="836">
        <v>1053211552</v>
      </c>
      <c r="H591" s="836">
        <v>1100362530</v>
      </c>
      <c r="I591" s="836">
        <v>1053211552</v>
      </c>
    </row>
    <row r="592" spans="1:9" ht="15">
      <c r="A592" s="1080" t="s">
        <v>2587</v>
      </c>
      <c r="B592" s="413">
        <v>128034241</v>
      </c>
      <c r="C592" s="413">
        <v>128034241</v>
      </c>
      <c r="D592" s="413">
        <v>131240111</v>
      </c>
      <c r="E592" s="413">
        <v>131240111</v>
      </c>
      <c r="F592" s="836">
        <v>131240111</v>
      </c>
      <c r="G592" s="836">
        <v>128034241</v>
      </c>
      <c r="H592" s="836">
        <v>131240111</v>
      </c>
      <c r="I592" s="836">
        <v>128034241</v>
      </c>
    </row>
    <row r="593" spans="1:9" ht="15">
      <c r="A593" s="1080" t="s">
        <v>2755</v>
      </c>
      <c r="B593" s="413">
        <v>6951868672</v>
      </c>
      <c r="C593" s="413">
        <v>6951868672</v>
      </c>
      <c r="D593" s="413">
        <v>6958484442</v>
      </c>
      <c r="E593" s="413">
        <v>6958484442</v>
      </c>
      <c r="F593" s="836">
        <v>6958484442</v>
      </c>
      <c r="G593" s="836">
        <v>6951868672</v>
      </c>
      <c r="H593" s="836">
        <v>6958484442</v>
      </c>
      <c r="I593" s="836">
        <v>6951868672</v>
      </c>
    </row>
    <row r="594" spans="1:9" ht="15">
      <c r="A594" s="1080" t="s">
        <v>2588</v>
      </c>
      <c r="B594" s="413">
        <v>710326912</v>
      </c>
      <c r="C594" s="413">
        <v>710326912</v>
      </c>
      <c r="D594" s="413">
        <v>727741414</v>
      </c>
      <c r="E594" s="413">
        <v>727741414</v>
      </c>
      <c r="F594" s="836">
        <v>727741414</v>
      </c>
      <c r="G594" s="836">
        <v>710326912</v>
      </c>
      <c r="H594" s="836">
        <v>727741414</v>
      </c>
      <c r="I594" s="836">
        <v>710326912</v>
      </c>
    </row>
    <row r="595" spans="1:9" ht="15">
      <c r="A595" s="1080" t="s">
        <v>2589</v>
      </c>
      <c r="B595" s="413">
        <v>431833593</v>
      </c>
      <c r="C595" s="413">
        <v>431833593</v>
      </c>
      <c r="D595" s="413">
        <v>437365170</v>
      </c>
      <c r="E595" s="413">
        <v>437365170</v>
      </c>
      <c r="F595" s="836">
        <v>431833000</v>
      </c>
      <c r="G595" s="836">
        <v>426301423</v>
      </c>
      <c r="H595" s="836">
        <v>431833000</v>
      </c>
      <c r="I595" s="836">
        <v>426301423</v>
      </c>
    </row>
    <row r="596" spans="1:9" ht="15">
      <c r="A596" s="1080" t="s">
        <v>2590</v>
      </c>
      <c r="B596" s="413">
        <v>739452988</v>
      </c>
      <c r="C596" s="413">
        <v>739452988</v>
      </c>
      <c r="D596" s="413">
        <v>750569474</v>
      </c>
      <c r="E596" s="413">
        <v>750569474</v>
      </c>
      <c r="F596" s="836">
        <v>750569474</v>
      </c>
      <c r="G596" s="836">
        <v>739452988</v>
      </c>
      <c r="H596" s="836">
        <v>750569474</v>
      </c>
      <c r="I596" s="836">
        <v>739452988</v>
      </c>
    </row>
    <row r="597" spans="1:9" ht="15">
      <c r="A597" s="1080" t="s">
        <v>2591</v>
      </c>
      <c r="B597" s="413">
        <v>56822830</v>
      </c>
      <c r="C597" s="413">
        <v>56822830</v>
      </c>
      <c r="D597" s="413">
        <v>59234408</v>
      </c>
      <c r="E597" s="413">
        <v>59234408</v>
      </c>
      <c r="F597" s="836">
        <v>56355142</v>
      </c>
      <c r="G597" s="836">
        <v>53943564</v>
      </c>
      <c r="H597" s="836">
        <v>56355142</v>
      </c>
      <c r="I597" s="836">
        <v>53943564</v>
      </c>
    </row>
    <row r="598" spans="1:9" ht="15">
      <c r="A598" s="1080" t="s">
        <v>2592</v>
      </c>
      <c r="B598" s="413">
        <v>66129011</v>
      </c>
      <c r="C598" s="413">
        <v>66129011</v>
      </c>
      <c r="D598" s="413">
        <v>68623451</v>
      </c>
      <c r="E598" s="413">
        <v>68623451</v>
      </c>
      <c r="F598" s="836">
        <v>68623451</v>
      </c>
      <c r="G598" s="836">
        <v>66129011</v>
      </c>
      <c r="H598" s="836">
        <v>68623451</v>
      </c>
      <c r="I598" s="836">
        <v>66129011</v>
      </c>
    </row>
    <row r="599" spans="1:9" ht="15">
      <c r="A599" s="1080" t="s">
        <v>2981</v>
      </c>
      <c r="B599" s="413">
        <v>95471352</v>
      </c>
      <c r="C599" s="413">
        <v>95471352</v>
      </c>
      <c r="D599" s="413">
        <v>97705726</v>
      </c>
      <c r="E599" s="413">
        <v>97705726</v>
      </c>
      <c r="F599" s="836">
        <v>95263890</v>
      </c>
      <c r="G599" s="836">
        <v>93029516</v>
      </c>
      <c r="H599" s="836">
        <v>95263890</v>
      </c>
      <c r="I599" s="836">
        <v>93029516</v>
      </c>
    </row>
    <row r="600" spans="1:9" ht="15">
      <c r="A600" s="1080" t="s">
        <v>2982</v>
      </c>
      <c r="B600" s="413">
        <v>785069060</v>
      </c>
      <c r="C600" s="413">
        <v>785069060</v>
      </c>
      <c r="D600" s="413">
        <v>804734955</v>
      </c>
      <c r="E600" s="413">
        <v>804734955</v>
      </c>
      <c r="F600" s="836">
        <v>792387789</v>
      </c>
      <c r="G600" s="836">
        <v>772721894</v>
      </c>
      <c r="H600" s="836">
        <v>792387789</v>
      </c>
      <c r="I600" s="836">
        <v>772721894</v>
      </c>
    </row>
    <row r="601" spans="1:9" ht="15">
      <c r="A601" s="1080" t="s">
        <v>2983</v>
      </c>
      <c r="B601" s="413">
        <v>381071837</v>
      </c>
      <c r="C601" s="413">
        <v>381071837</v>
      </c>
      <c r="D601" s="413">
        <v>394435076</v>
      </c>
      <c r="E601" s="413">
        <v>394435076</v>
      </c>
      <c r="F601" s="836">
        <v>394435076</v>
      </c>
      <c r="G601" s="836">
        <v>381071837</v>
      </c>
      <c r="H601" s="836">
        <v>394435076</v>
      </c>
      <c r="I601" s="836">
        <v>381071837</v>
      </c>
    </row>
    <row r="602" spans="1:9" ht="15">
      <c r="A602" s="1080" t="s">
        <v>2984</v>
      </c>
      <c r="B602" s="413">
        <v>154902253</v>
      </c>
      <c r="C602" s="413">
        <v>154902253</v>
      </c>
      <c r="D602" s="413">
        <v>157724089</v>
      </c>
      <c r="E602" s="413">
        <v>157724089</v>
      </c>
      <c r="F602" s="836">
        <v>157080339</v>
      </c>
      <c r="G602" s="836">
        <v>154258503</v>
      </c>
      <c r="H602" s="836">
        <v>157080339</v>
      </c>
      <c r="I602" s="836">
        <v>154258503</v>
      </c>
    </row>
    <row r="603" spans="1:9" ht="15">
      <c r="A603" s="1080" t="s">
        <v>2985</v>
      </c>
      <c r="B603" s="413">
        <v>411141606</v>
      </c>
      <c r="C603" s="413">
        <v>411141606</v>
      </c>
      <c r="D603" s="413">
        <v>421174593</v>
      </c>
      <c r="E603" s="413">
        <v>421174593</v>
      </c>
      <c r="F603" s="836">
        <v>418852403</v>
      </c>
      <c r="G603" s="836">
        <v>408819416</v>
      </c>
      <c r="H603" s="836">
        <v>418852403</v>
      </c>
      <c r="I603" s="836">
        <v>408819416</v>
      </c>
    </row>
    <row r="604" spans="1:9" ht="15">
      <c r="A604" s="1080" t="s">
        <v>1561</v>
      </c>
      <c r="B604" s="413">
        <v>380299143</v>
      </c>
      <c r="C604" s="413">
        <v>380299143</v>
      </c>
      <c r="D604" s="413">
        <v>391281403</v>
      </c>
      <c r="E604" s="413">
        <v>391281403</v>
      </c>
      <c r="F604" s="836">
        <v>386281788</v>
      </c>
      <c r="G604" s="836">
        <v>375299528</v>
      </c>
      <c r="H604" s="836">
        <v>386281788</v>
      </c>
      <c r="I604" s="836">
        <v>375299528</v>
      </c>
    </row>
    <row r="605" spans="1:9" ht="15">
      <c r="A605" s="1080" t="s">
        <v>1562</v>
      </c>
      <c r="B605" s="413">
        <v>320771663</v>
      </c>
      <c r="C605" s="413">
        <v>320771663</v>
      </c>
      <c r="D605" s="413">
        <v>330944077</v>
      </c>
      <c r="E605" s="413">
        <v>330944077</v>
      </c>
      <c r="F605" s="836">
        <v>318970513</v>
      </c>
      <c r="G605" s="836">
        <v>308798099</v>
      </c>
      <c r="H605" s="836">
        <v>318970513</v>
      </c>
      <c r="I605" s="836">
        <v>308798099</v>
      </c>
    </row>
    <row r="606" spans="1:9" ht="15">
      <c r="A606" s="1080" t="s">
        <v>2783</v>
      </c>
      <c r="B606" s="413">
        <v>103597364</v>
      </c>
      <c r="C606" s="413">
        <v>103597364</v>
      </c>
      <c r="D606" s="413">
        <v>105767132</v>
      </c>
      <c r="E606" s="413">
        <v>105767132</v>
      </c>
      <c r="F606" s="836">
        <v>105767132</v>
      </c>
      <c r="G606" s="836">
        <v>103597364</v>
      </c>
      <c r="H606" s="836">
        <v>105767132</v>
      </c>
      <c r="I606" s="836">
        <v>103597364</v>
      </c>
    </row>
    <row r="607" spans="1:9" ht="15">
      <c r="A607" s="1080" t="s">
        <v>2421</v>
      </c>
      <c r="B607" s="413">
        <v>778456482</v>
      </c>
      <c r="C607" s="413">
        <v>778456482</v>
      </c>
      <c r="D607" s="413">
        <v>786738838</v>
      </c>
      <c r="E607" s="413">
        <v>786738838</v>
      </c>
      <c r="F607" s="836">
        <v>786738838</v>
      </c>
      <c r="G607" s="836">
        <v>778456482</v>
      </c>
      <c r="H607" s="836">
        <v>786738838</v>
      </c>
      <c r="I607" s="836">
        <v>778456482</v>
      </c>
    </row>
    <row r="608" spans="1:9" ht="15">
      <c r="A608" s="1080" t="s">
        <v>3029</v>
      </c>
      <c r="B608" s="413">
        <v>929140990</v>
      </c>
      <c r="C608" s="413">
        <v>929140990</v>
      </c>
      <c r="D608" s="413">
        <v>960613895</v>
      </c>
      <c r="E608" s="413">
        <v>960613895</v>
      </c>
      <c r="F608" s="836">
        <v>960613895</v>
      </c>
      <c r="G608" s="836">
        <v>929140990</v>
      </c>
      <c r="H608" s="836">
        <v>960613895</v>
      </c>
      <c r="I608" s="836">
        <v>929140990</v>
      </c>
    </row>
    <row r="609" spans="1:9" ht="15">
      <c r="A609" s="1080" t="s">
        <v>2762</v>
      </c>
      <c r="B609" s="413">
        <v>1624869112</v>
      </c>
      <c r="C609" s="413">
        <v>1624869112</v>
      </c>
      <c r="D609" s="413">
        <v>1670403038</v>
      </c>
      <c r="E609" s="413">
        <v>1670403038</v>
      </c>
      <c r="F609" s="836">
        <v>1670403038</v>
      </c>
      <c r="G609" s="836">
        <v>1624869112</v>
      </c>
      <c r="H609" s="836">
        <v>1670403038</v>
      </c>
      <c r="I609" s="836">
        <v>1624869112</v>
      </c>
    </row>
    <row r="610" spans="1:9" ht="15">
      <c r="A610" s="1080" t="s">
        <v>2422</v>
      </c>
      <c r="B610" s="413">
        <v>223712412</v>
      </c>
      <c r="C610" s="413">
        <v>223712412</v>
      </c>
      <c r="D610" s="413">
        <v>223712412</v>
      </c>
      <c r="E610" s="413">
        <v>223712412</v>
      </c>
      <c r="F610" s="836">
        <v>223712412</v>
      </c>
      <c r="G610" s="836">
        <v>223712412</v>
      </c>
      <c r="H610" s="836">
        <v>223712412</v>
      </c>
      <c r="I610" s="836">
        <v>223712412</v>
      </c>
    </row>
    <row r="611" spans="1:9" ht="15">
      <c r="A611" s="1080" t="s">
        <v>2875</v>
      </c>
      <c r="B611" s="413">
        <v>358253512</v>
      </c>
      <c r="C611" s="413">
        <v>358253512</v>
      </c>
      <c r="D611" s="413">
        <v>372750639</v>
      </c>
      <c r="E611" s="413">
        <v>372750639</v>
      </c>
      <c r="F611" s="836">
        <v>372750639</v>
      </c>
      <c r="G611" s="836">
        <v>358253512</v>
      </c>
      <c r="H611" s="836">
        <v>372750639</v>
      </c>
      <c r="I611" s="836">
        <v>358253512</v>
      </c>
    </row>
    <row r="612" spans="1:9" ht="15">
      <c r="A612" s="1080" t="s">
        <v>1277</v>
      </c>
      <c r="B612" s="413">
        <v>273309264</v>
      </c>
      <c r="C612" s="413">
        <v>273309264</v>
      </c>
      <c r="D612" s="413">
        <v>273309264</v>
      </c>
      <c r="E612" s="413">
        <v>273309264</v>
      </c>
      <c r="F612" s="836">
        <v>273309264</v>
      </c>
      <c r="G612" s="836">
        <v>273309264</v>
      </c>
      <c r="H612" s="836">
        <v>273309264</v>
      </c>
      <c r="I612" s="836">
        <v>273309264</v>
      </c>
    </row>
    <row r="613" spans="1:9" ht="15">
      <c r="A613" s="1080" t="s">
        <v>2423</v>
      </c>
      <c r="B613" s="413">
        <v>896200465</v>
      </c>
      <c r="C613" s="413">
        <v>995873785</v>
      </c>
      <c r="D613" s="413">
        <v>896200465</v>
      </c>
      <c r="E613" s="413">
        <v>995873785</v>
      </c>
      <c r="F613" s="836">
        <v>896200465</v>
      </c>
      <c r="G613" s="836">
        <v>896200465</v>
      </c>
      <c r="H613" s="836">
        <v>995873785</v>
      </c>
      <c r="I613" s="836">
        <v>995873785</v>
      </c>
    </row>
    <row r="614" spans="1:9" ht="15">
      <c r="A614" s="1080" t="s">
        <v>2424</v>
      </c>
      <c r="B614" s="413">
        <v>463353547</v>
      </c>
      <c r="C614" s="413">
        <v>463353547</v>
      </c>
      <c r="D614" s="413">
        <v>463353547</v>
      </c>
      <c r="E614" s="413">
        <v>463353547</v>
      </c>
      <c r="F614" s="836">
        <v>463353547</v>
      </c>
      <c r="G614" s="836">
        <v>463353547</v>
      </c>
      <c r="H614" s="836">
        <v>463353547</v>
      </c>
      <c r="I614" s="836">
        <v>463353547</v>
      </c>
    </row>
    <row r="615" spans="1:9" ht="15">
      <c r="A615" s="1080" t="s">
        <v>1093</v>
      </c>
      <c r="B615" s="413">
        <v>38834570</v>
      </c>
      <c r="C615" s="413">
        <v>38834570</v>
      </c>
      <c r="D615" s="413">
        <v>40601314</v>
      </c>
      <c r="E615" s="413">
        <v>40601314</v>
      </c>
      <c r="F615" s="836">
        <v>40601314</v>
      </c>
      <c r="G615" s="836">
        <v>38834570</v>
      </c>
      <c r="H615" s="836">
        <v>40601314</v>
      </c>
      <c r="I615" s="836">
        <v>38834570</v>
      </c>
    </row>
    <row r="616" spans="1:9" ht="15">
      <c r="A616" s="1080" t="s">
        <v>1513</v>
      </c>
      <c r="B616" s="413">
        <v>1672474278</v>
      </c>
      <c r="C616" s="413">
        <v>1672474278</v>
      </c>
      <c r="D616" s="413">
        <v>1692865592</v>
      </c>
      <c r="E616" s="413">
        <v>1692865592</v>
      </c>
      <c r="F616" s="836">
        <v>1692865592</v>
      </c>
      <c r="G616" s="836">
        <v>1672474278</v>
      </c>
      <c r="H616" s="836">
        <v>1692865592</v>
      </c>
      <c r="I616" s="836">
        <v>1672474278</v>
      </c>
    </row>
    <row r="617" spans="1:9" ht="15">
      <c r="A617" s="1080" t="s">
        <v>1902</v>
      </c>
      <c r="B617" s="413">
        <v>416232474</v>
      </c>
      <c r="C617" s="413">
        <v>416232474</v>
      </c>
      <c r="D617" s="413">
        <v>436466106</v>
      </c>
      <c r="E617" s="413">
        <v>436466106</v>
      </c>
      <c r="F617" s="836">
        <v>436466106</v>
      </c>
      <c r="G617" s="836">
        <v>416232474</v>
      </c>
      <c r="H617" s="836">
        <v>436466106</v>
      </c>
      <c r="I617" s="836">
        <v>416232474</v>
      </c>
    </row>
    <row r="618" spans="1:9" ht="15">
      <c r="A618" s="1080" t="s">
        <v>1903</v>
      </c>
      <c r="B618" s="413">
        <v>329752427</v>
      </c>
      <c r="C618" s="413">
        <v>329752427</v>
      </c>
      <c r="D618" s="413">
        <v>332304397</v>
      </c>
      <c r="E618" s="413">
        <v>332304397</v>
      </c>
      <c r="F618" s="836">
        <v>332304397</v>
      </c>
      <c r="G618" s="836">
        <v>329752427</v>
      </c>
      <c r="H618" s="836">
        <v>332304397</v>
      </c>
      <c r="I618" s="836">
        <v>329752427</v>
      </c>
    </row>
    <row r="619" spans="1:9" ht="15">
      <c r="A619" s="1080" t="s">
        <v>2926</v>
      </c>
      <c r="B619" s="413">
        <v>180664842</v>
      </c>
      <c r="C619" s="413">
        <v>180664842</v>
      </c>
      <c r="D619" s="413">
        <v>181896002</v>
      </c>
      <c r="E619" s="413">
        <v>181896002</v>
      </c>
      <c r="F619" s="836">
        <v>181896002</v>
      </c>
      <c r="G619" s="836">
        <v>180664842</v>
      </c>
      <c r="H619" s="836">
        <v>181896002</v>
      </c>
      <c r="I619" s="836">
        <v>180664842</v>
      </c>
    </row>
    <row r="620" spans="1:9" ht="15">
      <c r="A620" s="1080" t="s">
        <v>2927</v>
      </c>
      <c r="B620" s="413">
        <v>331024627</v>
      </c>
      <c r="C620" s="413">
        <v>331024627</v>
      </c>
      <c r="D620" s="413">
        <v>331903757</v>
      </c>
      <c r="E620" s="413">
        <v>331903757</v>
      </c>
      <c r="F620" s="836">
        <v>331903757</v>
      </c>
      <c r="G620" s="836">
        <v>331024627</v>
      </c>
      <c r="H620" s="836">
        <v>331903757</v>
      </c>
      <c r="I620" s="836">
        <v>331024627</v>
      </c>
    </row>
    <row r="621" spans="1:9" ht="15">
      <c r="A621" s="1080" t="s">
        <v>3056</v>
      </c>
      <c r="B621" s="413">
        <v>125518221</v>
      </c>
      <c r="C621" s="413">
        <v>125518221</v>
      </c>
      <c r="D621" s="413">
        <v>126540691</v>
      </c>
      <c r="E621" s="413">
        <v>126540691</v>
      </c>
      <c r="F621" s="836">
        <v>126540691</v>
      </c>
      <c r="G621" s="836">
        <v>125518221</v>
      </c>
      <c r="H621" s="836">
        <v>126540691</v>
      </c>
      <c r="I621" s="836">
        <v>125518221</v>
      </c>
    </row>
    <row r="622" spans="1:9" ht="15">
      <c r="A622" s="1080" t="s">
        <v>947</v>
      </c>
      <c r="B622" s="413">
        <v>752259425</v>
      </c>
      <c r="C622" s="413">
        <v>752259425</v>
      </c>
      <c r="D622" s="413">
        <v>766659426</v>
      </c>
      <c r="E622" s="413">
        <v>766659426</v>
      </c>
      <c r="F622" s="836">
        <v>751689160</v>
      </c>
      <c r="G622" s="836">
        <v>737289159</v>
      </c>
      <c r="H622" s="836">
        <v>751689160</v>
      </c>
      <c r="I622" s="836">
        <v>737289159</v>
      </c>
    </row>
    <row r="623" spans="1:9" ht="15">
      <c r="A623" s="1080" t="s">
        <v>95</v>
      </c>
      <c r="B623" s="413">
        <v>2342044712</v>
      </c>
      <c r="C623" s="413">
        <v>2342044712</v>
      </c>
      <c r="D623" s="413">
        <v>2348995282</v>
      </c>
      <c r="E623" s="413">
        <v>2348995282</v>
      </c>
      <c r="F623" s="836">
        <v>2342860291</v>
      </c>
      <c r="G623" s="836">
        <v>2335909721</v>
      </c>
      <c r="H623" s="836">
        <v>2342860291</v>
      </c>
      <c r="I623" s="836">
        <v>2335909721</v>
      </c>
    </row>
    <row r="624" spans="1:9" ht="15">
      <c r="A624" s="1080" t="s">
        <v>96</v>
      </c>
      <c r="B624" s="413">
        <v>3175917173</v>
      </c>
      <c r="C624" s="413">
        <v>3175917173</v>
      </c>
      <c r="D624" s="413">
        <v>3219358786</v>
      </c>
      <c r="E624" s="413">
        <v>3219358786</v>
      </c>
      <c r="F624" s="836">
        <v>3162326865</v>
      </c>
      <c r="G624" s="836">
        <v>3118885252</v>
      </c>
      <c r="H624" s="836">
        <v>3162326865</v>
      </c>
      <c r="I624" s="836">
        <v>3118885252</v>
      </c>
    </row>
    <row r="625" spans="1:9" ht="15">
      <c r="A625" s="1080" t="s">
        <v>2607</v>
      </c>
      <c r="B625" s="413">
        <v>9565934080</v>
      </c>
      <c r="C625" s="413">
        <v>9565934080</v>
      </c>
      <c r="D625" s="413">
        <v>9870927472</v>
      </c>
      <c r="E625" s="413">
        <v>9870927472</v>
      </c>
      <c r="F625" s="836">
        <v>9870927472</v>
      </c>
      <c r="G625" s="836">
        <v>9565934080</v>
      </c>
      <c r="H625" s="836">
        <v>9870927472</v>
      </c>
      <c r="I625" s="836">
        <v>9565934080</v>
      </c>
    </row>
    <row r="626" spans="1:9" ht="15">
      <c r="A626" s="1080" t="s">
        <v>2764</v>
      </c>
      <c r="B626" s="413">
        <v>198460210</v>
      </c>
      <c r="C626" s="413">
        <v>198460210</v>
      </c>
      <c r="D626" s="413">
        <v>203563113</v>
      </c>
      <c r="E626" s="413">
        <v>203563113</v>
      </c>
      <c r="F626" s="836">
        <v>203563113</v>
      </c>
      <c r="G626" s="836">
        <v>198460210</v>
      </c>
      <c r="H626" s="836">
        <v>203563113</v>
      </c>
      <c r="I626" s="836">
        <v>198460210</v>
      </c>
    </row>
    <row r="627" spans="1:9" ht="15">
      <c r="A627" s="1080" t="s">
        <v>2765</v>
      </c>
      <c r="B627" s="413">
        <v>364294745</v>
      </c>
      <c r="C627" s="413">
        <v>364294745</v>
      </c>
      <c r="D627" s="413">
        <v>378970400</v>
      </c>
      <c r="E627" s="413">
        <v>378970400</v>
      </c>
      <c r="F627" s="836">
        <v>378970400</v>
      </c>
      <c r="G627" s="836">
        <v>364294745</v>
      </c>
      <c r="H627" s="836">
        <v>378970400</v>
      </c>
      <c r="I627" s="836">
        <v>364294745</v>
      </c>
    </row>
    <row r="628" spans="1:9" ht="15">
      <c r="A628" s="1080" t="s">
        <v>2414</v>
      </c>
      <c r="B628" s="413">
        <v>2268093526</v>
      </c>
      <c r="C628" s="413">
        <v>2268093526</v>
      </c>
      <c r="D628" s="413">
        <v>2329422191</v>
      </c>
      <c r="E628" s="413">
        <v>2329422191</v>
      </c>
      <c r="F628" s="836">
        <v>2329422191</v>
      </c>
      <c r="G628" s="836">
        <v>2268093526</v>
      </c>
      <c r="H628" s="836">
        <v>2329422191</v>
      </c>
      <c r="I628" s="836">
        <v>2268093526</v>
      </c>
    </row>
    <row r="629" spans="1:9" ht="15">
      <c r="A629" s="1080" t="s">
        <v>1603</v>
      </c>
      <c r="B629" s="413">
        <v>3196952424</v>
      </c>
      <c r="C629" s="413">
        <v>3196952424</v>
      </c>
      <c r="D629" s="413">
        <v>3281634926</v>
      </c>
      <c r="E629" s="413">
        <v>3281634926</v>
      </c>
      <c r="F629" s="836">
        <v>3281634926</v>
      </c>
      <c r="G629" s="836">
        <v>3196952424</v>
      </c>
      <c r="H629" s="836">
        <v>3281634926</v>
      </c>
      <c r="I629" s="836">
        <v>3196952424</v>
      </c>
    </row>
    <row r="630" spans="1:9" ht="15">
      <c r="A630" s="1080" t="s">
        <v>2766</v>
      </c>
      <c r="B630" s="413">
        <v>215821928</v>
      </c>
      <c r="C630" s="413">
        <v>215821928</v>
      </c>
      <c r="D630" s="413">
        <v>223380398</v>
      </c>
      <c r="E630" s="413">
        <v>223380398</v>
      </c>
      <c r="F630" s="836">
        <v>223380398</v>
      </c>
      <c r="G630" s="836">
        <v>215821928</v>
      </c>
      <c r="H630" s="836">
        <v>223380398</v>
      </c>
      <c r="I630" s="836">
        <v>215821928</v>
      </c>
    </row>
    <row r="631" spans="1:9" ht="15">
      <c r="A631" s="1080" t="s">
        <v>538</v>
      </c>
      <c r="B631" s="413">
        <v>267657741</v>
      </c>
      <c r="C631" s="413">
        <v>267657741</v>
      </c>
      <c r="D631" s="413">
        <v>277294231</v>
      </c>
      <c r="E631" s="413">
        <v>277294231</v>
      </c>
      <c r="F631" s="836">
        <v>277294231</v>
      </c>
      <c r="G631" s="836">
        <v>267657741</v>
      </c>
      <c r="H631" s="836">
        <v>277294231</v>
      </c>
      <c r="I631" s="836">
        <v>267657741</v>
      </c>
    </row>
    <row r="632" spans="1:9" ht="15">
      <c r="A632" s="1080" t="s">
        <v>775</v>
      </c>
      <c r="B632" s="413">
        <v>223294745</v>
      </c>
      <c r="C632" s="413">
        <v>223294745</v>
      </c>
      <c r="D632" s="413">
        <v>231269951</v>
      </c>
      <c r="E632" s="413">
        <v>231269951</v>
      </c>
      <c r="F632" s="836">
        <v>231269951</v>
      </c>
      <c r="G632" s="836">
        <v>223294745</v>
      </c>
      <c r="H632" s="836">
        <v>231269951</v>
      </c>
      <c r="I632" s="836">
        <v>223294745</v>
      </c>
    </row>
    <row r="633" spans="1:9" ht="15">
      <c r="A633" s="1080" t="s">
        <v>2679</v>
      </c>
      <c r="B633" s="413">
        <v>112355622</v>
      </c>
      <c r="C633" s="413">
        <v>327691112</v>
      </c>
      <c r="D633" s="413">
        <v>114335962</v>
      </c>
      <c r="E633" s="413">
        <v>329671452</v>
      </c>
      <c r="F633" s="836">
        <v>114335962</v>
      </c>
      <c r="G633" s="836">
        <v>112355622</v>
      </c>
      <c r="H633" s="836">
        <v>329671452</v>
      </c>
      <c r="I633" s="836">
        <v>327691112</v>
      </c>
    </row>
    <row r="634" spans="1:9" ht="15">
      <c r="A634" s="1080" t="s">
        <v>2680</v>
      </c>
      <c r="B634" s="413">
        <v>112660437</v>
      </c>
      <c r="C634" s="413">
        <v>112660437</v>
      </c>
      <c r="D634" s="413">
        <v>117931557</v>
      </c>
      <c r="E634" s="413">
        <v>117931557</v>
      </c>
      <c r="F634" s="836">
        <v>117931557</v>
      </c>
      <c r="G634" s="836">
        <v>112660437</v>
      </c>
      <c r="H634" s="836">
        <v>117931557</v>
      </c>
      <c r="I634" s="836">
        <v>112660437</v>
      </c>
    </row>
    <row r="635" spans="1:9" ht="15">
      <c r="A635" s="1080" t="s">
        <v>2681</v>
      </c>
      <c r="B635" s="413">
        <v>60693543</v>
      </c>
      <c r="C635" s="413">
        <v>60693543</v>
      </c>
      <c r="D635" s="413">
        <v>62600783</v>
      </c>
      <c r="E635" s="413">
        <v>62600783</v>
      </c>
      <c r="F635" s="836">
        <v>62600783</v>
      </c>
      <c r="G635" s="836">
        <v>60693543</v>
      </c>
      <c r="H635" s="836">
        <v>62600783</v>
      </c>
      <c r="I635" s="836">
        <v>60693543</v>
      </c>
    </row>
    <row r="636" spans="1:9" ht="15">
      <c r="A636" s="1080" t="s">
        <v>1651</v>
      </c>
      <c r="B636" s="413">
        <v>44956962</v>
      </c>
      <c r="C636" s="413">
        <v>44956962</v>
      </c>
      <c r="D636" s="413">
        <v>46494702</v>
      </c>
      <c r="E636" s="413">
        <v>46494702</v>
      </c>
      <c r="F636" s="836">
        <v>46494702</v>
      </c>
      <c r="G636" s="836">
        <v>44956962</v>
      </c>
      <c r="H636" s="836">
        <v>46494702</v>
      </c>
      <c r="I636" s="836">
        <v>44956962</v>
      </c>
    </row>
    <row r="637" spans="1:9" ht="15">
      <c r="A637" s="1080" t="s">
        <v>2389</v>
      </c>
      <c r="B637" s="413">
        <v>889079838</v>
      </c>
      <c r="C637" s="413">
        <v>889079838</v>
      </c>
      <c r="D637" s="413">
        <v>909122839</v>
      </c>
      <c r="E637" s="413">
        <v>909122839</v>
      </c>
      <c r="F637" s="836">
        <v>909122839</v>
      </c>
      <c r="G637" s="836">
        <v>889079838</v>
      </c>
      <c r="H637" s="836">
        <v>909122839</v>
      </c>
      <c r="I637" s="836">
        <v>889079838</v>
      </c>
    </row>
    <row r="638" spans="1:9" ht="15">
      <c r="A638" s="1080" t="s">
        <v>1652</v>
      </c>
      <c r="B638" s="413">
        <v>327302138</v>
      </c>
      <c r="C638" s="413">
        <v>327302138</v>
      </c>
      <c r="D638" s="413">
        <v>330975983</v>
      </c>
      <c r="E638" s="413">
        <v>330975983</v>
      </c>
      <c r="F638" s="836">
        <v>330975983</v>
      </c>
      <c r="G638" s="836">
        <v>327302138</v>
      </c>
      <c r="H638" s="836">
        <v>330975983</v>
      </c>
      <c r="I638" s="836">
        <v>327302138</v>
      </c>
    </row>
    <row r="639" spans="1:9" ht="15">
      <c r="A639" s="1080" t="s">
        <v>418</v>
      </c>
      <c r="B639" s="413">
        <v>624360944</v>
      </c>
      <c r="C639" s="413">
        <v>624360944</v>
      </c>
      <c r="D639" s="413">
        <v>647269424</v>
      </c>
      <c r="E639" s="413">
        <v>647269424</v>
      </c>
      <c r="F639" s="836">
        <v>636940964</v>
      </c>
      <c r="G639" s="836">
        <v>614032484</v>
      </c>
      <c r="H639" s="836">
        <v>636940964</v>
      </c>
      <c r="I639" s="836">
        <v>614032484</v>
      </c>
    </row>
    <row r="640" spans="1:9" ht="15">
      <c r="A640" s="1080" t="s">
        <v>419</v>
      </c>
      <c r="B640" s="413">
        <v>2217187644</v>
      </c>
      <c r="C640" s="413">
        <v>2274014784</v>
      </c>
      <c r="D640" s="413">
        <v>2225388364</v>
      </c>
      <c r="E640" s="413">
        <v>2282215504</v>
      </c>
      <c r="F640" s="836">
        <v>2220557397</v>
      </c>
      <c r="G640" s="836">
        <v>2212356677</v>
      </c>
      <c r="H640" s="836">
        <v>2277384537</v>
      </c>
      <c r="I640" s="836">
        <v>2269183817</v>
      </c>
    </row>
    <row r="641" spans="1:9" ht="15">
      <c r="A641" s="1080" t="s">
        <v>420</v>
      </c>
      <c r="B641" s="413">
        <v>1770376019</v>
      </c>
      <c r="C641" s="413">
        <v>1778185849</v>
      </c>
      <c r="D641" s="413">
        <v>1771517589</v>
      </c>
      <c r="E641" s="413">
        <v>1779327419</v>
      </c>
      <c r="F641" s="836">
        <v>1770407889</v>
      </c>
      <c r="G641" s="836">
        <v>1769266319</v>
      </c>
      <c r="H641" s="836">
        <v>1778217719</v>
      </c>
      <c r="I641" s="836">
        <v>1777076149</v>
      </c>
    </row>
    <row r="642" spans="1:9" ht="15">
      <c r="A642" s="1080" t="s">
        <v>1856</v>
      </c>
      <c r="B642" s="413">
        <v>339498720</v>
      </c>
      <c r="C642" s="413">
        <v>339498720</v>
      </c>
      <c r="D642" s="413">
        <v>350736010</v>
      </c>
      <c r="E642" s="413">
        <v>350736010</v>
      </c>
      <c r="F642" s="836">
        <v>350736010</v>
      </c>
      <c r="G642" s="836">
        <v>339498720</v>
      </c>
      <c r="H642" s="836">
        <v>350736010</v>
      </c>
      <c r="I642" s="836">
        <v>339498720</v>
      </c>
    </row>
    <row r="643" spans="1:9" ht="15">
      <c r="A643" s="1080" t="s">
        <v>1857</v>
      </c>
      <c r="B643" s="413">
        <v>1134294633</v>
      </c>
      <c r="C643" s="413">
        <v>1134294633</v>
      </c>
      <c r="D643" s="413">
        <v>1168013483</v>
      </c>
      <c r="E643" s="413">
        <v>1168013483</v>
      </c>
      <c r="F643" s="836">
        <v>1168013483</v>
      </c>
      <c r="G643" s="836">
        <v>1134294633</v>
      </c>
      <c r="H643" s="836">
        <v>1168013483</v>
      </c>
      <c r="I643" s="836">
        <v>1134294633</v>
      </c>
    </row>
    <row r="644" spans="1:9" ht="15">
      <c r="A644" s="1080" t="s">
        <v>201</v>
      </c>
      <c r="B644" s="413">
        <v>1024358211</v>
      </c>
      <c r="C644" s="413">
        <v>1024358211</v>
      </c>
      <c r="D644" s="413">
        <v>1032468402</v>
      </c>
      <c r="E644" s="413">
        <v>1032468402</v>
      </c>
      <c r="F644" s="836">
        <v>1023868209</v>
      </c>
      <c r="G644" s="836">
        <v>1015758018</v>
      </c>
      <c r="H644" s="836">
        <v>1023868209</v>
      </c>
      <c r="I644" s="836">
        <v>1015758018</v>
      </c>
    </row>
    <row r="645" spans="1:9" ht="15">
      <c r="A645" s="1080" t="s">
        <v>2438</v>
      </c>
      <c r="B645" s="413">
        <v>266241604</v>
      </c>
      <c r="C645" s="413">
        <v>266241604</v>
      </c>
      <c r="D645" s="413">
        <v>268961326</v>
      </c>
      <c r="E645" s="413">
        <v>268961326</v>
      </c>
      <c r="F645" s="836">
        <v>263882780</v>
      </c>
      <c r="G645" s="836">
        <v>261163058</v>
      </c>
      <c r="H645" s="836">
        <v>263882780</v>
      </c>
      <c r="I645" s="836">
        <v>261163058</v>
      </c>
    </row>
    <row r="646" spans="1:9" ht="15">
      <c r="A646" s="1080" t="s">
        <v>2439</v>
      </c>
      <c r="B646" s="413">
        <v>1289944854</v>
      </c>
      <c r="C646" s="413">
        <v>1289944854</v>
      </c>
      <c r="D646" s="413">
        <v>1303041058</v>
      </c>
      <c r="E646" s="413">
        <v>1303041058</v>
      </c>
      <c r="F646" s="836">
        <v>1287637802</v>
      </c>
      <c r="G646" s="836">
        <v>1274541598</v>
      </c>
      <c r="H646" s="836">
        <v>1287637802</v>
      </c>
      <c r="I646" s="836">
        <v>1274541598</v>
      </c>
    </row>
    <row r="647" spans="1:9" ht="15">
      <c r="A647" s="1080" t="s">
        <v>2440</v>
      </c>
      <c r="B647" s="413">
        <v>713412955</v>
      </c>
      <c r="C647" s="413">
        <v>713412955</v>
      </c>
      <c r="D647" s="413">
        <v>726362753</v>
      </c>
      <c r="E647" s="413">
        <v>726362753</v>
      </c>
      <c r="F647" s="836">
        <v>709301165</v>
      </c>
      <c r="G647" s="836">
        <v>696351367</v>
      </c>
      <c r="H647" s="836">
        <v>709301165</v>
      </c>
      <c r="I647" s="836">
        <v>696351367</v>
      </c>
    </row>
    <row r="648" spans="1:9" ht="15">
      <c r="A648" s="1080" t="s">
        <v>2057</v>
      </c>
      <c r="B648" s="413">
        <v>2134067484</v>
      </c>
      <c r="C648" s="413">
        <v>2134067484</v>
      </c>
      <c r="D648" s="413">
        <v>2205455652</v>
      </c>
      <c r="E648" s="413">
        <v>2205455652</v>
      </c>
      <c r="F648" s="836">
        <v>2205455652</v>
      </c>
      <c r="G648" s="836">
        <v>2134067484</v>
      </c>
      <c r="H648" s="836">
        <v>2205455652</v>
      </c>
      <c r="I648" s="836">
        <v>2134067484</v>
      </c>
    </row>
    <row r="649" spans="1:9" ht="15">
      <c r="A649" s="1080" t="s">
        <v>992</v>
      </c>
      <c r="B649" s="413">
        <v>463263655</v>
      </c>
      <c r="C649" s="413">
        <v>463263655</v>
      </c>
      <c r="D649" s="413">
        <v>477704415</v>
      </c>
      <c r="E649" s="413">
        <v>477704415</v>
      </c>
      <c r="F649" s="836">
        <v>477704415</v>
      </c>
      <c r="G649" s="836">
        <v>463263655</v>
      </c>
      <c r="H649" s="836">
        <v>477704415</v>
      </c>
      <c r="I649" s="836">
        <v>463263655</v>
      </c>
    </row>
    <row r="650" spans="1:9" ht="15">
      <c r="A650" s="1080" t="s">
        <v>1583</v>
      </c>
      <c r="B650" s="413">
        <v>63665374</v>
      </c>
      <c r="C650" s="413">
        <v>63665374</v>
      </c>
      <c r="D650" s="413">
        <v>65785354</v>
      </c>
      <c r="E650" s="413">
        <v>65785354</v>
      </c>
      <c r="F650" s="836">
        <v>65785354</v>
      </c>
      <c r="G650" s="836">
        <v>63665374</v>
      </c>
      <c r="H650" s="836">
        <v>65785354</v>
      </c>
      <c r="I650" s="836">
        <v>63665374</v>
      </c>
    </row>
    <row r="651" spans="1:9" ht="15">
      <c r="A651" s="1080" t="s">
        <v>2265</v>
      </c>
      <c r="B651" s="413">
        <v>27109119</v>
      </c>
      <c r="C651" s="413">
        <v>27109119</v>
      </c>
      <c r="D651" s="413">
        <v>27745729</v>
      </c>
      <c r="E651" s="413">
        <v>27745729</v>
      </c>
      <c r="F651" s="836">
        <v>27745729</v>
      </c>
      <c r="G651" s="836">
        <v>27109119</v>
      </c>
      <c r="H651" s="836">
        <v>27745729</v>
      </c>
      <c r="I651" s="836">
        <v>27109119</v>
      </c>
    </row>
    <row r="652" spans="1:9" ht="15">
      <c r="A652" s="1080" t="s">
        <v>1094</v>
      </c>
      <c r="B652" s="413">
        <v>153957802</v>
      </c>
      <c r="C652" s="413">
        <v>153957802</v>
      </c>
      <c r="D652" s="413">
        <v>160941621</v>
      </c>
      <c r="E652" s="413">
        <v>160941621</v>
      </c>
      <c r="F652" s="836">
        <v>160941621</v>
      </c>
      <c r="G652" s="836">
        <v>153957802</v>
      </c>
      <c r="H652" s="836">
        <v>160941621</v>
      </c>
      <c r="I652" s="836">
        <v>153957802</v>
      </c>
    </row>
    <row r="653" spans="1:9" ht="15">
      <c r="A653" s="1080" t="s">
        <v>1012</v>
      </c>
      <c r="B653" s="413">
        <v>4318731738</v>
      </c>
      <c r="C653" s="413">
        <v>4318731738</v>
      </c>
      <c r="D653" s="413">
        <v>4424661021</v>
      </c>
      <c r="E653" s="413">
        <v>4424661021</v>
      </c>
      <c r="F653" s="836">
        <v>4424661021</v>
      </c>
      <c r="G653" s="836">
        <v>4318731738</v>
      </c>
      <c r="H653" s="836">
        <v>4424661021</v>
      </c>
      <c r="I653" s="836">
        <v>4318731738</v>
      </c>
    </row>
    <row r="654" spans="1:9" ht="15">
      <c r="A654" s="1080" t="s">
        <v>800</v>
      </c>
      <c r="B654" s="413">
        <v>688930970</v>
      </c>
      <c r="C654" s="413">
        <v>688930970</v>
      </c>
      <c r="D654" s="413">
        <v>709413148</v>
      </c>
      <c r="E654" s="413">
        <v>709413148</v>
      </c>
      <c r="F654" s="836">
        <v>709413148</v>
      </c>
      <c r="G654" s="836">
        <v>688930970</v>
      </c>
      <c r="H654" s="836">
        <v>709413148</v>
      </c>
      <c r="I654" s="836">
        <v>688930970</v>
      </c>
    </row>
    <row r="655" spans="1:9" ht="15">
      <c r="A655" s="1080" t="s">
        <v>1095</v>
      </c>
      <c r="B655" s="413">
        <v>438310815</v>
      </c>
      <c r="C655" s="413">
        <v>438310815</v>
      </c>
      <c r="D655" s="413">
        <v>458379098</v>
      </c>
      <c r="E655" s="413">
        <v>458379098</v>
      </c>
      <c r="F655" s="836">
        <v>458379098</v>
      </c>
      <c r="G655" s="836">
        <v>438310815</v>
      </c>
      <c r="H655" s="836">
        <v>458379098</v>
      </c>
      <c r="I655" s="836">
        <v>438310815</v>
      </c>
    </row>
    <row r="656" spans="1:9" ht="15">
      <c r="A656" s="1080" t="s">
        <v>2096</v>
      </c>
      <c r="B656" s="413">
        <v>112258462</v>
      </c>
      <c r="C656" s="413">
        <v>112258462</v>
      </c>
      <c r="D656" s="413">
        <v>118425820</v>
      </c>
      <c r="E656" s="413">
        <v>118425820</v>
      </c>
      <c r="F656" s="836">
        <v>118425820</v>
      </c>
      <c r="G656" s="836">
        <v>112258462</v>
      </c>
      <c r="H656" s="836">
        <v>118425820</v>
      </c>
      <c r="I656" s="836">
        <v>112258462</v>
      </c>
    </row>
    <row r="657" spans="1:9" ht="15">
      <c r="A657" s="1080" t="s">
        <v>1735</v>
      </c>
      <c r="B657" s="413">
        <v>348852128</v>
      </c>
      <c r="C657" s="413">
        <v>348852128</v>
      </c>
      <c r="D657" s="413">
        <v>361132462</v>
      </c>
      <c r="E657" s="413">
        <v>361132462</v>
      </c>
      <c r="F657" s="836">
        <v>361132462</v>
      </c>
      <c r="G657" s="836">
        <v>348852128</v>
      </c>
      <c r="H657" s="836">
        <v>361132462</v>
      </c>
      <c r="I657" s="836">
        <v>348852128</v>
      </c>
    </row>
    <row r="658" spans="1:9" ht="15">
      <c r="A658" s="1080" t="s">
        <v>134</v>
      </c>
      <c r="B658" s="413">
        <v>155244817</v>
      </c>
      <c r="C658" s="413">
        <v>155244817</v>
      </c>
      <c r="D658" s="413">
        <v>164771521</v>
      </c>
      <c r="E658" s="413">
        <v>164771521</v>
      </c>
      <c r="F658" s="836">
        <v>164771521</v>
      </c>
      <c r="G658" s="836">
        <v>155244817</v>
      </c>
      <c r="H658" s="836">
        <v>164771521</v>
      </c>
      <c r="I658" s="836">
        <v>155244817</v>
      </c>
    </row>
    <row r="659" spans="1:9" ht="15">
      <c r="A659" s="1080" t="s">
        <v>2384</v>
      </c>
      <c r="B659" s="413">
        <v>692444550</v>
      </c>
      <c r="C659" s="413">
        <v>692444550</v>
      </c>
      <c r="D659" s="413">
        <v>697723963</v>
      </c>
      <c r="E659" s="413">
        <v>697723963</v>
      </c>
      <c r="F659" s="836">
        <v>695020102</v>
      </c>
      <c r="G659" s="836">
        <v>689740689</v>
      </c>
      <c r="H659" s="836">
        <v>695020102</v>
      </c>
      <c r="I659" s="836">
        <v>689740689</v>
      </c>
    </row>
    <row r="660" spans="1:9" ht="15">
      <c r="A660" s="1080" t="s">
        <v>373</v>
      </c>
      <c r="B660" s="413">
        <v>4317987992</v>
      </c>
      <c r="C660" s="413">
        <v>4317987992</v>
      </c>
      <c r="D660" s="413">
        <v>4459571186</v>
      </c>
      <c r="E660" s="413">
        <v>4459571186</v>
      </c>
      <c r="F660" s="836">
        <v>4459571186</v>
      </c>
      <c r="G660" s="836">
        <v>4317987992</v>
      </c>
      <c r="H660" s="836">
        <v>4459571186</v>
      </c>
      <c r="I660" s="836">
        <v>4317987992</v>
      </c>
    </row>
    <row r="661" spans="1:9" ht="15">
      <c r="A661" s="1080" t="s">
        <v>376</v>
      </c>
      <c r="B661" s="413">
        <v>385585886</v>
      </c>
      <c r="C661" s="413">
        <v>385585886</v>
      </c>
      <c r="D661" s="413">
        <v>405131978</v>
      </c>
      <c r="E661" s="413">
        <v>405131978</v>
      </c>
      <c r="F661" s="836">
        <v>405131978</v>
      </c>
      <c r="G661" s="836">
        <v>385585886</v>
      </c>
      <c r="H661" s="836">
        <v>405131978</v>
      </c>
      <c r="I661" s="836">
        <v>385585886</v>
      </c>
    </row>
    <row r="662" spans="1:9" ht="15">
      <c r="A662" s="1080" t="s">
        <v>2819</v>
      </c>
      <c r="B662" s="413">
        <v>113672373</v>
      </c>
      <c r="C662" s="413">
        <v>113672373</v>
      </c>
      <c r="D662" s="413">
        <v>121170174</v>
      </c>
      <c r="E662" s="413">
        <v>121170174</v>
      </c>
      <c r="F662" s="836">
        <v>121170174</v>
      </c>
      <c r="G662" s="836">
        <v>113672373</v>
      </c>
      <c r="H662" s="836">
        <v>121170174</v>
      </c>
      <c r="I662" s="836">
        <v>113672373</v>
      </c>
    </row>
    <row r="663" spans="1:9" ht="15">
      <c r="A663" s="1080" t="s">
        <v>2820</v>
      </c>
      <c r="B663" s="413">
        <v>153074088</v>
      </c>
      <c r="C663" s="413">
        <v>153074088</v>
      </c>
      <c r="D663" s="413">
        <v>162108893</v>
      </c>
      <c r="E663" s="413">
        <v>162108893</v>
      </c>
      <c r="F663" s="836">
        <v>162108893</v>
      </c>
      <c r="G663" s="836">
        <v>153074088</v>
      </c>
      <c r="H663" s="836">
        <v>162108893</v>
      </c>
      <c r="I663" s="836">
        <v>153074088</v>
      </c>
    </row>
    <row r="664" spans="1:9" ht="15">
      <c r="A664" s="1080" t="s">
        <v>85</v>
      </c>
      <c r="B664" s="413">
        <v>648988118</v>
      </c>
      <c r="C664" s="413">
        <v>648988118</v>
      </c>
      <c r="D664" s="413">
        <v>679516196</v>
      </c>
      <c r="E664" s="413">
        <v>679516196</v>
      </c>
      <c r="F664" s="836">
        <v>679516196</v>
      </c>
      <c r="G664" s="836">
        <v>648988118</v>
      </c>
      <c r="H664" s="836">
        <v>679516196</v>
      </c>
      <c r="I664" s="836">
        <v>648988118</v>
      </c>
    </row>
    <row r="665" spans="1:9" ht="15">
      <c r="A665" s="1080" t="s">
        <v>2638</v>
      </c>
      <c r="B665" s="413">
        <v>576959855</v>
      </c>
      <c r="C665" s="413">
        <v>576959855</v>
      </c>
      <c r="D665" s="413">
        <v>601424092</v>
      </c>
      <c r="E665" s="413">
        <v>601424092</v>
      </c>
      <c r="F665" s="836">
        <v>601424092</v>
      </c>
      <c r="G665" s="836">
        <v>576959855</v>
      </c>
      <c r="H665" s="836">
        <v>601424092</v>
      </c>
      <c r="I665" s="836">
        <v>576959855</v>
      </c>
    </row>
    <row r="666" spans="1:9" ht="15">
      <c r="A666" s="1080" t="s">
        <v>190</v>
      </c>
      <c r="B666" s="413">
        <v>541017901</v>
      </c>
      <c r="C666" s="413">
        <v>541017901</v>
      </c>
      <c r="D666" s="413">
        <v>571418909</v>
      </c>
      <c r="E666" s="413">
        <v>571418909</v>
      </c>
      <c r="F666" s="836">
        <v>571418909</v>
      </c>
      <c r="G666" s="836">
        <v>541017901</v>
      </c>
      <c r="H666" s="836">
        <v>571418909</v>
      </c>
      <c r="I666" s="836">
        <v>541017901</v>
      </c>
    </row>
    <row r="667" spans="1:9" ht="15">
      <c r="A667" s="1080" t="s">
        <v>991</v>
      </c>
      <c r="B667" s="413">
        <v>139168112</v>
      </c>
      <c r="C667" s="413">
        <v>139168112</v>
      </c>
      <c r="D667" s="413">
        <v>144782113</v>
      </c>
      <c r="E667" s="413">
        <v>144782113</v>
      </c>
      <c r="F667" s="836">
        <v>144782113</v>
      </c>
      <c r="G667" s="836">
        <v>139168112</v>
      </c>
      <c r="H667" s="836">
        <v>144782113</v>
      </c>
      <c r="I667" s="836">
        <v>139168112</v>
      </c>
    </row>
    <row r="668" spans="1:9" ht="15">
      <c r="A668" s="1080" t="s">
        <v>2098</v>
      </c>
      <c r="B668" s="413">
        <v>60565969</v>
      </c>
      <c r="C668" s="413">
        <v>60565969</v>
      </c>
      <c r="D668" s="413">
        <v>63573782</v>
      </c>
      <c r="E668" s="413">
        <v>63573782</v>
      </c>
      <c r="F668" s="836">
        <v>63573782</v>
      </c>
      <c r="G668" s="836">
        <v>60565969</v>
      </c>
      <c r="H668" s="836">
        <v>63573782</v>
      </c>
      <c r="I668" s="836">
        <v>60565969</v>
      </c>
    </row>
    <row r="669" spans="1:9" ht="15">
      <c r="A669" s="1080" t="s">
        <v>287</v>
      </c>
      <c r="B669" s="413">
        <v>37276871</v>
      </c>
      <c r="C669" s="413">
        <v>37276871</v>
      </c>
      <c r="D669" s="413">
        <v>40442870</v>
      </c>
      <c r="E669" s="413">
        <v>40442870</v>
      </c>
      <c r="F669" s="836">
        <v>40442870</v>
      </c>
      <c r="G669" s="836">
        <v>37276871</v>
      </c>
      <c r="H669" s="836">
        <v>40442870</v>
      </c>
      <c r="I669" s="836">
        <v>37276871</v>
      </c>
    </row>
    <row r="670" spans="1:9" ht="15">
      <c r="A670" s="1080" t="s">
        <v>1782</v>
      </c>
      <c r="B670" s="413">
        <v>3215100618</v>
      </c>
      <c r="C670" s="413">
        <v>3215100618</v>
      </c>
      <c r="D670" s="413">
        <v>3216672231</v>
      </c>
      <c r="E670" s="413">
        <v>3216672231</v>
      </c>
      <c r="F670" s="836">
        <v>3215157166</v>
      </c>
      <c r="G670" s="836">
        <v>3213585553</v>
      </c>
      <c r="H670" s="836">
        <v>3215157166</v>
      </c>
      <c r="I670" s="836">
        <v>3213585553</v>
      </c>
    </row>
    <row r="671" spans="1:9" ht="15">
      <c r="A671" s="1080" t="s">
        <v>1296</v>
      </c>
      <c r="B671" s="413">
        <v>403575591</v>
      </c>
      <c r="C671" s="413">
        <v>403575591</v>
      </c>
      <c r="D671" s="413">
        <v>422315606</v>
      </c>
      <c r="E671" s="413">
        <v>422315606</v>
      </c>
      <c r="F671" s="836">
        <v>422315606</v>
      </c>
      <c r="G671" s="836">
        <v>403575591</v>
      </c>
      <c r="H671" s="836">
        <v>422315606</v>
      </c>
      <c r="I671" s="836">
        <v>403575591</v>
      </c>
    </row>
    <row r="672" spans="1:9" ht="15">
      <c r="A672" s="1080" t="s">
        <v>2266</v>
      </c>
      <c r="B672" s="413">
        <v>116401154</v>
      </c>
      <c r="C672" s="413">
        <v>116401154</v>
      </c>
      <c r="D672" s="413">
        <v>119476103</v>
      </c>
      <c r="E672" s="413">
        <v>119476103</v>
      </c>
      <c r="F672" s="836">
        <v>119476103</v>
      </c>
      <c r="G672" s="836">
        <v>116401154</v>
      </c>
      <c r="H672" s="836">
        <v>119476103</v>
      </c>
      <c r="I672" s="836">
        <v>116401154</v>
      </c>
    </row>
    <row r="673" spans="1:9" ht="15">
      <c r="A673" s="1080" t="s">
        <v>1036</v>
      </c>
      <c r="B673" s="413">
        <v>177200115</v>
      </c>
      <c r="C673" s="413">
        <v>177200115</v>
      </c>
      <c r="D673" s="413">
        <v>187652317</v>
      </c>
      <c r="E673" s="413">
        <v>187652317</v>
      </c>
      <c r="F673" s="836">
        <v>187652317</v>
      </c>
      <c r="G673" s="836">
        <v>177200115</v>
      </c>
      <c r="H673" s="836">
        <v>187652317</v>
      </c>
      <c r="I673" s="836">
        <v>177200115</v>
      </c>
    </row>
    <row r="674" spans="1:9" ht="15">
      <c r="A674" s="1080" t="s">
        <v>199</v>
      </c>
      <c r="B674" s="413">
        <v>575965061</v>
      </c>
      <c r="C674" s="413">
        <v>575965061</v>
      </c>
      <c r="D674" s="413">
        <v>597257060</v>
      </c>
      <c r="E674" s="413">
        <v>597257060</v>
      </c>
      <c r="F674" s="836">
        <v>597257060</v>
      </c>
      <c r="G674" s="836">
        <v>575965061</v>
      </c>
      <c r="H674" s="836">
        <v>597257060</v>
      </c>
      <c r="I674" s="836">
        <v>575965061</v>
      </c>
    </row>
    <row r="675" spans="1:9" ht="15">
      <c r="A675" s="1080" t="s">
        <v>2896</v>
      </c>
      <c r="B675" s="413">
        <v>1398768146</v>
      </c>
      <c r="C675" s="413">
        <v>1398768146</v>
      </c>
      <c r="D675" s="413">
        <v>1446170498</v>
      </c>
      <c r="E675" s="413">
        <v>1446170498</v>
      </c>
      <c r="F675" s="836">
        <v>1446170498</v>
      </c>
      <c r="G675" s="836">
        <v>1398768146</v>
      </c>
      <c r="H675" s="836">
        <v>1446170498</v>
      </c>
      <c r="I675" s="836">
        <v>1398768146</v>
      </c>
    </row>
    <row r="676" spans="1:9" ht="15">
      <c r="A676" s="1080" t="s">
        <v>2978</v>
      </c>
      <c r="B676" s="413">
        <v>160484815</v>
      </c>
      <c r="C676" s="413">
        <v>160484815</v>
      </c>
      <c r="D676" s="413">
        <v>165192635</v>
      </c>
      <c r="E676" s="413">
        <v>165192635</v>
      </c>
      <c r="F676" s="836">
        <v>165192635</v>
      </c>
      <c r="G676" s="836">
        <v>160484815</v>
      </c>
      <c r="H676" s="836">
        <v>165192635</v>
      </c>
      <c r="I676" s="836">
        <v>160484815</v>
      </c>
    </row>
    <row r="677" spans="1:9" ht="15">
      <c r="A677" s="1080" t="s">
        <v>2899</v>
      </c>
      <c r="B677" s="413">
        <v>20183889779</v>
      </c>
      <c r="C677" s="413">
        <v>20183889779</v>
      </c>
      <c r="D677" s="413">
        <v>20445633181</v>
      </c>
      <c r="E677" s="413">
        <v>20445633181</v>
      </c>
      <c r="F677" s="836">
        <v>20154288840</v>
      </c>
      <c r="G677" s="836">
        <v>19892545438</v>
      </c>
      <c r="H677" s="836">
        <v>20154288840</v>
      </c>
      <c r="I677" s="836">
        <v>19892545438</v>
      </c>
    </row>
    <row r="678" spans="1:9" ht="15">
      <c r="A678" s="1080" t="s">
        <v>1475</v>
      </c>
      <c r="B678" s="413">
        <v>1447016130</v>
      </c>
      <c r="C678" s="413">
        <v>1447016130</v>
      </c>
      <c r="D678" s="413">
        <v>1460776122</v>
      </c>
      <c r="E678" s="413">
        <v>1460776122</v>
      </c>
      <c r="F678" s="836">
        <v>1428051684</v>
      </c>
      <c r="G678" s="836">
        <v>1414291692</v>
      </c>
      <c r="H678" s="836">
        <v>1428051684</v>
      </c>
      <c r="I678" s="836">
        <v>1414291692</v>
      </c>
    </row>
    <row r="679" spans="1:9" ht="15">
      <c r="A679" s="1080" t="s">
        <v>2156</v>
      </c>
      <c r="B679" s="413">
        <v>311608957</v>
      </c>
      <c r="C679" s="413">
        <v>311608957</v>
      </c>
      <c r="D679" s="413">
        <v>326739300</v>
      </c>
      <c r="E679" s="413">
        <v>326739300</v>
      </c>
      <c r="F679" s="836">
        <v>326739300</v>
      </c>
      <c r="G679" s="836">
        <v>311608957</v>
      </c>
      <c r="H679" s="836">
        <v>326739300</v>
      </c>
      <c r="I679" s="836">
        <v>311608957</v>
      </c>
    </row>
    <row r="680" spans="1:9" ht="15">
      <c r="A680" s="1080" t="s">
        <v>1536</v>
      </c>
      <c r="B680" s="413">
        <v>76216711</v>
      </c>
      <c r="C680" s="413">
        <v>76216711</v>
      </c>
      <c r="D680" s="413">
        <v>78278127</v>
      </c>
      <c r="E680" s="413">
        <v>78278127</v>
      </c>
      <c r="F680" s="836">
        <v>78278127</v>
      </c>
      <c r="G680" s="836">
        <v>76216711</v>
      </c>
      <c r="H680" s="836">
        <v>78278127</v>
      </c>
      <c r="I680" s="836">
        <v>76216711</v>
      </c>
    </row>
    <row r="681" spans="1:9" ht="15">
      <c r="A681" s="1080" t="s">
        <v>2900</v>
      </c>
      <c r="B681" s="413">
        <v>89881092</v>
      </c>
      <c r="C681" s="413">
        <v>89881092</v>
      </c>
      <c r="D681" s="413">
        <v>93491333</v>
      </c>
      <c r="E681" s="413">
        <v>93491333</v>
      </c>
      <c r="F681" s="836">
        <v>93491333</v>
      </c>
      <c r="G681" s="836">
        <v>89881092</v>
      </c>
      <c r="H681" s="836">
        <v>93491333</v>
      </c>
      <c r="I681" s="836">
        <v>89881092</v>
      </c>
    </row>
    <row r="682" spans="1:9" ht="15">
      <c r="A682" s="1080" t="s">
        <v>2513</v>
      </c>
      <c r="B682" s="413">
        <v>877276031</v>
      </c>
      <c r="C682" s="413">
        <v>877276031</v>
      </c>
      <c r="D682" s="413">
        <v>894309798</v>
      </c>
      <c r="E682" s="413">
        <v>894309798</v>
      </c>
      <c r="F682" s="836">
        <v>894309798</v>
      </c>
      <c r="G682" s="836">
        <v>877276031</v>
      </c>
      <c r="H682" s="836">
        <v>894309798</v>
      </c>
      <c r="I682" s="836">
        <v>877276031</v>
      </c>
    </row>
    <row r="683" spans="1:9" ht="15">
      <c r="A683" s="1080" t="s">
        <v>1046</v>
      </c>
      <c r="B683" s="413">
        <v>128068625</v>
      </c>
      <c r="C683" s="413">
        <v>128068625</v>
      </c>
      <c r="D683" s="413">
        <v>134635640</v>
      </c>
      <c r="E683" s="413">
        <v>134635640</v>
      </c>
      <c r="F683" s="836">
        <v>134635640</v>
      </c>
      <c r="G683" s="836">
        <v>128068625</v>
      </c>
      <c r="H683" s="836">
        <v>134635640</v>
      </c>
      <c r="I683" s="836">
        <v>128068625</v>
      </c>
    </row>
    <row r="684" spans="1:9" ht="15">
      <c r="A684" s="1080" t="s">
        <v>409</v>
      </c>
      <c r="B684" s="413">
        <v>28427701</v>
      </c>
      <c r="C684" s="413">
        <v>28427701</v>
      </c>
      <c r="D684" s="413">
        <v>29637041</v>
      </c>
      <c r="E684" s="413">
        <v>29637041</v>
      </c>
      <c r="F684" s="836">
        <v>29637041</v>
      </c>
      <c r="G684" s="836">
        <v>28427701</v>
      </c>
      <c r="H684" s="836">
        <v>29637041</v>
      </c>
      <c r="I684" s="836">
        <v>28427701</v>
      </c>
    </row>
    <row r="685" spans="1:9" ht="15">
      <c r="A685" s="1080" t="s">
        <v>1436</v>
      </c>
      <c r="B685" s="413">
        <v>223030541</v>
      </c>
      <c r="C685" s="413">
        <v>413529841</v>
      </c>
      <c r="D685" s="413">
        <v>231546261</v>
      </c>
      <c r="E685" s="413">
        <v>422045561</v>
      </c>
      <c r="F685" s="836">
        <v>231546261</v>
      </c>
      <c r="G685" s="836">
        <v>223030541</v>
      </c>
      <c r="H685" s="836">
        <v>422045561</v>
      </c>
      <c r="I685" s="836">
        <v>413529841</v>
      </c>
    </row>
    <row r="686" spans="1:9" ht="15">
      <c r="A686" s="1080" t="s">
        <v>3070</v>
      </c>
      <c r="B686" s="413">
        <v>74773227</v>
      </c>
      <c r="C686" s="413">
        <v>74773227</v>
      </c>
      <c r="D686" s="413">
        <v>77012817</v>
      </c>
      <c r="E686" s="413">
        <v>77012817</v>
      </c>
      <c r="F686" s="836">
        <v>77012817</v>
      </c>
      <c r="G686" s="836">
        <v>74773227</v>
      </c>
      <c r="H686" s="836">
        <v>77012817</v>
      </c>
      <c r="I686" s="836">
        <v>74773227</v>
      </c>
    </row>
    <row r="687" spans="1:9" ht="15">
      <c r="A687" s="1080" t="s">
        <v>2267</v>
      </c>
      <c r="B687" s="413">
        <v>21401951</v>
      </c>
      <c r="C687" s="413">
        <v>21401951</v>
      </c>
      <c r="D687" s="413">
        <v>22365351</v>
      </c>
      <c r="E687" s="413">
        <v>22365351</v>
      </c>
      <c r="F687" s="836">
        <v>22365351</v>
      </c>
      <c r="G687" s="836">
        <v>21401951</v>
      </c>
      <c r="H687" s="836">
        <v>22365351</v>
      </c>
      <c r="I687" s="836">
        <v>21401951</v>
      </c>
    </row>
    <row r="688" spans="1:9" ht="15">
      <c r="A688" s="1080" t="s">
        <v>3072</v>
      </c>
      <c r="B688" s="413">
        <v>416509150</v>
      </c>
      <c r="C688" s="413">
        <v>416509150</v>
      </c>
      <c r="D688" s="413">
        <v>426413746</v>
      </c>
      <c r="E688" s="413">
        <v>426413746</v>
      </c>
      <c r="F688" s="836">
        <v>426413746</v>
      </c>
      <c r="G688" s="836">
        <v>416509150</v>
      </c>
      <c r="H688" s="836">
        <v>426413746</v>
      </c>
      <c r="I688" s="836">
        <v>416509150</v>
      </c>
    </row>
    <row r="689" spans="1:9" ht="15">
      <c r="A689" s="1080" t="s">
        <v>3073</v>
      </c>
      <c r="B689" s="413">
        <v>86439005</v>
      </c>
      <c r="C689" s="413">
        <v>259323075</v>
      </c>
      <c r="D689" s="413">
        <v>88207578</v>
      </c>
      <c r="E689" s="413">
        <v>261091648</v>
      </c>
      <c r="F689" s="836">
        <v>88207578</v>
      </c>
      <c r="G689" s="836">
        <v>86439005</v>
      </c>
      <c r="H689" s="836">
        <v>261091648</v>
      </c>
      <c r="I689" s="836">
        <v>259323075</v>
      </c>
    </row>
    <row r="690" spans="1:9" ht="15">
      <c r="A690" s="1080" t="s">
        <v>1676</v>
      </c>
      <c r="B690" s="413">
        <v>418842974</v>
      </c>
      <c r="C690" s="413">
        <v>418842974</v>
      </c>
      <c r="D690" s="413">
        <v>420834232</v>
      </c>
      <c r="E690" s="413">
        <v>420834232</v>
      </c>
      <c r="F690" s="836">
        <v>420834232</v>
      </c>
      <c r="G690" s="836">
        <v>418842974</v>
      </c>
      <c r="H690" s="836">
        <v>420834232</v>
      </c>
      <c r="I690" s="836">
        <v>418842974</v>
      </c>
    </row>
    <row r="691" spans="1:9" ht="15">
      <c r="A691" s="1080" t="s">
        <v>1494</v>
      </c>
      <c r="B691" s="413">
        <v>1029898741</v>
      </c>
      <c r="C691" s="413">
        <v>1029898741</v>
      </c>
      <c r="D691" s="413">
        <v>1053834624</v>
      </c>
      <c r="E691" s="413">
        <v>1053834624</v>
      </c>
      <c r="F691" s="836">
        <v>1053834624</v>
      </c>
      <c r="G691" s="836">
        <v>1029898741</v>
      </c>
      <c r="H691" s="836">
        <v>1053834624</v>
      </c>
      <c r="I691" s="836">
        <v>1029898741</v>
      </c>
    </row>
    <row r="692" spans="1:9" ht="15">
      <c r="A692" s="1080" t="s">
        <v>1612</v>
      </c>
      <c r="B692" s="413">
        <v>235236088</v>
      </c>
      <c r="C692" s="413">
        <v>235236088</v>
      </c>
      <c r="D692" s="413">
        <v>245146922</v>
      </c>
      <c r="E692" s="413">
        <v>245146922</v>
      </c>
      <c r="F692" s="836">
        <v>245146922</v>
      </c>
      <c r="G692" s="836">
        <v>235236088</v>
      </c>
      <c r="H692" s="836">
        <v>245146922</v>
      </c>
      <c r="I692" s="836">
        <v>235236088</v>
      </c>
    </row>
    <row r="693" spans="1:9" ht="15">
      <c r="A693" s="1080" t="s">
        <v>910</v>
      </c>
      <c r="B693" s="413">
        <v>109526353</v>
      </c>
      <c r="C693" s="413">
        <v>109526353</v>
      </c>
      <c r="D693" s="413">
        <v>111035574</v>
      </c>
      <c r="E693" s="413">
        <v>111035574</v>
      </c>
      <c r="F693" s="836">
        <v>111035574</v>
      </c>
      <c r="G693" s="836">
        <v>109526353</v>
      </c>
      <c r="H693" s="836">
        <v>111035574</v>
      </c>
      <c r="I693" s="836">
        <v>109526353</v>
      </c>
    </row>
    <row r="694" spans="1:9" ht="15">
      <c r="A694" s="1080" t="s">
        <v>1685</v>
      </c>
      <c r="B694" s="413">
        <v>34591025</v>
      </c>
      <c r="C694" s="413">
        <v>34591025</v>
      </c>
      <c r="D694" s="413">
        <v>36021435</v>
      </c>
      <c r="E694" s="413">
        <v>36021435</v>
      </c>
      <c r="F694" s="836">
        <v>36021435</v>
      </c>
      <c r="G694" s="836">
        <v>34591025</v>
      </c>
      <c r="H694" s="836">
        <v>36021435</v>
      </c>
      <c r="I694" s="836">
        <v>34591025</v>
      </c>
    </row>
    <row r="695" spans="1:9" ht="15">
      <c r="A695" s="1080" t="s">
        <v>1686</v>
      </c>
      <c r="B695" s="413">
        <v>124739756</v>
      </c>
      <c r="C695" s="413">
        <v>124739756</v>
      </c>
      <c r="D695" s="413">
        <v>126275545</v>
      </c>
      <c r="E695" s="413">
        <v>126275545</v>
      </c>
      <c r="F695" s="836">
        <v>126275545</v>
      </c>
      <c r="G695" s="836">
        <v>124739756</v>
      </c>
      <c r="H695" s="836">
        <v>126275545</v>
      </c>
      <c r="I695" s="836">
        <v>124739756</v>
      </c>
    </row>
    <row r="696" spans="1:9" ht="15">
      <c r="A696" s="1080" t="s">
        <v>1445</v>
      </c>
      <c r="B696" s="413">
        <v>334210385</v>
      </c>
      <c r="C696" s="413">
        <v>334210385</v>
      </c>
      <c r="D696" s="413">
        <v>336854526</v>
      </c>
      <c r="E696" s="413">
        <v>336854526</v>
      </c>
      <c r="F696" s="836">
        <v>336854526</v>
      </c>
      <c r="G696" s="836">
        <v>334210385</v>
      </c>
      <c r="H696" s="836">
        <v>336854526</v>
      </c>
      <c r="I696" s="836">
        <v>334210385</v>
      </c>
    </row>
    <row r="697" spans="1:9" ht="15">
      <c r="A697" s="1080" t="s">
        <v>1724</v>
      </c>
      <c r="B697" s="413">
        <v>240715057</v>
      </c>
      <c r="C697" s="413">
        <v>240715057</v>
      </c>
      <c r="D697" s="413">
        <v>244536838</v>
      </c>
      <c r="E697" s="413">
        <v>244536838</v>
      </c>
      <c r="F697" s="836">
        <v>244536838</v>
      </c>
      <c r="G697" s="836">
        <v>240715057</v>
      </c>
      <c r="H697" s="836">
        <v>244536838</v>
      </c>
      <c r="I697" s="836">
        <v>240715057</v>
      </c>
    </row>
    <row r="698" spans="1:9" ht="15">
      <c r="A698" s="1080" t="s">
        <v>2639</v>
      </c>
      <c r="B698" s="413">
        <v>29588708484</v>
      </c>
      <c r="C698" s="413">
        <v>29588708484</v>
      </c>
      <c r="D698" s="413">
        <v>30177229205</v>
      </c>
      <c r="E698" s="413">
        <v>30177229205</v>
      </c>
      <c r="F698" s="836">
        <v>30177229205</v>
      </c>
      <c r="G698" s="836">
        <v>29588708484</v>
      </c>
      <c r="H698" s="836">
        <v>30177229205</v>
      </c>
      <c r="I698" s="836">
        <v>29588708484</v>
      </c>
    </row>
    <row r="699" spans="1:9" ht="15">
      <c r="A699" s="1080" t="s">
        <v>1725</v>
      </c>
      <c r="B699" s="413">
        <v>4799082666</v>
      </c>
      <c r="C699" s="413">
        <v>4799082666</v>
      </c>
      <c r="D699" s="413">
        <v>4915178178</v>
      </c>
      <c r="E699" s="413">
        <v>4915178178</v>
      </c>
      <c r="F699" s="836">
        <v>4915178178</v>
      </c>
      <c r="G699" s="836">
        <v>4799082666</v>
      </c>
      <c r="H699" s="836">
        <v>4915178178</v>
      </c>
      <c r="I699" s="836">
        <v>4799082666</v>
      </c>
    </row>
    <row r="700" spans="1:9" ht="15">
      <c r="A700" s="1080" t="s">
        <v>1349</v>
      </c>
      <c r="B700" s="413">
        <v>2715069900</v>
      </c>
      <c r="C700" s="413">
        <v>2715069900</v>
      </c>
      <c r="D700" s="413">
        <v>2799400237</v>
      </c>
      <c r="E700" s="413">
        <v>2799400237</v>
      </c>
      <c r="F700" s="836">
        <v>2799400237</v>
      </c>
      <c r="G700" s="836">
        <v>2715069900</v>
      </c>
      <c r="H700" s="836">
        <v>2799400237</v>
      </c>
      <c r="I700" s="836">
        <v>2715069900</v>
      </c>
    </row>
    <row r="701" spans="1:9" ht="15">
      <c r="A701" s="1080" t="s">
        <v>378</v>
      </c>
      <c r="B701" s="413">
        <v>4929001695</v>
      </c>
      <c r="C701" s="413">
        <v>4929001695</v>
      </c>
      <c r="D701" s="413">
        <v>5056909451</v>
      </c>
      <c r="E701" s="413">
        <v>5056909451</v>
      </c>
      <c r="F701" s="836">
        <v>5056909451</v>
      </c>
      <c r="G701" s="836">
        <v>4929001695</v>
      </c>
      <c r="H701" s="836">
        <v>5056909451</v>
      </c>
      <c r="I701" s="836">
        <v>4929001695</v>
      </c>
    </row>
    <row r="702" spans="1:9" ht="15">
      <c r="A702" s="1080" t="s">
        <v>1701</v>
      </c>
      <c r="B702" s="413">
        <v>534699540</v>
      </c>
      <c r="C702" s="413">
        <v>534699540</v>
      </c>
      <c r="D702" s="413">
        <v>558686384</v>
      </c>
      <c r="E702" s="413">
        <v>558686384</v>
      </c>
      <c r="F702" s="836">
        <v>558686384</v>
      </c>
      <c r="G702" s="836">
        <v>534699540</v>
      </c>
      <c r="H702" s="836">
        <v>558686384</v>
      </c>
      <c r="I702" s="836">
        <v>534699540</v>
      </c>
    </row>
    <row r="703" spans="1:9" ht="15">
      <c r="A703" s="1080" t="s">
        <v>801</v>
      </c>
      <c r="B703" s="413">
        <v>3118904825</v>
      </c>
      <c r="C703" s="413">
        <v>3118904825</v>
      </c>
      <c r="D703" s="413">
        <v>3211333514</v>
      </c>
      <c r="E703" s="413">
        <v>3211333514</v>
      </c>
      <c r="F703" s="836">
        <v>3211333514</v>
      </c>
      <c r="G703" s="836">
        <v>3118904825</v>
      </c>
      <c r="H703" s="836">
        <v>3211333514</v>
      </c>
      <c r="I703" s="836">
        <v>3118904825</v>
      </c>
    </row>
    <row r="704" spans="1:9" ht="15">
      <c r="A704" s="1080" t="s">
        <v>2134</v>
      </c>
      <c r="B704" s="413">
        <v>2021335970</v>
      </c>
      <c r="C704" s="413">
        <v>2021335970</v>
      </c>
      <c r="D704" s="413">
        <v>2052249199</v>
      </c>
      <c r="E704" s="413">
        <v>2052249199</v>
      </c>
      <c r="F704" s="836">
        <v>2041951375</v>
      </c>
      <c r="G704" s="836">
        <v>2011038146</v>
      </c>
      <c r="H704" s="836">
        <v>2041951375</v>
      </c>
      <c r="I704" s="836">
        <v>2011038146</v>
      </c>
    </row>
    <row r="705" spans="1:9" ht="15">
      <c r="A705" s="1080" t="s">
        <v>2135</v>
      </c>
      <c r="B705" s="413">
        <v>343442851</v>
      </c>
      <c r="C705" s="413">
        <v>350063851</v>
      </c>
      <c r="D705" s="413">
        <v>347367279</v>
      </c>
      <c r="E705" s="413">
        <v>353988279</v>
      </c>
      <c r="F705" s="836">
        <v>347367279</v>
      </c>
      <c r="G705" s="836">
        <v>343442851</v>
      </c>
      <c r="H705" s="836">
        <v>353988279</v>
      </c>
      <c r="I705" s="836">
        <v>350063851</v>
      </c>
    </row>
    <row r="706" spans="1:9" ht="15">
      <c r="A706" s="1080" t="s">
        <v>2136</v>
      </c>
      <c r="B706" s="413">
        <v>830702498</v>
      </c>
      <c r="C706" s="413">
        <v>830702498</v>
      </c>
      <c r="D706" s="413">
        <v>850887928</v>
      </c>
      <c r="E706" s="413">
        <v>850887928</v>
      </c>
      <c r="F706" s="836">
        <v>850887928</v>
      </c>
      <c r="G706" s="836">
        <v>830702498</v>
      </c>
      <c r="H706" s="836">
        <v>850887928</v>
      </c>
      <c r="I706" s="836">
        <v>830702498</v>
      </c>
    </row>
    <row r="707" spans="1:9" ht="15">
      <c r="A707" s="1080" t="s">
        <v>2137</v>
      </c>
      <c r="B707" s="413">
        <v>274389502</v>
      </c>
      <c r="C707" s="413">
        <v>274389502</v>
      </c>
      <c r="D707" s="413">
        <v>288966096</v>
      </c>
      <c r="E707" s="413">
        <v>288966096</v>
      </c>
      <c r="F707" s="836">
        <v>288966096</v>
      </c>
      <c r="G707" s="836">
        <v>274389502</v>
      </c>
      <c r="H707" s="836">
        <v>288966096</v>
      </c>
      <c r="I707" s="836">
        <v>274389502</v>
      </c>
    </row>
    <row r="708" spans="1:9" ht="15">
      <c r="A708" s="1080" t="s">
        <v>2685</v>
      </c>
      <c r="B708" s="413">
        <v>114334570</v>
      </c>
      <c r="C708" s="413">
        <v>114334570</v>
      </c>
      <c r="D708" s="413">
        <v>117082140</v>
      </c>
      <c r="E708" s="413">
        <v>117082140</v>
      </c>
      <c r="F708" s="836">
        <v>117082140</v>
      </c>
      <c r="G708" s="836">
        <v>114334570</v>
      </c>
      <c r="H708" s="836">
        <v>117082140</v>
      </c>
      <c r="I708" s="836">
        <v>114334570</v>
      </c>
    </row>
    <row r="709" spans="1:9" ht="15">
      <c r="A709" s="1080" t="s">
        <v>802</v>
      </c>
      <c r="B709" s="413">
        <v>160688238</v>
      </c>
      <c r="C709" s="413">
        <v>160688238</v>
      </c>
      <c r="D709" s="413">
        <v>164355958</v>
      </c>
      <c r="E709" s="413">
        <v>164355958</v>
      </c>
      <c r="F709" s="836">
        <v>161267213</v>
      </c>
      <c r="G709" s="836">
        <v>157599493</v>
      </c>
      <c r="H709" s="836">
        <v>161267213</v>
      </c>
      <c r="I709" s="836">
        <v>157599493</v>
      </c>
    </row>
    <row r="710" spans="1:9" ht="15">
      <c r="A710" s="1080" t="s">
        <v>570</v>
      </c>
      <c r="B710" s="413">
        <v>238020094</v>
      </c>
      <c r="C710" s="413">
        <v>530351464</v>
      </c>
      <c r="D710" s="413">
        <v>245151574</v>
      </c>
      <c r="E710" s="413">
        <v>537482944</v>
      </c>
      <c r="F710" s="836">
        <v>239089194</v>
      </c>
      <c r="G710" s="836">
        <v>231957714</v>
      </c>
      <c r="H710" s="836">
        <v>531420564</v>
      </c>
      <c r="I710" s="836">
        <v>524289084</v>
      </c>
    </row>
    <row r="711" spans="1:9" ht="15">
      <c r="A711" s="1080" t="s">
        <v>803</v>
      </c>
      <c r="B711" s="413">
        <v>147292363</v>
      </c>
      <c r="C711" s="413">
        <v>147292363</v>
      </c>
      <c r="D711" s="413">
        <v>153190853</v>
      </c>
      <c r="E711" s="413">
        <v>153190853</v>
      </c>
      <c r="F711" s="836">
        <v>147138643</v>
      </c>
      <c r="G711" s="836">
        <v>141240153</v>
      </c>
      <c r="H711" s="836">
        <v>147138643</v>
      </c>
      <c r="I711" s="836">
        <v>141240153</v>
      </c>
    </row>
    <row r="712" spans="1:9" ht="15">
      <c r="A712" s="1080" t="s">
        <v>571</v>
      </c>
      <c r="B712" s="413">
        <v>1922513627</v>
      </c>
      <c r="C712" s="413">
        <v>1922513627</v>
      </c>
      <c r="D712" s="413">
        <v>1991729667</v>
      </c>
      <c r="E712" s="413">
        <v>1991729667</v>
      </c>
      <c r="F712" s="836">
        <v>1895920062</v>
      </c>
      <c r="G712" s="836">
        <v>1826704022</v>
      </c>
      <c r="H712" s="836">
        <v>1895920062</v>
      </c>
      <c r="I712" s="836">
        <v>1826704022</v>
      </c>
    </row>
    <row r="713" spans="1:9" ht="15">
      <c r="A713" s="1080" t="s">
        <v>410</v>
      </c>
      <c r="B713" s="413">
        <v>176628001</v>
      </c>
      <c r="C713" s="413">
        <v>176628001</v>
      </c>
      <c r="D713" s="413">
        <v>182900341</v>
      </c>
      <c r="E713" s="413">
        <v>182900341</v>
      </c>
      <c r="F713" s="836">
        <v>176569151</v>
      </c>
      <c r="G713" s="836">
        <v>170296811</v>
      </c>
      <c r="H713" s="836">
        <v>176569151</v>
      </c>
      <c r="I713" s="836">
        <v>170296811</v>
      </c>
    </row>
    <row r="714" spans="1:9" ht="15">
      <c r="A714" s="1080" t="s">
        <v>572</v>
      </c>
      <c r="B714" s="413">
        <v>120431969</v>
      </c>
      <c r="C714" s="413">
        <v>120431969</v>
      </c>
      <c r="D714" s="413">
        <v>127785239</v>
      </c>
      <c r="E714" s="413">
        <v>127785239</v>
      </c>
      <c r="F714" s="836">
        <v>118758569</v>
      </c>
      <c r="G714" s="836">
        <v>111405299</v>
      </c>
      <c r="H714" s="836">
        <v>118758569</v>
      </c>
      <c r="I714" s="836">
        <v>111405299</v>
      </c>
    </row>
    <row r="715" spans="1:9" ht="15">
      <c r="A715" s="1080" t="s">
        <v>573</v>
      </c>
      <c r="B715" s="413">
        <v>72971336</v>
      </c>
      <c r="C715" s="413">
        <v>72971336</v>
      </c>
      <c r="D715" s="413">
        <v>76060886</v>
      </c>
      <c r="E715" s="413">
        <v>76060886</v>
      </c>
      <c r="F715" s="836">
        <v>72812266</v>
      </c>
      <c r="G715" s="836">
        <v>69722716</v>
      </c>
      <c r="H715" s="836">
        <v>72812266</v>
      </c>
      <c r="I715" s="836">
        <v>69722716</v>
      </c>
    </row>
    <row r="716" spans="1:9" ht="15">
      <c r="A716" s="1080" t="s">
        <v>877</v>
      </c>
      <c r="B716" s="413">
        <v>46376686</v>
      </c>
      <c r="C716" s="413">
        <v>46376686</v>
      </c>
      <c r="D716" s="413">
        <v>49903866</v>
      </c>
      <c r="E716" s="413">
        <v>49903866</v>
      </c>
      <c r="F716" s="836">
        <v>46755826</v>
      </c>
      <c r="G716" s="836">
        <v>43228646</v>
      </c>
      <c r="H716" s="836">
        <v>46755826</v>
      </c>
      <c r="I716" s="836">
        <v>43228646</v>
      </c>
    </row>
    <row r="717" spans="1:9" ht="15">
      <c r="A717" s="1080" t="s">
        <v>574</v>
      </c>
      <c r="B717" s="413">
        <v>156162388</v>
      </c>
      <c r="C717" s="413">
        <v>156162388</v>
      </c>
      <c r="D717" s="413">
        <v>161432778</v>
      </c>
      <c r="E717" s="413">
        <v>161432778</v>
      </c>
      <c r="F717" s="836">
        <v>153614328</v>
      </c>
      <c r="G717" s="836">
        <v>148343938</v>
      </c>
      <c r="H717" s="836">
        <v>153614328</v>
      </c>
      <c r="I717" s="836">
        <v>148343938</v>
      </c>
    </row>
    <row r="718" spans="1:9" ht="15">
      <c r="A718" s="1080" t="s">
        <v>575</v>
      </c>
      <c r="B718" s="413">
        <v>157430246</v>
      </c>
      <c r="C718" s="413">
        <v>157430246</v>
      </c>
      <c r="D718" s="413">
        <v>166822970</v>
      </c>
      <c r="E718" s="413">
        <v>166822970</v>
      </c>
      <c r="F718" s="836">
        <v>166822970</v>
      </c>
      <c r="G718" s="836">
        <v>157430246</v>
      </c>
      <c r="H718" s="836">
        <v>166822970</v>
      </c>
      <c r="I718" s="836">
        <v>157430246</v>
      </c>
    </row>
    <row r="719" spans="1:9" ht="15">
      <c r="A719" s="1080" t="s">
        <v>2754</v>
      </c>
      <c r="B719" s="413">
        <v>1430735664</v>
      </c>
      <c r="C719" s="413">
        <v>1430735664</v>
      </c>
      <c r="D719" s="413">
        <v>1481554293</v>
      </c>
      <c r="E719" s="413">
        <v>1481554293</v>
      </c>
      <c r="F719" s="836">
        <v>1481554293</v>
      </c>
      <c r="G719" s="836">
        <v>1430735664</v>
      </c>
      <c r="H719" s="836">
        <v>1481554293</v>
      </c>
      <c r="I719" s="836">
        <v>1430735664</v>
      </c>
    </row>
    <row r="720" spans="1:9" ht="15">
      <c r="A720" s="1080" t="s">
        <v>2761</v>
      </c>
      <c r="B720" s="413">
        <v>143784868</v>
      </c>
      <c r="C720" s="413">
        <v>143784868</v>
      </c>
      <c r="D720" s="413">
        <v>149786875</v>
      </c>
      <c r="E720" s="413">
        <v>149786875</v>
      </c>
      <c r="F720" s="836">
        <v>149786875</v>
      </c>
      <c r="G720" s="836">
        <v>143784868</v>
      </c>
      <c r="H720" s="836">
        <v>149786875</v>
      </c>
      <c r="I720" s="836">
        <v>143784868</v>
      </c>
    </row>
    <row r="721" spans="1:9" ht="15">
      <c r="A721" s="1080" t="s">
        <v>20</v>
      </c>
      <c r="B721" s="413">
        <v>92536288</v>
      </c>
      <c r="C721" s="413">
        <v>92536288</v>
      </c>
      <c r="D721" s="413">
        <v>96069110</v>
      </c>
      <c r="E721" s="413">
        <v>96069110</v>
      </c>
      <c r="F721" s="836">
        <v>96069110</v>
      </c>
      <c r="G721" s="836">
        <v>92536288</v>
      </c>
      <c r="H721" s="836">
        <v>96069110</v>
      </c>
      <c r="I721" s="836">
        <v>92536288</v>
      </c>
    </row>
    <row r="722" spans="1:9" ht="15">
      <c r="A722" s="1080" t="s">
        <v>804</v>
      </c>
      <c r="B722" s="413">
        <v>261281759</v>
      </c>
      <c r="C722" s="413">
        <v>261281759</v>
      </c>
      <c r="D722" s="413">
        <v>268709629</v>
      </c>
      <c r="E722" s="413">
        <v>268709629</v>
      </c>
      <c r="F722" s="836">
        <v>268709629</v>
      </c>
      <c r="G722" s="836">
        <v>261281759</v>
      </c>
      <c r="H722" s="836">
        <v>268709629</v>
      </c>
      <c r="I722" s="836">
        <v>261281759</v>
      </c>
    </row>
    <row r="723" spans="1:9" ht="15">
      <c r="A723" s="1080" t="s">
        <v>21</v>
      </c>
      <c r="B723" s="413">
        <v>400937151</v>
      </c>
      <c r="C723" s="413">
        <v>400937151</v>
      </c>
      <c r="D723" s="413">
        <v>409082867</v>
      </c>
      <c r="E723" s="413">
        <v>409082867</v>
      </c>
      <c r="F723" s="836">
        <v>409082867</v>
      </c>
      <c r="G723" s="836">
        <v>400937151</v>
      </c>
      <c r="H723" s="836">
        <v>409082867</v>
      </c>
      <c r="I723" s="836">
        <v>400937151</v>
      </c>
    </row>
    <row r="724" spans="1:9" ht="15">
      <c r="A724" s="1080" t="s">
        <v>2383</v>
      </c>
      <c r="B724" s="413">
        <v>110427909</v>
      </c>
      <c r="C724" s="413">
        <v>110427909</v>
      </c>
      <c r="D724" s="413">
        <v>115115310</v>
      </c>
      <c r="E724" s="413">
        <v>115115310</v>
      </c>
      <c r="F724" s="836">
        <v>115115310</v>
      </c>
      <c r="G724" s="836">
        <v>110427909</v>
      </c>
      <c r="H724" s="836">
        <v>115115310</v>
      </c>
      <c r="I724" s="836">
        <v>110427909</v>
      </c>
    </row>
    <row r="725" spans="1:9" ht="15">
      <c r="A725" s="1080" t="s">
        <v>22</v>
      </c>
      <c r="B725" s="413">
        <v>215674546</v>
      </c>
      <c r="C725" s="413">
        <v>215674546</v>
      </c>
      <c r="D725" s="413">
        <v>221363348</v>
      </c>
      <c r="E725" s="413">
        <v>221363348</v>
      </c>
      <c r="F725" s="836">
        <v>215740844</v>
      </c>
      <c r="G725" s="836">
        <v>210052042</v>
      </c>
      <c r="H725" s="836">
        <v>215740844</v>
      </c>
      <c r="I725" s="836">
        <v>210052042</v>
      </c>
    </row>
    <row r="726" spans="1:9" ht="15">
      <c r="A726" s="1080" t="s">
        <v>1159</v>
      </c>
      <c r="B726" s="413">
        <v>256755982</v>
      </c>
      <c r="C726" s="413">
        <v>256755982</v>
      </c>
      <c r="D726" s="413">
        <v>270618201</v>
      </c>
      <c r="E726" s="413">
        <v>270618201</v>
      </c>
      <c r="F726" s="836">
        <v>270618201</v>
      </c>
      <c r="G726" s="836">
        <v>256755982</v>
      </c>
      <c r="H726" s="836">
        <v>270618201</v>
      </c>
      <c r="I726" s="836">
        <v>256755982</v>
      </c>
    </row>
    <row r="727" spans="1:9" ht="15">
      <c r="A727" s="1080" t="s">
        <v>2268</v>
      </c>
      <c r="B727" s="413">
        <v>564933231</v>
      </c>
      <c r="C727" s="413">
        <v>564933231</v>
      </c>
      <c r="D727" s="413">
        <v>573345314</v>
      </c>
      <c r="E727" s="413">
        <v>573345314</v>
      </c>
      <c r="F727" s="836">
        <v>566078975</v>
      </c>
      <c r="G727" s="836">
        <v>557666892</v>
      </c>
      <c r="H727" s="836">
        <v>566078975</v>
      </c>
      <c r="I727" s="836">
        <v>557666892</v>
      </c>
    </row>
    <row r="728" spans="1:9" ht="15">
      <c r="A728" s="1080" t="s">
        <v>1736</v>
      </c>
      <c r="B728" s="413">
        <v>141252540</v>
      </c>
      <c r="C728" s="413">
        <v>406989610</v>
      </c>
      <c r="D728" s="413">
        <v>145052810</v>
      </c>
      <c r="E728" s="413">
        <v>410789880</v>
      </c>
      <c r="F728" s="836">
        <v>145052810</v>
      </c>
      <c r="G728" s="836">
        <v>141252540</v>
      </c>
      <c r="H728" s="836">
        <v>410789880</v>
      </c>
      <c r="I728" s="836">
        <v>406989610</v>
      </c>
    </row>
    <row r="729" spans="1:9" ht="15">
      <c r="A729" s="1080" t="s">
        <v>2145</v>
      </c>
      <c r="B729" s="413">
        <v>791980583</v>
      </c>
      <c r="C729" s="413">
        <v>791980583</v>
      </c>
      <c r="D729" s="413">
        <v>815188203</v>
      </c>
      <c r="E729" s="413">
        <v>815188203</v>
      </c>
      <c r="F729" s="836">
        <v>815188203</v>
      </c>
      <c r="G729" s="836">
        <v>791980583</v>
      </c>
      <c r="H729" s="836">
        <v>815188203</v>
      </c>
      <c r="I729" s="836">
        <v>791980583</v>
      </c>
    </row>
    <row r="730" spans="1:9" ht="15">
      <c r="A730" s="1080" t="s">
        <v>2637</v>
      </c>
      <c r="B730" s="413">
        <v>274343830</v>
      </c>
      <c r="C730" s="413">
        <v>908147591</v>
      </c>
      <c r="D730" s="413">
        <v>276543997</v>
      </c>
      <c r="E730" s="413">
        <v>910347758</v>
      </c>
      <c r="F730" s="836">
        <v>276543997</v>
      </c>
      <c r="G730" s="836">
        <v>274343830</v>
      </c>
      <c r="H730" s="836">
        <v>910347758</v>
      </c>
      <c r="I730" s="836">
        <v>908147591</v>
      </c>
    </row>
    <row r="731" spans="1:9" ht="15">
      <c r="A731" s="1080" t="s">
        <v>464</v>
      </c>
      <c r="B731" s="413">
        <v>174658032</v>
      </c>
      <c r="C731" s="413">
        <v>443041482</v>
      </c>
      <c r="D731" s="413">
        <v>175587842</v>
      </c>
      <c r="E731" s="413">
        <v>443971292</v>
      </c>
      <c r="F731" s="836">
        <v>175587842</v>
      </c>
      <c r="G731" s="836">
        <v>174658032</v>
      </c>
      <c r="H731" s="836">
        <v>443971292</v>
      </c>
      <c r="I731" s="836">
        <v>443041482</v>
      </c>
    </row>
    <row r="732" spans="1:9" ht="15">
      <c r="A732" s="1080" t="s">
        <v>2858</v>
      </c>
      <c r="B732" s="413">
        <v>151321133</v>
      </c>
      <c r="C732" s="413">
        <v>151321133</v>
      </c>
      <c r="D732" s="413">
        <v>153870178</v>
      </c>
      <c r="E732" s="413">
        <v>153870178</v>
      </c>
      <c r="F732" s="836">
        <v>153870178</v>
      </c>
      <c r="G732" s="836">
        <v>151321133</v>
      </c>
      <c r="H732" s="836">
        <v>153870178</v>
      </c>
      <c r="I732" s="836">
        <v>151321133</v>
      </c>
    </row>
    <row r="733" spans="1:9" ht="15">
      <c r="A733" s="1080" t="s">
        <v>1337</v>
      </c>
      <c r="B733" s="413">
        <v>509430606</v>
      </c>
      <c r="C733" s="413">
        <v>509430606</v>
      </c>
      <c r="D733" s="413">
        <v>521644037</v>
      </c>
      <c r="E733" s="413">
        <v>521644037</v>
      </c>
      <c r="F733" s="836">
        <v>510275560</v>
      </c>
      <c r="G733" s="836">
        <v>498062129</v>
      </c>
      <c r="H733" s="836">
        <v>510275560</v>
      </c>
      <c r="I733" s="836">
        <v>498062129</v>
      </c>
    </row>
    <row r="734" spans="1:9" ht="15">
      <c r="A734" s="1080" t="s">
        <v>1338</v>
      </c>
      <c r="B734" s="413">
        <v>1468935440</v>
      </c>
      <c r="C734" s="413">
        <v>1468935440</v>
      </c>
      <c r="D734" s="413">
        <v>1515026341</v>
      </c>
      <c r="E734" s="413">
        <v>1515026341</v>
      </c>
      <c r="F734" s="836">
        <v>1515026341</v>
      </c>
      <c r="G734" s="836">
        <v>1468935440</v>
      </c>
      <c r="H734" s="836">
        <v>1515026341</v>
      </c>
      <c r="I734" s="836">
        <v>1468935440</v>
      </c>
    </row>
    <row r="735" spans="1:9" ht="15">
      <c r="A735" s="1080" t="s">
        <v>2753</v>
      </c>
      <c r="B735" s="413">
        <v>13482483489</v>
      </c>
      <c r="C735" s="413">
        <v>13482483489</v>
      </c>
      <c r="D735" s="413">
        <v>13928264473</v>
      </c>
      <c r="E735" s="413">
        <v>13928264473</v>
      </c>
      <c r="F735" s="836">
        <v>13928264473</v>
      </c>
      <c r="G735" s="836">
        <v>13482483489</v>
      </c>
      <c r="H735" s="836">
        <v>13928264473</v>
      </c>
      <c r="I735" s="836">
        <v>13482483489</v>
      </c>
    </row>
    <row r="736" spans="1:9" ht="15">
      <c r="A736" s="1080" t="s">
        <v>619</v>
      </c>
      <c r="B736" s="413">
        <v>93399750</v>
      </c>
      <c r="C736" s="413">
        <v>93399750</v>
      </c>
      <c r="D736" s="413">
        <v>95445360</v>
      </c>
      <c r="E736" s="413">
        <v>95445360</v>
      </c>
      <c r="F736" s="836">
        <v>95445360</v>
      </c>
      <c r="G736" s="836">
        <v>93399750</v>
      </c>
      <c r="H736" s="836">
        <v>95445360</v>
      </c>
      <c r="I736" s="836">
        <v>93399750</v>
      </c>
    </row>
    <row r="737" spans="1:9" ht="15">
      <c r="A737" s="1080" t="s">
        <v>632</v>
      </c>
      <c r="B737" s="413">
        <v>322203270</v>
      </c>
      <c r="C737" s="413">
        <v>322203270</v>
      </c>
      <c r="D737" s="413">
        <v>327297441</v>
      </c>
      <c r="E737" s="413">
        <v>327297441</v>
      </c>
      <c r="F737" s="836">
        <v>327297441</v>
      </c>
      <c r="G737" s="836">
        <v>322203270</v>
      </c>
      <c r="H737" s="836">
        <v>327297441</v>
      </c>
      <c r="I737" s="836">
        <v>322203270</v>
      </c>
    </row>
    <row r="738" spans="1:9" ht="15">
      <c r="A738" s="1080" t="s">
        <v>633</v>
      </c>
      <c r="B738" s="413">
        <v>2141102281</v>
      </c>
      <c r="C738" s="413">
        <v>2141102281</v>
      </c>
      <c r="D738" s="413">
        <v>2151375805</v>
      </c>
      <c r="E738" s="413">
        <v>2151375805</v>
      </c>
      <c r="F738" s="836">
        <v>2151375805</v>
      </c>
      <c r="G738" s="836">
        <v>2141102281</v>
      </c>
      <c r="H738" s="836">
        <v>2151375805</v>
      </c>
      <c r="I738" s="836">
        <v>2141102281</v>
      </c>
    </row>
    <row r="739" spans="1:9" ht="15">
      <c r="A739" s="1080" t="s">
        <v>191</v>
      </c>
      <c r="B739" s="413">
        <v>534001569</v>
      </c>
      <c r="C739" s="413">
        <v>534001569</v>
      </c>
      <c r="D739" s="413">
        <v>559374137</v>
      </c>
      <c r="E739" s="413">
        <v>559374137</v>
      </c>
      <c r="F739" s="836">
        <v>559374137</v>
      </c>
      <c r="G739" s="836">
        <v>534001569</v>
      </c>
      <c r="H739" s="836">
        <v>559374137</v>
      </c>
      <c r="I739" s="836">
        <v>534001569</v>
      </c>
    </row>
    <row r="740" spans="1:9" ht="15">
      <c r="A740" s="1080" t="s">
        <v>869</v>
      </c>
      <c r="B740" s="413">
        <v>2443069115</v>
      </c>
      <c r="C740" s="413">
        <v>2443069115</v>
      </c>
      <c r="D740" s="413">
        <v>2466411927</v>
      </c>
      <c r="E740" s="413">
        <v>2466411927</v>
      </c>
      <c r="F740" s="836">
        <v>2435607986</v>
      </c>
      <c r="G740" s="836">
        <v>2412265174</v>
      </c>
      <c r="H740" s="836">
        <v>2435607986</v>
      </c>
      <c r="I740" s="836">
        <v>2412265174</v>
      </c>
    </row>
    <row r="741" spans="1:9" ht="15">
      <c r="A741" s="1080" t="s">
        <v>1087</v>
      </c>
      <c r="B741" s="413">
        <v>326269403</v>
      </c>
      <c r="C741" s="413">
        <v>326269403</v>
      </c>
      <c r="D741" s="413">
        <v>334366491</v>
      </c>
      <c r="E741" s="413">
        <v>334366491</v>
      </c>
      <c r="F741" s="836">
        <v>334366491</v>
      </c>
      <c r="G741" s="836">
        <v>326269403</v>
      </c>
      <c r="H741" s="836">
        <v>334366491</v>
      </c>
      <c r="I741" s="836">
        <v>326269403</v>
      </c>
    </row>
    <row r="742" spans="1:9" ht="15">
      <c r="A742" s="1080" t="s">
        <v>2452</v>
      </c>
      <c r="B742" s="413">
        <v>2724423957</v>
      </c>
      <c r="C742" s="413">
        <v>2724423957</v>
      </c>
      <c r="D742" s="413">
        <v>2787966937</v>
      </c>
      <c r="E742" s="413">
        <v>2787966937</v>
      </c>
      <c r="F742" s="836">
        <v>2787966937</v>
      </c>
      <c r="G742" s="836">
        <v>2724423957</v>
      </c>
      <c r="H742" s="836">
        <v>2787966937</v>
      </c>
      <c r="I742" s="836">
        <v>2724423957</v>
      </c>
    </row>
    <row r="743" spans="1:9" ht="15">
      <c r="A743" s="1080" t="s">
        <v>2453</v>
      </c>
      <c r="B743" s="413">
        <v>758103500</v>
      </c>
      <c r="C743" s="413">
        <v>758103500</v>
      </c>
      <c r="D743" s="413">
        <v>772280856</v>
      </c>
      <c r="E743" s="413">
        <v>772280856</v>
      </c>
      <c r="F743" s="836">
        <v>772280856</v>
      </c>
      <c r="G743" s="836">
        <v>758103500</v>
      </c>
      <c r="H743" s="836">
        <v>772280856</v>
      </c>
      <c r="I743" s="836">
        <v>758103500</v>
      </c>
    </row>
    <row r="744" spans="1:9" ht="15">
      <c r="A744" s="1080" t="s">
        <v>237</v>
      </c>
      <c r="B744" s="413">
        <v>1930017942</v>
      </c>
      <c r="C744" s="413">
        <v>1930017942</v>
      </c>
      <c r="D744" s="413">
        <v>1930017942</v>
      </c>
      <c r="E744" s="413">
        <v>1930017942</v>
      </c>
      <c r="F744" s="836">
        <v>1930017942</v>
      </c>
      <c r="G744" s="836">
        <v>1930017942</v>
      </c>
      <c r="H744" s="836">
        <v>1930017942</v>
      </c>
      <c r="I744" s="836">
        <v>1930017942</v>
      </c>
    </row>
    <row r="745" spans="1:9" ht="15">
      <c r="A745" s="1080" t="s">
        <v>1097</v>
      </c>
      <c r="B745" s="413">
        <v>268083746</v>
      </c>
      <c r="C745" s="413">
        <v>489770416</v>
      </c>
      <c r="D745" s="413">
        <v>271033843</v>
      </c>
      <c r="E745" s="413">
        <v>492720513</v>
      </c>
      <c r="F745" s="836">
        <v>271033843</v>
      </c>
      <c r="G745" s="836">
        <v>268083746</v>
      </c>
      <c r="H745" s="836">
        <v>492720513</v>
      </c>
      <c r="I745" s="836">
        <v>489770416</v>
      </c>
    </row>
    <row r="746" spans="1:9" ht="15">
      <c r="A746" s="1080" t="s">
        <v>1098</v>
      </c>
      <c r="B746" s="413">
        <v>106236111</v>
      </c>
      <c r="C746" s="413">
        <v>106236111</v>
      </c>
      <c r="D746" s="413">
        <v>106809630</v>
      </c>
      <c r="E746" s="413">
        <v>106809630</v>
      </c>
      <c r="F746" s="836">
        <v>106809630</v>
      </c>
      <c r="G746" s="836">
        <v>106236111</v>
      </c>
      <c r="H746" s="836">
        <v>106809630</v>
      </c>
      <c r="I746" s="836">
        <v>106236111</v>
      </c>
    </row>
    <row r="747" spans="1:9" ht="15">
      <c r="A747" s="1080" t="s">
        <v>1099</v>
      </c>
      <c r="B747" s="413">
        <v>72506868</v>
      </c>
      <c r="C747" s="413">
        <v>228059448</v>
      </c>
      <c r="D747" s="413">
        <v>73286591</v>
      </c>
      <c r="E747" s="413">
        <v>228839171</v>
      </c>
      <c r="F747" s="836">
        <v>73286591</v>
      </c>
      <c r="G747" s="836">
        <v>72506868</v>
      </c>
      <c r="H747" s="836">
        <v>228839171</v>
      </c>
      <c r="I747" s="836">
        <v>228059448</v>
      </c>
    </row>
    <row r="748" spans="1:9" ht="15">
      <c r="A748" s="1080" t="s">
        <v>2225</v>
      </c>
      <c r="B748" s="413">
        <v>963395319</v>
      </c>
      <c r="C748" s="413">
        <v>963395319</v>
      </c>
      <c r="D748" s="413">
        <v>997415043</v>
      </c>
      <c r="E748" s="413">
        <v>997415043</v>
      </c>
      <c r="F748" s="836">
        <v>997415043</v>
      </c>
      <c r="G748" s="836">
        <v>963395319</v>
      </c>
      <c r="H748" s="836">
        <v>997415043</v>
      </c>
      <c r="I748" s="836">
        <v>963395319</v>
      </c>
    </row>
    <row r="749" spans="1:9" ht="15">
      <c r="A749" s="1080" t="s">
        <v>1100</v>
      </c>
      <c r="B749" s="413">
        <v>496394565</v>
      </c>
      <c r="C749" s="413">
        <v>496394565</v>
      </c>
      <c r="D749" s="413">
        <v>516478796</v>
      </c>
      <c r="E749" s="413">
        <v>516478796</v>
      </c>
      <c r="F749" s="836">
        <v>489624745</v>
      </c>
      <c r="G749" s="836">
        <v>469540514</v>
      </c>
      <c r="H749" s="836">
        <v>489624745</v>
      </c>
      <c r="I749" s="836">
        <v>469540514</v>
      </c>
    </row>
    <row r="750" spans="1:9" ht="15">
      <c r="A750" s="1080" t="s">
        <v>1101</v>
      </c>
      <c r="B750" s="413">
        <v>1784818181</v>
      </c>
      <c r="C750" s="413">
        <v>1784818181</v>
      </c>
      <c r="D750" s="413">
        <v>1819354143</v>
      </c>
      <c r="E750" s="413">
        <v>1819354143</v>
      </c>
      <c r="F750" s="836">
        <v>1790159932</v>
      </c>
      <c r="G750" s="836">
        <v>1755623970</v>
      </c>
      <c r="H750" s="836">
        <v>1790159932</v>
      </c>
      <c r="I750" s="836">
        <v>1755623970</v>
      </c>
    </row>
    <row r="751" spans="1:9" ht="15">
      <c r="A751" s="1080" t="s">
        <v>1655</v>
      </c>
      <c r="B751" s="413">
        <v>1046321547</v>
      </c>
      <c r="C751" s="413">
        <v>1046321547</v>
      </c>
      <c r="D751" s="413">
        <v>1099891699</v>
      </c>
      <c r="E751" s="413">
        <v>1099891699</v>
      </c>
      <c r="F751" s="836">
        <v>1063012351</v>
      </c>
      <c r="G751" s="836">
        <v>1009442199</v>
      </c>
      <c r="H751" s="836">
        <v>1063012351</v>
      </c>
      <c r="I751" s="836">
        <v>1009442199</v>
      </c>
    </row>
    <row r="752" spans="1:9" ht="15">
      <c r="A752" s="1080" t="s">
        <v>1248</v>
      </c>
      <c r="B752" s="413">
        <v>949722033</v>
      </c>
      <c r="C752" s="413">
        <v>949722033</v>
      </c>
      <c r="D752" s="413">
        <v>996253441</v>
      </c>
      <c r="E752" s="413">
        <v>996253441</v>
      </c>
      <c r="F752" s="836">
        <v>952535582</v>
      </c>
      <c r="G752" s="836">
        <v>906004174</v>
      </c>
      <c r="H752" s="836">
        <v>952535582</v>
      </c>
      <c r="I752" s="836">
        <v>906004174</v>
      </c>
    </row>
    <row r="753" spans="1:9" ht="15">
      <c r="A753" s="1080" t="s">
        <v>1249</v>
      </c>
      <c r="B753" s="413">
        <v>162356609</v>
      </c>
      <c r="C753" s="413">
        <v>162356609</v>
      </c>
      <c r="D753" s="413">
        <v>165539299</v>
      </c>
      <c r="E753" s="413">
        <v>165539299</v>
      </c>
      <c r="F753" s="836">
        <v>165539299</v>
      </c>
      <c r="G753" s="836">
        <v>162356609</v>
      </c>
      <c r="H753" s="836">
        <v>165539299</v>
      </c>
      <c r="I753" s="836">
        <v>162356609</v>
      </c>
    </row>
    <row r="754" spans="1:9" ht="15">
      <c r="A754" s="1080" t="s">
        <v>1250</v>
      </c>
      <c r="B754" s="413">
        <v>985530099</v>
      </c>
      <c r="C754" s="413">
        <v>985530099</v>
      </c>
      <c r="D754" s="413">
        <v>990933338</v>
      </c>
      <c r="E754" s="413">
        <v>990933338</v>
      </c>
      <c r="F754" s="836">
        <v>990933338</v>
      </c>
      <c r="G754" s="836">
        <v>985530099</v>
      </c>
      <c r="H754" s="836">
        <v>990933338</v>
      </c>
      <c r="I754" s="836">
        <v>985530099</v>
      </c>
    </row>
    <row r="755" spans="1:9" ht="15">
      <c r="A755" s="1080" t="s">
        <v>2902</v>
      </c>
      <c r="B755" s="413">
        <v>739873274</v>
      </c>
      <c r="C755" s="413">
        <v>739873274</v>
      </c>
      <c r="D755" s="413">
        <v>773963454</v>
      </c>
      <c r="E755" s="413">
        <v>773963454</v>
      </c>
      <c r="F755" s="836">
        <v>773963454</v>
      </c>
      <c r="G755" s="836">
        <v>739873274</v>
      </c>
      <c r="H755" s="836">
        <v>773963454</v>
      </c>
      <c r="I755" s="836">
        <v>739873274</v>
      </c>
    </row>
    <row r="756" spans="1:9" ht="15">
      <c r="A756" s="1080" t="s">
        <v>1529</v>
      </c>
      <c r="B756" s="413">
        <v>276312311</v>
      </c>
      <c r="C756" s="413">
        <v>276312311</v>
      </c>
      <c r="D756" s="413">
        <v>284498644</v>
      </c>
      <c r="E756" s="413">
        <v>284498644</v>
      </c>
      <c r="F756" s="836">
        <v>284498644</v>
      </c>
      <c r="G756" s="836">
        <v>276312311</v>
      </c>
      <c r="H756" s="836">
        <v>284498644</v>
      </c>
      <c r="I756" s="836">
        <v>276312311</v>
      </c>
    </row>
    <row r="757" spans="1:9" ht="15">
      <c r="A757" s="1080" t="s">
        <v>1530</v>
      </c>
      <c r="B757" s="413">
        <v>61632056</v>
      </c>
      <c r="C757" s="413">
        <v>61632056</v>
      </c>
      <c r="D757" s="413">
        <v>63114905</v>
      </c>
      <c r="E757" s="413">
        <v>63114905</v>
      </c>
      <c r="F757" s="836">
        <v>63114905</v>
      </c>
      <c r="G757" s="836">
        <v>61632056</v>
      </c>
      <c r="H757" s="836">
        <v>63114905</v>
      </c>
      <c r="I757" s="836">
        <v>61632056</v>
      </c>
    </row>
    <row r="758" spans="1:9" ht="15">
      <c r="A758" s="1080" t="s">
        <v>1531</v>
      </c>
      <c r="B758" s="413">
        <v>502662984</v>
      </c>
      <c r="C758" s="413">
        <v>502662984</v>
      </c>
      <c r="D758" s="413">
        <v>505273913</v>
      </c>
      <c r="E758" s="413">
        <v>505273913</v>
      </c>
      <c r="F758" s="836">
        <v>496975191</v>
      </c>
      <c r="G758" s="836">
        <v>494364262</v>
      </c>
      <c r="H758" s="836">
        <v>496975191</v>
      </c>
      <c r="I758" s="836">
        <v>494364262</v>
      </c>
    </row>
    <row r="759" spans="1:9" ht="15">
      <c r="A759" s="1080" t="s">
        <v>1532</v>
      </c>
      <c r="B759" s="413">
        <v>448285789</v>
      </c>
      <c r="C759" s="413">
        <v>448285789</v>
      </c>
      <c r="D759" s="413">
        <v>453790059</v>
      </c>
      <c r="E759" s="413">
        <v>453790059</v>
      </c>
      <c r="F759" s="836">
        <v>447177489</v>
      </c>
      <c r="G759" s="836">
        <v>441673219</v>
      </c>
      <c r="H759" s="836">
        <v>447177489</v>
      </c>
      <c r="I759" s="836">
        <v>441673219</v>
      </c>
    </row>
    <row r="760" spans="1:9" ht="15">
      <c r="A760" s="1080" t="s">
        <v>1533</v>
      </c>
      <c r="B760" s="413">
        <v>3434898945</v>
      </c>
      <c r="C760" s="413">
        <v>3434898945</v>
      </c>
      <c r="D760" s="413">
        <v>3472804855</v>
      </c>
      <c r="E760" s="413">
        <v>3472804855</v>
      </c>
      <c r="F760" s="836">
        <v>3429914575</v>
      </c>
      <c r="G760" s="836">
        <v>3392008665</v>
      </c>
      <c r="H760" s="836">
        <v>3429914575</v>
      </c>
      <c r="I760" s="836">
        <v>3392008665</v>
      </c>
    </row>
    <row r="761" spans="1:9" ht="15">
      <c r="A761" s="1080" t="s">
        <v>2974</v>
      </c>
      <c r="B761" s="413">
        <v>246299363</v>
      </c>
      <c r="C761" s="413">
        <v>246299363</v>
      </c>
      <c r="D761" s="413">
        <v>250675933</v>
      </c>
      <c r="E761" s="413">
        <v>250675933</v>
      </c>
      <c r="F761" s="836">
        <v>246176078</v>
      </c>
      <c r="G761" s="836">
        <v>241799508</v>
      </c>
      <c r="H761" s="836">
        <v>246176078</v>
      </c>
      <c r="I761" s="836">
        <v>241799508</v>
      </c>
    </row>
    <row r="762" spans="1:9" ht="15">
      <c r="A762" s="1080" t="s">
        <v>805</v>
      </c>
      <c r="B762" s="413">
        <v>180929312</v>
      </c>
      <c r="C762" s="413">
        <v>180929312</v>
      </c>
      <c r="D762" s="413">
        <v>186949915</v>
      </c>
      <c r="E762" s="413">
        <v>186949915</v>
      </c>
      <c r="F762" s="836">
        <v>186949915</v>
      </c>
      <c r="G762" s="836">
        <v>180929312</v>
      </c>
      <c r="H762" s="836">
        <v>186949915</v>
      </c>
      <c r="I762" s="836">
        <v>180929312</v>
      </c>
    </row>
    <row r="763" spans="1:9" ht="15">
      <c r="A763" s="1080" t="s">
        <v>1703</v>
      </c>
      <c r="B763" s="413">
        <v>924052380</v>
      </c>
      <c r="C763" s="413">
        <v>924052380</v>
      </c>
      <c r="D763" s="413">
        <v>966273355</v>
      </c>
      <c r="E763" s="413">
        <v>966273355</v>
      </c>
      <c r="F763" s="836">
        <v>966273355</v>
      </c>
      <c r="G763" s="836">
        <v>924052380</v>
      </c>
      <c r="H763" s="836">
        <v>966273355</v>
      </c>
      <c r="I763" s="836">
        <v>924052380</v>
      </c>
    </row>
    <row r="764" spans="1:9" ht="15">
      <c r="A764" s="1080" t="s">
        <v>1656</v>
      </c>
      <c r="B764" s="413">
        <v>3739775260</v>
      </c>
      <c r="C764" s="413">
        <v>3739775260</v>
      </c>
      <c r="D764" s="413">
        <v>3850362909</v>
      </c>
      <c r="E764" s="413">
        <v>3850362909</v>
      </c>
      <c r="F764" s="836">
        <v>3850362909</v>
      </c>
      <c r="G764" s="836">
        <v>3739775260</v>
      </c>
      <c r="H764" s="836">
        <v>3850362909</v>
      </c>
      <c r="I764" s="836">
        <v>3739775260</v>
      </c>
    </row>
    <row r="765" spans="1:9" ht="15">
      <c r="A765" s="1080" t="s">
        <v>2901</v>
      </c>
      <c r="B765" s="413">
        <v>297310689</v>
      </c>
      <c r="C765" s="413">
        <v>297310689</v>
      </c>
      <c r="D765" s="413">
        <v>307272978</v>
      </c>
      <c r="E765" s="413">
        <v>307272978</v>
      </c>
      <c r="F765" s="836">
        <v>307272978</v>
      </c>
      <c r="G765" s="836">
        <v>297310689</v>
      </c>
      <c r="H765" s="836">
        <v>307272978</v>
      </c>
      <c r="I765" s="836">
        <v>297310689</v>
      </c>
    </row>
    <row r="766" spans="1:9" ht="15">
      <c r="A766" s="1080" t="s">
        <v>1563</v>
      </c>
      <c r="B766" s="413">
        <v>2818829415</v>
      </c>
      <c r="C766" s="413">
        <v>2818829415</v>
      </c>
      <c r="D766" s="413">
        <v>2876885815</v>
      </c>
      <c r="E766" s="413">
        <v>2876885815</v>
      </c>
      <c r="F766" s="836">
        <v>2876885815</v>
      </c>
      <c r="G766" s="836">
        <v>2818829415</v>
      </c>
      <c r="H766" s="836">
        <v>2876885815</v>
      </c>
      <c r="I766" s="836">
        <v>2818829415</v>
      </c>
    </row>
    <row r="767" spans="1:9" ht="15">
      <c r="A767" s="1080" t="s">
        <v>236</v>
      </c>
      <c r="B767" s="413">
        <v>279404832</v>
      </c>
      <c r="C767" s="413">
        <v>279404832</v>
      </c>
      <c r="D767" s="413">
        <v>290036312</v>
      </c>
      <c r="E767" s="413">
        <v>290036312</v>
      </c>
      <c r="F767" s="836">
        <v>290036312</v>
      </c>
      <c r="G767" s="836">
        <v>279404832</v>
      </c>
      <c r="H767" s="836">
        <v>290036312</v>
      </c>
      <c r="I767" s="836">
        <v>279404832</v>
      </c>
    </row>
    <row r="768" spans="1:9" ht="15">
      <c r="A768" s="1080" t="s">
        <v>2144</v>
      </c>
      <c r="B768" s="413">
        <v>507997840</v>
      </c>
      <c r="C768" s="413">
        <v>507997840</v>
      </c>
      <c r="D768" s="413">
        <v>520237533</v>
      </c>
      <c r="E768" s="413">
        <v>520237533</v>
      </c>
      <c r="F768" s="836">
        <v>520237533</v>
      </c>
      <c r="G768" s="836">
        <v>507997840</v>
      </c>
      <c r="H768" s="836">
        <v>520237533</v>
      </c>
      <c r="I768" s="836">
        <v>507997840</v>
      </c>
    </row>
    <row r="769" spans="1:9" ht="15">
      <c r="A769" s="1080" t="s">
        <v>1834</v>
      </c>
      <c r="B769" s="413">
        <v>164582460</v>
      </c>
      <c r="C769" s="413">
        <v>164582460</v>
      </c>
      <c r="D769" s="413">
        <v>168658520</v>
      </c>
      <c r="E769" s="413">
        <v>168658520</v>
      </c>
      <c r="F769" s="836">
        <v>168658520</v>
      </c>
      <c r="G769" s="836">
        <v>164582460</v>
      </c>
      <c r="H769" s="836">
        <v>168658520</v>
      </c>
      <c r="I769" s="836">
        <v>164582460</v>
      </c>
    </row>
    <row r="770" spans="1:9" ht="15">
      <c r="A770" s="1080" t="s">
        <v>1835</v>
      </c>
      <c r="B770" s="413">
        <v>133955430</v>
      </c>
      <c r="C770" s="413">
        <v>133955430</v>
      </c>
      <c r="D770" s="413">
        <v>137047480</v>
      </c>
      <c r="E770" s="413">
        <v>137047480</v>
      </c>
      <c r="F770" s="836">
        <v>137047480</v>
      </c>
      <c r="G770" s="836">
        <v>133955430</v>
      </c>
      <c r="H770" s="836">
        <v>137047480</v>
      </c>
      <c r="I770" s="836">
        <v>133955430</v>
      </c>
    </row>
    <row r="771" spans="1:9" ht="15">
      <c r="A771" s="1080" t="s">
        <v>1836</v>
      </c>
      <c r="B771" s="413">
        <v>171736124</v>
      </c>
      <c r="C771" s="413">
        <v>171736124</v>
      </c>
      <c r="D771" s="413">
        <v>175927968</v>
      </c>
      <c r="E771" s="413">
        <v>175927968</v>
      </c>
      <c r="F771" s="836">
        <v>175927968</v>
      </c>
      <c r="G771" s="836">
        <v>171736124</v>
      </c>
      <c r="H771" s="836">
        <v>175927968</v>
      </c>
      <c r="I771" s="836">
        <v>171736124</v>
      </c>
    </row>
    <row r="772" spans="1:9" ht="15">
      <c r="A772" s="1080" t="s">
        <v>1837</v>
      </c>
      <c r="B772" s="413">
        <v>331350345</v>
      </c>
      <c r="C772" s="413">
        <v>331350345</v>
      </c>
      <c r="D772" s="413">
        <v>338963806</v>
      </c>
      <c r="E772" s="413">
        <v>338963806</v>
      </c>
      <c r="F772" s="836">
        <v>338963806</v>
      </c>
      <c r="G772" s="836">
        <v>331350345</v>
      </c>
      <c r="H772" s="836">
        <v>338963806</v>
      </c>
      <c r="I772" s="836">
        <v>331350345</v>
      </c>
    </row>
    <row r="773" spans="1:9" ht="15">
      <c r="A773" s="1080" t="s">
        <v>1838</v>
      </c>
      <c r="B773" s="413">
        <v>74403600</v>
      </c>
      <c r="C773" s="413">
        <v>74403600</v>
      </c>
      <c r="D773" s="413">
        <v>75546970</v>
      </c>
      <c r="E773" s="413">
        <v>75546970</v>
      </c>
      <c r="F773" s="836">
        <v>75546970</v>
      </c>
      <c r="G773" s="836">
        <v>74403600</v>
      </c>
      <c r="H773" s="836">
        <v>75546970</v>
      </c>
      <c r="I773" s="836">
        <v>74403600</v>
      </c>
    </row>
    <row r="774" spans="1:9" ht="15">
      <c r="A774" s="1080" t="s">
        <v>2140</v>
      </c>
      <c r="B774" s="413">
        <v>206068050</v>
      </c>
      <c r="C774" s="413">
        <v>348154300</v>
      </c>
      <c r="D774" s="413">
        <v>206608530</v>
      </c>
      <c r="E774" s="413">
        <v>348694780</v>
      </c>
      <c r="F774" s="836">
        <v>206313810</v>
      </c>
      <c r="G774" s="836">
        <v>205773330</v>
      </c>
      <c r="H774" s="836">
        <v>348400060</v>
      </c>
      <c r="I774" s="836">
        <v>347859580</v>
      </c>
    </row>
    <row r="775" spans="1:9" ht="15">
      <c r="A775" s="1080" t="s">
        <v>2625</v>
      </c>
      <c r="B775" s="413">
        <v>1085935270</v>
      </c>
      <c r="C775" s="413">
        <v>1377097990</v>
      </c>
      <c r="D775" s="413">
        <v>1108118280</v>
      </c>
      <c r="E775" s="413">
        <v>1399281000</v>
      </c>
      <c r="F775" s="836">
        <v>1091585910</v>
      </c>
      <c r="G775" s="836">
        <v>1069402900</v>
      </c>
      <c r="H775" s="836">
        <v>1382748630</v>
      </c>
      <c r="I775" s="836">
        <v>1360565620</v>
      </c>
    </row>
    <row r="776" spans="1:9" ht="15">
      <c r="A776" s="1080" t="s">
        <v>2614</v>
      </c>
      <c r="B776" s="413">
        <v>1188066758</v>
      </c>
      <c r="C776" s="413">
        <v>1301024368</v>
      </c>
      <c r="D776" s="413">
        <v>1191063718</v>
      </c>
      <c r="E776" s="413">
        <v>1304021328</v>
      </c>
      <c r="F776" s="836">
        <v>1189129003</v>
      </c>
      <c r="G776" s="836">
        <v>1186132043</v>
      </c>
      <c r="H776" s="836">
        <v>1302086613</v>
      </c>
      <c r="I776" s="836">
        <v>1299089653</v>
      </c>
    </row>
    <row r="777" spans="1:9" ht="15">
      <c r="A777" s="1080" t="s">
        <v>1477</v>
      </c>
      <c r="B777" s="413">
        <v>242755717</v>
      </c>
      <c r="C777" s="413">
        <v>242755717</v>
      </c>
      <c r="D777" s="413">
        <v>247005702</v>
      </c>
      <c r="E777" s="413">
        <v>247005702</v>
      </c>
      <c r="F777" s="836">
        <v>243702775</v>
      </c>
      <c r="G777" s="836">
        <v>239452790</v>
      </c>
      <c r="H777" s="836">
        <v>243702775</v>
      </c>
      <c r="I777" s="836">
        <v>239452790</v>
      </c>
    </row>
    <row r="778" spans="1:9" ht="15">
      <c r="A778" s="1080" t="s">
        <v>790</v>
      </c>
      <c r="B778" s="413">
        <v>107295415</v>
      </c>
      <c r="C778" s="413">
        <v>107295415</v>
      </c>
      <c r="D778" s="413">
        <v>111933408</v>
      </c>
      <c r="E778" s="413">
        <v>111933408</v>
      </c>
      <c r="F778" s="836">
        <v>111933408</v>
      </c>
      <c r="G778" s="836">
        <v>107295415</v>
      </c>
      <c r="H778" s="836">
        <v>111933408</v>
      </c>
      <c r="I778" s="836">
        <v>107295415</v>
      </c>
    </row>
    <row r="779" spans="1:9" ht="15">
      <c r="A779" s="1080" t="s">
        <v>2917</v>
      </c>
      <c r="B779" s="413">
        <v>330283764</v>
      </c>
      <c r="C779" s="413">
        <v>330283764</v>
      </c>
      <c r="D779" s="413">
        <v>339103566</v>
      </c>
      <c r="E779" s="413">
        <v>339103566</v>
      </c>
      <c r="F779" s="836">
        <v>332490400</v>
      </c>
      <c r="G779" s="836">
        <v>323670598</v>
      </c>
      <c r="H779" s="836">
        <v>332490400</v>
      </c>
      <c r="I779" s="836">
        <v>323670598</v>
      </c>
    </row>
    <row r="780" spans="1:9" ht="15">
      <c r="A780" s="1080" t="s">
        <v>791</v>
      </c>
      <c r="B780" s="413">
        <v>119156571</v>
      </c>
      <c r="C780" s="413">
        <v>119156571</v>
      </c>
      <c r="D780" s="413">
        <v>121447127</v>
      </c>
      <c r="E780" s="413">
        <v>121447127</v>
      </c>
      <c r="F780" s="836">
        <v>121447127</v>
      </c>
      <c r="G780" s="836">
        <v>119156571</v>
      </c>
      <c r="H780" s="836">
        <v>121447127</v>
      </c>
      <c r="I780" s="836">
        <v>119156571</v>
      </c>
    </row>
    <row r="781" spans="1:9" ht="15">
      <c r="A781" s="1080" t="s">
        <v>1992</v>
      </c>
      <c r="B781" s="413">
        <v>1423117489</v>
      </c>
      <c r="C781" s="413">
        <v>1423117489</v>
      </c>
      <c r="D781" s="413">
        <v>1473681782</v>
      </c>
      <c r="E781" s="413">
        <v>1473681782</v>
      </c>
      <c r="F781" s="836">
        <v>1473681782</v>
      </c>
      <c r="G781" s="836">
        <v>1423117489</v>
      </c>
      <c r="H781" s="836">
        <v>1473681782</v>
      </c>
      <c r="I781" s="836">
        <v>1423117489</v>
      </c>
    </row>
    <row r="782" spans="1:9" ht="15">
      <c r="A782" s="1080" t="s">
        <v>1380</v>
      </c>
      <c r="B782" s="413">
        <v>476986714</v>
      </c>
      <c r="C782" s="413">
        <v>476986714</v>
      </c>
      <c r="D782" s="413">
        <v>494922159</v>
      </c>
      <c r="E782" s="413">
        <v>494922159</v>
      </c>
      <c r="F782" s="836">
        <v>494922159</v>
      </c>
      <c r="G782" s="836">
        <v>476986714</v>
      </c>
      <c r="H782" s="836">
        <v>494922159</v>
      </c>
      <c r="I782" s="836">
        <v>476986714</v>
      </c>
    </row>
    <row r="783" spans="1:9" ht="15">
      <c r="A783" s="1080" t="s">
        <v>1839</v>
      </c>
      <c r="B783" s="413">
        <v>7898680592</v>
      </c>
      <c r="C783" s="413">
        <v>7898680592</v>
      </c>
      <c r="D783" s="413">
        <v>8206092340</v>
      </c>
      <c r="E783" s="413">
        <v>8206092340</v>
      </c>
      <c r="F783" s="836">
        <v>8206092340</v>
      </c>
      <c r="G783" s="836">
        <v>7898680592</v>
      </c>
      <c r="H783" s="836">
        <v>8206092340</v>
      </c>
      <c r="I783" s="836">
        <v>7898680592</v>
      </c>
    </row>
    <row r="784" spans="1:9" ht="15">
      <c r="A784" s="1080" t="s">
        <v>227</v>
      </c>
      <c r="B784" s="413">
        <v>245651757</v>
      </c>
      <c r="C784" s="413">
        <v>245651757</v>
      </c>
      <c r="D784" s="413">
        <v>258528875</v>
      </c>
      <c r="E784" s="413">
        <v>258528875</v>
      </c>
      <c r="F784" s="836">
        <v>258528875</v>
      </c>
      <c r="G784" s="836">
        <v>245651757</v>
      </c>
      <c r="H784" s="836">
        <v>258528875</v>
      </c>
      <c r="I784" s="836">
        <v>245651757</v>
      </c>
    </row>
    <row r="785" spans="1:9" ht="15">
      <c r="A785" s="1080" t="s">
        <v>625</v>
      </c>
      <c r="B785" s="413">
        <v>1008381159</v>
      </c>
      <c r="C785" s="413">
        <v>1008381159</v>
      </c>
      <c r="D785" s="413">
        <v>1009885210</v>
      </c>
      <c r="E785" s="413">
        <v>1009885210</v>
      </c>
      <c r="F785" s="836">
        <v>1009885210</v>
      </c>
      <c r="G785" s="836">
        <v>1008381159</v>
      </c>
      <c r="H785" s="836">
        <v>1009885210</v>
      </c>
      <c r="I785" s="836">
        <v>1008381159</v>
      </c>
    </row>
    <row r="786" spans="1:9" ht="15">
      <c r="A786" s="1080" t="s">
        <v>2496</v>
      </c>
      <c r="B786" s="413">
        <v>1104459546</v>
      </c>
      <c r="C786" s="413">
        <v>1104459546</v>
      </c>
      <c r="D786" s="413">
        <v>1117478143</v>
      </c>
      <c r="E786" s="413">
        <v>1117478143</v>
      </c>
      <c r="F786" s="836">
        <v>1117478143</v>
      </c>
      <c r="G786" s="836">
        <v>1104459546</v>
      </c>
      <c r="H786" s="836">
        <v>1117478143</v>
      </c>
      <c r="I786" s="836">
        <v>1104459546</v>
      </c>
    </row>
    <row r="787" spans="1:9" ht="15">
      <c r="A787" s="1080" t="s">
        <v>1657</v>
      </c>
      <c r="B787" s="413">
        <v>258743006</v>
      </c>
      <c r="C787" s="413">
        <v>258743006</v>
      </c>
      <c r="D787" s="413">
        <v>264420164</v>
      </c>
      <c r="E787" s="413">
        <v>264420164</v>
      </c>
      <c r="F787" s="836">
        <v>264420164</v>
      </c>
      <c r="G787" s="836">
        <v>258743006</v>
      </c>
      <c r="H787" s="836">
        <v>264420164</v>
      </c>
      <c r="I787" s="836">
        <v>258743006</v>
      </c>
    </row>
    <row r="788" spans="1:9" ht="15">
      <c r="A788" s="1080" t="s">
        <v>245</v>
      </c>
      <c r="B788" s="413">
        <v>178910062</v>
      </c>
      <c r="C788" s="413">
        <v>178910062</v>
      </c>
      <c r="D788" s="413">
        <v>187447917</v>
      </c>
      <c r="E788" s="413">
        <v>187447917</v>
      </c>
      <c r="F788" s="836">
        <v>187447917</v>
      </c>
      <c r="G788" s="836">
        <v>178910062</v>
      </c>
      <c r="H788" s="836">
        <v>187447917</v>
      </c>
      <c r="I788" s="836">
        <v>178910062</v>
      </c>
    </row>
    <row r="789" spans="1:9" ht="15">
      <c r="A789" s="1080" t="s">
        <v>1464</v>
      </c>
      <c r="B789" s="413">
        <v>480671677</v>
      </c>
      <c r="C789" s="413">
        <v>480671677</v>
      </c>
      <c r="D789" s="413">
        <v>503670403</v>
      </c>
      <c r="E789" s="413">
        <v>503670403</v>
      </c>
      <c r="F789" s="836">
        <v>503670403</v>
      </c>
      <c r="G789" s="836">
        <v>480671677</v>
      </c>
      <c r="H789" s="836">
        <v>503670403</v>
      </c>
      <c r="I789" s="836">
        <v>480671677</v>
      </c>
    </row>
    <row r="790" spans="1:9" ht="15">
      <c r="A790" s="1080" t="s">
        <v>1465</v>
      </c>
      <c r="B790" s="413">
        <v>3837125561</v>
      </c>
      <c r="C790" s="413">
        <v>3837125561</v>
      </c>
      <c r="D790" s="413">
        <v>3954319653</v>
      </c>
      <c r="E790" s="413">
        <v>3954319653</v>
      </c>
      <c r="F790" s="836">
        <v>3954319653</v>
      </c>
      <c r="G790" s="836">
        <v>3837125561</v>
      </c>
      <c r="H790" s="836">
        <v>3954319653</v>
      </c>
      <c r="I790" s="836">
        <v>3837125561</v>
      </c>
    </row>
    <row r="791" spans="1:9" ht="15">
      <c r="A791" s="1080" t="s">
        <v>2883</v>
      </c>
      <c r="B791" s="413">
        <v>2571154286</v>
      </c>
      <c r="C791" s="413">
        <v>2571154286</v>
      </c>
      <c r="D791" s="413">
        <v>2576557802</v>
      </c>
      <c r="E791" s="413">
        <v>2576557802</v>
      </c>
      <c r="F791" s="836">
        <v>2572820495</v>
      </c>
      <c r="G791" s="836">
        <v>2567416979</v>
      </c>
      <c r="H791" s="836">
        <v>2572820495</v>
      </c>
      <c r="I791" s="836">
        <v>2567416979</v>
      </c>
    </row>
    <row r="792" spans="1:9" ht="15">
      <c r="A792" s="1080" t="s">
        <v>896</v>
      </c>
      <c r="B792" s="413">
        <v>284765410</v>
      </c>
      <c r="C792" s="413">
        <v>284765410</v>
      </c>
      <c r="D792" s="413">
        <v>285041107</v>
      </c>
      <c r="E792" s="413">
        <v>285041107</v>
      </c>
      <c r="F792" s="836">
        <v>285041107</v>
      </c>
      <c r="G792" s="836">
        <v>284765410</v>
      </c>
      <c r="H792" s="836">
        <v>285041107</v>
      </c>
      <c r="I792" s="836">
        <v>284765410</v>
      </c>
    </row>
    <row r="793" spans="1:9" ht="15">
      <c r="A793" s="1080" t="s">
        <v>135</v>
      </c>
      <c r="B793" s="413">
        <v>46587293</v>
      </c>
      <c r="C793" s="413">
        <v>46587293</v>
      </c>
      <c r="D793" s="413">
        <v>50160657</v>
      </c>
      <c r="E793" s="413">
        <v>50160657</v>
      </c>
      <c r="F793" s="836">
        <v>50160657</v>
      </c>
      <c r="G793" s="836">
        <v>46587293</v>
      </c>
      <c r="H793" s="836">
        <v>50160657</v>
      </c>
      <c r="I793" s="836">
        <v>46587293</v>
      </c>
    </row>
    <row r="794" spans="1:9" ht="15">
      <c r="A794" s="1080" t="s">
        <v>3051</v>
      </c>
      <c r="B794" s="413">
        <v>192724115</v>
      </c>
      <c r="C794" s="413">
        <v>192724115</v>
      </c>
      <c r="D794" s="413">
        <v>201193104</v>
      </c>
      <c r="E794" s="413">
        <v>201193104</v>
      </c>
      <c r="F794" s="836">
        <v>201193104</v>
      </c>
      <c r="G794" s="836">
        <v>192724115</v>
      </c>
      <c r="H794" s="836">
        <v>201193104</v>
      </c>
      <c r="I794" s="836">
        <v>192724115</v>
      </c>
    </row>
    <row r="795" spans="1:9" ht="15">
      <c r="A795" s="1080" t="s">
        <v>2597</v>
      </c>
      <c r="B795" s="413">
        <v>196382491</v>
      </c>
      <c r="C795" s="413">
        <v>196382491</v>
      </c>
      <c r="D795" s="413">
        <v>208382920</v>
      </c>
      <c r="E795" s="413">
        <v>208382920</v>
      </c>
      <c r="F795" s="836">
        <v>208382920</v>
      </c>
      <c r="G795" s="836">
        <v>196382491</v>
      </c>
      <c r="H795" s="836">
        <v>208382920</v>
      </c>
      <c r="I795" s="836">
        <v>196382491</v>
      </c>
    </row>
    <row r="796" spans="1:9" ht="15">
      <c r="A796" s="1080" t="s">
        <v>411</v>
      </c>
      <c r="B796" s="413">
        <v>60861111</v>
      </c>
      <c r="C796" s="413">
        <v>60861111</v>
      </c>
      <c r="D796" s="413">
        <v>65365470</v>
      </c>
      <c r="E796" s="413">
        <v>65365470</v>
      </c>
      <c r="F796" s="836">
        <v>65365470</v>
      </c>
      <c r="G796" s="836">
        <v>60861111</v>
      </c>
      <c r="H796" s="836">
        <v>65365470</v>
      </c>
      <c r="I796" s="836">
        <v>60861111</v>
      </c>
    </row>
    <row r="797" spans="1:9" ht="15">
      <c r="A797" s="1080" t="s">
        <v>1113</v>
      </c>
      <c r="B797" s="413">
        <v>3929981753</v>
      </c>
      <c r="C797" s="413">
        <v>4091791753</v>
      </c>
      <c r="D797" s="413">
        <v>3947973721</v>
      </c>
      <c r="E797" s="413">
        <v>4109783721</v>
      </c>
      <c r="F797" s="836">
        <v>3947973721</v>
      </c>
      <c r="G797" s="836">
        <v>3929981753</v>
      </c>
      <c r="H797" s="836">
        <v>4109783721</v>
      </c>
      <c r="I797" s="836">
        <v>4091791753</v>
      </c>
    </row>
    <row r="798" spans="1:9" ht="15">
      <c r="A798" s="1080" t="s">
        <v>1932</v>
      </c>
      <c r="B798" s="413">
        <v>38662348</v>
      </c>
      <c r="C798" s="413">
        <v>38662348</v>
      </c>
      <c r="D798" s="413">
        <v>39577458</v>
      </c>
      <c r="E798" s="413">
        <v>39577458</v>
      </c>
      <c r="F798" s="836">
        <v>39577458</v>
      </c>
      <c r="G798" s="836">
        <v>38662348</v>
      </c>
      <c r="H798" s="836">
        <v>39577458</v>
      </c>
      <c r="I798" s="836">
        <v>38662348</v>
      </c>
    </row>
    <row r="799" spans="1:9" ht="15">
      <c r="A799" s="1080" t="s">
        <v>793</v>
      </c>
      <c r="B799" s="413">
        <v>355319812</v>
      </c>
      <c r="C799" s="413">
        <v>355319812</v>
      </c>
      <c r="D799" s="413">
        <v>356979362</v>
      </c>
      <c r="E799" s="413">
        <v>356979362</v>
      </c>
      <c r="F799" s="836">
        <v>355860022</v>
      </c>
      <c r="G799" s="836">
        <v>354200472</v>
      </c>
      <c r="H799" s="836">
        <v>355860022</v>
      </c>
      <c r="I799" s="836">
        <v>354200472</v>
      </c>
    </row>
    <row r="800" spans="1:9" ht="15">
      <c r="A800" s="1080" t="s">
        <v>794</v>
      </c>
      <c r="B800" s="413">
        <v>316846799</v>
      </c>
      <c r="C800" s="413">
        <v>316846799</v>
      </c>
      <c r="D800" s="413">
        <v>322986809</v>
      </c>
      <c r="E800" s="413">
        <v>322986809</v>
      </c>
      <c r="F800" s="836">
        <v>322986809</v>
      </c>
      <c r="G800" s="836">
        <v>316846799</v>
      </c>
      <c r="H800" s="836">
        <v>322986809</v>
      </c>
      <c r="I800" s="836">
        <v>316846799</v>
      </c>
    </row>
    <row r="801" spans="1:9" ht="15">
      <c r="A801" s="1080" t="s">
        <v>795</v>
      </c>
      <c r="B801" s="413">
        <v>472189828</v>
      </c>
      <c r="C801" s="413">
        <v>472189828</v>
      </c>
      <c r="D801" s="413">
        <v>479769408</v>
      </c>
      <c r="E801" s="413">
        <v>479769408</v>
      </c>
      <c r="F801" s="836">
        <v>479769408</v>
      </c>
      <c r="G801" s="836">
        <v>472189828</v>
      </c>
      <c r="H801" s="836">
        <v>479769408</v>
      </c>
      <c r="I801" s="836">
        <v>472189828</v>
      </c>
    </row>
    <row r="802" spans="1:9" ht="15">
      <c r="A802" s="1080" t="s">
        <v>1644</v>
      </c>
      <c r="B802" s="413">
        <v>1011295344</v>
      </c>
      <c r="C802" s="413">
        <v>1011295344</v>
      </c>
      <c r="D802" s="413">
        <v>1013285124</v>
      </c>
      <c r="E802" s="413">
        <v>1013285124</v>
      </c>
      <c r="F802" s="836">
        <v>1012328566</v>
      </c>
      <c r="G802" s="836">
        <v>1010338786</v>
      </c>
      <c r="H802" s="836">
        <v>1012328566</v>
      </c>
      <c r="I802" s="836">
        <v>1010338786</v>
      </c>
    </row>
    <row r="803" spans="1:9" ht="15">
      <c r="A803" s="1080" t="s">
        <v>1645</v>
      </c>
      <c r="B803" s="413">
        <v>406872086</v>
      </c>
      <c r="C803" s="413">
        <v>406872086</v>
      </c>
      <c r="D803" s="413">
        <v>411945107</v>
      </c>
      <c r="E803" s="413">
        <v>411945107</v>
      </c>
      <c r="F803" s="836">
        <v>411945107</v>
      </c>
      <c r="G803" s="836">
        <v>406872086</v>
      </c>
      <c r="H803" s="836">
        <v>411945107</v>
      </c>
      <c r="I803" s="836">
        <v>406872086</v>
      </c>
    </row>
    <row r="804" spans="1:9" ht="15">
      <c r="A804" s="1080" t="s">
        <v>1646</v>
      </c>
      <c r="B804" s="413">
        <v>111868181</v>
      </c>
      <c r="C804" s="413">
        <v>111868181</v>
      </c>
      <c r="D804" s="413">
        <v>114562680</v>
      </c>
      <c r="E804" s="413">
        <v>114562680</v>
      </c>
      <c r="F804" s="836">
        <v>114562680</v>
      </c>
      <c r="G804" s="836">
        <v>111868181</v>
      </c>
      <c r="H804" s="836">
        <v>114562680</v>
      </c>
      <c r="I804" s="836">
        <v>111868181</v>
      </c>
    </row>
    <row r="805" spans="1:9" ht="15">
      <c r="A805" s="1080" t="s">
        <v>1647</v>
      </c>
      <c r="B805" s="413">
        <v>2046563850</v>
      </c>
      <c r="C805" s="413">
        <v>2046563850</v>
      </c>
      <c r="D805" s="413">
        <v>2059089857</v>
      </c>
      <c r="E805" s="413">
        <v>2059089857</v>
      </c>
      <c r="F805" s="836">
        <v>2059089857</v>
      </c>
      <c r="G805" s="836">
        <v>2046563850</v>
      </c>
      <c r="H805" s="836">
        <v>2059089857</v>
      </c>
      <c r="I805" s="836">
        <v>2046563850</v>
      </c>
    </row>
    <row r="806" spans="1:9" ht="15">
      <c r="A806" s="1080" t="s">
        <v>1648</v>
      </c>
      <c r="B806" s="413">
        <v>393090290</v>
      </c>
      <c r="C806" s="413">
        <v>393090290</v>
      </c>
      <c r="D806" s="413">
        <v>405337750</v>
      </c>
      <c r="E806" s="413">
        <v>405337750</v>
      </c>
      <c r="F806" s="836">
        <v>405337750</v>
      </c>
      <c r="G806" s="836">
        <v>393090290</v>
      </c>
      <c r="H806" s="836">
        <v>405337750</v>
      </c>
      <c r="I806" s="836">
        <v>393090290</v>
      </c>
    </row>
    <row r="807" spans="1:9" ht="15">
      <c r="A807" s="1080" t="s">
        <v>1649</v>
      </c>
      <c r="B807" s="413">
        <v>69320508</v>
      </c>
      <c r="C807" s="413">
        <v>69320508</v>
      </c>
      <c r="D807" s="413">
        <v>69582438</v>
      </c>
      <c r="E807" s="413">
        <v>69582438</v>
      </c>
      <c r="F807" s="836">
        <v>69582438</v>
      </c>
      <c r="G807" s="836">
        <v>69320508</v>
      </c>
      <c r="H807" s="836">
        <v>69582438</v>
      </c>
      <c r="I807" s="836">
        <v>69320508</v>
      </c>
    </row>
    <row r="808" spans="1:9" ht="15">
      <c r="A808" s="1080" t="s">
        <v>1885</v>
      </c>
      <c r="B808" s="413">
        <v>7014827568</v>
      </c>
      <c r="C808" s="413">
        <v>7014827568</v>
      </c>
      <c r="D808" s="413">
        <v>7182885308</v>
      </c>
      <c r="E808" s="413">
        <v>7182885308</v>
      </c>
      <c r="F808" s="836">
        <v>7182885308</v>
      </c>
      <c r="G808" s="836">
        <v>7014827568</v>
      </c>
      <c r="H808" s="836">
        <v>7182885308</v>
      </c>
      <c r="I808" s="836">
        <v>7014827568</v>
      </c>
    </row>
    <row r="809" spans="1:9" ht="15">
      <c r="A809" s="1080" t="s">
        <v>2056</v>
      </c>
      <c r="B809" s="413">
        <v>1271632573</v>
      </c>
      <c r="C809" s="413">
        <v>1271632573</v>
      </c>
      <c r="D809" s="413">
        <v>1321423820</v>
      </c>
      <c r="E809" s="413">
        <v>1321423820</v>
      </c>
      <c r="F809" s="836">
        <v>1321423820</v>
      </c>
      <c r="G809" s="836">
        <v>1271632573</v>
      </c>
      <c r="H809" s="836">
        <v>1321423820</v>
      </c>
      <c r="I809" s="836">
        <v>1271632573</v>
      </c>
    </row>
    <row r="810" spans="1:9" ht="15">
      <c r="A810" s="1080" t="s">
        <v>1886</v>
      </c>
      <c r="B810" s="413">
        <v>265221063</v>
      </c>
      <c r="C810" s="413">
        <v>265221063</v>
      </c>
      <c r="D810" s="413">
        <v>277303790</v>
      </c>
      <c r="E810" s="413">
        <v>277303790</v>
      </c>
      <c r="F810" s="836">
        <v>277303790</v>
      </c>
      <c r="G810" s="836">
        <v>265221063</v>
      </c>
      <c r="H810" s="836">
        <v>277303790</v>
      </c>
      <c r="I810" s="836">
        <v>265221063</v>
      </c>
    </row>
    <row r="811" spans="1:9" ht="15">
      <c r="A811" s="1080" t="s">
        <v>412</v>
      </c>
      <c r="B811" s="413">
        <v>74320699</v>
      </c>
      <c r="C811" s="413">
        <v>74320699</v>
      </c>
      <c r="D811" s="413">
        <v>78350144</v>
      </c>
      <c r="E811" s="413">
        <v>78350144</v>
      </c>
      <c r="F811" s="836">
        <v>78350144</v>
      </c>
      <c r="G811" s="836">
        <v>74320699</v>
      </c>
      <c r="H811" s="836">
        <v>78350144</v>
      </c>
      <c r="I811" s="836">
        <v>74320699</v>
      </c>
    </row>
    <row r="812" spans="1:9" ht="15">
      <c r="A812" s="1080" t="s">
        <v>1350</v>
      </c>
      <c r="B812" s="413">
        <v>182081735</v>
      </c>
      <c r="C812" s="413">
        <v>182081735</v>
      </c>
      <c r="D812" s="413">
        <v>189299844</v>
      </c>
      <c r="E812" s="413">
        <v>189299844</v>
      </c>
      <c r="F812" s="836">
        <v>189299844</v>
      </c>
      <c r="G812" s="836">
        <v>182081735</v>
      </c>
      <c r="H812" s="836">
        <v>189299844</v>
      </c>
      <c r="I812" s="836">
        <v>182081735</v>
      </c>
    </row>
    <row r="813" spans="1:9" ht="15">
      <c r="A813" s="1080" t="s">
        <v>413</v>
      </c>
      <c r="B813" s="413">
        <v>5607941</v>
      </c>
      <c r="C813" s="413">
        <v>5607941</v>
      </c>
      <c r="D813" s="413">
        <v>5876791</v>
      </c>
      <c r="E813" s="413">
        <v>5876791</v>
      </c>
      <c r="F813" s="836">
        <v>5876791</v>
      </c>
      <c r="G813" s="836">
        <v>5607941</v>
      </c>
      <c r="H813" s="836">
        <v>5876791</v>
      </c>
      <c r="I813" s="836">
        <v>5607941</v>
      </c>
    </row>
    <row r="814" spans="1:9" ht="15">
      <c r="A814" s="1080" t="s">
        <v>1887</v>
      </c>
      <c r="B814" s="413">
        <v>1727420880</v>
      </c>
      <c r="C814" s="413">
        <v>1727420880</v>
      </c>
      <c r="D814" s="413">
        <v>1772245010</v>
      </c>
      <c r="E814" s="413">
        <v>1772245010</v>
      </c>
      <c r="F814" s="836">
        <v>1715307355</v>
      </c>
      <c r="G814" s="836">
        <v>1670483225</v>
      </c>
      <c r="H814" s="836">
        <v>1715307355</v>
      </c>
      <c r="I814" s="836">
        <v>1670483225</v>
      </c>
    </row>
    <row r="815" spans="1:9" ht="15">
      <c r="A815" s="1080" t="s">
        <v>1888</v>
      </c>
      <c r="B815" s="413">
        <v>87886757</v>
      </c>
      <c r="C815" s="413">
        <v>87886757</v>
      </c>
      <c r="D815" s="413">
        <v>91358737</v>
      </c>
      <c r="E815" s="413">
        <v>91358737</v>
      </c>
      <c r="F815" s="836">
        <v>87924952</v>
      </c>
      <c r="G815" s="836">
        <v>84452972</v>
      </c>
      <c r="H815" s="836">
        <v>87924952</v>
      </c>
      <c r="I815" s="836">
        <v>84452972</v>
      </c>
    </row>
    <row r="816" spans="1:9" ht="15">
      <c r="A816" s="1080" t="s">
        <v>1889</v>
      </c>
      <c r="B816" s="413">
        <v>38495069</v>
      </c>
      <c r="C816" s="413">
        <v>38495069</v>
      </c>
      <c r="D816" s="413">
        <v>39916719</v>
      </c>
      <c r="E816" s="413">
        <v>39916719</v>
      </c>
      <c r="F816" s="836">
        <v>38692829</v>
      </c>
      <c r="G816" s="836">
        <v>37271179</v>
      </c>
      <c r="H816" s="836">
        <v>38692829</v>
      </c>
      <c r="I816" s="836">
        <v>37271179</v>
      </c>
    </row>
    <row r="817" spans="1:9" ht="15">
      <c r="A817" s="1080" t="s">
        <v>2830</v>
      </c>
      <c r="B817" s="413">
        <v>58891436</v>
      </c>
      <c r="C817" s="413">
        <v>58891436</v>
      </c>
      <c r="D817" s="413">
        <v>62739296</v>
      </c>
      <c r="E817" s="413">
        <v>62739296</v>
      </c>
      <c r="F817" s="836">
        <v>58828931</v>
      </c>
      <c r="G817" s="836">
        <v>54981071</v>
      </c>
      <c r="H817" s="836">
        <v>58828931</v>
      </c>
      <c r="I817" s="836">
        <v>54981071</v>
      </c>
    </row>
    <row r="818" spans="1:9" ht="15">
      <c r="A818" s="1080" t="s">
        <v>2831</v>
      </c>
      <c r="B818" s="413">
        <v>72672370</v>
      </c>
      <c r="C818" s="413">
        <v>72672370</v>
      </c>
      <c r="D818" s="413">
        <v>78179780</v>
      </c>
      <c r="E818" s="413">
        <v>78179780</v>
      </c>
      <c r="F818" s="836">
        <v>73270375</v>
      </c>
      <c r="G818" s="836">
        <v>67762965</v>
      </c>
      <c r="H818" s="836">
        <v>73270375</v>
      </c>
      <c r="I818" s="836">
        <v>67762965</v>
      </c>
    </row>
    <row r="819" spans="1:9" ht="15">
      <c r="A819" s="1080" t="s">
        <v>1890</v>
      </c>
      <c r="B819" s="413">
        <v>1237794530</v>
      </c>
      <c r="C819" s="413">
        <v>1237794530</v>
      </c>
      <c r="D819" s="413">
        <v>1250921100</v>
      </c>
      <c r="E819" s="413">
        <v>1250921100</v>
      </c>
      <c r="F819" s="836">
        <v>1233593485</v>
      </c>
      <c r="G819" s="836">
        <v>1220466915</v>
      </c>
      <c r="H819" s="836">
        <v>1233593485</v>
      </c>
      <c r="I819" s="836">
        <v>1220466915</v>
      </c>
    </row>
    <row r="820" spans="1:9" ht="15">
      <c r="A820" s="1080" t="s">
        <v>218</v>
      </c>
      <c r="B820" s="413">
        <v>120885251</v>
      </c>
      <c r="C820" s="413">
        <v>120885251</v>
      </c>
      <c r="D820" s="413">
        <v>125069731</v>
      </c>
      <c r="E820" s="413">
        <v>125069731</v>
      </c>
      <c r="F820" s="836">
        <v>120803179</v>
      </c>
      <c r="G820" s="836">
        <v>116618699</v>
      </c>
      <c r="H820" s="836">
        <v>120803179</v>
      </c>
      <c r="I820" s="836">
        <v>116618699</v>
      </c>
    </row>
    <row r="821" spans="1:9" ht="15">
      <c r="A821" s="1080" t="s">
        <v>1891</v>
      </c>
      <c r="B821" s="413">
        <v>479087095</v>
      </c>
      <c r="C821" s="413">
        <v>479087095</v>
      </c>
      <c r="D821" s="413">
        <v>490063795</v>
      </c>
      <c r="E821" s="413">
        <v>490063795</v>
      </c>
      <c r="F821" s="836">
        <v>479388885</v>
      </c>
      <c r="G821" s="836">
        <v>468412185</v>
      </c>
      <c r="H821" s="836">
        <v>479388885</v>
      </c>
      <c r="I821" s="836">
        <v>468412185</v>
      </c>
    </row>
    <row r="822" spans="1:9" ht="15">
      <c r="A822" s="1080" t="s">
        <v>1575</v>
      </c>
      <c r="B822" s="413">
        <v>445782000</v>
      </c>
      <c r="C822" s="413">
        <v>445782000</v>
      </c>
      <c r="D822" s="413">
        <v>466717010</v>
      </c>
      <c r="E822" s="413">
        <v>466717010</v>
      </c>
      <c r="F822" s="836">
        <v>466717010</v>
      </c>
      <c r="G822" s="836">
        <v>445782000</v>
      </c>
      <c r="H822" s="836">
        <v>466717010</v>
      </c>
      <c r="I822" s="836">
        <v>445782000</v>
      </c>
    </row>
    <row r="823" spans="1:9" ht="15">
      <c r="A823" s="1080" t="s">
        <v>1576</v>
      </c>
      <c r="B823" s="413">
        <v>94787048</v>
      </c>
      <c r="C823" s="413">
        <v>94787048</v>
      </c>
      <c r="D823" s="413">
        <v>100563828</v>
      </c>
      <c r="E823" s="413">
        <v>100563828</v>
      </c>
      <c r="F823" s="836">
        <v>97407363</v>
      </c>
      <c r="G823" s="836">
        <v>91630583</v>
      </c>
      <c r="H823" s="836">
        <v>97407363</v>
      </c>
      <c r="I823" s="836">
        <v>91630583</v>
      </c>
    </row>
    <row r="824" spans="1:9" ht="15">
      <c r="A824" s="1080" t="s">
        <v>1577</v>
      </c>
      <c r="B824" s="413">
        <v>494268912</v>
      </c>
      <c r="C824" s="413">
        <v>494268912</v>
      </c>
      <c r="D824" s="413">
        <v>502185270</v>
      </c>
      <c r="E824" s="413">
        <v>502185270</v>
      </c>
      <c r="F824" s="836">
        <v>502185270</v>
      </c>
      <c r="G824" s="836">
        <v>494268912</v>
      </c>
      <c r="H824" s="836">
        <v>502185270</v>
      </c>
      <c r="I824" s="836">
        <v>494268912</v>
      </c>
    </row>
    <row r="825" spans="1:9" ht="15">
      <c r="A825" s="1080" t="s">
        <v>1832</v>
      </c>
      <c r="B825" s="413">
        <v>186989121</v>
      </c>
      <c r="C825" s="413">
        <v>186989121</v>
      </c>
      <c r="D825" s="413">
        <v>192010651</v>
      </c>
      <c r="E825" s="413">
        <v>192010651</v>
      </c>
      <c r="F825" s="836">
        <v>192010651</v>
      </c>
      <c r="G825" s="836">
        <v>186989121</v>
      </c>
      <c r="H825" s="836">
        <v>192010651</v>
      </c>
      <c r="I825" s="836">
        <v>186989121</v>
      </c>
    </row>
    <row r="826" spans="1:9" ht="15">
      <c r="A826" s="1080" t="s">
        <v>1833</v>
      </c>
      <c r="B826" s="413">
        <v>991878137</v>
      </c>
      <c r="C826" s="413">
        <v>991878137</v>
      </c>
      <c r="D826" s="413">
        <v>1026771102</v>
      </c>
      <c r="E826" s="413">
        <v>1026771102</v>
      </c>
      <c r="F826" s="836">
        <v>1026771102</v>
      </c>
      <c r="G826" s="836">
        <v>991878137</v>
      </c>
      <c r="H826" s="836">
        <v>1026771102</v>
      </c>
      <c r="I826" s="836">
        <v>991878137</v>
      </c>
    </row>
    <row r="827" spans="1:9" ht="15">
      <c r="A827" s="1080" t="s">
        <v>2790</v>
      </c>
      <c r="B827" s="413">
        <v>309948715</v>
      </c>
      <c r="C827" s="413">
        <v>309948715</v>
      </c>
      <c r="D827" s="413">
        <v>325456983</v>
      </c>
      <c r="E827" s="413">
        <v>325456983</v>
      </c>
      <c r="F827" s="836">
        <v>325456983</v>
      </c>
      <c r="G827" s="836">
        <v>309948715</v>
      </c>
      <c r="H827" s="836">
        <v>325456983</v>
      </c>
      <c r="I827" s="836">
        <v>309948715</v>
      </c>
    </row>
    <row r="828" spans="1:9" ht="15">
      <c r="A828" s="1080" t="s">
        <v>1382</v>
      </c>
      <c r="B828" s="413">
        <v>716909094</v>
      </c>
      <c r="C828" s="413">
        <v>716909094</v>
      </c>
      <c r="D828" s="413">
        <v>734889677</v>
      </c>
      <c r="E828" s="413">
        <v>734889677</v>
      </c>
      <c r="F828" s="836">
        <v>734889677</v>
      </c>
      <c r="G828" s="836">
        <v>716909094</v>
      </c>
      <c r="H828" s="836">
        <v>734889677</v>
      </c>
      <c r="I828" s="836">
        <v>716909094</v>
      </c>
    </row>
    <row r="829" spans="1:9" ht="15">
      <c r="A829" s="1080" t="s">
        <v>2791</v>
      </c>
      <c r="B829" s="413">
        <v>1654202292</v>
      </c>
      <c r="C829" s="413">
        <v>1736328772</v>
      </c>
      <c r="D829" s="413">
        <v>1691867259</v>
      </c>
      <c r="E829" s="413">
        <v>1773993739</v>
      </c>
      <c r="F829" s="836">
        <v>1691867259</v>
      </c>
      <c r="G829" s="836">
        <v>1654202292</v>
      </c>
      <c r="H829" s="836">
        <v>1773993739</v>
      </c>
      <c r="I829" s="836">
        <v>1736328772</v>
      </c>
    </row>
    <row r="830" spans="1:9" ht="15">
      <c r="A830" s="1080" t="s">
        <v>1639</v>
      </c>
      <c r="B830" s="413">
        <v>1817909694</v>
      </c>
      <c r="C830" s="413">
        <v>1817909694</v>
      </c>
      <c r="D830" s="413">
        <v>1835745831</v>
      </c>
      <c r="E830" s="413">
        <v>1835745831</v>
      </c>
      <c r="F830" s="836">
        <v>1835745831</v>
      </c>
      <c r="G830" s="836">
        <v>1817909694</v>
      </c>
      <c r="H830" s="836">
        <v>1835745831</v>
      </c>
      <c r="I830" s="836">
        <v>1817909694</v>
      </c>
    </row>
    <row r="831" spans="1:9" ht="15">
      <c r="A831" s="1080" t="s">
        <v>2892</v>
      </c>
      <c r="B831" s="413">
        <v>371217115</v>
      </c>
      <c r="C831" s="413">
        <v>371217115</v>
      </c>
      <c r="D831" s="413">
        <v>386470677</v>
      </c>
      <c r="E831" s="413">
        <v>386470677</v>
      </c>
      <c r="F831" s="836">
        <v>386470677</v>
      </c>
      <c r="G831" s="836">
        <v>371217115</v>
      </c>
      <c r="H831" s="836">
        <v>386470677</v>
      </c>
      <c r="I831" s="836">
        <v>371217115</v>
      </c>
    </row>
    <row r="832" spans="1:9" ht="15">
      <c r="A832" s="1080" t="s">
        <v>1591</v>
      </c>
      <c r="B832" s="413">
        <v>310393328</v>
      </c>
      <c r="C832" s="413">
        <v>357825248</v>
      </c>
      <c r="D832" s="413">
        <v>319706669</v>
      </c>
      <c r="E832" s="413">
        <v>367138589</v>
      </c>
      <c r="F832" s="836">
        <v>319706669</v>
      </c>
      <c r="G832" s="836">
        <v>310393328</v>
      </c>
      <c r="H832" s="836">
        <v>367138589</v>
      </c>
      <c r="I832" s="836">
        <v>357825248</v>
      </c>
    </row>
    <row r="833" spans="1:9" ht="15">
      <c r="A833" s="1080" t="s">
        <v>1493</v>
      </c>
      <c r="B833" s="413">
        <v>407487807</v>
      </c>
      <c r="C833" s="413">
        <v>468173247</v>
      </c>
      <c r="D833" s="413">
        <v>423340968</v>
      </c>
      <c r="E833" s="413">
        <v>484026408</v>
      </c>
      <c r="F833" s="836">
        <v>423340968</v>
      </c>
      <c r="G833" s="836">
        <v>407487807</v>
      </c>
      <c r="H833" s="836">
        <v>484026408</v>
      </c>
      <c r="I833" s="836">
        <v>468173247</v>
      </c>
    </row>
    <row r="834" spans="1:9" ht="15">
      <c r="A834" s="1080" t="s">
        <v>219</v>
      </c>
      <c r="B834" s="413">
        <v>286501777</v>
      </c>
      <c r="C834" s="413">
        <v>506084767</v>
      </c>
      <c r="D834" s="413">
        <v>295148851</v>
      </c>
      <c r="E834" s="413">
        <v>514731841</v>
      </c>
      <c r="F834" s="836">
        <v>295148851</v>
      </c>
      <c r="G834" s="836">
        <v>286501777</v>
      </c>
      <c r="H834" s="836">
        <v>514731841</v>
      </c>
      <c r="I834" s="836">
        <v>506084767</v>
      </c>
    </row>
    <row r="835" spans="1:9" ht="15">
      <c r="A835" s="1080" t="s">
        <v>531</v>
      </c>
      <c r="B835" s="413">
        <v>189979284</v>
      </c>
      <c r="C835" s="413">
        <v>189979284</v>
      </c>
      <c r="D835" s="413">
        <v>198958904</v>
      </c>
      <c r="E835" s="413">
        <v>198958904</v>
      </c>
      <c r="F835" s="836">
        <v>198958904</v>
      </c>
      <c r="G835" s="836">
        <v>189979284</v>
      </c>
      <c r="H835" s="836">
        <v>198958904</v>
      </c>
      <c r="I835" s="836">
        <v>189979284</v>
      </c>
    </row>
    <row r="836" spans="1:9" ht="15">
      <c r="A836" s="1080" t="s">
        <v>1640</v>
      </c>
      <c r="B836" s="413">
        <v>59149813</v>
      </c>
      <c r="C836" s="413">
        <v>59149813</v>
      </c>
      <c r="D836" s="413">
        <v>61228993</v>
      </c>
      <c r="E836" s="413">
        <v>61228993</v>
      </c>
      <c r="F836" s="836">
        <v>61228993</v>
      </c>
      <c r="G836" s="836">
        <v>59149813</v>
      </c>
      <c r="H836" s="836">
        <v>61228993</v>
      </c>
      <c r="I836" s="836">
        <v>59149813</v>
      </c>
    </row>
    <row r="837" spans="1:9" ht="15">
      <c r="A837" s="1080" t="s">
        <v>1641</v>
      </c>
      <c r="B837" s="413">
        <v>45885653</v>
      </c>
      <c r="C837" s="413">
        <v>45885653</v>
      </c>
      <c r="D837" s="413">
        <v>47236663</v>
      </c>
      <c r="E837" s="413">
        <v>47236663</v>
      </c>
      <c r="F837" s="836">
        <v>47236663</v>
      </c>
      <c r="G837" s="836">
        <v>45885653</v>
      </c>
      <c r="H837" s="836">
        <v>47236663</v>
      </c>
      <c r="I837" s="836">
        <v>45885653</v>
      </c>
    </row>
    <row r="838" spans="1:9" ht="15">
      <c r="A838" s="1080" t="s">
        <v>1557</v>
      </c>
      <c r="B838" s="413">
        <v>337128818</v>
      </c>
      <c r="C838" s="413">
        <v>344983948</v>
      </c>
      <c r="D838" s="413">
        <v>341723143</v>
      </c>
      <c r="E838" s="413">
        <v>349578273</v>
      </c>
      <c r="F838" s="836">
        <v>338731689</v>
      </c>
      <c r="G838" s="836">
        <v>334137364</v>
      </c>
      <c r="H838" s="836">
        <v>346586819</v>
      </c>
      <c r="I838" s="836">
        <v>341992494</v>
      </c>
    </row>
    <row r="839" spans="1:9" ht="15">
      <c r="A839" s="1080" t="s">
        <v>1558</v>
      </c>
      <c r="B839" s="413">
        <v>130036554</v>
      </c>
      <c r="C839" s="413">
        <v>390416234</v>
      </c>
      <c r="D839" s="413">
        <v>131767992</v>
      </c>
      <c r="E839" s="413">
        <v>392147672</v>
      </c>
      <c r="F839" s="836">
        <v>131767992</v>
      </c>
      <c r="G839" s="836">
        <v>130036554</v>
      </c>
      <c r="H839" s="836">
        <v>392147672</v>
      </c>
      <c r="I839" s="836">
        <v>390416234</v>
      </c>
    </row>
    <row r="840" spans="1:9" ht="15">
      <c r="A840" s="1080" t="s">
        <v>1559</v>
      </c>
      <c r="B840" s="413">
        <v>2671461055</v>
      </c>
      <c r="C840" s="413">
        <v>2723407825</v>
      </c>
      <c r="D840" s="413">
        <v>2701062359</v>
      </c>
      <c r="E840" s="413">
        <v>2753009129</v>
      </c>
      <c r="F840" s="836">
        <v>2701062359</v>
      </c>
      <c r="G840" s="836">
        <v>2671461055</v>
      </c>
      <c r="H840" s="836">
        <v>2753009129</v>
      </c>
      <c r="I840" s="836">
        <v>2723407825</v>
      </c>
    </row>
    <row r="841" spans="1:9" ht="15">
      <c r="A841" s="1080" t="s">
        <v>1662</v>
      </c>
      <c r="B841" s="413">
        <v>175950457</v>
      </c>
      <c r="C841" s="413">
        <v>175950457</v>
      </c>
      <c r="D841" s="413">
        <v>177542369</v>
      </c>
      <c r="E841" s="413">
        <v>177542369</v>
      </c>
      <c r="F841" s="836">
        <v>177542369</v>
      </c>
      <c r="G841" s="836">
        <v>175950457</v>
      </c>
      <c r="H841" s="836">
        <v>177542369</v>
      </c>
      <c r="I841" s="836">
        <v>175950457</v>
      </c>
    </row>
    <row r="842" spans="1:9" ht="15">
      <c r="A842" s="1080" t="s">
        <v>1084</v>
      </c>
      <c r="B842" s="413">
        <v>280869463</v>
      </c>
      <c r="C842" s="413">
        <v>402608621</v>
      </c>
      <c r="D842" s="413">
        <v>286650841</v>
      </c>
      <c r="E842" s="413">
        <v>408389999</v>
      </c>
      <c r="F842" s="836">
        <v>286650841</v>
      </c>
      <c r="G842" s="836">
        <v>280869463</v>
      </c>
      <c r="H842" s="836">
        <v>408389999</v>
      </c>
      <c r="I842" s="836">
        <v>402608621</v>
      </c>
    </row>
    <row r="843" spans="1:9" ht="15">
      <c r="A843" s="1080" t="s">
        <v>1085</v>
      </c>
      <c r="B843" s="413">
        <v>60696041</v>
      </c>
      <c r="C843" s="413">
        <v>60696041</v>
      </c>
      <c r="D843" s="413">
        <v>61386102</v>
      </c>
      <c r="E843" s="413">
        <v>61386102</v>
      </c>
      <c r="F843" s="836">
        <v>61386102</v>
      </c>
      <c r="G843" s="836">
        <v>60696041</v>
      </c>
      <c r="H843" s="836">
        <v>61386102</v>
      </c>
      <c r="I843" s="836">
        <v>60696041</v>
      </c>
    </row>
    <row r="844" spans="1:9" ht="15">
      <c r="A844" s="1080" t="s">
        <v>1086</v>
      </c>
      <c r="B844" s="413">
        <v>577700667</v>
      </c>
      <c r="C844" s="413">
        <v>577700667</v>
      </c>
      <c r="D844" s="413">
        <v>595079284</v>
      </c>
      <c r="E844" s="413">
        <v>595079284</v>
      </c>
      <c r="F844" s="836">
        <v>578410036</v>
      </c>
      <c r="G844" s="836">
        <v>561031419</v>
      </c>
      <c r="H844" s="836">
        <v>578410036</v>
      </c>
      <c r="I844" s="836">
        <v>561031419</v>
      </c>
    </row>
    <row r="845" spans="1:9" ht="15">
      <c r="A845" s="1080" t="s">
        <v>1245</v>
      </c>
      <c r="B845" s="413">
        <v>194200172</v>
      </c>
      <c r="C845" s="413">
        <v>194200172</v>
      </c>
      <c r="D845" s="413">
        <v>200576263</v>
      </c>
      <c r="E845" s="413">
        <v>200576263</v>
      </c>
      <c r="F845" s="836">
        <v>194660907</v>
      </c>
      <c r="G845" s="836">
        <v>188284816</v>
      </c>
      <c r="H845" s="836">
        <v>194660907</v>
      </c>
      <c r="I845" s="836">
        <v>188284816</v>
      </c>
    </row>
    <row r="846" spans="1:9" ht="15">
      <c r="A846" s="1080" t="s">
        <v>220</v>
      </c>
      <c r="B846" s="413">
        <v>293059548</v>
      </c>
      <c r="C846" s="413">
        <v>293059548</v>
      </c>
      <c r="D846" s="413">
        <v>299040738</v>
      </c>
      <c r="E846" s="413">
        <v>299040738</v>
      </c>
      <c r="F846" s="836">
        <v>299040738</v>
      </c>
      <c r="G846" s="836">
        <v>293059548</v>
      </c>
      <c r="H846" s="836">
        <v>299040738</v>
      </c>
      <c r="I846" s="836">
        <v>293059548</v>
      </c>
    </row>
    <row r="847" spans="1:9" ht="15">
      <c r="A847" s="1080" t="s">
        <v>1246</v>
      </c>
      <c r="B847" s="413">
        <v>99572532</v>
      </c>
      <c r="C847" s="413">
        <v>99572532</v>
      </c>
      <c r="D847" s="413">
        <v>102848620</v>
      </c>
      <c r="E847" s="413">
        <v>102848620</v>
      </c>
      <c r="F847" s="836">
        <v>102848620</v>
      </c>
      <c r="G847" s="836">
        <v>99572532</v>
      </c>
      <c r="H847" s="836">
        <v>102848620</v>
      </c>
      <c r="I847" s="836">
        <v>99572532</v>
      </c>
    </row>
    <row r="848" spans="1:9" ht="15">
      <c r="A848" s="1080" t="s">
        <v>1247</v>
      </c>
      <c r="B848" s="413">
        <v>128498985</v>
      </c>
      <c r="C848" s="413">
        <v>128498985</v>
      </c>
      <c r="D848" s="413">
        <v>134577370</v>
      </c>
      <c r="E848" s="413">
        <v>134577370</v>
      </c>
      <c r="F848" s="836">
        <v>129114542</v>
      </c>
      <c r="G848" s="836">
        <v>123036157</v>
      </c>
      <c r="H848" s="836">
        <v>129114542</v>
      </c>
      <c r="I848" s="836">
        <v>123036157</v>
      </c>
    </row>
    <row r="849" spans="1:9" ht="15">
      <c r="A849" s="1080" t="s">
        <v>1407</v>
      </c>
      <c r="B849" s="413">
        <v>43696457</v>
      </c>
      <c r="C849" s="413">
        <v>43696457</v>
      </c>
      <c r="D849" s="413">
        <v>44675565</v>
      </c>
      <c r="E849" s="413">
        <v>44675565</v>
      </c>
      <c r="F849" s="836">
        <v>44675565</v>
      </c>
      <c r="G849" s="836">
        <v>43696457</v>
      </c>
      <c r="H849" s="836">
        <v>44675565</v>
      </c>
      <c r="I849" s="836">
        <v>43696457</v>
      </c>
    </row>
    <row r="850" spans="1:9" ht="15">
      <c r="A850" s="1080" t="s">
        <v>1408</v>
      </c>
      <c r="B850" s="413">
        <v>118525362</v>
      </c>
      <c r="C850" s="413">
        <v>118525362</v>
      </c>
      <c r="D850" s="413">
        <v>119411412</v>
      </c>
      <c r="E850" s="413">
        <v>119411412</v>
      </c>
      <c r="F850" s="836">
        <v>119411412</v>
      </c>
      <c r="G850" s="836">
        <v>118525362</v>
      </c>
      <c r="H850" s="836">
        <v>119411412</v>
      </c>
      <c r="I850" s="836">
        <v>118525362</v>
      </c>
    </row>
    <row r="851" spans="1:9" ht="15">
      <c r="A851" s="1080" t="s">
        <v>2040</v>
      </c>
      <c r="B851" s="413">
        <v>470492794</v>
      </c>
      <c r="C851" s="413">
        <v>470492794</v>
      </c>
      <c r="D851" s="413">
        <v>475156698</v>
      </c>
      <c r="E851" s="413">
        <v>475156698</v>
      </c>
      <c r="F851" s="836">
        <v>475156698</v>
      </c>
      <c r="G851" s="836">
        <v>470492794</v>
      </c>
      <c r="H851" s="836">
        <v>475156698</v>
      </c>
      <c r="I851" s="836">
        <v>470492794</v>
      </c>
    </row>
    <row r="852" spans="1:9" ht="15">
      <c r="A852" s="1080" t="s">
        <v>304</v>
      </c>
      <c r="B852" s="413">
        <v>336921477</v>
      </c>
      <c r="C852" s="413">
        <v>336921477</v>
      </c>
      <c r="D852" s="413">
        <v>349836238</v>
      </c>
      <c r="E852" s="413">
        <v>349836238</v>
      </c>
      <c r="F852" s="836">
        <v>327653936</v>
      </c>
      <c r="G852" s="836">
        <v>314739175</v>
      </c>
      <c r="H852" s="836">
        <v>327653936</v>
      </c>
      <c r="I852" s="836">
        <v>314739175</v>
      </c>
    </row>
    <row r="853" spans="1:9" ht="15">
      <c r="A853" s="1080" t="s">
        <v>1943</v>
      </c>
      <c r="B853" s="413">
        <v>846303346</v>
      </c>
      <c r="C853" s="413">
        <v>846303346</v>
      </c>
      <c r="D853" s="413">
        <v>875921389</v>
      </c>
      <c r="E853" s="413">
        <v>875921389</v>
      </c>
      <c r="F853" s="836">
        <v>875921389</v>
      </c>
      <c r="G853" s="836">
        <v>846303346</v>
      </c>
      <c r="H853" s="836">
        <v>875921389</v>
      </c>
      <c r="I853" s="836">
        <v>846303346</v>
      </c>
    </row>
    <row r="854" spans="1:9" ht="15">
      <c r="A854" s="1080" t="s">
        <v>1944</v>
      </c>
      <c r="B854" s="413">
        <v>1223168422</v>
      </c>
      <c r="C854" s="413">
        <v>1223168422</v>
      </c>
      <c r="D854" s="413">
        <v>1273201754</v>
      </c>
      <c r="E854" s="413">
        <v>1273201754</v>
      </c>
      <c r="F854" s="836">
        <v>1273201754</v>
      </c>
      <c r="G854" s="836">
        <v>1223168422</v>
      </c>
      <c r="H854" s="836">
        <v>1273201754</v>
      </c>
      <c r="I854" s="836">
        <v>1223168422</v>
      </c>
    </row>
    <row r="855" spans="1:9" ht="15">
      <c r="A855" s="1080" t="s">
        <v>1136</v>
      </c>
      <c r="B855" s="413">
        <v>323738080</v>
      </c>
      <c r="C855" s="413">
        <v>323738080</v>
      </c>
      <c r="D855" s="413">
        <v>334156375</v>
      </c>
      <c r="E855" s="413">
        <v>334156375</v>
      </c>
      <c r="F855" s="836">
        <v>334156375</v>
      </c>
      <c r="G855" s="836">
        <v>323738080</v>
      </c>
      <c r="H855" s="836">
        <v>334156375</v>
      </c>
      <c r="I855" s="836">
        <v>323738080</v>
      </c>
    </row>
    <row r="856" spans="1:9" ht="15">
      <c r="A856" s="1080" t="s">
        <v>217</v>
      </c>
      <c r="B856" s="413">
        <v>7843721058</v>
      </c>
      <c r="C856" s="413">
        <v>7843721058</v>
      </c>
      <c r="D856" s="413">
        <v>8069509453</v>
      </c>
      <c r="E856" s="413">
        <v>8069509453</v>
      </c>
      <c r="F856" s="836">
        <v>8069509453</v>
      </c>
      <c r="G856" s="836">
        <v>7843721058</v>
      </c>
      <c r="H856" s="836">
        <v>8069509453</v>
      </c>
      <c r="I856" s="836">
        <v>7843721058</v>
      </c>
    </row>
    <row r="857" spans="1:9" ht="15">
      <c r="A857" s="1080" t="s">
        <v>1348</v>
      </c>
      <c r="B857" s="413">
        <v>1791158215</v>
      </c>
      <c r="C857" s="413">
        <v>1791158215</v>
      </c>
      <c r="D857" s="413">
        <v>1848209876</v>
      </c>
      <c r="E857" s="413">
        <v>1848209876</v>
      </c>
      <c r="F857" s="836">
        <v>1848209876</v>
      </c>
      <c r="G857" s="836">
        <v>1791158215</v>
      </c>
      <c r="H857" s="836">
        <v>1848209876</v>
      </c>
      <c r="I857" s="836">
        <v>1791158215</v>
      </c>
    </row>
    <row r="858" spans="1:9" ht="15">
      <c r="A858" s="1080" t="s">
        <v>1516</v>
      </c>
      <c r="B858" s="413">
        <v>1132487761</v>
      </c>
      <c r="C858" s="413">
        <v>1132487761</v>
      </c>
      <c r="D858" s="413">
        <v>1172015344</v>
      </c>
      <c r="E858" s="413">
        <v>1172015344</v>
      </c>
      <c r="F858" s="836">
        <v>1172015344</v>
      </c>
      <c r="G858" s="836">
        <v>1132487761</v>
      </c>
      <c r="H858" s="836">
        <v>1172015344</v>
      </c>
      <c r="I858" s="836">
        <v>1132487761</v>
      </c>
    </row>
    <row r="859" spans="1:9" ht="15">
      <c r="A859" s="1080" t="s">
        <v>1517</v>
      </c>
      <c r="B859" s="413">
        <v>375851272</v>
      </c>
      <c r="C859" s="413">
        <v>375851272</v>
      </c>
      <c r="D859" s="413">
        <v>388428462</v>
      </c>
      <c r="E859" s="413">
        <v>388428462</v>
      </c>
      <c r="F859" s="836">
        <v>388428462</v>
      </c>
      <c r="G859" s="836">
        <v>375851272</v>
      </c>
      <c r="H859" s="836">
        <v>388428462</v>
      </c>
      <c r="I859" s="836">
        <v>375851272</v>
      </c>
    </row>
    <row r="860" spans="1:9" ht="15">
      <c r="A860" s="1080" t="s">
        <v>1518</v>
      </c>
      <c r="B860" s="413">
        <v>3139054462</v>
      </c>
      <c r="C860" s="413">
        <v>3139054462</v>
      </c>
      <c r="D860" s="413">
        <v>3157723417</v>
      </c>
      <c r="E860" s="413">
        <v>3157723417</v>
      </c>
      <c r="F860" s="836">
        <v>3125035843</v>
      </c>
      <c r="G860" s="836">
        <v>3106366888</v>
      </c>
      <c r="H860" s="836">
        <v>3125035843</v>
      </c>
      <c r="I860" s="836">
        <v>3106366888</v>
      </c>
    </row>
    <row r="861" spans="1:9" ht="15">
      <c r="A861" s="1080" t="s">
        <v>3050</v>
      </c>
      <c r="B861" s="413">
        <v>1436247793</v>
      </c>
      <c r="C861" s="413">
        <v>1436247793</v>
      </c>
      <c r="D861" s="413">
        <v>1485352533</v>
      </c>
      <c r="E861" s="413">
        <v>1485352533</v>
      </c>
      <c r="F861" s="836">
        <v>1485352533</v>
      </c>
      <c r="G861" s="836">
        <v>1436247793</v>
      </c>
      <c r="H861" s="836">
        <v>1485352533</v>
      </c>
      <c r="I861" s="836">
        <v>1436247793</v>
      </c>
    </row>
    <row r="862" spans="1:9" ht="15">
      <c r="A862" s="1080" t="s">
        <v>1945</v>
      </c>
      <c r="B862" s="413">
        <v>182502255</v>
      </c>
      <c r="C862" s="413">
        <v>182502255</v>
      </c>
      <c r="D862" s="413">
        <v>183251985</v>
      </c>
      <c r="E862" s="413">
        <v>183251985</v>
      </c>
      <c r="F862" s="836">
        <v>183251985</v>
      </c>
      <c r="G862" s="836">
        <v>182502255</v>
      </c>
      <c r="H862" s="836">
        <v>183251985</v>
      </c>
      <c r="I862" s="836">
        <v>182502255</v>
      </c>
    </row>
    <row r="863" spans="1:9" ht="15">
      <c r="A863" s="1080" t="s">
        <v>221</v>
      </c>
      <c r="B863" s="413">
        <v>474849918</v>
      </c>
      <c r="C863" s="413">
        <v>474849918</v>
      </c>
      <c r="D863" s="413">
        <v>500461258</v>
      </c>
      <c r="E863" s="413">
        <v>500461258</v>
      </c>
      <c r="F863" s="836">
        <v>500461258</v>
      </c>
      <c r="G863" s="836">
        <v>474849918</v>
      </c>
      <c r="H863" s="836">
        <v>500461258</v>
      </c>
      <c r="I863" s="836">
        <v>474849918</v>
      </c>
    </row>
    <row r="864" spans="1:9" ht="15">
      <c r="A864" s="1080" t="s">
        <v>1946</v>
      </c>
      <c r="B864" s="413">
        <v>524560583</v>
      </c>
      <c r="C864" s="413">
        <v>524560583</v>
      </c>
      <c r="D864" s="413">
        <v>544014243</v>
      </c>
      <c r="E864" s="413">
        <v>544014243</v>
      </c>
      <c r="F864" s="836">
        <v>544014243</v>
      </c>
      <c r="G864" s="836">
        <v>524560583</v>
      </c>
      <c r="H864" s="836">
        <v>544014243</v>
      </c>
      <c r="I864" s="836">
        <v>524560583</v>
      </c>
    </row>
    <row r="865" spans="1:9" ht="15">
      <c r="A865" s="1080" t="s">
        <v>2979</v>
      </c>
      <c r="B865" s="413">
        <v>475581314</v>
      </c>
      <c r="C865" s="413">
        <v>1093219294</v>
      </c>
      <c r="D865" s="413">
        <v>477814784</v>
      </c>
      <c r="E865" s="413">
        <v>1095452764</v>
      </c>
      <c r="F865" s="836">
        <v>477814784</v>
      </c>
      <c r="G865" s="836">
        <v>475581314</v>
      </c>
      <c r="H865" s="836">
        <v>1095452764</v>
      </c>
      <c r="I865" s="836">
        <v>1093219294</v>
      </c>
    </row>
    <row r="866" spans="1:9" ht="15">
      <c r="A866" s="1080" t="s">
        <v>849</v>
      </c>
      <c r="B866" s="413">
        <v>231181211</v>
      </c>
      <c r="C866" s="413">
        <v>231181211</v>
      </c>
      <c r="D866" s="413">
        <v>233689171</v>
      </c>
      <c r="E866" s="413">
        <v>233689171</v>
      </c>
      <c r="F866" s="836">
        <v>233689171</v>
      </c>
      <c r="G866" s="836">
        <v>231181211</v>
      </c>
      <c r="H866" s="836">
        <v>233689171</v>
      </c>
      <c r="I866" s="836">
        <v>231181211</v>
      </c>
    </row>
    <row r="867" spans="1:9" ht="15">
      <c r="A867" s="1080" t="s">
        <v>850</v>
      </c>
      <c r="B867" s="413">
        <v>595889233</v>
      </c>
      <c r="C867" s="413">
        <v>595889233</v>
      </c>
      <c r="D867" s="413">
        <v>604190344</v>
      </c>
      <c r="E867" s="413">
        <v>604190344</v>
      </c>
      <c r="F867" s="836">
        <v>594739878</v>
      </c>
      <c r="G867" s="836">
        <v>586438767</v>
      </c>
      <c r="H867" s="836">
        <v>594739878</v>
      </c>
      <c r="I867" s="836">
        <v>586438767</v>
      </c>
    </row>
    <row r="868" spans="1:9" ht="15">
      <c r="A868" s="1080" t="s">
        <v>906</v>
      </c>
      <c r="B868" s="413">
        <v>72710314</v>
      </c>
      <c r="C868" s="413">
        <v>72710314</v>
      </c>
      <c r="D868" s="413">
        <v>74383009</v>
      </c>
      <c r="E868" s="413">
        <v>74383009</v>
      </c>
      <c r="F868" s="836">
        <v>74383009</v>
      </c>
      <c r="G868" s="836">
        <v>72710314</v>
      </c>
      <c r="H868" s="836">
        <v>74383009</v>
      </c>
      <c r="I868" s="836">
        <v>72710314</v>
      </c>
    </row>
    <row r="869" spans="1:9" ht="15">
      <c r="A869" s="1080" t="s">
        <v>617</v>
      </c>
      <c r="B869" s="413">
        <v>141590007</v>
      </c>
      <c r="C869" s="413">
        <v>141590007</v>
      </c>
      <c r="D869" s="413">
        <v>149520735</v>
      </c>
      <c r="E869" s="413">
        <v>149520735</v>
      </c>
      <c r="F869" s="836">
        <v>149520735</v>
      </c>
      <c r="G869" s="836">
        <v>141590007</v>
      </c>
      <c r="H869" s="836">
        <v>149520735</v>
      </c>
      <c r="I869" s="836">
        <v>141590007</v>
      </c>
    </row>
    <row r="870" spans="1:9" ht="15">
      <c r="A870" s="1080" t="s">
        <v>618</v>
      </c>
      <c r="B870" s="413">
        <v>76796250</v>
      </c>
      <c r="C870" s="413">
        <v>76796250</v>
      </c>
      <c r="D870" s="413">
        <v>78540950</v>
      </c>
      <c r="E870" s="413">
        <v>78540950</v>
      </c>
      <c r="F870" s="836">
        <v>78540950</v>
      </c>
      <c r="G870" s="836">
        <v>76796250</v>
      </c>
      <c r="H870" s="836">
        <v>78540950</v>
      </c>
      <c r="I870" s="836">
        <v>76796250</v>
      </c>
    </row>
    <row r="871" spans="1:9" ht="15">
      <c r="A871" s="1080" t="s">
        <v>2621</v>
      </c>
      <c r="B871" s="413">
        <v>20969741006</v>
      </c>
      <c r="C871" s="413">
        <v>20969741006</v>
      </c>
      <c r="D871" s="413">
        <v>21524448983</v>
      </c>
      <c r="E871" s="413">
        <v>21524448983</v>
      </c>
      <c r="F871" s="836">
        <v>21524448983</v>
      </c>
      <c r="G871" s="836">
        <v>20969741006</v>
      </c>
      <c r="H871" s="836">
        <v>21524448983</v>
      </c>
      <c r="I871" s="836">
        <v>20969741006</v>
      </c>
    </row>
    <row r="872" spans="1:9" ht="15">
      <c r="A872" s="1080" t="s">
        <v>985</v>
      </c>
      <c r="B872" s="413">
        <v>7504612464</v>
      </c>
      <c r="C872" s="413">
        <v>7504612464</v>
      </c>
      <c r="D872" s="413">
        <v>7766425604</v>
      </c>
      <c r="E872" s="413">
        <v>7766425604</v>
      </c>
      <c r="F872" s="836">
        <v>7766425604</v>
      </c>
      <c r="G872" s="836">
        <v>7504612464</v>
      </c>
      <c r="H872" s="836">
        <v>7766425604</v>
      </c>
      <c r="I872" s="836">
        <v>7504612464</v>
      </c>
    </row>
    <row r="873" spans="1:9" ht="15">
      <c r="A873" s="1080" t="s">
        <v>2111</v>
      </c>
      <c r="B873" s="413">
        <v>1042264567</v>
      </c>
      <c r="C873" s="413">
        <v>1042264567</v>
      </c>
      <c r="D873" s="413">
        <v>1079625568</v>
      </c>
      <c r="E873" s="413">
        <v>1079625568</v>
      </c>
      <c r="F873" s="836">
        <v>1079625568</v>
      </c>
      <c r="G873" s="836">
        <v>1042264567</v>
      </c>
      <c r="H873" s="836">
        <v>1079625568</v>
      </c>
      <c r="I873" s="836">
        <v>1042264567</v>
      </c>
    </row>
    <row r="874" spans="1:9" ht="15">
      <c r="A874" s="1080" t="s">
        <v>2297</v>
      </c>
      <c r="B874" s="413">
        <v>27638275368</v>
      </c>
      <c r="C874" s="413">
        <v>27638275368</v>
      </c>
      <c r="D874" s="413">
        <v>28371730112</v>
      </c>
      <c r="E874" s="413">
        <v>28371730112</v>
      </c>
      <c r="F874" s="836">
        <v>28371730112</v>
      </c>
      <c r="G874" s="836">
        <v>27638275368</v>
      </c>
      <c r="H874" s="836">
        <v>28371730112</v>
      </c>
      <c r="I874" s="836">
        <v>27638275368</v>
      </c>
    </row>
    <row r="875" spans="1:9" ht="15">
      <c r="A875" s="1080" t="s">
        <v>2497</v>
      </c>
      <c r="B875" s="413">
        <v>11046282115</v>
      </c>
      <c r="C875" s="413">
        <v>11046282115</v>
      </c>
      <c r="D875" s="413">
        <v>11213261257</v>
      </c>
      <c r="E875" s="413">
        <v>11213261257</v>
      </c>
      <c r="F875" s="836">
        <v>11213261257</v>
      </c>
      <c r="G875" s="836">
        <v>11046282115</v>
      </c>
      <c r="H875" s="836">
        <v>11213261257</v>
      </c>
      <c r="I875" s="836">
        <v>11046282115</v>
      </c>
    </row>
    <row r="876" spans="1:9" ht="15">
      <c r="A876" s="1080" t="s">
        <v>57</v>
      </c>
      <c r="B876" s="413">
        <v>13123523116</v>
      </c>
      <c r="C876" s="413">
        <v>13123523116</v>
      </c>
      <c r="D876" s="413">
        <v>13495003487</v>
      </c>
      <c r="E876" s="413">
        <v>13495003487</v>
      </c>
      <c r="F876" s="836">
        <v>13495003487</v>
      </c>
      <c r="G876" s="836">
        <v>13123523116</v>
      </c>
      <c r="H876" s="836">
        <v>13495003487</v>
      </c>
      <c r="I876" s="836">
        <v>13123523116</v>
      </c>
    </row>
    <row r="877" spans="1:9" ht="15">
      <c r="A877" s="1080" t="s">
        <v>379</v>
      </c>
      <c r="B877" s="413">
        <v>10509236545</v>
      </c>
      <c r="C877" s="413">
        <v>10509236545</v>
      </c>
      <c r="D877" s="413">
        <v>10828589635</v>
      </c>
      <c r="E877" s="413">
        <v>10828589635</v>
      </c>
      <c r="F877" s="836">
        <v>10828589635</v>
      </c>
      <c r="G877" s="836">
        <v>10509236545</v>
      </c>
      <c r="H877" s="836">
        <v>10828589635</v>
      </c>
      <c r="I877" s="836">
        <v>10509236545</v>
      </c>
    </row>
    <row r="878" spans="1:9" ht="15">
      <c r="A878" s="1080" t="s">
        <v>1986</v>
      </c>
      <c r="B878" s="413">
        <v>743355125</v>
      </c>
      <c r="C878" s="413">
        <v>743355125</v>
      </c>
      <c r="D878" s="413">
        <v>762878456</v>
      </c>
      <c r="E878" s="413">
        <v>762878456</v>
      </c>
      <c r="F878" s="836">
        <v>762878456</v>
      </c>
      <c r="G878" s="836">
        <v>743355125</v>
      </c>
      <c r="H878" s="836">
        <v>762878456</v>
      </c>
      <c r="I878" s="836">
        <v>743355125</v>
      </c>
    </row>
    <row r="879" spans="1:9" ht="15">
      <c r="A879" s="1080" t="s">
        <v>2759</v>
      </c>
      <c r="B879" s="413">
        <v>5042341196</v>
      </c>
      <c r="C879" s="413">
        <v>5042341196</v>
      </c>
      <c r="D879" s="413">
        <v>5209027668</v>
      </c>
      <c r="E879" s="413">
        <v>5209027668</v>
      </c>
      <c r="F879" s="836">
        <v>5079848197</v>
      </c>
      <c r="G879" s="836">
        <v>4913161725</v>
      </c>
      <c r="H879" s="836">
        <v>5079848197</v>
      </c>
      <c r="I879" s="836">
        <v>4913161725</v>
      </c>
    </row>
    <row r="880" spans="1:9" ht="15">
      <c r="A880" s="1080" t="s">
        <v>59</v>
      </c>
      <c r="B880" s="413">
        <v>1069410622</v>
      </c>
      <c r="C880" s="413">
        <v>1069410622</v>
      </c>
      <c r="D880" s="413">
        <v>1111625767</v>
      </c>
      <c r="E880" s="413">
        <v>1111625767</v>
      </c>
      <c r="F880" s="836">
        <v>1111625767</v>
      </c>
      <c r="G880" s="836">
        <v>1069410622</v>
      </c>
      <c r="H880" s="836">
        <v>1111625767</v>
      </c>
      <c r="I880" s="836">
        <v>1069410622</v>
      </c>
    </row>
    <row r="881" spans="1:9" ht="15">
      <c r="A881" s="1080" t="s">
        <v>1894</v>
      </c>
      <c r="B881" s="413">
        <v>2337435380</v>
      </c>
      <c r="C881" s="413">
        <v>2337435380</v>
      </c>
      <c r="D881" s="413">
        <v>2422602724</v>
      </c>
      <c r="E881" s="413">
        <v>2422602724</v>
      </c>
      <c r="F881" s="836">
        <v>2422602724</v>
      </c>
      <c r="G881" s="836">
        <v>2337435380</v>
      </c>
      <c r="H881" s="836">
        <v>2422602724</v>
      </c>
      <c r="I881" s="836">
        <v>2337435380</v>
      </c>
    </row>
    <row r="882" spans="1:9" ht="15">
      <c r="A882" s="1080" t="s">
        <v>1280</v>
      </c>
      <c r="B882" s="413">
        <v>9603429473</v>
      </c>
      <c r="C882" s="413">
        <v>9603429473</v>
      </c>
      <c r="D882" s="413">
        <v>9876451194</v>
      </c>
      <c r="E882" s="413">
        <v>9876451194</v>
      </c>
      <c r="F882" s="836">
        <v>9807308575</v>
      </c>
      <c r="G882" s="836">
        <v>9534286854</v>
      </c>
      <c r="H882" s="836">
        <v>9807308575</v>
      </c>
      <c r="I882" s="836">
        <v>9534286854</v>
      </c>
    </row>
    <row r="883" spans="1:9" ht="15">
      <c r="A883" s="1080" t="s">
        <v>2108</v>
      </c>
      <c r="B883" s="413">
        <v>437691004</v>
      </c>
      <c r="C883" s="413">
        <v>437691004</v>
      </c>
      <c r="D883" s="413">
        <v>469571703</v>
      </c>
      <c r="E883" s="413">
        <v>469571703</v>
      </c>
      <c r="F883" s="836">
        <v>469571703</v>
      </c>
      <c r="G883" s="836">
        <v>437691004</v>
      </c>
      <c r="H883" s="836">
        <v>469571703</v>
      </c>
      <c r="I883" s="836">
        <v>437691004</v>
      </c>
    </row>
    <row r="884" spans="1:9" ht="15">
      <c r="A884" s="1080" t="s">
        <v>2542</v>
      </c>
      <c r="B884" s="413">
        <v>6814522667</v>
      </c>
      <c r="C884" s="413">
        <v>6814522667</v>
      </c>
      <c r="D884" s="413">
        <v>7003208807</v>
      </c>
      <c r="E884" s="413">
        <v>7003208807</v>
      </c>
      <c r="F884" s="836">
        <v>7003208807</v>
      </c>
      <c r="G884" s="836">
        <v>6814522667</v>
      </c>
      <c r="H884" s="836">
        <v>7003208807</v>
      </c>
      <c r="I884" s="836">
        <v>6814522667</v>
      </c>
    </row>
    <row r="885" spans="1:9" ht="15">
      <c r="A885" s="1080" t="s">
        <v>2107</v>
      </c>
      <c r="B885" s="413">
        <v>6287210118</v>
      </c>
      <c r="C885" s="413">
        <v>6287210118</v>
      </c>
      <c r="D885" s="413">
        <v>6364566120</v>
      </c>
      <c r="E885" s="413">
        <v>6364566120</v>
      </c>
      <c r="F885" s="836">
        <v>6364566120</v>
      </c>
      <c r="G885" s="836">
        <v>6287210118</v>
      </c>
      <c r="H885" s="836">
        <v>6364566120</v>
      </c>
      <c r="I885" s="836">
        <v>6287210118</v>
      </c>
    </row>
    <row r="886" spans="1:9" ht="15">
      <c r="A886" s="1080" t="s">
        <v>1347</v>
      </c>
      <c r="B886" s="413">
        <v>1580742286</v>
      </c>
      <c r="C886" s="413">
        <v>1580742286</v>
      </c>
      <c r="D886" s="413">
        <v>1645081771</v>
      </c>
      <c r="E886" s="413">
        <v>1645081771</v>
      </c>
      <c r="F886" s="836">
        <v>1645081771</v>
      </c>
      <c r="G886" s="836">
        <v>1580742286</v>
      </c>
      <c r="H886" s="836">
        <v>1645081771</v>
      </c>
      <c r="I886" s="836">
        <v>1580742286</v>
      </c>
    </row>
    <row r="887" spans="1:9" ht="15">
      <c r="A887" s="1080" t="s">
        <v>2543</v>
      </c>
      <c r="B887" s="413">
        <v>4232453346</v>
      </c>
      <c r="C887" s="413">
        <v>4232453346</v>
      </c>
      <c r="D887" s="413">
        <v>4404916527</v>
      </c>
      <c r="E887" s="413">
        <v>4404916527</v>
      </c>
      <c r="F887" s="836">
        <v>4354896017</v>
      </c>
      <c r="G887" s="836">
        <v>4182432836</v>
      </c>
      <c r="H887" s="836">
        <v>4354896017</v>
      </c>
      <c r="I887" s="836">
        <v>4182432836</v>
      </c>
    </row>
    <row r="888" spans="1:9" ht="15">
      <c r="A888" s="1080" t="s">
        <v>2544</v>
      </c>
      <c r="B888" s="413">
        <v>387723597</v>
      </c>
      <c r="C888" s="413">
        <v>387723597</v>
      </c>
      <c r="D888" s="413">
        <v>398838722</v>
      </c>
      <c r="E888" s="413">
        <v>398838722</v>
      </c>
      <c r="F888" s="836">
        <v>398838722</v>
      </c>
      <c r="G888" s="836">
        <v>387723597</v>
      </c>
      <c r="H888" s="836">
        <v>398838722</v>
      </c>
      <c r="I888" s="836">
        <v>387723597</v>
      </c>
    </row>
    <row r="889" spans="1:9" ht="15">
      <c r="A889" s="1080" t="s">
        <v>3052</v>
      </c>
      <c r="B889" s="413">
        <v>137845524</v>
      </c>
      <c r="C889" s="413">
        <v>171629070</v>
      </c>
      <c r="D889" s="413">
        <v>139127778</v>
      </c>
      <c r="E889" s="413">
        <v>172911324</v>
      </c>
      <c r="F889" s="836">
        <v>139127778</v>
      </c>
      <c r="G889" s="836">
        <v>137845524</v>
      </c>
      <c r="H889" s="836">
        <v>172911324</v>
      </c>
      <c r="I889" s="836">
        <v>171629070</v>
      </c>
    </row>
    <row r="890" spans="1:9" ht="15">
      <c r="A890" s="1080" t="s">
        <v>3053</v>
      </c>
      <c r="B890" s="413">
        <v>415713389</v>
      </c>
      <c r="C890" s="413">
        <v>480719060</v>
      </c>
      <c r="D890" s="413">
        <v>429966772</v>
      </c>
      <c r="E890" s="413">
        <v>494972443</v>
      </c>
      <c r="F890" s="836">
        <v>408211178</v>
      </c>
      <c r="G890" s="836">
        <v>393957795</v>
      </c>
      <c r="H890" s="836">
        <v>473216849</v>
      </c>
      <c r="I890" s="836">
        <v>458963466</v>
      </c>
    </row>
    <row r="891" spans="1:9" ht="15">
      <c r="A891" s="1080" t="s">
        <v>3054</v>
      </c>
      <c r="B891" s="413">
        <v>1656044343</v>
      </c>
      <c r="C891" s="413">
        <v>1656044343</v>
      </c>
      <c r="D891" s="413">
        <v>1709960712</v>
      </c>
      <c r="E891" s="413">
        <v>1709960712</v>
      </c>
      <c r="F891" s="836">
        <v>1709960712</v>
      </c>
      <c r="G891" s="836">
        <v>1656044343</v>
      </c>
      <c r="H891" s="836">
        <v>1709960712</v>
      </c>
      <c r="I891" s="836">
        <v>1656044343</v>
      </c>
    </row>
    <row r="892" spans="1:9" ht="15">
      <c r="A892" s="1080" t="s">
        <v>3055</v>
      </c>
      <c r="B892" s="413">
        <v>326622847</v>
      </c>
      <c r="C892" s="413">
        <v>326622847</v>
      </c>
      <c r="D892" s="413">
        <v>328888183</v>
      </c>
      <c r="E892" s="413">
        <v>328888183</v>
      </c>
      <c r="F892" s="836">
        <v>327609822</v>
      </c>
      <c r="G892" s="836">
        <v>325344486</v>
      </c>
      <c r="H892" s="836">
        <v>327609822</v>
      </c>
      <c r="I892" s="836">
        <v>325344486</v>
      </c>
    </row>
    <row r="893" spans="1:9" ht="15">
      <c r="A893" s="1080" t="s">
        <v>1335</v>
      </c>
      <c r="B893" s="413">
        <v>605306711</v>
      </c>
      <c r="C893" s="413">
        <v>605306711</v>
      </c>
      <c r="D893" s="413">
        <v>614074500</v>
      </c>
      <c r="E893" s="413">
        <v>614074500</v>
      </c>
      <c r="F893" s="836">
        <v>614074500</v>
      </c>
      <c r="G893" s="836">
        <v>605306711</v>
      </c>
      <c r="H893" s="836">
        <v>614074500</v>
      </c>
      <c r="I893" s="836">
        <v>605306711</v>
      </c>
    </row>
    <row r="894" spans="1:9" ht="15">
      <c r="A894" s="1080" t="s">
        <v>2106</v>
      </c>
      <c r="B894" s="413">
        <v>57967187</v>
      </c>
      <c r="C894" s="413">
        <v>57967187</v>
      </c>
      <c r="D894" s="413">
        <v>58756353</v>
      </c>
      <c r="E894" s="413">
        <v>58756353</v>
      </c>
      <c r="F894" s="836">
        <v>58756353</v>
      </c>
      <c r="G894" s="836">
        <v>57967187</v>
      </c>
      <c r="H894" s="836">
        <v>58756353</v>
      </c>
      <c r="I894" s="836">
        <v>57967187</v>
      </c>
    </row>
    <row r="895" spans="1:9" ht="15">
      <c r="A895" s="1080" t="s">
        <v>1336</v>
      </c>
      <c r="B895" s="413">
        <v>232858940</v>
      </c>
      <c r="C895" s="413">
        <v>232858940</v>
      </c>
      <c r="D895" s="413">
        <v>233377664</v>
      </c>
      <c r="E895" s="413">
        <v>233377664</v>
      </c>
      <c r="F895" s="836">
        <v>233377664</v>
      </c>
      <c r="G895" s="836">
        <v>232858940</v>
      </c>
      <c r="H895" s="836">
        <v>233377664</v>
      </c>
      <c r="I895" s="836">
        <v>232858940</v>
      </c>
    </row>
    <row r="896" spans="1:9" ht="15">
      <c r="A896" s="1080" t="s">
        <v>1783</v>
      </c>
      <c r="B896" s="413">
        <v>161888075</v>
      </c>
      <c r="C896" s="413">
        <v>161888075</v>
      </c>
      <c r="D896" s="413">
        <v>164619975</v>
      </c>
      <c r="E896" s="413">
        <v>164619975</v>
      </c>
      <c r="F896" s="836">
        <v>164619975</v>
      </c>
      <c r="G896" s="836">
        <v>161888075</v>
      </c>
      <c r="H896" s="836">
        <v>164619975</v>
      </c>
      <c r="I896" s="836">
        <v>161888075</v>
      </c>
    </row>
    <row r="897" spans="1:9" ht="15">
      <c r="A897" s="1080" t="s">
        <v>1784</v>
      </c>
      <c r="B897" s="413">
        <v>39360563</v>
      </c>
      <c r="C897" s="413">
        <v>39360563</v>
      </c>
      <c r="D897" s="413">
        <v>40339743</v>
      </c>
      <c r="E897" s="413">
        <v>40339743</v>
      </c>
      <c r="F897" s="836">
        <v>40339743</v>
      </c>
      <c r="G897" s="836">
        <v>39360563</v>
      </c>
      <c r="H897" s="836">
        <v>40339743</v>
      </c>
      <c r="I897" s="836">
        <v>39360563</v>
      </c>
    </row>
    <row r="898" spans="1:9" ht="15">
      <c r="A898" s="1080" t="s">
        <v>1785</v>
      </c>
      <c r="B898" s="413">
        <v>1564587790</v>
      </c>
      <c r="C898" s="413">
        <v>1564587790</v>
      </c>
      <c r="D898" s="413">
        <v>1604632035</v>
      </c>
      <c r="E898" s="413">
        <v>1604632035</v>
      </c>
      <c r="F898" s="836">
        <v>1604632035</v>
      </c>
      <c r="G898" s="836">
        <v>1564587790</v>
      </c>
      <c r="H898" s="836">
        <v>1604632035</v>
      </c>
      <c r="I898" s="836">
        <v>1564587790</v>
      </c>
    </row>
    <row r="899" spans="1:9" ht="15">
      <c r="A899" s="1080" t="s">
        <v>2062</v>
      </c>
      <c r="B899" s="413">
        <v>53974163</v>
      </c>
      <c r="C899" s="413">
        <v>53974163</v>
      </c>
      <c r="D899" s="413">
        <v>55184081</v>
      </c>
      <c r="E899" s="413">
        <v>55184081</v>
      </c>
      <c r="F899" s="836">
        <v>55184081</v>
      </c>
      <c r="G899" s="836">
        <v>53974163</v>
      </c>
      <c r="H899" s="836">
        <v>55184081</v>
      </c>
      <c r="I899" s="836">
        <v>53974163</v>
      </c>
    </row>
    <row r="900" spans="1:9" ht="15">
      <c r="A900" s="1080" t="s">
        <v>305</v>
      </c>
      <c r="B900" s="413">
        <v>107515275</v>
      </c>
      <c r="C900" s="413">
        <v>107515275</v>
      </c>
      <c r="D900" s="413">
        <v>113300061</v>
      </c>
      <c r="E900" s="413">
        <v>113300061</v>
      </c>
      <c r="F900" s="836">
        <v>113300061</v>
      </c>
      <c r="G900" s="836">
        <v>107515275</v>
      </c>
      <c r="H900" s="836">
        <v>113300061</v>
      </c>
      <c r="I900" s="836">
        <v>107515275</v>
      </c>
    </row>
    <row r="901" spans="1:9" ht="15">
      <c r="A901" s="1080" t="s">
        <v>2063</v>
      </c>
      <c r="B901" s="413">
        <v>134873400</v>
      </c>
      <c r="C901" s="413">
        <v>134873400</v>
      </c>
      <c r="D901" s="413">
        <v>141513260</v>
      </c>
      <c r="E901" s="413">
        <v>141513260</v>
      </c>
      <c r="F901" s="836">
        <v>141513260</v>
      </c>
      <c r="G901" s="836">
        <v>134873400</v>
      </c>
      <c r="H901" s="836">
        <v>141513260</v>
      </c>
      <c r="I901" s="836">
        <v>134873400</v>
      </c>
    </row>
    <row r="902" spans="1:9" ht="15">
      <c r="A902" s="1080" t="s">
        <v>2797</v>
      </c>
      <c r="B902" s="413">
        <v>247056000</v>
      </c>
      <c r="C902" s="413">
        <v>272522800</v>
      </c>
      <c r="D902" s="413">
        <v>254865260</v>
      </c>
      <c r="E902" s="413">
        <v>280332060</v>
      </c>
      <c r="F902" s="836">
        <v>254865260</v>
      </c>
      <c r="G902" s="836">
        <v>247056000</v>
      </c>
      <c r="H902" s="836">
        <v>280332060</v>
      </c>
      <c r="I902" s="836">
        <v>272522800</v>
      </c>
    </row>
    <row r="903" spans="1:9" ht="15">
      <c r="A903" s="1080" t="s">
        <v>1488</v>
      </c>
      <c r="B903" s="413">
        <v>4545509107</v>
      </c>
      <c r="C903" s="413">
        <v>4545509107</v>
      </c>
      <c r="D903" s="413">
        <v>4755966152</v>
      </c>
      <c r="E903" s="413">
        <v>4755966152</v>
      </c>
      <c r="F903" s="836">
        <v>4755966152</v>
      </c>
      <c r="G903" s="836">
        <v>4545509107</v>
      </c>
      <c r="H903" s="836">
        <v>4755966152</v>
      </c>
      <c r="I903" s="836">
        <v>4545509107</v>
      </c>
    </row>
    <row r="904" spans="1:9" ht="15">
      <c r="A904" s="1080" t="s">
        <v>2785</v>
      </c>
      <c r="B904" s="413">
        <v>120241163</v>
      </c>
      <c r="C904" s="413">
        <v>120241163</v>
      </c>
      <c r="D904" s="413">
        <v>124243163</v>
      </c>
      <c r="E904" s="413">
        <v>124243163</v>
      </c>
      <c r="F904" s="836">
        <v>124243163</v>
      </c>
      <c r="G904" s="836">
        <v>120241163</v>
      </c>
      <c r="H904" s="836">
        <v>124243163</v>
      </c>
      <c r="I904" s="836">
        <v>120241163</v>
      </c>
    </row>
    <row r="905" spans="1:9" ht="15">
      <c r="A905" s="1080" t="s">
        <v>374</v>
      </c>
      <c r="B905" s="413">
        <v>389624324</v>
      </c>
      <c r="C905" s="413">
        <v>389624324</v>
      </c>
      <c r="D905" s="413">
        <v>401682224</v>
      </c>
      <c r="E905" s="413">
        <v>401682224</v>
      </c>
      <c r="F905" s="836">
        <v>401682224</v>
      </c>
      <c r="G905" s="836">
        <v>389624324</v>
      </c>
      <c r="H905" s="836">
        <v>401682224</v>
      </c>
      <c r="I905" s="836">
        <v>389624324</v>
      </c>
    </row>
    <row r="906" spans="1:9" ht="15">
      <c r="A906" s="1080" t="s">
        <v>1482</v>
      </c>
      <c r="B906" s="413">
        <v>242126848</v>
      </c>
      <c r="C906" s="413">
        <v>242126848</v>
      </c>
      <c r="D906" s="413">
        <v>257021528</v>
      </c>
      <c r="E906" s="413">
        <v>257021528</v>
      </c>
      <c r="F906" s="836">
        <v>257021528</v>
      </c>
      <c r="G906" s="836">
        <v>242126848</v>
      </c>
      <c r="H906" s="836">
        <v>257021528</v>
      </c>
      <c r="I906" s="836">
        <v>242126848</v>
      </c>
    </row>
    <row r="907" spans="1:9" ht="15">
      <c r="A907" s="1080" t="s">
        <v>1422</v>
      </c>
      <c r="B907" s="413">
        <v>121925944</v>
      </c>
      <c r="C907" s="413">
        <v>121925944</v>
      </c>
      <c r="D907" s="413">
        <v>124970844</v>
      </c>
      <c r="E907" s="413">
        <v>124970844</v>
      </c>
      <c r="F907" s="836">
        <v>124970844</v>
      </c>
      <c r="G907" s="836">
        <v>121925944</v>
      </c>
      <c r="H907" s="836">
        <v>124970844</v>
      </c>
      <c r="I907" s="836">
        <v>121925944</v>
      </c>
    </row>
    <row r="908" spans="1:9" ht="15">
      <c r="A908" s="1080" t="s">
        <v>292</v>
      </c>
      <c r="B908" s="413">
        <v>86455576980</v>
      </c>
      <c r="C908" s="413">
        <v>86455576980</v>
      </c>
      <c r="D908" s="413">
        <v>87563689178</v>
      </c>
      <c r="E908" s="413">
        <v>87563689178</v>
      </c>
      <c r="F908" s="836">
        <v>87563689178</v>
      </c>
      <c r="G908" s="836">
        <v>86455576980</v>
      </c>
      <c r="H908" s="836">
        <v>87563689178</v>
      </c>
      <c r="I908" s="836">
        <v>86455576980</v>
      </c>
    </row>
    <row r="909" spans="1:9" ht="15">
      <c r="A909" s="1080" t="s">
        <v>238</v>
      </c>
      <c r="B909" s="413">
        <v>9660963609</v>
      </c>
      <c r="C909" s="413">
        <v>9660963609</v>
      </c>
      <c r="D909" s="413">
        <v>9912772359</v>
      </c>
      <c r="E909" s="413">
        <v>9912772359</v>
      </c>
      <c r="F909" s="836">
        <v>9912772359</v>
      </c>
      <c r="G909" s="836">
        <v>9660963609</v>
      </c>
      <c r="H909" s="836">
        <v>9912772359</v>
      </c>
      <c r="I909" s="836">
        <v>9660963609</v>
      </c>
    </row>
    <row r="910" spans="1:9" ht="15">
      <c r="A910" s="1080" t="s">
        <v>293</v>
      </c>
      <c r="B910" s="413">
        <v>3187880551</v>
      </c>
      <c r="C910" s="413">
        <v>5469571706</v>
      </c>
      <c r="D910" s="413">
        <v>3256273403</v>
      </c>
      <c r="E910" s="413">
        <v>5537964558</v>
      </c>
      <c r="F910" s="836">
        <v>3256273403</v>
      </c>
      <c r="G910" s="836">
        <v>3187880551</v>
      </c>
      <c r="H910" s="836">
        <v>5537964558</v>
      </c>
      <c r="I910" s="836">
        <v>5469571706</v>
      </c>
    </row>
    <row r="911" spans="1:9" ht="15">
      <c r="A911" s="1080" t="s">
        <v>294</v>
      </c>
      <c r="B911" s="413">
        <v>12288325278</v>
      </c>
      <c r="C911" s="413">
        <v>12288325278</v>
      </c>
      <c r="D911" s="413">
        <v>12384321401</v>
      </c>
      <c r="E911" s="413">
        <v>12384321401</v>
      </c>
      <c r="F911" s="836">
        <v>12384321401</v>
      </c>
      <c r="G911" s="836">
        <v>12288325278</v>
      </c>
      <c r="H911" s="836">
        <v>12384321401</v>
      </c>
      <c r="I911" s="836">
        <v>12288325278</v>
      </c>
    </row>
    <row r="912" spans="1:9" ht="15">
      <c r="A912" s="1080" t="s">
        <v>1295</v>
      </c>
      <c r="B912" s="413">
        <v>4152830934</v>
      </c>
      <c r="C912" s="413">
        <v>4152830934</v>
      </c>
      <c r="D912" s="413">
        <v>4219839866</v>
      </c>
      <c r="E912" s="413">
        <v>4219839866</v>
      </c>
      <c r="F912" s="836">
        <v>4219839866</v>
      </c>
      <c r="G912" s="836">
        <v>4152830934</v>
      </c>
      <c r="H912" s="836">
        <v>4219839866</v>
      </c>
      <c r="I912" s="836">
        <v>4152830934</v>
      </c>
    </row>
    <row r="913" spans="1:9" ht="15">
      <c r="A913" s="1080" t="s">
        <v>2804</v>
      </c>
      <c r="B913" s="413">
        <v>1365947323</v>
      </c>
      <c r="C913" s="413">
        <v>1365947323</v>
      </c>
      <c r="D913" s="413">
        <v>1393859720</v>
      </c>
      <c r="E913" s="413">
        <v>1393859720</v>
      </c>
      <c r="F913" s="836">
        <v>1314095418</v>
      </c>
      <c r="G913" s="836">
        <v>1286183021</v>
      </c>
      <c r="H913" s="836">
        <v>1314095418</v>
      </c>
      <c r="I913" s="836">
        <v>1286183021</v>
      </c>
    </row>
    <row r="914" spans="1:9" ht="15">
      <c r="A914" s="1080" t="s">
        <v>1496</v>
      </c>
      <c r="B914" s="413">
        <v>9639394741</v>
      </c>
      <c r="C914" s="413">
        <v>9639394741</v>
      </c>
      <c r="D914" s="413">
        <v>9765552075</v>
      </c>
      <c r="E914" s="413">
        <v>9765552075</v>
      </c>
      <c r="F914" s="836">
        <v>9162413610</v>
      </c>
      <c r="G914" s="836">
        <v>9036256276</v>
      </c>
      <c r="H914" s="836">
        <v>9162413610</v>
      </c>
      <c r="I914" s="836">
        <v>9036256276</v>
      </c>
    </row>
    <row r="915" spans="1:9" ht="15">
      <c r="A915" s="1080" t="s">
        <v>1497</v>
      </c>
      <c r="B915" s="413">
        <v>277860419</v>
      </c>
      <c r="C915" s="413">
        <v>277860419</v>
      </c>
      <c r="D915" s="413">
        <v>287686359</v>
      </c>
      <c r="E915" s="413">
        <v>287686359</v>
      </c>
      <c r="F915" s="836">
        <v>287686359</v>
      </c>
      <c r="G915" s="836">
        <v>277860419</v>
      </c>
      <c r="H915" s="836">
        <v>287686359</v>
      </c>
      <c r="I915" s="836">
        <v>277860419</v>
      </c>
    </row>
    <row r="916" spans="1:9" ht="15">
      <c r="A916" s="1080" t="s">
        <v>1498</v>
      </c>
      <c r="B916" s="413">
        <v>353172314</v>
      </c>
      <c r="C916" s="413">
        <v>353172314</v>
      </c>
      <c r="D916" s="413">
        <v>369648911</v>
      </c>
      <c r="E916" s="413">
        <v>369648911</v>
      </c>
      <c r="F916" s="836">
        <v>369648911</v>
      </c>
      <c r="G916" s="836">
        <v>353172314</v>
      </c>
      <c r="H916" s="836">
        <v>369648911</v>
      </c>
      <c r="I916" s="836">
        <v>353172314</v>
      </c>
    </row>
    <row r="917" spans="1:9" ht="15">
      <c r="A917" s="1080" t="s">
        <v>1499</v>
      </c>
      <c r="B917" s="413">
        <v>28933483</v>
      </c>
      <c r="C917" s="413">
        <v>28933483</v>
      </c>
      <c r="D917" s="413">
        <v>30857962</v>
      </c>
      <c r="E917" s="413">
        <v>30857962</v>
      </c>
      <c r="F917" s="836">
        <v>30857962</v>
      </c>
      <c r="G917" s="836">
        <v>28933483</v>
      </c>
      <c r="H917" s="836">
        <v>30857962</v>
      </c>
      <c r="I917" s="836">
        <v>28933483</v>
      </c>
    </row>
    <row r="918" spans="1:9" ht="15">
      <c r="A918" s="1080" t="s">
        <v>1500</v>
      </c>
      <c r="B918" s="413">
        <v>38130261</v>
      </c>
      <c r="C918" s="413">
        <v>38130261</v>
      </c>
      <c r="D918" s="413">
        <v>40520386</v>
      </c>
      <c r="E918" s="413">
        <v>40520386</v>
      </c>
      <c r="F918" s="836">
        <v>40520386</v>
      </c>
      <c r="G918" s="836">
        <v>38130261</v>
      </c>
      <c r="H918" s="836">
        <v>40520386</v>
      </c>
      <c r="I918" s="836">
        <v>38130261</v>
      </c>
    </row>
    <row r="919" spans="1:9" ht="15">
      <c r="A919" s="1080" t="s">
        <v>1615</v>
      </c>
      <c r="B919" s="413">
        <v>114736324</v>
      </c>
      <c r="C919" s="413">
        <v>114736324</v>
      </c>
      <c r="D919" s="413">
        <v>120925227</v>
      </c>
      <c r="E919" s="413">
        <v>120925227</v>
      </c>
      <c r="F919" s="836">
        <v>120925227</v>
      </c>
      <c r="G919" s="836">
        <v>114736324</v>
      </c>
      <c r="H919" s="836">
        <v>120925227</v>
      </c>
      <c r="I919" s="836">
        <v>114736324</v>
      </c>
    </row>
    <row r="920" spans="1:9" ht="15">
      <c r="A920" s="1080" t="s">
        <v>2051</v>
      </c>
      <c r="B920" s="413">
        <v>591109125</v>
      </c>
      <c r="C920" s="413">
        <v>753781885</v>
      </c>
      <c r="D920" s="413">
        <v>609506816</v>
      </c>
      <c r="E920" s="413">
        <v>772179576</v>
      </c>
      <c r="F920" s="836">
        <v>609506816</v>
      </c>
      <c r="G920" s="836">
        <v>591109125</v>
      </c>
      <c r="H920" s="836">
        <v>772179576</v>
      </c>
      <c r="I920" s="836">
        <v>753781885</v>
      </c>
    </row>
    <row r="921" spans="1:9" ht="15">
      <c r="A921" s="1080" t="s">
        <v>2052</v>
      </c>
      <c r="B921" s="413">
        <v>302720267</v>
      </c>
      <c r="C921" s="413">
        <v>302720267</v>
      </c>
      <c r="D921" s="413">
        <v>318891845</v>
      </c>
      <c r="E921" s="413">
        <v>318891845</v>
      </c>
      <c r="F921" s="836">
        <v>318891845</v>
      </c>
      <c r="G921" s="836">
        <v>302720267</v>
      </c>
      <c r="H921" s="836">
        <v>318891845</v>
      </c>
      <c r="I921" s="836">
        <v>302720267</v>
      </c>
    </row>
    <row r="922" spans="1:9" ht="15">
      <c r="A922" s="1080" t="s">
        <v>1423</v>
      </c>
      <c r="B922" s="413">
        <v>67457406</v>
      </c>
      <c r="C922" s="413">
        <v>67457406</v>
      </c>
      <c r="D922" s="413">
        <v>72170850</v>
      </c>
      <c r="E922" s="413">
        <v>72170850</v>
      </c>
      <c r="F922" s="836">
        <v>72170850</v>
      </c>
      <c r="G922" s="836">
        <v>67457406</v>
      </c>
      <c r="H922" s="836">
        <v>72170850</v>
      </c>
      <c r="I922" s="836">
        <v>67457406</v>
      </c>
    </row>
    <row r="923" spans="1:9" ht="15">
      <c r="A923" s="1080" t="s">
        <v>83</v>
      </c>
      <c r="B923" s="413">
        <v>63200298</v>
      </c>
      <c r="C923" s="413">
        <v>63200298</v>
      </c>
      <c r="D923" s="413">
        <v>66318058</v>
      </c>
      <c r="E923" s="413">
        <v>66318058</v>
      </c>
      <c r="F923" s="836">
        <v>66318058</v>
      </c>
      <c r="G923" s="836">
        <v>63200298</v>
      </c>
      <c r="H923" s="836">
        <v>66318058</v>
      </c>
      <c r="I923" s="836">
        <v>63200298</v>
      </c>
    </row>
    <row r="924" spans="1:9" ht="15">
      <c r="A924" s="1080" t="s">
        <v>2053</v>
      </c>
      <c r="B924" s="413">
        <v>215255858</v>
      </c>
      <c r="C924" s="413">
        <v>215255858</v>
      </c>
      <c r="D924" s="413">
        <v>223676253</v>
      </c>
      <c r="E924" s="413">
        <v>223676253</v>
      </c>
      <c r="F924" s="836">
        <v>223676253</v>
      </c>
      <c r="G924" s="836">
        <v>215255858</v>
      </c>
      <c r="H924" s="836">
        <v>223676253</v>
      </c>
      <c r="I924" s="836">
        <v>215255858</v>
      </c>
    </row>
    <row r="925" spans="1:9" ht="15">
      <c r="A925" s="1080" t="s">
        <v>2054</v>
      </c>
      <c r="B925" s="413">
        <v>821166480</v>
      </c>
      <c r="C925" s="413">
        <v>821166480</v>
      </c>
      <c r="D925" s="413">
        <v>857366543</v>
      </c>
      <c r="E925" s="413">
        <v>857366543</v>
      </c>
      <c r="F925" s="836">
        <v>857366543</v>
      </c>
      <c r="G925" s="836">
        <v>821166480</v>
      </c>
      <c r="H925" s="836">
        <v>857366543</v>
      </c>
      <c r="I925" s="836">
        <v>821166480</v>
      </c>
    </row>
    <row r="926" spans="1:9" ht="15">
      <c r="A926" s="1080" t="s">
        <v>1594</v>
      </c>
      <c r="B926" s="413">
        <v>152622420</v>
      </c>
      <c r="C926" s="413">
        <v>152622420</v>
      </c>
      <c r="D926" s="413">
        <v>161649628</v>
      </c>
      <c r="E926" s="413">
        <v>161649628</v>
      </c>
      <c r="F926" s="836">
        <v>161649628</v>
      </c>
      <c r="G926" s="836">
        <v>152622420</v>
      </c>
      <c r="H926" s="836">
        <v>161649628</v>
      </c>
      <c r="I926" s="836">
        <v>152622420</v>
      </c>
    </row>
    <row r="927" spans="1:9" ht="15">
      <c r="A927" s="1080" t="s">
        <v>1229</v>
      </c>
      <c r="B927" s="413">
        <v>81020805</v>
      </c>
      <c r="C927" s="413">
        <v>81020805</v>
      </c>
      <c r="D927" s="413">
        <v>86026814</v>
      </c>
      <c r="E927" s="413">
        <v>86026814</v>
      </c>
      <c r="F927" s="836">
        <v>86026814</v>
      </c>
      <c r="G927" s="836">
        <v>81020805</v>
      </c>
      <c r="H927" s="836">
        <v>86026814</v>
      </c>
      <c r="I927" s="836">
        <v>81020805</v>
      </c>
    </row>
    <row r="928" spans="1:9" ht="15">
      <c r="A928" s="1080" t="s">
        <v>2127</v>
      </c>
      <c r="B928" s="413">
        <v>377351764</v>
      </c>
      <c r="C928" s="413">
        <v>377351764</v>
      </c>
      <c r="D928" s="413">
        <v>395960203</v>
      </c>
      <c r="E928" s="413">
        <v>395960203</v>
      </c>
      <c r="F928" s="836">
        <v>395960203</v>
      </c>
      <c r="G928" s="836">
        <v>377351764</v>
      </c>
      <c r="H928" s="836">
        <v>395960203</v>
      </c>
      <c r="I928" s="836">
        <v>377351764</v>
      </c>
    </row>
    <row r="929" spans="1:9" ht="15">
      <c r="A929" s="1080" t="s">
        <v>1230</v>
      </c>
      <c r="B929" s="413">
        <v>194507538</v>
      </c>
      <c r="C929" s="413">
        <v>194507538</v>
      </c>
      <c r="D929" s="413">
        <v>205311098</v>
      </c>
      <c r="E929" s="413">
        <v>205311098</v>
      </c>
      <c r="F929" s="836">
        <v>205311098</v>
      </c>
      <c r="G929" s="836">
        <v>194507538</v>
      </c>
      <c r="H929" s="836">
        <v>205311098</v>
      </c>
      <c r="I929" s="836">
        <v>194507538</v>
      </c>
    </row>
    <row r="930" spans="1:9" ht="15">
      <c r="A930" s="1080" t="s">
        <v>1231</v>
      </c>
      <c r="B930" s="413">
        <v>149881054</v>
      </c>
      <c r="C930" s="413">
        <v>149881054</v>
      </c>
      <c r="D930" s="413">
        <v>157080638</v>
      </c>
      <c r="E930" s="413">
        <v>157080638</v>
      </c>
      <c r="F930" s="836">
        <v>157080638</v>
      </c>
      <c r="G930" s="836">
        <v>149881054</v>
      </c>
      <c r="H930" s="836">
        <v>157080638</v>
      </c>
      <c r="I930" s="836">
        <v>149881054</v>
      </c>
    </row>
    <row r="931" spans="1:9" ht="15">
      <c r="A931" s="1080" t="s">
        <v>1232</v>
      </c>
      <c r="B931" s="413">
        <v>1046742688</v>
      </c>
      <c r="C931" s="413">
        <v>1046742688</v>
      </c>
      <c r="D931" s="413">
        <v>1050842042</v>
      </c>
      <c r="E931" s="413">
        <v>1050842042</v>
      </c>
      <c r="F931" s="836">
        <v>1048094369</v>
      </c>
      <c r="G931" s="836">
        <v>1043995015</v>
      </c>
      <c r="H931" s="836">
        <v>1048094369</v>
      </c>
      <c r="I931" s="836">
        <v>1043995015</v>
      </c>
    </row>
    <row r="932" spans="1:9" ht="15">
      <c r="A932" s="1080" t="s">
        <v>1233</v>
      </c>
      <c r="B932" s="413">
        <v>2952463443</v>
      </c>
      <c r="C932" s="413">
        <v>2952463443</v>
      </c>
      <c r="D932" s="413">
        <v>2954278160</v>
      </c>
      <c r="E932" s="413">
        <v>2954278160</v>
      </c>
      <c r="F932" s="836">
        <v>2954278160</v>
      </c>
      <c r="G932" s="836">
        <v>2952463443</v>
      </c>
      <c r="H932" s="836">
        <v>2954278160</v>
      </c>
      <c r="I932" s="836">
        <v>2952463443</v>
      </c>
    </row>
    <row r="933" spans="1:9" ht="15">
      <c r="A933" s="1080" t="s">
        <v>63</v>
      </c>
      <c r="B933" s="413">
        <v>92971969</v>
      </c>
      <c r="C933" s="413">
        <v>92971969</v>
      </c>
      <c r="D933" s="413">
        <v>94529347</v>
      </c>
      <c r="E933" s="413">
        <v>94529347</v>
      </c>
      <c r="F933" s="836">
        <v>94529347</v>
      </c>
      <c r="G933" s="836">
        <v>92971969</v>
      </c>
      <c r="H933" s="836">
        <v>94529347</v>
      </c>
      <c r="I933" s="836">
        <v>92971969</v>
      </c>
    </row>
    <row r="934" spans="1:9" ht="15">
      <c r="A934" s="1080" t="s">
        <v>1737</v>
      </c>
      <c r="B934" s="413">
        <v>295258654</v>
      </c>
      <c r="C934" s="413">
        <v>295258654</v>
      </c>
      <c r="D934" s="413">
        <v>300302951</v>
      </c>
      <c r="E934" s="413">
        <v>300302951</v>
      </c>
      <c r="F934" s="836">
        <v>300302951</v>
      </c>
      <c r="G934" s="836">
        <v>295258654</v>
      </c>
      <c r="H934" s="836">
        <v>300302951</v>
      </c>
      <c r="I934" s="836">
        <v>295258654</v>
      </c>
    </row>
    <row r="935" spans="1:9" ht="15">
      <c r="A935" s="1080" t="s">
        <v>1714</v>
      </c>
      <c r="B935" s="413">
        <v>1140705939</v>
      </c>
      <c r="C935" s="413">
        <v>1140705939</v>
      </c>
      <c r="D935" s="413">
        <v>1178464529</v>
      </c>
      <c r="E935" s="413">
        <v>1178464529</v>
      </c>
      <c r="F935" s="836">
        <v>1178464529</v>
      </c>
      <c r="G935" s="836">
        <v>1140705939</v>
      </c>
      <c r="H935" s="836">
        <v>1178464529</v>
      </c>
      <c r="I935" s="836">
        <v>1140705939</v>
      </c>
    </row>
    <row r="936" spans="1:9" ht="15">
      <c r="A936" s="1080" t="s">
        <v>1495</v>
      </c>
      <c r="B936" s="413">
        <v>191199413</v>
      </c>
      <c r="C936" s="413">
        <v>191199413</v>
      </c>
      <c r="D936" s="413">
        <v>195125599</v>
      </c>
      <c r="E936" s="413">
        <v>195125599</v>
      </c>
      <c r="F936" s="836">
        <v>195125599</v>
      </c>
      <c r="G936" s="836">
        <v>191199413</v>
      </c>
      <c r="H936" s="836">
        <v>195125599</v>
      </c>
      <c r="I936" s="836">
        <v>191199413</v>
      </c>
    </row>
    <row r="937" spans="1:9" ht="15">
      <c r="A937" s="1080" t="s">
        <v>530</v>
      </c>
      <c r="B937" s="413">
        <v>1686796184</v>
      </c>
      <c r="C937" s="413">
        <v>1686796184</v>
      </c>
      <c r="D937" s="413">
        <v>1769381692</v>
      </c>
      <c r="E937" s="413">
        <v>1769381692</v>
      </c>
      <c r="F937" s="836">
        <v>1685137484</v>
      </c>
      <c r="G937" s="836">
        <v>1602551976</v>
      </c>
      <c r="H937" s="836">
        <v>1685137484</v>
      </c>
      <c r="I937" s="836">
        <v>1602551976</v>
      </c>
    </row>
    <row r="938" spans="1:9" ht="15">
      <c r="A938" s="1080" t="s">
        <v>940</v>
      </c>
      <c r="B938" s="413">
        <v>213593324</v>
      </c>
      <c r="C938" s="413">
        <v>213593324</v>
      </c>
      <c r="D938" s="413">
        <v>214884274</v>
      </c>
      <c r="E938" s="413">
        <v>214884274</v>
      </c>
      <c r="F938" s="836">
        <v>214529605</v>
      </c>
      <c r="G938" s="836">
        <v>213238655</v>
      </c>
      <c r="H938" s="836">
        <v>214529605</v>
      </c>
      <c r="I938" s="836">
        <v>213238655</v>
      </c>
    </row>
    <row r="939" spans="1:9" ht="15">
      <c r="A939" s="1080" t="s">
        <v>943</v>
      </c>
      <c r="B939" s="413">
        <v>616670891</v>
      </c>
      <c r="C939" s="413">
        <v>616670891</v>
      </c>
      <c r="D939" s="413">
        <v>643611469</v>
      </c>
      <c r="E939" s="413">
        <v>643611469</v>
      </c>
      <c r="F939" s="836">
        <v>643611469</v>
      </c>
      <c r="G939" s="836">
        <v>616670891</v>
      </c>
      <c r="H939" s="836">
        <v>643611469</v>
      </c>
      <c r="I939" s="836">
        <v>616670891</v>
      </c>
    </row>
    <row r="940" spans="1:9" ht="15">
      <c r="A940" s="1080" t="s">
        <v>944</v>
      </c>
      <c r="B940" s="413">
        <v>207838341</v>
      </c>
      <c r="C940" s="413">
        <v>207838341</v>
      </c>
      <c r="D940" s="413">
        <v>218858110</v>
      </c>
      <c r="E940" s="413">
        <v>218858110</v>
      </c>
      <c r="F940" s="836">
        <v>218858110</v>
      </c>
      <c r="G940" s="836">
        <v>207838341</v>
      </c>
      <c r="H940" s="836">
        <v>218858110</v>
      </c>
      <c r="I940" s="836">
        <v>207838341</v>
      </c>
    </row>
    <row r="941" spans="1:9" ht="15">
      <c r="A941" s="1080" t="s">
        <v>1726</v>
      </c>
      <c r="B941" s="413">
        <v>234947933</v>
      </c>
      <c r="C941" s="413">
        <v>234947933</v>
      </c>
      <c r="D941" s="413">
        <v>248611517</v>
      </c>
      <c r="E941" s="413">
        <v>248611517</v>
      </c>
      <c r="F941" s="836">
        <v>235502871</v>
      </c>
      <c r="G941" s="836">
        <v>221839287</v>
      </c>
      <c r="H941" s="836">
        <v>235502871</v>
      </c>
      <c r="I941" s="836">
        <v>221839287</v>
      </c>
    </row>
    <row r="942" spans="1:9" ht="15">
      <c r="A942" s="1080" t="s">
        <v>2097</v>
      </c>
      <c r="B942" s="413">
        <v>94089758</v>
      </c>
      <c r="C942" s="413">
        <v>94089758</v>
      </c>
      <c r="D942" s="413">
        <v>98605102</v>
      </c>
      <c r="E942" s="413">
        <v>98605102</v>
      </c>
      <c r="F942" s="836">
        <v>98605102</v>
      </c>
      <c r="G942" s="836">
        <v>94089758</v>
      </c>
      <c r="H942" s="836">
        <v>98605102</v>
      </c>
      <c r="I942" s="836">
        <v>94089758</v>
      </c>
    </row>
    <row r="943" spans="1:9" ht="15">
      <c r="A943" s="1080" t="s">
        <v>945</v>
      </c>
      <c r="B943" s="413">
        <v>566621131</v>
      </c>
      <c r="C943" s="413">
        <v>566621131</v>
      </c>
      <c r="D943" s="413">
        <v>596996310</v>
      </c>
      <c r="E943" s="413">
        <v>596996310</v>
      </c>
      <c r="F943" s="836">
        <v>560099889</v>
      </c>
      <c r="G943" s="836">
        <v>529724710</v>
      </c>
      <c r="H943" s="836">
        <v>560099889</v>
      </c>
      <c r="I943" s="836">
        <v>529724710</v>
      </c>
    </row>
    <row r="944" spans="1:9" ht="15">
      <c r="A944" s="1080" t="s">
        <v>946</v>
      </c>
      <c r="B944" s="413">
        <v>511001435</v>
      </c>
      <c r="C944" s="413">
        <v>511001435</v>
      </c>
      <c r="D944" s="413">
        <v>537539705</v>
      </c>
      <c r="E944" s="413">
        <v>537539705</v>
      </c>
      <c r="F944" s="836">
        <v>537539705</v>
      </c>
      <c r="G944" s="836">
        <v>511001435</v>
      </c>
      <c r="H944" s="836">
        <v>537539705</v>
      </c>
      <c r="I944" s="836">
        <v>511001435</v>
      </c>
    </row>
    <row r="945" spans="1:9" ht="15">
      <c r="A945" s="1080" t="s">
        <v>1606</v>
      </c>
      <c r="B945" s="413">
        <v>47632335</v>
      </c>
      <c r="C945" s="413">
        <v>47632335</v>
      </c>
      <c r="D945" s="413">
        <v>51053193</v>
      </c>
      <c r="E945" s="413">
        <v>51053193</v>
      </c>
      <c r="F945" s="836">
        <v>47948164</v>
      </c>
      <c r="G945" s="836">
        <v>44527306</v>
      </c>
      <c r="H945" s="836">
        <v>47948164</v>
      </c>
      <c r="I945" s="836">
        <v>44527306</v>
      </c>
    </row>
    <row r="946" spans="1:9" ht="15">
      <c r="A946" s="1080" t="s">
        <v>989</v>
      </c>
      <c r="B946" s="413">
        <v>170276641</v>
      </c>
      <c r="C946" s="413">
        <v>170276641</v>
      </c>
      <c r="D946" s="413">
        <v>175697691</v>
      </c>
      <c r="E946" s="413">
        <v>175697691</v>
      </c>
      <c r="F946" s="836">
        <v>175697691</v>
      </c>
      <c r="G946" s="836">
        <v>170276641</v>
      </c>
      <c r="H946" s="836">
        <v>175697691</v>
      </c>
      <c r="I946" s="836">
        <v>170276641</v>
      </c>
    </row>
    <row r="947" spans="1:9" ht="15">
      <c r="A947" s="1080" t="s">
        <v>372</v>
      </c>
      <c r="B947" s="413">
        <v>5876717398</v>
      </c>
      <c r="C947" s="413">
        <v>5876717398</v>
      </c>
      <c r="D947" s="413">
        <v>6034166807</v>
      </c>
      <c r="E947" s="413">
        <v>6034166807</v>
      </c>
      <c r="F947" s="836">
        <v>6034166807</v>
      </c>
      <c r="G947" s="836">
        <v>5876717398</v>
      </c>
      <c r="H947" s="836">
        <v>6034166807</v>
      </c>
      <c r="I947" s="836">
        <v>5876717398</v>
      </c>
    </row>
    <row r="948" spans="1:9" ht="15">
      <c r="A948" s="1080" t="s">
        <v>2992</v>
      </c>
      <c r="B948" s="413">
        <v>222389600</v>
      </c>
      <c r="C948" s="413">
        <v>222389600</v>
      </c>
      <c r="D948" s="413">
        <v>226525652</v>
      </c>
      <c r="E948" s="413">
        <v>226525652</v>
      </c>
      <c r="F948" s="836">
        <v>226525652</v>
      </c>
      <c r="G948" s="836">
        <v>222389600</v>
      </c>
      <c r="H948" s="836">
        <v>226525652</v>
      </c>
      <c r="I948" s="836">
        <v>222389600</v>
      </c>
    </row>
    <row r="949" spans="1:9" ht="15">
      <c r="A949" s="1080" t="s">
        <v>1160</v>
      </c>
      <c r="B949" s="413">
        <v>289825042</v>
      </c>
      <c r="C949" s="413">
        <v>289825042</v>
      </c>
      <c r="D949" s="413">
        <v>298762427</v>
      </c>
      <c r="E949" s="413">
        <v>298762427</v>
      </c>
      <c r="F949" s="836">
        <v>298762427</v>
      </c>
      <c r="G949" s="836">
        <v>289825042</v>
      </c>
      <c r="H949" s="836">
        <v>298762427</v>
      </c>
      <c r="I949" s="836">
        <v>289825042</v>
      </c>
    </row>
    <row r="950" spans="1:9" ht="15">
      <c r="A950" s="1080" t="s">
        <v>1320</v>
      </c>
      <c r="B950" s="413">
        <v>2262376175</v>
      </c>
      <c r="C950" s="413">
        <v>2262376175</v>
      </c>
      <c r="D950" s="413">
        <v>2329021753</v>
      </c>
      <c r="E950" s="413">
        <v>2329021753</v>
      </c>
      <c r="F950" s="836">
        <v>2329021753</v>
      </c>
      <c r="G950" s="836">
        <v>2262376175</v>
      </c>
      <c r="H950" s="836">
        <v>2329021753</v>
      </c>
      <c r="I950" s="836">
        <v>2262376175</v>
      </c>
    </row>
    <row r="951" spans="1:9" ht="15">
      <c r="A951" s="1080" t="s">
        <v>306</v>
      </c>
      <c r="B951" s="413">
        <v>475922252</v>
      </c>
      <c r="C951" s="413">
        <v>475922252</v>
      </c>
      <c r="D951" s="413">
        <v>489040241</v>
      </c>
      <c r="E951" s="413">
        <v>489040241</v>
      </c>
      <c r="F951" s="836">
        <v>489040241</v>
      </c>
      <c r="G951" s="836">
        <v>475922252</v>
      </c>
      <c r="H951" s="836">
        <v>489040241</v>
      </c>
      <c r="I951" s="836">
        <v>475922252</v>
      </c>
    </row>
    <row r="952" spans="1:9" ht="15">
      <c r="A952" s="1080" t="s">
        <v>307</v>
      </c>
      <c r="B952" s="413">
        <v>2156635000</v>
      </c>
      <c r="C952" s="413">
        <v>2271817347</v>
      </c>
      <c r="D952" s="413">
        <v>2212637944</v>
      </c>
      <c r="E952" s="413">
        <v>2327820291</v>
      </c>
      <c r="F952" s="836">
        <v>2212637944</v>
      </c>
      <c r="G952" s="836">
        <v>2156635000</v>
      </c>
      <c r="H952" s="836">
        <v>2327820291</v>
      </c>
      <c r="I952" s="836">
        <v>2271817347</v>
      </c>
    </row>
    <row r="953" spans="1:9" ht="15">
      <c r="A953" s="1080" t="s">
        <v>693</v>
      </c>
      <c r="B953" s="413">
        <v>1040851132</v>
      </c>
      <c r="C953" s="413">
        <v>1059289752</v>
      </c>
      <c r="D953" s="413">
        <v>1053563901</v>
      </c>
      <c r="E953" s="413">
        <v>1072002521</v>
      </c>
      <c r="F953" s="836">
        <v>1050410915</v>
      </c>
      <c r="G953" s="836">
        <v>1037698146</v>
      </c>
      <c r="H953" s="836">
        <v>1068849535</v>
      </c>
      <c r="I953" s="836">
        <v>1056136766</v>
      </c>
    </row>
    <row r="954" spans="1:9" ht="15">
      <c r="A954" s="1080" t="s">
        <v>694</v>
      </c>
      <c r="B954" s="413">
        <v>2144364864</v>
      </c>
      <c r="C954" s="413">
        <v>2144364864</v>
      </c>
      <c r="D954" s="413">
        <v>2158272964</v>
      </c>
      <c r="E954" s="413">
        <v>2158272964</v>
      </c>
      <c r="F954" s="836">
        <v>2150834114</v>
      </c>
      <c r="G954" s="836">
        <v>2136926014</v>
      </c>
      <c r="H954" s="836">
        <v>2150834114</v>
      </c>
      <c r="I954" s="836">
        <v>2136926014</v>
      </c>
    </row>
    <row r="955" spans="1:9" ht="15">
      <c r="A955" s="1080" t="s">
        <v>695</v>
      </c>
      <c r="B955" s="413">
        <v>128900378</v>
      </c>
      <c r="C955" s="413">
        <v>128900378</v>
      </c>
      <c r="D955" s="413">
        <v>129106208</v>
      </c>
      <c r="E955" s="413">
        <v>129106208</v>
      </c>
      <c r="F955" s="836">
        <v>128962883</v>
      </c>
      <c r="G955" s="836">
        <v>128757053</v>
      </c>
      <c r="H955" s="836">
        <v>128962883</v>
      </c>
      <c r="I955" s="836">
        <v>128757053</v>
      </c>
    </row>
    <row r="956" spans="1:9" ht="15">
      <c r="A956" s="1080" t="s">
        <v>2669</v>
      </c>
      <c r="B956" s="413">
        <v>2440025834</v>
      </c>
      <c r="C956" s="413">
        <v>2440025834</v>
      </c>
      <c r="D956" s="413">
        <v>2505222479</v>
      </c>
      <c r="E956" s="413">
        <v>2505222479</v>
      </c>
      <c r="F956" s="836">
        <v>2505202579</v>
      </c>
      <c r="G956" s="836">
        <v>2440005934</v>
      </c>
      <c r="H956" s="836">
        <v>2505202579</v>
      </c>
      <c r="I956" s="836">
        <v>2440005934</v>
      </c>
    </row>
    <row r="957" spans="1:9" ht="15">
      <c r="A957" s="1080" t="s">
        <v>2670</v>
      </c>
      <c r="B957" s="413">
        <v>409640730</v>
      </c>
      <c r="C957" s="413">
        <v>409640730</v>
      </c>
      <c r="D957" s="413">
        <v>417439708</v>
      </c>
      <c r="E957" s="413">
        <v>417439708</v>
      </c>
      <c r="F957" s="836">
        <v>417439708</v>
      </c>
      <c r="G957" s="836">
        <v>409640730</v>
      </c>
      <c r="H957" s="836">
        <v>417439708</v>
      </c>
      <c r="I957" s="836">
        <v>409640730</v>
      </c>
    </row>
    <row r="958" spans="1:9" ht="15">
      <c r="A958" s="1080" t="s">
        <v>1987</v>
      </c>
      <c r="B958" s="413">
        <v>2067775950</v>
      </c>
      <c r="C958" s="413">
        <v>2067775950</v>
      </c>
      <c r="D958" s="413">
        <v>2154891414</v>
      </c>
      <c r="E958" s="413">
        <v>2154891414</v>
      </c>
      <c r="F958" s="836">
        <v>2119683380</v>
      </c>
      <c r="G958" s="836">
        <v>2032567916</v>
      </c>
      <c r="H958" s="836">
        <v>2119683380</v>
      </c>
      <c r="I958" s="836">
        <v>2032567916</v>
      </c>
    </row>
    <row r="959" spans="1:9" ht="15">
      <c r="A959" s="1080" t="s">
        <v>1713</v>
      </c>
      <c r="B959" s="413">
        <v>16507930108</v>
      </c>
      <c r="C959" s="413">
        <v>16507930108</v>
      </c>
      <c r="D959" s="413">
        <v>16746319598</v>
      </c>
      <c r="E959" s="413">
        <v>16746319598</v>
      </c>
      <c r="F959" s="836">
        <v>16479546885</v>
      </c>
      <c r="G959" s="836">
        <v>16241157395</v>
      </c>
      <c r="H959" s="836">
        <v>16479546885</v>
      </c>
      <c r="I959" s="836">
        <v>16241157395</v>
      </c>
    </row>
    <row r="960" spans="1:9" ht="15">
      <c r="A960" s="1080" t="s">
        <v>1043</v>
      </c>
      <c r="B960" s="413">
        <v>589155029</v>
      </c>
      <c r="C960" s="413">
        <v>743004979</v>
      </c>
      <c r="D960" s="413">
        <v>590558771</v>
      </c>
      <c r="E960" s="413">
        <v>744408721</v>
      </c>
      <c r="F960" s="836">
        <v>589733768</v>
      </c>
      <c r="G960" s="836">
        <v>588330026</v>
      </c>
      <c r="H960" s="836">
        <v>743583718</v>
      </c>
      <c r="I960" s="836">
        <v>742179976</v>
      </c>
    </row>
    <row r="961" spans="1:9" ht="15">
      <c r="A961" s="1080" t="s">
        <v>1044</v>
      </c>
      <c r="B961" s="413">
        <v>277855279</v>
      </c>
      <c r="C961" s="413">
        <v>277855279</v>
      </c>
      <c r="D961" s="413">
        <v>287273428</v>
      </c>
      <c r="E961" s="413">
        <v>287273428</v>
      </c>
      <c r="F961" s="836">
        <v>287273428</v>
      </c>
      <c r="G961" s="836">
        <v>277855279</v>
      </c>
      <c r="H961" s="836">
        <v>287273428</v>
      </c>
      <c r="I961" s="836">
        <v>277855279</v>
      </c>
    </row>
    <row r="962" spans="1:9" ht="15">
      <c r="A962" s="1080" t="s">
        <v>1045</v>
      </c>
      <c r="B962" s="413">
        <v>330968036</v>
      </c>
      <c r="C962" s="413">
        <v>330968036</v>
      </c>
      <c r="D962" s="413">
        <v>340958599</v>
      </c>
      <c r="E962" s="413">
        <v>340958599</v>
      </c>
      <c r="F962" s="836">
        <v>340958599</v>
      </c>
      <c r="G962" s="836">
        <v>330968036</v>
      </c>
      <c r="H962" s="836">
        <v>340958599</v>
      </c>
      <c r="I962" s="836">
        <v>330968036</v>
      </c>
    </row>
    <row r="963" spans="1:9" ht="15">
      <c r="A963" s="1080" t="s">
        <v>624</v>
      </c>
      <c r="B963" s="413">
        <v>1141012139</v>
      </c>
      <c r="C963" s="413">
        <v>1141012139</v>
      </c>
      <c r="D963" s="413">
        <v>1174734982</v>
      </c>
      <c r="E963" s="413">
        <v>1174734982</v>
      </c>
      <c r="F963" s="836">
        <v>1174734982</v>
      </c>
      <c r="G963" s="836">
        <v>1141012139</v>
      </c>
      <c r="H963" s="836">
        <v>1174734982</v>
      </c>
      <c r="I963" s="836">
        <v>1141012139</v>
      </c>
    </row>
    <row r="964" spans="1:9" ht="15">
      <c r="A964" s="1080" t="s">
        <v>1014</v>
      </c>
      <c r="B964" s="413">
        <v>909568708</v>
      </c>
      <c r="C964" s="413">
        <v>909568708</v>
      </c>
      <c r="D964" s="413">
        <v>932454048</v>
      </c>
      <c r="E964" s="413">
        <v>932454048</v>
      </c>
      <c r="F964" s="836">
        <v>932454048</v>
      </c>
      <c r="G964" s="836">
        <v>909568708</v>
      </c>
      <c r="H964" s="836">
        <v>932454048</v>
      </c>
      <c r="I964" s="836">
        <v>909568708</v>
      </c>
    </row>
    <row r="965" spans="1:9" ht="15">
      <c r="A965" s="1080" t="s">
        <v>1015</v>
      </c>
      <c r="B965" s="413">
        <v>237942627</v>
      </c>
      <c r="C965" s="413">
        <v>237942627</v>
      </c>
      <c r="D965" s="413">
        <v>243333852</v>
      </c>
      <c r="E965" s="413">
        <v>243333852</v>
      </c>
      <c r="F965" s="836">
        <v>243333852</v>
      </c>
      <c r="G965" s="836">
        <v>237942627</v>
      </c>
      <c r="H965" s="836">
        <v>243333852</v>
      </c>
      <c r="I965" s="836">
        <v>237942627</v>
      </c>
    </row>
    <row r="966" spans="1:9" ht="15">
      <c r="A966" s="1080" t="s">
        <v>1016</v>
      </c>
      <c r="B966" s="413">
        <v>157986135</v>
      </c>
      <c r="C966" s="413">
        <v>157986135</v>
      </c>
      <c r="D966" s="413">
        <v>162518385</v>
      </c>
      <c r="E966" s="413">
        <v>162518385</v>
      </c>
      <c r="F966" s="836">
        <v>162518385</v>
      </c>
      <c r="G966" s="836">
        <v>157986135</v>
      </c>
      <c r="H966" s="836">
        <v>162518385</v>
      </c>
      <c r="I966" s="836">
        <v>157986135</v>
      </c>
    </row>
    <row r="967" spans="1:9" ht="15">
      <c r="A967" s="1080" t="s">
        <v>1017</v>
      </c>
      <c r="B967" s="413">
        <v>408351494</v>
      </c>
      <c r="C967" s="413">
        <v>408351494</v>
      </c>
      <c r="D967" s="413">
        <v>412104234</v>
      </c>
      <c r="E967" s="413">
        <v>412104234</v>
      </c>
      <c r="F967" s="836">
        <v>412104234</v>
      </c>
      <c r="G967" s="836">
        <v>408351494</v>
      </c>
      <c r="H967" s="836">
        <v>412104234</v>
      </c>
      <c r="I967" s="836">
        <v>408351494</v>
      </c>
    </row>
    <row r="968" spans="1:9" ht="15">
      <c r="A968" s="1080" t="s">
        <v>1940</v>
      </c>
      <c r="B968" s="413">
        <v>1090497745</v>
      </c>
      <c r="C968" s="413">
        <v>1090497745</v>
      </c>
      <c r="D968" s="413">
        <v>1090827195</v>
      </c>
      <c r="E968" s="413">
        <v>1090827195</v>
      </c>
      <c r="F968" s="836">
        <v>1090827195</v>
      </c>
      <c r="G968" s="836">
        <v>1090497745</v>
      </c>
      <c r="H968" s="836">
        <v>1090827195</v>
      </c>
      <c r="I968" s="836">
        <v>1090497745</v>
      </c>
    </row>
    <row r="969" spans="1:9" ht="15">
      <c r="A969" s="1080" t="s">
        <v>2648</v>
      </c>
      <c r="B969" s="413">
        <v>1867830047</v>
      </c>
      <c r="C969" s="413">
        <v>1867830047</v>
      </c>
      <c r="D969" s="413">
        <v>1869614187</v>
      </c>
      <c r="E969" s="413">
        <v>1869614187</v>
      </c>
      <c r="F969" s="836">
        <v>1869614187</v>
      </c>
      <c r="G969" s="836">
        <v>1867830047</v>
      </c>
      <c r="H969" s="836">
        <v>1869614187</v>
      </c>
      <c r="I969" s="836">
        <v>1867830047</v>
      </c>
    </row>
    <row r="970" spans="1:9" ht="15">
      <c r="A970" s="1080" t="s">
        <v>996</v>
      </c>
      <c r="B970" s="413">
        <v>776208239</v>
      </c>
      <c r="C970" s="413">
        <v>776208239</v>
      </c>
      <c r="D970" s="413">
        <v>807488011</v>
      </c>
      <c r="E970" s="413">
        <v>807488011</v>
      </c>
      <c r="F970" s="836">
        <v>807488011</v>
      </c>
      <c r="G970" s="836">
        <v>776208239</v>
      </c>
      <c r="H970" s="836">
        <v>807488011</v>
      </c>
      <c r="I970" s="836">
        <v>776208239</v>
      </c>
    </row>
    <row r="971" spans="1:9" ht="15">
      <c r="A971" s="1080" t="s">
        <v>1424</v>
      </c>
      <c r="B971" s="413">
        <v>239193536</v>
      </c>
      <c r="C971" s="413">
        <v>239193536</v>
      </c>
      <c r="D971" s="413">
        <v>243772481</v>
      </c>
      <c r="E971" s="413">
        <v>243772481</v>
      </c>
      <c r="F971" s="836">
        <v>243772481</v>
      </c>
      <c r="G971" s="836">
        <v>239193536</v>
      </c>
      <c r="H971" s="836">
        <v>243772481</v>
      </c>
      <c r="I971" s="836">
        <v>239193536</v>
      </c>
    </row>
    <row r="972" spans="1:9" ht="15">
      <c r="A972" s="1080" t="s">
        <v>714</v>
      </c>
      <c r="B972" s="413">
        <v>576328392</v>
      </c>
      <c r="C972" s="413">
        <v>576328392</v>
      </c>
      <c r="D972" s="413">
        <v>601122257</v>
      </c>
      <c r="E972" s="413">
        <v>601122257</v>
      </c>
      <c r="F972" s="836">
        <v>601122257</v>
      </c>
      <c r="G972" s="836">
        <v>576328392</v>
      </c>
      <c r="H972" s="836">
        <v>601122257</v>
      </c>
      <c r="I972" s="836">
        <v>576328392</v>
      </c>
    </row>
    <row r="973" spans="1:9" ht="15">
      <c r="A973" s="1080" t="s">
        <v>2088</v>
      </c>
      <c r="B973" s="413">
        <v>4087932901</v>
      </c>
      <c r="C973" s="413">
        <v>4087932901</v>
      </c>
      <c r="D973" s="413">
        <v>4237356825</v>
      </c>
      <c r="E973" s="413">
        <v>4237356825</v>
      </c>
      <c r="F973" s="836">
        <v>4237356825</v>
      </c>
      <c r="G973" s="836">
        <v>4087932901</v>
      </c>
      <c r="H973" s="836">
        <v>4237356825</v>
      </c>
      <c r="I973" s="836">
        <v>4087932901</v>
      </c>
    </row>
    <row r="974" spans="1:9" ht="15">
      <c r="A974" s="1080" t="s">
        <v>626</v>
      </c>
      <c r="B974" s="413">
        <v>173412790</v>
      </c>
      <c r="C974" s="413">
        <v>173412790</v>
      </c>
      <c r="D974" s="413">
        <v>182087686</v>
      </c>
      <c r="E974" s="413">
        <v>182087686</v>
      </c>
      <c r="F974" s="836">
        <v>182087686</v>
      </c>
      <c r="G974" s="836">
        <v>173412790</v>
      </c>
      <c r="H974" s="836">
        <v>182087686</v>
      </c>
      <c r="I974" s="836">
        <v>173412790</v>
      </c>
    </row>
    <row r="975" spans="1:9" ht="15">
      <c r="A975" s="1080" t="s">
        <v>1534</v>
      </c>
      <c r="B975" s="413">
        <v>64825869</v>
      </c>
      <c r="C975" s="413">
        <v>64825869</v>
      </c>
      <c r="D975" s="413">
        <v>65152609</v>
      </c>
      <c r="E975" s="413">
        <v>65152609</v>
      </c>
      <c r="F975" s="836">
        <v>65152609</v>
      </c>
      <c r="G975" s="836">
        <v>64825869</v>
      </c>
      <c r="H975" s="836">
        <v>65152609</v>
      </c>
      <c r="I975" s="836">
        <v>64825869</v>
      </c>
    </row>
    <row r="976" spans="1:9" ht="15">
      <c r="A976" s="1080" t="s">
        <v>9</v>
      </c>
      <c r="B976" s="413">
        <v>881601237</v>
      </c>
      <c r="C976" s="413">
        <v>881601237</v>
      </c>
      <c r="D976" s="413">
        <v>905029427</v>
      </c>
      <c r="E976" s="413">
        <v>905029427</v>
      </c>
      <c r="F976" s="836">
        <v>905029427</v>
      </c>
      <c r="G976" s="836">
        <v>881601237</v>
      </c>
      <c r="H976" s="836">
        <v>905029427</v>
      </c>
      <c r="I976" s="836">
        <v>881601237</v>
      </c>
    </row>
    <row r="977" spans="1:9" ht="15">
      <c r="A977" s="1080" t="s">
        <v>10</v>
      </c>
      <c r="B977" s="413">
        <v>39717196</v>
      </c>
      <c r="C977" s="413">
        <v>89941526</v>
      </c>
      <c r="D977" s="413">
        <v>40329876</v>
      </c>
      <c r="E977" s="413">
        <v>90554206</v>
      </c>
      <c r="F977" s="836">
        <v>40329876</v>
      </c>
      <c r="G977" s="836">
        <v>39717196</v>
      </c>
      <c r="H977" s="836">
        <v>90554206</v>
      </c>
      <c r="I977" s="836">
        <v>89941526</v>
      </c>
    </row>
    <row r="978" spans="1:9" ht="15">
      <c r="A978" s="1080" t="s">
        <v>1695</v>
      </c>
      <c r="B978" s="413">
        <v>35043379</v>
      </c>
      <c r="C978" s="413">
        <v>35043379</v>
      </c>
      <c r="D978" s="413">
        <v>36988054</v>
      </c>
      <c r="E978" s="413">
        <v>36988054</v>
      </c>
      <c r="F978" s="836">
        <v>36988054</v>
      </c>
      <c r="G978" s="836">
        <v>35043379</v>
      </c>
      <c r="H978" s="836">
        <v>36988054</v>
      </c>
      <c r="I978" s="836">
        <v>35043379</v>
      </c>
    </row>
    <row r="979" spans="1:9" ht="15">
      <c r="A979" s="1080" t="s">
        <v>2387</v>
      </c>
      <c r="B979" s="413">
        <v>224698961</v>
      </c>
      <c r="C979" s="413">
        <v>688566508</v>
      </c>
      <c r="D979" s="413">
        <v>234368716</v>
      </c>
      <c r="E979" s="413">
        <v>698236263</v>
      </c>
      <c r="F979" s="836">
        <v>234368716</v>
      </c>
      <c r="G979" s="836">
        <v>224698961</v>
      </c>
      <c r="H979" s="836">
        <v>698236263</v>
      </c>
      <c r="I979" s="836">
        <v>688566508</v>
      </c>
    </row>
    <row r="980" spans="1:9" ht="15">
      <c r="A980" s="1080" t="s">
        <v>465</v>
      </c>
      <c r="B980" s="413">
        <v>239426357</v>
      </c>
      <c r="C980" s="413">
        <v>317816607</v>
      </c>
      <c r="D980" s="413">
        <v>252457726</v>
      </c>
      <c r="E980" s="413">
        <v>330847976</v>
      </c>
      <c r="F980" s="836">
        <v>252457726</v>
      </c>
      <c r="G980" s="836">
        <v>239426357</v>
      </c>
      <c r="H980" s="836">
        <v>330847976</v>
      </c>
      <c r="I980" s="836">
        <v>317816607</v>
      </c>
    </row>
    <row r="981" spans="1:9" ht="15">
      <c r="A981" s="1080" t="s">
        <v>308</v>
      </c>
      <c r="B981" s="413">
        <v>82703358</v>
      </c>
      <c r="C981" s="413">
        <v>113227368</v>
      </c>
      <c r="D981" s="413">
        <v>84781113</v>
      </c>
      <c r="E981" s="413">
        <v>115305123</v>
      </c>
      <c r="F981" s="836">
        <v>84781113</v>
      </c>
      <c r="G981" s="836">
        <v>82703358</v>
      </c>
      <c r="H981" s="836">
        <v>115305123</v>
      </c>
      <c r="I981" s="836">
        <v>113227368</v>
      </c>
    </row>
    <row r="982" spans="1:9" ht="15">
      <c r="A982" s="1080" t="s">
        <v>1514</v>
      </c>
      <c r="B982" s="413">
        <v>306551850</v>
      </c>
      <c r="C982" s="413">
        <v>306551850</v>
      </c>
      <c r="D982" s="413">
        <v>317346048</v>
      </c>
      <c r="E982" s="413">
        <v>317346048</v>
      </c>
      <c r="F982" s="836">
        <v>317346048</v>
      </c>
      <c r="G982" s="836">
        <v>306551850</v>
      </c>
      <c r="H982" s="836">
        <v>317346048</v>
      </c>
      <c r="I982" s="836">
        <v>306551850</v>
      </c>
    </row>
    <row r="983" spans="1:9" ht="15">
      <c r="A983" s="1080" t="s">
        <v>2975</v>
      </c>
      <c r="B983" s="413">
        <v>7189684183</v>
      </c>
      <c r="C983" s="413">
        <v>7189684183</v>
      </c>
      <c r="D983" s="413">
        <v>7376706585</v>
      </c>
      <c r="E983" s="413">
        <v>7376706585</v>
      </c>
      <c r="F983" s="836">
        <v>7376706585</v>
      </c>
      <c r="G983" s="836">
        <v>7189684183</v>
      </c>
      <c r="H983" s="836">
        <v>7376706585</v>
      </c>
      <c r="I983" s="836">
        <v>7189684183</v>
      </c>
    </row>
    <row r="984" spans="1:9" ht="15">
      <c r="A984" s="1080" t="s">
        <v>2038</v>
      </c>
      <c r="B984" s="413">
        <v>131558373</v>
      </c>
      <c r="C984" s="413">
        <v>131558373</v>
      </c>
      <c r="D984" s="413">
        <v>137407963</v>
      </c>
      <c r="E984" s="413">
        <v>137407963</v>
      </c>
      <c r="F984" s="836">
        <v>137407963</v>
      </c>
      <c r="G984" s="836">
        <v>131558373</v>
      </c>
      <c r="H984" s="836">
        <v>137407963</v>
      </c>
      <c r="I984" s="836">
        <v>131558373</v>
      </c>
    </row>
    <row r="985" spans="1:9" ht="15">
      <c r="A985" s="1080" t="s">
        <v>47</v>
      </c>
      <c r="B985" s="413">
        <v>1995674293</v>
      </c>
      <c r="C985" s="413">
        <v>1995674293</v>
      </c>
      <c r="D985" s="413">
        <v>2055635291</v>
      </c>
      <c r="E985" s="413">
        <v>2055635291</v>
      </c>
      <c r="F985" s="836">
        <v>2055635291</v>
      </c>
      <c r="G985" s="836">
        <v>1995674293</v>
      </c>
      <c r="H985" s="836">
        <v>2055635291</v>
      </c>
      <c r="I985" s="836">
        <v>1995674293</v>
      </c>
    </row>
    <row r="986" spans="1:9" ht="15">
      <c r="A986" s="1080" t="s">
        <v>11</v>
      </c>
      <c r="B986" s="413">
        <v>870732210</v>
      </c>
      <c r="C986" s="413">
        <v>870732210</v>
      </c>
      <c r="D986" s="413">
        <v>902453325</v>
      </c>
      <c r="E986" s="413">
        <v>902453325</v>
      </c>
      <c r="F986" s="836">
        <v>902453325</v>
      </c>
      <c r="G986" s="836">
        <v>870732210</v>
      </c>
      <c r="H986" s="836">
        <v>902453325</v>
      </c>
      <c r="I986" s="836">
        <v>870732210</v>
      </c>
    </row>
    <row r="987" spans="1:9" ht="15">
      <c r="A987" s="1080" t="s">
        <v>1990</v>
      </c>
      <c r="B987" s="413">
        <v>1422210564</v>
      </c>
      <c r="C987" s="413">
        <v>1422210564</v>
      </c>
      <c r="D987" s="413">
        <v>1456197421</v>
      </c>
      <c r="E987" s="413">
        <v>1456197421</v>
      </c>
      <c r="F987" s="836">
        <v>1456197421</v>
      </c>
      <c r="G987" s="836">
        <v>1422210564</v>
      </c>
      <c r="H987" s="836">
        <v>1456197421</v>
      </c>
      <c r="I987" s="836">
        <v>1422210564</v>
      </c>
    </row>
    <row r="988" spans="1:9" ht="15">
      <c r="A988" s="1080" t="s">
        <v>1485</v>
      </c>
      <c r="B988" s="413">
        <v>27243818755</v>
      </c>
      <c r="C988" s="413">
        <v>27243818755</v>
      </c>
      <c r="D988" s="413">
        <v>27744072667</v>
      </c>
      <c r="E988" s="413">
        <v>27744072667</v>
      </c>
      <c r="F988" s="836">
        <v>27744072667</v>
      </c>
      <c r="G988" s="836">
        <v>27243818755</v>
      </c>
      <c r="H988" s="836">
        <v>27744072667</v>
      </c>
      <c r="I988" s="836">
        <v>27243818755</v>
      </c>
    </row>
    <row r="989" spans="1:9" ht="15">
      <c r="A989" s="1080" t="s">
        <v>1738</v>
      </c>
      <c r="B989" s="413">
        <v>887833769</v>
      </c>
      <c r="C989" s="413">
        <v>887833769</v>
      </c>
      <c r="D989" s="413">
        <v>921447163</v>
      </c>
      <c r="E989" s="413">
        <v>921447163</v>
      </c>
      <c r="F989" s="836">
        <v>921447163</v>
      </c>
      <c r="G989" s="836">
        <v>887833769</v>
      </c>
      <c r="H989" s="836">
        <v>921447163</v>
      </c>
      <c r="I989" s="836">
        <v>887833769</v>
      </c>
    </row>
    <row r="990" spans="1:9" ht="15">
      <c r="A990" s="1080" t="s">
        <v>1708</v>
      </c>
      <c r="B990" s="413">
        <v>204253362</v>
      </c>
      <c r="C990" s="413">
        <v>204253362</v>
      </c>
      <c r="D990" s="413">
        <v>211896012</v>
      </c>
      <c r="E990" s="413">
        <v>211896012</v>
      </c>
      <c r="F990" s="836">
        <v>211896012</v>
      </c>
      <c r="G990" s="836">
        <v>204253362</v>
      </c>
      <c r="H990" s="836">
        <v>211896012</v>
      </c>
      <c r="I990" s="836">
        <v>204253362</v>
      </c>
    </row>
    <row r="991" spans="1:9" ht="15">
      <c r="A991" s="1080" t="s">
        <v>1988</v>
      </c>
      <c r="B991" s="413">
        <v>18223625933</v>
      </c>
      <c r="C991" s="413">
        <v>18223625933</v>
      </c>
      <c r="D991" s="413">
        <v>18606154031</v>
      </c>
      <c r="E991" s="413">
        <v>18606154031</v>
      </c>
      <c r="F991" s="836">
        <v>18606154031</v>
      </c>
      <c r="G991" s="836">
        <v>18223625933</v>
      </c>
      <c r="H991" s="836">
        <v>18606154031</v>
      </c>
      <c r="I991" s="836">
        <v>18223625933</v>
      </c>
    </row>
    <row r="992" spans="1:9" ht="15">
      <c r="A992" s="1080" t="s">
        <v>12</v>
      </c>
      <c r="B992" s="413">
        <v>61133463</v>
      </c>
      <c r="C992" s="413">
        <v>61133463</v>
      </c>
      <c r="D992" s="413">
        <v>63514223</v>
      </c>
      <c r="E992" s="413">
        <v>63514223</v>
      </c>
      <c r="F992" s="836">
        <v>63514223</v>
      </c>
      <c r="G992" s="836">
        <v>61133463</v>
      </c>
      <c r="H992" s="836">
        <v>63514223</v>
      </c>
      <c r="I992" s="836">
        <v>61133463</v>
      </c>
    </row>
    <row r="993" spans="1:9" ht="15">
      <c r="A993" s="1080" t="s">
        <v>2814</v>
      </c>
      <c r="B993" s="413">
        <v>1181671401</v>
      </c>
      <c r="C993" s="413">
        <v>1181671401</v>
      </c>
      <c r="D993" s="413">
        <v>1229331891</v>
      </c>
      <c r="E993" s="413">
        <v>1229331891</v>
      </c>
      <c r="F993" s="836">
        <v>1229331891</v>
      </c>
      <c r="G993" s="836">
        <v>1181671401</v>
      </c>
      <c r="H993" s="836">
        <v>1229331891</v>
      </c>
      <c r="I993" s="836">
        <v>1181671401</v>
      </c>
    </row>
    <row r="994" spans="1:9" ht="15">
      <c r="A994" s="1080" t="s">
        <v>66</v>
      </c>
      <c r="B994" s="413">
        <v>930818395</v>
      </c>
      <c r="C994" s="413">
        <v>930818395</v>
      </c>
      <c r="D994" s="413">
        <v>967339333</v>
      </c>
      <c r="E994" s="413">
        <v>967339333</v>
      </c>
      <c r="F994" s="836">
        <v>967339333</v>
      </c>
      <c r="G994" s="836">
        <v>930818395</v>
      </c>
      <c r="H994" s="836">
        <v>967339333</v>
      </c>
      <c r="I994" s="836">
        <v>930818395</v>
      </c>
    </row>
    <row r="995" spans="1:9" ht="15">
      <c r="A995" s="1080" t="s">
        <v>2815</v>
      </c>
      <c r="B995" s="413">
        <v>326908552</v>
      </c>
      <c r="C995" s="413">
        <v>326908552</v>
      </c>
      <c r="D995" s="413">
        <v>335166722</v>
      </c>
      <c r="E995" s="413">
        <v>335166722</v>
      </c>
      <c r="F995" s="836">
        <v>335166722</v>
      </c>
      <c r="G995" s="836">
        <v>326908552</v>
      </c>
      <c r="H995" s="836">
        <v>335166722</v>
      </c>
      <c r="I995" s="836">
        <v>326908552</v>
      </c>
    </row>
    <row r="996" spans="1:9" ht="15">
      <c r="A996" s="1080" t="s">
        <v>1705</v>
      </c>
      <c r="B996" s="413">
        <v>205880672</v>
      </c>
      <c r="C996" s="413">
        <v>205880672</v>
      </c>
      <c r="D996" s="413">
        <v>214089885</v>
      </c>
      <c r="E996" s="413">
        <v>214089885</v>
      </c>
      <c r="F996" s="836">
        <v>214089885</v>
      </c>
      <c r="G996" s="836">
        <v>205880672</v>
      </c>
      <c r="H996" s="836">
        <v>214089885</v>
      </c>
      <c r="I996" s="836">
        <v>205880672</v>
      </c>
    </row>
    <row r="997" spans="1:9" ht="15">
      <c r="A997" s="1080" t="s">
        <v>1339</v>
      </c>
      <c r="B997" s="413">
        <v>626925961</v>
      </c>
      <c r="C997" s="413">
        <v>712027761</v>
      </c>
      <c r="D997" s="413">
        <v>638134432</v>
      </c>
      <c r="E997" s="413">
        <v>723236232</v>
      </c>
      <c r="F997" s="836">
        <v>631885029</v>
      </c>
      <c r="G997" s="836">
        <v>620676558</v>
      </c>
      <c r="H997" s="836">
        <v>716986829</v>
      </c>
      <c r="I997" s="836">
        <v>705778358</v>
      </c>
    </row>
    <row r="998" spans="1:9" ht="15">
      <c r="A998" s="1080" t="s">
        <v>1340</v>
      </c>
      <c r="B998" s="413">
        <v>1527336888</v>
      </c>
      <c r="C998" s="413">
        <v>1527336888</v>
      </c>
      <c r="D998" s="413">
        <v>1529158735</v>
      </c>
      <c r="E998" s="413">
        <v>1529158735</v>
      </c>
      <c r="F998" s="836">
        <v>1528329267</v>
      </c>
      <c r="G998" s="836">
        <v>1526507420</v>
      </c>
      <c r="H998" s="836">
        <v>1528329267</v>
      </c>
      <c r="I998" s="836">
        <v>1526507420</v>
      </c>
    </row>
    <row r="999" spans="1:9" ht="15">
      <c r="A999" s="1080" t="s">
        <v>224</v>
      </c>
      <c r="B999" s="413">
        <v>424402661</v>
      </c>
      <c r="C999" s="413">
        <v>424402661</v>
      </c>
      <c r="D999" s="413">
        <v>432907594</v>
      </c>
      <c r="E999" s="413">
        <v>432907594</v>
      </c>
      <c r="F999" s="836">
        <v>432907594</v>
      </c>
      <c r="G999" s="836">
        <v>424402661</v>
      </c>
      <c r="H999" s="836">
        <v>432907594</v>
      </c>
      <c r="I999" s="836">
        <v>424402661</v>
      </c>
    </row>
    <row r="1000" spans="1:9" ht="15">
      <c r="A1000" s="1080" t="s">
        <v>904</v>
      </c>
      <c r="B1000" s="413">
        <v>780973742</v>
      </c>
      <c r="C1000" s="413">
        <v>780973742</v>
      </c>
      <c r="D1000" s="413">
        <v>793486455</v>
      </c>
      <c r="E1000" s="413">
        <v>793486455</v>
      </c>
      <c r="F1000" s="836">
        <v>793486455</v>
      </c>
      <c r="G1000" s="836">
        <v>780973742</v>
      </c>
      <c r="H1000" s="836">
        <v>793486455</v>
      </c>
      <c r="I1000" s="836">
        <v>780973742</v>
      </c>
    </row>
    <row r="1001" spans="1:9" ht="15">
      <c r="A1001" s="1080" t="s">
        <v>2491</v>
      </c>
      <c r="B1001" s="413">
        <v>1411217758</v>
      </c>
      <c r="C1001" s="413">
        <v>1411217758</v>
      </c>
      <c r="D1001" s="413">
        <v>1433884837</v>
      </c>
      <c r="E1001" s="413">
        <v>1433884837</v>
      </c>
      <c r="F1001" s="836">
        <v>1428068522</v>
      </c>
      <c r="G1001" s="836">
        <v>1405401443</v>
      </c>
      <c r="H1001" s="836">
        <v>1428068522</v>
      </c>
      <c r="I1001" s="836">
        <v>1405401443</v>
      </c>
    </row>
    <row r="1002" spans="1:9" ht="15">
      <c r="A1002" s="1080" t="s">
        <v>2780</v>
      </c>
      <c r="B1002" s="413">
        <v>583513010</v>
      </c>
      <c r="C1002" s="413">
        <v>583513010</v>
      </c>
      <c r="D1002" s="413">
        <v>590844844</v>
      </c>
      <c r="E1002" s="413">
        <v>590844844</v>
      </c>
      <c r="F1002" s="836">
        <v>590844844</v>
      </c>
      <c r="G1002" s="836">
        <v>583513010</v>
      </c>
      <c r="H1002" s="836">
        <v>590844844</v>
      </c>
      <c r="I1002" s="836">
        <v>583513010</v>
      </c>
    </row>
    <row r="1003" spans="1:9" ht="15">
      <c r="A1003" s="1080" t="s">
        <v>2781</v>
      </c>
      <c r="B1003" s="413">
        <v>2251569151</v>
      </c>
      <c r="C1003" s="413">
        <v>2251569151</v>
      </c>
      <c r="D1003" s="413">
        <v>2282178342</v>
      </c>
      <c r="E1003" s="413">
        <v>2282178342</v>
      </c>
      <c r="F1003" s="836">
        <v>2282178342</v>
      </c>
      <c r="G1003" s="836">
        <v>2251569151</v>
      </c>
      <c r="H1003" s="836">
        <v>2282178342</v>
      </c>
      <c r="I1003" s="836">
        <v>2251569151</v>
      </c>
    </row>
    <row r="1004" spans="1:9" ht="15">
      <c r="A1004" s="1080" t="s">
        <v>2302</v>
      </c>
      <c r="B1004" s="413">
        <v>406958034</v>
      </c>
      <c r="C1004" s="413">
        <v>406958034</v>
      </c>
      <c r="D1004" s="413">
        <v>417844591</v>
      </c>
      <c r="E1004" s="413">
        <v>417844591</v>
      </c>
      <c r="F1004" s="836">
        <v>417844591</v>
      </c>
      <c r="G1004" s="836">
        <v>406958034</v>
      </c>
      <c r="H1004" s="836">
        <v>417844591</v>
      </c>
      <c r="I1004" s="836">
        <v>406958034</v>
      </c>
    </row>
    <row r="1005" spans="1:9" ht="15">
      <c r="A1005" s="1080" t="s">
        <v>1314</v>
      </c>
      <c r="B1005" s="413">
        <v>373887025</v>
      </c>
      <c r="C1005" s="413">
        <v>373887025</v>
      </c>
      <c r="D1005" s="413">
        <v>377604558</v>
      </c>
      <c r="E1005" s="413">
        <v>377604558</v>
      </c>
      <c r="F1005" s="836">
        <v>372739111</v>
      </c>
      <c r="G1005" s="836">
        <v>369021578</v>
      </c>
      <c r="H1005" s="836">
        <v>372739111</v>
      </c>
      <c r="I1005" s="836">
        <v>369021578</v>
      </c>
    </row>
    <row r="1006" spans="1:9" ht="15">
      <c r="A1006" s="1080" t="s">
        <v>2548</v>
      </c>
      <c r="B1006" s="413">
        <v>763634965</v>
      </c>
      <c r="C1006" s="413">
        <v>763634965</v>
      </c>
      <c r="D1006" s="413">
        <v>775551789</v>
      </c>
      <c r="E1006" s="413">
        <v>775551789</v>
      </c>
      <c r="F1006" s="836">
        <v>775551789</v>
      </c>
      <c r="G1006" s="836">
        <v>763634965</v>
      </c>
      <c r="H1006" s="836">
        <v>775551789</v>
      </c>
      <c r="I1006" s="836">
        <v>763634965</v>
      </c>
    </row>
    <row r="1007" spans="1:9" ht="15">
      <c r="A1007" s="1080" t="s">
        <v>2549</v>
      </c>
      <c r="B1007" s="413">
        <v>486239399</v>
      </c>
      <c r="C1007" s="413">
        <v>486239399</v>
      </c>
      <c r="D1007" s="413">
        <v>507603029</v>
      </c>
      <c r="E1007" s="413">
        <v>507603029</v>
      </c>
      <c r="F1007" s="836">
        <v>507603029</v>
      </c>
      <c r="G1007" s="836">
        <v>486239399</v>
      </c>
      <c r="H1007" s="836">
        <v>507603029</v>
      </c>
      <c r="I1007" s="836">
        <v>486239399</v>
      </c>
    </row>
    <row r="1008" spans="1:9" ht="15">
      <c r="A1008" s="1080" t="s">
        <v>2970</v>
      </c>
      <c r="B1008" s="413">
        <v>419825586</v>
      </c>
      <c r="C1008" s="413">
        <v>419825586</v>
      </c>
      <c r="D1008" s="413">
        <v>441103373</v>
      </c>
      <c r="E1008" s="413">
        <v>441103373</v>
      </c>
      <c r="F1008" s="836">
        <v>441103373</v>
      </c>
      <c r="G1008" s="836">
        <v>419825586</v>
      </c>
      <c r="H1008" s="836">
        <v>441103373</v>
      </c>
      <c r="I1008" s="836">
        <v>419825586</v>
      </c>
    </row>
    <row r="1009" spans="1:9" ht="15">
      <c r="A1009" s="1080" t="s">
        <v>2971</v>
      </c>
      <c r="B1009" s="413">
        <v>279262828</v>
      </c>
      <c r="C1009" s="413">
        <v>279262828</v>
      </c>
      <c r="D1009" s="413">
        <v>289028146</v>
      </c>
      <c r="E1009" s="413">
        <v>289028146</v>
      </c>
      <c r="F1009" s="836">
        <v>289028146</v>
      </c>
      <c r="G1009" s="836">
        <v>279262828</v>
      </c>
      <c r="H1009" s="836">
        <v>289028146</v>
      </c>
      <c r="I1009" s="836">
        <v>279262828</v>
      </c>
    </row>
    <row r="1010" spans="1:9" ht="15">
      <c r="A1010" s="1080" t="s">
        <v>705</v>
      </c>
      <c r="B1010" s="413">
        <v>240108876</v>
      </c>
      <c r="C1010" s="413">
        <v>240108876</v>
      </c>
      <c r="D1010" s="413">
        <v>254115221</v>
      </c>
      <c r="E1010" s="413">
        <v>254115221</v>
      </c>
      <c r="F1010" s="836">
        <v>254115221</v>
      </c>
      <c r="G1010" s="836">
        <v>240108876</v>
      </c>
      <c r="H1010" s="836">
        <v>254115221</v>
      </c>
      <c r="I1010" s="836">
        <v>240108876</v>
      </c>
    </row>
    <row r="1011" spans="1:9" ht="15">
      <c r="A1011" s="1080" t="s">
        <v>777</v>
      </c>
      <c r="B1011" s="413">
        <v>446456606</v>
      </c>
      <c r="C1011" s="413">
        <v>446456606</v>
      </c>
      <c r="D1011" s="413">
        <v>466954539</v>
      </c>
      <c r="E1011" s="413">
        <v>466954539</v>
      </c>
      <c r="F1011" s="836">
        <v>466954539</v>
      </c>
      <c r="G1011" s="836">
        <v>446456606</v>
      </c>
      <c r="H1011" s="836">
        <v>466954539</v>
      </c>
      <c r="I1011" s="836">
        <v>446456606</v>
      </c>
    </row>
    <row r="1012" spans="1:9" ht="15">
      <c r="A1012" s="1080" t="s">
        <v>778</v>
      </c>
      <c r="B1012" s="413">
        <v>1995314726</v>
      </c>
      <c r="C1012" s="413">
        <v>1995314726</v>
      </c>
      <c r="D1012" s="413">
        <v>2006226346</v>
      </c>
      <c r="E1012" s="413">
        <v>2006226346</v>
      </c>
      <c r="F1012" s="836">
        <v>2001424539</v>
      </c>
      <c r="G1012" s="836">
        <v>1990512919</v>
      </c>
      <c r="H1012" s="836">
        <v>2001424539</v>
      </c>
      <c r="I1012" s="836">
        <v>1990512919</v>
      </c>
    </row>
    <row r="1013" spans="1:9" ht="15">
      <c r="A1013" s="1080" t="s">
        <v>1660</v>
      </c>
      <c r="B1013" s="413">
        <v>753046572</v>
      </c>
      <c r="C1013" s="413">
        <v>753046572</v>
      </c>
      <c r="D1013" s="413">
        <v>756608773</v>
      </c>
      <c r="E1013" s="413">
        <v>756608773</v>
      </c>
      <c r="F1013" s="836">
        <v>753067192</v>
      </c>
      <c r="G1013" s="836">
        <v>749504991</v>
      </c>
      <c r="H1013" s="836">
        <v>753067192</v>
      </c>
      <c r="I1013" s="836">
        <v>749504991</v>
      </c>
    </row>
    <row r="1014" spans="1:9" ht="15">
      <c r="A1014" s="1080" t="s">
        <v>1020</v>
      </c>
      <c r="B1014" s="413">
        <v>731073514</v>
      </c>
      <c r="C1014" s="413">
        <v>750295914</v>
      </c>
      <c r="D1014" s="413">
        <v>759437904</v>
      </c>
      <c r="E1014" s="413">
        <v>778660304</v>
      </c>
      <c r="F1014" s="836">
        <v>759437904</v>
      </c>
      <c r="G1014" s="836">
        <v>731073514</v>
      </c>
      <c r="H1014" s="836">
        <v>778660304</v>
      </c>
      <c r="I1014" s="836">
        <v>750295914</v>
      </c>
    </row>
    <row r="1015" spans="1:9" ht="15">
      <c r="A1015" s="1080" t="s">
        <v>1661</v>
      </c>
      <c r="B1015" s="413">
        <v>74222887</v>
      </c>
      <c r="C1015" s="413">
        <v>74222887</v>
      </c>
      <c r="D1015" s="413">
        <v>75554097</v>
      </c>
      <c r="E1015" s="413">
        <v>75554097</v>
      </c>
      <c r="F1015" s="836">
        <v>75554097</v>
      </c>
      <c r="G1015" s="836">
        <v>74222887</v>
      </c>
      <c r="H1015" s="836">
        <v>75554097</v>
      </c>
      <c r="I1015" s="836">
        <v>74222887</v>
      </c>
    </row>
    <row r="1016" spans="1:9" ht="15">
      <c r="A1016" s="1080" t="s">
        <v>1696</v>
      </c>
      <c r="B1016" s="413">
        <v>268144591</v>
      </c>
      <c r="C1016" s="413">
        <v>503137551</v>
      </c>
      <c r="D1016" s="413">
        <v>275174881</v>
      </c>
      <c r="E1016" s="413">
        <v>510167841</v>
      </c>
      <c r="F1016" s="836">
        <v>275174881</v>
      </c>
      <c r="G1016" s="836">
        <v>268144591</v>
      </c>
      <c r="H1016" s="836">
        <v>510167841</v>
      </c>
      <c r="I1016" s="836">
        <v>503137551</v>
      </c>
    </row>
    <row r="1017" spans="1:9" ht="15">
      <c r="A1017" s="1080" t="s">
        <v>556</v>
      </c>
      <c r="B1017" s="413">
        <v>1264564081</v>
      </c>
      <c r="C1017" s="413">
        <v>1264564081</v>
      </c>
      <c r="D1017" s="413">
        <v>1292140574</v>
      </c>
      <c r="E1017" s="413">
        <v>1292140574</v>
      </c>
      <c r="F1017" s="836">
        <v>1269317916</v>
      </c>
      <c r="G1017" s="836">
        <v>1241741423</v>
      </c>
      <c r="H1017" s="836">
        <v>1269317916</v>
      </c>
      <c r="I1017" s="836">
        <v>1241741423</v>
      </c>
    </row>
    <row r="1018" spans="1:9" ht="15">
      <c r="A1018" s="1080" t="s">
        <v>2760</v>
      </c>
      <c r="B1018" s="413">
        <v>1110153741</v>
      </c>
      <c r="C1018" s="413">
        <v>1110153741</v>
      </c>
      <c r="D1018" s="413">
        <v>1120323269</v>
      </c>
      <c r="E1018" s="413">
        <v>1120323269</v>
      </c>
      <c r="F1018" s="836">
        <v>1120323269</v>
      </c>
      <c r="G1018" s="836">
        <v>1110153741</v>
      </c>
      <c r="H1018" s="836">
        <v>1120323269</v>
      </c>
      <c r="I1018" s="836">
        <v>1110153741</v>
      </c>
    </row>
    <row r="1019" spans="1:9" ht="15">
      <c r="A1019" s="1080" t="s">
        <v>1901</v>
      </c>
      <c r="B1019" s="413">
        <v>89334054</v>
      </c>
      <c r="C1019" s="413">
        <v>89334054</v>
      </c>
      <c r="D1019" s="413">
        <v>91803445</v>
      </c>
      <c r="E1019" s="413">
        <v>91803445</v>
      </c>
      <c r="F1019" s="836">
        <v>91803445</v>
      </c>
      <c r="G1019" s="836">
        <v>89334054</v>
      </c>
      <c r="H1019" s="836">
        <v>91803445</v>
      </c>
      <c r="I1019" s="836">
        <v>89334054</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5546875" customWidth="1"/>
    <col min="3" max="6" width="20.7109375" customWidth="1"/>
    <col min="7" max="10" width="20.7109375" hidden="1" customWidth="1"/>
    <col min="11" max="12" width="20.7109375" customWidth="1"/>
  </cols>
  <sheetData>
    <row r="1" spans="1:12">
      <c r="A1" s="1787" t="s">
        <v>7445</v>
      </c>
      <c r="B1" s="1066"/>
      <c r="C1" s="2542" t="s">
        <v>7435</v>
      </c>
      <c r="D1" s="2542" t="s">
        <v>7436</v>
      </c>
      <c r="E1" s="2542" t="s">
        <v>7437</v>
      </c>
      <c r="F1" s="2542" t="s">
        <v>7438</v>
      </c>
      <c r="G1" s="2544" t="s">
        <v>7439</v>
      </c>
      <c r="H1" s="2544" t="s">
        <v>7440</v>
      </c>
      <c r="I1" s="2544" t="s">
        <v>7441</v>
      </c>
      <c r="J1" s="2544" t="s">
        <v>7442</v>
      </c>
      <c r="K1" s="2542" t="s">
        <v>7443</v>
      </c>
      <c r="L1" s="2542" t="s">
        <v>7444</v>
      </c>
    </row>
    <row r="2" spans="1:12">
      <c r="A2" s="114" t="s">
        <v>225</v>
      </c>
      <c r="B2" s="2540" t="s">
        <v>310</v>
      </c>
      <c r="C2" s="2543">
        <v>260793410</v>
      </c>
      <c r="D2" s="2543">
        <v>255828367</v>
      </c>
      <c r="E2" s="2543">
        <v>254851721</v>
      </c>
      <c r="F2" s="2543">
        <v>249886678</v>
      </c>
      <c r="G2" s="2541">
        <v>286308506</v>
      </c>
      <c r="H2" s="2541">
        <v>280821698</v>
      </c>
      <c r="I2" s="2541">
        <v>260793410</v>
      </c>
      <c r="J2" s="2545">
        <v>255828367</v>
      </c>
      <c r="K2" s="2543">
        <v>254851721</v>
      </c>
      <c r="L2" s="2543">
        <v>249886678</v>
      </c>
    </row>
    <row r="3" spans="1:12">
      <c r="A3" s="114" t="s">
        <v>2228</v>
      </c>
      <c r="B3" s="2540" t="s">
        <v>311</v>
      </c>
      <c r="C3" s="2543">
        <v>267703658</v>
      </c>
      <c r="D3" s="2543">
        <v>254733010</v>
      </c>
      <c r="E3" s="2543">
        <v>267703658</v>
      </c>
      <c r="F3" s="2543">
        <v>254733010</v>
      </c>
      <c r="G3" s="2541">
        <v>305424649</v>
      </c>
      <c r="H3" s="2541">
        <v>305424649</v>
      </c>
      <c r="I3" s="2541">
        <v>267703658</v>
      </c>
      <c r="J3" s="2545">
        <v>254733010</v>
      </c>
      <c r="K3" s="2543">
        <v>267703658</v>
      </c>
      <c r="L3" s="2543">
        <v>254733010</v>
      </c>
    </row>
    <row r="4" spans="1:12">
      <c r="A4" s="114" t="s">
        <v>15</v>
      </c>
      <c r="B4" s="2540" t="s">
        <v>312</v>
      </c>
      <c r="C4" s="2543">
        <v>251091175</v>
      </c>
      <c r="D4" s="2543">
        <v>240747748</v>
      </c>
      <c r="E4" s="2543">
        <v>237297397</v>
      </c>
      <c r="F4" s="2543">
        <v>226953970</v>
      </c>
      <c r="G4" s="2541">
        <v>268589357</v>
      </c>
      <c r="H4" s="2541">
        <v>254882444</v>
      </c>
      <c r="I4" s="2541">
        <v>251091175</v>
      </c>
      <c r="J4" s="2545">
        <v>240747748</v>
      </c>
      <c r="K4" s="2543">
        <v>237297397</v>
      </c>
      <c r="L4" s="2543">
        <v>226953970</v>
      </c>
    </row>
    <row r="5" spans="1:12">
      <c r="A5" s="114" t="s">
        <v>16</v>
      </c>
      <c r="B5" s="2540" t="s">
        <v>313</v>
      </c>
      <c r="C5" s="2543">
        <v>102100305</v>
      </c>
      <c r="D5" s="2543">
        <v>98805242</v>
      </c>
      <c r="E5" s="2543">
        <v>98328220</v>
      </c>
      <c r="F5" s="2543">
        <v>95033157</v>
      </c>
      <c r="G5" s="2541">
        <v>126121448</v>
      </c>
      <c r="H5" s="2541">
        <v>122559640</v>
      </c>
      <c r="I5" s="2541">
        <v>102100305</v>
      </c>
      <c r="J5" s="2545">
        <v>98805242</v>
      </c>
      <c r="K5" s="2543">
        <v>98328220</v>
      </c>
      <c r="L5" s="2543">
        <v>95033157</v>
      </c>
    </row>
    <row r="6" spans="1:12">
      <c r="A6" s="114" t="s">
        <v>17</v>
      </c>
      <c r="B6" s="2540" t="s">
        <v>314</v>
      </c>
      <c r="C6" s="2543">
        <v>1093932382</v>
      </c>
      <c r="D6" s="2543">
        <v>1053528640</v>
      </c>
      <c r="E6" s="2543">
        <v>1093932382</v>
      </c>
      <c r="F6" s="2543">
        <v>1053528640</v>
      </c>
      <c r="G6" s="2541">
        <v>1016023654</v>
      </c>
      <c r="H6" s="2541">
        <v>1016023654</v>
      </c>
      <c r="I6" s="2541">
        <v>1093932382</v>
      </c>
      <c r="J6" s="2545">
        <v>1053528640</v>
      </c>
      <c r="K6" s="2543">
        <v>1093932382</v>
      </c>
      <c r="L6" s="2543">
        <v>1053528640</v>
      </c>
    </row>
    <row r="7" spans="1:12">
      <c r="A7" s="114" t="s">
        <v>1254</v>
      </c>
      <c r="B7" s="2540" t="s">
        <v>1355</v>
      </c>
      <c r="C7" s="2543">
        <v>504035129</v>
      </c>
      <c r="D7" s="2543">
        <v>487016255</v>
      </c>
      <c r="E7" s="2543">
        <v>504035129</v>
      </c>
      <c r="F7" s="2543">
        <v>487016255</v>
      </c>
      <c r="G7" s="2541">
        <v>436841383</v>
      </c>
      <c r="H7" s="2541">
        <v>436841383</v>
      </c>
      <c r="I7" s="2541">
        <v>504035129</v>
      </c>
      <c r="J7" s="2545">
        <v>487016255</v>
      </c>
      <c r="K7" s="2543">
        <v>504035129</v>
      </c>
      <c r="L7" s="2543">
        <v>487016255</v>
      </c>
    </row>
    <row r="8" spans="1:12">
      <c r="A8" s="114" t="s">
        <v>1255</v>
      </c>
      <c r="B8" s="2540" t="s">
        <v>1356</v>
      </c>
      <c r="C8" s="2543">
        <v>114371171</v>
      </c>
      <c r="D8" s="2543">
        <v>109081785</v>
      </c>
      <c r="E8" s="2543">
        <v>114371171</v>
      </c>
      <c r="F8" s="2543">
        <v>109081785</v>
      </c>
      <c r="G8" s="2541">
        <v>122881361</v>
      </c>
      <c r="H8" s="2541">
        <v>122881361</v>
      </c>
      <c r="I8" s="2541">
        <v>114371171</v>
      </c>
      <c r="J8" s="2545">
        <v>109081785</v>
      </c>
      <c r="K8" s="2543">
        <v>114371171</v>
      </c>
      <c r="L8" s="2543">
        <v>109081785</v>
      </c>
    </row>
    <row r="9" spans="1:12">
      <c r="A9" s="114" t="s">
        <v>2102</v>
      </c>
      <c r="B9" s="2540" t="s">
        <v>1357</v>
      </c>
      <c r="C9" s="2543">
        <v>3389706499</v>
      </c>
      <c r="D9" s="2543">
        <v>3355657448</v>
      </c>
      <c r="E9" s="2543">
        <v>3337268497</v>
      </c>
      <c r="F9" s="2543">
        <v>3303219446</v>
      </c>
      <c r="G9" s="2541">
        <v>7092557160</v>
      </c>
      <c r="H9" s="2541">
        <v>7045900649</v>
      </c>
      <c r="I9" s="2541">
        <v>3389706499</v>
      </c>
      <c r="J9" s="2545">
        <v>3355657448</v>
      </c>
      <c r="K9" s="2543">
        <v>3337268497</v>
      </c>
      <c r="L9" s="2543">
        <v>3303219446</v>
      </c>
    </row>
    <row r="10" spans="1:12">
      <c r="A10" s="114" t="s">
        <v>774</v>
      </c>
      <c r="B10" s="2540" t="s">
        <v>2733</v>
      </c>
      <c r="C10" s="2543">
        <v>474087233</v>
      </c>
      <c r="D10" s="2543">
        <v>453698962</v>
      </c>
      <c r="E10" s="2543">
        <v>474087233</v>
      </c>
      <c r="F10" s="2543">
        <v>453698962</v>
      </c>
      <c r="G10" s="2541">
        <v>444349992</v>
      </c>
      <c r="H10" s="2541">
        <v>444349992</v>
      </c>
      <c r="I10" s="2541">
        <v>474087233</v>
      </c>
      <c r="J10" s="2545">
        <v>453698962</v>
      </c>
      <c r="K10" s="2543">
        <v>474087233</v>
      </c>
      <c r="L10" s="2543">
        <v>453698962</v>
      </c>
    </row>
    <row r="11" spans="1:12">
      <c r="A11" s="114" t="s">
        <v>1637</v>
      </c>
      <c r="B11" s="2540" t="s">
        <v>1358</v>
      </c>
      <c r="C11" s="2543">
        <v>2301279282</v>
      </c>
      <c r="D11" s="2543">
        <v>2225029045</v>
      </c>
      <c r="E11" s="2543">
        <v>2301279282</v>
      </c>
      <c r="F11" s="2543">
        <v>2225029045</v>
      </c>
      <c r="G11" s="2541">
        <v>2306143147</v>
      </c>
      <c r="H11" s="2541">
        <v>2306143147</v>
      </c>
      <c r="I11" s="2541">
        <v>2301279282</v>
      </c>
      <c r="J11" s="2545">
        <v>2225029045</v>
      </c>
      <c r="K11" s="2543">
        <v>2301279282</v>
      </c>
      <c r="L11" s="2543">
        <v>2225029045</v>
      </c>
    </row>
    <row r="12" spans="1:12">
      <c r="A12" s="114" t="s">
        <v>1279</v>
      </c>
      <c r="B12" s="2540" t="s">
        <v>1438</v>
      </c>
      <c r="C12" s="2543">
        <v>268813521</v>
      </c>
      <c r="D12" s="2543">
        <v>252633590</v>
      </c>
      <c r="E12" s="2543">
        <v>251493437</v>
      </c>
      <c r="F12" s="2543">
        <v>235313506</v>
      </c>
      <c r="G12" s="2541">
        <v>243378998</v>
      </c>
      <c r="H12" s="2541">
        <v>225876294</v>
      </c>
      <c r="I12" s="2541">
        <v>268813521</v>
      </c>
      <c r="J12" s="2545">
        <v>252633590</v>
      </c>
      <c r="K12" s="2543">
        <v>251493437</v>
      </c>
      <c r="L12" s="2543">
        <v>235313506</v>
      </c>
    </row>
    <row r="13" spans="1:12">
      <c r="A13" s="114" t="s">
        <v>369</v>
      </c>
      <c r="B13" s="2540" t="s">
        <v>1359</v>
      </c>
      <c r="C13" s="2543">
        <v>301603957</v>
      </c>
      <c r="D13" s="2543">
        <v>287914949</v>
      </c>
      <c r="E13" s="2543">
        <v>289307881</v>
      </c>
      <c r="F13" s="2543">
        <v>275618873</v>
      </c>
      <c r="G13" s="2541">
        <v>292396680</v>
      </c>
      <c r="H13" s="2541">
        <v>279745333</v>
      </c>
      <c r="I13" s="2541">
        <v>301603957</v>
      </c>
      <c r="J13" s="2545">
        <v>287914949</v>
      </c>
      <c r="K13" s="2543">
        <v>289307881</v>
      </c>
      <c r="L13" s="2543">
        <v>275618873</v>
      </c>
    </row>
    <row r="14" spans="1:12">
      <c r="A14" s="114" t="s">
        <v>370</v>
      </c>
      <c r="B14" s="2540" t="s">
        <v>1360</v>
      </c>
      <c r="C14" s="2543">
        <v>110523874</v>
      </c>
      <c r="D14" s="2543">
        <v>104895758</v>
      </c>
      <c r="E14" s="2543">
        <v>105582615</v>
      </c>
      <c r="F14" s="2543">
        <v>99954499</v>
      </c>
      <c r="G14" s="2541">
        <v>99081209</v>
      </c>
      <c r="H14" s="2541">
        <v>94054973</v>
      </c>
      <c r="I14" s="2541">
        <v>110523874</v>
      </c>
      <c r="J14" s="2545">
        <v>104895758</v>
      </c>
      <c r="K14" s="2543">
        <v>105582615</v>
      </c>
      <c r="L14" s="2543">
        <v>99954499</v>
      </c>
    </row>
    <row r="15" spans="1:12">
      <c r="A15" s="114" t="s">
        <v>371</v>
      </c>
      <c r="B15" s="2540" t="s">
        <v>1361</v>
      </c>
      <c r="C15" s="2543">
        <v>275287340</v>
      </c>
      <c r="D15" s="2543">
        <v>259419370</v>
      </c>
      <c r="E15" s="2543">
        <v>275287340</v>
      </c>
      <c r="F15" s="2543">
        <v>259419370</v>
      </c>
      <c r="G15" s="2541">
        <v>259520865</v>
      </c>
      <c r="H15" s="2541">
        <v>259520865</v>
      </c>
      <c r="I15" s="2541">
        <v>275287340</v>
      </c>
      <c r="J15" s="2545">
        <v>259419370</v>
      </c>
      <c r="K15" s="2543">
        <v>275287340</v>
      </c>
      <c r="L15" s="2543">
        <v>259419370</v>
      </c>
    </row>
    <row r="16" spans="1:12">
      <c r="A16" s="114" t="s">
        <v>2839</v>
      </c>
      <c r="B16" s="2540" t="s">
        <v>1362</v>
      </c>
      <c r="C16" s="2543">
        <v>2807188175</v>
      </c>
      <c r="D16" s="2543">
        <v>2757370325</v>
      </c>
      <c r="E16" s="2543">
        <v>2807188175</v>
      </c>
      <c r="F16" s="2543">
        <v>2757370325</v>
      </c>
      <c r="G16" s="2541">
        <v>2755091019</v>
      </c>
      <c r="H16" s="2541">
        <v>2755091019</v>
      </c>
      <c r="I16" s="2541">
        <v>2807188175</v>
      </c>
      <c r="J16" s="2545">
        <v>2757370325</v>
      </c>
      <c r="K16" s="2543">
        <v>2807188175</v>
      </c>
      <c r="L16" s="2543">
        <v>2757370325</v>
      </c>
    </row>
    <row r="17" spans="1:12">
      <c r="A17" s="114" t="s">
        <v>2840</v>
      </c>
      <c r="B17" s="2540" t="s">
        <v>1363</v>
      </c>
      <c r="C17" s="2543">
        <v>219858290</v>
      </c>
      <c r="D17" s="2543">
        <v>213114230</v>
      </c>
      <c r="E17" s="2543">
        <v>219858290</v>
      </c>
      <c r="F17" s="2543">
        <v>213114230</v>
      </c>
      <c r="G17" s="2541">
        <v>470391702</v>
      </c>
      <c r="H17" s="2541">
        <v>470391702</v>
      </c>
      <c r="I17" s="2541">
        <v>419310790</v>
      </c>
      <c r="J17" s="2545">
        <v>412566730</v>
      </c>
      <c r="K17" s="2543">
        <v>419310790</v>
      </c>
      <c r="L17" s="2543">
        <v>412566730</v>
      </c>
    </row>
    <row r="18" spans="1:12">
      <c r="A18" s="114" t="s">
        <v>2841</v>
      </c>
      <c r="B18" s="2540" t="s">
        <v>1364</v>
      </c>
      <c r="C18" s="2543">
        <v>291780288</v>
      </c>
      <c r="D18" s="2543">
        <v>279858093</v>
      </c>
      <c r="E18" s="2543">
        <v>291780288</v>
      </c>
      <c r="F18" s="2543">
        <v>279858093</v>
      </c>
      <c r="G18" s="2541">
        <v>332318362</v>
      </c>
      <c r="H18" s="2541">
        <v>332318362</v>
      </c>
      <c r="I18" s="2541">
        <v>291780288</v>
      </c>
      <c r="J18" s="2545">
        <v>279858093</v>
      </c>
      <c r="K18" s="2543">
        <v>291780288</v>
      </c>
      <c r="L18" s="2543">
        <v>279858093</v>
      </c>
    </row>
    <row r="19" spans="1:12">
      <c r="A19" s="114" t="s">
        <v>2219</v>
      </c>
      <c r="B19" s="2540" t="s">
        <v>1289</v>
      </c>
      <c r="C19" s="2543">
        <v>89927189</v>
      </c>
      <c r="D19" s="2543">
        <v>86369529</v>
      </c>
      <c r="E19" s="2543">
        <v>89927189</v>
      </c>
      <c r="F19" s="2543">
        <v>86369529</v>
      </c>
      <c r="G19" s="2541">
        <v>76817671</v>
      </c>
      <c r="H19" s="2541">
        <v>76817671</v>
      </c>
      <c r="I19" s="2541">
        <v>89927189</v>
      </c>
      <c r="J19" s="2545">
        <v>86369529</v>
      </c>
      <c r="K19" s="2543">
        <v>89927189</v>
      </c>
      <c r="L19" s="2543">
        <v>86369529</v>
      </c>
    </row>
    <row r="20" spans="1:12">
      <c r="A20" s="114" t="s">
        <v>2843</v>
      </c>
      <c r="B20" s="2540" t="s">
        <v>1365</v>
      </c>
      <c r="C20" s="2543">
        <v>164283555</v>
      </c>
      <c r="D20" s="2543">
        <v>159464915</v>
      </c>
      <c r="E20" s="2543">
        <v>164283555</v>
      </c>
      <c r="F20" s="2543">
        <v>159464915</v>
      </c>
      <c r="G20" s="2541">
        <v>170558391</v>
      </c>
      <c r="H20" s="2541">
        <v>170558391</v>
      </c>
      <c r="I20" s="2541">
        <v>233509655</v>
      </c>
      <c r="J20" s="2545">
        <v>228691015</v>
      </c>
      <c r="K20" s="2543">
        <v>233509655</v>
      </c>
      <c r="L20" s="2543">
        <v>228691015</v>
      </c>
    </row>
    <row r="21" spans="1:12">
      <c r="A21" s="114" t="s">
        <v>806</v>
      </c>
      <c r="B21" s="2540" t="s">
        <v>736</v>
      </c>
      <c r="C21" s="2543">
        <v>238633170</v>
      </c>
      <c r="D21" s="2543">
        <v>234979828</v>
      </c>
      <c r="E21" s="2543">
        <v>238633170</v>
      </c>
      <c r="F21" s="2543">
        <v>234979828</v>
      </c>
      <c r="G21" s="2541">
        <v>296303376</v>
      </c>
      <c r="H21" s="2541">
        <v>296303376</v>
      </c>
      <c r="I21" s="2541">
        <v>238633170</v>
      </c>
      <c r="J21" s="2545">
        <v>234979828</v>
      </c>
      <c r="K21" s="2543">
        <v>238633170</v>
      </c>
      <c r="L21" s="2543">
        <v>234979828</v>
      </c>
    </row>
    <row r="22" spans="1:12">
      <c r="A22" s="114" t="s">
        <v>2844</v>
      </c>
      <c r="B22" s="2540" t="s">
        <v>1366</v>
      </c>
      <c r="C22" s="2543">
        <v>761865823</v>
      </c>
      <c r="D22" s="2543">
        <v>751047918</v>
      </c>
      <c r="E22" s="2543">
        <v>761865823</v>
      </c>
      <c r="F22" s="2543">
        <v>751047918</v>
      </c>
      <c r="G22" s="2541">
        <v>827821008</v>
      </c>
      <c r="H22" s="2541">
        <v>827821008</v>
      </c>
      <c r="I22" s="2541">
        <v>761865823</v>
      </c>
      <c r="J22" s="2545">
        <v>751047918</v>
      </c>
      <c r="K22" s="2543">
        <v>761865823</v>
      </c>
      <c r="L22" s="2543">
        <v>751047918</v>
      </c>
    </row>
    <row r="23" spans="1:12">
      <c r="A23" s="114" t="s">
        <v>2388</v>
      </c>
      <c r="B23" s="2540" t="s">
        <v>1367</v>
      </c>
      <c r="C23" s="2543">
        <v>284216035</v>
      </c>
      <c r="D23" s="2543">
        <v>271343193</v>
      </c>
      <c r="E23" s="2543">
        <v>284216035</v>
      </c>
      <c r="F23" s="2543">
        <v>271343193</v>
      </c>
      <c r="G23" s="2541">
        <v>255411510</v>
      </c>
      <c r="H23" s="2541">
        <v>255411510</v>
      </c>
      <c r="I23" s="2541">
        <v>284216035</v>
      </c>
      <c r="J23" s="2545">
        <v>271343193</v>
      </c>
      <c r="K23" s="2543">
        <v>284216035</v>
      </c>
      <c r="L23" s="2543">
        <v>271343193</v>
      </c>
    </row>
    <row r="24" spans="1:12">
      <c r="A24" s="114" t="s">
        <v>241</v>
      </c>
      <c r="B24" s="2540" t="s">
        <v>1128</v>
      </c>
      <c r="C24" s="2543">
        <v>1717627345</v>
      </c>
      <c r="D24" s="2543">
        <v>1685287530</v>
      </c>
      <c r="E24" s="2543">
        <v>1717627345</v>
      </c>
      <c r="F24" s="2543">
        <v>1685287530</v>
      </c>
      <c r="G24" s="2541">
        <v>2248045945</v>
      </c>
      <c r="H24" s="2541">
        <v>2248045945</v>
      </c>
      <c r="I24" s="2541">
        <v>1717627345</v>
      </c>
      <c r="J24" s="2545">
        <v>1685287530</v>
      </c>
      <c r="K24" s="2543">
        <v>1717627345</v>
      </c>
      <c r="L24" s="2543">
        <v>1685287530</v>
      </c>
    </row>
    <row r="25" spans="1:12">
      <c r="A25" s="114" t="s">
        <v>2447</v>
      </c>
      <c r="B25" s="2540" t="s">
        <v>1131</v>
      </c>
      <c r="C25" s="2543">
        <v>261770328</v>
      </c>
      <c r="D25" s="2543">
        <v>247775569</v>
      </c>
      <c r="E25" s="2543">
        <v>261770328</v>
      </c>
      <c r="F25" s="2543">
        <v>247775569</v>
      </c>
      <c r="G25" s="2541">
        <v>230053136</v>
      </c>
      <c r="H25" s="2541">
        <v>230053136</v>
      </c>
      <c r="I25" s="2541">
        <v>261770328</v>
      </c>
      <c r="J25" s="2545">
        <v>247775569</v>
      </c>
      <c r="K25" s="2543">
        <v>261770328</v>
      </c>
      <c r="L25" s="2543">
        <v>247775569</v>
      </c>
    </row>
    <row r="26" spans="1:12">
      <c r="A26" s="114" t="s">
        <v>2845</v>
      </c>
      <c r="B26" s="2540" t="s">
        <v>1368</v>
      </c>
      <c r="C26" s="2543">
        <v>1173949192</v>
      </c>
      <c r="D26" s="2543">
        <v>1142498760</v>
      </c>
      <c r="E26" s="2543">
        <v>1173949192</v>
      </c>
      <c r="F26" s="2543">
        <v>1142498760</v>
      </c>
      <c r="G26" s="2541">
        <v>1123785753</v>
      </c>
      <c r="H26" s="2541">
        <v>1123785753</v>
      </c>
      <c r="I26" s="2541">
        <v>1173949192</v>
      </c>
      <c r="J26" s="2545">
        <v>1142498760</v>
      </c>
      <c r="K26" s="2543">
        <v>1173949192</v>
      </c>
      <c r="L26" s="2543">
        <v>1142498760</v>
      </c>
    </row>
    <row r="27" spans="1:12">
      <c r="A27" s="114" t="s">
        <v>783</v>
      </c>
      <c r="B27" s="2540" t="s">
        <v>1369</v>
      </c>
      <c r="C27" s="2543">
        <v>1228720437</v>
      </c>
      <c r="D27" s="2543">
        <v>1201264432</v>
      </c>
      <c r="E27" s="2543">
        <v>1176645946</v>
      </c>
      <c r="F27" s="2543">
        <v>1149189941</v>
      </c>
      <c r="G27" s="2541">
        <v>1164735902</v>
      </c>
      <c r="H27" s="2541">
        <v>1117877879</v>
      </c>
      <c r="I27" s="2541">
        <v>1228720437</v>
      </c>
      <c r="J27" s="2545">
        <v>1201264432</v>
      </c>
      <c r="K27" s="2543">
        <v>1176645946</v>
      </c>
      <c r="L27" s="2543">
        <v>1149189941</v>
      </c>
    </row>
    <row r="28" spans="1:12">
      <c r="A28" s="114" t="s">
        <v>784</v>
      </c>
      <c r="B28" s="2540" t="s">
        <v>1370</v>
      </c>
      <c r="C28" s="2543">
        <v>269131224</v>
      </c>
      <c r="D28" s="2543">
        <v>260479581</v>
      </c>
      <c r="E28" s="2543">
        <v>265784991</v>
      </c>
      <c r="F28" s="2543">
        <v>257133348</v>
      </c>
      <c r="G28" s="2541">
        <v>314419337</v>
      </c>
      <c r="H28" s="2541">
        <v>311336861</v>
      </c>
      <c r="I28" s="2541">
        <v>269131224</v>
      </c>
      <c r="J28" s="2545">
        <v>260479581</v>
      </c>
      <c r="K28" s="2543">
        <v>265784991</v>
      </c>
      <c r="L28" s="2543">
        <v>257133348</v>
      </c>
    </row>
    <row r="29" spans="1:12">
      <c r="A29" s="114" t="s">
        <v>785</v>
      </c>
      <c r="B29" s="2540" t="s">
        <v>1371</v>
      </c>
      <c r="C29" s="2543">
        <v>268442420</v>
      </c>
      <c r="D29" s="2543">
        <v>259262155</v>
      </c>
      <c r="E29" s="2543">
        <v>268442420</v>
      </c>
      <c r="F29" s="2543">
        <v>259262155</v>
      </c>
      <c r="G29" s="2541">
        <v>248873732</v>
      </c>
      <c r="H29" s="2541">
        <v>248873732</v>
      </c>
      <c r="I29" s="2541">
        <v>268442420</v>
      </c>
      <c r="J29" s="2545">
        <v>259262155</v>
      </c>
      <c r="K29" s="2543">
        <v>268442420</v>
      </c>
      <c r="L29" s="2543">
        <v>259262155</v>
      </c>
    </row>
    <row r="30" spans="1:12">
      <c r="A30" s="114" t="s">
        <v>216</v>
      </c>
      <c r="B30" s="2540" t="s">
        <v>1372</v>
      </c>
      <c r="C30" s="2543">
        <v>240133535</v>
      </c>
      <c r="D30" s="2543">
        <v>234927938</v>
      </c>
      <c r="E30" s="2543">
        <v>240133535</v>
      </c>
      <c r="F30" s="2543">
        <v>234927938</v>
      </c>
      <c r="G30" s="2541">
        <v>228525948</v>
      </c>
      <c r="H30" s="2541">
        <v>228525948</v>
      </c>
      <c r="I30" s="2541">
        <v>240133535</v>
      </c>
      <c r="J30" s="2545">
        <v>234927938</v>
      </c>
      <c r="K30" s="2543">
        <v>240133535</v>
      </c>
      <c r="L30" s="2543">
        <v>234927938</v>
      </c>
    </row>
    <row r="31" spans="1:12">
      <c r="A31" s="114" t="s">
        <v>2220</v>
      </c>
      <c r="B31" s="2540" t="s">
        <v>2431</v>
      </c>
      <c r="C31" s="2543">
        <v>1501187388</v>
      </c>
      <c r="D31" s="2543">
        <v>1454455022</v>
      </c>
      <c r="E31" s="2543">
        <v>1501187388</v>
      </c>
      <c r="F31" s="2543">
        <v>1454455022</v>
      </c>
      <c r="G31" s="2541">
        <v>1437754535</v>
      </c>
      <c r="H31" s="2541">
        <v>1437754535</v>
      </c>
      <c r="I31" s="2541">
        <v>1501187388</v>
      </c>
      <c r="J31" s="2545">
        <v>1454455022</v>
      </c>
      <c r="K31" s="2543">
        <v>1501187388</v>
      </c>
      <c r="L31" s="2543">
        <v>1454455022</v>
      </c>
    </row>
    <row r="32" spans="1:12">
      <c r="A32" s="114" t="s">
        <v>1896</v>
      </c>
      <c r="B32" s="2540" t="s">
        <v>2433</v>
      </c>
      <c r="C32" s="2543">
        <v>3419791860</v>
      </c>
      <c r="D32" s="2543">
        <v>3336205139</v>
      </c>
      <c r="E32" s="2543">
        <v>3419791860</v>
      </c>
      <c r="F32" s="2543">
        <v>3336205139</v>
      </c>
      <c r="G32" s="2541">
        <v>3123994439</v>
      </c>
      <c r="H32" s="2541">
        <v>3123994439</v>
      </c>
      <c r="I32" s="2541">
        <v>3419791860</v>
      </c>
      <c r="J32" s="2545">
        <v>3336205139</v>
      </c>
      <c r="K32" s="2543">
        <v>3419791860</v>
      </c>
      <c r="L32" s="2543">
        <v>3336205139</v>
      </c>
    </row>
    <row r="33" spans="1:12">
      <c r="A33" s="114" t="s">
        <v>876</v>
      </c>
      <c r="B33" s="2540" t="s">
        <v>1002</v>
      </c>
      <c r="C33" s="2543">
        <v>1124779095</v>
      </c>
      <c r="D33" s="2543">
        <v>1086277556</v>
      </c>
      <c r="E33" s="2543">
        <v>1124779095</v>
      </c>
      <c r="F33" s="2543">
        <v>1086277556</v>
      </c>
      <c r="G33" s="2541">
        <v>934072723</v>
      </c>
      <c r="H33" s="2541">
        <v>934072723</v>
      </c>
      <c r="I33" s="2541">
        <v>1124779095</v>
      </c>
      <c r="J33" s="2545">
        <v>1086277556</v>
      </c>
      <c r="K33" s="2543">
        <v>1124779095</v>
      </c>
      <c r="L33" s="2543">
        <v>1086277556</v>
      </c>
    </row>
    <row r="34" spans="1:12">
      <c r="A34" s="114" t="s">
        <v>2710</v>
      </c>
      <c r="B34" s="2540" t="s">
        <v>2202</v>
      </c>
      <c r="C34" s="2543">
        <v>781167620</v>
      </c>
      <c r="D34" s="2543">
        <v>758550764</v>
      </c>
      <c r="E34" s="2543">
        <v>781167620</v>
      </c>
      <c r="F34" s="2543">
        <v>758550764</v>
      </c>
      <c r="G34" s="2541">
        <v>641861899</v>
      </c>
      <c r="H34" s="2541">
        <v>641861899</v>
      </c>
      <c r="I34" s="2541">
        <v>781167620</v>
      </c>
      <c r="J34" s="2545">
        <v>758550764</v>
      </c>
      <c r="K34" s="2543">
        <v>781167620</v>
      </c>
      <c r="L34" s="2543">
        <v>758550764</v>
      </c>
    </row>
    <row r="35" spans="1:12">
      <c r="A35" s="114" t="s">
        <v>2448</v>
      </c>
      <c r="B35" s="2540" t="s">
        <v>926</v>
      </c>
      <c r="C35" s="2543">
        <v>87808150</v>
      </c>
      <c r="D35" s="2543">
        <v>84822917</v>
      </c>
      <c r="E35" s="2543">
        <v>87808150</v>
      </c>
      <c r="F35" s="2543">
        <v>84822917</v>
      </c>
      <c r="G35" s="2541">
        <v>76010917</v>
      </c>
      <c r="H35" s="2541">
        <v>76010917</v>
      </c>
      <c r="I35" s="2541">
        <v>87808150</v>
      </c>
      <c r="J35" s="2545">
        <v>84822917</v>
      </c>
      <c r="K35" s="2543">
        <v>87808150</v>
      </c>
      <c r="L35" s="2543">
        <v>84822917</v>
      </c>
    </row>
    <row r="36" spans="1:12">
      <c r="A36" s="114" t="s">
        <v>492</v>
      </c>
      <c r="B36" s="2540" t="s">
        <v>1373</v>
      </c>
      <c r="C36" s="2543">
        <v>196440948</v>
      </c>
      <c r="D36" s="2543">
        <v>188848538</v>
      </c>
      <c r="E36" s="2543">
        <v>196440948</v>
      </c>
      <c r="F36" s="2543">
        <v>188848538</v>
      </c>
      <c r="G36" s="2541">
        <v>187072252</v>
      </c>
      <c r="H36" s="2541">
        <v>187072252</v>
      </c>
      <c r="I36" s="2541">
        <v>527043408</v>
      </c>
      <c r="J36" s="2545">
        <v>519450998</v>
      </c>
      <c r="K36" s="2543">
        <v>527043408</v>
      </c>
      <c r="L36" s="2543">
        <v>519450998</v>
      </c>
    </row>
    <row r="37" spans="1:12">
      <c r="A37" s="114" t="s">
        <v>2711</v>
      </c>
      <c r="B37" s="2540" t="s">
        <v>2434</v>
      </c>
      <c r="C37" s="2543">
        <v>812504144</v>
      </c>
      <c r="D37" s="2543">
        <v>780268694</v>
      </c>
      <c r="E37" s="2543">
        <v>812504144</v>
      </c>
      <c r="F37" s="2543">
        <v>780268694</v>
      </c>
      <c r="G37" s="2541">
        <v>779833047</v>
      </c>
      <c r="H37" s="2541">
        <v>779833047</v>
      </c>
      <c r="I37" s="2541">
        <v>812504144</v>
      </c>
      <c r="J37" s="2545">
        <v>780268694</v>
      </c>
      <c r="K37" s="2543">
        <v>812504144</v>
      </c>
      <c r="L37" s="2543">
        <v>780268694</v>
      </c>
    </row>
    <row r="38" spans="1:12">
      <c r="A38" s="114" t="s">
        <v>3048</v>
      </c>
      <c r="B38" s="2540" t="s">
        <v>1374</v>
      </c>
      <c r="C38" s="2543">
        <v>328474244</v>
      </c>
      <c r="D38" s="2543">
        <v>326891587</v>
      </c>
      <c r="E38" s="2543">
        <v>326896709</v>
      </c>
      <c r="F38" s="2543">
        <v>325314052</v>
      </c>
      <c r="G38" s="2541">
        <v>521108884</v>
      </c>
      <c r="H38" s="2541">
        <v>519589794</v>
      </c>
      <c r="I38" s="2541">
        <v>328474244</v>
      </c>
      <c r="J38" s="2545">
        <v>326891587</v>
      </c>
      <c r="K38" s="2543">
        <v>326896709</v>
      </c>
      <c r="L38" s="2543">
        <v>325314052</v>
      </c>
    </row>
    <row r="39" spans="1:12">
      <c r="A39" s="114" t="s">
        <v>3049</v>
      </c>
      <c r="B39" s="2540" t="s">
        <v>1375</v>
      </c>
      <c r="C39" s="2543">
        <v>552615733</v>
      </c>
      <c r="D39" s="2543">
        <v>549258118</v>
      </c>
      <c r="E39" s="2543">
        <v>552615733</v>
      </c>
      <c r="F39" s="2543">
        <v>549258118</v>
      </c>
      <c r="G39" s="2541">
        <v>509708658</v>
      </c>
      <c r="H39" s="2541">
        <v>509708658</v>
      </c>
      <c r="I39" s="2541">
        <v>628461783</v>
      </c>
      <c r="J39" s="2545">
        <v>625104168</v>
      </c>
      <c r="K39" s="2543">
        <v>628461783</v>
      </c>
      <c r="L39" s="2543">
        <v>625104168</v>
      </c>
    </row>
    <row r="40" spans="1:12">
      <c r="A40" s="114" t="s">
        <v>1313</v>
      </c>
      <c r="B40" s="2540" t="s">
        <v>2089</v>
      </c>
      <c r="C40" s="2543">
        <v>153347280</v>
      </c>
      <c r="D40" s="2543">
        <v>148543691</v>
      </c>
      <c r="E40" s="2543">
        <v>153347280</v>
      </c>
      <c r="F40" s="2543">
        <v>148543691</v>
      </c>
      <c r="G40" s="2541">
        <v>157143962</v>
      </c>
      <c r="H40" s="2541">
        <v>152400907</v>
      </c>
      <c r="I40" s="2541">
        <v>153347280</v>
      </c>
      <c r="J40" s="2545">
        <v>148543691</v>
      </c>
      <c r="K40" s="2543">
        <v>153347280</v>
      </c>
      <c r="L40" s="2543">
        <v>148543691</v>
      </c>
    </row>
    <row r="41" spans="1:12">
      <c r="A41" s="114" t="s">
        <v>2449</v>
      </c>
      <c r="B41" s="2540" t="s">
        <v>1376</v>
      </c>
      <c r="C41" s="2543">
        <v>364979526</v>
      </c>
      <c r="D41" s="2543">
        <v>349563619</v>
      </c>
      <c r="E41" s="2543">
        <v>364979526</v>
      </c>
      <c r="F41" s="2543">
        <v>349563619</v>
      </c>
      <c r="G41" s="2541">
        <v>302238912</v>
      </c>
      <c r="H41" s="2541">
        <v>302238912</v>
      </c>
      <c r="I41" s="2541">
        <v>364979526</v>
      </c>
      <c r="J41" s="2545">
        <v>349563619</v>
      </c>
      <c r="K41" s="2543">
        <v>364979526</v>
      </c>
      <c r="L41" s="2543">
        <v>349563619</v>
      </c>
    </row>
    <row r="42" spans="1:12">
      <c r="A42" s="114" t="s">
        <v>1895</v>
      </c>
      <c r="B42" s="2540" t="s">
        <v>2432</v>
      </c>
      <c r="C42" s="2543">
        <v>111881758</v>
      </c>
      <c r="D42" s="2543">
        <v>107054290</v>
      </c>
      <c r="E42" s="2543">
        <v>111881758</v>
      </c>
      <c r="F42" s="2543">
        <v>107054290</v>
      </c>
      <c r="G42" s="2541">
        <v>103028339</v>
      </c>
      <c r="H42" s="2541">
        <v>103028339</v>
      </c>
      <c r="I42" s="2541">
        <v>111881758</v>
      </c>
      <c r="J42" s="2545">
        <v>107054290</v>
      </c>
      <c r="K42" s="2543">
        <v>111881758</v>
      </c>
      <c r="L42" s="2543">
        <v>107054290</v>
      </c>
    </row>
    <row r="43" spans="1:12">
      <c r="A43" s="114" t="s">
        <v>1898</v>
      </c>
      <c r="B43" s="2540" t="s">
        <v>3079</v>
      </c>
      <c r="C43" s="2543">
        <v>2778875360</v>
      </c>
      <c r="D43" s="2543">
        <v>2674828224</v>
      </c>
      <c r="E43" s="2543">
        <v>2778875360</v>
      </c>
      <c r="F43" s="2543">
        <v>2674828224</v>
      </c>
      <c r="G43" s="2541">
        <v>2423117959</v>
      </c>
      <c r="H43" s="2541">
        <v>2423117959</v>
      </c>
      <c r="I43" s="2541">
        <v>2778875360</v>
      </c>
      <c r="J43" s="2545">
        <v>2674828224</v>
      </c>
      <c r="K43" s="2543">
        <v>2778875360</v>
      </c>
      <c r="L43" s="2543">
        <v>2674828224</v>
      </c>
    </row>
    <row r="44" spans="1:12">
      <c r="A44" s="114" t="s">
        <v>198</v>
      </c>
      <c r="B44" s="2540" t="s">
        <v>2728</v>
      </c>
      <c r="C44" s="2543">
        <v>111874219</v>
      </c>
      <c r="D44" s="2543">
        <v>106593700</v>
      </c>
      <c r="E44" s="2543">
        <v>111874219</v>
      </c>
      <c r="F44" s="2543">
        <v>106593700</v>
      </c>
      <c r="G44" s="2541">
        <v>96088483</v>
      </c>
      <c r="H44" s="2541">
        <v>96088483</v>
      </c>
      <c r="I44" s="2541">
        <v>111874219</v>
      </c>
      <c r="J44" s="2545">
        <v>106593700</v>
      </c>
      <c r="K44" s="2543">
        <v>111874219</v>
      </c>
      <c r="L44" s="2543">
        <v>106593700</v>
      </c>
    </row>
    <row r="45" spans="1:12">
      <c r="A45" s="114" t="s">
        <v>60</v>
      </c>
      <c r="B45" s="2540" t="s">
        <v>2878</v>
      </c>
      <c r="C45" s="2543">
        <v>7357115263</v>
      </c>
      <c r="D45" s="2543">
        <v>7083905616</v>
      </c>
      <c r="E45" s="2543">
        <v>7357115263</v>
      </c>
      <c r="F45" s="2543">
        <v>7083905616</v>
      </c>
      <c r="G45" s="2541">
        <v>6912567847</v>
      </c>
      <c r="H45" s="2541">
        <v>6912567847</v>
      </c>
      <c r="I45" s="2541">
        <v>7357115263</v>
      </c>
      <c r="J45" s="2545">
        <v>7083905616</v>
      </c>
      <c r="K45" s="2543">
        <v>7357115263</v>
      </c>
      <c r="L45" s="2543">
        <v>7083905616</v>
      </c>
    </row>
    <row r="46" spans="1:12">
      <c r="A46" s="114" t="s">
        <v>192</v>
      </c>
      <c r="B46" s="2540" t="s">
        <v>1582</v>
      </c>
      <c r="C46" s="2543">
        <v>181450158</v>
      </c>
      <c r="D46" s="2543">
        <v>172878184</v>
      </c>
      <c r="E46" s="2543">
        <v>181450158</v>
      </c>
      <c r="F46" s="2543">
        <v>172878184</v>
      </c>
      <c r="G46" s="2541">
        <v>159622460</v>
      </c>
      <c r="H46" s="2541">
        <v>159622460</v>
      </c>
      <c r="I46" s="2541">
        <v>181450158</v>
      </c>
      <c r="J46" s="2545">
        <v>172878184</v>
      </c>
      <c r="K46" s="2543">
        <v>181450158</v>
      </c>
      <c r="L46" s="2543">
        <v>172878184</v>
      </c>
    </row>
    <row r="47" spans="1:12">
      <c r="A47" s="114" t="s">
        <v>1487</v>
      </c>
      <c r="B47" s="2540" t="s">
        <v>2305</v>
      </c>
      <c r="C47" s="2543">
        <v>755487759</v>
      </c>
      <c r="D47" s="2543">
        <v>734203271</v>
      </c>
      <c r="E47" s="2543">
        <v>755487759</v>
      </c>
      <c r="F47" s="2543">
        <v>734203271</v>
      </c>
      <c r="G47" s="2541">
        <v>690661356</v>
      </c>
      <c r="H47" s="2541">
        <v>690661356</v>
      </c>
      <c r="I47" s="2541">
        <v>755487759</v>
      </c>
      <c r="J47" s="2545">
        <v>734203271</v>
      </c>
      <c r="K47" s="2543">
        <v>755487759</v>
      </c>
      <c r="L47" s="2543">
        <v>734203271</v>
      </c>
    </row>
    <row r="48" spans="1:12">
      <c r="A48" s="114" t="s">
        <v>1707</v>
      </c>
      <c r="B48" s="2540" t="s">
        <v>658</v>
      </c>
      <c r="C48" s="2543">
        <v>3030816802</v>
      </c>
      <c r="D48" s="2543">
        <v>2936130576</v>
      </c>
      <c r="E48" s="2543">
        <v>3030816802</v>
      </c>
      <c r="F48" s="2543">
        <v>2936130576</v>
      </c>
      <c r="G48" s="2541">
        <v>3001301122</v>
      </c>
      <c r="H48" s="2541">
        <v>3001301122</v>
      </c>
      <c r="I48" s="2541">
        <v>3030816802</v>
      </c>
      <c r="J48" s="2545">
        <v>2936130576</v>
      </c>
      <c r="K48" s="2543">
        <v>3030816802</v>
      </c>
      <c r="L48" s="2543">
        <v>2936130576</v>
      </c>
    </row>
    <row r="49" spans="1:12">
      <c r="A49" s="114" t="s">
        <v>1712</v>
      </c>
      <c r="B49" s="2540" t="s">
        <v>2640</v>
      </c>
      <c r="C49" s="2543">
        <v>320610757</v>
      </c>
      <c r="D49" s="2543">
        <v>307176645</v>
      </c>
      <c r="E49" s="2543">
        <v>320610757</v>
      </c>
      <c r="F49" s="2543">
        <v>307176645</v>
      </c>
      <c r="G49" s="2541">
        <v>289873351</v>
      </c>
      <c r="H49" s="2541">
        <v>289873351</v>
      </c>
      <c r="I49" s="2541">
        <v>320610757</v>
      </c>
      <c r="J49" s="2545">
        <v>307176645</v>
      </c>
      <c r="K49" s="2543">
        <v>320610757</v>
      </c>
      <c r="L49" s="2543">
        <v>307176645</v>
      </c>
    </row>
    <row r="50" spans="1:12">
      <c r="A50" s="114" t="s">
        <v>463</v>
      </c>
      <c r="B50" s="2540" t="s">
        <v>2603</v>
      </c>
      <c r="C50" s="2543">
        <v>6546284685</v>
      </c>
      <c r="D50" s="2543">
        <v>6476546388</v>
      </c>
      <c r="E50" s="2543">
        <v>6546284685</v>
      </c>
      <c r="F50" s="2543">
        <v>6476546388</v>
      </c>
      <c r="G50" s="2541">
        <v>5760334537</v>
      </c>
      <c r="H50" s="2541">
        <v>5760334537</v>
      </c>
      <c r="I50" s="2541">
        <v>6546284685</v>
      </c>
      <c r="J50" s="2545">
        <v>6476546388</v>
      </c>
      <c r="K50" s="2543">
        <v>6546284685</v>
      </c>
      <c r="L50" s="2543">
        <v>6476546388</v>
      </c>
    </row>
    <row r="51" spans="1:12">
      <c r="A51" s="114" t="s">
        <v>2125</v>
      </c>
      <c r="B51" s="2540" t="s">
        <v>822</v>
      </c>
      <c r="C51" s="2543">
        <v>1548550279</v>
      </c>
      <c r="D51" s="2543">
        <v>1449425647</v>
      </c>
      <c r="E51" s="2543">
        <v>1548550279</v>
      </c>
      <c r="F51" s="2543">
        <v>1449425647</v>
      </c>
      <c r="G51" s="2541">
        <v>1186590535</v>
      </c>
      <c r="H51" s="2541">
        <v>1186590535</v>
      </c>
      <c r="I51" s="2541">
        <v>1548550279</v>
      </c>
      <c r="J51" s="2545">
        <v>1449425647</v>
      </c>
      <c r="K51" s="2543">
        <v>1548550279</v>
      </c>
      <c r="L51" s="2543">
        <v>1449425647</v>
      </c>
    </row>
    <row r="52" spans="1:12">
      <c r="A52" s="114" t="s">
        <v>874</v>
      </c>
      <c r="B52" s="2540" t="s">
        <v>1000</v>
      </c>
      <c r="C52" s="2543">
        <v>1261148596</v>
      </c>
      <c r="D52" s="2543">
        <v>1176658209</v>
      </c>
      <c r="E52" s="2543">
        <v>1261148596</v>
      </c>
      <c r="F52" s="2543">
        <v>1176658209</v>
      </c>
      <c r="G52" s="2541">
        <v>959872478</v>
      </c>
      <c r="H52" s="2541">
        <v>959872478</v>
      </c>
      <c r="I52" s="2541">
        <v>1261148596</v>
      </c>
      <c r="J52" s="2545">
        <v>1176658209</v>
      </c>
      <c r="K52" s="2543">
        <v>1261148596</v>
      </c>
      <c r="L52" s="2543">
        <v>1176658209</v>
      </c>
    </row>
    <row r="53" spans="1:12">
      <c r="A53" s="114" t="s">
        <v>1489</v>
      </c>
      <c r="B53" s="2540" t="s">
        <v>2308</v>
      </c>
      <c r="C53" s="2543">
        <v>16473244900</v>
      </c>
      <c r="D53" s="2543">
        <v>16028720312</v>
      </c>
      <c r="E53" s="2543">
        <v>16473244900</v>
      </c>
      <c r="F53" s="2543">
        <v>16028720312</v>
      </c>
      <c r="G53" s="2541">
        <v>13111727280</v>
      </c>
      <c r="H53" s="2541">
        <v>13111727280</v>
      </c>
      <c r="I53" s="2541">
        <v>16473244900</v>
      </c>
      <c r="J53" s="2545">
        <v>16028720312</v>
      </c>
      <c r="K53" s="2543">
        <v>16473244900</v>
      </c>
      <c r="L53" s="2543">
        <v>16028720312</v>
      </c>
    </row>
    <row r="54" spans="1:12">
      <c r="A54" s="114" t="s">
        <v>1699</v>
      </c>
      <c r="B54" s="2540" t="s">
        <v>2206</v>
      </c>
      <c r="C54" s="2543">
        <v>1642902303</v>
      </c>
      <c r="D54" s="2543">
        <v>1580541430</v>
      </c>
      <c r="E54" s="2543">
        <v>1642902303</v>
      </c>
      <c r="F54" s="2543">
        <v>1580541430</v>
      </c>
      <c r="G54" s="2541">
        <v>1391562666</v>
      </c>
      <c r="H54" s="2541">
        <v>1391562666</v>
      </c>
      <c r="I54" s="2541">
        <v>1642902303</v>
      </c>
      <c r="J54" s="2545">
        <v>1580541430</v>
      </c>
      <c r="K54" s="2543">
        <v>1642902303</v>
      </c>
      <c r="L54" s="2543">
        <v>1580541430</v>
      </c>
    </row>
    <row r="55" spans="1:12">
      <c r="A55" s="114" t="s">
        <v>1316</v>
      </c>
      <c r="B55" s="2540" t="s">
        <v>2205</v>
      </c>
      <c r="C55" s="2543">
        <v>462461228</v>
      </c>
      <c r="D55" s="2543">
        <v>440838089</v>
      </c>
      <c r="E55" s="2543">
        <v>462461228</v>
      </c>
      <c r="F55" s="2543">
        <v>440838089</v>
      </c>
      <c r="G55" s="2541">
        <v>397523510</v>
      </c>
      <c r="H55" s="2541">
        <v>397523510</v>
      </c>
      <c r="I55" s="2541">
        <v>462461228</v>
      </c>
      <c r="J55" s="2545">
        <v>440838089</v>
      </c>
      <c r="K55" s="2543">
        <v>462461228</v>
      </c>
      <c r="L55" s="2543">
        <v>440838089</v>
      </c>
    </row>
    <row r="56" spans="1:12">
      <c r="A56" s="114" t="s">
        <v>1587</v>
      </c>
      <c r="B56" s="2540" t="s">
        <v>2610</v>
      </c>
      <c r="C56" s="2543">
        <v>36800028031</v>
      </c>
      <c r="D56" s="2543">
        <v>35976258170</v>
      </c>
      <c r="E56" s="2543">
        <v>36800028031</v>
      </c>
      <c r="F56" s="2543">
        <v>35976258170</v>
      </c>
      <c r="G56" s="2541">
        <v>31811475773</v>
      </c>
      <c r="H56" s="2541">
        <v>31811475773</v>
      </c>
      <c r="I56" s="2541">
        <v>36800028031</v>
      </c>
      <c r="J56" s="2545">
        <v>35976258170</v>
      </c>
      <c r="K56" s="2543">
        <v>36800028031</v>
      </c>
      <c r="L56" s="2543">
        <v>35976258170</v>
      </c>
    </row>
    <row r="57" spans="1:12">
      <c r="A57" s="114" t="s">
        <v>871</v>
      </c>
      <c r="B57" s="2540" t="s">
        <v>1215</v>
      </c>
      <c r="C57" s="2543">
        <v>3557100105</v>
      </c>
      <c r="D57" s="2543">
        <v>3454068646</v>
      </c>
      <c r="E57" s="2543">
        <v>3557100105</v>
      </c>
      <c r="F57" s="2543">
        <v>3454068646</v>
      </c>
      <c r="G57" s="2541">
        <v>2668258792</v>
      </c>
      <c r="H57" s="2541">
        <v>2668258792</v>
      </c>
      <c r="I57" s="2541">
        <v>3557100105</v>
      </c>
      <c r="J57" s="2545">
        <v>3454068646</v>
      </c>
      <c r="K57" s="2543">
        <v>3557100105</v>
      </c>
      <c r="L57" s="2543">
        <v>3454068646</v>
      </c>
    </row>
    <row r="58" spans="1:12">
      <c r="A58" s="114" t="s">
        <v>807</v>
      </c>
      <c r="B58" s="2540" t="s">
        <v>2208</v>
      </c>
      <c r="C58" s="2543">
        <v>3096890373</v>
      </c>
      <c r="D58" s="2543">
        <v>3011037671</v>
      </c>
      <c r="E58" s="2543">
        <v>3096890373</v>
      </c>
      <c r="F58" s="2543">
        <v>3011037671</v>
      </c>
      <c r="G58" s="2541">
        <v>2091423993</v>
      </c>
      <c r="H58" s="2541">
        <v>2091423993</v>
      </c>
      <c r="I58" s="2541">
        <v>3096890373</v>
      </c>
      <c r="J58" s="2545">
        <v>3011037671</v>
      </c>
      <c r="K58" s="2543">
        <v>3096890373</v>
      </c>
      <c r="L58" s="2543">
        <v>3011037671</v>
      </c>
    </row>
    <row r="59" spans="1:12">
      <c r="A59" s="114" t="s">
        <v>1589</v>
      </c>
      <c r="B59" s="2540" t="s">
        <v>2612</v>
      </c>
      <c r="C59" s="2543">
        <v>48271668924</v>
      </c>
      <c r="D59" s="2543">
        <v>47215842437</v>
      </c>
      <c r="E59" s="2543">
        <v>48271668924</v>
      </c>
      <c r="F59" s="2543">
        <v>47215842437</v>
      </c>
      <c r="G59" s="2541">
        <v>39760933621</v>
      </c>
      <c r="H59" s="2541">
        <v>39760933621</v>
      </c>
      <c r="I59" s="2541">
        <v>48271668924</v>
      </c>
      <c r="J59" s="2545">
        <v>47215842437</v>
      </c>
      <c r="K59" s="2543">
        <v>48271668924</v>
      </c>
      <c r="L59" s="2543">
        <v>47215842437</v>
      </c>
    </row>
    <row r="60" spans="1:12">
      <c r="A60" s="114" t="s">
        <v>53</v>
      </c>
      <c r="B60" s="2540" t="s">
        <v>448</v>
      </c>
      <c r="C60" s="2543">
        <v>8451905469</v>
      </c>
      <c r="D60" s="2543">
        <v>8215313119</v>
      </c>
      <c r="E60" s="2543">
        <v>8451905469</v>
      </c>
      <c r="F60" s="2543">
        <v>8215313119</v>
      </c>
      <c r="G60" s="2541">
        <v>6994914104</v>
      </c>
      <c r="H60" s="2541">
        <v>6994914104</v>
      </c>
      <c r="I60" s="2541">
        <v>8451905469</v>
      </c>
      <c r="J60" s="2545">
        <v>8215313119</v>
      </c>
      <c r="K60" s="2543">
        <v>8451905469</v>
      </c>
      <c r="L60" s="2543">
        <v>8215313119</v>
      </c>
    </row>
    <row r="61" spans="1:12">
      <c r="A61" s="114" t="s">
        <v>1700</v>
      </c>
      <c r="B61" s="2540" t="s">
        <v>2207</v>
      </c>
      <c r="C61" s="2543">
        <v>1269469498</v>
      </c>
      <c r="D61" s="2543">
        <v>1235320800</v>
      </c>
      <c r="E61" s="2543">
        <v>1269469498</v>
      </c>
      <c r="F61" s="2543">
        <v>1235320800</v>
      </c>
      <c r="G61" s="2541">
        <v>1168478933</v>
      </c>
      <c r="H61" s="2541">
        <v>1168478933</v>
      </c>
      <c r="I61" s="2541">
        <v>1269469498</v>
      </c>
      <c r="J61" s="2545">
        <v>1235320800</v>
      </c>
      <c r="K61" s="2543">
        <v>1269469498</v>
      </c>
      <c r="L61" s="2543">
        <v>1235320800</v>
      </c>
    </row>
    <row r="62" spans="1:12">
      <c r="A62" s="114" t="s">
        <v>1377</v>
      </c>
      <c r="B62" s="2540" t="s">
        <v>2604</v>
      </c>
      <c r="C62" s="2543">
        <v>718444434</v>
      </c>
      <c r="D62" s="2543">
        <v>703856192</v>
      </c>
      <c r="E62" s="2543">
        <v>718444434</v>
      </c>
      <c r="F62" s="2543">
        <v>703856192</v>
      </c>
      <c r="G62" s="2541">
        <v>637872334</v>
      </c>
      <c r="H62" s="2541">
        <v>637872334</v>
      </c>
      <c r="I62" s="2541">
        <v>718444434</v>
      </c>
      <c r="J62" s="2545">
        <v>703856192</v>
      </c>
      <c r="K62" s="2543">
        <v>718444434</v>
      </c>
      <c r="L62" s="2543">
        <v>703856192</v>
      </c>
    </row>
    <row r="63" spans="1:12">
      <c r="A63" s="114" t="s">
        <v>986</v>
      </c>
      <c r="B63" s="2540" t="s">
        <v>902</v>
      </c>
      <c r="C63" s="2543">
        <v>816106103</v>
      </c>
      <c r="D63" s="2543">
        <v>797748226</v>
      </c>
      <c r="E63" s="2543">
        <v>816106103</v>
      </c>
      <c r="F63" s="2543">
        <v>797748226</v>
      </c>
      <c r="G63" s="2541">
        <v>752423930</v>
      </c>
      <c r="H63" s="2541">
        <v>752423930</v>
      </c>
      <c r="I63" s="2541">
        <v>816106103</v>
      </c>
      <c r="J63" s="2545">
        <v>797748226</v>
      </c>
      <c r="K63" s="2543">
        <v>816106103</v>
      </c>
      <c r="L63" s="2543">
        <v>797748226</v>
      </c>
    </row>
    <row r="64" spans="1:12">
      <c r="A64" s="114" t="s">
        <v>1378</v>
      </c>
      <c r="B64" s="2540" t="s">
        <v>2605</v>
      </c>
      <c r="C64" s="2543">
        <v>588480803</v>
      </c>
      <c r="D64" s="2543">
        <v>588062103</v>
      </c>
      <c r="E64" s="2543">
        <v>588212612</v>
      </c>
      <c r="F64" s="2543">
        <v>587793912</v>
      </c>
      <c r="G64" s="2541">
        <v>983152416</v>
      </c>
      <c r="H64" s="2541">
        <v>982868006</v>
      </c>
      <c r="I64" s="2541">
        <v>617210453</v>
      </c>
      <c r="J64" s="2545">
        <v>616791753</v>
      </c>
      <c r="K64" s="2543">
        <v>616942262</v>
      </c>
      <c r="L64" s="2543">
        <v>616523562</v>
      </c>
    </row>
    <row r="65" spans="1:12">
      <c r="A65" s="114" t="s">
        <v>628</v>
      </c>
      <c r="B65" s="2540" t="s">
        <v>1330</v>
      </c>
      <c r="C65" s="2543">
        <v>604811812</v>
      </c>
      <c r="D65" s="2543">
        <v>589293144</v>
      </c>
      <c r="E65" s="2543">
        <v>604811812</v>
      </c>
      <c r="F65" s="2543">
        <v>589293144</v>
      </c>
      <c r="G65" s="2541">
        <v>676327888</v>
      </c>
      <c r="H65" s="2541">
        <v>676327888</v>
      </c>
      <c r="I65" s="2541">
        <v>604811812</v>
      </c>
      <c r="J65" s="2545">
        <v>589293144</v>
      </c>
      <c r="K65" s="2543">
        <v>604811812</v>
      </c>
      <c r="L65" s="2543">
        <v>589293144</v>
      </c>
    </row>
    <row r="66" spans="1:12">
      <c r="A66" s="114" t="s">
        <v>1379</v>
      </c>
      <c r="B66" s="2540" t="s">
        <v>3081</v>
      </c>
      <c r="C66" s="2543">
        <v>165432477</v>
      </c>
      <c r="D66" s="2543">
        <v>159787808</v>
      </c>
      <c r="E66" s="2543">
        <v>165432477</v>
      </c>
      <c r="F66" s="2543">
        <v>159787808</v>
      </c>
      <c r="G66" s="2541">
        <v>161523114</v>
      </c>
      <c r="H66" s="2541">
        <v>161523114</v>
      </c>
      <c r="I66" s="2541">
        <v>165432477</v>
      </c>
      <c r="J66" s="2545">
        <v>159787808</v>
      </c>
      <c r="K66" s="2543">
        <v>165432477</v>
      </c>
      <c r="L66" s="2543">
        <v>159787808</v>
      </c>
    </row>
    <row r="67" spans="1:12">
      <c r="A67" s="114" t="s">
        <v>1273</v>
      </c>
      <c r="B67" s="2540" t="s">
        <v>3082</v>
      </c>
      <c r="C67" s="2543">
        <v>58982185</v>
      </c>
      <c r="D67" s="2543">
        <v>57052477</v>
      </c>
      <c r="E67" s="2543">
        <v>58982185</v>
      </c>
      <c r="F67" s="2543">
        <v>57052477</v>
      </c>
      <c r="G67" s="2541">
        <v>58947522</v>
      </c>
      <c r="H67" s="2541">
        <v>58947522</v>
      </c>
      <c r="I67" s="2541">
        <v>58982185</v>
      </c>
      <c r="J67" s="2545">
        <v>57052477</v>
      </c>
      <c r="K67" s="2543">
        <v>58982185</v>
      </c>
      <c r="L67" s="2543">
        <v>57052477</v>
      </c>
    </row>
    <row r="68" spans="1:12">
      <c r="A68" s="114" t="s">
        <v>1274</v>
      </c>
      <c r="B68" s="2540" t="s">
        <v>3083</v>
      </c>
      <c r="C68" s="2543">
        <v>214626321</v>
      </c>
      <c r="D68" s="2543">
        <v>206813616</v>
      </c>
      <c r="E68" s="2543">
        <v>214626321</v>
      </c>
      <c r="F68" s="2543">
        <v>206813616</v>
      </c>
      <c r="G68" s="2541">
        <v>201856207</v>
      </c>
      <c r="H68" s="2541">
        <v>201856207</v>
      </c>
      <c r="I68" s="2541">
        <v>214626321</v>
      </c>
      <c r="J68" s="2545">
        <v>206813616</v>
      </c>
      <c r="K68" s="2543">
        <v>214626321</v>
      </c>
      <c r="L68" s="2543">
        <v>206813616</v>
      </c>
    </row>
    <row r="69" spans="1:12">
      <c r="A69" s="114" t="s">
        <v>2174</v>
      </c>
      <c r="B69" s="2540" t="s">
        <v>2304</v>
      </c>
      <c r="C69" s="2543">
        <v>77277446</v>
      </c>
      <c r="D69" s="2543">
        <v>75367631</v>
      </c>
      <c r="E69" s="2543">
        <v>77277446</v>
      </c>
      <c r="F69" s="2543">
        <v>75367631</v>
      </c>
      <c r="G69" s="2541">
        <v>74023616</v>
      </c>
      <c r="H69" s="2541">
        <v>74023616</v>
      </c>
      <c r="I69" s="2541">
        <v>77277446</v>
      </c>
      <c r="J69" s="2545">
        <v>75367631</v>
      </c>
      <c r="K69" s="2543">
        <v>77277446</v>
      </c>
      <c r="L69" s="2543">
        <v>75367631</v>
      </c>
    </row>
    <row r="70" spans="1:12">
      <c r="A70" s="114" t="s">
        <v>1846</v>
      </c>
      <c r="B70" s="2540" t="s">
        <v>3084</v>
      </c>
      <c r="C70" s="2543">
        <v>120470003</v>
      </c>
      <c r="D70" s="2543">
        <v>118007651</v>
      </c>
      <c r="E70" s="2543">
        <v>120470003</v>
      </c>
      <c r="F70" s="2543">
        <v>118007651</v>
      </c>
      <c r="G70" s="2541">
        <v>122232029</v>
      </c>
      <c r="H70" s="2541">
        <v>122232029</v>
      </c>
      <c r="I70" s="2541">
        <v>120470003</v>
      </c>
      <c r="J70" s="2545">
        <v>118007651</v>
      </c>
      <c r="K70" s="2543">
        <v>120470003</v>
      </c>
      <c r="L70" s="2543">
        <v>118007651</v>
      </c>
    </row>
    <row r="71" spans="1:12">
      <c r="A71" s="114" t="s">
        <v>1847</v>
      </c>
      <c r="B71" s="2540" t="s">
        <v>3085</v>
      </c>
      <c r="C71" s="2543">
        <v>113328747</v>
      </c>
      <c r="D71" s="2543">
        <v>108904008</v>
      </c>
      <c r="E71" s="2543">
        <v>113328747</v>
      </c>
      <c r="F71" s="2543">
        <v>108904008</v>
      </c>
      <c r="G71" s="2541">
        <v>104483349</v>
      </c>
      <c r="H71" s="2541">
        <v>104483349</v>
      </c>
      <c r="I71" s="2541">
        <v>113328747</v>
      </c>
      <c r="J71" s="2545">
        <v>108904008</v>
      </c>
      <c r="K71" s="2543">
        <v>113328747</v>
      </c>
      <c r="L71" s="2543">
        <v>108904008</v>
      </c>
    </row>
    <row r="72" spans="1:12">
      <c r="A72" s="114" t="s">
        <v>1848</v>
      </c>
      <c r="B72" s="2540" t="s">
        <v>3086</v>
      </c>
      <c r="C72" s="2543">
        <v>78476654</v>
      </c>
      <c r="D72" s="2543">
        <v>76361512</v>
      </c>
      <c r="E72" s="2543">
        <v>78476654</v>
      </c>
      <c r="F72" s="2543">
        <v>76361512</v>
      </c>
      <c r="G72" s="2541">
        <v>77597063</v>
      </c>
      <c r="H72" s="2541">
        <v>77597063</v>
      </c>
      <c r="I72" s="2541">
        <v>78476654</v>
      </c>
      <c r="J72" s="2545">
        <v>76361512</v>
      </c>
      <c r="K72" s="2543">
        <v>78476654</v>
      </c>
      <c r="L72" s="2543">
        <v>76361512</v>
      </c>
    </row>
    <row r="73" spans="1:12">
      <c r="A73" s="114" t="s">
        <v>997</v>
      </c>
      <c r="B73" s="2540" t="s">
        <v>3063</v>
      </c>
      <c r="C73" s="2543">
        <v>187599008</v>
      </c>
      <c r="D73" s="2543">
        <v>177920995</v>
      </c>
      <c r="E73" s="2543">
        <v>187599008</v>
      </c>
      <c r="F73" s="2543">
        <v>177920995</v>
      </c>
      <c r="G73" s="2541">
        <v>171505132</v>
      </c>
      <c r="H73" s="2541">
        <v>171505132</v>
      </c>
      <c r="I73" s="2541">
        <v>187599008</v>
      </c>
      <c r="J73" s="2545">
        <v>177920995</v>
      </c>
      <c r="K73" s="2543">
        <v>187599008</v>
      </c>
      <c r="L73" s="2543">
        <v>177920995</v>
      </c>
    </row>
    <row r="74" spans="1:12">
      <c r="A74" s="114" t="s">
        <v>808</v>
      </c>
      <c r="B74" s="2540" t="s">
        <v>2730</v>
      </c>
      <c r="C74" s="2543">
        <v>158013048</v>
      </c>
      <c r="D74" s="2543">
        <v>149396740</v>
      </c>
      <c r="E74" s="2543">
        <v>158013048</v>
      </c>
      <c r="F74" s="2543">
        <v>149396740</v>
      </c>
      <c r="G74" s="2541">
        <v>142312282</v>
      </c>
      <c r="H74" s="2541">
        <v>142312282</v>
      </c>
      <c r="I74" s="2541">
        <v>158013048</v>
      </c>
      <c r="J74" s="2545">
        <v>149396740</v>
      </c>
      <c r="K74" s="2543">
        <v>158013048</v>
      </c>
      <c r="L74" s="2543">
        <v>149396740</v>
      </c>
    </row>
    <row r="75" spans="1:12">
      <c r="A75" s="114" t="s">
        <v>2450</v>
      </c>
      <c r="B75" s="2540" t="s">
        <v>2361</v>
      </c>
      <c r="C75" s="2543">
        <v>61133877</v>
      </c>
      <c r="D75" s="2543">
        <v>56539183</v>
      </c>
      <c r="E75" s="2543">
        <v>61133877</v>
      </c>
      <c r="F75" s="2543">
        <v>56539183</v>
      </c>
      <c r="G75" s="2541">
        <v>53575281</v>
      </c>
      <c r="H75" s="2541">
        <v>53575281</v>
      </c>
      <c r="I75" s="2541">
        <v>61133877</v>
      </c>
      <c r="J75" s="2545">
        <v>56539183</v>
      </c>
      <c r="K75" s="2543">
        <v>61133877</v>
      </c>
      <c r="L75" s="2543">
        <v>56539183</v>
      </c>
    </row>
    <row r="76" spans="1:12">
      <c r="A76" s="114" t="s">
        <v>3034</v>
      </c>
      <c r="B76" s="2540" t="s">
        <v>1578</v>
      </c>
      <c r="C76" s="2543">
        <v>374671025</v>
      </c>
      <c r="D76" s="2543">
        <v>358913079</v>
      </c>
      <c r="E76" s="2543">
        <v>374671025</v>
      </c>
      <c r="F76" s="2543">
        <v>358913079</v>
      </c>
      <c r="G76" s="2541">
        <v>396599467</v>
      </c>
      <c r="H76" s="2541">
        <v>396599467</v>
      </c>
      <c r="I76" s="2541">
        <v>374671025</v>
      </c>
      <c r="J76" s="2545">
        <v>358913079</v>
      </c>
      <c r="K76" s="2543">
        <v>374671025</v>
      </c>
      <c r="L76" s="2543">
        <v>358913079</v>
      </c>
    </row>
    <row r="77" spans="1:12">
      <c r="A77" s="114" t="s">
        <v>1252</v>
      </c>
      <c r="B77" s="2540" t="s">
        <v>1579</v>
      </c>
      <c r="C77" s="2543">
        <v>233017230</v>
      </c>
      <c r="D77" s="2543">
        <v>221206292</v>
      </c>
      <c r="E77" s="2543">
        <v>233017230</v>
      </c>
      <c r="F77" s="2543">
        <v>221206292</v>
      </c>
      <c r="G77" s="2541">
        <v>209796426</v>
      </c>
      <c r="H77" s="2541">
        <v>209796426</v>
      </c>
      <c r="I77" s="2541">
        <v>233017230</v>
      </c>
      <c r="J77" s="2545">
        <v>221206292</v>
      </c>
      <c r="K77" s="2543">
        <v>233017230</v>
      </c>
      <c r="L77" s="2543">
        <v>221206292</v>
      </c>
    </row>
    <row r="78" spans="1:12">
      <c r="A78" s="114" t="s">
        <v>1253</v>
      </c>
      <c r="B78" s="2540" t="s">
        <v>1580</v>
      </c>
      <c r="C78" s="2543">
        <v>1965936440</v>
      </c>
      <c r="D78" s="2543">
        <v>1920713646</v>
      </c>
      <c r="E78" s="2543">
        <v>1965936440</v>
      </c>
      <c r="F78" s="2543">
        <v>1920713646</v>
      </c>
      <c r="G78" s="2541">
        <v>1902193326</v>
      </c>
      <c r="H78" s="2541">
        <v>1902193326</v>
      </c>
      <c r="I78" s="2541">
        <v>1965936440</v>
      </c>
      <c r="J78" s="2545">
        <v>1920713646</v>
      </c>
      <c r="K78" s="2543">
        <v>1965936440</v>
      </c>
      <c r="L78" s="2543">
        <v>1920713646</v>
      </c>
    </row>
    <row r="79" spans="1:12">
      <c r="A79" s="114" t="s">
        <v>1285</v>
      </c>
      <c r="B79" s="2540" t="s">
        <v>2846</v>
      </c>
      <c r="C79" s="2543">
        <v>546168603</v>
      </c>
      <c r="D79" s="2543">
        <v>523546084</v>
      </c>
      <c r="E79" s="2543">
        <v>546168603</v>
      </c>
      <c r="F79" s="2543">
        <v>523546084</v>
      </c>
      <c r="G79" s="2541">
        <v>520690660</v>
      </c>
      <c r="H79" s="2541">
        <v>520690660</v>
      </c>
      <c r="I79" s="2541">
        <v>546168603</v>
      </c>
      <c r="J79" s="2545">
        <v>523546084</v>
      </c>
      <c r="K79" s="2543">
        <v>546168603</v>
      </c>
      <c r="L79" s="2543">
        <v>523546084</v>
      </c>
    </row>
    <row r="80" spans="1:12">
      <c r="A80" s="114" t="s">
        <v>2451</v>
      </c>
      <c r="B80" s="2540" t="s">
        <v>295</v>
      </c>
      <c r="C80" s="2543">
        <v>109252836</v>
      </c>
      <c r="D80" s="2543">
        <v>102812954</v>
      </c>
      <c r="E80" s="2543">
        <v>109252836</v>
      </c>
      <c r="F80" s="2543">
        <v>102812954</v>
      </c>
      <c r="G80" s="2541">
        <v>101846566</v>
      </c>
      <c r="H80" s="2541">
        <v>101846566</v>
      </c>
      <c r="I80" s="2541">
        <v>109252836</v>
      </c>
      <c r="J80" s="2545">
        <v>102812954</v>
      </c>
      <c r="K80" s="2543">
        <v>109252836</v>
      </c>
      <c r="L80" s="2543">
        <v>102812954</v>
      </c>
    </row>
    <row r="81" spans="1:12">
      <c r="A81" s="114" t="s">
        <v>1110</v>
      </c>
      <c r="B81" s="2540" t="s">
        <v>320</v>
      </c>
      <c r="C81" s="2543">
        <v>20289217</v>
      </c>
      <c r="D81" s="2543">
        <v>18722105</v>
      </c>
      <c r="E81" s="2543">
        <v>20289217</v>
      </c>
      <c r="F81" s="2543">
        <v>18722105</v>
      </c>
      <c r="G81" s="2541">
        <v>18435046</v>
      </c>
      <c r="H81" s="2541">
        <v>18435046</v>
      </c>
      <c r="I81" s="2541">
        <v>20289217</v>
      </c>
      <c r="J81" s="2545">
        <v>18722105</v>
      </c>
      <c r="K81" s="2543">
        <v>20289217</v>
      </c>
      <c r="L81" s="2543">
        <v>18722105</v>
      </c>
    </row>
    <row r="82" spans="1:12">
      <c r="A82" s="114" t="s">
        <v>953</v>
      </c>
      <c r="B82" s="2540" t="s">
        <v>2847</v>
      </c>
      <c r="C82" s="2543">
        <v>203885753</v>
      </c>
      <c r="D82" s="2543">
        <v>197059680</v>
      </c>
      <c r="E82" s="2543">
        <v>203885753</v>
      </c>
      <c r="F82" s="2543">
        <v>197059680</v>
      </c>
      <c r="G82" s="2541">
        <v>186336516</v>
      </c>
      <c r="H82" s="2541">
        <v>186336516</v>
      </c>
      <c r="I82" s="2541">
        <v>203885753</v>
      </c>
      <c r="J82" s="2545">
        <v>197059680</v>
      </c>
      <c r="K82" s="2543">
        <v>203885753</v>
      </c>
      <c r="L82" s="2543">
        <v>197059680</v>
      </c>
    </row>
    <row r="83" spans="1:12">
      <c r="A83" s="114" t="s">
        <v>1286</v>
      </c>
      <c r="B83" s="2540" t="s">
        <v>2848</v>
      </c>
      <c r="C83" s="2543">
        <v>897425631</v>
      </c>
      <c r="D83" s="2543">
        <v>872390271</v>
      </c>
      <c r="E83" s="2543">
        <v>897425631</v>
      </c>
      <c r="F83" s="2543">
        <v>872390271</v>
      </c>
      <c r="G83" s="2541">
        <v>859147803</v>
      </c>
      <c r="H83" s="2541">
        <v>859147803</v>
      </c>
      <c r="I83" s="2541">
        <v>897425631</v>
      </c>
      <c r="J83" s="2545">
        <v>872390271</v>
      </c>
      <c r="K83" s="2543">
        <v>897425631</v>
      </c>
      <c r="L83" s="2543">
        <v>872390271</v>
      </c>
    </row>
    <row r="84" spans="1:12">
      <c r="A84" s="114" t="s">
        <v>1287</v>
      </c>
      <c r="B84" s="2540" t="s">
        <v>2732</v>
      </c>
      <c r="C84" s="2543">
        <v>19891399</v>
      </c>
      <c r="D84" s="2543">
        <v>18405759</v>
      </c>
      <c r="E84" s="2543">
        <v>19891399</v>
      </c>
      <c r="F84" s="2543">
        <v>18405759</v>
      </c>
      <c r="G84" s="2541">
        <v>17835480</v>
      </c>
      <c r="H84" s="2541">
        <v>17835480</v>
      </c>
      <c r="I84" s="2541">
        <v>19891399</v>
      </c>
      <c r="J84" s="2545">
        <v>18405759</v>
      </c>
      <c r="K84" s="2543">
        <v>19891399</v>
      </c>
      <c r="L84" s="2543">
        <v>18405759</v>
      </c>
    </row>
    <row r="85" spans="1:12">
      <c r="A85" s="114" t="s">
        <v>954</v>
      </c>
      <c r="B85" s="2540" t="s">
        <v>2849</v>
      </c>
      <c r="C85" s="2543">
        <v>42155996</v>
      </c>
      <c r="D85" s="2543">
        <v>40387475</v>
      </c>
      <c r="E85" s="2543">
        <v>42155996</v>
      </c>
      <c r="F85" s="2543">
        <v>40387475</v>
      </c>
      <c r="G85" s="2541">
        <v>40864748</v>
      </c>
      <c r="H85" s="2541">
        <v>40864748</v>
      </c>
      <c r="I85" s="2541">
        <v>42155996</v>
      </c>
      <c r="J85" s="2545">
        <v>40387475</v>
      </c>
      <c r="K85" s="2543">
        <v>42155996</v>
      </c>
      <c r="L85" s="2543">
        <v>40387475</v>
      </c>
    </row>
    <row r="86" spans="1:12">
      <c r="A86" s="114" t="s">
        <v>207</v>
      </c>
      <c r="B86" s="2540" t="s">
        <v>1202</v>
      </c>
      <c r="C86" s="2543">
        <v>5956944789</v>
      </c>
      <c r="D86" s="2543">
        <v>5747214805</v>
      </c>
      <c r="E86" s="2543">
        <v>5956944789</v>
      </c>
      <c r="F86" s="2543">
        <v>5747214805</v>
      </c>
      <c r="G86" s="2541">
        <v>4875683444</v>
      </c>
      <c r="H86" s="2541">
        <v>4875683444</v>
      </c>
      <c r="I86" s="2541">
        <v>5956944789</v>
      </c>
      <c r="J86" s="2545">
        <v>5747214805</v>
      </c>
      <c r="K86" s="2543">
        <v>5956944789</v>
      </c>
      <c r="L86" s="2543">
        <v>5747214805</v>
      </c>
    </row>
    <row r="87" spans="1:12">
      <c r="A87" s="114" t="s">
        <v>1035</v>
      </c>
      <c r="B87" s="2540" t="s">
        <v>2850</v>
      </c>
      <c r="C87" s="2543">
        <v>2525501673</v>
      </c>
      <c r="D87" s="2543">
        <v>2461158443</v>
      </c>
      <c r="E87" s="2543">
        <v>2525501673</v>
      </c>
      <c r="F87" s="2543">
        <v>2461158443</v>
      </c>
      <c r="G87" s="2541">
        <v>2333555920</v>
      </c>
      <c r="H87" s="2541">
        <v>2333555920</v>
      </c>
      <c r="I87" s="2541">
        <v>2525501673</v>
      </c>
      <c r="J87" s="2545">
        <v>2461158443</v>
      </c>
      <c r="K87" s="2543">
        <v>2525501673</v>
      </c>
      <c r="L87" s="2543">
        <v>2461158443</v>
      </c>
    </row>
    <row r="88" spans="1:12">
      <c r="A88" s="114" t="s">
        <v>809</v>
      </c>
      <c r="B88" s="2540" t="s">
        <v>3059</v>
      </c>
      <c r="C88" s="2543">
        <v>252646832</v>
      </c>
      <c r="D88" s="2543">
        <v>243448178</v>
      </c>
      <c r="E88" s="2543">
        <v>252646832</v>
      </c>
      <c r="F88" s="2543">
        <v>243448178</v>
      </c>
      <c r="G88" s="2541">
        <v>224776413</v>
      </c>
      <c r="H88" s="2541">
        <v>224776413</v>
      </c>
      <c r="I88" s="2541">
        <v>252646832</v>
      </c>
      <c r="J88" s="2545">
        <v>243448178</v>
      </c>
      <c r="K88" s="2543">
        <v>252646832</v>
      </c>
      <c r="L88" s="2543">
        <v>243448178</v>
      </c>
    </row>
    <row r="89" spans="1:12">
      <c r="A89" s="114" t="s">
        <v>1321</v>
      </c>
      <c r="B89" s="2540" t="s">
        <v>2851</v>
      </c>
      <c r="C89" s="2543">
        <v>8684549805</v>
      </c>
      <c r="D89" s="2543">
        <v>8560898061</v>
      </c>
      <c r="E89" s="2543">
        <v>8590699435</v>
      </c>
      <c r="F89" s="2543">
        <v>8467047691</v>
      </c>
      <c r="G89" s="2541">
        <v>7031003753</v>
      </c>
      <c r="H89" s="2541">
        <v>6945006019</v>
      </c>
      <c r="I89" s="2541">
        <v>9572543065</v>
      </c>
      <c r="J89" s="2545">
        <v>9448891321</v>
      </c>
      <c r="K89" s="2543">
        <v>9478692695</v>
      </c>
      <c r="L89" s="2543">
        <v>9355040951</v>
      </c>
    </row>
    <row r="90" spans="1:12">
      <c r="A90" s="114" t="s">
        <v>1322</v>
      </c>
      <c r="B90" s="2540" t="s">
        <v>2852</v>
      </c>
      <c r="C90" s="2543">
        <v>2163730658</v>
      </c>
      <c r="D90" s="2543">
        <v>2139982621</v>
      </c>
      <c r="E90" s="2543">
        <v>2132233982</v>
      </c>
      <c r="F90" s="2543">
        <v>2108485945</v>
      </c>
      <c r="G90" s="2541">
        <v>1516771731</v>
      </c>
      <c r="H90" s="2541">
        <v>1488696482</v>
      </c>
      <c r="I90" s="2541">
        <v>2163730658</v>
      </c>
      <c r="J90" s="2545">
        <v>2139982621</v>
      </c>
      <c r="K90" s="2543">
        <v>2132233982</v>
      </c>
      <c r="L90" s="2543">
        <v>2108485945</v>
      </c>
    </row>
    <row r="91" spans="1:12">
      <c r="A91" s="114" t="s">
        <v>1616</v>
      </c>
      <c r="B91" s="2540" t="s">
        <v>1741</v>
      </c>
      <c r="C91" s="2543">
        <v>1194834893</v>
      </c>
      <c r="D91" s="2543">
        <v>1149814907</v>
      </c>
      <c r="E91" s="2543">
        <v>1163040971</v>
      </c>
      <c r="F91" s="2543">
        <v>1118020985</v>
      </c>
      <c r="G91" s="2541">
        <v>1001933138</v>
      </c>
      <c r="H91" s="2541">
        <v>973901358</v>
      </c>
      <c r="I91" s="2541">
        <v>1194834893</v>
      </c>
      <c r="J91" s="2545">
        <v>1149814907</v>
      </c>
      <c r="K91" s="2543">
        <v>1163040971</v>
      </c>
      <c r="L91" s="2543">
        <v>1118020985</v>
      </c>
    </row>
    <row r="92" spans="1:12">
      <c r="A92" s="114" t="s">
        <v>235</v>
      </c>
      <c r="B92" s="2540" t="s">
        <v>303</v>
      </c>
      <c r="C92" s="2543">
        <v>7271507838</v>
      </c>
      <c r="D92" s="2543">
        <v>7037231349</v>
      </c>
      <c r="E92" s="2543">
        <v>7271507838</v>
      </c>
      <c r="F92" s="2543">
        <v>7037231349</v>
      </c>
      <c r="G92" s="2541">
        <v>6099852396</v>
      </c>
      <c r="H92" s="2541">
        <v>6099852396</v>
      </c>
      <c r="I92" s="2541">
        <v>7271507838</v>
      </c>
      <c r="J92" s="2545">
        <v>7037231349</v>
      </c>
      <c r="K92" s="2543">
        <v>7271507838</v>
      </c>
      <c r="L92" s="2543">
        <v>7037231349</v>
      </c>
    </row>
    <row r="93" spans="1:12">
      <c r="A93" s="114" t="s">
        <v>1323</v>
      </c>
      <c r="B93" s="2540" t="s">
        <v>2853</v>
      </c>
      <c r="C93" s="2543">
        <v>60965293</v>
      </c>
      <c r="D93" s="2543">
        <v>58805502</v>
      </c>
      <c r="E93" s="2543">
        <v>60965293</v>
      </c>
      <c r="F93" s="2543">
        <v>58805502</v>
      </c>
      <c r="G93" s="2541">
        <v>50759086</v>
      </c>
      <c r="H93" s="2541">
        <v>50759086</v>
      </c>
      <c r="I93" s="2541">
        <v>60965293</v>
      </c>
      <c r="J93" s="2545">
        <v>58805502</v>
      </c>
      <c r="K93" s="2543">
        <v>60965293</v>
      </c>
      <c r="L93" s="2543">
        <v>58805502</v>
      </c>
    </row>
    <row r="94" spans="1:12">
      <c r="A94" s="114" t="s">
        <v>631</v>
      </c>
      <c r="B94" s="2540" t="s">
        <v>1334</v>
      </c>
      <c r="C94" s="2543">
        <v>8591943483</v>
      </c>
      <c r="D94" s="2543">
        <v>8475506493</v>
      </c>
      <c r="E94" s="2543">
        <v>8591943483</v>
      </c>
      <c r="F94" s="2543">
        <v>8475506493</v>
      </c>
      <c r="G94" s="2541">
        <v>7438296100</v>
      </c>
      <c r="H94" s="2541">
        <v>7438296100</v>
      </c>
      <c r="I94" s="2541">
        <v>8591943483</v>
      </c>
      <c r="J94" s="2545">
        <v>8475506493</v>
      </c>
      <c r="K94" s="2543">
        <v>8591943483</v>
      </c>
      <c r="L94" s="2543">
        <v>8475506493</v>
      </c>
    </row>
    <row r="95" spans="1:12">
      <c r="A95" s="114" t="s">
        <v>994</v>
      </c>
      <c r="B95" s="2540" t="s">
        <v>3032</v>
      </c>
      <c r="C95" s="2543">
        <v>6665405445</v>
      </c>
      <c r="D95" s="2543">
        <v>6529555404</v>
      </c>
      <c r="E95" s="2543">
        <v>6665405445</v>
      </c>
      <c r="F95" s="2543">
        <v>6529555404</v>
      </c>
      <c r="G95" s="2541">
        <v>6413754054</v>
      </c>
      <c r="H95" s="2541">
        <v>6413754054</v>
      </c>
      <c r="I95" s="2541">
        <v>6880623525</v>
      </c>
      <c r="J95" s="2545">
        <v>6744773484</v>
      </c>
      <c r="K95" s="2543">
        <v>6880623525</v>
      </c>
      <c r="L95" s="2543">
        <v>6744773484</v>
      </c>
    </row>
    <row r="96" spans="1:12">
      <c r="A96" s="114" t="s">
        <v>2918</v>
      </c>
      <c r="B96" s="2540" t="s">
        <v>2854</v>
      </c>
      <c r="C96" s="2543">
        <v>79268328</v>
      </c>
      <c r="D96" s="2543">
        <v>77905283</v>
      </c>
      <c r="E96" s="2543">
        <v>79268328</v>
      </c>
      <c r="F96" s="2543">
        <v>77905283</v>
      </c>
      <c r="G96" s="2541">
        <v>75470645</v>
      </c>
      <c r="H96" s="2541">
        <v>75470645</v>
      </c>
      <c r="I96" s="2541">
        <v>79268328</v>
      </c>
      <c r="J96" s="2545">
        <v>77905283</v>
      </c>
      <c r="K96" s="2543">
        <v>79268328</v>
      </c>
      <c r="L96" s="2543">
        <v>77905283</v>
      </c>
    </row>
    <row r="97" spans="1:12">
      <c r="A97" s="114" t="s">
        <v>440</v>
      </c>
      <c r="B97" s="2540" t="s">
        <v>2855</v>
      </c>
      <c r="C97" s="2543">
        <v>542188665</v>
      </c>
      <c r="D97" s="2543">
        <v>523531446</v>
      </c>
      <c r="E97" s="2543">
        <v>529226770</v>
      </c>
      <c r="F97" s="2543">
        <v>510569551</v>
      </c>
      <c r="G97" s="2541">
        <v>452279946</v>
      </c>
      <c r="H97" s="2541">
        <v>440303409</v>
      </c>
      <c r="I97" s="2541">
        <v>542188665</v>
      </c>
      <c r="J97" s="2545">
        <v>523531446</v>
      </c>
      <c r="K97" s="2543">
        <v>529226770</v>
      </c>
      <c r="L97" s="2543">
        <v>510569551</v>
      </c>
    </row>
    <row r="98" spans="1:12">
      <c r="A98" s="114" t="s">
        <v>441</v>
      </c>
      <c r="B98" s="2540" t="s">
        <v>1786</v>
      </c>
      <c r="C98" s="2543">
        <v>88698795</v>
      </c>
      <c r="D98" s="2543">
        <v>87223570</v>
      </c>
      <c r="E98" s="2543">
        <v>88698795</v>
      </c>
      <c r="F98" s="2543">
        <v>87223570</v>
      </c>
      <c r="G98" s="2541">
        <v>78528667</v>
      </c>
      <c r="H98" s="2541">
        <v>78528667</v>
      </c>
      <c r="I98" s="2541">
        <v>88698795</v>
      </c>
      <c r="J98" s="2545">
        <v>87223570</v>
      </c>
      <c r="K98" s="2543">
        <v>88698795</v>
      </c>
      <c r="L98" s="2543">
        <v>87223570</v>
      </c>
    </row>
    <row r="99" spans="1:12">
      <c r="A99" s="114" t="s">
        <v>442</v>
      </c>
      <c r="B99" s="2540" t="s">
        <v>1787</v>
      </c>
      <c r="C99" s="2543">
        <v>8842296</v>
      </c>
      <c r="D99" s="2543">
        <v>8822296</v>
      </c>
      <c r="E99" s="2543">
        <v>8842296</v>
      </c>
      <c r="F99" s="2543">
        <v>8822296</v>
      </c>
      <c r="G99" s="2541">
        <v>7771441</v>
      </c>
      <c r="H99" s="2541">
        <v>7771441</v>
      </c>
      <c r="I99" s="2541">
        <v>8842296</v>
      </c>
      <c r="J99" s="2545">
        <v>8822296</v>
      </c>
      <c r="K99" s="2543">
        <v>8842296</v>
      </c>
      <c r="L99" s="2543">
        <v>8822296</v>
      </c>
    </row>
    <row r="100" spans="1:12">
      <c r="A100" s="114" t="s">
        <v>443</v>
      </c>
      <c r="B100" s="2540" t="s">
        <v>1788</v>
      </c>
      <c r="C100" s="2543">
        <v>335616277</v>
      </c>
      <c r="D100" s="2543">
        <v>333859437</v>
      </c>
      <c r="E100" s="2543">
        <v>335616277</v>
      </c>
      <c r="F100" s="2543">
        <v>333859437</v>
      </c>
      <c r="G100" s="2541">
        <v>172787004</v>
      </c>
      <c r="H100" s="2541">
        <v>172787004</v>
      </c>
      <c r="I100" s="2541">
        <v>440855447</v>
      </c>
      <c r="J100" s="2545">
        <v>439098607</v>
      </c>
      <c r="K100" s="2543">
        <v>440855447</v>
      </c>
      <c r="L100" s="2543">
        <v>439098607</v>
      </c>
    </row>
    <row r="101" spans="1:12">
      <c r="A101" s="114" t="s">
        <v>745</v>
      </c>
      <c r="B101" s="2540" t="s">
        <v>1789</v>
      </c>
      <c r="C101" s="2543">
        <v>473628576</v>
      </c>
      <c r="D101" s="2543">
        <v>464106282</v>
      </c>
      <c r="E101" s="2543">
        <v>473628576</v>
      </c>
      <c r="F101" s="2543">
        <v>464106282</v>
      </c>
      <c r="G101" s="2541">
        <v>689734930</v>
      </c>
      <c r="H101" s="2541">
        <v>689734930</v>
      </c>
      <c r="I101" s="2541">
        <v>473628576</v>
      </c>
      <c r="J101" s="2545">
        <v>464106282</v>
      </c>
      <c r="K101" s="2543">
        <v>473628576</v>
      </c>
      <c r="L101" s="2543">
        <v>464106282</v>
      </c>
    </row>
    <row r="102" spans="1:12">
      <c r="A102" s="114" t="s">
        <v>746</v>
      </c>
      <c r="B102" s="2540" t="s">
        <v>1790</v>
      </c>
      <c r="C102" s="2543">
        <v>330660965</v>
      </c>
      <c r="D102" s="2543">
        <v>316263798</v>
      </c>
      <c r="E102" s="2543">
        <v>330660965</v>
      </c>
      <c r="F102" s="2543">
        <v>316263798</v>
      </c>
      <c r="G102" s="2541">
        <v>310189396</v>
      </c>
      <c r="H102" s="2541">
        <v>310189396</v>
      </c>
      <c r="I102" s="2541">
        <v>330660965</v>
      </c>
      <c r="J102" s="2545">
        <v>316263798</v>
      </c>
      <c r="K102" s="2543">
        <v>330660965</v>
      </c>
      <c r="L102" s="2543">
        <v>316263798</v>
      </c>
    </row>
    <row r="103" spans="1:12">
      <c r="A103" s="114" t="s">
        <v>747</v>
      </c>
      <c r="B103" s="2540" t="s">
        <v>1791</v>
      </c>
      <c r="C103" s="2543">
        <v>1359709194</v>
      </c>
      <c r="D103" s="2543">
        <v>1321210233</v>
      </c>
      <c r="E103" s="2543">
        <v>1359709194</v>
      </c>
      <c r="F103" s="2543">
        <v>1321210233</v>
      </c>
      <c r="G103" s="2541">
        <v>1287650693</v>
      </c>
      <c r="H103" s="2541">
        <v>1287650693</v>
      </c>
      <c r="I103" s="2541">
        <v>1359709194</v>
      </c>
      <c r="J103" s="2545">
        <v>1321210233</v>
      </c>
      <c r="K103" s="2543">
        <v>1359709194</v>
      </c>
      <c r="L103" s="2543">
        <v>1321210233</v>
      </c>
    </row>
    <row r="104" spans="1:12">
      <c r="A104" s="114" t="s">
        <v>988</v>
      </c>
      <c r="B104" s="2540" t="s">
        <v>1519</v>
      </c>
      <c r="C104" s="2543">
        <v>60938499</v>
      </c>
      <c r="D104" s="2543">
        <v>58132685</v>
      </c>
      <c r="E104" s="2543">
        <v>60938499</v>
      </c>
      <c r="F104" s="2543">
        <v>58132685</v>
      </c>
      <c r="G104" s="2541">
        <v>42860076</v>
      </c>
      <c r="H104" s="2541">
        <v>42860076</v>
      </c>
      <c r="I104" s="2541">
        <v>124373109</v>
      </c>
      <c r="J104" s="2545">
        <v>121567295</v>
      </c>
      <c r="K104" s="2543">
        <v>124373109</v>
      </c>
      <c r="L104" s="2543">
        <v>121567295</v>
      </c>
    </row>
    <row r="105" spans="1:12">
      <c r="A105" s="114" t="s">
        <v>2893</v>
      </c>
      <c r="B105" s="2540" t="s">
        <v>2362</v>
      </c>
      <c r="C105" s="2543">
        <v>165779668</v>
      </c>
      <c r="D105" s="2543">
        <v>160583627</v>
      </c>
      <c r="E105" s="2543">
        <v>165779668</v>
      </c>
      <c r="F105" s="2543">
        <v>160583627</v>
      </c>
      <c r="G105" s="2541">
        <v>158165442</v>
      </c>
      <c r="H105" s="2541">
        <v>158165442</v>
      </c>
      <c r="I105" s="2541">
        <v>165779668</v>
      </c>
      <c r="J105" s="2545">
        <v>160583627</v>
      </c>
      <c r="K105" s="2543">
        <v>165779668</v>
      </c>
      <c r="L105" s="2543">
        <v>160583627</v>
      </c>
    </row>
    <row r="106" spans="1:12">
      <c r="A106" s="114" t="s">
        <v>1354</v>
      </c>
      <c r="B106" s="2540" t="s">
        <v>3074</v>
      </c>
      <c r="C106" s="2543">
        <v>50247327</v>
      </c>
      <c r="D106" s="2543">
        <v>48291097</v>
      </c>
      <c r="E106" s="2543">
        <v>50247327</v>
      </c>
      <c r="F106" s="2543">
        <v>48291097</v>
      </c>
      <c r="G106" s="2541">
        <v>43940622</v>
      </c>
      <c r="H106" s="2541">
        <v>43940622</v>
      </c>
      <c r="I106" s="2541">
        <v>50247327</v>
      </c>
      <c r="J106" s="2545">
        <v>48291097</v>
      </c>
      <c r="K106" s="2543">
        <v>50247327</v>
      </c>
      <c r="L106" s="2543">
        <v>48291097</v>
      </c>
    </row>
    <row r="107" spans="1:12">
      <c r="A107" s="114" t="s">
        <v>810</v>
      </c>
      <c r="B107" s="2540" t="s">
        <v>2770</v>
      </c>
      <c r="C107" s="2543">
        <v>100865955</v>
      </c>
      <c r="D107" s="2543">
        <v>98623933</v>
      </c>
      <c r="E107" s="2543">
        <v>100865955</v>
      </c>
      <c r="F107" s="2543">
        <v>98623933</v>
      </c>
      <c r="G107" s="2541">
        <v>79008674</v>
      </c>
      <c r="H107" s="2541">
        <v>79008674</v>
      </c>
      <c r="I107" s="2541">
        <v>100865955</v>
      </c>
      <c r="J107" s="2545">
        <v>98623933</v>
      </c>
      <c r="K107" s="2543">
        <v>100865955</v>
      </c>
      <c r="L107" s="2543">
        <v>98623933</v>
      </c>
    </row>
    <row r="108" spans="1:12">
      <c r="A108" s="114" t="s">
        <v>872</v>
      </c>
      <c r="B108" s="2540" t="s">
        <v>1214</v>
      </c>
      <c r="C108" s="2543">
        <v>292457959</v>
      </c>
      <c r="D108" s="2543">
        <v>279983556</v>
      </c>
      <c r="E108" s="2543">
        <v>292457959</v>
      </c>
      <c r="F108" s="2543">
        <v>279983556</v>
      </c>
      <c r="G108" s="2541">
        <v>271182203</v>
      </c>
      <c r="H108" s="2541">
        <v>271182203</v>
      </c>
      <c r="I108" s="2541">
        <v>292457959</v>
      </c>
      <c r="J108" s="2545">
        <v>279983556</v>
      </c>
      <c r="K108" s="2543">
        <v>292457959</v>
      </c>
      <c r="L108" s="2543">
        <v>279983556</v>
      </c>
    </row>
    <row r="109" spans="1:12">
      <c r="A109" s="114" t="s">
        <v>748</v>
      </c>
      <c r="B109" s="2540" t="s">
        <v>1792</v>
      </c>
      <c r="C109" s="2543">
        <v>827774501</v>
      </c>
      <c r="D109" s="2543">
        <v>806731055</v>
      </c>
      <c r="E109" s="2543">
        <v>827774501</v>
      </c>
      <c r="F109" s="2543">
        <v>806731055</v>
      </c>
      <c r="G109" s="2541">
        <v>963743067</v>
      </c>
      <c r="H109" s="2541">
        <v>963743067</v>
      </c>
      <c r="I109" s="2541">
        <v>827774501</v>
      </c>
      <c r="J109" s="2545">
        <v>806731055</v>
      </c>
      <c r="K109" s="2543">
        <v>827774501</v>
      </c>
      <c r="L109" s="2543">
        <v>806731055</v>
      </c>
    </row>
    <row r="110" spans="1:12">
      <c r="A110" s="114" t="s">
        <v>749</v>
      </c>
      <c r="B110" s="2540" t="s">
        <v>1793</v>
      </c>
      <c r="C110" s="2543">
        <v>275727648</v>
      </c>
      <c r="D110" s="2543">
        <v>267108716</v>
      </c>
      <c r="E110" s="2543">
        <v>275727648</v>
      </c>
      <c r="F110" s="2543">
        <v>267108716</v>
      </c>
      <c r="G110" s="2541">
        <v>216008141</v>
      </c>
      <c r="H110" s="2541">
        <v>216008141</v>
      </c>
      <c r="I110" s="2541">
        <v>275727648</v>
      </c>
      <c r="J110" s="2545">
        <v>267108716</v>
      </c>
      <c r="K110" s="2543">
        <v>275727648</v>
      </c>
      <c r="L110" s="2543">
        <v>267108716</v>
      </c>
    </row>
    <row r="111" spans="1:12">
      <c r="A111" s="114" t="s">
        <v>750</v>
      </c>
      <c r="B111" s="2540" t="s">
        <v>1794</v>
      </c>
      <c r="C111" s="2543">
        <v>225808327</v>
      </c>
      <c r="D111" s="2543">
        <v>220727547</v>
      </c>
      <c r="E111" s="2543">
        <v>225808327</v>
      </c>
      <c r="F111" s="2543">
        <v>220727547</v>
      </c>
      <c r="G111" s="2541">
        <v>150952565</v>
      </c>
      <c r="H111" s="2541">
        <v>150952565</v>
      </c>
      <c r="I111" s="2541">
        <v>225808327</v>
      </c>
      <c r="J111" s="2545">
        <v>220727547</v>
      </c>
      <c r="K111" s="2543">
        <v>225808327</v>
      </c>
      <c r="L111" s="2543">
        <v>220727547</v>
      </c>
    </row>
    <row r="112" spans="1:12">
      <c r="A112" s="114" t="s">
        <v>2154</v>
      </c>
      <c r="B112" s="2540" t="s">
        <v>154</v>
      </c>
      <c r="C112" s="2543">
        <v>2032237881</v>
      </c>
      <c r="D112" s="2543">
        <v>1976552112</v>
      </c>
      <c r="E112" s="2543">
        <v>2032237881</v>
      </c>
      <c r="F112" s="2543">
        <v>1976552112</v>
      </c>
      <c r="G112" s="2541">
        <v>1875486276</v>
      </c>
      <c r="H112" s="2541">
        <v>1875486276</v>
      </c>
      <c r="I112" s="2541">
        <v>2032237881</v>
      </c>
      <c r="J112" s="2545">
        <v>1976552112</v>
      </c>
      <c r="K112" s="2543">
        <v>2032237881</v>
      </c>
      <c r="L112" s="2543">
        <v>1976552112</v>
      </c>
    </row>
    <row r="113" spans="1:12">
      <c r="A113" s="114" t="s">
        <v>380</v>
      </c>
      <c r="B113" s="2540" t="s">
        <v>322</v>
      </c>
      <c r="C113" s="2543">
        <v>3326227062</v>
      </c>
      <c r="D113" s="2543">
        <v>3270092355</v>
      </c>
      <c r="E113" s="2543">
        <v>3326227062</v>
      </c>
      <c r="F113" s="2543">
        <v>3270092355</v>
      </c>
      <c r="G113" s="2541">
        <v>3136611060</v>
      </c>
      <c r="H113" s="2541">
        <v>3136611060</v>
      </c>
      <c r="I113" s="2541">
        <v>3326227062</v>
      </c>
      <c r="J113" s="2545">
        <v>3270092355</v>
      </c>
      <c r="K113" s="2543">
        <v>3326227062</v>
      </c>
      <c r="L113" s="2543">
        <v>3270092355</v>
      </c>
    </row>
    <row r="114" spans="1:12">
      <c r="A114" s="114" t="s">
        <v>497</v>
      </c>
      <c r="B114" s="2540" t="s">
        <v>2546</v>
      </c>
      <c r="C114" s="2543">
        <v>1138467015</v>
      </c>
      <c r="D114" s="2543">
        <v>1097065526</v>
      </c>
      <c r="E114" s="2543">
        <v>1138467015</v>
      </c>
      <c r="F114" s="2543">
        <v>1097065526</v>
      </c>
      <c r="G114" s="2541">
        <v>1068661656</v>
      </c>
      <c r="H114" s="2541">
        <v>1068661656</v>
      </c>
      <c r="I114" s="2541">
        <v>1138467015</v>
      </c>
      <c r="J114" s="2545">
        <v>1097065526</v>
      </c>
      <c r="K114" s="2543">
        <v>1138467015</v>
      </c>
      <c r="L114" s="2543">
        <v>1097065526</v>
      </c>
    </row>
    <row r="115" spans="1:12">
      <c r="A115" s="114" t="s">
        <v>1318</v>
      </c>
      <c r="B115" s="2540" t="s">
        <v>948</v>
      </c>
      <c r="C115" s="2543">
        <v>415800259</v>
      </c>
      <c r="D115" s="2543">
        <v>403869409</v>
      </c>
      <c r="E115" s="2543">
        <v>415800259</v>
      </c>
      <c r="F115" s="2543">
        <v>403869409</v>
      </c>
      <c r="G115" s="2541">
        <v>511471885</v>
      </c>
      <c r="H115" s="2541">
        <v>511471885</v>
      </c>
      <c r="I115" s="2541">
        <v>415800259</v>
      </c>
      <c r="J115" s="2545">
        <v>403869409</v>
      </c>
      <c r="K115" s="2543">
        <v>415800259</v>
      </c>
      <c r="L115" s="2543">
        <v>403869409</v>
      </c>
    </row>
    <row r="116" spans="1:12">
      <c r="A116" s="114" t="s">
        <v>2631</v>
      </c>
      <c r="B116" s="2540" t="s">
        <v>1795</v>
      </c>
      <c r="C116" s="2543">
        <v>145701996</v>
      </c>
      <c r="D116" s="2543">
        <v>143721123</v>
      </c>
      <c r="E116" s="2543">
        <v>145701996</v>
      </c>
      <c r="F116" s="2543">
        <v>143721123</v>
      </c>
      <c r="G116" s="2541">
        <v>176941242</v>
      </c>
      <c r="H116" s="2541">
        <v>176941242</v>
      </c>
      <c r="I116" s="2541">
        <v>145701996</v>
      </c>
      <c r="J116" s="2545">
        <v>143721123</v>
      </c>
      <c r="K116" s="2543">
        <v>145701996</v>
      </c>
      <c r="L116" s="2543">
        <v>143721123</v>
      </c>
    </row>
    <row r="117" spans="1:12">
      <c r="A117" s="114" t="s">
        <v>1535</v>
      </c>
      <c r="B117" s="2540" t="s">
        <v>1177</v>
      </c>
      <c r="C117" s="2543">
        <v>3423246322</v>
      </c>
      <c r="D117" s="2543">
        <v>3380889683</v>
      </c>
      <c r="E117" s="2543">
        <v>3370682445</v>
      </c>
      <c r="F117" s="2543">
        <v>3328325806</v>
      </c>
      <c r="G117" s="2541">
        <v>3818534363</v>
      </c>
      <c r="H117" s="2541">
        <v>3765989680</v>
      </c>
      <c r="I117" s="2541">
        <v>3481513122</v>
      </c>
      <c r="J117" s="2545">
        <v>3439156483</v>
      </c>
      <c r="K117" s="2543">
        <v>3428949245</v>
      </c>
      <c r="L117" s="2543">
        <v>3386592606</v>
      </c>
    </row>
    <row r="118" spans="1:12">
      <c r="A118" s="114" t="s">
        <v>2671</v>
      </c>
      <c r="B118" s="2540" t="s">
        <v>1797</v>
      </c>
      <c r="C118" s="2543">
        <v>129500489</v>
      </c>
      <c r="D118" s="2543">
        <v>123028719</v>
      </c>
      <c r="E118" s="2543">
        <v>129500489</v>
      </c>
      <c r="F118" s="2543">
        <v>123028719</v>
      </c>
      <c r="G118" s="2541">
        <v>133801342</v>
      </c>
      <c r="H118" s="2541">
        <v>133801342</v>
      </c>
      <c r="I118" s="2541">
        <v>129500489</v>
      </c>
      <c r="J118" s="2545">
        <v>123028719</v>
      </c>
      <c r="K118" s="2543">
        <v>129500489</v>
      </c>
      <c r="L118" s="2543">
        <v>123028719</v>
      </c>
    </row>
    <row r="119" spans="1:12">
      <c r="A119" s="114" t="s">
        <v>811</v>
      </c>
      <c r="B119" s="2540" t="s">
        <v>38</v>
      </c>
      <c r="C119" s="2543">
        <v>526621882</v>
      </c>
      <c r="D119" s="2543">
        <v>507931675</v>
      </c>
      <c r="E119" s="2543">
        <v>526621882</v>
      </c>
      <c r="F119" s="2543">
        <v>507931675</v>
      </c>
      <c r="G119" s="2541">
        <v>318389869</v>
      </c>
      <c r="H119" s="2541">
        <v>318389869</v>
      </c>
      <c r="I119" s="2541">
        <v>526621882</v>
      </c>
      <c r="J119" s="2545">
        <v>507931675</v>
      </c>
      <c r="K119" s="2543">
        <v>526621882</v>
      </c>
      <c r="L119" s="2543">
        <v>507931675</v>
      </c>
    </row>
    <row r="120" spans="1:12">
      <c r="A120" s="114" t="s">
        <v>171</v>
      </c>
      <c r="B120" s="2540" t="s">
        <v>1798</v>
      </c>
      <c r="C120" s="2543">
        <v>184452300</v>
      </c>
      <c r="D120" s="2543">
        <v>178870880</v>
      </c>
      <c r="E120" s="2543">
        <v>184452300</v>
      </c>
      <c r="F120" s="2543">
        <v>178870880</v>
      </c>
      <c r="G120" s="2541">
        <v>162121316</v>
      </c>
      <c r="H120" s="2541">
        <v>162121316</v>
      </c>
      <c r="I120" s="2541">
        <v>184452300</v>
      </c>
      <c r="J120" s="2545">
        <v>178870880</v>
      </c>
      <c r="K120" s="2543">
        <v>184452300</v>
      </c>
      <c r="L120" s="2543">
        <v>178870880</v>
      </c>
    </row>
    <row r="121" spans="1:12">
      <c r="A121" s="114" t="s">
        <v>2090</v>
      </c>
      <c r="B121" s="2540" t="s">
        <v>1799</v>
      </c>
      <c r="C121" s="2543">
        <v>239670310</v>
      </c>
      <c r="D121" s="2543">
        <v>233810742</v>
      </c>
      <c r="E121" s="2543">
        <v>239670310</v>
      </c>
      <c r="F121" s="2543">
        <v>233810742</v>
      </c>
      <c r="G121" s="2541">
        <v>225629446</v>
      </c>
      <c r="H121" s="2541">
        <v>225629446</v>
      </c>
      <c r="I121" s="2541">
        <v>239670310</v>
      </c>
      <c r="J121" s="2545">
        <v>233810742</v>
      </c>
      <c r="K121" s="2543">
        <v>239670310</v>
      </c>
      <c r="L121" s="2543">
        <v>233810742</v>
      </c>
    </row>
    <row r="122" spans="1:12">
      <c r="A122" s="114" t="s">
        <v>993</v>
      </c>
      <c r="B122" s="2540" t="s">
        <v>3031</v>
      </c>
      <c r="C122" s="2543">
        <v>5654520678</v>
      </c>
      <c r="D122" s="2543">
        <v>5426008380</v>
      </c>
      <c r="E122" s="2543">
        <v>5654520678</v>
      </c>
      <c r="F122" s="2543">
        <v>5426008380</v>
      </c>
      <c r="G122" s="2541">
        <v>5425295447</v>
      </c>
      <c r="H122" s="2541">
        <v>5425295447</v>
      </c>
      <c r="I122" s="2541">
        <v>5654520678</v>
      </c>
      <c r="J122" s="2545">
        <v>5426008380</v>
      </c>
      <c r="K122" s="2543">
        <v>5654520678</v>
      </c>
      <c r="L122" s="2543">
        <v>5426008380</v>
      </c>
    </row>
    <row r="123" spans="1:12">
      <c r="A123" s="114" t="s">
        <v>2126</v>
      </c>
      <c r="B123" s="2540" t="s">
        <v>41</v>
      </c>
      <c r="C123" s="2543">
        <v>3453027302</v>
      </c>
      <c r="D123" s="2543">
        <v>3335826960</v>
      </c>
      <c r="E123" s="2543">
        <v>3453027302</v>
      </c>
      <c r="F123" s="2543">
        <v>3335826960</v>
      </c>
      <c r="G123" s="2541">
        <v>3382654546</v>
      </c>
      <c r="H123" s="2541">
        <v>3382654546</v>
      </c>
      <c r="I123" s="2541">
        <v>3453027302</v>
      </c>
      <c r="J123" s="2545">
        <v>3335826960</v>
      </c>
      <c r="K123" s="2543">
        <v>3453027302</v>
      </c>
      <c r="L123" s="2543">
        <v>3335826960</v>
      </c>
    </row>
    <row r="124" spans="1:12">
      <c r="A124" s="114" t="s">
        <v>64</v>
      </c>
      <c r="B124" s="2540" t="s">
        <v>2148</v>
      </c>
      <c r="C124" s="2543">
        <v>414452194</v>
      </c>
      <c r="D124" s="2543">
        <v>397180924</v>
      </c>
      <c r="E124" s="2543">
        <v>414452194</v>
      </c>
      <c r="F124" s="2543">
        <v>397180924</v>
      </c>
      <c r="G124" s="2541">
        <v>369876024</v>
      </c>
      <c r="H124" s="2541">
        <v>369876024</v>
      </c>
      <c r="I124" s="2541">
        <v>414452194</v>
      </c>
      <c r="J124" s="2545">
        <v>397180924</v>
      </c>
      <c r="K124" s="2543">
        <v>414452194</v>
      </c>
      <c r="L124" s="2543">
        <v>397180924</v>
      </c>
    </row>
    <row r="125" spans="1:12">
      <c r="A125" s="114" t="s">
        <v>2606</v>
      </c>
      <c r="B125" s="2540" t="s">
        <v>43</v>
      </c>
      <c r="C125" s="2543">
        <v>1676903439</v>
      </c>
      <c r="D125" s="2543">
        <v>1618476284</v>
      </c>
      <c r="E125" s="2543">
        <v>1676903439</v>
      </c>
      <c r="F125" s="2543">
        <v>1618476284</v>
      </c>
      <c r="G125" s="2541">
        <v>1489903439</v>
      </c>
      <c r="H125" s="2541">
        <v>1489903439</v>
      </c>
      <c r="I125" s="2541">
        <v>1946903439</v>
      </c>
      <c r="J125" s="2545">
        <v>1888476284</v>
      </c>
      <c r="K125" s="2543">
        <v>1946903439</v>
      </c>
      <c r="L125" s="2543">
        <v>1888476284</v>
      </c>
    </row>
    <row r="126" spans="1:12">
      <c r="A126" s="114" t="s">
        <v>1892</v>
      </c>
      <c r="B126" s="2540" t="s">
        <v>1800</v>
      </c>
      <c r="C126" s="2543">
        <v>3537378253</v>
      </c>
      <c r="D126" s="2543">
        <v>3514802734</v>
      </c>
      <c r="E126" s="2543">
        <v>3537378253</v>
      </c>
      <c r="F126" s="2543">
        <v>3514802734</v>
      </c>
      <c r="G126" s="2541">
        <v>3676638050</v>
      </c>
      <c r="H126" s="2541">
        <v>3676638050</v>
      </c>
      <c r="I126" s="2541">
        <v>3537378253</v>
      </c>
      <c r="J126" s="2545">
        <v>3514802734</v>
      </c>
      <c r="K126" s="2543">
        <v>3537378253</v>
      </c>
      <c r="L126" s="2543">
        <v>3514802734</v>
      </c>
    </row>
    <row r="127" spans="1:12">
      <c r="A127" s="114" t="s">
        <v>812</v>
      </c>
      <c r="B127" s="2540" t="s">
        <v>3093</v>
      </c>
      <c r="C127" s="2543">
        <v>274447961</v>
      </c>
      <c r="D127" s="2543">
        <v>262956958</v>
      </c>
      <c r="E127" s="2543">
        <v>274447961</v>
      </c>
      <c r="F127" s="2543">
        <v>262956958</v>
      </c>
      <c r="G127" s="2541">
        <v>249728568</v>
      </c>
      <c r="H127" s="2541">
        <v>249728568</v>
      </c>
      <c r="I127" s="2541">
        <v>312862751</v>
      </c>
      <c r="J127" s="2545">
        <v>301371748</v>
      </c>
      <c r="K127" s="2543">
        <v>312862751</v>
      </c>
      <c r="L127" s="2543">
        <v>301371748</v>
      </c>
    </row>
    <row r="128" spans="1:12">
      <c r="A128" s="114" t="s">
        <v>1490</v>
      </c>
      <c r="B128" s="2540" t="s">
        <v>46</v>
      </c>
      <c r="C128" s="2543">
        <v>990617346</v>
      </c>
      <c r="D128" s="2543">
        <v>942118601</v>
      </c>
      <c r="E128" s="2543">
        <v>990617346</v>
      </c>
      <c r="F128" s="2543">
        <v>942118601</v>
      </c>
      <c r="G128" s="2541">
        <v>872018310</v>
      </c>
      <c r="H128" s="2541">
        <v>872018310</v>
      </c>
      <c r="I128" s="2541">
        <v>990617346</v>
      </c>
      <c r="J128" s="2545">
        <v>942118601</v>
      </c>
      <c r="K128" s="2543">
        <v>990617346</v>
      </c>
      <c r="L128" s="2543">
        <v>942118601</v>
      </c>
    </row>
    <row r="129" spans="1:12">
      <c r="A129" s="114" t="s">
        <v>813</v>
      </c>
      <c r="B129" s="2540" t="s">
        <v>99</v>
      </c>
      <c r="C129" s="2543">
        <v>53413337</v>
      </c>
      <c r="D129" s="2543">
        <v>51337537</v>
      </c>
      <c r="E129" s="2543">
        <v>53413337</v>
      </c>
      <c r="F129" s="2543">
        <v>51337537</v>
      </c>
      <c r="G129" s="2541">
        <v>41221901</v>
      </c>
      <c r="H129" s="2541">
        <v>41221901</v>
      </c>
      <c r="I129" s="2541">
        <v>53413337</v>
      </c>
      <c r="J129" s="2545">
        <v>51337537</v>
      </c>
      <c r="K129" s="2543">
        <v>53413337</v>
      </c>
      <c r="L129" s="2543">
        <v>51337537</v>
      </c>
    </row>
    <row r="130" spans="1:12">
      <c r="A130" s="114" t="s">
        <v>534</v>
      </c>
      <c r="B130" s="2540" t="s">
        <v>100</v>
      </c>
      <c r="C130" s="2543">
        <v>85676859</v>
      </c>
      <c r="D130" s="2543">
        <v>80114515</v>
      </c>
      <c r="E130" s="2543">
        <v>85676859</v>
      </c>
      <c r="F130" s="2543">
        <v>80114515</v>
      </c>
      <c r="G130" s="2541">
        <v>74240107</v>
      </c>
      <c r="H130" s="2541">
        <v>74240107</v>
      </c>
      <c r="I130" s="2541">
        <v>85676859</v>
      </c>
      <c r="J130" s="2545">
        <v>80114515</v>
      </c>
      <c r="K130" s="2543">
        <v>85676859</v>
      </c>
      <c r="L130" s="2543">
        <v>80114515</v>
      </c>
    </row>
    <row r="131" spans="1:12">
      <c r="A131" s="114" t="s">
        <v>1050</v>
      </c>
      <c r="B131" s="2540" t="s">
        <v>1801</v>
      </c>
      <c r="C131" s="2543">
        <v>712724767</v>
      </c>
      <c r="D131" s="2543">
        <v>687638704</v>
      </c>
      <c r="E131" s="2543">
        <v>712724767</v>
      </c>
      <c r="F131" s="2543">
        <v>687638704</v>
      </c>
      <c r="G131" s="2541">
        <v>735329224</v>
      </c>
      <c r="H131" s="2541">
        <v>735329224</v>
      </c>
      <c r="I131" s="2541">
        <v>712724767</v>
      </c>
      <c r="J131" s="2545">
        <v>687638704</v>
      </c>
      <c r="K131" s="2543">
        <v>712724767</v>
      </c>
      <c r="L131" s="2543">
        <v>687638704</v>
      </c>
    </row>
    <row r="132" spans="1:12">
      <c r="A132" s="114" t="s">
        <v>1051</v>
      </c>
      <c r="B132" s="2540" t="s">
        <v>1802</v>
      </c>
      <c r="C132" s="2543">
        <v>128914354</v>
      </c>
      <c r="D132" s="2543">
        <v>126912276</v>
      </c>
      <c r="E132" s="2543">
        <v>128914354</v>
      </c>
      <c r="F132" s="2543">
        <v>126912276</v>
      </c>
      <c r="G132" s="2541">
        <v>89558463</v>
      </c>
      <c r="H132" s="2541">
        <v>89558463</v>
      </c>
      <c r="I132" s="2541">
        <v>357349144</v>
      </c>
      <c r="J132" s="2545">
        <v>355347066</v>
      </c>
      <c r="K132" s="2543">
        <v>357349144</v>
      </c>
      <c r="L132" s="2543">
        <v>355347066</v>
      </c>
    </row>
    <row r="133" spans="1:12">
      <c r="A133" s="114" t="s">
        <v>879</v>
      </c>
      <c r="B133" s="2540" t="s">
        <v>2484</v>
      </c>
      <c r="C133" s="2543">
        <v>443480597</v>
      </c>
      <c r="D133" s="2543">
        <v>434923167</v>
      </c>
      <c r="E133" s="2543">
        <v>433862267</v>
      </c>
      <c r="F133" s="2543">
        <v>425304837</v>
      </c>
      <c r="G133" s="2541">
        <v>568595701</v>
      </c>
      <c r="H133" s="2541">
        <v>558830210</v>
      </c>
      <c r="I133" s="2541">
        <v>874762257</v>
      </c>
      <c r="J133" s="2545">
        <v>866204827</v>
      </c>
      <c r="K133" s="2543">
        <v>865143927</v>
      </c>
      <c r="L133" s="2543">
        <v>856586497</v>
      </c>
    </row>
    <row r="134" spans="1:12">
      <c r="A134" s="114" t="s">
        <v>2050</v>
      </c>
      <c r="B134" s="2540" t="s">
        <v>2485</v>
      </c>
      <c r="C134" s="2543">
        <v>262953215</v>
      </c>
      <c r="D134" s="2543">
        <v>258901195</v>
      </c>
      <c r="E134" s="2543">
        <v>261372415</v>
      </c>
      <c r="F134" s="2543">
        <v>257320395</v>
      </c>
      <c r="G134" s="2541">
        <v>413057139</v>
      </c>
      <c r="H134" s="2541">
        <v>410215282</v>
      </c>
      <c r="I134" s="2541">
        <v>423503825</v>
      </c>
      <c r="J134" s="2545">
        <v>419451805</v>
      </c>
      <c r="K134" s="2543">
        <v>421923025</v>
      </c>
      <c r="L134" s="2543">
        <v>417871005</v>
      </c>
    </row>
    <row r="135" spans="1:12">
      <c r="A135" s="114" t="s">
        <v>1941</v>
      </c>
      <c r="B135" s="2540" t="s">
        <v>2486</v>
      </c>
      <c r="C135" s="2543">
        <v>544778768</v>
      </c>
      <c r="D135" s="2543">
        <v>519119251</v>
      </c>
      <c r="E135" s="2543">
        <v>544778768</v>
      </c>
      <c r="F135" s="2543">
        <v>519119251</v>
      </c>
      <c r="G135" s="2541">
        <v>543218347</v>
      </c>
      <c r="H135" s="2541">
        <v>543218347</v>
      </c>
      <c r="I135" s="2541">
        <v>544778768</v>
      </c>
      <c r="J135" s="2545">
        <v>519119251</v>
      </c>
      <c r="K135" s="2543">
        <v>544778768</v>
      </c>
      <c r="L135" s="2543">
        <v>519119251</v>
      </c>
    </row>
    <row r="136" spans="1:12">
      <c r="A136" s="114" t="s">
        <v>1942</v>
      </c>
      <c r="B136" s="2540" t="s">
        <v>2487</v>
      </c>
      <c r="C136" s="2543">
        <v>60874027</v>
      </c>
      <c r="D136" s="2543">
        <v>57593751</v>
      </c>
      <c r="E136" s="2543">
        <v>60874027</v>
      </c>
      <c r="F136" s="2543">
        <v>57593751</v>
      </c>
      <c r="G136" s="2541">
        <v>57398259</v>
      </c>
      <c r="H136" s="2541">
        <v>57398259</v>
      </c>
      <c r="I136" s="2541">
        <v>60874027</v>
      </c>
      <c r="J136" s="2545">
        <v>57593751</v>
      </c>
      <c r="K136" s="2543">
        <v>60874027</v>
      </c>
      <c r="L136" s="2543">
        <v>57593751</v>
      </c>
    </row>
    <row r="137" spans="1:12">
      <c r="A137" s="114" t="s">
        <v>842</v>
      </c>
      <c r="B137" s="2540" t="s">
        <v>2488</v>
      </c>
      <c r="C137" s="2543">
        <v>252497622</v>
      </c>
      <c r="D137" s="2543">
        <v>241360257</v>
      </c>
      <c r="E137" s="2543">
        <v>252497622</v>
      </c>
      <c r="F137" s="2543">
        <v>241360257</v>
      </c>
      <c r="G137" s="2541">
        <v>328942292</v>
      </c>
      <c r="H137" s="2541">
        <v>328942292</v>
      </c>
      <c r="I137" s="2541">
        <v>252497622</v>
      </c>
      <c r="J137" s="2545">
        <v>241360257</v>
      </c>
      <c r="K137" s="2543">
        <v>252497622</v>
      </c>
      <c r="L137" s="2543">
        <v>241360257</v>
      </c>
    </row>
    <row r="138" spans="1:12">
      <c r="A138" s="114" t="s">
        <v>843</v>
      </c>
      <c r="B138" s="2540" t="s">
        <v>1178</v>
      </c>
      <c r="C138" s="2543">
        <v>224681641</v>
      </c>
      <c r="D138" s="2543">
        <v>210923076</v>
      </c>
      <c r="E138" s="2543">
        <v>224681641</v>
      </c>
      <c r="F138" s="2543">
        <v>210923076</v>
      </c>
      <c r="G138" s="2541">
        <v>218452674</v>
      </c>
      <c r="H138" s="2541">
        <v>218452674</v>
      </c>
      <c r="I138" s="2541">
        <v>224681641</v>
      </c>
      <c r="J138" s="2545">
        <v>210923076</v>
      </c>
      <c r="K138" s="2543">
        <v>224681641</v>
      </c>
      <c r="L138" s="2543">
        <v>210923076</v>
      </c>
    </row>
    <row r="139" spans="1:12">
      <c r="A139" s="114" t="s">
        <v>2142</v>
      </c>
      <c r="B139" s="2540" t="s">
        <v>929</v>
      </c>
      <c r="C139" s="2543">
        <v>28879006</v>
      </c>
      <c r="D139" s="2543">
        <v>26990873</v>
      </c>
      <c r="E139" s="2543">
        <v>28879006</v>
      </c>
      <c r="F139" s="2543">
        <v>26990873</v>
      </c>
      <c r="G139" s="2541">
        <v>33088465</v>
      </c>
      <c r="H139" s="2541">
        <v>33088465</v>
      </c>
      <c r="I139" s="2541">
        <v>28879006</v>
      </c>
      <c r="J139" s="2545">
        <v>26990873</v>
      </c>
      <c r="K139" s="2543">
        <v>28879006</v>
      </c>
      <c r="L139" s="2543">
        <v>26990873</v>
      </c>
    </row>
    <row r="140" spans="1:12">
      <c r="A140" s="114" t="s">
        <v>844</v>
      </c>
      <c r="B140" s="2540" t="s">
        <v>1921</v>
      </c>
      <c r="C140" s="2543">
        <v>459344645</v>
      </c>
      <c r="D140" s="2543">
        <v>447191758</v>
      </c>
      <c r="E140" s="2543">
        <v>448473546</v>
      </c>
      <c r="F140" s="2543">
        <v>436320659</v>
      </c>
      <c r="G140" s="2541">
        <v>423282997</v>
      </c>
      <c r="H140" s="2541">
        <v>412342431</v>
      </c>
      <c r="I140" s="2541">
        <v>459344645</v>
      </c>
      <c r="J140" s="2545">
        <v>447191758</v>
      </c>
      <c r="K140" s="2543">
        <v>448473546</v>
      </c>
      <c r="L140" s="2543">
        <v>436320659</v>
      </c>
    </row>
    <row r="141" spans="1:12">
      <c r="A141" s="114" t="s">
        <v>2226</v>
      </c>
      <c r="B141" s="2540" t="s">
        <v>1923</v>
      </c>
      <c r="C141" s="2543">
        <v>42016565</v>
      </c>
      <c r="D141" s="2543">
        <v>39078778</v>
      </c>
      <c r="E141" s="2543">
        <v>42016565</v>
      </c>
      <c r="F141" s="2543">
        <v>39078778</v>
      </c>
      <c r="G141" s="2541">
        <v>37238737</v>
      </c>
      <c r="H141" s="2541">
        <v>37238737</v>
      </c>
      <c r="I141" s="2541">
        <v>42016565</v>
      </c>
      <c r="J141" s="2545">
        <v>39078778</v>
      </c>
      <c r="K141" s="2543">
        <v>42016565</v>
      </c>
      <c r="L141" s="2543">
        <v>39078778</v>
      </c>
    </row>
    <row r="142" spans="1:12">
      <c r="A142" s="114" t="s">
        <v>2227</v>
      </c>
      <c r="B142" s="2540" t="s">
        <v>1924</v>
      </c>
      <c r="C142" s="2543">
        <v>253204562</v>
      </c>
      <c r="D142" s="2543">
        <v>245624812</v>
      </c>
      <c r="E142" s="2543">
        <v>253204562</v>
      </c>
      <c r="F142" s="2543">
        <v>245624812</v>
      </c>
      <c r="G142" s="2541">
        <v>264750432</v>
      </c>
      <c r="H142" s="2541">
        <v>264750432</v>
      </c>
      <c r="I142" s="2541">
        <v>568011982</v>
      </c>
      <c r="J142" s="2545">
        <v>560432232</v>
      </c>
      <c r="K142" s="2543">
        <v>568011982</v>
      </c>
      <c r="L142" s="2543">
        <v>560432232</v>
      </c>
    </row>
    <row r="143" spans="1:12">
      <c r="A143" s="114" t="s">
        <v>2788</v>
      </c>
      <c r="B143" s="2540" t="s">
        <v>1925</v>
      </c>
      <c r="C143" s="2543">
        <v>79996962</v>
      </c>
      <c r="D143" s="2543">
        <v>78283942</v>
      </c>
      <c r="E143" s="2543">
        <v>79996962</v>
      </c>
      <c r="F143" s="2543">
        <v>78283942</v>
      </c>
      <c r="G143" s="2541">
        <v>86530533</v>
      </c>
      <c r="H143" s="2541">
        <v>86530533</v>
      </c>
      <c r="I143" s="2541">
        <v>79996962</v>
      </c>
      <c r="J143" s="2545">
        <v>78283942</v>
      </c>
      <c r="K143" s="2543">
        <v>79996962</v>
      </c>
      <c r="L143" s="2543">
        <v>78283942</v>
      </c>
    </row>
    <row r="144" spans="1:12">
      <c r="A144" s="114" t="s">
        <v>2904</v>
      </c>
      <c r="B144" s="2540" t="s">
        <v>425</v>
      </c>
      <c r="C144" s="2543">
        <v>56912652</v>
      </c>
      <c r="D144" s="2543">
        <v>55154702</v>
      </c>
      <c r="E144" s="2543">
        <v>56912652</v>
      </c>
      <c r="F144" s="2543">
        <v>55154702</v>
      </c>
      <c r="G144" s="2541">
        <v>74380050</v>
      </c>
      <c r="H144" s="2541">
        <v>74380050</v>
      </c>
      <c r="I144" s="2541">
        <v>56912652</v>
      </c>
      <c r="J144" s="2545">
        <v>55154702</v>
      </c>
      <c r="K144" s="2543">
        <v>56912652</v>
      </c>
      <c r="L144" s="2543">
        <v>55154702</v>
      </c>
    </row>
    <row r="145" spans="1:12">
      <c r="A145" s="114" t="s">
        <v>1840</v>
      </c>
      <c r="B145" s="2540" t="s">
        <v>1205</v>
      </c>
      <c r="C145" s="2543">
        <v>520190528</v>
      </c>
      <c r="D145" s="2543">
        <v>503537038</v>
      </c>
      <c r="E145" s="2543">
        <v>500927363</v>
      </c>
      <c r="F145" s="2543">
        <v>484273873</v>
      </c>
      <c r="G145" s="2541">
        <v>712354746</v>
      </c>
      <c r="H145" s="2541">
        <v>692694535</v>
      </c>
      <c r="I145" s="2541">
        <v>520190528</v>
      </c>
      <c r="J145" s="2545">
        <v>503537038</v>
      </c>
      <c r="K145" s="2543">
        <v>500927363</v>
      </c>
      <c r="L145" s="2543">
        <v>484273873</v>
      </c>
    </row>
    <row r="146" spans="1:12">
      <c r="A146" s="114" t="s">
        <v>2789</v>
      </c>
      <c r="B146" s="2540" t="s">
        <v>1926</v>
      </c>
      <c r="C146" s="2543">
        <v>4507904708</v>
      </c>
      <c r="D146" s="2543">
        <v>4458617738</v>
      </c>
      <c r="E146" s="2543">
        <v>4400984288</v>
      </c>
      <c r="F146" s="2543">
        <v>4351697318</v>
      </c>
      <c r="G146" s="2541">
        <v>4884458332</v>
      </c>
      <c r="H146" s="2541">
        <v>4785344077</v>
      </c>
      <c r="I146" s="2541">
        <v>7447878944</v>
      </c>
      <c r="J146" s="2545">
        <v>7398591974</v>
      </c>
      <c r="K146" s="2543">
        <v>7340958524</v>
      </c>
      <c r="L146" s="2543">
        <v>7291671554</v>
      </c>
    </row>
    <row r="147" spans="1:12">
      <c r="A147" s="114" t="s">
        <v>316</v>
      </c>
      <c r="B147" s="2540" t="s">
        <v>2716</v>
      </c>
      <c r="C147" s="2543">
        <v>309134101</v>
      </c>
      <c r="D147" s="2543">
        <v>297003711</v>
      </c>
      <c r="E147" s="2543">
        <v>294763456</v>
      </c>
      <c r="F147" s="2543">
        <v>282633066</v>
      </c>
      <c r="G147" s="2541">
        <v>277968993</v>
      </c>
      <c r="H147" s="2541">
        <v>263112864</v>
      </c>
      <c r="I147" s="2541">
        <v>309134101</v>
      </c>
      <c r="J147" s="2545">
        <v>297003711</v>
      </c>
      <c r="K147" s="2543">
        <v>294763456</v>
      </c>
      <c r="L147" s="2543">
        <v>282633066</v>
      </c>
    </row>
    <row r="148" spans="1:12">
      <c r="A148" s="114" t="s">
        <v>1658</v>
      </c>
      <c r="B148" s="2540" t="s">
        <v>1691</v>
      </c>
      <c r="C148" s="2543">
        <v>134294282</v>
      </c>
      <c r="D148" s="2543">
        <v>128865725</v>
      </c>
      <c r="E148" s="2543">
        <v>134294282</v>
      </c>
      <c r="F148" s="2543">
        <v>128865725</v>
      </c>
      <c r="G148" s="2541">
        <v>123398913</v>
      </c>
      <c r="H148" s="2541">
        <v>123398913</v>
      </c>
      <c r="I148" s="2541">
        <v>134294282</v>
      </c>
      <c r="J148" s="2545">
        <v>128865725</v>
      </c>
      <c r="K148" s="2543">
        <v>134294282</v>
      </c>
      <c r="L148" s="2543">
        <v>128865725</v>
      </c>
    </row>
    <row r="149" spans="1:12">
      <c r="A149" s="114" t="s">
        <v>50</v>
      </c>
      <c r="B149" s="2540" t="s">
        <v>445</v>
      </c>
      <c r="C149" s="2543">
        <v>1042256799</v>
      </c>
      <c r="D149" s="2543">
        <v>998981924</v>
      </c>
      <c r="E149" s="2543">
        <v>1042256799</v>
      </c>
      <c r="F149" s="2543">
        <v>998981924</v>
      </c>
      <c r="G149" s="2541">
        <v>981158195</v>
      </c>
      <c r="H149" s="2541">
        <v>981158195</v>
      </c>
      <c r="I149" s="2541">
        <v>1042256799</v>
      </c>
      <c r="J149" s="2545">
        <v>998981924</v>
      </c>
      <c r="K149" s="2543">
        <v>1042256799</v>
      </c>
      <c r="L149" s="2543">
        <v>998981924</v>
      </c>
    </row>
    <row r="150" spans="1:12">
      <c r="A150" s="114" t="s">
        <v>1486</v>
      </c>
      <c r="B150" s="2540" t="s">
        <v>669</v>
      </c>
      <c r="C150" s="2543">
        <v>385990836</v>
      </c>
      <c r="D150" s="2543">
        <v>366879329</v>
      </c>
      <c r="E150" s="2543">
        <v>385990836</v>
      </c>
      <c r="F150" s="2543">
        <v>366879329</v>
      </c>
      <c r="G150" s="2541">
        <v>359096839</v>
      </c>
      <c r="H150" s="2541">
        <v>359096839</v>
      </c>
      <c r="I150" s="2541">
        <v>385990836</v>
      </c>
      <c r="J150" s="2545">
        <v>366879329</v>
      </c>
      <c r="K150" s="2543">
        <v>385990836</v>
      </c>
      <c r="L150" s="2543">
        <v>366879329</v>
      </c>
    </row>
    <row r="151" spans="1:12">
      <c r="A151" s="114" t="s">
        <v>2907</v>
      </c>
      <c r="B151" s="2540" t="s">
        <v>1306</v>
      </c>
      <c r="C151" s="2543">
        <v>66710155</v>
      </c>
      <c r="D151" s="2543">
        <v>64400485</v>
      </c>
      <c r="E151" s="2543">
        <v>66710155</v>
      </c>
      <c r="F151" s="2543">
        <v>64400485</v>
      </c>
      <c r="G151" s="2541">
        <v>59690901</v>
      </c>
      <c r="H151" s="2541">
        <v>59690901</v>
      </c>
      <c r="I151" s="2541">
        <v>66710155</v>
      </c>
      <c r="J151" s="2545">
        <v>64400485</v>
      </c>
      <c r="K151" s="2543">
        <v>66710155</v>
      </c>
      <c r="L151" s="2543">
        <v>64400485</v>
      </c>
    </row>
    <row r="152" spans="1:12">
      <c r="A152" s="114" t="s">
        <v>1659</v>
      </c>
      <c r="B152" s="2540" t="s">
        <v>30</v>
      </c>
      <c r="C152" s="2543">
        <v>85255452</v>
      </c>
      <c r="D152" s="2543">
        <v>82335468</v>
      </c>
      <c r="E152" s="2543">
        <v>85255452</v>
      </c>
      <c r="F152" s="2543">
        <v>82335468</v>
      </c>
      <c r="G152" s="2541">
        <v>71212575</v>
      </c>
      <c r="H152" s="2541">
        <v>71212575</v>
      </c>
      <c r="I152" s="2541">
        <v>85255452</v>
      </c>
      <c r="J152" s="2545">
        <v>82335468</v>
      </c>
      <c r="K152" s="2543">
        <v>85255452</v>
      </c>
      <c r="L152" s="2543">
        <v>82335468</v>
      </c>
    </row>
    <row r="153" spans="1:12">
      <c r="A153" s="114" t="s">
        <v>84</v>
      </c>
      <c r="B153" s="2540" t="s">
        <v>2500</v>
      </c>
      <c r="C153" s="2543">
        <v>416907299</v>
      </c>
      <c r="D153" s="2543">
        <v>405059754</v>
      </c>
      <c r="E153" s="2543">
        <v>416907299</v>
      </c>
      <c r="F153" s="2543">
        <v>405059754</v>
      </c>
      <c r="G153" s="2541">
        <v>350349076</v>
      </c>
      <c r="H153" s="2541">
        <v>350349076</v>
      </c>
      <c r="I153" s="2541">
        <v>416907299</v>
      </c>
      <c r="J153" s="2545">
        <v>405059754</v>
      </c>
      <c r="K153" s="2543">
        <v>416907299</v>
      </c>
      <c r="L153" s="2543">
        <v>405059754</v>
      </c>
    </row>
    <row r="154" spans="1:12">
      <c r="A154" s="114" t="s">
        <v>2482</v>
      </c>
      <c r="B154" s="2540" t="s">
        <v>2193</v>
      </c>
      <c r="C154" s="2543">
        <v>310513360</v>
      </c>
      <c r="D154" s="2543">
        <v>297649750</v>
      </c>
      <c r="E154" s="2543">
        <v>310513360</v>
      </c>
      <c r="F154" s="2543">
        <v>297649750</v>
      </c>
      <c r="G154" s="2541">
        <v>342327969</v>
      </c>
      <c r="H154" s="2541">
        <v>342327969</v>
      </c>
      <c r="I154" s="2541">
        <v>310513360</v>
      </c>
      <c r="J154" s="2545">
        <v>297649750</v>
      </c>
      <c r="K154" s="2543">
        <v>310513360</v>
      </c>
      <c r="L154" s="2543">
        <v>297649750</v>
      </c>
    </row>
    <row r="155" spans="1:12">
      <c r="A155" s="114" t="s">
        <v>814</v>
      </c>
      <c r="B155" s="2540" t="s">
        <v>4581</v>
      </c>
      <c r="C155" s="2543">
        <v>130999631</v>
      </c>
      <c r="D155" s="2543">
        <v>124232531</v>
      </c>
      <c r="E155" s="2543">
        <v>130999631</v>
      </c>
      <c r="F155" s="2543">
        <v>124232531</v>
      </c>
      <c r="G155" s="2541">
        <v>130895077</v>
      </c>
      <c r="H155" s="2541">
        <v>130895077</v>
      </c>
      <c r="I155" s="2541">
        <v>130999631</v>
      </c>
      <c r="J155" s="2545">
        <v>124232531</v>
      </c>
      <c r="K155" s="2543">
        <v>130999631</v>
      </c>
      <c r="L155" s="2543">
        <v>124232531</v>
      </c>
    </row>
    <row r="156" spans="1:12">
      <c r="A156" s="114" t="s">
        <v>2483</v>
      </c>
      <c r="B156" s="2540" t="s">
        <v>2194</v>
      </c>
      <c r="C156" s="2543">
        <v>134943914</v>
      </c>
      <c r="D156" s="2543">
        <v>133331824</v>
      </c>
      <c r="E156" s="2543">
        <v>134943914</v>
      </c>
      <c r="F156" s="2543">
        <v>133331824</v>
      </c>
      <c r="G156" s="2541">
        <v>66153850</v>
      </c>
      <c r="H156" s="2541">
        <v>66153850</v>
      </c>
      <c r="I156" s="2541">
        <v>134943914</v>
      </c>
      <c r="J156" s="2545">
        <v>133331824</v>
      </c>
      <c r="K156" s="2543">
        <v>134943914</v>
      </c>
      <c r="L156" s="2543">
        <v>133331824</v>
      </c>
    </row>
    <row r="157" spans="1:12">
      <c r="A157" s="114" t="s">
        <v>1883</v>
      </c>
      <c r="B157" s="2540" t="s">
        <v>2195</v>
      </c>
      <c r="C157" s="2543">
        <v>79209330</v>
      </c>
      <c r="D157" s="2543">
        <v>77020720</v>
      </c>
      <c r="E157" s="2543">
        <v>79209330</v>
      </c>
      <c r="F157" s="2543">
        <v>77020720</v>
      </c>
      <c r="G157" s="2541">
        <v>100090135</v>
      </c>
      <c r="H157" s="2541">
        <v>100090135</v>
      </c>
      <c r="I157" s="2541">
        <v>375277600</v>
      </c>
      <c r="J157" s="2545">
        <v>373088990</v>
      </c>
      <c r="K157" s="2543">
        <v>375277600</v>
      </c>
      <c r="L157" s="2543">
        <v>373088990</v>
      </c>
    </row>
    <row r="158" spans="1:12">
      <c r="A158" s="114" t="s">
        <v>1884</v>
      </c>
      <c r="B158" s="2540" t="s">
        <v>2468</v>
      </c>
      <c r="C158" s="2543">
        <v>61302178</v>
      </c>
      <c r="D158" s="2543">
        <v>59757698</v>
      </c>
      <c r="E158" s="2543">
        <v>61302178</v>
      </c>
      <c r="F158" s="2543">
        <v>59757698</v>
      </c>
      <c r="G158" s="2541">
        <v>63527003</v>
      </c>
      <c r="H158" s="2541">
        <v>63527003</v>
      </c>
      <c r="I158" s="2541">
        <v>61302178</v>
      </c>
      <c r="J158" s="2545">
        <v>59757698</v>
      </c>
      <c r="K158" s="2543">
        <v>61302178</v>
      </c>
      <c r="L158" s="2543">
        <v>59757698</v>
      </c>
    </row>
    <row r="159" spans="1:12">
      <c r="A159" s="114" t="s">
        <v>899</v>
      </c>
      <c r="B159" s="2540" t="s">
        <v>1179</v>
      </c>
      <c r="C159" s="2543">
        <v>317043666</v>
      </c>
      <c r="D159" s="2543">
        <v>316048947</v>
      </c>
      <c r="E159" s="2543">
        <v>317043666</v>
      </c>
      <c r="F159" s="2543">
        <v>316048947</v>
      </c>
      <c r="G159" s="2541">
        <v>1007065772</v>
      </c>
      <c r="H159" s="2541">
        <v>1007065772</v>
      </c>
      <c r="I159" s="2541">
        <v>317043666</v>
      </c>
      <c r="J159" s="2545">
        <v>316048947</v>
      </c>
      <c r="K159" s="2543">
        <v>317043666</v>
      </c>
      <c r="L159" s="2543">
        <v>316048947</v>
      </c>
    </row>
    <row r="160" spans="1:12">
      <c r="A160" s="114" t="s">
        <v>900</v>
      </c>
      <c r="B160" s="2540" t="s">
        <v>2470</v>
      </c>
      <c r="C160" s="2543">
        <v>100349774</v>
      </c>
      <c r="D160" s="2543">
        <v>96668644</v>
      </c>
      <c r="E160" s="2543">
        <v>100349774</v>
      </c>
      <c r="F160" s="2543">
        <v>96668644</v>
      </c>
      <c r="G160" s="2541">
        <v>118749854</v>
      </c>
      <c r="H160" s="2541">
        <v>118749854</v>
      </c>
      <c r="I160" s="2541">
        <v>100349774</v>
      </c>
      <c r="J160" s="2545">
        <v>96668644</v>
      </c>
      <c r="K160" s="2543">
        <v>100349774</v>
      </c>
      <c r="L160" s="2543">
        <v>96668644</v>
      </c>
    </row>
    <row r="161" spans="1:12">
      <c r="A161" s="114" t="s">
        <v>922</v>
      </c>
      <c r="B161" s="2540" t="s">
        <v>2471</v>
      </c>
      <c r="C161" s="2543">
        <v>155672303</v>
      </c>
      <c r="D161" s="2543">
        <v>151785583</v>
      </c>
      <c r="E161" s="2543">
        <v>152953268</v>
      </c>
      <c r="F161" s="2543">
        <v>149066548</v>
      </c>
      <c r="G161" s="2541">
        <v>254843431</v>
      </c>
      <c r="H161" s="2541">
        <v>252262182</v>
      </c>
      <c r="I161" s="2541">
        <v>239366703</v>
      </c>
      <c r="J161" s="2545">
        <v>235479983</v>
      </c>
      <c r="K161" s="2543">
        <v>236647668</v>
      </c>
      <c r="L161" s="2543">
        <v>232760948</v>
      </c>
    </row>
    <row r="162" spans="1:12">
      <c r="A162" s="114" t="s">
        <v>630</v>
      </c>
      <c r="B162" s="2540" t="s">
        <v>1333</v>
      </c>
      <c r="C162" s="2543">
        <v>188471461</v>
      </c>
      <c r="D162" s="2543">
        <v>178285090</v>
      </c>
      <c r="E162" s="2543">
        <v>188471461</v>
      </c>
      <c r="F162" s="2543">
        <v>178285090</v>
      </c>
      <c r="G162" s="2541">
        <v>173720414</v>
      </c>
      <c r="H162" s="2541">
        <v>173720414</v>
      </c>
      <c r="I162" s="2541">
        <v>188471461</v>
      </c>
      <c r="J162" s="2545">
        <v>178285090</v>
      </c>
      <c r="K162" s="2543">
        <v>188471461</v>
      </c>
      <c r="L162" s="2543">
        <v>178285090</v>
      </c>
    </row>
    <row r="163" spans="1:12">
      <c r="A163" s="114" t="s">
        <v>2712</v>
      </c>
      <c r="B163" s="2540" t="s">
        <v>97</v>
      </c>
      <c r="C163" s="2543">
        <v>92986348</v>
      </c>
      <c r="D163" s="2543">
        <v>90068618</v>
      </c>
      <c r="E163" s="2543">
        <v>92986348</v>
      </c>
      <c r="F163" s="2543">
        <v>90068618</v>
      </c>
      <c r="G163" s="2541">
        <v>91052878</v>
      </c>
      <c r="H163" s="2541">
        <v>91052878</v>
      </c>
      <c r="I163" s="2541">
        <v>92986348</v>
      </c>
      <c r="J163" s="2545">
        <v>90068618</v>
      </c>
      <c r="K163" s="2543">
        <v>92986348</v>
      </c>
      <c r="L163" s="2543">
        <v>90068618</v>
      </c>
    </row>
    <row r="164" spans="1:12">
      <c r="A164" s="114" t="s">
        <v>923</v>
      </c>
      <c r="B164" s="2540" t="s">
        <v>1180</v>
      </c>
      <c r="C164" s="2543">
        <v>116691541</v>
      </c>
      <c r="D164" s="2543">
        <v>114254081</v>
      </c>
      <c r="E164" s="2543">
        <v>116691541</v>
      </c>
      <c r="F164" s="2543">
        <v>114254081</v>
      </c>
      <c r="G164" s="2541">
        <v>131162698</v>
      </c>
      <c r="H164" s="2541">
        <v>131162698</v>
      </c>
      <c r="I164" s="2541">
        <v>116691541</v>
      </c>
      <c r="J164" s="2545">
        <v>114254081</v>
      </c>
      <c r="K164" s="2543">
        <v>116691541</v>
      </c>
      <c r="L164" s="2543">
        <v>114254081</v>
      </c>
    </row>
    <row r="165" spans="1:12">
      <c r="A165" s="114" t="s">
        <v>638</v>
      </c>
      <c r="B165" s="2540" t="s">
        <v>2234</v>
      </c>
      <c r="C165" s="2543">
        <v>11289512407</v>
      </c>
      <c r="D165" s="2543">
        <v>11078249443</v>
      </c>
      <c r="E165" s="2543">
        <v>11289512407</v>
      </c>
      <c r="F165" s="2543">
        <v>11078249443</v>
      </c>
      <c r="G165" s="2541">
        <v>9363467014</v>
      </c>
      <c r="H165" s="2541">
        <v>9363467014</v>
      </c>
      <c r="I165" s="2541">
        <v>11289512407</v>
      </c>
      <c r="J165" s="2545">
        <v>11078249443</v>
      </c>
      <c r="K165" s="2543">
        <v>11289512407</v>
      </c>
      <c r="L165" s="2543">
        <v>11078249443</v>
      </c>
    </row>
    <row r="166" spans="1:12">
      <c r="A166" s="114" t="s">
        <v>1841</v>
      </c>
      <c r="B166" s="2540" t="s">
        <v>1206</v>
      </c>
      <c r="C166" s="2543">
        <v>878349567</v>
      </c>
      <c r="D166" s="2543">
        <v>848819352</v>
      </c>
      <c r="E166" s="2543">
        <v>878349567</v>
      </c>
      <c r="F166" s="2543">
        <v>848819352</v>
      </c>
      <c r="G166" s="2541">
        <v>654962393</v>
      </c>
      <c r="H166" s="2541">
        <v>654962393</v>
      </c>
      <c r="I166" s="2541">
        <v>878349567</v>
      </c>
      <c r="J166" s="2545">
        <v>848819352</v>
      </c>
      <c r="K166" s="2543">
        <v>878349567</v>
      </c>
      <c r="L166" s="2543">
        <v>848819352</v>
      </c>
    </row>
    <row r="167" spans="1:12">
      <c r="A167" s="114" t="s">
        <v>2862</v>
      </c>
      <c r="B167" s="2540" t="s">
        <v>733</v>
      </c>
      <c r="C167" s="2543">
        <v>1008321180</v>
      </c>
      <c r="D167" s="2543">
        <v>985383170</v>
      </c>
      <c r="E167" s="2543">
        <v>1008321180</v>
      </c>
      <c r="F167" s="2543">
        <v>985383170</v>
      </c>
      <c r="G167" s="2541">
        <v>771838792</v>
      </c>
      <c r="H167" s="2541">
        <v>771838792</v>
      </c>
      <c r="I167" s="2541">
        <v>1008321180</v>
      </c>
      <c r="J167" s="2545">
        <v>985383170</v>
      </c>
      <c r="K167" s="2543">
        <v>1008321180</v>
      </c>
      <c r="L167" s="2543">
        <v>985383170</v>
      </c>
    </row>
    <row r="168" spans="1:12">
      <c r="A168" s="114" t="s">
        <v>1900</v>
      </c>
      <c r="B168" s="2540" t="s">
        <v>129</v>
      </c>
      <c r="C168" s="2543">
        <v>462618472</v>
      </c>
      <c r="D168" s="2543">
        <v>445899836</v>
      </c>
      <c r="E168" s="2543">
        <v>462618472</v>
      </c>
      <c r="F168" s="2543">
        <v>445899836</v>
      </c>
      <c r="G168" s="2541">
        <v>369447544</v>
      </c>
      <c r="H168" s="2541">
        <v>369447544</v>
      </c>
      <c r="I168" s="2541">
        <v>462618472</v>
      </c>
      <c r="J168" s="2545">
        <v>445899836</v>
      </c>
      <c r="K168" s="2543">
        <v>462618472</v>
      </c>
      <c r="L168" s="2543">
        <v>445899836</v>
      </c>
    </row>
    <row r="169" spans="1:12">
      <c r="A169" s="114" t="s">
        <v>1605</v>
      </c>
      <c r="B169" s="2540" t="s">
        <v>1667</v>
      </c>
      <c r="C169" s="2543">
        <v>29318882245</v>
      </c>
      <c r="D169" s="2543">
        <v>28872385212</v>
      </c>
      <c r="E169" s="2543">
        <v>29318882245</v>
      </c>
      <c r="F169" s="2543">
        <v>28872385212</v>
      </c>
      <c r="G169" s="2541">
        <v>22270240661</v>
      </c>
      <c r="H169" s="2541">
        <v>22270240661</v>
      </c>
      <c r="I169" s="2541">
        <v>29318882245</v>
      </c>
      <c r="J169" s="2545">
        <v>28872385212</v>
      </c>
      <c r="K169" s="2543">
        <v>29318882245</v>
      </c>
      <c r="L169" s="2543">
        <v>28872385212</v>
      </c>
    </row>
    <row r="170" spans="1:12">
      <c r="A170" s="114" t="s">
        <v>2895</v>
      </c>
      <c r="B170" s="2540" t="s">
        <v>928</v>
      </c>
      <c r="C170" s="2543">
        <v>12707816343</v>
      </c>
      <c r="D170" s="2543">
        <v>12459730276</v>
      </c>
      <c r="E170" s="2543">
        <v>12707816343</v>
      </c>
      <c r="F170" s="2543">
        <v>12459730276</v>
      </c>
      <c r="G170" s="2541">
        <v>10669444996</v>
      </c>
      <c r="H170" s="2541">
        <v>10669444996</v>
      </c>
      <c r="I170" s="2541">
        <v>12707816343</v>
      </c>
      <c r="J170" s="2545">
        <v>12459730276</v>
      </c>
      <c r="K170" s="2543">
        <v>12707816343</v>
      </c>
      <c r="L170" s="2543">
        <v>12459730276</v>
      </c>
    </row>
    <row r="171" spans="1:12">
      <c r="A171" s="114" t="s">
        <v>724</v>
      </c>
      <c r="B171" s="2540" t="s">
        <v>2518</v>
      </c>
      <c r="C171" s="2543">
        <v>818071016</v>
      </c>
      <c r="D171" s="2543">
        <v>795615242</v>
      </c>
      <c r="E171" s="2543">
        <v>818071016</v>
      </c>
      <c r="F171" s="2543">
        <v>795615242</v>
      </c>
      <c r="G171" s="2541">
        <v>574853977</v>
      </c>
      <c r="H171" s="2541">
        <v>574853977</v>
      </c>
      <c r="I171" s="2541">
        <v>818071016</v>
      </c>
      <c r="J171" s="2545">
        <v>795615242</v>
      </c>
      <c r="K171" s="2543">
        <v>818071016</v>
      </c>
      <c r="L171" s="2543">
        <v>795615242</v>
      </c>
    </row>
    <row r="172" spans="1:12">
      <c r="A172" s="114" t="s">
        <v>725</v>
      </c>
      <c r="B172" s="2540" t="s">
        <v>2519</v>
      </c>
      <c r="C172" s="2543">
        <v>45164702386</v>
      </c>
      <c r="D172" s="2543">
        <v>44476409130</v>
      </c>
      <c r="E172" s="2543">
        <v>45164702386</v>
      </c>
      <c r="F172" s="2543">
        <v>44476409130</v>
      </c>
      <c r="G172" s="2541">
        <v>38684896710</v>
      </c>
      <c r="H172" s="2541">
        <v>38684896710</v>
      </c>
      <c r="I172" s="2541">
        <v>45164702386</v>
      </c>
      <c r="J172" s="2545">
        <v>44476409130</v>
      </c>
      <c r="K172" s="2543">
        <v>45164702386</v>
      </c>
      <c r="L172" s="2543">
        <v>44476409130</v>
      </c>
    </row>
    <row r="173" spans="1:12">
      <c r="A173" s="114" t="s">
        <v>246</v>
      </c>
      <c r="B173" s="2540" t="s">
        <v>87</v>
      </c>
      <c r="C173" s="2543">
        <v>774095541</v>
      </c>
      <c r="D173" s="2543">
        <v>743202925</v>
      </c>
      <c r="E173" s="2543">
        <v>774095541</v>
      </c>
      <c r="F173" s="2543">
        <v>743202925</v>
      </c>
      <c r="G173" s="2541">
        <v>574119261</v>
      </c>
      <c r="H173" s="2541">
        <v>574119261</v>
      </c>
      <c r="I173" s="2541">
        <v>774095541</v>
      </c>
      <c r="J173" s="2545">
        <v>743202925</v>
      </c>
      <c r="K173" s="2543">
        <v>774095541</v>
      </c>
      <c r="L173" s="2543">
        <v>743202925</v>
      </c>
    </row>
    <row r="174" spans="1:12">
      <c r="A174" s="114" t="s">
        <v>1780</v>
      </c>
      <c r="B174" s="2540" t="s">
        <v>89</v>
      </c>
      <c r="C174" s="2543">
        <v>5022524204</v>
      </c>
      <c r="D174" s="2543">
        <v>4943279405</v>
      </c>
      <c r="E174" s="2543">
        <v>5022524204</v>
      </c>
      <c r="F174" s="2543">
        <v>4943279405</v>
      </c>
      <c r="G174" s="2541">
        <v>3075621861</v>
      </c>
      <c r="H174" s="2541">
        <v>3075621861</v>
      </c>
      <c r="I174" s="2541">
        <v>5022524204</v>
      </c>
      <c r="J174" s="2545">
        <v>4943279405</v>
      </c>
      <c r="K174" s="2543">
        <v>5022524204</v>
      </c>
      <c r="L174" s="2543">
        <v>4943279405</v>
      </c>
    </row>
    <row r="175" spans="1:12">
      <c r="A175" s="114" t="s">
        <v>1351</v>
      </c>
      <c r="B175" s="2540" t="s">
        <v>1293</v>
      </c>
      <c r="C175" s="2543">
        <v>4992309823</v>
      </c>
      <c r="D175" s="2543">
        <v>4848706534</v>
      </c>
      <c r="E175" s="2543">
        <v>4992309823</v>
      </c>
      <c r="F175" s="2543">
        <v>4848706534</v>
      </c>
      <c r="G175" s="2541">
        <v>3879085526</v>
      </c>
      <c r="H175" s="2541">
        <v>3879085526</v>
      </c>
      <c r="I175" s="2541">
        <v>4992309823</v>
      </c>
      <c r="J175" s="2545">
        <v>4848706534</v>
      </c>
      <c r="K175" s="2543">
        <v>4992309823</v>
      </c>
      <c r="L175" s="2543">
        <v>4848706534</v>
      </c>
    </row>
    <row r="176" spans="1:12">
      <c r="A176" s="114" t="s">
        <v>990</v>
      </c>
      <c r="B176" s="2540" t="s">
        <v>1521</v>
      </c>
      <c r="C176" s="2543">
        <v>169987964</v>
      </c>
      <c r="D176" s="2543">
        <v>162769520</v>
      </c>
      <c r="E176" s="2543">
        <v>169987964</v>
      </c>
      <c r="F176" s="2543">
        <v>162769520</v>
      </c>
      <c r="G176" s="2541">
        <v>131617230</v>
      </c>
      <c r="H176" s="2541">
        <v>131617230</v>
      </c>
      <c r="I176" s="2541">
        <v>169987964</v>
      </c>
      <c r="J176" s="2545">
        <v>162769520</v>
      </c>
      <c r="K176" s="2543">
        <v>169987964</v>
      </c>
      <c r="L176" s="2543">
        <v>162769520</v>
      </c>
    </row>
    <row r="177" spans="1:12">
      <c r="A177" s="114" t="s">
        <v>1619</v>
      </c>
      <c r="B177" s="2540" t="s">
        <v>1744</v>
      </c>
      <c r="C177" s="2543">
        <v>686772061</v>
      </c>
      <c r="D177" s="2543">
        <v>661272280</v>
      </c>
      <c r="E177" s="2543">
        <v>686772061</v>
      </c>
      <c r="F177" s="2543">
        <v>661272280</v>
      </c>
      <c r="G177" s="2541">
        <v>531271391</v>
      </c>
      <c r="H177" s="2541">
        <v>531271391</v>
      </c>
      <c r="I177" s="2541">
        <v>686772061</v>
      </c>
      <c r="J177" s="2545">
        <v>661272280</v>
      </c>
      <c r="K177" s="2543">
        <v>686772061</v>
      </c>
      <c r="L177" s="2543">
        <v>661272280</v>
      </c>
    </row>
    <row r="178" spans="1:12">
      <c r="A178" s="114" t="s">
        <v>281</v>
      </c>
      <c r="B178" s="2540" t="s">
        <v>2520</v>
      </c>
      <c r="C178" s="2543">
        <v>2199650950</v>
      </c>
      <c r="D178" s="2543">
        <v>2156665212</v>
      </c>
      <c r="E178" s="2543">
        <v>2199650950</v>
      </c>
      <c r="F178" s="2543">
        <v>2156665212</v>
      </c>
      <c r="G178" s="2541">
        <v>1889972831</v>
      </c>
      <c r="H178" s="2541">
        <v>1889972831</v>
      </c>
      <c r="I178" s="2541">
        <v>2199650950</v>
      </c>
      <c r="J178" s="2545">
        <v>2156665212</v>
      </c>
      <c r="K178" s="2543">
        <v>2199650950</v>
      </c>
      <c r="L178" s="2543">
        <v>2156665212</v>
      </c>
    </row>
    <row r="179" spans="1:12">
      <c r="A179" s="114" t="s">
        <v>282</v>
      </c>
      <c r="B179" s="2540" t="s">
        <v>2521</v>
      </c>
      <c r="C179" s="2543">
        <v>177492652</v>
      </c>
      <c r="D179" s="2543">
        <v>172599564</v>
      </c>
      <c r="E179" s="2543">
        <v>177492652</v>
      </c>
      <c r="F179" s="2543">
        <v>172599564</v>
      </c>
      <c r="G179" s="2541">
        <v>159378569</v>
      </c>
      <c r="H179" s="2541">
        <v>159378569</v>
      </c>
      <c r="I179" s="2541">
        <v>177492652</v>
      </c>
      <c r="J179" s="2545">
        <v>172599564</v>
      </c>
      <c r="K179" s="2543">
        <v>177492652</v>
      </c>
      <c r="L179" s="2543">
        <v>172599564</v>
      </c>
    </row>
    <row r="180" spans="1:12">
      <c r="A180" s="114" t="s">
        <v>1617</v>
      </c>
      <c r="B180" s="2540" t="s">
        <v>1742</v>
      </c>
      <c r="C180" s="2543">
        <v>1007815834</v>
      </c>
      <c r="D180" s="2543">
        <v>982210826</v>
      </c>
      <c r="E180" s="2543">
        <v>1007815834</v>
      </c>
      <c r="F180" s="2543">
        <v>982210826</v>
      </c>
      <c r="G180" s="2541">
        <v>938448490</v>
      </c>
      <c r="H180" s="2541">
        <v>931929265</v>
      </c>
      <c r="I180" s="2541">
        <v>1007815834</v>
      </c>
      <c r="J180" s="2545">
        <v>982210826</v>
      </c>
      <c r="K180" s="2543">
        <v>1007815834</v>
      </c>
      <c r="L180" s="2543">
        <v>982210826</v>
      </c>
    </row>
    <row r="181" spans="1:12">
      <c r="A181" s="114" t="s">
        <v>643</v>
      </c>
      <c r="B181" s="2540" t="s">
        <v>1181</v>
      </c>
      <c r="C181" s="2543">
        <v>756925934</v>
      </c>
      <c r="D181" s="2543">
        <v>744079150</v>
      </c>
      <c r="E181" s="2543">
        <v>756925934</v>
      </c>
      <c r="F181" s="2543">
        <v>744079150</v>
      </c>
      <c r="G181" s="2541">
        <v>683354002</v>
      </c>
      <c r="H181" s="2541">
        <v>683354002</v>
      </c>
      <c r="I181" s="2541">
        <v>756925934</v>
      </c>
      <c r="J181" s="2545">
        <v>744079150</v>
      </c>
      <c r="K181" s="2543">
        <v>756925934</v>
      </c>
      <c r="L181" s="2543">
        <v>744079150</v>
      </c>
    </row>
    <row r="182" spans="1:12">
      <c r="A182" s="114" t="s">
        <v>34</v>
      </c>
      <c r="B182" s="2540" t="s">
        <v>2524</v>
      </c>
      <c r="C182" s="2543">
        <v>370416863</v>
      </c>
      <c r="D182" s="2543">
        <v>358639672</v>
      </c>
      <c r="E182" s="2543">
        <v>370416863</v>
      </c>
      <c r="F182" s="2543">
        <v>358639672</v>
      </c>
      <c r="G182" s="2541">
        <v>344812491</v>
      </c>
      <c r="H182" s="2541">
        <v>344812491</v>
      </c>
      <c r="I182" s="2541">
        <v>370416863</v>
      </c>
      <c r="J182" s="2545">
        <v>358639672</v>
      </c>
      <c r="K182" s="2543">
        <v>370416863</v>
      </c>
      <c r="L182" s="2543">
        <v>358639672</v>
      </c>
    </row>
    <row r="183" spans="1:12">
      <c r="A183" s="114" t="s">
        <v>35</v>
      </c>
      <c r="B183" s="2540" t="s">
        <v>2525</v>
      </c>
      <c r="C183" s="2543">
        <v>4369888872</v>
      </c>
      <c r="D183" s="2543">
        <v>4254111366</v>
      </c>
      <c r="E183" s="2543">
        <v>4369888872</v>
      </c>
      <c r="F183" s="2543">
        <v>4254111366</v>
      </c>
      <c r="G183" s="2541">
        <v>3664479741</v>
      </c>
      <c r="H183" s="2541">
        <v>3664479741</v>
      </c>
      <c r="I183" s="2541">
        <v>4369888872</v>
      </c>
      <c r="J183" s="2545">
        <v>4254111366</v>
      </c>
      <c r="K183" s="2543">
        <v>4369888872</v>
      </c>
      <c r="L183" s="2543">
        <v>4254111366</v>
      </c>
    </row>
    <row r="184" spans="1:12">
      <c r="A184" s="114" t="s">
        <v>1437</v>
      </c>
      <c r="B184" s="2540" t="s">
        <v>2526</v>
      </c>
      <c r="C184" s="2543">
        <v>14904360033</v>
      </c>
      <c r="D184" s="2543">
        <v>14592522665</v>
      </c>
      <c r="E184" s="2543">
        <v>14014737179</v>
      </c>
      <c r="F184" s="2543">
        <v>13702899811</v>
      </c>
      <c r="G184" s="2541">
        <v>12853504993</v>
      </c>
      <c r="H184" s="2541">
        <v>12080446271</v>
      </c>
      <c r="I184" s="2541">
        <v>14983469333</v>
      </c>
      <c r="J184" s="2545">
        <v>14671631965</v>
      </c>
      <c r="K184" s="2543">
        <v>14093846479</v>
      </c>
      <c r="L184" s="2543">
        <v>13782009111</v>
      </c>
    </row>
    <row r="185" spans="1:12">
      <c r="A185" s="114" t="s">
        <v>2644</v>
      </c>
      <c r="B185" s="2540" t="s">
        <v>2527</v>
      </c>
      <c r="C185" s="2543">
        <v>315832413</v>
      </c>
      <c r="D185" s="2543">
        <v>301058141</v>
      </c>
      <c r="E185" s="2543">
        <v>315832413</v>
      </c>
      <c r="F185" s="2543">
        <v>301058141</v>
      </c>
      <c r="G185" s="2541">
        <v>262438615</v>
      </c>
      <c r="H185" s="2541">
        <v>262438615</v>
      </c>
      <c r="I185" s="2541">
        <v>464774693</v>
      </c>
      <c r="J185" s="2545">
        <v>450000421</v>
      </c>
      <c r="K185" s="2543">
        <v>464774693</v>
      </c>
      <c r="L185" s="2543">
        <v>450000421</v>
      </c>
    </row>
    <row r="186" spans="1:12">
      <c r="A186" s="114" t="s">
        <v>2763</v>
      </c>
      <c r="B186" s="2540" t="s">
        <v>3062</v>
      </c>
      <c r="C186" s="2543">
        <v>202598670</v>
      </c>
      <c r="D186" s="2543">
        <v>193321767</v>
      </c>
      <c r="E186" s="2543">
        <v>202598670</v>
      </c>
      <c r="F186" s="2543">
        <v>193321767</v>
      </c>
      <c r="G186" s="2541">
        <v>177203875</v>
      </c>
      <c r="H186" s="2541">
        <v>177203875</v>
      </c>
      <c r="I186" s="2541">
        <v>202598670</v>
      </c>
      <c r="J186" s="2545">
        <v>193321767</v>
      </c>
      <c r="K186" s="2543">
        <v>202598670</v>
      </c>
      <c r="L186" s="2543">
        <v>193321767</v>
      </c>
    </row>
    <row r="187" spans="1:12">
      <c r="A187" s="114" t="s">
        <v>2672</v>
      </c>
      <c r="B187" s="2540" t="s">
        <v>1949</v>
      </c>
      <c r="C187" s="2543">
        <v>57391713</v>
      </c>
      <c r="D187" s="2543">
        <v>55145012</v>
      </c>
      <c r="E187" s="2543">
        <v>57391713</v>
      </c>
      <c r="F187" s="2543">
        <v>55145012</v>
      </c>
      <c r="G187" s="2541">
        <v>44593073</v>
      </c>
      <c r="H187" s="2541">
        <v>44593073</v>
      </c>
      <c r="I187" s="2541">
        <v>57391713</v>
      </c>
      <c r="J187" s="2545">
        <v>55145012</v>
      </c>
      <c r="K187" s="2543">
        <v>57391713</v>
      </c>
      <c r="L187" s="2543">
        <v>55145012</v>
      </c>
    </row>
    <row r="188" spans="1:12">
      <c r="A188" s="114" t="s">
        <v>2645</v>
      </c>
      <c r="B188" s="2540" t="s">
        <v>2528</v>
      </c>
      <c r="C188" s="2543">
        <v>27130491</v>
      </c>
      <c r="D188" s="2543">
        <v>25513893</v>
      </c>
      <c r="E188" s="2543">
        <v>27130491</v>
      </c>
      <c r="F188" s="2543">
        <v>25513893</v>
      </c>
      <c r="G188" s="2541">
        <v>23127701</v>
      </c>
      <c r="H188" s="2541">
        <v>23127701</v>
      </c>
      <c r="I188" s="2541">
        <v>27130491</v>
      </c>
      <c r="J188" s="2545">
        <v>25513893</v>
      </c>
      <c r="K188" s="2543">
        <v>27130491</v>
      </c>
      <c r="L188" s="2543">
        <v>25513893</v>
      </c>
    </row>
    <row r="189" spans="1:12">
      <c r="A189" s="114" t="s">
        <v>2646</v>
      </c>
      <c r="B189" s="2540" t="s">
        <v>1182</v>
      </c>
      <c r="C189" s="2543">
        <v>134702058</v>
      </c>
      <c r="D189" s="2543">
        <v>131405648</v>
      </c>
      <c r="E189" s="2543">
        <v>134702058</v>
      </c>
      <c r="F189" s="2543">
        <v>131405648</v>
      </c>
      <c r="G189" s="2541">
        <v>164812145</v>
      </c>
      <c r="H189" s="2541">
        <v>164812145</v>
      </c>
      <c r="I189" s="2541">
        <v>134702058</v>
      </c>
      <c r="J189" s="2545">
        <v>131405648</v>
      </c>
      <c r="K189" s="2543">
        <v>134702058</v>
      </c>
      <c r="L189" s="2543">
        <v>131405648</v>
      </c>
    </row>
    <row r="190" spans="1:12">
      <c r="A190" s="114" t="s">
        <v>331</v>
      </c>
      <c r="B190" s="2540" t="s">
        <v>2530</v>
      </c>
      <c r="C190" s="2543">
        <v>86201501</v>
      </c>
      <c r="D190" s="2543">
        <v>85426981</v>
      </c>
      <c r="E190" s="2543">
        <v>86201501</v>
      </c>
      <c r="F190" s="2543">
        <v>85426981</v>
      </c>
      <c r="G190" s="2541">
        <v>71505684</v>
      </c>
      <c r="H190" s="2541">
        <v>71505684</v>
      </c>
      <c r="I190" s="2541">
        <v>86201501</v>
      </c>
      <c r="J190" s="2545">
        <v>85426981</v>
      </c>
      <c r="K190" s="2543">
        <v>86201501</v>
      </c>
      <c r="L190" s="2543">
        <v>85426981</v>
      </c>
    </row>
    <row r="191" spans="1:12">
      <c r="A191" s="114" t="s">
        <v>1607</v>
      </c>
      <c r="B191" s="2540" t="s">
        <v>1669</v>
      </c>
      <c r="C191" s="2543">
        <v>1018636939</v>
      </c>
      <c r="D191" s="2543">
        <v>988019498</v>
      </c>
      <c r="E191" s="2543">
        <v>1018636939</v>
      </c>
      <c r="F191" s="2543">
        <v>988019498</v>
      </c>
      <c r="G191" s="2541">
        <v>1020638797</v>
      </c>
      <c r="H191" s="2541">
        <v>1020638797</v>
      </c>
      <c r="I191" s="2541">
        <v>1018636939</v>
      </c>
      <c r="J191" s="2545">
        <v>988019498</v>
      </c>
      <c r="K191" s="2543">
        <v>1018636939</v>
      </c>
      <c r="L191" s="2543">
        <v>988019498</v>
      </c>
    </row>
    <row r="192" spans="1:12">
      <c r="A192" s="114" t="s">
        <v>332</v>
      </c>
      <c r="B192" s="2540" t="s">
        <v>2531</v>
      </c>
      <c r="C192" s="2543">
        <v>274191905</v>
      </c>
      <c r="D192" s="2543">
        <v>266566318</v>
      </c>
      <c r="E192" s="2543">
        <v>274191905</v>
      </c>
      <c r="F192" s="2543">
        <v>266566318</v>
      </c>
      <c r="G192" s="2541">
        <v>352345684</v>
      </c>
      <c r="H192" s="2541">
        <v>352345684</v>
      </c>
      <c r="I192" s="2541">
        <v>326179802</v>
      </c>
      <c r="J192" s="2545">
        <v>318554215</v>
      </c>
      <c r="K192" s="2543">
        <v>326179802</v>
      </c>
      <c r="L192" s="2543">
        <v>318554215</v>
      </c>
    </row>
    <row r="193" spans="1:12">
      <c r="A193" s="114" t="s">
        <v>2863</v>
      </c>
      <c r="B193" s="2540" t="s">
        <v>2705</v>
      </c>
      <c r="C193" s="2543">
        <v>261618084</v>
      </c>
      <c r="D193" s="2543">
        <v>253956162</v>
      </c>
      <c r="E193" s="2543">
        <v>261618084</v>
      </c>
      <c r="F193" s="2543">
        <v>253956162</v>
      </c>
      <c r="G193" s="2541">
        <v>231140375</v>
      </c>
      <c r="H193" s="2541">
        <v>231140375</v>
      </c>
      <c r="I193" s="2541">
        <v>261618084</v>
      </c>
      <c r="J193" s="2545">
        <v>253956162</v>
      </c>
      <c r="K193" s="2543">
        <v>261618084</v>
      </c>
      <c r="L193" s="2543">
        <v>253956162</v>
      </c>
    </row>
    <row r="194" spans="1:12">
      <c r="A194" s="114" t="s">
        <v>333</v>
      </c>
      <c r="B194" s="2540" t="s">
        <v>2532</v>
      </c>
      <c r="C194" s="2543">
        <v>611378944</v>
      </c>
      <c r="D194" s="2543">
        <v>591590434</v>
      </c>
      <c r="E194" s="2543">
        <v>611378944</v>
      </c>
      <c r="F194" s="2543">
        <v>591590434</v>
      </c>
      <c r="G194" s="2541">
        <v>620822092</v>
      </c>
      <c r="H194" s="2541">
        <v>620822092</v>
      </c>
      <c r="I194" s="2541">
        <v>611378944</v>
      </c>
      <c r="J194" s="2545">
        <v>591590434</v>
      </c>
      <c r="K194" s="2543">
        <v>611378944</v>
      </c>
      <c r="L194" s="2543">
        <v>591590434</v>
      </c>
    </row>
    <row r="195" spans="1:12">
      <c r="A195" s="114" t="s">
        <v>334</v>
      </c>
      <c r="B195" s="2540" t="s">
        <v>2533</v>
      </c>
      <c r="C195" s="2543">
        <v>140981944</v>
      </c>
      <c r="D195" s="2543">
        <v>136446545</v>
      </c>
      <c r="E195" s="2543">
        <v>140981944</v>
      </c>
      <c r="F195" s="2543">
        <v>136446545</v>
      </c>
      <c r="G195" s="2541">
        <v>215639179</v>
      </c>
      <c r="H195" s="2541">
        <v>215639179</v>
      </c>
      <c r="I195" s="2541">
        <v>140981944</v>
      </c>
      <c r="J195" s="2545">
        <v>136446545</v>
      </c>
      <c r="K195" s="2543">
        <v>140981944</v>
      </c>
      <c r="L195" s="2543">
        <v>136446545</v>
      </c>
    </row>
    <row r="196" spans="1:12">
      <c r="A196" s="114" t="s">
        <v>335</v>
      </c>
      <c r="B196" s="2540" t="s">
        <v>2534</v>
      </c>
      <c r="C196" s="2543">
        <v>499195728</v>
      </c>
      <c r="D196" s="2543">
        <v>493827671</v>
      </c>
      <c r="E196" s="2543">
        <v>499195728</v>
      </c>
      <c r="F196" s="2543">
        <v>493827671</v>
      </c>
      <c r="G196" s="2541">
        <v>445049168</v>
      </c>
      <c r="H196" s="2541">
        <v>445049168</v>
      </c>
      <c r="I196" s="2541">
        <v>499195728</v>
      </c>
      <c r="J196" s="2545">
        <v>493827671</v>
      </c>
      <c r="K196" s="2543">
        <v>499195728</v>
      </c>
      <c r="L196" s="2543">
        <v>493827671</v>
      </c>
    </row>
    <row r="197" spans="1:12">
      <c r="A197" s="114" t="s">
        <v>1962</v>
      </c>
      <c r="B197" s="2540" t="s">
        <v>2535</v>
      </c>
      <c r="C197" s="2543">
        <v>11697706</v>
      </c>
      <c r="D197" s="2543">
        <v>11451832</v>
      </c>
      <c r="E197" s="2543">
        <v>11697706</v>
      </c>
      <c r="F197" s="2543">
        <v>11451832</v>
      </c>
      <c r="G197" s="2541">
        <v>29692645</v>
      </c>
      <c r="H197" s="2541">
        <v>29692645</v>
      </c>
      <c r="I197" s="2541">
        <v>11697706</v>
      </c>
      <c r="J197" s="2545">
        <v>11451832</v>
      </c>
      <c r="K197" s="2543">
        <v>11697706</v>
      </c>
      <c r="L197" s="2543">
        <v>11451832</v>
      </c>
    </row>
    <row r="198" spans="1:12">
      <c r="A198" s="114" t="s">
        <v>1963</v>
      </c>
      <c r="B198" s="2540" t="s">
        <v>2536</v>
      </c>
      <c r="C198" s="2543">
        <v>109886241</v>
      </c>
      <c r="D198" s="2543">
        <v>108674019</v>
      </c>
      <c r="E198" s="2543">
        <v>109886241</v>
      </c>
      <c r="F198" s="2543">
        <v>108674019</v>
      </c>
      <c r="G198" s="2541">
        <v>132170700</v>
      </c>
      <c r="H198" s="2541">
        <v>132170700</v>
      </c>
      <c r="I198" s="2541">
        <v>109886241</v>
      </c>
      <c r="J198" s="2545">
        <v>108674019</v>
      </c>
      <c r="K198" s="2543">
        <v>109886241</v>
      </c>
      <c r="L198" s="2543">
        <v>108674019</v>
      </c>
    </row>
    <row r="199" spans="1:12">
      <c r="A199" s="114" t="s">
        <v>1492</v>
      </c>
      <c r="B199" s="2540" t="s">
        <v>2537</v>
      </c>
      <c r="C199" s="2543">
        <v>97628273</v>
      </c>
      <c r="D199" s="2543">
        <v>93691643</v>
      </c>
      <c r="E199" s="2543">
        <v>97628273</v>
      </c>
      <c r="F199" s="2543">
        <v>93691643</v>
      </c>
      <c r="G199" s="2541">
        <v>86372179</v>
      </c>
      <c r="H199" s="2541">
        <v>86372179</v>
      </c>
      <c r="I199" s="2541">
        <v>97628273</v>
      </c>
      <c r="J199" s="2545">
        <v>93691643</v>
      </c>
      <c r="K199" s="2543">
        <v>97628273</v>
      </c>
      <c r="L199" s="2543">
        <v>93691643</v>
      </c>
    </row>
    <row r="200" spans="1:12">
      <c r="A200" s="114" t="s">
        <v>1267</v>
      </c>
      <c r="B200" s="2540" t="s">
        <v>2538</v>
      </c>
      <c r="C200" s="2543">
        <v>761737196</v>
      </c>
      <c r="D200" s="2543">
        <v>726728348</v>
      </c>
      <c r="E200" s="2543">
        <v>761737196</v>
      </c>
      <c r="F200" s="2543">
        <v>726728348</v>
      </c>
      <c r="G200" s="2541">
        <v>647199513</v>
      </c>
      <c r="H200" s="2541">
        <v>647199513</v>
      </c>
      <c r="I200" s="2541">
        <v>761737196</v>
      </c>
      <c r="J200" s="2545">
        <v>726728348</v>
      </c>
      <c r="K200" s="2543">
        <v>761737196</v>
      </c>
      <c r="L200" s="2543">
        <v>726728348</v>
      </c>
    </row>
    <row r="201" spans="1:12">
      <c r="A201" s="114" t="s">
        <v>2462</v>
      </c>
      <c r="B201" s="2540" t="s">
        <v>290</v>
      </c>
      <c r="C201" s="2543">
        <v>60756010</v>
      </c>
      <c r="D201" s="2543">
        <v>57997297</v>
      </c>
      <c r="E201" s="2543">
        <v>60756010</v>
      </c>
      <c r="F201" s="2543">
        <v>57997297</v>
      </c>
      <c r="G201" s="2541">
        <v>43603085</v>
      </c>
      <c r="H201" s="2541">
        <v>43603085</v>
      </c>
      <c r="I201" s="2541">
        <v>60756010</v>
      </c>
      <c r="J201" s="2545">
        <v>57997297</v>
      </c>
      <c r="K201" s="2543">
        <v>60756010</v>
      </c>
      <c r="L201" s="2543">
        <v>57997297</v>
      </c>
    </row>
    <row r="202" spans="1:12">
      <c r="A202" s="114" t="s">
        <v>1268</v>
      </c>
      <c r="B202" s="2540" t="s">
        <v>2539</v>
      </c>
      <c r="C202" s="2543">
        <v>83413847</v>
      </c>
      <c r="D202" s="2543">
        <v>80546380</v>
      </c>
      <c r="E202" s="2543">
        <v>83413847</v>
      </c>
      <c r="F202" s="2543">
        <v>80546380</v>
      </c>
      <c r="G202" s="2541">
        <v>63285601</v>
      </c>
      <c r="H202" s="2541">
        <v>63285601</v>
      </c>
      <c r="I202" s="2541">
        <v>83413847</v>
      </c>
      <c r="J202" s="2545">
        <v>80546380</v>
      </c>
      <c r="K202" s="2543">
        <v>83413847</v>
      </c>
      <c r="L202" s="2543">
        <v>80546380</v>
      </c>
    </row>
    <row r="203" spans="1:12">
      <c r="A203" s="114" t="s">
        <v>2752</v>
      </c>
      <c r="B203" s="2540" t="s">
        <v>2951</v>
      </c>
      <c r="C203" s="2543">
        <v>1395226015</v>
      </c>
      <c r="D203" s="2543">
        <v>1326649618</v>
      </c>
      <c r="E203" s="2543">
        <v>1395226015</v>
      </c>
      <c r="F203" s="2543">
        <v>1326649618</v>
      </c>
      <c r="G203" s="2541">
        <v>1326796662</v>
      </c>
      <c r="H203" s="2541">
        <v>1326796662</v>
      </c>
      <c r="I203" s="2541">
        <v>1395226015</v>
      </c>
      <c r="J203" s="2545">
        <v>1326649618</v>
      </c>
      <c r="K203" s="2543">
        <v>1395226015</v>
      </c>
      <c r="L203" s="2543">
        <v>1326649618</v>
      </c>
    </row>
    <row r="204" spans="1:12">
      <c r="A204" s="114" t="s">
        <v>1269</v>
      </c>
      <c r="B204" s="2540" t="s">
        <v>2540</v>
      </c>
      <c r="C204" s="2543">
        <v>137319338</v>
      </c>
      <c r="D204" s="2543">
        <v>134913508</v>
      </c>
      <c r="E204" s="2543">
        <v>136497493</v>
      </c>
      <c r="F204" s="2543">
        <v>134091663</v>
      </c>
      <c r="G204" s="2541">
        <v>156532853</v>
      </c>
      <c r="H204" s="2541">
        <v>155829699</v>
      </c>
      <c r="I204" s="2541">
        <v>137319338</v>
      </c>
      <c r="J204" s="2545">
        <v>134913508</v>
      </c>
      <c r="K204" s="2543">
        <v>136497493</v>
      </c>
      <c r="L204" s="2543">
        <v>134091663</v>
      </c>
    </row>
    <row r="205" spans="1:12">
      <c r="A205" s="114" t="s">
        <v>779</v>
      </c>
      <c r="B205" s="2540" t="s">
        <v>2541</v>
      </c>
      <c r="C205" s="2543">
        <v>858300334</v>
      </c>
      <c r="D205" s="2543">
        <v>850950914</v>
      </c>
      <c r="E205" s="2543">
        <v>858300334</v>
      </c>
      <c r="F205" s="2543">
        <v>850950914</v>
      </c>
      <c r="G205" s="2541">
        <v>2323016890</v>
      </c>
      <c r="H205" s="2541">
        <v>2323016890</v>
      </c>
      <c r="I205" s="2541">
        <v>858300334</v>
      </c>
      <c r="J205" s="2545">
        <v>850950914</v>
      </c>
      <c r="K205" s="2543">
        <v>858300334</v>
      </c>
      <c r="L205" s="2543">
        <v>850950914</v>
      </c>
    </row>
    <row r="206" spans="1:12">
      <c r="A206" s="114" t="s">
        <v>780</v>
      </c>
      <c r="B206" s="2540" t="s">
        <v>4582</v>
      </c>
      <c r="C206" s="2543">
        <v>1218467360</v>
      </c>
      <c r="D206" s="2543">
        <v>1211933920</v>
      </c>
      <c r="E206" s="2543">
        <v>1215398720</v>
      </c>
      <c r="F206" s="2543">
        <v>1208865280</v>
      </c>
      <c r="G206" s="2541">
        <v>2374965507</v>
      </c>
      <c r="H206" s="2541">
        <v>2371679917</v>
      </c>
      <c r="I206" s="2541">
        <v>1218467360</v>
      </c>
      <c r="J206" s="2545">
        <v>1211933920</v>
      </c>
      <c r="K206" s="2543">
        <v>1215398720</v>
      </c>
      <c r="L206" s="2543">
        <v>1208865280</v>
      </c>
    </row>
    <row r="207" spans="1:12">
      <c r="A207" s="114" t="s">
        <v>781</v>
      </c>
      <c r="B207" s="2540" t="s">
        <v>1184</v>
      </c>
      <c r="C207" s="2543">
        <v>97909046</v>
      </c>
      <c r="D207" s="2543">
        <v>94185043</v>
      </c>
      <c r="E207" s="2543">
        <v>97909046</v>
      </c>
      <c r="F207" s="2543">
        <v>94185043</v>
      </c>
      <c r="G207" s="2541">
        <v>89673466</v>
      </c>
      <c r="H207" s="2541">
        <v>89673466</v>
      </c>
      <c r="I207" s="2541">
        <v>112648698</v>
      </c>
      <c r="J207" s="2545">
        <v>108924695</v>
      </c>
      <c r="K207" s="2543">
        <v>112648698</v>
      </c>
      <c r="L207" s="2543">
        <v>108924695</v>
      </c>
    </row>
    <row r="208" spans="1:12">
      <c r="A208" s="114" t="s">
        <v>782</v>
      </c>
      <c r="B208" s="2540" t="s">
        <v>739</v>
      </c>
      <c r="C208" s="2543">
        <v>138545121</v>
      </c>
      <c r="D208" s="2543">
        <v>136346183</v>
      </c>
      <c r="E208" s="2543">
        <v>138545121</v>
      </c>
      <c r="F208" s="2543">
        <v>136346183</v>
      </c>
      <c r="G208" s="2541">
        <v>237493850</v>
      </c>
      <c r="H208" s="2541">
        <v>237493850</v>
      </c>
      <c r="I208" s="2541">
        <v>160694695</v>
      </c>
      <c r="J208" s="2545">
        <v>158495757</v>
      </c>
      <c r="K208" s="2543">
        <v>160694695</v>
      </c>
      <c r="L208" s="2543">
        <v>158495757</v>
      </c>
    </row>
    <row r="209" spans="1:12">
      <c r="A209" s="114" t="s">
        <v>428</v>
      </c>
      <c r="B209" s="2540" t="s">
        <v>740</v>
      </c>
      <c r="C209" s="2543">
        <v>131520932</v>
      </c>
      <c r="D209" s="2543">
        <v>128014217</v>
      </c>
      <c r="E209" s="2543">
        <v>131520932</v>
      </c>
      <c r="F209" s="2543">
        <v>128014217</v>
      </c>
      <c r="G209" s="2541">
        <v>162357712</v>
      </c>
      <c r="H209" s="2541">
        <v>162357712</v>
      </c>
      <c r="I209" s="2541">
        <v>131520932</v>
      </c>
      <c r="J209" s="2545">
        <v>128014217</v>
      </c>
      <c r="K209" s="2543">
        <v>131520932</v>
      </c>
      <c r="L209" s="2543">
        <v>128014217</v>
      </c>
    </row>
    <row r="210" spans="1:12">
      <c r="A210" s="114" t="s">
        <v>2928</v>
      </c>
      <c r="B210" s="2540" t="s">
        <v>143</v>
      </c>
      <c r="C210" s="2543">
        <v>868245945</v>
      </c>
      <c r="D210" s="2543">
        <v>864908469</v>
      </c>
      <c r="E210" s="2543">
        <v>868245945</v>
      </c>
      <c r="F210" s="2543">
        <v>864908469</v>
      </c>
      <c r="G210" s="2541">
        <v>628847536</v>
      </c>
      <c r="H210" s="2541">
        <v>628847536</v>
      </c>
      <c r="I210" s="2541">
        <v>868245945</v>
      </c>
      <c r="J210" s="2545">
        <v>864908469</v>
      </c>
      <c r="K210" s="2543">
        <v>868245945</v>
      </c>
      <c r="L210" s="2543">
        <v>864908469</v>
      </c>
    </row>
    <row r="211" spans="1:12">
      <c r="A211" s="114" t="s">
        <v>2929</v>
      </c>
      <c r="B211" s="2540" t="s">
        <v>144</v>
      </c>
      <c r="C211" s="2543">
        <v>1055849672</v>
      </c>
      <c r="D211" s="2543">
        <v>1041367888</v>
      </c>
      <c r="E211" s="2543">
        <v>1055849672</v>
      </c>
      <c r="F211" s="2543">
        <v>1041367888</v>
      </c>
      <c r="G211" s="2541">
        <v>744491045</v>
      </c>
      <c r="H211" s="2541">
        <v>744491045</v>
      </c>
      <c r="I211" s="2541">
        <v>1055849672</v>
      </c>
      <c r="J211" s="2545">
        <v>1041367888</v>
      </c>
      <c r="K211" s="2543">
        <v>1055849672</v>
      </c>
      <c r="L211" s="2543">
        <v>1041367888</v>
      </c>
    </row>
    <row r="212" spans="1:12">
      <c r="A212" s="114" t="s">
        <v>2930</v>
      </c>
      <c r="B212" s="2540" t="s">
        <v>145</v>
      </c>
      <c r="C212" s="2543">
        <v>176054034</v>
      </c>
      <c r="D212" s="2543">
        <v>175110022</v>
      </c>
      <c r="E212" s="2543">
        <v>176054034</v>
      </c>
      <c r="F212" s="2543">
        <v>175110022</v>
      </c>
      <c r="G212" s="2541">
        <v>132190811</v>
      </c>
      <c r="H212" s="2541">
        <v>132190811</v>
      </c>
      <c r="I212" s="2541">
        <v>176054034</v>
      </c>
      <c r="J212" s="2545">
        <v>175110022</v>
      </c>
      <c r="K212" s="2543">
        <v>176054034</v>
      </c>
      <c r="L212" s="2543">
        <v>175110022</v>
      </c>
    </row>
    <row r="213" spans="1:12">
      <c r="A213" s="114" t="s">
        <v>1843</v>
      </c>
      <c r="B213" s="2540" t="s">
        <v>146</v>
      </c>
      <c r="C213" s="2543">
        <v>16591930453</v>
      </c>
      <c r="D213" s="2543">
        <v>16340114953</v>
      </c>
      <c r="E213" s="2543">
        <v>16591930453</v>
      </c>
      <c r="F213" s="2543">
        <v>16340114953</v>
      </c>
      <c r="G213" s="2541">
        <v>15057052179</v>
      </c>
      <c r="H213" s="2541">
        <v>15057052179</v>
      </c>
      <c r="I213" s="2541">
        <v>16591930453</v>
      </c>
      <c r="J213" s="2545">
        <v>16340114953</v>
      </c>
      <c r="K213" s="2543">
        <v>16591930453</v>
      </c>
      <c r="L213" s="2543">
        <v>16340114953</v>
      </c>
    </row>
    <row r="214" spans="1:12">
      <c r="A214" s="114" t="s">
        <v>421</v>
      </c>
      <c r="B214" s="2540" t="s">
        <v>147</v>
      </c>
      <c r="C214" s="2543">
        <v>3007551300</v>
      </c>
      <c r="D214" s="2543">
        <v>2907647170</v>
      </c>
      <c r="E214" s="2543">
        <v>3007551300</v>
      </c>
      <c r="F214" s="2543">
        <v>2907647170</v>
      </c>
      <c r="G214" s="2541">
        <v>2691754917</v>
      </c>
      <c r="H214" s="2541">
        <v>2691754917</v>
      </c>
      <c r="I214" s="2541">
        <v>3007551300</v>
      </c>
      <c r="J214" s="2545">
        <v>2907647170</v>
      </c>
      <c r="K214" s="2543">
        <v>3007551300</v>
      </c>
      <c r="L214" s="2543">
        <v>2907647170</v>
      </c>
    </row>
    <row r="215" spans="1:12">
      <c r="A215" s="114" t="s">
        <v>422</v>
      </c>
      <c r="B215" s="2540" t="s">
        <v>148</v>
      </c>
      <c r="C215" s="2543">
        <v>101676634853</v>
      </c>
      <c r="D215" s="2543">
        <v>100195091348</v>
      </c>
      <c r="E215" s="2543">
        <v>99768329899</v>
      </c>
      <c r="F215" s="2543">
        <v>98286786394</v>
      </c>
      <c r="G215" s="2541">
        <v>88376144698</v>
      </c>
      <c r="H215" s="2541">
        <v>86666137525</v>
      </c>
      <c r="I215" s="2541">
        <v>101676634853</v>
      </c>
      <c r="J215" s="2545">
        <v>100195091348</v>
      </c>
      <c r="K215" s="2543">
        <v>99768329899</v>
      </c>
      <c r="L215" s="2543">
        <v>98286786394</v>
      </c>
    </row>
    <row r="216" spans="1:12">
      <c r="A216" s="114" t="s">
        <v>423</v>
      </c>
      <c r="B216" s="2540" t="s">
        <v>149</v>
      </c>
      <c r="C216" s="2543">
        <v>2594562853</v>
      </c>
      <c r="D216" s="2543">
        <v>2479192909</v>
      </c>
      <c r="E216" s="2543">
        <v>2594562853</v>
      </c>
      <c r="F216" s="2543">
        <v>2479192909</v>
      </c>
      <c r="G216" s="2541">
        <v>2141200367</v>
      </c>
      <c r="H216" s="2541">
        <v>2141200367</v>
      </c>
      <c r="I216" s="2541">
        <v>2594562853</v>
      </c>
      <c r="J216" s="2545">
        <v>2479192909</v>
      </c>
      <c r="K216" s="2543">
        <v>2594562853</v>
      </c>
      <c r="L216" s="2543">
        <v>2479192909</v>
      </c>
    </row>
    <row r="217" spans="1:12">
      <c r="A217" s="114" t="s">
        <v>424</v>
      </c>
      <c r="B217" s="2540" t="s">
        <v>150</v>
      </c>
      <c r="C217" s="2543">
        <v>3948034338</v>
      </c>
      <c r="D217" s="2543">
        <v>3815840148</v>
      </c>
      <c r="E217" s="2543">
        <v>3948034338</v>
      </c>
      <c r="F217" s="2543">
        <v>3815840148</v>
      </c>
      <c r="G217" s="2541">
        <v>3496416948</v>
      </c>
      <c r="H217" s="2541">
        <v>3496416948</v>
      </c>
      <c r="I217" s="2541">
        <v>3948034338</v>
      </c>
      <c r="J217" s="2545">
        <v>3815840148</v>
      </c>
      <c r="K217" s="2543">
        <v>3948034338</v>
      </c>
      <c r="L217" s="2543">
        <v>3815840148</v>
      </c>
    </row>
    <row r="218" spans="1:12">
      <c r="A218" s="114" t="s">
        <v>2973</v>
      </c>
      <c r="B218" s="2540" t="s">
        <v>1672</v>
      </c>
      <c r="C218" s="2543">
        <v>15941444274</v>
      </c>
      <c r="D218" s="2543">
        <v>15398541406</v>
      </c>
      <c r="E218" s="2543">
        <v>15941444274</v>
      </c>
      <c r="F218" s="2543">
        <v>15398541406</v>
      </c>
      <c r="G218" s="2541">
        <v>13977161941</v>
      </c>
      <c r="H218" s="2541">
        <v>13977161941</v>
      </c>
      <c r="I218" s="2541">
        <v>15941444274</v>
      </c>
      <c r="J218" s="2545">
        <v>15398541406</v>
      </c>
      <c r="K218" s="2543">
        <v>15941444274</v>
      </c>
      <c r="L218" s="2543">
        <v>15398541406</v>
      </c>
    </row>
    <row r="219" spans="1:12">
      <c r="A219" s="114" t="s">
        <v>741</v>
      </c>
      <c r="B219" s="2540" t="s">
        <v>975</v>
      </c>
      <c r="C219" s="2543">
        <v>5787566202</v>
      </c>
      <c r="D219" s="2543">
        <v>5598276295</v>
      </c>
      <c r="E219" s="2543">
        <v>5787566202</v>
      </c>
      <c r="F219" s="2543">
        <v>5598276295</v>
      </c>
      <c r="G219" s="2541">
        <v>5043325183</v>
      </c>
      <c r="H219" s="2541">
        <v>5043325183</v>
      </c>
      <c r="I219" s="2541">
        <v>5787566202</v>
      </c>
      <c r="J219" s="2545">
        <v>5598276295</v>
      </c>
      <c r="K219" s="2543">
        <v>5787566202</v>
      </c>
      <c r="L219" s="2543">
        <v>5598276295</v>
      </c>
    </row>
    <row r="220" spans="1:12">
      <c r="A220" s="114" t="s">
        <v>579</v>
      </c>
      <c r="B220" s="2540" t="s">
        <v>151</v>
      </c>
      <c r="C220" s="2543">
        <v>15665633203</v>
      </c>
      <c r="D220" s="2543">
        <v>15583170967</v>
      </c>
      <c r="E220" s="2543">
        <v>14365082827</v>
      </c>
      <c r="F220" s="2543">
        <v>14282620591</v>
      </c>
      <c r="G220" s="2541">
        <v>14179763510</v>
      </c>
      <c r="H220" s="2541">
        <v>13018827547</v>
      </c>
      <c r="I220" s="2541">
        <v>15665633203</v>
      </c>
      <c r="J220" s="2545">
        <v>15583170967</v>
      </c>
      <c r="K220" s="2543">
        <v>14365082827</v>
      </c>
      <c r="L220" s="2543">
        <v>14282620591</v>
      </c>
    </row>
    <row r="221" spans="1:12">
      <c r="A221" s="114" t="s">
        <v>48</v>
      </c>
      <c r="B221" s="2540" t="s">
        <v>1441</v>
      </c>
      <c r="C221" s="2543">
        <v>10634264410</v>
      </c>
      <c r="D221" s="2543">
        <v>10418766103</v>
      </c>
      <c r="E221" s="2543">
        <v>10634264410</v>
      </c>
      <c r="F221" s="2543">
        <v>10418766103</v>
      </c>
      <c r="G221" s="2541">
        <v>9556206941</v>
      </c>
      <c r="H221" s="2541">
        <v>9556206941</v>
      </c>
      <c r="I221" s="2541">
        <v>10634264410</v>
      </c>
      <c r="J221" s="2545">
        <v>10418766103</v>
      </c>
      <c r="K221" s="2543">
        <v>10634264410</v>
      </c>
      <c r="L221" s="2543">
        <v>10418766103</v>
      </c>
    </row>
    <row r="222" spans="1:12">
      <c r="A222" s="114" t="s">
        <v>2028</v>
      </c>
      <c r="B222" s="2540" t="s">
        <v>152</v>
      </c>
      <c r="C222" s="2543">
        <v>2086062973</v>
      </c>
      <c r="D222" s="2543">
        <v>2014991847</v>
      </c>
      <c r="E222" s="2543">
        <v>2086062973</v>
      </c>
      <c r="F222" s="2543">
        <v>2014991847</v>
      </c>
      <c r="G222" s="2541">
        <v>1643213021</v>
      </c>
      <c r="H222" s="2541">
        <v>1643213021</v>
      </c>
      <c r="I222" s="2541">
        <v>2086062973</v>
      </c>
      <c r="J222" s="2545">
        <v>2014991847</v>
      </c>
      <c r="K222" s="2543">
        <v>2086062973</v>
      </c>
      <c r="L222" s="2543">
        <v>2014991847</v>
      </c>
    </row>
    <row r="223" spans="1:12">
      <c r="A223" s="114" t="s">
        <v>2898</v>
      </c>
      <c r="B223" s="2540" t="s">
        <v>2554</v>
      </c>
      <c r="C223" s="2543">
        <v>6983310655</v>
      </c>
      <c r="D223" s="2543">
        <v>6719008388</v>
      </c>
      <c r="E223" s="2543">
        <v>6983310655</v>
      </c>
      <c r="F223" s="2543">
        <v>6719008388</v>
      </c>
      <c r="G223" s="2541">
        <v>6166509470</v>
      </c>
      <c r="H223" s="2541">
        <v>6166509470</v>
      </c>
      <c r="I223" s="2541">
        <v>6983310655</v>
      </c>
      <c r="J223" s="2545">
        <v>6719008388</v>
      </c>
      <c r="K223" s="2543">
        <v>6983310655</v>
      </c>
      <c r="L223" s="2543">
        <v>6719008388</v>
      </c>
    </row>
    <row r="224" spans="1:12">
      <c r="A224" s="114" t="s">
        <v>2029</v>
      </c>
      <c r="B224" s="2540" t="s">
        <v>3006</v>
      </c>
      <c r="C224" s="2543">
        <v>20382347171</v>
      </c>
      <c r="D224" s="2543">
        <v>19975180970</v>
      </c>
      <c r="E224" s="2543">
        <v>19874568962</v>
      </c>
      <c r="F224" s="2543">
        <v>19467402761</v>
      </c>
      <c r="G224" s="2541">
        <v>18144200383</v>
      </c>
      <c r="H224" s="2541">
        <v>17686362886</v>
      </c>
      <c r="I224" s="2541">
        <v>20382347171</v>
      </c>
      <c r="J224" s="2545">
        <v>19975180970</v>
      </c>
      <c r="K224" s="2543">
        <v>19874568962</v>
      </c>
      <c r="L224" s="2543">
        <v>19467402761</v>
      </c>
    </row>
    <row r="225" spans="1:12">
      <c r="A225" s="114" t="s">
        <v>3087</v>
      </c>
      <c r="B225" s="2540" t="s">
        <v>3007</v>
      </c>
      <c r="C225" s="2543">
        <v>1013967200</v>
      </c>
      <c r="D225" s="2543">
        <v>997429700</v>
      </c>
      <c r="E225" s="2543">
        <v>1013967200</v>
      </c>
      <c r="F225" s="2543">
        <v>997429700</v>
      </c>
      <c r="G225" s="2541">
        <v>893566168</v>
      </c>
      <c r="H225" s="2541">
        <v>893566168</v>
      </c>
      <c r="I225" s="2541">
        <v>1013967200</v>
      </c>
      <c r="J225" s="2545">
        <v>997429700</v>
      </c>
      <c r="K225" s="2543">
        <v>1013967200</v>
      </c>
      <c r="L225" s="2543">
        <v>997429700</v>
      </c>
    </row>
    <row r="226" spans="1:12">
      <c r="A226" s="114" t="s">
        <v>277</v>
      </c>
      <c r="B226" s="2540" t="s">
        <v>3008</v>
      </c>
      <c r="C226" s="2543">
        <v>10314120118</v>
      </c>
      <c r="D226" s="2543">
        <v>10203202358</v>
      </c>
      <c r="E226" s="2543">
        <v>10314120118</v>
      </c>
      <c r="F226" s="2543">
        <v>10203202358</v>
      </c>
      <c r="G226" s="2541">
        <v>8824759042</v>
      </c>
      <c r="H226" s="2541">
        <v>8824759042</v>
      </c>
      <c r="I226" s="2541">
        <v>10314120118</v>
      </c>
      <c r="J226" s="2545">
        <v>10203202358</v>
      </c>
      <c r="K226" s="2543">
        <v>10314120118</v>
      </c>
      <c r="L226" s="2543">
        <v>10203202358</v>
      </c>
    </row>
    <row r="227" spans="1:12">
      <c r="A227" s="114" t="s">
        <v>278</v>
      </c>
      <c r="B227" s="2540" t="s">
        <v>3060</v>
      </c>
      <c r="C227" s="2543">
        <v>94076075</v>
      </c>
      <c r="D227" s="2543">
        <v>93503387</v>
      </c>
      <c r="E227" s="2543">
        <v>94076075</v>
      </c>
      <c r="F227" s="2543">
        <v>93503387</v>
      </c>
      <c r="G227" s="2541">
        <v>266768523</v>
      </c>
      <c r="H227" s="2541">
        <v>266768523</v>
      </c>
      <c r="I227" s="2541">
        <v>94076075</v>
      </c>
      <c r="J227" s="2545">
        <v>93503387</v>
      </c>
      <c r="K227" s="2543">
        <v>94076075</v>
      </c>
      <c r="L227" s="2543">
        <v>93503387</v>
      </c>
    </row>
    <row r="228" spans="1:12">
      <c r="A228" s="114" t="s">
        <v>279</v>
      </c>
      <c r="B228" s="2540" t="s">
        <v>3009</v>
      </c>
      <c r="C228" s="2543">
        <v>648502455</v>
      </c>
      <c r="D228" s="2543">
        <v>647124395</v>
      </c>
      <c r="E228" s="2543">
        <v>647006860</v>
      </c>
      <c r="F228" s="2543">
        <v>645628800</v>
      </c>
      <c r="G228" s="2541">
        <v>1412176780</v>
      </c>
      <c r="H228" s="2541">
        <v>1410677106</v>
      </c>
      <c r="I228" s="2541">
        <v>648502455</v>
      </c>
      <c r="J228" s="2545">
        <v>647124395</v>
      </c>
      <c r="K228" s="2543">
        <v>647006860</v>
      </c>
      <c r="L228" s="2543">
        <v>645628800</v>
      </c>
    </row>
    <row r="229" spans="1:12">
      <c r="A229" s="114" t="s">
        <v>280</v>
      </c>
      <c r="B229" s="2540" t="s">
        <v>3010</v>
      </c>
      <c r="C229" s="2543">
        <v>410589076</v>
      </c>
      <c r="D229" s="2543">
        <v>394809926</v>
      </c>
      <c r="E229" s="2543">
        <v>410589076</v>
      </c>
      <c r="F229" s="2543">
        <v>394809926</v>
      </c>
      <c r="G229" s="2541">
        <v>526048724</v>
      </c>
      <c r="H229" s="2541">
        <v>526048724</v>
      </c>
      <c r="I229" s="2541">
        <v>601707186</v>
      </c>
      <c r="J229" s="2545">
        <v>585928036</v>
      </c>
      <c r="K229" s="2543">
        <v>601707186</v>
      </c>
      <c r="L229" s="2543">
        <v>585928036</v>
      </c>
    </row>
    <row r="230" spans="1:12">
      <c r="A230" s="114" t="s">
        <v>408</v>
      </c>
      <c r="B230" s="2540" t="s">
        <v>3011</v>
      </c>
      <c r="C230" s="2543">
        <v>538243832</v>
      </c>
      <c r="D230" s="2543">
        <v>536989276</v>
      </c>
      <c r="E230" s="2543">
        <v>537095691</v>
      </c>
      <c r="F230" s="2543">
        <v>535841135</v>
      </c>
      <c r="G230" s="2541">
        <v>1323213722</v>
      </c>
      <c r="H230" s="2541">
        <v>1322099131</v>
      </c>
      <c r="I230" s="2541">
        <v>538243832</v>
      </c>
      <c r="J230" s="2545">
        <v>536989276</v>
      </c>
      <c r="K230" s="2543">
        <v>537095691</v>
      </c>
      <c r="L230" s="2543">
        <v>535841135</v>
      </c>
    </row>
    <row r="231" spans="1:12">
      <c r="A231" s="114" t="s">
        <v>2130</v>
      </c>
      <c r="B231" s="2540" t="s">
        <v>2723</v>
      </c>
      <c r="C231" s="2543">
        <v>1241130968</v>
      </c>
      <c r="D231" s="2543">
        <v>1212753993</v>
      </c>
      <c r="E231" s="2543">
        <v>1241130968</v>
      </c>
      <c r="F231" s="2543">
        <v>1212753993</v>
      </c>
      <c r="G231" s="2541">
        <v>1180085538</v>
      </c>
      <c r="H231" s="2541">
        <v>1180085538</v>
      </c>
      <c r="I231" s="2541">
        <v>1449884151</v>
      </c>
      <c r="J231" s="2545">
        <v>1421507176</v>
      </c>
      <c r="K231" s="2543">
        <v>1449884151</v>
      </c>
      <c r="L231" s="2543">
        <v>1421507176</v>
      </c>
    </row>
    <row r="232" spans="1:12">
      <c r="A232" s="114" t="s">
        <v>1220</v>
      </c>
      <c r="B232" s="2540" t="s">
        <v>3012</v>
      </c>
      <c r="C232" s="2543">
        <v>47445040</v>
      </c>
      <c r="D232" s="2543">
        <v>47175640</v>
      </c>
      <c r="E232" s="2543">
        <v>47445040</v>
      </c>
      <c r="F232" s="2543">
        <v>47175640</v>
      </c>
      <c r="G232" s="2541">
        <v>42011260</v>
      </c>
      <c r="H232" s="2541">
        <v>42011260</v>
      </c>
      <c r="I232" s="2541">
        <v>47445040</v>
      </c>
      <c r="J232" s="2545">
        <v>47175640</v>
      </c>
      <c r="K232" s="2543">
        <v>47445040</v>
      </c>
      <c r="L232" s="2543">
        <v>47175640</v>
      </c>
    </row>
    <row r="233" spans="1:12">
      <c r="A233" s="114" t="s">
        <v>1221</v>
      </c>
      <c r="B233" s="2540" t="s">
        <v>3013</v>
      </c>
      <c r="C233" s="2543">
        <v>188677544</v>
      </c>
      <c r="D233" s="2543">
        <v>177932423</v>
      </c>
      <c r="E233" s="2543">
        <v>188677544</v>
      </c>
      <c r="F233" s="2543">
        <v>177932423</v>
      </c>
      <c r="G233" s="2541">
        <v>175043058</v>
      </c>
      <c r="H233" s="2541">
        <v>175043058</v>
      </c>
      <c r="I233" s="2541">
        <v>188677544</v>
      </c>
      <c r="J233" s="2545">
        <v>177932423</v>
      </c>
      <c r="K233" s="2543">
        <v>188677544</v>
      </c>
      <c r="L233" s="2543">
        <v>177932423</v>
      </c>
    </row>
    <row r="234" spans="1:12">
      <c r="A234" s="114" t="s">
        <v>711</v>
      </c>
      <c r="B234" s="2540" t="s">
        <v>128</v>
      </c>
      <c r="C234" s="2543">
        <v>56508968</v>
      </c>
      <c r="D234" s="2543">
        <v>53716348</v>
      </c>
      <c r="E234" s="2543">
        <v>56508968</v>
      </c>
      <c r="F234" s="2543">
        <v>53716348</v>
      </c>
      <c r="G234" s="2541">
        <v>51609460</v>
      </c>
      <c r="H234" s="2541">
        <v>51609460</v>
      </c>
      <c r="I234" s="2541">
        <v>56508968</v>
      </c>
      <c r="J234" s="2545">
        <v>53716348</v>
      </c>
      <c r="K234" s="2543">
        <v>56508968</v>
      </c>
      <c r="L234" s="2543">
        <v>53716348</v>
      </c>
    </row>
    <row r="235" spans="1:12">
      <c r="A235" s="114" t="s">
        <v>1222</v>
      </c>
      <c r="B235" s="2540" t="s">
        <v>3014</v>
      </c>
      <c r="C235" s="2543">
        <v>14268341718</v>
      </c>
      <c r="D235" s="2543">
        <v>13963361639</v>
      </c>
      <c r="E235" s="2543">
        <v>14268341718</v>
      </c>
      <c r="F235" s="2543">
        <v>13963361639</v>
      </c>
      <c r="G235" s="2541">
        <v>12079224911</v>
      </c>
      <c r="H235" s="2541">
        <v>12079224911</v>
      </c>
      <c r="I235" s="2541">
        <v>14268341718</v>
      </c>
      <c r="J235" s="2545">
        <v>13963361639</v>
      </c>
      <c r="K235" s="2543">
        <v>14268341718</v>
      </c>
      <c r="L235" s="2543">
        <v>13963361639</v>
      </c>
    </row>
    <row r="236" spans="1:12">
      <c r="A236" s="114" t="s">
        <v>1989</v>
      </c>
      <c r="B236" s="2540" t="s">
        <v>2825</v>
      </c>
      <c r="C236" s="2543">
        <v>32662025500</v>
      </c>
      <c r="D236" s="2543">
        <v>32090944700</v>
      </c>
      <c r="E236" s="2543">
        <v>32662025500</v>
      </c>
      <c r="F236" s="2543">
        <v>32090944700</v>
      </c>
      <c r="G236" s="2541">
        <v>27809306163</v>
      </c>
      <c r="H236" s="2541">
        <v>27809306163</v>
      </c>
      <c r="I236" s="2541">
        <v>32662025500</v>
      </c>
      <c r="J236" s="2545">
        <v>32090944700</v>
      </c>
      <c r="K236" s="2543">
        <v>32662025500</v>
      </c>
      <c r="L236" s="2543">
        <v>32090944700</v>
      </c>
    </row>
    <row r="237" spans="1:12">
      <c r="A237" s="114" t="s">
        <v>240</v>
      </c>
      <c r="B237" s="2540" t="s">
        <v>1127</v>
      </c>
      <c r="C237" s="2543">
        <v>645440524</v>
      </c>
      <c r="D237" s="2543">
        <v>628831702</v>
      </c>
      <c r="E237" s="2543">
        <v>645440524</v>
      </c>
      <c r="F237" s="2543">
        <v>628831702</v>
      </c>
      <c r="G237" s="2541">
        <v>583425506</v>
      </c>
      <c r="H237" s="2541">
        <v>583425506</v>
      </c>
      <c r="I237" s="2541">
        <v>645440524</v>
      </c>
      <c r="J237" s="2545">
        <v>628831702</v>
      </c>
      <c r="K237" s="2543">
        <v>645440524</v>
      </c>
      <c r="L237" s="2543">
        <v>628831702</v>
      </c>
    </row>
    <row r="238" spans="1:12">
      <c r="A238" s="114" t="s">
        <v>815</v>
      </c>
      <c r="B238" s="2540" t="s">
        <v>1905</v>
      </c>
      <c r="C238" s="2543">
        <v>671796079</v>
      </c>
      <c r="D238" s="2543">
        <v>651911801</v>
      </c>
      <c r="E238" s="2543">
        <v>671796079</v>
      </c>
      <c r="F238" s="2543">
        <v>651911801</v>
      </c>
      <c r="G238" s="2541">
        <v>774327241</v>
      </c>
      <c r="H238" s="2541">
        <v>774327241</v>
      </c>
      <c r="I238" s="2541">
        <v>671796079</v>
      </c>
      <c r="J238" s="2545">
        <v>651911801</v>
      </c>
      <c r="K238" s="2543">
        <v>671796079</v>
      </c>
      <c r="L238" s="2543">
        <v>651911801</v>
      </c>
    </row>
    <row r="239" spans="1:12">
      <c r="A239" s="114" t="s">
        <v>242</v>
      </c>
      <c r="B239" s="2540" t="s">
        <v>1129</v>
      </c>
      <c r="C239" s="2543">
        <v>590580733</v>
      </c>
      <c r="D239" s="2543">
        <v>578417993</v>
      </c>
      <c r="E239" s="2543">
        <v>590580733</v>
      </c>
      <c r="F239" s="2543">
        <v>578417993</v>
      </c>
      <c r="G239" s="2541">
        <v>743143763</v>
      </c>
      <c r="H239" s="2541">
        <v>743143763</v>
      </c>
      <c r="I239" s="2541">
        <v>590580733</v>
      </c>
      <c r="J239" s="2545">
        <v>578417993</v>
      </c>
      <c r="K239" s="2543">
        <v>590580733</v>
      </c>
      <c r="L239" s="2543">
        <v>578417993</v>
      </c>
    </row>
    <row r="240" spans="1:12">
      <c r="A240" s="114" t="s">
        <v>1893</v>
      </c>
      <c r="B240" s="2540" t="s">
        <v>2426</v>
      </c>
      <c r="C240" s="2543">
        <v>829568400</v>
      </c>
      <c r="D240" s="2543">
        <v>804493588</v>
      </c>
      <c r="E240" s="2543">
        <v>829568400</v>
      </c>
      <c r="F240" s="2543">
        <v>804493588</v>
      </c>
      <c r="G240" s="2541">
        <v>660242894</v>
      </c>
      <c r="H240" s="2541">
        <v>660242894</v>
      </c>
      <c r="I240" s="2541">
        <v>829568400</v>
      </c>
      <c r="J240" s="2545">
        <v>804493588</v>
      </c>
      <c r="K240" s="2543">
        <v>829568400</v>
      </c>
      <c r="L240" s="2543">
        <v>804493588</v>
      </c>
    </row>
    <row r="241" spans="1:12">
      <c r="A241" s="114" t="s">
        <v>532</v>
      </c>
      <c r="B241" s="2540" t="s">
        <v>2353</v>
      </c>
      <c r="C241" s="2543">
        <v>946109832</v>
      </c>
      <c r="D241" s="2543">
        <v>917730221</v>
      </c>
      <c r="E241" s="2543">
        <v>946109832</v>
      </c>
      <c r="F241" s="2543">
        <v>917730221</v>
      </c>
      <c r="G241" s="2541">
        <v>799379122</v>
      </c>
      <c r="H241" s="2541">
        <v>799379122</v>
      </c>
      <c r="I241" s="2541">
        <v>946109832</v>
      </c>
      <c r="J241" s="2545">
        <v>917730221</v>
      </c>
      <c r="K241" s="2543">
        <v>946109832</v>
      </c>
      <c r="L241" s="2543">
        <v>917730221</v>
      </c>
    </row>
    <row r="242" spans="1:12">
      <c r="A242" s="114" t="s">
        <v>2099</v>
      </c>
      <c r="B242" s="2540" t="s">
        <v>3015</v>
      </c>
      <c r="C242" s="2543">
        <v>1522885752</v>
      </c>
      <c r="D242" s="2543">
        <v>1497701119</v>
      </c>
      <c r="E242" s="2543">
        <v>1522885752</v>
      </c>
      <c r="F242" s="2543">
        <v>1497701119</v>
      </c>
      <c r="G242" s="2541">
        <v>1224877168</v>
      </c>
      <c r="H242" s="2541">
        <v>1224877168</v>
      </c>
      <c r="I242" s="2541">
        <v>1522885752</v>
      </c>
      <c r="J242" s="2545">
        <v>1497701119</v>
      </c>
      <c r="K242" s="2543">
        <v>1522885752</v>
      </c>
      <c r="L242" s="2543">
        <v>1497701119</v>
      </c>
    </row>
    <row r="243" spans="1:12">
      <c r="A243" s="114" t="s">
        <v>1590</v>
      </c>
      <c r="B243" s="2540" t="s">
        <v>1425</v>
      </c>
      <c r="C243" s="2543">
        <v>13134202193</v>
      </c>
      <c r="D243" s="2543">
        <v>12917014030</v>
      </c>
      <c r="E243" s="2543">
        <v>13134202193</v>
      </c>
      <c r="F243" s="2543">
        <v>12917014030</v>
      </c>
      <c r="G243" s="2541">
        <v>11823977719</v>
      </c>
      <c r="H243" s="2541">
        <v>11823977719</v>
      </c>
      <c r="I243" s="2541">
        <v>13134202193</v>
      </c>
      <c r="J243" s="2545">
        <v>12917014030</v>
      </c>
      <c r="K243" s="2543">
        <v>13134202193</v>
      </c>
      <c r="L243" s="2543">
        <v>12917014030</v>
      </c>
    </row>
    <row r="244" spans="1:12">
      <c r="A244" s="114" t="s">
        <v>68</v>
      </c>
      <c r="B244" s="2540" t="s">
        <v>2623</v>
      </c>
      <c r="C244" s="2543">
        <v>1612882015</v>
      </c>
      <c r="D244" s="2543">
        <v>1565722144</v>
      </c>
      <c r="E244" s="2543">
        <v>1612882015</v>
      </c>
      <c r="F244" s="2543">
        <v>1565722144</v>
      </c>
      <c r="G244" s="2541">
        <v>1372140611</v>
      </c>
      <c r="H244" s="2541">
        <v>1372140611</v>
      </c>
      <c r="I244" s="2541">
        <v>1612882015</v>
      </c>
      <c r="J244" s="2545">
        <v>1565722144</v>
      </c>
      <c r="K244" s="2543">
        <v>1612882015</v>
      </c>
      <c r="L244" s="2543">
        <v>1565722144</v>
      </c>
    </row>
    <row r="245" spans="1:12">
      <c r="A245" s="114" t="s">
        <v>712</v>
      </c>
      <c r="B245" s="2540" t="s">
        <v>1764</v>
      </c>
      <c r="C245" s="2543">
        <v>3261071095</v>
      </c>
      <c r="D245" s="2543">
        <v>3176431895</v>
      </c>
      <c r="E245" s="2543">
        <v>3261071095</v>
      </c>
      <c r="F245" s="2543">
        <v>3176431895</v>
      </c>
      <c r="G245" s="2541">
        <v>2389358047</v>
      </c>
      <c r="H245" s="2541">
        <v>2389358047</v>
      </c>
      <c r="I245" s="2541">
        <v>3261071095</v>
      </c>
      <c r="J245" s="2545">
        <v>3176431895</v>
      </c>
      <c r="K245" s="2543">
        <v>3261071095</v>
      </c>
      <c r="L245" s="2543">
        <v>3176431895</v>
      </c>
    </row>
    <row r="246" spans="1:12">
      <c r="A246" s="114" t="s">
        <v>2864</v>
      </c>
      <c r="B246" s="2540" t="s">
        <v>461</v>
      </c>
      <c r="C246" s="2543">
        <v>1207220634</v>
      </c>
      <c r="D246" s="2543">
        <v>1189693184</v>
      </c>
      <c r="E246" s="2543">
        <v>1207220634</v>
      </c>
      <c r="F246" s="2543">
        <v>1189693184</v>
      </c>
      <c r="G246" s="2541">
        <v>2478430890</v>
      </c>
      <c r="H246" s="2541">
        <v>2478430890</v>
      </c>
      <c r="I246" s="2541">
        <v>1207220634</v>
      </c>
      <c r="J246" s="2545">
        <v>1189693184</v>
      </c>
      <c r="K246" s="2543">
        <v>1207220634</v>
      </c>
      <c r="L246" s="2543">
        <v>1189693184</v>
      </c>
    </row>
    <row r="247" spans="1:12">
      <c r="A247" s="114" t="s">
        <v>2100</v>
      </c>
      <c r="B247" s="2540" t="s">
        <v>3016</v>
      </c>
      <c r="C247" s="2543">
        <v>491165631</v>
      </c>
      <c r="D247" s="2543">
        <v>489191411</v>
      </c>
      <c r="E247" s="2543">
        <v>491165631</v>
      </c>
      <c r="F247" s="2543">
        <v>489191411</v>
      </c>
      <c r="G247" s="2541">
        <v>843332503</v>
      </c>
      <c r="H247" s="2541">
        <v>843332503</v>
      </c>
      <c r="I247" s="2541">
        <v>491165631</v>
      </c>
      <c r="J247" s="2545">
        <v>489191411</v>
      </c>
      <c r="K247" s="2543">
        <v>491165631</v>
      </c>
      <c r="L247" s="2543">
        <v>489191411</v>
      </c>
    </row>
    <row r="248" spans="1:12">
      <c r="A248" s="114" t="s">
        <v>1352</v>
      </c>
      <c r="B248" s="2540" t="s">
        <v>2511</v>
      </c>
      <c r="C248" s="2543">
        <v>649286511</v>
      </c>
      <c r="D248" s="2543">
        <v>630995098</v>
      </c>
      <c r="E248" s="2543">
        <v>649286511</v>
      </c>
      <c r="F248" s="2543">
        <v>630995098</v>
      </c>
      <c r="G248" s="2541">
        <v>1086417188</v>
      </c>
      <c r="H248" s="2541">
        <v>1086417188</v>
      </c>
      <c r="I248" s="2541">
        <v>1091604771</v>
      </c>
      <c r="J248" s="2545">
        <v>1073313358</v>
      </c>
      <c r="K248" s="2543">
        <v>1091604771</v>
      </c>
      <c r="L248" s="2543">
        <v>1073313358</v>
      </c>
    </row>
    <row r="249" spans="1:12">
      <c r="A249" s="114" t="s">
        <v>2101</v>
      </c>
      <c r="B249" s="2540" t="s">
        <v>3017</v>
      </c>
      <c r="C249" s="2543">
        <v>1645144309</v>
      </c>
      <c r="D249" s="2543">
        <v>1636230819</v>
      </c>
      <c r="E249" s="2543">
        <v>1645144309</v>
      </c>
      <c r="F249" s="2543">
        <v>1636230819</v>
      </c>
      <c r="G249" s="2541">
        <v>2741104528</v>
      </c>
      <c r="H249" s="2541">
        <v>2741104528</v>
      </c>
      <c r="I249" s="2541">
        <v>1645144309</v>
      </c>
      <c r="J249" s="2545">
        <v>1636230819</v>
      </c>
      <c r="K249" s="2543">
        <v>1645144309</v>
      </c>
      <c r="L249" s="2543">
        <v>1636230819</v>
      </c>
    </row>
    <row r="250" spans="1:12">
      <c r="A250" s="114" t="s">
        <v>796</v>
      </c>
      <c r="B250" s="2540" t="s">
        <v>3018</v>
      </c>
      <c r="C250" s="2543">
        <v>1151226762</v>
      </c>
      <c r="D250" s="2543">
        <v>1149947482</v>
      </c>
      <c r="E250" s="2543">
        <v>1151226762</v>
      </c>
      <c r="F250" s="2543">
        <v>1149947482</v>
      </c>
      <c r="G250" s="2541">
        <v>1520851321</v>
      </c>
      <c r="H250" s="2541">
        <v>1520851321</v>
      </c>
      <c r="I250" s="2541">
        <v>1151226762</v>
      </c>
      <c r="J250" s="2545">
        <v>1149947482</v>
      </c>
      <c r="K250" s="2543">
        <v>1151226762</v>
      </c>
      <c r="L250" s="2543">
        <v>1149947482</v>
      </c>
    </row>
    <row r="251" spans="1:12">
      <c r="A251" s="114" t="s">
        <v>330</v>
      </c>
      <c r="B251" s="2540" t="s">
        <v>3019</v>
      </c>
      <c r="C251" s="2543">
        <v>77046657</v>
      </c>
      <c r="D251" s="2543">
        <v>73768509</v>
      </c>
      <c r="E251" s="2543">
        <v>77046657</v>
      </c>
      <c r="F251" s="2543">
        <v>73768509</v>
      </c>
      <c r="G251" s="2541">
        <v>64618014</v>
      </c>
      <c r="H251" s="2541">
        <v>64618014</v>
      </c>
      <c r="I251" s="2541">
        <v>77046657</v>
      </c>
      <c r="J251" s="2545">
        <v>73768509</v>
      </c>
      <c r="K251" s="2543">
        <v>77046657</v>
      </c>
      <c r="L251" s="2543">
        <v>73768509</v>
      </c>
    </row>
    <row r="252" spans="1:12">
      <c r="A252" s="114" t="s">
        <v>203</v>
      </c>
      <c r="B252" s="2540" t="s">
        <v>3020</v>
      </c>
      <c r="C252" s="2543">
        <v>123807494</v>
      </c>
      <c r="D252" s="2543">
        <v>120960394</v>
      </c>
      <c r="E252" s="2543">
        <v>123807494</v>
      </c>
      <c r="F252" s="2543">
        <v>120960394</v>
      </c>
      <c r="G252" s="2541">
        <v>220776485</v>
      </c>
      <c r="H252" s="2541">
        <v>220776485</v>
      </c>
      <c r="I252" s="2541">
        <v>209672624</v>
      </c>
      <c r="J252" s="2545">
        <v>206825524</v>
      </c>
      <c r="K252" s="2543">
        <v>209672624</v>
      </c>
      <c r="L252" s="2543">
        <v>206825524</v>
      </c>
    </row>
    <row r="253" spans="1:12">
      <c r="A253" s="114" t="s">
        <v>204</v>
      </c>
      <c r="B253" s="2540" t="s">
        <v>3021</v>
      </c>
      <c r="C253" s="2543">
        <v>86129069</v>
      </c>
      <c r="D253" s="2543">
        <v>85674649</v>
      </c>
      <c r="E253" s="2543">
        <v>86129069</v>
      </c>
      <c r="F253" s="2543">
        <v>85674649</v>
      </c>
      <c r="G253" s="2541">
        <v>84626534</v>
      </c>
      <c r="H253" s="2541">
        <v>84626534</v>
      </c>
      <c r="I253" s="2541">
        <v>86129069</v>
      </c>
      <c r="J253" s="2545">
        <v>85674649</v>
      </c>
      <c r="K253" s="2543">
        <v>86129069</v>
      </c>
      <c r="L253" s="2543">
        <v>85674649</v>
      </c>
    </row>
    <row r="254" spans="1:12">
      <c r="A254" s="114" t="s">
        <v>816</v>
      </c>
      <c r="B254" s="2540" t="s">
        <v>37</v>
      </c>
      <c r="C254" s="2543">
        <v>3557755901</v>
      </c>
      <c r="D254" s="2543">
        <v>3541407953</v>
      </c>
      <c r="E254" s="2543">
        <v>3545473856</v>
      </c>
      <c r="F254" s="2543">
        <v>3529125908</v>
      </c>
      <c r="G254" s="2541">
        <v>7228603830</v>
      </c>
      <c r="H254" s="2541">
        <v>7214918321</v>
      </c>
      <c r="I254" s="2541">
        <v>3557755901</v>
      </c>
      <c r="J254" s="2545">
        <v>3541407953</v>
      </c>
      <c r="K254" s="2543">
        <v>3545473856</v>
      </c>
      <c r="L254" s="2543">
        <v>3529125908</v>
      </c>
    </row>
    <row r="255" spans="1:12">
      <c r="A255" s="114" t="s">
        <v>3025</v>
      </c>
      <c r="B255" s="2540" t="s">
        <v>2235</v>
      </c>
      <c r="C255" s="2543">
        <v>151596515</v>
      </c>
      <c r="D255" s="2543">
        <v>145788357</v>
      </c>
      <c r="E255" s="2543">
        <v>151596515</v>
      </c>
      <c r="F255" s="2543">
        <v>145788357</v>
      </c>
      <c r="G255" s="2541">
        <v>144286945</v>
      </c>
      <c r="H255" s="2541">
        <v>144286945</v>
      </c>
      <c r="I255" s="2541">
        <v>151596515</v>
      </c>
      <c r="J255" s="2545">
        <v>145788357</v>
      </c>
      <c r="K255" s="2543">
        <v>151596515</v>
      </c>
      <c r="L255" s="2543">
        <v>145788357</v>
      </c>
    </row>
    <row r="256" spans="1:12">
      <c r="A256" s="114" t="s">
        <v>1753</v>
      </c>
      <c r="B256" s="2540" t="s">
        <v>2721</v>
      </c>
      <c r="C256" s="2543">
        <v>57264598</v>
      </c>
      <c r="D256" s="2543">
        <v>56600510</v>
      </c>
      <c r="E256" s="2543">
        <v>57264598</v>
      </c>
      <c r="F256" s="2543">
        <v>56600510</v>
      </c>
      <c r="G256" s="2541">
        <v>53653074</v>
      </c>
      <c r="H256" s="2541">
        <v>53653074</v>
      </c>
      <c r="I256" s="2541">
        <v>57264598</v>
      </c>
      <c r="J256" s="2545">
        <v>56600510</v>
      </c>
      <c r="K256" s="2543">
        <v>57264598</v>
      </c>
      <c r="L256" s="2543">
        <v>56600510</v>
      </c>
    </row>
    <row r="257" spans="1:12">
      <c r="A257" s="114" t="s">
        <v>3026</v>
      </c>
      <c r="B257" s="2540" t="s">
        <v>2236</v>
      </c>
      <c r="C257" s="2543">
        <v>24363768</v>
      </c>
      <c r="D257" s="2543">
        <v>24129344</v>
      </c>
      <c r="E257" s="2543">
        <v>24178911</v>
      </c>
      <c r="F257" s="2543">
        <v>23944487</v>
      </c>
      <c r="G257" s="2541">
        <v>26005926</v>
      </c>
      <c r="H257" s="2541">
        <v>25907826</v>
      </c>
      <c r="I257" s="2541">
        <v>24363768</v>
      </c>
      <c r="J257" s="2545">
        <v>24129344</v>
      </c>
      <c r="K257" s="2543">
        <v>24178911</v>
      </c>
      <c r="L257" s="2543">
        <v>23944487</v>
      </c>
    </row>
    <row r="258" spans="1:12">
      <c r="A258" s="114" t="s">
        <v>3027</v>
      </c>
      <c r="B258" s="2540" t="s">
        <v>2237</v>
      </c>
      <c r="C258" s="2543">
        <v>203307079</v>
      </c>
      <c r="D258" s="2543">
        <v>199821895</v>
      </c>
      <c r="E258" s="2543">
        <v>203307079</v>
      </c>
      <c r="F258" s="2543">
        <v>199821895</v>
      </c>
      <c r="G258" s="2541">
        <v>248866942</v>
      </c>
      <c r="H258" s="2541">
        <v>248866942</v>
      </c>
      <c r="I258" s="2541">
        <v>203307079</v>
      </c>
      <c r="J258" s="2545">
        <v>199821895</v>
      </c>
      <c r="K258" s="2543">
        <v>203307079</v>
      </c>
      <c r="L258" s="2543">
        <v>199821895</v>
      </c>
    </row>
    <row r="259" spans="1:12">
      <c r="A259" s="114" t="s">
        <v>817</v>
      </c>
      <c r="B259" s="2540" t="s">
        <v>2310</v>
      </c>
      <c r="C259" s="2543">
        <v>192385673</v>
      </c>
      <c r="D259" s="2543">
        <v>184697296</v>
      </c>
      <c r="E259" s="2543">
        <v>192385673</v>
      </c>
      <c r="F259" s="2543">
        <v>184697296</v>
      </c>
      <c r="G259" s="2541">
        <v>205645057</v>
      </c>
      <c r="H259" s="2541">
        <v>205645057</v>
      </c>
      <c r="I259" s="2541">
        <v>192385673</v>
      </c>
      <c r="J259" s="2545">
        <v>184697296</v>
      </c>
      <c r="K259" s="2543">
        <v>192385673</v>
      </c>
      <c r="L259" s="2543">
        <v>184697296</v>
      </c>
    </row>
    <row r="260" spans="1:12">
      <c r="A260" s="114" t="s">
        <v>776</v>
      </c>
      <c r="B260" s="2540" t="s">
        <v>2238</v>
      </c>
      <c r="C260" s="2543">
        <v>272557525</v>
      </c>
      <c r="D260" s="2543">
        <v>266856892</v>
      </c>
      <c r="E260" s="2543">
        <v>269356637</v>
      </c>
      <c r="F260" s="2543">
        <v>263656004</v>
      </c>
      <c r="G260" s="2541">
        <v>363072214</v>
      </c>
      <c r="H260" s="2541">
        <v>360060599</v>
      </c>
      <c r="I260" s="2541">
        <v>272557525</v>
      </c>
      <c r="J260" s="2545">
        <v>266856892</v>
      </c>
      <c r="K260" s="2543">
        <v>269356637</v>
      </c>
      <c r="L260" s="2543">
        <v>263656004</v>
      </c>
    </row>
    <row r="261" spans="1:12">
      <c r="A261" s="114" t="s">
        <v>2463</v>
      </c>
      <c r="B261" s="2540" t="s">
        <v>2465</v>
      </c>
      <c r="C261" s="2543">
        <v>538554943</v>
      </c>
      <c r="D261" s="2543">
        <v>528422803</v>
      </c>
      <c r="E261" s="2543">
        <v>538554943</v>
      </c>
      <c r="F261" s="2543">
        <v>528422803</v>
      </c>
      <c r="G261" s="2541">
        <v>619228196</v>
      </c>
      <c r="H261" s="2541">
        <v>619228196</v>
      </c>
      <c r="I261" s="2541">
        <v>538554943</v>
      </c>
      <c r="J261" s="2545">
        <v>528422803</v>
      </c>
      <c r="K261" s="2543">
        <v>538554943</v>
      </c>
      <c r="L261" s="2543">
        <v>528422803</v>
      </c>
    </row>
    <row r="262" spans="1:12">
      <c r="A262" s="114" t="s">
        <v>2620</v>
      </c>
      <c r="B262" s="2540" t="s">
        <v>2239</v>
      </c>
      <c r="C262" s="2543">
        <v>473544679</v>
      </c>
      <c r="D262" s="2543">
        <v>459030229</v>
      </c>
      <c r="E262" s="2543">
        <v>473544679</v>
      </c>
      <c r="F262" s="2543">
        <v>459030229</v>
      </c>
      <c r="G262" s="2541">
        <v>454733784</v>
      </c>
      <c r="H262" s="2541">
        <v>454733784</v>
      </c>
      <c r="I262" s="2541">
        <v>473544679</v>
      </c>
      <c r="J262" s="2545">
        <v>459030229</v>
      </c>
      <c r="K262" s="2543">
        <v>473544679</v>
      </c>
      <c r="L262" s="2543">
        <v>459030229</v>
      </c>
    </row>
    <row r="263" spans="1:12">
      <c r="A263" s="114" t="s">
        <v>2007</v>
      </c>
      <c r="B263" s="2540" t="s">
        <v>2240</v>
      </c>
      <c r="C263" s="2543">
        <v>112387864</v>
      </c>
      <c r="D263" s="2543">
        <v>108897607</v>
      </c>
      <c r="E263" s="2543">
        <v>112387864</v>
      </c>
      <c r="F263" s="2543">
        <v>108897607</v>
      </c>
      <c r="G263" s="2541">
        <v>115053254</v>
      </c>
      <c r="H263" s="2541">
        <v>115053254</v>
      </c>
      <c r="I263" s="2541">
        <v>112387864</v>
      </c>
      <c r="J263" s="2545">
        <v>108897607</v>
      </c>
      <c r="K263" s="2543">
        <v>112387864</v>
      </c>
      <c r="L263" s="2543">
        <v>108897607</v>
      </c>
    </row>
    <row r="264" spans="1:12">
      <c r="A264" s="114" t="s">
        <v>672</v>
      </c>
      <c r="B264" s="2540" t="s">
        <v>2241</v>
      </c>
      <c r="C264" s="2543">
        <v>124703354</v>
      </c>
      <c r="D264" s="2543">
        <v>120576484</v>
      </c>
      <c r="E264" s="2543">
        <v>124703354</v>
      </c>
      <c r="F264" s="2543">
        <v>120576484</v>
      </c>
      <c r="G264" s="2541">
        <v>106028640</v>
      </c>
      <c r="H264" s="2541">
        <v>106028640</v>
      </c>
      <c r="I264" s="2541">
        <v>124703354</v>
      </c>
      <c r="J264" s="2545">
        <v>120576484</v>
      </c>
      <c r="K264" s="2543">
        <v>124703354</v>
      </c>
      <c r="L264" s="2543">
        <v>120576484</v>
      </c>
    </row>
    <row r="265" spans="1:12">
      <c r="A265" s="114" t="s">
        <v>1034</v>
      </c>
      <c r="B265" s="2540" t="s">
        <v>2242</v>
      </c>
      <c r="C265" s="2543">
        <v>49064338</v>
      </c>
      <c r="D265" s="2543">
        <v>46364078</v>
      </c>
      <c r="E265" s="2543">
        <v>49064338</v>
      </c>
      <c r="F265" s="2543">
        <v>46364078</v>
      </c>
      <c r="G265" s="2541">
        <v>44739216</v>
      </c>
      <c r="H265" s="2541">
        <v>44739216</v>
      </c>
      <c r="I265" s="2541">
        <v>49064338</v>
      </c>
      <c r="J265" s="2545">
        <v>46364078</v>
      </c>
      <c r="K265" s="2543">
        <v>49064338</v>
      </c>
      <c r="L265" s="2543">
        <v>46364078</v>
      </c>
    </row>
    <row r="266" spans="1:12">
      <c r="A266" s="114" t="s">
        <v>2442</v>
      </c>
      <c r="B266" s="2540" t="s">
        <v>2243</v>
      </c>
      <c r="C266" s="2543">
        <v>12585471099</v>
      </c>
      <c r="D266" s="2543">
        <v>12328544880</v>
      </c>
      <c r="E266" s="2543">
        <v>12201318857</v>
      </c>
      <c r="F266" s="2543">
        <v>11944392638</v>
      </c>
      <c r="G266" s="2541">
        <v>15280886701</v>
      </c>
      <c r="H266" s="2541">
        <v>14931889394</v>
      </c>
      <c r="I266" s="2541">
        <v>12585471099</v>
      </c>
      <c r="J266" s="2545">
        <v>12328544880</v>
      </c>
      <c r="K266" s="2543">
        <v>12201318857</v>
      </c>
      <c r="L266" s="2543">
        <v>11944392638</v>
      </c>
    </row>
    <row r="267" spans="1:12">
      <c r="A267" s="114" t="s">
        <v>2976</v>
      </c>
      <c r="B267" s="2540" t="s">
        <v>2244</v>
      </c>
      <c r="C267" s="2543">
        <v>297670537</v>
      </c>
      <c r="D267" s="2543">
        <v>294717273</v>
      </c>
      <c r="E267" s="2543">
        <v>297670537</v>
      </c>
      <c r="F267" s="2543">
        <v>294717273</v>
      </c>
      <c r="G267" s="2541">
        <v>322900813</v>
      </c>
      <c r="H267" s="2541">
        <v>322900813</v>
      </c>
      <c r="I267" s="2541">
        <v>297670537</v>
      </c>
      <c r="J267" s="2545">
        <v>294717273</v>
      </c>
      <c r="K267" s="2543">
        <v>297670537</v>
      </c>
      <c r="L267" s="2543">
        <v>294717273</v>
      </c>
    </row>
    <row r="268" spans="1:12">
      <c r="A268" s="114" t="s">
        <v>2745</v>
      </c>
      <c r="B268" s="2540" t="s">
        <v>2245</v>
      </c>
      <c r="C268" s="2543">
        <v>229699355</v>
      </c>
      <c r="D268" s="2543">
        <v>225521316</v>
      </c>
      <c r="E268" s="2543">
        <v>229699355</v>
      </c>
      <c r="F268" s="2543">
        <v>225521316</v>
      </c>
      <c r="G268" s="2541">
        <v>228138818</v>
      </c>
      <c r="H268" s="2541">
        <v>228138818</v>
      </c>
      <c r="I268" s="2541">
        <v>229699355</v>
      </c>
      <c r="J268" s="2545">
        <v>225521316</v>
      </c>
      <c r="K268" s="2543">
        <v>229699355</v>
      </c>
      <c r="L268" s="2543">
        <v>225521316</v>
      </c>
    </row>
    <row r="269" spans="1:12">
      <c r="A269" s="114" t="s">
        <v>274</v>
      </c>
      <c r="B269" s="2540" t="s">
        <v>2427</v>
      </c>
      <c r="C269" s="2543">
        <v>38013253</v>
      </c>
      <c r="D269" s="2543">
        <v>36627860</v>
      </c>
      <c r="E269" s="2543">
        <v>38013253</v>
      </c>
      <c r="F269" s="2543">
        <v>36627860</v>
      </c>
      <c r="G269" s="2541">
        <v>36314498</v>
      </c>
      <c r="H269" s="2541">
        <v>36314498</v>
      </c>
      <c r="I269" s="2541">
        <v>38013253</v>
      </c>
      <c r="J269" s="2545">
        <v>36627860</v>
      </c>
      <c r="K269" s="2543">
        <v>38013253</v>
      </c>
      <c r="L269" s="2543">
        <v>36627860</v>
      </c>
    </row>
    <row r="270" spans="1:12">
      <c r="A270" s="114" t="s">
        <v>1585</v>
      </c>
      <c r="B270" s="2540" t="s">
        <v>2246</v>
      </c>
      <c r="C270" s="2543">
        <v>1921503922</v>
      </c>
      <c r="D270" s="2543">
        <v>1875991727</v>
      </c>
      <c r="E270" s="2543">
        <v>1921503922</v>
      </c>
      <c r="F270" s="2543">
        <v>1875991727</v>
      </c>
      <c r="G270" s="2541">
        <v>1774754612</v>
      </c>
      <c r="H270" s="2541">
        <v>1774754612</v>
      </c>
      <c r="I270" s="2541">
        <v>1921503922</v>
      </c>
      <c r="J270" s="2545">
        <v>1875991727</v>
      </c>
      <c r="K270" s="2543">
        <v>1921503922</v>
      </c>
      <c r="L270" s="2543">
        <v>1875991727</v>
      </c>
    </row>
    <row r="271" spans="1:12">
      <c r="A271" s="114" t="s">
        <v>1586</v>
      </c>
      <c r="B271" s="2540" t="s">
        <v>2247</v>
      </c>
      <c r="C271" s="2543">
        <v>335113874</v>
      </c>
      <c r="D271" s="2543">
        <v>318868594</v>
      </c>
      <c r="E271" s="2543">
        <v>335113874</v>
      </c>
      <c r="F271" s="2543">
        <v>318868594</v>
      </c>
      <c r="G271" s="2541">
        <v>313570993</v>
      </c>
      <c r="H271" s="2541">
        <v>313570993</v>
      </c>
      <c r="I271" s="2541">
        <v>335113874</v>
      </c>
      <c r="J271" s="2545">
        <v>318868594</v>
      </c>
      <c r="K271" s="2543">
        <v>335113874</v>
      </c>
      <c r="L271" s="2543">
        <v>318868594</v>
      </c>
    </row>
    <row r="272" spans="1:12">
      <c r="A272" s="114" t="s">
        <v>818</v>
      </c>
      <c r="B272" s="2540" t="s">
        <v>1442</v>
      </c>
      <c r="C272" s="2543">
        <v>112623038</v>
      </c>
      <c r="D272" s="2543">
        <v>107297898</v>
      </c>
      <c r="E272" s="2543">
        <v>112623038</v>
      </c>
      <c r="F272" s="2543">
        <v>107297898</v>
      </c>
      <c r="G272" s="2541">
        <v>98044103</v>
      </c>
      <c r="H272" s="2541">
        <v>98044103</v>
      </c>
      <c r="I272" s="2541">
        <v>112623038</v>
      </c>
      <c r="J272" s="2545">
        <v>107297898</v>
      </c>
      <c r="K272" s="2543">
        <v>112623038</v>
      </c>
      <c r="L272" s="2543">
        <v>107297898</v>
      </c>
    </row>
    <row r="273" spans="1:12">
      <c r="A273" s="114" t="s">
        <v>1581</v>
      </c>
      <c r="B273" s="2540" t="s">
        <v>2248</v>
      </c>
      <c r="C273" s="2543">
        <v>3560604179</v>
      </c>
      <c r="D273" s="2543">
        <v>3466925920</v>
      </c>
      <c r="E273" s="2543">
        <v>3454780757</v>
      </c>
      <c r="F273" s="2543">
        <v>3361102498</v>
      </c>
      <c r="G273" s="2541">
        <v>2987022280</v>
      </c>
      <c r="H273" s="2541">
        <v>2896286132</v>
      </c>
      <c r="I273" s="2541">
        <v>3560604179</v>
      </c>
      <c r="J273" s="2545">
        <v>3466925920</v>
      </c>
      <c r="K273" s="2543">
        <v>3454780757</v>
      </c>
      <c r="L273" s="2543">
        <v>3361102498</v>
      </c>
    </row>
    <row r="274" spans="1:12">
      <c r="A274" s="114" t="s">
        <v>1049</v>
      </c>
      <c r="B274" s="2540" t="s">
        <v>2249</v>
      </c>
      <c r="C274" s="2543">
        <v>79196235</v>
      </c>
      <c r="D274" s="2543">
        <v>77049166</v>
      </c>
      <c r="E274" s="2543">
        <v>79196235</v>
      </c>
      <c r="F274" s="2543">
        <v>77049166</v>
      </c>
      <c r="G274" s="2541">
        <v>78799852</v>
      </c>
      <c r="H274" s="2541">
        <v>78799852</v>
      </c>
      <c r="I274" s="2541">
        <v>79196235</v>
      </c>
      <c r="J274" s="2545">
        <v>77049166</v>
      </c>
      <c r="K274" s="2543">
        <v>79196235</v>
      </c>
      <c r="L274" s="2543">
        <v>77049166</v>
      </c>
    </row>
    <row r="275" spans="1:12">
      <c r="A275" s="114" t="s">
        <v>275</v>
      </c>
      <c r="B275" s="2540" t="s">
        <v>1539</v>
      </c>
      <c r="C275" s="2543">
        <v>241813801</v>
      </c>
      <c r="D275" s="2543">
        <v>230928626</v>
      </c>
      <c r="E275" s="2543">
        <v>241813801</v>
      </c>
      <c r="F275" s="2543">
        <v>230928626</v>
      </c>
      <c r="G275" s="2541">
        <v>216969036</v>
      </c>
      <c r="H275" s="2541">
        <v>216969036</v>
      </c>
      <c r="I275" s="2541">
        <v>241813801</v>
      </c>
      <c r="J275" s="2545">
        <v>230928626</v>
      </c>
      <c r="K275" s="2543">
        <v>241813801</v>
      </c>
      <c r="L275" s="2543">
        <v>230928626</v>
      </c>
    </row>
    <row r="276" spans="1:12">
      <c r="A276" s="114" t="s">
        <v>2382</v>
      </c>
      <c r="B276" s="2540" t="s">
        <v>92</v>
      </c>
      <c r="C276" s="2543">
        <v>1552472316</v>
      </c>
      <c r="D276" s="2543">
        <v>1490766885</v>
      </c>
      <c r="E276" s="2543">
        <v>1552472316</v>
      </c>
      <c r="F276" s="2543">
        <v>1490766885</v>
      </c>
      <c r="G276" s="2541">
        <v>1386194065</v>
      </c>
      <c r="H276" s="2541">
        <v>1386194065</v>
      </c>
      <c r="I276" s="2541">
        <v>1601588856</v>
      </c>
      <c r="J276" s="2545">
        <v>1539883425</v>
      </c>
      <c r="K276" s="2543">
        <v>1601588856</v>
      </c>
      <c r="L276" s="2543">
        <v>1539883425</v>
      </c>
    </row>
    <row r="277" spans="1:12">
      <c r="A277" s="114" t="s">
        <v>375</v>
      </c>
      <c r="B277" s="2540" t="s">
        <v>160</v>
      </c>
      <c r="C277" s="2543">
        <v>3409459375</v>
      </c>
      <c r="D277" s="2543">
        <v>3319576781</v>
      </c>
      <c r="E277" s="2543">
        <v>3409459375</v>
      </c>
      <c r="F277" s="2543">
        <v>3319576781</v>
      </c>
      <c r="G277" s="2541">
        <v>3000212327</v>
      </c>
      <c r="H277" s="2541">
        <v>3000212327</v>
      </c>
      <c r="I277" s="2541">
        <v>3409459375</v>
      </c>
      <c r="J277" s="2545">
        <v>3319576781</v>
      </c>
      <c r="K277" s="2543">
        <v>3409459375</v>
      </c>
      <c r="L277" s="2543">
        <v>3319576781</v>
      </c>
    </row>
    <row r="278" spans="1:12">
      <c r="A278" s="114" t="s">
        <v>819</v>
      </c>
      <c r="B278" s="2540" t="s">
        <v>2269</v>
      </c>
      <c r="C278" s="2543">
        <v>298265685</v>
      </c>
      <c r="D278" s="2543">
        <v>287593029</v>
      </c>
      <c r="E278" s="2543">
        <v>298265685</v>
      </c>
      <c r="F278" s="2543">
        <v>287593029</v>
      </c>
      <c r="G278" s="2541">
        <v>271331150</v>
      </c>
      <c r="H278" s="2541">
        <v>271331150</v>
      </c>
      <c r="I278" s="2541">
        <v>298265685</v>
      </c>
      <c r="J278" s="2545">
        <v>287593029</v>
      </c>
      <c r="K278" s="2543">
        <v>298265685</v>
      </c>
      <c r="L278" s="2543">
        <v>287593029</v>
      </c>
    </row>
    <row r="279" spans="1:12">
      <c r="A279" s="114" t="s">
        <v>629</v>
      </c>
      <c r="B279" s="2540" t="s">
        <v>1331</v>
      </c>
      <c r="C279" s="2543">
        <v>1119067888</v>
      </c>
      <c r="D279" s="2543">
        <v>1058830350</v>
      </c>
      <c r="E279" s="2543">
        <v>1119067888</v>
      </c>
      <c r="F279" s="2543">
        <v>1058830350</v>
      </c>
      <c r="G279" s="2541">
        <v>1043204314</v>
      </c>
      <c r="H279" s="2541">
        <v>1043204314</v>
      </c>
      <c r="I279" s="2541">
        <v>1119067888</v>
      </c>
      <c r="J279" s="2545">
        <v>1058830350</v>
      </c>
      <c r="K279" s="2543">
        <v>1119067888</v>
      </c>
      <c r="L279" s="2543">
        <v>1058830350</v>
      </c>
    </row>
    <row r="280" spans="1:12">
      <c r="A280" s="114" t="s">
        <v>2767</v>
      </c>
      <c r="B280" s="2540" t="s">
        <v>2250</v>
      </c>
      <c r="C280" s="2543">
        <v>16331066551</v>
      </c>
      <c r="D280" s="2543">
        <v>15781063249</v>
      </c>
      <c r="E280" s="2543">
        <v>16331066551</v>
      </c>
      <c r="F280" s="2543">
        <v>15781063249</v>
      </c>
      <c r="G280" s="2541">
        <v>15835167752</v>
      </c>
      <c r="H280" s="2541">
        <v>15835167752</v>
      </c>
      <c r="I280" s="2541">
        <v>16331066551</v>
      </c>
      <c r="J280" s="2545">
        <v>15781063249</v>
      </c>
      <c r="K280" s="2543">
        <v>16331066551</v>
      </c>
      <c r="L280" s="2543">
        <v>15781063249</v>
      </c>
    </row>
    <row r="281" spans="1:12">
      <c r="A281" s="114" t="s">
        <v>878</v>
      </c>
      <c r="B281" s="2540" t="s">
        <v>1004</v>
      </c>
      <c r="C281" s="2543">
        <v>166108166</v>
      </c>
      <c r="D281" s="2543">
        <v>158173374</v>
      </c>
      <c r="E281" s="2543">
        <v>166108166</v>
      </c>
      <c r="F281" s="2543">
        <v>158173374</v>
      </c>
      <c r="G281" s="2541">
        <v>160551583</v>
      </c>
      <c r="H281" s="2541">
        <v>160551583</v>
      </c>
      <c r="I281" s="2541">
        <v>166108166</v>
      </c>
      <c r="J281" s="2545">
        <v>158173374</v>
      </c>
      <c r="K281" s="2543">
        <v>166108166</v>
      </c>
      <c r="L281" s="2543">
        <v>158173374</v>
      </c>
    </row>
    <row r="282" spans="1:12">
      <c r="A282" s="114" t="s">
        <v>212</v>
      </c>
      <c r="B282" s="2540" t="s">
        <v>2311</v>
      </c>
      <c r="C282" s="2543">
        <v>225056881</v>
      </c>
      <c r="D282" s="2543">
        <v>212427155</v>
      </c>
      <c r="E282" s="2543">
        <v>225056881</v>
      </c>
      <c r="F282" s="2543">
        <v>212427155</v>
      </c>
      <c r="G282" s="2541">
        <v>194967915</v>
      </c>
      <c r="H282" s="2541">
        <v>194967915</v>
      </c>
      <c r="I282" s="2541">
        <v>225056881</v>
      </c>
      <c r="J282" s="2545">
        <v>212427155</v>
      </c>
      <c r="K282" s="2543">
        <v>225056881</v>
      </c>
      <c r="L282" s="2543">
        <v>212427155</v>
      </c>
    </row>
    <row r="283" spans="1:12">
      <c r="A283" s="114" t="s">
        <v>1353</v>
      </c>
      <c r="B283" s="2540" t="s">
        <v>861</v>
      </c>
      <c r="C283" s="2543">
        <v>7187392474</v>
      </c>
      <c r="D283" s="2543">
        <v>6827195892</v>
      </c>
      <c r="E283" s="2543">
        <v>6804456993</v>
      </c>
      <c r="F283" s="2543">
        <v>6444260411</v>
      </c>
      <c r="G283" s="2541">
        <v>6839522537</v>
      </c>
      <c r="H283" s="2541">
        <v>6434387025</v>
      </c>
      <c r="I283" s="2541">
        <v>7187392474</v>
      </c>
      <c r="J283" s="2545">
        <v>6827195892</v>
      </c>
      <c r="K283" s="2543">
        <v>6804456993</v>
      </c>
      <c r="L283" s="2543">
        <v>6444260411</v>
      </c>
    </row>
    <row r="284" spans="1:12">
      <c r="A284" s="114" t="s">
        <v>2401</v>
      </c>
      <c r="B284" s="2540" t="s">
        <v>153</v>
      </c>
      <c r="C284" s="2543">
        <v>191175089</v>
      </c>
      <c r="D284" s="2543">
        <v>184377771</v>
      </c>
      <c r="E284" s="2543">
        <v>191175089</v>
      </c>
      <c r="F284" s="2543">
        <v>184377771</v>
      </c>
      <c r="G284" s="2541">
        <v>178335822</v>
      </c>
      <c r="H284" s="2541">
        <v>178335822</v>
      </c>
      <c r="I284" s="2541">
        <v>191175089</v>
      </c>
      <c r="J284" s="2545">
        <v>184377771</v>
      </c>
      <c r="K284" s="2543">
        <v>191175089</v>
      </c>
      <c r="L284" s="2543">
        <v>184377771</v>
      </c>
    </row>
    <row r="285" spans="1:12">
      <c r="A285" s="114" t="s">
        <v>2157</v>
      </c>
      <c r="B285" s="2540" t="s">
        <v>728</v>
      </c>
      <c r="C285" s="2543">
        <v>1905597678</v>
      </c>
      <c r="D285" s="2543">
        <v>1855099918</v>
      </c>
      <c r="E285" s="2543">
        <v>1905597678</v>
      </c>
      <c r="F285" s="2543">
        <v>1855099918</v>
      </c>
      <c r="G285" s="2541">
        <v>1666600210</v>
      </c>
      <c r="H285" s="2541">
        <v>1666600210</v>
      </c>
      <c r="I285" s="2541">
        <v>1905597678</v>
      </c>
      <c r="J285" s="2545">
        <v>1855099918</v>
      </c>
      <c r="K285" s="2543">
        <v>1905597678</v>
      </c>
      <c r="L285" s="2543">
        <v>1855099918</v>
      </c>
    </row>
    <row r="286" spans="1:12">
      <c r="A286" s="114" t="s">
        <v>1710</v>
      </c>
      <c r="B286" s="2540" t="s">
        <v>661</v>
      </c>
      <c r="C286" s="2543">
        <v>68888834</v>
      </c>
      <c r="D286" s="2543">
        <v>67070931</v>
      </c>
      <c r="E286" s="2543">
        <v>68888834</v>
      </c>
      <c r="F286" s="2543">
        <v>67070931</v>
      </c>
      <c r="G286" s="2541">
        <v>62492774</v>
      </c>
      <c r="H286" s="2541">
        <v>62492774</v>
      </c>
      <c r="I286" s="2541">
        <v>68888834</v>
      </c>
      <c r="J286" s="2545">
        <v>67070931</v>
      </c>
      <c r="K286" s="2543">
        <v>68888834</v>
      </c>
      <c r="L286" s="2543">
        <v>67070931</v>
      </c>
    </row>
    <row r="287" spans="1:12">
      <c r="A287" s="114" t="s">
        <v>1315</v>
      </c>
      <c r="B287" s="2540" t="s">
        <v>2204</v>
      </c>
      <c r="C287" s="2543">
        <v>9340488830</v>
      </c>
      <c r="D287" s="2543">
        <v>8940898471</v>
      </c>
      <c r="E287" s="2543">
        <v>9340488830</v>
      </c>
      <c r="F287" s="2543">
        <v>8940898471</v>
      </c>
      <c r="G287" s="2541">
        <v>8512919463</v>
      </c>
      <c r="H287" s="2541">
        <v>8512919463</v>
      </c>
      <c r="I287" s="2541">
        <v>9340488830</v>
      </c>
      <c r="J287" s="2545">
        <v>8940898471</v>
      </c>
      <c r="K287" s="2543">
        <v>9340488830</v>
      </c>
      <c r="L287" s="2543">
        <v>8940898471</v>
      </c>
    </row>
    <row r="288" spans="1:12">
      <c r="A288" s="114" t="s">
        <v>2768</v>
      </c>
      <c r="B288" s="2540" t="s">
        <v>2251</v>
      </c>
      <c r="C288" s="2543">
        <v>47377731</v>
      </c>
      <c r="D288" s="2543">
        <v>46084661</v>
      </c>
      <c r="E288" s="2543">
        <v>47377731</v>
      </c>
      <c r="F288" s="2543">
        <v>46084661</v>
      </c>
      <c r="G288" s="2541">
        <v>46897128</v>
      </c>
      <c r="H288" s="2541">
        <v>46897128</v>
      </c>
      <c r="I288" s="2541">
        <v>47377731</v>
      </c>
      <c r="J288" s="2545">
        <v>46084661</v>
      </c>
      <c r="K288" s="2543">
        <v>47377731</v>
      </c>
      <c r="L288" s="2543">
        <v>46084661</v>
      </c>
    </row>
    <row r="289" spans="1:12">
      <c r="A289" s="114" t="s">
        <v>2769</v>
      </c>
      <c r="B289" s="2540" t="s">
        <v>2252</v>
      </c>
      <c r="C289" s="2543">
        <v>299821761</v>
      </c>
      <c r="D289" s="2543">
        <v>286911223</v>
      </c>
      <c r="E289" s="2543">
        <v>299821761</v>
      </c>
      <c r="F289" s="2543">
        <v>286911223</v>
      </c>
      <c r="G289" s="2541">
        <v>279903194</v>
      </c>
      <c r="H289" s="2541">
        <v>279903194</v>
      </c>
      <c r="I289" s="2541">
        <v>299821761</v>
      </c>
      <c r="J289" s="2545">
        <v>286911223</v>
      </c>
      <c r="K289" s="2543">
        <v>299821761</v>
      </c>
      <c r="L289" s="2543">
        <v>286911223</v>
      </c>
    </row>
    <row r="290" spans="1:12">
      <c r="A290" s="114" t="s">
        <v>1704</v>
      </c>
      <c r="B290" s="2540" t="s">
        <v>2409</v>
      </c>
      <c r="C290" s="2543">
        <v>1555224059</v>
      </c>
      <c r="D290" s="2543">
        <v>1513391310</v>
      </c>
      <c r="E290" s="2543">
        <v>1555224059</v>
      </c>
      <c r="F290" s="2543">
        <v>1513391310</v>
      </c>
      <c r="G290" s="2541">
        <v>1462805195</v>
      </c>
      <c r="H290" s="2541">
        <v>1462805195</v>
      </c>
      <c r="I290" s="2541">
        <v>1555224059</v>
      </c>
      <c r="J290" s="2545">
        <v>1513391310</v>
      </c>
      <c r="K290" s="2543">
        <v>1555224059</v>
      </c>
      <c r="L290" s="2543">
        <v>1513391310</v>
      </c>
    </row>
    <row r="291" spans="1:12">
      <c r="A291" s="114" t="s">
        <v>2091</v>
      </c>
      <c r="B291" s="2540" t="s">
        <v>2253</v>
      </c>
      <c r="C291" s="2543">
        <v>131213723</v>
      </c>
      <c r="D291" s="2543">
        <v>128423143</v>
      </c>
      <c r="E291" s="2543">
        <v>131213723</v>
      </c>
      <c r="F291" s="2543">
        <v>128423143</v>
      </c>
      <c r="G291" s="2541">
        <v>123943284</v>
      </c>
      <c r="H291" s="2541">
        <v>123943284</v>
      </c>
      <c r="I291" s="2541">
        <v>131213723</v>
      </c>
      <c r="J291" s="2545">
        <v>128423143</v>
      </c>
      <c r="K291" s="2543">
        <v>131213723</v>
      </c>
      <c r="L291" s="2543">
        <v>128423143</v>
      </c>
    </row>
    <row r="292" spans="1:12">
      <c r="A292" s="114" t="s">
        <v>2092</v>
      </c>
      <c r="B292" s="2540" t="s">
        <v>2254</v>
      </c>
      <c r="C292" s="2543">
        <v>137277340</v>
      </c>
      <c r="D292" s="2543">
        <v>133939652</v>
      </c>
      <c r="E292" s="2543">
        <v>137277340</v>
      </c>
      <c r="F292" s="2543">
        <v>133939652</v>
      </c>
      <c r="G292" s="2541">
        <v>122505564</v>
      </c>
      <c r="H292" s="2541">
        <v>122505564</v>
      </c>
      <c r="I292" s="2541">
        <v>137277340</v>
      </c>
      <c r="J292" s="2545">
        <v>133939652</v>
      </c>
      <c r="K292" s="2543">
        <v>137277340</v>
      </c>
      <c r="L292" s="2543">
        <v>133939652</v>
      </c>
    </row>
    <row r="293" spans="1:12">
      <c r="A293" s="114" t="s">
        <v>1400</v>
      </c>
      <c r="B293" s="2540" t="s">
        <v>2827</v>
      </c>
      <c r="C293" s="2543">
        <v>86695242</v>
      </c>
      <c r="D293" s="2543">
        <v>84334582</v>
      </c>
      <c r="E293" s="2543">
        <v>86695242</v>
      </c>
      <c r="F293" s="2543">
        <v>84334582</v>
      </c>
      <c r="G293" s="2541">
        <v>94312367</v>
      </c>
      <c r="H293" s="2541">
        <v>94312367</v>
      </c>
      <c r="I293" s="2541">
        <v>117459332</v>
      </c>
      <c r="J293" s="2545">
        <v>115098672</v>
      </c>
      <c r="K293" s="2543">
        <v>117459332</v>
      </c>
      <c r="L293" s="2543">
        <v>115098672</v>
      </c>
    </row>
    <row r="294" spans="1:12">
      <c r="A294" s="114" t="s">
        <v>2093</v>
      </c>
      <c r="B294" s="2540" t="s">
        <v>2255</v>
      </c>
      <c r="C294" s="2543">
        <v>118645933</v>
      </c>
      <c r="D294" s="2543">
        <v>116165853</v>
      </c>
      <c r="E294" s="2543">
        <v>118645933</v>
      </c>
      <c r="F294" s="2543">
        <v>116165853</v>
      </c>
      <c r="G294" s="2541">
        <v>80820037</v>
      </c>
      <c r="H294" s="2541">
        <v>80820037</v>
      </c>
      <c r="I294" s="2541">
        <v>118645933</v>
      </c>
      <c r="J294" s="2545">
        <v>116165853</v>
      </c>
      <c r="K294" s="2543">
        <v>118645933</v>
      </c>
      <c r="L294" s="2543">
        <v>116165853</v>
      </c>
    </row>
    <row r="295" spans="1:12">
      <c r="A295" s="114" t="s">
        <v>229</v>
      </c>
      <c r="B295" s="2540" t="s">
        <v>1185</v>
      </c>
      <c r="C295" s="2543">
        <v>63864627</v>
      </c>
      <c r="D295" s="2543">
        <v>60647495</v>
      </c>
      <c r="E295" s="2543">
        <v>63864627</v>
      </c>
      <c r="F295" s="2543">
        <v>60647495</v>
      </c>
      <c r="G295" s="2541">
        <v>60305171</v>
      </c>
      <c r="H295" s="2541">
        <v>60305171</v>
      </c>
      <c r="I295" s="2541">
        <v>63864627</v>
      </c>
      <c r="J295" s="2545">
        <v>60647495</v>
      </c>
      <c r="K295" s="2543">
        <v>63864627</v>
      </c>
      <c r="L295" s="2543">
        <v>60647495</v>
      </c>
    </row>
    <row r="296" spans="1:12">
      <c r="A296" s="114" t="s">
        <v>2095</v>
      </c>
      <c r="B296" s="2540" t="s">
        <v>2357</v>
      </c>
      <c r="C296" s="2543">
        <v>253905299</v>
      </c>
      <c r="D296" s="2543">
        <v>242307774</v>
      </c>
      <c r="E296" s="2543">
        <v>253905299</v>
      </c>
      <c r="F296" s="2543">
        <v>242307774</v>
      </c>
      <c r="G296" s="2541">
        <v>230093838</v>
      </c>
      <c r="H296" s="2541">
        <v>230093838</v>
      </c>
      <c r="I296" s="2541">
        <v>253905299</v>
      </c>
      <c r="J296" s="2545">
        <v>242307774</v>
      </c>
      <c r="K296" s="2543">
        <v>253905299</v>
      </c>
      <c r="L296" s="2543">
        <v>242307774</v>
      </c>
    </row>
    <row r="297" spans="1:12">
      <c r="A297" s="114" t="s">
        <v>2103</v>
      </c>
      <c r="B297" s="2540" t="s">
        <v>1508</v>
      </c>
      <c r="C297" s="2543">
        <v>20549406</v>
      </c>
      <c r="D297" s="2543">
        <v>19436994</v>
      </c>
      <c r="E297" s="2543">
        <v>20549406</v>
      </c>
      <c r="F297" s="2543">
        <v>19436994</v>
      </c>
      <c r="G297" s="2541">
        <v>16280935</v>
      </c>
      <c r="H297" s="2541">
        <v>16280935</v>
      </c>
      <c r="I297" s="2541">
        <v>20549406</v>
      </c>
      <c r="J297" s="2545">
        <v>19436994</v>
      </c>
      <c r="K297" s="2543">
        <v>20549406</v>
      </c>
      <c r="L297" s="2543">
        <v>19436994</v>
      </c>
    </row>
    <row r="298" spans="1:12">
      <c r="A298" s="114" t="s">
        <v>230</v>
      </c>
      <c r="B298" s="2540" t="s">
        <v>2257</v>
      </c>
      <c r="C298" s="2543">
        <v>201456534</v>
      </c>
      <c r="D298" s="2543">
        <v>192899888</v>
      </c>
      <c r="E298" s="2543">
        <v>201456534</v>
      </c>
      <c r="F298" s="2543">
        <v>192899888</v>
      </c>
      <c r="G298" s="2541">
        <v>146336955</v>
      </c>
      <c r="H298" s="2541">
        <v>146336955</v>
      </c>
      <c r="I298" s="2541">
        <v>201456534</v>
      </c>
      <c r="J298" s="2545">
        <v>192899888</v>
      </c>
      <c r="K298" s="2543">
        <v>201456534</v>
      </c>
      <c r="L298" s="2543">
        <v>192899888</v>
      </c>
    </row>
    <row r="299" spans="1:12">
      <c r="A299" s="114" t="s">
        <v>231</v>
      </c>
      <c r="B299" s="2540" t="s">
        <v>1</v>
      </c>
      <c r="C299" s="2543">
        <v>644791344</v>
      </c>
      <c r="D299" s="2543">
        <v>614532908</v>
      </c>
      <c r="E299" s="2543">
        <v>644791344</v>
      </c>
      <c r="F299" s="2543">
        <v>614532908</v>
      </c>
      <c r="G299" s="2541">
        <v>571606237</v>
      </c>
      <c r="H299" s="2541">
        <v>571606237</v>
      </c>
      <c r="I299" s="2541">
        <v>644791344</v>
      </c>
      <c r="J299" s="2545">
        <v>614532908</v>
      </c>
      <c r="K299" s="2543">
        <v>644791344</v>
      </c>
      <c r="L299" s="2543">
        <v>614532908</v>
      </c>
    </row>
    <row r="300" spans="1:12">
      <c r="A300" s="114" t="s">
        <v>1401</v>
      </c>
      <c r="B300" s="2540" t="s">
        <v>2495</v>
      </c>
      <c r="C300" s="2543">
        <v>47892677</v>
      </c>
      <c r="D300" s="2543">
        <v>44950981</v>
      </c>
      <c r="E300" s="2543">
        <v>47892677</v>
      </c>
      <c r="F300" s="2543">
        <v>44950981</v>
      </c>
      <c r="G300" s="2541">
        <v>40310330</v>
      </c>
      <c r="H300" s="2541">
        <v>40310330</v>
      </c>
      <c r="I300" s="2541">
        <v>47892677</v>
      </c>
      <c r="J300" s="2545">
        <v>44950981</v>
      </c>
      <c r="K300" s="2543">
        <v>47892677</v>
      </c>
      <c r="L300" s="2543">
        <v>44950981</v>
      </c>
    </row>
    <row r="301" spans="1:12">
      <c r="A301" s="114" t="s">
        <v>820</v>
      </c>
      <c r="B301" s="2540" t="s">
        <v>1216</v>
      </c>
      <c r="C301" s="2543">
        <v>44001215</v>
      </c>
      <c r="D301" s="2543">
        <v>41667581</v>
      </c>
      <c r="E301" s="2543">
        <v>44001215</v>
      </c>
      <c r="F301" s="2543">
        <v>41667581</v>
      </c>
      <c r="G301" s="2541">
        <v>37733267</v>
      </c>
      <c r="H301" s="2541">
        <v>37733267</v>
      </c>
      <c r="I301" s="2541">
        <v>44001215</v>
      </c>
      <c r="J301" s="2545">
        <v>41667581</v>
      </c>
      <c r="K301" s="2543">
        <v>44001215</v>
      </c>
      <c r="L301" s="2543">
        <v>41667581</v>
      </c>
    </row>
    <row r="302" spans="1:12">
      <c r="A302" s="114" t="s">
        <v>232</v>
      </c>
      <c r="B302" s="2540" t="s">
        <v>2</v>
      </c>
      <c r="C302" s="2543">
        <v>185884689</v>
      </c>
      <c r="D302" s="2543">
        <v>177875156</v>
      </c>
      <c r="E302" s="2543">
        <v>185884689</v>
      </c>
      <c r="F302" s="2543">
        <v>177875156</v>
      </c>
      <c r="G302" s="2541">
        <v>175487868</v>
      </c>
      <c r="H302" s="2541">
        <v>175487868</v>
      </c>
      <c r="I302" s="2541">
        <v>185884689</v>
      </c>
      <c r="J302" s="2545">
        <v>177875156</v>
      </c>
      <c r="K302" s="2543">
        <v>185884689</v>
      </c>
      <c r="L302" s="2543">
        <v>177875156</v>
      </c>
    </row>
    <row r="303" spans="1:12">
      <c r="A303" s="114" t="s">
        <v>233</v>
      </c>
      <c r="B303" s="2540" t="s">
        <v>3</v>
      </c>
      <c r="C303" s="2543">
        <v>167421643</v>
      </c>
      <c r="D303" s="2543">
        <v>158944074</v>
      </c>
      <c r="E303" s="2543">
        <v>167421643</v>
      </c>
      <c r="F303" s="2543">
        <v>158944074</v>
      </c>
      <c r="G303" s="2541">
        <v>141228711</v>
      </c>
      <c r="H303" s="2541">
        <v>141228711</v>
      </c>
      <c r="I303" s="2541">
        <v>167421643</v>
      </c>
      <c r="J303" s="2545">
        <v>158944074</v>
      </c>
      <c r="K303" s="2543">
        <v>167421643</v>
      </c>
      <c r="L303" s="2543">
        <v>158944074</v>
      </c>
    </row>
    <row r="304" spans="1:12">
      <c r="A304" s="114" t="s">
        <v>1960</v>
      </c>
      <c r="B304" s="2540" t="s">
        <v>4</v>
      </c>
      <c r="C304" s="2543">
        <v>90151276</v>
      </c>
      <c r="D304" s="2543">
        <v>85396297</v>
      </c>
      <c r="E304" s="2543">
        <v>90151276</v>
      </c>
      <c r="F304" s="2543">
        <v>85396297</v>
      </c>
      <c r="G304" s="2541">
        <v>81311216</v>
      </c>
      <c r="H304" s="2541">
        <v>81311216</v>
      </c>
      <c r="I304" s="2541">
        <v>90151276</v>
      </c>
      <c r="J304" s="2545">
        <v>85396297</v>
      </c>
      <c r="K304" s="2543">
        <v>90151276</v>
      </c>
      <c r="L304" s="2543">
        <v>85396297</v>
      </c>
    </row>
    <row r="305" spans="1:12">
      <c r="A305" s="114" t="s">
        <v>1961</v>
      </c>
      <c r="B305" s="2540" t="s">
        <v>5</v>
      </c>
      <c r="C305" s="2543">
        <v>179002829</v>
      </c>
      <c r="D305" s="2543">
        <v>170853209</v>
      </c>
      <c r="E305" s="2543">
        <v>179002829</v>
      </c>
      <c r="F305" s="2543">
        <v>170853209</v>
      </c>
      <c r="G305" s="2541">
        <v>149414650</v>
      </c>
      <c r="H305" s="2541">
        <v>149414650</v>
      </c>
      <c r="I305" s="2541">
        <v>179002829</v>
      </c>
      <c r="J305" s="2545">
        <v>170853209</v>
      </c>
      <c r="K305" s="2543">
        <v>179002829</v>
      </c>
      <c r="L305" s="2543">
        <v>170853209</v>
      </c>
    </row>
    <row r="306" spans="1:12">
      <c r="A306" s="114" t="s">
        <v>1402</v>
      </c>
      <c r="B306" s="2540" t="s">
        <v>2306</v>
      </c>
      <c r="C306" s="2543">
        <v>108916411</v>
      </c>
      <c r="D306" s="2543">
        <v>102281469</v>
      </c>
      <c r="E306" s="2543">
        <v>108916411</v>
      </c>
      <c r="F306" s="2543">
        <v>102281469</v>
      </c>
      <c r="G306" s="2541">
        <v>93554226</v>
      </c>
      <c r="H306" s="2541">
        <v>93554226</v>
      </c>
      <c r="I306" s="2541">
        <v>108916411</v>
      </c>
      <c r="J306" s="2545">
        <v>102281469</v>
      </c>
      <c r="K306" s="2543">
        <v>108916411</v>
      </c>
      <c r="L306" s="2543">
        <v>102281469</v>
      </c>
    </row>
    <row r="307" spans="1:12">
      <c r="A307" s="114" t="s">
        <v>2948</v>
      </c>
      <c r="B307" s="2540" t="s">
        <v>502</v>
      </c>
      <c r="C307" s="2543">
        <v>391133848</v>
      </c>
      <c r="D307" s="2543">
        <v>382361086</v>
      </c>
      <c r="E307" s="2543">
        <v>391133848</v>
      </c>
      <c r="F307" s="2543">
        <v>382361086</v>
      </c>
      <c r="G307" s="2541">
        <v>486596684</v>
      </c>
      <c r="H307" s="2541">
        <v>486596684</v>
      </c>
      <c r="I307" s="2541">
        <v>391133848</v>
      </c>
      <c r="J307" s="2545">
        <v>382361086</v>
      </c>
      <c r="K307" s="2543">
        <v>391133848</v>
      </c>
      <c r="L307" s="2543">
        <v>382361086</v>
      </c>
    </row>
    <row r="308" spans="1:12">
      <c r="A308" s="114" t="s">
        <v>1911</v>
      </c>
      <c r="B308" s="2540" t="s">
        <v>503</v>
      </c>
      <c r="C308" s="2543">
        <v>1137580519</v>
      </c>
      <c r="D308" s="2543">
        <v>1107688604</v>
      </c>
      <c r="E308" s="2543">
        <v>1137580519</v>
      </c>
      <c r="F308" s="2543">
        <v>1107688604</v>
      </c>
      <c r="G308" s="2541">
        <v>1062942339</v>
      </c>
      <c r="H308" s="2541">
        <v>1062942339</v>
      </c>
      <c r="I308" s="2541">
        <v>1137580519</v>
      </c>
      <c r="J308" s="2545">
        <v>1107688604</v>
      </c>
      <c r="K308" s="2543">
        <v>1137580519</v>
      </c>
      <c r="L308" s="2543">
        <v>1107688604</v>
      </c>
    </row>
    <row r="309" spans="1:12">
      <c r="A309" s="114" t="s">
        <v>1912</v>
      </c>
      <c r="B309" s="2540" t="s">
        <v>504</v>
      </c>
      <c r="C309" s="2543">
        <v>443514496</v>
      </c>
      <c r="D309" s="2543">
        <v>430816331</v>
      </c>
      <c r="E309" s="2543">
        <v>443514496</v>
      </c>
      <c r="F309" s="2543">
        <v>430816331</v>
      </c>
      <c r="G309" s="2541">
        <v>433205544</v>
      </c>
      <c r="H309" s="2541">
        <v>433205544</v>
      </c>
      <c r="I309" s="2541">
        <v>443514496</v>
      </c>
      <c r="J309" s="2545">
        <v>430816331</v>
      </c>
      <c r="K309" s="2543">
        <v>443514496</v>
      </c>
      <c r="L309" s="2543">
        <v>430816331</v>
      </c>
    </row>
    <row r="310" spans="1:12">
      <c r="A310" s="114" t="s">
        <v>1037</v>
      </c>
      <c r="B310" s="2540" t="s">
        <v>505</v>
      </c>
      <c r="C310" s="2543">
        <v>188833005</v>
      </c>
      <c r="D310" s="2543">
        <v>183930070</v>
      </c>
      <c r="E310" s="2543">
        <v>188833005</v>
      </c>
      <c r="F310" s="2543">
        <v>183930070</v>
      </c>
      <c r="G310" s="2541">
        <v>174532512</v>
      </c>
      <c r="H310" s="2541">
        <v>174532512</v>
      </c>
      <c r="I310" s="2541">
        <v>188833005</v>
      </c>
      <c r="J310" s="2545">
        <v>183930070</v>
      </c>
      <c r="K310" s="2543">
        <v>188833005</v>
      </c>
      <c r="L310" s="2543">
        <v>183930070</v>
      </c>
    </row>
    <row r="311" spans="1:12">
      <c r="A311" s="114" t="s">
        <v>73</v>
      </c>
      <c r="B311" s="2540" t="s">
        <v>205</v>
      </c>
      <c r="C311" s="2543">
        <v>297727632</v>
      </c>
      <c r="D311" s="2543">
        <v>291661783</v>
      </c>
      <c r="E311" s="2543">
        <v>286452715</v>
      </c>
      <c r="F311" s="2543">
        <v>280386866</v>
      </c>
      <c r="G311" s="2541">
        <v>340652514</v>
      </c>
      <c r="H311" s="2541">
        <v>330747702</v>
      </c>
      <c r="I311" s="2541">
        <v>297727632</v>
      </c>
      <c r="J311" s="2545">
        <v>291661783</v>
      </c>
      <c r="K311" s="2543">
        <v>286452715</v>
      </c>
      <c r="L311" s="2543">
        <v>280386866</v>
      </c>
    </row>
    <row r="312" spans="1:12">
      <c r="A312" s="114" t="s">
        <v>853</v>
      </c>
      <c r="B312" s="2540" t="s">
        <v>1186</v>
      </c>
      <c r="C312" s="2543">
        <v>99547695</v>
      </c>
      <c r="D312" s="2543">
        <v>96443905</v>
      </c>
      <c r="E312" s="2543">
        <v>99547695</v>
      </c>
      <c r="F312" s="2543">
        <v>96443905</v>
      </c>
      <c r="G312" s="2541">
        <v>115035636</v>
      </c>
      <c r="H312" s="2541">
        <v>115035636</v>
      </c>
      <c r="I312" s="2541">
        <v>99547695</v>
      </c>
      <c r="J312" s="2545">
        <v>96443905</v>
      </c>
      <c r="K312" s="2543">
        <v>99547695</v>
      </c>
      <c r="L312" s="2543">
        <v>96443905</v>
      </c>
    </row>
    <row r="313" spans="1:12">
      <c r="A313" s="114" t="s">
        <v>2865</v>
      </c>
      <c r="B313" s="2540" t="s">
        <v>665</v>
      </c>
      <c r="C313" s="2543">
        <v>121932867</v>
      </c>
      <c r="D313" s="2543">
        <v>118692367</v>
      </c>
      <c r="E313" s="2543">
        <v>121932867</v>
      </c>
      <c r="F313" s="2543">
        <v>118692367</v>
      </c>
      <c r="G313" s="2541">
        <v>119485025</v>
      </c>
      <c r="H313" s="2541">
        <v>119485025</v>
      </c>
      <c r="I313" s="2541">
        <v>146786827</v>
      </c>
      <c r="J313" s="2545">
        <v>143546327</v>
      </c>
      <c r="K313" s="2543">
        <v>146786827</v>
      </c>
      <c r="L313" s="2543">
        <v>143546327</v>
      </c>
    </row>
    <row r="314" spans="1:12">
      <c r="A314" s="114" t="s">
        <v>697</v>
      </c>
      <c r="B314" s="2540" t="s">
        <v>958</v>
      </c>
      <c r="C314" s="2543">
        <v>324996390</v>
      </c>
      <c r="D314" s="2543">
        <v>317829830</v>
      </c>
      <c r="E314" s="2543">
        <v>324996390</v>
      </c>
      <c r="F314" s="2543">
        <v>317829830</v>
      </c>
      <c r="G314" s="2541">
        <v>272457821</v>
      </c>
      <c r="H314" s="2541">
        <v>272457821</v>
      </c>
      <c r="I314" s="2541">
        <v>506763590</v>
      </c>
      <c r="J314" s="2545">
        <v>499597030</v>
      </c>
      <c r="K314" s="2543">
        <v>506763590</v>
      </c>
      <c r="L314" s="2543">
        <v>499597030</v>
      </c>
    </row>
    <row r="315" spans="1:12">
      <c r="A315" s="114" t="s">
        <v>698</v>
      </c>
      <c r="B315" s="2540" t="s">
        <v>959</v>
      </c>
      <c r="C315" s="2543">
        <v>131187236</v>
      </c>
      <c r="D315" s="2543">
        <v>127145076</v>
      </c>
      <c r="E315" s="2543">
        <v>131187236</v>
      </c>
      <c r="F315" s="2543">
        <v>127145076</v>
      </c>
      <c r="G315" s="2541">
        <v>106119414</v>
      </c>
      <c r="H315" s="2541">
        <v>106119414</v>
      </c>
      <c r="I315" s="2541">
        <v>370265876</v>
      </c>
      <c r="J315" s="2545">
        <v>366223716</v>
      </c>
      <c r="K315" s="2543">
        <v>370265876</v>
      </c>
      <c r="L315" s="2543">
        <v>366223716</v>
      </c>
    </row>
    <row r="316" spans="1:12">
      <c r="A316" s="114" t="s">
        <v>699</v>
      </c>
      <c r="B316" s="2540" t="s">
        <v>960</v>
      </c>
      <c r="C316" s="2543">
        <v>221164040</v>
      </c>
      <c r="D316" s="2543">
        <v>218794940</v>
      </c>
      <c r="E316" s="2543">
        <v>221164040</v>
      </c>
      <c r="F316" s="2543">
        <v>218794940</v>
      </c>
      <c r="G316" s="2541">
        <v>181401770</v>
      </c>
      <c r="H316" s="2541">
        <v>181401770</v>
      </c>
      <c r="I316" s="2541">
        <v>221164040</v>
      </c>
      <c r="J316" s="2545">
        <v>218794940</v>
      </c>
      <c r="K316" s="2543">
        <v>221164040</v>
      </c>
      <c r="L316" s="2543">
        <v>218794940</v>
      </c>
    </row>
    <row r="317" spans="1:12">
      <c r="A317" s="114" t="s">
        <v>700</v>
      </c>
      <c r="B317" s="2540" t="s">
        <v>1187</v>
      </c>
      <c r="C317" s="2543">
        <v>14525403604</v>
      </c>
      <c r="D317" s="2543">
        <v>14204838076</v>
      </c>
      <c r="E317" s="2543">
        <v>14525403604</v>
      </c>
      <c r="F317" s="2543">
        <v>14204838076</v>
      </c>
      <c r="G317" s="2541">
        <v>11940423648</v>
      </c>
      <c r="H317" s="2541">
        <v>11940423648</v>
      </c>
      <c r="I317" s="2541">
        <v>14525403604</v>
      </c>
      <c r="J317" s="2545">
        <v>14204838076</v>
      </c>
      <c r="K317" s="2543">
        <v>14525403604</v>
      </c>
      <c r="L317" s="2543">
        <v>14204838076</v>
      </c>
    </row>
    <row r="318" spans="1:12">
      <c r="A318" s="114" t="s">
        <v>2906</v>
      </c>
      <c r="B318" s="2540" t="s">
        <v>1006</v>
      </c>
      <c r="C318" s="2543">
        <v>824656945</v>
      </c>
      <c r="D318" s="2543">
        <v>793827865</v>
      </c>
      <c r="E318" s="2543">
        <v>824656945</v>
      </c>
      <c r="F318" s="2543">
        <v>793827865</v>
      </c>
      <c r="G318" s="2541">
        <v>689979657</v>
      </c>
      <c r="H318" s="2541">
        <v>689979657</v>
      </c>
      <c r="I318" s="2541">
        <v>824656945</v>
      </c>
      <c r="J318" s="2545">
        <v>793827865</v>
      </c>
      <c r="K318" s="2543">
        <v>824656945</v>
      </c>
      <c r="L318" s="2543">
        <v>793827865</v>
      </c>
    </row>
    <row r="319" spans="1:12">
      <c r="A319" s="114" t="s">
        <v>1602</v>
      </c>
      <c r="B319" s="2540" t="s">
        <v>133</v>
      </c>
      <c r="C319" s="2543">
        <v>35424919164</v>
      </c>
      <c r="D319" s="2543">
        <v>34579628148</v>
      </c>
      <c r="E319" s="2543">
        <v>35424919164</v>
      </c>
      <c r="F319" s="2543">
        <v>34579628148</v>
      </c>
      <c r="G319" s="2541">
        <v>28960187185</v>
      </c>
      <c r="H319" s="2541">
        <v>28960187185</v>
      </c>
      <c r="I319" s="2541">
        <v>35424919164</v>
      </c>
      <c r="J319" s="2545">
        <v>34579628148</v>
      </c>
      <c r="K319" s="2543">
        <v>35424919164</v>
      </c>
      <c r="L319" s="2543">
        <v>34579628148</v>
      </c>
    </row>
    <row r="320" spans="1:12">
      <c r="A320" s="114" t="s">
        <v>2647</v>
      </c>
      <c r="B320" s="2540" t="s">
        <v>1188</v>
      </c>
      <c r="C320" s="2543">
        <v>2377882994</v>
      </c>
      <c r="D320" s="2543">
        <v>2354063252</v>
      </c>
      <c r="E320" s="2543">
        <v>2333180579</v>
      </c>
      <c r="F320" s="2543">
        <v>2309360837</v>
      </c>
      <c r="G320" s="2541">
        <v>2276713340</v>
      </c>
      <c r="H320" s="2541">
        <v>2236987182</v>
      </c>
      <c r="I320" s="2541">
        <v>2377882994</v>
      </c>
      <c r="J320" s="2545">
        <v>2354063252</v>
      </c>
      <c r="K320" s="2543">
        <v>2333180579</v>
      </c>
      <c r="L320" s="2543">
        <v>2309360837</v>
      </c>
    </row>
    <row r="321" spans="1:12">
      <c r="A321" s="114" t="s">
        <v>2290</v>
      </c>
      <c r="B321" s="2540" t="s">
        <v>964</v>
      </c>
      <c r="C321" s="2543">
        <v>990455173</v>
      </c>
      <c r="D321" s="2543">
        <v>969143773</v>
      </c>
      <c r="E321" s="2543">
        <v>990455173</v>
      </c>
      <c r="F321" s="2543">
        <v>969143773</v>
      </c>
      <c r="G321" s="2541">
        <v>995244035</v>
      </c>
      <c r="H321" s="2541">
        <v>995244035</v>
      </c>
      <c r="I321" s="2541">
        <v>990455173</v>
      </c>
      <c r="J321" s="2545">
        <v>969143773</v>
      </c>
      <c r="K321" s="2543">
        <v>990455173</v>
      </c>
      <c r="L321" s="2543">
        <v>969143773</v>
      </c>
    </row>
    <row r="322" spans="1:12">
      <c r="A322" s="114" t="s">
        <v>1478</v>
      </c>
      <c r="B322" s="2540" t="s">
        <v>965</v>
      </c>
      <c r="C322" s="2543">
        <v>1489748831</v>
      </c>
      <c r="D322" s="2543">
        <v>1469589827</v>
      </c>
      <c r="E322" s="2543">
        <v>1489748831</v>
      </c>
      <c r="F322" s="2543">
        <v>1469589827</v>
      </c>
      <c r="G322" s="2541">
        <v>1721007206</v>
      </c>
      <c r="H322" s="2541">
        <v>1721007206</v>
      </c>
      <c r="I322" s="2541">
        <v>1489748831</v>
      </c>
      <c r="J322" s="2545">
        <v>1469589827</v>
      </c>
      <c r="K322" s="2543">
        <v>1489748831</v>
      </c>
      <c r="L322" s="2543">
        <v>1469589827</v>
      </c>
    </row>
    <row r="323" spans="1:12">
      <c r="A323" s="114" t="s">
        <v>2192</v>
      </c>
      <c r="B323" s="2540" t="s">
        <v>966</v>
      </c>
      <c r="C323" s="2543">
        <v>727060111</v>
      </c>
      <c r="D323" s="2543">
        <v>715687471</v>
      </c>
      <c r="E323" s="2543">
        <v>727060111</v>
      </c>
      <c r="F323" s="2543">
        <v>715687471</v>
      </c>
      <c r="G323" s="2541">
        <v>968764498</v>
      </c>
      <c r="H323" s="2541">
        <v>968764498</v>
      </c>
      <c r="I323" s="2541">
        <v>727060111</v>
      </c>
      <c r="J323" s="2545">
        <v>715687471</v>
      </c>
      <c r="K323" s="2543">
        <v>727060111</v>
      </c>
      <c r="L323" s="2543">
        <v>715687471</v>
      </c>
    </row>
    <row r="324" spans="1:12">
      <c r="A324" s="114" t="s">
        <v>2198</v>
      </c>
      <c r="B324" s="2540" t="s">
        <v>967</v>
      </c>
      <c r="C324" s="2543">
        <v>148237297</v>
      </c>
      <c r="D324" s="2543">
        <v>144433996</v>
      </c>
      <c r="E324" s="2543">
        <v>148237297</v>
      </c>
      <c r="F324" s="2543">
        <v>144433996</v>
      </c>
      <c r="G324" s="2541">
        <v>136184417</v>
      </c>
      <c r="H324" s="2541">
        <v>136184417</v>
      </c>
      <c r="I324" s="2541">
        <v>148237297</v>
      </c>
      <c r="J324" s="2545">
        <v>144433996</v>
      </c>
      <c r="K324" s="2543">
        <v>148237297</v>
      </c>
      <c r="L324" s="2543">
        <v>144433996</v>
      </c>
    </row>
    <row r="325" spans="1:12">
      <c r="A325" s="114" t="s">
        <v>2199</v>
      </c>
      <c r="B325" s="2540" t="s">
        <v>968</v>
      </c>
      <c r="C325" s="2543">
        <v>146587009</v>
      </c>
      <c r="D325" s="2543">
        <v>144832357</v>
      </c>
      <c r="E325" s="2543">
        <v>146587009</v>
      </c>
      <c r="F325" s="2543">
        <v>144832357</v>
      </c>
      <c r="G325" s="2541">
        <v>205629304</v>
      </c>
      <c r="H325" s="2541">
        <v>205629304</v>
      </c>
      <c r="I325" s="2541">
        <v>146587009</v>
      </c>
      <c r="J325" s="2545">
        <v>144832357</v>
      </c>
      <c r="K325" s="2543">
        <v>146587009</v>
      </c>
      <c r="L325" s="2543">
        <v>144832357</v>
      </c>
    </row>
    <row r="326" spans="1:12">
      <c r="A326" s="114" t="s">
        <v>1403</v>
      </c>
      <c r="B326" s="2540" t="s">
        <v>2494</v>
      </c>
      <c r="C326" s="2543">
        <v>766507754</v>
      </c>
      <c r="D326" s="2543">
        <v>762022254</v>
      </c>
      <c r="E326" s="2543">
        <v>766507754</v>
      </c>
      <c r="F326" s="2543">
        <v>762022254</v>
      </c>
      <c r="G326" s="2541">
        <v>1549176039</v>
      </c>
      <c r="H326" s="2541">
        <v>1549176039</v>
      </c>
      <c r="I326" s="2541">
        <v>766507754</v>
      </c>
      <c r="J326" s="2545">
        <v>762022254</v>
      </c>
      <c r="K326" s="2543">
        <v>766507754</v>
      </c>
      <c r="L326" s="2543">
        <v>762022254</v>
      </c>
    </row>
    <row r="327" spans="1:12">
      <c r="A327" s="114" t="s">
        <v>2866</v>
      </c>
      <c r="B327" s="2540" t="s">
        <v>2987</v>
      </c>
      <c r="C327" s="2543">
        <v>1140275253</v>
      </c>
      <c r="D327" s="2543">
        <v>1125378203</v>
      </c>
      <c r="E327" s="2543">
        <v>1140275253</v>
      </c>
      <c r="F327" s="2543">
        <v>1125378203</v>
      </c>
      <c r="G327" s="2541">
        <v>1501582248</v>
      </c>
      <c r="H327" s="2541">
        <v>1501582248</v>
      </c>
      <c r="I327" s="2541">
        <v>1140275253</v>
      </c>
      <c r="J327" s="2545">
        <v>1125378203</v>
      </c>
      <c r="K327" s="2543">
        <v>1140275253</v>
      </c>
      <c r="L327" s="2543">
        <v>1125378203</v>
      </c>
    </row>
    <row r="328" spans="1:12">
      <c r="A328" s="114" t="s">
        <v>2200</v>
      </c>
      <c r="B328" s="2540" t="s">
        <v>969</v>
      </c>
      <c r="C328" s="2543">
        <v>172295798</v>
      </c>
      <c r="D328" s="2543">
        <v>168287515</v>
      </c>
      <c r="E328" s="2543">
        <v>172295798</v>
      </c>
      <c r="F328" s="2543">
        <v>168287515</v>
      </c>
      <c r="G328" s="2541">
        <v>268885275</v>
      </c>
      <c r="H328" s="2541">
        <v>268885275</v>
      </c>
      <c r="I328" s="2541">
        <v>172295798</v>
      </c>
      <c r="J328" s="2545">
        <v>168287515</v>
      </c>
      <c r="K328" s="2543">
        <v>172295798</v>
      </c>
      <c r="L328" s="2543">
        <v>168287515</v>
      </c>
    </row>
    <row r="329" spans="1:12">
      <c r="A329" s="114" t="s">
        <v>2420</v>
      </c>
      <c r="B329" s="2540" t="s">
        <v>577</v>
      </c>
      <c r="C329" s="2543">
        <v>186284946</v>
      </c>
      <c r="D329" s="2543">
        <v>185491569</v>
      </c>
      <c r="E329" s="2543">
        <v>185665416</v>
      </c>
      <c r="F329" s="2543">
        <v>184872039</v>
      </c>
      <c r="G329" s="2541">
        <v>512970487</v>
      </c>
      <c r="H329" s="2541">
        <v>512321293</v>
      </c>
      <c r="I329" s="2541">
        <v>186284946</v>
      </c>
      <c r="J329" s="2545">
        <v>185491569</v>
      </c>
      <c r="K329" s="2543">
        <v>185665416</v>
      </c>
      <c r="L329" s="2543">
        <v>184872039</v>
      </c>
    </row>
    <row r="330" spans="1:12">
      <c r="A330" s="114" t="s">
        <v>2490</v>
      </c>
      <c r="B330" s="2540" t="s">
        <v>578</v>
      </c>
      <c r="C330" s="2543">
        <v>2567794541</v>
      </c>
      <c r="D330" s="2543">
        <v>2542321186</v>
      </c>
      <c r="E330" s="2543">
        <v>2567794541</v>
      </c>
      <c r="F330" s="2543">
        <v>2542321186</v>
      </c>
      <c r="G330" s="2541">
        <v>5908074273</v>
      </c>
      <c r="H330" s="2541">
        <v>5908074273</v>
      </c>
      <c r="I330" s="2541">
        <v>2567794541</v>
      </c>
      <c r="J330" s="2545">
        <v>2542321186</v>
      </c>
      <c r="K330" s="2543">
        <v>2567794541</v>
      </c>
      <c r="L330" s="2543">
        <v>2542321186</v>
      </c>
    </row>
    <row r="331" spans="1:12">
      <c r="A331" s="114" t="s">
        <v>2270</v>
      </c>
      <c r="B331" s="2540" t="s">
        <v>397</v>
      </c>
      <c r="C331" s="2543">
        <v>3525031585</v>
      </c>
      <c r="D331" s="2543">
        <v>3412946960</v>
      </c>
      <c r="E331" s="2543">
        <v>3525031585</v>
      </c>
      <c r="F331" s="2543">
        <v>3412946960</v>
      </c>
      <c r="G331" s="2541">
        <v>2939340052</v>
      </c>
      <c r="H331" s="2541">
        <v>2939340052</v>
      </c>
      <c r="I331" s="2541">
        <v>3525031585</v>
      </c>
      <c r="J331" s="2545">
        <v>3412946960</v>
      </c>
      <c r="K331" s="2543">
        <v>3525031585</v>
      </c>
      <c r="L331" s="2543">
        <v>3412946960</v>
      </c>
    </row>
    <row r="332" spans="1:12">
      <c r="A332" s="114" t="s">
        <v>2550</v>
      </c>
      <c r="B332" s="2540" t="s">
        <v>398</v>
      </c>
      <c r="C332" s="2543">
        <v>7128473328</v>
      </c>
      <c r="D332" s="2543">
        <v>7027202651</v>
      </c>
      <c r="E332" s="2543">
        <v>6946254194</v>
      </c>
      <c r="F332" s="2543">
        <v>6844983517</v>
      </c>
      <c r="G332" s="2541">
        <v>5884349071</v>
      </c>
      <c r="H332" s="2541">
        <v>5732173153</v>
      </c>
      <c r="I332" s="2541">
        <v>7128473328</v>
      </c>
      <c r="J332" s="2545">
        <v>7027202651</v>
      </c>
      <c r="K332" s="2543">
        <v>6946254194</v>
      </c>
      <c r="L332" s="2543">
        <v>6844983517</v>
      </c>
    </row>
    <row r="333" spans="1:12">
      <c r="A333" s="114" t="s">
        <v>2132</v>
      </c>
      <c r="B333" s="2540" t="s">
        <v>2726</v>
      </c>
      <c r="C333" s="2543">
        <v>97415237</v>
      </c>
      <c r="D333" s="2543">
        <v>96226426</v>
      </c>
      <c r="E333" s="2543">
        <v>97048547</v>
      </c>
      <c r="F333" s="2543">
        <v>95859736</v>
      </c>
      <c r="G333" s="2541">
        <v>98578640</v>
      </c>
      <c r="H333" s="2541">
        <v>97662787</v>
      </c>
      <c r="I333" s="2541">
        <v>97415237</v>
      </c>
      <c r="J333" s="2545">
        <v>96226426</v>
      </c>
      <c r="K333" s="2543">
        <v>97048547</v>
      </c>
      <c r="L333" s="2543">
        <v>95859736</v>
      </c>
    </row>
    <row r="334" spans="1:12">
      <c r="A334" s="114" t="s">
        <v>863</v>
      </c>
      <c r="B334" s="2540" t="s">
        <v>400</v>
      </c>
      <c r="C334" s="2543">
        <v>5067794336</v>
      </c>
      <c r="D334" s="2543">
        <v>4952255025</v>
      </c>
      <c r="E334" s="2543">
        <v>4948007943</v>
      </c>
      <c r="F334" s="2543">
        <v>4832468632</v>
      </c>
      <c r="G334" s="2541">
        <v>4159539401</v>
      </c>
      <c r="H334" s="2541">
        <v>4107096348</v>
      </c>
      <c r="I334" s="2541">
        <v>5067794336</v>
      </c>
      <c r="J334" s="2545">
        <v>4952255025</v>
      </c>
      <c r="K334" s="2543">
        <v>4948007943</v>
      </c>
      <c r="L334" s="2543">
        <v>4832468632</v>
      </c>
    </row>
    <row r="335" spans="1:12">
      <c r="A335" s="114" t="s">
        <v>2817</v>
      </c>
      <c r="B335" s="2540" t="s">
        <v>401</v>
      </c>
      <c r="C335" s="2543">
        <v>637036485</v>
      </c>
      <c r="D335" s="2543">
        <v>616316169</v>
      </c>
      <c r="E335" s="2543">
        <v>637036485</v>
      </c>
      <c r="F335" s="2543">
        <v>616316169</v>
      </c>
      <c r="G335" s="2541">
        <v>533454529</v>
      </c>
      <c r="H335" s="2541">
        <v>533454529</v>
      </c>
      <c r="I335" s="2541">
        <v>637036485</v>
      </c>
      <c r="J335" s="2545">
        <v>616316169</v>
      </c>
      <c r="K335" s="2543">
        <v>637036485</v>
      </c>
      <c r="L335" s="2543">
        <v>616316169</v>
      </c>
    </row>
    <row r="336" spans="1:12">
      <c r="A336" s="114" t="s">
        <v>533</v>
      </c>
      <c r="B336" s="2540" t="s">
        <v>98</v>
      </c>
      <c r="C336" s="2543">
        <v>1362846887</v>
      </c>
      <c r="D336" s="2543">
        <v>1295174084</v>
      </c>
      <c r="E336" s="2543">
        <v>1362846887</v>
      </c>
      <c r="F336" s="2543">
        <v>1295174084</v>
      </c>
      <c r="G336" s="2541">
        <v>1095939260</v>
      </c>
      <c r="H336" s="2541">
        <v>1095939260</v>
      </c>
      <c r="I336" s="2541">
        <v>1362846887</v>
      </c>
      <c r="J336" s="2545">
        <v>1295174084</v>
      </c>
      <c r="K336" s="2543">
        <v>1362846887</v>
      </c>
      <c r="L336" s="2543">
        <v>1295174084</v>
      </c>
    </row>
    <row r="337" spans="1:12">
      <c r="A337" s="114" t="s">
        <v>2818</v>
      </c>
      <c r="B337" s="2540" t="s">
        <v>402</v>
      </c>
      <c r="C337" s="2543">
        <v>20889462451</v>
      </c>
      <c r="D337" s="2543">
        <v>20363232028</v>
      </c>
      <c r="E337" s="2543">
        <v>20585270070</v>
      </c>
      <c r="F337" s="2543">
        <v>20059039647</v>
      </c>
      <c r="G337" s="2541">
        <v>18063282039</v>
      </c>
      <c r="H337" s="2541">
        <v>17793579631</v>
      </c>
      <c r="I337" s="2541">
        <v>20889462451</v>
      </c>
      <c r="J337" s="2545">
        <v>20363232028</v>
      </c>
      <c r="K337" s="2543">
        <v>20585270070</v>
      </c>
      <c r="L337" s="2543">
        <v>20059039647</v>
      </c>
    </row>
    <row r="338" spans="1:12">
      <c r="A338" s="114" t="s">
        <v>1604</v>
      </c>
      <c r="B338" s="2540" t="s">
        <v>1666</v>
      </c>
      <c r="C338" s="2543">
        <v>2823768649</v>
      </c>
      <c r="D338" s="2543">
        <v>2744057750</v>
      </c>
      <c r="E338" s="2543">
        <v>2823768649</v>
      </c>
      <c r="F338" s="2543">
        <v>2744057750</v>
      </c>
      <c r="G338" s="2541">
        <v>2390449284</v>
      </c>
      <c r="H338" s="2541">
        <v>2390449284</v>
      </c>
      <c r="I338" s="2541">
        <v>2823768649</v>
      </c>
      <c r="J338" s="2545">
        <v>2744057750</v>
      </c>
      <c r="K338" s="2543">
        <v>2823768649</v>
      </c>
      <c r="L338" s="2543">
        <v>2744057750</v>
      </c>
    </row>
    <row r="339" spans="1:12">
      <c r="A339" s="114" t="s">
        <v>1872</v>
      </c>
      <c r="B339" s="2540" t="s">
        <v>403</v>
      </c>
      <c r="C339" s="2543">
        <v>347268539</v>
      </c>
      <c r="D339" s="2543">
        <v>340066224</v>
      </c>
      <c r="E339" s="2543">
        <v>347268539</v>
      </c>
      <c r="F339" s="2543">
        <v>340066224</v>
      </c>
      <c r="G339" s="2541">
        <v>891034882</v>
      </c>
      <c r="H339" s="2541">
        <v>891034882</v>
      </c>
      <c r="I339" s="2541">
        <v>347268539</v>
      </c>
      <c r="J339" s="2545">
        <v>340066224</v>
      </c>
      <c r="K339" s="2543">
        <v>347268539</v>
      </c>
      <c r="L339" s="2543">
        <v>340066224</v>
      </c>
    </row>
    <row r="340" spans="1:12">
      <c r="A340" s="114" t="s">
        <v>1873</v>
      </c>
      <c r="B340" s="2540" t="s">
        <v>404</v>
      </c>
      <c r="C340" s="2543">
        <v>39654318</v>
      </c>
      <c r="D340" s="2543">
        <v>39207203</v>
      </c>
      <c r="E340" s="2543">
        <v>39654318</v>
      </c>
      <c r="F340" s="2543">
        <v>39207203</v>
      </c>
      <c r="G340" s="2541">
        <v>83427280</v>
      </c>
      <c r="H340" s="2541">
        <v>83427280</v>
      </c>
      <c r="I340" s="2541">
        <v>39654318</v>
      </c>
      <c r="J340" s="2545">
        <v>39207203</v>
      </c>
      <c r="K340" s="2543">
        <v>39654318</v>
      </c>
      <c r="L340" s="2543">
        <v>39207203</v>
      </c>
    </row>
    <row r="341" spans="1:12">
      <c r="A341" s="114" t="s">
        <v>2139</v>
      </c>
      <c r="B341" s="2540" t="s">
        <v>1189</v>
      </c>
      <c r="C341" s="2543">
        <v>43322067</v>
      </c>
      <c r="D341" s="2543">
        <v>42394567</v>
      </c>
      <c r="E341" s="2543">
        <v>43322067</v>
      </c>
      <c r="F341" s="2543">
        <v>42394567</v>
      </c>
      <c r="G341" s="2541">
        <v>38679589</v>
      </c>
      <c r="H341" s="2541">
        <v>38679589</v>
      </c>
      <c r="I341" s="2541">
        <v>43322067</v>
      </c>
      <c r="J341" s="2545">
        <v>42394567</v>
      </c>
      <c r="K341" s="2543">
        <v>43322067</v>
      </c>
      <c r="L341" s="2543">
        <v>42394567</v>
      </c>
    </row>
    <row r="342" spans="1:12">
      <c r="A342" s="114" t="s">
        <v>1636</v>
      </c>
      <c r="B342" s="2540" t="s">
        <v>406</v>
      </c>
      <c r="C342" s="2543">
        <v>3023799554</v>
      </c>
      <c r="D342" s="2543">
        <v>2963715592</v>
      </c>
      <c r="E342" s="2543">
        <v>3023799554</v>
      </c>
      <c r="F342" s="2543">
        <v>2963715592</v>
      </c>
      <c r="G342" s="2541">
        <v>2661717482</v>
      </c>
      <c r="H342" s="2541">
        <v>2661717482</v>
      </c>
      <c r="I342" s="2541">
        <v>3023799554</v>
      </c>
      <c r="J342" s="2545">
        <v>2963715592</v>
      </c>
      <c r="K342" s="2543">
        <v>3023799554</v>
      </c>
      <c r="L342" s="2543">
        <v>2963715592</v>
      </c>
    </row>
    <row r="343" spans="1:12">
      <c r="A343" s="114" t="s">
        <v>2474</v>
      </c>
      <c r="B343" s="2540" t="s">
        <v>2004</v>
      </c>
      <c r="C343" s="2543">
        <v>408438176</v>
      </c>
      <c r="D343" s="2543">
        <v>396706436</v>
      </c>
      <c r="E343" s="2543">
        <v>408438176</v>
      </c>
      <c r="F343" s="2543">
        <v>396706436</v>
      </c>
      <c r="G343" s="2541">
        <v>382801365</v>
      </c>
      <c r="H343" s="2541">
        <v>382801365</v>
      </c>
      <c r="I343" s="2541">
        <v>408438176</v>
      </c>
      <c r="J343" s="2545">
        <v>396706436</v>
      </c>
      <c r="K343" s="2543">
        <v>408438176</v>
      </c>
      <c r="L343" s="2543">
        <v>396706436</v>
      </c>
    </row>
    <row r="344" spans="1:12">
      <c r="A344" s="114" t="s">
        <v>2475</v>
      </c>
      <c r="B344" s="2540" t="s">
        <v>2005</v>
      </c>
      <c r="C344" s="2543">
        <v>2333697726</v>
      </c>
      <c r="D344" s="2543">
        <v>2331547159</v>
      </c>
      <c r="E344" s="2543">
        <v>2331354083</v>
      </c>
      <c r="F344" s="2543">
        <v>2329203516</v>
      </c>
      <c r="G344" s="2541">
        <v>3742344746</v>
      </c>
      <c r="H344" s="2541">
        <v>3740241229</v>
      </c>
      <c r="I344" s="2541">
        <v>2786735886</v>
      </c>
      <c r="J344" s="2545">
        <v>2784585319</v>
      </c>
      <c r="K344" s="2543">
        <v>2784392243</v>
      </c>
      <c r="L344" s="2543">
        <v>2782241676</v>
      </c>
    </row>
    <row r="345" spans="1:12">
      <c r="A345" s="114" t="s">
        <v>2794</v>
      </c>
      <c r="B345" s="2540" t="s">
        <v>2006</v>
      </c>
      <c r="C345" s="2543">
        <v>857289395</v>
      </c>
      <c r="D345" s="2543">
        <v>839396471</v>
      </c>
      <c r="E345" s="2543">
        <v>836418362</v>
      </c>
      <c r="F345" s="2543">
        <v>818525438</v>
      </c>
      <c r="G345" s="2541">
        <v>1104167678</v>
      </c>
      <c r="H345" s="2541">
        <v>1084263072</v>
      </c>
      <c r="I345" s="2541">
        <v>992713715</v>
      </c>
      <c r="J345" s="2545">
        <v>974820791</v>
      </c>
      <c r="K345" s="2543">
        <v>971842682</v>
      </c>
      <c r="L345" s="2543">
        <v>953949758</v>
      </c>
    </row>
    <row r="346" spans="1:12">
      <c r="A346" s="114" t="s">
        <v>1019</v>
      </c>
      <c r="B346" s="2540" t="s">
        <v>973</v>
      </c>
      <c r="C346" s="2543">
        <v>1343286388</v>
      </c>
      <c r="D346" s="2543">
        <v>1321947088</v>
      </c>
      <c r="E346" s="2543">
        <v>1343286388</v>
      </c>
      <c r="F346" s="2543">
        <v>1321947088</v>
      </c>
      <c r="G346" s="2541">
        <v>2593336694</v>
      </c>
      <c r="H346" s="2541">
        <v>2593336694</v>
      </c>
      <c r="I346" s="2541">
        <v>1343286388</v>
      </c>
      <c r="J346" s="2545">
        <v>1321947088</v>
      </c>
      <c r="K346" s="2543">
        <v>1343286388</v>
      </c>
      <c r="L346" s="2543">
        <v>1321947088</v>
      </c>
    </row>
    <row r="347" spans="1:12">
      <c r="A347" s="114" t="s">
        <v>2795</v>
      </c>
      <c r="B347" s="2540" t="s">
        <v>1190</v>
      </c>
      <c r="C347" s="2543">
        <v>649357859</v>
      </c>
      <c r="D347" s="2543">
        <v>641941086</v>
      </c>
      <c r="E347" s="2543">
        <v>642352480</v>
      </c>
      <c r="F347" s="2543">
        <v>634935707</v>
      </c>
      <c r="G347" s="2541">
        <v>1735457991</v>
      </c>
      <c r="H347" s="2541">
        <v>1728408001</v>
      </c>
      <c r="I347" s="2541">
        <v>649357859</v>
      </c>
      <c r="J347" s="2545">
        <v>641941086</v>
      </c>
      <c r="K347" s="2543">
        <v>642352480</v>
      </c>
      <c r="L347" s="2543">
        <v>634935707</v>
      </c>
    </row>
    <row r="348" spans="1:12">
      <c r="A348" s="114" t="s">
        <v>2796</v>
      </c>
      <c r="B348" s="2540" t="s">
        <v>1626</v>
      </c>
      <c r="C348" s="2543">
        <v>187353501</v>
      </c>
      <c r="D348" s="2543">
        <v>184632391</v>
      </c>
      <c r="E348" s="2543">
        <v>187353501</v>
      </c>
      <c r="F348" s="2543">
        <v>184632391</v>
      </c>
      <c r="G348" s="2541">
        <v>215547288</v>
      </c>
      <c r="H348" s="2541">
        <v>215547288</v>
      </c>
      <c r="I348" s="2541">
        <v>187353501</v>
      </c>
      <c r="J348" s="2545">
        <v>184632391</v>
      </c>
      <c r="K348" s="2543">
        <v>187353501</v>
      </c>
      <c r="L348" s="2543">
        <v>184632391</v>
      </c>
    </row>
    <row r="349" spans="1:12">
      <c r="A349" s="114" t="s">
        <v>2118</v>
      </c>
      <c r="B349" s="2540" t="s">
        <v>1627</v>
      </c>
      <c r="C349" s="2543">
        <v>92560152</v>
      </c>
      <c r="D349" s="2543">
        <v>92008862</v>
      </c>
      <c r="E349" s="2543">
        <v>92560152</v>
      </c>
      <c r="F349" s="2543">
        <v>92008862</v>
      </c>
      <c r="G349" s="2541">
        <v>200557418</v>
      </c>
      <c r="H349" s="2541">
        <v>200557418</v>
      </c>
      <c r="I349" s="2541">
        <v>92560152</v>
      </c>
      <c r="J349" s="2545">
        <v>92008862</v>
      </c>
      <c r="K349" s="2543">
        <v>92560152</v>
      </c>
      <c r="L349" s="2543">
        <v>92008862</v>
      </c>
    </row>
    <row r="350" spans="1:12">
      <c r="A350" s="114" t="s">
        <v>2119</v>
      </c>
      <c r="B350" s="2540" t="s">
        <v>1628</v>
      </c>
      <c r="C350" s="2543">
        <v>104972728</v>
      </c>
      <c r="D350" s="2543">
        <v>103462208</v>
      </c>
      <c r="E350" s="2543">
        <v>104972728</v>
      </c>
      <c r="F350" s="2543">
        <v>103462208</v>
      </c>
      <c r="G350" s="2541">
        <v>155285722</v>
      </c>
      <c r="H350" s="2541">
        <v>155285722</v>
      </c>
      <c r="I350" s="2541">
        <v>104972728</v>
      </c>
      <c r="J350" s="2545">
        <v>103462208</v>
      </c>
      <c r="K350" s="2543">
        <v>104972728</v>
      </c>
      <c r="L350" s="2543">
        <v>103462208</v>
      </c>
    </row>
    <row r="351" spans="1:12">
      <c r="A351" s="114" t="s">
        <v>2301</v>
      </c>
      <c r="B351" s="2540" t="s">
        <v>1540</v>
      </c>
      <c r="C351" s="2543">
        <v>1104433060</v>
      </c>
      <c r="D351" s="2543">
        <v>1072366040</v>
      </c>
      <c r="E351" s="2543">
        <v>1104433060</v>
      </c>
      <c r="F351" s="2543">
        <v>1072366040</v>
      </c>
      <c r="G351" s="2541">
        <v>1280401882</v>
      </c>
      <c r="H351" s="2541">
        <v>1280401882</v>
      </c>
      <c r="I351" s="2541">
        <v>1104433060</v>
      </c>
      <c r="J351" s="2545">
        <v>1072366040</v>
      </c>
      <c r="K351" s="2543">
        <v>1104433060</v>
      </c>
      <c r="L351" s="2543">
        <v>1072366040</v>
      </c>
    </row>
    <row r="352" spans="1:12">
      <c r="A352" s="114" t="s">
        <v>2313</v>
      </c>
      <c r="B352" s="2540" t="s">
        <v>1629</v>
      </c>
      <c r="C352" s="2543">
        <v>97375199</v>
      </c>
      <c r="D352" s="2543">
        <v>97110599</v>
      </c>
      <c r="E352" s="2543">
        <v>97375199</v>
      </c>
      <c r="F352" s="2543">
        <v>97110599</v>
      </c>
      <c r="G352" s="2541">
        <v>155064002</v>
      </c>
      <c r="H352" s="2541">
        <v>155064002</v>
      </c>
      <c r="I352" s="2541">
        <v>97375199</v>
      </c>
      <c r="J352" s="2545">
        <v>97110599</v>
      </c>
      <c r="K352" s="2543">
        <v>97375199</v>
      </c>
      <c r="L352" s="2543">
        <v>97110599</v>
      </c>
    </row>
    <row r="353" spans="1:12">
      <c r="A353" s="114" t="s">
        <v>1897</v>
      </c>
      <c r="B353" s="2540" t="s">
        <v>1757</v>
      </c>
      <c r="C353" s="2543">
        <v>214818961</v>
      </c>
      <c r="D353" s="2543">
        <v>205719051</v>
      </c>
      <c r="E353" s="2543">
        <v>214818961</v>
      </c>
      <c r="F353" s="2543">
        <v>205719051</v>
      </c>
      <c r="G353" s="2541">
        <v>188096406</v>
      </c>
      <c r="H353" s="2541">
        <v>188096406</v>
      </c>
      <c r="I353" s="2541">
        <v>214818961</v>
      </c>
      <c r="J353" s="2545">
        <v>205719051</v>
      </c>
      <c r="K353" s="2543">
        <v>214818961</v>
      </c>
      <c r="L353" s="2543">
        <v>205719051</v>
      </c>
    </row>
    <row r="354" spans="1:12">
      <c r="A354" s="114" t="s">
        <v>1107</v>
      </c>
      <c r="B354" s="2540" t="s">
        <v>1630</v>
      </c>
      <c r="C354" s="2543">
        <v>158738234</v>
      </c>
      <c r="D354" s="2543">
        <v>152327428</v>
      </c>
      <c r="E354" s="2543">
        <v>158738234</v>
      </c>
      <c r="F354" s="2543">
        <v>152327428</v>
      </c>
      <c r="G354" s="2541">
        <v>139402149</v>
      </c>
      <c r="H354" s="2541">
        <v>139402149</v>
      </c>
      <c r="I354" s="2541">
        <v>158738234</v>
      </c>
      <c r="J354" s="2545">
        <v>152327428</v>
      </c>
      <c r="K354" s="2543">
        <v>158738234</v>
      </c>
      <c r="L354" s="2543">
        <v>152327428</v>
      </c>
    </row>
    <row r="355" spans="1:12">
      <c r="A355" s="114" t="s">
        <v>1108</v>
      </c>
      <c r="B355" s="2540" t="s">
        <v>1631</v>
      </c>
      <c r="C355" s="2543">
        <v>1549588695</v>
      </c>
      <c r="D355" s="2543">
        <v>1493833625</v>
      </c>
      <c r="E355" s="2543">
        <v>1549588695</v>
      </c>
      <c r="F355" s="2543">
        <v>1493833625</v>
      </c>
      <c r="G355" s="2541">
        <v>1364515996</v>
      </c>
      <c r="H355" s="2541">
        <v>1364515996</v>
      </c>
      <c r="I355" s="2541">
        <v>1549588695</v>
      </c>
      <c r="J355" s="2545">
        <v>1493833625</v>
      </c>
      <c r="K355" s="2543">
        <v>1549588695</v>
      </c>
      <c r="L355" s="2543">
        <v>1493833625</v>
      </c>
    </row>
    <row r="356" spans="1:12">
      <c r="A356" s="114" t="s">
        <v>1276</v>
      </c>
      <c r="B356" s="2540" t="s">
        <v>2731</v>
      </c>
      <c r="C356" s="2543">
        <v>238765818</v>
      </c>
      <c r="D356" s="2543">
        <v>228486660</v>
      </c>
      <c r="E356" s="2543">
        <v>238765818</v>
      </c>
      <c r="F356" s="2543">
        <v>228486660</v>
      </c>
      <c r="G356" s="2541">
        <v>211801512</v>
      </c>
      <c r="H356" s="2541">
        <v>211801512</v>
      </c>
      <c r="I356" s="2541">
        <v>238765818</v>
      </c>
      <c r="J356" s="2545">
        <v>228486660</v>
      </c>
      <c r="K356" s="2543">
        <v>238765818</v>
      </c>
      <c r="L356" s="2543">
        <v>228486660</v>
      </c>
    </row>
    <row r="357" spans="1:12">
      <c r="A357" s="114" t="s">
        <v>897</v>
      </c>
      <c r="B357" s="2540" t="s">
        <v>1849</v>
      </c>
      <c r="C357" s="2543">
        <v>2913634730</v>
      </c>
      <c r="D357" s="2543">
        <v>2845067801</v>
      </c>
      <c r="E357" s="2543">
        <v>2913634730</v>
      </c>
      <c r="F357" s="2543">
        <v>2845067801</v>
      </c>
      <c r="G357" s="2541">
        <v>2670804288</v>
      </c>
      <c r="H357" s="2541">
        <v>2670804288</v>
      </c>
      <c r="I357" s="2541">
        <v>2913634730</v>
      </c>
      <c r="J357" s="2545">
        <v>2845067801</v>
      </c>
      <c r="K357" s="2543">
        <v>2913634730</v>
      </c>
      <c r="L357" s="2543">
        <v>2845067801</v>
      </c>
    </row>
    <row r="358" spans="1:12">
      <c r="A358" s="114" t="s">
        <v>898</v>
      </c>
      <c r="B358" s="2540" t="s">
        <v>1850</v>
      </c>
      <c r="C358" s="2543">
        <v>91094667</v>
      </c>
      <c r="D358" s="2543">
        <v>87708817</v>
      </c>
      <c r="E358" s="2543">
        <v>91094667</v>
      </c>
      <c r="F358" s="2543">
        <v>87708817</v>
      </c>
      <c r="G358" s="2541">
        <v>74977475</v>
      </c>
      <c r="H358" s="2541">
        <v>74977475</v>
      </c>
      <c r="I358" s="2541">
        <v>91094667</v>
      </c>
      <c r="J358" s="2545">
        <v>87708817</v>
      </c>
      <c r="K358" s="2543">
        <v>91094667</v>
      </c>
      <c r="L358" s="2543">
        <v>87708817</v>
      </c>
    </row>
    <row r="359" spans="1:12">
      <c r="A359" s="114" t="s">
        <v>1404</v>
      </c>
      <c r="B359" s="2540" t="s">
        <v>2706</v>
      </c>
      <c r="C359" s="2543">
        <v>572296415</v>
      </c>
      <c r="D359" s="2543">
        <v>554327477</v>
      </c>
      <c r="E359" s="2543">
        <v>572296415</v>
      </c>
      <c r="F359" s="2543">
        <v>554327477</v>
      </c>
      <c r="G359" s="2541">
        <v>502518148</v>
      </c>
      <c r="H359" s="2541">
        <v>502518148</v>
      </c>
      <c r="I359" s="2541">
        <v>572296415</v>
      </c>
      <c r="J359" s="2545">
        <v>554327477</v>
      </c>
      <c r="K359" s="2543">
        <v>572296415</v>
      </c>
      <c r="L359" s="2543">
        <v>554327477</v>
      </c>
    </row>
    <row r="360" spans="1:12">
      <c r="A360" s="114" t="s">
        <v>1405</v>
      </c>
      <c r="B360" s="2540" t="s">
        <v>1511</v>
      </c>
      <c r="C360" s="2543">
        <v>721167760</v>
      </c>
      <c r="D360" s="2543">
        <v>698981535</v>
      </c>
      <c r="E360" s="2543">
        <v>721167760</v>
      </c>
      <c r="F360" s="2543">
        <v>698981535</v>
      </c>
      <c r="G360" s="2541">
        <v>637878974</v>
      </c>
      <c r="H360" s="2541">
        <v>637878974</v>
      </c>
      <c r="I360" s="2541">
        <v>721167760</v>
      </c>
      <c r="J360" s="2545">
        <v>698981535</v>
      </c>
      <c r="K360" s="2543">
        <v>721167760</v>
      </c>
      <c r="L360" s="2543">
        <v>698981535</v>
      </c>
    </row>
    <row r="361" spans="1:12">
      <c r="A361" s="114" t="s">
        <v>1650</v>
      </c>
      <c r="B361" s="2540" t="s">
        <v>1851</v>
      </c>
      <c r="C361" s="2543">
        <v>208159162</v>
      </c>
      <c r="D361" s="2543">
        <v>199971145</v>
      </c>
      <c r="E361" s="2543">
        <v>208159162</v>
      </c>
      <c r="F361" s="2543">
        <v>199971145</v>
      </c>
      <c r="G361" s="2541">
        <v>169518053</v>
      </c>
      <c r="H361" s="2541">
        <v>169518053</v>
      </c>
      <c r="I361" s="2541">
        <v>208159162</v>
      </c>
      <c r="J361" s="2545">
        <v>199971145</v>
      </c>
      <c r="K361" s="2543">
        <v>208159162</v>
      </c>
      <c r="L361" s="2543">
        <v>199971145</v>
      </c>
    </row>
    <row r="362" spans="1:12">
      <c r="A362" s="114" t="s">
        <v>243</v>
      </c>
      <c r="B362" s="2540" t="s">
        <v>2410</v>
      </c>
      <c r="C362" s="2543">
        <v>840878713</v>
      </c>
      <c r="D362" s="2543">
        <v>818825232</v>
      </c>
      <c r="E362" s="2543">
        <v>840878713</v>
      </c>
      <c r="F362" s="2543">
        <v>818825232</v>
      </c>
      <c r="G362" s="2541">
        <v>746606347</v>
      </c>
      <c r="H362" s="2541">
        <v>746606347</v>
      </c>
      <c r="I362" s="2541">
        <v>840878713</v>
      </c>
      <c r="J362" s="2545">
        <v>818825232</v>
      </c>
      <c r="K362" s="2543">
        <v>840878713</v>
      </c>
      <c r="L362" s="2543">
        <v>818825232</v>
      </c>
    </row>
    <row r="363" spans="1:12">
      <c r="A363" s="114" t="s">
        <v>2977</v>
      </c>
      <c r="B363" s="2540" t="s">
        <v>1191</v>
      </c>
      <c r="C363" s="2543">
        <v>342149855</v>
      </c>
      <c r="D363" s="2543">
        <v>329885353</v>
      </c>
      <c r="E363" s="2543">
        <v>342149855</v>
      </c>
      <c r="F363" s="2543">
        <v>329885353</v>
      </c>
      <c r="G363" s="2541">
        <v>378896405</v>
      </c>
      <c r="H363" s="2541">
        <v>378896405</v>
      </c>
      <c r="I363" s="2541">
        <v>342149855</v>
      </c>
      <c r="J363" s="2545">
        <v>329885353</v>
      </c>
      <c r="K363" s="2543">
        <v>342149855</v>
      </c>
      <c r="L363" s="2543">
        <v>329885353</v>
      </c>
    </row>
    <row r="364" spans="1:12">
      <c r="A364" s="114" t="s">
        <v>1483</v>
      </c>
      <c r="B364" s="2540" t="s">
        <v>1948</v>
      </c>
      <c r="C364" s="2543">
        <v>258251806</v>
      </c>
      <c r="D364" s="2543">
        <v>251802532</v>
      </c>
      <c r="E364" s="2543">
        <v>258251806</v>
      </c>
      <c r="F364" s="2543">
        <v>251802532</v>
      </c>
      <c r="G364" s="2541">
        <v>205723676</v>
      </c>
      <c r="H364" s="2541">
        <v>205723676</v>
      </c>
      <c r="I364" s="2541">
        <v>258251806</v>
      </c>
      <c r="J364" s="2545">
        <v>251802532</v>
      </c>
      <c r="K364" s="2543">
        <v>258251806</v>
      </c>
      <c r="L364" s="2543">
        <v>251802532</v>
      </c>
    </row>
    <row r="365" spans="1:12">
      <c r="A365" s="114" t="s">
        <v>1461</v>
      </c>
      <c r="B365" s="2540" t="s">
        <v>250</v>
      </c>
      <c r="C365" s="2543">
        <v>198142309</v>
      </c>
      <c r="D365" s="2543">
        <v>188364175</v>
      </c>
      <c r="E365" s="2543">
        <v>198142309</v>
      </c>
      <c r="F365" s="2543">
        <v>188364175</v>
      </c>
      <c r="G365" s="2541">
        <v>165357274</v>
      </c>
      <c r="H365" s="2541">
        <v>165357274</v>
      </c>
      <c r="I365" s="2541">
        <v>198142309</v>
      </c>
      <c r="J365" s="2545">
        <v>188364175</v>
      </c>
      <c r="K365" s="2543">
        <v>198142309</v>
      </c>
      <c r="L365" s="2543">
        <v>188364175</v>
      </c>
    </row>
    <row r="366" spans="1:12">
      <c r="A366" s="114" t="s">
        <v>1462</v>
      </c>
      <c r="B366" s="2540" t="s">
        <v>251</v>
      </c>
      <c r="C366" s="2543">
        <v>493133155</v>
      </c>
      <c r="D366" s="2543">
        <v>471118017</v>
      </c>
      <c r="E366" s="2543">
        <v>468541396</v>
      </c>
      <c r="F366" s="2543">
        <v>446526258</v>
      </c>
      <c r="G366" s="2541">
        <v>554873867</v>
      </c>
      <c r="H366" s="2541">
        <v>530593146</v>
      </c>
      <c r="I366" s="2541">
        <v>493133155</v>
      </c>
      <c r="J366" s="2545">
        <v>471118017</v>
      </c>
      <c r="K366" s="2543">
        <v>468541396</v>
      </c>
      <c r="L366" s="2543">
        <v>446526258</v>
      </c>
    </row>
    <row r="367" spans="1:12">
      <c r="A367" s="114" t="s">
        <v>1463</v>
      </c>
      <c r="B367" s="2540" t="s">
        <v>252</v>
      </c>
      <c r="C367" s="2543">
        <v>1564944929</v>
      </c>
      <c r="D367" s="2543">
        <v>1523757197</v>
      </c>
      <c r="E367" s="2543">
        <v>1564944929</v>
      </c>
      <c r="F367" s="2543">
        <v>1523757197</v>
      </c>
      <c r="G367" s="2541">
        <v>1724341430</v>
      </c>
      <c r="H367" s="2541">
        <v>1670062820</v>
      </c>
      <c r="I367" s="2541">
        <v>1564944929</v>
      </c>
      <c r="J367" s="2545">
        <v>1523757197</v>
      </c>
      <c r="K367" s="2543">
        <v>1564944929</v>
      </c>
      <c r="L367" s="2543">
        <v>1523757197</v>
      </c>
    </row>
    <row r="368" spans="1:12">
      <c r="A368" s="114" t="s">
        <v>498</v>
      </c>
      <c r="B368" s="2540" t="s">
        <v>2436</v>
      </c>
      <c r="C368" s="2543">
        <v>4087115351</v>
      </c>
      <c r="D368" s="2543">
        <v>3987427458</v>
      </c>
      <c r="E368" s="2543">
        <v>4087115351</v>
      </c>
      <c r="F368" s="2543">
        <v>3987427458</v>
      </c>
      <c r="G368" s="2541">
        <v>4120921482</v>
      </c>
      <c r="H368" s="2541">
        <v>4120921482</v>
      </c>
      <c r="I368" s="2541">
        <v>4087115351</v>
      </c>
      <c r="J368" s="2545">
        <v>3987427458</v>
      </c>
      <c r="K368" s="2543">
        <v>4087115351</v>
      </c>
      <c r="L368" s="2543">
        <v>3987427458</v>
      </c>
    </row>
    <row r="369" spans="1:12">
      <c r="A369" s="114" t="s">
        <v>2504</v>
      </c>
      <c r="B369" s="2540" t="s">
        <v>253</v>
      </c>
      <c r="C369" s="2543">
        <v>1633009696</v>
      </c>
      <c r="D369" s="2543">
        <v>1582953825</v>
      </c>
      <c r="E369" s="2543">
        <v>1555194489</v>
      </c>
      <c r="F369" s="2543">
        <v>1505138618</v>
      </c>
      <c r="G369" s="2541">
        <v>1650968150</v>
      </c>
      <c r="H369" s="2541">
        <v>1568750085</v>
      </c>
      <c r="I369" s="2541">
        <v>1633009696</v>
      </c>
      <c r="J369" s="2545">
        <v>1582953825</v>
      </c>
      <c r="K369" s="2543">
        <v>1555194489</v>
      </c>
      <c r="L369" s="2543">
        <v>1505138618</v>
      </c>
    </row>
    <row r="370" spans="1:12">
      <c r="A370" s="114" t="s">
        <v>3035</v>
      </c>
      <c r="B370" s="2540" t="s">
        <v>254</v>
      </c>
      <c r="C370" s="2543">
        <v>455520969</v>
      </c>
      <c r="D370" s="2543">
        <v>442003728</v>
      </c>
      <c r="E370" s="2543">
        <v>435378119</v>
      </c>
      <c r="F370" s="2543">
        <v>421860878</v>
      </c>
      <c r="G370" s="2541">
        <v>473045546</v>
      </c>
      <c r="H370" s="2541">
        <v>453550719</v>
      </c>
      <c r="I370" s="2541">
        <v>455520969</v>
      </c>
      <c r="J370" s="2545">
        <v>442003728</v>
      </c>
      <c r="K370" s="2543">
        <v>435378119</v>
      </c>
      <c r="L370" s="2543">
        <v>421860878</v>
      </c>
    </row>
    <row r="371" spans="1:12">
      <c r="A371" s="114" t="s">
        <v>1702</v>
      </c>
      <c r="B371" s="2540" t="s">
        <v>2210</v>
      </c>
      <c r="C371" s="2543">
        <v>525858407</v>
      </c>
      <c r="D371" s="2543">
        <v>506616043</v>
      </c>
      <c r="E371" s="2543">
        <v>494374509</v>
      </c>
      <c r="F371" s="2543">
        <v>475132145</v>
      </c>
      <c r="G371" s="2541">
        <v>518633842</v>
      </c>
      <c r="H371" s="2541">
        <v>486772063</v>
      </c>
      <c r="I371" s="2541">
        <v>525858407</v>
      </c>
      <c r="J371" s="2545">
        <v>506616043</v>
      </c>
      <c r="K371" s="2543">
        <v>494374509</v>
      </c>
      <c r="L371" s="2543">
        <v>475132145</v>
      </c>
    </row>
    <row r="372" spans="1:12">
      <c r="A372" s="114" t="s">
        <v>3036</v>
      </c>
      <c r="B372" s="2540" t="s">
        <v>255</v>
      </c>
      <c r="C372" s="2543">
        <v>346570660</v>
      </c>
      <c r="D372" s="2543">
        <v>332239447</v>
      </c>
      <c r="E372" s="2543">
        <v>324053686</v>
      </c>
      <c r="F372" s="2543">
        <v>309722473</v>
      </c>
      <c r="G372" s="2541">
        <v>400559689</v>
      </c>
      <c r="H372" s="2541">
        <v>377727480</v>
      </c>
      <c r="I372" s="2541">
        <v>346570660</v>
      </c>
      <c r="J372" s="2545">
        <v>332239447</v>
      </c>
      <c r="K372" s="2543">
        <v>324053686</v>
      </c>
      <c r="L372" s="2543">
        <v>309722473</v>
      </c>
    </row>
    <row r="373" spans="1:12">
      <c r="A373" s="114" t="s">
        <v>3037</v>
      </c>
      <c r="B373" s="2540" t="s">
        <v>1192</v>
      </c>
      <c r="C373" s="2543">
        <v>576637835</v>
      </c>
      <c r="D373" s="2543">
        <v>568686180</v>
      </c>
      <c r="E373" s="2543">
        <v>576637835</v>
      </c>
      <c r="F373" s="2543">
        <v>568686180</v>
      </c>
      <c r="G373" s="2541">
        <v>521697895</v>
      </c>
      <c r="H373" s="2541">
        <v>521697895</v>
      </c>
      <c r="I373" s="2541">
        <v>576637835</v>
      </c>
      <c r="J373" s="2545">
        <v>568686180</v>
      </c>
      <c r="K373" s="2543">
        <v>576637835</v>
      </c>
      <c r="L373" s="2543">
        <v>568686180</v>
      </c>
    </row>
    <row r="374" spans="1:12">
      <c r="A374" s="114" t="s">
        <v>3038</v>
      </c>
      <c r="B374" s="2540" t="s">
        <v>257</v>
      </c>
      <c r="C374" s="2543">
        <v>270139821</v>
      </c>
      <c r="D374" s="2543">
        <v>263809729</v>
      </c>
      <c r="E374" s="2543">
        <v>270139821</v>
      </c>
      <c r="F374" s="2543">
        <v>263809729</v>
      </c>
      <c r="G374" s="2541">
        <v>307210358</v>
      </c>
      <c r="H374" s="2541">
        <v>307210358</v>
      </c>
      <c r="I374" s="2541">
        <v>270139821</v>
      </c>
      <c r="J374" s="2545">
        <v>263809729</v>
      </c>
      <c r="K374" s="2543">
        <v>270139821</v>
      </c>
      <c r="L374" s="2543">
        <v>263809729</v>
      </c>
    </row>
    <row r="375" spans="1:12">
      <c r="A375" s="114" t="s">
        <v>3039</v>
      </c>
      <c r="B375" s="2540" t="s">
        <v>258</v>
      </c>
      <c r="C375" s="2543">
        <v>1721266188</v>
      </c>
      <c r="D375" s="2543">
        <v>1689198229</v>
      </c>
      <c r="E375" s="2543">
        <v>1673369023</v>
      </c>
      <c r="F375" s="2543">
        <v>1641301064</v>
      </c>
      <c r="G375" s="2541">
        <v>1764382095</v>
      </c>
      <c r="H375" s="2541">
        <v>1724698313</v>
      </c>
      <c r="I375" s="2541">
        <v>1721266188</v>
      </c>
      <c r="J375" s="2545">
        <v>1689198229</v>
      </c>
      <c r="K375" s="2543">
        <v>1673369023</v>
      </c>
      <c r="L375" s="2543">
        <v>1641301064</v>
      </c>
    </row>
    <row r="376" spans="1:12">
      <c r="A376" s="114" t="s">
        <v>2456</v>
      </c>
      <c r="B376" s="2540" t="s">
        <v>259</v>
      </c>
      <c r="C376" s="2543">
        <v>138153842</v>
      </c>
      <c r="D376" s="2543">
        <v>134292005</v>
      </c>
      <c r="E376" s="2543">
        <v>138153842</v>
      </c>
      <c r="F376" s="2543">
        <v>134292005</v>
      </c>
      <c r="G376" s="2541">
        <v>137676495</v>
      </c>
      <c r="H376" s="2541">
        <v>137676495</v>
      </c>
      <c r="I376" s="2541">
        <v>138153842</v>
      </c>
      <c r="J376" s="2545">
        <v>134292005</v>
      </c>
      <c r="K376" s="2543">
        <v>138153842</v>
      </c>
      <c r="L376" s="2543">
        <v>134292005</v>
      </c>
    </row>
    <row r="377" spans="1:12">
      <c r="A377" s="114" t="s">
        <v>537</v>
      </c>
      <c r="B377" s="2540" t="s">
        <v>1416</v>
      </c>
      <c r="C377" s="2543">
        <v>3011173951</v>
      </c>
      <c r="D377" s="2543">
        <v>2929736433</v>
      </c>
      <c r="E377" s="2543">
        <v>3011173951</v>
      </c>
      <c r="F377" s="2543">
        <v>2929736433</v>
      </c>
      <c r="G377" s="2541">
        <v>2887223229</v>
      </c>
      <c r="H377" s="2541">
        <v>2887223229</v>
      </c>
      <c r="I377" s="2541">
        <v>3125980293</v>
      </c>
      <c r="J377" s="2545">
        <v>3044542775</v>
      </c>
      <c r="K377" s="2543">
        <v>3125980293</v>
      </c>
      <c r="L377" s="2543">
        <v>3044542775</v>
      </c>
    </row>
    <row r="378" spans="1:12">
      <c r="A378" s="114" t="s">
        <v>535</v>
      </c>
      <c r="B378" s="2540" t="s">
        <v>1414</v>
      </c>
      <c r="C378" s="2543">
        <v>5109363440</v>
      </c>
      <c r="D378" s="2543">
        <v>4945177268</v>
      </c>
      <c r="E378" s="2543">
        <v>5109363440</v>
      </c>
      <c r="F378" s="2543">
        <v>4945177268</v>
      </c>
      <c r="G378" s="2541">
        <v>4386635993</v>
      </c>
      <c r="H378" s="2541">
        <v>4386635993</v>
      </c>
      <c r="I378" s="2541">
        <v>5109363440</v>
      </c>
      <c r="J378" s="2545">
        <v>4945177268</v>
      </c>
      <c r="K378" s="2543">
        <v>5109363440</v>
      </c>
      <c r="L378" s="2543">
        <v>4945177268</v>
      </c>
    </row>
    <row r="379" spans="1:12">
      <c r="A379" s="114" t="s">
        <v>2457</v>
      </c>
      <c r="B379" s="2540" t="s">
        <v>260</v>
      </c>
      <c r="C379" s="2543">
        <v>899986153</v>
      </c>
      <c r="D379" s="2543">
        <v>881525514</v>
      </c>
      <c r="E379" s="2543">
        <v>899986153</v>
      </c>
      <c r="F379" s="2543">
        <v>881525514</v>
      </c>
      <c r="G379" s="2541">
        <v>648001225</v>
      </c>
      <c r="H379" s="2541">
        <v>648001225</v>
      </c>
      <c r="I379" s="2541">
        <v>899986153</v>
      </c>
      <c r="J379" s="2545">
        <v>881525514</v>
      </c>
      <c r="K379" s="2543">
        <v>899986153</v>
      </c>
      <c r="L379" s="2543">
        <v>881525514</v>
      </c>
    </row>
    <row r="380" spans="1:12">
      <c r="A380" s="114" t="s">
        <v>381</v>
      </c>
      <c r="B380" s="2540" t="s">
        <v>324</v>
      </c>
      <c r="C380" s="2543">
        <v>654395576</v>
      </c>
      <c r="D380" s="2543">
        <v>637901037</v>
      </c>
      <c r="E380" s="2543">
        <v>654395576</v>
      </c>
      <c r="F380" s="2543">
        <v>637901037</v>
      </c>
      <c r="G380" s="2541">
        <v>637779729</v>
      </c>
      <c r="H380" s="2541">
        <v>637779729</v>
      </c>
      <c r="I380" s="2541">
        <v>654395576</v>
      </c>
      <c r="J380" s="2545">
        <v>637901037</v>
      </c>
      <c r="K380" s="2543">
        <v>654395576</v>
      </c>
      <c r="L380" s="2543">
        <v>637901037</v>
      </c>
    </row>
    <row r="381" spans="1:12">
      <c r="A381" s="114" t="s">
        <v>2458</v>
      </c>
      <c r="B381" s="2540" t="s">
        <v>261</v>
      </c>
      <c r="C381" s="2543">
        <v>544102284</v>
      </c>
      <c r="D381" s="2543">
        <v>537165262</v>
      </c>
      <c r="E381" s="2543">
        <v>544102284</v>
      </c>
      <c r="F381" s="2543">
        <v>537165262</v>
      </c>
      <c r="G381" s="2541">
        <v>632997357</v>
      </c>
      <c r="H381" s="2541">
        <v>632997357</v>
      </c>
      <c r="I381" s="2541">
        <v>544102284</v>
      </c>
      <c r="J381" s="2545">
        <v>537165262</v>
      </c>
      <c r="K381" s="2543">
        <v>544102284</v>
      </c>
      <c r="L381" s="2543">
        <v>537165262</v>
      </c>
    </row>
    <row r="382" spans="1:12">
      <c r="A382" s="114" t="s">
        <v>2459</v>
      </c>
      <c r="B382" s="2540" t="s">
        <v>262</v>
      </c>
      <c r="C382" s="2543">
        <v>37137977</v>
      </c>
      <c r="D382" s="2543">
        <v>36625681</v>
      </c>
      <c r="E382" s="2543">
        <v>37137977</v>
      </c>
      <c r="F382" s="2543">
        <v>36625681</v>
      </c>
      <c r="G382" s="2541">
        <v>51629462</v>
      </c>
      <c r="H382" s="2541">
        <v>51629462</v>
      </c>
      <c r="I382" s="2541">
        <v>37137977</v>
      </c>
      <c r="J382" s="2545">
        <v>36625681</v>
      </c>
      <c r="K382" s="2543">
        <v>37137977</v>
      </c>
      <c r="L382" s="2543">
        <v>36625681</v>
      </c>
    </row>
    <row r="383" spans="1:12">
      <c r="A383" s="114" t="s">
        <v>547</v>
      </c>
      <c r="B383" s="2540" t="s">
        <v>263</v>
      </c>
      <c r="C383" s="2543">
        <v>92664575</v>
      </c>
      <c r="D383" s="2543">
        <v>88042065</v>
      </c>
      <c r="E383" s="2543">
        <v>92664575</v>
      </c>
      <c r="F383" s="2543">
        <v>88042065</v>
      </c>
      <c r="G383" s="2541">
        <v>101383018</v>
      </c>
      <c r="H383" s="2541">
        <v>101383018</v>
      </c>
      <c r="I383" s="2541">
        <v>92664575</v>
      </c>
      <c r="J383" s="2545">
        <v>88042065</v>
      </c>
      <c r="K383" s="2543">
        <v>92664575</v>
      </c>
      <c r="L383" s="2543">
        <v>88042065</v>
      </c>
    </row>
    <row r="384" spans="1:12">
      <c r="A384" s="114" t="s">
        <v>2232</v>
      </c>
      <c r="B384" s="2540" t="s">
        <v>264</v>
      </c>
      <c r="C384" s="2543">
        <v>74900320</v>
      </c>
      <c r="D384" s="2543">
        <v>72352404</v>
      </c>
      <c r="E384" s="2543">
        <v>74900320</v>
      </c>
      <c r="F384" s="2543">
        <v>72352404</v>
      </c>
      <c r="G384" s="2541">
        <v>69811004</v>
      </c>
      <c r="H384" s="2541">
        <v>69811004</v>
      </c>
      <c r="I384" s="2541">
        <v>74900320</v>
      </c>
      <c r="J384" s="2545">
        <v>72352404</v>
      </c>
      <c r="K384" s="2543">
        <v>74900320</v>
      </c>
      <c r="L384" s="2543">
        <v>72352404</v>
      </c>
    </row>
    <row r="385" spans="1:12">
      <c r="A385" s="114" t="s">
        <v>2366</v>
      </c>
      <c r="B385" s="2540" t="s">
        <v>265</v>
      </c>
      <c r="C385" s="2543">
        <v>1273754864</v>
      </c>
      <c r="D385" s="2543">
        <v>1231556333</v>
      </c>
      <c r="E385" s="2543">
        <v>1273754864</v>
      </c>
      <c r="F385" s="2543">
        <v>1231556333</v>
      </c>
      <c r="G385" s="2541">
        <v>1160178720</v>
      </c>
      <c r="H385" s="2541">
        <v>1160178720</v>
      </c>
      <c r="I385" s="2541">
        <v>1357734424</v>
      </c>
      <c r="J385" s="2545">
        <v>1315535893</v>
      </c>
      <c r="K385" s="2543">
        <v>1357734424</v>
      </c>
      <c r="L385" s="2543">
        <v>1315535893</v>
      </c>
    </row>
    <row r="386" spans="1:12">
      <c r="A386" s="114" t="s">
        <v>2367</v>
      </c>
      <c r="B386" s="2540" t="s">
        <v>266</v>
      </c>
      <c r="C386" s="2543">
        <v>163594194</v>
      </c>
      <c r="D386" s="2543">
        <v>159796304</v>
      </c>
      <c r="E386" s="2543">
        <v>163594194</v>
      </c>
      <c r="F386" s="2543">
        <v>159796304</v>
      </c>
      <c r="G386" s="2541">
        <v>146325372</v>
      </c>
      <c r="H386" s="2541">
        <v>146325372</v>
      </c>
      <c r="I386" s="2541">
        <v>163594194</v>
      </c>
      <c r="J386" s="2545">
        <v>159796304</v>
      </c>
      <c r="K386" s="2543">
        <v>163594194</v>
      </c>
      <c r="L386" s="2543">
        <v>159796304</v>
      </c>
    </row>
    <row r="387" spans="1:12">
      <c r="A387" s="114" t="s">
        <v>169</v>
      </c>
      <c r="B387" s="2540" t="s">
        <v>267</v>
      </c>
      <c r="C387" s="2543">
        <v>82442355</v>
      </c>
      <c r="D387" s="2543">
        <v>80899696</v>
      </c>
      <c r="E387" s="2543">
        <v>82442355</v>
      </c>
      <c r="F387" s="2543">
        <v>80899696</v>
      </c>
      <c r="G387" s="2541">
        <v>85870148</v>
      </c>
      <c r="H387" s="2541">
        <v>85870148</v>
      </c>
      <c r="I387" s="2541">
        <v>82442355</v>
      </c>
      <c r="J387" s="2545">
        <v>80899696</v>
      </c>
      <c r="K387" s="2543">
        <v>82442355</v>
      </c>
      <c r="L387" s="2543">
        <v>80899696</v>
      </c>
    </row>
    <row r="388" spans="1:12">
      <c r="A388" s="114" t="s">
        <v>170</v>
      </c>
      <c r="B388" s="2540" t="s">
        <v>1193</v>
      </c>
      <c r="C388" s="2543">
        <v>318176525</v>
      </c>
      <c r="D388" s="2543">
        <v>304995089</v>
      </c>
      <c r="E388" s="2543">
        <v>318176525</v>
      </c>
      <c r="F388" s="2543">
        <v>304995089</v>
      </c>
      <c r="G388" s="2541">
        <v>292472235</v>
      </c>
      <c r="H388" s="2541">
        <v>292472235</v>
      </c>
      <c r="I388" s="2541">
        <v>318176525</v>
      </c>
      <c r="J388" s="2545">
        <v>304995089</v>
      </c>
      <c r="K388" s="2543">
        <v>318176525</v>
      </c>
      <c r="L388" s="2543">
        <v>304995089</v>
      </c>
    </row>
    <row r="389" spans="1:12">
      <c r="A389" s="114" t="s">
        <v>2867</v>
      </c>
      <c r="B389" s="2540" t="s">
        <v>2724</v>
      </c>
      <c r="C389" s="2543">
        <v>170316008</v>
      </c>
      <c r="D389" s="2543">
        <v>163088589</v>
      </c>
      <c r="E389" s="2543">
        <v>170316008</v>
      </c>
      <c r="F389" s="2543">
        <v>163088589</v>
      </c>
      <c r="G389" s="2541">
        <v>168953842</v>
      </c>
      <c r="H389" s="2541">
        <v>168953842</v>
      </c>
      <c r="I389" s="2541">
        <v>170316008</v>
      </c>
      <c r="J389" s="2545">
        <v>163088589</v>
      </c>
      <c r="K389" s="2543">
        <v>170316008</v>
      </c>
      <c r="L389" s="2543">
        <v>163088589</v>
      </c>
    </row>
    <row r="390" spans="1:12">
      <c r="A390" s="114" t="s">
        <v>2674</v>
      </c>
      <c r="B390" s="2540" t="s">
        <v>269</v>
      </c>
      <c r="C390" s="2543">
        <v>289623592</v>
      </c>
      <c r="D390" s="2543">
        <v>286233145</v>
      </c>
      <c r="E390" s="2543">
        <v>289623592</v>
      </c>
      <c r="F390" s="2543">
        <v>286233145</v>
      </c>
      <c r="G390" s="2541">
        <v>380330368</v>
      </c>
      <c r="H390" s="2541">
        <v>376514655</v>
      </c>
      <c r="I390" s="2541">
        <v>325069592</v>
      </c>
      <c r="J390" s="2545">
        <v>321679145</v>
      </c>
      <c r="K390" s="2543">
        <v>325069592</v>
      </c>
      <c r="L390" s="2543">
        <v>321679145</v>
      </c>
    </row>
    <row r="391" spans="1:12">
      <c r="A391" s="114" t="s">
        <v>1281</v>
      </c>
      <c r="B391" s="2540" t="s">
        <v>1194</v>
      </c>
      <c r="C391" s="2543">
        <v>115490799</v>
      </c>
      <c r="D391" s="2543">
        <v>114898502</v>
      </c>
      <c r="E391" s="2543">
        <v>115048937</v>
      </c>
      <c r="F391" s="2543">
        <v>114456640</v>
      </c>
      <c r="G391" s="2541">
        <v>189362194</v>
      </c>
      <c r="H391" s="2541">
        <v>188854683</v>
      </c>
      <c r="I391" s="2541">
        <v>117419299</v>
      </c>
      <c r="J391" s="2545">
        <v>116827002</v>
      </c>
      <c r="K391" s="2543">
        <v>116977437</v>
      </c>
      <c r="L391" s="2543">
        <v>116385140</v>
      </c>
    </row>
    <row r="392" spans="1:12">
      <c r="A392" s="114" t="s">
        <v>1282</v>
      </c>
      <c r="B392" s="2540" t="s">
        <v>2991</v>
      </c>
      <c r="C392" s="2543">
        <v>355120173</v>
      </c>
      <c r="D392" s="2543">
        <v>347191577</v>
      </c>
      <c r="E392" s="2543">
        <v>355120173</v>
      </c>
      <c r="F392" s="2543">
        <v>347191577</v>
      </c>
      <c r="G392" s="2541">
        <v>490601020</v>
      </c>
      <c r="H392" s="2541">
        <v>490601020</v>
      </c>
      <c r="I392" s="2541">
        <v>385161673</v>
      </c>
      <c r="J392" s="2545">
        <v>377233077</v>
      </c>
      <c r="K392" s="2543">
        <v>385161673</v>
      </c>
      <c r="L392" s="2543">
        <v>377233077</v>
      </c>
    </row>
    <row r="393" spans="1:12">
      <c r="A393" s="114" t="s">
        <v>2416</v>
      </c>
      <c r="B393" s="2540" t="s">
        <v>518</v>
      </c>
      <c r="C393" s="2543">
        <v>115200385</v>
      </c>
      <c r="D393" s="2543">
        <v>113676195</v>
      </c>
      <c r="E393" s="2543">
        <v>115200385</v>
      </c>
      <c r="F393" s="2543">
        <v>113676195</v>
      </c>
      <c r="G393" s="2541">
        <v>241144081</v>
      </c>
      <c r="H393" s="2541">
        <v>241144081</v>
      </c>
      <c r="I393" s="2541">
        <v>178430965</v>
      </c>
      <c r="J393" s="2545">
        <v>176906775</v>
      </c>
      <c r="K393" s="2543">
        <v>178430965</v>
      </c>
      <c r="L393" s="2543">
        <v>176906775</v>
      </c>
    </row>
    <row r="394" spans="1:12">
      <c r="A394" s="114" t="s">
        <v>2417</v>
      </c>
      <c r="B394" s="2540" t="s">
        <v>519</v>
      </c>
      <c r="C394" s="2543">
        <v>275528682</v>
      </c>
      <c r="D394" s="2543">
        <v>271132502</v>
      </c>
      <c r="E394" s="2543">
        <v>275528682</v>
      </c>
      <c r="F394" s="2543">
        <v>271132502</v>
      </c>
      <c r="G394" s="2541">
        <v>345873450</v>
      </c>
      <c r="H394" s="2541">
        <v>345873450</v>
      </c>
      <c r="I394" s="2541">
        <v>275528682</v>
      </c>
      <c r="J394" s="2545">
        <v>271132502</v>
      </c>
      <c r="K394" s="2543">
        <v>275528682</v>
      </c>
      <c r="L394" s="2543">
        <v>271132502</v>
      </c>
    </row>
    <row r="395" spans="1:12">
      <c r="A395" s="114" t="s">
        <v>1158</v>
      </c>
      <c r="B395" s="2540" t="s">
        <v>520</v>
      </c>
      <c r="C395" s="2543">
        <v>372244338</v>
      </c>
      <c r="D395" s="2543">
        <v>355323868</v>
      </c>
      <c r="E395" s="2543">
        <v>364048223</v>
      </c>
      <c r="F395" s="2543">
        <v>347127753</v>
      </c>
      <c r="G395" s="2541">
        <v>398712106</v>
      </c>
      <c r="H395" s="2541">
        <v>390356757</v>
      </c>
      <c r="I395" s="2541">
        <v>372244338</v>
      </c>
      <c r="J395" s="2545">
        <v>355323868</v>
      </c>
      <c r="K395" s="2543">
        <v>364048223</v>
      </c>
      <c r="L395" s="2543">
        <v>347127753</v>
      </c>
    </row>
    <row r="396" spans="1:12">
      <c r="A396" s="114" t="s">
        <v>1312</v>
      </c>
      <c r="B396" s="2540" t="s">
        <v>1684</v>
      </c>
      <c r="C396" s="2543">
        <v>795711628</v>
      </c>
      <c r="D396" s="2543">
        <v>758401088</v>
      </c>
      <c r="E396" s="2543">
        <v>795711628</v>
      </c>
      <c r="F396" s="2543">
        <v>758401088</v>
      </c>
      <c r="G396" s="2541">
        <v>773443282</v>
      </c>
      <c r="H396" s="2541">
        <v>773443282</v>
      </c>
      <c r="I396" s="2541">
        <v>795711628</v>
      </c>
      <c r="J396" s="2545">
        <v>758401088</v>
      </c>
      <c r="K396" s="2543">
        <v>795711628</v>
      </c>
      <c r="L396" s="2543">
        <v>758401088</v>
      </c>
    </row>
    <row r="397" spans="1:12">
      <c r="A397" s="114" t="s">
        <v>416</v>
      </c>
      <c r="B397" s="2540" t="s">
        <v>521</v>
      </c>
      <c r="C397" s="2543">
        <v>819589064</v>
      </c>
      <c r="D397" s="2543">
        <v>793103372</v>
      </c>
      <c r="E397" s="2543">
        <v>788280452</v>
      </c>
      <c r="F397" s="2543">
        <v>761794760</v>
      </c>
      <c r="G397" s="2541">
        <v>857138146</v>
      </c>
      <c r="H397" s="2541">
        <v>827775390</v>
      </c>
      <c r="I397" s="2541">
        <v>819589064</v>
      </c>
      <c r="J397" s="2545">
        <v>793103372</v>
      </c>
      <c r="K397" s="2543">
        <v>788280452</v>
      </c>
      <c r="L397" s="2543">
        <v>761794760</v>
      </c>
    </row>
    <row r="398" spans="1:12">
      <c r="A398" s="114" t="s">
        <v>2608</v>
      </c>
      <c r="B398" s="2540" t="s">
        <v>949</v>
      </c>
      <c r="C398" s="2543">
        <v>1123498482</v>
      </c>
      <c r="D398" s="2543">
        <v>1073389622</v>
      </c>
      <c r="E398" s="2543">
        <v>1123498482</v>
      </c>
      <c r="F398" s="2543">
        <v>1073389622</v>
      </c>
      <c r="G398" s="2541">
        <v>1039085874</v>
      </c>
      <c r="H398" s="2541">
        <v>1039085874</v>
      </c>
      <c r="I398" s="2541">
        <v>1123498482</v>
      </c>
      <c r="J398" s="2545">
        <v>1073389622</v>
      </c>
      <c r="K398" s="2543">
        <v>1123498482</v>
      </c>
      <c r="L398" s="2543">
        <v>1073389622</v>
      </c>
    </row>
    <row r="399" spans="1:12">
      <c r="A399" s="114" t="s">
        <v>1346</v>
      </c>
      <c r="B399" s="2540" t="s">
        <v>328</v>
      </c>
      <c r="C399" s="2543">
        <v>193432615</v>
      </c>
      <c r="D399" s="2543">
        <v>186483935</v>
      </c>
      <c r="E399" s="2543">
        <v>193432615</v>
      </c>
      <c r="F399" s="2543">
        <v>186483935</v>
      </c>
      <c r="G399" s="2541">
        <v>218479113</v>
      </c>
      <c r="H399" s="2541">
        <v>218479113</v>
      </c>
      <c r="I399" s="2541">
        <v>193432615</v>
      </c>
      <c r="J399" s="2545">
        <v>186483935</v>
      </c>
      <c r="K399" s="2543">
        <v>193432615</v>
      </c>
      <c r="L399" s="2543">
        <v>186483935</v>
      </c>
    </row>
    <row r="400" spans="1:12">
      <c r="A400" s="114" t="s">
        <v>639</v>
      </c>
      <c r="B400" s="2540" t="s">
        <v>797</v>
      </c>
      <c r="C400" s="2543">
        <v>19256145453</v>
      </c>
      <c r="D400" s="2543">
        <v>18926881613</v>
      </c>
      <c r="E400" s="2543">
        <v>19256145453</v>
      </c>
      <c r="F400" s="2543">
        <v>18926881613</v>
      </c>
      <c r="G400" s="2541">
        <v>17302894413</v>
      </c>
      <c r="H400" s="2541">
        <v>17302894413</v>
      </c>
      <c r="I400" s="2541">
        <v>19256145453</v>
      </c>
      <c r="J400" s="2545">
        <v>18926881613</v>
      </c>
      <c r="K400" s="2543">
        <v>19256145453</v>
      </c>
      <c r="L400" s="2543">
        <v>18926881613</v>
      </c>
    </row>
    <row r="401" spans="1:12">
      <c r="A401" s="114" t="s">
        <v>222</v>
      </c>
      <c r="B401" s="2540" t="s">
        <v>2264</v>
      </c>
      <c r="C401" s="2543">
        <v>14940618926</v>
      </c>
      <c r="D401" s="2543">
        <v>14673777042</v>
      </c>
      <c r="E401" s="2543">
        <v>14940618926</v>
      </c>
      <c r="F401" s="2543">
        <v>14673777042</v>
      </c>
      <c r="G401" s="2541">
        <v>13124030433</v>
      </c>
      <c r="H401" s="2541">
        <v>13124030433</v>
      </c>
      <c r="I401" s="2541">
        <v>14940618926</v>
      </c>
      <c r="J401" s="2545">
        <v>14673777042</v>
      </c>
      <c r="K401" s="2543">
        <v>14940618926</v>
      </c>
      <c r="L401" s="2543">
        <v>14673777042</v>
      </c>
    </row>
    <row r="402" spans="1:12">
      <c r="A402" s="114" t="s">
        <v>2641</v>
      </c>
      <c r="B402" s="2540" t="s">
        <v>522</v>
      </c>
      <c r="C402" s="2543">
        <v>3108260307</v>
      </c>
      <c r="D402" s="2543">
        <v>3051017360</v>
      </c>
      <c r="E402" s="2543">
        <v>3108260307</v>
      </c>
      <c r="F402" s="2543">
        <v>3051017360</v>
      </c>
      <c r="G402" s="2541">
        <v>2797111015</v>
      </c>
      <c r="H402" s="2541">
        <v>2797111015</v>
      </c>
      <c r="I402" s="2541">
        <v>3108260307</v>
      </c>
      <c r="J402" s="2545">
        <v>3051017360</v>
      </c>
      <c r="K402" s="2543">
        <v>3108260307</v>
      </c>
      <c r="L402" s="2543">
        <v>3051017360</v>
      </c>
    </row>
    <row r="403" spans="1:12">
      <c r="A403" s="114" t="s">
        <v>2758</v>
      </c>
      <c r="B403" s="2540" t="s">
        <v>458</v>
      </c>
      <c r="C403" s="2543">
        <v>1784656643</v>
      </c>
      <c r="D403" s="2543">
        <v>1726024240</v>
      </c>
      <c r="E403" s="2543">
        <v>1784656643</v>
      </c>
      <c r="F403" s="2543">
        <v>1726024240</v>
      </c>
      <c r="G403" s="2541">
        <v>1540940595</v>
      </c>
      <c r="H403" s="2541">
        <v>1540940595</v>
      </c>
      <c r="I403" s="2541">
        <v>1784656643</v>
      </c>
      <c r="J403" s="2545">
        <v>1726024240</v>
      </c>
      <c r="K403" s="2543">
        <v>1784656643</v>
      </c>
      <c r="L403" s="2543">
        <v>1726024240</v>
      </c>
    </row>
    <row r="404" spans="1:12">
      <c r="A404" s="114" t="s">
        <v>2642</v>
      </c>
      <c r="B404" s="2540" t="s">
        <v>523</v>
      </c>
      <c r="C404" s="2543">
        <v>52399500670</v>
      </c>
      <c r="D404" s="2543">
        <v>51232390841</v>
      </c>
      <c r="E404" s="2543">
        <v>49944500338</v>
      </c>
      <c r="F404" s="2543">
        <v>48777390509</v>
      </c>
      <c r="G404" s="2541">
        <v>44197728266</v>
      </c>
      <c r="H404" s="2541">
        <v>42099285525</v>
      </c>
      <c r="I404" s="2541">
        <v>52399500670</v>
      </c>
      <c r="J404" s="2545">
        <v>51232390841</v>
      </c>
      <c r="K404" s="2543">
        <v>49944500338</v>
      </c>
      <c r="L404" s="2543">
        <v>48777390509</v>
      </c>
    </row>
    <row r="405" spans="1:12">
      <c r="A405" s="114" t="s">
        <v>2481</v>
      </c>
      <c r="B405" s="2540" t="s">
        <v>524</v>
      </c>
      <c r="C405" s="2543">
        <v>8371153775</v>
      </c>
      <c r="D405" s="2543">
        <v>8258591098</v>
      </c>
      <c r="E405" s="2543">
        <v>8192706967</v>
      </c>
      <c r="F405" s="2543">
        <v>8080144290</v>
      </c>
      <c r="G405" s="2541">
        <v>8199563728</v>
      </c>
      <c r="H405" s="2541">
        <v>8034785944</v>
      </c>
      <c r="I405" s="2541">
        <v>8409075855</v>
      </c>
      <c r="J405" s="2545">
        <v>8296513178</v>
      </c>
      <c r="K405" s="2543">
        <v>8230629047</v>
      </c>
      <c r="L405" s="2543">
        <v>8118066370</v>
      </c>
    </row>
    <row r="406" spans="1:12">
      <c r="A406" s="114" t="s">
        <v>1608</v>
      </c>
      <c r="B406" s="2540" t="s">
        <v>1670</v>
      </c>
      <c r="C406" s="2543">
        <v>8546073090</v>
      </c>
      <c r="D406" s="2543">
        <v>8422144129</v>
      </c>
      <c r="E406" s="2543">
        <v>8430055185</v>
      </c>
      <c r="F406" s="2543">
        <v>8306126224</v>
      </c>
      <c r="G406" s="2541">
        <v>7834438993</v>
      </c>
      <c r="H406" s="2541">
        <v>7732577543</v>
      </c>
      <c r="I406" s="2541">
        <v>8546073090</v>
      </c>
      <c r="J406" s="2545">
        <v>8422144129</v>
      </c>
      <c r="K406" s="2543">
        <v>8430055185</v>
      </c>
      <c r="L406" s="2543">
        <v>8306126224</v>
      </c>
    </row>
    <row r="407" spans="1:12">
      <c r="A407" s="114" t="s">
        <v>2300</v>
      </c>
      <c r="B407" s="2540" t="s">
        <v>525</v>
      </c>
      <c r="C407" s="2543">
        <v>10918539524</v>
      </c>
      <c r="D407" s="2543">
        <v>10732671592</v>
      </c>
      <c r="E407" s="2543">
        <v>10802691856</v>
      </c>
      <c r="F407" s="2543">
        <v>10616823924</v>
      </c>
      <c r="G407" s="2541">
        <v>9832079435</v>
      </c>
      <c r="H407" s="2541">
        <v>9729470507</v>
      </c>
      <c r="I407" s="2541">
        <v>11240568440</v>
      </c>
      <c r="J407" s="2545">
        <v>11054700508</v>
      </c>
      <c r="K407" s="2543">
        <v>11124720772</v>
      </c>
      <c r="L407" s="2543">
        <v>10938852840</v>
      </c>
    </row>
    <row r="408" spans="1:12">
      <c r="A408" s="114" t="s">
        <v>2921</v>
      </c>
      <c r="B408" s="2540" t="s">
        <v>526</v>
      </c>
      <c r="C408" s="2543">
        <v>170264157872</v>
      </c>
      <c r="D408" s="2543">
        <v>168099946742</v>
      </c>
      <c r="E408" s="2543">
        <v>163383767557</v>
      </c>
      <c r="F408" s="2543">
        <v>161219556427</v>
      </c>
      <c r="G408" s="2541">
        <v>145721018329</v>
      </c>
      <c r="H408" s="2541">
        <v>139925959363</v>
      </c>
      <c r="I408" s="2541">
        <v>170264157872</v>
      </c>
      <c r="J408" s="2545">
        <v>168099946742</v>
      </c>
      <c r="K408" s="2543">
        <v>163383767557</v>
      </c>
      <c r="L408" s="2543">
        <v>161219556427</v>
      </c>
    </row>
    <row r="409" spans="1:12">
      <c r="A409" s="114" t="s">
        <v>1278</v>
      </c>
      <c r="B409" s="2540" t="s">
        <v>2736</v>
      </c>
      <c r="C409" s="2543">
        <v>14276064804</v>
      </c>
      <c r="D409" s="2543">
        <v>13839245656</v>
      </c>
      <c r="E409" s="2543">
        <v>14276064804</v>
      </c>
      <c r="F409" s="2543">
        <v>13839245656</v>
      </c>
      <c r="G409" s="2541">
        <v>12191746281</v>
      </c>
      <c r="H409" s="2541">
        <v>12191746281</v>
      </c>
      <c r="I409" s="2541">
        <v>14276064804</v>
      </c>
      <c r="J409" s="2545">
        <v>13839245656</v>
      </c>
      <c r="K409" s="2543">
        <v>14276064804</v>
      </c>
      <c r="L409" s="2543">
        <v>13839245656</v>
      </c>
    </row>
    <row r="410" spans="1:12">
      <c r="A410" s="114" t="s">
        <v>55</v>
      </c>
      <c r="B410" s="2540" t="s">
        <v>450</v>
      </c>
      <c r="C410" s="2543">
        <v>36465875356</v>
      </c>
      <c r="D410" s="2543">
        <v>35779543377</v>
      </c>
      <c r="E410" s="2543">
        <v>36465875356</v>
      </c>
      <c r="F410" s="2543">
        <v>35779543377</v>
      </c>
      <c r="G410" s="2541">
        <v>28883510437</v>
      </c>
      <c r="H410" s="2541">
        <v>28883510437</v>
      </c>
      <c r="I410" s="2541">
        <v>36481153206</v>
      </c>
      <c r="J410" s="2545">
        <v>35794821227</v>
      </c>
      <c r="K410" s="2543">
        <v>36481153206</v>
      </c>
      <c r="L410" s="2543">
        <v>35794821227</v>
      </c>
    </row>
    <row r="411" spans="1:12">
      <c r="A411" s="114" t="s">
        <v>62</v>
      </c>
      <c r="B411" s="2540" t="s">
        <v>2980</v>
      </c>
      <c r="C411" s="2543">
        <v>19419269680</v>
      </c>
      <c r="D411" s="2543">
        <v>18878793373</v>
      </c>
      <c r="E411" s="2543">
        <v>19419269680</v>
      </c>
      <c r="F411" s="2543">
        <v>18878793373</v>
      </c>
      <c r="G411" s="2541">
        <v>15815431659</v>
      </c>
      <c r="H411" s="2541">
        <v>15815431659</v>
      </c>
      <c r="I411" s="2541">
        <v>19488112321</v>
      </c>
      <c r="J411" s="2545">
        <v>18947636014</v>
      </c>
      <c r="K411" s="2543">
        <v>19488112321</v>
      </c>
      <c r="L411" s="2543">
        <v>18947636014</v>
      </c>
    </row>
    <row r="412" spans="1:12">
      <c r="A412" s="114" t="s">
        <v>2922</v>
      </c>
      <c r="B412" s="2540" t="s">
        <v>527</v>
      </c>
      <c r="C412" s="2543">
        <v>8490438212</v>
      </c>
      <c r="D412" s="2543">
        <v>8388847824</v>
      </c>
      <c r="E412" s="2543">
        <v>8326607277</v>
      </c>
      <c r="F412" s="2543">
        <v>8225016889</v>
      </c>
      <c r="G412" s="2541">
        <v>7439362850</v>
      </c>
      <c r="H412" s="2541">
        <v>7295998314</v>
      </c>
      <c r="I412" s="2541">
        <v>9679867862</v>
      </c>
      <c r="J412" s="2545">
        <v>9578277474</v>
      </c>
      <c r="K412" s="2543">
        <v>9516036927</v>
      </c>
      <c r="L412" s="2543">
        <v>9414446539</v>
      </c>
    </row>
    <row r="413" spans="1:12">
      <c r="A413" s="114" t="s">
        <v>234</v>
      </c>
      <c r="B413" s="2540" t="s">
        <v>302</v>
      </c>
      <c r="C413" s="2543">
        <v>13184494377</v>
      </c>
      <c r="D413" s="2543">
        <v>12819187914</v>
      </c>
      <c r="E413" s="2543">
        <v>12964503359</v>
      </c>
      <c r="F413" s="2543">
        <v>12599196896</v>
      </c>
      <c r="G413" s="2541">
        <v>11400647233</v>
      </c>
      <c r="H413" s="2541">
        <v>11205669019</v>
      </c>
      <c r="I413" s="2541">
        <v>13184494377</v>
      </c>
      <c r="J413" s="2545">
        <v>12819187914</v>
      </c>
      <c r="K413" s="2543">
        <v>12964503359</v>
      </c>
      <c r="L413" s="2543">
        <v>12599196896</v>
      </c>
    </row>
    <row r="414" spans="1:12">
      <c r="A414" s="114" t="s">
        <v>743</v>
      </c>
      <c r="B414" s="2540" t="s">
        <v>528</v>
      </c>
      <c r="C414" s="2543">
        <v>11809850960</v>
      </c>
      <c r="D414" s="2543">
        <v>11542912332</v>
      </c>
      <c r="E414" s="2543">
        <v>11809850960</v>
      </c>
      <c r="F414" s="2543">
        <v>11542912332</v>
      </c>
      <c r="G414" s="2541">
        <v>9248628433</v>
      </c>
      <c r="H414" s="2541">
        <v>9248628433</v>
      </c>
      <c r="I414" s="2541">
        <v>11809850960</v>
      </c>
      <c r="J414" s="2545">
        <v>11542912332</v>
      </c>
      <c r="K414" s="2543">
        <v>11809850960</v>
      </c>
      <c r="L414" s="2543">
        <v>11542912332</v>
      </c>
    </row>
    <row r="415" spans="1:12">
      <c r="A415" s="114" t="s">
        <v>918</v>
      </c>
      <c r="B415" s="2540" t="s">
        <v>2505</v>
      </c>
      <c r="C415" s="2543">
        <v>32121338673</v>
      </c>
      <c r="D415" s="2543">
        <v>31793958644</v>
      </c>
      <c r="E415" s="2543">
        <v>30133347258</v>
      </c>
      <c r="F415" s="2543">
        <v>29805967229</v>
      </c>
      <c r="G415" s="2541">
        <v>26442604550</v>
      </c>
      <c r="H415" s="2541">
        <v>24777294615</v>
      </c>
      <c r="I415" s="2541">
        <v>32121338673</v>
      </c>
      <c r="J415" s="2545">
        <v>31793958644</v>
      </c>
      <c r="K415" s="2543">
        <v>30133347258</v>
      </c>
      <c r="L415" s="2543">
        <v>29805967229</v>
      </c>
    </row>
    <row r="416" spans="1:12">
      <c r="A416" s="114" t="s">
        <v>2221</v>
      </c>
      <c r="B416" s="2540" t="s">
        <v>2506</v>
      </c>
      <c r="C416" s="2543">
        <v>10000772311</v>
      </c>
      <c r="D416" s="2543">
        <v>9825852232</v>
      </c>
      <c r="E416" s="2543">
        <v>10000772311</v>
      </c>
      <c r="F416" s="2543">
        <v>9825852232</v>
      </c>
      <c r="G416" s="2541">
        <v>7874175925</v>
      </c>
      <c r="H416" s="2541">
        <v>7874175925</v>
      </c>
      <c r="I416" s="2541">
        <v>10000772311</v>
      </c>
      <c r="J416" s="2545">
        <v>9825852232</v>
      </c>
      <c r="K416" s="2543">
        <v>10000772311</v>
      </c>
      <c r="L416" s="2543">
        <v>9825852232</v>
      </c>
    </row>
    <row r="417" spans="1:12">
      <c r="A417" s="114" t="s">
        <v>2222</v>
      </c>
      <c r="B417" s="2540" t="s">
        <v>2507</v>
      </c>
      <c r="C417" s="2543">
        <v>5393822306</v>
      </c>
      <c r="D417" s="2543">
        <v>5339377157</v>
      </c>
      <c r="E417" s="2543">
        <v>5334823837</v>
      </c>
      <c r="F417" s="2543">
        <v>5280378688</v>
      </c>
      <c r="G417" s="2541">
        <v>5185904116</v>
      </c>
      <c r="H417" s="2541">
        <v>5138504272</v>
      </c>
      <c r="I417" s="2541">
        <v>5551260206</v>
      </c>
      <c r="J417" s="2545">
        <v>5496815057</v>
      </c>
      <c r="K417" s="2543">
        <v>5492261737</v>
      </c>
      <c r="L417" s="2543">
        <v>5437816588</v>
      </c>
    </row>
    <row r="418" spans="1:12">
      <c r="A418" s="114" t="s">
        <v>979</v>
      </c>
      <c r="B418" s="2540" t="s">
        <v>2734</v>
      </c>
      <c r="C418" s="2543">
        <v>1087300435</v>
      </c>
      <c r="D418" s="2543">
        <v>1051085854</v>
      </c>
      <c r="E418" s="2543">
        <v>1087300435</v>
      </c>
      <c r="F418" s="2543">
        <v>1051085854</v>
      </c>
      <c r="G418" s="2541">
        <v>914034019</v>
      </c>
      <c r="H418" s="2541">
        <v>914034019</v>
      </c>
      <c r="I418" s="2541">
        <v>1087300435</v>
      </c>
      <c r="J418" s="2545">
        <v>1051085854</v>
      </c>
      <c r="K418" s="2543">
        <v>1087300435</v>
      </c>
      <c r="L418" s="2543">
        <v>1051085854</v>
      </c>
    </row>
    <row r="419" spans="1:12">
      <c r="A419" s="114" t="s">
        <v>2223</v>
      </c>
      <c r="B419" s="2540" t="s">
        <v>2508</v>
      </c>
      <c r="C419" s="2543">
        <v>201687069</v>
      </c>
      <c r="D419" s="2543">
        <v>196902493</v>
      </c>
      <c r="E419" s="2543">
        <v>194718821</v>
      </c>
      <c r="F419" s="2543">
        <v>189934245</v>
      </c>
      <c r="G419" s="2541">
        <v>236706051</v>
      </c>
      <c r="H419" s="2541">
        <v>230163988</v>
      </c>
      <c r="I419" s="2541">
        <v>201687069</v>
      </c>
      <c r="J419" s="2545">
        <v>196902493</v>
      </c>
      <c r="K419" s="2543">
        <v>194718821</v>
      </c>
      <c r="L419" s="2543">
        <v>189934245</v>
      </c>
    </row>
    <row r="420" spans="1:12">
      <c r="A420" s="114" t="s">
        <v>1692</v>
      </c>
      <c r="B420" s="2540" t="s">
        <v>2509</v>
      </c>
      <c r="C420" s="2543">
        <v>2437206178</v>
      </c>
      <c r="D420" s="2543">
        <v>2379961395</v>
      </c>
      <c r="E420" s="2543">
        <v>2360766405</v>
      </c>
      <c r="F420" s="2543">
        <v>2303521622</v>
      </c>
      <c r="G420" s="2541">
        <v>2753162555</v>
      </c>
      <c r="H420" s="2541">
        <v>2677105418</v>
      </c>
      <c r="I420" s="2541">
        <v>2437206178</v>
      </c>
      <c r="J420" s="2545">
        <v>2379961395</v>
      </c>
      <c r="K420" s="2543">
        <v>2360766405</v>
      </c>
      <c r="L420" s="2543">
        <v>2303521622</v>
      </c>
    </row>
    <row r="421" spans="1:12">
      <c r="A421" s="114" t="s">
        <v>1693</v>
      </c>
      <c r="B421" s="2540" t="s">
        <v>2510</v>
      </c>
      <c r="C421" s="2543">
        <v>356244635</v>
      </c>
      <c r="D421" s="2543">
        <v>349882330</v>
      </c>
      <c r="E421" s="2543">
        <v>347497986</v>
      </c>
      <c r="F421" s="2543">
        <v>341135681</v>
      </c>
      <c r="G421" s="2541">
        <v>441780708</v>
      </c>
      <c r="H421" s="2541">
        <v>433085114</v>
      </c>
      <c r="I421" s="2541">
        <v>356244635</v>
      </c>
      <c r="J421" s="2545">
        <v>349882330</v>
      </c>
      <c r="K421" s="2543">
        <v>347497986</v>
      </c>
      <c r="L421" s="2543">
        <v>341135681</v>
      </c>
    </row>
    <row r="422" spans="1:12">
      <c r="A422" s="114" t="s">
        <v>1694</v>
      </c>
      <c r="B422" s="2540" t="s">
        <v>2368</v>
      </c>
      <c r="C422" s="2543">
        <v>2586099925</v>
      </c>
      <c r="D422" s="2543">
        <v>2541652904</v>
      </c>
      <c r="E422" s="2543">
        <v>2498483897</v>
      </c>
      <c r="F422" s="2543">
        <v>2454036876</v>
      </c>
      <c r="G422" s="2541">
        <v>2571958355</v>
      </c>
      <c r="H422" s="2541">
        <v>2489326629</v>
      </c>
      <c r="I422" s="2541">
        <v>2586099925</v>
      </c>
      <c r="J422" s="2545">
        <v>2541652904</v>
      </c>
      <c r="K422" s="2543">
        <v>2498483897</v>
      </c>
      <c r="L422" s="2543">
        <v>2454036876</v>
      </c>
    </row>
    <row r="423" spans="1:12">
      <c r="A423" s="114" t="s">
        <v>1765</v>
      </c>
      <c r="B423" s="2540" t="s">
        <v>2369</v>
      </c>
      <c r="C423" s="2543">
        <v>160812028</v>
      </c>
      <c r="D423" s="2543">
        <v>155289825</v>
      </c>
      <c r="E423" s="2543">
        <v>151486010</v>
      </c>
      <c r="F423" s="2543">
        <v>145963807</v>
      </c>
      <c r="G423" s="2541">
        <v>167944739</v>
      </c>
      <c r="H423" s="2541">
        <v>159248602</v>
      </c>
      <c r="I423" s="2541">
        <v>160812028</v>
      </c>
      <c r="J423" s="2545">
        <v>155289825</v>
      </c>
      <c r="K423" s="2543">
        <v>151486010</v>
      </c>
      <c r="L423" s="2543">
        <v>145963807</v>
      </c>
    </row>
    <row r="424" spans="1:12">
      <c r="A424" s="114" t="s">
        <v>1766</v>
      </c>
      <c r="B424" s="2540" t="s">
        <v>182</v>
      </c>
      <c r="C424" s="2543">
        <v>331775222</v>
      </c>
      <c r="D424" s="2543">
        <v>321297951</v>
      </c>
      <c r="E424" s="2543">
        <v>318175083</v>
      </c>
      <c r="F424" s="2543">
        <v>307697812</v>
      </c>
      <c r="G424" s="2541">
        <v>486052582</v>
      </c>
      <c r="H424" s="2541">
        <v>472955566</v>
      </c>
      <c r="I424" s="2541">
        <v>331775222</v>
      </c>
      <c r="J424" s="2545">
        <v>321297951</v>
      </c>
      <c r="K424" s="2543">
        <v>318175083</v>
      </c>
      <c r="L424" s="2543">
        <v>307697812</v>
      </c>
    </row>
    <row r="425" spans="1:12">
      <c r="A425" s="114" t="s">
        <v>539</v>
      </c>
      <c r="B425" s="2540" t="s">
        <v>183</v>
      </c>
      <c r="C425" s="2543">
        <v>175793026</v>
      </c>
      <c r="D425" s="2543">
        <v>175127676</v>
      </c>
      <c r="E425" s="2543">
        <v>175793026</v>
      </c>
      <c r="F425" s="2543">
        <v>175127676</v>
      </c>
      <c r="G425" s="2541">
        <v>275592155</v>
      </c>
      <c r="H425" s="2541">
        <v>275592155</v>
      </c>
      <c r="I425" s="2541">
        <v>175793026</v>
      </c>
      <c r="J425" s="2545">
        <v>175127676</v>
      </c>
      <c r="K425" s="2543">
        <v>175793026</v>
      </c>
      <c r="L425" s="2543">
        <v>175127676</v>
      </c>
    </row>
    <row r="426" spans="1:12">
      <c r="A426" s="114" t="s">
        <v>506</v>
      </c>
      <c r="B426" s="2540" t="s">
        <v>184</v>
      </c>
      <c r="C426" s="2543">
        <v>159871962</v>
      </c>
      <c r="D426" s="2543">
        <v>158982522</v>
      </c>
      <c r="E426" s="2543">
        <v>159871962</v>
      </c>
      <c r="F426" s="2543">
        <v>158982522</v>
      </c>
      <c r="G426" s="2541">
        <v>169242710</v>
      </c>
      <c r="H426" s="2541">
        <v>169242710</v>
      </c>
      <c r="I426" s="2541">
        <v>159871962</v>
      </c>
      <c r="J426" s="2545">
        <v>158982522</v>
      </c>
      <c r="K426" s="2543">
        <v>159871962</v>
      </c>
      <c r="L426" s="2543">
        <v>158982522</v>
      </c>
    </row>
    <row r="427" spans="1:12">
      <c r="A427" s="114" t="s">
        <v>507</v>
      </c>
      <c r="B427" s="2540" t="s">
        <v>936</v>
      </c>
      <c r="C427" s="2543">
        <v>165530570</v>
      </c>
      <c r="D427" s="2543">
        <v>158218620</v>
      </c>
      <c r="E427" s="2543">
        <v>165530570</v>
      </c>
      <c r="F427" s="2543">
        <v>158218620</v>
      </c>
      <c r="G427" s="2541">
        <v>203158751</v>
      </c>
      <c r="H427" s="2541">
        <v>203158751</v>
      </c>
      <c r="I427" s="2541">
        <v>165530570</v>
      </c>
      <c r="J427" s="2545">
        <v>158218620</v>
      </c>
      <c r="K427" s="2543">
        <v>165530570</v>
      </c>
      <c r="L427" s="2543">
        <v>158218620</v>
      </c>
    </row>
    <row r="428" spans="1:12">
      <c r="A428" s="114" t="s">
        <v>508</v>
      </c>
      <c r="B428" s="2540" t="s">
        <v>185</v>
      </c>
      <c r="C428" s="2543">
        <v>37868259</v>
      </c>
      <c r="D428" s="2543">
        <v>36684149</v>
      </c>
      <c r="E428" s="2543">
        <v>37222444</v>
      </c>
      <c r="F428" s="2543">
        <v>36038334</v>
      </c>
      <c r="G428" s="2541">
        <v>44140487</v>
      </c>
      <c r="H428" s="2541">
        <v>43514764</v>
      </c>
      <c r="I428" s="2541">
        <v>37868259</v>
      </c>
      <c r="J428" s="2545">
        <v>36684149</v>
      </c>
      <c r="K428" s="2543">
        <v>37222444</v>
      </c>
      <c r="L428" s="2543">
        <v>36038334</v>
      </c>
    </row>
    <row r="429" spans="1:12">
      <c r="A429" s="114" t="s">
        <v>509</v>
      </c>
      <c r="B429" s="2540" t="s">
        <v>186</v>
      </c>
      <c r="C429" s="2543">
        <v>220946942</v>
      </c>
      <c r="D429" s="2543">
        <v>220370722</v>
      </c>
      <c r="E429" s="2543">
        <v>220946942</v>
      </c>
      <c r="F429" s="2543">
        <v>220370722</v>
      </c>
      <c r="G429" s="2541">
        <v>106427017</v>
      </c>
      <c r="H429" s="2541">
        <v>106427017</v>
      </c>
      <c r="I429" s="2541">
        <v>220946942</v>
      </c>
      <c r="J429" s="2545">
        <v>220370722</v>
      </c>
      <c r="K429" s="2543">
        <v>220946942</v>
      </c>
      <c r="L429" s="2543">
        <v>220370722</v>
      </c>
    </row>
    <row r="430" spans="1:12">
      <c r="A430" s="114" t="s">
        <v>1304</v>
      </c>
      <c r="B430" s="2540" t="s">
        <v>1195</v>
      </c>
      <c r="C430" s="2543">
        <v>4749660022</v>
      </c>
      <c r="D430" s="2543">
        <v>4682325586</v>
      </c>
      <c r="E430" s="2543">
        <v>4749660022</v>
      </c>
      <c r="F430" s="2543">
        <v>4682325586</v>
      </c>
      <c r="G430" s="2541">
        <v>4178103815</v>
      </c>
      <c r="H430" s="2541">
        <v>4178103815</v>
      </c>
      <c r="I430" s="2541">
        <v>4749660022</v>
      </c>
      <c r="J430" s="2545">
        <v>4682325586</v>
      </c>
      <c r="K430" s="2543">
        <v>4749660022</v>
      </c>
      <c r="L430" s="2543">
        <v>4682325586</v>
      </c>
    </row>
    <row r="431" spans="1:12">
      <c r="A431" s="114" t="s">
        <v>1678</v>
      </c>
      <c r="B431" s="2540" t="s">
        <v>1212</v>
      </c>
      <c r="C431" s="2543">
        <v>3979418046</v>
      </c>
      <c r="D431" s="2543">
        <v>3901803025</v>
      </c>
      <c r="E431" s="2543">
        <v>3979418046</v>
      </c>
      <c r="F431" s="2543">
        <v>3901803025</v>
      </c>
      <c r="G431" s="2541">
        <v>3168432342</v>
      </c>
      <c r="H431" s="2541">
        <v>3168432342</v>
      </c>
      <c r="I431" s="2541">
        <v>3979418046</v>
      </c>
      <c r="J431" s="2545">
        <v>3901803025</v>
      </c>
      <c r="K431" s="2543">
        <v>3979418046</v>
      </c>
      <c r="L431" s="2543">
        <v>3901803025</v>
      </c>
    </row>
    <row r="432" spans="1:12">
      <c r="A432" s="114" t="s">
        <v>1467</v>
      </c>
      <c r="B432" s="2540" t="s">
        <v>188</v>
      </c>
      <c r="C432" s="2543">
        <v>1805579681</v>
      </c>
      <c r="D432" s="2543">
        <v>1763165859</v>
      </c>
      <c r="E432" s="2543">
        <v>1805579681</v>
      </c>
      <c r="F432" s="2543">
        <v>1763165859</v>
      </c>
      <c r="G432" s="2541">
        <v>1607484170</v>
      </c>
      <c r="H432" s="2541">
        <v>1607484170</v>
      </c>
      <c r="I432" s="2541">
        <v>1805579681</v>
      </c>
      <c r="J432" s="2545">
        <v>1763165859</v>
      </c>
      <c r="K432" s="2543">
        <v>1805579681</v>
      </c>
      <c r="L432" s="2543">
        <v>1763165859</v>
      </c>
    </row>
    <row r="433" spans="1:12">
      <c r="A433" s="114" t="s">
        <v>2129</v>
      </c>
      <c r="B433" s="2540" t="s">
        <v>42</v>
      </c>
      <c r="C433" s="2543">
        <v>6222410228</v>
      </c>
      <c r="D433" s="2543">
        <v>6050655594</v>
      </c>
      <c r="E433" s="2543">
        <v>6222410228</v>
      </c>
      <c r="F433" s="2543">
        <v>6050655594</v>
      </c>
      <c r="G433" s="2541">
        <v>4646310333</v>
      </c>
      <c r="H433" s="2541">
        <v>4646310333</v>
      </c>
      <c r="I433" s="2541">
        <v>6222410228</v>
      </c>
      <c r="J433" s="2545">
        <v>6050655594</v>
      </c>
      <c r="K433" s="2543">
        <v>6222410228</v>
      </c>
      <c r="L433" s="2543">
        <v>6050655594</v>
      </c>
    </row>
    <row r="434" spans="1:12">
      <c r="A434" s="114" t="s">
        <v>1918</v>
      </c>
      <c r="B434" s="2540" t="s">
        <v>189</v>
      </c>
      <c r="C434" s="2543">
        <v>1208552487</v>
      </c>
      <c r="D434" s="2543">
        <v>1201440447</v>
      </c>
      <c r="E434" s="2543">
        <v>1199067362</v>
      </c>
      <c r="F434" s="2543">
        <v>1191955322</v>
      </c>
      <c r="G434" s="2541">
        <v>1784945155</v>
      </c>
      <c r="H434" s="2541">
        <v>1775400305</v>
      </c>
      <c r="I434" s="2541">
        <v>1223267187</v>
      </c>
      <c r="J434" s="2545">
        <v>1216155147</v>
      </c>
      <c r="K434" s="2543">
        <v>1213782062</v>
      </c>
      <c r="L434" s="2543">
        <v>1206670022</v>
      </c>
    </row>
    <row r="435" spans="1:12">
      <c r="A435" s="114" t="s">
        <v>1919</v>
      </c>
      <c r="B435" s="2540" t="s">
        <v>1525</v>
      </c>
      <c r="C435" s="2543">
        <v>1286195301</v>
      </c>
      <c r="D435" s="2543">
        <v>1241639608</v>
      </c>
      <c r="E435" s="2543">
        <v>1286195301</v>
      </c>
      <c r="F435" s="2543">
        <v>1241639608</v>
      </c>
      <c r="G435" s="2541">
        <v>1278545512</v>
      </c>
      <c r="H435" s="2541">
        <v>1278545512</v>
      </c>
      <c r="I435" s="2541">
        <v>1286195301</v>
      </c>
      <c r="J435" s="2545">
        <v>1241639608</v>
      </c>
      <c r="K435" s="2543">
        <v>1286195301</v>
      </c>
      <c r="L435" s="2543">
        <v>1241639608</v>
      </c>
    </row>
    <row r="436" spans="1:12">
      <c r="A436" s="114" t="s">
        <v>2912</v>
      </c>
      <c r="B436" s="2540" t="s">
        <v>1526</v>
      </c>
      <c r="C436" s="2543">
        <v>693066307</v>
      </c>
      <c r="D436" s="2543">
        <v>655317392</v>
      </c>
      <c r="E436" s="2543">
        <v>647693140</v>
      </c>
      <c r="F436" s="2543">
        <v>609944225</v>
      </c>
      <c r="G436" s="2541">
        <v>661969534</v>
      </c>
      <c r="H436" s="2541">
        <v>616260303</v>
      </c>
      <c r="I436" s="2541">
        <v>693066307</v>
      </c>
      <c r="J436" s="2545">
        <v>655317392</v>
      </c>
      <c r="K436" s="2543">
        <v>647693140</v>
      </c>
      <c r="L436" s="2543">
        <v>609944225</v>
      </c>
    </row>
    <row r="437" spans="1:12">
      <c r="A437" s="114" t="s">
        <v>2879</v>
      </c>
      <c r="B437" s="2540" t="s">
        <v>1527</v>
      </c>
      <c r="C437" s="2543">
        <v>218116780</v>
      </c>
      <c r="D437" s="2543">
        <v>212078082</v>
      </c>
      <c r="E437" s="2543">
        <v>218116780</v>
      </c>
      <c r="F437" s="2543">
        <v>212078082</v>
      </c>
      <c r="G437" s="2541">
        <v>264102548</v>
      </c>
      <c r="H437" s="2541">
        <v>264102548</v>
      </c>
      <c r="I437" s="2541">
        <v>218116780</v>
      </c>
      <c r="J437" s="2545">
        <v>212078082</v>
      </c>
      <c r="K437" s="2543">
        <v>218116780</v>
      </c>
      <c r="L437" s="2543">
        <v>212078082</v>
      </c>
    </row>
    <row r="438" spans="1:12">
      <c r="A438" s="114" t="s">
        <v>2284</v>
      </c>
      <c r="B438" s="2540" t="s">
        <v>1528</v>
      </c>
      <c r="C438" s="2543">
        <v>562635767</v>
      </c>
      <c r="D438" s="2543">
        <v>546154734</v>
      </c>
      <c r="E438" s="2543">
        <v>538005294</v>
      </c>
      <c r="F438" s="2543">
        <v>521524261</v>
      </c>
      <c r="G438" s="2541">
        <v>561979052</v>
      </c>
      <c r="H438" s="2541">
        <v>536484900</v>
      </c>
      <c r="I438" s="2541">
        <v>562635767</v>
      </c>
      <c r="J438" s="2545">
        <v>546154734</v>
      </c>
      <c r="K438" s="2543">
        <v>538005294</v>
      </c>
      <c r="L438" s="2543">
        <v>521524261</v>
      </c>
    </row>
    <row r="439" spans="1:12">
      <c r="A439" s="114" t="s">
        <v>71</v>
      </c>
      <c r="B439" s="2540" t="s">
        <v>2995</v>
      </c>
      <c r="C439" s="2543">
        <v>1191032874</v>
      </c>
      <c r="D439" s="2543">
        <v>1166673109</v>
      </c>
      <c r="E439" s="2543">
        <v>1191032874</v>
      </c>
      <c r="F439" s="2543">
        <v>1166673109</v>
      </c>
      <c r="G439" s="2541">
        <v>1123397888</v>
      </c>
      <c r="H439" s="2541">
        <v>1123397888</v>
      </c>
      <c r="I439" s="2541">
        <v>1191032874</v>
      </c>
      <c r="J439" s="2545">
        <v>1166673109</v>
      </c>
      <c r="K439" s="2543">
        <v>1191032874</v>
      </c>
      <c r="L439" s="2543">
        <v>1166673109</v>
      </c>
    </row>
    <row r="440" spans="1:12">
      <c r="A440" s="114" t="s">
        <v>1711</v>
      </c>
      <c r="B440" s="2540" t="s">
        <v>662</v>
      </c>
      <c r="C440" s="2543">
        <v>49886196</v>
      </c>
      <c r="D440" s="2543">
        <v>48194990</v>
      </c>
      <c r="E440" s="2543">
        <v>48987924</v>
      </c>
      <c r="F440" s="2543">
        <v>47296718</v>
      </c>
      <c r="G440" s="2541">
        <v>42160768</v>
      </c>
      <c r="H440" s="2541">
        <v>41144530</v>
      </c>
      <c r="I440" s="2541">
        <v>49886196</v>
      </c>
      <c r="J440" s="2545">
        <v>48194990</v>
      </c>
      <c r="K440" s="2543">
        <v>48987924</v>
      </c>
      <c r="L440" s="2543">
        <v>47296718</v>
      </c>
    </row>
    <row r="441" spans="1:12">
      <c r="A441" s="114" t="s">
        <v>980</v>
      </c>
      <c r="B441" s="2540" t="s">
        <v>2415</v>
      </c>
      <c r="C441" s="2543">
        <v>36388691</v>
      </c>
      <c r="D441" s="2543">
        <v>34570141</v>
      </c>
      <c r="E441" s="2543">
        <v>36388691</v>
      </c>
      <c r="F441" s="2543">
        <v>34570141</v>
      </c>
      <c r="G441" s="2541">
        <v>39588027</v>
      </c>
      <c r="H441" s="2541">
        <v>39588027</v>
      </c>
      <c r="I441" s="2541">
        <v>36388691</v>
      </c>
      <c r="J441" s="2545">
        <v>34570141</v>
      </c>
      <c r="K441" s="2543">
        <v>36388691</v>
      </c>
      <c r="L441" s="2543">
        <v>34570141</v>
      </c>
    </row>
    <row r="442" spans="1:12">
      <c r="A442" s="114" t="s">
        <v>72</v>
      </c>
      <c r="B442" s="2540" t="s">
        <v>2996</v>
      </c>
      <c r="C442" s="2543">
        <v>198113485</v>
      </c>
      <c r="D442" s="2543">
        <v>191833769</v>
      </c>
      <c r="E442" s="2543">
        <v>190193854</v>
      </c>
      <c r="F442" s="2543">
        <v>183914138</v>
      </c>
      <c r="G442" s="2541">
        <v>235113552</v>
      </c>
      <c r="H442" s="2541">
        <v>227391830</v>
      </c>
      <c r="I442" s="2541">
        <v>198113485</v>
      </c>
      <c r="J442" s="2545">
        <v>191833769</v>
      </c>
      <c r="K442" s="2543">
        <v>190193854</v>
      </c>
      <c r="L442" s="2543">
        <v>183914138</v>
      </c>
    </row>
    <row r="443" spans="1:12">
      <c r="A443" s="114" t="s">
        <v>2437</v>
      </c>
      <c r="B443" s="2540" t="s">
        <v>39</v>
      </c>
      <c r="C443" s="2543">
        <v>1280446690</v>
      </c>
      <c r="D443" s="2543">
        <v>1200968522</v>
      </c>
      <c r="E443" s="2543">
        <v>1280446690</v>
      </c>
      <c r="F443" s="2543">
        <v>1200968522</v>
      </c>
      <c r="G443" s="2541">
        <v>1105814874</v>
      </c>
      <c r="H443" s="2541">
        <v>1105814874</v>
      </c>
      <c r="I443" s="2541">
        <v>1280446690</v>
      </c>
      <c r="J443" s="2545">
        <v>1200968522</v>
      </c>
      <c r="K443" s="2543">
        <v>1280446690</v>
      </c>
      <c r="L443" s="2543">
        <v>1200968522</v>
      </c>
    </row>
    <row r="444" spans="1:12">
      <c r="A444" s="114" t="s">
        <v>873</v>
      </c>
      <c r="B444" s="2540" t="s">
        <v>1217</v>
      </c>
      <c r="C444" s="2543">
        <v>328327546</v>
      </c>
      <c r="D444" s="2543">
        <v>303358252</v>
      </c>
      <c r="E444" s="2543">
        <v>328327546</v>
      </c>
      <c r="F444" s="2543">
        <v>303358252</v>
      </c>
      <c r="G444" s="2541">
        <v>264903176</v>
      </c>
      <c r="H444" s="2541">
        <v>264903176</v>
      </c>
      <c r="I444" s="2541">
        <v>328327546</v>
      </c>
      <c r="J444" s="2545">
        <v>303358252</v>
      </c>
      <c r="K444" s="2543">
        <v>328327546</v>
      </c>
      <c r="L444" s="2543">
        <v>303358252</v>
      </c>
    </row>
    <row r="445" spans="1:12">
      <c r="A445" s="114" t="s">
        <v>875</v>
      </c>
      <c r="B445" s="2540" t="s">
        <v>40</v>
      </c>
      <c r="C445" s="2543">
        <v>5807385774</v>
      </c>
      <c r="D445" s="2543">
        <v>5599586224</v>
      </c>
      <c r="E445" s="2543">
        <v>5807385774</v>
      </c>
      <c r="F445" s="2543">
        <v>5599586224</v>
      </c>
      <c r="G445" s="2541">
        <v>5280585861</v>
      </c>
      <c r="H445" s="2541">
        <v>5280585861</v>
      </c>
      <c r="I445" s="2541">
        <v>5807385774</v>
      </c>
      <c r="J445" s="2545">
        <v>5599586224</v>
      </c>
      <c r="K445" s="2543">
        <v>5807385774</v>
      </c>
      <c r="L445" s="2543">
        <v>5599586224</v>
      </c>
    </row>
    <row r="446" spans="1:12">
      <c r="A446" s="114" t="s">
        <v>2131</v>
      </c>
      <c r="B446" s="2540" t="s">
        <v>2725</v>
      </c>
      <c r="C446" s="2543">
        <v>488624378</v>
      </c>
      <c r="D446" s="2543">
        <v>477510411</v>
      </c>
      <c r="E446" s="2543">
        <v>488624378</v>
      </c>
      <c r="F446" s="2543">
        <v>477510411</v>
      </c>
      <c r="G446" s="2541">
        <v>428835395</v>
      </c>
      <c r="H446" s="2541">
        <v>428835395</v>
      </c>
      <c r="I446" s="2541">
        <v>488624378</v>
      </c>
      <c r="J446" s="2545">
        <v>477510411</v>
      </c>
      <c r="K446" s="2543">
        <v>488624378</v>
      </c>
      <c r="L446" s="2543">
        <v>477510411</v>
      </c>
    </row>
    <row r="447" spans="1:12">
      <c r="A447" s="114" t="s">
        <v>2894</v>
      </c>
      <c r="B447" s="2540" t="s">
        <v>925</v>
      </c>
      <c r="C447" s="2543">
        <v>6968464674</v>
      </c>
      <c r="D447" s="2543">
        <v>6773801924</v>
      </c>
      <c r="E447" s="2543">
        <v>6968464674</v>
      </c>
      <c r="F447" s="2543">
        <v>6773801924</v>
      </c>
      <c r="G447" s="2541">
        <v>6332551858</v>
      </c>
      <c r="H447" s="2541">
        <v>6332551858</v>
      </c>
      <c r="I447" s="2541">
        <v>6968464674</v>
      </c>
      <c r="J447" s="2545">
        <v>6773801924</v>
      </c>
      <c r="K447" s="2543">
        <v>6968464674</v>
      </c>
      <c r="L447" s="2543">
        <v>6773801924</v>
      </c>
    </row>
    <row r="448" spans="1:12">
      <c r="A448" s="114" t="s">
        <v>2897</v>
      </c>
      <c r="B448" s="2540" t="s">
        <v>2553</v>
      </c>
      <c r="C448" s="2543">
        <v>504588978</v>
      </c>
      <c r="D448" s="2543">
        <v>476298374</v>
      </c>
      <c r="E448" s="2543">
        <v>504588978</v>
      </c>
      <c r="F448" s="2543">
        <v>476298374</v>
      </c>
      <c r="G448" s="2541">
        <v>480640889</v>
      </c>
      <c r="H448" s="2541">
        <v>480640889</v>
      </c>
      <c r="I448" s="2541">
        <v>504588978</v>
      </c>
      <c r="J448" s="2545">
        <v>476298374</v>
      </c>
      <c r="K448" s="2543">
        <v>504588978</v>
      </c>
      <c r="L448" s="2543">
        <v>476298374</v>
      </c>
    </row>
    <row r="449" spans="1:12">
      <c r="A449" s="114" t="s">
        <v>2903</v>
      </c>
      <c r="B449" s="2540" t="s">
        <v>45</v>
      </c>
      <c r="C449" s="2543">
        <v>1995473351</v>
      </c>
      <c r="D449" s="2543">
        <v>1896358985</v>
      </c>
      <c r="E449" s="2543">
        <v>1995473351</v>
      </c>
      <c r="F449" s="2543">
        <v>1896358985</v>
      </c>
      <c r="G449" s="2541">
        <v>1701405352</v>
      </c>
      <c r="H449" s="2541">
        <v>1701405352</v>
      </c>
      <c r="I449" s="2541">
        <v>1995473351</v>
      </c>
      <c r="J449" s="2545">
        <v>1896358985</v>
      </c>
      <c r="K449" s="2543">
        <v>1995473351</v>
      </c>
      <c r="L449" s="2543">
        <v>1896358985</v>
      </c>
    </row>
    <row r="450" spans="1:12">
      <c r="A450" s="114" t="s">
        <v>239</v>
      </c>
      <c r="B450" s="2540" t="s">
        <v>1126</v>
      </c>
      <c r="C450" s="2543">
        <v>4205687808</v>
      </c>
      <c r="D450" s="2543">
        <v>4023183469</v>
      </c>
      <c r="E450" s="2543">
        <v>4205687808</v>
      </c>
      <c r="F450" s="2543">
        <v>4023183469</v>
      </c>
      <c r="G450" s="2541">
        <v>3816273192</v>
      </c>
      <c r="H450" s="2541">
        <v>3816273192</v>
      </c>
      <c r="I450" s="2541">
        <v>4205687808</v>
      </c>
      <c r="J450" s="2545">
        <v>4023183469</v>
      </c>
      <c r="K450" s="2543">
        <v>4205687808</v>
      </c>
      <c r="L450" s="2543">
        <v>4023183469</v>
      </c>
    </row>
    <row r="451" spans="1:12">
      <c r="A451" s="114" t="s">
        <v>1218</v>
      </c>
      <c r="B451" s="2540" t="s">
        <v>88</v>
      </c>
      <c r="C451" s="2543">
        <v>157770971</v>
      </c>
      <c r="D451" s="2543">
        <v>148076351</v>
      </c>
      <c r="E451" s="2543">
        <v>157770971</v>
      </c>
      <c r="F451" s="2543">
        <v>148076351</v>
      </c>
      <c r="G451" s="2541">
        <v>138657900</v>
      </c>
      <c r="H451" s="2541">
        <v>138657900</v>
      </c>
      <c r="I451" s="2541">
        <v>157770971</v>
      </c>
      <c r="J451" s="2545">
        <v>148076351</v>
      </c>
      <c r="K451" s="2543">
        <v>157770971</v>
      </c>
      <c r="L451" s="2543">
        <v>148076351</v>
      </c>
    </row>
    <row r="452" spans="1:12">
      <c r="A452" s="114" t="s">
        <v>1759</v>
      </c>
      <c r="B452" s="2540" t="s">
        <v>2998</v>
      </c>
      <c r="C452" s="2543">
        <v>3112749762</v>
      </c>
      <c r="D452" s="2543">
        <v>3035642647</v>
      </c>
      <c r="E452" s="2543">
        <v>3112749762</v>
      </c>
      <c r="F452" s="2543">
        <v>3035642647</v>
      </c>
      <c r="G452" s="2541">
        <v>2784840304</v>
      </c>
      <c r="H452" s="2541">
        <v>2784840304</v>
      </c>
      <c r="I452" s="2541">
        <v>3112749762</v>
      </c>
      <c r="J452" s="2545">
        <v>3035642647</v>
      </c>
      <c r="K452" s="2543">
        <v>3112749762</v>
      </c>
      <c r="L452" s="2543">
        <v>3035642647</v>
      </c>
    </row>
    <row r="453" spans="1:12">
      <c r="A453" s="114" t="s">
        <v>65</v>
      </c>
      <c r="B453" s="2540" t="s">
        <v>2170</v>
      </c>
      <c r="C453" s="2543">
        <v>2339757554</v>
      </c>
      <c r="D453" s="2543">
        <v>2205353802</v>
      </c>
      <c r="E453" s="2543">
        <v>2339757554</v>
      </c>
      <c r="F453" s="2543">
        <v>2205353802</v>
      </c>
      <c r="G453" s="2541">
        <v>2073951230</v>
      </c>
      <c r="H453" s="2541">
        <v>2073951230</v>
      </c>
      <c r="I453" s="2541">
        <v>2339757554</v>
      </c>
      <c r="J453" s="2545">
        <v>2205353802</v>
      </c>
      <c r="K453" s="2543">
        <v>2339757554</v>
      </c>
      <c r="L453" s="2543">
        <v>2205353802</v>
      </c>
    </row>
    <row r="454" spans="1:12">
      <c r="A454" s="114" t="s">
        <v>821</v>
      </c>
      <c r="B454" s="2540" t="s">
        <v>162</v>
      </c>
      <c r="C454" s="2543">
        <v>2236333149</v>
      </c>
      <c r="D454" s="2543">
        <v>2132950261</v>
      </c>
      <c r="E454" s="2543">
        <v>2236333149</v>
      </c>
      <c r="F454" s="2543">
        <v>2132950261</v>
      </c>
      <c r="G454" s="2541">
        <v>2000393014</v>
      </c>
      <c r="H454" s="2541">
        <v>2000393014</v>
      </c>
      <c r="I454" s="2541">
        <v>2236333149</v>
      </c>
      <c r="J454" s="2545">
        <v>2132950261</v>
      </c>
      <c r="K454" s="2543">
        <v>2236333149</v>
      </c>
      <c r="L454" s="2543">
        <v>2132950261</v>
      </c>
    </row>
    <row r="455" spans="1:12">
      <c r="A455" s="114" t="s">
        <v>67</v>
      </c>
      <c r="B455" s="2540" t="s">
        <v>2622</v>
      </c>
      <c r="C455" s="2543">
        <v>104125664</v>
      </c>
      <c r="D455" s="2543">
        <v>100393855</v>
      </c>
      <c r="E455" s="2543">
        <v>104125664</v>
      </c>
      <c r="F455" s="2543">
        <v>100393855</v>
      </c>
      <c r="G455" s="2541">
        <v>102626682</v>
      </c>
      <c r="H455" s="2541">
        <v>102626682</v>
      </c>
      <c r="I455" s="2541">
        <v>104125664</v>
      </c>
      <c r="J455" s="2545">
        <v>100393855</v>
      </c>
      <c r="K455" s="2543">
        <v>104125664</v>
      </c>
      <c r="L455" s="2543">
        <v>100393855</v>
      </c>
    </row>
    <row r="456" spans="1:12">
      <c r="A456" s="114" t="s">
        <v>554</v>
      </c>
      <c r="B456" s="2540" t="s">
        <v>2561</v>
      </c>
      <c r="C456" s="2543">
        <v>95137305</v>
      </c>
      <c r="D456" s="2543">
        <v>90108360</v>
      </c>
      <c r="E456" s="2543">
        <v>95137305</v>
      </c>
      <c r="F456" s="2543">
        <v>90108360</v>
      </c>
      <c r="G456" s="2541">
        <v>84118699</v>
      </c>
      <c r="H456" s="2541">
        <v>84118699</v>
      </c>
      <c r="I456" s="2541">
        <v>95137305</v>
      </c>
      <c r="J456" s="2545">
        <v>90108360</v>
      </c>
      <c r="K456" s="2543">
        <v>95137305</v>
      </c>
      <c r="L456" s="2543">
        <v>90108360</v>
      </c>
    </row>
    <row r="457" spans="1:12">
      <c r="A457" s="114" t="s">
        <v>1715</v>
      </c>
      <c r="B457" s="2540" t="s">
        <v>2705</v>
      </c>
      <c r="C457" s="2543">
        <v>567172370</v>
      </c>
      <c r="D457" s="2543">
        <v>544606081</v>
      </c>
      <c r="E457" s="2543">
        <v>567172370</v>
      </c>
      <c r="F457" s="2543">
        <v>544606081</v>
      </c>
      <c r="G457" s="2541">
        <v>459211615</v>
      </c>
      <c r="H457" s="2541">
        <v>459211615</v>
      </c>
      <c r="I457" s="2541">
        <v>567172370</v>
      </c>
      <c r="J457" s="2545">
        <v>544606081</v>
      </c>
      <c r="K457" s="2543">
        <v>567172370</v>
      </c>
      <c r="L457" s="2543">
        <v>544606081</v>
      </c>
    </row>
    <row r="458" spans="1:12">
      <c r="A458" s="114" t="s">
        <v>172</v>
      </c>
      <c r="B458" s="2540" t="s">
        <v>2464</v>
      </c>
      <c r="C458" s="2543">
        <v>97475446</v>
      </c>
      <c r="D458" s="2543">
        <v>94703894</v>
      </c>
      <c r="E458" s="2543">
        <v>97475446</v>
      </c>
      <c r="F458" s="2543">
        <v>94703894</v>
      </c>
      <c r="G458" s="2541">
        <v>89530952</v>
      </c>
      <c r="H458" s="2541">
        <v>89530952</v>
      </c>
      <c r="I458" s="2541">
        <v>97475446</v>
      </c>
      <c r="J458" s="2545">
        <v>94703894</v>
      </c>
      <c r="K458" s="2543">
        <v>97475446</v>
      </c>
      <c r="L458" s="2543">
        <v>94703894</v>
      </c>
    </row>
    <row r="459" spans="1:12">
      <c r="A459" s="114" t="s">
        <v>2869</v>
      </c>
      <c r="B459" s="2540" t="s">
        <v>1010</v>
      </c>
      <c r="C459" s="2543">
        <v>86032472</v>
      </c>
      <c r="D459" s="2543">
        <v>83791647</v>
      </c>
      <c r="E459" s="2543">
        <v>86032472</v>
      </c>
      <c r="F459" s="2543">
        <v>83791647</v>
      </c>
      <c r="G459" s="2541">
        <v>69507493</v>
      </c>
      <c r="H459" s="2541">
        <v>69507493</v>
      </c>
      <c r="I459" s="2541">
        <v>86032472</v>
      </c>
      <c r="J459" s="2545">
        <v>83791647</v>
      </c>
      <c r="K459" s="2543">
        <v>86032472</v>
      </c>
      <c r="L459" s="2543">
        <v>83791647</v>
      </c>
    </row>
    <row r="460" spans="1:12">
      <c r="A460" s="114" t="s">
        <v>2756</v>
      </c>
      <c r="B460" s="2540" t="s">
        <v>742</v>
      </c>
      <c r="C460" s="2543">
        <v>80296688</v>
      </c>
      <c r="D460" s="2543">
        <v>76739983</v>
      </c>
      <c r="E460" s="2543">
        <v>80296688</v>
      </c>
      <c r="F460" s="2543">
        <v>76739983</v>
      </c>
      <c r="G460" s="2541">
        <v>79779493</v>
      </c>
      <c r="H460" s="2541">
        <v>79779493</v>
      </c>
      <c r="I460" s="2541">
        <v>80296688</v>
      </c>
      <c r="J460" s="2545">
        <v>76739983</v>
      </c>
      <c r="K460" s="2543">
        <v>80296688</v>
      </c>
      <c r="L460" s="2543">
        <v>76739983</v>
      </c>
    </row>
    <row r="461" spans="1:12">
      <c r="A461" s="114" t="s">
        <v>2133</v>
      </c>
      <c r="B461" s="2540" t="s">
        <v>2727</v>
      </c>
      <c r="C461" s="2543">
        <v>617263799</v>
      </c>
      <c r="D461" s="2543">
        <v>599771612</v>
      </c>
      <c r="E461" s="2543">
        <v>617263799</v>
      </c>
      <c r="F461" s="2543">
        <v>599771612</v>
      </c>
      <c r="G461" s="2541">
        <v>561695265</v>
      </c>
      <c r="H461" s="2541">
        <v>561695265</v>
      </c>
      <c r="I461" s="2541">
        <v>617263799</v>
      </c>
      <c r="J461" s="2545">
        <v>599771612</v>
      </c>
      <c r="K461" s="2543">
        <v>617263799</v>
      </c>
      <c r="L461" s="2543">
        <v>599771612</v>
      </c>
    </row>
    <row r="462" spans="1:12">
      <c r="A462" s="114" t="s">
        <v>555</v>
      </c>
      <c r="B462" s="2540" t="s">
        <v>2732</v>
      </c>
      <c r="C462" s="2543">
        <v>74769168</v>
      </c>
      <c r="D462" s="2543">
        <v>70838548</v>
      </c>
      <c r="E462" s="2543">
        <v>74769168</v>
      </c>
      <c r="F462" s="2543">
        <v>70838548</v>
      </c>
      <c r="G462" s="2541">
        <v>67883208</v>
      </c>
      <c r="H462" s="2541">
        <v>67883208</v>
      </c>
      <c r="I462" s="2541">
        <v>74769168</v>
      </c>
      <c r="J462" s="2545">
        <v>70838548</v>
      </c>
      <c r="K462" s="2543">
        <v>74769168</v>
      </c>
      <c r="L462" s="2543">
        <v>70838548</v>
      </c>
    </row>
    <row r="463" spans="1:12">
      <c r="A463" s="114" t="s">
        <v>49</v>
      </c>
      <c r="B463" s="2540" t="s">
        <v>444</v>
      </c>
      <c r="C463" s="2543">
        <v>188603388</v>
      </c>
      <c r="D463" s="2543">
        <v>181781319</v>
      </c>
      <c r="E463" s="2543">
        <v>188603388</v>
      </c>
      <c r="F463" s="2543">
        <v>181781319</v>
      </c>
      <c r="G463" s="2541">
        <v>174757954</v>
      </c>
      <c r="H463" s="2541">
        <v>174757954</v>
      </c>
      <c r="I463" s="2541">
        <v>188603388</v>
      </c>
      <c r="J463" s="2545">
        <v>181781319</v>
      </c>
      <c r="K463" s="2543">
        <v>188603388</v>
      </c>
      <c r="L463" s="2543">
        <v>181781319</v>
      </c>
    </row>
    <row r="464" spans="1:12">
      <c r="A464" s="114" t="s">
        <v>173</v>
      </c>
      <c r="B464" s="2540" t="s">
        <v>2466</v>
      </c>
      <c r="C464" s="2543">
        <v>49841300</v>
      </c>
      <c r="D464" s="2543">
        <v>48687139</v>
      </c>
      <c r="E464" s="2543">
        <v>49841300</v>
      </c>
      <c r="F464" s="2543">
        <v>48687139</v>
      </c>
      <c r="G464" s="2541">
        <v>43688219</v>
      </c>
      <c r="H464" s="2541">
        <v>43688219</v>
      </c>
      <c r="I464" s="2541">
        <v>49841300</v>
      </c>
      <c r="J464" s="2545">
        <v>48687139</v>
      </c>
      <c r="K464" s="2543">
        <v>49841300</v>
      </c>
      <c r="L464" s="2543">
        <v>48687139</v>
      </c>
    </row>
    <row r="465" spans="1:12">
      <c r="A465" s="114" t="s">
        <v>567</v>
      </c>
      <c r="B465" s="2540" t="s">
        <v>2562</v>
      </c>
      <c r="C465" s="2543">
        <v>30029502</v>
      </c>
      <c r="D465" s="2543">
        <v>28225923</v>
      </c>
      <c r="E465" s="2543">
        <v>30029502</v>
      </c>
      <c r="F465" s="2543">
        <v>28225923</v>
      </c>
      <c r="G465" s="2541">
        <v>26817974</v>
      </c>
      <c r="H465" s="2541">
        <v>26817974</v>
      </c>
      <c r="I465" s="2541">
        <v>30029502</v>
      </c>
      <c r="J465" s="2545">
        <v>28225923</v>
      </c>
      <c r="K465" s="2543">
        <v>30029502</v>
      </c>
      <c r="L465" s="2543">
        <v>28225923</v>
      </c>
    </row>
    <row r="466" spans="1:12">
      <c r="A466" s="114" t="s">
        <v>1760</v>
      </c>
      <c r="B466" s="2540" t="s">
        <v>2999</v>
      </c>
      <c r="C466" s="2543">
        <v>589262892</v>
      </c>
      <c r="D466" s="2543">
        <v>566402875</v>
      </c>
      <c r="E466" s="2543">
        <v>589262892</v>
      </c>
      <c r="F466" s="2543">
        <v>566402875</v>
      </c>
      <c r="G466" s="2541">
        <v>567537745</v>
      </c>
      <c r="H466" s="2541">
        <v>567537745</v>
      </c>
      <c r="I466" s="2541">
        <v>589262892</v>
      </c>
      <c r="J466" s="2545">
        <v>566402875</v>
      </c>
      <c r="K466" s="2543">
        <v>589262892</v>
      </c>
      <c r="L466" s="2543">
        <v>566402875</v>
      </c>
    </row>
    <row r="467" spans="1:12">
      <c r="A467" s="114" t="s">
        <v>568</v>
      </c>
      <c r="B467" s="2540" t="s">
        <v>2773</v>
      </c>
      <c r="C467" s="2543">
        <v>76908900</v>
      </c>
      <c r="D467" s="2543">
        <v>74085345</v>
      </c>
      <c r="E467" s="2543">
        <v>76908900</v>
      </c>
      <c r="F467" s="2543">
        <v>74085345</v>
      </c>
      <c r="G467" s="2541">
        <v>73078624</v>
      </c>
      <c r="H467" s="2541">
        <v>73078624</v>
      </c>
      <c r="I467" s="2541">
        <v>76908900</v>
      </c>
      <c r="J467" s="2545">
        <v>74085345</v>
      </c>
      <c r="K467" s="2543">
        <v>76908900</v>
      </c>
      <c r="L467" s="2543">
        <v>74085345</v>
      </c>
    </row>
    <row r="468" spans="1:12">
      <c r="A468" s="114" t="s">
        <v>1733</v>
      </c>
      <c r="B468" s="2540" t="s">
        <v>1522</v>
      </c>
      <c r="C468" s="2543">
        <v>126059704</v>
      </c>
      <c r="D468" s="2543">
        <v>122346807</v>
      </c>
      <c r="E468" s="2543">
        <v>126059704</v>
      </c>
      <c r="F468" s="2543">
        <v>122346807</v>
      </c>
      <c r="G468" s="2541">
        <v>112553877</v>
      </c>
      <c r="H468" s="2541">
        <v>112553877</v>
      </c>
      <c r="I468" s="2541">
        <v>126059704</v>
      </c>
      <c r="J468" s="2545">
        <v>122346807</v>
      </c>
      <c r="K468" s="2543">
        <v>126059704</v>
      </c>
      <c r="L468" s="2543">
        <v>122346807</v>
      </c>
    </row>
    <row r="469" spans="1:12">
      <c r="A469" s="114" t="s">
        <v>569</v>
      </c>
      <c r="B469" s="2540" t="s">
        <v>2989</v>
      </c>
      <c r="C469" s="2543">
        <v>32739718</v>
      </c>
      <c r="D469" s="2543">
        <v>31475264</v>
      </c>
      <c r="E469" s="2543">
        <v>32739718</v>
      </c>
      <c r="F469" s="2543">
        <v>31475264</v>
      </c>
      <c r="G469" s="2541">
        <v>25001319</v>
      </c>
      <c r="H469" s="2541">
        <v>25001319</v>
      </c>
      <c r="I469" s="2541">
        <v>32739718</v>
      </c>
      <c r="J469" s="2545">
        <v>31475264</v>
      </c>
      <c r="K469" s="2543">
        <v>32739718</v>
      </c>
      <c r="L469" s="2543">
        <v>31475264</v>
      </c>
    </row>
    <row r="470" spans="1:12">
      <c r="A470" s="114" t="s">
        <v>1761</v>
      </c>
      <c r="B470" s="2540" t="s">
        <v>3000</v>
      </c>
      <c r="C470" s="2543">
        <v>66154846</v>
      </c>
      <c r="D470" s="2543">
        <v>64172039</v>
      </c>
      <c r="E470" s="2543">
        <v>66154846</v>
      </c>
      <c r="F470" s="2543">
        <v>64172039</v>
      </c>
      <c r="G470" s="2541">
        <v>101944447</v>
      </c>
      <c r="H470" s="2541">
        <v>101260707</v>
      </c>
      <c r="I470" s="2541">
        <v>66154846</v>
      </c>
      <c r="J470" s="2545">
        <v>64172039</v>
      </c>
      <c r="K470" s="2543">
        <v>66154846</v>
      </c>
      <c r="L470" s="2543">
        <v>64172039</v>
      </c>
    </row>
    <row r="471" spans="1:12">
      <c r="A471" s="114" t="s">
        <v>1762</v>
      </c>
      <c r="B471" s="2540" t="s">
        <v>3001</v>
      </c>
      <c r="C471" s="2543">
        <v>1073143926</v>
      </c>
      <c r="D471" s="2543">
        <v>1043237447</v>
      </c>
      <c r="E471" s="2543">
        <v>1073143926</v>
      </c>
      <c r="F471" s="2543">
        <v>1043237447</v>
      </c>
      <c r="G471" s="2541">
        <v>1922316119</v>
      </c>
      <c r="H471" s="2541">
        <v>1922316119</v>
      </c>
      <c r="I471" s="2541">
        <v>1073143926</v>
      </c>
      <c r="J471" s="2545">
        <v>1043237447</v>
      </c>
      <c r="K471" s="2543">
        <v>1073143926</v>
      </c>
      <c r="L471" s="2543">
        <v>1043237447</v>
      </c>
    </row>
    <row r="472" spans="1:12">
      <c r="A472" s="114" t="s">
        <v>1410</v>
      </c>
      <c r="B472" s="2540" t="s">
        <v>3002</v>
      </c>
      <c r="C472" s="2543">
        <v>97624270</v>
      </c>
      <c r="D472" s="2543">
        <v>94825658</v>
      </c>
      <c r="E472" s="2543">
        <v>97624270</v>
      </c>
      <c r="F472" s="2543">
        <v>94825658</v>
      </c>
      <c r="G472" s="2541">
        <v>91478004</v>
      </c>
      <c r="H472" s="2541">
        <v>91478004</v>
      </c>
      <c r="I472" s="2541">
        <v>97624270</v>
      </c>
      <c r="J472" s="2545">
        <v>94825658</v>
      </c>
      <c r="K472" s="2543">
        <v>97624270</v>
      </c>
      <c r="L472" s="2543">
        <v>94825658</v>
      </c>
    </row>
    <row r="473" spans="1:12">
      <c r="A473" s="114" t="s">
        <v>2104</v>
      </c>
      <c r="B473" s="2540" t="s">
        <v>2203</v>
      </c>
      <c r="C473" s="2543">
        <v>91169274</v>
      </c>
      <c r="D473" s="2543">
        <v>87626098</v>
      </c>
      <c r="E473" s="2543">
        <v>91169274</v>
      </c>
      <c r="F473" s="2543">
        <v>87626098</v>
      </c>
      <c r="G473" s="2541">
        <v>143660938</v>
      </c>
      <c r="H473" s="2541">
        <v>143660938</v>
      </c>
      <c r="I473" s="2541">
        <v>91169274</v>
      </c>
      <c r="J473" s="2545">
        <v>87626098</v>
      </c>
      <c r="K473" s="2543">
        <v>91169274</v>
      </c>
      <c r="L473" s="2543">
        <v>87626098</v>
      </c>
    </row>
    <row r="474" spans="1:12">
      <c r="A474" s="114" t="s">
        <v>1411</v>
      </c>
      <c r="B474" s="2540" t="s">
        <v>3003</v>
      </c>
      <c r="C474" s="2543">
        <v>694141183</v>
      </c>
      <c r="D474" s="2543">
        <v>691388377</v>
      </c>
      <c r="E474" s="2543">
        <v>691798252</v>
      </c>
      <c r="F474" s="2543">
        <v>689045446</v>
      </c>
      <c r="G474" s="2541">
        <v>1653125273</v>
      </c>
      <c r="H474" s="2541">
        <v>1650836339</v>
      </c>
      <c r="I474" s="2541">
        <v>694141183</v>
      </c>
      <c r="J474" s="2545">
        <v>691388377</v>
      </c>
      <c r="K474" s="2543">
        <v>691798252</v>
      </c>
      <c r="L474" s="2543">
        <v>689045446</v>
      </c>
    </row>
    <row r="475" spans="1:12">
      <c r="A475" s="114" t="s">
        <v>1412</v>
      </c>
      <c r="B475" s="2540" t="s">
        <v>3004</v>
      </c>
      <c r="C475" s="2543">
        <v>49722233</v>
      </c>
      <c r="D475" s="2543">
        <v>48788333</v>
      </c>
      <c r="E475" s="2543">
        <v>49722233</v>
      </c>
      <c r="F475" s="2543">
        <v>48788333</v>
      </c>
      <c r="G475" s="2541">
        <v>84130672</v>
      </c>
      <c r="H475" s="2541">
        <v>84130672</v>
      </c>
      <c r="I475" s="2541">
        <v>49722233</v>
      </c>
      <c r="J475" s="2545">
        <v>48788333</v>
      </c>
      <c r="K475" s="2543">
        <v>49722233</v>
      </c>
      <c r="L475" s="2543">
        <v>48788333</v>
      </c>
    </row>
    <row r="476" spans="1:12">
      <c r="A476" s="114" t="s">
        <v>1413</v>
      </c>
      <c r="B476" s="2540" t="s">
        <v>247</v>
      </c>
      <c r="C476" s="2543">
        <v>4930872612</v>
      </c>
      <c r="D476" s="2543">
        <v>4817537314</v>
      </c>
      <c r="E476" s="2543">
        <v>4930872612</v>
      </c>
      <c r="F476" s="2543">
        <v>4817537314</v>
      </c>
      <c r="G476" s="2541">
        <v>4840656124</v>
      </c>
      <c r="H476" s="2541">
        <v>4840656124</v>
      </c>
      <c r="I476" s="2541">
        <v>4930872612</v>
      </c>
      <c r="J476" s="2545">
        <v>4817537314</v>
      </c>
      <c r="K476" s="2543">
        <v>4930872612</v>
      </c>
      <c r="L476" s="2543">
        <v>4817537314</v>
      </c>
    </row>
    <row r="477" spans="1:12">
      <c r="A477" s="114" t="s">
        <v>1991</v>
      </c>
      <c r="B477" s="2540" t="s">
        <v>1763</v>
      </c>
      <c r="C477" s="2543">
        <v>174354323</v>
      </c>
      <c r="D477" s="2543">
        <v>170175862</v>
      </c>
      <c r="E477" s="2543">
        <v>174354323</v>
      </c>
      <c r="F477" s="2543">
        <v>170175862</v>
      </c>
      <c r="G477" s="2541">
        <v>178115866</v>
      </c>
      <c r="H477" s="2541">
        <v>178115866</v>
      </c>
      <c r="I477" s="2541">
        <v>174354323</v>
      </c>
      <c r="J477" s="2545">
        <v>170175862</v>
      </c>
      <c r="K477" s="2543">
        <v>174354323</v>
      </c>
      <c r="L477" s="2543">
        <v>170175862</v>
      </c>
    </row>
    <row r="478" spans="1:12">
      <c r="A478" s="114" t="s">
        <v>1709</v>
      </c>
      <c r="B478" s="2540" t="s">
        <v>660</v>
      </c>
      <c r="C478" s="2543">
        <v>214804008</v>
      </c>
      <c r="D478" s="2543">
        <v>209086352</v>
      </c>
      <c r="E478" s="2543">
        <v>214804008</v>
      </c>
      <c r="F478" s="2543">
        <v>209086352</v>
      </c>
      <c r="G478" s="2541">
        <v>205867678</v>
      </c>
      <c r="H478" s="2541">
        <v>205867678</v>
      </c>
      <c r="I478" s="2541">
        <v>214804008</v>
      </c>
      <c r="J478" s="2545">
        <v>209086352</v>
      </c>
      <c r="K478" s="2543">
        <v>214804008</v>
      </c>
      <c r="L478" s="2543">
        <v>209086352</v>
      </c>
    </row>
    <row r="479" spans="1:12">
      <c r="A479" s="114" t="s">
        <v>208</v>
      </c>
      <c r="B479" s="2540" t="s">
        <v>248</v>
      </c>
      <c r="C479" s="2543">
        <v>1251957456</v>
      </c>
      <c r="D479" s="2543">
        <v>1205618382</v>
      </c>
      <c r="E479" s="2543">
        <v>1251957456</v>
      </c>
      <c r="F479" s="2543">
        <v>1205618382</v>
      </c>
      <c r="G479" s="2541">
        <v>1202040406</v>
      </c>
      <c r="H479" s="2541">
        <v>1202040406</v>
      </c>
      <c r="I479" s="2541">
        <v>1251957456</v>
      </c>
      <c r="J479" s="2545">
        <v>1205618382</v>
      </c>
      <c r="K479" s="2543">
        <v>1251957456</v>
      </c>
      <c r="L479" s="2543">
        <v>1205618382</v>
      </c>
    </row>
    <row r="480" spans="1:12">
      <c r="A480" s="114" t="s">
        <v>1687</v>
      </c>
      <c r="B480" s="2540" t="s">
        <v>462</v>
      </c>
      <c r="C480" s="2543">
        <v>74916592</v>
      </c>
      <c r="D480" s="2543">
        <v>70416643</v>
      </c>
      <c r="E480" s="2543">
        <v>74916592</v>
      </c>
      <c r="F480" s="2543">
        <v>70416643</v>
      </c>
      <c r="G480" s="2541">
        <v>66707966</v>
      </c>
      <c r="H480" s="2541">
        <v>66707966</v>
      </c>
      <c r="I480" s="2541">
        <v>74916592</v>
      </c>
      <c r="J480" s="2545">
        <v>70416643</v>
      </c>
      <c r="K480" s="2543">
        <v>74916592</v>
      </c>
      <c r="L480" s="2543">
        <v>70416643</v>
      </c>
    </row>
    <row r="481" spans="1:12">
      <c r="A481" s="114" t="s">
        <v>209</v>
      </c>
      <c r="B481" s="2540" t="s">
        <v>249</v>
      </c>
      <c r="C481" s="2543">
        <v>82629266</v>
      </c>
      <c r="D481" s="2543">
        <v>78542377</v>
      </c>
      <c r="E481" s="2543">
        <v>82629266</v>
      </c>
      <c r="F481" s="2543">
        <v>78542377</v>
      </c>
      <c r="G481" s="2541">
        <v>102560103</v>
      </c>
      <c r="H481" s="2541">
        <v>102560103</v>
      </c>
      <c r="I481" s="2541">
        <v>82629266</v>
      </c>
      <c r="J481" s="2545">
        <v>78542377</v>
      </c>
      <c r="K481" s="2543">
        <v>82629266</v>
      </c>
      <c r="L481" s="2543">
        <v>78542377</v>
      </c>
    </row>
    <row r="482" spans="1:12">
      <c r="A482" s="114" t="s">
        <v>2217</v>
      </c>
      <c r="B482" s="2540" t="s">
        <v>2557</v>
      </c>
      <c r="C482" s="2543">
        <v>56722166</v>
      </c>
      <c r="D482" s="2543">
        <v>53387192</v>
      </c>
      <c r="E482" s="2543">
        <v>56722166</v>
      </c>
      <c r="F482" s="2543">
        <v>53387192</v>
      </c>
      <c r="G482" s="2541">
        <v>50966651</v>
      </c>
      <c r="H482" s="2541">
        <v>50966651</v>
      </c>
      <c r="I482" s="2541">
        <v>56722166</v>
      </c>
      <c r="J482" s="2545">
        <v>53387192</v>
      </c>
      <c r="K482" s="2543">
        <v>56722166</v>
      </c>
      <c r="L482" s="2543">
        <v>53387192</v>
      </c>
    </row>
    <row r="483" spans="1:12">
      <c r="A483" s="114" t="s">
        <v>210</v>
      </c>
      <c r="B483" s="2540" t="s">
        <v>702</v>
      </c>
      <c r="C483" s="2543">
        <v>148215240</v>
      </c>
      <c r="D483" s="2543">
        <v>141730964</v>
      </c>
      <c r="E483" s="2543">
        <v>148215240</v>
      </c>
      <c r="F483" s="2543">
        <v>141730964</v>
      </c>
      <c r="G483" s="2541">
        <v>151277713</v>
      </c>
      <c r="H483" s="2541">
        <v>151277713</v>
      </c>
      <c r="I483" s="2541">
        <v>148215240</v>
      </c>
      <c r="J483" s="2545">
        <v>141730964</v>
      </c>
      <c r="K483" s="2543">
        <v>148215240</v>
      </c>
      <c r="L483" s="2543">
        <v>141730964</v>
      </c>
    </row>
    <row r="484" spans="1:12">
      <c r="A484" s="114" t="s">
        <v>211</v>
      </c>
      <c r="B484" s="2540" t="s">
        <v>703</v>
      </c>
      <c r="C484" s="2543">
        <v>66937542</v>
      </c>
      <c r="D484" s="2543">
        <v>64952258</v>
      </c>
      <c r="E484" s="2543">
        <v>66937542</v>
      </c>
      <c r="F484" s="2543">
        <v>64952258</v>
      </c>
      <c r="G484" s="2541">
        <v>49950932</v>
      </c>
      <c r="H484" s="2541">
        <v>49950932</v>
      </c>
      <c r="I484" s="2541">
        <v>66937542</v>
      </c>
      <c r="J484" s="2545">
        <v>64952258</v>
      </c>
      <c r="K484" s="2543">
        <v>66937542</v>
      </c>
      <c r="L484" s="2543">
        <v>64952258</v>
      </c>
    </row>
    <row r="485" spans="1:12">
      <c r="A485" s="114" t="s">
        <v>1688</v>
      </c>
      <c r="B485" s="2540" t="s">
        <v>2216</v>
      </c>
      <c r="C485" s="2543">
        <v>98276280</v>
      </c>
      <c r="D485" s="2543">
        <v>95599716</v>
      </c>
      <c r="E485" s="2543">
        <v>98276280</v>
      </c>
      <c r="F485" s="2543">
        <v>95599716</v>
      </c>
      <c r="G485" s="2541">
        <v>77116730</v>
      </c>
      <c r="H485" s="2541">
        <v>77116730</v>
      </c>
      <c r="I485" s="2541">
        <v>98276280</v>
      </c>
      <c r="J485" s="2545">
        <v>95599716</v>
      </c>
      <c r="K485" s="2543">
        <v>98276280</v>
      </c>
      <c r="L485" s="2543">
        <v>95599716</v>
      </c>
    </row>
    <row r="486" spans="1:12">
      <c r="A486" s="114" t="s">
        <v>1601</v>
      </c>
      <c r="B486" s="2540" t="s">
        <v>704</v>
      </c>
      <c r="C486" s="2543">
        <v>463697620</v>
      </c>
      <c r="D486" s="2543">
        <v>446540630</v>
      </c>
      <c r="E486" s="2543">
        <v>463697620</v>
      </c>
      <c r="F486" s="2543">
        <v>446540630</v>
      </c>
      <c r="G486" s="2541">
        <v>424690453</v>
      </c>
      <c r="H486" s="2541">
        <v>424690453</v>
      </c>
      <c r="I486" s="2541">
        <v>533697620</v>
      </c>
      <c r="J486" s="2545">
        <v>516540630</v>
      </c>
      <c r="K486" s="2543">
        <v>533697620</v>
      </c>
      <c r="L486" s="2543">
        <v>516540630</v>
      </c>
    </row>
    <row r="487" spans="1:12">
      <c r="A487" s="114" t="s">
        <v>1432</v>
      </c>
      <c r="B487" s="2540" t="s">
        <v>2480</v>
      </c>
      <c r="C487" s="2543">
        <v>271889021</v>
      </c>
      <c r="D487" s="2543">
        <v>262048271</v>
      </c>
      <c r="E487" s="2543">
        <v>271889021</v>
      </c>
      <c r="F487" s="2543">
        <v>262048271</v>
      </c>
      <c r="G487" s="2541">
        <v>267688603</v>
      </c>
      <c r="H487" s="2541">
        <v>267688603</v>
      </c>
      <c r="I487" s="2541">
        <v>271889021</v>
      </c>
      <c r="J487" s="2545">
        <v>262048271</v>
      </c>
      <c r="K487" s="2543">
        <v>271889021</v>
      </c>
      <c r="L487" s="2543">
        <v>262048271</v>
      </c>
    </row>
    <row r="488" spans="1:12">
      <c r="A488" s="114" t="s">
        <v>1104</v>
      </c>
      <c r="B488" s="2540" t="s">
        <v>2880</v>
      </c>
      <c r="C488" s="2543">
        <v>275565152</v>
      </c>
      <c r="D488" s="2543">
        <v>269112952</v>
      </c>
      <c r="E488" s="2543">
        <v>275565152</v>
      </c>
      <c r="F488" s="2543">
        <v>269112952</v>
      </c>
      <c r="G488" s="2541">
        <v>461519668</v>
      </c>
      <c r="H488" s="2541">
        <v>461519668</v>
      </c>
      <c r="I488" s="2541">
        <v>275565152</v>
      </c>
      <c r="J488" s="2545">
        <v>269112952</v>
      </c>
      <c r="K488" s="2543">
        <v>275565152</v>
      </c>
      <c r="L488" s="2543">
        <v>269112952</v>
      </c>
    </row>
    <row r="489" spans="1:12">
      <c r="A489" s="114" t="s">
        <v>1105</v>
      </c>
      <c r="B489" s="2540" t="s">
        <v>1767</v>
      </c>
      <c r="C489" s="2543">
        <v>151998342</v>
      </c>
      <c r="D489" s="2543">
        <v>146179062</v>
      </c>
      <c r="E489" s="2543">
        <v>151998342</v>
      </c>
      <c r="F489" s="2543">
        <v>146179062</v>
      </c>
      <c r="G489" s="2541">
        <v>150602277</v>
      </c>
      <c r="H489" s="2541">
        <v>150602277</v>
      </c>
      <c r="I489" s="2541">
        <v>151998342</v>
      </c>
      <c r="J489" s="2545">
        <v>146179062</v>
      </c>
      <c r="K489" s="2543">
        <v>151998342</v>
      </c>
      <c r="L489" s="2543">
        <v>146179062</v>
      </c>
    </row>
    <row r="490" spans="1:12">
      <c r="A490" s="114" t="s">
        <v>1011</v>
      </c>
      <c r="B490" s="2540" t="s">
        <v>1768</v>
      </c>
      <c r="C490" s="2543">
        <v>102393130</v>
      </c>
      <c r="D490" s="2543">
        <v>97180290</v>
      </c>
      <c r="E490" s="2543">
        <v>102393130</v>
      </c>
      <c r="F490" s="2543">
        <v>97180290</v>
      </c>
      <c r="G490" s="2541">
        <v>114991770</v>
      </c>
      <c r="H490" s="2541">
        <v>114991770</v>
      </c>
      <c r="I490" s="2541">
        <v>102393130</v>
      </c>
      <c r="J490" s="2545">
        <v>97180290</v>
      </c>
      <c r="K490" s="2543">
        <v>102393130</v>
      </c>
      <c r="L490" s="2543">
        <v>97180290</v>
      </c>
    </row>
    <row r="491" spans="1:12">
      <c r="A491" s="114" t="s">
        <v>2036</v>
      </c>
      <c r="B491" s="2540" t="s">
        <v>1769</v>
      </c>
      <c r="C491" s="2543">
        <v>1748377033</v>
      </c>
      <c r="D491" s="2543">
        <v>1710395175</v>
      </c>
      <c r="E491" s="2543">
        <v>1710746035</v>
      </c>
      <c r="F491" s="2543">
        <v>1672764177</v>
      </c>
      <c r="G491" s="2541">
        <v>1936604826</v>
      </c>
      <c r="H491" s="2541">
        <v>1903467823</v>
      </c>
      <c r="I491" s="2541">
        <v>1748377033</v>
      </c>
      <c r="J491" s="2545">
        <v>1710395175</v>
      </c>
      <c r="K491" s="2543">
        <v>1710746035</v>
      </c>
      <c r="L491" s="2543">
        <v>1672764177</v>
      </c>
    </row>
    <row r="492" spans="1:12">
      <c r="A492" s="114" t="s">
        <v>3076</v>
      </c>
      <c r="B492" s="2540" t="s">
        <v>1770</v>
      </c>
      <c r="C492" s="2543">
        <v>323867003</v>
      </c>
      <c r="D492" s="2543">
        <v>315227068</v>
      </c>
      <c r="E492" s="2543">
        <v>314268716</v>
      </c>
      <c r="F492" s="2543">
        <v>305628781</v>
      </c>
      <c r="G492" s="2541">
        <v>541991111</v>
      </c>
      <c r="H492" s="2541">
        <v>533926226</v>
      </c>
      <c r="I492" s="2541">
        <v>323867003</v>
      </c>
      <c r="J492" s="2545">
        <v>315227068</v>
      </c>
      <c r="K492" s="2543">
        <v>314268716</v>
      </c>
      <c r="L492" s="2543">
        <v>305628781</v>
      </c>
    </row>
    <row r="493" spans="1:12">
      <c r="A493" s="114" t="s">
        <v>3077</v>
      </c>
      <c r="B493" s="2540" t="s">
        <v>1771</v>
      </c>
      <c r="C493" s="2543">
        <v>346609395</v>
      </c>
      <c r="D493" s="2543">
        <v>341339967</v>
      </c>
      <c r="E493" s="2543">
        <v>339921273</v>
      </c>
      <c r="F493" s="2543">
        <v>334651845</v>
      </c>
      <c r="G493" s="2541">
        <v>826678568</v>
      </c>
      <c r="H493" s="2541">
        <v>821178126</v>
      </c>
      <c r="I493" s="2541">
        <v>463709515</v>
      </c>
      <c r="J493" s="2545">
        <v>458440087</v>
      </c>
      <c r="K493" s="2543">
        <v>457021393</v>
      </c>
      <c r="L493" s="2543">
        <v>451751965</v>
      </c>
    </row>
    <row r="494" spans="1:12">
      <c r="A494" s="114" t="s">
        <v>1507</v>
      </c>
      <c r="B494" s="2540" t="s">
        <v>1772</v>
      </c>
      <c r="C494" s="2543">
        <v>207262930</v>
      </c>
      <c r="D494" s="2543">
        <v>205047530</v>
      </c>
      <c r="E494" s="2543">
        <v>207262930</v>
      </c>
      <c r="F494" s="2543">
        <v>205047530</v>
      </c>
      <c r="G494" s="2541">
        <v>192244062</v>
      </c>
      <c r="H494" s="2541">
        <v>192244062</v>
      </c>
      <c r="I494" s="2541">
        <v>207262930</v>
      </c>
      <c r="J494" s="2545">
        <v>205047530</v>
      </c>
      <c r="K494" s="2543">
        <v>207262930</v>
      </c>
      <c r="L494" s="2543">
        <v>205047530</v>
      </c>
    </row>
    <row r="495" spans="1:12">
      <c r="A495" s="114" t="s">
        <v>2492</v>
      </c>
      <c r="B495" s="2540" t="s">
        <v>1773</v>
      </c>
      <c r="C495" s="2543">
        <v>110527020</v>
      </c>
      <c r="D495" s="2543">
        <v>109852825</v>
      </c>
      <c r="E495" s="2543">
        <v>110527020</v>
      </c>
      <c r="F495" s="2543">
        <v>109852825</v>
      </c>
      <c r="G495" s="2541">
        <v>100838579</v>
      </c>
      <c r="H495" s="2541">
        <v>100838579</v>
      </c>
      <c r="I495" s="2541">
        <v>110527020</v>
      </c>
      <c r="J495" s="2545">
        <v>109852825</v>
      </c>
      <c r="K495" s="2543">
        <v>110527020</v>
      </c>
      <c r="L495" s="2543">
        <v>109852825</v>
      </c>
    </row>
    <row r="496" spans="1:12">
      <c r="A496" s="114" t="s">
        <v>1271</v>
      </c>
      <c r="B496" s="2540" t="s">
        <v>1774</v>
      </c>
      <c r="C496" s="2543">
        <v>64633850</v>
      </c>
      <c r="D496" s="2543">
        <v>64096114</v>
      </c>
      <c r="E496" s="2543">
        <v>64378801</v>
      </c>
      <c r="F496" s="2543">
        <v>63841065</v>
      </c>
      <c r="G496" s="2541">
        <v>62446687</v>
      </c>
      <c r="H496" s="2541">
        <v>62159196</v>
      </c>
      <c r="I496" s="2541">
        <v>64633850</v>
      </c>
      <c r="J496" s="2545">
        <v>64096114</v>
      </c>
      <c r="K496" s="2543">
        <v>64378801</v>
      </c>
      <c r="L496" s="2543">
        <v>63841065</v>
      </c>
    </row>
    <row r="497" spans="1:12">
      <c r="A497" s="114" t="s">
        <v>2155</v>
      </c>
      <c r="B497" s="2540" t="s">
        <v>726</v>
      </c>
      <c r="C497" s="2543">
        <v>405228470</v>
      </c>
      <c r="D497" s="2543">
        <v>389518468</v>
      </c>
      <c r="E497" s="2543">
        <v>405228470</v>
      </c>
      <c r="F497" s="2543">
        <v>389518468</v>
      </c>
      <c r="G497" s="2541">
        <v>366984727</v>
      </c>
      <c r="H497" s="2541">
        <v>366984727</v>
      </c>
      <c r="I497" s="2541">
        <v>405228470</v>
      </c>
      <c r="J497" s="2545">
        <v>389518468</v>
      </c>
      <c r="K497" s="2543">
        <v>405228470</v>
      </c>
      <c r="L497" s="2543">
        <v>389518468</v>
      </c>
    </row>
    <row r="498" spans="1:12">
      <c r="A498" s="114" t="s">
        <v>1272</v>
      </c>
      <c r="B498" s="2540" t="s">
        <v>1775</v>
      </c>
      <c r="C498" s="2543">
        <v>93503488</v>
      </c>
      <c r="D498" s="2543">
        <v>88285388</v>
      </c>
      <c r="E498" s="2543">
        <v>93503488</v>
      </c>
      <c r="F498" s="2543">
        <v>88285388</v>
      </c>
      <c r="G498" s="2541">
        <v>83027871</v>
      </c>
      <c r="H498" s="2541">
        <v>83027871</v>
      </c>
      <c r="I498" s="2541">
        <v>93503488</v>
      </c>
      <c r="J498" s="2545">
        <v>88285388</v>
      </c>
      <c r="K498" s="2543">
        <v>93503488</v>
      </c>
      <c r="L498" s="2543">
        <v>88285388</v>
      </c>
    </row>
    <row r="499" spans="1:12">
      <c r="A499" s="114" t="s">
        <v>1618</v>
      </c>
      <c r="B499" s="2540" t="s">
        <v>1743</v>
      </c>
      <c r="C499" s="2543">
        <v>418005624</v>
      </c>
      <c r="D499" s="2543">
        <v>403891798</v>
      </c>
      <c r="E499" s="2543">
        <v>418005624</v>
      </c>
      <c r="F499" s="2543">
        <v>403891798</v>
      </c>
      <c r="G499" s="2541">
        <v>405587419</v>
      </c>
      <c r="H499" s="2541">
        <v>405587419</v>
      </c>
      <c r="I499" s="2541">
        <v>418005624</v>
      </c>
      <c r="J499" s="2545">
        <v>403891798</v>
      </c>
      <c r="K499" s="2543">
        <v>418005624</v>
      </c>
      <c r="L499" s="2543">
        <v>403891798</v>
      </c>
    </row>
    <row r="500" spans="1:12">
      <c r="A500" s="114" t="s">
        <v>1209</v>
      </c>
      <c r="B500" s="2540" t="s">
        <v>1776</v>
      </c>
      <c r="C500" s="2543">
        <v>1973155985</v>
      </c>
      <c r="D500" s="2543">
        <v>1919064244</v>
      </c>
      <c r="E500" s="2543">
        <v>1973155985</v>
      </c>
      <c r="F500" s="2543">
        <v>1919064244</v>
      </c>
      <c r="G500" s="2541">
        <v>1775364939</v>
      </c>
      <c r="H500" s="2541">
        <v>1775364939</v>
      </c>
      <c r="I500" s="2541">
        <v>1973155985</v>
      </c>
      <c r="J500" s="2545">
        <v>1919064244</v>
      </c>
      <c r="K500" s="2543">
        <v>1973155985</v>
      </c>
      <c r="L500" s="2543">
        <v>1919064244</v>
      </c>
    </row>
    <row r="501" spans="1:12">
      <c r="A501" s="114" t="s">
        <v>2218</v>
      </c>
      <c r="B501" s="2540" t="s">
        <v>2435</v>
      </c>
      <c r="C501" s="2543">
        <v>229003477</v>
      </c>
      <c r="D501" s="2543">
        <v>218909381</v>
      </c>
      <c r="E501" s="2543">
        <v>229003477</v>
      </c>
      <c r="F501" s="2543">
        <v>218909381</v>
      </c>
      <c r="G501" s="2541">
        <v>205736251</v>
      </c>
      <c r="H501" s="2541">
        <v>205736251</v>
      </c>
      <c r="I501" s="2541">
        <v>229003477</v>
      </c>
      <c r="J501" s="2545">
        <v>218909381</v>
      </c>
      <c r="K501" s="2543">
        <v>229003477</v>
      </c>
      <c r="L501" s="2543">
        <v>218909381</v>
      </c>
    </row>
    <row r="502" spans="1:12">
      <c r="A502" s="114" t="s">
        <v>1781</v>
      </c>
      <c r="B502" s="2540" t="s">
        <v>90</v>
      </c>
      <c r="C502" s="2543">
        <v>722366657</v>
      </c>
      <c r="D502" s="2543">
        <v>694562281</v>
      </c>
      <c r="E502" s="2543">
        <v>722366657</v>
      </c>
      <c r="F502" s="2543">
        <v>694562281</v>
      </c>
      <c r="G502" s="2541">
        <v>672519840</v>
      </c>
      <c r="H502" s="2541">
        <v>672519840</v>
      </c>
      <c r="I502" s="2541">
        <v>722366657</v>
      </c>
      <c r="J502" s="2545">
        <v>694562281</v>
      </c>
      <c r="K502" s="2543">
        <v>722366657</v>
      </c>
      <c r="L502" s="2543">
        <v>694562281</v>
      </c>
    </row>
    <row r="503" spans="1:12">
      <c r="A503" s="114" t="s">
        <v>273</v>
      </c>
      <c r="B503" s="2540" t="s">
        <v>1292</v>
      </c>
      <c r="C503" s="2543">
        <v>113979186</v>
      </c>
      <c r="D503" s="2543">
        <v>107238249</v>
      </c>
      <c r="E503" s="2543">
        <v>113979186</v>
      </c>
      <c r="F503" s="2543">
        <v>107238249</v>
      </c>
      <c r="G503" s="2541">
        <v>100189450</v>
      </c>
      <c r="H503" s="2541">
        <v>100189450</v>
      </c>
      <c r="I503" s="2541">
        <v>113979186</v>
      </c>
      <c r="J503" s="2545">
        <v>107238249</v>
      </c>
      <c r="K503" s="2543">
        <v>113979186</v>
      </c>
      <c r="L503" s="2543">
        <v>107238249</v>
      </c>
    </row>
    <row r="504" spans="1:12">
      <c r="A504" s="114" t="s">
        <v>1210</v>
      </c>
      <c r="B504" s="2540" t="s">
        <v>1777</v>
      </c>
      <c r="C504" s="2543">
        <v>89419817</v>
      </c>
      <c r="D504" s="2543">
        <v>84690945</v>
      </c>
      <c r="E504" s="2543">
        <v>89419817</v>
      </c>
      <c r="F504" s="2543">
        <v>84690945</v>
      </c>
      <c r="G504" s="2541">
        <v>78976233</v>
      </c>
      <c r="H504" s="2541">
        <v>78976233</v>
      </c>
      <c r="I504" s="2541">
        <v>89419817</v>
      </c>
      <c r="J504" s="2545">
        <v>84690945</v>
      </c>
      <c r="K504" s="2543">
        <v>89419817</v>
      </c>
      <c r="L504" s="2543">
        <v>84690945</v>
      </c>
    </row>
    <row r="505" spans="1:12">
      <c r="A505" s="114" t="s">
        <v>987</v>
      </c>
      <c r="B505" s="2540" t="s">
        <v>903</v>
      </c>
      <c r="C505" s="2543">
        <v>149001303</v>
      </c>
      <c r="D505" s="2543">
        <v>142485899</v>
      </c>
      <c r="E505" s="2543">
        <v>149001303</v>
      </c>
      <c r="F505" s="2543">
        <v>142485899</v>
      </c>
      <c r="G505" s="2541">
        <v>123693645</v>
      </c>
      <c r="H505" s="2541">
        <v>123693645</v>
      </c>
      <c r="I505" s="2541">
        <v>149001303</v>
      </c>
      <c r="J505" s="2545">
        <v>142485899</v>
      </c>
      <c r="K505" s="2543">
        <v>149001303</v>
      </c>
      <c r="L505" s="2543">
        <v>142485899</v>
      </c>
    </row>
    <row r="506" spans="1:12">
      <c r="A506" s="114" t="s">
        <v>2105</v>
      </c>
      <c r="B506" s="2540" t="s">
        <v>1523</v>
      </c>
      <c r="C506" s="2543">
        <v>15956661</v>
      </c>
      <c r="D506" s="2543">
        <v>14875161</v>
      </c>
      <c r="E506" s="2543">
        <v>15956661</v>
      </c>
      <c r="F506" s="2543">
        <v>14875161</v>
      </c>
      <c r="G506" s="2541">
        <v>14770329</v>
      </c>
      <c r="H506" s="2541">
        <v>14770329</v>
      </c>
      <c r="I506" s="2541">
        <v>15956661</v>
      </c>
      <c r="J506" s="2545">
        <v>14875161</v>
      </c>
      <c r="K506" s="2543">
        <v>15956661</v>
      </c>
      <c r="L506" s="2543">
        <v>14875161</v>
      </c>
    </row>
    <row r="507" spans="1:12">
      <c r="A507" s="114" t="s">
        <v>1211</v>
      </c>
      <c r="B507" s="2540" t="s">
        <v>1778</v>
      </c>
      <c r="C507" s="2543">
        <v>643621524</v>
      </c>
      <c r="D507" s="2543">
        <v>611457834</v>
      </c>
      <c r="E507" s="2543">
        <v>630616079</v>
      </c>
      <c r="F507" s="2543">
        <v>598452389</v>
      </c>
      <c r="G507" s="2541">
        <v>607953748</v>
      </c>
      <c r="H507" s="2541">
        <v>594379623</v>
      </c>
      <c r="I507" s="2541">
        <v>1004621524</v>
      </c>
      <c r="J507" s="2545">
        <v>972457834</v>
      </c>
      <c r="K507" s="2543">
        <v>991616079</v>
      </c>
      <c r="L507" s="2543">
        <v>959452389</v>
      </c>
    </row>
    <row r="508" spans="1:12">
      <c r="A508" s="114" t="s">
        <v>2454</v>
      </c>
      <c r="B508" s="2540" t="s">
        <v>1196</v>
      </c>
      <c r="C508" s="2543">
        <v>132209671</v>
      </c>
      <c r="D508" s="2543">
        <v>120244836</v>
      </c>
      <c r="E508" s="2543">
        <v>131863116</v>
      </c>
      <c r="F508" s="2543">
        <v>119898281</v>
      </c>
      <c r="G508" s="2541">
        <v>146471979</v>
      </c>
      <c r="H508" s="2541">
        <v>141637333</v>
      </c>
      <c r="I508" s="2541">
        <v>132209671</v>
      </c>
      <c r="J508" s="2545">
        <v>120244836</v>
      </c>
      <c r="K508" s="2543">
        <v>131863116</v>
      </c>
      <c r="L508" s="2543">
        <v>119898281</v>
      </c>
    </row>
    <row r="509" spans="1:12">
      <c r="A509" s="114" t="s">
        <v>2455</v>
      </c>
      <c r="B509" s="2540" t="s">
        <v>1197</v>
      </c>
      <c r="C509" s="2543">
        <v>1127628953</v>
      </c>
      <c r="D509" s="2543">
        <v>1121895293</v>
      </c>
      <c r="E509" s="2543">
        <v>1124179703</v>
      </c>
      <c r="F509" s="2543">
        <v>1118446043</v>
      </c>
      <c r="G509" s="2541">
        <v>1097483032</v>
      </c>
      <c r="H509" s="2541">
        <v>1094173235</v>
      </c>
      <c r="I509" s="2541">
        <v>1170627593</v>
      </c>
      <c r="J509" s="2545">
        <v>1164893933</v>
      </c>
      <c r="K509" s="2543">
        <v>1167178343</v>
      </c>
      <c r="L509" s="2543">
        <v>1161444683</v>
      </c>
    </row>
    <row r="510" spans="1:12">
      <c r="A510" s="114" t="s">
        <v>1428</v>
      </c>
      <c r="B510" s="2540" t="s">
        <v>2890</v>
      </c>
      <c r="C510" s="2543">
        <v>35174341</v>
      </c>
      <c r="D510" s="2543">
        <v>35010041</v>
      </c>
      <c r="E510" s="2543">
        <v>35066361</v>
      </c>
      <c r="F510" s="2543">
        <v>34902061</v>
      </c>
      <c r="G510" s="2541">
        <v>52777942</v>
      </c>
      <c r="H510" s="2541">
        <v>52676411</v>
      </c>
      <c r="I510" s="2541">
        <v>35174341</v>
      </c>
      <c r="J510" s="2545">
        <v>35010041</v>
      </c>
      <c r="K510" s="2543">
        <v>35066361</v>
      </c>
      <c r="L510" s="2543">
        <v>34902061</v>
      </c>
    </row>
    <row r="511" spans="1:12">
      <c r="A511" s="114" t="s">
        <v>1429</v>
      </c>
      <c r="B511" s="2540" t="s">
        <v>1198</v>
      </c>
      <c r="C511" s="2543">
        <v>1005941213</v>
      </c>
      <c r="D511" s="2543">
        <v>1002661923</v>
      </c>
      <c r="E511" s="2543">
        <v>1005941213</v>
      </c>
      <c r="F511" s="2543">
        <v>1002661923</v>
      </c>
      <c r="G511" s="2541">
        <v>1600532668</v>
      </c>
      <c r="H511" s="2541">
        <v>1600532668</v>
      </c>
      <c r="I511" s="2541">
        <v>1005941213</v>
      </c>
      <c r="J511" s="2545">
        <v>1002661923</v>
      </c>
      <c r="K511" s="2543">
        <v>1005941213</v>
      </c>
      <c r="L511" s="2543">
        <v>1002661923</v>
      </c>
    </row>
    <row r="512" spans="1:12">
      <c r="A512" s="114" t="s">
        <v>1039</v>
      </c>
      <c r="B512" s="2540" t="s">
        <v>2821</v>
      </c>
      <c r="C512" s="2543">
        <v>144132151</v>
      </c>
      <c r="D512" s="2543">
        <v>142055791</v>
      </c>
      <c r="E512" s="2543">
        <v>144132151</v>
      </c>
      <c r="F512" s="2543">
        <v>142055791</v>
      </c>
      <c r="G512" s="2541">
        <v>204860697</v>
      </c>
      <c r="H512" s="2541">
        <v>204860697</v>
      </c>
      <c r="I512" s="2541">
        <v>308216791</v>
      </c>
      <c r="J512" s="2545">
        <v>306140431</v>
      </c>
      <c r="K512" s="2543">
        <v>308216791</v>
      </c>
      <c r="L512" s="2543">
        <v>306140431</v>
      </c>
    </row>
    <row r="513" spans="1:12">
      <c r="A513" s="114" t="s">
        <v>1040</v>
      </c>
      <c r="B513" s="2540" t="s">
        <v>2822</v>
      </c>
      <c r="C513" s="2543">
        <v>849628384</v>
      </c>
      <c r="D513" s="2543">
        <v>839294094</v>
      </c>
      <c r="E513" s="2543">
        <v>849628384</v>
      </c>
      <c r="F513" s="2543">
        <v>839294094</v>
      </c>
      <c r="G513" s="2541">
        <v>1166959161</v>
      </c>
      <c r="H513" s="2541">
        <v>1166959161</v>
      </c>
      <c r="I513" s="2541">
        <v>931515724</v>
      </c>
      <c r="J513" s="2545">
        <v>921181434</v>
      </c>
      <c r="K513" s="2543">
        <v>931515724</v>
      </c>
      <c r="L513" s="2543">
        <v>921181434</v>
      </c>
    </row>
    <row r="514" spans="1:12">
      <c r="A514" s="114" t="s">
        <v>1041</v>
      </c>
      <c r="B514" s="2540" t="s">
        <v>1199</v>
      </c>
      <c r="C514" s="2543">
        <v>268712632</v>
      </c>
      <c r="D514" s="2543">
        <v>264404722</v>
      </c>
      <c r="E514" s="2543">
        <v>268712632</v>
      </c>
      <c r="F514" s="2543">
        <v>264404722</v>
      </c>
      <c r="G514" s="2541">
        <v>327619299</v>
      </c>
      <c r="H514" s="2541">
        <v>327619299</v>
      </c>
      <c r="I514" s="2541">
        <v>279829032</v>
      </c>
      <c r="J514" s="2545">
        <v>275521122</v>
      </c>
      <c r="K514" s="2543">
        <v>279829032</v>
      </c>
      <c r="L514" s="2543">
        <v>275521122</v>
      </c>
    </row>
    <row r="515" spans="1:12">
      <c r="A515" s="114" t="s">
        <v>1042</v>
      </c>
      <c r="B515" s="2540" t="s">
        <v>685</v>
      </c>
      <c r="C515" s="2543">
        <v>466623791</v>
      </c>
      <c r="D515" s="2543">
        <v>450521865</v>
      </c>
      <c r="E515" s="2543">
        <v>466623791</v>
      </c>
      <c r="F515" s="2543">
        <v>450521865</v>
      </c>
      <c r="G515" s="2541">
        <v>605272616</v>
      </c>
      <c r="H515" s="2541">
        <v>605272616</v>
      </c>
      <c r="I515" s="2541">
        <v>566162591</v>
      </c>
      <c r="J515" s="2545">
        <v>550060665</v>
      </c>
      <c r="K515" s="2543">
        <v>566162591</v>
      </c>
      <c r="L515" s="2543">
        <v>550060665</v>
      </c>
    </row>
    <row r="516" spans="1:12">
      <c r="A516" s="114" t="s">
        <v>2972</v>
      </c>
      <c r="B516" s="2540" t="s">
        <v>1671</v>
      </c>
      <c r="C516" s="2543">
        <v>220858721</v>
      </c>
      <c r="D516" s="2543">
        <v>213926083</v>
      </c>
      <c r="E516" s="2543">
        <v>220858721</v>
      </c>
      <c r="F516" s="2543">
        <v>213926083</v>
      </c>
      <c r="G516" s="2541">
        <v>479286486</v>
      </c>
      <c r="H516" s="2541">
        <v>479286486</v>
      </c>
      <c r="I516" s="2541">
        <v>515168821</v>
      </c>
      <c r="J516" s="2545">
        <v>508236183</v>
      </c>
      <c r="K516" s="2543">
        <v>515168821</v>
      </c>
      <c r="L516" s="2543">
        <v>508236183</v>
      </c>
    </row>
    <row r="517" spans="1:12">
      <c r="A517" s="114" t="s">
        <v>544</v>
      </c>
      <c r="B517" s="2540" t="s">
        <v>686</v>
      </c>
      <c r="C517" s="2543">
        <v>719872980</v>
      </c>
      <c r="D517" s="2543">
        <v>710183265</v>
      </c>
      <c r="E517" s="2543">
        <v>705670320</v>
      </c>
      <c r="F517" s="2543">
        <v>695980605</v>
      </c>
      <c r="G517" s="2541">
        <v>755273486</v>
      </c>
      <c r="H517" s="2541">
        <v>741732072</v>
      </c>
      <c r="I517" s="2541">
        <v>719872980</v>
      </c>
      <c r="J517" s="2545">
        <v>710183265</v>
      </c>
      <c r="K517" s="2543">
        <v>705670320</v>
      </c>
      <c r="L517" s="2543">
        <v>695980605</v>
      </c>
    </row>
    <row r="518" spans="1:12">
      <c r="A518" s="114" t="s">
        <v>3042</v>
      </c>
      <c r="B518" s="2540" t="s">
        <v>2859</v>
      </c>
      <c r="C518" s="2543">
        <v>266675062</v>
      </c>
      <c r="D518" s="2543">
        <v>260032566</v>
      </c>
      <c r="E518" s="2543">
        <v>258097468</v>
      </c>
      <c r="F518" s="2543">
        <v>251454972</v>
      </c>
      <c r="G518" s="2541">
        <v>252721064</v>
      </c>
      <c r="H518" s="2541">
        <v>245126029</v>
      </c>
      <c r="I518" s="2541">
        <v>266675062</v>
      </c>
      <c r="J518" s="2545">
        <v>260032566</v>
      </c>
      <c r="K518" s="2543">
        <v>258097468</v>
      </c>
      <c r="L518" s="2543">
        <v>251454972</v>
      </c>
    </row>
    <row r="519" spans="1:12">
      <c r="A519" s="114" t="s">
        <v>995</v>
      </c>
      <c r="B519" s="2540" t="s">
        <v>1632</v>
      </c>
      <c r="C519" s="2543">
        <v>336080569</v>
      </c>
      <c r="D519" s="2543">
        <v>317473091</v>
      </c>
      <c r="E519" s="2543">
        <v>336080569</v>
      </c>
      <c r="F519" s="2543">
        <v>317473091</v>
      </c>
      <c r="G519" s="2541">
        <v>316351093</v>
      </c>
      <c r="H519" s="2541">
        <v>316351093</v>
      </c>
      <c r="I519" s="2541">
        <v>336080569</v>
      </c>
      <c r="J519" s="2545">
        <v>317473091</v>
      </c>
      <c r="K519" s="2543">
        <v>336080569</v>
      </c>
      <c r="L519" s="2543">
        <v>317473091</v>
      </c>
    </row>
    <row r="520" spans="1:12">
      <c r="A520" s="114" t="s">
        <v>51</v>
      </c>
      <c r="B520" s="2540" t="s">
        <v>446</v>
      </c>
      <c r="C520" s="2543">
        <v>943015492</v>
      </c>
      <c r="D520" s="2543">
        <v>912737543</v>
      </c>
      <c r="E520" s="2543">
        <v>943015492</v>
      </c>
      <c r="F520" s="2543">
        <v>912737543</v>
      </c>
      <c r="G520" s="2541">
        <v>972273905</v>
      </c>
      <c r="H520" s="2541">
        <v>972273905</v>
      </c>
      <c r="I520" s="2541">
        <v>943015492</v>
      </c>
      <c r="J520" s="2545">
        <v>912737543</v>
      </c>
      <c r="K520" s="2543">
        <v>943015492</v>
      </c>
      <c r="L520" s="2543">
        <v>912737543</v>
      </c>
    </row>
    <row r="521" spans="1:12">
      <c r="A521" s="114" t="s">
        <v>61</v>
      </c>
      <c r="B521" s="2540" t="s">
        <v>2296</v>
      </c>
      <c r="C521" s="2543">
        <v>276484376</v>
      </c>
      <c r="D521" s="2543">
        <v>261365258</v>
      </c>
      <c r="E521" s="2543">
        <v>276484376</v>
      </c>
      <c r="F521" s="2543">
        <v>261365258</v>
      </c>
      <c r="G521" s="2541">
        <v>217054543</v>
      </c>
      <c r="H521" s="2541">
        <v>217054543</v>
      </c>
      <c r="I521" s="2541">
        <v>276484376</v>
      </c>
      <c r="J521" s="2545">
        <v>261365258</v>
      </c>
      <c r="K521" s="2543">
        <v>276484376</v>
      </c>
      <c r="L521" s="2543">
        <v>261365258</v>
      </c>
    </row>
    <row r="522" spans="1:12">
      <c r="A522" s="114" t="s">
        <v>3043</v>
      </c>
      <c r="B522" s="2540" t="s">
        <v>2860</v>
      </c>
      <c r="C522" s="2543">
        <v>355507622</v>
      </c>
      <c r="D522" s="2543">
        <v>351718062</v>
      </c>
      <c r="E522" s="2543">
        <v>351914321</v>
      </c>
      <c r="F522" s="2543">
        <v>348124761</v>
      </c>
      <c r="G522" s="2541">
        <v>389883877</v>
      </c>
      <c r="H522" s="2541">
        <v>386496831</v>
      </c>
      <c r="I522" s="2541">
        <v>355507622</v>
      </c>
      <c r="J522" s="2545">
        <v>351718062</v>
      </c>
      <c r="K522" s="2543">
        <v>351914321</v>
      </c>
      <c r="L522" s="2543">
        <v>348124761</v>
      </c>
    </row>
    <row r="523" spans="1:12">
      <c r="A523" s="114" t="s">
        <v>3044</v>
      </c>
      <c r="B523" s="2540" t="s">
        <v>2861</v>
      </c>
      <c r="C523" s="2543">
        <v>194575014</v>
      </c>
      <c r="D523" s="2543">
        <v>189444414</v>
      </c>
      <c r="E523" s="2543">
        <v>194575014</v>
      </c>
      <c r="F523" s="2543">
        <v>189444414</v>
      </c>
      <c r="G523" s="2541">
        <v>181278226</v>
      </c>
      <c r="H523" s="2541">
        <v>181278226</v>
      </c>
      <c r="I523" s="2541">
        <v>194575014</v>
      </c>
      <c r="J523" s="2545">
        <v>189444414</v>
      </c>
      <c r="K523" s="2543">
        <v>194575014</v>
      </c>
      <c r="L523" s="2543">
        <v>189444414</v>
      </c>
    </row>
    <row r="524" spans="1:12">
      <c r="A524" s="114" t="s">
        <v>3045</v>
      </c>
      <c r="B524" s="2540" t="s">
        <v>2618</v>
      </c>
      <c r="C524" s="2543">
        <v>46481869</v>
      </c>
      <c r="D524" s="2543">
        <v>46087599</v>
      </c>
      <c r="E524" s="2543">
        <v>46481869</v>
      </c>
      <c r="F524" s="2543">
        <v>46087599</v>
      </c>
      <c r="G524" s="2541">
        <v>45635965</v>
      </c>
      <c r="H524" s="2541">
        <v>45635965</v>
      </c>
      <c r="I524" s="2541">
        <v>46481869</v>
      </c>
      <c r="J524" s="2545">
        <v>46087599</v>
      </c>
      <c r="K524" s="2543">
        <v>46481869</v>
      </c>
      <c r="L524" s="2543">
        <v>46087599</v>
      </c>
    </row>
    <row r="525" spans="1:12">
      <c r="A525" s="114" t="s">
        <v>2905</v>
      </c>
      <c r="B525" s="2540" t="s">
        <v>426</v>
      </c>
      <c r="C525" s="2543">
        <v>2229058102</v>
      </c>
      <c r="D525" s="2543">
        <v>2163806540</v>
      </c>
      <c r="E525" s="2543">
        <v>2229058102</v>
      </c>
      <c r="F525" s="2543">
        <v>2163806540</v>
      </c>
      <c r="G525" s="2541">
        <v>2173822708</v>
      </c>
      <c r="H525" s="2541">
        <v>2173822708</v>
      </c>
      <c r="I525" s="2541">
        <v>2400111402</v>
      </c>
      <c r="J525" s="2545">
        <v>2334859840</v>
      </c>
      <c r="K525" s="2543">
        <v>2400111402</v>
      </c>
      <c r="L525" s="2543">
        <v>2334859840</v>
      </c>
    </row>
    <row r="526" spans="1:12">
      <c r="A526" s="114" t="s">
        <v>2615</v>
      </c>
      <c r="B526" s="2540" t="s">
        <v>2619</v>
      </c>
      <c r="C526" s="2543">
        <v>3591870655</v>
      </c>
      <c r="D526" s="2543">
        <v>3497164143</v>
      </c>
      <c r="E526" s="2543">
        <v>3591870655</v>
      </c>
      <c r="F526" s="2543">
        <v>3497164143</v>
      </c>
      <c r="G526" s="2541">
        <v>4104522726</v>
      </c>
      <c r="H526" s="2541">
        <v>4104522726</v>
      </c>
      <c r="I526" s="2541">
        <v>7760232395</v>
      </c>
      <c r="J526" s="2545">
        <v>7665525883</v>
      </c>
      <c r="K526" s="2543">
        <v>7760232395</v>
      </c>
      <c r="L526" s="2543">
        <v>7665525883</v>
      </c>
    </row>
    <row r="527" spans="1:12">
      <c r="A527" s="114" t="s">
        <v>2616</v>
      </c>
      <c r="B527" s="2540" t="s">
        <v>3089</v>
      </c>
      <c r="C527" s="2543">
        <v>2531021501</v>
      </c>
      <c r="D527" s="2543">
        <v>2461660924</v>
      </c>
      <c r="E527" s="2543">
        <v>2436721262</v>
      </c>
      <c r="F527" s="2543">
        <v>2367360685</v>
      </c>
      <c r="G527" s="2541">
        <v>2511698196</v>
      </c>
      <c r="H527" s="2541">
        <v>2416366411</v>
      </c>
      <c r="I527" s="2541">
        <v>2801527731</v>
      </c>
      <c r="J527" s="2545">
        <v>2732167154</v>
      </c>
      <c r="K527" s="2543">
        <v>2707227492</v>
      </c>
      <c r="L527" s="2543">
        <v>2637866915</v>
      </c>
    </row>
    <row r="528" spans="1:12">
      <c r="A528" s="114" t="s">
        <v>1501</v>
      </c>
      <c r="B528" s="2540" t="s">
        <v>3090</v>
      </c>
      <c r="C528" s="2543">
        <v>10036040995</v>
      </c>
      <c r="D528" s="2543">
        <v>9815337313</v>
      </c>
      <c r="E528" s="2543">
        <v>10036040995</v>
      </c>
      <c r="F528" s="2543">
        <v>9815337313</v>
      </c>
      <c r="G528" s="2541">
        <v>10051134744</v>
      </c>
      <c r="H528" s="2541">
        <v>10051134744</v>
      </c>
      <c r="I528" s="2541">
        <v>10203301295</v>
      </c>
      <c r="J528" s="2545">
        <v>9982597613</v>
      </c>
      <c r="K528" s="2543">
        <v>10203301295</v>
      </c>
      <c r="L528" s="2543">
        <v>9982597613</v>
      </c>
    </row>
    <row r="529" spans="1:12">
      <c r="A529" s="114" t="s">
        <v>1502</v>
      </c>
      <c r="B529" s="2540" t="s">
        <v>3091</v>
      </c>
      <c r="C529" s="2543">
        <v>565014076</v>
      </c>
      <c r="D529" s="2543">
        <v>564094206</v>
      </c>
      <c r="E529" s="2543">
        <v>564209417</v>
      </c>
      <c r="F529" s="2543">
        <v>563289547</v>
      </c>
      <c r="G529" s="2541">
        <v>678386918</v>
      </c>
      <c r="H529" s="2541">
        <v>677438114</v>
      </c>
      <c r="I529" s="2541">
        <v>938511776</v>
      </c>
      <c r="J529" s="2545">
        <v>937591906</v>
      </c>
      <c r="K529" s="2543">
        <v>937707117</v>
      </c>
      <c r="L529" s="2543">
        <v>936787247</v>
      </c>
    </row>
    <row r="530" spans="1:12">
      <c r="A530" s="114" t="s">
        <v>1484</v>
      </c>
      <c r="B530" s="2540" t="s">
        <v>1950</v>
      </c>
      <c r="C530" s="2543">
        <v>688102035</v>
      </c>
      <c r="D530" s="2543">
        <v>665556618</v>
      </c>
      <c r="E530" s="2543">
        <v>688102035</v>
      </c>
      <c r="F530" s="2543">
        <v>665556618</v>
      </c>
      <c r="G530" s="2541">
        <v>702448435</v>
      </c>
      <c r="H530" s="2541">
        <v>702448435</v>
      </c>
      <c r="I530" s="2541">
        <v>688102035</v>
      </c>
      <c r="J530" s="2545">
        <v>665556618</v>
      </c>
      <c r="K530" s="2543">
        <v>688102035</v>
      </c>
      <c r="L530" s="2543">
        <v>665556618</v>
      </c>
    </row>
    <row r="531" spans="1:12">
      <c r="A531" s="114" t="s">
        <v>1503</v>
      </c>
      <c r="B531" s="2540" t="s">
        <v>1956</v>
      </c>
      <c r="C531" s="2543">
        <v>348527092</v>
      </c>
      <c r="D531" s="2543">
        <v>339871712</v>
      </c>
      <c r="E531" s="2543">
        <v>345521092</v>
      </c>
      <c r="F531" s="2543">
        <v>336865712</v>
      </c>
      <c r="G531" s="2541">
        <v>392193394</v>
      </c>
      <c r="H531" s="2541">
        <v>389220628</v>
      </c>
      <c r="I531" s="2541">
        <v>448027092</v>
      </c>
      <c r="J531" s="2545">
        <v>439371712</v>
      </c>
      <c r="K531" s="2543">
        <v>445021092</v>
      </c>
      <c r="L531" s="2543">
        <v>436365712</v>
      </c>
    </row>
    <row r="532" spans="1:12">
      <c r="A532" s="114" t="s">
        <v>2299</v>
      </c>
      <c r="B532" s="2540" t="s">
        <v>799</v>
      </c>
      <c r="C532" s="2543">
        <v>1251018869</v>
      </c>
      <c r="D532" s="2543">
        <v>1213953177</v>
      </c>
      <c r="E532" s="2543">
        <v>1251018869</v>
      </c>
      <c r="F532" s="2543">
        <v>1213953177</v>
      </c>
      <c r="G532" s="2541">
        <v>1791623872</v>
      </c>
      <c r="H532" s="2541">
        <v>1791623872</v>
      </c>
      <c r="I532" s="2541">
        <v>1251018869</v>
      </c>
      <c r="J532" s="2545">
        <v>1213953177</v>
      </c>
      <c r="K532" s="2543">
        <v>1251018869</v>
      </c>
      <c r="L532" s="2543">
        <v>1213953177</v>
      </c>
    </row>
    <row r="533" spans="1:12">
      <c r="A533" s="114" t="s">
        <v>2652</v>
      </c>
      <c r="B533" s="2540" t="s">
        <v>3080</v>
      </c>
      <c r="C533" s="2543">
        <v>92939523</v>
      </c>
      <c r="D533" s="2543">
        <v>89429006</v>
      </c>
      <c r="E533" s="2543">
        <v>92939523</v>
      </c>
      <c r="F533" s="2543">
        <v>89429006</v>
      </c>
      <c r="G533" s="2541">
        <v>78849553</v>
      </c>
      <c r="H533" s="2541">
        <v>78849553</v>
      </c>
      <c r="I533" s="2541">
        <v>92939523</v>
      </c>
      <c r="J533" s="2545">
        <v>89429006</v>
      </c>
      <c r="K533" s="2543">
        <v>92939523</v>
      </c>
      <c r="L533" s="2543">
        <v>89429006</v>
      </c>
    </row>
    <row r="534" spans="1:12">
      <c r="A534" s="114" t="s">
        <v>1593</v>
      </c>
      <c r="B534" s="2540" t="s">
        <v>1151</v>
      </c>
      <c r="C534" s="2543">
        <v>388695683</v>
      </c>
      <c r="D534" s="2543">
        <v>377600271</v>
      </c>
      <c r="E534" s="2543">
        <v>388695683</v>
      </c>
      <c r="F534" s="2543">
        <v>377600271</v>
      </c>
      <c r="G534" s="2541">
        <v>268183671</v>
      </c>
      <c r="H534" s="2541">
        <v>268183671</v>
      </c>
      <c r="I534" s="2541">
        <v>388695683</v>
      </c>
      <c r="J534" s="2545">
        <v>377600271</v>
      </c>
      <c r="K534" s="2543">
        <v>388695683</v>
      </c>
      <c r="L534" s="2543">
        <v>377600271</v>
      </c>
    </row>
    <row r="535" spans="1:12">
      <c r="A535" s="114" t="s">
        <v>244</v>
      </c>
      <c r="B535" s="2540" t="s">
        <v>2412</v>
      </c>
      <c r="C535" s="2543">
        <v>148709997</v>
      </c>
      <c r="D535" s="2543">
        <v>143745178</v>
      </c>
      <c r="E535" s="2543">
        <v>148709997</v>
      </c>
      <c r="F535" s="2543">
        <v>143745178</v>
      </c>
      <c r="G535" s="2541">
        <v>135324864</v>
      </c>
      <c r="H535" s="2541">
        <v>135324864</v>
      </c>
      <c r="I535" s="2541">
        <v>148709997</v>
      </c>
      <c r="J535" s="2545">
        <v>143745178</v>
      </c>
      <c r="K535" s="2543">
        <v>148709997</v>
      </c>
      <c r="L535" s="2543">
        <v>143745178</v>
      </c>
    </row>
    <row r="536" spans="1:12">
      <c r="A536" s="114" t="s">
        <v>1504</v>
      </c>
      <c r="B536" s="2540" t="s">
        <v>1957</v>
      </c>
      <c r="C536" s="2543">
        <v>56151735</v>
      </c>
      <c r="D536" s="2543">
        <v>55575464</v>
      </c>
      <c r="E536" s="2543">
        <v>56003517</v>
      </c>
      <c r="F536" s="2543">
        <v>55427246</v>
      </c>
      <c r="G536" s="2541">
        <v>63599402</v>
      </c>
      <c r="H536" s="2541">
        <v>63467630</v>
      </c>
      <c r="I536" s="2541">
        <v>56151735</v>
      </c>
      <c r="J536" s="2545">
        <v>55575464</v>
      </c>
      <c r="K536" s="2543">
        <v>56003517</v>
      </c>
      <c r="L536" s="2543">
        <v>55427246</v>
      </c>
    </row>
    <row r="537" spans="1:12">
      <c r="A537" s="114" t="s">
        <v>223</v>
      </c>
      <c r="B537" s="2540" t="s">
        <v>1201</v>
      </c>
      <c r="C537" s="2543">
        <v>1309220907</v>
      </c>
      <c r="D537" s="2543">
        <v>1277891864</v>
      </c>
      <c r="E537" s="2543">
        <v>1309220907</v>
      </c>
      <c r="F537" s="2543">
        <v>1277891864</v>
      </c>
      <c r="G537" s="2541">
        <v>1486141345</v>
      </c>
      <c r="H537" s="2541">
        <v>1486141345</v>
      </c>
      <c r="I537" s="2541">
        <v>1309220907</v>
      </c>
      <c r="J537" s="2545">
        <v>1277891864</v>
      </c>
      <c r="K537" s="2543">
        <v>1309220907</v>
      </c>
      <c r="L537" s="2543">
        <v>1277891864</v>
      </c>
    </row>
    <row r="538" spans="1:12">
      <c r="A538" s="114" t="s">
        <v>2153</v>
      </c>
      <c r="B538" s="2540" t="s">
        <v>1634</v>
      </c>
      <c r="C538" s="2543">
        <v>3902405571</v>
      </c>
      <c r="D538" s="2543">
        <v>3771510158</v>
      </c>
      <c r="E538" s="2543">
        <v>3902405571</v>
      </c>
      <c r="F538" s="2543">
        <v>3771510158</v>
      </c>
      <c r="G538" s="2541">
        <v>3602800255</v>
      </c>
      <c r="H538" s="2541">
        <v>3602800255</v>
      </c>
      <c r="I538" s="2541">
        <v>3902405571</v>
      </c>
      <c r="J538" s="2545">
        <v>3771510158</v>
      </c>
      <c r="K538" s="2543">
        <v>3902405571</v>
      </c>
      <c r="L538" s="2543">
        <v>3771510158</v>
      </c>
    </row>
    <row r="539" spans="1:12">
      <c r="A539" s="114" t="s">
        <v>627</v>
      </c>
      <c r="B539" s="2540" t="s">
        <v>1328</v>
      </c>
      <c r="C539" s="2543">
        <v>2459166664</v>
      </c>
      <c r="D539" s="2543">
        <v>2389950850</v>
      </c>
      <c r="E539" s="2543">
        <v>2459166664</v>
      </c>
      <c r="F539" s="2543">
        <v>2389950850</v>
      </c>
      <c r="G539" s="2541">
        <v>2671129934</v>
      </c>
      <c r="H539" s="2541">
        <v>2671129934</v>
      </c>
      <c r="I539" s="2541">
        <v>2459166664</v>
      </c>
      <c r="J539" s="2545">
        <v>2389950850</v>
      </c>
      <c r="K539" s="2543">
        <v>2459166664</v>
      </c>
      <c r="L539" s="2543">
        <v>2389950850</v>
      </c>
    </row>
    <row r="540" spans="1:12">
      <c r="A540" s="114" t="s">
        <v>2037</v>
      </c>
      <c r="B540" s="2540" t="s">
        <v>977</v>
      </c>
      <c r="C540" s="2543">
        <v>282309133</v>
      </c>
      <c r="D540" s="2543">
        <v>271294025</v>
      </c>
      <c r="E540" s="2543">
        <v>282309133</v>
      </c>
      <c r="F540" s="2543">
        <v>271294025</v>
      </c>
      <c r="G540" s="2541">
        <v>292994717</v>
      </c>
      <c r="H540" s="2541">
        <v>292994717</v>
      </c>
      <c r="I540" s="2541">
        <v>282309133</v>
      </c>
      <c r="J540" s="2545">
        <v>271294025</v>
      </c>
      <c r="K540" s="2543">
        <v>282309133</v>
      </c>
      <c r="L540" s="2543">
        <v>271294025</v>
      </c>
    </row>
    <row r="541" spans="1:12">
      <c r="A541" s="114" t="s">
        <v>52</v>
      </c>
      <c r="B541" s="2540" t="s">
        <v>447</v>
      </c>
      <c r="C541" s="2543">
        <v>1354116611</v>
      </c>
      <c r="D541" s="2543">
        <v>1301582390</v>
      </c>
      <c r="E541" s="2543">
        <v>1354116611</v>
      </c>
      <c r="F541" s="2543">
        <v>1301582390</v>
      </c>
      <c r="G541" s="2541">
        <v>1375858284</v>
      </c>
      <c r="H541" s="2541">
        <v>1375858284</v>
      </c>
      <c r="I541" s="2541">
        <v>1354116611</v>
      </c>
      <c r="J541" s="2545">
        <v>1301582390</v>
      </c>
      <c r="K541" s="2543">
        <v>1354116611</v>
      </c>
      <c r="L541" s="2543">
        <v>1301582390</v>
      </c>
    </row>
    <row r="542" spans="1:12">
      <c r="A542" s="114" t="s">
        <v>1505</v>
      </c>
      <c r="B542" s="2540" t="s">
        <v>2314</v>
      </c>
      <c r="C542" s="2543">
        <v>153235564</v>
      </c>
      <c r="D542" s="2543">
        <v>147357146</v>
      </c>
      <c r="E542" s="2543">
        <v>153235564</v>
      </c>
      <c r="F542" s="2543">
        <v>147357146</v>
      </c>
      <c r="G542" s="2541">
        <v>160002577</v>
      </c>
      <c r="H542" s="2541">
        <v>160002577</v>
      </c>
      <c r="I542" s="2541">
        <v>153235564</v>
      </c>
      <c r="J542" s="2545">
        <v>147357146</v>
      </c>
      <c r="K542" s="2543">
        <v>153235564</v>
      </c>
      <c r="L542" s="2543">
        <v>147357146</v>
      </c>
    </row>
    <row r="543" spans="1:12">
      <c r="A543" s="114" t="s">
        <v>2653</v>
      </c>
      <c r="B543" s="2540" t="s">
        <v>3094</v>
      </c>
      <c r="C543" s="2543">
        <v>268878137</v>
      </c>
      <c r="D543" s="2543">
        <v>259451033</v>
      </c>
      <c r="E543" s="2543">
        <v>268878137</v>
      </c>
      <c r="F543" s="2543">
        <v>259451033</v>
      </c>
      <c r="G543" s="2541">
        <v>277760409</v>
      </c>
      <c r="H543" s="2541">
        <v>277760409</v>
      </c>
      <c r="I543" s="2541">
        <v>268878137</v>
      </c>
      <c r="J543" s="2545">
        <v>259451033</v>
      </c>
      <c r="K543" s="2543">
        <v>268878137</v>
      </c>
      <c r="L543" s="2543">
        <v>259451033</v>
      </c>
    </row>
    <row r="544" spans="1:12">
      <c r="A544" s="114" t="s">
        <v>283</v>
      </c>
      <c r="B544" s="2540" t="s">
        <v>3040</v>
      </c>
      <c r="C544" s="2543">
        <v>270655710</v>
      </c>
      <c r="D544" s="2543">
        <v>257881610</v>
      </c>
      <c r="E544" s="2543">
        <v>270655710</v>
      </c>
      <c r="F544" s="2543">
        <v>257881610</v>
      </c>
      <c r="G544" s="2541">
        <v>251348138</v>
      </c>
      <c r="H544" s="2541">
        <v>251348138</v>
      </c>
      <c r="I544" s="2541">
        <v>270655710</v>
      </c>
      <c r="J544" s="2545">
        <v>257881610</v>
      </c>
      <c r="K544" s="2543">
        <v>270655710</v>
      </c>
      <c r="L544" s="2543">
        <v>257881610</v>
      </c>
    </row>
    <row r="545" spans="1:12">
      <c r="A545" s="114" t="s">
        <v>1435</v>
      </c>
      <c r="B545" s="2540" t="s">
        <v>2651</v>
      </c>
      <c r="C545" s="2543">
        <v>771902369</v>
      </c>
      <c r="D545" s="2543">
        <v>760018481</v>
      </c>
      <c r="E545" s="2543">
        <v>771902369</v>
      </c>
      <c r="F545" s="2543">
        <v>760018481</v>
      </c>
      <c r="G545" s="2541">
        <v>1046936772</v>
      </c>
      <c r="H545" s="2541">
        <v>1046936772</v>
      </c>
      <c r="I545" s="2541">
        <v>771902369</v>
      </c>
      <c r="J545" s="2545">
        <v>760018481</v>
      </c>
      <c r="K545" s="2543">
        <v>771902369</v>
      </c>
      <c r="L545" s="2543">
        <v>760018481</v>
      </c>
    </row>
    <row r="546" spans="1:12">
      <c r="A546" s="114" t="s">
        <v>2400</v>
      </c>
      <c r="B546" s="2540" t="s">
        <v>2771</v>
      </c>
      <c r="C546" s="2543">
        <v>132687097</v>
      </c>
      <c r="D546" s="2543">
        <v>124822947</v>
      </c>
      <c r="E546" s="2543">
        <v>132687097</v>
      </c>
      <c r="F546" s="2543">
        <v>124822947</v>
      </c>
      <c r="G546" s="2541">
        <v>134722551</v>
      </c>
      <c r="H546" s="2541">
        <v>134722551</v>
      </c>
      <c r="I546" s="2541">
        <v>132687097</v>
      </c>
      <c r="J546" s="2545">
        <v>124822947</v>
      </c>
      <c r="K546" s="2543">
        <v>132687097</v>
      </c>
      <c r="L546" s="2543">
        <v>124822947</v>
      </c>
    </row>
    <row r="547" spans="1:12">
      <c r="A547" s="114" t="s">
        <v>1506</v>
      </c>
      <c r="B547" s="2540" t="s">
        <v>2315</v>
      </c>
      <c r="C547" s="2543">
        <v>129605628</v>
      </c>
      <c r="D547" s="2543">
        <v>124954358</v>
      </c>
      <c r="E547" s="2543">
        <v>129605628</v>
      </c>
      <c r="F547" s="2543">
        <v>124954358</v>
      </c>
      <c r="G547" s="2541">
        <v>172005498</v>
      </c>
      <c r="H547" s="2541">
        <v>172005498</v>
      </c>
      <c r="I547" s="2541">
        <v>129605628</v>
      </c>
      <c r="J547" s="2545">
        <v>124954358</v>
      </c>
      <c r="K547" s="2543">
        <v>129605628</v>
      </c>
      <c r="L547" s="2543">
        <v>124954358</v>
      </c>
    </row>
    <row r="548" spans="1:12">
      <c r="A548" s="114" t="s">
        <v>2128</v>
      </c>
      <c r="B548" s="2540" t="s">
        <v>937</v>
      </c>
      <c r="C548" s="2543">
        <v>147383396</v>
      </c>
      <c r="D548" s="2543">
        <v>139257596</v>
      </c>
      <c r="E548" s="2543">
        <v>147383396</v>
      </c>
      <c r="F548" s="2543">
        <v>139257596</v>
      </c>
      <c r="G548" s="2541">
        <v>124530155</v>
      </c>
      <c r="H548" s="2541">
        <v>124530155</v>
      </c>
      <c r="I548" s="2541">
        <v>147383396</v>
      </c>
      <c r="J548" s="2545">
        <v>139257596</v>
      </c>
      <c r="K548" s="2543">
        <v>147383396</v>
      </c>
      <c r="L548" s="2543">
        <v>139257596</v>
      </c>
    </row>
    <row r="549" spans="1:12">
      <c r="A549" s="114" t="s">
        <v>2870</v>
      </c>
      <c r="B549" s="2540" t="s">
        <v>165</v>
      </c>
      <c r="C549" s="2543">
        <v>77004106</v>
      </c>
      <c r="D549" s="2543">
        <v>75406088</v>
      </c>
      <c r="E549" s="2543">
        <v>77004106</v>
      </c>
      <c r="F549" s="2543">
        <v>75406088</v>
      </c>
      <c r="G549" s="2541">
        <v>100334563</v>
      </c>
      <c r="H549" s="2541">
        <v>100334563</v>
      </c>
      <c r="I549" s="2541">
        <v>77004106</v>
      </c>
      <c r="J549" s="2545">
        <v>75406088</v>
      </c>
      <c r="K549" s="2543">
        <v>77004106</v>
      </c>
      <c r="L549" s="2543">
        <v>75406088</v>
      </c>
    </row>
    <row r="550" spans="1:12">
      <c r="A550" s="114" t="s">
        <v>288</v>
      </c>
      <c r="B550" s="2540" t="s">
        <v>2213</v>
      </c>
      <c r="C550" s="2543">
        <v>101498693</v>
      </c>
      <c r="D550" s="2543">
        <v>95101603</v>
      </c>
      <c r="E550" s="2543">
        <v>101498693</v>
      </c>
      <c r="F550" s="2543">
        <v>95101603</v>
      </c>
      <c r="G550" s="2541">
        <v>87526312</v>
      </c>
      <c r="H550" s="2541">
        <v>87526312</v>
      </c>
      <c r="I550" s="2541">
        <v>101498693</v>
      </c>
      <c r="J550" s="2545">
        <v>95101603</v>
      </c>
      <c r="K550" s="2543">
        <v>101498693</v>
      </c>
      <c r="L550" s="2543">
        <v>95101603</v>
      </c>
    </row>
    <row r="551" spans="1:12">
      <c r="A551" s="114" t="s">
        <v>54</v>
      </c>
      <c r="B551" s="2540" t="s">
        <v>449</v>
      </c>
      <c r="C551" s="2543">
        <v>3284658697</v>
      </c>
      <c r="D551" s="2543">
        <v>3275561222</v>
      </c>
      <c r="E551" s="2543">
        <v>3284658697</v>
      </c>
      <c r="F551" s="2543">
        <v>3275561222</v>
      </c>
      <c r="G551" s="2541">
        <v>6766932439</v>
      </c>
      <c r="H551" s="2541">
        <v>6766932439</v>
      </c>
      <c r="I551" s="2541">
        <v>3284658697</v>
      </c>
      <c r="J551" s="2545">
        <v>3275561222</v>
      </c>
      <c r="K551" s="2543">
        <v>3284658697</v>
      </c>
      <c r="L551" s="2543">
        <v>3275561222</v>
      </c>
    </row>
    <row r="552" spans="1:12">
      <c r="A552" s="114" t="s">
        <v>2871</v>
      </c>
      <c r="B552" s="2540" t="s">
        <v>454</v>
      </c>
      <c r="C552" s="2543">
        <v>947028566</v>
      </c>
      <c r="D552" s="2543">
        <v>939469906</v>
      </c>
      <c r="E552" s="2543">
        <v>947028566</v>
      </c>
      <c r="F552" s="2543">
        <v>939469906</v>
      </c>
      <c r="G552" s="2541">
        <v>1943260579</v>
      </c>
      <c r="H552" s="2541">
        <v>1943260579</v>
      </c>
      <c r="I552" s="2541">
        <v>1082153786</v>
      </c>
      <c r="J552" s="2545">
        <v>1074595126</v>
      </c>
      <c r="K552" s="2543">
        <v>1082153786</v>
      </c>
      <c r="L552" s="2543">
        <v>1074595126</v>
      </c>
    </row>
    <row r="553" spans="1:12">
      <c r="A553" s="114" t="s">
        <v>1317</v>
      </c>
      <c r="B553" s="2540" t="s">
        <v>2316</v>
      </c>
      <c r="C553" s="2543">
        <v>316453020</v>
      </c>
      <c r="D553" s="2543">
        <v>314320207</v>
      </c>
      <c r="E553" s="2543">
        <v>316453020</v>
      </c>
      <c r="F553" s="2543">
        <v>314320207</v>
      </c>
      <c r="G553" s="2541">
        <v>1215983663</v>
      </c>
      <c r="H553" s="2541">
        <v>1215983663</v>
      </c>
      <c r="I553" s="2541">
        <v>316453020</v>
      </c>
      <c r="J553" s="2545">
        <v>314320207</v>
      </c>
      <c r="K553" s="2543">
        <v>316453020</v>
      </c>
      <c r="L553" s="2543">
        <v>314320207</v>
      </c>
    </row>
    <row r="554" spans="1:12">
      <c r="A554" s="114" t="s">
        <v>1899</v>
      </c>
      <c r="B554" s="2540" t="s">
        <v>1005</v>
      </c>
      <c r="C554" s="2543">
        <v>418290176</v>
      </c>
      <c r="D554" s="2543">
        <v>413533529</v>
      </c>
      <c r="E554" s="2543">
        <v>418290176</v>
      </c>
      <c r="F554" s="2543">
        <v>413533529</v>
      </c>
      <c r="G554" s="2541">
        <v>1084772318</v>
      </c>
      <c r="H554" s="2541">
        <v>1084772318</v>
      </c>
      <c r="I554" s="2541">
        <v>418290176</v>
      </c>
      <c r="J554" s="2545">
        <v>413533529</v>
      </c>
      <c r="K554" s="2543">
        <v>418290176</v>
      </c>
      <c r="L554" s="2543">
        <v>413533529</v>
      </c>
    </row>
    <row r="555" spans="1:12">
      <c r="A555" s="114" t="s">
        <v>2757</v>
      </c>
      <c r="B555" s="2540" t="s">
        <v>456</v>
      </c>
      <c r="C555" s="2543">
        <v>672732802</v>
      </c>
      <c r="D555" s="2543">
        <v>640174907</v>
      </c>
      <c r="E555" s="2543">
        <v>672732802</v>
      </c>
      <c r="F555" s="2543">
        <v>640174907</v>
      </c>
      <c r="G555" s="2541">
        <v>570368480</v>
      </c>
      <c r="H555" s="2541">
        <v>570368480</v>
      </c>
      <c r="I555" s="2541">
        <v>672732802</v>
      </c>
      <c r="J555" s="2545">
        <v>640174907</v>
      </c>
      <c r="K555" s="2543">
        <v>672732802</v>
      </c>
      <c r="L555" s="2543">
        <v>640174907</v>
      </c>
    </row>
    <row r="556" spans="1:12">
      <c r="A556" s="114" t="s">
        <v>1515</v>
      </c>
      <c r="B556" s="2540" t="s">
        <v>132</v>
      </c>
      <c r="C556" s="2543">
        <v>3155676614</v>
      </c>
      <c r="D556" s="2543">
        <v>3068933561</v>
      </c>
      <c r="E556" s="2543">
        <v>3155676614</v>
      </c>
      <c r="F556" s="2543">
        <v>3068933561</v>
      </c>
      <c r="G556" s="2541">
        <v>2568325277</v>
      </c>
      <c r="H556" s="2541">
        <v>2568325277</v>
      </c>
      <c r="I556" s="2541">
        <v>3155676614</v>
      </c>
      <c r="J556" s="2545">
        <v>3068933561</v>
      </c>
      <c r="K556" s="2543">
        <v>3155676614</v>
      </c>
      <c r="L556" s="2543">
        <v>3068933561</v>
      </c>
    </row>
    <row r="557" spans="1:12">
      <c r="A557" s="114" t="s">
        <v>56</v>
      </c>
      <c r="B557" s="2540" t="s">
        <v>451</v>
      </c>
      <c r="C557" s="2543">
        <v>641133585</v>
      </c>
      <c r="D557" s="2543">
        <v>608815152</v>
      </c>
      <c r="E557" s="2543">
        <v>641133585</v>
      </c>
      <c r="F557" s="2543">
        <v>608815152</v>
      </c>
      <c r="G557" s="2541">
        <v>603666576</v>
      </c>
      <c r="H557" s="2541">
        <v>603666576</v>
      </c>
      <c r="I557" s="2541">
        <v>641133585</v>
      </c>
      <c r="J557" s="2545">
        <v>608815152</v>
      </c>
      <c r="K557" s="2543">
        <v>641133585</v>
      </c>
      <c r="L557" s="2543">
        <v>608815152</v>
      </c>
    </row>
    <row r="558" spans="1:12">
      <c r="A558" s="114" t="s">
        <v>58</v>
      </c>
      <c r="B558" s="2540" t="s">
        <v>453</v>
      </c>
      <c r="C558" s="2543">
        <v>334818919</v>
      </c>
      <c r="D558" s="2543">
        <v>316764068</v>
      </c>
      <c r="E558" s="2543">
        <v>334818919</v>
      </c>
      <c r="F558" s="2543">
        <v>316764068</v>
      </c>
      <c r="G558" s="2541">
        <v>312014138</v>
      </c>
      <c r="H558" s="2541">
        <v>312014138</v>
      </c>
      <c r="I558" s="2541">
        <v>334818919</v>
      </c>
      <c r="J558" s="2545">
        <v>316764068</v>
      </c>
      <c r="K558" s="2543">
        <v>334818919</v>
      </c>
      <c r="L558" s="2543">
        <v>316764068</v>
      </c>
    </row>
    <row r="559" spans="1:12">
      <c r="A559" s="114" t="s">
        <v>2923</v>
      </c>
      <c r="B559" s="2540" t="s">
        <v>2317</v>
      </c>
      <c r="C559" s="2543">
        <v>1111184876</v>
      </c>
      <c r="D559" s="2543">
        <v>1071885416</v>
      </c>
      <c r="E559" s="2543">
        <v>1111184876</v>
      </c>
      <c r="F559" s="2543">
        <v>1071885416</v>
      </c>
      <c r="G559" s="2541">
        <v>1100795979</v>
      </c>
      <c r="H559" s="2541">
        <v>1100795979</v>
      </c>
      <c r="I559" s="2541">
        <v>1111184876</v>
      </c>
      <c r="J559" s="2545">
        <v>1071885416</v>
      </c>
      <c r="K559" s="2543">
        <v>1111184876</v>
      </c>
      <c r="L559" s="2543">
        <v>1071885416</v>
      </c>
    </row>
    <row r="560" spans="1:12">
      <c r="A560" s="114" t="s">
        <v>2924</v>
      </c>
      <c r="B560" s="2540" t="s">
        <v>2318</v>
      </c>
      <c r="C560" s="2543">
        <v>1444021754</v>
      </c>
      <c r="D560" s="2543">
        <v>1399753557</v>
      </c>
      <c r="E560" s="2543">
        <v>1444021754</v>
      </c>
      <c r="F560" s="2543">
        <v>1399753557</v>
      </c>
      <c r="G560" s="2541">
        <v>1366096751</v>
      </c>
      <c r="H560" s="2541">
        <v>1366096751</v>
      </c>
      <c r="I560" s="2541">
        <v>1444021754</v>
      </c>
      <c r="J560" s="2545">
        <v>1399753557</v>
      </c>
      <c r="K560" s="2543">
        <v>1444021754</v>
      </c>
      <c r="L560" s="2543">
        <v>1399753557</v>
      </c>
    </row>
    <row r="561" spans="1:12">
      <c r="A561" s="114" t="s">
        <v>536</v>
      </c>
      <c r="B561" s="2540" t="s">
        <v>1415</v>
      </c>
      <c r="C561" s="2543">
        <v>163921904</v>
      </c>
      <c r="D561" s="2543">
        <v>154708694</v>
      </c>
      <c r="E561" s="2543">
        <v>163921904</v>
      </c>
      <c r="F561" s="2543">
        <v>154708694</v>
      </c>
      <c r="G561" s="2541">
        <v>151937388</v>
      </c>
      <c r="H561" s="2541">
        <v>151937388</v>
      </c>
      <c r="I561" s="2541">
        <v>163921904</v>
      </c>
      <c r="J561" s="2545">
        <v>154708694</v>
      </c>
      <c r="K561" s="2543">
        <v>163921904</v>
      </c>
      <c r="L561" s="2543">
        <v>154708694</v>
      </c>
    </row>
    <row r="562" spans="1:12">
      <c r="A562" s="114" t="s">
        <v>2925</v>
      </c>
      <c r="B562" s="2540" t="s">
        <v>2319</v>
      </c>
      <c r="C562" s="2543">
        <v>6083695416</v>
      </c>
      <c r="D562" s="2543">
        <v>5972073704</v>
      </c>
      <c r="E562" s="2543">
        <v>6083695416</v>
      </c>
      <c r="F562" s="2543">
        <v>5972073704</v>
      </c>
      <c r="G562" s="2541">
        <v>5494890819</v>
      </c>
      <c r="H562" s="2541">
        <v>5494890819</v>
      </c>
      <c r="I562" s="2541">
        <v>6083695416</v>
      </c>
      <c r="J562" s="2545">
        <v>5972073704</v>
      </c>
      <c r="K562" s="2543">
        <v>6083695416</v>
      </c>
      <c r="L562" s="2543">
        <v>5972073704</v>
      </c>
    </row>
    <row r="563" spans="1:12">
      <c r="A563" s="114" t="s">
        <v>1732</v>
      </c>
      <c r="B563" s="2540" t="s">
        <v>2320</v>
      </c>
      <c r="C563" s="2543">
        <v>807078500</v>
      </c>
      <c r="D563" s="2543">
        <v>789180057</v>
      </c>
      <c r="E563" s="2543">
        <v>807078500</v>
      </c>
      <c r="F563" s="2543">
        <v>789180057</v>
      </c>
      <c r="G563" s="2541">
        <v>752977262</v>
      </c>
      <c r="H563" s="2541">
        <v>752977262</v>
      </c>
      <c r="I563" s="2541">
        <v>807078500</v>
      </c>
      <c r="J563" s="2545">
        <v>789180057</v>
      </c>
      <c r="K563" s="2543">
        <v>807078500</v>
      </c>
      <c r="L563" s="2543">
        <v>789180057</v>
      </c>
    </row>
    <row r="564" spans="1:12">
      <c r="A564" s="114" t="s">
        <v>3088</v>
      </c>
      <c r="B564" s="2540" t="s">
        <v>2321</v>
      </c>
      <c r="C564" s="2543">
        <v>811380201</v>
      </c>
      <c r="D564" s="2543">
        <v>811197370</v>
      </c>
      <c r="E564" s="2543">
        <v>811126724</v>
      </c>
      <c r="F564" s="2543">
        <v>810943893</v>
      </c>
      <c r="G564" s="2541">
        <v>825578673</v>
      </c>
      <c r="H564" s="2541">
        <v>825322454</v>
      </c>
      <c r="I564" s="2541">
        <v>932019221</v>
      </c>
      <c r="J564" s="2545">
        <v>931836390</v>
      </c>
      <c r="K564" s="2543">
        <v>931765744</v>
      </c>
      <c r="L564" s="2543">
        <v>931582913</v>
      </c>
    </row>
    <row r="565" spans="1:12">
      <c r="A565" s="114" t="s">
        <v>2649</v>
      </c>
      <c r="B565" s="2540" t="s">
        <v>2322</v>
      </c>
      <c r="C565" s="2543">
        <v>329821211</v>
      </c>
      <c r="D565" s="2543">
        <v>328467211</v>
      </c>
      <c r="E565" s="2543">
        <v>329134416</v>
      </c>
      <c r="F565" s="2543">
        <v>327780416</v>
      </c>
      <c r="G565" s="2541">
        <v>840956219</v>
      </c>
      <c r="H565" s="2541">
        <v>840009308</v>
      </c>
      <c r="I565" s="2541">
        <v>329821211</v>
      </c>
      <c r="J565" s="2545">
        <v>328467211</v>
      </c>
      <c r="K565" s="2543">
        <v>329134416</v>
      </c>
      <c r="L565" s="2543">
        <v>327780416</v>
      </c>
    </row>
    <row r="566" spans="1:12">
      <c r="A566" s="114" t="s">
        <v>1734</v>
      </c>
      <c r="B566" s="2540" t="s">
        <v>734</v>
      </c>
      <c r="C566" s="2543">
        <v>277039908</v>
      </c>
      <c r="D566" s="2543">
        <v>269028472</v>
      </c>
      <c r="E566" s="2543">
        <v>277039908</v>
      </c>
      <c r="F566" s="2543">
        <v>269028472</v>
      </c>
      <c r="G566" s="2541">
        <v>250984354</v>
      </c>
      <c r="H566" s="2541">
        <v>250984354</v>
      </c>
      <c r="I566" s="2541">
        <v>277039908</v>
      </c>
      <c r="J566" s="2545">
        <v>269028472</v>
      </c>
      <c r="K566" s="2543">
        <v>277039908</v>
      </c>
      <c r="L566" s="2543">
        <v>269028472</v>
      </c>
    </row>
    <row r="567" spans="1:12">
      <c r="A567" s="114" t="s">
        <v>2913</v>
      </c>
      <c r="B567" s="2540" t="s">
        <v>2323</v>
      </c>
      <c r="C567" s="2543">
        <v>362541427</v>
      </c>
      <c r="D567" s="2543">
        <v>357861183</v>
      </c>
      <c r="E567" s="2543">
        <v>362541427</v>
      </c>
      <c r="F567" s="2543">
        <v>357861183</v>
      </c>
      <c r="G567" s="2541">
        <v>365038211</v>
      </c>
      <c r="H567" s="2541">
        <v>365038211</v>
      </c>
      <c r="I567" s="2541">
        <v>362541427</v>
      </c>
      <c r="J567" s="2545">
        <v>357861183</v>
      </c>
      <c r="K567" s="2543">
        <v>362541427</v>
      </c>
      <c r="L567" s="2543">
        <v>357861183</v>
      </c>
    </row>
    <row r="568" spans="1:12">
      <c r="A568" s="114" t="s">
        <v>2914</v>
      </c>
      <c r="B568" s="2540" t="s">
        <v>2324</v>
      </c>
      <c r="C568" s="2543">
        <v>2551443745</v>
      </c>
      <c r="D568" s="2543">
        <v>2473400315</v>
      </c>
      <c r="E568" s="2543">
        <v>2551443745</v>
      </c>
      <c r="F568" s="2543">
        <v>2473400315</v>
      </c>
      <c r="G568" s="2541">
        <v>2509223365</v>
      </c>
      <c r="H568" s="2541">
        <v>2509223365</v>
      </c>
      <c r="I568" s="2541">
        <v>2551443745</v>
      </c>
      <c r="J568" s="2545">
        <v>2473400315</v>
      </c>
      <c r="K568" s="2543">
        <v>2551443745</v>
      </c>
      <c r="L568" s="2543">
        <v>2473400315</v>
      </c>
    </row>
    <row r="569" spans="1:12">
      <c r="A569" s="114" t="s">
        <v>529</v>
      </c>
      <c r="B569" s="2540" t="s">
        <v>2325</v>
      </c>
      <c r="C569" s="2543">
        <v>504593812</v>
      </c>
      <c r="D569" s="2543">
        <v>485333304</v>
      </c>
      <c r="E569" s="2543">
        <v>504593812</v>
      </c>
      <c r="F569" s="2543">
        <v>485333304</v>
      </c>
      <c r="G569" s="2541">
        <v>469907944</v>
      </c>
      <c r="H569" s="2541">
        <v>469907944</v>
      </c>
      <c r="I569" s="2541">
        <v>504593812</v>
      </c>
      <c r="J569" s="2545">
        <v>485333304</v>
      </c>
      <c r="K569" s="2543">
        <v>504593812</v>
      </c>
      <c r="L569" s="2543">
        <v>485333304</v>
      </c>
    </row>
    <row r="570" spans="1:12">
      <c r="A570" s="114" t="s">
        <v>2601</v>
      </c>
      <c r="B570" s="2540" t="s">
        <v>2326</v>
      </c>
      <c r="C570" s="2543">
        <v>61082834</v>
      </c>
      <c r="D570" s="2543">
        <v>60722238</v>
      </c>
      <c r="E570" s="2543">
        <v>61082834</v>
      </c>
      <c r="F570" s="2543">
        <v>60722238</v>
      </c>
      <c r="G570" s="2541">
        <v>56265578</v>
      </c>
      <c r="H570" s="2541">
        <v>56265578</v>
      </c>
      <c r="I570" s="2541">
        <v>61082834</v>
      </c>
      <c r="J570" s="2545">
        <v>60722238</v>
      </c>
      <c r="K570" s="2543">
        <v>61082834</v>
      </c>
      <c r="L570" s="2543">
        <v>60722238</v>
      </c>
    </row>
    <row r="571" spans="1:12">
      <c r="A571" s="114" t="s">
        <v>2602</v>
      </c>
      <c r="B571" s="2540" t="s">
        <v>2327</v>
      </c>
      <c r="C571" s="2543">
        <v>387305071</v>
      </c>
      <c r="D571" s="2543">
        <v>377677150</v>
      </c>
      <c r="E571" s="2543">
        <v>387305071</v>
      </c>
      <c r="F571" s="2543">
        <v>377677150</v>
      </c>
      <c r="G571" s="2541">
        <v>395163022</v>
      </c>
      <c r="H571" s="2541">
        <v>395163022</v>
      </c>
      <c r="I571" s="2541">
        <v>387305071</v>
      </c>
      <c r="J571" s="2545">
        <v>377677150</v>
      </c>
      <c r="K571" s="2543">
        <v>387305071</v>
      </c>
      <c r="L571" s="2543">
        <v>377677150</v>
      </c>
    </row>
    <row r="572" spans="1:12">
      <c r="A572" s="114" t="s">
        <v>1727</v>
      </c>
      <c r="B572" s="2540" t="s">
        <v>2328</v>
      </c>
      <c r="C572" s="2543">
        <v>159659491</v>
      </c>
      <c r="D572" s="2543">
        <v>159495311</v>
      </c>
      <c r="E572" s="2543">
        <v>159537016</v>
      </c>
      <c r="F572" s="2543">
        <v>159372836</v>
      </c>
      <c r="G572" s="2541">
        <v>296829241</v>
      </c>
      <c r="H572" s="2541">
        <v>296694350</v>
      </c>
      <c r="I572" s="2541">
        <v>159659491</v>
      </c>
      <c r="J572" s="2545">
        <v>159495311</v>
      </c>
      <c r="K572" s="2543">
        <v>159537016</v>
      </c>
      <c r="L572" s="2543">
        <v>159372836</v>
      </c>
    </row>
    <row r="573" spans="1:12">
      <c r="A573" s="114" t="s">
        <v>1728</v>
      </c>
      <c r="B573" s="2540" t="s">
        <v>2329</v>
      </c>
      <c r="C573" s="2543">
        <v>311486473</v>
      </c>
      <c r="D573" s="2543">
        <v>303871664</v>
      </c>
      <c r="E573" s="2543">
        <v>311486473</v>
      </c>
      <c r="F573" s="2543">
        <v>303871664</v>
      </c>
      <c r="G573" s="2541">
        <v>255772116</v>
      </c>
      <c r="H573" s="2541">
        <v>255772116</v>
      </c>
      <c r="I573" s="2541">
        <v>467620823</v>
      </c>
      <c r="J573" s="2545">
        <v>460006014</v>
      </c>
      <c r="K573" s="2543">
        <v>467620823</v>
      </c>
      <c r="L573" s="2543">
        <v>460006014</v>
      </c>
    </row>
    <row r="574" spans="1:12">
      <c r="A574" s="114" t="s">
        <v>2872</v>
      </c>
      <c r="B574" s="2540" t="s">
        <v>2295</v>
      </c>
      <c r="C574" s="2543">
        <v>875158349</v>
      </c>
      <c r="D574" s="2543">
        <v>840159580</v>
      </c>
      <c r="E574" s="2543">
        <v>875158349</v>
      </c>
      <c r="F574" s="2543">
        <v>840159580</v>
      </c>
      <c r="G574" s="2541">
        <v>742875881</v>
      </c>
      <c r="H574" s="2541">
        <v>742875881</v>
      </c>
      <c r="I574" s="2541">
        <v>875158349</v>
      </c>
      <c r="J574" s="2545">
        <v>840159580</v>
      </c>
      <c r="K574" s="2543">
        <v>875158349</v>
      </c>
      <c r="L574" s="2543">
        <v>840159580</v>
      </c>
    </row>
    <row r="575" spans="1:12">
      <c r="A575" s="114" t="s">
        <v>429</v>
      </c>
      <c r="B575" s="2540" t="s">
        <v>2330</v>
      </c>
      <c r="C575" s="2543">
        <v>177994869</v>
      </c>
      <c r="D575" s="2543">
        <v>170487833</v>
      </c>
      <c r="E575" s="2543">
        <v>173419432</v>
      </c>
      <c r="F575" s="2543">
        <v>165912396</v>
      </c>
      <c r="G575" s="2541">
        <v>140777789</v>
      </c>
      <c r="H575" s="2541">
        <v>136301612</v>
      </c>
      <c r="I575" s="2541">
        <v>177994869</v>
      </c>
      <c r="J575" s="2545">
        <v>170487833</v>
      </c>
      <c r="K575" s="2543">
        <v>173419432</v>
      </c>
      <c r="L575" s="2543">
        <v>165912396</v>
      </c>
    </row>
    <row r="576" spans="1:12">
      <c r="A576" s="114" t="s">
        <v>430</v>
      </c>
      <c r="B576" s="2540" t="s">
        <v>2331</v>
      </c>
      <c r="C576" s="2543">
        <v>222647324</v>
      </c>
      <c r="D576" s="2543">
        <v>219198490</v>
      </c>
      <c r="E576" s="2543">
        <v>222647324</v>
      </c>
      <c r="F576" s="2543">
        <v>219198490</v>
      </c>
      <c r="G576" s="2541">
        <v>228959225</v>
      </c>
      <c r="H576" s="2541">
        <v>224828792</v>
      </c>
      <c r="I576" s="2541">
        <v>222647324</v>
      </c>
      <c r="J576" s="2545">
        <v>219198490</v>
      </c>
      <c r="K576" s="2543">
        <v>222647324</v>
      </c>
      <c r="L576" s="2543">
        <v>219198490</v>
      </c>
    </row>
    <row r="577" spans="1:12">
      <c r="A577" s="114" t="s">
        <v>431</v>
      </c>
      <c r="B577" s="2540" t="s">
        <v>2332</v>
      </c>
      <c r="C577" s="2543">
        <v>130025156</v>
      </c>
      <c r="D577" s="2543">
        <v>130025156</v>
      </c>
      <c r="E577" s="2543">
        <v>130025156</v>
      </c>
      <c r="F577" s="2543">
        <v>130025156</v>
      </c>
      <c r="G577" s="2541">
        <v>203974015</v>
      </c>
      <c r="H577" s="2541">
        <v>203974015</v>
      </c>
      <c r="I577" s="2541">
        <v>130025156</v>
      </c>
      <c r="J577" s="2545">
        <v>130025156</v>
      </c>
      <c r="K577" s="2543">
        <v>130025156</v>
      </c>
      <c r="L577" s="2543">
        <v>130025156</v>
      </c>
    </row>
    <row r="578" spans="1:12">
      <c r="A578" s="114" t="s">
        <v>2873</v>
      </c>
      <c r="B578" s="2540" t="s">
        <v>1904</v>
      </c>
      <c r="C578" s="2543">
        <v>76470591</v>
      </c>
      <c r="D578" s="2543">
        <v>73568501</v>
      </c>
      <c r="E578" s="2543">
        <v>76470591</v>
      </c>
      <c r="F578" s="2543">
        <v>73568501</v>
      </c>
      <c r="G578" s="2541">
        <v>114634670</v>
      </c>
      <c r="H578" s="2541">
        <v>114634670</v>
      </c>
      <c r="I578" s="2541">
        <v>76470591</v>
      </c>
      <c r="J578" s="2545">
        <v>73568501</v>
      </c>
      <c r="K578" s="2543">
        <v>76470591</v>
      </c>
      <c r="L578" s="2543">
        <v>73568501</v>
      </c>
    </row>
    <row r="579" spans="1:12">
      <c r="A579" s="114" t="s">
        <v>270</v>
      </c>
      <c r="B579" s="2540" t="s">
        <v>2333</v>
      </c>
      <c r="C579" s="2543">
        <v>76992567</v>
      </c>
      <c r="D579" s="2543">
        <v>73380167</v>
      </c>
      <c r="E579" s="2543">
        <v>76992567</v>
      </c>
      <c r="F579" s="2543">
        <v>73380167</v>
      </c>
      <c r="G579" s="2541">
        <v>64812576</v>
      </c>
      <c r="H579" s="2541">
        <v>64812576</v>
      </c>
      <c r="I579" s="2541">
        <v>76992567</v>
      </c>
      <c r="J579" s="2545">
        <v>73380167</v>
      </c>
      <c r="K579" s="2543">
        <v>76992567</v>
      </c>
      <c r="L579" s="2543">
        <v>73380167</v>
      </c>
    </row>
    <row r="580" spans="1:12">
      <c r="A580" s="114" t="s">
        <v>271</v>
      </c>
      <c r="B580" s="2540" t="s">
        <v>2334</v>
      </c>
      <c r="C580" s="2543">
        <v>63918350</v>
      </c>
      <c r="D580" s="2543">
        <v>63357850</v>
      </c>
      <c r="E580" s="2543">
        <v>63918350</v>
      </c>
      <c r="F580" s="2543">
        <v>63357850</v>
      </c>
      <c r="G580" s="2541">
        <v>54961619</v>
      </c>
      <c r="H580" s="2541">
        <v>54961619</v>
      </c>
      <c r="I580" s="2541">
        <v>63918350</v>
      </c>
      <c r="J580" s="2545">
        <v>63357850</v>
      </c>
      <c r="K580" s="2543">
        <v>63918350</v>
      </c>
      <c r="L580" s="2543">
        <v>63357850</v>
      </c>
    </row>
    <row r="581" spans="1:12">
      <c r="A581" s="114" t="s">
        <v>272</v>
      </c>
      <c r="B581" s="2540" t="s">
        <v>2335</v>
      </c>
      <c r="C581" s="2543">
        <v>970453168</v>
      </c>
      <c r="D581" s="2543">
        <v>961648013</v>
      </c>
      <c r="E581" s="2543">
        <v>970453168</v>
      </c>
      <c r="F581" s="2543">
        <v>961648013</v>
      </c>
      <c r="G581" s="2541">
        <v>809014125</v>
      </c>
      <c r="H581" s="2541">
        <v>809014125</v>
      </c>
      <c r="I581" s="2541">
        <v>970453168</v>
      </c>
      <c r="J581" s="2545">
        <v>961648013</v>
      </c>
      <c r="K581" s="2543">
        <v>970453168</v>
      </c>
      <c r="L581" s="2543">
        <v>961648013</v>
      </c>
    </row>
    <row r="582" spans="1:12">
      <c r="A582" s="114" t="s">
        <v>2654</v>
      </c>
      <c r="B582" s="2540" t="s">
        <v>667</v>
      </c>
      <c r="C582" s="2543">
        <v>122924744</v>
      </c>
      <c r="D582" s="2543">
        <v>120146939</v>
      </c>
      <c r="E582" s="2543">
        <v>122924744</v>
      </c>
      <c r="F582" s="2543">
        <v>120146939</v>
      </c>
      <c r="G582" s="2541">
        <v>101133799</v>
      </c>
      <c r="H582" s="2541">
        <v>101133799</v>
      </c>
      <c r="I582" s="2541">
        <v>122924744</v>
      </c>
      <c r="J582" s="2545">
        <v>120146939</v>
      </c>
      <c r="K582" s="2543">
        <v>122924744</v>
      </c>
      <c r="L582" s="2543">
        <v>120146939</v>
      </c>
    </row>
    <row r="583" spans="1:12">
      <c r="A583" s="114" t="s">
        <v>2303</v>
      </c>
      <c r="B583" s="2540" t="s">
        <v>226</v>
      </c>
      <c r="C583" s="2543">
        <v>764241188</v>
      </c>
      <c r="D583" s="2543">
        <v>729137194</v>
      </c>
      <c r="E583" s="2543">
        <v>764241188</v>
      </c>
      <c r="F583" s="2543">
        <v>729137194</v>
      </c>
      <c r="G583" s="2541">
        <v>716313998</v>
      </c>
      <c r="H583" s="2541">
        <v>716313998</v>
      </c>
      <c r="I583" s="2541">
        <v>764241188</v>
      </c>
      <c r="J583" s="2545">
        <v>729137194</v>
      </c>
      <c r="K583" s="2543">
        <v>764241188</v>
      </c>
      <c r="L583" s="2543">
        <v>729137194</v>
      </c>
    </row>
    <row r="584" spans="1:12">
      <c r="A584" s="114" t="s">
        <v>2370</v>
      </c>
      <c r="B584" s="2540" t="s">
        <v>2786</v>
      </c>
      <c r="C584" s="2543">
        <v>1186835673</v>
      </c>
      <c r="D584" s="2543">
        <v>1143525141</v>
      </c>
      <c r="E584" s="2543">
        <v>1186835673</v>
      </c>
      <c r="F584" s="2543">
        <v>1143525141</v>
      </c>
      <c r="G584" s="2541">
        <v>1101482667</v>
      </c>
      <c r="H584" s="2541">
        <v>1101482667</v>
      </c>
      <c r="I584" s="2541">
        <v>1186835673</v>
      </c>
      <c r="J584" s="2545">
        <v>1143525141</v>
      </c>
      <c r="K584" s="2543">
        <v>1186835673</v>
      </c>
      <c r="L584" s="2543">
        <v>1143525141</v>
      </c>
    </row>
    <row r="585" spans="1:12">
      <c r="A585" s="114" t="s">
        <v>2874</v>
      </c>
      <c r="B585" s="2540" t="s">
        <v>2411</v>
      </c>
      <c r="C585" s="2543">
        <v>225748036</v>
      </c>
      <c r="D585" s="2543">
        <v>211270344</v>
      </c>
      <c r="E585" s="2543">
        <v>225748036</v>
      </c>
      <c r="F585" s="2543">
        <v>211270344</v>
      </c>
      <c r="G585" s="2541">
        <v>208055698</v>
      </c>
      <c r="H585" s="2541">
        <v>208055698</v>
      </c>
      <c r="I585" s="2541">
        <v>225748036</v>
      </c>
      <c r="J585" s="2545">
        <v>211270344</v>
      </c>
      <c r="K585" s="2543">
        <v>225748036</v>
      </c>
      <c r="L585" s="2543">
        <v>211270344</v>
      </c>
    </row>
    <row r="586" spans="1:12">
      <c r="A586" s="114" t="s">
        <v>1754</v>
      </c>
      <c r="B586" s="2540" t="s">
        <v>2787</v>
      </c>
      <c r="C586" s="2543">
        <v>47417686</v>
      </c>
      <c r="D586" s="2543">
        <v>46479252</v>
      </c>
      <c r="E586" s="2543">
        <v>47417686</v>
      </c>
      <c r="F586" s="2543">
        <v>46479252</v>
      </c>
      <c r="G586" s="2541">
        <v>44916165</v>
      </c>
      <c r="H586" s="2541">
        <v>44916165</v>
      </c>
      <c r="I586" s="2541">
        <v>47417686</v>
      </c>
      <c r="J586" s="2545">
        <v>46479252</v>
      </c>
      <c r="K586" s="2543">
        <v>47417686</v>
      </c>
      <c r="L586" s="2543">
        <v>46479252</v>
      </c>
    </row>
    <row r="587" spans="1:12">
      <c r="A587" s="114" t="s">
        <v>1755</v>
      </c>
      <c r="B587" s="2540" t="s">
        <v>1064</v>
      </c>
      <c r="C587" s="2543">
        <v>196342452</v>
      </c>
      <c r="D587" s="2543">
        <v>187981655</v>
      </c>
      <c r="E587" s="2543">
        <v>196342452</v>
      </c>
      <c r="F587" s="2543">
        <v>187981655</v>
      </c>
      <c r="G587" s="2541">
        <v>216942609</v>
      </c>
      <c r="H587" s="2541">
        <v>216942609</v>
      </c>
      <c r="I587" s="2541">
        <v>196342452</v>
      </c>
      <c r="J587" s="2545">
        <v>187981655</v>
      </c>
      <c r="K587" s="2543">
        <v>196342452</v>
      </c>
      <c r="L587" s="2543">
        <v>187981655</v>
      </c>
    </row>
    <row r="588" spans="1:12">
      <c r="A588" s="114" t="s">
        <v>1592</v>
      </c>
      <c r="B588" s="2540" t="s">
        <v>934</v>
      </c>
      <c r="C588" s="2543">
        <v>141061459</v>
      </c>
      <c r="D588" s="2543">
        <v>137506690</v>
      </c>
      <c r="E588" s="2543">
        <v>141061459</v>
      </c>
      <c r="F588" s="2543">
        <v>137506690</v>
      </c>
      <c r="G588" s="2541">
        <v>137168117</v>
      </c>
      <c r="H588" s="2541">
        <v>137168117</v>
      </c>
      <c r="I588" s="2541">
        <v>141061459</v>
      </c>
      <c r="J588" s="2545">
        <v>137506690</v>
      </c>
      <c r="K588" s="2543">
        <v>141061459</v>
      </c>
      <c r="L588" s="2543">
        <v>137506690</v>
      </c>
    </row>
    <row r="589" spans="1:12">
      <c r="A589" s="114" t="s">
        <v>2584</v>
      </c>
      <c r="B589" s="2540" t="s">
        <v>1067</v>
      </c>
      <c r="C589" s="2543">
        <v>84897860</v>
      </c>
      <c r="D589" s="2543">
        <v>82905433</v>
      </c>
      <c r="E589" s="2543">
        <v>84897860</v>
      </c>
      <c r="F589" s="2543">
        <v>82905433</v>
      </c>
      <c r="G589" s="2541">
        <v>82336274</v>
      </c>
      <c r="H589" s="2541">
        <v>82336274</v>
      </c>
      <c r="I589" s="2541">
        <v>84897860</v>
      </c>
      <c r="J589" s="2545">
        <v>82905433</v>
      </c>
      <c r="K589" s="2543">
        <v>84897860</v>
      </c>
      <c r="L589" s="2543">
        <v>82905433</v>
      </c>
    </row>
    <row r="590" spans="1:12">
      <c r="A590" s="114" t="s">
        <v>2585</v>
      </c>
      <c r="B590" s="2540" t="s">
        <v>1068</v>
      </c>
      <c r="C590" s="2543">
        <v>432248414</v>
      </c>
      <c r="D590" s="2543">
        <v>430080870</v>
      </c>
      <c r="E590" s="2543">
        <v>432248414</v>
      </c>
      <c r="F590" s="2543">
        <v>430080870</v>
      </c>
      <c r="G590" s="2541">
        <v>420143721</v>
      </c>
      <c r="H590" s="2541">
        <v>420143721</v>
      </c>
      <c r="I590" s="2541">
        <v>432248414</v>
      </c>
      <c r="J590" s="2545">
        <v>430080870</v>
      </c>
      <c r="K590" s="2543">
        <v>432248414</v>
      </c>
      <c r="L590" s="2543">
        <v>430080870</v>
      </c>
    </row>
    <row r="591" spans="1:12">
      <c r="A591" s="114" t="s">
        <v>2586</v>
      </c>
      <c r="B591" s="2540" t="s">
        <v>1069</v>
      </c>
      <c r="C591" s="2543">
        <v>1131994569</v>
      </c>
      <c r="D591" s="2543">
        <v>1083831896</v>
      </c>
      <c r="E591" s="2543">
        <v>1131994569</v>
      </c>
      <c r="F591" s="2543">
        <v>1083831896</v>
      </c>
      <c r="G591" s="2541">
        <v>1049034348</v>
      </c>
      <c r="H591" s="2541">
        <v>1049034348</v>
      </c>
      <c r="I591" s="2541">
        <v>1131994569</v>
      </c>
      <c r="J591" s="2545">
        <v>1083831896</v>
      </c>
      <c r="K591" s="2543">
        <v>1131994569</v>
      </c>
      <c r="L591" s="2543">
        <v>1083831896</v>
      </c>
    </row>
    <row r="592" spans="1:12">
      <c r="A592" s="114" t="s">
        <v>2587</v>
      </c>
      <c r="B592" s="2540" t="s">
        <v>1070</v>
      </c>
      <c r="C592" s="2543">
        <v>136252778</v>
      </c>
      <c r="D592" s="2543">
        <v>133069318</v>
      </c>
      <c r="E592" s="2543">
        <v>136252778</v>
      </c>
      <c r="F592" s="2543">
        <v>133069318</v>
      </c>
      <c r="G592" s="2541">
        <v>128550857</v>
      </c>
      <c r="H592" s="2541">
        <v>128550857</v>
      </c>
      <c r="I592" s="2541">
        <v>136252778</v>
      </c>
      <c r="J592" s="2545">
        <v>133069318</v>
      </c>
      <c r="K592" s="2543">
        <v>136252778</v>
      </c>
      <c r="L592" s="2543">
        <v>133069318</v>
      </c>
    </row>
    <row r="593" spans="1:12">
      <c r="A593" s="114" t="s">
        <v>2755</v>
      </c>
      <c r="B593" s="2540" t="s">
        <v>1258</v>
      </c>
      <c r="C593" s="2543">
        <v>4601556789</v>
      </c>
      <c r="D593" s="2543">
        <v>4594632689</v>
      </c>
      <c r="E593" s="2543">
        <v>4601556789</v>
      </c>
      <c r="F593" s="2543">
        <v>4594632689</v>
      </c>
      <c r="G593" s="2541">
        <v>7349738133</v>
      </c>
      <c r="H593" s="2541">
        <v>7349738133</v>
      </c>
      <c r="I593" s="2541">
        <v>4601556789</v>
      </c>
      <c r="J593" s="2545">
        <v>4594632689</v>
      </c>
      <c r="K593" s="2543">
        <v>4601556789</v>
      </c>
      <c r="L593" s="2543">
        <v>4594632689</v>
      </c>
    </row>
    <row r="594" spans="1:12">
      <c r="A594" s="114" t="s">
        <v>2588</v>
      </c>
      <c r="B594" s="2540" t="s">
        <v>1071</v>
      </c>
      <c r="C594" s="2543">
        <v>690702243</v>
      </c>
      <c r="D594" s="2543">
        <v>672926952</v>
      </c>
      <c r="E594" s="2543">
        <v>690702243</v>
      </c>
      <c r="F594" s="2543">
        <v>672926952</v>
      </c>
      <c r="G594" s="2541">
        <v>777521896</v>
      </c>
      <c r="H594" s="2541">
        <v>777521896</v>
      </c>
      <c r="I594" s="2541">
        <v>690702243</v>
      </c>
      <c r="J594" s="2545">
        <v>672926952</v>
      </c>
      <c r="K594" s="2543">
        <v>690702243</v>
      </c>
      <c r="L594" s="2543">
        <v>672926952</v>
      </c>
    </row>
    <row r="595" spans="1:12">
      <c r="A595" s="114" t="s">
        <v>2589</v>
      </c>
      <c r="B595" s="2540" t="s">
        <v>1072</v>
      </c>
      <c r="C595" s="2543">
        <v>305531602</v>
      </c>
      <c r="D595" s="2543">
        <v>300072430</v>
      </c>
      <c r="E595" s="2543">
        <v>299766491</v>
      </c>
      <c r="F595" s="2543">
        <v>294307319</v>
      </c>
      <c r="G595" s="2541">
        <v>625980111</v>
      </c>
      <c r="H595" s="2541">
        <v>620037049</v>
      </c>
      <c r="I595" s="2541">
        <v>305531602</v>
      </c>
      <c r="J595" s="2545">
        <v>300072430</v>
      </c>
      <c r="K595" s="2543">
        <v>299766491</v>
      </c>
      <c r="L595" s="2543">
        <v>294307319</v>
      </c>
    </row>
    <row r="596" spans="1:12">
      <c r="A596" s="114" t="s">
        <v>2590</v>
      </c>
      <c r="B596" s="2540" t="s">
        <v>1073</v>
      </c>
      <c r="C596" s="2543">
        <v>579932128</v>
      </c>
      <c r="D596" s="2543">
        <v>568895832</v>
      </c>
      <c r="E596" s="2543">
        <v>579932128</v>
      </c>
      <c r="F596" s="2543">
        <v>568895832</v>
      </c>
      <c r="G596" s="2541">
        <v>841940442</v>
      </c>
      <c r="H596" s="2541">
        <v>841940442</v>
      </c>
      <c r="I596" s="2541">
        <v>579932128</v>
      </c>
      <c r="J596" s="2545">
        <v>568895832</v>
      </c>
      <c r="K596" s="2543">
        <v>579932128</v>
      </c>
      <c r="L596" s="2543">
        <v>568895832</v>
      </c>
    </row>
    <row r="597" spans="1:12">
      <c r="A597" s="114" t="s">
        <v>2591</v>
      </c>
      <c r="B597" s="2540" t="s">
        <v>1074</v>
      </c>
      <c r="C597" s="2543">
        <v>59719697</v>
      </c>
      <c r="D597" s="2543">
        <v>57259524</v>
      </c>
      <c r="E597" s="2543">
        <v>56679771</v>
      </c>
      <c r="F597" s="2543">
        <v>54219598</v>
      </c>
      <c r="G597" s="2541">
        <v>60303964</v>
      </c>
      <c r="H597" s="2541">
        <v>57405343</v>
      </c>
      <c r="I597" s="2541">
        <v>59719697</v>
      </c>
      <c r="J597" s="2545">
        <v>57259524</v>
      </c>
      <c r="K597" s="2543">
        <v>56679771</v>
      </c>
      <c r="L597" s="2543">
        <v>54219598</v>
      </c>
    </row>
    <row r="598" spans="1:12">
      <c r="A598" s="114" t="s">
        <v>2592</v>
      </c>
      <c r="B598" s="2540" t="s">
        <v>1075</v>
      </c>
      <c r="C598" s="2543">
        <v>70386662</v>
      </c>
      <c r="D598" s="2543">
        <v>67809613</v>
      </c>
      <c r="E598" s="2543">
        <v>70386662</v>
      </c>
      <c r="F598" s="2543">
        <v>67809613</v>
      </c>
      <c r="G598" s="2541">
        <v>66202045</v>
      </c>
      <c r="H598" s="2541">
        <v>66202045</v>
      </c>
      <c r="I598" s="2541">
        <v>70386662</v>
      </c>
      <c r="J598" s="2545">
        <v>67809613</v>
      </c>
      <c r="K598" s="2543">
        <v>70386662</v>
      </c>
      <c r="L598" s="2543">
        <v>67809613</v>
      </c>
    </row>
    <row r="599" spans="1:12">
      <c r="A599" s="114" t="s">
        <v>2981</v>
      </c>
      <c r="B599" s="2540" t="s">
        <v>1076</v>
      </c>
      <c r="C599" s="2543">
        <v>82577337</v>
      </c>
      <c r="D599" s="2543">
        <v>80225407</v>
      </c>
      <c r="E599" s="2543">
        <v>79983810</v>
      </c>
      <c r="F599" s="2543">
        <v>77631880</v>
      </c>
      <c r="G599" s="2541">
        <v>103622392</v>
      </c>
      <c r="H599" s="2541">
        <v>101017710</v>
      </c>
      <c r="I599" s="2541">
        <v>82577337</v>
      </c>
      <c r="J599" s="2545">
        <v>80225407</v>
      </c>
      <c r="K599" s="2543">
        <v>79983810</v>
      </c>
      <c r="L599" s="2543">
        <v>77631880</v>
      </c>
    </row>
    <row r="600" spans="1:12">
      <c r="A600" s="114" t="s">
        <v>2982</v>
      </c>
      <c r="B600" s="2540" t="s">
        <v>1077</v>
      </c>
      <c r="C600" s="2543">
        <v>755857516</v>
      </c>
      <c r="D600" s="2543">
        <v>736185386</v>
      </c>
      <c r="E600" s="2543">
        <v>742866606</v>
      </c>
      <c r="F600" s="2543">
        <v>723194476</v>
      </c>
      <c r="G600" s="2541">
        <v>823103116</v>
      </c>
      <c r="H600" s="2541">
        <v>810511592</v>
      </c>
      <c r="I600" s="2541">
        <v>755857516</v>
      </c>
      <c r="J600" s="2545">
        <v>736185386</v>
      </c>
      <c r="K600" s="2543">
        <v>742866606</v>
      </c>
      <c r="L600" s="2543">
        <v>723194476</v>
      </c>
    </row>
    <row r="601" spans="1:12">
      <c r="A601" s="114" t="s">
        <v>2983</v>
      </c>
      <c r="B601" s="2540" t="s">
        <v>1078</v>
      </c>
      <c r="C601" s="2543">
        <v>408827085</v>
      </c>
      <c r="D601" s="2543">
        <v>395331378</v>
      </c>
      <c r="E601" s="2543">
        <v>408827085</v>
      </c>
      <c r="F601" s="2543">
        <v>395331378</v>
      </c>
      <c r="G601" s="2541">
        <v>387141550</v>
      </c>
      <c r="H601" s="2541">
        <v>383865950</v>
      </c>
      <c r="I601" s="2541">
        <v>408827085</v>
      </c>
      <c r="J601" s="2545">
        <v>395331378</v>
      </c>
      <c r="K601" s="2543">
        <v>408827085</v>
      </c>
      <c r="L601" s="2543">
        <v>395331378</v>
      </c>
    </row>
    <row r="602" spans="1:12">
      <c r="A602" s="114" t="s">
        <v>2984</v>
      </c>
      <c r="B602" s="2540" t="s">
        <v>1079</v>
      </c>
      <c r="C602" s="2543">
        <v>116921830</v>
      </c>
      <c r="D602" s="2543">
        <v>114153346</v>
      </c>
      <c r="E602" s="2543">
        <v>116269503</v>
      </c>
      <c r="F602" s="2543">
        <v>113501019</v>
      </c>
      <c r="G602" s="2541">
        <v>188349738</v>
      </c>
      <c r="H602" s="2541">
        <v>187657824</v>
      </c>
      <c r="I602" s="2541">
        <v>116921830</v>
      </c>
      <c r="J602" s="2545">
        <v>114153346</v>
      </c>
      <c r="K602" s="2543">
        <v>116269503</v>
      </c>
      <c r="L602" s="2543">
        <v>113501019</v>
      </c>
    </row>
    <row r="603" spans="1:12">
      <c r="A603" s="114" t="s">
        <v>2985</v>
      </c>
      <c r="B603" s="2540" t="s">
        <v>1080</v>
      </c>
      <c r="C603" s="2543">
        <v>397483815</v>
      </c>
      <c r="D603" s="2543">
        <v>387381111</v>
      </c>
      <c r="E603" s="2543">
        <v>395124503</v>
      </c>
      <c r="F603" s="2543">
        <v>385021799</v>
      </c>
      <c r="G603" s="2541">
        <v>464457854</v>
      </c>
      <c r="H603" s="2541">
        <v>461980702</v>
      </c>
      <c r="I603" s="2541">
        <v>397483815</v>
      </c>
      <c r="J603" s="2545">
        <v>387381111</v>
      </c>
      <c r="K603" s="2543">
        <v>395124503</v>
      </c>
      <c r="L603" s="2543">
        <v>385021799</v>
      </c>
    </row>
    <row r="604" spans="1:12">
      <c r="A604" s="114" t="s">
        <v>1561</v>
      </c>
      <c r="B604" s="2540" t="s">
        <v>2081</v>
      </c>
      <c r="C604" s="2543">
        <v>322102378</v>
      </c>
      <c r="D604" s="2543">
        <v>311128548</v>
      </c>
      <c r="E604" s="2543">
        <v>316689813</v>
      </c>
      <c r="F604" s="2543">
        <v>305715983</v>
      </c>
      <c r="G604" s="2541">
        <v>492995381</v>
      </c>
      <c r="H604" s="2541">
        <v>488372738</v>
      </c>
      <c r="I604" s="2541">
        <v>322102378</v>
      </c>
      <c r="J604" s="2545">
        <v>311128548</v>
      </c>
      <c r="K604" s="2543">
        <v>316689813</v>
      </c>
      <c r="L604" s="2543">
        <v>305715983</v>
      </c>
    </row>
    <row r="605" spans="1:12">
      <c r="A605" s="114" t="s">
        <v>1562</v>
      </c>
      <c r="B605" s="2540" t="s">
        <v>2082</v>
      </c>
      <c r="C605" s="2543">
        <v>297641539</v>
      </c>
      <c r="D605" s="2543">
        <v>287640351</v>
      </c>
      <c r="E605" s="2543">
        <v>285182277</v>
      </c>
      <c r="F605" s="2543">
        <v>275181089</v>
      </c>
      <c r="G605" s="2541">
        <v>287345667</v>
      </c>
      <c r="H605" s="2541">
        <v>275561377</v>
      </c>
      <c r="I605" s="2541">
        <v>297641539</v>
      </c>
      <c r="J605" s="2545">
        <v>287640351</v>
      </c>
      <c r="K605" s="2543">
        <v>285182277</v>
      </c>
      <c r="L605" s="2543">
        <v>275181089</v>
      </c>
    </row>
    <row r="606" spans="1:12">
      <c r="A606" s="114" t="s">
        <v>2783</v>
      </c>
      <c r="B606" s="2540" t="s">
        <v>2083</v>
      </c>
      <c r="C606" s="2543">
        <v>116988854</v>
      </c>
      <c r="D606" s="2543">
        <v>114875611</v>
      </c>
      <c r="E606" s="2543">
        <v>116988854</v>
      </c>
      <c r="F606" s="2543">
        <v>114875611</v>
      </c>
      <c r="G606" s="2541">
        <v>81531206</v>
      </c>
      <c r="H606" s="2541">
        <v>81531206</v>
      </c>
      <c r="I606" s="2541">
        <v>116988854</v>
      </c>
      <c r="J606" s="2545">
        <v>114875611</v>
      </c>
      <c r="K606" s="2543">
        <v>116988854</v>
      </c>
      <c r="L606" s="2543">
        <v>114875611</v>
      </c>
    </row>
    <row r="607" spans="1:12">
      <c r="A607" s="114" t="s">
        <v>2421</v>
      </c>
      <c r="B607" s="2540" t="s">
        <v>2282</v>
      </c>
      <c r="C607" s="2543">
        <v>774963624</v>
      </c>
      <c r="D607" s="2543">
        <v>766622925</v>
      </c>
      <c r="E607" s="2543">
        <v>774963624</v>
      </c>
      <c r="F607" s="2543">
        <v>766622925</v>
      </c>
      <c r="G607" s="2541">
        <v>836159987</v>
      </c>
      <c r="H607" s="2541">
        <v>836159987</v>
      </c>
      <c r="I607" s="2541">
        <v>774963624</v>
      </c>
      <c r="J607" s="2545">
        <v>766622925</v>
      </c>
      <c r="K607" s="2543">
        <v>774963624</v>
      </c>
      <c r="L607" s="2543">
        <v>766622925</v>
      </c>
    </row>
    <row r="608" spans="1:12">
      <c r="A608" s="114" t="s">
        <v>3029</v>
      </c>
      <c r="B608" s="2540" t="s">
        <v>1329</v>
      </c>
      <c r="C608" s="2543">
        <v>1102202337</v>
      </c>
      <c r="D608" s="2543">
        <v>1070246114</v>
      </c>
      <c r="E608" s="2543">
        <v>1102202337</v>
      </c>
      <c r="F608" s="2543">
        <v>1070246114</v>
      </c>
      <c r="G608" s="2541">
        <v>862166302</v>
      </c>
      <c r="H608" s="2541">
        <v>862166302</v>
      </c>
      <c r="I608" s="2541">
        <v>1102202337</v>
      </c>
      <c r="J608" s="2545">
        <v>1070246114</v>
      </c>
      <c r="K608" s="2543">
        <v>1102202337</v>
      </c>
      <c r="L608" s="2543">
        <v>1070246114</v>
      </c>
    </row>
    <row r="609" spans="1:12">
      <c r="A609" s="114" t="s">
        <v>2762</v>
      </c>
      <c r="B609" s="2540" t="s">
        <v>3061</v>
      </c>
      <c r="C609" s="2543">
        <v>1650771482</v>
      </c>
      <c r="D609" s="2543">
        <v>1604724292</v>
      </c>
      <c r="E609" s="2543">
        <v>1650771482</v>
      </c>
      <c r="F609" s="2543">
        <v>1604724292</v>
      </c>
      <c r="G609" s="2541">
        <v>1550660456</v>
      </c>
      <c r="H609" s="2541">
        <v>1550660456</v>
      </c>
      <c r="I609" s="2541">
        <v>1650771482</v>
      </c>
      <c r="J609" s="2545">
        <v>1604724292</v>
      </c>
      <c r="K609" s="2543">
        <v>1650771482</v>
      </c>
      <c r="L609" s="2543">
        <v>1604724292</v>
      </c>
    </row>
    <row r="610" spans="1:12">
      <c r="A610" s="114" t="s">
        <v>2422</v>
      </c>
      <c r="B610" s="2540" t="s">
        <v>2283</v>
      </c>
      <c r="C610" s="2543">
        <v>170609766</v>
      </c>
      <c r="D610" s="2543">
        <v>168602568</v>
      </c>
      <c r="E610" s="2543">
        <v>170609766</v>
      </c>
      <c r="F610" s="2543">
        <v>168602568</v>
      </c>
      <c r="G610" s="2541">
        <v>303443166</v>
      </c>
      <c r="H610" s="2541">
        <v>303443166</v>
      </c>
      <c r="I610" s="2541">
        <v>170609766</v>
      </c>
      <c r="J610" s="2545">
        <v>168602568</v>
      </c>
      <c r="K610" s="2543">
        <v>170609766</v>
      </c>
      <c r="L610" s="2543">
        <v>168602568</v>
      </c>
    </row>
    <row r="611" spans="1:12">
      <c r="A611" s="114" t="s">
        <v>2875</v>
      </c>
      <c r="B611" s="2540" t="s">
        <v>1951</v>
      </c>
      <c r="C611" s="2543">
        <v>397611623</v>
      </c>
      <c r="D611" s="2543">
        <v>383180710</v>
      </c>
      <c r="E611" s="2543">
        <v>397611623</v>
      </c>
      <c r="F611" s="2543">
        <v>383180710</v>
      </c>
      <c r="G611" s="2541">
        <v>331408374</v>
      </c>
      <c r="H611" s="2541">
        <v>331408374</v>
      </c>
      <c r="I611" s="2541">
        <v>397611623</v>
      </c>
      <c r="J611" s="2545">
        <v>383180710</v>
      </c>
      <c r="K611" s="2543">
        <v>397611623</v>
      </c>
      <c r="L611" s="2543">
        <v>383180710</v>
      </c>
    </row>
    <row r="612" spans="1:12">
      <c r="A612" s="114" t="s">
        <v>1277</v>
      </c>
      <c r="B612" s="2540" t="s">
        <v>2735</v>
      </c>
      <c r="C612" s="2543">
        <v>234508846</v>
      </c>
      <c r="D612" s="2543">
        <v>228509184</v>
      </c>
      <c r="E612" s="2543">
        <v>234508846</v>
      </c>
      <c r="F612" s="2543">
        <v>228509184</v>
      </c>
      <c r="G612" s="2541">
        <v>262125096</v>
      </c>
      <c r="H612" s="2541">
        <v>262125096</v>
      </c>
      <c r="I612" s="2541">
        <v>234508846</v>
      </c>
      <c r="J612" s="2545">
        <v>228509184</v>
      </c>
      <c r="K612" s="2543">
        <v>234508846</v>
      </c>
      <c r="L612" s="2543">
        <v>228509184</v>
      </c>
    </row>
    <row r="613" spans="1:12">
      <c r="A613" s="114" t="s">
        <v>2423</v>
      </c>
      <c r="B613" s="2540" t="s">
        <v>590</v>
      </c>
      <c r="C613" s="2543">
        <v>864030524</v>
      </c>
      <c r="D613" s="2543">
        <v>843372178</v>
      </c>
      <c r="E613" s="2543">
        <v>864030524</v>
      </c>
      <c r="F613" s="2543">
        <v>843372178</v>
      </c>
      <c r="G613" s="2541">
        <v>862889809</v>
      </c>
      <c r="H613" s="2541">
        <v>862889809</v>
      </c>
      <c r="I613" s="2541">
        <v>925910334</v>
      </c>
      <c r="J613" s="2545">
        <v>905251988</v>
      </c>
      <c r="K613" s="2543">
        <v>925910334</v>
      </c>
      <c r="L613" s="2543">
        <v>905251988</v>
      </c>
    </row>
    <row r="614" spans="1:12">
      <c r="A614" s="114" t="s">
        <v>2424</v>
      </c>
      <c r="B614" s="2540" t="s">
        <v>591</v>
      </c>
      <c r="C614" s="2543">
        <v>494297898</v>
      </c>
      <c r="D614" s="2543">
        <v>474777496</v>
      </c>
      <c r="E614" s="2543">
        <v>494297898</v>
      </c>
      <c r="F614" s="2543">
        <v>474777496</v>
      </c>
      <c r="G614" s="2541">
        <v>448612412</v>
      </c>
      <c r="H614" s="2541">
        <v>448612412</v>
      </c>
      <c r="I614" s="2541">
        <v>494297898</v>
      </c>
      <c r="J614" s="2545">
        <v>474777496</v>
      </c>
      <c r="K614" s="2543">
        <v>494297898</v>
      </c>
      <c r="L614" s="2543">
        <v>474777496</v>
      </c>
    </row>
    <row r="615" spans="1:12">
      <c r="A615" s="114" t="s">
        <v>1093</v>
      </c>
      <c r="B615" s="2540" t="s">
        <v>1747</v>
      </c>
      <c r="C615" s="2543">
        <v>40270551</v>
      </c>
      <c r="D615" s="2543">
        <v>38482238</v>
      </c>
      <c r="E615" s="2543">
        <v>40270551</v>
      </c>
      <c r="F615" s="2543">
        <v>38482238</v>
      </c>
      <c r="G615" s="2541">
        <v>40323754</v>
      </c>
      <c r="H615" s="2541">
        <v>40323754</v>
      </c>
      <c r="I615" s="2541">
        <v>40270551</v>
      </c>
      <c r="J615" s="2545">
        <v>38482238</v>
      </c>
      <c r="K615" s="2543">
        <v>40270551</v>
      </c>
      <c r="L615" s="2543">
        <v>38482238</v>
      </c>
    </row>
    <row r="616" spans="1:12">
      <c r="A616" s="114" t="s">
        <v>1513</v>
      </c>
      <c r="B616" s="2540" t="s">
        <v>592</v>
      </c>
      <c r="C616" s="2543">
        <v>1458679099</v>
      </c>
      <c r="D616" s="2543">
        <v>1438594020</v>
      </c>
      <c r="E616" s="2543">
        <v>1458679099</v>
      </c>
      <c r="F616" s="2543">
        <v>1438594020</v>
      </c>
      <c r="G616" s="2541">
        <v>1828134313</v>
      </c>
      <c r="H616" s="2541">
        <v>1805617792</v>
      </c>
      <c r="I616" s="2541">
        <v>1458679099</v>
      </c>
      <c r="J616" s="2545">
        <v>1438594020</v>
      </c>
      <c r="K616" s="2543">
        <v>1458679099</v>
      </c>
      <c r="L616" s="2543">
        <v>1438594020</v>
      </c>
    </row>
    <row r="617" spans="1:12">
      <c r="A617" s="114" t="s">
        <v>1902</v>
      </c>
      <c r="B617" s="2540" t="s">
        <v>593</v>
      </c>
      <c r="C617" s="2543">
        <v>428617098</v>
      </c>
      <c r="D617" s="2543">
        <v>408677709</v>
      </c>
      <c r="E617" s="2543">
        <v>428617098</v>
      </c>
      <c r="F617" s="2543">
        <v>408677709</v>
      </c>
      <c r="G617" s="2541">
        <v>429598354</v>
      </c>
      <c r="H617" s="2541">
        <v>429598354</v>
      </c>
      <c r="I617" s="2541">
        <v>428617098</v>
      </c>
      <c r="J617" s="2545">
        <v>408677709</v>
      </c>
      <c r="K617" s="2543">
        <v>428617098</v>
      </c>
      <c r="L617" s="2543">
        <v>408677709</v>
      </c>
    </row>
    <row r="618" spans="1:12">
      <c r="A618" s="114" t="s">
        <v>1903</v>
      </c>
      <c r="B618" s="2540" t="s">
        <v>594</v>
      </c>
      <c r="C618" s="2543">
        <v>200744079</v>
      </c>
      <c r="D618" s="2543">
        <v>198080859</v>
      </c>
      <c r="E618" s="2543">
        <v>200744079</v>
      </c>
      <c r="F618" s="2543">
        <v>198080859</v>
      </c>
      <c r="G618" s="2541">
        <v>389208321</v>
      </c>
      <c r="H618" s="2541">
        <v>389208321</v>
      </c>
      <c r="I618" s="2541">
        <v>200744079</v>
      </c>
      <c r="J618" s="2545">
        <v>198080859</v>
      </c>
      <c r="K618" s="2543">
        <v>200744079</v>
      </c>
      <c r="L618" s="2543">
        <v>198080859</v>
      </c>
    </row>
    <row r="619" spans="1:12">
      <c r="A619" s="114" t="s">
        <v>2926</v>
      </c>
      <c r="B619" s="2540" t="s">
        <v>595</v>
      </c>
      <c r="C619" s="2543">
        <v>109542822</v>
      </c>
      <c r="D619" s="2543">
        <v>108320962</v>
      </c>
      <c r="E619" s="2543">
        <v>109542822</v>
      </c>
      <c r="F619" s="2543">
        <v>108320962</v>
      </c>
      <c r="G619" s="2541">
        <v>275295144</v>
      </c>
      <c r="H619" s="2541">
        <v>275295144</v>
      </c>
      <c r="I619" s="2541">
        <v>109542822</v>
      </c>
      <c r="J619" s="2545">
        <v>108320962</v>
      </c>
      <c r="K619" s="2543">
        <v>109542822</v>
      </c>
      <c r="L619" s="2543">
        <v>108320962</v>
      </c>
    </row>
    <row r="620" spans="1:12">
      <c r="A620" s="114" t="s">
        <v>2927</v>
      </c>
      <c r="B620" s="2540" t="s">
        <v>596</v>
      </c>
      <c r="C620" s="2543">
        <v>204991321</v>
      </c>
      <c r="D620" s="2543">
        <v>204090771</v>
      </c>
      <c r="E620" s="2543">
        <v>204991321</v>
      </c>
      <c r="F620" s="2543">
        <v>204090771</v>
      </c>
      <c r="G620" s="2541">
        <v>502458688</v>
      </c>
      <c r="H620" s="2541">
        <v>502458688</v>
      </c>
      <c r="I620" s="2541">
        <v>204991321</v>
      </c>
      <c r="J620" s="2545">
        <v>204090771</v>
      </c>
      <c r="K620" s="2543">
        <v>204991321</v>
      </c>
      <c r="L620" s="2543">
        <v>204090771</v>
      </c>
    </row>
    <row r="621" spans="1:12">
      <c r="A621" s="114" t="s">
        <v>3056</v>
      </c>
      <c r="B621" s="2540" t="s">
        <v>597</v>
      </c>
      <c r="C621" s="2543">
        <v>74132132</v>
      </c>
      <c r="D621" s="2543">
        <v>73160942</v>
      </c>
      <c r="E621" s="2543">
        <v>74132132</v>
      </c>
      <c r="F621" s="2543">
        <v>73160942</v>
      </c>
      <c r="G621" s="2541">
        <v>156554502</v>
      </c>
      <c r="H621" s="2541">
        <v>156554502</v>
      </c>
      <c r="I621" s="2541">
        <v>74132132</v>
      </c>
      <c r="J621" s="2545">
        <v>73160942</v>
      </c>
      <c r="K621" s="2543">
        <v>74132132</v>
      </c>
      <c r="L621" s="2543">
        <v>73160942</v>
      </c>
    </row>
    <row r="622" spans="1:12">
      <c r="A622" s="114" t="s">
        <v>947</v>
      </c>
      <c r="B622" s="2540" t="s">
        <v>598</v>
      </c>
      <c r="C622" s="2543">
        <v>776186284</v>
      </c>
      <c r="D622" s="2543">
        <v>761156420</v>
      </c>
      <c r="E622" s="2543">
        <v>759189712</v>
      </c>
      <c r="F622" s="2543">
        <v>744159848</v>
      </c>
      <c r="G622" s="2541">
        <v>732468238</v>
      </c>
      <c r="H622" s="2541">
        <v>718508692</v>
      </c>
      <c r="I622" s="2541">
        <v>776186284</v>
      </c>
      <c r="J622" s="2545">
        <v>761156420</v>
      </c>
      <c r="K622" s="2543">
        <v>759189712</v>
      </c>
      <c r="L622" s="2543">
        <v>744159848</v>
      </c>
    </row>
    <row r="623" spans="1:12">
      <c r="A623" s="114" t="s">
        <v>95</v>
      </c>
      <c r="B623" s="2540" t="s">
        <v>599</v>
      </c>
      <c r="C623" s="2543">
        <v>1375090127</v>
      </c>
      <c r="D623" s="2543">
        <v>1367926883</v>
      </c>
      <c r="E623" s="2543">
        <v>1368181655</v>
      </c>
      <c r="F623" s="2543">
        <v>1361018411</v>
      </c>
      <c r="G623" s="2541">
        <v>2843835197</v>
      </c>
      <c r="H623" s="2541">
        <v>2838074833</v>
      </c>
      <c r="I623" s="2541">
        <v>1375090127</v>
      </c>
      <c r="J623" s="2545">
        <v>1367926883</v>
      </c>
      <c r="K623" s="2543">
        <v>1368181655</v>
      </c>
      <c r="L623" s="2543">
        <v>1361018411</v>
      </c>
    </row>
    <row r="624" spans="1:12">
      <c r="A624" s="114" t="s">
        <v>96</v>
      </c>
      <c r="B624" s="2540" t="s">
        <v>600</v>
      </c>
      <c r="C624" s="2543">
        <v>3406775140</v>
      </c>
      <c r="D624" s="2543">
        <v>3361323972</v>
      </c>
      <c r="E624" s="2543">
        <v>3346054344</v>
      </c>
      <c r="F624" s="2543">
        <v>3300603176</v>
      </c>
      <c r="G624" s="2541">
        <v>3262143420</v>
      </c>
      <c r="H624" s="2541">
        <v>3203318016</v>
      </c>
      <c r="I624" s="2541">
        <v>3406775140</v>
      </c>
      <c r="J624" s="2545">
        <v>3361323972</v>
      </c>
      <c r="K624" s="2543">
        <v>3346054344</v>
      </c>
      <c r="L624" s="2543">
        <v>3300603176</v>
      </c>
    </row>
    <row r="625" spans="1:12">
      <c r="A625" s="114" t="s">
        <v>2607</v>
      </c>
      <c r="B625" s="2540" t="s">
        <v>640</v>
      </c>
      <c r="C625" s="2543">
        <v>10366736534</v>
      </c>
      <c r="D625" s="2543">
        <v>10067030736</v>
      </c>
      <c r="E625" s="2543">
        <v>10366736534</v>
      </c>
      <c r="F625" s="2543">
        <v>10067030736</v>
      </c>
      <c r="G625" s="2541">
        <v>9758633965</v>
      </c>
      <c r="H625" s="2541">
        <v>9758633965</v>
      </c>
      <c r="I625" s="2541">
        <v>10366736534</v>
      </c>
      <c r="J625" s="2545">
        <v>10067030736</v>
      </c>
      <c r="K625" s="2543">
        <v>10366736534</v>
      </c>
      <c r="L625" s="2543">
        <v>10067030736</v>
      </c>
    </row>
    <row r="626" spans="1:12">
      <c r="A626" s="114" t="s">
        <v>2764</v>
      </c>
      <c r="B626" s="2540" t="s">
        <v>601</v>
      </c>
      <c r="C626" s="2543">
        <v>200225163</v>
      </c>
      <c r="D626" s="2543">
        <v>195187128</v>
      </c>
      <c r="E626" s="2543">
        <v>200225163</v>
      </c>
      <c r="F626" s="2543">
        <v>195187128</v>
      </c>
      <c r="G626" s="2541">
        <v>226930995</v>
      </c>
      <c r="H626" s="2541">
        <v>226930995</v>
      </c>
      <c r="I626" s="2541">
        <v>200225163</v>
      </c>
      <c r="J626" s="2545">
        <v>195187128</v>
      </c>
      <c r="K626" s="2543">
        <v>200225163</v>
      </c>
      <c r="L626" s="2543">
        <v>195187128</v>
      </c>
    </row>
    <row r="627" spans="1:12">
      <c r="A627" s="114" t="s">
        <v>2765</v>
      </c>
      <c r="B627" s="2540" t="s">
        <v>602</v>
      </c>
      <c r="C627" s="2543">
        <v>381373617</v>
      </c>
      <c r="D627" s="2543">
        <v>366511074</v>
      </c>
      <c r="E627" s="2543">
        <v>381373617</v>
      </c>
      <c r="F627" s="2543">
        <v>366511074</v>
      </c>
      <c r="G627" s="2541">
        <v>370116390</v>
      </c>
      <c r="H627" s="2541">
        <v>370116390</v>
      </c>
      <c r="I627" s="2541">
        <v>381373617</v>
      </c>
      <c r="J627" s="2545">
        <v>366511074</v>
      </c>
      <c r="K627" s="2543">
        <v>381373617</v>
      </c>
      <c r="L627" s="2543">
        <v>366511074</v>
      </c>
    </row>
    <row r="628" spans="1:12">
      <c r="A628" s="114" t="s">
        <v>2414</v>
      </c>
      <c r="B628" s="2540" t="s">
        <v>641</v>
      </c>
      <c r="C628" s="2543">
        <v>2616539020</v>
      </c>
      <c r="D628" s="2543">
        <v>2551915121</v>
      </c>
      <c r="E628" s="2543">
        <v>2616539020</v>
      </c>
      <c r="F628" s="2543">
        <v>2551915121</v>
      </c>
      <c r="G628" s="2541">
        <v>2076488731</v>
      </c>
      <c r="H628" s="2541">
        <v>2076488731</v>
      </c>
      <c r="I628" s="2541">
        <v>2616539020</v>
      </c>
      <c r="J628" s="2545">
        <v>2551915121</v>
      </c>
      <c r="K628" s="2543">
        <v>2616539020</v>
      </c>
      <c r="L628" s="2543">
        <v>2551915121</v>
      </c>
    </row>
    <row r="629" spans="1:12">
      <c r="A629" s="114" t="s">
        <v>1603</v>
      </c>
      <c r="B629" s="2540" t="s">
        <v>2627</v>
      </c>
      <c r="C629" s="2543">
        <v>3594873976</v>
      </c>
      <c r="D629" s="2543">
        <v>3509643156</v>
      </c>
      <c r="E629" s="2543">
        <v>3594873976</v>
      </c>
      <c r="F629" s="2543">
        <v>3509643156</v>
      </c>
      <c r="G629" s="2541">
        <v>3016055705</v>
      </c>
      <c r="H629" s="2541">
        <v>3016055705</v>
      </c>
      <c r="I629" s="2541">
        <v>3594873976</v>
      </c>
      <c r="J629" s="2545">
        <v>3509643156</v>
      </c>
      <c r="K629" s="2543">
        <v>3594873976</v>
      </c>
      <c r="L629" s="2543">
        <v>3509643156</v>
      </c>
    </row>
    <row r="630" spans="1:12">
      <c r="A630" s="114" t="s">
        <v>2766</v>
      </c>
      <c r="B630" s="2540" t="s">
        <v>603</v>
      </c>
      <c r="C630" s="2543">
        <v>204539347</v>
      </c>
      <c r="D630" s="2543">
        <v>197129233</v>
      </c>
      <c r="E630" s="2543">
        <v>204539347</v>
      </c>
      <c r="F630" s="2543">
        <v>197129233</v>
      </c>
      <c r="G630" s="2541">
        <v>292682279</v>
      </c>
      <c r="H630" s="2541">
        <v>292682279</v>
      </c>
      <c r="I630" s="2541">
        <v>204539347</v>
      </c>
      <c r="J630" s="2545">
        <v>197129233</v>
      </c>
      <c r="K630" s="2543">
        <v>204539347</v>
      </c>
      <c r="L630" s="2543">
        <v>197129233</v>
      </c>
    </row>
    <row r="631" spans="1:12">
      <c r="A631" s="114" t="s">
        <v>538</v>
      </c>
      <c r="B631" s="2540" t="s">
        <v>1417</v>
      </c>
      <c r="C631" s="2543">
        <v>270894204</v>
      </c>
      <c r="D631" s="2543">
        <v>261522046</v>
      </c>
      <c r="E631" s="2543">
        <v>270894204</v>
      </c>
      <c r="F631" s="2543">
        <v>261522046</v>
      </c>
      <c r="G631" s="2541">
        <v>301928890</v>
      </c>
      <c r="H631" s="2541">
        <v>301928890</v>
      </c>
      <c r="I631" s="2541">
        <v>270894204</v>
      </c>
      <c r="J631" s="2545">
        <v>261522046</v>
      </c>
      <c r="K631" s="2543">
        <v>270894204</v>
      </c>
      <c r="L631" s="2543">
        <v>261522046</v>
      </c>
    </row>
    <row r="632" spans="1:12">
      <c r="A632" s="114" t="s">
        <v>775</v>
      </c>
      <c r="B632" s="2540" t="s">
        <v>604</v>
      </c>
      <c r="C632" s="2543">
        <v>236870778</v>
      </c>
      <c r="D632" s="2543">
        <v>228868641</v>
      </c>
      <c r="E632" s="2543">
        <v>236870778</v>
      </c>
      <c r="F632" s="2543">
        <v>228868641</v>
      </c>
      <c r="G632" s="2541">
        <v>243468515</v>
      </c>
      <c r="H632" s="2541">
        <v>243468515</v>
      </c>
      <c r="I632" s="2541">
        <v>236870778</v>
      </c>
      <c r="J632" s="2545">
        <v>228868641</v>
      </c>
      <c r="K632" s="2543">
        <v>236870778</v>
      </c>
      <c r="L632" s="2543">
        <v>228868641</v>
      </c>
    </row>
    <row r="633" spans="1:12">
      <c r="A633" s="114" t="s">
        <v>2679</v>
      </c>
      <c r="B633" s="2540" t="s">
        <v>605</v>
      </c>
      <c r="C633" s="2543">
        <v>93535173</v>
      </c>
      <c r="D633" s="2543">
        <v>91498353</v>
      </c>
      <c r="E633" s="2543">
        <v>93535173</v>
      </c>
      <c r="F633" s="2543">
        <v>91498353</v>
      </c>
      <c r="G633" s="2541">
        <v>152648182</v>
      </c>
      <c r="H633" s="2541">
        <v>152648182</v>
      </c>
      <c r="I633" s="2541">
        <v>342828473</v>
      </c>
      <c r="J633" s="2545">
        <v>340791653</v>
      </c>
      <c r="K633" s="2543">
        <v>342828473</v>
      </c>
      <c r="L633" s="2543">
        <v>340791653</v>
      </c>
    </row>
    <row r="634" spans="1:12">
      <c r="A634" s="114" t="s">
        <v>2680</v>
      </c>
      <c r="B634" s="2540" t="s">
        <v>606</v>
      </c>
      <c r="C634" s="2543">
        <v>121278409</v>
      </c>
      <c r="D634" s="2543">
        <v>115872359</v>
      </c>
      <c r="E634" s="2543">
        <v>121278409</v>
      </c>
      <c r="F634" s="2543">
        <v>115872359</v>
      </c>
      <c r="G634" s="2541">
        <v>119712674</v>
      </c>
      <c r="H634" s="2541">
        <v>119712674</v>
      </c>
      <c r="I634" s="2541">
        <v>121278409</v>
      </c>
      <c r="J634" s="2545">
        <v>115872359</v>
      </c>
      <c r="K634" s="2543">
        <v>121278409</v>
      </c>
      <c r="L634" s="2543">
        <v>115872359</v>
      </c>
    </row>
    <row r="635" spans="1:12">
      <c r="A635" s="114" t="s">
        <v>2681</v>
      </c>
      <c r="B635" s="2540" t="s">
        <v>607</v>
      </c>
      <c r="C635" s="2543">
        <v>68047247</v>
      </c>
      <c r="D635" s="2543">
        <v>66062377</v>
      </c>
      <c r="E635" s="2543">
        <v>68047247</v>
      </c>
      <c r="F635" s="2543">
        <v>66062377</v>
      </c>
      <c r="G635" s="2541">
        <v>60682283</v>
      </c>
      <c r="H635" s="2541">
        <v>60682283</v>
      </c>
      <c r="I635" s="2541">
        <v>68047247</v>
      </c>
      <c r="J635" s="2545">
        <v>66062377</v>
      </c>
      <c r="K635" s="2543">
        <v>68047247</v>
      </c>
      <c r="L635" s="2543">
        <v>66062377</v>
      </c>
    </row>
    <row r="636" spans="1:12">
      <c r="A636" s="114" t="s">
        <v>1651</v>
      </c>
      <c r="B636" s="2540" t="s">
        <v>608</v>
      </c>
      <c r="C636" s="2543">
        <v>44511423</v>
      </c>
      <c r="D636" s="2543">
        <v>43023333</v>
      </c>
      <c r="E636" s="2543">
        <v>44511423</v>
      </c>
      <c r="F636" s="2543">
        <v>43023333</v>
      </c>
      <c r="G636" s="2541">
        <v>53397768</v>
      </c>
      <c r="H636" s="2541">
        <v>53397768</v>
      </c>
      <c r="I636" s="2541">
        <v>44511423</v>
      </c>
      <c r="J636" s="2545">
        <v>43023333</v>
      </c>
      <c r="K636" s="2543">
        <v>44511423</v>
      </c>
      <c r="L636" s="2543">
        <v>43023333</v>
      </c>
    </row>
    <row r="637" spans="1:12">
      <c r="A637" s="114" t="s">
        <v>2389</v>
      </c>
      <c r="B637" s="2540" t="s">
        <v>44</v>
      </c>
      <c r="C637" s="2543">
        <v>799199471</v>
      </c>
      <c r="D637" s="2543">
        <v>779088775</v>
      </c>
      <c r="E637" s="2543">
        <v>799199471</v>
      </c>
      <c r="F637" s="2543">
        <v>779088775</v>
      </c>
      <c r="G637" s="2541">
        <v>851664215</v>
      </c>
      <c r="H637" s="2541">
        <v>851664215</v>
      </c>
      <c r="I637" s="2541">
        <v>799199471</v>
      </c>
      <c r="J637" s="2545">
        <v>779088775</v>
      </c>
      <c r="K637" s="2543">
        <v>799199471</v>
      </c>
      <c r="L637" s="2543">
        <v>779088775</v>
      </c>
    </row>
    <row r="638" spans="1:12">
      <c r="A638" s="114" t="s">
        <v>1652</v>
      </c>
      <c r="B638" s="2540" t="s">
        <v>609</v>
      </c>
      <c r="C638" s="2543">
        <v>228239399</v>
      </c>
      <c r="D638" s="2543">
        <v>224625164</v>
      </c>
      <c r="E638" s="2543">
        <v>228239399</v>
      </c>
      <c r="F638" s="2543">
        <v>224625164</v>
      </c>
      <c r="G638" s="2541">
        <v>417709788</v>
      </c>
      <c r="H638" s="2541">
        <v>417709788</v>
      </c>
      <c r="I638" s="2541">
        <v>228239399</v>
      </c>
      <c r="J638" s="2545">
        <v>224625164</v>
      </c>
      <c r="K638" s="2543">
        <v>228239399</v>
      </c>
      <c r="L638" s="2543">
        <v>224625164</v>
      </c>
    </row>
    <row r="639" spans="1:12">
      <c r="A639" s="114" t="s">
        <v>418</v>
      </c>
      <c r="B639" s="2540" t="s">
        <v>610</v>
      </c>
      <c r="C639" s="2543">
        <v>634885944</v>
      </c>
      <c r="D639" s="2543">
        <v>612467594</v>
      </c>
      <c r="E639" s="2543">
        <v>624598159</v>
      </c>
      <c r="F639" s="2543">
        <v>602179809</v>
      </c>
      <c r="G639" s="2541">
        <v>641758606</v>
      </c>
      <c r="H639" s="2541">
        <v>630152746</v>
      </c>
      <c r="I639" s="2541">
        <v>634885944</v>
      </c>
      <c r="J639" s="2545">
        <v>612467594</v>
      </c>
      <c r="K639" s="2543">
        <v>624598159</v>
      </c>
      <c r="L639" s="2543">
        <v>602179809</v>
      </c>
    </row>
    <row r="640" spans="1:12">
      <c r="A640" s="114" t="s">
        <v>419</v>
      </c>
      <c r="B640" s="2540" t="s">
        <v>611</v>
      </c>
      <c r="C640" s="2543">
        <v>1856294355</v>
      </c>
      <c r="D640" s="2543">
        <v>1847847637</v>
      </c>
      <c r="E640" s="2543">
        <v>1850962434</v>
      </c>
      <c r="F640" s="2543">
        <v>1842515716</v>
      </c>
      <c r="G640" s="2541">
        <v>2544764907</v>
      </c>
      <c r="H640" s="2541">
        <v>2539617600</v>
      </c>
      <c r="I640" s="2541">
        <v>1930865635</v>
      </c>
      <c r="J640" s="2545">
        <v>1922418917</v>
      </c>
      <c r="K640" s="2543">
        <v>1925533714</v>
      </c>
      <c r="L640" s="2543">
        <v>1917086996</v>
      </c>
    </row>
    <row r="641" spans="1:12">
      <c r="A641" s="114" t="s">
        <v>420</v>
      </c>
      <c r="B641" s="2540" t="s">
        <v>612</v>
      </c>
      <c r="C641" s="2543">
        <v>1485436611</v>
      </c>
      <c r="D641" s="2543">
        <v>1484281791</v>
      </c>
      <c r="E641" s="2543">
        <v>1484264656</v>
      </c>
      <c r="F641" s="2543">
        <v>1483109836</v>
      </c>
      <c r="G641" s="2541">
        <v>2269729441</v>
      </c>
      <c r="H641" s="2541">
        <v>2268469873</v>
      </c>
      <c r="I641" s="2541">
        <v>1490735121</v>
      </c>
      <c r="J641" s="2545">
        <v>1489580301</v>
      </c>
      <c r="K641" s="2543">
        <v>1489563166</v>
      </c>
      <c r="L641" s="2543">
        <v>1488408346</v>
      </c>
    </row>
    <row r="642" spans="1:12">
      <c r="A642" s="114" t="s">
        <v>1856</v>
      </c>
      <c r="B642" s="2540" t="s">
        <v>613</v>
      </c>
      <c r="C642" s="2543">
        <v>346740004</v>
      </c>
      <c r="D642" s="2543">
        <v>335565514</v>
      </c>
      <c r="E642" s="2543">
        <v>346740004</v>
      </c>
      <c r="F642" s="2543">
        <v>335565514</v>
      </c>
      <c r="G642" s="2541">
        <v>335280772</v>
      </c>
      <c r="H642" s="2541">
        <v>335280772</v>
      </c>
      <c r="I642" s="2541">
        <v>346740004</v>
      </c>
      <c r="J642" s="2545">
        <v>335565514</v>
      </c>
      <c r="K642" s="2543">
        <v>346740004</v>
      </c>
      <c r="L642" s="2543">
        <v>335565514</v>
      </c>
    </row>
    <row r="643" spans="1:12">
      <c r="A643" s="114" t="s">
        <v>1857</v>
      </c>
      <c r="B643" s="2540" t="s">
        <v>614</v>
      </c>
      <c r="C643" s="2543">
        <v>1163056645</v>
      </c>
      <c r="D643" s="2543">
        <v>1128784998</v>
      </c>
      <c r="E643" s="2543">
        <v>1163056645</v>
      </c>
      <c r="F643" s="2543">
        <v>1128784998</v>
      </c>
      <c r="G643" s="2541">
        <v>1123769062</v>
      </c>
      <c r="H643" s="2541">
        <v>1123769062</v>
      </c>
      <c r="I643" s="2541">
        <v>1163056645</v>
      </c>
      <c r="J643" s="2545">
        <v>1128784998</v>
      </c>
      <c r="K643" s="2543">
        <v>1163056645</v>
      </c>
      <c r="L643" s="2543">
        <v>1128784998</v>
      </c>
    </row>
    <row r="644" spans="1:12">
      <c r="A644" s="114" t="s">
        <v>201</v>
      </c>
      <c r="B644" s="2540" t="s">
        <v>1964</v>
      </c>
      <c r="C644" s="2543">
        <v>1061216577</v>
      </c>
      <c r="D644" s="2543">
        <v>1053085377</v>
      </c>
      <c r="E644" s="2543">
        <v>1052338420</v>
      </c>
      <c r="F644" s="2543">
        <v>1044207220</v>
      </c>
      <c r="G644" s="2541">
        <v>1165285082</v>
      </c>
      <c r="H644" s="2541">
        <v>1157002619</v>
      </c>
      <c r="I644" s="2541">
        <v>1061216577</v>
      </c>
      <c r="J644" s="2545">
        <v>1053085377</v>
      </c>
      <c r="K644" s="2543">
        <v>1052338420</v>
      </c>
      <c r="L644" s="2543">
        <v>1044207220</v>
      </c>
    </row>
    <row r="645" spans="1:12">
      <c r="A645" s="114" t="s">
        <v>2438</v>
      </c>
      <c r="B645" s="2540" t="s">
        <v>1965</v>
      </c>
      <c r="C645" s="2543">
        <v>276379514</v>
      </c>
      <c r="D645" s="2543">
        <v>273608286</v>
      </c>
      <c r="E645" s="2543">
        <v>271088497</v>
      </c>
      <c r="F645" s="2543">
        <v>268317269</v>
      </c>
      <c r="G645" s="2541">
        <v>269746765</v>
      </c>
      <c r="H645" s="2541">
        <v>264264146</v>
      </c>
      <c r="I645" s="2541">
        <v>276379514</v>
      </c>
      <c r="J645" s="2545">
        <v>273608286</v>
      </c>
      <c r="K645" s="2543">
        <v>271088497</v>
      </c>
      <c r="L645" s="2543">
        <v>268317269</v>
      </c>
    </row>
    <row r="646" spans="1:12">
      <c r="A646" s="114" t="s">
        <v>2439</v>
      </c>
      <c r="B646" s="2540" t="s">
        <v>1966</v>
      </c>
      <c r="C646" s="2543">
        <v>1291554237</v>
      </c>
      <c r="D646" s="2543">
        <v>1278060935</v>
      </c>
      <c r="E646" s="2543">
        <v>1275599403</v>
      </c>
      <c r="F646" s="2543">
        <v>1262106101</v>
      </c>
      <c r="G646" s="2541">
        <v>1264363367</v>
      </c>
      <c r="H646" s="2541">
        <v>1249435170</v>
      </c>
      <c r="I646" s="2541">
        <v>1291554237</v>
      </c>
      <c r="J646" s="2545">
        <v>1278060935</v>
      </c>
      <c r="K646" s="2543">
        <v>1275599403</v>
      </c>
      <c r="L646" s="2543">
        <v>1262106101</v>
      </c>
    </row>
    <row r="647" spans="1:12">
      <c r="A647" s="114" t="s">
        <v>2440</v>
      </c>
      <c r="B647" s="2540" t="s">
        <v>1967</v>
      </c>
      <c r="C647" s="2543">
        <v>955009262</v>
      </c>
      <c r="D647" s="2543">
        <v>942232329</v>
      </c>
      <c r="E647" s="2543">
        <v>937831373</v>
      </c>
      <c r="F647" s="2543">
        <v>925054440</v>
      </c>
      <c r="G647" s="2541">
        <v>639326329</v>
      </c>
      <c r="H647" s="2541">
        <v>623067354</v>
      </c>
      <c r="I647" s="2541">
        <v>955009262</v>
      </c>
      <c r="J647" s="2545">
        <v>942232329</v>
      </c>
      <c r="K647" s="2543">
        <v>937831373</v>
      </c>
      <c r="L647" s="2543">
        <v>925054440</v>
      </c>
    </row>
    <row r="648" spans="1:12">
      <c r="A648" s="114" t="s">
        <v>2057</v>
      </c>
      <c r="B648" s="2540" t="s">
        <v>1213</v>
      </c>
      <c r="C648" s="2543">
        <v>2304642728</v>
      </c>
      <c r="D648" s="2543">
        <v>2224390806</v>
      </c>
      <c r="E648" s="2543">
        <v>2304642728</v>
      </c>
      <c r="F648" s="2543">
        <v>2224390806</v>
      </c>
      <c r="G648" s="2541">
        <v>2167347779</v>
      </c>
      <c r="H648" s="2541">
        <v>2167347779</v>
      </c>
      <c r="I648" s="2541">
        <v>2304642728</v>
      </c>
      <c r="J648" s="2545">
        <v>2224390806</v>
      </c>
      <c r="K648" s="2543">
        <v>2304642728</v>
      </c>
      <c r="L648" s="2543">
        <v>2224390806</v>
      </c>
    </row>
    <row r="649" spans="1:12">
      <c r="A649" s="114" t="s">
        <v>992</v>
      </c>
      <c r="B649" s="2540" t="s">
        <v>2120</v>
      </c>
      <c r="C649" s="2543">
        <v>456464608</v>
      </c>
      <c r="D649" s="2543">
        <v>441886498</v>
      </c>
      <c r="E649" s="2543">
        <v>456464608</v>
      </c>
      <c r="F649" s="2543">
        <v>441886498</v>
      </c>
      <c r="G649" s="2541">
        <v>476673779</v>
      </c>
      <c r="H649" s="2541">
        <v>476673779</v>
      </c>
      <c r="I649" s="2541">
        <v>456464608</v>
      </c>
      <c r="J649" s="2545">
        <v>441886498</v>
      </c>
      <c r="K649" s="2543">
        <v>456464608</v>
      </c>
      <c r="L649" s="2543">
        <v>441886498</v>
      </c>
    </row>
    <row r="650" spans="1:12">
      <c r="A650" s="114" t="s">
        <v>1583</v>
      </c>
      <c r="B650" s="2540" t="s">
        <v>1968</v>
      </c>
      <c r="C650" s="2543">
        <v>64374078</v>
      </c>
      <c r="D650" s="2543">
        <v>62027268</v>
      </c>
      <c r="E650" s="2543">
        <v>64374078</v>
      </c>
      <c r="F650" s="2543">
        <v>62027268</v>
      </c>
      <c r="G650" s="2541">
        <v>55518786</v>
      </c>
      <c r="H650" s="2541">
        <v>55518786</v>
      </c>
      <c r="I650" s="2541">
        <v>64374078</v>
      </c>
      <c r="J650" s="2545">
        <v>62027268</v>
      </c>
      <c r="K650" s="2543">
        <v>64374078</v>
      </c>
      <c r="L650" s="2543">
        <v>62027268</v>
      </c>
    </row>
    <row r="651" spans="1:12">
      <c r="A651" s="114" t="s">
        <v>2265</v>
      </c>
      <c r="B651" s="2540" t="s">
        <v>2547</v>
      </c>
      <c r="C651" s="2543">
        <v>27936004</v>
      </c>
      <c r="D651" s="2543">
        <v>27295394</v>
      </c>
      <c r="E651" s="2543">
        <v>27936004</v>
      </c>
      <c r="F651" s="2543">
        <v>27295394</v>
      </c>
      <c r="G651" s="2541">
        <v>23465993</v>
      </c>
      <c r="H651" s="2541">
        <v>23465993</v>
      </c>
      <c r="I651" s="2541">
        <v>27936004</v>
      </c>
      <c r="J651" s="2545">
        <v>27295394</v>
      </c>
      <c r="K651" s="2543">
        <v>27936004</v>
      </c>
      <c r="L651" s="2543">
        <v>27295394</v>
      </c>
    </row>
    <row r="652" spans="1:12">
      <c r="A652" s="114" t="s">
        <v>1094</v>
      </c>
      <c r="B652" s="2540" t="s">
        <v>457</v>
      </c>
      <c r="C652" s="2543">
        <v>173674537</v>
      </c>
      <c r="D652" s="2543">
        <v>166673001</v>
      </c>
      <c r="E652" s="2543">
        <v>173674537</v>
      </c>
      <c r="F652" s="2543">
        <v>166673001</v>
      </c>
      <c r="G652" s="2541">
        <v>158209784</v>
      </c>
      <c r="H652" s="2541">
        <v>158209784</v>
      </c>
      <c r="I652" s="2541">
        <v>173674537</v>
      </c>
      <c r="J652" s="2545">
        <v>166673001</v>
      </c>
      <c r="K652" s="2543">
        <v>173674537</v>
      </c>
      <c r="L652" s="2543">
        <v>166673001</v>
      </c>
    </row>
    <row r="653" spans="1:12">
      <c r="A653" s="114" t="s">
        <v>1012</v>
      </c>
      <c r="B653" s="2540" t="s">
        <v>2195</v>
      </c>
      <c r="C653" s="2543">
        <v>4657525398</v>
      </c>
      <c r="D653" s="2543">
        <v>4550078802</v>
      </c>
      <c r="E653" s="2543">
        <v>4657525398</v>
      </c>
      <c r="F653" s="2543">
        <v>4550078802</v>
      </c>
      <c r="G653" s="2541">
        <v>4296780817</v>
      </c>
      <c r="H653" s="2541">
        <v>4296780817</v>
      </c>
      <c r="I653" s="2541">
        <v>4657525398</v>
      </c>
      <c r="J653" s="2545">
        <v>4550078802</v>
      </c>
      <c r="K653" s="2543">
        <v>4657525398</v>
      </c>
      <c r="L653" s="2543">
        <v>4550078802</v>
      </c>
    </row>
    <row r="654" spans="1:12">
      <c r="A654" s="114" t="s">
        <v>800</v>
      </c>
      <c r="B654" s="2540" t="s">
        <v>2172</v>
      </c>
      <c r="C654" s="2543">
        <v>759088261</v>
      </c>
      <c r="D654" s="2543">
        <v>738330984</v>
      </c>
      <c r="E654" s="2543">
        <v>759088261</v>
      </c>
      <c r="F654" s="2543">
        <v>738330984</v>
      </c>
      <c r="G654" s="2541">
        <v>689732178</v>
      </c>
      <c r="H654" s="2541">
        <v>689732178</v>
      </c>
      <c r="I654" s="2541">
        <v>759088261</v>
      </c>
      <c r="J654" s="2545">
        <v>738330984</v>
      </c>
      <c r="K654" s="2543">
        <v>759088261</v>
      </c>
      <c r="L654" s="2543">
        <v>738330984</v>
      </c>
    </row>
    <row r="655" spans="1:12">
      <c r="A655" s="114" t="s">
        <v>1095</v>
      </c>
      <c r="B655" s="2540" t="s">
        <v>1426</v>
      </c>
      <c r="C655" s="2543">
        <v>464701076</v>
      </c>
      <c r="D655" s="2543">
        <v>444358579</v>
      </c>
      <c r="E655" s="2543">
        <v>464701076</v>
      </c>
      <c r="F655" s="2543">
        <v>444358579</v>
      </c>
      <c r="G655" s="2541">
        <v>434758229</v>
      </c>
      <c r="H655" s="2541">
        <v>434758229</v>
      </c>
      <c r="I655" s="2541">
        <v>464701076</v>
      </c>
      <c r="J655" s="2545">
        <v>444358579</v>
      </c>
      <c r="K655" s="2543">
        <v>464701076</v>
      </c>
      <c r="L655" s="2543">
        <v>444358579</v>
      </c>
    </row>
    <row r="656" spans="1:12">
      <c r="A656" s="114" t="s">
        <v>2096</v>
      </c>
      <c r="B656" s="2540" t="s">
        <v>2358</v>
      </c>
      <c r="C656" s="2543">
        <v>137035427</v>
      </c>
      <c r="D656" s="2543">
        <v>130863807</v>
      </c>
      <c r="E656" s="2543">
        <v>137035427</v>
      </c>
      <c r="F656" s="2543">
        <v>130863807</v>
      </c>
      <c r="G656" s="2541">
        <v>111147386</v>
      </c>
      <c r="H656" s="2541">
        <v>111147386</v>
      </c>
      <c r="I656" s="2541">
        <v>137035427</v>
      </c>
      <c r="J656" s="2545">
        <v>130863807</v>
      </c>
      <c r="K656" s="2543">
        <v>137035427</v>
      </c>
      <c r="L656" s="2543">
        <v>130863807</v>
      </c>
    </row>
    <row r="657" spans="1:12">
      <c r="A657" s="114" t="s">
        <v>1735</v>
      </c>
      <c r="B657" s="2540" t="s">
        <v>927</v>
      </c>
      <c r="C657" s="2543">
        <v>394551138</v>
      </c>
      <c r="D657" s="2543">
        <v>382266745</v>
      </c>
      <c r="E657" s="2543">
        <v>394551138</v>
      </c>
      <c r="F657" s="2543">
        <v>382266745</v>
      </c>
      <c r="G657" s="2541">
        <v>329671086</v>
      </c>
      <c r="H657" s="2541">
        <v>329671086</v>
      </c>
      <c r="I657" s="2541">
        <v>394551138</v>
      </c>
      <c r="J657" s="2545">
        <v>382266745</v>
      </c>
      <c r="K657" s="2543">
        <v>394551138</v>
      </c>
      <c r="L657" s="2543">
        <v>382266745</v>
      </c>
    </row>
    <row r="658" spans="1:12">
      <c r="A658" s="114" t="s">
        <v>134</v>
      </c>
      <c r="B658" s="2540" t="s">
        <v>1969</v>
      </c>
      <c r="C658" s="2543">
        <v>180206407</v>
      </c>
      <c r="D658" s="2543">
        <v>170666870</v>
      </c>
      <c r="E658" s="2543">
        <v>180206407</v>
      </c>
      <c r="F658" s="2543">
        <v>170666870</v>
      </c>
      <c r="G658" s="2541">
        <v>156597600</v>
      </c>
      <c r="H658" s="2541">
        <v>156597600</v>
      </c>
      <c r="I658" s="2541">
        <v>180206407</v>
      </c>
      <c r="J658" s="2545">
        <v>170666870</v>
      </c>
      <c r="K658" s="2543">
        <v>180206407</v>
      </c>
      <c r="L658" s="2543">
        <v>170666870</v>
      </c>
    </row>
    <row r="659" spans="1:12">
      <c r="A659" s="114" t="s">
        <v>2384</v>
      </c>
      <c r="B659" s="2540" t="s">
        <v>1958</v>
      </c>
      <c r="C659" s="2543">
        <v>714386987</v>
      </c>
      <c r="D659" s="2543">
        <v>709081700</v>
      </c>
      <c r="E659" s="2543">
        <v>711571417</v>
      </c>
      <c r="F659" s="2543">
        <v>706266130</v>
      </c>
      <c r="G659" s="2541">
        <v>742950983</v>
      </c>
      <c r="H659" s="2541">
        <v>740149867</v>
      </c>
      <c r="I659" s="2541">
        <v>714386987</v>
      </c>
      <c r="J659" s="2545">
        <v>709081700</v>
      </c>
      <c r="K659" s="2543">
        <v>711571417</v>
      </c>
      <c r="L659" s="2543">
        <v>706266130</v>
      </c>
    </row>
    <row r="660" spans="1:12">
      <c r="A660" s="114" t="s">
        <v>373</v>
      </c>
      <c r="B660" s="2540" t="s">
        <v>157</v>
      </c>
      <c r="C660" s="2543">
        <v>4845162967</v>
      </c>
      <c r="D660" s="2543">
        <v>4703592263</v>
      </c>
      <c r="E660" s="2543">
        <v>4845162967</v>
      </c>
      <c r="F660" s="2543">
        <v>4703592263</v>
      </c>
      <c r="G660" s="2541">
        <v>4241317359</v>
      </c>
      <c r="H660" s="2541">
        <v>4241317359</v>
      </c>
      <c r="I660" s="2541">
        <v>4845162967</v>
      </c>
      <c r="J660" s="2545">
        <v>4703592263</v>
      </c>
      <c r="K660" s="2543">
        <v>4845162967</v>
      </c>
      <c r="L660" s="2543">
        <v>4703592263</v>
      </c>
    </row>
    <row r="661" spans="1:12">
      <c r="A661" s="114" t="s">
        <v>376</v>
      </c>
      <c r="B661" s="2540" t="s">
        <v>1610</v>
      </c>
      <c r="C661" s="2543">
        <v>418299049</v>
      </c>
      <c r="D661" s="2543">
        <v>398728061</v>
      </c>
      <c r="E661" s="2543">
        <v>418299049</v>
      </c>
      <c r="F661" s="2543">
        <v>398728061</v>
      </c>
      <c r="G661" s="2541">
        <v>369842600</v>
      </c>
      <c r="H661" s="2541">
        <v>369842600</v>
      </c>
      <c r="I661" s="2541">
        <v>418299049</v>
      </c>
      <c r="J661" s="2545">
        <v>398728061</v>
      </c>
      <c r="K661" s="2543">
        <v>418299049</v>
      </c>
      <c r="L661" s="2543">
        <v>398728061</v>
      </c>
    </row>
    <row r="662" spans="1:12">
      <c r="A662" s="114" t="s">
        <v>2819</v>
      </c>
      <c r="B662" s="2540" t="s">
        <v>1970</v>
      </c>
      <c r="C662" s="2543">
        <v>133061245</v>
      </c>
      <c r="D662" s="2543">
        <v>125370312</v>
      </c>
      <c r="E662" s="2543">
        <v>133061245</v>
      </c>
      <c r="F662" s="2543">
        <v>125370312</v>
      </c>
      <c r="G662" s="2541">
        <v>115465518</v>
      </c>
      <c r="H662" s="2541">
        <v>115465518</v>
      </c>
      <c r="I662" s="2541">
        <v>133061245</v>
      </c>
      <c r="J662" s="2545">
        <v>125370312</v>
      </c>
      <c r="K662" s="2543">
        <v>133061245</v>
      </c>
      <c r="L662" s="2543">
        <v>125370312</v>
      </c>
    </row>
    <row r="663" spans="1:12">
      <c r="A663" s="114" t="s">
        <v>2820</v>
      </c>
      <c r="B663" s="2540" t="s">
        <v>1971</v>
      </c>
      <c r="C663" s="2543">
        <v>170731594</v>
      </c>
      <c r="D663" s="2543">
        <v>161611348</v>
      </c>
      <c r="E663" s="2543">
        <v>170731594</v>
      </c>
      <c r="F663" s="2543">
        <v>161611348</v>
      </c>
      <c r="G663" s="2541">
        <v>160284389</v>
      </c>
      <c r="H663" s="2541">
        <v>160284389</v>
      </c>
      <c r="I663" s="2541">
        <v>170731594</v>
      </c>
      <c r="J663" s="2545">
        <v>161611348</v>
      </c>
      <c r="K663" s="2543">
        <v>170731594</v>
      </c>
      <c r="L663" s="2543">
        <v>161611348</v>
      </c>
    </row>
    <row r="664" spans="1:12">
      <c r="A664" s="114" t="s">
        <v>85</v>
      </c>
      <c r="B664" s="2540" t="s">
        <v>1325</v>
      </c>
      <c r="C664" s="2543">
        <v>753517255</v>
      </c>
      <c r="D664" s="2543">
        <v>722175605</v>
      </c>
      <c r="E664" s="2543">
        <v>753517255</v>
      </c>
      <c r="F664" s="2543">
        <v>722175605</v>
      </c>
      <c r="G664" s="2541">
        <v>639789366</v>
      </c>
      <c r="H664" s="2541">
        <v>639789366</v>
      </c>
      <c r="I664" s="2541">
        <v>753517255</v>
      </c>
      <c r="J664" s="2545">
        <v>722175605</v>
      </c>
      <c r="K664" s="2543">
        <v>753517255</v>
      </c>
      <c r="L664" s="2543">
        <v>722175605</v>
      </c>
    </row>
    <row r="665" spans="1:12">
      <c r="A665" s="114" t="s">
        <v>2638</v>
      </c>
      <c r="B665" s="2540" t="s">
        <v>1745</v>
      </c>
      <c r="C665" s="2543">
        <v>634658149</v>
      </c>
      <c r="D665" s="2543">
        <v>610270469</v>
      </c>
      <c r="E665" s="2543">
        <v>634658149</v>
      </c>
      <c r="F665" s="2543">
        <v>610270469</v>
      </c>
      <c r="G665" s="2541">
        <v>597344356</v>
      </c>
      <c r="H665" s="2541">
        <v>597344356</v>
      </c>
      <c r="I665" s="2541">
        <v>634658149</v>
      </c>
      <c r="J665" s="2545">
        <v>610270469</v>
      </c>
      <c r="K665" s="2543">
        <v>634658149</v>
      </c>
      <c r="L665" s="2543">
        <v>610270469</v>
      </c>
    </row>
    <row r="666" spans="1:12">
      <c r="A666" s="114" t="s">
        <v>190</v>
      </c>
      <c r="B666" s="2540" t="s">
        <v>3097</v>
      </c>
      <c r="C666" s="2543">
        <v>630934093</v>
      </c>
      <c r="D666" s="2543">
        <v>600531000</v>
      </c>
      <c r="E666" s="2543">
        <v>630934093</v>
      </c>
      <c r="F666" s="2543">
        <v>600531000</v>
      </c>
      <c r="G666" s="2541">
        <v>551989219</v>
      </c>
      <c r="H666" s="2541">
        <v>551989219</v>
      </c>
      <c r="I666" s="2541">
        <v>630934093</v>
      </c>
      <c r="J666" s="2545">
        <v>600531000</v>
      </c>
      <c r="K666" s="2543">
        <v>630934093</v>
      </c>
      <c r="L666" s="2543">
        <v>600531000</v>
      </c>
    </row>
    <row r="667" spans="1:12">
      <c r="A667" s="114" t="s">
        <v>991</v>
      </c>
      <c r="B667" s="2540" t="s">
        <v>1524</v>
      </c>
      <c r="C667" s="2543">
        <v>156219285</v>
      </c>
      <c r="D667" s="2543">
        <v>150643705</v>
      </c>
      <c r="E667" s="2543">
        <v>156219285</v>
      </c>
      <c r="F667" s="2543">
        <v>150643705</v>
      </c>
      <c r="G667" s="2541">
        <v>144615310</v>
      </c>
      <c r="H667" s="2541">
        <v>144615310</v>
      </c>
      <c r="I667" s="2541">
        <v>156219285</v>
      </c>
      <c r="J667" s="2545">
        <v>150643705</v>
      </c>
      <c r="K667" s="2543">
        <v>156219285</v>
      </c>
      <c r="L667" s="2543">
        <v>150643705</v>
      </c>
    </row>
    <row r="668" spans="1:12">
      <c r="A668" s="114" t="s">
        <v>2098</v>
      </c>
      <c r="B668" s="2540" t="s">
        <v>1972</v>
      </c>
      <c r="C668" s="2543">
        <v>69727716</v>
      </c>
      <c r="D668" s="2543">
        <v>66620537</v>
      </c>
      <c r="E668" s="2543">
        <v>69727716</v>
      </c>
      <c r="F668" s="2543">
        <v>66620537</v>
      </c>
      <c r="G668" s="2541">
        <v>60535471</v>
      </c>
      <c r="H668" s="2541">
        <v>60535471</v>
      </c>
      <c r="I668" s="2541">
        <v>69727716</v>
      </c>
      <c r="J668" s="2545">
        <v>66620537</v>
      </c>
      <c r="K668" s="2543">
        <v>69727716</v>
      </c>
      <c r="L668" s="2543">
        <v>66620537</v>
      </c>
    </row>
    <row r="669" spans="1:12">
      <c r="A669" s="114" t="s">
        <v>287</v>
      </c>
      <c r="B669" s="2540" t="s">
        <v>1973</v>
      </c>
      <c r="C669" s="2543">
        <v>46389323</v>
      </c>
      <c r="D669" s="2543">
        <v>43234030</v>
      </c>
      <c r="E669" s="2543">
        <v>46389323</v>
      </c>
      <c r="F669" s="2543">
        <v>43234030</v>
      </c>
      <c r="G669" s="2541">
        <v>37836006</v>
      </c>
      <c r="H669" s="2541">
        <v>37836006</v>
      </c>
      <c r="I669" s="2541">
        <v>46389323</v>
      </c>
      <c r="J669" s="2545">
        <v>43234030</v>
      </c>
      <c r="K669" s="2543">
        <v>46389323</v>
      </c>
      <c r="L669" s="2543">
        <v>43234030</v>
      </c>
    </row>
    <row r="670" spans="1:12">
      <c r="A670" s="114" t="s">
        <v>1782</v>
      </c>
      <c r="B670" s="2540" t="s">
        <v>1974</v>
      </c>
      <c r="C670" s="2543">
        <v>1794047216</v>
      </c>
      <c r="D670" s="2543">
        <v>1792533511</v>
      </c>
      <c r="E670" s="2543">
        <v>1792369807</v>
      </c>
      <c r="F670" s="2543">
        <v>1790856102</v>
      </c>
      <c r="G670" s="2541">
        <v>4129551126</v>
      </c>
      <c r="H670" s="2541">
        <v>4128380672</v>
      </c>
      <c r="I670" s="2541">
        <v>1794047216</v>
      </c>
      <c r="J670" s="2545">
        <v>1792533511</v>
      </c>
      <c r="K670" s="2543">
        <v>1792369807</v>
      </c>
      <c r="L670" s="2543">
        <v>1790856102</v>
      </c>
    </row>
    <row r="671" spans="1:12">
      <c r="A671" s="114" t="s">
        <v>1296</v>
      </c>
      <c r="B671" s="2540" t="s">
        <v>3066</v>
      </c>
      <c r="C671" s="2543">
        <v>439527393</v>
      </c>
      <c r="D671" s="2543">
        <v>420295488</v>
      </c>
      <c r="E671" s="2543">
        <v>439527393</v>
      </c>
      <c r="F671" s="2543">
        <v>420295488</v>
      </c>
      <c r="G671" s="2541">
        <v>377507198</v>
      </c>
      <c r="H671" s="2541">
        <v>377507198</v>
      </c>
      <c r="I671" s="2541">
        <v>439527393</v>
      </c>
      <c r="J671" s="2545">
        <v>420295488</v>
      </c>
      <c r="K671" s="2543">
        <v>439527393</v>
      </c>
      <c r="L671" s="2543">
        <v>420295488</v>
      </c>
    </row>
    <row r="672" spans="1:12">
      <c r="A672" s="114" t="s">
        <v>2266</v>
      </c>
      <c r="B672" s="2540" t="s">
        <v>2493</v>
      </c>
      <c r="C672" s="2543">
        <v>177918462</v>
      </c>
      <c r="D672" s="2543">
        <v>174776188</v>
      </c>
      <c r="E672" s="2543">
        <v>177918462</v>
      </c>
      <c r="F672" s="2543">
        <v>174776188</v>
      </c>
      <c r="G672" s="2541">
        <v>111944416</v>
      </c>
      <c r="H672" s="2541">
        <v>111944416</v>
      </c>
      <c r="I672" s="2541">
        <v>177918462</v>
      </c>
      <c r="J672" s="2545">
        <v>174776188</v>
      </c>
      <c r="K672" s="2543">
        <v>177918462</v>
      </c>
      <c r="L672" s="2543">
        <v>174776188</v>
      </c>
    </row>
    <row r="673" spans="1:12">
      <c r="A673" s="114" t="s">
        <v>1036</v>
      </c>
      <c r="B673" s="2540" t="s">
        <v>2563</v>
      </c>
      <c r="C673" s="2543">
        <v>197385630</v>
      </c>
      <c r="D673" s="2543">
        <v>186638386</v>
      </c>
      <c r="E673" s="2543">
        <v>197385630</v>
      </c>
      <c r="F673" s="2543">
        <v>186638386</v>
      </c>
      <c r="G673" s="2541">
        <v>171610114</v>
      </c>
      <c r="H673" s="2541">
        <v>171610114</v>
      </c>
      <c r="I673" s="2541">
        <v>197385630</v>
      </c>
      <c r="J673" s="2545">
        <v>186638386</v>
      </c>
      <c r="K673" s="2543">
        <v>197385630</v>
      </c>
      <c r="L673" s="2543">
        <v>186638386</v>
      </c>
    </row>
    <row r="674" spans="1:12">
      <c r="A674" s="114" t="s">
        <v>199</v>
      </c>
      <c r="B674" s="2540" t="s">
        <v>2729</v>
      </c>
      <c r="C674" s="2543">
        <v>650981658</v>
      </c>
      <c r="D674" s="2543">
        <v>629136489</v>
      </c>
      <c r="E674" s="2543">
        <v>650981658</v>
      </c>
      <c r="F674" s="2543">
        <v>629136489</v>
      </c>
      <c r="G674" s="2541">
        <v>579345789</v>
      </c>
      <c r="H674" s="2541">
        <v>579345789</v>
      </c>
      <c r="I674" s="2541">
        <v>650981658</v>
      </c>
      <c r="J674" s="2545">
        <v>629136489</v>
      </c>
      <c r="K674" s="2543">
        <v>650981658</v>
      </c>
      <c r="L674" s="2543">
        <v>629136489</v>
      </c>
    </row>
    <row r="675" spans="1:12">
      <c r="A675" s="114" t="s">
        <v>2896</v>
      </c>
      <c r="B675" s="2540" t="s">
        <v>931</v>
      </c>
      <c r="C675" s="2543">
        <v>1588613132</v>
      </c>
      <c r="D675" s="2543">
        <v>1537810428</v>
      </c>
      <c r="E675" s="2543">
        <v>1588613132</v>
      </c>
      <c r="F675" s="2543">
        <v>1537810428</v>
      </c>
      <c r="G675" s="2541">
        <v>1262456149</v>
      </c>
      <c r="H675" s="2541">
        <v>1262456149</v>
      </c>
      <c r="I675" s="2541">
        <v>1588613132</v>
      </c>
      <c r="J675" s="2545">
        <v>1537810428</v>
      </c>
      <c r="K675" s="2543">
        <v>1588613132</v>
      </c>
      <c r="L675" s="2543">
        <v>1537810428</v>
      </c>
    </row>
    <row r="676" spans="1:12">
      <c r="A676" s="114" t="s">
        <v>2978</v>
      </c>
      <c r="B676" s="2540" t="s">
        <v>1975</v>
      </c>
      <c r="C676" s="2543">
        <v>165130434</v>
      </c>
      <c r="D676" s="2543">
        <v>160464014</v>
      </c>
      <c r="E676" s="2543">
        <v>165130434</v>
      </c>
      <c r="F676" s="2543">
        <v>160464014</v>
      </c>
      <c r="G676" s="2541">
        <v>182854672</v>
      </c>
      <c r="H676" s="2541">
        <v>182854672</v>
      </c>
      <c r="I676" s="2541">
        <v>165130434</v>
      </c>
      <c r="J676" s="2545">
        <v>160464014</v>
      </c>
      <c r="K676" s="2543">
        <v>165130434</v>
      </c>
      <c r="L676" s="2543">
        <v>160464014</v>
      </c>
    </row>
    <row r="677" spans="1:12">
      <c r="A677" s="114" t="s">
        <v>2899</v>
      </c>
      <c r="B677" s="2540" t="s">
        <v>2555</v>
      </c>
      <c r="C677" s="2543">
        <v>19351729483</v>
      </c>
      <c r="D677" s="2543">
        <v>19080727368</v>
      </c>
      <c r="E677" s="2543">
        <v>19040988595</v>
      </c>
      <c r="F677" s="2543">
        <v>18769986480</v>
      </c>
      <c r="G677" s="2541">
        <v>20203357048</v>
      </c>
      <c r="H677" s="2541">
        <v>19933754367</v>
      </c>
      <c r="I677" s="2541">
        <v>19351729483</v>
      </c>
      <c r="J677" s="2545">
        <v>19080727368</v>
      </c>
      <c r="K677" s="2543">
        <v>19040988595</v>
      </c>
      <c r="L677" s="2543">
        <v>18769986480</v>
      </c>
    </row>
    <row r="678" spans="1:12">
      <c r="A678" s="114" t="s">
        <v>1475</v>
      </c>
      <c r="B678" s="2540" t="s">
        <v>1976</v>
      </c>
      <c r="C678" s="2543">
        <v>1305811565</v>
      </c>
      <c r="D678" s="2543">
        <v>1291375828</v>
      </c>
      <c r="E678" s="2543">
        <v>1269461480</v>
      </c>
      <c r="F678" s="2543">
        <v>1255025743</v>
      </c>
      <c r="G678" s="2541">
        <v>1390196399</v>
      </c>
      <c r="H678" s="2541">
        <v>1361790500</v>
      </c>
      <c r="I678" s="2541">
        <v>1305811565</v>
      </c>
      <c r="J678" s="2545">
        <v>1291375828</v>
      </c>
      <c r="K678" s="2543">
        <v>1269461480</v>
      </c>
      <c r="L678" s="2543">
        <v>1255025743</v>
      </c>
    </row>
    <row r="679" spans="1:12">
      <c r="A679" s="114" t="s">
        <v>2156</v>
      </c>
      <c r="B679" s="2540" t="s">
        <v>727</v>
      </c>
      <c r="C679" s="2543">
        <v>364804234</v>
      </c>
      <c r="D679" s="2543">
        <v>349691984</v>
      </c>
      <c r="E679" s="2543">
        <v>364804234</v>
      </c>
      <c r="F679" s="2543">
        <v>349691984</v>
      </c>
      <c r="G679" s="2541">
        <v>297983477</v>
      </c>
      <c r="H679" s="2541">
        <v>297983477</v>
      </c>
      <c r="I679" s="2541">
        <v>364804234</v>
      </c>
      <c r="J679" s="2545">
        <v>349691984</v>
      </c>
      <c r="K679" s="2543">
        <v>364804234</v>
      </c>
      <c r="L679" s="2543">
        <v>349691984</v>
      </c>
    </row>
    <row r="680" spans="1:12">
      <c r="A680" s="114" t="s">
        <v>1536</v>
      </c>
      <c r="B680" s="2540" t="s">
        <v>1977</v>
      </c>
      <c r="C680" s="2543">
        <v>70045706</v>
      </c>
      <c r="D680" s="2543">
        <v>67799565</v>
      </c>
      <c r="E680" s="2543">
        <v>70045706</v>
      </c>
      <c r="F680" s="2543">
        <v>67799565</v>
      </c>
      <c r="G680" s="2541">
        <v>99661862</v>
      </c>
      <c r="H680" s="2541">
        <v>99661862</v>
      </c>
      <c r="I680" s="2541">
        <v>70045706</v>
      </c>
      <c r="J680" s="2545">
        <v>67799565</v>
      </c>
      <c r="K680" s="2543">
        <v>70045706</v>
      </c>
      <c r="L680" s="2543">
        <v>67799565</v>
      </c>
    </row>
    <row r="681" spans="1:12">
      <c r="A681" s="114" t="s">
        <v>2900</v>
      </c>
      <c r="B681" s="2540" t="s">
        <v>1978</v>
      </c>
      <c r="C681" s="2543">
        <v>103375909</v>
      </c>
      <c r="D681" s="2543">
        <v>99886936</v>
      </c>
      <c r="E681" s="2543">
        <v>103375909</v>
      </c>
      <c r="F681" s="2543">
        <v>99886936</v>
      </c>
      <c r="G681" s="2541">
        <v>86590851</v>
      </c>
      <c r="H681" s="2541">
        <v>86590851</v>
      </c>
      <c r="I681" s="2541">
        <v>103375909</v>
      </c>
      <c r="J681" s="2545">
        <v>99886936</v>
      </c>
      <c r="K681" s="2543">
        <v>103375909</v>
      </c>
      <c r="L681" s="2543">
        <v>99886936</v>
      </c>
    </row>
    <row r="682" spans="1:12">
      <c r="A682" s="114" t="s">
        <v>2513</v>
      </c>
      <c r="B682" s="2540" t="s">
        <v>1979</v>
      </c>
      <c r="C682" s="2543">
        <v>882885398</v>
      </c>
      <c r="D682" s="2543">
        <v>865550372</v>
      </c>
      <c r="E682" s="2543">
        <v>882885398</v>
      </c>
      <c r="F682" s="2543">
        <v>865550372</v>
      </c>
      <c r="G682" s="2541">
        <v>883082785</v>
      </c>
      <c r="H682" s="2541">
        <v>883082785</v>
      </c>
      <c r="I682" s="2541">
        <v>882885398</v>
      </c>
      <c r="J682" s="2545">
        <v>865550372</v>
      </c>
      <c r="K682" s="2543">
        <v>882885398</v>
      </c>
      <c r="L682" s="2543">
        <v>865550372</v>
      </c>
    </row>
    <row r="683" spans="1:12">
      <c r="A683" s="114" t="s">
        <v>1046</v>
      </c>
      <c r="B683" s="2540" t="s">
        <v>1980</v>
      </c>
      <c r="C683" s="2543">
        <v>154822343</v>
      </c>
      <c r="D683" s="2543">
        <v>148089791</v>
      </c>
      <c r="E683" s="2543">
        <v>154822343</v>
      </c>
      <c r="F683" s="2543">
        <v>148089791</v>
      </c>
      <c r="G683" s="2541">
        <v>125123168</v>
      </c>
      <c r="H683" s="2541">
        <v>125123168</v>
      </c>
      <c r="I683" s="2541">
        <v>154822343</v>
      </c>
      <c r="J683" s="2545">
        <v>148089791</v>
      </c>
      <c r="K683" s="2543">
        <v>154822343</v>
      </c>
      <c r="L683" s="2543">
        <v>148089791</v>
      </c>
    </row>
    <row r="684" spans="1:12">
      <c r="A684" s="114" t="s">
        <v>409</v>
      </c>
      <c r="B684" s="2540" t="s">
        <v>3033</v>
      </c>
      <c r="C684" s="2543">
        <v>33952687</v>
      </c>
      <c r="D684" s="2543">
        <v>32726592</v>
      </c>
      <c r="E684" s="2543">
        <v>33952687</v>
      </c>
      <c r="F684" s="2543">
        <v>32726592</v>
      </c>
      <c r="G684" s="2541">
        <v>29869376</v>
      </c>
      <c r="H684" s="2541">
        <v>29869376</v>
      </c>
      <c r="I684" s="2541">
        <v>33952687</v>
      </c>
      <c r="J684" s="2545">
        <v>32726592</v>
      </c>
      <c r="K684" s="2543">
        <v>33952687</v>
      </c>
      <c r="L684" s="2543">
        <v>32726592</v>
      </c>
    </row>
    <row r="685" spans="1:12">
      <c r="A685" s="114" t="s">
        <v>1436</v>
      </c>
      <c r="B685" s="2540" t="s">
        <v>972</v>
      </c>
      <c r="C685" s="2543">
        <v>233777539</v>
      </c>
      <c r="D685" s="2543">
        <v>225230524</v>
      </c>
      <c r="E685" s="2543">
        <v>233777539</v>
      </c>
      <c r="F685" s="2543">
        <v>225230524</v>
      </c>
      <c r="G685" s="2541">
        <v>410282576</v>
      </c>
      <c r="H685" s="2541">
        <v>410282576</v>
      </c>
      <c r="I685" s="2541">
        <v>408509769</v>
      </c>
      <c r="J685" s="2545">
        <v>399962754</v>
      </c>
      <c r="K685" s="2543">
        <v>408509769</v>
      </c>
      <c r="L685" s="2543">
        <v>399962754</v>
      </c>
    </row>
    <row r="686" spans="1:12">
      <c r="A686" s="114" t="s">
        <v>3070</v>
      </c>
      <c r="B686" s="2540" t="s">
        <v>1981</v>
      </c>
      <c r="C686" s="2543">
        <v>77729654</v>
      </c>
      <c r="D686" s="2543">
        <v>75534764</v>
      </c>
      <c r="E686" s="2543">
        <v>77729654</v>
      </c>
      <c r="F686" s="2543">
        <v>75534764</v>
      </c>
      <c r="G686" s="2541">
        <v>77199702</v>
      </c>
      <c r="H686" s="2541">
        <v>77199702</v>
      </c>
      <c r="I686" s="2541">
        <v>93380754</v>
      </c>
      <c r="J686" s="2545">
        <v>91185864</v>
      </c>
      <c r="K686" s="2543">
        <v>93380754</v>
      </c>
      <c r="L686" s="2543">
        <v>91185864</v>
      </c>
    </row>
    <row r="687" spans="1:12">
      <c r="A687" s="114" t="s">
        <v>2267</v>
      </c>
      <c r="B687" s="2540" t="s">
        <v>86</v>
      </c>
      <c r="C687" s="2543">
        <v>23028898</v>
      </c>
      <c r="D687" s="2543">
        <v>22046748</v>
      </c>
      <c r="E687" s="2543">
        <v>23028898</v>
      </c>
      <c r="F687" s="2543">
        <v>22046748</v>
      </c>
      <c r="G687" s="2541">
        <v>20396574</v>
      </c>
      <c r="H687" s="2541">
        <v>20396574</v>
      </c>
      <c r="I687" s="2541">
        <v>23028898</v>
      </c>
      <c r="J687" s="2545">
        <v>22046748</v>
      </c>
      <c r="K687" s="2543">
        <v>23028898</v>
      </c>
      <c r="L687" s="2543">
        <v>22046748</v>
      </c>
    </row>
    <row r="688" spans="1:12">
      <c r="A688" s="114" t="s">
        <v>3072</v>
      </c>
      <c r="B688" s="2540" t="s">
        <v>1983</v>
      </c>
      <c r="C688" s="2543">
        <v>392170066</v>
      </c>
      <c r="D688" s="2543">
        <v>381943205</v>
      </c>
      <c r="E688" s="2543">
        <v>392170066</v>
      </c>
      <c r="F688" s="2543">
        <v>381943205</v>
      </c>
      <c r="G688" s="2541">
        <v>446796841</v>
      </c>
      <c r="H688" s="2541">
        <v>446796841</v>
      </c>
      <c r="I688" s="2541">
        <v>392170066</v>
      </c>
      <c r="J688" s="2545">
        <v>381943205</v>
      </c>
      <c r="K688" s="2543">
        <v>392170066</v>
      </c>
      <c r="L688" s="2543">
        <v>381943205</v>
      </c>
    </row>
    <row r="689" spans="1:12">
      <c r="A689" s="114" t="s">
        <v>3073</v>
      </c>
      <c r="B689" s="2540" t="s">
        <v>1984</v>
      </c>
      <c r="C689" s="2543">
        <v>90755583</v>
      </c>
      <c r="D689" s="2543">
        <v>88901151</v>
      </c>
      <c r="E689" s="2543">
        <v>90755583</v>
      </c>
      <c r="F689" s="2543">
        <v>88901151</v>
      </c>
      <c r="G689" s="2541">
        <v>81534955</v>
      </c>
      <c r="H689" s="2541">
        <v>81534955</v>
      </c>
      <c r="I689" s="2541">
        <v>222169653</v>
      </c>
      <c r="J689" s="2545">
        <v>220315221</v>
      </c>
      <c r="K689" s="2543">
        <v>222169653</v>
      </c>
      <c r="L689" s="2543">
        <v>220315221</v>
      </c>
    </row>
    <row r="690" spans="1:12">
      <c r="A690" s="114" t="s">
        <v>1676</v>
      </c>
      <c r="B690" s="2540" t="s">
        <v>1985</v>
      </c>
      <c r="C690" s="2543">
        <v>231973613</v>
      </c>
      <c r="D690" s="2543">
        <v>229967213</v>
      </c>
      <c r="E690" s="2543">
        <v>231973613</v>
      </c>
      <c r="F690" s="2543">
        <v>229967213</v>
      </c>
      <c r="G690" s="2541">
        <v>709408397</v>
      </c>
      <c r="H690" s="2541">
        <v>709408397</v>
      </c>
      <c r="I690" s="2541">
        <v>231973613</v>
      </c>
      <c r="J690" s="2545">
        <v>229967213</v>
      </c>
      <c r="K690" s="2543">
        <v>231973613</v>
      </c>
      <c r="L690" s="2543">
        <v>229967213</v>
      </c>
    </row>
    <row r="691" spans="1:12">
      <c r="A691" s="114" t="s">
        <v>1494</v>
      </c>
      <c r="B691" s="2540" t="s">
        <v>1542</v>
      </c>
      <c r="C691" s="2543">
        <v>921867080</v>
      </c>
      <c r="D691" s="2543">
        <v>898261388</v>
      </c>
      <c r="E691" s="2543">
        <v>921867080</v>
      </c>
      <c r="F691" s="2543">
        <v>898261388</v>
      </c>
      <c r="G691" s="2541">
        <v>1109216293</v>
      </c>
      <c r="H691" s="2541">
        <v>1109216293</v>
      </c>
      <c r="I691" s="2541">
        <v>921867080</v>
      </c>
      <c r="J691" s="2545">
        <v>898261388</v>
      </c>
      <c r="K691" s="2543">
        <v>921867080</v>
      </c>
      <c r="L691" s="2543">
        <v>898261388</v>
      </c>
    </row>
    <row r="692" spans="1:12">
      <c r="A692" s="114" t="s">
        <v>1612</v>
      </c>
      <c r="B692" s="2540" t="s">
        <v>1543</v>
      </c>
      <c r="C692" s="2543">
        <v>240216410</v>
      </c>
      <c r="D692" s="2543">
        <v>230402032</v>
      </c>
      <c r="E692" s="2543">
        <v>240216410</v>
      </c>
      <c r="F692" s="2543">
        <v>230402032</v>
      </c>
      <c r="G692" s="2541">
        <v>252328327</v>
      </c>
      <c r="H692" s="2541">
        <v>252328327</v>
      </c>
      <c r="I692" s="2541">
        <v>240216410</v>
      </c>
      <c r="J692" s="2545">
        <v>230402032</v>
      </c>
      <c r="K692" s="2543">
        <v>240216410</v>
      </c>
      <c r="L692" s="2543">
        <v>230402032</v>
      </c>
    </row>
    <row r="693" spans="1:12">
      <c r="A693" s="114" t="s">
        <v>910</v>
      </c>
      <c r="B693" s="2540" t="s">
        <v>1544</v>
      </c>
      <c r="C693" s="2543">
        <v>95277018</v>
      </c>
      <c r="D693" s="2543">
        <v>93789208</v>
      </c>
      <c r="E693" s="2543">
        <v>95277018</v>
      </c>
      <c r="F693" s="2543">
        <v>93789208</v>
      </c>
      <c r="G693" s="2541">
        <v>100196230</v>
      </c>
      <c r="H693" s="2541">
        <v>100196230</v>
      </c>
      <c r="I693" s="2541">
        <v>95277018</v>
      </c>
      <c r="J693" s="2545">
        <v>93789208</v>
      </c>
      <c r="K693" s="2543">
        <v>95277018</v>
      </c>
      <c r="L693" s="2543">
        <v>93789208</v>
      </c>
    </row>
    <row r="694" spans="1:12">
      <c r="A694" s="114" t="s">
        <v>1685</v>
      </c>
      <c r="B694" s="2540" t="s">
        <v>2564</v>
      </c>
      <c r="C694" s="2543">
        <v>35307218</v>
      </c>
      <c r="D694" s="2543">
        <v>33912348</v>
      </c>
      <c r="E694" s="2543">
        <v>35307218</v>
      </c>
      <c r="F694" s="2543">
        <v>33912348</v>
      </c>
      <c r="G694" s="2541">
        <v>39246318</v>
      </c>
      <c r="H694" s="2541">
        <v>39246318</v>
      </c>
      <c r="I694" s="2541">
        <v>35307218</v>
      </c>
      <c r="J694" s="2545">
        <v>33912348</v>
      </c>
      <c r="K694" s="2543">
        <v>35307218</v>
      </c>
      <c r="L694" s="2543">
        <v>33912348</v>
      </c>
    </row>
    <row r="695" spans="1:12">
      <c r="A695" s="114" t="s">
        <v>1686</v>
      </c>
      <c r="B695" s="2540" t="s">
        <v>2565</v>
      </c>
      <c r="C695" s="2543">
        <v>88765095</v>
      </c>
      <c r="D695" s="2543">
        <v>87268944</v>
      </c>
      <c r="E695" s="2543">
        <v>88765095</v>
      </c>
      <c r="F695" s="2543">
        <v>87268944</v>
      </c>
      <c r="G695" s="2541">
        <v>173336449</v>
      </c>
      <c r="H695" s="2541">
        <v>173336449</v>
      </c>
      <c r="I695" s="2541">
        <v>88765095</v>
      </c>
      <c r="J695" s="2545">
        <v>87268944</v>
      </c>
      <c r="K695" s="2543">
        <v>88765095</v>
      </c>
      <c r="L695" s="2543">
        <v>87268944</v>
      </c>
    </row>
    <row r="696" spans="1:12">
      <c r="A696" s="114" t="s">
        <v>1445</v>
      </c>
      <c r="B696" s="2540" t="s">
        <v>2566</v>
      </c>
      <c r="C696" s="2543">
        <v>244301571</v>
      </c>
      <c r="D696" s="2543">
        <v>241629870</v>
      </c>
      <c r="E696" s="2543">
        <v>244301571</v>
      </c>
      <c r="F696" s="2543">
        <v>241629870</v>
      </c>
      <c r="G696" s="2541">
        <v>371026984</v>
      </c>
      <c r="H696" s="2541">
        <v>371026984</v>
      </c>
      <c r="I696" s="2541">
        <v>244301571</v>
      </c>
      <c r="J696" s="2545">
        <v>241629870</v>
      </c>
      <c r="K696" s="2543">
        <v>244301571</v>
      </c>
      <c r="L696" s="2543">
        <v>241629870</v>
      </c>
    </row>
    <row r="697" spans="1:12">
      <c r="A697" s="114" t="s">
        <v>1724</v>
      </c>
      <c r="B697" s="2540" t="s">
        <v>2567</v>
      </c>
      <c r="C697" s="2543">
        <v>192836685</v>
      </c>
      <c r="D697" s="2543">
        <v>189070481</v>
      </c>
      <c r="E697" s="2543">
        <v>192836685</v>
      </c>
      <c r="F697" s="2543">
        <v>189070481</v>
      </c>
      <c r="G697" s="2541">
        <v>275335522</v>
      </c>
      <c r="H697" s="2541">
        <v>275335522</v>
      </c>
      <c r="I697" s="2541">
        <v>192836685</v>
      </c>
      <c r="J697" s="2545">
        <v>189070481</v>
      </c>
      <c r="K697" s="2543">
        <v>192836685</v>
      </c>
      <c r="L697" s="2543">
        <v>189070481</v>
      </c>
    </row>
    <row r="698" spans="1:12">
      <c r="A698" s="114" t="s">
        <v>2639</v>
      </c>
      <c r="B698" s="2540" t="s">
        <v>1746</v>
      </c>
      <c r="C698" s="2543">
        <v>32944574799</v>
      </c>
      <c r="D698" s="2543">
        <v>32336064358</v>
      </c>
      <c r="E698" s="2543">
        <v>32944574799</v>
      </c>
      <c r="F698" s="2543">
        <v>32336064358</v>
      </c>
      <c r="G698" s="2541">
        <v>27594289666</v>
      </c>
      <c r="H698" s="2541">
        <v>27594289666</v>
      </c>
      <c r="I698" s="2541">
        <v>32944574799</v>
      </c>
      <c r="J698" s="2545">
        <v>32336064358</v>
      </c>
      <c r="K698" s="2543">
        <v>32944574799</v>
      </c>
      <c r="L698" s="2543">
        <v>32336064358</v>
      </c>
    </row>
    <row r="699" spans="1:12">
      <c r="A699" s="114" t="s">
        <v>1725</v>
      </c>
      <c r="B699" s="2540" t="s">
        <v>2568</v>
      </c>
      <c r="C699" s="2543">
        <v>5409214264</v>
      </c>
      <c r="D699" s="2543">
        <v>5287722689</v>
      </c>
      <c r="E699" s="2543">
        <v>5409214264</v>
      </c>
      <c r="F699" s="2543">
        <v>5287722689</v>
      </c>
      <c r="G699" s="2541">
        <v>4509127859</v>
      </c>
      <c r="H699" s="2541">
        <v>4509127859</v>
      </c>
      <c r="I699" s="2541">
        <v>5409214264</v>
      </c>
      <c r="J699" s="2545">
        <v>5287722689</v>
      </c>
      <c r="K699" s="2543">
        <v>5409214264</v>
      </c>
      <c r="L699" s="2543">
        <v>5287722689</v>
      </c>
    </row>
    <row r="700" spans="1:12">
      <c r="A700" s="114" t="s">
        <v>1349</v>
      </c>
      <c r="B700" s="2540" t="s">
        <v>1288</v>
      </c>
      <c r="C700" s="2543">
        <v>3143066927</v>
      </c>
      <c r="D700" s="2543">
        <v>3055337525</v>
      </c>
      <c r="E700" s="2543">
        <v>3143066927</v>
      </c>
      <c r="F700" s="2543">
        <v>3055337525</v>
      </c>
      <c r="G700" s="2541">
        <v>2598459650</v>
      </c>
      <c r="H700" s="2541">
        <v>2598459650</v>
      </c>
      <c r="I700" s="2541">
        <v>3143066927</v>
      </c>
      <c r="J700" s="2545">
        <v>3055337525</v>
      </c>
      <c r="K700" s="2543">
        <v>3143066927</v>
      </c>
      <c r="L700" s="2543">
        <v>3055337525</v>
      </c>
    </row>
    <row r="701" spans="1:12">
      <c r="A701" s="114" t="s">
        <v>378</v>
      </c>
      <c r="B701" s="2540" t="s">
        <v>319</v>
      </c>
      <c r="C701" s="2543">
        <v>5574885412</v>
      </c>
      <c r="D701" s="2543">
        <v>5441534889</v>
      </c>
      <c r="E701" s="2543">
        <v>5574885412</v>
      </c>
      <c r="F701" s="2543">
        <v>5441534889</v>
      </c>
      <c r="G701" s="2541">
        <v>4550617348</v>
      </c>
      <c r="H701" s="2541">
        <v>4550617348</v>
      </c>
      <c r="I701" s="2541">
        <v>5574885412</v>
      </c>
      <c r="J701" s="2545">
        <v>5441534889</v>
      </c>
      <c r="K701" s="2543">
        <v>5574885412</v>
      </c>
      <c r="L701" s="2543">
        <v>5441534889</v>
      </c>
    </row>
    <row r="702" spans="1:12">
      <c r="A702" s="114" t="s">
        <v>1701</v>
      </c>
      <c r="B702" s="2540" t="s">
        <v>2209</v>
      </c>
      <c r="C702" s="2543">
        <v>659131375</v>
      </c>
      <c r="D702" s="2543">
        <v>633403918</v>
      </c>
      <c r="E702" s="2543">
        <v>659131375</v>
      </c>
      <c r="F702" s="2543">
        <v>633403918</v>
      </c>
      <c r="G702" s="2541">
        <v>467101943</v>
      </c>
      <c r="H702" s="2541">
        <v>467101943</v>
      </c>
      <c r="I702" s="2541">
        <v>659131375</v>
      </c>
      <c r="J702" s="2545">
        <v>633403918</v>
      </c>
      <c r="K702" s="2543">
        <v>659131375</v>
      </c>
      <c r="L702" s="2543">
        <v>633403918</v>
      </c>
    </row>
    <row r="703" spans="1:12">
      <c r="A703" s="114" t="s">
        <v>801</v>
      </c>
      <c r="B703" s="2540" t="s">
        <v>1305</v>
      </c>
      <c r="C703" s="2543">
        <v>3630545146</v>
      </c>
      <c r="D703" s="2543">
        <v>3531395563</v>
      </c>
      <c r="E703" s="2543">
        <v>3630545146</v>
      </c>
      <c r="F703" s="2543">
        <v>3531395563</v>
      </c>
      <c r="G703" s="2541">
        <v>2770192107</v>
      </c>
      <c r="H703" s="2541">
        <v>2770192107</v>
      </c>
      <c r="I703" s="2541">
        <v>3630545146</v>
      </c>
      <c r="J703" s="2545">
        <v>3531395563</v>
      </c>
      <c r="K703" s="2543">
        <v>3630545146</v>
      </c>
      <c r="L703" s="2543">
        <v>3531395563</v>
      </c>
    </row>
    <row r="704" spans="1:12">
      <c r="A704" s="114" t="s">
        <v>2134</v>
      </c>
      <c r="B704" s="2540" t="s">
        <v>2569</v>
      </c>
      <c r="C704" s="2543">
        <v>1794636773</v>
      </c>
      <c r="D704" s="2543">
        <v>1763789577</v>
      </c>
      <c r="E704" s="2543">
        <v>1784171504</v>
      </c>
      <c r="F704" s="2543">
        <v>1753324308</v>
      </c>
      <c r="G704" s="2541">
        <v>2169803452</v>
      </c>
      <c r="H704" s="2541">
        <v>2133936109</v>
      </c>
      <c r="I704" s="2541">
        <v>1794636773</v>
      </c>
      <c r="J704" s="2545">
        <v>1763789577</v>
      </c>
      <c r="K704" s="2543">
        <v>1784171504</v>
      </c>
      <c r="L704" s="2543">
        <v>1753324308</v>
      </c>
    </row>
    <row r="705" spans="1:12">
      <c r="A705" s="114" t="s">
        <v>2135</v>
      </c>
      <c r="B705" s="2540" t="s">
        <v>2570</v>
      </c>
      <c r="C705" s="2543">
        <v>263592261</v>
      </c>
      <c r="D705" s="2543">
        <v>259656406</v>
      </c>
      <c r="E705" s="2543">
        <v>263592261</v>
      </c>
      <c r="F705" s="2543">
        <v>259656406</v>
      </c>
      <c r="G705" s="2541">
        <v>377767530</v>
      </c>
      <c r="H705" s="2541">
        <v>377767530</v>
      </c>
      <c r="I705" s="2541">
        <v>268652261</v>
      </c>
      <c r="J705" s="2545">
        <v>264716406</v>
      </c>
      <c r="K705" s="2543">
        <v>268652261</v>
      </c>
      <c r="L705" s="2543">
        <v>264716406</v>
      </c>
    </row>
    <row r="706" spans="1:12">
      <c r="A706" s="114" t="s">
        <v>2136</v>
      </c>
      <c r="B706" s="2540" t="s">
        <v>2571</v>
      </c>
      <c r="C706" s="2543">
        <v>804439080</v>
      </c>
      <c r="D706" s="2543">
        <v>784618034</v>
      </c>
      <c r="E706" s="2543">
        <v>804439080</v>
      </c>
      <c r="F706" s="2543">
        <v>784618034</v>
      </c>
      <c r="G706" s="2541">
        <v>864041772</v>
      </c>
      <c r="H706" s="2541">
        <v>847429893</v>
      </c>
      <c r="I706" s="2541">
        <v>804439080</v>
      </c>
      <c r="J706" s="2545">
        <v>784618034</v>
      </c>
      <c r="K706" s="2543">
        <v>804439080</v>
      </c>
      <c r="L706" s="2543">
        <v>784618034</v>
      </c>
    </row>
    <row r="707" spans="1:12">
      <c r="A707" s="114" t="s">
        <v>2137</v>
      </c>
      <c r="B707" s="2540" t="s">
        <v>3024</v>
      </c>
      <c r="C707" s="2543">
        <v>285076526</v>
      </c>
      <c r="D707" s="2543">
        <v>270584086</v>
      </c>
      <c r="E707" s="2543">
        <v>285076526</v>
      </c>
      <c r="F707" s="2543">
        <v>270584086</v>
      </c>
      <c r="G707" s="2541">
        <v>282775667</v>
      </c>
      <c r="H707" s="2541">
        <v>282775667</v>
      </c>
      <c r="I707" s="2541">
        <v>285076526</v>
      </c>
      <c r="J707" s="2545">
        <v>270584086</v>
      </c>
      <c r="K707" s="2543">
        <v>285076526</v>
      </c>
      <c r="L707" s="2543">
        <v>270584086</v>
      </c>
    </row>
    <row r="708" spans="1:12">
      <c r="A708" s="114" t="s">
        <v>2685</v>
      </c>
      <c r="B708" s="2540" t="s">
        <v>2573</v>
      </c>
      <c r="C708" s="2543">
        <v>117721425</v>
      </c>
      <c r="D708" s="2543">
        <v>115064695</v>
      </c>
      <c r="E708" s="2543">
        <v>117721425</v>
      </c>
      <c r="F708" s="2543">
        <v>115064695</v>
      </c>
      <c r="G708" s="2541">
        <v>106633465</v>
      </c>
      <c r="H708" s="2541">
        <v>106633465</v>
      </c>
      <c r="I708" s="2541">
        <v>117721425</v>
      </c>
      <c r="J708" s="2545">
        <v>115064695</v>
      </c>
      <c r="K708" s="2543">
        <v>117721425</v>
      </c>
      <c r="L708" s="2543">
        <v>115064695</v>
      </c>
    </row>
    <row r="709" spans="1:12">
      <c r="A709" s="114" t="s">
        <v>802</v>
      </c>
      <c r="B709" s="2540" t="s">
        <v>1326</v>
      </c>
      <c r="C709" s="2543">
        <v>113756594</v>
      </c>
      <c r="D709" s="2543">
        <v>110014124</v>
      </c>
      <c r="E709" s="2543">
        <v>110563189</v>
      </c>
      <c r="F709" s="2543">
        <v>106820719</v>
      </c>
      <c r="G709" s="2541">
        <v>203701184</v>
      </c>
      <c r="H709" s="2541">
        <v>200455775</v>
      </c>
      <c r="I709" s="2541">
        <v>113756594</v>
      </c>
      <c r="J709" s="2545">
        <v>110014124</v>
      </c>
      <c r="K709" s="2543">
        <v>110563189</v>
      </c>
      <c r="L709" s="2543">
        <v>106820719</v>
      </c>
    </row>
    <row r="710" spans="1:12">
      <c r="A710" s="114" t="s">
        <v>570</v>
      </c>
      <c r="B710" s="2540" t="s">
        <v>2574</v>
      </c>
      <c r="C710" s="2543">
        <v>221387081</v>
      </c>
      <c r="D710" s="2543">
        <v>214247061</v>
      </c>
      <c r="E710" s="2543">
        <v>215152311</v>
      </c>
      <c r="F710" s="2543">
        <v>208012291</v>
      </c>
      <c r="G710" s="2541">
        <v>250747827</v>
      </c>
      <c r="H710" s="2541">
        <v>244318104</v>
      </c>
      <c r="I710" s="2541">
        <v>510744101</v>
      </c>
      <c r="J710" s="2545">
        <v>503604081</v>
      </c>
      <c r="K710" s="2543">
        <v>504509331</v>
      </c>
      <c r="L710" s="2543">
        <v>497369311</v>
      </c>
    </row>
    <row r="711" spans="1:12">
      <c r="A711" s="114" t="s">
        <v>803</v>
      </c>
      <c r="B711" s="2540" t="s">
        <v>493</v>
      </c>
      <c r="C711" s="2543">
        <v>146933403</v>
      </c>
      <c r="D711" s="2543">
        <v>140840023</v>
      </c>
      <c r="E711" s="2543">
        <v>140741273</v>
      </c>
      <c r="F711" s="2543">
        <v>134647893</v>
      </c>
      <c r="G711" s="2541">
        <v>158558724</v>
      </c>
      <c r="H711" s="2541">
        <v>152278334</v>
      </c>
      <c r="I711" s="2541">
        <v>146933403</v>
      </c>
      <c r="J711" s="2545">
        <v>140840023</v>
      </c>
      <c r="K711" s="2543">
        <v>140741273</v>
      </c>
      <c r="L711" s="2543">
        <v>134647893</v>
      </c>
    </row>
    <row r="712" spans="1:12">
      <c r="A712" s="114" t="s">
        <v>571</v>
      </c>
      <c r="B712" s="2540" t="s">
        <v>2575</v>
      </c>
      <c r="C712" s="2543">
        <v>2083997364</v>
      </c>
      <c r="D712" s="2543">
        <v>2014438804</v>
      </c>
      <c r="E712" s="2543">
        <v>1987682789</v>
      </c>
      <c r="F712" s="2543">
        <v>1918124229</v>
      </c>
      <c r="G712" s="2541">
        <v>2004745469</v>
      </c>
      <c r="H712" s="2541">
        <v>1903987078</v>
      </c>
      <c r="I712" s="2541">
        <v>2083997364</v>
      </c>
      <c r="J712" s="2545">
        <v>2014438804</v>
      </c>
      <c r="K712" s="2543">
        <v>1987682789</v>
      </c>
      <c r="L712" s="2543">
        <v>1918124229</v>
      </c>
    </row>
    <row r="713" spans="1:12">
      <c r="A713" s="114" t="s">
        <v>410</v>
      </c>
      <c r="B713" s="2540" t="s">
        <v>1291</v>
      </c>
      <c r="C713" s="2543">
        <v>147568736</v>
      </c>
      <c r="D713" s="2543">
        <v>141299246</v>
      </c>
      <c r="E713" s="2543">
        <v>141116141</v>
      </c>
      <c r="F713" s="2543">
        <v>134846651</v>
      </c>
      <c r="G713" s="2541">
        <v>184225877</v>
      </c>
      <c r="H713" s="2541">
        <v>177650150</v>
      </c>
      <c r="I713" s="2541">
        <v>147568736</v>
      </c>
      <c r="J713" s="2545">
        <v>141299246</v>
      </c>
      <c r="K713" s="2543">
        <v>141116141</v>
      </c>
      <c r="L713" s="2543">
        <v>134846651</v>
      </c>
    </row>
    <row r="714" spans="1:12">
      <c r="A714" s="114" t="s">
        <v>572</v>
      </c>
      <c r="B714" s="2540" t="s">
        <v>2576</v>
      </c>
      <c r="C714" s="2543">
        <v>128244412</v>
      </c>
      <c r="D714" s="2543">
        <v>120634232</v>
      </c>
      <c r="E714" s="2543">
        <v>118834352</v>
      </c>
      <c r="F714" s="2543">
        <v>111224172</v>
      </c>
      <c r="G714" s="2541">
        <v>117739004</v>
      </c>
      <c r="H714" s="2541">
        <v>108783335</v>
      </c>
      <c r="I714" s="2541">
        <v>128244412</v>
      </c>
      <c r="J714" s="2545">
        <v>120634232</v>
      </c>
      <c r="K714" s="2543">
        <v>118834352</v>
      </c>
      <c r="L714" s="2543">
        <v>111224172</v>
      </c>
    </row>
    <row r="715" spans="1:12">
      <c r="A715" s="114" t="s">
        <v>573</v>
      </c>
      <c r="B715" s="2540" t="s">
        <v>2577</v>
      </c>
      <c r="C715" s="2543">
        <v>71583254</v>
      </c>
      <c r="D715" s="2543">
        <v>68435274</v>
      </c>
      <c r="E715" s="2543">
        <v>68222049</v>
      </c>
      <c r="F715" s="2543">
        <v>65074069</v>
      </c>
      <c r="G715" s="2541">
        <v>76629579</v>
      </c>
      <c r="H715" s="2541">
        <v>73195379</v>
      </c>
      <c r="I715" s="2541">
        <v>71583254</v>
      </c>
      <c r="J715" s="2545">
        <v>68435274</v>
      </c>
      <c r="K715" s="2543">
        <v>68222049</v>
      </c>
      <c r="L715" s="2543">
        <v>65074069</v>
      </c>
    </row>
    <row r="716" spans="1:12">
      <c r="A716" s="114" t="s">
        <v>877</v>
      </c>
      <c r="B716" s="2540" t="s">
        <v>1003</v>
      </c>
      <c r="C716" s="2543">
        <v>49854311</v>
      </c>
      <c r="D716" s="2543">
        <v>46248271</v>
      </c>
      <c r="E716" s="2543">
        <v>46654691</v>
      </c>
      <c r="F716" s="2543">
        <v>43048651</v>
      </c>
      <c r="G716" s="2541">
        <v>48533188</v>
      </c>
      <c r="H716" s="2541">
        <v>45286508</v>
      </c>
      <c r="I716" s="2541">
        <v>49854311</v>
      </c>
      <c r="J716" s="2545">
        <v>46248271</v>
      </c>
      <c r="K716" s="2543">
        <v>46654691</v>
      </c>
      <c r="L716" s="2543">
        <v>43048651</v>
      </c>
    </row>
    <row r="717" spans="1:12">
      <c r="A717" s="114" t="s">
        <v>574</v>
      </c>
      <c r="B717" s="2540" t="s">
        <v>2578</v>
      </c>
      <c r="C717" s="2543">
        <v>157280645</v>
      </c>
      <c r="D717" s="2543">
        <v>151858015</v>
      </c>
      <c r="E717" s="2543">
        <v>149047830</v>
      </c>
      <c r="F717" s="2543">
        <v>143625200</v>
      </c>
      <c r="G717" s="2541">
        <v>169891647</v>
      </c>
      <c r="H717" s="2541">
        <v>161530451</v>
      </c>
      <c r="I717" s="2541">
        <v>157280645</v>
      </c>
      <c r="J717" s="2545">
        <v>151858015</v>
      </c>
      <c r="K717" s="2543">
        <v>149047830</v>
      </c>
      <c r="L717" s="2543">
        <v>143625200</v>
      </c>
    </row>
    <row r="718" spans="1:12">
      <c r="A718" s="114" t="s">
        <v>575</v>
      </c>
      <c r="B718" s="2540" t="s">
        <v>339</v>
      </c>
      <c r="C718" s="2543">
        <v>175434937</v>
      </c>
      <c r="D718" s="2543">
        <v>166005001</v>
      </c>
      <c r="E718" s="2543">
        <v>175434937</v>
      </c>
      <c r="F718" s="2543">
        <v>166005001</v>
      </c>
      <c r="G718" s="2541">
        <v>151187906</v>
      </c>
      <c r="H718" s="2541">
        <v>151187906</v>
      </c>
      <c r="I718" s="2541">
        <v>175434937</v>
      </c>
      <c r="J718" s="2545">
        <v>166005001</v>
      </c>
      <c r="K718" s="2543">
        <v>175434937</v>
      </c>
      <c r="L718" s="2543">
        <v>166005001</v>
      </c>
    </row>
    <row r="719" spans="1:12">
      <c r="A719" s="114" t="s">
        <v>2754</v>
      </c>
      <c r="B719" s="2540" t="s">
        <v>1257</v>
      </c>
      <c r="C719" s="2543">
        <v>1508726978</v>
      </c>
      <c r="D719" s="2543">
        <v>1457842730</v>
      </c>
      <c r="E719" s="2543">
        <v>1508726978</v>
      </c>
      <c r="F719" s="2543">
        <v>1457842730</v>
      </c>
      <c r="G719" s="2541">
        <v>1443841394</v>
      </c>
      <c r="H719" s="2541">
        <v>1443841394</v>
      </c>
      <c r="I719" s="2541">
        <v>1508726978</v>
      </c>
      <c r="J719" s="2545">
        <v>1457842730</v>
      </c>
      <c r="K719" s="2543">
        <v>1508726978</v>
      </c>
      <c r="L719" s="2543">
        <v>1457842730</v>
      </c>
    </row>
    <row r="720" spans="1:12">
      <c r="A720" s="114" t="s">
        <v>2761</v>
      </c>
      <c r="B720" s="2540" t="s">
        <v>3060</v>
      </c>
      <c r="C720" s="2543">
        <v>154139879</v>
      </c>
      <c r="D720" s="2543">
        <v>147999565</v>
      </c>
      <c r="E720" s="2543">
        <v>154139879</v>
      </c>
      <c r="F720" s="2543">
        <v>147999565</v>
      </c>
      <c r="G720" s="2541">
        <v>152836970</v>
      </c>
      <c r="H720" s="2541">
        <v>152836970</v>
      </c>
      <c r="I720" s="2541">
        <v>154139879</v>
      </c>
      <c r="J720" s="2545">
        <v>147999565</v>
      </c>
      <c r="K720" s="2543">
        <v>154139879</v>
      </c>
      <c r="L720" s="2543">
        <v>147999565</v>
      </c>
    </row>
    <row r="721" spans="1:12">
      <c r="A721" s="114" t="s">
        <v>20</v>
      </c>
      <c r="B721" s="2540" t="s">
        <v>340</v>
      </c>
      <c r="C721" s="2543">
        <v>97881782</v>
      </c>
      <c r="D721" s="2543">
        <v>94372740</v>
      </c>
      <c r="E721" s="2543">
        <v>97881782</v>
      </c>
      <c r="F721" s="2543">
        <v>94372740</v>
      </c>
      <c r="G721" s="2541">
        <v>99641203</v>
      </c>
      <c r="H721" s="2541">
        <v>99641203</v>
      </c>
      <c r="I721" s="2541">
        <v>97881782</v>
      </c>
      <c r="J721" s="2545">
        <v>94372740</v>
      </c>
      <c r="K721" s="2543">
        <v>97881782</v>
      </c>
      <c r="L721" s="2543">
        <v>94372740</v>
      </c>
    </row>
    <row r="722" spans="1:12">
      <c r="A722" s="114" t="s">
        <v>804</v>
      </c>
      <c r="B722" s="2540" t="s">
        <v>2877</v>
      </c>
      <c r="C722" s="2543">
        <v>262131976</v>
      </c>
      <c r="D722" s="2543">
        <v>254617684</v>
      </c>
      <c r="E722" s="2543">
        <v>262131976</v>
      </c>
      <c r="F722" s="2543">
        <v>254617684</v>
      </c>
      <c r="G722" s="2541">
        <v>257470470</v>
      </c>
      <c r="H722" s="2541">
        <v>257470470</v>
      </c>
      <c r="I722" s="2541">
        <v>262131976</v>
      </c>
      <c r="J722" s="2545">
        <v>254617684</v>
      </c>
      <c r="K722" s="2543">
        <v>262131976</v>
      </c>
      <c r="L722" s="2543">
        <v>254617684</v>
      </c>
    </row>
    <row r="723" spans="1:12">
      <c r="A723" s="114" t="s">
        <v>21</v>
      </c>
      <c r="B723" s="2540" t="s">
        <v>341</v>
      </c>
      <c r="C723" s="2543">
        <v>404959602</v>
      </c>
      <c r="D723" s="2543">
        <v>396534260</v>
      </c>
      <c r="E723" s="2543">
        <v>404959602</v>
      </c>
      <c r="F723" s="2543">
        <v>396534260</v>
      </c>
      <c r="G723" s="2541">
        <v>430591089</v>
      </c>
      <c r="H723" s="2541">
        <v>430591089</v>
      </c>
      <c r="I723" s="2541">
        <v>404959602</v>
      </c>
      <c r="J723" s="2545">
        <v>396534260</v>
      </c>
      <c r="K723" s="2543">
        <v>404959602</v>
      </c>
      <c r="L723" s="2543">
        <v>396534260</v>
      </c>
    </row>
    <row r="724" spans="1:12">
      <c r="A724" s="114" t="s">
        <v>2383</v>
      </c>
      <c r="B724" s="2540" t="s">
        <v>93</v>
      </c>
      <c r="C724" s="2543">
        <v>118680267</v>
      </c>
      <c r="D724" s="2543">
        <v>113957914</v>
      </c>
      <c r="E724" s="2543">
        <v>118680267</v>
      </c>
      <c r="F724" s="2543">
        <v>113957914</v>
      </c>
      <c r="G724" s="2541">
        <v>110647778</v>
      </c>
      <c r="H724" s="2541">
        <v>110647778</v>
      </c>
      <c r="I724" s="2541">
        <v>118680267</v>
      </c>
      <c r="J724" s="2545">
        <v>113957914</v>
      </c>
      <c r="K724" s="2543">
        <v>118680267</v>
      </c>
      <c r="L724" s="2543">
        <v>113957914</v>
      </c>
    </row>
    <row r="725" spans="1:12">
      <c r="A725" s="114" t="s">
        <v>22</v>
      </c>
      <c r="B725" s="2540" t="s">
        <v>342</v>
      </c>
      <c r="C725" s="2543">
        <v>202392357</v>
      </c>
      <c r="D725" s="2543">
        <v>196713932</v>
      </c>
      <c r="E725" s="2543">
        <v>196515045</v>
      </c>
      <c r="F725" s="2543">
        <v>190836620</v>
      </c>
      <c r="G725" s="2541">
        <v>245484247</v>
      </c>
      <c r="H725" s="2541">
        <v>239925905</v>
      </c>
      <c r="I725" s="2541">
        <v>202392357</v>
      </c>
      <c r="J725" s="2545">
        <v>196713932</v>
      </c>
      <c r="K725" s="2543">
        <v>196515045</v>
      </c>
      <c r="L725" s="2543">
        <v>190836620</v>
      </c>
    </row>
    <row r="726" spans="1:12">
      <c r="A726" s="114" t="s">
        <v>1159</v>
      </c>
      <c r="B726" s="2540" t="s">
        <v>2609</v>
      </c>
      <c r="C726" s="2543">
        <v>252009750</v>
      </c>
      <c r="D726" s="2543">
        <v>238369171</v>
      </c>
      <c r="E726" s="2543">
        <v>240193006</v>
      </c>
      <c r="F726" s="2543">
        <v>226552427</v>
      </c>
      <c r="G726" s="2541">
        <v>280519176</v>
      </c>
      <c r="H726" s="2541">
        <v>269100685</v>
      </c>
      <c r="I726" s="2541">
        <v>252009750</v>
      </c>
      <c r="J726" s="2545">
        <v>238369171</v>
      </c>
      <c r="K726" s="2543">
        <v>240193006</v>
      </c>
      <c r="L726" s="2543">
        <v>226552427</v>
      </c>
    </row>
    <row r="727" spans="1:12">
      <c r="A727" s="114" t="s">
        <v>2268</v>
      </c>
      <c r="B727" s="2540" t="s">
        <v>3067</v>
      </c>
      <c r="C727" s="2543">
        <v>574466024</v>
      </c>
      <c r="D727" s="2543">
        <v>566248826</v>
      </c>
      <c r="E727" s="2543">
        <v>567105629</v>
      </c>
      <c r="F727" s="2543">
        <v>558888431</v>
      </c>
      <c r="G727" s="2541">
        <v>579731885</v>
      </c>
      <c r="H727" s="2541">
        <v>572654492</v>
      </c>
      <c r="I727" s="2541">
        <v>574466024</v>
      </c>
      <c r="J727" s="2545">
        <v>566248826</v>
      </c>
      <c r="K727" s="2543">
        <v>567105629</v>
      </c>
      <c r="L727" s="2543">
        <v>558888431</v>
      </c>
    </row>
    <row r="728" spans="1:12">
      <c r="A728" s="114" t="s">
        <v>1736</v>
      </c>
      <c r="B728" s="2540" t="s">
        <v>4583</v>
      </c>
      <c r="C728" s="2543">
        <v>160831486</v>
      </c>
      <c r="D728" s="2543">
        <v>156905236</v>
      </c>
      <c r="E728" s="2543">
        <v>160831486</v>
      </c>
      <c r="F728" s="2543">
        <v>156905236</v>
      </c>
      <c r="G728" s="2541">
        <v>145964695</v>
      </c>
      <c r="H728" s="2541">
        <v>145964695</v>
      </c>
      <c r="I728" s="2541">
        <v>390061066</v>
      </c>
      <c r="J728" s="2545">
        <v>386134816</v>
      </c>
      <c r="K728" s="2543">
        <v>390061066</v>
      </c>
      <c r="L728" s="2543">
        <v>386134816</v>
      </c>
    </row>
    <row r="729" spans="1:12">
      <c r="A729" s="114" t="s">
        <v>2145</v>
      </c>
      <c r="B729" s="2540" t="s">
        <v>343</v>
      </c>
      <c r="C729" s="2543">
        <v>755155970</v>
      </c>
      <c r="D729" s="2543">
        <v>731417250</v>
      </c>
      <c r="E729" s="2543">
        <v>755155970</v>
      </c>
      <c r="F729" s="2543">
        <v>731417250</v>
      </c>
      <c r="G729" s="2541">
        <v>736405001</v>
      </c>
      <c r="H729" s="2541">
        <v>736405001</v>
      </c>
      <c r="I729" s="2541">
        <v>755155970</v>
      </c>
      <c r="J729" s="2545">
        <v>731417250</v>
      </c>
      <c r="K729" s="2543">
        <v>755155970</v>
      </c>
      <c r="L729" s="2543">
        <v>731417250</v>
      </c>
    </row>
    <row r="730" spans="1:12">
      <c r="A730" s="114" t="s">
        <v>2637</v>
      </c>
      <c r="B730" s="2540" t="s">
        <v>2657</v>
      </c>
      <c r="C730" s="2543">
        <v>512629817</v>
      </c>
      <c r="D730" s="2543">
        <v>510445276</v>
      </c>
      <c r="E730" s="2543">
        <v>512629817</v>
      </c>
      <c r="F730" s="2543">
        <v>510445276</v>
      </c>
      <c r="G730" s="2541">
        <v>333858317</v>
      </c>
      <c r="H730" s="2541">
        <v>333858317</v>
      </c>
      <c r="I730" s="2541">
        <v>754644376</v>
      </c>
      <c r="J730" s="2545">
        <v>752459835</v>
      </c>
      <c r="K730" s="2543">
        <v>754644376</v>
      </c>
      <c r="L730" s="2543">
        <v>752459835</v>
      </c>
    </row>
    <row r="731" spans="1:12">
      <c r="A731" s="114" t="s">
        <v>464</v>
      </c>
      <c r="B731" s="2540" t="s">
        <v>345</v>
      </c>
      <c r="C731" s="2543">
        <v>249430926</v>
      </c>
      <c r="D731" s="2543">
        <v>248547366</v>
      </c>
      <c r="E731" s="2543">
        <v>249430926</v>
      </c>
      <c r="F731" s="2543">
        <v>248547366</v>
      </c>
      <c r="G731" s="2541">
        <v>230037967</v>
      </c>
      <c r="H731" s="2541">
        <v>230037967</v>
      </c>
      <c r="I731" s="2541">
        <v>453483776</v>
      </c>
      <c r="J731" s="2545">
        <v>452600216</v>
      </c>
      <c r="K731" s="2543">
        <v>453483776</v>
      </c>
      <c r="L731" s="2543">
        <v>452600216</v>
      </c>
    </row>
    <row r="732" spans="1:12">
      <c r="A732" s="114" t="s">
        <v>2858</v>
      </c>
      <c r="B732" s="2540" t="s">
        <v>346</v>
      </c>
      <c r="C732" s="2543">
        <v>143535717</v>
      </c>
      <c r="D732" s="2543">
        <v>140998150</v>
      </c>
      <c r="E732" s="2543">
        <v>143535717</v>
      </c>
      <c r="F732" s="2543">
        <v>140998150</v>
      </c>
      <c r="G732" s="2541">
        <v>137832772</v>
      </c>
      <c r="H732" s="2541">
        <v>137832772</v>
      </c>
      <c r="I732" s="2541">
        <v>143535717</v>
      </c>
      <c r="J732" s="2545">
        <v>140998150</v>
      </c>
      <c r="K732" s="2543">
        <v>143535717</v>
      </c>
      <c r="L732" s="2543">
        <v>140998150</v>
      </c>
    </row>
    <row r="733" spans="1:12">
      <c r="A733" s="114" t="s">
        <v>1337</v>
      </c>
      <c r="B733" s="2540" t="s">
        <v>2658</v>
      </c>
      <c r="C733" s="2543">
        <v>519959973</v>
      </c>
      <c r="D733" s="2543">
        <v>507788527</v>
      </c>
      <c r="E733" s="2543">
        <v>507727913</v>
      </c>
      <c r="F733" s="2543">
        <v>495556467</v>
      </c>
      <c r="G733" s="2541">
        <v>511052884</v>
      </c>
      <c r="H733" s="2541">
        <v>500000959</v>
      </c>
      <c r="I733" s="2541">
        <v>519959973</v>
      </c>
      <c r="J733" s="2545">
        <v>507788527</v>
      </c>
      <c r="K733" s="2543">
        <v>507727913</v>
      </c>
      <c r="L733" s="2543">
        <v>495556467</v>
      </c>
    </row>
    <row r="734" spans="1:12">
      <c r="A734" s="114" t="s">
        <v>1338</v>
      </c>
      <c r="B734" s="2540" t="s">
        <v>348</v>
      </c>
      <c r="C734" s="2543">
        <v>1506786029</v>
      </c>
      <c r="D734" s="2543">
        <v>1460597514</v>
      </c>
      <c r="E734" s="2543">
        <v>1506786029</v>
      </c>
      <c r="F734" s="2543">
        <v>1460597514</v>
      </c>
      <c r="G734" s="2541">
        <v>1413263471</v>
      </c>
      <c r="H734" s="2541">
        <v>1413263471</v>
      </c>
      <c r="I734" s="2541">
        <v>1714101289</v>
      </c>
      <c r="J734" s="2545">
        <v>1667912774</v>
      </c>
      <c r="K734" s="2543">
        <v>1714101289</v>
      </c>
      <c r="L734" s="2543">
        <v>1667912774</v>
      </c>
    </row>
    <row r="735" spans="1:12">
      <c r="A735" s="114" t="s">
        <v>2753</v>
      </c>
      <c r="B735" s="2540" t="s">
        <v>1256</v>
      </c>
      <c r="C735" s="2543">
        <v>15431349763</v>
      </c>
      <c r="D735" s="2543">
        <v>14987118111</v>
      </c>
      <c r="E735" s="2543">
        <v>15431349763</v>
      </c>
      <c r="F735" s="2543">
        <v>14987118111</v>
      </c>
      <c r="G735" s="2541">
        <v>13731352405</v>
      </c>
      <c r="H735" s="2541">
        <v>13731352405</v>
      </c>
      <c r="I735" s="2541">
        <v>15431349763</v>
      </c>
      <c r="J735" s="2545">
        <v>14987118111</v>
      </c>
      <c r="K735" s="2543">
        <v>15431349763</v>
      </c>
      <c r="L735" s="2543">
        <v>14987118111</v>
      </c>
    </row>
    <row r="736" spans="1:12">
      <c r="A736" s="114" t="s">
        <v>619</v>
      </c>
      <c r="B736" s="2540" t="s">
        <v>349</v>
      </c>
      <c r="C736" s="2543">
        <v>86526177</v>
      </c>
      <c r="D736" s="2543">
        <v>84431036</v>
      </c>
      <c r="E736" s="2543">
        <v>86526177</v>
      </c>
      <c r="F736" s="2543">
        <v>84431036</v>
      </c>
      <c r="G736" s="2541">
        <v>116161854</v>
      </c>
      <c r="H736" s="2541">
        <v>116161854</v>
      </c>
      <c r="I736" s="2541">
        <v>86526177</v>
      </c>
      <c r="J736" s="2545">
        <v>84431036</v>
      </c>
      <c r="K736" s="2543">
        <v>86526177</v>
      </c>
      <c r="L736" s="2543">
        <v>84431036</v>
      </c>
    </row>
    <row r="737" spans="1:12">
      <c r="A737" s="114" t="s">
        <v>632</v>
      </c>
      <c r="B737" s="2540" t="s">
        <v>350</v>
      </c>
      <c r="C737" s="2543">
        <v>341573247</v>
      </c>
      <c r="D737" s="2543">
        <v>335783242</v>
      </c>
      <c r="E737" s="2543">
        <v>341573247</v>
      </c>
      <c r="F737" s="2543">
        <v>335783242</v>
      </c>
      <c r="G737" s="2541">
        <v>286929658</v>
      </c>
      <c r="H737" s="2541">
        <v>286929658</v>
      </c>
      <c r="I737" s="2541">
        <v>341573247</v>
      </c>
      <c r="J737" s="2545">
        <v>335783242</v>
      </c>
      <c r="K737" s="2543">
        <v>341573247</v>
      </c>
      <c r="L737" s="2543">
        <v>335783242</v>
      </c>
    </row>
    <row r="738" spans="1:12">
      <c r="A738" s="114" t="s">
        <v>633</v>
      </c>
      <c r="B738" s="2540" t="s">
        <v>351</v>
      </c>
      <c r="C738" s="2543">
        <v>2413783834</v>
      </c>
      <c r="D738" s="2543">
        <v>2403278297</v>
      </c>
      <c r="E738" s="2543">
        <v>2413783834</v>
      </c>
      <c r="F738" s="2543">
        <v>2403278297</v>
      </c>
      <c r="G738" s="2541">
        <v>2027243426</v>
      </c>
      <c r="H738" s="2541">
        <v>2027243426</v>
      </c>
      <c r="I738" s="2541">
        <v>2413783834</v>
      </c>
      <c r="J738" s="2545">
        <v>2403278297</v>
      </c>
      <c r="K738" s="2543">
        <v>2413783834</v>
      </c>
      <c r="L738" s="2543">
        <v>2403278297</v>
      </c>
    </row>
    <row r="739" spans="1:12">
      <c r="A739" s="114" t="s">
        <v>191</v>
      </c>
      <c r="B739" s="2540" t="s">
        <v>3098</v>
      </c>
      <c r="C739" s="2543">
        <v>543233141</v>
      </c>
      <c r="D739" s="2543">
        <v>517701081</v>
      </c>
      <c r="E739" s="2543">
        <v>543233141</v>
      </c>
      <c r="F739" s="2543">
        <v>517701081</v>
      </c>
      <c r="G739" s="2541">
        <v>511626316</v>
      </c>
      <c r="H739" s="2541">
        <v>511626316</v>
      </c>
      <c r="I739" s="2541">
        <v>543233141</v>
      </c>
      <c r="J739" s="2545">
        <v>517701081</v>
      </c>
      <c r="K739" s="2543">
        <v>543233141</v>
      </c>
      <c r="L739" s="2543">
        <v>517701081</v>
      </c>
    </row>
    <row r="740" spans="1:12">
      <c r="A740" s="114" t="s">
        <v>869</v>
      </c>
      <c r="B740" s="2540" t="s">
        <v>352</v>
      </c>
      <c r="C740" s="2543">
        <v>2611555410</v>
      </c>
      <c r="D740" s="2543">
        <v>2587554023</v>
      </c>
      <c r="E740" s="2543">
        <v>2577957433</v>
      </c>
      <c r="F740" s="2543">
        <v>2553956046</v>
      </c>
      <c r="G740" s="2541">
        <v>2312687753</v>
      </c>
      <c r="H740" s="2541">
        <v>2282201160</v>
      </c>
      <c r="I740" s="2541">
        <v>2721189573</v>
      </c>
      <c r="J740" s="2545">
        <v>2697188186</v>
      </c>
      <c r="K740" s="2543">
        <v>2687591596</v>
      </c>
      <c r="L740" s="2543">
        <v>2663590209</v>
      </c>
    </row>
    <row r="741" spans="1:12">
      <c r="A741" s="114" t="s">
        <v>1087</v>
      </c>
      <c r="B741" s="2540" t="s">
        <v>353</v>
      </c>
      <c r="C741" s="2543">
        <v>339109029</v>
      </c>
      <c r="D741" s="2543">
        <v>330716439</v>
      </c>
      <c r="E741" s="2543">
        <v>339109029</v>
      </c>
      <c r="F741" s="2543">
        <v>330716439</v>
      </c>
      <c r="G741" s="2541">
        <v>271108664</v>
      </c>
      <c r="H741" s="2541">
        <v>271108664</v>
      </c>
      <c r="I741" s="2541">
        <v>339109029</v>
      </c>
      <c r="J741" s="2545">
        <v>330716439</v>
      </c>
      <c r="K741" s="2543">
        <v>339109029</v>
      </c>
      <c r="L741" s="2543">
        <v>330716439</v>
      </c>
    </row>
    <row r="742" spans="1:12">
      <c r="A742" s="114" t="s">
        <v>2452</v>
      </c>
      <c r="B742" s="2540" t="s">
        <v>354</v>
      </c>
      <c r="C742" s="2543">
        <v>2895988046</v>
      </c>
      <c r="D742" s="2543">
        <v>2830957079</v>
      </c>
      <c r="E742" s="2543">
        <v>2895988046</v>
      </c>
      <c r="F742" s="2543">
        <v>2830957079</v>
      </c>
      <c r="G742" s="2541">
        <v>2616536651</v>
      </c>
      <c r="H742" s="2541">
        <v>2616536651</v>
      </c>
      <c r="I742" s="2541">
        <v>2895988046</v>
      </c>
      <c r="J742" s="2545">
        <v>2830957079</v>
      </c>
      <c r="K742" s="2543">
        <v>2895988046</v>
      </c>
      <c r="L742" s="2543">
        <v>2830957079</v>
      </c>
    </row>
    <row r="743" spans="1:12">
      <c r="A743" s="114" t="s">
        <v>2453</v>
      </c>
      <c r="B743" s="2540" t="s">
        <v>355</v>
      </c>
      <c r="C743" s="2543">
        <v>781097761</v>
      </c>
      <c r="D743" s="2543">
        <v>766963661</v>
      </c>
      <c r="E743" s="2543">
        <v>781097761</v>
      </c>
      <c r="F743" s="2543">
        <v>766963661</v>
      </c>
      <c r="G743" s="2541">
        <v>726657589</v>
      </c>
      <c r="H743" s="2541">
        <v>726657589</v>
      </c>
      <c r="I743" s="2541">
        <v>781097761</v>
      </c>
      <c r="J743" s="2545">
        <v>766963661</v>
      </c>
      <c r="K743" s="2543">
        <v>781097761</v>
      </c>
      <c r="L743" s="2543">
        <v>766963661</v>
      </c>
    </row>
    <row r="744" spans="1:12">
      <c r="A744" s="114" t="s">
        <v>237</v>
      </c>
      <c r="B744" s="2540" t="s">
        <v>1123</v>
      </c>
      <c r="C744" s="2543">
        <v>1144724646</v>
      </c>
      <c r="D744" s="2543">
        <v>1125961445</v>
      </c>
      <c r="E744" s="2543">
        <v>1144724646</v>
      </c>
      <c r="F744" s="2543">
        <v>1125961445</v>
      </c>
      <c r="G744" s="2541">
        <v>1772463969</v>
      </c>
      <c r="H744" s="2541">
        <v>1772463969</v>
      </c>
      <c r="I744" s="2541">
        <v>1344942506</v>
      </c>
      <c r="J744" s="2545">
        <v>1326179305</v>
      </c>
      <c r="K744" s="2543">
        <v>1344942506</v>
      </c>
      <c r="L744" s="2543">
        <v>1326179305</v>
      </c>
    </row>
    <row r="745" spans="1:12">
      <c r="A745" s="114" t="s">
        <v>1097</v>
      </c>
      <c r="B745" s="2540" t="s">
        <v>356</v>
      </c>
      <c r="C745" s="2543">
        <v>146527898</v>
      </c>
      <c r="D745" s="2543">
        <v>143640598</v>
      </c>
      <c r="E745" s="2543">
        <v>146527898</v>
      </c>
      <c r="F745" s="2543">
        <v>143640598</v>
      </c>
      <c r="G745" s="2541">
        <v>230917761</v>
      </c>
      <c r="H745" s="2541">
        <v>230917761</v>
      </c>
      <c r="I745" s="2541">
        <v>464763588</v>
      </c>
      <c r="J745" s="2545">
        <v>461876288</v>
      </c>
      <c r="K745" s="2543">
        <v>464763588</v>
      </c>
      <c r="L745" s="2543">
        <v>461876288</v>
      </c>
    </row>
    <row r="746" spans="1:12">
      <c r="A746" s="114" t="s">
        <v>1098</v>
      </c>
      <c r="B746" s="2540" t="s">
        <v>357</v>
      </c>
      <c r="C746" s="2543">
        <v>63162766</v>
      </c>
      <c r="D746" s="2543">
        <v>62595851</v>
      </c>
      <c r="E746" s="2543">
        <v>63162766</v>
      </c>
      <c r="F746" s="2543">
        <v>62595851</v>
      </c>
      <c r="G746" s="2541">
        <v>73002609</v>
      </c>
      <c r="H746" s="2541">
        <v>73002609</v>
      </c>
      <c r="I746" s="2541">
        <v>328386226</v>
      </c>
      <c r="J746" s="2545">
        <v>327819311</v>
      </c>
      <c r="K746" s="2543">
        <v>328386226</v>
      </c>
      <c r="L746" s="2543">
        <v>327819311</v>
      </c>
    </row>
    <row r="747" spans="1:12">
      <c r="A747" s="114" t="s">
        <v>1099</v>
      </c>
      <c r="B747" s="2540" t="s">
        <v>358</v>
      </c>
      <c r="C747" s="2543">
        <v>72553073</v>
      </c>
      <c r="D747" s="2543">
        <v>71819789</v>
      </c>
      <c r="E747" s="2543">
        <v>72553073</v>
      </c>
      <c r="F747" s="2543">
        <v>71819789</v>
      </c>
      <c r="G747" s="2541">
        <v>83064598</v>
      </c>
      <c r="H747" s="2541">
        <v>83064598</v>
      </c>
      <c r="I747" s="2541">
        <v>208222943</v>
      </c>
      <c r="J747" s="2545">
        <v>207489659</v>
      </c>
      <c r="K747" s="2543">
        <v>208222943</v>
      </c>
      <c r="L747" s="2543">
        <v>207489659</v>
      </c>
    </row>
    <row r="748" spans="1:12">
      <c r="A748" s="114" t="s">
        <v>2225</v>
      </c>
      <c r="B748" s="2540" t="s">
        <v>2121</v>
      </c>
      <c r="C748" s="2543">
        <v>1031756368</v>
      </c>
      <c r="D748" s="2543">
        <v>997220473</v>
      </c>
      <c r="E748" s="2543">
        <v>1031756368</v>
      </c>
      <c r="F748" s="2543">
        <v>997220473</v>
      </c>
      <c r="G748" s="2541">
        <v>946124335</v>
      </c>
      <c r="H748" s="2541">
        <v>921404761</v>
      </c>
      <c r="I748" s="2541">
        <v>1031756368</v>
      </c>
      <c r="J748" s="2545">
        <v>997220473</v>
      </c>
      <c r="K748" s="2543">
        <v>1031756368</v>
      </c>
      <c r="L748" s="2543">
        <v>997220473</v>
      </c>
    </row>
    <row r="749" spans="1:12">
      <c r="A749" s="114" t="s">
        <v>1100</v>
      </c>
      <c r="B749" s="2540" t="s">
        <v>359</v>
      </c>
      <c r="C749" s="2543">
        <v>543424604</v>
      </c>
      <c r="D749" s="2543">
        <v>522570907</v>
      </c>
      <c r="E749" s="2543">
        <v>513914673</v>
      </c>
      <c r="F749" s="2543">
        <v>493060976</v>
      </c>
      <c r="G749" s="2541">
        <v>475038263</v>
      </c>
      <c r="H749" s="2541">
        <v>448377266</v>
      </c>
      <c r="I749" s="2541">
        <v>543424604</v>
      </c>
      <c r="J749" s="2545">
        <v>522570907</v>
      </c>
      <c r="K749" s="2543">
        <v>513914673</v>
      </c>
      <c r="L749" s="2543">
        <v>493060976</v>
      </c>
    </row>
    <row r="750" spans="1:12">
      <c r="A750" s="114" t="s">
        <v>1101</v>
      </c>
      <c r="B750" s="2540" t="s">
        <v>2659</v>
      </c>
      <c r="C750" s="2543">
        <v>1829763568</v>
      </c>
      <c r="D750" s="2543">
        <v>1794942178</v>
      </c>
      <c r="E750" s="2543">
        <v>1799705913</v>
      </c>
      <c r="F750" s="2543">
        <v>1764884523</v>
      </c>
      <c r="G750" s="2541">
        <v>1826951242</v>
      </c>
      <c r="H750" s="2541">
        <v>1796789725</v>
      </c>
      <c r="I750" s="2541">
        <v>1829763568</v>
      </c>
      <c r="J750" s="2545">
        <v>1794942178</v>
      </c>
      <c r="K750" s="2543">
        <v>1799705913</v>
      </c>
      <c r="L750" s="2543">
        <v>1764884523</v>
      </c>
    </row>
    <row r="751" spans="1:12">
      <c r="A751" s="114" t="s">
        <v>1655</v>
      </c>
      <c r="B751" s="2540" t="s">
        <v>156</v>
      </c>
      <c r="C751" s="2543">
        <v>1147528436</v>
      </c>
      <c r="D751" s="2543">
        <v>1093022887</v>
      </c>
      <c r="E751" s="2543">
        <v>1108168650</v>
      </c>
      <c r="F751" s="2543">
        <v>1053663101</v>
      </c>
      <c r="G751" s="2541">
        <v>1070217986</v>
      </c>
      <c r="H751" s="2541">
        <v>1032651870</v>
      </c>
      <c r="I751" s="2541">
        <v>1147528436</v>
      </c>
      <c r="J751" s="2545">
        <v>1093022887</v>
      </c>
      <c r="K751" s="2543">
        <v>1108168650</v>
      </c>
      <c r="L751" s="2543">
        <v>1053663101</v>
      </c>
    </row>
    <row r="752" spans="1:12">
      <c r="A752" s="114" t="s">
        <v>1248</v>
      </c>
      <c r="B752" s="2540" t="s">
        <v>4584</v>
      </c>
      <c r="C752" s="2543">
        <v>1007407644</v>
      </c>
      <c r="D752" s="2543">
        <v>960368299</v>
      </c>
      <c r="E752" s="2543">
        <v>962273974</v>
      </c>
      <c r="F752" s="2543">
        <v>915234629</v>
      </c>
      <c r="G752" s="2541">
        <v>966932095</v>
      </c>
      <c r="H752" s="2541">
        <v>922593303</v>
      </c>
      <c r="I752" s="2541">
        <v>1007407644</v>
      </c>
      <c r="J752" s="2545">
        <v>960368299</v>
      </c>
      <c r="K752" s="2543">
        <v>962273974</v>
      </c>
      <c r="L752" s="2543">
        <v>915234629</v>
      </c>
    </row>
    <row r="753" spans="1:12">
      <c r="A753" s="114" t="s">
        <v>1249</v>
      </c>
      <c r="B753" s="2540" t="s">
        <v>362</v>
      </c>
      <c r="C753" s="2543">
        <v>159578995</v>
      </c>
      <c r="D753" s="2543">
        <v>156310135</v>
      </c>
      <c r="E753" s="2543">
        <v>159578995</v>
      </c>
      <c r="F753" s="2543">
        <v>156310135</v>
      </c>
      <c r="G753" s="2541">
        <v>161149944</v>
      </c>
      <c r="H753" s="2541">
        <v>161149944</v>
      </c>
      <c r="I753" s="2541">
        <v>159578995</v>
      </c>
      <c r="J753" s="2545">
        <v>156310135</v>
      </c>
      <c r="K753" s="2543">
        <v>159578995</v>
      </c>
      <c r="L753" s="2543">
        <v>156310135</v>
      </c>
    </row>
    <row r="754" spans="1:12">
      <c r="A754" s="114" t="s">
        <v>1250</v>
      </c>
      <c r="B754" s="2540" t="s">
        <v>363</v>
      </c>
      <c r="C754" s="2543">
        <v>954404135</v>
      </c>
      <c r="D754" s="2543">
        <v>948992842</v>
      </c>
      <c r="E754" s="2543">
        <v>954404135</v>
      </c>
      <c r="F754" s="2543">
        <v>948992842</v>
      </c>
      <c r="G754" s="2541">
        <v>996383547</v>
      </c>
      <c r="H754" s="2541">
        <v>996383547</v>
      </c>
      <c r="I754" s="2541">
        <v>954404135</v>
      </c>
      <c r="J754" s="2545">
        <v>948992842</v>
      </c>
      <c r="K754" s="2543">
        <v>954404135</v>
      </c>
      <c r="L754" s="2543">
        <v>948992842</v>
      </c>
    </row>
    <row r="755" spans="1:12">
      <c r="A755" s="114" t="s">
        <v>2902</v>
      </c>
      <c r="B755" s="2540" t="s">
        <v>2559</v>
      </c>
      <c r="C755" s="2543">
        <v>763224434</v>
      </c>
      <c r="D755" s="2543">
        <v>729129076</v>
      </c>
      <c r="E755" s="2543">
        <v>763224434</v>
      </c>
      <c r="F755" s="2543">
        <v>729129076</v>
      </c>
      <c r="G755" s="2541">
        <v>779256547</v>
      </c>
      <c r="H755" s="2541">
        <v>779256547</v>
      </c>
      <c r="I755" s="2541">
        <v>763224434</v>
      </c>
      <c r="J755" s="2545">
        <v>729129076</v>
      </c>
      <c r="K755" s="2543">
        <v>763224434</v>
      </c>
      <c r="L755" s="2543">
        <v>729129076</v>
      </c>
    </row>
    <row r="756" spans="1:12">
      <c r="A756" s="114" t="s">
        <v>1529</v>
      </c>
      <c r="B756" s="2540" t="s">
        <v>364</v>
      </c>
      <c r="C756" s="2543">
        <v>276657824</v>
      </c>
      <c r="D756" s="2543">
        <v>268534512</v>
      </c>
      <c r="E756" s="2543">
        <v>276657824</v>
      </c>
      <c r="F756" s="2543">
        <v>268534512</v>
      </c>
      <c r="G756" s="2541">
        <v>282135125</v>
      </c>
      <c r="H756" s="2541">
        <v>282135125</v>
      </c>
      <c r="I756" s="2541">
        <v>276657824</v>
      </c>
      <c r="J756" s="2545">
        <v>268534512</v>
      </c>
      <c r="K756" s="2543">
        <v>276657824</v>
      </c>
      <c r="L756" s="2543">
        <v>268534512</v>
      </c>
    </row>
    <row r="757" spans="1:12">
      <c r="A757" s="114" t="s">
        <v>1530</v>
      </c>
      <c r="B757" s="2540" t="s">
        <v>365</v>
      </c>
      <c r="C757" s="2543">
        <v>55339244</v>
      </c>
      <c r="D757" s="2543">
        <v>53899855</v>
      </c>
      <c r="E757" s="2543">
        <v>55339244</v>
      </c>
      <c r="F757" s="2543">
        <v>53899855</v>
      </c>
      <c r="G757" s="2541">
        <v>67163881</v>
      </c>
      <c r="H757" s="2541">
        <v>67163881</v>
      </c>
      <c r="I757" s="2541">
        <v>55339244</v>
      </c>
      <c r="J757" s="2545">
        <v>53899855</v>
      </c>
      <c r="K757" s="2543">
        <v>55339244</v>
      </c>
      <c r="L757" s="2543">
        <v>53899855</v>
      </c>
    </row>
    <row r="758" spans="1:12">
      <c r="A758" s="114" t="s">
        <v>1531</v>
      </c>
      <c r="B758" s="2540" t="s">
        <v>471</v>
      </c>
      <c r="C758" s="2543">
        <v>517247136</v>
      </c>
      <c r="D758" s="2543">
        <v>514744069</v>
      </c>
      <c r="E758" s="2543">
        <v>508769894</v>
      </c>
      <c r="F758" s="2543">
        <v>506266827</v>
      </c>
      <c r="G758" s="2541">
        <v>536754083</v>
      </c>
      <c r="H758" s="2541">
        <v>528389055</v>
      </c>
      <c r="I758" s="2541">
        <v>517247136</v>
      </c>
      <c r="J758" s="2545">
        <v>514744069</v>
      </c>
      <c r="K758" s="2543">
        <v>508769894</v>
      </c>
      <c r="L758" s="2543">
        <v>506266827</v>
      </c>
    </row>
    <row r="759" spans="1:12">
      <c r="A759" s="114" t="s">
        <v>1532</v>
      </c>
      <c r="B759" s="2540" t="s">
        <v>472</v>
      </c>
      <c r="C759" s="2543">
        <v>386465961</v>
      </c>
      <c r="D759" s="2543">
        <v>380897631</v>
      </c>
      <c r="E759" s="2543">
        <v>379863971</v>
      </c>
      <c r="F759" s="2543">
        <v>374295641</v>
      </c>
      <c r="G759" s="2541">
        <v>491489059</v>
      </c>
      <c r="H759" s="2541">
        <v>484809887</v>
      </c>
      <c r="I759" s="2541">
        <v>386465961</v>
      </c>
      <c r="J759" s="2545">
        <v>380897631</v>
      </c>
      <c r="K759" s="2543">
        <v>379863971</v>
      </c>
      <c r="L759" s="2543">
        <v>374295641</v>
      </c>
    </row>
    <row r="760" spans="1:12">
      <c r="A760" s="114" t="s">
        <v>1533</v>
      </c>
      <c r="B760" s="2540" t="s">
        <v>473</v>
      </c>
      <c r="C760" s="2543">
        <v>2772069291</v>
      </c>
      <c r="D760" s="2543">
        <v>2734203051</v>
      </c>
      <c r="E760" s="2543">
        <v>2728766031</v>
      </c>
      <c r="F760" s="2543">
        <v>2690899791</v>
      </c>
      <c r="G760" s="2541">
        <v>3572394525</v>
      </c>
      <c r="H760" s="2541">
        <v>3528928652</v>
      </c>
      <c r="I760" s="2541">
        <v>2772069291</v>
      </c>
      <c r="J760" s="2545">
        <v>2734203051</v>
      </c>
      <c r="K760" s="2543">
        <v>2728766031</v>
      </c>
      <c r="L760" s="2543">
        <v>2690899791</v>
      </c>
    </row>
    <row r="761" spans="1:12">
      <c r="A761" s="114" t="s">
        <v>2974</v>
      </c>
      <c r="B761" s="2540" t="s">
        <v>494</v>
      </c>
      <c r="C761" s="2543">
        <v>165447300</v>
      </c>
      <c r="D761" s="2543">
        <v>160988740</v>
      </c>
      <c r="E761" s="2543">
        <v>160968245</v>
      </c>
      <c r="F761" s="2543">
        <v>156509685</v>
      </c>
      <c r="G761" s="2541">
        <v>280719498</v>
      </c>
      <c r="H761" s="2541">
        <v>276079116</v>
      </c>
      <c r="I761" s="2541">
        <v>165447300</v>
      </c>
      <c r="J761" s="2545">
        <v>160988740</v>
      </c>
      <c r="K761" s="2543">
        <v>160968245</v>
      </c>
      <c r="L761" s="2543">
        <v>156509685</v>
      </c>
    </row>
    <row r="762" spans="1:12">
      <c r="A762" s="114" t="s">
        <v>805</v>
      </c>
      <c r="B762" s="2540" t="s">
        <v>1130</v>
      </c>
      <c r="C762" s="2543">
        <v>181640644</v>
      </c>
      <c r="D762" s="2543">
        <v>175536363</v>
      </c>
      <c r="E762" s="2543">
        <v>181640644</v>
      </c>
      <c r="F762" s="2543">
        <v>175536363</v>
      </c>
      <c r="G762" s="2541">
        <v>180457317</v>
      </c>
      <c r="H762" s="2541">
        <v>180457317</v>
      </c>
      <c r="I762" s="2541">
        <v>181640644</v>
      </c>
      <c r="J762" s="2545">
        <v>175536363</v>
      </c>
      <c r="K762" s="2543">
        <v>181640644</v>
      </c>
      <c r="L762" s="2543">
        <v>175536363</v>
      </c>
    </row>
    <row r="763" spans="1:12">
      <c r="A763" s="114" t="s">
        <v>1703</v>
      </c>
      <c r="B763" s="2540" t="s">
        <v>2211</v>
      </c>
      <c r="C763" s="2543">
        <v>937872047</v>
      </c>
      <c r="D763" s="2543">
        <v>894615451</v>
      </c>
      <c r="E763" s="2543">
        <v>937872047</v>
      </c>
      <c r="F763" s="2543">
        <v>894615451</v>
      </c>
      <c r="G763" s="2541">
        <v>925036922</v>
      </c>
      <c r="H763" s="2541">
        <v>925036922</v>
      </c>
      <c r="I763" s="2541">
        <v>937872047</v>
      </c>
      <c r="J763" s="2545">
        <v>894615451</v>
      </c>
      <c r="K763" s="2543">
        <v>937872047</v>
      </c>
      <c r="L763" s="2543">
        <v>894615451</v>
      </c>
    </row>
    <row r="764" spans="1:12">
      <c r="A764" s="114" t="s">
        <v>1656</v>
      </c>
      <c r="B764" s="2540" t="s">
        <v>161</v>
      </c>
      <c r="C764" s="2543">
        <v>3824369318</v>
      </c>
      <c r="D764" s="2543">
        <v>3711133633</v>
      </c>
      <c r="E764" s="2543">
        <v>3824369318</v>
      </c>
      <c r="F764" s="2543">
        <v>3711133633</v>
      </c>
      <c r="G764" s="2541">
        <v>3674095149</v>
      </c>
      <c r="H764" s="2541">
        <v>3674095149</v>
      </c>
      <c r="I764" s="2541">
        <v>3824369318</v>
      </c>
      <c r="J764" s="2545">
        <v>3711133633</v>
      </c>
      <c r="K764" s="2543">
        <v>3824369318</v>
      </c>
      <c r="L764" s="2543">
        <v>3711133633</v>
      </c>
    </row>
    <row r="765" spans="1:12">
      <c r="A765" s="114" t="s">
        <v>2901</v>
      </c>
      <c r="B765" s="2540" t="s">
        <v>2558</v>
      </c>
      <c r="C765" s="2543">
        <v>315771118</v>
      </c>
      <c r="D765" s="2543">
        <v>305609758</v>
      </c>
      <c r="E765" s="2543">
        <v>315771118</v>
      </c>
      <c r="F765" s="2543">
        <v>305609758</v>
      </c>
      <c r="G765" s="2541">
        <v>294401492</v>
      </c>
      <c r="H765" s="2541">
        <v>294401492</v>
      </c>
      <c r="I765" s="2541">
        <v>315771118</v>
      </c>
      <c r="J765" s="2545">
        <v>305609758</v>
      </c>
      <c r="K765" s="2543">
        <v>315771118</v>
      </c>
      <c r="L765" s="2543">
        <v>305609758</v>
      </c>
    </row>
    <row r="766" spans="1:12">
      <c r="A766" s="114" t="s">
        <v>1563</v>
      </c>
      <c r="B766" s="2540" t="s">
        <v>474</v>
      </c>
      <c r="C766" s="2543">
        <v>2801213966</v>
      </c>
      <c r="D766" s="2543">
        <v>2740323557</v>
      </c>
      <c r="E766" s="2543">
        <v>2801213966</v>
      </c>
      <c r="F766" s="2543">
        <v>2740323557</v>
      </c>
      <c r="G766" s="2541">
        <v>2680825375</v>
      </c>
      <c r="H766" s="2541">
        <v>2680825375</v>
      </c>
      <c r="I766" s="2541">
        <v>2801213966</v>
      </c>
      <c r="J766" s="2545">
        <v>2740323557</v>
      </c>
      <c r="K766" s="2543">
        <v>2801213966</v>
      </c>
      <c r="L766" s="2543">
        <v>2740323557</v>
      </c>
    </row>
    <row r="767" spans="1:12">
      <c r="A767" s="114" t="s">
        <v>236</v>
      </c>
      <c r="B767" s="2540" t="s">
        <v>2988</v>
      </c>
      <c r="C767" s="2543">
        <v>295146193</v>
      </c>
      <c r="D767" s="2543">
        <v>284438739</v>
      </c>
      <c r="E767" s="2543">
        <v>295146193</v>
      </c>
      <c r="F767" s="2543">
        <v>284438739</v>
      </c>
      <c r="G767" s="2541">
        <v>271547356</v>
      </c>
      <c r="H767" s="2541">
        <v>271547356</v>
      </c>
      <c r="I767" s="2541">
        <v>295146193</v>
      </c>
      <c r="J767" s="2545">
        <v>284438739</v>
      </c>
      <c r="K767" s="2543">
        <v>295146193</v>
      </c>
      <c r="L767" s="2543">
        <v>284438739</v>
      </c>
    </row>
    <row r="768" spans="1:12">
      <c r="A768" s="114" t="s">
        <v>2144</v>
      </c>
      <c r="B768" s="2540" t="s">
        <v>2122</v>
      </c>
      <c r="C768" s="2543">
        <v>524321997</v>
      </c>
      <c r="D768" s="2543">
        <v>511753187</v>
      </c>
      <c r="E768" s="2543">
        <v>524321997</v>
      </c>
      <c r="F768" s="2543">
        <v>511753187</v>
      </c>
      <c r="G768" s="2541">
        <v>474726961</v>
      </c>
      <c r="H768" s="2541">
        <v>474726961</v>
      </c>
      <c r="I768" s="2541">
        <v>524321997</v>
      </c>
      <c r="J768" s="2545">
        <v>511753187</v>
      </c>
      <c r="K768" s="2543">
        <v>524321997</v>
      </c>
      <c r="L768" s="2543">
        <v>511753187</v>
      </c>
    </row>
    <row r="769" spans="1:12">
      <c r="A769" s="114" t="s">
        <v>1834</v>
      </c>
      <c r="B769" s="2540" t="s">
        <v>475</v>
      </c>
      <c r="C769" s="2543">
        <v>169507311</v>
      </c>
      <c r="D769" s="2543">
        <v>165529071</v>
      </c>
      <c r="E769" s="2543">
        <v>169507311</v>
      </c>
      <c r="F769" s="2543">
        <v>165529071</v>
      </c>
      <c r="G769" s="2541">
        <v>170639345</v>
      </c>
      <c r="H769" s="2541">
        <v>170639345</v>
      </c>
      <c r="I769" s="2541">
        <v>169507311</v>
      </c>
      <c r="J769" s="2545">
        <v>165529071</v>
      </c>
      <c r="K769" s="2543">
        <v>169507311</v>
      </c>
      <c r="L769" s="2543">
        <v>165529071</v>
      </c>
    </row>
    <row r="770" spans="1:12">
      <c r="A770" s="114" t="s">
        <v>1835</v>
      </c>
      <c r="B770" s="2540" t="s">
        <v>476</v>
      </c>
      <c r="C770" s="2543">
        <v>110725722</v>
      </c>
      <c r="D770" s="2543">
        <v>107758238</v>
      </c>
      <c r="E770" s="2543">
        <v>110725722</v>
      </c>
      <c r="F770" s="2543">
        <v>107758238</v>
      </c>
      <c r="G770" s="2541">
        <v>125842572</v>
      </c>
      <c r="H770" s="2541">
        <v>125842572</v>
      </c>
      <c r="I770" s="2541">
        <v>131708493</v>
      </c>
      <c r="J770" s="2545">
        <v>128741009</v>
      </c>
      <c r="K770" s="2543">
        <v>131708493</v>
      </c>
      <c r="L770" s="2543">
        <v>128741009</v>
      </c>
    </row>
    <row r="771" spans="1:12">
      <c r="A771" s="114" t="s">
        <v>1836</v>
      </c>
      <c r="B771" s="2540" t="s">
        <v>477</v>
      </c>
      <c r="C771" s="2543">
        <v>173498336</v>
      </c>
      <c r="D771" s="2543">
        <v>169323760</v>
      </c>
      <c r="E771" s="2543">
        <v>173498336</v>
      </c>
      <c r="F771" s="2543">
        <v>169323760</v>
      </c>
      <c r="G771" s="2541">
        <v>155845290</v>
      </c>
      <c r="H771" s="2541">
        <v>155845290</v>
      </c>
      <c r="I771" s="2541">
        <v>173498336</v>
      </c>
      <c r="J771" s="2545">
        <v>169323760</v>
      </c>
      <c r="K771" s="2543">
        <v>173498336</v>
      </c>
      <c r="L771" s="2543">
        <v>169323760</v>
      </c>
    </row>
    <row r="772" spans="1:12">
      <c r="A772" s="114" t="s">
        <v>1837</v>
      </c>
      <c r="B772" s="2540" t="s">
        <v>478</v>
      </c>
      <c r="C772" s="2543">
        <v>356873470</v>
      </c>
      <c r="D772" s="2543">
        <v>349063086</v>
      </c>
      <c r="E772" s="2543">
        <v>356873470</v>
      </c>
      <c r="F772" s="2543">
        <v>349063086</v>
      </c>
      <c r="G772" s="2541">
        <v>344736680</v>
      </c>
      <c r="H772" s="2541">
        <v>344736680</v>
      </c>
      <c r="I772" s="2541">
        <v>356873470</v>
      </c>
      <c r="J772" s="2545">
        <v>349063086</v>
      </c>
      <c r="K772" s="2543">
        <v>356873470</v>
      </c>
      <c r="L772" s="2543">
        <v>349063086</v>
      </c>
    </row>
    <row r="773" spans="1:12">
      <c r="A773" s="114" t="s">
        <v>1838</v>
      </c>
      <c r="B773" s="2540" t="s">
        <v>479</v>
      </c>
      <c r="C773" s="2543">
        <v>67993736</v>
      </c>
      <c r="D773" s="2543">
        <v>66898761</v>
      </c>
      <c r="E773" s="2543">
        <v>67993736</v>
      </c>
      <c r="F773" s="2543">
        <v>66898761</v>
      </c>
      <c r="G773" s="2541">
        <v>64546102</v>
      </c>
      <c r="H773" s="2541">
        <v>64546102</v>
      </c>
      <c r="I773" s="2541">
        <v>67993736</v>
      </c>
      <c r="J773" s="2545">
        <v>66898761</v>
      </c>
      <c r="K773" s="2543">
        <v>67993736</v>
      </c>
      <c r="L773" s="2543">
        <v>66898761</v>
      </c>
    </row>
    <row r="774" spans="1:12">
      <c r="A774" s="114" t="s">
        <v>2140</v>
      </c>
      <c r="B774" s="2540" t="s">
        <v>480</v>
      </c>
      <c r="C774" s="2543">
        <v>207066694</v>
      </c>
      <c r="D774" s="2543">
        <v>206494504</v>
      </c>
      <c r="E774" s="2543">
        <v>206719539</v>
      </c>
      <c r="F774" s="2543">
        <v>206147349</v>
      </c>
      <c r="G774" s="2541">
        <v>241518413</v>
      </c>
      <c r="H774" s="2541">
        <v>241225593</v>
      </c>
      <c r="I774" s="2541">
        <v>311542694</v>
      </c>
      <c r="J774" s="2545">
        <v>310970504</v>
      </c>
      <c r="K774" s="2543">
        <v>311195539</v>
      </c>
      <c r="L774" s="2543">
        <v>310623349</v>
      </c>
    </row>
    <row r="775" spans="1:12">
      <c r="A775" s="114" t="s">
        <v>2625</v>
      </c>
      <c r="B775" s="2540" t="s">
        <v>2660</v>
      </c>
      <c r="C775" s="2543">
        <v>1101981884</v>
      </c>
      <c r="D775" s="2543">
        <v>1079605234</v>
      </c>
      <c r="E775" s="2543">
        <v>1085096084</v>
      </c>
      <c r="F775" s="2543">
        <v>1062719434</v>
      </c>
      <c r="G775" s="2541">
        <v>1178942694</v>
      </c>
      <c r="H775" s="2541">
        <v>1162590647</v>
      </c>
      <c r="I775" s="2541">
        <v>1391749404</v>
      </c>
      <c r="J775" s="2545">
        <v>1369372754</v>
      </c>
      <c r="K775" s="2543">
        <v>1374863604</v>
      </c>
      <c r="L775" s="2543">
        <v>1352486954</v>
      </c>
    </row>
    <row r="776" spans="1:12">
      <c r="A776" s="114" t="s">
        <v>2614</v>
      </c>
      <c r="B776" s="2540" t="s">
        <v>482</v>
      </c>
      <c r="C776" s="2543">
        <v>888165527</v>
      </c>
      <c r="D776" s="2543">
        <v>885055587</v>
      </c>
      <c r="E776" s="2543">
        <v>886183582</v>
      </c>
      <c r="F776" s="2543">
        <v>883073642</v>
      </c>
      <c r="G776" s="2541">
        <v>2083611216</v>
      </c>
      <c r="H776" s="2541">
        <v>2081730987</v>
      </c>
      <c r="I776" s="2541">
        <v>976328937</v>
      </c>
      <c r="J776" s="2545">
        <v>973218997</v>
      </c>
      <c r="K776" s="2543">
        <v>974346992</v>
      </c>
      <c r="L776" s="2543">
        <v>971237052</v>
      </c>
    </row>
    <row r="777" spans="1:12">
      <c r="A777" s="114" t="s">
        <v>1477</v>
      </c>
      <c r="B777" s="2540" t="s">
        <v>483</v>
      </c>
      <c r="C777" s="2543">
        <v>192686775</v>
      </c>
      <c r="D777" s="2543">
        <v>188333530</v>
      </c>
      <c r="E777" s="2543">
        <v>189194473</v>
      </c>
      <c r="F777" s="2543">
        <v>184841228</v>
      </c>
      <c r="G777" s="2541">
        <v>328990238</v>
      </c>
      <c r="H777" s="2541">
        <v>325653432</v>
      </c>
      <c r="I777" s="2541">
        <v>192686775</v>
      </c>
      <c r="J777" s="2545">
        <v>188333530</v>
      </c>
      <c r="K777" s="2543">
        <v>189194473</v>
      </c>
      <c r="L777" s="2543">
        <v>184841228</v>
      </c>
    </row>
    <row r="778" spans="1:12">
      <c r="A778" s="114" t="s">
        <v>790</v>
      </c>
      <c r="B778" s="2540" t="s">
        <v>484</v>
      </c>
      <c r="C778" s="2543">
        <v>107982679</v>
      </c>
      <c r="D778" s="2543">
        <v>103366569</v>
      </c>
      <c r="E778" s="2543">
        <v>107982679</v>
      </c>
      <c r="F778" s="2543">
        <v>103366569</v>
      </c>
      <c r="G778" s="2541">
        <v>112637548</v>
      </c>
      <c r="H778" s="2541">
        <v>112637548</v>
      </c>
      <c r="I778" s="2541">
        <v>107982679</v>
      </c>
      <c r="J778" s="2545">
        <v>103366569</v>
      </c>
      <c r="K778" s="2543">
        <v>107982679</v>
      </c>
      <c r="L778" s="2543">
        <v>103366569</v>
      </c>
    </row>
    <row r="779" spans="1:12">
      <c r="A779" s="114" t="s">
        <v>2917</v>
      </c>
      <c r="B779" s="2540" t="s">
        <v>485</v>
      </c>
      <c r="C779" s="2543">
        <v>376881385</v>
      </c>
      <c r="D779" s="2543">
        <v>368051109</v>
      </c>
      <c r="E779" s="2543">
        <v>370072344</v>
      </c>
      <c r="F779" s="2543">
        <v>361242068</v>
      </c>
      <c r="G779" s="2541">
        <v>314877983</v>
      </c>
      <c r="H779" s="2541">
        <v>308207139</v>
      </c>
      <c r="I779" s="2541">
        <v>376881385</v>
      </c>
      <c r="J779" s="2545">
        <v>368051109</v>
      </c>
      <c r="K779" s="2543">
        <v>370072344</v>
      </c>
      <c r="L779" s="2543">
        <v>361242068</v>
      </c>
    </row>
    <row r="780" spans="1:12">
      <c r="A780" s="114" t="s">
        <v>791</v>
      </c>
      <c r="B780" s="2540" t="s">
        <v>486</v>
      </c>
      <c r="C780" s="2543">
        <v>88049593</v>
      </c>
      <c r="D780" s="2543">
        <v>85721202</v>
      </c>
      <c r="E780" s="2543">
        <v>88049593</v>
      </c>
      <c r="F780" s="2543">
        <v>85721202</v>
      </c>
      <c r="G780" s="2541">
        <v>134116556</v>
      </c>
      <c r="H780" s="2541">
        <v>134116556</v>
      </c>
      <c r="I780" s="2541">
        <v>88049593</v>
      </c>
      <c r="J780" s="2545">
        <v>85721202</v>
      </c>
      <c r="K780" s="2543">
        <v>88049593</v>
      </c>
      <c r="L780" s="2543">
        <v>85721202</v>
      </c>
    </row>
    <row r="781" spans="1:12">
      <c r="A781" s="114" t="s">
        <v>1992</v>
      </c>
      <c r="B781" s="2540" t="s">
        <v>2545</v>
      </c>
      <c r="C781" s="2543">
        <v>1509535105</v>
      </c>
      <c r="D781" s="2543">
        <v>1458045066</v>
      </c>
      <c r="E781" s="2543">
        <v>1509535105</v>
      </c>
      <c r="F781" s="2543">
        <v>1458045066</v>
      </c>
      <c r="G781" s="2541">
        <v>1411261613</v>
      </c>
      <c r="H781" s="2541">
        <v>1411261613</v>
      </c>
      <c r="I781" s="2541">
        <v>1509535105</v>
      </c>
      <c r="J781" s="2545">
        <v>1458045066</v>
      </c>
      <c r="K781" s="2543">
        <v>1509535105</v>
      </c>
      <c r="L781" s="2543">
        <v>1458045066</v>
      </c>
    </row>
    <row r="782" spans="1:12">
      <c r="A782" s="114" t="s">
        <v>1380</v>
      </c>
      <c r="B782" s="2540" t="s">
        <v>487</v>
      </c>
      <c r="C782" s="2543">
        <v>520932440</v>
      </c>
      <c r="D782" s="2543">
        <v>502826259</v>
      </c>
      <c r="E782" s="2543">
        <v>520932440</v>
      </c>
      <c r="F782" s="2543">
        <v>502826259</v>
      </c>
      <c r="G782" s="2541">
        <v>453479285</v>
      </c>
      <c r="H782" s="2541">
        <v>453479285</v>
      </c>
      <c r="I782" s="2541">
        <v>520932440</v>
      </c>
      <c r="J782" s="2545">
        <v>502826259</v>
      </c>
      <c r="K782" s="2543">
        <v>520932440</v>
      </c>
      <c r="L782" s="2543">
        <v>502826259</v>
      </c>
    </row>
    <row r="783" spans="1:12">
      <c r="A783" s="114" t="s">
        <v>1839</v>
      </c>
      <c r="B783" s="2540" t="s">
        <v>1204</v>
      </c>
      <c r="C783" s="2543">
        <v>8502291492</v>
      </c>
      <c r="D783" s="2543">
        <v>8199488780</v>
      </c>
      <c r="E783" s="2543">
        <v>8502291492</v>
      </c>
      <c r="F783" s="2543">
        <v>8199488780</v>
      </c>
      <c r="G783" s="2541">
        <v>8119872207</v>
      </c>
      <c r="H783" s="2541">
        <v>8119872207</v>
      </c>
      <c r="I783" s="2541">
        <v>8502291492</v>
      </c>
      <c r="J783" s="2545">
        <v>8199488780</v>
      </c>
      <c r="K783" s="2543">
        <v>8502291492</v>
      </c>
      <c r="L783" s="2543">
        <v>8199488780</v>
      </c>
    </row>
    <row r="784" spans="1:12">
      <c r="A784" s="114" t="s">
        <v>227</v>
      </c>
      <c r="B784" s="2540" t="s">
        <v>3095</v>
      </c>
      <c r="C784" s="2543">
        <v>255663957</v>
      </c>
      <c r="D784" s="2543">
        <v>242951088</v>
      </c>
      <c r="E784" s="2543">
        <v>255663957</v>
      </c>
      <c r="F784" s="2543">
        <v>242951088</v>
      </c>
      <c r="G784" s="2541">
        <v>263735095</v>
      </c>
      <c r="H784" s="2541">
        <v>263735095</v>
      </c>
      <c r="I784" s="2541">
        <v>255663957</v>
      </c>
      <c r="J784" s="2545">
        <v>242951088</v>
      </c>
      <c r="K784" s="2543">
        <v>255663957</v>
      </c>
      <c r="L784" s="2543">
        <v>242951088</v>
      </c>
    </row>
    <row r="785" spans="1:12">
      <c r="A785" s="114" t="s">
        <v>625</v>
      </c>
      <c r="B785" s="2540" t="s">
        <v>151</v>
      </c>
      <c r="C785" s="2543">
        <v>1097075232</v>
      </c>
      <c r="D785" s="2543">
        <v>1095602379</v>
      </c>
      <c r="E785" s="2543">
        <v>1097075232</v>
      </c>
      <c r="F785" s="2543">
        <v>1095602379</v>
      </c>
      <c r="G785" s="2541">
        <v>1016696343</v>
      </c>
      <c r="H785" s="2541">
        <v>1016696343</v>
      </c>
      <c r="I785" s="2541">
        <v>1097075232</v>
      </c>
      <c r="J785" s="2545">
        <v>1095602379</v>
      </c>
      <c r="K785" s="2543">
        <v>1097075232</v>
      </c>
      <c r="L785" s="2543">
        <v>1095602379</v>
      </c>
    </row>
    <row r="786" spans="1:12">
      <c r="A786" s="114" t="s">
        <v>2496</v>
      </c>
      <c r="B786" s="2540" t="s">
        <v>488</v>
      </c>
      <c r="C786" s="2543">
        <v>1175452559</v>
      </c>
      <c r="D786" s="2543">
        <v>1162315266</v>
      </c>
      <c r="E786" s="2543">
        <v>1175452559</v>
      </c>
      <c r="F786" s="2543">
        <v>1162315266</v>
      </c>
      <c r="G786" s="2541">
        <v>1164434891</v>
      </c>
      <c r="H786" s="2541">
        <v>1164434891</v>
      </c>
      <c r="I786" s="2541">
        <v>1175452559</v>
      </c>
      <c r="J786" s="2545">
        <v>1162315266</v>
      </c>
      <c r="K786" s="2543">
        <v>1175452559</v>
      </c>
      <c r="L786" s="2543">
        <v>1162315266</v>
      </c>
    </row>
    <row r="787" spans="1:12">
      <c r="A787" s="114" t="s">
        <v>1657</v>
      </c>
      <c r="B787" s="2540" t="s">
        <v>323</v>
      </c>
      <c r="C787" s="2543">
        <v>281741183</v>
      </c>
      <c r="D787" s="2543">
        <v>276189509</v>
      </c>
      <c r="E787" s="2543">
        <v>281741183</v>
      </c>
      <c r="F787" s="2543">
        <v>276189509</v>
      </c>
      <c r="G787" s="2541">
        <v>246257805</v>
      </c>
      <c r="H787" s="2541">
        <v>246257805</v>
      </c>
      <c r="I787" s="2541">
        <v>281741183</v>
      </c>
      <c r="J787" s="2545">
        <v>276189509</v>
      </c>
      <c r="K787" s="2543">
        <v>281741183</v>
      </c>
      <c r="L787" s="2543">
        <v>276189509</v>
      </c>
    </row>
    <row r="788" spans="1:12">
      <c r="A788" s="114" t="s">
        <v>245</v>
      </c>
      <c r="B788" s="2540" t="s">
        <v>2413</v>
      </c>
      <c r="C788" s="2543">
        <v>176528892</v>
      </c>
      <c r="D788" s="2543">
        <v>167938802</v>
      </c>
      <c r="E788" s="2543">
        <v>176528892</v>
      </c>
      <c r="F788" s="2543">
        <v>167938802</v>
      </c>
      <c r="G788" s="2541">
        <v>182614270</v>
      </c>
      <c r="H788" s="2541">
        <v>182614270</v>
      </c>
      <c r="I788" s="2541">
        <v>176528892</v>
      </c>
      <c r="J788" s="2545">
        <v>167938802</v>
      </c>
      <c r="K788" s="2543">
        <v>176528892</v>
      </c>
      <c r="L788" s="2543">
        <v>167938802</v>
      </c>
    </row>
    <row r="789" spans="1:12">
      <c r="A789" s="114" t="s">
        <v>1464</v>
      </c>
      <c r="B789" s="2540" t="s">
        <v>489</v>
      </c>
      <c r="C789" s="2543">
        <v>550376449</v>
      </c>
      <c r="D789" s="2543">
        <v>527376200</v>
      </c>
      <c r="E789" s="2543">
        <v>550376449</v>
      </c>
      <c r="F789" s="2543">
        <v>527376200</v>
      </c>
      <c r="G789" s="2541">
        <v>497563299</v>
      </c>
      <c r="H789" s="2541">
        <v>497563299</v>
      </c>
      <c r="I789" s="2541">
        <v>550376449</v>
      </c>
      <c r="J789" s="2545">
        <v>527376200</v>
      </c>
      <c r="K789" s="2543">
        <v>550376449</v>
      </c>
      <c r="L789" s="2543">
        <v>527376200</v>
      </c>
    </row>
    <row r="790" spans="1:12">
      <c r="A790" s="114" t="s">
        <v>1465</v>
      </c>
      <c r="B790" s="2540" t="s">
        <v>2661</v>
      </c>
      <c r="C790" s="2543">
        <v>4207426227</v>
      </c>
      <c r="D790" s="2543">
        <v>4089231965</v>
      </c>
      <c r="E790" s="2543">
        <v>4207426227</v>
      </c>
      <c r="F790" s="2543">
        <v>4089231965</v>
      </c>
      <c r="G790" s="2541">
        <v>3800083519</v>
      </c>
      <c r="H790" s="2541">
        <v>3800083519</v>
      </c>
      <c r="I790" s="2541">
        <v>4207426227</v>
      </c>
      <c r="J790" s="2545">
        <v>4089231965</v>
      </c>
      <c r="K790" s="2543">
        <v>4207426227</v>
      </c>
      <c r="L790" s="2543">
        <v>4089231965</v>
      </c>
    </row>
    <row r="791" spans="1:12">
      <c r="A791" s="114" t="s">
        <v>2883</v>
      </c>
      <c r="B791" s="2540" t="s">
        <v>180</v>
      </c>
      <c r="C791" s="2543">
        <v>1827971621</v>
      </c>
      <c r="D791" s="2543">
        <v>1822821434</v>
      </c>
      <c r="E791" s="2543">
        <v>1824365379</v>
      </c>
      <c r="F791" s="2543">
        <v>1819215192</v>
      </c>
      <c r="G791" s="2541">
        <v>3129520955</v>
      </c>
      <c r="H791" s="2541">
        <v>3125252206</v>
      </c>
      <c r="I791" s="2541">
        <v>1827971621</v>
      </c>
      <c r="J791" s="2545">
        <v>1822821434</v>
      </c>
      <c r="K791" s="2543">
        <v>1824365379</v>
      </c>
      <c r="L791" s="2543">
        <v>1819215192</v>
      </c>
    </row>
    <row r="792" spans="1:12">
      <c r="A792" s="114" t="s">
        <v>896</v>
      </c>
      <c r="B792" s="2540" t="s">
        <v>181</v>
      </c>
      <c r="C792" s="2543">
        <v>309506502</v>
      </c>
      <c r="D792" s="2543">
        <v>303909372</v>
      </c>
      <c r="E792" s="2543">
        <v>309506502</v>
      </c>
      <c r="F792" s="2543">
        <v>303909372</v>
      </c>
      <c r="G792" s="2541">
        <v>286583277</v>
      </c>
      <c r="H792" s="2541">
        <v>286583277</v>
      </c>
      <c r="I792" s="2541">
        <v>309506502</v>
      </c>
      <c r="J792" s="2545">
        <v>303909372</v>
      </c>
      <c r="K792" s="2543">
        <v>309506502</v>
      </c>
      <c r="L792" s="2543">
        <v>303909372</v>
      </c>
    </row>
    <row r="793" spans="1:12">
      <c r="A793" s="114" t="s">
        <v>135</v>
      </c>
      <c r="B793" s="2540" t="s">
        <v>2428</v>
      </c>
      <c r="C793" s="2543">
        <v>50399679</v>
      </c>
      <c r="D793" s="2543">
        <v>46708411</v>
      </c>
      <c r="E793" s="2543">
        <v>50399679</v>
      </c>
      <c r="F793" s="2543">
        <v>46708411</v>
      </c>
      <c r="G793" s="2541">
        <v>46184710</v>
      </c>
      <c r="H793" s="2541">
        <v>46184710</v>
      </c>
      <c r="I793" s="2541">
        <v>50399679</v>
      </c>
      <c r="J793" s="2545">
        <v>46708411</v>
      </c>
      <c r="K793" s="2543">
        <v>50399679</v>
      </c>
      <c r="L793" s="2543">
        <v>46708411</v>
      </c>
    </row>
    <row r="794" spans="1:12">
      <c r="A794" s="114" t="s">
        <v>3051</v>
      </c>
      <c r="B794" s="2540" t="s">
        <v>3096</v>
      </c>
      <c r="C794" s="2543">
        <v>174366658</v>
      </c>
      <c r="D794" s="2543">
        <v>165973984</v>
      </c>
      <c r="E794" s="2543">
        <v>174366658</v>
      </c>
      <c r="F794" s="2543">
        <v>165973984</v>
      </c>
      <c r="G794" s="2541">
        <v>228927182</v>
      </c>
      <c r="H794" s="2541">
        <v>228927182</v>
      </c>
      <c r="I794" s="2541">
        <v>174366658</v>
      </c>
      <c r="J794" s="2545">
        <v>165973984</v>
      </c>
      <c r="K794" s="2543">
        <v>174366658</v>
      </c>
      <c r="L794" s="2543">
        <v>165973984</v>
      </c>
    </row>
    <row r="795" spans="1:12">
      <c r="A795" s="114" t="s">
        <v>2597</v>
      </c>
      <c r="B795" s="2540" t="s">
        <v>1822</v>
      </c>
      <c r="C795" s="2543">
        <v>210479183</v>
      </c>
      <c r="D795" s="2543">
        <v>198343296</v>
      </c>
      <c r="E795" s="2543">
        <v>210479183</v>
      </c>
      <c r="F795" s="2543">
        <v>198343296</v>
      </c>
      <c r="G795" s="2541">
        <v>211486437</v>
      </c>
      <c r="H795" s="2541">
        <v>211486437</v>
      </c>
      <c r="I795" s="2541">
        <v>210479183</v>
      </c>
      <c r="J795" s="2545">
        <v>198343296</v>
      </c>
      <c r="K795" s="2543">
        <v>210479183</v>
      </c>
      <c r="L795" s="2543">
        <v>198343296</v>
      </c>
    </row>
    <row r="796" spans="1:12">
      <c r="A796" s="114" t="s">
        <v>411</v>
      </c>
      <c r="B796" s="2540" t="s">
        <v>3065</v>
      </c>
      <c r="C796" s="2543">
        <v>66538467</v>
      </c>
      <c r="D796" s="2543">
        <v>62002941</v>
      </c>
      <c r="E796" s="2543">
        <v>66538467</v>
      </c>
      <c r="F796" s="2543">
        <v>62002941</v>
      </c>
      <c r="G796" s="2541">
        <v>59882085</v>
      </c>
      <c r="H796" s="2541">
        <v>59882085</v>
      </c>
      <c r="I796" s="2541">
        <v>66538467</v>
      </c>
      <c r="J796" s="2545">
        <v>62002941</v>
      </c>
      <c r="K796" s="2543">
        <v>66538467</v>
      </c>
      <c r="L796" s="2543">
        <v>62002941</v>
      </c>
    </row>
    <row r="797" spans="1:12">
      <c r="A797" s="114" t="s">
        <v>1113</v>
      </c>
      <c r="B797" s="2540" t="s">
        <v>1823</v>
      </c>
      <c r="C797" s="2543">
        <v>3670565645</v>
      </c>
      <c r="D797" s="2543">
        <v>3651289150</v>
      </c>
      <c r="E797" s="2543">
        <v>3670565645</v>
      </c>
      <c r="F797" s="2543">
        <v>3651289150</v>
      </c>
      <c r="G797" s="2541">
        <v>3779861106</v>
      </c>
      <c r="H797" s="2541">
        <v>3779861106</v>
      </c>
      <c r="I797" s="2541">
        <v>3885351425</v>
      </c>
      <c r="J797" s="2545">
        <v>3866074930</v>
      </c>
      <c r="K797" s="2543">
        <v>3885351425</v>
      </c>
      <c r="L797" s="2543">
        <v>3866074930</v>
      </c>
    </row>
    <row r="798" spans="1:12">
      <c r="A798" s="114" t="s">
        <v>1932</v>
      </c>
      <c r="B798" s="2540" t="s">
        <v>2430</v>
      </c>
      <c r="C798" s="2543">
        <v>40392181</v>
      </c>
      <c r="D798" s="2543">
        <v>39368681</v>
      </c>
      <c r="E798" s="2543">
        <v>40392181</v>
      </c>
      <c r="F798" s="2543">
        <v>39368681</v>
      </c>
      <c r="G798" s="2541">
        <v>47333051</v>
      </c>
      <c r="H798" s="2541">
        <v>47333051</v>
      </c>
      <c r="I798" s="2541">
        <v>40392181</v>
      </c>
      <c r="J798" s="2545">
        <v>39368681</v>
      </c>
      <c r="K798" s="2543">
        <v>40392181</v>
      </c>
      <c r="L798" s="2543">
        <v>39368681</v>
      </c>
    </row>
    <row r="799" spans="1:12">
      <c r="A799" s="114" t="s">
        <v>793</v>
      </c>
      <c r="B799" s="2540" t="s">
        <v>1824</v>
      </c>
      <c r="C799" s="2543">
        <v>231095499</v>
      </c>
      <c r="D799" s="2543">
        <v>229393249</v>
      </c>
      <c r="E799" s="2543">
        <v>229911379</v>
      </c>
      <c r="F799" s="2543">
        <v>228209129</v>
      </c>
      <c r="G799" s="2541">
        <v>479956069</v>
      </c>
      <c r="H799" s="2541">
        <v>478757905</v>
      </c>
      <c r="I799" s="2541">
        <v>231095499</v>
      </c>
      <c r="J799" s="2545">
        <v>229393249</v>
      </c>
      <c r="K799" s="2543">
        <v>229911379</v>
      </c>
      <c r="L799" s="2543">
        <v>228209129</v>
      </c>
    </row>
    <row r="800" spans="1:12">
      <c r="A800" s="114" t="s">
        <v>794</v>
      </c>
      <c r="B800" s="2540" t="s">
        <v>1825</v>
      </c>
      <c r="C800" s="2543">
        <v>309867332</v>
      </c>
      <c r="D800" s="2543">
        <v>303849982</v>
      </c>
      <c r="E800" s="2543">
        <v>309867332</v>
      </c>
      <c r="F800" s="2543">
        <v>303849982</v>
      </c>
      <c r="G800" s="2541">
        <v>334311257</v>
      </c>
      <c r="H800" s="2541">
        <v>334311257</v>
      </c>
      <c r="I800" s="2541">
        <v>309867332</v>
      </c>
      <c r="J800" s="2545">
        <v>303849982</v>
      </c>
      <c r="K800" s="2543">
        <v>309867332</v>
      </c>
      <c r="L800" s="2543">
        <v>303849982</v>
      </c>
    </row>
    <row r="801" spans="1:12">
      <c r="A801" s="114" t="s">
        <v>795</v>
      </c>
      <c r="B801" s="2540" t="s">
        <v>1826</v>
      </c>
      <c r="C801" s="2543">
        <v>390365845</v>
      </c>
      <c r="D801" s="2543">
        <v>382931336</v>
      </c>
      <c r="E801" s="2543">
        <v>390365845</v>
      </c>
      <c r="F801" s="2543">
        <v>382931336</v>
      </c>
      <c r="G801" s="2541">
        <v>647592975</v>
      </c>
      <c r="H801" s="2541">
        <v>647592975</v>
      </c>
      <c r="I801" s="2541">
        <v>390365845</v>
      </c>
      <c r="J801" s="2545">
        <v>382931336</v>
      </c>
      <c r="K801" s="2543">
        <v>390365845</v>
      </c>
      <c r="L801" s="2543">
        <v>382931336</v>
      </c>
    </row>
    <row r="802" spans="1:12">
      <c r="A802" s="114" t="s">
        <v>1644</v>
      </c>
      <c r="B802" s="2540" t="s">
        <v>1827</v>
      </c>
      <c r="C802" s="2543">
        <v>469936342</v>
      </c>
      <c r="D802" s="2543">
        <v>467916288</v>
      </c>
      <c r="E802" s="2543">
        <v>468941095</v>
      </c>
      <c r="F802" s="2543">
        <v>466921041</v>
      </c>
      <c r="G802" s="2541">
        <v>966676886</v>
      </c>
      <c r="H802" s="2541">
        <v>965129511</v>
      </c>
      <c r="I802" s="2541">
        <v>656008022</v>
      </c>
      <c r="J802" s="2545">
        <v>653987968</v>
      </c>
      <c r="K802" s="2543">
        <v>655012775</v>
      </c>
      <c r="L802" s="2543">
        <v>652992721</v>
      </c>
    </row>
    <row r="803" spans="1:12">
      <c r="A803" s="114" t="s">
        <v>1645</v>
      </c>
      <c r="B803" s="2540" t="s">
        <v>1828</v>
      </c>
      <c r="C803" s="2543">
        <v>336968237</v>
      </c>
      <c r="D803" s="2543">
        <v>332096006</v>
      </c>
      <c r="E803" s="2543">
        <v>336968237</v>
      </c>
      <c r="F803" s="2543">
        <v>332096006</v>
      </c>
      <c r="G803" s="2541">
        <v>363355831</v>
      </c>
      <c r="H803" s="2541">
        <v>363355831</v>
      </c>
      <c r="I803" s="2541">
        <v>336968237</v>
      </c>
      <c r="J803" s="2545">
        <v>332096006</v>
      </c>
      <c r="K803" s="2543">
        <v>336968237</v>
      </c>
      <c r="L803" s="2543">
        <v>332096006</v>
      </c>
    </row>
    <row r="804" spans="1:12">
      <c r="A804" s="114" t="s">
        <v>1646</v>
      </c>
      <c r="B804" s="2540" t="s">
        <v>1829</v>
      </c>
      <c r="C804" s="2543">
        <v>111205604</v>
      </c>
      <c r="D804" s="2543">
        <v>108461170</v>
      </c>
      <c r="E804" s="2543">
        <v>111205604</v>
      </c>
      <c r="F804" s="2543">
        <v>108461170</v>
      </c>
      <c r="G804" s="2541">
        <v>105868924</v>
      </c>
      <c r="H804" s="2541">
        <v>105868924</v>
      </c>
      <c r="I804" s="2541">
        <v>111205604</v>
      </c>
      <c r="J804" s="2545">
        <v>108461170</v>
      </c>
      <c r="K804" s="2543">
        <v>111205604</v>
      </c>
      <c r="L804" s="2543">
        <v>108461170</v>
      </c>
    </row>
    <row r="805" spans="1:12">
      <c r="A805" s="114" t="s">
        <v>1647</v>
      </c>
      <c r="B805" s="2540" t="s">
        <v>1830</v>
      </c>
      <c r="C805" s="2543">
        <v>1686992943</v>
      </c>
      <c r="D805" s="2543">
        <v>1674424408</v>
      </c>
      <c r="E805" s="2543">
        <v>1686992943</v>
      </c>
      <c r="F805" s="2543">
        <v>1674424408</v>
      </c>
      <c r="G805" s="2541">
        <v>2146624176</v>
      </c>
      <c r="H805" s="2541">
        <v>2146624176</v>
      </c>
      <c r="I805" s="2541">
        <v>1686992943</v>
      </c>
      <c r="J805" s="2545">
        <v>1674424408</v>
      </c>
      <c r="K805" s="2543">
        <v>1686992943</v>
      </c>
      <c r="L805" s="2543">
        <v>1674424408</v>
      </c>
    </row>
    <row r="806" spans="1:12">
      <c r="A806" s="114" t="s">
        <v>1648</v>
      </c>
      <c r="B806" s="2540" t="s">
        <v>1831</v>
      </c>
      <c r="C806" s="2543">
        <v>382530646</v>
      </c>
      <c r="D806" s="2543">
        <v>370557067</v>
      </c>
      <c r="E806" s="2543">
        <v>382530646</v>
      </c>
      <c r="F806" s="2543">
        <v>370557067</v>
      </c>
      <c r="G806" s="2541">
        <v>441023252</v>
      </c>
      <c r="H806" s="2541">
        <v>441023252</v>
      </c>
      <c r="I806" s="2541">
        <v>382530646</v>
      </c>
      <c r="J806" s="2545">
        <v>370557067</v>
      </c>
      <c r="K806" s="2543">
        <v>382530646</v>
      </c>
      <c r="L806" s="2543">
        <v>370557067</v>
      </c>
    </row>
    <row r="807" spans="1:12">
      <c r="A807" s="114" t="s">
        <v>1649</v>
      </c>
      <c r="B807" s="2540" t="s">
        <v>1102</v>
      </c>
      <c r="C807" s="2543">
        <v>55714960</v>
      </c>
      <c r="D807" s="2543">
        <v>55447165</v>
      </c>
      <c r="E807" s="2543">
        <v>55714960</v>
      </c>
      <c r="F807" s="2543">
        <v>55447165</v>
      </c>
      <c r="G807" s="2541">
        <v>118076416</v>
      </c>
      <c r="H807" s="2541">
        <v>118076416</v>
      </c>
      <c r="I807" s="2541">
        <v>55714960</v>
      </c>
      <c r="J807" s="2545">
        <v>55447165</v>
      </c>
      <c r="K807" s="2543">
        <v>55714960</v>
      </c>
      <c r="L807" s="2543">
        <v>55447165</v>
      </c>
    </row>
    <row r="808" spans="1:12">
      <c r="A808" s="114" t="s">
        <v>1885</v>
      </c>
      <c r="B808" s="2540" t="s">
        <v>1103</v>
      </c>
      <c r="C808" s="2543">
        <v>7877107598</v>
      </c>
      <c r="D808" s="2543">
        <v>7703003246</v>
      </c>
      <c r="E808" s="2543">
        <v>7877107598</v>
      </c>
      <c r="F808" s="2543">
        <v>7703003246</v>
      </c>
      <c r="G808" s="2541">
        <v>6914116940</v>
      </c>
      <c r="H808" s="2541">
        <v>6914116940</v>
      </c>
      <c r="I808" s="2541">
        <v>7877107598</v>
      </c>
      <c r="J808" s="2545">
        <v>7703003246</v>
      </c>
      <c r="K808" s="2543">
        <v>7877107598</v>
      </c>
      <c r="L808" s="2543">
        <v>7703003246</v>
      </c>
    </row>
    <row r="809" spans="1:12">
      <c r="A809" s="114" t="s">
        <v>2056</v>
      </c>
      <c r="B809" s="2540" t="s">
        <v>668</v>
      </c>
      <c r="C809" s="2543">
        <v>1481550268</v>
      </c>
      <c r="D809" s="2543">
        <v>1429914436</v>
      </c>
      <c r="E809" s="2543">
        <v>1481550268</v>
      </c>
      <c r="F809" s="2543">
        <v>1429914436</v>
      </c>
      <c r="G809" s="2541">
        <v>1189284019</v>
      </c>
      <c r="H809" s="2541">
        <v>1189284019</v>
      </c>
      <c r="I809" s="2541">
        <v>1481550268</v>
      </c>
      <c r="J809" s="2545">
        <v>1429914436</v>
      </c>
      <c r="K809" s="2543">
        <v>1481550268</v>
      </c>
      <c r="L809" s="2543">
        <v>1429914436</v>
      </c>
    </row>
    <row r="810" spans="1:12">
      <c r="A810" s="114" t="s">
        <v>1886</v>
      </c>
      <c r="B810" s="2540" t="s">
        <v>2166</v>
      </c>
      <c r="C810" s="2543">
        <v>279192012</v>
      </c>
      <c r="D810" s="2543">
        <v>266720850</v>
      </c>
      <c r="E810" s="2543">
        <v>279192012</v>
      </c>
      <c r="F810" s="2543">
        <v>266720850</v>
      </c>
      <c r="G810" s="2541">
        <v>285230201</v>
      </c>
      <c r="H810" s="2541">
        <v>285230201</v>
      </c>
      <c r="I810" s="2541">
        <v>279192012</v>
      </c>
      <c r="J810" s="2545">
        <v>266720850</v>
      </c>
      <c r="K810" s="2543">
        <v>279192012</v>
      </c>
      <c r="L810" s="2543">
        <v>266720850</v>
      </c>
    </row>
    <row r="811" spans="1:12">
      <c r="A811" s="114" t="s">
        <v>412</v>
      </c>
      <c r="B811" s="2540" t="s">
        <v>2556</v>
      </c>
      <c r="C811" s="2543">
        <v>82203097</v>
      </c>
      <c r="D811" s="2543">
        <v>78043052</v>
      </c>
      <c r="E811" s="2543">
        <v>82203097</v>
      </c>
      <c r="F811" s="2543">
        <v>78043052</v>
      </c>
      <c r="G811" s="2541">
        <v>76323230</v>
      </c>
      <c r="H811" s="2541">
        <v>76323230</v>
      </c>
      <c r="I811" s="2541">
        <v>82203097</v>
      </c>
      <c r="J811" s="2545">
        <v>78043052</v>
      </c>
      <c r="K811" s="2543">
        <v>82203097</v>
      </c>
      <c r="L811" s="2543">
        <v>78043052</v>
      </c>
    </row>
    <row r="812" spans="1:12">
      <c r="A812" s="114" t="s">
        <v>1350</v>
      </c>
      <c r="B812" s="2540" t="s">
        <v>1290</v>
      </c>
      <c r="C812" s="2543">
        <v>167889938</v>
      </c>
      <c r="D812" s="2543">
        <v>160561496</v>
      </c>
      <c r="E812" s="2543">
        <v>167889938</v>
      </c>
      <c r="F812" s="2543">
        <v>160561496</v>
      </c>
      <c r="G812" s="2541">
        <v>233077806</v>
      </c>
      <c r="H812" s="2541">
        <v>233077806</v>
      </c>
      <c r="I812" s="2541">
        <v>167889938</v>
      </c>
      <c r="J812" s="2545">
        <v>160561496</v>
      </c>
      <c r="K812" s="2543">
        <v>167889938</v>
      </c>
      <c r="L812" s="2543">
        <v>160561496</v>
      </c>
    </row>
    <row r="813" spans="1:12">
      <c r="A813" s="114" t="s">
        <v>413</v>
      </c>
      <c r="B813" s="2540" t="s">
        <v>291</v>
      </c>
      <c r="C813" s="2543">
        <v>5933603</v>
      </c>
      <c r="D813" s="2543">
        <v>5649853</v>
      </c>
      <c r="E813" s="2543">
        <v>5933603</v>
      </c>
      <c r="F813" s="2543">
        <v>5649853</v>
      </c>
      <c r="G813" s="2541">
        <v>5621715</v>
      </c>
      <c r="H813" s="2541">
        <v>5621715</v>
      </c>
      <c r="I813" s="2541">
        <v>5933603</v>
      </c>
      <c r="J813" s="2545">
        <v>5649853</v>
      </c>
      <c r="K813" s="2543">
        <v>5933603</v>
      </c>
      <c r="L813" s="2543">
        <v>5649853</v>
      </c>
    </row>
    <row r="814" spans="1:12">
      <c r="A814" s="114" t="s">
        <v>1887</v>
      </c>
      <c r="B814" s="2540" t="s">
        <v>2167</v>
      </c>
      <c r="C814" s="2543">
        <v>1576231714</v>
      </c>
      <c r="D814" s="2543">
        <v>1531981364</v>
      </c>
      <c r="E814" s="2543">
        <v>1519315569</v>
      </c>
      <c r="F814" s="2543">
        <v>1475065219</v>
      </c>
      <c r="G814" s="2541">
        <v>1764760005</v>
      </c>
      <c r="H814" s="2541">
        <v>1707722016</v>
      </c>
      <c r="I814" s="2541">
        <v>1576231714</v>
      </c>
      <c r="J814" s="2545">
        <v>1531981364</v>
      </c>
      <c r="K814" s="2543">
        <v>1519315569</v>
      </c>
      <c r="L814" s="2543">
        <v>1475065219</v>
      </c>
    </row>
    <row r="815" spans="1:12">
      <c r="A815" s="114" t="s">
        <v>1888</v>
      </c>
      <c r="B815" s="2540" t="s">
        <v>1718</v>
      </c>
      <c r="C815" s="2543">
        <v>87342652</v>
      </c>
      <c r="D815" s="2543">
        <v>83800162</v>
      </c>
      <c r="E815" s="2543">
        <v>83772572</v>
      </c>
      <c r="F815" s="2543">
        <v>80230082</v>
      </c>
      <c r="G815" s="2541">
        <v>93486261</v>
      </c>
      <c r="H815" s="2541">
        <v>89983127</v>
      </c>
      <c r="I815" s="2541">
        <v>87342652</v>
      </c>
      <c r="J815" s="2545">
        <v>83800162</v>
      </c>
      <c r="K815" s="2543">
        <v>83772572</v>
      </c>
      <c r="L815" s="2543">
        <v>80230082</v>
      </c>
    </row>
    <row r="816" spans="1:12">
      <c r="A816" s="114" t="s">
        <v>1889</v>
      </c>
      <c r="B816" s="2540" t="s">
        <v>1719</v>
      </c>
      <c r="C816" s="2543">
        <v>30133534</v>
      </c>
      <c r="D816" s="2543">
        <v>28702954</v>
      </c>
      <c r="E816" s="2543">
        <v>28923059</v>
      </c>
      <c r="F816" s="2543">
        <v>27492479</v>
      </c>
      <c r="G816" s="2541">
        <v>48565030</v>
      </c>
      <c r="H816" s="2541">
        <v>47329659</v>
      </c>
      <c r="I816" s="2541">
        <v>30133534</v>
      </c>
      <c r="J816" s="2545">
        <v>28702954</v>
      </c>
      <c r="K816" s="2543">
        <v>28923059</v>
      </c>
      <c r="L816" s="2543">
        <v>27492479</v>
      </c>
    </row>
    <row r="817" spans="1:12">
      <c r="A817" s="114" t="s">
        <v>2830</v>
      </c>
      <c r="B817" s="2540" t="s">
        <v>2467</v>
      </c>
      <c r="C817" s="2543">
        <v>62463289</v>
      </c>
      <c r="D817" s="2543">
        <v>58685889</v>
      </c>
      <c r="E817" s="2543">
        <v>58537934</v>
      </c>
      <c r="F817" s="2543">
        <v>54760534</v>
      </c>
      <c r="G817" s="2541">
        <v>59375688</v>
      </c>
      <c r="H817" s="2541">
        <v>55438969</v>
      </c>
      <c r="I817" s="2541">
        <v>62463289</v>
      </c>
      <c r="J817" s="2545">
        <v>58685889</v>
      </c>
      <c r="K817" s="2543">
        <v>58537934</v>
      </c>
      <c r="L817" s="2543">
        <v>54760534</v>
      </c>
    </row>
    <row r="818" spans="1:12">
      <c r="A818" s="114" t="s">
        <v>2831</v>
      </c>
      <c r="B818" s="2540" t="s">
        <v>1538</v>
      </c>
      <c r="C818" s="2543">
        <v>78264718</v>
      </c>
      <c r="D818" s="2543">
        <v>72939868</v>
      </c>
      <c r="E818" s="2543">
        <v>73401748</v>
      </c>
      <c r="F818" s="2543">
        <v>68076898</v>
      </c>
      <c r="G818" s="2541">
        <v>74951052</v>
      </c>
      <c r="H818" s="2541">
        <v>69956266</v>
      </c>
      <c r="I818" s="2541">
        <v>78264718</v>
      </c>
      <c r="J818" s="2545">
        <v>72939868</v>
      </c>
      <c r="K818" s="2543">
        <v>73401748</v>
      </c>
      <c r="L818" s="2543">
        <v>68076898</v>
      </c>
    </row>
    <row r="819" spans="1:12">
      <c r="A819" s="114" t="s">
        <v>1890</v>
      </c>
      <c r="B819" s="2540" t="s">
        <v>1720</v>
      </c>
      <c r="C819" s="2543">
        <v>1091783463</v>
      </c>
      <c r="D819" s="2543">
        <v>1078844713</v>
      </c>
      <c r="E819" s="2543">
        <v>1074199933</v>
      </c>
      <c r="F819" s="2543">
        <v>1061261183</v>
      </c>
      <c r="G819" s="2541">
        <v>1296934708</v>
      </c>
      <c r="H819" s="2541">
        <v>1279965330</v>
      </c>
      <c r="I819" s="2541">
        <v>1091783463</v>
      </c>
      <c r="J819" s="2545">
        <v>1078844713</v>
      </c>
      <c r="K819" s="2543">
        <v>1074199933</v>
      </c>
      <c r="L819" s="2543">
        <v>1061261183</v>
      </c>
    </row>
    <row r="820" spans="1:12">
      <c r="A820" s="114" t="s">
        <v>218</v>
      </c>
      <c r="B820" s="2540" t="s">
        <v>729</v>
      </c>
      <c r="C820" s="2543">
        <v>123573410</v>
      </c>
      <c r="D820" s="2543">
        <v>119338563</v>
      </c>
      <c r="E820" s="2543">
        <v>119165371</v>
      </c>
      <c r="F820" s="2543">
        <v>114930524</v>
      </c>
      <c r="G820" s="2541">
        <v>117945895</v>
      </c>
      <c r="H820" s="2541">
        <v>113489935</v>
      </c>
      <c r="I820" s="2541">
        <v>123573410</v>
      </c>
      <c r="J820" s="2545">
        <v>119338563</v>
      </c>
      <c r="K820" s="2543">
        <v>119165371</v>
      </c>
      <c r="L820" s="2543">
        <v>114930524</v>
      </c>
    </row>
    <row r="821" spans="1:12">
      <c r="A821" s="114" t="s">
        <v>1891</v>
      </c>
      <c r="B821" s="2540" t="s">
        <v>4585</v>
      </c>
      <c r="C821" s="2543">
        <v>364231959</v>
      </c>
      <c r="D821" s="2543">
        <v>353260769</v>
      </c>
      <c r="E821" s="2543">
        <v>353516644</v>
      </c>
      <c r="F821" s="2543">
        <v>342545454</v>
      </c>
      <c r="G821" s="2541">
        <v>554952338</v>
      </c>
      <c r="H821" s="2541">
        <v>544027245</v>
      </c>
      <c r="I821" s="2541">
        <v>364231959</v>
      </c>
      <c r="J821" s="2545">
        <v>353260769</v>
      </c>
      <c r="K821" s="2543">
        <v>353516644</v>
      </c>
      <c r="L821" s="2543">
        <v>342545454</v>
      </c>
    </row>
    <row r="822" spans="1:12">
      <c r="A822" s="114" t="s">
        <v>1575</v>
      </c>
      <c r="B822" s="2540" t="s">
        <v>1722</v>
      </c>
      <c r="C822" s="2543">
        <v>457050742</v>
      </c>
      <c r="D822" s="2543">
        <v>435951032</v>
      </c>
      <c r="E822" s="2543">
        <v>457050742</v>
      </c>
      <c r="F822" s="2543">
        <v>435951032</v>
      </c>
      <c r="G822" s="2541">
        <v>484095629</v>
      </c>
      <c r="H822" s="2541">
        <v>484095629</v>
      </c>
      <c r="I822" s="2541">
        <v>457050742</v>
      </c>
      <c r="J822" s="2545">
        <v>435951032</v>
      </c>
      <c r="K822" s="2543">
        <v>457050742</v>
      </c>
      <c r="L822" s="2543">
        <v>435951032</v>
      </c>
    </row>
    <row r="823" spans="1:12">
      <c r="A823" s="114" t="s">
        <v>1576</v>
      </c>
      <c r="B823" s="2540" t="s">
        <v>1723</v>
      </c>
      <c r="C823" s="2543">
        <v>109121057</v>
      </c>
      <c r="D823" s="2543">
        <v>103111347</v>
      </c>
      <c r="E823" s="2543">
        <v>105621277</v>
      </c>
      <c r="F823" s="2543">
        <v>99611567</v>
      </c>
      <c r="G823" s="2541">
        <v>99971002</v>
      </c>
      <c r="H823" s="2541">
        <v>96954521</v>
      </c>
      <c r="I823" s="2541">
        <v>109121057</v>
      </c>
      <c r="J823" s="2545">
        <v>103111347</v>
      </c>
      <c r="K823" s="2543">
        <v>105621277</v>
      </c>
      <c r="L823" s="2543">
        <v>99611567</v>
      </c>
    </row>
    <row r="824" spans="1:12">
      <c r="A824" s="114" t="s">
        <v>1577</v>
      </c>
      <c r="B824" s="2540" t="s">
        <v>2364</v>
      </c>
      <c r="C824" s="2543">
        <v>378425338</v>
      </c>
      <c r="D824" s="2543">
        <v>370450829</v>
      </c>
      <c r="E824" s="2543">
        <v>378425338</v>
      </c>
      <c r="F824" s="2543">
        <v>370450829</v>
      </c>
      <c r="G824" s="2541">
        <v>472355733</v>
      </c>
      <c r="H824" s="2541">
        <v>472355733</v>
      </c>
      <c r="I824" s="2541">
        <v>378425338</v>
      </c>
      <c r="J824" s="2545">
        <v>370450829</v>
      </c>
      <c r="K824" s="2543">
        <v>378425338</v>
      </c>
      <c r="L824" s="2543">
        <v>370450829</v>
      </c>
    </row>
    <row r="825" spans="1:12">
      <c r="A825" s="114" t="s">
        <v>1832</v>
      </c>
      <c r="B825" s="2540" t="s">
        <v>2365</v>
      </c>
      <c r="C825" s="2543">
        <v>163006714</v>
      </c>
      <c r="D825" s="2543">
        <v>157776224</v>
      </c>
      <c r="E825" s="2543">
        <v>163006714</v>
      </c>
      <c r="F825" s="2543">
        <v>157776224</v>
      </c>
      <c r="G825" s="2541">
        <v>178716171</v>
      </c>
      <c r="H825" s="2541">
        <v>175680618</v>
      </c>
      <c r="I825" s="2541">
        <v>163006714</v>
      </c>
      <c r="J825" s="2545">
        <v>157776224</v>
      </c>
      <c r="K825" s="2543">
        <v>163006714</v>
      </c>
      <c r="L825" s="2543">
        <v>157776224</v>
      </c>
    </row>
    <row r="826" spans="1:12">
      <c r="A826" s="114" t="s">
        <v>1833</v>
      </c>
      <c r="B826" s="2540" t="s">
        <v>2663</v>
      </c>
      <c r="C826" s="2543">
        <v>1071438051</v>
      </c>
      <c r="D826" s="2543">
        <v>1036673868</v>
      </c>
      <c r="E826" s="2543">
        <v>1071438051</v>
      </c>
      <c r="F826" s="2543">
        <v>1036673868</v>
      </c>
      <c r="G826" s="2541">
        <v>1021879434</v>
      </c>
      <c r="H826" s="2541">
        <v>1021879434</v>
      </c>
      <c r="I826" s="2541">
        <v>1071438051</v>
      </c>
      <c r="J826" s="2545">
        <v>1036673868</v>
      </c>
      <c r="K826" s="2543">
        <v>1071438051</v>
      </c>
      <c r="L826" s="2543">
        <v>1036673868</v>
      </c>
    </row>
    <row r="827" spans="1:12">
      <c r="A827" s="114" t="s">
        <v>2790</v>
      </c>
      <c r="B827" s="2540" t="s">
        <v>384</v>
      </c>
      <c r="C827" s="2543">
        <v>337512633</v>
      </c>
      <c r="D827" s="2543">
        <v>322645284</v>
      </c>
      <c r="E827" s="2543">
        <v>337512633</v>
      </c>
      <c r="F827" s="2543">
        <v>322645284</v>
      </c>
      <c r="G827" s="2541">
        <v>321069387</v>
      </c>
      <c r="H827" s="2541">
        <v>307251896</v>
      </c>
      <c r="I827" s="2541">
        <v>337512633</v>
      </c>
      <c r="J827" s="2545">
        <v>322645284</v>
      </c>
      <c r="K827" s="2543">
        <v>337512633</v>
      </c>
      <c r="L827" s="2543">
        <v>322645284</v>
      </c>
    </row>
    <row r="828" spans="1:12">
      <c r="A828" s="114" t="s">
        <v>1382</v>
      </c>
      <c r="B828" s="2540" t="s">
        <v>2774</v>
      </c>
      <c r="C828" s="2543">
        <v>722480769</v>
      </c>
      <c r="D828" s="2543">
        <v>703720396</v>
      </c>
      <c r="E828" s="2543">
        <v>722480769</v>
      </c>
      <c r="F828" s="2543">
        <v>703720396</v>
      </c>
      <c r="G828" s="2541">
        <v>643529073</v>
      </c>
      <c r="H828" s="2541">
        <v>643529073</v>
      </c>
      <c r="I828" s="2541">
        <v>722480769</v>
      </c>
      <c r="J828" s="2545">
        <v>703720396</v>
      </c>
      <c r="K828" s="2543">
        <v>722480769</v>
      </c>
      <c r="L828" s="2543">
        <v>703720396</v>
      </c>
    </row>
    <row r="829" spans="1:12">
      <c r="A829" s="114" t="s">
        <v>2791</v>
      </c>
      <c r="B829" s="2540" t="s">
        <v>385</v>
      </c>
      <c r="C829" s="2543">
        <v>1774549086</v>
      </c>
      <c r="D829" s="2543">
        <v>1734569473</v>
      </c>
      <c r="E829" s="2543">
        <v>1774549086</v>
      </c>
      <c r="F829" s="2543">
        <v>1734569473</v>
      </c>
      <c r="G829" s="2541">
        <v>1375263178</v>
      </c>
      <c r="H829" s="2541">
        <v>1375263178</v>
      </c>
      <c r="I829" s="2541">
        <v>2253157436</v>
      </c>
      <c r="J829" s="2545">
        <v>2213177823</v>
      </c>
      <c r="K829" s="2543">
        <v>2253157436</v>
      </c>
      <c r="L829" s="2543">
        <v>2213177823</v>
      </c>
    </row>
    <row r="830" spans="1:12">
      <c r="A830" s="114" t="s">
        <v>1639</v>
      </c>
      <c r="B830" s="2540" t="s">
        <v>386</v>
      </c>
      <c r="C830" s="2543">
        <v>2518364935</v>
      </c>
      <c r="D830" s="2543">
        <v>2499821252</v>
      </c>
      <c r="E830" s="2543">
        <v>2518364935</v>
      </c>
      <c r="F830" s="2543">
        <v>2499821252</v>
      </c>
      <c r="G830" s="2541">
        <v>1568162511</v>
      </c>
      <c r="H830" s="2541">
        <v>1568162511</v>
      </c>
      <c r="I830" s="2541">
        <v>2518364935</v>
      </c>
      <c r="J830" s="2545">
        <v>2499821252</v>
      </c>
      <c r="K830" s="2543">
        <v>2518364935</v>
      </c>
      <c r="L830" s="2543">
        <v>2499821252</v>
      </c>
    </row>
    <row r="831" spans="1:12">
      <c r="A831" s="114" t="s">
        <v>2892</v>
      </c>
      <c r="B831" s="2540" t="s">
        <v>2360</v>
      </c>
      <c r="C831" s="2543">
        <v>367640313</v>
      </c>
      <c r="D831" s="2543">
        <v>352188659</v>
      </c>
      <c r="E831" s="2543">
        <v>367640313</v>
      </c>
      <c r="F831" s="2543">
        <v>352188659</v>
      </c>
      <c r="G831" s="2541">
        <v>366064975</v>
      </c>
      <c r="H831" s="2541">
        <v>366064975</v>
      </c>
      <c r="I831" s="2541">
        <v>367640313</v>
      </c>
      <c r="J831" s="2545">
        <v>352188659</v>
      </c>
      <c r="K831" s="2543">
        <v>367640313</v>
      </c>
      <c r="L831" s="2543">
        <v>352188659</v>
      </c>
    </row>
    <row r="832" spans="1:12">
      <c r="A832" s="114" t="s">
        <v>1591</v>
      </c>
      <c r="B832" s="2540" t="s">
        <v>289</v>
      </c>
      <c r="C832" s="2543">
        <v>309748993</v>
      </c>
      <c r="D832" s="2543">
        <v>299957248</v>
      </c>
      <c r="E832" s="2543">
        <v>309748993</v>
      </c>
      <c r="F832" s="2543">
        <v>299957248</v>
      </c>
      <c r="G832" s="2541">
        <v>317444695</v>
      </c>
      <c r="H832" s="2541">
        <v>317444695</v>
      </c>
      <c r="I832" s="2541">
        <v>352062813</v>
      </c>
      <c r="J832" s="2545">
        <v>342271068</v>
      </c>
      <c r="K832" s="2543">
        <v>352062813</v>
      </c>
      <c r="L832" s="2543">
        <v>342271068</v>
      </c>
    </row>
    <row r="833" spans="1:12">
      <c r="A833" s="114" t="s">
        <v>1493</v>
      </c>
      <c r="B833" s="2540" t="s">
        <v>296</v>
      </c>
      <c r="C833" s="2543">
        <v>420946344</v>
      </c>
      <c r="D833" s="2543">
        <v>404852687</v>
      </c>
      <c r="E833" s="2543">
        <v>420946344</v>
      </c>
      <c r="F833" s="2543">
        <v>404852687</v>
      </c>
      <c r="G833" s="2541">
        <v>400314754</v>
      </c>
      <c r="H833" s="2541">
        <v>400314754</v>
      </c>
      <c r="I833" s="2541">
        <v>475332584</v>
      </c>
      <c r="J833" s="2545">
        <v>459238927</v>
      </c>
      <c r="K833" s="2543">
        <v>475332584</v>
      </c>
      <c r="L833" s="2543">
        <v>459238927</v>
      </c>
    </row>
    <row r="834" spans="1:12">
      <c r="A834" s="114" t="s">
        <v>219</v>
      </c>
      <c r="B834" s="2540" t="s">
        <v>656</v>
      </c>
      <c r="C834" s="2543">
        <v>311603323</v>
      </c>
      <c r="D834" s="2543">
        <v>302606617</v>
      </c>
      <c r="E834" s="2543">
        <v>311603323</v>
      </c>
      <c r="F834" s="2543">
        <v>302606617</v>
      </c>
      <c r="G834" s="2541">
        <v>300331152</v>
      </c>
      <c r="H834" s="2541">
        <v>300331152</v>
      </c>
      <c r="I834" s="2541">
        <v>510660263</v>
      </c>
      <c r="J834" s="2545">
        <v>501663557</v>
      </c>
      <c r="K834" s="2543">
        <v>510660263</v>
      </c>
      <c r="L834" s="2543">
        <v>501663557</v>
      </c>
    </row>
    <row r="835" spans="1:12">
      <c r="A835" s="114" t="s">
        <v>531</v>
      </c>
      <c r="B835" s="2540" t="s">
        <v>1584</v>
      </c>
      <c r="C835" s="2543">
        <v>226881950</v>
      </c>
      <c r="D835" s="2543">
        <v>217961010</v>
      </c>
      <c r="E835" s="2543">
        <v>226881950</v>
      </c>
      <c r="F835" s="2543">
        <v>217961010</v>
      </c>
      <c r="G835" s="2541">
        <v>193240554</v>
      </c>
      <c r="H835" s="2541">
        <v>193240554</v>
      </c>
      <c r="I835" s="2541">
        <v>226881950</v>
      </c>
      <c r="J835" s="2545">
        <v>217961010</v>
      </c>
      <c r="K835" s="2543">
        <v>226881950</v>
      </c>
      <c r="L835" s="2543">
        <v>217961010</v>
      </c>
    </row>
    <row r="836" spans="1:12">
      <c r="A836" s="114" t="s">
        <v>1640</v>
      </c>
      <c r="B836" s="2540" t="s">
        <v>387</v>
      </c>
      <c r="C836" s="2543">
        <v>64614820</v>
      </c>
      <c r="D836" s="2543">
        <v>62505210</v>
      </c>
      <c r="E836" s="2543">
        <v>64614820</v>
      </c>
      <c r="F836" s="2543">
        <v>62505210</v>
      </c>
      <c r="G836" s="2541">
        <v>59258675</v>
      </c>
      <c r="H836" s="2541">
        <v>59258675</v>
      </c>
      <c r="I836" s="2541">
        <v>64614820</v>
      </c>
      <c r="J836" s="2545">
        <v>62505210</v>
      </c>
      <c r="K836" s="2543">
        <v>64614820</v>
      </c>
      <c r="L836" s="2543">
        <v>62505210</v>
      </c>
    </row>
    <row r="837" spans="1:12">
      <c r="A837" s="114" t="s">
        <v>1641</v>
      </c>
      <c r="B837" s="2540" t="s">
        <v>388</v>
      </c>
      <c r="C837" s="2543">
        <v>49977856</v>
      </c>
      <c r="D837" s="2543">
        <v>48542086</v>
      </c>
      <c r="E837" s="2543">
        <v>49977856</v>
      </c>
      <c r="F837" s="2543">
        <v>48542086</v>
      </c>
      <c r="G837" s="2541">
        <v>46361822</v>
      </c>
      <c r="H837" s="2541">
        <v>46361822</v>
      </c>
      <c r="I837" s="2541">
        <v>49977856</v>
      </c>
      <c r="J837" s="2545">
        <v>48542086</v>
      </c>
      <c r="K837" s="2543">
        <v>49977856</v>
      </c>
      <c r="L837" s="2543">
        <v>48542086</v>
      </c>
    </row>
    <row r="838" spans="1:12">
      <c r="A838" s="114" t="s">
        <v>1557</v>
      </c>
      <c r="B838" s="2540" t="s">
        <v>389</v>
      </c>
      <c r="C838" s="2543">
        <v>290326350</v>
      </c>
      <c r="D838" s="2543">
        <v>285424150</v>
      </c>
      <c r="E838" s="2543">
        <v>287122919</v>
      </c>
      <c r="F838" s="2543">
        <v>282220719</v>
      </c>
      <c r="G838" s="2541">
        <v>420452635</v>
      </c>
      <c r="H838" s="2541">
        <v>417752075</v>
      </c>
      <c r="I838" s="2541">
        <v>295355350</v>
      </c>
      <c r="J838" s="2545">
        <v>290453150</v>
      </c>
      <c r="K838" s="2543">
        <v>292151919</v>
      </c>
      <c r="L838" s="2543">
        <v>287249719</v>
      </c>
    </row>
    <row r="839" spans="1:12">
      <c r="A839" s="114" t="s">
        <v>1558</v>
      </c>
      <c r="B839" s="2540" t="s">
        <v>390</v>
      </c>
      <c r="C839" s="2543">
        <v>145954546</v>
      </c>
      <c r="D839" s="2543">
        <v>144162448</v>
      </c>
      <c r="E839" s="2543">
        <v>145954546</v>
      </c>
      <c r="F839" s="2543">
        <v>144162448</v>
      </c>
      <c r="G839" s="2541">
        <v>145141750</v>
      </c>
      <c r="H839" s="2541">
        <v>145141750</v>
      </c>
      <c r="I839" s="2541">
        <v>350015346</v>
      </c>
      <c r="J839" s="2545">
        <v>348223248</v>
      </c>
      <c r="K839" s="2543">
        <v>350015346</v>
      </c>
      <c r="L839" s="2543">
        <v>348223248</v>
      </c>
    </row>
    <row r="840" spans="1:12">
      <c r="A840" s="114" t="s">
        <v>1559</v>
      </c>
      <c r="B840" s="2540" t="s">
        <v>391</v>
      </c>
      <c r="C840" s="2543">
        <v>2162284215</v>
      </c>
      <c r="D840" s="2543">
        <v>2131958646</v>
      </c>
      <c r="E840" s="2543">
        <v>2162284215</v>
      </c>
      <c r="F840" s="2543">
        <v>2131958646</v>
      </c>
      <c r="G840" s="2541">
        <v>3474514737</v>
      </c>
      <c r="H840" s="2541">
        <v>3474514737</v>
      </c>
      <c r="I840" s="2541">
        <v>2201521425</v>
      </c>
      <c r="J840" s="2545">
        <v>2171195856</v>
      </c>
      <c r="K840" s="2543">
        <v>2201521425</v>
      </c>
      <c r="L840" s="2543">
        <v>2171195856</v>
      </c>
    </row>
    <row r="841" spans="1:12">
      <c r="A841" s="114" t="s">
        <v>1662</v>
      </c>
      <c r="B841" s="2540" t="s">
        <v>392</v>
      </c>
      <c r="C841" s="2543">
        <v>133149982</v>
      </c>
      <c r="D841" s="2543">
        <v>131419946</v>
      </c>
      <c r="E841" s="2543">
        <v>133149982</v>
      </c>
      <c r="F841" s="2543">
        <v>131419946</v>
      </c>
      <c r="G841" s="2541">
        <v>267299890</v>
      </c>
      <c r="H841" s="2541">
        <v>267299890</v>
      </c>
      <c r="I841" s="2541">
        <v>133149982</v>
      </c>
      <c r="J841" s="2545">
        <v>131419946</v>
      </c>
      <c r="K841" s="2543">
        <v>133149982</v>
      </c>
      <c r="L841" s="2543">
        <v>131419946</v>
      </c>
    </row>
    <row r="842" spans="1:12">
      <c r="A842" s="114" t="s">
        <v>1084</v>
      </c>
      <c r="B842" s="2540" t="s">
        <v>393</v>
      </c>
      <c r="C842" s="2543">
        <v>280649037</v>
      </c>
      <c r="D842" s="2543">
        <v>274724365</v>
      </c>
      <c r="E842" s="2543">
        <v>280649037</v>
      </c>
      <c r="F842" s="2543">
        <v>274724365</v>
      </c>
      <c r="G842" s="2541">
        <v>323318140</v>
      </c>
      <c r="H842" s="2541">
        <v>323318140</v>
      </c>
      <c r="I842" s="2541">
        <v>375649037</v>
      </c>
      <c r="J842" s="2545">
        <v>369724365</v>
      </c>
      <c r="K842" s="2543">
        <v>375649037</v>
      </c>
      <c r="L842" s="2543">
        <v>369724365</v>
      </c>
    </row>
    <row r="843" spans="1:12">
      <c r="A843" s="114" t="s">
        <v>1085</v>
      </c>
      <c r="B843" s="2540" t="s">
        <v>394</v>
      </c>
      <c r="C843" s="2543">
        <v>53718911</v>
      </c>
      <c r="D843" s="2543">
        <v>52936863</v>
      </c>
      <c r="E843" s="2543">
        <v>53718911</v>
      </c>
      <c r="F843" s="2543">
        <v>52936863</v>
      </c>
      <c r="G843" s="2541">
        <v>81961515</v>
      </c>
      <c r="H843" s="2541">
        <v>81961515</v>
      </c>
      <c r="I843" s="2541">
        <v>53718911</v>
      </c>
      <c r="J843" s="2545">
        <v>52936863</v>
      </c>
      <c r="K843" s="2543">
        <v>53718911</v>
      </c>
      <c r="L843" s="2543">
        <v>52936863</v>
      </c>
    </row>
    <row r="844" spans="1:12">
      <c r="A844" s="114" t="s">
        <v>1086</v>
      </c>
      <c r="B844" s="2540" t="s">
        <v>1995</v>
      </c>
      <c r="C844" s="2543">
        <v>563689479</v>
      </c>
      <c r="D844" s="2543">
        <v>546662945</v>
      </c>
      <c r="E844" s="2543">
        <v>546896788</v>
      </c>
      <c r="F844" s="2543">
        <v>529870254</v>
      </c>
      <c r="G844" s="2541">
        <v>631832010</v>
      </c>
      <c r="H844" s="2541">
        <v>614810064</v>
      </c>
      <c r="I844" s="2541">
        <v>563689479</v>
      </c>
      <c r="J844" s="2545">
        <v>546662945</v>
      </c>
      <c r="K844" s="2543">
        <v>546896788</v>
      </c>
      <c r="L844" s="2543">
        <v>529870254</v>
      </c>
    </row>
    <row r="845" spans="1:12">
      <c r="A845" s="114" t="s">
        <v>1245</v>
      </c>
      <c r="B845" s="2540" t="s">
        <v>1996</v>
      </c>
      <c r="C845" s="2543">
        <v>170814684</v>
      </c>
      <c r="D845" s="2543">
        <v>164366924</v>
      </c>
      <c r="E845" s="2543">
        <v>164943514</v>
      </c>
      <c r="F845" s="2543">
        <v>158495754</v>
      </c>
      <c r="G845" s="2541">
        <v>197920790</v>
      </c>
      <c r="H845" s="2541">
        <v>191712782</v>
      </c>
      <c r="I845" s="2541">
        <v>170814684</v>
      </c>
      <c r="J845" s="2545">
        <v>164366924</v>
      </c>
      <c r="K845" s="2543">
        <v>164943514</v>
      </c>
      <c r="L845" s="2543">
        <v>158495754</v>
      </c>
    </row>
    <row r="846" spans="1:12">
      <c r="A846" s="114" t="s">
        <v>220</v>
      </c>
      <c r="B846" s="2540" t="s">
        <v>1418</v>
      </c>
      <c r="C846" s="2543">
        <v>247715085</v>
      </c>
      <c r="D846" s="2543">
        <v>241798338</v>
      </c>
      <c r="E846" s="2543">
        <v>247715085</v>
      </c>
      <c r="F846" s="2543">
        <v>241798338</v>
      </c>
      <c r="G846" s="2541">
        <v>262977525</v>
      </c>
      <c r="H846" s="2541">
        <v>262977525</v>
      </c>
      <c r="I846" s="2541">
        <v>247715085</v>
      </c>
      <c r="J846" s="2545">
        <v>241798338</v>
      </c>
      <c r="K846" s="2543">
        <v>247715085</v>
      </c>
      <c r="L846" s="2543">
        <v>241798338</v>
      </c>
    </row>
    <row r="847" spans="1:12">
      <c r="A847" s="114" t="s">
        <v>1246</v>
      </c>
      <c r="B847" s="2540" t="s">
        <v>1997</v>
      </c>
      <c r="C847" s="2543">
        <v>98106130</v>
      </c>
      <c r="D847" s="2543">
        <v>94841995</v>
      </c>
      <c r="E847" s="2543">
        <v>98106130</v>
      </c>
      <c r="F847" s="2543">
        <v>94841995</v>
      </c>
      <c r="G847" s="2541">
        <v>106001500</v>
      </c>
      <c r="H847" s="2541">
        <v>106001500</v>
      </c>
      <c r="I847" s="2541">
        <v>98106130</v>
      </c>
      <c r="J847" s="2545">
        <v>94841995</v>
      </c>
      <c r="K847" s="2543">
        <v>98106130</v>
      </c>
      <c r="L847" s="2543">
        <v>94841995</v>
      </c>
    </row>
    <row r="848" spans="1:12">
      <c r="A848" s="114" t="s">
        <v>1247</v>
      </c>
      <c r="B848" s="2540" t="s">
        <v>1998</v>
      </c>
      <c r="C848" s="2543">
        <v>135455638</v>
      </c>
      <c r="D848" s="2543">
        <v>129538750</v>
      </c>
      <c r="E848" s="2543">
        <v>129901687</v>
      </c>
      <c r="F848" s="2543">
        <v>123984799</v>
      </c>
      <c r="G848" s="2541">
        <v>140040560</v>
      </c>
      <c r="H848" s="2541">
        <v>134440435</v>
      </c>
      <c r="I848" s="2541">
        <v>135455638</v>
      </c>
      <c r="J848" s="2545">
        <v>129538750</v>
      </c>
      <c r="K848" s="2543">
        <v>129901687</v>
      </c>
      <c r="L848" s="2543">
        <v>123984799</v>
      </c>
    </row>
    <row r="849" spans="1:12">
      <c r="A849" s="114" t="s">
        <v>1407</v>
      </c>
      <c r="B849" s="2540" t="s">
        <v>1999</v>
      </c>
      <c r="C849" s="2543">
        <v>46922269</v>
      </c>
      <c r="D849" s="2543">
        <v>46021031</v>
      </c>
      <c r="E849" s="2543">
        <v>46922269</v>
      </c>
      <c r="F849" s="2543">
        <v>46021031</v>
      </c>
      <c r="G849" s="2541">
        <v>55489952</v>
      </c>
      <c r="H849" s="2541">
        <v>54667943</v>
      </c>
      <c r="I849" s="2541">
        <v>46922269</v>
      </c>
      <c r="J849" s="2545">
        <v>46021031</v>
      </c>
      <c r="K849" s="2543">
        <v>46922269</v>
      </c>
      <c r="L849" s="2543">
        <v>46021031</v>
      </c>
    </row>
    <row r="850" spans="1:12">
      <c r="A850" s="114" t="s">
        <v>1408</v>
      </c>
      <c r="B850" s="2540" t="s">
        <v>2000</v>
      </c>
      <c r="C850" s="2543">
        <v>96141620</v>
      </c>
      <c r="D850" s="2543">
        <v>95233610</v>
      </c>
      <c r="E850" s="2543">
        <v>96141620</v>
      </c>
      <c r="F850" s="2543">
        <v>95233610</v>
      </c>
      <c r="G850" s="2541">
        <v>133207331</v>
      </c>
      <c r="H850" s="2541">
        <v>133207331</v>
      </c>
      <c r="I850" s="2541">
        <v>96141620</v>
      </c>
      <c r="J850" s="2545">
        <v>95233610</v>
      </c>
      <c r="K850" s="2543">
        <v>96141620</v>
      </c>
      <c r="L850" s="2543">
        <v>95233610</v>
      </c>
    </row>
    <row r="851" spans="1:12">
      <c r="A851" s="114" t="s">
        <v>2040</v>
      </c>
      <c r="B851" s="2540" t="s">
        <v>2271</v>
      </c>
      <c r="C851" s="2543">
        <v>419544929</v>
      </c>
      <c r="D851" s="2543">
        <v>414859223</v>
      </c>
      <c r="E851" s="2543">
        <v>419544929</v>
      </c>
      <c r="F851" s="2543">
        <v>414859223</v>
      </c>
      <c r="G851" s="2541">
        <v>493280012</v>
      </c>
      <c r="H851" s="2541">
        <v>493280012</v>
      </c>
      <c r="I851" s="2541">
        <v>419544929</v>
      </c>
      <c r="J851" s="2545">
        <v>414859223</v>
      </c>
      <c r="K851" s="2543">
        <v>419544929</v>
      </c>
      <c r="L851" s="2543">
        <v>414859223</v>
      </c>
    </row>
    <row r="852" spans="1:12">
      <c r="A852" s="114" t="s">
        <v>304</v>
      </c>
      <c r="B852" s="2540" t="s">
        <v>2425</v>
      </c>
      <c r="C852" s="2543">
        <v>354837702</v>
      </c>
      <c r="D852" s="2543">
        <v>341743284</v>
      </c>
      <c r="E852" s="2543">
        <v>331813718</v>
      </c>
      <c r="F852" s="2543">
        <v>318719300</v>
      </c>
      <c r="G852" s="2541">
        <v>340447567</v>
      </c>
      <c r="H852" s="2541">
        <v>319153138</v>
      </c>
      <c r="I852" s="2541">
        <v>354837702</v>
      </c>
      <c r="J852" s="2545">
        <v>341743284</v>
      </c>
      <c r="K852" s="2543">
        <v>331813718</v>
      </c>
      <c r="L852" s="2543">
        <v>318719300</v>
      </c>
    </row>
    <row r="853" spans="1:12">
      <c r="A853" s="114" t="s">
        <v>1943</v>
      </c>
      <c r="B853" s="2540" t="s">
        <v>2272</v>
      </c>
      <c r="C853" s="2543">
        <v>956974590</v>
      </c>
      <c r="D853" s="2543">
        <v>926365412</v>
      </c>
      <c r="E853" s="2543">
        <v>956974590</v>
      </c>
      <c r="F853" s="2543">
        <v>926365412</v>
      </c>
      <c r="G853" s="2541">
        <v>863926287</v>
      </c>
      <c r="H853" s="2541">
        <v>863926287</v>
      </c>
      <c r="I853" s="2541">
        <v>956974590</v>
      </c>
      <c r="J853" s="2545">
        <v>926365412</v>
      </c>
      <c r="K853" s="2543">
        <v>956974590</v>
      </c>
      <c r="L853" s="2543">
        <v>926365412</v>
      </c>
    </row>
    <row r="854" spans="1:12">
      <c r="A854" s="114" t="s">
        <v>1944</v>
      </c>
      <c r="B854" s="2540" t="s">
        <v>2273</v>
      </c>
      <c r="C854" s="2543">
        <v>1340026446</v>
      </c>
      <c r="D854" s="2543">
        <v>1289092092</v>
      </c>
      <c r="E854" s="2543">
        <v>1340026446</v>
      </c>
      <c r="F854" s="2543">
        <v>1289092092</v>
      </c>
      <c r="G854" s="2541">
        <v>1234692758</v>
      </c>
      <c r="H854" s="2541">
        <v>1234692758</v>
      </c>
      <c r="I854" s="2541">
        <v>1340026446</v>
      </c>
      <c r="J854" s="2545">
        <v>1289092092</v>
      </c>
      <c r="K854" s="2543">
        <v>1340026446</v>
      </c>
      <c r="L854" s="2543">
        <v>1289092092</v>
      </c>
    </row>
    <row r="855" spans="1:12">
      <c r="A855" s="114" t="s">
        <v>1136</v>
      </c>
      <c r="B855" s="2540" t="s">
        <v>2274</v>
      </c>
      <c r="C855" s="2543">
        <v>339094497</v>
      </c>
      <c r="D855" s="2543">
        <v>328571936</v>
      </c>
      <c r="E855" s="2543">
        <v>339094497</v>
      </c>
      <c r="F855" s="2543">
        <v>328571936</v>
      </c>
      <c r="G855" s="2541">
        <v>296613801</v>
      </c>
      <c r="H855" s="2541">
        <v>296613801</v>
      </c>
      <c r="I855" s="2541">
        <v>339094497</v>
      </c>
      <c r="J855" s="2545">
        <v>328571936</v>
      </c>
      <c r="K855" s="2543">
        <v>339094497</v>
      </c>
      <c r="L855" s="2543">
        <v>328571936</v>
      </c>
    </row>
    <row r="856" spans="1:12">
      <c r="A856" s="114" t="s">
        <v>217</v>
      </c>
      <c r="B856" s="2540" t="s">
        <v>2275</v>
      </c>
      <c r="C856" s="2543">
        <v>8344523931</v>
      </c>
      <c r="D856" s="2543">
        <v>8118208860</v>
      </c>
      <c r="E856" s="2543">
        <v>8344523931</v>
      </c>
      <c r="F856" s="2543">
        <v>8118208860</v>
      </c>
      <c r="G856" s="2541">
        <v>7948280358</v>
      </c>
      <c r="H856" s="2541">
        <v>7948280358</v>
      </c>
      <c r="I856" s="2541">
        <v>8344523931</v>
      </c>
      <c r="J856" s="2545">
        <v>8118208860</v>
      </c>
      <c r="K856" s="2543">
        <v>8344523931</v>
      </c>
      <c r="L856" s="2543">
        <v>8118208860</v>
      </c>
    </row>
    <row r="857" spans="1:12">
      <c r="A857" s="114" t="s">
        <v>1348</v>
      </c>
      <c r="B857" s="2540" t="s">
        <v>1510</v>
      </c>
      <c r="C857" s="2543">
        <v>1952225215</v>
      </c>
      <c r="D857" s="2543">
        <v>1894577874</v>
      </c>
      <c r="E857" s="2543">
        <v>1952225215</v>
      </c>
      <c r="F857" s="2543">
        <v>1894577874</v>
      </c>
      <c r="G857" s="2541">
        <v>1767855184</v>
      </c>
      <c r="H857" s="2541">
        <v>1767855184</v>
      </c>
      <c r="I857" s="2541">
        <v>1952225215</v>
      </c>
      <c r="J857" s="2545">
        <v>1894577874</v>
      </c>
      <c r="K857" s="2543">
        <v>1952225215</v>
      </c>
      <c r="L857" s="2543">
        <v>1894577874</v>
      </c>
    </row>
    <row r="858" spans="1:12">
      <c r="A858" s="114" t="s">
        <v>1516</v>
      </c>
      <c r="B858" s="2540" t="s">
        <v>735</v>
      </c>
      <c r="C858" s="2543">
        <v>1172377306</v>
      </c>
      <c r="D858" s="2543">
        <v>1132458903</v>
      </c>
      <c r="E858" s="2543">
        <v>1172377306</v>
      </c>
      <c r="F858" s="2543">
        <v>1132458903</v>
      </c>
      <c r="G858" s="2541">
        <v>1167200702</v>
      </c>
      <c r="H858" s="2541">
        <v>1167200702</v>
      </c>
      <c r="I858" s="2541">
        <v>1172377306</v>
      </c>
      <c r="J858" s="2545">
        <v>1132458903</v>
      </c>
      <c r="K858" s="2543">
        <v>1172377306</v>
      </c>
      <c r="L858" s="2543">
        <v>1132458903</v>
      </c>
    </row>
    <row r="859" spans="1:12">
      <c r="A859" s="114" t="s">
        <v>1517</v>
      </c>
      <c r="B859" s="2540" t="s">
        <v>2276</v>
      </c>
      <c r="C859" s="2543">
        <v>428699862</v>
      </c>
      <c r="D859" s="2543">
        <v>416213528</v>
      </c>
      <c r="E859" s="2543">
        <v>428699862</v>
      </c>
      <c r="F859" s="2543">
        <v>416213528</v>
      </c>
      <c r="G859" s="2541">
        <v>423480238</v>
      </c>
      <c r="H859" s="2541">
        <v>423480238</v>
      </c>
      <c r="I859" s="2541">
        <v>428699862</v>
      </c>
      <c r="J859" s="2545">
        <v>416213528</v>
      </c>
      <c r="K859" s="2543">
        <v>428699862</v>
      </c>
      <c r="L859" s="2543">
        <v>416213528</v>
      </c>
    </row>
    <row r="860" spans="1:12">
      <c r="A860" s="114" t="s">
        <v>1518</v>
      </c>
      <c r="B860" s="2540" t="s">
        <v>2277</v>
      </c>
      <c r="C860" s="2543">
        <v>2793289301</v>
      </c>
      <c r="D860" s="2543">
        <v>2774518646</v>
      </c>
      <c r="E860" s="2543">
        <v>2759504122</v>
      </c>
      <c r="F860" s="2543">
        <v>2740733467</v>
      </c>
      <c r="G860" s="2541">
        <v>2827611898</v>
      </c>
      <c r="H860" s="2541">
        <v>2794651092</v>
      </c>
      <c r="I860" s="2541">
        <v>2793289301</v>
      </c>
      <c r="J860" s="2545">
        <v>2774518646</v>
      </c>
      <c r="K860" s="2543">
        <v>2759504122</v>
      </c>
      <c r="L860" s="2543">
        <v>2740733467</v>
      </c>
    </row>
    <row r="861" spans="1:12">
      <c r="A861" s="114" t="s">
        <v>3050</v>
      </c>
      <c r="B861" s="2540" t="s">
        <v>3092</v>
      </c>
      <c r="C861" s="2543">
        <v>1641882132</v>
      </c>
      <c r="D861" s="2543">
        <v>1590662212</v>
      </c>
      <c r="E861" s="2543">
        <v>1641882132</v>
      </c>
      <c r="F861" s="2543">
        <v>1590662212</v>
      </c>
      <c r="G861" s="2541">
        <v>1234739801</v>
      </c>
      <c r="H861" s="2541">
        <v>1234739801</v>
      </c>
      <c r="I861" s="2541">
        <v>1641882132</v>
      </c>
      <c r="J861" s="2545">
        <v>1590662212</v>
      </c>
      <c r="K861" s="2543">
        <v>1641882132</v>
      </c>
      <c r="L861" s="2543">
        <v>1590662212</v>
      </c>
    </row>
    <row r="862" spans="1:12">
      <c r="A862" s="114" t="s">
        <v>1945</v>
      </c>
      <c r="B862" s="2540" t="s">
        <v>2278</v>
      </c>
      <c r="C862" s="2543">
        <v>152342330</v>
      </c>
      <c r="D862" s="2543">
        <v>151522210</v>
      </c>
      <c r="E862" s="2543">
        <v>152342330</v>
      </c>
      <c r="F862" s="2543">
        <v>151522210</v>
      </c>
      <c r="G862" s="2541">
        <v>191762803</v>
      </c>
      <c r="H862" s="2541">
        <v>191762803</v>
      </c>
      <c r="I862" s="2541">
        <v>152342330</v>
      </c>
      <c r="J862" s="2545">
        <v>151522210</v>
      </c>
      <c r="K862" s="2543">
        <v>152342330</v>
      </c>
      <c r="L862" s="2543">
        <v>151522210</v>
      </c>
    </row>
    <row r="863" spans="1:12">
      <c r="A863" s="114" t="s">
        <v>221</v>
      </c>
      <c r="B863" s="2540" t="s">
        <v>663</v>
      </c>
      <c r="C863" s="2543">
        <v>506644510</v>
      </c>
      <c r="D863" s="2543">
        <v>478016370</v>
      </c>
      <c r="E863" s="2543">
        <v>506644510</v>
      </c>
      <c r="F863" s="2543">
        <v>478016370</v>
      </c>
      <c r="G863" s="2541">
        <v>548536062</v>
      </c>
      <c r="H863" s="2541">
        <v>548536062</v>
      </c>
      <c r="I863" s="2541">
        <v>506644510</v>
      </c>
      <c r="J863" s="2545">
        <v>478016370</v>
      </c>
      <c r="K863" s="2543">
        <v>506644510</v>
      </c>
      <c r="L863" s="2543">
        <v>478016370</v>
      </c>
    </row>
    <row r="864" spans="1:12">
      <c r="A864" s="114" t="s">
        <v>1946</v>
      </c>
      <c r="B864" s="2540" t="s">
        <v>2279</v>
      </c>
      <c r="C864" s="2543">
        <v>469278441</v>
      </c>
      <c r="D864" s="2543">
        <v>449398661</v>
      </c>
      <c r="E864" s="2543">
        <v>469278441</v>
      </c>
      <c r="F864" s="2543">
        <v>449398661</v>
      </c>
      <c r="G864" s="2541">
        <v>738084409</v>
      </c>
      <c r="H864" s="2541">
        <v>738084409</v>
      </c>
      <c r="I864" s="2541">
        <v>469278441</v>
      </c>
      <c r="J864" s="2545">
        <v>449398661</v>
      </c>
      <c r="K864" s="2543">
        <v>469278441</v>
      </c>
      <c r="L864" s="2543">
        <v>449398661</v>
      </c>
    </row>
    <row r="865" spans="1:12">
      <c r="A865" s="114" t="s">
        <v>2979</v>
      </c>
      <c r="B865" s="2540" t="s">
        <v>2931</v>
      </c>
      <c r="C865" s="2543">
        <v>369673834</v>
      </c>
      <c r="D865" s="2543">
        <v>367462424</v>
      </c>
      <c r="E865" s="2543">
        <v>369673834</v>
      </c>
      <c r="F865" s="2543">
        <v>367462424</v>
      </c>
      <c r="G865" s="2541">
        <v>545627264</v>
      </c>
      <c r="H865" s="2541">
        <v>545627264</v>
      </c>
      <c r="I865" s="2541">
        <v>876445784</v>
      </c>
      <c r="J865" s="2545">
        <v>874234374</v>
      </c>
      <c r="K865" s="2543">
        <v>876445784</v>
      </c>
      <c r="L865" s="2543">
        <v>874234374</v>
      </c>
    </row>
    <row r="866" spans="1:12">
      <c r="A866" s="114" t="s">
        <v>849</v>
      </c>
      <c r="B866" s="2540" t="s">
        <v>2932</v>
      </c>
      <c r="C866" s="2543">
        <v>152531155</v>
      </c>
      <c r="D866" s="2543">
        <v>149988305</v>
      </c>
      <c r="E866" s="2543">
        <v>152531155</v>
      </c>
      <c r="F866" s="2543">
        <v>149988305</v>
      </c>
      <c r="G866" s="2541">
        <v>347454238</v>
      </c>
      <c r="H866" s="2541">
        <v>347454238</v>
      </c>
      <c r="I866" s="2541">
        <v>152531155</v>
      </c>
      <c r="J866" s="2545">
        <v>149988305</v>
      </c>
      <c r="K866" s="2543">
        <v>152531155</v>
      </c>
      <c r="L866" s="2543">
        <v>149988305</v>
      </c>
    </row>
    <row r="867" spans="1:12">
      <c r="A867" s="114" t="s">
        <v>850</v>
      </c>
      <c r="B867" s="2540" t="s">
        <v>2933</v>
      </c>
      <c r="C867" s="2543">
        <v>538177892</v>
      </c>
      <c r="D867" s="2543">
        <v>529909522</v>
      </c>
      <c r="E867" s="2543">
        <v>528702184</v>
      </c>
      <c r="F867" s="2543">
        <v>520433814</v>
      </c>
      <c r="G867" s="2541">
        <v>644023294</v>
      </c>
      <c r="H867" s="2541">
        <v>634603293</v>
      </c>
      <c r="I867" s="2541">
        <v>538177892</v>
      </c>
      <c r="J867" s="2545">
        <v>529909522</v>
      </c>
      <c r="K867" s="2543">
        <v>528702184</v>
      </c>
      <c r="L867" s="2543">
        <v>520433814</v>
      </c>
    </row>
    <row r="868" spans="1:12">
      <c r="A868" s="114" t="s">
        <v>906</v>
      </c>
      <c r="B868" s="2540" t="s">
        <v>2934</v>
      </c>
      <c r="C868" s="2543">
        <v>75778355</v>
      </c>
      <c r="D868" s="2543">
        <v>74167062</v>
      </c>
      <c r="E868" s="2543">
        <v>75778355</v>
      </c>
      <c r="F868" s="2543">
        <v>74167062</v>
      </c>
      <c r="G868" s="2541">
        <v>75570609</v>
      </c>
      <c r="H868" s="2541">
        <v>75570609</v>
      </c>
      <c r="I868" s="2541">
        <v>75778355</v>
      </c>
      <c r="J868" s="2545">
        <v>74167062</v>
      </c>
      <c r="K868" s="2543">
        <v>75778355</v>
      </c>
      <c r="L868" s="2543">
        <v>74167062</v>
      </c>
    </row>
    <row r="869" spans="1:12">
      <c r="A869" s="114" t="s">
        <v>617</v>
      </c>
      <c r="B869" s="2540" t="s">
        <v>2935</v>
      </c>
      <c r="C869" s="2543">
        <v>152000275</v>
      </c>
      <c r="D869" s="2543">
        <v>144241093</v>
      </c>
      <c r="E869" s="2543">
        <v>152000275</v>
      </c>
      <c r="F869" s="2543">
        <v>144241093</v>
      </c>
      <c r="G869" s="2541">
        <v>153276097</v>
      </c>
      <c r="H869" s="2541">
        <v>153276097</v>
      </c>
      <c r="I869" s="2541">
        <v>152000275</v>
      </c>
      <c r="J869" s="2545">
        <v>144241093</v>
      </c>
      <c r="K869" s="2543">
        <v>152000275</v>
      </c>
      <c r="L869" s="2543">
        <v>144241093</v>
      </c>
    </row>
    <row r="870" spans="1:12">
      <c r="A870" s="114" t="s">
        <v>618</v>
      </c>
      <c r="B870" s="2540" t="s">
        <v>2936</v>
      </c>
      <c r="C870" s="2543">
        <v>86989151</v>
      </c>
      <c r="D870" s="2543">
        <v>85275690</v>
      </c>
      <c r="E870" s="2543">
        <v>86989151</v>
      </c>
      <c r="F870" s="2543">
        <v>85275690</v>
      </c>
      <c r="G870" s="2541">
        <v>100394208</v>
      </c>
      <c r="H870" s="2541">
        <v>100394208</v>
      </c>
      <c r="I870" s="2541">
        <v>86989151</v>
      </c>
      <c r="J870" s="2545">
        <v>85275690</v>
      </c>
      <c r="K870" s="2543">
        <v>86989151</v>
      </c>
      <c r="L870" s="2543">
        <v>85275690</v>
      </c>
    </row>
    <row r="871" spans="1:12">
      <c r="A871" s="114" t="s">
        <v>2621</v>
      </c>
      <c r="B871" s="2540" t="s">
        <v>2775</v>
      </c>
      <c r="C871" s="2543">
        <v>23663689942</v>
      </c>
      <c r="D871" s="2543">
        <v>23095336198</v>
      </c>
      <c r="E871" s="2543">
        <v>23663689942</v>
      </c>
      <c r="F871" s="2543">
        <v>23095336198</v>
      </c>
      <c r="G871" s="2541">
        <v>21401126368</v>
      </c>
      <c r="H871" s="2541">
        <v>21401126368</v>
      </c>
      <c r="I871" s="2541">
        <v>23663689942</v>
      </c>
      <c r="J871" s="2545">
        <v>23095336198</v>
      </c>
      <c r="K871" s="2543">
        <v>23663689942</v>
      </c>
      <c r="L871" s="2543">
        <v>23095336198</v>
      </c>
    </row>
    <row r="872" spans="1:12">
      <c r="A872" s="114" t="s">
        <v>985</v>
      </c>
      <c r="B872" s="2540" t="s">
        <v>901</v>
      </c>
      <c r="C872" s="2543">
        <v>8502481859</v>
      </c>
      <c r="D872" s="2543">
        <v>8233801096</v>
      </c>
      <c r="E872" s="2543">
        <v>8502481859</v>
      </c>
      <c r="F872" s="2543">
        <v>8233801096</v>
      </c>
      <c r="G872" s="2541">
        <v>7682474153</v>
      </c>
      <c r="H872" s="2541">
        <v>7682474153</v>
      </c>
      <c r="I872" s="2541">
        <v>8502481859</v>
      </c>
      <c r="J872" s="2545">
        <v>8233801096</v>
      </c>
      <c r="K872" s="2543">
        <v>8502481859</v>
      </c>
      <c r="L872" s="2543">
        <v>8233801096</v>
      </c>
    </row>
    <row r="873" spans="1:12">
      <c r="A873" s="114" t="s">
        <v>2111</v>
      </c>
      <c r="B873" s="2540" t="s">
        <v>2937</v>
      </c>
      <c r="C873" s="2543">
        <v>1206675286</v>
      </c>
      <c r="D873" s="2543">
        <v>1167912271</v>
      </c>
      <c r="E873" s="2543">
        <v>1206675286</v>
      </c>
      <c r="F873" s="2543">
        <v>1167912271</v>
      </c>
      <c r="G873" s="2541">
        <v>1099369032</v>
      </c>
      <c r="H873" s="2541">
        <v>1099369032</v>
      </c>
      <c r="I873" s="2541">
        <v>1206675286</v>
      </c>
      <c r="J873" s="2545">
        <v>1167912271</v>
      </c>
      <c r="K873" s="2543">
        <v>1206675286</v>
      </c>
      <c r="L873" s="2543">
        <v>1167912271</v>
      </c>
    </row>
    <row r="874" spans="1:12">
      <c r="A874" s="114" t="s">
        <v>2297</v>
      </c>
      <c r="B874" s="2540" t="s">
        <v>1453</v>
      </c>
      <c r="C874" s="2543">
        <v>30903276110</v>
      </c>
      <c r="D874" s="2543">
        <v>30153705760</v>
      </c>
      <c r="E874" s="2543">
        <v>30903276110</v>
      </c>
      <c r="F874" s="2543">
        <v>30153705760</v>
      </c>
      <c r="G874" s="2541">
        <v>28286342225</v>
      </c>
      <c r="H874" s="2541">
        <v>28286342225</v>
      </c>
      <c r="I874" s="2541">
        <v>30903276110</v>
      </c>
      <c r="J874" s="2545">
        <v>30153705760</v>
      </c>
      <c r="K874" s="2543">
        <v>30903276110</v>
      </c>
      <c r="L874" s="2543">
        <v>30153705760</v>
      </c>
    </row>
    <row r="875" spans="1:12">
      <c r="A875" s="114" t="s">
        <v>2497</v>
      </c>
      <c r="B875" s="2540" t="s">
        <v>1454</v>
      </c>
      <c r="C875" s="2543">
        <v>12662564591</v>
      </c>
      <c r="D875" s="2543">
        <v>12489641746</v>
      </c>
      <c r="E875" s="2543">
        <v>12662564591</v>
      </c>
      <c r="F875" s="2543">
        <v>12489641746</v>
      </c>
      <c r="G875" s="2541">
        <v>11293582526</v>
      </c>
      <c r="H875" s="2541">
        <v>11293582526</v>
      </c>
      <c r="I875" s="2541">
        <v>12662564591</v>
      </c>
      <c r="J875" s="2545">
        <v>12489641746</v>
      </c>
      <c r="K875" s="2543">
        <v>12662564591</v>
      </c>
      <c r="L875" s="2543">
        <v>12489641746</v>
      </c>
    </row>
    <row r="876" spans="1:12">
      <c r="A876" s="114" t="s">
        <v>57</v>
      </c>
      <c r="B876" s="2540" t="s">
        <v>452</v>
      </c>
      <c r="C876" s="2543">
        <v>15396016302</v>
      </c>
      <c r="D876" s="2543">
        <v>15003683814</v>
      </c>
      <c r="E876" s="2543">
        <v>15396016302</v>
      </c>
      <c r="F876" s="2543">
        <v>15003683814</v>
      </c>
      <c r="G876" s="2541">
        <v>12925898795</v>
      </c>
      <c r="H876" s="2541">
        <v>12925898795</v>
      </c>
      <c r="I876" s="2541">
        <v>15396016302</v>
      </c>
      <c r="J876" s="2545">
        <v>15003683814</v>
      </c>
      <c r="K876" s="2543">
        <v>15396016302</v>
      </c>
      <c r="L876" s="2543">
        <v>15003683814</v>
      </c>
    </row>
    <row r="877" spans="1:12">
      <c r="A877" s="114" t="s">
        <v>379</v>
      </c>
      <c r="B877" s="2540" t="s">
        <v>321</v>
      </c>
      <c r="C877" s="2543">
        <v>11855631267</v>
      </c>
      <c r="D877" s="2543">
        <v>11525771524</v>
      </c>
      <c r="E877" s="2543">
        <v>11855631267</v>
      </c>
      <c r="F877" s="2543">
        <v>11525771524</v>
      </c>
      <c r="G877" s="2541">
        <v>10332573358</v>
      </c>
      <c r="H877" s="2541">
        <v>10332573358</v>
      </c>
      <c r="I877" s="2541">
        <v>11855631267</v>
      </c>
      <c r="J877" s="2545">
        <v>11525771524</v>
      </c>
      <c r="K877" s="2543">
        <v>11855631267</v>
      </c>
      <c r="L877" s="2543">
        <v>11525771524</v>
      </c>
    </row>
    <row r="878" spans="1:12">
      <c r="A878" s="114" t="s">
        <v>1986</v>
      </c>
      <c r="B878" s="2540" t="s">
        <v>2624</v>
      </c>
      <c r="C878" s="2543">
        <v>826685491</v>
      </c>
      <c r="D878" s="2543">
        <v>806318797</v>
      </c>
      <c r="E878" s="2543">
        <v>826685491</v>
      </c>
      <c r="F878" s="2543">
        <v>806318797</v>
      </c>
      <c r="G878" s="2541">
        <v>764261356</v>
      </c>
      <c r="H878" s="2541">
        <v>764261356</v>
      </c>
      <c r="I878" s="2541">
        <v>826685491</v>
      </c>
      <c r="J878" s="2545">
        <v>806318797</v>
      </c>
      <c r="K878" s="2543">
        <v>826685491</v>
      </c>
      <c r="L878" s="2543">
        <v>806318797</v>
      </c>
    </row>
    <row r="879" spans="1:12">
      <c r="A879" s="114" t="s">
        <v>2759</v>
      </c>
      <c r="B879" s="2540" t="s">
        <v>459</v>
      </c>
      <c r="C879" s="2543">
        <v>5692103144</v>
      </c>
      <c r="D879" s="2543">
        <v>5516180989</v>
      </c>
      <c r="E879" s="2543">
        <v>5544223407</v>
      </c>
      <c r="F879" s="2543">
        <v>5368301252</v>
      </c>
      <c r="G879" s="2541">
        <v>5213301724</v>
      </c>
      <c r="H879" s="2541">
        <v>5079990135</v>
      </c>
      <c r="I879" s="2541">
        <v>5692103144</v>
      </c>
      <c r="J879" s="2545">
        <v>5516180989</v>
      </c>
      <c r="K879" s="2543">
        <v>5544223407</v>
      </c>
      <c r="L879" s="2543">
        <v>5368301252</v>
      </c>
    </row>
    <row r="880" spans="1:12">
      <c r="A880" s="114" t="s">
        <v>59</v>
      </c>
      <c r="B880" s="2540" t="s">
        <v>2876</v>
      </c>
      <c r="C880" s="2543">
        <v>1219065215</v>
      </c>
      <c r="D880" s="2543">
        <v>1174740511</v>
      </c>
      <c r="E880" s="2543">
        <v>1219065215</v>
      </c>
      <c r="F880" s="2543">
        <v>1174740511</v>
      </c>
      <c r="G880" s="2541">
        <v>1075584709</v>
      </c>
      <c r="H880" s="2541">
        <v>1075584709</v>
      </c>
      <c r="I880" s="2541">
        <v>1219065215</v>
      </c>
      <c r="J880" s="2545">
        <v>1174740511</v>
      </c>
      <c r="K880" s="2543">
        <v>1219065215</v>
      </c>
      <c r="L880" s="2543">
        <v>1174740511</v>
      </c>
    </row>
    <row r="881" spans="1:12">
      <c r="A881" s="114" t="s">
        <v>1894</v>
      </c>
      <c r="B881" s="2540" t="s">
        <v>2429</v>
      </c>
      <c r="C881" s="2543">
        <v>2452854874</v>
      </c>
      <c r="D881" s="2543">
        <v>2364960341</v>
      </c>
      <c r="E881" s="2543">
        <v>2452854874</v>
      </c>
      <c r="F881" s="2543">
        <v>2364960341</v>
      </c>
      <c r="G881" s="2541">
        <v>2329632654</v>
      </c>
      <c r="H881" s="2541">
        <v>2329632654</v>
      </c>
      <c r="I881" s="2541">
        <v>2452854874</v>
      </c>
      <c r="J881" s="2545">
        <v>2364960341</v>
      </c>
      <c r="K881" s="2543">
        <v>2452854874</v>
      </c>
      <c r="L881" s="2543">
        <v>2364960341</v>
      </c>
    </row>
    <row r="882" spans="1:12">
      <c r="A882" s="114" t="s">
        <v>1280</v>
      </c>
      <c r="B882" s="2540" t="s">
        <v>1439</v>
      </c>
      <c r="C882" s="2543">
        <v>11180706987</v>
      </c>
      <c r="D882" s="2543">
        <v>10897779023</v>
      </c>
      <c r="E882" s="2543">
        <v>11108437545</v>
      </c>
      <c r="F882" s="2543">
        <v>10825509581</v>
      </c>
      <c r="G882" s="2541">
        <v>9734523725</v>
      </c>
      <c r="H882" s="2541">
        <v>9662631037</v>
      </c>
      <c r="I882" s="2541">
        <v>11180706987</v>
      </c>
      <c r="J882" s="2545">
        <v>10897779023</v>
      </c>
      <c r="K882" s="2543">
        <v>11108437545</v>
      </c>
      <c r="L882" s="2543">
        <v>10825509581</v>
      </c>
    </row>
    <row r="883" spans="1:12">
      <c r="A883" s="114" t="s">
        <v>2108</v>
      </c>
      <c r="B883" s="2540" t="s">
        <v>732</v>
      </c>
      <c r="C883" s="2543">
        <v>570030520</v>
      </c>
      <c r="D883" s="2543">
        <v>537847551</v>
      </c>
      <c r="E883" s="2543">
        <v>570030520</v>
      </c>
      <c r="F883" s="2543">
        <v>537847551</v>
      </c>
      <c r="G883" s="2541">
        <v>473279483</v>
      </c>
      <c r="H883" s="2541">
        <v>473279483</v>
      </c>
      <c r="I883" s="2541">
        <v>570030520</v>
      </c>
      <c r="J883" s="2545">
        <v>537847551</v>
      </c>
      <c r="K883" s="2543">
        <v>570030520</v>
      </c>
      <c r="L883" s="2543">
        <v>537847551</v>
      </c>
    </row>
    <row r="884" spans="1:12">
      <c r="A884" s="114" t="s">
        <v>2542</v>
      </c>
      <c r="B884" s="2540" t="s">
        <v>1455</v>
      </c>
      <c r="C884" s="2543">
        <v>7652013685</v>
      </c>
      <c r="D884" s="2543">
        <v>7456360100</v>
      </c>
      <c r="E884" s="2543">
        <v>7652013685</v>
      </c>
      <c r="F884" s="2543">
        <v>7456360100</v>
      </c>
      <c r="G884" s="2541">
        <v>6916328659</v>
      </c>
      <c r="H884" s="2541">
        <v>6916328659</v>
      </c>
      <c r="I884" s="2541">
        <v>7652013685</v>
      </c>
      <c r="J884" s="2545">
        <v>7456360100</v>
      </c>
      <c r="K884" s="2543">
        <v>7652013685</v>
      </c>
      <c r="L884" s="2543">
        <v>7456360100</v>
      </c>
    </row>
    <row r="885" spans="1:12">
      <c r="A885" s="114" t="s">
        <v>2107</v>
      </c>
      <c r="B885" s="2540" t="s">
        <v>731</v>
      </c>
      <c r="C885" s="2543">
        <v>7162478978</v>
      </c>
      <c r="D885" s="2543">
        <v>7082042923</v>
      </c>
      <c r="E885" s="2543">
        <v>7162478978</v>
      </c>
      <c r="F885" s="2543">
        <v>7082042923</v>
      </c>
      <c r="G885" s="2541">
        <v>6268346961</v>
      </c>
      <c r="H885" s="2541">
        <v>6268346961</v>
      </c>
      <c r="I885" s="2541">
        <v>7162478978</v>
      </c>
      <c r="J885" s="2545">
        <v>7082042923</v>
      </c>
      <c r="K885" s="2543">
        <v>7162478978</v>
      </c>
      <c r="L885" s="2543">
        <v>7082042923</v>
      </c>
    </row>
    <row r="886" spans="1:12">
      <c r="A886" s="114" t="s">
        <v>1347</v>
      </c>
      <c r="B886" s="2540" t="s">
        <v>1509</v>
      </c>
      <c r="C886" s="2543">
        <v>1737850327</v>
      </c>
      <c r="D886" s="2543">
        <v>1670328586</v>
      </c>
      <c r="E886" s="2543">
        <v>1737850327</v>
      </c>
      <c r="F886" s="2543">
        <v>1670328586</v>
      </c>
      <c r="G886" s="2541">
        <v>1655740881</v>
      </c>
      <c r="H886" s="2541">
        <v>1655740881</v>
      </c>
      <c r="I886" s="2541">
        <v>1737850327</v>
      </c>
      <c r="J886" s="2545">
        <v>1670328586</v>
      </c>
      <c r="K886" s="2543">
        <v>1737850327</v>
      </c>
      <c r="L886" s="2543">
        <v>1670328586</v>
      </c>
    </row>
    <row r="887" spans="1:12">
      <c r="A887" s="114" t="s">
        <v>2543</v>
      </c>
      <c r="B887" s="2540" t="s">
        <v>1456</v>
      </c>
      <c r="C887" s="2543">
        <v>4541630772</v>
      </c>
      <c r="D887" s="2543">
        <v>4369710826</v>
      </c>
      <c r="E887" s="2543">
        <v>4490759008</v>
      </c>
      <c r="F887" s="2543">
        <v>4318839062</v>
      </c>
      <c r="G887" s="2541">
        <v>4183286585</v>
      </c>
      <c r="H887" s="2541">
        <v>4131549230</v>
      </c>
      <c r="I887" s="2541">
        <v>4541630772</v>
      </c>
      <c r="J887" s="2545">
        <v>4369710826</v>
      </c>
      <c r="K887" s="2543">
        <v>4490759008</v>
      </c>
      <c r="L887" s="2543">
        <v>4318839062</v>
      </c>
    </row>
    <row r="888" spans="1:12">
      <c r="A888" s="114" t="s">
        <v>2544</v>
      </c>
      <c r="B888" s="2540" t="s">
        <v>1457</v>
      </c>
      <c r="C888" s="2543">
        <v>402676373</v>
      </c>
      <c r="D888" s="2543">
        <v>391515620</v>
      </c>
      <c r="E888" s="2543">
        <v>402676373</v>
      </c>
      <c r="F888" s="2543">
        <v>391515620</v>
      </c>
      <c r="G888" s="2541">
        <v>404095714</v>
      </c>
      <c r="H888" s="2541">
        <v>404095714</v>
      </c>
      <c r="I888" s="2541">
        <v>402676373</v>
      </c>
      <c r="J888" s="2545">
        <v>391515620</v>
      </c>
      <c r="K888" s="2543">
        <v>402676373</v>
      </c>
      <c r="L888" s="2543">
        <v>391515620</v>
      </c>
    </row>
    <row r="889" spans="1:12">
      <c r="A889" s="114" t="s">
        <v>3052</v>
      </c>
      <c r="B889" s="2540" t="s">
        <v>1458</v>
      </c>
      <c r="C889" s="2543">
        <v>133005248</v>
      </c>
      <c r="D889" s="2543">
        <v>131703609</v>
      </c>
      <c r="E889" s="2543">
        <v>133005248</v>
      </c>
      <c r="F889" s="2543">
        <v>131703609</v>
      </c>
      <c r="G889" s="2541">
        <v>154758393</v>
      </c>
      <c r="H889" s="2541">
        <v>154758393</v>
      </c>
      <c r="I889" s="2541">
        <v>161273129</v>
      </c>
      <c r="J889" s="2545">
        <v>159971490</v>
      </c>
      <c r="K889" s="2543">
        <v>161273129</v>
      </c>
      <c r="L889" s="2543">
        <v>159971490</v>
      </c>
    </row>
    <row r="890" spans="1:12">
      <c r="A890" s="114" t="s">
        <v>3053</v>
      </c>
      <c r="B890" s="2540" t="s">
        <v>2664</v>
      </c>
      <c r="C890" s="2543">
        <v>432153930</v>
      </c>
      <c r="D890" s="2543">
        <v>417543049</v>
      </c>
      <c r="E890" s="2543">
        <v>408522681</v>
      </c>
      <c r="F890" s="2543">
        <v>393911800</v>
      </c>
      <c r="G890" s="2541">
        <v>423724638</v>
      </c>
      <c r="H890" s="2541">
        <v>402296893</v>
      </c>
      <c r="I890" s="2541">
        <v>476704005</v>
      </c>
      <c r="J890" s="2545">
        <v>462093124</v>
      </c>
      <c r="K890" s="2543">
        <v>453072756</v>
      </c>
      <c r="L890" s="2543">
        <v>438461875</v>
      </c>
    </row>
    <row r="891" spans="1:12">
      <c r="A891" s="114" t="s">
        <v>3054</v>
      </c>
      <c r="B891" s="2540" t="s">
        <v>1293</v>
      </c>
      <c r="C891" s="2543">
        <v>1837126004</v>
      </c>
      <c r="D891" s="2543">
        <v>1780793810</v>
      </c>
      <c r="E891" s="2543">
        <v>1837126004</v>
      </c>
      <c r="F891" s="2543">
        <v>1780793810</v>
      </c>
      <c r="G891" s="2541">
        <v>1585433415</v>
      </c>
      <c r="H891" s="2541">
        <v>1585433415</v>
      </c>
      <c r="I891" s="2541">
        <v>1837126004</v>
      </c>
      <c r="J891" s="2545">
        <v>1780793810</v>
      </c>
      <c r="K891" s="2543">
        <v>1837126004</v>
      </c>
      <c r="L891" s="2543">
        <v>1780793810</v>
      </c>
    </row>
    <row r="892" spans="1:12">
      <c r="A892" s="114" t="s">
        <v>3055</v>
      </c>
      <c r="B892" s="2540" t="s">
        <v>1460</v>
      </c>
      <c r="C892" s="2543">
        <v>243576194</v>
      </c>
      <c r="D892" s="2543">
        <v>241345578</v>
      </c>
      <c r="E892" s="2543">
        <v>242332079</v>
      </c>
      <c r="F892" s="2543">
        <v>240101463</v>
      </c>
      <c r="G892" s="2541">
        <v>385664822</v>
      </c>
      <c r="H892" s="2541">
        <v>384178966</v>
      </c>
      <c r="I892" s="2541">
        <v>243576194</v>
      </c>
      <c r="J892" s="2545">
        <v>241345578</v>
      </c>
      <c r="K892" s="2543">
        <v>242332079</v>
      </c>
      <c r="L892" s="2543">
        <v>240101463</v>
      </c>
    </row>
    <row r="893" spans="1:12">
      <c r="A893" s="114" t="s">
        <v>1335</v>
      </c>
      <c r="B893" s="2540" t="s">
        <v>336</v>
      </c>
      <c r="C893" s="2543">
        <v>495320179</v>
      </c>
      <c r="D893" s="2543">
        <v>486394428</v>
      </c>
      <c r="E893" s="2543">
        <v>495320179</v>
      </c>
      <c r="F893" s="2543">
        <v>486394428</v>
      </c>
      <c r="G893" s="2541">
        <v>925660481</v>
      </c>
      <c r="H893" s="2541">
        <v>925660481</v>
      </c>
      <c r="I893" s="2541">
        <v>495320179</v>
      </c>
      <c r="J893" s="2545">
        <v>486394428</v>
      </c>
      <c r="K893" s="2543">
        <v>495320179</v>
      </c>
      <c r="L893" s="2543">
        <v>486394428</v>
      </c>
    </row>
    <row r="894" spans="1:12">
      <c r="A894" s="114" t="s">
        <v>2106</v>
      </c>
      <c r="B894" s="2540" t="s">
        <v>930</v>
      </c>
      <c r="C894" s="2543">
        <v>50441655</v>
      </c>
      <c r="D894" s="2543">
        <v>49614669</v>
      </c>
      <c r="E894" s="2543">
        <v>50441655</v>
      </c>
      <c r="F894" s="2543">
        <v>49614669</v>
      </c>
      <c r="G894" s="2541">
        <v>71197224</v>
      </c>
      <c r="H894" s="2541">
        <v>71197224</v>
      </c>
      <c r="I894" s="2541">
        <v>50441655</v>
      </c>
      <c r="J894" s="2545">
        <v>49614669</v>
      </c>
      <c r="K894" s="2543">
        <v>50441655</v>
      </c>
      <c r="L894" s="2543">
        <v>49614669</v>
      </c>
    </row>
    <row r="895" spans="1:12">
      <c r="A895" s="114" t="s">
        <v>1336</v>
      </c>
      <c r="B895" s="2540" t="s">
        <v>2665</v>
      </c>
      <c r="C895" s="2543">
        <v>174258302</v>
      </c>
      <c r="D895" s="2543">
        <v>173726378</v>
      </c>
      <c r="E895" s="2543">
        <v>174258302</v>
      </c>
      <c r="F895" s="2543">
        <v>173726378</v>
      </c>
      <c r="G895" s="2541">
        <v>347268935</v>
      </c>
      <c r="H895" s="2541">
        <v>347268935</v>
      </c>
      <c r="I895" s="2541">
        <v>174258302</v>
      </c>
      <c r="J895" s="2545">
        <v>173726378</v>
      </c>
      <c r="K895" s="2543">
        <v>174258302</v>
      </c>
      <c r="L895" s="2543">
        <v>173726378</v>
      </c>
    </row>
    <row r="896" spans="1:12">
      <c r="A896" s="114" t="s">
        <v>1783</v>
      </c>
      <c r="B896" s="2540" t="s">
        <v>706</v>
      </c>
      <c r="C896" s="2543">
        <v>128576271</v>
      </c>
      <c r="D896" s="2543">
        <v>125878091</v>
      </c>
      <c r="E896" s="2543">
        <v>128576271</v>
      </c>
      <c r="F896" s="2543">
        <v>125878091</v>
      </c>
      <c r="G896" s="2541">
        <v>164730332</v>
      </c>
      <c r="H896" s="2541">
        <v>164730332</v>
      </c>
      <c r="I896" s="2541">
        <v>128576271</v>
      </c>
      <c r="J896" s="2545">
        <v>125878091</v>
      </c>
      <c r="K896" s="2543">
        <v>128576271</v>
      </c>
      <c r="L896" s="2543">
        <v>125878091</v>
      </c>
    </row>
    <row r="897" spans="1:12">
      <c r="A897" s="114" t="s">
        <v>1784</v>
      </c>
      <c r="B897" s="2540" t="s">
        <v>707</v>
      </c>
      <c r="C897" s="2543">
        <v>32684686</v>
      </c>
      <c r="D897" s="2543">
        <v>31697726</v>
      </c>
      <c r="E897" s="2543">
        <v>32684686</v>
      </c>
      <c r="F897" s="2543">
        <v>31697726</v>
      </c>
      <c r="G897" s="2541">
        <v>48672173</v>
      </c>
      <c r="H897" s="2541">
        <v>48672173</v>
      </c>
      <c r="I897" s="2541">
        <v>32684686</v>
      </c>
      <c r="J897" s="2545">
        <v>31697726</v>
      </c>
      <c r="K897" s="2543">
        <v>32684686</v>
      </c>
      <c r="L897" s="2543">
        <v>31697726</v>
      </c>
    </row>
    <row r="898" spans="1:12">
      <c r="A898" s="114" t="s">
        <v>1785</v>
      </c>
      <c r="B898" s="2540" t="s">
        <v>708</v>
      </c>
      <c r="C898" s="2543">
        <v>1556169086</v>
      </c>
      <c r="D898" s="2543">
        <v>1516466877</v>
      </c>
      <c r="E898" s="2543">
        <v>1556169086</v>
      </c>
      <c r="F898" s="2543">
        <v>1516466877</v>
      </c>
      <c r="G898" s="2541">
        <v>1628415903</v>
      </c>
      <c r="H898" s="2541">
        <v>1585478818</v>
      </c>
      <c r="I898" s="2541">
        <v>1556169086</v>
      </c>
      <c r="J898" s="2545">
        <v>1516466877</v>
      </c>
      <c r="K898" s="2543">
        <v>1556169086</v>
      </c>
      <c r="L898" s="2543">
        <v>1516466877</v>
      </c>
    </row>
    <row r="899" spans="1:12">
      <c r="A899" s="114" t="s">
        <v>2062</v>
      </c>
      <c r="B899" s="2540" t="s">
        <v>1868</v>
      </c>
      <c r="C899" s="2543">
        <v>51671156</v>
      </c>
      <c r="D899" s="2543">
        <v>50434728</v>
      </c>
      <c r="E899" s="2543">
        <v>51671156</v>
      </c>
      <c r="F899" s="2543">
        <v>50434728</v>
      </c>
      <c r="G899" s="2541">
        <v>73204021</v>
      </c>
      <c r="H899" s="2541">
        <v>72095686</v>
      </c>
      <c r="I899" s="2541">
        <v>51671156</v>
      </c>
      <c r="J899" s="2545">
        <v>50434728</v>
      </c>
      <c r="K899" s="2543">
        <v>51671156</v>
      </c>
      <c r="L899" s="2543">
        <v>50434728</v>
      </c>
    </row>
    <row r="900" spans="1:12">
      <c r="A900" s="114" t="s">
        <v>305</v>
      </c>
      <c r="B900" s="2540" t="s">
        <v>735</v>
      </c>
      <c r="C900" s="2543">
        <v>121730710</v>
      </c>
      <c r="D900" s="2543">
        <v>115950858</v>
      </c>
      <c r="E900" s="2543">
        <v>121730710</v>
      </c>
      <c r="F900" s="2543">
        <v>115950858</v>
      </c>
      <c r="G900" s="2541">
        <v>107064967</v>
      </c>
      <c r="H900" s="2541">
        <v>107064967</v>
      </c>
      <c r="I900" s="2541">
        <v>121730710</v>
      </c>
      <c r="J900" s="2545">
        <v>115950858</v>
      </c>
      <c r="K900" s="2543">
        <v>121730710</v>
      </c>
      <c r="L900" s="2543">
        <v>115950858</v>
      </c>
    </row>
    <row r="901" spans="1:12">
      <c r="A901" s="114" t="s">
        <v>2063</v>
      </c>
      <c r="B901" s="2540" t="s">
        <v>1869</v>
      </c>
      <c r="C901" s="2543">
        <v>148358194</v>
      </c>
      <c r="D901" s="2543">
        <v>141709240</v>
      </c>
      <c r="E901" s="2543">
        <v>148358194</v>
      </c>
      <c r="F901" s="2543">
        <v>141709240</v>
      </c>
      <c r="G901" s="2541">
        <v>138995056</v>
      </c>
      <c r="H901" s="2541">
        <v>138995056</v>
      </c>
      <c r="I901" s="2541">
        <v>148358194</v>
      </c>
      <c r="J901" s="2545">
        <v>141709240</v>
      </c>
      <c r="K901" s="2543">
        <v>148358194</v>
      </c>
      <c r="L901" s="2543">
        <v>141709240</v>
      </c>
    </row>
    <row r="902" spans="1:12">
      <c r="A902" s="114" t="s">
        <v>2797</v>
      </c>
      <c r="B902" s="2540" t="s">
        <v>2179</v>
      </c>
      <c r="C902" s="2543">
        <v>245056158</v>
      </c>
      <c r="D902" s="2543">
        <v>237313668</v>
      </c>
      <c r="E902" s="2543">
        <v>245056158</v>
      </c>
      <c r="F902" s="2543">
        <v>237313668</v>
      </c>
      <c r="G902" s="2541">
        <v>236383486</v>
      </c>
      <c r="H902" s="2541">
        <v>223104603</v>
      </c>
      <c r="I902" s="2541">
        <v>260160808</v>
      </c>
      <c r="J902" s="2545">
        <v>252418318</v>
      </c>
      <c r="K902" s="2543">
        <v>260160808</v>
      </c>
      <c r="L902" s="2543">
        <v>252418318</v>
      </c>
    </row>
    <row r="903" spans="1:12">
      <c r="A903" s="114" t="s">
        <v>1488</v>
      </c>
      <c r="B903" s="2540" t="s">
        <v>2307</v>
      </c>
      <c r="C903" s="2543">
        <v>4908490570</v>
      </c>
      <c r="D903" s="2543">
        <v>4694723962</v>
      </c>
      <c r="E903" s="2543">
        <v>4908490570</v>
      </c>
      <c r="F903" s="2543">
        <v>4694723962</v>
      </c>
      <c r="G903" s="2541">
        <v>4383926403</v>
      </c>
      <c r="H903" s="2541">
        <v>4383926403</v>
      </c>
      <c r="I903" s="2541">
        <v>4908490570</v>
      </c>
      <c r="J903" s="2545">
        <v>4694723962</v>
      </c>
      <c r="K903" s="2543">
        <v>4908490570</v>
      </c>
      <c r="L903" s="2543">
        <v>4694723962</v>
      </c>
    </row>
    <row r="904" spans="1:12">
      <c r="A904" s="114" t="s">
        <v>2785</v>
      </c>
      <c r="B904" s="2540" t="s">
        <v>2180</v>
      </c>
      <c r="C904" s="2543">
        <v>128354237</v>
      </c>
      <c r="D904" s="2543">
        <v>124218747</v>
      </c>
      <c r="E904" s="2543">
        <v>128354237</v>
      </c>
      <c r="F904" s="2543">
        <v>124218747</v>
      </c>
      <c r="G904" s="2541">
        <v>125247290</v>
      </c>
      <c r="H904" s="2541">
        <v>125247290</v>
      </c>
      <c r="I904" s="2541">
        <v>128354237</v>
      </c>
      <c r="J904" s="2545">
        <v>124218747</v>
      </c>
      <c r="K904" s="2543">
        <v>128354237</v>
      </c>
      <c r="L904" s="2543">
        <v>124218747</v>
      </c>
    </row>
    <row r="905" spans="1:12">
      <c r="A905" s="114" t="s">
        <v>374</v>
      </c>
      <c r="B905" s="2540" t="s">
        <v>158</v>
      </c>
      <c r="C905" s="2543">
        <v>428949589</v>
      </c>
      <c r="D905" s="2543">
        <v>416347589</v>
      </c>
      <c r="E905" s="2543">
        <v>428949589</v>
      </c>
      <c r="F905" s="2543">
        <v>416347589</v>
      </c>
      <c r="G905" s="2541">
        <v>374145395</v>
      </c>
      <c r="H905" s="2541">
        <v>374145395</v>
      </c>
      <c r="I905" s="2541">
        <v>428949589</v>
      </c>
      <c r="J905" s="2545">
        <v>416347589</v>
      </c>
      <c r="K905" s="2543">
        <v>428949589</v>
      </c>
      <c r="L905" s="2543">
        <v>416347589</v>
      </c>
    </row>
    <row r="906" spans="1:12">
      <c r="A906" s="114" t="s">
        <v>1482</v>
      </c>
      <c r="B906" s="2540" t="s">
        <v>1947</v>
      </c>
      <c r="C906" s="2543">
        <v>284941175</v>
      </c>
      <c r="D906" s="2543">
        <v>269074745</v>
      </c>
      <c r="E906" s="2543">
        <v>284941175</v>
      </c>
      <c r="F906" s="2543">
        <v>269074745</v>
      </c>
      <c r="G906" s="2541">
        <v>228235268</v>
      </c>
      <c r="H906" s="2541">
        <v>228235268</v>
      </c>
      <c r="I906" s="2541">
        <v>284941175</v>
      </c>
      <c r="J906" s="2545">
        <v>269074745</v>
      </c>
      <c r="K906" s="2543">
        <v>284941175</v>
      </c>
      <c r="L906" s="2543">
        <v>269074745</v>
      </c>
    </row>
    <row r="907" spans="1:12">
      <c r="A907" s="114" t="s">
        <v>1422</v>
      </c>
      <c r="B907" s="2540" t="s">
        <v>3041</v>
      </c>
      <c r="C907" s="2543">
        <v>118109536</v>
      </c>
      <c r="D907" s="2543">
        <v>115021106</v>
      </c>
      <c r="E907" s="2543">
        <v>118109536</v>
      </c>
      <c r="F907" s="2543">
        <v>115021106</v>
      </c>
      <c r="G907" s="2541">
        <v>112305029</v>
      </c>
      <c r="H907" s="2541">
        <v>110420952</v>
      </c>
      <c r="I907" s="2541">
        <v>118109536</v>
      </c>
      <c r="J907" s="2545">
        <v>115021106</v>
      </c>
      <c r="K907" s="2543">
        <v>118109536</v>
      </c>
      <c r="L907" s="2543">
        <v>115021106</v>
      </c>
    </row>
    <row r="908" spans="1:12">
      <c r="A908" s="114" t="s">
        <v>292</v>
      </c>
      <c r="B908" s="2540" t="s">
        <v>2181</v>
      </c>
      <c r="C908" s="2543">
        <v>100556504782</v>
      </c>
      <c r="D908" s="2543">
        <v>99438350611</v>
      </c>
      <c r="E908" s="2543">
        <v>100556504782</v>
      </c>
      <c r="F908" s="2543">
        <v>99438350611</v>
      </c>
      <c r="G908" s="2541">
        <v>78614122330</v>
      </c>
      <c r="H908" s="2541">
        <v>78614122330</v>
      </c>
      <c r="I908" s="2541">
        <v>100575859177</v>
      </c>
      <c r="J908" s="2545">
        <v>99457705006</v>
      </c>
      <c r="K908" s="2543">
        <v>100575859177</v>
      </c>
      <c r="L908" s="2543">
        <v>99457705006</v>
      </c>
    </row>
    <row r="909" spans="1:12">
      <c r="A909" s="114" t="s">
        <v>238</v>
      </c>
      <c r="B909" s="2540" t="s">
        <v>1125</v>
      </c>
      <c r="C909" s="2543">
        <v>11186232943</v>
      </c>
      <c r="D909" s="2543">
        <v>10926046709</v>
      </c>
      <c r="E909" s="2543">
        <v>11186232943</v>
      </c>
      <c r="F909" s="2543">
        <v>10926046709</v>
      </c>
      <c r="G909" s="2541">
        <v>8895355295</v>
      </c>
      <c r="H909" s="2541">
        <v>8895355295</v>
      </c>
      <c r="I909" s="2541">
        <v>11186232943</v>
      </c>
      <c r="J909" s="2545">
        <v>10926046709</v>
      </c>
      <c r="K909" s="2543">
        <v>11186232943</v>
      </c>
      <c r="L909" s="2543">
        <v>10926046709</v>
      </c>
    </row>
    <row r="910" spans="1:12">
      <c r="A910" s="114" t="s">
        <v>293</v>
      </c>
      <c r="B910" s="2540" t="s">
        <v>2182</v>
      </c>
      <c r="C910" s="2543">
        <v>4271508093</v>
      </c>
      <c r="D910" s="2543">
        <v>4198657917</v>
      </c>
      <c r="E910" s="2543">
        <v>4271508093</v>
      </c>
      <c r="F910" s="2543">
        <v>4198657917</v>
      </c>
      <c r="G910" s="2541">
        <v>3893100591</v>
      </c>
      <c r="H910" s="2541">
        <v>3893100591</v>
      </c>
      <c r="I910" s="2541">
        <v>5817138095</v>
      </c>
      <c r="J910" s="2545">
        <v>5744287919</v>
      </c>
      <c r="K910" s="2543">
        <v>5817138095</v>
      </c>
      <c r="L910" s="2543">
        <v>5744287919</v>
      </c>
    </row>
    <row r="911" spans="1:12">
      <c r="A911" s="114" t="s">
        <v>294</v>
      </c>
      <c r="B911" s="2540" t="s">
        <v>2183</v>
      </c>
      <c r="C911" s="2543">
        <v>13721694405</v>
      </c>
      <c r="D911" s="2543">
        <v>13626040970</v>
      </c>
      <c r="E911" s="2543">
        <v>13721694405</v>
      </c>
      <c r="F911" s="2543">
        <v>13626040970</v>
      </c>
      <c r="G911" s="2541">
        <v>11699125244</v>
      </c>
      <c r="H911" s="2541">
        <v>11699125244</v>
      </c>
      <c r="I911" s="2541">
        <v>13721694405</v>
      </c>
      <c r="J911" s="2545">
        <v>13626040970</v>
      </c>
      <c r="K911" s="2543">
        <v>13721694405</v>
      </c>
      <c r="L911" s="2543">
        <v>13626040970</v>
      </c>
    </row>
    <row r="912" spans="1:12">
      <c r="A912" s="114" t="s">
        <v>1295</v>
      </c>
      <c r="B912" s="2540" t="s">
        <v>3064</v>
      </c>
      <c r="C912" s="2543">
        <v>4524387590</v>
      </c>
      <c r="D912" s="2543">
        <v>4455451839</v>
      </c>
      <c r="E912" s="2543">
        <v>4524387590</v>
      </c>
      <c r="F912" s="2543">
        <v>4455451839</v>
      </c>
      <c r="G912" s="2541">
        <v>3807328695</v>
      </c>
      <c r="H912" s="2541">
        <v>3807328695</v>
      </c>
      <c r="I912" s="2541">
        <v>4524387590</v>
      </c>
      <c r="J912" s="2545">
        <v>4455451839</v>
      </c>
      <c r="K912" s="2543">
        <v>4524387590</v>
      </c>
      <c r="L912" s="2543">
        <v>4455451839</v>
      </c>
    </row>
    <row r="913" spans="1:12">
      <c r="A913" s="114" t="s">
        <v>2804</v>
      </c>
      <c r="B913" s="2540" t="s">
        <v>2184</v>
      </c>
      <c r="C913" s="2543">
        <v>1488009987</v>
      </c>
      <c r="D913" s="2543">
        <v>1459633186</v>
      </c>
      <c r="E913" s="2543">
        <v>1400388217</v>
      </c>
      <c r="F913" s="2543">
        <v>1372011416</v>
      </c>
      <c r="G913" s="2541">
        <v>1393110372</v>
      </c>
      <c r="H913" s="2541">
        <v>1315060740</v>
      </c>
      <c r="I913" s="2541">
        <v>1488009987</v>
      </c>
      <c r="J913" s="2545">
        <v>1459633186</v>
      </c>
      <c r="K913" s="2543">
        <v>1400388217</v>
      </c>
      <c r="L913" s="2543">
        <v>1372011416</v>
      </c>
    </row>
    <row r="914" spans="1:12">
      <c r="A914" s="114" t="s">
        <v>1496</v>
      </c>
      <c r="B914" s="2540" t="s">
        <v>2185</v>
      </c>
      <c r="C914" s="2543">
        <v>10846509941</v>
      </c>
      <c r="D914" s="2543">
        <v>10714180440</v>
      </c>
      <c r="E914" s="2543">
        <v>10173271055</v>
      </c>
      <c r="F914" s="2543">
        <v>10040941554</v>
      </c>
      <c r="G914" s="2541">
        <v>8857635923</v>
      </c>
      <c r="H914" s="2541">
        <v>8304111379</v>
      </c>
      <c r="I914" s="2541">
        <v>10846509941</v>
      </c>
      <c r="J914" s="2545">
        <v>10714180440</v>
      </c>
      <c r="K914" s="2543">
        <v>10173271055</v>
      </c>
      <c r="L914" s="2543">
        <v>10040941554</v>
      </c>
    </row>
    <row r="915" spans="1:12">
      <c r="A915" s="114" t="s">
        <v>1497</v>
      </c>
      <c r="B915" s="2540" t="s">
        <v>2186</v>
      </c>
      <c r="C915" s="2543">
        <v>298666779</v>
      </c>
      <c r="D915" s="2543">
        <v>288599746</v>
      </c>
      <c r="E915" s="2543">
        <v>298666779</v>
      </c>
      <c r="F915" s="2543">
        <v>288599746</v>
      </c>
      <c r="G915" s="2541">
        <v>245354281</v>
      </c>
      <c r="H915" s="2541">
        <v>245354281</v>
      </c>
      <c r="I915" s="2541">
        <v>298666779</v>
      </c>
      <c r="J915" s="2545">
        <v>288599746</v>
      </c>
      <c r="K915" s="2543">
        <v>298666779</v>
      </c>
      <c r="L915" s="2543">
        <v>288599746</v>
      </c>
    </row>
    <row r="916" spans="1:12">
      <c r="A916" s="114" t="s">
        <v>1498</v>
      </c>
      <c r="B916" s="2540" t="s">
        <v>2187</v>
      </c>
      <c r="C916" s="2543">
        <v>390002209</v>
      </c>
      <c r="D916" s="2543">
        <v>373997261</v>
      </c>
      <c r="E916" s="2543">
        <v>390002209</v>
      </c>
      <c r="F916" s="2543">
        <v>373997261</v>
      </c>
      <c r="G916" s="2541">
        <v>347750244</v>
      </c>
      <c r="H916" s="2541">
        <v>347750244</v>
      </c>
      <c r="I916" s="2541">
        <v>390002209</v>
      </c>
      <c r="J916" s="2545">
        <v>373997261</v>
      </c>
      <c r="K916" s="2543">
        <v>390002209</v>
      </c>
      <c r="L916" s="2543">
        <v>373997261</v>
      </c>
    </row>
    <row r="917" spans="1:12">
      <c r="A917" s="114" t="s">
        <v>1499</v>
      </c>
      <c r="B917" s="2540" t="s">
        <v>2081</v>
      </c>
      <c r="C917" s="2543">
        <v>30340653</v>
      </c>
      <c r="D917" s="2543">
        <v>28424826</v>
      </c>
      <c r="E917" s="2543">
        <v>30340653</v>
      </c>
      <c r="F917" s="2543">
        <v>28424826</v>
      </c>
      <c r="G917" s="2541">
        <v>29080625</v>
      </c>
      <c r="H917" s="2541">
        <v>29080625</v>
      </c>
      <c r="I917" s="2541">
        <v>30340653</v>
      </c>
      <c r="J917" s="2545">
        <v>28424826</v>
      </c>
      <c r="K917" s="2543">
        <v>30340653</v>
      </c>
      <c r="L917" s="2543">
        <v>28424826</v>
      </c>
    </row>
    <row r="918" spans="1:12">
      <c r="A918" s="114" t="s">
        <v>1500</v>
      </c>
      <c r="B918" s="2540" t="s">
        <v>2188</v>
      </c>
      <c r="C918" s="2543">
        <v>41937005</v>
      </c>
      <c r="D918" s="2543">
        <v>39534704</v>
      </c>
      <c r="E918" s="2543">
        <v>41937005</v>
      </c>
      <c r="F918" s="2543">
        <v>39534704</v>
      </c>
      <c r="G918" s="2541">
        <v>37925829</v>
      </c>
      <c r="H918" s="2541">
        <v>37925829</v>
      </c>
      <c r="I918" s="2541">
        <v>41937005</v>
      </c>
      <c r="J918" s="2545">
        <v>39534704</v>
      </c>
      <c r="K918" s="2543">
        <v>41937005</v>
      </c>
      <c r="L918" s="2543">
        <v>39534704</v>
      </c>
    </row>
    <row r="919" spans="1:12">
      <c r="A919" s="114" t="s">
        <v>1615</v>
      </c>
      <c r="B919" s="2540" t="s">
        <v>1740</v>
      </c>
      <c r="C919" s="2543">
        <v>125758733</v>
      </c>
      <c r="D919" s="2543">
        <v>119678172</v>
      </c>
      <c r="E919" s="2543">
        <v>125758733</v>
      </c>
      <c r="F919" s="2543">
        <v>119678172</v>
      </c>
      <c r="G919" s="2541">
        <v>120576678</v>
      </c>
      <c r="H919" s="2541">
        <v>120576678</v>
      </c>
      <c r="I919" s="2541">
        <v>125758733</v>
      </c>
      <c r="J919" s="2545">
        <v>119678172</v>
      </c>
      <c r="K919" s="2543">
        <v>125758733</v>
      </c>
      <c r="L919" s="2543">
        <v>119678172</v>
      </c>
    </row>
    <row r="920" spans="1:12">
      <c r="A920" s="114" t="s">
        <v>2051</v>
      </c>
      <c r="B920" s="2540" t="s">
        <v>2189</v>
      </c>
      <c r="C920" s="2543">
        <v>534905578</v>
      </c>
      <c r="D920" s="2543">
        <v>515974260</v>
      </c>
      <c r="E920" s="2543">
        <v>534905578</v>
      </c>
      <c r="F920" s="2543">
        <v>515974260</v>
      </c>
      <c r="G920" s="2541">
        <v>862390720</v>
      </c>
      <c r="H920" s="2541">
        <v>862390720</v>
      </c>
      <c r="I920" s="2541">
        <v>639490399</v>
      </c>
      <c r="J920" s="2545">
        <v>620559081</v>
      </c>
      <c r="K920" s="2543">
        <v>639490399</v>
      </c>
      <c r="L920" s="2543">
        <v>620559081</v>
      </c>
    </row>
    <row r="921" spans="1:12">
      <c r="A921" s="114" t="s">
        <v>2052</v>
      </c>
      <c r="B921" s="2540" t="s">
        <v>2190</v>
      </c>
      <c r="C921" s="2543">
        <v>283925350</v>
      </c>
      <c r="D921" s="2543">
        <v>267712424</v>
      </c>
      <c r="E921" s="2543">
        <v>283925350</v>
      </c>
      <c r="F921" s="2543">
        <v>267712424</v>
      </c>
      <c r="G921" s="2541">
        <v>337270750</v>
      </c>
      <c r="H921" s="2541">
        <v>337270750</v>
      </c>
      <c r="I921" s="2541">
        <v>283925350</v>
      </c>
      <c r="J921" s="2545">
        <v>267712424</v>
      </c>
      <c r="K921" s="2543">
        <v>283925350</v>
      </c>
      <c r="L921" s="2543">
        <v>267712424</v>
      </c>
    </row>
    <row r="922" spans="1:12">
      <c r="A922" s="114" t="s">
        <v>1423</v>
      </c>
      <c r="B922" s="2540" t="s">
        <v>2212</v>
      </c>
      <c r="C922" s="2543">
        <v>84812546</v>
      </c>
      <c r="D922" s="2543">
        <v>79963146</v>
      </c>
      <c r="E922" s="2543">
        <v>84812546</v>
      </c>
      <c r="F922" s="2543">
        <v>79963146</v>
      </c>
      <c r="G922" s="2541">
        <v>62344568</v>
      </c>
      <c r="H922" s="2541">
        <v>60700846</v>
      </c>
      <c r="I922" s="2541">
        <v>84812546</v>
      </c>
      <c r="J922" s="2545">
        <v>79963146</v>
      </c>
      <c r="K922" s="2543">
        <v>84812546</v>
      </c>
      <c r="L922" s="2543">
        <v>79963146</v>
      </c>
    </row>
    <row r="923" spans="1:12">
      <c r="A923" s="114" t="s">
        <v>83</v>
      </c>
      <c r="B923" s="2540" t="s">
        <v>2499</v>
      </c>
      <c r="C923" s="2543">
        <v>71160227</v>
      </c>
      <c r="D923" s="2543">
        <v>68074850</v>
      </c>
      <c r="E923" s="2543">
        <v>71160227</v>
      </c>
      <c r="F923" s="2543">
        <v>68074850</v>
      </c>
      <c r="G923" s="2541">
        <v>66265085</v>
      </c>
      <c r="H923" s="2541">
        <v>66265085</v>
      </c>
      <c r="I923" s="2541">
        <v>71160227</v>
      </c>
      <c r="J923" s="2545">
        <v>68074850</v>
      </c>
      <c r="K923" s="2543">
        <v>71160227</v>
      </c>
      <c r="L923" s="2543">
        <v>68074850</v>
      </c>
    </row>
    <row r="924" spans="1:12">
      <c r="A924" s="114" t="s">
        <v>2053</v>
      </c>
      <c r="B924" s="2540" t="s">
        <v>483</v>
      </c>
      <c r="C924" s="2543">
        <v>211891914</v>
      </c>
      <c r="D924" s="2543">
        <v>203422925</v>
      </c>
      <c r="E924" s="2543">
        <v>211891914</v>
      </c>
      <c r="F924" s="2543">
        <v>203422925</v>
      </c>
      <c r="G924" s="2541">
        <v>219110634</v>
      </c>
      <c r="H924" s="2541">
        <v>219110634</v>
      </c>
      <c r="I924" s="2541">
        <v>211891914</v>
      </c>
      <c r="J924" s="2545">
        <v>203422925</v>
      </c>
      <c r="K924" s="2543">
        <v>211891914</v>
      </c>
      <c r="L924" s="2543">
        <v>203422925</v>
      </c>
    </row>
    <row r="925" spans="1:12">
      <c r="A925" s="114" t="s">
        <v>2054</v>
      </c>
      <c r="B925" s="2540" t="s">
        <v>2191</v>
      </c>
      <c r="C925" s="2543">
        <v>843425935</v>
      </c>
      <c r="D925" s="2543">
        <v>807381465</v>
      </c>
      <c r="E925" s="2543">
        <v>843425935</v>
      </c>
      <c r="F925" s="2543">
        <v>807381465</v>
      </c>
      <c r="G925" s="2541">
        <v>824237867</v>
      </c>
      <c r="H925" s="2541">
        <v>824237867</v>
      </c>
      <c r="I925" s="2541">
        <v>843425935</v>
      </c>
      <c r="J925" s="2545">
        <v>807381465</v>
      </c>
      <c r="K925" s="2543">
        <v>843425935</v>
      </c>
      <c r="L925" s="2543">
        <v>807381465</v>
      </c>
    </row>
    <row r="926" spans="1:12">
      <c r="A926" s="114" t="s">
        <v>1594</v>
      </c>
      <c r="B926" s="2540" t="s">
        <v>1152</v>
      </c>
      <c r="C926" s="2543">
        <v>162648044</v>
      </c>
      <c r="D926" s="2543">
        <v>153569250</v>
      </c>
      <c r="E926" s="2543">
        <v>162648044</v>
      </c>
      <c r="F926" s="2543">
        <v>153569250</v>
      </c>
      <c r="G926" s="2541">
        <v>140248690</v>
      </c>
      <c r="H926" s="2541">
        <v>140248690</v>
      </c>
      <c r="I926" s="2541">
        <v>162648044</v>
      </c>
      <c r="J926" s="2545">
        <v>153569250</v>
      </c>
      <c r="K926" s="2543">
        <v>162648044</v>
      </c>
      <c r="L926" s="2543">
        <v>153569250</v>
      </c>
    </row>
    <row r="927" spans="1:12">
      <c r="A927" s="114" t="s">
        <v>1229</v>
      </c>
      <c r="B927" s="2540" t="s">
        <v>881</v>
      </c>
      <c r="C927" s="2543">
        <v>86783493</v>
      </c>
      <c r="D927" s="2543">
        <v>81944949</v>
      </c>
      <c r="E927" s="2543">
        <v>86783493</v>
      </c>
      <c r="F927" s="2543">
        <v>81944949</v>
      </c>
      <c r="G927" s="2541">
        <v>83207862</v>
      </c>
      <c r="H927" s="2541">
        <v>83207862</v>
      </c>
      <c r="I927" s="2541">
        <v>86783493</v>
      </c>
      <c r="J927" s="2545">
        <v>81944949</v>
      </c>
      <c r="K927" s="2543">
        <v>86783493</v>
      </c>
      <c r="L927" s="2543">
        <v>81944949</v>
      </c>
    </row>
    <row r="928" spans="1:12">
      <c r="A928" s="114" t="s">
        <v>2127</v>
      </c>
      <c r="B928" s="2540" t="s">
        <v>935</v>
      </c>
      <c r="C928" s="2543">
        <v>393183172</v>
      </c>
      <c r="D928" s="2543">
        <v>374432489</v>
      </c>
      <c r="E928" s="2543">
        <v>393183172</v>
      </c>
      <c r="F928" s="2543">
        <v>374432489</v>
      </c>
      <c r="G928" s="2541">
        <v>391868525</v>
      </c>
      <c r="H928" s="2541">
        <v>391868525</v>
      </c>
      <c r="I928" s="2541">
        <v>393183172</v>
      </c>
      <c r="J928" s="2545">
        <v>374432489</v>
      </c>
      <c r="K928" s="2543">
        <v>393183172</v>
      </c>
      <c r="L928" s="2543">
        <v>374432489</v>
      </c>
    </row>
    <row r="929" spans="1:12">
      <c r="A929" s="114" t="s">
        <v>1230</v>
      </c>
      <c r="B929" s="2540" t="s">
        <v>1729</v>
      </c>
      <c r="C929" s="2543">
        <v>215580180</v>
      </c>
      <c r="D929" s="2543">
        <v>204522116</v>
      </c>
      <c r="E929" s="2543">
        <v>215580180</v>
      </c>
      <c r="F929" s="2543">
        <v>204522116</v>
      </c>
      <c r="G929" s="2541">
        <v>189246923</v>
      </c>
      <c r="H929" s="2541">
        <v>189246923</v>
      </c>
      <c r="I929" s="2541">
        <v>215580180</v>
      </c>
      <c r="J929" s="2545">
        <v>204522116</v>
      </c>
      <c r="K929" s="2543">
        <v>215580180</v>
      </c>
      <c r="L929" s="2543">
        <v>204522116</v>
      </c>
    </row>
    <row r="930" spans="1:12">
      <c r="A930" s="114" t="s">
        <v>1231</v>
      </c>
      <c r="B930" s="2540" t="s">
        <v>882</v>
      </c>
      <c r="C930" s="2543">
        <v>146074133</v>
      </c>
      <c r="D930" s="2543">
        <v>138976164</v>
      </c>
      <c r="E930" s="2543">
        <v>146074133</v>
      </c>
      <c r="F930" s="2543">
        <v>138976164</v>
      </c>
      <c r="G930" s="2541">
        <v>166572134</v>
      </c>
      <c r="H930" s="2541">
        <v>166572134</v>
      </c>
      <c r="I930" s="2541">
        <v>146074133</v>
      </c>
      <c r="J930" s="2545">
        <v>138976164</v>
      </c>
      <c r="K930" s="2543">
        <v>146074133</v>
      </c>
      <c r="L930" s="2543">
        <v>138976164</v>
      </c>
    </row>
    <row r="931" spans="1:12">
      <c r="A931" s="114" t="s">
        <v>1232</v>
      </c>
      <c r="B931" s="2540" t="s">
        <v>883</v>
      </c>
      <c r="C931" s="2543">
        <v>661972209</v>
      </c>
      <c r="D931" s="2543">
        <v>657478943</v>
      </c>
      <c r="E931" s="2543">
        <v>658682058</v>
      </c>
      <c r="F931" s="2543">
        <v>654188792</v>
      </c>
      <c r="G931" s="2541">
        <v>1323119245</v>
      </c>
      <c r="H931" s="2541">
        <v>1320905998</v>
      </c>
      <c r="I931" s="2541">
        <v>661972209</v>
      </c>
      <c r="J931" s="2545">
        <v>657478943</v>
      </c>
      <c r="K931" s="2543">
        <v>658682058</v>
      </c>
      <c r="L931" s="2543">
        <v>654188792</v>
      </c>
    </row>
    <row r="932" spans="1:12">
      <c r="A932" s="114" t="s">
        <v>1233</v>
      </c>
      <c r="B932" s="2540" t="s">
        <v>884</v>
      </c>
      <c r="C932" s="2543">
        <v>1994463891</v>
      </c>
      <c r="D932" s="2543">
        <v>1992579786</v>
      </c>
      <c r="E932" s="2543">
        <v>1994463891</v>
      </c>
      <c r="F932" s="2543">
        <v>1992579786</v>
      </c>
      <c r="G932" s="2541">
        <v>3869035863</v>
      </c>
      <c r="H932" s="2541">
        <v>3869035863</v>
      </c>
      <c r="I932" s="2541">
        <v>2068286031</v>
      </c>
      <c r="J932" s="2545">
        <v>2066401926</v>
      </c>
      <c r="K932" s="2543">
        <v>2068286031</v>
      </c>
      <c r="L932" s="2543">
        <v>2066401926</v>
      </c>
    </row>
    <row r="933" spans="1:12">
      <c r="A933" s="114" t="s">
        <v>63</v>
      </c>
      <c r="B933" s="2540" t="s">
        <v>2832</v>
      </c>
      <c r="C933" s="2543">
        <v>147570601</v>
      </c>
      <c r="D933" s="2543">
        <v>145997941</v>
      </c>
      <c r="E933" s="2543">
        <v>147570601</v>
      </c>
      <c r="F933" s="2543">
        <v>145997941</v>
      </c>
      <c r="G933" s="2541">
        <v>59955308</v>
      </c>
      <c r="H933" s="2541">
        <v>59955308</v>
      </c>
      <c r="I933" s="2541">
        <v>147570601</v>
      </c>
      <c r="J933" s="2545">
        <v>145997941</v>
      </c>
      <c r="K933" s="2543">
        <v>147570601</v>
      </c>
      <c r="L933" s="2543">
        <v>145997941</v>
      </c>
    </row>
    <row r="934" spans="1:12">
      <c r="A934" s="114" t="s">
        <v>1737</v>
      </c>
      <c r="B934" s="2540" t="s">
        <v>670</v>
      </c>
      <c r="C934" s="2543">
        <v>305276308</v>
      </c>
      <c r="D934" s="2543">
        <v>300040615</v>
      </c>
      <c r="E934" s="2543">
        <v>305276308</v>
      </c>
      <c r="F934" s="2543">
        <v>300040615</v>
      </c>
      <c r="G934" s="2541">
        <v>320922578</v>
      </c>
      <c r="H934" s="2541">
        <v>320922578</v>
      </c>
      <c r="I934" s="2541">
        <v>305276308</v>
      </c>
      <c r="J934" s="2545">
        <v>300040615</v>
      </c>
      <c r="K934" s="2543">
        <v>305276308</v>
      </c>
      <c r="L934" s="2543">
        <v>300040615</v>
      </c>
    </row>
    <row r="935" spans="1:12">
      <c r="A935" s="114" t="s">
        <v>1714</v>
      </c>
      <c r="B935" s="2540" t="s">
        <v>327</v>
      </c>
      <c r="C935" s="2543">
        <v>1320725218</v>
      </c>
      <c r="D935" s="2543">
        <v>1282574602</v>
      </c>
      <c r="E935" s="2543">
        <v>1320725218</v>
      </c>
      <c r="F935" s="2543">
        <v>1282574602</v>
      </c>
      <c r="G935" s="2541">
        <v>1115341131</v>
      </c>
      <c r="H935" s="2541">
        <v>1115341131</v>
      </c>
      <c r="I935" s="2541">
        <v>1320725218</v>
      </c>
      <c r="J935" s="2545">
        <v>1282574602</v>
      </c>
      <c r="K935" s="2543">
        <v>1320725218</v>
      </c>
      <c r="L935" s="2543">
        <v>1282574602</v>
      </c>
    </row>
    <row r="936" spans="1:12">
      <c r="A936" s="114" t="s">
        <v>1495</v>
      </c>
      <c r="B936" s="2540" t="s">
        <v>687</v>
      </c>
      <c r="C936" s="2543">
        <v>199726045</v>
      </c>
      <c r="D936" s="2543">
        <v>195740798</v>
      </c>
      <c r="E936" s="2543">
        <v>199726045</v>
      </c>
      <c r="F936" s="2543">
        <v>195740798</v>
      </c>
      <c r="G936" s="2541">
        <v>190400749</v>
      </c>
      <c r="H936" s="2541">
        <v>190400749</v>
      </c>
      <c r="I936" s="2541">
        <v>199726045</v>
      </c>
      <c r="J936" s="2545">
        <v>195740798</v>
      </c>
      <c r="K936" s="2543">
        <v>199726045</v>
      </c>
      <c r="L936" s="2543">
        <v>195740798</v>
      </c>
    </row>
    <row r="937" spans="1:12">
      <c r="A937" s="114" t="s">
        <v>530</v>
      </c>
      <c r="B937" s="2540" t="s">
        <v>2460</v>
      </c>
      <c r="C937" s="2543">
        <v>1879786506</v>
      </c>
      <c r="D937" s="2543">
        <v>1797134147</v>
      </c>
      <c r="E937" s="2543">
        <v>1789941841</v>
      </c>
      <c r="F937" s="2543">
        <v>1707289482</v>
      </c>
      <c r="G937" s="2541">
        <v>1660469439</v>
      </c>
      <c r="H937" s="2541">
        <v>1573752486</v>
      </c>
      <c r="I937" s="2541">
        <v>1879786506</v>
      </c>
      <c r="J937" s="2545">
        <v>1797134147</v>
      </c>
      <c r="K937" s="2543">
        <v>1789941841</v>
      </c>
      <c r="L937" s="2543">
        <v>1707289482</v>
      </c>
    </row>
    <row r="938" spans="1:12">
      <c r="A938" s="114" t="s">
        <v>940</v>
      </c>
      <c r="B938" s="2540" t="s">
        <v>688</v>
      </c>
      <c r="C938" s="2543">
        <v>222494587</v>
      </c>
      <c r="D938" s="2543">
        <v>221147480</v>
      </c>
      <c r="E938" s="2543">
        <v>222115443</v>
      </c>
      <c r="F938" s="2543">
        <v>220768336</v>
      </c>
      <c r="G938" s="2541">
        <v>194757414</v>
      </c>
      <c r="H938" s="2541">
        <v>194396283</v>
      </c>
      <c r="I938" s="2541">
        <v>222494587</v>
      </c>
      <c r="J938" s="2545">
        <v>221147480</v>
      </c>
      <c r="K938" s="2543">
        <v>222115443</v>
      </c>
      <c r="L938" s="2543">
        <v>220768336</v>
      </c>
    </row>
    <row r="939" spans="1:12">
      <c r="A939" s="114" t="s">
        <v>943</v>
      </c>
      <c r="B939" s="2540" t="s">
        <v>1310</v>
      </c>
      <c r="C939" s="2543">
        <v>681929532</v>
      </c>
      <c r="D939" s="2543">
        <v>654793770</v>
      </c>
      <c r="E939" s="2543">
        <v>681929532</v>
      </c>
      <c r="F939" s="2543">
        <v>654793770</v>
      </c>
      <c r="G939" s="2541">
        <v>623849780</v>
      </c>
      <c r="H939" s="2541">
        <v>623849780</v>
      </c>
      <c r="I939" s="2541">
        <v>681929532</v>
      </c>
      <c r="J939" s="2545">
        <v>654793770</v>
      </c>
      <c r="K939" s="2543">
        <v>681929532</v>
      </c>
      <c r="L939" s="2543">
        <v>654793770</v>
      </c>
    </row>
    <row r="940" spans="1:12">
      <c r="A940" s="114" t="s">
        <v>944</v>
      </c>
      <c r="B940" s="2540" t="s">
        <v>1000</v>
      </c>
      <c r="C940" s="2543">
        <v>221958641</v>
      </c>
      <c r="D940" s="2543">
        <v>210868575</v>
      </c>
      <c r="E940" s="2543">
        <v>221958641</v>
      </c>
      <c r="F940" s="2543">
        <v>210868575</v>
      </c>
      <c r="G940" s="2541">
        <v>223263255</v>
      </c>
      <c r="H940" s="2541">
        <v>223263255</v>
      </c>
      <c r="I940" s="2541">
        <v>221958641</v>
      </c>
      <c r="J940" s="2545">
        <v>210868575</v>
      </c>
      <c r="K940" s="2543">
        <v>221958641</v>
      </c>
      <c r="L940" s="2543">
        <v>210868575</v>
      </c>
    </row>
    <row r="941" spans="1:12">
      <c r="A941" s="114" t="s">
        <v>1726</v>
      </c>
      <c r="B941" s="2540" t="s">
        <v>976</v>
      </c>
      <c r="C941" s="2543">
        <v>257401863</v>
      </c>
      <c r="D941" s="2543">
        <v>243955433</v>
      </c>
      <c r="E941" s="2543">
        <v>243794368</v>
      </c>
      <c r="F941" s="2543">
        <v>230347938</v>
      </c>
      <c r="G941" s="2541">
        <v>237067512</v>
      </c>
      <c r="H941" s="2541">
        <v>223523648</v>
      </c>
      <c r="I941" s="2541">
        <v>257401863</v>
      </c>
      <c r="J941" s="2545">
        <v>243955433</v>
      </c>
      <c r="K941" s="2543">
        <v>243794368</v>
      </c>
      <c r="L941" s="2543">
        <v>230347938</v>
      </c>
    </row>
    <row r="942" spans="1:12">
      <c r="A942" s="114" t="s">
        <v>2097</v>
      </c>
      <c r="B942" s="2540" t="s">
        <v>2359</v>
      </c>
      <c r="C942" s="2543">
        <v>103444036</v>
      </c>
      <c r="D942" s="2543">
        <v>98917237</v>
      </c>
      <c r="E942" s="2543">
        <v>103444036</v>
      </c>
      <c r="F942" s="2543">
        <v>98917237</v>
      </c>
      <c r="G942" s="2541">
        <v>94566670</v>
      </c>
      <c r="H942" s="2541">
        <v>94566670</v>
      </c>
      <c r="I942" s="2541">
        <v>103444036</v>
      </c>
      <c r="J942" s="2545">
        <v>98917237</v>
      </c>
      <c r="K942" s="2543">
        <v>103444036</v>
      </c>
      <c r="L942" s="2543">
        <v>98917237</v>
      </c>
    </row>
    <row r="943" spans="1:12">
      <c r="A943" s="114" t="s">
        <v>945</v>
      </c>
      <c r="B943" s="2540" t="s">
        <v>1311</v>
      </c>
      <c r="C943" s="2543">
        <v>616842731</v>
      </c>
      <c r="D943" s="2543">
        <v>586087314</v>
      </c>
      <c r="E943" s="2543">
        <v>577170515</v>
      </c>
      <c r="F943" s="2543">
        <v>546415098</v>
      </c>
      <c r="G943" s="2541">
        <v>591731707</v>
      </c>
      <c r="H943" s="2541">
        <v>555672564</v>
      </c>
      <c r="I943" s="2541">
        <v>616842731</v>
      </c>
      <c r="J943" s="2545">
        <v>586087314</v>
      </c>
      <c r="K943" s="2543">
        <v>577170515</v>
      </c>
      <c r="L943" s="2543">
        <v>546415098</v>
      </c>
    </row>
    <row r="944" spans="1:12">
      <c r="A944" s="114" t="s">
        <v>946</v>
      </c>
      <c r="B944" s="2540" t="s">
        <v>2379</v>
      </c>
      <c r="C944" s="2543">
        <v>567659228</v>
      </c>
      <c r="D944" s="2543">
        <v>540819172</v>
      </c>
      <c r="E944" s="2543">
        <v>567659228</v>
      </c>
      <c r="F944" s="2543">
        <v>540819172</v>
      </c>
      <c r="G944" s="2541">
        <v>514352178</v>
      </c>
      <c r="H944" s="2541">
        <v>514352178</v>
      </c>
      <c r="I944" s="2541">
        <v>567659228</v>
      </c>
      <c r="J944" s="2545">
        <v>540819172</v>
      </c>
      <c r="K944" s="2543">
        <v>567659228</v>
      </c>
      <c r="L944" s="2543">
        <v>540819172</v>
      </c>
    </row>
    <row r="945" spans="1:12">
      <c r="A945" s="114" t="s">
        <v>1606</v>
      </c>
      <c r="B945" s="2540" t="s">
        <v>1668</v>
      </c>
      <c r="C945" s="2543">
        <v>53160789</v>
      </c>
      <c r="D945" s="2543">
        <v>49762599</v>
      </c>
      <c r="E945" s="2543">
        <v>49799911</v>
      </c>
      <c r="F945" s="2543">
        <v>46401721</v>
      </c>
      <c r="G945" s="2541">
        <v>58635417</v>
      </c>
      <c r="H945" s="2541">
        <v>55350005</v>
      </c>
      <c r="I945" s="2541">
        <v>53160789</v>
      </c>
      <c r="J945" s="2545">
        <v>49762599</v>
      </c>
      <c r="K945" s="2543">
        <v>49799911</v>
      </c>
      <c r="L945" s="2543">
        <v>46401721</v>
      </c>
    </row>
    <row r="946" spans="1:12">
      <c r="A946" s="114" t="s">
        <v>989</v>
      </c>
      <c r="B946" s="2540" t="s">
        <v>1520</v>
      </c>
      <c r="C946" s="2543">
        <v>168685017</v>
      </c>
      <c r="D946" s="2543">
        <v>163316193</v>
      </c>
      <c r="E946" s="2543">
        <v>168685017</v>
      </c>
      <c r="F946" s="2543">
        <v>163316193</v>
      </c>
      <c r="G946" s="2541">
        <v>180558224</v>
      </c>
      <c r="H946" s="2541">
        <v>180558224</v>
      </c>
      <c r="I946" s="2541">
        <v>168685017</v>
      </c>
      <c r="J946" s="2545">
        <v>163316193</v>
      </c>
      <c r="K946" s="2543">
        <v>168685017</v>
      </c>
      <c r="L946" s="2543">
        <v>163316193</v>
      </c>
    </row>
    <row r="947" spans="1:12">
      <c r="A947" s="114" t="s">
        <v>372</v>
      </c>
      <c r="B947" s="2540" t="s">
        <v>155</v>
      </c>
      <c r="C947" s="2543">
        <v>5895115184</v>
      </c>
      <c r="D947" s="2543">
        <v>5736739750</v>
      </c>
      <c r="E947" s="2543">
        <v>5895115184</v>
      </c>
      <c r="F947" s="2543">
        <v>5736739750</v>
      </c>
      <c r="G947" s="2541">
        <v>5937291884</v>
      </c>
      <c r="H947" s="2541">
        <v>5937291884</v>
      </c>
      <c r="I947" s="2541">
        <v>5895115184</v>
      </c>
      <c r="J947" s="2545">
        <v>5736739750</v>
      </c>
      <c r="K947" s="2543">
        <v>5895115184</v>
      </c>
      <c r="L947" s="2543">
        <v>5736739750</v>
      </c>
    </row>
    <row r="948" spans="1:12">
      <c r="A948" s="114" t="s">
        <v>2992</v>
      </c>
      <c r="B948" s="2540" t="s">
        <v>2380</v>
      </c>
      <c r="C948" s="2543">
        <v>241033834</v>
      </c>
      <c r="D948" s="2543">
        <v>236826112</v>
      </c>
      <c r="E948" s="2543">
        <v>241033834</v>
      </c>
      <c r="F948" s="2543">
        <v>236826112</v>
      </c>
      <c r="G948" s="2541">
        <v>235662424</v>
      </c>
      <c r="H948" s="2541">
        <v>235662424</v>
      </c>
      <c r="I948" s="2541">
        <v>241033834</v>
      </c>
      <c r="J948" s="2545">
        <v>236826112</v>
      </c>
      <c r="K948" s="2543">
        <v>241033834</v>
      </c>
      <c r="L948" s="2543">
        <v>236826112</v>
      </c>
    </row>
    <row r="949" spans="1:12">
      <c r="A949" s="114" t="s">
        <v>1160</v>
      </c>
      <c r="B949" s="2540" t="s">
        <v>1307</v>
      </c>
      <c r="C949" s="2543">
        <v>309053850</v>
      </c>
      <c r="D949" s="2543">
        <v>300041002</v>
      </c>
      <c r="E949" s="2543">
        <v>309053850</v>
      </c>
      <c r="F949" s="2543">
        <v>300041002</v>
      </c>
      <c r="G949" s="2541">
        <v>273101089</v>
      </c>
      <c r="H949" s="2541">
        <v>273101089</v>
      </c>
      <c r="I949" s="2541">
        <v>309053850</v>
      </c>
      <c r="J949" s="2545">
        <v>300041002</v>
      </c>
      <c r="K949" s="2543">
        <v>309053850</v>
      </c>
      <c r="L949" s="2543">
        <v>300041002</v>
      </c>
    </row>
    <row r="950" spans="1:12">
      <c r="A950" s="114" t="s">
        <v>1320</v>
      </c>
      <c r="B950" s="2540" t="s">
        <v>106</v>
      </c>
      <c r="C950" s="2543">
        <v>2433748737</v>
      </c>
      <c r="D950" s="2543">
        <v>2368291918</v>
      </c>
      <c r="E950" s="2543">
        <v>2433748737</v>
      </c>
      <c r="F950" s="2543">
        <v>2368291918</v>
      </c>
      <c r="G950" s="2541">
        <v>2155287394</v>
      </c>
      <c r="H950" s="2541">
        <v>2155287394</v>
      </c>
      <c r="I950" s="2541">
        <v>2433748737</v>
      </c>
      <c r="J950" s="2545">
        <v>2368291918</v>
      </c>
      <c r="K950" s="2543">
        <v>2433748737</v>
      </c>
      <c r="L950" s="2543">
        <v>2368291918</v>
      </c>
    </row>
    <row r="951" spans="1:12">
      <c r="A951" s="114" t="s">
        <v>306</v>
      </c>
      <c r="B951" s="2540" t="s">
        <v>2722</v>
      </c>
      <c r="C951" s="2543">
        <v>523367025</v>
      </c>
      <c r="D951" s="2543">
        <v>509680552</v>
      </c>
      <c r="E951" s="2543">
        <v>523367025</v>
      </c>
      <c r="F951" s="2543">
        <v>509680552</v>
      </c>
      <c r="G951" s="2541">
        <v>470278315</v>
      </c>
      <c r="H951" s="2541">
        <v>470278315</v>
      </c>
      <c r="I951" s="2541">
        <v>523367025</v>
      </c>
      <c r="J951" s="2545">
        <v>509680552</v>
      </c>
      <c r="K951" s="2543">
        <v>523367025</v>
      </c>
      <c r="L951" s="2543">
        <v>509680552</v>
      </c>
    </row>
    <row r="952" spans="1:12">
      <c r="A952" s="114" t="s">
        <v>307</v>
      </c>
      <c r="B952" s="2540" t="s">
        <v>159</v>
      </c>
      <c r="C952" s="2543">
        <v>2611669801</v>
      </c>
      <c r="D952" s="2543">
        <v>2552775517</v>
      </c>
      <c r="E952" s="2543">
        <v>2611669801</v>
      </c>
      <c r="F952" s="2543">
        <v>2552775517</v>
      </c>
      <c r="G952" s="2541">
        <v>1975884350</v>
      </c>
      <c r="H952" s="2541">
        <v>1975884350</v>
      </c>
      <c r="I952" s="2541">
        <v>2742550561</v>
      </c>
      <c r="J952" s="2545">
        <v>2683656277</v>
      </c>
      <c r="K952" s="2543">
        <v>2742550561</v>
      </c>
      <c r="L952" s="2543">
        <v>2683656277</v>
      </c>
    </row>
    <row r="953" spans="1:12">
      <c r="A953" s="114" t="s">
        <v>693</v>
      </c>
      <c r="B953" s="2540" t="s">
        <v>107</v>
      </c>
      <c r="C953" s="2543">
        <v>1105447893</v>
      </c>
      <c r="D953" s="2543">
        <v>1092484031</v>
      </c>
      <c r="E953" s="2543">
        <v>1102192370</v>
      </c>
      <c r="F953" s="2543">
        <v>1089228508</v>
      </c>
      <c r="G953" s="2541">
        <v>1028001065</v>
      </c>
      <c r="H953" s="2541">
        <v>1024719149</v>
      </c>
      <c r="I953" s="2541">
        <v>1123915383</v>
      </c>
      <c r="J953" s="2545">
        <v>1110951521</v>
      </c>
      <c r="K953" s="2543">
        <v>1120659860</v>
      </c>
      <c r="L953" s="2543">
        <v>1107695998</v>
      </c>
    </row>
    <row r="954" spans="1:12">
      <c r="A954" s="114" t="s">
        <v>694</v>
      </c>
      <c r="B954" s="2540" t="s">
        <v>999</v>
      </c>
      <c r="C954" s="2543">
        <v>1461841954</v>
      </c>
      <c r="D954" s="2543">
        <v>1446118794</v>
      </c>
      <c r="E954" s="2543">
        <v>1452787329</v>
      </c>
      <c r="F954" s="2543">
        <v>1437064169</v>
      </c>
      <c r="G954" s="2541">
        <v>2475776699</v>
      </c>
      <c r="H954" s="2541">
        <v>2469177133</v>
      </c>
      <c r="I954" s="2541">
        <v>1461841954</v>
      </c>
      <c r="J954" s="2545">
        <v>1446118794</v>
      </c>
      <c r="K954" s="2543">
        <v>1452787329</v>
      </c>
      <c r="L954" s="2543">
        <v>1437064169</v>
      </c>
    </row>
    <row r="955" spans="1:12">
      <c r="A955" s="114" t="s">
        <v>695</v>
      </c>
      <c r="B955" s="2540" t="s">
        <v>1383</v>
      </c>
      <c r="C955" s="2543">
        <v>89538551</v>
      </c>
      <c r="D955" s="2543">
        <v>89245601</v>
      </c>
      <c r="E955" s="2543">
        <v>89353901</v>
      </c>
      <c r="F955" s="2543">
        <v>89060951</v>
      </c>
      <c r="G955" s="2541">
        <v>167394412</v>
      </c>
      <c r="H955" s="2541">
        <v>167248760</v>
      </c>
      <c r="I955" s="2541">
        <v>89538551</v>
      </c>
      <c r="J955" s="2545">
        <v>89245601</v>
      </c>
      <c r="K955" s="2543">
        <v>89353901</v>
      </c>
      <c r="L955" s="2543">
        <v>89060951</v>
      </c>
    </row>
    <row r="956" spans="1:12">
      <c r="A956" s="114" t="s">
        <v>2669</v>
      </c>
      <c r="B956" s="2540" t="s">
        <v>1384</v>
      </c>
      <c r="C956" s="2543">
        <v>2536098727</v>
      </c>
      <c r="D956" s="2543">
        <v>2470279190</v>
      </c>
      <c r="E956" s="2543">
        <v>2536098727</v>
      </c>
      <c r="F956" s="2543">
        <v>2470279190</v>
      </c>
      <c r="G956" s="2541">
        <v>2321747633</v>
      </c>
      <c r="H956" s="2541">
        <v>2321747633</v>
      </c>
      <c r="I956" s="2541">
        <v>2536098727</v>
      </c>
      <c r="J956" s="2545">
        <v>2470279190</v>
      </c>
      <c r="K956" s="2543">
        <v>2536098727</v>
      </c>
      <c r="L956" s="2543">
        <v>2470279190</v>
      </c>
    </row>
    <row r="957" spans="1:12">
      <c r="A957" s="114" t="s">
        <v>2670</v>
      </c>
      <c r="B957" s="2540" t="s">
        <v>1385</v>
      </c>
      <c r="C957" s="2543">
        <v>386269875</v>
      </c>
      <c r="D957" s="2543">
        <v>378368404</v>
      </c>
      <c r="E957" s="2543">
        <v>386269875</v>
      </c>
      <c r="F957" s="2543">
        <v>378368404</v>
      </c>
      <c r="G957" s="2541">
        <v>412937528</v>
      </c>
      <c r="H957" s="2541">
        <v>412937528</v>
      </c>
      <c r="I957" s="2541">
        <v>386269875</v>
      </c>
      <c r="J957" s="2545">
        <v>378368404</v>
      </c>
      <c r="K957" s="2543">
        <v>386269875</v>
      </c>
      <c r="L957" s="2543">
        <v>378368404</v>
      </c>
    </row>
    <row r="958" spans="1:12">
      <c r="A958" s="114" t="s">
        <v>1987</v>
      </c>
      <c r="B958" s="2540" t="s">
        <v>2677</v>
      </c>
      <c r="C958" s="2543">
        <v>2234765628</v>
      </c>
      <c r="D958" s="2543">
        <v>2148991362</v>
      </c>
      <c r="E958" s="2543">
        <v>2199158936</v>
      </c>
      <c r="F958" s="2543">
        <v>2113384670</v>
      </c>
      <c r="G958" s="2541">
        <v>2132982724</v>
      </c>
      <c r="H958" s="2541">
        <v>2096303818</v>
      </c>
      <c r="I958" s="2541">
        <v>2234765628</v>
      </c>
      <c r="J958" s="2545">
        <v>2148991362</v>
      </c>
      <c r="K958" s="2543">
        <v>2199158936</v>
      </c>
      <c r="L958" s="2543">
        <v>2113384670</v>
      </c>
    </row>
    <row r="959" spans="1:12">
      <c r="A959" s="114" t="s">
        <v>1713</v>
      </c>
      <c r="B959" s="2540" t="s">
        <v>2703</v>
      </c>
      <c r="C959" s="2543">
        <v>14633526640</v>
      </c>
      <c r="D959" s="2543">
        <v>14391939028</v>
      </c>
      <c r="E959" s="2543">
        <v>14350010868</v>
      </c>
      <c r="F959" s="2543">
        <v>14108423256</v>
      </c>
      <c r="G959" s="2541">
        <v>15744177972</v>
      </c>
      <c r="H959" s="2541">
        <v>15482569291</v>
      </c>
      <c r="I959" s="2541">
        <v>14633526640</v>
      </c>
      <c r="J959" s="2545">
        <v>14391939028</v>
      </c>
      <c r="K959" s="2543">
        <v>14350010868</v>
      </c>
      <c r="L959" s="2543">
        <v>14108423256</v>
      </c>
    </row>
    <row r="960" spans="1:12">
      <c r="A960" s="114" t="s">
        <v>1043</v>
      </c>
      <c r="B960" s="2540" t="s">
        <v>2666</v>
      </c>
      <c r="C960" s="2543">
        <v>426289186</v>
      </c>
      <c r="D960" s="2543">
        <v>424945116</v>
      </c>
      <c r="E960" s="2543">
        <v>425467595</v>
      </c>
      <c r="F960" s="2543">
        <v>424123525</v>
      </c>
      <c r="G960" s="2541">
        <v>981233212</v>
      </c>
      <c r="H960" s="2541">
        <v>980306403</v>
      </c>
      <c r="I960" s="2541">
        <v>893927026</v>
      </c>
      <c r="J960" s="2545">
        <v>892582956</v>
      </c>
      <c r="K960" s="2543">
        <v>893105435</v>
      </c>
      <c r="L960" s="2543">
        <v>891761365</v>
      </c>
    </row>
    <row r="961" spans="1:12">
      <c r="A961" s="114" t="s">
        <v>1044</v>
      </c>
      <c r="B961" s="2540" t="s">
        <v>1387</v>
      </c>
      <c r="C961" s="2543">
        <v>306878927</v>
      </c>
      <c r="D961" s="2543">
        <v>297353941</v>
      </c>
      <c r="E961" s="2543">
        <v>306878927</v>
      </c>
      <c r="F961" s="2543">
        <v>297353941</v>
      </c>
      <c r="G961" s="2541">
        <v>255736957</v>
      </c>
      <c r="H961" s="2541">
        <v>255736957</v>
      </c>
      <c r="I961" s="2541">
        <v>306878927</v>
      </c>
      <c r="J961" s="2545">
        <v>297353941</v>
      </c>
      <c r="K961" s="2543">
        <v>306878927</v>
      </c>
      <c r="L961" s="2543">
        <v>297353941</v>
      </c>
    </row>
    <row r="962" spans="1:12">
      <c r="A962" s="114" t="s">
        <v>1045</v>
      </c>
      <c r="B962" s="2540" t="s">
        <v>1388</v>
      </c>
      <c r="C962" s="2543">
        <v>352469321</v>
      </c>
      <c r="D962" s="2543">
        <v>342442444</v>
      </c>
      <c r="E962" s="2543">
        <v>352469321</v>
      </c>
      <c r="F962" s="2543">
        <v>342442444</v>
      </c>
      <c r="G962" s="2541">
        <v>337530371</v>
      </c>
      <c r="H962" s="2541">
        <v>337530371</v>
      </c>
      <c r="I962" s="2541">
        <v>352469321</v>
      </c>
      <c r="J962" s="2545">
        <v>342442444</v>
      </c>
      <c r="K962" s="2543">
        <v>352469321</v>
      </c>
      <c r="L962" s="2543">
        <v>342442444</v>
      </c>
    </row>
    <row r="963" spans="1:12">
      <c r="A963" s="114" t="s">
        <v>624</v>
      </c>
      <c r="B963" s="2540" t="s">
        <v>1389</v>
      </c>
      <c r="C963" s="2543">
        <v>1189183664</v>
      </c>
      <c r="D963" s="2543">
        <v>1154680207</v>
      </c>
      <c r="E963" s="2543">
        <v>1189183664</v>
      </c>
      <c r="F963" s="2543">
        <v>1154680207</v>
      </c>
      <c r="G963" s="2541">
        <v>1278265146</v>
      </c>
      <c r="H963" s="2541">
        <v>1278265146</v>
      </c>
      <c r="I963" s="2541">
        <v>1189183664</v>
      </c>
      <c r="J963" s="2545">
        <v>1154680207</v>
      </c>
      <c r="K963" s="2543">
        <v>1189183664</v>
      </c>
      <c r="L963" s="2543">
        <v>1154680207</v>
      </c>
    </row>
    <row r="964" spans="1:12">
      <c r="A964" s="114" t="s">
        <v>1014</v>
      </c>
      <c r="B964" s="2540" t="s">
        <v>1390</v>
      </c>
      <c r="C964" s="2543">
        <v>1010492984</v>
      </c>
      <c r="D964" s="2543">
        <v>987533821</v>
      </c>
      <c r="E964" s="2543">
        <v>1010492984</v>
      </c>
      <c r="F964" s="2543">
        <v>987533821</v>
      </c>
      <c r="G964" s="2541">
        <v>1027600413</v>
      </c>
      <c r="H964" s="2541">
        <v>1027600413</v>
      </c>
      <c r="I964" s="2541">
        <v>1010492984</v>
      </c>
      <c r="J964" s="2545">
        <v>987533821</v>
      </c>
      <c r="K964" s="2543">
        <v>1010492984</v>
      </c>
      <c r="L964" s="2543">
        <v>987533821</v>
      </c>
    </row>
    <row r="965" spans="1:12">
      <c r="A965" s="114" t="s">
        <v>1015</v>
      </c>
      <c r="B965" s="2540" t="s">
        <v>1391</v>
      </c>
      <c r="C965" s="2543">
        <v>257237936</v>
      </c>
      <c r="D965" s="2543">
        <v>251699757</v>
      </c>
      <c r="E965" s="2543">
        <v>257237936</v>
      </c>
      <c r="F965" s="2543">
        <v>251699757</v>
      </c>
      <c r="G965" s="2541">
        <v>259948401</v>
      </c>
      <c r="H965" s="2541">
        <v>259948401</v>
      </c>
      <c r="I965" s="2541">
        <v>257237936</v>
      </c>
      <c r="J965" s="2545">
        <v>251699757</v>
      </c>
      <c r="K965" s="2543">
        <v>257237936</v>
      </c>
      <c r="L965" s="2543">
        <v>251699757</v>
      </c>
    </row>
    <row r="966" spans="1:12">
      <c r="A966" s="114" t="s">
        <v>1016</v>
      </c>
      <c r="B966" s="2540" t="s">
        <v>1392</v>
      </c>
      <c r="C966" s="2543">
        <v>138615454</v>
      </c>
      <c r="D966" s="2543">
        <v>133911404</v>
      </c>
      <c r="E966" s="2543">
        <v>138615454</v>
      </c>
      <c r="F966" s="2543">
        <v>133911404</v>
      </c>
      <c r="G966" s="2541">
        <v>179331106</v>
      </c>
      <c r="H966" s="2541">
        <v>179331106</v>
      </c>
      <c r="I966" s="2541">
        <v>138615454</v>
      </c>
      <c r="J966" s="2545">
        <v>133911404</v>
      </c>
      <c r="K966" s="2543">
        <v>138615454</v>
      </c>
      <c r="L966" s="2543">
        <v>133911404</v>
      </c>
    </row>
    <row r="967" spans="1:12">
      <c r="A967" s="114" t="s">
        <v>1017</v>
      </c>
      <c r="B967" s="2540" t="s">
        <v>1393</v>
      </c>
      <c r="C967" s="2543">
        <v>275995594</v>
      </c>
      <c r="D967" s="2543">
        <v>272238694</v>
      </c>
      <c r="E967" s="2543">
        <v>275995594</v>
      </c>
      <c r="F967" s="2543">
        <v>272238694</v>
      </c>
      <c r="G967" s="2541">
        <v>522970250</v>
      </c>
      <c r="H967" s="2541">
        <v>522970250</v>
      </c>
      <c r="I967" s="2541">
        <v>275995594</v>
      </c>
      <c r="J967" s="2545">
        <v>272238694</v>
      </c>
      <c r="K967" s="2543">
        <v>275995594</v>
      </c>
      <c r="L967" s="2543">
        <v>272238694</v>
      </c>
    </row>
    <row r="968" spans="1:12">
      <c r="A968" s="114" t="s">
        <v>1940</v>
      </c>
      <c r="B968" s="2540" t="s">
        <v>1394</v>
      </c>
      <c r="C968" s="2543">
        <v>644536731</v>
      </c>
      <c r="D968" s="2543">
        <v>644196751</v>
      </c>
      <c r="E968" s="2543">
        <v>644536731</v>
      </c>
      <c r="F968" s="2543">
        <v>644196751</v>
      </c>
      <c r="G968" s="2541">
        <v>1155205505</v>
      </c>
      <c r="H968" s="2541">
        <v>1155205505</v>
      </c>
      <c r="I968" s="2541">
        <v>644536731</v>
      </c>
      <c r="J968" s="2545">
        <v>644196751</v>
      </c>
      <c r="K968" s="2543">
        <v>644536731</v>
      </c>
      <c r="L968" s="2543">
        <v>644196751</v>
      </c>
    </row>
    <row r="969" spans="1:12">
      <c r="A969" s="114" t="s">
        <v>2648</v>
      </c>
      <c r="B969" s="2540" t="s">
        <v>1395</v>
      </c>
      <c r="C969" s="2543">
        <v>1119821275</v>
      </c>
      <c r="D969" s="2543">
        <v>1118032535</v>
      </c>
      <c r="E969" s="2543">
        <v>1119821275</v>
      </c>
      <c r="F969" s="2543">
        <v>1118032535</v>
      </c>
      <c r="G969" s="2541">
        <v>2069000643</v>
      </c>
      <c r="H969" s="2541">
        <v>2069000643</v>
      </c>
      <c r="I969" s="2541">
        <v>1191075575</v>
      </c>
      <c r="J969" s="2545">
        <v>1189286835</v>
      </c>
      <c r="K969" s="2543">
        <v>1191075575</v>
      </c>
      <c r="L969" s="2543">
        <v>1189286835</v>
      </c>
    </row>
    <row r="970" spans="1:12">
      <c r="A970" s="114" t="s">
        <v>996</v>
      </c>
      <c r="B970" s="2540" t="s">
        <v>1633</v>
      </c>
      <c r="C970" s="2543">
        <v>787294423</v>
      </c>
      <c r="D970" s="2543">
        <v>756393657</v>
      </c>
      <c r="E970" s="2543">
        <v>787294423</v>
      </c>
      <c r="F970" s="2543">
        <v>756393657</v>
      </c>
      <c r="G970" s="2541">
        <v>803057019</v>
      </c>
      <c r="H970" s="2541">
        <v>803057019</v>
      </c>
      <c r="I970" s="2541">
        <v>787294423</v>
      </c>
      <c r="J970" s="2545">
        <v>756393657</v>
      </c>
      <c r="K970" s="2543">
        <v>787294423</v>
      </c>
      <c r="L970" s="2543">
        <v>756393657</v>
      </c>
    </row>
    <row r="971" spans="1:12">
      <c r="A971" s="114" t="s">
        <v>1424</v>
      </c>
      <c r="B971" s="2540" t="s">
        <v>1804</v>
      </c>
      <c r="C971" s="2543">
        <v>174585116</v>
      </c>
      <c r="D971" s="2543">
        <v>169787525</v>
      </c>
      <c r="E971" s="2543">
        <v>174585116</v>
      </c>
      <c r="F971" s="2543">
        <v>169787525</v>
      </c>
      <c r="G971" s="2541">
        <v>318568610</v>
      </c>
      <c r="H971" s="2541">
        <v>318568610</v>
      </c>
      <c r="I971" s="2541">
        <v>174585116</v>
      </c>
      <c r="J971" s="2545">
        <v>169787525</v>
      </c>
      <c r="K971" s="2543">
        <v>174585116</v>
      </c>
      <c r="L971" s="2543">
        <v>169787525</v>
      </c>
    </row>
    <row r="972" spans="1:12">
      <c r="A972" s="114" t="s">
        <v>714</v>
      </c>
      <c r="B972" s="2540" t="s">
        <v>2667</v>
      </c>
      <c r="C972" s="2543">
        <v>554888824</v>
      </c>
      <c r="D972" s="2543">
        <v>530626816</v>
      </c>
      <c r="E972" s="2543">
        <v>554888824</v>
      </c>
      <c r="F972" s="2543">
        <v>530626816</v>
      </c>
      <c r="G972" s="2541">
        <v>626171891</v>
      </c>
      <c r="H972" s="2541">
        <v>626171891</v>
      </c>
      <c r="I972" s="2541">
        <v>554888824</v>
      </c>
      <c r="J972" s="2545">
        <v>530626816</v>
      </c>
      <c r="K972" s="2543">
        <v>554888824</v>
      </c>
      <c r="L972" s="2543">
        <v>530626816</v>
      </c>
    </row>
    <row r="973" spans="1:12">
      <c r="A973" s="114" t="s">
        <v>2088</v>
      </c>
      <c r="B973" s="2540" t="s">
        <v>1806</v>
      </c>
      <c r="C973" s="2543">
        <v>4322258744</v>
      </c>
      <c r="D973" s="2543">
        <v>4174131369</v>
      </c>
      <c r="E973" s="2543">
        <v>4322258744</v>
      </c>
      <c r="F973" s="2543">
        <v>4174131369</v>
      </c>
      <c r="G973" s="2541">
        <v>4190104261</v>
      </c>
      <c r="H973" s="2541">
        <v>4190104261</v>
      </c>
      <c r="I973" s="2541">
        <v>4322258744</v>
      </c>
      <c r="J973" s="2545">
        <v>4174131369</v>
      </c>
      <c r="K973" s="2543">
        <v>4322258744</v>
      </c>
      <c r="L973" s="2543">
        <v>4174131369</v>
      </c>
    </row>
    <row r="974" spans="1:12">
      <c r="A974" s="114" t="s">
        <v>626</v>
      </c>
      <c r="B974" s="2540" t="s">
        <v>1327</v>
      </c>
      <c r="C974" s="2543">
        <v>189432910</v>
      </c>
      <c r="D974" s="2543">
        <v>180843764</v>
      </c>
      <c r="E974" s="2543">
        <v>189432910</v>
      </c>
      <c r="F974" s="2543">
        <v>180843764</v>
      </c>
      <c r="G974" s="2541">
        <v>177880295</v>
      </c>
      <c r="H974" s="2541">
        <v>177880295</v>
      </c>
      <c r="I974" s="2541">
        <v>189432910</v>
      </c>
      <c r="J974" s="2545">
        <v>180843764</v>
      </c>
      <c r="K974" s="2543">
        <v>189432910</v>
      </c>
      <c r="L974" s="2543">
        <v>180843764</v>
      </c>
    </row>
    <row r="975" spans="1:12">
      <c r="A975" s="114" t="s">
        <v>1534</v>
      </c>
      <c r="B975" s="2540" t="s">
        <v>1807</v>
      </c>
      <c r="C975" s="2543">
        <v>48234523</v>
      </c>
      <c r="D975" s="2543">
        <v>47903863</v>
      </c>
      <c r="E975" s="2543">
        <v>48234523</v>
      </c>
      <c r="F975" s="2543">
        <v>47903863</v>
      </c>
      <c r="G975" s="2541">
        <v>98672805</v>
      </c>
      <c r="H975" s="2541">
        <v>98672805</v>
      </c>
      <c r="I975" s="2541">
        <v>48234523</v>
      </c>
      <c r="J975" s="2545">
        <v>47903863</v>
      </c>
      <c r="K975" s="2543">
        <v>48234523</v>
      </c>
      <c r="L975" s="2543">
        <v>47903863</v>
      </c>
    </row>
    <row r="976" spans="1:12">
      <c r="A976" s="114" t="s">
        <v>9</v>
      </c>
      <c r="B976" s="2540" t="s">
        <v>1808</v>
      </c>
      <c r="C976" s="2543">
        <v>892934804</v>
      </c>
      <c r="D976" s="2543">
        <v>869755164</v>
      </c>
      <c r="E976" s="2543">
        <v>892934804</v>
      </c>
      <c r="F976" s="2543">
        <v>869755164</v>
      </c>
      <c r="G976" s="2541">
        <v>831529402</v>
      </c>
      <c r="H976" s="2541">
        <v>831529402</v>
      </c>
      <c r="I976" s="2541">
        <v>892934804</v>
      </c>
      <c r="J976" s="2545">
        <v>869755164</v>
      </c>
      <c r="K976" s="2543">
        <v>892934804</v>
      </c>
      <c r="L976" s="2543">
        <v>869755164</v>
      </c>
    </row>
    <row r="977" spans="1:12">
      <c r="A977" s="114" t="s">
        <v>10</v>
      </c>
      <c r="B977" s="2540" t="s">
        <v>2612</v>
      </c>
      <c r="C977" s="2543">
        <v>33830434</v>
      </c>
      <c r="D977" s="2543">
        <v>33232444</v>
      </c>
      <c r="E977" s="2543">
        <v>33830434</v>
      </c>
      <c r="F977" s="2543">
        <v>33232444</v>
      </c>
      <c r="G977" s="2541">
        <v>106243562</v>
      </c>
      <c r="H977" s="2541">
        <v>106243562</v>
      </c>
      <c r="I977" s="2541">
        <v>74020884</v>
      </c>
      <c r="J977" s="2545">
        <v>73422894</v>
      </c>
      <c r="K977" s="2543">
        <v>74020884</v>
      </c>
      <c r="L977" s="2543">
        <v>73422894</v>
      </c>
    </row>
    <row r="978" spans="1:12">
      <c r="A978" s="114" t="s">
        <v>1695</v>
      </c>
      <c r="B978" s="2540" t="s">
        <v>2678</v>
      </c>
      <c r="C978" s="2543">
        <v>37241742</v>
      </c>
      <c r="D978" s="2543">
        <v>35265973</v>
      </c>
      <c r="E978" s="2543">
        <v>37241742</v>
      </c>
      <c r="F978" s="2543">
        <v>35265973</v>
      </c>
      <c r="G978" s="2541">
        <v>33640367</v>
      </c>
      <c r="H978" s="2541">
        <v>33640367</v>
      </c>
      <c r="I978" s="2541">
        <v>37241742</v>
      </c>
      <c r="J978" s="2545">
        <v>35265973</v>
      </c>
      <c r="K978" s="2543">
        <v>37241742</v>
      </c>
      <c r="L978" s="2543">
        <v>35265973</v>
      </c>
    </row>
    <row r="979" spans="1:12">
      <c r="A979" s="114" t="s">
        <v>2387</v>
      </c>
      <c r="B979" s="2540" t="s">
        <v>950</v>
      </c>
      <c r="C979" s="2543">
        <v>206163825</v>
      </c>
      <c r="D979" s="2543">
        <v>196518582</v>
      </c>
      <c r="E979" s="2543">
        <v>206163825</v>
      </c>
      <c r="F979" s="2543">
        <v>196518582</v>
      </c>
      <c r="G979" s="2541">
        <v>258698471</v>
      </c>
      <c r="H979" s="2541">
        <v>258698471</v>
      </c>
      <c r="I979" s="2541">
        <v>605840815</v>
      </c>
      <c r="J979" s="2545">
        <v>596195572</v>
      </c>
      <c r="K979" s="2543">
        <v>605840815</v>
      </c>
      <c r="L979" s="2543">
        <v>596195572</v>
      </c>
    </row>
    <row r="980" spans="1:12">
      <c r="A980" s="114" t="s">
        <v>465</v>
      </c>
      <c r="B980" s="2540" t="s">
        <v>91</v>
      </c>
      <c r="C980" s="2543">
        <v>253822183</v>
      </c>
      <c r="D980" s="2543">
        <v>240602530</v>
      </c>
      <c r="E980" s="2543">
        <v>253822183</v>
      </c>
      <c r="F980" s="2543">
        <v>240602530</v>
      </c>
      <c r="G980" s="2541">
        <v>260079232</v>
      </c>
      <c r="H980" s="2541">
        <v>260079232</v>
      </c>
      <c r="I980" s="2541">
        <v>327545903</v>
      </c>
      <c r="J980" s="2545">
        <v>314326250</v>
      </c>
      <c r="K980" s="2543">
        <v>327545903</v>
      </c>
      <c r="L980" s="2543">
        <v>314326250</v>
      </c>
    </row>
    <row r="981" spans="1:12">
      <c r="A981" s="114" t="s">
        <v>308</v>
      </c>
      <c r="B981" s="2540" t="s">
        <v>580</v>
      </c>
      <c r="C981" s="2543">
        <v>96930781</v>
      </c>
      <c r="D981" s="2543">
        <v>94802267</v>
      </c>
      <c r="E981" s="2543">
        <v>96930781</v>
      </c>
      <c r="F981" s="2543">
        <v>94802267</v>
      </c>
      <c r="G981" s="2541">
        <v>83210749</v>
      </c>
      <c r="H981" s="2541">
        <v>83210749</v>
      </c>
      <c r="I981" s="2541">
        <v>125315331</v>
      </c>
      <c r="J981" s="2545">
        <v>123186817</v>
      </c>
      <c r="K981" s="2543">
        <v>125315331</v>
      </c>
      <c r="L981" s="2543">
        <v>123186817</v>
      </c>
    </row>
    <row r="982" spans="1:12">
      <c r="A982" s="114" t="s">
        <v>1514</v>
      </c>
      <c r="B982" s="2540" t="s">
        <v>130</v>
      </c>
      <c r="C982" s="2543">
        <v>335771580</v>
      </c>
      <c r="D982" s="2543">
        <v>324949267</v>
      </c>
      <c r="E982" s="2543">
        <v>335771580</v>
      </c>
      <c r="F982" s="2543">
        <v>324949267</v>
      </c>
      <c r="G982" s="2541">
        <v>293596146</v>
      </c>
      <c r="H982" s="2541">
        <v>293596146</v>
      </c>
      <c r="I982" s="2541">
        <v>335771580</v>
      </c>
      <c r="J982" s="2545">
        <v>324949267</v>
      </c>
      <c r="K982" s="2543">
        <v>335771580</v>
      </c>
      <c r="L982" s="2543">
        <v>324949267</v>
      </c>
    </row>
    <row r="983" spans="1:12">
      <c r="A983" s="114" t="s">
        <v>2975</v>
      </c>
      <c r="B983" s="2540" t="s">
        <v>2650</v>
      </c>
      <c r="C983" s="2543">
        <v>8118678920</v>
      </c>
      <c r="D983" s="2543">
        <v>7922711431</v>
      </c>
      <c r="E983" s="2543">
        <v>8118678920</v>
      </c>
      <c r="F983" s="2543">
        <v>7922711431</v>
      </c>
      <c r="G983" s="2541">
        <v>6567055736</v>
      </c>
      <c r="H983" s="2541">
        <v>6567055736</v>
      </c>
      <c r="I983" s="2541">
        <v>8118678920</v>
      </c>
      <c r="J983" s="2545">
        <v>7922711431</v>
      </c>
      <c r="K983" s="2543">
        <v>8118678920</v>
      </c>
      <c r="L983" s="2543">
        <v>7922711431</v>
      </c>
    </row>
    <row r="984" spans="1:12">
      <c r="A984" s="114" t="s">
        <v>2038</v>
      </c>
      <c r="B984" s="2540" t="s">
        <v>1153</v>
      </c>
      <c r="C984" s="2543">
        <v>147236449</v>
      </c>
      <c r="D984" s="2543">
        <v>141193954</v>
      </c>
      <c r="E984" s="2543">
        <v>147236449</v>
      </c>
      <c r="F984" s="2543">
        <v>141193954</v>
      </c>
      <c r="G984" s="2541">
        <v>128191377</v>
      </c>
      <c r="H984" s="2541">
        <v>128191377</v>
      </c>
      <c r="I984" s="2541">
        <v>147236449</v>
      </c>
      <c r="J984" s="2545">
        <v>141193954</v>
      </c>
      <c r="K984" s="2543">
        <v>147236449</v>
      </c>
      <c r="L984" s="2543">
        <v>141193954</v>
      </c>
    </row>
    <row r="985" spans="1:12">
      <c r="A985" s="114" t="s">
        <v>47</v>
      </c>
      <c r="B985" s="2540" t="s">
        <v>1440</v>
      </c>
      <c r="C985" s="2543">
        <v>2415604218</v>
      </c>
      <c r="D985" s="2543">
        <v>2349261307</v>
      </c>
      <c r="E985" s="2543">
        <v>2415604218</v>
      </c>
      <c r="F985" s="2543">
        <v>2349261307</v>
      </c>
      <c r="G985" s="2541">
        <v>1775484109</v>
      </c>
      <c r="H985" s="2541">
        <v>1775484109</v>
      </c>
      <c r="I985" s="2541">
        <v>2415604218</v>
      </c>
      <c r="J985" s="2545">
        <v>2349261307</v>
      </c>
      <c r="K985" s="2543">
        <v>2415604218</v>
      </c>
      <c r="L985" s="2543">
        <v>2349261307</v>
      </c>
    </row>
    <row r="986" spans="1:12">
      <c r="A986" s="114" t="s">
        <v>11</v>
      </c>
      <c r="B986" s="2540" t="s">
        <v>1809</v>
      </c>
      <c r="C986" s="2543">
        <v>977398530</v>
      </c>
      <c r="D986" s="2543">
        <v>944114945</v>
      </c>
      <c r="E986" s="2543">
        <v>977398530</v>
      </c>
      <c r="F986" s="2543">
        <v>944114945</v>
      </c>
      <c r="G986" s="2541">
        <v>779899324</v>
      </c>
      <c r="H986" s="2541">
        <v>779899324</v>
      </c>
      <c r="I986" s="2541">
        <v>977398530</v>
      </c>
      <c r="J986" s="2545">
        <v>944114945</v>
      </c>
      <c r="K986" s="2543">
        <v>977398530</v>
      </c>
      <c r="L986" s="2543">
        <v>944114945</v>
      </c>
    </row>
    <row r="987" spans="1:12">
      <c r="A987" s="114" t="s">
        <v>1990</v>
      </c>
      <c r="B987" s="2540" t="s">
        <v>2826</v>
      </c>
      <c r="C987" s="2543">
        <v>1714634951</v>
      </c>
      <c r="D987" s="2543">
        <v>1677566078</v>
      </c>
      <c r="E987" s="2543">
        <v>1714634951</v>
      </c>
      <c r="F987" s="2543">
        <v>1677566078</v>
      </c>
      <c r="G987" s="2541">
        <v>1247082328</v>
      </c>
      <c r="H987" s="2541">
        <v>1247082328</v>
      </c>
      <c r="I987" s="2541">
        <v>1714634951</v>
      </c>
      <c r="J987" s="2545">
        <v>1677566078</v>
      </c>
      <c r="K987" s="2543">
        <v>1714634951</v>
      </c>
      <c r="L987" s="2543">
        <v>1677566078</v>
      </c>
    </row>
    <row r="988" spans="1:12">
      <c r="A988" s="114" t="s">
        <v>1485</v>
      </c>
      <c r="B988" s="2540" t="s">
        <v>666</v>
      </c>
      <c r="C988" s="2543">
        <v>30754167572</v>
      </c>
      <c r="D988" s="2543">
        <v>30243974760</v>
      </c>
      <c r="E988" s="2543">
        <v>30754167572</v>
      </c>
      <c r="F988" s="2543">
        <v>30243974760</v>
      </c>
      <c r="G988" s="2541">
        <v>25652325646</v>
      </c>
      <c r="H988" s="2541">
        <v>25652325646</v>
      </c>
      <c r="I988" s="2541">
        <v>30754167572</v>
      </c>
      <c r="J988" s="2545">
        <v>30243974760</v>
      </c>
      <c r="K988" s="2543">
        <v>30754167572</v>
      </c>
      <c r="L988" s="2543">
        <v>30243974760</v>
      </c>
    </row>
    <row r="989" spans="1:12">
      <c r="A989" s="114" t="s">
        <v>1738</v>
      </c>
      <c r="B989" s="2540" t="s">
        <v>657</v>
      </c>
      <c r="C989" s="2543">
        <v>969461645</v>
      </c>
      <c r="D989" s="2543">
        <v>935711015</v>
      </c>
      <c r="E989" s="2543">
        <v>969461645</v>
      </c>
      <c r="F989" s="2543">
        <v>935711015</v>
      </c>
      <c r="G989" s="2541">
        <v>855762827</v>
      </c>
      <c r="H989" s="2541">
        <v>855762827</v>
      </c>
      <c r="I989" s="2541">
        <v>969461645</v>
      </c>
      <c r="J989" s="2545">
        <v>935711015</v>
      </c>
      <c r="K989" s="2543">
        <v>969461645</v>
      </c>
      <c r="L989" s="2543">
        <v>935711015</v>
      </c>
    </row>
    <row r="990" spans="1:12">
      <c r="A990" s="114" t="s">
        <v>1708</v>
      </c>
      <c r="B990" s="2540" t="s">
        <v>659</v>
      </c>
      <c r="C990" s="2543">
        <v>219689939</v>
      </c>
      <c r="D990" s="2543">
        <v>211989293</v>
      </c>
      <c r="E990" s="2543">
        <v>219689939</v>
      </c>
      <c r="F990" s="2543">
        <v>211989293</v>
      </c>
      <c r="G990" s="2541">
        <v>203752203</v>
      </c>
      <c r="H990" s="2541">
        <v>203752203</v>
      </c>
      <c r="I990" s="2541">
        <v>219689939</v>
      </c>
      <c r="J990" s="2545">
        <v>211989293</v>
      </c>
      <c r="K990" s="2543">
        <v>219689939</v>
      </c>
      <c r="L990" s="2543">
        <v>211989293</v>
      </c>
    </row>
    <row r="991" spans="1:12">
      <c r="A991" s="114" t="s">
        <v>1988</v>
      </c>
      <c r="B991" s="2540" t="s">
        <v>2824</v>
      </c>
      <c r="C991" s="2543">
        <v>20707390137</v>
      </c>
      <c r="D991" s="2543">
        <v>20308543608</v>
      </c>
      <c r="E991" s="2543">
        <v>20707390137</v>
      </c>
      <c r="F991" s="2543">
        <v>20308543608</v>
      </c>
      <c r="G991" s="2541">
        <v>16858775821</v>
      </c>
      <c r="H991" s="2541">
        <v>16858775821</v>
      </c>
      <c r="I991" s="2541">
        <v>20707390137</v>
      </c>
      <c r="J991" s="2545">
        <v>20308543608</v>
      </c>
      <c r="K991" s="2543">
        <v>20707390137</v>
      </c>
      <c r="L991" s="2543">
        <v>20308543608</v>
      </c>
    </row>
    <row r="992" spans="1:12">
      <c r="A992" s="114" t="s">
        <v>12</v>
      </c>
      <c r="B992" s="2540" t="s">
        <v>1810</v>
      </c>
      <c r="C992" s="2543">
        <v>66631827</v>
      </c>
      <c r="D992" s="2543">
        <v>64256490</v>
      </c>
      <c r="E992" s="2543">
        <v>66631827</v>
      </c>
      <c r="F992" s="2543">
        <v>64256490</v>
      </c>
      <c r="G992" s="2541">
        <v>61528347</v>
      </c>
      <c r="H992" s="2541">
        <v>61528347</v>
      </c>
      <c r="I992" s="2541">
        <v>66631827</v>
      </c>
      <c r="J992" s="2545">
        <v>64256490</v>
      </c>
      <c r="K992" s="2543">
        <v>66631827</v>
      </c>
      <c r="L992" s="2543">
        <v>64256490</v>
      </c>
    </row>
    <row r="993" spans="1:12">
      <c r="A993" s="114" t="s">
        <v>2814</v>
      </c>
      <c r="B993" s="2540" t="s">
        <v>131</v>
      </c>
      <c r="C993" s="2543">
        <v>1249391851</v>
      </c>
      <c r="D993" s="2543">
        <v>1200626864</v>
      </c>
      <c r="E993" s="2543">
        <v>1249391851</v>
      </c>
      <c r="F993" s="2543">
        <v>1200626864</v>
      </c>
      <c r="G993" s="2541">
        <v>1137028146</v>
      </c>
      <c r="H993" s="2541">
        <v>1137028146</v>
      </c>
      <c r="I993" s="2541">
        <v>1249391851</v>
      </c>
      <c r="J993" s="2545">
        <v>1200626864</v>
      </c>
      <c r="K993" s="2543">
        <v>1249391851</v>
      </c>
      <c r="L993" s="2543">
        <v>1200626864</v>
      </c>
    </row>
    <row r="994" spans="1:12">
      <c r="A994" s="114" t="s">
        <v>66</v>
      </c>
      <c r="B994" s="2540" t="s">
        <v>2173</v>
      </c>
      <c r="C994" s="2543">
        <v>1009146763</v>
      </c>
      <c r="D994" s="2543">
        <v>971657186</v>
      </c>
      <c r="E994" s="2543">
        <v>1009146763</v>
      </c>
      <c r="F994" s="2543">
        <v>971657186</v>
      </c>
      <c r="G994" s="2541">
        <v>866488393</v>
      </c>
      <c r="H994" s="2541">
        <v>866488393</v>
      </c>
      <c r="I994" s="2541">
        <v>1009146763</v>
      </c>
      <c r="J994" s="2545">
        <v>971657186</v>
      </c>
      <c r="K994" s="2543">
        <v>1009146763</v>
      </c>
      <c r="L994" s="2543">
        <v>971657186</v>
      </c>
    </row>
    <row r="995" spans="1:12">
      <c r="A995" s="114" t="s">
        <v>2815</v>
      </c>
      <c r="B995" s="2540" t="s">
        <v>1132</v>
      </c>
      <c r="C995" s="2543">
        <v>290000818</v>
      </c>
      <c r="D995" s="2543">
        <v>281596339</v>
      </c>
      <c r="E995" s="2543">
        <v>290000818</v>
      </c>
      <c r="F995" s="2543">
        <v>281596339</v>
      </c>
      <c r="G995" s="2541">
        <v>478327690</v>
      </c>
      <c r="H995" s="2541">
        <v>478327690</v>
      </c>
      <c r="I995" s="2541">
        <v>290000818</v>
      </c>
      <c r="J995" s="2545">
        <v>281596339</v>
      </c>
      <c r="K995" s="2543">
        <v>290000818</v>
      </c>
      <c r="L995" s="2543">
        <v>281596339</v>
      </c>
    </row>
    <row r="996" spans="1:12">
      <c r="A996" s="114" t="s">
        <v>1705</v>
      </c>
      <c r="B996" s="2540" t="s">
        <v>2215</v>
      </c>
      <c r="C996" s="2543">
        <v>208635197</v>
      </c>
      <c r="D996" s="2543">
        <v>200316118</v>
      </c>
      <c r="E996" s="2543">
        <v>208635197</v>
      </c>
      <c r="F996" s="2543">
        <v>200316118</v>
      </c>
      <c r="G996" s="2541">
        <v>208178538</v>
      </c>
      <c r="H996" s="2541">
        <v>208178538</v>
      </c>
      <c r="I996" s="2541">
        <v>208635197</v>
      </c>
      <c r="J996" s="2545">
        <v>200316118</v>
      </c>
      <c r="K996" s="2543">
        <v>208635197</v>
      </c>
      <c r="L996" s="2543">
        <v>200316118</v>
      </c>
    </row>
    <row r="997" spans="1:12">
      <c r="A997" s="114" t="s">
        <v>1339</v>
      </c>
      <c r="B997" s="2540" t="s">
        <v>1811</v>
      </c>
      <c r="C997" s="2543">
        <v>517415622</v>
      </c>
      <c r="D997" s="2543">
        <v>505465494</v>
      </c>
      <c r="E997" s="2543">
        <v>510723678</v>
      </c>
      <c r="F997" s="2543">
        <v>498773550</v>
      </c>
      <c r="G997" s="2541">
        <v>890883855</v>
      </c>
      <c r="H997" s="2541">
        <v>885760156</v>
      </c>
      <c r="I997" s="2541">
        <v>592864812</v>
      </c>
      <c r="J997" s="2545">
        <v>580914684</v>
      </c>
      <c r="K997" s="2543">
        <v>586172868</v>
      </c>
      <c r="L997" s="2543">
        <v>574222740</v>
      </c>
    </row>
    <row r="998" spans="1:12">
      <c r="A998" s="114" t="s">
        <v>1340</v>
      </c>
      <c r="B998" s="2540" t="s">
        <v>1812</v>
      </c>
      <c r="C998" s="2543">
        <v>1651664094</v>
      </c>
      <c r="D998" s="2543">
        <v>1649761655</v>
      </c>
      <c r="E998" s="2543">
        <v>1650786908</v>
      </c>
      <c r="F998" s="2543">
        <v>1648884469</v>
      </c>
      <c r="G998" s="2541">
        <v>1692583650</v>
      </c>
      <c r="H998" s="2541">
        <v>1691899041</v>
      </c>
      <c r="I998" s="2541">
        <v>1651664094</v>
      </c>
      <c r="J998" s="2545">
        <v>1649761655</v>
      </c>
      <c r="K998" s="2543">
        <v>1650786908</v>
      </c>
      <c r="L998" s="2543">
        <v>1648884469</v>
      </c>
    </row>
    <row r="999" spans="1:12">
      <c r="A999" s="114" t="s">
        <v>224</v>
      </c>
      <c r="B999" s="2540" t="s">
        <v>1203</v>
      </c>
      <c r="C999" s="2543">
        <v>346881135</v>
      </c>
      <c r="D999" s="2543">
        <v>338400792</v>
      </c>
      <c r="E999" s="2543">
        <v>346881135</v>
      </c>
      <c r="F999" s="2543">
        <v>338400792</v>
      </c>
      <c r="G999" s="2541">
        <v>456874556</v>
      </c>
      <c r="H999" s="2541">
        <v>456874556</v>
      </c>
      <c r="I999" s="2541">
        <v>346881135</v>
      </c>
      <c r="J999" s="2545">
        <v>338400792</v>
      </c>
      <c r="K999" s="2543">
        <v>346881135</v>
      </c>
      <c r="L999" s="2543">
        <v>338400792</v>
      </c>
    </row>
    <row r="1000" spans="1:12">
      <c r="A1000" s="114" t="s">
        <v>904</v>
      </c>
      <c r="B1000" s="2540" t="s">
        <v>1813</v>
      </c>
      <c r="C1000" s="2543">
        <v>560799542</v>
      </c>
      <c r="D1000" s="2543">
        <v>548080239</v>
      </c>
      <c r="E1000" s="2543">
        <v>560799542</v>
      </c>
      <c r="F1000" s="2543">
        <v>548080239</v>
      </c>
      <c r="G1000" s="2541">
        <v>914869410</v>
      </c>
      <c r="H1000" s="2541">
        <v>914869410</v>
      </c>
      <c r="I1000" s="2541">
        <v>560799542</v>
      </c>
      <c r="J1000" s="2545">
        <v>548080239</v>
      </c>
      <c r="K1000" s="2543">
        <v>560799542</v>
      </c>
      <c r="L1000" s="2543">
        <v>548080239</v>
      </c>
    </row>
    <row r="1001" spans="1:12">
      <c r="A1001" s="114" t="s">
        <v>2491</v>
      </c>
      <c r="B1001" s="2540" t="s">
        <v>1814</v>
      </c>
      <c r="C1001" s="2543">
        <v>1296973409</v>
      </c>
      <c r="D1001" s="2543">
        <v>1274267238</v>
      </c>
      <c r="E1001" s="2543">
        <v>1291082307</v>
      </c>
      <c r="F1001" s="2543">
        <v>1268376136</v>
      </c>
      <c r="G1001" s="2541">
        <v>1525392298</v>
      </c>
      <c r="H1001" s="2541">
        <v>1519317651</v>
      </c>
      <c r="I1001" s="2541">
        <v>1296973409</v>
      </c>
      <c r="J1001" s="2545">
        <v>1274267238</v>
      </c>
      <c r="K1001" s="2543">
        <v>1291082307</v>
      </c>
      <c r="L1001" s="2543">
        <v>1268376136</v>
      </c>
    </row>
    <row r="1002" spans="1:12">
      <c r="A1002" s="114" t="s">
        <v>2780</v>
      </c>
      <c r="B1002" s="2540" t="s">
        <v>1815</v>
      </c>
      <c r="C1002" s="2543">
        <v>513550081</v>
      </c>
      <c r="D1002" s="2543">
        <v>506378091</v>
      </c>
      <c r="E1002" s="2543">
        <v>513550081</v>
      </c>
      <c r="F1002" s="2543">
        <v>506378091</v>
      </c>
      <c r="G1002" s="2541">
        <v>619501674</v>
      </c>
      <c r="H1002" s="2541">
        <v>619501674</v>
      </c>
      <c r="I1002" s="2541">
        <v>513550081</v>
      </c>
      <c r="J1002" s="2545">
        <v>506378091</v>
      </c>
      <c r="K1002" s="2543">
        <v>513550081</v>
      </c>
      <c r="L1002" s="2543">
        <v>506378091</v>
      </c>
    </row>
    <row r="1003" spans="1:12">
      <c r="A1003" s="114" t="s">
        <v>2781</v>
      </c>
      <c r="B1003" s="2540" t="s">
        <v>1816</v>
      </c>
      <c r="C1003" s="2543">
        <v>1886591133</v>
      </c>
      <c r="D1003" s="2543">
        <v>1854961308</v>
      </c>
      <c r="E1003" s="2543">
        <v>1886591133</v>
      </c>
      <c r="F1003" s="2543">
        <v>1854961308</v>
      </c>
      <c r="G1003" s="2541">
        <v>2354709983</v>
      </c>
      <c r="H1003" s="2541">
        <v>2354709983</v>
      </c>
      <c r="I1003" s="2541">
        <v>1886591133</v>
      </c>
      <c r="J1003" s="2545">
        <v>1854961308</v>
      </c>
      <c r="K1003" s="2543">
        <v>1886591133</v>
      </c>
      <c r="L1003" s="2543">
        <v>1854961308</v>
      </c>
    </row>
    <row r="1004" spans="1:12">
      <c r="A1004" s="114" t="s">
        <v>2302</v>
      </c>
      <c r="B1004" s="2540" t="s">
        <v>1541</v>
      </c>
      <c r="C1004" s="2543">
        <v>363488596</v>
      </c>
      <c r="D1004" s="2543">
        <v>352366726</v>
      </c>
      <c r="E1004" s="2543">
        <v>363488596</v>
      </c>
      <c r="F1004" s="2543">
        <v>352366726</v>
      </c>
      <c r="G1004" s="2541">
        <v>397231301</v>
      </c>
      <c r="H1004" s="2541">
        <v>397231301</v>
      </c>
      <c r="I1004" s="2541">
        <v>363488596</v>
      </c>
      <c r="J1004" s="2545">
        <v>352366726</v>
      </c>
      <c r="K1004" s="2543">
        <v>363488596</v>
      </c>
      <c r="L1004" s="2543">
        <v>352366726</v>
      </c>
    </row>
    <row r="1005" spans="1:12">
      <c r="A1005" s="114" t="s">
        <v>1314</v>
      </c>
      <c r="B1005" s="2540" t="s">
        <v>2201</v>
      </c>
      <c r="C1005" s="2543">
        <v>265205490</v>
      </c>
      <c r="D1005" s="2543">
        <v>261508475</v>
      </c>
      <c r="E1005" s="2543">
        <v>260131682</v>
      </c>
      <c r="F1005" s="2543">
        <v>256434667</v>
      </c>
      <c r="G1005" s="2541">
        <v>372075792</v>
      </c>
      <c r="H1005" s="2541">
        <v>367419761</v>
      </c>
      <c r="I1005" s="2541">
        <v>265205490</v>
      </c>
      <c r="J1005" s="2545">
        <v>261508475</v>
      </c>
      <c r="K1005" s="2543">
        <v>260131682</v>
      </c>
      <c r="L1005" s="2543">
        <v>256434667</v>
      </c>
    </row>
    <row r="1006" spans="1:12">
      <c r="A1006" s="114" t="s">
        <v>2548</v>
      </c>
      <c r="B1006" s="2540" t="s">
        <v>1817</v>
      </c>
      <c r="C1006" s="2543">
        <v>586839037</v>
      </c>
      <c r="D1006" s="2543">
        <v>574845388</v>
      </c>
      <c r="E1006" s="2543">
        <v>586839037</v>
      </c>
      <c r="F1006" s="2543">
        <v>574845388</v>
      </c>
      <c r="G1006" s="2541">
        <v>962629628</v>
      </c>
      <c r="H1006" s="2541">
        <v>962629628</v>
      </c>
      <c r="I1006" s="2541">
        <v>586839037</v>
      </c>
      <c r="J1006" s="2545">
        <v>574845388</v>
      </c>
      <c r="K1006" s="2543">
        <v>586839037</v>
      </c>
      <c r="L1006" s="2543">
        <v>574845388</v>
      </c>
    </row>
    <row r="1007" spans="1:12">
      <c r="A1007" s="114" t="s">
        <v>2549</v>
      </c>
      <c r="B1007" s="2540" t="s">
        <v>1818</v>
      </c>
      <c r="C1007" s="2543">
        <v>486685353</v>
      </c>
      <c r="D1007" s="2543">
        <v>465420386</v>
      </c>
      <c r="E1007" s="2543">
        <v>486685353</v>
      </c>
      <c r="F1007" s="2543">
        <v>465420386</v>
      </c>
      <c r="G1007" s="2541">
        <v>537677895</v>
      </c>
      <c r="H1007" s="2541">
        <v>537677895</v>
      </c>
      <c r="I1007" s="2541">
        <v>486685353</v>
      </c>
      <c r="J1007" s="2545">
        <v>465420386</v>
      </c>
      <c r="K1007" s="2543">
        <v>486685353</v>
      </c>
      <c r="L1007" s="2543">
        <v>465420386</v>
      </c>
    </row>
    <row r="1008" spans="1:12">
      <c r="A1008" s="114" t="s">
        <v>2970</v>
      </c>
      <c r="B1008" s="2540" t="s">
        <v>29</v>
      </c>
      <c r="C1008" s="2543">
        <v>407512495</v>
      </c>
      <c r="D1008" s="2543">
        <v>386249576</v>
      </c>
      <c r="E1008" s="2543">
        <v>407512495</v>
      </c>
      <c r="F1008" s="2543">
        <v>386249576</v>
      </c>
      <c r="G1008" s="2541">
        <v>482320895</v>
      </c>
      <c r="H1008" s="2541">
        <v>482320895</v>
      </c>
      <c r="I1008" s="2541">
        <v>407512495</v>
      </c>
      <c r="J1008" s="2545">
        <v>386249576</v>
      </c>
      <c r="K1008" s="2543">
        <v>407512495</v>
      </c>
      <c r="L1008" s="2543">
        <v>386249576</v>
      </c>
    </row>
    <row r="1009" spans="1:12">
      <c r="A1009" s="114" t="s">
        <v>2971</v>
      </c>
      <c r="B1009" s="2540" t="s">
        <v>1548</v>
      </c>
      <c r="C1009" s="2543">
        <v>293821586</v>
      </c>
      <c r="D1009" s="2543">
        <v>283836836</v>
      </c>
      <c r="E1009" s="2543">
        <v>293821586</v>
      </c>
      <c r="F1009" s="2543">
        <v>283836836</v>
      </c>
      <c r="G1009" s="2541">
        <v>298673795</v>
      </c>
      <c r="H1009" s="2541">
        <v>298673795</v>
      </c>
      <c r="I1009" s="2541">
        <v>293821586</v>
      </c>
      <c r="J1009" s="2545">
        <v>283836836</v>
      </c>
      <c r="K1009" s="2543">
        <v>293821586</v>
      </c>
      <c r="L1009" s="2543">
        <v>283836836</v>
      </c>
    </row>
    <row r="1010" spans="1:12">
      <c r="A1010" s="114" t="s">
        <v>705</v>
      </c>
      <c r="B1010" s="2540" t="s">
        <v>1549</v>
      </c>
      <c r="C1010" s="2543">
        <v>256458653</v>
      </c>
      <c r="D1010" s="2543">
        <v>242260586</v>
      </c>
      <c r="E1010" s="2543">
        <v>256458653</v>
      </c>
      <c r="F1010" s="2543">
        <v>242260586</v>
      </c>
      <c r="G1010" s="2541">
        <v>263103911</v>
      </c>
      <c r="H1010" s="2541">
        <v>263103911</v>
      </c>
      <c r="I1010" s="2541">
        <v>256458653</v>
      </c>
      <c r="J1010" s="2545">
        <v>242260586</v>
      </c>
      <c r="K1010" s="2543">
        <v>256458653</v>
      </c>
      <c r="L1010" s="2543">
        <v>242260586</v>
      </c>
    </row>
    <row r="1011" spans="1:12">
      <c r="A1011" s="114" t="s">
        <v>777</v>
      </c>
      <c r="B1011" s="2540" t="s">
        <v>1550</v>
      </c>
      <c r="C1011" s="2543">
        <v>463808773</v>
      </c>
      <c r="D1011" s="2543">
        <v>443515695</v>
      </c>
      <c r="E1011" s="2543">
        <v>463808773</v>
      </c>
      <c r="F1011" s="2543">
        <v>443515695</v>
      </c>
      <c r="G1011" s="2541">
        <v>477336616</v>
      </c>
      <c r="H1011" s="2541">
        <v>477336616</v>
      </c>
      <c r="I1011" s="2541">
        <v>463808773</v>
      </c>
      <c r="J1011" s="2545">
        <v>443515695</v>
      </c>
      <c r="K1011" s="2543">
        <v>463808773</v>
      </c>
      <c r="L1011" s="2543">
        <v>443515695</v>
      </c>
    </row>
    <row r="1012" spans="1:12">
      <c r="A1012" s="114" t="s">
        <v>778</v>
      </c>
      <c r="B1012" s="2540" t="s">
        <v>1551</v>
      </c>
      <c r="C1012" s="2543">
        <v>1256679308</v>
      </c>
      <c r="D1012" s="2543">
        <v>1245639716</v>
      </c>
      <c r="E1012" s="2543">
        <v>1251710024</v>
      </c>
      <c r="F1012" s="2543">
        <v>1240670432</v>
      </c>
      <c r="G1012" s="2541">
        <v>3224336980</v>
      </c>
      <c r="H1012" s="2541">
        <v>3219673307</v>
      </c>
      <c r="I1012" s="2541">
        <v>1256679308</v>
      </c>
      <c r="J1012" s="2545">
        <v>1245639716</v>
      </c>
      <c r="K1012" s="2543">
        <v>1251710024</v>
      </c>
      <c r="L1012" s="2543">
        <v>1240670432</v>
      </c>
    </row>
    <row r="1013" spans="1:12">
      <c r="A1013" s="114" t="s">
        <v>1660</v>
      </c>
      <c r="B1013" s="2540" t="s">
        <v>1552</v>
      </c>
      <c r="C1013" s="2543">
        <v>498889010</v>
      </c>
      <c r="D1013" s="2543">
        <v>495165706</v>
      </c>
      <c r="E1013" s="2543">
        <v>495199072</v>
      </c>
      <c r="F1013" s="2543">
        <v>491475768</v>
      </c>
      <c r="G1013" s="2541">
        <v>1192757438</v>
      </c>
      <c r="H1013" s="2541">
        <v>1189524672</v>
      </c>
      <c r="I1013" s="2541">
        <v>498889010</v>
      </c>
      <c r="J1013" s="2545">
        <v>495165706</v>
      </c>
      <c r="K1013" s="2543">
        <v>495199072</v>
      </c>
      <c r="L1013" s="2543">
        <v>491475768</v>
      </c>
    </row>
    <row r="1014" spans="1:12">
      <c r="A1014" s="114" t="s">
        <v>1020</v>
      </c>
      <c r="B1014" s="2540" t="s">
        <v>974</v>
      </c>
      <c r="C1014" s="2543">
        <v>706112086</v>
      </c>
      <c r="D1014" s="2543">
        <v>678244786</v>
      </c>
      <c r="E1014" s="2543">
        <v>706112086</v>
      </c>
      <c r="F1014" s="2543">
        <v>678244786</v>
      </c>
      <c r="G1014" s="2541">
        <v>802266609</v>
      </c>
      <c r="H1014" s="2541">
        <v>802266609</v>
      </c>
      <c r="I1014" s="2541">
        <v>721646806</v>
      </c>
      <c r="J1014" s="2545">
        <v>693779506</v>
      </c>
      <c r="K1014" s="2543">
        <v>721646806</v>
      </c>
      <c r="L1014" s="2543">
        <v>693779506</v>
      </c>
    </row>
    <row r="1015" spans="1:12">
      <c r="A1015" s="114" t="s">
        <v>1661</v>
      </c>
      <c r="B1015" s="2540" t="s">
        <v>1553</v>
      </c>
      <c r="C1015" s="2543">
        <v>62757902</v>
      </c>
      <c r="D1015" s="2543">
        <v>61466172</v>
      </c>
      <c r="E1015" s="2543">
        <v>62757902</v>
      </c>
      <c r="F1015" s="2543">
        <v>61466172</v>
      </c>
      <c r="G1015" s="2541">
        <v>91926735</v>
      </c>
      <c r="H1015" s="2541">
        <v>91926735</v>
      </c>
      <c r="I1015" s="2541">
        <v>62757902</v>
      </c>
      <c r="J1015" s="2545">
        <v>61466172</v>
      </c>
      <c r="K1015" s="2543">
        <v>62757902</v>
      </c>
      <c r="L1015" s="2543">
        <v>61466172</v>
      </c>
    </row>
    <row r="1016" spans="1:12">
      <c r="A1016" s="114" t="s">
        <v>1696</v>
      </c>
      <c r="B1016" s="2540" t="s">
        <v>933</v>
      </c>
      <c r="C1016" s="2543">
        <v>235643204</v>
      </c>
      <c r="D1016" s="2543">
        <v>228694784</v>
      </c>
      <c r="E1016" s="2543">
        <v>235643204</v>
      </c>
      <c r="F1016" s="2543">
        <v>228694784</v>
      </c>
      <c r="G1016" s="2541">
        <v>289269707</v>
      </c>
      <c r="H1016" s="2541">
        <v>289269707</v>
      </c>
      <c r="I1016" s="2541">
        <v>439987204</v>
      </c>
      <c r="J1016" s="2545">
        <v>433038784</v>
      </c>
      <c r="K1016" s="2543">
        <v>439987204</v>
      </c>
      <c r="L1016" s="2543">
        <v>433038784</v>
      </c>
    </row>
    <row r="1017" spans="1:12">
      <c r="A1017" s="114" t="s">
        <v>556</v>
      </c>
      <c r="B1017" s="2540" t="s">
        <v>1554</v>
      </c>
      <c r="C1017" s="2543">
        <v>1009413131</v>
      </c>
      <c r="D1017" s="2543">
        <v>981348524</v>
      </c>
      <c r="E1017" s="2543">
        <v>985896151</v>
      </c>
      <c r="F1017" s="2543">
        <v>957831544</v>
      </c>
      <c r="G1017" s="2541">
        <v>1562739378</v>
      </c>
      <c r="H1017" s="2541">
        <v>1538762764</v>
      </c>
      <c r="I1017" s="2541">
        <v>1009413131</v>
      </c>
      <c r="J1017" s="2545">
        <v>981348524</v>
      </c>
      <c r="K1017" s="2543">
        <v>985896151</v>
      </c>
      <c r="L1017" s="2543">
        <v>957831544</v>
      </c>
    </row>
    <row r="1018" spans="1:12">
      <c r="A1018" s="114" t="s">
        <v>2760</v>
      </c>
      <c r="B1018" s="2540" t="s">
        <v>460</v>
      </c>
      <c r="C1018" s="2543">
        <v>847753594</v>
      </c>
      <c r="D1018" s="2543">
        <v>836651237</v>
      </c>
      <c r="E1018" s="2543">
        <v>847753594</v>
      </c>
      <c r="F1018" s="2543">
        <v>836651237</v>
      </c>
      <c r="G1018" s="2541">
        <v>831077015</v>
      </c>
      <c r="H1018" s="2541">
        <v>831077015</v>
      </c>
      <c r="I1018" s="2541">
        <v>847753594</v>
      </c>
      <c r="J1018" s="2545">
        <v>836651237</v>
      </c>
      <c r="K1018" s="2543">
        <v>847753594</v>
      </c>
      <c r="L1018" s="2543">
        <v>836651237</v>
      </c>
    </row>
    <row r="1019" spans="1:12">
      <c r="A1019" s="114" t="s">
        <v>1901</v>
      </c>
      <c r="B1019" s="2540" t="s">
        <v>2171</v>
      </c>
      <c r="C1019" s="2543">
        <v>104500198</v>
      </c>
      <c r="D1019" s="2543">
        <v>101801015</v>
      </c>
      <c r="E1019" s="2543">
        <v>104500198</v>
      </c>
      <c r="F1019" s="2543">
        <v>101801015</v>
      </c>
      <c r="G1019" s="2541">
        <v>80389487</v>
      </c>
      <c r="H1019" s="2541">
        <v>80389487</v>
      </c>
      <c r="I1019" s="2541">
        <v>104500198</v>
      </c>
      <c r="J1019" s="2545">
        <v>101801015</v>
      </c>
      <c r="K1019" s="2543">
        <v>104500198</v>
      </c>
      <c r="L1019" s="2543">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4"/>
  <sheetViews>
    <sheetView topLeftCell="A992" workbookViewId="0"/>
  </sheetViews>
  <sheetFormatPr defaultRowHeight="12.75"/>
  <cols>
    <col min="2" max="2" width="32" customWidth="1"/>
    <col min="3" max="3" width="25" customWidth="1"/>
  </cols>
  <sheetData>
    <row r="1" spans="1:3" ht="15.75">
      <c r="A1" s="2547" t="s">
        <v>225</v>
      </c>
      <c r="B1" s="2547" t="s">
        <v>310</v>
      </c>
      <c r="C1" s="2548">
        <v>550.32600000000002</v>
      </c>
    </row>
    <row r="2" spans="1:3" ht="15.75">
      <c r="A2" s="2547" t="s">
        <v>2228</v>
      </c>
      <c r="B2" s="2547" t="s">
        <v>311</v>
      </c>
      <c r="C2" s="2548">
        <v>1158.018</v>
      </c>
    </row>
    <row r="3" spans="1:3" ht="15.75">
      <c r="A3" s="2547" t="s">
        <v>15</v>
      </c>
      <c r="B3" s="2547" t="s">
        <v>312</v>
      </c>
      <c r="C3" s="2548">
        <v>780.154</v>
      </c>
    </row>
    <row r="4" spans="1:3" ht="15.75">
      <c r="A4" s="2547" t="s">
        <v>16</v>
      </c>
      <c r="B4" s="2547" t="s">
        <v>313</v>
      </c>
      <c r="C4" s="2548">
        <v>358.75299999999999</v>
      </c>
    </row>
    <row r="5" spans="1:3" ht="15.75">
      <c r="A5" s="2547" t="s">
        <v>17</v>
      </c>
      <c r="B5" s="2547" t="s">
        <v>314</v>
      </c>
      <c r="C5" s="2548">
        <v>3136.1280000000002</v>
      </c>
    </row>
    <row r="6" spans="1:3" ht="15.75">
      <c r="A6" s="2547" t="s">
        <v>1254</v>
      </c>
      <c r="B6" s="2547" t="s">
        <v>1355</v>
      </c>
      <c r="C6" s="2548">
        <v>1507.9590000000001</v>
      </c>
    </row>
    <row r="7" spans="1:3" ht="15.75">
      <c r="A7" s="2547" t="s">
        <v>1255</v>
      </c>
      <c r="B7" s="2547" t="s">
        <v>1356</v>
      </c>
      <c r="C7" s="2548">
        <v>378.51299999999998</v>
      </c>
    </row>
    <row r="8" spans="1:3" ht="15.75">
      <c r="A8" s="2547" t="s">
        <v>2102</v>
      </c>
      <c r="B8" s="2547" t="s">
        <v>1357</v>
      </c>
      <c r="C8" s="2548">
        <v>3749.55</v>
      </c>
    </row>
    <row r="9" spans="1:3" ht="15.75">
      <c r="A9" s="2547" t="s">
        <v>774</v>
      </c>
      <c r="B9" s="2547" t="s">
        <v>2733</v>
      </c>
      <c r="C9" s="2548">
        <v>2619.9079999999999</v>
      </c>
    </row>
    <row r="10" spans="1:3" ht="15.75">
      <c r="A10" s="2547" t="s">
        <v>1637</v>
      </c>
      <c r="B10" s="2547" t="s">
        <v>1358</v>
      </c>
      <c r="C10" s="2548">
        <v>7569.0309999999999</v>
      </c>
    </row>
    <row r="11" spans="1:3" ht="15.75">
      <c r="A11" s="2547" t="s">
        <v>1279</v>
      </c>
      <c r="B11" s="2547" t="s">
        <v>1438</v>
      </c>
      <c r="C11" s="2548">
        <v>1589.3109999999999</v>
      </c>
    </row>
    <row r="12" spans="1:3" ht="15.75">
      <c r="A12" s="2547" t="s">
        <v>369</v>
      </c>
      <c r="B12" s="2547" t="s">
        <v>1359</v>
      </c>
      <c r="C12" s="2548">
        <v>1702.153</v>
      </c>
    </row>
    <row r="13" spans="1:3" ht="15.75">
      <c r="A13" s="2547" t="s">
        <v>370</v>
      </c>
      <c r="B13" s="2547" t="s">
        <v>1360</v>
      </c>
      <c r="C13" s="2548">
        <v>373.25799999999998</v>
      </c>
    </row>
    <row r="14" spans="1:3" ht="15.75">
      <c r="A14" s="2547" t="s">
        <v>371</v>
      </c>
      <c r="B14" s="2547" t="s">
        <v>1361</v>
      </c>
      <c r="C14" s="2548">
        <v>1485.9590000000001</v>
      </c>
    </row>
    <row r="15" spans="1:3" ht="15.75">
      <c r="A15" s="2547" t="s">
        <v>2839</v>
      </c>
      <c r="B15" s="2547" t="s">
        <v>1362</v>
      </c>
      <c r="C15" s="2548">
        <v>3160.7939999999999</v>
      </c>
    </row>
    <row r="16" spans="1:3" ht="15.75">
      <c r="A16" s="2547" t="s">
        <v>2840</v>
      </c>
      <c r="B16" s="2547" t="s">
        <v>1363</v>
      </c>
      <c r="C16" s="2548">
        <v>423.94099999999997</v>
      </c>
    </row>
    <row r="17" spans="1:3" ht="15.75">
      <c r="A17" s="2547" t="s">
        <v>2841</v>
      </c>
      <c r="B17" s="2547" t="s">
        <v>1364</v>
      </c>
      <c r="C17" s="2548">
        <v>916.99199999999996</v>
      </c>
    </row>
    <row r="18" spans="1:3" ht="15.75">
      <c r="A18" s="2547" t="s">
        <v>2219</v>
      </c>
      <c r="B18" s="2547" t="s">
        <v>1289</v>
      </c>
      <c r="C18" s="2548">
        <v>420.9</v>
      </c>
    </row>
    <row r="19" spans="1:3" ht="15.75">
      <c r="A19" s="2547" t="s">
        <v>2843</v>
      </c>
      <c r="B19" s="2547" t="s">
        <v>1365</v>
      </c>
      <c r="C19" s="2548">
        <v>326.75200000000001</v>
      </c>
    </row>
    <row r="20" spans="1:3" ht="15.75">
      <c r="A20" s="2547" t="s">
        <v>806</v>
      </c>
      <c r="B20" s="2547" t="s">
        <v>736</v>
      </c>
      <c r="C20" s="2548">
        <v>460.65199999999999</v>
      </c>
    </row>
    <row r="21" spans="1:3" ht="15.75">
      <c r="A21" s="2547" t="s">
        <v>2844</v>
      </c>
      <c r="B21" s="2547" t="s">
        <v>1366</v>
      </c>
      <c r="C21" s="2548">
        <v>1517.9690000000001</v>
      </c>
    </row>
    <row r="22" spans="1:3" ht="15.75">
      <c r="A22" s="2547" t="s">
        <v>2388</v>
      </c>
      <c r="B22" s="2547" t="s">
        <v>1367</v>
      </c>
      <c r="C22" s="2548">
        <v>1552.6569999999999</v>
      </c>
    </row>
    <row r="23" spans="1:3" ht="15.75">
      <c r="A23" s="2547" t="s">
        <v>241</v>
      </c>
      <c r="B23" s="2547" t="s">
        <v>1128</v>
      </c>
      <c r="C23" s="2548">
        <v>3219.5169999999998</v>
      </c>
    </row>
    <row r="24" spans="1:3" ht="15.75">
      <c r="A24" s="2547" t="s">
        <v>2447</v>
      </c>
      <c r="B24" s="2547" t="s">
        <v>1131</v>
      </c>
      <c r="C24" s="2548">
        <v>1640.9259999999999</v>
      </c>
    </row>
    <row r="25" spans="1:3" ht="15.75">
      <c r="A25" s="2547" t="s">
        <v>2845</v>
      </c>
      <c r="B25" s="2547" t="s">
        <v>1368</v>
      </c>
      <c r="C25" s="2548">
        <v>2105.2800000000002</v>
      </c>
    </row>
    <row r="26" spans="1:3" ht="15.75">
      <c r="A26" s="2547" t="s">
        <v>783</v>
      </c>
      <c r="B26" s="2547" t="s">
        <v>1369</v>
      </c>
      <c r="C26" s="2548">
        <v>2666.21</v>
      </c>
    </row>
    <row r="27" spans="1:3" ht="15.75">
      <c r="A27" s="2547" t="s">
        <v>784</v>
      </c>
      <c r="B27" s="2547" t="s">
        <v>1370</v>
      </c>
      <c r="C27" s="2548">
        <v>764.36800000000005</v>
      </c>
    </row>
    <row r="28" spans="1:3" ht="15.75">
      <c r="A28" s="2547" t="s">
        <v>785</v>
      </c>
      <c r="B28" s="2547" t="s">
        <v>1371</v>
      </c>
      <c r="C28" s="2548">
        <v>1348.722</v>
      </c>
    </row>
    <row r="29" spans="1:3" ht="15.75">
      <c r="A29" s="2547" t="s">
        <v>216</v>
      </c>
      <c r="B29" s="2547" t="s">
        <v>1372</v>
      </c>
      <c r="C29" s="2548">
        <v>256.33600000000001</v>
      </c>
    </row>
    <row r="30" spans="1:3" ht="15.75">
      <c r="A30" s="2547" t="s">
        <v>2220</v>
      </c>
      <c r="B30" s="2547" t="s">
        <v>2431</v>
      </c>
      <c r="C30" s="2548">
        <v>2043.0309999999999</v>
      </c>
    </row>
    <row r="31" spans="1:3" ht="15.75">
      <c r="A31" s="2547" t="s">
        <v>1896</v>
      </c>
      <c r="B31" s="2547" t="s">
        <v>2433</v>
      </c>
      <c r="C31" s="2548">
        <v>9529.3979999999992</v>
      </c>
    </row>
    <row r="32" spans="1:3" ht="15.75">
      <c r="A32" s="2547" t="s">
        <v>876</v>
      </c>
      <c r="B32" s="2547" t="s">
        <v>1002</v>
      </c>
      <c r="C32" s="2548">
        <v>3968.261</v>
      </c>
    </row>
    <row r="33" spans="1:3" ht="15.75">
      <c r="A33" s="2547" t="s">
        <v>2710</v>
      </c>
      <c r="B33" s="2547" t="s">
        <v>2202</v>
      </c>
      <c r="C33" s="2548">
        <v>1656.2460000000001</v>
      </c>
    </row>
    <row r="34" spans="1:3" ht="15.75">
      <c r="A34" s="2547" t="s">
        <v>2448</v>
      </c>
      <c r="B34" s="2547" t="s">
        <v>926</v>
      </c>
      <c r="C34" s="2548">
        <v>209.72499999999999</v>
      </c>
    </row>
    <row r="35" spans="1:3" ht="15.75">
      <c r="A35" s="2547" t="s">
        <v>492</v>
      </c>
      <c r="B35" s="2547" t="s">
        <v>1373</v>
      </c>
      <c r="C35" s="2548">
        <v>561.49699999999996</v>
      </c>
    </row>
    <row r="36" spans="1:3" ht="15.75">
      <c r="A36" s="2547" t="s">
        <v>2711</v>
      </c>
      <c r="B36" s="2547" t="s">
        <v>2434</v>
      </c>
      <c r="C36" s="2548">
        <v>3082.2910000000002</v>
      </c>
    </row>
    <row r="37" spans="1:3" ht="15.75">
      <c r="A37" s="2547" t="s">
        <v>3048</v>
      </c>
      <c r="B37" s="2547" t="s">
        <v>1374</v>
      </c>
      <c r="C37" s="2548">
        <v>207.10599999999999</v>
      </c>
    </row>
    <row r="38" spans="1:3" ht="15.75">
      <c r="A38" s="2547" t="s">
        <v>3049</v>
      </c>
      <c r="B38" s="2547" t="s">
        <v>1375</v>
      </c>
      <c r="C38" s="2548">
        <v>396.64800000000002</v>
      </c>
    </row>
    <row r="39" spans="1:3" ht="15.75">
      <c r="A39" s="2547" t="s">
        <v>1313</v>
      </c>
      <c r="B39" s="2547" t="s">
        <v>2089</v>
      </c>
      <c r="C39" s="2548">
        <v>798.36900000000003</v>
      </c>
    </row>
    <row r="40" spans="1:3" ht="15.75">
      <c r="A40" s="2547" t="s">
        <v>2449</v>
      </c>
      <c r="B40" s="2547" t="s">
        <v>1376</v>
      </c>
      <c r="C40" s="2548">
        <v>1346.3409999999999</v>
      </c>
    </row>
    <row r="41" spans="1:3" ht="15.75">
      <c r="A41" s="2547" t="s">
        <v>1895</v>
      </c>
      <c r="B41" s="2547" t="s">
        <v>2432</v>
      </c>
      <c r="C41" s="2548">
        <v>339.91800000000001</v>
      </c>
    </row>
    <row r="42" spans="1:3" ht="15.75">
      <c r="A42" s="2547" t="s">
        <v>1898</v>
      </c>
      <c r="B42" s="2547" t="s">
        <v>3079</v>
      </c>
      <c r="C42" s="2548">
        <v>10158.066999999999</v>
      </c>
    </row>
    <row r="43" spans="1:3" ht="15.75">
      <c r="A43" s="2547" t="s">
        <v>198</v>
      </c>
      <c r="B43" s="2547" t="s">
        <v>2728</v>
      </c>
      <c r="C43" s="2548">
        <v>625.85599999999999</v>
      </c>
    </row>
    <row r="44" spans="1:3" ht="15.75">
      <c r="A44" s="2547" t="s">
        <v>60</v>
      </c>
      <c r="B44" s="2547" t="s">
        <v>2878</v>
      </c>
      <c r="C44" s="2548">
        <v>39067.862000000001</v>
      </c>
    </row>
    <row r="45" spans="1:3" ht="15.75">
      <c r="A45" s="2547" t="s">
        <v>192</v>
      </c>
      <c r="B45" s="2547" t="s">
        <v>1582</v>
      </c>
      <c r="C45" s="2548">
        <v>840.29300000000001</v>
      </c>
    </row>
    <row r="46" spans="1:3" ht="15.75">
      <c r="A46" s="2547" t="s">
        <v>1487</v>
      </c>
      <c r="B46" s="2547" t="s">
        <v>2305</v>
      </c>
      <c r="C46" s="2548">
        <v>1574.848</v>
      </c>
    </row>
    <row r="47" spans="1:3" ht="15.75">
      <c r="A47" s="2547" t="s">
        <v>1707</v>
      </c>
      <c r="B47" s="2547" t="s">
        <v>658</v>
      </c>
      <c r="C47" s="2548">
        <v>7794.6059999999998</v>
      </c>
    </row>
    <row r="48" spans="1:3" ht="15.75">
      <c r="A48" s="2547" t="s">
        <v>1712</v>
      </c>
      <c r="B48" s="2547" t="s">
        <v>2640</v>
      </c>
      <c r="C48" s="2548">
        <v>1393.3050000000001</v>
      </c>
    </row>
    <row r="49" spans="1:3" ht="15.75">
      <c r="A49" s="2547" t="s">
        <v>463</v>
      </c>
      <c r="B49" s="2547" t="s">
        <v>2603</v>
      </c>
      <c r="C49" s="2548">
        <v>4600.9769999999999</v>
      </c>
    </row>
    <row r="50" spans="1:3" ht="15.75">
      <c r="A50" s="2547" t="s">
        <v>2125</v>
      </c>
      <c r="B50" s="2547" t="s">
        <v>822</v>
      </c>
      <c r="C50" s="2548">
        <v>13589.118</v>
      </c>
    </row>
    <row r="51" spans="1:3" ht="15.75">
      <c r="A51" s="2547" t="s">
        <v>874</v>
      </c>
      <c r="B51" s="2547" t="s">
        <v>1000</v>
      </c>
      <c r="C51" s="2548">
        <v>9940.2000000000007</v>
      </c>
    </row>
    <row r="52" spans="1:3" ht="15.75">
      <c r="A52" s="2547" t="s">
        <v>2682</v>
      </c>
      <c r="B52" s="2547" t="s">
        <v>1174</v>
      </c>
      <c r="C52" s="2548">
        <v>1307.422</v>
      </c>
    </row>
    <row r="53" spans="1:3" ht="15.75">
      <c r="A53" s="2547" t="s">
        <v>1489</v>
      </c>
      <c r="B53" s="2547" t="s">
        <v>2308</v>
      </c>
      <c r="C53" s="2548">
        <v>47403.66</v>
      </c>
    </row>
    <row r="54" spans="1:3" ht="15.75">
      <c r="A54" s="2547" t="s">
        <v>1699</v>
      </c>
      <c r="B54" s="2547" t="s">
        <v>2206</v>
      </c>
      <c r="C54" s="2548">
        <v>8988.7440000000006</v>
      </c>
    </row>
    <row r="55" spans="1:3" ht="15.75">
      <c r="A55" s="2547" t="s">
        <v>1316</v>
      </c>
      <c r="B55" s="2547" t="s">
        <v>2205</v>
      </c>
      <c r="C55" s="2548">
        <v>3633.3409999999999</v>
      </c>
    </row>
    <row r="56" spans="1:3" ht="15.75">
      <c r="A56" s="2547" t="s">
        <v>1587</v>
      </c>
      <c r="B56" s="2547" t="s">
        <v>2610</v>
      </c>
      <c r="C56" s="2548">
        <v>63688.603999999999</v>
      </c>
    </row>
    <row r="57" spans="1:3" ht="15.75">
      <c r="A57" s="2547" t="s">
        <v>871</v>
      </c>
      <c r="B57" s="2547" t="s">
        <v>1215</v>
      </c>
      <c r="C57" s="2548">
        <v>9383.8619999999992</v>
      </c>
    </row>
    <row r="58" spans="1:3" ht="15.75">
      <c r="A58" s="2547" t="s">
        <v>807</v>
      </c>
      <c r="B58" s="2547" t="s">
        <v>2208</v>
      </c>
      <c r="C58" s="2548">
        <v>12660.031999999999</v>
      </c>
    </row>
    <row r="59" spans="1:3" ht="15.75">
      <c r="A59" s="2547" t="s">
        <v>2683</v>
      </c>
      <c r="B59" s="2547" t="s">
        <v>1175</v>
      </c>
      <c r="C59" s="2548">
        <v>867.02599999999995</v>
      </c>
    </row>
    <row r="60" spans="1:3" ht="15.75">
      <c r="A60" s="2547" t="s">
        <v>2684</v>
      </c>
      <c r="B60" s="2547" t="s">
        <v>1176</v>
      </c>
      <c r="C60" s="2548">
        <v>1431.55</v>
      </c>
    </row>
    <row r="61" spans="1:3" ht="15.75">
      <c r="A61" s="2547" t="s">
        <v>1589</v>
      </c>
      <c r="B61" s="2547" t="s">
        <v>2612</v>
      </c>
      <c r="C61" s="2548">
        <v>97952.087</v>
      </c>
    </row>
    <row r="62" spans="1:3" ht="15.75">
      <c r="A62" s="2547" t="s">
        <v>53</v>
      </c>
      <c r="B62" s="2547" t="s">
        <v>448</v>
      </c>
      <c r="C62" s="2548">
        <v>21531.254000000001</v>
      </c>
    </row>
    <row r="63" spans="1:3" ht="15.75">
      <c r="A63" s="2547" t="s">
        <v>1700</v>
      </c>
      <c r="B63" s="2547" t="s">
        <v>2207</v>
      </c>
      <c r="C63" s="2548">
        <v>5110.55</v>
      </c>
    </row>
    <row r="64" spans="1:3" ht="15.75">
      <c r="A64" s="2547" t="s">
        <v>1377</v>
      </c>
      <c r="B64" s="2547" t="s">
        <v>2604</v>
      </c>
      <c r="C64" s="2548">
        <v>665.63900000000001</v>
      </c>
    </row>
    <row r="65" spans="1:3" ht="15.75">
      <c r="A65" s="2547" t="s">
        <v>986</v>
      </c>
      <c r="B65" s="2547" t="s">
        <v>902</v>
      </c>
      <c r="C65" s="2548">
        <v>947.78399999999999</v>
      </c>
    </row>
    <row r="66" spans="1:3" ht="15.75">
      <c r="A66" s="2547" t="s">
        <v>1378</v>
      </c>
      <c r="B66" s="2547" t="s">
        <v>2605</v>
      </c>
      <c r="C66" s="2548">
        <v>237.952</v>
      </c>
    </row>
    <row r="67" spans="1:3" ht="15.75">
      <c r="A67" s="2547" t="s">
        <v>628</v>
      </c>
      <c r="B67" s="2547" t="s">
        <v>1330</v>
      </c>
      <c r="C67" s="2548">
        <v>924.30399999999997</v>
      </c>
    </row>
    <row r="68" spans="1:3" ht="15.75">
      <c r="A68" s="2547" t="s">
        <v>1379</v>
      </c>
      <c r="B68" s="2547" t="s">
        <v>3081</v>
      </c>
      <c r="C68" s="2548">
        <v>453.51900000000001</v>
      </c>
    </row>
    <row r="69" spans="1:3" ht="15.75">
      <c r="A69" s="2547" t="s">
        <v>1273</v>
      </c>
      <c r="B69" s="2547" t="s">
        <v>3082</v>
      </c>
      <c r="C69" s="2548">
        <v>120.09699999999999</v>
      </c>
    </row>
    <row r="70" spans="1:3" ht="15.75">
      <c r="A70" s="2547" t="s">
        <v>1274</v>
      </c>
      <c r="B70" s="2547" t="s">
        <v>3083</v>
      </c>
      <c r="C70" s="2548">
        <v>568.77</v>
      </c>
    </row>
    <row r="71" spans="1:3" ht="15.75">
      <c r="A71" s="2547" t="s">
        <v>2174</v>
      </c>
      <c r="B71" s="2547" t="s">
        <v>2304</v>
      </c>
      <c r="C71" s="2548">
        <v>172.06399999999999</v>
      </c>
    </row>
    <row r="72" spans="1:3" ht="15.75">
      <c r="A72" s="2547" t="s">
        <v>1846</v>
      </c>
      <c r="B72" s="2547" t="s">
        <v>3084</v>
      </c>
      <c r="C72" s="2548">
        <v>127.979</v>
      </c>
    </row>
    <row r="73" spans="1:3" ht="15.75">
      <c r="A73" s="2547" t="s">
        <v>1847</v>
      </c>
      <c r="B73" s="2547" t="s">
        <v>3085</v>
      </c>
      <c r="C73" s="2548">
        <v>201.791</v>
      </c>
    </row>
    <row r="74" spans="1:3" ht="15.75">
      <c r="A74" s="2547" t="s">
        <v>1848</v>
      </c>
      <c r="B74" s="2547" t="s">
        <v>3086</v>
      </c>
      <c r="C74" s="2548">
        <v>118.01900000000001</v>
      </c>
    </row>
    <row r="75" spans="1:3" ht="15.75">
      <c r="A75" s="2547" t="s">
        <v>997</v>
      </c>
      <c r="B75" s="2547" t="s">
        <v>3063</v>
      </c>
      <c r="C75" s="2548">
        <v>740.66899999999998</v>
      </c>
    </row>
    <row r="76" spans="1:3" ht="15.75">
      <c r="A76" s="2547" t="s">
        <v>808</v>
      </c>
      <c r="B76" s="2547" t="s">
        <v>2730</v>
      </c>
      <c r="C76" s="2548">
        <v>828.61199999999997</v>
      </c>
    </row>
    <row r="77" spans="1:3" ht="15.75">
      <c r="A77" s="2547" t="s">
        <v>2450</v>
      </c>
      <c r="B77" s="2547" t="s">
        <v>2361</v>
      </c>
      <c r="C77" s="2548">
        <v>443.62200000000001</v>
      </c>
    </row>
    <row r="78" spans="1:3" ht="15.75">
      <c r="A78" s="2547" t="s">
        <v>3034</v>
      </c>
      <c r="B78" s="2547" t="s">
        <v>1578</v>
      </c>
      <c r="C78" s="2548">
        <v>1245.2339999999999</v>
      </c>
    </row>
    <row r="79" spans="1:3" ht="15.75">
      <c r="A79" s="2547" t="s">
        <v>1252</v>
      </c>
      <c r="B79" s="2547" t="s">
        <v>1579</v>
      </c>
      <c r="C79" s="2548">
        <v>1064.838</v>
      </c>
    </row>
    <row r="80" spans="1:3" ht="15.75">
      <c r="A80" s="2547" t="s">
        <v>1253</v>
      </c>
      <c r="B80" s="2547" t="s">
        <v>1580</v>
      </c>
      <c r="C80" s="2548">
        <v>6357.6549999999997</v>
      </c>
    </row>
    <row r="81" spans="1:3" ht="15.75">
      <c r="A81" s="2547" t="s">
        <v>1285</v>
      </c>
      <c r="B81" s="2547" t="s">
        <v>2846</v>
      </c>
      <c r="C81" s="2548">
        <v>2362.8069999999998</v>
      </c>
    </row>
    <row r="82" spans="1:3" ht="15.75">
      <c r="A82" s="2547" t="s">
        <v>2451</v>
      </c>
      <c r="B82" s="2547" t="s">
        <v>295</v>
      </c>
      <c r="C82" s="2548">
        <v>466.45400000000001</v>
      </c>
    </row>
    <row r="83" spans="1:3" ht="15.75">
      <c r="A83" s="2547" t="s">
        <v>1110</v>
      </c>
      <c r="B83" s="2547" t="s">
        <v>320</v>
      </c>
      <c r="C83" s="2548">
        <v>103.976</v>
      </c>
    </row>
    <row r="84" spans="1:3" ht="15.75">
      <c r="A84" s="2547" t="s">
        <v>953</v>
      </c>
      <c r="B84" s="2547" t="s">
        <v>2847</v>
      </c>
      <c r="C84" s="2548">
        <v>497.32100000000003</v>
      </c>
    </row>
    <row r="85" spans="1:3" ht="15.75">
      <c r="A85" s="2547" t="s">
        <v>1286</v>
      </c>
      <c r="B85" s="2547" t="s">
        <v>2848</v>
      </c>
      <c r="C85" s="2548">
        <v>2011.663</v>
      </c>
    </row>
    <row r="86" spans="1:3" ht="15.75">
      <c r="A86" s="2547" t="s">
        <v>1287</v>
      </c>
      <c r="B86" s="2547" t="s">
        <v>2732</v>
      </c>
      <c r="C86" s="2548">
        <v>76.510000000000005</v>
      </c>
    </row>
    <row r="87" spans="1:3" ht="15.75">
      <c r="A87" s="2547" t="s">
        <v>954</v>
      </c>
      <c r="B87" s="2547" t="s">
        <v>2849</v>
      </c>
      <c r="C87" s="2548">
        <v>105.283</v>
      </c>
    </row>
    <row r="88" spans="1:3" ht="15.75">
      <c r="A88" s="2547" t="s">
        <v>207</v>
      </c>
      <c r="B88" s="2547" t="s">
        <v>1202</v>
      </c>
      <c r="C88" s="2548">
        <v>20816.666000000001</v>
      </c>
    </row>
    <row r="89" spans="1:3" ht="15.75">
      <c r="A89" s="2547" t="s">
        <v>1035</v>
      </c>
      <c r="B89" s="2547" t="s">
        <v>2850</v>
      </c>
      <c r="C89" s="2548">
        <v>6366.1570000000002</v>
      </c>
    </row>
    <row r="90" spans="1:3" ht="15.75">
      <c r="A90" s="2547" t="s">
        <v>809</v>
      </c>
      <c r="B90" s="2547" t="s">
        <v>3059</v>
      </c>
      <c r="C90" s="2548">
        <v>733.29700000000003</v>
      </c>
    </row>
    <row r="91" spans="1:3" ht="15.75">
      <c r="A91" s="2547" t="s">
        <v>1321</v>
      </c>
      <c r="B91" s="2547" t="s">
        <v>2851</v>
      </c>
      <c r="C91" s="2548">
        <v>11399.91</v>
      </c>
    </row>
    <row r="92" spans="1:3" ht="15.75">
      <c r="A92" s="2547" t="s">
        <v>1322</v>
      </c>
      <c r="B92" s="2547" t="s">
        <v>2852</v>
      </c>
      <c r="C92" s="2548">
        <v>1888.652</v>
      </c>
    </row>
    <row r="93" spans="1:3" ht="15.75">
      <c r="A93" s="2547" t="s">
        <v>1616</v>
      </c>
      <c r="B93" s="2547" t="s">
        <v>1741</v>
      </c>
      <c r="C93" s="2548">
        <v>2868.77</v>
      </c>
    </row>
    <row r="94" spans="1:3" ht="15.75">
      <c r="A94" s="2547" t="s">
        <v>235</v>
      </c>
      <c r="B94" s="2547" t="s">
        <v>303</v>
      </c>
      <c r="C94" s="2548">
        <v>20199.895</v>
      </c>
    </row>
    <row r="95" spans="1:3" ht="15.75">
      <c r="A95" s="2547" t="s">
        <v>1323</v>
      </c>
      <c r="B95" s="2547" t="s">
        <v>2853</v>
      </c>
      <c r="C95" s="2548">
        <v>164.35400000000001</v>
      </c>
    </row>
    <row r="96" spans="1:3" ht="15.75">
      <c r="A96" s="2547" t="s">
        <v>631</v>
      </c>
      <c r="B96" s="2547" t="s">
        <v>1334</v>
      </c>
      <c r="C96" s="2548">
        <v>12209.578</v>
      </c>
    </row>
    <row r="97" spans="1:3" ht="15.75">
      <c r="A97" s="2547" t="s">
        <v>994</v>
      </c>
      <c r="B97" s="2547" t="s">
        <v>3032</v>
      </c>
      <c r="C97" s="2548">
        <v>15105.184999999999</v>
      </c>
    </row>
    <row r="98" spans="1:3" ht="15.75">
      <c r="A98" s="2547" t="s">
        <v>2918</v>
      </c>
      <c r="B98" s="2547" t="s">
        <v>2854</v>
      </c>
      <c r="C98" s="2548">
        <v>82.272000000000006</v>
      </c>
    </row>
    <row r="99" spans="1:3" ht="15.75">
      <c r="A99" s="2547" t="s">
        <v>440</v>
      </c>
      <c r="B99" s="2547" t="s">
        <v>2855</v>
      </c>
      <c r="C99" s="2548">
        <v>999.65200000000004</v>
      </c>
    </row>
    <row r="100" spans="1:3" ht="15.75">
      <c r="A100" s="2547" t="s">
        <v>441</v>
      </c>
      <c r="B100" s="2547" t="s">
        <v>1786</v>
      </c>
      <c r="C100" s="2548">
        <v>49.26</v>
      </c>
    </row>
    <row r="101" spans="1:3" ht="15.75">
      <c r="A101" s="2547" t="s">
        <v>442</v>
      </c>
      <c r="B101" s="2547" t="s">
        <v>1787</v>
      </c>
      <c r="C101" s="2548">
        <v>28.652999999999999</v>
      </c>
    </row>
    <row r="102" spans="1:3" ht="15.75">
      <c r="A102" s="2547" t="s">
        <v>443</v>
      </c>
      <c r="B102" s="2547" t="s">
        <v>1788</v>
      </c>
      <c r="C102" s="2548">
        <v>164.71199999999999</v>
      </c>
    </row>
    <row r="103" spans="1:3" ht="15.75">
      <c r="A103" s="2547" t="s">
        <v>745</v>
      </c>
      <c r="B103" s="2547" t="s">
        <v>1789</v>
      </c>
      <c r="C103" s="2548">
        <v>1432.9280000000001</v>
      </c>
    </row>
    <row r="104" spans="1:3" ht="15.75">
      <c r="A104" s="2547" t="s">
        <v>746</v>
      </c>
      <c r="B104" s="2547" t="s">
        <v>1790</v>
      </c>
      <c r="C104" s="2548">
        <v>938.85400000000004</v>
      </c>
    </row>
    <row r="105" spans="1:3" ht="15.75">
      <c r="A105" s="2547" t="s">
        <v>747</v>
      </c>
      <c r="B105" s="2547" t="s">
        <v>1791</v>
      </c>
      <c r="C105" s="2548">
        <v>3392.08</v>
      </c>
    </row>
    <row r="106" spans="1:3" ht="15.75">
      <c r="A106" s="2547" t="s">
        <v>988</v>
      </c>
      <c r="B106" s="2547" t="s">
        <v>1519</v>
      </c>
      <c r="C106" s="2548">
        <v>189.00800000000001</v>
      </c>
    </row>
    <row r="107" spans="1:3" ht="15.75">
      <c r="A107" s="2547" t="s">
        <v>2893</v>
      </c>
      <c r="B107" s="2547" t="s">
        <v>2362</v>
      </c>
      <c r="C107" s="2548">
        <v>284.49299999999999</v>
      </c>
    </row>
    <row r="108" spans="1:3" ht="15.75">
      <c r="A108" s="2547" t="s">
        <v>1354</v>
      </c>
      <c r="B108" s="2547" t="s">
        <v>3074</v>
      </c>
      <c r="C108" s="2548">
        <v>193.48400000000001</v>
      </c>
    </row>
    <row r="109" spans="1:3" ht="15.75">
      <c r="A109" s="2547" t="s">
        <v>810</v>
      </c>
      <c r="B109" s="2547" t="s">
        <v>2770</v>
      </c>
      <c r="C109" s="2548">
        <v>145.773</v>
      </c>
    </row>
    <row r="110" spans="1:3" ht="15.75">
      <c r="A110" s="2547" t="s">
        <v>872</v>
      </c>
      <c r="B110" s="2547" t="s">
        <v>1214</v>
      </c>
      <c r="C110" s="2548">
        <v>1142.309</v>
      </c>
    </row>
    <row r="111" spans="1:3" ht="15.75">
      <c r="A111" s="2547" t="s">
        <v>748</v>
      </c>
      <c r="B111" s="2547" t="s">
        <v>1792</v>
      </c>
      <c r="C111" s="2548">
        <v>1675.961</v>
      </c>
    </row>
    <row r="112" spans="1:3" ht="15.75">
      <c r="A112" s="2547" t="s">
        <v>749</v>
      </c>
      <c r="B112" s="2547" t="s">
        <v>1793</v>
      </c>
      <c r="C112" s="2548">
        <v>405.46199999999999</v>
      </c>
    </row>
    <row r="113" spans="1:3" ht="15.75">
      <c r="A113" s="2547" t="s">
        <v>750</v>
      </c>
      <c r="B113" s="2547" t="s">
        <v>1794</v>
      </c>
      <c r="C113" s="2548">
        <v>466.553</v>
      </c>
    </row>
    <row r="114" spans="1:3" ht="15.75">
      <c r="A114" s="2547" t="s">
        <v>2154</v>
      </c>
      <c r="B114" s="2547" t="s">
        <v>154</v>
      </c>
      <c r="C114" s="2548">
        <v>2899.1950000000002</v>
      </c>
    </row>
    <row r="115" spans="1:3" ht="15.75">
      <c r="A115" s="2547" t="s">
        <v>380</v>
      </c>
      <c r="B115" s="2547" t="s">
        <v>322</v>
      </c>
      <c r="C115" s="2548">
        <v>3914.0990000000002</v>
      </c>
    </row>
    <row r="116" spans="1:3" ht="15.75">
      <c r="A116" s="2547" t="s">
        <v>497</v>
      </c>
      <c r="B116" s="2547" t="s">
        <v>2546</v>
      </c>
      <c r="C116" s="2548">
        <v>4958.4049999999997</v>
      </c>
    </row>
    <row r="117" spans="1:3" ht="15.75">
      <c r="A117" s="2547" t="s">
        <v>1318</v>
      </c>
      <c r="B117" s="2547" t="s">
        <v>948</v>
      </c>
      <c r="C117" s="2548">
        <v>1308.5519999999999</v>
      </c>
    </row>
    <row r="118" spans="1:3" ht="15.75">
      <c r="A118" s="2547" t="s">
        <v>2631</v>
      </c>
      <c r="B118" s="2547" t="s">
        <v>1795</v>
      </c>
      <c r="C118" s="2548">
        <v>155.96199999999999</v>
      </c>
    </row>
    <row r="119" spans="1:3" ht="15.75">
      <c r="A119" s="2547" t="s">
        <v>1535</v>
      </c>
      <c r="B119" s="2547" t="s">
        <v>1177</v>
      </c>
      <c r="C119" s="2548">
        <v>3817.2910000000002</v>
      </c>
    </row>
    <row r="120" spans="1:3" ht="15.75">
      <c r="A120" s="2547" t="s">
        <v>2671</v>
      </c>
      <c r="B120" s="2547" t="s">
        <v>1797</v>
      </c>
      <c r="C120" s="2548">
        <v>317.88099999999997</v>
      </c>
    </row>
    <row r="121" spans="1:3" ht="15.75">
      <c r="A121" s="2547" t="s">
        <v>811</v>
      </c>
      <c r="B121" s="2547" t="s">
        <v>38</v>
      </c>
      <c r="C121" s="2548">
        <v>1388.9259999999999</v>
      </c>
    </row>
    <row r="122" spans="1:3" ht="15.75">
      <c r="A122" s="2547" t="s">
        <v>171</v>
      </c>
      <c r="B122" s="2547" t="s">
        <v>1798</v>
      </c>
      <c r="C122" s="2548">
        <v>301.78399999999999</v>
      </c>
    </row>
    <row r="123" spans="1:3" ht="15.75">
      <c r="A123" s="2547" t="s">
        <v>2090</v>
      </c>
      <c r="B123" s="2547" t="s">
        <v>1799</v>
      </c>
      <c r="C123" s="2548">
        <v>375.21499999999997</v>
      </c>
    </row>
    <row r="124" spans="1:3" ht="15.75">
      <c r="A124" s="2547" t="s">
        <v>993</v>
      </c>
      <c r="B124" s="2547" t="s">
        <v>3031</v>
      </c>
      <c r="C124" s="2548">
        <v>43897.512000000002</v>
      </c>
    </row>
    <row r="125" spans="1:3" ht="15.75">
      <c r="A125" s="2547" t="s">
        <v>2126</v>
      </c>
      <c r="B125" s="2547" t="s">
        <v>41</v>
      </c>
      <c r="C125" s="2548">
        <v>17431.741999999998</v>
      </c>
    </row>
    <row r="126" spans="1:3" ht="15.75">
      <c r="A126" s="2547" t="s">
        <v>64</v>
      </c>
      <c r="B126" s="2547" t="s">
        <v>2148</v>
      </c>
      <c r="C126" s="2548">
        <v>3362.8760000000002</v>
      </c>
    </row>
    <row r="127" spans="1:3" ht="15.75">
      <c r="A127" s="2547" t="s">
        <v>2606</v>
      </c>
      <c r="B127" s="2547" t="s">
        <v>43</v>
      </c>
      <c r="C127" s="2548">
        <v>10038.727000000001</v>
      </c>
    </row>
    <row r="128" spans="1:3" ht="15.75">
      <c r="A128" s="2547" t="s">
        <v>1892</v>
      </c>
      <c r="B128" s="2547" t="s">
        <v>1800</v>
      </c>
      <c r="C128" s="2548">
        <v>2338.1880000000001</v>
      </c>
    </row>
    <row r="129" spans="1:3" ht="15.75">
      <c r="A129" s="2547" t="s">
        <v>812</v>
      </c>
      <c r="B129" s="2547" t="s">
        <v>3093</v>
      </c>
      <c r="C129" s="2548">
        <v>1956.8119999999999</v>
      </c>
    </row>
    <row r="130" spans="1:3" ht="15.75">
      <c r="A130" s="2547" t="s">
        <v>1490</v>
      </c>
      <c r="B130" s="2547" t="s">
        <v>46</v>
      </c>
      <c r="C130" s="2548">
        <v>9981.3340000000007</v>
      </c>
    </row>
    <row r="131" spans="1:3" ht="15.75">
      <c r="A131" s="2547" t="s">
        <v>813</v>
      </c>
      <c r="B131" s="2547" t="s">
        <v>99</v>
      </c>
      <c r="C131" s="2548">
        <v>641.28599999999994</v>
      </c>
    </row>
    <row r="132" spans="1:3" ht="15.75">
      <c r="A132" s="2547" t="s">
        <v>534</v>
      </c>
      <c r="B132" s="2547" t="s">
        <v>100</v>
      </c>
      <c r="C132" s="2548">
        <v>1057.404</v>
      </c>
    </row>
    <row r="133" spans="1:3" ht="15.75">
      <c r="A133" s="2547" t="s">
        <v>2673</v>
      </c>
      <c r="B133" s="2547" t="s">
        <v>7602</v>
      </c>
      <c r="C133" s="2548">
        <v>3443.4250000000002</v>
      </c>
    </row>
    <row r="134" spans="1:3" ht="15.75">
      <c r="A134" s="2547" t="s">
        <v>1050</v>
      </c>
      <c r="B134" s="2547" t="s">
        <v>1801</v>
      </c>
      <c r="C134" s="2548">
        <v>2310.5540000000001</v>
      </c>
    </row>
    <row r="135" spans="1:3" ht="15.75">
      <c r="A135" s="2547" t="s">
        <v>1051</v>
      </c>
      <c r="B135" s="2547" t="s">
        <v>1802</v>
      </c>
      <c r="C135" s="2548">
        <v>136.74299999999999</v>
      </c>
    </row>
    <row r="136" spans="1:3" ht="15.75">
      <c r="A136" s="2547" t="s">
        <v>879</v>
      </c>
      <c r="B136" s="2547" t="s">
        <v>2484</v>
      </c>
      <c r="C136" s="2548">
        <v>598.60900000000004</v>
      </c>
    </row>
    <row r="137" spans="1:3" ht="15.75">
      <c r="A137" s="2547" t="s">
        <v>2050</v>
      </c>
      <c r="B137" s="2547" t="s">
        <v>2485</v>
      </c>
      <c r="C137" s="2548">
        <v>341.57400000000001</v>
      </c>
    </row>
    <row r="138" spans="1:3" ht="15.75">
      <c r="A138" s="2547" t="s">
        <v>1941</v>
      </c>
      <c r="B138" s="2547" t="s">
        <v>2486</v>
      </c>
      <c r="C138" s="2548">
        <v>1615.86</v>
      </c>
    </row>
    <row r="139" spans="1:3" ht="15.75">
      <c r="A139" s="2547" t="s">
        <v>1942</v>
      </c>
      <c r="B139" s="2547" t="s">
        <v>2487</v>
      </c>
      <c r="C139" s="2548">
        <v>135.67599999999999</v>
      </c>
    </row>
    <row r="140" spans="1:3" ht="15.75">
      <c r="A140" s="2547" t="s">
        <v>842</v>
      </c>
      <c r="B140" s="2547" t="s">
        <v>2488</v>
      </c>
      <c r="C140" s="2548">
        <v>1160.402</v>
      </c>
    </row>
    <row r="141" spans="1:3" ht="15.75">
      <c r="A141" s="2547" t="s">
        <v>843</v>
      </c>
      <c r="B141" s="2547" t="s">
        <v>1178</v>
      </c>
      <c r="C141" s="2548">
        <v>666.66499999999996</v>
      </c>
    </row>
    <row r="142" spans="1:3" ht="15.75">
      <c r="A142" s="2547" t="s">
        <v>2142</v>
      </c>
      <c r="B142" s="2547" t="s">
        <v>929</v>
      </c>
      <c r="C142" s="2548">
        <v>334.34800000000001</v>
      </c>
    </row>
    <row r="143" spans="1:3" ht="15.75">
      <c r="A143" s="2547" t="s">
        <v>844</v>
      </c>
      <c r="B143" s="2547" t="s">
        <v>1921</v>
      </c>
      <c r="C143" s="2548">
        <v>949.37800000000004</v>
      </c>
    </row>
    <row r="144" spans="1:3" ht="15.75">
      <c r="A144" s="2547" t="s">
        <v>2226</v>
      </c>
      <c r="B144" s="2547" t="s">
        <v>1923</v>
      </c>
      <c r="C144" s="2548">
        <v>250.18199999999999</v>
      </c>
    </row>
    <row r="145" spans="1:3" ht="15.75">
      <c r="A145" s="2547" t="s">
        <v>2227</v>
      </c>
      <c r="B145" s="2547" t="s">
        <v>1924</v>
      </c>
      <c r="C145" s="2548">
        <v>1090.587</v>
      </c>
    </row>
    <row r="146" spans="1:3" ht="15.75">
      <c r="A146" s="2547" t="s">
        <v>2788</v>
      </c>
      <c r="B146" s="2547" t="s">
        <v>1925</v>
      </c>
      <c r="C146" s="2548">
        <v>232.91300000000001</v>
      </c>
    </row>
    <row r="147" spans="1:3" ht="15.75">
      <c r="A147" s="2547" t="s">
        <v>2904</v>
      </c>
      <c r="B147" s="2547" t="s">
        <v>425</v>
      </c>
      <c r="C147" s="2548">
        <v>220.53200000000001</v>
      </c>
    </row>
    <row r="148" spans="1:3" ht="15.75">
      <c r="A148" s="2547" t="s">
        <v>1840</v>
      </c>
      <c r="B148" s="2547" t="s">
        <v>1205</v>
      </c>
      <c r="C148" s="2548">
        <v>1226.19</v>
      </c>
    </row>
    <row r="149" spans="1:3" ht="15.75">
      <c r="A149" s="2547" t="s">
        <v>2789</v>
      </c>
      <c r="B149" s="2547" t="s">
        <v>1926</v>
      </c>
      <c r="C149" s="2548">
        <v>4785.415</v>
      </c>
    </row>
    <row r="150" spans="1:3" ht="15.75">
      <c r="A150" s="2547" t="s">
        <v>316</v>
      </c>
      <c r="B150" s="2547" t="s">
        <v>2716</v>
      </c>
      <c r="C150" s="2548">
        <v>1351.6859999999999</v>
      </c>
    </row>
    <row r="151" spans="1:3" ht="15.75">
      <c r="A151" s="2547" t="s">
        <v>1658</v>
      </c>
      <c r="B151" s="2547" t="s">
        <v>1691</v>
      </c>
      <c r="C151" s="2548">
        <v>598.94200000000001</v>
      </c>
    </row>
    <row r="152" spans="1:3" ht="15.75">
      <c r="A152" s="2547" t="s">
        <v>50</v>
      </c>
      <c r="B152" s="2547" t="s">
        <v>445</v>
      </c>
      <c r="C152" s="2548">
        <v>4584.0439999999999</v>
      </c>
    </row>
    <row r="153" spans="1:3" ht="15.75">
      <c r="A153" s="2547" t="s">
        <v>1486</v>
      </c>
      <c r="B153" s="2547" t="s">
        <v>669</v>
      </c>
      <c r="C153" s="2548">
        <v>1996.7239999999999</v>
      </c>
    </row>
    <row r="154" spans="1:3" ht="15.75">
      <c r="A154" s="2547" t="s">
        <v>2907</v>
      </c>
      <c r="B154" s="2547" t="s">
        <v>1306</v>
      </c>
      <c r="C154" s="2548">
        <v>505.32600000000002</v>
      </c>
    </row>
    <row r="155" spans="1:3" ht="15.75">
      <c r="A155" s="2547" t="s">
        <v>1659</v>
      </c>
      <c r="B155" s="2547" t="s">
        <v>30</v>
      </c>
      <c r="C155" s="2548">
        <v>255.43799999999999</v>
      </c>
    </row>
    <row r="156" spans="1:3" ht="15.75">
      <c r="A156" s="2547" t="s">
        <v>84</v>
      </c>
      <c r="B156" s="2547" t="s">
        <v>2500</v>
      </c>
      <c r="C156" s="2548">
        <v>1077.6130000000001</v>
      </c>
    </row>
    <row r="157" spans="1:3" ht="15.75">
      <c r="A157" s="2547" t="s">
        <v>2482</v>
      </c>
      <c r="B157" s="2547" t="s">
        <v>2193</v>
      </c>
      <c r="C157" s="2548">
        <v>905.16</v>
      </c>
    </row>
    <row r="158" spans="1:3" ht="15.75">
      <c r="A158" s="2547" t="s">
        <v>814</v>
      </c>
      <c r="B158" s="2547" t="s">
        <v>4581</v>
      </c>
      <c r="C158" s="2548">
        <v>470.52</v>
      </c>
    </row>
    <row r="159" spans="1:3" ht="15.75">
      <c r="A159" s="2547" t="s">
        <v>2483</v>
      </c>
      <c r="B159" s="2547" t="s">
        <v>2194</v>
      </c>
      <c r="C159" s="2548">
        <v>138.52699999999999</v>
      </c>
    </row>
    <row r="160" spans="1:3" ht="15.75">
      <c r="A160" s="2547" t="s">
        <v>1883</v>
      </c>
      <c r="B160" s="2547" t="s">
        <v>2195</v>
      </c>
      <c r="C160" s="2548">
        <v>100.71299999999999</v>
      </c>
    </row>
    <row r="161" spans="1:3" ht="15.75">
      <c r="A161" s="2547" t="s">
        <v>1884</v>
      </c>
      <c r="B161" s="2547" t="s">
        <v>2468</v>
      </c>
      <c r="C161" s="2548">
        <v>385.27</v>
      </c>
    </row>
    <row r="162" spans="1:3" ht="15.75">
      <c r="A162" s="2547" t="s">
        <v>899</v>
      </c>
      <c r="B162" s="2547" t="s">
        <v>1179</v>
      </c>
      <c r="C162" s="2548">
        <v>310.99</v>
      </c>
    </row>
    <row r="163" spans="1:3" ht="15.75">
      <c r="A163" s="2547" t="s">
        <v>900</v>
      </c>
      <c r="B163" s="2547" t="s">
        <v>2470</v>
      </c>
      <c r="C163" s="2548">
        <v>241.50700000000001</v>
      </c>
    </row>
    <row r="164" spans="1:3" ht="15.75">
      <c r="A164" s="2547" t="s">
        <v>922</v>
      </c>
      <c r="B164" s="2547" t="s">
        <v>2471</v>
      </c>
      <c r="C164" s="2548">
        <v>262.416</v>
      </c>
    </row>
    <row r="165" spans="1:3" ht="15.75">
      <c r="A165" s="2547" t="s">
        <v>630</v>
      </c>
      <c r="B165" s="2547" t="s">
        <v>1333</v>
      </c>
      <c r="C165" s="2548">
        <v>833.05600000000004</v>
      </c>
    </row>
    <row r="166" spans="1:3" ht="15.75">
      <c r="A166" s="2547" t="s">
        <v>2712</v>
      </c>
      <c r="B166" s="2547" t="s">
        <v>97</v>
      </c>
      <c r="C166" s="2548">
        <v>253.48099999999999</v>
      </c>
    </row>
    <row r="167" spans="1:3" ht="15.75">
      <c r="A167" s="2547" t="s">
        <v>923</v>
      </c>
      <c r="B167" s="2547" t="s">
        <v>1180</v>
      </c>
      <c r="C167" s="2548">
        <v>142.33099999999999</v>
      </c>
    </row>
    <row r="168" spans="1:3" ht="15.75">
      <c r="A168" s="2547" t="s">
        <v>638</v>
      </c>
      <c r="B168" s="2547" t="s">
        <v>2234</v>
      </c>
      <c r="C168" s="2548">
        <v>20063.120999999999</v>
      </c>
    </row>
    <row r="169" spans="1:3" ht="15.75">
      <c r="A169" s="2547" t="s">
        <v>1841</v>
      </c>
      <c r="B169" s="2547" t="s">
        <v>1206</v>
      </c>
      <c r="C169" s="2548">
        <v>2917.6149999999998</v>
      </c>
    </row>
    <row r="170" spans="1:3" ht="15.75">
      <c r="A170" s="2547" t="s">
        <v>2862</v>
      </c>
      <c r="B170" s="2547" t="s">
        <v>733</v>
      </c>
      <c r="C170" s="2548">
        <v>2239.4560000000001</v>
      </c>
    </row>
    <row r="171" spans="1:3" ht="15.75">
      <c r="A171" s="2547" t="s">
        <v>1900</v>
      </c>
      <c r="B171" s="2547" t="s">
        <v>129</v>
      </c>
      <c r="C171" s="2548">
        <v>1493.8150000000001</v>
      </c>
    </row>
    <row r="172" spans="1:3" ht="15.75">
      <c r="A172" s="2547" t="s">
        <v>1605</v>
      </c>
      <c r="B172" s="2547" t="s">
        <v>1667</v>
      </c>
      <c r="C172" s="2548">
        <v>51434.438000000002</v>
      </c>
    </row>
    <row r="173" spans="1:3" ht="15.75">
      <c r="A173" s="2547" t="s">
        <v>2895</v>
      </c>
      <c r="B173" s="2547" t="s">
        <v>928</v>
      </c>
      <c r="C173" s="2548">
        <v>23366.786</v>
      </c>
    </row>
    <row r="174" spans="1:3" ht="15.75">
      <c r="A174" s="2547" t="s">
        <v>724</v>
      </c>
      <c r="B174" s="2547" t="s">
        <v>2518</v>
      </c>
      <c r="C174" s="2548">
        <v>2247.9270000000001</v>
      </c>
    </row>
    <row r="175" spans="1:3" ht="15.75">
      <c r="A175" s="2547" t="s">
        <v>725</v>
      </c>
      <c r="B175" s="2547" t="s">
        <v>2519</v>
      </c>
      <c r="C175" s="2548">
        <v>51737.364000000001</v>
      </c>
    </row>
    <row r="176" spans="1:3" ht="15.75">
      <c r="A176" s="2547" t="s">
        <v>246</v>
      </c>
      <c r="B176" s="2547" t="s">
        <v>87</v>
      </c>
      <c r="C176" s="2548">
        <v>3615.6959999999999</v>
      </c>
    </row>
    <row r="177" spans="1:3" ht="15.75">
      <c r="A177" s="2547" t="s">
        <v>1780</v>
      </c>
      <c r="B177" s="2547" t="s">
        <v>89</v>
      </c>
      <c r="C177" s="2548">
        <v>8013.3109999999997</v>
      </c>
    </row>
    <row r="178" spans="1:3" ht="15.75">
      <c r="A178" s="2547" t="s">
        <v>1351</v>
      </c>
      <c r="B178" s="2547" t="s">
        <v>1293</v>
      </c>
      <c r="C178" s="2548">
        <v>13976.513000000001</v>
      </c>
    </row>
    <row r="179" spans="1:3" ht="15.75">
      <c r="A179" s="2547" t="s">
        <v>990</v>
      </c>
      <c r="B179" s="2547" t="s">
        <v>1521</v>
      </c>
      <c r="C179" s="2548">
        <v>658.66200000000003</v>
      </c>
    </row>
    <row r="180" spans="1:3" ht="15.75">
      <c r="A180" s="2547" t="s">
        <v>1619</v>
      </c>
      <c r="B180" s="2547" t="s">
        <v>1744</v>
      </c>
      <c r="C180" s="2548">
        <v>1822.634</v>
      </c>
    </row>
    <row r="181" spans="1:3" ht="15.75">
      <c r="A181" s="2547" t="s">
        <v>281</v>
      </c>
      <c r="B181" s="2547" t="s">
        <v>2520</v>
      </c>
      <c r="C181" s="2548">
        <v>3800.1149999999998</v>
      </c>
    </row>
    <row r="182" spans="1:3" ht="15.75">
      <c r="A182" s="2547" t="s">
        <v>282</v>
      </c>
      <c r="B182" s="2547" t="s">
        <v>2521</v>
      </c>
      <c r="C182" s="2548">
        <v>551.26099999999997</v>
      </c>
    </row>
    <row r="183" spans="1:3" ht="15.75">
      <c r="A183" s="2547" t="s">
        <v>1617</v>
      </c>
      <c r="B183" s="2547" t="s">
        <v>1742</v>
      </c>
      <c r="C183" s="2548">
        <v>1488.69</v>
      </c>
    </row>
    <row r="184" spans="1:3" ht="15.75">
      <c r="A184" s="2547" t="s">
        <v>643</v>
      </c>
      <c r="B184" s="2547" t="s">
        <v>1181</v>
      </c>
      <c r="C184" s="2548">
        <v>1224.299</v>
      </c>
    </row>
    <row r="185" spans="1:3" ht="15.75">
      <c r="A185" s="2547" t="s">
        <v>34</v>
      </c>
      <c r="B185" s="2547" t="s">
        <v>2524</v>
      </c>
      <c r="C185" s="2548">
        <v>589.07000000000005</v>
      </c>
    </row>
    <row r="186" spans="1:3" ht="15.75">
      <c r="A186" s="2547" t="s">
        <v>35</v>
      </c>
      <c r="B186" s="2547" t="s">
        <v>2525</v>
      </c>
      <c r="C186" s="2548">
        <v>7926.5649999999996</v>
      </c>
    </row>
    <row r="187" spans="1:3" ht="15.75">
      <c r="A187" s="2547" t="s">
        <v>1437</v>
      </c>
      <c r="B187" s="2547" t="s">
        <v>2526</v>
      </c>
      <c r="C187" s="2548">
        <v>20105.659</v>
      </c>
    </row>
    <row r="188" spans="1:3" ht="15.75">
      <c r="A188" s="2547" t="s">
        <v>2644</v>
      </c>
      <c r="B188" s="2547" t="s">
        <v>2527</v>
      </c>
      <c r="C188" s="2548">
        <v>1190.3209999999999</v>
      </c>
    </row>
    <row r="189" spans="1:3" ht="15.75">
      <c r="A189" s="2547" t="s">
        <v>2763</v>
      </c>
      <c r="B189" s="2547" t="s">
        <v>3062</v>
      </c>
      <c r="C189" s="2548">
        <v>631.66700000000003</v>
      </c>
    </row>
    <row r="190" spans="1:3" ht="15.75">
      <c r="A190" s="2547" t="s">
        <v>2672</v>
      </c>
      <c r="B190" s="2547" t="s">
        <v>1949</v>
      </c>
      <c r="C190" s="2548">
        <v>170.68799999999999</v>
      </c>
    </row>
    <row r="191" spans="1:3" ht="15.75">
      <c r="A191" s="2547" t="s">
        <v>2645</v>
      </c>
      <c r="B191" s="2547" t="s">
        <v>2528</v>
      </c>
      <c r="C191" s="2548">
        <v>130.953</v>
      </c>
    </row>
    <row r="192" spans="1:3" ht="15.75">
      <c r="A192" s="2547" t="s">
        <v>2646</v>
      </c>
      <c r="B192" s="2547" t="s">
        <v>1182</v>
      </c>
      <c r="C192" s="2548">
        <v>234.04499999999999</v>
      </c>
    </row>
    <row r="193" spans="1:3" ht="15.75">
      <c r="A193" s="2547" t="s">
        <v>331</v>
      </c>
      <c r="B193" s="2547" t="s">
        <v>2530</v>
      </c>
      <c r="C193" s="2548">
        <v>230.23599999999999</v>
      </c>
    </row>
    <row r="194" spans="1:3" ht="15.75">
      <c r="A194" s="2547" t="s">
        <v>1607</v>
      </c>
      <c r="B194" s="2547" t="s">
        <v>1669</v>
      </c>
      <c r="C194" s="2548">
        <v>2681.364</v>
      </c>
    </row>
    <row r="195" spans="1:3" ht="15.75">
      <c r="A195" s="2547" t="s">
        <v>332</v>
      </c>
      <c r="B195" s="2547" t="s">
        <v>2531</v>
      </c>
      <c r="C195" s="2548">
        <v>453.26499999999999</v>
      </c>
    </row>
    <row r="196" spans="1:3" ht="15.75">
      <c r="A196" s="2547" t="s">
        <v>2863</v>
      </c>
      <c r="B196" s="2547" t="s">
        <v>2705</v>
      </c>
      <c r="C196" s="2548">
        <v>708.50199999999995</v>
      </c>
    </row>
    <row r="197" spans="1:3" ht="15.75">
      <c r="A197" s="2547" t="s">
        <v>333</v>
      </c>
      <c r="B197" s="2547" t="s">
        <v>2532</v>
      </c>
      <c r="C197" s="2548">
        <v>1062.384</v>
      </c>
    </row>
    <row r="198" spans="1:3" ht="15.75">
      <c r="A198" s="2547" t="s">
        <v>334</v>
      </c>
      <c r="B198" s="2547" t="s">
        <v>2533</v>
      </c>
      <c r="C198" s="2548">
        <v>463.21899999999999</v>
      </c>
    </row>
    <row r="199" spans="1:3" ht="15.75">
      <c r="A199" s="2547" t="s">
        <v>335</v>
      </c>
      <c r="B199" s="2547" t="s">
        <v>2534</v>
      </c>
      <c r="C199" s="2548">
        <v>480.56599999999997</v>
      </c>
    </row>
    <row r="200" spans="1:3" ht="15.75">
      <c r="A200" s="2547" t="s">
        <v>1962</v>
      </c>
      <c r="B200" s="2547" t="s">
        <v>2535</v>
      </c>
      <c r="C200" s="2548">
        <v>76.414000000000001</v>
      </c>
    </row>
    <row r="201" spans="1:3" ht="15.75">
      <c r="A201" s="2547" t="s">
        <v>1963</v>
      </c>
      <c r="B201" s="2547" t="s">
        <v>2536</v>
      </c>
      <c r="C201" s="2548">
        <v>63.231000000000002</v>
      </c>
    </row>
    <row r="202" spans="1:3" ht="15.75">
      <c r="A202" s="2547" t="s">
        <v>1492</v>
      </c>
      <c r="B202" s="2547" t="s">
        <v>2537</v>
      </c>
      <c r="C202" s="2548">
        <v>219.22800000000001</v>
      </c>
    </row>
    <row r="203" spans="1:3" ht="15.75">
      <c r="A203" s="2547" t="s">
        <v>1267</v>
      </c>
      <c r="B203" s="2547" t="s">
        <v>2538</v>
      </c>
      <c r="C203" s="2548">
        <v>2678.8290000000002</v>
      </c>
    </row>
    <row r="204" spans="1:3" ht="15.75">
      <c r="A204" s="2547" t="s">
        <v>2462</v>
      </c>
      <c r="B204" s="2547" t="s">
        <v>290</v>
      </c>
      <c r="C204" s="2548">
        <v>154.358</v>
      </c>
    </row>
    <row r="205" spans="1:3" ht="15.75">
      <c r="A205" s="2547" t="s">
        <v>1268</v>
      </c>
      <c r="B205" s="2547" t="s">
        <v>2539</v>
      </c>
      <c r="C205" s="2548">
        <v>191.06899999999999</v>
      </c>
    </row>
    <row r="206" spans="1:3" ht="15.75">
      <c r="A206" s="2547" t="s">
        <v>2752</v>
      </c>
      <c r="B206" s="2547" t="s">
        <v>2951</v>
      </c>
      <c r="C206" s="2548">
        <v>7302.54</v>
      </c>
    </row>
    <row r="207" spans="1:3" ht="15.75">
      <c r="A207" s="2547" t="s">
        <v>1269</v>
      </c>
      <c r="B207" s="2547" t="s">
        <v>2540</v>
      </c>
      <c r="C207" s="2548">
        <v>188.20500000000001</v>
      </c>
    </row>
    <row r="208" spans="1:3" ht="15.75">
      <c r="A208" s="2547" t="s">
        <v>779</v>
      </c>
      <c r="B208" s="2547" t="s">
        <v>2541</v>
      </c>
      <c r="C208" s="2548">
        <v>1036.8</v>
      </c>
    </row>
    <row r="209" spans="1:3" ht="15.75">
      <c r="A209" s="2547" t="s">
        <v>780</v>
      </c>
      <c r="B209" s="2547" t="s">
        <v>4582</v>
      </c>
      <c r="C209" s="2548">
        <v>746.38900000000001</v>
      </c>
    </row>
    <row r="210" spans="1:3" ht="15.75">
      <c r="A210" s="2547" t="s">
        <v>781</v>
      </c>
      <c r="B210" s="2547" t="s">
        <v>1184</v>
      </c>
      <c r="C210" s="2548">
        <v>348.14499999999998</v>
      </c>
    </row>
    <row r="211" spans="1:3" ht="15.75">
      <c r="A211" s="2547" t="s">
        <v>782</v>
      </c>
      <c r="B211" s="2547" t="s">
        <v>739</v>
      </c>
      <c r="C211" s="2548">
        <v>270.02699999999999</v>
      </c>
    </row>
    <row r="212" spans="1:3" ht="15.75">
      <c r="A212" s="2547" t="s">
        <v>428</v>
      </c>
      <c r="B212" s="2547" t="s">
        <v>740</v>
      </c>
      <c r="C212" s="2548">
        <v>503.03300000000002</v>
      </c>
    </row>
    <row r="213" spans="1:3" ht="15.75">
      <c r="A213" s="2547" t="s">
        <v>2928</v>
      </c>
      <c r="B213" s="2547" t="s">
        <v>143</v>
      </c>
      <c r="C213" s="2548">
        <v>391.32100000000003</v>
      </c>
    </row>
    <row r="214" spans="1:3" ht="15.75">
      <c r="A214" s="2547" t="s">
        <v>2929</v>
      </c>
      <c r="B214" s="2547" t="s">
        <v>144</v>
      </c>
      <c r="C214" s="2548">
        <v>1619.6</v>
      </c>
    </row>
    <row r="215" spans="1:3" ht="15.75">
      <c r="A215" s="2547" t="s">
        <v>2930</v>
      </c>
      <c r="B215" s="2547" t="s">
        <v>145</v>
      </c>
      <c r="C215" s="2548">
        <v>158.52799999999999</v>
      </c>
    </row>
    <row r="216" spans="1:3" ht="15.75">
      <c r="A216" s="2547" t="s">
        <v>1843</v>
      </c>
      <c r="B216" s="2547" t="s">
        <v>146</v>
      </c>
      <c r="C216" s="2548">
        <v>24066.975999999999</v>
      </c>
    </row>
    <row r="217" spans="1:3" ht="15.75">
      <c r="A217" s="2547" t="s">
        <v>421</v>
      </c>
      <c r="B217" s="2547" t="s">
        <v>147</v>
      </c>
      <c r="C217" s="2548">
        <v>7574.2749999999996</v>
      </c>
    </row>
    <row r="218" spans="1:3" ht="15.75">
      <c r="A218" s="2547" t="s">
        <v>422</v>
      </c>
      <c r="B218" s="2547" t="s">
        <v>148</v>
      </c>
      <c r="C218" s="2548">
        <v>145694.16099999999</v>
      </c>
    </row>
    <row r="219" spans="1:3" ht="15.75">
      <c r="A219" s="2547" t="s">
        <v>423</v>
      </c>
      <c r="B219" s="2547" t="s">
        <v>149</v>
      </c>
      <c r="C219" s="2548">
        <v>9116.2990000000009</v>
      </c>
    </row>
    <row r="220" spans="1:3" ht="15.75">
      <c r="A220" s="2547" t="s">
        <v>424</v>
      </c>
      <c r="B220" s="2547" t="s">
        <v>150</v>
      </c>
      <c r="C220" s="2548">
        <v>11981.641</v>
      </c>
    </row>
    <row r="221" spans="1:3" ht="15.75">
      <c r="A221" s="2547" t="s">
        <v>2973</v>
      </c>
      <c r="B221" s="2547" t="s">
        <v>1672</v>
      </c>
      <c r="C221" s="2548">
        <v>54001.074999999997</v>
      </c>
    </row>
    <row r="222" spans="1:3" ht="15.75">
      <c r="A222" s="2547" t="s">
        <v>741</v>
      </c>
      <c r="B222" s="2547" t="s">
        <v>975</v>
      </c>
      <c r="C222" s="2548">
        <v>27097.486000000001</v>
      </c>
    </row>
    <row r="223" spans="1:3" ht="15.75">
      <c r="A223" s="2547" t="s">
        <v>579</v>
      </c>
      <c r="B223" s="2547" t="s">
        <v>151</v>
      </c>
      <c r="C223" s="2548">
        <v>6824.759</v>
      </c>
    </row>
    <row r="224" spans="1:3" ht="15.75">
      <c r="A224" s="2547" t="s">
        <v>48</v>
      </c>
      <c r="B224" s="2547" t="s">
        <v>1441</v>
      </c>
      <c r="C224" s="2548">
        <v>32395.126</v>
      </c>
    </row>
    <row r="225" spans="1:3" ht="15.75">
      <c r="A225" s="2547" t="s">
        <v>2028</v>
      </c>
      <c r="B225" s="2547" t="s">
        <v>152</v>
      </c>
      <c r="C225" s="2548">
        <v>6698.183</v>
      </c>
    </row>
    <row r="226" spans="1:3" ht="15.75">
      <c r="A226" s="2547" t="s">
        <v>2898</v>
      </c>
      <c r="B226" s="2547" t="s">
        <v>2554</v>
      </c>
      <c r="C226" s="2548">
        <v>38741.512000000002</v>
      </c>
    </row>
    <row r="227" spans="1:3" ht="15.75">
      <c r="A227" s="2547" t="s">
        <v>2029</v>
      </c>
      <c r="B227" s="2547" t="s">
        <v>3006</v>
      </c>
      <c r="C227" s="2548">
        <v>36182.394999999997</v>
      </c>
    </row>
    <row r="228" spans="1:3" ht="15.75">
      <c r="A228" s="2547" t="s">
        <v>3087</v>
      </c>
      <c r="B228" s="2547" t="s">
        <v>3007</v>
      </c>
      <c r="C228" s="2548">
        <v>1581.0319999999999</v>
      </c>
    </row>
    <row r="229" spans="1:3" ht="15.75">
      <c r="A229" s="2547" t="s">
        <v>277</v>
      </c>
      <c r="B229" s="2547" t="s">
        <v>3008</v>
      </c>
      <c r="C229" s="2548">
        <v>11470.123</v>
      </c>
    </row>
    <row r="230" spans="1:3" ht="15.75">
      <c r="A230" s="2547" t="s">
        <v>278</v>
      </c>
      <c r="B230" s="2547" t="s">
        <v>3060</v>
      </c>
      <c r="C230" s="2548">
        <v>162.82499999999999</v>
      </c>
    </row>
    <row r="231" spans="1:3" ht="15.75">
      <c r="A231" s="2547" t="s">
        <v>279</v>
      </c>
      <c r="B231" s="2547" t="s">
        <v>3009</v>
      </c>
      <c r="C231" s="2548">
        <v>244.53700000000001</v>
      </c>
    </row>
    <row r="232" spans="1:3" ht="15.75">
      <c r="A232" s="2547" t="s">
        <v>280</v>
      </c>
      <c r="B232" s="2547" t="s">
        <v>3010</v>
      </c>
      <c r="C232" s="2548">
        <v>1821.537</v>
      </c>
    </row>
    <row r="233" spans="1:3" ht="15.75">
      <c r="A233" s="2547" t="s">
        <v>408</v>
      </c>
      <c r="B233" s="2547" t="s">
        <v>3011</v>
      </c>
      <c r="C233" s="2548">
        <v>237.38200000000001</v>
      </c>
    </row>
    <row r="234" spans="1:3" ht="15.75">
      <c r="A234" s="2547" t="s">
        <v>2130</v>
      </c>
      <c r="B234" s="2547" t="s">
        <v>2723</v>
      </c>
      <c r="C234" s="2548">
        <v>3911.877</v>
      </c>
    </row>
    <row r="235" spans="1:3" ht="15.75">
      <c r="A235" s="2547" t="s">
        <v>1220</v>
      </c>
      <c r="B235" s="2547" t="s">
        <v>3012</v>
      </c>
      <c r="C235" s="2548">
        <v>122.217</v>
      </c>
    </row>
    <row r="236" spans="1:3" ht="15.75">
      <c r="A236" s="2547" t="s">
        <v>1221</v>
      </c>
      <c r="B236" s="2547" t="s">
        <v>3013</v>
      </c>
      <c r="C236" s="2548">
        <v>749.51400000000001</v>
      </c>
    </row>
    <row r="237" spans="1:3" ht="15.75">
      <c r="A237" s="2547" t="s">
        <v>711</v>
      </c>
      <c r="B237" s="2547" t="s">
        <v>128</v>
      </c>
      <c r="C237" s="2548">
        <v>156.32599999999999</v>
      </c>
    </row>
    <row r="238" spans="1:3" ht="15.75">
      <c r="A238" s="2547" t="s">
        <v>1222</v>
      </c>
      <c r="B238" s="2547" t="s">
        <v>3014</v>
      </c>
      <c r="C238" s="2548">
        <v>25766.422999999999</v>
      </c>
    </row>
    <row r="239" spans="1:3" ht="15.75">
      <c r="A239" s="2547" t="s">
        <v>1989</v>
      </c>
      <c r="B239" s="2547" t="s">
        <v>2825</v>
      </c>
      <c r="C239" s="2548">
        <v>50489.735000000001</v>
      </c>
    </row>
    <row r="240" spans="1:3" ht="15.75">
      <c r="A240" s="2547" t="s">
        <v>240</v>
      </c>
      <c r="B240" s="2547" t="s">
        <v>1127</v>
      </c>
      <c r="C240" s="2548">
        <v>1306.123</v>
      </c>
    </row>
    <row r="241" spans="1:3" ht="15.75">
      <c r="A241" s="2547" t="s">
        <v>815</v>
      </c>
      <c r="B241" s="2547" t="s">
        <v>1905</v>
      </c>
      <c r="C241" s="2548">
        <v>1956.943</v>
      </c>
    </row>
    <row r="242" spans="1:3" ht="15.75">
      <c r="A242" s="2547" t="s">
        <v>242</v>
      </c>
      <c r="B242" s="2547" t="s">
        <v>1129</v>
      </c>
      <c r="C242" s="2548">
        <v>1209.8130000000001</v>
      </c>
    </row>
    <row r="243" spans="1:3" ht="15.75">
      <c r="A243" s="2547" t="s">
        <v>1893</v>
      </c>
      <c r="B243" s="2547" t="s">
        <v>2426</v>
      </c>
      <c r="C243" s="2548">
        <v>2166.2530000000002</v>
      </c>
    </row>
    <row r="244" spans="1:3" ht="15.75">
      <c r="A244" s="2547" t="s">
        <v>532</v>
      </c>
      <c r="B244" s="2547" t="s">
        <v>2353</v>
      </c>
      <c r="C244" s="2548">
        <v>2527.194</v>
      </c>
    </row>
    <row r="245" spans="1:3" ht="15.75">
      <c r="A245" s="2547" t="s">
        <v>2099</v>
      </c>
      <c r="B245" s="2547" t="s">
        <v>3015</v>
      </c>
      <c r="C245" s="2548">
        <v>2136.902</v>
      </c>
    </row>
    <row r="246" spans="1:3" ht="15.75">
      <c r="A246" s="2547" t="s">
        <v>1590</v>
      </c>
      <c r="B246" s="2547" t="s">
        <v>1425</v>
      </c>
      <c r="C246" s="2548">
        <v>19954.298999999999</v>
      </c>
    </row>
    <row r="247" spans="1:3" ht="15.75">
      <c r="A247" s="2547" t="s">
        <v>68</v>
      </c>
      <c r="B247" s="2547" t="s">
        <v>2623</v>
      </c>
      <c r="C247" s="2548">
        <v>3767.8850000000002</v>
      </c>
    </row>
    <row r="248" spans="1:3" ht="15.75">
      <c r="A248" s="2547" t="s">
        <v>712</v>
      </c>
      <c r="B248" s="2547" t="s">
        <v>1764</v>
      </c>
      <c r="C248" s="2548">
        <v>6729.2839999999997</v>
      </c>
    </row>
    <row r="249" spans="1:3" ht="15.75">
      <c r="A249" s="2547" t="s">
        <v>2864</v>
      </c>
      <c r="B249" s="2547" t="s">
        <v>461</v>
      </c>
      <c r="C249" s="2548">
        <v>1978.498</v>
      </c>
    </row>
    <row r="250" spans="1:3" ht="15.75">
      <c r="A250" s="2547" t="s">
        <v>2100</v>
      </c>
      <c r="B250" s="2547" t="s">
        <v>3016</v>
      </c>
      <c r="C250" s="2548">
        <v>144.14099999999999</v>
      </c>
    </row>
    <row r="251" spans="1:3" ht="15.75">
      <c r="A251" s="2547" t="s">
        <v>1352</v>
      </c>
      <c r="B251" s="2547" t="s">
        <v>2511</v>
      </c>
      <c r="C251" s="2548">
        <v>1511.607</v>
      </c>
    </row>
    <row r="252" spans="1:3" ht="15.75">
      <c r="A252" s="2547" t="s">
        <v>2101</v>
      </c>
      <c r="B252" s="2547" t="s">
        <v>3017</v>
      </c>
      <c r="C252" s="2548">
        <v>483.97800000000001</v>
      </c>
    </row>
    <row r="253" spans="1:3" ht="15.75">
      <c r="A253" s="2547" t="s">
        <v>796</v>
      </c>
      <c r="B253" s="2547" t="s">
        <v>3018</v>
      </c>
      <c r="C253" s="2548">
        <v>60.314999999999998</v>
      </c>
    </row>
    <row r="254" spans="1:3" ht="15.75">
      <c r="A254" s="2547" t="s">
        <v>330</v>
      </c>
      <c r="B254" s="2547" t="s">
        <v>3019</v>
      </c>
      <c r="C254" s="2548">
        <v>96.021000000000001</v>
      </c>
    </row>
    <row r="255" spans="1:3" ht="15.75">
      <c r="A255" s="2547" t="s">
        <v>203</v>
      </c>
      <c r="B255" s="2547" t="s">
        <v>3020</v>
      </c>
      <c r="C255" s="2548">
        <v>253.45099999999999</v>
      </c>
    </row>
    <row r="256" spans="1:3" ht="15.75">
      <c r="A256" s="2547" t="s">
        <v>204</v>
      </c>
      <c r="B256" s="2547" t="s">
        <v>3021</v>
      </c>
      <c r="C256" s="2548">
        <v>103.386</v>
      </c>
    </row>
    <row r="257" spans="1:3" ht="15.75">
      <c r="A257" s="2547" t="s">
        <v>816</v>
      </c>
      <c r="B257" s="2547" t="s">
        <v>37</v>
      </c>
      <c r="C257" s="2548">
        <v>2132.0700000000002</v>
      </c>
    </row>
    <row r="258" spans="1:3" ht="15.75">
      <c r="A258" s="2547" t="s">
        <v>3025</v>
      </c>
      <c r="B258" s="2547" t="s">
        <v>2235</v>
      </c>
      <c r="C258" s="2548">
        <v>445.02800000000002</v>
      </c>
    </row>
    <row r="259" spans="1:3" ht="15.75">
      <c r="A259" s="2547" t="s">
        <v>1753</v>
      </c>
      <c r="B259" s="2547" t="s">
        <v>2721</v>
      </c>
      <c r="C259" s="2548">
        <v>119.851</v>
      </c>
    </row>
    <row r="260" spans="1:3" ht="15.75">
      <c r="A260" s="2547" t="s">
        <v>3026</v>
      </c>
      <c r="B260" s="2547" t="s">
        <v>2236</v>
      </c>
      <c r="C260" s="2548">
        <v>29.724</v>
      </c>
    </row>
    <row r="261" spans="1:3" ht="15.75">
      <c r="A261" s="2547" t="s">
        <v>3027</v>
      </c>
      <c r="B261" s="2547" t="s">
        <v>2237</v>
      </c>
      <c r="C261" s="2548">
        <v>329.56700000000001</v>
      </c>
    </row>
    <row r="262" spans="1:3" ht="15.75">
      <c r="A262" s="2547" t="s">
        <v>817</v>
      </c>
      <c r="B262" s="2547" t="s">
        <v>2310</v>
      </c>
      <c r="C262" s="2548">
        <v>1244.239</v>
      </c>
    </row>
    <row r="263" spans="1:3" ht="15.75">
      <c r="A263" s="2547" t="s">
        <v>776</v>
      </c>
      <c r="B263" s="2547" t="s">
        <v>2238</v>
      </c>
      <c r="C263" s="2548">
        <v>729.28200000000004</v>
      </c>
    </row>
    <row r="264" spans="1:3" ht="15.75">
      <c r="A264" s="2547" t="s">
        <v>2463</v>
      </c>
      <c r="B264" s="2547" t="s">
        <v>2465</v>
      </c>
      <c r="C264" s="2548">
        <v>832.53800000000001</v>
      </c>
    </row>
    <row r="265" spans="1:3" ht="15.75">
      <c r="A265" s="2547" t="s">
        <v>2620</v>
      </c>
      <c r="B265" s="2547" t="s">
        <v>2239</v>
      </c>
      <c r="C265" s="2548">
        <v>1025.056</v>
      </c>
    </row>
    <row r="266" spans="1:3" ht="15.75">
      <c r="A266" s="2547" t="s">
        <v>2007</v>
      </c>
      <c r="B266" s="2547" t="s">
        <v>2240</v>
      </c>
      <c r="C266" s="2548">
        <v>296.57799999999997</v>
      </c>
    </row>
    <row r="267" spans="1:3" ht="15.75">
      <c r="A267" s="2547" t="s">
        <v>672</v>
      </c>
      <c r="B267" s="2547" t="s">
        <v>2241</v>
      </c>
      <c r="C267" s="2548">
        <v>379.30900000000003</v>
      </c>
    </row>
    <row r="268" spans="1:3" ht="15.75">
      <c r="A268" s="2547" t="s">
        <v>1034</v>
      </c>
      <c r="B268" s="2547" t="s">
        <v>2242</v>
      </c>
      <c r="C268" s="2548">
        <v>147.40600000000001</v>
      </c>
    </row>
    <row r="269" spans="1:3" ht="15.75">
      <c r="A269" s="2547" t="s">
        <v>2442</v>
      </c>
      <c r="B269" s="2547" t="s">
        <v>2243</v>
      </c>
      <c r="C269" s="2548">
        <v>29034.858</v>
      </c>
    </row>
    <row r="270" spans="1:3" ht="15.75">
      <c r="A270" s="2547" t="s">
        <v>2976</v>
      </c>
      <c r="B270" s="2547" t="s">
        <v>2244</v>
      </c>
      <c r="C270" s="2548">
        <v>245.94399999999999</v>
      </c>
    </row>
    <row r="271" spans="1:3" ht="15.75">
      <c r="A271" s="2547" t="s">
        <v>2745</v>
      </c>
      <c r="B271" s="2547" t="s">
        <v>2245</v>
      </c>
      <c r="C271" s="2548">
        <v>273.25299999999999</v>
      </c>
    </row>
    <row r="272" spans="1:3" ht="15.75">
      <c r="A272" s="2547" t="s">
        <v>274</v>
      </c>
      <c r="B272" s="2547" t="s">
        <v>2427</v>
      </c>
      <c r="C272" s="2548">
        <v>335.83600000000001</v>
      </c>
    </row>
    <row r="273" spans="1:3" ht="15.75">
      <c r="A273" s="2547" t="s">
        <v>1585</v>
      </c>
      <c r="B273" s="2547" t="s">
        <v>2246</v>
      </c>
      <c r="C273" s="2548">
        <v>5363.0169999999998</v>
      </c>
    </row>
    <row r="274" spans="1:3" ht="15.75">
      <c r="A274" s="2547" t="s">
        <v>1586</v>
      </c>
      <c r="B274" s="2547" t="s">
        <v>2247</v>
      </c>
      <c r="C274" s="2548">
        <v>2319.5189999999998</v>
      </c>
    </row>
    <row r="275" spans="1:3" ht="15.75">
      <c r="A275" s="2547" t="s">
        <v>818</v>
      </c>
      <c r="B275" s="2547" t="s">
        <v>1442</v>
      </c>
      <c r="C275" s="2548">
        <v>521.49900000000002</v>
      </c>
    </row>
    <row r="276" spans="1:3" ht="15.75">
      <c r="A276" s="2547" t="s">
        <v>1581</v>
      </c>
      <c r="B276" s="2547" t="s">
        <v>2248</v>
      </c>
      <c r="C276" s="2548">
        <v>7779.7780000000002</v>
      </c>
    </row>
    <row r="277" spans="1:3" ht="15.75">
      <c r="A277" s="2547" t="s">
        <v>1049</v>
      </c>
      <c r="B277" s="2547" t="s">
        <v>2249</v>
      </c>
      <c r="C277" s="2548">
        <v>237.97</v>
      </c>
    </row>
    <row r="278" spans="1:3" ht="15.75">
      <c r="A278" s="2547" t="s">
        <v>275</v>
      </c>
      <c r="B278" s="2547" t="s">
        <v>1539</v>
      </c>
      <c r="C278" s="2548">
        <v>1095.6990000000001</v>
      </c>
    </row>
    <row r="279" spans="1:3" ht="15.75">
      <c r="A279" s="2547" t="s">
        <v>2382</v>
      </c>
      <c r="B279" s="2547" t="s">
        <v>92</v>
      </c>
      <c r="C279" s="2548">
        <v>5549.5780000000004</v>
      </c>
    </row>
    <row r="280" spans="1:3" ht="15.75">
      <c r="A280" s="2547" t="s">
        <v>375</v>
      </c>
      <c r="B280" s="2547" t="s">
        <v>160</v>
      </c>
      <c r="C280" s="2548">
        <v>7720.5379999999996</v>
      </c>
    </row>
    <row r="281" spans="1:3" ht="15.75">
      <c r="A281" s="2547" t="s">
        <v>819</v>
      </c>
      <c r="B281" s="2547" t="s">
        <v>2269</v>
      </c>
      <c r="C281" s="2548">
        <v>1020.182</v>
      </c>
    </row>
    <row r="282" spans="1:3" ht="15.75">
      <c r="A282" s="2547" t="s">
        <v>629</v>
      </c>
      <c r="B282" s="2547" t="s">
        <v>1331</v>
      </c>
      <c r="C282" s="2548">
        <v>10797.264999999999</v>
      </c>
    </row>
    <row r="283" spans="1:3" ht="15.75">
      <c r="A283" s="2547" t="s">
        <v>2767</v>
      </c>
      <c r="B283" s="2547" t="s">
        <v>2250</v>
      </c>
      <c r="C283" s="2548">
        <v>55438.608999999997</v>
      </c>
    </row>
    <row r="284" spans="1:3" ht="15.75">
      <c r="A284" s="2547" t="s">
        <v>878</v>
      </c>
      <c r="B284" s="2547" t="s">
        <v>1004</v>
      </c>
      <c r="C284" s="2548">
        <v>2248.5149999999999</v>
      </c>
    </row>
    <row r="285" spans="1:3" ht="15.75">
      <c r="A285" s="2547" t="s">
        <v>212</v>
      </c>
      <c r="B285" s="2547" t="s">
        <v>2311</v>
      </c>
      <c r="C285" s="2548">
        <v>3621.4560000000001</v>
      </c>
    </row>
    <row r="286" spans="1:3" ht="15.75">
      <c r="A286" s="2547" t="s">
        <v>1353</v>
      </c>
      <c r="B286" s="2547" t="s">
        <v>861</v>
      </c>
      <c r="C286" s="2548">
        <v>39223.517</v>
      </c>
    </row>
    <row r="287" spans="1:3" ht="15.75">
      <c r="A287" s="2547" t="s">
        <v>2401</v>
      </c>
      <c r="B287" s="2547" t="s">
        <v>153</v>
      </c>
      <c r="C287" s="2548">
        <v>773.50800000000004</v>
      </c>
    </row>
    <row r="288" spans="1:3" ht="15.75">
      <c r="A288" s="2547" t="s">
        <v>2157</v>
      </c>
      <c r="B288" s="2547" t="s">
        <v>728</v>
      </c>
      <c r="C288" s="2548">
        <v>5555.3869999999997</v>
      </c>
    </row>
    <row r="289" spans="1:3" ht="15.75">
      <c r="A289" s="2547" t="s">
        <v>1710</v>
      </c>
      <c r="B289" s="2547" t="s">
        <v>661</v>
      </c>
      <c r="C289" s="2548">
        <v>1115.0219999999999</v>
      </c>
    </row>
    <row r="290" spans="1:3" ht="15.75">
      <c r="A290" s="2547" t="s">
        <v>1315</v>
      </c>
      <c r="B290" s="2547" t="s">
        <v>2204</v>
      </c>
      <c r="C290" s="2548">
        <v>42486.69</v>
      </c>
    </row>
    <row r="291" spans="1:3" ht="15.75">
      <c r="A291" s="2547" t="s">
        <v>2768</v>
      </c>
      <c r="B291" s="2547" t="s">
        <v>2251</v>
      </c>
      <c r="C291" s="2548">
        <v>85.385000000000005</v>
      </c>
    </row>
    <row r="292" spans="1:3" ht="15.75">
      <c r="A292" s="2547" t="s">
        <v>2769</v>
      </c>
      <c r="B292" s="2547" t="s">
        <v>2252</v>
      </c>
      <c r="C292" s="2548">
        <v>1097.509</v>
      </c>
    </row>
    <row r="293" spans="1:3" ht="15.75">
      <c r="A293" s="2547" t="s">
        <v>1704</v>
      </c>
      <c r="B293" s="2547" t="s">
        <v>2409</v>
      </c>
      <c r="C293" s="2548">
        <v>3451.2919999999999</v>
      </c>
    </row>
    <row r="294" spans="1:3" ht="15.75">
      <c r="A294" s="2547" t="s">
        <v>2091</v>
      </c>
      <c r="B294" s="2547" t="s">
        <v>2253</v>
      </c>
      <c r="C294" s="2548">
        <v>96.376000000000005</v>
      </c>
    </row>
    <row r="295" spans="1:3" ht="15.75">
      <c r="A295" s="2547" t="s">
        <v>2092</v>
      </c>
      <c r="B295" s="2547" t="s">
        <v>2254</v>
      </c>
      <c r="C295" s="2548">
        <v>199.392</v>
      </c>
    </row>
    <row r="296" spans="1:3" ht="15.75">
      <c r="A296" s="2547" t="s">
        <v>1400</v>
      </c>
      <c r="B296" s="2547" t="s">
        <v>2827</v>
      </c>
      <c r="C296" s="2548">
        <v>237.029</v>
      </c>
    </row>
    <row r="297" spans="1:3" ht="15.75">
      <c r="A297" s="2547" t="s">
        <v>2093</v>
      </c>
      <c r="B297" s="2547" t="s">
        <v>2255</v>
      </c>
      <c r="C297" s="2548">
        <v>118.393</v>
      </c>
    </row>
    <row r="298" spans="1:3" ht="15.75">
      <c r="A298" s="2547" t="s">
        <v>229</v>
      </c>
      <c r="B298" s="2547" t="s">
        <v>1185</v>
      </c>
      <c r="C298" s="2548">
        <v>458.50799999999998</v>
      </c>
    </row>
    <row r="299" spans="1:3" ht="15.75">
      <c r="A299" s="2547" t="s">
        <v>2095</v>
      </c>
      <c r="B299" s="2547" t="s">
        <v>2357</v>
      </c>
      <c r="C299" s="2548">
        <v>763.96799999999996</v>
      </c>
    </row>
    <row r="300" spans="1:3" ht="15.75">
      <c r="A300" s="2547" t="s">
        <v>2103</v>
      </c>
      <c r="B300" s="2547" t="s">
        <v>1508</v>
      </c>
      <c r="C300" s="2548">
        <v>152.233</v>
      </c>
    </row>
    <row r="301" spans="1:3" ht="15.75">
      <c r="A301" s="2547" t="s">
        <v>230</v>
      </c>
      <c r="B301" s="2547" t="s">
        <v>2257</v>
      </c>
      <c r="C301" s="2548">
        <v>595.49599999999998</v>
      </c>
    </row>
    <row r="302" spans="1:3" ht="15.75">
      <c r="A302" s="2547" t="s">
        <v>231</v>
      </c>
      <c r="B302" s="2547" t="s">
        <v>1</v>
      </c>
      <c r="C302" s="2548">
        <v>1698.01</v>
      </c>
    </row>
    <row r="303" spans="1:3" ht="15.75">
      <c r="A303" s="2547" t="s">
        <v>1401</v>
      </c>
      <c r="B303" s="2547" t="s">
        <v>2495</v>
      </c>
      <c r="C303" s="2548">
        <v>361.15100000000001</v>
      </c>
    </row>
    <row r="304" spans="1:3" ht="15.75">
      <c r="A304" s="2547" t="s">
        <v>820</v>
      </c>
      <c r="B304" s="2547" t="s">
        <v>1216</v>
      </c>
      <c r="C304" s="2548">
        <v>235.667</v>
      </c>
    </row>
    <row r="305" spans="1:3" ht="15.75">
      <c r="A305" s="2547" t="s">
        <v>232</v>
      </c>
      <c r="B305" s="2547" t="s">
        <v>2</v>
      </c>
      <c r="C305" s="2548">
        <v>556.25699999999995</v>
      </c>
    </row>
    <row r="306" spans="1:3" ht="15.75">
      <c r="A306" s="2547" t="s">
        <v>233</v>
      </c>
      <c r="B306" s="2547" t="s">
        <v>3</v>
      </c>
      <c r="C306" s="2548">
        <v>812.65099999999995</v>
      </c>
    </row>
    <row r="307" spans="1:3" ht="15.75">
      <c r="A307" s="2547" t="s">
        <v>1960</v>
      </c>
      <c r="B307" s="2547" t="s">
        <v>4</v>
      </c>
      <c r="C307" s="2548">
        <v>282.83300000000003</v>
      </c>
    </row>
    <row r="308" spans="1:3" ht="15.75">
      <c r="A308" s="2547" t="s">
        <v>1961</v>
      </c>
      <c r="B308" s="2547" t="s">
        <v>5</v>
      </c>
      <c r="C308" s="2548">
        <v>484.298</v>
      </c>
    </row>
    <row r="309" spans="1:3" ht="15.75">
      <c r="A309" s="2547" t="s">
        <v>1402</v>
      </c>
      <c r="B309" s="2547" t="s">
        <v>2306</v>
      </c>
      <c r="C309" s="2548">
        <v>458.11200000000002</v>
      </c>
    </row>
    <row r="310" spans="1:3" ht="15.75">
      <c r="A310" s="2547" t="s">
        <v>2948</v>
      </c>
      <c r="B310" s="2547" t="s">
        <v>502</v>
      </c>
      <c r="C310" s="2548">
        <v>552.31299999999999</v>
      </c>
    </row>
    <row r="311" spans="1:3" ht="15.75">
      <c r="A311" s="2547" t="s">
        <v>1911</v>
      </c>
      <c r="B311" s="2547" t="s">
        <v>503</v>
      </c>
      <c r="C311" s="2548">
        <v>1889.2929999999999</v>
      </c>
    </row>
    <row r="312" spans="1:3" ht="15.75">
      <c r="A312" s="2547" t="s">
        <v>1912</v>
      </c>
      <c r="B312" s="2547" t="s">
        <v>504</v>
      </c>
      <c r="C312" s="2548">
        <v>667.053</v>
      </c>
    </row>
    <row r="313" spans="1:3" ht="15.75">
      <c r="A313" s="2547" t="s">
        <v>1037</v>
      </c>
      <c r="B313" s="2547" t="s">
        <v>505</v>
      </c>
      <c r="C313" s="2548">
        <v>217.52600000000001</v>
      </c>
    </row>
    <row r="314" spans="1:3" ht="15.75">
      <c r="A314" s="2547" t="s">
        <v>73</v>
      </c>
      <c r="B314" s="2547" t="s">
        <v>205</v>
      </c>
      <c r="C314" s="2548">
        <v>273.48200000000003</v>
      </c>
    </row>
    <row r="315" spans="1:3" ht="15.75">
      <c r="A315" s="2547" t="s">
        <v>853</v>
      </c>
      <c r="B315" s="2547" t="s">
        <v>1186</v>
      </c>
      <c r="C315" s="2548">
        <v>260.57400000000001</v>
      </c>
    </row>
    <row r="316" spans="1:3" ht="15.75">
      <c r="A316" s="2547" t="s">
        <v>2865</v>
      </c>
      <c r="B316" s="2547" t="s">
        <v>665</v>
      </c>
      <c r="C316" s="2548">
        <v>228.161</v>
      </c>
    </row>
    <row r="317" spans="1:3" ht="15.75">
      <c r="A317" s="2547" t="s">
        <v>697</v>
      </c>
      <c r="B317" s="2547" t="s">
        <v>958</v>
      </c>
      <c r="C317" s="2548">
        <v>731.21199999999999</v>
      </c>
    </row>
    <row r="318" spans="1:3" ht="15.75">
      <c r="A318" s="2547" t="s">
        <v>698</v>
      </c>
      <c r="B318" s="2547" t="s">
        <v>959</v>
      </c>
      <c r="C318" s="2548">
        <v>451.13299999999998</v>
      </c>
    </row>
    <row r="319" spans="1:3" ht="15.75">
      <c r="A319" s="2547" t="s">
        <v>699</v>
      </c>
      <c r="B319" s="2547" t="s">
        <v>960</v>
      </c>
      <c r="C319" s="2548">
        <v>180.58600000000001</v>
      </c>
    </row>
    <row r="320" spans="1:3" ht="15.75">
      <c r="A320" s="2547" t="s">
        <v>700</v>
      </c>
      <c r="B320" s="2547" t="s">
        <v>1187</v>
      </c>
      <c r="C320" s="2548">
        <v>27982.172999999999</v>
      </c>
    </row>
    <row r="321" spans="1:3" ht="15.75">
      <c r="A321" s="2547" t="s">
        <v>2906</v>
      </c>
      <c r="B321" s="2547" t="s">
        <v>1006</v>
      </c>
      <c r="C321" s="2548">
        <v>2898.6990000000001</v>
      </c>
    </row>
    <row r="322" spans="1:3" ht="15.75">
      <c r="A322" s="2547" t="s">
        <v>1602</v>
      </c>
      <c r="B322" s="2547" t="s">
        <v>133</v>
      </c>
      <c r="C322" s="2548">
        <v>70070.146999999997</v>
      </c>
    </row>
    <row r="323" spans="1:3" ht="15.75">
      <c r="A323" s="2547" t="s">
        <v>2647</v>
      </c>
      <c r="B323" s="2547" t="s">
        <v>1188</v>
      </c>
      <c r="C323" s="2548">
        <v>3164.511</v>
      </c>
    </row>
    <row r="324" spans="1:3" ht="15.75">
      <c r="A324" s="2547" t="s">
        <v>2290</v>
      </c>
      <c r="B324" s="2547" t="s">
        <v>964</v>
      </c>
      <c r="C324" s="2548">
        <v>1564.336</v>
      </c>
    </row>
    <row r="325" spans="1:3" ht="15.75">
      <c r="A325" s="2547" t="s">
        <v>1478</v>
      </c>
      <c r="B325" s="2547" t="s">
        <v>965</v>
      </c>
      <c r="C325" s="2548">
        <v>1726.115</v>
      </c>
    </row>
    <row r="326" spans="1:3" ht="15.75">
      <c r="A326" s="2547" t="s">
        <v>2192</v>
      </c>
      <c r="B326" s="2547" t="s">
        <v>966</v>
      </c>
      <c r="C326" s="2548">
        <v>1197.597</v>
      </c>
    </row>
    <row r="327" spans="1:3" ht="15.75">
      <c r="A327" s="2547" t="s">
        <v>2198</v>
      </c>
      <c r="B327" s="2547" t="s">
        <v>967</v>
      </c>
      <c r="C327" s="2548">
        <v>484.11</v>
      </c>
    </row>
    <row r="328" spans="1:3" ht="15.75">
      <c r="A328" s="2547" t="s">
        <v>2199</v>
      </c>
      <c r="B328" s="2547" t="s">
        <v>968</v>
      </c>
      <c r="C328" s="2548">
        <v>143.39500000000001</v>
      </c>
    </row>
    <row r="329" spans="1:3" ht="15.75">
      <c r="A329" s="2547" t="s">
        <v>1403</v>
      </c>
      <c r="B329" s="2547" t="s">
        <v>2494</v>
      </c>
      <c r="C329" s="2548">
        <v>881.76199999999994</v>
      </c>
    </row>
    <row r="330" spans="1:3" ht="15.75">
      <c r="A330" s="2547" t="s">
        <v>2866</v>
      </c>
      <c r="B330" s="2547" t="s">
        <v>2987</v>
      </c>
      <c r="C330" s="2548">
        <v>2064.6379999999999</v>
      </c>
    </row>
    <row r="331" spans="1:3" ht="15.75">
      <c r="A331" s="2547" t="s">
        <v>2200</v>
      </c>
      <c r="B331" s="2547" t="s">
        <v>969</v>
      </c>
      <c r="C331" s="2548">
        <v>553.29899999999998</v>
      </c>
    </row>
    <row r="332" spans="1:3" ht="15.75">
      <c r="A332" s="2547" t="s">
        <v>2420</v>
      </c>
      <c r="B332" s="2547" t="s">
        <v>577</v>
      </c>
      <c r="C332" s="2548">
        <v>104.28</v>
      </c>
    </row>
    <row r="333" spans="1:3" ht="15.75">
      <c r="A333" s="2547" t="s">
        <v>2490</v>
      </c>
      <c r="B333" s="2547" t="s">
        <v>578</v>
      </c>
      <c r="C333" s="2548">
        <v>2618.1959999999999</v>
      </c>
    </row>
    <row r="334" spans="1:3" ht="15.75">
      <c r="A334" s="2547" t="s">
        <v>2270</v>
      </c>
      <c r="B334" s="2547" t="s">
        <v>397</v>
      </c>
      <c r="C334" s="2548">
        <v>10110.669</v>
      </c>
    </row>
    <row r="335" spans="1:3" ht="15.75">
      <c r="A335" s="2547" t="s">
        <v>2550</v>
      </c>
      <c r="B335" s="2547" t="s">
        <v>398</v>
      </c>
      <c r="C335" s="2548">
        <v>6258.4030000000002</v>
      </c>
    </row>
    <row r="336" spans="1:3" ht="15.75">
      <c r="A336" s="2547" t="s">
        <v>2132</v>
      </c>
      <c r="B336" s="2547" t="s">
        <v>2726</v>
      </c>
      <c r="C336" s="2548">
        <v>129.24</v>
      </c>
    </row>
    <row r="337" spans="1:3" ht="15.75">
      <c r="A337" s="2547" t="s">
        <v>862</v>
      </c>
      <c r="B337" s="2547" t="s">
        <v>399</v>
      </c>
      <c r="C337" s="2548">
        <v>1944.3019999999999</v>
      </c>
    </row>
    <row r="338" spans="1:3" ht="15.75">
      <c r="A338" s="2547" t="s">
        <v>863</v>
      </c>
      <c r="B338" s="2547" t="s">
        <v>400</v>
      </c>
      <c r="C338" s="2548">
        <v>5839.0010000000002</v>
      </c>
    </row>
    <row r="339" spans="1:3" ht="15.75">
      <c r="A339" s="2547" t="s">
        <v>2817</v>
      </c>
      <c r="B339" s="2547" t="s">
        <v>401</v>
      </c>
      <c r="C339" s="2548">
        <v>1369.3130000000001</v>
      </c>
    </row>
    <row r="340" spans="1:3" ht="15.75">
      <c r="A340" s="2547" t="s">
        <v>533</v>
      </c>
      <c r="B340" s="2547" t="s">
        <v>98</v>
      </c>
      <c r="C340" s="2548">
        <v>4362.7030000000004</v>
      </c>
    </row>
    <row r="341" spans="1:3" ht="15.75">
      <c r="A341" s="2547" t="s">
        <v>2818</v>
      </c>
      <c r="B341" s="2547" t="s">
        <v>402</v>
      </c>
      <c r="C341" s="2548">
        <v>38670.968999999997</v>
      </c>
    </row>
    <row r="342" spans="1:3" ht="15.75">
      <c r="A342" s="2547" t="s">
        <v>1604</v>
      </c>
      <c r="B342" s="2547" t="s">
        <v>1666</v>
      </c>
      <c r="C342" s="2548">
        <v>5877.3559999999998</v>
      </c>
    </row>
    <row r="343" spans="1:3" ht="15.75">
      <c r="A343" s="2547" t="s">
        <v>1872</v>
      </c>
      <c r="B343" s="2547" t="s">
        <v>403</v>
      </c>
      <c r="C343" s="2548">
        <v>822.12800000000004</v>
      </c>
    </row>
    <row r="344" spans="1:3" ht="15.75">
      <c r="A344" s="2547" t="s">
        <v>1873</v>
      </c>
      <c r="B344" s="2547" t="s">
        <v>404</v>
      </c>
      <c r="C344" s="2548">
        <v>152.93199999999999</v>
      </c>
    </row>
    <row r="345" spans="1:3" ht="15.75">
      <c r="A345" s="2547" t="s">
        <v>2139</v>
      </c>
      <c r="B345" s="2547" t="s">
        <v>1189</v>
      </c>
      <c r="C345" s="2548">
        <v>9.66</v>
      </c>
    </row>
    <row r="346" spans="1:3" ht="15.75">
      <c r="A346" s="2547" t="s">
        <v>1636</v>
      </c>
      <c r="B346" s="2547" t="s">
        <v>406</v>
      </c>
      <c r="C346" s="2548">
        <v>2939.93</v>
      </c>
    </row>
    <row r="347" spans="1:3" ht="15.75">
      <c r="A347" s="2547" t="s">
        <v>2474</v>
      </c>
      <c r="B347" s="2547" t="s">
        <v>2004</v>
      </c>
      <c r="C347" s="2548">
        <v>572.71100000000001</v>
      </c>
    </row>
    <row r="348" spans="1:3" ht="15.75">
      <c r="A348" s="2547" t="s">
        <v>2475</v>
      </c>
      <c r="B348" s="2547" t="s">
        <v>2005</v>
      </c>
      <c r="C348" s="2548">
        <v>291.32</v>
      </c>
    </row>
    <row r="349" spans="1:3" ht="15.75">
      <c r="A349" s="2547" t="s">
        <v>2794</v>
      </c>
      <c r="B349" s="2547" t="s">
        <v>2006</v>
      </c>
      <c r="C349" s="2548">
        <v>1264.395</v>
      </c>
    </row>
    <row r="350" spans="1:3" ht="15.75">
      <c r="A350" s="2547" t="s">
        <v>1019</v>
      </c>
      <c r="B350" s="2547" t="s">
        <v>973</v>
      </c>
      <c r="C350" s="2548">
        <v>2639.3539999999998</v>
      </c>
    </row>
    <row r="351" spans="1:3" ht="15.75">
      <c r="A351" s="2547" t="s">
        <v>2795</v>
      </c>
      <c r="B351" s="2547" t="s">
        <v>1190</v>
      </c>
      <c r="C351" s="2548">
        <v>975.86</v>
      </c>
    </row>
    <row r="352" spans="1:3" ht="15.75">
      <c r="A352" s="2547" t="s">
        <v>2796</v>
      </c>
      <c r="B352" s="2547" t="s">
        <v>1626</v>
      </c>
      <c r="C352" s="2548">
        <v>289.39800000000002</v>
      </c>
    </row>
    <row r="353" spans="1:3" ht="15.75">
      <c r="A353" s="2547" t="s">
        <v>2118</v>
      </c>
      <c r="B353" s="2547" t="s">
        <v>1627</v>
      </c>
      <c r="C353" s="2548">
        <v>163.30699999999999</v>
      </c>
    </row>
    <row r="354" spans="1:3" ht="15.75">
      <c r="A354" s="2547" t="s">
        <v>2119</v>
      </c>
      <c r="B354" s="2547" t="s">
        <v>1628</v>
      </c>
      <c r="C354" s="2548">
        <v>215.01300000000001</v>
      </c>
    </row>
    <row r="355" spans="1:3" ht="15.75">
      <c r="A355" s="2547" t="s">
        <v>2301</v>
      </c>
      <c r="B355" s="2547" t="s">
        <v>1540</v>
      </c>
      <c r="C355" s="2548">
        <v>3425.6930000000002</v>
      </c>
    </row>
    <row r="356" spans="1:3" ht="15.75">
      <c r="A356" s="2547" t="s">
        <v>2313</v>
      </c>
      <c r="B356" s="2547" t="s">
        <v>1629</v>
      </c>
      <c r="C356" s="2548">
        <v>44.033999999999999</v>
      </c>
    </row>
    <row r="357" spans="1:3" ht="15.75">
      <c r="A357" s="2547" t="s">
        <v>1897</v>
      </c>
      <c r="B357" s="2547" t="s">
        <v>1757</v>
      </c>
      <c r="C357" s="2548">
        <v>735.81100000000004</v>
      </c>
    </row>
    <row r="358" spans="1:3" ht="15.75">
      <c r="A358" s="2547" t="s">
        <v>1107</v>
      </c>
      <c r="B358" s="2547" t="s">
        <v>1630</v>
      </c>
      <c r="C358" s="2548">
        <v>517.12599999999998</v>
      </c>
    </row>
    <row r="359" spans="1:3" ht="15.75">
      <c r="A359" s="2547" t="s">
        <v>1108</v>
      </c>
      <c r="B359" s="2547" t="s">
        <v>1631</v>
      </c>
      <c r="C359" s="2548">
        <v>4251.9520000000002</v>
      </c>
    </row>
    <row r="360" spans="1:3" ht="15.75">
      <c r="A360" s="2547" t="s">
        <v>1276</v>
      </c>
      <c r="B360" s="2547" t="s">
        <v>2731</v>
      </c>
      <c r="C360" s="2548">
        <v>983.42399999999998</v>
      </c>
    </row>
    <row r="361" spans="1:3" ht="15.75">
      <c r="A361" s="2547" t="s">
        <v>897</v>
      </c>
      <c r="B361" s="2547" t="s">
        <v>1849</v>
      </c>
      <c r="C361" s="2548">
        <v>6653.6270000000004</v>
      </c>
    </row>
    <row r="362" spans="1:3" ht="15.75">
      <c r="A362" s="2547" t="s">
        <v>898</v>
      </c>
      <c r="B362" s="2547" t="s">
        <v>1850</v>
      </c>
      <c r="C362" s="2548">
        <v>423.66800000000001</v>
      </c>
    </row>
    <row r="363" spans="1:3" ht="15.75">
      <c r="A363" s="2547" t="s">
        <v>1404</v>
      </c>
      <c r="B363" s="2547" t="s">
        <v>2706</v>
      </c>
      <c r="C363" s="2548">
        <v>1420.425</v>
      </c>
    </row>
    <row r="364" spans="1:3" ht="15.75">
      <c r="A364" s="2547" t="s">
        <v>1405</v>
      </c>
      <c r="B364" s="2547" t="s">
        <v>1511</v>
      </c>
      <c r="C364" s="2548">
        <v>1469.1389999999999</v>
      </c>
    </row>
    <row r="365" spans="1:3" ht="15.75">
      <c r="A365" s="2547" t="s">
        <v>1650</v>
      </c>
      <c r="B365" s="2547" t="s">
        <v>1851</v>
      </c>
      <c r="C365" s="2548">
        <v>719.89599999999996</v>
      </c>
    </row>
    <row r="366" spans="1:3" ht="15.75">
      <c r="A366" s="2547" t="s">
        <v>243</v>
      </c>
      <c r="B366" s="2547" t="s">
        <v>2410</v>
      </c>
      <c r="C366" s="2548">
        <v>1357.528</v>
      </c>
    </row>
    <row r="367" spans="1:3" ht="15.75">
      <c r="A367" s="2547" t="s">
        <v>2977</v>
      </c>
      <c r="B367" s="2547" t="s">
        <v>1191</v>
      </c>
      <c r="C367" s="2548">
        <v>800.24900000000002</v>
      </c>
    </row>
    <row r="368" spans="1:3" ht="15.75">
      <c r="A368" s="2547" t="s">
        <v>1483</v>
      </c>
      <c r="B368" s="2547" t="s">
        <v>1948</v>
      </c>
      <c r="C368" s="2548">
        <v>758.86599999999999</v>
      </c>
    </row>
    <row r="369" spans="1:3" ht="15.75">
      <c r="A369" s="2547" t="s">
        <v>1461</v>
      </c>
      <c r="B369" s="2547" t="s">
        <v>250</v>
      </c>
      <c r="C369" s="2548">
        <v>643.32299999999998</v>
      </c>
    </row>
    <row r="370" spans="1:3" ht="15.75">
      <c r="A370" s="2547" t="s">
        <v>1462</v>
      </c>
      <c r="B370" s="2547" t="s">
        <v>251</v>
      </c>
      <c r="C370" s="2548">
        <v>1692.415</v>
      </c>
    </row>
    <row r="371" spans="1:3" ht="15.75">
      <c r="A371" s="2547" t="s">
        <v>1463</v>
      </c>
      <c r="B371" s="2547" t="s">
        <v>252</v>
      </c>
      <c r="C371" s="2548">
        <v>3766.89</v>
      </c>
    </row>
    <row r="372" spans="1:3" ht="15.75">
      <c r="A372" s="2547" t="s">
        <v>498</v>
      </c>
      <c r="B372" s="2547" t="s">
        <v>2436</v>
      </c>
      <c r="C372" s="2548">
        <v>8126.6779999999999</v>
      </c>
    </row>
    <row r="373" spans="1:3" ht="15.75">
      <c r="A373" s="2547" t="s">
        <v>2504</v>
      </c>
      <c r="B373" s="2547" t="s">
        <v>253</v>
      </c>
      <c r="C373" s="2548">
        <v>4351.18</v>
      </c>
    </row>
    <row r="374" spans="1:3" ht="15.75">
      <c r="A374" s="2547" t="s">
        <v>3035</v>
      </c>
      <c r="B374" s="2547" t="s">
        <v>254</v>
      </c>
      <c r="C374" s="2548">
        <v>1365.3420000000001</v>
      </c>
    </row>
    <row r="375" spans="1:3" ht="15.75">
      <c r="A375" s="2547" t="s">
        <v>1702</v>
      </c>
      <c r="B375" s="2547" t="s">
        <v>2210</v>
      </c>
      <c r="C375" s="2548">
        <v>1808.42</v>
      </c>
    </row>
    <row r="376" spans="1:3" ht="15.75">
      <c r="A376" s="2547" t="s">
        <v>3036</v>
      </c>
      <c r="B376" s="2547" t="s">
        <v>255</v>
      </c>
      <c r="C376" s="2548">
        <v>1433.633</v>
      </c>
    </row>
    <row r="377" spans="1:3" ht="15.75">
      <c r="A377" s="2547" t="s">
        <v>3037</v>
      </c>
      <c r="B377" s="2547" t="s">
        <v>1192</v>
      </c>
      <c r="C377" s="2548">
        <v>802.53099999999995</v>
      </c>
    </row>
    <row r="378" spans="1:3" ht="15.75">
      <c r="A378" s="2547" t="s">
        <v>3038</v>
      </c>
      <c r="B378" s="2547" t="s">
        <v>257</v>
      </c>
      <c r="C378" s="2548">
        <v>432.161</v>
      </c>
    </row>
    <row r="379" spans="1:3" ht="15.75">
      <c r="A379" s="2547" t="s">
        <v>3039</v>
      </c>
      <c r="B379" s="2547" t="s">
        <v>258</v>
      </c>
      <c r="C379" s="2548">
        <v>2812.5770000000002</v>
      </c>
    </row>
    <row r="380" spans="1:3" ht="15.75">
      <c r="A380" s="2547" t="s">
        <v>2456</v>
      </c>
      <c r="B380" s="2547" t="s">
        <v>259</v>
      </c>
      <c r="C380" s="2548">
        <v>125.794</v>
      </c>
    </row>
    <row r="381" spans="1:3" ht="15.75">
      <c r="A381" s="2547" t="s">
        <v>537</v>
      </c>
      <c r="B381" s="2547" t="s">
        <v>1416</v>
      </c>
      <c r="C381" s="2548">
        <v>6676.4350000000004</v>
      </c>
    </row>
    <row r="382" spans="1:3" ht="15.75">
      <c r="A382" s="2547" t="s">
        <v>535</v>
      </c>
      <c r="B382" s="2547" t="s">
        <v>1414</v>
      </c>
      <c r="C382" s="2548">
        <v>14306.638000000001</v>
      </c>
    </row>
    <row r="383" spans="1:3" ht="15.75">
      <c r="A383" s="2547" t="s">
        <v>2457</v>
      </c>
      <c r="B383" s="2547" t="s">
        <v>260</v>
      </c>
      <c r="C383" s="2548">
        <v>1725.1389999999999</v>
      </c>
    </row>
    <row r="384" spans="1:3" ht="15.75">
      <c r="A384" s="2547" t="s">
        <v>381</v>
      </c>
      <c r="B384" s="2547" t="s">
        <v>324</v>
      </c>
      <c r="C384" s="2548">
        <v>1337.991</v>
      </c>
    </row>
    <row r="385" spans="1:3" ht="15.75">
      <c r="A385" s="2547" t="s">
        <v>2458</v>
      </c>
      <c r="B385" s="2547" t="s">
        <v>261</v>
      </c>
      <c r="C385" s="2548">
        <v>729.476</v>
      </c>
    </row>
    <row r="386" spans="1:3" ht="15.75">
      <c r="A386" s="2547" t="s">
        <v>2459</v>
      </c>
      <c r="B386" s="2547" t="s">
        <v>262</v>
      </c>
      <c r="C386" s="2548">
        <v>100.78400000000001</v>
      </c>
    </row>
    <row r="387" spans="1:3" ht="15.75">
      <c r="A387" s="2547" t="s">
        <v>547</v>
      </c>
      <c r="B387" s="2547" t="s">
        <v>263</v>
      </c>
      <c r="C387" s="2548">
        <v>569.04100000000005</v>
      </c>
    </row>
    <row r="388" spans="1:3" ht="15.75">
      <c r="A388" s="2547" t="s">
        <v>2232</v>
      </c>
      <c r="B388" s="2547" t="s">
        <v>264</v>
      </c>
      <c r="C388" s="2548">
        <v>238.59700000000001</v>
      </c>
    </row>
    <row r="389" spans="1:3" ht="15.75">
      <c r="A389" s="2547" t="s">
        <v>2366</v>
      </c>
      <c r="B389" s="2547" t="s">
        <v>265</v>
      </c>
      <c r="C389" s="2548">
        <v>5196.902</v>
      </c>
    </row>
    <row r="390" spans="1:3" ht="15.75">
      <c r="A390" s="2547" t="s">
        <v>2367</v>
      </c>
      <c r="B390" s="2547" t="s">
        <v>266</v>
      </c>
      <c r="C390" s="2548">
        <v>458.55500000000001</v>
      </c>
    </row>
    <row r="391" spans="1:3" ht="15.75">
      <c r="A391" s="2547" t="s">
        <v>169</v>
      </c>
      <c r="B391" s="2547" t="s">
        <v>267</v>
      </c>
      <c r="C391" s="2548">
        <v>173.79599999999999</v>
      </c>
    </row>
    <row r="392" spans="1:3" ht="15.75">
      <c r="A392" s="2547" t="s">
        <v>170</v>
      </c>
      <c r="B392" s="2547" t="s">
        <v>1193</v>
      </c>
      <c r="C392" s="2548">
        <v>723.75</v>
      </c>
    </row>
    <row r="393" spans="1:3" ht="15.75">
      <c r="A393" s="2547" t="s">
        <v>2867</v>
      </c>
      <c r="B393" s="2547" t="s">
        <v>2724</v>
      </c>
      <c r="C393" s="2548">
        <v>518.58500000000004</v>
      </c>
    </row>
    <row r="394" spans="1:3" ht="15.75">
      <c r="A394" s="2547" t="s">
        <v>2674</v>
      </c>
      <c r="B394" s="2547" t="s">
        <v>269</v>
      </c>
      <c r="C394" s="2548">
        <v>407.41800000000001</v>
      </c>
    </row>
    <row r="395" spans="1:3" ht="15.75">
      <c r="A395" s="2547" t="s">
        <v>1281</v>
      </c>
      <c r="B395" s="2547" t="s">
        <v>1194</v>
      </c>
      <c r="C395" s="2548">
        <v>117.39400000000001</v>
      </c>
    </row>
    <row r="396" spans="1:3" ht="15.75">
      <c r="A396" s="2547" t="s">
        <v>1282</v>
      </c>
      <c r="B396" s="2547" t="s">
        <v>2991</v>
      </c>
      <c r="C396" s="2548">
        <v>813.41</v>
      </c>
    </row>
    <row r="397" spans="1:3" ht="15.75">
      <c r="A397" s="2547" t="s">
        <v>2416</v>
      </c>
      <c r="B397" s="2547" t="s">
        <v>518</v>
      </c>
      <c r="C397" s="2548">
        <v>184.68299999999999</v>
      </c>
    </row>
    <row r="398" spans="1:3" ht="15.75">
      <c r="A398" s="2547" t="s">
        <v>2417</v>
      </c>
      <c r="B398" s="2547" t="s">
        <v>519</v>
      </c>
      <c r="C398" s="2548">
        <v>536.60299999999995</v>
      </c>
    </row>
    <row r="399" spans="1:3" ht="15.75">
      <c r="A399" s="2547" t="s">
        <v>1158</v>
      </c>
      <c r="B399" s="2547" t="s">
        <v>520</v>
      </c>
      <c r="C399" s="2548">
        <v>1095.7950000000001</v>
      </c>
    </row>
    <row r="400" spans="1:3" ht="15.75">
      <c r="A400" s="2547" t="s">
        <v>1312</v>
      </c>
      <c r="B400" s="2547" t="s">
        <v>1684</v>
      </c>
      <c r="C400" s="2548">
        <v>2586.1039999999998</v>
      </c>
    </row>
    <row r="401" spans="1:3" ht="15.75">
      <c r="A401" s="2547" t="s">
        <v>416</v>
      </c>
      <c r="B401" s="2547" t="s">
        <v>521</v>
      </c>
      <c r="C401" s="2548">
        <v>2101.672</v>
      </c>
    </row>
    <row r="402" spans="1:3" ht="15.75">
      <c r="A402" s="2547" t="s">
        <v>2608</v>
      </c>
      <c r="B402" s="2547" t="s">
        <v>949</v>
      </c>
      <c r="C402" s="2548">
        <v>3726.0830000000001</v>
      </c>
    </row>
    <row r="403" spans="1:3" ht="15.75">
      <c r="A403" s="2547" t="s">
        <v>1346</v>
      </c>
      <c r="B403" s="2547" t="s">
        <v>328</v>
      </c>
      <c r="C403" s="2548">
        <v>543.97</v>
      </c>
    </row>
    <row r="404" spans="1:3" ht="15.75">
      <c r="A404" s="2547" t="s">
        <v>639</v>
      </c>
      <c r="B404" s="2547" t="s">
        <v>797</v>
      </c>
      <c r="C404" s="2548">
        <v>64175.43</v>
      </c>
    </row>
    <row r="405" spans="1:3" ht="15.75">
      <c r="A405" s="2547" t="s">
        <v>222</v>
      </c>
      <c r="B405" s="2547" t="s">
        <v>2264</v>
      </c>
      <c r="C405" s="2548">
        <v>44026.292999999998</v>
      </c>
    </row>
    <row r="406" spans="1:3" ht="15.75">
      <c r="A406" s="2547" t="s">
        <v>2641</v>
      </c>
      <c r="B406" s="2547" t="s">
        <v>522</v>
      </c>
      <c r="C406" s="2548">
        <v>8759.23</v>
      </c>
    </row>
    <row r="407" spans="1:3" ht="15.75">
      <c r="A407" s="2547" t="s">
        <v>2758</v>
      </c>
      <c r="B407" s="2547" t="s">
        <v>458</v>
      </c>
      <c r="C407" s="2548">
        <v>5332.7619999999997</v>
      </c>
    </row>
    <row r="408" spans="1:3" ht="15.75">
      <c r="A408" s="2547" t="s">
        <v>2642</v>
      </c>
      <c r="B408" s="2547" t="s">
        <v>523</v>
      </c>
      <c r="C408" s="2548">
        <v>107181.077</v>
      </c>
    </row>
    <row r="409" spans="1:3" ht="15.75">
      <c r="A409" s="2547" t="s">
        <v>2481</v>
      </c>
      <c r="B409" s="2547" t="s">
        <v>524</v>
      </c>
      <c r="C409" s="2548">
        <v>12470.189</v>
      </c>
    </row>
    <row r="410" spans="1:3" ht="15.75">
      <c r="A410" s="2547" t="s">
        <v>1608</v>
      </c>
      <c r="B410" s="2547" t="s">
        <v>1670</v>
      </c>
      <c r="C410" s="2548">
        <v>21015.705000000002</v>
      </c>
    </row>
    <row r="411" spans="1:3" ht="15.75">
      <c r="A411" s="2547" t="s">
        <v>2300</v>
      </c>
      <c r="B411" s="2547" t="s">
        <v>525</v>
      </c>
      <c r="C411" s="2548">
        <v>21885.403999999999</v>
      </c>
    </row>
    <row r="412" spans="1:3" ht="15.75">
      <c r="A412" s="2547" t="s">
        <v>2921</v>
      </c>
      <c r="B412" s="2547" t="s">
        <v>526</v>
      </c>
      <c r="C412" s="2548">
        <v>195618.56099999999</v>
      </c>
    </row>
    <row r="413" spans="1:3" ht="15.75">
      <c r="A413" s="2547" t="s">
        <v>1278</v>
      </c>
      <c r="B413" s="2547" t="s">
        <v>2736</v>
      </c>
      <c r="C413" s="2548">
        <v>38217.523000000001</v>
      </c>
    </row>
    <row r="414" spans="1:3" ht="15.75">
      <c r="A414" s="2547" t="s">
        <v>55</v>
      </c>
      <c r="B414" s="2547" t="s">
        <v>450</v>
      </c>
      <c r="C414" s="2548">
        <v>69709.020999999993</v>
      </c>
    </row>
    <row r="415" spans="1:3" ht="15.75">
      <c r="A415" s="2547" t="s">
        <v>62</v>
      </c>
      <c r="B415" s="2547" t="s">
        <v>2980</v>
      </c>
      <c r="C415" s="2548">
        <v>47691.597000000002</v>
      </c>
    </row>
    <row r="416" spans="1:3" ht="15.75">
      <c r="A416" s="2547" t="s">
        <v>2922</v>
      </c>
      <c r="B416" s="2547" t="s">
        <v>527</v>
      </c>
      <c r="C416" s="2548">
        <v>7242.0410000000002</v>
      </c>
    </row>
    <row r="417" spans="1:3" ht="15.75">
      <c r="A417" s="2547" t="s">
        <v>234</v>
      </c>
      <c r="B417" s="2547" t="s">
        <v>302</v>
      </c>
      <c r="C417" s="2548">
        <v>51809.680999999997</v>
      </c>
    </row>
    <row r="418" spans="1:3" ht="15.75">
      <c r="A418" s="2547" t="s">
        <v>743</v>
      </c>
      <c r="B418" s="2547" t="s">
        <v>528</v>
      </c>
      <c r="C418" s="2548">
        <v>33684.207000000002</v>
      </c>
    </row>
    <row r="419" spans="1:3" ht="15.75">
      <c r="A419" s="2547" t="s">
        <v>918</v>
      </c>
      <c r="B419" s="2547" t="s">
        <v>2505</v>
      </c>
      <c r="C419" s="2548">
        <v>32606.095000000001</v>
      </c>
    </row>
    <row r="420" spans="1:3" ht="15.75">
      <c r="A420" s="2547" t="s">
        <v>2221</v>
      </c>
      <c r="B420" s="2547" t="s">
        <v>2506</v>
      </c>
      <c r="C420" s="2548">
        <v>13459.412</v>
      </c>
    </row>
    <row r="421" spans="1:3" ht="15.75">
      <c r="A421" s="2547" t="s">
        <v>2222</v>
      </c>
      <c r="B421" s="2547" t="s">
        <v>2507</v>
      </c>
      <c r="C421" s="2548">
        <v>7757.5550000000003</v>
      </c>
    </row>
    <row r="422" spans="1:3" ht="15.75">
      <c r="A422" s="2547" t="s">
        <v>979</v>
      </c>
      <c r="B422" s="2547" t="s">
        <v>2734</v>
      </c>
      <c r="C422" s="2548">
        <v>3264.1149999999998</v>
      </c>
    </row>
    <row r="423" spans="1:3" ht="15.75">
      <c r="A423" s="2547" t="s">
        <v>2223</v>
      </c>
      <c r="B423" s="2547" t="s">
        <v>2508</v>
      </c>
      <c r="C423" s="2548">
        <v>107.36</v>
      </c>
    </row>
    <row r="424" spans="1:3" ht="15.75">
      <c r="A424" s="2547" t="s">
        <v>1692</v>
      </c>
      <c r="B424" s="2547" t="s">
        <v>2509</v>
      </c>
      <c r="C424" s="2548">
        <v>5094.5630000000001</v>
      </c>
    </row>
    <row r="425" spans="1:3" ht="15.75">
      <c r="A425" s="2547" t="s">
        <v>1693</v>
      </c>
      <c r="B425" s="2547" t="s">
        <v>2510</v>
      </c>
      <c r="C425" s="2548">
        <v>861.428</v>
      </c>
    </row>
    <row r="426" spans="1:3" ht="15.75">
      <c r="A426" s="2547" t="s">
        <v>1694</v>
      </c>
      <c r="B426" s="2547" t="s">
        <v>2368</v>
      </c>
      <c r="C426" s="2548">
        <v>4675.3310000000001</v>
      </c>
    </row>
    <row r="427" spans="1:3" ht="15.75">
      <c r="A427" s="2547" t="s">
        <v>1765</v>
      </c>
      <c r="B427" s="2547" t="s">
        <v>2369</v>
      </c>
      <c r="C427" s="2548">
        <v>747.77800000000002</v>
      </c>
    </row>
    <row r="428" spans="1:3" ht="15.75">
      <c r="A428" s="2547" t="s">
        <v>1766</v>
      </c>
      <c r="B428" s="2547" t="s">
        <v>182</v>
      </c>
      <c r="C428" s="2548">
        <v>847.77499999999998</v>
      </c>
    </row>
    <row r="429" spans="1:3" ht="15.75">
      <c r="A429" s="2547" t="s">
        <v>539</v>
      </c>
      <c r="B429" s="2547" t="s">
        <v>183</v>
      </c>
      <c r="C429" s="2548">
        <v>154.37299999999999</v>
      </c>
    </row>
    <row r="430" spans="1:3" ht="15.75">
      <c r="A430" s="2547" t="s">
        <v>506</v>
      </c>
      <c r="B430" s="2547" t="s">
        <v>184</v>
      </c>
      <c r="C430" s="2548">
        <v>198.48500000000001</v>
      </c>
    </row>
    <row r="431" spans="1:3" ht="15.75">
      <c r="A431" s="2547" t="s">
        <v>507</v>
      </c>
      <c r="B431" s="2547" t="s">
        <v>936</v>
      </c>
      <c r="C431" s="2548">
        <v>566.33399999999995</v>
      </c>
    </row>
    <row r="432" spans="1:3" ht="15.75">
      <c r="A432" s="2547" t="s">
        <v>508</v>
      </c>
      <c r="B432" s="2547" t="s">
        <v>185</v>
      </c>
      <c r="C432" s="2548">
        <v>119.041</v>
      </c>
    </row>
    <row r="433" spans="1:3" ht="15.75">
      <c r="A433" s="2547" t="s">
        <v>509</v>
      </c>
      <c r="B433" s="2547" t="s">
        <v>186</v>
      </c>
      <c r="C433" s="2548">
        <v>128.11699999999999</v>
      </c>
    </row>
    <row r="434" spans="1:3" ht="15.75">
      <c r="A434" s="2547" t="s">
        <v>1304</v>
      </c>
      <c r="B434" s="2547" t="s">
        <v>1195</v>
      </c>
      <c r="C434" s="2548">
        <v>7270.223</v>
      </c>
    </row>
    <row r="435" spans="1:3" ht="15.75">
      <c r="A435" s="2547" t="s">
        <v>1678</v>
      </c>
      <c r="B435" s="2547" t="s">
        <v>1212</v>
      </c>
      <c r="C435" s="2548">
        <v>5250.6880000000001</v>
      </c>
    </row>
    <row r="436" spans="1:3" ht="15.75">
      <c r="A436" s="2547" t="s">
        <v>1467</v>
      </c>
      <c r="B436" s="2547" t="s">
        <v>188</v>
      </c>
      <c r="C436" s="2548">
        <v>2097.2040000000002</v>
      </c>
    </row>
    <row r="437" spans="1:3" ht="15.75">
      <c r="A437" s="2547" t="s">
        <v>2129</v>
      </c>
      <c r="B437" s="2547" t="s">
        <v>42</v>
      </c>
      <c r="C437" s="2548">
        <v>17418.931</v>
      </c>
    </row>
    <row r="438" spans="1:3" ht="15.75">
      <c r="A438" s="2547" t="s">
        <v>1918</v>
      </c>
      <c r="B438" s="2547" t="s">
        <v>189</v>
      </c>
      <c r="C438" s="2548">
        <v>952.13499999999999</v>
      </c>
    </row>
    <row r="439" spans="1:3" ht="15.75">
      <c r="A439" s="2547" t="s">
        <v>1919</v>
      </c>
      <c r="B439" s="2547" t="s">
        <v>1525</v>
      </c>
      <c r="C439" s="2548">
        <v>2963.4</v>
      </c>
    </row>
    <row r="440" spans="1:3" ht="15.75">
      <c r="A440" s="2547" t="s">
        <v>2912</v>
      </c>
      <c r="B440" s="2547" t="s">
        <v>1526</v>
      </c>
      <c r="C440" s="2548">
        <v>2562.4949999999999</v>
      </c>
    </row>
    <row r="441" spans="1:3" ht="15.75">
      <c r="A441" s="2547" t="s">
        <v>2879</v>
      </c>
      <c r="B441" s="2547" t="s">
        <v>1527</v>
      </c>
      <c r="C441" s="2548">
        <v>565.91600000000005</v>
      </c>
    </row>
    <row r="442" spans="1:3" ht="15.75">
      <c r="A442" s="2547" t="s">
        <v>2284</v>
      </c>
      <c r="B442" s="2547" t="s">
        <v>1528</v>
      </c>
      <c r="C442" s="2548">
        <v>1467.038</v>
      </c>
    </row>
    <row r="443" spans="1:3" ht="15.75">
      <c r="A443" s="2547" t="s">
        <v>71</v>
      </c>
      <c r="B443" s="2547" t="s">
        <v>2995</v>
      </c>
      <c r="C443" s="2548">
        <v>1221.8030000000001</v>
      </c>
    </row>
    <row r="444" spans="1:3" ht="15.75">
      <c r="A444" s="2547" t="s">
        <v>1711</v>
      </c>
      <c r="B444" s="2547" t="s">
        <v>662</v>
      </c>
      <c r="C444" s="2548">
        <v>155.79499999999999</v>
      </c>
    </row>
    <row r="445" spans="1:3" ht="15.75">
      <c r="A445" s="2547" t="s">
        <v>980</v>
      </c>
      <c r="B445" s="2547" t="s">
        <v>2415</v>
      </c>
      <c r="C445" s="2548">
        <v>177.66800000000001</v>
      </c>
    </row>
    <row r="446" spans="1:3" ht="15.75">
      <c r="A446" s="2547" t="s">
        <v>72</v>
      </c>
      <c r="B446" s="2547" t="s">
        <v>2996</v>
      </c>
      <c r="C446" s="2548">
        <v>431.25900000000001</v>
      </c>
    </row>
    <row r="447" spans="1:3" ht="15.75">
      <c r="A447" s="2547" t="s">
        <v>2437</v>
      </c>
      <c r="B447" s="2547" t="s">
        <v>39</v>
      </c>
      <c r="C447" s="2548">
        <v>14231.137000000001</v>
      </c>
    </row>
    <row r="448" spans="1:3" ht="15.75">
      <c r="A448" s="2547" t="s">
        <v>873</v>
      </c>
      <c r="B448" s="2547" t="s">
        <v>1217</v>
      </c>
      <c r="C448" s="2548">
        <v>4816.7579999999998</v>
      </c>
    </row>
    <row r="449" spans="1:3" ht="15.75">
      <c r="A449" s="2547" t="s">
        <v>875</v>
      </c>
      <c r="B449" s="2547" t="s">
        <v>40</v>
      </c>
      <c r="C449" s="2548">
        <v>32300.731</v>
      </c>
    </row>
    <row r="450" spans="1:3" ht="15.75">
      <c r="A450" s="2547" t="s">
        <v>2131</v>
      </c>
      <c r="B450" s="2547" t="s">
        <v>2725</v>
      </c>
      <c r="C450" s="2548">
        <v>2943.4430000000002</v>
      </c>
    </row>
    <row r="451" spans="1:3" ht="15.75">
      <c r="A451" s="2547" t="s">
        <v>2894</v>
      </c>
      <c r="B451" s="2547" t="s">
        <v>925</v>
      </c>
      <c r="C451" s="2548">
        <v>22400.273000000001</v>
      </c>
    </row>
    <row r="452" spans="1:3" ht="15.75">
      <c r="A452" s="2547" t="s">
        <v>2897</v>
      </c>
      <c r="B452" s="2547" t="s">
        <v>2553</v>
      </c>
      <c r="C452" s="2548">
        <v>5270.3429999999998</v>
      </c>
    </row>
    <row r="453" spans="1:3" ht="15.75">
      <c r="A453" s="2547" t="s">
        <v>2903</v>
      </c>
      <c r="B453" s="2547" t="s">
        <v>45</v>
      </c>
      <c r="C453" s="2548">
        <v>14350.106</v>
      </c>
    </row>
    <row r="454" spans="1:3" ht="15.75">
      <c r="A454" s="2547" t="s">
        <v>239</v>
      </c>
      <c r="B454" s="2547" t="s">
        <v>1126</v>
      </c>
      <c r="C454" s="2548">
        <v>30224.772000000001</v>
      </c>
    </row>
    <row r="455" spans="1:3" ht="15.75">
      <c r="A455" s="2547" t="s">
        <v>1218</v>
      </c>
      <c r="B455" s="2547" t="s">
        <v>88</v>
      </c>
      <c r="C455" s="2548">
        <v>1824.2619999999999</v>
      </c>
    </row>
    <row r="456" spans="1:3" ht="15.75">
      <c r="A456" s="2547" t="s">
        <v>1759</v>
      </c>
      <c r="B456" s="2547" t="s">
        <v>2998</v>
      </c>
      <c r="C456" s="2548">
        <v>9592.1980000000003</v>
      </c>
    </row>
    <row r="457" spans="1:3" ht="15.75">
      <c r="A457" s="2547" t="s">
        <v>65</v>
      </c>
      <c r="B457" s="2547" t="s">
        <v>2170</v>
      </c>
      <c r="C457" s="2548">
        <v>26816.420999999998</v>
      </c>
    </row>
    <row r="458" spans="1:3" ht="15.75">
      <c r="A458" s="2547" t="s">
        <v>821</v>
      </c>
      <c r="B458" s="2547" t="s">
        <v>162</v>
      </c>
      <c r="C458" s="2548">
        <v>16332.673000000001</v>
      </c>
    </row>
    <row r="459" spans="1:3" ht="15.75">
      <c r="A459" s="2547" t="s">
        <v>67</v>
      </c>
      <c r="B459" s="2547" t="s">
        <v>2622</v>
      </c>
      <c r="C459" s="2548">
        <v>561.05899999999997</v>
      </c>
    </row>
    <row r="460" spans="1:3" ht="15.75">
      <c r="A460" s="2547" t="s">
        <v>554</v>
      </c>
      <c r="B460" s="2547" t="s">
        <v>2561</v>
      </c>
      <c r="C460" s="2548">
        <v>999.197</v>
      </c>
    </row>
    <row r="461" spans="1:3" ht="15.75">
      <c r="A461" s="2547" t="s">
        <v>1715</v>
      </c>
      <c r="B461" s="2547" t="s">
        <v>2705</v>
      </c>
      <c r="C461" s="2548">
        <v>4198.8419999999996</v>
      </c>
    </row>
    <row r="462" spans="1:3" ht="15.75">
      <c r="A462" s="2547" t="s">
        <v>172</v>
      </c>
      <c r="B462" s="2547" t="s">
        <v>2464</v>
      </c>
      <c r="C462" s="2548">
        <v>249.11799999999999</v>
      </c>
    </row>
    <row r="463" spans="1:3" ht="15.75">
      <c r="A463" s="2547" t="s">
        <v>2869</v>
      </c>
      <c r="B463" s="2547" t="s">
        <v>1010</v>
      </c>
      <c r="C463" s="2548">
        <v>199.22900000000001</v>
      </c>
    </row>
    <row r="464" spans="1:3" ht="15.75">
      <c r="A464" s="2547" t="s">
        <v>2756</v>
      </c>
      <c r="B464" s="2547" t="s">
        <v>742</v>
      </c>
      <c r="C464" s="2548">
        <v>294.76499999999999</v>
      </c>
    </row>
    <row r="465" spans="1:3" ht="15.75">
      <c r="A465" s="2547" t="s">
        <v>2133</v>
      </c>
      <c r="B465" s="2547" t="s">
        <v>2727</v>
      </c>
      <c r="C465" s="2548">
        <v>1801.547</v>
      </c>
    </row>
    <row r="466" spans="1:3" ht="15.75">
      <c r="A466" s="2547" t="s">
        <v>555</v>
      </c>
      <c r="B466" s="2547" t="s">
        <v>2732</v>
      </c>
      <c r="C466" s="2548">
        <v>332.67899999999997</v>
      </c>
    </row>
    <row r="467" spans="1:3" ht="15.75">
      <c r="A467" s="2547" t="s">
        <v>49</v>
      </c>
      <c r="B467" s="2547" t="s">
        <v>444</v>
      </c>
      <c r="C467" s="2548">
        <v>614.46900000000005</v>
      </c>
    </row>
    <row r="468" spans="1:3" ht="15.75">
      <c r="A468" s="2547" t="s">
        <v>173</v>
      </c>
      <c r="B468" s="2547" t="s">
        <v>2466</v>
      </c>
      <c r="C468" s="2548">
        <v>93.278000000000006</v>
      </c>
    </row>
    <row r="469" spans="1:3" ht="15.75">
      <c r="A469" s="2547" t="s">
        <v>567</v>
      </c>
      <c r="B469" s="2547" t="s">
        <v>2562</v>
      </c>
      <c r="C469" s="2548">
        <v>165.57599999999999</v>
      </c>
    </row>
    <row r="470" spans="1:3" ht="15.75">
      <c r="A470" s="2547" t="s">
        <v>1760</v>
      </c>
      <c r="B470" s="2547" t="s">
        <v>2999</v>
      </c>
      <c r="C470" s="2548">
        <v>1372.422</v>
      </c>
    </row>
    <row r="471" spans="1:3" ht="15.75">
      <c r="A471" s="2547" t="s">
        <v>568</v>
      </c>
      <c r="B471" s="2547" t="s">
        <v>2773</v>
      </c>
      <c r="C471" s="2548">
        <v>245.386</v>
      </c>
    </row>
    <row r="472" spans="1:3" ht="15.75">
      <c r="A472" s="2547" t="s">
        <v>1733</v>
      </c>
      <c r="B472" s="2547" t="s">
        <v>1522</v>
      </c>
      <c r="C472" s="2548">
        <v>339.60599999999999</v>
      </c>
    </row>
    <row r="473" spans="1:3" ht="15.75">
      <c r="A473" s="2547" t="s">
        <v>569</v>
      </c>
      <c r="B473" s="2547" t="s">
        <v>2989</v>
      </c>
      <c r="C473" s="2548">
        <v>170.827</v>
      </c>
    </row>
    <row r="474" spans="1:3" ht="15.75">
      <c r="A474" s="2547" t="s">
        <v>1761</v>
      </c>
      <c r="B474" s="2547" t="s">
        <v>3000</v>
      </c>
      <c r="C474" s="2548">
        <v>225.11699999999999</v>
      </c>
    </row>
    <row r="475" spans="1:3" ht="15.75">
      <c r="A475" s="2547" t="s">
        <v>1762</v>
      </c>
      <c r="B475" s="2547" t="s">
        <v>3001</v>
      </c>
      <c r="C475" s="2548">
        <v>2760.663</v>
      </c>
    </row>
    <row r="476" spans="1:3" ht="15.75">
      <c r="A476" s="2547" t="s">
        <v>1410</v>
      </c>
      <c r="B476" s="2547" t="s">
        <v>3002</v>
      </c>
      <c r="C476" s="2548">
        <v>322.95299999999997</v>
      </c>
    </row>
    <row r="477" spans="1:3" ht="15.75">
      <c r="A477" s="2547" t="s">
        <v>2104</v>
      </c>
      <c r="B477" s="2547" t="s">
        <v>2203</v>
      </c>
      <c r="C477" s="2548">
        <v>406.85700000000003</v>
      </c>
    </row>
    <row r="478" spans="1:3" ht="15.75">
      <c r="A478" s="2547" t="s">
        <v>1411</v>
      </c>
      <c r="B478" s="2547" t="s">
        <v>3003</v>
      </c>
      <c r="C478" s="2548">
        <v>584.01499999999999</v>
      </c>
    </row>
    <row r="479" spans="1:3" ht="15.75">
      <c r="A479" s="2547" t="s">
        <v>1412</v>
      </c>
      <c r="B479" s="2547" t="s">
        <v>3004</v>
      </c>
      <c r="C479" s="2548">
        <v>177.29400000000001</v>
      </c>
    </row>
    <row r="480" spans="1:3" ht="15.75">
      <c r="A480" s="2547" t="s">
        <v>1413</v>
      </c>
      <c r="B480" s="2547" t="s">
        <v>247</v>
      </c>
      <c r="C480" s="2548">
        <v>6501.9849999999997</v>
      </c>
    </row>
    <row r="481" spans="1:3" ht="15.75">
      <c r="A481" s="2547" t="s">
        <v>1991</v>
      </c>
      <c r="B481" s="2547" t="s">
        <v>1763</v>
      </c>
      <c r="C481" s="2548">
        <v>330.79300000000001</v>
      </c>
    </row>
    <row r="482" spans="1:3" ht="15.75">
      <c r="A482" s="2547" t="s">
        <v>1709</v>
      </c>
      <c r="B482" s="2547" t="s">
        <v>660</v>
      </c>
      <c r="C482" s="2548">
        <v>723.23</v>
      </c>
    </row>
    <row r="483" spans="1:3" ht="15.75">
      <c r="A483" s="2547" t="s">
        <v>208</v>
      </c>
      <c r="B483" s="2547" t="s">
        <v>248</v>
      </c>
      <c r="C483" s="2548">
        <v>4022.6030000000001</v>
      </c>
    </row>
    <row r="484" spans="1:3" ht="15.75">
      <c r="A484" s="2547" t="s">
        <v>1687</v>
      </c>
      <c r="B484" s="2547" t="s">
        <v>462</v>
      </c>
      <c r="C484" s="2548">
        <v>322.61799999999999</v>
      </c>
    </row>
    <row r="485" spans="1:3" ht="15.75">
      <c r="A485" s="2547" t="s">
        <v>209</v>
      </c>
      <c r="B485" s="2547" t="s">
        <v>249</v>
      </c>
      <c r="C485" s="2548">
        <v>481.23700000000002</v>
      </c>
    </row>
    <row r="486" spans="1:3" ht="15.75">
      <c r="A486" s="2547" t="s">
        <v>2217</v>
      </c>
      <c r="B486" s="2547" t="s">
        <v>2557</v>
      </c>
      <c r="C486" s="2548">
        <v>251.41200000000001</v>
      </c>
    </row>
    <row r="487" spans="1:3" ht="15.75">
      <c r="A487" s="2547" t="s">
        <v>210</v>
      </c>
      <c r="B487" s="2547" t="s">
        <v>702</v>
      </c>
      <c r="C487" s="2548">
        <v>700.66399999999999</v>
      </c>
    </row>
    <row r="488" spans="1:3" ht="15.75">
      <c r="A488" s="2547" t="s">
        <v>211</v>
      </c>
      <c r="B488" s="2547" t="s">
        <v>703</v>
      </c>
      <c r="C488" s="2548">
        <v>245.69399999999999</v>
      </c>
    </row>
    <row r="489" spans="1:3" ht="15.75">
      <c r="A489" s="2547" t="s">
        <v>1688</v>
      </c>
      <c r="B489" s="2547" t="s">
        <v>2216</v>
      </c>
      <c r="C489" s="2548">
        <v>205.22499999999999</v>
      </c>
    </row>
    <row r="490" spans="1:3" ht="15.75">
      <c r="A490" s="2547" t="s">
        <v>1601</v>
      </c>
      <c r="B490" s="2547" t="s">
        <v>704</v>
      </c>
      <c r="C490" s="2548">
        <v>1183.865</v>
      </c>
    </row>
    <row r="491" spans="1:3" ht="15.75">
      <c r="A491" s="2547" t="s">
        <v>1432</v>
      </c>
      <c r="B491" s="2547" t="s">
        <v>2480</v>
      </c>
      <c r="C491" s="2548">
        <v>442.53699999999998</v>
      </c>
    </row>
    <row r="492" spans="1:3" ht="15.75">
      <c r="A492" s="2547" t="s">
        <v>1104</v>
      </c>
      <c r="B492" s="2547" t="s">
        <v>2880</v>
      </c>
      <c r="C492" s="2548">
        <v>476.41899999999998</v>
      </c>
    </row>
    <row r="493" spans="1:3" ht="15.75">
      <c r="A493" s="2547" t="s">
        <v>1105</v>
      </c>
      <c r="B493" s="2547" t="s">
        <v>1767</v>
      </c>
      <c r="C493" s="2548">
        <v>471.935</v>
      </c>
    </row>
    <row r="494" spans="1:3" ht="15.75">
      <c r="A494" s="2547" t="s">
        <v>1011</v>
      </c>
      <c r="B494" s="2547" t="s">
        <v>1768</v>
      </c>
      <c r="C494" s="2548">
        <v>233.98400000000001</v>
      </c>
    </row>
    <row r="495" spans="1:3" ht="15.75">
      <c r="A495" s="2547" t="s">
        <v>2036</v>
      </c>
      <c r="B495" s="2547" t="s">
        <v>1769</v>
      </c>
      <c r="C495" s="2548">
        <v>3805.0909999999999</v>
      </c>
    </row>
    <row r="496" spans="1:3" ht="15.75">
      <c r="A496" s="2547" t="s">
        <v>3076</v>
      </c>
      <c r="B496" s="2547" t="s">
        <v>1770</v>
      </c>
      <c r="C496" s="2548">
        <v>850.09199999999998</v>
      </c>
    </row>
    <row r="497" spans="1:3" ht="15.75">
      <c r="A497" s="2547" t="s">
        <v>3077</v>
      </c>
      <c r="B497" s="2547" t="s">
        <v>1771</v>
      </c>
      <c r="C497" s="2548">
        <v>703.23800000000006</v>
      </c>
    </row>
    <row r="498" spans="1:3" ht="15.75">
      <c r="A498" s="2547" t="s">
        <v>1507</v>
      </c>
      <c r="B498" s="2547" t="s">
        <v>1772</v>
      </c>
      <c r="C498" s="2548">
        <v>411.44099999999997</v>
      </c>
    </row>
    <row r="499" spans="1:3" ht="15.75">
      <c r="A499" s="2547" t="s">
        <v>2492</v>
      </c>
      <c r="B499" s="2547" t="s">
        <v>1773</v>
      </c>
      <c r="C499" s="2548">
        <v>119.864</v>
      </c>
    </row>
    <row r="500" spans="1:3" ht="15.75">
      <c r="A500" s="2547" t="s">
        <v>1271</v>
      </c>
      <c r="B500" s="2547" t="s">
        <v>1774</v>
      </c>
      <c r="C500" s="2548">
        <v>67.870999999999995</v>
      </c>
    </row>
    <row r="501" spans="1:3" ht="15.75">
      <c r="A501" s="2547" t="s">
        <v>2155</v>
      </c>
      <c r="B501" s="2547" t="s">
        <v>726</v>
      </c>
      <c r="C501" s="2548">
        <v>1601.682</v>
      </c>
    </row>
    <row r="502" spans="1:3" ht="15.75">
      <c r="A502" s="2547" t="s">
        <v>1272</v>
      </c>
      <c r="B502" s="2547" t="s">
        <v>1775</v>
      </c>
      <c r="C502" s="2548">
        <v>461.29399999999998</v>
      </c>
    </row>
    <row r="503" spans="1:3" ht="15.75">
      <c r="A503" s="2547" t="s">
        <v>1618</v>
      </c>
      <c r="B503" s="2547" t="s">
        <v>1743</v>
      </c>
      <c r="C503" s="2548">
        <v>1500.1569999999999</v>
      </c>
    </row>
    <row r="504" spans="1:3" ht="15.75">
      <c r="A504" s="2547" t="s">
        <v>1209</v>
      </c>
      <c r="B504" s="2547" t="s">
        <v>1776</v>
      </c>
      <c r="C504" s="2548">
        <v>4821.0649999999996</v>
      </c>
    </row>
    <row r="505" spans="1:3" ht="15.75">
      <c r="A505" s="2547" t="s">
        <v>2218</v>
      </c>
      <c r="B505" s="2547" t="s">
        <v>2435</v>
      </c>
      <c r="C505" s="2548">
        <v>935.86500000000001</v>
      </c>
    </row>
    <row r="506" spans="1:3" ht="15.75">
      <c r="A506" s="2547" t="s">
        <v>1781</v>
      </c>
      <c r="B506" s="2547" t="s">
        <v>90</v>
      </c>
      <c r="C506" s="2548">
        <v>2311.663</v>
      </c>
    </row>
    <row r="507" spans="1:3" ht="15.75">
      <c r="A507" s="2547" t="s">
        <v>273</v>
      </c>
      <c r="B507" s="2547" t="s">
        <v>1292</v>
      </c>
      <c r="C507" s="2548">
        <v>627.221</v>
      </c>
    </row>
    <row r="508" spans="1:3" ht="15.75">
      <c r="A508" s="2547" t="s">
        <v>1210</v>
      </c>
      <c r="B508" s="2547" t="s">
        <v>1777</v>
      </c>
      <c r="C508" s="2548">
        <v>328.03199999999998</v>
      </c>
    </row>
    <row r="509" spans="1:3" ht="15.75">
      <c r="A509" s="2547" t="s">
        <v>987</v>
      </c>
      <c r="B509" s="2547" t="s">
        <v>903</v>
      </c>
      <c r="C509" s="2548">
        <v>576.96500000000003</v>
      </c>
    </row>
    <row r="510" spans="1:3" ht="15.75">
      <c r="A510" s="2547" t="s">
        <v>2105</v>
      </c>
      <c r="B510" s="2547" t="s">
        <v>1523</v>
      </c>
      <c r="C510" s="2548">
        <v>474.322</v>
      </c>
    </row>
    <row r="511" spans="1:3" ht="15.75">
      <c r="A511" s="2547" t="s">
        <v>1211</v>
      </c>
      <c r="B511" s="2547" t="s">
        <v>1778</v>
      </c>
      <c r="C511" s="2548">
        <v>2470.0709999999999</v>
      </c>
    </row>
    <row r="512" spans="1:3" ht="15.75">
      <c r="A512" s="2547" t="s">
        <v>2454</v>
      </c>
      <c r="B512" s="2547" t="s">
        <v>1196</v>
      </c>
      <c r="C512" s="2548">
        <v>701.69399999999996</v>
      </c>
    </row>
    <row r="513" spans="1:3" ht="15.75">
      <c r="A513" s="2547" t="s">
        <v>2455</v>
      </c>
      <c r="B513" s="2547" t="s">
        <v>1197</v>
      </c>
      <c r="C513" s="2548">
        <v>580.10900000000004</v>
      </c>
    </row>
    <row r="514" spans="1:3" ht="15.75">
      <c r="A514" s="2547" t="s">
        <v>1428</v>
      </c>
      <c r="B514" s="2547" t="s">
        <v>2890</v>
      </c>
      <c r="C514" s="2548">
        <v>98.637</v>
      </c>
    </row>
    <row r="515" spans="1:3" ht="15.75">
      <c r="A515" s="2547" t="s">
        <v>1429</v>
      </c>
      <c r="B515" s="2547" t="s">
        <v>1198</v>
      </c>
      <c r="C515" s="2548">
        <v>308.15899999999999</v>
      </c>
    </row>
    <row r="516" spans="1:3" ht="15.75">
      <c r="A516" s="2547" t="s">
        <v>1039</v>
      </c>
      <c r="B516" s="2547" t="s">
        <v>2821</v>
      </c>
      <c r="C516" s="2548">
        <v>242.62200000000001</v>
      </c>
    </row>
    <row r="517" spans="1:3" ht="15.75">
      <c r="A517" s="2547" t="s">
        <v>1040</v>
      </c>
      <c r="B517" s="2547" t="s">
        <v>2822</v>
      </c>
      <c r="C517" s="2548">
        <v>904.94799999999998</v>
      </c>
    </row>
    <row r="518" spans="1:3" ht="15.75">
      <c r="A518" s="2547" t="s">
        <v>1041</v>
      </c>
      <c r="B518" s="2547" t="s">
        <v>1199</v>
      </c>
      <c r="C518" s="2548">
        <v>337.399</v>
      </c>
    </row>
    <row r="519" spans="1:3" ht="15.75">
      <c r="A519" s="2547" t="s">
        <v>1042</v>
      </c>
      <c r="B519" s="2547" t="s">
        <v>685</v>
      </c>
      <c r="C519" s="2548">
        <v>1435.9670000000001</v>
      </c>
    </row>
    <row r="520" spans="1:3" ht="15.75">
      <c r="A520" s="2547" t="s">
        <v>2972</v>
      </c>
      <c r="B520" s="2547" t="s">
        <v>1671</v>
      </c>
      <c r="C520" s="2548">
        <v>727.2</v>
      </c>
    </row>
    <row r="521" spans="1:3" ht="15.75">
      <c r="A521" s="2547" t="s">
        <v>544</v>
      </c>
      <c r="B521" s="2547" t="s">
        <v>686</v>
      </c>
      <c r="C521" s="2548">
        <v>1147.1189999999999</v>
      </c>
    </row>
    <row r="522" spans="1:3" ht="15.75">
      <c r="A522" s="2547" t="s">
        <v>3042</v>
      </c>
      <c r="B522" s="2547" t="s">
        <v>2859</v>
      </c>
      <c r="C522" s="2548">
        <v>375.46699999999998</v>
      </c>
    </row>
    <row r="523" spans="1:3" ht="15.75">
      <c r="A523" s="2547" t="s">
        <v>995</v>
      </c>
      <c r="B523" s="2547" t="s">
        <v>1632</v>
      </c>
      <c r="C523" s="2548">
        <v>1360.5039999999999</v>
      </c>
    </row>
    <row r="524" spans="1:3" ht="15.75">
      <c r="A524" s="2547" t="s">
        <v>51</v>
      </c>
      <c r="B524" s="2547" t="s">
        <v>446</v>
      </c>
      <c r="C524" s="2548">
        <v>2316.9160000000002</v>
      </c>
    </row>
    <row r="525" spans="1:3" ht="15.75">
      <c r="A525" s="2547" t="s">
        <v>61</v>
      </c>
      <c r="B525" s="2547" t="s">
        <v>2296</v>
      </c>
      <c r="C525" s="2548">
        <v>1419.5650000000001</v>
      </c>
    </row>
    <row r="526" spans="1:3" ht="15.75">
      <c r="A526" s="2547" t="s">
        <v>3043</v>
      </c>
      <c r="B526" s="2547" t="s">
        <v>2860</v>
      </c>
      <c r="C526" s="2548">
        <v>437.62200000000001</v>
      </c>
    </row>
    <row r="527" spans="1:3" ht="15.75">
      <c r="A527" s="2547" t="s">
        <v>3044</v>
      </c>
      <c r="B527" s="2547" t="s">
        <v>2861</v>
      </c>
      <c r="C527" s="2548">
        <v>208.869</v>
      </c>
    </row>
    <row r="528" spans="1:3" ht="15.75">
      <c r="A528" s="2547" t="s">
        <v>3045</v>
      </c>
      <c r="B528" s="2547" t="s">
        <v>2618</v>
      </c>
      <c r="C528" s="2548">
        <v>44.63</v>
      </c>
    </row>
    <row r="529" spans="1:3" ht="15.75">
      <c r="A529" s="2547" t="s">
        <v>2905</v>
      </c>
      <c r="B529" s="2547" t="s">
        <v>426</v>
      </c>
      <c r="C529" s="2548">
        <v>4934.5069999999996</v>
      </c>
    </row>
    <row r="530" spans="1:3" ht="15.75">
      <c r="A530" s="2547" t="s">
        <v>2615</v>
      </c>
      <c r="B530" s="2547" t="s">
        <v>2619</v>
      </c>
      <c r="C530" s="2548">
        <v>7933.1260000000002</v>
      </c>
    </row>
    <row r="531" spans="1:3" ht="15.75">
      <c r="A531" s="2547" t="s">
        <v>2616</v>
      </c>
      <c r="B531" s="2547" t="s">
        <v>3089</v>
      </c>
      <c r="C531" s="2548">
        <v>4751.1909999999998</v>
      </c>
    </row>
    <row r="532" spans="1:3" ht="15.75">
      <c r="A532" s="2547" t="s">
        <v>1501</v>
      </c>
      <c r="B532" s="2547" t="s">
        <v>3090</v>
      </c>
      <c r="C532" s="2548">
        <v>17392.519</v>
      </c>
    </row>
    <row r="533" spans="1:3" ht="15.75">
      <c r="A533" s="2547" t="s">
        <v>1502</v>
      </c>
      <c r="B533" s="2547" t="s">
        <v>3091</v>
      </c>
      <c r="C533" s="2548">
        <v>346.02100000000002</v>
      </c>
    </row>
    <row r="534" spans="1:3" ht="15.75">
      <c r="A534" s="2547" t="s">
        <v>1484</v>
      </c>
      <c r="B534" s="2547" t="s">
        <v>1950</v>
      </c>
      <c r="C534" s="2548">
        <v>1715.3820000000001</v>
      </c>
    </row>
    <row r="535" spans="1:3" ht="15.75">
      <c r="A535" s="2547" t="s">
        <v>1503</v>
      </c>
      <c r="B535" s="2547" t="s">
        <v>1956</v>
      </c>
      <c r="C535" s="2548">
        <v>1055.5039999999999</v>
      </c>
    </row>
    <row r="536" spans="1:3" ht="15.75">
      <c r="A536" s="2547" t="s">
        <v>2299</v>
      </c>
      <c r="B536" s="2547" t="s">
        <v>799</v>
      </c>
      <c r="C536" s="2548">
        <v>4684.3320000000003</v>
      </c>
    </row>
    <row r="537" spans="1:3" ht="15.75">
      <c r="A537" s="2547" t="s">
        <v>2652</v>
      </c>
      <c r="B537" s="2547" t="s">
        <v>3080</v>
      </c>
      <c r="C537" s="2548">
        <v>522.21100000000001</v>
      </c>
    </row>
    <row r="538" spans="1:3" ht="15.75">
      <c r="A538" s="2547" t="s">
        <v>1593</v>
      </c>
      <c r="B538" s="2547" t="s">
        <v>1151</v>
      </c>
      <c r="C538" s="2548">
        <v>1800.798</v>
      </c>
    </row>
    <row r="539" spans="1:3" ht="15.75">
      <c r="A539" s="2547" t="s">
        <v>244</v>
      </c>
      <c r="B539" s="2547" t="s">
        <v>2412</v>
      </c>
      <c r="C539" s="2548">
        <v>439.69499999999999</v>
      </c>
    </row>
    <row r="540" spans="1:3" ht="15.75">
      <c r="A540" s="2547" t="s">
        <v>1504</v>
      </c>
      <c r="B540" s="2547" t="s">
        <v>1957</v>
      </c>
      <c r="C540" s="2548">
        <v>110.95099999999999</v>
      </c>
    </row>
    <row r="541" spans="1:3" ht="15.75">
      <c r="A541" s="2547" t="s">
        <v>223</v>
      </c>
      <c r="B541" s="2547" t="s">
        <v>1201</v>
      </c>
      <c r="C541" s="2548">
        <v>3385.4250000000002</v>
      </c>
    </row>
    <row r="542" spans="1:3" ht="15.75">
      <c r="A542" s="2547" t="s">
        <v>2153</v>
      </c>
      <c r="B542" s="2547" t="s">
        <v>1634</v>
      </c>
      <c r="C542" s="2548">
        <v>10809.574000000001</v>
      </c>
    </row>
    <row r="543" spans="1:3" ht="15.75">
      <c r="A543" s="2547" t="s">
        <v>627</v>
      </c>
      <c r="B543" s="2547" t="s">
        <v>1328</v>
      </c>
      <c r="C543" s="2548">
        <v>6210.4</v>
      </c>
    </row>
    <row r="544" spans="1:3" ht="15.75">
      <c r="A544" s="2547" t="s">
        <v>2037</v>
      </c>
      <c r="B544" s="2547" t="s">
        <v>977</v>
      </c>
      <c r="C544" s="2548">
        <v>1087.845</v>
      </c>
    </row>
    <row r="545" spans="1:3" ht="15.75">
      <c r="A545" s="2547" t="s">
        <v>52</v>
      </c>
      <c r="B545" s="2547" t="s">
        <v>447</v>
      </c>
      <c r="C545" s="2548">
        <v>4855.8379999999997</v>
      </c>
    </row>
    <row r="546" spans="1:3" ht="15.75">
      <c r="A546" s="2547" t="s">
        <v>1505</v>
      </c>
      <c r="B546" s="2547" t="s">
        <v>2314</v>
      </c>
      <c r="C546" s="2548">
        <v>967.87300000000005</v>
      </c>
    </row>
    <row r="547" spans="1:3" ht="15.75">
      <c r="A547" s="2547" t="s">
        <v>2653</v>
      </c>
      <c r="B547" s="2547" t="s">
        <v>3094</v>
      </c>
      <c r="C547" s="2548">
        <v>681.33900000000006</v>
      </c>
    </row>
    <row r="548" spans="1:3" ht="15.75">
      <c r="A548" s="2547" t="s">
        <v>283</v>
      </c>
      <c r="B548" s="2547" t="s">
        <v>3040</v>
      </c>
      <c r="C548" s="2548">
        <v>1903.3810000000001</v>
      </c>
    </row>
    <row r="549" spans="1:3" ht="15.75">
      <c r="A549" s="2547" t="s">
        <v>1435</v>
      </c>
      <c r="B549" s="2547" t="s">
        <v>2651</v>
      </c>
      <c r="C549" s="2548">
        <v>1673.6289999999999</v>
      </c>
    </row>
    <row r="550" spans="1:3" ht="15.75">
      <c r="A550" s="2547" t="s">
        <v>2400</v>
      </c>
      <c r="B550" s="2547" t="s">
        <v>2771</v>
      </c>
      <c r="C550" s="2548">
        <v>651.83199999999999</v>
      </c>
    </row>
    <row r="551" spans="1:3" ht="15.75">
      <c r="A551" s="2547" t="s">
        <v>1506</v>
      </c>
      <c r="B551" s="2547" t="s">
        <v>2315</v>
      </c>
      <c r="C551" s="2548">
        <v>384.44900000000001</v>
      </c>
    </row>
    <row r="552" spans="1:3" ht="15.75">
      <c r="A552" s="2547" t="s">
        <v>2128</v>
      </c>
      <c r="B552" s="2547" t="s">
        <v>937</v>
      </c>
      <c r="C552" s="2548">
        <v>711.11599999999999</v>
      </c>
    </row>
    <row r="553" spans="1:3" ht="15.75">
      <c r="A553" s="2547" t="s">
        <v>2870</v>
      </c>
      <c r="B553" s="2547" t="s">
        <v>165</v>
      </c>
      <c r="C553" s="2548">
        <v>107.41200000000001</v>
      </c>
    </row>
    <row r="554" spans="1:3" ht="15.75">
      <c r="A554" s="2547" t="s">
        <v>288</v>
      </c>
      <c r="B554" s="2547" t="s">
        <v>2213</v>
      </c>
      <c r="C554" s="2548">
        <v>615.41700000000003</v>
      </c>
    </row>
    <row r="555" spans="1:3" ht="15.75">
      <c r="A555" s="2547" t="s">
        <v>54</v>
      </c>
      <c r="B555" s="2547" t="s">
        <v>449</v>
      </c>
      <c r="C555" s="2548">
        <v>980.21600000000001</v>
      </c>
    </row>
    <row r="556" spans="1:3" ht="15.75">
      <c r="A556" s="2547" t="s">
        <v>2871</v>
      </c>
      <c r="B556" s="2547" t="s">
        <v>454</v>
      </c>
      <c r="C556" s="2548">
        <v>723.61300000000006</v>
      </c>
    </row>
    <row r="557" spans="1:3" ht="15.75">
      <c r="A557" s="2547" t="s">
        <v>1317</v>
      </c>
      <c r="B557" s="2547" t="s">
        <v>2316</v>
      </c>
      <c r="C557" s="2548">
        <v>264.24700000000001</v>
      </c>
    </row>
    <row r="558" spans="1:3" ht="15.75">
      <c r="A558" s="2547" t="s">
        <v>1899</v>
      </c>
      <c r="B558" s="2547" t="s">
        <v>1005</v>
      </c>
      <c r="C558" s="2548">
        <v>350.334</v>
      </c>
    </row>
    <row r="559" spans="1:3" ht="15.75">
      <c r="A559" s="2547" t="s">
        <v>2757</v>
      </c>
      <c r="B559" s="2547" t="s">
        <v>456</v>
      </c>
      <c r="C559" s="2548">
        <v>3297.2820000000002</v>
      </c>
    </row>
    <row r="560" spans="1:3" ht="15.75">
      <c r="A560" s="2547" t="s">
        <v>1515</v>
      </c>
      <c r="B560" s="2547" t="s">
        <v>132</v>
      </c>
      <c r="C560" s="2548">
        <v>8964.8040000000001</v>
      </c>
    </row>
    <row r="561" spans="1:3" ht="15.75">
      <c r="A561" s="2547" t="s">
        <v>56</v>
      </c>
      <c r="B561" s="2547" t="s">
        <v>451</v>
      </c>
      <c r="C561" s="2548">
        <v>3581.2579999999998</v>
      </c>
    </row>
    <row r="562" spans="1:3" ht="15.75">
      <c r="A562" s="2547" t="s">
        <v>58</v>
      </c>
      <c r="B562" s="2547" t="s">
        <v>453</v>
      </c>
      <c r="C562" s="2548">
        <v>1383.8320000000001</v>
      </c>
    </row>
    <row r="563" spans="1:3" ht="15.75">
      <c r="A563" s="2547" t="s">
        <v>2923</v>
      </c>
      <c r="B563" s="2547" t="s">
        <v>2317</v>
      </c>
      <c r="C563" s="2548">
        <v>3162.498</v>
      </c>
    </row>
    <row r="564" spans="1:3" ht="15.75">
      <c r="A564" s="2547" t="s">
        <v>2924</v>
      </c>
      <c r="B564" s="2547" t="s">
        <v>2318</v>
      </c>
      <c r="C564" s="2548">
        <v>3861.768</v>
      </c>
    </row>
    <row r="565" spans="1:3" ht="15.75">
      <c r="A565" s="2547" t="s">
        <v>536</v>
      </c>
      <c r="B565" s="2547" t="s">
        <v>1415</v>
      </c>
      <c r="C565" s="2548">
        <v>968.48500000000001</v>
      </c>
    </row>
    <row r="566" spans="1:3" ht="15.75">
      <c r="A566" s="2547" t="s">
        <v>2925</v>
      </c>
      <c r="B566" s="2547" t="s">
        <v>2319</v>
      </c>
      <c r="C566" s="2548">
        <v>7592.3149999999996</v>
      </c>
    </row>
    <row r="567" spans="1:3" ht="15.75">
      <c r="A567" s="2547" t="s">
        <v>1732</v>
      </c>
      <c r="B567" s="2547" t="s">
        <v>2320</v>
      </c>
      <c r="C567" s="2548">
        <v>1040.259</v>
      </c>
    </row>
    <row r="568" spans="1:3" ht="15.75">
      <c r="A568" s="2547" t="s">
        <v>3088</v>
      </c>
      <c r="B568" s="2547" t="s">
        <v>2321</v>
      </c>
      <c r="C568" s="2548">
        <v>65.353999999999999</v>
      </c>
    </row>
    <row r="569" spans="1:3" ht="15.75">
      <c r="A569" s="2547" t="s">
        <v>2649</v>
      </c>
      <c r="B569" s="2547" t="s">
        <v>2322</v>
      </c>
      <c r="C569" s="2548">
        <v>110.496</v>
      </c>
    </row>
    <row r="570" spans="1:3" ht="15.75">
      <c r="A570" s="2547" t="s">
        <v>1734</v>
      </c>
      <c r="B570" s="2547" t="s">
        <v>734</v>
      </c>
      <c r="C570" s="2548">
        <v>535.93600000000004</v>
      </c>
    </row>
    <row r="571" spans="1:3" ht="15.75">
      <c r="A571" s="2547" t="s">
        <v>2913</v>
      </c>
      <c r="B571" s="2547" t="s">
        <v>2323</v>
      </c>
      <c r="C571" s="2548">
        <v>150.10300000000001</v>
      </c>
    </row>
    <row r="572" spans="1:3" ht="15.75">
      <c r="A572" s="2547" t="s">
        <v>2914</v>
      </c>
      <c r="B572" s="2547" t="s">
        <v>2324</v>
      </c>
      <c r="C572" s="2548">
        <v>4692.3119999999999</v>
      </c>
    </row>
    <row r="573" spans="1:3" ht="15.75">
      <c r="A573" s="2547" t="s">
        <v>529</v>
      </c>
      <c r="B573" s="2547" t="s">
        <v>2325</v>
      </c>
      <c r="C573" s="2548">
        <v>991.44399999999996</v>
      </c>
    </row>
    <row r="574" spans="1:3" ht="15.75">
      <c r="A574" s="2547" t="s">
        <v>2601</v>
      </c>
      <c r="B574" s="2547" t="s">
        <v>2326</v>
      </c>
      <c r="C574" s="2548">
        <v>18.317</v>
      </c>
    </row>
    <row r="575" spans="1:3" ht="15.75">
      <c r="A575" s="2547" t="s">
        <v>2602</v>
      </c>
      <c r="B575" s="2547" t="s">
        <v>2327</v>
      </c>
      <c r="C575" s="2548">
        <v>608.85699999999997</v>
      </c>
    </row>
    <row r="576" spans="1:3" ht="15.75">
      <c r="A576" s="2547" t="s">
        <v>1727</v>
      </c>
      <c r="B576" s="2547" t="s">
        <v>2328</v>
      </c>
      <c r="C576" s="2548">
        <v>107.837</v>
      </c>
    </row>
    <row r="577" spans="1:3" ht="15.75">
      <c r="A577" s="2547" t="s">
        <v>1728</v>
      </c>
      <c r="B577" s="2547" t="s">
        <v>2329</v>
      </c>
      <c r="C577" s="2548">
        <v>570.02800000000002</v>
      </c>
    </row>
    <row r="578" spans="1:3" ht="15.75">
      <c r="A578" s="2547" t="s">
        <v>2872</v>
      </c>
      <c r="B578" s="2547" t="s">
        <v>2295</v>
      </c>
      <c r="C578" s="2548">
        <v>3109.0940000000001</v>
      </c>
    </row>
    <row r="579" spans="1:3" ht="15.75">
      <c r="A579" s="2547" t="s">
        <v>429</v>
      </c>
      <c r="B579" s="2547" t="s">
        <v>2330</v>
      </c>
      <c r="C579" s="2548">
        <v>616.05600000000004</v>
      </c>
    </row>
    <row r="580" spans="1:3" ht="15.75">
      <c r="A580" s="2547" t="s">
        <v>430</v>
      </c>
      <c r="B580" s="2547" t="s">
        <v>2331</v>
      </c>
      <c r="C580" s="2548">
        <v>393.54</v>
      </c>
    </row>
    <row r="581" spans="1:3" ht="15.75">
      <c r="A581" s="2547" t="s">
        <v>431</v>
      </c>
      <c r="B581" s="2547" t="s">
        <v>2332</v>
      </c>
      <c r="C581" s="2548">
        <v>648.68700000000001</v>
      </c>
    </row>
    <row r="582" spans="1:3" ht="15.75">
      <c r="A582" s="2547" t="s">
        <v>2873</v>
      </c>
      <c r="B582" s="2547" t="s">
        <v>1904</v>
      </c>
      <c r="C582" s="2548">
        <v>280.54599999999999</v>
      </c>
    </row>
    <row r="583" spans="1:3" ht="15.75">
      <c r="A583" s="2547" t="s">
        <v>270</v>
      </c>
      <c r="B583" s="2547" t="s">
        <v>2333</v>
      </c>
      <c r="C583" s="2548">
        <v>347.99700000000001</v>
      </c>
    </row>
    <row r="584" spans="1:3" ht="15.75">
      <c r="A584" s="2547" t="s">
        <v>271</v>
      </c>
      <c r="B584" s="2547" t="s">
        <v>2334</v>
      </c>
      <c r="C584" s="2548">
        <v>82.801000000000002</v>
      </c>
    </row>
    <row r="585" spans="1:3" ht="15.75">
      <c r="A585" s="2547" t="s">
        <v>272</v>
      </c>
      <c r="B585" s="2547" t="s">
        <v>2335</v>
      </c>
      <c r="C585" s="2548">
        <v>877.61</v>
      </c>
    </row>
    <row r="586" spans="1:3" ht="15.75">
      <c r="A586" s="2547" t="s">
        <v>2654</v>
      </c>
      <c r="B586" s="2547" t="s">
        <v>667</v>
      </c>
      <c r="C586" s="2548">
        <v>152.017</v>
      </c>
    </row>
    <row r="587" spans="1:3" ht="15.75">
      <c r="A587" s="2547" t="s">
        <v>2303</v>
      </c>
      <c r="B587" s="2547" t="s">
        <v>226</v>
      </c>
      <c r="C587" s="2548">
        <v>3352.84</v>
      </c>
    </row>
    <row r="588" spans="1:3" ht="15.75">
      <c r="A588" s="2547" t="s">
        <v>2370</v>
      </c>
      <c r="B588" s="2547" t="s">
        <v>2786</v>
      </c>
      <c r="C588" s="2548">
        <v>2587.9520000000002</v>
      </c>
    </row>
    <row r="589" spans="1:3" ht="15.75">
      <c r="A589" s="2547" t="s">
        <v>2874</v>
      </c>
      <c r="B589" s="2547" t="s">
        <v>2411</v>
      </c>
      <c r="C589" s="2548">
        <v>1047.114</v>
      </c>
    </row>
    <row r="590" spans="1:3" ht="15.75">
      <c r="A590" s="2547" t="s">
        <v>1754</v>
      </c>
      <c r="B590" s="2547" t="s">
        <v>2787</v>
      </c>
      <c r="C590" s="2548">
        <v>141.44</v>
      </c>
    </row>
    <row r="591" spans="1:3" ht="15.75">
      <c r="A591" s="2547" t="s">
        <v>1755</v>
      </c>
      <c r="B591" s="2547" t="s">
        <v>1064</v>
      </c>
      <c r="C591" s="2548">
        <v>1323.0319999999999</v>
      </c>
    </row>
    <row r="592" spans="1:3" ht="15.75">
      <c r="A592" s="2547" t="s">
        <v>1592</v>
      </c>
      <c r="B592" s="2547" t="s">
        <v>934</v>
      </c>
      <c r="C592" s="2548">
        <v>596.61099999999999</v>
      </c>
    </row>
    <row r="593" spans="1:3" ht="15.75">
      <c r="A593" s="2547" t="s">
        <v>2584</v>
      </c>
      <c r="B593" s="2547" t="s">
        <v>1067</v>
      </c>
      <c r="C593" s="2548">
        <v>354.495</v>
      </c>
    </row>
    <row r="594" spans="1:3" ht="15.75">
      <c r="A594" s="2547" t="s">
        <v>2585</v>
      </c>
      <c r="B594" s="2547" t="s">
        <v>1068</v>
      </c>
      <c r="C594" s="2548">
        <v>427.55799999999999</v>
      </c>
    </row>
    <row r="595" spans="1:3" ht="15.75">
      <c r="A595" s="2547" t="s">
        <v>2586</v>
      </c>
      <c r="B595" s="2547" t="s">
        <v>1069</v>
      </c>
      <c r="C595" s="2548">
        <v>3142.527</v>
      </c>
    </row>
    <row r="596" spans="1:3" ht="15.75">
      <c r="A596" s="2547" t="s">
        <v>2587</v>
      </c>
      <c r="B596" s="2547" t="s">
        <v>1070</v>
      </c>
      <c r="C596" s="2548">
        <v>281.08699999999999</v>
      </c>
    </row>
    <row r="597" spans="1:3" ht="15.75">
      <c r="A597" s="2547" t="s">
        <v>2755</v>
      </c>
      <c r="B597" s="2547" t="s">
        <v>1258</v>
      </c>
      <c r="C597" s="2548">
        <v>1237.576</v>
      </c>
    </row>
    <row r="598" spans="1:3" ht="15.75">
      <c r="A598" s="2547" t="s">
        <v>2588</v>
      </c>
      <c r="B598" s="2547" t="s">
        <v>1071</v>
      </c>
      <c r="C598" s="2548">
        <v>1020.853</v>
      </c>
    </row>
    <row r="599" spans="1:3" ht="15.75">
      <c r="A599" s="2547" t="s">
        <v>2589</v>
      </c>
      <c r="B599" s="2547" t="s">
        <v>1072</v>
      </c>
      <c r="C599" s="2548">
        <v>294.56900000000002</v>
      </c>
    </row>
    <row r="600" spans="1:3" ht="15.75">
      <c r="A600" s="2547" t="s">
        <v>2590</v>
      </c>
      <c r="B600" s="2547" t="s">
        <v>1073</v>
      </c>
      <c r="C600" s="2548">
        <v>554.97</v>
      </c>
    </row>
    <row r="601" spans="1:3" ht="15.75">
      <c r="A601" s="2547" t="s">
        <v>2591</v>
      </c>
      <c r="B601" s="2547" t="s">
        <v>1074</v>
      </c>
      <c r="C601" s="2548">
        <v>96.542000000000002</v>
      </c>
    </row>
    <row r="602" spans="1:3" ht="15.75">
      <c r="A602" s="2547" t="s">
        <v>2592</v>
      </c>
      <c r="B602" s="2547" t="s">
        <v>1075</v>
      </c>
      <c r="C602" s="2548">
        <v>135.82</v>
      </c>
    </row>
    <row r="603" spans="1:3" ht="15.75">
      <c r="A603" s="2547" t="s">
        <v>2981</v>
      </c>
      <c r="B603" s="2547" t="s">
        <v>1076</v>
      </c>
      <c r="C603" s="2548">
        <v>86.873999999999995</v>
      </c>
    </row>
    <row r="604" spans="1:3" ht="15.75">
      <c r="A604" s="2547" t="s">
        <v>2982</v>
      </c>
      <c r="B604" s="2547" t="s">
        <v>1077</v>
      </c>
      <c r="C604" s="2548">
        <v>1806.4059999999999</v>
      </c>
    </row>
    <row r="605" spans="1:3" ht="15.75">
      <c r="A605" s="2547" t="s">
        <v>2983</v>
      </c>
      <c r="B605" s="2547" t="s">
        <v>1078</v>
      </c>
      <c r="C605" s="2548">
        <v>917.71100000000001</v>
      </c>
    </row>
    <row r="606" spans="1:3" ht="15.75">
      <c r="A606" s="2547" t="s">
        <v>2984</v>
      </c>
      <c r="B606" s="2547" t="s">
        <v>1079</v>
      </c>
      <c r="C606" s="2548">
        <v>173.82900000000001</v>
      </c>
    </row>
    <row r="607" spans="1:3" ht="15.75">
      <c r="A607" s="2547" t="s">
        <v>2985</v>
      </c>
      <c r="B607" s="2547" t="s">
        <v>1080</v>
      </c>
      <c r="C607" s="2548">
        <v>871.46100000000001</v>
      </c>
    </row>
    <row r="608" spans="1:3" ht="15.75">
      <c r="A608" s="2547" t="s">
        <v>1561</v>
      </c>
      <c r="B608" s="2547" t="s">
        <v>2081</v>
      </c>
      <c r="C608" s="2548">
        <v>631.77</v>
      </c>
    </row>
    <row r="609" spans="1:3" ht="15.75">
      <c r="A609" s="2547" t="s">
        <v>1562</v>
      </c>
      <c r="B609" s="2547" t="s">
        <v>2082</v>
      </c>
      <c r="C609" s="2548">
        <v>521.41</v>
      </c>
    </row>
    <row r="610" spans="1:3" ht="15.75">
      <c r="A610" s="2547" t="s">
        <v>2783</v>
      </c>
      <c r="B610" s="2547" t="s">
        <v>2083</v>
      </c>
      <c r="C610" s="2548">
        <v>166.94200000000001</v>
      </c>
    </row>
    <row r="611" spans="1:3" ht="15.75">
      <c r="A611" s="2547" t="s">
        <v>2421</v>
      </c>
      <c r="B611" s="2547" t="s">
        <v>2282</v>
      </c>
      <c r="C611" s="2548">
        <v>735.95500000000004</v>
      </c>
    </row>
    <row r="612" spans="1:3" ht="15.75">
      <c r="A612" s="2547" t="s">
        <v>3029</v>
      </c>
      <c r="B612" s="2547" t="s">
        <v>1329</v>
      </c>
      <c r="C612" s="2548">
        <v>3846.9090000000001</v>
      </c>
    </row>
    <row r="613" spans="1:3" ht="15.75">
      <c r="A613" s="2547" t="s">
        <v>2762</v>
      </c>
      <c r="B613" s="2547" t="s">
        <v>3061</v>
      </c>
      <c r="C613" s="2548">
        <v>4890.6329999999998</v>
      </c>
    </row>
    <row r="614" spans="1:3" ht="15.75">
      <c r="A614" s="2547" t="s">
        <v>2422</v>
      </c>
      <c r="B614" s="2547" t="s">
        <v>2283</v>
      </c>
      <c r="C614" s="2548">
        <v>167.95500000000001</v>
      </c>
    </row>
    <row r="615" spans="1:3" ht="15.75">
      <c r="A615" s="2547" t="s">
        <v>2875</v>
      </c>
      <c r="B615" s="2547" t="s">
        <v>1951</v>
      </c>
      <c r="C615" s="2548">
        <v>1276.8920000000001</v>
      </c>
    </row>
    <row r="616" spans="1:3" ht="15.75">
      <c r="A616" s="2547" t="s">
        <v>1277</v>
      </c>
      <c r="B616" s="2547" t="s">
        <v>2735</v>
      </c>
      <c r="C616" s="2548">
        <v>437.07100000000003</v>
      </c>
    </row>
    <row r="617" spans="1:3" ht="15.75">
      <c r="A617" s="2547" t="s">
        <v>2423</v>
      </c>
      <c r="B617" s="2547" t="s">
        <v>590</v>
      </c>
      <c r="C617" s="2548">
        <v>2001.874</v>
      </c>
    </row>
    <row r="618" spans="1:3" ht="15.75">
      <c r="A618" s="2547" t="s">
        <v>2424</v>
      </c>
      <c r="B618" s="2547" t="s">
        <v>591</v>
      </c>
      <c r="C618" s="2548">
        <v>1763.318</v>
      </c>
    </row>
    <row r="619" spans="1:3" ht="15.75">
      <c r="A619" s="2547" t="s">
        <v>1093</v>
      </c>
      <c r="B619" s="2547" t="s">
        <v>1747</v>
      </c>
      <c r="C619" s="2548">
        <v>317.447</v>
      </c>
    </row>
    <row r="620" spans="1:3" ht="15.75">
      <c r="A620" s="2547" t="s">
        <v>1513</v>
      </c>
      <c r="B620" s="2547" t="s">
        <v>592</v>
      </c>
      <c r="C620" s="2548">
        <v>1674.184</v>
      </c>
    </row>
    <row r="621" spans="1:3" ht="15.75">
      <c r="A621" s="2547" t="s">
        <v>1902</v>
      </c>
      <c r="B621" s="2547" t="s">
        <v>593</v>
      </c>
      <c r="C621" s="2548">
        <v>1701.229</v>
      </c>
    </row>
    <row r="622" spans="1:3" ht="15.75">
      <c r="A622" s="2547" t="s">
        <v>1903</v>
      </c>
      <c r="B622" s="2547" t="s">
        <v>594</v>
      </c>
      <c r="C622" s="2548">
        <v>372.87900000000002</v>
      </c>
    </row>
    <row r="623" spans="1:3" ht="15.75">
      <c r="A623" s="2547" t="s">
        <v>2926</v>
      </c>
      <c r="B623" s="2547" t="s">
        <v>595</v>
      </c>
      <c r="C623" s="2548">
        <v>157.11600000000001</v>
      </c>
    </row>
    <row r="624" spans="1:3" ht="15.75">
      <c r="A624" s="2547" t="s">
        <v>2927</v>
      </c>
      <c r="B624" s="2547" t="s">
        <v>596</v>
      </c>
      <c r="C624" s="2548">
        <v>127.02800000000001</v>
      </c>
    </row>
    <row r="625" spans="1:3" ht="15.75">
      <c r="A625" s="2547" t="s">
        <v>3056</v>
      </c>
      <c r="B625" s="2547" t="s">
        <v>597</v>
      </c>
      <c r="C625" s="2548">
        <v>104.00700000000001</v>
      </c>
    </row>
    <row r="626" spans="1:3" ht="15.75">
      <c r="A626" s="2547" t="s">
        <v>947</v>
      </c>
      <c r="B626" s="2547" t="s">
        <v>598</v>
      </c>
      <c r="C626" s="2548">
        <v>1017.878</v>
      </c>
    </row>
    <row r="627" spans="1:3" ht="15.75">
      <c r="A627" s="2547" t="s">
        <v>95</v>
      </c>
      <c r="B627" s="2547" t="s">
        <v>599</v>
      </c>
      <c r="C627" s="2548">
        <v>628.09900000000005</v>
      </c>
    </row>
    <row r="628" spans="1:3" ht="15.75">
      <c r="A628" s="2547" t="s">
        <v>96</v>
      </c>
      <c r="B628" s="2547" t="s">
        <v>600</v>
      </c>
      <c r="C628" s="2548">
        <v>1705.1289999999999</v>
      </c>
    </row>
    <row r="629" spans="1:3" ht="15.75">
      <c r="A629" s="2547" t="s">
        <v>2607</v>
      </c>
      <c r="B629" s="2547" t="s">
        <v>640</v>
      </c>
      <c r="C629" s="2548">
        <v>26610.888999999999</v>
      </c>
    </row>
    <row r="630" spans="1:3" ht="15.75">
      <c r="A630" s="2547" t="s">
        <v>2764</v>
      </c>
      <c r="B630" s="2547" t="s">
        <v>601</v>
      </c>
      <c r="C630" s="2548">
        <v>686.20699999999999</v>
      </c>
    </row>
    <row r="631" spans="1:3" ht="15.75">
      <c r="A631" s="2547" t="s">
        <v>2765</v>
      </c>
      <c r="B631" s="2547" t="s">
        <v>602</v>
      </c>
      <c r="C631" s="2548">
        <v>1161.4570000000001</v>
      </c>
    </row>
    <row r="632" spans="1:3" ht="15.75">
      <c r="A632" s="2547" t="s">
        <v>2414</v>
      </c>
      <c r="B632" s="2547" t="s">
        <v>641</v>
      </c>
      <c r="C632" s="2548">
        <v>5479.9589999999998</v>
      </c>
    </row>
    <row r="633" spans="1:3" ht="15.75">
      <c r="A633" s="2547" t="s">
        <v>1603</v>
      </c>
      <c r="B633" s="2547" t="s">
        <v>2627</v>
      </c>
      <c r="C633" s="2548">
        <v>8706.6</v>
      </c>
    </row>
    <row r="634" spans="1:3" ht="15.75">
      <c r="A634" s="2547" t="s">
        <v>2766</v>
      </c>
      <c r="B634" s="2547" t="s">
        <v>603</v>
      </c>
      <c r="C634" s="2548">
        <v>1016.904</v>
      </c>
    </row>
    <row r="635" spans="1:3" ht="15.75">
      <c r="A635" s="2547" t="s">
        <v>538</v>
      </c>
      <c r="B635" s="2547" t="s">
        <v>1417</v>
      </c>
      <c r="C635" s="2548">
        <v>1516.9290000000001</v>
      </c>
    </row>
    <row r="636" spans="1:3" ht="15.75">
      <c r="A636" s="2547" t="s">
        <v>775</v>
      </c>
      <c r="B636" s="2547" t="s">
        <v>604</v>
      </c>
      <c r="C636" s="2548">
        <v>950.87400000000002</v>
      </c>
    </row>
    <row r="637" spans="1:3" ht="15.75">
      <c r="A637" s="2547" t="s">
        <v>2679</v>
      </c>
      <c r="B637" s="2547" t="s">
        <v>605</v>
      </c>
      <c r="C637" s="2548">
        <v>281.20999999999998</v>
      </c>
    </row>
    <row r="638" spans="1:3" ht="15.75">
      <c r="A638" s="2547" t="s">
        <v>2680</v>
      </c>
      <c r="B638" s="2547" t="s">
        <v>606</v>
      </c>
      <c r="C638" s="2548">
        <v>546.15200000000004</v>
      </c>
    </row>
    <row r="639" spans="1:3" ht="15.75">
      <c r="A639" s="2547" t="s">
        <v>2681</v>
      </c>
      <c r="B639" s="2547" t="s">
        <v>607</v>
      </c>
      <c r="C639" s="2548">
        <v>337.71899999999999</v>
      </c>
    </row>
    <row r="640" spans="1:3" ht="15.75">
      <c r="A640" s="2547" t="s">
        <v>1651</v>
      </c>
      <c r="B640" s="2547" t="s">
        <v>608</v>
      </c>
      <c r="C640" s="2548">
        <v>103.247</v>
      </c>
    </row>
    <row r="641" spans="1:3" ht="15.75">
      <c r="A641" s="2547" t="s">
        <v>2389</v>
      </c>
      <c r="B641" s="2547" t="s">
        <v>44</v>
      </c>
      <c r="C641" s="2548">
        <v>2153.1790000000001</v>
      </c>
    </row>
    <row r="642" spans="1:3" ht="15.75">
      <c r="A642" s="2547" t="s">
        <v>1652</v>
      </c>
      <c r="B642" s="2547" t="s">
        <v>609</v>
      </c>
      <c r="C642" s="2548">
        <v>319.18400000000003</v>
      </c>
    </row>
    <row r="643" spans="1:3" ht="15.75">
      <c r="A643" s="2547" t="s">
        <v>418</v>
      </c>
      <c r="B643" s="2547" t="s">
        <v>610</v>
      </c>
      <c r="C643" s="2548">
        <v>1110.231</v>
      </c>
    </row>
    <row r="644" spans="1:3" ht="15.75">
      <c r="A644" s="2547" t="s">
        <v>419</v>
      </c>
      <c r="B644" s="2547" t="s">
        <v>611</v>
      </c>
      <c r="C644" s="2548">
        <v>927.05</v>
      </c>
    </row>
    <row r="645" spans="1:3" ht="15.75">
      <c r="A645" s="2547" t="s">
        <v>420</v>
      </c>
      <c r="B645" s="2547" t="s">
        <v>612</v>
      </c>
      <c r="C645" s="2548">
        <v>205.608</v>
      </c>
    </row>
    <row r="646" spans="1:3" ht="15.75">
      <c r="A646" s="2547" t="s">
        <v>1856</v>
      </c>
      <c r="B646" s="2547" t="s">
        <v>613</v>
      </c>
      <c r="C646" s="2548">
        <v>629.96699999999998</v>
      </c>
    </row>
    <row r="647" spans="1:3" ht="15.75">
      <c r="A647" s="2547" t="s">
        <v>1857</v>
      </c>
      <c r="B647" s="2547" t="s">
        <v>614</v>
      </c>
      <c r="C647" s="2548">
        <v>3439.7020000000002</v>
      </c>
    </row>
    <row r="648" spans="1:3" ht="15.75">
      <c r="A648" s="2547" t="s">
        <v>201</v>
      </c>
      <c r="B648" s="2547" t="s">
        <v>1964</v>
      </c>
      <c r="C648" s="2548">
        <v>827.68399999999997</v>
      </c>
    </row>
    <row r="649" spans="1:3" ht="15.75">
      <c r="A649" s="2547" t="s">
        <v>2438</v>
      </c>
      <c r="B649" s="2547" t="s">
        <v>1965</v>
      </c>
      <c r="C649" s="2548">
        <v>152.41399999999999</v>
      </c>
    </row>
    <row r="650" spans="1:3" ht="15.75">
      <c r="A650" s="2547" t="s">
        <v>2439</v>
      </c>
      <c r="B650" s="2547" t="s">
        <v>1966</v>
      </c>
      <c r="C650" s="2548">
        <v>1334.6</v>
      </c>
    </row>
    <row r="651" spans="1:3" ht="15.75">
      <c r="A651" s="2547" t="s">
        <v>2440</v>
      </c>
      <c r="B651" s="2547" t="s">
        <v>1967</v>
      </c>
      <c r="C651" s="2548">
        <v>949.31600000000003</v>
      </c>
    </row>
    <row r="652" spans="1:3" ht="15.75">
      <c r="A652" s="2547" t="s">
        <v>2057</v>
      </c>
      <c r="B652" s="2547" t="s">
        <v>1213</v>
      </c>
      <c r="C652" s="2548">
        <v>13913.387000000001</v>
      </c>
    </row>
    <row r="653" spans="1:3" ht="15.75">
      <c r="A653" s="2547" t="s">
        <v>992</v>
      </c>
      <c r="B653" s="2547" t="s">
        <v>2120</v>
      </c>
      <c r="C653" s="2548">
        <v>1182.9469999999999</v>
      </c>
    </row>
    <row r="654" spans="1:3" ht="15.75">
      <c r="A654" s="2547" t="s">
        <v>1583</v>
      </c>
      <c r="B654" s="2547" t="s">
        <v>1968</v>
      </c>
      <c r="C654" s="2548">
        <v>175.53800000000001</v>
      </c>
    </row>
    <row r="655" spans="1:3" ht="15.75">
      <c r="A655" s="2547" t="s">
        <v>2265</v>
      </c>
      <c r="B655" s="2547" t="s">
        <v>2547</v>
      </c>
      <c r="C655" s="2548">
        <v>86.049000000000007</v>
      </c>
    </row>
    <row r="656" spans="1:3" ht="15.75">
      <c r="A656" s="2547" t="s">
        <v>1094</v>
      </c>
      <c r="B656" s="2547" t="s">
        <v>457</v>
      </c>
      <c r="C656" s="2548">
        <v>545.74699999999996</v>
      </c>
    </row>
    <row r="657" spans="1:3" ht="15.75">
      <c r="A657" s="2547" t="s">
        <v>1012</v>
      </c>
      <c r="B657" s="2547" t="s">
        <v>2195</v>
      </c>
      <c r="C657" s="2548">
        <v>7462.0379999999996</v>
      </c>
    </row>
    <row r="658" spans="1:3" ht="15.75">
      <c r="A658" s="2547" t="s">
        <v>800</v>
      </c>
      <c r="B658" s="2547" t="s">
        <v>2172</v>
      </c>
      <c r="C658" s="2548">
        <v>2792.0430000000001</v>
      </c>
    </row>
    <row r="659" spans="1:3" ht="15.75">
      <c r="A659" s="2547" t="s">
        <v>1095</v>
      </c>
      <c r="B659" s="2547" t="s">
        <v>1426</v>
      </c>
      <c r="C659" s="2548">
        <v>1619.6130000000001</v>
      </c>
    </row>
    <row r="660" spans="1:3" ht="15.75">
      <c r="A660" s="2547" t="s">
        <v>2096</v>
      </c>
      <c r="B660" s="2547" t="s">
        <v>2358</v>
      </c>
      <c r="C660" s="2548">
        <v>474.226</v>
      </c>
    </row>
    <row r="661" spans="1:3" ht="15.75">
      <c r="A661" s="2547" t="s">
        <v>1735</v>
      </c>
      <c r="B661" s="2547" t="s">
        <v>927</v>
      </c>
      <c r="C661" s="2548">
        <v>1321.03</v>
      </c>
    </row>
    <row r="662" spans="1:3" ht="15.75">
      <c r="A662" s="2547" t="s">
        <v>134</v>
      </c>
      <c r="B662" s="2547" t="s">
        <v>1969</v>
      </c>
      <c r="C662" s="2548">
        <v>637.27</v>
      </c>
    </row>
    <row r="663" spans="1:3" ht="15.75">
      <c r="A663" s="2547" t="s">
        <v>2384</v>
      </c>
      <c r="B663" s="2547" t="s">
        <v>1958</v>
      </c>
      <c r="C663" s="2548">
        <v>568.572</v>
      </c>
    </row>
    <row r="664" spans="1:3" ht="15.75">
      <c r="A664" s="2547" t="s">
        <v>373</v>
      </c>
      <c r="B664" s="2547" t="s">
        <v>157</v>
      </c>
      <c r="C664" s="2548">
        <v>13528.286</v>
      </c>
    </row>
    <row r="665" spans="1:3" ht="15.75">
      <c r="A665" s="2547" t="s">
        <v>376</v>
      </c>
      <c r="B665" s="2547" t="s">
        <v>1610</v>
      </c>
      <c r="C665" s="2548">
        <v>1240.2619999999999</v>
      </c>
    </row>
    <row r="666" spans="1:3" ht="15.75">
      <c r="A666" s="2547" t="s">
        <v>2819</v>
      </c>
      <c r="B666" s="2547" t="s">
        <v>1970</v>
      </c>
      <c r="C666" s="2548">
        <v>728.44899999999996</v>
      </c>
    </row>
    <row r="667" spans="1:3" ht="15.75">
      <c r="A667" s="2547" t="s">
        <v>2820</v>
      </c>
      <c r="B667" s="2547" t="s">
        <v>1971</v>
      </c>
      <c r="C667" s="2548">
        <v>718.98800000000006</v>
      </c>
    </row>
    <row r="668" spans="1:3" ht="15.75">
      <c r="A668" s="2547" t="s">
        <v>85</v>
      </c>
      <c r="B668" s="2547" t="s">
        <v>1325</v>
      </c>
      <c r="C668" s="2548">
        <v>2492.5430000000001</v>
      </c>
    </row>
    <row r="669" spans="1:3" ht="15.75">
      <c r="A669" s="2547" t="s">
        <v>2638</v>
      </c>
      <c r="B669" s="2547" t="s">
        <v>1745</v>
      </c>
      <c r="C669" s="2548">
        <v>2164.0459999999998</v>
      </c>
    </row>
    <row r="670" spans="1:3" ht="15.75">
      <c r="A670" s="2547" t="s">
        <v>190</v>
      </c>
      <c r="B670" s="2547" t="s">
        <v>3097</v>
      </c>
      <c r="C670" s="2548">
        <v>2183.1179999999999</v>
      </c>
    </row>
    <row r="671" spans="1:3" ht="15.75">
      <c r="A671" s="2547" t="s">
        <v>991</v>
      </c>
      <c r="B671" s="2547" t="s">
        <v>1524</v>
      </c>
      <c r="C671" s="2548">
        <v>606.38800000000003</v>
      </c>
    </row>
    <row r="672" spans="1:3" ht="15.75">
      <c r="A672" s="2547" t="s">
        <v>2098</v>
      </c>
      <c r="B672" s="2547" t="s">
        <v>1972</v>
      </c>
      <c r="C672" s="2548">
        <v>160.62</v>
      </c>
    </row>
    <row r="673" spans="1:3" ht="15.75">
      <c r="A673" s="2547" t="s">
        <v>287</v>
      </c>
      <c r="B673" s="2547" t="s">
        <v>1973</v>
      </c>
      <c r="C673" s="2548">
        <v>234.131</v>
      </c>
    </row>
    <row r="674" spans="1:3" ht="15.75">
      <c r="A674" s="2547" t="s">
        <v>1782</v>
      </c>
      <c r="B674" s="2547" t="s">
        <v>1974</v>
      </c>
      <c r="C674" s="2548">
        <v>240.92599999999999</v>
      </c>
    </row>
    <row r="675" spans="1:3" ht="15.75">
      <c r="A675" s="2547" t="s">
        <v>1296</v>
      </c>
      <c r="B675" s="2547" t="s">
        <v>3066</v>
      </c>
      <c r="C675" s="2548">
        <v>1855.675</v>
      </c>
    </row>
    <row r="676" spans="1:3" ht="15.75">
      <c r="A676" s="2547" t="s">
        <v>2266</v>
      </c>
      <c r="B676" s="2547" t="s">
        <v>2493</v>
      </c>
      <c r="C676" s="2548">
        <v>336.05099999999999</v>
      </c>
    </row>
    <row r="677" spans="1:3" ht="15.75">
      <c r="A677" s="2547" t="s">
        <v>1036</v>
      </c>
      <c r="B677" s="2547" t="s">
        <v>2563</v>
      </c>
      <c r="C677" s="2548">
        <v>962.02800000000002</v>
      </c>
    </row>
    <row r="678" spans="1:3" ht="15.75">
      <c r="A678" s="2547" t="s">
        <v>199</v>
      </c>
      <c r="B678" s="2547" t="s">
        <v>2729</v>
      </c>
      <c r="C678" s="2548">
        <v>1912.6969999999999</v>
      </c>
    </row>
    <row r="679" spans="1:3" ht="15.75">
      <c r="A679" s="2547" t="s">
        <v>2896</v>
      </c>
      <c r="B679" s="2547" t="s">
        <v>931</v>
      </c>
      <c r="C679" s="2548">
        <v>4202.8320000000003</v>
      </c>
    </row>
    <row r="680" spans="1:3" ht="15.75">
      <c r="A680" s="2547" t="s">
        <v>2978</v>
      </c>
      <c r="B680" s="2547" t="s">
        <v>1975</v>
      </c>
      <c r="C680" s="2548">
        <v>274.15899999999999</v>
      </c>
    </row>
    <row r="681" spans="1:3" ht="15.75">
      <c r="A681" s="2547" t="s">
        <v>2899</v>
      </c>
      <c r="B681" s="2547" t="s">
        <v>2555</v>
      </c>
      <c r="C681" s="2548">
        <v>22579.614000000001</v>
      </c>
    </row>
    <row r="682" spans="1:3" ht="15.75">
      <c r="A682" s="2547" t="s">
        <v>1475</v>
      </c>
      <c r="B682" s="2547" t="s">
        <v>1976</v>
      </c>
      <c r="C682" s="2548">
        <v>2204.8620000000001</v>
      </c>
    </row>
    <row r="683" spans="1:3" ht="15.75">
      <c r="A683" s="2547" t="s">
        <v>2156</v>
      </c>
      <c r="B683" s="2547" t="s">
        <v>727</v>
      </c>
      <c r="C683" s="2548">
        <v>1598.0450000000001</v>
      </c>
    </row>
    <row r="684" spans="1:3" ht="15.75">
      <c r="A684" s="2547" t="s">
        <v>1536</v>
      </c>
      <c r="B684" s="2547" t="s">
        <v>1977</v>
      </c>
      <c r="C684" s="2548">
        <v>158.65700000000001</v>
      </c>
    </row>
    <row r="685" spans="1:3" ht="15.75">
      <c r="A685" s="2547" t="s">
        <v>2900</v>
      </c>
      <c r="B685" s="2547" t="s">
        <v>1978</v>
      </c>
      <c r="C685" s="2548">
        <v>399.44799999999998</v>
      </c>
    </row>
    <row r="686" spans="1:3" ht="15.75">
      <c r="A686" s="2547" t="s">
        <v>2513</v>
      </c>
      <c r="B686" s="2547" t="s">
        <v>1979</v>
      </c>
      <c r="C686" s="2548">
        <v>1452.45</v>
      </c>
    </row>
    <row r="687" spans="1:3" ht="15.75">
      <c r="A687" s="2547" t="s">
        <v>1046</v>
      </c>
      <c r="B687" s="2547" t="s">
        <v>1980</v>
      </c>
      <c r="C687" s="2548">
        <v>542.40300000000002</v>
      </c>
    </row>
    <row r="688" spans="1:3" ht="15.75">
      <c r="A688" s="2547" t="s">
        <v>409</v>
      </c>
      <c r="B688" s="2547" t="s">
        <v>3033</v>
      </c>
      <c r="C688" s="2548">
        <v>143.232</v>
      </c>
    </row>
    <row r="689" spans="1:3" ht="15.75">
      <c r="A689" s="2547" t="s">
        <v>1436</v>
      </c>
      <c r="B689" s="2547" t="s">
        <v>972</v>
      </c>
      <c r="C689" s="2548">
        <v>565.10500000000002</v>
      </c>
    </row>
    <row r="690" spans="1:3" ht="15.75">
      <c r="A690" s="2547" t="s">
        <v>3070</v>
      </c>
      <c r="B690" s="2547" t="s">
        <v>1981</v>
      </c>
      <c r="C690" s="2548">
        <v>386.11</v>
      </c>
    </row>
    <row r="691" spans="1:3" ht="15.75">
      <c r="A691" s="2547" t="s">
        <v>2267</v>
      </c>
      <c r="B691" s="2547" t="s">
        <v>86</v>
      </c>
      <c r="C691" s="2548">
        <v>103.026</v>
      </c>
    </row>
    <row r="692" spans="1:3" ht="15.75">
      <c r="A692" s="2547" t="s">
        <v>3072</v>
      </c>
      <c r="B692" s="2547" t="s">
        <v>1983</v>
      </c>
      <c r="C692" s="2548">
        <v>902.02</v>
      </c>
    </row>
    <row r="693" spans="1:3" ht="15.75">
      <c r="A693" s="2547" t="s">
        <v>3073</v>
      </c>
      <c r="B693" s="2547" t="s">
        <v>1984</v>
      </c>
      <c r="C693" s="2548">
        <v>149.309</v>
      </c>
    </row>
    <row r="694" spans="1:3" ht="15.75">
      <c r="A694" s="2547" t="s">
        <v>1676</v>
      </c>
      <c r="B694" s="2547" t="s">
        <v>1985</v>
      </c>
      <c r="C694" s="2548">
        <v>252.38900000000001</v>
      </c>
    </row>
    <row r="695" spans="1:3" ht="15.75">
      <c r="A695" s="2547" t="s">
        <v>1494</v>
      </c>
      <c r="B695" s="2547" t="s">
        <v>1542</v>
      </c>
      <c r="C695" s="2548">
        <v>1572.4079999999999</v>
      </c>
    </row>
    <row r="696" spans="1:3" ht="15.75">
      <c r="A696" s="2547" t="s">
        <v>1612</v>
      </c>
      <c r="B696" s="2547" t="s">
        <v>1543</v>
      </c>
      <c r="C696" s="2548">
        <v>737.22900000000004</v>
      </c>
    </row>
    <row r="697" spans="1:3" ht="15.75">
      <c r="A697" s="2547" t="s">
        <v>910</v>
      </c>
      <c r="B697" s="2547" t="s">
        <v>1544</v>
      </c>
      <c r="C697" s="2548">
        <v>131.166</v>
      </c>
    </row>
    <row r="698" spans="1:3" ht="15.75">
      <c r="A698" s="2547" t="s">
        <v>1685</v>
      </c>
      <c r="B698" s="2547" t="s">
        <v>2564</v>
      </c>
      <c r="C698" s="2548">
        <v>126.94499999999999</v>
      </c>
    </row>
    <row r="699" spans="1:3" ht="15.75">
      <c r="A699" s="2547" t="s">
        <v>1686</v>
      </c>
      <c r="B699" s="2547" t="s">
        <v>2565</v>
      </c>
      <c r="C699" s="2548">
        <v>132.47</v>
      </c>
    </row>
    <row r="700" spans="1:3" ht="15.75">
      <c r="A700" s="2547" t="s">
        <v>1445</v>
      </c>
      <c r="B700" s="2547" t="s">
        <v>2566</v>
      </c>
      <c r="C700" s="2548">
        <v>168.35400000000001</v>
      </c>
    </row>
    <row r="701" spans="1:3" ht="15.75">
      <c r="A701" s="2547" t="s">
        <v>1724</v>
      </c>
      <c r="B701" s="2547" t="s">
        <v>2567</v>
      </c>
      <c r="C701" s="2548">
        <v>228.584</v>
      </c>
    </row>
    <row r="702" spans="1:3" ht="15.75">
      <c r="A702" s="2547" t="s">
        <v>2639</v>
      </c>
      <c r="B702" s="2547" t="s">
        <v>1746</v>
      </c>
      <c r="C702" s="2548">
        <v>55147.171999999999</v>
      </c>
    </row>
    <row r="703" spans="1:3" ht="15.75">
      <c r="A703" s="2547" t="s">
        <v>1725</v>
      </c>
      <c r="B703" s="2547" t="s">
        <v>2568</v>
      </c>
      <c r="C703" s="2548">
        <v>7711.6480000000001</v>
      </c>
    </row>
    <row r="704" spans="1:3" ht="15.75">
      <c r="A704" s="2547" t="s">
        <v>1349</v>
      </c>
      <c r="B704" s="2547" t="s">
        <v>1288</v>
      </c>
      <c r="C704" s="2548">
        <v>6669.2740000000003</v>
      </c>
    </row>
    <row r="705" spans="1:3" ht="15.75">
      <c r="A705" s="2547" t="s">
        <v>378</v>
      </c>
      <c r="B705" s="2547" t="s">
        <v>319</v>
      </c>
      <c r="C705" s="2548">
        <v>12056.026</v>
      </c>
    </row>
    <row r="706" spans="1:3" ht="15.75">
      <c r="A706" s="2547" t="s">
        <v>1701</v>
      </c>
      <c r="B706" s="2547" t="s">
        <v>2209</v>
      </c>
      <c r="C706" s="2548">
        <v>3501.1660000000002</v>
      </c>
    </row>
    <row r="707" spans="1:3" ht="15.75">
      <c r="A707" s="2547" t="s">
        <v>801</v>
      </c>
      <c r="B707" s="2547" t="s">
        <v>1305</v>
      </c>
      <c r="C707" s="2548">
        <v>12834.704</v>
      </c>
    </row>
    <row r="708" spans="1:3" ht="15.75">
      <c r="A708" s="2547" t="s">
        <v>2134</v>
      </c>
      <c r="B708" s="2547" t="s">
        <v>2569</v>
      </c>
      <c r="C708" s="2548">
        <v>4206.6490000000003</v>
      </c>
    </row>
    <row r="709" spans="1:3" ht="15.75">
      <c r="A709" s="2547" t="s">
        <v>2135</v>
      </c>
      <c r="B709" s="2547" t="s">
        <v>2570</v>
      </c>
      <c r="C709" s="2548">
        <v>518.745</v>
      </c>
    </row>
    <row r="710" spans="1:3" ht="15.75">
      <c r="A710" s="2547" t="s">
        <v>2136</v>
      </c>
      <c r="B710" s="2547" t="s">
        <v>2571</v>
      </c>
      <c r="C710" s="2548">
        <v>967.51199999999994</v>
      </c>
    </row>
    <row r="711" spans="1:3" ht="15.75">
      <c r="A711" s="2547" t="s">
        <v>2137</v>
      </c>
      <c r="B711" s="2547" t="s">
        <v>3024</v>
      </c>
      <c r="C711" s="2548">
        <v>908.27300000000002</v>
      </c>
    </row>
    <row r="712" spans="1:3" ht="15.75">
      <c r="A712" s="2547" t="s">
        <v>2685</v>
      </c>
      <c r="B712" s="2547" t="s">
        <v>2573</v>
      </c>
      <c r="C712" s="2548">
        <v>150.11799999999999</v>
      </c>
    </row>
    <row r="713" spans="1:3" ht="15.75">
      <c r="A713" s="2547" t="s">
        <v>802</v>
      </c>
      <c r="B713" s="2547" t="s">
        <v>1326</v>
      </c>
      <c r="C713" s="2548">
        <v>356.16</v>
      </c>
    </row>
    <row r="714" spans="1:3" ht="15.75">
      <c r="A714" s="2547" t="s">
        <v>570</v>
      </c>
      <c r="B714" s="2547" t="s">
        <v>2574</v>
      </c>
      <c r="C714" s="2548">
        <v>499.28100000000001</v>
      </c>
    </row>
    <row r="715" spans="1:3" ht="15.75">
      <c r="A715" s="2547" t="s">
        <v>803</v>
      </c>
      <c r="B715" s="2547" t="s">
        <v>493</v>
      </c>
      <c r="C715" s="2548">
        <v>655.70899999999995</v>
      </c>
    </row>
    <row r="716" spans="1:3" ht="15.75">
      <c r="A716" s="2547" t="s">
        <v>571</v>
      </c>
      <c r="B716" s="2547" t="s">
        <v>2575</v>
      </c>
      <c r="C716" s="2548">
        <v>5975.0780000000004</v>
      </c>
    </row>
    <row r="717" spans="1:3" ht="15.75">
      <c r="A717" s="2547" t="s">
        <v>410</v>
      </c>
      <c r="B717" s="2547" t="s">
        <v>1291</v>
      </c>
      <c r="C717" s="2548">
        <v>705.42</v>
      </c>
    </row>
    <row r="718" spans="1:3" ht="15.75">
      <c r="A718" s="2547" t="s">
        <v>572</v>
      </c>
      <c r="B718" s="2547" t="s">
        <v>2576</v>
      </c>
      <c r="C718" s="2548">
        <v>1086.2860000000001</v>
      </c>
    </row>
    <row r="719" spans="1:3" ht="15.75">
      <c r="A719" s="2547" t="s">
        <v>573</v>
      </c>
      <c r="B719" s="2547" t="s">
        <v>2577</v>
      </c>
      <c r="C719" s="2548">
        <v>331.03899999999999</v>
      </c>
    </row>
    <row r="720" spans="1:3" ht="15.75">
      <c r="A720" s="2547" t="s">
        <v>877</v>
      </c>
      <c r="B720" s="2547" t="s">
        <v>1003</v>
      </c>
      <c r="C720" s="2548">
        <v>121.209</v>
      </c>
    </row>
    <row r="721" spans="1:3" ht="15.75">
      <c r="A721" s="2547" t="s">
        <v>574</v>
      </c>
      <c r="B721" s="2547" t="s">
        <v>2578</v>
      </c>
      <c r="C721" s="2548">
        <v>457.43799999999999</v>
      </c>
    </row>
    <row r="722" spans="1:3" ht="15.75">
      <c r="A722" s="2547" t="s">
        <v>575</v>
      </c>
      <c r="B722" s="2547" t="s">
        <v>339</v>
      </c>
      <c r="C722" s="2548">
        <v>798.36199999999997</v>
      </c>
    </row>
    <row r="723" spans="1:3" ht="15.75">
      <c r="A723" s="2547" t="s">
        <v>2754</v>
      </c>
      <c r="B723" s="2547" t="s">
        <v>1257</v>
      </c>
      <c r="C723" s="2548">
        <v>5556.5959999999995</v>
      </c>
    </row>
    <row r="724" spans="1:3" ht="15.75">
      <c r="A724" s="2547" t="s">
        <v>2761</v>
      </c>
      <c r="B724" s="2547" t="s">
        <v>3060</v>
      </c>
      <c r="C724" s="2548">
        <v>446.49400000000003</v>
      </c>
    </row>
    <row r="725" spans="1:3" ht="15.75">
      <c r="A725" s="2547" t="s">
        <v>20</v>
      </c>
      <c r="B725" s="2547" t="s">
        <v>340</v>
      </c>
      <c r="C725" s="2548">
        <v>410.32299999999998</v>
      </c>
    </row>
    <row r="726" spans="1:3" ht="15.75">
      <c r="A726" s="2547" t="s">
        <v>804</v>
      </c>
      <c r="B726" s="2547" t="s">
        <v>2877</v>
      </c>
      <c r="C726" s="2548">
        <v>559.55899999999997</v>
      </c>
    </row>
    <row r="727" spans="1:3" ht="15.75">
      <c r="A727" s="2547" t="s">
        <v>21</v>
      </c>
      <c r="B727" s="2547" t="s">
        <v>341</v>
      </c>
      <c r="C727" s="2548">
        <v>674.678</v>
      </c>
    </row>
    <row r="728" spans="1:3" ht="15.75">
      <c r="A728" s="2547" t="s">
        <v>2383</v>
      </c>
      <c r="B728" s="2547" t="s">
        <v>93</v>
      </c>
      <c r="C728" s="2548">
        <v>823.41899999999998</v>
      </c>
    </row>
    <row r="729" spans="1:3" ht="15.75">
      <c r="A729" s="2547" t="s">
        <v>22</v>
      </c>
      <c r="B729" s="2547" t="s">
        <v>342</v>
      </c>
      <c r="C729" s="2548">
        <v>273.10500000000002</v>
      </c>
    </row>
    <row r="730" spans="1:3" ht="15.75">
      <c r="A730" s="2547" t="s">
        <v>1159</v>
      </c>
      <c r="B730" s="2547" t="s">
        <v>2609</v>
      </c>
      <c r="C730" s="2548">
        <v>923.07600000000002</v>
      </c>
    </row>
    <row r="731" spans="1:3" ht="15.75">
      <c r="A731" s="2547" t="s">
        <v>2268</v>
      </c>
      <c r="B731" s="2547" t="s">
        <v>3067</v>
      </c>
      <c r="C731" s="2548">
        <v>582.125</v>
      </c>
    </row>
    <row r="732" spans="1:3" ht="15.75">
      <c r="A732" s="2547" t="s">
        <v>1736</v>
      </c>
      <c r="B732" s="2547" t="s">
        <v>4583</v>
      </c>
      <c r="C732" s="2548">
        <v>540.79499999999996</v>
      </c>
    </row>
    <row r="733" spans="1:3" ht="15.75">
      <c r="A733" s="2547" t="s">
        <v>2145</v>
      </c>
      <c r="B733" s="2547" t="s">
        <v>343</v>
      </c>
      <c r="C733" s="2548">
        <v>2016.9670000000001</v>
      </c>
    </row>
    <row r="734" spans="1:3" ht="15.75">
      <c r="A734" s="2547" t="s">
        <v>2637</v>
      </c>
      <c r="B734" s="2547" t="s">
        <v>2657</v>
      </c>
      <c r="C734" s="2548">
        <v>127.226</v>
      </c>
    </row>
    <row r="735" spans="1:3" ht="15.75">
      <c r="A735" s="2547" t="s">
        <v>464</v>
      </c>
      <c r="B735" s="2547" t="s">
        <v>345</v>
      </c>
      <c r="C735" s="2548">
        <v>210.83099999999999</v>
      </c>
    </row>
    <row r="736" spans="1:3" ht="15.75">
      <c r="A736" s="2547" t="s">
        <v>2858</v>
      </c>
      <c r="B736" s="2547" t="s">
        <v>346</v>
      </c>
      <c r="C736" s="2548">
        <v>352.47199999999998</v>
      </c>
    </row>
    <row r="737" spans="1:3" ht="15.75">
      <c r="A737" s="2547" t="s">
        <v>1337</v>
      </c>
      <c r="B737" s="2547" t="s">
        <v>2658</v>
      </c>
      <c r="C737" s="2548">
        <v>1296.4860000000001</v>
      </c>
    </row>
    <row r="738" spans="1:3" ht="15.75">
      <c r="A738" s="2547" t="s">
        <v>1338</v>
      </c>
      <c r="B738" s="2547" t="s">
        <v>348</v>
      </c>
      <c r="C738" s="2548">
        <v>3831.7649999999999</v>
      </c>
    </row>
    <row r="739" spans="1:3" ht="15.75">
      <c r="A739" s="2547" t="s">
        <v>2753</v>
      </c>
      <c r="B739" s="2547" t="s">
        <v>1256</v>
      </c>
      <c r="C739" s="2548">
        <v>35708.874000000003</v>
      </c>
    </row>
    <row r="740" spans="1:3" ht="15.75">
      <c r="A740" s="2547" t="s">
        <v>619</v>
      </c>
      <c r="B740" s="2547" t="s">
        <v>349</v>
      </c>
      <c r="C740" s="2548">
        <v>250.16900000000001</v>
      </c>
    </row>
    <row r="741" spans="1:3" ht="15.75">
      <c r="A741" s="2547" t="s">
        <v>632</v>
      </c>
      <c r="B741" s="2547" t="s">
        <v>350</v>
      </c>
      <c r="C741" s="2548">
        <v>784.04300000000001</v>
      </c>
    </row>
    <row r="742" spans="1:3" ht="15.75">
      <c r="A742" s="2547" t="s">
        <v>633</v>
      </c>
      <c r="B742" s="2547" t="s">
        <v>351</v>
      </c>
      <c r="C742" s="2548">
        <v>490.15600000000001</v>
      </c>
    </row>
    <row r="743" spans="1:3" ht="15.75">
      <c r="A743" s="2547" t="s">
        <v>191</v>
      </c>
      <c r="B743" s="2547" t="s">
        <v>3098</v>
      </c>
      <c r="C743" s="2548">
        <v>2522.0329999999999</v>
      </c>
    </row>
    <row r="744" spans="1:3" ht="15.75">
      <c r="A744" s="2547" t="s">
        <v>869</v>
      </c>
      <c r="B744" s="2547" t="s">
        <v>352</v>
      </c>
      <c r="C744" s="2548">
        <v>3638.625</v>
      </c>
    </row>
    <row r="745" spans="1:3" ht="15.75">
      <c r="A745" s="2547" t="s">
        <v>1087</v>
      </c>
      <c r="B745" s="2547" t="s">
        <v>353</v>
      </c>
      <c r="C745" s="2548">
        <v>869.06700000000001</v>
      </c>
    </row>
    <row r="746" spans="1:3" ht="15.75">
      <c r="A746" s="2547" t="s">
        <v>2452</v>
      </c>
      <c r="B746" s="2547" t="s">
        <v>354</v>
      </c>
      <c r="C746" s="2548">
        <v>5419.41</v>
      </c>
    </row>
    <row r="747" spans="1:3" ht="15.75">
      <c r="A747" s="2547" t="s">
        <v>2453</v>
      </c>
      <c r="B747" s="2547" t="s">
        <v>355</v>
      </c>
      <c r="C747" s="2548">
        <v>1875.98</v>
      </c>
    </row>
    <row r="748" spans="1:3" ht="15.75">
      <c r="A748" s="2547" t="s">
        <v>237</v>
      </c>
      <c r="B748" s="2547" t="s">
        <v>1123</v>
      </c>
      <c r="C748" s="2548">
        <v>2206.0520000000001</v>
      </c>
    </row>
    <row r="749" spans="1:3" ht="15.75">
      <c r="A749" s="2547" t="s">
        <v>1054</v>
      </c>
      <c r="B749" s="2547" t="s">
        <v>7603</v>
      </c>
      <c r="C749" s="2548">
        <v>275.55799999999999</v>
      </c>
    </row>
    <row r="750" spans="1:3" ht="15.75">
      <c r="A750" s="2547" t="s">
        <v>1097</v>
      </c>
      <c r="B750" s="2547" t="s">
        <v>356</v>
      </c>
      <c r="C750" s="2548">
        <v>339.78399999999999</v>
      </c>
    </row>
    <row r="751" spans="1:3" ht="15.75">
      <c r="A751" s="2547" t="s">
        <v>1098</v>
      </c>
      <c r="B751" s="2547" t="s">
        <v>357</v>
      </c>
      <c r="C751" s="2548">
        <v>117.866</v>
      </c>
    </row>
    <row r="752" spans="1:3" ht="15.75">
      <c r="A752" s="2547" t="s">
        <v>1099</v>
      </c>
      <c r="B752" s="2547" t="s">
        <v>358</v>
      </c>
      <c r="C752" s="2548">
        <v>97.234999999999999</v>
      </c>
    </row>
    <row r="753" spans="1:3" ht="15.75">
      <c r="A753" s="2547" t="s">
        <v>2225</v>
      </c>
      <c r="B753" s="2547" t="s">
        <v>2121</v>
      </c>
      <c r="C753" s="2548">
        <v>2694.4119999999998</v>
      </c>
    </row>
    <row r="754" spans="1:3" ht="15.75">
      <c r="A754" s="2547" t="s">
        <v>1100</v>
      </c>
      <c r="B754" s="2547" t="s">
        <v>359</v>
      </c>
      <c r="C754" s="2548">
        <v>1665.203</v>
      </c>
    </row>
    <row r="755" spans="1:3" ht="15.75">
      <c r="A755" s="2547" t="s">
        <v>1101</v>
      </c>
      <c r="B755" s="2547" t="s">
        <v>2659</v>
      </c>
      <c r="C755" s="2548">
        <v>2161.1080000000002</v>
      </c>
    </row>
    <row r="756" spans="1:3" ht="15.75">
      <c r="A756" s="2547" t="s">
        <v>1655</v>
      </c>
      <c r="B756" s="2547" t="s">
        <v>156</v>
      </c>
      <c r="C756" s="2548">
        <v>4525.643</v>
      </c>
    </row>
    <row r="757" spans="1:3" ht="15.75">
      <c r="A757" s="2547" t="s">
        <v>1248</v>
      </c>
      <c r="B757" s="2547" t="s">
        <v>4584</v>
      </c>
      <c r="C757" s="2548">
        <v>3187.8040000000001</v>
      </c>
    </row>
    <row r="758" spans="1:3" ht="15.75">
      <c r="A758" s="2547" t="s">
        <v>1249</v>
      </c>
      <c r="B758" s="2547" t="s">
        <v>362</v>
      </c>
      <c r="C758" s="2548">
        <v>177.06200000000001</v>
      </c>
    </row>
    <row r="759" spans="1:3" ht="15.75">
      <c r="A759" s="2547" t="s">
        <v>1250</v>
      </c>
      <c r="B759" s="2547" t="s">
        <v>363</v>
      </c>
      <c r="C759" s="2548">
        <v>316.97000000000003</v>
      </c>
    </row>
    <row r="760" spans="1:3" ht="15.75">
      <c r="A760" s="2547" t="s">
        <v>2902</v>
      </c>
      <c r="B760" s="2547" t="s">
        <v>2559</v>
      </c>
      <c r="C760" s="2548">
        <v>2976.866</v>
      </c>
    </row>
    <row r="761" spans="1:3" ht="15.75">
      <c r="A761" s="2547" t="s">
        <v>1529</v>
      </c>
      <c r="B761" s="2547" t="s">
        <v>364</v>
      </c>
      <c r="C761" s="2548">
        <v>446.637</v>
      </c>
    </row>
    <row r="762" spans="1:3" ht="15.75">
      <c r="A762" s="2547" t="s">
        <v>1530</v>
      </c>
      <c r="B762" s="2547" t="s">
        <v>365</v>
      </c>
      <c r="C762" s="2548">
        <v>160.69200000000001</v>
      </c>
    </row>
    <row r="763" spans="1:3" ht="15.75">
      <c r="A763" s="2547" t="s">
        <v>1531</v>
      </c>
      <c r="B763" s="2547" t="s">
        <v>471</v>
      </c>
      <c r="C763" s="2548">
        <v>95.325000000000003</v>
      </c>
    </row>
    <row r="764" spans="1:3" ht="15.75">
      <c r="A764" s="2547" t="s">
        <v>1532</v>
      </c>
      <c r="B764" s="2547" t="s">
        <v>472</v>
      </c>
      <c r="C764" s="2548">
        <v>641.80799999999999</v>
      </c>
    </row>
    <row r="765" spans="1:3" ht="15.75">
      <c r="A765" s="2547" t="s">
        <v>1533</v>
      </c>
      <c r="B765" s="2547" t="s">
        <v>473</v>
      </c>
      <c r="C765" s="2548">
        <v>2506.4720000000002</v>
      </c>
    </row>
    <row r="766" spans="1:3" ht="15.75">
      <c r="A766" s="2547" t="s">
        <v>2974</v>
      </c>
      <c r="B766" s="2547" t="s">
        <v>494</v>
      </c>
      <c r="C766" s="2548">
        <v>430.49299999999999</v>
      </c>
    </row>
    <row r="767" spans="1:3" ht="15.75">
      <c r="A767" s="2547" t="s">
        <v>805</v>
      </c>
      <c r="B767" s="2547" t="s">
        <v>1130</v>
      </c>
      <c r="C767" s="2548">
        <v>477.07499999999999</v>
      </c>
    </row>
    <row r="768" spans="1:3" ht="15.75">
      <c r="A768" s="2547" t="s">
        <v>1703</v>
      </c>
      <c r="B768" s="2547" t="s">
        <v>2211</v>
      </c>
      <c r="C768" s="2548">
        <v>3137.2060000000001</v>
      </c>
    </row>
    <row r="769" spans="1:3" ht="15.75">
      <c r="A769" s="2547" t="s">
        <v>1656</v>
      </c>
      <c r="B769" s="2547" t="s">
        <v>161</v>
      </c>
      <c r="C769" s="2548">
        <v>7418.6080000000002</v>
      </c>
    </row>
    <row r="770" spans="1:3" ht="15.75">
      <c r="A770" s="2547" t="s">
        <v>2901</v>
      </c>
      <c r="B770" s="2547" t="s">
        <v>2558</v>
      </c>
      <c r="C770" s="2548">
        <v>873.71600000000001</v>
      </c>
    </row>
    <row r="771" spans="1:3" ht="15.75">
      <c r="A771" s="2547" t="s">
        <v>1563</v>
      </c>
      <c r="B771" s="2547" t="s">
        <v>474</v>
      </c>
      <c r="C771" s="2548">
        <v>5020.902</v>
      </c>
    </row>
    <row r="772" spans="1:3" ht="15.75">
      <c r="A772" s="2547" t="s">
        <v>236</v>
      </c>
      <c r="B772" s="2547" t="s">
        <v>2988</v>
      </c>
      <c r="C772" s="2548">
        <v>990.346</v>
      </c>
    </row>
    <row r="773" spans="1:3" ht="15.75">
      <c r="A773" s="2547" t="s">
        <v>2144</v>
      </c>
      <c r="B773" s="2547" t="s">
        <v>2122</v>
      </c>
      <c r="C773" s="2548">
        <v>1237.172</v>
      </c>
    </row>
    <row r="774" spans="1:3" ht="15.75">
      <c r="A774" s="2547" t="s">
        <v>1834</v>
      </c>
      <c r="B774" s="2547" t="s">
        <v>475</v>
      </c>
      <c r="C774" s="2548">
        <v>175.4</v>
      </c>
    </row>
    <row r="775" spans="1:3" ht="15.75">
      <c r="A775" s="2547" t="s">
        <v>1835</v>
      </c>
      <c r="B775" s="2547" t="s">
        <v>476</v>
      </c>
      <c r="C775" s="2548">
        <v>443.39499999999998</v>
      </c>
    </row>
    <row r="776" spans="1:3" ht="15.75">
      <c r="A776" s="2547" t="s">
        <v>1836</v>
      </c>
      <c r="B776" s="2547" t="s">
        <v>477</v>
      </c>
      <c r="C776" s="2548">
        <v>513.26800000000003</v>
      </c>
    </row>
    <row r="777" spans="1:3" ht="15.75">
      <c r="A777" s="2547" t="s">
        <v>1837</v>
      </c>
      <c r="B777" s="2547" t="s">
        <v>478</v>
      </c>
      <c r="C777" s="2548">
        <v>1052.116</v>
      </c>
    </row>
    <row r="778" spans="1:3" ht="15.75">
      <c r="A778" s="2547" t="s">
        <v>1838</v>
      </c>
      <c r="B778" s="2547" t="s">
        <v>479</v>
      </c>
      <c r="C778" s="2548">
        <v>191.232</v>
      </c>
    </row>
    <row r="779" spans="1:3" ht="15.75">
      <c r="A779" s="2547" t="s">
        <v>2140</v>
      </c>
      <c r="B779" s="2547" t="s">
        <v>480</v>
      </c>
      <c r="C779" s="2548">
        <v>173.20400000000001</v>
      </c>
    </row>
    <row r="780" spans="1:3" ht="15.75">
      <c r="A780" s="2547" t="s">
        <v>2625</v>
      </c>
      <c r="B780" s="2547" t="s">
        <v>2660</v>
      </c>
      <c r="C780" s="2548">
        <v>2261.473</v>
      </c>
    </row>
    <row r="781" spans="1:3" ht="15.75">
      <c r="A781" s="2547" t="s">
        <v>2614</v>
      </c>
      <c r="B781" s="2547" t="s">
        <v>482</v>
      </c>
      <c r="C781" s="2548">
        <v>466.89499999999998</v>
      </c>
    </row>
    <row r="782" spans="1:3" ht="15.75">
      <c r="A782" s="2547" t="s">
        <v>1477</v>
      </c>
      <c r="B782" s="2547" t="s">
        <v>483</v>
      </c>
      <c r="C782" s="2548">
        <v>453.30900000000003</v>
      </c>
    </row>
    <row r="783" spans="1:3" ht="15.75">
      <c r="A783" s="2547" t="s">
        <v>790</v>
      </c>
      <c r="B783" s="2547" t="s">
        <v>484</v>
      </c>
      <c r="C783" s="2548">
        <v>217.58600000000001</v>
      </c>
    </row>
    <row r="784" spans="1:3" ht="15.75">
      <c r="A784" s="2547" t="s">
        <v>2917</v>
      </c>
      <c r="B784" s="2547" t="s">
        <v>485</v>
      </c>
      <c r="C784" s="2548">
        <v>880.678</v>
      </c>
    </row>
    <row r="785" spans="1:3" ht="15.75">
      <c r="A785" s="2547" t="s">
        <v>791</v>
      </c>
      <c r="B785" s="2547" t="s">
        <v>486</v>
      </c>
      <c r="C785" s="2548">
        <v>146.922</v>
      </c>
    </row>
    <row r="786" spans="1:3" ht="15.75">
      <c r="A786" s="2547" t="s">
        <v>1992</v>
      </c>
      <c r="B786" s="2547" t="s">
        <v>2545</v>
      </c>
      <c r="C786" s="2548">
        <v>3879.0030000000002</v>
      </c>
    </row>
    <row r="787" spans="1:3" ht="15.75">
      <c r="A787" s="2547" t="s">
        <v>1380</v>
      </c>
      <c r="B787" s="2547" t="s">
        <v>487</v>
      </c>
      <c r="C787" s="2548">
        <v>920.18700000000001</v>
      </c>
    </row>
    <row r="788" spans="1:3" ht="15.75">
      <c r="A788" s="2547" t="s">
        <v>1839</v>
      </c>
      <c r="B788" s="2547" t="s">
        <v>1204</v>
      </c>
      <c r="C788" s="2548">
        <v>30352.986000000001</v>
      </c>
    </row>
    <row r="789" spans="1:3" ht="15.75">
      <c r="A789" s="2547" t="s">
        <v>227</v>
      </c>
      <c r="B789" s="2547" t="s">
        <v>3095</v>
      </c>
      <c r="C789" s="2548">
        <v>1203.3150000000001</v>
      </c>
    </row>
    <row r="790" spans="1:3" ht="15.75">
      <c r="A790" s="2547" t="s">
        <v>625</v>
      </c>
      <c r="B790" s="2547" t="s">
        <v>151</v>
      </c>
      <c r="C790" s="2548">
        <v>793.25699999999995</v>
      </c>
    </row>
    <row r="791" spans="1:3" ht="15.75">
      <c r="A791" s="2547" t="s">
        <v>2496</v>
      </c>
      <c r="B791" s="2547" t="s">
        <v>488</v>
      </c>
      <c r="C791" s="2548">
        <v>1447.2539999999999</v>
      </c>
    </row>
    <row r="792" spans="1:3" ht="15.75">
      <c r="A792" s="2547" t="s">
        <v>1657</v>
      </c>
      <c r="B792" s="2547" t="s">
        <v>323</v>
      </c>
      <c r="C792" s="2548">
        <v>310.71499999999997</v>
      </c>
    </row>
    <row r="793" spans="1:3" ht="15.75">
      <c r="A793" s="2547" t="s">
        <v>245</v>
      </c>
      <c r="B793" s="2547" t="s">
        <v>2413</v>
      </c>
      <c r="C793" s="2548">
        <v>1239.7439999999999</v>
      </c>
    </row>
    <row r="794" spans="1:3" ht="15.75">
      <c r="A794" s="2547" t="s">
        <v>1464</v>
      </c>
      <c r="B794" s="2547" t="s">
        <v>489</v>
      </c>
      <c r="C794" s="2548">
        <v>1543.433</v>
      </c>
    </row>
    <row r="795" spans="1:3" ht="15.75">
      <c r="A795" s="2547" t="s">
        <v>1465</v>
      </c>
      <c r="B795" s="2547" t="s">
        <v>2661</v>
      </c>
      <c r="C795" s="2548">
        <v>9082.7839999999997</v>
      </c>
    </row>
    <row r="796" spans="1:3" ht="15.75">
      <c r="A796" s="2547" t="s">
        <v>2883</v>
      </c>
      <c r="B796" s="2547" t="s">
        <v>180</v>
      </c>
      <c r="C796" s="2548">
        <v>812.32299999999998</v>
      </c>
    </row>
    <row r="797" spans="1:3" ht="15.75">
      <c r="A797" s="2547" t="s">
        <v>896</v>
      </c>
      <c r="B797" s="2547" t="s">
        <v>181</v>
      </c>
      <c r="C797" s="2548">
        <v>246.08199999999999</v>
      </c>
    </row>
    <row r="798" spans="1:3" ht="15.75">
      <c r="A798" s="2547" t="s">
        <v>135</v>
      </c>
      <c r="B798" s="2547" t="s">
        <v>2428</v>
      </c>
      <c r="C798" s="2548">
        <v>331.72800000000001</v>
      </c>
    </row>
    <row r="799" spans="1:3" ht="15.75">
      <c r="A799" s="2547" t="s">
        <v>3051</v>
      </c>
      <c r="B799" s="2547" t="s">
        <v>3096</v>
      </c>
      <c r="C799" s="2548">
        <v>625.73800000000006</v>
      </c>
    </row>
    <row r="800" spans="1:3" ht="15.75">
      <c r="A800" s="2547" t="s">
        <v>2597</v>
      </c>
      <c r="B800" s="2547" t="s">
        <v>1822</v>
      </c>
      <c r="C800" s="2548">
        <v>477.322</v>
      </c>
    </row>
    <row r="801" spans="1:3" ht="15.75">
      <c r="A801" s="2547" t="s">
        <v>411</v>
      </c>
      <c r="B801" s="2547" t="s">
        <v>3065</v>
      </c>
      <c r="C801" s="2548">
        <v>491.97300000000001</v>
      </c>
    </row>
    <row r="802" spans="1:3" ht="15.75">
      <c r="A802" s="2547" t="s">
        <v>1113</v>
      </c>
      <c r="B802" s="2547" t="s">
        <v>1823</v>
      </c>
      <c r="C802" s="2548">
        <v>2269.674</v>
      </c>
    </row>
    <row r="803" spans="1:3" ht="15.75">
      <c r="A803" s="2547" t="s">
        <v>1932</v>
      </c>
      <c r="B803" s="2547" t="s">
        <v>2430</v>
      </c>
      <c r="C803" s="2548">
        <v>147.714</v>
      </c>
    </row>
    <row r="804" spans="1:3" ht="15.75">
      <c r="A804" s="2547" t="s">
        <v>793</v>
      </c>
      <c r="B804" s="2547" t="s">
        <v>1824</v>
      </c>
      <c r="C804" s="2548">
        <v>144.11799999999999</v>
      </c>
    </row>
    <row r="805" spans="1:3" ht="15.75">
      <c r="A805" s="2547" t="s">
        <v>794</v>
      </c>
      <c r="B805" s="2547" t="s">
        <v>1825</v>
      </c>
      <c r="C805" s="2548">
        <v>486.24599999999998</v>
      </c>
    </row>
    <row r="806" spans="1:3" ht="15.75">
      <c r="A806" s="2547" t="s">
        <v>795</v>
      </c>
      <c r="B806" s="2547" t="s">
        <v>1826</v>
      </c>
      <c r="C806" s="2548">
        <v>687.005</v>
      </c>
    </row>
    <row r="807" spans="1:3" ht="15.75">
      <c r="A807" s="2547" t="s">
        <v>1644</v>
      </c>
      <c r="B807" s="2547" t="s">
        <v>1827</v>
      </c>
      <c r="C807" s="2548">
        <v>194.04</v>
      </c>
    </row>
    <row r="808" spans="1:3" ht="15.75">
      <c r="A808" s="2547" t="s">
        <v>1645</v>
      </c>
      <c r="B808" s="2547" t="s">
        <v>1828</v>
      </c>
      <c r="C808" s="2548">
        <v>436.78300000000002</v>
      </c>
    </row>
    <row r="809" spans="1:3" ht="15.75">
      <c r="A809" s="2547" t="s">
        <v>1646</v>
      </c>
      <c r="B809" s="2547" t="s">
        <v>1829</v>
      </c>
      <c r="C809" s="2548">
        <v>149.876</v>
      </c>
    </row>
    <row r="810" spans="1:3" ht="15.75">
      <c r="A810" s="2547" t="s">
        <v>1647</v>
      </c>
      <c r="B810" s="2547" t="s">
        <v>1830</v>
      </c>
      <c r="C810" s="2548">
        <v>1091.6120000000001</v>
      </c>
    </row>
    <row r="811" spans="1:3" ht="15.75">
      <c r="A811" s="2547" t="s">
        <v>1648</v>
      </c>
      <c r="B811" s="2547" t="s">
        <v>1831</v>
      </c>
      <c r="C811" s="2548">
        <v>823.03099999999995</v>
      </c>
    </row>
    <row r="812" spans="1:3" ht="15.75">
      <c r="A812" s="2547" t="s">
        <v>1649</v>
      </c>
      <c r="B812" s="2547" t="s">
        <v>1102</v>
      </c>
      <c r="C812" s="2548">
        <v>550.32100000000003</v>
      </c>
    </row>
    <row r="813" spans="1:3" ht="15.75">
      <c r="A813" s="2547" t="s">
        <v>1885</v>
      </c>
      <c r="B813" s="2547" t="s">
        <v>1103</v>
      </c>
      <c r="C813" s="2548">
        <v>14706.544</v>
      </c>
    </row>
    <row r="814" spans="1:3" ht="15.75">
      <c r="A814" s="2547" t="s">
        <v>2056</v>
      </c>
      <c r="B814" s="2547" t="s">
        <v>668</v>
      </c>
      <c r="C814" s="2548">
        <v>4944.4560000000001</v>
      </c>
    </row>
    <row r="815" spans="1:3" ht="15.75">
      <c r="A815" s="2547" t="s">
        <v>1886</v>
      </c>
      <c r="B815" s="2547" t="s">
        <v>2166</v>
      </c>
      <c r="C815" s="2548">
        <v>881.053</v>
      </c>
    </row>
    <row r="816" spans="1:3" ht="15.75">
      <c r="A816" s="2547" t="s">
        <v>412</v>
      </c>
      <c r="B816" s="2547" t="s">
        <v>2556</v>
      </c>
      <c r="C816" s="2548">
        <v>399.90699999999998</v>
      </c>
    </row>
    <row r="817" spans="1:3" ht="15.75">
      <c r="A817" s="2547" t="s">
        <v>1350</v>
      </c>
      <c r="B817" s="2547" t="s">
        <v>1290</v>
      </c>
      <c r="C817" s="2548">
        <v>522.11800000000005</v>
      </c>
    </row>
    <row r="818" spans="1:3" ht="15.75">
      <c r="A818" s="2547" t="s">
        <v>413</v>
      </c>
      <c r="B818" s="2547" t="s">
        <v>291</v>
      </c>
      <c r="C818" s="2548">
        <v>58.603000000000002</v>
      </c>
    </row>
    <row r="819" spans="1:3" ht="15.75">
      <c r="A819" s="2547" t="s">
        <v>1887</v>
      </c>
      <c r="B819" s="2547" t="s">
        <v>2167</v>
      </c>
      <c r="C819" s="2548">
        <v>3219.5740000000001</v>
      </c>
    </row>
    <row r="820" spans="1:3" ht="15.75">
      <c r="A820" s="2547" t="s">
        <v>1888</v>
      </c>
      <c r="B820" s="2547" t="s">
        <v>1718</v>
      </c>
      <c r="C820" s="2548">
        <v>161.34399999999999</v>
      </c>
    </row>
    <row r="821" spans="1:3" ht="15.75">
      <c r="A821" s="2547" t="s">
        <v>1889</v>
      </c>
      <c r="B821" s="2547" t="s">
        <v>1719</v>
      </c>
      <c r="C821" s="2548">
        <v>241.023</v>
      </c>
    </row>
    <row r="822" spans="1:3" ht="15.75">
      <c r="A822" s="2547" t="s">
        <v>2830</v>
      </c>
      <c r="B822" s="2547" t="s">
        <v>2467</v>
      </c>
      <c r="C822" s="2548">
        <v>374.94200000000001</v>
      </c>
    </row>
    <row r="823" spans="1:3" ht="15.75">
      <c r="A823" s="2547" t="s">
        <v>2831</v>
      </c>
      <c r="B823" s="2547" t="s">
        <v>1538</v>
      </c>
      <c r="C823" s="2548">
        <v>473.30200000000002</v>
      </c>
    </row>
    <row r="824" spans="1:3" ht="15.75">
      <c r="A824" s="2547" t="s">
        <v>1890</v>
      </c>
      <c r="B824" s="2547" t="s">
        <v>1720</v>
      </c>
      <c r="C824" s="2548">
        <v>1569.2909999999999</v>
      </c>
    </row>
    <row r="825" spans="1:3" ht="15.75">
      <c r="A825" s="2547" t="s">
        <v>218</v>
      </c>
      <c r="B825" s="2547" t="s">
        <v>729</v>
      </c>
      <c r="C825" s="2548">
        <v>587.87199999999996</v>
      </c>
    </row>
    <row r="826" spans="1:3" ht="15.75">
      <c r="A826" s="2547" t="s">
        <v>1891</v>
      </c>
      <c r="B826" s="2547" t="s">
        <v>4585</v>
      </c>
      <c r="C826" s="2548">
        <v>1049.624</v>
      </c>
    </row>
    <row r="827" spans="1:3" ht="15.75">
      <c r="A827" s="2547" t="s">
        <v>1575</v>
      </c>
      <c r="B827" s="2547" t="s">
        <v>1722</v>
      </c>
      <c r="C827" s="2548">
        <v>849.98099999999999</v>
      </c>
    </row>
    <row r="828" spans="1:3" ht="15.75">
      <c r="A828" s="2547" t="s">
        <v>1576</v>
      </c>
      <c r="B828" s="2547" t="s">
        <v>1723</v>
      </c>
      <c r="C828" s="2548">
        <v>631.76499999999999</v>
      </c>
    </row>
    <row r="829" spans="1:3" ht="15.75">
      <c r="A829" s="2547" t="s">
        <v>1577</v>
      </c>
      <c r="B829" s="2547" t="s">
        <v>2364</v>
      </c>
      <c r="C829" s="2548">
        <v>692.73099999999999</v>
      </c>
    </row>
    <row r="830" spans="1:3" ht="15.75">
      <c r="A830" s="2547" t="s">
        <v>1832</v>
      </c>
      <c r="B830" s="2547" t="s">
        <v>2365</v>
      </c>
      <c r="C830" s="2548">
        <v>379.01100000000002</v>
      </c>
    </row>
    <row r="831" spans="1:3" ht="15.75">
      <c r="A831" s="2547" t="s">
        <v>1833</v>
      </c>
      <c r="B831" s="2547" t="s">
        <v>2663</v>
      </c>
      <c r="C831" s="2548">
        <v>1385.2840000000001</v>
      </c>
    </row>
    <row r="832" spans="1:3" ht="15.75">
      <c r="A832" s="2547" t="s">
        <v>2790</v>
      </c>
      <c r="B832" s="2547" t="s">
        <v>384</v>
      </c>
      <c r="C832" s="2548">
        <v>1770.1849999999999</v>
      </c>
    </row>
    <row r="833" spans="1:3" ht="15.75">
      <c r="A833" s="2547" t="s">
        <v>1382</v>
      </c>
      <c r="B833" s="2547" t="s">
        <v>2774</v>
      </c>
      <c r="C833" s="2548">
        <v>1687.403</v>
      </c>
    </row>
    <row r="834" spans="1:3" ht="15.75">
      <c r="A834" s="2547" t="s">
        <v>2791</v>
      </c>
      <c r="B834" s="2547" t="s">
        <v>385</v>
      </c>
      <c r="C834" s="2548">
        <v>4336.07</v>
      </c>
    </row>
    <row r="835" spans="1:3" ht="15.75">
      <c r="A835" s="2547" t="s">
        <v>1639</v>
      </c>
      <c r="B835" s="2547" t="s">
        <v>386</v>
      </c>
      <c r="C835" s="2548">
        <v>2098.886</v>
      </c>
    </row>
    <row r="836" spans="1:3" ht="15.75">
      <c r="A836" s="2547" t="s">
        <v>2892</v>
      </c>
      <c r="B836" s="2547" t="s">
        <v>2360</v>
      </c>
      <c r="C836" s="2548">
        <v>1556.415</v>
      </c>
    </row>
    <row r="837" spans="1:3" ht="15.75">
      <c r="A837" s="2547" t="s">
        <v>1591</v>
      </c>
      <c r="B837" s="2547" t="s">
        <v>289</v>
      </c>
      <c r="C837" s="2548">
        <v>921.375</v>
      </c>
    </row>
    <row r="838" spans="1:3" ht="15.75">
      <c r="A838" s="2547" t="s">
        <v>1493</v>
      </c>
      <c r="B838" s="2547" t="s">
        <v>296</v>
      </c>
      <c r="C838" s="2548">
        <v>2007.806</v>
      </c>
    </row>
    <row r="839" spans="1:3" ht="15.75">
      <c r="A839" s="2547" t="s">
        <v>219</v>
      </c>
      <c r="B839" s="2547" t="s">
        <v>656</v>
      </c>
      <c r="C839" s="2548">
        <v>1026.7449999999999</v>
      </c>
    </row>
    <row r="840" spans="1:3" ht="15.75">
      <c r="A840" s="2547" t="s">
        <v>531</v>
      </c>
      <c r="B840" s="2547" t="s">
        <v>1584</v>
      </c>
      <c r="C840" s="2548">
        <v>671.303</v>
      </c>
    </row>
    <row r="841" spans="1:3" ht="15.75">
      <c r="A841" s="2547" t="s">
        <v>1640</v>
      </c>
      <c r="B841" s="2547" t="s">
        <v>387</v>
      </c>
      <c r="C841" s="2548">
        <v>112.989</v>
      </c>
    </row>
    <row r="842" spans="1:3" ht="15.75">
      <c r="A842" s="2547" t="s">
        <v>1641</v>
      </c>
      <c r="B842" s="2547" t="s">
        <v>388</v>
      </c>
      <c r="C842" s="2548">
        <v>104.664</v>
      </c>
    </row>
    <row r="843" spans="1:3" ht="15.75">
      <c r="A843" s="2547" t="s">
        <v>1557</v>
      </c>
      <c r="B843" s="2547" t="s">
        <v>389</v>
      </c>
      <c r="C843" s="2548">
        <v>537.00400000000002</v>
      </c>
    </row>
    <row r="844" spans="1:3" ht="15.75">
      <c r="A844" s="2547" t="s">
        <v>1558</v>
      </c>
      <c r="B844" s="2547" t="s">
        <v>390</v>
      </c>
      <c r="C844" s="2548">
        <v>222.71100000000001</v>
      </c>
    </row>
    <row r="845" spans="1:3" ht="15.75">
      <c r="A845" s="2547" t="s">
        <v>1559</v>
      </c>
      <c r="B845" s="2547" t="s">
        <v>391</v>
      </c>
      <c r="C845" s="2548">
        <v>2612.1590000000001</v>
      </c>
    </row>
    <row r="846" spans="1:3" ht="15.75">
      <c r="A846" s="2547" t="s">
        <v>1662</v>
      </c>
      <c r="B846" s="2547" t="s">
        <v>392</v>
      </c>
      <c r="C846" s="2548">
        <v>268.09100000000001</v>
      </c>
    </row>
    <row r="847" spans="1:3" ht="15.75">
      <c r="A847" s="2547" t="s">
        <v>1084</v>
      </c>
      <c r="B847" s="2547" t="s">
        <v>393</v>
      </c>
      <c r="C847" s="2548">
        <v>484.75299999999999</v>
      </c>
    </row>
    <row r="848" spans="1:3" ht="15.75">
      <c r="A848" s="2547" t="s">
        <v>1085</v>
      </c>
      <c r="B848" s="2547" t="s">
        <v>394</v>
      </c>
      <c r="C848" s="2548">
        <v>111.85299999999999</v>
      </c>
    </row>
    <row r="849" spans="1:3" ht="15.75">
      <c r="A849" s="2547" t="s">
        <v>1086</v>
      </c>
      <c r="B849" s="2547" t="s">
        <v>1995</v>
      </c>
      <c r="C849" s="2548">
        <v>2541.52</v>
      </c>
    </row>
    <row r="850" spans="1:3" ht="15.75">
      <c r="A850" s="2547" t="s">
        <v>1245</v>
      </c>
      <c r="B850" s="2547" t="s">
        <v>1996</v>
      </c>
      <c r="C850" s="2548">
        <v>651.82299999999998</v>
      </c>
    </row>
    <row r="851" spans="1:3" ht="15.75">
      <c r="A851" s="2547" t="s">
        <v>220</v>
      </c>
      <c r="B851" s="2547" t="s">
        <v>1418</v>
      </c>
      <c r="C851" s="2548">
        <v>763.13400000000001</v>
      </c>
    </row>
    <row r="852" spans="1:3" ht="15.75">
      <c r="A852" s="2547" t="s">
        <v>1246</v>
      </c>
      <c r="B852" s="2547" t="s">
        <v>1997</v>
      </c>
      <c r="C852" s="2548">
        <v>539.57299999999998</v>
      </c>
    </row>
    <row r="853" spans="1:3" ht="15.75">
      <c r="A853" s="2547" t="s">
        <v>1247</v>
      </c>
      <c r="B853" s="2547" t="s">
        <v>1998</v>
      </c>
      <c r="C853" s="2548">
        <v>586.84799999999996</v>
      </c>
    </row>
    <row r="854" spans="1:3" ht="15.75">
      <c r="A854" s="2547" t="s">
        <v>1407</v>
      </c>
      <c r="B854" s="2547" t="s">
        <v>1999</v>
      </c>
      <c r="C854" s="2548">
        <v>89.63</v>
      </c>
    </row>
    <row r="855" spans="1:3" ht="15.75">
      <c r="A855" s="2547" t="s">
        <v>1408</v>
      </c>
      <c r="B855" s="2547" t="s">
        <v>2000</v>
      </c>
      <c r="C855" s="2548">
        <v>90.591999999999999</v>
      </c>
    </row>
    <row r="856" spans="1:3" ht="15.75">
      <c r="A856" s="2547" t="s">
        <v>2040</v>
      </c>
      <c r="B856" s="2547" t="s">
        <v>2271</v>
      </c>
      <c r="C856" s="2548">
        <v>537.10699999999997</v>
      </c>
    </row>
    <row r="857" spans="1:3" ht="15.75">
      <c r="A857" s="2547" t="s">
        <v>304</v>
      </c>
      <c r="B857" s="2547" t="s">
        <v>2425</v>
      </c>
      <c r="C857" s="2548">
        <v>777.21299999999997</v>
      </c>
    </row>
    <row r="858" spans="1:3" ht="15.75">
      <c r="A858" s="2547" t="s">
        <v>1943</v>
      </c>
      <c r="B858" s="2547" t="s">
        <v>2272</v>
      </c>
      <c r="C858" s="2548">
        <v>2337.8209999999999</v>
      </c>
    </row>
    <row r="859" spans="1:3" ht="15.75">
      <c r="A859" s="2547" t="s">
        <v>1944</v>
      </c>
      <c r="B859" s="2547" t="s">
        <v>2273</v>
      </c>
      <c r="C859" s="2548">
        <v>3773.8209999999999</v>
      </c>
    </row>
    <row r="860" spans="1:3" ht="15.75">
      <c r="A860" s="2547" t="s">
        <v>1136</v>
      </c>
      <c r="B860" s="2547" t="s">
        <v>2274</v>
      </c>
      <c r="C860" s="2548">
        <v>1024.835</v>
      </c>
    </row>
    <row r="861" spans="1:3" ht="15.75">
      <c r="A861" s="2547" t="s">
        <v>217</v>
      </c>
      <c r="B861" s="2547" t="s">
        <v>2275</v>
      </c>
      <c r="C861" s="2548">
        <v>17003.974999999999</v>
      </c>
    </row>
    <row r="862" spans="1:3" ht="15.75">
      <c r="A862" s="2547" t="s">
        <v>1348</v>
      </c>
      <c r="B862" s="2547" t="s">
        <v>1510</v>
      </c>
      <c r="C862" s="2548">
        <v>4465.6059999999998</v>
      </c>
    </row>
    <row r="863" spans="1:3" ht="15.75">
      <c r="A863" s="2547" t="s">
        <v>1516</v>
      </c>
      <c r="B863" s="2547" t="s">
        <v>735</v>
      </c>
      <c r="C863" s="2548">
        <v>3397.6950000000002</v>
      </c>
    </row>
    <row r="864" spans="1:3" ht="15.75">
      <c r="A864" s="2547" t="s">
        <v>1517</v>
      </c>
      <c r="B864" s="2547" t="s">
        <v>2276</v>
      </c>
      <c r="C864" s="2548">
        <v>966.46600000000001</v>
      </c>
    </row>
    <row r="865" spans="1:3" ht="15.75">
      <c r="A865" s="2547" t="s">
        <v>1518</v>
      </c>
      <c r="B865" s="2547" t="s">
        <v>2277</v>
      </c>
      <c r="C865" s="2548">
        <v>1624.424</v>
      </c>
    </row>
    <row r="866" spans="1:3" ht="15.75">
      <c r="A866" s="2547" t="s">
        <v>3050</v>
      </c>
      <c r="B866" s="2547" t="s">
        <v>3092</v>
      </c>
      <c r="C866" s="2548">
        <v>10095.725</v>
      </c>
    </row>
    <row r="867" spans="1:3" ht="15.75">
      <c r="A867" s="2547" t="s">
        <v>1945</v>
      </c>
      <c r="B867" s="2547" t="s">
        <v>2278</v>
      </c>
      <c r="C867" s="2548">
        <v>226.726</v>
      </c>
    </row>
    <row r="868" spans="1:3" ht="15.75">
      <c r="A868" s="2547" t="s">
        <v>221</v>
      </c>
      <c r="B868" s="2547" t="s">
        <v>663</v>
      </c>
      <c r="C868" s="2548">
        <v>6013.6260000000002</v>
      </c>
    </row>
    <row r="869" spans="1:3" ht="15.75">
      <c r="A869" s="2547" t="s">
        <v>1946</v>
      </c>
      <c r="B869" s="2547" t="s">
        <v>2279</v>
      </c>
      <c r="C869" s="2548">
        <v>1371.1990000000001</v>
      </c>
    </row>
    <row r="870" spans="1:3" ht="15.75">
      <c r="A870" s="2547" t="s">
        <v>2979</v>
      </c>
      <c r="B870" s="2547" t="s">
        <v>2931</v>
      </c>
      <c r="C870" s="2548">
        <v>311.404</v>
      </c>
    </row>
    <row r="871" spans="1:3" ht="15.75">
      <c r="A871" s="2547" t="s">
        <v>849</v>
      </c>
      <c r="B871" s="2547" t="s">
        <v>2932</v>
      </c>
      <c r="C871" s="2548">
        <v>225.31100000000001</v>
      </c>
    </row>
    <row r="872" spans="1:3" ht="15.75">
      <c r="A872" s="2547" t="s">
        <v>850</v>
      </c>
      <c r="B872" s="2547" t="s">
        <v>2933</v>
      </c>
      <c r="C872" s="2548">
        <v>834.072</v>
      </c>
    </row>
    <row r="873" spans="1:3" ht="15.75">
      <c r="A873" s="2547" t="s">
        <v>906</v>
      </c>
      <c r="B873" s="2547" t="s">
        <v>2934</v>
      </c>
      <c r="C873" s="2548">
        <v>242.57499999999999</v>
      </c>
    </row>
    <row r="874" spans="1:3" ht="15.75">
      <c r="A874" s="2547" t="s">
        <v>617</v>
      </c>
      <c r="B874" s="2547" t="s">
        <v>2935</v>
      </c>
      <c r="C874" s="2548">
        <v>1045.32</v>
      </c>
    </row>
    <row r="875" spans="1:3" ht="15.75">
      <c r="A875" s="2547" t="s">
        <v>618</v>
      </c>
      <c r="B875" s="2547" t="s">
        <v>2936</v>
      </c>
      <c r="C875" s="2548">
        <v>226.17400000000001</v>
      </c>
    </row>
    <row r="876" spans="1:3" ht="15.75">
      <c r="A876" s="2547" t="s">
        <v>2621</v>
      </c>
      <c r="B876" s="2547" t="s">
        <v>2775</v>
      </c>
      <c r="C876" s="2548">
        <v>58225.962</v>
      </c>
    </row>
    <row r="877" spans="1:3" ht="15.75">
      <c r="A877" s="2547" t="s">
        <v>985</v>
      </c>
      <c r="B877" s="2547" t="s">
        <v>901</v>
      </c>
      <c r="C877" s="2548">
        <v>22667.726999999999</v>
      </c>
    </row>
    <row r="878" spans="1:3" ht="15.75">
      <c r="A878" s="2547" t="s">
        <v>2111</v>
      </c>
      <c r="B878" s="2547" t="s">
        <v>2937</v>
      </c>
      <c r="C878" s="2548">
        <v>5228.5389999999998</v>
      </c>
    </row>
    <row r="879" spans="1:3" ht="15.75">
      <c r="A879" s="2547" t="s">
        <v>2297</v>
      </c>
      <c r="B879" s="2547" t="s">
        <v>1453</v>
      </c>
      <c r="C879" s="2548">
        <v>79375.142999999996</v>
      </c>
    </row>
    <row r="880" spans="1:3" ht="15.75">
      <c r="A880" s="2547" t="s">
        <v>2497</v>
      </c>
      <c r="B880" s="2547" t="s">
        <v>1454</v>
      </c>
      <c r="C880" s="2548">
        <v>13210.862999999999</v>
      </c>
    </row>
    <row r="881" spans="1:3" ht="15.75">
      <c r="A881" s="2547" t="s">
        <v>57</v>
      </c>
      <c r="B881" s="2547" t="s">
        <v>452</v>
      </c>
      <c r="C881" s="2548">
        <v>32493.712</v>
      </c>
    </row>
    <row r="882" spans="1:3" ht="15.75">
      <c r="A882" s="2547" t="s">
        <v>379</v>
      </c>
      <c r="B882" s="2547" t="s">
        <v>321</v>
      </c>
      <c r="C882" s="2548">
        <v>32183.707999999999</v>
      </c>
    </row>
    <row r="883" spans="1:3" ht="15.75">
      <c r="A883" s="2547" t="s">
        <v>1986</v>
      </c>
      <c r="B883" s="2547" t="s">
        <v>2624</v>
      </c>
      <c r="C883" s="2548">
        <v>3043.944</v>
      </c>
    </row>
    <row r="884" spans="1:3" ht="15.75">
      <c r="A884" s="2547" t="s">
        <v>2759</v>
      </c>
      <c r="B884" s="2547" t="s">
        <v>459</v>
      </c>
      <c r="C884" s="2548">
        <v>14022.4</v>
      </c>
    </row>
    <row r="885" spans="1:3" ht="15.75">
      <c r="A885" s="2547" t="s">
        <v>59</v>
      </c>
      <c r="B885" s="2547" t="s">
        <v>2876</v>
      </c>
      <c r="C885" s="2548">
        <v>3006.15</v>
      </c>
    </row>
    <row r="886" spans="1:3" ht="15.75">
      <c r="A886" s="2547" t="s">
        <v>1894</v>
      </c>
      <c r="B886" s="2547" t="s">
        <v>2429</v>
      </c>
      <c r="C886" s="2548">
        <v>5856.3620000000001</v>
      </c>
    </row>
    <row r="887" spans="1:3" ht="15.75">
      <c r="A887" s="2547" t="s">
        <v>1280</v>
      </c>
      <c r="B887" s="2547" t="s">
        <v>1439</v>
      </c>
      <c r="C887" s="2548">
        <v>21576.367999999999</v>
      </c>
    </row>
    <row r="888" spans="1:3" ht="15.75">
      <c r="A888" s="2547" t="s">
        <v>2108</v>
      </c>
      <c r="B888" s="2547" t="s">
        <v>732</v>
      </c>
      <c r="C888" s="2548">
        <v>3756.8850000000002</v>
      </c>
    </row>
    <row r="889" spans="1:3" ht="15.75">
      <c r="A889" s="2547" t="s">
        <v>2542</v>
      </c>
      <c r="B889" s="2547" t="s">
        <v>1455</v>
      </c>
      <c r="C889" s="2548">
        <v>18077.737000000001</v>
      </c>
    </row>
    <row r="890" spans="1:3" ht="15.75">
      <c r="A890" s="2547" t="s">
        <v>2107</v>
      </c>
      <c r="B890" s="2547" t="s">
        <v>731</v>
      </c>
      <c r="C890" s="2548">
        <v>7691.12</v>
      </c>
    </row>
    <row r="891" spans="1:3" ht="15.75">
      <c r="A891" s="2547" t="s">
        <v>1347</v>
      </c>
      <c r="B891" s="2547" t="s">
        <v>1509</v>
      </c>
      <c r="C891" s="2548">
        <v>6216.125</v>
      </c>
    </row>
    <row r="892" spans="1:3" ht="15.75">
      <c r="A892" s="2547" t="s">
        <v>2543</v>
      </c>
      <c r="B892" s="2547" t="s">
        <v>1456</v>
      </c>
      <c r="C892" s="2548">
        <v>15480.758</v>
      </c>
    </row>
    <row r="893" spans="1:3" ht="15.75">
      <c r="A893" s="2547" t="s">
        <v>2544</v>
      </c>
      <c r="B893" s="2547" t="s">
        <v>1457</v>
      </c>
      <c r="C893" s="2548">
        <v>1011.742</v>
      </c>
    </row>
    <row r="894" spans="1:3" ht="15.75">
      <c r="A894" s="2547" t="s">
        <v>3052</v>
      </c>
      <c r="B894" s="2547" t="s">
        <v>1458</v>
      </c>
      <c r="C894" s="2548">
        <v>198.38200000000001</v>
      </c>
    </row>
    <row r="895" spans="1:3" ht="15.75">
      <c r="A895" s="2547" t="s">
        <v>3053</v>
      </c>
      <c r="B895" s="2547" t="s">
        <v>2664</v>
      </c>
      <c r="C895" s="2548">
        <v>1102.0609999999999</v>
      </c>
    </row>
    <row r="896" spans="1:3" ht="15.75">
      <c r="A896" s="2547" t="s">
        <v>3054</v>
      </c>
      <c r="B896" s="2547" t="s">
        <v>1293</v>
      </c>
      <c r="C896" s="2548">
        <v>3877.002</v>
      </c>
    </row>
    <row r="897" spans="1:3" ht="15.75">
      <c r="A897" s="2547" t="s">
        <v>3055</v>
      </c>
      <c r="B897" s="2547" t="s">
        <v>1460</v>
      </c>
      <c r="C897" s="2548">
        <v>142.10499999999999</v>
      </c>
    </row>
    <row r="898" spans="1:3" ht="15.75">
      <c r="A898" s="2547" t="s">
        <v>1335</v>
      </c>
      <c r="B898" s="2547" t="s">
        <v>336</v>
      </c>
      <c r="C898" s="2548">
        <v>1689.7249999999999</v>
      </c>
    </row>
    <row r="899" spans="1:3" ht="15.75">
      <c r="A899" s="2547" t="s">
        <v>2106</v>
      </c>
      <c r="B899" s="2547" t="s">
        <v>930</v>
      </c>
      <c r="C899" s="2548">
        <v>308.85500000000002</v>
      </c>
    </row>
    <row r="900" spans="1:3" ht="15.75">
      <c r="A900" s="2547" t="s">
        <v>1336</v>
      </c>
      <c r="B900" s="2547" t="s">
        <v>2665</v>
      </c>
      <c r="C900" s="2548">
        <v>221.358</v>
      </c>
    </row>
    <row r="901" spans="1:3" ht="15.75">
      <c r="A901" s="2547" t="s">
        <v>1783</v>
      </c>
      <c r="B901" s="2547" t="s">
        <v>706</v>
      </c>
      <c r="C901" s="2548">
        <v>153.934</v>
      </c>
    </row>
    <row r="902" spans="1:3" ht="15.75">
      <c r="A902" s="2547" t="s">
        <v>1784</v>
      </c>
      <c r="B902" s="2547" t="s">
        <v>707</v>
      </c>
      <c r="C902" s="2548">
        <v>140.226</v>
      </c>
    </row>
    <row r="903" spans="1:3" ht="15.75">
      <c r="A903" s="2547" t="s">
        <v>1785</v>
      </c>
      <c r="B903" s="2547" t="s">
        <v>708</v>
      </c>
      <c r="C903" s="2548">
        <v>4836.3760000000002</v>
      </c>
    </row>
    <row r="904" spans="1:3" ht="15.75">
      <c r="A904" s="2547" t="s">
        <v>2062</v>
      </c>
      <c r="B904" s="2547" t="s">
        <v>1868</v>
      </c>
      <c r="C904" s="2548">
        <v>140.327</v>
      </c>
    </row>
    <row r="905" spans="1:3" ht="15.75">
      <c r="A905" s="2547" t="s">
        <v>305</v>
      </c>
      <c r="B905" s="2547" t="s">
        <v>735</v>
      </c>
      <c r="C905" s="2548">
        <v>924.91899999999998</v>
      </c>
    </row>
    <row r="906" spans="1:3" ht="15.75">
      <c r="A906" s="2547" t="s">
        <v>2063</v>
      </c>
      <c r="B906" s="2547" t="s">
        <v>1869</v>
      </c>
      <c r="C906" s="2548">
        <v>535.76</v>
      </c>
    </row>
    <row r="907" spans="1:3" ht="15.75">
      <c r="A907" s="2547" t="s">
        <v>2797</v>
      </c>
      <c r="B907" s="2547" t="s">
        <v>2179</v>
      </c>
      <c r="C907" s="2548">
        <v>464.13799999999998</v>
      </c>
    </row>
    <row r="908" spans="1:3" ht="15.75">
      <c r="A908" s="2547" t="s">
        <v>1488</v>
      </c>
      <c r="B908" s="2547" t="s">
        <v>2307</v>
      </c>
      <c r="C908" s="2548">
        <v>13751.299000000001</v>
      </c>
    </row>
    <row r="909" spans="1:3" ht="15.75">
      <c r="A909" s="2547" t="s">
        <v>2785</v>
      </c>
      <c r="B909" s="2547" t="s">
        <v>2180</v>
      </c>
      <c r="C909" s="2548">
        <v>300.34899999999999</v>
      </c>
    </row>
    <row r="910" spans="1:3" ht="15.75">
      <c r="A910" s="2547" t="s">
        <v>374</v>
      </c>
      <c r="B910" s="2547" t="s">
        <v>158</v>
      </c>
      <c r="C910" s="2548">
        <v>1075.5550000000001</v>
      </c>
    </row>
    <row r="911" spans="1:3" ht="15.75">
      <c r="A911" s="2547" t="s">
        <v>1482</v>
      </c>
      <c r="B911" s="2547" t="s">
        <v>1947</v>
      </c>
      <c r="C911" s="2548">
        <v>1052.3800000000001</v>
      </c>
    </row>
    <row r="912" spans="1:3" ht="15.75">
      <c r="A912" s="2547" t="s">
        <v>1422</v>
      </c>
      <c r="B912" s="2547" t="s">
        <v>3041</v>
      </c>
      <c r="C912" s="2548">
        <v>235.35300000000001</v>
      </c>
    </row>
    <row r="913" spans="1:3" ht="15.75">
      <c r="A913" s="2547" t="s">
        <v>292</v>
      </c>
      <c r="B913" s="2547" t="s">
        <v>2181</v>
      </c>
      <c r="C913" s="2548">
        <v>76493.263999999996</v>
      </c>
    </row>
    <row r="914" spans="1:3" ht="15.75">
      <c r="A914" s="2547" t="s">
        <v>238</v>
      </c>
      <c r="B914" s="2547" t="s">
        <v>1125</v>
      </c>
      <c r="C914" s="2548">
        <v>22733.361000000001</v>
      </c>
    </row>
    <row r="915" spans="1:3" ht="15.75">
      <c r="A915" s="2547" t="s">
        <v>293</v>
      </c>
      <c r="B915" s="2547" t="s">
        <v>2182</v>
      </c>
      <c r="C915" s="2548">
        <v>8012.9750000000004</v>
      </c>
    </row>
    <row r="916" spans="1:3" ht="15.75">
      <c r="A916" s="2547" t="s">
        <v>294</v>
      </c>
      <c r="B916" s="2547" t="s">
        <v>2183</v>
      </c>
      <c r="C916" s="2548">
        <v>7762.5559999999996</v>
      </c>
    </row>
    <row r="917" spans="1:3" ht="15.75">
      <c r="A917" s="2547" t="s">
        <v>1295</v>
      </c>
      <c r="B917" s="2547" t="s">
        <v>3064</v>
      </c>
      <c r="C917" s="2548">
        <v>10579.312</v>
      </c>
    </row>
    <row r="918" spans="1:3" ht="15.75">
      <c r="A918" s="2547" t="s">
        <v>2804</v>
      </c>
      <c r="B918" s="2547" t="s">
        <v>2184</v>
      </c>
      <c r="C918" s="2548">
        <v>1359.2639999999999</v>
      </c>
    </row>
    <row r="919" spans="1:3" ht="15.75">
      <c r="A919" s="2547" t="s">
        <v>1496</v>
      </c>
      <c r="B919" s="2547" t="s">
        <v>2185</v>
      </c>
      <c r="C919" s="2548">
        <v>8776.8629999999994</v>
      </c>
    </row>
    <row r="920" spans="1:3" ht="15.75">
      <c r="A920" s="2547" t="s">
        <v>1497</v>
      </c>
      <c r="B920" s="2547" t="s">
        <v>2186</v>
      </c>
      <c r="C920" s="2548">
        <v>695.66099999999994</v>
      </c>
    </row>
    <row r="921" spans="1:3" ht="15.75">
      <c r="A921" s="2547" t="s">
        <v>1498</v>
      </c>
      <c r="B921" s="2547" t="s">
        <v>2187</v>
      </c>
      <c r="C921" s="2548">
        <v>1181.845</v>
      </c>
    </row>
    <row r="922" spans="1:3" ht="15.75">
      <c r="A922" s="2547" t="s">
        <v>1499</v>
      </c>
      <c r="B922" s="2547" t="s">
        <v>2081</v>
      </c>
      <c r="C922" s="2548">
        <v>110.696</v>
      </c>
    </row>
    <row r="923" spans="1:3" ht="15.75">
      <c r="A923" s="2547" t="s">
        <v>1500</v>
      </c>
      <c r="B923" s="2547" t="s">
        <v>2188</v>
      </c>
      <c r="C923" s="2548">
        <v>164.952</v>
      </c>
    </row>
    <row r="924" spans="1:3" ht="15.75">
      <c r="A924" s="2547" t="s">
        <v>1615</v>
      </c>
      <c r="B924" s="2547" t="s">
        <v>1740</v>
      </c>
      <c r="C924" s="2548">
        <v>386.40600000000001</v>
      </c>
    </row>
    <row r="925" spans="1:3" ht="15.75">
      <c r="A925" s="2547" t="s">
        <v>2051</v>
      </c>
      <c r="B925" s="2547" t="s">
        <v>2189</v>
      </c>
      <c r="C925" s="2548">
        <v>1283.48</v>
      </c>
    </row>
    <row r="926" spans="1:3" ht="15.75">
      <c r="A926" s="2547" t="s">
        <v>2052</v>
      </c>
      <c r="B926" s="2547" t="s">
        <v>2190</v>
      </c>
      <c r="C926" s="2548">
        <v>1163.989</v>
      </c>
    </row>
    <row r="927" spans="1:3" ht="15.75">
      <c r="A927" s="2547" t="s">
        <v>1423</v>
      </c>
      <c r="B927" s="2547" t="s">
        <v>2212</v>
      </c>
      <c r="C927" s="2548">
        <v>349.25400000000002</v>
      </c>
    </row>
    <row r="928" spans="1:3" ht="15.75">
      <c r="A928" s="2547" t="s">
        <v>83</v>
      </c>
      <c r="B928" s="2547" t="s">
        <v>2499</v>
      </c>
      <c r="C928" s="2548">
        <v>165.12100000000001</v>
      </c>
    </row>
    <row r="929" spans="1:3" ht="15.75">
      <c r="A929" s="2547" t="s">
        <v>2053</v>
      </c>
      <c r="B929" s="2547" t="s">
        <v>483</v>
      </c>
      <c r="C929" s="2548">
        <v>648.47699999999998</v>
      </c>
    </row>
    <row r="930" spans="1:3" ht="15.75">
      <c r="A930" s="2547" t="s">
        <v>2054</v>
      </c>
      <c r="B930" s="2547" t="s">
        <v>2191</v>
      </c>
      <c r="C930" s="2548">
        <v>2281.4690000000001</v>
      </c>
    </row>
    <row r="931" spans="1:3" ht="15.75">
      <c r="A931" s="2547" t="s">
        <v>1594</v>
      </c>
      <c r="B931" s="2547" t="s">
        <v>1152</v>
      </c>
      <c r="C931" s="2548">
        <v>811.245</v>
      </c>
    </row>
    <row r="932" spans="1:3" ht="15.75">
      <c r="A932" s="2547" t="s">
        <v>1229</v>
      </c>
      <c r="B932" s="2547" t="s">
        <v>881</v>
      </c>
      <c r="C932" s="2548">
        <v>281.59199999999998</v>
      </c>
    </row>
    <row r="933" spans="1:3" ht="15.75">
      <c r="A933" s="2547" t="s">
        <v>2127</v>
      </c>
      <c r="B933" s="2547" t="s">
        <v>935</v>
      </c>
      <c r="C933" s="2548">
        <v>1022.378</v>
      </c>
    </row>
    <row r="934" spans="1:3" ht="15.75">
      <c r="A934" s="2547" t="s">
        <v>1230</v>
      </c>
      <c r="B934" s="2547" t="s">
        <v>1729</v>
      </c>
      <c r="C934" s="2548">
        <v>966.35900000000004</v>
      </c>
    </row>
    <row r="935" spans="1:3" ht="15.75">
      <c r="A935" s="2547" t="s">
        <v>1231</v>
      </c>
      <c r="B935" s="2547" t="s">
        <v>882</v>
      </c>
      <c r="C935" s="2548">
        <v>696.94799999999998</v>
      </c>
    </row>
    <row r="936" spans="1:3" ht="15.75">
      <c r="A936" s="2547" t="s">
        <v>1232</v>
      </c>
      <c r="B936" s="2547" t="s">
        <v>883</v>
      </c>
      <c r="C936" s="2548">
        <v>515.79600000000005</v>
      </c>
    </row>
    <row r="937" spans="1:3" ht="15.75">
      <c r="A937" s="2547" t="s">
        <v>1233</v>
      </c>
      <c r="B937" s="2547" t="s">
        <v>884</v>
      </c>
      <c r="C937" s="2548">
        <v>253.72</v>
      </c>
    </row>
    <row r="938" spans="1:3" ht="15.75">
      <c r="A938" s="2547" t="s">
        <v>63</v>
      </c>
      <c r="B938" s="2547" t="s">
        <v>2832</v>
      </c>
      <c r="C938" s="2548">
        <v>382.81599999999997</v>
      </c>
    </row>
    <row r="939" spans="1:3" ht="15.75">
      <c r="A939" s="2547" t="s">
        <v>1737</v>
      </c>
      <c r="B939" s="2547" t="s">
        <v>670</v>
      </c>
      <c r="C939" s="2548">
        <v>479.87</v>
      </c>
    </row>
    <row r="940" spans="1:3" ht="15.75">
      <c r="A940" s="2547" t="s">
        <v>1714</v>
      </c>
      <c r="B940" s="2547" t="s">
        <v>327</v>
      </c>
      <c r="C940" s="2548">
        <v>4270.2280000000001</v>
      </c>
    </row>
    <row r="941" spans="1:3" ht="15.75">
      <c r="A941" s="2547" t="s">
        <v>1495</v>
      </c>
      <c r="B941" s="2547" t="s">
        <v>687</v>
      </c>
      <c r="C941" s="2548">
        <v>175.27799999999999</v>
      </c>
    </row>
    <row r="942" spans="1:3" ht="15.75">
      <c r="A942" s="2547" t="s">
        <v>530</v>
      </c>
      <c r="B942" s="2547" t="s">
        <v>2460</v>
      </c>
      <c r="C942" s="2548">
        <v>9668.7129999999997</v>
      </c>
    </row>
    <row r="943" spans="1:3" ht="15.75">
      <c r="A943" s="2547" t="s">
        <v>940</v>
      </c>
      <c r="B943" s="2547" t="s">
        <v>688</v>
      </c>
      <c r="C943" s="2548">
        <v>178.762</v>
      </c>
    </row>
    <row r="944" spans="1:3" ht="15.75">
      <c r="A944" s="2547" t="s">
        <v>943</v>
      </c>
      <c r="B944" s="2547" t="s">
        <v>1310</v>
      </c>
      <c r="C944" s="2548">
        <v>2008.528</v>
      </c>
    </row>
    <row r="945" spans="1:3" ht="15.75">
      <c r="A945" s="2547" t="s">
        <v>944</v>
      </c>
      <c r="B945" s="2547" t="s">
        <v>1000</v>
      </c>
      <c r="C945" s="2548">
        <v>884.98599999999999</v>
      </c>
    </row>
    <row r="946" spans="1:3" ht="15.75">
      <c r="A946" s="2547" t="s">
        <v>1726</v>
      </c>
      <c r="B946" s="2547" t="s">
        <v>976</v>
      </c>
      <c r="C946" s="2548">
        <v>1023.019</v>
      </c>
    </row>
    <row r="947" spans="1:3" ht="15.75">
      <c r="A947" s="2547" t="s">
        <v>2097</v>
      </c>
      <c r="B947" s="2547" t="s">
        <v>2359</v>
      </c>
      <c r="C947" s="2548">
        <v>475.28300000000002</v>
      </c>
    </row>
    <row r="948" spans="1:3" ht="15.75">
      <c r="A948" s="2547" t="s">
        <v>945</v>
      </c>
      <c r="B948" s="2547" t="s">
        <v>1311</v>
      </c>
      <c r="C948" s="2548">
        <v>2232.8409999999999</v>
      </c>
    </row>
    <row r="949" spans="1:3" ht="15.75">
      <c r="A949" s="2547" t="s">
        <v>946</v>
      </c>
      <c r="B949" s="2547" t="s">
        <v>2379</v>
      </c>
      <c r="C949" s="2548">
        <v>2237.2510000000002</v>
      </c>
    </row>
    <row r="950" spans="1:3" ht="15.75">
      <c r="A950" s="2547" t="s">
        <v>1606</v>
      </c>
      <c r="B950" s="2547" t="s">
        <v>1668</v>
      </c>
      <c r="C950" s="2548">
        <v>337.50599999999997</v>
      </c>
    </row>
    <row r="951" spans="1:3" ht="15.75">
      <c r="A951" s="2547" t="s">
        <v>989</v>
      </c>
      <c r="B951" s="2547" t="s">
        <v>1520</v>
      </c>
      <c r="C951" s="2548">
        <v>832.22799999999995</v>
      </c>
    </row>
    <row r="952" spans="1:3" ht="15.75">
      <c r="A952" s="2547" t="s">
        <v>372</v>
      </c>
      <c r="B952" s="2547" t="s">
        <v>155</v>
      </c>
      <c r="C952" s="2548">
        <v>13240.936</v>
      </c>
    </row>
    <row r="953" spans="1:3" ht="15.75">
      <c r="A953" s="2547" t="s">
        <v>2992</v>
      </c>
      <c r="B953" s="2547" t="s">
        <v>2380</v>
      </c>
      <c r="C953" s="2548">
        <v>100.34</v>
      </c>
    </row>
    <row r="954" spans="1:3" ht="15.75">
      <c r="A954" s="2547" t="s">
        <v>1160</v>
      </c>
      <c r="B954" s="2547" t="s">
        <v>1307</v>
      </c>
      <c r="C954" s="2548">
        <v>921.375</v>
      </c>
    </row>
    <row r="955" spans="1:3" ht="15.75">
      <c r="A955" s="2547" t="s">
        <v>1320</v>
      </c>
      <c r="B955" s="2547" t="s">
        <v>106</v>
      </c>
      <c r="C955" s="2548">
        <v>6464.442</v>
      </c>
    </row>
    <row r="956" spans="1:3" ht="15.75">
      <c r="A956" s="2547" t="s">
        <v>306</v>
      </c>
      <c r="B956" s="2547" t="s">
        <v>2722</v>
      </c>
      <c r="C956" s="2548">
        <v>1496.2429999999999</v>
      </c>
    </row>
    <row r="957" spans="1:3" ht="15.75">
      <c r="A957" s="2547" t="s">
        <v>307</v>
      </c>
      <c r="B957" s="2547" t="s">
        <v>159</v>
      </c>
      <c r="C957" s="2548">
        <v>6192.5749999999998</v>
      </c>
    </row>
    <row r="958" spans="1:3" ht="15.75">
      <c r="A958" s="2547" t="s">
        <v>693</v>
      </c>
      <c r="B958" s="2547" t="s">
        <v>107</v>
      </c>
      <c r="C958" s="2548">
        <v>2098.9450000000002</v>
      </c>
    </row>
    <row r="959" spans="1:3" ht="15.75">
      <c r="A959" s="2547" t="s">
        <v>694</v>
      </c>
      <c r="B959" s="2547" t="s">
        <v>999</v>
      </c>
      <c r="C959" s="2548">
        <v>2122.1759999999999</v>
      </c>
    </row>
    <row r="960" spans="1:3" ht="15.75">
      <c r="A960" s="2547" t="s">
        <v>695</v>
      </c>
      <c r="B960" s="2547" t="s">
        <v>1383</v>
      </c>
      <c r="C960" s="2548">
        <v>136.523</v>
      </c>
    </row>
    <row r="961" spans="1:3" ht="15.75">
      <c r="A961" s="2547" t="s">
        <v>2669</v>
      </c>
      <c r="B961" s="2547" t="s">
        <v>1384</v>
      </c>
      <c r="C961" s="2548">
        <v>4594.1139999999996</v>
      </c>
    </row>
    <row r="962" spans="1:3" ht="15.75">
      <c r="A962" s="2547" t="s">
        <v>2670</v>
      </c>
      <c r="B962" s="2547" t="s">
        <v>1385</v>
      </c>
      <c r="C962" s="2548">
        <v>385.88299999999998</v>
      </c>
    </row>
    <row r="963" spans="1:3" ht="15.75">
      <c r="A963" s="2547" t="s">
        <v>1987</v>
      </c>
      <c r="B963" s="2547" t="s">
        <v>2677</v>
      </c>
      <c r="C963" s="2548">
        <v>22093.406999999999</v>
      </c>
    </row>
    <row r="964" spans="1:3" ht="15.75">
      <c r="A964" s="2547" t="s">
        <v>1713</v>
      </c>
      <c r="B964" s="2547" t="s">
        <v>2703</v>
      </c>
      <c r="C964" s="2548">
        <v>40520.559000000001</v>
      </c>
    </row>
    <row r="965" spans="1:3" ht="15.75">
      <c r="A965" s="2547" t="s">
        <v>1043</v>
      </c>
      <c r="B965" s="2547" t="s">
        <v>2666</v>
      </c>
      <c r="C965" s="2548">
        <v>299.47500000000002</v>
      </c>
    </row>
    <row r="966" spans="1:3" ht="15.75">
      <c r="A966" s="2547" t="s">
        <v>1044</v>
      </c>
      <c r="B966" s="2547" t="s">
        <v>1387</v>
      </c>
      <c r="C966" s="2548">
        <v>1064.5640000000001</v>
      </c>
    </row>
    <row r="967" spans="1:3" ht="15.75">
      <c r="A967" s="2547" t="s">
        <v>1045</v>
      </c>
      <c r="B967" s="2547" t="s">
        <v>1388</v>
      </c>
      <c r="C967" s="2548">
        <v>953.41600000000005</v>
      </c>
    </row>
    <row r="968" spans="1:3" ht="15.75">
      <c r="A968" s="2547" t="s">
        <v>624</v>
      </c>
      <c r="B968" s="2547" t="s">
        <v>1389</v>
      </c>
      <c r="C968" s="2548">
        <v>3333.002</v>
      </c>
    </row>
    <row r="969" spans="1:3" ht="15.75">
      <c r="A969" s="2547" t="s">
        <v>1014</v>
      </c>
      <c r="B969" s="2547" t="s">
        <v>1390</v>
      </c>
      <c r="C969" s="2548">
        <v>2045.307</v>
      </c>
    </row>
    <row r="970" spans="1:3" ht="15.75">
      <c r="A970" s="2547" t="s">
        <v>1015</v>
      </c>
      <c r="B970" s="2547" t="s">
        <v>1391</v>
      </c>
      <c r="C970" s="2548">
        <v>477.79500000000002</v>
      </c>
    </row>
    <row r="971" spans="1:3" ht="15.75">
      <c r="A971" s="2547" t="s">
        <v>1016</v>
      </c>
      <c r="B971" s="2547" t="s">
        <v>1392</v>
      </c>
      <c r="C971" s="2548">
        <v>392.83300000000003</v>
      </c>
    </row>
    <row r="972" spans="1:3" ht="15.75">
      <c r="A972" s="2547" t="s">
        <v>1017</v>
      </c>
      <c r="B972" s="2547" t="s">
        <v>1393</v>
      </c>
      <c r="C972" s="2548">
        <v>432.23500000000001</v>
      </c>
    </row>
    <row r="973" spans="1:3" ht="15.75">
      <c r="A973" s="2547" t="s">
        <v>1940</v>
      </c>
      <c r="B973" s="2547" t="s">
        <v>1394</v>
      </c>
      <c r="C973" s="2548">
        <v>94.707999999999998</v>
      </c>
    </row>
    <row r="974" spans="1:3" ht="15.75">
      <c r="A974" s="2547" t="s">
        <v>2648</v>
      </c>
      <c r="B974" s="2547" t="s">
        <v>1395</v>
      </c>
      <c r="C974" s="2548">
        <v>148.29599999999999</v>
      </c>
    </row>
    <row r="975" spans="1:3" ht="15.75">
      <c r="A975" s="2547" t="s">
        <v>996</v>
      </c>
      <c r="B975" s="2547" t="s">
        <v>1633</v>
      </c>
      <c r="C975" s="2548">
        <v>3009.7280000000001</v>
      </c>
    </row>
    <row r="976" spans="1:3" ht="15.75">
      <c r="A976" s="2547" t="s">
        <v>1424</v>
      </c>
      <c r="B976" s="2547" t="s">
        <v>1804</v>
      </c>
      <c r="C976" s="2548">
        <v>378.29700000000003</v>
      </c>
    </row>
    <row r="977" spans="1:3" ht="15.75">
      <c r="A977" s="2547" t="s">
        <v>714</v>
      </c>
      <c r="B977" s="2547" t="s">
        <v>2667</v>
      </c>
      <c r="C977" s="2548">
        <v>1660.6679999999999</v>
      </c>
    </row>
    <row r="978" spans="1:3" ht="15.75">
      <c r="A978" s="2547" t="s">
        <v>2088</v>
      </c>
      <c r="B978" s="2547" t="s">
        <v>1806</v>
      </c>
      <c r="C978" s="2548">
        <v>13095.23</v>
      </c>
    </row>
    <row r="979" spans="1:3" ht="15.75">
      <c r="A979" s="2547" t="s">
        <v>626</v>
      </c>
      <c r="B979" s="2547" t="s">
        <v>1327</v>
      </c>
      <c r="C979" s="2548">
        <v>957.57299999999998</v>
      </c>
    </row>
    <row r="980" spans="1:3" ht="15.75">
      <c r="A980" s="2547" t="s">
        <v>1534</v>
      </c>
      <c r="B980" s="2547" t="s">
        <v>1807</v>
      </c>
      <c r="C980" s="2548">
        <v>96.186999999999998</v>
      </c>
    </row>
    <row r="981" spans="1:3" ht="15.75">
      <c r="A981" s="2547" t="s">
        <v>9</v>
      </c>
      <c r="B981" s="2547" t="s">
        <v>1808</v>
      </c>
      <c r="C981" s="2548">
        <v>1974.596</v>
      </c>
    </row>
    <row r="982" spans="1:3" ht="15.75">
      <c r="A982" s="2547" t="s">
        <v>10</v>
      </c>
      <c r="B982" s="2547" t="s">
        <v>2612</v>
      </c>
      <c r="C982" s="2548">
        <v>200.33799999999999</v>
      </c>
    </row>
    <row r="983" spans="1:3" ht="15.75">
      <c r="A983" s="2547" t="s">
        <v>1695</v>
      </c>
      <c r="B983" s="2547" t="s">
        <v>2678</v>
      </c>
      <c r="C983" s="2548">
        <v>426.73099999999999</v>
      </c>
    </row>
    <row r="984" spans="1:3" ht="15.75">
      <c r="A984" s="2547" t="s">
        <v>2387</v>
      </c>
      <c r="B984" s="2547" t="s">
        <v>950</v>
      </c>
      <c r="C984" s="2548">
        <v>1438.2729999999999</v>
      </c>
    </row>
    <row r="985" spans="1:3" ht="15.75">
      <c r="A985" s="2547" t="s">
        <v>465</v>
      </c>
      <c r="B985" s="2547" t="s">
        <v>91</v>
      </c>
      <c r="C985" s="2548">
        <v>1894.15</v>
      </c>
    </row>
    <row r="986" spans="1:3" ht="15.75">
      <c r="A986" s="2547" t="s">
        <v>308</v>
      </c>
      <c r="B986" s="2547" t="s">
        <v>580</v>
      </c>
      <c r="C986" s="2548">
        <v>261.10199999999998</v>
      </c>
    </row>
    <row r="987" spans="1:3" ht="15.75">
      <c r="A987" s="2547" t="s">
        <v>1514</v>
      </c>
      <c r="B987" s="2547" t="s">
        <v>130</v>
      </c>
      <c r="C987" s="2548">
        <v>937.904</v>
      </c>
    </row>
    <row r="988" spans="1:3" ht="15.75">
      <c r="A988" s="2547" t="s">
        <v>2975</v>
      </c>
      <c r="B988" s="2547" t="s">
        <v>2650</v>
      </c>
      <c r="C988" s="2548">
        <v>10409.858</v>
      </c>
    </row>
    <row r="989" spans="1:3" ht="15.75">
      <c r="A989" s="2547" t="s">
        <v>2038</v>
      </c>
      <c r="B989" s="2547" t="s">
        <v>1153</v>
      </c>
      <c r="C989" s="2548">
        <v>383.18700000000001</v>
      </c>
    </row>
    <row r="990" spans="1:3" ht="15.75">
      <c r="A990" s="2547" t="s">
        <v>47</v>
      </c>
      <c r="B990" s="2547" t="s">
        <v>1440</v>
      </c>
      <c r="C990" s="2548">
        <v>6153.9539999999997</v>
      </c>
    </row>
    <row r="991" spans="1:3" ht="15.75">
      <c r="A991" s="2547" t="s">
        <v>11</v>
      </c>
      <c r="B991" s="2547" t="s">
        <v>1809</v>
      </c>
      <c r="C991" s="2548">
        <v>1325.42</v>
      </c>
    </row>
    <row r="992" spans="1:3" ht="15.75">
      <c r="A992" s="2547" t="s">
        <v>1990</v>
      </c>
      <c r="B992" s="2547" t="s">
        <v>2826</v>
      </c>
      <c r="C992" s="2548">
        <v>3319.7739999999999</v>
      </c>
    </row>
    <row r="993" spans="1:3" ht="15.75">
      <c r="A993" s="2547" t="s">
        <v>1485</v>
      </c>
      <c r="B993" s="2547" t="s">
        <v>666</v>
      </c>
      <c r="C993" s="2548">
        <v>45385.891000000003</v>
      </c>
    </row>
    <row r="994" spans="1:3" ht="15.75">
      <c r="A994" s="2547" t="s">
        <v>1738</v>
      </c>
      <c r="B994" s="2547" t="s">
        <v>657</v>
      </c>
      <c r="C994" s="2548">
        <v>2940.0039999999999</v>
      </c>
    </row>
    <row r="995" spans="1:3" ht="15.75">
      <c r="A995" s="2547" t="s">
        <v>1708</v>
      </c>
      <c r="B995" s="2547" t="s">
        <v>659</v>
      </c>
      <c r="C995" s="2548">
        <v>614.94899999999996</v>
      </c>
    </row>
    <row r="996" spans="1:3" ht="15.75">
      <c r="A996" s="2547" t="s">
        <v>1988</v>
      </c>
      <c r="B996" s="2547" t="s">
        <v>2824</v>
      </c>
      <c r="C996" s="2548">
        <v>35472.277999999998</v>
      </c>
    </row>
    <row r="997" spans="1:3" ht="15.75">
      <c r="A997" s="2547" t="s">
        <v>12</v>
      </c>
      <c r="B997" s="2547" t="s">
        <v>1810</v>
      </c>
      <c r="C997" s="2548">
        <v>142.72</v>
      </c>
    </row>
    <row r="998" spans="1:3" ht="15.75">
      <c r="A998" s="2547" t="s">
        <v>2814</v>
      </c>
      <c r="B998" s="2547" t="s">
        <v>131</v>
      </c>
      <c r="C998" s="2548">
        <v>3714.502</v>
      </c>
    </row>
    <row r="999" spans="1:3" ht="15.75">
      <c r="A999" s="2547" t="s">
        <v>66</v>
      </c>
      <c r="B999" s="2547" t="s">
        <v>2173</v>
      </c>
      <c r="C999" s="2548">
        <v>3064.819</v>
      </c>
    </row>
    <row r="1000" spans="1:3" ht="15.75">
      <c r="A1000" s="2547" t="s">
        <v>2815</v>
      </c>
      <c r="B1000" s="2547" t="s">
        <v>1132</v>
      </c>
      <c r="C1000" s="2548">
        <v>780.47400000000005</v>
      </c>
    </row>
    <row r="1001" spans="1:3" ht="15.75">
      <c r="A1001" s="2547" t="s">
        <v>1705</v>
      </c>
      <c r="B1001" s="2547" t="s">
        <v>2215</v>
      </c>
      <c r="C1001" s="2548">
        <v>748.21699999999998</v>
      </c>
    </row>
    <row r="1002" spans="1:3" ht="15.75">
      <c r="A1002" s="2547" t="s">
        <v>1339</v>
      </c>
      <c r="B1002" s="2547" t="s">
        <v>1811</v>
      </c>
      <c r="C1002" s="2548">
        <v>1319.5540000000001</v>
      </c>
    </row>
    <row r="1003" spans="1:3" ht="15.75">
      <c r="A1003" s="2547" t="s">
        <v>1340</v>
      </c>
      <c r="B1003" s="2547" t="s">
        <v>1812</v>
      </c>
      <c r="C1003" s="2548">
        <v>392.91899999999998</v>
      </c>
    </row>
    <row r="1004" spans="1:3" ht="15.75">
      <c r="A1004" s="2547" t="s">
        <v>224</v>
      </c>
      <c r="B1004" s="2547" t="s">
        <v>1203</v>
      </c>
      <c r="C1004" s="2548">
        <v>677.35599999999999</v>
      </c>
    </row>
    <row r="1005" spans="1:3" ht="15.75">
      <c r="A1005" s="2547" t="s">
        <v>904</v>
      </c>
      <c r="B1005" s="2547" t="s">
        <v>1813</v>
      </c>
      <c r="C1005" s="2548">
        <v>1094.93</v>
      </c>
    </row>
    <row r="1006" spans="1:3" ht="15.75">
      <c r="A1006" s="2547" t="s">
        <v>2491</v>
      </c>
      <c r="B1006" s="2547" t="s">
        <v>1814</v>
      </c>
      <c r="C1006" s="2548">
        <v>1974.39</v>
      </c>
    </row>
    <row r="1007" spans="1:3" ht="15.75">
      <c r="A1007" s="2547" t="s">
        <v>2780</v>
      </c>
      <c r="B1007" s="2547" t="s">
        <v>1815</v>
      </c>
      <c r="C1007" s="2548">
        <v>551.27700000000004</v>
      </c>
    </row>
    <row r="1008" spans="1:3" ht="15.75">
      <c r="A1008" s="2547" t="s">
        <v>2781</v>
      </c>
      <c r="B1008" s="2547" t="s">
        <v>1816</v>
      </c>
      <c r="C1008" s="2548">
        <v>2890.7489999999998</v>
      </c>
    </row>
    <row r="1009" spans="1:3" ht="15.75">
      <c r="A1009" s="2547" t="s">
        <v>2302</v>
      </c>
      <c r="B1009" s="2547" t="s">
        <v>1541</v>
      </c>
      <c r="C1009" s="2548">
        <v>1083.646</v>
      </c>
    </row>
    <row r="1010" spans="1:3" ht="15.75">
      <c r="A1010" s="2547" t="s">
        <v>1314</v>
      </c>
      <c r="B1010" s="2547" t="s">
        <v>2201</v>
      </c>
      <c r="C1010" s="2548">
        <v>254.66</v>
      </c>
    </row>
    <row r="1011" spans="1:3" ht="15.75">
      <c r="A1011" s="2547" t="s">
        <v>2548</v>
      </c>
      <c r="B1011" s="2547" t="s">
        <v>1817</v>
      </c>
      <c r="C1011" s="2548">
        <v>681.09299999999996</v>
      </c>
    </row>
    <row r="1012" spans="1:3" ht="15.75">
      <c r="A1012" s="2547" t="s">
        <v>2549</v>
      </c>
      <c r="B1012" s="2547" t="s">
        <v>1818</v>
      </c>
      <c r="C1012" s="2548">
        <v>1496.508</v>
      </c>
    </row>
    <row r="1013" spans="1:3" ht="15.75">
      <c r="A1013" s="2547" t="s">
        <v>2970</v>
      </c>
      <c r="B1013" s="2547" t="s">
        <v>29</v>
      </c>
      <c r="C1013" s="2548">
        <v>1073.2840000000001</v>
      </c>
    </row>
    <row r="1014" spans="1:3" ht="15.75">
      <c r="A1014" s="2547" t="s">
        <v>2971</v>
      </c>
      <c r="B1014" s="2547" t="s">
        <v>1548</v>
      </c>
      <c r="C1014" s="2548">
        <v>334.38200000000001</v>
      </c>
    </row>
    <row r="1015" spans="1:3" ht="15.75">
      <c r="A1015" s="2547" t="s">
        <v>705</v>
      </c>
      <c r="B1015" s="2547" t="s">
        <v>1549</v>
      </c>
      <c r="C1015" s="2548">
        <v>822.72699999999998</v>
      </c>
    </row>
    <row r="1016" spans="1:3" ht="15.75">
      <c r="A1016" s="2547" t="s">
        <v>777</v>
      </c>
      <c r="B1016" s="2547" t="s">
        <v>1550</v>
      </c>
      <c r="C1016" s="2548">
        <v>1389.096</v>
      </c>
    </row>
    <row r="1017" spans="1:3" ht="15.75">
      <c r="A1017" s="2547" t="s">
        <v>778</v>
      </c>
      <c r="B1017" s="2547" t="s">
        <v>1551</v>
      </c>
      <c r="C1017" s="2548">
        <v>1632.836</v>
      </c>
    </row>
    <row r="1018" spans="1:3" ht="15.75">
      <c r="A1018" s="2547" t="s">
        <v>1660</v>
      </c>
      <c r="B1018" s="2547" t="s">
        <v>1552</v>
      </c>
      <c r="C1018" s="2548">
        <v>441.55900000000003</v>
      </c>
    </row>
    <row r="1019" spans="1:3" ht="15.75">
      <c r="A1019" s="2547" t="s">
        <v>1020</v>
      </c>
      <c r="B1019" s="2547" t="s">
        <v>974</v>
      </c>
      <c r="C1019" s="2548">
        <v>2269.6170000000002</v>
      </c>
    </row>
    <row r="1020" spans="1:3" ht="15.75">
      <c r="A1020" s="2547" t="s">
        <v>1661</v>
      </c>
      <c r="B1020" s="2547" t="s">
        <v>1553</v>
      </c>
      <c r="C1020" s="2548">
        <v>216.05099999999999</v>
      </c>
    </row>
    <row r="1021" spans="1:3" ht="15.75">
      <c r="A1021" s="2547" t="s">
        <v>1696</v>
      </c>
      <c r="B1021" s="2547" t="s">
        <v>933</v>
      </c>
      <c r="C1021" s="2548">
        <v>634.69299999999998</v>
      </c>
    </row>
    <row r="1022" spans="1:3" ht="15.75">
      <c r="A1022" s="2547" t="s">
        <v>556</v>
      </c>
      <c r="B1022" s="2547" t="s">
        <v>1554</v>
      </c>
      <c r="C1022" s="2548">
        <v>3228.2020000000002</v>
      </c>
    </row>
    <row r="1023" spans="1:3" ht="15.75">
      <c r="A1023" s="2547" t="s">
        <v>2760</v>
      </c>
      <c r="B1023" s="2547" t="s">
        <v>460</v>
      </c>
      <c r="C1023" s="2548">
        <v>1808.1410000000001</v>
      </c>
    </row>
    <row r="1024" spans="1:3" ht="15.75">
      <c r="A1024" s="2547" t="s">
        <v>1901</v>
      </c>
      <c r="B1024" s="2547" t="s">
        <v>2171</v>
      </c>
      <c r="C1024" s="2548">
        <v>459.11700000000002</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B1018"/>
    </sheetView>
  </sheetViews>
  <sheetFormatPr defaultRowHeight="12.75"/>
  <cols>
    <col min="3" max="3" width="36.5703125" customWidth="1"/>
    <col min="4" max="4" width="20.7109375" customWidth="1"/>
    <col min="5" max="5" width="13.140625" customWidth="1"/>
  </cols>
  <sheetData>
    <row r="1" spans="1:4" ht="15">
      <c r="A1" s="2546" t="s">
        <v>7446</v>
      </c>
      <c r="B1" s="114" t="s">
        <v>225</v>
      </c>
      <c r="C1" s="2546" t="s">
        <v>310</v>
      </c>
      <c r="D1" s="121">
        <v>1734.1209143744554</v>
      </c>
    </row>
    <row r="2" spans="1:4" ht="15">
      <c r="A2" s="2546" t="s">
        <v>3997</v>
      </c>
      <c r="B2" s="114" t="s">
        <v>2228</v>
      </c>
      <c r="C2" s="2546" t="s">
        <v>311</v>
      </c>
      <c r="D2" s="121">
        <v>0</v>
      </c>
    </row>
    <row r="3" spans="1:4" ht="15">
      <c r="A3" s="2546" t="s">
        <v>6467</v>
      </c>
      <c r="B3" s="114" t="s">
        <v>15</v>
      </c>
      <c r="C3" s="2546" t="s">
        <v>312</v>
      </c>
      <c r="D3" s="121">
        <v>0</v>
      </c>
    </row>
    <row r="4" spans="1:4" ht="15">
      <c r="A4" s="2546" t="s">
        <v>6468</v>
      </c>
      <c r="B4" s="114" t="s">
        <v>16</v>
      </c>
      <c r="C4" s="2546" t="s">
        <v>313</v>
      </c>
      <c r="D4" s="121">
        <v>9585.4329674354303</v>
      </c>
    </row>
    <row r="5" spans="1:4" ht="15">
      <c r="A5" s="2546" t="s">
        <v>3998</v>
      </c>
      <c r="B5" s="114" t="s">
        <v>17</v>
      </c>
      <c r="C5" s="2546" t="s">
        <v>314</v>
      </c>
      <c r="D5" s="121">
        <v>0</v>
      </c>
    </row>
    <row r="6" spans="1:4" ht="15">
      <c r="A6" s="2546" t="s">
        <v>7447</v>
      </c>
      <c r="B6" s="114" t="s">
        <v>1254</v>
      </c>
      <c r="C6" s="2546" t="s">
        <v>1355</v>
      </c>
      <c r="D6" s="121">
        <v>0</v>
      </c>
    </row>
    <row r="7" spans="1:4" ht="15">
      <c r="A7" s="2546" t="s">
        <v>6469</v>
      </c>
      <c r="B7" s="114" t="s">
        <v>1255</v>
      </c>
      <c r="C7" s="2546" t="s">
        <v>1356</v>
      </c>
      <c r="D7" s="121">
        <v>0</v>
      </c>
    </row>
    <row r="8" spans="1:4" ht="15">
      <c r="A8" s="2546" t="s">
        <v>6470</v>
      </c>
      <c r="B8" s="114" t="s">
        <v>2102</v>
      </c>
      <c r="C8" s="2546" t="s">
        <v>1357</v>
      </c>
      <c r="D8" s="121">
        <v>0</v>
      </c>
    </row>
    <row r="9" spans="1:4" ht="15">
      <c r="A9" s="2546" t="s">
        <v>3999</v>
      </c>
      <c r="B9" s="114" t="s">
        <v>774</v>
      </c>
      <c r="C9" s="2546" t="s">
        <v>2733</v>
      </c>
      <c r="D9" s="121">
        <v>0</v>
      </c>
    </row>
    <row r="10" spans="1:4" ht="15">
      <c r="A10" s="2546" t="s">
        <v>6471</v>
      </c>
      <c r="B10" s="114" t="s">
        <v>1637</v>
      </c>
      <c r="C10" s="2546" t="s">
        <v>1358</v>
      </c>
      <c r="D10" s="121">
        <v>0</v>
      </c>
    </row>
    <row r="11" spans="1:4" ht="15">
      <c r="A11" s="2546" t="s">
        <v>4000</v>
      </c>
      <c r="B11" s="114" t="s">
        <v>1279</v>
      </c>
      <c r="C11" s="2546" t="s">
        <v>1438</v>
      </c>
      <c r="D11" s="121">
        <v>0</v>
      </c>
    </row>
    <row r="12" spans="1:4" ht="15">
      <c r="A12" s="2546" t="s">
        <v>4001</v>
      </c>
      <c r="B12" s="114" t="s">
        <v>369</v>
      </c>
      <c r="C12" s="2546" t="s">
        <v>1359</v>
      </c>
      <c r="D12" s="121">
        <v>0</v>
      </c>
    </row>
    <row r="13" spans="1:4" ht="15">
      <c r="A13" s="2546" t="s">
        <v>6472</v>
      </c>
      <c r="B13" s="114" t="s">
        <v>370</v>
      </c>
      <c r="C13" s="2546" t="s">
        <v>1360</v>
      </c>
      <c r="D13" s="121">
        <v>0</v>
      </c>
    </row>
    <row r="14" spans="1:4" ht="15">
      <c r="A14" s="2546" t="s">
        <v>4002</v>
      </c>
      <c r="B14" s="114" t="s">
        <v>371</v>
      </c>
      <c r="C14" s="2546" t="s">
        <v>1361</v>
      </c>
      <c r="D14" s="121">
        <v>0</v>
      </c>
    </row>
    <row r="15" spans="1:4" ht="15">
      <c r="A15" s="2546" t="s">
        <v>6473</v>
      </c>
      <c r="B15" s="114" t="s">
        <v>2839</v>
      </c>
      <c r="C15" s="2546" t="s">
        <v>1362</v>
      </c>
      <c r="D15" s="121">
        <v>0</v>
      </c>
    </row>
    <row r="16" spans="1:4" ht="15">
      <c r="A16" s="2546" t="s">
        <v>6474</v>
      </c>
      <c r="B16" s="114" t="s">
        <v>2840</v>
      </c>
      <c r="C16" s="2546" t="s">
        <v>1363</v>
      </c>
      <c r="D16" s="121">
        <v>29126.379798612692</v>
      </c>
    </row>
    <row r="17" spans="1:4" ht="15">
      <c r="A17" s="2546" t="s">
        <v>6475</v>
      </c>
      <c r="B17" s="114" t="s">
        <v>2841</v>
      </c>
      <c r="C17" s="2546" t="s">
        <v>1364</v>
      </c>
      <c r="D17" s="121">
        <v>126971.52274305852</v>
      </c>
    </row>
    <row r="18" spans="1:4" ht="15">
      <c r="A18" s="2546" t="s">
        <v>4003</v>
      </c>
      <c r="B18" s="114" t="s">
        <v>2219</v>
      </c>
      <c r="C18" s="2546" t="s">
        <v>1289</v>
      </c>
      <c r="D18" s="121">
        <v>2835.1960191609073</v>
      </c>
    </row>
    <row r="19" spans="1:4" ht="15">
      <c r="A19" s="2546" t="s">
        <v>6476</v>
      </c>
      <c r="B19" s="114" t="s">
        <v>2843</v>
      </c>
      <c r="C19" s="2546" t="s">
        <v>1365</v>
      </c>
      <c r="D19" s="121">
        <v>0</v>
      </c>
    </row>
    <row r="20" spans="1:4" ht="15">
      <c r="A20" s="2546" t="s">
        <v>4004</v>
      </c>
      <c r="B20" s="114" t="s">
        <v>806</v>
      </c>
      <c r="C20" s="2546" t="s">
        <v>736</v>
      </c>
      <c r="D20" s="121">
        <v>172507.39563487124</v>
      </c>
    </row>
    <row r="21" spans="1:4" ht="15">
      <c r="A21" s="2546" t="s">
        <v>7448</v>
      </c>
      <c r="B21" s="114" t="s">
        <v>2844</v>
      </c>
      <c r="C21" s="2546" t="s">
        <v>1366</v>
      </c>
      <c r="D21" s="121">
        <v>413684.33896391559</v>
      </c>
    </row>
    <row r="22" spans="1:4" ht="15">
      <c r="A22" s="2546" t="s">
        <v>4005</v>
      </c>
      <c r="B22" s="114" t="s">
        <v>2388</v>
      </c>
      <c r="C22" s="2546" t="s">
        <v>1367</v>
      </c>
      <c r="D22" s="121">
        <v>0</v>
      </c>
    </row>
    <row r="23" spans="1:4" ht="15">
      <c r="A23" s="2546" t="s">
        <v>4006</v>
      </c>
      <c r="B23" s="114" t="s">
        <v>241</v>
      </c>
      <c r="C23" s="2546" t="s">
        <v>1128</v>
      </c>
      <c r="D23" s="121">
        <v>1153977.8552855738</v>
      </c>
    </row>
    <row r="24" spans="1:4" ht="15">
      <c r="A24" s="2546" t="s">
        <v>4007</v>
      </c>
      <c r="B24" s="114" t="s">
        <v>2447</v>
      </c>
      <c r="C24" s="2546" t="s">
        <v>1131</v>
      </c>
      <c r="D24" s="121">
        <v>0</v>
      </c>
    </row>
    <row r="25" spans="1:4" ht="15">
      <c r="A25" s="2546" t="s">
        <v>6477</v>
      </c>
      <c r="B25" s="114" t="s">
        <v>2845</v>
      </c>
      <c r="C25" s="2546" t="s">
        <v>1368</v>
      </c>
      <c r="D25" s="121">
        <v>0</v>
      </c>
    </row>
    <row r="26" spans="1:4" ht="15">
      <c r="A26" s="2546" t="s">
        <v>6478</v>
      </c>
      <c r="B26" s="114" t="s">
        <v>783</v>
      </c>
      <c r="C26" s="2546" t="s">
        <v>1369</v>
      </c>
      <c r="D26" s="121">
        <v>0</v>
      </c>
    </row>
    <row r="27" spans="1:4" ht="15">
      <c r="A27" s="2546" t="s">
        <v>6479</v>
      </c>
      <c r="B27" s="114" t="s">
        <v>784</v>
      </c>
      <c r="C27" s="2546" t="s">
        <v>1370</v>
      </c>
      <c r="D27" s="121">
        <v>38475.868100736734</v>
      </c>
    </row>
    <row r="28" spans="1:4" ht="15">
      <c r="A28" s="2546" t="s">
        <v>4008</v>
      </c>
      <c r="B28" s="114" t="s">
        <v>785</v>
      </c>
      <c r="C28" s="2546" t="s">
        <v>1371</v>
      </c>
      <c r="D28" s="121">
        <v>0</v>
      </c>
    </row>
    <row r="29" spans="1:4" ht="15">
      <c r="A29" s="2546" t="s">
        <v>7449</v>
      </c>
      <c r="B29" s="114" t="s">
        <v>216</v>
      </c>
      <c r="C29" s="2546" t="s">
        <v>1372</v>
      </c>
      <c r="D29" s="121">
        <v>0</v>
      </c>
    </row>
    <row r="30" spans="1:4" ht="15">
      <c r="A30" s="2546" t="s">
        <v>4009</v>
      </c>
      <c r="B30" s="114" t="s">
        <v>2220</v>
      </c>
      <c r="C30" s="2546" t="s">
        <v>2431</v>
      </c>
      <c r="D30" s="121">
        <v>0</v>
      </c>
    </row>
    <row r="31" spans="1:4" ht="15">
      <c r="A31" s="2546" t="s">
        <v>4010</v>
      </c>
      <c r="B31" s="114" t="s">
        <v>1896</v>
      </c>
      <c r="C31" s="2546" t="s">
        <v>2433</v>
      </c>
      <c r="D31" s="121">
        <v>0</v>
      </c>
    </row>
    <row r="32" spans="1:4" ht="15">
      <c r="A32" s="2546" t="s">
        <v>4011</v>
      </c>
      <c r="B32" s="114" t="s">
        <v>876</v>
      </c>
      <c r="C32" s="2546" t="s">
        <v>1002</v>
      </c>
      <c r="D32" s="121">
        <v>0</v>
      </c>
    </row>
    <row r="33" spans="1:4" ht="15">
      <c r="A33" s="2546" t="s">
        <v>4012</v>
      </c>
      <c r="B33" s="114" t="s">
        <v>2710</v>
      </c>
      <c r="C33" s="2546" t="s">
        <v>2202</v>
      </c>
      <c r="D33" s="121">
        <v>0</v>
      </c>
    </row>
    <row r="34" spans="1:4" ht="15">
      <c r="A34" s="2546" t="s">
        <v>4013</v>
      </c>
      <c r="B34" s="114" t="s">
        <v>2448</v>
      </c>
      <c r="C34" s="2546" t="s">
        <v>926</v>
      </c>
      <c r="D34" s="121">
        <v>0</v>
      </c>
    </row>
    <row r="35" spans="1:4" ht="15">
      <c r="A35" s="2546" t="s">
        <v>7450</v>
      </c>
      <c r="B35" s="114" t="s">
        <v>492</v>
      </c>
      <c r="C35" s="2546" t="s">
        <v>1373</v>
      </c>
      <c r="D35" s="121">
        <v>249301.35288837575</v>
      </c>
    </row>
    <row r="36" spans="1:4" ht="15">
      <c r="A36" s="2546" t="s">
        <v>4014</v>
      </c>
      <c r="B36" s="114" t="s">
        <v>2711</v>
      </c>
      <c r="C36" s="2546" t="s">
        <v>2434</v>
      </c>
      <c r="D36" s="121">
        <v>0</v>
      </c>
    </row>
    <row r="37" spans="1:4" ht="15">
      <c r="A37" s="2546" t="s">
        <v>6480</v>
      </c>
      <c r="B37" s="114" t="s">
        <v>3048</v>
      </c>
      <c r="C37" s="2546" t="s">
        <v>1374</v>
      </c>
      <c r="D37" s="121">
        <v>0</v>
      </c>
    </row>
    <row r="38" spans="1:4" ht="15">
      <c r="A38" s="2546" t="s">
        <v>6481</v>
      </c>
      <c r="B38" s="114" t="s">
        <v>3049</v>
      </c>
      <c r="C38" s="2546" t="s">
        <v>1375</v>
      </c>
      <c r="D38" s="121">
        <v>0</v>
      </c>
    </row>
    <row r="39" spans="1:4" ht="15">
      <c r="A39" s="2546" t="s">
        <v>4015</v>
      </c>
      <c r="B39" s="114" t="s">
        <v>1313</v>
      </c>
      <c r="C39" s="2546" t="s">
        <v>2089</v>
      </c>
      <c r="D39" s="121">
        <v>25905.180237020071</v>
      </c>
    </row>
    <row r="40" spans="1:4" ht="15">
      <c r="A40" s="2546" t="s">
        <v>6482</v>
      </c>
      <c r="B40" s="114" t="s">
        <v>2449</v>
      </c>
      <c r="C40" s="2546" t="s">
        <v>1376</v>
      </c>
      <c r="D40" s="121">
        <v>0</v>
      </c>
    </row>
    <row r="41" spans="1:4" ht="15">
      <c r="A41" s="2546" t="s">
        <v>4016</v>
      </c>
      <c r="B41" s="114" t="s">
        <v>1895</v>
      </c>
      <c r="C41" s="2546" t="s">
        <v>2432</v>
      </c>
      <c r="D41" s="121">
        <v>0</v>
      </c>
    </row>
    <row r="42" spans="1:4" ht="15">
      <c r="A42" s="2546" t="s">
        <v>4017</v>
      </c>
      <c r="B42" s="114" t="s">
        <v>1898</v>
      </c>
      <c r="C42" s="2546" t="s">
        <v>3079</v>
      </c>
      <c r="D42" s="121">
        <v>0</v>
      </c>
    </row>
    <row r="43" spans="1:4" ht="15">
      <c r="A43" s="2546" t="s">
        <v>4018</v>
      </c>
      <c r="B43" s="114" t="s">
        <v>198</v>
      </c>
      <c r="C43" s="2546" t="s">
        <v>2728</v>
      </c>
      <c r="D43" s="121">
        <v>0</v>
      </c>
    </row>
    <row r="44" spans="1:4" ht="15">
      <c r="A44" s="2546" t="s">
        <v>4019</v>
      </c>
      <c r="B44" s="114" t="s">
        <v>60</v>
      </c>
      <c r="C44" s="2546" t="s">
        <v>2878</v>
      </c>
      <c r="D44" s="121">
        <v>0</v>
      </c>
    </row>
    <row r="45" spans="1:4" ht="15">
      <c r="A45" s="2546" t="s">
        <v>4020</v>
      </c>
      <c r="B45" s="114" t="s">
        <v>192</v>
      </c>
      <c r="C45" s="2546" t="s">
        <v>1582</v>
      </c>
      <c r="D45" s="121">
        <v>0</v>
      </c>
    </row>
    <row r="46" spans="1:4" ht="15">
      <c r="A46" s="2546" t="s">
        <v>4021</v>
      </c>
      <c r="B46" s="114" t="s">
        <v>1487</v>
      </c>
      <c r="C46" s="2546" t="s">
        <v>2305</v>
      </c>
      <c r="D46" s="121">
        <v>0</v>
      </c>
    </row>
    <row r="47" spans="1:4" ht="15">
      <c r="A47" s="2546" t="s">
        <v>4022</v>
      </c>
      <c r="B47" s="114" t="s">
        <v>1707</v>
      </c>
      <c r="C47" s="2546" t="s">
        <v>658</v>
      </c>
      <c r="D47" s="121">
        <v>0</v>
      </c>
    </row>
    <row r="48" spans="1:4" ht="15">
      <c r="A48" s="2546" t="s">
        <v>4023</v>
      </c>
      <c r="B48" s="114" t="s">
        <v>1712</v>
      </c>
      <c r="C48" s="2546" t="s">
        <v>2640</v>
      </c>
      <c r="D48" s="121">
        <v>0</v>
      </c>
    </row>
    <row r="49" spans="1:4" ht="15">
      <c r="A49" s="2546" t="s">
        <v>6483</v>
      </c>
      <c r="B49" s="114" t="s">
        <v>463</v>
      </c>
      <c r="C49" s="2546" t="s">
        <v>2603</v>
      </c>
      <c r="D49" s="121">
        <v>0</v>
      </c>
    </row>
    <row r="50" spans="1:4" ht="15">
      <c r="A50" s="2546" t="s">
        <v>4024</v>
      </c>
      <c r="B50" s="114" t="s">
        <v>2125</v>
      </c>
      <c r="C50" s="2546" t="s">
        <v>822</v>
      </c>
      <c r="D50" s="121">
        <v>0</v>
      </c>
    </row>
    <row r="51" spans="1:4" ht="15">
      <c r="A51" s="2546" t="s">
        <v>4025</v>
      </c>
      <c r="B51" s="114" t="s">
        <v>874</v>
      </c>
      <c r="C51" s="2546" t="s">
        <v>1000</v>
      </c>
      <c r="D51" s="121">
        <v>0</v>
      </c>
    </row>
    <row r="52" spans="1:4" ht="15">
      <c r="A52" s="2546" t="s">
        <v>4026</v>
      </c>
      <c r="B52" s="114" t="s">
        <v>1489</v>
      </c>
      <c r="C52" s="2546" t="s">
        <v>2308</v>
      </c>
      <c r="D52" s="121">
        <v>0</v>
      </c>
    </row>
    <row r="53" spans="1:4" ht="15">
      <c r="A53" s="2546" t="s">
        <v>4027</v>
      </c>
      <c r="B53" s="114" t="s">
        <v>1699</v>
      </c>
      <c r="C53" s="2546" t="s">
        <v>2206</v>
      </c>
      <c r="D53" s="121">
        <v>0</v>
      </c>
    </row>
    <row r="54" spans="1:4" ht="15">
      <c r="A54" s="2546" t="s">
        <v>4028</v>
      </c>
      <c r="B54" s="114" t="s">
        <v>1316</v>
      </c>
      <c r="C54" s="2546" t="s">
        <v>2205</v>
      </c>
      <c r="D54" s="121">
        <v>0</v>
      </c>
    </row>
    <row r="55" spans="1:4" ht="15">
      <c r="A55" s="2546" t="s">
        <v>4029</v>
      </c>
      <c r="B55" s="114" t="s">
        <v>1587</v>
      </c>
      <c r="C55" s="2546" t="s">
        <v>2610</v>
      </c>
      <c r="D55" s="121">
        <v>0</v>
      </c>
    </row>
    <row r="56" spans="1:4" ht="15">
      <c r="A56" s="2546" t="s">
        <v>4030</v>
      </c>
      <c r="B56" s="114" t="s">
        <v>871</v>
      </c>
      <c r="C56" s="2546" t="s">
        <v>1215</v>
      </c>
      <c r="D56" s="121">
        <v>0</v>
      </c>
    </row>
    <row r="57" spans="1:4" ht="15">
      <c r="A57" s="2546" t="s">
        <v>4031</v>
      </c>
      <c r="B57" s="114" t="s">
        <v>807</v>
      </c>
      <c r="C57" s="2546" t="s">
        <v>2208</v>
      </c>
      <c r="D57" s="121">
        <v>0</v>
      </c>
    </row>
    <row r="58" spans="1:4" ht="15">
      <c r="A58" s="2546" t="s">
        <v>4032</v>
      </c>
      <c r="B58" s="114" t="s">
        <v>1589</v>
      </c>
      <c r="C58" s="2546" t="s">
        <v>2612</v>
      </c>
      <c r="D58" s="121">
        <v>0</v>
      </c>
    </row>
    <row r="59" spans="1:4" ht="15">
      <c r="A59" s="2546" t="s">
        <v>4033</v>
      </c>
      <c r="B59" s="114" t="s">
        <v>53</v>
      </c>
      <c r="C59" s="2546" t="s">
        <v>448</v>
      </c>
      <c r="D59" s="121">
        <v>0</v>
      </c>
    </row>
    <row r="60" spans="1:4" ht="15">
      <c r="A60" s="2546" t="s">
        <v>4034</v>
      </c>
      <c r="B60" s="114" t="s">
        <v>1700</v>
      </c>
      <c r="C60" s="2546" t="s">
        <v>2207</v>
      </c>
      <c r="D60" s="121">
        <v>1073150.1610136577</v>
      </c>
    </row>
    <row r="61" spans="1:4" ht="15">
      <c r="A61" s="2546" t="s">
        <v>6484</v>
      </c>
      <c r="B61" s="114" t="s">
        <v>1377</v>
      </c>
      <c r="C61" s="2546" t="s">
        <v>2604</v>
      </c>
      <c r="D61" s="121">
        <v>0</v>
      </c>
    </row>
    <row r="62" spans="1:4" ht="15">
      <c r="A62" s="2546" t="s">
        <v>4035</v>
      </c>
      <c r="B62" s="114" t="s">
        <v>986</v>
      </c>
      <c r="C62" s="2546" t="s">
        <v>902</v>
      </c>
      <c r="D62" s="121">
        <v>0</v>
      </c>
    </row>
    <row r="63" spans="1:4" ht="15">
      <c r="A63" s="2546" t="s">
        <v>6485</v>
      </c>
      <c r="B63" s="114" t="s">
        <v>1378</v>
      </c>
      <c r="C63" s="2546" t="s">
        <v>2605</v>
      </c>
      <c r="D63" s="121">
        <v>0</v>
      </c>
    </row>
    <row r="64" spans="1:4" ht="15">
      <c r="A64" s="2546" t="s">
        <v>4036</v>
      </c>
      <c r="B64" s="114" t="s">
        <v>628</v>
      </c>
      <c r="C64" s="2546" t="s">
        <v>1330</v>
      </c>
      <c r="D64" s="121">
        <v>16844.229582863729</v>
      </c>
    </row>
    <row r="65" spans="1:4" ht="15">
      <c r="A65" s="2546" t="s">
        <v>4037</v>
      </c>
      <c r="B65" s="114" t="s">
        <v>1379</v>
      </c>
      <c r="C65" s="2546" t="s">
        <v>3081</v>
      </c>
      <c r="D65" s="121">
        <v>0</v>
      </c>
    </row>
    <row r="66" spans="1:4" ht="15">
      <c r="A66" s="2546" t="s">
        <v>7451</v>
      </c>
      <c r="B66" s="114" t="s">
        <v>1273</v>
      </c>
      <c r="C66" s="2546" t="s">
        <v>3082</v>
      </c>
      <c r="D66" s="121">
        <v>0</v>
      </c>
    </row>
    <row r="67" spans="1:4" ht="15">
      <c r="A67" s="2546" t="s">
        <v>4038</v>
      </c>
      <c r="B67" s="114" t="s">
        <v>1274</v>
      </c>
      <c r="C67" s="2546" t="s">
        <v>3083</v>
      </c>
      <c r="D67" s="121">
        <v>0</v>
      </c>
    </row>
    <row r="68" spans="1:4" ht="15">
      <c r="A68" s="2546" t="s">
        <v>4947</v>
      </c>
      <c r="B68" s="114" t="s">
        <v>2174</v>
      </c>
      <c r="C68" s="2546" t="s">
        <v>2304</v>
      </c>
      <c r="D68" s="121">
        <v>0</v>
      </c>
    </row>
    <row r="69" spans="1:4" ht="15">
      <c r="A69" s="2546" t="s">
        <v>6486</v>
      </c>
      <c r="B69" s="114" t="s">
        <v>1846</v>
      </c>
      <c r="C69" s="2546" t="s">
        <v>3084</v>
      </c>
      <c r="D69" s="121">
        <v>0</v>
      </c>
    </row>
    <row r="70" spans="1:4" ht="15">
      <c r="A70" s="2546" t="s">
        <v>6487</v>
      </c>
      <c r="B70" s="114" t="s">
        <v>1847</v>
      </c>
      <c r="C70" s="2546" t="s">
        <v>3085</v>
      </c>
      <c r="D70" s="121">
        <v>0</v>
      </c>
    </row>
    <row r="71" spans="1:4" ht="15">
      <c r="A71" s="2546" t="s">
        <v>7452</v>
      </c>
      <c r="B71" s="114" t="s">
        <v>1848</v>
      </c>
      <c r="C71" s="2546" t="s">
        <v>3086</v>
      </c>
      <c r="D71" s="121">
        <v>0</v>
      </c>
    </row>
    <row r="72" spans="1:4" ht="15">
      <c r="A72" s="2546" t="s">
        <v>4949</v>
      </c>
      <c r="B72" s="114" t="s">
        <v>997</v>
      </c>
      <c r="C72" s="2546" t="s">
        <v>3063</v>
      </c>
      <c r="D72" s="121">
        <v>0</v>
      </c>
    </row>
    <row r="73" spans="1:4" ht="15">
      <c r="A73" s="2546" t="s">
        <v>4039</v>
      </c>
      <c r="B73" s="114" t="s">
        <v>808</v>
      </c>
      <c r="C73" s="2546" t="s">
        <v>2730</v>
      </c>
      <c r="D73" s="121">
        <v>0</v>
      </c>
    </row>
    <row r="74" spans="1:4" ht="15">
      <c r="A74" s="2546" t="s">
        <v>4040</v>
      </c>
      <c r="B74" s="114" t="s">
        <v>2450</v>
      </c>
      <c r="C74" s="2546" t="s">
        <v>2361</v>
      </c>
      <c r="D74" s="121">
        <v>0</v>
      </c>
    </row>
    <row r="75" spans="1:4" ht="15">
      <c r="A75" s="2546" t="s">
        <v>4041</v>
      </c>
      <c r="B75" s="114" t="s">
        <v>3034</v>
      </c>
      <c r="C75" s="2546" t="s">
        <v>1578</v>
      </c>
      <c r="D75" s="121">
        <v>0</v>
      </c>
    </row>
    <row r="76" spans="1:4" ht="15">
      <c r="A76" s="2546" t="s">
        <v>6488</v>
      </c>
      <c r="B76" s="114" t="s">
        <v>1252</v>
      </c>
      <c r="C76" s="2546" t="s">
        <v>1579</v>
      </c>
      <c r="D76" s="121">
        <v>0</v>
      </c>
    </row>
    <row r="77" spans="1:4" ht="15">
      <c r="A77" s="2546" t="s">
        <v>6489</v>
      </c>
      <c r="B77" s="114" t="s">
        <v>1253</v>
      </c>
      <c r="C77" s="2546" t="s">
        <v>1580</v>
      </c>
      <c r="D77" s="121">
        <v>0</v>
      </c>
    </row>
    <row r="78" spans="1:4" ht="15">
      <c r="A78" s="2546" t="s">
        <v>6490</v>
      </c>
      <c r="B78" s="114" t="s">
        <v>1285</v>
      </c>
      <c r="C78" s="2546" t="s">
        <v>2846</v>
      </c>
      <c r="D78" s="121">
        <v>0</v>
      </c>
    </row>
    <row r="79" spans="1:4" ht="15">
      <c r="A79" s="2546" t="s">
        <v>4042</v>
      </c>
      <c r="B79" s="114" t="s">
        <v>2451</v>
      </c>
      <c r="C79" s="2546" t="s">
        <v>295</v>
      </c>
      <c r="D79" s="121">
        <v>0</v>
      </c>
    </row>
    <row r="80" spans="1:4" ht="15">
      <c r="A80" s="2546" t="s">
        <v>4043</v>
      </c>
      <c r="B80" s="114" t="s">
        <v>1110</v>
      </c>
      <c r="C80" s="2546" t="s">
        <v>320</v>
      </c>
      <c r="D80" s="121">
        <v>0</v>
      </c>
    </row>
    <row r="81" spans="1:4" ht="15">
      <c r="A81" s="2546" t="s">
        <v>6491</v>
      </c>
      <c r="B81" s="114" t="s">
        <v>953</v>
      </c>
      <c r="C81" s="2546" t="s">
        <v>2847</v>
      </c>
      <c r="D81" s="121">
        <v>0</v>
      </c>
    </row>
    <row r="82" spans="1:4" ht="15">
      <c r="A82" s="2546" t="s">
        <v>6492</v>
      </c>
      <c r="B82" s="114" t="s">
        <v>1286</v>
      </c>
      <c r="C82" s="2546" t="s">
        <v>2848</v>
      </c>
      <c r="D82" s="121">
        <v>0</v>
      </c>
    </row>
    <row r="83" spans="1:4" ht="15">
      <c r="A83" s="2546" t="s">
        <v>7453</v>
      </c>
      <c r="B83" s="114" t="s">
        <v>1287</v>
      </c>
      <c r="C83" s="2546" t="s">
        <v>2732</v>
      </c>
      <c r="D83" s="121">
        <v>0</v>
      </c>
    </row>
    <row r="84" spans="1:4" ht="15">
      <c r="A84" s="2546" t="s">
        <v>7454</v>
      </c>
      <c r="B84" s="114" t="s">
        <v>954</v>
      </c>
      <c r="C84" s="2546" t="s">
        <v>2849</v>
      </c>
      <c r="D84" s="121">
        <v>0</v>
      </c>
    </row>
    <row r="85" spans="1:4" ht="15">
      <c r="A85" s="2546" t="s">
        <v>4044</v>
      </c>
      <c r="B85" s="114" t="s">
        <v>207</v>
      </c>
      <c r="C85" s="2546" t="s">
        <v>1202</v>
      </c>
      <c r="D85" s="121">
        <v>0</v>
      </c>
    </row>
    <row r="86" spans="1:4" ht="15">
      <c r="A86" s="2546" t="s">
        <v>6493</v>
      </c>
      <c r="B86" s="114" t="s">
        <v>1035</v>
      </c>
      <c r="C86" s="2546" t="s">
        <v>2850</v>
      </c>
      <c r="D86" s="121">
        <v>0</v>
      </c>
    </row>
    <row r="87" spans="1:4" ht="15">
      <c r="A87" s="2546" t="s">
        <v>4045</v>
      </c>
      <c r="B87" s="114" t="s">
        <v>809</v>
      </c>
      <c r="C87" s="2546" t="s">
        <v>3059</v>
      </c>
      <c r="D87" s="121">
        <v>0</v>
      </c>
    </row>
    <row r="88" spans="1:4" ht="15">
      <c r="A88" s="2546" t="s">
        <v>6494</v>
      </c>
      <c r="B88" s="114" t="s">
        <v>1321</v>
      </c>
      <c r="C88" s="2546" t="s">
        <v>2851</v>
      </c>
      <c r="D88" s="121">
        <v>0</v>
      </c>
    </row>
    <row r="89" spans="1:4" ht="15">
      <c r="A89" s="2546" t="s">
        <v>6495</v>
      </c>
      <c r="B89" s="114" t="s">
        <v>1322</v>
      </c>
      <c r="C89" s="2546" t="s">
        <v>2852</v>
      </c>
      <c r="D89" s="121">
        <v>0</v>
      </c>
    </row>
    <row r="90" spans="1:4" ht="15">
      <c r="A90" s="2546" t="s">
        <v>4046</v>
      </c>
      <c r="B90" s="114" t="s">
        <v>1616</v>
      </c>
      <c r="C90" s="2546" t="s">
        <v>1741</v>
      </c>
      <c r="D90" s="121">
        <v>0</v>
      </c>
    </row>
    <row r="91" spans="1:4" ht="15">
      <c r="A91" s="2546" t="s">
        <v>4047</v>
      </c>
      <c r="B91" s="114" t="s">
        <v>235</v>
      </c>
      <c r="C91" s="2546" t="s">
        <v>303</v>
      </c>
      <c r="D91" s="121">
        <v>0</v>
      </c>
    </row>
    <row r="92" spans="1:4" ht="15">
      <c r="A92" s="2546" t="s">
        <v>4048</v>
      </c>
      <c r="B92" s="114" t="s">
        <v>1323</v>
      </c>
      <c r="C92" s="2546" t="s">
        <v>2853</v>
      </c>
      <c r="D92" s="121">
        <v>0</v>
      </c>
    </row>
    <row r="93" spans="1:4" ht="15">
      <c r="A93" s="2546" t="s">
        <v>4049</v>
      </c>
      <c r="B93" s="114" t="s">
        <v>631</v>
      </c>
      <c r="C93" s="2546" t="s">
        <v>1334</v>
      </c>
      <c r="D93" s="121">
        <v>0</v>
      </c>
    </row>
    <row r="94" spans="1:4" ht="15">
      <c r="A94" s="2546" t="s">
        <v>4050</v>
      </c>
      <c r="B94" s="114" t="s">
        <v>994</v>
      </c>
      <c r="C94" s="2546" t="s">
        <v>3032</v>
      </c>
      <c r="D94" s="121">
        <v>0</v>
      </c>
    </row>
    <row r="95" spans="1:4" ht="15">
      <c r="A95" s="2546" t="s">
        <v>7455</v>
      </c>
      <c r="B95" s="114" t="s">
        <v>2918</v>
      </c>
      <c r="C95" s="2546" t="s">
        <v>2854</v>
      </c>
      <c r="D95" s="121">
        <v>0</v>
      </c>
    </row>
    <row r="96" spans="1:4" ht="15">
      <c r="A96" s="2546" t="s">
        <v>6496</v>
      </c>
      <c r="B96" s="114" t="s">
        <v>440</v>
      </c>
      <c r="C96" s="2546" t="s">
        <v>2855</v>
      </c>
      <c r="D96" s="121">
        <v>0</v>
      </c>
    </row>
    <row r="97" spans="1:4" ht="15">
      <c r="A97" s="2546" t="s">
        <v>7456</v>
      </c>
      <c r="B97" s="114" t="s">
        <v>441</v>
      </c>
      <c r="C97" s="2546" t="s">
        <v>1786</v>
      </c>
      <c r="D97" s="121">
        <v>0</v>
      </c>
    </row>
    <row r="98" spans="1:4" ht="15">
      <c r="A98" s="2546" t="s">
        <v>7457</v>
      </c>
      <c r="B98" s="114" t="s">
        <v>442</v>
      </c>
      <c r="C98" s="2546" t="s">
        <v>1787</v>
      </c>
      <c r="D98" s="121">
        <v>0</v>
      </c>
    </row>
    <row r="99" spans="1:4" ht="15">
      <c r="A99" s="2546" t="s">
        <v>7458</v>
      </c>
      <c r="B99" s="114" t="s">
        <v>443</v>
      </c>
      <c r="C99" s="2546" t="s">
        <v>1788</v>
      </c>
      <c r="D99" s="121">
        <v>0</v>
      </c>
    </row>
    <row r="100" spans="1:4" ht="15">
      <c r="A100" s="2546" t="s">
        <v>6497</v>
      </c>
      <c r="B100" s="114" t="s">
        <v>745</v>
      </c>
      <c r="C100" s="2546" t="s">
        <v>1789</v>
      </c>
      <c r="D100" s="121">
        <v>0</v>
      </c>
    </row>
    <row r="101" spans="1:4" ht="15">
      <c r="A101" s="2546" t="s">
        <v>6498</v>
      </c>
      <c r="B101" s="114" t="s">
        <v>746</v>
      </c>
      <c r="C101" s="2546" t="s">
        <v>1790</v>
      </c>
      <c r="D101" s="121">
        <v>0</v>
      </c>
    </row>
    <row r="102" spans="1:4" ht="15">
      <c r="A102" s="2546" t="s">
        <v>6499</v>
      </c>
      <c r="B102" s="114" t="s">
        <v>747</v>
      </c>
      <c r="C102" s="2546" t="s">
        <v>1791</v>
      </c>
      <c r="D102" s="121">
        <v>0</v>
      </c>
    </row>
    <row r="103" spans="1:4" ht="15">
      <c r="A103" s="2546" t="s">
        <v>4051</v>
      </c>
      <c r="B103" s="114" t="s">
        <v>988</v>
      </c>
      <c r="C103" s="2546" t="s">
        <v>1519</v>
      </c>
      <c r="D103" s="121">
        <v>0</v>
      </c>
    </row>
    <row r="104" spans="1:4" ht="15">
      <c r="A104" s="2546" t="s">
        <v>4052</v>
      </c>
      <c r="B104" s="114" t="s">
        <v>2893</v>
      </c>
      <c r="C104" s="2546" t="s">
        <v>2362</v>
      </c>
      <c r="D104" s="121">
        <v>0</v>
      </c>
    </row>
    <row r="105" spans="1:4" ht="15">
      <c r="A105" s="2546" t="s">
        <v>4053</v>
      </c>
      <c r="B105" s="114" t="s">
        <v>1354</v>
      </c>
      <c r="C105" s="2546" t="s">
        <v>3074</v>
      </c>
      <c r="D105" s="121">
        <v>0</v>
      </c>
    </row>
    <row r="106" spans="1:4" ht="15">
      <c r="A106" s="2546" t="s">
        <v>4054</v>
      </c>
      <c r="B106" s="114" t="s">
        <v>810</v>
      </c>
      <c r="C106" s="2546" t="s">
        <v>2770</v>
      </c>
      <c r="D106" s="121">
        <v>4336.2672947922183</v>
      </c>
    </row>
    <row r="107" spans="1:4" ht="15">
      <c r="A107" s="2546" t="s">
        <v>4055</v>
      </c>
      <c r="B107" s="114" t="s">
        <v>872</v>
      </c>
      <c r="C107" s="2546" t="s">
        <v>1214</v>
      </c>
      <c r="D107" s="121">
        <v>0</v>
      </c>
    </row>
    <row r="108" spans="1:4" ht="15">
      <c r="A108" s="2546" t="s">
        <v>6500</v>
      </c>
      <c r="B108" s="114" t="s">
        <v>748</v>
      </c>
      <c r="C108" s="2546" t="s">
        <v>1792</v>
      </c>
      <c r="D108" s="121">
        <v>117777.88337119129</v>
      </c>
    </row>
    <row r="109" spans="1:4" ht="15">
      <c r="A109" s="2546" t="s">
        <v>6501</v>
      </c>
      <c r="B109" s="114" t="s">
        <v>749</v>
      </c>
      <c r="C109" s="2546" t="s">
        <v>1793</v>
      </c>
      <c r="D109" s="121">
        <v>24144.039074675398</v>
      </c>
    </row>
    <row r="110" spans="1:4" ht="15">
      <c r="A110" s="2546" t="s">
        <v>4056</v>
      </c>
      <c r="B110" s="114" t="s">
        <v>750</v>
      </c>
      <c r="C110" s="2546" t="s">
        <v>1794</v>
      </c>
      <c r="D110" s="121">
        <v>198131.2757903442</v>
      </c>
    </row>
    <row r="111" spans="1:4" ht="15">
      <c r="A111" s="2546" t="s">
        <v>4057</v>
      </c>
      <c r="B111" s="114" t="s">
        <v>2154</v>
      </c>
      <c r="C111" s="2546" t="s">
        <v>154</v>
      </c>
      <c r="D111" s="121">
        <v>0</v>
      </c>
    </row>
    <row r="112" spans="1:4" ht="15">
      <c r="A112" s="2546" t="s">
        <v>5011</v>
      </c>
      <c r="B112" s="114" t="s">
        <v>380</v>
      </c>
      <c r="C112" s="2546" t="s">
        <v>322</v>
      </c>
      <c r="D112" s="121">
        <v>0</v>
      </c>
    </row>
    <row r="113" spans="1:4" ht="15">
      <c r="A113" s="2546" t="s">
        <v>4058</v>
      </c>
      <c r="B113" s="114" t="s">
        <v>497</v>
      </c>
      <c r="C113" s="2546" t="s">
        <v>2546</v>
      </c>
      <c r="D113" s="121">
        <v>0</v>
      </c>
    </row>
    <row r="114" spans="1:4" ht="15">
      <c r="A114" s="2546" t="s">
        <v>4059</v>
      </c>
      <c r="B114" s="114" t="s">
        <v>1318</v>
      </c>
      <c r="C114" s="2546" t="s">
        <v>948</v>
      </c>
      <c r="D114" s="121">
        <v>26833.036252140293</v>
      </c>
    </row>
    <row r="115" spans="1:4" ht="15">
      <c r="A115" s="2546" t="s">
        <v>7459</v>
      </c>
      <c r="B115" s="114" t="s">
        <v>2631</v>
      </c>
      <c r="C115" s="2546" t="s">
        <v>1795</v>
      </c>
      <c r="D115" s="121">
        <v>0</v>
      </c>
    </row>
    <row r="116" spans="1:4" ht="15">
      <c r="A116" s="2546" t="s">
        <v>6502</v>
      </c>
      <c r="B116" s="114" t="s">
        <v>1535</v>
      </c>
      <c r="C116" s="2546" t="s">
        <v>1177</v>
      </c>
      <c r="D116" s="121">
        <v>0</v>
      </c>
    </row>
    <row r="117" spans="1:4" ht="15">
      <c r="A117" s="2546" t="s">
        <v>7460</v>
      </c>
      <c r="B117" s="114" t="s">
        <v>2671</v>
      </c>
      <c r="C117" s="2546" t="s">
        <v>1797</v>
      </c>
      <c r="D117" s="121">
        <v>2517.2256010827864</v>
      </c>
    </row>
    <row r="118" spans="1:4" ht="15">
      <c r="A118" s="2546" t="s">
        <v>4060</v>
      </c>
      <c r="B118" s="114" t="s">
        <v>811</v>
      </c>
      <c r="C118" s="2546" t="s">
        <v>38</v>
      </c>
      <c r="D118" s="121">
        <v>0</v>
      </c>
    </row>
    <row r="119" spans="1:4" ht="15">
      <c r="A119" s="2546" t="s">
        <v>4061</v>
      </c>
      <c r="B119" s="114" t="s">
        <v>171</v>
      </c>
      <c r="C119" s="2546" t="s">
        <v>1798</v>
      </c>
      <c r="D119" s="121">
        <v>0</v>
      </c>
    </row>
    <row r="120" spans="1:4" ht="15">
      <c r="A120" s="2546" t="s">
        <v>6503</v>
      </c>
      <c r="B120" s="114" t="s">
        <v>2090</v>
      </c>
      <c r="C120" s="2546" t="s">
        <v>1799</v>
      </c>
      <c r="D120" s="121">
        <v>0</v>
      </c>
    </row>
    <row r="121" spans="1:4" ht="15">
      <c r="A121" s="2546" t="s">
        <v>4062</v>
      </c>
      <c r="B121" s="114" t="s">
        <v>993</v>
      </c>
      <c r="C121" s="2546" t="s">
        <v>3031</v>
      </c>
      <c r="D121" s="121">
        <v>0</v>
      </c>
    </row>
    <row r="122" spans="1:4" ht="15">
      <c r="A122" s="2546" t="s">
        <v>4063</v>
      </c>
      <c r="B122" s="114" t="s">
        <v>2126</v>
      </c>
      <c r="C122" s="2546" t="s">
        <v>41</v>
      </c>
      <c r="D122" s="121">
        <v>0</v>
      </c>
    </row>
    <row r="123" spans="1:4" ht="15">
      <c r="A123" s="2546" t="s">
        <v>4064</v>
      </c>
      <c r="B123" s="114" t="s">
        <v>64</v>
      </c>
      <c r="C123" s="2546" t="s">
        <v>2148</v>
      </c>
      <c r="D123" s="121">
        <v>0</v>
      </c>
    </row>
    <row r="124" spans="1:4" ht="15">
      <c r="A124" s="2546" t="s">
        <v>4065</v>
      </c>
      <c r="B124" s="114" t="s">
        <v>2606</v>
      </c>
      <c r="C124" s="2546" t="s">
        <v>43</v>
      </c>
      <c r="D124" s="121">
        <v>0</v>
      </c>
    </row>
    <row r="125" spans="1:4" ht="15">
      <c r="A125" s="2546" t="s">
        <v>6504</v>
      </c>
      <c r="B125" s="114" t="s">
        <v>1892</v>
      </c>
      <c r="C125" s="2546" t="s">
        <v>1800</v>
      </c>
      <c r="D125" s="121">
        <v>0</v>
      </c>
    </row>
    <row r="126" spans="1:4" ht="15">
      <c r="A126" s="2546" t="s">
        <v>4066</v>
      </c>
      <c r="B126" s="114" t="s">
        <v>812</v>
      </c>
      <c r="C126" s="2546" t="s">
        <v>3093</v>
      </c>
      <c r="D126" s="121">
        <v>0</v>
      </c>
    </row>
    <row r="127" spans="1:4" ht="15">
      <c r="A127" s="2546" t="s">
        <v>4067</v>
      </c>
      <c r="B127" s="114" t="s">
        <v>1490</v>
      </c>
      <c r="C127" s="2546" t="s">
        <v>46</v>
      </c>
      <c r="D127" s="121">
        <v>0</v>
      </c>
    </row>
    <row r="128" spans="1:4" ht="15">
      <c r="A128" s="2546" t="s">
        <v>4068</v>
      </c>
      <c r="B128" s="114" t="s">
        <v>813</v>
      </c>
      <c r="C128" s="2546" t="s">
        <v>99</v>
      </c>
      <c r="D128" s="121">
        <v>0</v>
      </c>
    </row>
    <row r="129" spans="1:4" ht="15">
      <c r="A129" s="2546" t="s">
        <v>4069</v>
      </c>
      <c r="B129" s="114" t="s">
        <v>534</v>
      </c>
      <c r="C129" s="2546" t="s">
        <v>100</v>
      </c>
      <c r="D129" s="121">
        <v>0</v>
      </c>
    </row>
    <row r="130" spans="1:4" ht="15">
      <c r="A130" s="2546" t="s">
        <v>6505</v>
      </c>
      <c r="B130" s="114" t="s">
        <v>1050</v>
      </c>
      <c r="C130" s="2546" t="s">
        <v>1801</v>
      </c>
      <c r="D130" s="121">
        <v>0</v>
      </c>
    </row>
    <row r="131" spans="1:4" ht="15">
      <c r="A131" s="2546" t="s">
        <v>6506</v>
      </c>
      <c r="B131" s="114" t="s">
        <v>1051</v>
      </c>
      <c r="C131" s="2546" t="s">
        <v>1802</v>
      </c>
      <c r="D131" s="121">
        <v>636340.83232708648</v>
      </c>
    </row>
    <row r="132" spans="1:4" ht="15">
      <c r="A132" s="2546" t="s">
        <v>6507</v>
      </c>
      <c r="B132" s="114" t="s">
        <v>879</v>
      </c>
      <c r="C132" s="2546" t="s">
        <v>2484</v>
      </c>
      <c r="D132" s="121">
        <v>566749.70117535768</v>
      </c>
    </row>
    <row r="133" spans="1:4" ht="15">
      <c r="A133" s="2546" t="s">
        <v>6508</v>
      </c>
      <c r="B133" s="114" t="s">
        <v>2050</v>
      </c>
      <c r="C133" s="2546" t="s">
        <v>2485</v>
      </c>
      <c r="D133" s="121">
        <v>0</v>
      </c>
    </row>
    <row r="134" spans="1:4" ht="15">
      <c r="A134" s="2546" t="s">
        <v>6509</v>
      </c>
      <c r="B134" s="114" t="s">
        <v>1941</v>
      </c>
      <c r="C134" s="2546" t="s">
        <v>2486</v>
      </c>
      <c r="D134" s="121">
        <v>0</v>
      </c>
    </row>
    <row r="135" spans="1:4" ht="15">
      <c r="A135" s="2546" t="s">
        <v>7461</v>
      </c>
      <c r="B135" s="114" t="s">
        <v>1942</v>
      </c>
      <c r="C135" s="2546" t="s">
        <v>2487</v>
      </c>
      <c r="D135" s="121">
        <v>0</v>
      </c>
    </row>
    <row r="136" spans="1:4" ht="15">
      <c r="A136" s="2546" t="s">
        <v>6510</v>
      </c>
      <c r="B136" s="114" t="s">
        <v>842</v>
      </c>
      <c r="C136" s="2546" t="s">
        <v>2488</v>
      </c>
      <c r="D136" s="121">
        <v>128485.62163824691</v>
      </c>
    </row>
    <row r="137" spans="1:4" ht="15">
      <c r="A137" s="2546" t="s">
        <v>7462</v>
      </c>
      <c r="B137" s="114" t="s">
        <v>843</v>
      </c>
      <c r="C137" s="2546" t="s">
        <v>1178</v>
      </c>
      <c r="D137" s="121">
        <v>0</v>
      </c>
    </row>
    <row r="138" spans="1:4" ht="15">
      <c r="A138" s="2546" t="s">
        <v>5080</v>
      </c>
      <c r="B138" s="114" t="s">
        <v>2142</v>
      </c>
      <c r="C138" s="2546" t="s">
        <v>929</v>
      </c>
      <c r="D138" s="121">
        <v>0</v>
      </c>
    </row>
    <row r="139" spans="1:4" ht="15">
      <c r="A139" s="2546" t="s">
        <v>6511</v>
      </c>
      <c r="B139" s="114" t="s">
        <v>844</v>
      </c>
      <c r="C139" s="2546" t="s">
        <v>1921</v>
      </c>
      <c r="D139" s="121">
        <v>0</v>
      </c>
    </row>
    <row r="140" spans="1:4" ht="15">
      <c r="A140" s="2546" t="s">
        <v>6512</v>
      </c>
      <c r="B140" s="114" t="s">
        <v>2226</v>
      </c>
      <c r="C140" s="2546" t="s">
        <v>1923</v>
      </c>
      <c r="D140" s="121">
        <v>0</v>
      </c>
    </row>
    <row r="141" spans="1:4" ht="15">
      <c r="A141" s="2546" t="s">
        <v>6513</v>
      </c>
      <c r="B141" s="114" t="s">
        <v>2227</v>
      </c>
      <c r="C141" s="2546" t="s">
        <v>1924</v>
      </c>
      <c r="D141" s="121">
        <v>771712.75716231507</v>
      </c>
    </row>
    <row r="142" spans="1:4" ht="15">
      <c r="A142" s="2546" t="s">
        <v>7463</v>
      </c>
      <c r="B142" s="114" t="s">
        <v>2788</v>
      </c>
      <c r="C142" s="2546" t="s">
        <v>1925</v>
      </c>
      <c r="D142" s="121">
        <v>27839.54048903098</v>
      </c>
    </row>
    <row r="143" spans="1:4" ht="15">
      <c r="A143" s="2546" t="s">
        <v>4070</v>
      </c>
      <c r="B143" s="114" t="s">
        <v>2904</v>
      </c>
      <c r="C143" s="2546" t="s">
        <v>425</v>
      </c>
      <c r="D143" s="121">
        <v>10909.425117976194</v>
      </c>
    </row>
    <row r="144" spans="1:4" ht="15">
      <c r="A144" s="2546" t="s">
        <v>4071</v>
      </c>
      <c r="B144" s="114" t="s">
        <v>1840</v>
      </c>
      <c r="C144" s="2546" t="s">
        <v>1205</v>
      </c>
      <c r="D144" s="121">
        <v>606132.67760080891</v>
      </c>
    </row>
    <row r="145" spans="1:4" ht="15">
      <c r="A145" s="2546" t="s">
        <v>6514</v>
      </c>
      <c r="B145" s="114" t="s">
        <v>2789</v>
      </c>
      <c r="C145" s="2546" t="s">
        <v>1926</v>
      </c>
      <c r="D145" s="121">
        <v>0</v>
      </c>
    </row>
    <row r="146" spans="1:4" ht="15">
      <c r="A146" s="2546" t="s">
        <v>4072</v>
      </c>
      <c r="B146" s="114" t="s">
        <v>316</v>
      </c>
      <c r="C146" s="2546" t="s">
        <v>2716</v>
      </c>
      <c r="D146" s="121">
        <v>0</v>
      </c>
    </row>
    <row r="147" spans="1:4" ht="15">
      <c r="A147" s="2546" t="s">
        <v>6515</v>
      </c>
      <c r="B147" s="114" t="s">
        <v>1658</v>
      </c>
      <c r="C147" s="2546" t="s">
        <v>1691</v>
      </c>
      <c r="D147" s="121">
        <v>0</v>
      </c>
    </row>
    <row r="148" spans="1:4" ht="15">
      <c r="A148" s="2546" t="s">
        <v>4073</v>
      </c>
      <c r="B148" s="114" t="s">
        <v>50</v>
      </c>
      <c r="C148" s="2546" t="s">
        <v>445</v>
      </c>
      <c r="D148" s="121">
        <v>0</v>
      </c>
    </row>
    <row r="149" spans="1:4" ht="15">
      <c r="A149" s="2546" t="s">
        <v>4074</v>
      </c>
      <c r="B149" s="114" t="s">
        <v>1486</v>
      </c>
      <c r="C149" s="2546" t="s">
        <v>669</v>
      </c>
      <c r="D149" s="121">
        <v>0</v>
      </c>
    </row>
    <row r="150" spans="1:4" ht="15">
      <c r="A150" s="2546" t="s">
        <v>5094</v>
      </c>
      <c r="B150" s="114" t="s">
        <v>2907</v>
      </c>
      <c r="C150" s="2546" t="s">
        <v>1306</v>
      </c>
      <c r="D150" s="121">
        <v>0</v>
      </c>
    </row>
    <row r="151" spans="1:4" ht="15">
      <c r="A151" s="2546" t="s">
        <v>6516</v>
      </c>
      <c r="B151" s="114" t="s">
        <v>1659</v>
      </c>
      <c r="C151" s="2546" t="s">
        <v>30</v>
      </c>
      <c r="D151" s="121">
        <v>12069.84826741152</v>
      </c>
    </row>
    <row r="152" spans="1:4" ht="15">
      <c r="A152" s="2546" t="s">
        <v>4075</v>
      </c>
      <c r="B152" s="114" t="s">
        <v>84</v>
      </c>
      <c r="C152" s="2546" t="s">
        <v>2500</v>
      </c>
      <c r="D152" s="121">
        <v>0</v>
      </c>
    </row>
    <row r="153" spans="1:4" ht="15">
      <c r="A153" s="2546" t="s">
        <v>6517</v>
      </c>
      <c r="B153" s="114" t="s">
        <v>2482</v>
      </c>
      <c r="C153" s="2546" t="s">
        <v>2193</v>
      </c>
      <c r="D153" s="121">
        <v>116390.20063614928</v>
      </c>
    </row>
    <row r="154" spans="1:4" ht="15">
      <c r="A154" s="2546" t="s">
        <v>4076</v>
      </c>
      <c r="B154" s="114" t="s">
        <v>814</v>
      </c>
      <c r="C154" s="2546" t="s">
        <v>4581</v>
      </c>
      <c r="D154" s="121">
        <v>2998.7650202663444</v>
      </c>
    </row>
    <row r="155" spans="1:4" ht="15">
      <c r="A155" s="2546" t="s">
        <v>7464</v>
      </c>
      <c r="B155" s="114" t="s">
        <v>2483</v>
      </c>
      <c r="C155" s="2546" t="s">
        <v>2194</v>
      </c>
      <c r="D155" s="121">
        <v>0</v>
      </c>
    </row>
    <row r="156" spans="1:4" ht="15">
      <c r="A156" s="2546" t="s">
        <v>7465</v>
      </c>
      <c r="B156" s="114" t="s">
        <v>1883</v>
      </c>
      <c r="C156" s="2546" t="s">
        <v>2195</v>
      </c>
      <c r="D156" s="121">
        <v>2998.2825158383043</v>
      </c>
    </row>
    <row r="157" spans="1:4" ht="15">
      <c r="A157" s="2546" t="s">
        <v>7466</v>
      </c>
      <c r="B157" s="114" t="s">
        <v>1884</v>
      </c>
      <c r="C157" s="2546" t="s">
        <v>2468</v>
      </c>
      <c r="D157" s="121">
        <v>0</v>
      </c>
    </row>
    <row r="158" spans="1:4" ht="15">
      <c r="A158" s="2546" t="s">
        <v>6518</v>
      </c>
      <c r="B158" s="114" t="s">
        <v>899</v>
      </c>
      <c r="C158" s="2546" t="s">
        <v>1179</v>
      </c>
      <c r="D158" s="121">
        <v>0</v>
      </c>
    </row>
    <row r="159" spans="1:4" ht="15">
      <c r="A159" s="2546" t="s">
        <v>7467</v>
      </c>
      <c r="B159" s="114" t="s">
        <v>900</v>
      </c>
      <c r="C159" s="2546" t="s">
        <v>2470</v>
      </c>
      <c r="D159" s="121">
        <v>7458.5534486367087</v>
      </c>
    </row>
    <row r="160" spans="1:4" ht="15">
      <c r="A160" s="2546" t="s">
        <v>6519</v>
      </c>
      <c r="B160" s="114" t="s">
        <v>922</v>
      </c>
      <c r="C160" s="2546" t="s">
        <v>2471</v>
      </c>
      <c r="D160" s="121">
        <v>17334.93658618004</v>
      </c>
    </row>
    <row r="161" spans="1:4" ht="15">
      <c r="A161" s="2546" t="s">
        <v>5101</v>
      </c>
      <c r="B161" s="114" t="s">
        <v>630</v>
      </c>
      <c r="C161" s="2546" t="s">
        <v>1333</v>
      </c>
      <c r="D161" s="121">
        <v>0</v>
      </c>
    </row>
    <row r="162" spans="1:4" ht="15">
      <c r="A162" s="2546" t="s">
        <v>4077</v>
      </c>
      <c r="B162" s="114" t="s">
        <v>2712</v>
      </c>
      <c r="C162" s="2546" t="s">
        <v>97</v>
      </c>
      <c r="D162" s="121">
        <v>0</v>
      </c>
    </row>
    <row r="163" spans="1:4" ht="15">
      <c r="A163" s="2546" t="s">
        <v>6520</v>
      </c>
      <c r="B163" s="114" t="s">
        <v>923</v>
      </c>
      <c r="C163" s="2546" t="s">
        <v>1180</v>
      </c>
      <c r="D163" s="121">
        <v>5984.9849254036571</v>
      </c>
    </row>
    <row r="164" spans="1:4" ht="15">
      <c r="A164" s="2546" t="s">
        <v>4078</v>
      </c>
      <c r="B164" s="114" t="s">
        <v>638</v>
      </c>
      <c r="C164" s="2546" t="s">
        <v>2234</v>
      </c>
      <c r="D164" s="121">
        <v>0</v>
      </c>
    </row>
    <row r="165" spans="1:4" ht="15">
      <c r="A165" s="2546" t="s">
        <v>4079</v>
      </c>
      <c r="B165" s="114" t="s">
        <v>1841</v>
      </c>
      <c r="C165" s="2546" t="s">
        <v>1206</v>
      </c>
      <c r="D165" s="121">
        <v>0</v>
      </c>
    </row>
    <row r="166" spans="1:4" ht="15">
      <c r="A166" s="2546" t="s">
        <v>4080</v>
      </c>
      <c r="B166" s="114" t="s">
        <v>2862</v>
      </c>
      <c r="C166" s="2546" t="s">
        <v>733</v>
      </c>
      <c r="D166" s="121">
        <v>0</v>
      </c>
    </row>
    <row r="167" spans="1:4" ht="15">
      <c r="A167" s="2546" t="s">
        <v>4081</v>
      </c>
      <c r="B167" s="114" t="s">
        <v>1900</v>
      </c>
      <c r="C167" s="2546" t="s">
        <v>129</v>
      </c>
      <c r="D167" s="121">
        <v>0</v>
      </c>
    </row>
    <row r="168" spans="1:4" ht="15">
      <c r="A168" s="2546" t="s">
        <v>4082</v>
      </c>
      <c r="B168" s="114" t="s">
        <v>1605</v>
      </c>
      <c r="C168" s="2546" t="s">
        <v>1667</v>
      </c>
      <c r="D168" s="121">
        <v>0</v>
      </c>
    </row>
    <row r="169" spans="1:4" ht="15">
      <c r="A169" s="2546" t="s">
        <v>4083</v>
      </c>
      <c r="B169" s="114" t="s">
        <v>2895</v>
      </c>
      <c r="C169" s="2546" t="s">
        <v>928</v>
      </c>
      <c r="D169" s="121">
        <v>0</v>
      </c>
    </row>
    <row r="170" spans="1:4" ht="15">
      <c r="A170" s="2546" t="s">
        <v>4084</v>
      </c>
      <c r="B170" s="114" t="s">
        <v>724</v>
      </c>
      <c r="C170" s="2546" t="s">
        <v>2518</v>
      </c>
      <c r="D170" s="121">
        <v>0</v>
      </c>
    </row>
    <row r="171" spans="1:4" ht="15">
      <c r="A171" s="2546" t="s">
        <v>6521</v>
      </c>
      <c r="B171" s="114" t="s">
        <v>725</v>
      </c>
      <c r="C171" s="2546" t="s">
        <v>2519</v>
      </c>
      <c r="D171" s="121">
        <v>0</v>
      </c>
    </row>
    <row r="172" spans="1:4" ht="15">
      <c r="A172" s="2546" t="s">
        <v>4085</v>
      </c>
      <c r="B172" s="114" t="s">
        <v>246</v>
      </c>
      <c r="C172" s="2546" t="s">
        <v>87</v>
      </c>
      <c r="D172" s="121">
        <v>0</v>
      </c>
    </row>
    <row r="173" spans="1:4" ht="15">
      <c r="A173" s="2546" t="s">
        <v>4086</v>
      </c>
      <c r="B173" s="114" t="s">
        <v>1780</v>
      </c>
      <c r="C173" s="2546" t="s">
        <v>89</v>
      </c>
      <c r="D173" s="121">
        <v>0</v>
      </c>
    </row>
    <row r="174" spans="1:4" ht="15">
      <c r="A174" s="2546" t="s">
        <v>4087</v>
      </c>
      <c r="B174" s="114" t="s">
        <v>1351</v>
      </c>
      <c r="C174" s="2546" t="s">
        <v>1293</v>
      </c>
      <c r="D174" s="121">
        <v>0</v>
      </c>
    </row>
    <row r="175" spans="1:4" ht="15">
      <c r="A175" s="2546" t="s">
        <v>4088</v>
      </c>
      <c r="B175" s="114" t="s">
        <v>990</v>
      </c>
      <c r="C175" s="2546" t="s">
        <v>1521</v>
      </c>
      <c r="D175" s="121">
        <v>0</v>
      </c>
    </row>
    <row r="176" spans="1:4" ht="15">
      <c r="A176" s="2546" t="s">
        <v>4089</v>
      </c>
      <c r="B176" s="114" t="s">
        <v>1619</v>
      </c>
      <c r="C176" s="2546" t="s">
        <v>1744</v>
      </c>
      <c r="D176" s="121">
        <v>0</v>
      </c>
    </row>
    <row r="177" spans="1:4" ht="15">
      <c r="A177" s="2546" t="s">
        <v>6522</v>
      </c>
      <c r="B177" s="114" t="s">
        <v>281</v>
      </c>
      <c r="C177" s="2546" t="s">
        <v>2520</v>
      </c>
      <c r="D177" s="121">
        <v>0</v>
      </c>
    </row>
    <row r="178" spans="1:4" ht="15">
      <c r="A178" s="2546" t="s">
        <v>7468</v>
      </c>
      <c r="B178" s="114" t="s">
        <v>282</v>
      </c>
      <c r="C178" s="2546" t="s">
        <v>2521</v>
      </c>
      <c r="D178" s="121">
        <v>0</v>
      </c>
    </row>
    <row r="179" spans="1:4" ht="15">
      <c r="A179" s="2546" t="s">
        <v>4090</v>
      </c>
      <c r="B179" s="114" t="s">
        <v>1617</v>
      </c>
      <c r="C179" s="2546" t="s">
        <v>1742</v>
      </c>
      <c r="D179" s="121">
        <v>0</v>
      </c>
    </row>
    <row r="180" spans="1:4" ht="15">
      <c r="A180" s="2546" t="s">
        <v>6523</v>
      </c>
      <c r="B180" s="114" t="s">
        <v>643</v>
      </c>
      <c r="C180" s="2546" t="s">
        <v>1181</v>
      </c>
      <c r="D180" s="121">
        <v>0</v>
      </c>
    </row>
    <row r="181" spans="1:4" ht="15">
      <c r="A181" s="2546" t="s">
        <v>6524</v>
      </c>
      <c r="B181" s="114" t="s">
        <v>34</v>
      </c>
      <c r="C181" s="2546" t="s">
        <v>2524</v>
      </c>
      <c r="D181" s="121">
        <v>0</v>
      </c>
    </row>
    <row r="182" spans="1:4" ht="15">
      <c r="A182" s="2546" t="s">
        <v>4091</v>
      </c>
      <c r="B182" s="114" t="s">
        <v>35</v>
      </c>
      <c r="C182" s="2546" t="s">
        <v>2525</v>
      </c>
      <c r="D182" s="121">
        <v>0</v>
      </c>
    </row>
    <row r="183" spans="1:4" ht="15">
      <c r="A183" s="2546" t="s">
        <v>6525</v>
      </c>
      <c r="B183" s="114" t="s">
        <v>1437</v>
      </c>
      <c r="C183" s="2546" t="s">
        <v>2526</v>
      </c>
      <c r="D183" s="121">
        <v>0</v>
      </c>
    </row>
    <row r="184" spans="1:4" ht="15">
      <c r="A184" s="2546" t="s">
        <v>4092</v>
      </c>
      <c r="B184" s="114" t="s">
        <v>2644</v>
      </c>
      <c r="C184" s="2546" t="s">
        <v>2527</v>
      </c>
      <c r="D184" s="121">
        <v>0</v>
      </c>
    </row>
    <row r="185" spans="1:4" ht="15">
      <c r="A185" s="2546" t="s">
        <v>4093</v>
      </c>
      <c r="B185" s="114" t="s">
        <v>2763</v>
      </c>
      <c r="C185" s="2546" t="s">
        <v>3062</v>
      </c>
      <c r="D185" s="121">
        <v>0</v>
      </c>
    </row>
    <row r="186" spans="1:4" ht="15">
      <c r="A186" s="2546" t="s">
        <v>4094</v>
      </c>
      <c r="B186" s="114" t="s">
        <v>2672</v>
      </c>
      <c r="C186" s="2546" t="s">
        <v>1949</v>
      </c>
      <c r="D186" s="121">
        <v>0</v>
      </c>
    </row>
    <row r="187" spans="1:4" ht="15">
      <c r="A187" s="2546" t="s">
        <v>4095</v>
      </c>
      <c r="B187" s="114" t="s">
        <v>2645</v>
      </c>
      <c r="C187" s="2546" t="s">
        <v>2528</v>
      </c>
      <c r="D187" s="121">
        <v>0</v>
      </c>
    </row>
    <row r="188" spans="1:4" ht="15">
      <c r="A188" s="2546" t="s">
        <v>7469</v>
      </c>
      <c r="B188" s="114" t="s">
        <v>2646</v>
      </c>
      <c r="C188" s="2546" t="s">
        <v>1182</v>
      </c>
      <c r="D188" s="121">
        <v>0</v>
      </c>
    </row>
    <row r="189" spans="1:4" ht="15">
      <c r="A189" s="2546" t="s">
        <v>6526</v>
      </c>
      <c r="B189" s="114" t="s">
        <v>331</v>
      </c>
      <c r="C189" s="2546" t="s">
        <v>2530</v>
      </c>
      <c r="D189" s="121">
        <v>0</v>
      </c>
    </row>
    <row r="190" spans="1:4" ht="15">
      <c r="A190" s="2546" t="s">
        <v>4096</v>
      </c>
      <c r="B190" s="114" t="s">
        <v>1607</v>
      </c>
      <c r="C190" s="2546" t="s">
        <v>1669</v>
      </c>
      <c r="D190" s="121">
        <v>0</v>
      </c>
    </row>
    <row r="191" spans="1:4" ht="15">
      <c r="A191" s="2546" t="s">
        <v>6527</v>
      </c>
      <c r="B191" s="114" t="s">
        <v>332</v>
      </c>
      <c r="C191" s="2546" t="s">
        <v>2531</v>
      </c>
      <c r="D191" s="121">
        <v>171570.85454004628</v>
      </c>
    </row>
    <row r="192" spans="1:4" ht="15">
      <c r="A192" s="2546" t="s">
        <v>4097</v>
      </c>
      <c r="B192" s="114" t="s">
        <v>2863</v>
      </c>
      <c r="C192" s="2546" t="s">
        <v>2705</v>
      </c>
      <c r="D192" s="121">
        <v>0</v>
      </c>
    </row>
    <row r="193" spans="1:4" ht="15">
      <c r="A193" s="2546" t="s">
        <v>6528</v>
      </c>
      <c r="B193" s="114" t="s">
        <v>333</v>
      </c>
      <c r="C193" s="2546" t="s">
        <v>2532</v>
      </c>
      <c r="D193" s="121">
        <v>0</v>
      </c>
    </row>
    <row r="194" spans="1:4" ht="15">
      <c r="A194" s="2546" t="s">
        <v>4098</v>
      </c>
      <c r="B194" s="114" t="s">
        <v>334</v>
      </c>
      <c r="C194" s="2546" t="s">
        <v>2533</v>
      </c>
      <c r="D194" s="121">
        <v>214721.70804405908</v>
      </c>
    </row>
    <row r="195" spans="1:4" ht="15">
      <c r="A195" s="2546" t="s">
        <v>6529</v>
      </c>
      <c r="B195" s="114" t="s">
        <v>335</v>
      </c>
      <c r="C195" s="2546" t="s">
        <v>2534</v>
      </c>
      <c r="D195" s="121">
        <v>0</v>
      </c>
    </row>
    <row r="196" spans="1:4" ht="15">
      <c r="A196" s="2546" t="s">
        <v>7470</v>
      </c>
      <c r="B196" s="114" t="s">
        <v>1962</v>
      </c>
      <c r="C196" s="2546" t="s">
        <v>2535</v>
      </c>
      <c r="D196" s="121">
        <v>12967.789007993286</v>
      </c>
    </row>
    <row r="197" spans="1:4" ht="15">
      <c r="A197" s="2546" t="s">
        <v>7471</v>
      </c>
      <c r="B197" s="114" t="s">
        <v>1963</v>
      </c>
      <c r="C197" s="2546" t="s">
        <v>2536</v>
      </c>
      <c r="D197" s="121">
        <v>63.690584501232095</v>
      </c>
    </row>
    <row r="198" spans="1:4" ht="15">
      <c r="A198" s="2546" t="s">
        <v>7472</v>
      </c>
      <c r="B198" s="114" t="s">
        <v>1492</v>
      </c>
      <c r="C198" s="2546" t="s">
        <v>2537</v>
      </c>
      <c r="D198" s="121">
        <v>0</v>
      </c>
    </row>
    <row r="199" spans="1:4" ht="15">
      <c r="A199" s="2546" t="s">
        <v>6530</v>
      </c>
      <c r="B199" s="114" t="s">
        <v>1267</v>
      </c>
      <c r="C199" s="2546" t="s">
        <v>2538</v>
      </c>
      <c r="D199" s="121">
        <v>0</v>
      </c>
    </row>
    <row r="200" spans="1:4" ht="15">
      <c r="A200" s="2546" t="s">
        <v>4099</v>
      </c>
      <c r="B200" s="114" t="s">
        <v>2462</v>
      </c>
      <c r="C200" s="2546" t="s">
        <v>290</v>
      </c>
      <c r="D200" s="121">
        <v>0</v>
      </c>
    </row>
    <row r="201" spans="1:4" ht="15">
      <c r="A201" s="2546" t="s">
        <v>6531</v>
      </c>
      <c r="B201" s="114" t="s">
        <v>1268</v>
      </c>
      <c r="C201" s="2546" t="s">
        <v>2539</v>
      </c>
      <c r="D201" s="121">
        <v>0</v>
      </c>
    </row>
    <row r="202" spans="1:4" ht="15">
      <c r="A202" s="2546" t="s">
        <v>4100</v>
      </c>
      <c r="B202" s="114" t="s">
        <v>2752</v>
      </c>
      <c r="C202" s="2546" t="s">
        <v>2951</v>
      </c>
      <c r="D202" s="121">
        <v>0</v>
      </c>
    </row>
    <row r="203" spans="1:4" ht="15">
      <c r="A203" s="2546" t="s">
        <v>7473</v>
      </c>
      <c r="B203" s="114" t="s">
        <v>1269</v>
      </c>
      <c r="C203" s="2546" t="s">
        <v>2540</v>
      </c>
      <c r="D203" s="121">
        <v>30538.670259484708</v>
      </c>
    </row>
    <row r="204" spans="1:4" ht="15">
      <c r="A204" s="2546" t="s">
        <v>6532</v>
      </c>
      <c r="B204" s="114" t="s">
        <v>779</v>
      </c>
      <c r="C204" s="2546" t="s">
        <v>2541</v>
      </c>
      <c r="D204" s="121">
        <v>0</v>
      </c>
    </row>
    <row r="205" spans="1:4" ht="15">
      <c r="A205" s="2546" t="s">
        <v>7474</v>
      </c>
      <c r="B205" s="114" t="s">
        <v>780</v>
      </c>
      <c r="C205" s="2546" t="s">
        <v>4582</v>
      </c>
      <c r="D205" s="121">
        <v>0</v>
      </c>
    </row>
    <row r="206" spans="1:4" ht="15">
      <c r="A206" s="2546" t="s">
        <v>7475</v>
      </c>
      <c r="B206" s="114" t="s">
        <v>781</v>
      </c>
      <c r="C206" s="2546" t="s">
        <v>1184</v>
      </c>
      <c r="D206" s="121">
        <v>0</v>
      </c>
    </row>
    <row r="207" spans="1:4" ht="15">
      <c r="A207" s="2546" t="s">
        <v>7476</v>
      </c>
      <c r="B207" s="114" t="s">
        <v>782</v>
      </c>
      <c r="C207" s="2546" t="s">
        <v>739</v>
      </c>
      <c r="D207" s="121">
        <v>25995.408565063484</v>
      </c>
    </row>
    <row r="208" spans="1:4" ht="15">
      <c r="A208" s="2546" t="s">
        <v>7477</v>
      </c>
      <c r="B208" s="114" t="s">
        <v>428</v>
      </c>
      <c r="C208" s="2546" t="s">
        <v>740</v>
      </c>
      <c r="D208" s="121">
        <v>37841.857282292651</v>
      </c>
    </row>
    <row r="209" spans="1:4" ht="15">
      <c r="A209" s="2546" t="s">
        <v>6533</v>
      </c>
      <c r="B209" s="114" t="s">
        <v>2928</v>
      </c>
      <c r="C209" s="2546" t="s">
        <v>143</v>
      </c>
      <c r="D209" s="121">
        <v>0</v>
      </c>
    </row>
    <row r="210" spans="1:4" ht="15">
      <c r="A210" s="2546" t="s">
        <v>6534</v>
      </c>
      <c r="B210" s="114" t="s">
        <v>2929</v>
      </c>
      <c r="C210" s="2546" t="s">
        <v>144</v>
      </c>
      <c r="D210" s="121">
        <v>0</v>
      </c>
    </row>
    <row r="211" spans="1:4" ht="15">
      <c r="A211" s="2546" t="s">
        <v>7478</v>
      </c>
      <c r="B211" s="114" t="s">
        <v>2930</v>
      </c>
      <c r="C211" s="2546" t="s">
        <v>145</v>
      </c>
      <c r="D211" s="121">
        <v>0</v>
      </c>
    </row>
    <row r="212" spans="1:4" ht="15">
      <c r="A212" s="2546" t="s">
        <v>6535</v>
      </c>
      <c r="B212" s="114" t="s">
        <v>1843</v>
      </c>
      <c r="C212" s="2546" t="s">
        <v>146</v>
      </c>
      <c r="D212" s="121">
        <v>0</v>
      </c>
    </row>
    <row r="213" spans="1:4" ht="15">
      <c r="A213" s="2546" t="s">
        <v>6536</v>
      </c>
      <c r="B213" s="114" t="s">
        <v>421</v>
      </c>
      <c r="C213" s="2546" t="s">
        <v>147</v>
      </c>
      <c r="D213" s="121">
        <v>0</v>
      </c>
    </row>
    <row r="214" spans="1:4" ht="15">
      <c r="A214" s="2546" t="s">
        <v>6537</v>
      </c>
      <c r="B214" s="114" t="s">
        <v>422</v>
      </c>
      <c r="C214" s="2546" t="s">
        <v>148</v>
      </c>
      <c r="D214" s="121">
        <v>0</v>
      </c>
    </row>
    <row r="215" spans="1:4" ht="15">
      <c r="A215" s="2546" t="s">
        <v>4101</v>
      </c>
      <c r="B215" s="114" t="s">
        <v>423</v>
      </c>
      <c r="C215" s="2546" t="s">
        <v>149</v>
      </c>
      <c r="D215" s="121">
        <v>0</v>
      </c>
    </row>
    <row r="216" spans="1:4" ht="15">
      <c r="A216" s="2546" t="s">
        <v>6538</v>
      </c>
      <c r="B216" s="114" t="s">
        <v>424</v>
      </c>
      <c r="C216" s="2546" t="s">
        <v>150</v>
      </c>
      <c r="D216" s="121">
        <v>0</v>
      </c>
    </row>
    <row r="217" spans="1:4" ht="15">
      <c r="A217" s="2546" t="s">
        <v>4102</v>
      </c>
      <c r="B217" s="114" t="s">
        <v>2973</v>
      </c>
      <c r="C217" s="2546" t="s">
        <v>1672</v>
      </c>
      <c r="D217" s="121">
        <v>0</v>
      </c>
    </row>
    <row r="218" spans="1:4" ht="15">
      <c r="A218" s="2546" t="s">
        <v>4103</v>
      </c>
      <c r="B218" s="114" t="s">
        <v>741</v>
      </c>
      <c r="C218" s="2546" t="s">
        <v>975</v>
      </c>
      <c r="D218" s="121">
        <v>0</v>
      </c>
    </row>
    <row r="219" spans="1:4" ht="15">
      <c r="A219" s="2546" t="s">
        <v>6539</v>
      </c>
      <c r="B219" s="114" t="s">
        <v>579</v>
      </c>
      <c r="C219" s="2546" t="s">
        <v>151</v>
      </c>
      <c r="D219" s="121">
        <v>0</v>
      </c>
    </row>
    <row r="220" spans="1:4" ht="15">
      <c r="A220" s="2546" t="s">
        <v>4104</v>
      </c>
      <c r="B220" s="114" t="s">
        <v>48</v>
      </c>
      <c r="C220" s="2546" t="s">
        <v>1441</v>
      </c>
      <c r="D220" s="121">
        <v>0</v>
      </c>
    </row>
    <row r="221" spans="1:4" ht="15">
      <c r="A221" s="2546" t="s">
        <v>6540</v>
      </c>
      <c r="B221" s="114" t="s">
        <v>2028</v>
      </c>
      <c r="C221" s="2546" t="s">
        <v>152</v>
      </c>
      <c r="D221" s="121">
        <v>0</v>
      </c>
    </row>
    <row r="222" spans="1:4" ht="15">
      <c r="A222" s="2546" t="s">
        <v>4105</v>
      </c>
      <c r="B222" s="114" t="s">
        <v>2898</v>
      </c>
      <c r="C222" s="2546" t="s">
        <v>2554</v>
      </c>
      <c r="D222" s="121">
        <v>0</v>
      </c>
    </row>
    <row r="223" spans="1:4" ht="15">
      <c r="A223" s="2546" t="s">
        <v>6541</v>
      </c>
      <c r="B223" s="114" t="s">
        <v>2029</v>
      </c>
      <c r="C223" s="2546" t="s">
        <v>3006</v>
      </c>
      <c r="D223" s="121">
        <v>0</v>
      </c>
    </row>
    <row r="224" spans="1:4" ht="15">
      <c r="A224" s="2546" t="s">
        <v>6542</v>
      </c>
      <c r="B224" s="114" t="s">
        <v>3087</v>
      </c>
      <c r="C224" s="2546" t="s">
        <v>3007</v>
      </c>
      <c r="D224" s="121">
        <v>0</v>
      </c>
    </row>
    <row r="225" spans="1:4" ht="15">
      <c r="A225" s="2546" t="s">
        <v>6543</v>
      </c>
      <c r="B225" s="114" t="s">
        <v>277</v>
      </c>
      <c r="C225" s="2546" t="s">
        <v>3008</v>
      </c>
      <c r="D225" s="121">
        <v>0</v>
      </c>
    </row>
    <row r="226" spans="1:4" ht="15">
      <c r="A226" s="2546" t="s">
        <v>7479</v>
      </c>
      <c r="B226" s="114" t="s">
        <v>278</v>
      </c>
      <c r="C226" s="2546" t="s">
        <v>3060</v>
      </c>
      <c r="D226" s="121">
        <v>0</v>
      </c>
    </row>
    <row r="227" spans="1:4" ht="15">
      <c r="A227" s="2546" t="s">
        <v>6544</v>
      </c>
      <c r="B227" s="114" t="s">
        <v>279</v>
      </c>
      <c r="C227" s="2546" t="s">
        <v>3009</v>
      </c>
      <c r="D227" s="121">
        <v>0</v>
      </c>
    </row>
    <row r="228" spans="1:4" ht="15">
      <c r="A228" s="2546" t="s">
        <v>7480</v>
      </c>
      <c r="B228" s="114" t="s">
        <v>280</v>
      </c>
      <c r="C228" s="2546" t="s">
        <v>3010</v>
      </c>
      <c r="D228" s="121">
        <v>1030201.4768649936</v>
      </c>
    </row>
    <row r="229" spans="1:4" ht="15">
      <c r="A229" s="2546" t="s">
        <v>6545</v>
      </c>
      <c r="B229" s="114" t="s">
        <v>408</v>
      </c>
      <c r="C229" s="2546" t="s">
        <v>3011</v>
      </c>
      <c r="D229" s="121">
        <v>0</v>
      </c>
    </row>
    <row r="230" spans="1:4" ht="15">
      <c r="A230" s="2546" t="s">
        <v>5220</v>
      </c>
      <c r="B230" s="114" t="s">
        <v>2130</v>
      </c>
      <c r="C230" s="2546" t="s">
        <v>2723</v>
      </c>
      <c r="D230" s="121">
        <v>701661.79929066449</v>
      </c>
    </row>
    <row r="231" spans="1:4" ht="15">
      <c r="A231" s="2546" t="s">
        <v>7481</v>
      </c>
      <c r="B231" s="114" t="s">
        <v>1220</v>
      </c>
      <c r="C231" s="2546" t="s">
        <v>3012</v>
      </c>
      <c r="D231" s="121">
        <v>0</v>
      </c>
    </row>
    <row r="232" spans="1:4" ht="15">
      <c r="A232" s="2546" t="s">
        <v>4106</v>
      </c>
      <c r="B232" s="114" t="s">
        <v>1221</v>
      </c>
      <c r="C232" s="2546" t="s">
        <v>3013</v>
      </c>
      <c r="D232" s="121">
        <v>0</v>
      </c>
    </row>
    <row r="233" spans="1:4" ht="15">
      <c r="A233" s="2546" t="s">
        <v>4107</v>
      </c>
      <c r="B233" s="114" t="s">
        <v>711</v>
      </c>
      <c r="C233" s="2546" t="s">
        <v>128</v>
      </c>
      <c r="D233" s="121">
        <v>0</v>
      </c>
    </row>
    <row r="234" spans="1:4" ht="15">
      <c r="A234" s="2546" t="s">
        <v>6546</v>
      </c>
      <c r="B234" s="114" t="s">
        <v>1222</v>
      </c>
      <c r="C234" s="2546" t="s">
        <v>3014</v>
      </c>
      <c r="D234" s="121">
        <v>0</v>
      </c>
    </row>
    <row r="235" spans="1:4" ht="15">
      <c r="A235" s="2546" t="s">
        <v>4108</v>
      </c>
      <c r="B235" s="114" t="s">
        <v>1989</v>
      </c>
      <c r="C235" s="2546" t="s">
        <v>2825</v>
      </c>
      <c r="D235" s="121">
        <v>0</v>
      </c>
    </row>
    <row r="236" spans="1:4" ht="15">
      <c r="A236" s="2546" t="s">
        <v>5230</v>
      </c>
      <c r="B236" s="114" t="s">
        <v>240</v>
      </c>
      <c r="C236" s="2546" t="s">
        <v>1127</v>
      </c>
      <c r="D236" s="121">
        <v>0</v>
      </c>
    </row>
    <row r="237" spans="1:4" ht="15">
      <c r="A237" s="2546" t="s">
        <v>4109</v>
      </c>
      <c r="B237" s="114" t="s">
        <v>815</v>
      </c>
      <c r="C237" s="2546" t="s">
        <v>1905</v>
      </c>
      <c r="D237" s="121">
        <v>0</v>
      </c>
    </row>
    <row r="238" spans="1:4" ht="15">
      <c r="A238" s="2546" t="s">
        <v>4110</v>
      </c>
      <c r="B238" s="114" t="s">
        <v>242</v>
      </c>
      <c r="C238" s="2546" t="s">
        <v>1129</v>
      </c>
      <c r="D238" s="121">
        <v>0</v>
      </c>
    </row>
    <row r="239" spans="1:4" ht="15">
      <c r="A239" s="2546" t="s">
        <v>4111</v>
      </c>
      <c r="B239" s="114" t="s">
        <v>1893</v>
      </c>
      <c r="C239" s="2546" t="s">
        <v>2426</v>
      </c>
      <c r="D239" s="121">
        <v>0</v>
      </c>
    </row>
    <row r="240" spans="1:4" ht="15">
      <c r="A240" s="2546" t="s">
        <v>4112</v>
      </c>
      <c r="B240" s="114" t="s">
        <v>532</v>
      </c>
      <c r="C240" s="2546" t="s">
        <v>2353</v>
      </c>
      <c r="D240" s="121">
        <v>0</v>
      </c>
    </row>
    <row r="241" spans="1:4" ht="15">
      <c r="A241" s="2546" t="s">
        <v>6547</v>
      </c>
      <c r="B241" s="114" t="s">
        <v>2099</v>
      </c>
      <c r="C241" s="2546" t="s">
        <v>3015</v>
      </c>
      <c r="D241" s="121">
        <v>0</v>
      </c>
    </row>
    <row r="242" spans="1:4" ht="15">
      <c r="A242" s="2546" t="s">
        <v>4113</v>
      </c>
      <c r="B242" s="114" t="s">
        <v>1590</v>
      </c>
      <c r="C242" s="2546" t="s">
        <v>1425</v>
      </c>
      <c r="D242" s="121">
        <v>0</v>
      </c>
    </row>
    <row r="243" spans="1:4" ht="15">
      <c r="A243" s="2546" t="s">
        <v>4114</v>
      </c>
      <c r="B243" s="114" t="s">
        <v>68</v>
      </c>
      <c r="C243" s="2546" t="s">
        <v>2623</v>
      </c>
      <c r="D243" s="121">
        <v>0</v>
      </c>
    </row>
    <row r="244" spans="1:4" ht="15">
      <c r="A244" s="2546" t="s">
        <v>4115</v>
      </c>
      <c r="B244" s="114" t="s">
        <v>712</v>
      </c>
      <c r="C244" s="2546" t="s">
        <v>1764</v>
      </c>
      <c r="D244" s="121">
        <v>0</v>
      </c>
    </row>
    <row r="245" spans="1:4" ht="15">
      <c r="A245" s="2546" t="s">
        <v>4116</v>
      </c>
      <c r="B245" s="114" t="s">
        <v>2864</v>
      </c>
      <c r="C245" s="2546" t="s">
        <v>461</v>
      </c>
      <c r="D245" s="121">
        <v>141413.84528314095</v>
      </c>
    </row>
    <row r="246" spans="1:4" ht="15">
      <c r="A246" s="2546" t="s">
        <v>6548</v>
      </c>
      <c r="B246" s="114" t="s">
        <v>2100</v>
      </c>
      <c r="C246" s="2546" t="s">
        <v>3016</v>
      </c>
      <c r="D246" s="121">
        <v>35134.524936562251</v>
      </c>
    </row>
    <row r="247" spans="1:4" ht="15">
      <c r="A247" s="2546" t="s">
        <v>4117</v>
      </c>
      <c r="B247" s="114" t="s">
        <v>1352</v>
      </c>
      <c r="C247" s="2546" t="s">
        <v>2511</v>
      </c>
      <c r="D247" s="121">
        <v>580236.18244349351</v>
      </c>
    </row>
    <row r="248" spans="1:4" ht="15">
      <c r="A248" s="2546" t="s">
        <v>6549</v>
      </c>
      <c r="B248" s="114" t="s">
        <v>2101</v>
      </c>
      <c r="C248" s="2546" t="s">
        <v>3017</v>
      </c>
      <c r="D248" s="121">
        <v>245023.46862937632</v>
      </c>
    </row>
    <row r="249" spans="1:4" ht="15">
      <c r="A249" s="2546" t="s">
        <v>7482</v>
      </c>
      <c r="B249" s="114" t="s">
        <v>796</v>
      </c>
      <c r="C249" s="2546" t="s">
        <v>3018</v>
      </c>
      <c r="D249" s="121">
        <v>0</v>
      </c>
    </row>
    <row r="250" spans="1:4" ht="15">
      <c r="A250" s="2546" t="s">
        <v>7483</v>
      </c>
      <c r="B250" s="114" t="s">
        <v>330</v>
      </c>
      <c r="C250" s="2546" t="s">
        <v>3019</v>
      </c>
      <c r="D250" s="121">
        <v>0</v>
      </c>
    </row>
    <row r="251" spans="1:4" ht="15">
      <c r="A251" s="2546" t="s">
        <v>6550</v>
      </c>
      <c r="B251" s="114" t="s">
        <v>203</v>
      </c>
      <c r="C251" s="2546" t="s">
        <v>3020</v>
      </c>
      <c r="D251" s="121">
        <v>0</v>
      </c>
    </row>
    <row r="252" spans="1:4" ht="15">
      <c r="A252" s="2546" t="s">
        <v>7484</v>
      </c>
      <c r="B252" s="114" t="s">
        <v>204</v>
      </c>
      <c r="C252" s="2546" t="s">
        <v>3021</v>
      </c>
      <c r="D252" s="121">
        <v>0</v>
      </c>
    </row>
    <row r="253" spans="1:4" ht="15">
      <c r="A253" s="2546" t="s">
        <v>4118</v>
      </c>
      <c r="B253" s="114" t="s">
        <v>816</v>
      </c>
      <c r="C253" s="2546" t="s">
        <v>37</v>
      </c>
      <c r="D253" s="121">
        <v>1248078.7638684318</v>
      </c>
    </row>
    <row r="254" spans="1:4" ht="15">
      <c r="A254" s="2546" t="s">
        <v>7485</v>
      </c>
      <c r="B254" s="114" t="s">
        <v>3025</v>
      </c>
      <c r="C254" s="2546" t="s">
        <v>2235</v>
      </c>
      <c r="D254" s="121">
        <v>0</v>
      </c>
    </row>
    <row r="255" spans="1:4" ht="15">
      <c r="A255" s="2546" t="s">
        <v>4119</v>
      </c>
      <c r="B255" s="114" t="s">
        <v>1753</v>
      </c>
      <c r="C255" s="2546" t="s">
        <v>2721</v>
      </c>
      <c r="D255" s="121">
        <v>0</v>
      </c>
    </row>
    <row r="256" spans="1:4" ht="15">
      <c r="A256" s="2546" t="s">
        <v>7486</v>
      </c>
      <c r="B256" s="114" t="s">
        <v>3026</v>
      </c>
      <c r="C256" s="2546" t="s">
        <v>2236</v>
      </c>
      <c r="D256" s="121">
        <v>0</v>
      </c>
    </row>
    <row r="257" spans="1:4" ht="15">
      <c r="A257" s="2546" t="s">
        <v>6551</v>
      </c>
      <c r="B257" s="114" t="s">
        <v>3027</v>
      </c>
      <c r="C257" s="2546" t="s">
        <v>2237</v>
      </c>
      <c r="D257" s="121">
        <v>8769.5179796204029</v>
      </c>
    </row>
    <row r="258" spans="1:4" ht="15">
      <c r="A258" s="2546" t="s">
        <v>4120</v>
      </c>
      <c r="B258" s="114" t="s">
        <v>817</v>
      </c>
      <c r="C258" s="2546" t="s">
        <v>2310</v>
      </c>
      <c r="D258" s="121">
        <v>0</v>
      </c>
    </row>
    <row r="259" spans="1:4" ht="15">
      <c r="A259" s="2546" t="s">
        <v>6552</v>
      </c>
      <c r="B259" s="114" t="s">
        <v>776</v>
      </c>
      <c r="C259" s="2546" t="s">
        <v>2238</v>
      </c>
      <c r="D259" s="121">
        <v>81911.399217292899</v>
      </c>
    </row>
    <row r="260" spans="1:4" ht="15">
      <c r="A260" s="2546" t="s">
        <v>5284</v>
      </c>
      <c r="B260" s="114" t="s">
        <v>2463</v>
      </c>
      <c r="C260" s="2546" t="s">
        <v>2465</v>
      </c>
      <c r="D260" s="121">
        <v>204926.86815485446</v>
      </c>
    </row>
    <row r="261" spans="1:4" ht="15">
      <c r="A261" s="2546" t="s">
        <v>7487</v>
      </c>
      <c r="B261" s="114" t="s">
        <v>2620</v>
      </c>
      <c r="C261" s="2546" t="s">
        <v>2239</v>
      </c>
      <c r="D261" s="121">
        <v>0</v>
      </c>
    </row>
    <row r="262" spans="1:4" ht="15">
      <c r="A262" s="2546" t="s">
        <v>6553</v>
      </c>
      <c r="B262" s="114" t="s">
        <v>2007</v>
      </c>
      <c r="C262" s="2546" t="s">
        <v>2240</v>
      </c>
      <c r="D262" s="121">
        <v>0</v>
      </c>
    </row>
    <row r="263" spans="1:4" ht="15">
      <c r="A263" s="2546" t="s">
        <v>7488</v>
      </c>
      <c r="B263" s="114" t="s">
        <v>672</v>
      </c>
      <c r="C263" s="2546" t="s">
        <v>2241</v>
      </c>
      <c r="D263" s="121">
        <v>0</v>
      </c>
    </row>
    <row r="264" spans="1:4" ht="15">
      <c r="A264" s="2546" t="s">
        <v>7489</v>
      </c>
      <c r="B264" s="114" t="s">
        <v>1034</v>
      </c>
      <c r="C264" s="2546" t="s">
        <v>2242</v>
      </c>
      <c r="D264" s="121">
        <v>0</v>
      </c>
    </row>
    <row r="265" spans="1:4" ht="15">
      <c r="A265" s="2546" t="s">
        <v>6554</v>
      </c>
      <c r="B265" s="114" t="s">
        <v>2442</v>
      </c>
      <c r="C265" s="2546" t="s">
        <v>2243</v>
      </c>
      <c r="D265" s="121">
        <v>4807792.8170762407</v>
      </c>
    </row>
    <row r="266" spans="1:4" ht="15">
      <c r="A266" s="2546" t="s">
        <v>6555</v>
      </c>
      <c r="B266" s="114" t="s">
        <v>2976</v>
      </c>
      <c r="C266" s="2546" t="s">
        <v>2244</v>
      </c>
      <c r="D266" s="121">
        <v>0</v>
      </c>
    </row>
    <row r="267" spans="1:4" ht="15">
      <c r="A267" s="2546" t="s">
        <v>7490</v>
      </c>
      <c r="B267" s="114" t="s">
        <v>2745</v>
      </c>
      <c r="C267" s="2546" t="s">
        <v>2245</v>
      </c>
      <c r="D267" s="121">
        <v>0</v>
      </c>
    </row>
    <row r="268" spans="1:4" ht="15">
      <c r="A268" s="2546" t="s">
        <v>4121</v>
      </c>
      <c r="B268" s="114" t="s">
        <v>274</v>
      </c>
      <c r="C268" s="2546" t="s">
        <v>2427</v>
      </c>
      <c r="D268" s="121">
        <v>0</v>
      </c>
    </row>
    <row r="269" spans="1:4" ht="15">
      <c r="A269" s="2546" t="s">
        <v>6556</v>
      </c>
      <c r="B269" s="114" t="s">
        <v>1585</v>
      </c>
      <c r="C269" s="2546" t="s">
        <v>2246</v>
      </c>
      <c r="D269" s="121">
        <v>0</v>
      </c>
    </row>
    <row r="270" spans="1:4" ht="15">
      <c r="A270" s="2546" t="s">
        <v>4122</v>
      </c>
      <c r="B270" s="114" t="s">
        <v>1586</v>
      </c>
      <c r="C270" s="2546" t="s">
        <v>2247</v>
      </c>
      <c r="D270" s="121">
        <v>0</v>
      </c>
    </row>
    <row r="271" spans="1:4" ht="15">
      <c r="A271" s="2546" t="s">
        <v>4123</v>
      </c>
      <c r="B271" s="114" t="s">
        <v>818</v>
      </c>
      <c r="C271" s="2546" t="s">
        <v>1442</v>
      </c>
      <c r="D271" s="121">
        <v>0</v>
      </c>
    </row>
    <row r="272" spans="1:4" ht="15">
      <c r="A272" s="2546" t="s">
        <v>6557</v>
      </c>
      <c r="B272" s="114" t="s">
        <v>1581</v>
      </c>
      <c r="C272" s="2546" t="s">
        <v>2248</v>
      </c>
      <c r="D272" s="121">
        <v>0</v>
      </c>
    </row>
    <row r="273" spans="1:4" ht="15">
      <c r="A273" s="2546" t="s">
        <v>7491</v>
      </c>
      <c r="B273" s="114" t="s">
        <v>1049</v>
      </c>
      <c r="C273" s="2546" t="s">
        <v>2249</v>
      </c>
      <c r="D273" s="121">
        <v>0</v>
      </c>
    </row>
    <row r="274" spans="1:4" ht="15">
      <c r="A274" s="2546" t="s">
        <v>4124</v>
      </c>
      <c r="B274" s="114" t="s">
        <v>275</v>
      </c>
      <c r="C274" s="2546" t="s">
        <v>1539</v>
      </c>
      <c r="D274" s="121">
        <v>0</v>
      </c>
    </row>
    <row r="275" spans="1:4" ht="15">
      <c r="A275" s="2546" t="s">
        <v>4125</v>
      </c>
      <c r="B275" s="114" t="s">
        <v>2382</v>
      </c>
      <c r="C275" s="2546" t="s">
        <v>92</v>
      </c>
      <c r="D275" s="121">
        <v>0</v>
      </c>
    </row>
    <row r="276" spans="1:4" ht="15">
      <c r="A276" s="2546" t="s">
        <v>4126</v>
      </c>
      <c r="B276" s="114" t="s">
        <v>375</v>
      </c>
      <c r="C276" s="2546" t="s">
        <v>160</v>
      </c>
      <c r="D276" s="121">
        <v>0</v>
      </c>
    </row>
    <row r="277" spans="1:4" ht="15">
      <c r="A277" s="2546" t="s">
        <v>4127</v>
      </c>
      <c r="B277" s="114" t="s">
        <v>819</v>
      </c>
      <c r="C277" s="2546" t="s">
        <v>2269</v>
      </c>
      <c r="D277" s="121">
        <v>0</v>
      </c>
    </row>
    <row r="278" spans="1:4" ht="15">
      <c r="A278" s="2546" t="s">
        <v>4128</v>
      </c>
      <c r="B278" s="114" t="s">
        <v>629</v>
      </c>
      <c r="C278" s="2546" t="s">
        <v>1331</v>
      </c>
      <c r="D278" s="121">
        <v>0</v>
      </c>
    </row>
    <row r="279" spans="1:4" ht="15">
      <c r="A279" s="2546" t="s">
        <v>4129</v>
      </c>
      <c r="B279" s="114" t="s">
        <v>2767</v>
      </c>
      <c r="C279" s="2546" t="s">
        <v>2250</v>
      </c>
      <c r="D279" s="121">
        <v>0</v>
      </c>
    </row>
    <row r="280" spans="1:4" ht="15">
      <c r="A280" s="2546" t="s">
        <v>4130</v>
      </c>
      <c r="B280" s="114" t="s">
        <v>878</v>
      </c>
      <c r="C280" s="2546" t="s">
        <v>1004</v>
      </c>
      <c r="D280" s="121">
        <v>0</v>
      </c>
    </row>
    <row r="281" spans="1:4" ht="15">
      <c r="A281" s="2546" t="s">
        <v>5323</v>
      </c>
      <c r="B281" s="114" t="s">
        <v>212</v>
      </c>
      <c r="C281" s="2546" t="s">
        <v>2311</v>
      </c>
      <c r="D281" s="121">
        <v>0</v>
      </c>
    </row>
    <row r="282" spans="1:4" ht="15">
      <c r="A282" s="2546" t="s">
        <v>5329</v>
      </c>
      <c r="B282" s="114" t="s">
        <v>1353</v>
      </c>
      <c r="C282" s="2546" t="s">
        <v>861</v>
      </c>
      <c r="D282" s="121">
        <v>0</v>
      </c>
    </row>
    <row r="283" spans="1:4" ht="15">
      <c r="A283" s="2546" t="s">
        <v>4131</v>
      </c>
      <c r="B283" s="114" t="s">
        <v>2401</v>
      </c>
      <c r="C283" s="2546" t="s">
        <v>153</v>
      </c>
      <c r="D283" s="121">
        <v>0</v>
      </c>
    </row>
    <row r="284" spans="1:4" ht="15">
      <c r="A284" s="2546" t="s">
        <v>4132</v>
      </c>
      <c r="B284" s="114" t="s">
        <v>2157</v>
      </c>
      <c r="C284" s="2546" t="s">
        <v>728</v>
      </c>
      <c r="D284" s="121">
        <v>0</v>
      </c>
    </row>
    <row r="285" spans="1:4" ht="15">
      <c r="A285" s="2546" t="s">
        <v>4133</v>
      </c>
      <c r="B285" s="114" t="s">
        <v>1710</v>
      </c>
      <c r="C285" s="2546" t="s">
        <v>661</v>
      </c>
      <c r="D285" s="121">
        <v>0</v>
      </c>
    </row>
    <row r="286" spans="1:4" ht="15">
      <c r="A286" s="2546" t="s">
        <v>4134</v>
      </c>
      <c r="B286" s="114" t="s">
        <v>1315</v>
      </c>
      <c r="C286" s="2546" t="s">
        <v>2204</v>
      </c>
      <c r="D286" s="121">
        <v>0</v>
      </c>
    </row>
    <row r="287" spans="1:4" ht="15">
      <c r="A287" s="2546" t="s">
        <v>7492</v>
      </c>
      <c r="B287" s="114" t="s">
        <v>2768</v>
      </c>
      <c r="C287" s="2546" t="s">
        <v>2251</v>
      </c>
      <c r="D287" s="121">
        <v>2461.7375918582279</v>
      </c>
    </row>
    <row r="288" spans="1:4" ht="15">
      <c r="A288" s="2546" t="s">
        <v>6558</v>
      </c>
      <c r="B288" s="114" t="s">
        <v>2769</v>
      </c>
      <c r="C288" s="2546" t="s">
        <v>2252</v>
      </c>
      <c r="D288" s="121">
        <v>0</v>
      </c>
    </row>
    <row r="289" spans="1:4" ht="15">
      <c r="A289" s="2546" t="s">
        <v>4135</v>
      </c>
      <c r="B289" s="114" t="s">
        <v>1704</v>
      </c>
      <c r="C289" s="2546" t="s">
        <v>2409</v>
      </c>
      <c r="D289" s="121">
        <v>0</v>
      </c>
    </row>
    <row r="290" spans="1:4" ht="15">
      <c r="A290" s="2546" t="s">
        <v>6559</v>
      </c>
      <c r="B290" s="114" t="s">
        <v>2091</v>
      </c>
      <c r="C290" s="2546" t="s">
        <v>2253</v>
      </c>
      <c r="D290" s="121">
        <v>0</v>
      </c>
    </row>
    <row r="291" spans="1:4" ht="15">
      <c r="A291" s="2546" t="s">
        <v>7493</v>
      </c>
      <c r="B291" s="114" t="s">
        <v>2092</v>
      </c>
      <c r="C291" s="2546" t="s">
        <v>2254</v>
      </c>
      <c r="D291" s="121">
        <v>0</v>
      </c>
    </row>
    <row r="292" spans="1:4" ht="15">
      <c r="A292" s="2546" t="s">
        <v>4136</v>
      </c>
      <c r="B292" s="114" t="s">
        <v>1400</v>
      </c>
      <c r="C292" s="2546" t="s">
        <v>2827</v>
      </c>
      <c r="D292" s="121">
        <v>0</v>
      </c>
    </row>
    <row r="293" spans="1:4" ht="15">
      <c r="A293" s="2546" t="s">
        <v>7494</v>
      </c>
      <c r="B293" s="114" t="s">
        <v>2093</v>
      </c>
      <c r="C293" s="2546" t="s">
        <v>2255</v>
      </c>
      <c r="D293" s="121">
        <v>0</v>
      </c>
    </row>
    <row r="294" spans="1:4" ht="15">
      <c r="A294" s="2546" t="s">
        <v>6560</v>
      </c>
      <c r="B294" s="114" t="s">
        <v>229</v>
      </c>
      <c r="C294" s="2546" t="s">
        <v>1185</v>
      </c>
      <c r="D294" s="121">
        <v>0</v>
      </c>
    </row>
    <row r="295" spans="1:4" ht="15">
      <c r="A295" s="2546" t="s">
        <v>5365</v>
      </c>
      <c r="B295" s="114" t="s">
        <v>2095</v>
      </c>
      <c r="C295" s="2546" t="s">
        <v>2357</v>
      </c>
      <c r="D295" s="121">
        <v>0</v>
      </c>
    </row>
    <row r="296" spans="1:4" ht="15">
      <c r="A296" s="2546" t="s">
        <v>5367</v>
      </c>
      <c r="B296" s="114" t="s">
        <v>2103</v>
      </c>
      <c r="C296" s="2546" t="s">
        <v>1508</v>
      </c>
      <c r="D296" s="121">
        <v>0</v>
      </c>
    </row>
    <row r="297" spans="1:4" ht="15">
      <c r="A297" s="2546" t="s">
        <v>7495</v>
      </c>
      <c r="B297" s="114" t="s">
        <v>230</v>
      </c>
      <c r="C297" s="2546" t="s">
        <v>2257</v>
      </c>
      <c r="D297" s="121">
        <v>0</v>
      </c>
    </row>
    <row r="298" spans="1:4" ht="15">
      <c r="A298" s="2546" t="s">
        <v>6561</v>
      </c>
      <c r="B298" s="114" t="s">
        <v>231</v>
      </c>
      <c r="C298" s="2546" t="s">
        <v>1</v>
      </c>
      <c r="D298" s="121">
        <v>0</v>
      </c>
    </row>
    <row r="299" spans="1:4" ht="15">
      <c r="A299" s="2546" t="s">
        <v>4137</v>
      </c>
      <c r="B299" s="114" t="s">
        <v>1401</v>
      </c>
      <c r="C299" s="2546" t="s">
        <v>2495</v>
      </c>
      <c r="D299" s="121">
        <v>0</v>
      </c>
    </row>
    <row r="300" spans="1:4" ht="15">
      <c r="A300" s="2546" t="s">
        <v>4138</v>
      </c>
      <c r="B300" s="114" t="s">
        <v>820</v>
      </c>
      <c r="C300" s="2546" t="s">
        <v>1216</v>
      </c>
      <c r="D300" s="121">
        <v>0</v>
      </c>
    </row>
    <row r="301" spans="1:4" ht="15">
      <c r="A301" s="2546" t="s">
        <v>4139</v>
      </c>
      <c r="B301" s="114" t="s">
        <v>232</v>
      </c>
      <c r="C301" s="2546" t="s">
        <v>2</v>
      </c>
      <c r="D301" s="121">
        <v>0</v>
      </c>
    </row>
    <row r="302" spans="1:4" ht="15">
      <c r="A302" s="2546" t="s">
        <v>6562</v>
      </c>
      <c r="B302" s="114" t="s">
        <v>233</v>
      </c>
      <c r="C302" s="2546" t="s">
        <v>3</v>
      </c>
      <c r="D302" s="121">
        <v>0</v>
      </c>
    </row>
    <row r="303" spans="1:4" ht="15">
      <c r="A303" s="2546" t="s">
        <v>6563</v>
      </c>
      <c r="B303" s="114" t="s">
        <v>1960</v>
      </c>
      <c r="C303" s="2546" t="s">
        <v>4</v>
      </c>
      <c r="D303" s="121">
        <v>0</v>
      </c>
    </row>
    <row r="304" spans="1:4" ht="15">
      <c r="A304" s="2546" t="s">
        <v>4140</v>
      </c>
      <c r="B304" s="114" t="s">
        <v>1961</v>
      </c>
      <c r="C304" s="2546" t="s">
        <v>5</v>
      </c>
      <c r="D304" s="121">
        <v>0</v>
      </c>
    </row>
    <row r="305" spans="1:4" ht="15">
      <c r="A305" s="2546" t="s">
        <v>4141</v>
      </c>
      <c r="B305" s="114" t="s">
        <v>1402</v>
      </c>
      <c r="C305" s="2546" t="s">
        <v>2306</v>
      </c>
      <c r="D305" s="121">
        <v>0</v>
      </c>
    </row>
    <row r="306" spans="1:4" ht="15">
      <c r="A306" s="2546" t="s">
        <v>6564</v>
      </c>
      <c r="B306" s="114" t="s">
        <v>2948</v>
      </c>
      <c r="C306" s="2546" t="s">
        <v>502</v>
      </c>
      <c r="D306" s="121">
        <v>156727.57082026292</v>
      </c>
    </row>
    <row r="307" spans="1:4" ht="15">
      <c r="A307" s="2546" t="s">
        <v>7496</v>
      </c>
      <c r="B307" s="114" t="s">
        <v>1911</v>
      </c>
      <c r="C307" s="2546" t="s">
        <v>503</v>
      </c>
      <c r="D307" s="121">
        <v>0</v>
      </c>
    </row>
    <row r="308" spans="1:4" ht="15">
      <c r="A308" s="2546" t="s">
        <v>6565</v>
      </c>
      <c r="B308" s="114" t="s">
        <v>1912</v>
      </c>
      <c r="C308" s="2546" t="s">
        <v>504</v>
      </c>
      <c r="D308" s="121">
        <v>0</v>
      </c>
    </row>
    <row r="309" spans="1:4" ht="15">
      <c r="A309" s="2546" t="s">
        <v>7497</v>
      </c>
      <c r="B309" s="114" t="s">
        <v>1037</v>
      </c>
      <c r="C309" s="2546" t="s">
        <v>505</v>
      </c>
      <c r="D309" s="121">
        <v>0</v>
      </c>
    </row>
    <row r="310" spans="1:4" ht="15">
      <c r="A310" s="2546" t="s">
        <v>6566</v>
      </c>
      <c r="B310" s="114" t="s">
        <v>73</v>
      </c>
      <c r="C310" s="2546" t="s">
        <v>205</v>
      </c>
      <c r="D310" s="121">
        <v>0</v>
      </c>
    </row>
    <row r="311" spans="1:4" ht="15">
      <c r="A311" s="2546" t="s">
        <v>7498</v>
      </c>
      <c r="B311" s="114" t="s">
        <v>853</v>
      </c>
      <c r="C311" s="2546" t="s">
        <v>1186</v>
      </c>
      <c r="D311" s="121">
        <v>44335.401874850082</v>
      </c>
    </row>
    <row r="312" spans="1:4" ht="15">
      <c r="A312" s="2546" t="s">
        <v>4142</v>
      </c>
      <c r="B312" s="114" t="s">
        <v>2865</v>
      </c>
      <c r="C312" s="2546" t="s">
        <v>665</v>
      </c>
      <c r="D312" s="121">
        <v>0</v>
      </c>
    </row>
    <row r="313" spans="1:4" ht="15">
      <c r="A313" s="2546" t="s">
        <v>6567</v>
      </c>
      <c r="B313" s="114" t="s">
        <v>697</v>
      </c>
      <c r="C313" s="2546" t="s">
        <v>958</v>
      </c>
      <c r="D313" s="121">
        <v>0</v>
      </c>
    </row>
    <row r="314" spans="1:4" ht="15">
      <c r="A314" s="2546" t="s">
        <v>7499</v>
      </c>
      <c r="B314" s="114" t="s">
        <v>698</v>
      </c>
      <c r="C314" s="2546" t="s">
        <v>959</v>
      </c>
      <c r="D314" s="121">
        <v>0</v>
      </c>
    </row>
    <row r="315" spans="1:4" ht="15">
      <c r="A315" s="2546" t="s">
        <v>7500</v>
      </c>
      <c r="B315" s="114" t="s">
        <v>699</v>
      </c>
      <c r="C315" s="2546" t="s">
        <v>960</v>
      </c>
      <c r="D315" s="121">
        <v>0</v>
      </c>
    </row>
    <row r="316" spans="1:4" ht="15">
      <c r="A316" s="2546" t="s">
        <v>6568</v>
      </c>
      <c r="B316" s="114" t="s">
        <v>700</v>
      </c>
      <c r="C316" s="2546" t="s">
        <v>1187</v>
      </c>
      <c r="D316" s="121">
        <v>0</v>
      </c>
    </row>
    <row r="317" spans="1:4" ht="15">
      <c r="A317" s="2546" t="s">
        <v>4143</v>
      </c>
      <c r="B317" s="114" t="s">
        <v>2906</v>
      </c>
      <c r="C317" s="2546" t="s">
        <v>1006</v>
      </c>
      <c r="D317" s="121">
        <v>0</v>
      </c>
    </row>
    <row r="318" spans="1:4" ht="15">
      <c r="A318" s="2546" t="s">
        <v>4144</v>
      </c>
      <c r="B318" s="114" t="s">
        <v>1602</v>
      </c>
      <c r="C318" s="2546" t="s">
        <v>133</v>
      </c>
      <c r="D318" s="121">
        <v>0</v>
      </c>
    </row>
    <row r="319" spans="1:4" ht="15">
      <c r="A319" s="2546" t="s">
        <v>6569</v>
      </c>
      <c r="B319" s="114" t="s">
        <v>2647</v>
      </c>
      <c r="C319" s="2546" t="s">
        <v>1188</v>
      </c>
      <c r="D319" s="121">
        <v>0</v>
      </c>
    </row>
    <row r="320" spans="1:4" ht="15">
      <c r="A320" s="2546" t="s">
        <v>6570</v>
      </c>
      <c r="B320" s="114" t="s">
        <v>2290</v>
      </c>
      <c r="C320" s="2546" t="s">
        <v>964</v>
      </c>
      <c r="D320" s="121">
        <v>0</v>
      </c>
    </row>
    <row r="321" spans="1:4" ht="15">
      <c r="A321" s="2546" t="s">
        <v>6571</v>
      </c>
      <c r="B321" s="114" t="s">
        <v>1478</v>
      </c>
      <c r="C321" s="2546" t="s">
        <v>965</v>
      </c>
      <c r="D321" s="121">
        <v>0</v>
      </c>
    </row>
    <row r="322" spans="1:4" ht="15">
      <c r="A322" s="2546" t="s">
        <v>6572</v>
      </c>
      <c r="B322" s="114" t="s">
        <v>2192</v>
      </c>
      <c r="C322" s="2546" t="s">
        <v>966</v>
      </c>
      <c r="D322" s="121">
        <v>0</v>
      </c>
    </row>
    <row r="323" spans="1:4" ht="15">
      <c r="A323" s="2546" t="s">
        <v>6573</v>
      </c>
      <c r="B323" s="114" t="s">
        <v>2198</v>
      </c>
      <c r="C323" s="2546" t="s">
        <v>967</v>
      </c>
      <c r="D323" s="121">
        <v>0</v>
      </c>
    </row>
    <row r="324" spans="1:4" ht="15">
      <c r="A324" s="2546" t="s">
        <v>6574</v>
      </c>
      <c r="B324" s="114" t="s">
        <v>2199</v>
      </c>
      <c r="C324" s="2546" t="s">
        <v>968</v>
      </c>
      <c r="D324" s="121">
        <v>0</v>
      </c>
    </row>
    <row r="325" spans="1:4" ht="15">
      <c r="A325" s="2546" t="s">
        <v>4145</v>
      </c>
      <c r="B325" s="114" t="s">
        <v>1403</v>
      </c>
      <c r="C325" s="2546" t="s">
        <v>2494</v>
      </c>
      <c r="D325" s="121">
        <v>748036.26487841003</v>
      </c>
    </row>
    <row r="326" spans="1:4" ht="15">
      <c r="A326" s="2546" t="s">
        <v>4146</v>
      </c>
      <c r="B326" s="114" t="s">
        <v>2866</v>
      </c>
      <c r="C326" s="2546" t="s">
        <v>2987</v>
      </c>
      <c r="D326" s="121">
        <v>804178.55010739015</v>
      </c>
    </row>
    <row r="327" spans="1:4" ht="15">
      <c r="A327" s="2546" t="s">
        <v>6575</v>
      </c>
      <c r="B327" s="114" t="s">
        <v>2200</v>
      </c>
      <c r="C327" s="2546" t="s">
        <v>969</v>
      </c>
      <c r="D327" s="121">
        <v>0</v>
      </c>
    </row>
    <row r="328" spans="1:4" ht="15">
      <c r="A328" s="2546" t="s">
        <v>6576</v>
      </c>
      <c r="B328" s="114" t="s">
        <v>2420</v>
      </c>
      <c r="C328" s="2546" t="s">
        <v>577</v>
      </c>
      <c r="D328" s="121">
        <v>0</v>
      </c>
    </row>
    <row r="329" spans="1:4" ht="15">
      <c r="A329" s="2546" t="s">
        <v>6577</v>
      </c>
      <c r="B329" s="114" t="s">
        <v>2490</v>
      </c>
      <c r="C329" s="2546" t="s">
        <v>578</v>
      </c>
      <c r="D329" s="121">
        <v>542640.88492392912</v>
      </c>
    </row>
    <row r="330" spans="1:4" ht="15">
      <c r="A330" s="2546" t="s">
        <v>6578</v>
      </c>
      <c r="B330" s="114" t="s">
        <v>2270</v>
      </c>
      <c r="C330" s="2546" t="s">
        <v>397</v>
      </c>
      <c r="D330" s="121">
        <v>0</v>
      </c>
    </row>
    <row r="331" spans="1:4" ht="15">
      <c r="A331" s="2546" t="s">
        <v>6579</v>
      </c>
      <c r="B331" s="114" t="s">
        <v>2550</v>
      </c>
      <c r="C331" s="2546" t="s">
        <v>398</v>
      </c>
      <c r="D331" s="121">
        <v>0</v>
      </c>
    </row>
    <row r="332" spans="1:4" ht="15">
      <c r="A332" s="2546" t="s">
        <v>6580</v>
      </c>
      <c r="B332" s="114" t="s">
        <v>2132</v>
      </c>
      <c r="C332" s="2546" t="s">
        <v>2726</v>
      </c>
      <c r="D332" s="121">
        <v>0</v>
      </c>
    </row>
    <row r="333" spans="1:4" ht="15">
      <c r="A333" s="2546" t="s">
        <v>6582</v>
      </c>
      <c r="B333" s="114" t="s">
        <v>863</v>
      </c>
      <c r="C333" s="2546" t="s">
        <v>400</v>
      </c>
      <c r="D333" s="121">
        <v>0</v>
      </c>
    </row>
    <row r="334" spans="1:4" ht="15">
      <c r="A334" s="2546" t="s">
        <v>6583</v>
      </c>
      <c r="B334" s="114" t="s">
        <v>2817</v>
      </c>
      <c r="C334" s="2546" t="s">
        <v>401</v>
      </c>
      <c r="D334" s="121">
        <v>0</v>
      </c>
    </row>
    <row r="335" spans="1:4" ht="15">
      <c r="A335" s="2546" t="s">
        <v>4147</v>
      </c>
      <c r="B335" s="114" t="s">
        <v>533</v>
      </c>
      <c r="C335" s="2546" t="s">
        <v>98</v>
      </c>
      <c r="D335" s="121">
        <v>0</v>
      </c>
    </row>
    <row r="336" spans="1:4" ht="15">
      <c r="A336" s="2546" t="s">
        <v>6584</v>
      </c>
      <c r="B336" s="114" t="s">
        <v>2818</v>
      </c>
      <c r="C336" s="2546" t="s">
        <v>402</v>
      </c>
      <c r="D336" s="121">
        <v>0</v>
      </c>
    </row>
    <row r="337" spans="1:4" ht="15">
      <c r="A337" s="2546" t="s">
        <v>4148</v>
      </c>
      <c r="B337" s="114" t="s">
        <v>1604</v>
      </c>
      <c r="C337" s="2546" t="s">
        <v>1666</v>
      </c>
      <c r="D337" s="121">
        <v>0</v>
      </c>
    </row>
    <row r="338" spans="1:4" ht="15">
      <c r="A338" s="2546" t="s">
        <v>6585</v>
      </c>
      <c r="B338" s="114" t="s">
        <v>1872</v>
      </c>
      <c r="C338" s="2546" t="s">
        <v>403</v>
      </c>
      <c r="D338" s="121">
        <v>157452.29247117849</v>
      </c>
    </row>
    <row r="339" spans="1:4" ht="15">
      <c r="A339" s="2546" t="s">
        <v>7501</v>
      </c>
      <c r="B339" s="114" t="s">
        <v>1873</v>
      </c>
      <c r="C339" s="2546" t="s">
        <v>404</v>
      </c>
      <c r="D339" s="121">
        <v>98640.792746283201</v>
      </c>
    </row>
    <row r="340" spans="1:4" ht="15">
      <c r="A340" s="2546" t="s">
        <v>7502</v>
      </c>
      <c r="B340" s="114" t="s">
        <v>2139</v>
      </c>
      <c r="C340" s="2546" t="s">
        <v>1189</v>
      </c>
      <c r="D340" s="121">
        <v>0</v>
      </c>
    </row>
    <row r="341" spans="1:4" ht="15">
      <c r="A341" s="2546" t="s">
        <v>6586</v>
      </c>
      <c r="B341" s="114" t="s">
        <v>1636</v>
      </c>
      <c r="C341" s="2546" t="s">
        <v>406</v>
      </c>
      <c r="D341" s="121">
        <v>0</v>
      </c>
    </row>
    <row r="342" spans="1:4" ht="15">
      <c r="A342" s="2546" t="s">
        <v>7503</v>
      </c>
      <c r="B342" s="114" t="s">
        <v>2474</v>
      </c>
      <c r="C342" s="2546" t="s">
        <v>2004</v>
      </c>
      <c r="D342" s="121">
        <v>0</v>
      </c>
    </row>
    <row r="343" spans="1:4" ht="15">
      <c r="A343" s="2546" t="s">
        <v>6587</v>
      </c>
      <c r="B343" s="114" t="s">
        <v>2475</v>
      </c>
      <c r="C343" s="2546" t="s">
        <v>2005</v>
      </c>
      <c r="D343" s="121">
        <v>67951.581105250123</v>
      </c>
    </row>
    <row r="344" spans="1:4" ht="15">
      <c r="A344" s="2546" t="s">
        <v>6588</v>
      </c>
      <c r="B344" s="114" t="s">
        <v>2794</v>
      </c>
      <c r="C344" s="2546" t="s">
        <v>2006</v>
      </c>
      <c r="D344" s="121">
        <v>0</v>
      </c>
    </row>
    <row r="345" spans="1:4" ht="15">
      <c r="A345" s="2546" t="s">
        <v>4149</v>
      </c>
      <c r="B345" s="114" t="s">
        <v>1019</v>
      </c>
      <c r="C345" s="2546" t="s">
        <v>973</v>
      </c>
      <c r="D345" s="121">
        <v>180221.19392594093</v>
      </c>
    </row>
    <row r="346" spans="1:4" ht="15">
      <c r="A346" s="2546" t="s">
        <v>6589</v>
      </c>
      <c r="B346" s="114" t="s">
        <v>2795</v>
      </c>
      <c r="C346" s="2546" t="s">
        <v>1190</v>
      </c>
      <c r="D346" s="121">
        <v>121553.48052060144</v>
      </c>
    </row>
    <row r="347" spans="1:4" ht="15">
      <c r="A347" s="2546" t="s">
        <v>6590</v>
      </c>
      <c r="B347" s="114" t="s">
        <v>2796</v>
      </c>
      <c r="C347" s="2546" t="s">
        <v>1626</v>
      </c>
      <c r="D347" s="121">
        <v>74187.950837662429</v>
      </c>
    </row>
    <row r="348" spans="1:4" ht="15">
      <c r="A348" s="2546" t="s">
        <v>6591</v>
      </c>
      <c r="B348" s="114" t="s">
        <v>2118</v>
      </c>
      <c r="C348" s="2546" t="s">
        <v>1627</v>
      </c>
      <c r="D348" s="121">
        <v>0</v>
      </c>
    </row>
    <row r="349" spans="1:4" ht="15">
      <c r="A349" s="2546" t="s">
        <v>6592</v>
      </c>
      <c r="B349" s="114" t="s">
        <v>2119</v>
      </c>
      <c r="C349" s="2546" t="s">
        <v>1628</v>
      </c>
      <c r="D349" s="121">
        <v>0</v>
      </c>
    </row>
    <row r="350" spans="1:4" ht="15">
      <c r="A350" s="2546" t="s">
        <v>4150</v>
      </c>
      <c r="B350" s="114" t="s">
        <v>2301</v>
      </c>
      <c r="C350" s="2546" t="s">
        <v>1540</v>
      </c>
      <c r="D350" s="121">
        <v>800533.71165797871</v>
      </c>
    </row>
    <row r="351" spans="1:4" ht="15">
      <c r="A351" s="2546" t="s">
        <v>6593</v>
      </c>
      <c r="B351" s="114" t="s">
        <v>2313</v>
      </c>
      <c r="C351" s="2546" t="s">
        <v>1629</v>
      </c>
      <c r="D351" s="121">
        <v>0</v>
      </c>
    </row>
    <row r="352" spans="1:4" ht="15">
      <c r="A352" s="2546" t="s">
        <v>4151</v>
      </c>
      <c r="B352" s="114" t="s">
        <v>1897</v>
      </c>
      <c r="C352" s="2546" t="s">
        <v>1757</v>
      </c>
      <c r="D352" s="121">
        <v>0</v>
      </c>
    </row>
    <row r="353" spans="1:4" ht="15">
      <c r="A353" s="2546" t="s">
        <v>5419</v>
      </c>
      <c r="B353" s="114" t="s">
        <v>1107</v>
      </c>
      <c r="C353" s="2546" t="s">
        <v>1630</v>
      </c>
      <c r="D353" s="121">
        <v>0</v>
      </c>
    </row>
    <row r="354" spans="1:4" ht="15">
      <c r="A354" s="2546" t="s">
        <v>6594</v>
      </c>
      <c r="B354" s="114" t="s">
        <v>1108</v>
      </c>
      <c r="C354" s="2546" t="s">
        <v>1631</v>
      </c>
      <c r="D354" s="121">
        <v>0</v>
      </c>
    </row>
    <row r="355" spans="1:4" ht="15">
      <c r="A355" s="2546" t="s">
        <v>4152</v>
      </c>
      <c r="B355" s="114" t="s">
        <v>1276</v>
      </c>
      <c r="C355" s="2546" t="s">
        <v>2731</v>
      </c>
      <c r="D355" s="121">
        <v>0</v>
      </c>
    </row>
    <row r="356" spans="1:4" ht="15">
      <c r="A356" s="2546" t="s">
        <v>4153</v>
      </c>
      <c r="B356" s="114" t="s">
        <v>897</v>
      </c>
      <c r="C356" s="2546" t="s">
        <v>1849</v>
      </c>
      <c r="D356" s="121">
        <v>0</v>
      </c>
    </row>
    <row r="357" spans="1:4" ht="15">
      <c r="A357" s="2546" t="s">
        <v>6595</v>
      </c>
      <c r="B357" s="114" t="s">
        <v>898</v>
      </c>
      <c r="C357" s="2546" t="s">
        <v>1850</v>
      </c>
      <c r="D357" s="121">
        <v>0</v>
      </c>
    </row>
    <row r="358" spans="1:4" ht="15">
      <c r="A358" s="2546" t="s">
        <v>4154</v>
      </c>
      <c r="B358" s="114" t="s">
        <v>1404</v>
      </c>
      <c r="C358" s="2546" t="s">
        <v>2706</v>
      </c>
      <c r="D358" s="121">
        <v>0</v>
      </c>
    </row>
    <row r="359" spans="1:4" ht="15">
      <c r="A359" s="2546" t="s">
        <v>4155</v>
      </c>
      <c r="B359" s="114" t="s">
        <v>1405</v>
      </c>
      <c r="C359" s="2546" t="s">
        <v>1511</v>
      </c>
      <c r="D359" s="121">
        <v>0</v>
      </c>
    </row>
    <row r="360" spans="1:4" ht="15">
      <c r="A360" s="2546" t="s">
        <v>6596</v>
      </c>
      <c r="B360" s="114" t="s">
        <v>1650</v>
      </c>
      <c r="C360" s="2546" t="s">
        <v>1851</v>
      </c>
      <c r="D360" s="121">
        <v>0</v>
      </c>
    </row>
    <row r="361" spans="1:4" ht="15">
      <c r="A361" s="2546" t="s">
        <v>4156</v>
      </c>
      <c r="B361" s="114" t="s">
        <v>243</v>
      </c>
      <c r="C361" s="2546" t="s">
        <v>2410</v>
      </c>
      <c r="D361" s="121">
        <v>0</v>
      </c>
    </row>
    <row r="362" spans="1:4" ht="15">
      <c r="A362" s="2546" t="s">
        <v>6597</v>
      </c>
      <c r="B362" s="114" t="s">
        <v>2977</v>
      </c>
      <c r="C362" s="2546" t="s">
        <v>1191</v>
      </c>
      <c r="D362" s="121">
        <v>8983.7499456700025</v>
      </c>
    </row>
    <row r="363" spans="1:4" ht="15">
      <c r="A363" s="2546" t="s">
        <v>4157</v>
      </c>
      <c r="B363" s="114" t="s">
        <v>1483</v>
      </c>
      <c r="C363" s="2546" t="s">
        <v>1948</v>
      </c>
      <c r="D363" s="121">
        <v>0</v>
      </c>
    </row>
    <row r="364" spans="1:4" ht="15">
      <c r="A364" s="2546" t="s">
        <v>6598</v>
      </c>
      <c r="B364" s="114" t="s">
        <v>1461</v>
      </c>
      <c r="C364" s="2546" t="s">
        <v>250</v>
      </c>
      <c r="D364" s="121">
        <v>0</v>
      </c>
    </row>
    <row r="365" spans="1:4" ht="15">
      <c r="A365" s="2546" t="s">
        <v>6599</v>
      </c>
      <c r="B365" s="114" t="s">
        <v>1462</v>
      </c>
      <c r="C365" s="2546" t="s">
        <v>251</v>
      </c>
      <c r="D365" s="121">
        <v>126886.1194592955</v>
      </c>
    </row>
    <row r="366" spans="1:4" ht="15">
      <c r="A366" s="2546" t="s">
        <v>6600</v>
      </c>
      <c r="B366" s="114" t="s">
        <v>1463</v>
      </c>
      <c r="C366" s="2546" t="s">
        <v>252</v>
      </c>
      <c r="D366" s="121">
        <v>116503.58917673861</v>
      </c>
    </row>
    <row r="367" spans="1:4" ht="15">
      <c r="A367" s="2546" t="s">
        <v>5440</v>
      </c>
      <c r="B367" s="114" t="s">
        <v>498</v>
      </c>
      <c r="C367" s="2546" t="s">
        <v>2436</v>
      </c>
      <c r="D367" s="121">
        <v>0</v>
      </c>
    </row>
    <row r="368" spans="1:4" ht="15">
      <c r="A368" s="2546" t="s">
        <v>6601</v>
      </c>
      <c r="B368" s="114" t="s">
        <v>2504</v>
      </c>
      <c r="C368" s="2546" t="s">
        <v>253</v>
      </c>
      <c r="D368" s="121">
        <v>0</v>
      </c>
    </row>
    <row r="369" spans="1:4" ht="15">
      <c r="A369" s="2546" t="s">
        <v>6602</v>
      </c>
      <c r="B369" s="114" t="s">
        <v>3035</v>
      </c>
      <c r="C369" s="2546" t="s">
        <v>254</v>
      </c>
      <c r="D369" s="121">
        <v>0</v>
      </c>
    </row>
    <row r="370" spans="1:4" ht="15">
      <c r="A370" s="2546" t="s">
        <v>4158</v>
      </c>
      <c r="B370" s="114" t="s">
        <v>1702</v>
      </c>
      <c r="C370" s="2546" t="s">
        <v>2210</v>
      </c>
      <c r="D370" s="121">
        <v>0</v>
      </c>
    </row>
    <row r="371" spans="1:4" ht="15">
      <c r="A371" s="2546" t="s">
        <v>6603</v>
      </c>
      <c r="B371" s="114" t="s">
        <v>3036</v>
      </c>
      <c r="C371" s="2546" t="s">
        <v>255</v>
      </c>
      <c r="D371" s="121">
        <v>83845.276964875768</v>
      </c>
    </row>
    <row r="372" spans="1:4" ht="15">
      <c r="A372" s="2546" t="s">
        <v>6604</v>
      </c>
      <c r="B372" s="114" t="s">
        <v>3037</v>
      </c>
      <c r="C372" s="2546" t="s">
        <v>1192</v>
      </c>
      <c r="D372" s="121">
        <v>0</v>
      </c>
    </row>
    <row r="373" spans="1:4" ht="15">
      <c r="A373" s="2546" t="s">
        <v>4159</v>
      </c>
      <c r="B373" s="114" t="s">
        <v>3038</v>
      </c>
      <c r="C373" s="2546" t="s">
        <v>257</v>
      </c>
      <c r="D373" s="121">
        <v>4459.7884283703652</v>
      </c>
    </row>
    <row r="374" spans="1:4" ht="15">
      <c r="A374" s="2546" t="s">
        <v>6605</v>
      </c>
      <c r="B374" s="114" t="s">
        <v>3039</v>
      </c>
      <c r="C374" s="2546" t="s">
        <v>258</v>
      </c>
      <c r="D374" s="121">
        <v>0</v>
      </c>
    </row>
    <row r="375" spans="1:4" ht="15">
      <c r="A375" s="2546" t="s">
        <v>7504</v>
      </c>
      <c r="B375" s="114" t="s">
        <v>2456</v>
      </c>
      <c r="C375" s="2546" t="s">
        <v>259</v>
      </c>
      <c r="D375" s="121">
        <v>0</v>
      </c>
    </row>
    <row r="376" spans="1:4" ht="15">
      <c r="A376" s="2546" t="s">
        <v>4160</v>
      </c>
      <c r="B376" s="114" t="s">
        <v>537</v>
      </c>
      <c r="C376" s="2546" t="s">
        <v>1416</v>
      </c>
      <c r="D376" s="121">
        <v>0</v>
      </c>
    </row>
    <row r="377" spans="1:4" ht="15">
      <c r="A377" s="2546" t="s">
        <v>4161</v>
      </c>
      <c r="B377" s="114" t="s">
        <v>535</v>
      </c>
      <c r="C377" s="2546" t="s">
        <v>1414</v>
      </c>
      <c r="D377" s="121">
        <v>0</v>
      </c>
    </row>
    <row r="378" spans="1:4" ht="15">
      <c r="A378" s="2546" t="s">
        <v>4162</v>
      </c>
      <c r="B378" s="114" t="s">
        <v>2457</v>
      </c>
      <c r="C378" s="2546" t="s">
        <v>260</v>
      </c>
      <c r="D378" s="121">
        <v>0</v>
      </c>
    </row>
    <row r="379" spans="1:4" ht="15">
      <c r="A379" s="2546" t="s">
        <v>5467</v>
      </c>
      <c r="B379" s="114" t="s">
        <v>381</v>
      </c>
      <c r="C379" s="2546" t="s">
        <v>324</v>
      </c>
      <c r="D379" s="121">
        <v>0</v>
      </c>
    </row>
    <row r="380" spans="1:4" ht="15">
      <c r="A380" s="2546" t="s">
        <v>6606</v>
      </c>
      <c r="B380" s="114" t="s">
        <v>2458</v>
      </c>
      <c r="C380" s="2546" t="s">
        <v>261</v>
      </c>
      <c r="D380" s="121">
        <v>0</v>
      </c>
    </row>
    <row r="381" spans="1:4" ht="15">
      <c r="A381" s="2546" t="s">
        <v>7505</v>
      </c>
      <c r="B381" s="114" t="s">
        <v>2459</v>
      </c>
      <c r="C381" s="2546" t="s">
        <v>262</v>
      </c>
      <c r="D381" s="121">
        <v>7190.7634910747111</v>
      </c>
    </row>
    <row r="382" spans="1:4" ht="15">
      <c r="A382" s="2546" t="s">
        <v>6607</v>
      </c>
      <c r="B382" s="114" t="s">
        <v>547</v>
      </c>
      <c r="C382" s="2546" t="s">
        <v>263</v>
      </c>
      <c r="D382" s="121">
        <v>0</v>
      </c>
    </row>
    <row r="383" spans="1:4" ht="15">
      <c r="A383" s="2546" t="s">
        <v>7506</v>
      </c>
      <c r="B383" s="114" t="s">
        <v>2232</v>
      </c>
      <c r="C383" s="2546" t="s">
        <v>264</v>
      </c>
      <c r="D383" s="121">
        <v>0</v>
      </c>
    </row>
    <row r="384" spans="1:4" ht="15">
      <c r="A384" s="2546" t="s">
        <v>7507</v>
      </c>
      <c r="B384" s="114" t="s">
        <v>2366</v>
      </c>
      <c r="C384" s="2546" t="s">
        <v>265</v>
      </c>
      <c r="D384" s="121">
        <v>0</v>
      </c>
    </row>
    <row r="385" spans="1:4" ht="15">
      <c r="A385" s="2546" t="s">
        <v>7508</v>
      </c>
      <c r="B385" s="114" t="s">
        <v>2367</v>
      </c>
      <c r="C385" s="2546" t="s">
        <v>266</v>
      </c>
      <c r="D385" s="121">
        <v>0</v>
      </c>
    </row>
    <row r="386" spans="1:4" ht="15">
      <c r="A386" s="2546" t="s">
        <v>6608</v>
      </c>
      <c r="B386" s="114" t="s">
        <v>169</v>
      </c>
      <c r="C386" s="2546" t="s">
        <v>267</v>
      </c>
      <c r="D386" s="121">
        <v>0</v>
      </c>
    </row>
    <row r="387" spans="1:4" ht="15">
      <c r="A387" s="2546" t="s">
        <v>6609</v>
      </c>
      <c r="B387" s="114" t="s">
        <v>170</v>
      </c>
      <c r="C387" s="2546" t="s">
        <v>1193</v>
      </c>
      <c r="D387" s="121">
        <v>0</v>
      </c>
    </row>
    <row r="388" spans="1:4" ht="15">
      <c r="A388" s="2546" t="s">
        <v>4163</v>
      </c>
      <c r="B388" s="114" t="s">
        <v>2867</v>
      </c>
      <c r="C388" s="2546" t="s">
        <v>2724</v>
      </c>
      <c r="D388" s="121">
        <v>0</v>
      </c>
    </row>
    <row r="389" spans="1:4" ht="15">
      <c r="A389" s="2546" t="s">
        <v>6610</v>
      </c>
      <c r="B389" s="114" t="s">
        <v>2674</v>
      </c>
      <c r="C389" s="2546" t="s">
        <v>269</v>
      </c>
      <c r="D389" s="121">
        <v>0</v>
      </c>
    </row>
    <row r="390" spans="1:4" ht="15">
      <c r="A390" s="2546" t="s">
        <v>6611</v>
      </c>
      <c r="B390" s="114" t="s">
        <v>1281</v>
      </c>
      <c r="C390" s="2546" t="s">
        <v>1194</v>
      </c>
      <c r="D390" s="121">
        <v>0</v>
      </c>
    </row>
    <row r="391" spans="1:4" ht="15">
      <c r="A391" s="2546" t="s">
        <v>6612</v>
      </c>
      <c r="B391" s="114" t="s">
        <v>1282</v>
      </c>
      <c r="C391" s="2546" t="s">
        <v>2991</v>
      </c>
      <c r="D391" s="121">
        <v>58548.534811613674</v>
      </c>
    </row>
    <row r="392" spans="1:4" ht="15">
      <c r="A392" s="2546" t="s">
        <v>6613</v>
      </c>
      <c r="B392" s="114" t="s">
        <v>2416</v>
      </c>
      <c r="C392" s="2546" t="s">
        <v>518</v>
      </c>
      <c r="D392" s="121">
        <v>1206.2610700990926</v>
      </c>
    </row>
    <row r="393" spans="1:4" ht="15">
      <c r="A393" s="2546" t="s">
        <v>7509</v>
      </c>
      <c r="B393" s="114" t="s">
        <v>2417</v>
      </c>
      <c r="C393" s="2546" t="s">
        <v>519</v>
      </c>
      <c r="D393" s="121">
        <v>0</v>
      </c>
    </row>
    <row r="394" spans="1:4" ht="15">
      <c r="A394" s="2546" t="s">
        <v>6614</v>
      </c>
      <c r="B394" s="114" t="s">
        <v>1158</v>
      </c>
      <c r="C394" s="2546" t="s">
        <v>520</v>
      </c>
      <c r="D394" s="121">
        <v>0</v>
      </c>
    </row>
    <row r="395" spans="1:4" ht="15">
      <c r="A395" s="2546" t="s">
        <v>4164</v>
      </c>
      <c r="B395" s="114" t="s">
        <v>1312</v>
      </c>
      <c r="C395" s="2546" t="s">
        <v>1684</v>
      </c>
      <c r="D395" s="121">
        <v>0</v>
      </c>
    </row>
    <row r="396" spans="1:4" ht="15">
      <c r="A396" s="2546" t="s">
        <v>6615</v>
      </c>
      <c r="B396" s="114" t="s">
        <v>416</v>
      </c>
      <c r="C396" s="2546" t="s">
        <v>521</v>
      </c>
      <c r="D396" s="121">
        <v>1899.6199331920511</v>
      </c>
    </row>
    <row r="397" spans="1:4" ht="15">
      <c r="A397" s="2546" t="s">
        <v>4165</v>
      </c>
      <c r="B397" s="114" t="s">
        <v>2608</v>
      </c>
      <c r="C397" s="2546" t="s">
        <v>949</v>
      </c>
      <c r="D397" s="121">
        <v>0</v>
      </c>
    </row>
    <row r="398" spans="1:4" ht="15">
      <c r="A398" s="2546" t="s">
        <v>4166</v>
      </c>
      <c r="B398" s="114" t="s">
        <v>1346</v>
      </c>
      <c r="C398" s="2546" t="s">
        <v>328</v>
      </c>
      <c r="D398" s="121">
        <v>0</v>
      </c>
    </row>
    <row r="399" spans="1:4" ht="15">
      <c r="A399" s="2546" t="s">
        <v>4167</v>
      </c>
      <c r="B399" s="114" t="s">
        <v>639</v>
      </c>
      <c r="C399" s="2546" t="s">
        <v>797</v>
      </c>
      <c r="D399" s="121">
        <v>0</v>
      </c>
    </row>
    <row r="400" spans="1:4" ht="15">
      <c r="A400" s="2546" t="s">
        <v>4168</v>
      </c>
      <c r="B400" s="114" t="s">
        <v>222</v>
      </c>
      <c r="C400" s="2546" t="s">
        <v>2264</v>
      </c>
      <c r="D400" s="121">
        <v>0</v>
      </c>
    </row>
    <row r="401" spans="1:4" ht="15">
      <c r="A401" s="2546" t="s">
        <v>4169</v>
      </c>
      <c r="B401" s="114" t="s">
        <v>2641</v>
      </c>
      <c r="C401" s="2546" t="s">
        <v>522</v>
      </c>
      <c r="D401" s="121">
        <v>0</v>
      </c>
    </row>
    <row r="402" spans="1:4" ht="15">
      <c r="A402" s="2546" t="s">
        <v>4170</v>
      </c>
      <c r="B402" s="114" t="s">
        <v>2758</v>
      </c>
      <c r="C402" s="2546" t="s">
        <v>458</v>
      </c>
      <c r="D402" s="121">
        <v>0</v>
      </c>
    </row>
    <row r="403" spans="1:4" ht="15">
      <c r="A403" s="2546" t="s">
        <v>6616</v>
      </c>
      <c r="B403" s="114" t="s">
        <v>2642</v>
      </c>
      <c r="C403" s="2546" t="s">
        <v>523</v>
      </c>
      <c r="D403" s="121">
        <v>0</v>
      </c>
    </row>
    <row r="404" spans="1:4" ht="15">
      <c r="A404" s="2546" t="s">
        <v>6617</v>
      </c>
      <c r="B404" s="114" t="s">
        <v>2481</v>
      </c>
      <c r="C404" s="2546" t="s">
        <v>524</v>
      </c>
      <c r="D404" s="121">
        <v>0</v>
      </c>
    </row>
    <row r="405" spans="1:4" ht="15">
      <c r="A405" s="2546" t="s">
        <v>4171</v>
      </c>
      <c r="B405" s="114" t="s">
        <v>1608</v>
      </c>
      <c r="C405" s="2546" t="s">
        <v>1670</v>
      </c>
      <c r="D405" s="121">
        <v>0</v>
      </c>
    </row>
    <row r="406" spans="1:4" ht="15">
      <c r="A406" s="2546" t="s">
        <v>6618</v>
      </c>
      <c r="B406" s="114" t="s">
        <v>2300</v>
      </c>
      <c r="C406" s="2546" t="s">
        <v>525</v>
      </c>
      <c r="D406" s="121">
        <v>0</v>
      </c>
    </row>
    <row r="407" spans="1:4" ht="15">
      <c r="A407" s="2546" t="s">
        <v>6619</v>
      </c>
      <c r="B407" s="114" t="s">
        <v>2921</v>
      </c>
      <c r="C407" s="2546" t="s">
        <v>526</v>
      </c>
      <c r="D407" s="121">
        <v>0</v>
      </c>
    </row>
    <row r="408" spans="1:4" ht="15">
      <c r="A408" s="2546" t="s">
        <v>4172</v>
      </c>
      <c r="B408" s="114" t="s">
        <v>1278</v>
      </c>
      <c r="C408" s="2546" t="s">
        <v>2736</v>
      </c>
      <c r="D408" s="121">
        <v>0</v>
      </c>
    </row>
    <row r="409" spans="1:4" ht="15">
      <c r="A409" s="2546" t="s">
        <v>4173</v>
      </c>
      <c r="B409" s="114" t="s">
        <v>55</v>
      </c>
      <c r="C409" s="2546" t="s">
        <v>450</v>
      </c>
      <c r="D409" s="121">
        <v>0</v>
      </c>
    </row>
    <row r="410" spans="1:4" ht="15">
      <c r="A410" s="2546" t="s">
        <v>4174</v>
      </c>
      <c r="B410" s="114" t="s">
        <v>62</v>
      </c>
      <c r="C410" s="2546" t="s">
        <v>2980</v>
      </c>
      <c r="D410" s="121">
        <v>0</v>
      </c>
    </row>
    <row r="411" spans="1:4" ht="15">
      <c r="A411" s="2546" t="s">
        <v>6620</v>
      </c>
      <c r="B411" s="114" t="s">
        <v>2922</v>
      </c>
      <c r="C411" s="2546" t="s">
        <v>527</v>
      </c>
      <c r="D411" s="121">
        <v>0</v>
      </c>
    </row>
    <row r="412" spans="1:4" ht="15">
      <c r="A412" s="2546" t="s">
        <v>4175</v>
      </c>
      <c r="B412" s="114" t="s">
        <v>234</v>
      </c>
      <c r="C412" s="2546" t="s">
        <v>302</v>
      </c>
      <c r="D412" s="121">
        <v>0</v>
      </c>
    </row>
    <row r="413" spans="1:4" ht="15">
      <c r="A413" s="2546" t="s">
        <v>6621</v>
      </c>
      <c r="B413" s="114" t="s">
        <v>743</v>
      </c>
      <c r="C413" s="2546" t="s">
        <v>528</v>
      </c>
      <c r="D413" s="121">
        <v>0</v>
      </c>
    </row>
    <row r="414" spans="1:4" ht="15">
      <c r="A414" s="2546" t="s">
        <v>6622</v>
      </c>
      <c r="B414" s="114" t="s">
        <v>918</v>
      </c>
      <c r="C414" s="2546" t="s">
        <v>2505</v>
      </c>
      <c r="D414" s="121">
        <v>0</v>
      </c>
    </row>
    <row r="415" spans="1:4" ht="15">
      <c r="A415" s="2546" t="s">
        <v>6623</v>
      </c>
      <c r="B415" s="114" t="s">
        <v>2221</v>
      </c>
      <c r="C415" s="2546" t="s">
        <v>2506</v>
      </c>
      <c r="D415" s="121">
        <v>0</v>
      </c>
    </row>
    <row r="416" spans="1:4" ht="15">
      <c r="A416" s="2546" t="s">
        <v>6624</v>
      </c>
      <c r="B416" s="114" t="s">
        <v>2222</v>
      </c>
      <c r="C416" s="2546" t="s">
        <v>2507</v>
      </c>
      <c r="D416" s="121">
        <v>0</v>
      </c>
    </row>
    <row r="417" spans="1:4" ht="15">
      <c r="A417" s="2546" t="s">
        <v>4176</v>
      </c>
      <c r="B417" s="114" t="s">
        <v>979</v>
      </c>
      <c r="C417" s="2546" t="s">
        <v>2734</v>
      </c>
      <c r="D417" s="121">
        <v>0</v>
      </c>
    </row>
    <row r="418" spans="1:4" ht="15">
      <c r="A418" s="2546" t="s">
        <v>7510</v>
      </c>
      <c r="B418" s="114" t="s">
        <v>2223</v>
      </c>
      <c r="C418" s="2546" t="s">
        <v>2508</v>
      </c>
      <c r="D418" s="121">
        <v>0</v>
      </c>
    </row>
    <row r="419" spans="1:4" ht="15">
      <c r="A419" s="2546" t="s">
        <v>6625</v>
      </c>
      <c r="B419" s="114" t="s">
        <v>1692</v>
      </c>
      <c r="C419" s="2546" t="s">
        <v>2509</v>
      </c>
      <c r="D419" s="121">
        <v>488926.07947241655</v>
      </c>
    </row>
    <row r="420" spans="1:4" ht="15">
      <c r="A420" s="2546" t="s">
        <v>6626</v>
      </c>
      <c r="B420" s="114" t="s">
        <v>1693</v>
      </c>
      <c r="C420" s="2546" t="s">
        <v>2510</v>
      </c>
      <c r="D420" s="121">
        <v>32129.969863159429</v>
      </c>
    </row>
    <row r="421" spans="1:4" ht="15">
      <c r="A421" s="2546" t="s">
        <v>6627</v>
      </c>
      <c r="B421" s="114" t="s">
        <v>1694</v>
      </c>
      <c r="C421" s="2546" t="s">
        <v>2368</v>
      </c>
      <c r="D421" s="121">
        <v>0</v>
      </c>
    </row>
    <row r="422" spans="1:4" ht="15">
      <c r="A422" s="2546" t="s">
        <v>6628</v>
      </c>
      <c r="B422" s="114" t="s">
        <v>1765</v>
      </c>
      <c r="C422" s="2546" t="s">
        <v>2369</v>
      </c>
      <c r="D422" s="121">
        <v>0</v>
      </c>
    </row>
    <row r="423" spans="1:4" ht="15">
      <c r="A423" s="2546" t="s">
        <v>6629</v>
      </c>
      <c r="B423" s="114" t="s">
        <v>1766</v>
      </c>
      <c r="C423" s="2546" t="s">
        <v>182</v>
      </c>
      <c r="D423" s="121">
        <v>55796.812058503623</v>
      </c>
    </row>
    <row r="424" spans="1:4" ht="15">
      <c r="A424" s="2546" t="s">
        <v>6630</v>
      </c>
      <c r="B424" s="114" t="s">
        <v>539</v>
      </c>
      <c r="C424" s="2546" t="s">
        <v>183</v>
      </c>
      <c r="D424" s="121">
        <v>1683.4579494302939</v>
      </c>
    </row>
    <row r="425" spans="1:4" ht="15">
      <c r="A425" s="2546" t="s">
        <v>6631</v>
      </c>
      <c r="B425" s="114" t="s">
        <v>506</v>
      </c>
      <c r="C425" s="2546" t="s">
        <v>184</v>
      </c>
      <c r="D425" s="121">
        <v>0</v>
      </c>
    </row>
    <row r="426" spans="1:4" ht="15">
      <c r="A426" s="2546" t="s">
        <v>4177</v>
      </c>
      <c r="B426" s="114" t="s">
        <v>507</v>
      </c>
      <c r="C426" s="2546" t="s">
        <v>936</v>
      </c>
      <c r="D426" s="121">
        <v>54423.121951874782</v>
      </c>
    </row>
    <row r="427" spans="1:4" ht="15">
      <c r="A427" s="2546" t="s">
        <v>7511</v>
      </c>
      <c r="B427" s="114" t="s">
        <v>508</v>
      </c>
      <c r="C427" s="2546" t="s">
        <v>185</v>
      </c>
      <c r="D427" s="121">
        <v>25387.935490161581</v>
      </c>
    </row>
    <row r="428" spans="1:4" ht="15">
      <c r="A428" s="2546" t="s">
        <v>6632</v>
      </c>
      <c r="B428" s="114" t="s">
        <v>509</v>
      </c>
      <c r="C428" s="2546" t="s">
        <v>186</v>
      </c>
      <c r="D428" s="121">
        <v>0</v>
      </c>
    </row>
    <row r="429" spans="1:4" ht="15">
      <c r="A429" s="2546" t="s">
        <v>6633</v>
      </c>
      <c r="B429" s="114" t="s">
        <v>1304</v>
      </c>
      <c r="C429" s="2546" t="s">
        <v>1195</v>
      </c>
      <c r="D429" s="121">
        <v>0</v>
      </c>
    </row>
    <row r="430" spans="1:4" ht="15">
      <c r="A430" s="2546" t="s">
        <v>4178</v>
      </c>
      <c r="B430" s="114" t="s">
        <v>1678</v>
      </c>
      <c r="C430" s="2546" t="s">
        <v>1212</v>
      </c>
      <c r="D430" s="121">
        <v>0</v>
      </c>
    </row>
    <row r="431" spans="1:4" ht="15">
      <c r="A431" s="2546" t="s">
        <v>6634</v>
      </c>
      <c r="B431" s="114" t="s">
        <v>1467</v>
      </c>
      <c r="C431" s="2546" t="s">
        <v>188</v>
      </c>
      <c r="D431" s="121">
        <v>0</v>
      </c>
    </row>
    <row r="432" spans="1:4" ht="15">
      <c r="A432" s="2546" t="s">
        <v>4179</v>
      </c>
      <c r="B432" s="114" t="s">
        <v>2129</v>
      </c>
      <c r="C432" s="2546" t="s">
        <v>42</v>
      </c>
      <c r="D432" s="121">
        <v>0</v>
      </c>
    </row>
    <row r="433" spans="1:4" ht="15">
      <c r="A433" s="2546" t="s">
        <v>6635</v>
      </c>
      <c r="B433" s="114" t="s">
        <v>1918</v>
      </c>
      <c r="C433" s="2546" t="s">
        <v>189</v>
      </c>
      <c r="D433" s="121">
        <v>0</v>
      </c>
    </row>
    <row r="434" spans="1:4" ht="15">
      <c r="A434" s="2546" t="s">
        <v>6636</v>
      </c>
      <c r="B434" s="114" t="s">
        <v>1919</v>
      </c>
      <c r="C434" s="2546" t="s">
        <v>1525</v>
      </c>
      <c r="D434" s="121">
        <v>0</v>
      </c>
    </row>
    <row r="435" spans="1:4" ht="15">
      <c r="A435" s="2546" t="s">
        <v>6637</v>
      </c>
      <c r="B435" s="114" t="s">
        <v>2912</v>
      </c>
      <c r="C435" s="2546" t="s">
        <v>1526</v>
      </c>
      <c r="D435" s="121">
        <v>0</v>
      </c>
    </row>
    <row r="436" spans="1:4" ht="15">
      <c r="A436" s="2546" t="s">
        <v>6638</v>
      </c>
      <c r="B436" s="114" t="s">
        <v>2879</v>
      </c>
      <c r="C436" s="2546" t="s">
        <v>1527</v>
      </c>
      <c r="D436" s="121">
        <v>66686.454494930193</v>
      </c>
    </row>
    <row r="437" spans="1:4" ht="15">
      <c r="A437" s="2546" t="s">
        <v>6639</v>
      </c>
      <c r="B437" s="114" t="s">
        <v>2284</v>
      </c>
      <c r="C437" s="2546" t="s">
        <v>1528</v>
      </c>
      <c r="D437" s="121">
        <v>0</v>
      </c>
    </row>
    <row r="438" spans="1:4" ht="15">
      <c r="A438" s="2546" t="s">
        <v>6640</v>
      </c>
      <c r="B438" s="114" t="s">
        <v>71</v>
      </c>
      <c r="C438" s="2546" t="s">
        <v>2995</v>
      </c>
      <c r="D438" s="121">
        <v>0</v>
      </c>
    </row>
    <row r="439" spans="1:4" ht="15">
      <c r="A439" s="2546" t="s">
        <v>4180</v>
      </c>
      <c r="B439" s="114" t="s">
        <v>1711</v>
      </c>
      <c r="C439" s="2546" t="s">
        <v>662</v>
      </c>
      <c r="D439" s="121">
        <v>0</v>
      </c>
    </row>
    <row r="440" spans="1:4" ht="15">
      <c r="A440" s="2546" t="s">
        <v>5573</v>
      </c>
      <c r="B440" s="114" t="s">
        <v>980</v>
      </c>
      <c r="C440" s="2546" t="s">
        <v>2415</v>
      </c>
      <c r="D440" s="121">
        <v>3198.0393490467145</v>
      </c>
    </row>
    <row r="441" spans="1:4" ht="15">
      <c r="A441" s="2546" t="s">
        <v>6641</v>
      </c>
      <c r="B441" s="114" t="s">
        <v>72</v>
      </c>
      <c r="C441" s="2546" t="s">
        <v>2996</v>
      </c>
      <c r="D441" s="121">
        <v>78164.752333565135</v>
      </c>
    </row>
    <row r="442" spans="1:4" ht="15">
      <c r="A442" s="2546" t="s">
        <v>4181</v>
      </c>
      <c r="B442" s="114" t="s">
        <v>2437</v>
      </c>
      <c r="C442" s="2546" t="s">
        <v>39</v>
      </c>
      <c r="D442" s="121">
        <v>0</v>
      </c>
    </row>
    <row r="443" spans="1:4" ht="15">
      <c r="A443" s="2546" t="s">
        <v>4182</v>
      </c>
      <c r="B443" s="114" t="s">
        <v>873</v>
      </c>
      <c r="C443" s="2546" t="s">
        <v>1217</v>
      </c>
      <c r="D443" s="121">
        <v>0</v>
      </c>
    </row>
    <row r="444" spans="1:4" ht="15">
      <c r="A444" s="2546" t="s">
        <v>4183</v>
      </c>
      <c r="B444" s="114" t="s">
        <v>875</v>
      </c>
      <c r="C444" s="2546" t="s">
        <v>40</v>
      </c>
      <c r="D444" s="121">
        <v>0</v>
      </c>
    </row>
    <row r="445" spans="1:4" ht="15">
      <c r="A445" s="2546" t="s">
        <v>4184</v>
      </c>
      <c r="B445" s="114" t="s">
        <v>2131</v>
      </c>
      <c r="C445" s="2546" t="s">
        <v>2725</v>
      </c>
      <c r="D445" s="121">
        <v>0</v>
      </c>
    </row>
    <row r="446" spans="1:4" ht="15">
      <c r="A446" s="2546" t="s">
        <v>4185</v>
      </c>
      <c r="B446" s="114" t="s">
        <v>2894</v>
      </c>
      <c r="C446" s="2546" t="s">
        <v>925</v>
      </c>
      <c r="D446" s="121">
        <v>0</v>
      </c>
    </row>
    <row r="447" spans="1:4" ht="15">
      <c r="A447" s="2546" t="s">
        <v>4186</v>
      </c>
      <c r="B447" s="114" t="s">
        <v>2897</v>
      </c>
      <c r="C447" s="2546" t="s">
        <v>2553</v>
      </c>
      <c r="D447" s="121">
        <v>0</v>
      </c>
    </row>
    <row r="448" spans="1:4" ht="15">
      <c r="A448" s="2546" t="s">
        <v>4187</v>
      </c>
      <c r="B448" s="114" t="s">
        <v>2903</v>
      </c>
      <c r="C448" s="2546" t="s">
        <v>45</v>
      </c>
      <c r="D448" s="121">
        <v>0</v>
      </c>
    </row>
    <row r="449" spans="1:4" ht="15">
      <c r="A449" s="2546" t="s">
        <v>4188</v>
      </c>
      <c r="B449" s="114" t="s">
        <v>239</v>
      </c>
      <c r="C449" s="2546" t="s">
        <v>1126</v>
      </c>
      <c r="D449" s="121">
        <v>0</v>
      </c>
    </row>
    <row r="450" spans="1:4" ht="15">
      <c r="A450" s="2546" t="s">
        <v>4189</v>
      </c>
      <c r="B450" s="114" t="s">
        <v>1218</v>
      </c>
      <c r="C450" s="2546" t="s">
        <v>88</v>
      </c>
      <c r="D450" s="121">
        <v>0</v>
      </c>
    </row>
    <row r="451" spans="1:4" ht="15">
      <c r="A451" s="2546" t="s">
        <v>4190</v>
      </c>
      <c r="B451" s="114" t="s">
        <v>1759</v>
      </c>
      <c r="C451" s="2546" t="s">
        <v>2998</v>
      </c>
      <c r="D451" s="121">
        <v>0</v>
      </c>
    </row>
    <row r="452" spans="1:4" ht="15">
      <c r="A452" s="2546" t="s">
        <v>4191</v>
      </c>
      <c r="B452" s="114" t="s">
        <v>65</v>
      </c>
      <c r="C452" s="2546" t="s">
        <v>2170</v>
      </c>
      <c r="D452" s="121">
        <v>0</v>
      </c>
    </row>
    <row r="453" spans="1:4" ht="15">
      <c r="A453" s="2546" t="s">
        <v>4192</v>
      </c>
      <c r="B453" s="114" t="s">
        <v>821</v>
      </c>
      <c r="C453" s="2546" t="s">
        <v>162</v>
      </c>
      <c r="D453" s="121">
        <v>0</v>
      </c>
    </row>
    <row r="454" spans="1:4" ht="15">
      <c r="A454" s="2546" t="s">
        <v>4193</v>
      </c>
      <c r="B454" s="114" t="s">
        <v>67</v>
      </c>
      <c r="C454" s="2546" t="s">
        <v>2622</v>
      </c>
      <c r="D454" s="121">
        <v>28986.936018909237</v>
      </c>
    </row>
    <row r="455" spans="1:4" ht="15">
      <c r="A455" s="2546" t="s">
        <v>4194</v>
      </c>
      <c r="B455" s="114" t="s">
        <v>554</v>
      </c>
      <c r="C455" s="2546" t="s">
        <v>2561</v>
      </c>
      <c r="D455" s="121">
        <v>0</v>
      </c>
    </row>
    <row r="456" spans="1:4" ht="15">
      <c r="A456" s="2546" t="s">
        <v>4195</v>
      </c>
      <c r="B456" s="114" t="s">
        <v>1715</v>
      </c>
      <c r="C456" s="2546" t="s">
        <v>2705</v>
      </c>
      <c r="D456" s="121">
        <v>0</v>
      </c>
    </row>
    <row r="457" spans="1:4" ht="15">
      <c r="A457" s="2546" t="s">
        <v>4196</v>
      </c>
      <c r="B457" s="114" t="s">
        <v>172</v>
      </c>
      <c r="C457" s="2546" t="s">
        <v>2464</v>
      </c>
      <c r="D457" s="121">
        <v>0</v>
      </c>
    </row>
    <row r="458" spans="1:4" ht="15">
      <c r="A458" s="2546" t="s">
        <v>4197</v>
      </c>
      <c r="B458" s="114" t="s">
        <v>2869</v>
      </c>
      <c r="C458" s="2546" t="s">
        <v>1010</v>
      </c>
      <c r="D458" s="121">
        <v>0</v>
      </c>
    </row>
    <row r="459" spans="1:4" ht="15">
      <c r="A459" s="2546" t="s">
        <v>5676</v>
      </c>
      <c r="B459" s="114" t="s">
        <v>2756</v>
      </c>
      <c r="C459" s="2546" t="s">
        <v>742</v>
      </c>
      <c r="D459" s="121">
        <v>0</v>
      </c>
    </row>
    <row r="460" spans="1:4" ht="15">
      <c r="A460" s="2546" t="s">
        <v>4198</v>
      </c>
      <c r="B460" s="114" t="s">
        <v>2133</v>
      </c>
      <c r="C460" s="2546" t="s">
        <v>2727</v>
      </c>
      <c r="D460" s="121">
        <v>0</v>
      </c>
    </row>
    <row r="461" spans="1:4" ht="15">
      <c r="A461" s="2546" t="s">
        <v>4199</v>
      </c>
      <c r="B461" s="114" t="s">
        <v>555</v>
      </c>
      <c r="C461" s="2546" t="s">
        <v>2732</v>
      </c>
      <c r="D461" s="121">
        <v>0</v>
      </c>
    </row>
    <row r="462" spans="1:4" ht="15">
      <c r="A462" s="2546" t="s">
        <v>4200</v>
      </c>
      <c r="B462" s="114" t="s">
        <v>49</v>
      </c>
      <c r="C462" s="2546" t="s">
        <v>444</v>
      </c>
      <c r="D462" s="121">
        <v>0</v>
      </c>
    </row>
    <row r="463" spans="1:4" ht="15">
      <c r="A463" s="2546" t="s">
        <v>4201</v>
      </c>
      <c r="B463" s="114" t="s">
        <v>173</v>
      </c>
      <c r="C463" s="2546" t="s">
        <v>2466</v>
      </c>
      <c r="D463" s="121">
        <v>0</v>
      </c>
    </row>
    <row r="464" spans="1:4" ht="15">
      <c r="A464" s="2546" t="s">
        <v>4202</v>
      </c>
      <c r="B464" s="114" t="s">
        <v>567</v>
      </c>
      <c r="C464" s="2546" t="s">
        <v>2562</v>
      </c>
      <c r="D464" s="121">
        <v>0</v>
      </c>
    </row>
    <row r="465" spans="1:4" ht="15">
      <c r="A465" s="2546" t="s">
        <v>6642</v>
      </c>
      <c r="B465" s="114" t="s">
        <v>1760</v>
      </c>
      <c r="C465" s="2546" t="s">
        <v>2999</v>
      </c>
      <c r="D465" s="121">
        <v>0</v>
      </c>
    </row>
    <row r="466" spans="1:4" ht="15">
      <c r="A466" s="2546" t="s">
        <v>4203</v>
      </c>
      <c r="B466" s="114" t="s">
        <v>568</v>
      </c>
      <c r="C466" s="2546" t="s">
        <v>2773</v>
      </c>
      <c r="D466" s="121">
        <v>0</v>
      </c>
    </row>
    <row r="467" spans="1:4" ht="15">
      <c r="A467" s="2546" t="s">
        <v>5694</v>
      </c>
      <c r="B467" s="114" t="s">
        <v>1733</v>
      </c>
      <c r="C467" s="2546" t="s">
        <v>1522</v>
      </c>
      <c r="D467" s="121">
        <v>0</v>
      </c>
    </row>
    <row r="468" spans="1:4" ht="15">
      <c r="A468" s="2546" t="s">
        <v>5697</v>
      </c>
      <c r="B468" s="114" t="s">
        <v>569</v>
      </c>
      <c r="C468" s="2546" t="s">
        <v>2989</v>
      </c>
      <c r="D468" s="121">
        <v>0</v>
      </c>
    </row>
    <row r="469" spans="1:4" ht="15">
      <c r="A469" s="2546" t="s">
        <v>7512</v>
      </c>
      <c r="B469" s="114" t="s">
        <v>1761</v>
      </c>
      <c r="C469" s="2546" t="s">
        <v>3000</v>
      </c>
      <c r="D469" s="121">
        <v>87021.121110232649</v>
      </c>
    </row>
    <row r="470" spans="1:4" ht="15">
      <c r="A470" s="2546" t="s">
        <v>6643</v>
      </c>
      <c r="B470" s="114" t="s">
        <v>1762</v>
      </c>
      <c r="C470" s="2546" t="s">
        <v>3001</v>
      </c>
      <c r="D470" s="121">
        <v>210099.31562343935</v>
      </c>
    </row>
    <row r="471" spans="1:4" ht="15">
      <c r="A471" s="2546" t="s">
        <v>6644</v>
      </c>
      <c r="B471" s="114" t="s">
        <v>1410</v>
      </c>
      <c r="C471" s="2546" t="s">
        <v>3002</v>
      </c>
      <c r="D471" s="121">
        <v>0</v>
      </c>
    </row>
    <row r="472" spans="1:4" ht="15">
      <c r="A472" s="2546" t="s">
        <v>4204</v>
      </c>
      <c r="B472" s="114" t="s">
        <v>2104</v>
      </c>
      <c r="C472" s="2546" t="s">
        <v>2203</v>
      </c>
      <c r="D472" s="121">
        <v>172827.29607066151</v>
      </c>
    </row>
    <row r="473" spans="1:4" ht="15">
      <c r="A473" s="2546" t="s">
        <v>7513</v>
      </c>
      <c r="B473" s="114" t="s">
        <v>1411</v>
      </c>
      <c r="C473" s="2546" t="s">
        <v>3003</v>
      </c>
      <c r="D473" s="121">
        <v>0</v>
      </c>
    </row>
    <row r="474" spans="1:4" ht="15">
      <c r="A474" s="2546" t="s">
        <v>7514</v>
      </c>
      <c r="B474" s="114" t="s">
        <v>1412</v>
      </c>
      <c r="C474" s="2546" t="s">
        <v>3004</v>
      </c>
      <c r="D474" s="121">
        <v>19993.535984678438</v>
      </c>
    </row>
    <row r="475" spans="1:4" ht="15">
      <c r="A475" s="2546" t="s">
        <v>6645</v>
      </c>
      <c r="B475" s="114" t="s">
        <v>1413</v>
      </c>
      <c r="C475" s="2546" t="s">
        <v>247</v>
      </c>
      <c r="D475" s="121">
        <v>0</v>
      </c>
    </row>
    <row r="476" spans="1:4" ht="15">
      <c r="A476" s="2546" t="s">
        <v>4205</v>
      </c>
      <c r="B476" s="114" t="s">
        <v>1991</v>
      </c>
      <c r="C476" s="2546" t="s">
        <v>1763</v>
      </c>
      <c r="D476" s="121">
        <v>633.52831401604351</v>
      </c>
    </row>
    <row r="477" spans="1:4" ht="15">
      <c r="A477" s="2546" t="s">
        <v>4206</v>
      </c>
      <c r="B477" s="114" t="s">
        <v>1709</v>
      </c>
      <c r="C477" s="2546" t="s">
        <v>660</v>
      </c>
      <c r="D477" s="121">
        <v>0</v>
      </c>
    </row>
    <row r="478" spans="1:4" ht="15">
      <c r="A478" s="2546" t="s">
        <v>4207</v>
      </c>
      <c r="B478" s="114" t="s">
        <v>208</v>
      </c>
      <c r="C478" s="2546" t="s">
        <v>248</v>
      </c>
      <c r="D478" s="121">
        <v>0</v>
      </c>
    </row>
    <row r="479" spans="1:4" ht="15">
      <c r="A479" s="2546" t="s">
        <v>4208</v>
      </c>
      <c r="B479" s="114" t="s">
        <v>1687</v>
      </c>
      <c r="C479" s="2546" t="s">
        <v>462</v>
      </c>
      <c r="D479" s="121">
        <v>0</v>
      </c>
    </row>
    <row r="480" spans="1:4" ht="15">
      <c r="A480" s="2546" t="s">
        <v>6646</v>
      </c>
      <c r="B480" s="114" t="s">
        <v>209</v>
      </c>
      <c r="C480" s="2546" t="s">
        <v>249</v>
      </c>
      <c r="D480" s="121">
        <v>24094.341118587316</v>
      </c>
    </row>
    <row r="481" spans="1:4" ht="15">
      <c r="A481" s="2546" t="s">
        <v>4209</v>
      </c>
      <c r="B481" s="114" t="s">
        <v>2217</v>
      </c>
      <c r="C481" s="2546" t="s">
        <v>2557</v>
      </c>
      <c r="D481" s="121">
        <v>0</v>
      </c>
    </row>
    <row r="482" spans="1:4" ht="15">
      <c r="A482" s="2546" t="s">
        <v>7515</v>
      </c>
      <c r="B482" s="114" t="s">
        <v>210</v>
      </c>
      <c r="C482" s="2546" t="s">
        <v>702</v>
      </c>
      <c r="D482" s="121">
        <v>0</v>
      </c>
    </row>
    <row r="483" spans="1:4" ht="15">
      <c r="A483" s="2546" t="s">
        <v>7516</v>
      </c>
      <c r="B483" s="114" t="s">
        <v>211</v>
      </c>
      <c r="C483" s="2546" t="s">
        <v>703</v>
      </c>
      <c r="D483" s="121">
        <v>0</v>
      </c>
    </row>
    <row r="484" spans="1:4" ht="15">
      <c r="A484" s="2546" t="s">
        <v>4210</v>
      </c>
      <c r="B484" s="114" t="s">
        <v>1688</v>
      </c>
      <c r="C484" s="2546" t="s">
        <v>2216</v>
      </c>
      <c r="D484" s="121">
        <v>0</v>
      </c>
    </row>
    <row r="485" spans="1:4" ht="15">
      <c r="A485" s="2546" t="s">
        <v>6647</v>
      </c>
      <c r="B485" s="114" t="s">
        <v>1601</v>
      </c>
      <c r="C485" s="2546" t="s">
        <v>704</v>
      </c>
      <c r="D485" s="121">
        <v>0</v>
      </c>
    </row>
    <row r="486" spans="1:4" ht="15">
      <c r="A486" s="2546" t="s">
        <v>6648</v>
      </c>
      <c r="B486" s="114" t="s">
        <v>1432</v>
      </c>
      <c r="C486" s="2546" t="s">
        <v>2480</v>
      </c>
      <c r="D486" s="121">
        <v>0</v>
      </c>
    </row>
    <row r="487" spans="1:4" ht="15">
      <c r="A487" s="2546" t="s">
        <v>7517</v>
      </c>
      <c r="B487" s="114" t="s">
        <v>1104</v>
      </c>
      <c r="C487" s="2546" t="s">
        <v>2880</v>
      </c>
      <c r="D487" s="121">
        <v>83808.606628344744</v>
      </c>
    </row>
    <row r="488" spans="1:4" ht="15">
      <c r="A488" s="2546" t="s">
        <v>6649</v>
      </c>
      <c r="B488" s="114" t="s">
        <v>1105</v>
      </c>
      <c r="C488" s="2546" t="s">
        <v>1767</v>
      </c>
      <c r="D488" s="121">
        <v>0</v>
      </c>
    </row>
    <row r="489" spans="1:4" ht="15">
      <c r="A489" s="2546" t="s">
        <v>7518</v>
      </c>
      <c r="B489" s="114" t="s">
        <v>1011</v>
      </c>
      <c r="C489" s="2546" t="s">
        <v>1768</v>
      </c>
      <c r="D489" s="121">
        <v>0</v>
      </c>
    </row>
    <row r="490" spans="1:4" ht="15">
      <c r="A490" s="2546" t="s">
        <v>4211</v>
      </c>
      <c r="B490" s="114" t="s">
        <v>2036</v>
      </c>
      <c r="C490" s="2546" t="s">
        <v>1769</v>
      </c>
      <c r="D490" s="121">
        <v>154121.0818999928</v>
      </c>
    </row>
    <row r="491" spans="1:4" ht="15">
      <c r="A491" s="2546" t="s">
        <v>6650</v>
      </c>
      <c r="B491" s="114" t="s">
        <v>3076</v>
      </c>
      <c r="C491" s="2546" t="s">
        <v>1770</v>
      </c>
      <c r="D491" s="121">
        <v>170135.40386662836</v>
      </c>
    </row>
    <row r="492" spans="1:4" ht="15">
      <c r="A492" s="2546" t="s">
        <v>6651</v>
      </c>
      <c r="B492" s="114" t="s">
        <v>3077</v>
      </c>
      <c r="C492" s="2546" t="s">
        <v>1771</v>
      </c>
      <c r="D492" s="121">
        <v>0</v>
      </c>
    </row>
    <row r="493" spans="1:4" ht="15">
      <c r="A493" s="2546" t="s">
        <v>6652</v>
      </c>
      <c r="B493" s="114" t="s">
        <v>1507</v>
      </c>
      <c r="C493" s="2546" t="s">
        <v>1772</v>
      </c>
      <c r="D493" s="121">
        <v>0</v>
      </c>
    </row>
    <row r="494" spans="1:4" ht="15">
      <c r="A494" s="2546" t="s">
        <v>7519</v>
      </c>
      <c r="B494" s="114" t="s">
        <v>2492</v>
      </c>
      <c r="C494" s="2546" t="s">
        <v>1773</v>
      </c>
      <c r="D494" s="121">
        <v>0</v>
      </c>
    </row>
    <row r="495" spans="1:4" ht="15">
      <c r="A495" s="2546" t="s">
        <v>7520</v>
      </c>
      <c r="B495" s="114" t="s">
        <v>1271</v>
      </c>
      <c r="C495" s="2546" t="s">
        <v>1774</v>
      </c>
      <c r="D495" s="121">
        <v>0</v>
      </c>
    </row>
    <row r="496" spans="1:4" ht="15">
      <c r="A496" s="2546" t="s">
        <v>4212</v>
      </c>
      <c r="B496" s="114" t="s">
        <v>2155</v>
      </c>
      <c r="C496" s="2546" t="s">
        <v>726</v>
      </c>
      <c r="D496" s="121">
        <v>0</v>
      </c>
    </row>
    <row r="497" spans="1:4" ht="15">
      <c r="A497" s="2546" t="s">
        <v>4213</v>
      </c>
      <c r="B497" s="114" t="s">
        <v>1272</v>
      </c>
      <c r="C497" s="2546" t="s">
        <v>1775</v>
      </c>
      <c r="D497" s="121">
        <v>0</v>
      </c>
    </row>
    <row r="498" spans="1:4" ht="15">
      <c r="A498" s="2546" t="s">
        <v>4214</v>
      </c>
      <c r="B498" s="114" t="s">
        <v>1618</v>
      </c>
      <c r="C498" s="2546" t="s">
        <v>1743</v>
      </c>
      <c r="D498" s="121">
        <v>0</v>
      </c>
    </row>
    <row r="499" spans="1:4" ht="15">
      <c r="A499" s="2546" t="s">
        <v>6653</v>
      </c>
      <c r="B499" s="114" t="s">
        <v>1209</v>
      </c>
      <c r="C499" s="2546" t="s">
        <v>1776</v>
      </c>
      <c r="D499" s="121">
        <v>0</v>
      </c>
    </row>
    <row r="500" spans="1:4" ht="15">
      <c r="A500" s="2546" t="s">
        <v>4215</v>
      </c>
      <c r="B500" s="114" t="s">
        <v>2218</v>
      </c>
      <c r="C500" s="2546" t="s">
        <v>2435</v>
      </c>
      <c r="D500" s="121">
        <v>0</v>
      </c>
    </row>
    <row r="501" spans="1:4" ht="15">
      <c r="A501" s="2546" t="s">
        <v>4216</v>
      </c>
      <c r="B501" s="114" t="s">
        <v>1781</v>
      </c>
      <c r="C501" s="2546" t="s">
        <v>90</v>
      </c>
      <c r="D501" s="121">
        <v>0</v>
      </c>
    </row>
    <row r="502" spans="1:4" ht="15">
      <c r="A502" s="2546" t="s">
        <v>4217</v>
      </c>
      <c r="B502" s="114" t="s">
        <v>273</v>
      </c>
      <c r="C502" s="2546" t="s">
        <v>1292</v>
      </c>
      <c r="D502" s="121">
        <v>0</v>
      </c>
    </row>
    <row r="503" spans="1:4" ht="15">
      <c r="A503" s="2546" t="s">
        <v>6654</v>
      </c>
      <c r="B503" s="114" t="s">
        <v>1210</v>
      </c>
      <c r="C503" s="2546" t="s">
        <v>1777</v>
      </c>
      <c r="D503" s="121">
        <v>0</v>
      </c>
    </row>
    <row r="504" spans="1:4" ht="15">
      <c r="A504" s="2546" t="s">
        <v>4218</v>
      </c>
      <c r="B504" s="114" t="s">
        <v>987</v>
      </c>
      <c r="C504" s="2546" t="s">
        <v>903</v>
      </c>
      <c r="D504" s="121">
        <v>0</v>
      </c>
    </row>
    <row r="505" spans="1:4" ht="15">
      <c r="A505" s="2546" t="s">
        <v>4219</v>
      </c>
      <c r="B505" s="114" t="s">
        <v>2105</v>
      </c>
      <c r="C505" s="2546" t="s">
        <v>1523</v>
      </c>
      <c r="D505" s="121">
        <v>0</v>
      </c>
    </row>
    <row r="506" spans="1:4" ht="15">
      <c r="A506" s="2546" t="s">
        <v>6655</v>
      </c>
      <c r="B506" s="114" t="s">
        <v>1211</v>
      </c>
      <c r="C506" s="2546" t="s">
        <v>1778</v>
      </c>
      <c r="D506" s="121">
        <v>500032.36639703292</v>
      </c>
    </row>
    <row r="507" spans="1:4" ht="15">
      <c r="A507" s="2546" t="s">
        <v>6656</v>
      </c>
      <c r="B507" s="114" t="s">
        <v>2454</v>
      </c>
      <c r="C507" s="2546" t="s">
        <v>1196</v>
      </c>
      <c r="D507" s="121">
        <v>63297.82589680783</v>
      </c>
    </row>
    <row r="508" spans="1:4" ht="15">
      <c r="A508" s="2546" t="s">
        <v>6657</v>
      </c>
      <c r="B508" s="114" t="s">
        <v>2455</v>
      </c>
      <c r="C508" s="2546" t="s">
        <v>1197</v>
      </c>
      <c r="D508" s="121">
        <v>0</v>
      </c>
    </row>
    <row r="509" spans="1:4" ht="15">
      <c r="A509" s="2546" t="s">
        <v>7521</v>
      </c>
      <c r="B509" s="114" t="s">
        <v>1428</v>
      </c>
      <c r="C509" s="2546" t="s">
        <v>2890</v>
      </c>
      <c r="D509" s="121">
        <v>76250.174763103845</v>
      </c>
    </row>
    <row r="510" spans="1:4" ht="15">
      <c r="A510" s="2546" t="s">
        <v>6658</v>
      </c>
      <c r="B510" s="114" t="s">
        <v>1429</v>
      </c>
      <c r="C510" s="2546" t="s">
        <v>1198</v>
      </c>
      <c r="D510" s="121">
        <v>0</v>
      </c>
    </row>
    <row r="511" spans="1:4" ht="15">
      <c r="A511" s="2546" t="s">
        <v>6659</v>
      </c>
      <c r="B511" s="114" t="s">
        <v>1039</v>
      </c>
      <c r="C511" s="2546" t="s">
        <v>2821</v>
      </c>
      <c r="D511" s="121">
        <v>6143.7288822286982</v>
      </c>
    </row>
    <row r="512" spans="1:4" ht="15">
      <c r="A512" s="2546" t="s">
        <v>6660</v>
      </c>
      <c r="B512" s="114" t="s">
        <v>1040</v>
      </c>
      <c r="C512" s="2546" t="s">
        <v>2822</v>
      </c>
      <c r="D512" s="121">
        <v>0</v>
      </c>
    </row>
    <row r="513" spans="1:4" ht="15">
      <c r="A513" s="2546" t="s">
        <v>6661</v>
      </c>
      <c r="B513" s="114" t="s">
        <v>1041</v>
      </c>
      <c r="C513" s="2546" t="s">
        <v>1199</v>
      </c>
      <c r="D513" s="121">
        <v>48830.895630895386</v>
      </c>
    </row>
    <row r="514" spans="1:4" ht="15">
      <c r="A514" s="2546" t="s">
        <v>6662</v>
      </c>
      <c r="B514" s="114" t="s">
        <v>1042</v>
      </c>
      <c r="C514" s="2546" t="s">
        <v>685</v>
      </c>
      <c r="D514" s="121">
        <v>17427.094931935608</v>
      </c>
    </row>
    <row r="515" spans="1:4" ht="15">
      <c r="A515" s="2546" t="s">
        <v>4220</v>
      </c>
      <c r="B515" s="114" t="s">
        <v>2972</v>
      </c>
      <c r="C515" s="2546" t="s">
        <v>1671</v>
      </c>
      <c r="D515" s="121">
        <v>0</v>
      </c>
    </row>
    <row r="516" spans="1:4" ht="15">
      <c r="A516" s="2546" t="s">
        <v>6663</v>
      </c>
      <c r="B516" s="114" t="s">
        <v>544</v>
      </c>
      <c r="C516" s="2546" t="s">
        <v>686</v>
      </c>
      <c r="D516" s="121">
        <v>0</v>
      </c>
    </row>
    <row r="517" spans="1:4" ht="15">
      <c r="A517" s="2546" t="s">
        <v>7522</v>
      </c>
      <c r="B517" s="114" t="s">
        <v>3042</v>
      </c>
      <c r="C517" s="2546" t="s">
        <v>2859</v>
      </c>
      <c r="D517" s="121">
        <v>0</v>
      </c>
    </row>
    <row r="518" spans="1:4" ht="15">
      <c r="A518" s="2546" t="s">
        <v>4221</v>
      </c>
      <c r="B518" s="114" t="s">
        <v>995</v>
      </c>
      <c r="C518" s="2546" t="s">
        <v>1632</v>
      </c>
      <c r="D518" s="121">
        <v>0</v>
      </c>
    </row>
    <row r="519" spans="1:4" ht="15">
      <c r="A519" s="2546" t="s">
        <v>4222</v>
      </c>
      <c r="B519" s="114" t="s">
        <v>51</v>
      </c>
      <c r="C519" s="2546" t="s">
        <v>446</v>
      </c>
      <c r="D519" s="121">
        <v>0</v>
      </c>
    </row>
    <row r="520" spans="1:4" ht="15">
      <c r="A520" s="2546" t="s">
        <v>4223</v>
      </c>
      <c r="B520" s="114" t="s">
        <v>61</v>
      </c>
      <c r="C520" s="2546" t="s">
        <v>2296</v>
      </c>
      <c r="D520" s="121">
        <v>0</v>
      </c>
    </row>
    <row r="521" spans="1:4" ht="15">
      <c r="A521" s="2546" t="s">
        <v>6664</v>
      </c>
      <c r="B521" s="114" t="s">
        <v>3043</v>
      </c>
      <c r="C521" s="2546" t="s">
        <v>2860</v>
      </c>
      <c r="D521" s="121">
        <v>5476.9077626779199</v>
      </c>
    </row>
    <row r="522" spans="1:4" ht="15">
      <c r="A522" s="2546" t="s">
        <v>7523</v>
      </c>
      <c r="B522" s="114" t="s">
        <v>3044</v>
      </c>
      <c r="C522" s="2546" t="s">
        <v>2861</v>
      </c>
      <c r="D522" s="121">
        <v>0</v>
      </c>
    </row>
    <row r="523" spans="1:4" ht="15">
      <c r="A523" s="2546" t="s">
        <v>7524</v>
      </c>
      <c r="B523" s="114" t="s">
        <v>3045</v>
      </c>
      <c r="C523" s="2546" t="s">
        <v>2618</v>
      </c>
      <c r="D523" s="121">
        <v>0</v>
      </c>
    </row>
    <row r="524" spans="1:4" ht="15">
      <c r="A524" s="2546" t="s">
        <v>4224</v>
      </c>
      <c r="B524" s="114" t="s">
        <v>2905</v>
      </c>
      <c r="C524" s="2546" t="s">
        <v>426</v>
      </c>
      <c r="D524" s="121">
        <v>232929.97764499087</v>
      </c>
    </row>
    <row r="525" spans="1:4" ht="15">
      <c r="A525" s="2546" t="s">
        <v>6665</v>
      </c>
      <c r="B525" s="114" t="s">
        <v>2615</v>
      </c>
      <c r="C525" s="2546" t="s">
        <v>2619</v>
      </c>
      <c r="D525" s="121">
        <v>154051.60126235511</v>
      </c>
    </row>
    <row r="526" spans="1:4" ht="15">
      <c r="A526" s="2546" t="s">
        <v>6666</v>
      </c>
      <c r="B526" s="114" t="s">
        <v>2616</v>
      </c>
      <c r="C526" s="2546" t="s">
        <v>3089</v>
      </c>
      <c r="D526" s="121">
        <v>0</v>
      </c>
    </row>
    <row r="527" spans="1:4" ht="15">
      <c r="A527" s="2546" t="s">
        <v>6667</v>
      </c>
      <c r="B527" s="114" t="s">
        <v>1501</v>
      </c>
      <c r="C527" s="2546" t="s">
        <v>3090</v>
      </c>
      <c r="D527" s="121">
        <v>0</v>
      </c>
    </row>
    <row r="528" spans="1:4" ht="15">
      <c r="A528" s="2546" t="s">
        <v>6668</v>
      </c>
      <c r="B528" s="114" t="s">
        <v>1502</v>
      </c>
      <c r="C528" s="2546" t="s">
        <v>3091</v>
      </c>
      <c r="D528" s="121">
        <v>135.10123985109837</v>
      </c>
    </row>
    <row r="529" spans="1:4" ht="15">
      <c r="A529" s="2546" t="s">
        <v>4225</v>
      </c>
      <c r="B529" s="114" t="s">
        <v>1484</v>
      </c>
      <c r="C529" s="2546" t="s">
        <v>1950</v>
      </c>
      <c r="D529" s="121">
        <v>0</v>
      </c>
    </row>
    <row r="530" spans="1:4" ht="15">
      <c r="A530" s="2546" t="s">
        <v>6669</v>
      </c>
      <c r="B530" s="114" t="s">
        <v>1503</v>
      </c>
      <c r="C530" s="2546" t="s">
        <v>1956</v>
      </c>
      <c r="D530" s="121">
        <v>2246.5406169525504</v>
      </c>
    </row>
    <row r="531" spans="1:4" ht="15">
      <c r="A531" s="2546" t="s">
        <v>4226</v>
      </c>
      <c r="B531" s="114" t="s">
        <v>2299</v>
      </c>
      <c r="C531" s="2546" t="s">
        <v>799</v>
      </c>
      <c r="D531" s="121">
        <v>1754104.3177661451</v>
      </c>
    </row>
    <row r="532" spans="1:4" ht="15">
      <c r="A532" s="2546" t="s">
        <v>4227</v>
      </c>
      <c r="B532" s="114" t="s">
        <v>2652</v>
      </c>
      <c r="C532" s="2546" t="s">
        <v>3080</v>
      </c>
      <c r="D532" s="121">
        <v>0</v>
      </c>
    </row>
    <row r="533" spans="1:4" ht="15">
      <c r="A533" s="2546" t="s">
        <v>4228</v>
      </c>
      <c r="B533" s="114" t="s">
        <v>1593</v>
      </c>
      <c r="C533" s="2546" t="s">
        <v>1151</v>
      </c>
      <c r="D533" s="121">
        <v>0</v>
      </c>
    </row>
    <row r="534" spans="1:4" ht="15">
      <c r="A534" s="2546" t="s">
        <v>4229</v>
      </c>
      <c r="B534" s="114" t="s">
        <v>244</v>
      </c>
      <c r="C534" s="2546" t="s">
        <v>2412</v>
      </c>
      <c r="D534" s="121">
        <v>0</v>
      </c>
    </row>
    <row r="535" spans="1:4" ht="15">
      <c r="A535" s="2546" t="s">
        <v>7525</v>
      </c>
      <c r="B535" s="114" t="s">
        <v>1504</v>
      </c>
      <c r="C535" s="2546" t="s">
        <v>1957</v>
      </c>
      <c r="D535" s="121">
        <v>850.65530663388006</v>
      </c>
    </row>
    <row r="536" spans="1:4" ht="15">
      <c r="A536" s="2546" t="s">
        <v>4230</v>
      </c>
      <c r="B536" s="114" t="s">
        <v>223</v>
      </c>
      <c r="C536" s="2546" t="s">
        <v>1201</v>
      </c>
      <c r="D536" s="121">
        <v>606032.31667977665</v>
      </c>
    </row>
    <row r="537" spans="1:4" ht="15">
      <c r="A537" s="2546" t="s">
        <v>4231</v>
      </c>
      <c r="B537" s="114" t="s">
        <v>2153</v>
      </c>
      <c r="C537" s="2546" t="s">
        <v>1634</v>
      </c>
      <c r="D537" s="121">
        <v>0</v>
      </c>
    </row>
    <row r="538" spans="1:4" ht="15">
      <c r="A538" s="2546" t="s">
        <v>6670</v>
      </c>
      <c r="B538" s="114" t="s">
        <v>627</v>
      </c>
      <c r="C538" s="2546" t="s">
        <v>1328</v>
      </c>
      <c r="D538" s="121">
        <v>520139.77342672873</v>
      </c>
    </row>
    <row r="539" spans="1:4" ht="15">
      <c r="A539" s="2546" t="s">
        <v>5781</v>
      </c>
      <c r="B539" s="114" t="s">
        <v>2037</v>
      </c>
      <c r="C539" s="2546" t="s">
        <v>977</v>
      </c>
      <c r="D539" s="121">
        <v>0</v>
      </c>
    </row>
    <row r="540" spans="1:4" ht="15">
      <c r="A540" s="2546" t="s">
        <v>4232</v>
      </c>
      <c r="B540" s="114" t="s">
        <v>52</v>
      </c>
      <c r="C540" s="2546" t="s">
        <v>447</v>
      </c>
      <c r="D540" s="121">
        <v>94929.851190230358</v>
      </c>
    </row>
    <row r="541" spans="1:4" ht="15">
      <c r="A541" s="2546" t="s">
        <v>4233</v>
      </c>
      <c r="B541" s="114" t="s">
        <v>1505</v>
      </c>
      <c r="C541" s="2546" t="s">
        <v>2314</v>
      </c>
      <c r="D541" s="121">
        <v>3932.4110885230421</v>
      </c>
    </row>
    <row r="542" spans="1:4" ht="15">
      <c r="A542" s="2546" t="s">
        <v>4234</v>
      </c>
      <c r="B542" s="114" t="s">
        <v>2653</v>
      </c>
      <c r="C542" s="2546" t="s">
        <v>3094</v>
      </c>
      <c r="D542" s="121">
        <v>0</v>
      </c>
    </row>
    <row r="543" spans="1:4" ht="15">
      <c r="A543" s="2546" t="s">
        <v>4235</v>
      </c>
      <c r="B543" s="114" t="s">
        <v>283</v>
      </c>
      <c r="C543" s="2546" t="s">
        <v>3040</v>
      </c>
      <c r="D543" s="121">
        <v>0</v>
      </c>
    </row>
    <row r="544" spans="1:4" ht="15">
      <c r="A544" s="2546" t="s">
        <v>4236</v>
      </c>
      <c r="B544" s="114" t="s">
        <v>1435</v>
      </c>
      <c r="C544" s="2546" t="s">
        <v>2651</v>
      </c>
      <c r="D544" s="121">
        <v>0</v>
      </c>
    </row>
    <row r="545" spans="1:4" ht="15">
      <c r="A545" s="2546" t="s">
        <v>6671</v>
      </c>
      <c r="B545" s="114" t="s">
        <v>2400</v>
      </c>
      <c r="C545" s="2546" t="s">
        <v>2771</v>
      </c>
      <c r="D545" s="121">
        <v>0</v>
      </c>
    </row>
    <row r="546" spans="1:4" ht="15">
      <c r="A546" s="2546" t="s">
        <v>6672</v>
      </c>
      <c r="B546" s="114" t="s">
        <v>1506</v>
      </c>
      <c r="C546" s="2546" t="s">
        <v>2315</v>
      </c>
      <c r="D546" s="121">
        <v>125769.60421281178</v>
      </c>
    </row>
    <row r="547" spans="1:4" ht="15">
      <c r="A547" s="2546" t="s">
        <v>6673</v>
      </c>
      <c r="B547" s="114" t="s">
        <v>2128</v>
      </c>
      <c r="C547" s="2546" t="s">
        <v>937</v>
      </c>
      <c r="D547" s="121">
        <v>0</v>
      </c>
    </row>
    <row r="548" spans="1:4" ht="15">
      <c r="A548" s="2546" t="s">
        <v>4237</v>
      </c>
      <c r="B548" s="114" t="s">
        <v>2870</v>
      </c>
      <c r="C548" s="2546" t="s">
        <v>165</v>
      </c>
      <c r="D548" s="121">
        <v>32819.951195256108</v>
      </c>
    </row>
    <row r="549" spans="1:4" ht="15">
      <c r="A549" s="2546" t="s">
        <v>4238</v>
      </c>
      <c r="B549" s="114" t="s">
        <v>288</v>
      </c>
      <c r="C549" s="2546" t="s">
        <v>2213</v>
      </c>
      <c r="D549" s="121">
        <v>0</v>
      </c>
    </row>
    <row r="550" spans="1:4" ht="15">
      <c r="A550" s="2546" t="s">
        <v>5802</v>
      </c>
      <c r="B550" s="114" t="s">
        <v>54</v>
      </c>
      <c r="C550" s="2546" t="s">
        <v>449</v>
      </c>
      <c r="D550" s="121">
        <v>629720.87157438265</v>
      </c>
    </row>
    <row r="551" spans="1:4" ht="15">
      <c r="A551" s="2546" t="s">
        <v>4239</v>
      </c>
      <c r="B551" s="114" t="s">
        <v>2871</v>
      </c>
      <c r="C551" s="2546" t="s">
        <v>454</v>
      </c>
      <c r="D551" s="121">
        <v>377757.54175651219</v>
      </c>
    </row>
    <row r="552" spans="1:4" ht="15">
      <c r="A552" s="2546" t="s">
        <v>6674</v>
      </c>
      <c r="B552" s="114" t="s">
        <v>1317</v>
      </c>
      <c r="C552" s="2546" t="s">
        <v>2316</v>
      </c>
      <c r="D552" s="121">
        <v>71842.979317389792</v>
      </c>
    </row>
    <row r="553" spans="1:4" ht="15">
      <c r="A553" s="2546" t="s">
        <v>4240</v>
      </c>
      <c r="B553" s="114" t="s">
        <v>1899</v>
      </c>
      <c r="C553" s="2546" t="s">
        <v>1005</v>
      </c>
      <c r="D553" s="121">
        <v>183275.92945985985</v>
      </c>
    </row>
    <row r="554" spans="1:4" ht="15">
      <c r="A554" s="2546" t="s">
        <v>4241</v>
      </c>
      <c r="B554" s="114" t="s">
        <v>2757</v>
      </c>
      <c r="C554" s="2546" t="s">
        <v>456</v>
      </c>
      <c r="D554" s="121">
        <v>0</v>
      </c>
    </row>
    <row r="555" spans="1:4" ht="15">
      <c r="A555" s="2546" t="s">
        <v>4242</v>
      </c>
      <c r="B555" s="114" t="s">
        <v>1515</v>
      </c>
      <c r="C555" s="2546" t="s">
        <v>132</v>
      </c>
      <c r="D555" s="121">
        <v>0</v>
      </c>
    </row>
    <row r="556" spans="1:4" ht="15">
      <c r="A556" s="2546" t="s">
        <v>4243</v>
      </c>
      <c r="B556" s="114" t="s">
        <v>56</v>
      </c>
      <c r="C556" s="2546" t="s">
        <v>451</v>
      </c>
      <c r="D556" s="121">
        <v>0</v>
      </c>
    </row>
    <row r="557" spans="1:4" ht="15">
      <c r="A557" s="2546" t="s">
        <v>4244</v>
      </c>
      <c r="B557" s="114" t="s">
        <v>58</v>
      </c>
      <c r="C557" s="2546" t="s">
        <v>453</v>
      </c>
      <c r="D557" s="121">
        <v>0</v>
      </c>
    </row>
    <row r="558" spans="1:4" ht="15">
      <c r="A558" s="2546" t="s">
        <v>6675</v>
      </c>
      <c r="B558" s="114" t="s">
        <v>2923</v>
      </c>
      <c r="C558" s="2546" t="s">
        <v>2317</v>
      </c>
      <c r="D558" s="121">
        <v>0</v>
      </c>
    </row>
    <row r="559" spans="1:4" ht="15">
      <c r="A559" s="2546" t="s">
        <v>6676</v>
      </c>
      <c r="B559" s="114" t="s">
        <v>2924</v>
      </c>
      <c r="C559" s="2546" t="s">
        <v>2318</v>
      </c>
      <c r="D559" s="121">
        <v>0</v>
      </c>
    </row>
    <row r="560" spans="1:4" ht="15">
      <c r="A560" s="2546" t="s">
        <v>4245</v>
      </c>
      <c r="B560" s="114" t="s">
        <v>536</v>
      </c>
      <c r="C560" s="2546" t="s">
        <v>1415</v>
      </c>
      <c r="D560" s="121">
        <v>0</v>
      </c>
    </row>
    <row r="561" spans="1:4" ht="15">
      <c r="A561" s="2546" t="s">
        <v>6677</v>
      </c>
      <c r="B561" s="114" t="s">
        <v>2925</v>
      </c>
      <c r="C561" s="2546" t="s">
        <v>2319</v>
      </c>
      <c r="D561" s="121">
        <v>0</v>
      </c>
    </row>
    <row r="562" spans="1:4" ht="15">
      <c r="A562" s="2546" t="s">
        <v>6678</v>
      </c>
      <c r="B562" s="114" t="s">
        <v>1732</v>
      </c>
      <c r="C562" s="2546" t="s">
        <v>2320</v>
      </c>
      <c r="D562" s="121">
        <v>0</v>
      </c>
    </row>
    <row r="563" spans="1:4" ht="15">
      <c r="A563" s="2546" t="s">
        <v>6679</v>
      </c>
      <c r="B563" s="114" t="s">
        <v>3088</v>
      </c>
      <c r="C563" s="2546" t="s">
        <v>2321</v>
      </c>
      <c r="D563" s="121">
        <v>25469.478738500282</v>
      </c>
    </row>
    <row r="564" spans="1:4" ht="15">
      <c r="A564" s="2546" t="s">
        <v>7526</v>
      </c>
      <c r="B564" s="114" t="s">
        <v>2649</v>
      </c>
      <c r="C564" s="2546" t="s">
        <v>2322</v>
      </c>
      <c r="D564" s="121">
        <v>0</v>
      </c>
    </row>
    <row r="565" spans="1:4" ht="15">
      <c r="A565" s="2546" t="s">
        <v>4246</v>
      </c>
      <c r="B565" s="114" t="s">
        <v>1734</v>
      </c>
      <c r="C565" s="2546" t="s">
        <v>734</v>
      </c>
      <c r="D565" s="121">
        <v>0</v>
      </c>
    </row>
    <row r="566" spans="1:4" ht="15">
      <c r="A566" s="2546" t="s">
        <v>6680</v>
      </c>
      <c r="B566" s="114" t="s">
        <v>2913</v>
      </c>
      <c r="C566" s="2546" t="s">
        <v>2323</v>
      </c>
      <c r="D566" s="121">
        <v>0</v>
      </c>
    </row>
    <row r="567" spans="1:4" ht="15">
      <c r="A567" s="2546" t="s">
        <v>6681</v>
      </c>
      <c r="B567" s="114" t="s">
        <v>2914</v>
      </c>
      <c r="C567" s="2546" t="s">
        <v>2324</v>
      </c>
      <c r="D567" s="121">
        <v>0</v>
      </c>
    </row>
    <row r="568" spans="1:4" ht="15">
      <c r="A568" s="2546" t="s">
        <v>6682</v>
      </c>
      <c r="B568" s="114" t="s">
        <v>529</v>
      </c>
      <c r="C568" s="2546" t="s">
        <v>2325</v>
      </c>
      <c r="D568" s="121">
        <v>0</v>
      </c>
    </row>
    <row r="569" spans="1:4" ht="15">
      <c r="A569" s="2546" t="s">
        <v>7527</v>
      </c>
      <c r="B569" s="114" t="s">
        <v>2601</v>
      </c>
      <c r="C569" s="2546" t="s">
        <v>2326</v>
      </c>
      <c r="D569" s="121">
        <v>0</v>
      </c>
    </row>
    <row r="570" spans="1:4" ht="15">
      <c r="A570" s="2546" t="s">
        <v>7528</v>
      </c>
      <c r="B570" s="114" t="s">
        <v>2602</v>
      </c>
      <c r="C570" s="2546" t="s">
        <v>2327</v>
      </c>
      <c r="D570" s="121">
        <v>0</v>
      </c>
    </row>
    <row r="571" spans="1:4" ht="15">
      <c r="A571" s="2546" t="s">
        <v>6683</v>
      </c>
      <c r="B571" s="114" t="s">
        <v>1727</v>
      </c>
      <c r="C571" s="2546" t="s">
        <v>2328</v>
      </c>
      <c r="D571" s="121">
        <v>0</v>
      </c>
    </row>
    <row r="572" spans="1:4" ht="15">
      <c r="A572" s="2546" t="s">
        <v>7529</v>
      </c>
      <c r="B572" s="114" t="s">
        <v>1728</v>
      </c>
      <c r="C572" s="2546" t="s">
        <v>2329</v>
      </c>
      <c r="D572" s="121">
        <v>220415.26029492679</v>
      </c>
    </row>
    <row r="573" spans="1:4" ht="15">
      <c r="A573" s="2546" t="s">
        <v>4247</v>
      </c>
      <c r="B573" s="114" t="s">
        <v>2872</v>
      </c>
      <c r="C573" s="2546" t="s">
        <v>2295</v>
      </c>
      <c r="D573" s="121">
        <v>0</v>
      </c>
    </row>
    <row r="574" spans="1:4" ht="15">
      <c r="A574" s="2546" t="s">
        <v>7530</v>
      </c>
      <c r="B574" s="114" t="s">
        <v>429</v>
      </c>
      <c r="C574" s="2546" t="s">
        <v>2330</v>
      </c>
      <c r="D574" s="121">
        <v>0</v>
      </c>
    </row>
    <row r="575" spans="1:4" ht="15">
      <c r="A575" s="2546" t="s">
        <v>7531</v>
      </c>
      <c r="B575" s="114" t="s">
        <v>430</v>
      </c>
      <c r="C575" s="2546" t="s">
        <v>2331</v>
      </c>
      <c r="D575" s="121">
        <v>0</v>
      </c>
    </row>
    <row r="576" spans="1:4" ht="15">
      <c r="A576" s="2546" t="s">
        <v>6684</v>
      </c>
      <c r="B576" s="114" t="s">
        <v>431</v>
      </c>
      <c r="C576" s="2546" t="s">
        <v>2332</v>
      </c>
      <c r="D576" s="121">
        <v>0</v>
      </c>
    </row>
    <row r="577" spans="1:4" ht="15">
      <c r="A577" s="2546" t="s">
        <v>4248</v>
      </c>
      <c r="B577" s="114" t="s">
        <v>2873</v>
      </c>
      <c r="C577" s="2546" t="s">
        <v>1904</v>
      </c>
      <c r="D577" s="121">
        <v>100352.71845696784</v>
      </c>
    </row>
    <row r="578" spans="1:4" ht="15">
      <c r="A578" s="2546" t="s">
        <v>7532</v>
      </c>
      <c r="B578" s="114" t="s">
        <v>270</v>
      </c>
      <c r="C578" s="2546" t="s">
        <v>2333</v>
      </c>
      <c r="D578" s="121">
        <v>0</v>
      </c>
    </row>
    <row r="579" spans="1:4" ht="15">
      <c r="A579" s="2546" t="s">
        <v>7533</v>
      </c>
      <c r="B579" s="114" t="s">
        <v>271</v>
      </c>
      <c r="C579" s="2546" t="s">
        <v>2334</v>
      </c>
      <c r="D579" s="121">
        <v>0</v>
      </c>
    </row>
    <row r="580" spans="1:4" ht="15">
      <c r="A580" s="2546" t="s">
        <v>6685</v>
      </c>
      <c r="B580" s="114" t="s">
        <v>272</v>
      </c>
      <c r="C580" s="2546" t="s">
        <v>2335</v>
      </c>
      <c r="D580" s="121">
        <v>0</v>
      </c>
    </row>
    <row r="581" spans="1:4" ht="15">
      <c r="A581" s="2546" t="s">
        <v>4249</v>
      </c>
      <c r="B581" s="114" t="s">
        <v>2654</v>
      </c>
      <c r="C581" s="2546" t="s">
        <v>667</v>
      </c>
      <c r="D581" s="121">
        <v>0</v>
      </c>
    </row>
    <row r="582" spans="1:4" ht="15">
      <c r="A582" s="2546" t="s">
        <v>4250</v>
      </c>
      <c r="B582" s="114" t="s">
        <v>2303</v>
      </c>
      <c r="C582" s="2546" t="s">
        <v>226</v>
      </c>
      <c r="D582" s="121">
        <v>0</v>
      </c>
    </row>
    <row r="583" spans="1:4" ht="15">
      <c r="A583" s="2546" t="s">
        <v>6686</v>
      </c>
      <c r="B583" s="114" t="s">
        <v>2370</v>
      </c>
      <c r="C583" s="2546" t="s">
        <v>2786</v>
      </c>
      <c r="D583" s="121">
        <v>0</v>
      </c>
    </row>
    <row r="584" spans="1:4" ht="15">
      <c r="A584" s="2546" t="s">
        <v>4251</v>
      </c>
      <c r="B584" s="114" t="s">
        <v>2874</v>
      </c>
      <c r="C584" s="2546" t="s">
        <v>2411</v>
      </c>
      <c r="D584" s="121">
        <v>0</v>
      </c>
    </row>
    <row r="585" spans="1:4" ht="15">
      <c r="A585" s="2546" t="s">
        <v>7534</v>
      </c>
      <c r="B585" s="114" t="s">
        <v>1754</v>
      </c>
      <c r="C585" s="2546" t="s">
        <v>2787</v>
      </c>
      <c r="D585" s="121">
        <v>0</v>
      </c>
    </row>
    <row r="586" spans="1:4" ht="15">
      <c r="A586" s="2546" t="s">
        <v>7535</v>
      </c>
      <c r="B586" s="114" t="s">
        <v>1755</v>
      </c>
      <c r="C586" s="2546" t="s">
        <v>1064</v>
      </c>
      <c r="D586" s="121">
        <v>0</v>
      </c>
    </row>
    <row r="587" spans="1:4" ht="15">
      <c r="A587" s="2546" t="s">
        <v>5854</v>
      </c>
      <c r="B587" s="114" t="s">
        <v>1592</v>
      </c>
      <c r="C587" s="2546" t="s">
        <v>934</v>
      </c>
      <c r="D587" s="121">
        <v>0</v>
      </c>
    </row>
    <row r="588" spans="1:4" ht="15">
      <c r="A588" s="2546" t="s">
        <v>7536</v>
      </c>
      <c r="B588" s="114" t="s">
        <v>2584</v>
      </c>
      <c r="C588" s="2546" t="s">
        <v>1067</v>
      </c>
      <c r="D588" s="121">
        <v>0</v>
      </c>
    </row>
    <row r="589" spans="1:4" ht="15">
      <c r="A589" s="2546" t="s">
        <v>6687</v>
      </c>
      <c r="B589" s="114" t="s">
        <v>2585</v>
      </c>
      <c r="C589" s="2546" t="s">
        <v>1068</v>
      </c>
      <c r="D589" s="121">
        <v>0</v>
      </c>
    </row>
    <row r="590" spans="1:4" ht="15">
      <c r="A590" s="2546" t="s">
        <v>4252</v>
      </c>
      <c r="B590" s="114" t="s">
        <v>2586</v>
      </c>
      <c r="C590" s="2546" t="s">
        <v>1069</v>
      </c>
      <c r="D590" s="121">
        <v>0</v>
      </c>
    </row>
    <row r="591" spans="1:4" ht="15">
      <c r="A591" s="2546" t="s">
        <v>6688</v>
      </c>
      <c r="B591" s="114" t="s">
        <v>2587</v>
      </c>
      <c r="C591" s="2546" t="s">
        <v>1070</v>
      </c>
      <c r="D591" s="121">
        <v>0</v>
      </c>
    </row>
    <row r="592" spans="1:4" ht="15">
      <c r="A592" s="2546" t="s">
        <v>4253</v>
      </c>
      <c r="B592" s="114" t="s">
        <v>2755</v>
      </c>
      <c r="C592" s="2546" t="s">
        <v>1258</v>
      </c>
      <c r="D592" s="121">
        <v>530423.8728059656</v>
      </c>
    </row>
    <row r="593" spans="1:4" ht="15">
      <c r="A593" s="2546" t="s">
        <v>6689</v>
      </c>
      <c r="B593" s="114" t="s">
        <v>2588</v>
      </c>
      <c r="C593" s="2546" t="s">
        <v>1071</v>
      </c>
      <c r="D593" s="121">
        <v>0</v>
      </c>
    </row>
    <row r="594" spans="1:4" ht="15">
      <c r="A594" s="2546" t="s">
        <v>7537</v>
      </c>
      <c r="B594" s="114" t="s">
        <v>2589</v>
      </c>
      <c r="C594" s="2546" t="s">
        <v>1072</v>
      </c>
      <c r="D594" s="121">
        <v>71890.264751337687</v>
      </c>
    </row>
    <row r="595" spans="1:4" ht="15">
      <c r="A595" s="2546" t="s">
        <v>7538</v>
      </c>
      <c r="B595" s="114" t="s">
        <v>2590</v>
      </c>
      <c r="C595" s="2546" t="s">
        <v>1073</v>
      </c>
      <c r="D595" s="121">
        <v>208654.21486146064</v>
      </c>
    </row>
    <row r="596" spans="1:4" ht="15">
      <c r="A596" s="2546" t="s">
        <v>7539</v>
      </c>
      <c r="B596" s="114" t="s">
        <v>2591</v>
      </c>
      <c r="C596" s="2546" t="s">
        <v>1074</v>
      </c>
      <c r="D596" s="121">
        <v>0</v>
      </c>
    </row>
    <row r="597" spans="1:4" ht="15">
      <c r="A597" s="2546" t="s">
        <v>7540</v>
      </c>
      <c r="B597" s="114" t="s">
        <v>2592</v>
      </c>
      <c r="C597" s="2546" t="s">
        <v>1075</v>
      </c>
      <c r="D597" s="121">
        <v>0</v>
      </c>
    </row>
    <row r="598" spans="1:4" ht="15">
      <c r="A598" s="2546" t="s">
        <v>6690</v>
      </c>
      <c r="B598" s="114" t="s">
        <v>2981</v>
      </c>
      <c r="C598" s="2546" t="s">
        <v>1076</v>
      </c>
      <c r="D598" s="121">
        <v>24443.674324488013</v>
      </c>
    </row>
    <row r="599" spans="1:4" ht="15">
      <c r="A599" s="2546" t="s">
        <v>6691</v>
      </c>
      <c r="B599" s="114" t="s">
        <v>2982</v>
      </c>
      <c r="C599" s="2546" t="s">
        <v>1077</v>
      </c>
      <c r="D599" s="121">
        <v>106101.27621263206</v>
      </c>
    </row>
    <row r="600" spans="1:4" ht="15">
      <c r="A600" s="2546" t="s">
        <v>6692</v>
      </c>
      <c r="B600" s="114" t="s">
        <v>2983</v>
      </c>
      <c r="C600" s="2546" t="s">
        <v>1078</v>
      </c>
      <c r="D600" s="121">
        <v>0</v>
      </c>
    </row>
    <row r="601" spans="1:4" ht="15">
      <c r="A601" s="2546" t="s">
        <v>7541</v>
      </c>
      <c r="B601" s="114" t="s">
        <v>2984</v>
      </c>
      <c r="C601" s="2546" t="s">
        <v>1079</v>
      </c>
      <c r="D601" s="121">
        <v>28330.729996775328</v>
      </c>
    </row>
    <row r="602" spans="1:4" ht="15">
      <c r="A602" s="2546" t="s">
        <v>6693</v>
      </c>
      <c r="B602" s="114" t="s">
        <v>2985</v>
      </c>
      <c r="C602" s="2546" t="s">
        <v>1080</v>
      </c>
      <c r="D602" s="121">
        <v>5919.364323190267</v>
      </c>
    </row>
    <row r="603" spans="1:4" ht="15">
      <c r="A603" s="2546" t="s">
        <v>6694</v>
      </c>
      <c r="B603" s="114" t="s">
        <v>1561</v>
      </c>
      <c r="C603" s="2546" t="s">
        <v>2081</v>
      </c>
      <c r="D603" s="121">
        <v>296525.99127832719</v>
      </c>
    </row>
    <row r="604" spans="1:4" ht="15">
      <c r="A604" s="2546" t="s">
        <v>6695</v>
      </c>
      <c r="B604" s="114" t="s">
        <v>1562</v>
      </c>
      <c r="C604" s="2546" t="s">
        <v>2082</v>
      </c>
      <c r="D604" s="121">
        <v>110559.13462329029</v>
      </c>
    </row>
    <row r="605" spans="1:4" ht="15">
      <c r="A605" s="2546" t="s">
        <v>6696</v>
      </c>
      <c r="B605" s="114" t="s">
        <v>2783</v>
      </c>
      <c r="C605" s="2546" t="s">
        <v>2083</v>
      </c>
      <c r="D605" s="121">
        <v>0</v>
      </c>
    </row>
    <row r="606" spans="1:4" ht="15">
      <c r="A606" s="2546" t="s">
        <v>6697</v>
      </c>
      <c r="B606" s="114" t="s">
        <v>2421</v>
      </c>
      <c r="C606" s="2546" t="s">
        <v>2282</v>
      </c>
      <c r="D606" s="121">
        <v>0</v>
      </c>
    </row>
    <row r="607" spans="1:4" ht="15">
      <c r="A607" s="2546" t="s">
        <v>4254</v>
      </c>
      <c r="B607" s="114" t="s">
        <v>3029</v>
      </c>
      <c r="C607" s="2546" t="s">
        <v>1329</v>
      </c>
      <c r="D607" s="121">
        <v>0</v>
      </c>
    </row>
    <row r="608" spans="1:4" ht="15">
      <c r="A608" s="2546" t="s">
        <v>4255</v>
      </c>
      <c r="B608" s="114" t="s">
        <v>2762</v>
      </c>
      <c r="C608" s="2546" t="s">
        <v>3061</v>
      </c>
      <c r="D608" s="121">
        <v>0</v>
      </c>
    </row>
    <row r="609" spans="1:4" ht="15">
      <c r="A609" s="2546" t="s">
        <v>6698</v>
      </c>
      <c r="B609" s="114" t="s">
        <v>2422</v>
      </c>
      <c r="C609" s="2546" t="s">
        <v>2283</v>
      </c>
      <c r="D609" s="121">
        <v>0</v>
      </c>
    </row>
    <row r="610" spans="1:4" ht="15">
      <c r="A610" s="2546" t="s">
        <v>4256</v>
      </c>
      <c r="B610" s="114" t="s">
        <v>2875</v>
      </c>
      <c r="C610" s="2546" t="s">
        <v>1951</v>
      </c>
      <c r="D610" s="121">
        <v>0</v>
      </c>
    </row>
    <row r="611" spans="1:4" ht="15">
      <c r="A611" s="2546" t="s">
        <v>4257</v>
      </c>
      <c r="B611" s="114" t="s">
        <v>1277</v>
      </c>
      <c r="C611" s="2546" t="s">
        <v>2735</v>
      </c>
      <c r="D611" s="121">
        <v>54149.05943674827</v>
      </c>
    </row>
    <row r="612" spans="1:4" ht="15">
      <c r="A612" s="2546" t="s">
        <v>6699</v>
      </c>
      <c r="B612" s="114" t="s">
        <v>2423</v>
      </c>
      <c r="C612" s="2546" t="s">
        <v>590</v>
      </c>
      <c r="D612" s="121">
        <v>127924.46898843681</v>
      </c>
    </row>
    <row r="613" spans="1:4" ht="15">
      <c r="A613" s="2546" t="s">
        <v>6700</v>
      </c>
      <c r="B613" s="114" t="s">
        <v>2424</v>
      </c>
      <c r="C613" s="2546" t="s">
        <v>591</v>
      </c>
      <c r="D613" s="121">
        <v>0</v>
      </c>
    </row>
    <row r="614" spans="1:4" ht="15">
      <c r="A614" s="2546" t="s">
        <v>4258</v>
      </c>
      <c r="B614" s="114" t="s">
        <v>1093</v>
      </c>
      <c r="C614" s="2546" t="s">
        <v>1747</v>
      </c>
      <c r="D614" s="121">
        <v>0</v>
      </c>
    </row>
    <row r="615" spans="1:4" ht="15">
      <c r="A615" s="2546" t="s">
        <v>6701</v>
      </c>
      <c r="B615" s="114" t="s">
        <v>1513</v>
      </c>
      <c r="C615" s="2546" t="s">
        <v>592</v>
      </c>
      <c r="D615" s="121">
        <v>0</v>
      </c>
    </row>
    <row r="616" spans="1:4" ht="15">
      <c r="A616" s="2546" t="s">
        <v>6702</v>
      </c>
      <c r="B616" s="114" t="s">
        <v>1902</v>
      </c>
      <c r="C616" s="2546" t="s">
        <v>593</v>
      </c>
      <c r="D616" s="121">
        <v>0</v>
      </c>
    </row>
    <row r="617" spans="1:4" ht="15">
      <c r="A617" s="2546" t="s">
        <v>6703</v>
      </c>
      <c r="B617" s="114" t="s">
        <v>1903</v>
      </c>
      <c r="C617" s="2546" t="s">
        <v>594</v>
      </c>
      <c r="D617" s="121">
        <v>150365.74993656031</v>
      </c>
    </row>
    <row r="618" spans="1:4" ht="15">
      <c r="A618" s="2546" t="s">
        <v>6704</v>
      </c>
      <c r="B618" s="114" t="s">
        <v>2926</v>
      </c>
      <c r="C618" s="2546" t="s">
        <v>595</v>
      </c>
      <c r="D618" s="121">
        <v>0</v>
      </c>
    </row>
    <row r="619" spans="1:4" ht="15">
      <c r="A619" s="2546" t="s">
        <v>6705</v>
      </c>
      <c r="B619" s="114" t="s">
        <v>2927</v>
      </c>
      <c r="C619" s="2546" t="s">
        <v>596</v>
      </c>
      <c r="D619" s="121">
        <v>0</v>
      </c>
    </row>
    <row r="620" spans="1:4" ht="15">
      <c r="A620" s="2546" t="s">
        <v>6706</v>
      </c>
      <c r="B620" s="114" t="s">
        <v>3056</v>
      </c>
      <c r="C620" s="2546" t="s">
        <v>597</v>
      </c>
      <c r="D620" s="121">
        <v>0</v>
      </c>
    </row>
    <row r="621" spans="1:4" ht="15">
      <c r="A621" s="2546" t="s">
        <v>6707</v>
      </c>
      <c r="B621" s="114" t="s">
        <v>947</v>
      </c>
      <c r="C621" s="2546" t="s">
        <v>598</v>
      </c>
      <c r="D621" s="121">
        <v>0</v>
      </c>
    </row>
    <row r="622" spans="1:4" ht="15">
      <c r="A622" s="2546" t="s">
        <v>6708</v>
      </c>
      <c r="B622" s="114" t="s">
        <v>95</v>
      </c>
      <c r="C622" s="2546" t="s">
        <v>599</v>
      </c>
      <c r="D622" s="121">
        <v>170531.0574976209</v>
      </c>
    </row>
    <row r="623" spans="1:4" ht="15">
      <c r="A623" s="2546" t="s">
        <v>6709</v>
      </c>
      <c r="B623" s="114" t="s">
        <v>96</v>
      </c>
      <c r="C623" s="2546" t="s">
        <v>600</v>
      </c>
      <c r="D623" s="121">
        <v>0</v>
      </c>
    </row>
    <row r="624" spans="1:4" ht="15">
      <c r="A624" s="2546" t="s">
        <v>5875</v>
      </c>
      <c r="B624" s="114" t="s">
        <v>2607</v>
      </c>
      <c r="C624" s="2546" t="s">
        <v>640</v>
      </c>
      <c r="D624" s="121">
        <v>0</v>
      </c>
    </row>
    <row r="625" spans="1:4" ht="15">
      <c r="A625" s="2546" t="s">
        <v>7542</v>
      </c>
      <c r="B625" s="114" t="s">
        <v>2764</v>
      </c>
      <c r="C625" s="2546" t="s">
        <v>601</v>
      </c>
      <c r="D625" s="121">
        <v>0</v>
      </c>
    </row>
    <row r="626" spans="1:4" ht="15">
      <c r="A626" s="2546" t="s">
        <v>6710</v>
      </c>
      <c r="B626" s="114" t="s">
        <v>2765</v>
      </c>
      <c r="C626" s="2546" t="s">
        <v>602</v>
      </c>
      <c r="D626" s="121">
        <v>0</v>
      </c>
    </row>
    <row r="627" spans="1:4" ht="15">
      <c r="A627" s="2546" t="s">
        <v>4259</v>
      </c>
      <c r="B627" s="114" t="s">
        <v>2414</v>
      </c>
      <c r="C627" s="2546" t="s">
        <v>641</v>
      </c>
      <c r="D627" s="121">
        <v>0</v>
      </c>
    </row>
    <row r="628" spans="1:4" ht="15">
      <c r="A628" s="2546" t="s">
        <v>4260</v>
      </c>
      <c r="B628" s="114" t="s">
        <v>1603</v>
      </c>
      <c r="C628" s="2546" t="s">
        <v>2627</v>
      </c>
      <c r="D628" s="121">
        <v>0</v>
      </c>
    </row>
    <row r="629" spans="1:4" ht="15">
      <c r="A629" s="2546" t="s">
        <v>6711</v>
      </c>
      <c r="B629" s="114" t="s">
        <v>2766</v>
      </c>
      <c r="C629" s="2546" t="s">
        <v>603</v>
      </c>
      <c r="D629" s="121">
        <v>90210.475379574666</v>
      </c>
    </row>
    <row r="630" spans="1:4" ht="15">
      <c r="A630" s="2546" t="s">
        <v>4261</v>
      </c>
      <c r="B630" s="114" t="s">
        <v>538</v>
      </c>
      <c r="C630" s="2546" t="s">
        <v>1417</v>
      </c>
      <c r="D630" s="121">
        <v>0</v>
      </c>
    </row>
    <row r="631" spans="1:4" ht="15">
      <c r="A631" s="2546" t="s">
        <v>4262</v>
      </c>
      <c r="B631" s="114" t="s">
        <v>775</v>
      </c>
      <c r="C631" s="2546" t="s">
        <v>604</v>
      </c>
      <c r="D631" s="121">
        <v>0</v>
      </c>
    </row>
    <row r="632" spans="1:4" ht="15">
      <c r="A632" s="2546" t="s">
        <v>6712</v>
      </c>
      <c r="B632" s="114" t="s">
        <v>2679</v>
      </c>
      <c r="C632" s="2546" t="s">
        <v>605</v>
      </c>
      <c r="D632" s="121">
        <v>57293.05828985454</v>
      </c>
    </row>
    <row r="633" spans="1:4" ht="15">
      <c r="A633" s="2546" t="s">
        <v>7543</v>
      </c>
      <c r="B633" s="114" t="s">
        <v>2680</v>
      </c>
      <c r="C633" s="2546" t="s">
        <v>606</v>
      </c>
      <c r="D633" s="121">
        <v>0</v>
      </c>
    </row>
    <row r="634" spans="1:4" ht="15">
      <c r="A634" s="2546" t="s">
        <v>6713</v>
      </c>
      <c r="B634" s="114" t="s">
        <v>2681</v>
      </c>
      <c r="C634" s="2546" t="s">
        <v>607</v>
      </c>
      <c r="D634" s="121">
        <v>0</v>
      </c>
    </row>
    <row r="635" spans="1:4" ht="15">
      <c r="A635" s="2546" t="s">
        <v>7544</v>
      </c>
      <c r="B635" s="114" t="s">
        <v>1651</v>
      </c>
      <c r="C635" s="2546" t="s">
        <v>608</v>
      </c>
      <c r="D635" s="121">
        <v>1006.9867413187225</v>
      </c>
    </row>
    <row r="636" spans="1:4" ht="15">
      <c r="A636" s="2546" t="s">
        <v>4263</v>
      </c>
      <c r="B636" s="114" t="s">
        <v>2389</v>
      </c>
      <c r="C636" s="2546" t="s">
        <v>44</v>
      </c>
      <c r="D636" s="121">
        <v>414509.90404029138</v>
      </c>
    </row>
    <row r="637" spans="1:4" ht="15">
      <c r="A637" s="2546" t="s">
        <v>4264</v>
      </c>
      <c r="B637" s="114" t="s">
        <v>1652</v>
      </c>
      <c r="C637" s="2546" t="s">
        <v>609</v>
      </c>
      <c r="D637" s="121">
        <v>177311.20972043384</v>
      </c>
    </row>
    <row r="638" spans="1:4" ht="15">
      <c r="A638" s="2546" t="s">
        <v>6714</v>
      </c>
      <c r="B638" s="114" t="s">
        <v>418</v>
      </c>
      <c r="C638" s="2546" t="s">
        <v>610</v>
      </c>
      <c r="D638" s="121">
        <v>0</v>
      </c>
    </row>
    <row r="639" spans="1:4" ht="15">
      <c r="A639" s="2546" t="s">
        <v>6715</v>
      </c>
      <c r="B639" s="114" t="s">
        <v>419</v>
      </c>
      <c r="C639" s="2546" t="s">
        <v>611</v>
      </c>
      <c r="D639" s="121">
        <v>0</v>
      </c>
    </row>
    <row r="640" spans="1:4" ht="15">
      <c r="A640" s="2546" t="s">
        <v>6716</v>
      </c>
      <c r="B640" s="114" t="s">
        <v>420</v>
      </c>
      <c r="C640" s="2546" t="s">
        <v>612</v>
      </c>
      <c r="D640" s="121">
        <v>0</v>
      </c>
    </row>
    <row r="641" spans="1:4" ht="15">
      <c r="A641" s="2546" t="s">
        <v>6717</v>
      </c>
      <c r="B641" s="114" t="s">
        <v>1856</v>
      </c>
      <c r="C641" s="2546" t="s">
        <v>613</v>
      </c>
      <c r="D641" s="121">
        <v>0</v>
      </c>
    </row>
    <row r="642" spans="1:4" ht="15">
      <c r="A642" s="2546" t="s">
        <v>6718</v>
      </c>
      <c r="B642" s="114" t="s">
        <v>1857</v>
      </c>
      <c r="C642" s="2546" t="s">
        <v>614</v>
      </c>
      <c r="D642" s="121">
        <v>0</v>
      </c>
    </row>
    <row r="643" spans="1:4" ht="15">
      <c r="A643" s="2546" t="s">
        <v>6719</v>
      </c>
      <c r="B643" s="114" t="s">
        <v>201</v>
      </c>
      <c r="C643" s="2546" t="s">
        <v>1964</v>
      </c>
      <c r="D643" s="121">
        <v>0</v>
      </c>
    </row>
    <row r="644" spans="1:4" ht="15">
      <c r="A644" s="2546" t="s">
        <v>6720</v>
      </c>
      <c r="B644" s="114" t="s">
        <v>2438</v>
      </c>
      <c r="C644" s="2546" t="s">
        <v>1965</v>
      </c>
      <c r="D644" s="121">
        <v>0</v>
      </c>
    </row>
    <row r="645" spans="1:4" ht="15">
      <c r="A645" s="2546" t="s">
        <v>6721</v>
      </c>
      <c r="B645" s="114" t="s">
        <v>2439</v>
      </c>
      <c r="C645" s="2546" t="s">
        <v>1966</v>
      </c>
      <c r="D645" s="121">
        <v>0</v>
      </c>
    </row>
    <row r="646" spans="1:4" ht="15">
      <c r="A646" s="2546" t="s">
        <v>7545</v>
      </c>
      <c r="B646" s="114" t="s">
        <v>2440</v>
      </c>
      <c r="C646" s="2546" t="s">
        <v>1967</v>
      </c>
      <c r="D646" s="121">
        <v>0</v>
      </c>
    </row>
    <row r="647" spans="1:4" ht="15">
      <c r="A647" s="2546" t="s">
        <v>4265</v>
      </c>
      <c r="B647" s="114" t="s">
        <v>2057</v>
      </c>
      <c r="C647" s="2546" t="s">
        <v>1213</v>
      </c>
      <c r="D647" s="121">
        <v>0</v>
      </c>
    </row>
    <row r="648" spans="1:4" ht="15">
      <c r="A648" s="2546" t="s">
        <v>4266</v>
      </c>
      <c r="B648" s="114" t="s">
        <v>992</v>
      </c>
      <c r="C648" s="2546" t="s">
        <v>2120</v>
      </c>
      <c r="D648" s="121">
        <v>16993.805955556018</v>
      </c>
    </row>
    <row r="649" spans="1:4" ht="15">
      <c r="A649" s="2546" t="s">
        <v>7546</v>
      </c>
      <c r="B649" s="114" t="s">
        <v>1583</v>
      </c>
      <c r="C649" s="2546" t="s">
        <v>1968</v>
      </c>
      <c r="D649" s="121">
        <v>0</v>
      </c>
    </row>
    <row r="650" spans="1:4" ht="15">
      <c r="A650" s="2546" t="s">
        <v>4267</v>
      </c>
      <c r="B650" s="114" t="s">
        <v>2265</v>
      </c>
      <c r="C650" s="2546" t="s">
        <v>2547</v>
      </c>
      <c r="D650" s="121">
        <v>0</v>
      </c>
    </row>
    <row r="651" spans="1:4" ht="15">
      <c r="A651" s="2546" t="s">
        <v>4268</v>
      </c>
      <c r="B651" s="114" t="s">
        <v>1094</v>
      </c>
      <c r="C651" s="2546" t="s">
        <v>457</v>
      </c>
      <c r="D651" s="121">
        <v>0</v>
      </c>
    </row>
    <row r="652" spans="1:4" ht="15">
      <c r="A652" s="2546" t="s">
        <v>6722</v>
      </c>
      <c r="B652" s="114" t="s">
        <v>1012</v>
      </c>
      <c r="C652" s="2546" t="s">
        <v>2195</v>
      </c>
      <c r="D652" s="121">
        <v>0</v>
      </c>
    </row>
    <row r="653" spans="1:4" ht="15">
      <c r="A653" s="2546" t="s">
        <v>4269</v>
      </c>
      <c r="B653" s="114" t="s">
        <v>800</v>
      </c>
      <c r="C653" s="2546" t="s">
        <v>2172</v>
      </c>
      <c r="D653" s="121">
        <v>0</v>
      </c>
    </row>
    <row r="654" spans="1:4" ht="15">
      <c r="A654" s="2546" t="s">
        <v>4270</v>
      </c>
      <c r="B654" s="114" t="s">
        <v>1095</v>
      </c>
      <c r="C654" s="2546" t="s">
        <v>1426</v>
      </c>
      <c r="D654" s="121">
        <v>0</v>
      </c>
    </row>
    <row r="655" spans="1:4" ht="15">
      <c r="A655" s="2546" t="s">
        <v>4271</v>
      </c>
      <c r="B655" s="114" t="s">
        <v>2096</v>
      </c>
      <c r="C655" s="2546" t="s">
        <v>2358</v>
      </c>
      <c r="D655" s="121">
        <v>0</v>
      </c>
    </row>
    <row r="656" spans="1:4" ht="15">
      <c r="A656" s="2546" t="s">
        <v>4272</v>
      </c>
      <c r="B656" s="114" t="s">
        <v>1735</v>
      </c>
      <c r="C656" s="2546" t="s">
        <v>927</v>
      </c>
      <c r="D656" s="121">
        <v>0</v>
      </c>
    </row>
    <row r="657" spans="1:4" ht="15">
      <c r="A657" s="2546" t="s">
        <v>4273</v>
      </c>
      <c r="B657" s="114" t="s">
        <v>134</v>
      </c>
      <c r="C657" s="2546" t="s">
        <v>1969</v>
      </c>
      <c r="D657" s="121">
        <v>0</v>
      </c>
    </row>
    <row r="658" spans="1:4" ht="15">
      <c r="A658" s="2546" t="s">
        <v>4274</v>
      </c>
      <c r="B658" s="114" t="s">
        <v>2384</v>
      </c>
      <c r="C658" s="2546" t="s">
        <v>1958</v>
      </c>
      <c r="D658" s="121">
        <v>0</v>
      </c>
    </row>
    <row r="659" spans="1:4" ht="15">
      <c r="A659" s="2546" t="s">
        <v>4275</v>
      </c>
      <c r="B659" s="114" t="s">
        <v>373</v>
      </c>
      <c r="C659" s="2546" t="s">
        <v>157</v>
      </c>
      <c r="D659" s="121">
        <v>0</v>
      </c>
    </row>
    <row r="660" spans="1:4" ht="15">
      <c r="A660" s="2546" t="s">
        <v>4276</v>
      </c>
      <c r="B660" s="114" t="s">
        <v>376</v>
      </c>
      <c r="C660" s="2546" t="s">
        <v>1610</v>
      </c>
      <c r="D660" s="121">
        <v>0</v>
      </c>
    </row>
    <row r="661" spans="1:4" ht="15">
      <c r="A661" s="2546" t="s">
        <v>7547</v>
      </c>
      <c r="B661" s="114" t="s">
        <v>2819</v>
      </c>
      <c r="C661" s="2546" t="s">
        <v>1970</v>
      </c>
      <c r="D661" s="121">
        <v>0</v>
      </c>
    </row>
    <row r="662" spans="1:4" ht="15">
      <c r="A662" s="2546" t="s">
        <v>4277</v>
      </c>
      <c r="B662" s="114" t="s">
        <v>2820</v>
      </c>
      <c r="C662" s="2546" t="s">
        <v>1971</v>
      </c>
      <c r="D662" s="121">
        <v>0</v>
      </c>
    </row>
    <row r="663" spans="1:4" ht="15">
      <c r="A663" s="2546" t="s">
        <v>4278</v>
      </c>
      <c r="B663" s="114" t="s">
        <v>85</v>
      </c>
      <c r="C663" s="2546" t="s">
        <v>1325</v>
      </c>
      <c r="D663" s="121">
        <v>0</v>
      </c>
    </row>
    <row r="664" spans="1:4" ht="15">
      <c r="A664" s="2546" t="s">
        <v>4279</v>
      </c>
      <c r="B664" s="114" t="s">
        <v>2638</v>
      </c>
      <c r="C664" s="2546" t="s">
        <v>1745</v>
      </c>
      <c r="D664" s="121">
        <v>0</v>
      </c>
    </row>
    <row r="665" spans="1:4" ht="15">
      <c r="A665" s="2546" t="s">
        <v>4280</v>
      </c>
      <c r="B665" s="114" t="s">
        <v>190</v>
      </c>
      <c r="C665" s="2546" t="s">
        <v>3097</v>
      </c>
      <c r="D665" s="121">
        <v>0</v>
      </c>
    </row>
    <row r="666" spans="1:4" ht="15">
      <c r="A666" s="2546" t="s">
        <v>4281</v>
      </c>
      <c r="B666" s="114" t="s">
        <v>991</v>
      </c>
      <c r="C666" s="2546" t="s">
        <v>1524</v>
      </c>
      <c r="D666" s="121">
        <v>0</v>
      </c>
    </row>
    <row r="667" spans="1:4" ht="15">
      <c r="A667" s="2546" t="s">
        <v>6723</v>
      </c>
      <c r="B667" s="114" t="s">
        <v>2098</v>
      </c>
      <c r="C667" s="2546" t="s">
        <v>1972</v>
      </c>
      <c r="D667" s="121">
        <v>0</v>
      </c>
    </row>
    <row r="668" spans="1:4" ht="15">
      <c r="A668" s="2546" t="s">
        <v>7548</v>
      </c>
      <c r="B668" s="114" t="s">
        <v>287</v>
      </c>
      <c r="C668" s="2546" t="s">
        <v>1973</v>
      </c>
      <c r="D668" s="121">
        <v>0</v>
      </c>
    </row>
    <row r="669" spans="1:4" ht="15">
      <c r="A669" s="2546" t="s">
        <v>6724</v>
      </c>
      <c r="B669" s="114" t="s">
        <v>1782</v>
      </c>
      <c r="C669" s="2546" t="s">
        <v>1974</v>
      </c>
      <c r="D669" s="121">
        <v>0</v>
      </c>
    </row>
    <row r="670" spans="1:4" ht="15">
      <c r="A670" s="2546" t="s">
        <v>4282</v>
      </c>
      <c r="B670" s="114" t="s">
        <v>1296</v>
      </c>
      <c r="C670" s="2546" t="s">
        <v>3066</v>
      </c>
      <c r="D670" s="121">
        <v>0</v>
      </c>
    </row>
    <row r="671" spans="1:4" ht="15">
      <c r="A671" s="2546" t="s">
        <v>4283</v>
      </c>
      <c r="B671" s="114" t="s">
        <v>2266</v>
      </c>
      <c r="C671" s="2546" t="s">
        <v>2493</v>
      </c>
      <c r="D671" s="121">
        <v>0</v>
      </c>
    </row>
    <row r="672" spans="1:4" ht="15">
      <c r="A672" s="2546" t="s">
        <v>4284</v>
      </c>
      <c r="B672" s="114" t="s">
        <v>1036</v>
      </c>
      <c r="C672" s="2546" t="s">
        <v>2563</v>
      </c>
      <c r="D672" s="121">
        <v>0</v>
      </c>
    </row>
    <row r="673" spans="1:4" ht="15">
      <c r="A673" s="2546" t="s">
        <v>4285</v>
      </c>
      <c r="B673" s="114" t="s">
        <v>199</v>
      </c>
      <c r="C673" s="2546" t="s">
        <v>2729</v>
      </c>
      <c r="D673" s="121">
        <v>0</v>
      </c>
    </row>
    <row r="674" spans="1:4" ht="15">
      <c r="A674" s="2546" t="s">
        <v>4286</v>
      </c>
      <c r="B674" s="114" t="s">
        <v>2896</v>
      </c>
      <c r="C674" s="2546" t="s">
        <v>931</v>
      </c>
      <c r="D674" s="121">
        <v>0</v>
      </c>
    </row>
    <row r="675" spans="1:4" ht="15">
      <c r="A675" s="2546" t="s">
        <v>7549</v>
      </c>
      <c r="B675" s="114" t="s">
        <v>2978</v>
      </c>
      <c r="C675" s="2546" t="s">
        <v>1975</v>
      </c>
      <c r="D675" s="121">
        <v>0</v>
      </c>
    </row>
    <row r="676" spans="1:4" ht="15">
      <c r="A676" s="2546" t="s">
        <v>4287</v>
      </c>
      <c r="B676" s="114" t="s">
        <v>2899</v>
      </c>
      <c r="C676" s="2546" t="s">
        <v>2555</v>
      </c>
      <c r="D676" s="121">
        <v>1239490.6675537545</v>
      </c>
    </row>
    <row r="677" spans="1:4" ht="15">
      <c r="A677" s="2546" t="s">
        <v>6725</v>
      </c>
      <c r="B677" s="114" t="s">
        <v>1475</v>
      </c>
      <c r="C677" s="2546" t="s">
        <v>1976</v>
      </c>
      <c r="D677" s="121">
        <v>79551.952564179082</v>
      </c>
    </row>
    <row r="678" spans="1:4" ht="15">
      <c r="A678" s="2546" t="s">
        <v>4288</v>
      </c>
      <c r="B678" s="114" t="s">
        <v>2156</v>
      </c>
      <c r="C678" s="2546" t="s">
        <v>727</v>
      </c>
      <c r="D678" s="121">
        <v>0</v>
      </c>
    </row>
    <row r="679" spans="1:4" ht="15">
      <c r="A679" s="2546" t="s">
        <v>7550</v>
      </c>
      <c r="B679" s="114" t="s">
        <v>1536</v>
      </c>
      <c r="C679" s="2546" t="s">
        <v>1977</v>
      </c>
      <c r="D679" s="121">
        <v>3728.7942198903152</v>
      </c>
    </row>
    <row r="680" spans="1:4" ht="15">
      <c r="A680" s="2546" t="s">
        <v>6726</v>
      </c>
      <c r="B680" s="114" t="s">
        <v>2900</v>
      </c>
      <c r="C680" s="2546" t="s">
        <v>1978</v>
      </c>
      <c r="D680" s="121">
        <v>0</v>
      </c>
    </row>
    <row r="681" spans="1:4" ht="15">
      <c r="A681" s="2546" t="s">
        <v>6727</v>
      </c>
      <c r="B681" s="114" t="s">
        <v>2513</v>
      </c>
      <c r="C681" s="2546" t="s">
        <v>1979</v>
      </c>
      <c r="D681" s="121">
        <v>0</v>
      </c>
    </row>
    <row r="682" spans="1:4" ht="15">
      <c r="A682" s="2546" t="s">
        <v>6728</v>
      </c>
      <c r="B682" s="114" t="s">
        <v>1046</v>
      </c>
      <c r="C682" s="2546" t="s">
        <v>1980</v>
      </c>
      <c r="D682" s="121">
        <v>0</v>
      </c>
    </row>
    <row r="683" spans="1:4" ht="15">
      <c r="A683" s="2546" t="s">
        <v>4289</v>
      </c>
      <c r="B683" s="114" t="s">
        <v>409</v>
      </c>
      <c r="C683" s="2546" t="s">
        <v>3033</v>
      </c>
      <c r="D683" s="121">
        <v>0</v>
      </c>
    </row>
    <row r="684" spans="1:4" ht="15">
      <c r="A684" s="2546" t="s">
        <v>4290</v>
      </c>
      <c r="B684" s="114" t="s">
        <v>1436</v>
      </c>
      <c r="C684" s="2546" t="s">
        <v>972</v>
      </c>
      <c r="D684" s="121">
        <v>0</v>
      </c>
    </row>
    <row r="685" spans="1:4" ht="15">
      <c r="A685" s="2546" t="s">
        <v>7551</v>
      </c>
      <c r="B685" s="114" t="s">
        <v>3070</v>
      </c>
      <c r="C685" s="2546" t="s">
        <v>1981</v>
      </c>
      <c r="D685" s="121">
        <v>0</v>
      </c>
    </row>
    <row r="686" spans="1:4" ht="15">
      <c r="A686" s="2546" t="s">
        <v>4291</v>
      </c>
      <c r="B686" s="114" t="s">
        <v>2267</v>
      </c>
      <c r="C686" s="2546" t="s">
        <v>86</v>
      </c>
      <c r="D686" s="121">
        <v>0</v>
      </c>
    </row>
    <row r="687" spans="1:4" ht="15">
      <c r="A687" s="2546" t="s">
        <v>6729</v>
      </c>
      <c r="B687" s="114" t="s">
        <v>3072</v>
      </c>
      <c r="C687" s="2546" t="s">
        <v>1983</v>
      </c>
      <c r="D687" s="121">
        <v>118218.40991399146</v>
      </c>
    </row>
    <row r="688" spans="1:4" ht="15">
      <c r="A688" s="2546" t="s">
        <v>6730</v>
      </c>
      <c r="B688" s="114" t="s">
        <v>3073</v>
      </c>
      <c r="C688" s="2546" t="s">
        <v>1984</v>
      </c>
      <c r="D688" s="121">
        <v>550.53755239322584</v>
      </c>
    </row>
    <row r="689" spans="1:4" ht="15">
      <c r="A689" s="2546" t="s">
        <v>7552</v>
      </c>
      <c r="B689" s="114" t="s">
        <v>1676</v>
      </c>
      <c r="C689" s="2546" t="s">
        <v>1985</v>
      </c>
      <c r="D689" s="121">
        <v>0</v>
      </c>
    </row>
    <row r="690" spans="1:4" ht="15">
      <c r="A690" s="2546" t="s">
        <v>4292</v>
      </c>
      <c r="B690" s="114" t="s">
        <v>1494</v>
      </c>
      <c r="C690" s="2546" t="s">
        <v>1542</v>
      </c>
      <c r="D690" s="121">
        <v>104273.54943921792</v>
      </c>
    </row>
    <row r="691" spans="1:4" ht="15">
      <c r="A691" s="2546" t="s">
        <v>7553</v>
      </c>
      <c r="B691" s="114" t="s">
        <v>1612</v>
      </c>
      <c r="C691" s="2546" t="s">
        <v>1543</v>
      </c>
      <c r="D691" s="121">
        <v>0</v>
      </c>
    </row>
    <row r="692" spans="1:4" ht="15">
      <c r="A692" s="2546" t="s">
        <v>6731</v>
      </c>
      <c r="B692" s="114" t="s">
        <v>910</v>
      </c>
      <c r="C692" s="2546" t="s">
        <v>1544</v>
      </c>
      <c r="D692" s="121">
        <v>42339.763560478154</v>
      </c>
    </row>
    <row r="693" spans="1:4" ht="15">
      <c r="A693" s="2546" t="s">
        <v>7554</v>
      </c>
      <c r="B693" s="114" t="s">
        <v>1685</v>
      </c>
      <c r="C693" s="2546" t="s">
        <v>2564</v>
      </c>
      <c r="D693" s="121">
        <v>0</v>
      </c>
    </row>
    <row r="694" spans="1:4" ht="15">
      <c r="A694" s="2546" t="s">
        <v>7555</v>
      </c>
      <c r="B694" s="114" t="s">
        <v>1686</v>
      </c>
      <c r="C694" s="2546" t="s">
        <v>2565</v>
      </c>
      <c r="D694" s="121">
        <v>0</v>
      </c>
    </row>
    <row r="695" spans="1:4" ht="15">
      <c r="A695" s="2546" t="s">
        <v>6732</v>
      </c>
      <c r="B695" s="114" t="s">
        <v>1445</v>
      </c>
      <c r="C695" s="2546" t="s">
        <v>2566</v>
      </c>
      <c r="D695" s="121">
        <v>69604.158771285875</v>
      </c>
    </row>
    <row r="696" spans="1:4" ht="15">
      <c r="A696" s="2546" t="s">
        <v>6733</v>
      </c>
      <c r="B696" s="114" t="s">
        <v>1724</v>
      </c>
      <c r="C696" s="2546" t="s">
        <v>2567</v>
      </c>
      <c r="D696" s="121">
        <v>30371.241222954955</v>
      </c>
    </row>
    <row r="697" spans="1:4" ht="15">
      <c r="A697" s="2546" t="s">
        <v>4293</v>
      </c>
      <c r="B697" s="114" t="s">
        <v>2639</v>
      </c>
      <c r="C697" s="2546" t="s">
        <v>1746</v>
      </c>
      <c r="D697" s="121">
        <v>0</v>
      </c>
    </row>
    <row r="698" spans="1:4" ht="15">
      <c r="A698" s="2546" t="s">
        <v>6734</v>
      </c>
      <c r="B698" s="114" t="s">
        <v>1725</v>
      </c>
      <c r="C698" s="2546" t="s">
        <v>2568</v>
      </c>
      <c r="D698" s="121">
        <v>0</v>
      </c>
    </row>
    <row r="699" spans="1:4" ht="15">
      <c r="A699" s="2546" t="s">
        <v>4294</v>
      </c>
      <c r="B699" s="114" t="s">
        <v>1349</v>
      </c>
      <c r="C699" s="2546" t="s">
        <v>1288</v>
      </c>
      <c r="D699" s="121">
        <v>0</v>
      </c>
    </row>
    <row r="700" spans="1:4" ht="15">
      <c r="A700" s="2546" t="s">
        <v>4295</v>
      </c>
      <c r="B700" s="114" t="s">
        <v>378</v>
      </c>
      <c r="C700" s="2546" t="s">
        <v>319</v>
      </c>
      <c r="D700" s="121">
        <v>0</v>
      </c>
    </row>
    <row r="701" spans="1:4" ht="15">
      <c r="A701" s="2546" t="s">
        <v>4296</v>
      </c>
      <c r="B701" s="114" t="s">
        <v>1701</v>
      </c>
      <c r="C701" s="2546" t="s">
        <v>2209</v>
      </c>
      <c r="D701" s="121">
        <v>0</v>
      </c>
    </row>
    <row r="702" spans="1:4" ht="15">
      <c r="A702" s="2546" t="s">
        <v>4297</v>
      </c>
      <c r="B702" s="114" t="s">
        <v>801</v>
      </c>
      <c r="C702" s="2546" t="s">
        <v>1305</v>
      </c>
      <c r="D702" s="121">
        <v>0</v>
      </c>
    </row>
    <row r="703" spans="1:4" ht="15">
      <c r="A703" s="2546" t="s">
        <v>6735</v>
      </c>
      <c r="B703" s="114" t="s">
        <v>2134</v>
      </c>
      <c r="C703" s="2546" t="s">
        <v>2569</v>
      </c>
      <c r="D703" s="121">
        <v>96690.027343718946</v>
      </c>
    </row>
    <row r="704" spans="1:4" ht="15">
      <c r="A704" s="2546" t="s">
        <v>6736</v>
      </c>
      <c r="B704" s="114" t="s">
        <v>2135</v>
      </c>
      <c r="C704" s="2546" t="s">
        <v>2570</v>
      </c>
      <c r="D704" s="121">
        <v>39451.492054232884</v>
      </c>
    </row>
    <row r="705" spans="1:4" ht="15">
      <c r="A705" s="2546" t="s">
        <v>6737</v>
      </c>
      <c r="B705" s="114" t="s">
        <v>2136</v>
      </c>
      <c r="C705" s="2546" t="s">
        <v>2571</v>
      </c>
      <c r="D705" s="121">
        <v>30081.256061703134</v>
      </c>
    </row>
    <row r="706" spans="1:4" ht="15">
      <c r="A706" s="2546" t="s">
        <v>6738</v>
      </c>
      <c r="B706" s="114" t="s">
        <v>2137</v>
      </c>
      <c r="C706" s="2546" t="s">
        <v>3024</v>
      </c>
      <c r="D706" s="121">
        <v>0</v>
      </c>
    </row>
    <row r="707" spans="1:4" ht="15">
      <c r="A707" s="2546" t="s">
        <v>7556</v>
      </c>
      <c r="B707" s="114" t="s">
        <v>2685</v>
      </c>
      <c r="C707" s="2546" t="s">
        <v>2573</v>
      </c>
      <c r="D707" s="121">
        <v>0</v>
      </c>
    </row>
    <row r="708" spans="1:4" ht="15">
      <c r="A708" s="2546" t="s">
        <v>4298</v>
      </c>
      <c r="B708" s="114" t="s">
        <v>802</v>
      </c>
      <c r="C708" s="2546" t="s">
        <v>1326</v>
      </c>
      <c r="D708" s="121">
        <v>213397.23338909028</v>
      </c>
    </row>
    <row r="709" spans="1:4" ht="15">
      <c r="A709" s="2546" t="s">
        <v>6739</v>
      </c>
      <c r="B709" s="114" t="s">
        <v>570</v>
      </c>
      <c r="C709" s="2546" t="s">
        <v>2574</v>
      </c>
      <c r="D709" s="121">
        <v>0</v>
      </c>
    </row>
    <row r="710" spans="1:4" ht="15">
      <c r="A710" s="2546" t="s">
        <v>4299</v>
      </c>
      <c r="B710" s="114" t="s">
        <v>803</v>
      </c>
      <c r="C710" s="2546" t="s">
        <v>493</v>
      </c>
      <c r="D710" s="121">
        <v>0</v>
      </c>
    </row>
    <row r="711" spans="1:4" ht="15">
      <c r="A711" s="2546" t="s">
        <v>6740</v>
      </c>
      <c r="B711" s="114" t="s">
        <v>571</v>
      </c>
      <c r="C711" s="2546" t="s">
        <v>2575</v>
      </c>
      <c r="D711" s="121">
        <v>0</v>
      </c>
    </row>
    <row r="712" spans="1:4" ht="15">
      <c r="A712" s="2546" t="s">
        <v>4300</v>
      </c>
      <c r="B712" s="114" t="s">
        <v>410</v>
      </c>
      <c r="C712" s="2546" t="s">
        <v>1291</v>
      </c>
      <c r="D712" s="121">
        <v>203597.56845560524</v>
      </c>
    </row>
    <row r="713" spans="1:4" ht="15">
      <c r="A713" s="2546" t="s">
        <v>4301</v>
      </c>
      <c r="B713" s="114" t="s">
        <v>572</v>
      </c>
      <c r="C713" s="2546" t="s">
        <v>2576</v>
      </c>
      <c r="D713" s="121">
        <v>0</v>
      </c>
    </row>
    <row r="714" spans="1:4" ht="15">
      <c r="A714" s="2546" t="s">
        <v>6019</v>
      </c>
      <c r="B714" s="114" t="s">
        <v>573</v>
      </c>
      <c r="C714" s="2546" t="s">
        <v>2577</v>
      </c>
      <c r="D714" s="121">
        <v>11877.811505051744</v>
      </c>
    </row>
    <row r="715" spans="1:4" ht="15">
      <c r="A715" s="2546" t="s">
        <v>6741</v>
      </c>
      <c r="B715" s="114" t="s">
        <v>877</v>
      </c>
      <c r="C715" s="2546" t="s">
        <v>1003</v>
      </c>
      <c r="D715" s="121">
        <v>0</v>
      </c>
    </row>
    <row r="716" spans="1:4" ht="15">
      <c r="A716" s="2546" t="s">
        <v>7557</v>
      </c>
      <c r="B716" s="114" t="s">
        <v>574</v>
      </c>
      <c r="C716" s="2546" t="s">
        <v>2578</v>
      </c>
      <c r="D716" s="121">
        <v>0</v>
      </c>
    </row>
    <row r="717" spans="1:4" ht="15">
      <c r="A717" s="2546" t="s">
        <v>6742</v>
      </c>
      <c r="B717" s="114" t="s">
        <v>575</v>
      </c>
      <c r="C717" s="2546" t="s">
        <v>339</v>
      </c>
      <c r="D717" s="121">
        <v>0</v>
      </c>
    </row>
    <row r="718" spans="1:4" ht="15">
      <c r="A718" s="2546" t="s">
        <v>4302</v>
      </c>
      <c r="B718" s="114" t="s">
        <v>2754</v>
      </c>
      <c r="C718" s="2546" t="s">
        <v>1257</v>
      </c>
      <c r="D718" s="121">
        <v>0</v>
      </c>
    </row>
    <row r="719" spans="1:4" ht="15">
      <c r="A719" s="2546" t="s">
        <v>4303</v>
      </c>
      <c r="B719" s="114" t="s">
        <v>2761</v>
      </c>
      <c r="C719" s="2546" t="s">
        <v>3060</v>
      </c>
      <c r="D719" s="121">
        <v>0</v>
      </c>
    </row>
    <row r="720" spans="1:4" ht="15">
      <c r="A720" s="2546" t="s">
        <v>6743</v>
      </c>
      <c r="B720" s="114" t="s">
        <v>20</v>
      </c>
      <c r="C720" s="2546" t="s">
        <v>340</v>
      </c>
      <c r="D720" s="121">
        <v>0</v>
      </c>
    </row>
    <row r="721" spans="1:4" ht="15">
      <c r="A721" s="2546" t="s">
        <v>4304</v>
      </c>
      <c r="B721" s="114" t="s">
        <v>804</v>
      </c>
      <c r="C721" s="2546" t="s">
        <v>2877</v>
      </c>
      <c r="D721" s="121">
        <v>0</v>
      </c>
    </row>
    <row r="722" spans="1:4" ht="15">
      <c r="A722" s="2546" t="s">
        <v>6744</v>
      </c>
      <c r="B722" s="114" t="s">
        <v>21</v>
      </c>
      <c r="C722" s="2546" t="s">
        <v>341</v>
      </c>
      <c r="D722" s="121">
        <v>0</v>
      </c>
    </row>
    <row r="723" spans="1:4" ht="15">
      <c r="A723" s="2546" t="s">
        <v>4305</v>
      </c>
      <c r="B723" s="114" t="s">
        <v>2383</v>
      </c>
      <c r="C723" s="2546" t="s">
        <v>93</v>
      </c>
      <c r="D723" s="121">
        <v>0</v>
      </c>
    </row>
    <row r="724" spans="1:4" ht="15">
      <c r="A724" s="2546" t="s">
        <v>6745</v>
      </c>
      <c r="B724" s="114" t="s">
        <v>22</v>
      </c>
      <c r="C724" s="2546" t="s">
        <v>342</v>
      </c>
      <c r="D724" s="121">
        <v>66007.088260250384</v>
      </c>
    </row>
    <row r="725" spans="1:4" ht="15">
      <c r="A725" s="2546" t="s">
        <v>4306</v>
      </c>
      <c r="B725" s="114" t="s">
        <v>1159</v>
      </c>
      <c r="C725" s="2546" t="s">
        <v>2609</v>
      </c>
      <c r="D725" s="121">
        <v>73796.639746522284</v>
      </c>
    </row>
    <row r="726" spans="1:4" ht="15">
      <c r="A726" s="2546" t="s">
        <v>4307</v>
      </c>
      <c r="B726" s="114" t="s">
        <v>2268</v>
      </c>
      <c r="C726" s="2546" t="s">
        <v>3067</v>
      </c>
      <c r="D726" s="121">
        <v>0</v>
      </c>
    </row>
    <row r="727" spans="1:4" ht="15">
      <c r="A727" s="2546" t="s">
        <v>4308</v>
      </c>
      <c r="B727" s="114" t="s">
        <v>1736</v>
      </c>
      <c r="C727" s="2546" t="s">
        <v>4583</v>
      </c>
      <c r="D727" s="121">
        <v>248.48978044041309</v>
      </c>
    </row>
    <row r="728" spans="1:4" ht="15">
      <c r="A728" s="2546" t="s">
        <v>6746</v>
      </c>
      <c r="B728" s="114" t="s">
        <v>2145</v>
      </c>
      <c r="C728" s="2546" t="s">
        <v>343</v>
      </c>
      <c r="D728" s="121">
        <v>175045.36892635975</v>
      </c>
    </row>
    <row r="729" spans="1:4" ht="15">
      <c r="A729" s="2546" t="s">
        <v>6747</v>
      </c>
      <c r="B729" s="114" t="s">
        <v>2637</v>
      </c>
      <c r="C729" s="2546" t="s">
        <v>2657</v>
      </c>
      <c r="D729" s="121">
        <v>0</v>
      </c>
    </row>
    <row r="730" spans="1:4" ht="15">
      <c r="A730" s="2546" t="s">
        <v>6748</v>
      </c>
      <c r="B730" s="114" t="s">
        <v>464</v>
      </c>
      <c r="C730" s="2546" t="s">
        <v>345</v>
      </c>
      <c r="D730" s="121">
        <v>0</v>
      </c>
    </row>
    <row r="731" spans="1:4" ht="15">
      <c r="A731" s="2546" t="s">
        <v>6749</v>
      </c>
      <c r="B731" s="114" t="s">
        <v>2858</v>
      </c>
      <c r="C731" s="2546" t="s">
        <v>346</v>
      </c>
      <c r="D731" s="121">
        <v>27311.680644755616</v>
      </c>
    </row>
    <row r="732" spans="1:4" ht="15">
      <c r="A732" s="2546" t="s">
        <v>6750</v>
      </c>
      <c r="B732" s="114" t="s">
        <v>1337</v>
      </c>
      <c r="C732" s="2546" t="s">
        <v>2658</v>
      </c>
      <c r="D732" s="121">
        <v>0</v>
      </c>
    </row>
    <row r="733" spans="1:4" ht="15">
      <c r="A733" s="2546" t="s">
        <v>6751</v>
      </c>
      <c r="B733" s="114" t="s">
        <v>1338</v>
      </c>
      <c r="C733" s="2546" t="s">
        <v>348</v>
      </c>
      <c r="D733" s="121">
        <v>0</v>
      </c>
    </row>
    <row r="734" spans="1:4" ht="15">
      <c r="A734" s="2546" t="s">
        <v>4309</v>
      </c>
      <c r="B734" s="114" t="s">
        <v>2753</v>
      </c>
      <c r="C734" s="2546" t="s">
        <v>1256</v>
      </c>
      <c r="D734" s="121">
        <v>0</v>
      </c>
    </row>
    <row r="735" spans="1:4" ht="15">
      <c r="A735" s="2546" t="s">
        <v>6752</v>
      </c>
      <c r="B735" s="114" t="s">
        <v>619</v>
      </c>
      <c r="C735" s="2546" t="s">
        <v>349</v>
      </c>
      <c r="D735" s="121">
        <v>0</v>
      </c>
    </row>
    <row r="736" spans="1:4" ht="15">
      <c r="A736" s="2546" t="s">
        <v>6753</v>
      </c>
      <c r="B736" s="114" t="s">
        <v>632</v>
      </c>
      <c r="C736" s="2546" t="s">
        <v>350</v>
      </c>
      <c r="D736" s="121">
        <v>0</v>
      </c>
    </row>
    <row r="737" spans="1:4" ht="15">
      <c r="A737" s="2546" t="s">
        <v>6754</v>
      </c>
      <c r="B737" s="114" t="s">
        <v>633</v>
      </c>
      <c r="C737" s="2546" t="s">
        <v>351</v>
      </c>
      <c r="D737" s="121">
        <v>0</v>
      </c>
    </row>
    <row r="738" spans="1:4" ht="15">
      <c r="A738" s="2546" t="s">
        <v>4310</v>
      </c>
      <c r="B738" s="114" t="s">
        <v>191</v>
      </c>
      <c r="C738" s="2546" t="s">
        <v>3098</v>
      </c>
      <c r="D738" s="121">
        <v>0</v>
      </c>
    </row>
    <row r="739" spans="1:4" ht="15">
      <c r="A739" s="2546" t="s">
        <v>6755</v>
      </c>
      <c r="B739" s="114" t="s">
        <v>869</v>
      </c>
      <c r="C739" s="2546" t="s">
        <v>352</v>
      </c>
      <c r="D739" s="121">
        <v>0</v>
      </c>
    </row>
    <row r="740" spans="1:4" ht="15">
      <c r="A740" s="2546" t="s">
        <v>4311</v>
      </c>
      <c r="B740" s="114" t="s">
        <v>1087</v>
      </c>
      <c r="C740" s="2546" t="s">
        <v>353</v>
      </c>
      <c r="D740" s="121">
        <v>0</v>
      </c>
    </row>
    <row r="741" spans="1:4" ht="15">
      <c r="A741" s="2546" t="s">
        <v>6756</v>
      </c>
      <c r="B741" s="114" t="s">
        <v>2452</v>
      </c>
      <c r="C741" s="2546" t="s">
        <v>354</v>
      </c>
      <c r="D741" s="121">
        <v>0</v>
      </c>
    </row>
    <row r="742" spans="1:4" ht="15">
      <c r="A742" s="2546" t="s">
        <v>4312</v>
      </c>
      <c r="B742" s="114" t="s">
        <v>2453</v>
      </c>
      <c r="C742" s="2546" t="s">
        <v>355</v>
      </c>
      <c r="D742" s="121">
        <v>0</v>
      </c>
    </row>
    <row r="743" spans="1:4" ht="15">
      <c r="A743" s="2546" t="s">
        <v>4313</v>
      </c>
      <c r="B743" s="114" t="s">
        <v>237</v>
      </c>
      <c r="C743" s="2546" t="s">
        <v>1123</v>
      </c>
      <c r="D743" s="121">
        <v>1966430.8738294155</v>
      </c>
    </row>
    <row r="744" spans="1:4" ht="15">
      <c r="A744" s="2546" t="s">
        <v>6757</v>
      </c>
      <c r="B744" s="114" t="s">
        <v>1097</v>
      </c>
      <c r="C744" s="2546" t="s">
        <v>356</v>
      </c>
      <c r="D744" s="121">
        <v>152705.41390812452</v>
      </c>
    </row>
    <row r="745" spans="1:4" ht="15">
      <c r="A745" s="2546" t="s">
        <v>7558</v>
      </c>
      <c r="B745" s="114" t="s">
        <v>1098</v>
      </c>
      <c r="C745" s="2546" t="s">
        <v>357</v>
      </c>
      <c r="D745" s="121">
        <v>105557.01121780335</v>
      </c>
    </row>
    <row r="746" spans="1:4" ht="15">
      <c r="A746" s="2546" t="s">
        <v>6758</v>
      </c>
      <c r="B746" s="114" t="s">
        <v>1099</v>
      </c>
      <c r="C746" s="2546" t="s">
        <v>358</v>
      </c>
      <c r="D746" s="121">
        <v>42.942894095527699</v>
      </c>
    </row>
    <row r="747" spans="1:4" ht="15">
      <c r="A747" s="2546" t="s">
        <v>4314</v>
      </c>
      <c r="B747" s="114" t="s">
        <v>2225</v>
      </c>
      <c r="C747" s="2546" t="s">
        <v>2121</v>
      </c>
      <c r="D747" s="121">
        <v>0</v>
      </c>
    </row>
    <row r="748" spans="1:4" ht="15">
      <c r="A748" s="2546" t="s">
        <v>6759</v>
      </c>
      <c r="B748" s="114" t="s">
        <v>1100</v>
      </c>
      <c r="C748" s="2546" t="s">
        <v>359</v>
      </c>
      <c r="D748" s="121">
        <v>0</v>
      </c>
    </row>
    <row r="749" spans="1:4" ht="15">
      <c r="A749" s="2546" t="s">
        <v>6760</v>
      </c>
      <c r="B749" s="114" t="s">
        <v>1101</v>
      </c>
      <c r="C749" s="2546" t="s">
        <v>2659</v>
      </c>
      <c r="D749" s="121">
        <v>0</v>
      </c>
    </row>
    <row r="750" spans="1:4" ht="15">
      <c r="A750" s="2546" t="s">
        <v>4315</v>
      </c>
      <c r="B750" s="114" t="s">
        <v>1655</v>
      </c>
      <c r="C750" s="2546" t="s">
        <v>156</v>
      </c>
      <c r="D750" s="121">
        <v>0</v>
      </c>
    </row>
    <row r="751" spans="1:4" ht="15">
      <c r="A751" s="2546" t="s">
        <v>6761</v>
      </c>
      <c r="B751" s="114" t="s">
        <v>1248</v>
      </c>
      <c r="C751" s="2546" t="s">
        <v>4584</v>
      </c>
      <c r="D751" s="121">
        <v>0</v>
      </c>
    </row>
    <row r="752" spans="1:4" ht="15">
      <c r="A752" s="2546" t="s">
        <v>6762</v>
      </c>
      <c r="B752" s="114" t="s">
        <v>1249</v>
      </c>
      <c r="C752" s="2546" t="s">
        <v>362</v>
      </c>
      <c r="D752" s="121">
        <v>0</v>
      </c>
    </row>
    <row r="753" spans="1:4" ht="15">
      <c r="A753" s="2546" t="s">
        <v>6763</v>
      </c>
      <c r="B753" s="114" t="s">
        <v>1250</v>
      </c>
      <c r="C753" s="2546" t="s">
        <v>363</v>
      </c>
      <c r="D753" s="121">
        <v>0</v>
      </c>
    </row>
    <row r="754" spans="1:4" ht="15">
      <c r="A754" s="2546" t="s">
        <v>4316</v>
      </c>
      <c r="B754" s="114" t="s">
        <v>2902</v>
      </c>
      <c r="C754" s="2546" t="s">
        <v>2559</v>
      </c>
      <c r="D754" s="121">
        <v>0</v>
      </c>
    </row>
    <row r="755" spans="1:4" ht="15">
      <c r="A755" s="2546" t="s">
        <v>6764</v>
      </c>
      <c r="B755" s="114" t="s">
        <v>1529</v>
      </c>
      <c r="C755" s="2546" t="s">
        <v>364</v>
      </c>
      <c r="D755" s="121">
        <v>0</v>
      </c>
    </row>
    <row r="756" spans="1:4" ht="15">
      <c r="A756" s="2546" t="s">
        <v>7559</v>
      </c>
      <c r="B756" s="114" t="s">
        <v>1530</v>
      </c>
      <c r="C756" s="2546" t="s">
        <v>365</v>
      </c>
      <c r="D756" s="121">
        <v>36173.356970131594</v>
      </c>
    </row>
    <row r="757" spans="1:4" ht="15">
      <c r="A757" s="2546" t="s">
        <v>6765</v>
      </c>
      <c r="B757" s="114" t="s">
        <v>1531</v>
      </c>
      <c r="C757" s="2546" t="s">
        <v>471</v>
      </c>
      <c r="D757" s="121">
        <v>0</v>
      </c>
    </row>
    <row r="758" spans="1:4" ht="15">
      <c r="A758" s="2546" t="s">
        <v>6766</v>
      </c>
      <c r="B758" s="114" t="s">
        <v>1532</v>
      </c>
      <c r="C758" s="2546" t="s">
        <v>472</v>
      </c>
      <c r="D758" s="121">
        <v>0</v>
      </c>
    </row>
    <row r="759" spans="1:4" ht="15">
      <c r="A759" s="2546" t="s">
        <v>6767</v>
      </c>
      <c r="B759" s="114" t="s">
        <v>1533</v>
      </c>
      <c r="C759" s="2546" t="s">
        <v>473</v>
      </c>
      <c r="D759" s="121">
        <v>0</v>
      </c>
    </row>
    <row r="760" spans="1:4" ht="15">
      <c r="A760" s="2546" t="s">
        <v>4317</v>
      </c>
      <c r="B760" s="114" t="s">
        <v>2974</v>
      </c>
      <c r="C760" s="2546" t="s">
        <v>494</v>
      </c>
      <c r="D760" s="121">
        <v>0</v>
      </c>
    </row>
    <row r="761" spans="1:4" ht="15">
      <c r="A761" s="2546" t="s">
        <v>4318</v>
      </c>
      <c r="B761" s="114" t="s">
        <v>805</v>
      </c>
      <c r="C761" s="2546" t="s">
        <v>1130</v>
      </c>
      <c r="D761" s="121">
        <v>0</v>
      </c>
    </row>
    <row r="762" spans="1:4" ht="15">
      <c r="A762" s="2546" t="s">
        <v>4319</v>
      </c>
      <c r="B762" s="114" t="s">
        <v>1703</v>
      </c>
      <c r="C762" s="2546" t="s">
        <v>2211</v>
      </c>
      <c r="D762" s="121">
        <v>0</v>
      </c>
    </row>
    <row r="763" spans="1:4" ht="15">
      <c r="A763" s="2546" t="s">
        <v>4320</v>
      </c>
      <c r="B763" s="114" t="s">
        <v>1656</v>
      </c>
      <c r="C763" s="2546" t="s">
        <v>161</v>
      </c>
      <c r="D763" s="121">
        <v>0</v>
      </c>
    </row>
    <row r="764" spans="1:4" ht="15">
      <c r="A764" s="2546" t="s">
        <v>4321</v>
      </c>
      <c r="B764" s="114" t="s">
        <v>2901</v>
      </c>
      <c r="C764" s="2546" t="s">
        <v>2558</v>
      </c>
      <c r="D764" s="121">
        <v>0</v>
      </c>
    </row>
    <row r="765" spans="1:4" ht="15">
      <c r="A765" s="2546" t="s">
        <v>6768</v>
      </c>
      <c r="B765" s="114" t="s">
        <v>1563</v>
      </c>
      <c r="C765" s="2546" t="s">
        <v>474</v>
      </c>
      <c r="D765" s="121">
        <v>0</v>
      </c>
    </row>
    <row r="766" spans="1:4" ht="15">
      <c r="A766" s="2546" t="s">
        <v>4322</v>
      </c>
      <c r="B766" s="114" t="s">
        <v>236</v>
      </c>
      <c r="C766" s="2546" t="s">
        <v>2988</v>
      </c>
      <c r="D766" s="121">
        <v>0</v>
      </c>
    </row>
    <row r="767" spans="1:4" ht="15">
      <c r="A767" s="2546" t="s">
        <v>4323</v>
      </c>
      <c r="B767" s="114" t="s">
        <v>2144</v>
      </c>
      <c r="C767" s="2546" t="s">
        <v>2122</v>
      </c>
      <c r="D767" s="121">
        <v>0</v>
      </c>
    </row>
    <row r="768" spans="1:4" ht="15">
      <c r="A768" s="2546" t="s">
        <v>6769</v>
      </c>
      <c r="B768" s="114" t="s">
        <v>1834</v>
      </c>
      <c r="C768" s="2546" t="s">
        <v>475</v>
      </c>
      <c r="D768" s="121">
        <v>0</v>
      </c>
    </row>
    <row r="769" spans="1:4" ht="15">
      <c r="A769" s="2546" t="s">
        <v>7560</v>
      </c>
      <c r="B769" s="114" t="s">
        <v>1835</v>
      </c>
      <c r="C769" s="2546" t="s">
        <v>476</v>
      </c>
      <c r="D769" s="121">
        <v>129453.52552089443</v>
      </c>
    </row>
    <row r="770" spans="1:4" ht="15">
      <c r="A770" s="2546" t="s">
        <v>7561</v>
      </c>
      <c r="B770" s="114" t="s">
        <v>1836</v>
      </c>
      <c r="C770" s="2546" t="s">
        <v>477</v>
      </c>
      <c r="D770" s="121">
        <v>0</v>
      </c>
    </row>
    <row r="771" spans="1:4" ht="15">
      <c r="A771" s="2546" t="s">
        <v>6770</v>
      </c>
      <c r="B771" s="114" t="s">
        <v>1837</v>
      </c>
      <c r="C771" s="2546" t="s">
        <v>478</v>
      </c>
      <c r="D771" s="121">
        <v>0</v>
      </c>
    </row>
    <row r="772" spans="1:4" ht="15">
      <c r="A772" s="2546" t="s">
        <v>7562</v>
      </c>
      <c r="B772" s="114" t="s">
        <v>1838</v>
      </c>
      <c r="C772" s="2546" t="s">
        <v>479</v>
      </c>
      <c r="D772" s="121">
        <v>30433.966798600104</v>
      </c>
    </row>
    <row r="773" spans="1:4" ht="15">
      <c r="A773" s="2546" t="s">
        <v>6771</v>
      </c>
      <c r="B773" s="114" t="s">
        <v>2140</v>
      </c>
      <c r="C773" s="2546" t="s">
        <v>480</v>
      </c>
      <c r="D773" s="121">
        <v>0</v>
      </c>
    </row>
    <row r="774" spans="1:4" ht="15">
      <c r="A774" s="2546" t="s">
        <v>6772</v>
      </c>
      <c r="B774" s="114" t="s">
        <v>2625</v>
      </c>
      <c r="C774" s="2546" t="s">
        <v>2660</v>
      </c>
      <c r="D774" s="121">
        <v>0</v>
      </c>
    </row>
    <row r="775" spans="1:4" ht="15">
      <c r="A775" s="2546" t="s">
        <v>6773</v>
      </c>
      <c r="B775" s="114" t="s">
        <v>2614</v>
      </c>
      <c r="C775" s="2546" t="s">
        <v>482</v>
      </c>
      <c r="D775" s="121">
        <v>0</v>
      </c>
    </row>
    <row r="776" spans="1:4" ht="15">
      <c r="A776" s="2546" t="s">
        <v>6774</v>
      </c>
      <c r="B776" s="114" t="s">
        <v>1477</v>
      </c>
      <c r="C776" s="2546" t="s">
        <v>483</v>
      </c>
      <c r="D776" s="121">
        <v>152337.74553395834</v>
      </c>
    </row>
    <row r="777" spans="1:4" ht="15">
      <c r="A777" s="2546" t="s">
        <v>7563</v>
      </c>
      <c r="B777" s="114" t="s">
        <v>790</v>
      </c>
      <c r="C777" s="2546" t="s">
        <v>484</v>
      </c>
      <c r="D777" s="121">
        <v>0</v>
      </c>
    </row>
    <row r="778" spans="1:4" ht="15">
      <c r="A778" s="2546" t="s">
        <v>6775</v>
      </c>
      <c r="B778" s="114" t="s">
        <v>2917</v>
      </c>
      <c r="C778" s="2546" t="s">
        <v>485</v>
      </c>
      <c r="D778" s="121">
        <v>0</v>
      </c>
    </row>
    <row r="779" spans="1:4" ht="15">
      <c r="A779" s="2546" t="s">
        <v>6776</v>
      </c>
      <c r="B779" s="114" t="s">
        <v>791</v>
      </c>
      <c r="C779" s="2546" t="s">
        <v>486</v>
      </c>
      <c r="D779" s="121">
        <v>32872.061673484393</v>
      </c>
    </row>
    <row r="780" spans="1:4" ht="15">
      <c r="A780" s="2546" t="s">
        <v>4324</v>
      </c>
      <c r="B780" s="114" t="s">
        <v>1992</v>
      </c>
      <c r="C780" s="2546" t="s">
        <v>2545</v>
      </c>
      <c r="D780" s="121">
        <v>0</v>
      </c>
    </row>
    <row r="781" spans="1:4" ht="15">
      <c r="A781" s="2546" t="s">
        <v>6777</v>
      </c>
      <c r="B781" s="114" t="s">
        <v>1380</v>
      </c>
      <c r="C781" s="2546" t="s">
        <v>487</v>
      </c>
      <c r="D781" s="121">
        <v>0</v>
      </c>
    </row>
    <row r="782" spans="1:4" ht="15">
      <c r="A782" s="2546" t="s">
        <v>4325</v>
      </c>
      <c r="B782" s="114" t="s">
        <v>1839</v>
      </c>
      <c r="C782" s="2546" t="s">
        <v>1204</v>
      </c>
      <c r="D782" s="121">
        <v>0</v>
      </c>
    </row>
    <row r="783" spans="1:4" ht="15">
      <c r="A783" s="2546" t="s">
        <v>4326</v>
      </c>
      <c r="B783" s="114" t="s">
        <v>227</v>
      </c>
      <c r="C783" s="2546" t="s">
        <v>3095</v>
      </c>
      <c r="D783" s="121">
        <v>0</v>
      </c>
    </row>
    <row r="784" spans="1:4" ht="15">
      <c r="A784" s="2546" t="s">
        <v>6778</v>
      </c>
      <c r="B784" s="114" t="s">
        <v>625</v>
      </c>
      <c r="C784" s="2546" t="s">
        <v>151</v>
      </c>
      <c r="D784" s="121">
        <v>0</v>
      </c>
    </row>
    <row r="785" spans="1:4" ht="15">
      <c r="A785" s="2546" t="s">
        <v>6779</v>
      </c>
      <c r="B785" s="114" t="s">
        <v>2496</v>
      </c>
      <c r="C785" s="2546" t="s">
        <v>488</v>
      </c>
      <c r="D785" s="121">
        <v>0</v>
      </c>
    </row>
    <row r="786" spans="1:4" ht="15">
      <c r="A786" s="2546" t="s">
        <v>4327</v>
      </c>
      <c r="B786" s="114" t="s">
        <v>1657</v>
      </c>
      <c r="C786" s="2546" t="s">
        <v>323</v>
      </c>
      <c r="D786" s="121">
        <v>0</v>
      </c>
    </row>
    <row r="787" spans="1:4" ht="15">
      <c r="A787" s="2546" t="s">
        <v>4328</v>
      </c>
      <c r="B787" s="114" t="s">
        <v>245</v>
      </c>
      <c r="C787" s="2546" t="s">
        <v>2413</v>
      </c>
      <c r="D787" s="121">
        <v>0</v>
      </c>
    </row>
    <row r="788" spans="1:4" ht="15">
      <c r="A788" s="2546" t="s">
        <v>6780</v>
      </c>
      <c r="B788" s="114" t="s">
        <v>1464</v>
      </c>
      <c r="C788" s="2546" t="s">
        <v>489</v>
      </c>
      <c r="D788" s="121">
        <v>0</v>
      </c>
    </row>
    <row r="789" spans="1:4" ht="15">
      <c r="A789" s="2546" t="s">
        <v>6781</v>
      </c>
      <c r="B789" s="114" t="s">
        <v>1465</v>
      </c>
      <c r="C789" s="2546" t="s">
        <v>2661</v>
      </c>
      <c r="D789" s="121">
        <v>0</v>
      </c>
    </row>
    <row r="790" spans="1:4" ht="15">
      <c r="A790" s="2546" t="s">
        <v>6782</v>
      </c>
      <c r="B790" s="114" t="s">
        <v>2883</v>
      </c>
      <c r="C790" s="2546" t="s">
        <v>180</v>
      </c>
      <c r="D790" s="121">
        <v>0</v>
      </c>
    </row>
    <row r="791" spans="1:4" ht="15">
      <c r="A791" s="2546" t="s">
        <v>6783</v>
      </c>
      <c r="B791" s="114" t="s">
        <v>896</v>
      </c>
      <c r="C791" s="2546" t="s">
        <v>181</v>
      </c>
      <c r="D791" s="121">
        <v>0</v>
      </c>
    </row>
    <row r="792" spans="1:4" ht="15">
      <c r="A792" s="2546" t="s">
        <v>7564</v>
      </c>
      <c r="B792" s="114" t="s">
        <v>135</v>
      </c>
      <c r="C792" s="2546" t="s">
        <v>2428</v>
      </c>
      <c r="D792" s="121">
        <v>0</v>
      </c>
    </row>
    <row r="793" spans="1:4" ht="15">
      <c r="A793" s="2546" t="s">
        <v>4329</v>
      </c>
      <c r="B793" s="114" t="s">
        <v>3051</v>
      </c>
      <c r="C793" s="2546" t="s">
        <v>3096</v>
      </c>
      <c r="D793" s="121">
        <v>64315.427735543417</v>
      </c>
    </row>
    <row r="794" spans="1:4" ht="15">
      <c r="A794" s="2546" t="s">
        <v>7565</v>
      </c>
      <c r="B794" s="114" t="s">
        <v>2597</v>
      </c>
      <c r="C794" s="2546" t="s">
        <v>1822</v>
      </c>
      <c r="D794" s="121">
        <v>0</v>
      </c>
    </row>
    <row r="795" spans="1:4" ht="15">
      <c r="A795" s="2546" t="s">
        <v>4330</v>
      </c>
      <c r="B795" s="114" t="s">
        <v>411</v>
      </c>
      <c r="C795" s="2546" t="s">
        <v>3065</v>
      </c>
      <c r="D795" s="121">
        <v>0</v>
      </c>
    </row>
    <row r="796" spans="1:4" ht="15">
      <c r="A796" s="2546" t="s">
        <v>6784</v>
      </c>
      <c r="B796" s="114" t="s">
        <v>1113</v>
      </c>
      <c r="C796" s="2546" t="s">
        <v>1823</v>
      </c>
      <c r="D796" s="121">
        <v>7131.897950853875</v>
      </c>
    </row>
    <row r="797" spans="1:4" ht="15">
      <c r="A797" s="2546" t="s">
        <v>4331</v>
      </c>
      <c r="B797" s="114" t="s">
        <v>1932</v>
      </c>
      <c r="C797" s="2546" t="s">
        <v>2430</v>
      </c>
      <c r="D797" s="121">
        <v>0</v>
      </c>
    </row>
    <row r="798" spans="1:4" ht="15">
      <c r="A798" s="2546" t="s">
        <v>6785</v>
      </c>
      <c r="B798" s="114" t="s">
        <v>793</v>
      </c>
      <c r="C798" s="2546" t="s">
        <v>1824</v>
      </c>
      <c r="D798" s="121">
        <v>0</v>
      </c>
    </row>
    <row r="799" spans="1:4" ht="15">
      <c r="A799" s="2546" t="s">
        <v>6786</v>
      </c>
      <c r="B799" s="114" t="s">
        <v>794</v>
      </c>
      <c r="C799" s="2546" t="s">
        <v>1825</v>
      </c>
      <c r="D799" s="121">
        <v>2298.6510951808309</v>
      </c>
    </row>
    <row r="800" spans="1:4" ht="15">
      <c r="A800" s="2546" t="s">
        <v>6787</v>
      </c>
      <c r="B800" s="114" t="s">
        <v>795</v>
      </c>
      <c r="C800" s="2546" t="s">
        <v>1826</v>
      </c>
      <c r="D800" s="121">
        <v>0</v>
      </c>
    </row>
    <row r="801" spans="1:4" ht="15">
      <c r="A801" s="2546" t="s">
        <v>6788</v>
      </c>
      <c r="B801" s="114" t="s">
        <v>1644</v>
      </c>
      <c r="C801" s="2546" t="s">
        <v>1827</v>
      </c>
      <c r="D801" s="121">
        <v>0</v>
      </c>
    </row>
    <row r="802" spans="1:4" ht="15">
      <c r="A802" s="2546" t="s">
        <v>6789</v>
      </c>
      <c r="B802" s="114" t="s">
        <v>1645</v>
      </c>
      <c r="C802" s="2546" t="s">
        <v>1828</v>
      </c>
      <c r="D802" s="121">
        <v>0</v>
      </c>
    </row>
    <row r="803" spans="1:4" ht="15">
      <c r="A803" s="2546" t="s">
        <v>7566</v>
      </c>
      <c r="B803" s="114" t="s">
        <v>1646</v>
      </c>
      <c r="C803" s="2546" t="s">
        <v>1829</v>
      </c>
      <c r="D803" s="121">
        <v>0</v>
      </c>
    </row>
    <row r="804" spans="1:4" ht="15">
      <c r="A804" s="2546" t="s">
        <v>6790</v>
      </c>
      <c r="B804" s="114" t="s">
        <v>1647</v>
      </c>
      <c r="C804" s="2546" t="s">
        <v>1830</v>
      </c>
      <c r="D804" s="121">
        <v>0</v>
      </c>
    </row>
    <row r="805" spans="1:4" ht="15">
      <c r="A805" s="2546" t="s">
        <v>6791</v>
      </c>
      <c r="B805" s="114" t="s">
        <v>1648</v>
      </c>
      <c r="C805" s="2546" t="s">
        <v>1831</v>
      </c>
      <c r="D805" s="121">
        <v>38401.562418818634</v>
      </c>
    </row>
    <row r="806" spans="1:4" ht="15">
      <c r="A806" s="2546" t="s">
        <v>7567</v>
      </c>
      <c r="B806" s="114" t="s">
        <v>1649</v>
      </c>
      <c r="C806" s="2546" t="s">
        <v>1102</v>
      </c>
      <c r="D806" s="121">
        <v>89186.118478846518</v>
      </c>
    </row>
    <row r="807" spans="1:4" ht="15">
      <c r="A807" s="2546" t="s">
        <v>6792</v>
      </c>
      <c r="B807" s="114" t="s">
        <v>1885</v>
      </c>
      <c r="C807" s="2546" t="s">
        <v>1103</v>
      </c>
      <c r="D807" s="121">
        <v>0</v>
      </c>
    </row>
    <row r="808" spans="1:4" ht="15">
      <c r="A808" s="2546" t="s">
        <v>4332</v>
      </c>
      <c r="B808" s="114" t="s">
        <v>2056</v>
      </c>
      <c r="C808" s="2546" t="s">
        <v>668</v>
      </c>
      <c r="D808" s="121">
        <v>0</v>
      </c>
    </row>
    <row r="809" spans="1:4" ht="15">
      <c r="A809" s="2546" t="s">
        <v>7568</v>
      </c>
      <c r="B809" s="114" t="s">
        <v>1886</v>
      </c>
      <c r="C809" s="2546" t="s">
        <v>2166</v>
      </c>
      <c r="D809" s="121">
        <v>0</v>
      </c>
    </row>
    <row r="810" spans="1:4" ht="15">
      <c r="A810" s="2546" t="s">
        <v>4333</v>
      </c>
      <c r="B810" s="114" t="s">
        <v>412</v>
      </c>
      <c r="C810" s="2546" t="s">
        <v>2556</v>
      </c>
      <c r="D810" s="121">
        <v>0</v>
      </c>
    </row>
    <row r="811" spans="1:4" ht="15">
      <c r="A811" s="2546" t="s">
        <v>6115</v>
      </c>
      <c r="B811" s="114" t="s">
        <v>1350</v>
      </c>
      <c r="C811" s="2546" t="s">
        <v>1290</v>
      </c>
      <c r="D811" s="121">
        <v>88019.905276274701</v>
      </c>
    </row>
    <row r="812" spans="1:4" ht="15">
      <c r="A812" s="2546" t="s">
        <v>4334</v>
      </c>
      <c r="B812" s="114" t="s">
        <v>413</v>
      </c>
      <c r="C812" s="2546" t="s">
        <v>291</v>
      </c>
      <c r="D812" s="121">
        <v>0</v>
      </c>
    </row>
    <row r="813" spans="1:4" ht="15">
      <c r="A813" s="2546" t="s">
        <v>6793</v>
      </c>
      <c r="B813" s="114" t="s">
        <v>1887</v>
      </c>
      <c r="C813" s="2546" t="s">
        <v>2167</v>
      </c>
      <c r="D813" s="121">
        <v>50556.331465565134</v>
      </c>
    </row>
    <row r="814" spans="1:4" ht="15">
      <c r="A814" s="2546" t="s">
        <v>7569</v>
      </c>
      <c r="B814" s="114" t="s">
        <v>1888</v>
      </c>
      <c r="C814" s="2546" t="s">
        <v>1718</v>
      </c>
      <c r="D814" s="121">
        <v>3680.5437770863514</v>
      </c>
    </row>
    <row r="815" spans="1:4" ht="15">
      <c r="A815" s="2546" t="s">
        <v>7570</v>
      </c>
      <c r="B815" s="114" t="s">
        <v>1889</v>
      </c>
      <c r="C815" s="2546" t="s">
        <v>1719</v>
      </c>
      <c r="D815" s="121">
        <v>74324.982095225685</v>
      </c>
    </row>
    <row r="816" spans="1:4" ht="15">
      <c r="A816" s="2546" t="s">
        <v>6119</v>
      </c>
      <c r="B816" s="114" t="s">
        <v>2830</v>
      </c>
      <c r="C816" s="2546" t="s">
        <v>2467</v>
      </c>
      <c r="D816" s="121">
        <v>0</v>
      </c>
    </row>
    <row r="817" spans="1:4" ht="15">
      <c r="A817" s="2546" t="s">
        <v>4335</v>
      </c>
      <c r="B817" s="114" t="s">
        <v>2831</v>
      </c>
      <c r="C817" s="2546" t="s">
        <v>1538</v>
      </c>
      <c r="D817" s="121">
        <v>0</v>
      </c>
    </row>
    <row r="818" spans="1:4" ht="15">
      <c r="A818" s="2546" t="s">
        <v>6794</v>
      </c>
      <c r="B818" s="114" t="s">
        <v>1890</v>
      </c>
      <c r="C818" s="2546" t="s">
        <v>1720</v>
      </c>
      <c r="D818" s="121">
        <v>28950.265682378224</v>
      </c>
    </row>
    <row r="819" spans="1:4" ht="15">
      <c r="A819" s="2546" t="s">
        <v>4336</v>
      </c>
      <c r="B819" s="114" t="s">
        <v>218</v>
      </c>
      <c r="C819" s="2546" t="s">
        <v>729</v>
      </c>
      <c r="D819" s="121">
        <v>0</v>
      </c>
    </row>
    <row r="820" spans="1:4" ht="15">
      <c r="A820" s="2546" t="s">
        <v>6795</v>
      </c>
      <c r="B820" s="114" t="s">
        <v>1891</v>
      </c>
      <c r="C820" s="2546" t="s">
        <v>4585</v>
      </c>
      <c r="D820" s="121">
        <v>53677.170106125501</v>
      </c>
    </row>
    <row r="821" spans="1:4" ht="15">
      <c r="A821" s="2546" t="s">
        <v>7571</v>
      </c>
      <c r="B821" s="114" t="s">
        <v>1575</v>
      </c>
      <c r="C821" s="2546" t="s">
        <v>1722</v>
      </c>
      <c r="D821" s="121">
        <v>0</v>
      </c>
    </row>
    <row r="822" spans="1:4" ht="15">
      <c r="A822" s="2546" t="s">
        <v>4337</v>
      </c>
      <c r="B822" s="114" t="s">
        <v>1576</v>
      </c>
      <c r="C822" s="2546" t="s">
        <v>1723</v>
      </c>
      <c r="D822" s="121">
        <v>0</v>
      </c>
    </row>
    <row r="823" spans="1:4" ht="15">
      <c r="A823" s="2546" t="s">
        <v>4338</v>
      </c>
      <c r="B823" s="114" t="s">
        <v>1577</v>
      </c>
      <c r="C823" s="2546" t="s">
        <v>2364</v>
      </c>
      <c r="D823" s="121">
        <v>589090.62120244897</v>
      </c>
    </row>
    <row r="824" spans="1:4" ht="15">
      <c r="A824" s="2546" t="s">
        <v>7572</v>
      </c>
      <c r="B824" s="114" t="s">
        <v>1832</v>
      </c>
      <c r="C824" s="2546" t="s">
        <v>2365</v>
      </c>
      <c r="D824" s="121">
        <v>134837.30992896069</v>
      </c>
    </row>
    <row r="825" spans="1:4" ht="15">
      <c r="A825" s="2546" t="s">
        <v>6796</v>
      </c>
      <c r="B825" s="114" t="s">
        <v>1833</v>
      </c>
      <c r="C825" s="2546" t="s">
        <v>2663</v>
      </c>
      <c r="D825" s="121">
        <v>0</v>
      </c>
    </row>
    <row r="826" spans="1:4" ht="15">
      <c r="A826" s="2546" t="s">
        <v>4339</v>
      </c>
      <c r="B826" s="114" t="s">
        <v>2790</v>
      </c>
      <c r="C826" s="2546" t="s">
        <v>384</v>
      </c>
      <c r="D826" s="121">
        <v>0</v>
      </c>
    </row>
    <row r="827" spans="1:4" ht="15">
      <c r="A827" s="2546" t="s">
        <v>4340</v>
      </c>
      <c r="B827" s="114" t="s">
        <v>1382</v>
      </c>
      <c r="C827" s="2546" t="s">
        <v>2774</v>
      </c>
      <c r="D827" s="121">
        <v>0</v>
      </c>
    </row>
    <row r="828" spans="1:4" ht="15">
      <c r="A828" s="2546" t="s">
        <v>6797</v>
      </c>
      <c r="B828" s="114" t="s">
        <v>2791</v>
      </c>
      <c r="C828" s="2546" t="s">
        <v>385</v>
      </c>
      <c r="D828" s="121">
        <v>0</v>
      </c>
    </row>
    <row r="829" spans="1:4" ht="15">
      <c r="A829" s="2546" t="s">
        <v>6798</v>
      </c>
      <c r="B829" s="114" t="s">
        <v>1639</v>
      </c>
      <c r="C829" s="2546" t="s">
        <v>386</v>
      </c>
      <c r="D829" s="121">
        <v>0</v>
      </c>
    </row>
    <row r="830" spans="1:4" ht="15">
      <c r="A830" s="2546" t="s">
        <v>4341</v>
      </c>
      <c r="B830" s="114" t="s">
        <v>2892</v>
      </c>
      <c r="C830" s="2546" t="s">
        <v>2360</v>
      </c>
      <c r="D830" s="121">
        <v>34945.38320077071</v>
      </c>
    </row>
    <row r="831" spans="1:4" ht="15">
      <c r="A831" s="2546" t="s">
        <v>4342</v>
      </c>
      <c r="B831" s="114" t="s">
        <v>1591</v>
      </c>
      <c r="C831" s="2546" t="s">
        <v>289</v>
      </c>
      <c r="D831" s="121">
        <v>1846.0619416796512</v>
      </c>
    </row>
    <row r="832" spans="1:4" ht="15">
      <c r="A832" s="2546" t="s">
        <v>4343</v>
      </c>
      <c r="B832" s="114" t="s">
        <v>1493</v>
      </c>
      <c r="C832" s="2546" t="s">
        <v>296</v>
      </c>
      <c r="D832" s="121">
        <v>0</v>
      </c>
    </row>
    <row r="833" spans="1:4" ht="15">
      <c r="A833" s="2546" t="s">
        <v>4344</v>
      </c>
      <c r="B833" s="114" t="s">
        <v>219</v>
      </c>
      <c r="C833" s="2546" t="s">
        <v>656</v>
      </c>
      <c r="D833" s="121">
        <v>0</v>
      </c>
    </row>
    <row r="834" spans="1:4" ht="15">
      <c r="A834" s="2546" t="s">
        <v>4345</v>
      </c>
      <c r="B834" s="114" t="s">
        <v>531</v>
      </c>
      <c r="C834" s="2546" t="s">
        <v>1584</v>
      </c>
      <c r="D834" s="121">
        <v>0</v>
      </c>
    </row>
    <row r="835" spans="1:4" ht="15">
      <c r="A835" s="2546" t="s">
        <v>7573</v>
      </c>
      <c r="B835" s="114" t="s">
        <v>1640</v>
      </c>
      <c r="C835" s="2546" t="s">
        <v>387</v>
      </c>
      <c r="D835" s="121">
        <v>0</v>
      </c>
    </row>
    <row r="836" spans="1:4" ht="15">
      <c r="A836" s="2546" t="s">
        <v>7574</v>
      </c>
      <c r="B836" s="114" t="s">
        <v>1641</v>
      </c>
      <c r="C836" s="2546" t="s">
        <v>388</v>
      </c>
      <c r="D836" s="121">
        <v>0</v>
      </c>
    </row>
    <row r="837" spans="1:4" ht="15">
      <c r="A837" s="2546" t="s">
        <v>7575</v>
      </c>
      <c r="B837" s="114" t="s">
        <v>1557</v>
      </c>
      <c r="C837" s="2546" t="s">
        <v>389</v>
      </c>
      <c r="D837" s="121">
        <v>37500.726651668629</v>
      </c>
    </row>
    <row r="838" spans="1:4" ht="15">
      <c r="A838" s="2546" t="s">
        <v>6799</v>
      </c>
      <c r="B838" s="114" t="s">
        <v>1558</v>
      </c>
      <c r="C838" s="2546" t="s">
        <v>390</v>
      </c>
      <c r="D838" s="121">
        <v>281.78258597514804</v>
      </c>
    </row>
    <row r="839" spans="1:4" ht="15">
      <c r="A839" s="2546" t="s">
        <v>6800</v>
      </c>
      <c r="B839" s="114" t="s">
        <v>1559</v>
      </c>
      <c r="C839" s="2546" t="s">
        <v>391</v>
      </c>
      <c r="D839" s="121">
        <v>0</v>
      </c>
    </row>
    <row r="840" spans="1:4" ht="15">
      <c r="A840" s="2546" t="s">
        <v>6801</v>
      </c>
      <c r="B840" s="114" t="s">
        <v>1662</v>
      </c>
      <c r="C840" s="2546" t="s">
        <v>392</v>
      </c>
      <c r="D840" s="121">
        <v>0</v>
      </c>
    </row>
    <row r="841" spans="1:4" ht="15">
      <c r="A841" s="2546" t="s">
        <v>7576</v>
      </c>
      <c r="B841" s="114" t="s">
        <v>1084</v>
      </c>
      <c r="C841" s="2546" t="s">
        <v>393</v>
      </c>
      <c r="D841" s="121">
        <v>0</v>
      </c>
    </row>
    <row r="842" spans="1:4" ht="15">
      <c r="A842" s="2546" t="s">
        <v>7577</v>
      </c>
      <c r="B842" s="114" t="s">
        <v>1085</v>
      </c>
      <c r="C842" s="2546" t="s">
        <v>394</v>
      </c>
      <c r="D842" s="121">
        <v>31650.84296611607</v>
      </c>
    </row>
    <row r="843" spans="1:4" ht="15">
      <c r="A843" s="2546" t="s">
        <v>4346</v>
      </c>
      <c r="B843" s="114" t="s">
        <v>1086</v>
      </c>
      <c r="C843" s="2546" t="s">
        <v>1995</v>
      </c>
      <c r="D843" s="121">
        <v>65463.788274277758</v>
      </c>
    </row>
    <row r="844" spans="1:4" ht="15">
      <c r="A844" s="2546" t="s">
        <v>6802</v>
      </c>
      <c r="B844" s="114" t="s">
        <v>1245</v>
      </c>
      <c r="C844" s="2546" t="s">
        <v>1996</v>
      </c>
      <c r="D844" s="121">
        <v>101520.37917282376</v>
      </c>
    </row>
    <row r="845" spans="1:4" ht="15">
      <c r="A845" s="2546" t="s">
        <v>4347</v>
      </c>
      <c r="B845" s="114" t="s">
        <v>220</v>
      </c>
      <c r="C845" s="2546" t="s">
        <v>1418</v>
      </c>
      <c r="D845" s="121">
        <v>75614.233926947607</v>
      </c>
    </row>
    <row r="846" spans="1:4" ht="15">
      <c r="A846" s="2546" t="s">
        <v>6803</v>
      </c>
      <c r="B846" s="114" t="s">
        <v>1246</v>
      </c>
      <c r="C846" s="2546" t="s">
        <v>1997</v>
      </c>
      <c r="D846" s="121">
        <v>1560.4193202801862</v>
      </c>
    </row>
    <row r="847" spans="1:4" ht="15">
      <c r="A847" s="2546" t="s">
        <v>7578</v>
      </c>
      <c r="B847" s="114" t="s">
        <v>1247</v>
      </c>
      <c r="C847" s="2546" t="s">
        <v>1998</v>
      </c>
      <c r="D847" s="121">
        <v>0</v>
      </c>
    </row>
    <row r="848" spans="1:4" ht="15">
      <c r="A848" s="2546" t="s">
        <v>7579</v>
      </c>
      <c r="B848" s="114" t="s">
        <v>1407</v>
      </c>
      <c r="C848" s="2546" t="s">
        <v>1999</v>
      </c>
      <c r="D848" s="121">
        <v>0</v>
      </c>
    </row>
    <row r="849" spans="1:4" ht="15">
      <c r="A849" s="2546" t="s">
        <v>6804</v>
      </c>
      <c r="B849" s="114" t="s">
        <v>1408</v>
      </c>
      <c r="C849" s="2546" t="s">
        <v>2000</v>
      </c>
      <c r="D849" s="121">
        <v>0</v>
      </c>
    </row>
    <row r="850" spans="1:4" ht="15">
      <c r="A850" s="2546" t="s">
        <v>7580</v>
      </c>
      <c r="B850" s="114" t="s">
        <v>2040</v>
      </c>
      <c r="C850" s="2546" t="s">
        <v>2271</v>
      </c>
      <c r="D850" s="121">
        <v>34761.549013687611</v>
      </c>
    </row>
    <row r="851" spans="1:4" ht="15">
      <c r="A851" s="2546" t="s">
        <v>4348</v>
      </c>
      <c r="B851" s="114" t="s">
        <v>304</v>
      </c>
      <c r="C851" s="2546" t="s">
        <v>2425</v>
      </c>
      <c r="D851" s="121">
        <v>0</v>
      </c>
    </row>
    <row r="852" spans="1:4" ht="15">
      <c r="A852" s="2546" t="s">
        <v>6805</v>
      </c>
      <c r="B852" s="114" t="s">
        <v>1943</v>
      </c>
      <c r="C852" s="2546" t="s">
        <v>2272</v>
      </c>
      <c r="D852" s="121">
        <v>0</v>
      </c>
    </row>
    <row r="853" spans="1:4" ht="15">
      <c r="A853" s="2546" t="s">
        <v>4349</v>
      </c>
      <c r="B853" s="114" t="s">
        <v>1944</v>
      </c>
      <c r="C853" s="2546" t="s">
        <v>2273</v>
      </c>
      <c r="D853" s="121">
        <v>0</v>
      </c>
    </row>
    <row r="854" spans="1:4" ht="15">
      <c r="A854" s="2546" t="s">
        <v>6806</v>
      </c>
      <c r="B854" s="114" t="s">
        <v>1136</v>
      </c>
      <c r="C854" s="2546" t="s">
        <v>2274</v>
      </c>
      <c r="D854" s="121">
        <v>0</v>
      </c>
    </row>
    <row r="855" spans="1:4" ht="15">
      <c r="A855" s="2546" t="s">
        <v>6807</v>
      </c>
      <c r="B855" s="114" t="s">
        <v>217</v>
      </c>
      <c r="C855" s="2546" t="s">
        <v>2275</v>
      </c>
      <c r="D855" s="121">
        <v>0</v>
      </c>
    </row>
    <row r="856" spans="1:4" ht="15">
      <c r="A856" s="2546" t="s">
        <v>4350</v>
      </c>
      <c r="B856" s="114" t="s">
        <v>1348</v>
      </c>
      <c r="C856" s="2546" t="s">
        <v>1510</v>
      </c>
      <c r="D856" s="121">
        <v>0</v>
      </c>
    </row>
    <row r="857" spans="1:4" ht="15">
      <c r="A857" s="2546" t="s">
        <v>4351</v>
      </c>
      <c r="B857" s="114" t="s">
        <v>1516</v>
      </c>
      <c r="C857" s="2546" t="s">
        <v>735</v>
      </c>
      <c r="D857" s="121">
        <v>0</v>
      </c>
    </row>
    <row r="858" spans="1:4" ht="15">
      <c r="A858" s="2546" t="s">
        <v>6808</v>
      </c>
      <c r="B858" s="114" t="s">
        <v>1517</v>
      </c>
      <c r="C858" s="2546" t="s">
        <v>2276</v>
      </c>
      <c r="D858" s="121">
        <v>0</v>
      </c>
    </row>
    <row r="859" spans="1:4" ht="15">
      <c r="A859" s="2546" t="s">
        <v>6809</v>
      </c>
      <c r="B859" s="114" t="s">
        <v>1518</v>
      </c>
      <c r="C859" s="2546" t="s">
        <v>2277</v>
      </c>
      <c r="D859" s="121">
        <v>0</v>
      </c>
    </row>
    <row r="860" spans="1:4" ht="15">
      <c r="A860" s="2546" t="s">
        <v>4352</v>
      </c>
      <c r="B860" s="114" t="s">
        <v>3050</v>
      </c>
      <c r="C860" s="2546" t="s">
        <v>3092</v>
      </c>
      <c r="D860" s="121">
        <v>0</v>
      </c>
    </row>
    <row r="861" spans="1:4" ht="15">
      <c r="A861" s="2546" t="s">
        <v>6810</v>
      </c>
      <c r="B861" s="114" t="s">
        <v>1945</v>
      </c>
      <c r="C861" s="2546" t="s">
        <v>2278</v>
      </c>
      <c r="D861" s="121">
        <v>20109.819551835993</v>
      </c>
    </row>
    <row r="862" spans="1:4" ht="15">
      <c r="A862" s="2546" t="s">
        <v>4353</v>
      </c>
      <c r="B862" s="114" t="s">
        <v>221</v>
      </c>
      <c r="C862" s="2546" t="s">
        <v>663</v>
      </c>
      <c r="D862" s="121">
        <v>0</v>
      </c>
    </row>
    <row r="863" spans="1:4" ht="15">
      <c r="A863" s="2546" t="s">
        <v>6811</v>
      </c>
      <c r="B863" s="114" t="s">
        <v>1946</v>
      </c>
      <c r="C863" s="2546" t="s">
        <v>2279</v>
      </c>
      <c r="D863" s="121">
        <v>170789.67987105012</v>
      </c>
    </row>
    <row r="864" spans="1:4" ht="15">
      <c r="A864" s="2546" t="s">
        <v>6812</v>
      </c>
      <c r="B864" s="114" t="s">
        <v>2979</v>
      </c>
      <c r="C864" s="2546" t="s">
        <v>2931</v>
      </c>
      <c r="D864" s="121">
        <v>0</v>
      </c>
    </row>
    <row r="865" spans="1:4" ht="15">
      <c r="A865" s="2546" t="s">
        <v>6813</v>
      </c>
      <c r="B865" s="114" t="s">
        <v>849</v>
      </c>
      <c r="C865" s="2546" t="s">
        <v>2932</v>
      </c>
      <c r="D865" s="121">
        <v>46302.572427967687</v>
      </c>
    </row>
    <row r="866" spans="1:4" ht="15">
      <c r="A866" s="2546" t="s">
        <v>6814</v>
      </c>
      <c r="B866" s="114" t="s">
        <v>850</v>
      </c>
      <c r="C866" s="2546" t="s">
        <v>2933</v>
      </c>
      <c r="D866" s="121">
        <v>0</v>
      </c>
    </row>
    <row r="867" spans="1:4" ht="15">
      <c r="A867" s="2546" t="s">
        <v>7581</v>
      </c>
      <c r="B867" s="114" t="s">
        <v>906</v>
      </c>
      <c r="C867" s="2546" t="s">
        <v>2934</v>
      </c>
      <c r="D867" s="121">
        <v>0</v>
      </c>
    </row>
    <row r="868" spans="1:4" ht="15">
      <c r="A868" s="2546" t="s">
        <v>7582</v>
      </c>
      <c r="B868" s="114" t="s">
        <v>617</v>
      </c>
      <c r="C868" s="2546" t="s">
        <v>2935</v>
      </c>
      <c r="D868" s="121">
        <v>0</v>
      </c>
    </row>
    <row r="869" spans="1:4" ht="15">
      <c r="A869" s="2546" t="s">
        <v>6815</v>
      </c>
      <c r="B869" s="114" t="s">
        <v>618</v>
      </c>
      <c r="C869" s="2546" t="s">
        <v>2936</v>
      </c>
      <c r="D869" s="121">
        <v>0</v>
      </c>
    </row>
    <row r="870" spans="1:4" ht="15">
      <c r="A870" s="2546" t="s">
        <v>4354</v>
      </c>
      <c r="B870" s="114" t="s">
        <v>2621</v>
      </c>
      <c r="C870" s="2546" t="s">
        <v>2775</v>
      </c>
      <c r="D870" s="121">
        <v>0</v>
      </c>
    </row>
    <row r="871" spans="1:4" ht="15">
      <c r="A871" s="2546" t="s">
        <v>4355</v>
      </c>
      <c r="B871" s="114" t="s">
        <v>985</v>
      </c>
      <c r="C871" s="2546" t="s">
        <v>901</v>
      </c>
      <c r="D871" s="121">
        <v>0</v>
      </c>
    </row>
    <row r="872" spans="1:4" ht="15">
      <c r="A872" s="2546" t="s">
        <v>4356</v>
      </c>
      <c r="B872" s="114" t="s">
        <v>2111</v>
      </c>
      <c r="C872" s="2546" t="s">
        <v>2937</v>
      </c>
      <c r="D872" s="121">
        <v>0</v>
      </c>
    </row>
    <row r="873" spans="1:4" ht="15">
      <c r="A873" s="2546" t="s">
        <v>6816</v>
      </c>
      <c r="B873" s="114" t="s">
        <v>2297</v>
      </c>
      <c r="C873" s="2546" t="s">
        <v>1453</v>
      </c>
      <c r="D873" s="121">
        <v>0</v>
      </c>
    </row>
    <row r="874" spans="1:4" ht="15">
      <c r="A874" s="2546" t="s">
        <v>6817</v>
      </c>
      <c r="B874" s="114" t="s">
        <v>2497</v>
      </c>
      <c r="C874" s="2546" t="s">
        <v>1454</v>
      </c>
      <c r="D874" s="121">
        <v>0</v>
      </c>
    </row>
    <row r="875" spans="1:4" ht="15">
      <c r="A875" s="2546" t="s">
        <v>4357</v>
      </c>
      <c r="B875" s="114" t="s">
        <v>57</v>
      </c>
      <c r="C875" s="2546" t="s">
        <v>452</v>
      </c>
      <c r="D875" s="121">
        <v>0</v>
      </c>
    </row>
    <row r="876" spans="1:4" ht="15">
      <c r="A876" s="2546" t="s">
        <v>4358</v>
      </c>
      <c r="B876" s="114" t="s">
        <v>379</v>
      </c>
      <c r="C876" s="2546" t="s">
        <v>321</v>
      </c>
      <c r="D876" s="121">
        <v>0</v>
      </c>
    </row>
    <row r="877" spans="1:4" ht="15">
      <c r="A877" s="2546" t="s">
        <v>4359</v>
      </c>
      <c r="B877" s="114" t="s">
        <v>1986</v>
      </c>
      <c r="C877" s="2546" t="s">
        <v>2624</v>
      </c>
      <c r="D877" s="121">
        <v>0</v>
      </c>
    </row>
    <row r="878" spans="1:4" ht="15">
      <c r="A878" s="2546" t="s">
        <v>4360</v>
      </c>
      <c r="B878" s="114" t="s">
        <v>2759</v>
      </c>
      <c r="C878" s="2546" t="s">
        <v>459</v>
      </c>
      <c r="D878" s="121">
        <v>0</v>
      </c>
    </row>
    <row r="879" spans="1:4" ht="15">
      <c r="A879" s="2546" t="s">
        <v>4361</v>
      </c>
      <c r="B879" s="114" t="s">
        <v>59</v>
      </c>
      <c r="C879" s="2546" t="s">
        <v>2876</v>
      </c>
      <c r="D879" s="121">
        <v>0</v>
      </c>
    </row>
    <row r="880" spans="1:4" ht="15">
      <c r="A880" s="2546" t="s">
        <v>4362</v>
      </c>
      <c r="B880" s="114" t="s">
        <v>1894</v>
      </c>
      <c r="C880" s="2546" t="s">
        <v>2429</v>
      </c>
      <c r="D880" s="121">
        <v>0</v>
      </c>
    </row>
    <row r="881" spans="1:4" ht="15">
      <c r="A881" s="2546" t="s">
        <v>4363</v>
      </c>
      <c r="B881" s="114" t="s">
        <v>1280</v>
      </c>
      <c r="C881" s="2546" t="s">
        <v>1439</v>
      </c>
      <c r="D881" s="121">
        <v>0</v>
      </c>
    </row>
    <row r="882" spans="1:4" ht="15">
      <c r="A882" s="2546" t="s">
        <v>4364</v>
      </c>
      <c r="B882" s="114" t="s">
        <v>2108</v>
      </c>
      <c r="C882" s="2546" t="s">
        <v>732</v>
      </c>
      <c r="D882" s="121">
        <v>0</v>
      </c>
    </row>
    <row r="883" spans="1:4" ht="15">
      <c r="A883" s="2546" t="s">
        <v>4365</v>
      </c>
      <c r="B883" s="114" t="s">
        <v>2542</v>
      </c>
      <c r="C883" s="2546" t="s">
        <v>1455</v>
      </c>
      <c r="D883" s="121">
        <v>0</v>
      </c>
    </row>
    <row r="884" spans="1:4" ht="15">
      <c r="A884" s="2546" t="s">
        <v>6245</v>
      </c>
      <c r="B884" s="114" t="s">
        <v>2107</v>
      </c>
      <c r="C884" s="2546" t="s">
        <v>731</v>
      </c>
      <c r="D884" s="121">
        <v>0</v>
      </c>
    </row>
    <row r="885" spans="1:4" ht="15">
      <c r="A885" s="2546" t="s">
        <v>4366</v>
      </c>
      <c r="B885" s="114" t="s">
        <v>1347</v>
      </c>
      <c r="C885" s="2546" t="s">
        <v>1509</v>
      </c>
      <c r="D885" s="121">
        <v>0</v>
      </c>
    </row>
    <row r="886" spans="1:4" ht="15">
      <c r="A886" s="2546" t="s">
        <v>6818</v>
      </c>
      <c r="B886" s="114" t="s">
        <v>2543</v>
      </c>
      <c r="C886" s="2546" t="s">
        <v>1456</v>
      </c>
      <c r="D886" s="121">
        <v>0</v>
      </c>
    </row>
    <row r="887" spans="1:4" ht="15">
      <c r="A887" s="2546" t="s">
        <v>6819</v>
      </c>
      <c r="B887" s="114" t="s">
        <v>2544</v>
      </c>
      <c r="C887" s="2546" t="s">
        <v>1457</v>
      </c>
      <c r="D887" s="121">
        <v>0</v>
      </c>
    </row>
    <row r="888" spans="1:4" ht="15">
      <c r="A888" s="2546" t="s">
        <v>6820</v>
      </c>
      <c r="B888" s="114" t="s">
        <v>3052</v>
      </c>
      <c r="C888" s="2546" t="s">
        <v>1458</v>
      </c>
      <c r="D888" s="121">
        <v>3808.8899549448947</v>
      </c>
    </row>
    <row r="889" spans="1:4" ht="15">
      <c r="A889" s="2546" t="s">
        <v>6821</v>
      </c>
      <c r="B889" s="114" t="s">
        <v>3053</v>
      </c>
      <c r="C889" s="2546" t="s">
        <v>2664</v>
      </c>
      <c r="D889" s="121">
        <v>0</v>
      </c>
    </row>
    <row r="890" spans="1:4" ht="15">
      <c r="A890" s="2546" t="s">
        <v>6822</v>
      </c>
      <c r="B890" s="114" t="s">
        <v>3054</v>
      </c>
      <c r="C890" s="2546" t="s">
        <v>1293</v>
      </c>
      <c r="D890" s="121">
        <v>0</v>
      </c>
    </row>
    <row r="891" spans="1:4" ht="15">
      <c r="A891" s="2546" t="s">
        <v>6823</v>
      </c>
      <c r="B891" s="114" t="s">
        <v>3055</v>
      </c>
      <c r="C891" s="2546" t="s">
        <v>1460</v>
      </c>
      <c r="D891" s="121">
        <v>0</v>
      </c>
    </row>
    <row r="892" spans="1:4" ht="15">
      <c r="A892" s="2546" t="s">
        <v>6824</v>
      </c>
      <c r="B892" s="114" t="s">
        <v>1335</v>
      </c>
      <c r="C892" s="2546" t="s">
        <v>336</v>
      </c>
      <c r="D892" s="121">
        <v>309068.21138078952</v>
      </c>
    </row>
    <row r="893" spans="1:4" ht="15">
      <c r="A893" s="2546" t="s">
        <v>4367</v>
      </c>
      <c r="B893" s="114" t="s">
        <v>2106</v>
      </c>
      <c r="C893" s="2546" t="s">
        <v>930</v>
      </c>
      <c r="D893" s="121">
        <v>53513.601105020069</v>
      </c>
    </row>
    <row r="894" spans="1:4" ht="15">
      <c r="A894" s="2546" t="s">
        <v>6825</v>
      </c>
      <c r="B894" s="114" t="s">
        <v>1336</v>
      </c>
      <c r="C894" s="2546" t="s">
        <v>2665</v>
      </c>
      <c r="D894" s="121">
        <v>25159.710895698834</v>
      </c>
    </row>
    <row r="895" spans="1:4" ht="15">
      <c r="A895" s="2546" t="s">
        <v>7583</v>
      </c>
      <c r="B895" s="114" t="s">
        <v>1783</v>
      </c>
      <c r="C895" s="2546" t="s">
        <v>706</v>
      </c>
      <c r="D895" s="121">
        <v>47087.607132388177</v>
      </c>
    </row>
    <row r="896" spans="1:4" ht="15">
      <c r="A896" s="2546" t="s">
        <v>7584</v>
      </c>
      <c r="B896" s="114" t="s">
        <v>1784</v>
      </c>
      <c r="C896" s="2546" t="s">
        <v>707</v>
      </c>
      <c r="D896" s="121">
        <v>45717.294556755609</v>
      </c>
    </row>
    <row r="897" spans="1:4" ht="15">
      <c r="A897" s="2546" t="s">
        <v>6826</v>
      </c>
      <c r="B897" s="114" t="s">
        <v>1785</v>
      </c>
      <c r="C897" s="2546" t="s">
        <v>708</v>
      </c>
      <c r="D897" s="121">
        <v>0</v>
      </c>
    </row>
    <row r="898" spans="1:4" ht="15">
      <c r="A898" s="2546" t="s">
        <v>7585</v>
      </c>
      <c r="B898" s="114" t="s">
        <v>2062</v>
      </c>
      <c r="C898" s="2546" t="s">
        <v>1868</v>
      </c>
      <c r="D898" s="121">
        <v>8056.3764349778194</v>
      </c>
    </row>
    <row r="899" spans="1:4" ht="15">
      <c r="A899" s="2546" t="s">
        <v>4368</v>
      </c>
      <c r="B899" s="114" t="s">
        <v>305</v>
      </c>
      <c r="C899" s="2546" t="s">
        <v>735</v>
      </c>
      <c r="D899" s="121">
        <v>0</v>
      </c>
    </row>
    <row r="900" spans="1:4" ht="15">
      <c r="A900" s="2546" t="s">
        <v>7586</v>
      </c>
      <c r="B900" s="114" t="s">
        <v>2063</v>
      </c>
      <c r="C900" s="2546" t="s">
        <v>1869</v>
      </c>
      <c r="D900" s="121">
        <v>0</v>
      </c>
    </row>
    <row r="901" spans="1:4" ht="15">
      <c r="A901" s="2546" t="s">
        <v>6827</v>
      </c>
      <c r="B901" s="114" t="s">
        <v>2797</v>
      </c>
      <c r="C901" s="2546" t="s">
        <v>2179</v>
      </c>
      <c r="D901" s="121">
        <v>90.228328043412134</v>
      </c>
    </row>
    <row r="902" spans="1:4" ht="15">
      <c r="A902" s="2546" t="s">
        <v>4369</v>
      </c>
      <c r="B902" s="114" t="s">
        <v>1488</v>
      </c>
      <c r="C902" s="2546" t="s">
        <v>2307</v>
      </c>
      <c r="D902" s="121">
        <v>0</v>
      </c>
    </row>
    <row r="903" spans="1:4" ht="15">
      <c r="A903" s="2546" t="s">
        <v>6828</v>
      </c>
      <c r="B903" s="114" t="s">
        <v>2785</v>
      </c>
      <c r="C903" s="2546" t="s">
        <v>2180</v>
      </c>
      <c r="D903" s="121">
        <v>0</v>
      </c>
    </row>
    <row r="904" spans="1:4" ht="15">
      <c r="A904" s="2546" t="s">
        <v>4370</v>
      </c>
      <c r="B904" s="114" t="s">
        <v>374</v>
      </c>
      <c r="C904" s="2546" t="s">
        <v>158</v>
      </c>
      <c r="D904" s="121">
        <v>0</v>
      </c>
    </row>
    <row r="905" spans="1:4" ht="15">
      <c r="A905" s="2546" t="s">
        <v>4371</v>
      </c>
      <c r="B905" s="114" t="s">
        <v>1482</v>
      </c>
      <c r="C905" s="2546" t="s">
        <v>1947</v>
      </c>
      <c r="D905" s="121">
        <v>0</v>
      </c>
    </row>
    <row r="906" spans="1:4" ht="15">
      <c r="A906" s="2546" t="s">
        <v>4372</v>
      </c>
      <c r="B906" s="114" t="s">
        <v>1422</v>
      </c>
      <c r="C906" s="2546" t="s">
        <v>3041</v>
      </c>
      <c r="D906" s="121">
        <v>13927.972819792163</v>
      </c>
    </row>
    <row r="907" spans="1:4" ht="15">
      <c r="A907" s="2546" t="s">
        <v>6829</v>
      </c>
      <c r="B907" s="114" t="s">
        <v>292</v>
      </c>
      <c r="C907" s="2546" t="s">
        <v>2181</v>
      </c>
      <c r="D907" s="121">
        <v>0</v>
      </c>
    </row>
    <row r="908" spans="1:4" ht="15">
      <c r="A908" s="2546" t="s">
        <v>4373</v>
      </c>
      <c r="B908" s="114" t="s">
        <v>238</v>
      </c>
      <c r="C908" s="2546" t="s">
        <v>1125</v>
      </c>
      <c r="D908" s="121">
        <v>0</v>
      </c>
    </row>
    <row r="909" spans="1:4" ht="15">
      <c r="A909" s="2546" t="s">
        <v>6830</v>
      </c>
      <c r="B909" s="114" t="s">
        <v>293</v>
      </c>
      <c r="C909" s="2546" t="s">
        <v>2182</v>
      </c>
      <c r="D909" s="121">
        <v>0</v>
      </c>
    </row>
    <row r="910" spans="1:4" ht="15">
      <c r="A910" s="2546" t="s">
        <v>6831</v>
      </c>
      <c r="B910" s="114" t="s">
        <v>294</v>
      </c>
      <c r="C910" s="2546" t="s">
        <v>2183</v>
      </c>
      <c r="D910" s="121">
        <v>0</v>
      </c>
    </row>
    <row r="911" spans="1:4" ht="15">
      <c r="A911" s="2546" t="s">
        <v>4374</v>
      </c>
      <c r="B911" s="114" t="s">
        <v>1295</v>
      </c>
      <c r="C911" s="2546" t="s">
        <v>3064</v>
      </c>
      <c r="D911" s="121">
        <v>0</v>
      </c>
    </row>
    <row r="912" spans="1:4" ht="15">
      <c r="A912" s="2546" t="s">
        <v>6832</v>
      </c>
      <c r="B912" s="114" t="s">
        <v>2804</v>
      </c>
      <c r="C912" s="2546" t="s">
        <v>2184</v>
      </c>
      <c r="D912" s="121">
        <v>0</v>
      </c>
    </row>
    <row r="913" spans="1:4" ht="15">
      <c r="A913" s="2546" t="s">
        <v>6833</v>
      </c>
      <c r="B913" s="114" t="s">
        <v>1496</v>
      </c>
      <c r="C913" s="2546" t="s">
        <v>2185</v>
      </c>
      <c r="D913" s="121">
        <v>0</v>
      </c>
    </row>
    <row r="914" spans="1:4" ht="15">
      <c r="A914" s="2546" t="s">
        <v>7587</v>
      </c>
      <c r="B914" s="114" t="s">
        <v>1497</v>
      </c>
      <c r="C914" s="2546" t="s">
        <v>2186</v>
      </c>
      <c r="D914" s="121">
        <v>0</v>
      </c>
    </row>
    <row r="915" spans="1:4" ht="15">
      <c r="A915" s="2546" t="s">
        <v>6834</v>
      </c>
      <c r="B915" s="114" t="s">
        <v>1498</v>
      </c>
      <c r="C915" s="2546" t="s">
        <v>2187</v>
      </c>
      <c r="D915" s="121">
        <v>0</v>
      </c>
    </row>
    <row r="916" spans="1:4" ht="15">
      <c r="A916" s="2546" t="s">
        <v>7588</v>
      </c>
      <c r="B916" s="114" t="s">
        <v>1499</v>
      </c>
      <c r="C916" s="2546" t="s">
        <v>2081</v>
      </c>
      <c r="D916" s="121">
        <v>0</v>
      </c>
    </row>
    <row r="917" spans="1:4" ht="15">
      <c r="A917" s="2546" t="s">
        <v>7589</v>
      </c>
      <c r="B917" s="114" t="s">
        <v>1500</v>
      </c>
      <c r="C917" s="2546" t="s">
        <v>2188</v>
      </c>
      <c r="D917" s="121">
        <v>0</v>
      </c>
    </row>
    <row r="918" spans="1:4" ht="15">
      <c r="A918" s="2546" t="s">
        <v>6279</v>
      </c>
      <c r="B918" s="114" t="s">
        <v>1615</v>
      </c>
      <c r="C918" s="2546" t="s">
        <v>1740</v>
      </c>
      <c r="D918" s="121">
        <v>0</v>
      </c>
    </row>
    <row r="919" spans="1:4" ht="15">
      <c r="A919" s="2546" t="s">
        <v>6835</v>
      </c>
      <c r="B919" s="114" t="s">
        <v>2051</v>
      </c>
      <c r="C919" s="2546" t="s">
        <v>2189</v>
      </c>
      <c r="D919" s="121">
        <v>0</v>
      </c>
    </row>
    <row r="920" spans="1:4" ht="15">
      <c r="A920" s="2546" t="s">
        <v>4375</v>
      </c>
      <c r="B920" s="114" t="s">
        <v>2052</v>
      </c>
      <c r="C920" s="2546" t="s">
        <v>2190</v>
      </c>
      <c r="D920" s="121">
        <v>206396.09413823512</v>
      </c>
    </row>
    <row r="921" spans="1:4" ht="15">
      <c r="A921" s="2546" t="s">
        <v>4376</v>
      </c>
      <c r="B921" s="114" t="s">
        <v>1423</v>
      </c>
      <c r="C921" s="2546" t="s">
        <v>2212</v>
      </c>
      <c r="D921" s="121">
        <v>0</v>
      </c>
    </row>
    <row r="922" spans="1:4" ht="15">
      <c r="A922" s="2546" t="s">
        <v>4377</v>
      </c>
      <c r="B922" s="114" t="s">
        <v>83</v>
      </c>
      <c r="C922" s="2546" t="s">
        <v>2499</v>
      </c>
      <c r="D922" s="121">
        <v>0</v>
      </c>
    </row>
    <row r="923" spans="1:4" ht="15">
      <c r="A923" s="2546" t="s">
        <v>6836</v>
      </c>
      <c r="B923" s="114" t="s">
        <v>2053</v>
      </c>
      <c r="C923" s="2546" t="s">
        <v>483</v>
      </c>
      <c r="D923" s="121">
        <v>22211.126335948615</v>
      </c>
    </row>
    <row r="924" spans="1:4" ht="15">
      <c r="A924" s="2546" t="s">
        <v>6837</v>
      </c>
      <c r="B924" s="114" t="s">
        <v>2054</v>
      </c>
      <c r="C924" s="2546" t="s">
        <v>2191</v>
      </c>
      <c r="D924" s="121">
        <v>0</v>
      </c>
    </row>
    <row r="925" spans="1:4" ht="15">
      <c r="A925" s="2546" t="s">
        <v>4378</v>
      </c>
      <c r="B925" s="114" t="s">
        <v>1594</v>
      </c>
      <c r="C925" s="2546" t="s">
        <v>1152</v>
      </c>
      <c r="D925" s="121">
        <v>0</v>
      </c>
    </row>
    <row r="926" spans="1:4" ht="15">
      <c r="A926" s="2546" t="s">
        <v>7590</v>
      </c>
      <c r="B926" s="114" t="s">
        <v>1229</v>
      </c>
      <c r="C926" s="2546" t="s">
        <v>881</v>
      </c>
      <c r="D926" s="121">
        <v>0</v>
      </c>
    </row>
    <row r="927" spans="1:4" ht="15">
      <c r="A927" s="2546" t="s">
        <v>4379</v>
      </c>
      <c r="B927" s="114" t="s">
        <v>2127</v>
      </c>
      <c r="C927" s="2546" t="s">
        <v>935</v>
      </c>
      <c r="D927" s="121">
        <v>0</v>
      </c>
    </row>
    <row r="928" spans="1:4" ht="15">
      <c r="A928" s="2546" t="s">
        <v>4380</v>
      </c>
      <c r="B928" s="114" t="s">
        <v>1230</v>
      </c>
      <c r="C928" s="2546" t="s">
        <v>1729</v>
      </c>
      <c r="D928" s="121">
        <v>0</v>
      </c>
    </row>
    <row r="929" spans="1:4" ht="15">
      <c r="A929" s="2546" t="s">
        <v>6838</v>
      </c>
      <c r="B929" s="114" t="s">
        <v>1231</v>
      </c>
      <c r="C929" s="2546" t="s">
        <v>882</v>
      </c>
      <c r="D929" s="121">
        <v>42494.647481878877</v>
      </c>
    </row>
    <row r="930" spans="1:4" ht="15">
      <c r="A930" s="2546" t="s">
        <v>7591</v>
      </c>
      <c r="B930" s="114" t="s">
        <v>1232</v>
      </c>
      <c r="C930" s="2546" t="s">
        <v>883</v>
      </c>
      <c r="D930" s="121">
        <v>0</v>
      </c>
    </row>
    <row r="931" spans="1:4" ht="15">
      <c r="A931" s="2546" t="s">
        <v>6839</v>
      </c>
      <c r="B931" s="114" t="s">
        <v>1233</v>
      </c>
      <c r="C931" s="2546" t="s">
        <v>884</v>
      </c>
      <c r="D931" s="121">
        <v>0</v>
      </c>
    </row>
    <row r="932" spans="1:4" ht="15">
      <c r="A932" s="2546" t="s">
        <v>4381</v>
      </c>
      <c r="B932" s="114" t="s">
        <v>63</v>
      </c>
      <c r="C932" s="2546" t="s">
        <v>2832</v>
      </c>
      <c r="D932" s="121">
        <v>0</v>
      </c>
    </row>
    <row r="933" spans="1:4" ht="15">
      <c r="A933" s="2546" t="s">
        <v>4382</v>
      </c>
      <c r="B933" s="114" t="s">
        <v>1737</v>
      </c>
      <c r="C933" s="2546" t="s">
        <v>670</v>
      </c>
      <c r="D933" s="121">
        <v>0</v>
      </c>
    </row>
    <row r="934" spans="1:4" ht="15">
      <c r="A934" s="2546" t="s">
        <v>4383</v>
      </c>
      <c r="B934" s="114" t="s">
        <v>1714</v>
      </c>
      <c r="C934" s="2546" t="s">
        <v>327</v>
      </c>
      <c r="D934" s="121">
        <v>0</v>
      </c>
    </row>
    <row r="935" spans="1:4" ht="15">
      <c r="A935" s="2546" t="s">
        <v>7592</v>
      </c>
      <c r="B935" s="114" t="s">
        <v>1495</v>
      </c>
      <c r="C935" s="2546" t="s">
        <v>687</v>
      </c>
      <c r="D935" s="121">
        <v>0</v>
      </c>
    </row>
    <row r="936" spans="1:4" ht="15">
      <c r="A936" s="2546" t="s">
        <v>4384</v>
      </c>
      <c r="B936" s="114" t="s">
        <v>530</v>
      </c>
      <c r="C936" s="2546" t="s">
        <v>2460</v>
      </c>
      <c r="D936" s="121">
        <v>0</v>
      </c>
    </row>
    <row r="937" spans="1:4" ht="15">
      <c r="A937" s="2546" t="s">
        <v>6840</v>
      </c>
      <c r="B937" s="114" t="s">
        <v>940</v>
      </c>
      <c r="C937" s="2546" t="s">
        <v>688</v>
      </c>
      <c r="D937" s="121">
        <v>0</v>
      </c>
    </row>
    <row r="938" spans="1:4" ht="15">
      <c r="A938" s="2546" t="s">
        <v>4385</v>
      </c>
      <c r="B938" s="114" t="s">
        <v>943</v>
      </c>
      <c r="C938" s="2546" t="s">
        <v>1310</v>
      </c>
      <c r="D938" s="121">
        <v>0</v>
      </c>
    </row>
    <row r="939" spans="1:4" ht="15">
      <c r="A939" s="2546" t="s">
        <v>6841</v>
      </c>
      <c r="B939" s="114" t="s">
        <v>944</v>
      </c>
      <c r="C939" s="2546" t="s">
        <v>1000</v>
      </c>
      <c r="D939" s="121">
        <v>0</v>
      </c>
    </row>
    <row r="940" spans="1:4" ht="15">
      <c r="A940" s="2546" t="s">
        <v>4386</v>
      </c>
      <c r="B940" s="114" t="s">
        <v>1726</v>
      </c>
      <c r="C940" s="2546" t="s">
        <v>976</v>
      </c>
      <c r="D940" s="121">
        <v>0</v>
      </c>
    </row>
    <row r="941" spans="1:4" ht="15">
      <c r="A941" s="2546" t="s">
        <v>4387</v>
      </c>
      <c r="B941" s="114" t="s">
        <v>2097</v>
      </c>
      <c r="C941" s="2546" t="s">
        <v>2359</v>
      </c>
      <c r="D941" s="121">
        <v>0</v>
      </c>
    </row>
    <row r="942" spans="1:4" ht="15">
      <c r="A942" s="2546" t="s">
        <v>4388</v>
      </c>
      <c r="B942" s="114" t="s">
        <v>945</v>
      </c>
      <c r="C942" s="2546" t="s">
        <v>1311</v>
      </c>
      <c r="D942" s="121">
        <v>0</v>
      </c>
    </row>
    <row r="943" spans="1:4" ht="15">
      <c r="A943" s="2546" t="s">
        <v>6842</v>
      </c>
      <c r="B943" s="114" t="s">
        <v>946</v>
      </c>
      <c r="C943" s="2546" t="s">
        <v>2379</v>
      </c>
      <c r="D943" s="121">
        <v>0</v>
      </c>
    </row>
    <row r="944" spans="1:4" ht="15">
      <c r="A944" s="2546" t="s">
        <v>4389</v>
      </c>
      <c r="B944" s="114" t="s">
        <v>1606</v>
      </c>
      <c r="C944" s="2546" t="s">
        <v>1668</v>
      </c>
      <c r="D944" s="121">
        <v>0</v>
      </c>
    </row>
    <row r="945" spans="1:4" ht="15">
      <c r="A945" s="2546" t="s">
        <v>4390</v>
      </c>
      <c r="B945" s="114" t="s">
        <v>989</v>
      </c>
      <c r="C945" s="2546" t="s">
        <v>1520</v>
      </c>
      <c r="D945" s="121">
        <v>1057.6497062628844</v>
      </c>
    </row>
    <row r="946" spans="1:4" ht="15">
      <c r="A946" s="2546" t="s">
        <v>4391</v>
      </c>
      <c r="B946" s="114" t="s">
        <v>372</v>
      </c>
      <c r="C946" s="2546" t="s">
        <v>155</v>
      </c>
      <c r="D946" s="121">
        <v>0</v>
      </c>
    </row>
    <row r="947" spans="1:4" ht="15">
      <c r="A947" s="2546" t="s">
        <v>6843</v>
      </c>
      <c r="B947" s="114" t="s">
        <v>2992</v>
      </c>
      <c r="C947" s="2546" t="s">
        <v>2380</v>
      </c>
      <c r="D947" s="121">
        <v>0</v>
      </c>
    </row>
    <row r="948" spans="1:4" ht="15">
      <c r="A948" s="2546" t="s">
        <v>4392</v>
      </c>
      <c r="B948" s="114" t="s">
        <v>1160</v>
      </c>
      <c r="C948" s="2546" t="s">
        <v>1307</v>
      </c>
      <c r="D948" s="121">
        <v>0</v>
      </c>
    </row>
    <row r="949" spans="1:4" ht="15">
      <c r="A949" s="2546" t="s">
        <v>4393</v>
      </c>
      <c r="B949" s="114" t="s">
        <v>1320</v>
      </c>
      <c r="C949" s="2546" t="s">
        <v>106</v>
      </c>
      <c r="D949" s="121">
        <v>0</v>
      </c>
    </row>
    <row r="950" spans="1:4" ht="15">
      <c r="A950" s="2546" t="s">
        <v>4394</v>
      </c>
      <c r="B950" s="114" t="s">
        <v>306</v>
      </c>
      <c r="C950" s="2546" t="s">
        <v>2722</v>
      </c>
      <c r="D950" s="121">
        <v>0</v>
      </c>
    </row>
    <row r="951" spans="1:4" ht="15">
      <c r="A951" s="2546" t="s">
        <v>4395</v>
      </c>
      <c r="B951" s="114" t="s">
        <v>307</v>
      </c>
      <c r="C951" s="2546" t="s">
        <v>159</v>
      </c>
      <c r="D951" s="121">
        <v>0</v>
      </c>
    </row>
    <row r="952" spans="1:4" ht="15">
      <c r="A952" s="2546" t="s">
        <v>4396</v>
      </c>
      <c r="B952" s="114" t="s">
        <v>693</v>
      </c>
      <c r="C952" s="2546" t="s">
        <v>107</v>
      </c>
      <c r="D952" s="121">
        <v>0</v>
      </c>
    </row>
    <row r="953" spans="1:4" ht="15">
      <c r="A953" s="2546" t="s">
        <v>6844</v>
      </c>
      <c r="B953" s="114" t="s">
        <v>694</v>
      </c>
      <c r="C953" s="2546" t="s">
        <v>999</v>
      </c>
      <c r="D953" s="121">
        <v>246805.83998655473</v>
      </c>
    </row>
    <row r="954" spans="1:4" ht="15">
      <c r="A954" s="2546" t="s">
        <v>7593</v>
      </c>
      <c r="B954" s="114" t="s">
        <v>695</v>
      </c>
      <c r="C954" s="2546" t="s">
        <v>1383</v>
      </c>
      <c r="D954" s="121">
        <v>0</v>
      </c>
    </row>
    <row r="955" spans="1:4" ht="15">
      <c r="A955" s="2546" t="s">
        <v>6845</v>
      </c>
      <c r="B955" s="114" t="s">
        <v>2669</v>
      </c>
      <c r="C955" s="2546" t="s">
        <v>1384</v>
      </c>
      <c r="D955" s="121">
        <v>0</v>
      </c>
    </row>
    <row r="956" spans="1:4" ht="15">
      <c r="A956" s="2546" t="s">
        <v>6846</v>
      </c>
      <c r="B956" s="114" t="s">
        <v>2670</v>
      </c>
      <c r="C956" s="2546" t="s">
        <v>1385</v>
      </c>
      <c r="D956" s="121">
        <v>4338.6798169324165</v>
      </c>
    </row>
    <row r="957" spans="1:4" ht="15">
      <c r="A957" s="2546" t="s">
        <v>4397</v>
      </c>
      <c r="B957" s="114" t="s">
        <v>1987</v>
      </c>
      <c r="C957" s="2546" t="s">
        <v>2677</v>
      </c>
      <c r="D957" s="121">
        <v>0</v>
      </c>
    </row>
    <row r="958" spans="1:4" ht="15">
      <c r="A958" s="2546" t="s">
        <v>4398</v>
      </c>
      <c r="B958" s="114" t="s">
        <v>1713</v>
      </c>
      <c r="C958" s="2546" t="s">
        <v>2703</v>
      </c>
      <c r="D958" s="121">
        <v>8297354.1039780835</v>
      </c>
    </row>
    <row r="959" spans="1:4" ht="15">
      <c r="A959" s="2546" t="s">
        <v>6847</v>
      </c>
      <c r="B959" s="114" t="s">
        <v>1043</v>
      </c>
      <c r="C959" s="2546" t="s">
        <v>2666</v>
      </c>
      <c r="D959" s="121">
        <v>0</v>
      </c>
    </row>
    <row r="960" spans="1:4" ht="15">
      <c r="A960" s="2546" t="s">
        <v>7594</v>
      </c>
      <c r="B960" s="114" t="s">
        <v>1044</v>
      </c>
      <c r="C960" s="2546" t="s">
        <v>1387</v>
      </c>
      <c r="D960" s="121">
        <v>0</v>
      </c>
    </row>
    <row r="961" spans="1:4" ht="15">
      <c r="A961" s="2546" t="s">
        <v>6848</v>
      </c>
      <c r="B961" s="114" t="s">
        <v>1045</v>
      </c>
      <c r="C961" s="2546" t="s">
        <v>1388</v>
      </c>
      <c r="D961" s="121">
        <v>0</v>
      </c>
    </row>
    <row r="962" spans="1:4" ht="15">
      <c r="A962" s="2546" t="s">
        <v>6849</v>
      </c>
      <c r="B962" s="114" t="s">
        <v>624</v>
      </c>
      <c r="C962" s="2546" t="s">
        <v>1389</v>
      </c>
      <c r="D962" s="121">
        <v>0</v>
      </c>
    </row>
    <row r="963" spans="1:4" ht="15">
      <c r="A963" s="2546" t="s">
        <v>6850</v>
      </c>
      <c r="B963" s="114" t="s">
        <v>1014</v>
      </c>
      <c r="C963" s="2546" t="s">
        <v>1390</v>
      </c>
      <c r="D963" s="121">
        <v>0</v>
      </c>
    </row>
    <row r="964" spans="1:4" ht="15">
      <c r="A964" s="2546" t="s">
        <v>6851</v>
      </c>
      <c r="B964" s="114" t="s">
        <v>1015</v>
      </c>
      <c r="C964" s="2546" t="s">
        <v>1391</v>
      </c>
      <c r="D964" s="121">
        <v>0</v>
      </c>
    </row>
    <row r="965" spans="1:4" ht="15">
      <c r="A965" s="2546" t="s">
        <v>7595</v>
      </c>
      <c r="B965" s="114" t="s">
        <v>1016</v>
      </c>
      <c r="C965" s="2546" t="s">
        <v>1392</v>
      </c>
      <c r="D965" s="121">
        <v>98129.338052561186</v>
      </c>
    </row>
    <row r="966" spans="1:4" ht="15">
      <c r="A966" s="2546" t="s">
        <v>6852</v>
      </c>
      <c r="B966" s="114" t="s">
        <v>1017</v>
      </c>
      <c r="C966" s="2546" t="s">
        <v>1393</v>
      </c>
      <c r="D966" s="121">
        <v>0</v>
      </c>
    </row>
    <row r="967" spans="1:4" ht="15">
      <c r="A967" s="2546" t="s">
        <v>7596</v>
      </c>
      <c r="B967" s="114" t="s">
        <v>1940</v>
      </c>
      <c r="C967" s="2546" t="s">
        <v>1394</v>
      </c>
      <c r="D967" s="121">
        <v>0</v>
      </c>
    </row>
    <row r="968" spans="1:4" ht="15">
      <c r="A968" s="2546" t="s">
        <v>6853</v>
      </c>
      <c r="B968" s="114" t="s">
        <v>2648</v>
      </c>
      <c r="C968" s="2546" t="s">
        <v>1395</v>
      </c>
      <c r="D968" s="121">
        <v>0</v>
      </c>
    </row>
    <row r="969" spans="1:4" ht="15">
      <c r="A969" s="2546" t="s">
        <v>4399</v>
      </c>
      <c r="B969" s="114" t="s">
        <v>996</v>
      </c>
      <c r="C969" s="2546" t="s">
        <v>1633</v>
      </c>
      <c r="D969" s="121">
        <v>0</v>
      </c>
    </row>
    <row r="970" spans="1:4" ht="15">
      <c r="A970" s="2546" t="s">
        <v>6854</v>
      </c>
      <c r="B970" s="114" t="s">
        <v>1424</v>
      </c>
      <c r="C970" s="2546" t="s">
        <v>1804</v>
      </c>
      <c r="D970" s="121">
        <v>40996.471232815798</v>
      </c>
    </row>
    <row r="971" spans="1:4" ht="15">
      <c r="A971" s="2546" t="s">
        <v>6855</v>
      </c>
      <c r="B971" s="114" t="s">
        <v>714</v>
      </c>
      <c r="C971" s="2546" t="s">
        <v>2667</v>
      </c>
      <c r="D971" s="121">
        <v>176753.43460162004</v>
      </c>
    </row>
    <row r="972" spans="1:4" ht="15">
      <c r="A972" s="2546" t="s">
        <v>4400</v>
      </c>
      <c r="B972" s="114" t="s">
        <v>2088</v>
      </c>
      <c r="C972" s="2546" t="s">
        <v>1806</v>
      </c>
      <c r="D972" s="121">
        <v>0</v>
      </c>
    </row>
    <row r="973" spans="1:4" ht="15">
      <c r="A973" s="2546" t="s">
        <v>4401</v>
      </c>
      <c r="B973" s="114" t="s">
        <v>626</v>
      </c>
      <c r="C973" s="2546" t="s">
        <v>1327</v>
      </c>
      <c r="D973" s="121">
        <v>0</v>
      </c>
    </row>
    <row r="974" spans="1:4" ht="15">
      <c r="A974" s="2546" t="s">
        <v>7597</v>
      </c>
      <c r="B974" s="114" t="s">
        <v>1534</v>
      </c>
      <c r="C974" s="2546" t="s">
        <v>1807</v>
      </c>
      <c r="D974" s="121">
        <v>0</v>
      </c>
    </row>
    <row r="975" spans="1:4" ht="15">
      <c r="A975" s="2546" t="s">
        <v>6856</v>
      </c>
      <c r="B975" s="114" t="s">
        <v>9</v>
      </c>
      <c r="C975" s="2546" t="s">
        <v>1808</v>
      </c>
      <c r="D975" s="121">
        <v>0</v>
      </c>
    </row>
    <row r="976" spans="1:4" ht="15">
      <c r="A976" s="2546" t="s">
        <v>4402</v>
      </c>
      <c r="B976" s="114" t="s">
        <v>10</v>
      </c>
      <c r="C976" s="2546" t="s">
        <v>2612</v>
      </c>
      <c r="D976" s="121">
        <v>44065.681899575931</v>
      </c>
    </row>
    <row r="977" spans="1:4" ht="15">
      <c r="A977" s="2546" t="s">
        <v>4403</v>
      </c>
      <c r="B977" s="114" t="s">
        <v>1695</v>
      </c>
      <c r="C977" s="2546" t="s">
        <v>2678</v>
      </c>
      <c r="D977" s="121">
        <v>0</v>
      </c>
    </row>
    <row r="978" spans="1:4" ht="15">
      <c r="A978" s="2546" t="s">
        <v>4404</v>
      </c>
      <c r="B978" s="114" t="s">
        <v>2387</v>
      </c>
      <c r="C978" s="2546" t="s">
        <v>950</v>
      </c>
      <c r="D978" s="121">
        <v>169462.79269394113</v>
      </c>
    </row>
    <row r="979" spans="1:4" ht="15">
      <c r="A979" s="2546" t="s">
        <v>4405</v>
      </c>
      <c r="B979" s="114" t="s">
        <v>465</v>
      </c>
      <c r="C979" s="2546" t="s">
        <v>91</v>
      </c>
      <c r="D979" s="121">
        <v>0</v>
      </c>
    </row>
    <row r="980" spans="1:4" ht="15">
      <c r="A980" s="2546" t="s">
        <v>4406</v>
      </c>
      <c r="B980" s="114" t="s">
        <v>308</v>
      </c>
      <c r="C980" s="2546" t="s">
        <v>580</v>
      </c>
      <c r="D980" s="121">
        <v>0</v>
      </c>
    </row>
    <row r="981" spans="1:4" ht="15">
      <c r="A981" s="2546" t="s">
        <v>4407</v>
      </c>
      <c r="B981" s="114" t="s">
        <v>1514</v>
      </c>
      <c r="C981" s="2546" t="s">
        <v>130</v>
      </c>
      <c r="D981" s="121">
        <v>0</v>
      </c>
    </row>
    <row r="982" spans="1:4" ht="15">
      <c r="A982" s="2546" t="s">
        <v>4408</v>
      </c>
      <c r="B982" s="114" t="s">
        <v>2975</v>
      </c>
      <c r="C982" s="2546" t="s">
        <v>2650</v>
      </c>
      <c r="D982" s="121">
        <v>0</v>
      </c>
    </row>
    <row r="983" spans="1:4" ht="15">
      <c r="A983" s="2546" t="s">
        <v>4409</v>
      </c>
      <c r="B983" s="114" t="s">
        <v>2038</v>
      </c>
      <c r="C983" s="2546" t="s">
        <v>1153</v>
      </c>
      <c r="D983" s="121">
        <v>0</v>
      </c>
    </row>
    <row r="984" spans="1:4" ht="15">
      <c r="A984" s="2546" t="s">
        <v>4410</v>
      </c>
      <c r="B984" s="114" t="s">
        <v>47</v>
      </c>
      <c r="C984" s="2546" t="s">
        <v>1440</v>
      </c>
      <c r="D984" s="121">
        <v>0</v>
      </c>
    </row>
    <row r="985" spans="1:4" ht="15">
      <c r="A985" s="2546" t="s">
        <v>6857</v>
      </c>
      <c r="B985" s="114" t="s">
        <v>11</v>
      </c>
      <c r="C985" s="2546" t="s">
        <v>1809</v>
      </c>
      <c r="D985" s="121">
        <v>0</v>
      </c>
    </row>
    <row r="986" spans="1:4" ht="15">
      <c r="A986" s="2546" t="s">
        <v>4411</v>
      </c>
      <c r="B986" s="114" t="s">
        <v>1990</v>
      </c>
      <c r="C986" s="2546" t="s">
        <v>2826</v>
      </c>
      <c r="D986" s="121">
        <v>0</v>
      </c>
    </row>
    <row r="987" spans="1:4" ht="15">
      <c r="A987" s="2546" t="s">
        <v>6403</v>
      </c>
      <c r="B987" s="114" t="s">
        <v>1485</v>
      </c>
      <c r="C987" s="2546" t="s">
        <v>666</v>
      </c>
      <c r="D987" s="121">
        <v>0</v>
      </c>
    </row>
    <row r="988" spans="1:4" ht="15">
      <c r="A988" s="2546" t="s">
        <v>4412</v>
      </c>
      <c r="B988" s="114" t="s">
        <v>1738</v>
      </c>
      <c r="C988" s="2546" t="s">
        <v>657</v>
      </c>
      <c r="D988" s="121">
        <v>0</v>
      </c>
    </row>
    <row r="989" spans="1:4" ht="15">
      <c r="A989" s="2546" t="s">
        <v>4413</v>
      </c>
      <c r="B989" s="114" t="s">
        <v>1708</v>
      </c>
      <c r="C989" s="2546" t="s">
        <v>659</v>
      </c>
      <c r="D989" s="121">
        <v>0</v>
      </c>
    </row>
    <row r="990" spans="1:4" ht="15">
      <c r="A990" s="2546" t="s">
        <v>4414</v>
      </c>
      <c r="B990" s="114" t="s">
        <v>1988</v>
      </c>
      <c r="C990" s="2546" t="s">
        <v>2824</v>
      </c>
      <c r="D990" s="121">
        <v>0</v>
      </c>
    </row>
    <row r="991" spans="1:4" ht="15">
      <c r="A991" s="2546" t="s">
        <v>7598</v>
      </c>
      <c r="B991" s="114" t="s">
        <v>12</v>
      </c>
      <c r="C991" s="2546" t="s">
        <v>1810</v>
      </c>
      <c r="D991" s="121">
        <v>0</v>
      </c>
    </row>
    <row r="992" spans="1:4" ht="15">
      <c r="A992" s="2546" t="s">
        <v>4415</v>
      </c>
      <c r="B992" s="114" t="s">
        <v>2814</v>
      </c>
      <c r="C992" s="2546" t="s">
        <v>131</v>
      </c>
      <c r="D992" s="121">
        <v>0</v>
      </c>
    </row>
    <row r="993" spans="1:4" ht="15">
      <c r="A993" s="2546" t="s">
        <v>4416</v>
      </c>
      <c r="B993" s="114" t="s">
        <v>66</v>
      </c>
      <c r="C993" s="2546" t="s">
        <v>2173</v>
      </c>
      <c r="D993" s="121">
        <v>0</v>
      </c>
    </row>
    <row r="994" spans="1:4" ht="15">
      <c r="A994" s="2546" t="s">
        <v>4417</v>
      </c>
      <c r="B994" s="114" t="s">
        <v>2815</v>
      </c>
      <c r="C994" s="2546" t="s">
        <v>1132</v>
      </c>
      <c r="D994" s="121">
        <v>181940.83970747417</v>
      </c>
    </row>
    <row r="995" spans="1:4" ht="15">
      <c r="A995" s="2546" t="s">
        <v>4418</v>
      </c>
      <c r="B995" s="114" t="s">
        <v>1705</v>
      </c>
      <c r="C995" s="2546" t="s">
        <v>2215</v>
      </c>
      <c r="D995" s="121">
        <v>0</v>
      </c>
    </row>
    <row r="996" spans="1:4" ht="15">
      <c r="A996" s="2546" t="s">
        <v>6858</v>
      </c>
      <c r="B996" s="114" t="s">
        <v>1339</v>
      </c>
      <c r="C996" s="2546" t="s">
        <v>1811</v>
      </c>
      <c r="D996" s="121">
        <v>118740.47970513035</v>
      </c>
    </row>
    <row r="997" spans="1:4" ht="15">
      <c r="A997" s="2546" t="s">
        <v>6859</v>
      </c>
      <c r="B997" s="114" t="s">
        <v>1340</v>
      </c>
      <c r="C997" s="2546" t="s">
        <v>1812</v>
      </c>
      <c r="D997" s="121">
        <v>0</v>
      </c>
    </row>
    <row r="998" spans="1:4" ht="15">
      <c r="A998" s="2546" t="s">
        <v>4419</v>
      </c>
      <c r="B998" s="114" t="s">
        <v>224</v>
      </c>
      <c r="C998" s="2546" t="s">
        <v>1203</v>
      </c>
      <c r="D998" s="121">
        <v>230626.98400995767</v>
      </c>
    </row>
    <row r="999" spans="1:4" ht="15">
      <c r="A999" s="2546" t="s">
        <v>6860</v>
      </c>
      <c r="B999" s="114" t="s">
        <v>904</v>
      </c>
      <c r="C999" s="2546" t="s">
        <v>1813</v>
      </c>
      <c r="D999" s="121">
        <v>0</v>
      </c>
    </row>
    <row r="1000" spans="1:4" ht="15">
      <c r="A1000" s="2546" t="s">
        <v>6861</v>
      </c>
      <c r="B1000" s="114" t="s">
        <v>2491</v>
      </c>
      <c r="C1000" s="2546" t="s">
        <v>1814</v>
      </c>
      <c r="D1000" s="121">
        <v>53273.79640428436</v>
      </c>
    </row>
    <row r="1001" spans="1:4" ht="15">
      <c r="A1001" s="2546" t="s">
        <v>6862</v>
      </c>
      <c r="B1001" s="114" t="s">
        <v>2780</v>
      </c>
      <c r="C1001" s="2546" t="s">
        <v>1815</v>
      </c>
      <c r="D1001" s="121">
        <v>0</v>
      </c>
    </row>
    <row r="1002" spans="1:4" ht="15">
      <c r="A1002" s="2546" t="s">
        <v>6863</v>
      </c>
      <c r="B1002" s="114" t="s">
        <v>2781</v>
      </c>
      <c r="C1002" s="2546" t="s">
        <v>1816</v>
      </c>
      <c r="D1002" s="121">
        <v>0</v>
      </c>
    </row>
    <row r="1003" spans="1:4" ht="15">
      <c r="A1003" s="2546" t="s">
        <v>4420</v>
      </c>
      <c r="B1003" s="114" t="s">
        <v>2302</v>
      </c>
      <c r="C1003" s="2546" t="s">
        <v>1541</v>
      </c>
      <c r="D1003" s="121">
        <v>38144.870063101545</v>
      </c>
    </row>
    <row r="1004" spans="1:4" ht="15">
      <c r="A1004" s="2546" t="s">
        <v>4421</v>
      </c>
      <c r="B1004" s="114" t="s">
        <v>1314</v>
      </c>
      <c r="C1004" s="2546" t="s">
        <v>2201</v>
      </c>
      <c r="D1004" s="121">
        <v>27975.606737738155</v>
      </c>
    </row>
    <row r="1005" spans="1:4" ht="15">
      <c r="A1005" s="2546" t="s">
        <v>6864</v>
      </c>
      <c r="B1005" s="114" t="s">
        <v>2548</v>
      </c>
      <c r="C1005" s="2546" t="s">
        <v>1817</v>
      </c>
      <c r="D1005" s="121">
        <v>88379.85357959228</v>
      </c>
    </row>
    <row r="1006" spans="1:4" ht="15">
      <c r="A1006" s="2546" t="s">
        <v>7599</v>
      </c>
      <c r="B1006" s="114" t="s">
        <v>2549</v>
      </c>
      <c r="C1006" s="2546" t="s">
        <v>1818</v>
      </c>
      <c r="D1006" s="121">
        <v>9330.6706294305004</v>
      </c>
    </row>
    <row r="1007" spans="1:4" ht="15">
      <c r="A1007" s="2546" t="s">
        <v>6865</v>
      </c>
      <c r="B1007" s="114" t="s">
        <v>2970</v>
      </c>
      <c r="C1007" s="2546" t="s">
        <v>29</v>
      </c>
      <c r="D1007" s="121">
        <v>109934.77389340698</v>
      </c>
    </row>
    <row r="1008" spans="1:4" ht="15">
      <c r="A1008" s="2546" t="s">
        <v>6866</v>
      </c>
      <c r="B1008" s="114" t="s">
        <v>2971</v>
      </c>
      <c r="C1008" s="2546" t="s">
        <v>1548</v>
      </c>
      <c r="D1008" s="121">
        <v>0</v>
      </c>
    </row>
    <row r="1009" spans="1:4" ht="15">
      <c r="A1009" s="2546" t="s">
        <v>6867</v>
      </c>
      <c r="B1009" s="114" t="s">
        <v>705</v>
      </c>
      <c r="C1009" s="2546" t="s">
        <v>1549</v>
      </c>
      <c r="D1009" s="121">
        <v>0</v>
      </c>
    </row>
    <row r="1010" spans="1:4" ht="15">
      <c r="A1010" s="2546" t="s">
        <v>7600</v>
      </c>
      <c r="B1010" s="114" t="s">
        <v>777</v>
      </c>
      <c r="C1010" s="2546" t="s">
        <v>1550</v>
      </c>
      <c r="D1010" s="121">
        <v>0</v>
      </c>
    </row>
    <row r="1011" spans="1:4" ht="15">
      <c r="A1011" s="2546" t="s">
        <v>6868</v>
      </c>
      <c r="B1011" s="114" t="s">
        <v>778</v>
      </c>
      <c r="C1011" s="2546" t="s">
        <v>1551</v>
      </c>
      <c r="D1011" s="121">
        <v>0</v>
      </c>
    </row>
    <row r="1012" spans="1:4" ht="15">
      <c r="A1012" s="2546" t="s">
        <v>6869</v>
      </c>
      <c r="B1012" s="114" t="s">
        <v>1660</v>
      </c>
      <c r="C1012" s="2546" t="s">
        <v>1552</v>
      </c>
      <c r="D1012" s="121">
        <v>75680.337033589036</v>
      </c>
    </row>
    <row r="1013" spans="1:4" ht="15">
      <c r="A1013" s="2546" t="s">
        <v>4422</v>
      </c>
      <c r="B1013" s="114" t="s">
        <v>1020</v>
      </c>
      <c r="C1013" s="2546" t="s">
        <v>974</v>
      </c>
      <c r="D1013" s="121">
        <v>180362.56772335651</v>
      </c>
    </row>
    <row r="1014" spans="1:4" ht="15">
      <c r="A1014" s="2546" t="s">
        <v>6870</v>
      </c>
      <c r="B1014" s="114" t="s">
        <v>1661</v>
      </c>
      <c r="C1014" s="2546" t="s">
        <v>1553</v>
      </c>
      <c r="D1014" s="121">
        <v>80752.423581141687</v>
      </c>
    </row>
    <row r="1015" spans="1:4" ht="15">
      <c r="A1015" s="2546" t="s">
        <v>4423</v>
      </c>
      <c r="B1015" s="114" t="s">
        <v>1696</v>
      </c>
      <c r="C1015" s="2546" t="s">
        <v>933</v>
      </c>
      <c r="D1015" s="121">
        <v>194996.44452137066</v>
      </c>
    </row>
    <row r="1016" spans="1:4" ht="15">
      <c r="A1016" s="2546" t="s">
        <v>7601</v>
      </c>
      <c r="B1016" s="114" t="s">
        <v>556</v>
      </c>
      <c r="C1016" s="2546" t="s">
        <v>1554</v>
      </c>
      <c r="D1016" s="121">
        <v>0</v>
      </c>
    </row>
    <row r="1017" spans="1:4" ht="15">
      <c r="A1017" s="2546" t="s">
        <v>4424</v>
      </c>
      <c r="B1017" s="114" t="s">
        <v>2760</v>
      </c>
      <c r="C1017" s="2546" t="s">
        <v>460</v>
      </c>
      <c r="D1017" s="121">
        <v>1030867.3329756883</v>
      </c>
    </row>
    <row r="1018" spans="1:4" ht="15">
      <c r="A1018" s="2546" t="s">
        <v>4425</v>
      </c>
      <c r="B1018" s="114" t="s">
        <v>1901</v>
      </c>
      <c r="C1018" s="2546" t="s">
        <v>2171</v>
      </c>
      <c r="D1018" s="121">
        <v>0</v>
      </c>
    </row>
    <row r="1019" spans="1:4" ht="15">
      <c r="B1019" s="2546"/>
      <c r="D1019" s="121">
        <f>SUM(D1:D1018)</f>
        <v>50000000.000000007</v>
      </c>
    </row>
    <row r="1020" spans="1:4" ht="15">
      <c r="B1020" s="2546"/>
    </row>
    <row r="1021" spans="1:4" ht="15">
      <c r="B1021" s="2546"/>
    </row>
    <row r="1022" spans="1:4" ht="15">
      <c r="B1022" s="2546"/>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0"/>
  <sheetViews>
    <sheetView workbookViewId="0">
      <selection activeCell="A2" sqref="A2"/>
    </sheetView>
  </sheetViews>
  <sheetFormatPr defaultRowHeight="12.75"/>
  <cols>
    <col min="1" max="1" width="12" style="114" customWidth="1"/>
    <col min="2" max="2" width="31" style="114" customWidth="1"/>
    <col min="3" max="12" width="20.7109375" style="121" customWidth="1"/>
    <col min="13" max="16384" width="9.140625" style="114"/>
  </cols>
  <sheetData>
    <row r="1" spans="1:12" s="120" customFormat="1">
      <c r="A1" s="120" t="s">
        <v>8049</v>
      </c>
      <c r="B1" s="120" t="s">
        <v>8050</v>
      </c>
      <c r="C1" s="424" t="s">
        <v>8051</v>
      </c>
      <c r="D1" s="424" t="s">
        <v>8052</v>
      </c>
      <c r="E1" s="424" t="s">
        <v>7352</v>
      </c>
      <c r="F1" s="424" t="s">
        <v>7353</v>
      </c>
      <c r="G1" s="424" t="s">
        <v>7354</v>
      </c>
      <c r="H1" s="424" t="s">
        <v>7355</v>
      </c>
      <c r="I1" s="424"/>
      <c r="J1" s="424"/>
      <c r="K1" s="424"/>
      <c r="L1" s="424"/>
    </row>
    <row r="2" spans="1:12">
      <c r="A2" s="114" t="s">
        <v>225</v>
      </c>
      <c r="B2" s="114" t="s">
        <v>8053</v>
      </c>
      <c r="C2" s="121">
        <v>280730714</v>
      </c>
      <c r="D2" s="121">
        <v>285731740</v>
      </c>
      <c r="E2" s="121">
        <v>279668091</v>
      </c>
      <c r="F2" s="121">
        <v>274667065</v>
      </c>
      <c r="G2" s="121">
        <v>279668091</v>
      </c>
      <c r="H2" s="121">
        <v>274667065</v>
      </c>
    </row>
    <row r="3" spans="1:12">
      <c r="A3" s="114" t="s">
        <v>2228</v>
      </c>
      <c r="B3" s="114" t="s">
        <v>8054</v>
      </c>
      <c r="C3" s="121">
        <v>273078218</v>
      </c>
      <c r="D3" s="121">
        <v>286154308</v>
      </c>
      <c r="E3" s="121">
        <v>286154308</v>
      </c>
      <c r="F3" s="121">
        <v>273078218</v>
      </c>
      <c r="G3" s="121">
        <v>286154308</v>
      </c>
      <c r="H3" s="121">
        <v>273078218</v>
      </c>
    </row>
    <row r="4" spans="1:12">
      <c r="A4" s="114" t="s">
        <v>15</v>
      </c>
      <c r="B4" s="114" t="s">
        <v>8055</v>
      </c>
      <c r="C4" s="121">
        <v>243823340</v>
      </c>
      <c r="D4" s="121">
        <v>254205745</v>
      </c>
      <c r="E4" s="121">
        <v>239806830</v>
      </c>
      <c r="F4" s="121">
        <v>229424425</v>
      </c>
      <c r="G4" s="121">
        <v>239806830</v>
      </c>
      <c r="H4" s="121">
        <v>229424425</v>
      </c>
    </row>
    <row r="5" spans="1:12">
      <c r="A5" s="114" t="s">
        <v>16</v>
      </c>
      <c r="B5" s="114" t="s">
        <v>8056</v>
      </c>
      <c r="C5" s="121">
        <v>102191952</v>
      </c>
      <c r="D5" s="121">
        <v>105526214</v>
      </c>
      <c r="E5" s="121">
        <v>101588591</v>
      </c>
      <c r="F5" s="121">
        <v>98254329</v>
      </c>
      <c r="G5" s="121">
        <v>101588591</v>
      </c>
      <c r="H5" s="121">
        <v>98254329</v>
      </c>
    </row>
    <row r="6" spans="1:12">
      <c r="A6" s="114" t="s">
        <v>17</v>
      </c>
      <c r="B6" s="114" t="s">
        <v>8057</v>
      </c>
      <c r="C6" s="121">
        <v>1043230501</v>
      </c>
      <c r="D6" s="121">
        <v>1083498919</v>
      </c>
      <c r="E6" s="121">
        <v>1083498919</v>
      </c>
      <c r="F6" s="121">
        <v>1043230501</v>
      </c>
      <c r="G6" s="121">
        <v>1083498919</v>
      </c>
      <c r="H6" s="121">
        <v>1043230501</v>
      </c>
    </row>
    <row r="7" spans="1:12">
      <c r="A7" s="114" t="s">
        <v>1254</v>
      </c>
      <c r="B7" s="114" t="s">
        <v>8058</v>
      </c>
      <c r="C7" s="121">
        <v>483144138</v>
      </c>
      <c r="D7" s="121">
        <v>500324286</v>
      </c>
      <c r="E7" s="121">
        <v>500324286</v>
      </c>
      <c r="F7" s="121">
        <v>483144138</v>
      </c>
      <c r="G7" s="121">
        <v>500324286</v>
      </c>
      <c r="H7" s="121">
        <v>483144138</v>
      </c>
    </row>
    <row r="8" spans="1:12">
      <c r="A8" s="114" t="s">
        <v>1255</v>
      </c>
      <c r="B8" s="114" t="s">
        <v>8059</v>
      </c>
      <c r="C8" s="121">
        <v>113178384</v>
      </c>
      <c r="D8" s="121">
        <v>118350751</v>
      </c>
      <c r="E8" s="121">
        <v>118350751</v>
      </c>
      <c r="F8" s="121">
        <v>113178384</v>
      </c>
      <c r="G8" s="121">
        <v>118350751</v>
      </c>
      <c r="H8" s="121">
        <v>113178384</v>
      </c>
    </row>
    <row r="9" spans="1:12">
      <c r="A9" s="114" t="s">
        <v>2102</v>
      </c>
      <c r="B9" s="114" t="s">
        <v>8060</v>
      </c>
      <c r="C9" s="121">
        <v>4012673687</v>
      </c>
      <c r="D9" s="121">
        <v>4047741601</v>
      </c>
      <c r="E9" s="121">
        <v>3992616643</v>
      </c>
      <c r="F9" s="121">
        <v>3957548729</v>
      </c>
      <c r="G9" s="121">
        <v>3992616643</v>
      </c>
      <c r="H9" s="121">
        <v>3957548729</v>
      </c>
    </row>
    <row r="10" spans="1:12">
      <c r="A10" s="114" t="s">
        <v>774</v>
      </c>
      <c r="B10" s="114" t="s">
        <v>8061</v>
      </c>
      <c r="C10" s="121">
        <v>484314197</v>
      </c>
      <c r="D10" s="121">
        <v>505002983</v>
      </c>
      <c r="E10" s="121">
        <v>505002983</v>
      </c>
      <c r="F10" s="121">
        <v>484314197</v>
      </c>
      <c r="G10" s="121">
        <v>505002983</v>
      </c>
      <c r="H10" s="121">
        <v>484314197</v>
      </c>
    </row>
    <row r="11" spans="1:12">
      <c r="A11" s="114" t="s">
        <v>1637</v>
      </c>
      <c r="B11" s="114" t="s">
        <v>8062</v>
      </c>
      <c r="C11" s="121">
        <v>2211797985</v>
      </c>
      <c r="D11" s="121">
        <v>2287900667</v>
      </c>
      <c r="E11" s="121">
        <v>2287900667</v>
      </c>
      <c r="F11" s="121">
        <v>2211797985</v>
      </c>
      <c r="G11" s="121">
        <v>2287900667</v>
      </c>
      <c r="H11" s="121">
        <v>2211797985</v>
      </c>
    </row>
    <row r="12" spans="1:12">
      <c r="A12" s="114" t="s">
        <v>1279</v>
      </c>
      <c r="B12" s="114" t="s">
        <v>8063</v>
      </c>
      <c r="C12" s="121">
        <v>261349329</v>
      </c>
      <c r="D12" s="121">
        <v>277679180</v>
      </c>
      <c r="E12" s="121">
        <v>259422412</v>
      </c>
      <c r="F12" s="121">
        <v>243092561</v>
      </c>
      <c r="G12" s="121">
        <v>259422412</v>
      </c>
      <c r="H12" s="121">
        <v>243092561</v>
      </c>
    </row>
    <row r="13" spans="1:12">
      <c r="A13" s="114" t="s">
        <v>369</v>
      </c>
      <c r="B13" s="114" t="s">
        <v>8064</v>
      </c>
      <c r="C13" s="121">
        <v>291615691</v>
      </c>
      <c r="D13" s="121">
        <v>305354338</v>
      </c>
      <c r="E13" s="121">
        <v>292606613</v>
      </c>
      <c r="F13" s="121">
        <v>278867966</v>
      </c>
      <c r="G13" s="121">
        <v>292606613</v>
      </c>
      <c r="H13" s="121">
        <v>278867966</v>
      </c>
    </row>
    <row r="14" spans="1:12">
      <c r="A14" s="114" t="s">
        <v>370</v>
      </c>
      <c r="B14" s="114" t="s">
        <v>8065</v>
      </c>
      <c r="C14" s="121">
        <v>106871995</v>
      </c>
      <c r="D14" s="121">
        <v>112516660</v>
      </c>
      <c r="E14" s="121">
        <v>107362770</v>
      </c>
      <c r="F14" s="121">
        <v>101718105</v>
      </c>
      <c r="G14" s="121">
        <v>107362770</v>
      </c>
      <c r="H14" s="121">
        <v>101718105</v>
      </c>
    </row>
    <row r="15" spans="1:12">
      <c r="A15" s="114" t="s">
        <v>371</v>
      </c>
      <c r="B15" s="114" t="s">
        <v>8066</v>
      </c>
      <c r="C15" s="121">
        <v>266777242</v>
      </c>
      <c r="D15" s="121">
        <v>282756530</v>
      </c>
      <c r="E15" s="121">
        <v>282756530</v>
      </c>
      <c r="F15" s="121">
        <v>266777242</v>
      </c>
      <c r="G15" s="121">
        <v>282756530</v>
      </c>
      <c r="H15" s="121">
        <v>266777242</v>
      </c>
    </row>
    <row r="16" spans="1:12">
      <c r="A16" s="114" t="s">
        <v>2839</v>
      </c>
      <c r="B16" s="114" t="s">
        <v>8067</v>
      </c>
      <c r="C16" s="121">
        <v>2899985102</v>
      </c>
      <c r="D16" s="121">
        <v>2951669390</v>
      </c>
      <c r="E16" s="121">
        <v>2951669390</v>
      </c>
      <c r="F16" s="121">
        <v>2899985102</v>
      </c>
      <c r="G16" s="121">
        <v>2951669390</v>
      </c>
      <c r="H16" s="121">
        <v>2899985102</v>
      </c>
    </row>
    <row r="17" spans="1:8">
      <c r="A17" s="114" t="s">
        <v>2840</v>
      </c>
      <c r="B17" s="114" t="s">
        <v>8068</v>
      </c>
      <c r="C17" s="121">
        <v>212825847</v>
      </c>
      <c r="D17" s="121">
        <v>219566637</v>
      </c>
      <c r="E17" s="121">
        <v>219566637</v>
      </c>
      <c r="F17" s="121">
        <v>212825847</v>
      </c>
      <c r="G17" s="121">
        <v>404398577</v>
      </c>
      <c r="H17" s="121">
        <v>397657787</v>
      </c>
    </row>
    <row r="18" spans="1:8">
      <c r="A18" s="114" t="s">
        <v>2841</v>
      </c>
      <c r="B18" s="114" t="s">
        <v>8069</v>
      </c>
      <c r="C18" s="121">
        <v>290885707</v>
      </c>
      <c r="D18" s="121">
        <v>302938419</v>
      </c>
      <c r="E18" s="121">
        <v>302938419</v>
      </c>
      <c r="F18" s="121">
        <v>290885707</v>
      </c>
      <c r="G18" s="121">
        <v>302938419</v>
      </c>
      <c r="H18" s="121">
        <v>290885707</v>
      </c>
    </row>
    <row r="19" spans="1:8">
      <c r="A19" s="114" t="s">
        <v>2219</v>
      </c>
      <c r="B19" s="114" t="s">
        <v>8070</v>
      </c>
      <c r="C19" s="121">
        <v>88645697</v>
      </c>
      <c r="D19" s="121">
        <v>92316867</v>
      </c>
      <c r="E19" s="121">
        <v>92316867</v>
      </c>
      <c r="F19" s="121">
        <v>88645697</v>
      </c>
      <c r="G19" s="121">
        <v>92316867</v>
      </c>
      <c r="H19" s="121">
        <v>88645697</v>
      </c>
    </row>
    <row r="20" spans="1:8">
      <c r="A20" s="114" t="s">
        <v>2843</v>
      </c>
      <c r="B20" s="114" t="s">
        <v>8071</v>
      </c>
      <c r="C20" s="121">
        <v>160245862</v>
      </c>
      <c r="D20" s="121">
        <v>164681342</v>
      </c>
      <c r="E20" s="121">
        <v>164681342</v>
      </c>
      <c r="F20" s="121">
        <v>160245862</v>
      </c>
      <c r="G20" s="121">
        <v>226565052</v>
      </c>
      <c r="H20" s="121">
        <v>222129572</v>
      </c>
    </row>
    <row r="21" spans="1:8">
      <c r="A21" s="114" t="s">
        <v>806</v>
      </c>
      <c r="B21" s="114" t="s">
        <v>8072</v>
      </c>
      <c r="C21" s="121">
        <v>251116530</v>
      </c>
      <c r="D21" s="121">
        <v>254844619</v>
      </c>
      <c r="E21" s="121">
        <v>254844619</v>
      </c>
      <c r="F21" s="121">
        <v>251116530</v>
      </c>
      <c r="G21" s="121">
        <v>254844619</v>
      </c>
      <c r="H21" s="121">
        <v>251116530</v>
      </c>
    </row>
    <row r="22" spans="1:8">
      <c r="A22" s="114" t="s">
        <v>2844</v>
      </c>
      <c r="B22" s="114" t="s">
        <v>8073</v>
      </c>
      <c r="C22" s="121">
        <v>794364229</v>
      </c>
      <c r="D22" s="121">
        <v>805404426</v>
      </c>
      <c r="E22" s="121">
        <v>805404426</v>
      </c>
      <c r="F22" s="121">
        <v>794364229</v>
      </c>
      <c r="G22" s="121">
        <v>805404426</v>
      </c>
      <c r="H22" s="121">
        <v>794364229</v>
      </c>
    </row>
    <row r="23" spans="1:8">
      <c r="A23" s="114" t="s">
        <v>2388</v>
      </c>
      <c r="B23" s="114" t="s">
        <v>8074</v>
      </c>
      <c r="C23" s="121">
        <v>330840189</v>
      </c>
      <c r="D23" s="121">
        <v>344184290</v>
      </c>
      <c r="E23" s="121">
        <v>344184290</v>
      </c>
      <c r="F23" s="121">
        <v>330840189</v>
      </c>
      <c r="G23" s="121">
        <v>344184290</v>
      </c>
      <c r="H23" s="121">
        <v>330840189</v>
      </c>
    </row>
    <row r="24" spans="1:8">
      <c r="A24" s="114" t="s">
        <v>241</v>
      </c>
      <c r="B24" s="114" t="s">
        <v>8075</v>
      </c>
      <c r="C24" s="121">
        <v>1912516726</v>
      </c>
      <c r="D24" s="121">
        <v>1945049005</v>
      </c>
      <c r="E24" s="121">
        <v>1945049005</v>
      </c>
      <c r="F24" s="121">
        <v>1912516726</v>
      </c>
      <c r="G24" s="121">
        <v>1945049005</v>
      </c>
      <c r="H24" s="121">
        <v>1912516726</v>
      </c>
    </row>
    <row r="25" spans="1:8">
      <c r="A25" s="114" t="s">
        <v>2447</v>
      </c>
      <c r="B25" s="114" t="s">
        <v>8076</v>
      </c>
      <c r="C25" s="121">
        <v>304470739</v>
      </c>
      <c r="D25" s="121">
        <v>318796648</v>
      </c>
      <c r="E25" s="121">
        <v>318796648</v>
      </c>
      <c r="F25" s="121">
        <v>304470739</v>
      </c>
      <c r="G25" s="121">
        <v>318796648</v>
      </c>
      <c r="H25" s="121">
        <v>304470739</v>
      </c>
    </row>
    <row r="26" spans="1:8">
      <c r="A26" s="114" t="s">
        <v>2845</v>
      </c>
      <c r="B26" s="114" t="s">
        <v>8077</v>
      </c>
      <c r="C26" s="121">
        <v>1182066797</v>
      </c>
      <c r="D26" s="121">
        <v>1213124433</v>
      </c>
      <c r="E26" s="121">
        <v>1213124433</v>
      </c>
      <c r="F26" s="121">
        <v>1182066797</v>
      </c>
      <c r="G26" s="121">
        <v>1213124433</v>
      </c>
      <c r="H26" s="121">
        <v>1182066797</v>
      </c>
    </row>
    <row r="27" spans="1:8">
      <c r="A27" s="114" t="s">
        <v>783</v>
      </c>
      <c r="B27" s="114" t="s">
        <v>8078</v>
      </c>
      <c r="C27" s="121">
        <v>1298471367</v>
      </c>
      <c r="D27" s="121">
        <v>1326407016</v>
      </c>
      <c r="E27" s="121">
        <v>1268513159</v>
      </c>
      <c r="F27" s="121">
        <v>1240577510</v>
      </c>
      <c r="G27" s="121">
        <v>1268513159</v>
      </c>
      <c r="H27" s="121">
        <v>1240577510</v>
      </c>
    </row>
    <row r="28" spans="1:8">
      <c r="A28" s="114" t="s">
        <v>784</v>
      </c>
      <c r="B28" s="114" t="s">
        <v>8079</v>
      </c>
      <c r="C28" s="121">
        <v>280489368</v>
      </c>
      <c r="D28" s="121">
        <v>289198022</v>
      </c>
      <c r="E28" s="121">
        <v>285717380</v>
      </c>
      <c r="F28" s="121">
        <v>277008726</v>
      </c>
      <c r="G28" s="121">
        <v>285717380</v>
      </c>
      <c r="H28" s="121">
        <v>277008726</v>
      </c>
    </row>
    <row r="29" spans="1:8">
      <c r="A29" s="114" t="s">
        <v>785</v>
      </c>
      <c r="B29" s="114" t="s">
        <v>8080</v>
      </c>
      <c r="C29" s="121">
        <v>265660595</v>
      </c>
      <c r="D29" s="121">
        <v>274810475</v>
      </c>
      <c r="E29" s="121">
        <v>274810475</v>
      </c>
      <c r="F29" s="121">
        <v>265660595</v>
      </c>
      <c r="G29" s="121">
        <v>274810475</v>
      </c>
      <c r="H29" s="121">
        <v>265660595</v>
      </c>
    </row>
    <row r="30" spans="1:8">
      <c r="A30" s="114" t="s">
        <v>216</v>
      </c>
      <c r="B30" s="114" t="s">
        <v>8081</v>
      </c>
      <c r="C30" s="121">
        <v>240935024</v>
      </c>
      <c r="D30" s="121">
        <v>246117029</v>
      </c>
      <c r="E30" s="121">
        <v>246117029</v>
      </c>
      <c r="F30" s="121">
        <v>240935024</v>
      </c>
      <c r="G30" s="121">
        <v>246117029</v>
      </c>
      <c r="H30" s="121">
        <v>240935024</v>
      </c>
    </row>
    <row r="31" spans="1:8">
      <c r="A31" s="114" t="s">
        <v>2220</v>
      </c>
      <c r="B31" s="114" t="s">
        <v>8082</v>
      </c>
      <c r="C31" s="121">
        <v>1497823669</v>
      </c>
      <c r="D31" s="121">
        <v>1544479108</v>
      </c>
      <c r="E31" s="121">
        <v>1544479108</v>
      </c>
      <c r="F31" s="121">
        <v>1497823669</v>
      </c>
      <c r="G31" s="121">
        <v>1544479108</v>
      </c>
      <c r="H31" s="121">
        <v>1497823669</v>
      </c>
    </row>
    <row r="32" spans="1:8">
      <c r="A32" s="114" t="s">
        <v>1896</v>
      </c>
      <c r="B32" s="114" t="s">
        <v>8083</v>
      </c>
      <c r="C32" s="121">
        <v>3460541047</v>
      </c>
      <c r="D32" s="121">
        <v>3546552755</v>
      </c>
      <c r="E32" s="121">
        <v>3546552755</v>
      </c>
      <c r="F32" s="121">
        <v>3460541047</v>
      </c>
      <c r="G32" s="121">
        <v>3546552755</v>
      </c>
      <c r="H32" s="121">
        <v>3460541047</v>
      </c>
    </row>
    <row r="33" spans="1:8">
      <c r="A33" s="114" t="s">
        <v>876</v>
      </c>
      <c r="B33" s="114" t="s">
        <v>8084</v>
      </c>
      <c r="C33" s="121">
        <v>1199627840</v>
      </c>
      <c r="D33" s="121">
        <v>1238855839</v>
      </c>
      <c r="E33" s="121">
        <v>1238855839</v>
      </c>
      <c r="F33" s="121">
        <v>1199627840</v>
      </c>
      <c r="G33" s="121">
        <v>1238855839</v>
      </c>
      <c r="H33" s="121">
        <v>1199627840</v>
      </c>
    </row>
    <row r="34" spans="1:8">
      <c r="A34" s="114" t="s">
        <v>2710</v>
      </c>
      <c r="B34" s="114" t="s">
        <v>8085</v>
      </c>
      <c r="C34" s="121">
        <v>787812223</v>
      </c>
      <c r="D34" s="121">
        <v>810886439</v>
      </c>
      <c r="E34" s="121">
        <v>810886439</v>
      </c>
      <c r="F34" s="121">
        <v>787812223</v>
      </c>
      <c r="G34" s="121">
        <v>810886439</v>
      </c>
      <c r="H34" s="121">
        <v>787812223</v>
      </c>
    </row>
    <row r="35" spans="1:8">
      <c r="A35" s="114" t="s">
        <v>2448</v>
      </c>
      <c r="B35" s="114" t="s">
        <v>8086</v>
      </c>
      <c r="C35" s="121">
        <v>90781427</v>
      </c>
      <c r="D35" s="121">
        <v>93810213</v>
      </c>
      <c r="E35" s="121">
        <v>93810213</v>
      </c>
      <c r="F35" s="121">
        <v>90781427</v>
      </c>
      <c r="G35" s="121">
        <v>93810213</v>
      </c>
      <c r="H35" s="121">
        <v>90781427</v>
      </c>
    </row>
    <row r="36" spans="1:8">
      <c r="A36" s="114" t="s">
        <v>492</v>
      </c>
      <c r="B36" s="114" t="s">
        <v>8087</v>
      </c>
      <c r="C36" s="121">
        <v>187155114</v>
      </c>
      <c r="D36" s="121">
        <v>194932924</v>
      </c>
      <c r="E36" s="121">
        <v>194932924</v>
      </c>
      <c r="F36" s="121">
        <v>187155114</v>
      </c>
      <c r="G36" s="121">
        <v>492794964</v>
      </c>
      <c r="H36" s="121">
        <v>485017154</v>
      </c>
    </row>
    <row r="37" spans="1:8">
      <c r="A37" s="114" t="s">
        <v>2711</v>
      </c>
      <c r="B37" s="114" t="s">
        <v>8088</v>
      </c>
      <c r="C37" s="121">
        <v>745423558</v>
      </c>
      <c r="D37" s="121">
        <v>777317508</v>
      </c>
      <c r="E37" s="121">
        <v>777317508</v>
      </c>
      <c r="F37" s="121">
        <v>745423558</v>
      </c>
      <c r="G37" s="121">
        <v>777317508</v>
      </c>
      <c r="H37" s="121">
        <v>745423558</v>
      </c>
    </row>
    <row r="38" spans="1:8">
      <c r="A38" s="114" t="s">
        <v>3048</v>
      </c>
      <c r="B38" s="114" t="s">
        <v>8089</v>
      </c>
      <c r="C38" s="121">
        <v>326755864</v>
      </c>
      <c r="D38" s="121">
        <v>328342635</v>
      </c>
      <c r="E38" s="121">
        <v>328342635</v>
      </c>
      <c r="F38" s="121">
        <v>326755864</v>
      </c>
      <c r="G38" s="121">
        <v>328342635</v>
      </c>
      <c r="H38" s="121">
        <v>326755864</v>
      </c>
    </row>
    <row r="39" spans="1:8">
      <c r="A39" s="114" t="s">
        <v>3049</v>
      </c>
      <c r="B39" s="114" t="s">
        <v>8090</v>
      </c>
      <c r="C39" s="121">
        <v>551608008</v>
      </c>
      <c r="D39" s="121">
        <v>554857406</v>
      </c>
      <c r="E39" s="121">
        <v>554857406</v>
      </c>
      <c r="F39" s="121">
        <v>551608008</v>
      </c>
      <c r="G39" s="121">
        <v>627125506</v>
      </c>
      <c r="H39" s="121">
        <v>623876108</v>
      </c>
    </row>
    <row r="40" spans="1:8">
      <c r="A40" s="114" t="s">
        <v>1313</v>
      </c>
      <c r="B40" s="114" t="s">
        <v>8091</v>
      </c>
      <c r="C40" s="121">
        <v>148587289</v>
      </c>
      <c r="D40" s="121">
        <v>153448884</v>
      </c>
      <c r="E40" s="121">
        <v>153448884</v>
      </c>
      <c r="F40" s="121">
        <v>148587289</v>
      </c>
      <c r="G40" s="121">
        <v>153448884</v>
      </c>
      <c r="H40" s="121">
        <v>148587289</v>
      </c>
    </row>
    <row r="41" spans="1:8">
      <c r="A41" s="114" t="s">
        <v>2449</v>
      </c>
      <c r="B41" s="114" t="s">
        <v>8092</v>
      </c>
      <c r="C41" s="121">
        <v>386950268</v>
      </c>
      <c r="D41" s="121">
        <v>403596806</v>
      </c>
      <c r="E41" s="121">
        <v>403596806</v>
      </c>
      <c r="F41" s="121">
        <v>386950268</v>
      </c>
      <c r="G41" s="121">
        <v>403596806</v>
      </c>
      <c r="H41" s="121">
        <v>386950268</v>
      </c>
    </row>
    <row r="42" spans="1:8">
      <c r="A42" s="114" t="s">
        <v>1895</v>
      </c>
      <c r="B42" s="114" t="s">
        <v>8093</v>
      </c>
      <c r="C42" s="121">
        <v>112043191</v>
      </c>
      <c r="D42" s="121">
        <v>116969481</v>
      </c>
      <c r="E42" s="121">
        <v>116969481</v>
      </c>
      <c r="F42" s="121">
        <v>112043191</v>
      </c>
      <c r="G42" s="121">
        <v>116969481</v>
      </c>
      <c r="H42" s="121">
        <v>112043191</v>
      </c>
    </row>
    <row r="43" spans="1:8">
      <c r="A43" s="114" t="s">
        <v>1898</v>
      </c>
      <c r="B43" s="114" t="s">
        <v>8094</v>
      </c>
      <c r="C43" s="121">
        <v>2868508056</v>
      </c>
      <c r="D43" s="121">
        <v>2975745258</v>
      </c>
      <c r="E43" s="121">
        <v>2975745258</v>
      </c>
      <c r="F43" s="121">
        <v>2868508056</v>
      </c>
      <c r="G43" s="121">
        <v>2975745258</v>
      </c>
      <c r="H43" s="121">
        <v>2868508056</v>
      </c>
    </row>
    <row r="44" spans="1:8">
      <c r="A44" s="114" t="s">
        <v>198</v>
      </c>
      <c r="B44" s="114" t="s">
        <v>8095</v>
      </c>
      <c r="C44" s="121">
        <v>117295317</v>
      </c>
      <c r="D44" s="121">
        <v>122759731</v>
      </c>
      <c r="E44" s="121">
        <v>122759731</v>
      </c>
      <c r="F44" s="121">
        <v>117295317</v>
      </c>
      <c r="G44" s="121">
        <v>122759731</v>
      </c>
      <c r="H44" s="121">
        <v>117295317</v>
      </c>
    </row>
    <row r="45" spans="1:8">
      <c r="A45" s="114" t="s">
        <v>60</v>
      </c>
      <c r="B45" s="114" t="s">
        <v>8096</v>
      </c>
      <c r="C45" s="121">
        <v>7623793069</v>
      </c>
      <c r="D45" s="121">
        <v>7903612271</v>
      </c>
      <c r="E45" s="121">
        <v>7903612271</v>
      </c>
      <c r="F45" s="121">
        <v>7623793069</v>
      </c>
      <c r="G45" s="121">
        <v>7903612271</v>
      </c>
      <c r="H45" s="121">
        <v>7623793069</v>
      </c>
    </row>
    <row r="46" spans="1:8">
      <c r="A46" s="114" t="s">
        <v>192</v>
      </c>
      <c r="B46" s="114" t="s">
        <v>8097</v>
      </c>
      <c r="C46" s="121">
        <v>184989800</v>
      </c>
      <c r="D46" s="121">
        <v>193621347</v>
      </c>
      <c r="E46" s="121">
        <v>193621347</v>
      </c>
      <c r="F46" s="121">
        <v>184989800</v>
      </c>
      <c r="G46" s="121">
        <v>193621347</v>
      </c>
      <c r="H46" s="121">
        <v>184989800</v>
      </c>
    </row>
    <row r="47" spans="1:8">
      <c r="A47" s="114" t="s">
        <v>1487</v>
      </c>
      <c r="B47" s="114" t="s">
        <v>8098</v>
      </c>
      <c r="C47" s="121">
        <v>784846994</v>
      </c>
      <c r="D47" s="121">
        <v>806588574</v>
      </c>
      <c r="E47" s="121">
        <v>806588574</v>
      </c>
      <c r="F47" s="121">
        <v>784846994</v>
      </c>
      <c r="G47" s="121">
        <v>806588574</v>
      </c>
      <c r="H47" s="121">
        <v>784846994</v>
      </c>
    </row>
    <row r="48" spans="1:8">
      <c r="A48" s="114" t="s">
        <v>1707</v>
      </c>
      <c r="B48" s="114" t="s">
        <v>8099</v>
      </c>
      <c r="C48" s="121">
        <v>3015654003</v>
      </c>
      <c r="D48" s="121">
        <v>3110277413</v>
      </c>
      <c r="E48" s="121">
        <v>3110277413</v>
      </c>
      <c r="F48" s="121">
        <v>3015654003</v>
      </c>
      <c r="G48" s="121">
        <v>3110277413</v>
      </c>
      <c r="H48" s="121">
        <v>3015654003</v>
      </c>
    </row>
    <row r="49" spans="1:8">
      <c r="A49" s="114" t="s">
        <v>1712</v>
      </c>
      <c r="B49" s="114" t="s">
        <v>8100</v>
      </c>
      <c r="C49" s="121">
        <v>331591185</v>
      </c>
      <c r="D49" s="121">
        <v>345258507</v>
      </c>
      <c r="E49" s="121">
        <v>345258507</v>
      </c>
      <c r="F49" s="121">
        <v>331591185</v>
      </c>
      <c r="G49" s="121">
        <v>345258507</v>
      </c>
      <c r="H49" s="121">
        <v>331591185</v>
      </c>
    </row>
    <row r="50" spans="1:8">
      <c r="A50" s="114" t="s">
        <v>463</v>
      </c>
      <c r="B50" s="114" t="s">
        <v>8101</v>
      </c>
      <c r="C50" s="121">
        <v>6740287911</v>
      </c>
      <c r="D50" s="121">
        <v>6809915688</v>
      </c>
      <c r="E50" s="121">
        <v>6809915688</v>
      </c>
      <c r="F50" s="121">
        <v>6740287911</v>
      </c>
      <c r="G50" s="121">
        <v>6809915688</v>
      </c>
      <c r="H50" s="121">
        <v>6740287911</v>
      </c>
    </row>
    <row r="51" spans="1:8">
      <c r="A51" s="114" t="s">
        <v>2125</v>
      </c>
      <c r="B51" s="114" t="s">
        <v>8102</v>
      </c>
      <c r="C51" s="121">
        <v>1628041082</v>
      </c>
      <c r="D51" s="121">
        <v>1727188920</v>
      </c>
      <c r="E51" s="121">
        <v>1727188920</v>
      </c>
      <c r="F51" s="121">
        <v>1628041082</v>
      </c>
      <c r="G51" s="121">
        <v>1727188920</v>
      </c>
      <c r="H51" s="121">
        <v>1628041082</v>
      </c>
    </row>
    <row r="52" spans="1:8">
      <c r="A52" s="114" t="s">
        <v>874</v>
      </c>
      <c r="B52" s="114" t="s">
        <v>8103</v>
      </c>
      <c r="C52" s="121">
        <v>1293496713</v>
      </c>
      <c r="D52" s="121">
        <v>1377572299</v>
      </c>
      <c r="E52" s="121">
        <v>1377572299</v>
      </c>
      <c r="F52" s="121">
        <v>1293496713</v>
      </c>
      <c r="G52" s="121">
        <v>1377572299</v>
      </c>
      <c r="H52" s="121">
        <v>1293496713</v>
      </c>
    </row>
    <row r="53" spans="1:8">
      <c r="A53" s="114" t="s">
        <v>1489</v>
      </c>
      <c r="B53" s="114" t="s">
        <v>8104</v>
      </c>
      <c r="C53" s="121">
        <v>17349020698</v>
      </c>
      <c r="D53" s="121">
        <v>17795037123</v>
      </c>
      <c r="E53" s="121">
        <v>17689906415</v>
      </c>
      <c r="F53" s="121">
        <v>17243889990</v>
      </c>
      <c r="G53" s="121">
        <v>17689906415</v>
      </c>
      <c r="H53" s="121">
        <v>17243889990</v>
      </c>
    </row>
    <row r="54" spans="1:8">
      <c r="A54" s="114" t="s">
        <v>1699</v>
      </c>
      <c r="B54" s="114" t="s">
        <v>8105</v>
      </c>
      <c r="C54" s="121">
        <v>1657570721</v>
      </c>
      <c r="D54" s="121">
        <v>1720068635</v>
      </c>
      <c r="E54" s="121">
        <v>1720068635</v>
      </c>
      <c r="F54" s="121">
        <v>1657570721</v>
      </c>
      <c r="G54" s="121">
        <v>1720068635</v>
      </c>
      <c r="H54" s="121">
        <v>1657570721</v>
      </c>
    </row>
    <row r="55" spans="1:8">
      <c r="A55" s="114" t="s">
        <v>1316</v>
      </c>
      <c r="B55" s="114" t="s">
        <v>8106</v>
      </c>
      <c r="C55" s="121">
        <v>460782442</v>
      </c>
      <c r="D55" s="121">
        <v>483071069</v>
      </c>
      <c r="E55" s="121">
        <v>483071069</v>
      </c>
      <c r="F55" s="121">
        <v>460782442</v>
      </c>
      <c r="G55" s="121">
        <v>483071069</v>
      </c>
      <c r="H55" s="121">
        <v>460782442</v>
      </c>
    </row>
    <row r="56" spans="1:8">
      <c r="A56" s="114" t="s">
        <v>1587</v>
      </c>
      <c r="B56" s="114" t="s">
        <v>8107</v>
      </c>
      <c r="C56" s="121">
        <v>38189571764</v>
      </c>
      <c r="D56" s="121">
        <v>39009852383</v>
      </c>
      <c r="E56" s="121">
        <v>39009852383</v>
      </c>
      <c r="F56" s="121">
        <v>38189571764</v>
      </c>
      <c r="G56" s="121">
        <v>39009852383</v>
      </c>
      <c r="H56" s="121">
        <v>38189571764</v>
      </c>
    </row>
    <row r="57" spans="1:8">
      <c r="A57" s="114" t="s">
        <v>871</v>
      </c>
      <c r="B57" s="114" t="s">
        <v>8108</v>
      </c>
      <c r="C57" s="121">
        <v>3674500190</v>
      </c>
      <c r="D57" s="121">
        <v>3779378509</v>
      </c>
      <c r="E57" s="121">
        <v>3779378509</v>
      </c>
      <c r="F57" s="121">
        <v>3674500190</v>
      </c>
      <c r="G57" s="121">
        <v>3779378509</v>
      </c>
      <c r="H57" s="121">
        <v>3674500190</v>
      </c>
    </row>
    <row r="58" spans="1:8">
      <c r="A58" s="114" t="s">
        <v>807</v>
      </c>
      <c r="B58" s="114" t="s">
        <v>8109</v>
      </c>
      <c r="C58" s="121">
        <v>3171257845</v>
      </c>
      <c r="D58" s="121">
        <v>3259256305</v>
      </c>
      <c r="E58" s="121">
        <v>3259256305</v>
      </c>
      <c r="F58" s="121">
        <v>3171257845</v>
      </c>
      <c r="G58" s="121">
        <v>3259256305</v>
      </c>
      <c r="H58" s="121">
        <v>3171257845</v>
      </c>
    </row>
    <row r="59" spans="1:8">
      <c r="A59" s="114" t="s">
        <v>1589</v>
      </c>
      <c r="B59" s="114" t="s">
        <v>8110</v>
      </c>
      <c r="C59" s="121">
        <v>51164534062</v>
      </c>
      <c r="D59" s="121">
        <v>52242012498</v>
      </c>
      <c r="E59" s="121">
        <v>52242012498</v>
      </c>
      <c r="F59" s="121">
        <v>51164534062</v>
      </c>
      <c r="G59" s="121">
        <v>52242012498</v>
      </c>
      <c r="H59" s="121">
        <v>51164534062</v>
      </c>
    </row>
    <row r="60" spans="1:8">
      <c r="A60" s="114" t="s">
        <v>53</v>
      </c>
      <c r="B60" s="114" t="s">
        <v>8111</v>
      </c>
      <c r="C60" s="121">
        <v>8945924016</v>
      </c>
      <c r="D60" s="121">
        <v>9186487488</v>
      </c>
      <c r="E60" s="121">
        <v>9186487488</v>
      </c>
      <c r="F60" s="121">
        <v>8945924016</v>
      </c>
      <c r="G60" s="121">
        <v>9186487488</v>
      </c>
      <c r="H60" s="121">
        <v>8945924016</v>
      </c>
    </row>
    <row r="61" spans="1:8">
      <c r="A61" s="114" t="s">
        <v>1700</v>
      </c>
      <c r="B61" s="114" t="s">
        <v>8112</v>
      </c>
      <c r="C61" s="121">
        <v>1241713401</v>
      </c>
      <c r="D61" s="121">
        <v>1277207083</v>
      </c>
      <c r="E61" s="121">
        <v>1277207083</v>
      </c>
      <c r="F61" s="121">
        <v>1241713401</v>
      </c>
      <c r="G61" s="121">
        <v>1277207083</v>
      </c>
      <c r="H61" s="121">
        <v>1241713401</v>
      </c>
    </row>
    <row r="62" spans="1:8">
      <c r="A62" s="114" t="s">
        <v>1377</v>
      </c>
      <c r="B62" s="114" t="s">
        <v>8113</v>
      </c>
      <c r="C62" s="121">
        <v>759967569</v>
      </c>
      <c r="D62" s="121">
        <v>774800232</v>
      </c>
      <c r="E62" s="121">
        <v>774800232</v>
      </c>
      <c r="F62" s="121">
        <v>759967569</v>
      </c>
      <c r="G62" s="121">
        <v>774800232</v>
      </c>
      <c r="H62" s="121">
        <v>759967569</v>
      </c>
    </row>
    <row r="63" spans="1:8">
      <c r="A63" s="114" t="s">
        <v>986</v>
      </c>
      <c r="B63" s="114" t="s">
        <v>8114</v>
      </c>
      <c r="C63" s="121">
        <v>859530164</v>
      </c>
      <c r="D63" s="121">
        <v>878405093</v>
      </c>
      <c r="E63" s="121">
        <v>878405093</v>
      </c>
      <c r="F63" s="121">
        <v>859530164</v>
      </c>
      <c r="G63" s="121">
        <v>878405093</v>
      </c>
      <c r="H63" s="121">
        <v>859530164</v>
      </c>
    </row>
    <row r="64" spans="1:8">
      <c r="A64" s="114" t="s">
        <v>1378</v>
      </c>
      <c r="B64" s="114" t="s">
        <v>8115</v>
      </c>
      <c r="C64" s="121">
        <v>414656164</v>
      </c>
      <c r="D64" s="121">
        <v>415143174</v>
      </c>
      <c r="E64" s="121">
        <v>414865067</v>
      </c>
      <c r="F64" s="121">
        <v>414378057</v>
      </c>
      <c r="G64" s="121">
        <v>601227707</v>
      </c>
      <c r="H64" s="121">
        <v>600740697</v>
      </c>
    </row>
    <row r="65" spans="1:8">
      <c r="A65" s="114" t="s">
        <v>628</v>
      </c>
      <c r="B65" s="114" t="s">
        <v>8116</v>
      </c>
      <c r="C65" s="121">
        <v>573399538</v>
      </c>
      <c r="D65" s="121">
        <v>589082489</v>
      </c>
      <c r="E65" s="121">
        <v>589082489</v>
      </c>
      <c r="F65" s="121">
        <v>573399538</v>
      </c>
      <c r="G65" s="121">
        <v>589082489</v>
      </c>
      <c r="H65" s="121">
        <v>573399538</v>
      </c>
    </row>
    <row r="66" spans="1:8">
      <c r="A66" s="114" t="s">
        <v>1379</v>
      </c>
      <c r="B66" s="114" t="s">
        <v>8117</v>
      </c>
      <c r="C66" s="121">
        <v>171151869</v>
      </c>
      <c r="D66" s="121">
        <v>176821229</v>
      </c>
      <c r="E66" s="121">
        <v>176821229</v>
      </c>
      <c r="F66" s="121">
        <v>171151869</v>
      </c>
      <c r="G66" s="121">
        <v>176821229</v>
      </c>
      <c r="H66" s="121">
        <v>171151869</v>
      </c>
    </row>
    <row r="67" spans="1:8">
      <c r="A67" s="114" t="s">
        <v>1273</v>
      </c>
      <c r="B67" s="114" t="s">
        <v>8118</v>
      </c>
      <c r="C67" s="121">
        <v>61325684</v>
      </c>
      <c r="D67" s="121">
        <v>63382536</v>
      </c>
      <c r="E67" s="121">
        <v>63382536</v>
      </c>
      <c r="F67" s="121">
        <v>61325684</v>
      </c>
      <c r="G67" s="121">
        <v>63382536</v>
      </c>
      <c r="H67" s="121">
        <v>61325684</v>
      </c>
    </row>
    <row r="68" spans="1:8">
      <c r="A68" s="114" t="s">
        <v>1274</v>
      </c>
      <c r="B68" s="114" t="s">
        <v>8119</v>
      </c>
      <c r="C68" s="121">
        <v>212113767</v>
      </c>
      <c r="D68" s="121">
        <v>219803367</v>
      </c>
      <c r="E68" s="121">
        <v>219803367</v>
      </c>
      <c r="F68" s="121">
        <v>212113767</v>
      </c>
      <c r="G68" s="121">
        <v>219803367</v>
      </c>
      <c r="H68" s="121">
        <v>212113767</v>
      </c>
    </row>
    <row r="69" spans="1:8">
      <c r="A69" s="114" t="s">
        <v>2174</v>
      </c>
      <c r="B69" s="114" t="s">
        <v>8120</v>
      </c>
      <c r="C69" s="121">
        <v>97134022</v>
      </c>
      <c r="D69" s="121">
        <v>99008286</v>
      </c>
      <c r="E69" s="121">
        <v>99008286</v>
      </c>
      <c r="F69" s="121">
        <v>97134022</v>
      </c>
      <c r="G69" s="121">
        <v>99008286</v>
      </c>
      <c r="H69" s="121">
        <v>97134022</v>
      </c>
    </row>
    <row r="70" spans="1:8">
      <c r="A70" s="114" t="s">
        <v>1846</v>
      </c>
      <c r="B70" s="114" t="s">
        <v>8121</v>
      </c>
      <c r="C70" s="121">
        <v>131370679</v>
      </c>
      <c r="D70" s="121">
        <v>133895924</v>
      </c>
      <c r="E70" s="121">
        <v>133895924</v>
      </c>
      <c r="F70" s="121">
        <v>131370679</v>
      </c>
      <c r="G70" s="121">
        <v>133895924</v>
      </c>
      <c r="H70" s="121">
        <v>131370679</v>
      </c>
    </row>
    <row r="71" spans="1:8">
      <c r="A71" s="114" t="s">
        <v>1847</v>
      </c>
      <c r="B71" s="114" t="s">
        <v>8122</v>
      </c>
      <c r="C71" s="121">
        <v>136283099</v>
      </c>
      <c r="D71" s="121">
        <v>140983145</v>
      </c>
      <c r="E71" s="121">
        <v>140983145</v>
      </c>
      <c r="F71" s="121">
        <v>136283099</v>
      </c>
      <c r="G71" s="121">
        <v>140983145</v>
      </c>
      <c r="H71" s="121">
        <v>136283099</v>
      </c>
    </row>
    <row r="72" spans="1:8">
      <c r="A72" s="114" t="s">
        <v>1848</v>
      </c>
      <c r="B72" s="114" t="s">
        <v>8123</v>
      </c>
      <c r="C72" s="121">
        <v>78114875</v>
      </c>
      <c r="D72" s="121">
        <v>80268407</v>
      </c>
      <c r="E72" s="121">
        <v>80268407</v>
      </c>
      <c r="F72" s="121">
        <v>78114875</v>
      </c>
      <c r="G72" s="121">
        <v>80268407</v>
      </c>
      <c r="H72" s="121">
        <v>78114875</v>
      </c>
    </row>
    <row r="73" spans="1:8">
      <c r="A73" s="114" t="s">
        <v>997</v>
      </c>
      <c r="B73" s="114" t="s">
        <v>8124</v>
      </c>
      <c r="C73" s="121">
        <v>182030999</v>
      </c>
      <c r="D73" s="121">
        <v>191778708</v>
      </c>
      <c r="E73" s="121">
        <v>191778708</v>
      </c>
      <c r="F73" s="121">
        <v>182030999</v>
      </c>
      <c r="G73" s="121">
        <v>191778708</v>
      </c>
      <c r="H73" s="121">
        <v>182030999</v>
      </c>
    </row>
    <row r="74" spans="1:8">
      <c r="A74" s="114" t="s">
        <v>808</v>
      </c>
      <c r="B74" s="114" t="s">
        <v>8125</v>
      </c>
      <c r="C74" s="121">
        <v>148151816</v>
      </c>
      <c r="D74" s="121">
        <v>156652130</v>
      </c>
      <c r="E74" s="121">
        <v>156652130</v>
      </c>
      <c r="F74" s="121">
        <v>148151816</v>
      </c>
      <c r="G74" s="121">
        <v>156652130</v>
      </c>
      <c r="H74" s="121">
        <v>148151816</v>
      </c>
    </row>
    <row r="75" spans="1:8">
      <c r="A75" s="114" t="s">
        <v>2450</v>
      </c>
      <c r="B75" s="114" t="s">
        <v>8126</v>
      </c>
      <c r="C75" s="121">
        <v>58567691</v>
      </c>
      <c r="D75" s="121">
        <v>63148944</v>
      </c>
      <c r="E75" s="121">
        <v>63148944</v>
      </c>
      <c r="F75" s="121">
        <v>58567691</v>
      </c>
      <c r="G75" s="121">
        <v>63148944</v>
      </c>
      <c r="H75" s="121">
        <v>58567691</v>
      </c>
    </row>
    <row r="76" spans="1:8">
      <c r="A76" s="114" t="s">
        <v>3034</v>
      </c>
      <c r="B76" s="114" t="s">
        <v>8127</v>
      </c>
      <c r="C76" s="121">
        <v>365035603</v>
      </c>
      <c r="D76" s="121">
        <v>380850589</v>
      </c>
      <c r="E76" s="121">
        <v>380850589</v>
      </c>
      <c r="F76" s="121">
        <v>365035603</v>
      </c>
      <c r="G76" s="121">
        <v>380850589</v>
      </c>
      <c r="H76" s="121">
        <v>365035603</v>
      </c>
    </row>
    <row r="77" spans="1:8">
      <c r="A77" s="114" t="s">
        <v>1252</v>
      </c>
      <c r="B77" s="114" t="s">
        <v>8128</v>
      </c>
      <c r="C77" s="121">
        <v>230856731</v>
      </c>
      <c r="D77" s="121">
        <v>243000391</v>
      </c>
      <c r="E77" s="121">
        <v>243000391</v>
      </c>
      <c r="F77" s="121">
        <v>230856731</v>
      </c>
      <c r="G77" s="121">
        <v>243000391</v>
      </c>
      <c r="H77" s="121">
        <v>230856731</v>
      </c>
    </row>
    <row r="78" spans="1:8">
      <c r="A78" s="114" t="s">
        <v>1253</v>
      </c>
      <c r="B78" s="114" t="s">
        <v>8129</v>
      </c>
      <c r="C78" s="121">
        <v>1943644199</v>
      </c>
      <c r="D78" s="121">
        <v>1988243043</v>
      </c>
      <c r="E78" s="121">
        <v>1988243043</v>
      </c>
      <c r="F78" s="121">
        <v>1943644199</v>
      </c>
      <c r="G78" s="121">
        <v>1988243043</v>
      </c>
      <c r="H78" s="121">
        <v>1943644199</v>
      </c>
    </row>
    <row r="79" spans="1:8">
      <c r="A79" s="114" t="s">
        <v>1285</v>
      </c>
      <c r="B79" s="114" t="s">
        <v>8130</v>
      </c>
      <c r="C79" s="121">
        <v>526661934</v>
      </c>
      <c r="D79" s="121">
        <v>549121028</v>
      </c>
      <c r="E79" s="121">
        <v>549121028</v>
      </c>
      <c r="F79" s="121">
        <v>526661934</v>
      </c>
      <c r="G79" s="121">
        <v>549121028</v>
      </c>
      <c r="H79" s="121">
        <v>526661934</v>
      </c>
    </row>
    <row r="80" spans="1:8">
      <c r="A80" s="114" t="s">
        <v>2451</v>
      </c>
      <c r="B80" s="114" t="s">
        <v>8131</v>
      </c>
      <c r="C80" s="121">
        <v>108307361</v>
      </c>
      <c r="D80" s="121">
        <v>114924003</v>
      </c>
      <c r="E80" s="121">
        <v>114924003</v>
      </c>
      <c r="F80" s="121">
        <v>108307361</v>
      </c>
      <c r="G80" s="121">
        <v>114924003</v>
      </c>
      <c r="H80" s="121">
        <v>108307361</v>
      </c>
    </row>
    <row r="81" spans="1:8">
      <c r="A81" s="114" t="s">
        <v>1110</v>
      </c>
      <c r="B81" s="114" t="s">
        <v>8132</v>
      </c>
      <c r="C81" s="121">
        <v>19287982</v>
      </c>
      <c r="D81" s="121">
        <v>20918631</v>
      </c>
      <c r="E81" s="121">
        <v>20918631</v>
      </c>
      <c r="F81" s="121">
        <v>19287982</v>
      </c>
      <c r="G81" s="121">
        <v>20918631</v>
      </c>
      <c r="H81" s="121">
        <v>19287982</v>
      </c>
    </row>
    <row r="82" spans="1:8">
      <c r="A82" s="114" t="s">
        <v>953</v>
      </c>
      <c r="B82" s="114" t="s">
        <v>8133</v>
      </c>
      <c r="C82" s="121">
        <v>207163494</v>
      </c>
      <c r="D82" s="121">
        <v>214142889</v>
      </c>
      <c r="E82" s="121">
        <v>214142889</v>
      </c>
      <c r="F82" s="121">
        <v>207163494</v>
      </c>
      <c r="G82" s="121">
        <v>214142889</v>
      </c>
      <c r="H82" s="121">
        <v>207163494</v>
      </c>
    </row>
    <row r="83" spans="1:8">
      <c r="A83" s="114" t="s">
        <v>1286</v>
      </c>
      <c r="B83" s="114" t="s">
        <v>8134</v>
      </c>
      <c r="C83" s="121">
        <v>894313356</v>
      </c>
      <c r="D83" s="121">
        <v>919346405</v>
      </c>
      <c r="E83" s="121">
        <v>919346405</v>
      </c>
      <c r="F83" s="121">
        <v>894313356</v>
      </c>
      <c r="G83" s="121">
        <v>919346405</v>
      </c>
      <c r="H83" s="121">
        <v>894313356</v>
      </c>
    </row>
    <row r="84" spans="1:8">
      <c r="A84" s="114" t="s">
        <v>1287</v>
      </c>
      <c r="B84" s="114" t="s">
        <v>8135</v>
      </c>
      <c r="C84" s="121">
        <v>19638878</v>
      </c>
      <c r="D84" s="121">
        <v>21126269</v>
      </c>
      <c r="E84" s="121">
        <v>21126269</v>
      </c>
      <c r="F84" s="121">
        <v>19638878</v>
      </c>
      <c r="G84" s="121">
        <v>21126269</v>
      </c>
      <c r="H84" s="121">
        <v>19638878</v>
      </c>
    </row>
    <row r="85" spans="1:8">
      <c r="A85" s="114" t="s">
        <v>954</v>
      </c>
      <c r="B85" s="114" t="s">
        <v>8136</v>
      </c>
      <c r="C85" s="121">
        <v>40858151</v>
      </c>
      <c r="D85" s="121">
        <v>42678974</v>
      </c>
      <c r="E85" s="121">
        <v>42678974</v>
      </c>
      <c r="F85" s="121">
        <v>40858151</v>
      </c>
      <c r="G85" s="121">
        <v>42678974</v>
      </c>
      <c r="H85" s="121">
        <v>40858151</v>
      </c>
    </row>
    <row r="86" spans="1:8">
      <c r="A86" s="114" t="s">
        <v>207</v>
      </c>
      <c r="B86" s="114" t="s">
        <v>8137</v>
      </c>
      <c r="C86" s="121">
        <v>6106406199</v>
      </c>
      <c r="D86" s="121">
        <v>6326801062</v>
      </c>
      <c r="E86" s="121">
        <v>6326801062</v>
      </c>
      <c r="F86" s="121">
        <v>6106406199</v>
      </c>
      <c r="G86" s="121">
        <v>6326801062</v>
      </c>
      <c r="H86" s="121">
        <v>6106406199</v>
      </c>
    </row>
    <row r="87" spans="1:8">
      <c r="A87" s="114" t="s">
        <v>1035</v>
      </c>
      <c r="B87" s="114" t="s">
        <v>8138</v>
      </c>
      <c r="C87" s="121">
        <v>2548072280</v>
      </c>
      <c r="D87" s="121">
        <v>2613795646</v>
      </c>
      <c r="E87" s="121">
        <v>2613795646</v>
      </c>
      <c r="F87" s="121">
        <v>2548072280</v>
      </c>
      <c r="G87" s="121">
        <v>2613795646</v>
      </c>
      <c r="H87" s="121">
        <v>2548072280</v>
      </c>
    </row>
    <row r="88" spans="1:8">
      <c r="A88" s="114" t="s">
        <v>809</v>
      </c>
      <c r="B88" s="114" t="s">
        <v>8139</v>
      </c>
      <c r="C88" s="121">
        <v>271650484</v>
      </c>
      <c r="D88" s="121">
        <v>281062107</v>
      </c>
      <c r="E88" s="121">
        <v>281062107</v>
      </c>
      <c r="F88" s="121">
        <v>271650484</v>
      </c>
      <c r="G88" s="121">
        <v>281062107</v>
      </c>
      <c r="H88" s="121">
        <v>271650484</v>
      </c>
    </row>
    <row r="89" spans="1:8">
      <c r="A89" s="114" t="s">
        <v>1321</v>
      </c>
      <c r="B89" s="114" t="s">
        <v>8140</v>
      </c>
      <c r="C89" s="121">
        <v>10893564861</v>
      </c>
      <c r="D89" s="121">
        <v>11017242952</v>
      </c>
      <c r="E89" s="121">
        <v>10917726163</v>
      </c>
      <c r="F89" s="121">
        <v>10794048072</v>
      </c>
      <c r="G89" s="121">
        <v>11848374653</v>
      </c>
      <c r="H89" s="121">
        <v>11724696562</v>
      </c>
    </row>
    <row r="90" spans="1:8">
      <c r="A90" s="114" t="s">
        <v>1322</v>
      </c>
      <c r="B90" s="114" t="s">
        <v>8141</v>
      </c>
      <c r="C90" s="121">
        <v>2507720202</v>
      </c>
      <c r="D90" s="121">
        <v>2531795399</v>
      </c>
      <c r="E90" s="121">
        <v>2498018012</v>
      </c>
      <c r="F90" s="121">
        <v>2473942815</v>
      </c>
      <c r="G90" s="121">
        <v>2725268612</v>
      </c>
      <c r="H90" s="121">
        <v>2701193415</v>
      </c>
    </row>
    <row r="91" spans="1:8">
      <c r="A91" s="114" t="s">
        <v>1616</v>
      </c>
      <c r="B91" s="114" t="s">
        <v>8142</v>
      </c>
      <c r="C91" s="121">
        <v>1282369457</v>
      </c>
      <c r="D91" s="121">
        <v>1328300574</v>
      </c>
      <c r="E91" s="121">
        <v>1294548277</v>
      </c>
      <c r="F91" s="121">
        <v>1248617160</v>
      </c>
      <c r="G91" s="121">
        <v>1294548277</v>
      </c>
      <c r="H91" s="121">
        <v>1248617160</v>
      </c>
    </row>
    <row r="92" spans="1:8">
      <c r="A92" s="114" t="s">
        <v>235</v>
      </c>
      <c r="B92" s="114" t="s">
        <v>8143</v>
      </c>
      <c r="C92" s="121">
        <v>7550037471</v>
      </c>
      <c r="D92" s="121">
        <v>7788148364</v>
      </c>
      <c r="E92" s="121">
        <v>7788148364</v>
      </c>
      <c r="F92" s="121">
        <v>7550037471</v>
      </c>
      <c r="G92" s="121">
        <v>7788148364</v>
      </c>
      <c r="H92" s="121">
        <v>7550037471</v>
      </c>
    </row>
    <row r="93" spans="1:8">
      <c r="A93" s="114" t="s">
        <v>1323</v>
      </c>
      <c r="B93" s="114" t="s">
        <v>8144</v>
      </c>
      <c r="C93" s="121">
        <v>61769209</v>
      </c>
      <c r="D93" s="121">
        <v>63963751</v>
      </c>
      <c r="E93" s="121">
        <v>63963751</v>
      </c>
      <c r="F93" s="121">
        <v>61769209</v>
      </c>
      <c r="G93" s="121">
        <v>63963751</v>
      </c>
      <c r="H93" s="121">
        <v>61769209</v>
      </c>
    </row>
    <row r="94" spans="1:8">
      <c r="A94" s="114" t="s">
        <v>631</v>
      </c>
      <c r="B94" s="114" t="s">
        <v>8145</v>
      </c>
      <c r="C94" s="121">
        <v>9436832194</v>
      </c>
      <c r="D94" s="121">
        <v>9555427855</v>
      </c>
      <c r="E94" s="121">
        <v>9555427855</v>
      </c>
      <c r="F94" s="121">
        <v>9436832194</v>
      </c>
      <c r="G94" s="121">
        <v>9555427855</v>
      </c>
      <c r="H94" s="121">
        <v>9436832194</v>
      </c>
    </row>
    <row r="95" spans="1:8">
      <c r="A95" s="114" t="s">
        <v>994</v>
      </c>
      <c r="B95" s="114" t="s">
        <v>8146</v>
      </c>
      <c r="C95" s="121">
        <v>7345267455</v>
      </c>
      <c r="D95" s="121">
        <v>7483232790</v>
      </c>
      <c r="E95" s="121">
        <v>7483232790</v>
      </c>
      <c r="F95" s="121">
        <v>7345267455</v>
      </c>
      <c r="G95" s="121">
        <v>7672641590</v>
      </c>
      <c r="H95" s="121">
        <v>7534676255</v>
      </c>
    </row>
    <row r="96" spans="1:8">
      <c r="A96" s="114" t="s">
        <v>2918</v>
      </c>
      <c r="B96" s="114" t="s">
        <v>8147</v>
      </c>
      <c r="C96" s="121">
        <v>83782146</v>
      </c>
      <c r="D96" s="121">
        <v>85166478</v>
      </c>
      <c r="E96" s="121">
        <v>85166478</v>
      </c>
      <c r="F96" s="121">
        <v>83782146</v>
      </c>
      <c r="G96" s="121">
        <v>85166478</v>
      </c>
      <c r="H96" s="121">
        <v>83782146</v>
      </c>
    </row>
    <row r="97" spans="1:8">
      <c r="A97" s="114" t="s">
        <v>440</v>
      </c>
      <c r="B97" s="114" t="s">
        <v>8148</v>
      </c>
      <c r="C97" s="121">
        <v>580669521</v>
      </c>
      <c r="D97" s="121">
        <v>599436479</v>
      </c>
      <c r="E97" s="121">
        <v>585676900</v>
      </c>
      <c r="F97" s="121">
        <v>566909942</v>
      </c>
      <c r="G97" s="121">
        <v>588676900</v>
      </c>
      <c r="H97" s="121">
        <v>569909942</v>
      </c>
    </row>
    <row r="98" spans="1:8">
      <c r="A98" s="114" t="s">
        <v>441</v>
      </c>
      <c r="B98" s="114" t="s">
        <v>8149</v>
      </c>
      <c r="C98" s="121">
        <v>89772631</v>
      </c>
      <c r="D98" s="121">
        <v>91257952</v>
      </c>
      <c r="E98" s="121">
        <v>91257952</v>
      </c>
      <c r="F98" s="121">
        <v>89772631</v>
      </c>
      <c r="G98" s="121">
        <v>91257952</v>
      </c>
      <c r="H98" s="121">
        <v>89772631</v>
      </c>
    </row>
    <row r="99" spans="1:8">
      <c r="A99" s="114" t="s">
        <v>442</v>
      </c>
      <c r="B99" s="114" t="s">
        <v>8150</v>
      </c>
      <c r="C99" s="121">
        <v>8863406</v>
      </c>
      <c r="D99" s="121">
        <v>8873406</v>
      </c>
      <c r="E99" s="121">
        <v>8873406</v>
      </c>
      <c r="F99" s="121">
        <v>8863406</v>
      </c>
      <c r="G99" s="121">
        <v>8873406</v>
      </c>
      <c r="H99" s="121">
        <v>8863406</v>
      </c>
    </row>
    <row r="100" spans="1:8">
      <c r="A100" s="114" t="s">
        <v>443</v>
      </c>
      <c r="B100" s="114" t="s">
        <v>8151</v>
      </c>
      <c r="C100" s="121">
        <v>144911720</v>
      </c>
      <c r="D100" s="121">
        <v>146605321</v>
      </c>
      <c r="E100" s="121">
        <v>146605321</v>
      </c>
      <c r="F100" s="121">
        <v>144911720</v>
      </c>
      <c r="G100" s="121">
        <v>367157901</v>
      </c>
      <c r="H100" s="121">
        <v>365464300</v>
      </c>
    </row>
    <row r="101" spans="1:8">
      <c r="A101" s="114" t="s">
        <v>745</v>
      </c>
      <c r="B101" s="114" t="s">
        <v>8152</v>
      </c>
      <c r="C101" s="121">
        <v>513913206</v>
      </c>
      <c r="D101" s="121">
        <v>523925291</v>
      </c>
      <c r="E101" s="121">
        <v>523925291</v>
      </c>
      <c r="F101" s="121">
        <v>513913206</v>
      </c>
      <c r="G101" s="121">
        <v>523925291</v>
      </c>
      <c r="H101" s="121">
        <v>513913206</v>
      </c>
    </row>
    <row r="102" spans="1:8">
      <c r="A102" s="114" t="s">
        <v>746</v>
      </c>
      <c r="B102" s="114" t="s">
        <v>8153</v>
      </c>
      <c r="C102" s="121">
        <v>323139597</v>
      </c>
      <c r="D102" s="121">
        <v>337490234</v>
      </c>
      <c r="E102" s="121">
        <v>337490234</v>
      </c>
      <c r="F102" s="121">
        <v>323139597</v>
      </c>
      <c r="G102" s="121">
        <v>337490234</v>
      </c>
      <c r="H102" s="121">
        <v>323139597</v>
      </c>
    </row>
    <row r="103" spans="1:8">
      <c r="A103" s="114" t="s">
        <v>747</v>
      </c>
      <c r="B103" s="114" t="s">
        <v>8154</v>
      </c>
      <c r="C103" s="121">
        <v>1361825598</v>
      </c>
      <c r="D103" s="121">
        <v>1400194242</v>
      </c>
      <c r="E103" s="121">
        <v>1400194242</v>
      </c>
      <c r="F103" s="121">
        <v>1361825598</v>
      </c>
      <c r="G103" s="121">
        <v>1400194242</v>
      </c>
      <c r="H103" s="121">
        <v>1361825598</v>
      </c>
    </row>
    <row r="104" spans="1:8">
      <c r="A104" s="114" t="s">
        <v>988</v>
      </c>
      <c r="B104" s="114" t="s">
        <v>8155</v>
      </c>
      <c r="C104" s="121">
        <v>57813782</v>
      </c>
      <c r="D104" s="121">
        <v>60629429</v>
      </c>
      <c r="E104" s="121">
        <v>60629429</v>
      </c>
      <c r="F104" s="121">
        <v>57813782</v>
      </c>
      <c r="G104" s="121">
        <v>119702919</v>
      </c>
      <c r="H104" s="121">
        <v>116887272</v>
      </c>
    </row>
    <row r="105" spans="1:8">
      <c r="A105" s="114" t="s">
        <v>2893</v>
      </c>
      <c r="B105" s="114" t="s">
        <v>8156</v>
      </c>
      <c r="C105" s="121">
        <v>161097792</v>
      </c>
      <c r="D105" s="121">
        <v>166369544</v>
      </c>
      <c r="E105" s="121">
        <v>166369544</v>
      </c>
      <c r="F105" s="121">
        <v>161097792</v>
      </c>
      <c r="G105" s="121">
        <v>166369544</v>
      </c>
      <c r="H105" s="121">
        <v>161097792</v>
      </c>
    </row>
    <row r="106" spans="1:8">
      <c r="A106" s="114" t="s">
        <v>1354</v>
      </c>
      <c r="B106" s="114" t="s">
        <v>8157</v>
      </c>
      <c r="C106" s="121">
        <v>48206844</v>
      </c>
      <c r="D106" s="121">
        <v>50216975</v>
      </c>
      <c r="E106" s="121">
        <v>50216975</v>
      </c>
      <c r="F106" s="121">
        <v>48206844</v>
      </c>
      <c r="G106" s="121">
        <v>50216975</v>
      </c>
      <c r="H106" s="121">
        <v>48206844</v>
      </c>
    </row>
    <row r="107" spans="1:8">
      <c r="A107" s="114" t="s">
        <v>810</v>
      </c>
      <c r="B107" s="114" t="s">
        <v>8158</v>
      </c>
      <c r="C107" s="121">
        <v>99494220</v>
      </c>
      <c r="D107" s="121">
        <v>101794119</v>
      </c>
      <c r="E107" s="121">
        <v>101794119</v>
      </c>
      <c r="F107" s="121">
        <v>99494220</v>
      </c>
      <c r="G107" s="121">
        <v>101794119</v>
      </c>
      <c r="H107" s="121">
        <v>99494220</v>
      </c>
    </row>
    <row r="108" spans="1:8">
      <c r="A108" s="114" t="s">
        <v>872</v>
      </c>
      <c r="B108" s="114" t="s">
        <v>8159</v>
      </c>
      <c r="C108" s="121">
        <v>286663806</v>
      </c>
      <c r="D108" s="121">
        <v>299114229</v>
      </c>
      <c r="E108" s="121">
        <v>299114229</v>
      </c>
      <c r="F108" s="121">
        <v>286663806</v>
      </c>
      <c r="G108" s="121">
        <v>299114229</v>
      </c>
      <c r="H108" s="121">
        <v>286663806</v>
      </c>
    </row>
    <row r="109" spans="1:8">
      <c r="A109" s="114" t="s">
        <v>748</v>
      </c>
      <c r="B109" s="114" t="s">
        <v>8160</v>
      </c>
      <c r="C109" s="121">
        <v>849054714</v>
      </c>
      <c r="D109" s="121">
        <v>869325282</v>
      </c>
      <c r="E109" s="121">
        <v>869325282</v>
      </c>
      <c r="F109" s="121">
        <v>849054714</v>
      </c>
      <c r="G109" s="121">
        <v>869325282</v>
      </c>
      <c r="H109" s="121">
        <v>849054714</v>
      </c>
    </row>
    <row r="110" spans="1:8">
      <c r="A110" s="114" t="s">
        <v>749</v>
      </c>
      <c r="B110" s="114" t="s">
        <v>8161</v>
      </c>
      <c r="C110" s="121">
        <v>292265611</v>
      </c>
      <c r="D110" s="121">
        <v>301306489</v>
      </c>
      <c r="E110" s="121">
        <v>301306489</v>
      </c>
      <c r="F110" s="121">
        <v>292265611</v>
      </c>
      <c r="G110" s="121">
        <v>301306489</v>
      </c>
      <c r="H110" s="121">
        <v>292265611</v>
      </c>
    </row>
    <row r="111" spans="1:8">
      <c r="A111" s="114" t="s">
        <v>750</v>
      </c>
      <c r="B111" s="114" t="s">
        <v>8162</v>
      </c>
      <c r="C111" s="121">
        <v>239565319</v>
      </c>
      <c r="D111" s="121">
        <v>244714966</v>
      </c>
      <c r="E111" s="121">
        <v>244714966</v>
      </c>
      <c r="F111" s="121">
        <v>239565319</v>
      </c>
      <c r="G111" s="121">
        <v>244714966</v>
      </c>
      <c r="H111" s="121">
        <v>239565319</v>
      </c>
    </row>
    <row r="112" spans="1:8">
      <c r="A112" s="114" t="s">
        <v>2154</v>
      </c>
      <c r="B112" s="114" t="s">
        <v>8163</v>
      </c>
      <c r="C112" s="121">
        <v>2190253739</v>
      </c>
      <c r="D112" s="121">
        <v>2247057616</v>
      </c>
      <c r="E112" s="121">
        <v>2247057616</v>
      </c>
      <c r="F112" s="121">
        <v>2190253739</v>
      </c>
      <c r="G112" s="121">
        <v>2247057616</v>
      </c>
      <c r="H112" s="121">
        <v>2190253739</v>
      </c>
    </row>
    <row r="113" spans="1:8">
      <c r="A113" s="114" t="s">
        <v>380</v>
      </c>
      <c r="B113" s="114" t="s">
        <v>8164</v>
      </c>
      <c r="C113" s="121">
        <v>3518396865</v>
      </c>
      <c r="D113" s="121">
        <v>3575785850</v>
      </c>
      <c r="E113" s="121">
        <v>3575785850</v>
      </c>
      <c r="F113" s="121">
        <v>3518396865</v>
      </c>
      <c r="G113" s="121">
        <v>3575785850</v>
      </c>
      <c r="H113" s="121">
        <v>3518396865</v>
      </c>
    </row>
    <row r="114" spans="1:8">
      <c r="A114" s="114" t="s">
        <v>497</v>
      </c>
      <c r="B114" s="114" t="s">
        <v>8165</v>
      </c>
      <c r="C114" s="121">
        <v>1233514548</v>
      </c>
      <c r="D114" s="121">
        <v>1274924810</v>
      </c>
      <c r="E114" s="121">
        <v>1274924810</v>
      </c>
      <c r="F114" s="121">
        <v>1233514548</v>
      </c>
      <c r="G114" s="121">
        <v>1274924810</v>
      </c>
      <c r="H114" s="121">
        <v>1233514548</v>
      </c>
    </row>
    <row r="115" spans="1:8">
      <c r="A115" s="114" t="s">
        <v>1318</v>
      </c>
      <c r="B115" s="114" t="s">
        <v>8166</v>
      </c>
      <c r="C115" s="121">
        <v>427195969</v>
      </c>
      <c r="D115" s="121">
        <v>439328631</v>
      </c>
      <c r="E115" s="121">
        <v>439328631</v>
      </c>
      <c r="F115" s="121">
        <v>427195969</v>
      </c>
      <c r="G115" s="121">
        <v>439328631</v>
      </c>
      <c r="H115" s="121">
        <v>427195969</v>
      </c>
    </row>
    <row r="116" spans="1:8">
      <c r="A116" s="114" t="s">
        <v>2631</v>
      </c>
      <c r="B116" s="114" t="s">
        <v>8167</v>
      </c>
      <c r="C116" s="121">
        <v>156553703</v>
      </c>
      <c r="D116" s="121">
        <v>158539637</v>
      </c>
      <c r="E116" s="121">
        <v>158539637</v>
      </c>
      <c r="F116" s="121">
        <v>156553703</v>
      </c>
      <c r="G116" s="121">
        <v>158539637</v>
      </c>
      <c r="H116" s="121">
        <v>156553703</v>
      </c>
    </row>
    <row r="117" spans="1:8">
      <c r="A117" s="114" t="s">
        <v>1535</v>
      </c>
      <c r="B117" s="114" t="s">
        <v>8168</v>
      </c>
      <c r="C117" s="121">
        <v>3463341967</v>
      </c>
      <c r="D117" s="121">
        <v>3505398371</v>
      </c>
      <c r="E117" s="121">
        <v>3450836586</v>
      </c>
      <c r="F117" s="121">
        <v>3408780182</v>
      </c>
      <c r="G117" s="121">
        <v>3488281496</v>
      </c>
      <c r="H117" s="121">
        <v>3446225092</v>
      </c>
    </row>
    <row r="118" spans="1:8">
      <c r="A118" s="114" t="s">
        <v>2671</v>
      </c>
      <c r="B118" s="114" t="s">
        <v>8169</v>
      </c>
      <c r="C118" s="121">
        <v>136243804</v>
      </c>
      <c r="D118" s="121">
        <v>143010476</v>
      </c>
      <c r="E118" s="121">
        <v>143010476</v>
      </c>
      <c r="F118" s="121">
        <v>136243804</v>
      </c>
      <c r="G118" s="121">
        <v>143010476</v>
      </c>
      <c r="H118" s="121">
        <v>136243804</v>
      </c>
    </row>
    <row r="119" spans="1:8">
      <c r="A119" s="114" t="s">
        <v>811</v>
      </c>
      <c r="B119" s="114" t="s">
        <v>8170</v>
      </c>
      <c r="C119" s="121">
        <v>519904931</v>
      </c>
      <c r="D119" s="121">
        <v>539334425</v>
      </c>
      <c r="E119" s="121">
        <v>539334425</v>
      </c>
      <c r="F119" s="121">
        <v>519904931</v>
      </c>
      <c r="G119" s="121">
        <v>539334425</v>
      </c>
      <c r="H119" s="121">
        <v>519904931</v>
      </c>
    </row>
    <row r="120" spans="1:8">
      <c r="A120" s="114" t="s">
        <v>171</v>
      </c>
      <c r="B120" s="114" t="s">
        <v>8171</v>
      </c>
      <c r="C120" s="121">
        <v>201653073</v>
      </c>
      <c r="D120" s="121">
        <v>207642393</v>
      </c>
      <c r="E120" s="121">
        <v>207642393</v>
      </c>
      <c r="F120" s="121">
        <v>201653073</v>
      </c>
      <c r="G120" s="121">
        <v>207642393</v>
      </c>
      <c r="H120" s="121">
        <v>201653073</v>
      </c>
    </row>
    <row r="121" spans="1:8">
      <c r="A121" s="114" t="s">
        <v>2090</v>
      </c>
      <c r="B121" s="114" t="s">
        <v>8172</v>
      </c>
      <c r="C121" s="121">
        <v>234055736</v>
      </c>
      <c r="D121" s="121">
        <v>240097664</v>
      </c>
      <c r="E121" s="121">
        <v>240097664</v>
      </c>
      <c r="F121" s="121">
        <v>234055736</v>
      </c>
      <c r="G121" s="121">
        <v>240097664</v>
      </c>
      <c r="H121" s="121">
        <v>234055736</v>
      </c>
    </row>
    <row r="122" spans="1:8">
      <c r="A122" s="114" t="s">
        <v>993</v>
      </c>
      <c r="B122" s="114" t="s">
        <v>8173</v>
      </c>
      <c r="C122" s="121">
        <v>5570429790</v>
      </c>
      <c r="D122" s="121">
        <v>5796236558</v>
      </c>
      <c r="E122" s="121">
        <v>5796236558</v>
      </c>
      <c r="F122" s="121">
        <v>5570429790</v>
      </c>
      <c r="G122" s="121">
        <v>5796236558</v>
      </c>
      <c r="H122" s="121">
        <v>5570429790</v>
      </c>
    </row>
    <row r="123" spans="1:8">
      <c r="A123" s="114" t="s">
        <v>2126</v>
      </c>
      <c r="B123" s="114" t="s">
        <v>8174</v>
      </c>
      <c r="C123" s="121">
        <v>3467120867</v>
      </c>
      <c r="D123" s="121">
        <v>3583509587</v>
      </c>
      <c r="E123" s="121">
        <v>3583509587</v>
      </c>
      <c r="F123" s="121">
        <v>3467120867</v>
      </c>
      <c r="G123" s="121">
        <v>3583509587</v>
      </c>
      <c r="H123" s="121">
        <v>3467120867</v>
      </c>
    </row>
    <row r="124" spans="1:8">
      <c r="A124" s="114" t="s">
        <v>64</v>
      </c>
      <c r="B124" s="114" t="s">
        <v>8175</v>
      </c>
      <c r="C124" s="121">
        <v>405523768</v>
      </c>
      <c r="D124" s="121">
        <v>423081141</v>
      </c>
      <c r="E124" s="121">
        <v>423081141</v>
      </c>
      <c r="F124" s="121">
        <v>405523768</v>
      </c>
      <c r="G124" s="121">
        <v>423081141</v>
      </c>
      <c r="H124" s="121">
        <v>405523768</v>
      </c>
    </row>
    <row r="125" spans="1:8">
      <c r="A125" s="114" t="s">
        <v>2606</v>
      </c>
      <c r="B125" s="114" t="s">
        <v>8176</v>
      </c>
      <c r="C125" s="121">
        <v>1739877330</v>
      </c>
      <c r="D125" s="121">
        <v>1798888203</v>
      </c>
      <c r="E125" s="121">
        <v>1798888203</v>
      </c>
      <c r="F125" s="121">
        <v>1739877330</v>
      </c>
      <c r="G125" s="121">
        <v>2060558043</v>
      </c>
      <c r="H125" s="121">
        <v>2001547170</v>
      </c>
    </row>
    <row r="126" spans="1:8">
      <c r="A126" s="114" t="s">
        <v>1892</v>
      </c>
      <c r="B126" s="114" t="s">
        <v>8177</v>
      </c>
      <c r="C126" s="121">
        <v>3564244775</v>
      </c>
      <c r="D126" s="121">
        <v>3586220579</v>
      </c>
      <c r="E126" s="121">
        <v>3586220579</v>
      </c>
      <c r="F126" s="121">
        <v>3564244775</v>
      </c>
      <c r="G126" s="121">
        <v>3586220579</v>
      </c>
      <c r="H126" s="121">
        <v>3564244775</v>
      </c>
    </row>
    <row r="127" spans="1:8">
      <c r="A127" s="114" t="s">
        <v>812</v>
      </c>
      <c r="B127" s="114" t="s">
        <v>8178</v>
      </c>
      <c r="C127" s="121">
        <v>283633355</v>
      </c>
      <c r="D127" s="121">
        <v>295135447</v>
      </c>
      <c r="E127" s="121">
        <v>295135447</v>
      </c>
      <c r="F127" s="121">
        <v>283633355</v>
      </c>
      <c r="G127" s="121">
        <v>330947857</v>
      </c>
      <c r="H127" s="121">
        <v>319445765</v>
      </c>
    </row>
    <row r="128" spans="1:8">
      <c r="A128" s="114" t="s">
        <v>1490</v>
      </c>
      <c r="B128" s="114" t="s">
        <v>8179</v>
      </c>
      <c r="C128" s="121">
        <v>994003618</v>
      </c>
      <c r="D128" s="121">
        <v>1043084982</v>
      </c>
      <c r="E128" s="121">
        <v>1043084982</v>
      </c>
      <c r="F128" s="121">
        <v>994003618</v>
      </c>
      <c r="G128" s="121">
        <v>1043084982</v>
      </c>
      <c r="H128" s="121">
        <v>994003618</v>
      </c>
    </row>
    <row r="129" spans="1:8">
      <c r="A129" s="114" t="s">
        <v>813</v>
      </c>
      <c r="B129" s="114" t="s">
        <v>8180</v>
      </c>
      <c r="C129" s="121">
        <v>53358795</v>
      </c>
      <c r="D129" s="121">
        <v>55603659</v>
      </c>
      <c r="E129" s="121">
        <v>55603659</v>
      </c>
      <c r="F129" s="121">
        <v>53358795</v>
      </c>
      <c r="G129" s="121">
        <v>55603659</v>
      </c>
      <c r="H129" s="121">
        <v>53358795</v>
      </c>
    </row>
    <row r="130" spans="1:8">
      <c r="A130" s="114" t="s">
        <v>534</v>
      </c>
      <c r="B130" s="114" t="s">
        <v>8181</v>
      </c>
      <c r="C130" s="121">
        <v>83525487</v>
      </c>
      <c r="D130" s="121">
        <v>89124447</v>
      </c>
      <c r="E130" s="121">
        <v>89124447</v>
      </c>
      <c r="F130" s="121">
        <v>83525487</v>
      </c>
      <c r="G130" s="121">
        <v>89124447</v>
      </c>
      <c r="H130" s="121">
        <v>83525487</v>
      </c>
    </row>
    <row r="131" spans="1:8">
      <c r="A131" s="114" t="s">
        <v>1050</v>
      </c>
      <c r="B131" s="114" t="s">
        <v>8182</v>
      </c>
      <c r="C131" s="121">
        <v>734942967</v>
      </c>
      <c r="D131" s="121">
        <v>760567351</v>
      </c>
      <c r="E131" s="121">
        <v>760567351</v>
      </c>
      <c r="F131" s="121">
        <v>734942967</v>
      </c>
      <c r="G131" s="121">
        <v>760567351</v>
      </c>
      <c r="H131" s="121">
        <v>734942967</v>
      </c>
    </row>
    <row r="132" spans="1:8">
      <c r="A132" s="114" t="s">
        <v>1051</v>
      </c>
      <c r="B132" s="114" t="s">
        <v>8183</v>
      </c>
      <c r="C132" s="121">
        <v>115347923</v>
      </c>
      <c r="D132" s="121">
        <v>117379281</v>
      </c>
      <c r="E132" s="121">
        <v>117379281</v>
      </c>
      <c r="F132" s="121">
        <v>115347923</v>
      </c>
      <c r="G132" s="121">
        <v>510308171</v>
      </c>
      <c r="H132" s="121">
        <v>508276813</v>
      </c>
    </row>
    <row r="133" spans="1:8">
      <c r="A133" s="114" t="s">
        <v>879</v>
      </c>
      <c r="B133" s="114" t="s">
        <v>8184</v>
      </c>
      <c r="C133" s="121">
        <v>431466847</v>
      </c>
      <c r="D133" s="121">
        <v>439962897</v>
      </c>
      <c r="E133" s="121">
        <v>430389912</v>
      </c>
      <c r="F133" s="121">
        <v>421893862</v>
      </c>
      <c r="G133" s="121">
        <v>819255052</v>
      </c>
      <c r="H133" s="121">
        <v>810759002</v>
      </c>
    </row>
    <row r="134" spans="1:8">
      <c r="A134" s="114" t="s">
        <v>2050</v>
      </c>
      <c r="B134" s="114" t="s">
        <v>8185</v>
      </c>
      <c r="C134" s="121">
        <v>242866070</v>
      </c>
      <c r="D134" s="121">
        <v>246976240</v>
      </c>
      <c r="E134" s="121">
        <v>245367330</v>
      </c>
      <c r="F134" s="121">
        <v>241257160</v>
      </c>
      <c r="G134" s="121">
        <v>388485810</v>
      </c>
      <c r="H134" s="121">
        <v>384375640</v>
      </c>
    </row>
    <row r="135" spans="1:8">
      <c r="A135" s="114" t="s">
        <v>1941</v>
      </c>
      <c r="B135" s="114" t="s">
        <v>8186</v>
      </c>
      <c r="C135" s="121">
        <v>517006856</v>
      </c>
      <c r="D135" s="121">
        <v>542529655</v>
      </c>
      <c r="E135" s="121">
        <v>542529655</v>
      </c>
      <c r="F135" s="121">
        <v>517006856</v>
      </c>
      <c r="G135" s="121">
        <v>542529655</v>
      </c>
      <c r="H135" s="121">
        <v>517006856</v>
      </c>
    </row>
    <row r="136" spans="1:8">
      <c r="A136" s="114" t="s">
        <v>1942</v>
      </c>
      <c r="B136" s="114" t="s">
        <v>8187</v>
      </c>
      <c r="C136" s="121">
        <v>60147607</v>
      </c>
      <c r="D136" s="121">
        <v>63569357</v>
      </c>
      <c r="E136" s="121">
        <v>63569357</v>
      </c>
      <c r="F136" s="121">
        <v>60147607</v>
      </c>
      <c r="G136" s="121">
        <v>63569357</v>
      </c>
      <c r="H136" s="121">
        <v>60147607</v>
      </c>
    </row>
    <row r="137" spans="1:8">
      <c r="A137" s="114" t="s">
        <v>842</v>
      </c>
      <c r="B137" s="114" t="s">
        <v>8188</v>
      </c>
      <c r="C137" s="121">
        <v>226055151</v>
      </c>
      <c r="D137" s="121">
        <v>237241100</v>
      </c>
      <c r="E137" s="121">
        <v>237241100</v>
      </c>
      <c r="F137" s="121">
        <v>226055151</v>
      </c>
      <c r="G137" s="121">
        <v>237241100</v>
      </c>
      <c r="H137" s="121">
        <v>226055151</v>
      </c>
    </row>
    <row r="138" spans="1:8">
      <c r="A138" s="114" t="s">
        <v>843</v>
      </c>
      <c r="B138" s="114" t="s">
        <v>8189</v>
      </c>
      <c r="C138" s="121">
        <v>230121264</v>
      </c>
      <c r="D138" s="121">
        <v>243823889</v>
      </c>
      <c r="E138" s="121">
        <v>243823889</v>
      </c>
      <c r="F138" s="121">
        <v>230121264</v>
      </c>
      <c r="G138" s="121">
        <v>243823889</v>
      </c>
      <c r="H138" s="121">
        <v>230121264</v>
      </c>
    </row>
    <row r="139" spans="1:8">
      <c r="A139" s="114" t="s">
        <v>2142</v>
      </c>
      <c r="B139" s="114" t="s">
        <v>8190</v>
      </c>
      <c r="C139" s="121">
        <v>33918160</v>
      </c>
      <c r="D139" s="121">
        <v>35839951</v>
      </c>
      <c r="E139" s="121">
        <v>35839951</v>
      </c>
      <c r="F139" s="121">
        <v>33918160</v>
      </c>
      <c r="G139" s="121">
        <v>35839951</v>
      </c>
      <c r="H139" s="121">
        <v>33918160</v>
      </c>
    </row>
    <row r="140" spans="1:8">
      <c r="A140" s="114" t="s">
        <v>844</v>
      </c>
      <c r="B140" s="114" t="s">
        <v>8191</v>
      </c>
      <c r="C140" s="121">
        <v>474314316</v>
      </c>
      <c r="D140" s="121">
        <v>486675477</v>
      </c>
      <c r="E140" s="121">
        <v>475284503</v>
      </c>
      <c r="F140" s="121">
        <v>462923342</v>
      </c>
      <c r="G140" s="121">
        <v>475284503</v>
      </c>
      <c r="H140" s="121">
        <v>462923342</v>
      </c>
    </row>
    <row r="141" spans="1:8">
      <c r="A141" s="114" t="s">
        <v>2226</v>
      </c>
      <c r="B141" s="114" t="s">
        <v>8192</v>
      </c>
      <c r="C141" s="121">
        <v>40742796</v>
      </c>
      <c r="D141" s="121">
        <v>43750487</v>
      </c>
      <c r="E141" s="121">
        <v>43750487</v>
      </c>
      <c r="F141" s="121">
        <v>40742796</v>
      </c>
      <c r="G141" s="121">
        <v>43750487</v>
      </c>
      <c r="H141" s="121">
        <v>40742796</v>
      </c>
    </row>
    <row r="142" spans="1:8">
      <c r="A142" s="114" t="s">
        <v>2227</v>
      </c>
      <c r="B142" s="114" t="s">
        <v>8193</v>
      </c>
      <c r="C142" s="121">
        <v>915043987</v>
      </c>
      <c r="D142" s="121">
        <v>922506267</v>
      </c>
      <c r="E142" s="121">
        <v>922506267</v>
      </c>
      <c r="F142" s="121">
        <v>915043987</v>
      </c>
      <c r="G142" s="121">
        <v>1512146707</v>
      </c>
      <c r="H142" s="121">
        <v>1504684427</v>
      </c>
    </row>
    <row r="143" spans="1:8">
      <c r="A143" s="114" t="s">
        <v>2788</v>
      </c>
      <c r="B143" s="114" t="s">
        <v>8194</v>
      </c>
      <c r="C143" s="121">
        <v>89258314</v>
      </c>
      <c r="D143" s="121">
        <v>90923744</v>
      </c>
      <c r="E143" s="121">
        <v>90923744</v>
      </c>
      <c r="F143" s="121">
        <v>89258314</v>
      </c>
      <c r="G143" s="121">
        <v>90923744</v>
      </c>
      <c r="H143" s="121">
        <v>89258314</v>
      </c>
    </row>
    <row r="144" spans="1:8">
      <c r="A144" s="114" t="s">
        <v>2904</v>
      </c>
      <c r="B144" s="114" t="s">
        <v>8195</v>
      </c>
      <c r="C144" s="121">
        <v>76876594</v>
      </c>
      <c r="D144" s="121">
        <v>78643044</v>
      </c>
      <c r="E144" s="121">
        <v>78643044</v>
      </c>
      <c r="F144" s="121">
        <v>76876594</v>
      </c>
      <c r="G144" s="121">
        <v>78643044</v>
      </c>
      <c r="H144" s="121">
        <v>76876594</v>
      </c>
    </row>
    <row r="145" spans="1:8">
      <c r="A145" s="114" t="s">
        <v>1840</v>
      </c>
      <c r="B145" s="114" t="s">
        <v>8196</v>
      </c>
      <c r="C145" s="121">
        <v>534828321</v>
      </c>
      <c r="D145" s="121">
        <v>551399901</v>
      </c>
      <c r="E145" s="121">
        <v>531439121</v>
      </c>
      <c r="F145" s="121">
        <v>514867541</v>
      </c>
      <c r="G145" s="121">
        <v>531439121</v>
      </c>
      <c r="H145" s="121">
        <v>514867541</v>
      </c>
    </row>
    <row r="146" spans="1:8">
      <c r="A146" s="114" t="s">
        <v>2789</v>
      </c>
      <c r="B146" s="114" t="s">
        <v>8197</v>
      </c>
      <c r="C146" s="121">
        <v>4648058789</v>
      </c>
      <c r="D146" s="121">
        <v>4699752799</v>
      </c>
      <c r="E146" s="121">
        <v>4574998739</v>
      </c>
      <c r="F146" s="121">
        <v>4523304729</v>
      </c>
      <c r="G146" s="121">
        <v>9017195181</v>
      </c>
      <c r="H146" s="121">
        <v>8965501171</v>
      </c>
    </row>
    <row r="147" spans="1:8">
      <c r="A147" s="114" t="s">
        <v>316</v>
      </c>
      <c r="B147" s="114" t="s">
        <v>8198</v>
      </c>
      <c r="C147" s="121">
        <v>310893929</v>
      </c>
      <c r="D147" s="121">
        <v>323115929</v>
      </c>
      <c r="E147" s="121">
        <v>308523504</v>
      </c>
      <c r="F147" s="121">
        <v>296301504</v>
      </c>
      <c r="G147" s="121">
        <v>308523504</v>
      </c>
      <c r="H147" s="121">
        <v>296301504</v>
      </c>
    </row>
    <row r="148" spans="1:8">
      <c r="A148" s="114" t="s">
        <v>1658</v>
      </c>
      <c r="B148" s="114" t="s">
        <v>8199</v>
      </c>
      <c r="C148" s="121">
        <v>138236637</v>
      </c>
      <c r="D148" s="121">
        <v>143786671</v>
      </c>
      <c r="E148" s="121">
        <v>143786671</v>
      </c>
      <c r="F148" s="121">
        <v>138236637</v>
      </c>
      <c r="G148" s="121">
        <v>143786671</v>
      </c>
      <c r="H148" s="121">
        <v>138236637</v>
      </c>
    </row>
    <row r="149" spans="1:8">
      <c r="A149" s="114" t="s">
        <v>50</v>
      </c>
      <c r="B149" s="114" t="s">
        <v>8200</v>
      </c>
      <c r="C149" s="121">
        <v>1033402418</v>
      </c>
      <c r="D149" s="121">
        <v>1076617610</v>
      </c>
      <c r="E149" s="121">
        <v>1076617610</v>
      </c>
      <c r="F149" s="121">
        <v>1033402418</v>
      </c>
      <c r="G149" s="121">
        <v>1076617610</v>
      </c>
      <c r="H149" s="121">
        <v>1033402418</v>
      </c>
    </row>
    <row r="150" spans="1:8">
      <c r="A150" s="114" t="s">
        <v>1486</v>
      </c>
      <c r="B150" s="114" t="s">
        <v>8201</v>
      </c>
      <c r="C150" s="121">
        <v>377544480</v>
      </c>
      <c r="D150" s="121">
        <v>396748210</v>
      </c>
      <c r="E150" s="121">
        <v>396748210</v>
      </c>
      <c r="F150" s="121">
        <v>377544480</v>
      </c>
      <c r="G150" s="121">
        <v>396748210</v>
      </c>
      <c r="H150" s="121">
        <v>377544480</v>
      </c>
    </row>
    <row r="151" spans="1:8">
      <c r="A151" s="114" t="s">
        <v>2907</v>
      </c>
      <c r="B151" s="114" t="s">
        <v>8202</v>
      </c>
      <c r="C151" s="121">
        <v>65700157</v>
      </c>
      <c r="D151" s="121">
        <v>68091560</v>
      </c>
      <c r="E151" s="121">
        <v>68091560</v>
      </c>
      <c r="F151" s="121">
        <v>65700157</v>
      </c>
      <c r="G151" s="121">
        <v>68091560</v>
      </c>
      <c r="H151" s="121">
        <v>65700157</v>
      </c>
    </row>
    <row r="152" spans="1:8">
      <c r="A152" s="114" t="s">
        <v>1659</v>
      </c>
      <c r="B152" s="114" t="s">
        <v>8203</v>
      </c>
      <c r="C152" s="121">
        <v>86629441</v>
      </c>
      <c r="D152" s="121">
        <v>89715148</v>
      </c>
      <c r="E152" s="121">
        <v>89715148</v>
      </c>
      <c r="F152" s="121">
        <v>86629441</v>
      </c>
      <c r="G152" s="121">
        <v>89715148</v>
      </c>
      <c r="H152" s="121">
        <v>86629441</v>
      </c>
    </row>
    <row r="153" spans="1:8">
      <c r="A153" s="114" t="s">
        <v>84</v>
      </c>
      <c r="B153" s="114" t="s">
        <v>8204</v>
      </c>
      <c r="C153" s="121">
        <v>416598127</v>
      </c>
      <c r="D153" s="121">
        <v>428583433</v>
      </c>
      <c r="E153" s="121">
        <v>428583433</v>
      </c>
      <c r="F153" s="121">
        <v>416598127</v>
      </c>
      <c r="G153" s="121">
        <v>428583433</v>
      </c>
      <c r="H153" s="121">
        <v>416598127</v>
      </c>
    </row>
    <row r="154" spans="1:8">
      <c r="A154" s="114" t="s">
        <v>2482</v>
      </c>
      <c r="B154" s="114" t="s">
        <v>8205</v>
      </c>
      <c r="C154" s="121">
        <v>325546771</v>
      </c>
      <c r="D154" s="121">
        <v>336503721</v>
      </c>
      <c r="E154" s="121">
        <v>336503721</v>
      </c>
      <c r="F154" s="121">
        <v>325546771</v>
      </c>
      <c r="G154" s="121">
        <v>336503721</v>
      </c>
      <c r="H154" s="121">
        <v>325546771</v>
      </c>
    </row>
    <row r="155" spans="1:8">
      <c r="A155" s="114" t="s">
        <v>814</v>
      </c>
      <c r="B155" s="114" t="s">
        <v>8206</v>
      </c>
      <c r="C155" s="121">
        <v>128884518</v>
      </c>
      <c r="D155" s="121">
        <v>135517508</v>
      </c>
      <c r="E155" s="121">
        <v>135517508</v>
      </c>
      <c r="F155" s="121">
        <v>128884518</v>
      </c>
      <c r="G155" s="121">
        <v>135517508</v>
      </c>
      <c r="H155" s="121">
        <v>128884518</v>
      </c>
    </row>
    <row r="156" spans="1:8">
      <c r="A156" s="114" t="s">
        <v>2483</v>
      </c>
      <c r="B156" s="114" t="s">
        <v>8207</v>
      </c>
      <c r="C156" s="121">
        <v>143635838</v>
      </c>
      <c r="D156" s="121">
        <v>145193058</v>
      </c>
      <c r="E156" s="121">
        <v>145193058</v>
      </c>
      <c r="F156" s="121">
        <v>143635838</v>
      </c>
      <c r="G156" s="121">
        <v>145193058</v>
      </c>
      <c r="H156" s="121">
        <v>143635838</v>
      </c>
    </row>
    <row r="157" spans="1:8">
      <c r="A157" s="114" t="s">
        <v>1883</v>
      </c>
      <c r="B157" s="114" t="s">
        <v>8208</v>
      </c>
      <c r="C157" s="121">
        <v>75790760</v>
      </c>
      <c r="D157" s="121">
        <v>77971980</v>
      </c>
      <c r="E157" s="121">
        <v>77971980</v>
      </c>
      <c r="F157" s="121">
        <v>75790760</v>
      </c>
      <c r="G157" s="121">
        <v>330586650</v>
      </c>
      <c r="H157" s="121">
        <v>328405430</v>
      </c>
    </row>
    <row r="158" spans="1:8">
      <c r="A158" s="114" t="s">
        <v>1884</v>
      </c>
      <c r="B158" s="114" t="s">
        <v>8209</v>
      </c>
      <c r="C158" s="121">
        <v>53340947</v>
      </c>
      <c r="D158" s="121">
        <v>55107250</v>
      </c>
      <c r="E158" s="121">
        <v>55107250</v>
      </c>
      <c r="F158" s="121">
        <v>53340947</v>
      </c>
      <c r="G158" s="121">
        <v>55107250</v>
      </c>
      <c r="H158" s="121">
        <v>53340947</v>
      </c>
    </row>
    <row r="159" spans="1:8">
      <c r="A159" s="114" t="s">
        <v>899</v>
      </c>
      <c r="B159" s="114" t="s">
        <v>8210</v>
      </c>
      <c r="C159" s="121">
        <v>353996327</v>
      </c>
      <c r="D159" s="121">
        <v>355028867</v>
      </c>
      <c r="E159" s="121">
        <v>355028867</v>
      </c>
      <c r="F159" s="121">
        <v>353996327</v>
      </c>
      <c r="G159" s="121">
        <v>355028867</v>
      </c>
      <c r="H159" s="121">
        <v>353996327</v>
      </c>
    </row>
    <row r="160" spans="1:8">
      <c r="A160" s="114" t="s">
        <v>900</v>
      </c>
      <c r="B160" s="114" t="s">
        <v>8211</v>
      </c>
      <c r="C160" s="121">
        <v>106300638</v>
      </c>
      <c r="D160" s="121">
        <v>110055198</v>
      </c>
      <c r="E160" s="121">
        <v>110055198</v>
      </c>
      <c r="F160" s="121">
        <v>106300638</v>
      </c>
      <c r="G160" s="121">
        <v>110055198</v>
      </c>
      <c r="H160" s="121">
        <v>106300638</v>
      </c>
    </row>
    <row r="161" spans="1:8">
      <c r="A161" s="114" t="s">
        <v>922</v>
      </c>
      <c r="B161" s="114" t="s">
        <v>8212</v>
      </c>
      <c r="C161" s="121">
        <v>141154009</v>
      </c>
      <c r="D161" s="121">
        <v>145136789</v>
      </c>
      <c r="E161" s="121">
        <v>142238849</v>
      </c>
      <c r="F161" s="121">
        <v>138256069</v>
      </c>
      <c r="G161" s="121">
        <v>211037809</v>
      </c>
      <c r="H161" s="121">
        <v>207055029</v>
      </c>
    </row>
    <row r="162" spans="1:8">
      <c r="A162" s="114" t="s">
        <v>630</v>
      </c>
      <c r="B162" s="114" t="s">
        <v>8213</v>
      </c>
      <c r="C162" s="121">
        <v>188175148</v>
      </c>
      <c r="D162" s="121">
        <v>198946089</v>
      </c>
      <c r="E162" s="121">
        <v>198946089</v>
      </c>
      <c r="F162" s="121">
        <v>188175148</v>
      </c>
      <c r="G162" s="121">
        <v>198946089</v>
      </c>
      <c r="H162" s="121">
        <v>188175148</v>
      </c>
    </row>
    <row r="163" spans="1:8">
      <c r="A163" s="114" t="s">
        <v>2712</v>
      </c>
      <c r="B163" s="114" t="s">
        <v>8214</v>
      </c>
      <c r="C163" s="121">
        <v>95300488</v>
      </c>
      <c r="D163" s="121">
        <v>98693798</v>
      </c>
      <c r="E163" s="121">
        <v>98693798</v>
      </c>
      <c r="F163" s="121">
        <v>95300488</v>
      </c>
      <c r="G163" s="121">
        <v>98693798</v>
      </c>
      <c r="H163" s="121">
        <v>95300488</v>
      </c>
    </row>
    <row r="164" spans="1:8">
      <c r="A164" s="114" t="s">
        <v>923</v>
      </c>
      <c r="B164" s="114" t="s">
        <v>8215</v>
      </c>
      <c r="C164" s="121">
        <v>113440592</v>
      </c>
      <c r="D164" s="121">
        <v>115949692</v>
      </c>
      <c r="E164" s="121">
        <v>115949692</v>
      </c>
      <c r="F164" s="121">
        <v>113440592</v>
      </c>
      <c r="G164" s="121">
        <v>115949692</v>
      </c>
      <c r="H164" s="121">
        <v>113440592</v>
      </c>
    </row>
    <row r="165" spans="1:8">
      <c r="A165" s="114" t="s">
        <v>638</v>
      </c>
      <c r="B165" s="114" t="s">
        <v>8216</v>
      </c>
      <c r="C165" s="121">
        <v>12373894065</v>
      </c>
      <c r="D165" s="121">
        <v>12588665884</v>
      </c>
      <c r="E165" s="121">
        <v>12588665884</v>
      </c>
      <c r="F165" s="121">
        <v>12373894065</v>
      </c>
      <c r="G165" s="121">
        <v>12588665884</v>
      </c>
      <c r="H165" s="121">
        <v>12373894065</v>
      </c>
    </row>
    <row r="166" spans="1:8">
      <c r="A166" s="114" t="s">
        <v>1841</v>
      </c>
      <c r="B166" s="114" t="s">
        <v>8217</v>
      </c>
      <c r="C166" s="121">
        <v>1037932830</v>
      </c>
      <c r="D166" s="121">
        <v>1068995616</v>
      </c>
      <c r="E166" s="121">
        <v>1068995616</v>
      </c>
      <c r="F166" s="121">
        <v>1037932830</v>
      </c>
      <c r="G166" s="121">
        <v>1068995616</v>
      </c>
      <c r="H166" s="121">
        <v>1037932830</v>
      </c>
    </row>
    <row r="167" spans="1:8">
      <c r="A167" s="114" t="s">
        <v>2862</v>
      </c>
      <c r="B167" s="114" t="s">
        <v>8218</v>
      </c>
      <c r="C167" s="121">
        <v>1148113957</v>
      </c>
      <c r="D167" s="121">
        <v>1172168014</v>
      </c>
      <c r="E167" s="121">
        <v>1172168014</v>
      </c>
      <c r="F167" s="121">
        <v>1148113957</v>
      </c>
      <c r="G167" s="121">
        <v>1172168014</v>
      </c>
      <c r="H167" s="121">
        <v>1148113957</v>
      </c>
    </row>
    <row r="168" spans="1:8">
      <c r="A168" s="114" t="s">
        <v>1900</v>
      </c>
      <c r="B168" s="114" t="s">
        <v>8219</v>
      </c>
      <c r="C168" s="121">
        <v>517142877</v>
      </c>
      <c r="D168" s="121">
        <v>534350676</v>
      </c>
      <c r="E168" s="121">
        <v>534350676</v>
      </c>
      <c r="F168" s="121">
        <v>517142877</v>
      </c>
      <c r="G168" s="121">
        <v>534350676</v>
      </c>
      <c r="H168" s="121">
        <v>517142877</v>
      </c>
    </row>
    <row r="169" spans="1:8">
      <c r="A169" s="114" t="s">
        <v>1605</v>
      </c>
      <c r="B169" s="114" t="s">
        <v>8220</v>
      </c>
      <c r="C169" s="121">
        <v>33521180480</v>
      </c>
      <c r="D169" s="121">
        <v>33984187742</v>
      </c>
      <c r="E169" s="121">
        <v>33984187742</v>
      </c>
      <c r="F169" s="121">
        <v>33521180480</v>
      </c>
      <c r="G169" s="121">
        <v>33984187742</v>
      </c>
      <c r="H169" s="121">
        <v>33521180480</v>
      </c>
    </row>
    <row r="170" spans="1:8">
      <c r="A170" s="114" t="s">
        <v>2895</v>
      </c>
      <c r="B170" s="114" t="s">
        <v>8221</v>
      </c>
      <c r="C170" s="121">
        <v>13918786847</v>
      </c>
      <c r="D170" s="121">
        <v>14171035120</v>
      </c>
      <c r="E170" s="121">
        <v>14171035120</v>
      </c>
      <c r="F170" s="121">
        <v>13918786847</v>
      </c>
      <c r="G170" s="121">
        <v>14171035120</v>
      </c>
      <c r="H170" s="121">
        <v>13918786847</v>
      </c>
    </row>
    <row r="171" spans="1:8">
      <c r="A171" s="114" t="s">
        <v>724</v>
      </c>
      <c r="B171" s="114" t="s">
        <v>8222</v>
      </c>
      <c r="C171" s="121">
        <v>975217429</v>
      </c>
      <c r="D171" s="121">
        <v>999873342</v>
      </c>
      <c r="E171" s="121">
        <v>999873342</v>
      </c>
      <c r="F171" s="121">
        <v>975217429</v>
      </c>
      <c r="G171" s="121">
        <v>999873342</v>
      </c>
      <c r="H171" s="121">
        <v>975217429</v>
      </c>
    </row>
    <row r="172" spans="1:8">
      <c r="A172" s="114" t="s">
        <v>725</v>
      </c>
      <c r="B172" s="114" t="s">
        <v>8223</v>
      </c>
      <c r="C172" s="121">
        <v>49322240323</v>
      </c>
      <c r="D172" s="121">
        <v>50010984443</v>
      </c>
      <c r="E172" s="121">
        <v>50010984443</v>
      </c>
      <c r="F172" s="121">
        <v>49322240323</v>
      </c>
      <c r="G172" s="121">
        <v>50010984443</v>
      </c>
      <c r="H172" s="121">
        <v>49322240323</v>
      </c>
    </row>
    <row r="173" spans="1:8">
      <c r="A173" s="114" t="s">
        <v>246</v>
      </c>
      <c r="B173" s="114" t="s">
        <v>8224</v>
      </c>
      <c r="C173" s="121">
        <v>950355138</v>
      </c>
      <c r="D173" s="121">
        <v>983206307</v>
      </c>
      <c r="E173" s="121">
        <v>983206307</v>
      </c>
      <c r="F173" s="121">
        <v>950355138</v>
      </c>
      <c r="G173" s="121">
        <v>983206307</v>
      </c>
      <c r="H173" s="121">
        <v>950355138</v>
      </c>
    </row>
    <row r="174" spans="1:8">
      <c r="A174" s="114" t="s">
        <v>1780</v>
      </c>
      <c r="B174" s="114" t="s">
        <v>8225</v>
      </c>
      <c r="C174" s="121">
        <v>6507777884</v>
      </c>
      <c r="D174" s="121">
        <v>6603855064</v>
      </c>
      <c r="E174" s="121">
        <v>6603855064</v>
      </c>
      <c r="F174" s="121">
        <v>6507777884</v>
      </c>
      <c r="G174" s="121">
        <v>6603855064</v>
      </c>
      <c r="H174" s="121">
        <v>6507777884</v>
      </c>
    </row>
    <row r="175" spans="1:8">
      <c r="A175" s="114" t="s">
        <v>1351</v>
      </c>
      <c r="B175" s="114" t="s">
        <v>8226</v>
      </c>
      <c r="C175" s="121">
        <v>5588664471</v>
      </c>
      <c r="D175" s="121">
        <v>5738090640</v>
      </c>
      <c r="E175" s="121">
        <v>5738090640</v>
      </c>
      <c r="F175" s="121">
        <v>5588664471</v>
      </c>
      <c r="G175" s="121">
        <v>5738090640</v>
      </c>
      <c r="H175" s="121">
        <v>5588664471</v>
      </c>
    </row>
    <row r="176" spans="1:8">
      <c r="A176" s="114" t="s">
        <v>990</v>
      </c>
      <c r="B176" s="114" t="s">
        <v>8227</v>
      </c>
      <c r="C176" s="121">
        <v>206485594</v>
      </c>
      <c r="D176" s="121">
        <v>214036988</v>
      </c>
      <c r="E176" s="121">
        <v>214036988</v>
      </c>
      <c r="F176" s="121">
        <v>206485594</v>
      </c>
      <c r="G176" s="121">
        <v>214036988</v>
      </c>
      <c r="H176" s="121">
        <v>206485594</v>
      </c>
    </row>
    <row r="177" spans="1:8">
      <c r="A177" s="114" t="s">
        <v>1619</v>
      </c>
      <c r="B177" s="114" t="s">
        <v>8228</v>
      </c>
      <c r="C177" s="121">
        <v>790021545</v>
      </c>
      <c r="D177" s="121">
        <v>816784611</v>
      </c>
      <c r="E177" s="121">
        <v>816784611</v>
      </c>
      <c r="F177" s="121">
        <v>790021545</v>
      </c>
      <c r="G177" s="121">
        <v>816784611</v>
      </c>
      <c r="H177" s="121">
        <v>790021545</v>
      </c>
    </row>
    <row r="178" spans="1:8">
      <c r="A178" s="114" t="s">
        <v>281</v>
      </c>
      <c r="B178" s="114" t="s">
        <v>8229</v>
      </c>
      <c r="C178" s="121">
        <v>2374836642</v>
      </c>
      <c r="D178" s="121">
        <v>2418480943</v>
      </c>
      <c r="E178" s="121">
        <v>2418480943</v>
      </c>
      <c r="F178" s="121">
        <v>2374836642</v>
      </c>
      <c r="G178" s="121">
        <v>2418480943</v>
      </c>
      <c r="H178" s="121">
        <v>2374836642</v>
      </c>
    </row>
    <row r="179" spans="1:8">
      <c r="A179" s="114" t="s">
        <v>282</v>
      </c>
      <c r="B179" s="114" t="s">
        <v>8230</v>
      </c>
      <c r="C179" s="121">
        <v>175815744</v>
      </c>
      <c r="D179" s="121">
        <v>180963062</v>
      </c>
      <c r="E179" s="121">
        <v>180963062</v>
      </c>
      <c r="F179" s="121">
        <v>175815744</v>
      </c>
      <c r="G179" s="121">
        <v>180963062</v>
      </c>
      <c r="H179" s="121">
        <v>175815744</v>
      </c>
    </row>
    <row r="180" spans="1:8">
      <c r="A180" s="114" t="s">
        <v>1617</v>
      </c>
      <c r="B180" s="114" t="s">
        <v>8231</v>
      </c>
      <c r="C180" s="121">
        <v>1080043239</v>
      </c>
      <c r="D180" s="121">
        <v>1105808948</v>
      </c>
      <c r="E180" s="121">
        <v>1105808948</v>
      </c>
      <c r="F180" s="121">
        <v>1080043239</v>
      </c>
      <c r="G180" s="121">
        <v>1105808948</v>
      </c>
      <c r="H180" s="121">
        <v>1080043239</v>
      </c>
    </row>
    <row r="181" spans="1:8">
      <c r="A181" s="114" t="s">
        <v>643</v>
      </c>
      <c r="B181" s="114" t="s">
        <v>8232</v>
      </c>
      <c r="C181" s="121">
        <v>777714802</v>
      </c>
      <c r="D181" s="121">
        <v>790708530</v>
      </c>
      <c r="E181" s="121">
        <v>790708530</v>
      </c>
      <c r="F181" s="121">
        <v>777714802</v>
      </c>
      <c r="G181" s="121">
        <v>790708530</v>
      </c>
      <c r="H181" s="121">
        <v>777714802</v>
      </c>
    </row>
    <row r="182" spans="1:8">
      <c r="A182" s="114" t="s">
        <v>34</v>
      </c>
      <c r="B182" s="114" t="s">
        <v>8233</v>
      </c>
      <c r="C182" s="121">
        <v>392370884</v>
      </c>
      <c r="D182" s="121">
        <v>404219716</v>
      </c>
      <c r="E182" s="121">
        <v>404219716</v>
      </c>
      <c r="F182" s="121">
        <v>392370884</v>
      </c>
      <c r="G182" s="121">
        <v>404219716</v>
      </c>
      <c r="H182" s="121">
        <v>392370884</v>
      </c>
    </row>
    <row r="183" spans="1:8">
      <c r="A183" s="114" t="s">
        <v>35</v>
      </c>
      <c r="B183" s="114" t="s">
        <v>8234</v>
      </c>
      <c r="C183" s="121">
        <v>4699587231</v>
      </c>
      <c r="D183" s="121">
        <v>4820128498</v>
      </c>
      <c r="E183" s="121">
        <v>4820128498</v>
      </c>
      <c r="F183" s="121">
        <v>4699587231</v>
      </c>
      <c r="G183" s="121">
        <v>4820128498</v>
      </c>
      <c r="H183" s="121">
        <v>4699587231</v>
      </c>
    </row>
    <row r="184" spans="1:8">
      <c r="A184" s="114" t="s">
        <v>1437</v>
      </c>
      <c r="B184" s="114" t="s">
        <v>8235</v>
      </c>
      <c r="C184" s="121">
        <v>15994952726</v>
      </c>
      <c r="D184" s="121">
        <v>16321307117</v>
      </c>
      <c r="E184" s="121">
        <v>15338009491</v>
      </c>
      <c r="F184" s="121">
        <v>15011655100</v>
      </c>
      <c r="G184" s="121">
        <v>15417118791</v>
      </c>
      <c r="H184" s="121">
        <v>15090764400</v>
      </c>
    </row>
    <row r="185" spans="1:8">
      <c r="A185" s="114" t="s">
        <v>2644</v>
      </c>
      <c r="B185" s="114" t="s">
        <v>8236</v>
      </c>
      <c r="C185" s="121">
        <v>419576475</v>
      </c>
      <c r="D185" s="121">
        <v>434534615</v>
      </c>
      <c r="E185" s="121">
        <v>434534615</v>
      </c>
      <c r="F185" s="121">
        <v>419576475</v>
      </c>
      <c r="G185" s="121">
        <v>573956585</v>
      </c>
      <c r="H185" s="121">
        <v>558998445</v>
      </c>
    </row>
    <row r="186" spans="1:8">
      <c r="A186" s="114" t="s">
        <v>2763</v>
      </c>
      <c r="B186" s="114" t="s">
        <v>8237</v>
      </c>
      <c r="C186" s="121">
        <v>228128076</v>
      </c>
      <c r="D186" s="121">
        <v>237719637</v>
      </c>
      <c r="E186" s="121">
        <v>237719637</v>
      </c>
      <c r="F186" s="121">
        <v>228128076</v>
      </c>
      <c r="G186" s="121">
        <v>237719637</v>
      </c>
      <c r="H186" s="121">
        <v>228128076</v>
      </c>
    </row>
    <row r="187" spans="1:8">
      <c r="A187" s="114" t="s">
        <v>2672</v>
      </c>
      <c r="B187" s="114" t="s">
        <v>8238</v>
      </c>
      <c r="C187" s="121">
        <v>60318313</v>
      </c>
      <c r="D187" s="121">
        <v>62528791</v>
      </c>
      <c r="E187" s="121">
        <v>62528791</v>
      </c>
      <c r="F187" s="121">
        <v>60318313</v>
      </c>
      <c r="G187" s="121">
        <v>62528791</v>
      </c>
      <c r="H187" s="121">
        <v>60318313</v>
      </c>
    </row>
    <row r="188" spans="1:8">
      <c r="A188" s="114" t="s">
        <v>2645</v>
      </c>
      <c r="B188" s="114" t="s">
        <v>8239</v>
      </c>
      <c r="C188" s="121">
        <v>27496423</v>
      </c>
      <c r="D188" s="121">
        <v>29111447</v>
      </c>
      <c r="E188" s="121">
        <v>29111447</v>
      </c>
      <c r="F188" s="121">
        <v>27496423</v>
      </c>
      <c r="G188" s="121">
        <v>29111447</v>
      </c>
      <c r="H188" s="121">
        <v>27496423</v>
      </c>
    </row>
    <row r="189" spans="1:8">
      <c r="A189" s="114" t="s">
        <v>2646</v>
      </c>
      <c r="B189" s="114" t="s">
        <v>8240</v>
      </c>
      <c r="C189" s="121">
        <v>135871845</v>
      </c>
      <c r="D189" s="121">
        <v>139227585</v>
      </c>
      <c r="E189" s="121">
        <v>139227585</v>
      </c>
      <c r="F189" s="121">
        <v>135871845</v>
      </c>
      <c r="G189" s="121">
        <v>139227585</v>
      </c>
      <c r="H189" s="121">
        <v>135871845</v>
      </c>
    </row>
    <row r="190" spans="1:8">
      <c r="A190" s="114" t="s">
        <v>331</v>
      </c>
      <c r="B190" s="114" t="s">
        <v>8241</v>
      </c>
      <c r="C190" s="121">
        <v>79427295</v>
      </c>
      <c r="D190" s="121">
        <v>81107375</v>
      </c>
      <c r="E190" s="121">
        <v>81107375</v>
      </c>
      <c r="F190" s="121">
        <v>79427295</v>
      </c>
      <c r="G190" s="121">
        <v>81107375</v>
      </c>
      <c r="H190" s="121">
        <v>79427295</v>
      </c>
    </row>
    <row r="191" spans="1:8">
      <c r="A191" s="114" t="s">
        <v>1607</v>
      </c>
      <c r="B191" s="114" t="s">
        <v>8242</v>
      </c>
      <c r="C191" s="121">
        <v>1012116291</v>
      </c>
      <c r="D191" s="121">
        <v>1042848903</v>
      </c>
      <c r="E191" s="121">
        <v>1042848903</v>
      </c>
      <c r="F191" s="121">
        <v>1012116291</v>
      </c>
      <c r="G191" s="121">
        <v>1042848903</v>
      </c>
      <c r="H191" s="121">
        <v>1012116291</v>
      </c>
    </row>
    <row r="192" spans="1:8">
      <c r="A192" s="114" t="s">
        <v>332</v>
      </c>
      <c r="B192" s="114" t="s">
        <v>8243</v>
      </c>
      <c r="C192" s="121">
        <v>299939221</v>
      </c>
      <c r="D192" s="121">
        <v>307573828</v>
      </c>
      <c r="E192" s="121">
        <v>307573828</v>
      </c>
      <c r="F192" s="121">
        <v>299939221</v>
      </c>
      <c r="G192" s="121">
        <v>485075400</v>
      </c>
      <c r="H192" s="121">
        <v>477440793</v>
      </c>
    </row>
    <row r="193" spans="1:8">
      <c r="A193" s="114" t="s">
        <v>2863</v>
      </c>
      <c r="B193" s="114" t="s">
        <v>8244</v>
      </c>
      <c r="C193" s="121">
        <v>248355820</v>
      </c>
      <c r="D193" s="121">
        <v>256139613</v>
      </c>
      <c r="E193" s="121">
        <v>256139613</v>
      </c>
      <c r="F193" s="121">
        <v>248355820</v>
      </c>
      <c r="G193" s="121">
        <v>256139613</v>
      </c>
      <c r="H193" s="121">
        <v>248355820</v>
      </c>
    </row>
    <row r="194" spans="1:8">
      <c r="A194" s="114" t="s">
        <v>333</v>
      </c>
      <c r="B194" s="114" t="s">
        <v>8245</v>
      </c>
      <c r="C194" s="121">
        <v>623632342</v>
      </c>
      <c r="D194" s="121">
        <v>643624340</v>
      </c>
      <c r="E194" s="121">
        <v>643624340</v>
      </c>
      <c r="F194" s="121">
        <v>623632342</v>
      </c>
      <c r="G194" s="121">
        <v>643624340</v>
      </c>
      <c r="H194" s="121">
        <v>623632342</v>
      </c>
    </row>
    <row r="195" spans="1:8">
      <c r="A195" s="114" t="s">
        <v>334</v>
      </c>
      <c r="B195" s="114" t="s">
        <v>8246</v>
      </c>
      <c r="C195" s="121">
        <v>144064763</v>
      </c>
      <c r="D195" s="121">
        <v>148706143</v>
      </c>
      <c r="E195" s="121">
        <v>148706143</v>
      </c>
      <c r="F195" s="121">
        <v>144064763</v>
      </c>
      <c r="G195" s="121">
        <v>148706143</v>
      </c>
      <c r="H195" s="121">
        <v>144064763</v>
      </c>
    </row>
    <row r="196" spans="1:8">
      <c r="A196" s="114" t="s">
        <v>335</v>
      </c>
      <c r="B196" s="114" t="s">
        <v>8247</v>
      </c>
      <c r="C196" s="121">
        <v>464174941</v>
      </c>
      <c r="D196" s="121">
        <v>469693305</v>
      </c>
      <c r="E196" s="121">
        <v>469693305</v>
      </c>
      <c r="F196" s="121">
        <v>464174941</v>
      </c>
      <c r="G196" s="121">
        <v>469693305</v>
      </c>
      <c r="H196" s="121">
        <v>464174941</v>
      </c>
    </row>
    <row r="197" spans="1:8">
      <c r="A197" s="114" t="s">
        <v>1962</v>
      </c>
      <c r="B197" s="114" t="s">
        <v>8248</v>
      </c>
      <c r="C197" s="121">
        <v>12490528</v>
      </c>
      <c r="D197" s="121">
        <v>12757393</v>
      </c>
      <c r="E197" s="121">
        <v>12757393</v>
      </c>
      <c r="F197" s="121">
        <v>12490528</v>
      </c>
      <c r="G197" s="121">
        <v>12757393</v>
      </c>
      <c r="H197" s="121">
        <v>12490528</v>
      </c>
    </row>
    <row r="198" spans="1:8">
      <c r="A198" s="114" t="s">
        <v>1963</v>
      </c>
      <c r="B198" s="114" t="s">
        <v>8249</v>
      </c>
      <c r="C198" s="121">
        <v>123066676</v>
      </c>
      <c r="D198" s="121">
        <v>124338898</v>
      </c>
      <c r="E198" s="121">
        <v>124338898</v>
      </c>
      <c r="F198" s="121">
        <v>123066676</v>
      </c>
      <c r="G198" s="121">
        <v>124338898</v>
      </c>
      <c r="H198" s="121">
        <v>123066676</v>
      </c>
    </row>
    <row r="199" spans="1:8">
      <c r="A199" s="114" t="s">
        <v>1492</v>
      </c>
      <c r="B199" s="114" t="s">
        <v>8250</v>
      </c>
      <c r="C199" s="121">
        <v>97074318</v>
      </c>
      <c r="D199" s="121">
        <v>100936541</v>
      </c>
      <c r="E199" s="121">
        <v>100936541</v>
      </c>
      <c r="F199" s="121">
        <v>97074318</v>
      </c>
      <c r="G199" s="121">
        <v>100936541</v>
      </c>
      <c r="H199" s="121">
        <v>97074318</v>
      </c>
    </row>
    <row r="200" spans="1:8">
      <c r="A200" s="114" t="s">
        <v>1267</v>
      </c>
      <c r="B200" s="114" t="s">
        <v>8251</v>
      </c>
      <c r="C200" s="121">
        <v>750632822</v>
      </c>
      <c r="D200" s="121">
        <v>785602338</v>
      </c>
      <c r="E200" s="121">
        <v>785602338</v>
      </c>
      <c r="F200" s="121">
        <v>750632822</v>
      </c>
      <c r="G200" s="121">
        <v>785602338</v>
      </c>
      <c r="H200" s="121">
        <v>750632822</v>
      </c>
    </row>
    <row r="201" spans="1:8">
      <c r="A201" s="114" t="s">
        <v>2462</v>
      </c>
      <c r="B201" s="114" t="s">
        <v>8252</v>
      </c>
      <c r="C201" s="121">
        <v>61369652</v>
      </c>
      <c r="D201" s="121">
        <v>64217402</v>
      </c>
      <c r="E201" s="121">
        <v>64217402</v>
      </c>
      <c r="F201" s="121">
        <v>61369652</v>
      </c>
      <c r="G201" s="121">
        <v>64217402</v>
      </c>
      <c r="H201" s="121">
        <v>61369652</v>
      </c>
    </row>
    <row r="202" spans="1:8">
      <c r="A202" s="114" t="s">
        <v>1268</v>
      </c>
      <c r="B202" s="114" t="s">
        <v>8253</v>
      </c>
      <c r="C202" s="121">
        <v>75756032</v>
      </c>
      <c r="D202" s="121">
        <v>78653692</v>
      </c>
      <c r="E202" s="121">
        <v>78653692</v>
      </c>
      <c r="F202" s="121">
        <v>75756032</v>
      </c>
      <c r="G202" s="121">
        <v>78653692</v>
      </c>
      <c r="H202" s="121">
        <v>75756032</v>
      </c>
    </row>
    <row r="203" spans="1:8">
      <c r="A203" s="114" t="s">
        <v>2752</v>
      </c>
      <c r="B203" s="114" t="s">
        <v>8254</v>
      </c>
      <c r="C203" s="121">
        <v>1360202764</v>
      </c>
      <c r="D203" s="121">
        <v>1428386767</v>
      </c>
      <c r="E203" s="121">
        <v>1428386767</v>
      </c>
      <c r="F203" s="121">
        <v>1360202764</v>
      </c>
      <c r="G203" s="121">
        <v>1428386767</v>
      </c>
      <c r="H203" s="121">
        <v>1360202764</v>
      </c>
    </row>
    <row r="204" spans="1:8">
      <c r="A204" s="114" t="s">
        <v>1269</v>
      </c>
      <c r="B204" s="114" t="s">
        <v>8255</v>
      </c>
      <c r="C204" s="121">
        <v>145347638</v>
      </c>
      <c r="D204" s="121">
        <v>147986438</v>
      </c>
      <c r="E204" s="121">
        <v>147074218</v>
      </c>
      <c r="F204" s="121">
        <v>144435418</v>
      </c>
      <c r="G204" s="121">
        <v>147074218</v>
      </c>
      <c r="H204" s="121">
        <v>144435418</v>
      </c>
    </row>
    <row r="205" spans="1:8">
      <c r="A205" s="114" t="s">
        <v>779</v>
      </c>
      <c r="B205" s="114" t="s">
        <v>8256</v>
      </c>
      <c r="C205" s="121">
        <v>845479578</v>
      </c>
      <c r="D205" s="121">
        <v>853043558</v>
      </c>
      <c r="E205" s="121">
        <v>853043558</v>
      </c>
      <c r="F205" s="121">
        <v>845479578</v>
      </c>
      <c r="G205" s="121">
        <v>853043558</v>
      </c>
      <c r="H205" s="121">
        <v>845479578</v>
      </c>
    </row>
    <row r="206" spans="1:8">
      <c r="A206" s="114" t="s">
        <v>780</v>
      </c>
      <c r="B206" s="114" t="s">
        <v>8257</v>
      </c>
      <c r="C206" s="121">
        <v>1215926398</v>
      </c>
      <c r="D206" s="121">
        <v>1222549308</v>
      </c>
      <c r="E206" s="121">
        <v>1219351678</v>
      </c>
      <c r="F206" s="121">
        <v>1212728768</v>
      </c>
      <c r="G206" s="121">
        <v>1219351678</v>
      </c>
      <c r="H206" s="121">
        <v>1212728768</v>
      </c>
    </row>
    <row r="207" spans="1:8">
      <c r="A207" s="114" t="s">
        <v>781</v>
      </c>
      <c r="B207" s="114" t="s">
        <v>8258</v>
      </c>
      <c r="C207" s="121">
        <v>96882890</v>
      </c>
      <c r="D207" s="121">
        <v>100607869</v>
      </c>
      <c r="E207" s="121">
        <v>100607869</v>
      </c>
      <c r="F207" s="121">
        <v>96882890</v>
      </c>
      <c r="G207" s="121">
        <v>244171731</v>
      </c>
      <c r="H207" s="121">
        <v>240446752</v>
      </c>
    </row>
    <row r="208" spans="1:8">
      <c r="A208" s="114" t="s">
        <v>782</v>
      </c>
      <c r="B208" s="114" t="s">
        <v>8259</v>
      </c>
      <c r="C208" s="121">
        <v>153292687</v>
      </c>
      <c r="D208" s="121">
        <v>155535711</v>
      </c>
      <c r="E208" s="121">
        <v>155535711</v>
      </c>
      <c r="F208" s="121">
        <v>153292687</v>
      </c>
      <c r="G208" s="121">
        <v>177662829</v>
      </c>
      <c r="H208" s="121">
        <v>175419805</v>
      </c>
    </row>
    <row r="209" spans="1:8">
      <c r="A209" s="114" t="s">
        <v>428</v>
      </c>
      <c r="B209" s="114" t="s">
        <v>8260</v>
      </c>
      <c r="C209" s="121">
        <v>125675085</v>
      </c>
      <c r="D209" s="121">
        <v>129220067</v>
      </c>
      <c r="E209" s="121">
        <v>129220067</v>
      </c>
      <c r="F209" s="121">
        <v>125675085</v>
      </c>
      <c r="G209" s="121">
        <v>129220067</v>
      </c>
      <c r="H209" s="121">
        <v>125675085</v>
      </c>
    </row>
    <row r="210" spans="1:8">
      <c r="A210" s="114" t="s">
        <v>2928</v>
      </c>
      <c r="B210" s="114" t="s">
        <v>8261</v>
      </c>
      <c r="C210" s="121">
        <v>1454809084</v>
      </c>
      <c r="D210" s="121">
        <v>1458132303</v>
      </c>
      <c r="E210" s="121">
        <v>1458132303</v>
      </c>
      <c r="F210" s="121">
        <v>1454809084</v>
      </c>
      <c r="G210" s="121">
        <v>1458132303</v>
      </c>
      <c r="H210" s="121">
        <v>1454809084</v>
      </c>
    </row>
    <row r="211" spans="1:8">
      <c r="A211" s="114" t="s">
        <v>2929</v>
      </c>
      <c r="B211" s="114" t="s">
        <v>8262</v>
      </c>
      <c r="C211" s="121">
        <v>1139451605</v>
      </c>
      <c r="D211" s="121">
        <v>1153928475</v>
      </c>
      <c r="E211" s="121">
        <v>1153928475</v>
      </c>
      <c r="F211" s="121">
        <v>1139451605</v>
      </c>
      <c r="G211" s="121">
        <v>1153928475</v>
      </c>
      <c r="H211" s="121">
        <v>1139451605</v>
      </c>
    </row>
    <row r="212" spans="1:8">
      <c r="A212" s="114" t="s">
        <v>2930</v>
      </c>
      <c r="B212" s="114" t="s">
        <v>8263</v>
      </c>
      <c r="C212" s="121">
        <v>177579234</v>
      </c>
      <c r="D212" s="121">
        <v>178518346</v>
      </c>
      <c r="E212" s="121">
        <v>178518346</v>
      </c>
      <c r="F212" s="121">
        <v>177579234</v>
      </c>
      <c r="G212" s="121">
        <v>178518346</v>
      </c>
      <c r="H212" s="121">
        <v>177579234</v>
      </c>
    </row>
    <row r="213" spans="1:8">
      <c r="A213" s="114" t="s">
        <v>1843</v>
      </c>
      <c r="B213" s="114" t="s">
        <v>8264</v>
      </c>
      <c r="C213" s="121">
        <v>17640166543</v>
      </c>
      <c r="D213" s="121">
        <v>17892844975</v>
      </c>
      <c r="E213" s="121">
        <v>17892844975</v>
      </c>
      <c r="F213" s="121">
        <v>17640166543</v>
      </c>
      <c r="G213" s="121">
        <v>17892844975</v>
      </c>
      <c r="H213" s="121">
        <v>17640166543</v>
      </c>
    </row>
    <row r="214" spans="1:8">
      <c r="A214" s="114" t="s">
        <v>421</v>
      </c>
      <c r="B214" s="114" t="s">
        <v>8265</v>
      </c>
      <c r="C214" s="121">
        <v>3159732197</v>
      </c>
      <c r="D214" s="121">
        <v>3259092077</v>
      </c>
      <c r="E214" s="121">
        <v>3259092077</v>
      </c>
      <c r="F214" s="121">
        <v>3159732197</v>
      </c>
      <c r="G214" s="121">
        <v>3259092077</v>
      </c>
      <c r="H214" s="121">
        <v>3159732197</v>
      </c>
    </row>
    <row r="215" spans="1:8">
      <c r="A215" s="114" t="s">
        <v>422</v>
      </c>
      <c r="B215" s="114" t="s">
        <v>8266</v>
      </c>
      <c r="C215" s="121">
        <v>109014214941</v>
      </c>
      <c r="D215" s="121">
        <v>110485192123</v>
      </c>
      <c r="E215" s="121">
        <v>108447147413</v>
      </c>
      <c r="F215" s="121">
        <v>106976170231</v>
      </c>
      <c r="G215" s="121">
        <v>108447147413</v>
      </c>
      <c r="H215" s="121">
        <v>106976170231</v>
      </c>
    </row>
    <row r="216" spans="1:8">
      <c r="A216" s="114" t="s">
        <v>423</v>
      </c>
      <c r="B216" s="114" t="s">
        <v>8267</v>
      </c>
      <c r="C216" s="121">
        <v>2738493775</v>
      </c>
      <c r="D216" s="121">
        <v>2855942981</v>
      </c>
      <c r="E216" s="121">
        <v>2855942981</v>
      </c>
      <c r="F216" s="121">
        <v>2738493775</v>
      </c>
      <c r="G216" s="121">
        <v>2855942981</v>
      </c>
      <c r="H216" s="121">
        <v>2738493775</v>
      </c>
    </row>
    <row r="217" spans="1:8">
      <c r="A217" s="114" t="s">
        <v>424</v>
      </c>
      <c r="B217" s="114" t="s">
        <v>8268</v>
      </c>
      <c r="C217" s="121">
        <v>4169410481</v>
      </c>
      <c r="D217" s="121">
        <v>4300007651</v>
      </c>
      <c r="E217" s="121">
        <v>4300007651</v>
      </c>
      <c r="F217" s="121">
        <v>4169410481</v>
      </c>
      <c r="G217" s="121">
        <v>4300007651</v>
      </c>
      <c r="H217" s="121">
        <v>4169410481</v>
      </c>
    </row>
    <row r="218" spans="1:8">
      <c r="A218" s="114" t="s">
        <v>2973</v>
      </c>
      <c r="B218" s="114" t="s">
        <v>8269</v>
      </c>
      <c r="C218" s="121">
        <v>17059618230</v>
      </c>
      <c r="D218" s="121">
        <v>17600224704</v>
      </c>
      <c r="E218" s="121">
        <v>17600224704</v>
      </c>
      <c r="F218" s="121">
        <v>17059618230</v>
      </c>
      <c r="G218" s="121">
        <v>17600224704</v>
      </c>
      <c r="H218" s="121">
        <v>17059618230</v>
      </c>
    </row>
    <row r="219" spans="1:8">
      <c r="A219" s="114" t="s">
        <v>741</v>
      </c>
      <c r="B219" s="114" t="s">
        <v>8270</v>
      </c>
      <c r="C219" s="121">
        <v>6155517260</v>
      </c>
      <c r="D219" s="121">
        <v>6344034512</v>
      </c>
      <c r="E219" s="121">
        <v>6344034512</v>
      </c>
      <c r="F219" s="121">
        <v>6155517260</v>
      </c>
      <c r="G219" s="121">
        <v>6344034512</v>
      </c>
      <c r="H219" s="121">
        <v>6155517260</v>
      </c>
    </row>
    <row r="220" spans="1:8">
      <c r="A220" s="114" t="s">
        <v>579</v>
      </c>
      <c r="B220" s="114" t="s">
        <v>8271</v>
      </c>
      <c r="C220" s="121">
        <v>16171478886</v>
      </c>
      <c r="D220" s="121">
        <v>16253617077</v>
      </c>
      <c r="E220" s="121">
        <v>14907196769</v>
      </c>
      <c r="F220" s="121">
        <v>14825058578</v>
      </c>
      <c r="G220" s="121">
        <v>14907196769</v>
      </c>
      <c r="H220" s="121">
        <v>14825058578</v>
      </c>
    </row>
    <row r="221" spans="1:8">
      <c r="A221" s="114" t="s">
        <v>48</v>
      </c>
      <c r="B221" s="114" t="s">
        <v>8272</v>
      </c>
      <c r="C221" s="121">
        <v>11048251778</v>
      </c>
      <c r="D221" s="121">
        <v>11262199650</v>
      </c>
      <c r="E221" s="121">
        <v>11262199650</v>
      </c>
      <c r="F221" s="121">
        <v>11048251778</v>
      </c>
      <c r="G221" s="121">
        <v>11262199650</v>
      </c>
      <c r="H221" s="121">
        <v>11048251778</v>
      </c>
    </row>
    <row r="222" spans="1:8">
      <c r="A222" s="114" t="s">
        <v>2028</v>
      </c>
      <c r="B222" s="114" t="s">
        <v>8273</v>
      </c>
      <c r="C222" s="121">
        <v>2242113139</v>
      </c>
      <c r="D222" s="121">
        <v>2313519653</v>
      </c>
      <c r="E222" s="121">
        <v>2313519653</v>
      </c>
      <c r="F222" s="121">
        <v>2242113139</v>
      </c>
      <c r="G222" s="121">
        <v>2313519653</v>
      </c>
      <c r="H222" s="121">
        <v>2242113139</v>
      </c>
    </row>
    <row r="223" spans="1:8">
      <c r="A223" s="114" t="s">
        <v>2898</v>
      </c>
      <c r="B223" s="114" t="s">
        <v>8274</v>
      </c>
      <c r="C223" s="121">
        <v>7411450496</v>
      </c>
      <c r="D223" s="121">
        <v>7672538420</v>
      </c>
      <c r="E223" s="121">
        <v>7672538420</v>
      </c>
      <c r="F223" s="121">
        <v>7411450496</v>
      </c>
      <c r="G223" s="121">
        <v>7672538420</v>
      </c>
      <c r="H223" s="121">
        <v>7411450496</v>
      </c>
    </row>
    <row r="224" spans="1:8">
      <c r="A224" s="114" t="s">
        <v>2029</v>
      </c>
      <c r="B224" s="114" t="s">
        <v>8275</v>
      </c>
      <c r="C224" s="121">
        <v>21702824452</v>
      </c>
      <c r="D224" s="121">
        <v>22109927747</v>
      </c>
      <c r="E224" s="121">
        <v>21557925665</v>
      </c>
      <c r="F224" s="121">
        <v>21150822370</v>
      </c>
      <c r="G224" s="121">
        <v>21557925665</v>
      </c>
      <c r="H224" s="121">
        <v>21150822370</v>
      </c>
    </row>
    <row r="225" spans="1:8">
      <c r="A225" s="114" t="s">
        <v>3087</v>
      </c>
      <c r="B225" s="114" t="s">
        <v>8276</v>
      </c>
      <c r="C225" s="121">
        <v>1089905615</v>
      </c>
      <c r="D225" s="121">
        <v>1106748115</v>
      </c>
      <c r="E225" s="121">
        <v>1106748115</v>
      </c>
      <c r="F225" s="121">
        <v>1089905615</v>
      </c>
      <c r="G225" s="121">
        <v>1106748115</v>
      </c>
      <c r="H225" s="121">
        <v>1089905615</v>
      </c>
    </row>
    <row r="226" spans="1:8">
      <c r="A226" s="114" t="s">
        <v>277</v>
      </c>
      <c r="B226" s="114" t="s">
        <v>8277</v>
      </c>
      <c r="C226" s="121">
        <v>10924832803</v>
      </c>
      <c r="D226" s="121">
        <v>11038630023</v>
      </c>
      <c r="E226" s="121">
        <v>11038630023</v>
      </c>
      <c r="F226" s="121">
        <v>10924832803</v>
      </c>
      <c r="G226" s="121">
        <v>11038630023</v>
      </c>
      <c r="H226" s="121">
        <v>10924832803</v>
      </c>
    </row>
    <row r="227" spans="1:8">
      <c r="A227" s="114" t="s">
        <v>278</v>
      </c>
      <c r="B227" s="114" t="s">
        <v>8278</v>
      </c>
      <c r="C227" s="121">
        <v>97979023</v>
      </c>
      <c r="D227" s="121">
        <v>98573445</v>
      </c>
      <c r="E227" s="121">
        <v>98573445</v>
      </c>
      <c r="F227" s="121">
        <v>97979023</v>
      </c>
      <c r="G227" s="121">
        <v>98573445</v>
      </c>
      <c r="H227" s="121">
        <v>97979023</v>
      </c>
    </row>
    <row r="228" spans="1:8">
      <c r="A228" s="114" t="s">
        <v>279</v>
      </c>
      <c r="B228" s="114" t="s">
        <v>8279</v>
      </c>
      <c r="C228" s="121">
        <v>800493312</v>
      </c>
      <c r="D228" s="121">
        <v>801864502</v>
      </c>
      <c r="E228" s="121">
        <v>800358877</v>
      </c>
      <c r="F228" s="121">
        <v>798987687</v>
      </c>
      <c r="G228" s="121">
        <v>800358877</v>
      </c>
      <c r="H228" s="121">
        <v>798987687</v>
      </c>
    </row>
    <row r="229" spans="1:8">
      <c r="A229" s="114" t="s">
        <v>280</v>
      </c>
      <c r="B229" s="114" t="s">
        <v>8280</v>
      </c>
      <c r="C229" s="121">
        <v>432914849</v>
      </c>
      <c r="D229" s="121">
        <v>449134749</v>
      </c>
      <c r="E229" s="121">
        <v>449134749</v>
      </c>
      <c r="F229" s="121">
        <v>432914849</v>
      </c>
      <c r="G229" s="121">
        <v>688403219</v>
      </c>
      <c r="H229" s="121">
        <v>672183319</v>
      </c>
    </row>
    <row r="230" spans="1:8">
      <c r="A230" s="114" t="s">
        <v>408</v>
      </c>
      <c r="B230" s="114" t="s">
        <v>8281</v>
      </c>
      <c r="C230" s="121">
        <v>524832482</v>
      </c>
      <c r="D230" s="121">
        <v>526096221</v>
      </c>
      <c r="E230" s="121">
        <v>524929709</v>
      </c>
      <c r="F230" s="121">
        <v>523665970</v>
      </c>
      <c r="G230" s="121">
        <v>524929709</v>
      </c>
      <c r="H230" s="121">
        <v>523665970</v>
      </c>
    </row>
    <row r="231" spans="1:8">
      <c r="A231" s="114" t="s">
        <v>2130</v>
      </c>
      <c r="B231" s="114" t="s">
        <v>8282</v>
      </c>
      <c r="C231" s="121">
        <v>1236413071</v>
      </c>
      <c r="D231" s="121">
        <v>1264925212</v>
      </c>
      <c r="E231" s="121">
        <v>1264925212</v>
      </c>
      <c r="F231" s="121">
        <v>1236413071</v>
      </c>
      <c r="G231" s="121">
        <v>1461089612</v>
      </c>
      <c r="H231" s="121">
        <v>1432577471</v>
      </c>
    </row>
    <row r="232" spans="1:8">
      <c r="A232" s="114" t="s">
        <v>1220</v>
      </c>
      <c r="B232" s="114" t="s">
        <v>8283</v>
      </c>
      <c r="C232" s="121">
        <v>107948813</v>
      </c>
      <c r="D232" s="121">
        <v>108208213</v>
      </c>
      <c r="E232" s="121">
        <v>108208213</v>
      </c>
      <c r="F232" s="121">
        <v>107948813</v>
      </c>
      <c r="G232" s="121">
        <v>108208213</v>
      </c>
      <c r="H232" s="121">
        <v>107948813</v>
      </c>
    </row>
    <row r="233" spans="1:8">
      <c r="A233" s="114" t="s">
        <v>1221</v>
      </c>
      <c r="B233" s="114" t="s">
        <v>8284</v>
      </c>
      <c r="C233" s="121">
        <v>187138316</v>
      </c>
      <c r="D233" s="121">
        <v>198216189</v>
      </c>
      <c r="E233" s="121">
        <v>198216189</v>
      </c>
      <c r="F233" s="121">
        <v>187138316</v>
      </c>
      <c r="G233" s="121">
        <v>198216189</v>
      </c>
      <c r="H233" s="121">
        <v>187138316</v>
      </c>
    </row>
    <row r="234" spans="1:8">
      <c r="A234" s="114" t="s">
        <v>711</v>
      </c>
      <c r="B234" s="114" t="s">
        <v>8285</v>
      </c>
      <c r="C234" s="121">
        <v>49600980</v>
      </c>
      <c r="D234" s="121">
        <v>52476020</v>
      </c>
      <c r="E234" s="121">
        <v>52476020</v>
      </c>
      <c r="F234" s="121">
        <v>49600980</v>
      </c>
      <c r="G234" s="121">
        <v>52476020</v>
      </c>
      <c r="H234" s="121">
        <v>49600980</v>
      </c>
    </row>
    <row r="235" spans="1:8">
      <c r="A235" s="114" t="s">
        <v>1222</v>
      </c>
      <c r="B235" s="114" t="s">
        <v>8286</v>
      </c>
      <c r="C235" s="121">
        <v>15880412646</v>
      </c>
      <c r="D235" s="121">
        <v>16200904513</v>
      </c>
      <c r="E235" s="121">
        <v>16200904513</v>
      </c>
      <c r="F235" s="121">
        <v>15880412646</v>
      </c>
      <c r="G235" s="121">
        <v>16200904513</v>
      </c>
      <c r="H235" s="121">
        <v>15880412646</v>
      </c>
    </row>
    <row r="236" spans="1:8">
      <c r="A236" s="114" t="s">
        <v>1989</v>
      </c>
      <c r="B236" s="114" t="s">
        <v>8287</v>
      </c>
      <c r="C236" s="121">
        <v>35374847539</v>
      </c>
      <c r="D236" s="121">
        <v>35956411162</v>
      </c>
      <c r="E236" s="121">
        <v>35956411162</v>
      </c>
      <c r="F236" s="121">
        <v>35374847539</v>
      </c>
      <c r="G236" s="121">
        <v>35956411162</v>
      </c>
      <c r="H236" s="121">
        <v>35374847539</v>
      </c>
    </row>
    <row r="237" spans="1:8">
      <c r="A237" s="114" t="s">
        <v>240</v>
      </c>
      <c r="B237" s="114" t="s">
        <v>8288</v>
      </c>
      <c r="C237" s="121">
        <v>693309094</v>
      </c>
      <c r="D237" s="121">
        <v>710180185</v>
      </c>
      <c r="E237" s="121">
        <v>710180185</v>
      </c>
      <c r="F237" s="121">
        <v>693309094</v>
      </c>
      <c r="G237" s="121">
        <v>710180185</v>
      </c>
      <c r="H237" s="121">
        <v>693309094</v>
      </c>
    </row>
    <row r="238" spans="1:8">
      <c r="A238" s="114" t="s">
        <v>815</v>
      </c>
      <c r="B238" s="114" t="s">
        <v>8289</v>
      </c>
      <c r="C238" s="121">
        <v>728315727</v>
      </c>
      <c r="D238" s="121">
        <v>748251660</v>
      </c>
      <c r="E238" s="121">
        <v>748251660</v>
      </c>
      <c r="F238" s="121">
        <v>728315727</v>
      </c>
      <c r="G238" s="121">
        <v>748251660</v>
      </c>
      <c r="H238" s="121">
        <v>728315727</v>
      </c>
    </row>
    <row r="239" spans="1:8">
      <c r="A239" s="114" t="s">
        <v>242</v>
      </c>
      <c r="B239" s="114" t="s">
        <v>8290</v>
      </c>
      <c r="C239" s="121">
        <v>595807915</v>
      </c>
      <c r="D239" s="121">
        <v>608822635</v>
      </c>
      <c r="E239" s="121">
        <v>608822635</v>
      </c>
      <c r="F239" s="121">
        <v>595807915</v>
      </c>
      <c r="G239" s="121">
        <v>608822635</v>
      </c>
      <c r="H239" s="121">
        <v>595807915</v>
      </c>
    </row>
    <row r="240" spans="1:8">
      <c r="A240" s="114" t="s">
        <v>1893</v>
      </c>
      <c r="B240" s="114" t="s">
        <v>8291</v>
      </c>
      <c r="C240" s="121">
        <v>940562587</v>
      </c>
      <c r="D240" s="121">
        <v>966347927</v>
      </c>
      <c r="E240" s="121">
        <v>966347927</v>
      </c>
      <c r="F240" s="121">
        <v>940562587</v>
      </c>
      <c r="G240" s="121">
        <v>966347927</v>
      </c>
      <c r="H240" s="121">
        <v>940562587</v>
      </c>
    </row>
    <row r="241" spans="1:8">
      <c r="A241" s="114" t="s">
        <v>532</v>
      </c>
      <c r="B241" s="114" t="s">
        <v>8292</v>
      </c>
      <c r="C241" s="121">
        <v>1000294530</v>
      </c>
      <c r="D241" s="121">
        <v>1029680161</v>
      </c>
      <c r="E241" s="121">
        <v>1029680161</v>
      </c>
      <c r="F241" s="121">
        <v>1000294530</v>
      </c>
      <c r="G241" s="121">
        <v>1029680161</v>
      </c>
      <c r="H241" s="121">
        <v>1000294530</v>
      </c>
    </row>
    <row r="242" spans="1:8">
      <c r="A242" s="114" t="s">
        <v>2099</v>
      </c>
      <c r="B242" s="114" t="s">
        <v>8293</v>
      </c>
      <c r="C242" s="121">
        <v>1770038909</v>
      </c>
      <c r="D242" s="121">
        <v>1797675755</v>
      </c>
      <c r="E242" s="121">
        <v>1797675755</v>
      </c>
      <c r="F242" s="121">
        <v>1770038909</v>
      </c>
      <c r="G242" s="121">
        <v>1797675755</v>
      </c>
      <c r="H242" s="121">
        <v>1770038909</v>
      </c>
    </row>
    <row r="243" spans="1:8">
      <c r="A243" s="114" t="s">
        <v>1590</v>
      </c>
      <c r="B243" s="114" t="s">
        <v>8294</v>
      </c>
      <c r="C243" s="121">
        <v>14709020466</v>
      </c>
      <c r="D243" s="121">
        <v>14931073379</v>
      </c>
      <c r="E243" s="121">
        <v>14931073379</v>
      </c>
      <c r="F243" s="121">
        <v>14709020466</v>
      </c>
      <c r="G243" s="121">
        <v>14931073379</v>
      </c>
      <c r="H243" s="121">
        <v>14709020466</v>
      </c>
    </row>
    <row r="244" spans="1:8">
      <c r="A244" s="114" t="s">
        <v>68</v>
      </c>
      <c r="B244" s="114" t="s">
        <v>8295</v>
      </c>
      <c r="C244" s="121">
        <v>1707460357</v>
      </c>
      <c r="D244" s="121">
        <v>1755698214</v>
      </c>
      <c r="E244" s="121">
        <v>1755698214</v>
      </c>
      <c r="F244" s="121">
        <v>1707460357</v>
      </c>
      <c r="G244" s="121">
        <v>1755698214</v>
      </c>
      <c r="H244" s="121">
        <v>1707460357</v>
      </c>
    </row>
    <row r="245" spans="1:8">
      <c r="A245" s="114" t="s">
        <v>712</v>
      </c>
      <c r="B245" s="114" t="s">
        <v>8296</v>
      </c>
      <c r="C245" s="121">
        <v>3773452079</v>
      </c>
      <c r="D245" s="121">
        <v>3865118227</v>
      </c>
      <c r="E245" s="121">
        <v>3865118227</v>
      </c>
      <c r="F245" s="121">
        <v>3773452079</v>
      </c>
      <c r="G245" s="121">
        <v>3865118227</v>
      </c>
      <c r="H245" s="121">
        <v>3773452079</v>
      </c>
    </row>
    <row r="246" spans="1:8">
      <c r="A246" s="114" t="s">
        <v>2864</v>
      </c>
      <c r="B246" s="114" t="s">
        <v>8297</v>
      </c>
      <c r="C246" s="121">
        <v>1111983487</v>
      </c>
      <c r="D246" s="121">
        <v>1129869477</v>
      </c>
      <c r="E246" s="121">
        <v>1129869477</v>
      </c>
      <c r="F246" s="121">
        <v>1111983487</v>
      </c>
      <c r="G246" s="121">
        <v>1129869477</v>
      </c>
      <c r="H246" s="121">
        <v>1111983487</v>
      </c>
    </row>
    <row r="247" spans="1:8">
      <c r="A247" s="114" t="s">
        <v>2100</v>
      </c>
      <c r="B247" s="114" t="s">
        <v>8298</v>
      </c>
      <c r="C247" s="121">
        <v>440250775</v>
      </c>
      <c r="D247" s="121">
        <v>442237715</v>
      </c>
      <c r="E247" s="121">
        <v>442237715</v>
      </c>
      <c r="F247" s="121">
        <v>440250775</v>
      </c>
      <c r="G247" s="121">
        <v>442237715</v>
      </c>
      <c r="H247" s="121">
        <v>440250775</v>
      </c>
    </row>
    <row r="248" spans="1:8">
      <c r="A248" s="114" t="s">
        <v>1352</v>
      </c>
      <c r="B248" s="114" t="s">
        <v>8299</v>
      </c>
      <c r="C248" s="121">
        <v>635243936</v>
      </c>
      <c r="D248" s="121">
        <v>654021549</v>
      </c>
      <c r="E248" s="121">
        <v>654021549</v>
      </c>
      <c r="F248" s="121">
        <v>635243936</v>
      </c>
      <c r="G248" s="121">
        <v>1074391199</v>
      </c>
      <c r="H248" s="121">
        <v>1055613586</v>
      </c>
    </row>
    <row r="249" spans="1:8">
      <c r="A249" s="114" t="s">
        <v>2101</v>
      </c>
      <c r="B249" s="114" t="s">
        <v>8300</v>
      </c>
      <c r="C249" s="121">
        <v>1404491222</v>
      </c>
      <c r="D249" s="121">
        <v>1413507392</v>
      </c>
      <c r="E249" s="121">
        <v>1413507392</v>
      </c>
      <c r="F249" s="121">
        <v>1404491222</v>
      </c>
      <c r="G249" s="121">
        <v>1413507392</v>
      </c>
      <c r="H249" s="121">
        <v>1404491222</v>
      </c>
    </row>
    <row r="250" spans="1:8">
      <c r="A250" s="114" t="s">
        <v>796</v>
      </c>
      <c r="B250" s="114" t="s">
        <v>8301</v>
      </c>
      <c r="C250" s="121">
        <v>807470798</v>
      </c>
      <c r="D250" s="121">
        <v>808738908</v>
      </c>
      <c r="E250" s="121">
        <v>808738908</v>
      </c>
      <c r="F250" s="121">
        <v>807470798</v>
      </c>
      <c r="G250" s="121">
        <v>808738908</v>
      </c>
      <c r="H250" s="121">
        <v>807470798</v>
      </c>
    </row>
    <row r="251" spans="1:8">
      <c r="A251" s="114" t="s">
        <v>330</v>
      </c>
      <c r="B251" s="114" t="s">
        <v>8302</v>
      </c>
      <c r="C251" s="121">
        <v>75883609</v>
      </c>
      <c r="D251" s="121">
        <v>79195896</v>
      </c>
      <c r="E251" s="121">
        <v>79195896</v>
      </c>
      <c r="F251" s="121">
        <v>75883609</v>
      </c>
      <c r="G251" s="121">
        <v>79195896</v>
      </c>
      <c r="H251" s="121">
        <v>75883609</v>
      </c>
    </row>
    <row r="252" spans="1:8">
      <c r="A252" s="114" t="s">
        <v>203</v>
      </c>
      <c r="B252" s="114" t="s">
        <v>8303</v>
      </c>
      <c r="C252" s="121">
        <v>126922270</v>
      </c>
      <c r="D252" s="121">
        <v>129691500</v>
      </c>
      <c r="E252" s="121">
        <v>129691500</v>
      </c>
      <c r="F252" s="121">
        <v>126922270</v>
      </c>
      <c r="G252" s="121">
        <v>193966500</v>
      </c>
      <c r="H252" s="121">
        <v>191197270</v>
      </c>
    </row>
    <row r="253" spans="1:8">
      <c r="A253" s="114" t="s">
        <v>204</v>
      </c>
      <c r="B253" s="114" t="s">
        <v>8304</v>
      </c>
      <c r="C253" s="121">
        <v>86073862</v>
      </c>
      <c r="D253" s="121">
        <v>86528342</v>
      </c>
      <c r="E253" s="121">
        <v>86528342</v>
      </c>
      <c r="F253" s="121">
        <v>86073862</v>
      </c>
      <c r="G253" s="121">
        <v>86528342</v>
      </c>
      <c r="H253" s="121">
        <v>86073862</v>
      </c>
    </row>
    <row r="254" spans="1:8">
      <c r="A254" s="114" t="s">
        <v>816</v>
      </c>
      <c r="B254" s="114" t="s">
        <v>8305</v>
      </c>
      <c r="C254" s="121">
        <v>5275975041</v>
      </c>
      <c r="D254" s="121">
        <v>5292622629</v>
      </c>
      <c r="E254" s="121">
        <v>5279548503</v>
      </c>
      <c r="F254" s="121">
        <v>5262900915</v>
      </c>
      <c r="G254" s="121">
        <v>5279548503</v>
      </c>
      <c r="H254" s="121">
        <v>5262900915</v>
      </c>
    </row>
    <row r="255" spans="1:8">
      <c r="A255" s="114" t="s">
        <v>3025</v>
      </c>
      <c r="B255" s="114" t="s">
        <v>8306</v>
      </c>
      <c r="C255" s="121">
        <v>151695030</v>
      </c>
      <c r="D255" s="121">
        <v>157502612</v>
      </c>
      <c r="E255" s="121">
        <v>157502612</v>
      </c>
      <c r="F255" s="121">
        <v>151695030</v>
      </c>
      <c r="G255" s="121">
        <v>301409452</v>
      </c>
      <c r="H255" s="121">
        <v>295601870</v>
      </c>
    </row>
    <row r="256" spans="1:8">
      <c r="A256" s="114" t="s">
        <v>1753</v>
      </c>
      <c r="B256" s="114" t="s">
        <v>8307</v>
      </c>
      <c r="C256" s="121">
        <v>57324640</v>
      </c>
      <c r="D256" s="121">
        <v>57985577</v>
      </c>
      <c r="E256" s="121">
        <v>57985577</v>
      </c>
      <c r="F256" s="121">
        <v>57324640</v>
      </c>
      <c r="G256" s="121">
        <v>57985577</v>
      </c>
      <c r="H256" s="121">
        <v>57324640</v>
      </c>
    </row>
    <row r="257" spans="1:8">
      <c r="A257" s="114" t="s">
        <v>3026</v>
      </c>
      <c r="B257" s="114" t="s">
        <v>8308</v>
      </c>
      <c r="C257" s="121">
        <v>25382074</v>
      </c>
      <c r="D257" s="121">
        <v>25684358</v>
      </c>
      <c r="E257" s="121">
        <v>25472051</v>
      </c>
      <c r="F257" s="121">
        <v>25169767</v>
      </c>
      <c r="G257" s="121">
        <v>25472051</v>
      </c>
      <c r="H257" s="121">
        <v>25169767</v>
      </c>
    </row>
    <row r="258" spans="1:8">
      <c r="A258" s="114" t="s">
        <v>3027</v>
      </c>
      <c r="B258" s="114" t="s">
        <v>8309</v>
      </c>
      <c r="C258" s="121">
        <v>212017818</v>
      </c>
      <c r="D258" s="121">
        <v>215630462</v>
      </c>
      <c r="E258" s="121">
        <v>215630462</v>
      </c>
      <c r="F258" s="121">
        <v>212017818</v>
      </c>
      <c r="G258" s="121">
        <v>215630462</v>
      </c>
      <c r="H258" s="121">
        <v>212017818</v>
      </c>
    </row>
    <row r="259" spans="1:8">
      <c r="A259" s="114" t="s">
        <v>817</v>
      </c>
      <c r="B259" s="114" t="s">
        <v>8310</v>
      </c>
      <c r="C259" s="121">
        <v>213928660</v>
      </c>
      <c r="D259" s="121">
        <v>222406564</v>
      </c>
      <c r="E259" s="121">
        <v>222406564</v>
      </c>
      <c r="F259" s="121">
        <v>213928660</v>
      </c>
      <c r="G259" s="121">
        <v>222406564</v>
      </c>
      <c r="H259" s="121">
        <v>213928660</v>
      </c>
    </row>
    <row r="260" spans="1:8">
      <c r="A260" s="114" t="s">
        <v>776</v>
      </c>
      <c r="B260" s="114" t="s">
        <v>8311</v>
      </c>
      <c r="C260" s="121">
        <v>270953548</v>
      </c>
      <c r="D260" s="121">
        <v>276916939</v>
      </c>
      <c r="E260" s="121">
        <v>273332417</v>
      </c>
      <c r="F260" s="121">
        <v>267369026</v>
      </c>
      <c r="G260" s="121">
        <v>273332417</v>
      </c>
      <c r="H260" s="121">
        <v>267369026</v>
      </c>
    </row>
    <row r="261" spans="1:8">
      <c r="A261" s="114" t="s">
        <v>2463</v>
      </c>
      <c r="B261" s="114" t="s">
        <v>8312</v>
      </c>
      <c r="C261" s="121">
        <v>427705337</v>
      </c>
      <c r="D261" s="121">
        <v>438350787</v>
      </c>
      <c r="E261" s="121">
        <v>438350787</v>
      </c>
      <c r="F261" s="121">
        <v>427705337</v>
      </c>
      <c r="G261" s="121">
        <v>438350787</v>
      </c>
      <c r="H261" s="121">
        <v>427705337</v>
      </c>
    </row>
    <row r="262" spans="1:8">
      <c r="A262" s="114" t="s">
        <v>2620</v>
      </c>
      <c r="B262" s="114" t="s">
        <v>8313</v>
      </c>
      <c r="C262" s="121">
        <v>484289050</v>
      </c>
      <c r="D262" s="121">
        <v>498101180</v>
      </c>
      <c r="E262" s="121">
        <v>498101180</v>
      </c>
      <c r="F262" s="121">
        <v>484289050</v>
      </c>
      <c r="G262" s="121">
        <v>498101180</v>
      </c>
      <c r="H262" s="121">
        <v>484289050</v>
      </c>
    </row>
    <row r="263" spans="1:8">
      <c r="A263" s="114" t="s">
        <v>2007</v>
      </c>
      <c r="B263" s="114" t="s">
        <v>8314</v>
      </c>
      <c r="C263" s="121">
        <v>120395588</v>
      </c>
      <c r="D263" s="121">
        <v>123981724</v>
      </c>
      <c r="E263" s="121">
        <v>123981724</v>
      </c>
      <c r="F263" s="121">
        <v>120395588</v>
      </c>
      <c r="G263" s="121">
        <v>123981724</v>
      </c>
      <c r="H263" s="121">
        <v>120395588</v>
      </c>
    </row>
    <row r="264" spans="1:8">
      <c r="A264" s="114" t="s">
        <v>672</v>
      </c>
      <c r="B264" s="114" t="s">
        <v>8315</v>
      </c>
      <c r="C264" s="121">
        <v>133610041</v>
      </c>
      <c r="D264" s="121">
        <v>137534761</v>
      </c>
      <c r="E264" s="121">
        <v>137534761</v>
      </c>
      <c r="F264" s="121">
        <v>133610041</v>
      </c>
      <c r="G264" s="121">
        <v>137534761</v>
      </c>
      <c r="H264" s="121">
        <v>133610041</v>
      </c>
    </row>
    <row r="265" spans="1:8">
      <c r="A265" s="114" t="s">
        <v>1034</v>
      </c>
      <c r="B265" s="114" t="s">
        <v>8316</v>
      </c>
      <c r="C265" s="121">
        <v>48560012</v>
      </c>
      <c r="D265" s="121">
        <v>51369192</v>
      </c>
      <c r="E265" s="121">
        <v>51369192</v>
      </c>
      <c r="F265" s="121">
        <v>48560012</v>
      </c>
      <c r="G265" s="121">
        <v>51369192</v>
      </c>
      <c r="H265" s="121">
        <v>48560012</v>
      </c>
    </row>
    <row r="266" spans="1:8">
      <c r="A266" s="114" t="s">
        <v>2442</v>
      </c>
      <c r="B266" s="114" t="s">
        <v>8317</v>
      </c>
      <c r="C266" s="121">
        <v>12907761222</v>
      </c>
      <c r="D266" s="121">
        <v>13168020794</v>
      </c>
      <c r="E266" s="121">
        <v>12772938486</v>
      </c>
      <c r="F266" s="121">
        <v>12512678914</v>
      </c>
      <c r="G266" s="121">
        <v>12772938486</v>
      </c>
      <c r="H266" s="121">
        <v>12512678914</v>
      </c>
    </row>
    <row r="267" spans="1:8">
      <c r="A267" s="114" t="s">
        <v>2976</v>
      </c>
      <c r="B267" s="114" t="s">
        <v>8318</v>
      </c>
      <c r="C267" s="121">
        <v>299289912</v>
      </c>
      <c r="D267" s="121">
        <v>302417623</v>
      </c>
      <c r="E267" s="121">
        <v>302417623</v>
      </c>
      <c r="F267" s="121">
        <v>299289912</v>
      </c>
      <c r="G267" s="121">
        <v>302417623</v>
      </c>
      <c r="H267" s="121">
        <v>299289912</v>
      </c>
    </row>
    <row r="268" spans="1:8">
      <c r="A268" s="114" t="s">
        <v>2745</v>
      </c>
      <c r="B268" s="114" t="s">
        <v>8319</v>
      </c>
      <c r="C268" s="121">
        <v>245531261</v>
      </c>
      <c r="D268" s="121">
        <v>249706943</v>
      </c>
      <c r="E268" s="121">
        <v>249706943</v>
      </c>
      <c r="F268" s="121">
        <v>245531261</v>
      </c>
      <c r="G268" s="121">
        <v>249706943</v>
      </c>
      <c r="H268" s="121">
        <v>245531261</v>
      </c>
    </row>
    <row r="269" spans="1:8">
      <c r="A269" s="114" t="s">
        <v>274</v>
      </c>
      <c r="B269" s="114" t="s">
        <v>8320</v>
      </c>
      <c r="C269" s="121">
        <v>36619680</v>
      </c>
      <c r="D269" s="121">
        <v>37934779</v>
      </c>
      <c r="E269" s="121">
        <v>37934779</v>
      </c>
      <c r="F269" s="121">
        <v>36619680</v>
      </c>
      <c r="G269" s="121">
        <v>37934779</v>
      </c>
      <c r="H269" s="121">
        <v>36619680</v>
      </c>
    </row>
    <row r="270" spans="1:8">
      <c r="A270" s="114" t="s">
        <v>1585</v>
      </c>
      <c r="B270" s="114" t="s">
        <v>8321</v>
      </c>
      <c r="C270" s="121">
        <v>1944548804</v>
      </c>
      <c r="D270" s="121">
        <v>1989624350</v>
      </c>
      <c r="E270" s="121">
        <v>1989624350</v>
      </c>
      <c r="F270" s="121">
        <v>1944548804</v>
      </c>
      <c r="G270" s="121">
        <v>1989624350</v>
      </c>
      <c r="H270" s="121">
        <v>1944548804</v>
      </c>
    </row>
    <row r="271" spans="1:8">
      <c r="A271" s="114" t="s">
        <v>1586</v>
      </c>
      <c r="B271" s="114" t="s">
        <v>8322</v>
      </c>
      <c r="C271" s="121">
        <v>356006456</v>
      </c>
      <c r="D271" s="121">
        <v>371939856</v>
      </c>
      <c r="E271" s="121">
        <v>371939856</v>
      </c>
      <c r="F271" s="121">
        <v>356006456</v>
      </c>
      <c r="G271" s="121">
        <v>371939856</v>
      </c>
      <c r="H271" s="121">
        <v>356006456</v>
      </c>
    </row>
    <row r="272" spans="1:8">
      <c r="A272" s="114" t="s">
        <v>818</v>
      </c>
      <c r="B272" s="114" t="s">
        <v>8323</v>
      </c>
      <c r="C272" s="121">
        <v>111831029</v>
      </c>
      <c r="D272" s="121">
        <v>117147885</v>
      </c>
      <c r="E272" s="121">
        <v>117147885</v>
      </c>
      <c r="F272" s="121">
        <v>111831029</v>
      </c>
      <c r="G272" s="121">
        <v>117147885</v>
      </c>
      <c r="H272" s="121">
        <v>111831029</v>
      </c>
    </row>
    <row r="273" spans="1:8">
      <c r="A273" s="114" t="s">
        <v>1581</v>
      </c>
      <c r="B273" s="114" t="s">
        <v>8324</v>
      </c>
      <c r="C273" s="121">
        <v>3829478048</v>
      </c>
      <c r="D273" s="121">
        <v>3926158757</v>
      </c>
      <c r="E273" s="121">
        <v>3807104812</v>
      </c>
      <c r="F273" s="121">
        <v>3710424103</v>
      </c>
      <c r="G273" s="121">
        <v>3807104812</v>
      </c>
      <c r="H273" s="121">
        <v>3710424103</v>
      </c>
    </row>
    <row r="274" spans="1:8">
      <c r="A274" s="114" t="s">
        <v>1049</v>
      </c>
      <c r="B274" s="114" t="s">
        <v>8325</v>
      </c>
      <c r="C274" s="121">
        <v>76628221</v>
      </c>
      <c r="D274" s="121">
        <v>78855541</v>
      </c>
      <c r="E274" s="121">
        <v>78855541</v>
      </c>
      <c r="F274" s="121">
        <v>76628221</v>
      </c>
      <c r="G274" s="121">
        <v>78855541</v>
      </c>
      <c r="H274" s="121">
        <v>76628221</v>
      </c>
    </row>
    <row r="275" spans="1:8">
      <c r="A275" s="114" t="s">
        <v>275</v>
      </c>
      <c r="B275" s="114" t="s">
        <v>8326</v>
      </c>
      <c r="C275" s="121">
        <v>253052430</v>
      </c>
      <c r="D275" s="121">
        <v>263990785</v>
      </c>
      <c r="E275" s="121">
        <v>263990785</v>
      </c>
      <c r="F275" s="121">
        <v>253052430</v>
      </c>
      <c r="G275" s="121">
        <v>263990785</v>
      </c>
      <c r="H275" s="121">
        <v>253052430</v>
      </c>
    </row>
    <row r="276" spans="1:8">
      <c r="A276" s="114" t="s">
        <v>2382</v>
      </c>
      <c r="B276" s="114" t="s">
        <v>8327</v>
      </c>
      <c r="C276" s="121">
        <v>1641323173</v>
      </c>
      <c r="D276" s="121">
        <v>1703896388</v>
      </c>
      <c r="E276" s="121">
        <v>1703896388</v>
      </c>
      <c r="F276" s="121">
        <v>1641323173</v>
      </c>
      <c r="G276" s="121">
        <v>1744233798</v>
      </c>
      <c r="H276" s="121">
        <v>1681660583</v>
      </c>
    </row>
    <row r="277" spans="1:8">
      <c r="A277" s="114" t="s">
        <v>375</v>
      </c>
      <c r="B277" s="114" t="s">
        <v>8328</v>
      </c>
      <c r="C277" s="121">
        <v>3636766486</v>
      </c>
      <c r="D277" s="121">
        <v>3729493271</v>
      </c>
      <c r="E277" s="121">
        <v>3729493271</v>
      </c>
      <c r="F277" s="121">
        <v>3636766486</v>
      </c>
      <c r="G277" s="121">
        <v>3729493271</v>
      </c>
      <c r="H277" s="121">
        <v>3636766486</v>
      </c>
    </row>
    <row r="278" spans="1:8">
      <c r="A278" s="114" t="s">
        <v>819</v>
      </c>
      <c r="B278" s="114" t="s">
        <v>8329</v>
      </c>
      <c r="C278" s="121">
        <v>311052304</v>
      </c>
      <c r="D278" s="121">
        <v>321966129</v>
      </c>
      <c r="E278" s="121">
        <v>321966129</v>
      </c>
      <c r="F278" s="121">
        <v>311052304</v>
      </c>
      <c r="G278" s="121">
        <v>321966129</v>
      </c>
      <c r="H278" s="121">
        <v>311052304</v>
      </c>
    </row>
    <row r="279" spans="1:8">
      <c r="A279" s="114" t="s">
        <v>629</v>
      </c>
      <c r="B279" s="114" t="s">
        <v>8330</v>
      </c>
      <c r="C279" s="121">
        <v>1174155494</v>
      </c>
      <c r="D279" s="121">
        <v>1235491579</v>
      </c>
      <c r="E279" s="121">
        <v>1235491579</v>
      </c>
      <c r="F279" s="121">
        <v>1174155494</v>
      </c>
      <c r="G279" s="121">
        <v>1235491579</v>
      </c>
      <c r="H279" s="121">
        <v>1174155494</v>
      </c>
    </row>
    <row r="280" spans="1:8">
      <c r="A280" s="114" t="s">
        <v>2767</v>
      </c>
      <c r="B280" s="114" t="s">
        <v>8331</v>
      </c>
      <c r="C280" s="121">
        <v>16005600484</v>
      </c>
      <c r="D280" s="121">
        <v>16552662560</v>
      </c>
      <c r="E280" s="121">
        <v>16552662560</v>
      </c>
      <c r="F280" s="121">
        <v>16005600484</v>
      </c>
      <c r="G280" s="121">
        <v>16552662560</v>
      </c>
      <c r="H280" s="121">
        <v>16005600484</v>
      </c>
    </row>
    <row r="281" spans="1:8">
      <c r="A281" s="114" t="s">
        <v>878</v>
      </c>
      <c r="B281" s="114" t="s">
        <v>8332</v>
      </c>
      <c r="C281" s="121">
        <v>189510833</v>
      </c>
      <c r="D281" s="121">
        <v>197641441</v>
      </c>
      <c r="E281" s="121">
        <v>197641441</v>
      </c>
      <c r="F281" s="121">
        <v>189510833</v>
      </c>
      <c r="G281" s="121">
        <v>197641441</v>
      </c>
      <c r="H281" s="121">
        <v>189510833</v>
      </c>
    </row>
    <row r="282" spans="1:8">
      <c r="A282" s="114" t="s">
        <v>212</v>
      </c>
      <c r="B282" s="114" t="s">
        <v>8333</v>
      </c>
      <c r="C282" s="121">
        <v>218393949</v>
      </c>
      <c r="D282" s="121">
        <v>232019363</v>
      </c>
      <c r="E282" s="121">
        <v>232019363</v>
      </c>
      <c r="F282" s="121">
        <v>218393949</v>
      </c>
      <c r="G282" s="121">
        <v>232019363</v>
      </c>
      <c r="H282" s="121">
        <v>218393949</v>
      </c>
    </row>
    <row r="283" spans="1:8">
      <c r="A283" s="114" t="s">
        <v>1353</v>
      </c>
      <c r="B283" s="114" t="s">
        <v>8334</v>
      </c>
      <c r="C283" s="121">
        <v>6935937618</v>
      </c>
      <c r="D283" s="121">
        <v>7295590554</v>
      </c>
      <c r="E283" s="121">
        <v>6914200610</v>
      </c>
      <c r="F283" s="121">
        <v>6554547674</v>
      </c>
      <c r="G283" s="121">
        <v>6914200610</v>
      </c>
      <c r="H283" s="121">
        <v>6554547674</v>
      </c>
    </row>
    <row r="284" spans="1:8">
      <c r="A284" s="114" t="s">
        <v>2401</v>
      </c>
      <c r="B284" s="114" t="s">
        <v>8335</v>
      </c>
      <c r="C284" s="121">
        <v>189334863</v>
      </c>
      <c r="D284" s="121">
        <v>196461163</v>
      </c>
      <c r="E284" s="121">
        <v>196461163</v>
      </c>
      <c r="F284" s="121">
        <v>189334863</v>
      </c>
      <c r="G284" s="121">
        <v>196461163</v>
      </c>
      <c r="H284" s="121">
        <v>189334863</v>
      </c>
    </row>
    <row r="285" spans="1:8">
      <c r="A285" s="114" t="s">
        <v>2157</v>
      </c>
      <c r="B285" s="114" t="s">
        <v>8336</v>
      </c>
      <c r="C285" s="121">
        <v>2026246267</v>
      </c>
      <c r="D285" s="121">
        <v>2078616158</v>
      </c>
      <c r="E285" s="121">
        <v>2078616158</v>
      </c>
      <c r="F285" s="121">
        <v>2026246267</v>
      </c>
      <c r="G285" s="121">
        <v>2078616158</v>
      </c>
      <c r="H285" s="121">
        <v>2026246267</v>
      </c>
    </row>
    <row r="286" spans="1:8">
      <c r="A286" s="114" t="s">
        <v>1710</v>
      </c>
      <c r="B286" s="114" t="s">
        <v>8337</v>
      </c>
      <c r="C286" s="121">
        <v>72213379</v>
      </c>
      <c r="D286" s="121">
        <v>74375814</v>
      </c>
      <c r="E286" s="121">
        <v>74375814</v>
      </c>
      <c r="F286" s="121">
        <v>72213379</v>
      </c>
      <c r="G286" s="121">
        <v>74375814</v>
      </c>
      <c r="H286" s="121">
        <v>72213379</v>
      </c>
    </row>
    <row r="287" spans="1:8">
      <c r="A287" s="114" t="s">
        <v>1315</v>
      </c>
      <c r="B287" s="114" t="s">
        <v>8338</v>
      </c>
      <c r="C287" s="121">
        <v>9509261688</v>
      </c>
      <c r="D287" s="121">
        <v>9920508299</v>
      </c>
      <c r="E287" s="121">
        <v>9920508299</v>
      </c>
      <c r="F287" s="121">
        <v>9509261688</v>
      </c>
      <c r="G287" s="121">
        <v>9920508299</v>
      </c>
      <c r="H287" s="121">
        <v>9509261688</v>
      </c>
    </row>
    <row r="288" spans="1:8">
      <c r="A288" s="114" t="s">
        <v>2768</v>
      </c>
      <c r="B288" s="114" t="s">
        <v>8339</v>
      </c>
      <c r="C288" s="121">
        <v>49448923</v>
      </c>
      <c r="D288" s="121">
        <v>50739203</v>
      </c>
      <c r="E288" s="121">
        <v>50739203</v>
      </c>
      <c r="F288" s="121">
        <v>49448923</v>
      </c>
      <c r="G288" s="121">
        <v>50739203</v>
      </c>
      <c r="H288" s="121">
        <v>49448923</v>
      </c>
    </row>
    <row r="289" spans="1:8">
      <c r="A289" s="114" t="s">
        <v>2769</v>
      </c>
      <c r="B289" s="114" t="s">
        <v>8340</v>
      </c>
      <c r="C289" s="121">
        <v>319560192</v>
      </c>
      <c r="D289" s="121">
        <v>332405638</v>
      </c>
      <c r="E289" s="121">
        <v>332405638</v>
      </c>
      <c r="F289" s="121">
        <v>319560192</v>
      </c>
      <c r="G289" s="121">
        <v>332405638</v>
      </c>
      <c r="H289" s="121">
        <v>319560192</v>
      </c>
    </row>
    <row r="290" spans="1:8">
      <c r="A290" s="114" t="s">
        <v>1704</v>
      </c>
      <c r="B290" s="114" t="s">
        <v>8341</v>
      </c>
      <c r="C290" s="121">
        <v>1670321409</v>
      </c>
      <c r="D290" s="121">
        <v>1712540737</v>
      </c>
      <c r="E290" s="121">
        <v>1712540737</v>
      </c>
      <c r="F290" s="121">
        <v>1670321409</v>
      </c>
      <c r="G290" s="121">
        <v>1712540737</v>
      </c>
      <c r="H290" s="121">
        <v>1670321409</v>
      </c>
    </row>
    <row r="291" spans="1:8">
      <c r="A291" s="114" t="s">
        <v>2091</v>
      </c>
      <c r="B291" s="114" t="s">
        <v>8342</v>
      </c>
      <c r="C291" s="121">
        <v>140371642</v>
      </c>
      <c r="D291" s="121">
        <v>143331272</v>
      </c>
      <c r="E291" s="121">
        <v>143331272</v>
      </c>
      <c r="F291" s="121">
        <v>140371642</v>
      </c>
      <c r="G291" s="121">
        <v>143331272</v>
      </c>
      <c r="H291" s="121">
        <v>140371642</v>
      </c>
    </row>
    <row r="292" spans="1:8">
      <c r="A292" s="114" t="s">
        <v>2092</v>
      </c>
      <c r="B292" s="114" t="s">
        <v>8343</v>
      </c>
      <c r="C292" s="121">
        <v>143008316</v>
      </c>
      <c r="D292" s="121">
        <v>146374767</v>
      </c>
      <c r="E292" s="121">
        <v>146374767</v>
      </c>
      <c r="F292" s="121">
        <v>143008316</v>
      </c>
      <c r="G292" s="121">
        <v>146374767</v>
      </c>
      <c r="H292" s="121">
        <v>143008316</v>
      </c>
    </row>
    <row r="293" spans="1:8">
      <c r="A293" s="114" t="s">
        <v>1400</v>
      </c>
      <c r="B293" s="114" t="s">
        <v>8344</v>
      </c>
      <c r="C293" s="121">
        <v>88239533</v>
      </c>
      <c r="D293" s="121">
        <v>90584723</v>
      </c>
      <c r="E293" s="121">
        <v>90584723</v>
      </c>
      <c r="F293" s="121">
        <v>88239533</v>
      </c>
      <c r="G293" s="121">
        <v>111684723</v>
      </c>
      <c r="H293" s="121">
        <v>109339533</v>
      </c>
    </row>
    <row r="294" spans="1:8">
      <c r="A294" s="114" t="s">
        <v>2093</v>
      </c>
      <c r="B294" s="114" t="s">
        <v>8345</v>
      </c>
      <c r="C294" s="121">
        <v>93738770</v>
      </c>
      <c r="D294" s="121">
        <v>96289480</v>
      </c>
      <c r="E294" s="121">
        <v>96289480</v>
      </c>
      <c r="F294" s="121">
        <v>93738770</v>
      </c>
      <c r="G294" s="121">
        <v>96289480</v>
      </c>
      <c r="H294" s="121">
        <v>93738770</v>
      </c>
    </row>
    <row r="295" spans="1:8">
      <c r="A295" s="114" t="s">
        <v>229</v>
      </c>
      <c r="B295" s="114" t="s">
        <v>8346</v>
      </c>
      <c r="C295" s="121">
        <v>60889119</v>
      </c>
      <c r="D295" s="121">
        <v>64267970</v>
      </c>
      <c r="E295" s="121">
        <v>64267970</v>
      </c>
      <c r="F295" s="121">
        <v>60889119</v>
      </c>
      <c r="G295" s="121">
        <v>64267970</v>
      </c>
      <c r="H295" s="121">
        <v>60889119</v>
      </c>
    </row>
    <row r="296" spans="1:8">
      <c r="A296" s="114" t="s">
        <v>2095</v>
      </c>
      <c r="B296" s="114" t="s">
        <v>8347</v>
      </c>
      <c r="C296" s="121">
        <v>238020679</v>
      </c>
      <c r="D296" s="121">
        <v>249635015</v>
      </c>
      <c r="E296" s="121">
        <v>249635015</v>
      </c>
      <c r="F296" s="121">
        <v>238020679</v>
      </c>
      <c r="G296" s="121">
        <v>249635015</v>
      </c>
      <c r="H296" s="121">
        <v>238020679</v>
      </c>
    </row>
    <row r="297" spans="1:8">
      <c r="A297" s="114" t="s">
        <v>2103</v>
      </c>
      <c r="B297" s="114" t="s">
        <v>8348</v>
      </c>
      <c r="C297" s="121">
        <v>17972784</v>
      </c>
      <c r="D297" s="121">
        <v>19117643</v>
      </c>
      <c r="E297" s="121">
        <v>19117643</v>
      </c>
      <c r="F297" s="121">
        <v>17972784</v>
      </c>
      <c r="G297" s="121">
        <v>19117643</v>
      </c>
      <c r="H297" s="121">
        <v>17972784</v>
      </c>
    </row>
    <row r="298" spans="1:8">
      <c r="A298" s="114" t="s">
        <v>230</v>
      </c>
      <c r="B298" s="114" t="s">
        <v>8349</v>
      </c>
      <c r="C298" s="121">
        <v>295583326</v>
      </c>
      <c r="D298" s="121">
        <v>304435468</v>
      </c>
      <c r="E298" s="121">
        <v>304435468</v>
      </c>
      <c r="F298" s="121">
        <v>295583326</v>
      </c>
      <c r="G298" s="121">
        <v>304435468</v>
      </c>
      <c r="H298" s="121">
        <v>295583326</v>
      </c>
    </row>
    <row r="299" spans="1:8">
      <c r="A299" s="114" t="s">
        <v>231</v>
      </c>
      <c r="B299" s="114" t="s">
        <v>8350</v>
      </c>
      <c r="C299" s="121">
        <v>639979430</v>
      </c>
      <c r="D299" s="121">
        <v>670441148</v>
      </c>
      <c r="E299" s="121">
        <v>670441148</v>
      </c>
      <c r="F299" s="121">
        <v>639979430</v>
      </c>
      <c r="G299" s="121">
        <v>670441148</v>
      </c>
      <c r="H299" s="121">
        <v>639979430</v>
      </c>
    </row>
    <row r="300" spans="1:8">
      <c r="A300" s="114" t="s">
        <v>1401</v>
      </c>
      <c r="B300" s="114" t="s">
        <v>8351</v>
      </c>
      <c r="C300" s="121">
        <v>53962729</v>
      </c>
      <c r="D300" s="121">
        <v>56898106</v>
      </c>
      <c r="E300" s="121">
        <v>56898106</v>
      </c>
      <c r="F300" s="121">
        <v>53962729</v>
      </c>
      <c r="G300" s="121">
        <v>56898106</v>
      </c>
      <c r="H300" s="121">
        <v>53962729</v>
      </c>
    </row>
    <row r="301" spans="1:8">
      <c r="A301" s="114" t="s">
        <v>820</v>
      </c>
      <c r="B301" s="114" t="s">
        <v>8352</v>
      </c>
      <c r="C301" s="121">
        <v>44849531</v>
      </c>
      <c r="D301" s="121">
        <v>47230859</v>
      </c>
      <c r="E301" s="121">
        <v>47230859</v>
      </c>
      <c r="F301" s="121">
        <v>44849531</v>
      </c>
      <c r="G301" s="121">
        <v>47230859</v>
      </c>
      <c r="H301" s="121">
        <v>44849531</v>
      </c>
    </row>
    <row r="302" spans="1:8">
      <c r="A302" s="114" t="s">
        <v>232</v>
      </c>
      <c r="B302" s="114" t="s">
        <v>8353</v>
      </c>
      <c r="C302" s="121">
        <v>183837009</v>
      </c>
      <c r="D302" s="121">
        <v>191889577</v>
      </c>
      <c r="E302" s="121">
        <v>191889577</v>
      </c>
      <c r="F302" s="121">
        <v>183837009</v>
      </c>
      <c r="G302" s="121">
        <v>191889577</v>
      </c>
      <c r="H302" s="121">
        <v>183837009</v>
      </c>
    </row>
    <row r="303" spans="1:8">
      <c r="A303" s="114" t="s">
        <v>233</v>
      </c>
      <c r="B303" s="114" t="s">
        <v>8354</v>
      </c>
      <c r="C303" s="121">
        <v>178929933</v>
      </c>
      <c r="D303" s="121">
        <v>187521675</v>
      </c>
      <c r="E303" s="121">
        <v>187521675</v>
      </c>
      <c r="F303" s="121">
        <v>178929933</v>
      </c>
      <c r="G303" s="121">
        <v>187521675</v>
      </c>
      <c r="H303" s="121">
        <v>178929933</v>
      </c>
    </row>
    <row r="304" spans="1:8">
      <c r="A304" s="114" t="s">
        <v>1960</v>
      </c>
      <c r="B304" s="114" t="s">
        <v>8355</v>
      </c>
      <c r="C304" s="121">
        <v>91954833</v>
      </c>
      <c r="D304" s="121">
        <v>96616777</v>
      </c>
      <c r="E304" s="121">
        <v>96616777</v>
      </c>
      <c r="F304" s="121">
        <v>91954833</v>
      </c>
      <c r="G304" s="121">
        <v>96616777</v>
      </c>
      <c r="H304" s="121">
        <v>91954833</v>
      </c>
    </row>
    <row r="305" spans="1:8">
      <c r="A305" s="114" t="s">
        <v>1961</v>
      </c>
      <c r="B305" s="114" t="s">
        <v>8356</v>
      </c>
      <c r="C305" s="121">
        <v>186288039</v>
      </c>
      <c r="D305" s="121">
        <v>194498875</v>
      </c>
      <c r="E305" s="121">
        <v>194498875</v>
      </c>
      <c r="F305" s="121">
        <v>186288039</v>
      </c>
      <c r="G305" s="121">
        <v>194498875</v>
      </c>
      <c r="H305" s="121">
        <v>186288039</v>
      </c>
    </row>
    <row r="306" spans="1:8">
      <c r="A306" s="114" t="s">
        <v>1402</v>
      </c>
      <c r="B306" s="114" t="s">
        <v>8357</v>
      </c>
      <c r="C306" s="121">
        <v>107914793</v>
      </c>
      <c r="D306" s="121">
        <v>114735092</v>
      </c>
      <c r="E306" s="121">
        <v>114735092</v>
      </c>
      <c r="F306" s="121">
        <v>107914793</v>
      </c>
      <c r="G306" s="121">
        <v>114735092</v>
      </c>
      <c r="H306" s="121">
        <v>107914793</v>
      </c>
    </row>
    <row r="307" spans="1:8">
      <c r="A307" s="114" t="s">
        <v>2948</v>
      </c>
      <c r="B307" s="114" t="s">
        <v>8358</v>
      </c>
      <c r="C307" s="121">
        <v>397359635</v>
      </c>
      <c r="D307" s="121">
        <v>406259431</v>
      </c>
      <c r="E307" s="121">
        <v>406259431</v>
      </c>
      <c r="F307" s="121">
        <v>397359635</v>
      </c>
      <c r="G307" s="121">
        <v>406259431</v>
      </c>
      <c r="H307" s="121">
        <v>397359635</v>
      </c>
    </row>
    <row r="308" spans="1:8">
      <c r="A308" s="114" t="s">
        <v>1911</v>
      </c>
      <c r="B308" s="114" t="s">
        <v>8359</v>
      </c>
      <c r="C308" s="121">
        <v>1083171818</v>
      </c>
      <c r="D308" s="121">
        <v>1113112317</v>
      </c>
      <c r="E308" s="121">
        <v>1113112317</v>
      </c>
      <c r="F308" s="121">
        <v>1083171818</v>
      </c>
      <c r="G308" s="121">
        <v>1113112317</v>
      </c>
      <c r="H308" s="121">
        <v>1083171818</v>
      </c>
    </row>
    <row r="309" spans="1:8">
      <c r="A309" s="114" t="s">
        <v>1912</v>
      </c>
      <c r="B309" s="114" t="s">
        <v>8360</v>
      </c>
      <c r="C309" s="121">
        <v>461290735</v>
      </c>
      <c r="D309" s="121">
        <v>473971987</v>
      </c>
      <c r="E309" s="121">
        <v>473971987</v>
      </c>
      <c r="F309" s="121">
        <v>461290735</v>
      </c>
      <c r="G309" s="121">
        <v>473971987</v>
      </c>
      <c r="H309" s="121">
        <v>461290735</v>
      </c>
    </row>
    <row r="310" spans="1:8">
      <c r="A310" s="114" t="s">
        <v>1037</v>
      </c>
      <c r="B310" s="114" t="s">
        <v>8361</v>
      </c>
      <c r="C310" s="121">
        <v>181044341</v>
      </c>
      <c r="D310" s="121">
        <v>186011062</v>
      </c>
      <c r="E310" s="121">
        <v>186011062</v>
      </c>
      <c r="F310" s="121">
        <v>181044341</v>
      </c>
      <c r="G310" s="121">
        <v>186011062</v>
      </c>
      <c r="H310" s="121">
        <v>181044341</v>
      </c>
    </row>
    <row r="311" spans="1:8">
      <c r="A311" s="114" t="s">
        <v>73</v>
      </c>
      <c r="B311" s="114" t="s">
        <v>8362</v>
      </c>
      <c r="C311" s="121">
        <v>304035280</v>
      </c>
      <c r="D311" s="121">
        <v>310082559</v>
      </c>
      <c r="E311" s="121">
        <v>298362842</v>
      </c>
      <c r="F311" s="121">
        <v>292315563</v>
      </c>
      <c r="G311" s="121">
        <v>298362842</v>
      </c>
      <c r="H311" s="121">
        <v>292315563</v>
      </c>
    </row>
    <row r="312" spans="1:8">
      <c r="A312" s="114" t="s">
        <v>853</v>
      </c>
      <c r="B312" s="114" t="s">
        <v>8363</v>
      </c>
      <c r="C312" s="121">
        <v>118422132</v>
      </c>
      <c r="D312" s="121">
        <v>121623512</v>
      </c>
      <c r="E312" s="121">
        <v>121623512</v>
      </c>
      <c r="F312" s="121">
        <v>118422132</v>
      </c>
      <c r="G312" s="121">
        <v>121623512</v>
      </c>
      <c r="H312" s="121">
        <v>118422132</v>
      </c>
    </row>
    <row r="313" spans="1:8">
      <c r="A313" s="114" t="s">
        <v>2865</v>
      </c>
      <c r="B313" s="114" t="s">
        <v>8364</v>
      </c>
      <c r="C313" s="121">
        <v>123557262</v>
      </c>
      <c r="D313" s="121">
        <v>126952352</v>
      </c>
      <c r="E313" s="121">
        <v>126952352</v>
      </c>
      <c r="F313" s="121">
        <v>123557262</v>
      </c>
      <c r="G313" s="121">
        <v>143433352</v>
      </c>
      <c r="H313" s="121">
        <v>140038262</v>
      </c>
    </row>
    <row r="314" spans="1:8">
      <c r="A314" s="114" t="s">
        <v>697</v>
      </c>
      <c r="B314" s="114" t="s">
        <v>8365</v>
      </c>
      <c r="C314" s="121">
        <v>322706183</v>
      </c>
      <c r="D314" s="121">
        <v>328741163</v>
      </c>
      <c r="E314" s="121">
        <v>328741163</v>
      </c>
      <c r="F314" s="121">
        <v>322706183</v>
      </c>
      <c r="G314" s="121">
        <v>899857193</v>
      </c>
      <c r="H314" s="121">
        <v>893822213</v>
      </c>
    </row>
    <row r="315" spans="1:8">
      <c r="A315" s="114" t="s">
        <v>698</v>
      </c>
      <c r="B315" s="114" t="s">
        <v>8366</v>
      </c>
      <c r="C315" s="121">
        <v>119460238</v>
      </c>
      <c r="D315" s="121">
        <v>123398148</v>
      </c>
      <c r="E315" s="121">
        <v>123398148</v>
      </c>
      <c r="F315" s="121">
        <v>119460238</v>
      </c>
      <c r="G315" s="121">
        <v>508986028</v>
      </c>
      <c r="H315" s="121">
        <v>505048118</v>
      </c>
    </row>
    <row r="316" spans="1:8">
      <c r="A316" s="114" t="s">
        <v>699</v>
      </c>
      <c r="B316" s="114" t="s">
        <v>8367</v>
      </c>
      <c r="C316" s="121">
        <v>222511697</v>
      </c>
      <c r="D316" s="121">
        <v>224789227</v>
      </c>
      <c r="E316" s="121">
        <v>224789227</v>
      </c>
      <c r="F316" s="121">
        <v>222511697</v>
      </c>
      <c r="G316" s="121">
        <v>224789227</v>
      </c>
      <c r="H316" s="121">
        <v>222511697</v>
      </c>
    </row>
    <row r="317" spans="1:8">
      <c r="A317" s="114" t="s">
        <v>700</v>
      </c>
      <c r="B317" s="114" t="s">
        <v>8368</v>
      </c>
      <c r="C317" s="121">
        <v>15109155422</v>
      </c>
      <c r="D317" s="121">
        <v>15445571147</v>
      </c>
      <c r="E317" s="121">
        <v>15445571147</v>
      </c>
      <c r="F317" s="121">
        <v>15109155422</v>
      </c>
      <c r="G317" s="121">
        <v>15445571147</v>
      </c>
      <c r="H317" s="121">
        <v>15109155422</v>
      </c>
    </row>
    <row r="318" spans="1:8">
      <c r="A318" s="114" t="s">
        <v>2906</v>
      </c>
      <c r="B318" s="114" t="s">
        <v>8369</v>
      </c>
      <c r="C318" s="121">
        <v>867475015</v>
      </c>
      <c r="D318" s="121">
        <v>898998883</v>
      </c>
      <c r="E318" s="121">
        <v>898998883</v>
      </c>
      <c r="F318" s="121">
        <v>867475015</v>
      </c>
      <c r="G318" s="121">
        <v>898998883</v>
      </c>
      <c r="H318" s="121">
        <v>867475015</v>
      </c>
    </row>
    <row r="319" spans="1:8">
      <c r="A319" s="114" t="s">
        <v>1602</v>
      </c>
      <c r="B319" s="114" t="s">
        <v>8370</v>
      </c>
      <c r="C319" s="121">
        <v>36955726755</v>
      </c>
      <c r="D319" s="121">
        <v>37821771949</v>
      </c>
      <c r="E319" s="121">
        <v>37821771949</v>
      </c>
      <c r="F319" s="121">
        <v>36955726755</v>
      </c>
      <c r="G319" s="121">
        <v>37821771949</v>
      </c>
      <c r="H319" s="121">
        <v>36955726755</v>
      </c>
    </row>
    <row r="320" spans="1:8">
      <c r="A320" s="114" t="s">
        <v>2647</v>
      </c>
      <c r="B320" s="114" t="s">
        <v>8371</v>
      </c>
      <c r="C320" s="121">
        <v>2501218537</v>
      </c>
      <c r="D320" s="121">
        <v>2524994319</v>
      </c>
      <c r="E320" s="121">
        <v>2476779061</v>
      </c>
      <c r="F320" s="121">
        <v>2453003279</v>
      </c>
      <c r="G320" s="121">
        <v>2476779061</v>
      </c>
      <c r="H320" s="121">
        <v>2453003279</v>
      </c>
    </row>
    <row r="321" spans="1:8">
      <c r="A321" s="114" t="s">
        <v>2290</v>
      </c>
      <c r="B321" s="114" t="s">
        <v>8372</v>
      </c>
      <c r="C321" s="121">
        <v>988126471</v>
      </c>
      <c r="D321" s="121">
        <v>1009345181</v>
      </c>
      <c r="E321" s="121">
        <v>1009345181</v>
      </c>
      <c r="F321" s="121">
        <v>988126471</v>
      </c>
      <c r="G321" s="121">
        <v>1009345181</v>
      </c>
      <c r="H321" s="121">
        <v>988126471</v>
      </c>
    </row>
    <row r="322" spans="1:8">
      <c r="A322" s="114" t="s">
        <v>1478</v>
      </c>
      <c r="B322" s="114" t="s">
        <v>8373</v>
      </c>
      <c r="C322" s="121">
        <v>1297624918</v>
      </c>
      <c r="D322" s="121">
        <v>1318276435</v>
      </c>
      <c r="E322" s="121">
        <v>1318276435</v>
      </c>
      <c r="F322" s="121">
        <v>1297624918</v>
      </c>
      <c r="G322" s="121">
        <v>1318276435</v>
      </c>
      <c r="H322" s="121">
        <v>1297624918</v>
      </c>
    </row>
    <row r="323" spans="1:8">
      <c r="A323" s="114" t="s">
        <v>2192</v>
      </c>
      <c r="B323" s="114" t="s">
        <v>8374</v>
      </c>
      <c r="C323" s="121">
        <v>704812990</v>
      </c>
      <c r="D323" s="121">
        <v>716224958</v>
      </c>
      <c r="E323" s="121">
        <v>716224958</v>
      </c>
      <c r="F323" s="121">
        <v>704812990</v>
      </c>
      <c r="G323" s="121">
        <v>716224958</v>
      </c>
      <c r="H323" s="121">
        <v>704812990</v>
      </c>
    </row>
    <row r="324" spans="1:8">
      <c r="A324" s="114" t="s">
        <v>2198</v>
      </c>
      <c r="B324" s="114" t="s">
        <v>8375</v>
      </c>
      <c r="C324" s="121">
        <v>238967792</v>
      </c>
      <c r="D324" s="121">
        <v>242716865</v>
      </c>
      <c r="E324" s="121">
        <v>242716865</v>
      </c>
      <c r="F324" s="121">
        <v>238967792</v>
      </c>
      <c r="G324" s="121">
        <v>242716865</v>
      </c>
      <c r="H324" s="121">
        <v>238967792</v>
      </c>
    </row>
    <row r="325" spans="1:8">
      <c r="A325" s="114" t="s">
        <v>2199</v>
      </c>
      <c r="B325" s="114" t="s">
        <v>8376</v>
      </c>
      <c r="C325" s="121">
        <v>156743479</v>
      </c>
      <c r="D325" s="121">
        <v>158490879</v>
      </c>
      <c r="E325" s="121">
        <v>158490879</v>
      </c>
      <c r="F325" s="121">
        <v>156743479</v>
      </c>
      <c r="G325" s="121">
        <v>158490879</v>
      </c>
      <c r="H325" s="121">
        <v>156743479</v>
      </c>
    </row>
    <row r="326" spans="1:8">
      <c r="A326" s="114" t="s">
        <v>1403</v>
      </c>
      <c r="B326" s="114" t="s">
        <v>8377</v>
      </c>
      <c r="C326" s="121">
        <v>719340427</v>
      </c>
      <c r="D326" s="121">
        <v>723945967</v>
      </c>
      <c r="E326" s="121">
        <v>723945967</v>
      </c>
      <c r="F326" s="121">
        <v>719340427</v>
      </c>
      <c r="G326" s="121">
        <v>723945967</v>
      </c>
      <c r="H326" s="121">
        <v>719340427</v>
      </c>
    </row>
    <row r="327" spans="1:8">
      <c r="A327" s="114" t="s">
        <v>2866</v>
      </c>
      <c r="B327" s="114" t="s">
        <v>8378</v>
      </c>
      <c r="C327" s="121">
        <v>1006132470</v>
      </c>
      <c r="D327" s="121">
        <v>1021324670</v>
      </c>
      <c r="E327" s="121">
        <v>1021324670</v>
      </c>
      <c r="F327" s="121">
        <v>1006132470</v>
      </c>
      <c r="G327" s="121">
        <v>1021324670</v>
      </c>
      <c r="H327" s="121">
        <v>1006132470</v>
      </c>
    </row>
    <row r="328" spans="1:8">
      <c r="A328" s="114" t="s">
        <v>2200</v>
      </c>
      <c r="B328" s="114" t="s">
        <v>8379</v>
      </c>
      <c r="C328" s="121">
        <v>168351824</v>
      </c>
      <c r="D328" s="121">
        <v>172504288</v>
      </c>
      <c r="E328" s="121">
        <v>172504288</v>
      </c>
      <c r="F328" s="121">
        <v>168351824</v>
      </c>
      <c r="G328" s="121">
        <v>172504288</v>
      </c>
      <c r="H328" s="121">
        <v>168351824</v>
      </c>
    </row>
    <row r="329" spans="1:8">
      <c r="A329" s="114" t="s">
        <v>2420</v>
      </c>
      <c r="B329" s="114" t="s">
        <v>8380</v>
      </c>
      <c r="C329" s="121">
        <v>205968478</v>
      </c>
      <c r="D329" s="121">
        <v>206743769</v>
      </c>
      <c r="E329" s="121">
        <v>206058338</v>
      </c>
      <c r="F329" s="121">
        <v>205283047</v>
      </c>
      <c r="G329" s="121">
        <v>206058338</v>
      </c>
      <c r="H329" s="121">
        <v>205283047</v>
      </c>
    </row>
    <row r="330" spans="1:8">
      <c r="A330" s="114" t="s">
        <v>2490</v>
      </c>
      <c r="B330" s="114" t="s">
        <v>8381</v>
      </c>
      <c r="C330" s="121">
        <v>2836438084</v>
      </c>
      <c r="D330" s="121">
        <v>2862179962</v>
      </c>
      <c r="E330" s="121">
        <v>2862179962</v>
      </c>
      <c r="F330" s="121">
        <v>2836438084</v>
      </c>
      <c r="G330" s="121">
        <v>2862179962</v>
      </c>
      <c r="H330" s="121">
        <v>2836438084</v>
      </c>
    </row>
    <row r="331" spans="1:8">
      <c r="A331" s="114" t="s">
        <v>2270</v>
      </c>
      <c r="B331" s="114" t="s">
        <v>8382</v>
      </c>
      <c r="C331" s="121">
        <v>3694499426</v>
      </c>
      <c r="D331" s="121">
        <v>3812580029</v>
      </c>
      <c r="E331" s="121">
        <v>3812580029</v>
      </c>
      <c r="F331" s="121">
        <v>3694499426</v>
      </c>
      <c r="G331" s="121">
        <v>3812580029</v>
      </c>
      <c r="H331" s="121">
        <v>3694499426</v>
      </c>
    </row>
    <row r="332" spans="1:8">
      <c r="A332" s="114" t="s">
        <v>2550</v>
      </c>
      <c r="B332" s="114" t="s">
        <v>8383</v>
      </c>
      <c r="C332" s="121">
        <v>7351042252</v>
      </c>
      <c r="D332" s="121">
        <v>7455463380</v>
      </c>
      <c r="E332" s="121">
        <v>7251363806</v>
      </c>
      <c r="F332" s="121">
        <v>7146942678</v>
      </c>
      <c r="G332" s="121">
        <v>7251363806</v>
      </c>
      <c r="H332" s="121">
        <v>7146942678</v>
      </c>
    </row>
    <row r="333" spans="1:8">
      <c r="A333" s="114" t="s">
        <v>2132</v>
      </c>
      <c r="B333" s="114" t="s">
        <v>8384</v>
      </c>
      <c r="C333" s="121">
        <v>120665353</v>
      </c>
      <c r="D333" s="121">
        <v>121926052</v>
      </c>
      <c r="E333" s="121">
        <v>121514170</v>
      </c>
      <c r="F333" s="121">
        <v>120253471</v>
      </c>
      <c r="G333" s="121">
        <v>121514170</v>
      </c>
      <c r="H333" s="121">
        <v>120253471</v>
      </c>
    </row>
    <row r="334" spans="1:8">
      <c r="A334" s="114" t="s">
        <v>863</v>
      </c>
      <c r="B334" s="114" t="s">
        <v>8385</v>
      </c>
      <c r="C334" s="121">
        <v>4810736672</v>
      </c>
      <c r="D334" s="121">
        <v>4926600117</v>
      </c>
      <c r="E334" s="121">
        <v>4795515119</v>
      </c>
      <c r="F334" s="121">
        <v>4679651674</v>
      </c>
      <c r="G334" s="121">
        <v>4795515119</v>
      </c>
      <c r="H334" s="121">
        <v>4679651674</v>
      </c>
    </row>
    <row r="335" spans="1:8">
      <c r="A335" s="114" t="s">
        <v>2817</v>
      </c>
      <c r="B335" s="114" t="s">
        <v>8386</v>
      </c>
      <c r="C335" s="121">
        <v>651442145</v>
      </c>
      <c r="D335" s="121">
        <v>673174485</v>
      </c>
      <c r="E335" s="121">
        <v>673174485</v>
      </c>
      <c r="F335" s="121">
        <v>651442145</v>
      </c>
      <c r="G335" s="121">
        <v>673174485</v>
      </c>
      <c r="H335" s="121">
        <v>651442145</v>
      </c>
    </row>
    <row r="336" spans="1:8">
      <c r="A336" s="114" t="s">
        <v>533</v>
      </c>
      <c r="B336" s="114" t="s">
        <v>8387</v>
      </c>
      <c r="C336" s="121">
        <v>1415542980</v>
      </c>
      <c r="D336" s="121">
        <v>1485876235</v>
      </c>
      <c r="E336" s="121">
        <v>1485876235</v>
      </c>
      <c r="F336" s="121">
        <v>1415542980</v>
      </c>
      <c r="G336" s="121">
        <v>1485876235</v>
      </c>
      <c r="H336" s="121">
        <v>1415542980</v>
      </c>
    </row>
    <row r="337" spans="1:8">
      <c r="A337" s="114" t="s">
        <v>2818</v>
      </c>
      <c r="B337" s="114" t="s">
        <v>8388</v>
      </c>
      <c r="C337" s="121">
        <v>22089744012</v>
      </c>
      <c r="D337" s="121">
        <v>22624158331</v>
      </c>
      <c r="E337" s="121">
        <v>22292925605</v>
      </c>
      <c r="F337" s="121">
        <v>21758511286</v>
      </c>
      <c r="G337" s="121">
        <v>22292925605</v>
      </c>
      <c r="H337" s="121">
        <v>21758511286</v>
      </c>
    </row>
    <row r="338" spans="1:8">
      <c r="A338" s="114" t="s">
        <v>1604</v>
      </c>
      <c r="B338" s="114" t="s">
        <v>8389</v>
      </c>
      <c r="C338" s="121">
        <v>2954935933</v>
      </c>
      <c r="D338" s="121">
        <v>3036207817</v>
      </c>
      <c r="E338" s="121">
        <v>3036207817</v>
      </c>
      <c r="F338" s="121">
        <v>2954935933</v>
      </c>
      <c r="G338" s="121">
        <v>3036207817</v>
      </c>
      <c r="H338" s="121">
        <v>2954935933</v>
      </c>
    </row>
    <row r="339" spans="1:8">
      <c r="A339" s="114" t="s">
        <v>1872</v>
      </c>
      <c r="B339" s="114" t="s">
        <v>8390</v>
      </c>
      <c r="C339" s="121">
        <v>417866250</v>
      </c>
      <c r="D339" s="121">
        <v>425316791</v>
      </c>
      <c r="E339" s="121">
        <v>425316791</v>
      </c>
      <c r="F339" s="121">
        <v>417866250</v>
      </c>
      <c r="G339" s="121">
        <v>425316791</v>
      </c>
      <c r="H339" s="121">
        <v>417866250</v>
      </c>
    </row>
    <row r="340" spans="1:8">
      <c r="A340" s="114" t="s">
        <v>1873</v>
      </c>
      <c r="B340" s="114" t="s">
        <v>8391</v>
      </c>
      <c r="C340" s="121">
        <v>48580159</v>
      </c>
      <c r="D340" s="121">
        <v>49052055</v>
      </c>
      <c r="E340" s="121">
        <v>49052055</v>
      </c>
      <c r="F340" s="121">
        <v>48580159</v>
      </c>
      <c r="G340" s="121">
        <v>49052055</v>
      </c>
      <c r="H340" s="121">
        <v>48580159</v>
      </c>
    </row>
    <row r="341" spans="1:8">
      <c r="A341" s="114" t="s">
        <v>2139</v>
      </c>
      <c r="B341" s="114" t="s">
        <v>8392</v>
      </c>
      <c r="C341" s="121">
        <v>45892571</v>
      </c>
      <c r="D341" s="121">
        <v>46830071</v>
      </c>
      <c r="E341" s="121">
        <v>46830071</v>
      </c>
      <c r="F341" s="121">
        <v>45892571</v>
      </c>
      <c r="G341" s="121">
        <v>46830071</v>
      </c>
      <c r="H341" s="121">
        <v>45892571</v>
      </c>
    </row>
    <row r="342" spans="1:8">
      <c r="A342" s="114" t="s">
        <v>1636</v>
      </c>
      <c r="B342" s="114" t="s">
        <v>8393</v>
      </c>
      <c r="C342" s="121">
        <v>3344096289</v>
      </c>
      <c r="D342" s="121">
        <v>3404852939</v>
      </c>
      <c r="E342" s="121">
        <v>3404852939</v>
      </c>
      <c r="F342" s="121">
        <v>3344096289</v>
      </c>
      <c r="G342" s="121">
        <v>3404852939</v>
      </c>
      <c r="H342" s="121">
        <v>3344096289</v>
      </c>
    </row>
    <row r="343" spans="1:8">
      <c r="A343" s="114" t="s">
        <v>2474</v>
      </c>
      <c r="B343" s="114" t="s">
        <v>8394</v>
      </c>
      <c r="C343" s="121">
        <v>420122536</v>
      </c>
      <c r="D343" s="121">
        <v>432137632</v>
      </c>
      <c r="E343" s="121">
        <v>432137632</v>
      </c>
      <c r="F343" s="121">
        <v>420122536</v>
      </c>
      <c r="G343" s="121">
        <v>432137632</v>
      </c>
      <c r="H343" s="121">
        <v>420122536</v>
      </c>
    </row>
    <row r="344" spans="1:8">
      <c r="A344" s="114" t="s">
        <v>2475</v>
      </c>
      <c r="B344" s="114" t="s">
        <v>8395</v>
      </c>
      <c r="C344" s="121">
        <v>2356945012</v>
      </c>
      <c r="D344" s="121">
        <v>2359177362</v>
      </c>
      <c r="E344" s="121">
        <v>2356666853</v>
      </c>
      <c r="F344" s="121">
        <v>2354434503</v>
      </c>
      <c r="G344" s="121">
        <v>2823402743</v>
      </c>
      <c r="H344" s="121">
        <v>2821170393</v>
      </c>
    </row>
    <row r="345" spans="1:8">
      <c r="A345" s="114" t="s">
        <v>2794</v>
      </c>
      <c r="B345" s="114" t="s">
        <v>8396</v>
      </c>
      <c r="C345" s="121">
        <v>774261627</v>
      </c>
      <c r="D345" s="121">
        <v>791375093</v>
      </c>
      <c r="E345" s="121">
        <v>770078222</v>
      </c>
      <c r="F345" s="121">
        <v>752964756</v>
      </c>
      <c r="G345" s="121">
        <v>838078222</v>
      </c>
      <c r="H345" s="121">
        <v>820964756</v>
      </c>
    </row>
    <row r="346" spans="1:8">
      <c r="A346" s="114" t="s">
        <v>1019</v>
      </c>
      <c r="B346" s="114" t="s">
        <v>8397</v>
      </c>
      <c r="C346" s="121">
        <v>1372136905</v>
      </c>
      <c r="D346" s="121">
        <v>1393792745</v>
      </c>
      <c r="E346" s="121">
        <v>1393792745</v>
      </c>
      <c r="F346" s="121">
        <v>1372136905</v>
      </c>
      <c r="G346" s="121">
        <v>1393792745</v>
      </c>
      <c r="H346" s="121">
        <v>1372136905</v>
      </c>
    </row>
    <row r="347" spans="1:8">
      <c r="A347" s="114" t="s">
        <v>2795</v>
      </c>
      <c r="B347" s="114" t="s">
        <v>8398</v>
      </c>
      <c r="C347" s="121">
        <v>714368585</v>
      </c>
      <c r="D347" s="121">
        <v>721884953</v>
      </c>
      <c r="E347" s="121">
        <v>714596799</v>
      </c>
      <c r="F347" s="121">
        <v>707080431</v>
      </c>
      <c r="G347" s="121">
        <v>714596799</v>
      </c>
      <c r="H347" s="121">
        <v>707080431</v>
      </c>
    </row>
    <row r="348" spans="1:8">
      <c r="A348" s="114" t="s">
        <v>2796</v>
      </c>
      <c r="B348" s="114" t="s">
        <v>8399</v>
      </c>
      <c r="C348" s="121">
        <v>186731780</v>
      </c>
      <c r="D348" s="121">
        <v>189504031</v>
      </c>
      <c r="E348" s="121">
        <v>189504031</v>
      </c>
      <c r="F348" s="121">
        <v>186731780</v>
      </c>
      <c r="G348" s="121">
        <v>189504031</v>
      </c>
      <c r="H348" s="121">
        <v>186731780</v>
      </c>
    </row>
    <row r="349" spans="1:8">
      <c r="A349" s="114" t="s">
        <v>2118</v>
      </c>
      <c r="B349" s="114" t="s">
        <v>8400</v>
      </c>
      <c r="C349" s="121">
        <v>98586010</v>
      </c>
      <c r="D349" s="121">
        <v>99236120</v>
      </c>
      <c r="E349" s="121">
        <v>99236120</v>
      </c>
      <c r="F349" s="121">
        <v>98586010</v>
      </c>
      <c r="G349" s="121">
        <v>99236120</v>
      </c>
      <c r="H349" s="121">
        <v>98586010</v>
      </c>
    </row>
    <row r="350" spans="1:8">
      <c r="A350" s="114" t="s">
        <v>2119</v>
      </c>
      <c r="B350" s="114" t="s">
        <v>8401</v>
      </c>
      <c r="C350" s="121">
        <v>97407815</v>
      </c>
      <c r="D350" s="121">
        <v>98930795</v>
      </c>
      <c r="E350" s="121">
        <v>98930795</v>
      </c>
      <c r="F350" s="121">
        <v>97407815</v>
      </c>
      <c r="G350" s="121">
        <v>98930795</v>
      </c>
      <c r="H350" s="121">
        <v>97407815</v>
      </c>
    </row>
    <row r="351" spans="1:8">
      <c r="A351" s="114" t="s">
        <v>2301</v>
      </c>
      <c r="B351" s="114" t="s">
        <v>8402</v>
      </c>
      <c r="C351" s="121">
        <v>1081427098</v>
      </c>
      <c r="D351" s="121">
        <v>1113902398</v>
      </c>
      <c r="E351" s="121">
        <v>1113902398</v>
      </c>
      <c r="F351" s="121">
        <v>1081427098</v>
      </c>
      <c r="G351" s="121">
        <v>1113902398</v>
      </c>
      <c r="H351" s="121">
        <v>1081427098</v>
      </c>
    </row>
    <row r="352" spans="1:8">
      <c r="A352" s="114" t="s">
        <v>2313</v>
      </c>
      <c r="B352" s="114" t="s">
        <v>8403</v>
      </c>
      <c r="C352" s="121">
        <v>92361014</v>
      </c>
      <c r="D352" s="121">
        <v>92627774</v>
      </c>
      <c r="E352" s="121">
        <v>92627774</v>
      </c>
      <c r="F352" s="121">
        <v>92361014</v>
      </c>
      <c r="G352" s="121">
        <v>179383714</v>
      </c>
      <c r="H352" s="121">
        <v>179116954</v>
      </c>
    </row>
    <row r="353" spans="1:8">
      <c r="A353" s="114" t="s">
        <v>1897</v>
      </c>
      <c r="B353" s="114" t="s">
        <v>8404</v>
      </c>
      <c r="C353" s="121">
        <v>224423783</v>
      </c>
      <c r="D353" s="121">
        <v>233599440</v>
      </c>
      <c r="E353" s="121">
        <v>233599440</v>
      </c>
      <c r="F353" s="121">
        <v>224423783</v>
      </c>
      <c r="G353" s="121">
        <v>233599440</v>
      </c>
      <c r="H353" s="121">
        <v>224423783</v>
      </c>
    </row>
    <row r="354" spans="1:8">
      <c r="A354" s="114" t="s">
        <v>1107</v>
      </c>
      <c r="B354" s="114" t="s">
        <v>8405</v>
      </c>
      <c r="C354" s="121">
        <v>166942607</v>
      </c>
      <c r="D354" s="121">
        <v>173525528</v>
      </c>
      <c r="E354" s="121">
        <v>173525528</v>
      </c>
      <c r="F354" s="121">
        <v>166942607</v>
      </c>
      <c r="G354" s="121">
        <v>173525528</v>
      </c>
      <c r="H354" s="121">
        <v>166942607</v>
      </c>
    </row>
    <row r="355" spans="1:8">
      <c r="A355" s="114" t="s">
        <v>1108</v>
      </c>
      <c r="B355" s="114" t="s">
        <v>8406</v>
      </c>
      <c r="C355" s="121">
        <v>1617140226</v>
      </c>
      <c r="D355" s="121">
        <v>1673484787</v>
      </c>
      <c r="E355" s="121">
        <v>1673484787</v>
      </c>
      <c r="F355" s="121">
        <v>1617140226</v>
      </c>
      <c r="G355" s="121">
        <v>1673484787</v>
      </c>
      <c r="H355" s="121">
        <v>1617140226</v>
      </c>
    </row>
    <row r="356" spans="1:8">
      <c r="A356" s="114" t="s">
        <v>1276</v>
      </c>
      <c r="B356" s="114" t="s">
        <v>8407</v>
      </c>
      <c r="C356" s="121">
        <v>263180085</v>
      </c>
      <c r="D356" s="121">
        <v>273589205</v>
      </c>
      <c r="E356" s="121">
        <v>273589205</v>
      </c>
      <c r="F356" s="121">
        <v>263180085</v>
      </c>
      <c r="G356" s="121">
        <v>273589205</v>
      </c>
      <c r="H356" s="121">
        <v>263180085</v>
      </c>
    </row>
    <row r="357" spans="1:8">
      <c r="A357" s="114" t="s">
        <v>897</v>
      </c>
      <c r="B357" s="114" t="s">
        <v>8408</v>
      </c>
      <c r="C357" s="121">
        <v>2997167334</v>
      </c>
      <c r="D357" s="121">
        <v>3065628265</v>
      </c>
      <c r="E357" s="121">
        <v>3065628265</v>
      </c>
      <c r="F357" s="121">
        <v>2997167334</v>
      </c>
      <c r="G357" s="121">
        <v>3065628265</v>
      </c>
      <c r="H357" s="121">
        <v>2997167334</v>
      </c>
    </row>
    <row r="358" spans="1:8">
      <c r="A358" s="114" t="s">
        <v>898</v>
      </c>
      <c r="B358" s="114" t="s">
        <v>8409</v>
      </c>
      <c r="C358" s="121">
        <v>100416887</v>
      </c>
      <c r="D358" s="121">
        <v>103950438</v>
      </c>
      <c r="E358" s="121">
        <v>103950438</v>
      </c>
      <c r="F358" s="121">
        <v>100416887</v>
      </c>
      <c r="G358" s="121">
        <v>103950438</v>
      </c>
      <c r="H358" s="121">
        <v>100416887</v>
      </c>
    </row>
    <row r="359" spans="1:8">
      <c r="A359" s="114" t="s">
        <v>1404</v>
      </c>
      <c r="B359" s="114" t="s">
        <v>8410</v>
      </c>
      <c r="C359" s="121">
        <v>577897059</v>
      </c>
      <c r="D359" s="121">
        <v>596505844</v>
      </c>
      <c r="E359" s="121">
        <v>596505844</v>
      </c>
      <c r="F359" s="121">
        <v>577897059</v>
      </c>
      <c r="G359" s="121">
        <v>596505844</v>
      </c>
      <c r="H359" s="121">
        <v>577897059</v>
      </c>
    </row>
    <row r="360" spans="1:8">
      <c r="A360" s="114" t="s">
        <v>1405</v>
      </c>
      <c r="B360" s="114" t="s">
        <v>8411</v>
      </c>
      <c r="C360" s="121">
        <v>737949620</v>
      </c>
      <c r="D360" s="121">
        <v>760305421</v>
      </c>
      <c r="E360" s="121">
        <v>760305421</v>
      </c>
      <c r="F360" s="121">
        <v>737949620</v>
      </c>
      <c r="G360" s="121">
        <v>760305421</v>
      </c>
      <c r="H360" s="121">
        <v>737949620</v>
      </c>
    </row>
    <row r="361" spans="1:8">
      <c r="A361" s="114" t="s">
        <v>1650</v>
      </c>
      <c r="B361" s="114" t="s">
        <v>8412</v>
      </c>
      <c r="C361" s="121">
        <v>218631554</v>
      </c>
      <c r="D361" s="121">
        <v>227104074</v>
      </c>
      <c r="E361" s="121">
        <v>227104074</v>
      </c>
      <c r="F361" s="121">
        <v>218631554</v>
      </c>
      <c r="G361" s="121">
        <v>227104074</v>
      </c>
      <c r="H361" s="121">
        <v>218631554</v>
      </c>
    </row>
    <row r="362" spans="1:8">
      <c r="A362" s="114" t="s">
        <v>243</v>
      </c>
      <c r="B362" s="114" t="s">
        <v>8413</v>
      </c>
      <c r="C362" s="121">
        <v>858761963</v>
      </c>
      <c r="D362" s="121">
        <v>880994263</v>
      </c>
      <c r="E362" s="121">
        <v>880994263</v>
      </c>
      <c r="F362" s="121">
        <v>858761963</v>
      </c>
      <c r="G362" s="121">
        <v>880994263</v>
      </c>
      <c r="H362" s="121">
        <v>858761963</v>
      </c>
    </row>
    <row r="363" spans="1:8">
      <c r="A363" s="114" t="s">
        <v>2977</v>
      </c>
      <c r="B363" s="114" t="s">
        <v>8414</v>
      </c>
      <c r="C363" s="121">
        <v>368123792</v>
      </c>
      <c r="D363" s="121">
        <v>380362322</v>
      </c>
      <c r="E363" s="121">
        <v>380362322</v>
      </c>
      <c r="F363" s="121">
        <v>368123792</v>
      </c>
      <c r="G363" s="121">
        <v>380362322</v>
      </c>
      <c r="H363" s="121">
        <v>368123792</v>
      </c>
    </row>
    <row r="364" spans="1:8">
      <c r="A364" s="114" t="s">
        <v>1483</v>
      </c>
      <c r="B364" s="114" t="s">
        <v>8415</v>
      </c>
      <c r="C364" s="121">
        <v>289092918</v>
      </c>
      <c r="D364" s="121">
        <v>295949628</v>
      </c>
      <c r="E364" s="121">
        <v>295949628</v>
      </c>
      <c r="F364" s="121">
        <v>289092918</v>
      </c>
      <c r="G364" s="121">
        <v>295949628</v>
      </c>
      <c r="H364" s="121">
        <v>289092918</v>
      </c>
    </row>
    <row r="365" spans="1:8">
      <c r="A365" s="114" t="s">
        <v>1461</v>
      </c>
      <c r="B365" s="114" t="s">
        <v>8416</v>
      </c>
      <c r="C365" s="121">
        <v>204638002</v>
      </c>
      <c r="D365" s="121">
        <v>214598160</v>
      </c>
      <c r="E365" s="121">
        <v>214598160</v>
      </c>
      <c r="F365" s="121">
        <v>204638002</v>
      </c>
      <c r="G365" s="121">
        <v>214598160</v>
      </c>
      <c r="H365" s="121">
        <v>204638002</v>
      </c>
    </row>
    <row r="366" spans="1:8">
      <c r="A366" s="114" t="s">
        <v>1462</v>
      </c>
      <c r="B366" s="114" t="s">
        <v>8417</v>
      </c>
      <c r="C366" s="121">
        <v>496609213</v>
      </c>
      <c r="D366" s="121">
        <v>518650128</v>
      </c>
      <c r="E366" s="121">
        <v>492910731</v>
      </c>
      <c r="F366" s="121">
        <v>470869816</v>
      </c>
      <c r="G366" s="121">
        <v>492910731</v>
      </c>
      <c r="H366" s="121">
        <v>470869816</v>
      </c>
    </row>
    <row r="367" spans="1:8">
      <c r="A367" s="114" t="s">
        <v>1463</v>
      </c>
      <c r="B367" s="114" t="s">
        <v>8418</v>
      </c>
      <c r="C367" s="121">
        <v>1509667824</v>
      </c>
      <c r="D367" s="121">
        <v>1550662647</v>
      </c>
      <c r="E367" s="121">
        <v>1550662647</v>
      </c>
      <c r="F367" s="121">
        <v>1509667824</v>
      </c>
      <c r="G367" s="121">
        <v>1550662647</v>
      </c>
      <c r="H367" s="121">
        <v>1509667824</v>
      </c>
    </row>
    <row r="368" spans="1:8">
      <c r="A368" s="114" t="s">
        <v>498</v>
      </c>
      <c r="B368" s="114" t="s">
        <v>8419</v>
      </c>
      <c r="C368" s="121">
        <v>4101794036</v>
      </c>
      <c r="D368" s="121">
        <v>4200695054</v>
      </c>
      <c r="E368" s="121">
        <v>4200695054</v>
      </c>
      <c r="F368" s="121">
        <v>4101794036</v>
      </c>
      <c r="G368" s="121">
        <v>4200695054</v>
      </c>
      <c r="H368" s="121">
        <v>4101794036</v>
      </c>
    </row>
    <row r="369" spans="1:8">
      <c r="A369" s="114" t="s">
        <v>2504</v>
      </c>
      <c r="B369" s="114" t="s">
        <v>8420</v>
      </c>
      <c r="C369" s="121">
        <v>1567147423</v>
      </c>
      <c r="D369" s="121">
        <v>1616234508</v>
      </c>
      <c r="E369" s="121">
        <v>1539340410</v>
      </c>
      <c r="F369" s="121">
        <v>1490253325</v>
      </c>
      <c r="G369" s="121">
        <v>1539340410</v>
      </c>
      <c r="H369" s="121">
        <v>1490253325</v>
      </c>
    </row>
    <row r="370" spans="1:8">
      <c r="A370" s="114" t="s">
        <v>3035</v>
      </c>
      <c r="B370" s="114" t="s">
        <v>8421</v>
      </c>
      <c r="C370" s="121">
        <v>426344236</v>
      </c>
      <c r="D370" s="121">
        <v>440070544</v>
      </c>
      <c r="E370" s="121">
        <v>418737558</v>
      </c>
      <c r="F370" s="121">
        <v>405011250</v>
      </c>
      <c r="G370" s="121">
        <v>418737558</v>
      </c>
      <c r="H370" s="121">
        <v>405011250</v>
      </c>
    </row>
    <row r="371" spans="1:8">
      <c r="A371" s="114" t="s">
        <v>1702</v>
      </c>
      <c r="B371" s="114" t="s">
        <v>8422</v>
      </c>
      <c r="C371" s="121">
        <v>525198525</v>
      </c>
      <c r="D371" s="121">
        <v>544580300</v>
      </c>
      <c r="E371" s="121">
        <v>512694607</v>
      </c>
      <c r="F371" s="121">
        <v>493312832</v>
      </c>
      <c r="G371" s="121">
        <v>512694607</v>
      </c>
      <c r="H371" s="121">
        <v>493312832</v>
      </c>
    </row>
    <row r="372" spans="1:8">
      <c r="A372" s="114" t="s">
        <v>3036</v>
      </c>
      <c r="B372" s="114" t="s">
        <v>8423</v>
      </c>
      <c r="C372" s="121">
        <v>347220005</v>
      </c>
      <c r="D372" s="121">
        <v>361502039</v>
      </c>
      <c r="E372" s="121">
        <v>338641091</v>
      </c>
      <c r="F372" s="121">
        <v>324359057</v>
      </c>
      <c r="G372" s="121">
        <v>338641091</v>
      </c>
      <c r="H372" s="121">
        <v>324359057</v>
      </c>
    </row>
    <row r="373" spans="1:8">
      <c r="A373" s="114" t="s">
        <v>3037</v>
      </c>
      <c r="B373" s="114" t="s">
        <v>8424</v>
      </c>
      <c r="C373" s="121">
        <v>577820698</v>
      </c>
      <c r="D373" s="121">
        <v>586021777</v>
      </c>
      <c r="E373" s="121">
        <v>586021777</v>
      </c>
      <c r="F373" s="121">
        <v>577820698</v>
      </c>
      <c r="G373" s="121">
        <v>586021777</v>
      </c>
      <c r="H373" s="121">
        <v>577820698</v>
      </c>
    </row>
    <row r="374" spans="1:8">
      <c r="A374" s="114" t="s">
        <v>3038</v>
      </c>
      <c r="B374" s="114" t="s">
        <v>8425</v>
      </c>
      <c r="C374" s="121">
        <v>291196322</v>
      </c>
      <c r="D374" s="121">
        <v>297812335</v>
      </c>
      <c r="E374" s="121">
        <v>297812335</v>
      </c>
      <c r="F374" s="121">
        <v>291196322</v>
      </c>
      <c r="G374" s="121">
        <v>297812335</v>
      </c>
      <c r="H374" s="121">
        <v>291196322</v>
      </c>
    </row>
    <row r="375" spans="1:8">
      <c r="A375" s="114" t="s">
        <v>3039</v>
      </c>
      <c r="B375" s="114" t="s">
        <v>8426</v>
      </c>
      <c r="C375" s="121">
        <v>1636226914</v>
      </c>
      <c r="D375" s="121">
        <v>1668743923</v>
      </c>
      <c r="E375" s="121">
        <v>1616075454</v>
      </c>
      <c r="F375" s="121">
        <v>1583558445</v>
      </c>
      <c r="G375" s="121">
        <v>1616075454</v>
      </c>
      <c r="H375" s="121">
        <v>1583558445</v>
      </c>
    </row>
    <row r="376" spans="1:8">
      <c r="A376" s="114" t="s">
        <v>2456</v>
      </c>
      <c r="B376" s="114" t="s">
        <v>8427</v>
      </c>
      <c r="C376" s="121">
        <v>147130964</v>
      </c>
      <c r="D376" s="121">
        <v>151030360</v>
      </c>
      <c r="E376" s="121">
        <v>151030360</v>
      </c>
      <c r="F376" s="121">
        <v>147130964</v>
      </c>
      <c r="G376" s="121">
        <v>151030360</v>
      </c>
      <c r="H376" s="121">
        <v>147130964</v>
      </c>
    </row>
    <row r="377" spans="1:8">
      <c r="A377" s="114" t="s">
        <v>537</v>
      </c>
      <c r="B377" s="114" t="s">
        <v>8428</v>
      </c>
      <c r="C377" s="121">
        <v>3165753541</v>
      </c>
      <c r="D377" s="121">
        <v>3247712789</v>
      </c>
      <c r="E377" s="121">
        <v>3247712789</v>
      </c>
      <c r="F377" s="121">
        <v>3165753541</v>
      </c>
      <c r="G377" s="121">
        <v>3351663722</v>
      </c>
      <c r="H377" s="121">
        <v>3269704474</v>
      </c>
    </row>
    <row r="378" spans="1:8">
      <c r="A378" s="114" t="s">
        <v>535</v>
      </c>
      <c r="B378" s="114" t="s">
        <v>8429</v>
      </c>
      <c r="C378" s="121">
        <v>5244832091</v>
      </c>
      <c r="D378" s="121">
        <v>5413676323</v>
      </c>
      <c r="E378" s="121">
        <v>5413676323</v>
      </c>
      <c r="F378" s="121">
        <v>5244832091</v>
      </c>
      <c r="G378" s="121">
        <v>5413676323</v>
      </c>
      <c r="H378" s="121">
        <v>5244832091</v>
      </c>
    </row>
    <row r="379" spans="1:8">
      <c r="A379" s="114" t="s">
        <v>2457</v>
      </c>
      <c r="B379" s="114" t="s">
        <v>8430</v>
      </c>
      <c r="C379" s="121">
        <v>949310089</v>
      </c>
      <c r="D379" s="121">
        <v>968460705</v>
      </c>
      <c r="E379" s="121">
        <v>968460705</v>
      </c>
      <c r="F379" s="121">
        <v>949310089</v>
      </c>
      <c r="G379" s="121">
        <v>968460705</v>
      </c>
      <c r="H379" s="121">
        <v>949310089</v>
      </c>
    </row>
    <row r="380" spans="1:8">
      <c r="A380" s="114" t="s">
        <v>381</v>
      </c>
      <c r="B380" s="114" t="s">
        <v>8431</v>
      </c>
      <c r="C380" s="121">
        <v>654161567</v>
      </c>
      <c r="D380" s="121">
        <v>671193714</v>
      </c>
      <c r="E380" s="121">
        <v>671193714</v>
      </c>
      <c r="F380" s="121">
        <v>654161567</v>
      </c>
      <c r="G380" s="121">
        <v>671193714</v>
      </c>
      <c r="H380" s="121">
        <v>654161567</v>
      </c>
    </row>
    <row r="381" spans="1:8">
      <c r="A381" s="114" t="s">
        <v>2458</v>
      </c>
      <c r="B381" s="114" t="s">
        <v>8432</v>
      </c>
      <c r="C381" s="121">
        <v>575260946</v>
      </c>
      <c r="D381" s="121">
        <v>582219744</v>
      </c>
      <c r="E381" s="121">
        <v>582219744</v>
      </c>
      <c r="F381" s="121">
        <v>575260946</v>
      </c>
      <c r="G381" s="121">
        <v>582219744</v>
      </c>
      <c r="H381" s="121">
        <v>575260946</v>
      </c>
    </row>
    <row r="382" spans="1:8">
      <c r="A382" s="114" t="s">
        <v>2459</v>
      </c>
      <c r="B382" s="114" t="s">
        <v>8433</v>
      </c>
      <c r="C382" s="121">
        <v>31626337</v>
      </c>
      <c r="D382" s="121">
        <v>32112583</v>
      </c>
      <c r="E382" s="121">
        <v>32112583</v>
      </c>
      <c r="F382" s="121">
        <v>31626337</v>
      </c>
      <c r="G382" s="121">
        <v>32112583</v>
      </c>
      <c r="H382" s="121">
        <v>31626337</v>
      </c>
    </row>
    <row r="383" spans="1:8">
      <c r="A383" s="114" t="s">
        <v>547</v>
      </c>
      <c r="B383" s="114" t="s">
        <v>8434</v>
      </c>
      <c r="C383" s="121">
        <v>81391339</v>
      </c>
      <c r="D383" s="121">
        <v>85982269</v>
      </c>
      <c r="E383" s="121">
        <v>85982269</v>
      </c>
      <c r="F383" s="121">
        <v>81391339</v>
      </c>
      <c r="G383" s="121">
        <v>85982269</v>
      </c>
      <c r="H383" s="121">
        <v>81391339</v>
      </c>
    </row>
    <row r="384" spans="1:8">
      <c r="A384" s="114" t="s">
        <v>2232</v>
      </c>
      <c r="B384" s="114" t="s">
        <v>8435</v>
      </c>
      <c r="C384" s="121">
        <v>61715580</v>
      </c>
      <c r="D384" s="121">
        <v>64380646</v>
      </c>
      <c r="E384" s="121">
        <v>64380646</v>
      </c>
      <c r="F384" s="121">
        <v>61715580</v>
      </c>
      <c r="G384" s="121">
        <v>64380646</v>
      </c>
      <c r="H384" s="121">
        <v>61715580</v>
      </c>
    </row>
    <row r="385" spans="1:8">
      <c r="A385" s="114" t="s">
        <v>2366</v>
      </c>
      <c r="B385" s="114" t="s">
        <v>8436</v>
      </c>
      <c r="C385" s="121">
        <v>1250214744</v>
      </c>
      <c r="D385" s="121">
        <v>1292313851</v>
      </c>
      <c r="E385" s="121">
        <v>1292313851</v>
      </c>
      <c r="F385" s="121">
        <v>1250214744</v>
      </c>
      <c r="G385" s="121">
        <v>1292313851</v>
      </c>
      <c r="H385" s="121">
        <v>1250214744</v>
      </c>
    </row>
    <row r="386" spans="1:8">
      <c r="A386" s="114" t="s">
        <v>2367</v>
      </c>
      <c r="B386" s="114" t="s">
        <v>8437</v>
      </c>
      <c r="C386" s="121">
        <v>155415520</v>
      </c>
      <c r="D386" s="121">
        <v>159611930</v>
      </c>
      <c r="E386" s="121">
        <v>159611930</v>
      </c>
      <c r="F386" s="121">
        <v>155415520</v>
      </c>
      <c r="G386" s="121">
        <v>159611930</v>
      </c>
      <c r="H386" s="121">
        <v>155415520</v>
      </c>
    </row>
    <row r="387" spans="1:8">
      <c r="A387" s="114" t="s">
        <v>169</v>
      </c>
      <c r="B387" s="114" t="s">
        <v>8438</v>
      </c>
      <c r="C387" s="121">
        <v>82190561</v>
      </c>
      <c r="D387" s="121">
        <v>83856120</v>
      </c>
      <c r="E387" s="121">
        <v>83856120</v>
      </c>
      <c r="F387" s="121">
        <v>82190561</v>
      </c>
      <c r="G387" s="121">
        <v>83856120</v>
      </c>
      <c r="H387" s="121">
        <v>82190561</v>
      </c>
    </row>
    <row r="388" spans="1:8">
      <c r="A388" s="114" t="s">
        <v>170</v>
      </c>
      <c r="B388" s="114" t="s">
        <v>8439</v>
      </c>
      <c r="C388" s="121">
        <v>295836399</v>
      </c>
      <c r="D388" s="121">
        <v>308793427</v>
      </c>
      <c r="E388" s="121">
        <v>308793427</v>
      </c>
      <c r="F388" s="121">
        <v>295836399</v>
      </c>
      <c r="G388" s="121">
        <v>308793427</v>
      </c>
      <c r="H388" s="121">
        <v>295836399</v>
      </c>
    </row>
    <row r="389" spans="1:8">
      <c r="A389" s="114" t="s">
        <v>2867</v>
      </c>
      <c r="B389" s="114" t="s">
        <v>8440</v>
      </c>
      <c r="C389" s="121">
        <v>167628227</v>
      </c>
      <c r="D389" s="121">
        <v>174786236</v>
      </c>
      <c r="E389" s="121">
        <v>174786236</v>
      </c>
      <c r="F389" s="121">
        <v>167628227</v>
      </c>
      <c r="G389" s="121">
        <v>174786236</v>
      </c>
      <c r="H389" s="121">
        <v>167628227</v>
      </c>
    </row>
    <row r="390" spans="1:8">
      <c r="A390" s="114" t="s">
        <v>2674</v>
      </c>
      <c r="B390" s="114" t="s">
        <v>8441</v>
      </c>
      <c r="C390" s="121">
        <v>264178999</v>
      </c>
      <c r="D390" s="121">
        <v>267738572</v>
      </c>
      <c r="E390" s="121">
        <v>267738572</v>
      </c>
      <c r="F390" s="121">
        <v>264178999</v>
      </c>
      <c r="G390" s="121">
        <v>292111572</v>
      </c>
      <c r="H390" s="121">
        <v>288551999</v>
      </c>
    </row>
    <row r="391" spans="1:8">
      <c r="A391" s="114" t="s">
        <v>1281</v>
      </c>
      <c r="B391" s="114" t="s">
        <v>8442</v>
      </c>
      <c r="C391" s="121">
        <v>110348212</v>
      </c>
      <c r="D391" s="121">
        <v>110931363</v>
      </c>
      <c r="E391" s="121">
        <v>110466908</v>
      </c>
      <c r="F391" s="121">
        <v>109883757</v>
      </c>
      <c r="G391" s="121">
        <v>110466908</v>
      </c>
      <c r="H391" s="121">
        <v>109883757</v>
      </c>
    </row>
    <row r="392" spans="1:8">
      <c r="A392" s="114" t="s">
        <v>1282</v>
      </c>
      <c r="B392" s="114" t="s">
        <v>8443</v>
      </c>
      <c r="C392" s="121">
        <v>338205435</v>
      </c>
      <c r="D392" s="121">
        <v>346439597</v>
      </c>
      <c r="E392" s="121">
        <v>346439597</v>
      </c>
      <c r="F392" s="121">
        <v>338205435</v>
      </c>
      <c r="G392" s="121">
        <v>373719597</v>
      </c>
      <c r="H392" s="121">
        <v>365485435</v>
      </c>
    </row>
    <row r="393" spans="1:8">
      <c r="A393" s="114" t="s">
        <v>2416</v>
      </c>
      <c r="B393" s="114" t="s">
        <v>8444</v>
      </c>
      <c r="C393" s="121">
        <v>115267079</v>
      </c>
      <c r="D393" s="121">
        <v>116914089</v>
      </c>
      <c r="E393" s="121">
        <v>116914089</v>
      </c>
      <c r="F393" s="121">
        <v>115267079</v>
      </c>
      <c r="G393" s="121">
        <v>173990099</v>
      </c>
      <c r="H393" s="121">
        <v>172343089</v>
      </c>
    </row>
    <row r="394" spans="1:8">
      <c r="A394" s="114" t="s">
        <v>2417</v>
      </c>
      <c r="B394" s="114" t="s">
        <v>8445</v>
      </c>
      <c r="C394" s="121">
        <v>289167333</v>
      </c>
      <c r="D394" s="121">
        <v>294111183</v>
      </c>
      <c r="E394" s="121">
        <v>294111183</v>
      </c>
      <c r="F394" s="121">
        <v>289167333</v>
      </c>
      <c r="G394" s="121">
        <v>294111183</v>
      </c>
      <c r="H394" s="121">
        <v>289167333</v>
      </c>
    </row>
    <row r="395" spans="1:8">
      <c r="A395" s="114" t="s">
        <v>1158</v>
      </c>
      <c r="B395" s="114" t="s">
        <v>8446</v>
      </c>
      <c r="C395" s="121">
        <v>365293267</v>
      </c>
      <c r="D395" s="121">
        <v>382311357</v>
      </c>
      <c r="E395" s="121">
        <v>373802232</v>
      </c>
      <c r="F395" s="121">
        <v>356784142</v>
      </c>
      <c r="G395" s="121">
        <v>373802232</v>
      </c>
      <c r="H395" s="121">
        <v>356784142</v>
      </c>
    </row>
    <row r="396" spans="1:8">
      <c r="A396" s="114" t="s">
        <v>1312</v>
      </c>
      <c r="B396" s="114" t="s">
        <v>8447</v>
      </c>
      <c r="C396" s="121">
        <v>771032818</v>
      </c>
      <c r="D396" s="121">
        <v>808167647</v>
      </c>
      <c r="E396" s="121">
        <v>808167647</v>
      </c>
      <c r="F396" s="121">
        <v>771032818</v>
      </c>
      <c r="G396" s="121">
        <v>808167647</v>
      </c>
      <c r="H396" s="121">
        <v>771032818</v>
      </c>
    </row>
    <row r="397" spans="1:8">
      <c r="A397" s="114" t="s">
        <v>416</v>
      </c>
      <c r="B397" s="114" t="s">
        <v>8448</v>
      </c>
      <c r="C397" s="121">
        <v>877257532</v>
      </c>
      <c r="D397" s="121">
        <v>904428080</v>
      </c>
      <c r="E397" s="121">
        <v>871657031</v>
      </c>
      <c r="F397" s="121">
        <v>844486483</v>
      </c>
      <c r="G397" s="121">
        <v>871657031</v>
      </c>
      <c r="H397" s="121">
        <v>844486483</v>
      </c>
    </row>
    <row r="398" spans="1:8">
      <c r="A398" s="114" t="s">
        <v>2608</v>
      </c>
      <c r="B398" s="114" t="s">
        <v>8449</v>
      </c>
      <c r="C398" s="121">
        <v>1123193444</v>
      </c>
      <c r="D398" s="121">
        <v>1174638707</v>
      </c>
      <c r="E398" s="121">
        <v>1174638707</v>
      </c>
      <c r="F398" s="121">
        <v>1123193444</v>
      </c>
      <c r="G398" s="121">
        <v>1174638707</v>
      </c>
      <c r="H398" s="121">
        <v>1123193444</v>
      </c>
    </row>
    <row r="399" spans="1:8">
      <c r="A399" s="114" t="s">
        <v>1346</v>
      </c>
      <c r="B399" s="114" t="s">
        <v>8450</v>
      </c>
      <c r="C399" s="121">
        <v>195759022</v>
      </c>
      <c r="D399" s="121">
        <v>202713142</v>
      </c>
      <c r="E399" s="121">
        <v>202713142</v>
      </c>
      <c r="F399" s="121">
        <v>195759022</v>
      </c>
      <c r="G399" s="121">
        <v>202713142</v>
      </c>
      <c r="H399" s="121">
        <v>195759022</v>
      </c>
    </row>
    <row r="400" spans="1:8">
      <c r="A400" s="114" t="s">
        <v>639</v>
      </c>
      <c r="B400" s="114" t="s">
        <v>8451</v>
      </c>
      <c r="C400" s="121">
        <v>18996495138</v>
      </c>
      <c r="D400" s="121">
        <v>19327469450</v>
      </c>
      <c r="E400" s="121">
        <v>19327469450</v>
      </c>
      <c r="F400" s="121">
        <v>18996495138</v>
      </c>
      <c r="G400" s="121">
        <v>19327469450</v>
      </c>
      <c r="H400" s="121">
        <v>18996495138</v>
      </c>
    </row>
    <row r="401" spans="1:8">
      <c r="A401" s="114" t="s">
        <v>222</v>
      </c>
      <c r="B401" s="114" t="s">
        <v>8452</v>
      </c>
      <c r="C401" s="121">
        <v>15173766024</v>
      </c>
      <c r="D401" s="121">
        <v>15440912296</v>
      </c>
      <c r="E401" s="121">
        <v>15440912296</v>
      </c>
      <c r="F401" s="121">
        <v>15173766024</v>
      </c>
      <c r="G401" s="121">
        <v>15440912296</v>
      </c>
      <c r="H401" s="121">
        <v>15173766024</v>
      </c>
    </row>
    <row r="402" spans="1:8">
      <c r="A402" s="114" t="s">
        <v>2641</v>
      </c>
      <c r="B402" s="114" t="s">
        <v>8453</v>
      </c>
      <c r="C402" s="121">
        <v>2996821534</v>
      </c>
      <c r="D402" s="121">
        <v>3055417793</v>
      </c>
      <c r="E402" s="121">
        <v>3055417793</v>
      </c>
      <c r="F402" s="121">
        <v>2996821534</v>
      </c>
      <c r="G402" s="121">
        <v>3055417793</v>
      </c>
      <c r="H402" s="121">
        <v>2996821534</v>
      </c>
    </row>
    <row r="403" spans="1:8">
      <c r="A403" s="114" t="s">
        <v>2758</v>
      </c>
      <c r="B403" s="114" t="s">
        <v>8454</v>
      </c>
      <c r="C403" s="121">
        <v>1781943068</v>
      </c>
      <c r="D403" s="121">
        <v>1841950620</v>
      </c>
      <c r="E403" s="121">
        <v>1841950620</v>
      </c>
      <c r="F403" s="121">
        <v>1781943068</v>
      </c>
      <c r="G403" s="121">
        <v>1841950620</v>
      </c>
      <c r="H403" s="121">
        <v>1781943068</v>
      </c>
    </row>
    <row r="404" spans="1:8">
      <c r="A404" s="114" t="s">
        <v>2642</v>
      </c>
      <c r="B404" s="114" t="s">
        <v>8455</v>
      </c>
      <c r="C404" s="121">
        <v>53445904613</v>
      </c>
      <c r="D404" s="121">
        <v>54631455787</v>
      </c>
      <c r="E404" s="121">
        <v>52033051767</v>
      </c>
      <c r="F404" s="121">
        <v>50847500593</v>
      </c>
      <c r="G404" s="121">
        <v>52033051767</v>
      </c>
      <c r="H404" s="121">
        <v>50847500593</v>
      </c>
    </row>
    <row r="405" spans="1:8">
      <c r="A405" s="114" t="s">
        <v>2481</v>
      </c>
      <c r="B405" s="114" t="s">
        <v>8456</v>
      </c>
      <c r="C405" s="121">
        <v>8136436529</v>
      </c>
      <c r="D405" s="121">
        <v>8249301614</v>
      </c>
      <c r="E405" s="121">
        <v>8057878739</v>
      </c>
      <c r="F405" s="121">
        <v>7945013654</v>
      </c>
      <c r="G405" s="121">
        <v>8181864119</v>
      </c>
      <c r="H405" s="121">
        <v>8068999034</v>
      </c>
    </row>
    <row r="406" spans="1:8">
      <c r="A406" s="114" t="s">
        <v>1608</v>
      </c>
      <c r="B406" s="114" t="s">
        <v>8457</v>
      </c>
      <c r="C406" s="121">
        <v>8708927783</v>
      </c>
      <c r="D406" s="121">
        <v>8833112719</v>
      </c>
      <c r="E406" s="121">
        <v>8707677838</v>
      </c>
      <c r="F406" s="121">
        <v>8583492902</v>
      </c>
      <c r="G406" s="121">
        <v>8707677838</v>
      </c>
      <c r="H406" s="121">
        <v>8583492902</v>
      </c>
    </row>
    <row r="407" spans="1:8">
      <c r="A407" s="114" t="s">
        <v>2300</v>
      </c>
      <c r="B407" s="114" t="s">
        <v>8458</v>
      </c>
      <c r="C407" s="121">
        <v>11288274587</v>
      </c>
      <c r="D407" s="121">
        <v>11475660704</v>
      </c>
      <c r="E407" s="121">
        <v>11349957806</v>
      </c>
      <c r="F407" s="121">
        <v>11162571689</v>
      </c>
      <c r="G407" s="121">
        <v>12123744604</v>
      </c>
      <c r="H407" s="121">
        <v>11936358487</v>
      </c>
    </row>
    <row r="408" spans="1:8">
      <c r="A408" s="114" t="s">
        <v>2921</v>
      </c>
      <c r="B408" s="114" t="s">
        <v>8459</v>
      </c>
      <c r="C408" s="121">
        <v>174202421321</v>
      </c>
      <c r="D408" s="121">
        <v>176376324967</v>
      </c>
      <c r="E408" s="121">
        <v>169111579107</v>
      </c>
      <c r="F408" s="121">
        <v>166937675461</v>
      </c>
      <c r="G408" s="121">
        <v>169111579107</v>
      </c>
      <c r="H408" s="121">
        <v>166937675461</v>
      </c>
    </row>
    <row r="409" spans="1:8">
      <c r="A409" s="114" t="s">
        <v>1278</v>
      </c>
      <c r="B409" s="114" t="s">
        <v>8460</v>
      </c>
      <c r="C409" s="121">
        <v>14674616926</v>
      </c>
      <c r="D409" s="121">
        <v>15119644284</v>
      </c>
      <c r="E409" s="121">
        <v>15119644284</v>
      </c>
      <c r="F409" s="121">
        <v>14674616926</v>
      </c>
      <c r="G409" s="121">
        <v>15119644284</v>
      </c>
      <c r="H409" s="121">
        <v>14674616926</v>
      </c>
    </row>
    <row r="410" spans="1:8">
      <c r="A410" s="114" t="s">
        <v>55</v>
      </c>
      <c r="B410" s="114" t="s">
        <v>8461</v>
      </c>
      <c r="C410" s="121">
        <v>37840839403</v>
      </c>
      <c r="D410" s="121">
        <v>38544724369</v>
      </c>
      <c r="E410" s="121">
        <v>38544724369</v>
      </c>
      <c r="F410" s="121">
        <v>37840839403</v>
      </c>
      <c r="G410" s="121">
        <v>38544724369</v>
      </c>
      <c r="H410" s="121">
        <v>37840839403</v>
      </c>
    </row>
    <row r="411" spans="1:8">
      <c r="A411" s="114" t="s">
        <v>62</v>
      </c>
      <c r="B411" s="114" t="s">
        <v>8462</v>
      </c>
      <c r="C411" s="121">
        <v>20178095594</v>
      </c>
      <c r="D411" s="121">
        <v>20728066753</v>
      </c>
      <c r="E411" s="121">
        <v>20728066753</v>
      </c>
      <c r="F411" s="121">
        <v>20178095594</v>
      </c>
      <c r="G411" s="121">
        <v>20728066753</v>
      </c>
      <c r="H411" s="121">
        <v>20178095594</v>
      </c>
    </row>
    <row r="412" spans="1:8">
      <c r="A412" s="114" t="s">
        <v>2922</v>
      </c>
      <c r="B412" s="114" t="s">
        <v>8463</v>
      </c>
      <c r="C412" s="121">
        <v>8958137307</v>
      </c>
      <c r="D412" s="121">
        <v>9060506423</v>
      </c>
      <c r="E412" s="121">
        <v>8882323937</v>
      </c>
      <c r="F412" s="121">
        <v>8779954821</v>
      </c>
      <c r="G412" s="121">
        <v>9963930557</v>
      </c>
      <c r="H412" s="121">
        <v>9861561441</v>
      </c>
    </row>
    <row r="413" spans="1:8">
      <c r="A413" s="114" t="s">
        <v>234</v>
      </c>
      <c r="B413" s="114" t="s">
        <v>8464</v>
      </c>
      <c r="C413" s="121">
        <v>13610439396</v>
      </c>
      <c r="D413" s="121">
        <v>13976270099</v>
      </c>
      <c r="E413" s="121">
        <v>13735651481</v>
      </c>
      <c r="F413" s="121">
        <v>13369820778</v>
      </c>
      <c r="G413" s="121">
        <v>13735651481</v>
      </c>
      <c r="H413" s="121">
        <v>13369820778</v>
      </c>
    </row>
    <row r="414" spans="1:8">
      <c r="A414" s="114" t="s">
        <v>743</v>
      </c>
      <c r="B414" s="114" t="s">
        <v>8465</v>
      </c>
      <c r="C414" s="121">
        <v>12455825591</v>
      </c>
      <c r="D414" s="121">
        <v>12725880637</v>
      </c>
      <c r="E414" s="121">
        <v>12725880637</v>
      </c>
      <c r="F414" s="121">
        <v>12455825591</v>
      </c>
      <c r="G414" s="121">
        <v>12725880637</v>
      </c>
      <c r="H414" s="121">
        <v>12455825591</v>
      </c>
    </row>
    <row r="415" spans="1:8">
      <c r="A415" s="114" t="s">
        <v>918</v>
      </c>
      <c r="B415" s="114" t="s">
        <v>8466</v>
      </c>
      <c r="C415" s="121">
        <v>33275617186</v>
      </c>
      <c r="D415" s="121">
        <v>33604945685</v>
      </c>
      <c r="E415" s="121">
        <v>31486286037</v>
      </c>
      <c r="F415" s="121">
        <v>31156957538</v>
      </c>
      <c r="G415" s="121">
        <v>31486286037</v>
      </c>
      <c r="H415" s="121">
        <v>31156957538</v>
      </c>
    </row>
    <row r="416" spans="1:8">
      <c r="A416" s="114" t="s">
        <v>2221</v>
      </c>
      <c r="B416" s="114" t="s">
        <v>8467</v>
      </c>
      <c r="C416" s="121">
        <v>10227349868</v>
      </c>
      <c r="D416" s="121">
        <v>10410341726</v>
      </c>
      <c r="E416" s="121">
        <v>10410341726</v>
      </c>
      <c r="F416" s="121">
        <v>10227349868</v>
      </c>
      <c r="G416" s="121">
        <v>10410341726</v>
      </c>
      <c r="H416" s="121">
        <v>10227349868</v>
      </c>
    </row>
    <row r="417" spans="1:8">
      <c r="A417" s="114" t="s">
        <v>2222</v>
      </c>
      <c r="B417" s="114" t="s">
        <v>8468</v>
      </c>
      <c r="C417" s="121">
        <v>5438872722</v>
      </c>
      <c r="D417" s="121">
        <v>5496053492</v>
      </c>
      <c r="E417" s="121">
        <v>5427289059</v>
      </c>
      <c r="F417" s="121">
        <v>5370108289</v>
      </c>
      <c r="G417" s="121">
        <v>5725821819</v>
      </c>
      <c r="H417" s="121">
        <v>5668641049</v>
      </c>
    </row>
    <row r="418" spans="1:8">
      <c r="A418" s="114" t="s">
        <v>979</v>
      </c>
      <c r="B418" s="114" t="s">
        <v>8469</v>
      </c>
      <c r="C418" s="121">
        <v>1132888632</v>
      </c>
      <c r="D418" s="121">
        <v>1169953280</v>
      </c>
      <c r="E418" s="121">
        <v>1169953280</v>
      </c>
      <c r="F418" s="121">
        <v>1132888632</v>
      </c>
      <c r="G418" s="121">
        <v>1169953280</v>
      </c>
      <c r="H418" s="121">
        <v>1132888632</v>
      </c>
    </row>
    <row r="419" spans="1:8">
      <c r="A419" s="114" t="s">
        <v>2223</v>
      </c>
      <c r="B419" s="114" t="s">
        <v>8470</v>
      </c>
      <c r="C419" s="121">
        <v>205205789</v>
      </c>
      <c r="D419" s="121">
        <v>209990738</v>
      </c>
      <c r="E419" s="121">
        <v>202798332</v>
      </c>
      <c r="F419" s="121">
        <v>198013383</v>
      </c>
      <c r="G419" s="121">
        <v>202798332</v>
      </c>
      <c r="H419" s="121">
        <v>198013383</v>
      </c>
    </row>
    <row r="420" spans="1:8">
      <c r="A420" s="114" t="s">
        <v>1692</v>
      </c>
      <c r="B420" s="114" t="s">
        <v>8471</v>
      </c>
      <c r="C420" s="121">
        <v>2421363318</v>
      </c>
      <c r="D420" s="121">
        <v>2479092392</v>
      </c>
      <c r="E420" s="121">
        <v>2400304413</v>
      </c>
      <c r="F420" s="121">
        <v>2342575339</v>
      </c>
      <c r="G420" s="121">
        <v>2400304413</v>
      </c>
      <c r="H420" s="121">
        <v>2342575339</v>
      </c>
    </row>
    <row r="421" spans="1:8">
      <c r="A421" s="114" t="s">
        <v>1693</v>
      </c>
      <c r="B421" s="114" t="s">
        <v>8472</v>
      </c>
      <c r="C421" s="121">
        <v>410513562</v>
      </c>
      <c r="D421" s="121">
        <v>416900977</v>
      </c>
      <c r="E421" s="121">
        <v>407892907</v>
      </c>
      <c r="F421" s="121">
        <v>401505492</v>
      </c>
      <c r="G421" s="121">
        <v>407892907</v>
      </c>
      <c r="H421" s="121">
        <v>401505492</v>
      </c>
    </row>
    <row r="422" spans="1:8">
      <c r="A422" s="114" t="s">
        <v>1694</v>
      </c>
      <c r="B422" s="114" t="s">
        <v>8473</v>
      </c>
      <c r="C422" s="121">
        <v>2635161666</v>
      </c>
      <c r="D422" s="121">
        <v>2680525019</v>
      </c>
      <c r="E422" s="121">
        <v>2588739456</v>
      </c>
      <c r="F422" s="121">
        <v>2543376103</v>
      </c>
      <c r="G422" s="121">
        <v>2588739456</v>
      </c>
      <c r="H422" s="121">
        <v>2543376103</v>
      </c>
    </row>
    <row r="423" spans="1:8">
      <c r="A423" s="114" t="s">
        <v>1765</v>
      </c>
      <c r="B423" s="114" t="s">
        <v>8474</v>
      </c>
      <c r="C423" s="121">
        <v>164054725</v>
      </c>
      <c r="D423" s="121">
        <v>169948692</v>
      </c>
      <c r="E423" s="121">
        <v>159709432</v>
      </c>
      <c r="F423" s="121">
        <v>153815465</v>
      </c>
      <c r="G423" s="121">
        <v>159709432</v>
      </c>
      <c r="H423" s="121">
        <v>153815465</v>
      </c>
    </row>
    <row r="424" spans="1:8">
      <c r="A424" s="114" t="s">
        <v>1766</v>
      </c>
      <c r="B424" s="114" t="s">
        <v>8475</v>
      </c>
      <c r="C424" s="121">
        <v>323337951</v>
      </c>
      <c r="D424" s="121">
        <v>333806500</v>
      </c>
      <c r="E424" s="121">
        <v>319952777</v>
      </c>
      <c r="F424" s="121">
        <v>309484228</v>
      </c>
      <c r="G424" s="121">
        <v>319952777</v>
      </c>
      <c r="H424" s="121">
        <v>309484228</v>
      </c>
    </row>
    <row r="425" spans="1:8">
      <c r="A425" s="114" t="s">
        <v>539</v>
      </c>
      <c r="B425" s="114" t="s">
        <v>8476</v>
      </c>
      <c r="C425" s="121">
        <v>206409158</v>
      </c>
      <c r="D425" s="121">
        <v>207072498</v>
      </c>
      <c r="E425" s="121">
        <v>207072498</v>
      </c>
      <c r="F425" s="121">
        <v>206409158</v>
      </c>
      <c r="G425" s="121">
        <v>207072498</v>
      </c>
      <c r="H425" s="121">
        <v>206409158</v>
      </c>
    </row>
    <row r="426" spans="1:8">
      <c r="A426" s="114" t="s">
        <v>506</v>
      </c>
      <c r="B426" s="114" t="s">
        <v>8477</v>
      </c>
      <c r="C426" s="121">
        <v>184641236</v>
      </c>
      <c r="D426" s="121">
        <v>185554276</v>
      </c>
      <c r="E426" s="121">
        <v>185554276</v>
      </c>
      <c r="F426" s="121">
        <v>184641236</v>
      </c>
      <c r="G426" s="121">
        <v>185554276</v>
      </c>
      <c r="H426" s="121">
        <v>184641236</v>
      </c>
    </row>
    <row r="427" spans="1:8">
      <c r="A427" s="114" t="s">
        <v>507</v>
      </c>
      <c r="B427" s="114" t="s">
        <v>8478</v>
      </c>
      <c r="C427" s="121">
        <v>180918033</v>
      </c>
      <c r="D427" s="121">
        <v>188072003</v>
      </c>
      <c r="E427" s="121">
        <v>188072003</v>
      </c>
      <c r="F427" s="121">
        <v>180918033</v>
      </c>
      <c r="G427" s="121">
        <v>347129793</v>
      </c>
      <c r="H427" s="121">
        <v>339975823</v>
      </c>
    </row>
    <row r="428" spans="1:8">
      <c r="A428" s="114" t="s">
        <v>508</v>
      </c>
      <c r="B428" s="114" t="s">
        <v>8479</v>
      </c>
      <c r="C428" s="121">
        <v>37835270</v>
      </c>
      <c r="D428" s="121">
        <v>39066270</v>
      </c>
      <c r="E428" s="121">
        <v>38386265</v>
      </c>
      <c r="F428" s="121">
        <v>37155265</v>
      </c>
      <c r="G428" s="121">
        <v>38386265</v>
      </c>
      <c r="H428" s="121">
        <v>37155265</v>
      </c>
    </row>
    <row r="429" spans="1:8">
      <c r="A429" s="114" t="s">
        <v>509</v>
      </c>
      <c r="B429" s="114" t="s">
        <v>8480</v>
      </c>
      <c r="C429" s="121">
        <v>172193245</v>
      </c>
      <c r="D429" s="121">
        <v>172778175</v>
      </c>
      <c r="E429" s="121">
        <v>172778175</v>
      </c>
      <c r="F429" s="121">
        <v>172193245</v>
      </c>
      <c r="G429" s="121">
        <v>322617605</v>
      </c>
      <c r="H429" s="121">
        <v>322032675</v>
      </c>
    </row>
    <row r="430" spans="1:8">
      <c r="A430" s="114" t="s">
        <v>1304</v>
      </c>
      <c r="B430" s="114" t="s">
        <v>8481</v>
      </c>
      <c r="C430" s="121">
        <v>5174998736</v>
      </c>
      <c r="D430" s="121">
        <v>5243011818</v>
      </c>
      <c r="E430" s="121">
        <v>5243011818</v>
      </c>
      <c r="F430" s="121">
        <v>5174998736</v>
      </c>
      <c r="G430" s="121">
        <v>5243011818</v>
      </c>
      <c r="H430" s="121">
        <v>5174998736</v>
      </c>
    </row>
    <row r="431" spans="1:8">
      <c r="A431" s="114" t="s">
        <v>1678</v>
      </c>
      <c r="B431" s="114" t="s">
        <v>8482</v>
      </c>
      <c r="C431" s="121">
        <v>4358104307</v>
      </c>
      <c r="D431" s="121">
        <v>4438971064</v>
      </c>
      <c r="E431" s="121">
        <v>4438971064</v>
      </c>
      <c r="F431" s="121">
        <v>4358104307</v>
      </c>
      <c r="G431" s="121">
        <v>4438971064</v>
      </c>
      <c r="H431" s="121">
        <v>4358104307</v>
      </c>
    </row>
    <row r="432" spans="1:8">
      <c r="A432" s="114" t="s">
        <v>1467</v>
      </c>
      <c r="B432" s="114" t="s">
        <v>8483</v>
      </c>
      <c r="C432" s="121">
        <v>1886260197</v>
      </c>
      <c r="D432" s="121">
        <v>1929539038</v>
      </c>
      <c r="E432" s="121">
        <v>1929539038</v>
      </c>
      <c r="F432" s="121">
        <v>1886260197</v>
      </c>
      <c r="G432" s="121">
        <v>1929539038</v>
      </c>
      <c r="H432" s="121">
        <v>1886260197</v>
      </c>
    </row>
    <row r="433" spans="1:8">
      <c r="A433" s="114" t="s">
        <v>2129</v>
      </c>
      <c r="B433" s="114" t="s">
        <v>8484</v>
      </c>
      <c r="C433" s="121">
        <v>6828380579</v>
      </c>
      <c r="D433" s="121">
        <v>7011941841</v>
      </c>
      <c r="E433" s="121">
        <v>7011941841</v>
      </c>
      <c r="F433" s="121">
        <v>6828380579</v>
      </c>
      <c r="G433" s="121">
        <v>7011941841</v>
      </c>
      <c r="H433" s="121">
        <v>6828380579</v>
      </c>
    </row>
    <row r="434" spans="1:8">
      <c r="A434" s="114" t="s">
        <v>1918</v>
      </c>
      <c r="B434" s="114" t="s">
        <v>8485</v>
      </c>
      <c r="C434" s="121">
        <v>1166245829</v>
      </c>
      <c r="D434" s="121">
        <v>1173479199</v>
      </c>
      <c r="E434" s="121">
        <v>1163801954</v>
      </c>
      <c r="F434" s="121">
        <v>1156568584</v>
      </c>
      <c r="G434" s="121">
        <v>1174660984</v>
      </c>
      <c r="H434" s="121">
        <v>1167427614</v>
      </c>
    </row>
    <row r="435" spans="1:8">
      <c r="A435" s="114" t="s">
        <v>1919</v>
      </c>
      <c r="B435" s="114" t="s">
        <v>8486</v>
      </c>
      <c r="C435" s="121">
        <v>1304805233</v>
      </c>
      <c r="D435" s="121">
        <v>1349197516</v>
      </c>
      <c r="E435" s="121">
        <v>1349197516</v>
      </c>
      <c r="F435" s="121">
        <v>1304805233</v>
      </c>
      <c r="G435" s="121">
        <v>1349197516</v>
      </c>
      <c r="H435" s="121">
        <v>1304805233</v>
      </c>
    </row>
    <row r="436" spans="1:8">
      <c r="A436" s="114" t="s">
        <v>2912</v>
      </c>
      <c r="B436" s="114" t="s">
        <v>8487</v>
      </c>
      <c r="C436" s="121">
        <v>665869065</v>
      </c>
      <c r="D436" s="121">
        <v>703453186</v>
      </c>
      <c r="E436" s="121">
        <v>656866330</v>
      </c>
      <c r="F436" s="121">
        <v>619282209</v>
      </c>
      <c r="G436" s="121">
        <v>656866330</v>
      </c>
      <c r="H436" s="121">
        <v>619282209</v>
      </c>
    </row>
    <row r="437" spans="1:8">
      <c r="A437" s="114" t="s">
        <v>2879</v>
      </c>
      <c r="B437" s="114" t="s">
        <v>8488</v>
      </c>
      <c r="C437" s="121">
        <v>263067528</v>
      </c>
      <c r="D437" s="121">
        <v>269259575</v>
      </c>
      <c r="E437" s="121">
        <v>269259575</v>
      </c>
      <c r="F437" s="121">
        <v>263067528</v>
      </c>
      <c r="G437" s="121">
        <v>269259575</v>
      </c>
      <c r="H437" s="121">
        <v>263067528</v>
      </c>
    </row>
    <row r="438" spans="1:8">
      <c r="A438" s="114" t="s">
        <v>2284</v>
      </c>
      <c r="B438" s="114" t="s">
        <v>8489</v>
      </c>
      <c r="C438" s="121">
        <v>557257789</v>
      </c>
      <c r="D438" s="121">
        <v>573361352</v>
      </c>
      <c r="E438" s="121">
        <v>548589960</v>
      </c>
      <c r="F438" s="121">
        <v>532486397</v>
      </c>
      <c r="G438" s="121">
        <v>548589960</v>
      </c>
      <c r="H438" s="121">
        <v>532486397</v>
      </c>
    </row>
    <row r="439" spans="1:8">
      <c r="A439" s="114" t="s">
        <v>71</v>
      </c>
      <c r="B439" s="114" t="s">
        <v>8490</v>
      </c>
      <c r="C439" s="121">
        <v>1221032663</v>
      </c>
      <c r="D439" s="121">
        <v>1244585105</v>
      </c>
      <c r="E439" s="121">
        <v>1244585105</v>
      </c>
      <c r="F439" s="121">
        <v>1221032663</v>
      </c>
      <c r="G439" s="121">
        <v>1244585105</v>
      </c>
      <c r="H439" s="121">
        <v>1221032663</v>
      </c>
    </row>
    <row r="440" spans="1:8">
      <c r="A440" s="114" t="s">
        <v>1711</v>
      </c>
      <c r="B440" s="114" t="s">
        <v>8491</v>
      </c>
      <c r="C440" s="121">
        <v>46618342</v>
      </c>
      <c r="D440" s="121">
        <v>48263408</v>
      </c>
      <c r="E440" s="121">
        <v>47346850</v>
      </c>
      <c r="F440" s="121">
        <v>45701784</v>
      </c>
      <c r="G440" s="121">
        <v>47346850</v>
      </c>
      <c r="H440" s="121">
        <v>45701784</v>
      </c>
    </row>
    <row r="441" spans="1:8">
      <c r="A441" s="114" t="s">
        <v>980</v>
      </c>
      <c r="B441" s="114" t="s">
        <v>8492</v>
      </c>
      <c r="C441" s="121">
        <v>36333603</v>
      </c>
      <c r="D441" s="121">
        <v>38146393</v>
      </c>
      <c r="E441" s="121">
        <v>38146393</v>
      </c>
      <c r="F441" s="121">
        <v>36333603</v>
      </c>
      <c r="G441" s="121">
        <v>38146393</v>
      </c>
      <c r="H441" s="121">
        <v>36333603</v>
      </c>
    </row>
    <row r="442" spans="1:8">
      <c r="A442" s="114" t="s">
        <v>72</v>
      </c>
      <c r="B442" s="114" t="s">
        <v>8493</v>
      </c>
      <c r="C442" s="121">
        <v>186818571</v>
      </c>
      <c r="D442" s="121">
        <v>193055247</v>
      </c>
      <c r="E442" s="121">
        <v>184881069</v>
      </c>
      <c r="F442" s="121">
        <v>178644393</v>
      </c>
      <c r="G442" s="121">
        <v>184881069</v>
      </c>
      <c r="H442" s="121">
        <v>178644393</v>
      </c>
    </row>
    <row r="443" spans="1:8">
      <c r="A443" s="114" t="s">
        <v>2437</v>
      </c>
      <c r="B443" s="114" t="s">
        <v>8494</v>
      </c>
      <c r="C443" s="121">
        <v>1396441933</v>
      </c>
      <c r="D443" s="121">
        <v>1477785525</v>
      </c>
      <c r="E443" s="121">
        <v>1477785525</v>
      </c>
      <c r="F443" s="121">
        <v>1396441933</v>
      </c>
      <c r="G443" s="121">
        <v>1477785525</v>
      </c>
      <c r="H443" s="121">
        <v>1396441933</v>
      </c>
    </row>
    <row r="444" spans="1:8">
      <c r="A444" s="114" t="s">
        <v>873</v>
      </c>
      <c r="B444" s="114" t="s">
        <v>8495</v>
      </c>
      <c r="C444" s="121">
        <v>312630406</v>
      </c>
      <c r="D444" s="121">
        <v>337822836</v>
      </c>
      <c r="E444" s="121">
        <v>337822836</v>
      </c>
      <c r="F444" s="121">
        <v>312630406</v>
      </c>
      <c r="G444" s="121">
        <v>337822836</v>
      </c>
      <c r="H444" s="121">
        <v>312630406</v>
      </c>
    </row>
    <row r="445" spans="1:8">
      <c r="A445" s="114" t="s">
        <v>875</v>
      </c>
      <c r="B445" s="114" t="s">
        <v>8496</v>
      </c>
      <c r="C445" s="121">
        <v>6088949383</v>
      </c>
      <c r="D445" s="121">
        <v>6301847825</v>
      </c>
      <c r="E445" s="121">
        <v>6301847825</v>
      </c>
      <c r="F445" s="121">
        <v>6088949383</v>
      </c>
      <c r="G445" s="121">
        <v>6511630223</v>
      </c>
      <c r="H445" s="121">
        <v>6298731781</v>
      </c>
    </row>
    <row r="446" spans="1:8">
      <c r="A446" s="114" t="s">
        <v>2131</v>
      </c>
      <c r="B446" s="114" t="s">
        <v>8497</v>
      </c>
      <c r="C446" s="121">
        <v>507593090</v>
      </c>
      <c r="D446" s="121">
        <v>518974625</v>
      </c>
      <c r="E446" s="121">
        <v>518974625</v>
      </c>
      <c r="F446" s="121">
        <v>507593090</v>
      </c>
      <c r="G446" s="121">
        <v>518974625</v>
      </c>
      <c r="H446" s="121">
        <v>507593090</v>
      </c>
    </row>
    <row r="447" spans="1:8">
      <c r="A447" s="114" t="s">
        <v>2894</v>
      </c>
      <c r="B447" s="114" t="s">
        <v>8498</v>
      </c>
      <c r="C447" s="121">
        <v>7075953235</v>
      </c>
      <c r="D447" s="121">
        <v>7269428217</v>
      </c>
      <c r="E447" s="121">
        <v>7269428217</v>
      </c>
      <c r="F447" s="121">
        <v>7075953235</v>
      </c>
      <c r="G447" s="121">
        <v>7269428217</v>
      </c>
      <c r="H447" s="121">
        <v>7075953235</v>
      </c>
    </row>
    <row r="448" spans="1:8">
      <c r="A448" s="114" t="s">
        <v>2897</v>
      </c>
      <c r="B448" s="114" t="s">
        <v>8499</v>
      </c>
      <c r="C448" s="121">
        <v>526504611</v>
      </c>
      <c r="D448" s="121">
        <v>554849655</v>
      </c>
      <c r="E448" s="121">
        <v>554849655</v>
      </c>
      <c r="F448" s="121">
        <v>526504611</v>
      </c>
      <c r="G448" s="121">
        <v>554849655</v>
      </c>
      <c r="H448" s="121">
        <v>526504611</v>
      </c>
    </row>
    <row r="449" spans="1:8">
      <c r="A449" s="114" t="s">
        <v>2903</v>
      </c>
      <c r="B449" s="114" t="s">
        <v>8500</v>
      </c>
      <c r="C449" s="121">
        <v>1964158900</v>
      </c>
      <c r="D449" s="121">
        <v>2065211439</v>
      </c>
      <c r="E449" s="121">
        <v>2065211439</v>
      </c>
      <c r="F449" s="121">
        <v>1964158900</v>
      </c>
      <c r="G449" s="121">
        <v>2065211439</v>
      </c>
      <c r="H449" s="121">
        <v>1964158900</v>
      </c>
    </row>
    <row r="450" spans="1:8">
      <c r="A450" s="114" t="s">
        <v>239</v>
      </c>
      <c r="B450" s="114" t="s">
        <v>8501</v>
      </c>
      <c r="C450" s="121">
        <v>4367328395</v>
      </c>
      <c r="D450" s="121">
        <v>4553366955</v>
      </c>
      <c r="E450" s="121">
        <v>4553366955</v>
      </c>
      <c r="F450" s="121">
        <v>4367328395</v>
      </c>
      <c r="G450" s="121">
        <v>4553366955</v>
      </c>
      <c r="H450" s="121">
        <v>4367328395</v>
      </c>
    </row>
    <row r="451" spans="1:8">
      <c r="A451" s="114" t="s">
        <v>1218</v>
      </c>
      <c r="B451" s="114" t="s">
        <v>8502</v>
      </c>
      <c r="C451" s="121">
        <v>173858844</v>
      </c>
      <c r="D451" s="121">
        <v>183967985</v>
      </c>
      <c r="E451" s="121">
        <v>183967985</v>
      </c>
      <c r="F451" s="121">
        <v>173858844</v>
      </c>
      <c r="G451" s="121">
        <v>183967985</v>
      </c>
      <c r="H451" s="121">
        <v>173858844</v>
      </c>
    </row>
    <row r="452" spans="1:8">
      <c r="A452" s="114" t="s">
        <v>1759</v>
      </c>
      <c r="B452" s="114" t="s">
        <v>8503</v>
      </c>
      <c r="C452" s="121">
        <v>3122780172</v>
      </c>
      <c r="D452" s="121">
        <v>3202452424</v>
      </c>
      <c r="E452" s="121">
        <v>3202452424</v>
      </c>
      <c r="F452" s="121">
        <v>3122780172</v>
      </c>
      <c r="G452" s="121">
        <v>3202452424</v>
      </c>
      <c r="H452" s="121">
        <v>3122780172</v>
      </c>
    </row>
    <row r="453" spans="1:8">
      <c r="A453" s="114" t="s">
        <v>65</v>
      </c>
      <c r="B453" s="114" t="s">
        <v>8504</v>
      </c>
      <c r="C453" s="121">
        <v>2265019983</v>
      </c>
      <c r="D453" s="121">
        <v>2400897691</v>
      </c>
      <c r="E453" s="121">
        <v>2400897691</v>
      </c>
      <c r="F453" s="121">
        <v>2265019983</v>
      </c>
      <c r="G453" s="121">
        <v>2400897691</v>
      </c>
      <c r="H453" s="121">
        <v>2265019983</v>
      </c>
    </row>
    <row r="454" spans="1:8">
      <c r="A454" s="114" t="s">
        <v>821</v>
      </c>
      <c r="B454" s="114" t="s">
        <v>8505</v>
      </c>
      <c r="C454" s="121">
        <v>2268988454</v>
      </c>
      <c r="D454" s="121">
        <v>2374812012</v>
      </c>
      <c r="E454" s="121">
        <v>2374812012</v>
      </c>
      <c r="F454" s="121">
        <v>2268988454</v>
      </c>
      <c r="G454" s="121">
        <v>2374812012</v>
      </c>
      <c r="H454" s="121">
        <v>2268988454</v>
      </c>
    </row>
    <row r="455" spans="1:8">
      <c r="A455" s="114" t="s">
        <v>67</v>
      </c>
      <c r="B455" s="114" t="s">
        <v>8506</v>
      </c>
      <c r="C455" s="121">
        <v>105574781</v>
      </c>
      <c r="D455" s="121">
        <v>109455619</v>
      </c>
      <c r="E455" s="121">
        <v>109455619</v>
      </c>
      <c r="F455" s="121">
        <v>105574781</v>
      </c>
      <c r="G455" s="121">
        <v>109455619</v>
      </c>
      <c r="H455" s="121">
        <v>105574781</v>
      </c>
    </row>
    <row r="456" spans="1:8">
      <c r="A456" s="114" t="s">
        <v>554</v>
      </c>
      <c r="B456" s="114" t="s">
        <v>8507</v>
      </c>
      <c r="C456" s="121">
        <v>93569736</v>
      </c>
      <c r="D456" s="121">
        <v>98786212</v>
      </c>
      <c r="E456" s="121">
        <v>98786212</v>
      </c>
      <c r="F456" s="121">
        <v>93569736</v>
      </c>
      <c r="G456" s="121">
        <v>98786212</v>
      </c>
      <c r="H456" s="121">
        <v>93569736</v>
      </c>
    </row>
    <row r="457" spans="1:8">
      <c r="A457" s="114" t="s">
        <v>1715</v>
      </c>
      <c r="B457" s="114" t="s">
        <v>8244</v>
      </c>
      <c r="C457" s="121">
        <v>585309954</v>
      </c>
      <c r="D457" s="121">
        <v>608003495</v>
      </c>
      <c r="E457" s="121">
        <v>608003495</v>
      </c>
      <c r="F457" s="121">
        <v>585309954</v>
      </c>
      <c r="G457" s="121">
        <v>608003495</v>
      </c>
      <c r="H457" s="121">
        <v>585309954</v>
      </c>
    </row>
    <row r="458" spans="1:8">
      <c r="A458" s="114" t="s">
        <v>172</v>
      </c>
      <c r="B458" s="114" t="s">
        <v>8508</v>
      </c>
      <c r="C458" s="121">
        <v>91904875</v>
      </c>
      <c r="D458" s="121">
        <v>94718238</v>
      </c>
      <c r="E458" s="121">
        <v>94718238</v>
      </c>
      <c r="F458" s="121">
        <v>91904875</v>
      </c>
      <c r="G458" s="121">
        <v>94718238</v>
      </c>
      <c r="H458" s="121">
        <v>91904875</v>
      </c>
    </row>
    <row r="459" spans="1:8">
      <c r="A459" s="114" t="s">
        <v>2869</v>
      </c>
      <c r="B459" s="114" t="s">
        <v>8509</v>
      </c>
      <c r="C459" s="121">
        <v>82486609</v>
      </c>
      <c r="D459" s="121">
        <v>84697563</v>
      </c>
      <c r="E459" s="121">
        <v>84697563</v>
      </c>
      <c r="F459" s="121">
        <v>82486609</v>
      </c>
      <c r="G459" s="121">
        <v>84697563</v>
      </c>
      <c r="H459" s="121">
        <v>82486609</v>
      </c>
    </row>
    <row r="460" spans="1:8">
      <c r="A460" s="114" t="s">
        <v>2756</v>
      </c>
      <c r="B460" s="114" t="s">
        <v>8510</v>
      </c>
      <c r="C460" s="121">
        <v>86106380</v>
      </c>
      <c r="D460" s="121">
        <v>89743404</v>
      </c>
      <c r="E460" s="121">
        <v>89743404</v>
      </c>
      <c r="F460" s="121">
        <v>86106380</v>
      </c>
      <c r="G460" s="121">
        <v>89743404</v>
      </c>
      <c r="H460" s="121">
        <v>86106380</v>
      </c>
    </row>
    <row r="461" spans="1:8">
      <c r="A461" s="114" t="s">
        <v>2133</v>
      </c>
      <c r="B461" s="114" t="s">
        <v>8511</v>
      </c>
      <c r="C461" s="121">
        <v>654289840</v>
      </c>
      <c r="D461" s="121">
        <v>671762682</v>
      </c>
      <c r="E461" s="121">
        <v>671762682</v>
      </c>
      <c r="F461" s="121">
        <v>654289840</v>
      </c>
      <c r="G461" s="121">
        <v>671762682</v>
      </c>
      <c r="H461" s="121">
        <v>654289840</v>
      </c>
    </row>
    <row r="462" spans="1:8">
      <c r="A462" s="114" t="s">
        <v>555</v>
      </c>
      <c r="B462" s="114" t="s">
        <v>8135</v>
      </c>
      <c r="C462" s="121">
        <v>79520290</v>
      </c>
      <c r="D462" s="121">
        <v>83650479</v>
      </c>
      <c r="E462" s="121">
        <v>83650479</v>
      </c>
      <c r="F462" s="121">
        <v>79520290</v>
      </c>
      <c r="G462" s="121">
        <v>83650479</v>
      </c>
      <c r="H462" s="121">
        <v>79520290</v>
      </c>
    </row>
    <row r="463" spans="1:8">
      <c r="A463" s="114" t="s">
        <v>49</v>
      </c>
      <c r="B463" s="114" t="s">
        <v>8512</v>
      </c>
      <c r="C463" s="121">
        <v>190924065</v>
      </c>
      <c r="D463" s="121">
        <v>197860421</v>
      </c>
      <c r="E463" s="121">
        <v>197860421</v>
      </c>
      <c r="F463" s="121">
        <v>190924065</v>
      </c>
      <c r="G463" s="121">
        <v>197860421</v>
      </c>
      <c r="H463" s="121">
        <v>190924065</v>
      </c>
    </row>
    <row r="464" spans="1:8">
      <c r="A464" s="114" t="s">
        <v>173</v>
      </c>
      <c r="B464" s="114" t="s">
        <v>8513</v>
      </c>
      <c r="C464" s="121">
        <v>51079648</v>
      </c>
      <c r="D464" s="121">
        <v>52229185</v>
      </c>
      <c r="E464" s="121">
        <v>52229185</v>
      </c>
      <c r="F464" s="121">
        <v>51079648</v>
      </c>
      <c r="G464" s="121">
        <v>52229185</v>
      </c>
      <c r="H464" s="121">
        <v>51079648</v>
      </c>
    </row>
    <row r="465" spans="1:8">
      <c r="A465" s="114" t="s">
        <v>567</v>
      </c>
      <c r="B465" s="114" t="s">
        <v>8514</v>
      </c>
      <c r="C465" s="121">
        <v>30002822</v>
      </c>
      <c r="D465" s="121">
        <v>31829485</v>
      </c>
      <c r="E465" s="121">
        <v>31829485</v>
      </c>
      <c r="F465" s="121">
        <v>30002822</v>
      </c>
      <c r="G465" s="121">
        <v>31829485</v>
      </c>
      <c r="H465" s="121">
        <v>30002822</v>
      </c>
    </row>
    <row r="466" spans="1:8">
      <c r="A466" s="114" t="s">
        <v>1760</v>
      </c>
      <c r="B466" s="114" t="s">
        <v>8515</v>
      </c>
      <c r="C466" s="121">
        <v>592411910</v>
      </c>
      <c r="D466" s="121">
        <v>615820232</v>
      </c>
      <c r="E466" s="121">
        <v>615820232</v>
      </c>
      <c r="F466" s="121">
        <v>592411910</v>
      </c>
      <c r="G466" s="121">
        <v>615820232</v>
      </c>
      <c r="H466" s="121">
        <v>592411910</v>
      </c>
    </row>
    <row r="467" spans="1:8">
      <c r="A467" s="114" t="s">
        <v>568</v>
      </c>
      <c r="B467" s="114" t="s">
        <v>8516</v>
      </c>
      <c r="C467" s="121">
        <v>82419484</v>
      </c>
      <c r="D467" s="121">
        <v>85338393</v>
      </c>
      <c r="E467" s="121">
        <v>85338393</v>
      </c>
      <c r="F467" s="121">
        <v>82419484</v>
      </c>
      <c r="G467" s="121">
        <v>85338393</v>
      </c>
      <c r="H467" s="121">
        <v>82419484</v>
      </c>
    </row>
    <row r="468" spans="1:8">
      <c r="A468" s="114" t="s">
        <v>1733</v>
      </c>
      <c r="B468" s="114" t="s">
        <v>8517</v>
      </c>
      <c r="C468" s="121">
        <v>139732601</v>
      </c>
      <c r="D468" s="121">
        <v>143392299</v>
      </c>
      <c r="E468" s="121">
        <v>143392299</v>
      </c>
      <c r="F468" s="121">
        <v>139732601</v>
      </c>
      <c r="G468" s="121">
        <v>143392299</v>
      </c>
      <c r="H468" s="121">
        <v>139732601</v>
      </c>
    </row>
    <row r="469" spans="1:8">
      <c r="A469" s="114" t="s">
        <v>569</v>
      </c>
      <c r="B469" s="114" t="s">
        <v>8518</v>
      </c>
      <c r="C469" s="121">
        <v>29630540</v>
      </c>
      <c r="D469" s="121">
        <v>30975638</v>
      </c>
      <c r="E469" s="121">
        <v>30975638</v>
      </c>
      <c r="F469" s="121">
        <v>29630540</v>
      </c>
      <c r="G469" s="121">
        <v>30975638</v>
      </c>
      <c r="H469" s="121">
        <v>29630540</v>
      </c>
    </row>
    <row r="470" spans="1:8">
      <c r="A470" s="114" t="s">
        <v>1761</v>
      </c>
      <c r="B470" s="114" t="s">
        <v>8519</v>
      </c>
      <c r="C470" s="121">
        <v>62228286</v>
      </c>
      <c r="D470" s="121">
        <v>64268120</v>
      </c>
      <c r="E470" s="121">
        <v>64268120</v>
      </c>
      <c r="F470" s="121">
        <v>62228286</v>
      </c>
      <c r="G470" s="121">
        <v>64268120</v>
      </c>
      <c r="H470" s="121">
        <v>62228286</v>
      </c>
    </row>
    <row r="471" spans="1:8">
      <c r="A471" s="114" t="s">
        <v>1762</v>
      </c>
      <c r="B471" s="114" t="s">
        <v>8520</v>
      </c>
      <c r="C471" s="121">
        <v>1102525853</v>
      </c>
      <c r="D471" s="121">
        <v>1132514365</v>
      </c>
      <c r="E471" s="121">
        <v>1132514365</v>
      </c>
      <c r="F471" s="121">
        <v>1102525853</v>
      </c>
      <c r="G471" s="121">
        <v>1132514365</v>
      </c>
      <c r="H471" s="121">
        <v>1102525853</v>
      </c>
    </row>
    <row r="472" spans="1:8">
      <c r="A472" s="114" t="s">
        <v>1410</v>
      </c>
      <c r="B472" s="114" t="s">
        <v>8521</v>
      </c>
      <c r="C472" s="121">
        <v>97415747</v>
      </c>
      <c r="D472" s="121">
        <v>100213278</v>
      </c>
      <c r="E472" s="121">
        <v>100213278</v>
      </c>
      <c r="F472" s="121">
        <v>97415747</v>
      </c>
      <c r="G472" s="121">
        <v>100213278</v>
      </c>
      <c r="H472" s="121">
        <v>97415747</v>
      </c>
    </row>
    <row r="473" spans="1:8">
      <c r="A473" s="114" t="s">
        <v>2104</v>
      </c>
      <c r="B473" s="114" t="s">
        <v>8522</v>
      </c>
      <c r="C473" s="121">
        <v>97473601</v>
      </c>
      <c r="D473" s="121">
        <v>101067334</v>
      </c>
      <c r="E473" s="121">
        <v>101067334</v>
      </c>
      <c r="F473" s="121">
        <v>97473601</v>
      </c>
      <c r="G473" s="121">
        <v>101067334</v>
      </c>
      <c r="H473" s="121">
        <v>97473601</v>
      </c>
    </row>
    <row r="474" spans="1:8">
      <c r="A474" s="114" t="s">
        <v>1411</v>
      </c>
      <c r="B474" s="114" t="s">
        <v>8523</v>
      </c>
      <c r="C474" s="121">
        <v>797979066</v>
      </c>
      <c r="D474" s="121">
        <v>800882097</v>
      </c>
      <c r="E474" s="121">
        <v>798340720</v>
      </c>
      <c r="F474" s="121">
        <v>795437689</v>
      </c>
      <c r="G474" s="121">
        <v>798340720</v>
      </c>
      <c r="H474" s="121">
        <v>795437689</v>
      </c>
    </row>
    <row r="475" spans="1:8">
      <c r="A475" s="114" t="s">
        <v>1412</v>
      </c>
      <c r="B475" s="114" t="s">
        <v>8524</v>
      </c>
      <c r="C475" s="121">
        <v>50754732</v>
      </c>
      <c r="D475" s="121">
        <v>51657332</v>
      </c>
      <c r="E475" s="121">
        <v>51657332</v>
      </c>
      <c r="F475" s="121">
        <v>50754732</v>
      </c>
      <c r="G475" s="121">
        <v>51657332</v>
      </c>
      <c r="H475" s="121">
        <v>50754732</v>
      </c>
    </row>
    <row r="476" spans="1:8">
      <c r="A476" s="114" t="s">
        <v>1413</v>
      </c>
      <c r="B476" s="114" t="s">
        <v>8525</v>
      </c>
      <c r="C476" s="121">
        <v>5427753660</v>
      </c>
      <c r="D476" s="121">
        <v>5545794585</v>
      </c>
      <c r="E476" s="121">
        <v>5545794585</v>
      </c>
      <c r="F476" s="121">
        <v>5427753660</v>
      </c>
      <c r="G476" s="121">
        <v>5545794585</v>
      </c>
      <c r="H476" s="121">
        <v>5427753660</v>
      </c>
    </row>
    <row r="477" spans="1:8">
      <c r="A477" s="114" t="s">
        <v>1991</v>
      </c>
      <c r="B477" s="114" t="s">
        <v>8526</v>
      </c>
      <c r="C477" s="121">
        <v>171611502</v>
      </c>
      <c r="D477" s="121">
        <v>175918991</v>
      </c>
      <c r="E477" s="121">
        <v>175918991</v>
      </c>
      <c r="F477" s="121">
        <v>171611502</v>
      </c>
      <c r="G477" s="121">
        <v>175918991</v>
      </c>
      <c r="H477" s="121">
        <v>171611502</v>
      </c>
    </row>
    <row r="478" spans="1:8">
      <c r="A478" s="114" t="s">
        <v>1709</v>
      </c>
      <c r="B478" s="114" t="s">
        <v>8527</v>
      </c>
      <c r="C478" s="121">
        <v>218738505</v>
      </c>
      <c r="D478" s="121">
        <v>224502002</v>
      </c>
      <c r="E478" s="121">
        <v>224502002</v>
      </c>
      <c r="F478" s="121">
        <v>218738505</v>
      </c>
      <c r="G478" s="121">
        <v>224502002</v>
      </c>
      <c r="H478" s="121">
        <v>218738505</v>
      </c>
    </row>
    <row r="479" spans="1:8">
      <c r="A479" s="114" t="s">
        <v>208</v>
      </c>
      <c r="B479" s="114" t="s">
        <v>8528</v>
      </c>
      <c r="C479" s="121">
        <v>1241010217</v>
      </c>
      <c r="D479" s="121">
        <v>1287200101</v>
      </c>
      <c r="E479" s="121">
        <v>1287200101</v>
      </c>
      <c r="F479" s="121">
        <v>1241010217</v>
      </c>
      <c r="G479" s="121">
        <v>1287200101</v>
      </c>
      <c r="H479" s="121">
        <v>1241010217</v>
      </c>
    </row>
    <row r="480" spans="1:8">
      <c r="A480" s="114" t="s">
        <v>1687</v>
      </c>
      <c r="B480" s="114" t="s">
        <v>8529</v>
      </c>
      <c r="C480" s="121">
        <v>75371636</v>
      </c>
      <c r="D480" s="121">
        <v>79915963</v>
      </c>
      <c r="E480" s="121">
        <v>79915963</v>
      </c>
      <c r="F480" s="121">
        <v>75371636</v>
      </c>
      <c r="G480" s="121">
        <v>79915963</v>
      </c>
      <c r="H480" s="121">
        <v>75371636</v>
      </c>
    </row>
    <row r="481" spans="1:8">
      <c r="A481" s="114" t="s">
        <v>209</v>
      </c>
      <c r="B481" s="114" t="s">
        <v>8530</v>
      </c>
      <c r="C481" s="121">
        <v>81074901</v>
      </c>
      <c r="D481" s="121">
        <v>85204926</v>
      </c>
      <c r="E481" s="121">
        <v>85204926</v>
      </c>
      <c r="F481" s="121">
        <v>81074901</v>
      </c>
      <c r="G481" s="121">
        <v>85204926</v>
      </c>
      <c r="H481" s="121">
        <v>81074901</v>
      </c>
    </row>
    <row r="482" spans="1:8">
      <c r="A482" s="114" t="s">
        <v>2217</v>
      </c>
      <c r="B482" s="114" t="s">
        <v>8531</v>
      </c>
      <c r="C482" s="121">
        <v>55105492</v>
      </c>
      <c r="D482" s="121">
        <v>58493354</v>
      </c>
      <c r="E482" s="121">
        <v>58493354</v>
      </c>
      <c r="F482" s="121">
        <v>55105492</v>
      </c>
      <c r="G482" s="121">
        <v>58493354</v>
      </c>
      <c r="H482" s="121">
        <v>55105492</v>
      </c>
    </row>
    <row r="483" spans="1:8">
      <c r="A483" s="114" t="s">
        <v>210</v>
      </c>
      <c r="B483" s="114" t="s">
        <v>8532</v>
      </c>
      <c r="C483" s="121">
        <v>138288564</v>
      </c>
      <c r="D483" s="121">
        <v>144777871</v>
      </c>
      <c r="E483" s="121">
        <v>144777871</v>
      </c>
      <c r="F483" s="121">
        <v>138288564</v>
      </c>
      <c r="G483" s="121">
        <v>144777871</v>
      </c>
      <c r="H483" s="121">
        <v>138288564</v>
      </c>
    </row>
    <row r="484" spans="1:8">
      <c r="A484" s="114" t="s">
        <v>211</v>
      </c>
      <c r="B484" s="114" t="s">
        <v>8533</v>
      </c>
      <c r="C484" s="121">
        <v>64893173</v>
      </c>
      <c r="D484" s="121">
        <v>66968632</v>
      </c>
      <c r="E484" s="121">
        <v>66968632</v>
      </c>
      <c r="F484" s="121">
        <v>64893173</v>
      </c>
      <c r="G484" s="121">
        <v>66968632</v>
      </c>
      <c r="H484" s="121">
        <v>64893173</v>
      </c>
    </row>
    <row r="485" spans="1:8">
      <c r="A485" s="114" t="s">
        <v>1688</v>
      </c>
      <c r="B485" s="114" t="s">
        <v>8534</v>
      </c>
      <c r="C485" s="121">
        <v>95703149</v>
      </c>
      <c r="D485" s="121">
        <v>98424484</v>
      </c>
      <c r="E485" s="121">
        <v>98424484</v>
      </c>
      <c r="F485" s="121">
        <v>95703149</v>
      </c>
      <c r="G485" s="121">
        <v>98424484</v>
      </c>
      <c r="H485" s="121">
        <v>95703149</v>
      </c>
    </row>
    <row r="486" spans="1:8">
      <c r="A486" s="114" t="s">
        <v>1601</v>
      </c>
      <c r="B486" s="114" t="s">
        <v>8535</v>
      </c>
      <c r="C486" s="121">
        <v>439686310</v>
      </c>
      <c r="D486" s="121">
        <v>456747100</v>
      </c>
      <c r="E486" s="121">
        <v>456747100</v>
      </c>
      <c r="F486" s="121">
        <v>439686310</v>
      </c>
      <c r="G486" s="121">
        <v>521652200</v>
      </c>
      <c r="H486" s="121">
        <v>504591410</v>
      </c>
    </row>
    <row r="487" spans="1:8">
      <c r="A487" s="114" t="s">
        <v>1432</v>
      </c>
      <c r="B487" s="114" t="s">
        <v>8536</v>
      </c>
      <c r="C487" s="121">
        <v>272542898</v>
      </c>
      <c r="D487" s="121">
        <v>282398578</v>
      </c>
      <c r="E487" s="121">
        <v>282398578</v>
      </c>
      <c r="F487" s="121">
        <v>272542898</v>
      </c>
      <c r="G487" s="121">
        <v>282398578</v>
      </c>
      <c r="H487" s="121">
        <v>272542898</v>
      </c>
    </row>
    <row r="488" spans="1:8">
      <c r="A488" s="114" t="s">
        <v>1104</v>
      </c>
      <c r="B488" s="114" t="s">
        <v>8537</v>
      </c>
      <c r="C488" s="121">
        <v>263408549</v>
      </c>
      <c r="D488" s="121">
        <v>269922019</v>
      </c>
      <c r="E488" s="121">
        <v>269922019</v>
      </c>
      <c r="F488" s="121">
        <v>263408549</v>
      </c>
      <c r="G488" s="121">
        <v>269922019</v>
      </c>
      <c r="H488" s="121">
        <v>263408549</v>
      </c>
    </row>
    <row r="489" spans="1:8">
      <c r="A489" s="114" t="s">
        <v>1105</v>
      </c>
      <c r="B489" s="114" t="s">
        <v>8538</v>
      </c>
      <c r="C489" s="121">
        <v>152203730</v>
      </c>
      <c r="D489" s="121">
        <v>158037630</v>
      </c>
      <c r="E489" s="121">
        <v>158037630</v>
      </c>
      <c r="F489" s="121">
        <v>152203730</v>
      </c>
      <c r="G489" s="121">
        <v>158037630</v>
      </c>
      <c r="H489" s="121">
        <v>152203730</v>
      </c>
    </row>
    <row r="490" spans="1:8">
      <c r="A490" s="114" t="s">
        <v>1011</v>
      </c>
      <c r="B490" s="114" t="s">
        <v>8539</v>
      </c>
      <c r="C490" s="121">
        <v>101615499</v>
      </c>
      <c r="D490" s="121">
        <v>106918489</v>
      </c>
      <c r="E490" s="121">
        <v>106918489</v>
      </c>
      <c r="F490" s="121">
        <v>101615499</v>
      </c>
      <c r="G490" s="121">
        <v>106918489</v>
      </c>
      <c r="H490" s="121">
        <v>101615499</v>
      </c>
    </row>
    <row r="491" spans="1:8">
      <c r="A491" s="114" t="s">
        <v>2036</v>
      </c>
      <c r="B491" s="114" t="s">
        <v>8540</v>
      </c>
      <c r="C491" s="121">
        <v>1675529328</v>
      </c>
      <c r="D491" s="121">
        <v>1715222308</v>
      </c>
      <c r="E491" s="121">
        <v>1675412550</v>
      </c>
      <c r="F491" s="121">
        <v>1635719570</v>
      </c>
      <c r="G491" s="121">
        <v>1796690510</v>
      </c>
      <c r="H491" s="121">
        <v>1756997530</v>
      </c>
    </row>
    <row r="492" spans="1:8">
      <c r="A492" s="114" t="s">
        <v>3076</v>
      </c>
      <c r="B492" s="114" t="s">
        <v>8541</v>
      </c>
      <c r="C492" s="121">
        <v>357605531</v>
      </c>
      <c r="D492" s="121">
        <v>366587517</v>
      </c>
      <c r="E492" s="121">
        <v>356110365</v>
      </c>
      <c r="F492" s="121">
        <v>347128379</v>
      </c>
      <c r="G492" s="121">
        <v>356110365</v>
      </c>
      <c r="H492" s="121">
        <v>347128379</v>
      </c>
    </row>
    <row r="493" spans="1:8">
      <c r="A493" s="114" t="s">
        <v>3077</v>
      </c>
      <c r="B493" s="114" t="s">
        <v>8542</v>
      </c>
      <c r="C493" s="121">
        <v>467559474</v>
      </c>
      <c r="D493" s="121">
        <v>473102789</v>
      </c>
      <c r="E493" s="121">
        <v>465763258</v>
      </c>
      <c r="F493" s="121">
        <v>460219943</v>
      </c>
      <c r="G493" s="121">
        <v>571141958</v>
      </c>
      <c r="H493" s="121">
        <v>565598643</v>
      </c>
    </row>
    <row r="494" spans="1:8">
      <c r="A494" s="114" t="s">
        <v>1507</v>
      </c>
      <c r="B494" s="114" t="s">
        <v>8543</v>
      </c>
      <c r="C494" s="121">
        <v>261655917</v>
      </c>
      <c r="D494" s="121">
        <v>264082971</v>
      </c>
      <c r="E494" s="121">
        <v>264082971</v>
      </c>
      <c r="F494" s="121">
        <v>261655917</v>
      </c>
      <c r="G494" s="121">
        <v>264082971</v>
      </c>
      <c r="H494" s="121">
        <v>261655917</v>
      </c>
    </row>
    <row r="495" spans="1:8">
      <c r="A495" s="114" t="s">
        <v>2492</v>
      </c>
      <c r="B495" s="114" t="s">
        <v>8544</v>
      </c>
      <c r="C495" s="121">
        <v>144669986</v>
      </c>
      <c r="D495" s="121">
        <v>145390332</v>
      </c>
      <c r="E495" s="121">
        <v>145390332</v>
      </c>
      <c r="F495" s="121">
        <v>144669986</v>
      </c>
      <c r="G495" s="121">
        <v>145390332</v>
      </c>
      <c r="H495" s="121">
        <v>144669986</v>
      </c>
    </row>
    <row r="496" spans="1:8">
      <c r="A496" s="114" t="s">
        <v>1271</v>
      </c>
      <c r="B496" s="114" t="s">
        <v>8545</v>
      </c>
      <c r="C496" s="121">
        <v>66233043</v>
      </c>
      <c r="D496" s="121">
        <v>66819542</v>
      </c>
      <c r="E496" s="121">
        <v>66545694</v>
      </c>
      <c r="F496" s="121">
        <v>65959195</v>
      </c>
      <c r="G496" s="121">
        <v>66545694</v>
      </c>
      <c r="H496" s="121">
        <v>65959195</v>
      </c>
    </row>
    <row r="497" spans="1:8">
      <c r="A497" s="114" t="s">
        <v>2155</v>
      </c>
      <c r="B497" s="114" t="s">
        <v>8546</v>
      </c>
      <c r="C497" s="121">
        <v>453438179</v>
      </c>
      <c r="D497" s="121">
        <v>469312099</v>
      </c>
      <c r="E497" s="121">
        <v>469312099</v>
      </c>
      <c r="F497" s="121">
        <v>453438179</v>
      </c>
      <c r="G497" s="121">
        <v>469312099</v>
      </c>
      <c r="H497" s="121">
        <v>453438179</v>
      </c>
    </row>
    <row r="498" spans="1:8">
      <c r="A498" s="114" t="s">
        <v>1272</v>
      </c>
      <c r="B498" s="114" t="s">
        <v>8547</v>
      </c>
      <c r="C498" s="121">
        <v>98410128</v>
      </c>
      <c r="D498" s="121">
        <v>103552817</v>
      </c>
      <c r="E498" s="121">
        <v>103552817</v>
      </c>
      <c r="F498" s="121">
        <v>98410128</v>
      </c>
      <c r="G498" s="121">
        <v>103552817</v>
      </c>
      <c r="H498" s="121">
        <v>98410128</v>
      </c>
    </row>
    <row r="499" spans="1:8">
      <c r="A499" s="114" t="s">
        <v>1618</v>
      </c>
      <c r="B499" s="114" t="s">
        <v>8548</v>
      </c>
      <c r="C499" s="121">
        <v>423187365</v>
      </c>
      <c r="D499" s="121">
        <v>437080848</v>
      </c>
      <c r="E499" s="121">
        <v>437080848</v>
      </c>
      <c r="F499" s="121">
        <v>423187365</v>
      </c>
      <c r="G499" s="121">
        <v>437080848</v>
      </c>
      <c r="H499" s="121">
        <v>423187365</v>
      </c>
    </row>
    <row r="500" spans="1:8">
      <c r="A500" s="114" t="s">
        <v>1209</v>
      </c>
      <c r="B500" s="114" t="s">
        <v>8549</v>
      </c>
      <c r="C500" s="121">
        <v>2059482677</v>
      </c>
      <c r="D500" s="121">
        <v>2113661540</v>
      </c>
      <c r="E500" s="121">
        <v>2113661540</v>
      </c>
      <c r="F500" s="121">
        <v>2059482677</v>
      </c>
      <c r="G500" s="121">
        <v>2113661540</v>
      </c>
      <c r="H500" s="121">
        <v>2059482677</v>
      </c>
    </row>
    <row r="501" spans="1:8">
      <c r="A501" s="114" t="s">
        <v>2218</v>
      </c>
      <c r="B501" s="114" t="s">
        <v>8550</v>
      </c>
      <c r="C501" s="121">
        <v>234478678</v>
      </c>
      <c r="D501" s="121">
        <v>244589886</v>
      </c>
      <c r="E501" s="121">
        <v>244589886</v>
      </c>
      <c r="F501" s="121">
        <v>234478678</v>
      </c>
      <c r="G501" s="121">
        <v>244589886</v>
      </c>
      <c r="H501" s="121">
        <v>234478678</v>
      </c>
    </row>
    <row r="502" spans="1:8">
      <c r="A502" s="114" t="s">
        <v>1781</v>
      </c>
      <c r="B502" s="114" t="s">
        <v>8551</v>
      </c>
      <c r="C502" s="121">
        <v>759489863</v>
      </c>
      <c r="D502" s="121">
        <v>786984687</v>
      </c>
      <c r="E502" s="121">
        <v>786984687</v>
      </c>
      <c r="F502" s="121">
        <v>759489863</v>
      </c>
      <c r="G502" s="121">
        <v>786984687</v>
      </c>
      <c r="H502" s="121">
        <v>759489863</v>
      </c>
    </row>
    <row r="503" spans="1:8">
      <c r="A503" s="114" t="s">
        <v>273</v>
      </c>
      <c r="B503" s="114" t="s">
        <v>8552</v>
      </c>
      <c r="C503" s="121">
        <v>118833035</v>
      </c>
      <c r="D503" s="121">
        <v>125489821</v>
      </c>
      <c r="E503" s="121">
        <v>125489821</v>
      </c>
      <c r="F503" s="121">
        <v>118833035</v>
      </c>
      <c r="G503" s="121">
        <v>125489821</v>
      </c>
      <c r="H503" s="121">
        <v>118833035</v>
      </c>
    </row>
    <row r="504" spans="1:8">
      <c r="A504" s="114" t="s">
        <v>1210</v>
      </c>
      <c r="B504" s="114" t="s">
        <v>8553</v>
      </c>
      <c r="C504" s="121">
        <v>89287993</v>
      </c>
      <c r="D504" s="121">
        <v>93983713</v>
      </c>
      <c r="E504" s="121">
        <v>93983713</v>
      </c>
      <c r="F504" s="121">
        <v>89287993</v>
      </c>
      <c r="G504" s="121">
        <v>93983713</v>
      </c>
      <c r="H504" s="121">
        <v>89287993</v>
      </c>
    </row>
    <row r="505" spans="1:8">
      <c r="A505" s="114" t="s">
        <v>987</v>
      </c>
      <c r="B505" s="114" t="s">
        <v>8554</v>
      </c>
      <c r="C505" s="121">
        <v>162982888</v>
      </c>
      <c r="D505" s="121">
        <v>169462635</v>
      </c>
      <c r="E505" s="121">
        <v>169462635</v>
      </c>
      <c r="F505" s="121">
        <v>162982888</v>
      </c>
      <c r="G505" s="121">
        <v>169462635</v>
      </c>
      <c r="H505" s="121">
        <v>162982888</v>
      </c>
    </row>
    <row r="506" spans="1:8">
      <c r="A506" s="114" t="s">
        <v>2105</v>
      </c>
      <c r="B506" s="114" t="s">
        <v>8555</v>
      </c>
      <c r="C506" s="121">
        <v>15993786</v>
      </c>
      <c r="D506" s="121">
        <v>17009856</v>
      </c>
      <c r="E506" s="121">
        <v>17009856</v>
      </c>
      <c r="F506" s="121">
        <v>15993786</v>
      </c>
      <c r="G506" s="121">
        <v>17009856</v>
      </c>
      <c r="H506" s="121">
        <v>15993786</v>
      </c>
    </row>
    <row r="507" spans="1:8">
      <c r="A507" s="114" t="s">
        <v>1211</v>
      </c>
      <c r="B507" s="114" t="s">
        <v>8556</v>
      </c>
      <c r="C507" s="121">
        <v>618441915</v>
      </c>
      <c r="D507" s="121">
        <v>650527065</v>
      </c>
      <c r="E507" s="121">
        <v>637240905</v>
      </c>
      <c r="F507" s="121">
        <v>605155755</v>
      </c>
      <c r="G507" s="121">
        <v>1052984685</v>
      </c>
      <c r="H507" s="121">
        <v>1020899535</v>
      </c>
    </row>
    <row r="508" spans="1:8">
      <c r="A508" s="114" t="s">
        <v>2454</v>
      </c>
      <c r="B508" s="114" t="s">
        <v>8557</v>
      </c>
      <c r="C508" s="121">
        <v>123407111</v>
      </c>
      <c r="D508" s="121">
        <v>135482521</v>
      </c>
      <c r="E508" s="121">
        <v>135133501</v>
      </c>
      <c r="F508" s="121">
        <v>123058091</v>
      </c>
      <c r="G508" s="121">
        <v>135133501</v>
      </c>
      <c r="H508" s="121">
        <v>123058091</v>
      </c>
    </row>
    <row r="509" spans="1:8">
      <c r="A509" s="114" t="s">
        <v>2455</v>
      </c>
      <c r="B509" s="114" t="s">
        <v>8558</v>
      </c>
      <c r="C509" s="121">
        <v>1088588550</v>
      </c>
      <c r="D509" s="121">
        <v>1094537720</v>
      </c>
      <c r="E509" s="121">
        <v>1090845040</v>
      </c>
      <c r="F509" s="121">
        <v>1084895870</v>
      </c>
      <c r="G509" s="121">
        <v>1127951510</v>
      </c>
      <c r="H509" s="121">
        <v>1122002340</v>
      </c>
    </row>
    <row r="510" spans="1:8">
      <c r="A510" s="114" t="s">
        <v>1428</v>
      </c>
      <c r="B510" s="114" t="s">
        <v>8559</v>
      </c>
      <c r="C510" s="121">
        <v>35701106</v>
      </c>
      <c r="D510" s="121">
        <v>35876416</v>
      </c>
      <c r="E510" s="121">
        <v>35761796</v>
      </c>
      <c r="F510" s="121">
        <v>35586486</v>
      </c>
      <c r="G510" s="121">
        <v>35761796</v>
      </c>
      <c r="H510" s="121">
        <v>35586486</v>
      </c>
    </row>
    <row r="511" spans="1:8">
      <c r="A511" s="114" t="s">
        <v>1429</v>
      </c>
      <c r="B511" s="114" t="s">
        <v>8560</v>
      </c>
      <c r="C511" s="121">
        <v>914103508</v>
      </c>
      <c r="D511" s="121">
        <v>917336478</v>
      </c>
      <c r="E511" s="121">
        <v>917336478</v>
      </c>
      <c r="F511" s="121">
        <v>914103508</v>
      </c>
      <c r="G511" s="121">
        <v>917336478</v>
      </c>
      <c r="H511" s="121">
        <v>914103508</v>
      </c>
    </row>
    <row r="512" spans="1:8">
      <c r="A512" s="114" t="s">
        <v>1039</v>
      </c>
      <c r="B512" s="114" t="s">
        <v>8561</v>
      </c>
      <c r="C512" s="121">
        <v>156747982</v>
      </c>
      <c r="D512" s="121">
        <v>158938002</v>
      </c>
      <c r="E512" s="121">
        <v>158938002</v>
      </c>
      <c r="F512" s="121">
        <v>156747982</v>
      </c>
      <c r="G512" s="121">
        <v>297757252</v>
      </c>
      <c r="H512" s="121">
        <v>295567232</v>
      </c>
    </row>
    <row r="513" spans="1:8">
      <c r="A513" s="114" t="s">
        <v>1040</v>
      </c>
      <c r="B513" s="114" t="s">
        <v>8562</v>
      </c>
      <c r="C513" s="121">
        <v>778942041</v>
      </c>
      <c r="D513" s="121">
        <v>788923090</v>
      </c>
      <c r="E513" s="121">
        <v>788923090</v>
      </c>
      <c r="F513" s="121">
        <v>778942041</v>
      </c>
      <c r="G513" s="121">
        <v>862603190</v>
      </c>
      <c r="H513" s="121">
        <v>852622141</v>
      </c>
    </row>
    <row r="514" spans="1:8">
      <c r="A514" s="114" t="s">
        <v>1041</v>
      </c>
      <c r="B514" s="114" t="s">
        <v>8563</v>
      </c>
      <c r="C514" s="121">
        <v>303055129</v>
      </c>
      <c r="D514" s="121">
        <v>307481349</v>
      </c>
      <c r="E514" s="121">
        <v>307481349</v>
      </c>
      <c r="F514" s="121">
        <v>303055129</v>
      </c>
      <c r="G514" s="121">
        <v>315797999</v>
      </c>
      <c r="H514" s="121">
        <v>311371779</v>
      </c>
    </row>
    <row r="515" spans="1:8">
      <c r="A515" s="114" t="s">
        <v>1042</v>
      </c>
      <c r="B515" s="114" t="s">
        <v>8564</v>
      </c>
      <c r="C515" s="121">
        <v>515441643</v>
      </c>
      <c r="D515" s="121">
        <v>531392990</v>
      </c>
      <c r="E515" s="121">
        <v>531392990</v>
      </c>
      <c r="F515" s="121">
        <v>515441643</v>
      </c>
      <c r="G515" s="121">
        <v>624356890</v>
      </c>
      <c r="H515" s="121">
        <v>608405543</v>
      </c>
    </row>
    <row r="516" spans="1:8">
      <c r="A516" s="114" t="s">
        <v>2972</v>
      </c>
      <c r="B516" s="114" t="s">
        <v>8565</v>
      </c>
      <c r="C516" s="121">
        <v>218186299</v>
      </c>
      <c r="D516" s="121">
        <v>225161817</v>
      </c>
      <c r="E516" s="121">
        <v>225161817</v>
      </c>
      <c r="F516" s="121">
        <v>218186299</v>
      </c>
      <c r="G516" s="121">
        <v>507438217</v>
      </c>
      <c r="H516" s="121">
        <v>500462699</v>
      </c>
    </row>
    <row r="517" spans="1:8">
      <c r="A517" s="114" t="s">
        <v>544</v>
      </c>
      <c r="B517" s="114" t="s">
        <v>8566</v>
      </c>
      <c r="C517" s="121">
        <v>774252143</v>
      </c>
      <c r="D517" s="121">
        <v>784259468</v>
      </c>
      <c r="E517" s="121">
        <v>768662306</v>
      </c>
      <c r="F517" s="121">
        <v>758654981</v>
      </c>
      <c r="G517" s="121">
        <v>768662306</v>
      </c>
      <c r="H517" s="121">
        <v>758654981</v>
      </c>
    </row>
    <row r="518" spans="1:8">
      <c r="A518" s="114" t="s">
        <v>3042</v>
      </c>
      <c r="B518" s="114" t="s">
        <v>8567</v>
      </c>
      <c r="C518" s="121">
        <v>272336124</v>
      </c>
      <c r="D518" s="121">
        <v>278855219</v>
      </c>
      <c r="E518" s="121">
        <v>269783397</v>
      </c>
      <c r="F518" s="121">
        <v>263264302</v>
      </c>
      <c r="G518" s="121">
        <v>269783397</v>
      </c>
      <c r="H518" s="121">
        <v>263264302</v>
      </c>
    </row>
    <row r="519" spans="1:8">
      <c r="A519" s="114" t="s">
        <v>995</v>
      </c>
      <c r="B519" s="114" t="s">
        <v>8568</v>
      </c>
      <c r="C519" s="121">
        <v>320349244</v>
      </c>
      <c r="D519" s="121">
        <v>339489979</v>
      </c>
      <c r="E519" s="121">
        <v>339489979</v>
      </c>
      <c r="F519" s="121">
        <v>320349244</v>
      </c>
      <c r="G519" s="121">
        <v>339489979</v>
      </c>
      <c r="H519" s="121">
        <v>320349244</v>
      </c>
    </row>
    <row r="520" spans="1:8">
      <c r="A520" s="114" t="s">
        <v>51</v>
      </c>
      <c r="B520" s="114" t="s">
        <v>8569</v>
      </c>
      <c r="C520" s="121">
        <v>864719298</v>
      </c>
      <c r="D520" s="121">
        <v>896746371</v>
      </c>
      <c r="E520" s="121">
        <v>896746371</v>
      </c>
      <c r="F520" s="121">
        <v>864719298</v>
      </c>
      <c r="G520" s="121">
        <v>896746371</v>
      </c>
      <c r="H520" s="121">
        <v>864719298</v>
      </c>
    </row>
    <row r="521" spans="1:8">
      <c r="A521" s="114" t="s">
        <v>61</v>
      </c>
      <c r="B521" s="114" t="s">
        <v>8570</v>
      </c>
      <c r="C521" s="121">
        <v>273876666</v>
      </c>
      <c r="D521" s="121">
        <v>289569308</v>
      </c>
      <c r="E521" s="121">
        <v>289569308</v>
      </c>
      <c r="F521" s="121">
        <v>273876666</v>
      </c>
      <c r="G521" s="121">
        <v>289569308</v>
      </c>
      <c r="H521" s="121">
        <v>273876666</v>
      </c>
    </row>
    <row r="522" spans="1:8">
      <c r="A522" s="114" t="s">
        <v>3043</v>
      </c>
      <c r="B522" s="114" t="s">
        <v>8571</v>
      </c>
      <c r="C522" s="121">
        <v>354104475</v>
      </c>
      <c r="D522" s="121">
        <v>357904715</v>
      </c>
      <c r="E522" s="121">
        <v>354340868</v>
      </c>
      <c r="F522" s="121">
        <v>350540628</v>
      </c>
      <c r="G522" s="121">
        <v>354340868</v>
      </c>
      <c r="H522" s="121">
        <v>350540628</v>
      </c>
    </row>
    <row r="523" spans="1:8">
      <c r="A523" s="114" t="s">
        <v>3044</v>
      </c>
      <c r="B523" s="114" t="s">
        <v>8572</v>
      </c>
      <c r="C523" s="121">
        <v>216720626</v>
      </c>
      <c r="D523" s="121">
        <v>221868426</v>
      </c>
      <c r="E523" s="121">
        <v>221868426</v>
      </c>
      <c r="F523" s="121">
        <v>216720626</v>
      </c>
      <c r="G523" s="121">
        <v>221868426</v>
      </c>
      <c r="H523" s="121">
        <v>216720626</v>
      </c>
    </row>
    <row r="524" spans="1:8">
      <c r="A524" s="114" t="s">
        <v>3045</v>
      </c>
      <c r="B524" s="114" t="s">
        <v>8573</v>
      </c>
      <c r="C524" s="121">
        <v>48518482</v>
      </c>
      <c r="D524" s="121">
        <v>48865352</v>
      </c>
      <c r="E524" s="121">
        <v>48865352</v>
      </c>
      <c r="F524" s="121">
        <v>48518482</v>
      </c>
      <c r="G524" s="121">
        <v>48865352</v>
      </c>
      <c r="H524" s="121">
        <v>48518482</v>
      </c>
    </row>
    <row r="525" spans="1:8">
      <c r="A525" s="114" t="s">
        <v>2905</v>
      </c>
      <c r="B525" s="114" t="s">
        <v>8574</v>
      </c>
      <c r="C525" s="121">
        <v>2346563802</v>
      </c>
      <c r="D525" s="121">
        <v>2411426678</v>
      </c>
      <c r="E525" s="121">
        <v>2411426678</v>
      </c>
      <c r="F525" s="121">
        <v>2346563802</v>
      </c>
      <c r="G525" s="121">
        <v>2604665478</v>
      </c>
      <c r="H525" s="121">
        <v>2539802602</v>
      </c>
    </row>
    <row r="526" spans="1:8">
      <c r="A526" s="114" t="s">
        <v>2615</v>
      </c>
      <c r="B526" s="114" t="s">
        <v>8575</v>
      </c>
      <c r="C526" s="121">
        <v>3553419267</v>
      </c>
      <c r="D526" s="121">
        <v>3644254616</v>
      </c>
      <c r="E526" s="121">
        <v>3644254616</v>
      </c>
      <c r="F526" s="121">
        <v>3553419267</v>
      </c>
      <c r="G526" s="121">
        <v>7392085716</v>
      </c>
      <c r="H526" s="121">
        <v>7301250367</v>
      </c>
    </row>
    <row r="527" spans="1:8">
      <c r="A527" s="114" t="s">
        <v>2616</v>
      </c>
      <c r="B527" s="114" t="s">
        <v>8576</v>
      </c>
      <c r="C527" s="121">
        <v>2348729742</v>
      </c>
      <c r="D527" s="121">
        <v>2417149533</v>
      </c>
      <c r="E527" s="121">
        <v>2320332526</v>
      </c>
      <c r="F527" s="121">
        <v>2251912735</v>
      </c>
      <c r="G527" s="121">
        <v>2771692026</v>
      </c>
      <c r="H527" s="121">
        <v>2703272235</v>
      </c>
    </row>
    <row r="528" spans="1:8">
      <c r="A528" s="114" t="s">
        <v>1501</v>
      </c>
      <c r="B528" s="114" t="s">
        <v>8577</v>
      </c>
      <c r="C528" s="121">
        <v>10143691881</v>
      </c>
      <c r="D528" s="121">
        <v>10358181905</v>
      </c>
      <c r="E528" s="121">
        <v>10358181905</v>
      </c>
      <c r="F528" s="121">
        <v>10143691881</v>
      </c>
      <c r="G528" s="121">
        <v>10923343005</v>
      </c>
      <c r="H528" s="121">
        <v>10708852981</v>
      </c>
    </row>
    <row r="529" spans="1:8">
      <c r="A529" s="114" t="s">
        <v>1502</v>
      </c>
      <c r="B529" s="114" t="s">
        <v>8578</v>
      </c>
      <c r="C529" s="121">
        <v>905752078</v>
      </c>
      <c r="D529" s="121">
        <v>906659428</v>
      </c>
      <c r="E529" s="121">
        <v>905860399</v>
      </c>
      <c r="F529" s="121">
        <v>904953049</v>
      </c>
      <c r="G529" s="121">
        <v>905860399</v>
      </c>
      <c r="H529" s="121">
        <v>904953049</v>
      </c>
    </row>
    <row r="530" spans="1:8">
      <c r="A530" s="114" t="s">
        <v>1484</v>
      </c>
      <c r="B530" s="114" t="s">
        <v>8579</v>
      </c>
      <c r="C530" s="121">
        <v>713766438</v>
      </c>
      <c r="D530" s="121">
        <v>736585757</v>
      </c>
      <c r="E530" s="121">
        <v>736585757</v>
      </c>
      <c r="F530" s="121">
        <v>713766438</v>
      </c>
      <c r="G530" s="121">
        <v>736585757</v>
      </c>
      <c r="H530" s="121">
        <v>713766438</v>
      </c>
    </row>
    <row r="531" spans="1:8">
      <c r="A531" s="114" t="s">
        <v>1503</v>
      </c>
      <c r="B531" s="114" t="s">
        <v>8580</v>
      </c>
      <c r="C531" s="121">
        <v>341589764</v>
      </c>
      <c r="D531" s="121">
        <v>350570004</v>
      </c>
      <c r="E531" s="121">
        <v>347187574</v>
      </c>
      <c r="F531" s="121">
        <v>338207334</v>
      </c>
      <c r="G531" s="121">
        <v>439683724</v>
      </c>
      <c r="H531" s="121">
        <v>430703484</v>
      </c>
    </row>
    <row r="532" spans="1:8">
      <c r="A532" s="114" t="s">
        <v>2299</v>
      </c>
      <c r="B532" s="114" t="s">
        <v>8581</v>
      </c>
      <c r="C532" s="121">
        <v>1120176273</v>
      </c>
      <c r="D532" s="121">
        <v>1157153953</v>
      </c>
      <c r="E532" s="121">
        <v>1157153953</v>
      </c>
      <c r="F532" s="121">
        <v>1120176273</v>
      </c>
      <c r="G532" s="121">
        <v>1157153953</v>
      </c>
      <c r="H532" s="121">
        <v>1120176273</v>
      </c>
    </row>
    <row r="533" spans="1:8">
      <c r="A533" s="114" t="s">
        <v>2652</v>
      </c>
      <c r="B533" s="114" t="s">
        <v>8582</v>
      </c>
      <c r="C533" s="121">
        <v>89295882</v>
      </c>
      <c r="D533" s="121">
        <v>93035559</v>
      </c>
      <c r="E533" s="121">
        <v>93035559</v>
      </c>
      <c r="F533" s="121">
        <v>89295882</v>
      </c>
      <c r="G533" s="121">
        <v>93035559</v>
      </c>
      <c r="H533" s="121">
        <v>89295882</v>
      </c>
    </row>
    <row r="534" spans="1:8">
      <c r="A534" s="114" t="s">
        <v>1593</v>
      </c>
      <c r="B534" s="114" t="s">
        <v>8583</v>
      </c>
      <c r="C534" s="121">
        <v>407846349</v>
      </c>
      <c r="D534" s="121">
        <v>419045929</v>
      </c>
      <c r="E534" s="121">
        <v>419045929</v>
      </c>
      <c r="F534" s="121">
        <v>407846349</v>
      </c>
      <c r="G534" s="121">
        <v>419045929</v>
      </c>
      <c r="H534" s="121">
        <v>407846349</v>
      </c>
    </row>
    <row r="535" spans="1:8">
      <c r="A535" s="114" t="s">
        <v>244</v>
      </c>
      <c r="B535" s="114" t="s">
        <v>8584</v>
      </c>
      <c r="C535" s="121">
        <v>146296448</v>
      </c>
      <c r="D535" s="121">
        <v>151330680</v>
      </c>
      <c r="E535" s="121">
        <v>151330680</v>
      </c>
      <c r="F535" s="121">
        <v>146296448</v>
      </c>
      <c r="G535" s="121">
        <v>151330680</v>
      </c>
      <c r="H535" s="121">
        <v>146296448</v>
      </c>
    </row>
    <row r="536" spans="1:8">
      <c r="A536" s="114" t="s">
        <v>1504</v>
      </c>
      <c r="B536" s="114" t="s">
        <v>8585</v>
      </c>
      <c r="C536" s="121">
        <v>47704195</v>
      </c>
      <c r="D536" s="121">
        <v>48311575</v>
      </c>
      <c r="E536" s="121">
        <v>48152211</v>
      </c>
      <c r="F536" s="121">
        <v>47544831</v>
      </c>
      <c r="G536" s="121">
        <v>48152211</v>
      </c>
      <c r="H536" s="121">
        <v>47544831</v>
      </c>
    </row>
    <row r="537" spans="1:8">
      <c r="A537" s="114" t="s">
        <v>223</v>
      </c>
      <c r="B537" s="114" t="s">
        <v>8586</v>
      </c>
      <c r="C537" s="121">
        <v>1214385793</v>
      </c>
      <c r="D537" s="121">
        <v>1245734741</v>
      </c>
      <c r="E537" s="121">
        <v>1245734741</v>
      </c>
      <c r="F537" s="121">
        <v>1214385793</v>
      </c>
      <c r="G537" s="121">
        <v>1245734741</v>
      </c>
      <c r="H537" s="121">
        <v>1214385793</v>
      </c>
    </row>
    <row r="538" spans="1:8">
      <c r="A538" s="114" t="s">
        <v>2153</v>
      </c>
      <c r="B538" s="114" t="s">
        <v>8587</v>
      </c>
      <c r="C538" s="121">
        <v>4205264509</v>
      </c>
      <c r="D538" s="121">
        <v>4337745456</v>
      </c>
      <c r="E538" s="121">
        <v>4337745456</v>
      </c>
      <c r="F538" s="121">
        <v>4205264509</v>
      </c>
      <c r="G538" s="121">
        <v>4337745456</v>
      </c>
      <c r="H538" s="121">
        <v>4205264509</v>
      </c>
    </row>
    <row r="539" spans="1:8">
      <c r="A539" s="114" t="s">
        <v>627</v>
      </c>
      <c r="B539" s="114" t="s">
        <v>8588</v>
      </c>
      <c r="C539" s="121">
        <v>2412863075</v>
      </c>
      <c r="D539" s="121">
        <v>2483058474</v>
      </c>
      <c r="E539" s="121">
        <v>2483058474</v>
      </c>
      <c r="F539" s="121">
        <v>2412863075</v>
      </c>
      <c r="G539" s="121">
        <v>2483058474</v>
      </c>
      <c r="H539" s="121">
        <v>2412863075</v>
      </c>
    </row>
    <row r="540" spans="1:8">
      <c r="A540" s="114" t="s">
        <v>2037</v>
      </c>
      <c r="B540" s="114" t="s">
        <v>8589</v>
      </c>
      <c r="C540" s="121">
        <v>285871025</v>
      </c>
      <c r="D540" s="121">
        <v>297076365</v>
      </c>
      <c r="E540" s="121">
        <v>297076365</v>
      </c>
      <c r="F540" s="121">
        <v>285871025</v>
      </c>
      <c r="G540" s="121">
        <v>297076365</v>
      </c>
      <c r="H540" s="121">
        <v>285871025</v>
      </c>
    </row>
    <row r="541" spans="1:8">
      <c r="A541" s="114" t="s">
        <v>52</v>
      </c>
      <c r="B541" s="114" t="s">
        <v>8590</v>
      </c>
      <c r="C541" s="121">
        <v>1369031908</v>
      </c>
      <c r="D541" s="121">
        <v>1423102039</v>
      </c>
      <c r="E541" s="121">
        <v>1423102039</v>
      </c>
      <c r="F541" s="121">
        <v>1369031908</v>
      </c>
      <c r="G541" s="121">
        <v>1423102039</v>
      </c>
      <c r="H541" s="121">
        <v>1369031908</v>
      </c>
    </row>
    <row r="542" spans="1:8">
      <c r="A542" s="114" t="s">
        <v>1505</v>
      </c>
      <c r="B542" s="114" t="s">
        <v>8591</v>
      </c>
      <c r="C542" s="121">
        <v>149693059</v>
      </c>
      <c r="D542" s="121">
        <v>155558113</v>
      </c>
      <c r="E542" s="121">
        <v>155558113</v>
      </c>
      <c r="F542" s="121">
        <v>149693059</v>
      </c>
      <c r="G542" s="121">
        <v>155558113</v>
      </c>
      <c r="H542" s="121">
        <v>149693059</v>
      </c>
    </row>
    <row r="543" spans="1:8">
      <c r="A543" s="114" t="s">
        <v>2653</v>
      </c>
      <c r="B543" s="114" t="s">
        <v>8592</v>
      </c>
      <c r="C543" s="121">
        <v>257006635</v>
      </c>
      <c r="D543" s="121">
        <v>266328979</v>
      </c>
      <c r="E543" s="121">
        <v>266328979</v>
      </c>
      <c r="F543" s="121">
        <v>257006635</v>
      </c>
      <c r="G543" s="121">
        <v>266328979</v>
      </c>
      <c r="H543" s="121">
        <v>257006635</v>
      </c>
    </row>
    <row r="544" spans="1:8">
      <c r="A544" s="114" t="s">
        <v>283</v>
      </c>
      <c r="B544" s="114" t="s">
        <v>8593</v>
      </c>
      <c r="C544" s="121">
        <v>266628687</v>
      </c>
      <c r="D544" s="121">
        <v>279820453</v>
      </c>
      <c r="E544" s="121">
        <v>279820453</v>
      </c>
      <c r="F544" s="121">
        <v>266628687</v>
      </c>
      <c r="G544" s="121">
        <v>279820453</v>
      </c>
      <c r="H544" s="121">
        <v>266628687</v>
      </c>
    </row>
    <row r="545" spans="1:8">
      <c r="A545" s="114" t="s">
        <v>1435</v>
      </c>
      <c r="B545" s="114" t="s">
        <v>8594</v>
      </c>
      <c r="C545" s="121">
        <v>767681267</v>
      </c>
      <c r="D545" s="121">
        <v>780509368</v>
      </c>
      <c r="E545" s="121">
        <v>780509368</v>
      </c>
      <c r="F545" s="121">
        <v>767681267</v>
      </c>
      <c r="G545" s="121">
        <v>780509368</v>
      </c>
      <c r="H545" s="121">
        <v>767681267</v>
      </c>
    </row>
    <row r="546" spans="1:8">
      <c r="A546" s="114" t="s">
        <v>2400</v>
      </c>
      <c r="B546" s="114" t="s">
        <v>8595</v>
      </c>
      <c r="C546" s="121">
        <v>130256001</v>
      </c>
      <c r="D546" s="121">
        <v>138363131</v>
      </c>
      <c r="E546" s="121">
        <v>138363131</v>
      </c>
      <c r="F546" s="121">
        <v>130256001</v>
      </c>
      <c r="G546" s="121">
        <v>138363131</v>
      </c>
      <c r="H546" s="121">
        <v>130256001</v>
      </c>
    </row>
    <row r="547" spans="1:8">
      <c r="A547" s="114" t="s">
        <v>1506</v>
      </c>
      <c r="B547" s="114" t="s">
        <v>8596</v>
      </c>
      <c r="C547" s="121">
        <v>118879284</v>
      </c>
      <c r="D547" s="121">
        <v>123727804</v>
      </c>
      <c r="E547" s="121">
        <v>123727804</v>
      </c>
      <c r="F547" s="121">
        <v>118879284</v>
      </c>
      <c r="G547" s="121">
        <v>123727804</v>
      </c>
      <c r="H547" s="121">
        <v>118879284</v>
      </c>
    </row>
    <row r="548" spans="1:8">
      <c r="A548" s="114" t="s">
        <v>2128</v>
      </c>
      <c r="B548" s="114" t="s">
        <v>8597</v>
      </c>
      <c r="C548" s="121">
        <v>143423949</v>
      </c>
      <c r="D548" s="121">
        <v>151686339</v>
      </c>
      <c r="E548" s="121">
        <v>151686339</v>
      </c>
      <c r="F548" s="121">
        <v>143423949</v>
      </c>
      <c r="G548" s="121">
        <v>151686339</v>
      </c>
      <c r="H548" s="121">
        <v>143423949</v>
      </c>
    </row>
    <row r="549" spans="1:8">
      <c r="A549" s="114" t="s">
        <v>2870</v>
      </c>
      <c r="B549" s="114" t="s">
        <v>8598</v>
      </c>
      <c r="C549" s="121">
        <v>76425794</v>
      </c>
      <c r="D549" s="121">
        <v>78023178</v>
      </c>
      <c r="E549" s="121">
        <v>78023178</v>
      </c>
      <c r="F549" s="121">
        <v>76425794</v>
      </c>
      <c r="G549" s="121">
        <v>78023178</v>
      </c>
      <c r="H549" s="121">
        <v>76425794</v>
      </c>
    </row>
    <row r="550" spans="1:8">
      <c r="A550" s="114" t="s">
        <v>288</v>
      </c>
      <c r="B550" s="114" t="s">
        <v>8599</v>
      </c>
      <c r="C550" s="121">
        <v>100642042</v>
      </c>
      <c r="D550" s="121">
        <v>107261142</v>
      </c>
      <c r="E550" s="121">
        <v>107261142</v>
      </c>
      <c r="F550" s="121">
        <v>100642042</v>
      </c>
      <c r="G550" s="121">
        <v>107261142</v>
      </c>
      <c r="H550" s="121">
        <v>100642042</v>
      </c>
    </row>
    <row r="551" spans="1:8">
      <c r="A551" s="114" t="s">
        <v>54</v>
      </c>
      <c r="B551" s="114" t="s">
        <v>8600</v>
      </c>
      <c r="C551" s="121">
        <v>3563803311</v>
      </c>
      <c r="D551" s="121">
        <v>3572756055</v>
      </c>
      <c r="E551" s="121">
        <v>3572756055</v>
      </c>
      <c r="F551" s="121">
        <v>3563803311</v>
      </c>
      <c r="G551" s="121">
        <v>3572756055</v>
      </c>
      <c r="H551" s="121">
        <v>3563803311</v>
      </c>
    </row>
    <row r="552" spans="1:8">
      <c r="A552" s="114" t="s">
        <v>2871</v>
      </c>
      <c r="B552" s="114" t="s">
        <v>8601</v>
      </c>
      <c r="C552" s="121">
        <v>1015553310</v>
      </c>
      <c r="D552" s="121">
        <v>1023039100</v>
      </c>
      <c r="E552" s="121">
        <v>1023039100</v>
      </c>
      <c r="F552" s="121">
        <v>1015553310</v>
      </c>
      <c r="G552" s="121">
        <v>1155692010</v>
      </c>
      <c r="H552" s="121">
        <v>1148206220</v>
      </c>
    </row>
    <row r="553" spans="1:8">
      <c r="A553" s="114" t="s">
        <v>1317</v>
      </c>
      <c r="B553" s="114" t="s">
        <v>8602</v>
      </c>
      <c r="C553" s="121">
        <v>413822591</v>
      </c>
      <c r="D553" s="121">
        <v>415985905</v>
      </c>
      <c r="E553" s="121">
        <v>415985905</v>
      </c>
      <c r="F553" s="121">
        <v>413822591</v>
      </c>
      <c r="G553" s="121">
        <v>415985905</v>
      </c>
      <c r="H553" s="121">
        <v>413822591</v>
      </c>
    </row>
    <row r="554" spans="1:8">
      <c r="A554" s="114" t="s">
        <v>1899</v>
      </c>
      <c r="B554" s="114" t="s">
        <v>8603</v>
      </c>
      <c r="C554" s="121">
        <v>546593087</v>
      </c>
      <c r="D554" s="121">
        <v>551411632</v>
      </c>
      <c r="E554" s="121">
        <v>551411632</v>
      </c>
      <c r="F554" s="121">
        <v>546593087</v>
      </c>
      <c r="G554" s="121">
        <v>551411632</v>
      </c>
      <c r="H554" s="121">
        <v>546593087</v>
      </c>
    </row>
    <row r="555" spans="1:8">
      <c r="A555" s="114" t="s">
        <v>2757</v>
      </c>
      <c r="B555" s="114" t="s">
        <v>8604</v>
      </c>
      <c r="C555" s="121">
        <v>748207655</v>
      </c>
      <c r="D555" s="121">
        <v>781350387</v>
      </c>
      <c r="E555" s="121">
        <v>781350387</v>
      </c>
      <c r="F555" s="121">
        <v>748207655</v>
      </c>
      <c r="G555" s="121">
        <v>781350387</v>
      </c>
      <c r="H555" s="121">
        <v>748207655</v>
      </c>
    </row>
    <row r="556" spans="1:8">
      <c r="A556" s="114" t="s">
        <v>1515</v>
      </c>
      <c r="B556" s="114" t="s">
        <v>8605</v>
      </c>
      <c r="C556" s="121">
        <v>3548631381</v>
      </c>
      <c r="D556" s="121">
        <v>3637780214</v>
      </c>
      <c r="E556" s="121">
        <v>3637780214</v>
      </c>
      <c r="F556" s="121">
        <v>3548631381</v>
      </c>
      <c r="G556" s="121">
        <v>3637780214</v>
      </c>
      <c r="H556" s="121">
        <v>3548631381</v>
      </c>
    </row>
    <row r="557" spans="1:8">
      <c r="A557" s="114" t="s">
        <v>56</v>
      </c>
      <c r="B557" s="114" t="s">
        <v>8606</v>
      </c>
      <c r="C557" s="121">
        <v>806874064</v>
      </c>
      <c r="D557" s="121">
        <v>838999396</v>
      </c>
      <c r="E557" s="121">
        <v>838999396</v>
      </c>
      <c r="F557" s="121">
        <v>806874064</v>
      </c>
      <c r="G557" s="121">
        <v>838999396</v>
      </c>
      <c r="H557" s="121">
        <v>806874064</v>
      </c>
    </row>
    <row r="558" spans="1:8">
      <c r="A558" s="114" t="s">
        <v>58</v>
      </c>
      <c r="B558" s="114" t="s">
        <v>8607</v>
      </c>
      <c r="C558" s="121">
        <v>376983224</v>
      </c>
      <c r="D558" s="121">
        <v>394668403</v>
      </c>
      <c r="E558" s="121">
        <v>394668403</v>
      </c>
      <c r="F558" s="121">
        <v>376983224</v>
      </c>
      <c r="G558" s="121">
        <v>394668403</v>
      </c>
      <c r="H558" s="121">
        <v>376983224</v>
      </c>
    </row>
    <row r="559" spans="1:8">
      <c r="A559" s="114" t="s">
        <v>2923</v>
      </c>
      <c r="B559" s="114" t="s">
        <v>8608</v>
      </c>
      <c r="C559" s="121">
        <v>1102157440</v>
      </c>
      <c r="D559" s="121">
        <v>1140931963</v>
      </c>
      <c r="E559" s="121">
        <v>1140931963</v>
      </c>
      <c r="F559" s="121">
        <v>1102157440</v>
      </c>
      <c r="G559" s="121">
        <v>1140931963</v>
      </c>
      <c r="H559" s="121">
        <v>1102157440</v>
      </c>
    </row>
    <row r="560" spans="1:8">
      <c r="A560" s="114" t="s">
        <v>2924</v>
      </c>
      <c r="B560" s="114" t="s">
        <v>8609</v>
      </c>
      <c r="C560" s="121">
        <v>1523738288</v>
      </c>
      <c r="D560" s="121">
        <v>1567801683</v>
      </c>
      <c r="E560" s="121">
        <v>1567801683</v>
      </c>
      <c r="F560" s="121">
        <v>1523738288</v>
      </c>
      <c r="G560" s="121">
        <v>1567801683</v>
      </c>
      <c r="H560" s="121">
        <v>1523738288</v>
      </c>
    </row>
    <row r="561" spans="1:8">
      <c r="A561" s="114" t="s">
        <v>536</v>
      </c>
      <c r="B561" s="114" t="s">
        <v>8610</v>
      </c>
      <c r="C561" s="121">
        <v>202003908</v>
      </c>
      <c r="D561" s="121">
        <v>211328025</v>
      </c>
      <c r="E561" s="121">
        <v>211328025</v>
      </c>
      <c r="F561" s="121">
        <v>202003908</v>
      </c>
      <c r="G561" s="121">
        <v>211328025</v>
      </c>
      <c r="H561" s="121">
        <v>202003908</v>
      </c>
    </row>
    <row r="562" spans="1:8">
      <c r="A562" s="114" t="s">
        <v>2925</v>
      </c>
      <c r="B562" s="114" t="s">
        <v>8611</v>
      </c>
      <c r="C562" s="121">
        <v>6421480810</v>
      </c>
      <c r="D562" s="121">
        <v>6537798811</v>
      </c>
      <c r="E562" s="121">
        <v>6537798811</v>
      </c>
      <c r="F562" s="121">
        <v>6421480810</v>
      </c>
      <c r="G562" s="121">
        <v>6537798811</v>
      </c>
      <c r="H562" s="121">
        <v>6421480810</v>
      </c>
    </row>
    <row r="563" spans="1:8">
      <c r="A563" s="114" t="s">
        <v>1732</v>
      </c>
      <c r="B563" s="114" t="s">
        <v>8612</v>
      </c>
      <c r="C563" s="121">
        <v>847990300</v>
      </c>
      <c r="D563" s="121">
        <v>866025540</v>
      </c>
      <c r="E563" s="121">
        <v>866025540</v>
      </c>
      <c r="F563" s="121">
        <v>847990300</v>
      </c>
      <c r="G563" s="121">
        <v>866025540</v>
      </c>
      <c r="H563" s="121">
        <v>847990300</v>
      </c>
    </row>
    <row r="564" spans="1:8">
      <c r="A564" s="114" t="s">
        <v>3088</v>
      </c>
      <c r="B564" s="114" t="s">
        <v>8613</v>
      </c>
      <c r="C564" s="121">
        <v>777557072</v>
      </c>
      <c r="D564" s="121">
        <v>777759473</v>
      </c>
      <c r="E564" s="121">
        <v>777497962</v>
      </c>
      <c r="F564" s="121">
        <v>777295561</v>
      </c>
      <c r="G564" s="121">
        <v>881997892</v>
      </c>
      <c r="H564" s="121">
        <v>881795491</v>
      </c>
    </row>
    <row r="565" spans="1:8">
      <c r="A565" s="114" t="s">
        <v>2649</v>
      </c>
      <c r="B565" s="114" t="s">
        <v>8614</v>
      </c>
      <c r="C565" s="121">
        <v>399998059</v>
      </c>
      <c r="D565" s="121">
        <v>401430179</v>
      </c>
      <c r="E565" s="121">
        <v>400704264</v>
      </c>
      <c r="F565" s="121">
        <v>399272144</v>
      </c>
      <c r="G565" s="121">
        <v>400704264</v>
      </c>
      <c r="H565" s="121">
        <v>399272144</v>
      </c>
    </row>
    <row r="566" spans="1:8">
      <c r="A566" s="114" t="s">
        <v>1734</v>
      </c>
      <c r="B566" s="114" t="s">
        <v>8615</v>
      </c>
      <c r="C566" s="121">
        <v>301266415</v>
      </c>
      <c r="D566" s="121">
        <v>309380447</v>
      </c>
      <c r="E566" s="121">
        <v>309380447</v>
      </c>
      <c r="F566" s="121">
        <v>301266415</v>
      </c>
      <c r="G566" s="121">
        <v>309380447</v>
      </c>
      <c r="H566" s="121">
        <v>301266415</v>
      </c>
    </row>
    <row r="567" spans="1:8">
      <c r="A567" s="114" t="s">
        <v>2913</v>
      </c>
      <c r="B567" s="114" t="s">
        <v>8616</v>
      </c>
      <c r="C567" s="121">
        <v>386204547</v>
      </c>
      <c r="D567" s="121">
        <v>390821724</v>
      </c>
      <c r="E567" s="121">
        <v>390821724</v>
      </c>
      <c r="F567" s="121">
        <v>386204547</v>
      </c>
      <c r="G567" s="121">
        <v>390821724</v>
      </c>
      <c r="H567" s="121">
        <v>386204547</v>
      </c>
    </row>
    <row r="568" spans="1:8">
      <c r="A568" s="114" t="s">
        <v>2914</v>
      </c>
      <c r="B568" s="114" t="s">
        <v>8617</v>
      </c>
      <c r="C568" s="121">
        <v>2590741886</v>
      </c>
      <c r="D568" s="121">
        <v>2669533823</v>
      </c>
      <c r="E568" s="121">
        <v>2669533823</v>
      </c>
      <c r="F568" s="121">
        <v>2590741886</v>
      </c>
      <c r="G568" s="121">
        <v>2669533823</v>
      </c>
      <c r="H568" s="121">
        <v>2590741886</v>
      </c>
    </row>
    <row r="569" spans="1:8">
      <c r="A569" s="114" t="s">
        <v>529</v>
      </c>
      <c r="B569" s="114" t="s">
        <v>8618</v>
      </c>
      <c r="C569" s="121">
        <v>518853858</v>
      </c>
      <c r="D569" s="121">
        <v>538261752</v>
      </c>
      <c r="E569" s="121">
        <v>538261752</v>
      </c>
      <c r="F569" s="121">
        <v>518853858</v>
      </c>
      <c r="G569" s="121">
        <v>538261752</v>
      </c>
      <c r="H569" s="121">
        <v>518853858</v>
      </c>
    </row>
    <row r="570" spans="1:8">
      <c r="A570" s="114" t="s">
        <v>2601</v>
      </c>
      <c r="B570" s="114" t="s">
        <v>8619</v>
      </c>
      <c r="C570" s="121">
        <v>64330076</v>
      </c>
      <c r="D570" s="121">
        <v>64661092</v>
      </c>
      <c r="E570" s="121">
        <v>64661092</v>
      </c>
      <c r="F570" s="121">
        <v>64330076</v>
      </c>
      <c r="G570" s="121">
        <v>64661092</v>
      </c>
      <c r="H570" s="121">
        <v>64330076</v>
      </c>
    </row>
    <row r="571" spans="1:8">
      <c r="A571" s="114" t="s">
        <v>2602</v>
      </c>
      <c r="B571" s="114" t="s">
        <v>8620</v>
      </c>
      <c r="C571" s="121">
        <v>406700616</v>
      </c>
      <c r="D571" s="121">
        <v>416343656</v>
      </c>
      <c r="E571" s="121">
        <v>416343656</v>
      </c>
      <c r="F571" s="121">
        <v>406700616</v>
      </c>
      <c r="G571" s="121">
        <v>416343656</v>
      </c>
      <c r="H571" s="121">
        <v>406700616</v>
      </c>
    </row>
    <row r="572" spans="1:8">
      <c r="A572" s="114" t="s">
        <v>1727</v>
      </c>
      <c r="B572" s="114" t="s">
        <v>8621</v>
      </c>
      <c r="C572" s="121">
        <v>166566800</v>
      </c>
      <c r="D572" s="121">
        <v>166742000</v>
      </c>
      <c r="E572" s="121">
        <v>166613325</v>
      </c>
      <c r="F572" s="121">
        <v>166438125</v>
      </c>
      <c r="G572" s="121">
        <v>166613325</v>
      </c>
      <c r="H572" s="121">
        <v>166438125</v>
      </c>
    </row>
    <row r="573" spans="1:8">
      <c r="A573" s="114" t="s">
        <v>1728</v>
      </c>
      <c r="B573" s="114" t="s">
        <v>8622</v>
      </c>
      <c r="C573" s="121">
        <v>304748510</v>
      </c>
      <c r="D573" s="121">
        <v>312412150</v>
      </c>
      <c r="E573" s="121">
        <v>312412150</v>
      </c>
      <c r="F573" s="121">
        <v>304748510</v>
      </c>
      <c r="G573" s="121">
        <v>461012150</v>
      </c>
      <c r="H573" s="121">
        <v>453348510</v>
      </c>
    </row>
    <row r="574" spans="1:8">
      <c r="A574" s="114" t="s">
        <v>2872</v>
      </c>
      <c r="B574" s="114" t="s">
        <v>8623</v>
      </c>
      <c r="C574" s="121">
        <v>830583859</v>
      </c>
      <c r="D574" s="121">
        <v>864894954</v>
      </c>
      <c r="E574" s="121">
        <v>864894954</v>
      </c>
      <c r="F574" s="121">
        <v>830583859</v>
      </c>
      <c r="G574" s="121">
        <v>864894954</v>
      </c>
      <c r="H574" s="121">
        <v>830583859</v>
      </c>
    </row>
    <row r="575" spans="1:8">
      <c r="A575" s="114" t="s">
        <v>429</v>
      </c>
      <c r="B575" s="114" t="s">
        <v>8624</v>
      </c>
      <c r="C575" s="121">
        <v>157967292</v>
      </c>
      <c r="D575" s="121">
        <v>165400990</v>
      </c>
      <c r="E575" s="121">
        <v>160482353</v>
      </c>
      <c r="F575" s="121">
        <v>153048655</v>
      </c>
      <c r="G575" s="121">
        <v>160482353</v>
      </c>
      <c r="H575" s="121">
        <v>153048655</v>
      </c>
    </row>
    <row r="576" spans="1:8">
      <c r="A576" s="114" t="s">
        <v>430</v>
      </c>
      <c r="B576" s="114" t="s">
        <v>8625</v>
      </c>
      <c r="C576" s="121">
        <v>234270800</v>
      </c>
      <c r="D576" s="121">
        <v>237666998</v>
      </c>
      <c r="E576" s="121">
        <v>237666998</v>
      </c>
      <c r="F576" s="121">
        <v>234270800</v>
      </c>
      <c r="G576" s="121">
        <v>237666998</v>
      </c>
      <c r="H576" s="121">
        <v>234270800</v>
      </c>
    </row>
    <row r="577" spans="1:8">
      <c r="A577" s="114" t="s">
        <v>431</v>
      </c>
      <c r="B577" s="114" t="s">
        <v>8626</v>
      </c>
      <c r="C577" s="121">
        <v>116427794</v>
      </c>
      <c r="D577" s="121">
        <v>116427794</v>
      </c>
      <c r="E577" s="121">
        <v>116427794</v>
      </c>
      <c r="F577" s="121">
        <v>116427794</v>
      </c>
      <c r="G577" s="121">
        <v>116427794</v>
      </c>
      <c r="H577" s="121">
        <v>116427794</v>
      </c>
    </row>
    <row r="578" spans="1:8">
      <c r="A578" s="114" t="s">
        <v>2873</v>
      </c>
      <c r="B578" s="114" t="s">
        <v>8627</v>
      </c>
      <c r="C578" s="121">
        <v>81092917</v>
      </c>
      <c r="D578" s="121">
        <v>84043837</v>
      </c>
      <c r="E578" s="121">
        <v>84043837</v>
      </c>
      <c r="F578" s="121">
        <v>81092917</v>
      </c>
      <c r="G578" s="121">
        <v>84043837</v>
      </c>
      <c r="H578" s="121">
        <v>81092917</v>
      </c>
    </row>
    <row r="579" spans="1:8">
      <c r="A579" s="114" t="s">
        <v>270</v>
      </c>
      <c r="B579" s="114" t="s">
        <v>8628</v>
      </c>
      <c r="C579" s="121">
        <v>97829810</v>
      </c>
      <c r="D579" s="121">
        <v>101463030</v>
      </c>
      <c r="E579" s="121">
        <v>101463030</v>
      </c>
      <c r="F579" s="121">
        <v>97829810</v>
      </c>
      <c r="G579" s="121">
        <v>174351690</v>
      </c>
      <c r="H579" s="121">
        <v>170718470</v>
      </c>
    </row>
    <row r="580" spans="1:8">
      <c r="A580" s="114" t="s">
        <v>271</v>
      </c>
      <c r="B580" s="114" t="s">
        <v>8629</v>
      </c>
      <c r="C580" s="121">
        <v>62769068</v>
      </c>
      <c r="D580" s="121">
        <v>63348128</v>
      </c>
      <c r="E580" s="121">
        <v>63348128</v>
      </c>
      <c r="F580" s="121">
        <v>62769068</v>
      </c>
      <c r="G580" s="121">
        <v>63348128</v>
      </c>
      <c r="H580" s="121">
        <v>62769068</v>
      </c>
    </row>
    <row r="581" spans="1:8">
      <c r="A581" s="114" t="s">
        <v>272</v>
      </c>
      <c r="B581" s="114" t="s">
        <v>8630</v>
      </c>
      <c r="C581" s="121">
        <v>971694531</v>
      </c>
      <c r="D581" s="121">
        <v>980666647</v>
      </c>
      <c r="E581" s="121">
        <v>980666647</v>
      </c>
      <c r="F581" s="121">
        <v>971694531</v>
      </c>
      <c r="G581" s="121">
        <v>980666647</v>
      </c>
      <c r="H581" s="121">
        <v>971694531</v>
      </c>
    </row>
    <row r="582" spans="1:8">
      <c r="A582" s="114" t="s">
        <v>2654</v>
      </c>
      <c r="B582" s="114" t="s">
        <v>8631</v>
      </c>
      <c r="C582" s="121">
        <v>118934828</v>
      </c>
      <c r="D582" s="121">
        <v>121774126</v>
      </c>
      <c r="E582" s="121">
        <v>121774126</v>
      </c>
      <c r="F582" s="121">
        <v>118934828</v>
      </c>
      <c r="G582" s="121">
        <v>121774126</v>
      </c>
      <c r="H582" s="121">
        <v>118934828</v>
      </c>
    </row>
    <row r="583" spans="1:8">
      <c r="A583" s="114" t="s">
        <v>2303</v>
      </c>
      <c r="B583" s="114" t="s">
        <v>8632</v>
      </c>
      <c r="C583" s="121">
        <v>770654071</v>
      </c>
      <c r="D583" s="121">
        <v>805504743</v>
      </c>
      <c r="E583" s="121">
        <v>805504743</v>
      </c>
      <c r="F583" s="121">
        <v>770654071</v>
      </c>
      <c r="G583" s="121">
        <v>805504743</v>
      </c>
      <c r="H583" s="121">
        <v>770654071</v>
      </c>
    </row>
    <row r="584" spans="1:8">
      <c r="A584" s="114" t="s">
        <v>2370</v>
      </c>
      <c r="B584" s="114" t="s">
        <v>8633</v>
      </c>
      <c r="C584" s="121">
        <v>1189405155</v>
      </c>
      <c r="D584" s="121">
        <v>1232487225</v>
      </c>
      <c r="E584" s="121">
        <v>1232487225</v>
      </c>
      <c r="F584" s="121">
        <v>1189405155</v>
      </c>
      <c r="G584" s="121">
        <v>1232487225</v>
      </c>
      <c r="H584" s="121">
        <v>1189405155</v>
      </c>
    </row>
    <row r="585" spans="1:8">
      <c r="A585" s="114" t="s">
        <v>2874</v>
      </c>
      <c r="B585" s="114" t="s">
        <v>8634</v>
      </c>
      <c r="C585" s="121">
        <v>215175046</v>
      </c>
      <c r="D585" s="121">
        <v>229750113</v>
      </c>
      <c r="E585" s="121">
        <v>229750113</v>
      </c>
      <c r="F585" s="121">
        <v>215175046</v>
      </c>
      <c r="G585" s="121">
        <v>229750113</v>
      </c>
      <c r="H585" s="121">
        <v>215175046</v>
      </c>
    </row>
    <row r="586" spans="1:8">
      <c r="A586" s="114" t="s">
        <v>1754</v>
      </c>
      <c r="B586" s="114" t="s">
        <v>8635</v>
      </c>
      <c r="C586" s="121">
        <v>43285574</v>
      </c>
      <c r="D586" s="121">
        <v>44256699</v>
      </c>
      <c r="E586" s="121">
        <v>44256699</v>
      </c>
      <c r="F586" s="121">
        <v>43285574</v>
      </c>
      <c r="G586" s="121">
        <v>44256699</v>
      </c>
      <c r="H586" s="121">
        <v>43285574</v>
      </c>
    </row>
    <row r="587" spans="1:8">
      <c r="A587" s="114" t="s">
        <v>1755</v>
      </c>
      <c r="B587" s="114" t="s">
        <v>8636</v>
      </c>
      <c r="C587" s="121">
        <v>191117979</v>
      </c>
      <c r="D587" s="121">
        <v>199770919</v>
      </c>
      <c r="E587" s="121">
        <v>199770919</v>
      </c>
      <c r="F587" s="121">
        <v>191117979</v>
      </c>
      <c r="G587" s="121">
        <v>199770919</v>
      </c>
      <c r="H587" s="121">
        <v>191117979</v>
      </c>
    </row>
    <row r="588" spans="1:8">
      <c r="A588" s="114" t="s">
        <v>1592</v>
      </c>
      <c r="B588" s="114" t="s">
        <v>8637</v>
      </c>
      <c r="C588" s="121">
        <v>127072143</v>
      </c>
      <c r="D588" s="121">
        <v>130781765</v>
      </c>
      <c r="E588" s="121">
        <v>130781765</v>
      </c>
      <c r="F588" s="121">
        <v>127072143</v>
      </c>
      <c r="G588" s="121">
        <v>130781765</v>
      </c>
      <c r="H588" s="121">
        <v>127072143</v>
      </c>
    </row>
    <row r="589" spans="1:8">
      <c r="A589" s="114" t="s">
        <v>2584</v>
      </c>
      <c r="B589" s="114" t="s">
        <v>8638</v>
      </c>
      <c r="C589" s="121">
        <v>75900949</v>
      </c>
      <c r="D589" s="121">
        <v>77959611</v>
      </c>
      <c r="E589" s="121">
        <v>77959611</v>
      </c>
      <c r="F589" s="121">
        <v>75900949</v>
      </c>
      <c r="G589" s="121">
        <v>77959611</v>
      </c>
      <c r="H589" s="121">
        <v>75900949</v>
      </c>
    </row>
    <row r="590" spans="1:8">
      <c r="A590" s="114" t="s">
        <v>2585</v>
      </c>
      <c r="B590" s="114" t="s">
        <v>8639</v>
      </c>
      <c r="C590" s="121">
        <v>522264704</v>
      </c>
      <c r="D590" s="121">
        <v>524518347</v>
      </c>
      <c r="E590" s="121">
        <v>524518347</v>
      </c>
      <c r="F590" s="121">
        <v>522264704</v>
      </c>
      <c r="G590" s="121">
        <v>524518347</v>
      </c>
      <c r="H590" s="121">
        <v>522264704</v>
      </c>
    </row>
    <row r="591" spans="1:8">
      <c r="A591" s="114" t="s">
        <v>2586</v>
      </c>
      <c r="B591" s="114" t="s">
        <v>8640</v>
      </c>
      <c r="C591" s="121">
        <v>1165463480</v>
      </c>
      <c r="D591" s="121">
        <v>1213713075</v>
      </c>
      <c r="E591" s="121">
        <v>1213713075</v>
      </c>
      <c r="F591" s="121">
        <v>1165463480</v>
      </c>
      <c r="G591" s="121">
        <v>1213713075</v>
      </c>
      <c r="H591" s="121">
        <v>1165463480</v>
      </c>
    </row>
    <row r="592" spans="1:8">
      <c r="A592" s="114" t="s">
        <v>2587</v>
      </c>
      <c r="B592" s="114" t="s">
        <v>8641</v>
      </c>
      <c r="C592" s="121">
        <v>130735304</v>
      </c>
      <c r="D592" s="121">
        <v>133970714</v>
      </c>
      <c r="E592" s="121">
        <v>133970714</v>
      </c>
      <c r="F592" s="121">
        <v>130735304</v>
      </c>
      <c r="G592" s="121">
        <v>133970714</v>
      </c>
      <c r="H592" s="121">
        <v>130735304</v>
      </c>
    </row>
    <row r="593" spans="1:8">
      <c r="A593" s="114" t="s">
        <v>2755</v>
      </c>
      <c r="B593" s="114" t="s">
        <v>8642</v>
      </c>
      <c r="C593" s="121">
        <v>4158146704</v>
      </c>
      <c r="D593" s="121">
        <v>4165297784</v>
      </c>
      <c r="E593" s="121">
        <v>4165297784</v>
      </c>
      <c r="F593" s="121">
        <v>4158146704</v>
      </c>
      <c r="G593" s="121">
        <v>4165297784</v>
      </c>
      <c r="H593" s="121">
        <v>4158146704</v>
      </c>
    </row>
    <row r="594" spans="1:8">
      <c r="A594" s="114" t="s">
        <v>2588</v>
      </c>
      <c r="B594" s="114" t="s">
        <v>8643</v>
      </c>
      <c r="C594" s="121">
        <v>692827510</v>
      </c>
      <c r="D594" s="121">
        <v>711247009</v>
      </c>
      <c r="E594" s="121">
        <v>711247009</v>
      </c>
      <c r="F594" s="121">
        <v>692827510</v>
      </c>
      <c r="G594" s="121">
        <v>711247009</v>
      </c>
      <c r="H594" s="121">
        <v>692827510</v>
      </c>
    </row>
    <row r="595" spans="1:8">
      <c r="A595" s="114" t="s">
        <v>2589</v>
      </c>
      <c r="B595" s="114" t="s">
        <v>8644</v>
      </c>
      <c r="C595" s="121">
        <v>264588632</v>
      </c>
      <c r="D595" s="121">
        <v>270180654</v>
      </c>
      <c r="E595" s="121">
        <v>264117185</v>
      </c>
      <c r="F595" s="121">
        <v>258525163</v>
      </c>
      <c r="G595" s="121">
        <v>264117185</v>
      </c>
      <c r="H595" s="121">
        <v>258525163</v>
      </c>
    </row>
    <row r="596" spans="1:8">
      <c r="A596" s="114" t="s">
        <v>2590</v>
      </c>
      <c r="B596" s="114" t="s">
        <v>8645</v>
      </c>
      <c r="C596" s="121">
        <v>606376211</v>
      </c>
      <c r="D596" s="121">
        <v>617580067</v>
      </c>
      <c r="E596" s="121">
        <v>617580067</v>
      </c>
      <c r="F596" s="121">
        <v>606376211</v>
      </c>
      <c r="G596" s="121">
        <v>617580067</v>
      </c>
      <c r="H596" s="121">
        <v>606376211</v>
      </c>
    </row>
    <row r="597" spans="1:8">
      <c r="A597" s="114" t="s">
        <v>2591</v>
      </c>
      <c r="B597" s="114" t="s">
        <v>8646</v>
      </c>
      <c r="C597" s="121">
        <v>57428411</v>
      </c>
      <c r="D597" s="121">
        <v>59961748</v>
      </c>
      <c r="E597" s="121">
        <v>56685443</v>
      </c>
      <c r="F597" s="121">
        <v>54152106</v>
      </c>
      <c r="G597" s="121">
        <v>56685443</v>
      </c>
      <c r="H597" s="121">
        <v>54152106</v>
      </c>
    </row>
    <row r="598" spans="1:8">
      <c r="A598" s="114" t="s">
        <v>2592</v>
      </c>
      <c r="B598" s="114" t="s">
        <v>8647</v>
      </c>
      <c r="C598" s="121">
        <v>66022874</v>
      </c>
      <c r="D598" s="121">
        <v>68667546</v>
      </c>
      <c r="E598" s="121">
        <v>68667546</v>
      </c>
      <c r="F598" s="121">
        <v>66022874</v>
      </c>
      <c r="G598" s="121">
        <v>68667546</v>
      </c>
      <c r="H598" s="121">
        <v>66022874</v>
      </c>
    </row>
    <row r="599" spans="1:8">
      <c r="A599" s="114" t="s">
        <v>2981</v>
      </c>
      <c r="B599" s="114" t="s">
        <v>8648</v>
      </c>
      <c r="C599" s="121">
        <v>80140644</v>
      </c>
      <c r="D599" s="121">
        <v>82578627</v>
      </c>
      <c r="E599" s="121">
        <v>79874236</v>
      </c>
      <c r="F599" s="121">
        <v>77436253</v>
      </c>
      <c r="G599" s="121">
        <v>79874236</v>
      </c>
      <c r="H599" s="121">
        <v>77436253</v>
      </c>
    </row>
    <row r="600" spans="1:8">
      <c r="A600" s="114" t="s">
        <v>2982</v>
      </c>
      <c r="B600" s="114" t="s">
        <v>8649</v>
      </c>
      <c r="C600" s="121">
        <v>778110310</v>
      </c>
      <c r="D600" s="121">
        <v>798024467</v>
      </c>
      <c r="E600" s="121">
        <v>783754028</v>
      </c>
      <c r="F600" s="121">
        <v>763839871</v>
      </c>
      <c r="G600" s="121">
        <v>783754028</v>
      </c>
      <c r="H600" s="121">
        <v>763839871</v>
      </c>
    </row>
    <row r="601" spans="1:8">
      <c r="A601" s="114" t="s">
        <v>2983</v>
      </c>
      <c r="B601" s="114" t="s">
        <v>8650</v>
      </c>
      <c r="C601" s="121">
        <v>399864098</v>
      </c>
      <c r="D601" s="121">
        <v>413646375</v>
      </c>
      <c r="E601" s="121">
        <v>413646375</v>
      </c>
      <c r="F601" s="121">
        <v>399864098</v>
      </c>
      <c r="G601" s="121">
        <v>413646375</v>
      </c>
      <c r="H601" s="121">
        <v>399864098</v>
      </c>
    </row>
    <row r="602" spans="1:8">
      <c r="A602" s="114" t="s">
        <v>2984</v>
      </c>
      <c r="B602" s="114" t="s">
        <v>8651</v>
      </c>
      <c r="C602" s="121">
        <v>110985530</v>
      </c>
      <c r="D602" s="121">
        <v>113907569</v>
      </c>
      <c r="E602" s="121">
        <v>113211281</v>
      </c>
      <c r="F602" s="121">
        <v>110289242</v>
      </c>
      <c r="G602" s="121">
        <v>113211281</v>
      </c>
      <c r="H602" s="121">
        <v>110289242</v>
      </c>
    </row>
    <row r="603" spans="1:8">
      <c r="A603" s="114" t="s">
        <v>2985</v>
      </c>
      <c r="B603" s="114" t="s">
        <v>8652</v>
      </c>
      <c r="C603" s="121">
        <v>376573360</v>
      </c>
      <c r="D603" s="121">
        <v>386597296</v>
      </c>
      <c r="E603" s="121">
        <v>384222678</v>
      </c>
      <c r="F603" s="121">
        <v>374198742</v>
      </c>
      <c r="G603" s="121">
        <v>384222678</v>
      </c>
      <c r="H603" s="121">
        <v>374198742</v>
      </c>
    </row>
    <row r="604" spans="1:8">
      <c r="A604" s="114" t="s">
        <v>1561</v>
      </c>
      <c r="B604" s="114" t="s">
        <v>8653</v>
      </c>
      <c r="C604" s="121">
        <v>301125432</v>
      </c>
      <c r="D604" s="121">
        <v>312273852</v>
      </c>
      <c r="E604" s="121">
        <v>306586092</v>
      </c>
      <c r="F604" s="121">
        <v>295437672</v>
      </c>
      <c r="G604" s="121">
        <v>306586092</v>
      </c>
      <c r="H604" s="121">
        <v>295437672</v>
      </c>
    </row>
    <row r="605" spans="1:8">
      <c r="A605" s="114" t="s">
        <v>1562</v>
      </c>
      <c r="B605" s="114" t="s">
        <v>8654</v>
      </c>
      <c r="C605" s="121">
        <v>297115052</v>
      </c>
      <c r="D605" s="121">
        <v>307574999</v>
      </c>
      <c r="E605" s="121">
        <v>294208893</v>
      </c>
      <c r="F605" s="121">
        <v>283748946</v>
      </c>
      <c r="G605" s="121">
        <v>294208893</v>
      </c>
      <c r="H605" s="121">
        <v>283748946</v>
      </c>
    </row>
    <row r="606" spans="1:8">
      <c r="A606" s="114" t="s">
        <v>2783</v>
      </c>
      <c r="B606" s="114" t="s">
        <v>8655</v>
      </c>
      <c r="C606" s="121">
        <v>140456643</v>
      </c>
      <c r="D606" s="121">
        <v>142625190</v>
      </c>
      <c r="E606" s="121">
        <v>142625190</v>
      </c>
      <c r="F606" s="121">
        <v>140456643</v>
      </c>
      <c r="G606" s="121">
        <v>142625190</v>
      </c>
      <c r="H606" s="121">
        <v>140456643</v>
      </c>
    </row>
    <row r="607" spans="1:8">
      <c r="A607" s="114" t="s">
        <v>2421</v>
      </c>
      <c r="B607" s="114" t="s">
        <v>8656</v>
      </c>
      <c r="C607" s="121">
        <v>739858738</v>
      </c>
      <c r="D607" s="121">
        <v>748250330</v>
      </c>
      <c r="E607" s="121">
        <v>748250330</v>
      </c>
      <c r="F607" s="121">
        <v>739858738</v>
      </c>
      <c r="G607" s="121">
        <v>748250330</v>
      </c>
      <c r="H607" s="121">
        <v>739858738</v>
      </c>
    </row>
    <row r="608" spans="1:8">
      <c r="A608" s="114" t="s">
        <v>3029</v>
      </c>
      <c r="B608" s="114" t="s">
        <v>8657</v>
      </c>
      <c r="C608" s="121">
        <v>1192426381</v>
      </c>
      <c r="D608" s="121">
        <v>1223824367</v>
      </c>
      <c r="E608" s="121">
        <v>1223824367</v>
      </c>
      <c r="F608" s="121">
        <v>1192426381</v>
      </c>
      <c r="G608" s="121">
        <v>1223824367</v>
      </c>
      <c r="H608" s="121">
        <v>1192426381</v>
      </c>
    </row>
    <row r="609" spans="1:8">
      <c r="A609" s="114" t="s">
        <v>2762</v>
      </c>
      <c r="B609" s="114" t="s">
        <v>8658</v>
      </c>
      <c r="C609" s="121">
        <v>1779893369</v>
      </c>
      <c r="D609" s="121">
        <v>1825778017</v>
      </c>
      <c r="E609" s="121">
        <v>1825778017</v>
      </c>
      <c r="F609" s="121">
        <v>1779893369</v>
      </c>
      <c r="G609" s="121">
        <v>1825778017</v>
      </c>
      <c r="H609" s="121">
        <v>1779893369</v>
      </c>
    </row>
    <row r="610" spans="1:8">
      <c r="A610" s="114" t="s">
        <v>2422</v>
      </c>
      <c r="B610" s="114" t="s">
        <v>8659</v>
      </c>
      <c r="C610" s="121">
        <v>162138353</v>
      </c>
      <c r="D610" s="121">
        <v>164125403</v>
      </c>
      <c r="E610" s="121">
        <v>164125403</v>
      </c>
      <c r="F610" s="121">
        <v>162138353</v>
      </c>
      <c r="G610" s="121">
        <v>164125403</v>
      </c>
      <c r="H610" s="121">
        <v>162138353</v>
      </c>
    </row>
    <row r="611" spans="1:8">
      <c r="A611" s="114" t="s">
        <v>2875</v>
      </c>
      <c r="B611" s="114" t="s">
        <v>8660</v>
      </c>
      <c r="C611" s="121">
        <v>428505999</v>
      </c>
      <c r="D611" s="121">
        <v>442312727</v>
      </c>
      <c r="E611" s="121">
        <v>442312727</v>
      </c>
      <c r="F611" s="121">
        <v>428505999</v>
      </c>
      <c r="G611" s="121">
        <v>442312727</v>
      </c>
      <c r="H611" s="121">
        <v>428505999</v>
      </c>
    </row>
    <row r="612" spans="1:8">
      <c r="A612" s="114" t="s">
        <v>1277</v>
      </c>
      <c r="B612" s="114" t="s">
        <v>8661</v>
      </c>
      <c r="C612" s="121">
        <v>238899591</v>
      </c>
      <c r="D612" s="121">
        <v>244758657</v>
      </c>
      <c r="E612" s="121">
        <v>244758657</v>
      </c>
      <c r="F612" s="121">
        <v>238899591</v>
      </c>
      <c r="G612" s="121">
        <v>244758657</v>
      </c>
      <c r="H612" s="121">
        <v>238899591</v>
      </c>
    </row>
    <row r="613" spans="1:8">
      <c r="A613" s="114" t="s">
        <v>2423</v>
      </c>
      <c r="B613" s="114" t="s">
        <v>8662</v>
      </c>
      <c r="C613" s="121">
        <v>875903409</v>
      </c>
      <c r="D613" s="121">
        <v>896298220</v>
      </c>
      <c r="E613" s="121">
        <v>896298220</v>
      </c>
      <c r="F613" s="121">
        <v>875903409</v>
      </c>
      <c r="G613" s="121">
        <v>957805100</v>
      </c>
      <c r="H613" s="121">
        <v>937410289</v>
      </c>
    </row>
    <row r="614" spans="1:8">
      <c r="A614" s="114" t="s">
        <v>2424</v>
      </c>
      <c r="B614" s="114" t="s">
        <v>8663</v>
      </c>
      <c r="C614" s="121">
        <v>535940273</v>
      </c>
      <c r="D614" s="121">
        <v>554861573</v>
      </c>
      <c r="E614" s="121">
        <v>554861573</v>
      </c>
      <c r="F614" s="121">
        <v>535940273</v>
      </c>
      <c r="G614" s="121">
        <v>554861573</v>
      </c>
      <c r="H614" s="121">
        <v>535940273</v>
      </c>
    </row>
    <row r="615" spans="1:8">
      <c r="A615" s="114" t="s">
        <v>1093</v>
      </c>
      <c r="B615" s="114" t="s">
        <v>8664</v>
      </c>
      <c r="C615" s="121">
        <v>40281825</v>
      </c>
      <c r="D615" s="121">
        <v>42146205</v>
      </c>
      <c r="E615" s="121">
        <v>42146205</v>
      </c>
      <c r="F615" s="121">
        <v>40281825</v>
      </c>
      <c r="G615" s="121">
        <v>42146205</v>
      </c>
      <c r="H615" s="121">
        <v>40281825</v>
      </c>
    </row>
    <row r="616" spans="1:8">
      <c r="A616" s="114" t="s">
        <v>1513</v>
      </c>
      <c r="B616" s="114" t="s">
        <v>8665</v>
      </c>
      <c r="C616" s="121">
        <v>1302302538</v>
      </c>
      <c r="D616" s="121">
        <v>1322643211</v>
      </c>
      <c r="E616" s="121">
        <v>1322643211</v>
      </c>
      <c r="F616" s="121">
        <v>1302302538</v>
      </c>
      <c r="G616" s="121">
        <v>1322643211</v>
      </c>
      <c r="H616" s="121">
        <v>1302302538</v>
      </c>
    </row>
    <row r="617" spans="1:8">
      <c r="A617" s="114" t="s">
        <v>1902</v>
      </c>
      <c r="B617" s="114" t="s">
        <v>8666</v>
      </c>
      <c r="C617" s="121">
        <v>417174535</v>
      </c>
      <c r="D617" s="121">
        <v>436952124</v>
      </c>
      <c r="E617" s="121">
        <v>436952124</v>
      </c>
      <c r="F617" s="121">
        <v>417174535</v>
      </c>
      <c r="G617" s="121">
        <v>436952124</v>
      </c>
      <c r="H617" s="121">
        <v>417174535</v>
      </c>
    </row>
    <row r="618" spans="1:8">
      <c r="A618" s="114" t="s">
        <v>1903</v>
      </c>
      <c r="B618" s="114" t="s">
        <v>8667</v>
      </c>
      <c r="C618" s="121">
        <v>212148196</v>
      </c>
      <c r="D618" s="121">
        <v>214865996</v>
      </c>
      <c r="E618" s="121">
        <v>214865996</v>
      </c>
      <c r="F618" s="121">
        <v>212148196</v>
      </c>
      <c r="G618" s="121">
        <v>214865996</v>
      </c>
      <c r="H618" s="121">
        <v>212148196</v>
      </c>
    </row>
    <row r="619" spans="1:8">
      <c r="A619" s="114" t="s">
        <v>2926</v>
      </c>
      <c r="B619" s="114" t="s">
        <v>8668</v>
      </c>
      <c r="C619" s="121">
        <v>129042927</v>
      </c>
      <c r="D619" s="121">
        <v>130292387</v>
      </c>
      <c r="E619" s="121">
        <v>130292387</v>
      </c>
      <c r="F619" s="121">
        <v>129042927</v>
      </c>
      <c r="G619" s="121">
        <v>130292387</v>
      </c>
      <c r="H619" s="121">
        <v>129042927</v>
      </c>
    </row>
    <row r="620" spans="1:8">
      <c r="A620" s="114" t="s">
        <v>2927</v>
      </c>
      <c r="B620" s="114" t="s">
        <v>8669</v>
      </c>
      <c r="C620" s="121">
        <v>230419912</v>
      </c>
      <c r="D620" s="121">
        <v>231263582</v>
      </c>
      <c r="E620" s="121">
        <v>231263582</v>
      </c>
      <c r="F620" s="121">
        <v>230419912</v>
      </c>
      <c r="G620" s="121">
        <v>231263582</v>
      </c>
      <c r="H620" s="121">
        <v>230419912</v>
      </c>
    </row>
    <row r="621" spans="1:8">
      <c r="A621" s="114" t="s">
        <v>3056</v>
      </c>
      <c r="B621" s="114" t="s">
        <v>8670</v>
      </c>
      <c r="C621" s="121">
        <v>76335663</v>
      </c>
      <c r="D621" s="121">
        <v>77295273</v>
      </c>
      <c r="E621" s="121">
        <v>77295273</v>
      </c>
      <c r="F621" s="121">
        <v>76335663</v>
      </c>
      <c r="G621" s="121">
        <v>77295273</v>
      </c>
      <c r="H621" s="121">
        <v>76335663</v>
      </c>
    </row>
    <row r="622" spans="1:8">
      <c r="A622" s="114" t="s">
        <v>947</v>
      </c>
      <c r="B622" s="114" t="s">
        <v>8671</v>
      </c>
      <c r="C622" s="121">
        <v>765338053</v>
      </c>
      <c r="D622" s="121">
        <v>780621215</v>
      </c>
      <c r="E622" s="121">
        <v>762293393</v>
      </c>
      <c r="F622" s="121">
        <v>747010231</v>
      </c>
      <c r="G622" s="121">
        <v>762293393</v>
      </c>
      <c r="H622" s="121">
        <v>747010231</v>
      </c>
    </row>
    <row r="623" spans="1:8">
      <c r="A623" s="114" t="s">
        <v>95</v>
      </c>
      <c r="B623" s="114" t="s">
        <v>8672</v>
      </c>
      <c r="C623" s="121">
        <v>1501163707</v>
      </c>
      <c r="D623" s="121">
        <v>1508567138</v>
      </c>
      <c r="E623" s="121">
        <v>1500940766</v>
      </c>
      <c r="F623" s="121">
        <v>1493537335</v>
      </c>
      <c r="G623" s="121">
        <v>1500940766</v>
      </c>
      <c r="H623" s="121">
        <v>1493537335</v>
      </c>
    </row>
    <row r="624" spans="1:8">
      <c r="A624" s="114" t="s">
        <v>96</v>
      </c>
      <c r="B624" s="114" t="s">
        <v>8673</v>
      </c>
      <c r="C624" s="121">
        <v>3588211089</v>
      </c>
      <c r="D624" s="121">
        <v>3634790091</v>
      </c>
      <c r="E624" s="121">
        <v>3567986988</v>
      </c>
      <c r="F624" s="121">
        <v>3521407986</v>
      </c>
      <c r="G624" s="121">
        <v>3567986988</v>
      </c>
      <c r="H624" s="121">
        <v>3521407986</v>
      </c>
    </row>
    <row r="625" spans="1:8">
      <c r="A625" s="114" t="s">
        <v>2607</v>
      </c>
      <c r="B625" s="114" t="s">
        <v>8674</v>
      </c>
      <c r="C625" s="121">
        <v>10568203633</v>
      </c>
      <c r="D625" s="121">
        <v>10861835032</v>
      </c>
      <c r="E625" s="121">
        <v>10861835032</v>
      </c>
      <c r="F625" s="121">
        <v>10568203633</v>
      </c>
      <c r="G625" s="121">
        <v>10861835032</v>
      </c>
      <c r="H625" s="121">
        <v>10568203633</v>
      </c>
    </row>
    <row r="626" spans="1:8">
      <c r="A626" s="114" t="s">
        <v>2764</v>
      </c>
      <c r="B626" s="114" t="s">
        <v>8675</v>
      </c>
      <c r="C626" s="121">
        <v>249490357</v>
      </c>
      <c r="D626" s="121">
        <v>254622810</v>
      </c>
      <c r="E626" s="121">
        <v>254622810</v>
      </c>
      <c r="F626" s="121">
        <v>249490357</v>
      </c>
      <c r="G626" s="121">
        <v>254622810</v>
      </c>
      <c r="H626" s="121">
        <v>249490357</v>
      </c>
    </row>
    <row r="627" spans="1:8">
      <c r="A627" s="114" t="s">
        <v>2765</v>
      </c>
      <c r="B627" s="114" t="s">
        <v>8676</v>
      </c>
      <c r="C627" s="121">
        <v>376860324</v>
      </c>
      <c r="D627" s="121">
        <v>391681828</v>
      </c>
      <c r="E627" s="121">
        <v>391681828</v>
      </c>
      <c r="F627" s="121">
        <v>376860324</v>
      </c>
      <c r="G627" s="121">
        <v>391681828</v>
      </c>
      <c r="H627" s="121">
        <v>376860324</v>
      </c>
    </row>
    <row r="628" spans="1:8">
      <c r="A628" s="114" t="s">
        <v>2414</v>
      </c>
      <c r="B628" s="114" t="s">
        <v>8677</v>
      </c>
      <c r="C628" s="121">
        <v>2895022372</v>
      </c>
      <c r="D628" s="121">
        <v>2959934770</v>
      </c>
      <c r="E628" s="121">
        <v>2959934770</v>
      </c>
      <c r="F628" s="121">
        <v>2895022372</v>
      </c>
      <c r="G628" s="121">
        <v>2959934770</v>
      </c>
      <c r="H628" s="121">
        <v>2895022372</v>
      </c>
    </row>
    <row r="629" spans="1:8">
      <c r="A629" s="114" t="s">
        <v>1603</v>
      </c>
      <c r="B629" s="114" t="s">
        <v>8678</v>
      </c>
      <c r="C629" s="121">
        <v>3796153468</v>
      </c>
      <c r="D629" s="121">
        <v>3883521706</v>
      </c>
      <c r="E629" s="121">
        <v>3883521706</v>
      </c>
      <c r="F629" s="121">
        <v>3796153468</v>
      </c>
      <c r="G629" s="121">
        <v>3883521706</v>
      </c>
      <c r="H629" s="121">
        <v>3796153468</v>
      </c>
    </row>
    <row r="630" spans="1:8">
      <c r="A630" s="114" t="s">
        <v>2766</v>
      </c>
      <c r="B630" s="114" t="s">
        <v>8679</v>
      </c>
      <c r="C630" s="121">
        <v>221322951</v>
      </c>
      <c r="D630" s="121">
        <v>228653660</v>
      </c>
      <c r="E630" s="121">
        <v>228653660</v>
      </c>
      <c r="F630" s="121">
        <v>221322951</v>
      </c>
      <c r="G630" s="121">
        <v>228653660</v>
      </c>
      <c r="H630" s="121">
        <v>221322951</v>
      </c>
    </row>
    <row r="631" spans="1:8">
      <c r="A631" s="114" t="s">
        <v>538</v>
      </c>
      <c r="B631" s="114" t="s">
        <v>8680</v>
      </c>
      <c r="C631" s="121">
        <v>290186460</v>
      </c>
      <c r="D631" s="121">
        <v>299854011</v>
      </c>
      <c r="E631" s="121">
        <v>299854011</v>
      </c>
      <c r="F631" s="121">
        <v>290186460</v>
      </c>
      <c r="G631" s="121">
        <v>299854011</v>
      </c>
      <c r="H631" s="121">
        <v>290186460</v>
      </c>
    </row>
    <row r="632" spans="1:8">
      <c r="A632" s="114" t="s">
        <v>775</v>
      </c>
      <c r="B632" s="114" t="s">
        <v>8681</v>
      </c>
      <c r="C632" s="121">
        <v>242395777</v>
      </c>
      <c r="D632" s="121">
        <v>250341307</v>
      </c>
      <c r="E632" s="121">
        <v>250341307</v>
      </c>
      <c r="F632" s="121">
        <v>242395777</v>
      </c>
      <c r="G632" s="121">
        <v>250341307</v>
      </c>
      <c r="H632" s="121">
        <v>242395777</v>
      </c>
    </row>
    <row r="633" spans="1:8">
      <c r="A633" s="114" t="s">
        <v>2679</v>
      </c>
      <c r="B633" s="114" t="s">
        <v>8682</v>
      </c>
      <c r="C633" s="121">
        <v>94254376</v>
      </c>
      <c r="D633" s="121">
        <v>96278556</v>
      </c>
      <c r="E633" s="121">
        <v>96278556</v>
      </c>
      <c r="F633" s="121">
        <v>94254376</v>
      </c>
      <c r="G633" s="121">
        <v>323657796</v>
      </c>
      <c r="H633" s="121">
        <v>321633616</v>
      </c>
    </row>
    <row r="634" spans="1:8">
      <c r="A634" s="114" t="s">
        <v>2680</v>
      </c>
      <c r="B634" s="114" t="s">
        <v>8683</v>
      </c>
      <c r="C634" s="121">
        <v>119834597</v>
      </c>
      <c r="D634" s="121">
        <v>125307887</v>
      </c>
      <c r="E634" s="121">
        <v>125307887</v>
      </c>
      <c r="F634" s="121">
        <v>119834597</v>
      </c>
      <c r="G634" s="121">
        <v>125307887</v>
      </c>
      <c r="H634" s="121">
        <v>119834597</v>
      </c>
    </row>
    <row r="635" spans="1:8">
      <c r="A635" s="114" t="s">
        <v>2681</v>
      </c>
      <c r="B635" s="114" t="s">
        <v>8684</v>
      </c>
      <c r="C635" s="121">
        <v>79271593</v>
      </c>
      <c r="D635" s="121">
        <v>81352803</v>
      </c>
      <c r="E635" s="121">
        <v>81352803</v>
      </c>
      <c r="F635" s="121">
        <v>79271593</v>
      </c>
      <c r="G635" s="121">
        <v>81352803</v>
      </c>
      <c r="H635" s="121">
        <v>79271593</v>
      </c>
    </row>
    <row r="636" spans="1:8">
      <c r="A636" s="114" t="s">
        <v>1651</v>
      </c>
      <c r="B636" s="114" t="s">
        <v>8685</v>
      </c>
      <c r="C636" s="121">
        <v>41486139</v>
      </c>
      <c r="D636" s="121">
        <v>42998199</v>
      </c>
      <c r="E636" s="121">
        <v>42998199</v>
      </c>
      <c r="F636" s="121">
        <v>41486139</v>
      </c>
      <c r="G636" s="121">
        <v>42998199</v>
      </c>
      <c r="H636" s="121">
        <v>41486139</v>
      </c>
    </row>
    <row r="637" spans="1:8">
      <c r="A637" s="114" t="s">
        <v>2389</v>
      </c>
      <c r="B637" s="114" t="s">
        <v>8686</v>
      </c>
      <c r="C637" s="121">
        <v>759214707</v>
      </c>
      <c r="D637" s="121">
        <v>779547258</v>
      </c>
      <c r="E637" s="121">
        <v>779547258</v>
      </c>
      <c r="F637" s="121">
        <v>759214707</v>
      </c>
      <c r="G637" s="121">
        <v>779547258</v>
      </c>
      <c r="H637" s="121">
        <v>759214707</v>
      </c>
    </row>
    <row r="638" spans="1:8">
      <c r="A638" s="114" t="s">
        <v>1652</v>
      </c>
      <c r="B638" s="114" t="s">
        <v>8687</v>
      </c>
      <c r="C638" s="121">
        <v>215814987</v>
      </c>
      <c r="D638" s="121">
        <v>219715953</v>
      </c>
      <c r="E638" s="121">
        <v>219715953</v>
      </c>
      <c r="F638" s="121">
        <v>215814987</v>
      </c>
      <c r="G638" s="121">
        <v>219715953</v>
      </c>
      <c r="H638" s="121">
        <v>215814987</v>
      </c>
    </row>
    <row r="639" spans="1:8">
      <c r="A639" s="114" t="s">
        <v>418</v>
      </c>
      <c r="B639" s="114" t="s">
        <v>8688</v>
      </c>
      <c r="C639" s="121">
        <v>631788097</v>
      </c>
      <c r="D639" s="121">
        <v>653880177</v>
      </c>
      <c r="E639" s="121">
        <v>643642347</v>
      </c>
      <c r="F639" s="121">
        <v>621550267</v>
      </c>
      <c r="G639" s="121">
        <v>643642347</v>
      </c>
      <c r="H639" s="121">
        <v>621550267</v>
      </c>
    </row>
    <row r="640" spans="1:8">
      <c r="A640" s="114" t="s">
        <v>419</v>
      </c>
      <c r="B640" s="114" t="s">
        <v>8689</v>
      </c>
      <c r="C640" s="121">
        <v>2009293780</v>
      </c>
      <c r="D640" s="121">
        <v>2017949636</v>
      </c>
      <c r="E640" s="121">
        <v>2012243907</v>
      </c>
      <c r="F640" s="121">
        <v>2003588051</v>
      </c>
      <c r="G640" s="121">
        <v>2107172947</v>
      </c>
      <c r="H640" s="121">
        <v>2098517091</v>
      </c>
    </row>
    <row r="641" spans="1:8">
      <c r="A641" s="114" t="s">
        <v>420</v>
      </c>
      <c r="B641" s="114" t="s">
        <v>8690</v>
      </c>
      <c r="C641" s="121">
        <v>1494673548</v>
      </c>
      <c r="D641" s="121">
        <v>1495825588</v>
      </c>
      <c r="E641" s="121">
        <v>1494617613</v>
      </c>
      <c r="F641" s="121">
        <v>1493465573</v>
      </c>
      <c r="G641" s="121">
        <v>1497780503</v>
      </c>
      <c r="H641" s="121">
        <v>1496628463</v>
      </c>
    </row>
    <row r="642" spans="1:8">
      <c r="A642" s="114" t="s">
        <v>1856</v>
      </c>
      <c r="B642" s="114" t="s">
        <v>8691</v>
      </c>
      <c r="C642" s="121">
        <v>400902409</v>
      </c>
      <c r="D642" s="121">
        <v>412203629</v>
      </c>
      <c r="E642" s="121">
        <v>412203629</v>
      </c>
      <c r="F642" s="121">
        <v>400902409</v>
      </c>
      <c r="G642" s="121">
        <v>412203629</v>
      </c>
      <c r="H642" s="121">
        <v>400902409</v>
      </c>
    </row>
    <row r="643" spans="1:8">
      <c r="A643" s="114" t="s">
        <v>1857</v>
      </c>
      <c r="B643" s="114" t="s">
        <v>8692</v>
      </c>
      <c r="C643" s="121">
        <v>1214930955</v>
      </c>
      <c r="D643" s="121">
        <v>1249462986</v>
      </c>
      <c r="E643" s="121">
        <v>1249462986</v>
      </c>
      <c r="F643" s="121">
        <v>1214930955</v>
      </c>
      <c r="G643" s="121">
        <v>1249462986</v>
      </c>
      <c r="H643" s="121">
        <v>1214930955</v>
      </c>
    </row>
    <row r="644" spans="1:8">
      <c r="A644" s="114" t="s">
        <v>201</v>
      </c>
      <c r="B644" s="114" t="s">
        <v>8693</v>
      </c>
      <c r="C644" s="121">
        <v>1146470600</v>
      </c>
      <c r="D644" s="121">
        <v>1154267392</v>
      </c>
      <c r="E644" s="121">
        <v>1145269624</v>
      </c>
      <c r="F644" s="121">
        <v>1137472832</v>
      </c>
      <c r="G644" s="121">
        <v>1145269624</v>
      </c>
      <c r="H644" s="121">
        <v>1137472832</v>
      </c>
    </row>
    <row r="645" spans="1:8">
      <c r="A645" s="114" t="s">
        <v>2438</v>
      </c>
      <c r="B645" s="114" t="s">
        <v>8694</v>
      </c>
      <c r="C645" s="121">
        <v>283952222</v>
      </c>
      <c r="D645" s="121">
        <v>286717897</v>
      </c>
      <c r="E645" s="121">
        <v>281268653</v>
      </c>
      <c r="F645" s="121">
        <v>278502978</v>
      </c>
      <c r="G645" s="121">
        <v>281268653</v>
      </c>
      <c r="H645" s="121">
        <v>278502978</v>
      </c>
    </row>
    <row r="646" spans="1:8">
      <c r="A646" s="114" t="s">
        <v>2439</v>
      </c>
      <c r="B646" s="114" t="s">
        <v>8695</v>
      </c>
      <c r="C646" s="121">
        <v>1273668777</v>
      </c>
      <c r="D646" s="121">
        <v>1286805984</v>
      </c>
      <c r="E646" s="121">
        <v>1270679420</v>
      </c>
      <c r="F646" s="121">
        <v>1257542213</v>
      </c>
      <c r="G646" s="121">
        <v>1270679420</v>
      </c>
      <c r="H646" s="121">
        <v>1257542213</v>
      </c>
    </row>
    <row r="647" spans="1:8">
      <c r="A647" s="114" t="s">
        <v>2440</v>
      </c>
      <c r="B647" s="114" t="s">
        <v>8696</v>
      </c>
      <c r="C647" s="121">
        <v>603480404</v>
      </c>
      <c r="D647" s="121">
        <v>616421371</v>
      </c>
      <c r="E647" s="121">
        <v>598308600</v>
      </c>
      <c r="F647" s="121">
        <v>585367633</v>
      </c>
      <c r="G647" s="121">
        <v>1474677600</v>
      </c>
      <c r="H647" s="121">
        <v>1461736633</v>
      </c>
    </row>
    <row r="648" spans="1:8">
      <c r="A648" s="114" t="s">
        <v>2057</v>
      </c>
      <c r="B648" s="114" t="s">
        <v>8697</v>
      </c>
      <c r="C648" s="121">
        <v>2303440565</v>
      </c>
      <c r="D648" s="121">
        <v>2384813783</v>
      </c>
      <c r="E648" s="121">
        <v>2384813783</v>
      </c>
      <c r="F648" s="121">
        <v>2303440565</v>
      </c>
      <c r="G648" s="121">
        <v>2384813783</v>
      </c>
      <c r="H648" s="121">
        <v>2303440565</v>
      </c>
    </row>
    <row r="649" spans="1:8">
      <c r="A649" s="114" t="s">
        <v>992</v>
      </c>
      <c r="B649" s="114" t="s">
        <v>8698</v>
      </c>
      <c r="C649" s="121">
        <v>444396313</v>
      </c>
      <c r="D649" s="121">
        <v>458713593</v>
      </c>
      <c r="E649" s="121">
        <v>458713593</v>
      </c>
      <c r="F649" s="121">
        <v>444396313</v>
      </c>
      <c r="G649" s="121">
        <v>458713593</v>
      </c>
      <c r="H649" s="121">
        <v>444396313</v>
      </c>
    </row>
    <row r="650" spans="1:8">
      <c r="A650" s="114" t="s">
        <v>1583</v>
      </c>
      <c r="B650" s="114" t="s">
        <v>8699</v>
      </c>
      <c r="C650" s="121">
        <v>66204054</v>
      </c>
      <c r="D650" s="121">
        <v>68582614</v>
      </c>
      <c r="E650" s="121">
        <v>68582614</v>
      </c>
      <c r="F650" s="121">
        <v>66204054</v>
      </c>
      <c r="G650" s="121">
        <v>68582614</v>
      </c>
      <c r="H650" s="121">
        <v>66204054</v>
      </c>
    </row>
    <row r="651" spans="1:8">
      <c r="A651" s="114" t="s">
        <v>2265</v>
      </c>
      <c r="B651" s="114" t="s">
        <v>8700</v>
      </c>
      <c r="C651" s="121">
        <v>28306228</v>
      </c>
      <c r="D651" s="121">
        <v>28931028</v>
      </c>
      <c r="E651" s="121">
        <v>28931028</v>
      </c>
      <c r="F651" s="121">
        <v>28306228</v>
      </c>
      <c r="G651" s="121">
        <v>28931028</v>
      </c>
      <c r="H651" s="121">
        <v>28306228</v>
      </c>
    </row>
    <row r="652" spans="1:8">
      <c r="A652" s="114" t="s">
        <v>1094</v>
      </c>
      <c r="B652" s="114" t="s">
        <v>8701</v>
      </c>
      <c r="C652" s="121">
        <v>183146058</v>
      </c>
      <c r="D652" s="121">
        <v>190165363</v>
      </c>
      <c r="E652" s="121">
        <v>190165363</v>
      </c>
      <c r="F652" s="121">
        <v>183146058</v>
      </c>
      <c r="G652" s="121">
        <v>190165363</v>
      </c>
      <c r="H652" s="121">
        <v>183146058</v>
      </c>
    </row>
    <row r="653" spans="1:8">
      <c r="A653" s="114" t="s">
        <v>1012</v>
      </c>
      <c r="B653" s="114" t="s">
        <v>8208</v>
      </c>
      <c r="C653" s="121">
        <v>4857816926</v>
      </c>
      <c r="D653" s="121">
        <v>4966684326</v>
      </c>
      <c r="E653" s="121">
        <v>4966684326</v>
      </c>
      <c r="F653" s="121">
        <v>4857816926</v>
      </c>
      <c r="G653" s="121">
        <v>4966684326</v>
      </c>
      <c r="H653" s="121">
        <v>4857816926</v>
      </c>
    </row>
    <row r="654" spans="1:8">
      <c r="A654" s="114" t="s">
        <v>800</v>
      </c>
      <c r="B654" s="114" t="s">
        <v>8702</v>
      </c>
      <c r="C654" s="121">
        <v>805563095</v>
      </c>
      <c r="D654" s="121">
        <v>826399216</v>
      </c>
      <c r="E654" s="121">
        <v>826399216</v>
      </c>
      <c r="F654" s="121">
        <v>805563095</v>
      </c>
      <c r="G654" s="121">
        <v>826399216</v>
      </c>
      <c r="H654" s="121">
        <v>805563095</v>
      </c>
    </row>
    <row r="655" spans="1:8">
      <c r="A655" s="114" t="s">
        <v>1095</v>
      </c>
      <c r="B655" s="114" t="s">
        <v>8703</v>
      </c>
      <c r="C655" s="121">
        <v>480093579</v>
      </c>
      <c r="D655" s="121">
        <v>500780096</v>
      </c>
      <c r="E655" s="121">
        <v>500780096</v>
      </c>
      <c r="F655" s="121">
        <v>480093579</v>
      </c>
      <c r="G655" s="121">
        <v>500780096</v>
      </c>
      <c r="H655" s="121">
        <v>480093579</v>
      </c>
    </row>
    <row r="656" spans="1:8">
      <c r="A656" s="114" t="s">
        <v>2096</v>
      </c>
      <c r="B656" s="114" t="s">
        <v>8704</v>
      </c>
      <c r="C656" s="121">
        <v>132212945</v>
      </c>
      <c r="D656" s="121">
        <v>138547235</v>
      </c>
      <c r="E656" s="121">
        <v>138547235</v>
      </c>
      <c r="F656" s="121">
        <v>132212945</v>
      </c>
      <c r="G656" s="121">
        <v>138547235</v>
      </c>
      <c r="H656" s="121">
        <v>132212945</v>
      </c>
    </row>
    <row r="657" spans="1:8">
      <c r="A657" s="114" t="s">
        <v>1735</v>
      </c>
      <c r="B657" s="114" t="s">
        <v>8705</v>
      </c>
      <c r="C657" s="121">
        <v>419018748</v>
      </c>
      <c r="D657" s="121">
        <v>431724706</v>
      </c>
      <c r="E657" s="121">
        <v>431724706</v>
      </c>
      <c r="F657" s="121">
        <v>419018748</v>
      </c>
      <c r="G657" s="121">
        <v>431724706</v>
      </c>
      <c r="H657" s="121">
        <v>419018748</v>
      </c>
    </row>
    <row r="658" spans="1:8">
      <c r="A658" s="114" t="s">
        <v>134</v>
      </c>
      <c r="B658" s="114" t="s">
        <v>8706</v>
      </c>
      <c r="C658" s="121">
        <v>181598266</v>
      </c>
      <c r="D658" s="121">
        <v>191108205</v>
      </c>
      <c r="E658" s="121">
        <v>191108205</v>
      </c>
      <c r="F658" s="121">
        <v>181598266</v>
      </c>
      <c r="G658" s="121">
        <v>191108205</v>
      </c>
      <c r="H658" s="121">
        <v>181598266</v>
      </c>
    </row>
    <row r="659" spans="1:8">
      <c r="A659" s="114" t="s">
        <v>2384</v>
      </c>
      <c r="B659" s="114" t="s">
        <v>8707</v>
      </c>
      <c r="C659" s="121">
        <v>421999716</v>
      </c>
      <c r="D659" s="121">
        <v>427351391</v>
      </c>
      <c r="E659" s="121">
        <v>424275993</v>
      </c>
      <c r="F659" s="121">
        <v>418924318</v>
      </c>
      <c r="G659" s="121">
        <v>424275993</v>
      </c>
      <c r="H659" s="121">
        <v>418924318</v>
      </c>
    </row>
    <row r="660" spans="1:8">
      <c r="A660" s="114" t="s">
        <v>373</v>
      </c>
      <c r="B660" s="114" t="s">
        <v>8708</v>
      </c>
      <c r="C660" s="121">
        <v>5123912412</v>
      </c>
      <c r="D660" s="121">
        <v>5265166462</v>
      </c>
      <c r="E660" s="121">
        <v>5265166462</v>
      </c>
      <c r="F660" s="121">
        <v>5123912412</v>
      </c>
      <c r="G660" s="121">
        <v>5265166462</v>
      </c>
      <c r="H660" s="121">
        <v>5123912412</v>
      </c>
    </row>
    <row r="661" spans="1:8">
      <c r="A661" s="114" t="s">
        <v>376</v>
      </c>
      <c r="B661" s="114" t="s">
        <v>8709</v>
      </c>
      <c r="C661" s="121">
        <v>423190108</v>
      </c>
      <c r="D661" s="121">
        <v>442818962</v>
      </c>
      <c r="E661" s="121">
        <v>442818962</v>
      </c>
      <c r="F661" s="121">
        <v>423190108</v>
      </c>
      <c r="G661" s="121">
        <v>442818962</v>
      </c>
      <c r="H661" s="121">
        <v>423190108</v>
      </c>
    </row>
    <row r="662" spans="1:8">
      <c r="A662" s="114" t="s">
        <v>2819</v>
      </c>
      <c r="B662" s="114" t="s">
        <v>8710</v>
      </c>
      <c r="C662" s="121">
        <v>133853053</v>
      </c>
      <c r="D662" s="121">
        <v>141552408</v>
      </c>
      <c r="E662" s="121">
        <v>141552408</v>
      </c>
      <c r="F662" s="121">
        <v>133853053</v>
      </c>
      <c r="G662" s="121">
        <v>141552408</v>
      </c>
      <c r="H662" s="121">
        <v>133853053</v>
      </c>
    </row>
    <row r="663" spans="1:8">
      <c r="A663" s="114" t="s">
        <v>2820</v>
      </c>
      <c r="B663" s="114" t="s">
        <v>8711</v>
      </c>
      <c r="C663" s="121">
        <v>174781343</v>
      </c>
      <c r="D663" s="121">
        <v>183886362</v>
      </c>
      <c r="E663" s="121">
        <v>183886362</v>
      </c>
      <c r="F663" s="121">
        <v>174781343</v>
      </c>
      <c r="G663" s="121">
        <v>183886362</v>
      </c>
      <c r="H663" s="121">
        <v>174781343</v>
      </c>
    </row>
    <row r="664" spans="1:8">
      <c r="A664" s="114" t="s">
        <v>85</v>
      </c>
      <c r="B664" s="114" t="s">
        <v>8712</v>
      </c>
      <c r="C664" s="121">
        <v>807664989</v>
      </c>
      <c r="D664" s="121">
        <v>839692233</v>
      </c>
      <c r="E664" s="121">
        <v>839692233</v>
      </c>
      <c r="F664" s="121">
        <v>807664989</v>
      </c>
      <c r="G664" s="121">
        <v>839692233</v>
      </c>
      <c r="H664" s="121">
        <v>807664989</v>
      </c>
    </row>
    <row r="665" spans="1:8">
      <c r="A665" s="114" t="s">
        <v>2638</v>
      </c>
      <c r="B665" s="114" t="s">
        <v>8713</v>
      </c>
      <c r="C665" s="121">
        <v>659805476</v>
      </c>
      <c r="D665" s="121">
        <v>684222003</v>
      </c>
      <c r="E665" s="121">
        <v>684222003</v>
      </c>
      <c r="F665" s="121">
        <v>659805476</v>
      </c>
      <c r="G665" s="121">
        <v>684222003</v>
      </c>
      <c r="H665" s="121">
        <v>659805476</v>
      </c>
    </row>
    <row r="666" spans="1:8">
      <c r="A666" s="114" t="s">
        <v>190</v>
      </c>
      <c r="B666" s="114" t="s">
        <v>8714</v>
      </c>
      <c r="C666" s="121">
        <v>644335387</v>
      </c>
      <c r="D666" s="121">
        <v>674726394</v>
      </c>
      <c r="E666" s="121">
        <v>674726394</v>
      </c>
      <c r="F666" s="121">
        <v>644335387</v>
      </c>
      <c r="G666" s="121">
        <v>674726394</v>
      </c>
      <c r="H666" s="121">
        <v>644335387</v>
      </c>
    </row>
    <row r="667" spans="1:8">
      <c r="A667" s="114" t="s">
        <v>991</v>
      </c>
      <c r="B667" s="114" t="s">
        <v>8715</v>
      </c>
      <c r="C667" s="121">
        <v>163729099</v>
      </c>
      <c r="D667" s="121">
        <v>169334679</v>
      </c>
      <c r="E667" s="121">
        <v>169334679</v>
      </c>
      <c r="F667" s="121">
        <v>163729099</v>
      </c>
      <c r="G667" s="121">
        <v>169334679</v>
      </c>
      <c r="H667" s="121">
        <v>163729099</v>
      </c>
    </row>
    <row r="668" spans="1:8">
      <c r="A668" s="114" t="s">
        <v>2098</v>
      </c>
      <c r="B668" s="114" t="s">
        <v>8716</v>
      </c>
      <c r="C668" s="121">
        <v>69356707</v>
      </c>
      <c r="D668" s="121">
        <v>72483872</v>
      </c>
      <c r="E668" s="121">
        <v>72483872</v>
      </c>
      <c r="F668" s="121">
        <v>69356707</v>
      </c>
      <c r="G668" s="121">
        <v>72483872</v>
      </c>
      <c r="H668" s="121">
        <v>69356707</v>
      </c>
    </row>
    <row r="669" spans="1:8">
      <c r="A669" s="114" t="s">
        <v>287</v>
      </c>
      <c r="B669" s="114" t="s">
        <v>8717</v>
      </c>
      <c r="C669" s="121">
        <v>45712161</v>
      </c>
      <c r="D669" s="121">
        <v>48903926</v>
      </c>
      <c r="E669" s="121">
        <v>48903926</v>
      </c>
      <c r="F669" s="121">
        <v>45712161</v>
      </c>
      <c r="G669" s="121">
        <v>48903926</v>
      </c>
      <c r="H669" s="121">
        <v>45712161</v>
      </c>
    </row>
    <row r="670" spans="1:8">
      <c r="A670" s="114" t="s">
        <v>1782</v>
      </c>
      <c r="B670" s="114" t="s">
        <v>8718</v>
      </c>
      <c r="C670" s="121">
        <v>2244884896</v>
      </c>
      <c r="D670" s="121">
        <v>2246271694</v>
      </c>
      <c r="E670" s="121">
        <v>2244464235</v>
      </c>
      <c r="F670" s="121">
        <v>2243077437</v>
      </c>
      <c r="G670" s="121">
        <v>2244464235</v>
      </c>
      <c r="H670" s="121">
        <v>2243077437</v>
      </c>
    </row>
    <row r="671" spans="1:8">
      <c r="A671" s="114" t="s">
        <v>1296</v>
      </c>
      <c r="B671" s="114" t="s">
        <v>8719</v>
      </c>
      <c r="C671" s="121">
        <v>427102689</v>
      </c>
      <c r="D671" s="121">
        <v>446864355</v>
      </c>
      <c r="E671" s="121">
        <v>446864355</v>
      </c>
      <c r="F671" s="121">
        <v>427102689</v>
      </c>
      <c r="G671" s="121">
        <v>446864355</v>
      </c>
      <c r="H671" s="121">
        <v>427102689</v>
      </c>
    </row>
    <row r="672" spans="1:8">
      <c r="A672" s="114" t="s">
        <v>2266</v>
      </c>
      <c r="B672" s="114" t="s">
        <v>8720</v>
      </c>
      <c r="C672" s="121">
        <v>196132686</v>
      </c>
      <c r="D672" s="121">
        <v>199286505</v>
      </c>
      <c r="E672" s="121">
        <v>199286505</v>
      </c>
      <c r="F672" s="121">
        <v>196132686</v>
      </c>
      <c r="G672" s="121">
        <v>199286505</v>
      </c>
      <c r="H672" s="121">
        <v>196132686</v>
      </c>
    </row>
    <row r="673" spans="1:8">
      <c r="A673" s="114" t="s">
        <v>1036</v>
      </c>
      <c r="B673" s="114" t="s">
        <v>8721</v>
      </c>
      <c r="C673" s="121">
        <v>202923573</v>
      </c>
      <c r="D673" s="121">
        <v>214076197</v>
      </c>
      <c r="E673" s="121">
        <v>214076197</v>
      </c>
      <c r="F673" s="121">
        <v>202923573</v>
      </c>
      <c r="G673" s="121">
        <v>214076197</v>
      </c>
      <c r="H673" s="121">
        <v>202923573</v>
      </c>
    </row>
    <row r="674" spans="1:8">
      <c r="A674" s="114" t="s">
        <v>199</v>
      </c>
      <c r="B674" s="114" t="s">
        <v>8722</v>
      </c>
      <c r="C674" s="121">
        <v>715145172</v>
      </c>
      <c r="D674" s="121">
        <v>737413832</v>
      </c>
      <c r="E674" s="121">
        <v>737413832</v>
      </c>
      <c r="F674" s="121">
        <v>715145172</v>
      </c>
      <c r="G674" s="121">
        <v>737413832</v>
      </c>
      <c r="H674" s="121">
        <v>715145172</v>
      </c>
    </row>
    <row r="675" spans="1:8">
      <c r="A675" s="114" t="s">
        <v>2896</v>
      </c>
      <c r="B675" s="114" t="s">
        <v>8723</v>
      </c>
      <c r="C675" s="121">
        <v>1689265122</v>
      </c>
      <c r="D675" s="121">
        <v>1744157509</v>
      </c>
      <c r="E675" s="121">
        <v>1744157509</v>
      </c>
      <c r="F675" s="121">
        <v>1689265122</v>
      </c>
      <c r="G675" s="121">
        <v>1744157509</v>
      </c>
      <c r="H675" s="121">
        <v>1689265122</v>
      </c>
    </row>
    <row r="676" spans="1:8">
      <c r="A676" s="114" t="s">
        <v>2978</v>
      </c>
      <c r="B676" s="114" t="s">
        <v>8724</v>
      </c>
      <c r="C676" s="121">
        <v>180292936</v>
      </c>
      <c r="D676" s="121">
        <v>185035346</v>
      </c>
      <c r="E676" s="121">
        <v>185035346</v>
      </c>
      <c r="F676" s="121">
        <v>180292936</v>
      </c>
      <c r="G676" s="121">
        <v>185035346</v>
      </c>
      <c r="H676" s="121">
        <v>180292936</v>
      </c>
    </row>
    <row r="677" spans="1:8">
      <c r="A677" s="114" t="s">
        <v>2899</v>
      </c>
      <c r="B677" s="114" t="s">
        <v>8725</v>
      </c>
      <c r="C677" s="121">
        <v>21538070794</v>
      </c>
      <c r="D677" s="121">
        <v>21816185606</v>
      </c>
      <c r="E677" s="121">
        <v>21484868421</v>
      </c>
      <c r="F677" s="121">
        <v>21206753609</v>
      </c>
      <c r="G677" s="121">
        <v>21484868421</v>
      </c>
      <c r="H677" s="121">
        <v>21206753609</v>
      </c>
    </row>
    <row r="678" spans="1:8">
      <c r="A678" s="114" t="s">
        <v>1475</v>
      </c>
      <c r="B678" s="114" t="s">
        <v>8726</v>
      </c>
      <c r="C678" s="121">
        <v>1581397085</v>
      </c>
      <c r="D678" s="121">
        <v>1596652848</v>
      </c>
      <c r="E678" s="121">
        <v>1555841524</v>
      </c>
      <c r="F678" s="121">
        <v>1540585761</v>
      </c>
      <c r="G678" s="121">
        <v>1555841524</v>
      </c>
      <c r="H678" s="121">
        <v>1540585761</v>
      </c>
    </row>
    <row r="679" spans="1:8">
      <c r="A679" s="114" t="s">
        <v>2156</v>
      </c>
      <c r="B679" s="114" t="s">
        <v>8727</v>
      </c>
      <c r="C679" s="121">
        <v>359360313</v>
      </c>
      <c r="D679" s="121">
        <v>374729080</v>
      </c>
      <c r="E679" s="121">
        <v>374729080</v>
      </c>
      <c r="F679" s="121">
        <v>359360313</v>
      </c>
      <c r="G679" s="121">
        <v>374729080</v>
      </c>
      <c r="H679" s="121">
        <v>359360313</v>
      </c>
    </row>
    <row r="680" spans="1:8">
      <c r="A680" s="114" t="s">
        <v>1536</v>
      </c>
      <c r="B680" s="114" t="s">
        <v>8728</v>
      </c>
      <c r="C680" s="121">
        <v>69969763</v>
      </c>
      <c r="D680" s="121">
        <v>72187604</v>
      </c>
      <c r="E680" s="121">
        <v>72187604</v>
      </c>
      <c r="F680" s="121">
        <v>69969763</v>
      </c>
      <c r="G680" s="121">
        <v>72187604</v>
      </c>
      <c r="H680" s="121">
        <v>69969763</v>
      </c>
    </row>
    <row r="681" spans="1:8">
      <c r="A681" s="114" t="s">
        <v>2900</v>
      </c>
      <c r="B681" s="114" t="s">
        <v>8729</v>
      </c>
      <c r="C681" s="121">
        <v>107264149</v>
      </c>
      <c r="D681" s="121">
        <v>110736865</v>
      </c>
      <c r="E681" s="121">
        <v>110736865</v>
      </c>
      <c r="F681" s="121">
        <v>107264149</v>
      </c>
      <c r="G681" s="121">
        <v>110736865</v>
      </c>
      <c r="H681" s="121">
        <v>107264149</v>
      </c>
    </row>
    <row r="682" spans="1:8">
      <c r="A682" s="114" t="s">
        <v>2513</v>
      </c>
      <c r="B682" s="114" t="s">
        <v>8730</v>
      </c>
      <c r="C682" s="121">
        <v>706444975</v>
      </c>
      <c r="D682" s="121">
        <v>724025792</v>
      </c>
      <c r="E682" s="121">
        <v>724025792</v>
      </c>
      <c r="F682" s="121">
        <v>706444975</v>
      </c>
      <c r="G682" s="121">
        <v>724025792</v>
      </c>
      <c r="H682" s="121">
        <v>706444975</v>
      </c>
    </row>
    <row r="683" spans="1:8">
      <c r="A683" s="114" t="s">
        <v>1046</v>
      </c>
      <c r="B683" s="114" t="s">
        <v>8731</v>
      </c>
      <c r="C683" s="121">
        <v>153411026</v>
      </c>
      <c r="D683" s="121">
        <v>160216415</v>
      </c>
      <c r="E683" s="121">
        <v>160216415</v>
      </c>
      <c r="F683" s="121">
        <v>153411026</v>
      </c>
      <c r="G683" s="121">
        <v>160216415</v>
      </c>
      <c r="H683" s="121">
        <v>153411026</v>
      </c>
    </row>
    <row r="684" spans="1:8">
      <c r="A684" s="114" t="s">
        <v>409</v>
      </c>
      <c r="B684" s="114" t="s">
        <v>8732</v>
      </c>
      <c r="C684" s="121">
        <v>33637030</v>
      </c>
      <c r="D684" s="121">
        <v>34880565</v>
      </c>
      <c r="E684" s="121">
        <v>34880565</v>
      </c>
      <c r="F684" s="121">
        <v>33637030</v>
      </c>
      <c r="G684" s="121">
        <v>34880565</v>
      </c>
      <c r="H684" s="121">
        <v>33637030</v>
      </c>
    </row>
    <row r="685" spans="1:8">
      <c r="A685" s="114" t="s">
        <v>1436</v>
      </c>
      <c r="B685" s="114" t="s">
        <v>8733</v>
      </c>
      <c r="C685" s="121">
        <v>231905598</v>
      </c>
      <c r="D685" s="121">
        <v>240602613</v>
      </c>
      <c r="E685" s="121">
        <v>240602613</v>
      </c>
      <c r="F685" s="121">
        <v>231905598</v>
      </c>
      <c r="G685" s="121">
        <v>388737753</v>
      </c>
      <c r="H685" s="121">
        <v>380040738</v>
      </c>
    </row>
    <row r="686" spans="1:8">
      <c r="A686" s="114" t="s">
        <v>3070</v>
      </c>
      <c r="B686" s="114" t="s">
        <v>8734</v>
      </c>
      <c r="C686" s="121">
        <v>84970133</v>
      </c>
      <c r="D686" s="121">
        <v>87229603</v>
      </c>
      <c r="E686" s="121">
        <v>87229603</v>
      </c>
      <c r="F686" s="121">
        <v>84970133</v>
      </c>
      <c r="G686" s="121">
        <v>101883333</v>
      </c>
      <c r="H686" s="121">
        <v>99623863</v>
      </c>
    </row>
    <row r="687" spans="1:8">
      <c r="A687" s="114" t="s">
        <v>2267</v>
      </c>
      <c r="B687" s="114" t="s">
        <v>8735</v>
      </c>
      <c r="C687" s="121">
        <v>21984212</v>
      </c>
      <c r="D687" s="121">
        <v>22975060</v>
      </c>
      <c r="E687" s="121">
        <v>22975060</v>
      </c>
      <c r="F687" s="121">
        <v>21984212</v>
      </c>
      <c r="G687" s="121">
        <v>22975060</v>
      </c>
      <c r="H687" s="121">
        <v>21984212</v>
      </c>
    </row>
    <row r="688" spans="1:8">
      <c r="A688" s="114" t="s">
        <v>3072</v>
      </c>
      <c r="B688" s="114" t="s">
        <v>8736</v>
      </c>
      <c r="C688" s="121">
        <v>425556843</v>
      </c>
      <c r="D688" s="121">
        <v>435761837</v>
      </c>
      <c r="E688" s="121">
        <v>435761837</v>
      </c>
      <c r="F688" s="121">
        <v>425556843</v>
      </c>
      <c r="G688" s="121">
        <v>435761837</v>
      </c>
      <c r="H688" s="121">
        <v>425556843</v>
      </c>
    </row>
    <row r="689" spans="1:8">
      <c r="A689" s="114" t="s">
        <v>3073</v>
      </c>
      <c r="B689" s="114" t="s">
        <v>8737</v>
      </c>
      <c r="C689" s="121">
        <v>94491936</v>
      </c>
      <c r="D689" s="121">
        <v>96439033</v>
      </c>
      <c r="E689" s="121">
        <v>96439033</v>
      </c>
      <c r="F689" s="121">
        <v>94491936</v>
      </c>
      <c r="G689" s="121">
        <v>204449893</v>
      </c>
      <c r="H689" s="121">
        <v>202502796</v>
      </c>
    </row>
    <row r="690" spans="1:8">
      <c r="A690" s="114" t="s">
        <v>1676</v>
      </c>
      <c r="B690" s="114" t="s">
        <v>8738</v>
      </c>
      <c r="C690" s="121">
        <v>265858362</v>
      </c>
      <c r="D690" s="121">
        <v>267916895</v>
      </c>
      <c r="E690" s="121">
        <v>267916895</v>
      </c>
      <c r="F690" s="121">
        <v>265858362</v>
      </c>
      <c r="G690" s="121">
        <v>267916895</v>
      </c>
      <c r="H690" s="121">
        <v>265858362</v>
      </c>
    </row>
    <row r="691" spans="1:8">
      <c r="A691" s="114" t="s">
        <v>1494</v>
      </c>
      <c r="B691" s="114" t="s">
        <v>8739</v>
      </c>
      <c r="C691" s="121">
        <v>905468379</v>
      </c>
      <c r="D691" s="121">
        <v>929123208</v>
      </c>
      <c r="E691" s="121">
        <v>929123208</v>
      </c>
      <c r="F691" s="121">
        <v>905468379</v>
      </c>
      <c r="G691" s="121">
        <v>929123208</v>
      </c>
      <c r="H691" s="121">
        <v>905468379</v>
      </c>
    </row>
    <row r="692" spans="1:8">
      <c r="A692" s="114" t="s">
        <v>1612</v>
      </c>
      <c r="B692" s="114" t="s">
        <v>8740</v>
      </c>
      <c r="C692" s="121">
        <v>230692553</v>
      </c>
      <c r="D692" s="121">
        <v>240500400</v>
      </c>
      <c r="E692" s="121">
        <v>240500400</v>
      </c>
      <c r="F692" s="121">
        <v>230692553</v>
      </c>
      <c r="G692" s="121">
        <v>240500400</v>
      </c>
      <c r="H692" s="121">
        <v>230692553</v>
      </c>
    </row>
    <row r="693" spans="1:8">
      <c r="A693" s="114" t="s">
        <v>910</v>
      </c>
      <c r="B693" s="114" t="s">
        <v>8741</v>
      </c>
      <c r="C693" s="121">
        <v>103382062</v>
      </c>
      <c r="D693" s="121">
        <v>104928292</v>
      </c>
      <c r="E693" s="121">
        <v>104928292</v>
      </c>
      <c r="F693" s="121">
        <v>103382062</v>
      </c>
      <c r="G693" s="121">
        <v>104928292</v>
      </c>
      <c r="H693" s="121">
        <v>103382062</v>
      </c>
    </row>
    <row r="694" spans="1:8">
      <c r="A694" s="114" t="s">
        <v>1685</v>
      </c>
      <c r="B694" s="114" t="s">
        <v>8742</v>
      </c>
      <c r="C694" s="121">
        <v>33164998</v>
      </c>
      <c r="D694" s="121">
        <v>34575888</v>
      </c>
      <c r="E694" s="121">
        <v>34575888</v>
      </c>
      <c r="F694" s="121">
        <v>33164998</v>
      </c>
      <c r="G694" s="121">
        <v>34575888</v>
      </c>
      <c r="H694" s="121">
        <v>33164998</v>
      </c>
    </row>
    <row r="695" spans="1:8">
      <c r="A695" s="114" t="s">
        <v>1686</v>
      </c>
      <c r="B695" s="114" t="s">
        <v>8743</v>
      </c>
      <c r="C695" s="121">
        <v>83695041</v>
      </c>
      <c r="D695" s="121">
        <v>85265222</v>
      </c>
      <c r="E695" s="121">
        <v>85265222</v>
      </c>
      <c r="F695" s="121">
        <v>83695041</v>
      </c>
      <c r="G695" s="121">
        <v>85265222</v>
      </c>
      <c r="H695" s="121">
        <v>83695041</v>
      </c>
    </row>
    <row r="696" spans="1:8">
      <c r="A696" s="114" t="s">
        <v>1445</v>
      </c>
      <c r="B696" s="114" t="s">
        <v>8744</v>
      </c>
      <c r="C696" s="121">
        <v>219645387</v>
      </c>
      <c r="D696" s="121">
        <v>222350507</v>
      </c>
      <c r="E696" s="121">
        <v>222350507</v>
      </c>
      <c r="F696" s="121">
        <v>219645387</v>
      </c>
      <c r="G696" s="121">
        <v>222350507</v>
      </c>
      <c r="H696" s="121">
        <v>219645387</v>
      </c>
    </row>
    <row r="697" spans="1:8">
      <c r="A697" s="114" t="s">
        <v>1724</v>
      </c>
      <c r="B697" s="114" t="s">
        <v>8745</v>
      </c>
      <c r="C697" s="121">
        <v>185266320</v>
      </c>
      <c r="D697" s="121">
        <v>189095767</v>
      </c>
      <c r="E697" s="121">
        <v>189095767</v>
      </c>
      <c r="F697" s="121">
        <v>185266320</v>
      </c>
      <c r="G697" s="121">
        <v>189095767</v>
      </c>
      <c r="H697" s="121">
        <v>185266320</v>
      </c>
    </row>
    <row r="698" spans="1:8">
      <c r="A698" s="114" t="s">
        <v>2639</v>
      </c>
      <c r="B698" s="114" t="s">
        <v>8746</v>
      </c>
      <c r="C698" s="121">
        <v>33674025792</v>
      </c>
      <c r="D698" s="121">
        <v>34298496279</v>
      </c>
      <c r="E698" s="121">
        <v>34298496279</v>
      </c>
      <c r="F698" s="121">
        <v>33674025792</v>
      </c>
      <c r="G698" s="121">
        <v>34298496279</v>
      </c>
      <c r="H698" s="121">
        <v>33674025792</v>
      </c>
    </row>
    <row r="699" spans="1:8">
      <c r="A699" s="114" t="s">
        <v>1725</v>
      </c>
      <c r="B699" s="114" t="s">
        <v>8747</v>
      </c>
      <c r="C699" s="121">
        <v>5559983000</v>
      </c>
      <c r="D699" s="121">
        <v>5686775761</v>
      </c>
      <c r="E699" s="121">
        <v>5686775761</v>
      </c>
      <c r="F699" s="121">
        <v>5559983000</v>
      </c>
      <c r="G699" s="121">
        <v>5686775761</v>
      </c>
      <c r="H699" s="121">
        <v>5559983000</v>
      </c>
    </row>
    <row r="700" spans="1:8">
      <c r="A700" s="114" t="s">
        <v>1349</v>
      </c>
      <c r="B700" s="114" t="s">
        <v>8748</v>
      </c>
      <c r="C700" s="121">
        <v>3332109947</v>
      </c>
      <c r="D700" s="121">
        <v>3424447155</v>
      </c>
      <c r="E700" s="121">
        <v>3424447155</v>
      </c>
      <c r="F700" s="121">
        <v>3332109947</v>
      </c>
      <c r="G700" s="121">
        <v>3424447155</v>
      </c>
      <c r="H700" s="121">
        <v>3332109947</v>
      </c>
    </row>
    <row r="701" spans="1:8">
      <c r="A701" s="114" t="s">
        <v>378</v>
      </c>
      <c r="B701" s="114" t="s">
        <v>8749</v>
      </c>
      <c r="C701" s="121">
        <v>5748862163</v>
      </c>
      <c r="D701" s="121">
        <v>5888111532</v>
      </c>
      <c r="E701" s="121">
        <v>5888111532</v>
      </c>
      <c r="F701" s="121">
        <v>5748862163</v>
      </c>
      <c r="G701" s="121">
        <v>5888111532</v>
      </c>
      <c r="H701" s="121">
        <v>5748862163</v>
      </c>
    </row>
    <row r="702" spans="1:8">
      <c r="A702" s="114" t="s">
        <v>1701</v>
      </c>
      <c r="B702" s="114" t="s">
        <v>8750</v>
      </c>
      <c r="C702" s="121">
        <v>717507775</v>
      </c>
      <c r="D702" s="121">
        <v>744668458</v>
      </c>
      <c r="E702" s="121">
        <v>744668458</v>
      </c>
      <c r="F702" s="121">
        <v>717507775</v>
      </c>
      <c r="G702" s="121">
        <v>744668458</v>
      </c>
      <c r="H702" s="121">
        <v>717507775</v>
      </c>
    </row>
    <row r="703" spans="1:8">
      <c r="A703" s="114" t="s">
        <v>801</v>
      </c>
      <c r="B703" s="114" t="s">
        <v>8751</v>
      </c>
      <c r="C703" s="121">
        <v>3845503772</v>
      </c>
      <c r="D703" s="121">
        <v>3950458895</v>
      </c>
      <c r="E703" s="121">
        <v>3950458895</v>
      </c>
      <c r="F703" s="121">
        <v>3845503772</v>
      </c>
      <c r="G703" s="121">
        <v>3950458895</v>
      </c>
      <c r="H703" s="121">
        <v>3845503772</v>
      </c>
    </row>
    <row r="704" spans="1:8">
      <c r="A704" s="114" t="s">
        <v>2134</v>
      </c>
      <c r="B704" s="114" t="s">
        <v>8752</v>
      </c>
      <c r="C704" s="121">
        <v>1823860097</v>
      </c>
      <c r="D704" s="121">
        <v>1854503820</v>
      </c>
      <c r="E704" s="121">
        <v>1843570975</v>
      </c>
      <c r="F704" s="121">
        <v>1812927252</v>
      </c>
      <c r="G704" s="121">
        <v>1843570975</v>
      </c>
      <c r="H704" s="121">
        <v>1812927252</v>
      </c>
    </row>
    <row r="705" spans="1:8">
      <c r="A705" s="114" t="s">
        <v>2135</v>
      </c>
      <c r="B705" s="114" t="s">
        <v>8753</v>
      </c>
      <c r="C705" s="121">
        <v>254576254</v>
      </c>
      <c r="D705" s="121">
        <v>258528333</v>
      </c>
      <c r="E705" s="121">
        <v>258528333</v>
      </c>
      <c r="F705" s="121">
        <v>254576254</v>
      </c>
      <c r="G705" s="121">
        <v>261193333</v>
      </c>
      <c r="H705" s="121">
        <v>257241254</v>
      </c>
    </row>
    <row r="706" spans="1:8">
      <c r="A706" s="114" t="s">
        <v>2136</v>
      </c>
      <c r="B706" s="114" t="s">
        <v>8754</v>
      </c>
      <c r="C706" s="121">
        <v>778761240</v>
      </c>
      <c r="D706" s="121">
        <v>798410217</v>
      </c>
      <c r="E706" s="121">
        <v>798410217</v>
      </c>
      <c r="F706" s="121">
        <v>778761240</v>
      </c>
      <c r="G706" s="121">
        <v>798410217</v>
      </c>
      <c r="H706" s="121">
        <v>778761240</v>
      </c>
    </row>
    <row r="707" spans="1:8">
      <c r="A707" s="114" t="s">
        <v>2137</v>
      </c>
      <c r="B707" s="114" t="s">
        <v>8755</v>
      </c>
      <c r="C707" s="121">
        <v>268022695</v>
      </c>
      <c r="D707" s="121">
        <v>282458666</v>
      </c>
      <c r="E707" s="121">
        <v>282458666</v>
      </c>
      <c r="F707" s="121">
        <v>268022695</v>
      </c>
      <c r="G707" s="121">
        <v>282458666</v>
      </c>
      <c r="H707" s="121">
        <v>268022695</v>
      </c>
    </row>
    <row r="708" spans="1:8">
      <c r="A708" s="114" t="s">
        <v>2685</v>
      </c>
      <c r="B708" s="114" t="s">
        <v>8756</v>
      </c>
      <c r="C708" s="121">
        <v>112656956</v>
      </c>
      <c r="D708" s="121">
        <v>115116386</v>
      </c>
      <c r="E708" s="121">
        <v>115116386</v>
      </c>
      <c r="F708" s="121">
        <v>112656956</v>
      </c>
      <c r="G708" s="121">
        <v>115116386</v>
      </c>
      <c r="H708" s="121">
        <v>112656956</v>
      </c>
    </row>
    <row r="709" spans="1:8">
      <c r="A709" s="114" t="s">
        <v>802</v>
      </c>
      <c r="B709" s="114" t="s">
        <v>8757</v>
      </c>
      <c r="C709" s="121">
        <v>114554540</v>
      </c>
      <c r="D709" s="121">
        <v>118387020</v>
      </c>
      <c r="E709" s="121">
        <v>115025340</v>
      </c>
      <c r="F709" s="121">
        <v>111192860</v>
      </c>
      <c r="G709" s="121">
        <v>115025340</v>
      </c>
      <c r="H709" s="121">
        <v>111192860</v>
      </c>
    </row>
    <row r="710" spans="1:8">
      <c r="A710" s="114" t="s">
        <v>570</v>
      </c>
      <c r="B710" s="114" t="s">
        <v>8758</v>
      </c>
      <c r="C710" s="121">
        <v>219444558</v>
      </c>
      <c r="D710" s="121">
        <v>226468278</v>
      </c>
      <c r="E710" s="121">
        <v>219943898</v>
      </c>
      <c r="F710" s="121">
        <v>212920178</v>
      </c>
      <c r="G710" s="121">
        <v>513534218</v>
      </c>
      <c r="H710" s="121">
        <v>506510498</v>
      </c>
    </row>
    <row r="711" spans="1:8">
      <c r="A711" s="114" t="s">
        <v>803</v>
      </c>
      <c r="B711" s="114" t="s">
        <v>8759</v>
      </c>
      <c r="C711" s="121">
        <v>150129700</v>
      </c>
      <c r="D711" s="121">
        <v>156289150</v>
      </c>
      <c r="E711" s="121">
        <v>149741750</v>
      </c>
      <c r="F711" s="121">
        <v>143582300</v>
      </c>
      <c r="G711" s="121">
        <v>149741750</v>
      </c>
      <c r="H711" s="121">
        <v>143582300</v>
      </c>
    </row>
    <row r="712" spans="1:8">
      <c r="A712" s="114" t="s">
        <v>571</v>
      </c>
      <c r="B712" s="114" t="s">
        <v>8760</v>
      </c>
      <c r="C712" s="121">
        <v>2049770517</v>
      </c>
      <c r="D712" s="121">
        <v>2119979487</v>
      </c>
      <c r="E712" s="121">
        <v>2018747102</v>
      </c>
      <c r="F712" s="121">
        <v>1948538132</v>
      </c>
      <c r="G712" s="121">
        <v>2018747102</v>
      </c>
      <c r="H712" s="121">
        <v>1948538132</v>
      </c>
    </row>
    <row r="713" spans="1:8">
      <c r="A713" s="114" t="s">
        <v>410</v>
      </c>
      <c r="B713" s="114" t="s">
        <v>8761</v>
      </c>
      <c r="C713" s="121">
        <v>142451966</v>
      </c>
      <c r="D713" s="121">
        <v>148901716</v>
      </c>
      <c r="E713" s="121">
        <v>142041916</v>
      </c>
      <c r="F713" s="121">
        <v>135592166</v>
      </c>
      <c r="G713" s="121">
        <v>142041916</v>
      </c>
      <c r="H713" s="121">
        <v>135592166</v>
      </c>
    </row>
    <row r="714" spans="1:8">
      <c r="A714" s="114" t="s">
        <v>572</v>
      </c>
      <c r="B714" s="114" t="s">
        <v>8762</v>
      </c>
      <c r="C714" s="121">
        <v>130221525</v>
      </c>
      <c r="D714" s="121">
        <v>137902975</v>
      </c>
      <c r="E714" s="121">
        <v>127743935</v>
      </c>
      <c r="F714" s="121">
        <v>120062485</v>
      </c>
      <c r="G714" s="121">
        <v>127743935</v>
      </c>
      <c r="H714" s="121">
        <v>120062485</v>
      </c>
    </row>
    <row r="715" spans="1:8">
      <c r="A715" s="114" t="s">
        <v>573</v>
      </c>
      <c r="B715" s="114" t="s">
        <v>8763</v>
      </c>
      <c r="C715" s="121">
        <v>76598817</v>
      </c>
      <c r="D715" s="121">
        <v>79657597</v>
      </c>
      <c r="E715" s="121">
        <v>76303382</v>
      </c>
      <c r="F715" s="121">
        <v>73244602</v>
      </c>
      <c r="G715" s="121">
        <v>76303382</v>
      </c>
      <c r="H715" s="121">
        <v>73244602</v>
      </c>
    </row>
    <row r="716" spans="1:8">
      <c r="A716" s="114" t="s">
        <v>877</v>
      </c>
      <c r="B716" s="114" t="s">
        <v>8764</v>
      </c>
      <c r="C716" s="121">
        <v>64779833</v>
      </c>
      <c r="D716" s="121">
        <v>68487003</v>
      </c>
      <c r="E716" s="121">
        <v>65009388</v>
      </c>
      <c r="F716" s="121">
        <v>61302218</v>
      </c>
      <c r="G716" s="121">
        <v>65009388</v>
      </c>
      <c r="H716" s="121">
        <v>61302218</v>
      </c>
    </row>
    <row r="717" spans="1:8">
      <c r="A717" s="114" t="s">
        <v>574</v>
      </c>
      <c r="B717" s="114" t="s">
        <v>8765</v>
      </c>
      <c r="C717" s="121">
        <v>155761270</v>
      </c>
      <c r="D717" s="121">
        <v>161279980</v>
      </c>
      <c r="E717" s="121">
        <v>152480280</v>
      </c>
      <c r="F717" s="121">
        <v>146961570</v>
      </c>
      <c r="G717" s="121">
        <v>152480280</v>
      </c>
      <c r="H717" s="121">
        <v>146961570</v>
      </c>
    </row>
    <row r="718" spans="1:8">
      <c r="A718" s="114" t="s">
        <v>575</v>
      </c>
      <c r="B718" s="114" t="s">
        <v>8766</v>
      </c>
      <c r="C718" s="121">
        <v>187271099</v>
      </c>
      <c r="D718" s="121">
        <v>196778608</v>
      </c>
      <c r="E718" s="121">
        <v>196778608</v>
      </c>
      <c r="F718" s="121">
        <v>187271099</v>
      </c>
      <c r="G718" s="121">
        <v>196778608</v>
      </c>
      <c r="H718" s="121">
        <v>187271099</v>
      </c>
    </row>
    <row r="719" spans="1:8">
      <c r="A719" s="114" t="s">
        <v>2754</v>
      </c>
      <c r="B719" s="114" t="s">
        <v>8767</v>
      </c>
      <c r="C719" s="121">
        <v>1545715893</v>
      </c>
      <c r="D719" s="121">
        <v>1596439003</v>
      </c>
      <c r="E719" s="121">
        <v>1596439003</v>
      </c>
      <c r="F719" s="121">
        <v>1545715893</v>
      </c>
      <c r="G719" s="121">
        <v>1596439003</v>
      </c>
      <c r="H719" s="121">
        <v>1545715893</v>
      </c>
    </row>
    <row r="720" spans="1:8">
      <c r="A720" s="114" t="s">
        <v>2761</v>
      </c>
      <c r="B720" s="114" t="s">
        <v>8278</v>
      </c>
      <c r="C720" s="121">
        <v>148733769</v>
      </c>
      <c r="D720" s="121">
        <v>154946179</v>
      </c>
      <c r="E720" s="121">
        <v>154946179</v>
      </c>
      <c r="F720" s="121">
        <v>148733769</v>
      </c>
      <c r="G720" s="121">
        <v>154946179</v>
      </c>
      <c r="H720" s="121">
        <v>148733769</v>
      </c>
    </row>
    <row r="721" spans="1:8">
      <c r="A721" s="114" t="s">
        <v>20</v>
      </c>
      <c r="B721" s="114" t="s">
        <v>8768</v>
      </c>
      <c r="C721" s="121">
        <v>128815294</v>
      </c>
      <c r="D721" s="121">
        <v>132418430</v>
      </c>
      <c r="E721" s="121">
        <v>132418430</v>
      </c>
      <c r="F721" s="121">
        <v>128815294</v>
      </c>
      <c r="G721" s="121">
        <v>132418430</v>
      </c>
      <c r="H721" s="121">
        <v>128815294</v>
      </c>
    </row>
    <row r="722" spans="1:8">
      <c r="A722" s="114" t="s">
        <v>804</v>
      </c>
      <c r="B722" s="114" t="s">
        <v>8769</v>
      </c>
      <c r="C722" s="121">
        <v>256282881</v>
      </c>
      <c r="D722" s="121">
        <v>263988808</v>
      </c>
      <c r="E722" s="121">
        <v>263988808</v>
      </c>
      <c r="F722" s="121">
        <v>256282881</v>
      </c>
      <c r="G722" s="121">
        <v>263988808</v>
      </c>
      <c r="H722" s="121">
        <v>256282881</v>
      </c>
    </row>
    <row r="723" spans="1:8">
      <c r="A723" s="114" t="s">
        <v>21</v>
      </c>
      <c r="B723" s="114" t="s">
        <v>8770</v>
      </c>
      <c r="C723" s="121">
        <v>409917391</v>
      </c>
      <c r="D723" s="121">
        <v>418445882</v>
      </c>
      <c r="E723" s="121">
        <v>418445882</v>
      </c>
      <c r="F723" s="121">
        <v>409917391</v>
      </c>
      <c r="G723" s="121">
        <v>418445882</v>
      </c>
      <c r="H723" s="121">
        <v>409917391</v>
      </c>
    </row>
    <row r="724" spans="1:8">
      <c r="A724" s="114" t="s">
        <v>2383</v>
      </c>
      <c r="B724" s="114" t="s">
        <v>8771</v>
      </c>
      <c r="C724" s="121">
        <v>127513811</v>
      </c>
      <c r="D724" s="121">
        <v>132273362</v>
      </c>
      <c r="E724" s="121">
        <v>132273362</v>
      </c>
      <c r="F724" s="121">
        <v>127513811</v>
      </c>
      <c r="G724" s="121">
        <v>132273362</v>
      </c>
      <c r="H724" s="121">
        <v>127513811</v>
      </c>
    </row>
    <row r="725" spans="1:8">
      <c r="A725" s="114" t="s">
        <v>22</v>
      </c>
      <c r="B725" s="114" t="s">
        <v>8772</v>
      </c>
      <c r="C725" s="121">
        <v>198202805</v>
      </c>
      <c r="D725" s="121">
        <v>203814741</v>
      </c>
      <c r="E725" s="121">
        <v>197938497</v>
      </c>
      <c r="F725" s="121">
        <v>192326561</v>
      </c>
      <c r="G725" s="121">
        <v>197938497</v>
      </c>
      <c r="H725" s="121">
        <v>192326561</v>
      </c>
    </row>
    <row r="726" spans="1:8">
      <c r="A726" s="114" t="s">
        <v>1159</v>
      </c>
      <c r="B726" s="114" t="s">
        <v>8773</v>
      </c>
      <c r="C726" s="121">
        <v>251613809</v>
      </c>
      <c r="D726" s="121">
        <v>264841216</v>
      </c>
      <c r="E726" s="121">
        <v>253169002</v>
      </c>
      <c r="F726" s="121">
        <v>239941595</v>
      </c>
      <c r="G726" s="121">
        <v>253169002</v>
      </c>
      <c r="H726" s="121">
        <v>239941595</v>
      </c>
    </row>
    <row r="727" spans="1:8">
      <c r="A727" s="114" t="s">
        <v>2268</v>
      </c>
      <c r="B727" s="114" t="s">
        <v>8774</v>
      </c>
      <c r="C727" s="121">
        <v>566032858</v>
      </c>
      <c r="D727" s="121">
        <v>572626163</v>
      </c>
      <c r="E727" s="121">
        <v>565687263</v>
      </c>
      <c r="F727" s="121">
        <v>559093958</v>
      </c>
      <c r="G727" s="121">
        <v>565687263</v>
      </c>
      <c r="H727" s="121">
        <v>559093958</v>
      </c>
    </row>
    <row r="728" spans="1:8">
      <c r="A728" s="114" t="s">
        <v>1736</v>
      </c>
      <c r="B728" s="114" t="s">
        <v>8775</v>
      </c>
      <c r="C728" s="121">
        <v>171292000</v>
      </c>
      <c r="D728" s="121">
        <v>175168760</v>
      </c>
      <c r="E728" s="121">
        <v>175168760</v>
      </c>
      <c r="F728" s="121">
        <v>171292000</v>
      </c>
      <c r="G728" s="121">
        <v>378984770</v>
      </c>
      <c r="H728" s="121">
        <v>375108010</v>
      </c>
    </row>
    <row r="729" spans="1:8">
      <c r="A729" s="114" t="s">
        <v>2145</v>
      </c>
      <c r="B729" s="114" t="s">
        <v>8776</v>
      </c>
      <c r="C729" s="121">
        <v>732375034</v>
      </c>
      <c r="D729" s="121">
        <v>755955384</v>
      </c>
      <c r="E729" s="121">
        <v>755955384</v>
      </c>
      <c r="F729" s="121">
        <v>732375034</v>
      </c>
      <c r="G729" s="121">
        <v>755955384</v>
      </c>
      <c r="H729" s="121">
        <v>732375034</v>
      </c>
    </row>
    <row r="730" spans="1:8">
      <c r="A730" s="114" t="s">
        <v>2637</v>
      </c>
      <c r="B730" s="114" t="s">
        <v>8777</v>
      </c>
      <c r="C730" s="121">
        <v>573902392</v>
      </c>
      <c r="D730" s="121">
        <v>576067183</v>
      </c>
      <c r="E730" s="121">
        <v>576067183</v>
      </c>
      <c r="F730" s="121">
        <v>573902392</v>
      </c>
      <c r="G730" s="121">
        <v>652378963</v>
      </c>
      <c r="H730" s="121">
        <v>650214172</v>
      </c>
    </row>
    <row r="731" spans="1:8">
      <c r="A731" s="114" t="s">
        <v>464</v>
      </c>
      <c r="B731" s="114" t="s">
        <v>8778</v>
      </c>
      <c r="C731" s="121">
        <v>261678232</v>
      </c>
      <c r="D731" s="121">
        <v>262578222</v>
      </c>
      <c r="E731" s="121">
        <v>262578222</v>
      </c>
      <c r="F731" s="121">
        <v>261678232</v>
      </c>
      <c r="G731" s="121">
        <v>512412032</v>
      </c>
      <c r="H731" s="121">
        <v>511512042</v>
      </c>
    </row>
    <row r="732" spans="1:8">
      <c r="A732" s="114" t="s">
        <v>2858</v>
      </c>
      <c r="B732" s="114" t="s">
        <v>8779</v>
      </c>
      <c r="C732" s="121">
        <v>132190817</v>
      </c>
      <c r="D732" s="121">
        <v>134790565</v>
      </c>
      <c r="E732" s="121">
        <v>134790565</v>
      </c>
      <c r="F732" s="121">
        <v>132190817</v>
      </c>
      <c r="G732" s="121">
        <v>134790565</v>
      </c>
      <c r="H732" s="121">
        <v>132190817</v>
      </c>
    </row>
    <row r="733" spans="1:8">
      <c r="A733" s="114" t="s">
        <v>1337</v>
      </c>
      <c r="B733" s="114" t="s">
        <v>8780</v>
      </c>
      <c r="C733" s="121">
        <v>545204440</v>
      </c>
      <c r="D733" s="121">
        <v>557458637</v>
      </c>
      <c r="E733" s="121">
        <v>544163602</v>
      </c>
      <c r="F733" s="121">
        <v>531909405</v>
      </c>
      <c r="G733" s="121">
        <v>544163602</v>
      </c>
      <c r="H733" s="121">
        <v>531909405</v>
      </c>
    </row>
    <row r="734" spans="1:8">
      <c r="A734" s="114" t="s">
        <v>1338</v>
      </c>
      <c r="B734" s="114" t="s">
        <v>8781</v>
      </c>
      <c r="C734" s="121">
        <v>1512248376</v>
      </c>
      <c r="D734" s="121">
        <v>1558315456</v>
      </c>
      <c r="E734" s="121">
        <v>1558315456</v>
      </c>
      <c r="F734" s="121">
        <v>1512248376</v>
      </c>
      <c r="G734" s="121">
        <v>2134767696</v>
      </c>
      <c r="H734" s="121">
        <v>2088700616</v>
      </c>
    </row>
    <row r="735" spans="1:8">
      <c r="A735" s="114" t="s">
        <v>2753</v>
      </c>
      <c r="B735" s="114" t="s">
        <v>8782</v>
      </c>
      <c r="C735" s="121">
        <v>15192017976</v>
      </c>
      <c r="D735" s="121">
        <v>15636579707</v>
      </c>
      <c r="E735" s="121">
        <v>15636579707</v>
      </c>
      <c r="F735" s="121">
        <v>15192017976</v>
      </c>
      <c r="G735" s="121">
        <v>15637239837</v>
      </c>
      <c r="H735" s="121">
        <v>15192678106</v>
      </c>
    </row>
    <row r="736" spans="1:8">
      <c r="A736" s="114" t="s">
        <v>619</v>
      </c>
      <c r="B736" s="114" t="s">
        <v>8783</v>
      </c>
      <c r="C736" s="121">
        <v>87290249</v>
      </c>
      <c r="D736" s="121">
        <v>89394725</v>
      </c>
      <c r="E736" s="121">
        <v>89394725</v>
      </c>
      <c r="F736" s="121">
        <v>87290249</v>
      </c>
      <c r="G736" s="121">
        <v>89394725</v>
      </c>
      <c r="H736" s="121">
        <v>87290249</v>
      </c>
    </row>
    <row r="737" spans="1:8">
      <c r="A737" s="114" t="s">
        <v>632</v>
      </c>
      <c r="B737" s="114" t="s">
        <v>8784</v>
      </c>
      <c r="C737" s="121">
        <v>380110716</v>
      </c>
      <c r="D737" s="121">
        <v>386456222</v>
      </c>
      <c r="E737" s="121">
        <v>386456222</v>
      </c>
      <c r="F737" s="121">
        <v>380110716</v>
      </c>
      <c r="G737" s="121">
        <v>386456222</v>
      </c>
      <c r="H737" s="121">
        <v>380110716</v>
      </c>
    </row>
    <row r="738" spans="1:8">
      <c r="A738" s="114" t="s">
        <v>633</v>
      </c>
      <c r="B738" s="114" t="s">
        <v>8785</v>
      </c>
      <c r="C738" s="121">
        <v>2605645546</v>
      </c>
      <c r="D738" s="121">
        <v>2616156212</v>
      </c>
      <c r="E738" s="121">
        <v>2616156212</v>
      </c>
      <c r="F738" s="121">
        <v>2605645546</v>
      </c>
      <c r="G738" s="121">
        <v>2616156212</v>
      </c>
      <c r="H738" s="121">
        <v>2605645546</v>
      </c>
    </row>
    <row r="739" spans="1:8">
      <c r="A739" s="114" t="s">
        <v>191</v>
      </c>
      <c r="B739" s="114" t="s">
        <v>8786</v>
      </c>
      <c r="C739" s="121">
        <v>540203608</v>
      </c>
      <c r="D739" s="121">
        <v>565360225</v>
      </c>
      <c r="E739" s="121">
        <v>565360225</v>
      </c>
      <c r="F739" s="121">
        <v>540203608</v>
      </c>
      <c r="G739" s="121">
        <v>565360225</v>
      </c>
      <c r="H739" s="121">
        <v>540203608</v>
      </c>
    </row>
    <row r="740" spans="1:8">
      <c r="A740" s="114" t="s">
        <v>869</v>
      </c>
      <c r="B740" s="114" t="s">
        <v>8787</v>
      </c>
      <c r="C740" s="121">
        <v>2703798156</v>
      </c>
      <c r="D740" s="121">
        <v>2728430217</v>
      </c>
      <c r="E740" s="121">
        <v>2692728221</v>
      </c>
      <c r="F740" s="121">
        <v>2668096160</v>
      </c>
      <c r="G740" s="121">
        <v>3159366414</v>
      </c>
      <c r="H740" s="121">
        <v>3134734353</v>
      </c>
    </row>
    <row r="741" spans="1:8">
      <c r="A741" s="114" t="s">
        <v>1087</v>
      </c>
      <c r="B741" s="114" t="s">
        <v>8788</v>
      </c>
      <c r="C741" s="121">
        <v>356330601</v>
      </c>
      <c r="D741" s="121">
        <v>364820005</v>
      </c>
      <c r="E741" s="121">
        <v>364820005</v>
      </c>
      <c r="F741" s="121">
        <v>356330601</v>
      </c>
      <c r="G741" s="121">
        <v>364820005</v>
      </c>
      <c r="H741" s="121">
        <v>356330601</v>
      </c>
    </row>
    <row r="742" spans="1:8">
      <c r="A742" s="114" t="s">
        <v>2452</v>
      </c>
      <c r="B742" s="114" t="s">
        <v>8789</v>
      </c>
      <c r="C742" s="121">
        <v>2986359288</v>
      </c>
      <c r="D742" s="121">
        <v>3052882059</v>
      </c>
      <c r="E742" s="121">
        <v>3052882059</v>
      </c>
      <c r="F742" s="121">
        <v>2986359288</v>
      </c>
      <c r="G742" s="121">
        <v>3052882059</v>
      </c>
      <c r="H742" s="121">
        <v>2986359288</v>
      </c>
    </row>
    <row r="743" spans="1:8">
      <c r="A743" s="114" t="s">
        <v>2453</v>
      </c>
      <c r="B743" s="114" t="s">
        <v>8790</v>
      </c>
      <c r="C743" s="121">
        <v>759998461</v>
      </c>
      <c r="D743" s="121">
        <v>774052634</v>
      </c>
      <c r="E743" s="121">
        <v>774052634</v>
      </c>
      <c r="F743" s="121">
        <v>759998461</v>
      </c>
      <c r="G743" s="121">
        <v>774052634</v>
      </c>
      <c r="H743" s="121">
        <v>759998461</v>
      </c>
    </row>
    <row r="744" spans="1:8">
      <c r="A744" s="114" t="s">
        <v>237</v>
      </c>
      <c r="B744" s="114" t="s">
        <v>8791</v>
      </c>
      <c r="C744" s="121">
        <v>1137198287</v>
      </c>
      <c r="D744" s="121">
        <v>1155699896</v>
      </c>
      <c r="E744" s="121">
        <v>1155699896</v>
      </c>
      <c r="F744" s="121">
        <v>1137198287</v>
      </c>
      <c r="G744" s="121">
        <v>1341419896</v>
      </c>
      <c r="H744" s="121">
        <v>1322918287</v>
      </c>
    </row>
    <row r="745" spans="1:8">
      <c r="A745" s="114" t="s">
        <v>1097</v>
      </c>
      <c r="B745" s="114" t="s">
        <v>8792</v>
      </c>
      <c r="C745" s="121">
        <v>163328959</v>
      </c>
      <c r="D745" s="121">
        <v>166257167</v>
      </c>
      <c r="E745" s="121">
        <v>166257167</v>
      </c>
      <c r="F745" s="121">
        <v>163328959</v>
      </c>
      <c r="G745" s="121">
        <v>431168437</v>
      </c>
      <c r="H745" s="121">
        <v>428240229</v>
      </c>
    </row>
    <row r="746" spans="1:8">
      <c r="A746" s="114" t="s">
        <v>1098</v>
      </c>
      <c r="B746" s="114" t="s">
        <v>8793</v>
      </c>
      <c r="C746" s="121">
        <v>55448206</v>
      </c>
      <c r="D746" s="121">
        <v>56003725</v>
      </c>
      <c r="E746" s="121">
        <v>56003725</v>
      </c>
      <c r="F746" s="121">
        <v>55448206</v>
      </c>
      <c r="G746" s="121">
        <v>311633605</v>
      </c>
      <c r="H746" s="121">
        <v>311078086</v>
      </c>
    </row>
    <row r="747" spans="1:8">
      <c r="A747" s="114" t="s">
        <v>1099</v>
      </c>
      <c r="B747" s="114" t="s">
        <v>8794</v>
      </c>
      <c r="C747" s="121">
        <v>119648582</v>
      </c>
      <c r="D747" s="121">
        <v>120337239</v>
      </c>
      <c r="E747" s="121">
        <v>120337239</v>
      </c>
      <c r="F747" s="121">
        <v>119648582</v>
      </c>
      <c r="G747" s="121">
        <v>168130999</v>
      </c>
      <c r="H747" s="121">
        <v>167442342</v>
      </c>
    </row>
    <row r="748" spans="1:8">
      <c r="A748" s="114" t="s">
        <v>2225</v>
      </c>
      <c r="B748" s="114" t="s">
        <v>8795</v>
      </c>
      <c r="C748" s="121">
        <v>1041965956</v>
      </c>
      <c r="D748" s="121">
        <v>1076904879</v>
      </c>
      <c r="E748" s="121">
        <v>1076904879</v>
      </c>
      <c r="F748" s="121">
        <v>1041965956</v>
      </c>
      <c r="G748" s="121">
        <v>1076904879</v>
      </c>
      <c r="H748" s="121">
        <v>1041965956</v>
      </c>
    </row>
    <row r="749" spans="1:8">
      <c r="A749" s="114" t="s">
        <v>1100</v>
      </c>
      <c r="B749" s="114" t="s">
        <v>8796</v>
      </c>
      <c r="C749" s="121">
        <v>593914362</v>
      </c>
      <c r="D749" s="121">
        <v>615080135</v>
      </c>
      <c r="E749" s="121">
        <v>581921994</v>
      </c>
      <c r="F749" s="121">
        <v>560756221</v>
      </c>
      <c r="G749" s="121">
        <v>581921994</v>
      </c>
      <c r="H749" s="121">
        <v>560756221</v>
      </c>
    </row>
    <row r="750" spans="1:8">
      <c r="A750" s="114" t="s">
        <v>1101</v>
      </c>
      <c r="B750" s="114" t="s">
        <v>8797</v>
      </c>
      <c r="C750" s="121">
        <v>1828090939</v>
      </c>
      <c r="D750" s="121">
        <v>1862580740</v>
      </c>
      <c r="E750" s="121">
        <v>1831375127</v>
      </c>
      <c r="F750" s="121">
        <v>1796885326</v>
      </c>
      <c r="G750" s="121">
        <v>1831375127</v>
      </c>
      <c r="H750" s="121">
        <v>1796885326</v>
      </c>
    </row>
    <row r="751" spans="1:8">
      <c r="A751" s="114" t="s">
        <v>1655</v>
      </c>
      <c r="B751" s="114" t="s">
        <v>8798</v>
      </c>
      <c r="C751" s="121">
        <v>1112039332</v>
      </c>
      <c r="D751" s="121">
        <v>1165494255</v>
      </c>
      <c r="E751" s="121">
        <v>1123800380</v>
      </c>
      <c r="F751" s="121">
        <v>1070345457</v>
      </c>
      <c r="G751" s="121">
        <v>1123800380</v>
      </c>
      <c r="H751" s="121">
        <v>1070345457</v>
      </c>
    </row>
    <row r="752" spans="1:8">
      <c r="A752" s="114" t="s">
        <v>1248</v>
      </c>
      <c r="B752" s="114" t="s">
        <v>8799</v>
      </c>
      <c r="C752" s="121">
        <v>996389523</v>
      </c>
      <c r="D752" s="121">
        <v>1043116897</v>
      </c>
      <c r="E752" s="121">
        <v>994850147</v>
      </c>
      <c r="F752" s="121">
        <v>948122773</v>
      </c>
      <c r="G752" s="121">
        <v>994850147</v>
      </c>
      <c r="H752" s="121">
        <v>948122773</v>
      </c>
    </row>
    <row r="753" spans="1:8">
      <c r="A753" s="114" t="s">
        <v>1249</v>
      </c>
      <c r="B753" s="114" t="s">
        <v>8800</v>
      </c>
      <c r="C753" s="121">
        <v>159505956</v>
      </c>
      <c r="D753" s="121">
        <v>162768536</v>
      </c>
      <c r="E753" s="121">
        <v>162768536</v>
      </c>
      <c r="F753" s="121">
        <v>159505956</v>
      </c>
      <c r="G753" s="121">
        <v>162768536</v>
      </c>
      <c r="H753" s="121">
        <v>159505956</v>
      </c>
    </row>
    <row r="754" spans="1:8">
      <c r="A754" s="114" t="s">
        <v>1250</v>
      </c>
      <c r="B754" s="114" t="s">
        <v>8801</v>
      </c>
      <c r="C754" s="121">
        <v>952396214</v>
      </c>
      <c r="D754" s="121">
        <v>957808247</v>
      </c>
      <c r="E754" s="121">
        <v>957808247</v>
      </c>
      <c r="F754" s="121">
        <v>952396214</v>
      </c>
      <c r="G754" s="121">
        <v>957808247</v>
      </c>
      <c r="H754" s="121">
        <v>952396214</v>
      </c>
    </row>
    <row r="755" spans="1:8">
      <c r="A755" s="114" t="s">
        <v>2902</v>
      </c>
      <c r="B755" s="114" t="s">
        <v>8802</v>
      </c>
      <c r="C755" s="121">
        <v>766009063</v>
      </c>
      <c r="D755" s="121">
        <v>800649642</v>
      </c>
      <c r="E755" s="121">
        <v>800649642</v>
      </c>
      <c r="F755" s="121">
        <v>766009063</v>
      </c>
      <c r="G755" s="121">
        <v>800649642</v>
      </c>
      <c r="H755" s="121">
        <v>766009063</v>
      </c>
    </row>
    <row r="756" spans="1:8">
      <c r="A756" s="114" t="s">
        <v>1529</v>
      </c>
      <c r="B756" s="114" t="s">
        <v>8803</v>
      </c>
      <c r="C756" s="121">
        <v>270914911</v>
      </c>
      <c r="D756" s="121">
        <v>279015483</v>
      </c>
      <c r="E756" s="121">
        <v>279015483</v>
      </c>
      <c r="F756" s="121">
        <v>270914911</v>
      </c>
      <c r="G756" s="121">
        <v>279015483</v>
      </c>
      <c r="H756" s="121">
        <v>270914911</v>
      </c>
    </row>
    <row r="757" spans="1:8">
      <c r="A757" s="114" t="s">
        <v>1530</v>
      </c>
      <c r="B757" s="114" t="s">
        <v>8804</v>
      </c>
      <c r="C757" s="121">
        <v>52732793</v>
      </c>
      <c r="D757" s="121">
        <v>54227702</v>
      </c>
      <c r="E757" s="121">
        <v>54227702</v>
      </c>
      <c r="F757" s="121">
        <v>52732793</v>
      </c>
      <c r="G757" s="121">
        <v>54227702</v>
      </c>
      <c r="H757" s="121">
        <v>52732793</v>
      </c>
    </row>
    <row r="758" spans="1:8">
      <c r="A758" s="114" t="s">
        <v>1531</v>
      </c>
      <c r="B758" s="114" t="s">
        <v>8805</v>
      </c>
      <c r="C758" s="121">
        <v>513722553</v>
      </c>
      <c r="D758" s="121">
        <v>516412453</v>
      </c>
      <c r="E758" s="121">
        <v>507249276</v>
      </c>
      <c r="F758" s="121">
        <v>504559376</v>
      </c>
      <c r="G758" s="121">
        <v>507249276</v>
      </c>
      <c r="H758" s="121">
        <v>504559376</v>
      </c>
    </row>
    <row r="759" spans="1:8">
      <c r="A759" s="114" t="s">
        <v>1532</v>
      </c>
      <c r="B759" s="114" t="s">
        <v>8806</v>
      </c>
      <c r="C759" s="121">
        <v>374663915</v>
      </c>
      <c r="D759" s="121">
        <v>380331735</v>
      </c>
      <c r="E759" s="121">
        <v>373543560</v>
      </c>
      <c r="F759" s="121">
        <v>367875740</v>
      </c>
      <c r="G759" s="121">
        <v>373543560</v>
      </c>
      <c r="H759" s="121">
        <v>367875740</v>
      </c>
    </row>
    <row r="760" spans="1:8">
      <c r="A760" s="114" t="s">
        <v>1533</v>
      </c>
      <c r="B760" s="114" t="s">
        <v>8807</v>
      </c>
      <c r="C760" s="121">
        <v>2534903387</v>
      </c>
      <c r="D760" s="121">
        <v>2573065097</v>
      </c>
      <c r="E760" s="121">
        <v>2529241977</v>
      </c>
      <c r="F760" s="121">
        <v>2491080267</v>
      </c>
      <c r="G760" s="121">
        <v>2529241977</v>
      </c>
      <c r="H760" s="121">
        <v>2491080267</v>
      </c>
    </row>
    <row r="761" spans="1:8">
      <c r="A761" s="114" t="s">
        <v>2974</v>
      </c>
      <c r="B761" s="114" t="s">
        <v>8808</v>
      </c>
      <c r="C761" s="121">
        <v>146771540</v>
      </c>
      <c r="D761" s="121">
        <v>151393280</v>
      </c>
      <c r="E761" s="121">
        <v>146747810</v>
      </c>
      <c r="F761" s="121">
        <v>142126070</v>
      </c>
      <c r="G761" s="121">
        <v>146747810</v>
      </c>
      <c r="H761" s="121">
        <v>142126070</v>
      </c>
    </row>
    <row r="762" spans="1:8">
      <c r="A762" s="114" t="s">
        <v>805</v>
      </c>
      <c r="B762" s="114" t="s">
        <v>8809</v>
      </c>
      <c r="C762" s="121">
        <v>188700782</v>
      </c>
      <c r="D762" s="121">
        <v>195042342</v>
      </c>
      <c r="E762" s="121">
        <v>195042342</v>
      </c>
      <c r="F762" s="121">
        <v>188700782</v>
      </c>
      <c r="G762" s="121">
        <v>195042342</v>
      </c>
      <c r="H762" s="121">
        <v>188700782</v>
      </c>
    </row>
    <row r="763" spans="1:8">
      <c r="A763" s="114" t="s">
        <v>1703</v>
      </c>
      <c r="B763" s="114" t="s">
        <v>8810</v>
      </c>
      <c r="C763" s="121">
        <v>1023675082</v>
      </c>
      <c r="D763" s="121">
        <v>1068369159</v>
      </c>
      <c r="E763" s="121">
        <v>1068369159</v>
      </c>
      <c r="F763" s="121">
        <v>1023675082</v>
      </c>
      <c r="G763" s="121">
        <v>1068369159</v>
      </c>
      <c r="H763" s="121">
        <v>1023675082</v>
      </c>
    </row>
    <row r="764" spans="1:8">
      <c r="A764" s="114" t="s">
        <v>1656</v>
      </c>
      <c r="B764" s="114" t="s">
        <v>8811</v>
      </c>
      <c r="C764" s="121">
        <v>4120576776</v>
      </c>
      <c r="D764" s="121">
        <v>4235414750</v>
      </c>
      <c r="E764" s="121">
        <v>4235414750</v>
      </c>
      <c r="F764" s="121">
        <v>4120576776</v>
      </c>
      <c r="G764" s="121">
        <v>4235414750</v>
      </c>
      <c r="H764" s="121">
        <v>4120576776</v>
      </c>
    </row>
    <row r="765" spans="1:8">
      <c r="A765" s="114" t="s">
        <v>2901</v>
      </c>
      <c r="B765" s="114" t="s">
        <v>8812</v>
      </c>
      <c r="C765" s="121">
        <v>336584133</v>
      </c>
      <c r="D765" s="121">
        <v>346690503</v>
      </c>
      <c r="E765" s="121">
        <v>346690503</v>
      </c>
      <c r="F765" s="121">
        <v>336584133</v>
      </c>
      <c r="G765" s="121">
        <v>346690503</v>
      </c>
      <c r="H765" s="121">
        <v>336584133</v>
      </c>
    </row>
    <row r="766" spans="1:8">
      <c r="A766" s="114" t="s">
        <v>1563</v>
      </c>
      <c r="B766" s="114" t="s">
        <v>8813</v>
      </c>
      <c r="C766" s="121">
        <v>3171604872</v>
      </c>
      <c r="D766" s="121">
        <v>3235328859</v>
      </c>
      <c r="E766" s="121">
        <v>3235328859</v>
      </c>
      <c r="F766" s="121">
        <v>3171604872</v>
      </c>
      <c r="G766" s="121">
        <v>3235328859</v>
      </c>
      <c r="H766" s="121">
        <v>3171604872</v>
      </c>
    </row>
    <row r="767" spans="1:8">
      <c r="A767" s="114" t="s">
        <v>236</v>
      </c>
      <c r="B767" s="114" t="s">
        <v>8814</v>
      </c>
      <c r="C767" s="121">
        <v>316877741</v>
      </c>
      <c r="D767" s="121">
        <v>327940156</v>
      </c>
      <c r="E767" s="121">
        <v>327940156</v>
      </c>
      <c r="F767" s="121">
        <v>316877741</v>
      </c>
      <c r="G767" s="121">
        <v>327940156</v>
      </c>
      <c r="H767" s="121">
        <v>316877741</v>
      </c>
    </row>
    <row r="768" spans="1:8">
      <c r="A768" s="114" t="s">
        <v>2144</v>
      </c>
      <c r="B768" s="114" t="s">
        <v>8815</v>
      </c>
      <c r="C768" s="121">
        <v>580146182</v>
      </c>
      <c r="D768" s="121">
        <v>593793015</v>
      </c>
      <c r="E768" s="121">
        <v>593793015</v>
      </c>
      <c r="F768" s="121">
        <v>580146182</v>
      </c>
      <c r="G768" s="121">
        <v>593793015</v>
      </c>
      <c r="H768" s="121">
        <v>580146182</v>
      </c>
    </row>
    <row r="769" spans="1:8">
      <c r="A769" s="114" t="s">
        <v>1834</v>
      </c>
      <c r="B769" s="114" t="s">
        <v>8816</v>
      </c>
      <c r="C769" s="121">
        <v>163884694</v>
      </c>
      <c r="D769" s="121">
        <v>167942834</v>
      </c>
      <c r="E769" s="121">
        <v>167942834</v>
      </c>
      <c r="F769" s="121">
        <v>163884694</v>
      </c>
      <c r="G769" s="121">
        <v>167942834</v>
      </c>
      <c r="H769" s="121">
        <v>163884694</v>
      </c>
    </row>
    <row r="770" spans="1:8">
      <c r="A770" s="114" t="s">
        <v>1835</v>
      </c>
      <c r="B770" s="114" t="s">
        <v>8817</v>
      </c>
      <c r="C770" s="121">
        <v>101414813</v>
      </c>
      <c r="D770" s="121">
        <v>104510850</v>
      </c>
      <c r="E770" s="121">
        <v>104510850</v>
      </c>
      <c r="F770" s="121">
        <v>101414813</v>
      </c>
      <c r="G770" s="121">
        <v>122562445</v>
      </c>
      <c r="H770" s="121">
        <v>119466408</v>
      </c>
    </row>
    <row r="771" spans="1:8">
      <c r="A771" s="114" t="s">
        <v>1836</v>
      </c>
      <c r="B771" s="114" t="s">
        <v>8818</v>
      </c>
      <c r="C771" s="121">
        <v>165156785</v>
      </c>
      <c r="D771" s="121">
        <v>169333009</v>
      </c>
      <c r="E771" s="121">
        <v>169333009</v>
      </c>
      <c r="F771" s="121">
        <v>165156785</v>
      </c>
      <c r="G771" s="121">
        <v>169333009</v>
      </c>
      <c r="H771" s="121">
        <v>165156785</v>
      </c>
    </row>
    <row r="772" spans="1:8">
      <c r="A772" s="114" t="s">
        <v>1837</v>
      </c>
      <c r="B772" s="114" t="s">
        <v>8819</v>
      </c>
      <c r="C772" s="121">
        <v>372369996</v>
      </c>
      <c r="D772" s="121">
        <v>380508013</v>
      </c>
      <c r="E772" s="121">
        <v>380508013</v>
      </c>
      <c r="F772" s="121">
        <v>372369996</v>
      </c>
      <c r="G772" s="121">
        <v>631997103</v>
      </c>
      <c r="H772" s="121">
        <v>623859086</v>
      </c>
    </row>
    <row r="773" spans="1:8">
      <c r="A773" s="114" t="s">
        <v>1838</v>
      </c>
      <c r="B773" s="114" t="s">
        <v>8820</v>
      </c>
      <c r="C773" s="121">
        <v>55102570</v>
      </c>
      <c r="D773" s="121">
        <v>56216476</v>
      </c>
      <c r="E773" s="121">
        <v>56216476</v>
      </c>
      <c r="F773" s="121">
        <v>55102570</v>
      </c>
      <c r="G773" s="121">
        <v>56216476</v>
      </c>
      <c r="H773" s="121">
        <v>55102570</v>
      </c>
    </row>
    <row r="774" spans="1:8">
      <c r="A774" s="114" t="s">
        <v>2140</v>
      </c>
      <c r="B774" s="114" t="s">
        <v>8821</v>
      </c>
      <c r="C774" s="121">
        <v>275749570</v>
      </c>
      <c r="D774" s="121">
        <v>276320540</v>
      </c>
      <c r="E774" s="121">
        <v>275952615</v>
      </c>
      <c r="F774" s="121">
        <v>275381645</v>
      </c>
      <c r="G774" s="121">
        <v>370892615</v>
      </c>
      <c r="H774" s="121">
        <v>370321645</v>
      </c>
    </row>
    <row r="775" spans="1:8">
      <c r="A775" s="114" t="s">
        <v>2625</v>
      </c>
      <c r="B775" s="114" t="s">
        <v>8822</v>
      </c>
      <c r="C775" s="121">
        <v>1315455532</v>
      </c>
      <c r="D775" s="121">
        <v>1338083432</v>
      </c>
      <c r="E775" s="121">
        <v>1320018937</v>
      </c>
      <c r="F775" s="121">
        <v>1297391037</v>
      </c>
      <c r="G775" s="121">
        <v>1722968317</v>
      </c>
      <c r="H775" s="121">
        <v>1700340417</v>
      </c>
    </row>
    <row r="776" spans="1:8">
      <c r="A776" s="114" t="s">
        <v>2614</v>
      </c>
      <c r="B776" s="114" t="s">
        <v>8823</v>
      </c>
      <c r="C776" s="121">
        <v>963465075</v>
      </c>
      <c r="D776" s="121">
        <v>966588585</v>
      </c>
      <c r="E776" s="121">
        <v>964557705</v>
      </c>
      <c r="F776" s="121">
        <v>961434195</v>
      </c>
      <c r="G776" s="121">
        <v>1314896205</v>
      </c>
      <c r="H776" s="121">
        <v>1311772695</v>
      </c>
    </row>
    <row r="777" spans="1:8">
      <c r="A777" s="114" t="s">
        <v>1477</v>
      </c>
      <c r="B777" s="114" t="s">
        <v>8824</v>
      </c>
      <c r="C777" s="121">
        <v>266952889</v>
      </c>
      <c r="D777" s="121">
        <v>271464445</v>
      </c>
      <c r="E777" s="121">
        <v>267513171</v>
      </c>
      <c r="F777" s="121">
        <v>263001615</v>
      </c>
      <c r="G777" s="121">
        <v>267513171</v>
      </c>
      <c r="H777" s="121">
        <v>263001615</v>
      </c>
    </row>
    <row r="778" spans="1:8">
      <c r="A778" s="114" t="s">
        <v>790</v>
      </c>
      <c r="B778" s="114" t="s">
        <v>8825</v>
      </c>
      <c r="C778" s="121">
        <v>107838033</v>
      </c>
      <c r="D778" s="121">
        <v>112535579</v>
      </c>
      <c r="E778" s="121">
        <v>112535579</v>
      </c>
      <c r="F778" s="121">
        <v>107838033</v>
      </c>
      <c r="G778" s="121">
        <v>112535579</v>
      </c>
      <c r="H778" s="121">
        <v>107838033</v>
      </c>
    </row>
    <row r="779" spans="1:8">
      <c r="A779" s="114" t="s">
        <v>2917</v>
      </c>
      <c r="B779" s="114" t="s">
        <v>8826</v>
      </c>
      <c r="C779" s="121">
        <v>381348394</v>
      </c>
      <c r="D779" s="121">
        <v>390217653</v>
      </c>
      <c r="E779" s="121">
        <v>382699627</v>
      </c>
      <c r="F779" s="121">
        <v>373830368</v>
      </c>
      <c r="G779" s="121">
        <v>444426647</v>
      </c>
      <c r="H779" s="121">
        <v>435557388</v>
      </c>
    </row>
    <row r="780" spans="1:8">
      <c r="A780" s="114" t="s">
        <v>791</v>
      </c>
      <c r="B780" s="114" t="s">
        <v>8827</v>
      </c>
      <c r="C780" s="121">
        <v>94954787</v>
      </c>
      <c r="D780" s="121">
        <v>97380289</v>
      </c>
      <c r="E780" s="121">
        <v>97380289</v>
      </c>
      <c r="F780" s="121">
        <v>94954787</v>
      </c>
      <c r="G780" s="121">
        <v>97380289</v>
      </c>
      <c r="H780" s="121">
        <v>94954787</v>
      </c>
    </row>
    <row r="781" spans="1:8">
      <c r="A781" s="114" t="s">
        <v>1992</v>
      </c>
      <c r="B781" s="114" t="s">
        <v>8828</v>
      </c>
      <c r="C781" s="121">
        <v>1548215732</v>
      </c>
      <c r="D781" s="121">
        <v>1600971693</v>
      </c>
      <c r="E781" s="121">
        <v>1600971693</v>
      </c>
      <c r="F781" s="121">
        <v>1548215732</v>
      </c>
      <c r="G781" s="121">
        <v>1600971693</v>
      </c>
      <c r="H781" s="121">
        <v>1548215732</v>
      </c>
    </row>
    <row r="782" spans="1:8">
      <c r="A782" s="114" t="s">
        <v>1380</v>
      </c>
      <c r="B782" s="114" t="s">
        <v>8829</v>
      </c>
      <c r="C782" s="121">
        <v>539718377</v>
      </c>
      <c r="D782" s="121">
        <v>558171417</v>
      </c>
      <c r="E782" s="121">
        <v>558171417</v>
      </c>
      <c r="F782" s="121">
        <v>539718377</v>
      </c>
      <c r="G782" s="121">
        <v>558171417</v>
      </c>
      <c r="H782" s="121">
        <v>539718377</v>
      </c>
    </row>
    <row r="783" spans="1:8">
      <c r="A783" s="114" t="s">
        <v>1839</v>
      </c>
      <c r="B783" s="114" t="s">
        <v>8830</v>
      </c>
      <c r="C783" s="121">
        <v>8610347961</v>
      </c>
      <c r="D783" s="121">
        <v>8904948089</v>
      </c>
      <c r="E783" s="121">
        <v>8904948089</v>
      </c>
      <c r="F783" s="121">
        <v>8610347961</v>
      </c>
      <c r="G783" s="121">
        <v>8904948089</v>
      </c>
      <c r="H783" s="121">
        <v>8610347961</v>
      </c>
    </row>
    <row r="784" spans="1:8">
      <c r="A784" s="114" t="s">
        <v>227</v>
      </c>
      <c r="B784" s="114" t="s">
        <v>8831</v>
      </c>
      <c r="C784" s="121">
        <v>254539166</v>
      </c>
      <c r="D784" s="121">
        <v>267138356</v>
      </c>
      <c r="E784" s="121">
        <v>267138356</v>
      </c>
      <c r="F784" s="121">
        <v>254539166</v>
      </c>
      <c r="G784" s="121">
        <v>267138356</v>
      </c>
      <c r="H784" s="121">
        <v>254539166</v>
      </c>
    </row>
    <row r="785" spans="1:8">
      <c r="A785" s="114" t="s">
        <v>625</v>
      </c>
      <c r="B785" s="114" t="s">
        <v>8271</v>
      </c>
      <c r="C785" s="121">
        <v>1182684514</v>
      </c>
      <c r="D785" s="121">
        <v>1184128066</v>
      </c>
      <c r="E785" s="121">
        <v>1184128066</v>
      </c>
      <c r="F785" s="121">
        <v>1182684514</v>
      </c>
      <c r="G785" s="121">
        <v>1184128066</v>
      </c>
      <c r="H785" s="121">
        <v>1182684514</v>
      </c>
    </row>
    <row r="786" spans="1:8">
      <c r="A786" s="114" t="s">
        <v>2496</v>
      </c>
      <c r="B786" s="114" t="s">
        <v>8832</v>
      </c>
      <c r="C786" s="121">
        <v>1267606858</v>
      </c>
      <c r="D786" s="121">
        <v>1281403814</v>
      </c>
      <c r="E786" s="121">
        <v>1281403814</v>
      </c>
      <c r="F786" s="121">
        <v>1267606858</v>
      </c>
      <c r="G786" s="121">
        <v>1281403814</v>
      </c>
      <c r="H786" s="121">
        <v>1267606858</v>
      </c>
    </row>
    <row r="787" spans="1:8">
      <c r="A787" s="114" t="s">
        <v>1657</v>
      </c>
      <c r="B787" s="114" t="s">
        <v>8833</v>
      </c>
      <c r="C787" s="121">
        <v>352462073</v>
      </c>
      <c r="D787" s="121">
        <v>357694637</v>
      </c>
      <c r="E787" s="121">
        <v>357694637</v>
      </c>
      <c r="F787" s="121">
        <v>352462073</v>
      </c>
      <c r="G787" s="121">
        <v>357694637</v>
      </c>
      <c r="H787" s="121">
        <v>352462073</v>
      </c>
    </row>
    <row r="788" spans="1:8">
      <c r="A788" s="114" t="s">
        <v>245</v>
      </c>
      <c r="B788" s="114" t="s">
        <v>8834</v>
      </c>
      <c r="C788" s="121">
        <v>168949575</v>
      </c>
      <c r="D788" s="121">
        <v>175899071</v>
      </c>
      <c r="E788" s="121">
        <v>175899071</v>
      </c>
      <c r="F788" s="121">
        <v>168949575</v>
      </c>
      <c r="G788" s="121">
        <v>175899071</v>
      </c>
      <c r="H788" s="121">
        <v>168949575</v>
      </c>
    </row>
    <row r="789" spans="1:8">
      <c r="A789" s="114" t="s">
        <v>1464</v>
      </c>
      <c r="B789" s="114" t="s">
        <v>8835</v>
      </c>
      <c r="C789" s="121">
        <v>549504572</v>
      </c>
      <c r="D789" s="121">
        <v>572757741</v>
      </c>
      <c r="E789" s="121">
        <v>572757741</v>
      </c>
      <c r="F789" s="121">
        <v>549504572</v>
      </c>
      <c r="G789" s="121">
        <v>572757741</v>
      </c>
      <c r="H789" s="121">
        <v>549504572</v>
      </c>
    </row>
    <row r="790" spans="1:8">
      <c r="A790" s="114" t="s">
        <v>1465</v>
      </c>
      <c r="B790" s="114" t="s">
        <v>8836</v>
      </c>
      <c r="C790" s="121">
        <v>4590253144</v>
      </c>
      <c r="D790" s="121">
        <v>4708803958</v>
      </c>
      <c r="E790" s="121">
        <v>4708803958</v>
      </c>
      <c r="F790" s="121">
        <v>4590253144</v>
      </c>
      <c r="G790" s="121">
        <v>4787595908</v>
      </c>
      <c r="H790" s="121">
        <v>4669045094</v>
      </c>
    </row>
    <row r="791" spans="1:8">
      <c r="A791" s="114" t="s">
        <v>2883</v>
      </c>
      <c r="B791" s="114" t="s">
        <v>8837</v>
      </c>
      <c r="C791" s="121">
        <v>2139227548</v>
      </c>
      <c r="D791" s="121">
        <v>2144706196</v>
      </c>
      <c r="E791" s="121">
        <v>2140551922</v>
      </c>
      <c r="F791" s="121">
        <v>2135073274</v>
      </c>
      <c r="G791" s="121">
        <v>2140551922</v>
      </c>
      <c r="H791" s="121">
        <v>2135073274</v>
      </c>
    </row>
    <row r="792" spans="1:8">
      <c r="A792" s="114" t="s">
        <v>896</v>
      </c>
      <c r="B792" s="114" t="s">
        <v>8838</v>
      </c>
      <c r="C792" s="121">
        <v>312200889</v>
      </c>
      <c r="D792" s="121">
        <v>317643403</v>
      </c>
      <c r="E792" s="121">
        <v>317643403</v>
      </c>
      <c r="F792" s="121">
        <v>312200889</v>
      </c>
      <c r="G792" s="121">
        <v>317643403</v>
      </c>
      <c r="H792" s="121">
        <v>312200889</v>
      </c>
    </row>
    <row r="793" spans="1:8">
      <c r="A793" s="114" t="s">
        <v>135</v>
      </c>
      <c r="B793" s="114" t="s">
        <v>8839</v>
      </c>
      <c r="C793" s="121">
        <v>49607698</v>
      </c>
      <c r="D793" s="121">
        <v>53318636</v>
      </c>
      <c r="E793" s="121">
        <v>53318636</v>
      </c>
      <c r="F793" s="121">
        <v>49607698</v>
      </c>
      <c r="G793" s="121">
        <v>53318636</v>
      </c>
      <c r="H793" s="121">
        <v>49607698</v>
      </c>
    </row>
    <row r="794" spans="1:8">
      <c r="A794" s="114" t="s">
        <v>3051</v>
      </c>
      <c r="B794" s="114" t="s">
        <v>8840</v>
      </c>
      <c r="C794" s="121">
        <v>187668129</v>
      </c>
      <c r="D794" s="121">
        <v>196242900</v>
      </c>
      <c r="E794" s="121">
        <v>196242900</v>
      </c>
      <c r="F794" s="121">
        <v>187668129</v>
      </c>
      <c r="G794" s="121">
        <v>196242900</v>
      </c>
      <c r="H794" s="121">
        <v>187668129</v>
      </c>
    </row>
    <row r="795" spans="1:8">
      <c r="A795" s="114" t="s">
        <v>2597</v>
      </c>
      <c r="B795" s="114" t="s">
        <v>8841</v>
      </c>
      <c r="C795" s="121">
        <v>208060712</v>
      </c>
      <c r="D795" s="121">
        <v>220186821</v>
      </c>
      <c r="E795" s="121">
        <v>220186821</v>
      </c>
      <c r="F795" s="121">
        <v>208060712</v>
      </c>
      <c r="G795" s="121">
        <v>220186821</v>
      </c>
      <c r="H795" s="121">
        <v>208060712</v>
      </c>
    </row>
    <row r="796" spans="1:8">
      <c r="A796" s="114" t="s">
        <v>411</v>
      </c>
      <c r="B796" s="114" t="s">
        <v>8842</v>
      </c>
      <c r="C796" s="121">
        <v>64151393</v>
      </c>
      <c r="D796" s="121">
        <v>68720269</v>
      </c>
      <c r="E796" s="121">
        <v>68720269</v>
      </c>
      <c r="F796" s="121">
        <v>64151393</v>
      </c>
      <c r="G796" s="121">
        <v>68720269</v>
      </c>
      <c r="H796" s="121">
        <v>64151393</v>
      </c>
    </row>
    <row r="797" spans="1:8">
      <c r="A797" s="114" t="s">
        <v>1113</v>
      </c>
      <c r="B797" s="114" t="s">
        <v>8843</v>
      </c>
      <c r="C797" s="121">
        <v>5178512480</v>
      </c>
      <c r="D797" s="121">
        <v>5198856395</v>
      </c>
      <c r="E797" s="121">
        <v>5198856395</v>
      </c>
      <c r="F797" s="121">
        <v>5178512480</v>
      </c>
      <c r="G797" s="121">
        <v>5492161655</v>
      </c>
      <c r="H797" s="121">
        <v>5471817740</v>
      </c>
    </row>
    <row r="798" spans="1:8">
      <c r="A798" s="114" t="s">
        <v>1932</v>
      </c>
      <c r="B798" s="114" t="s">
        <v>8844</v>
      </c>
      <c r="C798" s="121">
        <v>45774488</v>
      </c>
      <c r="D798" s="121">
        <v>46864169</v>
      </c>
      <c r="E798" s="121">
        <v>46864169</v>
      </c>
      <c r="F798" s="121">
        <v>45774488</v>
      </c>
      <c r="G798" s="121">
        <v>46864169</v>
      </c>
      <c r="H798" s="121">
        <v>45774488</v>
      </c>
    </row>
    <row r="799" spans="1:8">
      <c r="A799" s="114" t="s">
        <v>793</v>
      </c>
      <c r="B799" s="114" t="s">
        <v>8845</v>
      </c>
      <c r="C799" s="121">
        <v>240233336</v>
      </c>
      <c r="D799" s="121">
        <v>241983406</v>
      </c>
      <c r="E799" s="121">
        <v>240749791</v>
      </c>
      <c r="F799" s="121">
        <v>238999721</v>
      </c>
      <c r="G799" s="121">
        <v>240749791</v>
      </c>
      <c r="H799" s="121">
        <v>238999721</v>
      </c>
    </row>
    <row r="800" spans="1:8">
      <c r="A800" s="114" t="s">
        <v>794</v>
      </c>
      <c r="B800" s="114" t="s">
        <v>8846</v>
      </c>
      <c r="C800" s="121">
        <v>278390323</v>
      </c>
      <c r="D800" s="121">
        <v>284353073</v>
      </c>
      <c r="E800" s="121">
        <v>284353073</v>
      </c>
      <c r="F800" s="121">
        <v>278390323</v>
      </c>
      <c r="G800" s="121">
        <v>284353073</v>
      </c>
      <c r="H800" s="121">
        <v>278390323</v>
      </c>
    </row>
    <row r="801" spans="1:8">
      <c r="A801" s="114" t="s">
        <v>795</v>
      </c>
      <c r="B801" s="114" t="s">
        <v>8847</v>
      </c>
      <c r="C801" s="121">
        <v>353531393</v>
      </c>
      <c r="D801" s="121">
        <v>360829632</v>
      </c>
      <c r="E801" s="121">
        <v>360829632</v>
      </c>
      <c r="F801" s="121">
        <v>353531393</v>
      </c>
      <c r="G801" s="121">
        <v>360829632</v>
      </c>
      <c r="H801" s="121">
        <v>353531393</v>
      </c>
    </row>
    <row r="802" spans="1:8">
      <c r="A802" s="114" t="s">
        <v>1644</v>
      </c>
      <c r="B802" s="114" t="s">
        <v>8848</v>
      </c>
      <c r="C802" s="121">
        <v>475497597</v>
      </c>
      <c r="D802" s="121">
        <v>477549947</v>
      </c>
      <c r="E802" s="121">
        <v>476547118</v>
      </c>
      <c r="F802" s="121">
        <v>474494768</v>
      </c>
      <c r="G802" s="121">
        <v>645161308</v>
      </c>
      <c r="H802" s="121">
        <v>643108958</v>
      </c>
    </row>
    <row r="803" spans="1:8">
      <c r="A803" s="114" t="s">
        <v>1645</v>
      </c>
      <c r="B803" s="114" t="s">
        <v>8849</v>
      </c>
      <c r="C803" s="121">
        <v>324420568</v>
      </c>
      <c r="D803" s="121">
        <v>329279285</v>
      </c>
      <c r="E803" s="121">
        <v>329279285</v>
      </c>
      <c r="F803" s="121">
        <v>324420568</v>
      </c>
      <c r="G803" s="121">
        <v>329279285</v>
      </c>
      <c r="H803" s="121">
        <v>324420568</v>
      </c>
    </row>
    <row r="804" spans="1:8">
      <c r="A804" s="114" t="s">
        <v>1646</v>
      </c>
      <c r="B804" s="114" t="s">
        <v>8850</v>
      </c>
      <c r="C804" s="121">
        <v>111013256</v>
      </c>
      <c r="D804" s="121">
        <v>113628581</v>
      </c>
      <c r="E804" s="121">
        <v>113628581</v>
      </c>
      <c r="F804" s="121">
        <v>111013256</v>
      </c>
      <c r="G804" s="121">
        <v>113628581</v>
      </c>
      <c r="H804" s="121">
        <v>111013256</v>
      </c>
    </row>
    <row r="805" spans="1:8">
      <c r="A805" s="114" t="s">
        <v>1647</v>
      </c>
      <c r="B805" s="114" t="s">
        <v>8851</v>
      </c>
      <c r="C805" s="121">
        <v>1691265832</v>
      </c>
      <c r="D805" s="121">
        <v>1703725045</v>
      </c>
      <c r="E805" s="121">
        <v>1703725045</v>
      </c>
      <c r="F805" s="121">
        <v>1691265832</v>
      </c>
      <c r="G805" s="121">
        <v>1703725045</v>
      </c>
      <c r="H805" s="121">
        <v>1691265832</v>
      </c>
    </row>
    <row r="806" spans="1:8">
      <c r="A806" s="114" t="s">
        <v>1648</v>
      </c>
      <c r="B806" s="114" t="s">
        <v>8852</v>
      </c>
      <c r="C806" s="121">
        <v>400119901</v>
      </c>
      <c r="D806" s="121">
        <v>412562903</v>
      </c>
      <c r="E806" s="121">
        <v>412562903</v>
      </c>
      <c r="F806" s="121">
        <v>400119901</v>
      </c>
      <c r="G806" s="121">
        <v>412562903</v>
      </c>
      <c r="H806" s="121">
        <v>400119901</v>
      </c>
    </row>
    <row r="807" spans="1:8">
      <c r="A807" s="114" t="s">
        <v>1649</v>
      </c>
      <c r="B807" s="114" t="s">
        <v>8853</v>
      </c>
      <c r="C807" s="121">
        <v>65580108</v>
      </c>
      <c r="D807" s="121">
        <v>65849095</v>
      </c>
      <c r="E807" s="121">
        <v>65849095</v>
      </c>
      <c r="F807" s="121">
        <v>65580108</v>
      </c>
      <c r="G807" s="121">
        <v>65849095</v>
      </c>
      <c r="H807" s="121">
        <v>65580108</v>
      </c>
    </row>
    <row r="808" spans="1:8">
      <c r="A808" s="114" t="s">
        <v>1885</v>
      </c>
      <c r="B808" s="114" t="s">
        <v>8854</v>
      </c>
      <c r="C808" s="121">
        <v>8552629033</v>
      </c>
      <c r="D808" s="121">
        <v>8732911656</v>
      </c>
      <c r="E808" s="121">
        <v>8732911656</v>
      </c>
      <c r="F808" s="121">
        <v>8552629033</v>
      </c>
      <c r="G808" s="121">
        <v>8732911656</v>
      </c>
      <c r="H808" s="121">
        <v>8552629033</v>
      </c>
    </row>
    <row r="809" spans="1:8">
      <c r="A809" s="114" t="s">
        <v>2056</v>
      </c>
      <c r="B809" s="114" t="s">
        <v>8855</v>
      </c>
      <c r="C809" s="121">
        <v>1663775422</v>
      </c>
      <c r="D809" s="121">
        <v>1717072755</v>
      </c>
      <c r="E809" s="121">
        <v>1717072755</v>
      </c>
      <c r="F809" s="121">
        <v>1663775422</v>
      </c>
      <c r="G809" s="121">
        <v>1717072755</v>
      </c>
      <c r="H809" s="121">
        <v>1663775422</v>
      </c>
    </row>
    <row r="810" spans="1:8">
      <c r="A810" s="114" t="s">
        <v>1886</v>
      </c>
      <c r="B810" s="114" t="s">
        <v>8856</v>
      </c>
      <c r="C810" s="121">
        <v>281972163</v>
      </c>
      <c r="D810" s="121">
        <v>294775380</v>
      </c>
      <c r="E810" s="121">
        <v>294775380</v>
      </c>
      <c r="F810" s="121">
        <v>281972163</v>
      </c>
      <c r="G810" s="121">
        <v>294775380</v>
      </c>
      <c r="H810" s="121">
        <v>281972163</v>
      </c>
    </row>
    <row r="811" spans="1:8">
      <c r="A811" s="114" t="s">
        <v>412</v>
      </c>
      <c r="B811" s="114" t="s">
        <v>8857</v>
      </c>
      <c r="C811" s="121">
        <v>83730375</v>
      </c>
      <c r="D811" s="121">
        <v>88001205</v>
      </c>
      <c r="E811" s="121">
        <v>88001205</v>
      </c>
      <c r="F811" s="121">
        <v>83730375</v>
      </c>
      <c r="G811" s="121">
        <v>88001205</v>
      </c>
      <c r="H811" s="121">
        <v>83730375</v>
      </c>
    </row>
    <row r="812" spans="1:8">
      <c r="A812" s="114" t="s">
        <v>1350</v>
      </c>
      <c r="B812" s="114" t="s">
        <v>8858</v>
      </c>
      <c r="C812" s="121">
        <v>174803446</v>
      </c>
      <c r="D812" s="121">
        <v>182447701</v>
      </c>
      <c r="E812" s="121">
        <v>182447701</v>
      </c>
      <c r="F812" s="121">
        <v>174803446</v>
      </c>
      <c r="G812" s="121">
        <v>182447701</v>
      </c>
      <c r="H812" s="121">
        <v>174803446</v>
      </c>
    </row>
    <row r="813" spans="1:8">
      <c r="A813" s="114" t="s">
        <v>413</v>
      </c>
      <c r="B813" s="114" t="s">
        <v>8859</v>
      </c>
      <c r="C813" s="121">
        <v>5996970</v>
      </c>
      <c r="D813" s="121">
        <v>6300720</v>
      </c>
      <c r="E813" s="121">
        <v>6300720</v>
      </c>
      <c r="F813" s="121">
        <v>5996970</v>
      </c>
      <c r="G813" s="121">
        <v>6300720</v>
      </c>
      <c r="H813" s="121">
        <v>5996970</v>
      </c>
    </row>
    <row r="814" spans="1:8">
      <c r="A814" s="114" t="s">
        <v>1887</v>
      </c>
      <c r="B814" s="114" t="s">
        <v>8860</v>
      </c>
      <c r="C814" s="121">
        <v>1487658264</v>
      </c>
      <c r="D814" s="121">
        <v>1531843644</v>
      </c>
      <c r="E814" s="121">
        <v>1474542364</v>
      </c>
      <c r="F814" s="121">
        <v>1430356984</v>
      </c>
      <c r="G814" s="121">
        <v>1474542364</v>
      </c>
      <c r="H814" s="121">
        <v>1430356984</v>
      </c>
    </row>
    <row r="815" spans="1:8">
      <c r="A815" s="114" t="s">
        <v>1888</v>
      </c>
      <c r="B815" s="114" t="s">
        <v>8861</v>
      </c>
      <c r="C815" s="121">
        <v>87072710</v>
      </c>
      <c r="D815" s="121">
        <v>90624190</v>
      </c>
      <c r="E815" s="121">
        <v>87007255</v>
      </c>
      <c r="F815" s="121">
        <v>83455775</v>
      </c>
      <c r="G815" s="121">
        <v>87007255</v>
      </c>
      <c r="H815" s="121">
        <v>83455775</v>
      </c>
    </row>
    <row r="816" spans="1:8">
      <c r="A816" s="114" t="s">
        <v>1889</v>
      </c>
      <c r="B816" s="114" t="s">
        <v>8862</v>
      </c>
      <c r="C816" s="121">
        <v>29142134</v>
      </c>
      <c r="D816" s="121">
        <v>30463834</v>
      </c>
      <c r="E816" s="121">
        <v>29195089</v>
      </c>
      <c r="F816" s="121">
        <v>27873389</v>
      </c>
      <c r="G816" s="121">
        <v>29195089</v>
      </c>
      <c r="H816" s="121">
        <v>27873389</v>
      </c>
    </row>
    <row r="817" spans="1:8">
      <c r="A817" s="114" t="s">
        <v>2830</v>
      </c>
      <c r="B817" s="114" t="s">
        <v>8863</v>
      </c>
      <c r="C817" s="121">
        <v>59718222</v>
      </c>
      <c r="D817" s="121">
        <v>63538432</v>
      </c>
      <c r="E817" s="121">
        <v>59461257</v>
      </c>
      <c r="F817" s="121">
        <v>55641047</v>
      </c>
      <c r="G817" s="121">
        <v>59461257</v>
      </c>
      <c r="H817" s="121">
        <v>55641047</v>
      </c>
    </row>
    <row r="818" spans="1:8">
      <c r="A818" s="114" t="s">
        <v>2831</v>
      </c>
      <c r="B818" s="114" t="s">
        <v>8864</v>
      </c>
      <c r="C818" s="121">
        <v>73844183</v>
      </c>
      <c r="D818" s="121">
        <v>79167693</v>
      </c>
      <c r="E818" s="121">
        <v>74330073</v>
      </c>
      <c r="F818" s="121">
        <v>69006563</v>
      </c>
      <c r="G818" s="121">
        <v>74330073</v>
      </c>
      <c r="H818" s="121">
        <v>69006563</v>
      </c>
    </row>
    <row r="819" spans="1:8">
      <c r="A819" s="114" t="s">
        <v>1890</v>
      </c>
      <c r="B819" s="114" t="s">
        <v>8865</v>
      </c>
      <c r="C819" s="121">
        <v>967851611</v>
      </c>
      <c r="D819" s="121">
        <v>980680951</v>
      </c>
      <c r="E819" s="121">
        <v>962945386</v>
      </c>
      <c r="F819" s="121">
        <v>950116046</v>
      </c>
      <c r="G819" s="121">
        <v>962945386</v>
      </c>
      <c r="H819" s="121">
        <v>950116046</v>
      </c>
    </row>
    <row r="820" spans="1:8">
      <c r="A820" s="114" t="s">
        <v>218</v>
      </c>
      <c r="B820" s="114" t="s">
        <v>8866</v>
      </c>
      <c r="C820" s="121">
        <v>126581019</v>
      </c>
      <c r="D820" s="121">
        <v>130816746</v>
      </c>
      <c r="E820" s="121">
        <v>126382179</v>
      </c>
      <c r="F820" s="121">
        <v>122146452</v>
      </c>
      <c r="G820" s="121">
        <v>126382179</v>
      </c>
      <c r="H820" s="121">
        <v>122146452</v>
      </c>
    </row>
    <row r="821" spans="1:8">
      <c r="A821" s="114" t="s">
        <v>1891</v>
      </c>
      <c r="B821" s="114" t="s">
        <v>8867</v>
      </c>
      <c r="C821" s="121">
        <v>349900481</v>
      </c>
      <c r="D821" s="121">
        <v>360854481</v>
      </c>
      <c r="E821" s="121">
        <v>350128696</v>
      </c>
      <c r="F821" s="121">
        <v>339174696</v>
      </c>
      <c r="G821" s="121">
        <v>350128696</v>
      </c>
      <c r="H821" s="121">
        <v>339174696</v>
      </c>
    </row>
    <row r="822" spans="1:8">
      <c r="A822" s="114" t="s">
        <v>1575</v>
      </c>
      <c r="B822" s="114" t="s">
        <v>8868</v>
      </c>
      <c r="C822" s="121">
        <v>451454828</v>
      </c>
      <c r="D822" s="121">
        <v>472724374</v>
      </c>
      <c r="E822" s="121">
        <v>472724374</v>
      </c>
      <c r="F822" s="121">
        <v>451454828</v>
      </c>
      <c r="G822" s="121">
        <v>472724374</v>
      </c>
      <c r="H822" s="121">
        <v>451454828</v>
      </c>
    </row>
    <row r="823" spans="1:8">
      <c r="A823" s="114" t="s">
        <v>1576</v>
      </c>
      <c r="B823" s="114" t="s">
        <v>8869</v>
      </c>
      <c r="C823" s="121">
        <v>80388450</v>
      </c>
      <c r="D823" s="121">
        <v>86414476</v>
      </c>
      <c r="E823" s="121">
        <v>82682639</v>
      </c>
      <c r="F823" s="121">
        <v>76656613</v>
      </c>
      <c r="G823" s="121">
        <v>82682639</v>
      </c>
      <c r="H823" s="121">
        <v>76656613</v>
      </c>
    </row>
    <row r="824" spans="1:8">
      <c r="A824" s="114" t="s">
        <v>1577</v>
      </c>
      <c r="B824" s="114" t="s">
        <v>8870</v>
      </c>
      <c r="C824" s="121">
        <v>429531635</v>
      </c>
      <c r="D824" s="121">
        <v>437485975</v>
      </c>
      <c r="E824" s="121">
        <v>437485975</v>
      </c>
      <c r="F824" s="121">
        <v>429531635</v>
      </c>
      <c r="G824" s="121">
        <v>437485975</v>
      </c>
      <c r="H824" s="121">
        <v>429531635</v>
      </c>
    </row>
    <row r="825" spans="1:8">
      <c r="A825" s="114" t="s">
        <v>1832</v>
      </c>
      <c r="B825" s="114" t="s">
        <v>8871</v>
      </c>
      <c r="C825" s="121">
        <v>246502290</v>
      </c>
      <c r="D825" s="121">
        <v>251712440</v>
      </c>
      <c r="E825" s="121">
        <v>251712440</v>
      </c>
      <c r="F825" s="121">
        <v>246502290</v>
      </c>
      <c r="G825" s="121">
        <v>251712440</v>
      </c>
      <c r="H825" s="121">
        <v>246502290</v>
      </c>
    </row>
    <row r="826" spans="1:8">
      <c r="A826" s="114" t="s">
        <v>1833</v>
      </c>
      <c r="B826" s="114" t="s">
        <v>8872</v>
      </c>
      <c r="C826" s="121">
        <v>1149216926</v>
      </c>
      <c r="D826" s="121">
        <v>1183265737</v>
      </c>
      <c r="E826" s="121">
        <v>1183265737</v>
      </c>
      <c r="F826" s="121">
        <v>1149216926</v>
      </c>
      <c r="G826" s="121">
        <v>1183265737</v>
      </c>
      <c r="H826" s="121">
        <v>1149216926</v>
      </c>
    </row>
    <row r="827" spans="1:8">
      <c r="A827" s="114" t="s">
        <v>2790</v>
      </c>
      <c r="B827" s="114" t="s">
        <v>8873</v>
      </c>
      <c r="C827" s="121">
        <v>350514521</v>
      </c>
      <c r="D827" s="121">
        <v>364847467</v>
      </c>
      <c r="E827" s="121">
        <v>364847467</v>
      </c>
      <c r="F827" s="121">
        <v>350514521</v>
      </c>
      <c r="G827" s="121">
        <v>364847467</v>
      </c>
      <c r="H827" s="121">
        <v>350514521</v>
      </c>
    </row>
    <row r="828" spans="1:8">
      <c r="A828" s="114" t="s">
        <v>1382</v>
      </c>
      <c r="B828" s="114" t="s">
        <v>8874</v>
      </c>
      <c r="C828" s="121">
        <v>730320872</v>
      </c>
      <c r="D828" s="121">
        <v>749733063</v>
      </c>
      <c r="E828" s="121">
        <v>749733063</v>
      </c>
      <c r="F828" s="121">
        <v>730320872</v>
      </c>
      <c r="G828" s="121">
        <v>749733063</v>
      </c>
      <c r="H828" s="121">
        <v>730320872</v>
      </c>
    </row>
    <row r="829" spans="1:8">
      <c r="A829" s="114" t="s">
        <v>2791</v>
      </c>
      <c r="B829" s="114" t="s">
        <v>8875</v>
      </c>
      <c r="C829" s="121">
        <v>2716426974</v>
      </c>
      <c r="D829" s="121">
        <v>2757558451</v>
      </c>
      <c r="E829" s="121">
        <v>2757558451</v>
      </c>
      <c r="F829" s="121">
        <v>2716426974</v>
      </c>
      <c r="G829" s="121">
        <v>3557976211</v>
      </c>
      <c r="H829" s="121">
        <v>3516844734</v>
      </c>
    </row>
    <row r="830" spans="1:8">
      <c r="A830" s="114" t="s">
        <v>1639</v>
      </c>
      <c r="B830" s="114" t="s">
        <v>8876</v>
      </c>
      <c r="C830" s="121">
        <v>1915927338</v>
      </c>
      <c r="D830" s="121">
        <v>1935227491</v>
      </c>
      <c r="E830" s="121">
        <v>1935227491</v>
      </c>
      <c r="F830" s="121">
        <v>1915927338</v>
      </c>
      <c r="G830" s="121">
        <v>2900058551</v>
      </c>
      <c r="H830" s="121">
        <v>2880758398</v>
      </c>
    </row>
    <row r="831" spans="1:8">
      <c r="A831" s="114" t="s">
        <v>2892</v>
      </c>
      <c r="B831" s="114" t="s">
        <v>8877</v>
      </c>
      <c r="C831" s="121">
        <v>349153199</v>
      </c>
      <c r="D831" s="121">
        <v>364757561</v>
      </c>
      <c r="E831" s="121">
        <v>364757561</v>
      </c>
      <c r="F831" s="121">
        <v>349153199</v>
      </c>
      <c r="G831" s="121">
        <v>364757561</v>
      </c>
      <c r="H831" s="121">
        <v>349153199</v>
      </c>
    </row>
    <row r="832" spans="1:8">
      <c r="A832" s="114" t="s">
        <v>1591</v>
      </c>
      <c r="B832" s="114" t="s">
        <v>8878</v>
      </c>
      <c r="C832" s="121">
        <v>282394873</v>
      </c>
      <c r="D832" s="121">
        <v>292503670</v>
      </c>
      <c r="E832" s="121">
        <v>292503670</v>
      </c>
      <c r="F832" s="121">
        <v>282394873</v>
      </c>
      <c r="G832" s="121">
        <v>334694770</v>
      </c>
      <c r="H832" s="121">
        <v>324585973</v>
      </c>
    </row>
    <row r="833" spans="1:8">
      <c r="A833" s="114" t="s">
        <v>1493</v>
      </c>
      <c r="B833" s="114" t="s">
        <v>8879</v>
      </c>
      <c r="C833" s="121">
        <v>417690925</v>
      </c>
      <c r="D833" s="121">
        <v>434418389</v>
      </c>
      <c r="E833" s="121">
        <v>434418389</v>
      </c>
      <c r="F833" s="121">
        <v>417690925</v>
      </c>
      <c r="G833" s="121">
        <v>488653589</v>
      </c>
      <c r="H833" s="121">
        <v>471926125</v>
      </c>
    </row>
    <row r="834" spans="1:8">
      <c r="A834" s="114" t="s">
        <v>219</v>
      </c>
      <c r="B834" s="114" t="s">
        <v>8880</v>
      </c>
      <c r="C834" s="121">
        <v>335744162</v>
      </c>
      <c r="D834" s="121">
        <v>344977380</v>
      </c>
      <c r="E834" s="121">
        <v>344977380</v>
      </c>
      <c r="F834" s="121">
        <v>335744162</v>
      </c>
      <c r="G834" s="121">
        <v>549671780</v>
      </c>
      <c r="H834" s="121">
        <v>540438562</v>
      </c>
    </row>
    <row r="835" spans="1:8">
      <c r="A835" s="114" t="s">
        <v>531</v>
      </c>
      <c r="B835" s="114" t="s">
        <v>8881</v>
      </c>
      <c r="C835" s="121">
        <v>240424056</v>
      </c>
      <c r="D835" s="121">
        <v>249610886</v>
      </c>
      <c r="E835" s="121">
        <v>249610886</v>
      </c>
      <c r="F835" s="121">
        <v>240424056</v>
      </c>
      <c r="G835" s="121">
        <v>249610886</v>
      </c>
      <c r="H835" s="121">
        <v>240424056</v>
      </c>
    </row>
    <row r="836" spans="1:8">
      <c r="A836" s="114" t="s">
        <v>1640</v>
      </c>
      <c r="B836" s="114" t="s">
        <v>8882</v>
      </c>
      <c r="C836" s="121">
        <v>65672520</v>
      </c>
      <c r="D836" s="121">
        <v>67835720</v>
      </c>
      <c r="E836" s="121">
        <v>67835720</v>
      </c>
      <c r="F836" s="121">
        <v>65672520</v>
      </c>
      <c r="G836" s="121">
        <v>67835720</v>
      </c>
      <c r="H836" s="121">
        <v>65672520</v>
      </c>
    </row>
    <row r="837" spans="1:8">
      <c r="A837" s="114" t="s">
        <v>1641</v>
      </c>
      <c r="B837" s="114" t="s">
        <v>8883</v>
      </c>
      <c r="C837" s="121">
        <v>52346523</v>
      </c>
      <c r="D837" s="121">
        <v>53857273</v>
      </c>
      <c r="E837" s="121">
        <v>53857273</v>
      </c>
      <c r="F837" s="121">
        <v>52346523</v>
      </c>
      <c r="G837" s="121">
        <v>53857273</v>
      </c>
      <c r="H837" s="121">
        <v>52346523</v>
      </c>
    </row>
    <row r="838" spans="1:8">
      <c r="A838" s="114" t="s">
        <v>1557</v>
      </c>
      <c r="B838" s="114" t="s">
        <v>8884</v>
      </c>
      <c r="C838" s="121">
        <v>280350323</v>
      </c>
      <c r="D838" s="121">
        <v>285302780</v>
      </c>
      <c r="E838" s="121">
        <v>281925184</v>
      </c>
      <c r="F838" s="121">
        <v>276972727</v>
      </c>
      <c r="G838" s="121">
        <v>285179094</v>
      </c>
      <c r="H838" s="121">
        <v>280226637</v>
      </c>
    </row>
    <row r="839" spans="1:8">
      <c r="A839" s="114" t="s">
        <v>1558</v>
      </c>
      <c r="B839" s="114" t="s">
        <v>8885</v>
      </c>
      <c r="C839" s="121">
        <v>156801625</v>
      </c>
      <c r="D839" s="121">
        <v>158540948</v>
      </c>
      <c r="E839" s="121">
        <v>158540948</v>
      </c>
      <c r="F839" s="121">
        <v>156801625</v>
      </c>
      <c r="G839" s="121">
        <v>338099898</v>
      </c>
      <c r="H839" s="121">
        <v>336360575</v>
      </c>
    </row>
    <row r="840" spans="1:8">
      <c r="A840" s="114" t="s">
        <v>1559</v>
      </c>
      <c r="B840" s="114" t="s">
        <v>8886</v>
      </c>
      <c r="C840" s="121">
        <v>2070395012</v>
      </c>
      <c r="D840" s="121">
        <v>2101116103</v>
      </c>
      <c r="E840" s="121">
        <v>2101116103</v>
      </c>
      <c r="F840" s="121">
        <v>2070395012</v>
      </c>
      <c r="G840" s="121">
        <v>2133146923</v>
      </c>
      <c r="H840" s="121">
        <v>2102425832</v>
      </c>
    </row>
    <row r="841" spans="1:8">
      <c r="A841" s="114" t="s">
        <v>1662</v>
      </c>
      <c r="B841" s="114" t="s">
        <v>8887</v>
      </c>
      <c r="C841" s="121">
        <v>138528268</v>
      </c>
      <c r="D841" s="121">
        <v>140251997</v>
      </c>
      <c r="E841" s="121">
        <v>140251997</v>
      </c>
      <c r="F841" s="121">
        <v>138528268</v>
      </c>
      <c r="G841" s="121">
        <v>140251997</v>
      </c>
      <c r="H841" s="121">
        <v>138528268</v>
      </c>
    </row>
    <row r="842" spans="1:8">
      <c r="A842" s="114" t="s">
        <v>1084</v>
      </c>
      <c r="B842" s="114" t="s">
        <v>8888</v>
      </c>
      <c r="C842" s="121">
        <v>359395717</v>
      </c>
      <c r="D842" s="121">
        <v>365443891</v>
      </c>
      <c r="E842" s="121">
        <v>365443891</v>
      </c>
      <c r="F842" s="121">
        <v>359395717</v>
      </c>
      <c r="G842" s="121">
        <v>365443891</v>
      </c>
      <c r="H842" s="121">
        <v>359395717</v>
      </c>
    </row>
    <row r="843" spans="1:8">
      <c r="A843" s="114" t="s">
        <v>1085</v>
      </c>
      <c r="B843" s="114" t="s">
        <v>8889</v>
      </c>
      <c r="C843" s="121">
        <v>61330023</v>
      </c>
      <c r="D843" s="121">
        <v>62151039</v>
      </c>
      <c r="E843" s="121">
        <v>62151039</v>
      </c>
      <c r="F843" s="121">
        <v>61330023</v>
      </c>
      <c r="G843" s="121">
        <v>62151039</v>
      </c>
      <c r="H843" s="121">
        <v>61330023</v>
      </c>
    </row>
    <row r="844" spans="1:8">
      <c r="A844" s="114" t="s">
        <v>1086</v>
      </c>
      <c r="B844" s="114" t="s">
        <v>8890</v>
      </c>
      <c r="C844" s="121">
        <v>545174887</v>
      </c>
      <c r="D844" s="121">
        <v>561702973</v>
      </c>
      <c r="E844" s="121">
        <v>544789397</v>
      </c>
      <c r="F844" s="121">
        <v>528261311</v>
      </c>
      <c r="G844" s="121">
        <v>544789397</v>
      </c>
      <c r="H844" s="121">
        <v>528261311</v>
      </c>
    </row>
    <row r="845" spans="1:8">
      <c r="A845" s="114" t="s">
        <v>1245</v>
      </c>
      <c r="B845" s="114" t="s">
        <v>8891</v>
      </c>
      <c r="C845" s="121">
        <v>180404992</v>
      </c>
      <c r="D845" s="121">
        <v>186773856</v>
      </c>
      <c r="E845" s="121">
        <v>180820276</v>
      </c>
      <c r="F845" s="121">
        <v>174451412</v>
      </c>
      <c r="G845" s="121">
        <v>180820276</v>
      </c>
      <c r="H845" s="121">
        <v>174451412</v>
      </c>
    </row>
    <row r="846" spans="1:8">
      <c r="A846" s="114" t="s">
        <v>220</v>
      </c>
      <c r="B846" s="114" t="s">
        <v>8892</v>
      </c>
      <c r="C846" s="121">
        <v>227539021</v>
      </c>
      <c r="D846" s="121">
        <v>233424150</v>
      </c>
      <c r="E846" s="121">
        <v>233424150</v>
      </c>
      <c r="F846" s="121">
        <v>227539021</v>
      </c>
      <c r="G846" s="121">
        <v>233424150</v>
      </c>
      <c r="H846" s="121">
        <v>227539021</v>
      </c>
    </row>
    <row r="847" spans="1:8">
      <c r="A847" s="114" t="s">
        <v>1246</v>
      </c>
      <c r="B847" s="114" t="s">
        <v>8893</v>
      </c>
      <c r="C847" s="121">
        <v>99296942</v>
      </c>
      <c r="D847" s="121">
        <v>102542415</v>
      </c>
      <c r="E847" s="121">
        <v>102542415</v>
      </c>
      <c r="F847" s="121">
        <v>99296942</v>
      </c>
      <c r="G847" s="121">
        <v>102542415</v>
      </c>
      <c r="H847" s="121">
        <v>99296942</v>
      </c>
    </row>
    <row r="848" spans="1:8">
      <c r="A848" s="114" t="s">
        <v>1247</v>
      </c>
      <c r="B848" s="114" t="s">
        <v>8894</v>
      </c>
      <c r="C848" s="121">
        <v>134012842</v>
      </c>
      <c r="D848" s="121">
        <v>139857989</v>
      </c>
      <c r="E848" s="121">
        <v>134336150</v>
      </c>
      <c r="F848" s="121">
        <v>128491003</v>
      </c>
      <c r="G848" s="121">
        <v>134336150</v>
      </c>
      <c r="H848" s="121">
        <v>128491003</v>
      </c>
    </row>
    <row r="849" spans="1:8">
      <c r="A849" s="114" t="s">
        <v>1407</v>
      </c>
      <c r="B849" s="114" t="s">
        <v>8895</v>
      </c>
      <c r="C849" s="121">
        <v>41967254</v>
      </c>
      <c r="D849" s="121">
        <v>42792017</v>
      </c>
      <c r="E849" s="121">
        <v>42792017</v>
      </c>
      <c r="F849" s="121">
        <v>41967254</v>
      </c>
      <c r="G849" s="121">
        <v>42792017</v>
      </c>
      <c r="H849" s="121">
        <v>41967254</v>
      </c>
    </row>
    <row r="850" spans="1:8">
      <c r="A850" s="114" t="s">
        <v>1408</v>
      </c>
      <c r="B850" s="114" t="s">
        <v>8896</v>
      </c>
      <c r="C850" s="121">
        <v>91402557</v>
      </c>
      <c r="D850" s="121">
        <v>92339087</v>
      </c>
      <c r="E850" s="121">
        <v>92339087</v>
      </c>
      <c r="F850" s="121">
        <v>91402557</v>
      </c>
      <c r="G850" s="121">
        <v>92339087</v>
      </c>
      <c r="H850" s="121">
        <v>91402557</v>
      </c>
    </row>
    <row r="851" spans="1:8">
      <c r="A851" s="114" t="s">
        <v>2040</v>
      </c>
      <c r="B851" s="114" t="s">
        <v>8897</v>
      </c>
      <c r="C851" s="121">
        <v>409408854</v>
      </c>
      <c r="D851" s="121">
        <v>414190460</v>
      </c>
      <c r="E851" s="121">
        <v>414190460</v>
      </c>
      <c r="F851" s="121">
        <v>409408854</v>
      </c>
      <c r="G851" s="121">
        <v>414190460</v>
      </c>
      <c r="H851" s="121">
        <v>409408854</v>
      </c>
    </row>
    <row r="852" spans="1:8">
      <c r="A852" s="114" t="s">
        <v>304</v>
      </c>
      <c r="B852" s="114" t="s">
        <v>8898</v>
      </c>
      <c r="C852" s="121">
        <v>348916056</v>
      </c>
      <c r="D852" s="121">
        <v>361911458</v>
      </c>
      <c r="E852" s="121">
        <v>338037053</v>
      </c>
      <c r="F852" s="121">
        <v>325041651</v>
      </c>
      <c r="G852" s="121">
        <v>338037053</v>
      </c>
      <c r="H852" s="121">
        <v>325041651</v>
      </c>
    </row>
    <row r="853" spans="1:8">
      <c r="A853" s="114" t="s">
        <v>1943</v>
      </c>
      <c r="B853" s="114" t="s">
        <v>8899</v>
      </c>
      <c r="C853" s="121">
        <v>1000387423</v>
      </c>
      <c r="D853" s="121">
        <v>1031654806</v>
      </c>
      <c r="E853" s="121">
        <v>1031654806</v>
      </c>
      <c r="F853" s="121">
        <v>1000387423</v>
      </c>
      <c r="G853" s="121">
        <v>1031654806</v>
      </c>
      <c r="H853" s="121">
        <v>1000387423</v>
      </c>
    </row>
    <row r="854" spans="1:8">
      <c r="A854" s="114" t="s">
        <v>1944</v>
      </c>
      <c r="B854" s="114" t="s">
        <v>8900</v>
      </c>
      <c r="C854" s="121">
        <v>1356996544</v>
      </c>
      <c r="D854" s="121">
        <v>1407836902</v>
      </c>
      <c r="E854" s="121">
        <v>1407836902</v>
      </c>
      <c r="F854" s="121">
        <v>1356996544</v>
      </c>
      <c r="G854" s="121">
        <v>1407836902</v>
      </c>
      <c r="H854" s="121">
        <v>1356996544</v>
      </c>
    </row>
    <row r="855" spans="1:8">
      <c r="A855" s="114" t="s">
        <v>1136</v>
      </c>
      <c r="B855" s="114" t="s">
        <v>8901</v>
      </c>
      <c r="C855" s="121">
        <v>344003950</v>
      </c>
      <c r="D855" s="121">
        <v>354663125</v>
      </c>
      <c r="E855" s="121">
        <v>354663125</v>
      </c>
      <c r="F855" s="121">
        <v>344003950</v>
      </c>
      <c r="G855" s="121">
        <v>354663125</v>
      </c>
      <c r="H855" s="121">
        <v>344003950</v>
      </c>
    </row>
    <row r="856" spans="1:8">
      <c r="A856" s="114" t="s">
        <v>217</v>
      </c>
      <c r="B856" s="114" t="s">
        <v>8902</v>
      </c>
      <c r="C856" s="121">
        <v>8444680108</v>
      </c>
      <c r="D856" s="121">
        <v>8669831442</v>
      </c>
      <c r="E856" s="121">
        <v>8669831442</v>
      </c>
      <c r="F856" s="121">
        <v>8444680108</v>
      </c>
      <c r="G856" s="121">
        <v>8669831442</v>
      </c>
      <c r="H856" s="121">
        <v>8444680108</v>
      </c>
    </row>
    <row r="857" spans="1:8">
      <c r="A857" s="114" t="s">
        <v>1348</v>
      </c>
      <c r="B857" s="114" t="s">
        <v>8903</v>
      </c>
      <c r="C857" s="121">
        <v>1946511930</v>
      </c>
      <c r="D857" s="121">
        <v>2003829491</v>
      </c>
      <c r="E857" s="121">
        <v>2003829491</v>
      </c>
      <c r="F857" s="121">
        <v>1946511930</v>
      </c>
      <c r="G857" s="121">
        <v>2003829491</v>
      </c>
      <c r="H857" s="121">
        <v>1946511930</v>
      </c>
    </row>
    <row r="858" spans="1:8">
      <c r="A858" s="114" t="s">
        <v>1516</v>
      </c>
      <c r="B858" s="114" t="s">
        <v>8904</v>
      </c>
      <c r="C858" s="121">
        <v>1207245628</v>
      </c>
      <c r="D858" s="121">
        <v>1247085198</v>
      </c>
      <c r="E858" s="121">
        <v>1247085198</v>
      </c>
      <c r="F858" s="121">
        <v>1207245628</v>
      </c>
      <c r="G858" s="121">
        <v>1247085198</v>
      </c>
      <c r="H858" s="121">
        <v>1207245628</v>
      </c>
    </row>
    <row r="859" spans="1:8">
      <c r="A859" s="114" t="s">
        <v>1517</v>
      </c>
      <c r="B859" s="114" t="s">
        <v>8905</v>
      </c>
      <c r="C859" s="121">
        <v>431672545</v>
      </c>
      <c r="D859" s="121">
        <v>444109138</v>
      </c>
      <c r="E859" s="121">
        <v>444109138</v>
      </c>
      <c r="F859" s="121">
        <v>431672545</v>
      </c>
      <c r="G859" s="121">
        <v>444109138</v>
      </c>
      <c r="H859" s="121">
        <v>431672545</v>
      </c>
    </row>
    <row r="860" spans="1:8">
      <c r="A860" s="114" t="s">
        <v>1518</v>
      </c>
      <c r="B860" s="114" t="s">
        <v>8906</v>
      </c>
      <c r="C860" s="121">
        <v>2359201023</v>
      </c>
      <c r="D860" s="121">
        <v>2378488687</v>
      </c>
      <c r="E860" s="121">
        <v>2342752673</v>
      </c>
      <c r="F860" s="121">
        <v>2323465009</v>
      </c>
      <c r="G860" s="121">
        <v>2342752673</v>
      </c>
      <c r="H860" s="121">
        <v>2323465009</v>
      </c>
    </row>
    <row r="861" spans="1:8">
      <c r="A861" s="114" t="s">
        <v>3050</v>
      </c>
      <c r="B861" s="114" t="s">
        <v>8907</v>
      </c>
      <c r="C861" s="121">
        <v>1230739972</v>
      </c>
      <c r="D861" s="121">
        <v>1283820872</v>
      </c>
      <c r="E861" s="121">
        <v>1283820872</v>
      </c>
      <c r="F861" s="121">
        <v>1230739972</v>
      </c>
      <c r="G861" s="121">
        <v>1989630842</v>
      </c>
      <c r="H861" s="121">
        <v>1936549942</v>
      </c>
    </row>
    <row r="862" spans="1:8">
      <c r="A862" s="114" t="s">
        <v>1945</v>
      </c>
      <c r="B862" s="114" t="s">
        <v>8908</v>
      </c>
      <c r="C862" s="121">
        <v>170834019</v>
      </c>
      <c r="D862" s="121">
        <v>171765139</v>
      </c>
      <c r="E862" s="121">
        <v>171765139</v>
      </c>
      <c r="F862" s="121">
        <v>170834019</v>
      </c>
      <c r="G862" s="121">
        <v>171765139</v>
      </c>
      <c r="H862" s="121">
        <v>170834019</v>
      </c>
    </row>
    <row r="863" spans="1:8">
      <c r="A863" s="114" t="s">
        <v>221</v>
      </c>
      <c r="B863" s="114" t="s">
        <v>8909</v>
      </c>
      <c r="C863" s="121">
        <v>537076716</v>
      </c>
      <c r="D863" s="121">
        <v>567328406</v>
      </c>
      <c r="E863" s="121">
        <v>567328406</v>
      </c>
      <c r="F863" s="121">
        <v>537076716</v>
      </c>
      <c r="G863" s="121">
        <v>637434406</v>
      </c>
      <c r="H863" s="121">
        <v>607182716</v>
      </c>
    </row>
    <row r="864" spans="1:8">
      <c r="A864" s="114" t="s">
        <v>1946</v>
      </c>
      <c r="B864" s="114" t="s">
        <v>8910</v>
      </c>
      <c r="C864" s="121">
        <v>479669060</v>
      </c>
      <c r="D864" s="121">
        <v>499574116</v>
      </c>
      <c r="E864" s="121">
        <v>499574116</v>
      </c>
      <c r="F864" s="121">
        <v>479669060</v>
      </c>
      <c r="G864" s="121">
        <v>499574116</v>
      </c>
      <c r="H864" s="121">
        <v>479669060</v>
      </c>
    </row>
    <row r="865" spans="1:8">
      <c r="A865" s="114" t="s">
        <v>2979</v>
      </c>
      <c r="B865" s="114" t="s">
        <v>8911</v>
      </c>
      <c r="C865" s="121">
        <v>466886420</v>
      </c>
      <c r="D865" s="121">
        <v>469064230</v>
      </c>
      <c r="E865" s="121">
        <v>469064230</v>
      </c>
      <c r="F865" s="121">
        <v>466886420</v>
      </c>
      <c r="G865" s="121">
        <v>809328840</v>
      </c>
      <c r="H865" s="121">
        <v>807151030</v>
      </c>
    </row>
    <row r="866" spans="1:8">
      <c r="A866" s="114" t="s">
        <v>849</v>
      </c>
      <c r="B866" s="114" t="s">
        <v>8912</v>
      </c>
      <c r="C866" s="121">
        <v>152449457</v>
      </c>
      <c r="D866" s="121">
        <v>155083277</v>
      </c>
      <c r="E866" s="121">
        <v>155083277</v>
      </c>
      <c r="F866" s="121">
        <v>152449457</v>
      </c>
      <c r="G866" s="121">
        <v>155083277</v>
      </c>
      <c r="H866" s="121">
        <v>152449457</v>
      </c>
    </row>
    <row r="867" spans="1:8">
      <c r="A867" s="114" t="s">
        <v>850</v>
      </c>
      <c r="B867" s="114" t="s">
        <v>8913</v>
      </c>
      <c r="C867" s="121">
        <v>539987398</v>
      </c>
      <c r="D867" s="121">
        <v>548353276</v>
      </c>
      <c r="E867" s="121">
        <v>538647851</v>
      </c>
      <c r="F867" s="121">
        <v>530281973</v>
      </c>
      <c r="G867" s="121">
        <v>538647851</v>
      </c>
      <c r="H867" s="121">
        <v>530281973</v>
      </c>
    </row>
    <row r="868" spans="1:8">
      <c r="A868" s="114" t="s">
        <v>906</v>
      </c>
      <c r="B868" s="114" t="s">
        <v>8914</v>
      </c>
      <c r="C868" s="121">
        <v>78455844</v>
      </c>
      <c r="D868" s="121">
        <v>80066750</v>
      </c>
      <c r="E868" s="121">
        <v>80066750</v>
      </c>
      <c r="F868" s="121">
        <v>78455844</v>
      </c>
      <c r="G868" s="121">
        <v>80066750</v>
      </c>
      <c r="H868" s="121">
        <v>78455844</v>
      </c>
    </row>
    <row r="869" spans="1:8">
      <c r="A869" s="114" t="s">
        <v>617</v>
      </c>
      <c r="B869" s="114" t="s">
        <v>8915</v>
      </c>
      <c r="C869" s="121">
        <v>150223135</v>
      </c>
      <c r="D869" s="121">
        <v>157932288</v>
      </c>
      <c r="E869" s="121">
        <v>157932288</v>
      </c>
      <c r="F869" s="121">
        <v>150223135</v>
      </c>
      <c r="G869" s="121">
        <v>157932288</v>
      </c>
      <c r="H869" s="121">
        <v>150223135</v>
      </c>
    </row>
    <row r="870" spans="1:8">
      <c r="A870" s="114" t="s">
        <v>618</v>
      </c>
      <c r="B870" s="114" t="s">
        <v>8916</v>
      </c>
      <c r="C870" s="121">
        <v>86528333</v>
      </c>
      <c r="D870" s="121">
        <v>88240709</v>
      </c>
      <c r="E870" s="121">
        <v>88240709</v>
      </c>
      <c r="F870" s="121">
        <v>86528333</v>
      </c>
      <c r="G870" s="121">
        <v>88240709</v>
      </c>
      <c r="H870" s="121">
        <v>86528333</v>
      </c>
    </row>
    <row r="871" spans="1:8">
      <c r="A871" s="114" t="s">
        <v>2621</v>
      </c>
      <c r="B871" s="114" t="s">
        <v>8917</v>
      </c>
      <c r="C871" s="121">
        <v>25755011051</v>
      </c>
      <c r="D871" s="121">
        <v>26307884843</v>
      </c>
      <c r="E871" s="121">
        <v>26307884843</v>
      </c>
      <c r="F871" s="121">
        <v>25755011051</v>
      </c>
      <c r="G871" s="121">
        <v>26307884843</v>
      </c>
      <c r="H871" s="121">
        <v>25755011051</v>
      </c>
    </row>
    <row r="872" spans="1:8">
      <c r="A872" s="114" t="s">
        <v>985</v>
      </c>
      <c r="B872" s="114" t="s">
        <v>8918</v>
      </c>
      <c r="C872" s="121">
        <v>9295587503</v>
      </c>
      <c r="D872" s="121">
        <v>9556810787</v>
      </c>
      <c r="E872" s="121">
        <v>9556810787</v>
      </c>
      <c r="F872" s="121">
        <v>9295587503</v>
      </c>
      <c r="G872" s="121">
        <v>9556810787</v>
      </c>
      <c r="H872" s="121">
        <v>9295587503</v>
      </c>
    </row>
    <row r="873" spans="1:8">
      <c r="A873" s="114" t="s">
        <v>2111</v>
      </c>
      <c r="B873" s="114" t="s">
        <v>8919</v>
      </c>
      <c r="C873" s="121">
        <v>1268652647</v>
      </c>
      <c r="D873" s="121">
        <v>1307011689</v>
      </c>
      <c r="E873" s="121">
        <v>1307011689</v>
      </c>
      <c r="F873" s="121">
        <v>1268652647</v>
      </c>
      <c r="G873" s="121">
        <v>1307011689</v>
      </c>
      <c r="H873" s="121">
        <v>1268652647</v>
      </c>
    </row>
    <row r="874" spans="1:8">
      <c r="A874" s="114" t="s">
        <v>2297</v>
      </c>
      <c r="B874" s="114" t="s">
        <v>8920</v>
      </c>
      <c r="C874" s="121">
        <v>33528922568</v>
      </c>
      <c r="D874" s="121">
        <v>34274605541</v>
      </c>
      <c r="E874" s="121">
        <v>34274605541</v>
      </c>
      <c r="F874" s="121">
        <v>33528922568</v>
      </c>
      <c r="G874" s="121">
        <v>34274605541</v>
      </c>
      <c r="H874" s="121">
        <v>33528922568</v>
      </c>
    </row>
    <row r="875" spans="1:8">
      <c r="A875" s="114" t="s">
        <v>2497</v>
      </c>
      <c r="B875" s="114" t="s">
        <v>8921</v>
      </c>
      <c r="C875" s="121">
        <v>13796839431</v>
      </c>
      <c r="D875" s="121">
        <v>13966351768</v>
      </c>
      <c r="E875" s="121">
        <v>13966351768</v>
      </c>
      <c r="F875" s="121">
        <v>13796839431</v>
      </c>
      <c r="G875" s="121">
        <v>13966351768</v>
      </c>
      <c r="H875" s="121">
        <v>13796839431</v>
      </c>
    </row>
    <row r="876" spans="1:8">
      <c r="A876" s="114" t="s">
        <v>57</v>
      </c>
      <c r="B876" s="114" t="s">
        <v>8922</v>
      </c>
      <c r="C876" s="121">
        <v>16832081737</v>
      </c>
      <c r="D876" s="121">
        <v>17212139596</v>
      </c>
      <c r="E876" s="121">
        <v>17212139596</v>
      </c>
      <c r="F876" s="121">
        <v>16832081737</v>
      </c>
      <c r="G876" s="121">
        <v>17212139596</v>
      </c>
      <c r="H876" s="121">
        <v>16832081737</v>
      </c>
    </row>
    <row r="877" spans="1:8">
      <c r="A877" s="114" t="s">
        <v>379</v>
      </c>
      <c r="B877" s="114" t="s">
        <v>8923</v>
      </c>
      <c r="C877" s="121">
        <v>12911212702</v>
      </c>
      <c r="D877" s="121">
        <v>13237134408</v>
      </c>
      <c r="E877" s="121">
        <v>13237134408</v>
      </c>
      <c r="F877" s="121">
        <v>12911212702</v>
      </c>
      <c r="G877" s="121">
        <v>13237134408</v>
      </c>
      <c r="H877" s="121">
        <v>12911212702</v>
      </c>
    </row>
    <row r="878" spans="1:8">
      <c r="A878" s="114" t="s">
        <v>1986</v>
      </c>
      <c r="B878" s="114" t="s">
        <v>8924</v>
      </c>
      <c r="C878" s="121">
        <v>903910214</v>
      </c>
      <c r="D878" s="121">
        <v>924048851</v>
      </c>
      <c r="E878" s="121">
        <v>924048851</v>
      </c>
      <c r="F878" s="121">
        <v>903910214</v>
      </c>
      <c r="G878" s="121">
        <v>924048851</v>
      </c>
      <c r="H878" s="121">
        <v>903910214</v>
      </c>
    </row>
    <row r="879" spans="1:8">
      <c r="A879" s="114" t="s">
        <v>2759</v>
      </c>
      <c r="B879" s="114" t="s">
        <v>8925</v>
      </c>
      <c r="C879" s="121">
        <v>6242162539</v>
      </c>
      <c r="D879" s="121">
        <v>6416476218</v>
      </c>
      <c r="E879" s="121">
        <v>6256809935</v>
      </c>
      <c r="F879" s="121">
        <v>6082496256</v>
      </c>
      <c r="G879" s="121">
        <v>6256809935</v>
      </c>
      <c r="H879" s="121">
        <v>6082496256</v>
      </c>
    </row>
    <row r="880" spans="1:8">
      <c r="A880" s="114" t="s">
        <v>59</v>
      </c>
      <c r="B880" s="114" t="s">
        <v>8926</v>
      </c>
      <c r="C880" s="121">
        <v>1285002175</v>
      </c>
      <c r="D880" s="121">
        <v>1328922672</v>
      </c>
      <c r="E880" s="121">
        <v>1328922672</v>
      </c>
      <c r="F880" s="121">
        <v>1285002175</v>
      </c>
      <c r="G880" s="121">
        <v>1328922672</v>
      </c>
      <c r="H880" s="121">
        <v>1285002175</v>
      </c>
    </row>
    <row r="881" spans="1:8">
      <c r="A881" s="114" t="s">
        <v>1894</v>
      </c>
      <c r="B881" s="114" t="s">
        <v>8927</v>
      </c>
      <c r="C881" s="121">
        <v>2558074970</v>
      </c>
      <c r="D881" s="121">
        <v>2646571895</v>
      </c>
      <c r="E881" s="121">
        <v>2646571895</v>
      </c>
      <c r="F881" s="121">
        <v>2558074970</v>
      </c>
      <c r="G881" s="121">
        <v>2646571895</v>
      </c>
      <c r="H881" s="121">
        <v>2558074970</v>
      </c>
    </row>
    <row r="882" spans="1:8">
      <c r="A882" s="114" t="s">
        <v>1280</v>
      </c>
      <c r="B882" s="114" t="s">
        <v>8928</v>
      </c>
      <c r="C882" s="121">
        <v>12585313523</v>
      </c>
      <c r="D882" s="121">
        <v>12863100691</v>
      </c>
      <c r="E882" s="121">
        <v>12792782073</v>
      </c>
      <c r="F882" s="121">
        <v>12514994905</v>
      </c>
      <c r="G882" s="121">
        <v>12792782073</v>
      </c>
      <c r="H882" s="121">
        <v>12514994905</v>
      </c>
    </row>
    <row r="883" spans="1:8">
      <c r="A883" s="114" t="s">
        <v>2108</v>
      </c>
      <c r="B883" s="114" t="s">
        <v>8929</v>
      </c>
      <c r="C883" s="121">
        <v>624758119</v>
      </c>
      <c r="D883" s="121">
        <v>656059963</v>
      </c>
      <c r="E883" s="121">
        <v>656059963</v>
      </c>
      <c r="F883" s="121">
        <v>624758119</v>
      </c>
      <c r="G883" s="121">
        <v>656059963</v>
      </c>
      <c r="H883" s="121">
        <v>624758119</v>
      </c>
    </row>
    <row r="884" spans="1:8">
      <c r="A884" s="114" t="s">
        <v>2542</v>
      </c>
      <c r="B884" s="114" t="s">
        <v>8930</v>
      </c>
      <c r="C884" s="121">
        <v>8229503357</v>
      </c>
      <c r="D884" s="121">
        <v>8424218427</v>
      </c>
      <c r="E884" s="121">
        <v>8424218427</v>
      </c>
      <c r="F884" s="121">
        <v>8229503357</v>
      </c>
      <c r="G884" s="121">
        <v>8424218427</v>
      </c>
      <c r="H884" s="121">
        <v>8229503357</v>
      </c>
    </row>
    <row r="885" spans="1:8">
      <c r="A885" s="114" t="s">
        <v>2107</v>
      </c>
      <c r="B885" s="114" t="s">
        <v>8931</v>
      </c>
      <c r="C885" s="121">
        <v>7785796578</v>
      </c>
      <c r="D885" s="121">
        <v>7866650025</v>
      </c>
      <c r="E885" s="121">
        <v>7866650025</v>
      </c>
      <c r="F885" s="121">
        <v>7785796578</v>
      </c>
      <c r="G885" s="121">
        <v>7866650025</v>
      </c>
      <c r="H885" s="121">
        <v>7785796578</v>
      </c>
    </row>
    <row r="886" spans="1:8">
      <c r="A886" s="114" t="s">
        <v>1347</v>
      </c>
      <c r="B886" s="114" t="s">
        <v>8932</v>
      </c>
      <c r="C886" s="121">
        <v>1836578001</v>
      </c>
      <c r="D886" s="121">
        <v>1902131827</v>
      </c>
      <c r="E886" s="121">
        <v>1902131827</v>
      </c>
      <c r="F886" s="121">
        <v>1836578001</v>
      </c>
      <c r="G886" s="121">
        <v>1902131827</v>
      </c>
      <c r="H886" s="121">
        <v>1836578001</v>
      </c>
    </row>
    <row r="887" spans="1:8">
      <c r="A887" s="114" t="s">
        <v>2543</v>
      </c>
      <c r="B887" s="114" t="s">
        <v>8933</v>
      </c>
      <c r="C887" s="121">
        <v>4556493206</v>
      </c>
      <c r="D887" s="121">
        <v>4727399371</v>
      </c>
      <c r="E887" s="121">
        <v>4675264562</v>
      </c>
      <c r="F887" s="121">
        <v>4504358397</v>
      </c>
      <c r="G887" s="121">
        <v>4675264562</v>
      </c>
      <c r="H887" s="121">
        <v>4504358397</v>
      </c>
    </row>
    <row r="888" spans="1:8">
      <c r="A888" s="114" t="s">
        <v>2544</v>
      </c>
      <c r="B888" s="114" t="s">
        <v>8934</v>
      </c>
      <c r="C888" s="121">
        <v>401336749</v>
      </c>
      <c r="D888" s="121">
        <v>412688479</v>
      </c>
      <c r="E888" s="121">
        <v>412688479</v>
      </c>
      <c r="F888" s="121">
        <v>401336749</v>
      </c>
      <c r="G888" s="121">
        <v>412688479</v>
      </c>
      <c r="H888" s="121">
        <v>401336749</v>
      </c>
    </row>
    <row r="889" spans="1:8">
      <c r="A889" s="114" t="s">
        <v>3052</v>
      </c>
      <c r="B889" s="114" t="s">
        <v>8935</v>
      </c>
      <c r="C889" s="121">
        <v>145049178</v>
      </c>
      <c r="D889" s="121">
        <v>146428719</v>
      </c>
      <c r="E889" s="121">
        <v>146428719</v>
      </c>
      <c r="F889" s="121">
        <v>145049178</v>
      </c>
      <c r="G889" s="121">
        <v>171313159</v>
      </c>
      <c r="H889" s="121">
        <v>169933618</v>
      </c>
    </row>
    <row r="890" spans="1:8">
      <c r="A890" s="114" t="s">
        <v>3053</v>
      </c>
      <c r="B890" s="114" t="s">
        <v>8936</v>
      </c>
      <c r="C890" s="121">
        <v>484524087</v>
      </c>
      <c r="D890" s="121">
        <v>499526781</v>
      </c>
      <c r="E890" s="121">
        <v>474248242</v>
      </c>
      <c r="F890" s="121">
        <v>459245548</v>
      </c>
      <c r="G890" s="121">
        <v>474248242</v>
      </c>
      <c r="H890" s="121">
        <v>459245548</v>
      </c>
    </row>
    <row r="891" spans="1:8">
      <c r="A891" s="114" t="s">
        <v>3054</v>
      </c>
      <c r="B891" s="114" t="s">
        <v>8226</v>
      </c>
      <c r="C891" s="121">
        <v>1916322044</v>
      </c>
      <c r="D891" s="121">
        <v>1974999008</v>
      </c>
      <c r="E891" s="121">
        <v>1974999008</v>
      </c>
      <c r="F891" s="121">
        <v>1916322044</v>
      </c>
      <c r="G891" s="121">
        <v>1974999008</v>
      </c>
      <c r="H891" s="121">
        <v>1916322044</v>
      </c>
    </row>
    <row r="892" spans="1:8">
      <c r="A892" s="114" t="s">
        <v>3055</v>
      </c>
      <c r="B892" s="114" t="s">
        <v>8937</v>
      </c>
      <c r="C892" s="121">
        <v>243684567</v>
      </c>
      <c r="D892" s="121">
        <v>245934935</v>
      </c>
      <c r="E892" s="121">
        <v>244646751</v>
      </c>
      <c r="F892" s="121">
        <v>242396383</v>
      </c>
      <c r="G892" s="121">
        <v>244646751</v>
      </c>
      <c r="H892" s="121">
        <v>242396383</v>
      </c>
    </row>
    <row r="893" spans="1:8">
      <c r="A893" s="114" t="s">
        <v>1335</v>
      </c>
      <c r="B893" s="114" t="s">
        <v>8938</v>
      </c>
      <c r="C893" s="121">
        <v>573379228</v>
      </c>
      <c r="D893" s="121">
        <v>582970642</v>
      </c>
      <c r="E893" s="121">
        <v>582970642</v>
      </c>
      <c r="F893" s="121">
        <v>573379228</v>
      </c>
      <c r="G893" s="121">
        <v>582970642</v>
      </c>
      <c r="H893" s="121">
        <v>573379228</v>
      </c>
    </row>
    <row r="894" spans="1:8">
      <c r="A894" s="114" t="s">
        <v>2106</v>
      </c>
      <c r="B894" s="114" t="s">
        <v>8939</v>
      </c>
      <c r="C894" s="121">
        <v>53779681</v>
      </c>
      <c r="D894" s="121">
        <v>54646244</v>
      </c>
      <c r="E894" s="121">
        <v>54646244</v>
      </c>
      <c r="F894" s="121">
        <v>53779681</v>
      </c>
      <c r="G894" s="121">
        <v>54646244</v>
      </c>
      <c r="H894" s="121">
        <v>53779681</v>
      </c>
    </row>
    <row r="895" spans="1:8">
      <c r="A895" s="114" t="s">
        <v>1336</v>
      </c>
      <c r="B895" s="114" t="s">
        <v>8940</v>
      </c>
      <c r="C895" s="121">
        <v>181638707</v>
      </c>
      <c r="D895" s="121">
        <v>182171687</v>
      </c>
      <c r="E895" s="121">
        <v>182171687</v>
      </c>
      <c r="F895" s="121">
        <v>181638707</v>
      </c>
      <c r="G895" s="121">
        <v>182171687</v>
      </c>
      <c r="H895" s="121">
        <v>181638707</v>
      </c>
    </row>
    <row r="896" spans="1:8">
      <c r="A896" s="114" t="s">
        <v>1783</v>
      </c>
      <c r="B896" s="114" t="s">
        <v>8941</v>
      </c>
      <c r="C896" s="121">
        <v>122668139</v>
      </c>
      <c r="D896" s="121">
        <v>125211589</v>
      </c>
      <c r="E896" s="121">
        <v>125211589</v>
      </c>
      <c r="F896" s="121">
        <v>122668139</v>
      </c>
      <c r="G896" s="121">
        <v>125211589</v>
      </c>
      <c r="H896" s="121">
        <v>122668139</v>
      </c>
    </row>
    <row r="897" spans="1:8">
      <c r="A897" s="114" t="s">
        <v>1784</v>
      </c>
      <c r="B897" s="114" t="s">
        <v>8942</v>
      </c>
      <c r="C897" s="121">
        <v>32508951</v>
      </c>
      <c r="D897" s="121">
        <v>33482941</v>
      </c>
      <c r="E897" s="121">
        <v>33482941</v>
      </c>
      <c r="F897" s="121">
        <v>32508951</v>
      </c>
      <c r="G897" s="121">
        <v>33482941</v>
      </c>
      <c r="H897" s="121">
        <v>32508951</v>
      </c>
    </row>
    <row r="898" spans="1:8">
      <c r="A898" s="114" t="s">
        <v>1785</v>
      </c>
      <c r="B898" s="114" t="s">
        <v>8943</v>
      </c>
      <c r="C898" s="121">
        <v>1527888121</v>
      </c>
      <c r="D898" s="121">
        <v>1567268262</v>
      </c>
      <c r="E898" s="121">
        <v>1567268262</v>
      </c>
      <c r="F898" s="121">
        <v>1527888121</v>
      </c>
      <c r="G898" s="121">
        <v>1567268262</v>
      </c>
      <c r="H898" s="121">
        <v>1527888121</v>
      </c>
    </row>
    <row r="899" spans="1:8">
      <c r="A899" s="114" t="s">
        <v>2062</v>
      </c>
      <c r="B899" s="114" t="s">
        <v>8944</v>
      </c>
      <c r="C899" s="121">
        <v>47379770</v>
      </c>
      <c r="D899" s="121">
        <v>48623583</v>
      </c>
      <c r="E899" s="121">
        <v>48623583</v>
      </c>
      <c r="F899" s="121">
        <v>47379770</v>
      </c>
      <c r="G899" s="121">
        <v>48623583</v>
      </c>
      <c r="H899" s="121">
        <v>47379770</v>
      </c>
    </row>
    <row r="900" spans="1:8">
      <c r="A900" s="114" t="s">
        <v>305</v>
      </c>
      <c r="B900" s="114" t="s">
        <v>8904</v>
      </c>
      <c r="C900" s="121">
        <v>124527491</v>
      </c>
      <c r="D900" s="121">
        <v>130326966</v>
      </c>
      <c r="E900" s="121">
        <v>130326966</v>
      </c>
      <c r="F900" s="121">
        <v>124527491</v>
      </c>
      <c r="G900" s="121">
        <v>130326966</v>
      </c>
      <c r="H900" s="121">
        <v>124527491</v>
      </c>
    </row>
    <row r="901" spans="1:8">
      <c r="A901" s="114" t="s">
        <v>2063</v>
      </c>
      <c r="B901" s="114" t="s">
        <v>8945</v>
      </c>
      <c r="C901" s="121">
        <v>145266053</v>
      </c>
      <c r="D901" s="121">
        <v>151694519</v>
      </c>
      <c r="E901" s="121">
        <v>151694519</v>
      </c>
      <c r="F901" s="121">
        <v>145266053</v>
      </c>
      <c r="G901" s="121">
        <v>151694519</v>
      </c>
      <c r="H901" s="121">
        <v>145266053</v>
      </c>
    </row>
    <row r="902" spans="1:8">
      <c r="A902" s="114" t="s">
        <v>2797</v>
      </c>
      <c r="B902" s="114" t="s">
        <v>8946</v>
      </c>
      <c r="C902" s="121">
        <v>240049255</v>
      </c>
      <c r="D902" s="121">
        <v>247860385</v>
      </c>
      <c r="E902" s="121">
        <v>247860385</v>
      </c>
      <c r="F902" s="121">
        <v>240049255</v>
      </c>
      <c r="G902" s="121">
        <v>257117465</v>
      </c>
      <c r="H902" s="121">
        <v>249306335</v>
      </c>
    </row>
    <row r="903" spans="1:8">
      <c r="A903" s="114" t="s">
        <v>1488</v>
      </c>
      <c r="B903" s="114" t="s">
        <v>8947</v>
      </c>
      <c r="C903" s="121">
        <v>4978061160</v>
      </c>
      <c r="D903" s="121">
        <v>5190572017</v>
      </c>
      <c r="E903" s="121">
        <v>5190572017</v>
      </c>
      <c r="F903" s="121">
        <v>4978061160</v>
      </c>
      <c r="G903" s="121">
        <v>5190572017</v>
      </c>
      <c r="H903" s="121">
        <v>4978061160</v>
      </c>
    </row>
    <row r="904" spans="1:8">
      <c r="A904" s="114" t="s">
        <v>2785</v>
      </c>
      <c r="B904" s="114" t="s">
        <v>8948</v>
      </c>
      <c r="C904" s="121">
        <v>132363098</v>
      </c>
      <c r="D904" s="121">
        <v>136560518</v>
      </c>
      <c r="E904" s="121">
        <v>136560518</v>
      </c>
      <c r="F904" s="121">
        <v>132363098</v>
      </c>
      <c r="G904" s="121">
        <v>136560518</v>
      </c>
      <c r="H904" s="121">
        <v>132363098</v>
      </c>
    </row>
    <row r="905" spans="1:8">
      <c r="A905" s="114" t="s">
        <v>374</v>
      </c>
      <c r="B905" s="114" t="s">
        <v>8949</v>
      </c>
      <c r="C905" s="121">
        <v>433826865</v>
      </c>
      <c r="D905" s="121">
        <v>446566005</v>
      </c>
      <c r="E905" s="121">
        <v>446566005</v>
      </c>
      <c r="F905" s="121">
        <v>433826865</v>
      </c>
      <c r="G905" s="121">
        <v>446566005</v>
      </c>
      <c r="H905" s="121">
        <v>433826865</v>
      </c>
    </row>
    <row r="906" spans="1:8">
      <c r="A906" s="114" t="s">
        <v>1482</v>
      </c>
      <c r="B906" s="114" t="s">
        <v>8950</v>
      </c>
      <c r="C906" s="121">
        <v>274355950</v>
      </c>
      <c r="D906" s="121">
        <v>290860630</v>
      </c>
      <c r="E906" s="121">
        <v>290860630</v>
      </c>
      <c r="F906" s="121">
        <v>274355950</v>
      </c>
      <c r="G906" s="121">
        <v>290860630</v>
      </c>
      <c r="H906" s="121">
        <v>274355950</v>
      </c>
    </row>
    <row r="907" spans="1:8">
      <c r="A907" s="114" t="s">
        <v>1422</v>
      </c>
      <c r="B907" s="114" t="s">
        <v>8951</v>
      </c>
      <c r="C907" s="121">
        <v>121530013</v>
      </c>
      <c r="D907" s="121">
        <v>124615813</v>
      </c>
      <c r="E907" s="121">
        <v>124615813</v>
      </c>
      <c r="F907" s="121">
        <v>121530013</v>
      </c>
      <c r="G907" s="121">
        <v>124615813</v>
      </c>
      <c r="H907" s="121">
        <v>121530013</v>
      </c>
    </row>
    <row r="908" spans="1:8">
      <c r="A908" s="114" t="s">
        <v>292</v>
      </c>
      <c r="B908" s="114" t="s">
        <v>8952</v>
      </c>
      <c r="C908" s="121">
        <v>110302808080</v>
      </c>
      <c r="D908" s="121">
        <v>111428530965</v>
      </c>
      <c r="E908" s="121">
        <v>111428530965</v>
      </c>
      <c r="F908" s="121">
        <v>110302808080</v>
      </c>
      <c r="G908" s="121">
        <v>111428530965</v>
      </c>
      <c r="H908" s="121">
        <v>110302808080</v>
      </c>
    </row>
    <row r="909" spans="1:8">
      <c r="A909" s="114" t="s">
        <v>238</v>
      </c>
      <c r="B909" s="114" t="s">
        <v>8953</v>
      </c>
      <c r="C909" s="121">
        <v>12301343576</v>
      </c>
      <c r="D909" s="121">
        <v>12567504998</v>
      </c>
      <c r="E909" s="121">
        <v>12567504998</v>
      </c>
      <c r="F909" s="121">
        <v>12301343576</v>
      </c>
      <c r="G909" s="121">
        <v>12567504998</v>
      </c>
      <c r="H909" s="121">
        <v>12301343576</v>
      </c>
    </row>
    <row r="910" spans="1:8">
      <c r="A910" s="114" t="s">
        <v>293</v>
      </c>
      <c r="B910" s="114" t="s">
        <v>8954</v>
      </c>
      <c r="C910" s="121">
        <v>4471765803</v>
      </c>
      <c r="D910" s="121">
        <v>4549397431</v>
      </c>
      <c r="E910" s="121">
        <v>4549397431</v>
      </c>
      <c r="F910" s="121">
        <v>4471765803</v>
      </c>
      <c r="G910" s="121">
        <v>5883745399</v>
      </c>
      <c r="H910" s="121">
        <v>5806113771</v>
      </c>
    </row>
    <row r="911" spans="1:8">
      <c r="A911" s="114" t="s">
        <v>294</v>
      </c>
      <c r="B911" s="114" t="s">
        <v>8955</v>
      </c>
      <c r="C911" s="121">
        <v>14421031806</v>
      </c>
      <c r="D911" s="121">
        <v>14516713011</v>
      </c>
      <c r="E911" s="121">
        <v>14516713011</v>
      </c>
      <c r="F911" s="121">
        <v>14421031806</v>
      </c>
      <c r="G911" s="121">
        <v>14516713011</v>
      </c>
      <c r="H911" s="121">
        <v>14421031806</v>
      </c>
    </row>
    <row r="912" spans="1:8">
      <c r="A912" s="114" t="s">
        <v>1295</v>
      </c>
      <c r="B912" s="114" t="s">
        <v>8956</v>
      </c>
      <c r="C912" s="121">
        <v>5151400095</v>
      </c>
      <c r="D912" s="121">
        <v>5225580537</v>
      </c>
      <c r="E912" s="121">
        <v>5225580537</v>
      </c>
      <c r="F912" s="121">
        <v>5151400095</v>
      </c>
      <c r="G912" s="121">
        <v>5225580537</v>
      </c>
      <c r="H912" s="121">
        <v>5151400095</v>
      </c>
    </row>
    <row r="913" spans="1:8">
      <c r="A913" s="114" t="s">
        <v>2804</v>
      </c>
      <c r="B913" s="114" t="s">
        <v>8957</v>
      </c>
      <c r="C913" s="121">
        <v>1546789836</v>
      </c>
      <c r="D913" s="121">
        <v>1576327568</v>
      </c>
      <c r="E913" s="121">
        <v>1479131249</v>
      </c>
      <c r="F913" s="121">
        <v>1449593517</v>
      </c>
      <c r="G913" s="121">
        <v>1479131249</v>
      </c>
      <c r="H913" s="121">
        <v>1449593517</v>
      </c>
    </row>
    <row r="914" spans="1:8">
      <c r="A914" s="114" t="s">
        <v>1496</v>
      </c>
      <c r="B914" s="114" t="s">
        <v>8958</v>
      </c>
      <c r="C914" s="121">
        <v>11682708655</v>
      </c>
      <c r="D914" s="121">
        <v>11820980163</v>
      </c>
      <c r="E914" s="121">
        <v>11085597845</v>
      </c>
      <c r="F914" s="121">
        <v>10947326337</v>
      </c>
      <c r="G914" s="121">
        <v>11085597845</v>
      </c>
      <c r="H914" s="121">
        <v>10947326337</v>
      </c>
    </row>
    <row r="915" spans="1:8">
      <c r="A915" s="114" t="s">
        <v>1497</v>
      </c>
      <c r="B915" s="114" t="s">
        <v>8959</v>
      </c>
      <c r="C915" s="121">
        <v>303662500</v>
      </c>
      <c r="D915" s="121">
        <v>313764546</v>
      </c>
      <c r="E915" s="121">
        <v>313764546</v>
      </c>
      <c r="F915" s="121">
        <v>303662500</v>
      </c>
      <c r="G915" s="121">
        <v>313764546</v>
      </c>
      <c r="H915" s="121">
        <v>303662500</v>
      </c>
    </row>
    <row r="916" spans="1:8">
      <c r="A916" s="114" t="s">
        <v>1498</v>
      </c>
      <c r="B916" s="114" t="s">
        <v>8960</v>
      </c>
      <c r="C916" s="121">
        <v>387293774</v>
      </c>
      <c r="D916" s="121">
        <v>402955008</v>
      </c>
      <c r="E916" s="121">
        <v>402955008</v>
      </c>
      <c r="F916" s="121">
        <v>387293774</v>
      </c>
      <c r="G916" s="121">
        <v>402955008</v>
      </c>
      <c r="H916" s="121">
        <v>387293774</v>
      </c>
    </row>
    <row r="917" spans="1:8">
      <c r="A917" s="114" t="s">
        <v>1499</v>
      </c>
      <c r="B917" s="114" t="s">
        <v>8653</v>
      </c>
      <c r="C917" s="121">
        <v>29218619</v>
      </c>
      <c r="D917" s="121">
        <v>31147728</v>
      </c>
      <c r="E917" s="121">
        <v>31147728</v>
      </c>
      <c r="F917" s="121">
        <v>29218619</v>
      </c>
      <c r="G917" s="121">
        <v>31147728</v>
      </c>
      <c r="H917" s="121">
        <v>29218619</v>
      </c>
    </row>
    <row r="918" spans="1:8">
      <c r="A918" s="114" t="s">
        <v>1500</v>
      </c>
      <c r="B918" s="114" t="s">
        <v>8961</v>
      </c>
      <c r="C918" s="121">
        <v>43762289</v>
      </c>
      <c r="D918" s="121">
        <v>46229094</v>
      </c>
      <c r="E918" s="121">
        <v>46229094</v>
      </c>
      <c r="F918" s="121">
        <v>43762289</v>
      </c>
      <c r="G918" s="121">
        <v>46229094</v>
      </c>
      <c r="H918" s="121">
        <v>43762289</v>
      </c>
    </row>
    <row r="919" spans="1:8">
      <c r="A919" s="114" t="s">
        <v>1615</v>
      </c>
      <c r="B919" s="114" t="s">
        <v>8962</v>
      </c>
      <c r="C919" s="121">
        <v>139523257</v>
      </c>
      <c r="D919" s="121">
        <v>145614367</v>
      </c>
      <c r="E919" s="121">
        <v>145614367</v>
      </c>
      <c r="F919" s="121">
        <v>139523257</v>
      </c>
      <c r="G919" s="121">
        <v>145614367</v>
      </c>
      <c r="H919" s="121">
        <v>139523257</v>
      </c>
    </row>
    <row r="920" spans="1:8">
      <c r="A920" s="114" t="s">
        <v>2051</v>
      </c>
      <c r="B920" s="114" t="s">
        <v>8963</v>
      </c>
      <c r="C920" s="121">
        <v>565308447</v>
      </c>
      <c r="D920" s="121">
        <v>584116872</v>
      </c>
      <c r="E920" s="121">
        <v>584116872</v>
      </c>
      <c r="F920" s="121">
        <v>565308447</v>
      </c>
      <c r="G920" s="121">
        <v>657572267</v>
      </c>
      <c r="H920" s="121">
        <v>638763842</v>
      </c>
    </row>
    <row r="921" spans="1:8">
      <c r="A921" s="114" t="s">
        <v>2052</v>
      </c>
      <c r="B921" s="114" t="s">
        <v>8964</v>
      </c>
      <c r="C921" s="121">
        <v>269569242</v>
      </c>
      <c r="D921" s="121">
        <v>285869276</v>
      </c>
      <c r="E921" s="121">
        <v>285869276</v>
      </c>
      <c r="F921" s="121">
        <v>269569242</v>
      </c>
      <c r="G921" s="121">
        <v>285869276</v>
      </c>
      <c r="H921" s="121">
        <v>269569242</v>
      </c>
    </row>
    <row r="922" spans="1:8">
      <c r="A922" s="114" t="s">
        <v>1423</v>
      </c>
      <c r="B922" s="114" t="s">
        <v>8965</v>
      </c>
      <c r="C922" s="121">
        <v>87121032</v>
      </c>
      <c r="D922" s="121">
        <v>91996651</v>
      </c>
      <c r="E922" s="121">
        <v>91996651</v>
      </c>
      <c r="F922" s="121">
        <v>87121032</v>
      </c>
      <c r="G922" s="121">
        <v>91996651</v>
      </c>
      <c r="H922" s="121">
        <v>87121032</v>
      </c>
    </row>
    <row r="923" spans="1:8">
      <c r="A923" s="114" t="s">
        <v>83</v>
      </c>
      <c r="B923" s="114" t="s">
        <v>8966</v>
      </c>
      <c r="C923" s="121">
        <v>74613557</v>
      </c>
      <c r="D923" s="121">
        <v>77703746</v>
      </c>
      <c r="E923" s="121">
        <v>77703746</v>
      </c>
      <c r="F923" s="121">
        <v>74613557</v>
      </c>
      <c r="G923" s="121">
        <v>77703746</v>
      </c>
      <c r="H923" s="121">
        <v>74613557</v>
      </c>
    </row>
    <row r="924" spans="1:8">
      <c r="A924" s="114" t="s">
        <v>2053</v>
      </c>
      <c r="B924" s="114" t="s">
        <v>8824</v>
      </c>
      <c r="C924" s="121">
        <v>217649812</v>
      </c>
      <c r="D924" s="121">
        <v>226012866</v>
      </c>
      <c r="E924" s="121">
        <v>226012866</v>
      </c>
      <c r="F924" s="121">
        <v>217649812</v>
      </c>
      <c r="G924" s="121">
        <v>226012866</v>
      </c>
      <c r="H924" s="121">
        <v>217649812</v>
      </c>
    </row>
    <row r="925" spans="1:8">
      <c r="A925" s="114" t="s">
        <v>2054</v>
      </c>
      <c r="B925" s="114" t="s">
        <v>8967</v>
      </c>
      <c r="C925" s="121">
        <v>849141784</v>
      </c>
      <c r="D925" s="121">
        <v>885256674</v>
      </c>
      <c r="E925" s="121">
        <v>885256674</v>
      </c>
      <c r="F925" s="121">
        <v>849141784</v>
      </c>
      <c r="G925" s="121">
        <v>885256674</v>
      </c>
      <c r="H925" s="121">
        <v>849141784</v>
      </c>
    </row>
    <row r="926" spans="1:8">
      <c r="A926" s="114" t="s">
        <v>1594</v>
      </c>
      <c r="B926" s="114" t="s">
        <v>8968</v>
      </c>
      <c r="C926" s="121">
        <v>157865142</v>
      </c>
      <c r="D926" s="121">
        <v>166768571</v>
      </c>
      <c r="E926" s="121">
        <v>166768571</v>
      </c>
      <c r="F926" s="121">
        <v>157865142</v>
      </c>
      <c r="G926" s="121">
        <v>166768571</v>
      </c>
      <c r="H926" s="121">
        <v>157865142</v>
      </c>
    </row>
    <row r="927" spans="1:8">
      <c r="A927" s="114" t="s">
        <v>1229</v>
      </c>
      <c r="B927" s="114" t="s">
        <v>8969</v>
      </c>
      <c r="C927" s="121">
        <v>84306351</v>
      </c>
      <c r="D927" s="121">
        <v>89193617</v>
      </c>
      <c r="E927" s="121">
        <v>89193617</v>
      </c>
      <c r="F927" s="121">
        <v>84306351</v>
      </c>
      <c r="G927" s="121">
        <v>89193617</v>
      </c>
      <c r="H927" s="121">
        <v>84306351</v>
      </c>
    </row>
    <row r="928" spans="1:8">
      <c r="A928" s="114" t="s">
        <v>2127</v>
      </c>
      <c r="B928" s="114" t="s">
        <v>8970</v>
      </c>
      <c r="C928" s="121">
        <v>380764931</v>
      </c>
      <c r="D928" s="121">
        <v>399643222</v>
      </c>
      <c r="E928" s="121">
        <v>399643222</v>
      </c>
      <c r="F928" s="121">
        <v>380764931</v>
      </c>
      <c r="G928" s="121">
        <v>399643222</v>
      </c>
      <c r="H928" s="121">
        <v>380764931</v>
      </c>
    </row>
    <row r="929" spans="1:8">
      <c r="A929" s="114" t="s">
        <v>1230</v>
      </c>
      <c r="B929" s="114" t="s">
        <v>8971</v>
      </c>
      <c r="C929" s="121">
        <v>214550330</v>
      </c>
      <c r="D929" s="121">
        <v>225734967</v>
      </c>
      <c r="E929" s="121">
        <v>225734967</v>
      </c>
      <c r="F929" s="121">
        <v>214550330</v>
      </c>
      <c r="G929" s="121">
        <v>225734967</v>
      </c>
      <c r="H929" s="121">
        <v>214550330</v>
      </c>
    </row>
    <row r="930" spans="1:8">
      <c r="A930" s="114" t="s">
        <v>1231</v>
      </c>
      <c r="B930" s="114" t="s">
        <v>8972</v>
      </c>
      <c r="C930" s="121">
        <v>146074754</v>
      </c>
      <c r="D930" s="121">
        <v>153215106</v>
      </c>
      <c r="E930" s="121">
        <v>153215106</v>
      </c>
      <c r="F930" s="121">
        <v>146074754</v>
      </c>
      <c r="G930" s="121">
        <v>153215106</v>
      </c>
      <c r="H930" s="121">
        <v>146074754</v>
      </c>
    </row>
    <row r="931" spans="1:8">
      <c r="A931" s="114" t="s">
        <v>1232</v>
      </c>
      <c r="B931" s="114" t="s">
        <v>8973</v>
      </c>
      <c r="C931" s="121">
        <v>643360446</v>
      </c>
      <c r="D931" s="121">
        <v>648044998</v>
      </c>
      <c r="E931" s="121">
        <v>644650933</v>
      </c>
      <c r="F931" s="121">
        <v>639966381</v>
      </c>
      <c r="G931" s="121">
        <v>645946463</v>
      </c>
      <c r="H931" s="121">
        <v>641261911</v>
      </c>
    </row>
    <row r="932" spans="1:8">
      <c r="A932" s="114" t="s">
        <v>1233</v>
      </c>
      <c r="B932" s="114" t="s">
        <v>8974</v>
      </c>
      <c r="C932" s="121">
        <v>2467957131</v>
      </c>
      <c r="D932" s="121">
        <v>2470022131</v>
      </c>
      <c r="E932" s="121">
        <v>2470022131</v>
      </c>
      <c r="F932" s="121">
        <v>2467957131</v>
      </c>
      <c r="G932" s="121">
        <v>2625296101</v>
      </c>
      <c r="H932" s="121">
        <v>2623231101</v>
      </c>
    </row>
    <row r="933" spans="1:8">
      <c r="A933" s="114" t="s">
        <v>63</v>
      </c>
      <c r="B933" s="114" t="s">
        <v>8975</v>
      </c>
      <c r="C933" s="121">
        <v>81642349</v>
      </c>
      <c r="D933" s="121">
        <v>83153293</v>
      </c>
      <c r="E933" s="121">
        <v>83153293</v>
      </c>
      <c r="F933" s="121">
        <v>81642349</v>
      </c>
      <c r="G933" s="121">
        <v>140744293</v>
      </c>
      <c r="H933" s="121">
        <v>139233349</v>
      </c>
    </row>
    <row r="934" spans="1:8">
      <c r="A934" s="114" t="s">
        <v>1737</v>
      </c>
      <c r="B934" s="114" t="s">
        <v>8976</v>
      </c>
      <c r="C934" s="121">
        <v>324586082</v>
      </c>
      <c r="D934" s="121">
        <v>329979517</v>
      </c>
      <c r="E934" s="121">
        <v>329979517</v>
      </c>
      <c r="F934" s="121">
        <v>324586082</v>
      </c>
      <c r="G934" s="121">
        <v>329979517</v>
      </c>
      <c r="H934" s="121">
        <v>324586082</v>
      </c>
    </row>
    <row r="935" spans="1:8">
      <c r="A935" s="114" t="s">
        <v>1714</v>
      </c>
      <c r="B935" s="114" t="s">
        <v>8977</v>
      </c>
      <c r="C935" s="121">
        <v>1143142298</v>
      </c>
      <c r="D935" s="121">
        <v>1182521411</v>
      </c>
      <c r="E935" s="121">
        <v>1182521411</v>
      </c>
      <c r="F935" s="121">
        <v>1143142298</v>
      </c>
      <c r="G935" s="121">
        <v>1333156011</v>
      </c>
      <c r="H935" s="121">
        <v>1293776898</v>
      </c>
    </row>
    <row r="936" spans="1:8">
      <c r="A936" s="114" t="s">
        <v>1495</v>
      </c>
      <c r="B936" s="114" t="s">
        <v>8978</v>
      </c>
      <c r="C936" s="121">
        <v>208672964</v>
      </c>
      <c r="D936" s="121">
        <v>212635710</v>
      </c>
      <c r="E936" s="121">
        <v>212635710</v>
      </c>
      <c r="F936" s="121">
        <v>208672964</v>
      </c>
      <c r="G936" s="121">
        <v>212635710</v>
      </c>
      <c r="H936" s="121">
        <v>208672964</v>
      </c>
    </row>
    <row r="937" spans="1:8">
      <c r="A937" s="114" t="s">
        <v>530</v>
      </c>
      <c r="B937" s="114" t="s">
        <v>8979</v>
      </c>
      <c r="C937" s="121">
        <v>1815224372</v>
      </c>
      <c r="D937" s="121">
        <v>1898857624</v>
      </c>
      <c r="E937" s="121">
        <v>1807086565</v>
      </c>
      <c r="F937" s="121">
        <v>1723453313</v>
      </c>
      <c r="G937" s="121">
        <v>1807086565</v>
      </c>
      <c r="H937" s="121">
        <v>1723453313</v>
      </c>
    </row>
    <row r="938" spans="1:8">
      <c r="A938" s="114" t="s">
        <v>940</v>
      </c>
      <c r="B938" s="114" t="s">
        <v>8980</v>
      </c>
      <c r="C938" s="121">
        <v>205620187</v>
      </c>
      <c r="D938" s="121">
        <v>206936197</v>
      </c>
      <c r="E938" s="121">
        <v>206568199</v>
      </c>
      <c r="F938" s="121">
        <v>205252189</v>
      </c>
      <c r="G938" s="121">
        <v>206568199</v>
      </c>
      <c r="H938" s="121">
        <v>205252189</v>
      </c>
    </row>
    <row r="939" spans="1:8">
      <c r="A939" s="114" t="s">
        <v>943</v>
      </c>
      <c r="B939" s="114" t="s">
        <v>8981</v>
      </c>
      <c r="C939" s="121">
        <v>683801203</v>
      </c>
      <c r="D939" s="121">
        <v>710275947</v>
      </c>
      <c r="E939" s="121">
        <v>710275947</v>
      </c>
      <c r="F939" s="121">
        <v>683801203</v>
      </c>
      <c r="G939" s="121">
        <v>710275947</v>
      </c>
      <c r="H939" s="121">
        <v>683801203</v>
      </c>
    </row>
    <row r="940" spans="1:8">
      <c r="A940" s="114" t="s">
        <v>944</v>
      </c>
      <c r="B940" s="114" t="s">
        <v>8103</v>
      </c>
      <c r="C940" s="121">
        <v>219996580</v>
      </c>
      <c r="D940" s="121">
        <v>231146641</v>
      </c>
      <c r="E940" s="121">
        <v>231146641</v>
      </c>
      <c r="F940" s="121">
        <v>219996580</v>
      </c>
      <c r="G940" s="121">
        <v>231146641</v>
      </c>
      <c r="H940" s="121">
        <v>219996580</v>
      </c>
    </row>
    <row r="941" spans="1:8">
      <c r="A941" s="114" t="s">
        <v>1726</v>
      </c>
      <c r="B941" s="114" t="s">
        <v>8982</v>
      </c>
      <c r="C941" s="121">
        <v>251275816</v>
      </c>
      <c r="D941" s="121">
        <v>264731266</v>
      </c>
      <c r="E941" s="121">
        <v>250405676</v>
      </c>
      <c r="F941" s="121">
        <v>236950226</v>
      </c>
      <c r="G941" s="121">
        <v>250405676</v>
      </c>
      <c r="H941" s="121">
        <v>236950226</v>
      </c>
    </row>
    <row r="942" spans="1:8">
      <c r="A942" s="114" t="s">
        <v>2097</v>
      </c>
      <c r="B942" s="114" t="s">
        <v>8983</v>
      </c>
      <c r="C942" s="121">
        <v>104131893</v>
      </c>
      <c r="D942" s="121">
        <v>108548410</v>
      </c>
      <c r="E942" s="121">
        <v>108548410</v>
      </c>
      <c r="F942" s="121">
        <v>104131893</v>
      </c>
      <c r="G942" s="121">
        <v>108548410</v>
      </c>
      <c r="H942" s="121">
        <v>104131893</v>
      </c>
    </row>
    <row r="943" spans="1:8">
      <c r="A943" s="114" t="s">
        <v>945</v>
      </c>
      <c r="B943" s="114" t="s">
        <v>8984</v>
      </c>
      <c r="C943" s="121">
        <v>621880663</v>
      </c>
      <c r="D943" s="121">
        <v>652616256</v>
      </c>
      <c r="E943" s="121">
        <v>610419193</v>
      </c>
      <c r="F943" s="121">
        <v>579683600</v>
      </c>
      <c r="G943" s="121">
        <v>610419193</v>
      </c>
      <c r="H943" s="121">
        <v>579683600</v>
      </c>
    </row>
    <row r="944" spans="1:8">
      <c r="A944" s="114" t="s">
        <v>946</v>
      </c>
      <c r="B944" s="114" t="s">
        <v>8985</v>
      </c>
      <c r="C944" s="121">
        <v>621764747</v>
      </c>
      <c r="D944" s="121">
        <v>648625017</v>
      </c>
      <c r="E944" s="121">
        <v>648625017</v>
      </c>
      <c r="F944" s="121">
        <v>621764747</v>
      </c>
      <c r="G944" s="121">
        <v>648625017</v>
      </c>
      <c r="H944" s="121">
        <v>621764747</v>
      </c>
    </row>
    <row r="945" spans="1:8">
      <c r="A945" s="114" t="s">
        <v>1606</v>
      </c>
      <c r="B945" s="114" t="s">
        <v>8986</v>
      </c>
      <c r="C945" s="121">
        <v>47409004</v>
      </c>
      <c r="D945" s="121">
        <v>50839279</v>
      </c>
      <c r="E945" s="121">
        <v>47310513</v>
      </c>
      <c r="F945" s="121">
        <v>43880238</v>
      </c>
      <c r="G945" s="121">
        <v>47310513</v>
      </c>
      <c r="H945" s="121">
        <v>43880238</v>
      </c>
    </row>
    <row r="946" spans="1:8">
      <c r="A946" s="114" t="s">
        <v>989</v>
      </c>
      <c r="B946" s="114" t="s">
        <v>8987</v>
      </c>
      <c r="C946" s="121">
        <v>163836987</v>
      </c>
      <c r="D946" s="121">
        <v>169083330</v>
      </c>
      <c r="E946" s="121">
        <v>169083330</v>
      </c>
      <c r="F946" s="121">
        <v>163836987</v>
      </c>
      <c r="G946" s="121">
        <v>169083330</v>
      </c>
      <c r="H946" s="121">
        <v>163836987</v>
      </c>
    </row>
    <row r="947" spans="1:8">
      <c r="A947" s="114" t="s">
        <v>372</v>
      </c>
      <c r="B947" s="114" t="s">
        <v>8988</v>
      </c>
      <c r="C947" s="121">
        <v>5772404668</v>
      </c>
      <c r="D947" s="121">
        <v>5931497443</v>
      </c>
      <c r="E947" s="121">
        <v>5931497443</v>
      </c>
      <c r="F947" s="121">
        <v>5772404668</v>
      </c>
      <c r="G947" s="121">
        <v>5931497443</v>
      </c>
      <c r="H947" s="121">
        <v>5772404668</v>
      </c>
    </row>
    <row r="948" spans="1:8">
      <c r="A948" s="114" t="s">
        <v>2992</v>
      </c>
      <c r="B948" s="114" t="s">
        <v>8989</v>
      </c>
      <c r="C948" s="121">
        <v>232552953</v>
      </c>
      <c r="D948" s="121">
        <v>236750180</v>
      </c>
      <c r="E948" s="121">
        <v>236750180</v>
      </c>
      <c r="F948" s="121">
        <v>232552953</v>
      </c>
      <c r="G948" s="121">
        <v>236750180</v>
      </c>
      <c r="H948" s="121">
        <v>232552953</v>
      </c>
    </row>
    <row r="949" spans="1:8">
      <c r="A949" s="114" t="s">
        <v>1160</v>
      </c>
      <c r="B949" s="114" t="s">
        <v>8990</v>
      </c>
      <c r="C949" s="121">
        <v>328673280</v>
      </c>
      <c r="D949" s="121">
        <v>337785177</v>
      </c>
      <c r="E949" s="121">
        <v>337785177</v>
      </c>
      <c r="F949" s="121">
        <v>328673280</v>
      </c>
      <c r="G949" s="121">
        <v>337785177</v>
      </c>
      <c r="H949" s="121">
        <v>328673280</v>
      </c>
    </row>
    <row r="950" spans="1:8">
      <c r="A950" s="114" t="s">
        <v>1320</v>
      </c>
      <c r="B950" s="114" t="s">
        <v>8991</v>
      </c>
      <c r="C950" s="121">
        <v>2620506284</v>
      </c>
      <c r="D950" s="121">
        <v>2686181320</v>
      </c>
      <c r="E950" s="121">
        <v>2686181320</v>
      </c>
      <c r="F950" s="121">
        <v>2620506284</v>
      </c>
      <c r="G950" s="121">
        <v>2686181320</v>
      </c>
      <c r="H950" s="121">
        <v>2620506284</v>
      </c>
    </row>
    <row r="951" spans="1:8">
      <c r="A951" s="114" t="s">
        <v>306</v>
      </c>
      <c r="B951" s="114" t="s">
        <v>8992</v>
      </c>
      <c r="C951" s="121">
        <v>576374230</v>
      </c>
      <c r="D951" s="121">
        <v>590259623</v>
      </c>
      <c r="E951" s="121">
        <v>590259623</v>
      </c>
      <c r="F951" s="121">
        <v>576374230</v>
      </c>
      <c r="G951" s="121">
        <v>590259623</v>
      </c>
      <c r="H951" s="121">
        <v>576374230</v>
      </c>
    </row>
    <row r="952" spans="1:8">
      <c r="A952" s="114" t="s">
        <v>307</v>
      </c>
      <c r="B952" s="114" t="s">
        <v>8993</v>
      </c>
      <c r="C952" s="121">
        <v>3010074695</v>
      </c>
      <c r="D952" s="121">
        <v>3071166612</v>
      </c>
      <c r="E952" s="121">
        <v>3071166612</v>
      </c>
      <c r="F952" s="121">
        <v>3010074695</v>
      </c>
      <c r="G952" s="121">
        <v>3147672467</v>
      </c>
      <c r="H952" s="121">
        <v>3086580550</v>
      </c>
    </row>
    <row r="953" spans="1:8">
      <c r="A953" s="114" t="s">
        <v>693</v>
      </c>
      <c r="B953" s="114" t="s">
        <v>8994</v>
      </c>
      <c r="C953" s="121">
        <v>1125193800</v>
      </c>
      <c r="D953" s="121">
        <v>1138624254</v>
      </c>
      <c r="E953" s="121">
        <v>1135205124</v>
      </c>
      <c r="F953" s="121">
        <v>1121774670</v>
      </c>
      <c r="G953" s="121">
        <v>1150224614</v>
      </c>
      <c r="H953" s="121">
        <v>1136794160</v>
      </c>
    </row>
    <row r="954" spans="1:8">
      <c r="A954" s="114" t="s">
        <v>694</v>
      </c>
      <c r="B954" s="114" t="s">
        <v>8995</v>
      </c>
      <c r="C954" s="121">
        <v>1523521773</v>
      </c>
      <c r="D954" s="121">
        <v>1541257603</v>
      </c>
      <c r="E954" s="121">
        <v>1529919943</v>
      </c>
      <c r="F954" s="121">
        <v>1512184113</v>
      </c>
      <c r="G954" s="121">
        <v>1529919943</v>
      </c>
      <c r="H954" s="121">
        <v>1512184113</v>
      </c>
    </row>
    <row r="955" spans="1:8">
      <c r="A955" s="114" t="s">
        <v>695</v>
      </c>
      <c r="B955" s="114" t="s">
        <v>8996</v>
      </c>
      <c r="C955" s="121">
        <v>95018016</v>
      </c>
      <c r="D955" s="121">
        <v>95427126</v>
      </c>
      <c r="E955" s="121">
        <v>95190896</v>
      </c>
      <c r="F955" s="121">
        <v>94781786</v>
      </c>
      <c r="G955" s="121">
        <v>95190896</v>
      </c>
      <c r="H955" s="121">
        <v>94781786</v>
      </c>
    </row>
    <row r="956" spans="1:8">
      <c r="A956" s="114" t="s">
        <v>2669</v>
      </c>
      <c r="B956" s="114" t="s">
        <v>8997</v>
      </c>
      <c r="C956" s="121">
        <v>2638668043</v>
      </c>
      <c r="D956" s="121">
        <v>2705086224</v>
      </c>
      <c r="E956" s="121">
        <v>2705086224</v>
      </c>
      <c r="F956" s="121">
        <v>2638668043</v>
      </c>
      <c r="G956" s="121">
        <v>2705086224</v>
      </c>
      <c r="H956" s="121">
        <v>2638668043</v>
      </c>
    </row>
    <row r="957" spans="1:8">
      <c r="A957" s="114" t="s">
        <v>2670</v>
      </c>
      <c r="B957" s="114" t="s">
        <v>8998</v>
      </c>
      <c r="C957" s="121">
        <v>417864401</v>
      </c>
      <c r="D957" s="121">
        <v>425899609</v>
      </c>
      <c r="E957" s="121">
        <v>425899609</v>
      </c>
      <c r="F957" s="121">
        <v>417864401</v>
      </c>
      <c r="G957" s="121">
        <v>425899609</v>
      </c>
      <c r="H957" s="121">
        <v>417864401</v>
      </c>
    </row>
    <row r="958" spans="1:8">
      <c r="A958" s="114" t="s">
        <v>1987</v>
      </c>
      <c r="B958" s="114" t="s">
        <v>8999</v>
      </c>
      <c r="C958" s="121">
        <v>2249404758</v>
      </c>
      <c r="D958" s="121">
        <v>2334553959</v>
      </c>
      <c r="E958" s="121">
        <v>2297062363</v>
      </c>
      <c r="F958" s="121">
        <v>2211913162</v>
      </c>
      <c r="G958" s="121">
        <v>2297062363</v>
      </c>
      <c r="H958" s="121">
        <v>2211913162</v>
      </c>
    </row>
    <row r="959" spans="1:8">
      <c r="A959" s="114" t="s">
        <v>1713</v>
      </c>
      <c r="B959" s="114" t="s">
        <v>9000</v>
      </c>
      <c r="C959" s="121">
        <v>15889218667</v>
      </c>
      <c r="D959" s="121">
        <v>16136554583</v>
      </c>
      <c r="E959" s="121">
        <v>15822753342</v>
      </c>
      <c r="F959" s="121">
        <v>15575417426</v>
      </c>
      <c r="G959" s="121">
        <v>15822753342</v>
      </c>
      <c r="H959" s="121">
        <v>15575417426</v>
      </c>
    </row>
    <row r="960" spans="1:8">
      <c r="A960" s="114" t="s">
        <v>1043</v>
      </c>
      <c r="B960" s="114" t="s">
        <v>9001</v>
      </c>
      <c r="C960" s="121">
        <v>579584054</v>
      </c>
      <c r="D960" s="121">
        <v>580960359</v>
      </c>
      <c r="E960" s="121">
        <v>580100226</v>
      </c>
      <c r="F960" s="121">
        <v>578723921</v>
      </c>
      <c r="G960" s="121">
        <v>1230678166</v>
      </c>
      <c r="H960" s="121">
        <v>1229301861</v>
      </c>
    </row>
    <row r="961" spans="1:8">
      <c r="A961" s="114" t="s">
        <v>1044</v>
      </c>
      <c r="B961" s="114" t="s">
        <v>9002</v>
      </c>
      <c r="C961" s="121">
        <v>350891923</v>
      </c>
      <c r="D961" s="121">
        <v>360421493</v>
      </c>
      <c r="E961" s="121">
        <v>360421493</v>
      </c>
      <c r="F961" s="121">
        <v>350891923</v>
      </c>
      <c r="G961" s="121">
        <v>360421493</v>
      </c>
      <c r="H961" s="121">
        <v>350891923</v>
      </c>
    </row>
    <row r="962" spans="1:8">
      <c r="A962" s="114" t="s">
        <v>1045</v>
      </c>
      <c r="B962" s="114" t="s">
        <v>9003</v>
      </c>
      <c r="C962" s="121">
        <v>350865416</v>
      </c>
      <c r="D962" s="121">
        <v>360984028</v>
      </c>
      <c r="E962" s="121">
        <v>360984028</v>
      </c>
      <c r="F962" s="121">
        <v>350865416</v>
      </c>
      <c r="G962" s="121">
        <v>360984028</v>
      </c>
      <c r="H962" s="121">
        <v>350865416</v>
      </c>
    </row>
    <row r="963" spans="1:8">
      <c r="A963" s="114" t="s">
        <v>624</v>
      </c>
      <c r="B963" s="114" t="s">
        <v>9004</v>
      </c>
      <c r="C963" s="121">
        <v>1232069101</v>
      </c>
      <c r="D963" s="121">
        <v>1266817824</v>
      </c>
      <c r="E963" s="121">
        <v>1266817824</v>
      </c>
      <c r="F963" s="121">
        <v>1232069101</v>
      </c>
      <c r="G963" s="121">
        <v>1266817824</v>
      </c>
      <c r="H963" s="121">
        <v>1232069101</v>
      </c>
    </row>
    <row r="964" spans="1:8">
      <c r="A964" s="114" t="s">
        <v>1014</v>
      </c>
      <c r="B964" s="114" t="s">
        <v>9005</v>
      </c>
      <c r="C964" s="121">
        <v>1150254103</v>
      </c>
      <c r="D964" s="121">
        <v>1173353210</v>
      </c>
      <c r="E964" s="121">
        <v>1173353210</v>
      </c>
      <c r="F964" s="121">
        <v>1150254103</v>
      </c>
      <c r="G964" s="121">
        <v>1173353210</v>
      </c>
      <c r="H964" s="121">
        <v>1150254103</v>
      </c>
    </row>
    <row r="965" spans="1:8">
      <c r="A965" s="114" t="s">
        <v>1015</v>
      </c>
      <c r="B965" s="114" t="s">
        <v>9006</v>
      </c>
      <c r="C965" s="121">
        <v>262007167</v>
      </c>
      <c r="D965" s="121">
        <v>267666242</v>
      </c>
      <c r="E965" s="121">
        <v>267666242</v>
      </c>
      <c r="F965" s="121">
        <v>262007167</v>
      </c>
      <c r="G965" s="121">
        <v>267666242</v>
      </c>
      <c r="H965" s="121">
        <v>262007167</v>
      </c>
    </row>
    <row r="966" spans="1:8">
      <c r="A966" s="114" t="s">
        <v>1016</v>
      </c>
      <c r="B966" s="114" t="s">
        <v>9007</v>
      </c>
      <c r="C966" s="121">
        <v>128963580</v>
      </c>
      <c r="D966" s="121">
        <v>133724000</v>
      </c>
      <c r="E966" s="121">
        <v>133724000</v>
      </c>
      <c r="F966" s="121">
        <v>128963580</v>
      </c>
      <c r="G966" s="121">
        <v>133724000</v>
      </c>
      <c r="H966" s="121">
        <v>128963580</v>
      </c>
    </row>
    <row r="967" spans="1:8">
      <c r="A967" s="114" t="s">
        <v>1017</v>
      </c>
      <c r="B967" s="114" t="s">
        <v>9008</v>
      </c>
      <c r="C967" s="121">
        <v>284135795</v>
      </c>
      <c r="D967" s="121">
        <v>288027605</v>
      </c>
      <c r="E967" s="121">
        <v>288027605</v>
      </c>
      <c r="F967" s="121">
        <v>284135795</v>
      </c>
      <c r="G967" s="121">
        <v>288027605</v>
      </c>
      <c r="H967" s="121">
        <v>284135795</v>
      </c>
    </row>
    <row r="968" spans="1:8">
      <c r="A968" s="114" t="s">
        <v>1940</v>
      </c>
      <c r="B968" s="114" t="s">
        <v>9009</v>
      </c>
      <c r="C968" s="121">
        <v>603983670</v>
      </c>
      <c r="D968" s="121">
        <v>604326240</v>
      </c>
      <c r="E968" s="121">
        <v>604326240</v>
      </c>
      <c r="F968" s="121">
        <v>603983670</v>
      </c>
      <c r="G968" s="121">
        <v>604326240</v>
      </c>
      <c r="H968" s="121">
        <v>603983670</v>
      </c>
    </row>
    <row r="969" spans="1:8">
      <c r="A969" s="114" t="s">
        <v>2648</v>
      </c>
      <c r="B969" s="114" t="s">
        <v>9010</v>
      </c>
      <c r="C969" s="121">
        <v>1107778260</v>
      </c>
      <c r="D969" s="121">
        <v>1109555500</v>
      </c>
      <c r="E969" s="121">
        <v>1109555500</v>
      </c>
      <c r="F969" s="121">
        <v>1107778260</v>
      </c>
      <c r="G969" s="121">
        <v>1166573470</v>
      </c>
      <c r="H969" s="121">
        <v>1164796230</v>
      </c>
    </row>
    <row r="970" spans="1:8">
      <c r="A970" s="114" t="s">
        <v>996</v>
      </c>
      <c r="B970" s="114" t="s">
        <v>9011</v>
      </c>
      <c r="C970" s="121">
        <v>776542038</v>
      </c>
      <c r="D970" s="121">
        <v>807459322</v>
      </c>
      <c r="E970" s="121">
        <v>807459322</v>
      </c>
      <c r="F970" s="121">
        <v>776542038</v>
      </c>
      <c r="G970" s="121">
        <v>807459322</v>
      </c>
      <c r="H970" s="121">
        <v>776542038</v>
      </c>
    </row>
    <row r="971" spans="1:8">
      <c r="A971" s="114" t="s">
        <v>1424</v>
      </c>
      <c r="B971" s="114" t="s">
        <v>9012</v>
      </c>
      <c r="C971" s="121">
        <v>163343726</v>
      </c>
      <c r="D971" s="121">
        <v>168143059</v>
      </c>
      <c r="E971" s="121">
        <v>168143059</v>
      </c>
      <c r="F971" s="121">
        <v>163343726</v>
      </c>
      <c r="G971" s="121">
        <v>168143059</v>
      </c>
      <c r="H971" s="121">
        <v>163343726</v>
      </c>
    </row>
    <row r="972" spans="1:8">
      <c r="A972" s="114" t="s">
        <v>714</v>
      </c>
      <c r="B972" s="114" t="s">
        <v>9013</v>
      </c>
      <c r="C972" s="121">
        <v>550922894</v>
      </c>
      <c r="D972" s="121">
        <v>574743306</v>
      </c>
      <c r="E972" s="121">
        <v>574743306</v>
      </c>
      <c r="F972" s="121">
        <v>550922894</v>
      </c>
      <c r="G972" s="121">
        <v>574743306</v>
      </c>
      <c r="H972" s="121">
        <v>550922894</v>
      </c>
    </row>
    <row r="973" spans="1:8">
      <c r="A973" s="114" t="s">
        <v>2088</v>
      </c>
      <c r="B973" s="114" t="s">
        <v>9014</v>
      </c>
      <c r="C973" s="121">
        <v>4276917138</v>
      </c>
      <c r="D973" s="121">
        <v>4422735061</v>
      </c>
      <c r="E973" s="121">
        <v>4422735061</v>
      </c>
      <c r="F973" s="121">
        <v>4276917138</v>
      </c>
      <c r="G973" s="121">
        <v>4422735061</v>
      </c>
      <c r="H973" s="121">
        <v>4276917138</v>
      </c>
    </row>
    <row r="974" spans="1:8">
      <c r="A974" s="114" t="s">
        <v>626</v>
      </c>
      <c r="B974" s="114" t="s">
        <v>9015</v>
      </c>
      <c r="C974" s="121">
        <v>181871852</v>
      </c>
      <c r="D974" s="121">
        <v>190146362</v>
      </c>
      <c r="E974" s="121">
        <v>190146362</v>
      </c>
      <c r="F974" s="121">
        <v>181871852</v>
      </c>
      <c r="G974" s="121">
        <v>190146362</v>
      </c>
      <c r="H974" s="121">
        <v>181871852</v>
      </c>
    </row>
    <row r="975" spans="1:8">
      <c r="A975" s="114" t="s">
        <v>1534</v>
      </c>
      <c r="B975" s="114" t="s">
        <v>9016</v>
      </c>
      <c r="C975" s="121">
        <v>72096109</v>
      </c>
      <c r="D975" s="121">
        <v>72429799</v>
      </c>
      <c r="E975" s="121">
        <v>72429799</v>
      </c>
      <c r="F975" s="121">
        <v>72096109</v>
      </c>
      <c r="G975" s="121">
        <v>164787659</v>
      </c>
      <c r="H975" s="121">
        <v>164453969</v>
      </c>
    </row>
    <row r="976" spans="1:8">
      <c r="A976" s="114" t="s">
        <v>9</v>
      </c>
      <c r="B976" s="114" t="s">
        <v>9017</v>
      </c>
      <c r="C976" s="121">
        <v>885364193</v>
      </c>
      <c r="D976" s="121">
        <v>908370283</v>
      </c>
      <c r="E976" s="121">
        <v>908370283</v>
      </c>
      <c r="F976" s="121">
        <v>885364193</v>
      </c>
      <c r="G976" s="121">
        <v>1038673283</v>
      </c>
      <c r="H976" s="121">
        <v>1015667193</v>
      </c>
    </row>
    <row r="977" spans="1:8">
      <c r="A977" s="114" t="s">
        <v>10</v>
      </c>
      <c r="B977" s="114" t="s">
        <v>8110</v>
      </c>
      <c r="C977" s="121">
        <v>29856903</v>
      </c>
      <c r="D977" s="121">
        <v>30460733</v>
      </c>
      <c r="E977" s="121">
        <v>30460733</v>
      </c>
      <c r="F977" s="121">
        <v>29856903</v>
      </c>
      <c r="G977" s="121">
        <v>67115723</v>
      </c>
      <c r="H977" s="121">
        <v>66511893</v>
      </c>
    </row>
    <row r="978" spans="1:8">
      <c r="A978" s="114" t="s">
        <v>1695</v>
      </c>
      <c r="B978" s="114" t="s">
        <v>9018</v>
      </c>
      <c r="C978" s="121">
        <v>34711107</v>
      </c>
      <c r="D978" s="121">
        <v>36830902</v>
      </c>
      <c r="E978" s="121">
        <v>36830902</v>
      </c>
      <c r="F978" s="121">
        <v>34711107</v>
      </c>
      <c r="G978" s="121">
        <v>36830902</v>
      </c>
      <c r="H978" s="121">
        <v>34711107</v>
      </c>
    </row>
    <row r="979" spans="1:8">
      <c r="A979" s="114" t="s">
        <v>2387</v>
      </c>
      <c r="B979" s="114" t="s">
        <v>9019</v>
      </c>
      <c r="C979" s="121">
        <v>217285131</v>
      </c>
      <c r="D979" s="121">
        <v>227445362</v>
      </c>
      <c r="E979" s="121">
        <v>227445362</v>
      </c>
      <c r="F979" s="121">
        <v>217285131</v>
      </c>
      <c r="G979" s="121">
        <v>600733942</v>
      </c>
      <c r="H979" s="121">
        <v>590573711</v>
      </c>
    </row>
    <row r="980" spans="1:8">
      <c r="A980" s="114" t="s">
        <v>465</v>
      </c>
      <c r="B980" s="114" t="s">
        <v>9020</v>
      </c>
      <c r="C980" s="121">
        <v>266055513</v>
      </c>
      <c r="D980" s="121">
        <v>279964813</v>
      </c>
      <c r="E980" s="121">
        <v>279964813</v>
      </c>
      <c r="F980" s="121">
        <v>266055513</v>
      </c>
      <c r="G980" s="121">
        <v>346550813</v>
      </c>
      <c r="H980" s="121">
        <v>332641513</v>
      </c>
    </row>
    <row r="981" spans="1:8">
      <c r="A981" s="114" t="s">
        <v>308</v>
      </c>
      <c r="B981" s="114" t="s">
        <v>9021</v>
      </c>
      <c r="C981" s="121">
        <v>93648274</v>
      </c>
      <c r="D981" s="121">
        <v>95886007</v>
      </c>
      <c r="E981" s="121">
        <v>95886007</v>
      </c>
      <c r="F981" s="121">
        <v>93648274</v>
      </c>
      <c r="G981" s="121">
        <v>120998427</v>
      </c>
      <c r="H981" s="121">
        <v>118760694</v>
      </c>
    </row>
    <row r="982" spans="1:8">
      <c r="A982" s="114" t="s">
        <v>1514</v>
      </c>
      <c r="B982" s="114" t="s">
        <v>9022</v>
      </c>
      <c r="C982" s="121">
        <v>352859962</v>
      </c>
      <c r="D982" s="121">
        <v>363934498</v>
      </c>
      <c r="E982" s="121">
        <v>363934498</v>
      </c>
      <c r="F982" s="121">
        <v>352859962</v>
      </c>
      <c r="G982" s="121">
        <v>363934498</v>
      </c>
      <c r="H982" s="121">
        <v>352859962</v>
      </c>
    </row>
    <row r="983" spans="1:8">
      <c r="A983" s="114" t="s">
        <v>2975</v>
      </c>
      <c r="B983" s="114" t="s">
        <v>9023</v>
      </c>
      <c r="C983" s="121">
        <v>8832639033</v>
      </c>
      <c r="D983" s="121">
        <v>9037531553</v>
      </c>
      <c r="E983" s="121">
        <v>9037531553</v>
      </c>
      <c r="F983" s="121">
        <v>8832639033</v>
      </c>
      <c r="G983" s="121">
        <v>9037531553</v>
      </c>
      <c r="H983" s="121">
        <v>8832639033</v>
      </c>
    </row>
    <row r="984" spans="1:8">
      <c r="A984" s="114" t="s">
        <v>2038</v>
      </c>
      <c r="B984" s="114" t="s">
        <v>9024</v>
      </c>
      <c r="C984" s="121">
        <v>144185038</v>
      </c>
      <c r="D984" s="121">
        <v>150277282</v>
      </c>
      <c r="E984" s="121">
        <v>150277282</v>
      </c>
      <c r="F984" s="121">
        <v>144185038</v>
      </c>
      <c r="G984" s="121">
        <v>150277282</v>
      </c>
      <c r="H984" s="121">
        <v>144185038</v>
      </c>
    </row>
    <row r="985" spans="1:8">
      <c r="A985" s="114" t="s">
        <v>47</v>
      </c>
      <c r="B985" s="114" t="s">
        <v>9025</v>
      </c>
      <c r="C985" s="121">
        <v>2728126134</v>
      </c>
      <c r="D985" s="121">
        <v>2801674596</v>
      </c>
      <c r="E985" s="121">
        <v>2801674596</v>
      </c>
      <c r="F985" s="121">
        <v>2728126134</v>
      </c>
      <c r="G985" s="121">
        <v>2801674596</v>
      </c>
      <c r="H985" s="121">
        <v>2728126134</v>
      </c>
    </row>
    <row r="986" spans="1:8">
      <c r="A986" s="114" t="s">
        <v>11</v>
      </c>
      <c r="B986" s="114" t="s">
        <v>9026</v>
      </c>
      <c r="C986" s="121">
        <v>1059209629</v>
      </c>
      <c r="D986" s="121">
        <v>1093900659</v>
      </c>
      <c r="E986" s="121">
        <v>1093900659</v>
      </c>
      <c r="F986" s="121">
        <v>1059209629</v>
      </c>
      <c r="G986" s="121">
        <v>1093900659</v>
      </c>
      <c r="H986" s="121">
        <v>1059209629</v>
      </c>
    </row>
    <row r="987" spans="1:8">
      <c r="A987" s="114" t="s">
        <v>1990</v>
      </c>
      <c r="B987" s="114" t="s">
        <v>9027</v>
      </c>
      <c r="C987" s="121">
        <v>1972348130</v>
      </c>
      <c r="D987" s="121">
        <v>2013097268</v>
      </c>
      <c r="E987" s="121">
        <v>2013097268</v>
      </c>
      <c r="F987" s="121">
        <v>1972348130</v>
      </c>
      <c r="G987" s="121">
        <v>2013097268</v>
      </c>
      <c r="H987" s="121">
        <v>1972348130</v>
      </c>
    </row>
    <row r="988" spans="1:8">
      <c r="A988" s="114" t="s">
        <v>1485</v>
      </c>
      <c r="B988" s="114" t="s">
        <v>9028</v>
      </c>
      <c r="C988" s="121">
        <v>33040316424</v>
      </c>
      <c r="D988" s="121">
        <v>33556410331</v>
      </c>
      <c r="E988" s="121">
        <v>33556410331</v>
      </c>
      <c r="F988" s="121">
        <v>33040316424</v>
      </c>
      <c r="G988" s="121">
        <v>33556410331</v>
      </c>
      <c r="H988" s="121">
        <v>33040316424</v>
      </c>
    </row>
    <row r="989" spans="1:8">
      <c r="A989" s="114" t="s">
        <v>1738</v>
      </c>
      <c r="B989" s="114" t="s">
        <v>9029</v>
      </c>
      <c r="C989" s="121">
        <v>1009778685</v>
      </c>
      <c r="D989" s="121">
        <v>1044369055</v>
      </c>
      <c r="E989" s="121">
        <v>1044369055</v>
      </c>
      <c r="F989" s="121">
        <v>1009778685</v>
      </c>
      <c r="G989" s="121">
        <v>1044369055</v>
      </c>
      <c r="H989" s="121">
        <v>1009778685</v>
      </c>
    </row>
    <row r="990" spans="1:8">
      <c r="A990" s="114" t="s">
        <v>1708</v>
      </c>
      <c r="B990" s="114" t="s">
        <v>9030</v>
      </c>
      <c r="C990" s="121">
        <v>225470545</v>
      </c>
      <c r="D990" s="121">
        <v>233248518</v>
      </c>
      <c r="E990" s="121">
        <v>233248518</v>
      </c>
      <c r="F990" s="121">
        <v>225470545</v>
      </c>
      <c r="G990" s="121">
        <v>233248518</v>
      </c>
      <c r="H990" s="121">
        <v>225470545</v>
      </c>
    </row>
    <row r="991" spans="1:8">
      <c r="A991" s="114" t="s">
        <v>1988</v>
      </c>
      <c r="B991" s="114" t="s">
        <v>9031</v>
      </c>
      <c r="C991" s="121">
        <v>22343652670</v>
      </c>
      <c r="D991" s="121">
        <v>22757684395</v>
      </c>
      <c r="E991" s="121">
        <v>22757684395</v>
      </c>
      <c r="F991" s="121">
        <v>22343652670</v>
      </c>
      <c r="G991" s="121">
        <v>22757684395</v>
      </c>
      <c r="H991" s="121">
        <v>22343652670</v>
      </c>
    </row>
    <row r="992" spans="1:8">
      <c r="A992" s="114" t="s">
        <v>12</v>
      </c>
      <c r="B992" s="114" t="s">
        <v>9032</v>
      </c>
      <c r="C992" s="121">
        <v>70059736</v>
      </c>
      <c r="D992" s="121">
        <v>72449814</v>
      </c>
      <c r="E992" s="121">
        <v>72449814</v>
      </c>
      <c r="F992" s="121">
        <v>70059736</v>
      </c>
      <c r="G992" s="121">
        <v>72449814</v>
      </c>
      <c r="H992" s="121">
        <v>70059736</v>
      </c>
    </row>
    <row r="993" spans="1:8">
      <c r="A993" s="114" t="s">
        <v>2814</v>
      </c>
      <c r="B993" s="114" t="s">
        <v>9033</v>
      </c>
      <c r="C993" s="121">
        <v>1265281751</v>
      </c>
      <c r="D993" s="121">
        <v>1314682197</v>
      </c>
      <c r="E993" s="121">
        <v>1314682197</v>
      </c>
      <c r="F993" s="121">
        <v>1265281751</v>
      </c>
      <c r="G993" s="121">
        <v>1314682197</v>
      </c>
      <c r="H993" s="121">
        <v>1265281751</v>
      </c>
    </row>
    <row r="994" spans="1:8">
      <c r="A994" s="114" t="s">
        <v>66</v>
      </c>
      <c r="B994" s="114" t="s">
        <v>9034</v>
      </c>
      <c r="C994" s="121">
        <v>1043607762</v>
      </c>
      <c r="D994" s="121">
        <v>1082594233</v>
      </c>
      <c r="E994" s="121">
        <v>1082594233</v>
      </c>
      <c r="F994" s="121">
        <v>1043607762</v>
      </c>
      <c r="G994" s="121">
        <v>1082594233</v>
      </c>
      <c r="H994" s="121">
        <v>1043607762</v>
      </c>
    </row>
    <row r="995" spans="1:8">
      <c r="A995" s="114" t="s">
        <v>2815</v>
      </c>
      <c r="B995" s="114" t="s">
        <v>9035</v>
      </c>
      <c r="C995" s="121">
        <v>316007570</v>
      </c>
      <c r="D995" s="121">
        <v>324446116</v>
      </c>
      <c r="E995" s="121">
        <v>324446116</v>
      </c>
      <c r="F995" s="121">
        <v>316007570</v>
      </c>
      <c r="G995" s="121">
        <v>324446116</v>
      </c>
      <c r="H995" s="121">
        <v>316007570</v>
      </c>
    </row>
    <row r="996" spans="1:8">
      <c r="A996" s="114" t="s">
        <v>1705</v>
      </c>
      <c r="B996" s="114" t="s">
        <v>9036</v>
      </c>
      <c r="C996" s="121">
        <v>200212391</v>
      </c>
      <c r="D996" s="121">
        <v>208679075</v>
      </c>
      <c r="E996" s="121">
        <v>208679075</v>
      </c>
      <c r="F996" s="121">
        <v>200212391</v>
      </c>
      <c r="G996" s="121">
        <v>208679075</v>
      </c>
      <c r="H996" s="121">
        <v>200212391</v>
      </c>
    </row>
    <row r="997" spans="1:8">
      <c r="A997" s="114" t="s">
        <v>1339</v>
      </c>
      <c r="B997" s="114" t="s">
        <v>9037</v>
      </c>
      <c r="C997" s="121">
        <v>584690369</v>
      </c>
      <c r="D997" s="121">
        <v>596859525</v>
      </c>
      <c r="E997" s="121">
        <v>589422811</v>
      </c>
      <c r="F997" s="121">
        <v>577253655</v>
      </c>
      <c r="G997" s="121">
        <v>664256921</v>
      </c>
      <c r="H997" s="121">
        <v>652087765</v>
      </c>
    </row>
    <row r="998" spans="1:8">
      <c r="A998" s="114" t="s">
        <v>1340</v>
      </c>
      <c r="B998" s="114" t="s">
        <v>9038</v>
      </c>
      <c r="C998" s="121">
        <v>2558033514</v>
      </c>
      <c r="D998" s="121">
        <v>2559997440</v>
      </c>
      <c r="E998" s="121">
        <v>2559049239</v>
      </c>
      <c r="F998" s="121">
        <v>2557085313</v>
      </c>
      <c r="G998" s="121">
        <v>2559049239</v>
      </c>
      <c r="H998" s="121">
        <v>2557085313</v>
      </c>
    </row>
    <row r="999" spans="1:8">
      <c r="A999" s="114" t="s">
        <v>224</v>
      </c>
      <c r="B999" s="114" t="s">
        <v>9039</v>
      </c>
      <c r="C999" s="121">
        <v>340717665</v>
      </c>
      <c r="D999" s="121">
        <v>349068007</v>
      </c>
      <c r="E999" s="121">
        <v>349068007</v>
      </c>
      <c r="F999" s="121">
        <v>340717665</v>
      </c>
      <c r="G999" s="121">
        <v>349068007</v>
      </c>
      <c r="H999" s="121">
        <v>340717665</v>
      </c>
    </row>
    <row r="1000" spans="1:8">
      <c r="A1000" s="114" t="s">
        <v>904</v>
      </c>
      <c r="B1000" s="114" t="s">
        <v>9040</v>
      </c>
      <c r="C1000" s="121">
        <v>564264598</v>
      </c>
      <c r="D1000" s="121">
        <v>577064073</v>
      </c>
      <c r="E1000" s="121">
        <v>577064073</v>
      </c>
      <c r="F1000" s="121">
        <v>564264598</v>
      </c>
      <c r="G1000" s="121">
        <v>577064073</v>
      </c>
      <c r="H1000" s="121">
        <v>564264598</v>
      </c>
    </row>
    <row r="1001" spans="1:8">
      <c r="A1001" s="114" t="s">
        <v>2491</v>
      </c>
      <c r="B1001" s="114" t="s">
        <v>9041</v>
      </c>
      <c r="C1001" s="121">
        <v>1276662476</v>
      </c>
      <c r="D1001" s="121">
        <v>1299260535</v>
      </c>
      <c r="E1001" s="121">
        <v>1293290738</v>
      </c>
      <c r="F1001" s="121">
        <v>1270692679</v>
      </c>
      <c r="G1001" s="121">
        <v>1293290738</v>
      </c>
      <c r="H1001" s="121">
        <v>1270692679</v>
      </c>
    </row>
    <row r="1002" spans="1:8">
      <c r="A1002" s="114" t="s">
        <v>2780</v>
      </c>
      <c r="B1002" s="114" t="s">
        <v>9042</v>
      </c>
      <c r="C1002" s="121">
        <v>548935428</v>
      </c>
      <c r="D1002" s="121">
        <v>556084757</v>
      </c>
      <c r="E1002" s="121">
        <v>556084757</v>
      </c>
      <c r="F1002" s="121">
        <v>548935428</v>
      </c>
      <c r="G1002" s="121">
        <v>556084757</v>
      </c>
      <c r="H1002" s="121">
        <v>548935428</v>
      </c>
    </row>
    <row r="1003" spans="1:8">
      <c r="A1003" s="114" t="s">
        <v>2781</v>
      </c>
      <c r="B1003" s="114" t="s">
        <v>9043</v>
      </c>
      <c r="C1003" s="121">
        <v>1918473226</v>
      </c>
      <c r="D1003" s="121">
        <v>1951299121</v>
      </c>
      <c r="E1003" s="121">
        <v>1951299121</v>
      </c>
      <c r="F1003" s="121">
        <v>1918473226</v>
      </c>
      <c r="G1003" s="121">
        <v>1951299121</v>
      </c>
      <c r="H1003" s="121">
        <v>1918473226</v>
      </c>
    </row>
    <row r="1004" spans="1:8">
      <c r="A1004" s="114" t="s">
        <v>2302</v>
      </c>
      <c r="B1004" s="114" t="s">
        <v>9044</v>
      </c>
      <c r="C1004" s="121">
        <v>388899058</v>
      </c>
      <c r="D1004" s="121">
        <v>400133091</v>
      </c>
      <c r="E1004" s="121">
        <v>400133091</v>
      </c>
      <c r="F1004" s="121">
        <v>388899058</v>
      </c>
      <c r="G1004" s="121">
        <v>400133091</v>
      </c>
      <c r="H1004" s="121">
        <v>388899058</v>
      </c>
    </row>
    <row r="1005" spans="1:8">
      <c r="A1005" s="114" t="s">
        <v>1314</v>
      </c>
      <c r="B1005" s="114" t="s">
        <v>9045</v>
      </c>
      <c r="C1005" s="121">
        <v>240439754</v>
      </c>
      <c r="D1005" s="121">
        <v>244270429</v>
      </c>
      <c r="E1005" s="121">
        <v>238410793</v>
      </c>
      <c r="F1005" s="121">
        <v>234580118</v>
      </c>
      <c r="G1005" s="121">
        <v>238410793</v>
      </c>
      <c r="H1005" s="121">
        <v>234580118</v>
      </c>
    </row>
    <row r="1006" spans="1:8">
      <c r="A1006" s="114" t="s">
        <v>2548</v>
      </c>
      <c r="B1006" s="114" t="s">
        <v>9046</v>
      </c>
      <c r="C1006" s="121">
        <v>593352843</v>
      </c>
      <c r="D1006" s="121">
        <v>605572749</v>
      </c>
      <c r="E1006" s="121">
        <v>605572749</v>
      </c>
      <c r="F1006" s="121">
        <v>593352843</v>
      </c>
      <c r="G1006" s="121">
        <v>605572749</v>
      </c>
      <c r="H1006" s="121">
        <v>593352843</v>
      </c>
    </row>
    <row r="1007" spans="1:8">
      <c r="A1007" s="114" t="s">
        <v>2549</v>
      </c>
      <c r="B1007" s="114" t="s">
        <v>9047</v>
      </c>
      <c r="C1007" s="121">
        <v>491448488</v>
      </c>
      <c r="D1007" s="121">
        <v>512814970</v>
      </c>
      <c r="E1007" s="121">
        <v>512814970</v>
      </c>
      <c r="F1007" s="121">
        <v>491448488</v>
      </c>
      <c r="G1007" s="121">
        <v>512814970</v>
      </c>
      <c r="H1007" s="121">
        <v>491448488</v>
      </c>
    </row>
    <row r="1008" spans="1:8">
      <c r="A1008" s="114" t="s">
        <v>2970</v>
      </c>
      <c r="B1008" s="114" t="s">
        <v>9048</v>
      </c>
      <c r="C1008" s="121">
        <v>393606979</v>
      </c>
      <c r="D1008" s="121">
        <v>414865406</v>
      </c>
      <c r="E1008" s="121">
        <v>414865406</v>
      </c>
      <c r="F1008" s="121">
        <v>393606979</v>
      </c>
      <c r="G1008" s="121">
        <v>414865406</v>
      </c>
      <c r="H1008" s="121">
        <v>393606979</v>
      </c>
    </row>
    <row r="1009" spans="1:8">
      <c r="A1009" s="114" t="s">
        <v>2971</v>
      </c>
      <c r="B1009" s="114" t="s">
        <v>9049</v>
      </c>
      <c r="C1009" s="121">
        <v>300699934</v>
      </c>
      <c r="D1009" s="121">
        <v>310695626</v>
      </c>
      <c r="E1009" s="121">
        <v>310695626</v>
      </c>
      <c r="F1009" s="121">
        <v>300699934</v>
      </c>
      <c r="G1009" s="121">
        <v>310695626</v>
      </c>
      <c r="H1009" s="121">
        <v>300699934</v>
      </c>
    </row>
    <row r="1010" spans="1:8">
      <c r="A1010" s="114" t="s">
        <v>705</v>
      </c>
      <c r="B1010" s="114" t="s">
        <v>9050</v>
      </c>
      <c r="C1010" s="121">
        <v>253087885</v>
      </c>
      <c r="D1010" s="121">
        <v>267331578</v>
      </c>
      <c r="E1010" s="121">
        <v>267331578</v>
      </c>
      <c r="F1010" s="121">
        <v>253087885</v>
      </c>
      <c r="G1010" s="121">
        <v>267331578</v>
      </c>
      <c r="H1010" s="121">
        <v>253087885</v>
      </c>
    </row>
    <row r="1011" spans="1:8">
      <c r="A1011" s="114" t="s">
        <v>777</v>
      </c>
      <c r="B1011" s="114" t="s">
        <v>9051</v>
      </c>
      <c r="C1011" s="121">
        <v>465953970</v>
      </c>
      <c r="D1011" s="121">
        <v>486117571</v>
      </c>
      <c r="E1011" s="121">
        <v>486117571</v>
      </c>
      <c r="F1011" s="121">
        <v>465953970</v>
      </c>
      <c r="G1011" s="121">
        <v>486117571</v>
      </c>
      <c r="H1011" s="121">
        <v>465953970</v>
      </c>
    </row>
    <row r="1012" spans="1:8">
      <c r="A1012" s="114" t="s">
        <v>778</v>
      </c>
      <c r="B1012" s="114" t="s">
        <v>9052</v>
      </c>
      <c r="C1012" s="121">
        <v>1350533594</v>
      </c>
      <c r="D1012" s="121">
        <v>1361615901</v>
      </c>
      <c r="E1012" s="121">
        <v>1356495532</v>
      </c>
      <c r="F1012" s="121">
        <v>1345413225</v>
      </c>
      <c r="G1012" s="121">
        <v>1356495532</v>
      </c>
      <c r="H1012" s="121">
        <v>1345413225</v>
      </c>
    </row>
    <row r="1013" spans="1:8">
      <c r="A1013" s="114" t="s">
        <v>1660</v>
      </c>
      <c r="B1013" s="114" t="s">
        <v>9053</v>
      </c>
      <c r="C1013" s="121">
        <v>667903012</v>
      </c>
      <c r="D1013" s="121">
        <v>671739850</v>
      </c>
      <c r="E1013" s="121">
        <v>667964744</v>
      </c>
      <c r="F1013" s="121">
        <v>664127906</v>
      </c>
      <c r="G1013" s="121">
        <v>667964744</v>
      </c>
      <c r="H1013" s="121">
        <v>664127906</v>
      </c>
    </row>
    <row r="1014" spans="1:8">
      <c r="A1014" s="114" t="s">
        <v>1020</v>
      </c>
      <c r="B1014" s="114" t="s">
        <v>9054</v>
      </c>
      <c r="C1014" s="121">
        <v>679018342</v>
      </c>
      <c r="D1014" s="121">
        <v>707770645</v>
      </c>
      <c r="E1014" s="121">
        <v>707770645</v>
      </c>
      <c r="F1014" s="121">
        <v>679018342</v>
      </c>
      <c r="G1014" s="121">
        <v>719890317</v>
      </c>
      <c r="H1014" s="121">
        <v>691138014</v>
      </c>
    </row>
    <row r="1015" spans="1:8">
      <c r="A1015" s="114" t="s">
        <v>1661</v>
      </c>
      <c r="B1015" s="114" t="s">
        <v>9055</v>
      </c>
      <c r="C1015" s="121">
        <v>64813504</v>
      </c>
      <c r="D1015" s="121">
        <v>66125994</v>
      </c>
      <c r="E1015" s="121">
        <v>66125994</v>
      </c>
      <c r="F1015" s="121">
        <v>64813504</v>
      </c>
      <c r="G1015" s="121">
        <v>66125994</v>
      </c>
      <c r="H1015" s="121">
        <v>64813504</v>
      </c>
    </row>
    <row r="1016" spans="1:8">
      <c r="A1016" s="114" t="s">
        <v>1696</v>
      </c>
      <c r="B1016" s="114" t="s">
        <v>9056</v>
      </c>
      <c r="C1016" s="121">
        <v>232357698</v>
      </c>
      <c r="D1016" s="121">
        <v>239346657</v>
      </c>
      <c r="E1016" s="121">
        <v>239346657</v>
      </c>
      <c r="F1016" s="121">
        <v>232357698</v>
      </c>
      <c r="G1016" s="121">
        <v>410464647</v>
      </c>
      <c r="H1016" s="121">
        <v>403475688</v>
      </c>
    </row>
    <row r="1017" spans="1:8">
      <c r="A1017" s="114" t="s">
        <v>556</v>
      </c>
      <c r="B1017" s="114" t="s">
        <v>9057</v>
      </c>
      <c r="C1017" s="121">
        <v>1080317658</v>
      </c>
      <c r="D1017" s="121">
        <v>1108198714</v>
      </c>
      <c r="E1017" s="121">
        <v>1084606151</v>
      </c>
      <c r="F1017" s="121">
        <v>1056725095</v>
      </c>
      <c r="G1017" s="121">
        <v>1084606151</v>
      </c>
      <c r="H1017" s="121">
        <v>1056725095</v>
      </c>
    </row>
    <row r="1018" spans="1:8">
      <c r="A1018" s="114" t="s">
        <v>2760</v>
      </c>
      <c r="B1018" s="114" t="s">
        <v>9058</v>
      </c>
      <c r="C1018" s="121">
        <v>683048973</v>
      </c>
      <c r="D1018" s="121">
        <v>694996054</v>
      </c>
      <c r="E1018" s="121">
        <v>694996054</v>
      </c>
      <c r="F1018" s="121">
        <v>683048973</v>
      </c>
      <c r="G1018" s="121">
        <v>694996054</v>
      </c>
      <c r="H1018" s="121">
        <v>683048973</v>
      </c>
    </row>
    <row r="1019" spans="1:8">
      <c r="A1019" s="114" t="s">
        <v>1901</v>
      </c>
      <c r="B1019" s="114" t="s">
        <v>9059</v>
      </c>
      <c r="C1019" s="121">
        <v>100386616</v>
      </c>
      <c r="D1019" s="121">
        <v>103272285</v>
      </c>
      <c r="E1019" s="121">
        <v>103272285</v>
      </c>
      <c r="F1019" s="121">
        <v>100386616</v>
      </c>
      <c r="G1019" s="121">
        <v>103272285</v>
      </c>
      <c r="H1019" s="121">
        <v>100386616</v>
      </c>
    </row>
    <row r="1020" spans="1:8">
      <c r="C1020" s="121">
        <f>SUM(C2:C1019)</f>
        <v>2396143107612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97"/>
  <sheetViews>
    <sheetView workbookViewId="0">
      <selection activeCell="F17" sqref="F17"/>
    </sheetView>
  </sheetViews>
  <sheetFormatPr defaultRowHeight="12.75"/>
  <cols>
    <col min="1" max="1" width="4.28515625" customWidth="1"/>
    <col min="2" max="2" width="9.42578125" customWidth="1"/>
    <col min="3" max="3" width="1.7109375" customWidth="1"/>
    <col min="4" max="4" width="12.7109375" customWidth="1"/>
    <col min="5" max="5" width="28.42578125" customWidth="1"/>
    <col min="6" max="6" width="14.7109375" customWidth="1"/>
    <col min="7" max="7" width="2.7109375" customWidth="1"/>
    <col min="8" max="8" width="14.7109375" customWidth="1"/>
  </cols>
  <sheetData>
    <row r="1" spans="1:8">
      <c r="A1" s="23" t="s">
        <v>78</v>
      </c>
      <c r="D1" s="1185">
        <f>'Data Entry - SOF'!B1</f>
        <v>0</v>
      </c>
      <c r="H1" s="83" t="s">
        <v>557</v>
      </c>
    </row>
    <row r="2" spans="1:8">
      <c r="A2" s="23" t="s">
        <v>1624</v>
      </c>
      <c r="D2" s="85">
        <f>'Data Entry - SOF'!B2</f>
        <v>0</v>
      </c>
      <c r="H2" s="83" t="e">
        <f>IFA!#REF!</f>
        <v>#REF!</v>
      </c>
    </row>
    <row r="3" spans="1:8">
      <c r="A3" s="23" t="s">
        <v>164</v>
      </c>
      <c r="D3" s="73">
        <f ca="1">'Data Entry - SOF'!B3</f>
        <v>43146.631174305556</v>
      </c>
      <c r="H3" s="82">
        <f>'Data Entry - SOF'!C3</f>
        <v>0</v>
      </c>
    </row>
    <row r="5" spans="1:8" ht="12.75" customHeight="1">
      <c r="C5" s="38" t="s">
        <v>82</v>
      </c>
    </row>
    <row r="6" spans="1:8" ht="12.75" customHeight="1">
      <c r="C6" s="38" t="s">
        <v>1466</v>
      </c>
      <c r="E6" s="38" t="s">
        <v>2117</v>
      </c>
    </row>
    <row r="7" spans="1:8" ht="12.75" customHeight="1">
      <c r="C7" s="38"/>
    </row>
    <row r="8" spans="1:8" ht="12.75" customHeight="1">
      <c r="A8" t="s">
        <v>2634</v>
      </c>
      <c r="C8" s="38"/>
    </row>
    <row r="9" spans="1:8" ht="12.75" customHeight="1">
      <c r="A9" t="s">
        <v>1491</v>
      </c>
      <c r="C9" s="38"/>
    </row>
    <row r="10" spans="1:8" ht="12.75" customHeight="1">
      <c r="A10" t="s">
        <v>1443</v>
      </c>
      <c r="C10" s="38"/>
    </row>
    <row r="11" spans="1:8" ht="12.75" customHeight="1">
      <c r="A11" t="s">
        <v>2158</v>
      </c>
      <c r="C11" s="38"/>
    </row>
    <row r="12" spans="1:8" ht="12.75" customHeight="1">
      <c r="C12" s="38"/>
    </row>
    <row r="13" spans="1:8" ht="12.75" customHeight="1">
      <c r="C13" s="38"/>
      <c r="D13" s="72" t="s">
        <v>124</v>
      </c>
    </row>
    <row r="14" spans="1:8" ht="12.75" customHeight="1">
      <c r="A14" s="38"/>
      <c r="D14" t="s">
        <v>2025</v>
      </c>
    </row>
    <row r="15" spans="1:8" ht="12.75" customHeight="1">
      <c r="A15" s="38"/>
      <c r="D15" t="s">
        <v>125</v>
      </c>
      <c r="F15" s="75" t="s">
        <v>1934</v>
      </c>
      <c r="H15" s="75" t="s">
        <v>1935</v>
      </c>
    </row>
    <row r="16" spans="1:8" ht="12.75" customHeight="1">
      <c r="A16" s="76" t="s">
        <v>1936</v>
      </c>
      <c r="B16" t="s">
        <v>1930</v>
      </c>
      <c r="D16" s="165" t="e">
        <f>VLOOKUP(D2,#REF!,4,FALSE)</f>
        <v>#REF!</v>
      </c>
      <c r="F16" s="74"/>
      <c r="H16" s="74"/>
    </row>
    <row r="17" spans="1:8" ht="12.75" customHeight="1">
      <c r="A17" s="38"/>
      <c r="B17" s="60"/>
      <c r="E17" t="s">
        <v>1859</v>
      </c>
      <c r="F17" s="78" t="e">
        <f>IF(VLOOKUP(D2,#REF!,3,FALSE)="L",0,VLOOKUP(D2,#REF!,5,FALSE))</f>
        <v>#REF!</v>
      </c>
      <c r="H17" s="78" t="e">
        <f>IF(VLOOKUP(D2,#REF!,3,FALSE)="B",0,VLOOKUP(D2,#REF!,5,FALSE))</f>
        <v>#REF!</v>
      </c>
    </row>
    <row r="18" spans="1:8" ht="12.75" customHeight="1">
      <c r="A18" s="38"/>
      <c r="E18" s="60" t="s">
        <v>2635</v>
      </c>
      <c r="F18" s="78" t="e">
        <f>IF(VLOOKUP(D2,#REF!,3,FALSE)="L",0,VLOOKUP(D2,#REF!,6,FALSE))</f>
        <v>#REF!</v>
      </c>
      <c r="H18" s="78" t="e">
        <f>IF(VLOOKUP(D2,#REF!,3,FALSE)="B",0,VLOOKUP(D2,#REF!,6,FALSE))</f>
        <v>#REF!</v>
      </c>
    </row>
    <row r="19" spans="1:8" ht="12.75" customHeight="1">
      <c r="A19" s="38"/>
      <c r="E19" t="s">
        <v>228</v>
      </c>
      <c r="F19" s="79" t="e">
        <f>IF(F17&lt;F18,F17,F18)</f>
        <v>#REF!</v>
      </c>
      <c r="H19" s="79" t="e">
        <f>IF(H17&lt;H18,H17,H18)</f>
        <v>#REF!</v>
      </c>
    </row>
    <row r="20" spans="1:8" ht="12.75" customHeight="1">
      <c r="A20" s="76" t="s">
        <v>1937</v>
      </c>
      <c r="B20" t="s">
        <v>1931</v>
      </c>
      <c r="D20" s="165" t="e">
        <f>VLOOKUP(D2,#REF!,4,FALSE)</f>
        <v>#REF!</v>
      </c>
      <c r="F20" s="74"/>
      <c r="H20" s="74"/>
    </row>
    <row r="21" spans="1:8" ht="12.75" customHeight="1">
      <c r="A21" s="38"/>
      <c r="B21" s="60"/>
      <c r="E21" t="s">
        <v>1859</v>
      </c>
      <c r="F21" s="78" t="e">
        <f>IF(VLOOKUP(D2,#REF!,3,FALSE)="L",0,VLOOKUP(D2,#REF!,5,FALSE))</f>
        <v>#REF!</v>
      </c>
      <c r="H21" s="78" t="e">
        <f>IF(VLOOKUP(D2,#REF!,3,FALSE)="B",0,VLOOKUP(D2,#REF!,5,FALSE))</f>
        <v>#REF!</v>
      </c>
    </row>
    <row r="22" spans="1:8" ht="12.75" customHeight="1">
      <c r="A22" s="38"/>
      <c r="E22" s="60" t="s">
        <v>2635</v>
      </c>
      <c r="F22" s="78" t="e">
        <f>IF(VLOOKUP(D2,#REF!,3,FALSE)="L",0,VLOOKUP(D2,#REF!,6,FALSE))</f>
        <v>#REF!</v>
      </c>
      <c r="H22" s="78" t="e">
        <f>IF(VLOOKUP(D2,#REF!,3,FALSE)="B",0,VLOOKUP(D2,#REF!,6,FALSE))</f>
        <v>#REF!</v>
      </c>
    </row>
    <row r="23" spans="1:8" ht="12.75" customHeight="1">
      <c r="A23" s="38"/>
      <c r="E23" t="s">
        <v>228</v>
      </c>
      <c r="F23" s="79" t="e">
        <f>IF(F21&lt;F22,F21,F22)</f>
        <v>#REF!</v>
      </c>
      <c r="H23" s="79" t="e">
        <f>IF(H21&lt;H22,H21,H22)</f>
        <v>#REF!</v>
      </c>
    </row>
    <row r="24" spans="1:8" ht="12.75" customHeight="1">
      <c r="A24" s="76" t="s">
        <v>1938</v>
      </c>
      <c r="B24" t="s">
        <v>2600</v>
      </c>
      <c r="D24" s="165" t="e">
        <f>VLOOKUP(D2,#REF!,4,FALSE)</f>
        <v>#REF!</v>
      </c>
      <c r="F24" s="74"/>
      <c r="H24" s="74"/>
    </row>
    <row r="25" spans="1:8" ht="12.75" customHeight="1">
      <c r="A25" s="38"/>
      <c r="B25" s="60"/>
      <c r="E25" t="s">
        <v>1859</v>
      </c>
      <c r="F25" s="78" t="e">
        <f>IF(VLOOKUP(D2,#REF!,3,FALSE)="L",0,VLOOKUP(D2,#REF!,5,FALSE))</f>
        <v>#REF!</v>
      </c>
      <c r="H25" s="78" t="e">
        <f>IF(VLOOKUP(D2,#REF!,3,FALSE)="B",0,VLOOKUP(D2,#REF!,5,FALSE))</f>
        <v>#REF!</v>
      </c>
    </row>
    <row r="26" spans="1:8" ht="12.75" customHeight="1">
      <c r="A26" s="38"/>
      <c r="E26" s="60" t="s">
        <v>2635</v>
      </c>
      <c r="F26" s="78" t="e">
        <f>IF(VLOOKUP(D2,#REF!,3,FALSE)="L",0,VLOOKUP(D2,#REF!,6,FALSE))</f>
        <v>#REF!</v>
      </c>
      <c r="H26" s="78" t="e">
        <f>IF(VLOOKUP(D2,#REF!,3,FALSE)="B",0,VLOOKUP(D2,#REF!,6,FALSE))</f>
        <v>#REF!</v>
      </c>
    </row>
    <row r="27" spans="1:8" ht="12.75" customHeight="1">
      <c r="A27" s="38"/>
      <c r="E27" t="s">
        <v>228</v>
      </c>
      <c r="F27" s="79" t="e">
        <f>IF(F25&lt;F26,F25,F26)</f>
        <v>#REF!</v>
      </c>
      <c r="H27" s="79" t="e">
        <f>IF(H25&lt;H26,H25,H26)</f>
        <v>#REF!</v>
      </c>
    </row>
    <row r="28" spans="1:8" ht="12.75" customHeight="1">
      <c r="A28" s="76" t="s">
        <v>1939</v>
      </c>
      <c r="B28" t="s">
        <v>851</v>
      </c>
      <c r="D28" s="165" t="e">
        <f>VLOOKUP(D2,#REF!,4,FALSE)</f>
        <v>#REF!</v>
      </c>
      <c r="F28" s="74"/>
      <c r="H28" s="74"/>
    </row>
    <row r="29" spans="1:8" ht="12.75" customHeight="1">
      <c r="A29" s="38"/>
      <c r="B29" s="60"/>
      <c r="E29" t="s">
        <v>1859</v>
      </c>
      <c r="F29" s="78" t="e">
        <f>IF(VLOOKUP(D2,#REF!,3,FALSE)="L",0,VLOOKUP(D2,#REF!,5,FALSE))</f>
        <v>#REF!</v>
      </c>
      <c r="H29" s="78" t="e">
        <f>IF(VLOOKUP(D2,#REF!,3,FALSE)="B",0,VLOOKUP(D2,#REF!,5,FALSE))</f>
        <v>#REF!</v>
      </c>
    </row>
    <row r="30" spans="1:8" ht="12.75" customHeight="1">
      <c r="A30" s="38"/>
      <c r="E30" s="60" t="s">
        <v>2635</v>
      </c>
      <c r="F30" s="78" t="e">
        <f>IF(VLOOKUP(D2,#REF!,3,FALSE)="L",0,VLOOKUP(D2,#REF!,6,FALSE))</f>
        <v>#REF!</v>
      </c>
      <c r="H30" s="78" t="e">
        <f>IF(VLOOKUP(D2,#REF!,3,FALSE)="B",0,VLOOKUP(D2,#REF!,6,FALSE))</f>
        <v>#REF!</v>
      </c>
    </row>
    <row r="31" spans="1:8" ht="12.75" customHeight="1">
      <c r="A31" s="38"/>
      <c r="E31" t="s">
        <v>228</v>
      </c>
      <c r="F31" s="79" t="e">
        <f>IF(F29&lt;F30,F29,F30)</f>
        <v>#REF!</v>
      </c>
      <c r="H31" s="79" t="e">
        <f>IF(H29&lt;H30,H29,H30)</f>
        <v>#REF!</v>
      </c>
    </row>
    <row r="32" spans="1:8" ht="12.75" customHeight="1">
      <c r="A32" s="76" t="s">
        <v>2919</v>
      </c>
      <c r="B32" t="s">
        <v>2920</v>
      </c>
      <c r="D32" s="165" t="e">
        <f>VLOOKUP(D2,#REF!,4,FALSE)</f>
        <v>#REF!</v>
      </c>
      <c r="F32" s="74"/>
      <c r="H32" s="74"/>
    </row>
    <row r="33" spans="1:8" ht="12.75" customHeight="1">
      <c r="A33" s="38"/>
      <c r="B33" s="60"/>
      <c r="E33" t="s">
        <v>1859</v>
      </c>
      <c r="F33" s="78" t="e">
        <f>IF(VLOOKUP(D2,#REF!,3,FALSE)="L",0,VLOOKUP(D2,#REF!,5,FALSE))</f>
        <v>#REF!</v>
      </c>
      <c r="H33" s="78" t="e">
        <f>IF(VLOOKUP(D2,#REF!,3,FALSE)="B",0,VLOOKUP(D2,#REF!,5,FALSE))</f>
        <v>#REF!</v>
      </c>
    </row>
    <row r="34" spans="1:8" ht="12.75" customHeight="1">
      <c r="A34" s="38"/>
      <c r="E34" s="60" t="s">
        <v>2635</v>
      </c>
      <c r="F34" s="78" t="e">
        <f>IF(VLOOKUP(D2,#REF!,3,FALSE)="L",0,VLOOKUP(D2,#REF!,6,FALSE))</f>
        <v>#REF!</v>
      </c>
      <c r="H34" s="78" t="e">
        <f>IF(VLOOKUP(D2,#REF!,3,FALSE)="B",0,VLOOKUP(D2,#REF!,6,FALSE))</f>
        <v>#REF!</v>
      </c>
    </row>
    <row r="35" spans="1:8" ht="12.75" customHeight="1">
      <c r="A35" s="38"/>
      <c r="E35" t="s">
        <v>228</v>
      </c>
      <c r="F35" s="79" t="e">
        <f>IF(F33&lt;F34,F33,F34)</f>
        <v>#REF!</v>
      </c>
      <c r="H35" s="79" t="e">
        <f>IF(H33&lt;H34,H33,H34)</f>
        <v>#REF!</v>
      </c>
    </row>
    <row r="36" spans="1:8" ht="12.75" customHeight="1">
      <c r="A36" s="76" t="s">
        <v>1844</v>
      </c>
      <c r="B36" t="s">
        <v>2445</v>
      </c>
      <c r="D36" s="165" t="e">
        <f>VLOOKUP(D2,#REF!,4,FALSE)</f>
        <v>#REF!</v>
      </c>
      <c r="F36" s="74"/>
      <c r="H36" s="74"/>
    </row>
    <row r="37" spans="1:8" ht="12.75" customHeight="1">
      <c r="A37" s="38"/>
      <c r="B37" s="60"/>
      <c r="E37" t="s">
        <v>1859</v>
      </c>
      <c r="F37" s="78" t="e">
        <f>IF(VLOOKUP(D2,#REF!,3,FALSE)="L",0,VLOOKUP(D2,#REF!,5,FALSE))</f>
        <v>#REF!</v>
      </c>
      <c r="H37" s="78" t="e">
        <f>IF(VLOOKUP(D2,#REF!,3,FALSE)="B",0,VLOOKUP(D2,#REF!,5,FALSE))</f>
        <v>#REF!</v>
      </c>
    </row>
    <row r="38" spans="1:8" ht="12.75" customHeight="1">
      <c r="A38" s="38"/>
      <c r="E38" s="60" t="s">
        <v>2635</v>
      </c>
      <c r="F38" s="78" t="e">
        <f>IF(VLOOKUP(D2,#REF!,3,FALSE)="L",0,VLOOKUP(D2,#REF!,6,FALSE))</f>
        <v>#REF!</v>
      </c>
      <c r="H38" s="78" t="e">
        <f>IF(VLOOKUP(D2,#REF!,3,FALSE)="B",0,VLOOKUP(D2,#REF!,6,FALSE))</f>
        <v>#REF!</v>
      </c>
    </row>
    <row r="39" spans="1:8" ht="12.75" customHeight="1">
      <c r="A39" s="38"/>
      <c r="E39" t="s">
        <v>228</v>
      </c>
      <c r="F39" s="79" t="e">
        <f>IF(F37&lt;F38,F37,F38)</f>
        <v>#REF!</v>
      </c>
      <c r="H39" s="79" t="e">
        <f>IF(H37&lt;H38,H37,H38)</f>
        <v>#REF!</v>
      </c>
    </row>
    <row r="40" spans="1:8" ht="12.75" customHeight="1">
      <c r="A40" s="76" t="s">
        <v>1845</v>
      </c>
      <c r="B40" t="s">
        <v>2446</v>
      </c>
      <c r="D40" s="165" t="e">
        <f>VLOOKUP(D2,#REF!,4,FALSE)</f>
        <v>#REF!</v>
      </c>
      <c r="F40" s="74"/>
      <c r="H40" s="74"/>
    </row>
    <row r="41" spans="1:8" ht="12.75" customHeight="1">
      <c r="A41" s="38"/>
      <c r="B41" s="60"/>
      <c r="E41" t="s">
        <v>1859</v>
      </c>
      <c r="F41" s="78" t="e">
        <f>IF(VLOOKUP(D2,#REF!,3,FALSE)="L",0,VLOOKUP(D2,#REF!,5,FALSE))</f>
        <v>#REF!</v>
      </c>
      <c r="H41" s="78" t="e">
        <f>IF(VLOOKUP(D2,#REF!,3,FALSE)="B",0,VLOOKUP(D2,#REF!,5,FALSE))</f>
        <v>#REF!</v>
      </c>
    </row>
    <row r="42" spans="1:8" ht="12.75" customHeight="1">
      <c r="A42" s="38"/>
      <c r="E42" s="60" t="s">
        <v>2635</v>
      </c>
      <c r="F42" s="78" t="e">
        <f>IF(VLOOKUP(D2,#REF!,3,FALSE)="L",0,VLOOKUP(D2,#REF!,6,FALSE))</f>
        <v>#REF!</v>
      </c>
      <c r="H42" s="78" t="e">
        <f>IF(VLOOKUP(D2,#REF!,3,FALSE)="B",0,VLOOKUP(D2,#REF!,6,FALSE))</f>
        <v>#REF!</v>
      </c>
    </row>
    <row r="43" spans="1:8" ht="12.75" customHeight="1">
      <c r="A43" s="38"/>
      <c r="E43" t="s">
        <v>228</v>
      </c>
      <c r="F43" s="79" t="e">
        <f>IF(F41&lt;F42,F41,F42)</f>
        <v>#REF!</v>
      </c>
      <c r="H43" s="79" t="e">
        <f>IF(H41&lt;H42,H41,H42)</f>
        <v>#REF!</v>
      </c>
    </row>
    <row r="44" spans="1:8" ht="12.75" customHeight="1">
      <c r="A44" s="76" t="s">
        <v>2632</v>
      </c>
      <c r="B44" t="s">
        <v>2633</v>
      </c>
      <c r="D44" s="165" t="e">
        <f>VLOOKUP(D2,#REF!,4,FALSE)</f>
        <v>#REF!</v>
      </c>
      <c r="F44" s="74"/>
      <c r="H44" s="74"/>
    </row>
    <row r="45" spans="1:8" ht="12.75" customHeight="1">
      <c r="A45" s="38"/>
      <c r="B45" s="60"/>
      <c r="E45" t="s">
        <v>1859</v>
      </c>
      <c r="F45" s="78" t="e">
        <f>IF(VLOOKUP(D2,#REF!,3,FALSE)="L",0,VLOOKUP(D2,#REF!,5,FALSE))</f>
        <v>#REF!</v>
      </c>
      <c r="H45" s="78" t="e">
        <f>IF(VLOOKUP(D2,#REF!,3,FALSE)="B",0,VLOOKUP(D2,#REF!,5,FALSE))</f>
        <v>#REF!</v>
      </c>
    </row>
    <row r="46" spans="1:8" ht="12.75" customHeight="1">
      <c r="A46" s="38"/>
      <c r="E46" s="60" t="s">
        <v>2635</v>
      </c>
      <c r="F46" s="78" t="e">
        <f>IF(VLOOKUP(D2,#REF!,3,FALSE)="L",0,VLOOKUP(D2,#REF!,6,FALSE))</f>
        <v>#REF!</v>
      </c>
      <c r="H46" s="78" t="e">
        <f>IF(VLOOKUP(D2,#REF!,3,FALSE)="B",0,VLOOKUP(D2,#REF!,6,FALSE))</f>
        <v>#REF!</v>
      </c>
    </row>
    <row r="47" spans="1:8" ht="12.75" customHeight="1">
      <c r="A47" s="38"/>
      <c r="E47" t="s">
        <v>228</v>
      </c>
      <c r="F47" s="79" t="e">
        <f>IF(F45&lt;F46,F45,F46)</f>
        <v>#REF!</v>
      </c>
      <c r="H47" s="79" t="e">
        <f>IF(H45&lt;H46,H45,H46)</f>
        <v>#REF!</v>
      </c>
    </row>
    <row r="48" spans="1:8" ht="12.75" customHeight="1">
      <c r="A48" s="76" t="s">
        <v>2799</v>
      </c>
      <c r="B48" t="s">
        <v>912</v>
      </c>
      <c r="D48" s="165" t="e">
        <f>VLOOKUP(D6,#REF!,4,FALSE)</f>
        <v>#REF!</v>
      </c>
      <c r="F48" s="74"/>
      <c r="H48" s="74"/>
    </row>
    <row r="49" spans="1:8" ht="12.75" customHeight="1">
      <c r="A49" s="38"/>
      <c r="B49" s="60"/>
      <c r="E49" t="s">
        <v>1859</v>
      </c>
      <c r="F49" s="78" t="e">
        <f>IF(VLOOKUP(D2,#REF!,3,FALSE)="L",0,VLOOKUP(D2,#REF!,5,FALSE))</f>
        <v>#REF!</v>
      </c>
      <c r="H49" s="78" t="e">
        <f>IF(VLOOKUP(D2,#REF!,3,FALSE)="B",0,VLOOKUP(D2,#REF!,5,FALSE))</f>
        <v>#REF!</v>
      </c>
    </row>
    <row r="50" spans="1:8" ht="12.75" customHeight="1">
      <c r="A50" s="38"/>
      <c r="E50" s="60" t="s">
        <v>2635</v>
      </c>
      <c r="F50" s="78" t="e">
        <f>IF(VLOOKUP(D2,#REF!,3,FALSE)="L",0,VLOOKUP(D2,#REF!,6,FALSE))</f>
        <v>#REF!</v>
      </c>
      <c r="H50" s="78" t="e">
        <f>IF(VLOOKUP(D2,#REF!,3,FALSE)="B",0,VLOOKUP(D2,#REF!,6,FALSE))</f>
        <v>#REF!</v>
      </c>
    </row>
    <row r="51" spans="1:8" ht="12.75" customHeight="1">
      <c r="A51" s="38"/>
      <c r="E51" t="s">
        <v>228</v>
      </c>
      <c r="F51" s="79" t="e">
        <f>IF(F49&lt;F50,F49,F50)</f>
        <v>#REF!</v>
      </c>
      <c r="H51" s="79" t="e">
        <f>IF(H49&lt;H50,H49,H50)</f>
        <v>#REF!</v>
      </c>
    </row>
    <row r="52" spans="1:8" ht="12.75" customHeight="1">
      <c r="A52" s="38"/>
      <c r="F52" s="81"/>
      <c r="H52" s="81"/>
    </row>
    <row r="53" spans="1:8" ht="12.75" customHeight="1">
      <c r="A53" s="38"/>
      <c r="E53" t="s">
        <v>3385</v>
      </c>
      <c r="F53" s="78" t="e">
        <f>(VLOOKUP(D2,#REF!,4,FALSE))</f>
        <v>#REF!</v>
      </c>
      <c r="H53" s="78" t="e">
        <f>(VLOOKUP(D2,#REF!,5,FALSE))</f>
        <v>#REF!</v>
      </c>
    </row>
    <row r="54" spans="1:8" ht="12.75" customHeight="1">
      <c r="A54" s="38"/>
      <c r="F54" s="81"/>
      <c r="H54" s="81"/>
    </row>
    <row r="55" spans="1:8" ht="12.75" customHeight="1">
      <c r="A55" s="38"/>
      <c r="F55" s="81"/>
      <c r="H55" s="81"/>
    </row>
    <row r="56" spans="1:8" ht="12.75" customHeight="1">
      <c r="A56" s="38"/>
      <c r="F56" s="81"/>
      <c r="H56" s="81"/>
    </row>
    <row r="57" spans="1:8" ht="12.75" customHeight="1">
      <c r="A57" s="40" t="s">
        <v>2502</v>
      </c>
      <c r="B57" t="s">
        <v>115</v>
      </c>
      <c r="F57" s="80" t="e">
        <f>IF('Data Entry - SOF'!#REF!&lt;400,400,'Data Entry - SOF'!#REF!)</f>
        <v>#REF!</v>
      </c>
      <c r="H57" s="80" t="e">
        <f>IF('Data Entry - SOF'!#REF!&lt;400,400,'Data Entry - SOF'!#REF!)</f>
        <v>#REF!</v>
      </c>
    </row>
    <row r="58" spans="1:8" ht="12.75" customHeight="1">
      <c r="A58" s="40"/>
    </row>
    <row r="59" spans="1:8" ht="12.75" customHeight="1">
      <c r="A59" s="40" t="s">
        <v>2503</v>
      </c>
      <c r="B59" t="s">
        <v>2882</v>
      </c>
      <c r="F59" s="9" t="e">
        <f>'Data Entry - SOF'!#REF!</f>
        <v>#REF!</v>
      </c>
      <c r="H59" s="9" t="e">
        <f>'Data Entry - SOF'!#REF!</f>
        <v>#REF!</v>
      </c>
    </row>
    <row r="60" spans="1:8" ht="12.75" customHeight="1">
      <c r="A60" s="38"/>
    </row>
    <row r="61" spans="1:8" ht="12.75" customHeight="1">
      <c r="A61" s="77" t="s">
        <v>1026</v>
      </c>
      <c r="B61" s="57"/>
      <c r="C61" s="57"/>
      <c r="D61" s="58"/>
    </row>
    <row r="62" spans="1:8" ht="12.75" customHeight="1">
      <c r="A62" s="38"/>
    </row>
    <row r="63" spans="1:8">
      <c r="A63" s="53" t="s">
        <v>1024</v>
      </c>
      <c r="B63" t="s">
        <v>941</v>
      </c>
      <c r="F63" s="11" t="e">
        <f>F19+F23+F27+F31+F35+F39+F43+F47+F51</f>
        <v>#REF!</v>
      </c>
      <c r="H63" s="11" t="e">
        <f>H19+H23+H27+H31+H35+H39+H43+H47+H51</f>
        <v>#REF!</v>
      </c>
    </row>
    <row r="64" spans="1:8">
      <c r="A64" s="40"/>
      <c r="F64" s="5"/>
    </row>
    <row r="65" spans="1:8">
      <c r="A65" s="53" t="s">
        <v>1025</v>
      </c>
      <c r="B65" t="s">
        <v>1301</v>
      </c>
      <c r="F65" s="11" t="e">
        <f>F59/10000</f>
        <v>#REF!</v>
      </c>
      <c r="H65" s="11" t="e">
        <f>H59/10000</f>
        <v>#REF!</v>
      </c>
    </row>
    <row r="66" spans="1:8">
      <c r="A66" s="40"/>
      <c r="F66" s="5"/>
    </row>
    <row r="67" spans="1:8">
      <c r="A67" s="53" t="s">
        <v>1027</v>
      </c>
      <c r="B67" t="s">
        <v>1007</v>
      </c>
      <c r="F67" s="44" t="e">
        <f>F65/F57</f>
        <v>#REF!</v>
      </c>
      <c r="H67" s="44" t="e">
        <f>H65/H57</f>
        <v>#REF!</v>
      </c>
    </row>
    <row r="68" spans="1:8">
      <c r="A68" s="40"/>
      <c r="F68" s="5"/>
    </row>
    <row r="69" spans="1:8">
      <c r="A69" s="53" t="s">
        <v>1028</v>
      </c>
      <c r="B69" t="s">
        <v>1008</v>
      </c>
      <c r="F69" s="44" t="e">
        <f>IF(F67&gt;35,0,35-F67)</f>
        <v>#REF!</v>
      </c>
      <c r="H69" s="44" t="e">
        <f>IF(H67&gt;35,0,35-H67)</f>
        <v>#REF!</v>
      </c>
    </row>
    <row r="70" spans="1:8">
      <c r="A70" s="40"/>
      <c r="F70" s="45"/>
    </row>
    <row r="71" spans="1:8">
      <c r="A71" s="53" t="s">
        <v>1029</v>
      </c>
      <c r="B71" t="s">
        <v>3075</v>
      </c>
      <c r="F71" s="44" t="e">
        <f>IF(F69=0,0,F69/35)</f>
        <v>#REF!</v>
      </c>
      <c r="H71" s="44" t="e">
        <f>IF(H69=0,0,H69/35)</f>
        <v>#REF!</v>
      </c>
    </row>
    <row r="72" spans="1:8">
      <c r="A72" s="40"/>
    </row>
    <row r="73" spans="1:8">
      <c r="A73" s="53" t="s">
        <v>139</v>
      </c>
      <c r="B73" t="s">
        <v>1929</v>
      </c>
      <c r="F73" s="11" t="e">
        <f>F71*F63</f>
        <v>#REF!</v>
      </c>
      <c r="H73" s="11" t="e">
        <f>H71*H63</f>
        <v>#REF!</v>
      </c>
    </row>
    <row r="74" spans="1:8">
      <c r="A74" s="40"/>
      <c r="F74" s="43"/>
      <c r="H74" s="43"/>
    </row>
    <row r="75" spans="1:8">
      <c r="A75" s="53" t="s">
        <v>140</v>
      </c>
      <c r="B75" s="40" t="s">
        <v>2196</v>
      </c>
      <c r="C75" s="40"/>
      <c r="D75" s="40"/>
      <c r="E75" s="40"/>
      <c r="F75" s="54" t="e">
        <f>F63-F73</f>
        <v>#REF!</v>
      </c>
      <c r="G75" s="40"/>
      <c r="H75" s="54" t="e">
        <f>H63-H73</f>
        <v>#REF!</v>
      </c>
    </row>
    <row r="76" spans="1:8">
      <c r="A76" s="53"/>
      <c r="B76" s="40"/>
      <c r="C76" s="40"/>
      <c r="D76" s="40"/>
      <c r="E76" s="40"/>
      <c r="F76" s="43"/>
      <c r="G76" s="40"/>
      <c r="H76" s="43"/>
    </row>
    <row r="77" spans="1:8">
      <c r="A77" s="53" t="s">
        <v>141</v>
      </c>
      <c r="B77" t="s">
        <v>2197</v>
      </c>
      <c r="F77" s="55" t="e">
        <f>(F63/35/F57/100)</f>
        <v>#REF!</v>
      </c>
      <c r="H77" s="55" t="e">
        <f>(H63/35/H57/100)</f>
        <v>#REF!</v>
      </c>
    </row>
    <row r="92" spans="4:6">
      <c r="D92" s="64" t="s">
        <v>1959</v>
      </c>
      <c r="F92" s="70" t="e">
        <v>#N/A</v>
      </c>
    </row>
    <row r="93" spans="4:6">
      <c r="D93" s="64" t="s">
        <v>2443</v>
      </c>
      <c r="F93" s="70" t="e">
        <v>#N/A</v>
      </c>
    </row>
    <row r="94" spans="4:6">
      <c r="D94" s="64" t="s">
        <v>2444</v>
      </c>
      <c r="F94" s="70" t="e">
        <v>#N/A</v>
      </c>
    </row>
    <row r="95" spans="4:6">
      <c r="D95" s="64" t="s">
        <v>1156</v>
      </c>
      <c r="F95" s="70" t="e">
        <v>#N/A</v>
      </c>
    </row>
    <row r="96" spans="4:6">
      <c r="D96" s="64" t="s">
        <v>637</v>
      </c>
      <c r="F96" s="70" t="e">
        <v>#N/A</v>
      </c>
    </row>
    <row r="97" spans="4:6">
      <c r="D97" s="64" t="s">
        <v>415</v>
      </c>
      <c r="F97" s="70" t="e">
        <v>#N/A</v>
      </c>
    </row>
  </sheetData>
  <phoneticPr fontId="0" type="noConversion"/>
  <pageMargins left="0.25" right="0.25" top="0.5" bottom="0.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5" sqref="D5"/>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49" customWidth="1"/>
    <col min="15" max="15" width="13.7109375" customWidth="1"/>
    <col min="37" max="37" width="15.5703125" customWidth="1"/>
    <col min="38" max="38" width="16" customWidth="1"/>
  </cols>
  <sheetData>
    <row r="1" spans="1:8">
      <c r="A1" s="23" t="s">
        <v>78</v>
      </c>
      <c r="C1" s="873">
        <f>'Data Entry - SOF'!B1</f>
        <v>0</v>
      </c>
      <c r="D1" s="35"/>
      <c r="E1" s="1031"/>
      <c r="G1" s="1502"/>
      <c r="H1" s="83"/>
    </row>
    <row r="2" spans="1:8">
      <c r="A2" s="23" t="s">
        <v>79</v>
      </c>
      <c r="C2" s="15">
        <f>'Data Entry - SOF'!B2</f>
        <v>0</v>
      </c>
      <c r="G2" s="83"/>
      <c r="H2" s="83"/>
    </row>
    <row r="3" spans="1:8">
      <c r="A3" s="23" t="s">
        <v>164</v>
      </c>
      <c r="C3" s="87">
        <f ca="1">'Data Entry - SOF'!B3</f>
        <v>43146.631174305556</v>
      </c>
      <c r="G3" s="82"/>
    </row>
    <row r="4" spans="1:8">
      <c r="D4" s="916" t="s">
        <v>3733</v>
      </c>
    </row>
    <row r="5" spans="1:8">
      <c r="D5" s="917" t="s">
        <v>3741</v>
      </c>
    </row>
    <row r="7" spans="1:8">
      <c r="D7" s="23" t="s">
        <v>1573</v>
      </c>
    </row>
    <row r="8" spans="1:8">
      <c r="B8" s="4"/>
      <c r="D8" s="23" t="s">
        <v>942</v>
      </c>
      <c r="F8" s="22">
        <f>'Calc Data-SB1'!C7</f>
        <v>0</v>
      </c>
      <c r="G8" s="22"/>
      <c r="H8" s="21"/>
    </row>
    <row r="9" spans="1:8">
      <c r="D9" s="23" t="s">
        <v>1574</v>
      </c>
      <c r="F9" s="22">
        <f>'Calc Data-SB1'!C8</f>
        <v>0</v>
      </c>
      <c r="G9" s="22"/>
      <c r="H9" s="21"/>
    </row>
    <row r="10" spans="1:8">
      <c r="D10" s="23" t="s">
        <v>466</v>
      </c>
      <c r="F10" s="22">
        <f>'Data Entry - SOF'!C32</f>
        <v>0</v>
      </c>
      <c r="G10" s="22"/>
      <c r="H10" s="21"/>
    </row>
    <row r="11" spans="1:8">
      <c r="B11" s="23"/>
      <c r="D11" s="23" t="s">
        <v>467</v>
      </c>
      <c r="F11" s="22">
        <f>'Calc Data-SB1'!C10</f>
        <v>0</v>
      </c>
      <c r="G11" s="22"/>
      <c r="H11" s="21"/>
    </row>
    <row r="12" spans="1:8">
      <c r="D12" s="23" t="s">
        <v>468</v>
      </c>
      <c r="F12" s="19">
        <f>'Data Entry - SOF'!C48</f>
        <v>0</v>
      </c>
      <c r="G12" s="19"/>
      <c r="H12" s="19"/>
    </row>
    <row r="13" spans="1:8">
      <c r="D13" s="23" t="s">
        <v>469</v>
      </c>
      <c r="F13" s="1715" t="s">
        <v>4435</v>
      </c>
      <c r="G13" s="19"/>
      <c r="H13" s="19"/>
    </row>
    <row r="14" spans="1:8">
      <c r="D14" s="23" t="s">
        <v>2055</v>
      </c>
      <c r="F14" s="22">
        <f>'Data Entry - SOF'!C112</f>
        <v>0</v>
      </c>
      <c r="G14" s="22"/>
      <c r="H14" s="19"/>
    </row>
    <row r="15" spans="1:8">
      <c r="D15" s="23" t="s">
        <v>1319</v>
      </c>
      <c r="F15" s="22">
        <f>'Calc Data-SB1'!C59</f>
        <v>0</v>
      </c>
      <c r="G15" s="22"/>
      <c r="H15" s="20"/>
    </row>
    <row r="16" spans="1:8">
      <c r="D16" s="23" t="s">
        <v>2233</v>
      </c>
      <c r="F16" s="19">
        <f>'Data Entry - SOF'!C59</f>
        <v>0</v>
      </c>
      <c r="G16" s="19"/>
      <c r="H16" s="19"/>
    </row>
    <row r="17" spans="2:37" ht="13.5" thickBot="1">
      <c r="D17" s="31"/>
      <c r="E17" s="13"/>
      <c r="F17" s="13"/>
      <c r="G17" s="35"/>
      <c r="H17" s="32"/>
    </row>
    <row r="18" spans="2:37" ht="13.5" thickTop="1">
      <c r="D18" s="34"/>
      <c r="E18" s="35"/>
      <c r="F18" s="35"/>
      <c r="G18" s="35"/>
      <c r="H18" s="32"/>
    </row>
    <row r="19" spans="2:37" ht="15.75" hidden="1">
      <c r="D19" s="23"/>
      <c r="E19" s="973" t="s">
        <v>108</v>
      </c>
      <c r="F19" s="972" t="e">
        <f>IF(#REF!="y","ASATR DIST","FORMULA DIST")</f>
        <v>#REF!</v>
      </c>
      <c r="G19" s="1503"/>
      <c r="H19" s="23"/>
      <c r="AK19" t="s">
        <v>2630</v>
      </c>
    </row>
    <row r="20" spans="2:37" ht="15.75">
      <c r="B20" s="28" t="s">
        <v>470</v>
      </c>
      <c r="D20" s="23"/>
      <c r="F20" s="1505" t="s">
        <v>510</v>
      </c>
      <c r="G20" s="1505" t="s">
        <v>3732</v>
      </c>
      <c r="H20" s="23"/>
    </row>
    <row r="21" spans="2:37" ht="15.75">
      <c r="B21" s="28">
        <v>11</v>
      </c>
      <c r="D21" s="132" t="s">
        <v>3738</v>
      </c>
      <c r="F21" s="945">
        <f>ROUND(ROUND('Calc Data-SB1'!T9,0)*IF('Calc Data-SB1'!C11&gt;'Calc Data-SB1'!C10,'Calc Data-SB1'!C11,'Calc Data-SB1'!C10),0)</f>
        <v>0</v>
      </c>
      <c r="G21" s="945">
        <f>ROUND(ROUND('Calc Data-SB1'!U9,0)*IF('Calc Data-SB1'!C11&gt;'Calc Data-SB1'!C10,'Calc Data-SB1'!C11,'Calc Data-SB1'!C10),0)*Weights!C4</f>
        <v>0</v>
      </c>
      <c r="H21" s="19"/>
      <c r="I21" s="109" t="s">
        <v>971</v>
      </c>
      <c r="AK21" s="19" t="e">
        <f>ROUND(ROUND('Calc Data-SB1'!AB23,0)*IF('Calc Data-SB1'!#REF!&gt;'Calc Data-SB1'!#REF!,'Calc Data-SB1'!#REF!,'Calc Data-SB1'!#REF!),0)</f>
        <v>#REF!</v>
      </c>
    </row>
    <row r="22" spans="2:37">
      <c r="B22" s="28">
        <v>23</v>
      </c>
      <c r="D22" s="23" t="s">
        <v>102</v>
      </c>
      <c r="F22" s="19">
        <f>ROUND('Calc Data-SB1'!C9*ROUND('Calc Data-SB1'!T9,0),0)</f>
        <v>0</v>
      </c>
      <c r="G22" s="19">
        <f>ROUND('Calc Data-SB1'!C9*ROUND('Calc Data-SB1'!U9,0),0)</f>
        <v>0</v>
      </c>
      <c r="H22" s="19"/>
      <c r="AK22" s="19" t="e">
        <f>ROUND('Calc Data-SB1'!#REF!*ROUND('Calc Data-SB1'!AB23,0),0)</f>
        <v>#REF!</v>
      </c>
    </row>
    <row r="23" spans="2:37">
      <c r="B23" s="28"/>
      <c r="D23" s="23" t="s">
        <v>103</v>
      </c>
    </row>
    <row r="24" spans="2:37">
      <c r="B24" s="28">
        <v>23</v>
      </c>
      <c r="D24" s="23" t="s">
        <v>104</v>
      </c>
      <c r="F24" s="30">
        <f>ROUND('Data Entry - SOF'!C31*Weights!C21*ROUND('Calc Data-SB1'!T9,0),0)</f>
        <v>0</v>
      </c>
      <c r="G24" s="30">
        <f>ROUND('Data Entry - SOF'!C31*Weights!C21*ROUND('Calc Data-SB1'!U9,0),0)</f>
        <v>0</v>
      </c>
      <c r="H24" s="30"/>
      <c r="AK24" s="30">
        <f>ROUND('Data Entry - SOF'!C31*1.1*ROUND('Calc Data-SB1'!AB23,0),0)</f>
        <v>0</v>
      </c>
    </row>
    <row r="25" spans="2:37">
      <c r="B25" s="28">
        <v>23</v>
      </c>
      <c r="D25" s="23" t="s">
        <v>105</v>
      </c>
      <c r="F25" s="19">
        <f>ROUND((+'Data Entry - SOF'!C29*Weights!C19)*ROUND('Calc Data-SB1'!T9,0),0)</f>
        <v>0</v>
      </c>
      <c r="G25" s="19">
        <f>ROUND((+'Data Entry - SOF'!C29*Weights!C19)*ROUND('Calc Data-SB1'!U9,0),0)</f>
        <v>0</v>
      </c>
      <c r="H25" s="19"/>
      <c r="AK25" s="19">
        <f>ROUND((+'Data Entry - SOF'!C29*4)*ROUND('Calc Data-SB1'!AB23,0),0)</f>
        <v>0</v>
      </c>
    </row>
    <row r="26" spans="2:37">
      <c r="B26" s="28">
        <v>23</v>
      </c>
      <c r="D26" s="25" t="s">
        <v>919</v>
      </c>
      <c r="F26" s="19">
        <f>ROUND((+'Data Entry - SOF'!C27*Weights!C17)*ROUND('Calc Data-SB1'!T9,0),0)</f>
        <v>0</v>
      </c>
      <c r="G26" s="19">
        <f>ROUND((+'Data Entry - SOF'!C27*Weights!C17)*ROUND('Calc Data-SB1'!U9,0),0)</f>
        <v>0</v>
      </c>
      <c r="H26" s="19"/>
      <c r="AK26" s="19">
        <f>ROUND((+'Data Entry - SOF'!C27*2.8)*ROUND('Calc Data-SB1'!AB23,0),0)</f>
        <v>0</v>
      </c>
    </row>
    <row r="27" spans="2:37">
      <c r="B27" s="28">
        <v>23</v>
      </c>
      <c r="D27" s="25" t="s">
        <v>920</v>
      </c>
      <c r="F27" s="19">
        <f>ROUND(('Data Entry - SOF'!C28*Weights!C18)*ROUND('Calc Data-SB1'!T9,0),0)</f>
        <v>0</v>
      </c>
      <c r="G27" s="19">
        <f>ROUND(('Data Entry - SOF'!C28*Weights!C18)*ROUND('Calc Data-SB1'!U9,0),0)</f>
        <v>0</v>
      </c>
      <c r="H27" s="19"/>
      <c r="AK27" s="19">
        <f>ROUND(('Data Entry - SOF'!C28*1.7)*ROUND('Calc Data-SB1'!AB23,0),0)</f>
        <v>0</v>
      </c>
    </row>
    <row r="28" spans="2:37">
      <c r="B28" s="28"/>
      <c r="D28" s="23" t="s">
        <v>1308</v>
      </c>
      <c r="F28" s="19">
        <f>IF('Data Entry - SOF'!C71&lt;0,'Data Entry - SOF'!C71,'Data Entry - SOF'!C71*-1)</f>
        <v>0</v>
      </c>
      <c r="G28" s="19">
        <f>IF('Data Entry - SOF'!C71&lt;0,'Data Entry - SOF'!C71,'Data Entry - SOF'!C71*-1)</f>
        <v>0</v>
      </c>
      <c r="H28" s="19"/>
      <c r="AK28" s="19">
        <v>0</v>
      </c>
    </row>
    <row r="29" spans="2:37">
      <c r="B29" s="28">
        <v>22</v>
      </c>
      <c r="C29" s="17"/>
      <c r="D29" s="23" t="s">
        <v>119</v>
      </c>
      <c r="F29" s="19">
        <f>ROUND(ROUND('Calc Data-SB1'!T9,0)*'Data Entry - SOF'!C32*Weights!C23,0)</f>
        <v>0</v>
      </c>
      <c r="G29" s="19">
        <f>ROUND(ROUND('Calc Data-SB1'!U9,0)*'Data Entry - SOF'!C32*Weights!C23,0)</f>
        <v>0</v>
      </c>
      <c r="H29" s="19"/>
      <c r="AK29" s="19">
        <f>ROUND(ROUND('Calc Data-SB1'!AB23,0)*'Data Entry - SOF'!C32*1.35,0)</f>
        <v>0</v>
      </c>
    </row>
    <row r="30" spans="2:37">
      <c r="B30" s="28"/>
      <c r="C30" s="17"/>
      <c r="D30" s="47" t="s">
        <v>716</v>
      </c>
      <c r="F30" s="19">
        <f>Weights!C24*'Data Entry - SOF'!C33</f>
        <v>0</v>
      </c>
      <c r="G30" s="19">
        <f>Weights!C24*'Data Entry - SOF'!C33</f>
        <v>0</v>
      </c>
      <c r="H30" s="19"/>
      <c r="AK30" s="19"/>
    </row>
    <row r="31" spans="2:37" hidden="1">
      <c r="B31" s="28"/>
      <c r="C31" s="17"/>
      <c r="D31" s="47" t="s">
        <v>717</v>
      </c>
      <c r="F31" s="19">
        <f>400*'Data Entry - SOF'!C34</f>
        <v>0</v>
      </c>
      <c r="G31" s="19">
        <f t="shared" ref="G31:G43" si="0">F31</f>
        <v>0</v>
      </c>
      <c r="H31" s="19"/>
      <c r="AK31" s="19"/>
    </row>
    <row r="32" spans="2:37" hidden="1">
      <c r="B32" s="28"/>
      <c r="C32" s="17"/>
      <c r="D32" s="47" t="s">
        <v>718</v>
      </c>
      <c r="F32" s="19">
        <f>80*'Data Entry - SOF'!C35</f>
        <v>0</v>
      </c>
      <c r="G32" s="19">
        <f t="shared" si="0"/>
        <v>0</v>
      </c>
      <c r="H32" s="19"/>
      <c r="AK32" s="19"/>
    </row>
    <row r="33" spans="2:37">
      <c r="B33" s="28">
        <v>21</v>
      </c>
      <c r="D33" s="23" t="s">
        <v>3030</v>
      </c>
      <c r="F33" s="19">
        <f>ROUND(ROUND('Calc Data-SB1'!T9,0)*'Data Entry - SOF'!C157*Weights!C28,0)</f>
        <v>0</v>
      </c>
      <c r="G33" s="19">
        <f>ROUND(ROUND('Calc Data-SB1'!U9,0)*'Data Entry - SOF'!C157*Weights!C28,0)</f>
        <v>0</v>
      </c>
      <c r="H33" s="19"/>
      <c r="AK33" s="19" t="e">
        <f>ROUND(ROUND('Calc Data-SB1'!AB23,0)*'Data Entry - SOF'!#REF!*0.12,0)</f>
        <v>#REF!</v>
      </c>
    </row>
    <row r="34" spans="2:37">
      <c r="B34" s="28"/>
      <c r="D34" s="23" t="s">
        <v>433</v>
      </c>
      <c r="F34" s="19">
        <f>IF('Data Entry - SOF'!C70&lt;0,'Data Entry - SOF'!C70,'Data Entry - SOF'!C70*-1)</f>
        <v>0</v>
      </c>
      <c r="G34" s="19">
        <f>IF('Data Entry - SOF'!C70&lt;0,'Data Entry - SOF'!C70,'Data Entry - SOF'!C70*-1)</f>
        <v>0</v>
      </c>
      <c r="H34" s="19"/>
      <c r="AK34" s="19">
        <v>0</v>
      </c>
    </row>
    <row r="35" spans="2:37">
      <c r="B35" s="28" t="s">
        <v>2857</v>
      </c>
      <c r="D35" s="23" t="s">
        <v>434</v>
      </c>
      <c r="F35" s="19">
        <f>ROUND(ROUND('Calc Data-SB1'!T9,0)*'Data Entry - SOF'!C36*Weights!C30,0)</f>
        <v>0</v>
      </c>
      <c r="G35" s="19">
        <f>ROUND(ROUND('Calc Data-SB1'!U9,0)*'Data Entry - SOF'!C36*Weights!C30,0)</f>
        <v>0</v>
      </c>
      <c r="H35" s="19"/>
      <c r="AK35" s="19">
        <f>ROUND(ROUND('Calc Data-SB1'!AB23,0)*'Data Entry - SOF'!C36*0.2,0)</f>
        <v>0</v>
      </c>
    </row>
    <row r="36" spans="2:37">
      <c r="B36" s="28" t="s">
        <v>2857</v>
      </c>
      <c r="D36" s="23" t="s">
        <v>435</v>
      </c>
      <c r="F36" s="19">
        <f>ROUND(ROUND('Calc Data-SB1'!T9,0)*'Data Entry - SOF'!C37*Weights!C31,0)</f>
        <v>0</v>
      </c>
      <c r="G36" s="19">
        <f>ROUND(ROUND('Calc Data-SB1'!U9,0)*'Data Entry - SOF'!C37*Weights!C31,0)</f>
        <v>0</v>
      </c>
      <c r="H36" s="19"/>
      <c r="AK36" s="19">
        <f>ROUND(ROUND('Calc Data-SB1'!AB23,0)*'Data Entry - SOF'!C37*2.41,0)</f>
        <v>0</v>
      </c>
    </row>
    <row r="37" spans="2:37" hidden="1">
      <c r="B37" s="28" t="s">
        <v>2857</v>
      </c>
      <c r="D37" s="97" t="s">
        <v>491</v>
      </c>
      <c r="E37" s="944"/>
      <c r="F37" s="19">
        <f>650*'Data Entry - SOF'!C38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Data-SB1'!T9,0)*('Data Entry - SOF'!C39*Weights!C26),0)</f>
        <v>0</v>
      </c>
      <c r="G39" s="19">
        <f>ROUND(ROUND('Calc Data-SB1'!U9,0)*('Data Entry - SOF'!C39*Weights!C26),0)</f>
        <v>0</v>
      </c>
      <c r="H39" s="19"/>
      <c r="AK39" s="19">
        <f>ROUND(ROUND('Calc Data-SB1'!AB23,0)*('Data Entry - SOF'!C39*0.1),0)</f>
        <v>0</v>
      </c>
    </row>
    <row r="40" spans="2:37">
      <c r="B40" s="28">
        <v>31</v>
      </c>
      <c r="D40" s="47" t="s">
        <v>2792</v>
      </c>
      <c r="F40" s="19">
        <f>Weights!C33*'Data Entry - SOF'!C18</f>
        <v>0</v>
      </c>
      <c r="G40" s="19">
        <f>Weights!C33*'Data Entry - SOF'!C18</f>
        <v>0</v>
      </c>
      <c r="H40" s="19"/>
      <c r="AK40" s="19" t="e">
        <f>#REF!</f>
        <v>#REF!</v>
      </c>
    </row>
    <row r="41" spans="2:37">
      <c r="B41" s="28"/>
      <c r="D41" s="23" t="s">
        <v>984</v>
      </c>
      <c r="F41" s="19">
        <f>ROUND(ROUND('Calc Data-SB1'!T9,0)*'Data Entry - SOF'!C41*Weights!C37,0)</f>
        <v>0</v>
      </c>
      <c r="G41" s="19">
        <f>ROUND(ROUND('Calc Data-SB1'!U9,0)*'Data Entry - SOF'!C41*Weights!C37,0)</f>
        <v>0</v>
      </c>
      <c r="H41" s="19"/>
      <c r="AK41" s="19">
        <f>ROUND(ROUND('Calc Data-SB1'!AB23,0)*'Data Entry - SOF'!C41*0.1,0)</f>
        <v>0</v>
      </c>
    </row>
    <row r="42" spans="2:37" ht="15.75">
      <c r="B42" s="28"/>
      <c r="D42" s="955" t="s">
        <v>427</v>
      </c>
      <c r="F42" s="116">
        <v>0</v>
      </c>
      <c r="G42" s="19">
        <f t="shared" si="0"/>
        <v>0</v>
      </c>
      <c r="H42" s="19"/>
      <c r="AK42" s="19">
        <f>'Data Entry - SOF'!C42*250</f>
        <v>0</v>
      </c>
    </row>
    <row r="43" spans="2:37">
      <c r="B43" s="28">
        <v>99</v>
      </c>
      <c r="D43" s="23" t="s">
        <v>2385</v>
      </c>
      <c r="F43" s="29">
        <f>'Data Entry - SOF'!C66</f>
        <v>0</v>
      </c>
      <c r="G43" s="1506">
        <f t="shared" si="0"/>
        <v>0</v>
      </c>
      <c r="H43" s="32"/>
      <c r="AK43" s="29">
        <f>'Data Entry - SOF'!C66</f>
        <v>0</v>
      </c>
    </row>
    <row r="44" spans="2:37">
      <c r="D44" s="23" t="s">
        <v>576</v>
      </c>
      <c r="F44" s="19">
        <f>SUM(F21:F43)</f>
        <v>0</v>
      </c>
      <c r="G44" s="19">
        <f>SUM(G21:G43)</f>
        <v>0</v>
      </c>
      <c r="H44" s="19"/>
      <c r="AK44" s="19" t="e">
        <f>SUM(AK21:AK43)</f>
        <v>#REF!</v>
      </c>
    </row>
    <row r="45" spans="2:37">
      <c r="D45" s="23" t="s">
        <v>890</v>
      </c>
      <c r="F45" s="36">
        <f>IF('Data Entry - SOF'!C108&gt;1.00005,1.00005*('Data Entry - SOF'!C48/100),'Data Entry - SOF'!C108*('Data Entry - SOF'!C48/100))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49" t="s">
        <v>835</v>
      </c>
      <c r="H48" s="37"/>
      <c r="M48" s="62"/>
      <c r="AK48" s="37"/>
    </row>
    <row r="49" spans="4:9">
      <c r="D49" s="23" t="s">
        <v>1716</v>
      </c>
      <c r="F49" s="90">
        <f>IF(F46&lt;F77+F40+F31+F32,F77+F40+F31+F32,F46)</f>
        <v>0</v>
      </c>
      <c r="G49" s="90">
        <f>IF(G46&lt;G77+G40+G31+G32,G77+G40+G31+G32,G46)</f>
        <v>0</v>
      </c>
      <c r="H49" s="37"/>
      <c r="I49" s="62" t="s">
        <v>3057</v>
      </c>
    </row>
    <row r="50" spans="4:9" hidden="1">
      <c r="D50" s="23" t="s">
        <v>2596</v>
      </c>
      <c r="H50" s="37" t="e">
        <f>ROUND(IF((24.7*'Calc Data-SB1'!#REF!*IF('Calc Data-SB1'!#REF!&gt;=0.64,0.64,'Calc Data-SB1'!#REF!)*100)&lt;'Calc Data-SB1'!#REF!,0,(24.7*'Calc Data-SB1'!#REF!*IF('Calc Data-SB1'!#REF!&gt;=0.64,0.64,'Calc Data-SB1'!#REF!)*100)-'Calc Data-SB1'!#REF!),0)</f>
        <v>#REF!</v>
      </c>
    </row>
    <row r="51" spans="4:9">
      <c r="D51" s="23"/>
      <c r="H51" s="37"/>
    </row>
    <row r="52" spans="4:9">
      <c r="D52" s="23" t="s">
        <v>2748</v>
      </c>
      <c r="F52" s="37" t="e">
        <f>ROUND(IF((Assumptions!G28*'Calc Data-SB1'!T11*'Calc Data-SB1'!C35*100)&lt;'Calc Data-SB1'!C42,0,(Assumptions!G28*'Calc Data-SB1'!T11*'Calc Data-SB1'!C35*100)-'Calc Data-SB1'!C42),0)</f>
        <v>#DIV/0!</v>
      </c>
      <c r="G52" s="37" t="e">
        <f>ROUND(IF((Assumptions!G48*'Calc Data-SB1'!U11*'Calc Data-SB1'!C35*100)&lt;'Calc Data-SB1'!C42,0,(Assumptions!G48*'Calc Data-SB1'!U11*'Calc Data-SB1'!C35*100)-'Calc Data-SB1'!C42),0)</f>
        <v>#DIV/0!</v>
      </c>
      <c r="H52" s="37"/>
    </row>
    <row r="53" spans="4:9">
      <c r="D53" s="23" t="s">
        <v>515</v>
      </c>
      <c r="F53" s="66" t="e">
        <f>ROUND(IF((Assumptions!G29*'Calc Data-SB1'!T11*'Calc Data-SB1'!C38*100)&lt;'Calc Data-SB1'!C43,0,(Assumptions!G29*'Calc Data-SB1'!T11*'Calc Data-SB1'!C38*100)-'Calc Data-SB1'!C43),0)</f>
        <v>#DIV/0!</v>
      </c>
      <c r="G53" s="66" t="e">
        <f>ROUND(IF((Assumptions!G49*'Calc Data-SB1'!U11*'Calc Data-SB1'!C38*100)&lt;'Calc Data-SB1'!C43,0,(Assumptions!G49*'Calc Data-SB1'!U11*'Calc Data-SB1'!C38*100)-'Calc Data-SB1'!C43),0)</f>
        <v>#DIV/0!</v>
      </c>
      <c r="H53" s="37"/>
    </row>
    <row r="54" spans="4:9">
      <c r="D54" s="23" t="s">
        <v>315</v>
      </c>
      <c r="F54" s="37" t="e">
        <f>SUM(F50:F53)</f>
        <v>#DIV/0!</v>
      </c>
      <c r="G54" s="37" t="e">
        <f>SUM(G50:G53)</f>
        <v>#DIV/0!</v>
      </c>
      <c r="H54" s="37"/>
    </row>
    <row r="55" spans="4:9">
      <c r="D55" s="23"/>
      <c r="H55" s="37"/>
    </row>
    <row r="56" spans="4:9">
      <c r="D56" s="23" t="s">
        <v>832</v>
      </c>
      <c r="H56" s="37"/>
    </row>
    <row r="57" spans="4:9" ht="15.75">
      <c r="D57" s="132" t="s">
        <v>2043</v>
      </c>
      <c r="F57" s="195" t="e">
        <f>'ASATR-SB1'!X27</f>
        <v>#DIV/0!</v>
      </c>
      <c r="G57" s="195" t="e">
        <f>'ASATR-SB1'!#REF!</f>
        <v>#REF!</v>
      </c>
      <c r="H57" s="37"/>
    </row>
    <row r="58" spans="4:9">
      <c r="D58" s="23" t="s">
        <v>859</v>
      </c>
      <c r="F58" s="37">
        <f>'Data Entry - SOF'!C76</f>
        <v>0</v>
      </c>
      <c r="G58" s="37">
        <f>F58</f>
        <v>0</v>
      </c>
      <c r="H58" s="37"/>
    </row>
    <row r="59" spans="4:9">
      <c r="D59" s="23" t="s">
        <v>3489</v>
      </c>
      <c r="F59" s="37">
        <f>'Data Entry - SOF'!C75</f>
        <v>0</v>
      </c>
      <c r="G59" s="37">
        <f t="shared" ref="G59:G69" si="1">F59</f>
        <v>0</v>
      </c>
      <c r="H59" s="37"/>
    </row>
    <row r="60" spans="4:9">
      <c r="D60" s="23" t="s">
        <v>3490</v>
      </c>
      <c r="F60" s="37">
        <f>'Data Entry - SOF'!C77</f>
        <v>0</v>
      </c>
      <c r="G60" s="37">
        <f t="shared" si="1"/>
        <v>0</v>
      </c>
      <c r="H60" s="37"/>
    </row>
    <row r="61" spans="4:9">
      <c r="D61" s="23" t="s">
        <v>3491</v>
      </c>
      <c r="F61" s="37">
        <f>'Data Entry - SOF'!C78</f>
        <v>0</v>
      </c>
      <c r="G61" s="37">
        <f t="shared" si="1"/>
        <v>0</v>
      </c>
      <c r="H61" s="37"/>
    </row>
    <row r="62" spans="4:9">
      <c r="D62" s="23" t="s">
        <v>3492</v>
      </c>
      <c r="F62" s="37">
        <f>'Data Entry - SOF'!C79</f>
        <v>0</v>
      </c>
      <c r="G62" s="37">
        <f t="shared" si="1"/>
        <v>0</v>
      </c>
      <c r="H62" s="37"/>
    </row>
    <row r="63" spans="4:9">
      <c r="D63" s="23" t="s">
        <v>3493</v>
      </c>
      <c r="F63" s="37">
        <v>0</v>
      </c>
      <c r="G63" s="37">
        <f t="shared" si="1"/>
        <v>0</v>
      </c>
      <c r="H63" s="37"/>
    </row>
    <row r="64" spans="4:9">
      <c r="D64" s="23" t="s">
        <v>3494</v>
      </c>
      <c r="F64" s="37">
        <f>'Data Entry - SOF'!C80</f>
        <v>0</v>
      </c>
      <c r="G64" s="37">
        <f t="shared" si="1"/>
        <v>0</v>
      </c>
      <c r="H64" s="37"/>
    </row>
    <row r="65" spans="1:8">
      <c r="D65" s="23" t="s">
        <v>2801</v>
      </c>
      <c r="F65" s="37" t="e">
        <f>'ASATR-SB1'!E82</f>
        <v>#DIV/0!</v>
      </c>
      <c r="G65" s="37" t="e">
        <f t="shared" si="1"/>
        <v>#DIV/0!</v>
      </c>
      <c r="H65" s="37"/>
    </row>
    <row r="66" spans="1:8">
      <c r="D66" s="23" t="s">
        <v>2793</v>
      </c>
      <c r="F66" s="37">
        <f>(500*'Data Entry - SOF'!C44)+(250*'Data Entry - SOF'!C45)</f>
        <v>0</v>
      </c>
      <c r="G66" s="37">
        <f t="shared" si="1"/>
        <v>0</v>
      </c>
      <c r="H66" s="37"/>
    </row>
    <row r="67" spans="1:8">
      <c r="D67" s="23" t="s">
        <v>833</v>
      </c>
      <c r="F67" s="905" t="e">
        <f>(('Data Entry - SOF'!C69/'Data Entry - SOF'!C134)*'Data Entry - SOF'!C67)*-1</f>
        <v>#DIV/0!</v>
      </c>
      <c r="G67" s="37" t="e">
        <f t="shared" si="1"/>
        <v>#DIV/0!</v>
      </c>
      <c r="H67" s="37"/>
    </row>
    <row r="68" spans="1:8">
      <c r="D68" s="23" t="s">
        <v>834</v>
      </c>
      <c r="F68" s="1241" t="e">
        <f>(('Data Entry - SOF'!C69/'Data Entry - SOF'!C134)*'Data Entry - SOF'!C68)*-1</f>
        <v>#DIV/0!</v>
      </c>
      <c r="G68" s="37" t="e">
        <f t="shared" si="1"/>
        <v>#DIV/0!</v>
      </c>
      <c r="H68" s="37"/>
    </row>
    <row r="69" spans="1:8">
      <c r="D69" s="23" t="s">
        <v>3399</v>
      </c>
      <c r="F69" s="1242">
        <f>'Data Entry - SOF'!C96</f>
        <v>0</v>
      </c>
      <c r="G69" s="66">
        <f t="shared" si="1"/>
        <v>0</v>
      </c>
      <c r="H69" s="37"/>
    </row>
    <row r="70" spans="1:8">
      <c r="D70" s="906" t="s">
        <v>200</v>
      </c>
      <c r="F70" s="37" t="e">
        <f>SUM(F57:F69)</f>
        <v>#DIV/0!</v>
      </c>
      <c r="G70" s="37" t="e">
        <f>SUM(G57:G69)</f>
        <v>#REF!</v>
      </c>
      <c r="H70" s="37"/>
    </row>
    <row r="71" spans="1:8">
      <c r="D71" s="906"/>
      <c r="F71" s="47"/>
      <c r="G71" s="47"/>
      <c r="H71" s="37"/>
    </row>
    <row r="72" spans="1:8">
      <c r="D72" s="23" t="s">
        <v>2749</v>
      </c>
      <c r="F72" s="37">
        <f>F77*-1</f>
        <v>0</v>
      </c>
      <c r="G72" s="37">
        <f>G77*-1</f>
        <v>0</v>
      </c>
      <c r="H72" s="37"/>
    </row>
    <row r="73" spans="1:8" ht="13.5" thickBot="1">
      <c r="D73" s="23"/>
      <c r="H73" s="37"/>
    </row>
    <row r="74" spans="1:8" ht="13.5" thickTop="1">
      <c r="A74" s="909"/>
      <c r="B74" s="910"/>
      <c r="C74" s="910"/>
      <c r="D74" s="911"/>
      <c r="E74" s="910"/>
      <c r="F74" s="956"/>
      <c r="G74" s="35"/>
      <c r="H74" s="37"/>
    </row>
    <row r="75" spans="1:8">
      <c r="A75" s="912"/>
      <c r="B75" s="893" t="s">
        <v>202</v>
      </c>
      <c r="C75" s="35"/>
      <c r="D75" s="908"/>
      <c r="E75" s="35"/>
      <c r="F75" s="957"/>
      <c r="G75" s="35"/>
      <c r="H75" s="37"/>
    </row>
    <row r="76" spans="1:8">
      <c r="A76" s="912"/>
      <c r="B76" s="893" t="s">
        <v>1681</v>
      </c>
      <c r="C76" s="35"/>
      <c r="D76" s="101" t="s">
        <v>836</v>
      </c>
      <c r="E76" s="101"/>
      <c r="F76" s="189" t="e">
        <f>F49+F54+F70+F72</f>
        <v>#DIV/0!</v>
      </c>
      <c r="G76" s="189" t="e">
        <f>G49+G54+G70+G72</f>
        <v>#DIV/0!</v>
      </c>
      <c r="H76" s="37"/>
    </row>
    <row r="77" spans="1:8">
      <c r="A77" s="912"/>
      <c r="B77" s="893" t="s">
        <v>1679</v>
      </c>
      <c r="C77" s="35"/>
      <c r="D77" s="101" t="s">
        <v>3005</v>
      </c>
      <c r="E77" s="101"/>
      <c r="F77" s="189">
        <f>'Data Entry - SOF'!C134*Assumptions!G96</f>
        <v>0</v>
      </c>
      <c r="G77" s="189">
        <f>'Data Entry - SOF'!C134*Assumptions!G96</f>
        <v>0</v>
      </c>
      <c r="H77" s="37"/>
    </row>
    <row r="78" spans="1:8" ht="15.75">
      <c r="A78" s="912"/>
      <c r="B78" s="893" t="s">
        <v>1680</v>
      </c>
      <c r="C78" s="35"/>
      <c r="D78" s="952" t="s">
        <v>858</v>
      </c>
      <c r="E78" s="123"/>
      <c r="F78" s="959">
        <v>0</v>
      </c>
      <c r="G78" s="959">
        <v>0</v>
      </c>
      <c r="H78" s="37"/>
    </row>
    <row r="79" spans="1:8">
      <c r="A79" s="912"/>
      <c r="B79" s="893" t="s">
        <v>839</v>
      </c>
      <c r="C79" s="35"/>
      <c r="D79" s="101" t="s">
        <v>837</v>
      </c>
      <c r="E79" s="101"/>
      <c r="F79" s="189">
        <f>'Existing Debt'!G74</f>
        <v>0</v>
      </c>
      <c r="G79" s="189">
        <f>'Existing Debt'!G74</f>
        <v>0</v>
      </c>
      <c r="H79" s="37"/>
    </row>
    <row r="80" spans="1:8" ht="13.5" thickBot="1">
      <c r="A80" s="912"/>
      <c r="B80" s="893" t="s">
        <v>1251</v>
      </c>
      <c r="C80" s="35"/>
      <c r="D80" s="101" t="s">
        <v>838</v>
      </c>
      <c r="E80" s="101"/>
      <c r="F80" s="950">
        <f>IFA!H86+IFA!J75</f>
        <v>0</v>
      </c>
      <c r="G80" s="950">
        <f>IFA!H86+IFA!J75</f>
        <v>0</v>
      </c>
      <c r="H80" s="37"/>
    </row>
    <row r="81" spans="1:15">
      <c r="A81" s="912"/>
      <c r="B81" s="35"/>
      <c r="C81" s="35"/>
      <c r="D81" s="35"/>
      <c r="E81" s="35"/>
      <c r="F81" s="957"/>
      <c r="G81" s="957"/>
      <c r="H81" s="37"/>
    </row>
    <row r="82" spans="1:15" ht="12.75" customHeight="1" thickBot="1">
      <c r="A82" s="912"/>
      <c r="B82" s="35"/>
      <c r="C82" s="35"/>
      <c r="D82" s="101" t="s">
        <v>1155</v>
      </c>
      <c r="E82" s="35"/>
      <c r="F82" s="951" t="e">
        <f>SUM(F76:F80)</f>
        <v>#DIV/0!</v>
      </c>
      <c r="G82" s="951" t="e">
        <f>SUM(G76:G80)</f>
        <v>#DIV/0!</v>
      </c>
      <c r="H82" s="37"/>
    </row>
    <row r="83" spans="1:15" ht="13.5" hidden="1" thickTop="1">
      <c r="A83" s="912"/>
      <c r="B83" s="35"/>
      <c r="C83" s="35"/>
      <c r="D83" s="34" t="s">
        <v>513</v>
      </c>
      <c r="E83" s="35"/>
      <c r="F83" s="35"/>
      <c r="G83" s="35"/>
      <c r="H83" s="37"/>
      <c r="K83" s="173"/>
      <c r="L83" s="229"/>
    </row>
    <row r="84" spans="1:15" ht="14.25" thickTop="1" thickBot="1">
      <c r="A84" s="913"/>
      <c r="B84" s="914"/>
      <c r="C84" s="914"/>
      <c r="D84" s="915"/>
      <c r="E84" s="914"/>
      <c r="F84" s="970"/>
      <c r="G84" s="35"/>
      <c r="H84" s="19"/>
    </row>
    <row r="85" spans="1:15" ht="13.5" thickTop="1">
      <c r="B85" s="23"/>
      <c r="H85" s="59"/>
      <c r="M85" s="121"/>
      <c r="N85" s="421"/>
      <c r="O85" s="5"/>
    </row>
    <row r="86" spans="1:15">
      <c r="M86" s="5"/>
    </row>
    <row r="87" spans="1:15" ht="13.5" thickBot="1"/>
    <row r="88" spans="1:15" ht="13.5" thickTop="1">
      <c r="A88" s="918" t="s">
        <v>2816</v>
      </c>
      <c r="B88" s="91"/>
      <c r="C88" s="91"/>
      <c r="D88" s="91"/>
      <c r="E88" s="91"/>
      <c r="F88" s="183"/>
      <c r="G88" s="35"/>
    </row>
    <row r="89" spans="1:15">
      <c r="A89" s="186"/>
      <c r="B89" s="35"/>
      <c r="C89" s="35"/>
      <c r="D89" s="35"/>
      <c r="E89" s="35"/>
      <c r="F89" s="184"/>
      <c r="G89" s="35"/>
    </row>
    <row r="90" spans="1:15">
      <c r="A90" s="185" t="s">
        <v>2477</v>
      </c>
      <c r="B90" s="35"/>
      <c r="C90" s="35"/>
      <c r="D90" s="35"/>
      <c r="E90" s="35"/>
      <c r="F90" s="894" t="e">
        <f>IF(F76&lt;0,F77,F76+F77)</f>
        <v>#DIV/0!</v>
      </c>
      <c r="G90" s="894" t="e">
        <f>IF(G76&lt;0,G77,G76+G77)</f>
        <v>#DIV/0!</v>
      </c>
    </row>
    <row r="91" spans="1:15">
      <c r="A91" s="239" t="s">
        <v>1910</v>
      </c>
      <c r="B91" s="35"/>
      <c r="C91" s="35"/>
      <c r="D91" s="35"/>
      <c r="E91" s="35"/>
      <c r="F91" s="895" t="e">
        <f>'Calc Data-SB1'!C30-'ASATR-SB1'!X24</f>
        <v>#DIV/0!</v>
      </c>
      <c r="G91" s="895" t="e">
        <f>'Calc Data-SB1'!C30-'ASATR-SB1'!#REF!</f>
        <v>#DIV/0!</v>
      </c>
      <c r="M91" s="121"/>
    </row>
    <row r="92" spans="1:15">
      <c r="A92" s="239" t="s">
        <v>1062</v>
      </c>
      <c r="B92" s="35"/>
      <c r="C92" s="35"/>
      <c r="D92" s="35"/>
      <c r="E92" s="35"/>
      <c r="F92" s="895" t="e">
        <f>'Calc Data-SB1'!C34</f>
        <v>#DIV/0!</v>
      </c>
      <c r="G92" s="895" t="e">
        <f>'Calc Data-SB1'!C34</f>
        <v>#DIV/0!</v>
      </c>
      <c r="M92" s="121"/>
    </row>
    <row r="93" spans="1:15">
      <c r="A93" s="239" t="s">
        <v>1063</v>
      </c>
      <c r="B93" s="35"/>
      <c r="C93" s="35"/>
      <c r="D93" s="35"/>
      <c r="E93" s="35"/>
      <c r="F93" s="1509" t="e">
        <f>'Calc Data-SB1'!C37-IF('Option Costs-HB3646'!DF57="N",MAX('Option Costs-HB3646'!DF54,'Option Costs-HB3646'!DH54),MIN('Option Costs-HB3646'!DF54,'Option Costs-HB3646'!DH54))</f>
        <v>#DIV/0!</v>
      </c>
      <c r="G93" s="1509" t="e">
        <f>'Calc Data-SB1'!C37-IF('Option Costs-HB3646'!DN57="N",MAX('Option Costs-HB3646'!DN54,'Option Costs-HB3646'!DP54),MIN('Option Costs-HB3646'!DN54,'Option Costs-HB3646'!DP54))</f>
        <v>#DIV/0!</v>
      </c>
    </row>
    <row r="94" spans="1:15">
      <c r="A94" s="239" t="s">
        <v>3498</v>
      </c>
      <c r="B94" s="35"/>
      <c r="C94" s="35"/>
      <c r="D94" s="35"/>
      <c r="E94" s="35"/>
      <c r="F94" s="895">
        <f>F69*-1</f>
        <v>0</v>
      </c>
      <c r="G94" s="895">
        <f>G69*-1</f>
        <v>0</v>
      </c>
    </row>
    <row r="95" spans="1:15">
      <c r="A95" s="239" t="s">
        <v>3664</v>
      </c>
      <c r="B95" s="35"/>
      <c r="C95" s="35"/>
      <c r="D95" s="35"/>
      <c r="E95" s="35"/>
      <c r="F95" s="958" t="e">
        <f>SUM(F90:F94)</f>
        <v>#DIV/0!</v>
      </c>
      <c r="G95" s="958" t="e">
        <f>SUM(G90:G94)</f>
        <v>#DIV/0!</v>
      </c>
    </row>
    <row r="96" spans="1:15">
      <c r="A96" s="185" t="s">
        <v>1908</v>
      </c>
      <c r="B96" s="35"/>
      <c r="C96" s="35"/>
      <c r="D96" s="35"/>
      <c r="E96" s="35"/>
      <c r="F96" s="907" t="e">
        <f>IF(F76&gt;0,0,F76)</f>
        <v>#DIV/0!</v>
      </c>
      <c r="G96" s="907" t="e">
        <f>IF(G76&gt;0,0,G76)</f>
        <v>#DIV/0!</v>
      </c>
    </row>
    <row r="97" spans="1:8">
      <c r="A97" s="423" t="s">
        <v>3665</v>
      </c>
      <c r="B97" s="35"/>
      <c r="C97" s="35"/>
      <c r="D97" s="35"/>
      <c r="E97" s="35"/>
      <c r="F97" s="958" t="e">
        <f>F95+F96</f>
        <v>#DIV/0!</v>
      </c>
      <c r="G97" s="958" t="e">
        <f>G95+G96</f>
        <v>#DIV/0!</v>
      </c>
    </row>
    <row r="98" spans="1:8" ht="13.5" thickBot="1">
      <c r="A98" s="187"/>
      <c r="B98" s="50"/>
      <c r="C98" s="50"/>
      <c r="D98" s="50"/>
      <c r="E98" s="50"/>
      <c r="F98" s="188"/>
      <c r="G98" s="35"/>
    </row>
    <row r="99" spans="1:8" ht="13.5" hidden="1" thickTop="1">
      <c r="D99" s="47" t="s">
        <v>1399</v>
      </c>
      <c r="E99" s="47"/>
      <c r="F99" s="47"/>
      <c r="G99" s="47"/>
    </row>
    <row r="100" spans="1:8" ht="13.5" hidden="1" thickTop="1">
      <c r="D100" s="47" t="s">
        <v>511</v>
      </c>
      <c r="E100" s="47"/>
      <c r="F100" s="47"/>
      <c r="G100" s="47"/>
    </row>
    <row r="101" spans="1:8" ht="13.5" hidden="1" thickTop="1">
      <c r="D101" s="47" t="s">
        <v>512</v>
      </c>
    </row>
    <row r="102" spans="1:8" ht="13.5" hidden="1" thickTop="1">
      <c r="D102" s="47" t="s">
        <v>1147</v>
      </c>
    </row>
    <row r="103" spans="1:8" ht="13.5" hidden="1" thickTop="1">
      <c r="D103" s="47" t="s">
        <v>720</v>
      </c>
    </row>
    <row r="104" spans="1:8" ht="13.5" hidden="1" thickTop="1">
      <c r="D104" s="47" t="s">
        <v>721</v>
      </c>
    </row>
    <row r="105" spans="1:8" ht="13.5" thickTop="1">
      <c r="D105" s="47"/>
    </row>
    <row r="109" spans="1:8" hidden="1">
      <c r="A109" s="23" t="s">
        <v>1870</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2027</v>
      </c>
    </row>
    <row r="118" spans="1:1" hidden="1"/>
    <row r="119" spans="1:1" hidden="1">
      <c r="A119" s="23" t="s">
        <v>70</v>
      </c>
    </row>
    <row r="120" spans="1:1" hidden="1">
      <c r="A120" s="23" t="s">
        <v>1906</v>
      </c>
    </row>
    <row r="121" spans="1:1" hidden="1">
      <c r="A121" s="23" t="s">
        <v>1907</v>
      </c>
    </row>
    <row r="122" spans="1:1" hidden="1">
      <c r="A122" s="23" t="s">
        <v>2077</v>
      </c>
    </row>
    <row r="123" spans="1:1" hidden="1"/>
    <row r="124" spans="1:1" hidden="1">
      <c r="A124" s="23" t="s">
        <v>2078</v>
      </c>
    </row>
    <row r="125" spans="1:1" hidden="1">
      <c r="A125" s="23" t="s">
        <v>2079</v>
      </c>
    </row>
    <row r="126" spans="1:1" hidden="1">
      <c r="A126" s="23" t="s">
        <v>368</v>
      </c>
    </row>
    <row r="127" spans="1:1" hidden="1">
      <c r="A127" s="23" t="s">
        <v>2080</v>
      </c>
    </row>
    <row r="128" spans="1:1" hidden="1">
      <c r="A128" s="23" t="s">
        <v>366</v>
      </c>
    </row>
    <row r="129" spans="1:7" hidden="1"/>
    <row r="130" spans="1:7" hidden="1">
      <c r="A130" s="97" t="s">
        <v>367</v>
      </c>
    </row>
    <row r="131" spans="1:7" hidden="1"/>
    <row r="134" spans="1:7">
      <c r="E134" t="s">
        <v>3169</v>
      </c>
      <c r="F134" s="5">
        <f>SUM(F22:F28)</f>
        <v>0</v>
      </c>
      <c r="G134" s="5">
        <f>SUM(G22:G28)</f>
        <v>0</v>
      </c>
    </row>
    <row r="135" spans="1:7">
      <c r="E135" t="s">
        <v>3170</v>
      </c>
      <c r="F135" s="5">
        <f>F29+F30</f>
        <v>0</v>
      </c>
      <c r="G135" s="5">
        <f>G29+G30</f>
        <v>0</v>
      </c>
    </row>
    <row r="136" spans="1:7">
      <c r="E136" t="s">
        <v>3171</v>
      </c>
      <c r="F136" s="5">
        <f>F33+F34</f>
        <v>0</v>
      </c>
      <c r="G136" s="5">
        <f>G33+G34</f>
        <v>0</v>
      </c>
    </row>
    <row r="137" spans="1:7">
      <c r="E137" t="s">
        <v>3172</v>
      </c>
      <c r="F137" s="5">
        <f>F35+F36</f>
        <v>0</v>
      </c>
      <c r="G137" s="5">
        <f>G35+G36</f>
        <v>0</v>
      </c>
    </row>
    <row r="138" spans="1:7">
      <c r="E138" t="s">
        <v>3251</v>
      </c>
      <c r="F138" s="121" t="e">
        <f>Assumptions!G57*'Calc Data-SB1'!T11*'Calc Data-SB1'!C35*100</f>
        <v>#DIV/0!</v>
      </c>
      <c r="G138" s="121" t="e">
        <f>Assumptions!G57*'Calc Data-SB1'!S25*'Calc Data-SB1'!C35*100</f>
        <v>#DIV/0!</v>
      </c>
    </row>
    <row r="139" spans="1:7">
      <c r="E139" t="s">
        <v>3253</v>
      </c>
      <c r="F139" s="121" t="e">
        <f>Assumptions!G58*'Calc Data-SB1'!T11*'Calc Data-SB1'!C38*100</f>
        <v>#DIV/0!</v>
      </c>
      <c r="G139" s="121" t="e">
        <f>Assumptions!G58*'Calc Data-SB1'!S25*'Calc Data-SB1'!C38*100</f>
        <v>#DIV/0!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128"/>
  <sheetViews>
    <sheetView tabSelected="1" workbookViewId="0">
      <pane ySplit="9" topLeftCell="A107" activePane="bottomLeft" state="frozen"/>
      <selection pane="bottomLeft" activeCell="A116" sqref="A116"/>
    </sheetView>
  </sheetViews>
  <sheetFormatPr defaultRowHeight="12.75"/>
  <cols>
    <col min="1" max="1" width="129" customWidth="1"/>
  </cols>
  <sheetData>
    <row r="2" spans="1:1">
      <c r="A2" s="47" t="s">
        <v>7117</v>
      </c>
    </row>
    <row r="3" spans="1:1">
      <c r="A3" s="47" t="s">
        <v>7118</v>
      </c>
    </row>
    <row r="4" spans="1:1">
      <c r="A4" s="47" t="s">
        <v>7119</v>
      </c>
    </row>
    <row r="5" spans="1:1">
      <c r="A5" s="47"/>
    </row>
    <row r="6" spans="1:1">
      <c r="A6" s="47" t="s">
        <v>7116</v>
      </c>
    </row>
    <row r="7" spans="1:1">
      <c r="A7" s="47" t="s">
        <v>7336</v>
      </c>
    </row>
    <row r="8" spans="1:1">
      <c r="A8" s="47" t="s">
        <v>3483</v>
      </c>
    </row>
    <row r="9" spans="1:1">
      <c r="A9" s="97"/>
    </row>
    <row r="10" spans="1:1">
      <c r="A10" s="172"/>
    </row>
    <row r="11" spans="1:1">
      <c r="A11" s="1801" t="s">
        <v>7335</v>
      </c>
    </row>
    <row r="12" spans="1:1">
      <c r="A12" s="47" t="s">
        <v>7341</v>
      </c>
    </row>
    <row r="13" spans="1:1" s="47" customFormat="1">
      <c r="A13" s="47" t="s">
        <v>7337</v>
      </c>
    </row>
    <row r="14" spans="1:1" s="47" customFormat="1"/>
    <row r="15" spans="1:1" s="47" customFormat="1">
      <c r="A15" s="47" t="s">
        <v>7340</v>
      </c>
    </row>
    <row r="16" spans="1:1" s="47" customFormat="1">
      <c r="A16" s="47" t="s">
        <v>7342</v>
      </c>
    </row>
    <row r="17" spans="1:1" s="47" customFormat="1"/>
    <row r="18" spans="1:1" s="47" customFormat="1">
      <c r="A18" s="2502" t="s">
        <v>7338</v>
      </c>
    </row>
    <row r="19" spans="1:1" s="47" customFormat="1">
      <c r="A19" s="1200"/>
    </row>
    <row r="20" spans="1:1" s="47" customFormat="1">
      <c r="A20" s="2503" t="s">
        <v>7339</v>
      </c>
    </row>
    <row r="21" spans="1:1" s="47" customFormat="1"/>
    <row r="22" spans="1:1" s="47" customFormat="1">
      <c r="A22" s="47" t="s">
        <v>7343</v>
      </c>
    </row>
    <row r="23" spans="1:1" s="47" customFormat="1">
      <c r="A23" s="47" t="s">
        <v>7345</v>
      </c>
    </row>
    <row r="24" spans="1:1" s="47" customFormat="1">
      <c r="A24" s="47" t="s">
        <v>7344</v>
      </c>
    </row>
    <row r="25" spans="1:1" s="47" customFormat="1"/>
    <row r="26" spans="1:1" s="47" customFormat="1">
      <c r="A26" s="47" t="s">
        <v>7351</v>
      </c>
    </row>
    <row r="27" spans="1:1" s="47" customFormat="1">
      <c r="A27" s="2504" t="s">
        <v>7350</v>
      </c>
    </row>
    <row r="28" spans="1:1" s="89" customFormat="1"/>
    <row r="29" spans="1:1" s="89" customFormat="1"/>
    <row r="30" spans="1:1" s="89" customFormat="1">
      <c r="A30" s="89" t="s">
        <v>7346</v>
      </c>
    </row>
    <row r="31" spans="1:1" s="89" customFormat="1">
      <c r="A31" s="89" t="s">
        <v>7347</v>
      </c>
    </row>
    <row r="32" spans="1:1" s="40" customFormat="1"/>
    <row r="33" spans="1:1" s="40" customFormat="1">
      <c r="A33" s="1074" t="s">
        <v>7348</v>
      </c>
    </row>
    <row r="34" spans="1:1" s="40" customFormat="1">
      <c r="A34" s="1074" t="s">
        <v>7349</v>
      </c>
    </row>
    <row r="35" spans="1:1" s="40" customFormat="1"/>
    <row r="36" spans="1:1" s="40" customFormat="1">
      <c r="A36" s="1801" t="s">
        <v>7369</v>
      </c>
    </row>
    <row r="37" spans="1:1" s="89" customFormat="1">
      <c r="A37" s="89" t="s">
        <v>7379</v>
      </c>
    </row>
    <row r="38" spans="1:1" s="89" customFormat="1">
      <c r="A38" s="89" t="s">
        <v>7384</v>
      </c>
    </row>
    <row r="39" spans="1:1" s="89" customFormat="1">
      <c r="A39" s="1074" t="s">
        <v>7386</v>
      </c>
    </row>
    <row r="40" spans="1:1" s="89" customFormat="1">
      <c r="A40" s="1074" t="s">
        <v>7385</v>
      </c>
    </row>
    <row r="41" spans="1:1" s="89" customFormat="1">
      <c r="A41" s="1074"/>
    </row>
    <row r="42" spans="1:1" s="47" customFormat="1">
      <c r="A42" s="47" t="s">
        <v>7380</v>
      </c>
    </row>
    <row r="43" spans="1:1" s="47" customFormat="1">
      <c r="A43" s="47" t="s">
        <v>7382</v>
      </c>
    </row>
    <row r="44" spans="1:1" s="47" customFormat="1">
      <c r="A44" s="47" t="s">
        <v>7383</v>
      </c>
    </row>
    <row r="45" spans="1:1" s="47" customFormat="1"/>
    <row r="46" spans="1:1" s="47" customFormat="1">
      <c r="A46" s="47" t="s">
        <v>7372</v>
      </c>
    </row>
    <row r="47" spans="1:1" s="47" customFormat="1"/>
    <row r="48" spans="1:1" s="47" customFormat="1">
      <c r="A48" s="47" t="s">
        <v>7371</v>
      </c>
    </row>
    <row r="49" spans="1:1" s="47" customFormat="1">
      <c r="A49" s="47" t="s">
        <v>7370</v>
      </c>
    </row>
    <row r="50" spans="1:1" s="47" customFormat="1"/>
    <row r="51" spans="1:1" s="47" customFormat="1"/>
    <row r="52" spans="1:1" s="47" customFormat="1">
      <c r="A52" s="1801" t="s">
        <v>7417</v>
      </c>
    </row>
    <row r="53" spans="1:1" s="47" customFormat="1">
      <c r="A53" s="47" t="s">
        <v>7401</v>
      </c>
    </row>
    <row r="54" spans="1:1" s="47" customFormat="1">
      <c r="A54" s="47" t="s">
        <v>7405</v>
      </c>
    </row>
    <row r="55" spans="1:1" s="47" customFormat="1">
      <c r="A55" s="47" t="s">
        <v>7404</v>
      </c>
    </row>
    <row r="56" spans="1:1" s="47" customFormat="1">
      <c r="A56" s="47" t="s">
        <v>7402</v>
      </c>
    </row>
    <row r="57" spans="1:1">
      <c r="A57" s="62" t="s">
        <v>7408</v>
      </c>
    </row>
    <row r="58" spans="1:1">
      <c r="A58" s="62" t="s">
        <v>7407</v>
      </c>
    </row>
    <row r="59" spans="1:1">
      <c r="A59" s="62" t="s">
        <v>7406</v>
      </c>
    </row>
    <row r="60" spans="1:1" s="47" customFormat="1">
      <c r="A60" s="62"/>
    </row>
    <row r="61" spans="1:1" s="47" customFormat="1">
      <c r="A61" s="47" t="s">
        <v>7416</v>
      </c>
    </row>
    <row r="62" spans="1:1" s="47" customFormat="1">
      <c r="A62" s="62" t="s">
        <v>7403</v>
      </c>
    </row>
    <row r="63" spans="1:1" s="47" customFormat="1">
      <c r="A63" s="62" t="s">
        <v>7413</v>
      </c>
    </row>
    <row r="64" spans="1:1" s="47" customFormat="1">
      <c r="A64" s="62" t="s">
        <v>7415</v>
      </c>
    </row>
    <row r="65" spans="1:1" s="47" customFormat="1">
      <c r="A65" s="2503" t="s">
        <v>7414</v>
      </c>
    </row>
    <row r="66" spans="1:1" s="47" customFormat="1"/>
    <row r="67" spans="1:1" s="47" customFormat="1">
      <c r="A67" s="47" t="s">
        <v>7411</v>
      </c>
    </row>
    <row r="68" spans="1:1" s="47" customFormat="1">
      <c r="A68" s="47" t="s">
        <v>7410</v>
      </c>
    </row>
    <row r="69" spans="1:1" s="47" customFormat="1">
      <c r="A69" s="47" t="s">
        <v>7409</v>
      </c>
    </row>
    <row r="70" spans="1:1" s="47" customFormat="1"/>
    <row r="71" spans="1:1">
      <c r="A71" s="47" t="s">
        <v>7412</v>
      </c>
    </row>
    <row r="74" spans="1:1">
      <c r="A74" s="1801" t="s">
        <v>7426</v>
      </c>
    </row>
    <row r="75" spans="1:1" s="47" customFormat="1">
      <c r="A75" s="47" t="s">
        <v>7419</v>
      </c>
    </row>
    <row r="76" spans="1:1" s="47" customFormat="1"/>
    <row r="77" spans="1:1" s="47" customFormat="1">
      <c r="A77" s="47" t="s">
        <v>7420</v>
      </c>
    </row>
    <row r="78" spans="1:1" s="47" customFormat="1">
      <c r="A78" s="47" t="s">
        <v>7421</v>
      </c>
    </row>
    <row r="79" spans="1:1" s="47" customFormat="1">
      <c r="A79" s="47" t="s">
        <v>7422</v>
      </c>
    </row>
    <row r="80" spans="1:1" s="47" customFormat="1">
      <c r="A80" s="47" t="s">
        <v>7423</v>
      </c>
    </row>
    <row r="81" spans="1:1" s="47" customFormat="1">
      <c r="A81" s="47" t="s">
        <v>7424</v>
      </c>
    </row>
    <row r="82" spans="1:1" s="47" customFormat="1">
      <c r="A82" s="47" t="s">
        <v>7425</v>
      </c>
    </row>
    <row r="83" spans="1:1" s="47" customFormat="1"/>
    <row r="84" spans="1:1" s="47" customFormat="1"/>
    <row r="85" spans="1:1">
      <c r="A85" s="1801" t="s">
        <v>7618</v>
      </c>
    </row>
    <row r="86" spans="1:1">
      <c r="A86" s="71" t="s">
        <v>7619</v>
      </c>
    </row>
    <row r="87" spans="1:1">
      <c r="A87" s="71"/>
    </row>
    <row r="88" spans="1:1">
      <c r="A88" s="71" t="s">
        <v>7620</v>
      </c>
    </row>
    <row r="89" spans="1:1">
      <c r="A89" s="71"/>
    </row>
    <row r="90" spans="1:1">
      <c r="A90" s="71" t="s">
        <v>7621</v>
      </c>
    </row>
    <row r="91" spans="1:1">
      <c r="A91" s="71" t="s">
        <v>7622</v>
      </c>
    </row>
    <row r="92" spans="1:1">
      <c r="A92" s="71" t="s">
        <v>7623</v>
      </c>
    </row>
    <row r="93" spans="1:1">
      <c r="A93" s="71" t="s">
        <v>7626</v>
      </c>
    </row>
    <row r="95" spans="1:1">
      <c r="A95" s="71" t="s">
        <v>7630</v>
      </c>
    </row>
    <row r="96" spans="1:1">
      <c r="A96" s="71" t="s">
        <v>7631</v>
      </c>
    </row>
    <row r="97" spans="1:1">
      <c r="A97" s="71" t="s">
        <v>7627</v>
      </c>
    </row>
    <row r="98" spans="1:1">
      <c r="A98" s="71" t="s">
        <v>7624</v>
      </c>
    </row>
    <row r="100" spans="1:1">
      <c r="A100" s="71" t="s">
        <v>7628</v>
      </c>
    </row>
    <row r="101" spans="1:1">
      <c r="A101" s="71" t="s">
        <v>7625</v>
      </c>
    </row>
    <row r="103" spans="1:1">
      <c r="A103" s="71" t="s">
        <v>7629</v>
      </c>
    </row>
    <row r="104" spans="1:1">
      <c r="A104" s="71" t="s">
        <v>7632</v>
      </c>
    </row>
    <row r="107" spans="1:1">
      <c r="A107" s="1801" t="s">
        <v>8018</v>
      </c>
    </row>
    <row r="108" spans="1:1" s="47" customFormat="1">
      <c r="A108" s="47" t="s">
        <v>8019</v>
      </c>
    </row>
    <row r="109" spans="1:1" s="47" customFormat="1"/>
    <row r="110" spans="1:1" s="47" customFormat="1">
      <c r="A110" s="47" t="s">
        <v>8020</v>
      </c>
    </row>
    <row r="111" spans="1:1" s="47" customFormat="1">
      <c r="A111" s="47" t="s">
        <v>8021</v>
      </c>
    </row>
    <row r="112" spans="1:1" s="47" customFormat="1"/>
    <row r="113" spans="1:1" s="47" customFormat="1">
      <c r="A113" s="47" t="s">
        <v>8022</v>
      </c>
    </row>
    <row r="114" spans="1:1" s="47" customFormat="1"/>
    <row r="115" spans="1:1" s="47" customFormat="1"/>
    <row r="116" spans="1:1" s="47" customFormat="1">
      <c r="A116" s="1801" t="s">
        <v>9064</v>
      </c>
    </row>
    <row r="117" spans="1:1" s="47" customFormat="1">
      <c r="A117" s="47" t="s">
        <v>9065</v>
      </c>
    </row>
    <row r="118" spans="1:1" s="47" customFormat="1"/>
    <row r="119" spans="1:1" s="47" customFormat="1">
      <c r="A119" s="47" t="s">
        <v>9066</v>
      </c>
    </row>
    <row r="120" spans="1:1" s="47" customFormat="1">
      <c r="A120" s="47" t="s">
        <v>9067</v>
      </c>
    </row>
    <row r="121" spans="1:1" s="47" customFormat="1">
      <c r="A121" s="47" t="s">
        <v>9068</v>
      </c>
    </row>
    <row r="122" spans="1:1" s="47" customFormat="1"/>
    <row r="123" spans="1:1" s="47" customFormat="1">
      <c r="A123" s="47" t="s">
        <v>9070</v>
      </c>
    </row>
    <row r="124" spans="1:1" s="47" customFormat="1">
      <c r="A124" s="47" t="s">
        <v>9072</v>
      </c>
    </row>
    <row r="125" spans="1:1" s="47" customFormat="1">
      <c r="A125" s="47" t="s">
        <v>9071</v>
      </c>
    </row>
    <row r="126" spans="1:1" s="47" customFormat="1"/>
    <row r="127" spans="1:1" s="47" customFormat="1">
      <c r="A127" s="47" t="s">
        <v>9074</v>
      </c>
    </row>
    <row r="128" spans="1:1">
      <c r="A128" s="47" t="s">
        <v>9073</v>
      </c>
    </row>
  </sheetData>
  <phoneticPr fontId="0" type="noConversion"/>
  <pageMargins left="0.25" right="0.25" top="0.5" bottom="0.5" header="0.5" footer="0.5"/>
  <pageSetup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49" customWidth="1"/>
    <col min="15" max="15" width="13.7109375" customWidth="1"/>
    <col min="37" max="37" width="15.5703125" customWidth="1"/>
    <col min="38" max="38" width="16" customWidth="1"/>
  </cols>
  <sheetData>
    <row r="1" spans="1:8">
      <c r="A1" s="23" t="s">
        <v>78</v>
      </c>
      <c r="C1" s="873">
        <f>'Data Entry - SOF'!B1</f>
        <v>0</v>
      </c>
      <c r="D1" s="35"/>
      <c r="E1" s="1031"/>
      <c r="G1" s="1502"/>
      <c r="H1" s="83"/>
    </row>
    <row r="2" spans="1:8">
      <c r="A2" s="23" t="s">
        <v>79</v>
      </c>
      <c r="C2" s="15">
        <f>'Data Entry - SOF'!B2</f>
        <v>0</v>
      </c>
      <c r="G2" s="83"/>
      <c r="H2" s="83"/>
    </row>
    <row r="3" spans="1:8">
      <c r="A3" s="23" t="s">
        <v>164</v>
      </c>
      <c r="C3" s="87">
        <f ca="1">'Data Entry - SOF'!B3</f>
        <v>43146.631174305556</v>
      </c>
      <c r="G3" s="82"/>
    </row>
    <row r="4" spans="1:8">
      <c r="D4" s="916" t="s">
        <v>3733</v>
      </c>
    </row>
    <row r="5" spans="1:8">
      <c r="D5" s="917" t="s">
        <v>3742</v>
      </c>
    </row>
    <row r="7" spans="1:8">
      <c r="D7" s="23" t="s">
        <v>1573</v>
      </c>
    </row>
    <row r="8" spans="1:8">
      <c r="B8" s="4"/>
      <c r="D8" s="23" t="s">
        <v>942</v>
      </c>
      <c r="F8" s="22">
        <f>'Calc Data-SB1'!D7</f>
        <v>0</v>
      </c>
      <c r="G8" s="22"/>
      <c r="H8" s="21"/>
    </row>
    <row r="9" spans="1:8">
      <c r="D9" s="23" t="s">
        <v>1574</v>
      </c>
      <c r="F9" s="22">
        <f>'Calc Data-SB1'!D8</f>
        <v>0</v>
      </c>
      <c r="G9" s="22"/>
      <c r="H9" s="21"/>
    </row>
    <row r="10" spans="1:8">
      <c r="D10" s="23" t="s">
        <v>466</v>
      </c>
      <c r="F10" s="22">
        <f>'Data Entry - SOF'!E32</f>
        <v>0</v>
      </c>
      <c r="G10" s="22"/>
      <c r="H10" s="21"/>
    </row>
    <row r="11" spans="1:8">
      <c r="B11" s="23"/>
      <c r="D11" s="23" t="s">
        <v>467</v>
      </c>
      <c r="F11" s="22">
        <f>'Calc Data-SB1'!D10</f>
        <v>0</v>
      </c>
      <c r="G11" s="22"/>
      <c r="H11" s="21"/>
    </row>
    <row r="12" spans="1:8">
      <c r="D12" s="23" t="s">
        <v>468</v>
      </c>
      <c r="F12" s="19">
        <f>'Data Entry - SOF'!E48</f>
        <v>0</v>
      </c>
      <c r="G12" s="19"/>
      <c r="H12" s="19"/>
    </row>
    <row r="13" spans="1:8">
      <c r="D13" s="23" t="s">
        <v>469</v>
      </c>
      <c r="F13" s="1715" t="s">
        <v>4435</v>
      </c>
      <c r="G13" s="19"/>
      <c r="H13" s="19"/>
    </row>
    <row r="14" spans="1:8">
      <c r="D14" s="23" t="s">
        <v>2055</v>
      </c>
      <c r="F14" s="22">
        <f>'Data Entry - SOF'!E112</f>
        <v>0</v>
      </c>
      <c r="G14" s="22"/>
      <c r="H14" s="19"/>
    </row>
    <row r="15" spans="1:8">
      <c r="D15" s="23" t="s">
        <v>1319</v>
      </c>
      <c r="F15" s="22">
        <f>'Calc Data-SB1'!D59</f>
        <v>0</v>
      </c>
      <c r="G15" s="22"/>
      <c r="H15" s="20"/>
    </row>
    <row r="16" spans="1:8">
      <c r="D16" s="23" t="s">
        <v>2233</v>
      </c>
      <c r="F16" s="19">
        <f>'Data Entry - SOF'!E59</f>
        <v>0</v>
      </c>
      <c r="G16" s="19"/>
      <c r="H16" s="19"/>
    </row>
    <row r="17" spans="2:37" ht="13.5" thickBot="1">
      <c r="D17" s="31"/>
      <c r="E17" s="13"/>
      <c r="F17" s="13"/>
      <c r="G17" s="35"/>
      <c r="H17" s="32"/>
    </row>
    <row r="18" spans="2:37" ht="13.5" thickTop="1">
      <c r="D18" s="34"/>
      <c r="E18" s="35"/>
      <c r="F18" s="35"/>
      <c r="G18" s="35"/>
      <c r="H18" s="32"/>
    </row>
    <row r="19" spans="2:37" ht="15.75" hidden="1">
      <c r="D19" s="23"/>
      <c r="E19" s="973" t="s">
        <v>108</v>
      </c>
      <c r="F19" s="972" t="e">
        <f>IF(#REF!="y","ASATR DIST","FORMULA DIST")</f>
        <v>#REF!</v>
      </c>
      <c r="G19" s="1503"/>
      <c r="H19" s="23"/>
      <c r="AK19" t="s">
        <v>2630</v>
      </c>
    </row>
    <row r="20" spans="2:37" ht="15.75">
      <c r="B20" s="28" t="s">
        <v>470</v>
      </c>
      <c r="D20" s="23"/>
      <c r="F20" s="1505" t="s">
        <v>510</v>
      </c>
      <c r="G20" s="1505" t="s">
        <v>3732</v>
      </c>
      <c r="H20" s="23"/>
    </row>
    <row r="21" spans="2:37" ht="15.75">
      <c r="B21" s="28">
        <v>11</v>
      </c>
      <c r="D21" s="132" t="s">
        <v>3738</v>
      </c>
      <c r="F21" s="945">
        <f>ROUND(ROUND('Calc Data-SB1'!U9,0)*IF('Calc Data-SB1'!D11&gt;'Calc Data-SB1'!D10,'Calc Data-SB1'!D11,'Calc Data-SB1'!D10),0)</f>
        <v>0</v>
      </c>
      <c r="G21" s="945">
        <f>ROUND(ROUND('Calc Data-SB1'!U9,0)*IF('Calc Data-SB1'!D11&gt;'Calc Data-SB1'!D10,'Calc Data-SB1'!D11,'Calc Data-SB1'!D10),0)*Weights!I4</f>
        <v>0</v>
      </c>
      <c r="H21" s="19"/>
      <c r="I21" s="109" t="s">
        <v>971</v>
      </c>
      <c r="AK21" s="19" t="e">
        <f>ROUND(ROUND('Calc Data-SB1'!AB23,0)*IF('Calc Data-SB1'!#REF!&gt;'Calc Data-SB1'!#REF!,'Calc Data-SB1'!#REF!,'Calc Data-SB1'!#REF!),0)</f>
        <v>#REF!</v>
      </c>
    </row>
    <row r="22" spans="2:37">
      <c r="B22" s="28">
        <v>23</v>
      </c>
      <c r="D22" s="23" t="s">
        <v>102</v>
      </c>
      <c r="F22" s="19">
        <f>ROUND('Calc Data-SB1'!D9*ROUND('Calc Data-SB1'!U9,0),0)</f>
        <v>0</v>
      </c>
      <c r="G22" s="19">
        <f>ROUND('Calc Data-SB1'!D9*ROUND('Calc Data-SB1'!U9,0),0)</f>
        <v>0</v>
      </c>
      <c r="H22" s="19"/>
      <c r="AK22" s="19" t="e">
        <f>ROUND('Calc Data-SB1'!#REF!*ROUND('Calc Data-SB1'!AB23,0),0)</f>
        <v>#REF!</v>
      </c>
    </row>
    <row r="23" spans="2:37">
      <c r="B23" s="28"/>
      <c r="D23" s="23" t="s">
        <v>103</v>
      </c>
    </row>
    <row r="24" spans="2:37">
      <c r="B24" s="28">
        <v>23</v>
      </c>
      <c r="D24" s="23" t="s">
        <v>104</v>
      </c>
      <c r="F24" s="30">
        <f>ROUND('Data Entry - SOF'!E31*Weights!I21*ROUND('Calc Data-SB1'!U9,0),0)</f>
        <v>0</v>
      </c>
      <c r="G24" s="30">
        <f>ROUND('Data Entry - SOF'!E31*Weights!I21*ROUND('Calc Data-SB1'!U9,0),0)</f>
        <v>0</v>
      </c>
      <c r="H24" s="30"/>
      <c r="AK24" s="30">
        <f>ROUND('Data Entry - SOF'!E31*1.1*ROUND('Calc Data-SB1'!AB23,0),0)</f>
        <v>0</v>
      </c>
    </row>
    <row r="25" spans="2:37">
      <c r="B25" s="28">
        <v>23</v>
      </c>
      <c r="D25" s="23" t="s">
        <v>105</v>
      </c>
      <c r="F25" s="19">
        <f>ROUND((+'Data Entry - SOF'!E29*Weights!I19)*ROUND('Calc Data-SB1'!U9,0),0)</f>
        <v>0</v>
      </c>
      <c r="G25" s="19">
        <f>ROUND((+'Data Entry - SOF'!E29*Weights!I19)*ROUND('Calc Data-SB1'!U9,0),0)</f>
        <v>0</v>
      </c>
      <c r="H25" s="19"/>
      <c r="AK25" s="19">
        <f>ROUND((+'Data Entry - SOF'!E29*4)*ROUND('Calc Data-SB1'!AB23,0),0)</f>
        <v>0</v>
      </c>
    </row>
    <row r="26" spans="2:37">
      <c r="B26" s="28">
        <v>23</v>
      </c>
      <c r="D26" s="25" t="s">
        <v>919</v>
      </c>
      <c r="F26" s="19">
        <f>ROUND((+'Data Entry - SOF'!E27*Weights!I17)*ROUND('Calc Data-SB1'!U9,0),0)</f>
        <v>0</v>
      </c>
      <c r="G26" s="19">
        <f>ROUND((+'Data Entry - SOF'!E27*Weights!I17)*ROUND('Calc Data-SB1'!U9,0),0)</f>
        <v>0</v>
      </c>
      <c r="H26" s="19"/>
      <c r="AK26" s="19">
        <f>ROUND((+'Data Entry - SOF'!E27*2.8)*ROUND('Calc Data-SB1'!AB23,0),0)</f>
        <v>0</v>
      </c>
    </row>
    <row r="27" spans="2:37">
      <c r="B27" s="28">
        <v>23</v>
      </c>
      <c r="D27" s="25" t="s">
        <v>920</v>
      </c>
      <c r="F27" s="19">
        <f>ROUND(('Data Entry - SOF'!E28*Weights!I18)*ROUND('Calc Data-SB1'!U9,0),0)</f>
        <v>0</v>
      </c>
      <c r="G27" s="19">
        <f>ROUND(('Data Entry - SOF'!E28*Weights!I18)*ROUND('Calc Data-SB1'!U9,0),0)</f>
        <v>0</v>
      </c>
      <c r="H27" s="19"/>
      <c r="AK27" s="19">
        <f>ROUND(('Data Entry - SOF'!E28*1.7)*ROUND('Calc Data-SB1'!AB23,0),0)</f>
        <v>0</v>
      </c>
    </row>
    <row r="28" spans="2:37">
      <c r="B28" s="28"/>
      <c r="D28" s="23" t="s">
        <v>1308</v>
      </c>
      <c r="F28" s="19">
        <f>IF('Data Entry - SOF'!E71&lt;0,'Data Entry - SOF'!E71,'Data Entry - SOF'!E71*-1)</f>
        <v>0</v>
      </c>
      <c r="G28" s="19">
        <f>IF('Data Entry - SOF'!E71&lt;0,'Data Entry - SOF'!E71,'Data Entry - SOF'!E71*-1)</f>
        <v>0</v>
      </c>
      <c r="H28" s="19"/>
      <c r="AK28" s="19">
        <v>0</v>
      </c>
    </row>
    <row r="29" spans="2:37">
      <c r="B29" s="28">
        <v>22</v>
      </c>
      <c r="C29" s="17"/>
      <c r="D29" s="23" t="s">
        <v>119</v>
      </c>
      <c r="F29" s="19">
        <f>ROUND(ROUND('Calc Data-SB1'!U9,0)*'Data Entry - SOF'!E32*Weights!I23,0)</f>
        <v>0</v>
      </c>
      <c r="G29" s="19">
        <f>ROUND(ROUND('Calc Data-SB1'!U9,0)*'Data Entry - SOF'!E32*Weights!I23,0)</f>
        <v>0</v>
      </c>
      <c r="H29" s="19"/>
      <c r="AK29" s="19">
        <f>ROUND(ROUND('Calc Data-SB1'!AB23,0)*'Data Entry - SOF'!E32*1.35,0)</f>
        <v>0</v>
      </c>
    </row>
    <row r="30" spans="2:37">
      <c r="B30" s="28"/>
      <c r="C30" s="17"/>
      <c r="D30" s="47" t="s">
        <v>716</v>
      </c>
      <c r="F30" s="19">
        <f>Weights!I24*'Data Entry - SOF'!E33</f>
        <v>0</v>
      </c>
      <c r="G30" s="19">
        <f>Weights!I24*'Data Entry - SOF'!E33</f>
        <v>0</v>
      </c>
      <c r="H30" s="19"/>
      <c r="AK30" s="19"/>
    </row>
    <row r="31" spans="2:37" hidden="1">
      <c r="B31" s="28"/>
      <c r="C31" s="17"/>
      <c r="D31" s="47" t="s">
        <v>717</v>
      </c>
      <c r="F31" s="19">
        <f>400*'Data Entry - SOF'!E34</f>
        <v>0</v>
      </c>
      <c r="G31" s="19">
        <f t="shared" ref="G31:G43" si="0">F31</f>
        <v>0</v>
      </c>
      <c r="H31" s="19"/>
      <c r="AK31" s="19"/>
    </row>
    <row r="32" spans="2:37" hidden="1">
      <c r="B32" s="28"/>
      <c r="C32" s="17"/>
      <c r="D32" s="47" t="s">
        <v>718</v>
      </c>
      <c r="F32" s="19">
        <f>80*'Data Entry - SOF'!E35</f>
        <v>0</v>
      </c>
      <c r="G32" s="19">
        <f t="shared" si="0"/>
        <v>0</v>
      </c>
      <c r="H32" s="19"/>
      <c r="AK32" s="19"/>
    </row>
    <row r="33" spans="2:37">
      <c r="B33" s="28">
        <v>21</v>
      </c>
      <c r="D33" s="23" t="s">
        <v>3030</v>
      </c>
      <c r="F33" s="19">
        <f>ROUND(ROUND('Calc Data-SB1'!U9,0)*'Data Entry - SOF'!E157*Weights!I28,0)</f>
        <v>0</v>
      </c>
      <c r="G33" s="19">
        <f>ROUND(ROUND('Calc Data-SB1'!U9,0)*'Data Entry - SOF'!E157*Weights!I28,0)</f>
        <v>0</v>
      </c>
      <c r="H33" s="19"/>
      <c r="AK33" s="19" t="e">
        <f>ROUND(ROUND('Calc Data-SB1'!AB23,0)*'Data Entry - SOF'!#REF!*0.12,0)</f>
        <v>#REF!</v>
      </c>
    </row>
    <row r="34" spans="2:37">
      <c r="B34" s="28"/>
      <c r="D34" s="23" t="s">
        <v>433</v>
      </c>
      <c r="F34" s="19">
        <f>IF('Data Entry - SOF'!E70&lt;0,'Data Entry - SOF'!E70,'Data Entry - SOF'!E70*-1)</f>
        <v>0</v>
      </c>
      <c r="G34" s="19">
        <f>IF('Data Entry - SOF'!E70&lt;0,'Data Entry - SOF'!E70,'Data Entry - SOF'!E70*-1)</f>
        <v>0</v>
      </c>
      <c r="H34" s="19"/>
      <c r="AK34" s="19">
        <v>0</v>
      </c>
    </row>
    <row r="35" spans="2:37">
      <c r="B35" s="28" t="s">
        <v>2857</v>
      </c>
      <c r="D35" s="23" t="s">
        <v>434</v>
      </c>
      <c r="F35" s="19">
        <f>ROUND(ROUND('Calc Data-SB1'!U9,0)*'Data Entry - SOF'!E36*Weights!I30,0)</f>
        <v>0</v>
      </c>
      <c r="G35" s="19">
        <f>ROUND(ROUND('Calc Data-SB1'!U9,0)*'Data Entry - SOF'!E36*Weights!I30,0)</f>
        <v>0</v>
      </c>
      <c r="H35" s="19"/>
      <c r="AK35" s="19">
        <f>ROUND(ROUND('Calc Data-SB1'!AB23,0)*'Data Entry - SOF'!E36*0.2,0)</f>
        <v>0</v>
      </c>
    </row>
    <row r="36" spans="2:37">
      <c r="B36" s="28" t="s">
        <v>2857</v>
      </c>
      <c r="D36" s="23" t="s">
        <v>435</v>
      </c>
      <c r="F36" s="19">
        <f>ROUND(ROUND('Calc Data-SB1'!U9,0)*'Data Entry - SOF'!E37*Weights!I31,0)</f>
        <v>0</v>
      </c>
      <c r="G36" s="19">
        <f>ROUND(ROUND('Calc Data-SB1'!U9,0)*'Data Entry - SOF'!E37*Weights!I31,0)</f>
        <v>0</v>
      </c>
      <c r="H36" s="19"/>
      <c r="AK36" s="19">
        <f>ROUND(ROUND('Calc Data-SB1'!AB23,0)*'Data Entry - SOF'!E37*2.41,0)</f>
        <v>0</v>
      </c>
    </row>
    <row r="37" spans="2:37" hidden="1">
      <c r="B37" s="28" t="s">
        <v>2857</v>
      </c>
      <c r="D37" s="97" t="s">
        <v>491</v>
      </c>
      <c r="E37" s="944"/>
      <c r="F37" s="19">
        <f>650*'Data Entry - SOF'!E38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Data-SB1'!U9,0)*('Data Entry - SOF'!E39*Weights!I26),0)</f>
        <v>0</v>
      </c>
      <c r="G39" s="19">
        <f>ROUND(ROUND('Calc Data-SB1'!U9,0)*('Data Entry - SOF'!E39*Weights!I26),0)</f>
        <v>0</v>
      </c>
      <c r="H39" s="19"/>
      <c r="AK39" s="19">
        <f>ROUND(ROUND('Calc Data-SB1'!AB23,0)*('Data Entry - SOF'!E39*0.1),0)</f>
        <v>0</v>
      </c>
    </row>
    <row r="40" spans="2:37">
      <c r="B40" s="28">
        <v>31</v>
      </c>
      <c r="D40" s="47" t="s">
        <v>2792</v>
      </c>
      <c r="F40" s="19">
        <f>Weights!I33*'Data Entry - SOF'!E18</f>
        <v>0</v>
      </c>
      <c r="G40" s="19">
        <f>Weights!I33*'Data Entry - SOF'!E18</f>
        <v>0</v>
      </c>
      <c r="H40" s="19"/>
      <c r="AK40" s="19" t="e">
        <f>#REF!</f>
        <v>#REF!</v>
      </c>
    </row>
    <row r="41" spans="2:37">
      <c r="B41" s="28"/>
      <c r="D41" s="23" t="s">
        <v>984</v>
      </c>
      <c r="F41" s="19">
        <f>ROUND(ROUND('Calc Data-SB1'!U9,0)*'Data Entry - SOF'!E41*Weights!I37,0)</f>
        <v>0</v>
      </c>
      <c r="G41" s="19">
        <f>ROUND(ROUND('Calc Data-SB1'!U9,0)*'Data Entry - SOF'!E41*Weights!I37,0)</f>
        <v>0</v>
      </c>
      <c r="H41" s="19"/>
      <c r="AK41" s="19">
        <f>ROUND(ROUND('Calc Data-SB1'!AB23,0)*'Data Entry - SOF'!E41*0.1,0)</f>
        <v>0</v>
      </c>
    </row>
    <row r="42" spans="2:37" ht="15.75">
      <c r="B42" s="28"/>
      <c r="D42" s="955" t="s">
        <v>427</v>
      </c>
      <c r="F42" s="116">
        <v>0</v>
      </c>
      <c r="G42" s="19">
        <f t="shared" si="0"/>
        <v>0</v>
      </c>
      <c r="H42" s="19"/>
      <c r="AK42" s="19">
        <f>'Data Entry - SOF'!E42*250</f>
        <v>0</v>
      </c>
    </row>
    <row r="43" spans="2:37">
      <c r="B43" s="28">
        <v>99</v>
      </c>
      <c r="D43" s="23" t="s">
        <v>2385</v>
      </c>
      <c r="F43" s="29">
        <f>'Data Entry - SOF'!E66</f>
        <v>0</v>
      </c>
      <c r="G43" s="1506">
        <f t="shared" si="0"/>
        <v>0</v>
      </c>
      <c r="H43" s="32"/>
      <c r="AK43" s="29">
        <f>'Data Entry - SOF'!E66</f>
        <v>0</v>
      </c>
    </row>
    <row r="44" spans="2:37">
      <c r="D44" s="23" t="s">
        <v>576</v>
      </c>
      <c r="F44" s="19">
        <f>SUM(F21:F43)</f>
        <v>0</v>
      </c>
      <c r="G44" s="19">
        <f>SUM(G21:G43)</f>
        <v>0</v>
      </c>
      <c r="H44" s="19"/>
      <c r="AK44" s="19" t="e">
        <f>SUM(AK21:AK43)</f>
        <v>#REF!</v>
      </c>
    </row>
    <row r="45" spans="2:37">
      <c r="D45" s="23" t="s">
        <v>890</v>
      </c>
      <c r="F45" s="36">
        <f>IF('Data Entry - SOF'!E108&gt;1.00005,1.00005*('Data Entry - SOF'!E48/100),'Data Entry - SOF'!E108*('Data Entry - SOF'!E48/100))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49" t="s">
        <v>835</v>
      </c>
      <c r="H48" s="37"/>
      <c r="M48" s="62"/>
      <c r="AK48" s="37"/>
    </row>
    <row r="49" spans="4:9">
      <c r="D49" s="23" t="s">
        <v>1716</v>
      </c>
      <c r="F49" s="90">
        <f>IF(F46&lt;F77+F40+F31+F32,F77+F40+F31+F32,F46)</f>
        <v>0</v>
      </c>
      <c r="G49" s="90" t="e">
        <f>IF(G46&lt;G77+G40+G31+G32,G77+G40+G31+G32,G46)</f>
        <v>#REF!</v>
      </c>
      <c r="H49" s="37"/>
      <c r="I49" s="62" t="s">
        <v>3057</v>
      </c>
    </row>
    <row r="50" spans="4:9" hidden="1">
      <c r="D50" s="23" t="s">
        <v>2596</v>
      </c>
      <c r="H50" s="37" t="e">
        <f>ROUND(IF((24.7*'Calc Data-SB1'!#REF!*IF('Calc Data-SB1'!#REF!&gt;=0.64,0.64,'Calc Data-SB1'!#REF!)*100)&lt;'Calc Data-SB1'!#REF!,0,(24.7*'Calc Data-SB1'!#REF!*IF('Calc Data-SB1'!#REF!&gt;=0.64,0.64,'Calc Data-SB1'!#REF!)*100)-'Calc Data-SB1'!#REF!),0)</f>
        <v>#REF!</v>
      </c>
    </row>
    <row r="51" spans="4:9">
      <c r="D51" s="23"/>
      <c r="H51" s="37"/>
    </row>
    <row r="52" spans="4:9">
      <c r="D52" s="23" t="s">
        <v>2748</v>
      </c>
      <c r="F52" s="37" t="e">
        <f>ROUND(IF((Assumptions!G48*'Calc Data-SB1'!V11*'Calc Data-SB1'!D35*100)&lt;'Calc Data-SB1'!D42,0,(Assumptions!G48*'Calc Data-SB1'!V11*'Calc Data-SB1'!D35*100)-'Calc Data-SB1'!D42),0)</f>
        <v>#DIV/0!</v>
      </c>
      <c r="G52" s="37" t="e">
        <f>ROUND(IF((Assumptions!G48*'Calc Data-SB1'!U11*'Calc Data-SB1'!D35*100)&lt;'Calc Data-SB1'!D42,0,(Assumptions!G48*'Calc Data-SB1'!U11*'Calc Data-SB1'!D35*100)-'Calc Data-SB1'!D42),0)</f>
        <v>#DIV/0!</v>
      </c>
      <c r="H52" s="37"/>
    </row>
    <row r="53" spans="4:9">
      <c r="D53" s="23" t="s">
        <v>515</v>
      </c>
      <c r="F53" s="66" t="e">
        <f>ROUND(IF((Assumptions!G49*'Calc Data-SB1'!V11*'Calc Data-SB1'!D38*100)&lt;'Calc Data-SB1'!D43,0,(Assumptions!G49*'Calc Data-SB1'!V11*'Calc Data-SB1'!D38*100)-'Calc Data-SB1'!D43),0)</f>
        <v>#DIV/0!</v>
      </c>
      <c r="G53" s="66" t="e">
        <f>ROUND(IF((Assumptions!G49*'Calc Data-SB1'!U11*'Calc Data-SB1'!D38*100)&lt;'Calc Data-SB1'!D43,0,(Assumptions!G49*'Calc Data-SB1'!U11*'Calc Data-SB1'!D38*100)-'Calc Data-SB1'!D43),0)</f>
        <v>#DIV/0!</v>
      </c>
      <c r="H53" s="37"/>
    </row>
    <row r="54" spans="4:9">
      <c r="D54" s="23" t="s">
        <v>315</v>
      </c>
      <c r="F54" s="37" t="e">
        <f>SUM(F50:F53)</f>
        <v>#DIV/0!</v>
      </c>
      <c r="G54" s="37" t="e">
        <f>SUM(G50:G53)</f>
        <v>#DIV/0!</v>
      </c>
      <c r="H54" s="37"/>
    </row>
    <row r="55" spans="4:9">
      <c r="D55" s="23"/>
      <c r="H55" s="37"/>
    </row>
    <row r="56" spans="4:9">
      <c r="D56" s="23" t="s">
        <v>832</v>
      </c>
      <c r="H56" s="37"/>
    </row>
    <row r="57" spans="4:9" ht="15.75">
      <c r="D57" s="132" t="s">
        <v>2043</v>
      </c>
      <c r="F57" s="195" t="e">
        <f>'ASATR-SB1'!Y27</f>
        <v>#DIV/0!</v>
      </c>
      <c r="G57" s="195" t="e">
        <f>'ASATR-SB1'!#REF!</f>
        <v>#REF!</v>
      </c>
      <c r="H57" s="37"/>
    </row>
    <row r="58" spans="4:9">
      <c r="D58" s="23" t="s">
        <v>859</v>
      </c>
      <c r="F58" s="37">
        <f>'Data Entry - SOF'!E76</f>
        <v>0</v>
      </c>
      <c r="G58" s="37">
        <f>F58</f>
        <v>0</v>
      </c>
      <c r="H58" s="37"/>
    </row>
    <row r="59" spans="4:9">
      <c r="D59" s="23" t="s">
        <v>3489</v>
      </c>
      <c r="F59" s="37">
        <f>'Data Entry - SOF'!E75</f>
        <v>0</v>
      </c>
      <c r="G59" s="37">
        <f t="shared" ref="G59:G69" si="1">F59</f>
        <v>0</v>
      </c>
      <c r="H59" s="37"/>
    </row>
    <row r="60" spans="4:9">
      <c r="D60" s="23" t="s">
        <v>3490</v>
      </c>
      <c r="F60" s="37">
        <f>'Data Entry - SOF'!E77</f>
        <v>0</v>
      </c>
      <c r="G60" s="37">
        <f t="shared" si="1"/>
        <v>0</v>
      </c>
      <c r="H60" s="37"/>
    </row>
    <row r="61" spans="4:9">
      <c r="D61" s="23" t="s">
        <v>3491</v>
      </c>
      <c r="F61" s="37">
        <f>'Data Entry - SOF'!E78</f>
        <v>0</v>
      </c>
      <c r="G61" s="37">
        <f t="shared" si="1"/>
        <v>0</v>
      </c>
      <c r="H61" s="37"/>
    </row>
    <row r="62" spans="4:9">
      <c r="D62" s="23" t="s">
        <v>3492</v>
      </c>
      <c r="F62" s="37">
        <f>'Data Entry - SOF'!E79</f>
        <v>0</v>
      </c>
      <c r="G62" s="37">
        <f t="shared" si="1"/>
        <v>0</v>
      </c>
      <c r="H62" s="37"/>
    </row>
    <row r="63" spans="4:9">
      <c r="D63" s="23" t="s">
        <v>3493</v>
      </c>
      <c r="F63" s="37">
        <v>0</v>
      </c>
      <c r="G63" s="37">
        <f t="shared" si="1"/>
        <v>0</v>
      </c>
      <c r="H63" s="37"/>
    </row>
    <row r="64" spans="4:9">
      <c r="D64" s="23" t="s">
        <v>3494</v>
      </c>
      <c r="F64" s="37">
        <f>'Data Entry - SOF'!E80</f>
        <v>0</v>
      </c>
      <c r="G64" s="37">
        <f t="shared" si="1"/>
        <v>0</v>
      </c>
      <c r="H64" s="37"/>
    </row>
    <row r="65" spans="1:8">
      <c r="D65" s="23" t="s">
        <v>2801</v>
      </c>
      <c r="F65" s="37">
        <v>0</v>
      </c>
      <c r="G65" s="37">
        <f t="shared" si="1"/>
        <v>0</v>
      </c>
      <c r="H65" s="37"/>
    </row>
    <row r="66" spans="1:8">
      <c r="D66" s="23" t="s">
        <v>2793</v>
      </c>
      <c r="F66" s="37">
        <f>(500*'Data Entry - SOF'!E44)+(250*'Data Entry - SOF'!E45)</f>
        <v>0</v>
      </c>
      <c r="G66" s="37">
        <f t="shared" si="1"/>
        <v>0</v>
      </c>
      <c r="H66" s="37"/>
    </row>
    <row r="67" spans="1:8">
      <c r="D67" s="23" t="s">
        <v>833</v>
      </c>
      <c r="F67" s="905" t="e">
        <f>(('Data Entry - SOF'!E69/'Data Entry - SOF'!C17)*'Data Entry - SOF'!E67)*-1</f>
        <v>#DIV/0!</v>
      </c>
      <c r="G67" s="37" t="e">
        <f t="shared" si="1"/>
        <v>#DIV/0!</v>
      </c>
      <c r="H67" s="37"/>
    </row>
    <row r="68" spans="1:8">
      <c r="D68" s="23" t="s">
        <v>834</v>
      </c>
      <c r="F68" s="1241" t="e">
        <f>(('Data Entry - SOF'!E69/'Data Entry - SOF'!C17)*'Data Entry - SOF'!E68)*-1</f>
        <v>#DIV/0!</v>
      </c>
      <c r="G68" s="37" t="e">
        <f t="shared" si="1"/>
        <v>#DIV/0!</v>
      </c>
      <c r="H68" s="37"/>
    </row>
    <row r="69" spans="1:8">
      <c r="D69" s="23" t="s">
        <v>3399</v>
      </c>
      <c r="F69" s="1242">
        <v>0</v>
      </c>
      <c r="G69" s="66">
        <f t="shared" si="1"/>
        <v>0</v>
      </c>
      <c r="H69" s="37"/>
    </row>
    <row r="70" spans="1:8">
      <c r="D70" s="906" t="s">
        <v>200</v>
      </c>
      <c r="F70" s="37" t="e">
        <f>SUM(F57:F69)</f>
        <v>#DIV/0!</v>
      </c>
      <c r="G70" s="37" t="e">
        <f>SUM(G57:G69)</f>
        <v>#REF!</v>
      </c>
      <c r="H70" s="37"/>
    </row>
    <row r="71" spans="1:8">
      <c r="D71" s="906"/>
      <c r="F71" s="47"/>
      <c r="G71" s="47"/>
      <c r="H71" s="37"/>
    </row>
    <row r="72" spans="1:8">
      <c r="D72" s="23" t="s">
        <v>2749</v>
      </c>
      <c r="F72" s="37">
        <f>F77*-1</f>
        <v>0</v>
      </c>
      <c r="G72" s="37" t="e">
        <f>G77*-1</f>
        <v>#REF!</v>
      </c>
      <c r="H72" s="37"/>
    </row>
    <row r="73" spans="1:8" ht="13.5" thickBot="1">
      <c r="D73" s="23"/>
      <c r="H73" s="37"/>
    </row>
    <row r="74" spans="1:8" ht="13.5" thickTop="1">
      <c r="A74" s="909"/>
      <c r="B74" s="910"/>
      <c r="C74" s="910"/>
      <c r="D74" s="911"/>
      <c r="E74" s="910"/>
      <c r="F74" s="956"/>
      <c r="G74" s="35"/>
      <c r="H74" s="37"/>
    </row>
    <row r="75" spans="1:8">
      <c r="A75" s="912"/>
      <c r="B75" s="893" t="s">
        <v>202</v>
      </c>
      <c r="C75" s="35"/>
      <c r="D75" s="908"/>
      <c r="E75" s="35"/>
      <c r="F75" s="957"/>
      <c r="G75" s="35"/>
      <c r="H75" s="37"/>
    </row>
    <row r="76" spans="1:8">
      <c r="A76" s="912"/>
      <c r="B76" s="893" t="s">
        <v>1681</v>
      </c>
      <c r="C76" s="35"/>
      <c r="D76" s="101" t="s">
        <v>836</v>
      </c>
      <c r="E76" s="101"/>
      <c r="F76" s="189" t="e">
        <f>F49+F54+F70+F72</f>
        <v>#DIV/0!</v>
      </c>
      <c r="G76" s="189" t="e">
        <f>G49+G54+G70+G72</f>
        <v>#REF!</v>
      </c>
      <c r="H76" s="37"/>
    </row>
    <row r="77" spans="1:8">
      <c r="A77" s="912"/>
      <c r="B77" s="893" t="s">
        <v>1679</v>
      </c>
      <c r="C77" s="35"/>
      <c r="D77" s="101" t="s">
        <v>3005</v>
      </c>
      <c r="E77" s="101"/>
      <c r="F77" s="189">
        <f>'Data Entry - SOF'!C17*Assumptions!G96</f>
        <v>0</v>
      </c>
      <c r="G77" s="189" t="e">
        <f>'Calc Data-SB1'!#REF!*Assumptions!G96</f>
        <v>#REF!</v>
      </c>
      <c r="H77" s="37"/>
    </row>
    <row r="78" spans="1:8" ht="15.75">
      <c r="A78" s="912"/>
      <c r="B78" s="893" t="s">
        <v>1680</v>
      </c>
      <c r="C78" s="35"/>
      <c r="D78" s="952" t="s">
        <v>858</v>
      </c>
      <c r="E78" s="123"/>
      <c r="F78" s="959">
        <v>0</v>
      </c>
      <c r="G78" s="959">
        <v>0</v>
      </c>
      <c r="H78" s="37"/>
    </row>
    <row r="79" spans="1:8">
      <c r="A79" s="912"/>
      <c r="B79" s="893" t="s">
        <v>839</v>
      </c>
      <c r="C79" s="35"/>
      <c r="D79" s="101" t="s">
        <v>837</v>
      </c>
      <c r="E79" s="101"/>
      <c r="F79" s="189">
        <f>'Existing Debt'!G74</f>
        <v>0</v>
      </c>
      <c r="G79" s="189">
        <f>'Existing Debt'!G74</f>
        <v>0</v>
      </c>
      <c r="H79" s="37"/>
    </row>
    <row r="80" spans="1:8" ht="13.5" thickBot="1">
      <c r="A80" s="912"/>
      <c r="B80" s="893" t="s">
        <v>1251</v>
      </c>
      <c r="C80" s="35"/>
      <c r="D80" s="101" t="s">
        <v>838</v>
      </c>
      <c r="E80" s="101"/>
      <c r="F80" s="950">
        <f>IFA!H86+IFA!J75</f>
        <v>0</v>
      </c>
      <c r="G80" s="950">
        <f>IFA!H86+IFA!J75</f>
        <v>0</v>
      </c>
      <c r="H80" s="37"/>
    </row>
    <row r="81" spans="1:15">
      <c r="A81" s="912"/>
      <c r="B81" s="35"/>
      <c r="C81" s="35"/>
      <c r="D81" s="35"/>
      <c r="E81" s="35"/>
      <c r="F81" s="957"/>
      <c r="G81" s="957"/>
      <c r="H81" s="37"/>
    </row>
    <row r="82" spans="1:15" ht="12.75" customHeight="1" thickBot="1">
      <c r="A82" s="912"/>
      <c r="B82" s="35"/>
      <c r="C82" s="35"/>
      <c r="D82" s="101" t="s">
        <v>1155</v>
      </c>
      <c r="E82" s="35"/>
      <c r="F82" s="951" t="e">
        <f>SUM(F76:F80)</f>
        <v>#DIV/0!</v>
      </c>
      <c r="G82" s="951" t="e">
        <f>SUM(G76:G80)</f>
        <v>#REF!</v>
      </c>
      <c r="H82" s="37"/>
    </row>
    <row r="83" spans="1:15" ht="13.5" hidden="1" thickTop="1">
      <c r="A83" s="912"/>
      <c r="B83" s="35"/>
      <c r="C83" s="35"/>
      <c r="D83" s="34" t="s">
        <v>513</v>
      </c>
      <c r="E83" s="35"/>
      <c r="F83" s="35"/>
      <c r="G83" s="35"/>
      <c r="H83" s="37"/>
      <c r="K83" s="173"/>
      <c r="L83" s="229"/>
    </row>
    <row r="84" spans="1:15" ht="14.25" thickTop="1" thickBot="1">
      <c r="A84" s="913"/>
      <c r="B84" s="914"/>
      <c r="C84" s="914"/>
      <c r="D84" s="915"/>
      <c r="E84" s="914"/>
      <c r="F84" s="970"/>
      <c r="G84" s="35"/>
      <c r="H84" s="19"/>
    </row>
    <row r="85" spans="1:15" ht="13.5" thickTop="1">
      <c r="B85" s="23"/>
      <c r="H85" s="59"/>
      <c r="M85" s="121"/>
      <c r="N85" s="421"/>
      <c r="O85" s="5"/>
    </row>
    <row r="86" spans="1:15">
      <c r="M86" s="5"/>
    </row>
    <row r="87" spans="1:15" ht="13.5" thickBot="1"/>
    <row r="88" spans="1:15" ht="13.5" thickTop="1">
      <c r="A88" s="918" t="s">
        <v>2816</v>
      </c>
      <c r="B88" s="91"/>
      <c r="C88" s="91"/>
      <c r="D88" s="91"/>
      <c r="E88" s="91"/>
      <c r="F88" s="183"/>
      <c r="G88" s="35"/>
    </row>
    <row r="89" spans="1:15">
      <c r="A89" s="186"/>
      <c r="B89" s="35"/>
      <c r="C89" s="35"/>
      <c r="D89" s="35"/>
      <c r="E89" s="35"/>
      <c r="F89" s="184"/>
      <c r="G89" s="35"/>
    </row>
    <row r="90" spans="1:15">
      <c r="A90" s="185" t="s">
        <v>2477</v>
      </c>
      <c r="B90" s="35"/>
      <c r="C90" s="35"/>
      <c r="D90" s="35"/>
      <c r="E90" s="35"/>
      <c r="F90" s="894" t="e">
        <f>IF(F76&lt;0,F77,F76+F77)</f>
        <v>#DIV/0!</v>
      </c>
      <c r="G90" s="894" t="e">
        <f>IF(G76&lt;0,G77,G76+G77)</f>
        <v>#REF!</v>
      </c>
    </row>
    <row r="91" spans="1:15">
      <c r="A91" s="239" t="s">
        <v>1910</v>
      </c>
      <c r="B91" s="35"/>
      <c r="C91" s="35"/>
      <c r="D91" s="35"/>
      <c r="E91" s="35"/>
      <c r="F91" s="895" t="e">
        <f>'Calc Data-SB1'!D30-'ASATR-SB1'!Y24</f>
        <v>#DIV/0!</v>
      </c>
      <c r="G91" s="895" t="e">
        <f>'Calc Data-SB1'!D30-'ASATR-SB1'!#REF!</f>
        <v>#DIV/0!</v>
      </c>
      <c r="M91" s="121"/>
    </row>
    <row r="92" spans="1:15">
      <c r="A92" s="239" t="s">
        <v>1062</v>
      </c>
      <c r="B92" s="35"/>
      <c r="C92" s="35"/>
      <c r="D92" s="35"/>
      <c r="E92" s="35"/>
      <c r="F92" s="895" t="e">
        <f>'Calc Data-SB1'!D34</f>
        <v>#DIV/0!</v>
      </c>
      <c r="G92" s="895" t="e">
        <f>'Calc Data-SB1'!D34</f>
        <v>#DIV/0!</v>
      </c>
      <c r="M92" s="121"/>
    </row>
    <row r="93" spans="1:15">
      <c r="A93" s="239" t="s">
        <v>1063</v>
      </c>
      <c r="B93" s="35"/>
      <c r="C93" s="35"/>
      <c r="D93" s="35"/>
      <c r="E93" s="35"/>
      <c r="F93" s="1509" t="e">
        <f>'Calc Data-SB1'!D37-IF('Option Costs-HB3646'!DV57="N",MAX('Option Costs-HB3646'!DV54,'Option Costs-HB3646'!DX54),MIN('Option Costs-HB3646'!DV54,'Option Costs-HB3646'!DX54))</f>
        <v>#DIV/0!</v>
      </c>
      <c r="G93" s="1509" t="e">
        <f>'Calc Data-SB1'!D37-IF('Option Costs-HB3646'!DN57="N",MAX('Option Costs-HB3646'!DN54,'Option Costs-HB3646'!DP54),MIN('Option Costs-HB3646'!DN54,'Option Costs-HB3646'!DP54))</f>
        <v>#DIV/0!</v>
      </c>
    </row>
    <row r="94" spans="1:15">
      <c r="A94" s="239" t="s">
        <v>3498</v>
      </c>
      <c r="B94" s="35"/>
      <c r="C94" s="35"/>
      <c r="D94" s="35"/>
      <c r="E94" s="35"/>
      <c r="F94" s="895">
        <f>F69*-1</f>
        <v>0</v>
      </c>
      <c r="G94" s="895">
        <f>G69*-1</f>
        <v>0</v>
      </c>
    </row>
    <row r="95" spans="1:15">
      <c r="A95" s="239" t="s">
        <v>3710</v>
      </c>
      <c r="B95" s="35"/>
      <c r="C95" s="35"/>
      <c r="D95" s="35"/>
      <c r="E95" s="35"/>
      <c r="F95" s="958" t="e">
        <f>SUM(F90:F94)</f>
        <v>#DIV/0!</v>
      </c>
      <c r="G95" s="958" t="e">
        <f>SUM(G90:G94)</f>
        <v>#REF!</v>
      </c>
    </row>
    <row r="96" spans="1:15">
      <c r="A96" s="185" t="s">
        <v>1908</v>
      </c>
      <c r="B96" s="35"/>
      <c r="C96" s="35"/>
      <c r="D96" s="35"/>
      <c r="E96" s="35"/>
      <c r="F96" s="907" t="e">
        <f>IF(F76&gt;0,0,F76)</f>
        <v>#DIV/0!</v>
      </c>
      <c r="G96" s="907" t="e">
        <f>IF(G76&gt;0,0,G76)</f>
        <v>#REF!</v>
      </c>
    </row>
    <row r="97" spans="1:8">
      <c r="A97" s="423" t="s">
        <v>3711</v>
      </c>
      <c r="B97" s="35"/>
      <c r="C97" s="35"/>
      <c r="D97" s="35"/>
      <c r="E97" s="35"/>
      <c r="F97" s="958" t="e">
        <f>F95+F96</f>
        <v>#DIV/0!</v>
      </c>
      <c r="G97" s="958" t="e">
        <f>G95+G96</f>
        <v>#REF!</v>
      </c>
    </row>
    <row r="98" spans="1:8" ht="13.5" thickBot="1">
      <c r="A98" s="187"/>
      <c r="B98" s="50"/>
      <c r="C98" s="50"/>
      <c r="D98" s="50"/>
      <c r="E98" s="50"/>
      <c r="F98" s="188"/>
      <c r="G98" s="35"/>
    </row>
    <row r="99" spans="1:8" ht="13.5" hidden="1" thickTop="1">
      <c r="D99" s="47" t="s">
        <v>1399</v>
      </c>
      <c r="E99" s="47"/>
      <c r="F99" s="47"/>
      <c r="G99" s="47"/>
    </row>
    <row r="100" spans="1:8" ht="13.5" hidden="1" thickTop="1">
      <c r="D100" s="47" t="s">
        <v>511</v>
      </c>
      <c r="E100" s="47"/>
      <c r="F100" s="47"/>
      <c r="G100" s="47"/>
    </row>
    <row r="101" spans="1:8" ht="13.5" hidden="1" thickTop="1">
      <c r="D101" s="47" t="s">
        <v>512</v>
      </c>
    </row>
    <row r="102" spans="1:8" ht="13.5" hidden="1" thickTop="1">
      <c r="D102" s="47" t="s">
        <v>1147</v>
      </c>
    </row>
    <row r="103" spans="1:8" ht="13.5" hidden="1" thickTop="1">
      <c r="D103" s="47" t="s">
        <v>720</v>
      </c>
    </row>
    <row r="104" spans="1:8" ht="13.5" hidden="1" thickTop="1">
      <c r="D104" s="47" t="s">
        <v>721</v>
      </c>
    </row>
    <row r="105" spans="1:8" ht="13.5" thickTop="1">
      <c r="D105" s="47"/>
    </row>
    <row r="109" spans="1:8" hidden="1">
      <c r="A109" s="23" t="s">
        <v>1870</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2027</v>
      </c>
    </row>
    <row r="118" spans="1:1" hidden="1"/>
    <row r="119" spans="1:1" hidden="1">
      <c r="A119" s="23" t="s">
        <v>70</v>
      </c>
    </row>
    <row r="120" spans="1:1" hidden="1">
      <c r="A120" s="23" t="s">
        <v>1906</v>
      </c>
    </row>
    <row r="121" spans="1:1" hidden="1">
      <c r="A121" s="23" t="s">
        <v>1907</v>
      </c>
    </row>
    <row r="122" spans="1:1" hidden="1">
      <c r="A122" s="23" t="s">
        <v>2077</v>
      </c>
    </row>
    <row r="123" spans="1:1" hidden="1"/>
    <row r="124" spans="1:1" hidden="1">
      <c r="A124" s="23" t="s">
        <v>2078</v>
      </c>
    </row>
    <row r="125" spans="1:1" hidden="1">
      <c r="A125" s="23" t="s">
        <v>2079</v>
      </c>
    </row>
    <row r="126" spans="1:1" hidden="1">
      <c r="A126" s="23" t="s">
        <v>368</v>
      </c>
    </row>
    <row r="127" spans="1:1" hidden="1">
      <c r="A127" s="23" t="s">
        <v>2080</v>
      </c>
    </row>
    <row r="128" spans="1:1" hidden="1">
      <c r="A128" s="23" t="s">
        <v>366</v>
      </c>
    </row>
    <row r="129" spans="1:7" hidden="1"/>
    <row r="130" spans="1:7" hidden="1">
      <c r="A130" s="97" t="s">
        <v>367</v>
      </c>
    </row>
    <row r="131" spans="1:7" hidden="1"/>
    <row r="134" spans="1:7">
      <c r="E134" t="s">
        <v>3169</v>
      </c>
      <c r="F134" s="5">
        <f>SUM(F22:F28)</f>
        <v>0</v>
      </c>
      <c r="G134" s="5">
        <f>SUM(G22:G28)</f>
        <v>0</v>
      </c>
    </row>
    <row r="135" spans="1:7">
      <c r="E135" t="s">
        <v>3170</v>
      </c>
      <c r="F135" s="5">
        <f>F29+F30</f>
        <v>0</v>
      </c>
      <c r="G135" s="5">
        <f>G29+G30</f>
        <v>0</v>
      </c>
    </row>
    <row r="136" spans="1:7">
      <c r="E136" t="s">
        <v>3171</v>
      </c>
      <c r="F136" s="5">
        <f>F33+F34</f>
        <v>0</v>
      </c>
      <c r="G136" s="5">
        <f>G33+G34</f>
        <v>0</v>
      </c>
    </row>
    <row r="137" spans="1:7">
      <c r="E137" t="s">
        <v>3172</v>
      </c>
      <c r="F137" s="5">
        <f>F35+F36</f>
        <v>0</v>
      </c>
      <c r="G137" s="5">
        <f>G35+G36</f>
        <v>0</v>
      </c>
    </row>
    <row r="138" spans="1:7">
      <c r="E138" t="s">
        <v>3251</v>
      </c>
      <c r="F138" s="121" t="e">
        <f>Assumptions!G57*'Calc Data-SB1'!V11*'Calc Data-SB1'!D35*100</f>
        <v>#DIV/0!</v>
      </c>
      <c r="G138" s="121" t="e">
        <f>Assumptions!G57*'Calc Data-SB1'!S25*'Calc Data-SB1'!D35*100</f>
        <v>#DIV/0!</v>
      </c>
    </row>
    <row r="139" spans="1:7">
      <c r="E139" t="s">
        <v>3253</v>
      </c>
      <c r="F139" s="121" t="e">
        <f>Assumptions!G58*'Calc Data-SB1'!V11*'Calc Data-SB1'!D38*100</f>
        <v>#DIV/0!</v>
      </c>
      <c r="G139" s="121" t="e">
        <f>Assumptions!G58*'Calc Data-SB1'!S25*'Calc Data-SB1'!D38*100</f>
        <v>#DIV/0!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49" customWidth="1"/>
    <col min="15" max="15" width="13.7109375" customWidth="1"/>
    <col min="37" max="37" width="15.5703125" customWidth="1"/>
    <col min="38" max="38" width="16" customWidth="1"/>
  </cols>
  <sheetData>
    <row r="1" spans="1:8">
      <c r="A1" s="23" t="s">
        <v>78</v>
      </c>
      <c r="C1" s="873">
        <f>'Data Entry - SOF'!B1</f>
        <v>0</v>
      </c>
      <c r="D1" s="35"/>
      <c r="E1" s="1031"/>
      <c r="G1" s="1502"/>
      <c r="H1" s="83"/>
    </row>
    <row r="2" spans="1:8">
      <c r="A2" s="23" t="s">
        <v>79</v>
      </c>
      <c r="C2" s="15">
        <f>'Data Entry - SOF'!B2</f>
        <v>0</v>
      </c>
      <c r="G2" s="83"/>
      <c r="H2" s="83"/>
    </row>
    <row r="3" spans="1:8">
      <c r="A3" s="23" t="s">
        <v>164</v>
      </c>
      <c r="C3" s="87">
        <f ca="1">'Data Entry - SOF'!B3</f>
        <v>43146.631174305556</v>
      </c>
      <c r="G3" s="82"/>
    </row>
    <row r="4" spans="1:8">
      <c r="D4" s="916" t="s">
        <v>3733</v>
      </c>
    </row>
    <row r="5" spans="1:8">
      <c r="D5" s="917" t="s">
        <v>4496</v>
      </c>
    </row>
    <row r="7" spans="1:8">
      <c r="D7" s="23" t="s">
        <v>1573</v>
      </c>
    </row>
    <row r="8" spans="1:8">
      <c r="B8" s="4"/>
      <c r="D8" s="23" t="s">
        <v>942</v>
      </c>
      <c r="F8" s="22">
        <f>'Calc Data-SB1'!E7</f>
        <v>0</v>
      </c>
      <c r="G8" s="22"/>
      <c r="H8" s="21"/>
    </row>
    <row r="9" spans="1:8">
      <c r="D9" s="23" t="s">
        <v>1574</v>
      </c>
      <c r="F9" s="22">
        <f>'Calc Data-SB1'!E8</f>
        <v>0</v>
      </c>
      <c r="G9" s="22"/>
      <c r="H9" s="21"/>
    </row>
    <row r="10" spans="1:8">
      <c r="D10" s="23" t="s">
        <v>466</v>
      </c>
      <c r="F10" s="22">
        <f>'Data Entry - SOF'!G32</f>
        <v>0</v>
      </c>
      <c r="G10" s="22"/>
      <c r="H10" s="21"/>
    </row>
    <row r="11" spans="1:8">
      <c r="B11" s="23"/>
      <c r="D11" s="23" t="s">
        <v>467</v>
      </c>
      <c r="F11" s="22">
        <f>'Calc Data-SB1'!E10</f>
        <v>0</v>
      </c>
      <c r="G11" s="22"/>
      <c r="H11" s="21"/>
    </row>
    <row r="12" spans="1:8">
      <c r="D12" s="23" t="s">
        <v>468</v>
      </c>
      <c r="F12" s="19">
        <f>'Data Entry - SOF'!G48</f>
        <v>0</v>
      </c>
      <c r="G12" s="19"/>
      <c r="H12" s="19"/>
    </row>
    <row r="13" spans="1:8">
      <c r="D13" s="23" t="s">
        <v>469</v>
      </c>
      <c r="F13" s="1715" t="s">
        <v>4435</v>
      </c>
      <c r="G13" s="19"/>
      <c r="H13" s="19"/>
    </row>
    <row r="14" spans="1:8">
      <c r="D14" s="23" t="s">
        <v>2055</v>
      </c>
      <c r="F14" s="22">
        <f>'Data Entry - SOF'!G112</f>
        <v>0</v>
      </c>
      <c r="G14" s="22"/>
      <c r="H14" s="19"/>
    </row>
    <row r="15" spans="1:8">
      <c r="D15" s="23" t="s">
        <v>1319</v>
      </c>
      <c r="F15" s="22">
        <f>'Calc Data-SB1'!E59</f>
        <v>0</v>
      </c>
      <c r="G15" s="22"/>
      <c r="H15" s="20"/>
    </row>
    <row r="16" spans="1:8">
      <c r="D16" s="23" t="s">
        <v>2233</v>
      </c>
      <c r="F16" s="19">
        <f>'Data Entry - SOF'!G59</f>
        <v>0</v>
      </c>
      <c r="G16" s="19"/>
      <c r="H16" s="19"/>
    </row>
    <row r="17" spans="2:37" ht="13.5" thickBot="1">
      <c r="D17" s="31"/>
      <c r="E17" s="13"/>
      <c r="F17" s="13"/>
      <c r="G17" s="35"/>
      <c r="H17" s="32"/>
    </row>
    <row r="18" spans="2:37" ht="13.5" thickTop="1">
      <c r="D18" s="34"/>
      <c r="E18" s="35"/>
      <c r="F18" s="35"/>
      <c r="G18" s="35"/>
      <c r="H18" s="32"/>
    </row>
    <row r="19" spans="2:37" ht="15.75" hidden="1">
      <c r="D19" s="23"/>
      <c r="E19" s="973" t="s">
        <v>108</v>
      </c>
      <c r="F19" s="972" t="e">
        <f>IF(#REF!="y","ASATR DIST","FORMULA DIST")</f>
        <v>#REF!</v>
      </c>
      <c r="G19" s="1503"/>
      <c r="H19" s="23"/>
      <c r="AK19" t="s">
        <v>2630</v>
      </c>
    </row>
    <row r="20" spans="2:37" ht="15.75">
      <c r="B20" s="28" t="s">
        <v>470</v>
      </c>
      <c r="D20" s="23"/>
      <c r="F20" s="1505" t="s">
        <v>510</v>
      </c>
      <c r="G20" s="1505" t="s">
        <v>3732</v>
      </c>
      <c r="H20" s="23"/>
    </row>
    <row r="21" spans="2:37" ht="15.75">
      <c r="B21" s="28">
        <v>11</v>
      </c>
      <c r="D21" s="132" t="s">
        <v>3738</v>
      </c>
      <c r="F21" s="945">
        <f>ROUND(ROUND('Calc Data-SB1'!V9,0)*IF('Calc Data-SB1'!E11&gt;'Calc Data-SB1'!E10,'Calc Data-SB1'!E11,'Calc Data-SB1'!E10),0)</f>
        <v>0</v>
      </c>
      <c r="G21" s="945">
        <f>ROUND(ROUND('Calc Data-SB1'!U9,0)*IF('Calc Data-SB1'!E11&gt;'Calc Data-SB1'!E10,'Calc Data-SB1'!E11,'Calc Data-SB1'!E10),0)*Weights!J4</f>
        <v>0</v>
      </c>
      <c r="H21" s="19"/>
      <c r="I21" s="109" t="s">
        <v>971</v>
      </c>
      <c r="AK21" s="19" t="e">
        <f>ROUND(ROUND('Calc Data-SB1'!AB23,0)*IF('Calc Data-SB1'!#REF!&gt;'Calc Data-SB1'!#REF!,'Calc Data-SB1'!#REF!,'Calc Data-SB1'!#REF!),0)</f>
        <v>#REF!</v>
      </c>
    </row>
    <row r="22" spans="2:37">
      <c r="B22" s="28">
        <v>23</v>
      </c>
      <c r="D22" s="23" t="s">
        <v>102</v>
      </c>
      <c r="F22" s="19">
        <f>ROUND('Calc Data-SB1'!E9*ROUND('Calc Data-SB1'!V9,0),0)</f>
        <v>0</v>
      </c>
      <c r="G22" s="19">
        <f>ROUND('Calc Data-SB1'!E9*ROUND('Calc Data-SB1'!U9,0),0)</f>
        <v>0</v>
      </c>
      <c r="H22" s="19"/>
      <c r="AK22" s="19" t="e">
        <f>ROUND('Calc Data-SB1'!#REF!*ROUND('Calc Data-SB1'!AB23,0),0)</f>
        <v>#REF!</v>
      </c>
    </row>
    <row r="23" spans="2:37">
      <c r="B23" s="28"/>
      <c r="D23" s="23" t="s">
        <v>103</v>
      </c>
    </row>
    <row r="24" spans="2:37">
      <c r="B24" s="28">
        <v>23</v>
      </c>
      <c r="D24" s="23" t="s">
        <v>104</v>
      </c>
      <c r="F24" s="30">
        <f>ROUND('Data Entry - SOF'!G31*Weights!J21*ROUND('Calc Data-SB1'!V9,0),0)</f>
        <v>0</v>
      </c>
      <c r="G24" s="30">
        <f>ROUND('Data Entry - SOF'!G31*Weights!J21*ROUND('Calc Data-SB1'!U9,0),0)</f>
        <v>0</v>
      </c>
      <c r="H24" s="30"/>
      <c r="AK24" s="30">
        <f>ROUND('Data Entry - SOF'!G31*1.1*ROUND('Calc Data-SB1'!AB23,0),0)</f>
        <v>0</v>
      </c>
    </row>
    <row r="25" spans="2:37">
      <c r="B25" s="28">
        <v>23</v>
      </c>
      <c r="D25" s="23" t="s">
        <v>105</v>
      </c>
      <c r="F25" s="19">
        <f>ROUND((+'Data Entry - SOF'!G29*Weights!J19)*ROUND('Calc Data-SB1'!V9,0),0)</f>
        <v>0</v>
      </c>
      <c r="G25" s="19">
        <f>ROUND((+'Data Entry - SOF'!G29*Weights!J19)*ROUND('Calc Data-SB1'!U9,0),0)</f>
        <v>0</v>
      </c>
      <c r="H25" s="19"/>
      <c r="AK25" s="19">
        <f>ROUND((+'Data Entry - SOF'!G29*4)*ROUND('Calc Data-SB1'!AB23,0),0)</f>
        <v>0</v>
      </c>
    </row>
    <row r="26" spans="2:37">
      <c r="B26" s="28">
        <v>23</v>
      </c>
      <c r="D26" s="25" t="s">
        <v>919</v>
      </c>
      <c r="F26" s="19">
        <f>ROUND((+'Data Entry - SOF'!G27*Weights!J17)*ROUND('Calc Data-SB1'!V9,0),0)</f>
        <v>0</v>
      </c>
      <c r="G26" s="19">
        <f>ROUND((+'Data Entry - SOF'!G27*Weights!J17)*ROUND('Calc Data-SB1'!U9,0),0)</f>
        <v>0</v>
      </c>
      <c r="H26" s="19"/>
      <c r="AK26" s="19">
        <f>ROUND((+'Data Entry - SOF'!G27*2.8)*ROUND('Calc Data-SB1'!AB23,0),0)</f>
        <v>0</v>
      </c>
    </row>
    <row r="27" spans="2:37">
      <c r="B27" s="28">
        <v>23</v>
      </c>
      <c r="D27" s="25" t="s">
        <v>920</v>
      </c>
      <c r="F27" s="19">
        <f>ROUND(('Data Entry - SOF'!G28*Weights!J18)*ROUND('Calc Data-SB1'!V9,0),0)</f>
        <v>0</v>
      </c>
      <c r="G27" s="19">
        <f>ROUND(('Data Entry - SOF'!G28*Weights!J18)*ROUND('Calc Data-SB1'!U9,0),0)</f>
        <v>0</v>
      </c>
      <c r="H27" s="19"/>
      <c r="AK27" s="19">
        <f>ROUND(('Data Entry - SOF'!G28*1.7)*ROUND('Calc Data-SB1'!AB23,0),0)</f>
        <v>0</v>
      </c>
    </row>
    <row r="28" spans="2:37">
      <c r="B28" s="28"/>
      <c r="D28" s="23" t="s">
        <v>1308</v>
      </c>
      <c r="F28" s="19">
        <f>IF('Data Entry - SOF'!G71&lt;0,'Data Entry - SOF'!G71,'Data Entry - SOF'!G71*-1)</f>
        <v>0</v>
      </c>
      <c r="G28" s="19">
        <f>IF('Data Entry - SOF'!G71&lt;0,'Data Entry - SOF'!G71,'Data Entry - SOF'!G71*-1)</f>
        <v>0</v>
      </c>
      <c r="H28" s="19"/>
      <c r="AK28" s="19">
        <v>0</v>
      </c>
    </row>
    <row r="29" spans="2:37">
      <c r="B29" s="28">
        <v>22</v>
      </c>
      <c r="C29" s="17"/>
      <c r="D29" s="23" t="s">
        <v>119</v>
      </c>
      <c r="F29" s="19">
        <f>ROUND(ROUND('Calc Data-SB1'!V9,0)*'Data Entry - SOF'!G32*Weights!J23,0)</f>
        <v>0</v>
      </c>
      <c r="G29" s="19">
        <f>ROUND(ROUND('Calc Data-SB1'!U9,0)*'Data Entry - SOF'!G32*Weights!J23,0)</f>
        <v>0</v>
      </c>
      <c r="H29" s="19"/>
      <c r="AK29" s="19">
        <f>ROUND(ROUND('Calc Data-SB1'!AB23,0)*'Data Entry - SOF'!G32*1.35,0)</f>
        <v>0</v>
      </c>
    </row>
    <row r="30" spans="2:37">
      <c r="B30" s="28"/>
      <c r="C30" s="17"/>
      <c r="D30" s="47" t="s">
        <v>716</v>
      </c>
      <c r="F30" s="19">
        <f>Weights!J24*'Data Entry - SOF'!G33</f>
        <v>0</v>
      </c>
      <c r="G30" s="19">
        <f>Weights!J24*'Data Entry - SOF'!G33</f>
        <v>0</v>
      </c>
      <c r="H30" s="19"/>
      <c r="AK30" s="19"/>
    </row>
    <row r="31" spans="2:37" hidden="1">
      <c r="B31" s="28"/>
      <c r="C31" s="17"/>
      <c r="D31" s="47" t="s">
        <v>717</v>
      </c>
      <c r="F31" s="19">
        <f>400*'Data Entry - SOF'!G34</f>
        <v>0</v>
      </c>
      <c r="G31" s="19">
        <f t="shared" ref="G31:G43" si="0">F31</f>
        <v>0</v>
      </c>
      <c r="H31" s="19"/>
      <c r="AK31" s="19"/>
    </row>
    <row r="32" spans="2:37" hidden="1">
      <c r="B32" s="28"/>
      <c r="C32" s="17"/>
      <c r="D32" s="47" t="s">
        <v>718</v>
      </c>
      <c r="F32" s="19">
        <f>80*'Data Entry - SOF'!G35</f>
        <v>0</v>
      </c>
      <c r="G32" s="19">
        <f t="shared" si="0"/>
        <v>0</v>
      </c>
      <c r="H32" s="19"/>
      <c r="AK32" s="19"/>
    </row>
    <row r="33" spans="2:37">
      <c r="B33" s="28">
        <v>21</v>
      </c>
      <c r="D33" s="23" t="s">
        <v>3030</v>
      </c>
      <c r="F33" s="19">
        <f>ROUND(ROUND('Calc Data-SB1'!V9,0)*'Data Entry - SOF'!G157*Weights!J28,0)</f>
        <v>0</v>
      </c>
      <c r="G33" s="19">
        <f>ROUND(ROUND('Calc Data-SB1'!U9,0)*'Data Entry - SOF'!G157*Weights!J28,0)</f>
        <v>0</v>
      </c>
      <c r="H33" s="19"/>
      <c r="AK33" s="19" t="e">
        <f>ROUND(ROUND('Calc Data-SB1'!AB23,0)*'Data Entry - SOF'!#REF!*0.12,0)</f>
        <v>#REF!</v>
      </c>
    </row>
    <row r="34" spans="2:37">
      <c r="B34" s="28"/>
      <c r="D34" s="23" t="s">
        <v>433</v>
      </c>
      <c r="F34" s="19">
        <f>IF('Data Entry - SOF'!G70&lt;0,'Data Entry - SOF'!G70,'Data Entry - SOF'!G70*-1)</f>
        <v>0</v>
      </c>
      <c r="G34" s="19">
        <f>IF('Data Entry - SOF'!G70&lt;0,'Data Entry - SOF'!G70,'Data Entry - SOF'!G70*-1)</f>
        <v>0</v>
      </c>
      <c r="H34" s="19"/>
      <c r="AK34" s="19">
        <v>0</v>
      </c>
    </row>
    <row r="35" spans="2:37">
      <c r="B35" s="28" t="s">
        <v>2857</v>
      </c>
      <c r="D35" s="23" t="s">
        <v>434</v>
      </c>
      <c r="F35" s="19">
        <f>ROUND(ROUND('Calc Data-SB1'!V9,0)*'Data Entry - SOF'!G36*Weights!J30,0)</f>
        <v>0</v>
      </c>
      <c r="G35" s="19">
        <f>ROUND(ROUND('Calc Data-SB1'!U9,0)*'Data Entry - SOF'!G36*Weights!J30,0)</f>
        <v>0</v>
      </c>
      <c r="H35" s="19"/>
      <c r="AK35" s="19">
        <f>ROUND(ROUND('Calc Data-SB1'!AB23,0)*'Data Entry - SOF'!G36*0.2,0)</f>
        <v>0</v>
      </c>
    </row>
    <row r="36" spans="2:37">
      <c r="B36" s="28" t="s">
        <v>2857</v>
      </c>
      <c r="D36" s="23" t="s">
        <v>435</v>
      </c>
      <c r="F36" s="19">
        <f>ROUND(ROUND('Calc Data-SB1'!V9,0)*'Data Entry - SOF'!G37*Weights!J31,0)</f>
        <v>0</v>
      </c>
      <c r="G36" s="19">
        <f>ROUND(ROUND('Calc Data-SB1'!U9,0)*'Data Entry - SOF'!G37*Weights!J31,0)</f>
        <v>0</v>
      </c>
      <c r="H36" s="19"/>
      <c r="AK36" s="19">
        <f>ROUND(ROUND('Calc Data-SB1'!AB23,0)*'Data Entry - SOF'!G37*2.41,0)</f>
        <v>0</v>
      </c>
    </row>
    <row r="37" spans="2:37" hidden="1">
      <c r="B37" s="28" t="s">
        <v>2857</v>
      </c>
      <c r="D37" s="97" t="s">
        <v>491</v>
      </c>
      <c r="E37" s="944"/>
      <c r="F37" s="19">
        <f>650*'Data Entry - SOF'!G38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Data-SB1'!V9,0)*('Data Entry - SOF'!G39*Weights!J26),0)</f>
        <v>0</v>
      </c>
      <c r="G39" s="19">
        <f>ROUND(ROUND('Calc Data-SB1'!U9,0)*('Data Entry - SOF'!G39*Weights!J26),0)</f>
        <v>0</v>
      </c>
      <c r="H39" s="19"/>
      <c r="AK39" s="19">
        <f>ROUND(ROUND('Calc Data-SB1'!AB23,0)*('Data Entry - SOF'!G39*0.1),0)</f>
        <v>0</v>
      </c>
    </row>
    <row r="40" spans="2:37">
      <c r="B40" s="28">
        <v>31</v>
      </c>
      <c r="D40" s="47" t="s">
        <v>2792</v>
      </c>
      <c r="F40" s="19">
        <f>Weights!J33*'Data Entry - SOF'!G18</f>
        <v>0</v>
      </c>
      <c r="G40" s="19">
        <f>Weights!J33*'Data Entry - SOF'!G18</f>
        <v>0</v>
      </c>
      <c r="H40" s="19"/>
      <c r="AK40" s="19" t="e">
        <f>#REF!</f>
        <v>#REF!</v>
      </c>
    </row>
    <row r="41" spans="2:37">
      <c r="B41" s="28"/>
      <c r="D41" s="23" t="s">
        <v>984</v>
      </c>
      <c r="F41" s="19">
        <f>ROUND(ROUND('Calc Data-SB1'!V9,0)*'Data Entry - SOF'!G41*Weights!J37,0)</f>
        <v>0</v>
      </c>
      <c r="G41" s="19">
        <f>ROUND(ROUND('Calc Data-SB1'!U9,0)*'Data Entry - SOF'!G41*Weights!J37,0)</f>
        <v>0</v>
      </c>
      <c r="H41" s="19"/>
      <c r="AK41" s="19">
        <f>ROUND(ROUND('Calc Data-SB1'!AB23,0)*'Data Entry - SOF'!G41*0.1,0)</f>
        <v>0</v>
      </c>
    </row>
    <row r="42" spans="2:37" ht="15.75">
      <c r="B42" s="28"/>
      <c r="D42" s="955" t="s">
        <v>427</v>
      </c>
      <c r="F42" s="116">
        <v>0</v>
      </c>
      <c r="G42" s="19">
        <f t="shared" si="0"/>
        <v>0</v>
      </c>
      <c r="H42" s="19"/>
      <c r="AK42" s="19">
        <f>'Data Entry - SOF'!G42*250</f>
        <v>0</v>
      </c>
    </row>
    <row r="43" spans="2:37">
      <c r="B43" s="28">
        <v>99</v>
      </c>
      <c r="D43" s="23" t="s">
        <v>2385</v>
      </c>
      <c r="F43" s="29">
        <f>'Data Entry - SOF'!G66</f>
        <v>0</v>
      </c>
      <c r="G43" s="1506">
        <f t="shared" si="0"/>
        <v>0</v>
      </c>
      <c r="H43" s="32"/>
      <c r="AK43" s="29">
        <f>'Data Entry - SOF'!G66</f>
        <v>0</v>
      </c>
    </row>
    <row r="44" spans="2:37">
      <c r="D44" s="23" t="s">
        <v>576</v>
      </c>
      <c r="F44" s="19">
        <f>SUM(F21:F43)</f>
        <v>0</v>
      </c>
      <c r="G44" s="19">
        <f>SUM(G21:G43)</f>
        <v>0</v>
      </c>
      <c r="H44" s="19"/>
      <c r="AK44" s="19" t="e">
        <f>SUM(AK21:AK43)</f>
        <v>#REF!</v>
      </c>
    </row>
    <row r="45" spans="2:37">
      <c r="D45" s="23" t="s">
        <v>890</v>
      </c>
      <c r="F45" s="36">
        <f>IF('Data Entry - SOF'!G108&gt;1.00005,1.00005*('Data Entry - SOF'!G48/100),'Data Entry - SOF'!G108*('Data Entry - SOF'!G48/100))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49" t="s">
        <v>835</v>
      </c>
      <c r="H48" s="37"/>
      <c r="M48" s="62"/>
      <c r="AK48" s="37"/>
    </row>
    <row r="49" spans="4:9">
      <c r="D49" s="23" t="s">
        <v>1716</v>
      </c>
      <c r="F49" s="90">
        <f>IF(F46&lt;F77+F40+F31+F32,F77+F40+F31+F32,F46)</f>
        <v>0</v>
      </c>
      <c r="G49" s="90" t="e">
        <f>IF(G46&lt;G77+G40+G31+G32,G77+G40+G31+G32,G46)</f>
        <v>#REF!</v>
      </c>
      <c r="H49" s="37"/>
      <c r="I49" s="62" t="s">
        <v>3057</v>
      </c>
    </row>
    <row r="50" spans="4:9" hidden="1">
      <c r="D50" s="23" t="s">
        <v>2596</v>
      </c>
      <c r="H50" s="37" t="e">
        <f>ROUND(IF((24.7*'Calc Data-SB1'!#REF!*IF('Calc Data-SB1'!#REF!&gt;=0.64,0.64,'Calc Data-SB1'!#REF!)*100)&lt;'Calc Data-SB1'!#REF!,0,(24.7*'Calc Data-SB1'!#REF!*IF('Calc Data-SB1'!#REF!&gt;=0.64,0.64,'Calc Data-SB1'!#REF!)*100)-'Calc Data-SB1'!#REF!),0)</f>
        <v>#REF!</v>
      </c>
    </row>
    <row r="51" spans="4:9">
      <c r="D51" s="23"/>
      <c r="H51" s="37"/>
    </row>
    <row r="52" spans="4:9">
      <c r="D52" s="23" t="s">
        <v>2748</v>
      </c>
      <c r="F52" s="37" t="e">
        <f>ROUND(IF((Assumptions!G48*'Calc Data-SB1'!W11*'Calc Data-SB1'!E35*100)&lt;'Calc Data-SB1'!E42,0,(Assumptions!G48*'Calc Data-SB1'!W11*'Calc Data-SB1'!E35*100)-'Calc Data-SB1'!E42),0)</f>
        <v>#DIV/0!</v>
      </c>
      <c r="G52" s="37" t="e">
        <f>ROUND(IF((Assumptions!G48*'Calc Data-SB1'!U11*'Calc Data-SB1'!E35*100)&lt;'Calc Data-SB1'!E42,0,(Assumptions!G48*'Calc Data-SB1'!U11*'Calc Data-SB1'!E35*100)-'Calc Data-SB1'!E42),0)</f>
        <v>#DIV/0!</v>
      </c>
      <c r="H52" s="37"/>
    </row>
    <row r="53" spans="4:9">
      <c r="D53" s="23" t="s">
        <v>515</v>
      </c>
      <c r="F53" s="66" t="e">
        <f>ROUND(IF((Assumptions!G49*'Calc Data-SB1'!W11*'Calc Data-SB1'!E38*100)&lt;'Calc Data-SB1'!E43,0,(Assumptions!G49*'Calc Data-SB1'!W11*'Calc Data-SB1'!E38*100)-'Calc Data-SB1'!E43),0)</f>
        <v>#DIV/0!</v>
      </c>
      <c r="G53" s="66" t="e">
        <f>ROUND(IF((Assumptions!G49*'Calc Data-SB1'!U11*'Calc Data-SB1'!E38*100)&lt;'Calc Data-SB1'!E43,0,(Assumptions!G49*'Calc Data-SB1'!U11*'Calc Data-SB1'!E38*100)-'Calc Data-SB1'!E43),0)</f>
        <v>#DIV/0!</v>
      </c>
      <c r="H53" s="37"/>
    </row>
    <row r="54" spans="4:9">
      <c r="D54" s="23" t="s">
        <v>315</v>
      </c>
      <c r="F54" s="37" t="e">
        <f>SUM(F50:F53)</f>
        <v>#DIV/0!</v>
      </c>
      <c r="G54" s="37" t="e">
        <f>SUM(G50:G53)</f>
        <v>#DIV/0!</v>
      </c>
      <c r="H54" s="37"/>
    </row>
    <row r="55" spans="4:9">
      <c r="D55" s="23"/>
      <c r="H55" s="37"/>
    </row>
    <row r="56" spans="4:9">
      <c r="D56" s="23" t="s">
        <v>832</v>
      </c>
      <c r="H56" s="37"/>
    </row>
    <row r="57" spans="4:9" ht="15.75">
      <c r="D57" s="132" t="s">
        <v>2043</v>
      </c>
      <c r="F57" s="195" t="e">
        <f>'ASATR-SB1'!Z27</f>
        <v>#DIV/0!</v>
      </c>
      <c r="G57" s="195" t="e">
        <f>'ASATR-SB1'!#REF!</f>
        <v>#REF!</v>
      </c>
      <c r="H57" s="37"/>
    </row>
    <row r="58" spans="4:9">
      <c r="D58" s="23" t="s">
        <v>859</v>
      </c>
      <c r="F58" s="37">
        <f>'Data Entry - SOF'!G76</f>
        <v>0</v>
      </c>
      <c r="G58" s="37">
        <f>F58</f>
        <v>0</v>
      </c>
      <c r="H58" s="37"/>
    </row>
    <row r="59" spans="4:9">
      <c r="D59" s="23" t="s">
        <v>3489</v>
      </c>
      <c r="F59" s="37">
        <f>'Data Entry - SOF'!G75</f>
        <v>0</v>
      </c>
      <c r="G59" s="37">
        <f t="shared" ref="G59:G69" si="1">F59</f>
        <v>0</v>
      </c>
      <c r="H59" s="37"/>
    </row>
    <row r="60" spans="4:9">
      <c r="D60" s="23" t="s">
        <v>3490</v>
      </c>
      <c r="F60" s="37">
        <f>'Data Entry - SOF'!G77</f>
        <v>0</v>
      </c>
      <c r="G60" s="37">
        <f t="shared" si="1"/>
        <v>0</v>
      </c>
      <c r="H60" s="37"/>
    </row>
    <row r="61" spans="4:9">
      <c r="D61" s="23" t="s">
        <v>3491</v>
      </c>
      <c r="F61" s="37">
        <f>'Data Entry - SOF'!G78</f>
        <v>0</v>
      </c>
      <c r="G61" s="37">
        <f t="shared" si="1"/>
        <v>0</v>
      </c>
      <c r="H61" s="37"/>
    </row>
    <row r="62" spans="4:9">
      <c r="D62" s="23" t="s">
        <v>3492</v>
      </c>
      <c r="F62" s="37">
        <f>'Data Entry - SOF'!G79</f>
        <v>0</v>
      </c>
      <c r="G62" s="37">
        <f t="shared" si="1"/>
        <v>0</v>
      </c>
      <c r="H62" s="37"/>
    </row>
    <row r="63" spans="4:9">
      <c r="D63" s="23" t="s">
        <v>3493</v>
      </c>
      <c r="F63" s="37">
        <v>0</v>
      </c>
      <c r="G63" s="37">
        <f t="shared" si="1"/>
        <v>0</v>
      </c>
      <c r="H63" s="37"/>
    </row>
    <row r="64" spans="4:9">
      <c r="D64" s="23" t="s">
        <v>3494</v>
      </c>
      <c r="F64" s="37">
        <f>'Data Entry - SOF'!G80</f>
        <v>0</v>
      </c>
      <c r="G64" s="37">
        <f t="shared" si="1"/>
        <v>0</v>
      </c>
      <c r="H64" s="37"/>
    </row>
    <row r="65" spans="1:8">
      <c r="D65" s="23" t="s">
        <v>2801</v>
      </c>
      <c r="F65" s="37">
        <v>0</v>
      </c>
      <c r="G65" s="37">
        <f t="shared" si="1"/>
        <v>0</v>
      </c>
      <c r="H65" s="37"/>
    </row>
    <row r="66" spans="1:8">
      <c r="D66" s="23" t="s">
        <v>2793</v>
      </c>
      <c r="F66" s="37">
        <f>(500*'Data Entry - SOF'!G44)+(250*'Data Entry - SOF'!G45)</f>
        <v>0</v>
      </c>
      <c r="G66" s="37">
        <f t="shared" si="1"/>
        <v>0</v>
      </c>
      <c r="H66" s="37"/>
    </row>
    <row r="67" spans="1:8">
      <c r="D67" s="23" t="s">
        <v>833</v>
      </c>
      <c r="F67" s="905" t="e">
        <f>(('Data Entry - SOF'!G69/'Data Entry - SOF'!E17)*'Data Entry - SOF'!G67)*-1</f>
        <v>#DIV/0!</v>
      </c>
      <c r="G67" s="37" t="e">
        <f t="shared" si="1"/>
        <v>#DIV/0!</v>
      </c>
      <c r="H67" s="37"/>
    </row>
    <row r="68" spans="1:8">
      <c r="D68" s="23" t="s">
        <v>834</v>
      </c>
      <c r="F68" s="1241" t="e">
        <f>(('Data Entry - SOF'!G69/'Data Entry - SOF'!E17)*'Data Entry - SOF'!G68)*-1</f>
        <v>#DIV/0!</v>
      </c>
      <c r="G68" s="37" t="e">
        <f t="shared" si="1"/>
        <v>#DIV/0!</v>
      </c>
      <c r="H68" s="37"/>
    </row>
    <row r="69" spans="1:8">
      <c r="D69" s="23" t="s">
        <v>3399</v>
      </c>
      <c r="F69" s="1242">
        <v>0</v>
      </c>
      <c r="G69" s="66">
        <f t="shared" si="1"/>
        <v>0</v>
      </c>
      <c r="H69" s="37"/>
    </row>
    <row r="70" spans="1:8">
      <c r="D70" s="906" t="s">
        <v>200</v>
      </c>
      <c r="F70" s="37" t="e">
        <f>SUM(F57:F69)</f>
        <v>#DIV/0!</v>
      </c>
      <c r="G70" s="37" t="e">
        <f>SUM(G57:G69)</f>
        <v>#REF!</v>
      </c>
      <c r="H70" s="37"/>
    </row>
    <row r="71" spans="1:8">
      <c r="D71" s="906"/>
      <c r="F71" s="47"/>
      <c r="G71" s="47"/>
      <c r="H71" s="37"/>
    </row>
    <row r="72" spans="1:8">
      <c r="D72" s="23" t="s">
        <v>2749</v>
      </c>
      <c r="F72" s="37">
        <f>F77*-1</f>
        <v>0</v>
      </c>
      <c r="G72" s="37" t="e">
        <f>G77*-1</f>
        <v>#REF!</v>
      </c>
      <c r="H72" s="37"/>
    </row>
    <row r="73" spans="1:8" ht="13.5" thickBot="1">
      <c r="D73" s="23"/>
      <c r="H73" s="37"/>
    </row>
    <row r="74" spans="1:8" ht="13.5" thickTop="1">
      <c r="A74" s="909"/>
      <c r="B74" s="910"/>
      <c r="C74" s="910"/>
      <c r="D74" s="911"/>
      <c r="E74" s="910"/>
      <c r="F74" s="956"/>
      <c r="G74" s="35"/>
      <c r="H74" s="37"/>
    </row>
    <row r="75" spans="1:8">
      <c r="A75" s="912"/>
      <c r="B75" s="893" t="s">
        <v>202</v>
      </c>
      <c r="C75" s="35"/>
      <c r="D75" s="908"/>
      <c r="E75" s="35"/>
      <c r="F75" s="957"/>
      <c r="G75" s="35"/>
      <c r="H75" s="37"/>
    </row>
    <row r="76" spans="1:8">
      <c r="A76" s="912"/>
      <c r="B76" s="893" t="s">
        <v>1681</v>
      </c>
      <c r="C76" s="35"/>
      <c r="D76" s="101" t="s">
        <v>836</v>
      </c>
      <c r="E76" s="101"/>
      <c r="F76" s="189" t="e">
        <f>F49+F54+F70+F72</f>
        <v>#DIV/0!</v>
      </c>
      <c r="G76" s="189" t="e">
        <f>G49+G54+G70+G72</f>
        <v>#REF!</v>
      </c>
      <c r="H76" s="37"/>
    </row>
    <row r="77" spans="1:8">
      <c r="A77" s="912"/>
      <c r="B77" s="893" t="s">
        <v>1679</v>
      </c>
      <c r="C77" s="35"/>
      <c r="D77" s="101" t="s">
        <v>3005</v>
      </c>
      <c r="E77" s="101"/>
      <c r="F77" s="189">
        <f>'Data Entry - SOF'!E17*Assumptions!G96</f>
        <v>0</v>
      </c>
      <c r="G77" s="189" t="e">
        <f>'Calc Data-SB1'!#REF!*Assumptions!G96</f>
        <v>#REF!</v>
      </c>
      <c r="H77" s="37"/>
    </row>
    <row r="78" spans="1:8" ht="15.75">
      <c r="A78" s="912"/>
      <c r="B78" s="893" t="s">
        <v>1680</v>
      </c>
      <c r="C78" s="35"/>
      <c r="D78" s="952" t="s">
        <v>858</v>
      </c>
      <c r="E78" s="123"/>
      <c r="F78" s="959">
        <v>0</v>
      </c>
      <c r="G78" s="959">
        <v>0</v>
      </c>
      <c r="H78" s="37"/>
    </row>
    <row r="79" spans="1:8">
      <c r="A79" s="912"/>
      <c r="B79" s="893" t="s">
        <v>839</v>
      </c>
      <c r="C79" s="35"/>
      <c r="D79" s="101" t="s">
        <v>837</v>
      </c>
      <c r="E79" s="101"/>
      <c r="F79" s="189">
        <f>'Existing Debt'!G74</f>
        <v>0</v>
      </c>
      <c r="G79" s="189">
        <f>'Existing Debt'!G74</f>
        <v>0</v>
      </c>
      <c r="H79" s="37"/>
    </row>
    <row r="80" spans="1:8" ht="13.5" thickBot="1">
      <c r="A80" s="912"/>
      <c r="B80" s="893" t="s">
        <v>1251</v>
      </c>
      <c r="C80" s="35"/>
      <c r="D80" s="101" t="s">
        <v>838</v>
      </c>
      <c r="E80" s="101"/>
      <c r="F80" s="950">
        <f>IFA!H86+IFA!J75</f>
        <v>0</v>
      </c>
      <c r="G80" s="950">
        <f>IFA!H86+IFA!J75</f>
        <v>0</v>
      </c>
      <c r="H80" s="37"/>
    </row>
    <row r="81" spans="1:15">
      <c r="A81" s="912"/>
      <c r="B81" s="35"/>
      <c r="C81" s="35"/>
      <c r="D81" s="35"/>
      <c r="E81" s="35"/>
      <c r="F81" s="957"/>
      <c r="G81" s="957"/>
      <c r="H81" s="37"/>
    </row>
    <row r="82" spans="1:15" ht="12.75" customHeight="1" thickBot="1">
      <c r="A82" s="912"/>
      <c r="B82" s="35"/>
      <c r="C82" s="35"/>
      <c r="D82" s="101" t="s">
        <v>1155</v>
      </c>
      <c r="E82" s="35"/>
      <c r="F82" s="951" t="e">
        <f>SUM(F76:F80)</f>
        <v>#DIV/0!</v>
      </c>
      <c r="G82" s="951" t="e">
        <f>SUM(G76:G80)</f>
        <v>#REF!</v>
      </c>
      <c r="H82" s="37"/>
    </row>
    <row r="83" spans="1:15" ht="13.5" hidden="1" thickTop="1">
      <c r="A83" s="912"/>
      <c r="B83" s="35"/>
      <c r="C83" s="35"/>
      <c r="D83" s="34" t="s">
        <v>513</v>
      </c>
      <c r="E83" s="35"/>
      <c r="F83" s="35"/>
      <c r="G83" s="35"/>
      <c r="H83" s="37"/>
      <c r="K83" s="173"/>
      <c r="L83" s="229"/>
    </row>
    <row r="84" spans="1:15" ht="14.25" thickTop="1" thickBot="1">
      <c r="A84" s="913"/>
      <c r="B84" s="914"/>
      <c r="C84" s="914"/>
      <c r="D84" s="915"/>
      <c r="E84" s="914"/>
      <c r="F84" s="970"/>
      <c r="G84" s="35"/>
      <c r="H84" s="19"/>
    </row>
    <row r="85" spans="1:15" ht="13.5" thickTop="1">
      <c r="B85" s="23"/>
      <c r="H85" s="59"/>
      <c r="M85" s="121"/>
      <c r="N85" s="421"/>
      <c r="O85" s="5"/>
    </row>
    <row r="86" spans="1:15">
      <c r="M86" s="5"/>
    </row>
    <row r="87" spans="1:15" ht="13.5" thickBot="1"/>
    <row r="88" spans="1:15" ht="13.5" thickTop="1">
      <c r="A88" s="918" t="s">
        <v>2816</v>
      </c>
      <c r="B88" s="91"/>
      <c r="C88" s="91"/>
      <c r="D88" s="91"/>
      <c r="E88" s="91"/>
      <c r="F88" s="183"/>
      <c r="G88" s="35"/>
    </row>
    <row r="89" spans="1:15">
      <c r="A89" s="186"/>
      <c r="B89" s="35"/>
      <c r="C89" s="35"/>
      <c r="D89" s="35"/>
      <c r="E89" s="35"/>
      <c r="F89" s="184"/>
      <c r="G89" s="35"/>
    </row>
    <row r="90" spans="1:15">
      <c r="A90" s="185" t="s">
        <v>2477</v>
      </c>
      <c r="B90" s="35"/>
      <c r="C90" s="35"/>
      <c r="D90" s="35"/>
      <c r="E90" s="35"/>
      <c r="F90" s="894" t="e">
        <f>IF(F76&lt;0,F77,F76+F77)</f>
        <v>#DIV/0!</v>
      </c>
      <c r="G90" s="894" t="e">
        <f>IF(G76&lt;0,G77,G76+G77)</f>
        <v>#REF!</v>
      </c>
    </row>
    <row r="91" spans="1:15">
      <c r="A91" s="239" t="s">
        <v>1910</v>
      </c>
      <c r="B91" s="35"/>
      <c r="C91" s="35"/>
      <c r="D91" s="35"/>
      <c r="E91" s="35"/>
      <c r="F91" s="895" t="e">
        <f>'Calc Data-SB1'!E30-'ASATR-SB1'!Z24</f>
        <v>#DIV/0!</v>
      </c>
      <c r="G91" s="895" t="e">
        <f>'Calc Data-SB1'!E30-'ASATR-SB1'!#REF!</f>
        <v>#DIV/0!</v>
      </c>
      <c r="M91" s="121"/>
    </row>
    <row r="92" spans="1:15">
      <c r="A92" s="239" t="s">
        <v>1062</v>
      </c>
      <c r="B92" s="35"/>
      <c r="C92" s="35"/>
      <c r="D92" s="35"/>
      <c r="E92" s="35"/>
      <c r="F92" s="895" t="e">
        <f>'Calc Data-SB1'!E34</f>
        <v>#DIV/0!</v>
      </c>
      <c r="G92" s="895" t="e">
        <f>'Calc Data-SB1'!E34</f>
        <v>#DIV/0!</v>
      </c>
      <c r="M92" s="121"/>
    </row>
    <row r="93" spans="1:15">
      <c r="A93" s="239" t="s">
        <v>1063</v>
      </c>
      <c r="B93" s="35"/>
      <c r="C93" s="35"/>
      <c r="D93" s="35"/>
      <c r="E93" s="35"/>
      <c r="F93" s="1509" t="e">
        <f>'Calc Data-SB1'!E37-IF('Option Costs-HB3646'!ED57="N",MAX('Option Costs-HB3646'!ED54,'Option Costs-HB3646'!EF54),MIN('Option Costs-HB3646'!ED54,'Option Costs-HB3646'!EF54))</f>
        <v>#DIV/0!</v>
      </c>
      <c r="G93" s="1509" t="e">
        <f>'Calc Data-SB1'!E37-IF('Option Costs-HB3646'!DN57="N",MAX('Option Costs-HB3646'!DN54,'Option Costs-HB3646'!DP54),MIN('Option Costs-HB3646'!DN54,'Option Costs-HB3646'!DP54))</f>
        <v>#DIV/0!</v>
      </c>
    </row>
    <row r="94" spans="1:15">
      <c r="A94" s="239" t="s">
        <v>3498</v>
      </c>
      <c r="B94" s="35"/>
      <c r="C94" s="35"/>
      <c r="D94" s="35"/>
      <c r="E94" s="35"/>
      <c r="F94" s="895">
        <f>F69*-1</f>
        <v>0</v>
      </c>
      <c r="G94" s="895">
        <f>G69*-1</f>
        <v>0</v>
      </c>
    </row>
    <row r="95" spans="1:15">
      <c r="A95" s="239" t="s">
        <v>3838</v>
      </c>
      <c r="B95" s="35"/>
      <c r="C95" s="35"/>
      <c r="D95" s="35"/>
      <c r="E95" s="35"/>
      <c r="F95" s="958" t="e">
        <f>SUM(F90:F94)</f>
        <v>#DIV/0!</v>
      </c>
      <c r="G95" s="958" t="e">
        <f>SUM(G90:G94)</f>
        <v>#REF!</v>
      </c>
    </row>
    <row r="96" spans="1:15">
      <c r="A96" s="185" t="s">
        <v>1908</v>
      </c>
      <c r="B96" s="35"/>
      <c r="C96" s="35"/>
      <c r="D96" s="35"/>
      <c r="E96" s="35"/>
      <c r="F96" s="907" t="e">
        <f>IF(F76&gt;0,0,F76)</f>
        <v>#DIV/0!</v>
      </c>
      <c r="G96" s="907" t="e">
        <f>IF(G76&gt;0,0,G76)</f>
        <v>#REF!</v>
      </c>
    </row>
    <row r="97" spans="1:8">
      <c r="A97" s="423" t="s">
        <v>3839</v>
      </c>
      <c r="B97" s="35"/>
      <c r="C97" s="35"/>
      <c r="D97" s="35"/>
      <c r="E97" s="35"/>
      <c r="F97" s="958" t="e">
        <f>F95+F96</f>
        <v>#DIV/0!</v>
      </c>
      <c r="G97" s="958" t="e">
        <f>G95+G96</f>
        <v>#REF!</v>
      </c>
    </row>
    <row r="98" spans="1:8" ht="13.5" thickBot="1">
      <c r="A98" s="187"/>
      <c r="B98" s="50"/>
      <c r="C98" s="50"/>
      <c r="D98" s="50"/>
      <c r="E98" s="50"/>
      <c r="F98" s="188"/>
      <c r="G98" s="35"/>
    </row>
    <row r="99" spans="1:8" ht="13.5" hidden="1" thickTop="1">
      <c r="D99" s="47" t="s">
        <v>1399</v>
      </c>
      <c r="E99" s="47"/>
      <c r="F99" s="47"/>
      <c r="G99" s="47"/>
    </row>
    <row r="100" spans="1:8" ht="13.5" hidden="1" thickTop="1">
      <c r="D100" s="47" t="s">
        <v>511</v>
      </c>
      <c r="E100" s="47"/>
      <c r="F100" s="47"/>
      <c r="G100" s="47"/>
    </row>
    <row r="101" spans="1:8" ht="13.5" hidden="1" thickTop="1">
      <c r="D101" s="47" t="s">
        <v>512</v>
      </c>
    </row>
    <row r="102" spans="1:8" ht="13.5" hidden="1" thickTop="1">
      <c r="D102" s="47" t="s">
        <v>1147</v>
      </c>
    </row>
    <row r="103" spans="1:8" ht="13.5" hidden="1" thickTop="1">
      <c r="D103" s="47" t="s">
        <v>720</v>
      </c>
    </row>
    <row r="104" spans="1:8" ht="13.5" hidden="1" thickTop="1">
      <c r="D104" s="47" t="s">
        <v>721</v>
      </c>
    </row>
    <row r="105" spans="1:8" ht="13.5" thickTop="1">
      <c r="D105" s="47"/>
    </row>
    <row r="109" spans="1:8" hidden="1">
      <c r="A109" s="23" t="s">
        <v>1870</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2027</v>
      </c>
    </row>
    <row r="118" spans="1:1" hidden="1"/>
    <row r="119" spans="1:1" hidden="1">
      <c r="A119" s="23" t="s">
        <v>70</v>
      </c>
    </row>
    <row r="120" spans="1:1" hidden="1">
      <c r="A120" s="23" t="s">
        <v>1906</v>
      </c>
    </row>
    <row r="121" spans="1:1" hidden="1">
      <c r="A121" s="23" t="s">
        <v>1907</v>
      </c>
    </row>
    <row r="122" spans="1:1" hidden="1">
      <c r="A122" s="23" t="s">
        <v>2077</v>
      </c>
    </row>
    <row r="123" spans="1:1" hidden="1"/>
    <row r="124" spans="1:1" hidden="1">
      <c r="A124" s="23" t="s">
        <v>2078</v>
      </c>
    </row>
    <row r="125" spans="1:1" hidden="1">
      <c r="A125" s="23" t="s">
        <v>2079</v>
      </c>
    </row>
    <row r="126" spans="1:1" hidden="1">
      <c r="A126" s="23" t="s">
        <v>368</v>
      </c>
    </row>
    <row r="127" spans="1:1" hidden="1">
      <c r="A127" s="23" t="s">
        <v>2080</v>
      </c>
    </row>
    <row r="128" spans="1:1" hidden="1">
      <c r="A128" s="23" t="s">
        <v>366</v>
      </c>
    </row>
    <row r="129" spans="1:7" hidden="1"/>
    <row r="130" spans="1:7" hidden="1">
      <c r="A130" s="97" t="s">
        <v>367</v>
      </c>
    </row>
    <row r="131" spans="1:7" hidden="1"/>
    <row r="134" spans="1:7">
      <c r="E134" t="s">
        <v>3169</v>
      </c>
      <c r="F134" s="5">
        <f>SUM(F22:F28)</f>
        <v>0</v>
      </c>
      <c r="G134" s="5">
        <f>SUM(G22:G28)</f>
        <v>0</v>
      </c>
    </row>
    <row r="135" spans="1:7">
      <c r="E135" t="s">
        <v>3170</v>
      </c>
      <c r="F135" s="5">
        <f>F29+F30</f>
        <v>0</v>
      </c>
      <c r="G135" s="5">
        <f>G29+G30</f>
        <v>0</v>
      </c>
    </row>
    <row r="136" spans="1:7">
      <c r="E136" t="s">
        <v>3171</v>
      </c>
      <c r="F136" s="5">
        <f>F33+F34</f>
        <v>0</v>
      </c>
      <c r="G136" s="5">
        <f>G33+G34</f>
        <v>0</v>
      </c>
    </row>
    <row r="137" spans="1:7">
      <c r="E137" t="s">
        <v>3172</v>
      </c>
      <c r="F137" s="5">
        <f>F35+F36</f>
        <v>0</v>
      </c>
      <c r="G137" s="5">
        <f>G35+G36</f>
        <v>0</v>
      </c>
    </row>
    <row r="138" spans="1:7">
      <c r="E138" t="s">
        <v>3251</v>
      </c>
      <c r="F138" s="121" t="e">
        <f>Assumptions!G57*'Calc Data-SB1'!W11*'Calc Data-SB1'!E35*100</f>
        <v>#DIV/0!</v>
      </c>
      <c r="G138" s="121" t="e">
        <f>Assumptions!G57*'Calc Data-SB1'!S25*'Calc Data-SB1'!E35*100</f>
        <v>#DIV/0!</v>
      </c>
    </row>
    <row r="139" spans="1:7">
      <c r="E139" t="s">
        <v>3253</v>
      </c>
      <c r="F139" s="121" t="e">
        <f>Assumptions!G58*'Calc Data-SB1'!W11*'Calc Data-SB1'!E38*100</f>
        <v>#DIV/0!</v>
      </c>
      <c r="G139" s="121" t="e">
        <f>Assumptions!G58*'Calc Data-SB1'!S25*'Calc Data-SB1'!E38*100</f>
        <v>#DIV/0!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79"/>
  <sheetViews>
    <sheetView topLeftCell="D30" workbookViewId="0">
      <selection activeCell="J49" sqref="J49"/>
    </sheetView>
  </sheetViews>
  <sheetFormatPr defaultRowHeight="12.75"/>
  <cols>
    <col min="1" max="1" width="3.7109375" customWidth="1"/>
    <col min="2" max="2" width="18" customWidth="1"/>
    <col min="3" max="3" width="23.5703125" customWidth="1"/>
    <col min="4" max="4" width="17.28515625" customWidth="1"/>
    <col min="5" max="5" width="19.85546875" style="49" customWidth="1"/>
    <col min="6" max="6" width="29.85546875" style="72" customWidth="1"/>
    <col min="7" max="7" width="18.85546875" customWidth="1"/>
    <col min="8" max="8" width="19.7109375" customWidth="1"/>
    <col min="9" max="9" width="19.140625" customWidth="1"/>
    <col min="10" max="10" width="18.42578125" customWidth="1"/>
    <col min="11" max="11" width="13.5703125" customWidth="1"/>
    <col min="12" max="12" width="11.140625" customWidth="1"/>
    <col min="13" max="13" width="11.7109375" bestFit="1" customWidth="1"/>
    <col min="15" max="15" width="11.7109375" bestFit="1" customWidth="1"/>
    <col min="17" max="17" width="11.7109375" bestFit="1" customWidth="1"/>
    <col min="19" max="19" width="11.7109375" bestFit="1" customWidth="1"/>
  </cols>
  <sheetData>
    <row r="1" spans="1:7">
      <c r="A1" s="23" t="s">
        <v>78</v>
      </c>
      <c r="C1" s="407" t="e">
        <f>VLOOKUP(C2,'0506Data'!A1:G1027,2,FALSE)</f>
        <v>#N/A</v>
      </c>
      <c r="D1" s="14"/>
      <c r="G1" s="83" t="s">
        <v>865</v>
      </c>
    </row>
    <row r="2" spans="1:7">
      <c r="A2" s="23" t="s">
        <v>79</v>
      </c>
      <c r="C2" s="14">
        <f>'Data Entry - SOF'!B2</f>
        <v>0</v>
      </c>
      <c r="D2" s="96" t="s">
        <v>317</v>
      </c>
      <c r="G2" s="83" t="e">
        <f>'Data Entry - SOF'!#REF!</f>
        <v>#REF!</v>
      </c>
    </row>
    <row r="3" spans="1:7">
      <c r="A3" s="23" t="s">
        <v>164</v>
      </c>
      <c r="C3" s="73">
        <f ca="1">NOW()</f>
        <v>43146.631174305556</v>
      </c>
      <c r="G3" s="82">
        <f>'Data Entry - SOF'!C3</f>
        <v>0</v>
      </c>
    </row>
    <row r="4" spans="1:7">
      <c r="D4" s="67" t="s">
        <v>101</v>
      </c>
    </row>
    <row r="5" spans="1:7">
      <c r="D5" s="67" t="s">
        <v>864</v>
      </c>
    </row>
    <row r="6" spans="1:7">
      <c r="A6" t="s">
        <v>2856</v>
      </c>
    </row>
    <row r="7" spans="1:7">
      <c r="A7" t="s">
        <v>1481</v>
      </c>
    </row>
    <row r="8" spans="1:7">
      <c r="A8" s="112" t="s">
        <v>1299</v>
      </c>
      <c r="B8" s="57"/>
      <c r="C8" s="113"/>
      <c r="D8" s="57"/>
      <c r="E8" s="2495"/>
      <c r="F8" s="2023"/>
      <c r="G8" s="58"/>
    </row>
    <row r="9" spans="1:7">
      <c r="A9" t="s">
        <v>2441</v>
      </c>
    </row>
    <row r="10" spans="1:7" ht="13.5" thickBot="1">
      <c r="A10" s="13" t="s">
        <v>1855</v>
      </c>
      <c r="B10" s="13"/>
      <c r="C10" s="13"/>
      <c r="D10" s="13"/>
      <c r="E10" s="2496"/>
      <c r="F10" s="2024"/>
      <c r="G10" s="13"/>
    </row>
    <row r="11" spans="1:7" ht="13.5" thickTop="1">
      <c r="A11" s="23" t="s">
        <v>80</v>
      </c>
      <c r="C11" s="23"/>
      <c r="D11" s="23"/>
      <c r="E11" s="83"/>
      <c r="F11" s="28"/>
      <c r="G11" s="23"/>
    </row>
    <row r="12" spans="1:7">
      <c r="A12" s="24" t="s">
        <v>1207</v>
      </c>
      <c r="B12" s="12"/>
      <c r="C12" s="23" t="s">
        <v>414</v>
      </c>
    </row>
    <row r="13" spans="1:7">
      <c r="C13" s="16"/>
    </row>
    <row r="14" spans="1:7">
      <c r="B14" s="56"/>
      <c r="C14" s="68" t="s">
        <v>1933</v>
      </c>
      <c r="D14" s="57"/>
      <c r="E14" s="2495"/>
      <c r="F14" s="2025"/>
    </row>
    <row r="15" spans="1:7">
      <c r="B15" t="s">
        <v>309</v>
      </c>
      <c r="C15" s="17"/>
      <c r="D15" s="407" t="e">
        <f>VLOOKUP(C2,'0506Data'!A1:G1027,5,FALSE)</f>
        <v>#N/A</v>
      </c>
      <c r="E15" s="2497"/>
      <c r="F15" s="893"/>
    </row>
    <row r="16" spans="1:7">
      <c r="B16" t="s">
        <v>1555</v>
      </c>
      <c r="C16" s="17"/>
      <c r="D16" s="168" t="e">
        <f>VLOOKUP(C2,'0506Data'!A1:G1027,7,FALSE)</f>
        <v>#N/A</v>
      </c>
      <c r="F16"/>
    </row>
    <row r="17" spans="2:7">
      <c r="B17" t="s">
        <v>1556</v>
      </c>
      <c r="D17" s="168" t="e">
        <f>VLOOKUP(C2,'0506Data'!A1:G1027,6,FALSE)</f>
        <v>#N/A</v>
      </c>
      <c r="F17"/>
    </row>
    <row r="18" spans="2:7">
      <c r="B18" t="s">
        <v>1858</v>
      </c>
      <c r="D18" s="138" t="e">
        <f>VLOOKUP(C2,'staff-ada'!A1:W1039,19,FALSE)</f>
        <v>#N/A</v>
      </c>
      <c r="F18"/>
    </row>
    <row r="19" spans="2:7">
      <c r="B19" t="s">
        <v>1161</v>
      </c>
      <c r="D19" s="416" t="e">
        <f>VLOOKUP(C2,Data0809!A3:P1030,3,FALSE)</f>
        <v>#N/A</v>
      </c>
      <c r="F19" s="72" t="s">
        <v>852</v>
      </c>
    </row>
    <row r="20" spans="2:7">
      <c r="B20" t="s">
        <v>2668</v>
      </c>
      <c r="D20" s="416" t="e">
        <f>VLOOKUP(C2,Data0809!A3:P1030,4,FALSE)</f>
        <v>#N/A</v>
      </c>
    </row>
    <row r="21" spans="2:7">
      <c r="F21" s="72" t="s">
        <v>2909</v>
      </c>
      <c r="G21" s="935" t="e">
        <f>VLOOKUP(C2,final0809!A3:K1027,3,FALSE)</f>
        <v>#N/A</v>
      </c>
    </row>
    <row r="22" spans="2:7">
      <c r="E22" s="413" t="e">
        <f>VLOOKUP(C2,HardshipGrant!A1:B130,2,FALSE)</f>
        <v>#N/A</v>
      </c>
      <c r="F22" s="72" t="s">
        <v>2910</v>
      </c>
      <c r="G22" s="935" t="e">
        <f>VLOOKUP(C2,final0809!A3:K1027,4,FALSE)</f>
        <v>#N/A</v>
      </c>
    </row>
    <row r="23" spans="2:7">
      <c r="F23" s="72" t="s">
        <v>2911</v>
      </c>
      <c r="G23" s="413" t="e">
        <f>VLOOKUP(C2,final0809!A3:K1027,11,FALSE)</f>
        <v>#N/A</v>
      </c>
    </row>
    <row r="24" spans="2:7">
      <c r="F24" s="72" t="s">
        <v>2941</v>
      </c>
      <c r="G24" s="935" t="e">
        <f>VLOOKUP(C2,final0809!A3:K1027,5,FALSE)</f>
        <v>#N/A</v>
      </c>
    </row>
    <row r="25" spans="2:7">
      <c r="F25" s="72" t="s">
        <v>2943</v>
      </c>
      <c r="G25" s="413" t="e">
        <f>VLOOKUP(C2,final0809!A3:K1027,6,FALSE)</f>
        <v>#N/A</v>
      </c>
    </row>
    <row r="26" spans="2:7">
      <c r="F26" s="72" t="s">
        <v>2942</v>
      </c>
      <c r="G26" s="413" t="e">
        <f>VLOOKUP(C2,final0809!A3:K1027,7,FALSE)</f>
        <v>#N/A</v>
      </c>
    </row>
    <row r="27" spans="2:7">
      <c r="F27" s="72" t="s">
        <v>1748</v>
      </c>
      <c r="G27" s="413" t="e">
        <f>VLOOKUP(C2,final0809!A3:K1027,8,FALSE)</f>
        <v>#N/A</v>
      </c>
    </row>
    <row r="28" spans="2:7">
      <c r="F28" s="72" t="s">
        <v>1749</v>
      </c>
      <c r="G28" s="413" t="e">
        <f>VLOOKUP(C2,final0809!A3:K1027,9,FALSE)</f>
        <v>#N/A</v>
      </c>
    </row>
    <row r="33" spans="3:11">
      <c r="C33" t="s">
        <v>1874</v>
      </c>
      <c r="D33" s="413" t="e">
        <f>VLOOKUP(C2,Data0809!A3:BP1030,64,FALSE)</f>
        <v>#N/A</v>
      </c>
    </row>
    <row r="34" spans="3:11">
      <c r="C34" t="s">
        <v>1875</v>
      </c>
      <c r="D34" s="413" t="e">
        <f>VLOOKUP(C2,Data0809!A3:BP1030,65,FALSE)</f>
        <v>#N/A</v>
      </c>
    </row>
    <row r="35" spans="3:11">
      <c r="C35" t="s">
        <v>1876</v>
      </c>
      <c r="D35" s="413" t="e">
        <f>VLOOKUP(C2,Data0809!A3:BP1030,66,FALSE)</f>
        <v>#N/A</v>
      </c>
      <c r="F35" s="72" t="s">
        <v>2033</v>
      </c>
      <c r="G35" s="168" t="e">
        <f>VLOOKUP(C2,SqMiles!A1:B1031,2,FALSE)</f>
        <v>#N/A</v>
      </c>
    </row>
    <row r="37" spans="3:11">
      <c r="F37" s="72" t="s">
        <v>1208</v>
      </c>
      <c r="G37" s="138" t="e">
        <f>VLOOKUP(C2,'staff-ada'!A1:R1039,18,FALSE)</f>
        <v>#N/A</v>
      </c>
    </row>
    <row r="41" spans="3:11">
      <c r="F41"/>
    </row>
    <row r="42" spans="3:11">
      <c r="F42"/>
    </row>
    <row r="43" spans="3:11">
      <c r="F43"/>
    </row>
    <row r="44" spans="3:11">
      <c r="F44"/>
    </row>
    <row r="45" spans="3:11">
      <c r="F45"/>
    </row>
    <row r="47" spans="3:11">
      <c r="D47" t="s">
        <v>2961</v>
      </c>
      <c r="F47" s="424" t="e">
        <f>VLOOKUP(C2,Data0809!A3:BH1030,51,FALSE)</f>
        <v>#N/A</v>
      </c>
      <c r="G47" s="72" t="s">
        <v>4709</v>
      </c>
      <c r="H47" s="72" t="s">
        <v>7123</v>
      </c>
      <c r="I47" s="72" t="s">
        <v>7367</v>
      </c>
      <c r="J47" s="3743" t="s">
        <v>9060</v>
      </c>
    </row>
    <row r="48" spans="3:11">
      <c r="D48" t="s">
        <v>2962</v>
      </c>
      <c r="F48" s="424" t="e">
        <f>VLOOKUP(C2,Data0809!A3:BH1030,52,FALSE)</f>
        <v>#N/A</v>
      </c>
      <c r="G48" s="168" t="e">
        <f>VLOOKUP(C2,'Values-25K'!A1:C1019,2,FALSE)</f>
        <v>#N/A</v>
      </c>
      <c r="H48" s="168" t="e">
        <f>VLOOKUP(C2,TaxYr2015Values!A2:E1019,2,FALSE)</f>
        <v>#N/A</v>
      </c>
      <c r="I48" s="168" t="e">
        <f>VLOOKUP(C2,TaxYr2016ValuesFinal!A2:L1019,4,FALSE)</f>
        <v>#N/A</v>
      </c>
      <c r="J48" s="4651" t="e">
        <f>VLOOKUP(C2,Prelim_2017_Values!A2:H1019,3,FALSE)</f>
        <v>#N/A</v>
      </c>
      <c r="K48" s="3741" t="s">
        <v>4586</v>
      </c>
    </row>
    <row r="49" spans="2:11">
      <c r="D49" t="s">
        <v>2963</v>
      </c>
      <c r="F49" s="1537" t="e">
        <f>VLOOKUP(C2,Data0809!A3:BH1030,53,FALSE)</f>
        <v>#N/A</v>
      </c>
      <c r="G49" s="168" t="e">
        <f>VLOOKUP(C2,'Values-25K'!A1:C1019,3,FALSE)</f>
        <v>#N/A</v>
      </c>
      <c r="H49" s="168" t="e">
        <f>VLOOKUP(C2,TaxYr2015Values!A2:E1019,3,FALSE)</f>
        <v>#N/A</v>
      </c>
      <c r="I49" s="168" t="e">
        <f>VLOOKUP(C2,TaxYr2016ValuesFinal!A2:L1019,10,FALSE)</f>
        <v>#N/A</v>
      </c>
      <c r="J49" s="4651" t="e">
        <f>VLOOKUP(C2,Prelim_2017_Values!A2:H1019,4,FALSE)</f>
        <v>#N/A</v>
      </c>
      <c r="K49" s="3741" t="s">
        <v>7124</v>
      </c>
    </row>
    <row r="50" spans="2:11">
      <c r="B50" s="49" t="s">
        <v>4707</v>
      </c>
      <c r="C50" s="168" t="e">
        <f>VLOOKUP(C2,#REF!,2,FALSE)</f>
        <v>#REF!</v>
      </c>
      <c r="D50" t="s">
        <v>2112</v>
      </c>
      <c r="F50" s="424" t="e">
        <f>VLOOKUP(C2,Data0809!A3:BH1030,54,FALSE)</f>
        <v>#N/A</v>
      </c>
      <c r="G50" s="168" t="e">
        <f>VLOOKUP(C2,'Values-15K'!A1:D1019,3,FALSE)</f>
        <v>#N/A</v>
      </c>
      <c r="H50" s="168" t="e">
        <f>VLOOKUP(C2,TaxYr2015Values!A2:E1019,4,FALSE)</f>
        <v>#N/A</v>
      </c>
      <c r="I50" s="168" t="e">
        <f>VLOOKUP(C2,TaxYr2016ValuesFinal!A2:L1019,3,FALSE)</f>
        <v>#N/A</v>
      </c>
      <c r="J50" s="4651" t="e">
        <f>VLOOKUP(C2,Prelim_2017_Values!A2:H1019,6,FALSE)</f>
        <v>#N/A</v>
      </c>
      <c r="K50" s="3741" t="s">
        <v>7362</v>
      </c>
    </row>
    <row r="51" spans="2:11">
      <c r="B51" s="49" t="s">
        <v>4708</v>
      </c>
      <c r="C51" s="168" t="e">
        <f>VLOOKUP(C2,#REF!,3,FALSE)</f>
        <v>#REF!</v>
      </c>
      <c r="G51" s="168" t="e">
        <f>VLOOKUP(C2,'Values-15K'!A1:D1019,4,FALSE)</f>
        <v>#N/A</v>
      </c>
      <c r="H51" s="168" t="e">
        <f>VLOOKUP(C2,TaxYr2015Values!A2:E1019,5,FALSE)</f>
        <v>#N/A</v>
      </c>
      <c r="I51" s="168" t="e">
        <f>VLOOKUP(C2,TaxYr2016ValuesFinal!A2:L1019,9,FALSE)</f>
        <v>#N/A</v>
      </c>
      <c r="J51" s="4651" t="e">
        <f>VLOOKUP(C2,Prelim_2017_Values!A2:H1019,8,FALSE)</f>
        <v>#N/A</v>
      </c>
      <c r="K51" s="3741" t="s">
        <v>7363</v>
      </c>
    </row>
    <row r="52" spans="2:11">
      <c r="H52" s="168" t="e">
        <f>VLOOKUP(C2,TaxYr2015Values!A2:I1019,7,FALSE)</f>
        <v>#N/A</v>
      </c>
      <c r="I52" s="168" t="e">
        <f>VLOOKUP(C2,TaxYr2016ValuesFinal!A2:L1019,6,FALSE)</f>
        <v>#N/A</v>
      </c>
      <c r="J52" s="4651" t="e">
        <f>VLOOKUP(C2,Prelim_2017_Values!A2:H1019,5,FALSE)</f>
        <v>#N/A</v>
      </c>
      <c r="K52" s="3741" t="s">
        <v>7364</v>
      </c>
    </row>
    <row r="53" spans="2:11">
      <c r="H53" s="168" t="e">
        <f>VLOOKUP(C2,TaxYr2015Values!A2:I1019,9,FALSE)</f>
        <v>#N/A</v>
      </c>
      <c r="I53" s="168" t="e">
        <f>VLOOKUP(C2,TaxYr2016ValuesFinal!A2:L1019,12,FALSE)</f>
        <v>#N/A</v>
      </c>
      <c r="J53" s="4651" t="e">
        <f>VLOOKUP(C2,Prelim_2017_Values!A2:H1019,7,FALSE)</f>
        <v>#N/A</v>
      </c>
      <c r="K53" s="3741" t="s">
        <v>7365</v>
      </c>
    </row>
    <row r="54" spans="2:11">
      <c r="D54" s="47" t="s">
        <v>3828</v>
      </c>
      <c r="H54" s="168" t="e">
        <f>VLOOKUP(C2,TaxYr2015Values!A2:I1019,6,FALSE)</f>
        <v>#N/A</v>
      </c>
      <c r="I54" s="168" t="e">
        <f>VLOOKUP(C2,TaxYr2016ValuesFinal!A2:L1019,5,FALSE)</f>
        <v>#N/A</v>
      </c>
    </row>
    <row r="55" spans="2:11">
      <c r="D55" t="s">
        <v>1173</v>
      </c>
      <c r="F55" s="422" t="e">
        <f>VLOOKUP(C2,Data0809!A3:P1030,16,FALSE)</f>
        <v>#N/A</v>
      </c>
      <c r="H55" s="168" t="e">
        <f>VLOOKUP(C2,TaxYr2015Values!A2:I1019,8,FALSE)</f>
        <v>#N/A</v>
      </c>
      <c r="I55" s="168" t="e">
        <f>VLOOKUP(C2,TaxYr2016ValuesFinal!A2:L1019,11,FALSE)</f>
        <v>#N/A</v>
      </c>
    </row>
    <row r="56" spans="2:11">
      <c r="D56" t="s">
        <v>2008</v>
      </c>
      <c r="F56" s="72" t="e">
        <f>VLOOKUP(C2,Data0809!A3:P1030,5,FALSE)</f>
        <v>#N/A</v>
      </c>
    </row>
    <row r="58" spans="2:11">
      <c r="D58" t="s">
        <v>2014</v>
      </c>
      <c r="F58" s="422" t="e">
        <f>VLOOKUP(C2,Data0809!A3:AH1030,17,FALSE)</f>
        <v>#N/A</v>
      </c>
    </row>
    <row r="59" spans="2:11">
      <c r="D59" t="s">
        <v>751</v>
      </c>
      <c r="F59" s="422" t="e">
        <f>VLOOKUP(C2,Data0809!A3:AH1030,18,FALSE)</f>
        <v>#N/A</v>
      </c>
    </row>
    <row r="60" spans="2:11">
      <c r="D60" t="s">
        <v>752</v>
      </c>
      <c r="F60" s="422" t="e">
        <f>VLOOKUP(C2,Data0809!A3:AH1030,19,FALSE)</f>
        <v>#N/A</v>
      </c>
    </row>
    <row r="61" spans="2:11">
      <c r="D61" t="s">
        <v>754</v>
      </c>
      <c r="F61" s="422" t="e">
        <f>VLOOKUP(C2,Data0809!A3:AH1030,20,FALSE)</f>
        <v>#N/A</v>
      </c>
    </row>
    <row r="62" spans="2:11">
      <c r="D62" t="s">
        <v>753</v>
      </c>
      <c r="F62" s="422" t="e">
        <f>VLOOKUP(C2,Data0809!A3:AH1030,21,FALSE)</f>
        <v>#N/A</v>
      </c>
    </row>
    <row r="63" spans="2:11">
      <c r="D63" t="s">
        <v>755</v>
      </c>
      <c r="F63" s="422" t="e">
        <f>VLOOKUP(C2,Data0809!A3:AH1030,22,FALSE)</f>
        <v>#N/A</v>
      </c>
    </row>
    <row r="64" spans="2:11">
      <c r="D64" t="s">
        <v>756</v>
      </c>
      <c r="F64" s="422" t="e">
        <f>VLOOKUP(C2,Data0809!A3:AH1030,23,FALSE)</f>
        <v>#N/A</v>
      </c>
    </row>
    <row r="65" spans="4:8">
      <c r="D65" t="s">
        <v>767</v>
      </c>
      <c r="F65" s="422" t="e">
        <f>VLOOKUP(C2,Data0809!A3:AH1030,24,FALSE)</f>
        <v>#N/A</v>
      </c>
    </row>
    <row r="66" spans="4:8">
      <c r="D66" t="s">
        <v>768</v>
      </c>
      <c r="F66" s="422" t="e">
        <f>VLOOKUP(C2,Data0809!A3:AH1030,25,FALSE)</f>
        <v>#N/A</v>
      </c>
    </row>
    <row r="67" spans="4:8">
      <c r="D67" t="s">
        <v>759</v>
      </c>
      <c r="F67" s="422" t="e">
        <f>VLOOKUP(C2,Data0809!A3:AH1030,26,FALSE)</f>
        <v>#N/A</v>
      </c>
    </row>
    <row r="68" spans="4:8">
      <c r="D68" t="s">
        <v>769</v>
      </c>
      <c r="F68" s="422" t="e">
        <f>VLOOKUP(C2,Data0809!A3:AH1030,27,FALSE)</f>
        <v>#N/A</v>
      </c>
    </row>
    <row r="69" spans="4:8">
      <c r="D69" t="s">
        <v>761</v>
      </c>
      <c r="F69" s="422" t="e">
        <f>VLOOKUP(C2,Data0809!A3:AH1030,28,FALSE)</f>
        <v>#N/A</v>
      </c>
    </row>
    <row r="70" spans="4:8">
      <c r="D70" t="s">
        <v>762</v>
      </c>
      <c r="F70" s="422" t="e">
        <f>VLOOKUP(C2,Data0809!A3:AH1030,29,FALSE)</f>
        <v>#N/A</v>
      </c>
      <c r="G70" s="424" t="e">
        <f>VLOOKUP(C2,HH_Debt1516!B1:C850,2,FALSE)</f>
        <v>#N/A</v>
      </c>
      <c r="H70" s="424" t="e">
        <f>VLOOKUP(C2,HH_debt1617!B1:C839,2,FALSE)</f>
        <v>#N/A</v>
      </c>
    </row>
    <row r="71" spans="4:8">
      <c r="D71" t="s">
        <v>763</v>
      </c>
      <c r="F71" s="422" t="e">
        <f>VLOOKUP(C2,Data0809!A3:AH1030,30,FALSE)</f>
        <v>#N/A</v>
      </c>
    </row>
    <row r="72" spans="4:8">
      <c r="D72" t="s">
        <v>764</v>
      </c>
      <c r="F72" s="422" t="e">
        <f>VLOOKUP(C2,Data0809!A3:AH1030,31,FALSE)</f>
        <v>#N/A</v>
      </c>
    </row>
    <row r="73" spans="4:8">
      <c r="D73" t="s">
        <v>765</v>
      </c>
      <c r="F73" s="422" t="e">
        <f>VLOOKUP(C2,Data0809!A3:AH1030,32,FALSE)</f>
        <v>#N/A</v>
      </c>
    </row>
    <row r="74" spans="4:8">
      <c r="D74" t="s">
        <v>766</v>
      </c>
      <c r="F74" s="422" t="e">
        <f>VLOOKUP(C2,Data0809!A3:AH1030,33,FALSE)</f>
        <v>#N/A</v>
      </c>
    </row>
    <row r="75" spans="4:8">
      <c r="D75" t="s">
        <v>2114</v>
      </c>
      <c r="F75" s="422" t="e">
        <f>VLOOKUP(C2,Data0809!A3:AH1030,34,FALSE)</f>
        <v>#N/A</v>
      </c>
    </row>
    <row r="79" spans="4:8">
      <c r="D79" t="s">
        <v>2012</v>
      </c>
      <c r="F79" s="424" t="e">
        <f>VLOOKUP(C2,Data0809!A3:BK1030,10,FALSE)</f>
        <v>#N/A</v>
      </c>
    </row>
    <row r="83" spans="4:12">
      <c r="E83" s="935" t="e">
        <f>VLOOKUP(C2,DeclineAdj!B1:D1018,3,FALSE)</f>
        <v>#N/A</v>
      </c>
    </row>
    <row r="85" spans="4:12">
      <c r="G85" s="421" t="e">
        <f>VLOOKUP(C2,TaxRates!A1:D1025,4,FALSE)</f>
        <v>#N/A</v>
      </c>
      <c r="H85" s="935" t="e">
        <f>VLOOKUP(C2,Data0910!A4:H1031,8,FALSE)</f>
        <v>#N/A</v>
      </c>
    </row>
    <row r="86" spans="4:12">
      <c r="D86" t="s">
        <v>2013</v>
      </c>
      <c r="F86" s="72" t="e">
        <f>VLOOKUP(C2,Data0809!A3:P1030,13,FALSE)</f>
        <v>#N/A</v>
      </c>
    </row>
    <row r="87" spans="4:12">
      <c r="D87" t="s">
        <v>770</v>
      </c>
      <c r="F87" s="424" t="e">
        <f>VLOOKUP(C2,Data0809!A3:AX1030,35,FALSE)</f>
        <v>#N/A</v>
      </c>
    </row>
    <row r="88" spans="4:12">
      <c r="D88" t="s">
        <v>771</v>
      </c>
      <c r="F88" s="424" t="e">
        <f>VLOOKUP(C2,Data0809!A3:AX1030,36,FALSE)</f>
        <v>#N/A</v>
      </c>
      <c r="G88" s="72" t="s">
        <v>6877</v>
      </c>
      <c r="H88" s="72" t="s">
        <v>6878</v>
      </c>
      <c r="I88" s="72" t="s">
        <v>6879</v>
      </c>
      <c r="J88" s="72" t="s">
        <v>6880</v>
      </c>
      <c r="K88" s="72" t="s">
        <v>6881</v>
      </c>
      <c r="L88" s="72" t="s">
        <v>7709</v>
      </c>
    </row>
    <row r="89" spans="4:12">
      <c r="D89" t="s">
        <v>4597</v>
      </c>
      <c r="F89" s="424" t="e">
        <f>VLOOKUP(C2,UnequalizedTaxes!A4:U1021,4,FALSE)</f>
        <v>#N/A</v>
      </c>
      <c r="G89" s="424" t="e">
        <f>VLOOKUP(C2,UnequalizedTaxes!A4:Y1021,8,FALSE)</f>
        <v>#N/A</v>
      </c>
      <c r="H89" s="424" t="e">
        <f>VLOOKUP(C2,UnequalizedTaxes!A4:Y1021,12,FALSE)</f>
        <v>#N/A</v>
      </c>
      <c r="I89" s="424" t="e">
        <f>VLOOKUP(C2,UnequalizedTaxes!A4:Y1021,16,FALSE)</f>
        <v>#N/A</v>
      </c>
      <c r="J89" s="424" t="e">
        <f>VLOOKUP(C2,UnequalizedTaxes!A4:Y1021,20,FALSE)</f>
        <v>#N/A</v>
      </c>
      <c r="K89" s="424" t="e">
        <f>VLOOKUP(C2,UnequalizedTaxes!A4:Y1021,22,FALSE)</f>
        <v>#N/A</v>
      </c>
      <c r="L89" s="424" t="e">
        <f>VLOOKUP(D2,UnequalizedTaxes!C4:Z1021,22,FALSE)</f>
        <v>#N/A</v>
      </c>
    </row>
    <row r="90" spans="4:12">
      <c r="G90" s="421" t="e">
        <f>F94</f>
        <v>#N/A</v>
      </c>
    </row>
    <row r="92" spans="4:12">
      <c r="D92" t="s">
        <v>773</v>
      </c>
      <c r="F92" s="424" t="e">
        <f>VLOOKUP(C2,Data0809!A3:AX1030,37,FALSE)</f>
        <v>#N/A</v>
      </c>
    </row>
    <row r="93" spans="4:12">
      <c r="G93" s="807" t="e">
        <f>VLOOKUP(C2,TaxRates!A1:C1025,3,FALSE)</f>
        <v>#N/A</v>
      </c>
    </row>
    <row r="94" spans="4:12">
      <c r="D94" t="s">
        <v>174</v>
      </c>
      <c r="F94" s="424" t="e">
        <f>VLOOKUP(C2,Data0809!A3:AX1030,38,FALSE)</f>
        <v>#N/A</v>
      </c>
    </row>
    <row r="96" spans="4:12">
      <c r="D96" t="s">
        <v>2113</v>
      </c>
      <c r="F96" s="424" t="e">
        <f>VLOOKUP(C2,Data0809!A3:AX1030,39,FALSE)</f>
        <v>#N/A</v>
      </c>
    </row>
    <row r="97" spans="4:6">
      <c r="D97" t="s">
        <v>175</v>
      </c>
      <c r="F97" s="424" t="e">
        <f>VLOOKUP(C2,Data0809!A3:AX1030,40,FALSE)</f>
        <v>#N/A</v>
      </c>
    </row>
    <row r="98" spans="4:6">
      <c r="D98" t="s">
        <v>176</v>
      </c>
      <c r="F98" s="424" t="e">
        <f>VLOOKUP(C2,Data0809!A3:AX1030,41,FALSE)</f>
        <v>#N/A</v>
      </c>
    </row>
    <row r="99" spans="4:6">
      <c r="D99" t="s">
        <v>2336</v>
      </c>
      <c r="F99" s="424" t="e">
        <f>VLOOKUP(C2,Data0809!A3:AX1030,42,FALSE)</f>
        <v>#N/A</v>
      </c>
    </row>
    <row r="100" spans="4:6">
      <c r="D100" t="s">
        <v>2337</v>
      </c>
      <c r="F100" s="424" t="e">
        <f>VLOOKUP(C2,Data0809!A3:AX1030,43,FALSE)</f>
        <v>#N/A</v>
      </c>
    </row>
    <row r="101" spans="4:6">
      <c r="D101" t="s">
        <v>2338</v>
      </c>
      <c r="F101" s="424" t="e">
        <f>VLOOKUP(C2,Data0809!A3:AX1030,44,FALSE)</f>
        <v>#N/A</v>
      </c>
    </row>
    <row r="102" spans="4:6">
      <c r="D102" t="s">
        <v>2339</v>
      </c>
      <c r="F102" s="424" t="e">
        <f>VLOOKUP(C2,Data0809!A3:AX1030,45,FALSE)</f>
        <v>#N/A</v>
      </c>
    </row>
    <row r="103" spans="4:6">
      <c r="D103" t="s">
        <v>2340</v>
      </c>
      <c r="F103" s="424" t="e">
        <f>VLOOKUP(C2,Data0809!A3:AX1030,46,FALSE)</f>
        <v>#N/A</v>
      </c>
    </row>
    <row r="104" spans="4:6">
      <c r="D104" t="s">
        <v>2341</v>
      </c>
      <c r="F104" s="424" t="e">
        <f>VLOOKUP(C2,Data0809!A3:AX1030,47,FALSE)</f>
        <v>#N/A</v>
      </c>
    </row>
    <row r="105" spans="4:6">
      <c r="D105" t="s">
        <v>2342</v>
      </c>
      <c r="F105" s="424" t="e">
        <f>VLOOKUP(C2,Data0809!A3:AX1030,48,FALSE)</f>
        <v>#N/A</v>
      </c>
    </row>
    <row r="106" spans="4:6">
      <c r="D106" t="s">
        <v>2350</v>
      </c>
      <c r="F106" s="424" t="e">
        <f>VLOOKUP(C2,Data0809!A3:AX1030,49,FALSE)</f>
        <v>#N/A</v>
      </c>
    </row>
    <row r="107" spans="4:6">
      <c r="D107" t="s">
        <v>2343</v>
      </c>
      <c r="F107" s="424" t="e">
        <f>VLOOKUP(C2,Data0809!A3:AX1030,50,FALSE)</f>
        <v>#N/A</v>
      </c>
    </row>
    <row r="110" spans="4:6">
      <c r="D110" t="s">
        <v>2782</v>
      </c>
      <c r="F110" s="424" t="e">
        <f>VLOOKUP(C2,Data0809!A3:BI1030,61,FALSE)</f>
        <v>#N/A</v>
      </c>
    </row>
    <row r="112" spans="4:6">
      <c r="D112" s="60" t="s">
        <v>2009</v>
      </c>
      <c r="F112" s="72" t="e">
        <f>VLOOKUP(C2,Data0809!A3:P1030,6,FALSE)</f>
        <v>#N/A</v>
      </c>
    </row>
    <row r="113" spans="2:6">
      <c r="D113" t="s">
        <v>2010</v>
      </c>
      <c r="F113" s="72" t="e">
        <f>VLOOKUP(C2,Data0809!A3:P1030,7,FALSE)</f>
        <v>#N/A</v>
      </c>
    </row>
    <row r="114" spans="2:6">
      <c r="D114" t="s">
        <v>2011</v>
      </c>
      <c r="F114" s="72" t="e">
        <f>VLOOKUP(C2,Data0809!A3:P1030,8,FALSE)</f>
        <v>#N/A</v>
      </c>
    </row>
    <row r="117" spans="2:6">
      <c r="D117" t="s">
        <v>2964</v>
      </c>
      <c r="F117" s="72" t="e">
        <f>VLOOKUP(C2,Data0809!A3:BH1030,58,FALSE)</f>
        <v>#N/A</v>
      </c>
    </row>
    <row r="118" spans="2:6">
      <c r="D118" t="s">
        <v>2965</v>
      </c>
      <c r="F118" s="72" t="e">
        <f>VLOOKUP(C2,Data0809!A3:BH1030,57,FALSE)</f>
        <v>#N/A</v>
      </c>
    </row>
    <row r="120" spans="2:6">
      <c r="B120" s="49" t="s">
        <v>7322</v>
      </c>
      <c r="C120" s="2498" t="e">
        <f>VLOOKUP(C2,Data1415!A2:F1020,2,FALSE)</f>
        <v>#N/A</v>
      </c>
      <c r="E120" s="49" t="s">
        <v>2966</v>
      </c>
      <c r="F120" s="72" t="e">
        <f>VLOOKUP(C2,Data0809!A3:BH1030,59,FALSE)</f>
        <v>#N/A</v>
      </c>
    </row>
    <row r="121" spans="2:6">
      <c r="B121" s="49" t="s">
        <v>7326</v>
      </c>
      <c r="C121" s="2499" t="e">
        <f>VLOOKUP(C2,Data1415!A2:G1020,7,FALSE)</f>
        <v>#N/A</v>
      </c>
      <c r="E121" s="49" t="s">
        <v>2967</v>
      </c>
      <c r="F121" s="72" t="e">
        <f>VLOOKUP(C2,Data0809!A3:BH1030,60,FALSE)</f>
        <v>#N/A</v>
      </c>
    </row>
    <row r="122" spans="2:6">
      <c r="B122" s="49" t="s">
        <v>7327</v>
      </c>
      <c r="C122" s="2499" t="e">
        <f>VLOOKUP(C2,Data1415!A2:F1020,4,FALSE)</f>
        <v>#N/A</v>
      </c>
    </row>
    <row r="123" spans="2:6">
      <c r="B123" s="49" t="s">
        <v>7328</v>
      </c>
      <c r="C123" s="2499" t="e">
        <f>VLOOKUP(C2,Data1415!A2:F1020,5,FALSE)</f>
        <v>#N/A</v>
      </c>
      <c r="E123" s="49" t="s">
        <v>2968</v>
      </c>
      <c r="F123" s="72" t="e">
        <f>VLOOKUP(C2,Data0809!A3:BH1030,55,FALSE)</f>
        <v>#N/A</v>
      </c>
    </row>
    <row r="124" spans="2:6">
      <c r="B124" s="49" t="s">
        <v>7329</v>
      </c>
      <c r="C124" s="2499" t="e">
        <f>VLOOKUP(C2,Data1415!A2:F1020,6,FALSE)</f>
        <v>#N/A</v>
      </c>
      <c r="E124" s="49" t="s">
        <v>2969</v>
      </c>
      <c r="F124" s="72" t="e">
        <f>VLOOKUP(C2,Data0809!A3:BH1030,56,FALSE)</f>
        <v>#N/A</v>
      </c>
    </row>
    <row r="125" spans="2:6">
      <c r="B125" s="49" t="s">
        <v>7330</v>
      </c>
      <c r="C125" s="2498" t="e">
        <f>VLOOKUP(C2,Data1415!A2:D1020,3,FALSE)</f>
        <v>#N/A</v>
      </c>
    </row>
    <row r="128" spans="2:6">
      <c r="D128" t="s">
        <v>2717</v>
      </c>
      <c r="F128" s="72" t="e">
        <f>VLOOKUP(C2,Data0809!A3:BJ1030,62,FALSE)</f>
        <v>#N/A</v>
      </c>
    </row>
    <row r="130" spans="3:7">
      <c r="D130" t="s">
        <v>2714</v>
      </c>
      <c r="F130"/>
    </row>
    <row r="131" spans="3:7">
      <c r="D131" t="s">
        <v>2715</v>
      </c>
      <c r="F131"/>
    </row>
    <row r="134" spans="3:7">
      <c r="C134" s="2498" t="e">
        <f>VLOOKUP(C2,Data1516!A1:C1024,3,FALSE)</f>
        <v>#N/A</v>
      </c>
    </row>
    <row r="142" spans="3:7">
      <c r="G142" s="194" t="s">
        <v>1059</v>
      </c>
    </row>
    <row r="143" spans="3:7">
      <c r="D143" s="92" t="s">
        <v>2159</v>
      </c>
      <c r="G143" s="935" t="e">
        <f>VLOOKUP(C2,Data0910!A4:G1031,3,FALSE)</f>
        <v>#N/A</v>
      </c>
    </row>
    <row r="144" spans="3:7">
      <c r="D144" s="92" t="s">
        <v>2160</v>
      </c>
      <c r="G144" s="935" t="e">
        <f>VLOOKUP(C2,Data0910!A4:G1031,4,FALSE)</f>
        <v>#N/A</v>
      </c>
    </row>
    <row r="145" spans="2:7">
      <c r="D145" s="35" t="s">
        <v>2694</v>
      </c>
      <c r="G145" s="413" t="e">
        <f>VLOOKUP(C2,Data0910!A4:G1031,6,FALSE)</f>
        <v>#N/A</v>
      </c>
    </row>
    <row r="146" spans="2:7">
      <c r="D146" s="35" t="s">
        <v>2695</v>
      </c>
      <c r="G146" s="413" t="e">
        <f>VLOOKUP(C2,Data0910!A4:G1031,5,FALSE)</f>
        <v>#N/A</v>
      </c>
    </row>
    <row r="147" spans="2:7">
      <c r="D147" s="177" t="s">
        <v>2696</v>
      </c>
      <c r="G147" s="413" t="e">
        <f>VLOOKUP(C2,Data0910!A4:G1031,2,FALSE)</f>
        <v>#N/A</v>
      </c>
    </row>
    <row r="149" spans="2:7">
      <c r="D149" t="s">
        <v>2697</v>
      </c>
      <c r="G149" s="935" t="e">
        <f>VLOOKUP(C2,Data0910!A4:G1031,7,FALSE)</f>
        <v>#N/A</v>
      </c>
    </row>
    <row r="153" spans="2:7">
      <c r="B153" s="35"/>
      <c r="F153"/>
    </row>
    <row r="154" spans="2:7">
      <c r="B154" s="35"/>
      <c r="F154"/>
    </row>
    <row r="155" spans="2:7">
      <c r="B155" s="35"/>
      <c r="F155"/>
    </row>
    <row r="156" spans="2:7">
      <c r="B156" s="35"/>
      <c r="F156"/>
    </row>
    <row r="157" spans="2:7">
      <c r="B157" s="35"/>
      <c r="F157"/>
    </row>
    <row r="158" spans="2:7">
      <c r="B158" s="35"/>
      <c r="F158"/>
    </row>
    <row r="159" spans="2:7">
      <c r="B159" s="35"/>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row r="178" spans="3:4">
      <c r="C178" t="s">
        <v>1882</v>
      </c>
      <c r="D178" s="413" t="e">
        <f>VLOOKUP(C2,Data0809!A3:BP1030,67,FALSE)</f>
        <v>#N/A</v>
      </c>
    </row>
    <row r="179" spans="3:4">
      <c r="C179" t="s">
        <v>2064</v>
      </c>
      <c r="D179" s="413" t="e">
        <f>VLOOKUP(C2,Data0809!A3:BP1030,68,FALSE)</f>
        <v>#N/A</v>
      </c>
    </row>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heetViews>
  <sheetFormatPr defaultRowHeight="12.75"/>
  <cols>
    <col min="1" max="1" width="25.42578125" customWidth="1"/>
    <col min="2" max="2" width="19.5703125" style="121" hidden="1" customWidth="1"/>
    <col min="3" max="3" width="6.28515625" hidden="1" customWidth="1"/>
    <col min="4" max="4" width="20.7109375" customWidth="1"/>
    <col min="5" max="5" width="6.7109375" customWidth="1"/>
    <col min="6" max="6" width="20.7109375" customWidth="1"/>
    <col min="7" max="7" width="6.7109375"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s>
  <sheetData>
    <row r="1" spans="1:17" ht="15.75">
      <c r="A1" s="47">
        <f>'DE1'!C2</f>
        <v>0</v>
      </c>
      <c r="D1" s="1191" t="s">
        <v>6461</v>
      </c>
    </row>
    <row r="2" spans="1:17" ht="15.75">
      <c r="A2" s="2249">
        <f>'Data Entry - SOF'!B1</f>
        <v>0</v>
      </c>
      <c r="D2" s="1795"/>
    </row>
    <row r="3" spans="1:17" ht="15.75">
      <c r="A3" s="2249"/>
      <c r="D3" s="1191" t="s">
        <v>6462</v>
      </c>
    </row>
    <row r="4" spans="1:17" ht="15.75">
      <c r="A4" s="2249"/>
      <c r="D4" s="1191" t="s">
        <v>6463</v>
      </c>
    </row>
    <row r="5" spans="1:17" ht="15.75">
      <c r="A5" s="2249"/>
      <c r="D5" s="1795" t="s">
        <v>6464</v>
      </c>
    </row>
    <row r="6" spans="1:17" ht="15.75">
      <c r="A6" s="2249"/>
      <c r="D6" s="1795" t="s">
        <v>6889</v>
      </c>
    </row>
    <row r="7" spans="1:17">
      <c r="A7" s="2249"/>
    </row>
    <row r="8" spans="1:17">
      <c r="B8" s="62" t="s">
        <v>6455</v>
      </c>
      <c r="C8" s="1871">
        <f>COUNTIF(IFAData_TEA_1617!B2:B2355,A1)</f>
        <v>0</v>
      </c>
    </row>
    <row r="9" spans="1:17">
      <c r="B9"/>
      <c r="C9" s="121"/>
      <c r="D9" s="2879" t="s">
        <v>3613</v>
      </c>
      <c r="E9" s="2843"/>
      <c r="F9" s="2881" t="s">
        <v>3673</v>
      </c>
      <c r="G9" s="2847"/>
      <c r="H9" s="916" t="s">
        <v>3830</v>
      </c>
      <c r="I9" s="2845"/>
      <c r="J9" s="3561" t="s">
        <v>3903</v>
      </c>
      <c r="K9" s="3562"/>
      <c r="L9" s="2884" t="s">
        <v>4592</v>
      </c>
      <c r="M9" s="2253"/>
      <c r="N9" s="3557" t="s">
        <v>7097</v>
      </c>
      <c r="O9" s="3558"/>
      <c r="P9" s="3553" t="s">
        <v>7733</v>
      </c>
      <c r="Q9" s="3554"/>
    </row>
    <row r="10" spans="1:17">
      <c r="B10" s="194" t="s">
        <v>6456</v>
      </c>
      <c r="D10" s="2880" t="s">
        <v>3599</v>
      </c>
      <c r="E10" s="2844" t="s">
        <v>4763</v>
      </c>
      <c r="F10" s="2882" t="s">
        <v>3599</v>
      </c>
      <c r="G10" s="2848" t="s">
        <v>4763</v>
      </c>
      <c r="H10" s="2883" t="s">
        <v>3599</v>
      </c>
      <c r="I10" s="2846" t="s">
        <v>4763</v>
      </c>
      <c r="J10" s="3563" t="s">
        <v>3599</v>
      </c>
      <c r="K10" s="3564" t="s">
        <v>4763</v>
      </c>
      <c r="L10" s="2885" t="s">
        <v>3599</v>
      </c>
      <c r="M10" s="2254" t="s">
        <v>4763</v>
      </c>
      <c r="N10" s="3559" t="s">
        <v>3599</v>
      </c>
      <c r="O10" s="3560" t="s">
        <v>4763</v>
      </c>
      <c r="P10" s="3555" t="s">
        <v>3599</v>
      </c>
      <c r="Q10" s="3556" t="s">
        <v>4763</v>
      </c>
    </row>
    <row r="11" spans="1:17" ht="15">
      <c r="A11" s="98" t="s">
        <v>6457</v>
      </c>
      <c r="B11" s="2248" t="e">
        <f>MATCH(A$1,IFAData_TEA_1617!B$2:B$2355,0)</f>
        <v>#N/A</v>
      </c>
      <c r="D11" s="2260" t="e">
        <f>IF(B11&lt;B$11+C$8,INDEX(IFAData_TEA_1617!B$2:N$2357,B11,11),0)</f>
        <v>#N/A</v>
      </c>
      <c r="E11" s="413" t="e">
        <f>IF(B11&lt;B$11+C$8,INDEX(IFAData_TEA_1617!B$2:N$2357,B11,12),0)</f>
        <v>#N/A</v>
      </c>
      <c r="F11" s="413" t="e">
        <f t="shared" ref="F11:M11" si="0">D11</f>
        <v>#N/A</v>
      </c>
      <c r="G11" s="413" t="e">
        <f t="shared" si="0"/>
        <v>#N/A</v>
      </c>
      <c r="H11" s="413" t="e">
        <f t="shared" si="0"/>
        <v>#N/A</v>
      </c>
      <c r="I11" s="413" t="e">
        <f t="shared" si="0"/>
        <v>#N/A</v>
      </c>
      <c r="J11" s="413" t="e">
        <f t="shared" si="0"/>
        <v>#N/A</v>
      </c>
      <c r="K11" s="413" t="e">
        <f t="shared" si="0"/>
        <v>#N/A</v>
      </c>
      <c r="L11" s="413" t="e">
        <f t="shared" si="0"/>
        <v>#N/A</v>
      </c>
      <c r="M11" s="413" t="e">
        <f t="shared" si="0"/>
        <v>#N/A</v>
      </c>
      <c r="N11" s="413" t="e">
        <f t="shared" ref="N11:N54" si="1">L11</f>
        <v>#N/A</v>
      </c>
      <c r="O11" s="413" t="e">
        <f t="shared" ref="O11:O54" si="2">M11</f>
        <v>#N/A</v>
      </c>
      <c r="P11" s="413" t="e">
        <f t="shared" ref="P11:P54" si="3">N11</f>
        <v>#N/A</v>
      </c>
      <c r="Q11" s="413" t="e">
        <f t="shared" ref="Q11:Q54" si="4">O11</f>
        <v>#N/A</v>
      </c>
    </row>
    <row r="12" spans="1:17">
      <c r="A12" s="98" t="s">
        <v>6457</v>
      </c>
      <c r="B12" s="72" t="e">
        <f>B11+1</f>
        <v>#N/A</v>
      </c>
      <c r="D12" s="2260" t="e">
        <f>IF(B12&lt;B$11+C$8,INDEX(IFAData_TEA_1617!B$2:N$2357,B12,11),0)</f>
        <v>#N/A</v>
      </c>
      <c r="E12" s="413" t="e">
        <f>IF(B12&lt;B$11+C$8,INDEX(IFAData_TEA_1617!B$2:N$2357,B12,12),0)</f>
        <v>#N/A</v>
      </c>
      <c r="F12" s="413" t="e">
        <f t="shared" ref="F12:F54" si="5">D12</f>
        <v>#N/A</v>
      </c>
      <c r="G12" s="413" t="e">
        <f t="shared" ref="G12:G54" si="6">E12</f>
        <v>#N/A</v>
      </c>
      <c r="H12" s="413" t="e">
        <f t="shared" ref="H12:H54" si="7">F12</f>
        <v>#N/A</v>
      </c>
      <c r="I12" s="413" t="e">
        <f t="shared" ref="I12:I54" si="8">G12</f>
        <v>#N/A</v>
      </c>
      <c r="J12" s="413" t="e">
        <f t="shared" ref="J12:J54" si="9">H12</f>
        <v>#N/A</v>
      </c>
      <c r="K12" s="413" t="e">
        <f t="shared" ref="K12:K54" si="10">I12</f>
        <v>#N/A</v>
      </c>
      <c r="L12" s="413" t="e">
        <f t="shared" ref="L12:L54" si="11">J12</f>
        <v>#N/A</v>
      </c>
      <c r="M12" s="413" t="e">
        <f t="shared" ref="M12:M54" si="12">K12</f>
        <v>#N/A</v>
      </c>
      <c r="N12" s="413" t="e">
        <f t="shared" si="1"/>
        <v>#N/A</v>
      </c>
      <c r="O12" s="413" t="e">
        <f t="shared" si="2"/>
        <v>#N/A</v>
      </c>
      <c r="P12" s="413" t="e">
        <f t="shared" si="3"/>
        <v>#N/A</v>
      </c>
      <c r="Q12" s="413" t="e">
        <f t="shared" si="4"/>
        <v>#N/A</v>
      </c>
    </row>
    <row r="13" spans="1:17">
      <c r="A13" s="98" t="s">
        <v>6457</v>
      </c>
      <c r="B13" s="72" t="e">
        <f t="shared" ref="B13:B48" si="13">B12+1</f>
        <v>#N/A</v>
      </c>
      <c r="D13" s="2260" t="e">
        <f>IF(B13&lt;B$11+C$8,INDEX(IFAData_TEA_1617!B$2:N$2357,B13,11),0)</f>
        <v>#N/A</v>
      </c>
      <c r="E13" s="413" t="e">
        <f>IF(B13&lt;B$11+C$8,INDEX(IFAData_TEA_1617!B$2:N$2357,B13,12),0)</f>
        <v>#N/A</v>
      </c>
      <c r="F13" s="413" t="e">
        <f t="shared" si="5"/>
        <v>#N/A</v>
      </c>
      <c r="G13" s="413" t="e">
        <f t="shared" si="6"/>
        <v>#N/A</v>
      </c>
      <c r="H13" s="413" t="e">
        <f t="shared" si="7"/>
        <v>#N/A</v>
      </c>
      <c r="I13" s="413" t="e">
        <f t="shared" si="8"/>
        <v>#N/A</v>
      </c>
      <c r="J13" s="413" t="e">
        <f t="shared" si="9"/>
        <v>#N/A</v>
      </c>
      <c r="K13" s="413" t="e">
        <f t="shared" si="10"/>
        <v>#N/A</v>
      </c>
      <c r="L13" s="413" t="e">
        <f t="shared" si="11"/>
        <v>#N/A</v>
      </c>
      <c r="M13" s="413" t="e">
        <f t="shared" si="12"/>
        <v>#N/A</v>
      </c>
      <c r="N13" s="413" t="e">
        <f t="shared" si="1"/>
        <v>#N/A</v>
      </c>
      <c r="O13" s="413" t="e">
        <f t="shared" si="2"/>
        <v>#N/A</v>
      </c>
      <c r="P13" s="413" t="e">
        <f t="shared" si="3"/>
        <v>#N/A</v>
      </c>
      <c r="Q13" s="413" t="e">
        <f t="shared" si="4"/>
        <v>#N/A</v>
      </c>
    </row>
    <row r="14" spans="1:17">
      <c r="A14" s="98" t="s">
        <v>6457</v>
      </c>
      <c r="B14" s="72" t="e">
        <f t="shared" si="13"/>
        <v>#N/A</v>
      </c>
      <c r="D14" s="2260" t="e">
        <f>IF(B14&lt;B$11+C$8,INDEX(IFAData_TEA_1617!B$2:N$2357,B14,11),0)</f>
        <v>#N/A</v>
      </c>
      <c r="E14" s="413" t="e">
        <f>IF(B14&lt;B$11+C$8,INDEX(IFAData_TEA_1617!B$2:N$2357,B14,12),0)</f>
        <v>#N/A</v>
      </c>
      <c r="F14" s="413" t="e">
        <f t="shared" si="5"/>
        <v>#N/A</v>
      </c>
      <c r="G14" s="413" t="e">
        <f t="shared" si="6"/>
        <v>#N/A</v>
      </c>
      <c r="H14" s="413" t="e">
        <f t="shared" si="7"/>
        <v>#N/A</v>
      </c>
      <c r="I14" s="413" t="e">
        <f t="shared" si="8"/>
        <v>#N/A</v>
      </c>
      <c r="J14" s="413" t="e">
        <f t="shared" si="9"/>
        <v>#N/A</v>
      </c>
      <c r="K14" s="413" t="e">
        <f t="shared" si="10"/>
        <v>#N/A</v>
      </c>
      <c r="L14" s="413" t="e">
        <f t="shared" si="11"/>
        <v>#N/A</v>
      </c>
      <c r="M14" s="413" t="e">
        <f t="shared" si="12"/>
        <v>#N/A</v>
      </c>
      <c r="N14" s="413" t="e">
        <f t="shared" si="1"/>
        <v>#N/A</v>
      </c>
      <c r="O14" s="413" t="e">
        <f t="shared" si="2"/>
        <v>#N/A</v>
      </c>
      <c r="P14" s="413" t="e">
        <f t="shared" si="3"/>
        <v>#N/A</v>
      </c>
      <c r="Q14" s="413" t="e">
        <f t="shared" si="4"/>
        <v>#N/A</v>
      </c>
    </row>
    <row r="15" spans="1:17">
      <c r="A15" s="98" t="s">
        <v>6457</v>
      </c>
      <c r="B15" s="72" t="e">
        <f t="shared" si="13"/>
        <v>#N/A</v>
      </c>
      <c r="D15" s="2260" t="e">
        <f>IF(B15&lt;B$11+C$8,INDEX(IFAData_TEA_1617!B$2:N$2357,B15,11),0)</f>
        <v>#N/A</v>
      </c>
      <c r="E15" s="413" t="e">
        <f>IF(B15&lt;B$11+C$8,INDEX(IFAData_TEA_1617!B$2:N$2357,B15,12),0)</f>
        <v>#N/A</v>
      </c>
      <c r="F15" s="413" t="e">
        <f t="shared" si="5"/>
        <v>#N/A</v>
      </c>
      <c r="G15" s="413" t="e">
        <f t="shared" si="6"/>
        <v>#N/A</v>
      </c>
      <c r="H15" s="413" t="e">
        <f t="shared" si="7"/>
        <v>#N/A</v>
      </c>
      <c r="I15" s="413" t="e">
        <f t="shared" si="8"/>
        <v>#N/A</v>
      </c>
      <c r="J15" s="413" t="e">
        <f t="shared" si="9"/>
        <v>#N/A</v>
      </c>
      <c r="K15" s="413" t="e">
        <f t="shared" si="10"/>
        <v>#N/A</v>
      </c>
      <c r="L15" s="413" t="e">
        <f t="shared" si="11"/>
        <v>#N/A</v>
      </c>
      <c r="M15" s="413" t="e">
        <f t="shared" si="12"/>
        <v>#N/A</v>
      </c>
      <c r="N15" s="413" t="e">
        <f t="shared" si="1"/>
        <v>#N/A</v>
      </c>
      <c r="O15" s="413" t="e">
        <f t="shared" si="2"/>
        <v>#N/A</v>
      </c>
      <c r="P15" s="413" t="e">
        <f t="shared" si="3"/>
        <v>#N/A</v>
      </c>
      <c r="Q15" s="413" t="e">
        <f t="shared" si="4"/>
        <v>#N/A</v>
      </c>
    </row>
    <row r="16" spans="1:17">
      <c r="A16" s="98" t="s">
        <v>6457</v>
      </c>
      <c r="B16" s="72" t="e">
        <f t="shared" si="13"/>
        <v>#N/A</v>
      </c>
      <c r="D16" s="2260" t="e">
        <f>IF(B16&lt;B$11+C$8,INDEX(IFAData_TEA_1617!B$2:N$2357,B16,11),0)</f>
        <v>#N/A</v>
      </c>
      <c r="E16" s="413" t="e">
        <f>IF(B16&lt;B$11+C$8,INDEX(IFAData_TEA_1617!B$2:N$2357,B16,12),0)</f>
        <v>#N/A</v>
      </c>
      <c r="F16" s="413" t="e">
        <f t="shared" si="5"/>
        <v>#N/A</v>
      </c>
      <c r="G16" s="413" t="e">
        <f t="shared" si="6"/>
        <v>#N/A</v>
      </c>
      <c r="H16" s="413" t="e">
        <f t="shared" si="7"/>
        <v>#N/A</v>
      </c>
      <c r="I16" s="413" t="e">
        <f t="shared" si="8"/>
        <v>#N/A</v>
      </c>
      <c r="J16" s="413" t="e">
        <f t="shared" si="9"/>
        <v>#N/A</v>
      </c>
      <c r="K16" s="413" t="e">
        <f t="shared" si="10"/>
        <v>#N/A</v>
      </c>
      <c r="L16" s="413" t="e">
        <f t="shared" si="11"/>
        <v>#N/A</v>
      </c>
      <c r="M16" s="413" t="e">
        <f t="shared" si="12"/>
        <v>#N/A</v>
      </c>
      <c r="N16" s="413" t="e">
        <f t="shared" si="1"/>
        <v>#N/A</v>
      </c>
      <c r="O16" s="413" t="e">
        <f t="shared" si="2"/>
        <v>#N/A</v>
      </c>
      <c r="P16" s="413" t="e">
        <f t="shared" si="3"/>
        <v>#N/A</v>
      </c>
      <c r="Q16" s="413" t="e">
        <f t="shared" si="4"/>
        <v>#N/A</v>
      </c>
    </row>
    <row r="17" spans="1:17">
      <c r="A17" s="98" t="s">
        <v>6457</v>
      </c>
      <c r="B17" s="72" t="e">
        <f t="shared" si="13"/>
        <v>#N/A</v>
      </c>
      <c r="D17" s="2260" t="e">
        <f>IF(B17&lt;B$11+C$8,INDEX(IFAData_TEA_1617!B$2:N$2357,B17,11),0)</f>
        <v>#N/A</v>
      </c>
      <c r="E17" s="413" t="e">
        <f>IF(B17&lt;B$11+C$8,INDEX(IFAData_TEA_1617!B$2:N$2357,B17,12),0)</f>
        <v>#N/A</v>
      </c>
      <c r="F17" s="413" t="e">
        <f t="shared" si="5"/>
        <v>#N/A</v>
      </c>
      <c r="G17" s="413" t="e">
        <f t="shared" si="6"/>
        <v>#N/A</v>
      </c>
      <c r="H17" s="413" t="e">
        <f t="shared" si="7"/>
        <v>#N/A</v>
      </c>
      <c r="I17" s="413" t="e">
        <f t="shared" si="8"/>
        <v>#N/A</v>
      </c>
      <c r="J17" s="413" t="e">
        <f t="shared" si="9"/>
        <v>#N/A</v>
      </c>
      <c r="K17" s="413" t="e">
        <f t="shared" si="10"/>
        <v>#N/A</v>
      </c>
      <c r="L17" s="413" t="e">
        <f t="shared" si="11"/>
        <v>#N/A</v>
      </c>
      <c r="M17" s="413" t="e">
        <f t="shared" si="12"/>
        <v>#N/A</v>
      </c>
      <c r="N17" s="413" t="e">
        <f t="shared" si="1"/>
        <v>#N/A</v>
      </c>
      <c r="O17" s="413" t="e">
        <f t="shared" si="2"/>
        <v>#N/A</v>
      </c>
      <c r="P17" s="413" t="e">
        <f t="shared" si="3"/>
        <v>#N/A</v>
      </c>
      <c r="Q17" s="413" t="e">
        <f t="shared" si="4"/>
        <v>#N/A</v>
      </c>
    </row>
    <row r="18" spans="1:17">
      <c r="A18" s="98" t="s">
        <v>6457</v>
      </c>
      <c r="B18" s="72" t="e">
        <f t="shared" si="13"/>
        <v>#N/A</v>
      </c>
      <c r="D18" s="2260" t="e">
        <f>IF(B18&lt;B$11+C$8,INDEX(IFAData_TEA_1617!B$2:N$2357,B18,11),0)</f>
        <v>#N/A</v>
      </c>
      <c r="E18" s="413" t="e">
        <f>IF(B18&lt;B$11+C$8,INDEX(IFAData_TEA_1617!B$2:N$2357,B18,12),0)</f>
        <v>#N/A</v>
      </c>
      <c r="F18" s="413" t="e">
        <f t="shared" si="5"/>
        <v>#N/A</v>
      </c>
      <c r="G18" s="413" t="e">
        <f t="shared" si="6"/>
        <v>#N/A</v>
      </c>
      <c r="H18" s="413" t="e">
        <f t="shared" si="7"/>
        <v>#N/A</v>
      </c>
      <c r="I18" s="413" t="e">
        <f t="shared" si="8"/>
        <v>#N/A</v>
      </c>
      <c r="J18" s="413" t="e">
        <f t="shared" si="9"/>
        <v>#N/A</v>
      </c>
      <c r="K18" s="413" t="e">
        <f t="shared" si="10"/>
        <v>#N/A</v>
      </c>
      <c r="L18" s="413" t="e">
        <f t="shared" si="11"/>
        <v>#N/A</v>
      </c>
      <c r="M18" s="413" t="e">
        <f t="shared" si="12"/>
        <v>#N/A</v>
      </c>
      <c r="N18" s="413" t="e">
        <f t="shared" si="1"/>
        <v>#N/A</v>
      </c>
      <c r="O18" s="413" t="e">
        <f t="shared" si="2"/>
        <v>#N/A</v>
      </c>
      <c r="P18" s="413" t="e">
        <f t="shared" si="3"/>
        <v>#N/A</v>
      </c>
      <c r="Q18" s="413" t="e">
        <f t="shared" si="4"/>
        <v>#N/A</v>
      </c>
    </row>
    <row r="19" spans="1:17">
      <c r="A19" s="98" t="s">
        <v>6457</v>
      </c>
      <c r="B19" s="72" t="e">
        <f t="shared" si="13"/>
        <v>#N/A</v>
      </c>
      <c r="D19" s="2260" t="e">
        <f>IF(B19&lt;B$11+C$8,INDEX(IFAData_TEA_1617!B$2:N$2357,B19,11),0)</f>
        <v>#N/A</v>
      </c>
      <c r="E19" s="413" t="e">
        <f>IF(B19&lt;B$11+C$8,INDEX(IFAData_TEA_1617!B$2:N$2357,B19,12),0)</f>
        <v>#N/A</v>
      </c>
      <c r="F19" s="413" t="e">
        <f t="shared" si="5"/>
        <v>#N/A</v>
      </c>
      <c r="G19" s="413" t="e">
        <f t="shared" si="6"/>
        <v>#N/A</v>
      </c>
      <c r="H19" s="413" t="e">
        <f t="shared" si="7"/>
        <v>#N/A</v>
      </c>
      <c r="I19" s="413" t="e">
        <f t="shared" si="8"/>
        <v>#N/A</v>
      </c>
      <c r="J19" s="413" t="e">
        <f t="shared" si="9"/>
        <v>#N/A</v>
      </c>
      <c r="K19" s="413" t="e">
        <f t="shared" si="10"/>
        <v>#N/A</v>
      </c>
      <c r="L19" s="413" t="e">
        <f t="shared" si="11"/>
        <v>#N/A</v>
      </c>
      <c r="M19" s="413" t="e">
        <f t="shared" si="12"/>
        <v>#N/A</v>
      </c>
      <c r="N19" s="413" t="e">
        <f t="shared" si="1"/>
        <v>#N/A</v>
      </c>
      <c r="O19" s="413" t="e">
        <f t="shared" si="2"/>
        <v>#N/A</v>
      </c>
      <c r="P19" s="413" t="e">
        <f t="shared" si="3"/>
        <v>#N/A</v>
      </c>
      <c r="Q19" s="413" t="e">
        <f t="shared" si="4"/>
        <v>#N/A</v>
      </c>
    </row>
    <row r="20" spans="1:17">
      <c r="A20" s="98" t="s">
        <v>6457</v>
      </c>
      <c r="B20" s="72" t="e">
        <f t="shared" si="13"/>
        <v>#N/A</v>
      </c>
      <c r="D20" s="2260" t="e">
        <f>IF(B20&lt;B$11+C$8,INDEX(IFAData_TEA_1617!B$2:N$2357,B20,11),0)</f>
        <v>#N/A</v>
      </c>
      <c r="E20" s="413" t="e">
        <f>IF(B20&lt;B$11+C$8,INDEX(IFAData_TEA_1617!B$2:N$2357,B20,12),0)</f>
        <v>#N/A</v>
      </c>
      <c r="F20" s="413" t="e">
        <f t="shared" si="5"/>
        <v>#N/A</v>
      </c>
      <c r="G20" s="413" t="e">
        <f t="shared" si="6"/>
        <v>#N/A</v>
      </c>
      <c r="H20" s="413" t="e">
        <f t="shared" si="7"/>
        <v>#N/A</v>
      </c>
      <c r="I20" s="413" t="e">
        <f t="shared" si="8"/>
        <v>#N/A</v>
      </c>
      <c r="J20" s="413" t="e">
        <f t="shared" si="9"/>
        <v>#N/A</v>
      </c>
      <c r="K20" s="413" t="e">
        <f t="shared" si="10"/>
        <v>#N/A</v>
      </c>
      <c r="L20" s="413" t="e">
        <f t="shared" si="11"/>
        <v>#N/A</v>
      </c>
      <c r="M20" s="413" t="e">
        <f t="shared" si="12"/>
        <v>#N/A</v>
      </c>
      <c r="N20" s="413" t="e">
        <f t="shared" si="1"/>
        <v>#N/A</v>
      </c>
      <c r="O20" s="413" t="e">
        <f t="shared" si="2"/>
        <v>#N/A</v>
      </c>
      <c r="P20" s="413" t="e">
        <f t="shared" si="3"/>
        <v>#N/A</v>
      </c>
      <c r="Q20" s="413" t="e">
        <f t="shared" si="4"/>
        <v>#N/A</v>
      </c>
    </row>
    <row r="21" spans="1:17">
      <c r="A21" s="98" t="s">
        <v>6457</v>
      </c>
      <c r="B21" s="72" t="e">
        <f t="shared" si="13"/>
        <v>#N/A</v>
      </c>
      <c r="D21" s="2260" t="e">
        <f>IF(B21&lt;B$11+C$8,INDEX(IFAData_TEA_1617!B$2:N$2357,B21,11),0)</f>
        <v>#N/A</v>
      </c>
      <c r="E21" s="413" t="e">
        <f>IF(B21&lt;B$11+C$8,INDEX(IFAData_TEA_1617!B$2:N$2357,B21,12),0)</f>
        <v>#N/A</v>
      </c>
      <c r="F21" s="413" t="e">
        <f t="shared" si="5"/>
        <v>#N/A</v>
      </c>
      <c r="G21" s="413" t="e">
        <f t="shared" si="6"/>
        <v>#N/A</v>
      </c>
      <c r="H21" s="413" t="e">
        <f t="shared" si="7"/>
        <v>#N/A</v>
      </c>
      <c r="I21" s="413" t="e">
        <f t="shared" si="8"/>
        <v>#N/A</v>
      </c>
      <c r="J21" s="413" t="e">
        <f t="shared" si="9"/>
        <v>#N/A</v>
      </c>
      <c r="K21" s="413" t="e">
        <f t="shared" si="10"/>
        <v>#N/A</v>
      </c>
      <c r="L21" s="413" t="e">
        <f t="shared" si="11"/>
        <v>#N/A</v>
      </c>
      <c r="M21" s="413" t="e">
        <f t="shared" si="12"/>
        <v>#N/A</v>
      </c>
      <c r="N21" s="413" t="e">
        <f t="shared" si="1"/>
        <v>#N/A</v>
      </c>
      <c r="O21" s="413" t="e">
        <f t="shared" si="2"/>
        <v>#N/A</v>
      </c>
      <c r="P21" s="413" t="e">
        <f t="shared" si="3"/>
        <v>#N/A</v>
      </c>
      <c r="Q21" s="413" t="e">
        <f t="shared" si="4"/>
        <v>#N/A</v>
      </c>
    </row>
    <row r="22" spans="1:17">
      <c r="A22" s="98" t="s">
        <v>6457</v>
      </c>
      <c r="B22" s="72" t="e">
        <f t="shared" si="13"/>
        <v>#N/A</v>
      </c>
      <c r="D22" s="2260" t="e">
        <f>IF(B22&lt;B$11+C$8,INDEX(IFAData_TEA_1617!B$2:N$2357,B22,11),0)</f>
        <v>#N/A</v>
      </c>
      <c r="E22" s="413" t="e">
        <f>IF(B22&lt;B$11+C$8,INDEX(IFAData_TEA_1617!B$2:N$2357,B22,12),0)</f>
        <v>#N/A</v>
      </c>
      <c r="F22" s="413" t="e">
        <f t="shared" si="5"/>
        <v>#N/A</v>
      </c>
      <c r="G22" s="413" t="e">
        <f t="shared" si="6"/>
        <v>#N/A</v>
      </c>
      <c r="H22" s="413" t="e">
        <f t="shared" si="7"/>
        <v>#N/A</v>
      </c>
      <c r="I22" s="413" t="e">
        <f t="shared" si="8"/>
        <v>#N/A</v>
      </c>
      <c r="J22" s="413" t="e">
        <f t="shared" si="9"/>
        <v>#N/A</v>
      </c>
      <c r="K22" s="413" t="e">
        <f t="shared" si="10"/>
        <v>#N/A</v>
      </c>
      <c r="L22" s="413" t="e">
        <f t="shared" si="11"/>
        <v>#N/A</v>
      </c>
      <c r="M22" s="413" t="e">
        <f t="shared" si="12"/>
        <v>#N/A</v>
      </c>
      <c r="N22" s="413" t="e">
        <f t="shared" si="1"/>
        <v>#N/A</v>
      </c>
      <c r="O22" s="413" t="e">
        <f t="shared" si="2"/>
        <v>#N/A</v>
      </c>
      <c r="P22" s="413" t="e">
        <f t="shared" si="3"/>
        <v>#N/A</v>
      </c>
      <c r="Q22" s="413" t="e">
        <f t="shared" si="4"/>
        <v>#N/A</v>
      </c>
    </row>
    <row r="23" spans="1:17">
      <c r="A23" s="98" t="s">
        <v>6457</v>
      </c>
      <c r="B23" s="72" t="e">
        <f t="shared" si="13"/>
        <v>#N/A</v>
      </c>
      <c r="D23" s="2260" t="e">
        <f>IF(B23&lt;B$11+C$8,INDEX(IFAData_TEA_1617!B$2:N$2357,B23,11),0)</f>
        <v>#N/A</v>
      </c>
      <c r="E23" s="413" t="e">
        <f>IF(B23&lt;B$11+C$8,INDEX(IFAData_TEA_1617!B$2:N$2357,B23,12),0)</f>
        <v>#N/A</v>
      </c>
      <c r="F23" s="413" t="e">
        <f t="shared" si="5"/>
        <v>#N/A</v>
      </c>
      <c r="G23" s="413" t="e">
        <f t="shared" si="6"/>
        <v>#N/A</v>
      </c>
      <c r="H23" s="413" t="e">
        <f t="shared" si="7"/>
        <v>#N/A</v>
      </c>
      <c r="I23" s="413" t="e">
        <f t="shared" si="8"/>
        <v>#N/A</v>
      </c>
      <c r="J23" s="413" t="e">
        <f t="shared" si="9"/>
        <v>#N/A</v>
      </c>
      <c r="K23" s="413" t="e">
        <f t="shared" si="10"/>
        <v>#N/A</v>
      </c>
      <c r="L23" s="413" t="e">
        <f t="shared" si="11"/>
        <v>#N/A</v>
      </c>
      <c r="M23" s="413" t="e">
        <f t="shared" si="12"/>
        <v>#N/A</v>
      </c>
      <c r="N23" s="413" t="e">
        <f t="shared" si="1"/>
        <v>#N/A</v>
      </c>
      <c r="O23" s="413" t="e">
        <f t="shared" si="2"/>
        <v>#N/A</v>
      </c>
      <c r="P23" s="413" t="e">
        <f t="shared" si="3"/>
        <v>#N/A</v>
      </c>
      <c r="Q23" s="413" t="e">
        <f t="shared" si="4"/>
        <v>#N/A</v>
      </c>
    </row>
    <row r="24" spans="1:17">
      <c r="A24" s="98" t="s">
        <v>6457</v>
      </c>
      <c r="B24" s="72" t="e">
        <f t="shared" si="13"/>
        <v>#N/A</v>
      </c>
      <c r="D24" s="2260" t="e">
        <f>IF(B24&lt;B$11+C$8,INDEX(IFAData_TEA_1617!B$2:N$2357,B24,11),0)</f>
        <v>#N/A</v>
      </c>
      <c r="E24" s="413" t="e">
        <f>IF(B24&lt;B$11+C$8,INDEX(IFAData_TEA_1617!B$2:N$2357,B24,12),0)</f>
        <v>#N/A</v>
      </c>
      <c r="F24" s="413" t="e">
        <f t="shared" si="5"/>
        <v>#N/A</v>
      </c>
      <c r="G24" s="413" t="e">
        <f t="shared" si="6"/>
        <v>#N/A</v>
      </c>
      <c r="H24" s="413" t="e">
        <f t="shared" si="7"/>
        <v>#N/A</v>
      </c>
      <c r="I24" s="413" t="e">
        <f t="shared" si="8"/>
        <v>#N/A</v>
      </c>
      <c r="J24" s="413" t="e">
        <f t="shared" si="9"/>
        <v>#N/A</v>
      </c>
      <c r="K24" s="413" t="e">
        <f t="shared" si="10"/>
        <v>#N/A</v>
      </c>
      <c r="L24" s="413" t="e">
        <f t="shared" si="11"/>
        <v>#N/A</v>
      </c>
      <c r="M24" s="413" t="e">
        <f t="shared" si="12"/>
        <v>#N/A</v>
      </c>
      <c r="N24" s="413" t="e">
        <f t="shared" si="1"/>
        <v>#N/A</v>
      </c>
      <c r="O24" s="413" t="e">
        <f t="shared" si="2"/>
        <v>#N/A</v>
      </c>
      <c r="P24" s="413" t="e">
        <f t="shared" si="3"/>
        <v>#N/A</v>
      </c>
      <c r="Q24" s="413" t="e">
        <f t="shared" si="4"/>
        <v>#N/A</v>
      </c>
    </row>
    <row r="25" spans="1:17">
      <c r="A25" s="98" t="s">
        <v>6457</v>
      </c>
      <c r="B25" s="72" t="e">
        <f t="shared" si="13"/>
        <v>#N/A</v>
      </c>
      <c r="D25" s="2260" t="e">
        <f>IF(B25&lt;B$11+C$8,INDEX(IFAData_TEA_1617!B$2:N$2357,B25,11),0)</f>
        <v>#N/A</v>
      </c>
      <c r="E25" s="413" t="e">
        <f>IF(B25&lt;B$11+C$8,INDEX(IFAData_TEA_1617!B$2:N$2357,B25,12),0)</f>
        <v>#N/A</v>
      </c>
      <c r="F25" s="413" t="e">
        <f t="shared" si="5"/>
        <v>#N/A</v>
      </c>
      <c r="G25" s="413" t="e">
        <f t="shared" si="6"/>
        <v>#N/A</v>
      </c>
      <c r="H25" s="413" t="e">
        <f t="shared" si="7"/>
        <v>#N/A</v>
      </c>
      <c r="I25" s="413" t="e">
        <f t="shared" si="8"/>
        <v>#N/A</v>
      </c>
      <c r="J25" s="413" t="e">
        <f t="shared" si="9"/>
        <v>#N/A</v>
      </c>
      <c r="K25" s="413" t="e">
        <f t="shared" si="10"/>
        <v>#N/A</v>
      </c>
      <c r="L25" s="413" t="e">
        <f t="shared" si="11"/>
        <v>#N/A</v>
      </c>
      <c r="M25" s="413" t="e">
        <f t="shared" si="12"/>
        <v>#N/A</v>
      </c>
      <c r="N25" s="413" t="e">
        <f t="shared" si="1"/>
        <v>#N/A</v>
      </c>
      <c r="O25" s="413" t="e">
        <f t="shared" si="2"/>
        <v>#N/A</v>
      </c>
      <c r="P25" s="413" t="e">
        <f t="shared" si="3"/>
        <v>#N/A</v>
      </c>
      <c r="Q25" s="413" t="e">
        <f t="shared" si="4"/>
        <v>#N/A</v>
      </c>
    </row>
    <row r="26" spans="1:17">
      <c r="A26" s="98" t="s">
        <v>6457</v>
      </c>
      <c r="B26" s="72" t="e">
        <f t="shared" si="13"/>
        <v>#N/A</v>
      </c>
      <c r="D26" s="2260" t="e">
        <f>IF(B26&lt;B$11+C$8,INDEX(IFAData_TEA_1617!B$2:N$2357,B26,11),0)</f>
        <v>#N/A</v>
      </c>
      <c r="E26" s="413" t="e">
        <f>IF(B26&lt;B$11+C$8,INDEX(IFAData_TEA_1617!B$2:N$2357,B26,12),0)</f>
        <v>#N/A</v>
      </c>
      <c r="F26" s="413" t="e">
        <f t="shared" si="5"/>
        <v>#N/A</v>
      </c>
      <c r="G26" s="413" t="e">
        <f t="shared" si="6"/>
        <v>#N/A</v>
      </c>
      <c r="H26" s="413" t="e">
        <f t="shared" si="7"/>
        <v>#N/A</v>
      </c>
      <c r="I26" s="413" t="e">
        <f t="shared" si="8"/>
        <v>#N/A</v>
      </c>
      <c r="J26" s="413" t="e">
        <f t="shared" si="9"/>
        <v>#N/A</v>
      </c>
      <c r="K26" s="413" t="e">
        <f t="shared" si="10"/>
        <v>#N/A</v>
      </c>
      <c r="L26" s="413" t="e">
        <f t="shared" si="11"/>
        <v>#N/A</v>
      </c>
      <c r="M26" s="413" t="e">
        <f t="shared" si="12"/>
        <v>#N/A</v>
      </c>
      <c r="N26" s="413" t="e">
        <f t="shared" si="1"/>
        <v>#N/A</v>
      </c>
      <c r="O26" s="413" t="e">
        <f t="shared" si="2"/>
        <v>#N/A</v>
      </c>
      <c r="P26" s="413" t="e">
        <f t="shared" si="3"/>
        <v>#N/A</v>
      </c>
      <c r="Q26" s="413" t="e">
        <f t="shared" si="4"/>
        <v>#N/A</v>
      </c>
    </row>
    <row r="27" spans="1:17">
      <c r="A27" s="98" t="s">
        <v>6457</v>
      </c>
      <c r="B27" s="72" t="e">
        <f t="shared" si="13"/>
        <v>#N/A</v>
      </c>
      <c r="D27" s="2260" t="e">
        <f>IF(B27&lt;B$11+C$8,INDEX(IFAData_TEA_1617!B$2:N$2357,B27,11),0)</f>
        <v>#N/A</v>
      </c>
      <c r="E27" s="413" t="e">
        <f>IF(B27&lt;B$11+C$8,INDEX(IFAData_TEA_1617!B$2:N$2357,B27,12),0)</f>
        <v>#N/A</v>
      </c>
      <c r="F27" s="413" t="e">
        <f t="shared" si="5"/>
        <v>#N/A</v>
      </c>
      <c r="G27" s="413" t="e">
        <f t="shared" si="6"/>
        <v>#N/A</v>
      </c>
      <c r="H27" s="413" t="e">
        <f t="shared" si="7"/>
        <v>#N/A</v>
      </c>
      <c r="I27" s="413" t="e">
        <f t="shared" si="8"/>
        <v>#N/A</v>
      </c>
      <c r="J27" s="413" t="e">
        <f t="shared" si="9"/>
        <v>#N/A</v>
      </c>
      <c r="K27" s="413" t="e">
        <f t="shared" si="10"/>
        <v>#N/A</v>
      </c>
      <c r="L27" s="413" t="e">
        <f t="shared" si="11"/>
        <v>#N/A</v>
      </c>
      <c r="M27" s="413" t="e">
        <f t="shared" si="12"/>
        <v>#N/A</v>
      </c>
      <c r="N27" s="413" t="e">
        <f t="shared" si="1"/>
        <v>#N/A</v>
      </c>
      <c r="O27" s="413" t="e">
        <f t="shared" si="2"/>
        <v>#N/A</v>
      </c>
      <c r="P27" s="413" t="e">
        <f t="shared" si="3"/>
        <v>#N/A</v>
      </c>
      <c r="Q27" s="413" t="e">
        <f t="shared" si="4"/>
        <v>#N/A</v>
      </c>
    </row>
    <row r="28" spans="1:17">
      <c r="A28" s="98" t="s">
        <v>6457</v>
      </c>
      <c r="B28" s="72" t="e">
        <f t="shared" si="13"/>
        <v>#N/A</v>
      </c>
      <c r="D28" s="2260" t="e">
        <f>IF(B28&lt;B$11+C$8,INDEX(IFAData_TEA_1617!B$2:N$2357,B28,11),0)</f>
        <v>#N/A</v>
      </c>
      <c r="E28" s="413" t="e">
        <f>IF(B28&lt;B$11+C$8,INDEX(IFAData_TEA_1617!B$2:N$2357,B28,12),0)</f>
        <v>#N/A</v>
      </c>
      <c r="F28" s="413" t="e">
        <f t="shared" si="5"/>
        <v>#N/A</v>
      </c>
      <c r="G28" s="413" t="e">
        <f t="shared" si="6"/>
        <v>#N/A</v>
      </c>
      <c r="H28" s="413" t="e">
        <f t="shared" si="7"/>
        <v>#N/A</v>
      </c>
      <c r="I28" s="413" t="e">
        <f t="shared" si="8"/>
        <v>#N/A</v>
      </c>
      <c r="J28" s="413" t="e">
        <f t="shared" si="9"/>
        <v>#N/A</v>
      </c>
      <c r="K28" s="413" t="e">
        <f t="shared" si="10"/>
        <v>#N/A</v>
      </c>
      <c r="L28" s="413" t="e">
        <f t="shared" si="11"/>
        <v>#N/A</v>
      </c>
      <c r="M28" s="413" t="e">
        <f t="shared" si="12"/>
        <v>#N/A</v>
      </c>
      <c r="N28" s="413" t="e">
        <f t="shared" si="1"/>
        <v>#N/A</v>
      </c>
      <c r="O28" s="413" t="e">
        <f t="shared" si="2"/>
        <v>#N/A</v>
      </c>
      <c r="P28" s="413" t="e">
        <f t="shared" si="3"/>
        <v>#N/A</v>
      </c>
      <c r="Q28" s="413" t="e">
        <f t="shared" si="4"/>
        <v>#N/A</v>
      </c>
    </row>
    <row r="29" spans="1:17">
      <c r="A29" s="98" t="s">
        <v>6457</v>
      </c>
      <c r="B29" s="72" t="e">
        <f t="shared" si="13"/>
        <v>#N/A</v>
      </c>
      <c r="D29" s="2260" t="e">
        <f>IF(B29&lt;B$11+C$8,INDEX(IFAData_TEA_1617!B$2:N$2357,B29,11),0)</f>
        <v>#N/A</v>
      </c>
      <c r="E29" s="413" t="e">
        <f>IF(B29&lt;B$11+C$8,INDEX(IFAData_TEA_1617!B$2:N$2357,B29,12),0)</f>
        <v>#N/A</v>
      </c>
      <c r="F29" s="413" t="e">
        <f t="shared" si="5"/>
        <v>#N/A</v>
      </c>
      <c r="G29" s="413" t="e">
        <f t="shared" si="6"/>
        <v>#N/A</v>
      </c>
      <c r="H29" s="413" t="e">
        <f t="shared" si="7"/>
        <v>#N/A</v>
      </c>
      <c r="I29" s="413" t="e">
        <f t="shared" si="8"/>
        <v>#N/A</v>
      </c>
      <c r="J29" s="413" t="e">
        <f t="shared" si="9"/>
        <v>#N/A</v>
      </c>
      <c r="K29" s="413" t="e">
        <f t="shared" si="10"/>
        <v>#N/A</v>
      </c>
      <c r="L29" s="413" t="e">
        <f t="shared" si="11"/>
        <v>#N/A</v>
      </c>
      <c r="M29" s="413" t="e">
        <f t="shared" si="12"/>
        <v>#N/A</v>
      </c>
      <c r="N29" s="413" t="e">
        <f t="shared" si="1"/>
        <v>#N/A</v>
      </c>
      <c r="O29" s="413" t="e">
        <f t="shared" si="2"/>
        <v>#N/A</v>
      </c>
      <c r="P29" s="413" t="e">
        <f t="shared" si="3"/>
        <v>#N/A</v>
      </c>
      <c r="Q29" s="413" t="e">
        <f t="shared" si="4"/>
        <v>#N/A</v>
      </c>
    </row>
    <row r="30" spans="1:17">
      <c r="A30" s="98" t="s">
        <v>6457</v>
      </c>
      <c r="B30" s="72" t="e">
        <f t="shared" si="13"/>
        <v>#N/A</v>
      </c>
      <c r="D30" s="2260" t="e">
        <f>IF(B30&lt;B$11+C$8,INDEX(IFAData_TEA_1617!B$2:N$2357,B30,11),0)</f>
        <v>#N/A</v>
      </c>
      <c r="E30" s="413" t="e">
        <f>IF(B30&lt;B$11+C$8,INDEX(IFAData_TEA_1617!B$2:N$2357,B30,12),0)</f>
        <v>#N/A</v>
      </c>
      <c r="F30" s="413" t="e">
        <f t="shared" si="5"/>
        <v>#N/A</v>
      </c>
      <c r="G30" s="413" t="e">
        <f t="shared" si="6"/>
        <v>#N/A</v>
      </c>
      <c r="H30" s="413" t="e">
        <f t="shared" si="7"/>
        <v>#N/A</v>
      </c>
      <c r="I30" s="413" t="e">
        <f t="shared" si="8"/>
        <v>#N/A</v>
      </c>
      <c r="J30" s="413" t="e">
        <f t="shared" si="9"/>
        <v>#N/A</v>
      </c>
      <c r="K30" s="413" t="e">
        <f t="shared" si="10"/>
        <v>#N/A</v>
      </c>
      <c r="L30" s="413" t="e">
        <f t="shared" si="11"/>
        <v>#N/A</v>
      </c>
      <c r="M30" s="413" t="e">
        <f t="shared" si="12"/>
        <v>#N/A</v>
      </c>
      <c r="N30" s="413" t="e">
        <f t="shared" si="1"/>
        <v>#N/A</v>
      </c>
      <c r="O30" s="413" t="e">
        <f t="shared" si="2"/>
        <v>#N/A</v>
      </c>
      <c r="P30" s="413" t="e">
        <f t="shared" si="3"/>
        <v>#N/A</v>
      </c>
      <c r="Q30" s="413" t="e">
        <f t="shared" si="4"/>
        <v>#N/A</v>
      </c>
    </row>
    <row r="31" spans="1:17">
      <c r="A31" s="98" t="s">
        <v>6457</v>
      </c>
      <c r="B31" s="72" t="e">
        <f t="shared" si="13"/>
        <v>#N/A</v>
      </c>
      <c r="D31" s="2260" t="e">
        <f>IF(B31&lt;B$11+C$8,INDEX(IFAData_TEA_1617!B$2:N$2357,B31,11),0)</f>
        <v>#N/A</v>
      </c>
      <c r="E31" s="413" t="e">
        <f>IF(B31&lt;B$11+C$8,INDEX(IFAData_TEA_1617!B$2:N$2357,B31,12),0)</f>
        <v>#N/A</v>
      </c>
      <c r="F31" s="413" t="e">
        <f t="shared" si="5"/>
        <v>#N/A</v>
      </c>
      <c r="G31" s="413" t="e">
        <f t="shared" si="6"/>
        <v>#N/A</v>
      </c>
      <c r="H31" s="413" t="e">
        <f t="shared" si="7"/>
        <v>#N/A</v>
      </c>
      <c r="I31" s="413" t="e">
        <f t="shared" si="8"/>
        <v>#N/A</v>
      </c>
      <c r="J31" s="413" t="e">
        <f t="shared" si="9"/>
        <v>#N/A</v>
      </c>
      <c r="K31" s="413" t="e">
        <f t="shared" si="10"/>
        <v>#N/A</v>
      </c>
      <c r="L31" s="413" t="e">
        <f t="shared" si="11"/>
        <v>#N/A</v>
      </c>
      <c r="M31" s="413" t="e">
        <f t="shared" si="12"/>
        <v>#N/A</v>
      </c>
      <c r="N31" s="413" t="e">
        <f t="shared" si="1"/>
        <v>#N/A</v>
      </c>
      <c r="O31" s="413" t="e">
        <f t="shared" si="2"/>
        <v>#N/A</v>
      </c>
      <c r="P31" s="413" t="e">
        <f t="shared" si="3"/>
        <v>#N/A</v>
      </c>
      <c r="Q31" s="413" t="e">
        <f t="shared" si="4"/>
        <v>#N/A</v>
      </c>
    </row>
    <row r="32" spans="1:17">
      <c r="A32" s="98" t="s">
        <v>6457</v>
      </c>
      <c r="B32" s="72" t="e">
        <f t="shared" si="13"/>
        <v>#N/A</v>
      </c>
      <c r="D32" s="2260" t="e">
        <f>IF(B32&lt;B$11+C$8,INDEX(IFAData_TEA_1617!B$2:N$2357,B32,11),0)</f>
        <v>#N/A</v>
      </c>
      <c r="E32" s="413" t="e">
        <f>IF(B32&lt;B$11+C$8,INDEX(IFAData_TEA_1617!B$2:N$2357,B32,12),0)</f>
        <v>#N/A</v>
      </c>
      <c r="F32" s="413" t="e">
        <f t="shared" si="5"/>
        <v>#N/A</v>
      </c>
      <c r="G32" s="413" t="e">
        <f t="shared" si="6"/>
        <v>#N/A</v>
      </c>
      <c r="H32" s="413" t="e">
        <f t="shared" si="7"/>
        <v>#N/A</v>
      </c>
      <c r="I32" s="413" t="e">
        <f t="shared" si="8"/>
        <v>#N/A</v>
      </c>
      <c r="J32" s="413" t="e">
        <f t="shared" si="9"/>
        <v>#N/A</v>
      </c>
      <c r="K32" s="413" t="e">
        <f t="shared" si="10"/>
        <v>#N/A</v>
      </c>
      <c r="L32" s="413" t="e">
        <f t="shared" si="11"/>
        <v>#N/A</v>
      </c>
      <c r="M32" s="413" t="e">
        <f t="shared" si="12"/>
        <v>#N/A</v>
      </c>
      <c r="N32" s="413" t="e">
        <f t="shared" si="1"/>
        <v>#N/A</v>
      </c>
      <c r="O32" s="413" t="e">
        <f t="shared" si="2"/>
        <v>#N/A</v>
      </c>
      <c r="P32" s="413" t="e">
        <f t="shared" si="3"/>
        <v>#N/A</v>
      </c>
      <c r="Q32" s="413" t="e">
        <f t="shared" si="4"/>
        <v>#N/A</v>
      </c>
    </row>
    <row r="33" spans="1:17">
      <c r="A33" s="98" t="s">
        <v>6457</v>
      </c>
      <c r="B33" s="72" t="e">
        <f t="shared" si="13"/>
        <v>#N/A</v>
      </c>
      <c r="D33" s="2260" t="e">
        <f>IF(B33&lt;B$11+C$8,INDEX(IFAData_TEA_1617!B$2:N$2357,B33,11),0)</f>
        <v>#N/A</v>
      </c>
      <c r="E33" s="413" t="e">
        <f>IF(B33&lt;B$11+C$8,INDEX(IFAData_TEA_1617!B$2:N$2357,B33,12),0)</f>
        <v>#N/A</v>
      </c>
      <c r="F33" s="413" t="e">
        <f t="shared" si="5"/>
        <v>#N/A</v>
      </c>
      <c r="G33" s="413" t="e">
        <f t="shared" si="6"/>
        <v>#N/A</v>
      </c>
      <c r="H33" s="413" t="e">
        <f t="shared" si="7"/>
        <v>#N/A</v>
      </c>
      <c r="I33" s="413" t="e">
        <f t="shared" si="8"/>
        <v>#N/A</v>
      </c>
      <c r="J33" s="413" t="e">
        <f t="shared" si="9"/>
        <v>#N/A</v>
      </c>
      <c r="K33" s="413" t="e">
        <f t="shared" si="10"/>
        <v>#N/A</v>
      </c>
      <c r="L33" s="413" t="e">
        <f t="shared" si="11"/>
        <v>#N/A</v>
      </c>
      <c r="M33" s="413" t="e">
        <f t="shared" si="12"/>
        <v>#N/A</v>
      </c>
      <c r="N33" s="413" t="e">
        <f t="shared" si="1"/>
        <v>#N/A</v>
      </c>
      <c r="O33" s="413" t="e">
        <f t="shared" si="2"/>
        <v>#N/A</v>
      </c>
      <c r="P33" s="413" t="e">
        <f t="shared" si="3"/>
        <v>#N/A</v>
      </c>
      <c r="Q33" s="413" t="e">
        <f t="shared" si="4"/>
        <v>#N/A</v>
      </c>
    </row>
    <row r="34" spans="1:17">
      <c r="A34" s="98" t="s">
        <v>6457</v>
      </c>
      <c r="B34" s="72" t="e">
        <f t="shared" si="13"/>
        <v>#N/A</v>
      </c>
      <c r="D34" s="2260" t="e">
        <f>IF(B34&lt;B$11+C$8,INDEX(IFAData_TEA_1617!B$2:N$2357,B34,11),0)</f>
        <v>#N/A</v>
      </c>
      <c r="E34" s="413" t="e">
        <f>IF(B34&lt;B$11+C$8,INDEX(IFAData_TEA_1617!B$2:N$2357,B34,12),0)</f>
        <v>#N/A</v>
      </c>
      <c r="F34" s="413" t="e">
        <f t="shared" si="5"/>
        <v>#N/A</v>
      </c>
      <c r="G34" s="413" t="e">
        <f t="shared" si="6"/>
        <v>#N/A</v>
      </c>
      <c r="H34" s="413" t="e">
        <f t="shared" si="7"/>
        <v>#N/A</v>
      </c>
      <c r="I34" s="413" t="e">
        <f t="shared" si="8"/>
        <v>#N/A</v>
      </c>
      <c r="J34" s="413" t="e">
        <f t="shared" si="9"/>
        <v>#N/A</v>
      </c>
      <c r="K34" s="413" t="e">
        <f t="shared" si="10"/>
        <v>#N/A</v>
      </c>
      <c r="L34" s="413" t="e">
        <f t="shared" si="11"/>
        <v>#N/A</v>
      </c>
      <c r="M34" s="413" t="e">
        <f t="shared" si="12"/>
        <v>#N/A</v>
      </c>
      <c r="N34" s="413" t="e">
        <f t="shared" si="1"/>
        <v>#N/A</v>
      </c>
      <c r="O34" s="413" t="e">
        <f t="shared" si="2"/>
        <v>#N/A</v>
      </c>
      <c r="P34" s="413" t="e">
        <f t="shared" si="3"/>
        <v>#N/A</v>
      </c>
      <c r="Q34" s="413" t="e">
        <f t="shared" si="4"/>
        <v>#N/A</v>
      </c>
    </row>
    <row r="35" spans="1:17">
      <c r="A35" s="98" t="s">
        <v>6457</v>
      </c>
      <c r="B35" s="72" t="e">
        <f t="shared" si="13"/>
        <v>#N/A</v>
      </c>
      <c r="D35" s="2260" t="e">
        <f>IF(B35&lt;B$11+C$8,INDEX(IFAData_TEA_1617!B$2:N$2357,B35,11),0)</f>
        <v>#N/A</v>
      </c>
      <c r="E35" s="413" t="e">
        <f>IF(B35&lt;B$11+C$8,INDEX(IFAData_TEA_1617!B$2:N$2357,B35,12),0)</f>
        <v>#N/A</v>
      </c>
      <c r="F35" s="413" t="e">
        <f t="shared" si="5"/>
        <v>#N/A</v>
      </c>
      <c r="G35" s="413" t="e">
        <f t="shared" si="6"/>
        <v>#N/A</v>
      </c>
      <c r="H35" s="413" t="e">
        <f t="shared" si="7"/>
        <v>#N/A</v>
      </c>
      <c r="I35" s="413" t="e">
        <f t="shared" si="8"/>
        <v>#N/A</v>
      </c>
      <c r="J35" s="413" t="e">
        <f t="shared" si="9"/>
        <v>#N/A</v>
      </c>
      <c r="K35" s="413" t="e">
        <f t="shared" si="10"/>
        <v>#N/A</v>
      </c>
      <c r="L35" s="413" t="e">
        <f t="shared" si="11"/>
        <v>#N/A</v>
      </c>
      <c r="M35" s="413" t="e">
        <f t="shared" si="12"/>
        <v>#N/A</v>
      </c>
      <c r="N35" s="413" t="e">
        <f t="shared" si="1"/>
        <v>#N/A</v>
      </c>
      <c r="O35" s="413" t="e">
        <f t="shared" si="2"/>
        <v>#N/A</v>
      </c>
      <c r="P35" s="413" t="e">
        <f t="shared" si="3"/>
        <v>#N/A</v>
      </c>
      <c r="Q35" s="413" t="e">
        <f t="shared" si="4"/>
        <v>#N/A</v>
      </c>
    </row>
    <row r="36" spans="1:17">
      <c r="A36" s="98" t="s">
        <v>6457</v>
      </c>
      <c r="B36" s="72" t="e">
        <f t="shared" si="13"/>
        <v>#N/A</v>
      </c>
      <c r="D36" s="2260" t="e">
        <f>IF(B36&lt;B$11+C$8,INDEX(IFAData_TEA_1617!B$2:N$2357,B36,11),0)</f>
        <v>#N/A</v>
      </c>
      <c r="E36" s="413" t="e">
        <f>IF(B36&lt;B$11+C$8,INDEX(IFAData_TEA_1617!B$2:N$2357,B36,12),0)</f>
        <v>#N/A</v>
      </c>
      <c r="F36" s="413" t="e">
        <f t="shared" si="5"/>
        <v>#N/A</v>
      </c>
      <c r="G36" s="413" t="e">
        <f t="shared" si="6"/>
        <v>#N/A</v>
      </c>
      <c r="H36" s="413" t="e">
        <f t="shared" si="7"/>
        <v>#N/A</v>
      </c>
      <c r="I36" s="413" t="e">
        <f t="shared" si="8"/>
        <v>#N/A</v>
      </c>
      <c r="J36" s="413" t="e">
        <f t="shared" si="9"/>
        <v>#N/A</v>
      </c>
      <c r="K36" s="413" t="e">
        <f t="shared" si="10"/>
        <v>#N/A</v>
      </c>
      <c r="L36" s="413" t="e">
        <f t="shared" si="11"/>
        <v>#N/A</v>
      </c>
      <c r="M36" s="413" t="e">
        <f t="shared" si="12"/>
        <v>#N/A</v>
      </c>
      <c r="N36" s="413" t="e">
        <f t="shared" si="1"/>
        <v>#N/A</v>
      </c>
      <c r="O36" s="413" t="e">
        <f t="shared" si="2"/>
        <v>#N/A</v>
      </c>
      <c r="P36" s="413" t="e">
        <f t="shared" si="3"/>
        <v>#N/A</v>
      </c>
      <c r="Q36" s="413" t="e">
        <f t="shared" si="4"/>
        <v>#N/A</v>
      </c>
    </row>
    <row r="37" spans="1:17">
      <c r="A37" s="98" t="s">
        <v>6457</v>
      </c>
      <c r="B37" s="72" t="e">
        <f t="shared" si="13"/>
        <v>#N/A</v>
      </c>
      <c r="D37" s="2260" t="e">
        <f>IF(B37&lt;B$11+C$8,INDEX(IFAData_TEA_1617!B$2:N$2357,B37,11),0)</f>
        <v>#N/A</v>
      </c>
      <c r="E37" s="413" t="e">
        <f>IF(B37&lt;B$11+C$8,INDEX(IFAData_TEA_1617!B$2:N$2357,B37,12),0)</f>
        <v>#N/A</v>
      </c>
      <c r="F37" s="413" t="e">
        <f t="shared" si="5"/>
        <v>#N/A</v>
      </c>
      <c r="G37" s="413" t="e">
        <f t="shared" si="6"/>
        <v>#N/A</v>
      </c>
      <c r="H37" s="413" t="e">
        <f t="shared" si="7"/>
        <v>#N/A</v>
      </c>
      <c r="I37" s="413" t="e">
        <f t="shared" si="8"/>
        <v>#N/A</v>
      </c>
      <c r="J37" s="413" t="e">
        <f t="shared" si="9"/>
        <v>#N/A</v>
      </c>
      <c r="K37" s="413" t="e">
        <f t="shared" si="10"/>
        <v>#N/A</v>
      </c>
      <c r="L37" s="413" t="e">
        <f t="shared" si="11"/>
        <v>#N/A</v>
      </c>
      <c r="M37" s="413" t="e">
        <f t="shared" si="12"/>
        <v>#N/A</v>
      </c>
      <c r="N37" s="413" t="e">
        <f t="shared" si="1"/>
        <v>#N/A</v>
      </c>
      <c r="O37" s="413" t="e">
        <f t="shared" si="2"/>
        <v>#N/A</v>
      </c>
      <c r="P37" s="413" t="e">
        <f t="shared" si="3"/>
        <v>#N/A</v>
      </c>
      <c r="Q37" s="413" t="e">
        <f t="shared" si="4"/>
        <v>#N/A</v>
      </c>
    </row>
    <row r="38" spans="1:17">
      <c r="A38" s="98" t="s">
        <v>6457</v>
      </c>
      <c r="B38" s="72" t="e">
        <f t="shared" si="13"/>
        <v>#N/A</v>
      </c>
      <c r="D38" s="2260" t="e">
        <f>IF(B38&lt;B$11+C$8,INDEX(IFAData_TEA_1617!B$2:N$2357,B38,11),0)</f>
        <v>#N/A</v>
      </c>
      <c r="E38" s="413" t="e">
        <f>IF(B38&lt;B$11+C$8,INDEX(IFAData_TEA_1617!B$2:N$2357,B38,12),0)</f>
        <v>#N/A</v>
      </c>
      <c r="F38" s="413" t="e">
        <f t="shared" si="5"/>
        <v>#N/A</v>
      </c>
      <c r="G38" s="413" t="e">
        <f t="shared" si="6"/>
        <v>#N/A</v>
      </c>
      <c r="H38" s="413" t="e">
        <f t="shared" si="7"/>
        <v>#N/A</v>
      </c>
      <c r="I38" s="413" t="e">
        <f t="shared" si="8"/>
        <v>#N/A</v>
      </c>
      <c r="J38" s="413" t="e">
        <f t="shared" si="9"/>
        <v>#N/A</v>
      </c>
      <c r="K38" s="413" t="e">
        <f t="shared" si="10"/>
        <v>#N/A</v>
      </c>
      <c r="L38" s="413" t="e">
        <f t="shared" si="11"/>
        <v>#N/A</v>
      </c>
      <c r="M38" s="413" t="e">
        <f t="shared" si="12"/>
        <v>#N/A</v>
      </c>
      <c r="N38" s="413" t="e">
        <f t="shared" si="1"/>
        <v>#N/A</v>
      </c>
      <c r="O38" s="413" t="e">
        <f t="shared" si="2"/>
        <v>#N/A</v>
      </c>
      <c r="P38" s="413" t="e">
        <f t="shared" si="3"/>
        <v>#N/A</v>
      </c>
      <c r="Q38" s="413" t="e">
        <f t="shared" si="4"/>
        <v>#N/A</v>
      </c>
    </row>
    <row r="39" spans="1:17">
      <c r="A39" s="98" t="s">
        <v>6457</v>
      </c>
      <c r="B39" s="72" t="e">
        <f t="shared" si="13"/>
        <v>#N/A</v>
      </c>
      <c r="D39" s="2260" t="e">
        <f>IF(B39&lt;B$11+C$8,INDEX(IFAData_TEA_1617!B$2:N$2357,B39,11),0)</f>
        <v>#N/A</v>
      </c>
      <c r="E39" s="413" t="e">
        <f>IF(B39&lt;B$11+C$8,INDEX(IFAData_TEA_1617!B$2:N$2357,B39,12),0)</f>
        <v>#N/A</v>
      </c>
      <c r="F39" s="413" t="e">
        <f t="shared" si="5"/>
        <v>#N/A</v>
      </c>
      <c r="G39" s="413" t="e">
        <f t="shared" si="6"/>
        <v>#N/A</v>
      </c>
      <c r="H39" s="413" t="e">
        <f t="shared" si="7"/>
        <v>#N/A</v>
      </c>
      <c r="I39" s="413" t="e">
        <f t="shared" si="8"/>
        <v>#N/A</v>
      </c>
      <c r="J39" s="413" t="e">
        <f t="shared" si="9"/>
        <v>#N/A</v>
      </c>
      <c r="K39" s="413" t="e">
        <f t="shared" si="10"/>
        <v>#N/A</v>
      </c>
      <c r="L39" s="413" t="e">
        <f t="shared" si="11"/>
        <v>#N/A</v>
      </c>
      <c r="M39" s="413" t="e">
        <f t="shared" si="12"/>
        <v>#N/A</v>
      </c>
      <c r="N39" s="413" t="e">
        <f t="shared" si="1"/>
        <v>#N/A</v>
      </c>
      <c r="O39" s="413" t="e">
        <f t="shared" si="2"/>
        <v>#N/A</v>
      </c>
      <c r="P39" s="413" t="e">
        <f t="shared" si="3"/>
        <v>#N/A</v>
      </c>
      <c r="Q39" s="413" t="e">
        <f t="shared" si="4"/>
        <v>#N/A</v>
      </c>
    </row>
    <row r="40" spans="1:17">
      <c r="A40" s="98" t="s">
        <v>6457</v>
      </c>
      <c r="B40" s="72" t="e">
        <f t="shared" si="13"/>
        <v>#N/A</v>
      </c>
      <c r="D40" s="2260" t="e">
        <f>IF(B40&lt;B$11+C$8,INDEX(IFAData_TEA_1617!B$2:N$2357,B40,11),0)</f>
        <v>#N/A</v>
      </c>
      <c r="E40" s="413" t="e">
        <f>IF(B40&lt;B$11+C$8,INDEX(IFAData_TEA_1617!B$2:N$2357,B40,12),0)</f>
        <v>#N/A</v>
      </c>
      <c r="F40" s="413" t="e">
        <f t="shared" si="5"/>
        <v>#N/A</v>
      </c>
      <c r="G40" s="413" t="e">
        <f t="shared" si="6"/>
        <v>#N/A</v>
      </c>
      <c r="H40" s="413" t="e">
        <f t="shared" si="7"/>
        <v>#N/A</v>
      </c>
      <c r="I40" s="413" t="e">
        <f t="shared" si="8"/>
        <v>#N/A</v>
      </c>
      <c r="J40" s="413" t="e">
        <f t="shared" si="9"/>
        <v>#N/A</v>
      </c>
      <c r="K40" s="413" t="e">
        <f t="shared" si="10"/>
        <v>#N/A</v>
      </c>
      <c r="L40" s="413" t="e">
        <f t="shared" si="11"/>
        <v>#N/A</v>
      </c>
      <c r="M40" s="413" t="e">
        <f t="shared" si="12"/>
        <v>#N/A</v>
      </c>
      <c r="N40" s="413" t="e">
        <f t="shared" si="1"/>
        <v>#N/A</v>
      </c>
      <c r="O40" s="413" t="e">
        <f t="shared" si="2"/>
        <v>#N/A</v>
      </c>
      <c r="P40" s="413" t="e">
        <f t="shared" si="3"/>
        <v>#N/A</v>
      </c>
      <c r="Q40" s="413" t="e">
        <f t="shared" si="4"/>
        <v>#N/A</v>
      </c>
    </row>
    <row r="41" spans="1:17">
      <c r="A41" s="98" t="s">
        <v>6457</v>
      </c>
      <c r="B41" s="72" t="e">
        <f t="shared" si="13"/>
        <v>#N/A</v>
      </c>
      <c r="D41" s="2260" t="e">
        <f>IF(B41&lt;B$11+C$8,INDEX(IFAData_TEA_1617!B$2:N$2357,B41,11),0)</f>
        <v>#N/A</v>
      </c>
      <c r="E41" s="413" t="e">
        <f>IF(B41&lt;B$11+C$8,INDEX(IFAData_TEA_1617!B$2:N$2357,B41,12),0)</f>
        <v>#N/A</v>
      </c>
      <c r="F41" s="413" t="e">
        <f t="shared" si="5"/>
        <v>#N/A</v>
      </c>
      <c r="G41" s="413" t="e">
        <f t="shared" si="6"/>
        <v>#N/A</v>
      </c>
      <c r="H41" s="413" t="e">
        <f t="shared" si="7"/>
        <v>#N/A</v>
      </c>
      <c r="I41" s="413" t="e">
        <f t="shared" si="8"/>
        <v>#N/A</v>
      </c>
      <c r="J41" s="413" t="e">
        <f t="shared" si="9"/>
        <v>#N/A</v>
      </c>
      <c r="K41" s="413" t="e">
        <f t="shared" si="10"/>
        <v>#N/A</v>
      </c>
      <c r="L41" s="413" t="e">
        <f t="shared" si="11"/>
        <v>#N/A</v>
      </c>
      <c r="M41" s="413" t="e">
        <f t="shared" si="12"/>
        <v>#N/A</v>
      </c>
      <c r="N41" s="413" t="e">
        <f t="shared" si="1"/>
        <v>#N/A</v>
      </c>
      <c r="O41" s="413" t="e">
        <f t="shared" si="2"/>
        <v>#N/A</v>
      </c>
      <c r="P41" s="413" t="e">
        <f t="shared" si="3"/>
        <v>#N/A</v>
      </c>
      <c r="Q41" s="413" t="e">
        <f t="shared" si="4"/>
        <v>#N/A</v>
      </c>
    </row>
    <row r="42" spans="1:17">
      <c r="A42" s="98" t="s">
        <v>6457</v>
      </c>
      <c r="B42" s="72" t="e">
        <f t="shared" si="13"/>
        <v>#N/A</v>
      </c>
      <c r="D42" s="2260" t="e">
        <f>IF(B42&lt;B$11+C$8,INDEX(IFAData_TEA_1617!B$2:N$2357,B42,11),0)</f>
        <v>#N/A</v>
      </c>
      <c r="E42" s="413" t="e">
        <f>IF(B42&lt;B$11+C$8,INDEX(IFAData_TEA_1617!B$2:N$2357,B42,12),0)</f>
        <v>#N/A</v>
      </c>
      <c r="F42" s="413" t="e">
        <f t="shared" si="5"/>
        <v>#N/A</v>
      </c>
      <c r="G42" s="413" t="e">
        <f t="shared" si="6"/>
        <v>#N/A</v>
      </c>
      <c r="H42" s="413" t="e">
        <f t="shared" si="7"/>
        <v>#N/A</v>
      </c>
      <c r="I42" s="413" t="e">
        <f t="shared" si="8"/>
        <v>#N/A</v>
      </c>
      <c r="J42" s="413" t="e">
        <f t="shared" si="9"/>
        <v>#N/A</v>
      </c>
      <c r="K42" s="413" t="e">
        <f t="shared" si="10"/>
        <v>#N/A</v>
      </c>
      <c r="L42" s="413" t="e">
        <f t="shared" si="11"/>
        <v>#N/A</v>
      </c>
      <c r="M42" s="413" t="e">
        <f t="shared" si="12"/>
        <v>#N/A</v>
      </c>
      <c r="N42" s="413" t="e">
        <f t="shared" si="1"/>
        <v>#N/A</v>
      </c>
      <c r="O42" s="413" t="e">
        <f t="shared" si="2"/>
        <v>#N/A</v>
      </c>
      <c r="P42" s="413" t="e">
        <f t="shared" si="3"/>
        <v>#N/A</v>
      </c>
      <c r="Q42" s="413" t="e">
        <f t="shared" si="4"/>
        <v>#N/A</v>
      </c>
    </row>
    <row r="43" spans="1:17">
      <c r="A43" s="98" t="s">
        <v>6457</v>
      </c>
      <c r="B43" s="72" t="e">
        <f t="shared" si="13"/>
        <v>#N/A</v>
      </c>
      <c r="D43" s="2260" t="e">
        <f>IF(B43&lt;B$11+C$8,INDEX(IFAData_TEA_1617!B$2:N$2357,B43,11),0)</f>
        <v>#N/A</v>
      </c>
      <c r="E43" s="413" t="e">
        <f>IF(B43&lt;B$11+C$8,INDEX(IFAData_TEA_1617!B$2:N$2357,B43,12),0)</f>
        <v>#N/A</v>
      </c>
      <c r="F43" s="413" t="e">
        <f t="shared" si="5"/>
        <v>#N/A</v>
      </c>
      <c r="G43" s="413" t="e">
        <f t="shared" si="6"/>
        <v>#N/A</v>
      </c>
      <c r="H43" s="413" t="e">
        <f t="shared" si="7"/>
        <v>#N/A</v>
      </c>
      <c r="I43" s="413" t="e">
        <f t="shared" si="8"/>
        <v>#N/A</v>
      </c>
      <c r="J43" s="413" t="e">
        <f t="shared" si="9"/>
        <v>#N/A</v>
      </c>
      <c r="K43" s="413" t="e">
        <f t="shared" si="10"/>
        <v>#N/A</v>
      </c>
      <c r="L43" s="413" t="e">
        <f t="shared" si="11"/>
        <v>#N/A</v>
      </c>
      <c r="M43" s="413" t="e">
        <f t="shared" si="12"/>
        <v>#N/A</v>
      </c>
      <c r="N43" s="413" t="e">
        <f t="shared" si="1"/>
        <v>#N/A</v>
      </c>
      <c r="O43" s="413" t="e">
        <f t="shared" si="2"/>
        <v>#N/A</v>
      </c>
      <c r="P43" s="413" t="e">
        <f t="shared" si="3"/>
        <v>#N/A</v>
      </c>
      <c r="Q43" s="413" t="e">
        <f t="shared" si="4"/>
        <v>#N/A</v>
      </c>
    </row>
    <row r="44" spans="1:17">
      <c r="A44" s="98" t="s">
        <v>6457</v>
      </c>
      <c r="B44" s="72" t="e">
        <f t="shared" si="13"/>
        <v>#N/A</v>
      </c>
      <c r="D44" s="2260" t="e">
        <f>IF(B44&lt;B$11+C$8,INDEX(IFAData_TEA_1617!B$2:N$2357,B44,11),0)</f>
        <v>#N/A</v>
      </c>
      <c r="E44" s="413" t="e">
        <f>IF(B44&lt;B$11+C$8,INDEX(IFAData_TEA_1617!B$2:N$2357,B44,12),0)</f>
        <v>#N/A</v>
      </c>
      <c r="F44" s="413" t="e">
        <f t="shared" si="5"/>
        <v>#N/A</v>
      </c>
      <c r="G44" s="413" t="e">
        <f t="shared" si="6"/>
        <v>#N/A</v>
      </c>
      <c r="H44" s="413" t="e">
        <f t="shared" si="7"/>
        <v>#N/A</v>
      </c>
      <c r="I44" s="413" t="e">
        <f t="shared" si="8"/>
        <v>#N/A</v>
      </c>
      <c r="J44" s="413" t="e">
        <f t="shared" si="9"/>
        <v>#N/A</v>
      </c>
      <c r="K44" s="413" t="e">
        <f t="shared" si="10"/>
        <v>#N/A</v>
      </c>
      <c r="L44" s="413" t="e">
        <f t="shared" si="11"/>
        <v>#N/A</v>
      </c>
      <c r="M44" s="413" t="e">
        <f t="shared" si="12"/>
        <v>#N/A</v>
      </c>
      <c r="N44" s="413" t="e">
        <f t="shared" si="1"/>
        <v>#N/A</v>
      </c>
      <c r="O44" s="413" t="e">
        <f t="shared" si="2"/>
        <v>#N/A</v>
      </c>
      <c r="P44" s="413" t="e">
        <f t="shared" si="3"/>
        <v>#N/A</v>
      </c>
      <c r="Q44" s="413" t="e">
        <f t="shared" si="4"/>
        <v>#N/A</v>
      </c>
    </row>
    <row r="45" spans="1:17">
      <c r="A45" s="98" t="s">
        <v>6457</v>
      </c>
      <c r="B45" s="72" t="e">
        <f t="shared" si="13"/>
        <v>#N/A</v>
      </c>
      <c r="D45" s="2260" t="e">
        <f>IF(B45&lt;B$11+C$8,INDEX(IFAData_TEA_1617!B$2:N$2357,B45,11),0)</f>
        <v>#N/A</v>
      </c>
      <c r="E45" s="413" t="e">
        <f>IF(B45&lt;B$11+C$8,INDEX(IFAData_TEA_1617!B$2:N$2357,B45,12),0)</f>
        <v>#N/A</v>
      </c>
      <c r="F45" s="413" t="e">
        <f t="shared" si="5"/>
        <v>#N/A</v>
      </c>
      <c r="G45" s="413" t="e">
        <f t="shared" si="6"/>
        <v>#N/A</v>
      </c>
      <c r="H45" s="413" t="e">
        <f t="shared" si="7"/>
        <v>#N/A</v>
      </c>
      <c r="I45" s="413" t="e">
        <f t="shared" si="8"/>
        <v>#N/A</v>
      </c>
      <c r="J45" s="413" t="e">
        <f t="shared" si="9"/>
        <v>#N/A</v>
      </c>
      <c r="K45" s="413" t="e">
        <f t="shared" si="10"/>
        <v>#N/A</v>
      </c>
      <c r="L45" s="413" t="e">
        <f t="shared" si="11"/>
        <v>#N/A</v>
      </c>
      <c r="M45" s="413" t="e">
        <f t="shared" si="12"/>
        <v>#N/A</v>
      </c>
      <c r="N45" s="413" t="e">
        <f t="shared" si="1"/>
        <v>#N/A</v>
      </c>
      <c r="O45" s="413" t="e">
        <f t="shared" si="2"/>
        <v>#N/A</v>
      </c>
      <c r="P45" s="413" t="e">
        <f t="shared" si="3"/>
        <v>#N/A</v>
      </c>
      <c r="Q45" s="413" t="e">
        <f t="shared" si="4"/>
        <v>#N/A</v>
      </c>
    </row>
    <row r="46" spans="1:17">
      <c r="A46" s="98" t="s">
        <v>6457</v>
      </c>
      <c r="B46" s="72" t="e">
        <f t="shared" si="13"/>
        <v>#N/A</v>
      </c>
      <c r="D46" s="2260" t="e">
        <f>IF(B46&lt;B$11+C$8,INDEX(IFAData_TEA_1617!B$2:N$2357,B46,11),0)</f>
        <v>#N/A</v>
      </c>
      <c r="E46" s="413" t="e">
        <f>IF(B46&lt;B$11+C$8,INDEX(IFAData_TEA_1617!B$2:N$2357,B46,12),0)</f>
        <v>#N/A</v>
      </c>
      <c r="F46" s="413" t="e">
        <f t="shared" si="5"/>
        <v>#N/A</v>
      </c>
      <c r="G46" s="413" t="e">
        <f t="shared" si="6"/>
        <v>#N/A</v>
      </c>
      <c r="H46" s="413" t="e">
        <f t="shared" si="7"/>
        <v>#N/A</v>
      </c>
      <c r="I46" s="413" t="e">
        <f t="shared" si="8"/>
        <v>#N/A</v>
      </c>
      <c r="J46" s="413" t="e">
        <f t="shared" si="9"/>
        <v>#N/A</v>
      </c>
      <c r="K46" s="413" t="e">
        <f t="shared" si="10"/>
        <v>#N/A</v>
      </c>
      <c r="L46" s="413" t="e">
        <f t="shared" si="11"/>
        <v>#N/A</v>
      </c>
      <c r="M46" s="413" t="e">
        <f t="shared" si="12"/>
        <v>#N/A</v>
      </c>
      <c r="N46" s="413" t="e">
        <f t="shared" si="1"/>
        <v>#N/A</v>
      </c>
      <c r="O46" s="413" t="e">
        <f t="shared" si="2"/>
        <v>#N/A</v>
      </c>
      <c r="P46" s="413" t="e">
        <f t="shared" si="3"/>
        <v>#N/A</v>
      </c>
      <c r="Q46" s="413" t="e">
        <f t="shared" si="4"/>
        <v>#N/A</v>
      </c>
    </row>
    <row r="47" spans="1:17">
      <c r="A47" s="98" t="s">
        <v>6457</v>
      </c>
      <c r="B47" s="72" t="e">
        <f t="shared" si="13"/>
        <v>#N/A</v>
      </c>
      <c r="D47" s="2260" t="e">
        <f>IF(B47&lt;B$11+C$8,INDEX(IFAData_TEA_1617!B$2:N$2357,B47,11),0)</f>
        <v>#N/A</v>
      </c>
      <c r="E47" s="413" t="e">
        <f>IF(B47&lt;B$11+C$8,INDEX(IFAData_TEA_1617!B$2:N$2357,B47,12),0)</f>
        <v>#N/A</v>
      </c>
      <c r="F47" s="413" t="e">
        <f t="shared" si="5"/>
        <v>#N/A</v>
      </c>
      <c r="G47" s="413" t="e">
        <f t="shared" si="6"/>
        <v>#N/A</v>
      </c>
      <c r="H47" s="413" t="e">
        <f t="shared" si="7"/>
        <v>#N/A</v>
      </c>
      <c r="I47" s="413" t="e">
        <f t="shared" si="8"/>
        <v>#N/A</v>
      </c>
      <c r="J47" s="413" t="e">
        <f t="shared" si="9"/>
        <v>#N/A</v>
      </c>
      <c r="K47" s="413" t="e">
        <f t="shared" si="10"/>
        <v>#N/A</v>
      </c>
      <c r="L47" s="413" t="e">
        <f t="shared" si="11"/>
        <v>#N/A</v>
      </c>
      <c r="M47" s="413" t="e">
        <f t="shared" si="12"/>
        <v>#N/A</v>
      </c>
      <c r="N47" s="413" t="e">
        <f t="shared" si="1"/>
        <v>#N/A</v>
      </c>
      <c r="O47" s="413" t="e">
        <f t="shared" si="2"/>
        <v>#N/A</v>
      </c>
      <c r="P47" s="413" t="e">
        <f t="shared" si="3"/>
        <v>#N/A</v>
      </c>
      <c r="Q47" s="413" t="e">
        <f t="shared" si="4"/>
        <v>#N/A</v>
      </c>
    </row>
    <row r="48" spans="1:17">
      <c r="A48" s="98" t="s">
        <v>6457</v>
      </c>
      <c r="B48" s="72" t="e">
        <f t="shared" si="13"/>
        <v>#N/A</v>
      </c>
      <c r="D48" s="2260" t="e">
        <f>IF(B48&lt;B$11+C$8,INDEX(IFAData_TEA_1617!B$2:N$2357,B48,11),0)</f>
        <v>#N/A</v>
      </c>
      <c r="E48" s="413" t="e">
        <f>IF(B48&lt;B$11+C$8,INDEX(IFAData_TEA_1617!B$2:N$2357,B48,12),0)</f>
        <v>#N/A</v>
      </c>
      <c r="F48" s="413" t="e">
        <f t="shared" si="5"/>
        <v>#N/A</v>
      </c>
      <c r="G48" s="413" t="e">
        <f t="shared" si="6"/>
        <v>#N/A</v>
      </c>
      <c r="H48" s="413" t="e">
        <f t="shared" si="7"/>
        <v>#N/A</v>
      </c>
      <c r="I48" s="413" t="e">
        <f t="shared" si="8"/>
        <v>#N/A</v>
      </c>
      <c r="J48" s="413" t="e">
        <f t="shared" si="9"/>
        <v>#N/A</v>
      </c>
      <c r="K48" s="413" t="e">
        <f t="shared" si="10"/>
        <v>#N/A</v>
      </c>
      <c r="L48" s="413" t="e">
        <f t="shared" si="11"/>
        <v>#N/A</v>
      </c>
      <c r="M48" s="413" t="e">
        <f t="shared" si="12"/>
        <v>#N/A</v>
      </c>
      <c r="N48" s="413" t="e">
        <f t="shared" si="1"/>
        <v>#N/A</v>
      </c>
      <c r="O48" s="413" t="e">
        <f t="shared" si="2"/>
        <v>#N/A</v>
      </c>
      <c r="P48" s="413" t="e">
        <f t="shared" si="3"/>
        <v>#N/A</v>
      </c>
      <c r="Q48" s="413" t="e">
        <f t="shared" si="4"/>
        <v>#N/A</v>
      </c>
    </row>
    <row r="49" spans="1:17">
      <c r="A49" s="98" t="s">
        <v>6457</v>
      </c>
      <c r="B49" s="72" t="e">
        <f t="shared" ref="B49:B54" si="14">B48+1</f>
        <v>#N/A</v>
      </c>
      <c r="D49" s="2260" t="e">
        <f>IF(B49&lt;B$11+C$8,INDEX(IFAData_TEA_1617!B$2:N$2357,B49,11),0)</f>
        <v>#N/A</v>
      </c>
      <c r="E49" s="413" t="e">
        <f>IF(B49&lt;B$11+C$8,INDEX(IFAData_TEA_1617!B$2:N$2357,B49,12),0)</f>
        <v>#N/A</v>
      </c>
      <c r="F49" s="413" t="e">
        <f t="shared" si="5"/>
        <v>#N/A</v>
      </c>
      <c r="G49" s="413" t="e">
        <f t="shared" si="6"/>
        <v>#N/A</v>
      </c>
      <c r="H49" s="413" t="e">
        <f t="shared" si="7"/>
        <v>#N/A</v>
      </c>
      <c r="I49" s="413" t="e">
        <f t="shared" si="8"/>
        <v>#N/A</v>
      </c>
      <c r="J49" s="413" t="e">
        <f t="shared" si="9"/>
        <v>#N/A</v>
      </c>
      <c r="K49" s="413" t="e">
        <f t="shared" si="10"/>
        <v>#N/A</v>
      </c>
      <c r="L49" s="413" t="e">
        <f t="shared" si="11"/>
        <v>#N/A</v>
      </c>
      <c r="M49" s="413" t="e">
        <f t="shared" si="12"/>
        <v>#N/A</v>
      </c>
      <c r="N49" s="413" t="e">
        <f t="shared" si="1"/>
        <v>#N/A</v>
      </c>
      <c r="O49" s="413" t="e">
        <f t="shared" si="2"/>
        <v>#N/A</v>
      </c>
      <c r="P49" s="413" t="e">
        <f t="shared" si="3"/>
        <v>#N/A</v>
      </c>
      <c r="Q49" s="413" t="e">
        <f t="shared" si="4"/>
        <v>#N/A</v>
      </c>
    </row>
    <row r="50" spans="1:17">
      <c r="A50" s="98" t="s">
        <v>6457</v>
      </c>
      <c r="B50" s="72" t="e">
        <f t="shared" si="14"/>
        <v>#N/A</v>
      </c>
      <c r="D50" s="2260" t="e">
        <f>IF(B50&lt;B$11+C$8,INDEX(IFAData_TEA_1617!B$2:N$2357,B50,11),0)</f>
        <v>#N/A</v>
      </c>
      <c r="E50" s="413" t="e">
        <f>IF(B50&lt;B$11+C$8,INDEX(IFAData_TEA_1617!B$2:N$2357,B50,12),0)</f>
        <v>#N/A</v>
      </c>
      <c r="F50" s="413" t="e">
        <f t="shared" si="5"/>
        <v>#N/A</v>
      </c>
      <c r="G50" s="413" t="e">
        <f t="shared" si="6"/>
        <v>#N/A</v>
      </c>
      <c r="H50" s="413" t="e">
        <f t="shared" si="7"/>
        <v>#N/A</v>
      </c>
      <c r="I50" s="413" t="e">
        <f t="shared" si="8"/>
        <v>#N/A</v>
      </c>
      <c r="J50" s="413" t="e">
        <f t="shared" si="9"/>
        <v>#N/A</v>
      </c>
      <c r="K50" s="413" t="e">
        <f t="shared" si="10"/>
        <v>#N/A</v>
      </c>
      <c r="L50" s="413" t="e">
        <f t="shared" si="11"/>
        <v>#N/A</v>
      </c>
      <c r="M50" s="413" t="e">
        <f t="shared" si="12"/>
        <v>#N/A</v>
      </c>
      <c r="N50" s="413" t="e">
        <f t="shared" si="1"/>
        <v>#N/A</v>
      </c>
      <c r="O50" s="413" t="e">
        <f t="shared" si="2"/>
        <v>#N/A</v>
      </c>
      <c r="P50" s="413" t="e">
        <f t="shared" si="3"/>
        <v>#N/A</v>
      </c>
      <c r="Q50" s="413" t="e">
        <f t="shared" si="4"/>
        <v>#N/A</v>
      </c>
    </row>
    <row r="51" spans="1:17">
      <c r="A51" s="98" t="s">
        <v>6457</v>
      </c>
      <c r="B51" s="72" t="e">
        <f t="shared" si="14"/>
        <v>#N/A</v>
      </c>
      <c r="D51" s="2260" t="e">
        <f>IF(B51&lt;B$11+C$8,INDEX(IFAData_TEA_1617!B$2:N$2357,B51,11),0)</f>
        <v>#N/A</v>
      </c>
      <c r="E51" s="413" t="e">
        <f>IF(B51&lt;B$11+C$8,INDEX(IFAData_TEA_1617!B$2:N$2357,B51,12),0)</f>
        <v>#N/A</v>
      </c>
      <c r="F51" s="413" t="e">
        <f t="shared" si="5"/>
        <v>#N/A</v>
      </c>
      <c r="G51" s="413" t="e">
        <f t="shared" si="6"/>
        <v>#N/A</v>
      </c>
      <c r="H51" s="413" t="e">
        <f t="shared" si="7"/>
        <v>#N/A</v>
      </c>
      <c r="I51" s="413" t="e">
        <f t="shared" si="8"/>
        <v>#N/A</v>
      </c>
      <c r="J51" s="413" t="e">
        <f t="shared" si="9"/>
        <v>#N/A</v>
      </c>
      <c r="K51" s="413" t="e">
        <f t="shared" si="10"/>
        <v>#N/A</v>
      </c>
      <c r="L51" s="413" t="e">
        <f t="shared" si="11"/>
        <v>#N/A</v>
      </c>
      <c r="M51" s="413" t="e">
        <f t="shared" si="12"/>
        <v>#N/A</v>
      </c>
      <c r="N51" s="413" t="e">
        <f t="shared" si="1"/>
        <v>#N/A</v>
      </c>
      <c r="O51" s="413" t="e">
        <f t="shared" si="2"/>
        <v>#N/A</v>
      </c>
      <c r="P51" s="413" t="e">
        <f t="shared" si="3"/>
        <v>#N/A</v>
      </c>
      <c r="Q51" s="413" t="e">
        <f t="shared" si="4"/>
        <v>#N/A</v>
      </c>
    </row>
    <row r="52" spans="1:17">
      <c r="A52" s="98" t="s">
        <v>6457</v>
      </c>
      <c r="B52" s="72" t="e">
        <f t="shared" si="14"/>
        <v>#N/A</v>
      </c>
      <c r="D52" s="2260" t="e">
        <f>IF(B52&lt;B$11+C$8,INDEX(IFAData_TEA_1617!B$2:N$2357,B52,11),0)</f>
        <v>#N/A</v>
      </c>
      <c r="E52" s="413" t="e">
        <f>IF(B52&lt;B$11+C$8,INDEX(IFAData_TEA_1617!B$2:N$2357,B52,12),0)</f>
        <v>#N/A</v>
      </c>
      <c r="F52" s="413" t="e">
        <f t="shared" si="5"/>
        <v>#N/A</v>
      </c>
      <c r="G52" s="413" t="e">
        <f t="shared" si="6"/>
        <v>#N/A</v>
      </c>
      <c r="H52" s="413" t="e">
        <f t="shared" si="7"/>
        <v>#N/A</v>
      </c>
      <c r="I52" s="413" t="e">
        <f t="shared" si="8"/>
        <v>#N/A</v>
      </c>
      <c r="J52" s="413" t="e">
        <f t="shared" si="9"/>
        <v>#N/A</v>
      </c>
      <c r="K52" s="413" t="e">
        <f t="shared" si="10"/>
        <v>#N/A</v>
      </c>
      <c r="L52" s="413" t="e">
        <f t="shared" si="11"/>
        <v>#N/A</v>
      </c>
      <c r="M52" s="413" t="e">
        <f t="shared" si="12"/>
        <v>#N/A</v>
      </c>
      <c r="N52" s="413" t="e">
        <f t="shared" si="1"/>
        <v>#N/A</v>
      </c>
      <c r="O52" s="413" t="e">
        <f t="shared" si="2"/>
        <v>#N/A</v>
      </c>
      <c r="P52" s="413" t="e">
        <f t="shared" si="3"/>
        <v>#N/A</v>
      </c>
      <c r="Q52" s="413" t="e">
        <f t="shared" si="4"/>
        <v>#N/A</v>
      </c>
    </row>
    <row r="53" spans="1:17">
      <c r="A53" s="98" t="s">
        <v>6457</v>
      </c>
      <c r="B53" s="72" t="e">
        <f t="shared" si="14"/>
        <v>#N/A</v>
      </c>
      <c r="D53" s="2260" t="e">
        <f>IF(B53&lt;B$11+C$8,INDEX(IFAData_TEA_1617!B$2:N$2357,B53,11),0)</f>
        <v>#N/A</v>
      </c>
      <c r="E53" s="413" t="e">
        <f>IF(B53&lt;B$11+C$8,INDEX(IFAData_TEA_1617!B$2:N$2357,B53,12),0)</f>
        <v>#N/A</v>
      </c>
      <c r="F53" s="413" t="e">
        <f t="shared" si="5"/>
        <v>#N/A</v>
      </c>
      <c r="G53" s="413" t="e">
        <f t="shared" si="6"/>
        <v>#N/A</v>
      </c>
      <c r="H53" s="413" t="e">
        <f t="shared" si="7"/>
        <v>#N/A</v>
      </c>
      <c r="I53" s="413" t="e">
        <f t="shared" si="8"/>
        <v>#N/A</v>
      </c>
      <c r="J53" s="413" t="e">
        <f t="shared" si="9"/>
        <v>#N/A</v>
      </c>
      <c r="K53" s="413" t="e">
        <f t="shared" si="10"/>
        <v>#N/A</v>
      </c>
      <c r="L53" s="413" t="e">
        <f t="shared" si="11"/>
        <v>#N/A</v>
      </c>
      <c r="M53" s="413" t="e">
        <f t="shared" si="12"/>
        <v>#N/A</v>
      </c>
      <c r="N53" s="413" t="e">
        <f t="shared" si="1"/>
        <v>#N/A</v>
      </c>
      <c r="O53" s="413" t="e">
        <f t="shared" si="2"/>
        <v>#N/A</v>
      </c>
      <c r="P53" s="413" t="e">
        <f t="shared" si="3"/>
        <v>#N/A</v>
      </c>
      <c r="Q53" s="413" t="e">
        <f t="shared" si="4"/>
        <v>#N/A</v>
      </c>
    </row>
    <row r="54" spans="1:17">
      <c r="A54" s="98" t="s">
        <v>6457</v>
      </c>
      <c r="B54" s="72" t="e">
        <f t="shared" si="14"/>
        <v>#N/A</v>
      </c>
      <c r="D54" s="2260" t="e">
        <f>IF(B54&lt;B$11+C$8,INDEX(IFAData_TEA_1617!B$2:N$2357,B54,11),0)</f>
        <v>#N/A</v>
      </c>
      <c r="E54" s="413" t="e">
        <f>IF(B54&lt;B$11+C$8,INDEX(IFAData_TEA_1617!B$2:N$2357,B54,12),0)</f>
        <v>#N/A</v>
      </c>
      <c r="F54" s="413" t="e">
        <f t="shared" si="5"/>
        <v>#N/A</v>
      </c>
      <c r="G54" s="413" t="e">
        <f t="shared" si="6"/>
        <v>#N/A</v>
      </c>
      <c r="H54" s="413" t="e">
        <f t="shared" si="7"/>
        <v>#N/A</v>
      </c>
      <c r="I54" s="413" t="e">
        <f t="shared" si="8"/>
        <v>#N/A</v>
      </c>
      <c r="J54" s="413" t="e">
        <f t="shared" si="9"/>
        <v>#N/A</v>
      </c>
      <c r="K54" s="413" t="e">
        <f t="shared" si="10"/>
        <v>#N/A</v>
      </c>
      <c r="L54" s="413" t="e">
        <f t="shared" si="11"/>
        <v>#N/A</v>
      </c>
      <c r="M54" s="413" t="e">
        <f t="shared" si="12"/>
        <v>#N/A</v>
      </c>
      <c r="N54" s="413" t="e">
        <f t="shared" si="1"/>
        <v>#N/A</v>
      </c>
      <c r="O54" s="413" t="e">
        <f t="shared" si="2"/>
        <v>#N/A</v>
      </c>
      <c r="P54" s="413" t="e">
        <f t="shared" si="3"/>
        <v>#N/A</v>
      </c>
      <c r="Q54" s="413" t="e">
        <f t="shared" si="4"/>
        <v>#N/A</v>
      </c>
    </row>
    <row r="55" spans="1:17">
      <c r="A55" s="2252" t="s">
        <v>6459</v>
      </c>
      <c r="B55" s="1066"/>
      <c r="C55" s="1066"/>
      <c r="D55" s="2261">
        <f>SUMIF($E11:$E54,"599",D11:D54)</f>
        <v>0</v>
      </c>
      <c r="F55" s="2262">
        <f>SUMIF($G11:$G54,"599",F11:F54)</f>
        <v>0</v>
      </c>
      <c r="H55" s="2263">
        <f>SUMIF($I11:$I54,"599",H11:H54)</f>
        <v>0</v>
      </c>
      <c r="J55" s="2264">
        <f>SUMIF($K11:$K54,"599",J11:J54)</f>
        <v>0</v>
      </c>
      <c r="L55" s="2265">
        <f>SUMIF($M11:$M54,"599",L11:L54)</f>
        <v>0</v>
      </c>
      <c r="N55" s="2262">
        <f>SUMIF($O11:$O54,"599",N11:N54)</f>
        <v>0</v>
      </c>
      <c r="P55" s="2261">
        <f>SUMIF($Q11:$Q54,"599",P11:P54)</f>
        <v>0</v>
      </c>
    </row>
    <row r="56" spans="1:17">
      <c r="A56" s="2252" t="s">
        <v>6458</v>
      </c>
      <c r="D56" s="2255">
        <f>SUMIF($E11:$E54,"199",D11:D54)</f>
        <v>0</v>
      </c>
      <c r="F56" s="2256">
        <f>SUMIF($G11:$G54,"199",F11:F54)</f>
        <v>0</v>
      </c>
      <c r="H56" s="2257">
        <f>SUMIF($I11:$I54,"199",H11:H54)</f>
        <v>0</v>
      </c>
      <c r="J56" s="2258">
        <f>SUMIF($K11:$K54,"199",J11:J54)</f>
        <v>0</v>
      </c>
      <c r="L56" s="2259">
        <f>SUMIF($M11:$M54,"199",L11:L54)</f>
        <v>0</v>
      </c>
      <c r="N56" s="2256">
        <f>SUMIF($O11:$O54,"199",N11:N54)</f>
        <v>0</v>
      </c>
      <c r="P56" s="2255">
        <f>SUMIF($Q11:$Q54,"199",P11:P54)</f>
        <v>0</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M28"/>
  <sheetViews>
    <sheetView workbookViewId="0">
      <selection activeCell="N26" sqref="N26"/>
    </sheetView>
  </sheetViews>
  <sheetFormatPr defaultRowHeight="15"/>
  <cols>
    <col min="1" max="1" width="28.42578125" customWidth="1"/>
    <col min="2" max="2" width="20.7109375" hidden="1" customWidth="1"/>
    <col min="3" max="3" width="1.7109375" hidden="1" customWidth="1"/>
    <col min="4" max="4" width="16.7109375" hidden="1" customWidth="1"/>
    <col min="5" max="5" width="1.7109375" hidden="1" customWidth="1"/>
    <col min="6" max="6" width="20.7109375" hidden="1" customWidth="1"/>
    <col min="7" max="7" width="1.7109375" hidden="1" customWidth="1"/>
    <col min="8" max="8" width="16.7109375" hidden="1" customWidth="1"/>
    <col min="9" max="9" width="1.7109375" hidden="1" customWidth="1"/>
    <col min="10" max="10" width="20.7109375" style="1707" hidden="1" customWidth="1"/>
    <col min="11" max="11" width="1.7109375" style="121" hidden="1" customWidth="1"/>
    <col min="12" max="12" width="16.7109375" style="121" hidden="1" customWidth="1"/>
    <col min="13" max="13" width="1.7109375" hidden="1" customWidth="1"/>
    <col min="14" max="14" width="20.7109375" customWidth="1"/>
    <col min="15" max="15" width="1.7109375" customWidth="1"/>
    <col min="16" max="16" width="16.7109375" customWidth="1"/>
    <col min="17" max="17" width="1.7109375" customWidth="1"/>
    <col min="18" max="18" width="20.7109375" customWidth="1"/>
    <col min="19" max="19" width="1.7109375" customWidth="1"/>
    <col min="20" max="20" width="16.7109375" customWidth="1"/>
    <col min="21" max="21" width="1.7109375" style="1430" customWidth="1"/>
    <col min="22" max="22" width="20.7109375" style="1430" customWidth="1"/>
    <col min="23" max="23" width="1.7109375" style="1430" customWidth="1"/>
    <col min="24" max="24" width="16.7109375" style="1430" customWidth="1"/>
    <col min="25" max="25" width="1.7109375" style="1430" customWidth="1"/>
    <col min="26" max="26" width="20.7109375" style="1430" customWidth="1"/>
    <col min="27" max="27" width="1.7109375" style="1430" customWidth="1"/>
    <col min="28" max="28" width="16.7109375" style="1430" customWidth="1"/>
    <col min="29" max="29" width="1.7109375" style="1430" customWidth="1"/>
    <col min="30" max="30" width="20.7109375" style="1546" customWidth="1"/>
    <col min="31" max="31" width="1.7109375" style="1546" customWidth="1"/>
    <col min="32" max="32" width="16.7109375" style="1546" customWidth="1"/>
    <col min="33" max="33" width="1.7109375" style="1631" customWidth="1"/>
    <col min="34" max="34" width="20.7109375" style="1631" customWidth="1"/>
    <col min="35" max="35" width="1.7109375" style="1631" customWidth="1"/>
    <col min="36" max="36" width="16.7109375" style="1631" customWidth="1"/>
    <col min="37" max="37" width="20.7109375" style="1430" customWidth="1"/>
    <col min="38" max="38" width="1.7109375" style="1430" customWidth="1"/>
    <col min="39" max="39" width="20.140625" style="1430" customWidth="1"/>
  </cols>
  <sheetData>
    <row r="1" spans="1:39" s="880" customFormat="1" ht="18">
      <c r="A1" s="1168" t="s">
        <v>3461</v>
      </c>
      <c r="B1" s="1170"/>
      <c r="C1" s="1169"/>
      <c r="D1" s="1170"/>
      <c r="E1" s="1171"/>
      <c r="F1" s="1172"/>
      <c r="G1" s="1171"/>
      <c r="H1" s="1173"/>
      <c r="I1" s="1173"/>
      <c r="J1" s="818"/>
      <c r="K1" s="1695"/>
      <c r="L1" s="1696"/>
      <c r="M1" s="1173"/>
      <c r="N1" s="1172"/>
      <c r="O1" s="1171"/>
      <c r="T1" s="1076"/>
      <c r="U1" s="1431"/>
      <c r="V1" s="1431"/>
      <c r="W1" s="1431"/>
      <c r="X1" s="1432"/>
      <c r="Y1" s="1431"/>
      <c r="Z1" s="1431"/>
      <c r="AA1" s="1431"/>
      <c r="AB1" s="1432"/>
      <c r="AC1" s="1431"/>
      <c r="AD1" s="1574"/>
      <c r="AE1" s="1574"/>
      <c r="AF1" s="1575"/>
      <c r="AG1" s="1653"/>
      <c r="AH1" s="1653"/>
      <c r="AI1" s="1653"/>
      <c r="AK1" s="1431"/>
      <c r="AL1" s="1431"/>
      <c r="AM1" s="1773">
        <f>'Data Entry - SOF'!K1</f>
        <v>0</v>
      </c>
    </row>
    <row r="2" spans="1:39" ht="15.75">
      <c r="A2" s="1187" t="s">
        <v>3340</v>
      </c>
      <c r="B2" s="532"/>
      <c r="C2" s="35"/>
      <c r="D2" s="532"/>
      <c r="E2" s="71"/>
      <c r="F2" s="181"/>
      <c r="G2" s="71"/>
      <c r="H2" s="990"/>
      <c r="I2" s="990"/>
      <c r="J2" s="818"/>
      <c r="K2" s="1504"/>
      <c r="L2" s="1697"/>
      <c r="M2" s="990"/>
      <c r="N2" s="181"/>
      <c r="O2" s="71"/>
      <c r="T2" s="1076"/>
      <c r="X2" s="1432"/>
      <c r="AB2" s="1432"/>
      <c r="AF2" s="1575"/>
      <c r="AM2" s="1775">
        <f>'Data Entry - SOF'!K2</f>
        <v>0</v>
      </c>
    </row>
    <row r="3" spans="1:39" ht="15.75">
      <c r="B3" s="532"/>
      <c r="C3" s="35"/>
      <c r="D3" s="532"/>
      <c r="E3" s="71"/>
      <c r="F3" s="181"/>
      <c r="G3" s="71"/>
      <c r="H3" s="990"/>
      <c r="I3" s="990"/>
      <c r="J3" s="818"/>
      <c r="K3" s="1504"/>
      <c r="L3" s="1697"/>
      <c r="M3" s="990"/>
      <c r="N3" s="181"/>
      <c r="O3" s="71"/>
      <c r="T3" s="1076"/>
      <c r="X3" s="1432"/>
      <c r="AB3" s="1432"/>
      <c r="AF3" s="1575"/>
      <c r="AM3" s="1776">
        <f>'Data Entry - SOF'!K3</f>
        <v>0</v>
      </c>
    </row>
    <row r="4" spans="1:39" s="1076" customFormat="1" ht="15.75">
      <c r="A4" s="1191" t="s">
        <v>3480</v>
      </c>
      <c r="B4" s="1228"/>
      <c r="C4" s="1131"/>
      <c r="D4" s="1228"/>
      <c r="E4" s="1116"/>
      <c r="F4" s="1229"/>
      <c r="G4" s="1116"/>
      <c r="H4" s="1230"/>
      <c r="I4" s="1230"/>
      <c r="J4" s="818"/>
      <c r="K4" s="1698"/>
      <c r="L4" s="992"/>
      <c r="M4" s="1230"/>
      <c r="N4" s="1229"/>
      <c r="O4" s="1116"/>
      <c r="P4" s="1230"/>
      <c r="U4" s="1432"/>
      <c r="V4" s="1432"/>
      <c r="W4" s="1432"/>
      <c r="X4" s="1432"/>
      <c r="Y4" s="1432"/>
      <c r="Z4" s="1432"/>
      <c r="AA4" s="1432"/>
      <c r="AB4" s="1432"/>
      <c r="AC4" s="1432"/>
      <c r="AD4" s="1575"/>
      <c r="AE4" s="1575"/>
      <c r="AF4" s="1575"/>
      <c r="AG4" s="1654"/>
      <c r="AH4" s="1654"/>
      <c r="AI4" s="1654"/>
      <c r="AJ4" s="1654"/>
      <c r="AK4" s="1432"/>
      <c r="AL4" s="1432"/>
      <c r="AM4" s="1432"/>
    </row>
    <row r="5" spans="1:39" s="1076" customFormat="1" ht="12.75" customHeight="1">
      <c r="A5" s="1191" t="s">
        <v>4749</v>
      </c>
      <c r="B5" s="1228"/>
      <c r="C5" s="1131"/>
      <c r="D5" s="1228"/>
      <c r="E5" s="1116"/>
      <c r="F5" s="1229"/>
      <c r="G5" s="1116"/>
      <c r="H5" s="1230"/>
      <c r="I5" s="1230"/>
      <c r="J5" s="818"/>
      <c r="K5" s="1698"/>
      <c r="L5" s="992"/>
      <c r="M5" s="1230"/>
      <c r="N5" s="1229"/>
      <c r="O5" s="1116"/>
      <c r="P5" s="1230"/>
      <c r="U5" s="1432"/>
      <c r="V5" s="1432"/>
      <c r="W5" s="1432"/>
      <c r="X5" s="1432"/>
      <c r="Y5" s="1432"/>
      <c r="Z5" s="1432"/>
      <c r="AA5" s="1432"/>
      <c r="AB5" s="1432"/>
      <c r="AC5" s="1432"/>
      <c r="AD5" s="1575"/>
      <c r="AE5" s="1575"/>
      <c r="AF5" s="1575"/>
      <c r="AG5" s="1654"/>
      <c r="AH5" s="1654"/>
      <c r="AI5" s="1654"/>
      <c r="AJ5" s="1654"/>
      <c r="AK5" s="1432"/>
      <c r="AL5" s="1432"/>
      <c r="AM5" s="1432"/>
    </row>
    <row r="6" spans="1:39" s="1076" customFormat="1" ht="15.75">
      <c r="A6" s="1191" t="s">
        <v>4750</v>
      </c>
      <c r="B6" s="1228"/>
      <c r="C6" s="1131"/>
      <c r="D6" s="1228"/>
      <c r="E6" s="1116"/>
      <c r="F6" s="1229"/>
      <c r="G6" s="1116"/>
      <c r="H6" s="1230"/>
      <c r="I6" s="1230"/>
      <c r="J6" s="818"/>
      <c r="K6" s="1698"/>
      <c r="L6" s="992"/>
      <c r="M6" s="1230"/>
      <c r="N6" s="1229"/>
      <c r="O6" s="1116"/>
      <c r="P6" s="1230"/>
      <c r="U6" s="1432"/>
      <c r="V6" s="1432"/>
      <c r="W6" s="1432"/>
      <c r="X6" s="1432"/>
      <c r="Y6" s="1432"/>
      <c r="Z6" s="1432"/>
      <c r="AA6" s="1432"/>
      <c r="AB6" s="1432"/>
      <c r="AC6" s="1432"/>
      <c r="AD6" s="1575"/>
      <c r="AE6" s="1575"/>
      <c r="AF6" s="1575"/>
      <c r="AG6" s="1654"/>
      <c r="AH6" s="1654"/>
      <c r="AI6" s="1654"/>
      <c r="AJ6" s="1654"/>
      <c r="AK6" s="1432"/>
      <c r="AL6" s="1432"/>
      <c r="AM6" s="1432"/>
    </row>
    <row r="7" spans="1:39" ht="15.75">
      <c r="A7" s="1795" t="s">
        <v>4751</v>
      </c>
    </row>
    <row r="9" spans="1:39" s="880" customFormat="1" ht="18">
      <c r="A9" s="2251"/>
      <c r="B9" s="1279" t="s">
        <v>195</v>
      </c>
      <c r="C9" s="1347"/>
      <c r="D9" s="1279" t="s">
        <v>195</v>
      </c>
      <c r="E9" s="1351"/>
      <c r="F9" s="1279" t="s">
        <v>196</v>
      </c>
      <c r="G9" s="1347"/>
      <c r="H9" s="1279" t="s">
        <v>196</v>
      </c>
      <c r="I9" s="1351"/>
      <c r="J9" s="1705" t="s">
        <v>197</v>
      </c>
      <c r="K9" s="1700"/>
      <c r="L9" s="1699" t="s">
        <v>197</v>
      </c>
      <c r="M9" s="1351"/>
      <c r="N9" s="1279" t="s">
        <v>3561</v>
      </c>
      <c r="O9" s="1347"/>
      <c r="P9" s="1279" t="s">
        <v>3561</v>
      </c>
      <c r="Q9" s="1433"/>
      <c r="R9" s="1434" t="s">
        <v>3613</v>
      </c>
      <c r="S9" s="1435"/>
      <c r="T9" s="1434" t="s">
        <v>3613</v>
      </c>
      <c r="U9" s="1433"/>
      <c r="V9" s="2027" t="s">
        <v>3673</v>
      </c>
      <c r="W9" s="2028"/>
      <c r="X9" s="2027" t="s">
        <v>3673</v>
      </c>
      <c r="Y9" s="1433"/>
      <c r="Z9" s="1576" t="s">
        <v>3830</v>
      </c>
      <c r="AA9" s="1577"/>
      <c r="AB9" s="1576" t="s">
        <v>3830</v>
      </c>
      <c r="AC9" s="1655"/>
      <c r="AD9" s="1656" t="s">
        <v>3903</v>
      </c>
      <c r="AE9" s="1657"/>
      <c r="AF9" s="1656" t="s">
        <v>3903</v>
      </c>
      <c r="AG9" s="1434" t="s">
        <v>4592</v>
      </c>
      <c r="AH9" s="1435"/>
      <c r="AI9" s="1434" t="s">
        <v>4592</v>
      </c>
    </row>
    <row r="10" spans="1:39" s="880" customFormat="1" ht="18">
      <c r="A10" s="2250" t="s">
        <v>3462</v>
      </c>
      <c r="B10" s="1280" t="s">
        <v>3463</v>
      </c>
      <c r="C10" s="1348"/>
      <c r="D10" s="1280" t="s">
        <v>3464</v>
      </c>
      <c r="E10" s="1352"/>
      <c r="F10" s="1280" t="s">
        <v>3463</v>
      </c>
      <c r="G10" s="1348"/>
      <c r="H10" s="1280" t="s">
        <v>3464</v>
      </c>
      <c r="I10" s="1352"/>
      <c r="J10" s="1706" t="s">
        <v>3463</v>
      </c>
      <c r="K10" s="1702"/>
      <c r="L10" s="1701" t="s">
        <v>3464</v>
      </c>
      <c r="M10" s="1352"/>
      <c r="N10" s="1280" t="s">
        <v>3463</v>
      </c>
      <c r="O10" s="1348"/>
      <c r="P10" s="1280" t="s">
        <v>3464</v>
      </c>
      <c r="Q10" s="1436"/>
      <c r="R10" s="1437" t="s">
        <v>3463</v>
      </c>
      <c r="S10" s="1438"/>
      <c r="T10" s="1437" t="s">
        <v>3464</v>
      </c>
      <c r="U10" s="1436"/>
      <c r="V10" s="2029" t="s">
        <v>3463</v>
      </c>
      <c r="W10" s="2030"/>
      <c r="X10" s="2029" t="s">
        <v>3464</v>
      </c>
      <c r="Y10" s="1436"/>
      <c r="Z10" s="1578" t="s">
        <v>3463</v>
      </c>
      <c r="AA10" s="1579"/>
      <c r="AB10" s="1578" t="s">
        <v>3464</v>
      </c>
      <c r="AC10" s="1658"/>
      <c r="AD10" s="1659" t="s">
        <v>3463</v>
      </c>
      <c r="AE10" s="1660"/>
      <c r="AF10" s="1659" t="s">
        <v>3464</v>
      </c>
      <c r="AG10" s="1437" t="s">
        <v>3463</v>
      </c>
      <c r="AH10" s="1438"/>
      <c r="AI10" s="1437" t="s">
        <v>3464</v>
      </c>
    </row>
    <row r="11" spans="1:39" s="1076" customFormat="1" ht="18" hidden="1">
      <c r="A11" s="1078" t="s">
        <v>6457</v>
      </c>
      <c r="B11" s="1213" t="e">
        <f>IFA!#REF!</f>
        <v>#REF!</v>
      </c>
      <c r="C11" s="1349"/>
      <c r="D11" s="1214" t="e">
        <f>IFA!#REF!</f>
        <v>#REF!</v>
      </c>
      <c r="E11" s="1352"/>
      <c r="F11" s="1215" t="e">
        <f>B11</f>
        <v>#REF!</v>
      </c>
      <c r="G11" s="1349"/>
      <c r="H11" s="1215" t="e">
        <f>D11</f>
        <v>#REF!</v>
      </c>
      <c r="I11" s="1352"/>
      <c r="J11" s="1708">
        <f>IF(ISNA('DE1'!G164),0,'DE1'!G164)</f>
        <v>0</v>
      </c>
      <c r="K11" s="1703"/>
      <c r="L11" s="1708">
        <f>IF(ISNA('DE1'!H164),0,'DE1'!H164)</f>
        <v>0</v>
      </c>
      <c r="M11" s="1352"/>
      <c r="N11" s="1267" t="e">
        <f>#REF!</f>
        <v>#REF!</v>
      </c>
      <c r="O11" s="1349"/>
      <c r="P11" s="1267" t="e">
        <f>#REF!</f>
        <v>#REF!</v>
      </c>
      <c r="Q11" s="1436"/>
      <c r="R11" s="1439" t="e">
        <f>N11</f>
        <v>#REF!</v>
      </c>
      <c r="S11" s="1440"/>
      <c r="T11" s="1439" t="e">
        <f>P11</f>
        <v>#REF!</v>
      </c>
      <c r="U11" s="1436"/>
      <c r="V11" s="2031" t="e">
        <f>R11</f>
        <v>#REF!</v>
      </c>
      <c r="W11" s="2032"/>
      <c r="X11" s="2031" t="e">
        <f>T11</f>
        <v>#REF!</v>
      </c>
      <c r="Y11" s="1436"/>
      <c r="Z11" s="1580" t="e">
        <f>V11</f>
        <v>#REF!</v>
      </c>
      <c r="AA11" s="1581"/>
      <c r="AB11" s="1580" t="e">
        <f>X11</f>
        <v>#REF!</v>
      </c>
      <c r="AC11" s="1658"/>
      <c r="AD11" s="1661" t="e">
        <f>Z11</f>
        <v>#REF!</v>
      </c>
      <c r="AE11" s="1662"/>
      <c r="AF11" s="1661" t="e">
        <f>AB11</f>
        <v>#REF!</v>
      </c>
      <c r="AG11" s="1439" t="e">
        <f>AD11</f>
        <v>#REF!</v>
      </c>
      <c r="AH11" s="1440"/>
      <c r="AI11" s="1439" t="e">
        <f>AF11</f>
        <v>#REF!</v>
      </c>
    </row>
    <row r="12" spans="1:39" s="1076" customFormat="1" ht="18" hidden="1">
      <c r="A12" s="1078" t="s">
        <v>6457</v>
      </c>
      <c r="B12" s="1213" t="e">
        <f>IFA!#REF!</f>
        <v>#REF!</v>
      </c>
      <c r="C12" s="1349"/>
      <c r="D12" s="1214" t="e">
        <f>IFA!#REF!</f>
        <v>#REF!</v>
      </c>
      <c r="E12" s="1352"/>
      <c r="F12" s="1215" t="e">
        <f t="shared" ref="F12:F20" si="0">B12</f>
        <v>#REF!</v>
      </c>
      <c r="G12" s="1349"/>
      <c r="H12" s="1215" t="e">
        <f t="shared" ref="H12:H20" si="1">D12</f>
        <v>#REF!</v>
      </c>
      <c r="I12" s="1352"/>
      <c r="J12" s="1708">
        <f>IF(ISNA('DE1'!G165),0,'DE1'!G165)</f>
        <v>0</v>
      </c>
      <c r="K12" s="1703"/>
      <c r="L12" s="1708">
        <f>IF(ISNA('DE1'!H165),0,'DE1'!H165)</f>
        <v>0</v>
      </c>
      <c r="M12" s="1352"/>
      <c r="N12" s="1267" t="e">
        <f>#REF!</f>
        <v>#REF!</v>
      </c>
      <c r="O12" s="1349"/>
      <c r="P12" s="1267" t="e">
        <f>#REF!</f>
        <v>#REF!</v>
      </c>
      <c r="Q12" s="1436"/>
      <c r="R12" s="1439" t="e">
        <f t="shared" ref="R12:R20" si="2">N12</f>
        <v>#REF!</v>
      </c>
      <c r="S12" s="1440"/>
      <c r="T12" s="1439" t="e">
        <f t="shared" ref="T12:T20" si="3">P12</f>
        <v>#REF!</v>
      </c>
      <c r="U12" s="1436"/>
      <c r="V12" s="2031" t="e">
        <f t="shared" ref="V12:V20" si="4">R12</f>
        <v>#REF!</v>
      </c>
      <c r="W12" s="2032"/>
      <c r="X12" s="2031" t="e">
        <f t="shared" ref="X12:X20" si="5">T12</f>
        <v>#REF!</v>
      </c>
      <c r="Y12" s="1436"/>
      <c r="Z12" s="1580" t="e">
        <f t="shared" ref="Z12:Z20" si="6">V12</f>
        <v>#REF!</v>
      </c>
      <c r="AA12" s="1581"/>
      <c r="AB12" s="1580" t="e">
        <f t="shared" ref="AB12:AB20" si="7">X12</f>
        <v>#REF!</v>
      </c>
      <c r="AC12" s="1658"/>
      <c r="AD12" s="1661" t="e">
        <f t="shared" ref="AD12:AD20" si="8">Z12</f>
        <v>#REF!</v>
      </c>
      <c r="AE12" s="1662"/>
      <c r="AF12" s="1661" t="e">
        <f t="shared" ref="AF12:AF20" si="9">AB12</f>
        <v>#REF!</v>
      </c>
      <c r="AG12" s="1439" t="e">
        <f t="shared" ref="AG12:AG25" si="10">AD12</f>
        <v>#REF!</v>
      </c>
      <c r="AH12" s="1440"/>
      <c r="AI12" s="1439" t="e">
        <f t="shared" ref="AI12:AI25" si="11">AF12</f>
        <v>#REF!</v>
      </c>
    </row>
    <row r="13" spans="1:39" s="1076" customFormat="1" ht="18" hidden="1">
      <c r="A13" s="1078" t="s">
        <v>6457</v>
      </c>
      <c r="B13" s="1213" t="e">
        <f>IFA!#REF!</f>
        <v>#REF!</v>
      </c>
      <c r="C13" s="1349"/>
      <c r="D13" s="1214" t="e">
        <f>IFA!#REF!</f>
        <v>#REF!</v>
      </c>
      <c r="E13" s="1352"/>
      <c r="F13" s="1215" t="e">
        <f t="shared" si="0"/>
        <v>#REF!</v>
      </c>
      <c r="G13" s="1349"/>
      <c r="H13" s="1215" t="e">
        <f t="shared" si="1"/>
        <v>#REF!</v>
      </c>
      <c r="I13" s="1352"/>
      <c r="J13" s="1708">
        <f>IF(ISNA('DE1'!G166),0,'DE1'!G166)</f>
        <v>0</v>
      </c>
      <c r="K13" s="1703"/>
      <c r="L13" s="1708">
        <f>IF(ISNA('DE1'!H166),0,'DE1'!H166)</f>
        <v>0</v>
      </c>
      <c r="M13" s="1352"/>
      <c r="N13" s="1267" t="e">
        <f>#REF!</f>
        <v>#REF!</v>
      </c>
      <c r="O13" s="1349"/>
      <c r="P13" s="1267" t="e">
        <f>#REF!</f>
        <v>#REF!</v>
      </c>
      <c r="Q13" s="1436"/>
      <c r="R13" s="1439" t="e">
        <f t="shared" si="2"/>
        <v>#REF!</v>
      </c>
      <c r="S13" s="1440"/>
      <c r="T13" s="1439" t="e">
        <f t="shared" si="3"/>
        <v>#REF!</v>
      </c>
      <c r="U13" s="1436"/>
      <c r="V13" s="2031" t="e">
        <f t="shared" si="4"/>
        <v>#REF!</v>
      </c>
      <c r="W13" s="2032"/>
      <c r="X13" s="2031" t="e">
        <f t="shared" si="5"/>
        <v>#REF!</v>
      </c>
      <c r="Y13" s="1436"/>
      <c r="Z13" s="1580" t="e">
        <f t="shared" si="6"/>
        <v>#REF!</v>
      </c>
      <c r="AA13" s="1581"/>
      <c r="AB13" s="1580" t="e">
        <f t="shared" si="7"/>
        <v>#REF!</v>
      </c>
      <c r="AC13" s="1658"/>
      <c r="AD13" s="1661" t="e">
        <f t="shared" si="8"/>
        <v>#REF!</v>
      </c>
      <c r="AE13" s="1662"/>
      <c r="AF13" s="1661" t="e">
        <f t="shared" si="9"/>
        <v>#REF!</v>
      </c>
      <c r="AG13" s="1439" t="e">
        <f t="shared" si="10"/>
        <v>#REF!</v>
      </c>
      <c r="AH13" s="1440"/>
      <c r="AI13" s="1439" t="e">
        <f t="shared" si="11"/>
        <v>#REF!</v>
      </c>
    </row>
    <row r="14" spans="1:39" s="1076" customFormat="1" ht="18" hidden="1">
      <c r="A14" s="1078" t="s">
        <v>6457</v>
      </c>
      <c r="B14" s="1213" t="e">
        <f>IFA!#REF!</f>
        <v>#REF!</v>
      </c>
      <c r="C14" s="1349"/>
      <c r="D14" s="1214" t="e">
        <f>IFA!#REF!</f>
        <v>#REF!</v>
      </c>
      <c r="E14" s="1352"/>
      <c r="F14" s="1215" t="e">
        <f t="shared" si="0"/>
        <v>#REF!</v>
      </c>
      <c r="G14" s="1349"/>
      <c r="H14" s="1215" t="e">
        <f t="shared" si="1"/>
        <v>#REF!</v>
      </c>
      <c r="I14" s="1352"/>
      <c r="J14" s="1708">
        <f>IF(ISNA('DE1'!G167),0,'DE1'!G167)</f>
        <v>0</v>
      </c>
      <c r="K14" s="1703"/>
      <c r="L14" s="1708">
        <f>IF(ISNA('DE1'!H167),0,'DE1'!H167)</f>
        <v>0</v>
      </c>
      <c r="M14" s="1352"/>
      <c r="N14" s="1267" t="e">
        <f>#REF!</f>
        <v>#REF!</v>
      </c>
      <c r="O14" s="1349"/>
      <c r="P14" s="1267" t="e">
        <f>#REF!</f>
        <v>#REF!</v>
      </c>
      <c r="Q14" s="1436"/>
      <c r="R14" s="1439" t="e">
        <f t="shared" si="2"/>
        <v>#REF!</v>
      </c>
      <c r="S14" s="1440"/>
      <c r="T14" s="1439" t="e">
        <f t="shared" si="3"/>
        <v>#REF!</v>
      </c>
      <c r="U14" s="1436"/>
      <c r="V14" s="2031" t="e">
        <f t="shared" si="4"/>
        <v>#REF!</v>
      </c>
      <c r="W14" s="2032"/>
      <c r="X14" s="2031" t="e">
        <f t="shared" si="5"/>
        <v>#REF!</v>
      </c>
      <c r="Y14" s="1436"/>
      <c r="Z14" s="1580" t="e">
        <f t="shared" si="6"/>
        <v>#REF!</v>
      </c>
      <c r="AA14" s="1581"/>
      <c r="AB14" s="1580" t="e">
        <f t="shared" si="7"/>
        <v>#REF!</v>
      </c>
      <c r="AC14" s="1658"/>
      <c r="AD14" s="1661" t="e">
        <f t="shared" si="8"/>
        <v>#REF!</v>
      </c>
      <c r="AE14" s="1662"/>
      <c r="AF14" s="1661" t="e">
        <f t="shared" si="9"/>
        <v>#REF!</v>
      </c>
      <c r="AG14" s="1439" t="e">
        <f t="shared" si="10"/>
        <v>#REF!</v>
      </c>
      <c r="AH14" s="1440"/>
      <c r="AI14" s="1439" t="e">
        <f t="shared" si="11"/>
        <v>#REF!</v>
      </c>
    </row>
    <row r="15" spans="1:39" s="1076" customFormat="1" ht="18" hidden="1">
      <c r="A15" s="1078" t="s">
        <v>6457</v>
      </c>
      <c r="B15" s="1213" t="e">
        <f>IFA!#REF!</f>
        <v>#REF!</v>
      </c>
      <c r="C15" s="1349"/>
      <c r="D15" s="1214" t="e">
        <f>IFA!#REF!</f>
        <v>#REF!</v>
      </c>
      <c r="E15" s="1352"/>
      <c r="F15" s="1215" t="e">
        <f t="shared" si="0"/>
        <v>#REF!</v>
      </c>
      <c r="G15" s="1349"/>
      <c r="H15" s="1215" t="e">
        <f t="shared" si="1"/>
        <v>#REF!</v>
      </c>
      <c r="I15" s="1352"/>
      <c r="J15" s="1708">
        <f>IF(ISNA('DE1'!G168),0,'DE1'!G168)</f>
        <v>0</v>
      </c>
      <c r="K15" s="1703"/>
      <c r="L15" s="1708">
        <f>IF(ISNA('DE1'!H168),0,'DE1'!H168)</f>
        <v>0</v>
      </c>
      <c r="M15" s="1352"/>
      <c r="N15" s="1267" t="e">
        <f>#REF!</f>
        <v>#REF!</v>
      </c>
      <c r="O15" s="1349"/>
      <c r="P15" s="1267" t="e">
        <f>#REF!</f>
        <v>#REF!</v>
      </c>
      <c r="Q15" s="1436"/>
      <c r="R15" s="1439" t="e">
        <f t="shared" si="2"/>
        <v>#REF!</v>
      </c>
      <c r="S15" s="1440"/>
      <c r="T15" s="1439" t="e">
        <f t="shared" si="3"/>
        <v>#REF!</v>
      </c>
      <c r="U15" s="1436"/>
      <c r="V15" s="2031" t="e">
        <f t="shared" si="4"/>
        <v>#REF!</v>
      </c>
      <c r="W15" s="2032"/>
      <c r="X15" s="2031" t="e">
        <f t="shared" si="5"/>
        <v>#REF!</v>
      </c>
      <c r="Y15" s="1436"/>
      <c r="Z15" s="1580" t="e">
        <f t="shared" si="6"/>
        <v>#REF!</v>
      </c>
      <c r="AA15" s="1581"/>
      <c r="AB15" s="1580" t="e">
        <f t="shared" si="7"/>
        <v>#REF!</v>
      </c>
      <c r="AC15" s="1658"/>
      <c r="AD15" s="1661" t="e">
        <f t="shared" si="8"/>
        <v>#REF!</v>
      </c>
      <c r="AE15" s="1662"/>
      <c r="AF15" s="1661" t="e">
        <f t="shared" si="9"/>
        <v>#REF!</v>
      </c>
      <c r="AG15" s="1439" t="e">
        <f t="shared" si="10"/>
        <v>#REF!</v>
      </c>
      <c r="AH15" s="1440"/>
      <c r="AI15" s="1439" t="e">
        <f t="shared" si="11"/>
        <v>#REF!</v>
      </c>
    </row>
    <row r="16" spans="1:39" s="1076" customFormat="1" ht="18" hidden="1">
      <c r="A16" s="1078" t="s">
        <v>6457</v>
      </c>
      <c r="B16" s="1213" t="e">
        <f>IFA!#REF!</f>
        <v>#REF!</v>
      </c>
      <c r="C16" s="1349"/>
      <c r="D16" s="1214" t="e">
        <f>IFA!#REF!</f>
        <v>#REF!</v>
      </c>
      <c r="E16" s="1352"/>
      <c r="F16" s="1215" t="e">
        <f t="shared" si="0"/>
        <v>#REF!</v>
      </c>
      <c r="G16" s="1349"/>
      <c r="H16" s="1215" t="e">
        <f t="shared" si="1"/>
        <v>#REF!</v>
      </c>
      <c r="I16" s="1352"/>
      <c r="J16" s="1708">
        <f>IF(ISNA('DE1'!G169),0,'DE1'!G169)</f>
        <v>0</v>
      </c>
      <c r="K16" s="1703"/>
      <c r="L16" s="1708">
        <f>IF(ISNA('DE1'!H169),0,'DE1'!H169)</f>
        <v>0</v>
      </c>
      <c r="M16" s="1352"/>
      <c r="N16" s="1267" t="e">
        <f>#REF!</f>
        <v>#REF!</v>
      </c>
      <c r="O16" s="1349"/>
      <c r="P16" s="1267" t="e">
        <f>#REF!</f>
        <v>#REF!</v>
      </c>
      <c r="Q16" s="1436"/>
      <c r="R16" s="1439" t="e">
        <f t="shared" si="2"/>
        <v>#REF!</v>
      </c>
      <c r="S16" s="1440"/>
      <c r="T16" s="1439" t="e">
        <f t="shared" si="3"/>
        <v>#REF!</v>
      </c>
      <c r="U16" s="1436"/>
      <c r="V16" s="2031" t="e">
        <f t="shared" si="4"/>
        <v>#REF!</v>
      </c>
      <c r="W16" s="2032"/>
      <c r="X16" s="2031" t="e">
        <f t="shared" si="5"/>
        <v>#REF!</v>
      </c>
      <c r="Y16" s="1436"/>
      <c r="Z16" s="1580" t="e">
        <f t="shared" si="6"/>
        <v>#REF!</v>
      </c>
      <c r="AA16" s="1581"/>
      <c r="AB16" s="1580" t="e">
        <f t="shared" si="7"/>
        <v>#REF!</v>
      </c>
      <c r="AC16" s="1658"/>
      <c r="AD16" s="1661" t="e">
        <f t="shared" si="8"/>
        <v>#REF!</v>
      </c>
      <c r="AE16" s="1662"/>
      <c r="AF16" s="1661" t="e">
        <f t="shared" si="9"/>
        <v>#REF!</v>
      </c>
      <c r="AG16" s="1439" t="e">
        <f t="shared" si="10"/>
        <v>#REF!</v>
      </c>
      <c r="AH16" s="1440"/>
      <c r="AI16" s="1439" t="e">
        <f t="shared" si="11"/>
        <v>#REF!</v>
      </c>
    </row>
    <row r="17" spans="1:35" s="1076" customFormat="1" ht="18" hidden="1">
      <c r="A17" s="1078" t="s">
        <v>6457</v>
      </c>
      <c r="B17" s="1213" t="e">
        <f>IFA!#REF!</f>
        <v>#REF!</v>
      </c>
      <c r="C17" s="1349"/>
      <c r="D17" s="1214" t="e">
        <f>IFA!#REF!</f>
        <v>#REF!</v>
      </c>
      <c r="E17" s="1352"/>
      <c r="F17" s="1215" t="e">
        <f t="shared" si="0"/>
        <v>#REF!</v>
      </c>
      <c r="G17" s="1349"/>
      <c r="H17" s="1215" t="e">
        <f t="shared" si="1"/>
        <v>#REF!</v>
      </c>
      <c r="I17" s="1352"/>
      <c r="J17" s="1708">
        <f>IF(ISNA('DE1'!G170),0,'DE1'!G170)</f>
        <v>0</v>
      </c>
      <c r="K17" s="1703"/>
      <c r="L17" s="1708">
        <f>IF(ISNA('DE1'!H170),0,'DE1'!H170)</f>
        <v>0</v>
      </c>
      <c r="M17" s="1352"/>
      <c r="N17" s="1267" t="e">
        <f>#REF!</f>
        <v>#REF!</v>
      </c>
      <c r="O17" s="1349"/>
      <c r="P17" s="1267" t="e">
        <f>#REF!</f>
        <v>#REF!</v>
      </c>
      <c r="Q17" s="1436"/>
      <c r="R17" s="1439" t="e">
        <f t="shared" si="2"/>
        <v>#REF!</v>
      </c>
      <c r="S17" s="1440"/>
      <c r="T17" s="1439" t="e">
        <f t="shared" si="3"/>
        <v>#REF!</v>
      </c>
      <c r="U17" s="1436"/>
      <c r="V17" s="2031" t="e">
        <f t="shared" si="4"/>
        <v>#REF!</v>
      </c>
      <c r="W17" s="2032"/>
      <c r="X17" s="2031" t="e">
        <f t="shared" si="5"/>
        <v>#REF!</v>
      </c>
      <c r="Y17" s="1436"/>
      <c r="Z17" s="1580" t="e">
        <f t="shared" si="6"/>
        <v>#REF!</v>
      </c>
      <c r="AA17" s="1581"/>
      <c r="AB17" s="1580" t="e">
        <f t="shared" si="7"/>
        <v>#REF!</v>
      </c>
      <c r="AC17" s="1658"/>
      <c r="AD17" s="1661" t="e">
        <f t="shared" si="8"/>
        <v>#REF!</v>
      </c>
      <c r="AE17" s="1662"/>
      <c r="AF17" s="1661" t="e">
        <f t="shared" si="9"/>
        <v>#REF!</v>
      </c>
      <c r="AG17" s="1439" t="e">
        <f t="shared" si="10"/>
        <v>#REF!</v>
      </c>
      <c r="AH17" s="1440"/>
      <c r="AI17" s="1439" t="e">
        <f t="shared" si="11"/>
        <v>#REF!</v>
      </c>
    </row>
    <row r="18" spans="1:35" s="1076" customFormat="1" ht="18" hidden="1">
      <c r="A18" s="1078" t="s">
        <v>6457</v>
      </c>
      <c r="B18" s="1213" t="e">
        <f>IFA!#REF!</f>
        <v>#REF!</v>
      </c>
      <c r="C18" s="1349"/>
      <c r="D18" s="1214" t="e">
        <f>IFA!#REF!</f>
        <v>#REF!</v>
      </c>
      <c r="E18" s="1352"/>
      <c r="F18" s="1215" t="e">
        <f t="shared" si="0"/>
        <v>#REF!</v>
      </c>
      <c r="G18" s="1349"/>
      <c r="H18" s="1215" t="e">
        <f t="shared" si="1"/>
        <v>#REF!</v>
      </c>
      <c r="I18" s="1352"/>
      <c r="J18" s="1708">
        <f>IF(ISNA('DE1'!G171),0,'DE1'!G171)</f>
        <v>0</v>
      </c>
      <c r="K18" s="1703"/>
      <c r="L18" s="1708">
        <f>IF(ISNA('DE1'!H171),0,'DE1'!H171)</f>
        <v>0</v>
      </c>
      <c r="M18" s="1352"/>
      <c r="N18" s="1267" t="e">
        <f>#REF!</f>
        <v>#REF!</v>
      </c>
      <c r="O18" s="1349"/>
      <c r="P18" s="1267" t="e">
        <f>#REF!</f>
        <v>#REF!</v>
      </c>
      <c r="Q18" s="1436"/>
      <c r="R18" s="1439" t="e">
        <f t="shared" si="2"/>
        <v>#REF!</v>
      </c>
      <c r="S18" s="1440"/>
      <c r="T18" s="1439" t="e">
        <f t="shared" si="3"/>
        <v>#REF!</v>
      </c>
      <c r="U18" s="1436"/>
      <c r="V18" s="2031" t="e">
        <f t="shared" si="4"/>
        <v>#REF!</v>
      </c>
      <c r="W18" s="2032"/>
      <c r="X18" s="2031" t="e">
        <f t="shared" si="5"/>
        <v>#REF!</v>
      </c>
      <c r="Y18" s="1436"/>
      <c r="Z18" s="1580" t="e">
        <f t="shared" si="6"/>
        <v>#REF!</v>
      </c>
      <c r="AA18" s="1581"/>
      <c r="AB18" s="1580" t="e">
        <f t="shared" si="7"/>
        <v>#REF!</v>
      </c>
      <c r="AC18" s="1658"/>
      <c r="AD18" s="1661" t="e">
        <f t="shared" si="8"/>
        <v>#REF!</v>
      </c>
      <c r="AE18" s="1662"/>
      <c r="AF18" s="1661" t="e">
        <f t="shared" si="9"/>
        <v>#REF!</v>
      </c>
      <c r="AG18" s="1439" t="e">
        <f t="shared" si="10"/>
        <v>#REF!</v>
      </c>
      <c r="AH18" s="1440"/>
      <c r="AI18" s="1439" t="e">
        <f t="shared" si="11"/>
        <v>#REF!</v>
      </c>
    </row>
    <row r="19" spans="1:35" s="1076" customFormat="1" ht="18" hidden="1">
      <c r="A19" s="1078" t="s">
        <v>6457</v>
      </c>
      <c r="B19" s="1213" t="e">
        <f>IFA!#REF!</f>
        <v>#REF!</v>
      </c>
      <c r="C19" s="1349"/>
      <c r="D19" s="1214" t="e">
        <f>IFA!#REF!</f>
        <v>#REF!</v>
      </c>
      <c r="E19" s="1352"/>
      <c r="F19" s="1215" t="e">
        <f t="shared" si="0"/>
        <v>#REF!</v>
      </c>
      <c r="G19" s="1349"/>
      <c r="H19" s="1215" t="e">
        <f t="shared" si="1"/>
        <v>#REF!</v>
      </c>
      <c r="I19" s="1352"/>
      <c r="J19" s="1708">
        <f>IF(ISNA('DE1'!G172),0,'DE1'!G172)</f>
        <v>0</v>
      </c>
      <c r="K19" s="1703"/>
      <c r="L19" s="1708">
        <f>IF(ISNA('DE1'!H172),0,'DE1'!H172)</f>
        <v>0</v>
      </c>
      <c r="M19" s="1352"/>
      <c r="N19" s="1267" t="e">
        <f>#REF!</f>
        <v>#REF!</v>
      </c>
      <c r="O19" s="1349"/>
      <c r="P19" s="1267" t="e">
        <f>#REF!</f>
        <v>#REF!</v>
      </c>
      <c r="Q19" s="1436"/>
      <c r="R19" s="1439" t="e">
        <f t="shared" si="2"/>
        <v>#REF!</v>
      </c>
      <c r="S19" s="1440"/>
      <c r="T19" s="1439" t="e">
        <f t="shared" si="3"/>
        <v>#REF!</v>
      </c>
      <c r="U19" s="1436"/>
      <c r="V19" s="2031" t="e">
        <f t="shared" si="4"/>
        <v>#REF!</v>
      </c>
      <c r="W19" s="2032"/>
      <c r="X19" s="2031" t="e">
        <f t="shared" si="5"/>
        <v>#REF!</v>
      </c>
      <c r="Y19" s="1436"/>
      <c r="Z19" s="1580" t="e">
        <f t="shared" si="6"/>
        <v>#REF!</v>
      </c>
      <c r="AA19" s="1581"/>
      <c r="AB19" s="1580" t="e">
        <f t="shared" si="7"/>
        <v>#REF!</v>
      </c>
      <c r="AC19" s="1658"/>
      <c r="AD19" s="1661" t="e">
        <f t="shared" si="8"/>
        <v>#REF!</v>
      </c>
      <c r="AE19" s="1662"/>
      <c r="AF19" s="1661" t="e">
        <f t="shared" si="9"/>
        <v>#REF!</v>
      </c>
      <c r="AG19" s="1439" t="e">
        <f t="shared" si="10"/>
        <v>#REF!</v>
      </c>
      <c r="AH19" s="1440"/>
      <c r="AI19" s="1439" t="e">
        <f t="shared" si="11"/>
        <v>#REF!</v>
      </c>
    </row>
    <row r="20" spans="1:35" s="1076" customFormat="1" ht="18" hidden="1">
      <c r="A20" s="1078" t="s">
        <v>6457</v>
      </c>
      <c r="B20" s="1217" t="e">
        <f>IFA!#REF!</f>
        <v>#REF!</v>
      </c>
      <c r="C20" s="1350"/>
      <c r="D20" s="1218" t="e">
        <f>IFA!#REF!</f>
        <v>#REF!</v>
      </c>
      <c r="E20" s="1352"/>
      <c r="F20" s="1219" t="e">
        <f t="shared" si="0"/>
        <v>#REF!</v>
      </c>
      <c r="G20" s="1350"/>
      <c r="H20" s="1219" t="e">
        <f t="shared" si="1"/>
        <v>#REF!</v>
      </c>
      <c r="I20" s="1352"/>
      <c r="J20" s="1708">
        <f>IF(ISNA('DE1'!G173),0,'DE1'!G173)</f>
        <v>0</v>
      </c>
      <c r="K20" s="1704"/>
      <c r="L20" s="1708">
        <f>IF(ISNA('DE1'!H173),0,'DE1'!H173)</f>
        <v>0</v>
      </c>
      <c r="M20" s="1352"/>
      <c r="N20" s="1267" t="e">
        <f>#REF!</f>
        <v>#REF!</v>
      </c>
      <c r="O20" s="1350"/>
      <c r="P20" s="1267" t="e">
        <f>#REF!</f>
        <v>#REF!</v>
      </c>
      <c r="Q20" s="1436"/>
      <c r="R20" s="1441" t="e">
        <f t="shared" si="2"/>
        <v>#REF!</v>
      </c>
      <c r="S20" s="1442"/>
      <c r="T20" s="1441" t="e">
        <f t="shared" si="3"/>
        <v>#REF!</v>
      </c>
      <c r="U20" s="1436"/>
      <c r="V20" s="2033" t="e">
        <f t="shared" si="4"/>
        <v>#REF!</v>
      </c>
      <c r="W20" s="2034"/>
      <c r="X20" s="2033" t="e">
        <f t="shared" si="5"/>
        <v>#REF!</v>
      </c>
      <c r="Y20" s="1436"/>
      <c r="Z20" s="1582" t="e">
        <f t="shared" si="6"/>
        <v>#REF!</v>
      </c>
      <c r="AA20" s="1583"/>
      <c r="AB20" s="1582" t="e">
        <f t="shared" si="7"/>
        <v>#REF!</v>
      </c>
      <c r="AC20" s="1658"/>
      <c r="AD20" s="1663" t="e">
        <f t="shared" si="8"/>
        <v>#REF!</v>
      </c>
      <c r="AE20" s="1664"/>
      <c r="AF20" s="1663" t="e">
        <f t="shared" si="9"/>
        <v>#REF!</v>
      </c>
      <c r="AG20" s="1439" t="e">
        <f t="shared" si="10"/>
        <v>#REF!</v>
      </c>
      <c r="AH20" s="1442"/>
      <c r="AI20" s="1439" t="e">
        <f t="shared" si="11"/>
        <v>#REF!</v>
      </c>
    </row>
    <row r="21" spans="1:35" s="1076" customFormat="1" ht="18" hidden="1">
      <c r="A21" s="1078" t="s">
        <v>6457</v>
      </c>
      <c r="B21" s="1217"/>
      <c r="C21" s="1350"/>
      <c r="D21" s="1218"/>
      <c r="E21" s="1352"/>
      <c r="F21" s="1219"/>
      <c r="G21" s="1350"/>
      <c r="H21" s="1219"/>
      <c r="I21" s="1352"/>
      <c r="J21" s="1708">
        <v>0</v>
      </c>
      <c r="K21" s="1704"/>
      <c r="L21" s="1708">
        <v>0</v>
      </c>
      <c r="M21" s="1352"/>
      <c r="N21" s="1267">
        <v>0</v>
      </c>
      <c r="O21" s="1350"/>
      <c r="P21" s="1267">
        <v>0</v>
      </c>
      <c r="Q21" s="1436"/>
      <c r="R21" s="1441">
        <v>0</v>
      </c>
      <c r="S21" s="1442"/>
      <c r="T21" s="1441">
        <v>0</v>
      </c>
      <c r="U21" s="1436"/>
      <c r="V21" s="2033">
        <v>0</v>
      </c>
      <c r="W21" s="2034"/>
      <c r="X21" s="2033">
        <v>0</v>
      </c>
      <c r="Y21" s="1436"/>
      <c r="Z21" s="1582">
        <v>0</v>
      </c>
      <c r="AA21" s="1583"/>
      <c r="AB21" s="1582">
        <v>0</v>
      </c>
      <c r="AC21" s="1658"/>
      <c r="AD21" s="1663">
        <v>0</v>
      </c>
      <c r="AE21" s="1664"/>
      <c r="AF21" s="1663">
        <v>0</v>
      </c>
      <c r="AG21" s="1439">
        <f t="shared" si="10"/>
        <v>0</v>
      </c>
      <c r="AH21" s="1442"/>
      <c r="AI21" s="1439">
        <f t="shared" si="11"/>
        <v>0</v>
      </c>
    </row>
    <row r="22" spans="1:35" s="1076" customFormat="1" ht="18" hidden="1">
      <c r="A22" s="1078" t="s">
        <v>6457</v>
      </c>
      <c r="B22" s="1217"/>
      <c r="C22" s="1350"/>
      <c r="D22" s="1218"/>
      <c r="E22" s="1352"/>
      <c r="F22" s="1219"/>
      <c r="G22" s="1350"/>
      <c r="H22" s="1219"/>
      <c r="I22" s="1352"/>
      <c r="J22" s="1708">
        <v>0</v>
      </c>
      <c r="K22" s="1704"/>
      <c r="L22" s="1708">
        <v>0</v>
      </c>
      <c r="M22" s="1352"/>
      <c r="N22" s="1267">
        <v>0</v>
      </c>
      <c r="O22" s="1350"/>
      <c r="P22" s="1267">
        <v>0</v>
      </c>
      <c r="Q22" s="1436"/>
      <c r="R22" s="1441">
        <v>0</v>
      </c>
      <c r="S22" s="1442"/>
      <c r="T22" s="1441">
        <v>0</v>
      </c>
      <c r="U22" s="1436"/>
      <c r="V22" s="2033">
        <v>0</v>
      </c>
      <c r="W22" s="2034"/>
      <c r="X22" s="2033">
        <v>0</v>
      </c>
      <c r="Y22" s="1436"/>
      <c r="Z22" s="1582">
        <v>0</v>
      </c>
      <c r="AA22" s="1583"/>
      <c r="AB22" s="1582">
        <v>0</v>
      </c>
      <c r="AC22" s="1658"/>
      <c r="AD22" s="1663">
        <v>0</v>
      </c>
      <c r="AE22" s="1664"/>
      <c r="AF22" s="1663">
        <v>0</v>
      </c>
      <c r="AG22" s="1439">
        <f t="shared" si="10"/>
        <v>0</v>
      </c>
      <c r="AH22" s="1442"/>
      <c r="AI22" s="1439">
        <f t="shared" si="11"/>
        <v>0</v>
      </c>
    </row>
    <row r="23" spans="1:35" s="1076" customFormat="1" ht="18" hidden="1">
      <c r="A23" s="1078" t="s">
        <v>6457</v>
      </c>
      <c r="B23" s="1217"/>
      <c r="C23" s="1350"/>
      <c r="D23" s="1218"/>
      <c r="E23" s="1352"/>
      <c r="F23" s="1219"/>
      <c r="G23" s="1350"/>
      <c r="H23" s="1219"/>
      <c r="I23" s="1352"/>
      <c r="J23" s="1708">
        <v>0</v>
      </c>
      <c r="K23" s="1704"/>
      <c r="L23" s="1708">
        <v>0</v>
      </c>
      <c r="M23" s="1352"/>
      <c r="N23" s="1267">
        <v>0</v>
      </c>
      <c r="O23" s="1350"/>
      <c r="P23" s="1267">
        <v>0</v>
      </c>
      <c r="Q23" s="1436"/>
      <c r="R23" s="1441">
        <v>0</v>
      </c>
      <c r="S23" s="1442"/>
      <c r="T23" s="1441">
        <v>0</v>
      </c>
      <c r="U23" s="1436"/>
      <c r="V23" s="2033">
        <v>0</v>
      </c>
      <c r="W23" s="2034"/>
      <c r="X23" s="2033">
        <v>0</v>
      </c>
      <c r="Y23" s="1436"/>
      <c r="Z23" s="1582">
        <v>0</v>
      </c>
      <c r="AA23" s="1583"/>
      <c r="AB23" s="1582">
        <v>0</v>
      </c>
      <c r="AC23" s="1658"/>
      <c r="AD23" s="1663">
        <v>0</v>
      </c>
      <c r="AE23" s="1664"/>
      <c r="AF23" s="1663">
        <v>0</v>
      </c>
      <c r="AG23" s="1439">
        <f t="shared" si="10"/>
        <v>0</v>
      </c>
      <c r="AH23" s="1442"/>
      <c r="AI23" s="1439">
        <f t="shared" si="11"/>
        <v>0</v>
      </c>
    </row>
    <row r="24" spans="1:35" s="1076" customFormat="1" ht="18" hidden="1">
      <c r="A24" s="1078" t="s">
        <v>6457</v>
      </c>
      <c r="B24" s="1217"/>
      <c r="C24" s="1350"/>
      <c r="D24" s="1218"/>
      <c r="E24" s="1352"/>
      <c r="F24" s="1219"/>
      <c r="G24" s="1350"/>
      <c r="H24" s="1219"/>
      <c r="I24" s="1352"/>
      <c r="J24" s="1708">
        <v>0</v>
      </c>
      <c r="K24" s="1704"/>
      <c r="L24" s="1708">
        <v>0</v>
      </c>
      <c r="M24" s="1352"/>
      <c r="N24" s="1267">
        <v>0</v>
      </c>
      <c r="O24" s="1350"/>
      <c r="P24" s="1267">
        <v>0</v>
      </c>
      <c r="Q24" s="1436"/>
      <c r="R24" s="1441">
        <v>0</v>
      </c>
      <c r="S24" s="1442"/>
      <c r="T24" s="1441">
        <v>0</v>
      </c>
      <c r="U24" s="1436"/>
      <c r="V24" s="2033">
        <v>0</v>
      </c>
      <c r="W24" s="2034"/>
      <c r="X24" s="2033">
        <v>0</v>
      </c>
      <c r="Y24" s="1436"/>
      <c r="Z24" s="1582">
        <v>0</v>
      </c>
      <c r="AA24" s="1583"/>
      <c r="AB24" s="1582">
        <v>0</v>
      </c>
      <c r="AC24" s="1658"/>
      <c r="AD24" s="1663">
        <v>0</v>
      </c>
      <c r="AE24" s="1664"/>
      <c r="AF24" s="1663">
        <v>0</v>
      </c>
      <c r="AG24" s="1439">
        <f t="shared" si="10"/>
        <v>0</v>
      </c>
      <c r="AH24" s="1442"/>
      <c r="AI24" s="1439">
        <f t="shared" si="11"/>
        <v>0</v>
      </c>
    </row>
    <row r="25" spans="1:35" s="1076" customFormat="1" ht="18" hidden="1">
      <c r="A25" s="1078" t="s">
        <v>6457</v>
      </c>
      <c r="B25" s="1217"/>
      <c r="C25" s="1350"/>
      <c r="D25" s="1218"/>
      <c r="E25" s="1352"/>
      <c r="F25" s="1219"/>
      <c r="G25" s="1350"/>
      <c r="H25" s="1219"/>
      <c r="I25" s="1352"/>
      <c r="J25" s="1708">
        <v>0</v>
      </c>
      <c r="K25" s="1704"/>
      <c r="L25" s="1708">
        <v>0</v>
      </c>
      <c r="M25" s="1352"/>
      <c r="N25" s="1267">
        <v>0</v>
      </c>
      <c r="O25" s="1350"/>
      <c r="P25" s="1267">
        <v>0</v>
      </c>
      <c r="Q25" s="1436"/>
      <c r="R25" s="1441">
        <v>0</v>
      </c>
      <c r="S25" s="1442"/>
      <c r="T25" s="1441">
        <v>0</v>
      </c>
      <c r="U25" s="1436"/>
      <c r="V25" s="2033">
        <v>0</v>
      </c>
      <c r="W25" s="2034"/>
      <c r="X25" s="2033">
        <v>0</v>
      </c>
      <c r="Y25" s="1436"/>
      <c r="Z25" s="1582">
        <v>0</v>
      </c>
      <c r="AA25" s="1583"/>
      <c r="AB25" s="1582">
        <v>0</v>
      </c>
      <c r="AC25" s="1658"/>
      <c r="AD25" s="1663">
        <v>0</v>
      </c>
      <c r="AE25" s="1664"/>
      <c r="AF25" s="1663">
        <v>0</v>
      </c>
      <c r="AG25" s="1439">
        <f t="shared" si="10"/>
        <v>0</v>
      </c>
      <c r="AH25" s="1442"/>
      <c r="AI25" s="1439">
        <f t="shared" si="11"/>
        <v>0</v>
      </c>
    </row>
    <row r="26" spans="1:35" s="1076" customFormat="1" ht="18">
      <c r="A26" s="1078" t="s">
        <v>6460</v>
      </c>
      <c r="B26" s="1220" t="e">
        <f>SUM(B11:B20)</f>
        <v>#REF!</v>
      </c>
      <c r="C26" s="1080"/>
      <c r="D26" s="1220" t="e">
        <f>SUM(D11:D20)</f>
        <v>#REF!</v>
      </c>
      <c r="E26" s="1352"/>
      <c r="F26" s="1221">
        <f>'Data Entry - SOF'!C132</f>
        <v>0</v>
      </c>
      <c r="G26" s="1080"/>
      <c r="H26" s="1221" t="e">
        <f>SUM(H11:H20)</f>
        <v>#REF!</v>
      </c>
      <c r="I26" s="1352"/>
      <c r="J26" s="1216">
        <f>SUM(J11:J25)</f>
        <v>0</v>
      </c>
      <c r="K26" s="1083"/>
      <c r="L26" s="1216">
        <f>SUM(L11:L25)</f>
        <v>0</v>
      </c>
      <c r="M26" s="1352"/>
      <c r="N26" s="1268" t="e">
        <f>IFA_Limits!#REF!</f>
        <v>#REF!</v>
      </c>
      <c r="O26" s="1080"/>
      <c r="P26" s="1268" t="e">
        <f>IFA_Limits!#REF!</f>
        <v>#REF!</v>
      </c>
      <c r="Q26" s="1436"/>
      <c r="R26" s="1443">
        <f>IFA_Limits!D55</f>
        <v>0</v>
      </c>
      <c r="S26" s="1444"/>
      <c r="T26" s="1443">
        <f>IFA_Limits!D56</f>
        <v>0</v>
      </c>
      <c r="U26" s="1436"/>
      <c r="V26" s="1222">
        <f>IFA_Limits!F55</f>
        <v>0</v>
      </c>
      <c r="W26" s="2035"/>
      <c r="X26" s="1222">
        <f>IFA_Limits!F56</f>
        <v>0</v>
      </c>
      <c r="Y26" s="1436"/>
      <c r="Z26" s="1584">
        <f>IFA_Limits!H55</f>
        <v>0</v>
      </c>
      <c r="AA26" s="1585"/>
      <c r="AB26" s="1584">
        <f>IFA_Limits!H56</f>
        <v>0</v>
      </c>
      <c r="AC26" s="1658"/>
      <c r="AD26" s="1665">
        <f>IFA_Limits!J55</f>
        <v>0</v>
      </c>
      <c r="AE26" s="1666"/>
      <c r="AF26" s="1665">
        <f>IFA_Limits!J56</f>
        <v>0</v>
      </c>
      <c r="AG26" s="1443">
        <f>IFA_Limits!L55</f>
        <v>0</v>
      </c>
      <c r="AH26" s="1444"/>
      <c r="AI26" s="1443">
        <f>IFA_Limits!L56</f>
        <v>0</v>
      </c>
    </row>
    <row r="28" spans="1:35" ht="15.75">
      <c r="A28" s="1116" t="s">
        <v>6465</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workbookViewId="0">
      <selection activeCell="H7" sqref="H7"/>
    </sheetView>
  </sheetViews>
  <sheetFormatPr defaultRowHeight="12.75"/>
  <cols>
    <col min="1" max="1" width="4.28515625" customWidth="1"/>
    <col min="2" max="2" width="9.42578125" customWidth="1"/>
    <col min="3" max="3" width="1.7109375" customWidth="1"/>
    <col min="4" max="4" width="12.7109375" customWidth="1"/>
    <col min="5" max="5" width="28.42578125" customWidth="1"/>
    <col min="6" max="6" width="4.7109375" customWidth="1"/>
    <col min="7" max="7" width="2.7109375" customWidth="1"/>
    <col min="8" max="8" width="20.7109375" style="3309" customWidth="1"/>
    <col min="9" max="9" width="20.7109375" style="1403" customWidth="1"/>
    <col min="10" max="10" width="19.140625" style="3309" customWidth="1"/>
    <col min="11" max="11" width="20.7109375" style="1403" customWidth="1"/>
    <col min="12" max="12" width="20.7109375" style="2886" customWidth="1"/>
    <col min="13" max="13" width="20.7109375" style="2981" customWidth="1"/>
    <col min="14" max="14" width="20.7109375" style="4409" customWidth="1"/>
    <col min="15" max="15" width="20.7109375" style="4421" customWidth="1"/>
    <col min="16" max="16" width="20.7109375" style="2887" customWidth="1"/>
    <col min="17" max="17" width="19.140625" style="2109" customWidth="1"/>
    <col min="18" max="18" width="19.140625" style="2887" customWidth="1"/>
    <col min="19" max="19" width="19.140625" style="2109" customWidth="1"/>
    <col min="20" max="20" width="18.5703125" style="2903" customWidth="1"/>
    <col min="21" max="21" width="18.5703125" style="2958" customWidth="1"/>
    <col min="22" max="22" width="19.140625" style="2903" customWidth="1"/>
    <col min="23" max="23" width="19.140625" style="2958" customWidth="1"/>
    <col min="24" max="24" width="18.5703125" style="3908" customWidth="1"/>
    <col min="25" max="25" width="18.5703125" style="1886" customWidth="1"/>
    <col min="26" max="26" width="19.140625" style="3908" customWidth="1"/>
    <col min="27" max="27" width="19.140625" style="1886" customWidth="1"/>
    <col min="28" max="28" width="18.5703125" style="2919" customWidth="1"/>
    <col min="29" max="29" width="18.5703125" style="1886" customWidth="1"/>
    <col min="30" max="30" width="19.140625" style="2919" customWidth="1"/>
    <col min="31" max="31" width="19.140625" style="1886" customWidth="1"/>
    <col min="32" max="32" width="18.5703125" style="4440" customWidth="1"/>
    <col min="33" max="33" width="18.5703125" style="1886" customWidth="1"/>
    <col min="34" max="34" width="19.140625" style="4440" customWidth="1"/>
    <col min="35" max="35" width="19.140625" style="1886" customWidth="1"/>
  </cols>
  <sheetData>
    <row r="1" spans="1:35">
      <c r="A1" s="23" t="s">
        <v>78</v>
      </c>
      <c r="D1" s="84">
        <f>'Data Entry - SOF'!B1</f>
        <v>0</v>
      </c>
      <c r="F1" s="158"/>
      <c r="K1" s="2733"/>
      <c r="O1" s="4410"/>
      <c r="S1" s="2664"/>
      <c r="W1" s="2949"/>
      <c r="AA1" s="2747"/>
      <c r="AE1" s="2747"/>
      <c r="AI1" s="2747"/>
    </row>
    <row r="2" spans="1:35">
      <c r="A2" s="23" t="s">
        <v>1624</v>
      </c>
      <c r="D2" s="86">
        <f>'Data Entry - SOF'!B2</f>
        <v>0</v>
      </c>
      <c r="K2" s="2733"/>
      <c r="O2" s="4410"/>
      <c r="S2" s="2664"/>
      <c r="W2" s="2949"/>
      <c r="AA2" s="2747"/>
      <c r="AE2" s="2747"/>
      <c r="AI2" s="2747"/>
    </row>
    <row r="3" spans="1:35">
      <c r="A3" s="23" t="s">
        <v>164</v>
      </c>
      <c r="D3" s="88">
        <f ca="1">'Data Entry - SOF'!B3</f>
        <v>43146.631174305556</v>
      </c>
      <c r="K3" s="2733"/>
      <c r="O3" s="4410"/>
      <c r="S3" s="2664"/>
      <c r="W3" s="2949"/>
      <c r="AA3" s="2747"/>
      <c r="AE3" s="2747"/>
      <c r="AI3" s="2747"/>
    </row>
    <row r="4" spans="1:35">
      <c r="K4" s="2733"/>
      <c r="O4" s="4410"/>
      <c r="S4" s="2664"/>
      <c r="W4" s="2949"/>
      <c r="AA4" s="2747"/>
      <c r="AE4" s="2747"/>
      <c r="AI4" s="2747"/>
    </row>
    <row r="5" spans="1:35" ht="12.75" customHeight="1">
      <c r="A5" s="41" t="s">
        <v>7720</v>
      </c>
      <c r="K5" s="2733"/>
      <c r="O5" s="4410"/>
      <c r="S5" s="2664"/>
      <c r="W5" s="2949"/>
      <c r="AA5" s="2747"/>
      <c r="AE5" s="2747"/>
      <c r="AI5" s="2747"/>
    </row>
    <row r="6" spans="1:35" ht="12.75" customHeight="1">
      <c r="A6" s="41"/>
      <c r="C6" s="38" t="s">
        <v>1466</v>
      </c>
      <c r="K6" s="2733"/>
      <c r="O6" s="4410"/>
      <c r="S6" s="2664"/>
      <c r="W6" s="2949"/>
      <c r="AA6" s="2747"/>
      <c r="AE6" s="2747"/>
      <c r="AI6" s="2747"/>
    </row>
    <row r="7" spans="1:35" ht="12.75" customHeight="1">
      <c r="A7" s="35"/>
      <c r="B7" s="35"/>
      <c r="C7" s="144"/>
      <c r="D7" s="35"/>
      <c r="E7" s="35"/>
      <c r="F7" s="35"/>
      <c r="G7" s="35"/>
      <c r="H7" s="3310"/>
      <c r="K7" s="2733"/>
      <c r="O7" s="4410"/>
      <c r="S7" s="2664"/>
      <c r="W7" s="2949"/>
      <c r="AA7" s="2747"/>
      <c r="AE7" s="2747"/>
      <c r="AI7" s="2747"/>
    </row>
    <row r="8" spans="1:35" ht="12.75" customHeight="1">
      <c r="A8" s="35"/>
      <c r="B8" s="35"/>
      <c r="C8" s="144"/>
      <c r="D8" s="35"/>
      <c r="E8" s="35"/>
      <c r="F8" s="35"/>
      <c r="G8" s="35"/>
      <c r="H8" s="3310"/>
      <c r="K8" s="2733"/>
      <c r="O8" s="4410"/>
      <c r="S8" s="2664"/>
      <c r="W8" s="2949"/>
      <c r="AA8" s="2747"/>
      <c r="AE8" s="2747"/>
      <c r="AI8" s="2747"/>
    </row>
    <row r="9" spans="1:35" ht="12.75" customHeight="1">
      <c r="A9" s="35"/>
      <c r="B9" s="35"/>
      <c r="C9" s="144"/>
      <c r="D9" s="35"/>
      <c r="E9" s="35"/>
      <c r="F9" s="35"/>
      <c r="G9" s="35"/>
      <c r="H9" s="3310"/>
      <c r="K9" s="2733"/>
      <c r="O9" s="4410"/>
      <c r="S9" s="2664"/>
      <c r="W9" s="2949"/>
      <c r="AA9" s="2747"/>
      <c r="AE9" s="2747"/>
      <c r="AI9" s="2747"/>
    </row>
    <row r="10" spans="1:35" ht="12.75" customHeight="1">
      <c r="A10" s="35"/>
      <c r="B10" s="35"/>
      <c r="C10" s="144"/>
      <c r="D10" s="35"/>
      <c r="E10" s="35"/>
      <c r="F10" s="35"/>
      <c r="G10" s="35"/>
      <c r="H10" s="3310"/>
      <c r="K10" s="2733"/>
      <c r="O10" s="4410"/>
      <c r="S10" s="2664"/>
      <c r="W10" s="2949"/>
      <c r="AA10" s="2747"/>
      <c r="AE10" s="2747"/>
      <c r="AI10" s="2747"/>
    </row>
    <row r="11" spans="1:35" ht="12.75" customHeight="1">
      <c r="A11" s="2555"/>
      <c r="B11" s="35"/>
      <c r="C11" s="144"/>
      <c r="D11" s="35"/>
      <c r="E11" s="35"/>
      <c r="F11" s="35"/>
      <c r="G11" s="35"/>
      <c r="H11" s="3310"/>
      <c r="K11" s="2733"/>
      <c r="O11" s="4410"/>
      <c r="S11" s="2664"/>
      <c r="W11" s="2949"/>
      <c r="AA11" s="2747"/>
      <c r="AE11" s="2747"/>
      <c r="AI11" s="2747"/>
    </row>
    <row r="12" spans="1:35" ht="12.75" customHeight="1">
      <c r="A12" s="35"/>
      <c r="B12" s="35"/>
      <c r="C12" s="144"/>
      <c r="D12" s="35"/>
      <c r="E12" s="35"/>
      <c r="F12" s="35"/>
      <c r="G12" s="35"/>
      <c r="H12" s="3310"/>
      <c r="K12" s="2733"/>
      <c r="O12" s="4410"/>
      <c r="S12" s="2664"/>
      <c r="W12" s="2949"/>
      <c r="AA12" s="2747"/>
      <c r="AE12" s="2747"/>
      <c r="AI12" s="2747"/>
    </row>
    <row r="13" spans="1:35" ht="12.75" hidden="1" customHeight="1">
      <c r="A13" s="35"/>
      <c r="B13" s="35"/>
      <c r="C13" s="144"/>
      <c r="D13" s="145" t="s">
        <v>3829</v>
      </c>
      <c r="E13" s="35"/>
      <c r="K13" s="2733"/>
      <c r="O13" s="4410"/>
      <c r="S13" s="2664"/>
      <c r="W13" s="2949"/>
      <c r="AA13" s="2747"/>
      <c r="AE13" s="2747"/>
      <c r="AI13" s="2747"/>
    </row>
    <row r="14" spans="1:35" ht="12.75" hidden="1" customHeight="1">
      <c r="A14" s="38"/>
      <c r="K14" s="2733"/>
      <c r="O14" s="4410"/>
      <c r="S14" s="2664"/>
      <c r="W14" s="2949"/>
      <c r="AA14" s="2747"/>
      <c r="AE14" s="2747"/>
      <c r="AI14" s="2747"/>
    </row>
    <row r="15" spans="1:35" ht="12.75" hidden="1" customHeight="1">
      <c r="A15" s="38"/>
      <c r="K15" s="2733"/>
      <c r="O15" s="4410"/>
      <c r="S15" s="2664"/>
      <c r="W15" s="2949"/>
      <c r="AA15" s="2747"/>
      <c r="AE15" s="2747"/>
      <c r="AI15" s="2747"/>
    </row>
    <row r="16" spans="1:35" ht="12.75" hidden="1" customHeight="1">
      <c r="A16" s="76" t="s">
        <v>1936</v>
      </c>
      <c r="B16" t="s">
        <v>1930</v>
      </c>
      <c r="D16" s="165" t="s">
        <v>1731</v>
      </c>
      <c r="K16" s="2733"/>
      <c r="O16" s="4410"/>
      <c r="S16" s="2664"/>
      <c r="W16" s="2949"/>
      <c r="AA16" s="2747"/>
      <c r="AE16" s="2747"/>
      <c r="AI16" s="2747"/>
    </row>
    <row r="17" spans="1:35" ht="12.75" hidden="1" customHeight="1">
      <c r="A17" s="38"/>
      <c r="B17" s="60"/>
      <c r="E17" t="s">
        <v>1859</v>
      </c>
      <c r="K17" s="2733"/>
      <c r="O17" s="4410"/>
      <c r="S17" s="2664"/>
      <c r="W17" s="2949"/>
      <c r="AA17" s="2747"/>
      <c r="AE17" s="2747"/>
      <c r="AI17" s="2747"/>
    </row>
    <row r="18" spans="1:35" ht="12.75" hidden="1" customHeight="1">
      <c r="A18" s="38"/>
      <c r="E18" s="60" t="s">
        <v>913</v>
      </c>
      <c r="K18" s="2733"/>
      <c r="O18" s="4410"/>
      <c r="S18" s="2664"/>
      <c r="W18" s="2949"/>
      <c r="AA18" s="2747"/>
      <c r="AE18" s="2747"/>
      <c r="AI18" s="2747"/>
    </row>
    <row r="19" spans="1:35" ht="12.75" hidden="1" customHeight="1">
      <c r="A19" s="38"/>
      <c r="E19" t="s">
        <v>228</v>
      </c>
      <c r="K19" s="2733"/>
      <c r="O19" s="4410"/>
      <c r="S19" s="2664"/>
      <c r="W19" s="2949"/>
      <c r="AA19" s="2747"/>
      <c r="AE19" s="2747"/>
      <c r="AI19" s="2747"/>
    </row>
    <row r="20" spans="1:35" ht="12.75" hidden="1" customHeight="1">
      <c r="A20" s="76" t="s">
        <v>1937</v>
      </c>
      <c r="B20" t="s">
        <v>1931</v>
      </c>
      <c r="D20" s="165" t="s">
        <v>1731</v>
      </c>
      <c r="K20" s="2733"/>
      <c r="O20" s="4410"/>
      <c r="S20" s="2664"/>
      <c r="W20" s="2949"/>
      <c r="AA20" s="2747"/>
      <c r="AE20" s="2747"/>
      <c r="AI20" s="2747"/>
    </row>
    <row r="21" spans="1:35" ht="12.75" hidden="1" customHeight="1">
      <c r="A21" s="38"/>
      <c r="B21" s="60"/>
      <c r="E21" t="s">
        <v>1859</v>
      </c>
      <c r="K21" s="2733"/>
      <c r="O21" s="4410"/>
      <c r="S21" s="2664"/>
      <c r="W21" s="2949"/>
      <c r="AA21" s="2747"/>
      <c r="AE21" s="2747"/>
      <c r="AI21" s="2747"/>
    </row>
    <row r="22" spans="1:35" ht="12.75" hidden="1" customHeight="1">
      <c r="A22" s="38"/>
      <c r="E22" s="60" t="s">
        <v>913</v>
      </c>
      <c r="K22" s="2733"/>
      <c r="O22" s="4410"/>
      <c r="S22" s="2664"/>
      <c r="W22" s="2949"/>
      <c r="AA22" s="2747"/>
      <c r="AE22" s="2747"/>
      <c r="AI22" s="2747"/>
    </row>
    <row r="23" spans="1:35" ht="12.75" hidden="1" customHeight="1">
      <c r="A23" s="38"/>
      <c r="E23" t="s">
        <v>228</v>
      </c>
      <c r="K23" s="2733"/>
      <c r="O23" s="4410"/>
      <c r="S23" s="2664"/>
      <c r="W23" s="2949"/>
      <c r="AA23" s="2747"/>
      <c r="AE23" s="2747"/>
      <c r="AI23" s="2747"/>
    </row>
    <row r="24" spans="1:35" ht="12.75" hidden="1" customHeight="1">
      <c r="A24" s="76" t="s">
        <v>1938</v>
      </c>
      <c r="B24" t="s">
        <v>2600</v>
      </c>
      <c r="D24" s="165" t="s">
        <v>1731</v>
      </c>
      <c r="K24" s="2733"/>
      <c r="O24" s="4410"/>
      <c r="S24" s="2664"/>
      <c r="W24" s="2949"/>
      <c r="AA24" s="2747"/>
      <c r="AE24" s="2747"/>
      <c r="AI24" s="2747"/>
    </row>
    <row r="25" spans="1:35" ht="12.75" hidden="1" customHeight="1">
      <c r="A25" s="38"/>
      <c r="B25" s="60"/>
      <c r="E25" t="s">
        <v>1859</v>
      </c>
      <c r="K25" s="2733"/>
      <c r="O25" s="4410"/>
      <c r="S25" s="2664"/>
      <c r="W25" s="2949"/>
      <c r="AA25" s="2747"/>
      <c r="AE25" s="2747"/>
      <c r="AI25" s="2747"/>
    </row>
    <row r="26" spans="1:35" ht="12.75" hidden="1" customHeight="1">
      <c r="A26" s="38"/>
      <c r="E26" s="60" t="s">
        <v>913</v>
      </c>
      <c r="K26" s="2733"/>
      <c r="O26" s="4410"/>
      <c r="S26" s="2664"/>
      <c r="W26" s="2949"/>
      <c r="AA26" s="2747"/>
      <c r="AE26" s="2747"/>
      <c r="AI26" s="2747"/>
    </row>
    <row r="27" spans="1:35" ht="12.75" hidden="1" customHeight="1">
      <c r="A27" s="38"/>
      <c r="E27" t="s">
        <v>228</v>
      </c>
      <c r="K27" s="2733"/>
      <c r="O27" s="4410"/>
      <c r="S27" s="2664"/>
      <c r="W27" s="2949"/>
      <c r="AA27" s="2747"/>
      <c r="AE27" s="2747"/>
      <c r="AI27" s="2747"/>
    </row>
    <row r="28" spans="1:35" ht="12.75" hidden="1" customHeight="1">
      <c r="A28" s="76" t="s">
        <v>1939</v>
      </c>
      <c r="B28" t="s">
        <v>851</v>
      </c>
      <c r="D28" s="165" t="s">
        <v>1731</v>
      </c>
      <c r="K28" s="2733"/>
      <c r="O28" s="4410"/>
      <c r="S28" s="2664"/>
      <c r="W28" s="2949"/>
      <c r="AA28" s="2747"/>
      <c r="AE28" s="2747"/>
      <c r="AI28" s="2747"/>
    </row>
    <row r="29" spans="1:35" ht="12.75" hidden="1" customHeight="1">
      <c r="A29" s="38"/>
      <c r="B29" s="60"/>
      <c r="E29" t="s">
        <v>1859</v>
      </c>
      <c r="K29" s="2733"/>
      <c r="O29" s="4410"/>
      <c r="S29" s="2664"/>
      <c r="W29" s="2949"/>
      <c r="AA29" s="2747"/>
      <c r="AE29" s="2747"/>
      <c r="AI29" s="2747"/>
    </row>
    <row r="30" spans="1:35" ht="12.75" hidden="1" customHeight="1">
      <c r="A30" s="38"/>
      <c r="E30" s="60" t="s">
        <v>913</v>
      </c>
      <c r="K30" s="2733"/>
      <c r="O30" s="4410"/>
      <c r="S30" s="2664"/>
      <c r="W30" s="2949"/>
      <c r="AA30" s="2747"/>
      <c r="AE30" s="2747"/>
      <c r="AI30" s="2747"/>
    </row>
    <row r="31" spans="1:35" ht="12.75" hidden="1" customHeight="1">
      <c r="A31" s="38"/>
      <c r="E31" t="s">
        <v>228</v>
      </c>
      <c r="K31" s="2733"/>
      <c r="O31" s="4410"/>
      <c r="S31" s="2664"/>
      <c r="W31" s="2949"/>
      <c r="AA31" s="2747"/>
      <c r="AE31" s="2747"/>
      <c r="AI31" s="2747"/>
    </row>
    <row r="32" spans="1:35" ht="12.75" hidden="1" customHeight="1">
      <c r="A32" s="76" t="s">
        <v>2919</v>
      </c>
      <c r="B32" t="s">
        <v>2920</v>
      </c>
      <c r="D32" s="165" t="s">
        <v>1731</v>
      </c>
      <c r="K32" s="2733"/>
      <c r="O32" s="4410"/>
      <c r="S32" s="2664"/>
      <c r="W32" s="2949"/>
      <c r="AA32" s="2747"/>
      <c r="AE32" s="2747"/>
      <c r="AI32" s="2747"/>
    </row>
    <row r="33" spans="1:35" ht="12.75" hidden="1" customHeight="1">
      <c r="A33" s="38"/>
      <c r="B33" s="60"/>
      <c r="E33" t="s">
        <v>1859</v>
      </c>
      <c r="K33" s="2733"/>
      <c r="O33" s="4410"/>
      <c r="S33" s="2664"/>
      <c r="W33" s="2949"/>
      <c r="AA33" s="2747"/>
      <c r="AE33" s="2747"/>
      <c r="AI33" s="2747"/>
    </row>
    <row r="34" spans="1:35" ht="12.75" hidden="1" customHeight="1">
      <c r="A34" s="38"/>
      <c r="E34" s="60" t="s">
        <v>913</v>
      </c>
      <c r="K34" s="2733"/>
      <c r="O34" s="4410"/>
      <c r="S34" s="2664"/>
      <c r="W34" s="2949"/>
      <c r="AA34" s="2747"/>
      <c r="AE34" s="2747"/>
      <c r="AI34" s="2747"/>
    </row>
    <row r="35" spans="1:35" ht="12.75" hidden="1" customHeight="1">
      <c r="A35" s="38"/>
      <c r="E35" t="s">
        <v>228</v>
      </c>
      <c r="K35" s="2733"/>
      <c r="O35" s="4410"/>
      <c r="S35" s="2664"/>
      <c r="W35" s="2949"/>
      <c r="AA35" s="2747"/>
      <c r="AE35" s="2747"/>
      <c r="AI35" s="2747"/>
    </row>
    <row r="36" spans="1:35" ht="12.75" hidden="1" customHeight="1">
      <c r="A36" s="76" t="s">
        <v>1844</v>
      </c>
      <c r="B36" t="s">
        <v>299</v>
      </c>
      <c r="D36" s="165" t="s">
        <v>1731</v>
      </c>
      <c r="K36" s="2733"/>
      <c r="O36" s="4410"/>
      <c r="S36" s="2664"/>
      <c r="W36" s="2949"/>
      <c r="AA36" s="2747"/>
      <c r="AE36" s="2747"/>
      <c r="AI36" s="2747"/>
    </row>
    <row r="37" spans="1:35" ht="12.75" hidden="1" customHeight="1">
      <c r="A37" s="38"/>
      <c r="B37" s="60"/>
      <c r="E37" t="s">
        <v>1859</v>
      </c>
      <c r="K37" s="2733"/>
      <c r="O37" s="4410"/>
      <c r="S37" s="2664"/>
      <c r="W37" s="2949"/>
      <c r="AA37" s="2747"/>
      <c r="AE37" s="2747"/>
      <c r="AI37" s="2747"/>
    </row>
    <row r="38" spans="1:35" ht="12.75" hidden="1" customHeight="1">
      <c r="A38" s="38"/>
      <c r="E38" s="60" t="s">
        <v>913</v>
      </c>
      <c r="K38" s="2733"/>
      <c r="O38" s="4410"/>
      <c r="S38" s="2664"/>
      <c r="W38" s="2949"/>
      <c r="AA38" s="2747"/>
      <c r="AE38" s="2747"/>
      <c r="AI38" s="2747"/>
    </row>
    <row r="39" spans="1:35" ht="12.75" hidden="1" customHeight="1">
      <c r="A39" s="38"/>
      <c r="E39" t="s">
        <v>228</v>
      </c>
      <c r="K39" s="2733"/>
      <c r="O39" s="4410"/>
      <c r="S39" s="2664"/>
      <c r="W39" s="2949"/>
      <c r="AA39" s="2747"/>
      <c r="AE39" s="2747"/>
      <c r="AI39" s="2747"/>
    </row>
    <row r="40" spans="1:35" ht="12.75" hidden="1" customHeight="1">
      <c r="A40" s="76" t="s">
        <v>1845</v>
      </c>
      <c r="B40" t="s">
        <v>300</v>
      </c>
      <c r="D40" s="165" t="s">
        <v>1731</v>
      </c>
      <c r="K40" s="2733"/>
      <c r="O40" s="4410"/>
      <c r="S40" s="2664"/>
      <c r="W40" s="2949"/>
      <c r="AA40" s="2747"/>
      <c r="AE40" s="2747"/>
      <c r="AI40" s="2747"/>
    </row>
    <row r="41" spans="1:35" ht="12.75" hidden="1" customHeight="1">
      <c r="A41" s="38"/>
      <c r="B41" s="60"/>
      <c r="E41" t="s">
        <v>1859</v>
      </c>
      <c r="K41" s="2733"/>
      <c r="O41" s="4410"/>
      <c r="S41" s="2664"/>
      <c r="W41" s="2949"/>
      <c r="AA41" s="2747"/>
      <c r="AE41" s="2747"/>
      <c r="AI41" s="2747"/>
    </row>
    <row r="42" spans="1:35" ht="12.75" hidden="1" customHeight="1">
      <c r="A42" s="38"/>
      <c r="E42" s="60" t="s">
        <v>913</v>
      </c>
      <c r="K42" s="2733"/>
      <c r="O42" s="4410"/>
      <c r="S42" s="2664"/>
      <c r="W42" s="2949"/>
      <c r="AA42" s="2747"/>
      <c r="AE42" s="2747"/>
      <c r="AI42" s="2747"/>
    </row>
    <row r="43" spans="1:35" ht="12.75" hidden="1" customHeight="1">
      <c r="A43" s="38"/>
      <c r="E43" t="s">
        <v>228</v>
      </c>
      <c r="K43" s="2733"/>
      <c r="O43" s="4410"/>
      <c r="S43" s="2664"/>
      <c r="W43" s="2949"/>
      <c r="AA43" s="2747"/>
      <c r="AE43" s="2747"/>
      <c r="AI43" s="2747"/>
    </row>
    <row r="44" spans="1:35" ht="12.75" hidden="1" customHeight="1">
      <c r="A44" s="76" t="s">
        <v>2632</v>
      </c>
      <c r="B44" t="s">
        <v>1512</v>
      </c>
      <c r="D44" s="165" t="s">
        <v>1731</v>
      </c>
      <c r="K44" s="2733"/>
      <c r="O44" s="4410"/>
      <c r="S44" s="2664"/>
      <c r="W44" s="2949"/>
      <c r="AA44" s="2747"/>
      <c r="AE44" s="2747"/>
      <c r="AI44" s="2747"/>
    </row>
    <row r="45" spans="1:35" ht="12.75" hidden="1" customHeight="1">
      <c r="A45" s="38"/>
      <c r="B45" s="60"/>
      <c r="E45" t="s">
        <v>1859</v>
      </c>
      <c r="K45" s="2733"/>
      <c r="O45" s="4410"/>
      <c r="S45" s="2664"/>
      <c r="W45" s="2949"/>
      <c r="AA45" s="2747"/>
      <c r="AE45" s="2747"/>
      <c r="AI45" s="2747"/>
    </row>
    <row r="46" spans="1:35" ht="12.75" hidden="1" customHeight="1">
      <c r="A46" s="38"/>
      <c r="E46" s="60" t="s">
        <v>913</v>
      </c>
      <c r="K46" s="2733"/>
      <c r="O46" s="4410"/>
      <c r="S46" s="2664"/>
      <c r="W46" s="2949"/>
      <c r="AA46" s="2747"/>
      <c r="AE46" s="2747"/>
      <c r="AI46" s="2747"/>
    </row>
    <row r="47" spans="1:35" ht="12.75" hidden="1" customHeight="1">
      <c r="A47" s="38"/>
      <c r="E47" t="s">
        <v>228</v>
      </c>
      <c r="K47" s="2733"/>
      <c r="O47" s="4410"/>
      <c r="S47" s="2664"/>
      <c r="W47" s="2949"/>
      <c r="AA47" s="2747"/>
      <c r="AE47" s="2747"/>
      <c r="AI47" s="2747"/>
    </row>
    <row r="48" spans="1:35" ht="12.75" hidden="1" customHeight="1">
      <c r="A48" s="76" t="s">
        <v>2799</v>
      </c>
      <c r="B48" t="s">
        <v>911</v>
      </c>
      <c r="D48" s="165" t="s">
        <v>1731</v>
      </c>
      <c r="K48" s="2733"/>
      <c r="O48" s="4410"/>
      <c r="S48" s="2664"/>
      <c r="W48" s="2949"/>
      <c r="AA48" s="2747"/>
      <c r="AE48" s="2747"/>
      <c r="AI48" s="2747"/>
    </row>
    <row r="49" spans="1:35" ht="12.75" hidden="1" customHeight="1">
      <c r="A49" s="38"/>
      <c r="B49" s="60"/>
      <c r="E49" t="s">
        <v>1859</v>
      </c>
      <c r="K49" s="2733"/>
      <c r="O49" s="4410"/>
      <c r="S49" s="2664"/>
      <c r="W49" s="2949"/>
      <c r="AA49" s="2747"/>
      <c r="AE49" s="2747"/>
      <c r="AI49" s="2747"/>
    </row>
    <row r="50" spans="1:35" ht="12.75" hidden="1" customHeight="1">
      <c r="A50" s="38"/>
      <c r="E50" s="60" t="s">
        <v>913</v>
      </c>
      <c r="K50" s="2733"/>
      <c r="O50" s="4410"/>
      <c r="S50" s="2664"/>
      <c r="W50" s="2949"/>
      <c r="AA50" s="2747"/>
      <c r="AE50" s="2747"/>
      <c r="AI50" s="2747"/>
    </row>
    <row r="51" spans="1:35" ht="12.75" hidden="1" customHeight="1">
      <c r="A51" s="38"/>
      <c r="E51" t="s">
        <v>228</v>
      </c>
      <c r="K51" s="2733"/>
      <c r="O51" s="4410"/>
      <c r="S51" s="2664"/>
      <c r="W51" s="2949"/>
      <c r="AA51" s="2747"/>
      <c r="AE51" s="2747"/>
      <c r="AI51" s="2747"/>
    </row>
    <row r="52" spans="1:35" ht="12.75" hidden="1" customHeight="1">
      <c r="A52" s="38"/>
      <c r="K52" s="2733"/>
      <c r="O52" s="4410"/>
      <c r="S52" s="2664"/>
      <c r="W52" s="2949"/>
      <c r="AA52" s="2747"/>
      <c r="AE52" s="2747"/>
      <c r="AI52" s="2747"/>
    </row>
    <row r="53" spans="1:35" ht="12.75" hidden="1" customHeight="1">
      <c r="A53" s="38"/>
      <c r="E53" t="s">
        <v>3386</v>
      </c>
      <c r="K53" s="2733"/>
      <c r="O53" s="4410"/>
      <c r="S53" s="2664"/>
      <c r="W53" s="2949"/>
      <c r="AA53" s="2747"/>
      <c r="AE53" s="2747"/>
      <c r="AI53" s="2747"/>
    </row>
    <row r="54" spans="1:35" ht="12.75" customHeight="1">
      <c r="A54" s="38"/>
      <c r="H54" s="3057" t="s">
        <v>4510</v>
      </c>
      <c r="I54" s="3057" t="s">
        <v>4511</v>
      </c>
      <c r="J54" s="3057" t="s">
        <v>4522</v>
      </c>
      <c r="K54" s="3058" t="s">
        <v>4511</v>
      </c>
      <c r="L54" s="3495" t="s">
        <v>4510</v>
      </c>
      <c r="M54" s="3057" t="s">
        <v>4511</v>
      </c>
      <c r="N54" s="4411" t="s">
        <v>4510</v>
      </c>
      <c r="O54" s="4412" t="s">
        <v>4511</v>
      </c>
      <c r="P54" s="4422" t="s">
        <v>4510</v>
      </c>
      <c r="Q54" s="3057" t="s">
        <v>4511</v>
      </c>
      <c r="R54" s="3057" t="s">
        <v>4510</v>
      </c>
      <c r="S54" s="3058" t="s">
        <v>4511</v>
      </c>
      <c r="T54" s="3495" t="s">
        <v>4510</v>
      </c>
      <c r="U54" s="3057" t="s">
        <v>4511</v>
      </c>
      <c r="V54" s="3057" t="s">
        <v>4510</v>
      </c>
      <c r="W54" s="3058" t="s">
        <v>4511</v>
      </c>
      <c r="X54" s="4427" t="s">
        <v>4510</v>
      </c>
      <c r="Y54" s="3057" t="s">
        <v>4511</v>
      </c>
      <c r="Z54" s="4435" t="s">
        <v>4510</v>
      </c>
      <c r="AA54" s="3058" t="s">
        <v>4511</v>
      </c>
      <c r="AB54" s="3495" t="s">
        <v>4510</v>
      </c>
      <c r="AC54" s="3057" t="s">
        <v>4511</v>
      </c>
      <c r="AD54" s="3057" t="s">
        <v>4510</v>
      </c>
      <c r="AE54" s="3058" t="s">
        <v>4511</v>
      </c>
      <c r="AF54" s="4441" t="s">
        <v>4510</v>
      </c>
      <c r="AG54" s="3060" t="s">
        <v>4511</v>
      </c>
      <c r="AH54" s="4453" t="s">
        <v>4510</v>
      </c>
      <c r="AI54" s="3058" t="s">
        <v>4511</v>
      </c>
    </row>
    <row r="55" spans="1:35" ht="12.75" customHeight="1">
      <c r="A55" s="38"/>
      <c r="H55" s="3311" t="s">
        <v>3613</v>
      </c>
      <c r="I55" s="1890" t="s">
        <v>3613</v>
      </c>
      <c r="J55" s="3311" t="s">
        <v>3613</v>
      </c>
      <c r="K55" s="2989" t="s">
        <v>3613</v>
      </c>
      <c r="L55" s="3496" t="s">
        <v>3673</v>
      </c>
      <c r="M55" s="3507" t="s">
        <v>3673</v>
      </c>
      <c r="N55" s="4413" t="s">
        <v>3673</v>
      </c>
      <c r="O55" s="4423" t="s">
        <v>3673</v>
      </c>
      <c r="P55" s="2888" t="s">
        <v>3830</v>
      </c>
      <c r="Q55" s="2110" t="s">
        <v>3830</v>
      </c>
      <c r="R55" s="2888" t="s">
        <v>3830</v>
      </c>
      <c r="S55" s="2665" t="s">
        <v>3830</v>
      </c>
      <c r="T55" s="2904" t="s">
        <v>3903</v>
      </c>
      <c r="U55" s="2959" t="s">
        <v>3903</v>
      </c>
      <c r="V55" s="2904" t="s">
        <v>3903</v>
      </c>
      <c r="W55" s="2950" t="s">
        <v>3903</v>
      </c>
      <c r="X55" s="4091" t="s">
        <v>4592</v>
      </c>
      <c r="Y55" s="1890" t="s">
        <v>4592</v>
      </c>
      <c r="Z55" s="4091" t="s">
        <v>4592</v>
      </c>
      <c r="AA55" s="2935" t="s">
        <v>4592</v>
      </c>
      <c r="AB55" s="2920" t="s">
        <v>7097</v>
      </c>
      <c r="AC55" s="1890" t="s">
        <v>7097</v>
      </c>
      <c r="AD55" s="2920" t="s">
        <v>7097</v>
      </c>
      <c r="AE55" s="2935" t="s">
        <v>7097</v>
      </c>
      <c r="AF55" s="4442" t="s">
        <v>7733</v>
      </c>
      <c r="AG55" s="1890" t="str">
        <f>AF55</f>
        <v>2022-23</v>
      </c>
      <c r="AH55" s="4443" t="str">
        <f>AG55</f>
        <v>2022-23</v>
      </c>
      <c r="AI55" s="2935" t="str">
        <f>AH55</f>
        <v>2022-23</v>
      </c>
    </row>
    <row r="56" spans="1:35" ht="12.75" customHeight="1">
      <c r="A56" s="38"/>
      <c r="H56" s="3311" t="s">
        <v>2373</v>
      </c>
      <c r="I56" s="1890" t="s">
        <v>2373</v>
      </c>
      <c r="J56" s="3311" t="s">
        <v>2374</v>
      </c>
      <c r="K56" s="2989" t="s">
        <v>4558</v>
      </c>
      <c r="L56" s="3496" t="s">
        <v>2373</v>
      </c>
      <c r="M56" s="3507" t="s">
        <v>2373</v>
      </c>
      <c r="N56" s="4413" t="s">
        <v>2374</v>
      </c>
      <c r="O56" s="4423" t="s">
        <v>2374</v>
      </c>
      <c r="P56" s="2888" t="s">
        <v>2373</v>
      </c>
      <c r="Q56" s="2110" t="s">
        <v>2373</v>
      </c>
      <c r="R56" s="2888" t="s">
        <v>2374</v>
      </c>
      <c r="S56" s="2665" t="s">
        <v>2374</v>
      </c>
      <c r="T56" s="2904" t="s">
        <v>2373</v>
      </c>
      <c r="U56" s="2959" t="s">
        <v>2373</v>
      </c>
      <c r="V56" s="2904" t="s">
        <v>2374</v>
      </c>
      <c r="W56" s="2950" t="s">
        <v>2374</v>
      </c>
      <c r="X56" s="4091" t="s">
        <v>2373</v>
      </c>
      <c r="Y56" s="1890" t="s">
        <v>2373</v>
      </c>
      <c r="Z56" s="4091" t="s">
        <v>2374</v>
      </c>
      <c r="AA56" s="2935" t="s">
        <v>2374</v>
      </c>
      <c r="AB56" s="2920" t="s">
        <v>2373</v>
      </c>
      <c r="AC56" s="1890" t="s">
        <v>2373</v>
      </c>
      <c r="AD56" s="2920" t="s">
        <v>2374</v>
      </c>
      <c r="AE56" s="2935" t="s">
        <v>2374</v>
      </c>
      <c r="AF56" s="4443" t="s">
        <v>2373</v>
      </c>
      <c r="AG56" s="1890" t="s">
        <v>2373</v>
      </c>
      <c r="AH56" s="4443" t="s">
        <v>2374</v>
      </c>
      <c r="AI56" s="2935" t="s">
        <v>2374</v>
      </c>
    </row>
    <row r="57" spans="1:35" ht="12.75" customHeight="1">
      <c r="A57" s="38"/>
      <c r="H57" s="3311" t="s">
        <v>2372</v>
      </c>
      <c r="I57" s="1890" t="s">
        <v>2372</v>
      </c>
      <c r="J57" s="3311" t="s">
        <v>2372</v>
      </c>
      <c r="K57" s="2989" t="s">
        <v>2372</v>
      </c>
      <c r="L57" s="3496" t="s">
        <v>2372</v>
      </c>
      <c r="M57" s="3507" t="s">
        <v>2372</v>
      </c>
      <c r="N57" s="4413" t="s">
        <v>2372</v>
      </c>
      <c r="O57" s="4423" t="s">
        <v>2372</v>
      </c>
      <c r="P57" s="2888" t="s">
        <v>2372</v>
      </c>
      <c r="Q57" s="2110" t="s">
        <v>2372</v>
      </c>
      <c r="R57" s="2888" t="s">
        <v>2372</v>
      </c>
      <c r="S57" s="2665" t="s">
        <v>2372</v>
      </c>
      <c r="T57" s="2904" t="s">
        <v>2372</v>
      </c>
      <c r="U57" s="2959" t="s">
        <v>2372</v>
      </c>
      <c r="V57" s="2904" t="s">
        <v>2372</v>
      </c>
      <c r="W57" s="2950" t="s">
        <v>2372</v>
      </c>
      <c r="X57" s="4091" t="s">
        <v>2372</v>
      </c>
      <c r="Y57" s="1890" t="s">
        <v>2372</v>
      </c>
      <c r="Z57" s="4091" t="s">
        <v>2372</v>
      </c>
      <c r="AA57" s="2935" t="s">
        <v>2372</v>
      </c>
      <c r="AB57" s="2920" t="s">
        <v>2372</v>
      </c>
      <c r="AC57" s="1890" t="s">
        <v>2372</v>
      </c>
      <c r="AD57" s="2920" t="s">
        <v>2372</v>
      </c>
      <c r="AE57" s="2935" t="s">
        <v>2372</v>
      </c>
      <c r="AF57" s="4443" t="s">
        <v>2372</v>
      </c>
      <c r="AG57" s="1890" t="s">
        <v>2372</v>
      </c>
      <c r="AH57" s="4443" t="s">
        <v>2372</v>
      </c>
      <c r="AI57" s="2935" t="s">
        <v>2372</v>
      </c>
    </row>
    <row r="58" spans="1:35" ht="12.75" customHeight="1">
      <c r="A58" s="40" t="s">
        <v>2502</v>
      </c>
      <c r="B58" t="s">
        <v>122</v>
      </c>
      <c r="H58" s="3312">
        <f>IF('Data Entry - SOF'!C17&lt;400,400,'Data Entry - SOF'!C17)</f>
        <v>400</v>
      </c>
      <c r="I58" s="1413">
        <f>H58</f>
        <v>400</v>
      </c>
      <c r="J58" s="3312">
        <f>H58</f>
        <v>400</v>
      </c>
      <c r="K58" s="2738">
        <f>J58</f>
        <v>400</v>
      </c>
      <c r="L58" s="3497">
        <f>IF('Data Entry - SOF'!E17&lt;400,400,'Data Entry - SOF'!E17)</f>
        <v>400</v>
      </c>
      <c r="M58" s="3508">
        <f>L58</f>
        <v>400</v>
      </c>
      <c r="N58" s="4414">
        <f>L58</f>
        <v>400</v>
      </c>
      <c r="O58" s="4424">
        <f>M58</f>
        <v>400</v>
      </c>
      <c r="P58" s="2889">
        <f>IF('Data Entry - SOF'!G17&lt;400,400,'Data Entry - SOF'!G17)</f>
        <v>400</v>
      </c>
      <c r="Q58" s="2975">
        <f>P58</f>
        <v>400</v>
      </c>
      <c r="R58" s="2898">
        <f>P58</f>
        <v>400</v>
      </c>
      <c r="S58" s="2969">
        <f>R58</f>
        <v>400</v>
      </c>
      <c r="T58" s="2905">
        <f>IF('Data Entry - SOF'!I17&lt;400,400,'Data Entry - SOF'!I17)</f>
        <v>400</v>
      </c>
      <c r="U58" s="2960">
        <f>T58</f>
        <v>400</v>
      </c>
      <c r="V58" s="2914">
        <f>T58</f>
        <v>400</v>
      </c>
      <c r="W58" s="2951">
        <f>V58</f>
        <v>400</v>
      </c>
      <c r="X58" s="4428">
        <f>IF('Data Entry - SOF'!K17&lt;400,400,'Data Entry - SOF'!K17)</f>
        <v>400</v>
      </c>
      <c r="Y58" s="2942">
        <f>X58</f>
        <v>400</v>
      </c>
      <c r="Z58" s="4436">
        <f>X58</f>
        <v>400</v>
      </c>
      <c r="AA58" s="2936">
        <f>Z58</f>
        <v>400</v>
      </c>
      <c r="AB58" s="2921">
        <f>IF('Data Entry - SOF'!M17&lt;400,400,'Data Entry - SOF'!M17)</f>
        <v>400</v>
      </c>
      <c r="AC58" s="2942">
        <f>AB58</f>
        <v>400</v>
      </c>
      <c r="AD58" s="2930">
        <f>AB58</f>
        <v>400</v>
      </c>
      <c r="AE58" s="2936">
        <f>AD58</f>
        <v>400</v>
      </c>
      <c r="AF58" s="4444">
        <f>IF('Data Entry - SOF'!O17&lt;400,400,'Data Entry - SOF'!O17)</f>
        <v>400</v>
      </c>
      <c r="AG58" s="2942">
        <f>AF58</f>
        <v>400</v>
      </c>
      <c r="AH58" s="4454">
        <f>AF58</f>
        <v>400</v>
      </c>
      <c r="AI58" s="2936">
        <f>AH58</f>
        <v>400</v>
      </c>
    </row>
    <row r="59" spans="1:35" ht="12.75" customHeight="1">
      <c r="A59" s="40"/>
      <c r="K59" s="2733"/>
      <c r="L59" s="3498"/>
      <c r="M59" s="3509"/>
      <c r="N59" s="4415"/>
      <c r="O59" s="4425"/>
      <c r="S59" s="2664"/>
      <c r="W59" s="2949"/>
      <c r="AA59" s="2747"/>
      <c r="AE59" s="2747"/>
      <c r="AI59" s="2747"/>
    </row>
    <row r="60" spans="1:35" ht="12.75" customHeight="1">
      <c r="A60" s="40" t="s">
        <v>2503</v>
      </c>
      <c r="B60" t="s">
        <v>7366</v>
      </c>
      <c r="H60" s="3313">
        <f>'Data Entry - SOF'!C53</f>
        <v>0</v>
      </c>
      <c r="I60" s="2984">
        <f>'Data Entry - SOF'!C55</f>
        <v>0</v>
      </c>
      <c r="J60" s="3313">
        <f>H60</f>
        <v>0</v>
      </c>
      <c r="K60" s="2990">
        <f>I60</f>
        <v>0</v>
      </c>
      <c r="L60" s="3499">
        <f>'Data Entry - SOF'!E53</f>
        <v>0</v>
      </c>
      <c r="M60" s="3510">
        <f>'Data Entry - SOF'!E55</f>
        <v>0</v>
      </c>
      <c r="N60" s="4414">
        <f>L60</f>
        <v>0</v>
      </c>
      <c r="O60" s="4424">
        <f>M60</f>
        <v>0</v>
      </c>
      <c r="P60" s="2890">
        <f>'Data Entry - SOF'!G53</f>
        <v>0</v>
      </c>
      <c r="Q60" s="2976">
        <f>'Data Entry - SOF'!G55</f>
        <v>0</v>
      </c>
      <c r="R60" s="2899">
        <f>P60</f>
        <v>0</v>
      </c>
      <c r="S60" s="2970">
        <f>Q60</f>
        <v>0</v>
      </c>
      <c r="T60" s="2906">
        <f>'Data Entry - SOF'!I53</f>
        <v>0</v>
      </c>
      <c r="U60" s="2961">
        <f>'Data Entry - SOF'!I55</f>
        <v>0</v>
      </c>
      <c r="V60" s="2915">
        <f>T60</f>
        <v>0</v>
      </c>
      <c r="W60" s="2952">
        <f>U60</f>
        <v>0</v>
      </c>
      <c r="X60" s="4429">
        <f>'Data Entry - SOF'!K53</f>
        <v>0</v>
      </c>
      <c r="Y60" s="2943">
        <f>'Data Entry - SOF'!K55</f>
        <v>0</v>
      </c>
      <c r="Z60" s="4437">
        <f>X60</f>
        <v>0</v>
      </c>
      <c r="AA60" s="2937">
        <f>Y60</f>
        <v>0</v>
      </c>
      <c r="AB60" s="2922">
        <f>'Data Entry - SOF'!M53</f>
        <v>0</v>
      </c>
      <c r="AC60" s="2943">
        <f>'Data Entry - SOF'!M55</f>
        <v>0</v>
      </c>
      <c r="AD60" s="2931">
        <f>AB60</f>
        <v>0</v>
      </c>
      <c r="AE60" s="2937">
        <f>AC60</f>
        <v>0</v>
      </c>
      <c r="AF60" s="4445">
        <f>'Data Entry - SOF'!O53</f>
        <v>0</v>
      </c>
      <c r="AG60" s="2943">
        <f>'Data Entry - SOF'!O55</f>
        <v>0</v>
      </c>
      <c r="AH60" s="4455">
        <f>AF60</f>
        <v>0</v>
      </c>
      <c r="AI60" s="2937">
        <f>AG60</f>
        <v>0</v>
      </c>
    </row>
    <row r="61" spans="1:35" ht="12.75" customHeight="1">
      <c r="A61" s="40"/>
      <c r="K61" s="2733"/>
      <c r="L61" s="3498"/>
      <c r="M61" s="3509"/>
      <c r="N61" s="4415"/>
      <c r="O61" s="4425"/>
      <c r="S61" s="2664"/>
      <c r="W61" s="2949"/>
      <c r="AA61" s="2747"/>
      <c r="AE61" s="2747"/>
      <c r="AI61" s="2747"/>
    </row>
    <row r="62" spans="1:35" ht="12.75" customHeight="1">
      <c r="A62" s="38"/>
      <c r="K62" s="2733"/>
      <c r="L62" s="3498"/>
      <c r="M62" s="3509"/>
      <c r="N62" s="4415"/>
      <c r="O62" s="4425"/>
      <c r="S62" s="2664"/>
      <c r="W62" s="2949"/>
      <c r="AA62" s="2747"/>
      <c r="AE62" s="2747"/>
      <c r="AI62" s="2747"/>
    </row>
    <row r="63" spans="1:35" ht="12.75" customHeight="1">
      <c r="A63" s="77" t="s">
        <v>1026</v>
      </c>
      <c r="B63" s="57"/>
      <c r="C63" s="57"/>
      <c r="D63" s="58"/>
      <c r="K63" s="2733"/>
      <c r="L63" s="3498"/>
      <c r="M63" s="3509"/>
      <c r="N63" s="4415"/>
      <c r="O63" s="4425"/>
      <c r="S63" s="2664"/>
      <c r="W63" s="2949"/>
      <c r="AA63" s="2747"/>
      <c r="AE63" s="2747"/>
      <c r="AI63" s="2747"/>
    </row>
    <row r="64" spans="1:35" ht="12.75" customHeight="1">
      <c r="A64" s="388"/>
      <c r="B64" s="35"/>
      <c r="C64" s="35"/>
      <c r="D64" s="35"/>
      <c r="K64" s="2733"/>
      <c r="L64" s="3498"/>
      <c r="M64" s="3509"/>
      <c r="N64" s="4415"/>
      <c r="O64" s="4425"/>
      <c r="S64" s="2664"/>
      <c r="W64" s="2949"/>
      <c r="AA64" s="2747"/>
      <c r="AE64" s="2747"/>
      <c r="AI64" s="2747"/>
    </row>
    <row r="65" spans="1:35" ht="12.75" customHeight="1">
      <c r="A65" s="53" t="s">
        <v>1024</v>
      </c>
      <c r="B65" t="s">
        <v>3979</v>
      </c>
      <c r="H65" s="3314">
        <f>IFA_Limits!D55</f>
        <v>0</v>
      </c>
      <c r="I65" s="1419">
        <f>H65</f>
        <v>0</v>
      </c>
      <c r="J65" s="3314">
        <f>IFA_Limits!D56</f>
        <v>0</v>
      </c>
      <c r="K65" s="2741">
        <f>J65</f>
        <v>0</v>
      </c>
      <c r="L65" s="3500">
        <f>IFA_Limits!F55</f>
        <v>0</v>
      </c>
      <c r="M65" s="3511">
        <f>L65</f>
        <v>0</v>
      </c>
      <c r="N65" s="4414">
        <f>IFA_Limits!F56</f>
        <v>0</v>
      </c>
      <c r="O65" s="4424">
        <f>N65</f>
        <v>0</v>
      </c>
      <c r="P65" s="2891">
        <f>IFA_Limits!H55</f>
        <v>0</v>
      </c>
      <c r="Q65" s="2113">
        <f>P65</f>
        <v>0</v>
      </c>
      <c r="R65" s="2900">
        <f>IFA_Limits!H56</f>
        <v>0</v>
      </c>
      <c r="S65" s="2667">
        <f>R65</f>
        <v>0</v>
      </c>
      <c r="T65" s="2907">
        <f>IFA_Limits!J55</f>
        <v>0</v>
      </c>
      <c r="U65" s="2962">
        <f>T65</f>
        <v>0</v>
      </c>
      <c r="V65" s="2916">
        <f>IFA_Limits!J56</f>
        <v>0</v>
      </c>
      <c r="W65" s="2953">
        <f>V65</f>
        <v>0</v>
      </c>
      <c r="X65" s="4430">
        <f>IFA_Limits!L55</f>
        <v>0</v>
      </c>
      <c r="Y65" s="1887">
        <f>X65</f>
        <v>0</v>
      </c>
      <c r="Z65" s="3899">
        <f>IFA_Limits!L56</f>
        <v>0</v>
      </c>
      <c r="AA65" s="2748">
        <f>Z65</f>
        <v>0</v>
      </c>
      <c r="AB65" s="2923">
        <f>IFA_Limits!N55</f>
        <v>0</v>
      </c>
      <c r="AC65" s="1887">
        <f>AB65</f>
        <v>0</v>
      </c>
      <c r="AD65" s="2932">
        <f>IFA_Limits!N56</f>
        <v>0</v>
      </c>
      <c r="AE65" s="2748">
        <f>AD65</f>
        <v>0</v>
      </c>
      <c r="AF65" s="4446">
        <f>IFA_Limits!P55</f>
        <v>0</v>
      </c>
      <c r="AG65" s="1887">
        <f>AF65</f>
        <v>0</v>
      </c>
      <c r="AH65" s="4456">
        <f>IFA_Limits!P56</f>
        <v>0</v>
      </c>
      <c r="AI65" s="2748">
        <f>AH65</f>
        <v>0</v>
      </c>
    </row>
    <row r="66" spans="1:35" ht="12.75" customHeight="1">
      <c r="A66" s="40"/>
      <c r="H66" s="3315"/>
      <c r="K66" s="2733"/>
      <c r="L66" s="3501"/>
      <c r="M66" s="3512"/>
      <c r="N66" s="4415"/>
      <c r="O66" s="4425"/>
      <c r="P66" s="2892"/>
      <c r="Q66" s="2977"/>
      <c r="S66" s="2664"/>
      <c r="T66" s="2908"/>
      <c r="U66" s="2963"/>
      <c r="W66" s="2949"/>
      <c r="X66" s="4431"/>
      <c r="Y66" s="2944"/>
      <c r="AA66" s="2747"/>
      <c r="AB66" s="2924"/>
      <c r="AC66" s="2944"/>
      <c r="AE66" s="2747"/>
      <c r="AF66" s="4447"/>
      <c r="AG66" s="2944"/>
      <c r="AI66" s="2747"/>
    </row>
    <row r="67" spans="1:35" ht="12.75" customHeight="1">
      <c r="A67" s="53" t="s">
        <v>1025</v>
      </c>
      <c r="B67" t="s">
        <v>1301</v>
      </c>
      <c r="H67" s="3314">
        <f>H60/10000</f>
        <v>0</v>
      </c>
      <c r="I67" s="1411">
        <f>I60/10000</f>
        <v>0</v>
      </c>
      <c r="J67" s="3314">
        <f>J60/10000</f>
        <v>0</v>
      </c>
      <c r="K67" s="2737">
        <f t="shared" ref="K67:W67" si="0">K60/10000</f>
        <v>0</v>
      </c>
      <c r="L67" s="3500">
        <f t="shared" si="0"/>
        <v>0</v>
      </c>
      <c r="M67" s="3511">
        <f t="shared" si="0"/>
        <v>0</v>
      </c>
      <c r="N67" s="4414">
        <f t="shared" si="0"/>
        <v>0</v>
      </c>
      <c r="O67" s="4424">
        <f t="shared" si="0"/>
        <v>0</v>
      </c>
      <c r="P67" s="2891">
        <f t="shared" si="0"/>
        <v>0</v>
      </c>
      <c r="Q67" s="2113">
        <f t="shared" si="0"/>
        <v>0</v>
      </c>
      <c r="R67" s="2900">
        <f t="shared" si="0"/>
        <v>0</v>
      </c>
      <c r="S67" s="2667">
        <f t="shared" si="0"/>
        <v>0</v>
      </c>
      <c r="T67" s="2907">
        <f t="shared" si="0"/>
        <v>0</v>
      </c>
      <c r="U67" s="2962">
        <f t="shared" si="0"/>
        <v>0</v>
      </c>
      <c r="V67" s="2916">
        <f t="shared" si="0"/>
        <v>0</v>
      </c>
      <c r="W67" s="2953">
        <f t="shared" si="0"/>
        <v>0</v>
      </c>
      <c r="X67" s="4430">
        <f t="shared" ref="X67:AE67" si="1">X60/10000</f>
        <v>0</v>
      </c>
      <c r="Y67" s="1887">
        <f t="shared" si="1"/>
        <v>0</v>
      </c>
      <c r="Z67" s="3899">
        <f t="shared" si="1"/>
        <v>0</v>
      </c>
      <c r="AA67" s="2748">
        <f t="shared" si="1"/>
        <v>0</v>
      </c>
      <c r="AB67" s="2923">
        <f t="shared" si="1"/>
        <v>0</v>
      </c>
      <c r="AC67" s="1887">
        <f t="shared" si="1"/>
        <v>0</v>
      </c>
      <c r="AD67" s="2932">
        <f t="shared" si="1"/>
        <v>0</v>
      </c>
      <c r="AE67" s="2748">
        <f t="shared" si="1"/>
        <v>0</v>
      </c>
      <c r="AF67" s="4446">
        <f>AF60/10000</f>
        <v>0</v>
      </c>
      <c r="AG67" s="1887">
        <f>AG60/10000</f>
        <v>0</v>
      </c>
      <c r="AH67" s="4456">
        <f>AH60/10000</f>
        <v>0</v>
      </c>
      <c r="AI67" s="2748">
        <f>AI60/10000</f>
        <v>0</v>
      </c>
    </row>
    <row r="68" spans="1:35" ht="12.75" customHeight="1">
      <c r="A68" s="40"/>
      <c r="H68" s="3315"/>
      <c r="K68" s="2733"/>
      <c r="L68" s="3501"/>
      <c r="M68" s="3512"/>
      <c r="N68" s="4415"/>
      <c r="O68" s="4425"/>
      <c r="P68" s="2892"/>
      <c r="Q68" s="2977"/>
      <c r="S68" s="2664"/>
      <c r="T68" s="2908"/>
      <c r="U68" s="2963"/>
      <c r="W68" s="2949"/>
      <c r="X68" s="4431"/>
      <c r="Y68" s="2944"/>
      <c r="AA68" s="2747"/>
      <c r="AB68" s="2924"/>
      <c r="AC68" s="2944"/>
      <c r="AE68" s="2747"/>
      <c r="AF68" s="4447"/>
      <c r="AG68" s="2944"/>
      <c r="AI68" s="2747"/>
    </row>
    <row r="69" spans="1:35" ht="12.75" customHeight="1">
      <c r="A69" s="53" t="s">
        <v>1027</v>
      </c>
      <c r="B69" t="s">
        <v>1007</v>
      </c>
      <c r="H69" s="3316">
        <f>H67/H58</f>
        <v>0</v>
      </c>
      <c r="I69" s="2985">
        <f>I67/I58</f>
        <v>0</v>
      </c>
      <c r="J69" s="3316">
        <f>J67/J58</f>
        <v>0</v>
      </c>
      <c r="K69" s="2991">
        <f t="shared" ref="K69:W69" si="2">K67/K58</f>
        <v>0</v>
      </c>
      <c r="L69" s="3502">
        <f t="shared" si="2"/>
        <v>0</v>
      </c>
      <c r="M69" s="3513">
        <f t="shared" si="2"/>
        <v>0</v>
      </c>
      <c r="N69" s="4414">
        <f t="shared" si="2"/>
        <v>0</v>
      </c>
      <c r="O69" s="4424">
        <f t="shared" si="2"/>
        <v>0</v>
      </c>
      <c r="P69" s="2893">
        <f t="shared" si="2"/>
        <v>0</v>
      </c>
      <c r="Q69" s="2978">
        <f t="shared" si="2"/>
        <v>0</v>
      </c>
      <c r="R69" s="2901">
        <f t="shared" si="2"/>
        <v>0</v>
      </c>
      <c r="S69" s="2971">
        <f t="shared" si="2"/>
        <v>0</v>
      </c>
      <c r="T69" s="2909">
        <f t="shared" si="2"/>
        <v>0</v>
      </c>
      <c r="U69" s="2964">
        <f t="shared" si="2"/>
        <v>0</v>
      </c>
      <c r="V69" s="2917">
        <f t="shared" si="2"/>
        <v>0</v>
      </c>
      <c r="W69" s="2954">
        <f t="shared" si="2"/>
        <v>0</v>
      </c>
      <c r="X69" s="4432">
        <f t="shared" ref="X69:AE69" si="3">X67/X58</f>
        <v>0</v>
      </c>
      <c r="Y69" s="2945">
        <f t="shared" si="3"/>
        <v>0</v>
      </c>
      <c r="Z69" s="4438">
        <f t="shared" si="3"/>
        <v>0</v>
      </c>
      <c r="AA69" s="2938">
        <f t="shared" si="3"/>
        <v>0</v>
      </c>
      <c r="AB69" s="2925">
        <f t="shared" si="3"/>
        <v>0</v>
      </c>
      <c r="AC69" s="2945">
        <f t="shared" si="3"/>
        <v>0</v>
      </c>
      <c r="AD69" s="2933">
        <f t="shared" si="3"/>
        <v>0</v>
      </c>
      <c r="AE69" s="2938">
        <f t="shared" si="3"/>
        <v>0</v>
      </c>
      <c r="AF69" s="4448">
        <f>AF67/AF58</f>
        <v>0</v>
      </c>
      <c r="AG69" s="2945">
        <f>AG67/AG58</f>
        <v>0</v>
      </c>
      <c r="AH69" s="4457">
        <f>AH67/AH58</f>
        <v>0</v>
      </c>
      <c r="AI69" s="2938">
        <f>AI67/AI58</f>
        <v>0</v>
      </c>
    </row>
    <row r="70" spans="1:35" ht="12.75" customHeight="1">
      <c r="A70" s="40"/>
      <c r="H70" s="3317"/>
      <c r="I70" s="2986"/>
      <c r="J70" s="3317"/>
      <c r="K70" s="2992"/>
      <c r="L70" s="3503"/>
      <c r="M70" s="3514"/>
      <c r="N70" s="4416"/>
      <c r="O70" s="4425"/>
      <c r="P70" s="2894"/>
      <c r="Q70" s="2979"/>
      <c r="R70" s="2894"/>
      <c r="S70" s="2972"/>
      <c r="T70" s="2910"/>
      <c r="U70" s="2965"/>
      <c r="V70" s="2910"/>
      <c r="W70" s="2955"/>
      <c r="X70" s="4433"/>
      <c r="Y70" s="2946"/>
      <c r="Z70" s="4433"/>
      <c r="AA70" s="2939"/>
      <c r="AB70" s="2926"/>
      <c r="AC70" s="2946"/>
      <c r="AD70" s="2926"/>
      <c r="AE70" s="2939"/>
      <c r="AF70" s="4449"/>
      <c r="AG70" s="2946"/>
      <c r="AH70" s="4449"/>
      <c r="AI70" s="2939"/>
    </row>
    <row r="71" spans="1:35" ht="12.75" customHeight="1">
      <c r="A71" s="53" t="s">
        <v>1028</v>
      </c>
      <c r="B71" t="s">
        <v>1008</v>
      </c>
      <c r="H71" s="3316">
        <f>IF(H69&gt;Weights!H49,0,Weights!H49-H69)</f>
        <v>35</v>
      </c>
      <c r="I71" s="2985">
        <f>IF(I69&gt;Weights!H49,0,Weights!H49-I69)</f>
        <v>35</v>
      </c>
      <c r="J71" s="3316">
        <f>IF(J69&gt;Weights!H49,0,Weights!H49-J69)</f>
        <v>35</v>
      </c>
      <c r="K71" s="2991">
        <f>IF(K69&gt;Weights!H49,0,Weights!H49-K69)</f>
        <v>35</v>
      </c>
      <c r="L71" s="3502">
        <f>IF(L69&gt;Weights!I49,0,Weights!I49-L69)</f>
        <v>35</v>
      </c>
      <c r="M71" s="3513">
        <f>IF(M69&gt;Weights!I49,0,Weights!I49-M69)</f>
        <v>35</v>
      </c>
      <c r="N71" s="4414">
        <f>IF(N69&gt;Weights!I49,0,Weights!I49-N69)</f>
        <v>35</v>
      </c>
      <c r="O71" s="4424">
        <f>IF(O69&gt;Weights!I49,0,Weights!I49-O69)</f>
        <v>35</v>
      </c>
      <c r="P71" s="2893">
        <f>IF(P69&gt;Weights!J49,0,Weights!J49-P69)</f>
        <v>35</v>
      </c>
      <c r="Q71" s="2978">
        <f>IF(Q69&gt;Weights!J49,0,Weights!J49-Q69)</f>
        <v>35</v>
      </c>
      <c r="R71" s="2901">
        <f>IF(R69&gt;Weights!J49,0,Weights!J49-R69)</f>
        <v>35</v>
      </c>
      <c r="S71" s="2971">
        <f>IF(S69&gt;Weights!J49,0,Weights!J49-S69)</f>
        <v>35</v>
      </c>
      <c r="T71" s="2909">
        <f>IF(T69&gt;Weights!K49,0,Weights!K49-T69)</f>
        <v>35</v>
      </c>
      <c r="U71" s="2964">
        <f>IF(U69&gt;Weights!K49,0,Weights!K49-U69)</f>
        <v>35</v>
      </c>
      <c r="V71" s="2917">
        <f>IF(V69&gt;Weights!K49,0,Weights!K49-V69)</f>
        <v>35</v>
      </c>
      <c r="W71" s="2954">
        <f>IF(W69&gt;Weights!K49,0,Weights!K49-W69)</f>
        <v>35</v>
      </c>
      <c r="X71" s="4432">
        <f>IF(X69&gt;Weights!L49,0,Weights!L49-X69)</f>
        <v>35</v>
      </c>
      <c r="Y71" s="2945">
        <f>IF(Y69&gt;Weights!L49,0,Weights!L49-Y69)</f>
        <v>35</v>
      </c>
      <c r="Z71" s="4438">
        <f>IF(Z69&gt;Weights!L49,0,Weights!L49-Z69)</f>
        <v>35</v>
      </c>
      <c r="AA71" s="2938">
        <f>IF(AA69&gt;Weights!L49,0,Weights!L49-AA69)</f>
        <v>35</v>
      </c>
      <c r="AB71" s="2925">
        <f>IF(AB69&gt;Weights!M49,0,Weights!M49-AB69)</f>
        <v>35</v>
      </c>
      <c r="AC71" s="2945">
        <f>IF(AC69&gt;Weights!M49,0,Weights!M49-AC69)</f>
        <v>35</v>
      </c>
      <c r="AD71" s="2933">
        <f>IF(AD69&gt;Weights!M49,0,Weights!M49-AD69)</f>
        <v>35</v>
      </c>
      <c r="AE71" s="2938">
        <f>IF(AE69&gt;Weights!M49,0,Weights!M49-AE69)</f>
        <v>35</v>
      </c>
      <c r="AF71" s="4448">
        <f>IF(AF69&gt;Weights!N49,0,Weights!N49-AF69)</f>
        <v>35</v>
      </c>
      <c r="AG71" s="2945">
        <f>IF(AG69&gt;Weights!N49,0,Weights!N49-AG69)</f>
        <v>35</v>
      </c>
      <c r="AH71" s="4457">
        <f>IF(AH69&gt;Weights!N49,0,Weights!N49-AH69)</f>
        <v>35</v>
      </c>
      <c r="AI71" s="2938">
        <f>IF(AI69&gt;Weights!N49,0,Weights!N49-AI69)</f>
        <v>35</v>
      </c>
    </row>
    <row r="72" spans="1:35" ht="12.75" customHeight="1">
      <c r="A72" s="40"/>
      <c r="H72" s="3317"/>
      <c r="I72" s="2986"/>
      <c r="J72" s="3317"/>
      <c r="K72" s="2992"/>
      <c r="L72" s="3503"/>
      <c r="M72" s="3514"/>
      <c r="N72" s="4416"/>
      <c r="O72" s="4425"/>
      <c r="P72" s="2894"/>
      <c r="Q72" s="2979"/>
      <c r="R72" s="2894"/>
      <c r="S72" s="2972"/>
      <c r="T72" s="2910"/>
      <c r="U72" s="2965"/>
      <c r="V72" s="2910"/>
      <c r="W72" s="2955"/>
      <c r="X72" s="4433"/>
      <c r="Y72" s="2946"/>
      <c r="Z72" s="4433"/>
      <c r="AA72" s="2939"/>
      <c r="AB72" s="2926"/>
      <c r="AC72" s="2946"/>
      <c r="AD72" s="2926"/>
      <c r="AE72" s="2939"/>
      <c r="AF72" s="4449"/>
      <c r="AG72" s="2946"/>
      <c r="AH72" s="4449"/>
      <c r="AI72" s="2939"/>
    </row>
    <row r="73" spans="1:35">
      <c r="A73" s="53" t="s">
        <v>1029</v>
      </c>
      <c r="B73" t="s">
        <v>3075</v>
      </c>
      <c r="H73" s="3316">
        <f>IF(H71=0,0,H71/Weights!H49)</f>
        <v>1</v>
      </c>
      <c r="I73" s="2985">
        <f>IF(I71=0,0,I71/Weights!H49)</f>
        <v>1</v>
      </c>
      <c r="J73" s="3316">
        <f>IF(J71=0,0,J71/Weights!H49)</f>
        <v>1</v>
      </c>
      <c r="K73" s="2991">
        <f>IF(K71=0,0,K71/Weights!H49)</f>
        <v>1</v>
      </c>
      <c r="L73" s="3502">
        <f>IF(L71=0,0,L71/Weights!I49)</f>
        <v>1</v>
      </c>
      <c r="M73" s="3513">
        <f>IF(M71=0,0,M71/Weights!I49)</f>
        <v>1</v>
      </c>
      <c r="N73" s="4414">
        <f>IF(N71=0,0,N71/Weights!I49)</f>
        <v>1</v>
      </c>
      <c r="O73" s="4424">
        <f>IF(O71=0,0,O71/Weights!I49)</f>
        <v>1</v>
      </c>
      <c r="P73" s="2893">
        <f>IF(P71=0,0,P71/Weights!J49)</f>
        <v>1</v>
      </c>
      <c r="Q73" s="2978">
        <f>IF(Q71=0,0,Q71/Weights!J49)</f>
        <v>1</v>
      </c>
      <c r="R73" s="2901">
        <f>IF(R71=0,0,R71/Weights!J49)</f>
        <v>1</v>
      </c>
      <c r="S73" s="2971">
        <f>IF(S71=0,0,S71/Weights!J49)</f>
        <v>1</v>
      </c>
      <c r="T73" s="2909">
        <f>IF(T71=0,0,T71/Weights!K49)</f>
        <v>1</v>
      </c>
      <c r="U73" s="2964">
        <f>IF(U71=0,0,U71/Weights!K49)</f>
        <v>1</v>
      </c>
      <c r="V73" s="2917">
        <f>IF(V71=0,0,V71/Weights!K49)</f>
        <v>1</v>
      </c>
      <c r="W73" s="2954">
        <f>IF(W71=0,0,W71/Weights!K49)</f>
        <v>1</v>
      </c>
      <c r="X73" s="4432">
        <f>IF(X71=0,0,X71/Weights!L49)</f>
        <v>1</v>
      </c>
      <c r="Y73" s="2945">
        <f>IF(Y71=0,0,Y71/Weights!L49)</f>
        <v>1</v>
      </c>
      <c r="Z73" s="4438">
        <f>IF(Z71=0,0,Z71/Weights!L49)</f>
        <v>1</v>
      </c>
      <c r="AA73" s="2938">
        <f>IF(AA71=0,0,AA71/Weights!L49)</f>
        <v>1</v>
      </c>
      <c r="AB73" s="2925">
        <f>IF(AB71=0,0,AB71/Weights!M49)</f>
        <v>1</v>
      </c>
      <c r="AC73" s="2945">
        <f>IF(AC71=0,0,AC71/Weights!M49)</f>
        <v>1</v>
      </c>
      <c r="AD73" s="2933">
        <f>IF(AD71=0,0,AD71/Weights!M49)</f>
        <v>1</v>
      </c>
      <c r="AE73" s="2938">
        <f>IF(AE71=0,0,AE71/Weights!M49)</f>
        <v>1</v>
      </c>
      <c r="AF73" s="4448">
        <f>IF(AF71=0,0,AF71/Weights!N49)</f>
        <v>1</v>
      </c>
      <c r="AG73" s="2945">
        <f>IF(AG71=0,0,AG71/Weights!N49)</f>
        <v>1</v>
      </c>
      <c r="AH73" s="4457">
        <f>IF(AH71=0,0,AH71/Weights!N49)</f>
        <v>1</v>
      </c>
      <c r="AI73" s="2938">
        <f>IF(AI71=0,0,AI71/Weights!N49)</f>
        <v>1</v>
      </c>
    </row>
    <row r="74" spans="1:35">
      <c r="A74" s="40"/>
      <c r="K74" s="2733"/>
      <c r="L74" s="3498"/>
      <c r="M74" s="3509"/>
      <c r="N74" s="4415"/>
      <c r="O74" s="4425"/>
      <c r="S74" s="2664"/>
      <c r="W74" s="2949"/>
      <c r="AA74" s="2747"/>
      <c r="AE74" s="2747"/>
      <c r="AI74" s="2747"/>
    </row>
    <row r="75" spans="1:35">
      <c r="A75" s="53" t="s">
        <v>139</v>
      </c>
      <c r="B75" t="s">
        <v>2581</v>
      </c>
      <c r="H75" s="3314">
        <f>H73*H65</f>
        <v>0</v>
      </c>
      <c r="I75" s="1411">
        <f>I73*I65</f>
        <v>0</v>
      </c>
      <c r="J75" s="3314">
        <f>J73*J65</f>
        <v>0</v>
      </c>
      <c r="K75" s="2737">
        <f t="shared" ref="K75:W75" si="4">K73*K65</f>
        <v>0</v>
      </c>
      <c r="L75" s="3500">
        <f t="shared" si="4"/>
        <v>0</v>
      </c>
      <c r="M75" s="3511">
        <f t="shared" si="4"/>
        <v>0</v>
      </c>
      <c r="N75" s="4414">
        <f t="shared" si="4"/>
        <v>0</v>
      </c>
      <c r="O75" s="4424">
        <f t="shared" si="4"/>
        <v>0</v>
      </c>
      <c r="P75" s="2891">
        <f t="shared" si="4"/>
        <v>0</v>
      </c>
      <c r="Q75" s="2113">
        <f t="shared" si="4"/>
        <v>0</v>
      </c>
      <c r="R75" s="2900">
        <f t="shared" si="4"/>
        <v>0</v>
      </c>
      <c r="S75" s="2667">
        <f t="shared" si="4"/>
        <v>0</v>
      </c>
      <c r="T75" s="2907">
        <f t="shared" si="4"/>
        <v>0</v>
      </c>
      <c r="U75" s="2962">
        <f t="shared" si="4"/>
        <v>0</v>
      </c>
      <c r="V75" s="2916">
        <f t="shared" si="4"/>
        <v>0</v>
      </c>
      <c r="W75" s="2953">
        <f t="shared" si="4"/>
        <v>0</v>
      </c>
      <c r="X75" s="4430">
        <f t="shared" ref="X75:AE75" si="5">X73*X65</f>
        <v>0</v>
      </c>
      <c r="Y75" s="1887">
        <f t="shared" si="5"/>
        <v>0</v>
      </c>
      <c r="Z75" s="3899">
        <f t="shared" si="5"/>
        <v>0</v>
      </c>
      <c r="AA75" s="2748">
        <f t="shared" si="5"/>
        <v>0</v>
      </c>
      <c r="AB75" s="2923">
        <f t="shared" si="5"/>
        <v>0</v>
      </c>
      <c r="AC75" s="1887">
        <f t="shared" si="5"/>
        <v>0</v>
      </c>
      <c r="AD75" s="2932">
        <f t="shared" si="5"/>
        <v>0</v>
      </c>
      <c r="AE75" s="2748">
        <f t="shared" si="5"/>
        <v>0</v>
      </c>
      <c r="AF75" s="4446">
        <f>AF73*AF65</f>
        <v>0</v>
      </c>
      <c r="AG75" s="1887">
        <f>AG73*AG65</f>
        <v>0</v>
      </c>
      <c r="AH75" s="4456">
        <f>AH73*AH65</f>
        <v>0</v>
      </c>
      <c r="AI75" s="2748">
        <f>AI73*AI65</f>
        <v>0</v>
      </c>
    </row>
    <row r="76" spans="1:35">
      <c r="A76" s="53"/>
      <c r="B76" s="47" t="s">
        <v>2002</v>
      </c>
      <c r="H76" s="3318"/>
      <c r="J76" s="3318"/>
      <c r="K76" s="2733"/>
      <c r="L76" s="3504"/>
      <c r="M76" s="3515"/>
      <c r="N76" s="4417"/>
      <c r="O76" s="4425"/>
      <c r="P76" s="2895"/>
      <c r="Q76" s="2114"/>
      <c r="R76" s="2895"/>
      <c r="S76" s="2973"/>
      <c r="T76" s="2911"/>
      <c r="U76" s="2966"/>
      <c r="V76" s="2911"/>
      <c r="W76" s="2956"/>
      <c r="X76" s="3900"/>
      <c r="Y76" s="1897"/>
      <c r="Z76" s="3900"/>
      <c r="AA76" s="2940"/>
      <c r="AB76" s="2927"/>
      <c r="AC76" s="1897"/>
      <c r="AD76" s="2927"/>
      <c r="AE76" s="2940"/>
      <c r="AF76" s="4450"/>
      <c r="AG76" s="1897"/>
      <c r="AH76" s="4450"/>
      <c r="AI76" s="2940"/>
    </row>
    <row r="77" spans="1:35">
      <c r="A77" s="53"/>
      <c r="B77" s="47" t="s">
        <v>2003</v>
      </c>
      <c r="H77" s="3318"/>
      <c r="J77" s="3318"/>
      <c r="K77" s="2733"/>
      <c r="L77" s="3504"/>
      <c r="M77" s="3515"/>
      <c r="N77" s="4417"/>
      <c r="O77" s="4425"/>
      <c r="P77" s="2895"/>
      <c r="Q77" s="2114"/>
      <c r="R77" s="2895"/>
      <c r="S77" s="2973"/>
      <c r="T77" s="2911"/>
      <c r="U77" s="2966"/>
      <c r="V77" s="2911"/>
      <c r="W77" s="2956"/>
      <c r="X77" s="3900"/>
      <c r="Y77" s="1897"/>
      <c r="Z77" s="3900"/>
      <c r="AA77" s="2940"/>
      <c r="AB77" s="2927"/>
      <c r="AC77" s="1897"/>
      <c r="AD77" s="2927"/>
      <c r="AE77" s="2940"/>
      <c r="AF77" s="4450"/>
      <c r="AG77" s="1897"/>
      <c r="AH77" s="4450"/>
      <c r="AI77" s="2940"/>
    </row>
    <row r="78" spans="1:35">
      <c r="A78" s="40"/>
      <c r="H78" s="3318"/>
      <c r="J78" s="3318"/>
      <c r="K78" s="2733"/>
      <c r="L78" s="3504"/>
      <c r="M78" s="3515"/>
      <c r="N78" s="4417"/>
      <c r="O78" s="4425"/>
      <c r="P78" s="2895"/>
      <c r="Q78" s="2114"/>
      <c r="R78" s="2895"/>
      <c r="S78" s="2973"/>
      <c r="T78" s="2911"/>
      <c r="U78" s="2966"/>
      <c r="V78" s="2911"/>
      <c r="W78" s="2956"/>
      <c r="X78" s="3900"/>
      <c r="Y78" s="1897"/>
      <c r="Z78" s="3900"/>
      <c r="AA78" s="2940"/>
      <c r="AB78" s="2927"/>
      <c r="AC78" s="1897"/>
      <c r="AD78" s="2927"/>
      <c r="AE78" s="2940"/>
      <c r="AF78" s="4450"/>
      <c r="AG78" s="1897"/>
      <c r="AH78" s="4450"/>
      <c r="AI78" s="2940"/>
    </row>
    <row r="79" spans="1:35">
      <c r="A79" s="53" t="s">
        <v>140</v>
      </c>
      <c r="B79" s="40" t="s">
        <v>2196</v>
      </c>
      <c r="C79" s="40"/>
      <c r="D79" s="40"/>
      <c r="E79" s="40"/>
      <c r="H79" s="3319">
        <f>H65-H75</f>
        <v>0</v>
      </c>
      <c r="I79" s="2987">
        <f>I65-I75</f>
        <v>0</v>
      </c>
      <c r="J79" s="3319">
        <f>J65-J75</f>
        <v>0</v>
      </c>
      <c r="K79" s="2993">
        <f t="shared" ref="K79:W79" si="6">K65-K75</f>
        <v>0</v>
      </c>
      <c r="L79" s="3505">
        <f t="shared" si="6"/>
        <v>0</v>
      </c>
      <c r="M79" s="3516">
        <f t="shared" si="6"/>
        <v>0</v>
      </c>
      <c r="N79" s="4418">
        <f t="shared" si="6"/>
        <v>0</v>
      </c>
      <c r="O79" s="4426">
        <f t="shared" si="6"/>
        <v>0</v>
      </c>
      <c r="P79" s="2896">
        <f t="shared" si="6"/>
        <v>0</v>
      </c>
      <c r="Q79" s="2980">
        <f t="shared" si="6"/>
        <v>0</v>
      </c>
      <c r="R79" s="2902">
        <f t="shared" si="6"/>
        <v>0</v>
      </c>
      <c r="S79" s="2974">
        <f t="shared" si="6"/>
        <v>0</v>
      </c>
      <c r="T79" s="2912">
        <f t="shared" si="6"/>
        <v>0</v>
      </c>
      <c r="U79" s="2967">
        <f t="shared" si="6"/>
        <v>0</v>
      </c>
      <c r="V79" s="2918">
        <f t="shared" si="6"/>
        <v>0</v>
      </c>
      <c r="W79" s="2957">
        <f t="shared" si="6"/>
        <v>0</v>
      </c>
      <c r="X79" s="4434">
        <f t="shared" ref="X79:AE79" si="7">X65-X75</f>
        <v>0</v>
      </c>
      <c r="Y79" s="2947">
        <f t="shared" si="7"/>
        <v>0</v>
      </c>
      <c r="Z79" s="4439">
        <f t="shared" si="7"/>
        <v>0</v>
      </c>
      <c r="AA79" s="2941">
        <f t="shared" si="7"/>
        <v>0</v>
      </c>
      <c r="AB79" s="2928">
        <f t="shared" si="7"/>
        <v>0</v>
      </c>
      <c r="AC79" s="2947">
        <f t="shared" si="7"/>
        <v>0</v>
      </c>
      <c r="AD79" s="2934">
        <f t="shared" si="7"/>
        <v>0</v>
      </c>
      <c r="AE79" s="2941">
        <f t="shared" si="7"/>
        <v>0</v>
      </c>
      <c r="AF79" s="4451">
        <f>AF65-AF75</f>
        <v>0</v>
      </c>
      <c r="AG79" s="2947">
        <f>AG65-AG75</f>
        <v>0</v>
      </c>
      <c r="AH79" s="4458">
        <f>AH65-AH75</f>
        <v>0</v>
      </c>
      <c r="AI79" s="2941">
        <f>AI65-AI75</f>
        <v>0</v>
      </c>
    </row>
    <row r="80" spans="1:35">
      <c r="A80" s="53"/>
      <c r="B80" s="937" t="s">
        <v>646</v>
      </c>
      <c r="C80" s="40"/>
      <c r="D80" s="40"/>
      <c r="E80" s="40"/>
      <c r="H80" s="3318"/>
      <c r="I80" s="2988"/>
      <c r="J80" s="3318"/>
      <c r="K80" s="2994"/>
      <c r="L80" s="3504"/>
      <c r="M80" s="2982"/>
      <c r="N80" s="4419"/>
      <c r="O80" s="4420"/>
      <c r="P80" s="2895"/>
      <c r="Q80" s="2114"/>
      <c r="R80" s="2895"/>
      <c r="S80" s="2973"/>
      <c r="T80" s="2911"/>
      <c r="U80" s="2966"/>
      <c r="V80" s="2911"/>
      <c r="W80" s="2956"/>
      <c r="X80" s="3900"/>
      <c r="Y80" s="1897"/>
      <c r="Z80" s="3900"/>
      <c r="AA80" s="2940"/>
      <c r="AB80" s="2927"/>
      <c r="AC80" s="1897"/>
      <c r="AD80" s="2927"/>
      <c r="AE80" s="2940"/>
      <c r="AF80" s="4450"/>
      <c r="AG80" s="1897"/>
      <c r="AH80" s="4450"/>
      <c r="AI80" s="2940"/>
    </row>
    <row r="81" spans="1:35">
      <c r="A81" s="53"/>
      <c r="B81" s="937" t="s">
        <v>1756</v>
      </c>
      <c r="C81" s="40"/>
      <c r="D81" s="40"/>
      <c r="E81" s="40"/>
      <c r="H81" s="3318"/>
      <c r="I81" s="2988"/>
      <c r="J81" s="3318"/>
      <c r="K81" s="2994"/>
      <c r="L81" s="3504"/>
      <c r="M81" s="2982"/>
      <c r="N81" s="4419"/>
      <c r="O81" s="4420"/>
      <c r="P81" s="2895"/>
      <c r="Q81" s="2114"/>
      <c r="R81" s="2895"/>
      <c r="S81" s="2973"/>
      <c r="T81" s="2911"/>
      <c r="U81" s="2966"/>
      <c r="V81" s="2911"/>
      <c r="W81" s="2956"/>
      <c r="X81" s="3900"/>
      <c r="Y81" s="1897"/>
      <c r="Z81" s="3900"/>
      <c r="AA81" s="2940"/>
      <c r="AB81" s="2927"/>
      <c r="AC81" s="1897"/>
      <c r="AD81" s="2927"/>
      <c r="AE81" s="2940"/>
      <c r="AF81" s="4450"/>
      <c r="AG81" s="1897"/>
      <c r="AH81" s="4450"/>
      <c r="AI81" s="2940"/>
    </row>
    <row r="82" spans="1:35">
      <c r="A82" s="53"/>
      <c r="B82" s="89"/>
      <c r="C82" s="40"/>
      <c r="D82" s="40"/>
      <c r="E82" s="40"/>
      <c r="H82" s="3318"/>
      <c r="I82" s="2988"/>
      <c r="J82" s="3318"/>
      <c r="K82" s="2994"/>
      <c r="L82" s="3504"/>
      <c r="M82" s="2982"/>
      <c r="N82" s="4419"/>
      <c r="O82" s="4420"/>
      <c r="P82" s="2895"/>
      <c r="Q82" s="2114"/>
      <c r="R82" s="2895"/>
      <c r="S82" s="2973"/>
      <c r="T82" s="2911"/>
      <c r="U82" s="2966"/>
      <c r="V82" s="2911"/>
      <c r="W82" s="2956"/>
      <c r="X82" s="3900"/>
      <c r="Y82" s="1897"/>
      <c r="Z82" s="3900"/>
      <c r="AA82" s="2940"/>
      <c r="AB82" s="2927"/>
      <c r="AC82" s="1897"/>
      <c r="AD82" s="2927"/>
      <c r="AE82" s="2940"/>
      <c r="AF82" s="4450"/>
      <c r="AG82" s="1897"/>
      <c r="AH82" s="4450"/>
      <c r="AI82" s="2940"/>
    </row>
    <row r="83" spans="1:35">
      <c r="A83" s="53"/>
      <c r="B83" s="95"/>
      <c r="C83" s="40"/>
      <c r="D83" s="40"/>
      <c r="E83" s="40"/>
      <c r="H83" s="3318"/>
      <c r="I83" s="2988"/>
      <c r="J83" s="3318"/>
      <c r="K83" s="2994"/>
      <c r="L83" s="3504"/>
      <c r="M83" s="2982"/>
      <c r="N83" s="4419"/>
      <c r="O83" s="4420"/>
      <c r="P83" s="2895"/>
      <c r="Q83" s="2114"/>
      <c r="R83" s="2895"/>
      <c r="S83" s="2973"/>
      <c r="T83" s="2911"/>
      <c r="U83" s="2966"/>
      <c r="V83" s="2911"/>
      <c r="W83" s="2956"/>
      <c r="X83" s="3900"/>
      <c r="Y83" s="1897"/>
      <c r="Z83" s="3900"/>
      <c r="AA83" s="2940"/>
      <c r="AB83" s="2927"/>
      <c r="AC83" s="1897"/>
      <c r="AD83" s="2927"/>
      <c r="AE83" s="2940"/>
      <c r="AF83" s="4450"/>
      <c r="AG83" s="1897"/>
      <c r="AH83" s="4450"/>
      <c r="AI83" s="2940"/>
    </row>
    <row r="84" spans="1:35">
      <c r="A84" s="53"/>
      <c r="B84" s="95"/>
      <c r="C84" s="40"/>
      <c r="D84" s="40"/>
      <c r="E84" s="40"/>
      <c r="H84" s="3318"/>
      <c r="I84" s="2988"/>
      <c r="J84" s="3318"/>
      <c r="K84" s="2994"/>
      <c r="L84" s="3504"/>
      <c r="M84" s="2982"/>
      <c r="N84" s="4419"/>
      <c r="O84" s="4420"/>
      <c r="P84" s="2895"/>
      <c r="Q84" s="2114"/>
      <c r="R84" s="2895"/>
      <c r="S84" s="2973"/>
      <c r="T84" s="2911"/>
      <c r="U84" s="2966"/>
      <c r="V84" s="2911"/>
      <c r="W84" s="2956"/>
      <c r="X84" s="3900"/>
      <c r="Y84" s="1897"/>
      <c r="Z84" s="3900"/>
      <c r="AA84" s="2940"/>
      <c r="AB84" s="2927"/>
      <c r="AC84" s="1897"/>
      <c r="AD84" s="2927"/>
      <c r="AE84" s="2940"/>
      <c r="AF84" s="4450"/>
      <c r="AG84" s="1897"/>
      <c r="AH84" s="4450"/>
      <c r="AI84" s="2940"/>
    </row>
    <row r="85" spans="1:35">
      <c r="A85" s="53"/>
      <c r="B85" s="95"/>
      <c r="C85" s="40"/>
      <c r="D85" s="40"/>
      <c r="E85" s="40"/>
      <c r="H85" s="3320" t="str">
        <f>IF(H86&lt;H75,"See Line 11 Note "," ")</f>
        <v xml:space="preserve"> </v>
      </c>
      <c r="I85" s="2988"/>
      <c r="J85" s="3318"/>
      <c r="K85" s="2994"/>
      <c r="L85" s="3506" t="str">
        <f>IF(L86&lt;L75,"See Line 11 Note "," ")</f>
        <v xml:space="preserve"> </v>
      </c>
      <c r="M85" s="2983" t="str">
        <f>IF(M86&lt;M75,"See Line 11 Note "," ")</f>
        <v xml:space="preserve"> </v>
      </c>
      <c r="N85" s="4419"/>
      <c r="O85" s="4420"/>
      <c r="P85" s="2897" t="str">
        <f>IF(P86&lt;P75,"See Line 11 Note "," ")</f>
        <v xml:space="preserve"> </v>
      </c>
      <c r="Q85" s="2117" t="str">
        <f>IF(Q86&lt;Q75,"See Line 11 Note "," ")</f>
        <v xml:space="preserve"> </v>
      </c>
      <c r="R85" s="2895"/>
      <c r="S85" s="2973"/>
      <c r="T85" s="2913" t="str">
        <f>IF(T86&lt;T75,"See Line 11 Note "," ")</f>
        <v xml:space="preserve"> </v>
      </c>
      <c r="U85" s="2968" t="str">
        <f>IF(U86&lt;U75,"See Line 11 Note "," ")</f>
        <v xml:space="preserve"> </v>
      </c>
      <c r="V85" s="2911"/>
      <c r="W85" s="2956"/>
      <c r="X85" s="4096" t="str">
        <f>IF(X86&lt;X75,"See Line 11 Note "," ")</f>
        <v xml:space="preserve"> </v>
      </c>
      <c r="Y85" s="2948" t="str">
        <f>IF(Y86&lt;Y75,"See Line 11 Note "," ")</f>
        <v xml:space="preserve"> </v>
      </c>
      <c r="Z85" s="3900"/>
      <c r="AA85" s="2940"/>
      <c r="AB85" s="2929" t="str">
        <f>IF(AB86&lt;AB75,"See Line 11 Note "," ")</f>
        <v xml:space="preserve"> </v>
      </c>
      <c r="AC85" s="2948" t="str">
        <f>IF(AC86&lt;AC75,"See Line 11 Note "," ")</f>
        <v xml:space="preserve"> </v>
      </c>
      <c r="AD85" s="2927"/>
      <c r="AE85" s="2940"/>
      <c r="AF85" s="4452" t="str">
        <f>IF(AF86&lt;AF75,"See Line 11 Note "," ")</f>
        <v xml:space="preserve"> </v>
      </c>
      <c r="AG85" s="2948" t="str">
        <f>IF(AG86&lt;AG75,"See Line 11 Note "," ")</f>
        <v xml:space="preserve"> </v>
      </c>
      <c r="AH85" s="4450"/>
      <c r="AI85" s="2940"/>
    </row>
    <row r="86" spans="1:35">
      <c r="A86" s="104" t="s">
        <v>141</v>
      </c>
      <c r="B86" s="105" t="s">
        <v>2655</v>
      </c>
      <c r="C86" s="40"/>
      <c r="D86" s="40"/>
      <c r="E86" s="40"/>
      <c r="H86" s="3319">
        <f>IF(H75=0,0,IF('Data Entry - SOF'!C63+'Data Entry - SOF'!C64-'Existing Debt'!G61&lt;0,0,IF('Data Entry - SOF'!C63+'Data Entry - SOF'!C64-'Existing Debt'!G61&gt;H79,H75,(('Data Entry - SOF'!C63+'Data Entry - SOF'!C64-'Existing Debt'!G61)/H79)*H75)))</f>
        <v>0</v>
      </c>
      <c r="I86" s="2987">
        <f>IF(I75=0,0,IF('Data Entry - SOF'!C63+'Data Entry - SOF'!C64-'Existing Debt'!H61&lt;0,0,IF('Data Entry - SOF'!C63+'Data Entry - SOF'!C64-'Existing Debt'!H61&gt;I79,I75,(('Data Entry - SOF'!C63+'Data Entry - SOF'!C64-'Existing Debt'!H61)/I79)*I75)))</f>
        <v>0</v>
      </c>
      <c r="J86" s="3319">
        <f>J75</f>
        <v>0</v>
      </c>
      <c r="K86" s="2993">
        <f>K75</f>
        <v>0</v>
      </c>
      <c r="L86" s="3505">
        <f>IF(L75=0,0,IF('Data Entry - SOF'!E63+'Data Entry - SOF'!E64-'Existing Debt'!I61&lt;0,0,IF('Data Entry - SOF'!E63+'Data Entry - SOF'!E64-'Existing Debt'!I61&gt;L79,L75,(('Data Entry - SOF'!E63+'Data Entry - SOF'!E64-'Existing Debt'!I61)/L79)*L75)))</f>
        <v>0</v>
      </c>
      <c r="M86" s="3516">
        <f>IF(M75=0,0,IF('Data Entry - SOF'!E63+'Data Entry - SOF'!E64-'Existing Debt'!J61&lt;0,0,IF('Data Entry - SOF'!E63+'Data Entry - SOF'!E64-'Existing Debt'!J61&gt;M79,M75,(('Data Entry - SOF'!E63+'Data Entry - SOF'!E64-'Existing Debt'!J61)/M79)*M75)))</f>
        <v>0</v>
      </c>
      <c r="N86" s="4418">
        <f>N75</f>
        <v>0</v>
      </c>
      <c r="O86" s="4426">
        <f>O75</f>
        <v>0</v>
      </c>
      <c r="P86" s="2896">
        <f>IF(P75=0,0,IF('Data Entry - SOF'!G63+'Data Entry - SOF'!G64-'Existing Debt'!K61&lt;0,0,IF('Data Entry - SOF'!G63+'Data Entry - SOF'!G64-'Existing Debt'!K61&gt;P79,P75,(('Data Entry - SOF'!G63+'Data Entry - SOF'!G64-'Existing Debt'!K61)/P79)*P75)))</f>
        <v>0</v>
      </c>
      <c r="Q86" s="2980">
        <f>IF(Q75=0,0,IF('Data Entry - SOF'!G63+'Data Entry - SOF'!G64-'Existing Debt'!L61&lt;0,0,IF('Data Entry - SOF'!G63+'Data Entry - SOF'!G64-'Existing Debt'!L61&gt;Q79,Q75,(('Data Entry - SOF'!G63+'Data Entry - SOF'!G64-'Existing Debt'!L61)/Q79)*Q75)))</f>
        <v>0</v>
      </c>
      <c r="R86" s="2902">
        <f>R75</f>
        <v>0</v>
      </c>
      <c r="S86" s="2974">
        <f>S75</f>
        <v>0</v>
      </c>
      <c r="T86" s="2912">
        <f>IF(T75=0,0,IF('Data Entry - SOF'!I63+'Data Entry - SOF'!I64-'Existing Debt'!M61&lt;0,0,IF('Data Entry - SOF'!I63+'Data Entry - SOF'!I64-'Existing Debt'!M61&gt;T79,T75,(('Data Entry - SOF'!I63+'Data Entry - SOF'!I64-'Existing Debt'!M61)/T79)*T75)))</f>
        <v>0</v>
      </c>
      <c r="U86" s="2967">
        <f>IF(U75=0,0,IF('Data Entry - SOF'!I63+'Data Entry - SOF'!I64-'Existing Debt'!N61&lt;0,0,IF('Data Entry - SOF'!I63+'Data Entry - SOF'!I64-'Existing Debt'!N61&gt;U79,U75,(('Data Entry - SOF'!I63+'Data Entry - SOF'!I64-'Existing Debt'!N61)/U79)*U75)))</f>
        <v>0</v>
      </c>
      <c r="V86" s="2918">
        <f>V75</f>
        <v>0</v>
      </c>
      <c r="W86" s="2957">
        <f>W75</f>
        <v>0</v>
      </c>
      <c r="X86" s="4434">
        <f>IF(X75=0,0,IF('Data Entry - SOF'!K63+'Data Entry - SOF'!K64-'Existing Debt'!O61&lt;0,0,IF('Data Entry - SOF'!K63+'Data Entry - SOF'!K64-'Existing Debt'!O61&gt;X79,X75,(('Data Entry - SOF'!K63+'Data Entry - SOF'!K64-'Existing Debt'!O61)/X79)*X75)))</f>
        <v>0</v>
      </c>
      <c r="Y86" s="2947">
        <f>IF(Y75=0,0,IF('Data Entry - SOF'!K63+'Data Entry - SOF'!K64-'Existing Debt'!P61&lt;0,0,IF('Data Entry - SOF'!K63+'Data Entry - SOF'!K64-'Existing Debt'!P61&gt;Y79,Y75,(('Data Entry - SOF'!K63+'Data Entry - SOF'!K64-'Existing Debt'!P61)/Y79)*Y75)))</f>
        <v>0</v>
      </c>
      <c r="Z86" s="4439">
        <f>Z75</f>
        <v>0</v>
      </c>
      <c r="AA86" s="2941">
        <f>AA75</f>
        <v>0</v>
      </c>
      <c r="AB86" s="2928">
        <f>IF(AB75=0,0,IF('Data Entry - SOF'!M63+'Data Entry - SOF'!M64-'Existing Debt'!Q61&lt;0,0,IF('Data Entry - SOF'!M63+'Data Entry - SOF'!M64-'Existing Debt'!Q61&gt;AB79,AB75,(('Data Entry - SOF'!M63+'Data Entry - SOF'!M64-'Existing Debt'!Q61)/AB79)*AB75)))</f>
        <v>0</v>
      </c>
      <c r="AC86" s="2947">
        <f>IF(AC75=0,0,IF('Data Entry - SOF'!M63+'Data Entry - SOF'!M64-'Existing Debt'!R61&lt;0,0,IF('Data Entry - SOF'!M63+'Data Entry - SOF'!M64-'Existing Debt'!R61&gt;AC79,AC75,(('Data Entry - SOF'!M63+'Data Entry - SOF'!M64-'Existing Debt'!R61)/AC79)*AC75)))</f>
        <v>0</v>
      </c>
      <c r="AD86" s="2934">
        <f>AD75</f>
        <v>0</v>
      </c>
      <c r="AE86" s="2941">
        <f>AE75</f>
        <v>0</v>
      </c>
      <c r="AF86" s="4451">
        <f>IF(AF75=0,0,IF('Data Entry - SOF'!O63+'Data Entry - SOF'!O64-'Existing Debt'!S61&lt;0,0,IF('Data Entry - SOF'!O63+'Data Entry - SOF'!O64-'Existing Debt'!S61&gt;AF79,AF75,(('Data Entry - SOF'!O63+'Data Entry - SOF'!O64-'Existing Debt'!S61)/AF79)*AF75)))</f>
        <v>0</v>
      </c>
      <c r="AG86" s="2947">
        <f>IF(AG75=0,0,IF('Data Entry - SOF'!O63+'Data Entry - SOF'!O64-'Existing Debt'!T61&lt;0,0,IF('Data Entry - SOF'!O63+'Data Entry - SOF'!O64-'Existing Debt'!T61&gt;AG79,AG75,(('Data Entry - SOF'!O63+'Data Entry - SOF'!O64-'Existing Debt'!T61)/AG79)*AG75)))</f>
        <v>0</v>
      </c>
      <c r="AH86" s="4458">
        <f>AH75</f>
        <v>0</v>
      </c>
      <c r="AI86" s="2941">
        <f>AI75</f>
        <v>0</v>
      </c>
    </row>
    <row r="87" spans="1:35">
      <c r="A87" s="104"/>
      <c r="B87" s="936" t="s">
        <v>2656</v>
      </c>
      <c r="C87" s="40"/>
      <c r="D87" s="40"/>
      <c r="E87" s="40"/>
    </row>
    <row r="88" spans="1:35">
      <c r="A88" s="104"/>
      <c r="B88" s="95" t="s">
        <v>4594</v>
      </c>
      <c r="C88" s="40"/>
      <c r="D88" s="40"/>
      <c r="E88" s="40"/>
    </row>
    <row r="89" spans="1:35">
      <c r="A89" s="53"/>
      <c r="B89" s="936" t="s">
        <v>645</v>
      </c>
      <c r="C89" s="40"/>
      <c r="D89" s="40"/>
      <c r="E89" s="40"/>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workbookViewId="0">
      <selection activeCell="G11" sqref="G11"/>
    </sheetView>
  </sheetViews>
  <sheetFormatPr defaultRowHeight="12.75"/>
  <cols>
    <col min="1" max="1" width="4.7109375" customWidth="1"/>
    <col min="2" max="2" width="9.5703125" customWidth="1"/>
    <col min="4" max="4" width="11.140625" customWidth="1"/>
    <col min="5" max="5" width="15.85546875" customWidth="1"/>
    <col min="6" max="6" width="24.140625" customWidth="1"/>
    <col min="7" max="8" width="20.7109375" style="3061" customWidth="1"/>
    <col min="9" max="10" width="20.7109375" style="4553" customWidth="1"/>
    <col min="11" max="12" width="20.7109375" style="2109" customWidth="1"/>
    <col min="13" max="14" width="20.7109375" style="2903" customWidth="1"/>
    <col min="15" max="16" width="20.7109375" style="3023" customWidth="1"/>
    <col min="17" max="18" width="20.7109375" style="3747" customWidth="1"/>
    <col min="19" max="20" width="20.7109375" style="4512" customWidth="1"/>
  </cols>
  <sheetData>
    <row r="1" spans="1:20">
      <c r="A1" s="23" t="s">
        <v>78</v>
      </c>
      <c r="D1" s="84">
        <f>'Data Entry - SOF'!B1</f>
        <v>0</v>
      </c>
      <c r="H1" s="3062"/>
      <c r="J1" s="4554"/>
      <c r="L1" s="2664"/>
      <c r="N1" s="2998"/>
      <c r="P1" s="3024"/>
      <c r="Q1" s="4552"/>
      <c r="R1" s="4551"/>
      <c r="T1" s="4513" t="str">
        <f>'Data Entry - SOF'!O1</f>
        <v>84th/85th Legislative Session</v>
      </c>
    </row>
    <row r="2" spans="1:20">
      <c r="A2" s="23" t="s">
        <v>1624</v>
      </c>
      <c r="D2" s="86">
        <f>'Data Entry - SOF'!B2</f>
        <v>0</v>
      </c>
      <c r="H2" s="3062"/>
      <c r="J2" s="4554"/>
      <c r="L2" s="2664"/>
      <c r="N2" s="2998"/>
      <c r="P2" s="3024"/>
      <c r="R2" s="4475"/>
      <c r="T2" s="4514" t="str">
        <f>'Data Entry - SOF'!O2</f>
        <v>Release 2</v>
      </c>
    </row>
    <row r="3" spans="1:20">
      <c r="A3" s="23" t="s">
        <v>164</v>
      </c>
      <c r="D3" s="88">
        <f ca="1">'Data Entry - SOF'!B3</f>
        <v>43146.631174305556</v>
      </c>
      <c r="H3" s="3062"/>
      <c r="J3" s="4554"/>
      <c r="L3" s="2664"/>
      <c r="N3" s="2998"/>
      <c r="P3" s="3025"/>
      <c r="R3" s="4476"/>
      <c r="T3" s="4515">
        <f>'Data Entry - SOF'!O3</f>
        <v>43145</v>
      </c>
    </row>
    <row r="4" spans="1:20">
      <c r="H4" s="3062"/>
      <c r="J4" s="4554"/>
      <c r="L4" s="2664"/>
      <c r="N4" s="2998"/>
      <c r="P4" s="3026"/>
      <c r="R4" s="4477"/>
      <c r="T4" s="4516"/>
    </row>
    <row r="5" spans="1:20" ht="15.75">
      <c r="A5" s="38" t="s">
        <v>7721</v>
      </c>
      <c r="H5" s="3062"/>
      <c r="J5" s="4554"/>
      <c r="L5" s="2664"/>
      <c r="N5" s="2998"/>
      <c r="P5" s="3026"/>
      <c r="R5" s="4477"/>
      <c r="T5" s="4516"/>
    </row>
    <row r="6" spans="1:20" ht="15.75">
      <c r="D6" s="132"/>
      <c r="H6" s="3062"/>
      <c r="J6" s="4554"/>
      <c r="L6" s="2664"/>
      <c r="N6" s="2998"/>
      <c r="P6" s="3026"/>
      <c r="R6" s="4477"/>
      <c r="T6" s="4516"/>
    </row>
    <row r="7" spans="1:20" ht="15.75">
      <c r="C7" s="38"/>
      <c r="D7" s="97" t="s">
        <v>1091</v>
      </c>
      <c r="H7" s="3062"/>
      <c r="J7" s="4554"/>
      <c r="L7" s="2664"/>
      <c r="N7" s="2998"/>
      <c r="P7" s="3026"/>
      <c r="R7" s="4477"/>
      <c r="T7" s="4516"/>
    </row>
    <row r="8" spans="1:20" ht="15.75">
      <c r="A8" s="47" t="s">
        <v>284</v>
      </c>
      <c r="C8" s="38"/>
      <c r="H8" s="3062"/>
      <c r="J8" s="4554"/>
      <c r="L8" s="2664"/>
      <c r="N8" s="2998"/>
      <c r="P8" s="3026"/>
      <c r="R8" s="4477"/>
      <c r="T8" s="4516"/>
    </row>
    <row r="9" spans="1:20" ht="15.75">
      <c r="C9" s="38"/>
      <c r="H9" s="3062"/>
      <c r="J9" s="4554"/>
      <c r="L9" s="2664"/>
      <c r="N9" s="2998"/>
      <c r="P9" s="3026"/>
      <c r="R9" s="4477"/>
      <c r="T9" s="4516"/>
    </row>
    <row r="10" spans="1:20" ht="15">
      <c r="B10" t="s">
        <v>127</v>
      </c>
      <c r="C10" s="48" t="s">
        <v>1096</v>
      </c>
      <c r="H10" s="3062"/>
      <c r="J10" s="4554"/>
      <c r="L10" s="2664"/>
      <c r="N10" s="2998"/>
      <c r="P10" s="3026"/>
      <c r="R10" s="4477"/>
      <c r="T10" s="4516"/>
    </row>
    <row r="11" spans="1:20" ht="15">
      <c r="B11" s="49" t="s">
        <v>1030</v>
      </c>
      <c r="C11" s="48" t="s">
        <v>1342</v>
      </c>
      <c r="H11" s="3062"/>
      <c r="J11" s="4554"/>
      <c r="L11" s="2664"/>
      <c r="N11" s="2998"/>
      <c r="P11" s="3026"/>
      <c r="R11" s="4477"/>
      <c r="T11" s="4516"/>
    </row>
    <row r="12" spans="1:20" ht="15">
      <c r="B12" s="49" t="s">
        <v>285</v>
      </c>
      <c r="C12" s="48" t="s">
        <v>2994</v>
      </c>
      <c r="H12" s="3062"/>
      <c r="J12" s="4554"/>
      <c r="L12" s="2664"/>
      <c r="N12" s="2998"/>
      <c r="P12" s="3026"/>
      <c r="R12" s="4477"/>
      <c r="T12" s="4516"/>
    </row>
    <row r="13" spans="1:20" ht="15">
      <c r="B13" s="49" t="s">
        <v>1031</v>
      </c>
      <c r="C13" s="48" t="s">
        <v>1739</v>
      </c>
      <c r="H13" s="3062"/>
      <c r="J13" s="4554"/>
      <c r="L13" s="2664"/>
      <c r="N13" s="2998"/>
      <c r="P13" s="3026"/>
      <c r="R13" s="4477"/>
      <c r="T13" s="4516"/>
    </row>
    <row r="14" spans="1:20" ht="15" hidden="1">
      <c r="B14" s="49"/>
      <c r="C14" s="48"/>
      <c r="H14" s="3062"/>
      <c r="J14" s="4554"/>
      <c r="L14" s="2664"/>
      <c r="N14" s="2998"/>
      <c r="P14" s="3026"/>
      <c r="R14" s="4477"/>
      <c r="T14" s="4516"/>
    </row>
    <row r="15" spans="1:20" s="139" customFormat="1" ht="24.95" hidden="1" customHeight="1" thickTop="1">
      <c r="A15" s="146" t="s">
        <v>166</v>
      </c>
      <c r="B15" s="151"/>
      <c r="C15" s="152"/>
      <c r="D15" s="153"/>
      <c r="E15" s="153"/>
      <c r="F15" s="153"/>
      <c r="G15" s="3063"/>
      <c r="H15" s="3064"/>
      <c r="I15" s="4555"/>
      <c r="J15" s="4556"/>
      <c r="K15" s="3094"/>
      <c r="L15" s="3095"/>
      <c r="M15" s="2999"/>
      <c r="N15" s="3000"/>
      <c r="O15" s="3027"/>
      <c r="P15" s="3028"/>
      <c r="Q15" s="4478"/>
      <c r="R15" s="4479"/>
      <c r="S15" s="4517"/>
      <c r="T15" s="4518"/>
    </row>
    <row r="16" spans="1:20" s="139" customFormat="1" ht="24.95" hidden="1" customHeight="1">
      <c r="A16" s="148" t="s">
        <v>2143</v>
      </c>
      <c r="B16" s="140"/>
      <c r="C16" s="141"/>
      <c r="D16" s="142"/>
      <c r="E16" s="142"/>
      <c r="F16" s="142"/>
      <c r="G16" s="3063"/>
      <c r="H16" s="3064"/>
      <c r="I16" s="4555"/>
      <c r="J16" s="4556"/>
      <c r="K16" s="3094"/>
      <c r="L16" s="3095"/>
      <c r="M16" s="2999"/>
      <c r="N16" s="3000"/>
      <c r="O16" s="3027"/>
      <c r="P16" s="3028"/>
      <c r="Q16" s="4478"/>
      <c r="R16" s="4479"/>
      <c r="S16" s="4517"/>
      <c r="T16" s="4518"/>
    </row>
    <row r="17" spans="1:33" s="139" customFormat="1" ht="24.95" hidden="1" customHeight="1">
      <c r="A17" s="148" t="s">
        <v>19</v>
      </c>
      <c r="B17" s="140"/>
      <c r="C17" s="141"/>
      <c r="D17" s="142"/>
      <c r="E17" s="142"/>
      <c r="F17" s="142"/>
      <c r="G17" s="3063"/>
      <c r="H17" s="3064"/>
      <c r="I17" s="4555"/>
      <c r="J17" s="4556"/>
      <c r="K17" s="3094"/>
      <c r="L17" s="3095"/>
      <c r="M17" s="2999"/>
      <c r="N17" s="3000"/>
      <c r="O17" s="3027"/>
      <c r="P17" s="3028"/>
      <c r="Q17" s="4478"/>
      <c r="R17" s="4479"/>
      <c r="S17" s="4517"/>
      <c r="T17" s="4518"/>
    </row>
    <row r="18" spans="1:33" s="139" customFormat="1" ht="24.95" hidden="1" customHeight="1">
      <c r="A18" s="148" t="s">
        <v>2386</v>
      </c>
      <c r="B18" s="140"/>
      <c r="C18" s="141"/>
      <c r="D18" s="142"/>
      <c r="E18" s="142"/>
      <c r="F18" s="142"/>
      <c r="G18" s="3063"/>
      <c r="H18" s="3064"/>
      <c r="I18" s="4555"/>
      <c r="J18" s="4556"/>
      <c r="K18" s="3094"/>
      <c r="L18" s="3095"/>
      <c r="M18" s="2999"/>
      <c r="N18" s="3000"/>
      <c r="O18" s="3027"/>
      <c r="P18" s="3028"/>
      <c r="Q18" s="4478"/>
      <c r="R18" s="4479"/>
      <c r="S18" s="4517"/>
      <c r="T18" s="4518"/>
    </row>
    <row r="19" spans="1:33" s="139" customFormat="1" ht="24.95" hidden="1" customHeight="1" thickBot="1">
      <c r="A19" s="154"/>
      <c r="B19" s="155"/>
      <c r="C19" s="156"/>
      <c r="D19" s="157"/>
      <c r="E19" s="157"/>
      <c r="F19" s="157"/>
      <c r="G19" s="3063"/>
      <c r="H19" s="3064"/>
      <c r="I19" s="4555"/>
      <c r="J19" s="4556"/>
      <c r="K19" s="3094"/>
      <c r="L19" s="3095"/>
      <c r="M19" s="2999"/>
      <c r="N19" s="3000"/>
      <c r="O19" s="3027"/>
      <c r="P19" s="3028"/>
      <c r="Q19" s="4478"/>
      <c r="R19" s="4479"/>
      <c r="S19" s="4517"/>
      <c r="T19" s="4518"/>
    </row>
    <row r="20" spans="1:33" ht="15.75" thickBot="1">
      <c r="A20" s="50"/>
      <c r="B20" s="51"/>
      <c r="C20" s="52"/>
      <c r="D20" s="50"/>
      <c r="E20" s="50"/>
      <c r="F20" s="50"/>
      <c r="G20" s="3065" t="s">
        <v>4559</v>
      </c>
      <c r="H20" s="3062"/>
      <c r="J20" s="4557"/>
      <c r="K20" s="3096" t="s">
        <v>4559</v>
      </c>
      <c r="L20" s="2664"/>
      <c r="N20" s="3116"/>
      <c r="O20" s="3115" t="s">
        <v>4559</v>
      </c>
      <c r="P20" s="3026"/>
      <c r="Q20" s="4480"/>
      <c r="R20" s="4477"/>
      <c r="S20" s="4519" t="s">
        <v>4559</v>
      </c>
      <c r="T20" s="4516"/>
    </row>
    <row r="21" spans="1:33" ht="13.5" thickTop="1">
      <c r="G21" s="3057" t="s">
        <v>4510</v>
      </c>
      <c r="H21" s="3058" t="s">
        <v>4511</v>
      </c>
      <c r="I21" s="4558" t="s">
        <v>4510</v>
      </c>
      <c r="J21" s="4559" t="s">
        <v>4511</v>
      </c>
      <c r="K21" s="2997" t="s">
        <v>4510</v>
      </c>
      <c r="L21" s="2996" t="s">
        <v>4511</v>
      </c>
      <c r="M21" s="2997" t="s">
        <v>4510</v>
      </c>
      <c r="N21" s="2996" t="s">
        <v>4511</v>
      </c>
      <c r="O21" s="2997" t="s">
        <v>4510</v>
      </c>
      <c r="P21" s="2996" t="s">
        <v>4511</v>
      </c>
      <c r="Q21" s="4481" t="s">
        <v>4510</v>
      </c>
      <c r="R21" s="4482" t="s">
        <v>4511</v>
      </c>
      <c r="S21" s="4520" t="s">
        <v>4510</v>
      </c>
      <c r="T21" s="4521" t="s">
        <v>4511</v>
      </c>
      <c r="U21" s="323"/>
      <c r="V21" s="323"/>
      <c r="W21" s="323"/>
      <c r="X21" s="323"/>
      <c r="Y21" s="323"/>
      <c r="Z21" s="323"/>
      <c r="AA21" s="323"/>
      <c r="AB21" s="323"/>
      <c r="AC21" s="323"/>
      <c r="AD21" s="323"/>
      <c r="AE21" s="323"/>
      <c r="AF21" s="323"/>
      <c r="AG21" s="323"/>
    </row>
    <row r="22" spans="1:33" ht="15.75">
      <c r="A22" s="46" t="s">
        <v>921</v>
      </c>
      <c r="B22" s="26"/>
      <c r="C22" s="12"/>
      <c r="D22" s="26"/>
      <c r="E22" s="26"/>
      <c r="F22" s="12"/>
      <c r="G22" s="3066" t="s">
        <v>3613</v>
      </c>
      <c r="H22" s="3067" t="s">
        <v>3613</v>
      </c>
      <c r="I22" s="4560" t="s">
        <v>3673</v>
      </c>
      <c r="J22" s="4561" t="s">
        <v>3673</v>
      </c>
      <c r="K22" s="2110" t="s">
        <v>3830</v>
      </c>
      <c r="L22" s="2665" t="s">
        <v>3830</v>
      </c>
      <c r="M22" s="2904" t="s">
        <v>3903</v>
      </c>
      <c r="N22" s="3001" t="s">
        <v>3903</v>
      </c>
      <c r="O22" s="3029" t="s">
        <v>4592</v>
      </c>
      <c r="P22" s="3030" t="s">
        <v>4592</v>
      </c>
      <c r="Q22" s="4483" t="s">
        <v>7097</v>
      </c>
      <c r="R22" s="4484" t="s">
        <v>7097</v>
      </c>
      <c r="S22" s="4522" t="s">
        <v>7733</v>
      </c>
      <c r="T22" s="4523" t="str">
        <f>S22</f>
        <v>2022-23</v>
      </c>
    </row>
    <row r="23" spans="1:33">
      <c r="A23" s="40"/>
      <c r="G23" s="3066" t="s">
        <v>2372</v>
      </c>
      <c r="H23" s="3067" t="s">
        <v>2372</v>
      </c>
      <c r="I23" s="4560" t="s">
        <v>2372</v>
      </c>
      <c r="J23" s="4561" t="s">
        <v>2372</v>
      </c>
      <c r="K23" s="2110" t="s">
        <v>2372</v>
      </c>
      <c r="L23" s="2665" t="s">
        <v>2372</v>
      </c>
      <c r="M23" s="2904" t="s">
        <v>2372</v>
      </c>
      <c r="N23" s="3001" t="s">
        <v>2372</v>
      </c>
      <c r="O23" s="3029" t="s">
        <v>2372</v>
      </c>
      <c r="P23" s="3030" t="s">
        <v>2372</v>
      </c>
      <c r="Q23" s="4483" t="s">
        <v>2372</v>
      </c>
      <c r="R23" s="4484" t="s">
        <v>2372</v>
      </c>
      <c r="S23" s="4522" t="s">
        <v>2372</v>
      </c>
      <c r="T23" s="4523" t="s">
        <v>2372</v>
      </c>
    </row>
    <row r="24" spans="1:33">
      <c r="A24" s="53" t="s">
        <v>2501</v>
      </c>
      <c r="B24" t="s">
        <v>7722</v>
      </c>
      <c r="G24" s="3068">
        <f>'Data Entry - SOF'!C128</f>
        <v>0</v>
      </c>
      <c r="H24" s="3069">
        <f>G24</f>
        <v>0</v>
      </c>
      <c r="I24" s="4562">
        <f>'Data Entry - SOF'!C63</f>
        <v>0</v>
      </c>
      <c r="J24" s="4563">
        <f>I24</f>
        <v>0</v>
      </c>
      <c r="K24" s="3097">
        <f>I24</f>
        <v>0</v>
      </c>
      <c r="L24" s="3098">
        <f>K24</f>
        <v>0</v>
      </c>
      <c r="M24" s="3002">
        <f>'Data Entry - SOF'!G63</f>
        <v>0</v>
      </c>
      <c r="N24" s="3003">
        <f>M24</f>
        <v>0</v>
      </c>
      <c r="O24" s="3031">
        <f>M24</f>
        <v>0</v>
      </c>
      <c r="P24" s="3032">
        <f>O24</f>
        <v>0</v>
      </c>
      <c r="Q24" s="4485">
        <f>'Data Entry - SOF'!K63</f>
        <v>0</v>
      </c>
      <c r="R24" s="4486">
        <f>Q24</f>
        <v>0</v>
      </c>
      <c r="S24" s="4524">
        <f>R24</f>
        <v>0</v>
      </c>
      <c r="T24" s="4525">
        <f>S24</f>
        <v>0</v>
      </c>
    </row>
    <row r="25" spans="1:33">
      <c r="A25" s="53"/>
      <c r="B25" s="97"/>
      <c r="G25" s="3070"/>
      <c r="H25" s="3071"/>
      <c r="I25" s="4564"/>
      <c r="J25" s="4565"/>
      <c r="K25" s="3099"/>
      <c r="L25" s="3100"/>
      <c r="M25" s="3004"/>
      <c r="N25" s="3005"/>
      <c r="O25" s="3033"/>
      <c r="P25" s="3034"/>
      <c r="Q25" s="4487"/>
      <c r="R25" s="4488"/>
      <c r="S25" s="4526"/>
      <c r="T25" s="4527"/>
    </row>
    <row r="26" spans="1:33">
      <c r="A26" s="53" t="s">
        <v>2502</v>
      </c>
      <c r="B26" t="s">
        <v>3973</v>
      </c>
      <c r="G26" s="3072">
        <f>'Data Entry - SOF'!C130</f>
        <v>0</v>
      </c>
      <c r="H26" s="3073">
        <f>G26</f>
        <v>0</v>
      </c>
      <c r="I26" s="4566">
        <f>G61</f>
        <v>0</v>
      </c>
      <c r="J26" s="4567">
        <f>I26</f>
        <v>0</v>
      </c>
      <c r="K26" s="3101">
        <f>G61</f>
        <v>0</v>
      </c>
      <c r="L26" s="2970">
        <f>K26</f>
        <v>0</v>
      </c>
      <c r="M26" s="2906">
        <f>K61</f>
        <v>0</v>
      </c>
      <c r="N26" s="3006">
        <f>M26</f>
        <v>0</v>
      </c>
      <c r="O26" s="3035">
        <f>M26</f>
        <v>0</v>
      </c>
      <c r="P26" s="3036">
        <f>O26</f>
        <v>0</v>
      </c>
      <c r="Q26" s="4489">
        <f>O61</f>
        <v>0</v>
      </c>
      <c r="R26" s="4490">
        <f>Q26</f>
        <v>0</v>
      </c>
      <c r="S26" s="4528">
        <f>R26</f>
        <v>0</v>
      </c>
      <c r="T26" s="4529">
        <f>S26</f>
        <v>0</v>
      </c>
    </row>
    <row r="27" spans="1:33">
      <c r="A27" s="40"/>
      <c r="B27" s="97"/>
      <c r="G27" s="3070"/>
      <c r="H27" s="3071"/>
      <c r="I27" s="4564"/>
      <c r="J27" s="4565"/>
      <c r="K27" s="3099"/>
      <c r="L27" s="3100"/>
      <c r="M27" s="3004"/>
      <c r="N27" s="3005"/>
      <c r="O27" s="3033"/>
      <c r="P27" s="3034"/>
      <c r="Q27" s="4487"/>
      <c r="R27" s="4488"/>
      <c r="S27" s="4526"/>
      <c r="T27" s="4527"/>
    </row>
    <row r="28" spans="1:33">
      <c r="A28" s="53" t="s">
        <v>2503</v>
      </c>
      <c r="B28" t="s">
        <v>3974</v>
      </c>
      <c r="G28" s="3072">
        <f>'Data Entry - SOF'!C131</f>
        <v>0</v>
      </c>
      <c r="H28" s="3073">
        <f>G28</f>
        <v>0</v>
      </c>
      <c r="I28" s="4566">
        <f>'Report-IFA1617'!D20</f>
        <v>0</v>
      </c>
      <c r="J28" s="4567">
        <f>I28</f>
        <v>0</v>
      </c>
      <c r="K28" s="3101">
        <f>J28</f>
        <v>0</v>
      </c>
      <c r="L28" s="2970">
        <f>K28</f>
        <v>0</v>
      </c>
      <c r="M28" s="2906">
        <f>'Report-IFA1819'!D20</f>
        <v>0</v>
      </c>
      <c r="N28" s="3006">
        <f>M28</f>
        <v>0</v>
      </c>
      <c r="O28" s="3035">
        <f>M28</f>
        <v>0</v>
      </c>
      <c r="P28" s="3036">
        <f>O28</f>
        <v>0</v>
      </c>
      <c r="Q28" s="4491">
        <f>'Report-IFA2021'!D20</f>
        <v>0</v>
      </c>
      <c r="R28" s="4490">
        <f>Q28</f>
        <v>0</v>
      </c>
      <c r="S28" s="4530">
        <f>R28</f>
        <v>0</v>
      </c>
      <c r="T28" s="4529">
        <f>S28</f>
        <v>0</v>
      </c>
    </row>
    <row r="29" spans="1:33">
      <c r="A29" s="53"/>
      <c r="B29" s="97"/>
      <c r="G29" s="3070"/>
      <c r="H29" s="3071"/>
      <c r="I29" s="4564"/>
      <c r="J29" s="4565"/>
      <c r="K29" s="3099"/>
      <c r="L29" s="3100"/>
      <c r="M29" s="3004"/>
      <c r="N29" s="3005"/>
      <c r="O29" s="3033"/>
      <c r="P29" s="3034"/>
      <c r="Q29" s="4487"/>
      <c r="R29" s="4488"/>
      <c r="S29" s="4526"/>
      <c r="T29" s="4527"/>
    </row>
    <row r="30" spans="1:33">
      <c r="A30" s="53" t="s">
        <v>1024</v>
      </c>
      <c r="B30" t="s">
        <v>329</v>
      </c>
      <c r="G30" s="3074">
        <f t="shared" ref="G30:N30" si="0">IF(G24-G26-G28&lt;0,0,G24-G26-G28)</f>
        <v>0</v>
      </c>
      <c r="H30" s="3075">
        <f t="shared" si="0"/>
        <v>0</v>
      </c>
      <c r="I30" s="4568">
        <f t="shared" si="0"/>
        <v>0</v>
      </c>
      <c r="J30" s="4569">
        <f t="shared" si="0"/>
        <v>0</v>
      </c>
      <c r="K30" s="3102">
        <f t="shared" si="0"/>
        <v>0</v>
      </c>
      <c r="L30" s="3103">
        <f t="shared" si="0"/>
        <v>0</v>
      </c>
      <c r="M30" s="3007">
        <f t="shared" si="0"/>
        <v>0</v>
      </c>
      <c r="N30" s="3008">
        <f t="shared" si="0"/>
        <v>0</v>
      </c>
      <c r="O30" s="3037">
        <f t="shared" ref="O30:T30" si="1">IF(O24-O26-O28&lt;0,0,O24-O26-O28)</f>
        <v>0</v>
      </c>
      <c r="P30" s="3038">
        <f t="shared" si="1"/>
        <v>0</v>
      </c>
      <c r="Q30" s="4492">
        <f t="shared" si="1"/>
        <v>0</v>
      </c>
      <c r="R30" s="4493">
        <f t="shared" si="1"/>
        <v>0</v>
      </c>
      <c r="S30" s="4531">
        <f t="shared" si="1"/>
        <v>0</v>
      </c>
      <c r="T30" s="4532">
        <f t="shared" si="1"/>
        <v>0</v>
      </c>
    </row>
    <row r="31" spans="1:33">
      <c r="A31" s="53"/>
      <c r="B31" t="s">
        <v>1013</v>
      </c>
      <c r="G31" s="3070"/>
      <c r="H31" s="3071"/>
      <c r="I31" s="4564"/>
      <c r="J31" s="4565"/>
      <c r="K31" s="3099"/>
      <c r="L31" s="3100"/>
      <c r="M31" s="3004"/>
      <c r="N31" s="3005"/>
      <c r="O31" s="3033"/>
      <c r="P31" s="3034"/>
      <c r="Q31" s="4487"/>
      <c r="R31" s="4488"/>
      <c r="S31" s="4526"/>
      <c r="T31" s="4527"/>
    </row>
    <row r="32" spans="1:33">
      <c r="A32" s="53"/>
      <c r="G32" s="3070"/>
      <c r="H32" s="3071"/>
      <c r="I32" s="4564"/>
      <c r="J32" s="4565"/>
      <c r="K32" s="3099"/>
      <c r="L32" s="3100"/>
      <c r="M32" s="3004"/>
      <c r="N32" s="3005"/>
      <c r="O32" s="3033"/>
      <c r="P32" s="3034"/>
      <c r="Q32" s="4487"/>
      <c r="R32" s="4488"/>
      <c r="S32" s="4526"/>
      <c r="T32" s="4527"/>
    </row>
    <row r="33" spans="1:20">
      <c r="A33" s="53" t="s">
        <v>1025</v>
      </c>
      <c r="B33" s="111" t="s">
        <v>18</v>
      </c>
      <c r="G33" s="3072">
        <f>'Data Entry - SOF'!C73</f>
        <v>0</v>
      </c>
      <c r="H33" s="3073">
        <f>G33</f>
        <v>0</v>
      </c>
      <c r="I33" s="4566">
        <f>'Data Entry - SOF'!E73</f>
        <v>0</v>
      </c>
      <c r="J33" s="4567">
        <f>I33</f>
        <v>0</v>
      </c>
      <c r="K33" s="3101">
        <f>'Data Entry - SOF'!G73</f>
        <v>0</v>
      </c>
      <c r="L33" s="2970">
        <f>'Data Entry - SOF'!G73</f>
        <v>0</v>
      </c>
      <c r="M33" s="2906">
        <f>'Data Entry - SOF'!I73</f>
        <v>0</v>
      </c>
      <c r="N33" s="3006">
        <f>M33</f>
        <v>0</v>
      </c>
      <c r="O33" s="3035">
        <f>'Data Entry - SOF'!K73</f>
        <v>0</v>
      </c>
      <c r="P33" s="3036">
        <f>O33</f>
        <v>0</v>
      </c>
      <c r="Q33" s="4489">
        <f>'Data Entry - SOF'!M73</f>
        <v>0</v>
      </c>
      <c r="R33" s="4490">
        <f>Q33</f>
        <v>0</v>
      </c>
      <c r="S33" s="4528">
        <f>'Data Entry - SOF'!O73</f>
        <v>0</v>
      </c>
      <c r="T33" s="4529">
        <f>S33</f>
        <v>0</v>
      </c>
    </row>
    <row r="34" spans="1:20">
      <c r="A34" s="40"/>
      <c r="B34" s="111" t="s">
        <v>2162</v>
      </c>
      <c r="G34" s="3070"/>
      <c r="H34" s="3071"/>
      <c r="I34" s="4564"/>
      <c r="J34" s="4565"/>
      <c r="K34" s="3099"/>
      <c r="L34" s="3100"/>
      <c r="M34" s="3004"/>
      <c r="N34" s="3005"/>
      <c r="O34" s="3033"/>
      <c r="P34" s="3034"/>
      <c r="Q34" s="4487"/>
      <c r="R34" s="4488"/>
      <c r="S34" s="4526"/>
      <c r="T34" s="4527"/>
    </row>
    <row r="35" spans="1:20">
      <c r="A35" s="53" t="s">
        <v>1027</v>
      </c>
      <c r="B35" t="s">
        <v>7730</v>
      </c>
      <c r="G35" s="3072">
        <f>'Report-IFA1617'!D37</f>
        <v>0</v>
      </c>
      <c r="H35" s="3073">
        <f>G35</f>
        <v>0</v>
      </c>
      <c r="I35" s="4566">
        <f>'Report-IFA1718'!D37</f>
        <v>0</v>
      </c>
      <c r="J35" s="4567">
        <f>I35</f>
        <v>0</v>
      </c>
      <c r="K35" s="3101">
        <f>'Report-IFA1819'!D37</f>
        <v>0</v>
      </c>
      <c r="L35" s="2970">
        <f>K35</f>
        <v>0</v>
      </c>
      <c r="M35" s="2906">
        <f>'Report-IFA1920'!D37</f>
        <v>0</v>
      </c>
      <c r="N35" s="3006">
        <f>M35</f>
        <v>0</v>
      </c>
      <c r="O35" s="3035">
        <f>'Report-IFA2021'!D37</f>
        <v>0</v>
      </c>
      <c r="P35" s="3036">
        <f>O35</f>
        <v>0</v>
      </c>
      <c r="Q35" s="4489">
        <f>'Report-IFA2122'!D37</f>
        <v>0</v>
      </c>
      <c r="R35" s="4490">
        <f>Q35</f>
        <v>0</v>
      </c>
      <c r="S35" s="4528">
        <f>'Report-IFA2223'!F37</f>
        <v>0</v>
      </c>
      <c r="T35" s="4529">
        <f>S35</f>
        <v>0</v>
      </c>
    </row>
    <row r="36" spans="1:20">
      <c r="A36" s="53"/>
      <c r="G36" s="3070"/>
      <c r="H36" s="3071"/>
      <c r="I36" s="4564"/>
      <c r="J36" s="4565"/>
      <c r="K36" s="3099"/>
      <c r="L36" s="3100"/>
      <c r="M36" s="3004"/>
      <c r="N36" s="3005"/>
      <c r="O36" s="3033"/>
      <c r="P36" s="3034"/>
      <c r="Q36" s="4487"/>
      <c r="R36" s="4488"/>
      <c r="S36" s="4526"/>
      <c r="T36" s="4527"/>
    </row>
    <row r="37" spans="1:20">
      <c r="A37" s="53" t="s">
        <v>1028</v>
      </c>
      <c r="B37" t="s">
        <v>2285</v>
      </c>
      <c r="G37" s="3076">
        <f>'Data Entry - SOF'!C17</f>
        <v>0</v>
      </c>
      <c r="H37" s="3077">
        <f>G37</f>
        <v>0</v>
      </c>
      <c r="I37" s="4570">
        <f>'Data Entry - SOF'!E17</f>
        <v>0</v>
      </c>
      <c r="J37" s="4571">
        <f>I37</f>
        <v>0</v>
      </c>
      <c r="K37" s="3104">
        <f>'Data Entry - SOF'!G17</f>
        <v>0</v>
      </c>
      <c r="L37" s="3105">
        <f>'Data Entry - SOF'!G17</f>
        <v>0</v>
      </c>
      <c r="M37" s="3009">
        <f>'Data Entry - SOF'!I17</f>
        <v>0</v>
      </c>
      <c r="N37" s="3010">
        <f>M37</f>
        <v>0</v>
      </c>
      <c r="O37" s="3039">
        <f>'Data Entry - SOF'!K17</f>
        <v>0</v>
      </c>
      <c r="P37" s="3040">
        <f>O37</f>
        <v>0</v>
      </c>
      <c r="Q37" s="4494">
        <f>'Data Entry - SOF'!M17</f>
        <v>0</v>
      </c>
      <c r="R37" s="4495">
        <f>Q37</f>
        <v>0</v>
      </c>
      <c r="S37" s="4533">
        <f>'Data Entry - SOF'!O17</f>
        <v>0</v>
      </c>
      <c r="T37" s="4534">
        <f>S37</f>
        <v>0</v>
      </c>
    </row>
    <row r="38" spans="1:20">
      <c r="A38" s="40"/>
      <c r="H38" s="3062"/>
      <c r="J38" s="4554"/>
      <c r="L38" s="2664"/>
      <c r="N38" s="2998"/>
      <c r="P38" s="3026"/>
      <c r="R38" s="4477"/>
      <c r="T38" s="4516"/>
    </row>
    <row r="39" spans="1:20">
      <c r="A39" s="53" t="s">
        <v>1029</v>
      </c>
      <c r="B39" t="s">
        <v>7368</v>
      </c>
      <c r="G39" s="3072">
        <f>'Data Entry - SOF'!C127</f>
        <v>0</v>
      </c>
      <c r="H39" s="3073">
        <f>G39</f>
        <v>0</v>
      </c>
      <c r="I39" s="4566">
        <f>'Data Entry - SOF'!C53</f>
        <v>0</v>
      </c>
      <c r="J39" s="4567">
        <f>I39</f>
        <v>0</v>
      </c>
      <c r="K39" s="3101">
        <f>I39</f>
        <v>0</v>
      </c>
      <c r="L39" s="2970">
        <f>K39</f>
        <v>0</v>
      </c>
      <c r="M39" s="2906">
        <f>'Data Entry - SOF'!G53</f>
        <v>0</v>
      </c>
      <c r="N39" s="3006">
        <f>M39</f>
        <v>0</v>
      </c>
      <c r="O39" s="3035">
        <f>N39</f>
        <v>0</v>
      </c>
      <c r="P39" s="3036">
        <f>O39</f>
        <v>0</v>
      </c>
      <c r="Q39" s="4491">
        <f>'Data Entry - SOF'!K53</f>
        <v>0</v>
      </c>
      <c r="R39" s="4490">
        <f>Q39</f>
        <v>0</v>
      </c>
      <c r="S39" s="4530">
        <f>R39</f>
        <v>0</v>
      </c>
      <c r="T39" s="4529">
        <f>S39</f>
        <v>0</v>
      </c>
    </row>
    <row r="40" spans="1:20">
      <c r="A40" s="53"/>
      <c r="G40" s="3070"/>
      <c r="H40" s="3071"/>
      <c r="I40" s="4564"/>
      <c r="J40" s="4565"/>
      <c r="K40" s="3099"/>
      <c r="L40" s="3100"/>
      <c r="M40" s="3004"/>
      <c r="N40" s="3005"/>
      <c r="O40" s="3033"/>
      <c r="P40" s="3034"/>
      <c r="Q40" s="4487"/>
      <c r="R40" s="4488"/>
      <c r="S40" s="4526"/>
      <c r="T40" s="4527"/>
    </row>
    <row r="41" spans="1:20">
      <c r="A41" s="53" t="s">
        <v>139</v>
      </c>
      <c r="B41" t="s">
        <v>7723</v>
      </c>
      <c r="G41" s="3072">
        <f>'Data Entry - SOF'!C53</f>
        <v>0</v>
      </c>
      <c r="H41" s="3073">
        <f>'Data Entry - SOF'!C55</f>
        <v>0</v>
      </c>
      <c r="I41" s="4566">
        <f>'Data Entry - SOF'!E53</f>
        <v>0</v>
      </c>
      <c r="J41" s="4567">
        <f>'Data Entry - SOF'!E55</f>
        <v>0</v>
      </c>
      <c r="K41" s="3101">
        <f>'Data Entry - SOF'!G53</f>
        <v>0</v>
      </c>
      <c r="L41" s="2970">
        <f>'Data Entry - SOF'!G55</f>
        <v>0</v>
      </c>
      <c r="M41" s="2906">
        <f>'Data Entry - SOF'!I53</f>
        <v>0</v>
      </c>
      <c r="N41" s="3006">
        <f>'Data Entry - SOF'!I55</f>
        <v>0</v>
      </c>
      <c r="O41" s="3035">
        <f>'Data Entry - SOF'!K53</f>
        <v>0</v>
      </c>
      <c r="P41" s="3036">
        <f>'Data Entry - SOF'!K55</f>
        <v>0</v>
      </c>
      <c r="Q41" s="4489">
        <f>'Data Entry - SOF'!M53</f>
        <v>0</v>
      </c>
      <c r="R41" s="4490">
        <f>'Data Entry - SOF'!M55</f>
        <v>0</v>
      </c>
      <c r="S41" s="4528">
        <f>'Data Entry - SOF'!O53</f>
        <v>0</v>
      </c>
      <c r="T41" s="4529">
        <f>'Data Entry - SOF'!O55</f>
        <v>0</v>
      </c>
    </row>
    <row r="42" spans="1:20">
      <c r="A42" s="40"/>
      <c r="H42" s="3062"/>
      <c r="J42" s="4554"/>
      <c r="L42" s="2664"/>
      <c r="N42" s="2998"/>
      <c r="P42" s="3026"/>
      <c r="R42" s="4477"/>
      <c r="T42" s="4516"/>
    </row>
    <row r="43" spans="1:20" ht="15.75">
      <c r="A43" s="41" t="s">
        <v>1023</v>
      </c>
      <c r="H43" s="3062"/>
      <c r="J43" s="4554"/>
      <c r="L43" s="2664"/>
      <c r="N43" s="2998"/>
      <c r="P43" s="3026"/>
      <c r="R43" s="4477"/>
      <c r="T43" s="4516"/>
    </row>
    <row r="44" spans="1:20">
      <c r="A44" s="40"/>
      <c r="H44" s="3062"/>
      <c r="J44" s="4554"/>
      <c r="L44" s="2664"/>
      <c r="N44" s="2998"/>
      <c r="P44" s="3026"/>
      <c r="R44" s="4477"/>
      <c r="T44" s="4516"/>
    </row>
    <row r="45" spans="1:20" ht="15.75">
      <c r="A45" s="42" t="s">
        <v>126</v>
      </c>
      <c r="B45" s="26"/>
      <c r="C45" s="26"/>
      <c r="D45" s="12"/>
      <c r="E45" s="35"/>
      <c r="F45" s="35"/>
      <c r="H45" s="3062"/>
      <c r="J45" s="4554"/>
      <c r="L45" s="2664"/>
      <c r="N45" s="2998"/>
      <c r="P45" s="3026"/>
      <c r="R45" s="4477"/>
      <c r="T45" s="4516"/>
    </row>
    <row r="46" spans="1:20" ht="15.75">
      <c r="A46" s="41"/>
      <c r="H46" s="3062"/>
      <c r="J46" s="4554"/>
      <c r="L46" s="2664"/>
      <c r="N46" s="2998"/>
      <c r="P46" s="3026"/>
      <c r="R46" s="4477"/>
      <c r="T46" s="4516"/>
    </row>
    <row r="47" spans="1:20">
      <c r="A47" s="69" t="s">
        <v>140</v>
      </c>
      <c r="B47" t="s">
        <v>2354</v>
      </c>
      <c r="G47" s="3078">
        <f>IF('Data Entry - SOF'!C73&lt;=IFA!H65,0,IF(G24&lt;G26,(G24*100)/G39,((G26+G30)/(G39/100))))</f>
        <v>0</v>
      </c>
      <c r="H47" s="3079">
        <f>IF('Data Entry - SOF'!C73&lt;=IFA!I65,0,IF(H24&lt;H26,(H24*100)/H39,((H26+H30)/(H39/100))))</f>
        <v>0</v>
      </c>
      <c r="I47" s="4572">
        <f>IF('Data Entry - SOF'!E73&lt;=IFA!L65,0,IF(I24&lt;I26,(I24*100)/I39,((I26+I30)/(I39/100))))</f>
        <v>0</v>
      </c>
      <c r="J47" s="4573">
        <f>IF('Data Entry - SOF'!E73&lt;=IFA!M65,0,IF(J24&lt;J26,(J24*100)/J39,((J26+J30)/(J39/100))))</f>
        <v>0</v>
      </c>
      <c r="K47" s="3106">
        <f>IF('Data Entry - SOF'!G73&lt;=IFA!P65,0,IF(K24&lt;K26,(K24*100)/K39,((K26+K30)/(K39/100))))</f>
        <v>0</v>
      </c>
      <c r="L47" s="3107">
        <f>IF('Data Entry - SOF'!G73&lt;=IFA!Q65,0,IF(L24&lt;L26,(L24*100)/L39,((L26+L30)/(L39/100))))</f>
        <v>0</v>
      </c>
      <c r="M47" s="3011">
        <f>IF('Data Entry - SOF'!I73&lt;=IFA!T65,0,IF(M24&lt;M26,(M24*100)/M39,((M26+M30)/(M39/100))))</f>
        <v>0</v>
      </c>
      <c r="N47" s="3012">
        <f>IF('Data Entry - SOF'!I73&lt;=IFA!U65,0,IF(N24&lt;N26,(N24*100)/N39,((N26+N30)/(N39/100))))</f>
        <v>0</v>
      </c>
      <c r="O47" s="3041">
        <f>IF('Data Entry - SOF'!K73&lt;=IFA!X65,0,IF(O24&lt;O26,(O24*100)/O39,((O26+O30)/(O39/100))))</f>
        <v>0</v>
      </c>
      <c r="P47" s="3042">
        <f>IF('Data Entry - SOF'!K73&lt;=IFA!Y65,0,IF(P24&lt;P26,(P24*100)/P39,((P26+P30)/(P39/100))))</f>
        <v>0</v>
      </c>
      <c r="Q47" s="4496">
        <f>IF('Data Entry - SOF'!M73&lt;=IFA!AB65,0,IF(Q24&lt;Q26,(Q24*100)/Q39,((Q26+Q30)/(Q39/100))))</f>
        <v>0</v>
      </c>
      <c r="R47" s="4497">
        <f>IF('Data Entry - SOF'!M73&lt;=IFA!AC65,0,IF(R24&lt;R26,(R24*100)/R39,((R26+R30)/(R39/100))))</f>
        <v>0</v>
      </c>
      <c r="S47" s="4535">
        <f>IF('Data Entry - SOF'!O73&lt;=IFA!AF65,0,IF(S24&lt;S26,(S24*100)/S39,((S26+S30)/(S39/100))))</f>
        <v>0</v>
      </c>
      <c r="T47" s="4536">
        <f>IF('Data Entry - SOF'!O73&lt;=IFA!AG65,0,IF(T24&lt;T26,(T24*100)/T39,((T26+T30)/(T39/100))))</f>
        <v>0</v>
      </c>
    </row>
    <row r="48" spans="1:20">
      <c r="A48" s="69"/>
      <c r="B48" t="s">
        <v>2636</v>
      </c>
      <c r="G48" s="3080"/>
      <c r="H48" s="3081"/>
      <c r="I48" s="4574"/>
      <c r="J48" s="4575"/>
      <c r="K48" s="2116"/>
      <c r="L48" s="3108"/>
      <c r="M48" s="3013"/>
      <c r="N48" s="3014"/>
      <c r="O48" s="3043"/>
      <c r="P48" s="3044"/>
      <c r="Q48" s="4498"/>
      <c r="R48" s="4499"/>
      <c r="S48" s="4537"/>
      <c r="T48" s="4538"/>
    </row>
    <row r="49" spans="1:20">
      <c r="A49" s="69"/>
      <c r="B49" t="s">
        <v>3975</v>
      </c>
      <c r="G49" s="3080"/>
      <c r="H49" s="3081"/>
      <c r="I49" s="4574"/>
      <c r="J49" s="4575"/>
      <c r="K49" s="2116"/>
      <c r="L49" s="3108"/>
      <c r="M49" s="3013"/>
      <c r="N49" s="3014"/>
      <c r="O49" s="3043"/>
      <c r="P49" s="3044"/>
      <c r="Q49" s="4498"/>
      <c r="R49" s="4499"/>
      <c r="S49" s="4537"/>
      <c r="T49" s="4538"/>
    </row>
    <row r="50" spans="1:20" ht="15.75">
      <c r="A50" s="41"/>
      <c r="G50" s="3082"/>
      <c r="H50" s="3081"/>
      <c r="I50" s="4576"/>
      <c r="J50" s="4575"/>
      <c r="K50" s="3109"/>
      <c r="L50" s="3108"/>
      <c r="M50" s="3015"/>
      <c r="N50" s="3014"/>
      <c r="O50" s="3045"/>
      <c r="P50" s="3044"/>
      <c r="Q50" s="4500"/>
      <c r="R50" s="4499"/>
      <c r="S50" s="4539"/>
      <c r="T50" s="4538"/>
    </row>
    <row r="51" spans="1:20">
      <c r="A51" s="53" t="s">
        <v>141</v>
      </c>
      <c r="B51" t="s">
        <v>2916</v>
      </c>
      <c r="G51" s="3083">
        <f>IF(G33&lt;=G35,0,((G33-G35)/Weights!H50/G37/100))</f>
        <v>0</v>
      </c>
      <c r="H51" s="3084">
        <f>IF(H33&lt;=H35,0,((H33-H35)/Weights!H50/H37/100))</f>
        <v>0</v>
      </c>
      <c r="I51" s="4577">
        <f>IF(I33&lt;=I35,0,((I33-I35)/Weights!I50/I37/100))</f>
        <v>0</v>
      </c>
      <c r="J51" s="4578">
        <f>IF(J33&lt;=J35,0,((J33-J35)/Weights!I50/J37/100))</f>
        <v>0</v>
      </c>
      <c r="K51" s="3110">
        <f>IF(K33&lt;=K35,0,((K33-K35)/Weights!J50/K37/100))</f>
        <v>0</v>
      </c>
      <c r="L51" s="2666">
        <f>IF(L33&lt;=L35,0,((L33-L35)/Weights!J50/L37/100))</f>
        <v>0</v>
      </c>
      <c r="M51" s="3016">
        <f>IF(M33&lt;=M35,0,((M33-M35)/Weights!K50/M37/100))</f>
        <v>0</v>
      </c>
      <c r="N51" s="3017">
        <f>IF(N33&lt;=N35,0,((N33-N35)/Weights!K50/N37/100))</f>
        <v>0</v>
      </c>
      <c r="O51" s="3046">
        <f>IF(O33&lt;=O35,0,((O33-O35)/Weights!L50/O37/100))</f>
        <v>0</v>
      </c>
      <c r="P51" s="3047">
        <f>IF(P33&lt;=P35,0,((P33-P35)/Weights!L50/P37/100))</f>
        <v>0</v>
      </c>
      <c r="Q51" s="4501">
        <f>IF(Q33&lt;=Q35,0,((Q33-Q35)/Weights!M50/Q37/100))</f>
        <v>0</v>
      </c>
      <c r="R51" s="4502">
        <f>IF(R33&lt;=R35,0,((R33-R35)/Weights!M50/R37/100))</f>
        <v>0</v>
      </c>
      <c r="S51" s="4540">
        <f>IF(S33&lt;=S35,0,((S33-S35)/Weights!N50/S37/100))</f>
        <v>0</v>
      </c>
      <c r="T51" s="4541">
        <f>IF(T33&lt;=T35,0,((T33-T35)/Weights!N50/T37/100))</f>
        <v>0</v>
      </c>
    </row>
    <row r="52" spans="1:20">
      <c r="A52" s="53"/>
      <c r="B52" t="s">
        <v>846</v>
      </c>
      <c r="G52" s="3080"/>
      <c r="H52" s="3081"/>
      <c r="I52" s="4574"/>
      <c r="J52" s="4575"/>
      <c r="K52" s="2116"/>
      <c r="L52" s="3108"/>
      <c r="M52" s="3013"/>
      <c r="N52" s="3014"/>
      <c r="O52" s="3043"/>
      <c r="P52" s="3044"/>
      <c r="Q52" s="4498"/>
      <c r="R52" s="4499"/>
      <c r="S52" s="4537"/>
      <c r="T52" s="4538"/>
    </row>
    <row r="53" spans="1:20">
      <c r="A53" s="53"/>
      <c r="B53" t="s">
        <v>7729</v>
      </c>
      <c r="G53" s="3080"/>
      <c r="H53" s="3081"/>
      <c r="I53" s="4574"/>
      <c r="J53" s="4575"/>
      <c r="K53" s="2116"/>
      <c r="L53" s="3108"/>
      <c r="M53" s="3013"/>
      <c r="N53" s="3014"/>
      <c r="O53" s="3043"/>
      <c r="P53" s="3044"/>
      <c r="Q53" s="4498"/>
      <c r="R53" s="4499"/>
      <c r="S53" s="4537"/>
      <c r="T53" s="4538"/>
    </row>
    <row r="54" spans="1:20">
      <c r="A54" s="40"/>
      <c r="B54" s="3117" t="s">
        <v>7725</v>
      </c>
      <c r="G54" s="3080"/>
      <c r="H54" s="3081"/>
      <c r="I54" s="4574"/>
      <c r="J54" s="4575"/>
      <c r="K54" s="2116"/>
      <c r="L54" s="3108"/>
      <c r="M54" s="3013"/>
      <c r="N54" s="3014"/>
      <c r="O54" s="3043"/>
      <c r="P54" s="3044"/>
      <c r="Q54" s="4498"/>
      <c r="R54" s="4499"/>
      <c r="S54" s="4537"/>
      <c r="T54" s="4538"/>
    </row>
    <row r="55" spans="1:20">
      <c r="A55" s="53" t="s">
        <v>142</v>
      </c>
      <c r="B55" s="67" t="s">
        <v>825</v>
      </c>
      <c r="G55" s="3083">
        <f t="shared" ref="G55:N55" si="2">IF(MIN(G47,G51)&gt;0.29,0.29,MIN(G47,G51))</f>
        <v>0</v>
      </c>
      <c r="H55" s="3084">
        <f t="shared" si="2"/>
        <v>0</v>
      </c>
      <c r="I55" s="4577">
        <f t="shared" si="2"/>
        <v>0</v>
      </c>
      <c r="J55" s="4578">
        <f t="shared" si="2"/>
        <v>0</v>
      </c>
      <c r="K55" s="3110">
        <f t="shared" si="2"/>
        <v>0</v>
      </c>
      <c r="L55" s="2666">
        <f t="shared" si="2"/>
        <v>0</v>
      </c>
      <c r="M55" s="3016">
        <f t="shared" si="2"/>
        <v>0</v>
      </c>
      <c r="N55" s="3017">
        <f t="shared" si="2"/>
        <v>0</v>
      </c>
      <c r="O55" s="3046">
        <f t="shared" ref="O55:T55" si="3">IF(MIN(O47,O51)&gt;0.29,0.29,MIN(O47,O51))</f>
        <v>0</v>
      </c>
      <c r="P55" s="3047">
        <f t="shared" si="3"/>
        <v>0</v>
      </c>
      <c r="Q55" s="4501">
        <f t="shared" si="3"/>
        <v>0</v>
      </c>
      <c r="R55" s="4502">
        <f t="shared" si="3"/>
        <v>0</v>
      </c>
      <c r="S55" s="4540">
        <f t="shared" si="3"/>
        <v>0</v>
      </c>
      <c r="T55" s="4541">
        <f t="shared" si="3"/>
        <v>0</v>
      </c>
    </row>
    <row r="56" spans="1:20">
      <c r="A56" s="40"/>
      <c r="G56" s="3085"/>
      <c r="H56" s="3086"/>
      <c r="J56" s="4554"/>
      <c r="K56" s="2977"/>
      <c r="L56" s="2973"/>
      <c r="M56" s="2908"/>
      <c r="N56" s="3018"/>
      <c r="O56" s="3048"/>
      <c r="P56" s="3049"/>
      <c r="Q56" s="4503"/>
      <c r="R56" s="4504"/>
      <c r="S56" s="4542"/>
      <c r="T56" s="4543"/>
    </row>
    <row r="57" spans="1:20" ht="15.75">
      <c r="A57" s="42" t="s">
        <v>1026</v>
      </c>
      <c r="B57" s="26"/>
      <c r="C57" s="12"/>
      <c r="D57" s="12"/>
      <c r="G57" s="3085"/>
      <c r="H57" s="3086"/>
      <c r="J57" s="4554"/>
      <c r="K57" s="2977"/>
      <c r="L57" s="2973"/>
      <c r="M57" s="2908"/>
      <c r="N57" s="3018"/>
      <c r="O57" s="3048"/>
      <c r="P57" s="3049"/>
      <c r="Q57" s="4503"/>
      <c r="R57" s="4504"/>
      <c r="S57" s="4542"/>
      <c r="T57" s="4543"/>
    </row>
    <row r="58" spans="1:20">
      <c r="A58" s="40"/>
      <c r="G58" s="3085"/>
      <c r="H58" s="3086"/>
      <c r="J58" s="4554"/>
      <c r="K58" s="2977"/>
      <c r="L58" s="2973"/>
      <c r="M58" s="2908"/>
      <c r="N58" s="3018"/>
      <c r="O58" s="3048"/>
      <c r="P58" s="3049"/>
      <c r="Q58" s="4503"/>
      <c r="R58" s="4504"/>
      <c r="S58" s="4542"/>
      <c r="T58" s="4543"/>
    </row>
    <row r="59" spans="1:20">
      <c r="A59" s="53" t="s">
        <v>1706</v>
      </c>
      <c r="B59" s="99" t="s">
        <v>7724</v>
      </c>
      <c r="G59" s="3087">
        <f>G37*G55*Weights!H50*100</f>
        <v>0</v>
      </c>
      <c r="H59" s="3092">
        <f>H37*H55*Weights!H50*100</f>
        <v>0</v>
      </c>
      <c r="I59" s="4581">
        <f>I37*I55*Weights!I50*100</f>
        <v>0</v>
      </c>
      <c r="J59" s="4579">
        <f>J37*J55*Weights!I50*100</f>
        <v>0</v>
      </c>
      <c r="K59" s="3111">
        <f>K37*K55*Weights!J50*100</f>
        <v>0</v>
      </c>
      <c r="L59" s="2667">
        <f>L37*L55*Weights!J50*100</f>
        <v>0</v>
      </c>
      <c r="M59" s="2907">
        <f>M37*M55*Weights!K50*100</f>
        <v>0</v>
      </c>
      <c r="N59" s="3019">
        <f>N37*N55*Weights!K50*100</f>
        <v>0</v>
      </c>
      <c r="O59" s="3050">
        <f>O37*O55*Weights!L50*100</f>
        <v>0</v>
      </c>
      <c r="P59" s="3051">
        <f>P37*P55*Weights!L50*100</f>
        <v>0</v>
      </c>
      <c r="Q59" s="4505">
        <f>Q37*Q55*Weights!M50*100</f>
        <v>0</v>
      </c>
      <c r="R59" s="4506">
        <f>R37*R55*Weights!M50*100</f>
        <v>0</v>
      </c>
      <c r="S59" s="4544">
        <f>S37*S55*Weights!N50*100</f>
        <v>0</v>
      </c>
      <c r="T59" s="4545">
        <f>T37*T55*Weights!N50*100</f>
        <v>0</v>
      </c>
    </row>
    <row r="60" spans="1:20">
      <c r="A60" s="53"/>
      <c r="B60" s="3117" t="s">
        <v>7725</v>
      </c>
      <c r="G60" s="3088"/>
      <c r="H60" s="3088"/>
      <c r="I60" s="4580"/>
      <c r="J60" s="4554"/>
      <c r="K60" s="2114"/>
      <c r="L60" s="2973"/>
      <c r="M60" s="2911"/>
      <c r="N60" s="3018"/>
      <c r="O60" s="3052"/>
      <c r="P60" s="3049"/>
      <c r="Q60" s="4507"/>
      <c r="R60" s="4504"/>
      <c r="S60" s="4546"/>
      <c r="T60" s="4543"/>
    </row>
    <row r="61" spans="1:20">
      <c r="A61" s="53" t="s">
        <v>6</v>
      </c>
      <c r="B61" s="99" t="s">
        <v>2165</v>
      </c>
      <c r="G61" s="3087">
        <f t="shared" ref="G61:N61" si="4">G55*(G41/100)</f>
        <v>0</v>
      </c>
      <c r="H61" s="3092">
        <f t="shared" si="4"/>
        <v>0</v>
      </c>
      <c r="I61" s="4628">
        <f t="shared" si="4"/>
        <v>0</v>
      </c>
      <c r="J61" s="4629">
        <f t="shared" si="4"/>
        <v>0</v>
      </c>
      <c r="K61" s="3111">
        <f t="shared" si="4"/>
        <v>0</v>
      </c>
      <c r="L61" s="2667">
        <f t="shared" si="4"/>
        <v>0</v>
      </c>
      <c r="M61" s="2907">
        <f t="shared" si="4"/>
        <v>0</v>
      </c>
      <c r="N61" s="3019">
        <f t="shared" si="4"/>
        <v>0</v>
      </c>
      <c r="O61" s="3050">
        <f t="shared" ref="O61:T61" si="5">O55*(O41/100)</f>
        <v>0</v>
      </c>
      <c r="P61" s="3051">
        <f t="shared" si="5"/>
        <v>0</v>
      </c>
      <c r="Q61" s="4505">
        <f t="shared" si="5"/>
        <v>0</v>
      </c>
      <c r="R61" s="4506">
        <f t="shared" si="5"/>
        <v>0</v>
      </c>
      <c r="S61" s="4544">
        <f t="shared" si="5"/>
        <v>0</v>
      </c>
      <c r="T61" s="4545">
        <f t="shared" si="5"/>
        <v>0</v>
      </c>
    </row>
    <row r="62" spans="1:20">
      <c r="A62" s="53"/>
      <c r="B62" s="97" t="s">
        <v>2164</v>
      </c>
      <c r="H62" s="3062"/>
      <c r="I62" s="4630"/>
      <c r="J62" s="4631"/>
      <c r="L62" s="2664"/>
      <c r="N62" s="2998"/>
      <c r="P62" s="3026"/>
      <c r="R62" s="4477"/>
      <c r="T62" s="4516"/>
    </row>
    <row r="63" spans="1:20">
      <c r="A63" s="53"/>
      <c r="B63" s="97" t="s">
        <v>2163</v>
      </c>
      <c r="H63" s="3062"/>
      <c r="I63" s="4630"/>
      <c r="J63" s="4631"/>
      <c r="L63" s="2664"/>
      <c r="N63" s="2998"/>
      <c r="P63" s="3026"/>
      <c r="R63" s="4477"/>
      <c r="T63" s="4516"/>
    </row>
    <row r="64" spans="1:20">
      <c r="A64" s="53"/>
      <c r="B64" s="97"/>
      <c r="H64" s="3062"/>
      <c r="I64" s="4630"/>
      <c r="J64" s="4631"/>
      <c r="L64" s="2664"/>
      <c r="N64" s="2998"/>
      <c r="P64" s="3026"/>
      <c r="R64" s="4477"/>
      <c r="T64" s="4516"/>
    </row>
    <row r="65" spans="1:20" ht="16.5" hidden="1" thickBot="1">
      <c r="A65" s="53"/>
      <c r="B65" s="106" t="s">
        <v>2034</v>
      </c>
      <c r="C65" s="107"/>
      <c r="D65" s="107"/>
      <c r="E65" s="107"/>
      <c r="F65" s="108"/>
      <c r="H65" s="3062"/>
      <c r="I65" s="4630"/>
      <c r="J65" s="4631"/>
      <c r="L65" s="2664"/>
      <c r="N65" s="2998"/>
      <c r="P65" s="3026"/>
      <c r="R65" s="4477"/>
      <c r="T65" s="4516"/>
    </row>
    <row r="66" spans="1:20" hidden="1">
      <c r="A66" s="53"/>
      <c r="B66" s="97"/>
      <c r="H66" s="3062"/>
      <c r="I66" s="4630"/>
      <c r="J66" s="4631"/>
      <c r="L66" s="2664"/>
      <c r="N66" s="2998"/>
      <c r="P66" s="3026"/>
      <c r="R66" s="4477"/>
      <c r="T66" s="4516"/>
    </row>
    <row r="67" spans="1:20" hidden="1">
      <c r="A67" s="53"/>
      <c r="B67" s="94"/>
      <c r="H67" s="3062"/>
      <c r="I67" s="4630"/>
      <c r="J67" s="4631"/>
      <c r="L67" s="2664"/>
      <c r="N67" s="2998"/>
      <c r="P67" s="3026"/>
      <c r="R67" s="4477"/>
      <c r="T67" s="4516"/>
    </row>
    <row r="68" spans="1:20" hidden="1">
      <c r="A68" s="53"/>
      <c r="B68" s="94"/>
      <c r="H68" s="3062"/>
      <c r="I68" s="4630"/>
      <c r="J68" s="4631"/>
      <c r="L68" s="2664"/>
      <c r="N68" s="2998"/>
      <c r="P68" s="3026"/>
      <c r="R68" s="4477"/>
      <c r="T68" s="4516"/>
    </row>
    <row r="69" spans="1:20">
      <c r="A69" s="40"/>
      <c r="H69" s="3062"/>
      <c r="I69" s="4630"/>
      <c r="J69" s="4631"/>
      <c r="L69" s="2664"/>
      <c r="N69" s="2998"/>
      <c r="P69" s="3026"/>
      <c r="R69" s="4477"/>
      <c r="T69" s="4516"/>
    </row>
    <row r="70" spans="1:20">
      <c r="A70" s="53" t="s">
        <v>2551</v>
      </c>
      <c r="B70" s="99" t="s">
        <v>2599</v>
      </c>
      <c r="G70" s="3087">
        <f t="shared" ref="G70:N70" si="6">IF(G61&gt;=G59,0,G59-G61)</f>
        <v>0</v>
      </c>
      <c r="H70" s="4634">
        <f t="shared" si="6"/>
        <v>0</v>
      </c>
      <c r="I70" s="4633">
        <f t="shared" si="6"/>
        <v>0</v>
      </c>
      <c r="J70" s="4629">
        <f t="shared" si="6"/>
        <v>0</v>
      </c>
      <c r="K70" s="3111">
        <f t="shared" si="6"/>
        <v>0</v>
      </c>
      <c r="L70" s="2667">
        <f t="shared" si="6"/>
        <v>0</v>
      </c>
      <c r="M70" s="2907">
        <f t="shared" si="6"/>
        <v>0</v>
      </c>
      <c r="N70" s="3019">
        <f t="shared" si="6"/>
        <v>0</v>
      </c>
      <c r="O70" s="3050">
        <f t="shared" ref="O70:T70" si="7">IF(O61&gt;=O59,0,O59-O61)</f>
        <v>0</v>
      </c>
      <c r="P70" s="3051">
        <f t="shared" si="7"/>
        <v>0</v>
      </c>
      <c r="Q70" s="4505">
        <f t="shared" si="7"/>
        <v>0</v>
      </c>
      <c r="R70" s="4506">
        <f t="shared" si="7"/>
        <v>0</v>
      </c>
      <c r="S70" s="4544">
        <f t="shared" si="7"/>
        <v>0</v>
      </c>
      <c r="T70" s="4545">
        <f t="shared" si="7"/>
        <v>0</v>
      </c>
    </row>
    <row r="71" spans="1:20">
      <c r="A71" s="53"/>
      <c r="B71" s="99"/>
      <c r="G71" s="3088"/>
      <c r="H71" s="3086"/>
      <c r="I71" s="4630"/>
      <c r="J71" s="4631"/>
      <c r="K71" s="2114"/>
      <c r="L71" s="2973"/>
      <c r="M71" s="2911"/>
      <c r="N71" s="3018"/>
      <c r="O71" s="3052"/>
      <c r="P71" s="3049"/>
      <c r="Q71" s="4507"/>
      <c r="R71" s="4504"/>
      <c r="S71" s="4546"/>
      <c r="T71" s="4543"/>
    </row>
    <row r="72" spans="1:20">
      <c r="A72" s="53"/>
      <c r="B72" s="99"/>
      <c r="G72" s="3088"/>
      <c r="H72" s="3086"/>
      <c r="I72" s="4630"/>
      <c r="J72" s="4631"/>
      <c r="K72" s="2114"/>
      <c r="L72" s="2973"/>
      <c r="M72" s="2911"/>
      <c r="N72" s="3018"/>
      <c r="O72" s="3052"/>
      <c r="P72" s="3049"/>
      <c r="Q72" s="4507"/>
      <c r="R72" s="4504"/>
      <c r="S72" s="4546"/>
      <c r="T72" s="4543"/>
    </row>
    <row r="73" spans="1:20">
      <c r="A73" s="40"/>
      <c r="G73" s="3089" t="str">
        <f>IF(G74&lt;G70,"See Line 16 Note"," ")</f>
        <v xml:space="preserve"> </v>
      </c>
      <c r="H73" s="3090"/>
      <c r="I73" s="4630" t="str">
        <f t="shared" ref="I73:N73" si="8">IF(I74&lt;I70,"See Line 16 Note"," ")</f>
        <v xml:space="preserve"> </v>
      </c>
      <c r="J73" s="4631" t="str">
        <f t="shared" si="8"/>
        <v xml:space="preserve"> </v>
      </c>
      <c r="K73" s="3112" t="str">
        <f t="shared" si="8"/>
        <v xml:space="preserve"> </v>
      </c>
      <c r="L73" s="3113" t="str">
        <f t="shared" si="8"/>
        <v xml:space="preserve"> </v>
      </c>
      <c r="M73" s="3020" t="str">
        <f t="shared" si="8"/>
        <v xml:space="preserve"> </v>
      </c>
      <c r="N73" s="3021" t="str">
        <f t="shared" si="8"/>
        <v xml:space="preserve"> </v>
      </c>
      <c r="O73" s="3053" t="str">
        <f t="shared" ref="O73:T73" si="9">IF(O74&lt;O70,"See Line 16 Note"," ")</f>
        <v xml:space="preserve"> </v>
      </c>
      <c r="P73" s="3054" t="str">
        <f t="shared" si="9"/>
        <v xml:space="preserve"> </v>
      </c>
      <c r="Q73" s="4508" t="str">
        <f t="shared" si="9"/>
        <v xml:space="preserve"> </v>
      </c>
      <c r="R73" s="4509" t="str">
        <f t="shared" si="9"/>
        <v xml:space="preserve"> </v>
      </c>
      <c r="S73" s="4547" t="str">
        <f t="shared" si="9"/>
        <v xml:space="preserve"> </v>
      </c>
      <c r="T73" s="4548" t="str">
        <f t="shared" si="9"/>
        <v xml:space="preserve"> </v>
      </c>
    </row>
    <row r="74" spans="1:20">
      <c r="A74" s="53" t="s">
        <v>2552</v>
      </c>
      <c r="B74" s="99" t="s">
        <v>2161</v>
      </c>
      <c r="G74" s="3091">
        <f>IF(G70=0,0,IF('Data Entry - SOF'!C63+'Data Entry - SOF'!C64&gt;G61,G70,IF('Data Entry - SOF'!C63+'Data Entry - SOF'!C64&lt;0,0,('Data Entry - SOF'!C63+'Data Entry - SOF'!C64)/G61*G70)))</f>
        <v>0</v>
      </c>
      <c r="H74" s="3093">
        <f>IF(H70=0,0,IF('HH1617-Calcs'!C54+'Data Entry - SOF'!C64&gt;H61,H70,IF('HH1617-Calcs'!C54+'Data Entry - SOF'!C64&lt;0,0,('HH1617-Calcs'!C54+'Data Entry - SOF'!C64)/H61*H70)))</f>
        <v>0</v>
      </c>
      <c r="I74" s="4632">
        <f>IF(I70=0,0,IF('Data Entry - SOF'!E63+'Data Entry - SOF'!E64&gt;I61,I70,IF('Data Entry - SOF'!E63+'Data Entry - SOF'!E64&lt;0,0,('Data Entry - SOF'!E63+'Data Entry - SOF'!E64)/I61*I70)))</f>
        <v>0</v>
      </c>
      <c r="J74" s="4629">
        <f>IF(J70=0,0,IF('HH1718-Calcs'!C54+'Data Entry - SOF'!E64&gt;J61,J70,IF('HH1718-Calcs'!C54+'Data Entry - SOF'!E64&lt;0,0,('HH1718-Calcs'!C54+'Data Entry - SOF'!E64)/J61*J70)))</f>
        <v>0</v>
      </c>
      <c r="K74" s="3114">
        <f>IF(K70=0,0,IF('Data Entry - SOF'!G63+'Data Entry - SOF'!G64&gt;K61,K70,IF('Data Entry - SOF'!G63+'Data Entry - SOF'!G64&lt;0,0,('Data Entry - SOF'!G63+'Data Entry - SOF'!G64)/K61*K70)))</f>
        <v>0</v>
      </c>
      <c r="L74" s="2974">
        <f>IF(L70=0,0,IF('HH1819-Calcs'!C54+'Data Entry - SOF'!G64&gt;L61,L70,IF('HH1819-Calcs'!C54+'Data Entry - SOF'!G64&lt;0,0,('HH1819-Calcs'!C54+'Data Entry - SOF'!G64)/L61*L70)))</f>
        <v>0</v>
      </c>
      <c r="M74" s="2912">
        <f>IF(M70=0,0,IF('Data Entry - SOF'!I63+'Data Entry - SOF'!I64&gt;M61,M70,IF('Data Entry - SOF'!I63+'Data Entry - SOF'!I64&lt;0,0,('Data Entry - SOF'!I63+'Data Entry - SOF'!I64)/M61*M70)))</f>
        <v>0</v>
      </c>
      <c r="N74" s="3022">
        <f>IF(N70=0,0,IF('HH1920-Calcs'!C54+'Data Entry - SOF'!I64&gt;N61,N70,IF('HH1920-Calcs'!C54+'Data Entry - SOF'!I64&lt;0,0,('HH1920-Calcs'!C54+'Data Entry - SOF'!I64)/N61*N70)))</f>
        <v>0</v>
      </c>
      <c r="O74" s="3055">
        <f>IF(O70=0,0,IF('Data Entry - SOF'!K63+'Data Entry - SOF'!K64&gt;O61,O70,IF('Data Entry - SOF'!K63+'Data Entry - SOF'!K64&lt;0,0,('Data Entry - SOF'!K63+'Data Entry - SOF'!K64)/O61*O70)))</f>
        <v>0</v>
      </c>
      <c r="P74" s="3056">
        <f>IF(P70=0,0,IF('HH2021-Calcs'!C54+'Data Entry - SOF'!K64&gt;P61,P70,IF('HH2021-Calcs'!C54+'Data Entry - SOF'!K64&lt;0,0,('HH2021-Calcs'!C54+'Data Entry - SOF'!K64)/P61*P70)))</f>
        <v>0</v>
      </c>
      <c r="Q74" s="4510">
        <f>IF(Q70=0,0,IF('Data Entry - SOF'!M63+'Data Entry - SOF'!M64&gt;Q61,Q70,IF('Data Entry - SOF'!M63+'Data Entry - SOF'!M64&lt;0,0,('Data Entry - SOF'!M63+'Data Entry - SOF'!M64)/Q61*Q70)))</f>
        <v>0</v>
      </c>
      <c r="R74" s="4511">
        <f>IF(R70=0,0,IF('HH2122-Calcs'!C54+'Data Entry - SOF'!M64&gt;R61,R70,IF('HH2122-Calcs'!C54+'Data Entry - SOF'!M64&lt;0,0,('HH2122-Calcs'!C54+'Data Entry - SOF'!M64)/R61*R70)))</f>
        <v>0</v>
      </c>
      <c r="S74" s="4549">
        <f>IF(S70=0,0,IF('Data Entry - SOF'!O63+'Data Entry - SOF'!O64&gt;S61,S70,IF('Data Entry - SOF'!O63+'Data Entry - SOF'!O64&lt;0,0,('Data Entry - SOF'!O63+'Data Entry - SOF'!O64)/S61*S70)))</f>
        <v>0</v>
      </c>
      <c r="T74" s="4550">
        <f>IF(T70=0,0,IF('HH2223-Calcs'!C54+'Data Entry - SOF'!O64&gt;T61,T70,IF('HH2223-Calcs'!C54+'Data Entry - SOF'!O64&lt;0,0,('HH2223-Calcs'!C54+'Data Entry - SOF'!O64)/T61*T70)))</f>
        <v>0</v>
      </c>
    </row>
    <row r="75" spans="1:20">
      <c r="A75" s="40"/>
      <c r="B75" s="97" t="s">
        <v>4593</v>
      </c>
    </row>
    <row r="76" spans="1:20">
      <c r="A76" s="40"/>
      <c r="B76" s="95" t="s">
        <v>7727</v>
      </c>
    </row>
    <row r="77" spans="1:20">
      <c r="A77" s="40"/>
      <c r="B77" s="95" t="s">
        <v>7726</v>
      </c>
    </row>
    <row r="78" spans="1:20">
      <c r="A78" s="40"/>
      <c r="B78" s="47"/>
    </row>
    <row r="80" spans="1:20">
      <c r="B80" s="111" t="s">
        <v>2690</v>
      </c>
    </row>
    <row r="81" spans="2:6">
      <c r="B81" s="111" t="s">
        <v>7728</v>
      </c>
    </row>
    <row r="82" spans="2:6">
      <c r="B82" s="111" t="s">
        <v>3976</v>
      </c>
    </row>
    <row r="83" spans="2:6">
      <c r="B83" s="111" t="s">
        <v>3977</v>
      </c>
    </row>
    <row r="84" spans="2:6" hidden="1">
      <c r="B84" s="111" t="s">
        <v>1038</v>
      </c>
    </row>
    <row r="85" spans="2:6" hidden="1">
      <c r="B85" s="111" t="s">
        <v>951</v>
      </c>
    </row>
    <row r="86" spans="2:6" hidden="1">
      <c r="B86" s="111" t="s">
        <v>1758</v>
      </c>
    </row>
    <row r="87" spans="2:6" hidden="1">
      <c r="B87" s="111" t="s">
        <v>2224</v>
      </c>
    </row>
    <row r="88" spans="2:6">
      <c r="B88" s="111" t="s">
        <v>3978</v>
      </c>
    </row>
    <row r="89" spans="2:6">
      <c r="B89" s="111"/>
    </row>
    <row r="90" spans="2:6" hidden="1">
      <c r="C90" s="100" t="s">
        <v>2419</v>
      </c>
      <c r="D90" s="101"/>
      <c r="E90" s="101"/>
      <c r="F90" s="101"/>
    </row>
    <row r="91" spans="2:6" hidden="1">
      <c r="C91" s="100" t="s">
        <v>1717</v>
      </c>
      <c r="D91" s="101"/>
      <c r="E91" s="101"/>
      <c r="F91" s="101"/>
    </row>
    <row r="92" spans="2:6" hidden="1">
      <c r="C92" s="100" t="s">
        <v>1300</v>
      </c>
      <c r="D92" s="101"/>
      <c r="E92" s="101"/>
      <c r="F92" s="101"/>
    </row>
    <row r="93" spans="2:6" hidden="1">
      <c r="C93" s="100" t="s">
        <v>1137</v>
      </c>
      <c r="D93" s="101"/>
      <c r="E93" s="101"/>
      <c r="F93" s="101"/>
    </row>
    <row r="94" spans="2:6" hidden="1">
      <c r="C94" s="100" t="s">
        <v>1138</v>
      </c>
      <c r="D94" s="101"/>
      <c r="E94" s="101"/>
      <c r="F94" s="101"/>
    </row>
    <row r="95" spans="2:6" hidden="1">
      <c r="C95" s="102" t="s">
        <v>1993</v>
      </c>
      <c r="D95" s="103"/>
      <c r="E95" s="103"/>
      <c r="F95" s="103"/>
    </row>
    <row r="96" spans="2:6" hidden="1"/>
    <row r="97" spans="1:20" hidden="1"/>
    <row r="98" spans="1:20" s="139" customFormat="1" ht="24.95" hidden="1" customHeight="1" thickTop="1">
      <c r="A98" s="146" t="s">
        <v>2042</v>
      </c>
      <c r="B98" s="147"/>
      <c r="C98" s="147"/>
      <c r="D98" s="147"/>
      <c r="E98" s="147"/>
      <c r="F98" s="147"/>
      <c r="G98" s="3063"/>
      <c r="H98" s="3063"/>
      <c r="I98" s="4555"/>
      <c r="J98" s="4555"/>
      <c r="K98" s="3094"/>
      <c r="L98" s="3094"/>
      <c r="M98" s="2999"/>
      <c r="N98" s="2999"/>
      <c r="O98" s="3027"/>
      <c r="P98" s="3027"/>
      <c r="Q98" s="4478"/>
      <c r="R98" s="4478"/>
      <c r="S98" s="4517"/>
      <c r="T98" s="4517"/>
    </row>
    <row r="99" spans="1:20" s="139" customFormat="1" ht="24.95" hidden="1" customHeight="1">
      <c r="A99" s="148" t="s">
        <v>2751</v>
      </c>
      <c r="B99" s="143"/>
      <c r="C99" s="143"/>
      <c r="D99" s="143"/>
      <c r="E99" s="143"/>
      <c r="F99" s="143"/>
      <c r="G99" s="3063"/>
      <c r="H99" s="3063"/>
      <c r="I99" s="4555"/>
      <c r="J99" s="4555"/>
      <c r="K99" s="3094"/>
      <c r="L99" s="3094"/>
      <c r="M99" s="2999"/>
      <c r="N99" s="2999"/>
      <c r="O99" s="3027"/>
      <c r="P99" s="3027"/>
      <c r="Q99" s="4478"/>
      <c r="R99" s="4478"/>
      <c r="S99" s="4517"/>
      <c r="T99" s="4517"/>
    </row>
    <row r="100" spans="1:20" ht="13.5" hidden="1" thickBot="1">
      <c r="A100" s="149"/>
      <c r="B100" s="150"/>
      <c r="C100" s="150"/>
      <c r="D100" s="150"/>
      <c r="E100" s="150"/>
      <c r="F100" s="150"/>
    </row>
    <row r="101" spans="1:20" hidden="1"/>
    <row r="102" spans="1:20" hidden="1">
      <c r="A102" s="99" t="s">
        <v>2032</v>
      </c>
    </row>
    <row r="103" spans="1:20" hidden="1">
      <c r="A103" s="99" t="s">
        <v>377</v>
      </c>
    </row>
    <row r="104" spans="1:20" hidden="1"/>
    <row r="105" spans="1:20" hidden="1">
      <c r="A105" s="97" t="s">
        <v>1677</v>
      </c>
    </row>
    <row r="106" spans="1:20" hidden="1">
      <c r="A106" s="53" t="s">
        <v>2501</v>
      </c>
      <c r="B106" t="s">
        <v>983</v>
      </c>
    </row>
    <row r="107" spans="1:20" hidden="1">
      <c r="A107" s="53"/>
    </row>
    <row r="108" spans="1:20" hidden="1">
      <c r="A108" s="53" t="s">
        <v>2502</v>
      </c>
      <c r="B108" t="s">
        <v>1479</v>
      </c>
    </row>
    <row r="109" spans="1:20" hidden="1">
      <c r="A109" s="40"/>
    </row>
    <row r="110" spans="1:20" hidden="1">
      <c r="A110" s="53" t="s">
        <v>2503</v>
      </c>
      <c r="B110" t="s">
        <v>1480</v>
      </c>
    </row>
    <row r="111" spans="1:20" hidden="1">
      <c r="A111" s="53"/>
    </row>
    <row r="112" spans="1:20" hidden="1">
      <c r="A112" s="53" t="s">
        <v>1024</v>
      </c>
      <c r="B112" t="s">
        <v>981</v>
      </c>
    </row>
    <row r="113" spans="1:6" hidden="1">
      <c r="A113" s="53"/>
      <c r="B113" t="s">
        <v>1013</v>
      </c>
    </row>
    <row r="114" spans="1:6" hidden="1">
      <c r="A114" s="53"/>
    </row>
    <row r="115" spans="1:6" hidden="1">
      <c r="A115" s="53" t="s">
        <v>1025</v>
      </c>
      <c r="B115" s="111" t="s">
        <v>1225</v>
      </c>
    </row>
    <row r="116" spans="1:6" hidden="1">
      <c r="A116" s="40"/>
      <c r="B116" s="111" t="s">
        <v>866</v>
      </c>
    </row>
    <row r="117" spans="1:6" hidden="1">
      <c r="A117" s="53" t="s">
        <v>1027</v>
      </c>
      <c r="B117" t="s">
        <v>1226</v>
      </c>
    </row>
    <row r="118" spans="1:6" hidden="1">
      <c r="A118" s="53"/>
    </row>
    <row r="119" spans="1:6" hidden="1">
      <c r="A119" s="53" t="s">
        <v>1028</v>
      </c>
      <c r="B119" t="s">
        <v>1227</v>
      </c>
    </row>
    <row r="120" spans="1:6" hidden="1">
      <c r="A120" s="40"/>
    </row>
    <row r="121" spans="1:6" hidden="1">
      <c r="A121" s="53" t="s">
        <v>1029</v>
      </c>
      <c r="B121" t="s">
        <v>1228</v>
      </c>
    </row>
    <row r="122" spans="1:6" hidden="1">
      <c r="A122" s="53"/>
    </row>
    <row r="123" spans="1:6" hidden="1">
      <c r="A123" s="53" t="s">
        <v>139</v>
      </c>
      <c r="B123" t="s">
        <v>2613</v>
      </c>
    </row>
    <row r="124" spans="1:6" hidden="1">
      <c r="A124" s="40"/>
    </row>
    <row r="125" spans="1:6" ht="15.75" hidden="1">
      <c r="A125" s="41" t="s">
        <v>1023</v>
      </c>
    </row>
    <row r="126" spans="1:6" hidden="1">
      <c r="A126" s="40"/>
    </row>
    <row r="127" spans="1:6" ht="15.75" hidden="1">
      <c r="A127" s="42" t="s">
        <v>126</v>
      </c>
      <c r="B127" s="26"/>
      <c r="C127" s="26"/>
      <c r="D127" s="12"/>
      <c r="E127" s="35"/>
      <c r="F127" s="35"/>
    </row>
    <row r="128" spans="1:6" ht="15.75" hidden="1">
      <c r="A128" s="41"/>
    </row>
    <row r="129" spans="1:4" hidden="1">
      <c r="A129" s="69" t="s">
        <v>140</v>
      </c>
      <c r="B129" t="s">
        <v>982</v>
      </c>
    </row>
    <row r="130" spans="1:4" hidden="1">
      <c r="A130" s="69"/>
      <c r="B130" t="s">
        <v>2636</v>
      </c>
    </row>
    <row r="131" spans="1:4" hidden="1">
      <c r="A131" s="69"/>
      <c r="B131" t="s">
        <v>1381</v>
      </c>
    </row>
    <row r="132" spans="1:4" ht="15.75" hidden="1">
      <c r="A132" s="41"/>
    </row>
    <row r="133" spans="1:4" hidden="1">
      <c r="A133" s="53" t="s">
        <v>141</v>
      </c>
      <c r="B133" t="s">
        <v>3058</v>
      </c>
    </row>
    <row r="134" spans="1:4" hidden="1">
      <c r="A134" s="53"/>
      <c r="B134" t="s">
        <v>846</v>
      </c>
    </row>
    <row r="135" spans="1:4" hidden="1">
      <c r="A135" s="53"/>
      <c r="B135" t="s">
        <v>36</v>
      </c>
    </row>
    <row r="136" spans="1:4" hidden="1">
      <c r="A136" s="40"/>
    </row>
    <row r="137" spans="1:4" hidden="1">
      <c r="A137" s="53" t="s">
        <v>142</v>
      </c>
      <c r="B137" s="67" t="s">
        <v>588</v>
      </c>
    </row>
    <row r="138" spans="1:4" hidden="1">
      <c r="A138" s="40"/>
    </row>
    <row r="139" spans="1:4" ht="15.75" hidden="1">
      <c r="A139" s="42" t="s">
        <v>1026</v>
      </c>
      <c r="B139" s="26"/>
      <c r="C139" s="12"/>
      <c r="D139" s="12"/>
    </row>
    <row r="140" spans="1:4" hidden="1">
      <c r="A140" s="40"/>
    </row>
    <row r="141" spans="1:4" hidden="1">
      <c r="A141" s="53" t="s">
        <v>1706</v>
      </c>
      <c r="B141" s="99" t="s">
        <v>1730</v>
      </c>
    </row>
    <row r="142" spans="1:4" hidden="1">
      <c r="A142" s="53"/>
      <c r="B142" s="97"/>
    </row>
    <row r="143" spans="1:4" hidden="1">
      <c r="A143" s="53" t="s">
        <v>6</v>
      </c>
      <c r="B143" s="99" t="s">
        <v>2617</v>
      </c>
    </row>
    <row r="144" spans="1:4" hidden="1">
      <c r="A144" s="53"/>
      <c r="B144" s="97" t="s">
        <v>163</v>
      </c>
    </row>
    <row r="145" spans="1:6" hidden="1">
      <c r="A145" s="53"/>
      <c r="B145" s="97" t="s">
        <v>3028</v>
      </c>
    </row>
    <row r="146" spans="1:6" hidden="1">
      <c r="A146" s="53"/>
      <c r="B146" s="97"/>
    </row>
    <row r="147" spans="1:6" ht="16.5" hidden="1" thickBot="1">
      <c r="A147" s="53"/>
      <c r="B147" s="106" t="s">
        <v>2034</v>
      </c>
      <c r="C147" s="107"/>
      <c r="D147" s="107"/>
      <c r="E147" s="107"/>
      <c r="F147" s="108"/>
    </row>
    <row r="148" spans="1:6" hidden="1">
      <c r="A148" s="53"/>
      <c r="B148" s="97"/>
    </row>
    <row r="149" spans="1:6" hidden="1">
      <c r="A149" s="53"/>
      <c r="B149" s="94" t="e">
        <f>IF('Data Entry - SOF'!#REF!&lt;#REF!,"WARNING: LOCAL SHARE OF EDA IS MORE THAN I&amp;S TAX COLLECTIONS."," ")</f>
        <v>#REF!</v>
      </c>
    </row>
    <row r="150" spans="1:6" hidden="1">
      <c r="A150" s="53"/>
      <c r="B150" s="94" t="e">
        <f>IF(B149&lt;&gt;" ", "DISTRICT WILL ONLY GET PROPORTIONAL STATE SHARE."," ")</f>
        <v>#REF!</v>
      </c>
    </row>
    <row r="151" spans="1:6" hidden="1">
      <c r="A151" s="40"/>
    </row>
    <row r="152" spans="1:6" hidden="1">
      <c r="A152" s="53" t="s">
        <v>2551</v>
      </c>
      <c r="B152" s="99" t="s">
        <v>2599</v>
      </c>
    </row>
    <row r="153" spans="1:6" hidden="1">
      <c r="A153" s="40"/>
    </row>
    <row r="154" spans="1:6" hidden="1">
      <c r="A154" s="53" t="s">
        <v>2552</v>
      </c>
      <c r="B154" s="99" t="s">
        <v>2628</v>
      </c>
    </row>
    <row r="155" spans="1:6" hidden="1">
      <c r="A155" s="40"/>
      <c r="B155" s="99" t="s">
        <v>546</v>
      </c>
    </row>
    <row r="156" spans="1:6" hidden="1">
      <c r="A156" s="40"/>
      <c r="B156" s="97" t="s">
        <v>114</v>
      </c>
    </row>
    <row r="157" spans="1:6" hidden="1">
      <c r="A157" s="40"/>
      <c r="B157" s="97" t="s">
        <v>1341</v>
      </c>
    </row>
    <row r="158" spans="1:6" hidden="1"/>
    <row r="159" spans="1:6" hidden="1"/>
    <row r="160" spans="1:6" hidden="1">
      <c r="B160" s="111" t="s">
        <v>7</v>
      </c>
    </row>
    <row r="161" spans="2:2" hidden="1">
      <c r="B161" s="111" t="s">
        <v>1409</v>
      </c>
    </row>
    <row r="162" spans="2:2" hidden="1">
      <c r="B162" s="111" t="s">
        <v>8</v>
      </c>
    </row>
    <row r="163" spans="2:2" hidden="1">
      <c r="B163" s="111" t="s">
        <v>1560</v>
      </c>
    </row>
    <row r="164" spans="2:2" hidden="1">
      <c r="B164" s="111" t="s">
        <v>1038</v>
      </c>
    </row>
    <row r="165" spans="2:2" hidden="1">
      <c r="B165" s="111" t="s">
        <v>951</v>
      </c>
    </row>
    <row r="166" spans="2:2" hidden="1">
      <c r="B166" s="111" t="s">
        <v>1758</v>
      </c>
    </row>
    <row r="167" spans="2:2" hidden="1">
      <c r="B167" s="111" t="s">
        <v>2224</v>
      </c>
    </row>
    <row r="168" spans="2:2" hidden="1">
      <c r="B168" s="111"/>
    </row>
    <row r="169" spans="2:2" hidden="1">
      <c r="B169" s="47" t="s">
        <v>2041</v>
      </c>
    </row>
    <row r="170" spans="2:2" hidden="1">
      <c r="B170" s="47" t="s">
        <v>2138</v>
      </c>
    </row>
    <row r="171" spans="2:2" hidden="1">
      <c r="B171" s="47" t="s">
        <v>138</v>
      </c>
    </row>
    <row r="172" spans="2:2" hidden="1">
      <c r="B172" s="47" t="s">
        <v>2123</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E170"/>
  <sheetViews>
    <sheetView workbookViewId="0">
      <selection activeCell="C3" sqref="C3"/>
    </sheetView>
  </sheetViews>
  <sheetFormatPr defaultRowHeight="12.75"/>
  <cols>
    <col min="1" max="1" width="5" customWidth="1"/>
    <col min="2" max="2" width="66.85546875" customWidth="1"/>
    <col min="3" max="3" width="19.7109375" style="1381" customWidth="1"/>
    <col min="4" max="4" width="19.7109375" style="1448" customWidth="1"/>
    <col min="5" max="5" width="19.7109375" style="1546" customWidth="1"/>
    <col min="6" max="6" width="19.7109375" style="1631" customWidth="1"/>
    <col min="7" max="7" width="19.7109375" style="2047" customWidth="1"/>
    <col min="8" max="8" width="19.7109375" style="1448" customWidth="1"/>
    <col min="9" max="9" width="19.7109375" style="3706" customWidth="1"/>
    <col min="10" max="10" width="19" customWidth="1"/>
    <col min="11" max="11" width="22.7109375" style="636" customWidth="1"/>
    <col min="12" max="12" width="22.7109375" customWidth="1"/>
    <col min="13" max="13" width="18" customWidth="1"/>
    <col min="14" max="14" width="13.28515625" style="177" customWidth="1"/>
    <col min="15" max="18" width="18" hidden="1" customWidth="1"/>
    <col min="19" max="19" width="18.140625" hidden="1" customWidth="1"/>
    <col min="20" max="20" width="20.7109375" style="224" hidden="1" customWidth="1"/>
    <col min="21" max="26" width="17.7109375" hidden="1" customWidth="1"/>
    <col min="27" max="27" width="36.5703125" customWidth="1"/>
    <col min="28" max="28" width="19.7109375" customWidth="1"/>
    <col min="29" max="29" width="19.140625" customWidth="1"/>
    <col min="30" max="30" width="19.85546875" customWidth="1"/>
    <col min="31" max="31" width="35.7109375" customWidth="1"/>
    <col min="32" max="32" width="17.140625" customWidth="1"/>
    <col min="33" max="33" width="20.140625" customWidth="1"/>
    <col min="34" max="34" width="18" customWidth="1"/>
    <col min="35" max="35" width="38.28515625" customWidth="1"/>
    <col min="36" max="36" width="17.85546875" customWidth="1"/>
    <col min="37" max="38" width="18.5703125" customWidth="1"/>
    <col min="39" max="39" width="43.5703125" customWidth="1"/>
    <col min="40" max="40" width="21.5703125" customWidth="1"/>
    <col min="41" max="41" width="21.42578125" customWidth="1"/>
    <col min="42" max="42" width="20.5703125" customWidth="1"/>
    <col min="43" max="43" width="41.28515625" customWidth="1"/>
    <col min="44" max="44" width="21.5703125" customWidth="1"/>
    <col min="45" max="45" width="21.42578125" customWidth="1"/>
    <col min="46" max="46" width="20.140625" customWidth="1"/>
    <col min="47" max="47" width="16.5703125" customWidth="1"/>
    <col min="48" max="48" width="41.28515625" style="2574" customWidth="1"/>
    <col min="49" max="49" width="21.5703125" style="2574" customWidth="1"/>
    <col min="50" max="50" width="21.42578125" style="2574" customWidth="1"/>
    <col min="51" max="51" width="20.140625" style="2574" customWidth="1"/>
    <col min="52" max="52" width="16.5703125" style="2574" customWidth="1"/>
    <col min="53" max="53" width="41.28515625" style="3760" customWidth="1"/>
    <col min="54" max="54" width="21.5703125" style="3760" customWidth="1"/>
    <col min="55" max="55" width="21.42578125" style="3760" customWidth="1"/>
    <col min="56" max="56" width="20.140625" style="3760" customWidth="1"/>
    <col min="57" max="57" width="16.5703125" style="3760" customWidth="1"/>
  </cols>
  <sheetData>
    <row r="1" spans="1:55">
      <c r="A1" s="47" t="s">
        <v>1419</v>
      </c>
      <c r="M1" s="98"/>
      <c r="N1" s="207"/>
      <c r="T1"/>
    </row>
    <row r="2" spans="1:55">
      <c r="M2" s="98"/>
      <c r="N2" s="207"/>
      <c r="T2"/>
    </row>
    <row r="3" spans="1:55">
      <c r="A3" s="18" t="s">
        <v>80</v>
      </c>
      <c r="J3" s="599"/>
      <c r="K3" s="599"/>
      <c r="L3" s="599"/>
      <c r="S3" s="1507" t="s">
        <v>4436</v>
      </c>
      <c r="T3" s="1507" t="s">
        <v>4437</v>
      </c>
      <c r="U3" s="1507" t="s">
        <v>7308</v>
      </c>
      <c r="V3" s="1507" t="s">
        <v>7333</v>
      </c>
    </row>
    <row r="4" spans="1:55">
      <c r="A4" s="24" t="s">
        <v>1450</v>
      </c>
      <c r="B4" s="12"/>
      <c r="C4" s="1498"/>
      <c r="D4" s="1449"/>
      <c r="E4" s="1551"/>
      <c r="F4" s="1632"/>
      <c r="G4" s="2048"/>
      <c r="H4" s="1449"/>
      <c r="I4" s="3707"/>
      <c r="N4" s="209"/>
      <c r="S4" s="888">
        <f>C18</f>
        <v>2.5000000000000001E-4</v>
      </c>
      <c r="T4" s="888">
        <f>S4</f>
        <v>2.5000000000000001E-4</v>
      </c>
      <c r="U4" s="888">
        <f>T4</f>
        <v>2.5000000000000001E-4</v>
      </c>
      <c r="V4" s="888">
        <f>U4</f>
        <v>2.5000000000000001E-4</v>
      </c>
    </row>
    <row r="5" spans="1:55">
      <c r="A5" s="34"/>
      <c r="B5" s="35"/>
      <c r="C5" s="2668" t="s">
        <v>3613</v>
      </c>
      <c r="D5" s="2669" t="s">
        <v>3673</v>
      </c>
      <c r="E5" s="2670" t="s">
        <v>3830</v>
      </c>
      <c r="F5" s="2065" t="s">
        <v>3903</v>
      </c>
      <c r="G5" s="2671" t="s">
        <v>4592</v>
      </c>
      <c r="H5" s="2669" t="s">
        <v>7097</v>
      </c>
      <c r="I5" s="3708" t="s">
        <v>7733</v>
      </c>
      <c r="N5" s="210"/>
      <c r="S5" s="889">
        <f>IF('Data Entry - SOF'!C113&gt;=1.5,Assumptions!G46,Assumptions!G46*('Data Entry - SOF'!C108/1.00005))</f>
        <v>0</v>
      </c>
      <c r="T5" s="889">
        <f>IF('Data Entry - SOF'!C113&gt;=1.5,Assumptions!G46,Assumptions!G46*('Data Entry - SOF'!C108/1.00005))</f>
        <v>0</v>
      </c>
      <c r="U5" s="889">
        <f>IF('Data Entry - SOF'!C113&gt;=1.5,Assumptions!G46,Assumptions!G46*('Data Entry - SOF'!E108/1.00005))</f>
        <v>0</v>
      </c>
      <c r="V5" s="889">
        <f>IF('Data Entry - SOF'!C113&gt;=1.5,Assumptions!G46,Assumptions!G46*('Data Entry - SOF'!G108/1.00005))</f>
        <v>0</v>
      </c>
    </row>
    <row r="6" spans="1:55">
      <c r="A6" s="34"/>
      <c r="B6" t="s">
        <v>2285</v>
      </c>
      <c r="C6" s="1383">
        <f>'Data Entry - SOF'!C17</f>
        <v>0</v>
      </c>
      <c r="D6" s="1450">
        <f>'Data Entry - SOF'!E17</f>
        <v>0</v>
      </c>
      <c r="E6" s="1552">
        <f>'Data Entry - SOF'!G17</f>
        <v>0</v>
      </c>
      <c r="F6" s="1633">
        <f>'Data Entry - SOF'!I17</f>
        <v>0</v>
      </c>
      <c r="G6" s="2049">
        <f>'Data Entry - SOF'!K17</f>
        <v>0</v>
      </c>
      <c r="H6" s="1450">
        <f>'Data Entry - SOF'!M17</f>
        <v>0</v>
      </c>
      <c r="I6" s="3709">
        <f>'Data Entry - SOF'!O17</f>
        <v>0</v>
      </c>
      <c r="N6" s="211"/>
      <c r="S6" s="890">
        <f>ROUND(S5*(((C59-1)*Weights!H44)+1),0)</f>
        <v>0</v>
      </c>
      <c r="T6" s="890">
        <f>ROUND(T5*(((C59-1)*Weights!H44)+1),0)</f>
        <v>0</v>
      </c>
      <c r="U6" s="890">
        <f>ROUND(U5*(((D59-1)*Weights!I44)+1),0)</f>
        <v>0</v>
      </c>
      <c r="V6" s="890">
        <f>ROUND(V5*(((E59-1)*Weights!J44)+1),0)</f>
        <v>0</v>
      </c>
    </row>
    <row r="7" spans="1:55">
      <c r="B7" s="99" t="s">
        <v>2109</v>
      </c>
      <c r="C7" s="1383">
        <f t="shared" ref="C7:H7" si="0">C6</f>
        <v>0</v>
      </c>
      <c r="D7" s="1450">
        <f t="shared" si="0"/>
        <v>0</v>
      </c>
      <c r="E7" s="1552">
        <f t="shared" si="0"/>
        <v>0</v>
      </c>
      <c r="F7" s="1633">
        <f t="shared" si="0"/>
        <v>0</v>
      </c>
      <c r="G7" s="2049">
        <f t="shared" si="0"/>
        <v>0</v>
      </c>
      <c r="H7" s="1450">
        <f t="shared" si="0"/>
        <v>0</v>
      </c>
      <c r="I7" s="3709">
        <f t="shared" ref="I7" si="1">I6</f>
        <v>0</v>
      </c>
      <c r="N7" s="211"/>
      <c r="S7" s="890">
        <f>ROUND(IF(C10&gt;1600,S6,(1+(1600-IF(C10&gt;C11,C10,C11))*S4)*S6),0)</f>
        <v>0</v>
      </c>
      <c r="T7" s="890">
        <f>ROUND(IF(D10&gt;1600,T6,(1+(1600-IF(D10&gt;D11,D10,D11))*T4)*T6),0)</f>
        <v>0</v>
      </c>
      <c r="U7" s="890">
        <f>ROUND(IF(D10&gt;1600,U6,(1+(1600-IF(D10&gt;D11,D10,D11))*U4)*U6),0)</f>
        <v>0</v>
      </c>
      <c r="V7" s="890">
        <f>ROUND(IF(E10&gt;1600,V6,(1+(1600-IF(E10&gt;E11,E10,E11))*V4)*V6),0)</f>
        <v>0</v>
      </c>
    </row>
    <row r="8" spans="1:55">
      <c r="B8" t="s">
        <v>2286</v>
      </c>
      <c r="C8" s="1383">
        <f>SUM('Data Entry - SOF'!C20:C27)+SUM('Data Entry - SOF'!C29:C30)</f>
        <v>0</v>
      </c>
      <c r="D8" s="1450">
        <f>SUM('Data Entry - SOF'!E20:E27)+SUM('Data Entry - SOF'!E29:E30)</f>
        <v>0</v>
      </c>
      <c r="E8" s="1552">
        <f>SUM('Data Entry - SOF'!G20:G27)+SUM('Data Entry - SOF'!G29:G30)</f>
        <v>0</v>
      </c>
      <c r="F8" s="1633">
        <f>SUM('Data Entry - SOF'!I20:I27)+SUM('Data Entry - SOF'!I29:I30)</f>
        <v>0</v>
      </c>
      <c r="G8" s="2049">
        <f>SUM('Data Entry - SOF'!K20:K27)+SUM('Data Entry - SOF'!K29:K30)</f>
        <v>0</v>
      </c>
      <c r="H8" s="1450">
        <f>SUM('Data Entry - SOF'!M20:M27)+SUM('Data Entry - SOF'!M29:M30)</f>
        <v>0</v>
      </c>
      <c r="I8" s="3709">
        <f>SUM('Data Entry - SOF'!O20:O27)+SUM('Data Entry - SOF'!O29:O30)</f>
        <v>0</v>
      </c>
      <c r="N8" s="211"/>
      <c r="S8" s="883">
        <f>ROUND(IF(OR(C10&gt;4999.999,'Data Entry - SOF'!C109&lt;12),0,(1+((5000-C10)*Weights!H42))*S6),0)</f>
        <v>0</v>
      </c>
      <c r="T8" s="883">
        <f>ROUND(IF(OR(D10&gt;4999.999,'Data Entry - SOF'!C109&lt;12),0,(1+((5000-D10)*Weights!I42))*T6),0)</f>
        <v>0</v>
      </c>
      <c r="U8" s="883">
        <f>ROUND(IF(OR(D10&gt;4999.999,'Data Entry - SOF'!E109&lt;12),0,(1+((5000-D10)*Weights!I42))*U6),0)</f>
        <v>0</v>
      </c>
      <c r="V8" s="883">
        <f>ROUND(IF(OR(E10&gt;4999.999,'Data Entry - SOF'!G109&lt;12),0,(1+((5000-E10)*Weights!J42))*V6),0)</f>
        <v>0</v>
      </c>
    </row>
    <row r="9" spans="1:55">
      <c r="B9" t="s">
        <v>2287</v>
      </c>
      <c r="C9" s="1383">
        <f>('Data Entry - SOF'!C20*Weights!H10)+('Data Entry - SOF'!C21*Weights!H11)+('Data Entry - SOF'!C22*Weights!H12)+('Data Entry - SOF'!C23*Weights!H13)+('Data Entry - SOF'!C24*Weights!H14)+('Data Entry - SOF'!C25*Weights!H15)+('Data Entry - SOF'!C26*Weights!H16)</f>
        <v>0</v>
      </c>
      <c r="D9" s="1450">
        <f>('Data Entry - SOF'!E20*Weights!I10)+('Data Entry - SOF'!E21*Weights!I11)+('Data Entry - SOF'!E22*Weights!I12)+('Data Entry - SOF'!E23*Weights!I13)+('Data Entry - SOF'!E24*Weights!I14)+('Data Entry - SOF'!E25*Weights!I15)+('Data Entry - SOF'!E26*Weights!I16)</f>
        <v>0</v>
      </c>
      <c r="E9" s="1552">
        <f>('Data Entry - SOF'!G20*Weights!J10)+('Data Entry - SOF'!G21*Weights!J11)+('Data Entry - SOF'!G22*Weights!J12)+('Data Entry - SOF'!G23*Weights!J13)+('Data Entry - SOF'!G24*Weights!J14)+('Data Entry - SOF'!G25*Weights!J15)+('Data Entry - SOF'!G26*Weights!J16)</f>
        <v>0</v>
      </c>
      <c r="F9" s="1633">
        <f>('Data Entry - SOF'!I20*Weights!K10)+('Data Entry - SOF'!I21*Weights!K11)+('Data Entry - SOF'!I22*Weights!K12)+('Data Entry - SOF'!I23*Weights!K13)+('Data Entry - SOF'!I24*Weights!K14)+('Data Entry - SOF'!I25*Weights!K15)+('Data Entry - SOF'!I26*Weights!K16)</f>
        <v>0</v>
      </c>
      <c r="G9" s="2049">
        <f>('Data Entry - SOF'!K20*Weights!L10)+('Data Entry - SOF'!K21*Weights!L11)+('Data Entry - SOF'!K22*Weights!L12)+('Data Entry - SOF'!K23*Weights!L13)+('Data Entry - SOF'!K24*Weights!L14)+('Data Entry - SOF'!K25*Weights!L15)+('Data Entry - SOF'!K26*Weights!L16)</f>
        <v>0</v>
      </c>
      <c r="H9" s="1450">
        <f>('Data Entry - SOF'!M20*Weights!M10)+('Data Entry - SOF'!M21*Weights!M11)+('Data Entry - SOF'!M22*Weights!M12)+('Data Entry - SOF'!M23*Weights!M13)+('Data Entry - SOF'!M24*Weights!M14)+('Data Entry - SOF'!M25*Weights!M15)+('Data Entry - SOF'!M26*Weights!M16)</f>
        <v>0</v>
      </c>
      <c r="I9" s="3709">
        <f>('Data Entry - SOF'!O20*Weights!N10)+('Data Entry - SOF'!O21*Weights!N11)+('Data Entry - SOF'!O22*Weights!N12)+('Data Entry - SOF'!O23*Weights!N13)+('Data Entry - SOF'!O24*Weights!N14)+('Data Entry - SOF'!O25*Weights!N15)+('Data Entry - SOF'!O26*Weights!N16)</f>
        <v>0</v>
      </c>
      <c r="N9" s="211"/>
      <c r="S9" s="890">
        <f>IF(AND(S8&gt;=S7,S8&gt;=S6),S8,IF(AND(S7&gt;=S6,S7&gt;=S8),S7,S6))</f>
        <v>0</v>
      </c>
      <c r="T9" s="890">
        <f>IF(AND(T8&gt;=T7,T8&gt;=T6),T8,IF(AND(T7&gt;=T6,T7&gt;=T8),T7,T6))</f>
        <v>0</v>
      </c>
      <c r="U9" s="890">
        <f>IF(AND(U8&gt;=U7,U8&gt;=U6),U8,IF(AND(U7&gt;=U6,U7&gt;=U8),U7,U6))</f>
        <v>0</v>
      </c>
      <c r="V9" s="890">
        <f>IF(AND(V8&gt;=V7,V8&gt;=V6),V8,IF(AND(V7&gt;=V6,V7&gt;=V8),V7,V6))</f>
        <v>0</v>
      </c>
    </row>
    <row r="10" spans="1:55">
      <c r="B10" t="s">
        <v>2288</v>
      </c>
      <c r="C10" s="1383">
        <f>C7-C8-'Data Entry - SOF'!C32</f>
        <v>0</v>
      </c>
      <c r="D10" s="1450">
        <f>D7-D8-'Data Entry - SOF'!E32</f>
        <v>0</v>
      </c>
      <c r="E10" s="1552">
        <f>E7-E8-'Data Entry - SOF'!G32</f>
        <v>0</v>
      </c>
      <c r="F10" s="1633">
        <f>F7-F8-'Data Entry - SOF'!I32</f>
        <v>0</v>
      </c>
      <c r="G10" s="2049">
        <f>G7-G8-'Data Entry - SOF'!K32</f>
        <v>0</v>
      </c>
      <c r="H10" s="1450">
        <f>H7-H8-'Data Entry - SOF'!M32</f>
        <v>0</v>
      </c>
      <c r="I10" s="3709">
        <f>I7-I8-'Data Entry - SOF'!O32</f>
        <v>0</v>
      </c>
      <c r="N10" s="211"/>
      <c r="S10" s="1508"/>
      <c r="T10" s="1508"/>
      <c r="U10" s="1508"/>
      <c r="V10" s="1508"/>
    </row>
    <row r="11" spans="1:55" ht="15.75">
      <c r="B11" t="s">
        <v>2289</v>
      </c>
      <c r="C11" s="1384">
        <f>IF('Data Entry - SOF'!C164=1,'Data Entry - SOF'!C161,IF('Data Entry - SOF'!C165=1,'Data Entry - SOF'!C162,IF('Data Entry - SOF'!C166=1,'Data Entry - SOF'!C163,0)))</f>
        <v>0</v>
      </c>
      <c r="D11" s="1451">
        <f>IF('Data Entry - SOF'!E164=1,'Data Entry - SOF'!E161,IF('Data Entry - SOF'!E165=1,'Data Entry - SOF'!E162,IF('Data Entry - SOF'!E166=1,'Data Entry - SOF'!E163,0)))</f>
        <v>0</v>
      </c>
      <c r="E11" s="1553">
        <f>IF('Data Entry - SOF'!G164=1,'Data Entry - SOF'!G161,IF('Data Entry - SOF'!G165=1,'Data Entry - SOF'!G162,IF('Data Entry - SOF'!G166=1,'Data Entry - SOF'!G163,0)))</f>
        <v>0</v>
      </c>
      <c r="F11" s="1634">
        <f>IF('Data Entry - SOF'!I164=1,'Data Entry - SOF'!I161,IF('Data Entry - SOF'!I165=1,'Data Entry - SOF'!I162,IF('Data Entry - SOF'!I166=1,'Data Entry - SOF'!I163,0)))</f>
        <v>0</v>
      </c>
      <c r="G11" s="2050">
        <f>IF('Data Entry - SOF'!K164=1,'Data Entry - SOF'!K161,IF('Data Entry - SOF'!K165=1,'Data Entry - SOF'!K162,IF('Data Entry - SOF'!K166=1,'Data Entry - SOF'!K163,0)))</f>
        <v>0</v>
      </c>
      <c r="H11" s="1451">
        <f>IF('Data Entry - SOF'!M164=1,'Data Entry - SOF'!M161,IF('Data Entry - SOF'!M165=1,'Data Entry - SOF'!M162,IF('Data Entry - SOF'!M166=1,'Data Entry - SOF'!M163,0)))</f>
        <v>0</v>
      </c>
      <c r="I11" s="3710">
        <f>IF('Data Entry - SOF'!O164=1,'Data Entry - SOF'!O161,IF('Data Entry - SOF'!O165=1,'Data Entry - SOF'!O162,IF('Data Entry - SOF'!O166=1,'Data Entry - SOF'!O163,0)))</f>
        <v>0</v>
      </c>
      <c r="J11" s="3740"/>
      <c r="K11"/>
      <c r="N11" s="158"/>
      <c r="S11" s="995" t="e">
        <f>ROUND((('SOF1617-HB3646'!F44-'SOF1617-HB3646'!F43-'SOF1617-HB3646'!F42-'SOF1617-HB3646'!F40-'SOF1617-HB3646'!F31-'SOF1617-HB3646'!F32-'SOF1617-HB3646'!F28)-(((S6-S5)*0.5)/S6)*('SOF1617-HB3646'!F44-'SOF1617-HB3646'!F43-'SOF1617-HB3646'!F42-'SOF1617-HB3646'!F40-'SOF1617-HB3646'!F31-'SOF1617-HB3646'!F32-'SOF1617-HB3646'!F28))/S5,3)</f>
        <v>#DIV/0!</v>
      </c>
      <c r="T11" s="995" t="e">
        <f>ROUND((('SOF1617-HB3646'!G44-'SOF1617-HB3646'!G43-'SOF1617-HB3646'!G42-'SOF1617-HB3646'!G40-'SOF1617-HB3646'!G31-'SOF1617-HB3646'!G32-'SOF1617-HB3646'!G28)-(((T6-T5)*0.5)/T6)*('SOF1617-HB3646'!G44-'SOF1617-HB3646'!G43-'SOF1617-HB3646'!G42-'SOF1617-HB3646'!G40-'SOF1617-HB3646'!G31-'SOF1617-HB3646'!G32-'SOF1617-HB3646'!G28))/T5,3)</f>
        <v>#DIV/0!</v>
      </c>
      <c r="U11" s="995" t="e">
        <f>ROUND((('SOF1718-HB3646'!F44-'SOF1718-HB3646'!F43-'SOF1718-HB3646'!F42-'SOF1718-HB3646'!F40-'SOF1718-HB3646'!F31-'SOF1718-HB3646'!F32-'SOF1718-HB3646'!F28)-(((U6-U5)*0.5)/U6)*('SOF1718-HB3646'!F44-'SOF1718-HB3646'!F43-'SOF1718-HB3646'!F42-'SOF1718-HB3646'!F40-'SOF1718-HB3646'!F31-'SOF1718-HB3646'!F32-'SOF1718-HB3646'!F28))/U5,3)</f>
        <v>#DIV/0!</v>
      </c>
      <c r="V11" s="995" t="e">
        <f>ROUND((('SOF1819-HB3646'!F44-'SOF1819-HB3646'!F43-'SOF1819-HB3646'!F42-'SOF1819-HB3646'!F40-'SOF1819-HB3646'!F31-'SOF1819-HB3646'!F32-'SOF1819-HB3646'!F28)-(((V6-V5)*0.5)/V6)*('SOF1819-HB3646'!F44-'SOF1819-HB3646'!F43-'SOF1819-HB3646'!F42-'SOF1819-HB3646'!F40-'SOF1819-HB3646'!F31-'SOF1819-HB3646'!F32-'SOF1819-HB3646'!F28))/V5,3)</f>
        <v>#DIV/0!</v>
      </c>
    </row>
    <row r="12" spans="1:55">
      <c r="C12" s="1385"/>
      <c r="D12" s="1452"/>
      <c r="E12" s="1554"/>
      <c r="F12" s="1635"/>
      <c r="G12" s="2051"/>
      <c r="H12" s="1452"/>
      <c r="I12" s="3711"/>
      <c r="J12" s="3743" t="s">
        <v>7824</v>
      </c>
      <c r="K12" s="3741"/>
      <c r="N12" s="158"/>
      <c r="T12"/>
      <c r="AB12" s="2276" t="s">
        <v>6888</v>
      </c>
      <c r="AC12" s="2277"/>
      <c r="AD12" s="2277"/>
      <c r="AE12" s="2278"/>
    </row>
    <row r="13" spans="1:55" hidden="1">
      <c r="B13" s="99" t="s">
        <v>297</v>
      </c>
      <c r="J13" s="3742"/>
      <c r="K13" s="3741"/>
      <c r="T13"/>
    </row>
    <row r="14" spans="1:55" hidden="1">
      <c r="B14" s="99" t="s">
        <v>2363</v>
      </c>
      <c r="J14" s="3742"/>
      <c r="K14" s="3741"/>
      <c r="T14"/>
    </row>
    <row r="15" spans="1:55" hidden="1">
      <c r="B15" s="99" t="s">
        <v>860</v>
      </c>
      <c r="J15" s="3742"/>
      <c r="K15" s="3741"/>
      <c r="T15"/>
    </row>
    <row r="16" spans="1:55">
      <c r="B16" s="99"/>
      <c r="C16" s="1382"/>
      <c r="D16" s="1449"/>
      <c r="E16" s="1551"/>
      <c r="F16" s="1632"/>
      <c r="G16" s="2048"/>
      <c r="H16" s="1449"/>
      <c r="I16" s="3707"/>
      <c r="J16" s="3742" t="s">
        <v>7825</v>
      </c>
      <c r="K16" s="3741"/>
      <c r="T16"/>
      <c r="U16" s="170"/>
      <c r="V16" s="2483" t="s">
        <v>3613</v>
      </c>
      <c r="W16" s="130"/>
      <c r="AB16" s="117"/>
      <c r="AC16" s="2299"/>
      <c r="AF16" s="117"/>
      <c r="AG16" s="2299"/>
      <c r="AJ16" s="117"/>
      <c r="AK16" s="2299"/>
      <c r="AL16" s="1844"/>
      <c r="AN16" s="117"/>
      <c r="AO16" s="2299"/>
      <c r="AR16" s="117"/>
      <c r="AS16" s="2299"/>
      <c r="AW16" s="2575"/>
      <c r="AX16" s="2576"/>
      <c r="BB16" s="3761"/>
      <c r="BC16" s="3761"/>
    </row>
    <row r="17" spans="2:55">
      <c r="B17" s="47"/>
      <c r="C17" s="2668" t="str">
        <f t="shared" ref="C17:H17" si="2">C5</f>
        <v>2016-17</v>
      </c>
      <c r="D17" s="2668" t="str">
        <f t="shared" si="2"/>
        <v>2017-18</v>
      </c>
      <c r="E17" s="2668" t="str">
        <f t="shared" si="2"/>
        <v>2018-19</v>
      </c>
      <c r="F17" s="2668" t="str">
        <f t="shared" si="2"/>
        <v>2019-20</v>
      </c>
      <c r="G17" s="2668" t="str">
        <f t="shared" si="2"/>
        <v>2020-21</v>
      </c>
      <c r="H17" s="2669" t="str">
        <f t="shared" si="2"/>
        <v>2021-22</v>
      </c>
      <c r="I17" s="3708" t="str">
        <f t="shared" ref="I17" si="3">I5</f>
        <v>2022-23</v>
      </c>
      <c r="J17" s="3742" t="s">
        <v>7830</v>
      </c>
      <c r="K17" s="3741"/>
      <c r="N17" s="210"/>
      <c r="O17" s="1500" t="s">
        <v>3731</v>
      </c>
      <c r="P17" s="1500" t="s">
        <v>3734</v>
      </c>
      <c r="Q17" s="1507" t="s">
        <v>3736</v>
      </c>
      <c r="R17" s="1507" t="s">
        <v>3737</v>
      </c>
      <c r="T17"/>
      <c r="U17" s="126"/>
      <c r="V17" s="74" t="s">
        <v>7304</v>
      </c>
      <c r="W17" s="118"/>
      <c r="AB17" s="194" t="s">
        <v>3613</v>
      </c>
      <c r="AC17" s="2300"/>
      <c r="AF17" s="194" t="s">
        <v>3673</v>
      </c>
      <c r="AG17" s="2299"/>
      <c r="AJ17" s="194" t="s">
        <v>3830</v>
      </c>
      <c r="AK17" s="2299"/>
      <c r="AL17" s="1843"/>
      <c r="AN17" s="194" t="s">
        <v>3903</v>
      </c>
      <c r="AO17" s="2299"/>
      <c r="AR17" s="194" t="s">
        <v>4592</v>
      </c>
      <c r="AS17" s="2299"/>
      <c r="AW17" s="2577" t="s">
        <v>7097</v>
      </c>
      <c r="AX17" s="2576"/>
      <c r="BB17" s="3762" t="s">
        <v>7733</v>
      </c>
      <c r="BC17" s="3761"/>
    </row>
    <row r="18" spans="2:55">
      <c r="B18" t="s">
        <v>2048</v>
      </c>
      <c r="C18" s="1386">
        <f>IF('Data Entry - SOF'!C110&gt;=300,Weights!H40,Weights!H39)</f>
        <v>2.5000000000000001E-4</v>
      </c>
      <c r="D18" s="1453">
        <f>IF('Data Entry - SOF'!E110&gt;=300,Weights!I40,Weights!I39)</f>
        <v>2.5000000000000001E-4</v>
      </c>
      <c r="E18" s="1555">
        <f>IF('Data Entry - SOF'!G110&gt;=300,Weights!J40,Weights!J39)</f>
        <v>2.7500000000000002E-4</v>
      </c>
      <c r="F18" s="1636">
        <f>IF('Data Entry - SOF'!I110&gt;=300,Weights!K40,Weights!K39)</f>
        <v>2.9999999999999997E-4</v>
      </c>
      <c r="G18" s="2052">
        <f>IF('Data Entry - SOF'!K110&gt;=300,Weights!L40,Weights!L39)</f>
        <v>3.2499999999999999E-4</v>
      </c>
      <c r="H18" s="1453">
        <f>IF('Data Entry - SOF'!M110&gt;=300,Weights!M40,Weights!M39)</f>
        <v>3.5E-4</v>
      </c>
      <c r="I18" s="3712">
        <f>IF('Data Entry - SOF'!O110&gt;=300,Weights!N40,Weights!N39)</f>
        <v>3.7500000000000001E-4</v>
      </c>
      <c r="J18" s="1489">
        <f>IF('Data Entry - SOF'!C110&gt;=300,Weights!J40,Weights!J39)</f>
        <v>2.7500000000000002E-4</v>
      </c>
      <c r="K18" s="1489">
        <f>IF('Data Entry - SOF'!C110&gt;=300,Weights!I40,Weights!I39)</f>
        <v>2.5000000000000001E-4</v>
      </c>
      <c r="N18" s="158"/>
      <c r="O18" s="888" t="e">
        <f>#REF!</f>
        <v>#REF!</v>
      </c>
      <c r="P18" s="888" t="e">
        <f>O18</f>
        <v>#REF!</v>
      </c>
      <c r="Q18" s="888" t="e">
        <f>#REF!</f>
        <v>#REF!</v>
      </c>
      <c r="R18" s="888" t="e">
        <f>Q18</f>
        <v>#REF!</v>
      </c>
      <c r="T18"/>
      <c r="U18" s="133"/>
      <c r="V18" s="2484" t="s">
        <v>7303</v>
      </c>
      <c r="W18" s="131"/>
      <c r="AB18" s="194" t="s">
        <v>4483</v>
      </c>
      <c r="AC18" s="2300"/>
      <c r="AF18" s="194" t="s">
        <v>4483</v>
      </c>
      <c r="AG18" s="2299"/>
      <c r="AJ18" s="194" t="s">
        <v>4483</v>
      </c>
      <c r="AK18" s="2299"/>
      <c r="AL18" s="1843"/>
      <c r="AN18" s="194" t="s">
        <v>4483</v>
      </c>
      <c r="AO18" s="2299"/>
      <c r="AR18" s="194" t="s">
        <v>4483</v>
      </c>
      <c r="AS18" s="2299"/>
      <c r="AW18" s="2577" t="s">
        <v>4483</v>
      </c>
      <c r="AX18" s="2576"/>
      <c r="BB18" s="3762" t="s">
        <v>4483</v>
      </c>
      <c r="BC18" s="3761"/>
    </row>
    <row r="19" spans="2:55">
      <c r="B19" t="s">
        <v>2776</v>
      </c>
      <c r="C19" s="2672">
        <f>IF('Data Entry - SOF'!C113&gt;=1.5,Assumptions!G88,Assumptions!G88*('Data Entry - SOF'!C108/1))</f>
        <v>0</v>
      </c>
      <c r="D19" s="2673">
        <f>IF('Data Entry - SOF'!C113&gt;=1.5,Assumptions!G99,Assumptions!G99*('Data Entry - SOF'!E108/1))</f>
        <v>0</v>
      </c>
      <c r="E19" s="2674">
        <f>IF('Data Entry - SOF'!C113&gt;=1.5,Assumptions!G108,Assumptions!G108*('Data Entry - SOF'!G108/1))</f>
        <v>0</v>
      </c>
      <c r="F19" s="2675">
        <f>IF('Data Entry - SOF'!C113&gt;=1.5,Assumptions!G117,Assumptions!G117*('Data Entry - SOF'!I108/1))</f>
        <v>0</v>
      </c>
      <c r="G19" s="2676">
        <f>IF('Data Entry - SOF'!C113&gt;=1.5,Assumptions!G126,Assumptions!G126*('Data Entry - SOF'!K108/1))</f>
        <v>0</v>
      </c>
      <c r="H19" s="2673">
        <f>IF('Data Entry - SOF'!C113&gt;=1.5,Assumptions!G135,Assumptions!G135*('Data Entry - SOF'!M108/1))</f>
        <v>0</v>
      </c>
      <c r="I19" s="3713">
        <f>IF('Data Entry - SOF'!C113&gt;=1.5,Assumptions!G144,Assumptions!G144*('Data Entry - SOF'!O108/1))</f>
        <v>0</v>
      </c>
      <c r="J19" s="1490">
        <f>IF('Data Entry - SOF'!C113&gt;=1.5,Assumptions!G108,Assumptions!G108*('Data Entry - SOF'!C108/1.00005))</f>
        <v>0</v>
      </c>
      <c r="K19" s="1490">
        <f>IF('Data Entry - SOF'!C113&gt;=1.5,Assumptions!G99,Assumptions!G99*('Data Entry - SOF'!C108/1.00005))</f>
        <v>0</v>
      </c>
      <c r="N19" s="158"/>
      <c r="O19" s="889" t="e">
        <f>IF('Data Entry - SOF'!C113&gt;=1.5,Assumptions!G46,Assumptions!G46*('Data Entry - SOF'!#REF!/1.00005))</f>
        <v>#REF!</v>
      </c>
      <c r="P19" s="889" t="e">
        <f>IF('Data Entry - SOF'!C113&gt;=1.5,Assumptions!G46,Assumptions!G46*('Data Entry - SOF'!#REF!/1.00005))</f>
        <v>#REF!</v>
      </c>
      <c r="Q19" s="889" t="e">
        <f>IF('Data Entry - SOF'!C113&gt;=1.5,Assumptions!G46,Assumptions!G46*('Data Entry - SOF'!#REF!/1.00005))</f>
        <v>#REF!</v>
      </c>
      <c r="R19" s="889" t="e">
        <f>IF('Data Entry - SOF'!C113&gt;=1.5,Assumptions!G46,Assumptions!G46*('Data Entry - SOF'!#REF!/1.00005))</f>
        <v>#REF!</v>
      </c>
      <c r="T19"/>
      <c r="V19" s="2482">
        <f>IF('Data Entry - SOF'!C113&gt;=1.5,Assumptions!G99,IF(V24&gt;=V25,Assumptions!G99,Assumptions!G99*(('Data Entry - SOF'!C108+(V24/100))/1.00005)))</f>
        <v>0</v>
      </c>
      <c r="AB19" s="1734">
        <f>IF('Data Entry - SOF'!C113&gt;=1.5,Assumptions!G88,IF(AB24&gt;=AB25,Assumptions!G88,Assumptions!G88*(('Data Entry - SOF'!C108+(AB24/100))/1)))</f>
        <v>0</v>
      </c>
      <c r="AC19" s="2300"/>
      <c r="AF19" s="1734">
        <f>IF('Data Entry - SOF'!C113&gt;=1.5,Assumptions!G99,IF(AF24&gt;=AF25,Assumptions!G99,Assumptions!G99*(('Data Entry - SOF'!E108+(AF24/100))/1)))</f>
        <v>0</v>
      </c>
      <c r="AG19" s="2299"/>
      <c r="AJ19" s="2216">
        <f>IF('Data Entry - SOF'!C113&gt;=1.5,Assumptions!G108,IF(AJ24&gt;=AJ25,Assumptions!G108,Assumptions!G108*(('Data Entry - SOF'!G108+(AJ24/100))/1)))</f>
        <v>0</v>
      </c>
      <c r="AK19" s="2299"/>
      <c r="AL19" s="2229"/>
      <c r="AN19" s="2341">
        <f>IF('Data Entry - SOF'!C113&gt;=1.5,Assumptions!G117,IF(AN24&gt;=AN25,Assumptions!G117,Assumptions!G117*(('Data Entry - SOF'!I108+(AN24/100))/1)))</f>
        <v>0</v>
      </c>
      <c r="AO19" s="2299"/>
      <c r="AR19" s="2069">
        <f>IF('Data Entry - SOF'!C113&gt;=1.5,Assumptions!G126,IF(AR24&gt;=AR25,Assumptions!G126,Assumptions!G126*(('Data Entry - SOF'!K108+(AR24/100))/1)))</f>
        <v>0</v>
      </c>
      <c r="AS19" s="2299"/>
      <c r="AT19" s="2047"/>
      <c r="AW19" s="2630">
        <f>IF('Data Entry - SOF'!C113&gt;=1.5,Assumptions!G135,IF(AW24&gt;=AW25,Assumptions!G135,Assumptions!G135*(('Data Entry - SOF'!M108+(AW24/100))/1)))</f>
        <v>0</v>
      </c>
      <c r="AX19" s="2576"/>
      <c r="AY19" s="2579"/>
      <c r="BB19" s="3763">
        <f>IF('Data Entry - SOF'!C113&gt;=1.5,Assumptions!G144,IF(BB24&gt;=BB25,Assumptions!G144,Assumptions!G144*(('Data Entry - SOF'!O108+(BB24/100))/1)))</f>
        <v>0</v>
      </c>
      <c r="BC19" s="3761"/>
    </row>
    <row r="20" spans="2:55">
      <c r="B20" t="s">
        <v>1915</v>
      </c>
      <c r="C20" s="1387">
        <f>ROUND(C19*(((C59-1)*Weights!H44)+1),0)</f>
        <v>0</v>
      </c>
      <c r="D20" s="1454">
        <f>ROUND(D19*(((D59-1)*Weights!I44)+1),0)</f>
        <v>0</v>
      </c>
      <c r="E20" s="1556">
        <f>ROUND(E19*(((E59-1)*Weights!J44)+1),0)</f>
        <v>0</v>
      </c>
      <c r="F20" s="1637">
        <f>ROUND(F19*(((F59-1)*Weights!K44)+1),0)</f>
        <v>0</v>
      </c>
      <c r="G20" s="2053">
        <f>ROUND(G19*(((G59-1)*Weights!L44)+1),0)</f>
        <v>0</v>
      </c>
      <c r="H20" s="1454">
        <f>ROUND(H19*(((H59-1)*Weights!M44)+1),0)</f>
        <v>0</v>
      </c>
      <c r="I20" s="3714">
        <f>ROUND(I19*(((I59-1)*Weights!N44)+1),0)</f>
        <v>0</v>
      </c>
      <c r="J20" s="1491">
        <f>ROUND(J19*(((J59-1)*Weights!J44)+1),0)</f>
        <v>0</v>
      </c>
      <c r="K20" s="1491">
        <f>ROUND(K19*(((J59-1)*Weights!I44)+1),0)</f>
        <v>0</v>
      </c>
      <c r="N20" s="212"/>
      <c r="O20" s="890" t="e">
        <f>ROUND(O19*(((#REF!-1)*Weights!E44)+1),0)</f>
        <v>#REF!</v>
      </c>
      <c r="P20" s="890" t="e">
        <f>ROUND(P19*(((#REF!-1)*Weights!E44)+1),0)</f>
        <v>#REF!</v>
      </c>
      <c r="Q20" s="890" t="e">
        <f>ROUND(Q19*(((#REF!-1)*Weights!F44)+1),0)</f>
        <v>#REF!</v>
      </c>
      <c r="R20" s="890" t="e">
        <f>ROUND(R19*(((#REF!-1)*Weights!F44)+1),0)</f>
        <v>#REF!</v>
      </c>
      <c r="T20"/>
      <c r="V20" s="2466">
        <f>ROUND(V19*(((C59-1)*Weights!I44)+1),0)</f>
        <v>0</v>
      </c>
      <c r="AA20" s="49" t="s">
        <v>4509</v>
      </c>
      <c r="AB20" s="1875">
        <f>ROUND(AB19*(((C59-1)*Weights!H44)+1),0)</f>
        <v>0</v>
      </c>
      <c r="AC20" s="2300"/>
      <c r="AE20" s="49" t="s">
        <v>4509</v>
      </c>
      <c r="AF20" s="1900">
        <f>ROUND(AF19*(((D59-1)*Weights!I44)+1),0)</f>
        <v>0</v>
      </c>
      <c r="AG20" s="2299"/>
      <c r="AI20" s="49" t="s">
        <v>4509</v>
      </c>
      <c r="AJ20" s="1960">
        <f>ROUND(AJ19*(((E59-1)*Weights!J44)+1),0)</f>
        <v>0</v>
      </c>
      <c r="AK20" s="2299"/>
      <c r="AL20" s="2230"/>
      <c r="AM20" s="49" t="s">
        <v>4509</v>
      </c>
      <c r="AN20" s="2396">
        <f>ROUND(AN19*(((F59-1)*Weights!K44)+1),0)</f>
        <v>0</v>
      </c>
      <c r="AO20" s="2299"/>
      <c r="AQ20" s="49" t="s">
        <v>4509</v>
      </c>
      <c r="AR20" s="2070">
        <f>ROUND(AR19*(((G59-1)*Weights!L44)+1),0)</f>
        <v>0</v>
      </c>
      <c r="AS20" s="2299"/>
      <c r="AT20" s="2047"/>
      <c r="AV20" s="2580" t="s">
        <v>4509</v>
      </c>
      <c r="AW20" s="2581">
        <f>ROUND(AW19*(((H59-1)*Weights!M44)+1),0)</f>
        <v>0</v>
      </c>
      <c r="AX20" s="2576"/>
      <c r="AY20" s="2579"/>
      <c r="BA20" s="3764" t="s">
        <v>4509</v>
      </c>
      <c r="BB20" s="3765">
        <f>ROUND(BB19*(((I59-1)*Weights!N44)+1),0)</f>
        <v>0</v>
      </c>
      <c r="BC20" s="3761"/>
    </row>
    <row r="21" spans="2:55">
      <c r="B21" t="s">
        <v>94</v>
      </c>
      <c r="C21" s="1387">
        <f t="shared" ref="C21:H21" si="4">ROUND(IF(C10&gt;1600,C20,(1+(1600-IF(C10&gt;C11,C10,C11))*C18)*C20),0)</f>
        <v>0</v>
      </c>
      <c r="D21" s="1454">
        <f t="shared" si="4"/>
        <v>0</v>
      </c>
      <c r="E21" s="1556">
        <f t="shared" si="4"/>
        <v>0</v>
      </c>
      <c r="F21" s="1637">
        <f t="shared" si="4"/>
        <v>0</v>
      </c>
      <c r="G21" s="2053">
        <f t="shared" si="4"/>
        <v>0</v>
      </c>
      <c r="H21" s="1454">
        <f t="shared" si="4"/>
        <v>0</v>
      </c>
      <c r="I21" s="3714">
        <f t="shared" ref="I21" si="5">ROUND(IF(I10&gt;1600,I20,(1+(1600-IF(I10&gt;I11,I10,I11))*I18)*I20),0)</f>
        <v>0</v>
      </c>
      <c r="J21" s="1491">
        <f>ROUND(IF(D10&gt;1600,J20,(1+(1600-IF(D10&gt;D11,D10,D11))*J18)*J20),0)</f>
        <v>0</v>
      </c>
      <c r="K21" s="1491">
        <f>ROUND(IF(C10&gt;1600,K20,(1+(1600-IF(C10&gt;C11,C10,C11))*K18)*K20),0)</f>
        <v>0</v>
      </c>
      <c r="N21" s="212"/>
      <c r="O21" s="890" t="e">
        <f>ROUND(IF(#REF!&gt;1600,O20,(1+(1600-IF(#REF!&gt;#REF!,#REF!,#REF!))*O18)*O20),0)</f>
        <v>#REF!</v>
      </c>
      <c r="P21" s="890" t="e">
        <f>ROUND(IF(#REF!&gt;1600,P20,(1+(1600-IF(#REF!&gt;#REF!,#REF!,#REF!))*P18)*P20),0)</f>
        <v>#REF!</v>
      </c>
      <c r="Q21" s="890" t="e">
        <f>ROUND(IF(#REF!&gt;1600,Q20,(1+(1600-IF(#REF!&gt;#REF!,#REF!,#REF!))*Q18)*Q20),0)</f>
        <v>#REF!</v>
      </c>
      <c r="R21" s="890" t="e">
        <f>ROUND(IF(#REF!&gt;1600,R20,(1+(1600-IF(#REF!&gt;#REF!,#REF!,#REF!))*R18)*R20),0)</f>
        <v>#REF!</v>
      </c>
      <c r="T21"/>
      <c r="V21" s="2466">
        <f>ROUND(IF(C10&gt;1600,V20,(1+(1600-IF(C10&gt;C11,C10,C11))*C18)*V20),0)</f>
        <v>0</v>
      </c>
      <c r="AA21" s="49" t="s">
        <v>3261</v>
      </c>
      <c r="AB21" s="1875">
        <f>ROUND(IF(C10&gt;1600,AB20,(1+(1600-IF(C10&gt;C11,C10,C11))*C18)*AB20),0)</f>
        <v>0</v>
      </c>
      <c r="AC21" s="2300"/>
      <c r="AE21" s="49" t="s">
        <v>3261</v>
      </c>
      <c r="AF21" s="1900">
        <f>ROUND(IF(D10&gt;1600,AF20,(1+(1600-IF(D10&gt;D11,D10,D11))*D18)*AF20),0)</f>
        <v>0</v>
      </c>
      <c r="AG21" s="2299"/>
      <c r="AI21" s="49" t="s">
        <v>3261</v>
      </c>
      <c r="AJ21" s="1960">
        <f>ROUND(IF(E10&gt;1600,AJ20,(1+(1600-IF(E10&gt;E11,E10,E11))*E18)*AJ20),0)</f>
        <v>0</v>
      </c>
      <c r="AK21" s="2299"/>
      <c r="AL21" s="2230"/>
      <c r="AM21" s="49" t="s">
        <v>3261</v>
      </c>
      <c r="AN21" s="2396">
        <f>ROUND(IF(F10&gt;1600,AN20,(1+(1600-IF(F10&gt;F11,F10,F11))*F18)*AN20),0)</f>
        <v>0</v>
      </c>
      <c r="AO21" s="2299"/>
      <c r="AQ21" s="49" t="s">
        <v>3261</v>
      </c>
      <c r="AR21" s="2070">
        <f>ROUND(IF(G10&gt;1600,AR20,(1+(1600-IF(G10&gt;G11,G10,G11))*G18)*AR20),0)</f>
        <v>0</v>
      </c>
      <c r="AS21" s="2299"/>
      <c r="AT21" s="2047"/>
      <c r="AV21" s="2580" t="s">
        <v>3261</v>
      </c>
      <c r="AW21" s="2581">
        <f>ROUND(IF(H10&gt;1600,AW20,(1+(1600-IF(H10&gt;H11,H10,H11))*H18)*AW20),0)</f>
        <v>0</v>
      </c>
      <c r="AX21" s="2576"/>
      <c r="AY21" s="2579"/>
      <c r="BA21" s="3764" t="s">
        <v>3261</v>
      </c>
      <c r="BB21" s="3765">
        <f>ROUND(IF(I10&gt;1600,BB20,(1+(1600-IF(I10&gt;I11,I10,I11))*I18)*BB20),0)</f>
        <v>0</v>
      </c>
      <c r="BC21" s="3761"/>
    </row>
    <row r="22" spans="2:55">
      <c r="B22" t="s">
        <v>2169</v>
      </c>
      <c r="C22" s="1387">
        <f>ROUND(IF(OR(C10&gt;4999.999,'Data Entry - SOF'!C109&lt;12),0,(1+((5000-C10)*Weights!H42))*C20),0)</f>
        <v>0</v>
      </c>
      <c r="D22" s="1454">
        <f>ROUND(IF(OR(D10&gt;4999.999,'Data Entry - SOF'!E109&lt;12),0,(1+((5000-D10)*Weights!I42))*D20),0)</f>
        <v>0</v>
      </c>
      <c r="E22" s="1556">
        <f>ROUND(IF(OR(E10&gt;4999.999,'Data Entry - SOF'!G109&lt;12),0,(1+((5000-E10)*Weights!J42))*E20),0)</f>
        <v>0</v>
      </c>
      <c r="F22" s="1637">
        <f>ROUND(IF(OR(F10&gt;4999.999,'Data Entry - SOF'!I109&lt;12),0,(1+((5000-F10)*Weights!K42))*F20),0)</f>
        <v>0</v>
      </c>
      <c r="G22" s="2053">
        <f>ROUND(IF(OR(G10&gt;4999.999,'Data Entry - SOF'!K109&lt;12),0,(1+((5000-G10)*Weights!L42))*G20),0)</f>
        <v>0</v>
      </c>
      <c r="H22" s="1454">
        <f>ROUND(IF(OR(H10&gt;4999.999,'Data Entry - SOF'!M109&lt;12),0,(1+((5000-H10)*Weights!M42))*H20),0)</f>
        <v>0</v>
      </c>
      <c r="I22" s="3714">
        <f>ROUND(IF(OR(I10&gt;4999.999,'Data Entry - SOF'!O109&lt;12),0,(1+((5000-I10)*Weights!N42))*I20),0)</f>
        <v>0</v>
      </c>
      <c r="J22" s="1491">
        <f>ROUND(IF(OR(D10&gt;4999.999,'Data Entry - SOF'!C109&lt;12),0,(1+((5000-D10)*Weights!J42))*J20),0)</f>
        <v>0</v>
      </c>
      <c r="K22" s="1491">
        <f>ROUND(IF(OR(C10&gt;4999.999,'Data Entry - SOF'!C109&lt;12),0,(1+((5000-C10)*Weights!I42))*K20),0)</f>
        <v>0</v>
      </c>
      <c r="N22" s="212"/>
      <c r="O22" s="883" t="e">
        <f>ROUND(IF(OR(#REF!&gt;4999.999,'Data Entry - SOF'!#REF!&lt;12),0,(1+((5000-#REF!)*Weights!E42))*O20),0)</f>
        <v>#REF!</v>
      </c>
      <c r="P22" s="883" t="e">
        <f>ROUND(IF(OR(#REF!&gt;4999.999,'Data Entry - SOF'!#REF!&lt;12),0,(1+((5000-#REF!)*Weights!E42))*P20),0)</f>
        <v>#REF!</v>
      </c>
      <c r="Q22" s="883" t="e">
        <f>ROUND(IF(OR(#REF!&gt;4999.999,'Data Entry - SOF'!#REF!&lt;12),0,(1+((5000-#REF!)*Weights!F42))*Q20),0)</f>
        <v>#REF!</v>
      </c>
      <c r="R22" s="883" t="e">
        <f>ROUND(IF(OR(#REF!&gt;4999.999,'Data Entry - SOF'!#REF!&lt;12),0,(1+((5000-#REF!)*Weights!F42))*R20),0)</f>
        <v>#REF!</v>
      </c>
      <c r="T22"/>
      <c r="V22" s="2467">
        <f>ROUND(IF(OR(C10&gt;4999.999,'Data Entry - SOF'!C109&lt;12),0,(1+((5000-C10)*Weights!I42))*V20),0)</f>
        <v>0</v>
      </c>
      <c r="AA22" s="49" t="s">
        <v>3262</v>
      </c>
      <c r="AB22" s="1876">
        <f>ROUND(IF(OR(C10&gt;4999.999,'Data Entry - SOF'!C109&lt;12),0,(1+((5000-C10)*Weights!H42))*AB20),0)</f>
        <v>0</v>
      </c>
      <c r="AC22" s="2300"/>
      <c r="AE22" s="49" t="s">
        <v>3262</v>
      </c>
      <c r="AF22" s="1901">
        <f>ROUND(IF(OR(D10&gt;4999.999,'Data Entry - SOF'!E109&lt;12),0,(1+((5000-D10)*Weights!I42))*AF20),0)</f>
        <v>0</v>
      </c>
      <c r="AG22" s="2299"/>
      <c r="AI22" s="49" t="s">
        <v>3262</v>
      </c>
      <c r="AJ22" s="1960">
        <f>ROUND(IF(OR(E10&gt;4999.999,'Data Entry - SOF'!G109&lt;12),0,(1+((5000-E10)*Weights!J42))*AJ20),0)</f>
        <v>0</v>
      </c>
      <c r="AK22" s="2299"/>
      <c r="AL22" s="2231"/>
      <c r="AM22" s="49" t="s">
        <v>3262</v>
      </c>
      <c r="AN22" s="2396">
        <f>ROUND(IF(OR(F10&gt;4999.999,'Data Entry - SOF'!I109&lt;12),0,(1+((5000-F10)*Weights!K42))*AN20),0)</f>
        <v>0</v>
      </c>
      <c r="AO22" s="2299"/>
      <c r="AQ22" s="49" t="s">
        <v>3262</v>
      </c>
      <c r="AR22" s="2070">
        <f>ROUND(IF(OR(G10&gt;4999.999,'Data Entry - SOF'!K109&lt;12),0,(1+((5000-G10)*Weights!L42))*AR20),0)</f>
        <v>0</v>
      </c>
      <c r="AS22" s="2299"/>
      <c r="AT22" s="2047"/>
      <c r="AV22" s="2580" t="s">
        <v>3262</v>
      </c>
      <c r="AW22" s="2581">
        <f>ROUND(IF(OR(H10&gt;4999.999,'Data Entry - SOF'!M109&lt;12),0,(1+((5000-H10)*Weights!M42))*AW20),0)</f>
        <v>0</v>
      </c>
      <c r="AX22" s="2576"/>
      <c r="AY22" s="2579"/>
      <c r="BA22" s="3764" t="s">
        <v>3262</v>
      </c>
      <c r="BB22" s="3765">
        <f>ROUND(IF(OR(I10&gt;4999.999,'Data Entry - SOF'!O109&lt;12),0,(1+((5000-I10)*Weights!N42))*BB20),0)</f>
        <v>0</v>
      </c>
      <c r="BC22" s="3761"/>
    </row>
    <row r="23" spans="2:55">
      <c r="B23" s="1200" t="s">
        <v>1916</v>
      </c>
      <c r="C23" s="1387">
        <f t="shared" ref="C23:H23" si="6">IF(AND(C22&gt;=C21,C22&gt;=C20),C22,IF(AND(C21&gt;=C20,C21&gt;=C22),C21,C20))</f>
        <v>0</v>
      </c>
      <c r="D23" s="1454">
        <f t="shared" si="6"/>
        <v>0</v>
      </c>
      <c r="E23" s="1556">
        <f t="shared" si="6"/>
        <v>0</v>
      </c>
      <c r="F23" s="1637">
        <f t="shared" si="6"/>
        <v>0</v>
      </c>
      <c r="G23" s="2053">
        <f t="shared" si="6"/>
        <v>0</v>
      </c>
      <c r="H23" s="1454">
        <f t="shared" si="6"/>
        <v>0</v>
      </c>
      <c r="I23" s="3714">
        <f t="shared" ref="I23" si="7">IF(AND(I22&gt;=I21,I22&gt;=I20),I22,IF(AND(I21&gt;=I20,I21&gt;=I22),I21,I20))</f>
        <v>0</v>
      </c>
      <c r="J23" s="1491">
        <f>IF(AND(J22&gt;=J21,J22&gt;=J20),J22,IF(AND(J21&gt;=J20,J21&gt;=J22),J21,J20))</f>
        <v>0</v>
      </c>
      <c r="K23" s="1491">
        <f>IF(AND(K22&gt;=K21,K22&gt;=K20),K22,IF(AND(K21&gt;=K20,K21&gt;=K22),K21,K20))</f>
        <v>0</v>
      </c>
      <c r="N23" s="212"/>
      <c r="O23" s="890" t="e">
        <f>IF(AND(O22&gt;=O21,O22&gt;=O20),O22,IF(AND(O21&gt;=O20,O21&gt;=O22),O21,O20))</f>
        <v>#REF!</v>
      </c>
      <c r="P23" s="890" t="e">
        <f>IF(AND(P22&gt;=P21,P22&gt;=P20),P22,IF(AND(P21&gt;=P20,P21&gt;=P22),P21,P20))</f>
        <v>#REF!</v>
      </c>
      <c r="Q23" s="890" t="e">
        <f>IF(AND(Q22&gt;=Q21,Q22&gt;=Q20),Q22,IF(AND(Q21&gt;=Q20,Q21&gt;=Q22),Q21,Q20))</f>
        <v>#REF!</v>
      </c>
      <c r="R23" s="890" t="e">
        <f>IF(AND(R22&gt;=R21,R22&gt;=R20),R22,IF(AND(R21&gt;=R20,R21&gt;=R22),R21,R20))</f>
        <v>#REF!</v>
      </c>
      <c r="T23"/>
      <c r="V23" s="2466">
        <f>IF(AND(V22&gt;=V21,V22&gt;=V20),V22,IF(AND(V21&gt;=V20,V21&gt;=V22),V21,V20))</f>
        <v>0</v>
      </c>
      <c r="AA23" s="49" t="s">
        <v>4484</v>
      </c>
      <c r="AB23" s="1875">
        <f>IF(AND(AB22&gt;=AB21,AB22&gt;=AB20),AB22,IF(AND(AB21&gt;=AB20,AB21&gt;=AB22),AB21,AB20))</f>
        <v>0</v>
      </c>
      <c r="AC23" s="2300"/>
      <c r="AE23" s="49" t="s">
        <v>4484</v>
      </c>
      <c r="AF23" s="1900">
        <f>IF(AND(AF22&gt;=AF21,AF22&gt;=AF20),AF22,IF(AND(AF21&gt;=AF20,AF21&gt;=AF22),AF21,AF20))</f>
        <v>0</v>
      </c>
      <c r="AG23" s="2299"/>
      <c r="AI23" s="49" t="s">
        <v>4484</v>
      </c>
      <c r="AJ23" s="1960">
        <f>IF(AND(AJ22&gt;=AJ21,AJ22&gt;=AJ20),AJ22,IF(AND(AJ21&gt;=AJ20,AJ21&gt;=AJ22),AJ21,AJ20))</f>
        <v>0</v>
      </c>
      <c r="AK23" s="2299"/>
      <c r="AL23" s="2230"/>
      <c r="AM23" s="49" t="s">
        <v>4484</v>
      </c>
      <c r="AN23" s="2396">
        <f>IF(AND(AN22&gt;=AN21,AN22&gt;=AN20),AN22,IF(AND(AN21&gt;=AN20,AN21&gt;=AN22),AN21,AN20))</f>
        <v>0</v>
      </c>
      <c r="AO23" s="2299"/>
      <c r="AQ23" s="49" t="s">
        <v>4484</v>
      </c>
      <c r="AR23" s="2070">
        <f>IF(AND(AR22&gt;=AR21,AR22&gt;=AR20),AR22,IF(AND(AR21&gt;=AR20,AR21&gt;=AR22),AR21,AR20))</f>
        <v>0</v>
      </c>
      <c r="AS23" s="2299"/>
      <c r="AT23" s="2047"/>
      <c r="AV23" s="2580" t="s">
        <v>4484</v>
      </c>
      <c r="AW23" s="2581">
        <f>IF(AND(AW22&gt;=AW21,AW22&gt;=AW20),AW22,IF(AND(AW21&gt;=AW20,AW21&gt;=AW22),AW21,AW20))</f>
        <v>0</v>
      </c>
      <c r="AX23" s="2576"/>
      <c r="AY23" s="2579"/>
      <c r="BA23" s="3764" t="s">
        <v>4484</v>
      </c>
      <c r="BB23" s="3765">
        <f>IF(AND(BB22&gt;=BB21,BB22&gt;=BB20),BB22,IF(AND(BB21&gt;=BB20,BB21&gt;=BB22),BB21,BB20))</f>
        <v>0</v>
      </c>
      <c r="BC23" s="3761"/>
    </row>
    <row r="24" spans="2:55">
      <c r="C24" s="1399"/>
      <c r="D24" s="1399"/>
      <c r="E24" s="1399"/>
      <c r="F24" s="1399"/>
      <c r="G24" s="1399"/>
      <c r="H24" s="1399"/>
      <c r="I24" s="3715"/>
      <c r="N24" s="212"/>
      <c r="O24" s="887"/>
      <c r="P24" s="887"/>
      <c r="Q24" s="1508"/>
      <c r="R24" s="1508"/>
      <c r="T24"/>
      <c r="V24" s="2468">
        <f>X44</f>
        <v>0</v>
      </c>
      <c r="AA24" s="49" t="s">
        <v>4460</v>
      </c>
      <c r="AB24" s="1841">
        <f>IF('Data Entry - SOF'!C58-'Data Entry - SOF'!C108&gt;0.06,('Data Entry - SOF'!C58-('Data Entry - SOF'!C108+0.06))*100,0)</f>
        <v>0</v>
      </c>
      <c r="AC24" s="2300"/>
      <c r="AE24" s="49" t="s">
        <v>4460</v>
      </c>
      <c r="AF24" s="1841">
        <f>IF('Data Entry - SOF'!E58-'Data Entry - SOF'!E108&gt;0.06,('Data Entry - SOF'!E58-('Data Entry - SOF'!E108+0.06))*100,0)</f>
        <v>0</v>
      </c>
      <c r="AG24" s="2299"/>
      <c r="AI24" s="49" t="s">
        <v>4460</v>
      </c>
      <c r="AJ24" s="1841">
        <f>IF('Data Entry - SOF'!G58-'Data Entry - SOF'!G108&gt;0.06,('Data Entry - SOF'!G58-('Data Entry - SOF'!G108+0.06))*100,0)</f>
        <v>0</v>
      </c>
      <c r="AK24" s="2299"/>
      <c r="AL24" s="2232"/>
      <c r="AM24" s="49" t="s">
        <v>4460</v>
      </c>
      <c r="AN24" s="1841">
        <f>IF('Data Entry - SOF'!I58-'Data Entry - SOF'!I108&gt;0.06,('Data Entry - SOF'!I58-('Data Entry - SOF'!I108+0.06))*100,0)</f>
        <v>0</v>
      </c>
      <c r="AO24" s="2299"/>
      <c r="AQ24" s="49" t="s">
        <v>4460</v>
      </c>
      <c r="AR24" s="1841">
        <f>IF('Data Entry - SOF'!K58-'Data Entry - SOF'!K108&gt;0.06,('Data Entry - SOF'!K58-('Data Entry - SOF'!K108+0.06))*100,0)</f>
        <v>0</v>
      </c>
      <c r="AS24" s="2299"/>
      <c r="AT24" s="2047"/>
      <c r="AV24" s="2580" t="s">
        <v>4460</v>
      </c>
      <c r="AW24" s="2582">
        <f>IF('Data Entry - SOF'!M58-'Data Entry - SOF'!M108&gt;0.06,('Data Entry - SOF'!M58-('Data Entry - SOF'!M108+0.06))*100,0)</f>
        <v>0</v>
      </c>
      <c r="AX24" s="2576"/>
      <c r="AY24" s="2579"/>
      <c r="BA24" s="3764" t="s">
        <v>4460</v>
      </c>
      <c r="BB24" s="3766">
        <f>IF('Data Entry - SOF'!O58-'Data Entry - SOF'!O108&gt;0.06,('Data Entry - SOF'!O58-('Data Entry - SOF'!O108+0.06))*100,0)</f>
        <v>0</v>
      </c>
      <c r="BC24" s="3761"/>
    </row>
    <row r="25" spans="2:55" ht="15.75">
      <c r="B25" s="1200" t="s">
        <v>1053</v>
      </c>
      <c r="C25" s="1388" t="e">
        <f>ROUND((('SOF1617-SB1'!F44-'SOF1617-SB1'!F43-'SOF1617-SB1'!F42-'SOF1617-SB1'!F40-'SOF1617-SB1'!F31-'SOF1617-SB1'!F32-'SOF1617-SB1'!F28)-(((C20-C19)*0.5)/C20)*('SOF1617-SB1'!F44-'SOF1617-SB1'!F43-'SOF1617-SB1'!F42-'SOF1617-SB1'!F40-'SOF1617-SB1'!F31-'SOF1617-SB1'!F32-'SOF1617-SB1'!F28))/C19,3)</f>
        <v>#DIV/0!</v>
      </c>
      <c r="D25" s="1455" t="e">
        <f>ROUND((('SOF1718-SB1'!F44-'SOF1718-SB1'!F43-'SOF1718-SB1'!F42-'SOF1718-SB1'!F40-'SOF1718-SB1'!F31-'SOF1718-SB1'!F32-'SOF1718-SB1'!F28)-(((D20-D19)*0.5)/D20)*('SOF1718-SB1'!F44-'SOF1718-SB1'!F43-'SOF1718-SB1'!F42-'SOF1718-SB1'!F40-'SOF1718-SB1'!F31-'SOF1718-SB1'!F32-'SOF1718-SB1'!F28))/D19,3)</f>
        <v>#DIV/0!</v>
      </c>
      <c r="E25" s="1557" t="e">
        <f>ROUND((('SOF1819-SB1'!F44-'SOF1819-SB1'!F43-'SOF1819-SB1'!F42-'SOF1819-SB1'!F40-'SOF1819-SB1'!F31-'SOF1819-SB1'!F32-'SOF1819-SB1'!F28)-(((E20-E19)*0.5)/E20)*('SOF1819-SB1'!F44-'SOF1819-SB1'!F43-'SOF1819-SB1'!F42-'SOF1819-SB1'!F40-'SOF1819-SB1'!F31-'SOF1819-SB1'!F32-'SOF1819-SB1'!F28))/E19,3)</f>
        <v>#DIV/0!</v>
      </c>
      <c r="F25" s="1638" t="e">
        <f>ROUND((('SOF1920-SB1'!F44-'SOF1920-SB1'!F43-'SOF1920-SB1'!F42-'SOF1920-SB1'!F40-'SOF1920-SB1'!F31-'SOF1920-SB1'!F32-'SOF1920-SB1'!F28)-(((F20-F19)*0.5)/F20)*('SOF1920-SB1'!F44-'SOF1920-SB1'!F43-'SOF1920-SB1'!F42-'SOF1920-SB1'!F40-'SOF1920-SB1'!F31-'SOF1920-SB1'!F32-'SOF1920-SB1'!F28))/F19,3)</f>
        <v>#DIV/0!</v>
      </c>
      <c r="G25" s="2054" t="e">
        <f>ROUND((('SOF2021-SB1'!F44-'SOF2021-SB1'!F43-'SOF2021-SB1'!F42-'SOF2021-SB1'!F40-'SOF2021-SB1'!F31-'SOF2021-SB1'!F32-'SOF2021-SB1'!F28)-(((G20-G19)*0.5)/G20)*('SOF2021-SB1'!F44-'SOF2021-SB1'!F43-'SOF2021-SB1'!F42-'SOF2021-SB1'!F40-'SOF2021-SB1'!F31-'SOF2021-SB1'!F32-'SOF2021-SB1'!F28))/G19,3)</f>
        <v>#DIV/0!</v>
      </c>
      <c r="H25" s="1455" t="e">
        <f>ROUND((('SOF2122-SB1'!F44-'SOF2122-SB1'!F43-'SOF2122-SB1'!F42-'SOF2122-SB1'!F40-'SOF2122-SB1'!F31-'SOF2122-SB1'!F32-'SOF2122-SB1'!F28)-(((H20-H19)*0.5)/H20)*('SOF2122-SB1'!F44-'SOF2122-SB1'!F43-'SOF2122-SB1'!F42-'SOF2122-SB1'!F40-'SOF2122-SB1'!FG31-'SOF2122-SB1'!F32-'SOF2122-SB1'!F28))/H19,3)</f>
        <v>#DIV/0!</v>
      </c>
      <c r="I25" s="3716" t="e">
        <f>ROUND((('SOF2122-SB1'!F44-'SOF2122-SB1'!F43-'SOF2122-SB1'!F42-'SOF2122-SB1'!F40-'SOF2122-SB1'!F31-'SOF2122-SB1'!F32-'SOF2122-SB1'!F28)-(((I20-I19)*0.5)/I20)*('SOF2122-SB1'!F44-'SOF2122-SB1'!F43-'SOF2122-SB1'!F42-'SOF2122-SB1'!F40-'SOF2122-SB1'!F31-'SOF2122-SB1'!F32-'SOF2122-SB1'!F28))/I19,3)</f>
        <v>#DIV/0!</v>
      </c>
      <c r="N25" s="213"/>
      <c r="O25" s="995" t="e">
        <f>ROUND(((#REF!-#REF!-#REF!-#REF!-#REF!-#REF!-#REF!)-(((O20-O19)*0.5)/O20)*(#REF!-#REF!-#REF!-#REF!-#REF!-#REF!-#REF!))/O19,3)</f>
        <v>#REF!</v>
      </c>
      <c r="P25" s="995" t="e">
        <f>ROUND(((#REF!-#REF!-#REF!-#REF!-#REF!-#REF!-#REF!)-(((P20-P19)*0.5)/P20)*(#REF!-#REF!-#REF!-#REF!-#REF!-#REF!-#REF!))/P19,3)</f>
        <v>#REF!</v>
      </c>
      <c r="Q25" s="995" t="e">
        <f>ROUND(((#REF!-#REF!-#REF!-#REF!-#REF!-#REF!-#REF!)-(((Q20-Q19)*0.5)/Q20)*(#REF!-#REF!-#REF!-#REF!-#REF!-#REF!-#REF!))/Q19,3)</f>
        <v>#REF!</v>
      </c>
      <c r="R25" s="995" t="e">
        <f>ROUND(((#REF!-#REF!-#REF!-#REF!-#REF!-#REF!-#REF!)-(((R20-R19)*0.5)/R20)*(#REF!-#REF!-#REF!-#REF!-#REF!-#REF!-#REF!))/R19,3)</f>
        <v>#REF!</v>
      </c>
      <c r="T25"/>
      <c r="V25" s="2469">
        <f>X45</f>
        <v>100</v>
      </c>
      <c r="AA25" s="49" t="s">
        <v>4459</v>
      </c>
      <c r="AB25" s="1879">
        <f>ROUND(IF('Data Entry - SOF'!C108&gt;=1,0,(1 -'Data Entry - SOF'!C108)*100),4)</f>
        <v>100</v>
      </c>
      <c r="AC25" s="2300"/>
      <c r="AE25" s="49" t="s">
        <v>4459</v>
      </c>
      <c r="AF25" s="1902">
        <f>ROUND(IF('Data Entry - SOF'!E108&gt;=1,0,(1 -'Data Entry - SOF'!E108)*100),4)</f>
        <v>100</v>
      </c>
      <c r="AG25" s="2299"/>
      <c r="AI25" s="49" t="s">
        <v>4459</v>
      </c>
      <c r="AJ25" s="1962">
        <f>ROUND(IF('Data Entry - SOF'!G108&gt;=1,0,(1 -'Data Entry - SOF'!G108)*100),4)</f>
        <v>100</v>
      </c>
      <c r="AK25" s="2299"/>
      <c r="AL25" s="2232"/>
      <c r="AM25" s="49" t="s">
        <v>4459</v>
      </c>
      <c r="AN25" s="2346">
        <f>ROUND(IF('Data Entry - SOF'!I108&gt;=1,0,(1 -'Data Entry - SOF'!I108)*100),4)</f>
        <v>100</v>
      </c>
      <c r="AO25" s="2299"/>
      <c r="AQ25" s="49" t="s">
        <v>4459</v>
      </c>
      <c r="AR25" s="2071">
        <f>ROUND(IF('Data Entry - SOF'!K108&gt;=1,0,(1 -'Data Entry - SOF'!K108)*100),4)</f>
        <v>100</v>
      </c>
      <c r="AS25" s="2299"/>
      <c r="AT25" s="2047"/>
      <c r="AV25" s="2580" t="s">
        <v>4459</v>
      </c>
      <c r="AW25" s="2583">
        <f>ROUND(IF('Data Entry - SOF'!M108&gt;=1,0,(1 -'Data Entry - SOF'!M108)*100),4)</f>
        <v>100</v>
      </c>
      <c r="AX25" s="2576"/>
      <c r="AY25" s="2579"/>
      <c r="BA25" s="3764" t="s">
        <v>4459</v>
      </c>
      <c r="BB25" s="3766">
        <f>ROUND(IF('Data Entry - SOF'!O108&gt;=1,0,(1 -'Data Entry - SOF'!O108)*100),4)</f>
        <v>100</v>
      </c>
      <c r="BC25" s="3761"/>
    </row>
    <row r="26" spans="2:55" hidden="1">
      <c r="B26" t="s">
        <v>516</v>
      </c>
      <c r="C26" s="1389">
        <f>'Calc Data'!O69</f>
        <v>0</v>
      </c>
      <c r="D26" s="1456">
        <f>'Calc Data'!P69</f>
        <v>0</v>
      </c>
      <c r="E26" s="1558">
        <f>'Calc Data'!Q69</f>
        <v>0</v>
      </c>
      <c r="F26" s="1639">
        <f>'Calc Data'!R69</f>
        <v>0</v>
      </c>
      <c r="G26" s="2055">
        <f>'Calc Data'!S69</f>
        <v>0</v>
      </c>
      <c r="H26" s="1456">
        <f>'Calc Data'!T69</f>
        <v>0</v>
      </c>
      <c r="I26" s="3717">
        <f>'Calc Data'!U69</f>
        <v>0</v>
      </c>
      <c r="N26" s="213"/>
      <c r="T26"/>
      <c r="V26" s="2470"/>
      <c r="X26" s="320"/>
      <c r="Y26" s="320"/>
      <c r="Z26" s="320"/>
      <c r="AA26" s="321"/>
      <c r="AB26" s="1880"/>
      <c r="AC26" s="2300"/>
      <c r="AE26" s="321"/>
      <c r="AF26" s="1903"/>
      <c r="AG26" s="2299"/>
      <c r="AI26" s="321"/>
      <c r="AJ26" s="2401"/>
      <c r="AK26" s="2299"/>
      <c r="AL26" s="2233"/>
      <c r="AM26" s="321"/>
      <c r="AN26" s="2397"/>
      <c r="AO26" s="2299"/>
      <c r="AQ26" s="321"/>
      <c r="AR26" s="2072"/>
      <c r="AS26" s="2299"/>
      <c r="AT26" s="2047"/>
      <c r="AV26" s="2584"/>
      <c r="AW26" s="2585"/>
      <c r="AX26" s="2576"/>
      <c r="AY26" s="2579"/>
      <c r="BA26" s="3767"/>
      <c r="BB26" s="3768"/>
      <c r="BC26" s="3761"/>
    </row>
    <row r="27" spans="2:55" hidden="1">
      <c r="B27" t="s">
        <v>847</v>
      </c>
      <c r="C27" s="1390" t="e">
        <f>('Data Entry - SOF'!I59-IFA!#REF!)/('Data Entry - SOF'!#REF!/100)</f>
        <v>#REF!</v>
      </c>
      <c r="D27" s="1457" t="e">
        <f>('Data Entry - SOF'!Q59-IFA!#REF!)/('Data Entry - SOF'!#REF!/100)</f>
        <v>#VALUE!</v>
      </c>
      <c r="E27" s="1559" t="e">
        <f>('Data Entry - SOF'!O59-IFA!#REF!)/('Data Entry - SOF'!#REF!/100)</f>
        <v>#REF!</v>
      </c>
      <c r="F27" s="1640" t="e">
        <f>('Data Entry - SOF'!S59-IFA!#REF!)/('Data Entry - SOF'!#REF!/100)</f>
        <v>#REF!</v>
      </c>
      <c r="G27" s="2056" t="e">
        <f>('Data Entry - SOF'!T59-IFA!H79)/('Data Entry - SOF'!#REF!/100)</f>
        <v>#REF!</v>
      </c>
      <c r="H27" s="1457" t="e">
        <f>('Data Entry - SOF'!U59-IFA!I79)/('Data Entry - SOF'!#REF!/100)</f>
        <v>#REF!</v>
      </c>
      <c r="I27" s="3718" t="e">
        <f>('Data Entry - SOF'!V59-IFA!J79)/('Data Entry - SOF'!#REF!/100)</f>
        <v>#REF!</v>
      </c>
      <c r="N27" s="214"/>
      <c r="T27"/>
      <c r="V27" s="2470"/>
      <c r="AB27" s="1880"/>
      <c r="AC27" s="2300"/>
      <c r="AF27" s="1903"/>
      <c r="AG27" s="2299"/>
      <c r="AJ27" s="2401"/>
      <c r="AK27" s="2299"/>
      <c r="AL27" s="2233"/>
      <c r="AN27" s="2397"/>
      <c r="AO27" s="2299"/>
      <c r="AR27" s="2072"/>
      <c r="AS27" s="2299"/>
      <c r="AT27" s="2047"/>
      <c r="AW27" s="2585"/>
      <c r="AX27" s="2576"/>
      <c r="AY27" s="2579"/>
      <c r="BB27" s="3768"/>
      <c r="BC27" s="3761"/>
    </row>
    <row r="28" spans="2:55">
      <c r="B28" s="47"/>
      <c r="C28" s="1399"/>
      <c r="D28" s="1399"/>
      <c r="E28" s="1399"/>
      <c r="F28" s="1399"/>
      <c r="G28" s="1399"/>
      <c r="H28" s="1399"/>
      <c r="I28" s="3715"/>
      <c r="N28" s="158"/>
      <c r="T28"/>
      <c r="V28" s="2469">
        <f t="shared" ref="V28:V33" si="8">X46</f>
        <v>0</v>
      </c>
      <c r="AA28" s="49" t="s">
        <v>4461</v>
      </c>
      <c r="AB28" s="1879">
        <f>IF(AB24-AB25&lt;=0,0,AB24-AB25)</f>
        <v>0</v>
      </c>
      <c r="AC28" s="2300"/>
      <c r="AE28" s="49" t="s">
        <v>4461</v>
      </c>
      <c r="AF28" s="1902">
        <f>IF(AF24-AF25&lt;=0,0,AF24-AF25)</f>
        <v>0</v>
      </c>
      <c r="AG28" s="2299"/>
      <c r="AI28" s="49" t="s">
        <v>4461</v>
      </c>
      <c r="AJ28" s="1962">
        <f>IF(AJ24-AJ25&lt;=0,0,AJ24-AJ25)</f>
        <v>0</v>
      </c>
      <c r="AK28" s="2299"/>
      <c r="AL28" s="2232"/>
      <c r="AM28" s="49" t="s">
        <v>4461</v>
      </c>
      <c r="AN28" s="2346">
        <f>IF(AN24-AN25&lt;=0,0,AN24-AN25)</f>
        <v>0</v>
      </c>
      <c r="AO28" s="2299"/>
      <c r="AQ28" s="49" t="s">
        <v>4461</v>
      </c>
      <c r="AR28" s="2071">
        <f>IF(AR24-AR25&lt;=0,0,AR24-AR25)</f>
        <v>0</v>
      </c>
      <c r="AS28" s="2299"/>
      <c r="AT28" s="2047"/>
      <c r="AV28" s="2580" t="s">
        <v>4461</v>
      </c>
      <c r="AW28" s="2583">
        <f>IF(AW24-AW25&lt;=0,0,AW24-AW25)</f>
        <v>0</v>
      </c>
      <c r="AX28" s="2576"/>
      <c r="AY28" s="2579"/>
      <c r="BA28" s="3764" t="s">
        <v>4461</v>
      </c>
      <c r="BB28" s="3766">
        <f>IF(BB24-BB25&lt;=0,0,BB24-BB25)</f>
        <v>0</v>
      </c>
      <c r="BC28" s="3761"/>
    </row>
    <row r="29" spans="2:55">
      <c r="B29" t="s">
        <v>675</v>
      </c>
      <c r="C29" s="1419" t="e">
        <f>('Data Entry - SOF'!C59-IFA!K79)/('Data Entry - SOF'!C58*100)</f>
        <v>#DIV/0!</v>
      </c>
      <c r="D29" s="2567" t="e">
        <f>('Data Entry - SOF'!E59-IFA!O79)/('Data Entry - SOF'!E58*100)</f>
        <v>#DIV/0!</v>
      </c>
      <c r="E29" s="2121" t="e">
        <f>('Data Entry - SOF'!G59-IFA!S79)/('Data Entry - SOF'!G58*100)</f>
        <v>#DIV/0!</v>
      </c>
      <c r="F29" s="2687" t="e">
        <f>('Data Entry - SOF'!I59-IFA!W79)/('Data Entry - SOF'!I58*100)</f>
        <v>#DIV/0!</v>
      </c>
      <c r="G29" s="2693" t="e">
        <f>('Data Entry - SOF'!K59-IFA!AA79)/('Data Entry - SOF'!K58*100)</f>
        <v>#DIV/0!</v>
      </c>
      <c r="H29" s="2567" t="e">
        <f>('Data Entry - SOF'!M59-IFA!AE79)/('Data Entry - SOF'!M58*100)</f>
        <v>#DIV/0!</v>
      </c>
      <c r="I29" s="3719" t="e">
        <f>('Data Entry - SOF'!O59-IFA!AI79)/('Data Entry - SOF'!O58*100)</f>
        <v>#DIV/0!</v>
      </c>
      <c r="N29" s="214"/>
      <c r="T29"/>
      <c r="V29" s="2471" t="e">
        <f t="shared" si="8"/>
        <v>#DIV/0!</v>
      </c>
      <c r="AA29" s="49" t="s">
        <v>4462</v>
      </c>
      <c r="AB29" s="1877" t="e">
        <f>ROUND(IF((((AB28*AB35)/'Data Entry - SOF'!C50)*100)&gt;0.17,0.17,((AB28*AB35)/'Data Entry - SOF'!C50)*100),4)</f>
        <v>#DIV/0!</v>
      </c>
      <c r="AC29" s="2300"/>
      <c r="AE29" s="49" t="s">
        <v>4462</v>
      </c>
      <c r="AF29" s="1904" t="e">
        <f>ROUND(IF((((AF28*AF35)/'Data Entry - SOF'!E50)*100)&gt;0.17,0.17,((AF28*AF35)/'Data Entry - SOF'!E50)*100),4)</f>
        <v>#DIV/0!</v>
      </c>
      <c r="AG29" s="2299"/>
      <c r="AI29" s="49" t="s">
        <v>4462</v>
      </c>
      <c r="AJ29" s="2356" t="e">
        <f>ROUND(IF((((AJ28*AJ35)/'Data Entry - SOF'!G50)*100)&gt;0.17,0.17,((AJ28*AJ35)/'Data Entry - SOF'!G50)*100),4)</f>
        <v>#DIV/0!</v>
      </c>
      <c r="AK29" s="2299"/>
      <c r="AL29" s="2234"/>
      <c r="AM29" s="49" t="s">
        <v>4462</v>
      </c>
      <c r="AN29" s="2345" t="e">
        <f>ROUND(IF((((AN28*AN35)/'Data Entry - SOF'!I50)*100)&gt;0.17,0.17,((AN28*AN35)/'Data Entry - SOF'!I50)*100),4)</f>
        <v>#DIV/0!</v>
      </c>
      <c r="AO29" s="2299"/>
      <c r="AQ29" s="49" t="s">
        <v>4462</v>
      </c>
      <c r="AR29" s="2073" t="e">
        <f>ROUND(IF((((AR28*AR35)/'Data Entry - SOF'!K50)*100)&gt;0.17,0.17,((AR28*AR35)/'Data Entry - SOF'!K50)*100),4)</f>
        <v>#DIV/0!</v>
      </c>
      <c r="AS29" s="2299"/>
      <c r="AT29" s="2047"/>
      <c r="AV29" s="2580" t="s">
        <v>4462</v>
      </c>
      <c r="AW29" s="2586" t="e">
        <f>ROUND(IF((((AW28*AW35)/'Data Entry - SOF'!M48)*100)&gt;0.17,0.17,((AW28*AW35)/'Data Entry - SOF'!M48)*100),4)</f>
        <v>#DIV/0!</v>
      </c>
      <c r="AX29" s="2576"/>
      <c r="AY29" s="2579"/>
      <c r="BA29" s="3764" t="s">
        <v>4462</v>
      </c>
      <c r="BB29" s="3769" t="e">
        <f>ROUND(IF((((BB28*BB35)/'Data Entry - SOF'!O48)*100)&gt;0.17,0.17,((BB28*BB35)/'Data Entry - SOF'!O48)*100),4)</f>
        <v>#DIV/0!</v>
      </c>
      <c r="BC29" s="3761"/>
    </row>
    <row r="30" spans="2:55">
      <c r="B30" t="s">
        <v>709</v>
      </c>
      <c r="C30" s="1419" t="e">
        <f>C29*IF('Data Entry - SOF'!C58&lt;'Data Entry - SOF'!C108,('Data Entry - SOF'!C58*100),('Data Entry - SOF'!C108*100))</f>
        <v>#DIV/0!</v>
      </c>
      <c r="D30" s="2567" t="e">
        <f>D29*IF('Data Entry - SOF'!E58&lt;'Data Entry - SOF'!E108,('Data Entry - SOF'!E58*100),('Data Entry - SOF'!E108*100))</f>
        <v>#DIV/0!</v>
      </c>
      <c r="E30" s="2121" t="e">
        <f>E29*IF('Data Entry - SOF'!G58&lt;'Data Entry - SOF'!G108,('Data Entry - SOF'!G58*100),('Data Entry - SOF'!G108*100))</f>
        <v>#DIV/0!</v>
      </c>
      <c r="F30" s="2687" t="e">
        <f>F29*IF('Data Entry - SOF'!I58&lt;'Data Entry - SOF'!I108,('Data Entry - SOF'!I58*100),('Data Entry - SOF'!I108*100))</f>
        <v>#DIV/0!</v>
      </c>
      <c r="G30" s="2693" t="e">
        <f>G29*IF('Data Entry - SOF'!K58&lt;'Data Entry - SOF'!K108,('Data Entry - SOF'!K58*100),('Data Entry - SOF'!K108*100))</f>
        <v>#DIV/0!</v>
      </c>
      <c r="H30" s="2567" t="e">
        <f>H29*IF('Data Entry - SOF'!M58&lt;'Data Entry - SOF'!M108,('Data Entry - SOF'!M58*100),('Data Entry - SOF'!M108*100))</f>
        <v>#DIV/0!</v>
      </c>
      <c r="I30" s="3719" t="e">
        <f>I29*IF('Data Entry - SOF'!O58&lt;'Data Entry - SOF'!O108,('Data Entry - SOF'!O58*100),('Data Entry - SOF'!O108*100))</f>
        <v>#DIV/0!</v>
      </c>
      <c r="N30" s="158"/>
      <c r="T30"/>
      <c r="V30" s="2469">
        <f t="shared" si="8"/>
        <v>0</v>
      </c>
      <c r="AA30" s="49" t="s">
        <v>4463</v>
      </c>
      <c r="AB30" s="1879">
        <f>'Data Entry - SOF'!C108+IF(AB24&lt;AB25,(AB24/100),(AB25/100))</f>
        <v>0</v>
      </c>
      <c r="AC30" s="2300"/>
      <c r="AE30" s="49" t="s">
        <v>4463</v>
      </c>
      <c r="AF30" s="1902">
        <f>'Data Entry - SOF'!E108+IF(AF24&lt;AF25,(AF24/100),(AF25/100))</f>
        <v>0</v>
      </c>
      <c r="AG30" s="2299"/>
      <c r="AI30" s="49" t="s">
        <v>4463</v>
      </c>
      <c r="AJ30" s="1962">
        <f>'Data Entry - SOF'!G108+IF(AJ24&lt;AJ25,(AJ24/100),(AJ25/100))</f>
        <v>0</v>
      </c>
      <c r="AK30" s="2299"/>
      <c r="AL30" s="2232"/>
      <c r="AM30" s="49" t="s">
        <v>4463</v>
      </c>
      <c r="AN30" s="2346">
        <f>'Data Entry - SOF'!I108+IF(AN24&lt;AN25,(AN24/100),(AN25/100))</f>
        <v>0</v>
      </c>
      <c r="AO30" s="2299"/>
      <c r="AQ30" s="49" t="s">
        <v>4463</v>
      </c>
      <c r="AR30" s="2071">
        <f>'Data Entry - SOF'!K108+IF(AR24&lt;AR25,(AR24/100),(AR25/100))</f>
        <v>0</v>
      </c>
      <c r="AS30" s="2299"/>
      <c r="AT30" s="2047"/>
      <c r="AV30" s="2580" t="s">
        <v>4463</v>
      </c>
      <c r="AW30" s="2583">
        <f>'Data Entry - SOF'!M108+IF(AW24&lt;AW25,(AW24/100),(AW25/100))</f>
        <v>0</v>
      </c>
      <c r="AX30" s="2576"/>
      <c r="AY30" s="2579"/>
      <c r="BA30" s="3764" t="s">
        <v>4463</v>
      </c>
      <c r="BB30" s="3766">
        <f>'Data Entry - SOF'!O108+IF(BB24&lt;BB25,(BB24/100),(BB25/100))</f>
        <v>0</v>
      </c>
      <c r="BC30" s="3761"/>
    </row>
    <row r="31" spans="2:55">
      <c r="C31" s="1399"/>
      <c r="D31" s="1399"/>
      <c r="E31" s="1399"/>
      <c r="F31" s="1399"/>
      <c r="G31" s="1399"/>
      <c r="H31" s="1399"/>
      <c r="I31" s="3715"/>
      <c r="N31" s="158"/>
      <c r="T31"/>
      <c r="V31" s="2472" t="e">
        <f t="shared" si="8"/>
        <v>#DIV/0!</v>
      </c>
      <c r="AA31" s="49" t="s">
        <v>4464</v>
      </c>
      <c r="AB31" s="1881" t="e">
        <f>AB28*AB35</f>
        <v>#DIV/0!</v>
      </c>
      <c r="AC31" s="2300"/>
      <c r="AE31" s="49" t="s">
        <v>4464</v>
      </c>
      <c r="AF31" s="1905" t="e">
        <f>AF28*AF35</f>
        <v>#DIV/0!</v>
      </c>
      <c r="AG31" s="2299"/>
      <c r="AI31" s="49" t="s">
        <v>4464</v>
      </c>
      <c r="AJ31" s="1959" t="e">
        <f>AJ28*AJ35</f>
        <v>#DIV/0!</v>
      </c>
      <c r="AK31" s="2299"/>
      <c r="AL31" s="2235"/>
      <c r="AM31" s="49" t="s">
        <v>4464</v>
      </c>
      <c r="AN31" s="2347" t="e">
        <f>AN28*AN35</f>
        <v>#DIV/0!</v>
      </c>
      <c r="AO31" s="2299"/>
      <c r="AQ31" s="49" t="s">
        <v>4464</v>
      </c>
      <c r="AR31" s="2074" t="e">
        <f>AR28*AR35</f>
        <v>#DIV/0!</v>
      </c>
      <c r="AS31" s="2299"/>
      <c r="AT31" s="2047"/>
      <c r="AV31" s="2580" t="s">
        <v>4464</v>
      </c>
      <c r="AW31" s="2587" t="e">
        <f>AW28*AW35</f>
        <v>#DIV/0!</v>
      </c>
      <c r="AX31" s="2576"/>
      <c r="AY31" s="2579"/>
      <c r="BA31" s="3764" t="s">
        <v>4464</v>
      </c>
      <c r="BB31" s="3770" t="e">
        <f>BB28*BB35</f>
        <v>#DIV/0!</v>
      </c>
      <c r="BC31" s="3761"/>
    </row>
    <row r="32" spans="2:55">
      <c r="C32" s="1399"/>
      <c r="D32" s="1399"/>
      <c r="E32" s="1399"/>
      <c r="F32" s="1399"/>
      <c r="G32" s="1399"/>
      <c r="H32" s="1399"/>
      <c r="I32" s="3715"/>
      <c r="N32" s="158"/>
      <c r="T32"/>
      <c r="V32" s="2473" t="e">
        <f t="shared" si="8"/>
        <v>#DIV/0!</v>
      </c>
      <c r="AA32" s="49" t="s">
        <v>4465</v>
      </c>
      <c r="AB32" s="1878" t="e">
        <f>AB35*IF('Data Entry - SOF'!C58&lt;'Calc Data-15K'!AB30,('Data Entry - SOF'!C58*100),('Calc Data-15K'!AB30*100))</f>
        <v>#DIV/0!</v>
      </c>
      <c r="AC32" s="2300"/>
      <c r="AE32" s="49" t="s">
        <v>4465</v>
      </c>
      <c r="AF32" s="1906" t="e">
        <f>AF35*IF('Data Entry - SOF'!E58&lt;'Calc Data-15K'!AF30,('Data Entry - SOF'!E58*100),('Calc Data-15K'!AF30*100))</f>
        <v>#DIV/0!</v>
      </c>
      <c r="AG32" s="2299"/>
      <c r="AI32" s="49" t="s">
        <v>4465</v>
      </c>
      <c r="AJ32" s="1959" t="e">
        <f>AJ35*IF('Data Entry - SOF'!G58&lt;'Calc Data-15K'!AJ30,('Data Entry - SOF'!G58*100),('Calc Data-15K'!AJ30*100))</f>
        <v>#DIV/0!</v>
      </c>
      <c r="AK32" s="2299"/>
      <c r="AL32" s="2229"/>
      <c r="AM32" s="49" t="s">
        <v>4465</v>
      </c>
      <c r="AN32" s="2347" t="e">
        <f>AN35*IF('Data Entry - SOF'!I58&lt;'Calc Data-15K'!AN30,('Data Entry - SOF'!I58*100),('Calc Data-15K'!AN30*100))</f>
        <v>#DIV/0!</v>
      </c>
      <c r="AO32" s="2299"/>
      <c r="AQ32" s="49" t="s">
        <v>4465</v>
      </c>
      <c r="AR32" s="2074" t="e">
        <f>AR35*IF('Data Entry - SOF'!K58&lt;'Calc Data-15K'!AR30,('Data Entry - SOF'!K58*100),('Calc Data-15K'!AR30*100))</f>
        <v>#DIV/0!</v>
      </c>
      <c r="AS32" s="2299"/>
      <c r="AT32" s="2047"/>
      <c r="AV32" s="2580" t="s">
        <v>4465</v>
      </c>
      <c r="AW32" s="2587" t="e">
        <f>AW35*IF('Data Entry - SOF'!M58&lt;'Calc Data-SB1'!AW30,('Data Entry - SOF'!M58*100),('Calc Data-SB1'!AW30*100))</f>
        <v>#DIV/0!</v>
      </c>
      <c r="AX32" s="2576"/>
      <c r="AY32" s="2579"/>
      <c r="BA32" s="3764" t="s">
        <v>4465</v>
      </c>
      <c r="BB32" s="3770" t="e">
        <f>BB35*IF('Data Entry - SOF'!O58&lt;'Calc Data-SB1'!BB30,('Data Entry - SOF'!O58*100),('Calc Data-SB1'!BB30*100))</f>
        <v>#DIV/0!</v>
      </c>
      <c r="BC32" s="3761"/>
    </row>
    <row r="33" spans="2:57">
      <c r="B33" t="s">
        <v>2030</v>
      </c>
      <c r="C33" s="1414">
        <f>IF('Data Entry - SOF'!C58&lt;='Data Entry - SOF'!C108,0,IF('Data Entry - SOF'!C58&gt;'Data Entry - SOF'!C108+0.06,0.06*100,('Data Entry - SOF'!C58-'Data Entry - SOF'!C108)*100))</f>
        <v>0</v>
      </c>
      <c r="D33" s="2662">
        <f>IF('Data Entry - SOF'!E58&lt;='Data Entry - SOF'!E108,0,IF('Data Entry - SOF'!E58&gt;'Data Entry - SOF'!E108+0.06,0.06*100,('Data Entry - SOF'!E58-'Data Entry - SOF'!E108)*100))</f>
        <v>0</v>
      </c>
      <c r="E33" s="2116">
        <f>IF('Data Entry - SOF'!G58&lt;='Data Entry - SOF'!G108,0,IF('Data Entry - SOF'!G58&gt;'Data Entry - SOF'!G108+0.06,0.06*100,('Data Entry - SOF'!G58-'Data Entry - SOF'!G108)*100))</f>
        <v>0</v>
      </c>
      <c r="F33" s="2663">
        <f>IF('Data Entry - SOF'!I58&lt;='Data Entry - SOF'!I108,0,IF('Data Entry - SOF'!I58&gt;'Data Entry - SOF'!I108+0.06,0.06*100,('Data Entry - SOF'!I58-'Data Entry - SOF'!I108)*100))</f>
        <v>0</v>
      </c>
      <c r="G33" s="2694">
        <f>IF('Data Entry - SOF'!K58&lt;='Data Entry - SOF'!K108,0,IF('Data Entry - SOF'!K58&gt;'Data Entry - SOF'!K108+0.06,0.06*100,('Data Entry - SOF'!K58-'Data Entry - SOF'!K108)*100))</f>
        <v>0</v>
      </c>
      <c r="H33" s="2568">
        <f>IF('Data Entry - SOF'!M58&lt;='Data Entry - SOF'!M108,0,IF('Data Entry - SOF'!M58&gt;'Data Entry - SOF'!M108+0.06,0.06*100,('Data Entry - SOF'!M58-'Data Entry - SOF'!M108)*100))</f>
        <v>0</v>
      </c>
      <c r="I33" s="3720">
        <f>IF('Data Entry - SOF'!O58&lt;='Data Entry - SOF'!O108,0,IF('Data Entry - SOF'!O58&gt;'Data Entry - SOF'!O108+0.06,0.06*100,('Data Entry - SOF'!O58-'Data Entry - SOF'!O108)*100))</f>
        <v>0</v>
      </c>
      <c r="N33" s="158"/>
      <c r="T33"/>
      <c r="V33" s="2472" t="e">
        <f t="shared" si="8"/>
        <v>#DIV/0!</v>
      </c>
      <c r="AA33" s="49" t="s">
        <v>4491</v>
      </c>
      <c r="AB33" s="1881" t="e">
        <f>AB29*('Data Entry - SOF'!C50/100)</f>
        <v>#DIV/0!</v>
      </c>
      <c r="AC33" s="2300"/>
      <c r="AE33" s="49" t="s">
        <v>4491</v>
      </c>
      <c r="AF33" s="1905" t="e">
        <f>AF29*('Data Entry - SOF'!E50/100)</f>
        <v>#DIV/0!</v>
      </c>
      <c r="AG33" s="2299"/>
      <c r="AI33" s="49" t="s">
        <v>4491</v>
      </c>
      <c r="AJ33" s="1959" t="e">
        <f>AJ29*('Data Entry - SOF'!G50/100)</f>
        <v>#DIV/0!</v>
      </c>
      <c r="AK33" s="2299"/>
      <c r="AL33" s="2235"/>
      <c r="AM33" s="49" t="s">
        <v>4491</v>
      </c>
      <c r="AN33" s="2347" t="e">
        <f>AN29*('Data Entry - SOF'!I50/100)</f>
        <v>#DIV/0!</v>
      </c>
      <c r="AO33" s="2299"/>
      <c r="AQ33" s="49" t="s">
        <v>4491</v>
      </c>
      <c r="AR33" s="2074" t="e">
        <f>AR29*('Data Entry - SOF'!K50/100)</f>
        <v>#DIV/0!</v>
      </c>
      <c r="AS33" s="2299"/>
      <c r="AT33" s="2047"/>
      <c r="AV33" s="2580" t="s">
        <v>4491</v>
      </c>
      <c r="AW33" s="2587" t="e">
        <f>AW29*('Data Entry - SOF'!M48/100)</f>
        <v>#DIV/0!</v>
      </c>
      <c r="AX33" s="2576"/>
      <c r="AY33" s="2579"/>
      <c r="BA33" s="3764" t="s">
        <v>4491</v>
      </c>
      <c r="BB33" s="3770" t="e">
        <f>BB29*('Data Entry - SOF'!O48/100)</f>
        <v>#DIV/0!</v>
      </c>
      <c r="BC33" s="3761"/>
    </row>
    <row r="34" spans="2:57">
      <c r="B34" t="s">
        <v>2031</v>
      </c>
      <c r="C34" s="1391" t="e">
        <f t="shared" ref="C34:H34" si="9">C33*C29</f>
        <v>#DIV/0!</v>
      </c>
      <c r="D34" s="1458" t="e">
        <f t="shared" si="9"/>
        <v>#DIV/0!</v>
      </c>
      <c r="E34" s="1560" t="e">
        <f t="shared" si="9"/>
        <v>#DIV/0!</v>
      </c>
      <c r="F34" s="1641" t="e">
        <f t="shared" si="9"/>
        <v>#DIV/0!</v>
      </c>
      <c r="G34" s="2057" t="e">
        <f t="shared" si="9"/>
        <v>#DIV/0!</v>
      </c>
      <c r="H34" s="1458" t="e">
        <f t="shared" si="9"/>
        <v>#DIV/0!</v>
      </c>
      <c r="I34" s="3721" t="e">
        <f t="shared" ref="I34" si="10">I33*I29</f>
        <v>#DIV/0!</v>
      </c>
      <c r="N34" s="210"/>
      <c r="T34"/>
      <c r="V34" s="998" t="s">
        <v>6877</v>
      </c>
      <c r="W34" s="999"/>
      <c r="X34" s="1000"/>
      <c r="Y34" s="1000"/>
      <c r="Z34" s="1000"/>
      <c r="AA34" s="1400"/>
      <c r="AB34" s="2282"/>
      <c r="AC34" s="2279" t="s">
        <v>6884</v>
      </c>
      <c r="AD34" s="2292"/>
      <c r="AE34" s="1400"/>
      <c r="AF34" s="2285"/>
      <c r="AG34" s="2279" t="s">
        <v>6884</v>
      </c>
      <c r="AH34" s="2294"/>
      <c r="AI34" s="1467"/>
      <c r="AJ34" s="2402"/>
      <c r="AK34" s="2279" t="s">
        <v>6884</v>
      </c>
      <c r="AL34" s="2295"/>
      <c r="AM34" s="1571"/>
      <c r="AN34" s="2398"/>
      <c r="AO34" s="2279" t="s">
        <v>6884</v>
      </c>
      <c r="AP34" s="2296"/>
      <c r="AQ34" s="1649"/>
      <c r="AR34" s="2288"/>
      <c r="AS34" s="2279" t="s">
        <v>6884</v>
      </c>
      <c r="AT34" s="2297"/>
      <c r="AU34" s="2068"/>
      <c r="AV34" s="2588"/>
      <c r="AW34" s="2589"/>
      <c r="AX34" s="2590" t="s">
        <v>6884</v>
      </c>
      <c r="AY34" s="2591"/>
      <c r="AZ34" s="2588"/>
      <c r="BA34" s="3764"/>
      <c r="BB34" s="3771"/>
      <c r="BC34" s="3772" t="s">
        <v>6884</v>
      </c>
      <c r="BD34" s="3773"/>
      <c r="BE34" s="3764"/>
    </row>
    <row r="35" spans="2:57">
      <c r="B35" s="1200" t="s">
        <v>892</v>
      </c>
      <c r="C35" s="2677" t="e">
        <f>ROUND(((C33*C29)/'Data Entry - SOF'!C50)*100,4)</f>
        <v>#DIV/0!</v>
      </c>
      <c r="D35" s="2569" t="e">
        <f>ROUND(((D33*D29)/'Data Entry - SOF'!E50)*100,4)</f>
        <v>#DIV/0!</v>
      </c>
      <c r="E35" s="2682" t="e">
        <f>ROUND(((E33*E29)/'Data Entry - SOF'!G50)*100,4)</f>
        <v>#DIV/0!</v>
      </c>
      <c r="F35" s="2688" t="e">
        <f>ROUND(((F33*F29)/'Data Entry - SOF'!I50)*100,4)</f>
        <v>#DIV/0!</v>
      </c>
      <c r="G35" s="2695" t="e">
        <f>ROUND(((G33*G29)/'Data Entry - SOF'!K50)*100,4)</f>
        <v>#DIV/0!</v>
      </c>
      <c r="H35" s="2569" t="e">
        <f>ROUND(((H33*H29)/'Data Entry - SOF'!M48)*100,4)</f>
        <v>#DIV/0!</v>
      </c>
      <c r="I35" s="3722" t="e">
        <f>ROUND(((I33*I29)/'Data Entry - SOF'!O48)*100,4)</f>
        <v>#DIV/0!</v>
      </c>
      <c r="N35" s="210"/>
      <c r="T35"/>
      <c r="V35" s="1001" t="e">
        <f>('Data Entry - SOF'!C59-IFA!J79)/('Data Entry - SOF'!C58*100)</f>
        <v>#DIV/0!</v>
      </c>
      <c r="W35" s="1001" t="e">
        <f>('Data Entry - SOF'!C59-IFA!J79-'Data Entry - SOF'!C61)/('Data Entry - SOF'!C58*100)</f>
        <v>#DIV/0!</v>
      </c>
      <c r="X35" s="1926" t="s">
        <v>2149</v>
      </c>
      <c r="Y35" s="1926"/>
      <c r="Z35" s="1926"/>
      <c r="AA35" s="2394" t="s">
        <v>2149</v>
      </c>
      <c r="AB35" s="1882" t="e">
        <f>('Data Entry - SOF'!C59-IFA!K79)/('Data Entry - SOF'!C58*100)</f>
        <v>#DIV/0!</v>
      </c>
      <c r="AC35" s="2283" t="e">
        <f>('Data Entry - SOF'!C59-IFA!K79-'Data Entry - SOF'!C61)/('Data Entry - SOF'!C58*100)</f>
        <v>#DIV/0!</v>
      </c>
      <c r="AD35" s="2291" t="s">
        <v>6885</v>
      </c>
      <c r="AE35" s="1885" t="s">
        <v>2149</v>
      </c>
      <c r="AF35" s="2407" t="e">
        <f>('Data Entry - SOF'!E59-IFA!O79)/('Data Entry - SOF'!E58*100)</f>
        <v>#DIV/0!</v>
      </c>
      <c r="AG35" s="2325" t="e">
        <f>('Data Entry - SOF'!E59-IFA!O79-'Data Entry - SOF'!E61)/('Data Entry - SOF'!E58*100)</f>
        <v>#DIV/0!</v>
      </c>
      <c r="AH35" s="2291" t="s">
        <v>6885</v>
      </c>
      <c r="AI35" s="2227" t="s">
        <v>2149</v>
      </c>
      <c r="AJ35" s="2407" t="e">
        <f>('Data Entry - SOF'!G59-IFA!S79)/('Data Entry - SOF'!G58*100)</f>
        <v>#DIV/0!</v>
      </c>
      <c r="AK35" s="2280" t="e">
        <f>('Data Entry - SOF'!G59-IFA!S79-'Data Entry - SOF'!G61)/('Data Entry - SOF'!G58*100)</f>
        <v>#DIV/0!</v>
      </c>
      <c r="AL35" s="2291" t="s">
        <v>6885</v>
      </c>
      <c r="AM35" s="2382" t="s">
        <v>2149</v>
      </c>
      <c r="AN35" s="2324" t="e">
        <f>('Data Entry - SOF'!I59-IFA!W79)/('Data Entry - SOF'!I58*100)</f>
        <v>#DIV/0!</v>
      </c>
      <c r="AO35" s="2325" t="e">
        <f>('Data Entry - SOF'!I59-IFA!W79-'Data Entry - SOF'!I61)/('Data Entry - SOF'!I58*100)</f>
        <v>#DIV/0!</v>
      </c>
      <c r="AP35" s="2291" t="s">
        <v>6885</v>
      </c>
      <c r="AQ35" s="2400" t="s">
        <v>2149</v>
      </c>
      <c r="AR35" s="2077" t="e">
        <f>('Data Entry - SOF'!K59-IFA!AA79)/('Data Entry - SOF'!K58*100)</f>
        <v>#DIV/0!</v>
      </c>
      <c r="AS35" s="2289" t="e">
        <f>('Data Entry - SOF'!K59-IFA!AA79-'Data Entry - SOF'!K61)/('Data Entry - SOF'!K58*100)</f>
        <v>#DIV/0!</v>
      </c>
      <c r="AT35" s="2291" t="s">
        <v>6885</v>
      </c>
      <c r="AU35" s="2384" t="s">
        <v>2149</v>
      </c>
      <c r="AV35" s="2592"/>
      <c r="AW35" s="2593" t="e">
        <f>('Data Entry - SOF'!M59-IFA!AE79)/('Data Entry - SOF'!M58*100)</f>
        <v>#DIV/0!</v>
      </c>
      <c r="AX35" s="2594" t="e">
        <f>('Data Entry - SOF'!M59-IFA!AE79-'Data Entry - SOF'!M61)/('Data Entry - SOF'!M58*100)</f>
        <v>#DIV/0!</v>
      </c>
      <c r="AY35" s="2595" t="s">
        <v>6885</v>
      </c>
      <c r="AZ35" s="2596" t="s">
        <v>2149</v>
      </c>
      <c r="BA35" s="3774"/>
      <c r="BB35" s="3775" t="e">
        <f>('Data Entry - SOF'!O59-IFA!AI79)/('Data Entry - SOF'!O58*100)</f>
        <v>#DIV/0!</v>
      </c>
      <c r="BC35" s="3776" t="e">
        <f>('Data Entry - SOF'!O59-IFA!AI79-'Data Entry - SOF'!O61)/('Data Entry - SOF'!O58*100)</f>
        <v>#DIV/0!</v>
      </c>
      <c r="BD35" s="3777" t="s">
        <v>6885</v>
      </c>
      <c r="BE35" s="3774" t="s">
        <v>2149</v>
      </c>
    </row>
    <row r="36" spans="2:57">
      <c r="B36" t="s">
        <v>1398</v>
      </c>
      <c r="C36" s="1413">
        <f>IF('Data Entry - SOF'!C58-'Data Entry - SOF'!C108&gt;0.06,('Data Entry - SOF'!C58-('Data Entry - SOF'!C108+0.06))*100,0)</f>
        <v>0</v>
      </c>
      <c r="D36" s="2662">
        <f>IF('Data Entry - SOF'!E58-'Data Entry - SOF'!E108&gt;0.06,('Data Entry - SOF'!E58-('Data Entry - SOF'!E108+0.06))*100,0)</f>
        <v>0</v>
      </c>
      <c r="E36" s="2116">
        <f>IF('Data Entry - SOF'!G58-'Data Entry - SOF'!G108&gt;0.06,('Data Entry - SOF'!G58-('Data Entry - SOF'!G108+0.06))*100,0)</f>
        <v>0</v>
      </c>
      <c r="F36" s="2663">
        <f>IF('Data Entry - SOF'!I58-'Data Entry - SOF'!I108&gt;0.06,('Data Entry - SOF'!I58-('Data Entry - SOF'!I108+0.06))*100,0)</f>
        <v>0</v>
      </c>
      <c r="G36" s="2694">
        <f>IF('Data Entry - SOF'!K58-'Data Entry - SOF'!K108&gt;0.06,('Data Entry - SOF'!K58-('Data Entry - SOF'!K108+0.06))*100,0)</f>
        <v>0</v>
      </c>
      <c r="H36" s="2568">
        <f>IF('Data Entry - SOF'!M58-'Data Entry - SOF'!M108&gt;0.06,('Data Entry - SOF'!M58-('Data Entry - SOF'!M108+0.06))*100,0)</f>
        <v>0</v>
      </c>
      <c r="I36" s="3720">
        <f>IF('Data Entry - SOF'!O58-'Data Entry - SOF'!O108&gt;0.06,('Data Entry - SOF'!O58-('Data Entry - SOF'!O108+0.06))*100,0)</f>
        <v>0</v>
      </c>
      <c r="N36" s="210"/>
      <c r="T36"/>
      <c r="V36" s="1001" t="e">
        <f>V35*IF('Data Entry - SOF'!C58&lt;'Data Entry - SOF'!C108,('Data Entry - SOF'!C58*100),('Data Entry - SOF'!C108*100))</f>
        <v>#DIV/0!</v>
      </c>
      <c r="W36" s="1001" t="e">
        <f>W35*IF('Data Entry - SOF'!C58&lt;'Data Entry - SOF'!C108,('Data Entry - SOF'!C58*100),('Data Entry - SOF'!C108*100))</f>
        <v>#DIV/0!</v>
      </c>
      <c r="X36" s="1926">
        <f>'Data Entry - SOF'!C108+0.17</f>
        <v>0.17</v>
      </c>
      <c r="Y36" s="1926"/>
      <c r="Z36" s="1926"/>
      <c r="AA36" s="2394">
        <f>'Data Entry - SOF'!C108+0.17</f>
        <v>0.17</v>
      </c>
      <c r="AB36" s="1882"/>
      <c r="AC36" s="2284" t="e">
        <f>AC35*IF('Data Entry - SOF'!C58&lt;'Data Entry - SOF'!C108,('Data Entry - SOF'!C58*100),('Data Entry - SOF'!C108*100))</f>
        <v>#DIV/0!</v>
      </c>
      <c r="AD36" s="2327" t="e">
        <f>AC35*IF('Data Entry - SOF'!C58&lt;='Calc Data-15K'!AB30,('Data Entry - SOF'!C58*100),('Calc Data-15K'!AB30*100))</f>
        <v>#DIV/0!</v>
      </c>
      <c r="AE36" s="2422">
        <f>'Data Entry - SOF'!C108+0.17</f>
        <v>0.17</v>
      </c>
      <c r="AF36" s="2407"/>
      <c r="AG36" s="2326" t="e">
        <f>AG35*IF('Data Entry - SOF'!E58&lt;'Data Entry - SOF'!E108,('Data Entry - SOF'!E58*100),('Data Entry - SOF'!E108*100))</f>
        <v>#DIV/0!</v>
      </c>
      <c r="AH36" s="2327" t="e">
        <f>AG35*IF('Data Entry - SOF'!E58&lt;='Calc Data-15K'!AF30,('Data Entry - SOF'!E58*100),('Calc Data-15K'!AF30*100))</f>
        <v>#DIV/0!</v>
      </c>
      <c r="AI36" s="2411">
        <f>'Data Entry - SOF'!E108+0.17</f>
        <v>0.17</v>
      </c>
      <c r="AJ36" s="1968"/>
      <c r="AK36" s="2281" t="e">
        <f>AK35*IF('Data Entry - SOF'!G58&lt;'Data Entry - SOF'!G108,('Data Entry - SOF'!G58*100),('Data Entry - SOF'!G108*100))</f>
        <v>#DIV/0!</v>
      </c>
      <c r="AL36" s="2293" t="e">
        <f>AK35*IF('Data Entry - SOF'!G58&lt;='Calc Data-15K'!AJ30,('Data Entry - SOF'!G58*100),('Calc Data-15K'!AJ30*100))</f>
        <v>#DIV/0!</v>
      </c>
      <c r="AM36" s="2405">
        <f>'Data Entry - SOF'!G108+0.17</f>
        <v>0.17</v>
      </c>
      <c r="AN36" s="2324"/>
      <c r="AO36" s="2326" t="e">
        <f>AO35*IF('Data Entry - SOF'!I58&lt;'Data Entry - SOF'!I108,('Data Entry - SOF'!I58*100),('Data Entry - SOF'!I108*100))</f>
        <v>#DIV/0!</v>
      </c>
      <c r="AP36" s="2327" t="e">
        <f>AO35*IF('Data Entry - SOF'!I58&lt;='Calc Data-15K'!AN30,('Data Entry - SOF'!I58*100),('Calc Data-15K'!AN30*100))</f>
        <v>#DIV/0!</v>
      </c>
      <c r="AQ36" s="2400">
        <f>'Data Entry - SOF'!L108+0.17</f>
        <v>0.17</v>
      </c>
      <c r="AR36" s="2077"/>
      <c r="AS36" s="2290" t="e">
        <f>AS35*IF('Data Entry - SOF'!K58&lt;'Data Entry - SOF'!K108,('Data Entry - SOF'!K58*100),('Data Entry - SOF'!K108*100))</f>
        <v>#DIV/0!</v>
      </c>
      <c r="AT36" s="2320" t="e">
        <f>AS35*IF('Data Entry - SOF'!K58&lt;='Calc Data-15K'!AR30,('Data Entry - SOF'!K58*100),('Calc Data-15K'!AR30*100))</f>
        <v>#DIV/0!</v>
      </c>
      <c r="AU36" s="2384">
        <f>'Data Entry - SOF'!K108+0.17</f>
        <v>0.17</v>
      </c>
      <c r="AV36" s="2592"/>
      <c r="AW36" s="2593"/>
      <c r="AX36" s="2597" t="e">
        <f>AX35*IF('Data Entry - SOF'!M58&lt;'Data Entry - SOF'!M108,('Data Entry - SOF'!M58*100),('Data Entry - SOF'!M108*100))</f>
        <v>#DIV/0!</v>
      </c>
      <c r="AY36" s="2598" t="e">
        <f>AX35*IF('Data Entry - SOF'!M58&lt;='Calc Data-SB1'!AW30,('Data Entry - SOF'!M58*100),('Calc Data-SB1'!AW30*100))</f>
        <v>#DIV/0!</v>
      </c>
      <c r="AZ36" s="2596">
        <f>'Data Entry - SOF'!M108+0.17</f>
        <v>0.17</v>
      </c>
      <c r="BA36" s="3774"/>
      <c r="BB36" s="3775"/>
      <c r="BC36" s="3778" t="e">
        <f>BC35*IF('Data Entry - SOF'!O58&lt;'Data Entry - SOF'!O108,('Data Entry - SOF'!O58*100),('Data Entry - SOF'!O108*100))</f>
        <v>#DIV/0!</v>
      </c>
      <c r="BD36" s="3779" t="e">
        <f>BC35*IF('Data Entry - SOF'!O58&lt;='Calc Data-SB1'!BB30,('Data Entry - SOF'!O58*100),('Calc Data-SB1'!BB30*100))</f>
        <v>#DIV/0!</v>
      </c>
      <c r="BE36" s="3774">
        <f>'Data Entry - SOF'!O108+0.17</f>
        <v>0.17</v>
      </c>
    </row>
    <row r="37" spans="2:57">
      <c r="B37" t="s">
        <v>1114</v>
      </c>
      <c r="C37" s="1391" t="e">
        <f t="shared" ref="C37:H37" si="11">C36*C29</f>
        <v>#DIV/0!</v>
      </c>
      <c r="D37" s="1458" t="e">
        <f t="shared" si="11"/>
        <v>#DIV/0!</v>
      </c>
      <c r="E37" s="1560" t="e">
        <f t="shared" si="11"/>
        <v>#DIV/0!</v>
      </c>
      <c r="F37" s="1641" t="e">
        <f t="shared" si="11"/>
        <v>#DIV/0!</v>
      </c>
      <c r="G37" s="2057" t="e">
        <f t="shared" si="11"/>
        <v>#DIV/0!</v>
      </c>
      <c r="H37" s="1458" t="e">
        <f t="shared" si="11"/>
        <v>#DIV/0!</v>
      </c>
      <c r="I37" s="3721" t="e">
        <f t="shared" ref="I37" si="12">I36*I29</f>
        <v>#DIV/0!</v>
      </c>
      <c r="N37" s="215"/>
      <c r="T37"/>
      <c r="V37" s="1002" t="e">
        <f>(V36/'Data Entry - SOF'!C50)*100</f>
        <v>#DIV/0!</v>
      </c>
      <c r="W37" s="999"/>
      <c r="X37" s="1926">
        <f>IF('Data Entry - SOF'!C113&lt;=1.5,0,X36-0.86)</f>
        <v>0</v>
      </c>
      <c r="Y37" s="1926"/>
      <c r="Z37" s="1926"/>
      <c r="AA37" s="2394">
        <f>IF('Data Entry - SOF'!C113&lt;=1.5,0,AA36-0.86)</f>
        <v>0</v>
      </c>
      <c r="AB37" s="2425"/>
      <c r="AC37" s="2423"/>
      <c r="AD37" s="2423"/>
      <c r="AE37" s="2422">
        <f>IF('Data Entry - SOF'!C113&lt;=1.5,0,AE36-0.86)</f>
        <v>0</v>
      </c>
      <c r="AF37" s="2408"/>
      <c r="AG37" s="2409"/>
      <c r="AH37" s="2409"/>
      <c r="AI37" s="2411">
        <f>IF('Data Entry - SOF'!C113&lt;=1.5,0,AI36-0.86)</f>
        <v>0</v>
      </c>
      <c r="AJ37" s="2403"/>
      <c r="AK37" s="1966"/>
      <c r="AL37" s="1966"/>
      <c r="AM37" s="2405">
        <f>IF('Data Entry - SOF'!C113&lt;=1.5,0,AM36-0.86)</f>
        <v>0</v>
      </c>
      <c r="AN37" s="2328"/>
      <c r="AO37" s="1650"/>
      <c r="AP37" s="2329"/>
      <c r="AQ37" s="2400">
        <f>IF('Data Entry - SOF'!D113&lt;=1.5,0,AQ36-0.86)</f>
        <v>0</v>
      </c>
      <c r="AR37" s="2078"/>
      <c r="AS37" s="2075"/>
      <c r="AT37" s="2076"/>
      <c r="AU37" s="2384">
        <f>IF('Data Entry - SOF'!C113&lt;=1.5,0,AU36-0.86)</f>
        <v>0</v>
      </c>
      <c r="AV37" s="2592"/>
      <c r="AW37" s="2599"/>
      <c r="AX37" s="2579"/>
      <c r="AY37" s="2600"/>
      <c r="AZ37" s="2596">
        <f>IF('Data Entry - SOF'!C113&lt;=1.5,0,AZ36-0.86)</f>
        <v>0</v>
      </c>
      <c r="BA37" s="3774"/>
      <c r="BB37" s="3780"/>
      <c r="BD37" s="3764"/>
      <c r="BE37" s="3774">
        <f>IF('Data Entry - SOF'!H113&lt;=1.5,0,BE36-0.86)</f>
        <v>0</v>
      </c>
    </row>
    <row r="38" spans="2:57">
      <c r="B38" s="1200" t="s">
        <v>895</v>
      </c>
      <c r="C38" s="2677" t="e">
        <f>ROUND(((C36*C29)/'Data Entry - SOF'!C50)*100,4)</f>
        <v>#DIV/0!</v>
      </c>
      <c r="D38" s="2569" t="e">
        <f>ROUND(((D36*D29)/'Data Entry - SOF'!E50)*100,4)</f>
        <v>#DIV/0!</v>
      </c>
      <c r="E38" s="2682" t="e">
        <f>ROUND(((E36*E29)/'Data Entry - SOF'!G50)*100,4)</f>
        <v>#DIV/0!</v>
      </c>
      <c r="F38" s="2688" t="e">
        <f>ROUND(((F36*F29)/'Data Entry - SOF'!I50)*100,4)</f>
        <v>#DIV/0!</v>
      </c>
      <c r="G38" s="2695" t="e">
        <f>ROUND(((G36*G29)/'Data Entry - SOF'!K50)*100,4)</f>
        <v>#DIV/0!</v>
      </c>
      <c r="H38" s="2569" t="e">
        <f>ROUND(((H36*H29)/'Data Entry - SOF'!M48)*100,4)</f>
        <v>#DIV/0!</v>
      </c>
      <c r="I38" s="3722" t="e">
        <f>ROUND(((I36*I29)/'Data Entry - SOF'!O48)*100,4)</f>
        <v>#DIV/0!</v>
      </c>
      <c r="N38" s="215"/>
      <c r="T38"/>
      <c r="V38" s="999">
        <f>IF('Data Entry - SOF'!C58&lt;='Data Entry - SOF'!C108,0,IF('Data Entry - SOF'!C58&gt;'Data Entry - SOF'!C108+0.06,0.06*100,('Data Entry - SOF'!C58-'Data Entry - SOF'!E108)*100))</f>
        <v>0</v>
      </c>
      <c r="W38" s="1003" t="e">
        <f>ROUND(((V38*V35)/'Data Entry - SOF'!C50)*100,4)</f>
        <v>#DIV/0!</v>
      </c>
      <c r="X38" s="1000"/>
      <c r="Y38" s="1000"/>
      <c r="Z38" s="1000"/>
      <c r="AA38" s="1400"/>
      <c r="AB38" s="2423"/>
      <c r="AC38" s="2424"/>
      <c r="AD38" s="2424"/>
      <c r="AE38" s="2424"/>
      <c r="AF38" s="2409"/>
      <c r="AG38" s="2410"/>
      <c r="AH38" s="2410"/>
      <c r="AI38" s="2410"/>
      <c r="AJ38" s="1966"/>
      <c r="AK38" s="2404"/>
      <c r="AL38" s="2404"/>
      <c r="AM38" s="2406"/>
      <c r="AN38" s="2329"/>
      <c r="AO38" s="1649"/>
      <c r="AP38" s="1649"/>
      <c r="AQ38" s="1649"/>
      <c r="AR38" s="2075"/>
      <c r="AS38" s="2075"/>
      <c r="AT38" s="2076"/>
      <c r="AU38" s="2068"/>
      <c r="AV38" s="2629"/>
      <c r="AW38" s="2579"/>
      <c r="AX38" s="2600"/>
      <c r="AY38" s="2600"/>
      <c r="AZ38" s="2588"/>
      <c r="BA38" s="3764"/>
      <c r="BC38" s="3764"/>
      <c r="BD38" s="3764"/>
      <c r="BE38" s="3764"/>
    </row>
    <row r="39" spans="2:57">
      <c r="C39" s="1399"/>
      <c r="D39" s="1399"/>
      <c r="E39" s="1399"/>
      <c r="F39" s="1399"/>
      <c r="G39" s="1399"/>
      <c r="H39" s="1399"/>
      <c r="I39" s="3715"/>
      <c r="N39" s="214"/>
      <c r="T39"/>
      <c r="V39" s="999">
        <f>IF('Data Entry - SOF'!C58-'Data Entry - SOF'!C108&gt;0.06,('Data Entry - SOF'!C58-('Data Entry - SOF'!C108+0.06))*100,0)</f>
        <v>0</v>
      </c>
      <c r="W39" s="1003" t="e">
        <f>ROUND(IF((((V39*V35)/'Data Entry - SOF'!C50)*100)&gt;W43,W43,((V39*V35)/'Data Entry - SOF'!C50)*100),4)</f>
        <v>#DIV/0!</v>
      </c>
      <c r="X39" s="999"/>
      <c r="Y39" s="999"/>
      <c r="Z39" s="999"/>
      <c r="AA39" s="1401"/>
      <c r="AB39" s="2423"/>
      <c r="AC39" s="2424"/>
      <c r="AD39" s="2423"/>
      <c r="AE39" s="2423"/>
      <c r="AF39" s="2409"/>
      <c r="AG39" s="2410"/>
      <c r="AH39" s="2409"/>
      <c r="AI39" s="2409"/>
      <c r="AJ39" s="1966"/>
      <c r="AK39" s="2404"/>
      <c r="AL39" s="2404"/>
      <c r="AM39" s="1966"/>
      <c r="AN39" s="2329"/>
      <c r="AO39" s="1649"/>
      <c r="AP39" s="1650"/>
      <c r="AQ39" s="1650"/>
      <c r="AR39" s="2075"/>
      <c r="AS39" s="2075"/>
      <c r="AT39" s="2075"/>
      <c r="AU39" s="2066"/>
      <c r="AV39" s="2601"/>
      <c r="AW39" s="2579"/>
      <c r="AX39" s="2600"/>
      <c r="AY39" s="2579"/>
      <c r="AZ39" s="2601"/>
      <c r="BC39" s="3764"/>
    </row>
    <row r="40" spans="2:57">
      <c r="C40" s="1399"/>
      <c r="D40" s="1399"/>
      <c r="E40" s="1399"/>
      <c r="F40" s="1399"/>
      <c r="G40" s="1399"/>
      <c r="H40" s="1399"/>
      <c r="I40" s="3715"/>
      <c r="N40" s="216"/>
      <c r="T40"/>
      <c r="V40" s="522" t="s">
        <v>437</v>
      </c>
      <c r="W40" s="522"/>
      <c r="X40" s="1805" t="s">
        <v>7302</v>
      </c>
      <c r="Y40" s="1805"/>
      <c r="Z40" s="1805"/>
      <c r="AA40" s="1401"/>
      <c r="AB40" s="2423"/>
      <c r="AC40" s="2424"/>
      <c r="AD40" s="2423"/>
      <c r="AE40" s="2423"/>
      <c r="AF40" s="2409"/>
      <c r="AG40" s="2410"/>
      <c r="AH40" s="2409"/>
      <c r="AI40" s="2409"/>
      <c r="AJ40" s="1966"/>
      <c r="AK40" s="2404"/>
      <c r="AL40" s="1966"/>
      <c r="AM40" s="1966"/>
      <c r="AN40" s="2329"/>
      <c r="AO40" s="1649"/>
      <c r="AP40" s="1650"/>
      <c r="AQ40" s="1650"/>
      <c r="AR40" s="2075"/>
      <c r="AS40" s="2075"/>
      <c r="AT40" s="2075"/>
      <c r="AU40" s="2066"/>
      <c r="AV40" s="2601"/>
      <c r="AW40" s="2579"/>
      <c r="AX40" s="2600"/>
      <c r="AY40" s="2579"/>
      <c r="AZ40" s="2601"/>
      <c r="BC40" s="3764"/>
    </row>
    <row r="41" spans="2:57">
      <c r="C41" s="1399"/>
      <c r="D41" s="1399"/>
      <c r="E41" s="1399"/>
      <c r="F41" s="1399"/>
      <c r="G41" s="1399"/>
      <c r="H41" s="1399"/>
      <c r="I41" s="3715"/>
      <c r="N41" s="217"/>
      <c r="T41"/>
      <c r="V41" s="522" t="s">
        <v>436</v>
      </c>
      <c r="W41" s="1028">
        <f>'Data Entry - SOF'!C108</f>
        <v>0</v>
      </c>
      <c r="X41" s="2475" t="e">
        <f>IF(FracFunding1617!E24&lt;=0,FracFunding1617!C5,FracFunding1617!D5)</f>
        <v>#DIV/0!</v>
      </c>
      <c r="Y41" s="2556"/>
      <c r="Z41" s="2556"/>
      <c r="AA41" s="1402"/>
      <c r="AB41" s="2423"/>
      <c r="AC41" s="2424"/>
      <c r="AD41" s="2423"/>
      <c r="AE41" s="2423"/>
      <c r="AF41" s="2409"/>
      <c r="AG41" s="2410"/>
      <c r="AH41" s="2409"/>
      <c r="AI41" s="2409"/>
      <c r="AJ41" s="1966"/>
      <c r="AK41" s="2404"/>
      <c r="AL41" s="1966"/>
      <c r="AM41" s="1966"/>
      <c r="AN41" s="2329"/>
      <c r="AO41" s="1649"/>
      <c r="AP41" s="1650"/>
      <c r="AQ41" s="1650"/>
      <c r="AR41" s="2075"/>
      <c r="AS41" s="2075"/>
      <c r="AT41" s="2075"/>
      <c r="AU41" s="2066"/>
      <c r="AV41" s="2601"/>
      <c r="AW41" s="2579"/>
      <c r="AX41" s="2600"/>
      <c r="AY41" s="2579"/>
      <c r="AZ41" s="2601"/>
      <c r="BC41" s="3764"/>
    </row>
    <row r="42" spans="2:57">
      <c r="B42" s="2700" t="s">
        <v>893</v>
      </c>
      <c r="C42" s="1392" t="e">
        <f>C35*('Data Entry - SOF'!C50/100)</f>
        <v>#DIV/0!</v>
      </c>
      <c r="D42" s="1459" t="e">
        <f>D35*('Data Entry - SOF'!E50/100)</f>
        <v>#DIV/0!</v>
      </c>
      <c r="E42" s="1561" t="e">
        <f>E35*('Data Entry - SOF'!G50/100)</f>
        <v>#DIV/0!</v>
      </c>
      <c r="F42" s="1642" t="e">
        <f>F35*('Data Entry - SOF'!I50/100)</f>
        <v>#DIV/0!</v>
      </c>
      <c r="G42" s="2058" t="e">
        <f>G35*('Data Entry - SOF'!K50/100)</f>
        <v>#DIV/0!</v>
      </c>
      <c r="H42" s="1459" t="e">
        <f>H35*('Data Entry - SOF'!M48/100)</f>
        <v>#DIV/0!</v>
      </c>
      <c r="I42" s="3723" t="e">
        <f>I35*('Data Entry - SOF'!O48/100)</f>
        <v>#DIV/0!</v>
      </c>
      <c r="N42" s="202"/>
      <c r="T42"/>
      <c r="V42" s="522" t="s">
        <v>438</v>
      </c>
      <c r="W42" s="1028">
        <f>MIN(1,W41)</f>
        <v>0</v>
      </c>
      <c r="X42" s="2475" t="e">
        <f>MIN(1,X41)</f>
        <v>#DIV/0!</v>
      </c>
      <c r="Y42" s="2556"/>
      <c r="Z42" s="2556"/>
      <c r="AA42" s="1402"/>
      <c r="AB42" s="2423"/>
      <c r="AC42" s="2424"/>
      <c r="AD42" s="2423"/>
      <c r="AE42" s="2423"/>
      <c r="AF42" s="2409"/>
      <c r="AG42" s="2410"/>
      <c r="AH42" s="2409"/>
      <c r="AI42" s="2409"/>
      <c r="AJ42" s="1966"/>
      <c r="AK42" s="2404"/>
      <c r="AL42" s="1966"/>
      <c r="AM42" s="1966"/>
      <c r="AN42" s="2329"/>
      <c r="AO42" s="1649"/>
      <c r="AP42" s="1650"/>
      <c r="AQ42" s="1650"/>
      <c r="AR42" s="2075"/>
      <c r="AS42" s="2075"/>
      <c r="AT42" s="2075"/>
      <c r="AU42" s="2066"/>
      <c r="AV42" s="2601"/>
      <c r="AW42" s="2579"/>
      <c r="AX42" s="2600"/>
      <c r="AY42" s="2579"/>
      <c r="AZ42" s="2601"/>
      <c r="BC42" s="3764"/>
    </row>
    <row r="43" spans="2:57">
      <c r="B43" s="2700" t="s">
        <v>894</v>
      </c>
      <c r="C43" s="1392" t="e">
        <f>C38*('Data Entry - SOF'!C50/100)</f>
        <v>#DIV/0!</v>
      </c>
      <c r="D43" s="1459" t="e">
        <f>D38*('Data Entry - SOF'!E50/100)</f>
        <v>#DIV/0!</v>
      </c>
      <c r="E43" s="1561" t="e">
        <f>E38*('Data Entry - SOF'!G50/100)</f>
        <v>#DIV/0!</v>
      </c>
      <c r="F43" s="1642" t="e">
        <f>F38*('Data Entry - SOF'!I50/100)</f>
        <v>#DIV/0!</v>
      </c>
      <c r="G43" s="2058" t="e">
        <f>G38*('Data Entry - SOF'!K50/100)</f>
        <v>#DIV/0!</v>
      </c>
      <c r="H43" s="1459" t="e">
        <f>H38*('Data Entry - SOF'!M48/100)</f>
        <v>#DIV/0!</v>
      </c>
      <c r="I43" s="3723" t="e">
        <f>I38*('Data Entry - SOF'!O48/100)</f>
        <v>#DIV/0!</v>
      </c>
      <c r="N43" s="216"/>
      <c r="T43"/>
      <c r="V43" s="522" t="s">
        <v>439</v>
      </c>
      <c r="W43" s="1028">
        <f>1.17-W42</f>
        <v>1.17</v>
      </c>
      <c r="X43" s="2475" t="e">
        <f>1.17-X42</f>
        <v>#DIV/0!</v>
      </c>
      <c r="Y43" s="2556"/>
      <c r="Z43" s="2556"/>
      <c r="AA43" s="1402"/>
      <c r="AB43" s="2423"/>
      <c r="AC43" s="2424"/>
      <c r="AD43" s="2423"/>
      <c r="AE43" s="2423"/>
      <c r="AF43" s="2409"/>
      <c r="AG43" s="2410"/>
      <c r="AH43" s="2409"/>
      <c r="AI43" s="2409"/>
      <c r="AJ43" s="1966"/>
      <c r="AK43" s="2404"/>
      <c r="AL43" s="1966"/>
      <c r="AM43" s="1966"/>
      <c r="AN43" s="2329"/>
      <c r="AO43" s="1649"/>
      <c r="AP43" s="1650"/>
      <c r="AQ43" s="1650"/>
      <c r="AR43" s="2075"/>
      <c r="AS43" s="2075"/>
      <c r="AT43" s="2075"/>
      <c r="AU43" s="2066"/>
      <c r="AV43" s="2601"/>
      <c r="AW43" s="2579"/>
      <c r="AX43" s="2600"/>
      <c r="AY43" s="2579"/>
      <c r="AZ43" s="2601"/>
      <c r="BC43" s="3764"/>
    </row>
    <row r="44" spans="2:57">
      <c r="K44" s="886"/>
      <c r="N44" s="217"/>
      <c r="T44"/>
      <c r="V44" s="177"/>
      <c r="W44" s="49" t="s">
        <v>4460</v>
      </c>
      <c r="X44" s="2468">
        <f>FracFunding1617!C18</f>
        <v>0</v>
      </c>
      <c r="Y44" s="2557"/>
      <c r="Z44" s="2557"/>
      <c r="AA44" s="1402"/>
      <c r="AB44" s="1402"/>
      <c r="AC44" s="1402"/>
      <c r="AD44" s="1402"/>
      <c r="AE44" s="1402"/>
      <c r="AF44" s="1907"/>
      <c r="AG44" s="1907"/>
      <c r="AH44" s="1907"/>
      <c r="AI44" s="1907"/>
      <c r="AJ44" s="1915"/>
      <c r="AK44" s="1915"/>
      <c r="AL44" s="1915"/>
      <c r="AM44" s="1915"/>
      <c r="AN44" s="1923"/>
      <c r="AO44" s="1923"/>
      <c r="AP44" s="1923"/>
      <c r="AQ44" s="1923"/>
      <c r="AR44" s="2075"/>
      <c r="AS44" s="2075"/>
      <c r="AT44" s="2075"/>
      <c r="AU44" s="2067"/>
      <c r="AW44" s="2579"/>
      <c r="AX44" s="2579"/>
      <c r="AY44" s="2579"/>
    </row>
    <row r="45" spans="2:57">
      <c r="K45" s="886"/>
      <c r="N45" s="202"/>
      <c r="T45"/>
      <c r="V45" s="177"/>
      <c r="W45" s="49" t="s">
        <v>4459</v>
      </c>
      <c r="X45" s="2469">
        <f>ROUNDDOWN(IF('Data Entry - SOF'!C108&gt;=1,0,(1 -'Data Entry - SOF'!C108)*100),4)</f>
        <v>100</v>
      </c>
      <c r="Y45" s="2556"/>
      <c r="Z45" s="2556"/>
      <c r="AE45" s="177"/>
      <c r="AF45" s="2299"/>
      <c r="AG45" s="2299"/>
      <c r="AH45" s="2299"/>
      <c r="AI45" s="177"/>
      <c r="AJ45" s="2299"/>
      <c r="AK45" s="2299"/>
      <c r="AL45" s="2299"/>
      <c r="AM45" s="177"/>
      <c r="AN45" s="2299"/>
      <c r="AO45" s="2299"/>
      <c r="AP45" s="2299"/>
      <c r="AQ45" s="177"/>
      <c r="AR45" s="2299"/>
      <c r="AS45" s="2299"/>
      <c r="AT45" s="2299"/>
      <c r="AU45" s="177"/>
      <c r="AW45" s="2576"/>
      <c r="AX45" s="2576"/>
      <c r="AY45" s="2576"/>
      <c r="BB45" s="3761"/>
      <c r="BC45" s="3761"/>
      <c r="BD45" s="3761"/>
    </row>
    <row r="46" spans="2:57">
      <c r="B46" s="49" t="s">
        <v>3209</v>
      </c>
      <c r="C46" s="1381">
        <v>0</v>
      </c>
      <c r="D46" s="1448">
        <v>0</v>
      </c>
      <c r="E46" s="1546">
        <v>0</v>
      </c>
      <c r="F46" s="1631">
        <v>0</v>
      </c>
      <c r="G46" s="2047">
        <v>0</v>
      </c>
      <c r="H46" s="1448">
        <v>0</v>
      </c>
      <c r="I46" s="3706">
        <v>0</v>
      </c>
      <c r="K46" s="886"/>
      <c r="N46" s="216"/>
      <c r="T46"/>
      <c r="V46" s="177"/>
      <c r="W46" s="49" t="s">
        <v>4461</v>
      </c>
      <c r="X46" s="2469">
        <f>IF(X44-X45&lt;=0,0,X44-X45)</f>
        <v>0</v>
      </c>
      <c r="Y46" s="2556"/>
      <c r="Z46" s="2556"/>
      <c r="AE46" s="177"/>
      <c r="AF46" s="2299"/>
      <c r="AG46" s="2299"/>
      <c r="AH46" s="2299"/>
      <c r="AI46" s="177"/>
      <c r="AJ46" s="2299"/>
      <c r="AK46" s="2299"/>
      <c r="AL46" s="2299"/>
      <c r="AM46" s="177"/>
      <c r="AN46" s="2299"/>
      <c r="AO46" s="2299"/>
      <c r="AP46" s="2299"/>
      <c r="AQ46" s="177"/>
      <c r="AR46" s="2299"/>
      <c r="AS46" s="2299"/>
      <c r="AT46" s="2299"/>
      <c r="AU46" s="177"/>
      <c r="AW46" s="2576"/>
      <c r="AX46" s="2576"/>
      <c r="AY46" s="2576"/>
      <c r="BB46" s="3761"/>
      <c r="BC46" s="3761"/>
      <c r="BD46" s="3761"/>
    </row>
    <row r="47" spans="2:57">
      <c r="B47" s="49" t="s">
        <v>3208</v>
      </c>
      <c r="C47" s="1393">
        <f>'Data Entry - SOF'!C59-IFA!J79-C46</f>
        <v>0</v>
      </c>
      <c r="D47" s="1460">
        <f>'Data Entry - SOF'!E59-IFA!N79-D46</f>
        <v>0</v>
      </c>
      <c r="E47" s="1545">
        <f>'Data Entry - SOF'!G59-IFA!R79-E46</f>
        <v>0</v>
      </c>
      <c r="F47" s="1643">
        <f>'Data Entry - SOF'!I59-IFA!V79-F46</f>
        <v>0</v>
      </c>
      <c r="G47" s="2059">
        <f>'Data Entry - SOF'!K59-IFA!Z79-G46</f>
        <v>0</v>
      </c>
      <c r="H47" s="1460">
        <f>'Data Entry - SOF'!M59-IFA!AD79-H46</f>
        <v>0</v>
      </c>
      <c r="I47" s="3724">
        <f>'Data Entry - SOF'!O59-IFA!AI79-I46</f>
        <v>0</v>
      </c>
      <c r="K47" s="886"/>
      <c r="N47" s="210"/>
      <c r="T47"/>
      <c r="V47" s="177"/>
      <c r="W47" s="49" t="s">
        <v>4462</v>
      </c>
      <c r="X47" s="2471" t="e">
        <f>ROUND(IF((((X46*V35)/'Data Entry - SOF'!C48)*100)&gt;X43,X43,((X46*V35)/'Data Entry - SOF'!C48)*100),4)</f>
        <v>#DIV/0!</v>
      </c>
      <c r="Y47" s="2558"/>
      <c r="Z47" s="2558"/>
      <c r="AE47" s="177"/>
      <c r="AF47" s="2299"/>
      <c r="AG47" s="2299"/>
      <c r="AH47" s="2299"/>
      <c r="AI47" s="177"/>
      <c r="AJ47" s="2299"/>
      <c r="AK47" s="2299"/>
      <c r="AL47" s="2299"/>
      <c r="AM47" s="177"/>
      <c r="AN47" s="2299"/>
      <c r="AO47" s="2299"/>
      <c r="AP47" s="2299"/>
      <c r="AQ47" s="177"/>
      <c r="AR47" s="2299"/>
      <c r="AS47" s="2299"/>
      <c r="AT47" s="2299"/>
      <c r="AU47" s="177"/>
      <c r="AW47" s="2576"/>
      <c r="AX47" s="2576"/>
      <c r="AY47" s="2576"/>
      <c r="BB47" s="3761"/>
      <c r="BC47" s="3761"/>
      <c r="BD47" s="3761"/>
    </row>
    <row r="48" spans="2:57">
      <c r="K48" s="886"/>
      <c r="N48" s="210"/>
      <c r="T48"/>
      <c r="W48" s="49" t="s">
        <v>4463</v>
      </c>
      <c r="X48" s="2469">
        <f>'Data Entry - SOF'!C108+IF(X44&lt;X45,(X44/100),(X45/100))</f>
        <v>0</v>
      </c>
      <c r="Y48" s="2556"/>
      <c r="Z48" s="2556"/>
      <c r="AE48" s="177"/>
      <c r="AF48" s="2299"/>
      <c r="AG48" s="2299"/>
      <c r="AH48" s="2299"/>
      <c r="AI48" s="177"/>
      <c r="AJ48" s="2299"/>
      <c r="AK48" s="2299"/>
      <c r="AL48" s="2299"/>
      <c r="AM48" s="177"/>
      <c r="AN48" s="2299"/>
      <c r="AO48" s="2299"/>
      <c r="AP48" s="2299"/>
      <c r="AQ48" s="177"/>
      <c r="AR48" s="2299"/>
      <c r="AS48" s="2299"/>
      <c r="AT48" s="2299"/>
      <c r="AU48" s="177"/>
      <c r="AW48" s="2576"/>
      <c r="AX48" s="2576"/>
      <c r="AY48" s="2576"/>
      <c r="BB48" s="3761"/>
      <c r="BC48" s="3761"/>
      <c r="BD48" s="3761"/>
    </row>
    <row r="49" spans="1:57">
      <c r="B49" s="49" t="s">
        <v>3261</v>
      </c>
      <c r="C49" s="1382" t="str">
        <f t="shared" ref="C49:H49" si="13">IF(C21=C20,"N/A",C21)</f>
        <v>N/A</v>
      </c>
      <c r="D49" s="1449" t="str">
        <f t="shared" si="13"/>
        <v>N/A</v>
      </c>
      <c r="E49" s="1551" t="str">
        <f t="shared" si="13"/>
        <v>N/A</v>
      </c>
      <c r="F49" s="1632" t="str">
        <f t="shared" si="13"/>
        <v>N/A</v>
      </c>
      <c r="G49" s="2048" t="str">
        <f t="shared" si="13"/>
        <v>N/A</v>
      </c>
      <c r="H49" s="1449" t="str">
        <f t="shared" si="13"/>
        <v>N/A</v>
      </c>
      <c r="I49" s="3707" t="str">
        <f t="shared" ref="I49" si="14">IF(I21=I20,"N/A",I21)</f>
        <v>N/A</v>
      </c>
      <c r="K49" s="886"/>
      <c r="N49" s="202"/>
      <c r="T49"/>
      <c r="W49" s="49" t="s">
        <v>4464</v>
      </c>
      <c r="X49" s="2472" t="e">
        <f>AB28*V35</f>
        <v>#DIV/0!</v>
      </c>
      <c r="Y49" s="2559"/>
      <c r="Z49" s="2559"/>
      <c r="AE49" s="177"/>
      <c r="AF49" s="2299"/>
      <c r="AG49" s="2299"/>
      <c r="AH49" s="2299"/>
      <c r="AI49" s="177"/>
      <c r="AJ49" s="2299"/>
      <c r="AK49" s="2299"/>
      <c r="AL49" s="2299"/>
      <c r="AM49" s="177"/>
      <c r="AN49" s="2299"/>
      <c r="AO49" s="2299"/>
      <c r="AP49" s="2299"/>
      <c r="AQ49" s="177"/>
      <c r="AR49" s="2299"/>
      <c r="AS49" s="2299"/>
      <c r="AT49" s="2299"/>
      <c r="AU49" s="177"/>
      <c r="AW49" s="2576"/>
      <c r="AX49" s="2576"/>
      <c r="AY49" s="2576"/>
      <c r="BB49" s="3761"/>
      <c r="BC49" s="3761"/>
      <c r="BD49" s="3761"/>
    </row>
    <row r="50" spans="1:57">
      <c r="B50" s="49" t="s">
        <v>3262</v>
      </c>
      <c r="C50" s="1382" t="str">
        <f t="shared" ref="C50:H50" si="15">IF(C22=0,"N/A",C22)</f>
        <v>N/A</v>
      </c>
      <c r="D50" s="1449" t="str">
        <f t="shared" si="15"/>
        <v>N/A</v>
      </c>
      <c r="E50" s="1551" t="str">
        <f t="shared" si="15"/>
        <v>N/A</v>
      </c>
      <c r="F50" s="1632" t="str">
        <f t="shared" si="15"/>
        <v>N/A</v>
      </c>
      <c r="G50" s="2048" t="str">
        <f t="shared" si="15"/>
        <v>N/A</v>
      </c>
      <c r="H50" s="1449" t="str">
        <f t="shared" si="15"/>
        <v>N/A</v>
      </c>
      <c r="I50" s="3707" t="str">
        <f t="shared" ref="I50" si="16">IF(I22=0,"N/A",I22)</f>
        <v>N/A</v>
      </c>
      <c r="K50" s="886"/>
      <c r="N50" s="202"/>
      <c r="T50"/>
      <c r="W50" s="49" t="s">
        <v>4465</v>
      </c>
      <c r="X50" s="2473" t="e">
        <f>AC35*IF('Data Entry - SOF'!C58&lt;'Calc Data-SB1'!Y48,('Data Entry - SOF'!C58*100),('Calc Data-SB1'!Y48*100))</f>
        <v>#DIV/0!</v>
      </c>
      <c r="Y50" s="2560"/>
      <c r="Z50" s="2560"/>
      <c r="AE50" s="177"/>
      <c r="AF50" s="2299"/>
      <c r="AG50" s="2299"/>
      <c r="AH50" s="2299"/>
      <c r="AI50" s="177"/>
      <c r="AJ50" s="2299"/>
      <c r="AK50" s="2299"/>
      <c r="AL50" s="2299"/>
      <c r="AM50" s="177"/>
      <c r="AN50" s="2299"/>
      <c r="AO50" s="2299"/>
      <c r="AP50" s="2299"/>
      <c r="AQ50" s="177"/>
      <c r="AR50" s="2299"/>
      <c r="AS50" s="2299"/>
      <c r="AT50" s="2299"/>
      <c r="AU50" s="177"/>
      <c r="AW50" s="2576"/>
      <c r="AX50" s="2576"/>
      <c r="AY50" s="2576"/>
      <c r="BB50" s="3761"/>
      <c r="BC50" s="3761"/>
      <c r="BD50" s="3761"/>
    </row>
    <row r="51" spans="1:57">
      <c r="K51" s="886"/>
      <c r="N51" s="202"/>
      <c r="T51"/>
      <c r="W51" s="49" t="s">
        <v>4491</v>
      </c>
      <c r="X51" s="2472" t="e">
        <f>X47*('Data Entry - SOF'!C48/100)</f>
        <v>#DIV/0!</v>
      </c>
      <c r="Y51" s="2559"/>
      <c r="Z51" s="2559"/>
      <c r="AE51" s="177"/>
      <c r="AF51" s="2299"/>
      <c r="AG51" s="2299"/>
      <c r="AH51" s="2299"/>
      <c r="AI51" s="177"/>
      <c r="AJ51" s="2299"/>
      <c r="AK51" s="2299"/>
      <c r="AL51" s="2299"/>
      <c r="AM51" s="177"/>
      <c r="AN51" s="2299"/>
      <c r="AO51" s="2299"/>
      <c r="AP51" s="2299"/>
      <c r="AQ51" s="177"/>
      <c r="AR51" s="2299"/>
      <c r="AS51" s="2299"/>
      <c r="AT51" s="2299"/>
      <c r="AU51" s="177"/>
      <c r="AW51" s="2576"/>
      <c r="AX51" s="2576"/>
      <c r="AY51" s="2576"/>
      <c r="BB51" s="3761"/>
      <c r="BC51" s="3761"/>
      <c r="BD51" s="3761"/>
    </row>
    <row r="52" spans="1:57">
      <c r="K52" s="886"/>
      <c r="T52"/>
      <c r="AE52" s="177"/>
      <c r="AF52" s="2299"/>
      <c r="AG52" s="2299"/>
      <c r="AH52" s="2299"/>
      <c r="AI52" s="177"/>
      <c r="AJ52" s="2299"/>
      <c r="AK52" s="2299"/>
      <c r="AL52" s="2299"/>
      <c r="AM52" s="177"/>
      <c r="AN52" s="2299"/>
      <c r="AO52" s="2299"/>
      <c r="AP52" s="2299"/>
      <c r="AQ52" s="177"/>
      <c r="AR52" s="2299"/>
      <c r="AS52" s="2299"/>
      <c r="AT52" s="2299"/>
      <c r="AU52" s="177"/>
      <c r="AW52" s="2576"/>
      <c r="AX52" s="2576"/>
      <c r="AY52" s="2576"/>
      <c r="BB52" s="3761"/>
      <c r="BC52" s="3761"/>
      <c r="BD52" s="3761"/>
    </row>
    <row r="53" spans="1:57">
      <c r="K53" s="886"/>
      <c r="T53"/>
      <c r="AE53" s="177"/>
      <c r="AF53" s="2299"/>
      <c r="AG53" s="2299"/>
      <c r="AH53" s="2299"/>
      <c r="AI53" s="177"/>
      <c r="AJ53" s="2299"/>
      <c r="AK53" s="2299"/>
      <c r="AL53" s="2299"/>
      <c r="AM53" s="177"/>
      <c r="AN53" s="2299"/>
      <c r="AO53" s="2299"/>
      <c r="AP53" s="2299"/>
      <c r="AQ53" s="177"/>
      <c r="AR53" s="2299"/>
      <c r="AS53" s="2299"/>
      <c r="AT53" s="2299"/>
      <c r="AU53" s="177"/>
      <c r="AW53" s="2576"/>
      <c r="AX53" s="2576"/>
      <c r="AY53" s="2576"/>
      <c r="BB53" s="3761"/>
      <c r="BC53" s="3761"/>
      <c r="BD53" s="3761"/>
    </row>
    <row r="54" spans="1:57">
      <c r="K54" s="886"/>
      <c r="T54"/>
      <c r="AE54" s="177"/>
      <c r="AF54" s="2299"/>
      <c r="AG54" s="2299"/>
      <c r="AH54" s="2299"/>
      <c r="AI54" s="177"/>
      <c r="AJ54" s="2299"/>
      <c r="AK54" s="2299"/>
      <c r="AL54" s="2299"/>
      <c r="AM54" s="177"/>
      <c r="AN54" s="2299"/>
      <c r="AO54" s="2299"/>
      <c r="AP54" s="2299"/>
      <c r="AQ54" s="177"/>
      <c r="AR54" s="2299"/>
      <c r="AS54" s="2299"/>
      <c r="AT54" s="2299"/>
      <c r="AU54" s="177"/>
      <c r="AW54" s="2576"/>
      <c r="AX54" s="2576"/>
      <c r="AY54" s="2576"/>
      <c r="BB54" s="3761"/>
      <c r="BC54" s="3761"/>
      <c r="BD54" s="3761"/>
    </row>
    <row r="55" spans="1:57">
      <c r="J55" s="2656" t="s">
        <v>7615</v>
      </c>
      <c r="K55" s="886"/>
      <c r="T55"/>
      <c r="AE55" s="177"/>
      <c r="AF55" s="2299"/>
      <c r="AG55" s="2299"/>
      <c r="AH55" s="2299"/>
      <c r="AI55" s="177"/>
      <c r="AJ55" s="2299"/>
      <c r="AK55" s="2299"/>
      <c r="AL55" s="2299"/>
      <c r="AM55" s="177"/>
      <c r="AN55" s="2299"/>
      <c r="AO55" s="2299"/>
      <c r="AP55" s="2299"/>
      <c r="AQ55" s="177"/>
      <c r="AR55" s="2299"/>
      <c r="AS55" s="2299"/>
      <c r="AT55" s="2299"/>
      <c r="AU55" s="177"/>
      <c r="AW55" s="2576"/>
      <c r="AX55" s="2576"/>
      <c r="AY55" s="2576"/>
      <c r="BB55" s="3761"/>
      <c r="BC55" s="3761"/>
      <c r="BD55" s="3761"/>
    </row>
    <row r="56" spans="1:57">
      <c r="C56" s="1394" t="s">
        <v>3614</v>
      </c>
      <c r="D56" s="1461" t="s">
        <v>3831</v>
      </c>
      <c r="E56" s="1549" t="s">
        <v>3832</v>
      </c>
      <c r="F56" s="1644" t="s">
        <v>3905</v>
      </c>
      <c r="G56" s="2060" t="s">
        <v>4606</v>
      </c>
      <c r="H56" s="1461" t="s">
        <v>7708</v>
      </c>
      <c r="I56" s="3725" t="s">
        <v>7708</v>
      </c>
      <c r="J56" s="2657" t="s">
        <v>3614</v>
      </c>
      <c r="T56"/>
      <c r="AA56" s="121"/>
      <c r="AE56" s="177"/>
      <c r="AF56" s="2299"/>
      <c r="AG56" s="2299"/>
      <c r="AH56" s="2299"/>
      <c r="AI56" s="177"/>
      <c r="AJ56" s="2299"/>
      <c r="AK56" s="2299"/>
      <c r="AL56" s="2299"/>
      <c r="AM56" s="177"/>
      <c r="AN56" s="2299"/>
      <c r="AO56" s="2299"/>
      <c r="AP56" s="2299"/>
      <c r="AQ56" s="177"/>
      <c r="AR56" s="2299"/>
      <c r="AS56" s="2299"/>
      <c r="AT56" s="2299"/>
      <c r="AU56" s="177"/>
      <c r="AW56" s="2576"/>
      <c r="AX56" s="2576"/>
      <c r="AY56" s="2576"/>
      <c r="BB56" s="3761"/>
      <c r="BC56" s="3761"/>
      <c r="BD56" s="3761"/>
    </row>
    <row r="57" spans="1:57">
      <c r="B57" s="99" t="s">
        <v>2418</v>
      </c>
      <c r="C57" s="1395">
        <f>IF(AND(C6&lt;2000,C10&gt;1599.999),'Data Entry - SOF'!C112*(1+((2000-'Calc Data-15K'!C7)*Weights!H45)),0)</f>
        <v>0</v>
      </c>
      <c r="D57" s="1462">
        <f>IF(AND(D6&lt;2000,D10&gt;1599.999),'Data Entry - SOF'!E112*(1+((2000-'Calc Data-15K'!D7)*Weights!I45)),0)</f>
        <v>0</v>
      </c>
      <c r="E57" s="1562">
        <f>IF(AND(E6&lt;2000,E10&gt;1599.999),'Data Entry - SOF'!G112*(1+((2000-'Calc Data-15K'!E7)*Weights!J45)),0)</f>
        <v>0</v>
      </c>
      <c r="F57" s="1645">
        <f>IF(AND(F6&lt;2000,F10&gt;1599.999),'Data Entry - SOF'!I112*(1+((2000-'Calc Data-15K'!F7)*Weights!K45)),0)</f>
        <v>0</v>
      </c>
      <c r="G57" s="2061">
        <f>IF(AND(G6&lt;2000,G10&gt;1599.999),'Data Entry - SOF'!K112*(1+((2000-'Calc Data-15K'!G7)*Weights!L45)),0)</f>
        <v>0</v>
      </c>
      <c r="H57" s="1462">
        <f>IF(AND(H6&lt;2000,H10&gt;1599.999),'Data Entry - SOF'!M112*(1+((2000-'Calc Data-SB1'!H7)*Weights!M45)),0)</f>
        <v>0</v>
      </c>
      <c r="I57" s="3726">
        <f>IF(AND(I6&lt;2000,I10&gt;1599.999),'Data Entry - SOF'!O112*(1+((2000-'Calc Data-SB1'!I7)*Weights!N45)),0)</f>
        <v>0</v>
      </c>
      <c r="J57" s="2658">
        <f>IF(AND(C6&lt;2000,C10&gt;1599.999),'Data Entry - SOF'!C112*(1+((2000-C7)*Weights!H45)),0)</f>
        <v>0</v>
      </c>
      <c r="O57" s="552" t="e">
        <f>IF(AND(#REF!&lt;2000,#REF!&gt;1599.999),'Data Entry - SOF'!#REF!*(1+((2000-'Calc Data-15K'!#REF!)*0.00014)),0)</f>
        <v>#REF!</v>
      </c>
      <c r="T57"/>
      <c r="AE57" s="177"/>
      <c r="AF57" s="2299"/>
      <c r="AG57" s="2299"/>
      <c r="AH57" s="2299"/>
      <c r="AI57" s="177"/>
      <c r="AJ57" s="2299"/>
      <c r="AK57" s="2299"/>
      <c r="AL57" s="2299"/>
      <c r="AM57" s="177"/>
      <c r="AN57" s="2299"/>
      <c r="AO57" s="2299"/>
      <c r="AP57" s="2299"/>
      <c r="AQ57" s="177"/>
      <c r="AR57" s="2299"/>
      <c r="AS57" s="2299"/>
      <c r="AT57" s="2299"/>
      <c r="AU57" s="177"/>
      <c r="AW57" s="2576"/>
      <c r="AX57" s="2576"/>
      <c r="AY57" s="2576"/>
      <c r="BB57" s="3761"/>
      <c r="BC57" s="3761"/>
      <c r="BD57" s="3761"/>
    </row>
    <row r="58" spans="1:57">
      <c r="B58" s="99" t="s">
        <v>1109</v>
      </c>
      <c r="C58" s="1396">
        <f>'Data Entry - SOF'!C112</f>
        <v>0</v>
      </c>
      <c r="D58" s="1463">
        <f>'Data Entry - SOF'!E112</f>
        <v>0</v>
      </c>
      <c r="E58" s="1563">
        <f>'Data Entry - SOF'!G112</f>
        <v>0</v>
      </c>
      <c r="F58" s="1646">
        <f>'Data Entry - SOF'!I112</f>
        <v>0</v>
      </c>
      <c r="G58" s="2062">
        <f>'Data Entry - SOF'!K112</f>
        <v>0</v>
      </c>
      <c r="H58" s="1463">
        <f>'Data Entry - SOF'!M112</f>
        <v>0</v>
      </c>
      <c r="I58" s="3727">
        <f>'Data Entry - SOF'!O112</f>
        <v>0</v>
      </c>
      <c r="J58" s="2659">
        <f>'Data Entry - SOF'!C112</f>
        <v>0</v>
      </c>
      <c r="O58" s="553" t="e">
        <f>'Data Entry - SOF'!#REF!</f>
        <v>#REF!</v>
      </c>
      <c r="T58"/>
      <c r="AE58" s="177"/>
      <c r="AF58" s="2299"/>
      <c r="AG58" s="2299"/>
      <c r="AH58" s="2299"/>
      <c r="AI58" s="177"/>
      <c r="AJ58" s="2299"/>
      <c r="AK58" s="2299"/>
      <c r="AL58" s="2299"/>
      <c r="AM58" s="177"/>
      <c r="AN58" s="2299"/>
      <c r="AO58" s="2299"/>
      <c r="AP58" s="2299"/>
      <c r="AQ58" s="177"/>
      <c r="AR58" s="2299"/>
      <c r="AS58" s="2299"/>
      <c r="AT58" s="2299"/>
      <c r="AU58" s="177"/>
      <c r="AW58" s="2576"/>
      <c r="AX58" s="2576"/>
      <c r="AY58" s="2576"/>
      <c r="BB58" s="3761"/>
      <c r="BC58" s="3761"/>
      <c r="BD58" s="3761"/>
    </row>
    <row r="59" spans="1:57">
      <c r="B59" s="99" t="s">
        <v>2593</v>
      </c>
      <c r="C59" s="1394">
        <f t="shared" ref="C59:H59" si="17">IF(C57&gt;C58,C57,C58)</f>
        <v>0</v>
      </c>
      <c r="D59" s="1461">
        <f t="shared" si="17"/>
        <v>0</v>
      </c>
      <c r="E59" s="1549">
        <f t="shared" si="17"/>
        <v>0</v>
      </c>
      <c r="F59" s="1644">
        <f t="shared" si="17"/>
        <v>0</v>
      </c>
      <c r="G59" s="2060">
        <f t="shared" si="17"/>
        <v>0</v>
      </c>
      <c r="H59" s="1461">
        <f t="shared" si="17"/>
        <v>0</v>
      </c>
      <c r="I59" s="3725">
        <f t="shared" ref="I59" si="18">IF(I57&gt;I58,I57,I58)</f>
        <v>0</v>
      </c>
      <c r="J59" s="2660">
        <f>IF(J57&gt;J58,J57,J58)</f>
        <v>0</v>
      </c>
      <c r="O59" s="531" t="e">
        <f>IF(O57&gt;O58,O57,O58)</f>
        <v>#REF!</v>
      </c>
      <c r="T59"/>
      <c r="AF59" s="2299"/>
      <c r="AG59" s="2299"/>
      <c r="AJ59" s="2299"/>
      <c r="AK59" s="2299"/>
      <c r="AL59" s="2299"/>
      <c r="AN59" s="2299"/>
      <c r="AO59" s="2299"/>
      <c r="AR59" s="2299"/>
      <c r="AS59" s="2299"/>
      <c r="AT59" s="2047"/>
      <c r="AW59" s="2576"/>
      <c r="AX59" s="2576"/>
      <c r="AY59" s="2579"/>
      <c r="BB59" s="3761"/>
      <c r="BC59" s="3761"/>
    </row>
    <row r="60" spans="1:57">
      <c r="B60" s="99"/>
      <c r="K60" s="886"/>
      <c r="T60"/>
      <c r="AF60" s="2299"/>
      <c r="AG60" s="2299"/>
      <c r="AJ60" s="2299"/>
      <c r="AK60" s="2299"/>
      <c r="AL60" s="2299"/>
      <c r="AN60" s="2299"/>
      <c r="AO60" s="2299"/>
      <c r="AR60" s="2299"/>
      <c r="AS60" s="2299"/>
      <c r="AT60" s="2047"/>
      <c r="AW60" s="2576"/>
      <c r="AX60" s="2576"/>
      <c r="AY60" s="2579"/>
      <c r="BB60" s="3761"/>
      <c r="BC60" s="3761"/>
    </row>
    <row r="61" spans="1:57">
      <c r="A61" s="126"/>
      <c r="B61" s="99"/>
      <c r="C61" s="1385"/>
      <c r="D61" s="1452"/>
      <c r="E61" s="1554"/>
      <c r="F61" s="1635"/>
      <c r="G61" s="2051"/>
      <c r="H61" s="1452"/>
      <c r="I61" s="3711"/>
      <c r="K61" s="885"/>
      <c r="T61"/>
      <c r="AF61" s="2299"/>
      <c r="AG61" s="2299"/>
      <c r="AJ61" s="2299"/>
      <c r="AK61" s="2299"/>
      <c r="AL61" s="2299"/>
      <c r="AN61" s="2299"/>
      <c r="AO61" s="2299"/>
      <c r="AR61" s="2299"/>
      <c r="AS61" s="2299"/>
      <c r="AT61" s="2047"/>
      <c r="AW61" s="2576"/>
      <c r="AX61" s="2576"/>
      <c r="AY61" s="2579"/>
      <c r="BB61" s="3761"/>
      <c r="BC61" s="3761"/>
    </row>
    <row r="62" spans="1:57">
      <c r="A62" s="126"/>
      <c r="B62" s="99" t="s">
        <v>888</v>
      </c>
      <c r="C62" s="1385"/>
      <c r="D62" s="1452"/>
      <c r="E62" s="1554"/>
      <c r="F62" s="1635"/>
      <c r="G62" s="2051"/>
      <c r="H62" s="1452"/>
      <c r="I62" s="3711"/>
      <c r="K62" s="885"/>
      <c r="T62"/>
      <c r="AF62" s="2299"/>
      <c r="AG62" s="2299"/>
      <c r="AJ62" s="2299"/>
      <c r="AK62" s="2299"/>
      <c r="AL62" s="2299"/>
      <c r="AN62" s="2299"/>
      <c r="AO62" s="2299"/>
      <c r="AR62" s="2299"/>
      <c r="AS62" s="2299"/>
      <c r="AT62" s="2047"/>
      <c r="AW62" s="2576"/>
      <c r="AX62" s="2576"/>
      <c r="AY62" s="2579"/>
      <c r="BB62" s="3761"/>
      <c r="BC62" s="3761"/>
    </row>
    <row r="63" spans="1:57" s="374" customFormat="1" ht="23.25">
      <c r="A63" s="370"/>
      <c r="B63" s="2701" t="s">
        <v>1059</v>
      </c>
      <c r="C63" s="2702" t="s">
        <v>3613</v>
      </c>
      <c r="D63" s="2703" t="s">
        <v>3673</v>
      </c>
      <c r="E63" s="2704" t="s">
        <v>3830</v>
      </c>
      <c r="F63" s="2705" t="s">
        <v>3903</v>
      </c>
      <c r="G63" s="2706" t="s">
        <v>4592</v>
      </c>
      <c r="H63" s="2703" t="s">
        <v>7097</v>
      </c>
      <c r="I63" s="3728" t="str">
        <f>I17</f>
        <v>2022-23</v>
      </c>
      <c r="K63" s="886"/>
      <c r="L63"/>
      <c r="M63"/>
      <c r="N63" s="373"/>
      <c r="O63"/>
      <c r="P63"/>
      <c r="Q63"/>
      <c r="R63"/>
      <c r="S63"/>
      <c r="T63"/>
      <c r="AB63"/>
      <c r="AC63"/>
      <c r="AF63" s="2299"/>
      <c r="AG63" s="2299"/>
      <c r="AJ63" s="2299"/>
      <c r="AK63" s="2299"/>
      <c r="AL63" s="2299"/>
      <c r="AN63" s="2299"/>
      <c r="AO63" s="2299"/>
      <c r="AR63" s="2299"/>
      <c r="AS63" s="2299"/>
      <c r="AT63" s="2079"/>
      <c r="AV63" s="2603"/>
      <c r="AW63" s="2576"/>
      <c r="AX63" s="2576"/>
      <c r="AY63" s="2604"/>
      <c r="AZ63" s="2603"/>
      <c r="BA63" s="3781"/>
      <c r="BB63" s="3761"/>
      <c r="BC63" s="3761"/>
      <c r="BD63" s="3781"/>
      <c r="BE63" s="3781"/>
    </row>
    <row r="64" spans="1:57">
      <c r="B64" s="2707">
        <f>'Data Entry - SOF'!C122</f>
        <v>0</v>
      </c>
      <c r="C64" s="2708">
        <f>'Data Entry - SOF'!C66</f>
        <v>0</v>
      </c>
      <c r="D64" s="2709">
        <f>'Data Entry - SOF'!E66</f>
        <v>0</v>
      </c>
      <c r="E64" s="2710">
        <f>'Data Entry - SOF'!G66</f>
        <v>0</v>
      </c>
      <c r="F64" s="2711">
        <f>'Data Entry - SOF'!I66</f>
        <v>0</v>
      </c>
      <c r="G64" s="2712">
        <f>'Data Entry - SOF'!K66</f>
        <v>0</v>
      </c>
      <c r="H64" s="2709">
        <f>'Data Entry - SOF'!M66</f>
        <v>0</v>
      </c>
      <c r="I64" s="3729">
        <f>'Data Entry - SOF'!O66</f>
        <v>0</v>
      </c>
      <c r="K64" s="886"/>
      <c r="T64"/>
      <c r="AF64" s="2299"/>
      <c r="AG64" s="2299"/>
      <c r="AJ64" s="2299"/>
      <c r="AK64" s="2299"/>
      <c r="AL64" s="2299"/>
      <c r="AN64" s="2299"/>
      <c r="AO64" s="2299"/>
      <c r="AR64" s="2299"/>
      <c r="AS64" s="2299"/>
      <c r="AT64" s="2047"/>
      <c r="AW64" s="2576"/>
      <c r="AX64" s="2576"/>
      <c r="AY64" s="2579"/>
      <c r="BB64" s="3761"/>
      <c r="BC64" s="3761"/>
    </row>
    <row r="65" spans="1:57">
      <c r="B65" s="2707"/>
      <c r="C65" s="2708">
        <f>C64-B64</f>
        <v>0</v>
      </c>
      <c r="D65" s="2709">
        <f>D64-B64</f>
        <v>0</v>
      </c>
      <c r="E65" s="2710">
        <f>E64-B64</f>
        <v>0</v>
      </c>
      <c r="F65" s="2711">
        <f>F64-B64</f>
        <v>0</v>
      </c>
      <c r="G65" s="2712">
        <f>G64-B64</f>
        <v>0</v>
      </c>
      <c r="H65" s="2709">
        <f>H64-C64</f>
        <v>0</v>
      </c>
      <c r="I65" s="3729">
        <f>I64-D64</f>
        <v>0</v>
      </c>
      <c r="K65" s="886"/>
      <c r="T65"/>
    </row>
    <row r="66" spans="1:57">
      <c r="B66" s="2713"/>
      <c r="C66" s="2714"/>
      <c r="D66" s="2715"/>
      <c r="E66" s="2716"/>
      <c r="F66" s="2717"/>
      <c r="G66" s="2718"/>
      <c r="H66" s="2715"/>
      <c r="I66" s="3730"/>
      <c r="K66" s="886"/>
      <c r="T66"/>
    </row>
    <row r="67" spans="1:57">
      <c r="B67" s="2707"/>
      <c r="C67" s="2714"/>
      <c r="D67" s="2715"/>
      <c r="E67" s="2716"/>
      <c r="F67" s="2717"/>
      <c r="G67" s="2718"/>
      <c r="H67" s="2715"/>
      <c r="I67" s="3730"/>
      <c r="K67" s="886"/>
      <c r="T67"/>
    </row>
    <row r="68" spans="1:57">
      <c r="B68" s="2719"/>
      <c r="C68" s="2714"/>
      <c r="D68" s="2715"/>
      <c r="E68" s="2716"/>
      <c r="F68" s="2717"/>
      <c r="G68" s="2718"/>
      <c r="H68" s="2715"/>
      <c r="I68" s="3730"/>
      <c r="J68" s="886"/>
      <c r="K68" s="886"/>
      <c r="T68"/>
    </row>
    <row r="69" spans="1:57" s="880" customFormat="1" ht="18">
      <c r="A69" s="879"/>
      <c r="B69" s="2720" t="s">
        <v>1237</v>
      </c>
      <c r="C69" s="2714"/>
      <c r="D69" s="2715"/>
      <c r="E69" s="2716"/>
      <c r="F69" s="2717"/>
      <c r="G69" s="2718"/>
      <c r="H69" s="2715"/>
      <c r="I69" s="3730"/>
      <c r="J69" s="886"/>
      <c r="K69" s="886"/>
      <c r="N69" s="881"/>
      <c r="T69"/>
      <c r="AA69" s="1104"/>
      <c r="AB69" s="1104" t="s">
        <v>4538</v>
      </c>
      <c r="AC69" s="1870">
        <f>IF('Data Entry - SOF'!C58-'Calc Data-15K'!AB30&lt;=0,0,'Data Entry - SOF'!C58-'Calc Data-15K'!AB30)</f>
        <v>0</v>
      </c>
      <c r="AF69" s="1104" t="s">
        <v>4538</v>
      </c>
      <c r="AG69" s="1870">
        <f>IF('Data Entry - SOF'!E58-'Calc Data-15K'!AF30&lt;=0,0,'Data Entry - SOF'!E58-'Calc Data-15K'!AF30)</f>
        <v>0</v>
      </c>
      <c r="AJ69" s="1104" t="s">
        <v>4538</v>
      </c>
      <c r="AK69" s="1870">
        <f>IF('Data Entry - SOF'!G58-'Calc Data-15K'!AJ30&lt;=0,0,'Data Entry - SOF'!G58-'Calc Data-15K'!AJ30)</f>
        <v>0</v>
      </c>
      <c r="AL69" s="1870"/>
      <c r="AN69" s="1104" t="s">
        <v>4538</v>
      </c>
      <c r="AO69" s="1870">
        <f>IF('Data Entry - SOF'!I58-'Calc Data-15K'!AN30&lt;=0,0,'Data Entry - SOF'!I58-'Calc Data-15K'!AN30)</f>
        <v>0</v>
      </c>
      <c r="AR69" s="1104" t="s">
        <v>4538</v>
      </c>
      <c r="AS69" s="1870">
        <f>IF('Data Entry - SOF'!K58-'Calc Data-15K'!AR30&lt;=0,0,'Data Entry - SOF'!K58-'Calc Data-15K'!AR30)</f>
        <v>0</v>
      </c>
      <c r="AV69" s="2605"/>
      <c r="AW69" s="2606" t="s">
        <v>4538</v>
      </c>
      <c r="AX69" s="2607">
        <f>IF('Data Entry - SOF'!M58-'Calc Data-SB1'!AW30&lt;=0,0,'Data Entry - SOF'!M58-'Calc Data-SB1'!AW30)</f>
        <v>0</v>
      </c>
      <c r="AY69" s="2605"/>
      <c r="AZ69" s="2605"/>
      <c r="BA69" s="3782"/>
      <c r="BB69" s="3783" t="s">
        <v>4538</v>
      </c>
      <c r="BC69" s="3784">
        <f>IF('Data Entry - SOF'!O58-'Calc Data-SB1'!BB30&lt;=0,0,'Data Entry - SOF'!O58-'Calc Data-SB1'!BB30)</f>
        <v>0</v>
      </c>
      <c r="BD69" s="3782"/>
      <c r="BE69" s="3782"/>
    </row>
    <row r="70" spans="1:57">
      <c r="A70" s="126"/>
      <c r="B70" s="2707">
        <f>'Data Entry - SOF'!C123</f>
        <v>0</v>
      </c>
      <c r="C70" s="2708">
        <f>'SOF1617-SB1'!F42</f>
        <v>0</v>
      </c>
      <c r="D70" s="2709">
        <f>'SOF1718-SB1'!F42</f>
        <v>0</v>
      </c>
      <c r="E70" s="2710">
        <f>'SOF1819-SB1'!F42</f>
        <v>0</v>
      </c>
      <c r="F70" s="2711">
        <f>'SOF1920-SB1'!F42</f>
        <v>0</v>
      </c>
      <c r="G70" s="2712">
        <f>'SOF2021-SB1'!F42</f>
        <v>0</v>
      </c>
      <c r="H70" s="2709">
        <f>'SOF2122-SB1'!F42</f>
        <v>0</v>
      </c>
      <c r="I70" s="3729">
        <f>'SOF2223-SB1'!F42</f>
        <v>0</v>
      </c>
      <c r="J70" s="886"/>
      <c r="K70" s="886"/>
      <c r="T70"/>
      <c r="AB70" s="49" t="s">
        <v>4539</v>
      </c>
      <c r="AC70">
        <f>IF(AC69&gt;0.06,0.06,AC69)</f>
        <v>0</v>
      </c>
      <c r="AF70" s="49" t="s">
        <v>4539</v>
      </c>
      <c r="AG70">
        <f>IF(AG69&gt;0.06,0.06,AG69)</f>
        <v>0</v>
      </c>
      <c r="AJ70" s="49" t="s">
        <v>4539</v>
      </c>
      <c r="AK70">
        <f>IF(AK69&gt;0.06,0.06,AK69)</f>
        <v>0</v>
      </c>
      <c r="AN70" s="49" t="s">
        <v>4539</v>
      </c>
      <c r="AO70">
        <f>IF(AO69&gt;0.06,0.06,AO69)</f>
        <v>0</v>
      </c>
      <c r="AR70" s="49" t="s">
        <v>4539</v>
      </c>
      <c r="AS70">
        <f>IF(AS69&gt;0.06,0.06,AS69)</f>
        <v>0</v>
      </c>
      <c r="AW70" s="2580" t="s">
        <v>4539</v>
      </c>
      <c r="AX70" s="2574">
        <f>IF(AX69&gt;0.06,0.06,AX69)</f>
        <v>0</v>
      </c>
      <c r="BB70" s="3764" t="s">
        <v>4539</v>
      </c>
      <c r="BC70" s="3760">
        <f>IF(BC69&gt;0.06,0.06,BC69)</f>
        <v>0</v>
      </c>
    </row>
    <row r="71" spans="1:57">
      <c r="A71" s="126"/>
      <c r="B71" s="2721"/>
      <c r="C71" s="2722">
        <f>C70-B70</f>
        <v>0</v>
      </c>
      <c r="D71" s="2723">
        <f>D70-B70</f>
        <v>0</v>
      </c>
      <c r="E71" s="2724">
        <f>E70-B70</f>
        <v>0</v>
      </c>
      <c r="F71" s="2725">
        <f>F70-B70</f>
        <v>0</v>
      </c>
      <c r="G71" s="2726">
        <f>G70-B70</f>
        <v>0</v>
      </c>
      <c r="H71" s="2723">
        <f>H70-C70</f>
        <v>0</v>
      </c>
      <c r="I71" s="3731">
        <f>I70-D70</f>
        <v>0</v>
      </c>
      <c r="J71" s="886"/>
      <c r="K71" s="886"/>
      <c r="T71"/>
      <c r="AB71" s="49" t="s">
        <v>4540</v>
      </c>
      <c r="AC71" s="121" t="e">
        <f>AC70*100*AB35</f>
        <v>#DIV/0!</v>
      </c>
      <c r="AF71" s="49" t="s">
        <v>4540</v>
      </c>
      <c r="AG71" s="121" t="e">
        <f>AG70*100*AF35</f>
        <v>#DIV/0!</v>
      </c>
      <c r="AJ71" s="49" t="s">
        <v>4540</v>
      </c>
      <c r="AK71" s="121" t="e">
        <f>AK70*100*AJ35</f>
        <v>#DIV/0!</v>
      </c>
      <c r="AL71" s="121"/>
      <c r="AN71" s="49" t="s">
        <v>4540</v>
      </c>
      <c r="AO71" s="121" t="e">
        <f>AO70*100*AN35</f>
        <v>#DIV/0!</v>
      </c>
      <c r="AR71" s="49" t="s">
        <v>4540</v>
      </c>
      <c r="AS71" s="121" t="e">
        <f>AS70*100*AR35</f>
        <v>#DIV/0!</v>
      </c>
      <c r="AW71" s="2580" t="s">
        <v>4540</v>
      </c>
      <c r="AX71" s="2608" t="e">
        <f>AX70*100*AW35</f>
        <v>#DIV/0!</v>
      </c>
      <c r="BB71" s="3764" t="s">
        <v>4540</v>
      </c>
      <c r="BC71" s="3775" t="e">
        <f>BC70*100*BB35</f>
        <v>#DIV/0!</v>
      </c>
    </row>
    <row r="72" spans="1:57">
      <c r="A72" s="126"/>
      <c r="B72" s="1200" t="s">
        <v>6882</v>
      </c>
      <c r="C72" s="2727" t="s">
        <v>6877</v>
      </c>
      <c r="D72" s="2728" t="s">
        <v>6878</v>
      </c>
      <c r="E72" s="2729" t="s">
        <v>6879</v>
      </c>
      <c r="F72" s="2730" t="s">
        <v>6880</v>
      </c>
      <c r="G72" s="2731" t="s">
        <v>6881</v>
      </c>
      <c r="H72" s="2728" t="s">
        <v>7709</v>
      </c>
      <c r="I72" s="3732" t="str">
        <f>I63</f>
        <v>2022-23</v>
      </c>
      <c r="J72" s="886"/>
      <c r="K72" s="886"/>
      <c r="T72"/>
      <c r="AB72" s="194"/>
      <c r="AF72" s="194"/>
      <c r="AG72" s="2299"/>
      <c r="AJ72" s="194"/>
      <c r="AK72" s="2299"/>
      <c r="AN72" s="194"/>
      <c r="AO72" s="2299"/>
      <c r="AR72" s="194"/>
      <c r="AS72" s="2299"/>
      <c r="AW72" s="2577"/>
      <c r="AX72" s="2576"/>
      <c r="BB72" s="3762"/>
      <c r="BC72" s="3761"/>
    </row>
    <row r="73" spans="1:57">
      <c r="A73" s="126"/>
      <c r="B73" t="s">
        <v>6895</v>
      </c>
      <c r="C73" s="2678">
        <f>MIN('Data Entry - SOF'!C133,'Data Entry - SOF'!C58)</f>
        <v>0</v>
      </c>
      <c r="D73" s="2570">
        <f>MIN('Data Entry - SOF'!C133,'Data Entry - SOF'!E58)</f>
        <v>0</v>
      </c>
      <c r="E73" s="2683">
        <f>MIN('Data Entry - SOF'!C133,'Data Entry - SOF'!G58)</f>
        <v>0</v>
      </c>
      <c r="F73" s="2689">
        <f>MIN('Data Entry - SOF'!C133,'Data Entry - SOF'!I58)</f>
        <v>0</v>
      </c>
      <c r="G73" s="2696">
        <f>MIN('Data Entry - SOF'!C133,'Data Entry - SOF'!K58)</f>
        <v>0</v>
      </c>
      <c r="H73" s="2570">
        <f>MIN('Data Entry - SOF'!C133,'Data Entry - SOF'!M58)</f>
        <v>0</v>
      </c>
      <c r="I73" s="3733">
        <f>MIN('Data Entry - SOF'!C133,'Data Entry - SOF'!O58)</f>
        <v>0</v>
      </c>
      <c r="J73" s="886"/>
      <c r="K73" s="886"/>
      <c r="T73"/>
      <c r="AA73" s="98" t="s">
        <v>4725</v>
      </c>
      <c r="AB73" s="194" t="s">
        <v>3613</v>
      </c>
      <c r="AE73" s="98" t="s">
        <v>4725</v>
      </c>
      <c r="AF73" s="194" t="s">
        <v>3673</v>
      </c>
      <c r="AG73" s="2299"/>
      <c r="AI73" s="98" t="s">
        <v>4725</v>
      </c>
      <c r="AJ73" s="194" t="s">
        <v>3830</v>
      </c>
      <c r="AK73" s="2299"/>
      <c r="AL73" s="2217"/>
      <c r="AM73" s="98" t="s">
        <v>4725</v>
      </c>
      <c r="AN73" s="194" t="s">
        <v>3903</v>
      </c>
      <c r="AO73" s="2299"/>
      <c r="AQ73" s="98" t="s">
        <v>4725</v>
      </c>
      <c r="AR73" s="194" t="s">
        <v>4592</v>
      </c>
      <c r="AS73" s="2299"/>
      <c r="AV73" s="2609" t="s">
        <v>4725</v>
      </c>
      <c r="AW73" s="2577" t="s">
        <v>7097</v>
      </c>
      <c r="AX73" s="2576"/>
      <c r="BA73" s="3764" t="s">
        <v>4725</v>
      </c>
      <c r="BB73" s="3762" t="s">
        <v>7733</v>
      </c>
      <c r="BC73" s="3761"/>
    </row>
    <row r="74" spans="1:57">
      <c r="A74" s="126"/>
      <c r="B74" t="s">
        <v>6899</v>
      </c>
      <c r="C74" s="1392" t="e">
        <f>'HH1617-Calcs'!D11</f>
        <v>#DIV/0!</v>
      </c>
      <c r="D74" s="1459" t="e">
        <f>'HH1718-Calcs'!D11</f>
        <v>#DIV/0!</v>
      </c>
      <c r="E74" s="1561" t="e">
        <f>'HH1819-Calcs'!D11</f>
        <v>#DIV/0!</v>
      </c>
      <c r="F74" s="1642" t="e">
        <f>'HH1920-Calcs'!D11</f>
        <v>#DIV/0!</v>
      </c>
      <c r="G74" s="2058" t="e">
        <f>'HH2021-Calcs'!D11</f>
        <v>#DIV/0!</v>
      </c>
      <c r="H74" s="1459" t="e">
        <f>'HH2122-Calcs'!D11</f>
        <v>#DIV/0!</v>
      </c>
      <c r="I74" s="3723" t="e">
        <f>'HH2223-Calcs'!D11</f>
        <v>#DIV/0!</v>
      </c>
      <c r="J74" s="886"/>
      <c r="K74" s="886"/>
      <c r="T74"/>
      <c r="AB74" s="2341">
        <f>IF('Data Entry - SOF'!C113&gt;=1.5,Assumptions!G88,IF(AB79&gt;=AB80,Assumptions!G88,Assumptions!G88*(('Data Entry - SOF'!C108+(AB79/100))/1)))</f>
        <v>0</v>
      </c>
      <c r="AF74" s="2341">
        <f>IF('Data Entry - SOF'!C113&gt;=1.5,Assumptions!G99,IF(AF79&gt;=AF80,Assumptions!G99,Assumptions!G99*(('Data Entry - SOF'!E108+(AF79/100))/1)))</f>
        <v>0</v>
      </c>
      <c r="AG74" s="2299"/>
      <c r="AJ74" s="2216">
        <f>IF('Data Entry - SOF'!C113&gt;=1.5,Assumptions!G108,IF(AJ79&gt;=AJ80,Assumptions!G108,Assumptions!G108*(('Data Entry - SOF'!G108+(AJ79/100))/1)))</f>
        <v>0</v>
      </c>
      <c r="AK74" s="2299"/>
      <c r="AL74" s="2302"/>
      <c r="AN74" s="2341">
        <f>IF('Data Entry - SOF'!C113&gt;=1.5,Assumptions!G117,IF(AN79&gt;=AN80,Assumptions!G117,Assumptions!G117*(('Data Entry - SOF'!I108+(AN79/100))/1)))</f>
        <v>0</v>
      </c>
      <c r="AO74" s="2299"/>
      <c r="AR74" s="2069">
        <f>IF('Data Entry - SOF'!C113&gt;=1.5,Assumptions!G126,IF(AR79&gt;=AR80,Assumptions!G126,Assumptions!G126*(('Data Entry - SOF'!K108+(AR79/100))/1)))</f>
        <v>0</v>
      </c>
      <c r="AS74" s="2299"/>
      <c r="AW74" s="2578">
        <f>IF('Data Entry - SOF'!C113&gt;=1.5,Assumptions!G135,IF(AW79&gt;=AW80,Assumptions!G135,Assumptions!G135*(('Data Entry - SOF'!M108+(AW79/100))/1)))</f>
        <v>0</v>
      </c>
      <c r="AX74" s="2602"/>
      <c r="AY74" s="2610"/>
      <c r="BB74" s="3763">
        <f>IF('Data Entry - SOF'!C113&gt;=1.5,Assumptions!G144,IF(BB79&gt;=BB80,Assumptions!G144,Assumptions!G144*(('Data Entry - SOF'!O108+(BB79/100))/1)))</f>
        <v>0</v>
      </c>
      <c r="BC74" s="3761"/>
    </row>
    <row r="75" spans="1:57">
      <c r="A75" s="126"/>
      <c r="B75" t="s">
        <v>6892</v>
      </c>
      <c r="C75" s="2679" t="e">
        <f t="shared" ref="C75:H75" si="19">C74/(C73*100)</f>
        <v>#DIV/0!</v>
      </c>
      <c r="D75" s="2571" t="e">
        <f t="shared" si="19"/>
        <v>#DIV/0!</v>
      </c>
      <c r="E75" s="2684" t="e">
        <f t="shared" si="19"/>
        <v>#DIV/0!</v>
      </c>
      <c r="F75" s="2690" t="e">
        <f t="shared" si="19"/>
        <v>#DIV/0!</v>
      </c>
      <c r="G75" s="2697" t="e">
        <f t="shared" si="19"/>
        <v>#DIV/0!</v>
      </c>
      <c r="H75" s="2571" t="e">
        <f t="shared" si="19"/>
        <v>#DIV/0!</v>
      </c>
      <c r="I75" s="3734" t="e">
        <f t="shared" ref="I75" si="20">I74/(I73*100)</f>
        <v>#DIV/0!</v>
      </c>
      <c r="J75" s="886"/>
      <c r="K75" s="886"/>
      <c r="T75"/>
      <c r="AA75" s="49" t="s">
        <v>4509</v>
      </c>
      <c r="AB75" s="2388">
        <f>ROUND(AB74*(((C59-1)*Weights!H44)+1),0)</f>
        <v>0</v>
      </c>
      <c r="AE75" s="49" t="s">
        <v>4509</v>
      </c>
      <c r="AF75" s="2413">
        <f>ROUND(AF74*(((D59-1)*Weights!I44)+1),0)</f>
        <v>0</v>
      </c>
      <c r="AG75" s="2299"/>
      <c r="AI75" s="49" t="s">
        <v>4509</v>
      </c>
      <c r="AJ75" s="2353">
        <f>ROUND(AJ74*(((E59-1)*Weights!J44)+1),0)</f>
        <v>0</v>
      </c>
      <c r="AK75" s="2299"/>
      <c r="AL75" s="1930"/>
      <c r="AM75" s="49" t="s">
        <v>4509</v>
      </c>
      <c r="AN75" s="2342">
        <f>ROUND(AN74*(((F59-1)*Weights!K44)+1),0)</f>
        <v>0</v>
      </c>
      <c r="AO75" s="2299"/>
      <c r="AQ75" s="49" t="s">
        <v>4509</v>
      </c>
      <c r="AR75" s="2314">
        <f>ROUND(AR74*(((G59-1)*Weights!L44)+1),0)</f>
        <v>0</v>
      </c>
      <c r="AS75" s="2299"/>
      <c r="AV75" s="2580" t="s">
        <v>4509</v>
      </c>
      <c r="AW75" s="2611">
        <f>ROUND(AW74*(((H59-1)*Weights!M44)+1),0)</f>
        <v>0</v>
      </c>
      <c r="AX75" s="2602"/>
      <c r="AY75" s="2610"/>
      <c r="BA75" s="3764" t="s">
        <v>4509</v>
      </c>
      <c r="BB75" s="3785">
        <f>ROUND(BB74*(((I59-1)*Weights!N44)+1),0)</f>
        <v>0</v>
      </c>
      <c r="BC75" s="3761"/>
    </row>
    <row r="76" spans="1:57">
      <c r="A76" s="126"/>
      <c r="B76" t="s">
        <v>709</v>
      </c>
      <c r="C76" s="2679" t="e">
        <f>C75*IF(C73&lt;'Data Entry - SOF'!C108,(C73*100),('Data Entry - SOF'!C108*100))</f>
        <v>#DIV/0!</v>
      </c>
      <c r="D76" s="2571" t="e">
        <f>D75*IF(D73&lt;'Data Entry - SOF'!E108,(D73*100),('Data Entry - SOF'!E108*100))</f>
        <v>#DIV/0!</v>
      </c>
      <c r="E76" s="2684" t="e">
        <f>E75*IF(E73&lt;'Data Entry - SOF'!G108,(E73*100),('Data Entry - SOF'!G108*100))</f>
        <v>#DIV/0!</v>
      </c>
      <c r="F76" s="2690" t="e">
        <f>F75*IF(F73&lt;'Data Entry - SOF'!I108,(F73*100),('Data Entry - SOF'!I108*100))</f>
        <v>#DIV/0!</v>
      </c>
      <c r="G76" s="2697" t="e">
        <f>G75*IF(G73&lt;'Data Entry - SOF'!K108,(G73*100),('Data Entry - SOF'!K108*100))</f>
        <v>#DIV/0!</v>
      </c>
      <c r="H76" s="2571" t="e">
        <f>H75*IF(H73&lt;'Data Entry - SOF'!M108,(H73*100),('Data Entry - SOF'!M108*100))</f>
        <v>#DIV/0!</v>
      </c>
      <c r="I76" s="3734" t="e">
        <f>I75*IF(I73&lt;'Data Entry - SOF'!O108,(I73*100),('Data Entry - SOF'!O108*100))</f>
        <v>#DIV/0!</v>
      </c>
      <c r="J76" s="886"/>
      <c r="K76" s="886"/>
      <c r="T76"/>
      <c r="AA76" s="49" t="s">
        <v>3261</v>
      </c>
      <c r="AB76" s="2388">
        <f>ROUND(IF(C10&gt;1600,AB75,(1+(1600-IF(C10&gt;C11,C10,C11))*C18)*AB75),0)</f>
        <v>0</v>
      </c>
      <c r="AE76" s="49" t="s">
        <v>3261</v>
      </c>
      <c r="AF76" s="2413">
        <f>ROUND(IF(D10&gt;1600,AF75,(1+(1600-IF(D10&gt;D11,D10,D11))*D18)*AF75),0)</f>
        <v>0</v>
      </c>
      <c r="AG76" s="2299"/>
      <c r="AI76" s="49" t="s">
        <v>3261</v>
      </c>
      <c r="AJ76" s="2353">
        <f>ROUND(IF(E10&gt;1600,AJ75,(1+(1600-IF(E10&gt;E11,E10,E11))*E18)*AJ75),0)</f>
        <v>0</v>
      </c>
      <c r="AK76" s="2299"/>
      <c r="AL76" s="1930"/>
      <c r="AM76" s="49" t="s">
        <v>3261</v>
      </c>
      <c r="AN76" s="2342">
        <f>ROUND(IF(F10&gt;1600,AN75,(1+(1600-IF(F10&gt;F11,F10,F11))*F18)*AN75),0)</f>
        <v>0</v>
      </c>
      <c r="AO76" s="2299"/>
      <c r="AQ76" s="49" t="s">
        <v>3261</v>
      </c>
      <c r="AR76" s="2314">
        <f>ROUND(IF(G10&gt;1600,AR75,(1+(1600-IF(G10&gt;G11,G10,G11))*G18)*AR75),0)</f>
        <v>0</v>
      </c>
      <c r="AS76" s="2299"/>
      <c r="AV76" s="2580" t="s">
        <v>3261</v>
      </c>
      <c r="AW76" s="2611">
        <f>ROUND(IF(H10&gt;1600,AW75,(1+(1600-IF(H10&gt;H11,H10,H11))*H18)*AW75),0)</f>
        <v>0</v>
      </c>
      <c r="AX76" s="2602"/>
      <c r="AY76" s="2610"/>
      <c r="BA76" s="3764" t="s">
        <v>3261</v>
      </c>
      <c r="BB76" s="3785">
        <f>ROUND(IF(I10&gt;1600,BB75,(1+(1600-IF(I10&gt;I11,I10,I11))*I18)*BB75),0)</f>
        <v>0</v>
      </c>
      <c r="BC76" s="3761"/>
    </row>
    <row r="77" spans="1:57">
      <c r="A77" s="126"/>
      <c r="B77" s="2732" t="s">
        <v>6873</v>
      </c>
      <c r="C77" s="2680" t="e">
        <f>('HH1617-Calcs'!D11-IFA!K79-'Data Entry - SOF'!C61)/(C73*100)</f>
        <v>#DIV/0!</v>
      </c>
      <c r="D77" s="2572" t="e">
        <f>('HH1718-Calcs'!D11-IFA!O79-'Data Entry - SOF'!E61)/(D73*100)</f>
        <v>#DIV/0!</v>
      </c>
      <c r="E77" s="2685" t="e">
        <f>('HH1819-Calcs'!D11-IFA!S79-'Data Entry - SOF'!G61)/(E73*100)</f>
        <v>#DIV/0!</v>
      </c>
      <c r="F77" s="2691" t="e">
        <f>('HH1920-Calcs'!D11-IFA!W79-'Data Entry - SOF'!I61)/(F73*100)</f>
        <v>#DIV/0!</v>
      </c>
      <c r="G77" s="2698" t="e">
        <f>('HH2021-Calcs'!D11-IFA!AA79-'Data Entry - SOF'!K61)/(G73*100)</f>
        <v>#DIV/0!</v>
      </c>
      <c r="H77" s="2572" t="e">
        <f>('HH2122-Calcs'!D11-IFA!AE79-'Data Entry - SOF'!M61)/(H73*100)</f>
        <v>#DIV/0!</v>
      </c>
      <c r="I77" s="3735" t="e">
        <f>('HH2223-Calcs'!D11-IFA!AI79-'Data Entry - SOF'!O61)/(I73*100)</f>
        <v>#DIV/0!</v>
      </c>
      <c r="J77" s="886"/>
      <c r="K77" s="886"/>
      <c r="T77"/>
      <c r="AA77" s="49" t="s">
        <v>3262</v>
      </c>
      <c r="AB77" s="2388">
        <f>ROUND(IF(OR(C10&gt;4999.999,'Data Entry - SOF'!C109&lt;12),0,(1+((5000-C10)*Weights!H42))*AB75),0)</f>
        <v>0</v>
      </c>
      <c r="AE77" s="49" t="s">
        <v>3262</v>
      </c>
      <c r="AF77" s="2413">
        <f>ROUND(IF(OR(D10&gt;4999.999,'Data Entry - SOF'!E109&lt;12),0,(1+((5000-D10)*Weights!I42))*AF75),0)</f>
        <v>0</v>
      </c>
      <c r="AG77" s="2299"/>
      <c r="AI77" s="49" t="s">
        <v>3262</v>
      </c>
      <c r="AJ77" s="2353">
        <f>ROUND(IF(OR(E10&gt;4999.999,'Data Entry - SOF'!G109&lt;12),0,(1+((5000-E10)*Weights!J42))*AJ75),0)</f>
        <v>0</v>
      </c>
      <c r="AK77" s="2299"/>
      <c r="AL77" s="1930"/>
      <c r="AM77" s="49" t="s">
        <v>3262</v>
      </c>
      <c r="AN77" s="2342">
        <f>ROUND(IF(OR(F10&gt;4999.999,'Data Entry - SOF'!I109&lt;12),0,(1+((5000-F10)*Weights!K42))*AN75),0)</f>
        <v>0</v>
      </c>
      <c r="AO77" s="2299"/>
      <c r="AQ77" s="49" t="s">
        <v>3262</v>
      </c>
      <c r="AR77" s="2314">
        <f>ROUND(IF(OR(G10&gt;4999.999,'Data Entry - SOF'!K109&lt;12),0,(1+((5000-G10)*Weights!L42))*AR75),0)</f>
        <v>0</v>
      </c>
      <c r="AS77" s="2299"/>
      <c r="AV77" s="2580" t="s">
        <v>3262</v>
      </c>
      <c r="AW77" s="2611">
        <f>ROUND(IF(OR(H10&gt;4999.999,'Data Entry - SOF'!M109&lt;12),0,(1+((5000-H10)*Weights!M42))*AW75),0)</f>
        <v>0</v>
      </c>
      <c r="AX77" s="2602"/>
      <c r="AY77" s="2610"/>
      <c r="BA77" s="3764" t="s">
        <v>3262</v>
      </c>
      <c r="BB77" s="3785">
        <f>ROUND(IF(OR(I10&gt;4999.999,'Data Entry - SOF'!O109&lt;12),0,(1+((5000-I10)*Weights!N42))*BB75),0)</f>
        <v>0</v>
      </c>
      <c r="BC77" s="3761"/>
    </row>
    <row r="78" spans="1:57">
      <c r="A78" s="126"/>
      <c r="B78" s="2732" t="s">
        <v>6874</v>
      </c>
      <c r="C78" s="2680" t="e">
        <f>C77*IF(C73&lt;'Data Entry - SOF'!C108,(C73*100),('Data Entry - SOF'!C108*100))</f>
        <v>#DIV/0!</v>
      </c>
      <c r="D78" s="2572" t="e">
        <f>D77*IF(D73&lt;'Data Entry - SOF'!E108,(D73*100),('Data Entry - SOF'!E108*100))</f>
        <v>#DIV/0!</v>
      </c>
      <c r="E78" s="2685" t="e">
        <f>E77*IF(E73&lt;'Data Entry - SOF'!G108,(E73*100),('Data Entry - SOF'!G108*100))</f>
        <v>#DIV/0!</v>
      </c>
      <c r="F78" s="2691" t="e">
        <f>F77*IF(F73&lt;'Data Entry - SOF'!I108,(F73*100),('Data Entry - SOF'!I108*100))</f>
        <v>#DIV/0!</v>
      </c>
      <c r="G78" s="2698" t="e">
        <f>G77*IF(G73&lt;'Data Entry - SOF'!K108,(G73*100),('Data Entry - SOF'!K108*100))</f>
        <v>#DIV/0!</v>
      </c>
      <c r="H78" s="2572" t="e">
        <f>H77*IF(H73&lt;'Data Entry - SOF'!M108,(H73*100),('Data Entry - SOF'!M108*100))</f>
        <v>#DIV/0!</v>
      </c>
      <c r="I78" s="3735" t="e">
        <f>I77*IF(I73&lt;'Data Entry - SOF'!O108,(I73*100),('Data Entry - SOF'!O108*100))</f>
        <v>#DIV/0!</v>
      </c>
      <c r="J78" s="886"/>
      <c r="K78" s="886"/>
      <c r="T78"/>
      <c r="AA78" s="49" t="s">
        <v>4484</v>
      </c>
      <c r="AB78" s="2388">
        <f>IF(AND(AB77&gt;=AB76,AB77&gt;=AB75),AB77,IF(AND(AB76&gt;=AB75,AB76&gt;=AB77),AB76,AB75))</f>
        <v>0</v>
      </c>
      <c r="AE78" s="49" t="s">
        <v>4484</v>
      </c>
      <c r="AF78" s="2413">
        <f>IF(AND(AF77&gt;=AF76,AF77&gt;=AF75),AF77,IF(AND(AF76&gt;=AF75,AF76&gt;=AF77),AF76,AF75))</f>
        <v>0</v>
      </c>
      <c r="AG78" s="2299"/>
      <c r="AI78" s="49" t="s">
        <v>4484</v>
      </c>
      <c r="AJ78" s="2353">
        <f>IF(AND(AJ77&gt;=AJ76,AJ77&gt;=AJ75),AJ77,IF(AND(AJ76&gt;=AJ75,AJ76&gt;=AJ77),AJ76,AJ75))</f>
        <v>0</v>
      </c>
      <c r="AK78" s="2299"/>
      <c r="AL78" s="1930"/>
      <c r="AM78" s="49" t="s">
        <v>4484</v>
      </c>
      <c r="AN78" s="2342">
        <f>IF(AND(AN77&gt;=AN76,AN77&gt;=AN75),AN77,IF(AND(AN76&gt;=AN75,AN76&gt;=AN77),AN76,AN75))</f>
        <v>0</v>
      </c>
      <c r="AO78" s="2299"/>
      <c r="AQ78" s="49" t="s">
        <v>4484</v>
      </c>
      <c r="AR78" s="2314">
        <f>IF(AND(AR77&gt;=AR76,AR77&gt;=AR75),AR77,IF(AND(AR76&gt;=AR75,AR76&gt;=AR77),AR76,AR75))</f>
        <v>0</v>
      </c>
      <c r="AS78" s="2299"/>
      <c r="AV78" s="2580" t="s">
        <v>4484</v>
      </c>
      <c r="AW78" s="2611">
        <f>IF(AND(AW77&gt;=AW76,AW77&gt;=AW75),AW77,IF(AND(AW76&gt;=AW75,AW76&gt;=AW77),AW76,AW75))</f>
        <v>0</v>
      </c>
      <c r="AX78" s="2602"/>
      <c r="AY78" s="2610"/>
      <c r="BA78" s="3764" t="s">
        <v>4484</v>
      </c>
      <c r="BB78" s="3785">
        <f>IF(AND(BB77&gt;=BB76,BB77&gt;=BB75),BB77,IF(AND(BB76&gt;=BB75,BB76&gt;=BB77),BB76,BB75))</f>
        <v>0</v>
      </c>
      <c r="BC78" s="3761"/>
    </row>
    <row r="79" spans="1:57">
      <c r="A79" s="126"/>
      <c r="B79" t="s">
        <v>2030</v>
      </c>
      <c r="C79" s="1407">
        <f>IF(C73&lt;='Data Entry - SOF'!C108,0,IF(C73&gt;'Data Entry - SOF'!C108+0.06,0.06*100,(C73-'Data Entry - SOF'!C108)*100))</f>
        <v>0</v>
      </c>
      <c r="D79" s="1471">
        <f>IF(D73&lt;='Data Entry - SOF'!E108,0,IF(D73&gt;'Data Entry - SOF'!E108+0.06,0.06*100,(D73-'Data Entry - SOF'!E108)*100))</f>
        <v>0</v>
      </c>
      <c r="E79" s="1573">
        <f>IF(E73&lt;='Data Entry - SOF'!G108,0,IF(E73&gt;'Data Entry - SOF'!G108+0.06,0.06*100,(E73-'Data Entry - SOF'!G108)*100))</f>
        <v>0</v>
      </c>
      <c r="F79" s="1652">
        <f>IF(F73&lt;='Data Entry - SOF'!I108,0,IF(F73&gt;'Data Entry - SOF'!I108+0.06,0.06*100,(F73-'Data Entry - SOF'!I108)*100))</f>
        <v>0</v>
      </c>
      <c r="G79" s="2080">
        <f>IF(G73&lt;='Data Entry - SOF'!K108,0,IF(G73&gt;'Data Entry - SOF'!K108+0.06,0.06*100,(G73-'Data Entry - SOF'!K108)*100))</f>
        <v>0</v>
      </c>
      <c r="H79" s="1471">
        <f>IF(H73&lt;='Data Entry - SOF'!M108,0,IF(H73&gt;'Data Entry - SOF'!M108+0.06,0.06*100,(H73-'Data Entry - SOF'!M108)*100))</f>
        <v>0</v>
      </c>
      <c r="I79" s="3736">
        <f>IF(I73&lt;='Data Entry - SOF'!O108,0,IF(I73&gt;'Data Entry - SOF'!O108+0.06,0.06*100,(I73-'Data Entry - SOF'!O108)*100))</f>
        <v>0</v>
      </c>
      <c r="J79" s="886"/>
      <c r="K79" s="886"/>
      <c r="O79" s="177"/>
      <c r="P79" s="177"/>
      <c r="Q79" s="177"/>
      <c r="T79"/>
      <c r="AA79" s="49" t="s">
        <v>4460</v>
      </c>
      <c r="AB79" s="1841">
        <f>IF(AB81-'Data Entry - SOF'!C108&gt;0.06,(AB81-('Data Entry - SOF'!C108+0.06))*100,0)</f>
        <v>0</v>
      </c>
      <c r="AE79" s="49" t="s">
        <v>4460</v>
      </c>
      <c r="AF79" s="1841">
        <f>IF(AF81-'Data Entry - SOF'!E108&gt;0.06,(AF81-('Data Entry - SOF'!E108+0.06))*100,0)</f>
        <v>0</v>
      </c>
      <c r="AG79" s="2299"/>
      <c r="AI79" s="49" t="s">
        <v>4460</v>
      </c>
      <c r="AJ79" s="1841">
        <f>IF(AJ81-'Data Entry - SOF'!G108&gt;0.06,(AJ81-('Data Entry - SOF'!G108+0.06))*100,0)</f>
        <v>0</v>
      </c>
      <c r="AK79" s="2299"/>
      <c r="AL79" s="2303"/>
      <c r="AM79" s="49" t="s">
        <v>4460</v>
      </c>
      <c r="AN79" s="1841">
        <f>IF(AN81-'Data Entry - SOF'!I108&gt;0.06,(AN81-('Data Entry - SOF'!I108+0.06))*100,0)</f>
        <v>0</v>
      </c>
      <c r="AO79" s="2299"/>
      <c r="AQ79" s="49" t="s">
        <v>4460</v>
      </c>
      <c r="AR79" s="1841">
        <f>IF(AR81-'Data Entry - SOF'!K108&gt;0.06,(AR81-('Data Entry - SOF'!K108+0.06))*100,0)</f>
        <v>0</v>
      </c>
      <c r="AS79" s="2299"/>
      <c r="AV79" s="2580" t="s">
        <v>4460</v>
      </c>
      <c r="AW79" s="2582">
        <f>IF(AW81-'Data Entry - SOF'!M108&gt;0.06,(AW81-('Data Entry - SOF'!M108+0.06))*100,0)</f>
        <v>0</v>
      </c>
      <c r="AX79" s="2602"/>
      <c r="AY79" s="2610"/>
      <c r="BA79" s="3764" t="s">
        <v>4460</v>
      </c>
      <c r="BB79" s="3766">
        <f>IF(BB81-'Data Entry - SOF'!O108&gt;0.06,(BB81-('Data Entry - SOF'!O108+0.06))*100,0)</f>
        <v>0</v>
      </c>
      <c r="BC79" s="3761"/>
    </row>
    <row r="80" spans="1:57">
      <c r="A80" s="126"/>
      <c r="B80" t="s">
        <v>2031</v>
      </c>
      <c r="C80" s="1392" t="e">
        <f t="shared" ref="C80:H80" si="21">C79*C75</f>
        <v>#DIV/0!</v>
      </c>
      <c r="D80" s="1459" t="e">
        <f t="shared" si="21"/>
        <v>#DIV/0!</v>
      </c>
      <c r="E80" s="1561" t="e">
        <f t="shared" si="21"/>
        <v>#DIV/0!</v>
      </c>
      <c r="F80" s="1642" t="e">
        <f t="shared" si="21"/>
        <v>#DIV/0!</v>
      </c>
      <c r="G80" s="2058" t="e">
        <f t="shared" si="21"/>
        <v>#DIV/0!</v>
      </c>
      <c r="H80" s="1459" t="e">
        <f t="shared" si="21"/>
        <v>#DIV/0!</v>
      </c>
      <c r="I80" s="3723" t="e">
        <f t="shared" ref="I80" si="22">I79*I75</f>
        <v>#DIV/0!</v>
      </c>
      <c r="J80" s="886"/>
      <c r="K80" s="886"/>
      <c r="O80" s="177"/>
      <c r="P80" s="177"/>
      <c r="T80"/>
      <c r="AA80" s="49" t="s">
        <v>4459</v>
      </c>
      <c r="AB80" s="2389">
        <f>ROUNDDOWN(IF('Data Entry - SOF'!C108&gt;=1,0,(1 -'Data Entry - SOF'!C108)*100),4)</f>
        <v>100</v>
      </c>
      <c r="AE80" s="49" t="s">
        <v>4459</v>
      </c>
      <c r="AF80" s="2414">
        <f>ROUNDDOWN(IF('Data Entry - SOF'!E108&gt;=1,0,(1 -'Data Entry - SOF'!E108)*100),4)</f>
        <v>100</v>
      </c>
      <c r="AG80" s="2299"/>
      <c r="AI80" s="49" t="s">
        <v>4459</v>
      </c>
      <c r="AJ80" s="2354">
        <f>ROUNDDOWN(IF('Data Entry - SOF'!G108&gt;=1,0,(1 -'Data Entry - SOF'!G108)*100),4)</f>
        <v>100</v>
      </c>
      <c r="AK80" s="2299"/>
      <c r="AL80" s="2304"/>
      <c r="AM80" s="49" t="s">
        <v>4459</v>
      </c>
      <c r="AN80" s="2343">
        <f>ROUNDDOWN(IF('Data Entry - SOF'!I108&gt;=1,0,(1 -'Data Entry - SOF'!I108)*100),4)</f>
        <v>100</v>
      </c>
      <c r="AO80" s="2299"/>
      <c r="AQ80" s="49" t="s">
        <v>4459</v>
      </c>
      <c r="AR80" s="2315">
        <f>ROUNDDOWN(IF('Data Entry - SOF'!K108&gt;=1,0,(1 -'Data Entry - SOF'!K108)*100),4)</f>
        <v>100</v>
      </c>
      <c r="AS80" s="2299"/>
      <c r="AV80" s="2580" t="s">
        <v>4459</v>
      </c>
      <c r="AW80" s="2612">
        <f>ROUNDDOWN(IF('Data Entry - SOF'!M108&gt;=1,0,(1 -'Data Entry - SOF'!M108)*100),4)</f>
        <v>100</v>
      </c>
      <c r="AX80" s="2602"/>
      <c r="AY80" s="2610"/>
      <c r="BA80" s="3764" t="s">
        <v>4459</v>
      </c>
      <c r="BB80" s="3786">
        <f>ROUNDDOWN(IF('Data Entry - SOF'!O108&gt;=1,0,(1 -'Data Entry - SOF'!O108)*100),4)</f>
        <v>100</v>
      </c>
      <c r="BC80" s="3761"/>
    </row>
    <row r="81" spans="1:57">
      <c r="A81" s="126"/>
      <c r="B81" s="47" t="s">
        <v>892</v>
      </c>
      <c r="C81" s="1407" t="e">
        <f>ROUND(((C79*C75)/'Data Entry - SOF'!C50)*100,4)</f>
        <v>#DIV/0!</v>
      </c>
      <c r="D81" s="1471" t="e">
        <f>ROUND(((D79*D75)/'Data Entry - SOF'!E50)*100,4)</f>
        <v>#DIV/0!</v>
      </c>
      <c r="E81" s="1573" t="e">
        <f>ROUND(((E79*E75)/'Data Entry - SOF'!G50)*100,4)</f>
        <v>#DIV/0!</v>
      </c>
      <c r="F81" s="1652" t="e">
        <f>ROUND(((F79*F75)/'Data Entry - SOF'!I50)*100,4)</f>
        <v>#DIV/0!</v>
      </c>
      <c r="G81" s="2080" t="e">
        <f>ROUND(((G79*G75)/'Data Entry - SOF'!K50)*100,4)</f>
        <v>#DIV/0!</v>
      </c>
      <c r="H81" s="1471" t="e">
        <f>ROUND(((H79*H75)/'Data Entry - SOF'!M48)*100,4)</f>
        <v>#DIV/0!</v>
      </c>
      <c r="I81" s="3736" t="e">
        <f>ROUND(((I79*I75)/'Data Entry - SOF'!O48)*100,4)</f>
        <v>#DIV/0!</v>
      </c>
      <c r="J81" s="886"/>
      <c r="K81" s="886"/>
      <c r="O81" s="177"/>
      <c r="P81" s="177"/>
      <c r="T81"/>
      <c r="AA81" s="321"/>
      <c r="AB81" s="2438">
        <f>MIN('Data Entry - SOF'!C133,'Data Entry - SOF'!C58)</f>
        <v>0</v>
      </c>
      <c r="AC81" s="2437" t="s">
        <v>6891</v>
      </c>
      <c r="AE81" s="321"/>
      <c r="AF81" s="2438">
        <f>MIN('Data Entry - SOF'!C133,'Data Entry - SOF'!E58)</f>
        <v>0</v>
      </c>
      <c r="AG81" s="2437" t="s">
        <v>6891</v>
      </c>
      <c r="AI81" s="321"/>
      <c r="AJ81" s="2438">
        <f>MIN('Data Entry - SOF'!C133,'Data Entry - SOF'!G58)</f>
        <v>0</v>
      </c>
      <c r="AK81" s="2437" t="s">
        <v>6891</v>
      </c>
      <c r="AL81" s="164"/>
      <c r="AM81" s="321"/>
      <c r="AN81" s="2438">
        <f>MIN('Data Entry - SOF'!C133,'Data Entry - SOF'!I58)</f>
        <v>0</v>
      </c>
      <c r="AO81" s="2437" t="s">
        <v>6891</v>
      </c>
      <c r="AQ81" s="321"/>
      <c r="AR81" s="2438">
        <f>MIN('Data Entry - SOF'!C133,'Data Entry - SOF'!K58)</f>
        <v>0</v>
      </c>
      <c r="AS81" s="2437" t="s">
        <v>6891</v>
      </c>
      <c r="AV81" s="2584"/>
      <c r="AW81" s="2613">
        <f>MIN('Data Entry - SOF'!C133,'Data Entry - SOF'!M58)</f>
        <v>0</v>
      </c>
      <c r="AX81" s="2614" t="s">
        <v>6891</v>
      </c>
      <c r="AY81" s="2610"/>
      <c r="BA81" s="3767"/>
      <c r="BB81" s="3787">
        <f>MIN('Data Entry - SOF'!C133,'Data Entry - SOF'!O58)</f>
        <v>0</v>
      </c>
      <c r="BC81" s="3774" t="s">
        <v>6891</v>
      </c>
    </row>
    <row r="82" spans="1:57">
      <c r="A82" s="126"/>
      <c r="B82" t="s">
        <v>1398</v>
      </c>
      <c r="C82" s="1407">
        <f>IF(C73-'Data Entry - SOF'!C108&gt;0.06,(C73-('Data Entry - SOF'!C108+0.06))*100,0)</f>
        <v>0</v>
      </c>
      <c r="D82" s="1471">
        <f>IF(D73-'Data Entry - SOF'!E108&gt;0.06,(D73-('Data Entry - SOF'!E108+0.06))*100,0)</f>
        <v>0</v>
      </c>
      <c r="E82" s="1573">
        <f>IF(E73-'Data Entry - SOF'!G108&gt;0.06,(E73-('Data Entry - SOF'!G108+0.06))*100,0)</f>
        <v>0</v>
      </c>
      <c r="F82" s="1652">
        <f>IF(F73-'Data Entry - SOF'!I108&gt;0.06,(F73-('Data Entry - SOF'!I108+0.06))*100,0)</f>
        <v>0</v>
      </c>
      <c r="G82" s="2080">
        <f>IF(G73-'Data Entry - SOF'!K108&gt;0.06,(G73-('Data Entry - SOF'!K108+0.06))*100,0)</f>
        <v>0</v>
      </c>
      <c r="H82" s="1471">
        <f>IF(H73-'Data Entry - SOF'!M108&gt;0.06,(H73-('Data Entry - SOF'!M108+0.06))*100,0)</f>
        <v>0</v>
      </c>
      <c r="I82" s="3736">
        <f>IF(I73-'Data Entry - SOF'!O108&gt;0.06,(I73-('Data Entry - SOF'!O108+0.06))*100,0)</f>
        <v>0</v>
      </c>
      <c r="J82" s="886"/>
      <c r="K82" s="886"/>
      <c r="O82" s="177"/>
      <c r="P82" s="177"/>
      <c r="T82"/>
      <c r="AB82" s="2390"/>
      <c r="AF82" s="2415"/>
      <c r="AG82" s="2299"/>
      <c r="AJ82" s="2355"/>
      <c r="AK82" s="2299"/>
      <c r="AL82" s="164"/>
      <c r="AN82" s="2399"/>
      <c r="AO82" s="2299"/>
      <c r="AR82" s="2395"/>
      <c r="AS82" s="2299"/>
      <c r="AW82" s="2615"/>
      <c r="AX82" s="2602"/>
      <c r="AY82" s="2610"/>
      <c r="BB82" s="3787"/>
      <c r="BC82" s="3761"/>
    </row>
    <row r="83" spans="1:57">
      <c r="A83" s="126"/>
      <c r="B83" t="s">
        <v>1114</v>
      </c>
      <c r="C83" s="1392" t="e">
        <f t="shared" ref="C83:H83" si="23">C82*C75</f>
        <v>#DIV/0!</v>
      </c>
      <c r="D83" s="1459" t="e">
        <f t="shared" si="23"/>
        <v>#DIV/0!</v>
      </c>
      <c r="E83" s="1561" t="e">
        <f t="shared" si="23"/>
        <v>#DIV/0!</v>
      </c>
      <c r="F83" s="1642" t="e">
        <f t="shared" si="23"/>
        <v>#DIV/0!</v>
      </c>
      <c r="G83" s="2058" t="e">
        <f t="shared" si="23"/>
        <v>#DIV/0!</v>
      </c>
      <c r="H83" s="1459" t="e">
        <f t="shared" si="23"/>
        <v>#DIV/0!</v>
      </c>
      <c r="I83" s="3723" t="e">
        <f t="shared" ref="I83" si="24">I82*I75</f>
        <v>#DIV/0!</v>
      </c>
      <c r="J83" s="886"/>
      <c r="K83" s="886"/>
      <c r="N83" s="163"/>
      <c r="O83" s="163"/>
      <c r="T83"/>
      <c r="AA83" s="49" t="s">
        <v>4461</v>
      </c>
      <c r="AB83" s="2389">
        <f>IF(AB79-AB80&lt;=0,0,AB79-AB80)</f>
        <v>0</v>
      </c>
      <c r="AE83" s="49" t="s">
        <v>4461</v>
      </c>
      <c r="AF83" s="2414">
        <f>IF(AF79-AF80&lt;=0,0,AF79-AF80)</f>
        <v>0</v>
      </c>
      <c r="AG83" s="2299"/>
      <c r="AI83" s="49" t="s">
        <v>4461</v>
      </c>
      <c r="AJ83" s="2354">
        <f>IF(AJ79-AJ80&lt;=0,0,AJ79-AJ80)</f>
        <v>0</v>
      </c>
      <c r="AK83" s="2299"/>
      <c r="AL83" s="2304"/>
      <c r="AM83" s="49" t="s">
        <v>4461</v>
      </c>
      <c r="AN83" s="2343">
        <f>IF(AN79-AN80&lt;=0,0,AN79-AN80)</f>
        <v>0</v>
      </c>
      <c r="AO83" s="2299"/>
      <c r="AQ83" s="49" t="s">
        <v>4461</v>
      </c>
      <c r="AR83" s="2315">
        <f>IF(AR79-AR80&lt;=0,0,AR79-AR80)</f>
        <v>0</v>
      </c>
      <c r="AS83" s="2299"/>
      <c r="AV83" s="2580" t="s">
        <v>4461</v>
      </c>
      <c r="AW83" s="2612">
        <f>IF(AW79-AW80&lt;=0,0,AW79-AW80)</f>
        <v>0</v>
      </c>
      <c r="AX83" s="2602"/>
      <c r="AY83" s="2610"/>
      <c r="BA83" s="3764" t="s">
        <v>4461</v>
      </c>
      <c r="BB83" s="3786">
        <f>IF(BB79-BB80&lt;=0,0,BB79-BB80)</f>
        <v>0</v>
      </c>
      <c r="BC83" s="3761"/>
    </row>
    <row r="84" spans="1:57">
      <c r="A84" s="126"/>
      <c r="B84" s="47" t="s">
        <v>895</v>
      </c>
      <c r="C84" s="1407" t="e">
        <f>ROUND(((C82*C75)/'Data Entry - SOF'!C50)*100,4)</f>
        <v>#DIV/0!</v>
      </c>
      <c r="D84" s="1471" t="e">
        <f>ROUND(((D82*D75)/'Data Entry - SOF'!E50)*100,4)</f>
        <v>#DIV/0!</v>
      </c>
      <c r="E84" s="1573" t="e">
        <f>ROUND(((E82*E75)/'Data Entry - SOF'!G50)*100,4)</f>
        <v>#DIV/0!</v>
      </c>
      <c r="F84" s="1652" t="e">
        <f>ROUND(((F82*F75)/'Data Entry - SOF'!I50)*100,4)</f>
        <v>#DIV/0!</v>
      </c>
      <c r="G84" s="2080" t="e">
        <f>ROUND(((G82*G75)/'Data Entry - SOF'!K50)*100,4)</f>
        <v>#DIV/0!</v>
      </c>
      <c r="H84" s="1471" t="e">
        <f>ROUND(((H82*H75)/'Data Entry - SOF'!M48)*100,4)</f>
        <v>#DIV/0!</v>
      </c>
      <c r="I84" s="3736" t="e">
        <f>ROUND(((I82*I75)/'Data Entry - SOF'!O48)*100,4)</f>
        <v>#DIV/0!</v>
      </c>
      <c r="J84" s="886"/>
      <c r="K84" s="886"/>
      <c r="N84" s="163"/>
      <c r="O84" s="163"/>
      <c r="T84"/>
      <c r="AA84" s="49" t="s">
        <v>4462</v>
      </c>
      <c r="AB84" s="2391" t="e">
        <f>ROUND(IF((((AB83*AB90)/'Data Entry - SOF'!C50)*100)&gt;0.17,0.17,((AB83*AB90)/'Data Entry - SOF'!C50)*100),4)</f>
        <v>#DIV/0!</v>
      </c>
      <c r="AE84" s="49" t="s">
        <v>4462</v>
      </c>
      <c r="AF84" s="2416" t="e">
        <f>ROUND(IF((((AF83*AG35)/'Data Entry - SOF'!E50)*100)&gt;0.17,0.17,((AF83*AG35)/'Data Entry - SOF'!E50)*100),4)</f>
        <v>#DIV/0!</v>
      </c>
      <c r="AG84" s="2299"/>
      <c r="AI84" s="49" t="s">
        <v>4462</v>
      </c>
      <c r="AJ84" s="2356" t="e">
        <f>ROUND(IF((((AJ83*AK35)/'Data Entry - SOF'!G50)*100)&gt;0.17,0.17,((AJ83*AK35)/'Data Entry - SOF'!G50)*100),4)</f>
        <v>#DIV/0!</v>
      </c>
      <c r="AK84" s="2299"/>
      <c r="AL84" s="216"/>
      <c r="AM84" s="49" t="s">
        <v>4462</v>
      </c>
      <c r="AN84" s="2345" t="e">
        <f>ROUND(IF((((AN83*AO35)/'Data Entry - SOF'!I50)*100)&gt;0.17,0.17,((AN83*AO35)/'Data Entry - SOF'!I50)*100),4)</f>
        <v>#DIV/0!</v>
      </c>
      <c r="AO84" s="2299"/>
      <c r="AQ84" s="49" t="s">
        <v>4462</v>
      </c>
      <c r="AR84" s="2073" t="e">
        <f>ROUND(IF((((AR83*AS35)/'Data Entry - SOF'!K50)*100)&gt;0.17,0.17,((AR83*AS35)/'Data Entry - SOF'!K50)*100),4)</f>
        <v>#DIV/0!</v>
      </c>
      <c r="AS84" s="2299"/>
      <c r="AV84" s="2580" t="s">
        <v>4462</v>
      </c>
      <c r="AW84" s="2586" t="e">
        <f>ROUND(IF((((AW83*AX35)/'Data Entry - SOF'!M48)*100)&gt;0.17,0.17,((AW83*AX35)/'Data Entry - SOF'!M48)*100),4)</f>
        <v>#DIV/0!</v>
      </c>
      <c r="AX84" s="2602"/>
      <c r="AY84" s="2610"/>
      <c r="BA84" s="3764" t="s">
        <v>4462</v>
      </c>
      <c r="BB84" s="3769" t="e">
        <f>ROUND(IF((((BB83*BC35)/'Data Entry - SOF'!O48)*100)&gt;0.17,0.17,((BB83*BC35)/'Data Entry - SOF'!O48)*100),4)</f>
        <v>#DIV/0!</v>
      </c>
      <c r="BC84" s="3761"/>
    </row>
    <row r="85" spans="1:57">
      <c r="A85" s="126"/>
      <c r="B85" s="47"/>
      <c r="C85" s="2681"/>
      <c r="D85" s="2573"/>
      <c r="E85" s="2686"/>
      <c r="F85" s="2692"/>
      <c r="G85" s="2699"/>
      <c r="H85" s="2573"/>
      <c r="I85" s="3737"/>
      <c r="J85" s="886"/>
      <c r="K85" s="886"/>
      <c r="N85" s="35"/>
      <c r="T85"/>
      <c r="AA85" s="49" t="s">
        <v>4463</v>
      </c>
      <c r="AB85" s="2141">
        <f>'Data Entry - SOF'!C108+IF(AB79&lt;AB80,(AB79/100),(AB80/100))</f>
        <v>0</v>
      </c>
      <c r="AE85" s="49" t="s">
        <v>4463</v>
      </c>
      <c r="AF85" s="2417">
        <f>'Data Entry - SOF'!E108+IF(AF79&lt;AF80,(AF79/100),(AF80/100))</f>
        <v>0</v>
      </c>
      <c r="AG85" s="2299"/>
      <c r="AI85" s="49" t="s">
        <v>4463</v>
      </c>
      <c r="AJ85" s="1962">
        <f>'Data Entry - SOF'!G108+IF(AJ79&lt;AJ80,(AJ79/100),(AJ80/100))</f>
        <v>0</v>
      </c>
      <c r="AK85" s="2299"/>
      <c r="AL85" s="2304"/>
      <c r="AM85" s="49" t="s">
        <v>4463</v>
      </c>
      <c r="AN85" s="2346">
        <f>'Data Entry - SOF'!I108+IF(AN79&lt;AN80,(AN79/100),(AN80/100))</f>
        <v>0</v>
      </c>
      <c r="AO85" s="2299"/>
      <c r="AQ85" s="49" t="s">
        <v>4463</v>
      </c>
      <c r="AR85" s="2071">
        <f>'Data Entry - SOF'!K108+IF(AR79&lt;AR80,(AR79/100),(AR80/100))</f>
        <v>0</v>
      </c>
      <c r="AS85" s="2299"/>
      <c r="AV85" s="2580" t="s">
        <v>4463</v>
      </c>
      <c r="AW85" s="2583">
        <f>'Data Entry - SOF'!M108+IF(AW79&lt;AW80,(AW79/100),(AW80/100))</f>
        <v>0</v>
      </c>
      <c r="AX85" s="2602"/>
      <c r="AY85" s="2610"/>
      <c r="BA85" s="3764" t="s">
        <v>4463</v>
      </c>
      <c r="BB85" s="3766">
        <f>'Data Entry - SOF'!O108+IF(BB79&lt;BB80,(BB79/100),(BB80/100))</f>
        <v>0</v>
      </c>
      <c r="BC85" s="3761"/>
    </row>
    <row r="86" spans="1:57">
      <c r="A86" s="126"/>
      <c r="C86" s="2681"/>
      <c r="D86" s="2573"/>
      <c r="E86" s="2686"/>
      <c r="F86" s="2692"/>
      <c r="G86" s="2699"/>
      <c r="H86" s="2573"/>
      <c r="I86" s="3737"/>
      <c r="J86" s="886"/>
      <c r="K86" s="886"/>
      <c r="T86"/>
      <c r="AA86" s="49" t="s">
        <v>4464</v>
      </c>
      <c r="AB86" s="1842" t="e">
        <f>AB83*AB90</f>
        <v>#DIV/0!</v>
      </c>
      <c r="AE86" s="49" t="s">
        <v>4464</v>
      </c>
      <c r="AF86" s="1842" t="e">
        <f>AF83*AF90</f>
        <v>#DIV/0!</v>
      </c>
      <c r="AG86" s="2299"/>
      <c r="AI86" s="49" t="s">
        <v>4464</v>
      </c>
      <c r="AJ86" s="1842" t="e">
        <f>AJ83*AJ90</f>
        <v>#DIV/0!</v>
      </c>
      <c r="AK86" s="2299"/>
      <c r="AL86" s="2302"/>
      <c r="AM86" s="49" t="s">
        <v>4464</v>
      </c>
      <c r="AN86" s="1842" t="e">
        <f>AN83*AN90</f>
        <v>#DIV/0!</v>
      </c>
      <c r="AO86" s="2299"/>
      <c r="AQ86" s="49" t="s">
        <v>4464</v>
      </c>
      <c r="AR86" s="1842" t="e">
        <f>AR83*AR90</f>
        <v>#DIV/0!</v>
      </c>
      <c r="AS86" s="2299"/>
      <c r="AV86" s="2580" t="s">
        <v>4464</v>
      </c>
      <c r="AW86" s="2616" t="e">
        <f>AW83*AW90</f>
        <v>#DIV/0!</v>
      </c>
      <c r="AX86" s="2602"/>
      <c r="AY86" s="2610"/>
      <c r="BA86" s="3764" t="s">
        <v>4464</v>
      </c>
      <c r="BB86" s="3770" t="e">
        <f>BB83*BB90</f>
        <v>#DIV/0!</v>
      </c>
      <c r="BC86" s="3761"/>
    </row>
    <row r="87" spans="1:57">
      <c r="A87" s="126"/>
      <c r="C87" s="2681"/>
      <c r="D87" s="2573"/>
      <c r="E87" s="2686"/>
      <c r="F87" s="2692"/>
      <c r="G87" s="2699"/>
      <c r="H87" s="2573"/>
      <c r="I87" s="3737"/>
      <c r="J87" s="886"/>
      <c r="K87" s="886"/>
      <c r="T87"/>
      <c r="AA87" s="98" t="s">
        <v>4465</v>
      </c>
      <c r="AB87" s="1842" t="e">
        <f>AB90*IF(AB81&lt;=AB85,(AB81*100),(AB85*100))</f>
        <v>#DIV/0!</v>
      </c>
      <c r="AE87" s="98" t="s">
        <v>4465</v>
      </c>
      <c r="AF87" s="1842" t="e">
        <f>AF90*IF(AF81&lt;=AF85,(AF81*100),(AF85*100))</f>
        <v>#DIV/0!</v>
      </c>
      <c r="AG87" s="2299"/>
      <c r="AI87" s="98" t="s">
        <v>4465</v>
      </c>
      <c r="AJ87" s="1842" t="e">
        <f>AJ90*IF(AJ81&lt;=AJ85,(AJ81*100),(AJ85*100))</f>
        <v>#DIV/0!</v>
      </c>
      <c r="AK87" s="2299"/>
      <c r="AL87" s="2302"/>
      <c r="AM87" s="98" t="s">
        <v>4465</v>
      </c>
      <c r="AN87" s="1842" t="e">
        <f>AN90*IF(AN81&lt;=AN85,(AN81*100),(AN85*100))</f>
        <v>#DIV/0!</v>
      </c>
      <c r="AO87" s="2299"/>
      <c r="AQ87" s="98" t="s">
        <v>4465</v>
      </c>
      <c r="AR87" s="1842" t="e">
        <f>AR90*IF(AR81&lt;=AR85,(AR81*100),(AR85*100))</f>
        <v>#DIV/0!</v>
      </c>
      <c r="AS87" s="2299"/>
      <c r="AV87" s="2609" t="s">
        <v>4465</v>
      </c>
      <c r="AW87" s="2616" t="e">
        <f>AW90*IF(AW81&lt;='Calc Data-SB1'!AW85,(AW81*100),('Calc Data-SB1'!AW85*100))</f>
        <v>#DIV/0!</v>
      </c>
      <c r="AX87" s="2602"/>
      <c r="AY87" s="2610"/>
      <c r="BA87" s="3764" t="s">
        <v>4465</v>
      </c>
      <c r="BB87" s="3770" t="e">
        <f>BB90*IF(BB81&lt;='Calc Data-SB1'!BB85,(BB81*100),('Calc Data-SB1'!BB85*100))</f>
        <v>#DIV/0!</v>
      </c>
      <c r="BC87" s="3761"/>
    </row>
    <row r="88" spans="1:57">
      <c r="A88" s="35"/>
      <c r="B88" s="201" t="s">
        <v>893</v>
      </c>
      <c r="C88" s="1392" t="e">
        <f>C81*('Data Entry - SOF'!C50/100)</f>
        <v>#DIV/0!</v>
      </c>
      <c r="D88" s="1459" t="e">
        <f>D81*('Data Entry - SOF'!E50/100)</f>
        <v>#DIV/0!</v>
      </c>
      <c r="E88" s="1561" t="e">
        <f>E81*('Data Entry - SOF'!G50/100)</f>
        <v>#DIV/0!</v>
      </c>
      <c r="F88" s="1642" t="e">
        <f>F81*('Data Entry - SOF'!I50/100)</f>
        <v>#DIV/0!</v>
      </c>
      <c r="G88" s="2058" t="e">
        <f>G81*('Data Entry - SOF'!K50/100)</f>
        <v>#DIV/0!</v>
      </c>
      <c r="H88" s="1459" t="e">
        <f>H81*('Data Entry - SOF'!M48/100)</f>
        <v>#DIV/0!</v>
      </c>
      <c r="I88" s="3723" t="e">
        <f>I81*('Data Entry - SOF'!O48/100)</f>
        <v>#DIV/0!</v>
      </c>
      <c r="J88" s="886"/>
      <c r="K88" s="886"/>
      <c r="T88"/>
      <c r="AA88" s="49" t="s">
        <v>4491</v>
      </c>
      <c r="AB88" s="2392" t="e">
        <f>AB84*('Data Entry - SOF'!C50/100)</f>
        <v>#DIV/0!</v>
      </c>
      <c r="AE88" s="49" t="s">
        <v>4491</v>
      </c>
      <c r="AF88" s="2418" t="e">
        <f>AF84*('Data Entry - SOF'!E50/100)</f>
        <v>#DIV/0!</v>
      </c>
      <c r="AG88" s="2299"/>
      <c r="AI88" s="49" t="s">
        <v>4491</v>
      </c>
      <c r="AJ88" s="1959" t="e">
        <f>AJ84*('Data Entry - SOF'!G50/100)</f>
        <v>#DIV/0!</v>
      </c>
      <c r="AK88" s="2299"/>
      <c r="AL88" s="2302"/>
      <c r="AM88" s="49" t="s">
        <v>4491</v>
      </c>
      <c r="AN88" s="2347" t="e">
        <f>AN84*('Data Entry - SOF'!I50/100)</f>
        <v>#DIV/0!</v>
      </c>
      <c r="AO88" s="2299"/>
      <c r="AQ88" s="49" t="s">
        <v>4491</v>
      </c>
      <c r="AR88" s="2074" t="e">
        <f>AR84*('Data Entry - SOF'!K50/100)</f>
        <v>#DIV/0!</v>
      </c>
      <c r="AS88" s="2299"/>
      <c r="AV88" s="2580" t="s">
        <v>4491</v>
      </c>
      <c r="AW88" s="2587" t="e">
        <f>AW84*('Data Entry - SOF'!M48/100)</f>
        <v>#DIV/0!</v>
      </c>
      <c r="AX88" s="2602"/>
      <c r="AY88" s="2610"/>
      <c r="BA88" s="3764" t="s">
        <v>4491</v>
      </c>
      <c r="BB88" s="3770" t="e">
        <f>BB84*('Data Entry - SOF'!O48/100)</f>
        <v>#DIV/0!</v>
      </c>
      <c r="BC88" s="3761"/>
    </row>
    <row r="89" spans="1:57">
      <c r="A89" s="35"/>
      <c r="B89" s="201" t="s">
        <v>894</v>
      </c>
      <c r="C89" s="1392" t="e">
        <f>C84*('Data Entry - SOF'!C50/100)</f>
        <v>#DIV/0!</v>
      </c>
      <c r="D89" s="1459" t="e">
        <f>D84*('Data Entry - SOF'!E50/100)</f>
        <v>#DIV/0!</v>
      </c>
      <c r="E89" s="1561" t="e">
        <f>E84*('Data Entry - SOF'!G50/100)</f>
        <v>#DIV/0!</v>
      </c>
      <c r="F89" s="1642" t="e">
        <f>F84*('Data Entry - SOF'!I50/100)</f>
        <v>#DIV/0!</v>
      </c>
      <c r="G89" s="2058" t="e">
        <f>G84*('Data Entry - SOF'!K50/100)</f>
        <v>#DIV/0!</v>
      </c>
      <c r="H89" s="1459" t="e">
        <f>H84*('Data Entry - SOF'!M48/100)</f>
        <v>#DIV/0!</v>
      </c>
      <c r="I89" s="3723" t="e">
        <f>I84*('Data Entry - SOF'!O48/100)</f>
        <v>#DIV/0!</v>
      </c>
      <c r="J89" s="886"/>
      <c r="K89" s="886"/>
      <c r="T89"/>
      <c r="AA89" s="207"/>
      <c r="AB89" s="2426"/>
      <c r="AC89" s="2279" t="s">
        <v>6884</v>
      </c>
      <c r="AD89" s="2298"/>
      <c r="AE89" s="207" t="s">
        <v>4723</v>
      </c>
      <c r="AF89" s="2419"/>
      <c r="AG89" s="2279" t="s">
        <v>6884</v>
      </c>
      <c r="AH89" s="2298"/>
      <c r="AI89" s="207" t="s">
        <v>4723</v>
      </c>
      <c r="AJ89" s="2357"/>
      <c r="AK89" s="2279" t="s">
        <v>6884</v>
      </c>
      <c r="AL89" s="2298"/>
      <c r="AM89" s="207" t="s">
        <v>4723</v>
      </c>
      <c r="AN89" s="2348"/>
      <c r="AO89" s="2279" t="s">
        <v>6884</v>
      </c>
      <c r="AP89" s="2298"/>
      <c r="AQ89" s="207" t="s">
        <v>4723</v>
      </c>
      <c r="AR89" s="2308"/>
      <c r="AS89" s="2279" t="s">
        <v>6884</v>
      </c>
      <c r="AT89" s="2298"/>
      <c r="AV89" s="2609"/>
      <c r="AW89" s="2617"/>
      <c r="AX89" s="2590" t="s">
        <v>6884</v>
      </c>
      <c r="AY89" s="2618"/>
      <c r="BA89" s="3764"/>
      <c r="BB89" s="3788"/>
      <c r="BC89" s="3772" t="s">
        <v>6884</v>
      </c>
      <c r="BD89" s="3789"/>
    </row>
    <row r="90" spans="1:57">
      <c r="A90" s="71"/>
      <c r="J90" s="886"/>
      <c r="K90" s="886"/>
      <c r="L90" s="71"/>
      <c r="M90" s="71"/>
      <c r="N90" s="71"/>
      <c r="T90"/>
      <c r="AB90" s="1874" t="e">
        <f>('HH1617-Calcs'!D11-IFA!K79)/(AB81*100)</f>
        <v>#DIV/0!</v>
      </c>
      <c r="AC90" s="2280" t="e">
        <f>('HH1617-Calcs'!D11-IFA!K79-'Data Entry - SOF'!C61)/(AB81*100)</f>
        <v>#DIV/0!</v>
      </c>
      <c r="AD90" s="2291" t="s">
        <v>6885</v>
      </c>
      <c r="AF90" s="1874" t="e">
        <f>('HH1718-Calcs'!D11-IFA!O79)/(AF81*100)</f>
        <v>#DIV/0!</v>
      </c>
      <c r="AG90" s="2280" t="e">
        <f>('HH1718-Calcs'!D11-IFA!O79-'Data Entry - SOF'!E61)/(AF81*100)</f>
        <v>#DIV/0!</v>
      </c>
      <c r="AH90" s="2291" t="s">
        <v>6885</v>
      </c>
      <c r="AJ90" s="1874" t="e">
        <f>('HH1819-Calcs'!D11-IFA!S79)/(AJ81*100)</f>
        <v>#DIV/0!</v>
      </c>
      <c r="AK90" s="2280" t="e">
        <f>('HH1819-Calcs'!D11-IFA!S79-'Data Entry - SOF'!G61)/(AJ81*100)</f>
        <v>#DIV/0!</v>
      </c>
      <c r="AL90" s="2291" t="s">
        <v>6885</v>
      </c>
      <c r="AN90" s="1874" t="e">
        <f>('HH1920-Calcs'!D11-IFA!W79)/(AN81*100)</f>
        <v>#DIV/0!</v>
      </c>
      <c r="AO90" s="2280" t="e">
        <f>('HH1920-Calcs'!D11-IFA!W79-'Data Entry - SOF'!I61)/(AN81*100)</f>
        <v>#DIV/0!</v>
      </c>
      <c r="AP90" s="2291" t="s">
        <v>6885</v>
      </c>
      <c r="AR90" s="1874" t="e">
        <f>('HH2021-Calcs'!D11-IFA!AA79)/(AR81*100)</f>
        <v>#DIV/0!</v>
      </c>
      <c r="AS90" s="2280" t="e">
        <f>('HH2021-Calcs'!D11-IFA!AA79-'Data Entry - SOF'!K61)/(AR81*100)</f>
        <v>#DIV/0!</v>
      </c>
      <c r="AT90" s="2291" t="s">
        <v>6885</v>
      </c>
      <c r="AW90" s="2619" t="e">
        <f>('HH2122-Calcs'!D11-IFA!AE79)/(AW81*100)</f>
        <v>#DIV/0!</v>
      </c>
      <c r="AX90" s="2594" t="e">
        <f>('HH2122-Calcs'!D11-IFA!AE79-'Data Entry - SOF'!M61)/(AW81*100)</f>
        <v>#DIV/0!</v>
      </c>
      <c r="AY90" s="2595" t="s">
        <v>6885</v>
      </c>
      <c r="BB90" s="3790" t="e">
        <f>('HH2223-Calcs'!D11-IFA!AI79)/(BB81*100)</f>
        <v>#DIV/0!</v>
      </c>
      <c r="BC90" s="3776" t="e">
        <f>('HH2223-Calcs'!D11-IFA!AI79-'Data Entry - SOF'!O61)/(BB81*100)</f>
        <v>#DIV/0!</v>
      </c>
      <c r="BD90" s="3777" t="s">
        <v>6885</v>
      </c>
    </row>
    <row r="91" spans="1:57">
      <c r="A91" s="71"/>
      <c r="J91" s="886"/>
      <c r="K91" s="886"/>
      <c r="L91" s="71"/>
      <c r="M91" s="71"/>
      <c r="N91" s="71"/>
      <c r="Q91" s="5"/>
      <c r="T91"/>
      <c r="AB91" s="2427"/>
      <c r="AC91" s="2281" t="e">
        <f>AC90*IF(AB81&lt;'Data Entry - SOF'!C108,(AB81*100),('Data Entry - SOF'!C108*100))</f>
        <v>#DIV/0!</v>
      </c>
      <c r="AD91" s="2293" t="e">
        <f>AC90*IF(AB81&lt;='Calc Data-15K'!AB85,(AB81*100),('Calc Data-15K'!AB85*100))</f>
        <v>#DIV/0!</v>
      </c>
      <c r="AF91" s="2420"/>
      <c r="AG91" s="2281" t="e">
        <f>AG90*IF(AF81&lt;'Data Entry - SOF'!E108,(AF81*100),('Data Entry - SOF'!E108*100))</f>
        <v>#DIV/0!</v>
      </c>
      <c r="AH91" s="2293" t="e">
        <f>AG90*IF(AF81&lt;='Calc Data-15K'!AF85,(AF81*100),('Calc Data-15K'!AF85*100))</f>
        <v>#DIV/0!</v>
      </c>
      <c r="AJ91" s="1958"/>
      <c r="AK91" s="2281" t="e">
        <f>AK90*IF(AJ81&lt;'Data Entry - SOF'!G108,(AJ81*100),('Data Entry - SOF'!G108*100))</f>
        <v>#DIV/0!</v>
      </c>
      <c r="AL91" s="2293" t="e">
        <f>AK90*IF(AJ81&lt;='Calc Data-15K'!AJ85,(AJ81*100),('Calc Data-15K'!AJ85*100))</f>
        <v>#DIV/0!</v>
      </c>
      <c r="AN91" s="2350"/>
      <c r="AO91" s="2281" t="e">
        <f>AO90*IF(AN81&lt;'Data Entry - SOF'!I108,(AN81*100),('Data Entry - SOF'!I108*100))</f>
        <v>#DIV/0!</v>
      </c>
      <c r="AP91" s="2293" t="e">
        <f>AO90*IF(AN81&lt;='Calc Data-15K'!AN85,(AN81*100),('Calc Data-15K'!AN85*100))</f>
        <v>#DIV/0!</v>
      </c>
      <c r="AR91" s="2309"/>
      <c r="AS91" s="2281" t="e">
        <f>AS90*IF(AR81&lt;'Data Entry - SOF'!K108,(AR81*100),('Data Entry - SOF'!K108*100))</f>
        <v>#DIV/0!</v>
      </c>
      <c r="AT91" s="2293" t="e">
        <f>AS90*IF(AR81&lt;='Calc Data-15K'!AR85,(AR81*100),('Calc Data-15K'!AR85*100))</f>
        <v>#DIV/0!</v>
      </c>
      <c r="AW91" s="2620"/>
      <c r="AX91" s="2597" t="e">
        <f>AX90*IF(AW81&lt;'Data Entry - SOF'!M108,(AW81*100),('Data Entry - SOF'!M108*100))</f>
        <v>#DIV/0!</v>
      </c>
      <c r="AY91" s="2598" t="e">
        <f>AX90*IF(AW81&lt;='Calc Data-SB1'!AW85,(AW81*100),('Calc Data-SB1'!AW85*100))</f>
        <v>#DIV/0!</v>
      </c>
      <c r="BB91" s="3790"/>
      <c r="BC91" s="3778" t="e">
        <f>BC90*IF(BB81&lt;'Data Entry - SOF'!O108,(BB81*100),('Data Entry - SOF'!O108*100))</f>
        <v>#DIV/0!</v>
      </c>
      <c r="BD91" s="3779" t="e">
        <f>BC90*IF(BB81&lt;='Calc Data-SB1'!BB85,(BB81*100),('Calc Data-SB1'!BB85*100))</f>
        <v>#DIV/0!</v>
      </c>
    </row>
    <row r="92" spans="1:57">
      <c r="A92" s="71"/>
      <c r="J92" s="886"/>
      <c r="K92" s="886"/>
      <c r="L92" s="71"/>
      <c r="M92" s="71"/>
      <c r="N92" s="71"/>
      <c r="Q92" s="5"/>
      <c r="T92"/>
      <c r="AB92" s="2427"/>
      <c r="AC92" s="2423"/>
      <c r="AD92" s="2423"/>
      <c r="AF92" s="2420"/>
      <c r="AG92" s="2409"/>
      <c r="AH92" s="2409"/>
      <c r="AJ92" s="1958"/>
      <c r="AK92" s="1915"/>
      <c r="AL92" s="1915"/>
      <c r="AN92" s="2350"/>
      <c r="AO92" s="2329"/>
      <c r="AP92" s="2329"/>
      <c r="AR92" s="2309"/>
      <c r="AS92" s="2067"/>
      <c r="AT92" s="2067"/>
      <c r="AW92" s="2620"/>
      <c r="AX92" s="2610"/>
      <c r="AY92" s="2610"/>
      <c r="BB92" s="3790"/>
    </row>
    <row r="93" spans="1:57">
      <c r="A93" s="35"/>
      <c r="C93" s="1385"/>
      <c r="D93" s="1452"/>
      <c r="E93" s="1554"/>
      <c r="F93" s="1635"/>
      <c r="G93" s="2051"/>
      <c r="H93" s="1452"/>
      <c r="I93" s="3711"/>
      <c r="K93" s="639"/>
      <c r="L93" s="35"/>
      <c r="M93" s="35"/>
      <c r="T93"/>
      <c r="AB93" s="2427"/>
      <c r="AC93" s="2427"/>
      <c r="AD93" s="2427"/>
      <c r="AF93" s="2420"/>
      <c r="AG93" s="2420"/>
      <c r="AH93" s="2420"/>
      <c r="AJ93" s="1958"/>
      <c r="AK93" s="1958"/>
      <c r="AL93" s="1958"/>
      <c r="AN93" s="2350"/>
      <c r="AO93" s="2350"/>
      <c r="AP93" s="2350"/>
      <c r="AR93" s="2309"/>
      <c r="AS93" s="2309"/>
      <c r="AT93" s="2309"/>
      <c r="AW93" s="2620"/>
      <c r="AX93" s="2620"/>
      <c r="AY93" s="2620"/>
      <c r="BB93" s="3790"/>
      <c r="BC93" s="3790"/>
      <c r="BD93" s="3790"/>
    </row>
    <row r="94" spans="1:57">
      <c r="A94" s="35"/>
      <c r="J94" s="99"/>
      <c r="K94" s="99"/>
      <c r="L94" s="99"/>
      <c r="M94" s="35"/>
      <c r="T94"/>
      <c r="AB94" s="2427"/>
      <c r="AC94" s="2427"/>
      <c r="AD94" s="2427"/>
      <c r="AF94" s="2420"/>
      <c r="AG94" s="2420"/>
      <c r="AH94" s="2420"/>
      <c r="AJ94" s="1958"/>
      <c r="AK94" s="1958"/>
      <c r="AL94" s="1958"/>
      <c r="AN94" s="2350"/>
      <c r="AO94" s="2350"/>
      <c r="AP94" s="2350"/>
      <c r="AR94" s="2309"/>
      <c r="AS94" s="2309"/>
      <c r="AT94" s="2309"/>
      <c r="AW94" s="2620"/>
      <c r="AX94" s="2620"/>
      <c r="AY94" s="2620"/>
      <c r="BB94" s="3790"/>
      <c r="BC94" s="3790"/>
      <c r="BD94" s="3790"/>
    </row>
    <row r="95" spans="1:57" s="224" customFormat="1">
      <c r="A95" s="97"/>
      <c r="B95"/>
      <c r="C95" s="1381"/>
      <c r="D95" s="1448"/>
      <c r="E95" s="1546"/>
      <c r="F95" s="1631"/>
      <c r="G95" s="2047"/>
      <c r="H95" s="1448"/>
      <c r="I95" s="3706"/>
      <c r="J95" s="99"/>
      <c r="K95" s="99"/>
      <c r="L95" s="99"/>
      <c r="M95"/>
      <c r="N95"/>
      <c r="O95" s="177"/>
      <c r="P95"/>
      <c r="Q95"/>
      <c r="R95" s="702"/>
      <c r="S95" s="765"/>
      <c r="T95"/>
      <c r="U95"/>
      <c r="V95"/>
      <c r="W95"/>
      <c r="X95"/>
      <c r="Y95"/>
      <c r="Z95"/>
      <c r="AA95"/>
      <c r="AB95" s="2427"/>
      <c r="AC95" s="2427"/>
      <c r="AD95" s="2423"/>
      <c r="AE95"/>
      <c r="AF95" s="2420"/>
      <c r="AG95" s="2420"/>
      <c r="AH95" s="2409"/>
      <c r="AI95"/>
      <c r="AJ95" s="1958"/>
      <c r="AK95" s="1958"/>
      <c r="AL95" s="2360"/>
      <c r="AM95"/>
      <c r="AN95" s="2350"/>
      <c r="AO95" s="2350"/>
      <c r="AP95" s="2329"/>
      <c r="AQ95"/>
      <c r="AR95" s="2309"/>
      <c r="AS95" s="2309"/>
      <c r="AT95" s="2311"/>
      <c r="AU95" s="378"/>
      <c r="AV95" s="2574"/>
      <c r="AW95" s="2620"/>
      <c r="AX95" s="2620"/>
      <c r="AY95" s="2579"/>
      <c r="AZ95" s="2621"/>
      <c r="BA95" s="3760"/>
      <c r="BB95" s="3790"/>
      <c r="BC95" s="3790"/>
      <c r="BD95" s="3760"/>
      <c r="BE95" s="3760"/>
    </row>
    <row r="96" spans="1:57" s="224" customFormat="1">
      <c r="A96"/>
      <c r="B96"/>
      <c r="C96" s="1381"/>
      <c r="D96" s="1448"/>
      <c r="E96" s="1546"/>
      <c r="F96" s="1631"/>
      <c r="G96" s="2047"/>
      <c r="H96" s="1448"/>
      <c r="I96" s="3706"/>
      <c r="J96" s="99"/>
      <c r="K96" s="99"/>
      <c r="L96" s="99"/>
      <c r="M96"/>
      <c r="N96" s="177"/>
      <c r="O96"/>
      <c r="P96"/>
      <c r="Q96"/>
      <c r="R96"/>
      <c r="S96"/>
      <c r="T96"/>
      <c r="U96"/>
      <c r="V96"/>
      <c r="W96"/>
      <c r="X96"/>
      <c r="Y96"/>
      <c r="Z96"/>
      <c r="AA96"/>
      <c r="AB96" s="2427"/>
      <c r="AC96" s="2427"/>
      <c r="AD96" s="2423"/>
      <c r="AE96"/>
      <c r="AF96" s="2420"/>
      <c r="AG96" s="2420"/>
      <c r="AH96" s="2409"/>
      <c r="AI96"/>
      <c r="AJ96" s="1958"/>
      <c r="AK96" s="1958"/>
      <c r="AL96" s="2360"/>
      <c r="AM96"/>
      <c r="AN96" s="2350"/>
      <c r="AO96" s="2350"/>
      <c r="AP96" s="2329"/>
      <c r="AQ96"/>
      <c r="AR96" s="2309"/>
      <c r="AS96" s="2309"/>
      <c r="AT96" s="2311"/>
      <c r="AU96" s="378"/>
      <c r="AV96" s="2574"/>
      <c r="AW96" s="2620"/>
      <c r="AX96" s="2620"/>
      <c r="AY96" s="2579"/>
      <c r="AZ96" s="2621"/>
      <c r="BA96" s="3760"/>
      <c r="BB96" s="3790"/>
      <c r="BC96" s="3790"/>
      <c r="BD96" s="3760"/>
      <c r="BE96" s="3760"/>
    </row>
    <row r="97" spans="1:57" s="224" customFormat="1">
      <c r="A97" s="97"/>
      <c r="B97"/>
      <c r="C97" s="1381"/>
      <c r="D97" s="1448"/>
      <c r="E97" s="1546"/>
      <c r="F97" s="1631"/>
      <c r="G97" s="2047"/>
      <c r="H97" s="1448"/>
      <c r="I97" s="3706"/>
      <c r="J97" s="99"/>
      <c r="K97" s="99"/>
      <c r="L97" s="99"/>
      <c r="M97"/>
      <c r="N97" s="177"/>
      <c r="O97"/>
      <c r="P97"/>
      <c r="Q97"/>
      <c r="R97"/>
      <c r="S97"/>
      <c r="T97"/>
      <c r="U97"/>
      <c r="V97"/>
      <c r="W97"/>
      <c r="X97"/>
      <c r="Y97"/>
      <c r="Z97"/>
      <c r="AA97"/>
      <c r="AB97" s="2427"/>
      <c r="AC97" s="2427"/>
      <c r="AD97" s="2423"/>
      <c r="AE97"/>
      <c r="AF97" s="2420"/>
      <c r="AG97" s="2420"/>
      <c r="AH97" s="2409"/>
      <c r="AI97"/>
      <c r="AJ97" s="1958"/>
      <c r="AK97" s="1958"/>
      <c r="AL97" s="2360"/>
      <c r="AM97"/>
      <c r="AN97" s="2350"/>
      <c r="AO97" s="2350"/>
      <c r="AP97" s="2329"/>
      <c r="AQ97"/>
      <c r="AR97" s="2309"/>
      <c r="AS97" s="2309"/>
      <c r="AT97" s="2311"/>
      <c r="AU97" s="378"/>
      <c r="AV97" s="2574"/>
      <c r="AW97" s="2620"/>
      <c r="AX97" s="2620"/>
      <c r="AY97" s="2579"/>
      <c r="AZ97" s="2621"/>
      <c r="BA97" s="3760"/>
      <c r="BB97" s="3790"/>
      <c r="BC97" s="3790"/>
      <c r="BD97" s="3760"/>
      <c r="BE97" s="3760"/>
    </row>
    <row r="98" spans="1:57" s="224" customFormat="1">
      <c r="A98"/>
      <c r="B98"/>
      <c r="C98" s="1381"/>
      <c r="D98" s="1448"/>
      <c r="E98" s="1546"/>
      <c r="F98" s="1631"/>
      <c r="G98" s="2047"/>
      <c r="H98" s="1448"/>
      <c r="I98" s="3706"/>
      <c r="J98" s="99"/>
      <c r="K98" s="99"/>
      <c r="L98" s="99"/>
      <c r="M98"/>
      <c r="N98" s="177"/>
      <c r="O98"/>
      <c r="P98"/>
      <c r="Q98"/>
      <c r="R98"/>
      <c r="S98"/>
      <c r="T98"/>
      <c r="U98"/>
      <c r="V98"/>
      <c r="W98"/>
      <c r="X98"/>
      <c r="Y98"/>
      <c r="Z98"/>
      <c r="AA98"/>
      <c r="AB98" s="2427"/>
      <c r="AC98" s="2427"/>
      <c r="AD98" s="2423"/>
      <c r="AE98"/>
      <c r="AF98" s="2420"/>
      <c r="AG98" s="2420"/>
      <c r="AH98" s="2409"/>
      <c r="AI98"/>
      <c r="AJ98" s="1958"/>
      <c r="AK98" s="1958"/>
      <c r="AL98" s="2360"/>
      <c r="AM98"/>
      <c r="AN98" s="2350"/>
      <c r="AO98" s="2350"/>
      <c r="AP98" s="2329"/>
      <c r="AQ98"/>
      <c r="AR98" s="2309"/>
      <c r="AS98" s="2309"/>
      <c r="AT98" s="2311"/>
      <c r="AU98" s="378"/>
      <c r="AV98" s="2574"/>
      <c r="AW98" s="2620"/>
      <c r="AX98" s="2620"/>
      <c r="AY98" s="2579"/>
      <c r="AZ98" s="2621"/>
      <c r="BA98" s="3760"/>
      <c r="BB98" s="3790"/>
      <c r="BC98" s="3790"/>
      <c r="BD98" s="3760"/>
      <c r="BE98" s="3760"/>
    </row>
    <row r="99" spans="1:57" s="224" customFormat="1">
      <c r="A99"/>
      <c r="B99"/>
      <c r="C99" s="1381"/>
      <c r="D99" s="1448"/>
      <c r="E99" s="1546"/>
      <c r="F99" s="1631"/>
      <c r="G99" s="2047"/>
      <c r="H99" s="1448"/>
      <c r="I99" s="3706"/>
      <c r="J99" s="99"/>
      <c r="K99" s="99"/>
      <c r="L99" s="99"/>
      <c r="M99"/>
      <c r="N99" s="177"/>
      <c r="O99"/>
      <c r="P99"/>
      <c r="Q99"/>
      <c r="R99"/>
      <c r="S99"/>
      <c r="T99"/>
      <c r="U99"/>
      <c r="V99"/>
      <c r="W99"/>
      <c r="X99"/>
      <c r="Y99"/>
      <c r="Z99"/>
      <c r="AA99" s="49" t="s">
        <v>6893</v>
      </c>
      <c r="AB99" s="2218">
        <f>IF(AB81&lt;='Data Entry - SOF'!C108,0,IF(AB81&gt;'Data Entry - SOF'!C108+0.06,0.06*100,(AB81-'Data Entry - SOF'!C108)*100))</f>
        <v>0</v>
      </c>
      <c r="AC99" s="2393"/>
      <c r="AD99" s="2393"/>
      <c r="AE99" s="49" t="s">
        <v>6893</v>
      </c>
      <c r="AF99" s="2218">
        <f>IF(AF81&lt;='Data Entry - SOF'!E108,0,IF(AF81&gt;'Data Entry - SOF'!E108+0.06,0.06*100,(AF81-'Data Entry - SOF'!E108)*100))</f>
        <v>0</v>
      </c>
      <c r="AG99" s="2412"/>
      <c r="AH99" s="2412"/>
      <c r="AI99" s="49" t="s">
        <v>6893</v>
      </c>
      <c r="AJ99" s="2218">
        <f>IF(AJ81&lt;='Data Entry - SOF'!G108,0,IF(AJ81&gt;'Data Entry - SOF'!G108+0.06,0.06*100,(AJ81-'Data Entry - SOF'!G108)*100))</f>
        <v>0</v>
      </c>
      <c r="AK99" s="1963"/>
      <c r="AL99" s="1963"/>
      <c r="AM99" s="49" t="s">
        <v>6893</v>
      </c>
      <c r="AN99" s="2218">
        <f>IF(AN81&lt;='Data Entry - SOF'!I108,0,IF(AN81&gt;'Data Entry - SOF'!I108+0.06,0.06*100,(AN81-'Data Entry - SOF'!I108)*100))</f>
        <v>0</v>
      </c>
      <c r="AO99" s="2331"/>
      <c r="AP99" s="2331"/>
      <c r="AQ99" s="49" t="s">
        <v>6893</v>
      </c>
      <c r="AR99" s="2218">
        <f>IF(AR81&lt;='Data Entry - SOF'!K108,0,IF(AR81&gt;'Data Entry - SOF'!K108+0.06,0.06*100,(AR81-'Data Entry - SOF'!K108)*100))</f>
        <v>0</v>
      </c>
      <c r="AS99" s="2322"/>
      <c r="AT99" s="2322"/>
      <c r="AU99" s="378"/>
      <c r="AV99" s="2580" t="s">
        <v>6893</v>
      </c>
      <c r="AW99" s="2622">
        <f>IF(AW81&lt;='Data Entry - SOF'!M108,0,IF(AW81&gt;'Data Entry - SOF'!M108+0.06,0.06*100,(AW81-'Data Entry - SOF'!M108)*100))</f>
        <v>0</v>
      </c>
      <c r="AX99" s="2623"/>
      <c r="AY99" s="2623"/>
      <c r="AZ99" s="2621"/>
      <c r="BA99" s="3764" t="s">
        <v>6893</v>
      </c>
      <c r="BB99" s="3791">
        <f>IF(BB81&lt;='Data Entry - SOF'!O108,0,IF(BB81&gt;'Data Entry - SOF'!O108+0.06,0.06*100,(BB81-'Data Entry - SOF'!O108)*100))</f>
        <v>0</v>
      </c>
      <c r="BC99" s="3792"/>
      <c r="BD99" s="3792"/>
      <c r="BE99" s="3760"/>
    </row>
    <row r="100" spans="1:57" s="224" customFormat="1">
      <c r="A100"/>
      <c r="B100"/>
      <c r="C100" s="1381"/>
      <c r="D100" s="1448"/>
      <c r="E100" s="1546"/>
      <c r="F100" s="1631"/>
      <c r="G100" s="2047"/>
      <c r="H100" s="1448"/>
      <c r="I100" s="3706"/>
      <c r="J100" s="99"/>
      <c r="K100" s="99"/>
      <c r="L100" s="99"/>
      <c r="M100"/>
      <c r="N100" s="177"/>
      <c r="O100"/>
      <c r="P100"/>
      <c r="Q100"/>
      <c r="R100"/>
      <c r="S100"/>
      <c r="T100"/>
      <c r="U100"/>
      <c r="V100"/>
      <c r="W100"/>
      <c r="X100"/>
      <c r="Y100"/>
      <c r="Z100"/>
      <c r="AA100" s="49" t="s">
        <v>6894</v>
      </c>
      <c r="AB100" s="2439" t="e">
        <f>AB99*AB90</f>
        <v>#DIV/0!</v>
      </c>
      <c r="AC100" s="2393"/>
      <c r="AD100" s="2393"/>
      <c r="AE100" s="49" t="s">
        <v>6894</v>
      </c>
      <c r="AF100" s="2439" t="e">
        <f>AF99*AF90</f>
        <v>#DIV/0!</v>
      </c>
      <c r="AG100" s="2412"/>
      <c r="AH100" s="2412"/>
      <c r="AI100" s="49" t="s">
        <v>6894</v>
      </c>
      <c r="AJ100" s="2439" t="e">
        <f>AJ99*AJ90</f>
        <v>#DIV/0!</v>
      </c>
      <c r="AK100" s="1963"/>
      <c r="AL100" s="1963"/>
      <c r="AM100" s="49" t="s">
        <v>6894</v>
      </c>
      <c r="AN100" s="2439" t="e">
        <f>AN99*AN90</f>
        <v>#DIV/0!</v>
      </c>
      <c r="AO100" s="2331"/>
      <c r="AP100" s="2331"/>
      <c r="AQ100" s="49" t="s">
        <v>6894</v>
      </c>
      <c r="AR100" s="2439" t="e">
        <f>AR99*AR90</f>
        <v>#DIV/0!</v>
      </c>
      <c r="AS100" s="2322"/>
      <c r="AT100" s="2322"/>
      <c r="AU100" s="378"/>
      <c r="AV100" s="2580" t="s">
        <v>6894</v>
      </c>
      <c r="AW100" s="2624" t="e">
        <f>AW99*AW90</f>
        <v>#DIV/0!</v>
      </c>
      <c r="AX100" s="2623"/>
      <c r="AY100" s="2623"/>
      <c r="AZ100" s="2621"/>
      <c r="BA100" s="3764" t="s">
        <v>6894</v>
      </c>
      <c r="BB100" s="3793" t="e">
        <f>BB99*BB90</f>
        <v>#DIV/0!</v>
      </c>
      <c r="BC100" s="3792"/>
      <c r="BD100" s="3792"/>
      <c r="BE100" s="3760"/>
    </row>
    <row r="101" spans="1:57" s="224" customFormat="1">
      <c r="A101"/>
      <c r="B101"/>
      <c r="C101" s="1381"/>
      <c r="D101" s="1448"/>
      <c r="E101" s="1546"/>
      <c r="F101" s="1631"/>
      <c r="G101" s="2047"/>
      <c r="H101" s="1448"/>
      <c r="I101" s="3706"/>
      <c r="J101" s="99"/>
      <c r="K101" s="99"/>
      <c r="L101" s="99"/>
      <c r="M101"/>
      <c r="N101" s="177"/>
      <c r="O101"/>
      <c r="P101"/>
      <c r="Q101"/>
      <c r="R101"/>
      <c r="S101"/>
      <c r="T101"/>
      <c r="U101"/>
      <c r="V101"/>
      <c r="W101"/>
      <c r="X101"/>
      <c r="Y101"/>
      <c r="Z101"/>
      <c r="AA101"/>
      <c r="AB101" s="2428" t="s">
        <v>4512</v>
      </c>
      <c r="AC101" s="2218" t="e">
        <f>ROUND((AB100/'Data Entry - SOF'!C50)*100,4)</f>
        <v>#DIV/0!</v>
      </c>
      <c r="AD101" s="2393"/>
      <c r="AE101"/>
      <c r="AF101" s="2421" t="s">
        <v>4512</v>
      </c>
      <c r="AG101" s="2218" t="e">
        <f>ROUND((AF100/'Data Entry - SOF'!E50)*100,4)</f>
        <v>#DIV/0!</v>
      </c>
      <c r="AH101" s="2412"/>
      <c r="AI101"/>
      <c r="AJ101" s="2359" t="s">
        <v>4512</v>
      </c>
      <c r="AK101" s="2218" t="e">
        <f>ROUND((AJ100/'Data Entry - SOF'!G50)*100,4)</f>
        <v>#DIV/0!</v>
      </c>
      <c r="AL101" s="1963"/>
      <c r="AM101"/>
      <c r="AN101" s="2352" t="s">
        <v>4512</v>
      </c>
      <c r="AO101" s="2218" t="e">
        <f>ROUND((AN100/'Data Entry - SOF'!I50)*100,4)</f>
        <v>#DIV/0!</v>
      </c>
      <c r="AP101" s="1978"/>
      <c r="AQ101"/>
      <c r="AR101" s="2323" t="s">
        <v>4512</v>
      </c>
      <c r="AS101" s="2218" t="e">
        <f>ROUND((AR100/'Data Entry - SOF'!K50)*100,4)</f>
        <v>#DIV/0!</v>
      </c>
      <c r="AT101" s="2322"/>
      <c r="AU101" s="378"/>
      <c r="AV101" s="2574"/>
      <c r="AW101" s="2625" t="s">
        <v>4512</v>
      </c>
      <c r="AX101" s="2622" t="e">
        <f>ROUND((AW100/'Data Entry - SOF'!M48)*100,4)</f>
        <v>#DIV/0!</v>
      </c>
      <c r="AY101" s="2623"/>
      <c r="AZ101" s="2621"/>
      <c r="BA101" s="3760"/>
      <c r="BB101" s="3794" t="s">
        <v>4512</v>
      </c>
      <c r="BC101" s="3791" t="e">
        <f>ROUND((BB100/'Data Entry - SOF'!O48)*100,4)</f>
        <v>#DIV/0!</v>
      </c>
      <c r="BD101" s="3792"/>
      <c r="BE101" s="3760"/>
    </row>
    <row r="102" spans="1:57" s="224" customFormat="1">
      <c r="A102"/>
      <c r="B102"/>
      <c r="C102" s="1381"/>
      <c r="D102" s="1448"/>
      <c r="E102" s="1546"/>
      <c r="F102" s="1631"/>
      <c r="G102" s="2047"/>
      <c r="H102" s="1448"/>
      <c r="I102" s="3706"/>
      <c r="J102" s="99"/>
      <c r="K102" s="99"/>
      <c r="L102" s="99"/>
      <c r="M102"/>
      <c r="N102" s="177"/>
      <c r="O102"/>
      <c r="P102"/>
      <c r="Q102"/>
      <c r="R102"/>
      <c r="S102"/>
      <c r="T102"/>
      <c r="U102"/>
      <c r="V102"/>
      <c r="W102"/>
      <c r="X102"/>
      <c r="Y102"/>
      <c r="Z102"/>
      <c r="AA102"/>
      <c r="AB102" s="2428" t="s">
        <v>4513</v>
      </c>
      <c r="AC102" s="1944" t="e">
        <f>AC101*('Data Entry - SOF'!C50/100)</f>
        <v>#DIV/0!</v>
      </c>
      <c r="AD102" s="2393"/>
      <c r="AE102"/>
      <c r="AF102" s="2421" t="s">
        <v>4513</v>
      </c>
      <c r="AG102" s="1944" t="e">
        <f>AG101*('Data Entry - SOF'!E50/100)</f>
        <v>#DIV/0!</v>
      </c>
      <c r="AH102" s="2412"/>
      <c r="AI102"/>
      <c r="AJ102" s="2359" t="s">
        <v>4513</v>
      </c>
      <c r="AK102" s="1944" t="e">
        <f>AK101*('Data Entry - SOF'!G50/100)</f>
        <v>#DIV/0!</v>
      </c>
      <c r="AL102" s="1963"/>
      <c r="AM102"/>
      <c r="AN102" s="2352" t="s">
        <v>4513</v>
      </c>
      <c r="AO102" s="1944" t="e">
        <f>AO101*('Data Entry - SOF'!I50/100)</f>
        <v>#DIV/0!</v>
      </c>
      <c r="AP102" s="1978"/>
      <c r="AQ102"/>
      <c r="AR102" s="2323" t="s">
        <v>4513</v>
      </c>
      <c r="AS102" s="1944" t="e">
        <f>AS101*('Data Entry - SOF'!K50/100)</f>
        <v>#DIV/0!</v>
      </c>
      <c r="AT102" s="2322"/>
      <c r="AU102" s="378"/>
      <c r="AV102" s="2574"/>
      <c r="AW102" s="2625" t="s">
        <v>4513</v>
      </c>
      <c r="AX102" s="2626" t="e">
        <f>AX101*('Data Entry - SOF'!M48/100)</f>
        <v>#DIV/0!</v>
      </c>
      <c r="AY102" s="2623"/>
      <c r="AZ102" s="2621"/>
      <c r="BA102" s="3760"/>
      <c r="BB102" s="3794" t="s">
        <v>4513</v>
      </c>
      <c r="BC102" s="3795" t="e">
        <f>BC101*('Data Entry - SOF'!O48/100)</f>
        <v>#DIV/0!</v>
      </c>
      <c r="BD102" s="3792"/>
      <c r="BE102" s="3760"/>
    </row>
    <row r="103" spans="1:57" s="224" customFormat="1">
      <c r="A103"/>
      <c r="B103"/>
      <c r="C103" s="1381"/>
      <c r="D103" s="1448"/>
      <c r="E103" s="1546"/>
      <c r="F103" s="1631"/>
      <c r="G103" s="2047"/>
      <c r="H103" s="1448"/>
      <c r="I103" s="3706"/>
      <c r="J103" s="99"/>
      <c r="K103" s="99"/>
      <c r="L103" s="99"/>
      <c r="M103"/>
      <c r="N103" s="177"/>
      <c r="O103"/>
      <c r="P103"/>
      <c r="Q103"/>
      <c r="R103"/>
      <c r="S103"/>
      <c r="T103"/>
      <c r="U103"/>
      <c r="V103"/>
      <c r="W103"/>
      <c r="X103"/>
      <c r="Y103"/>
      <c r="Z103"/>
      <c r="AA103"/>
      <c r="AB103" s="2428" t="s">
        <v>4514</v>
      </c>
      <c r="AC103" s="2218" t="e">
        <f>AB84</f>
        <v>#DIV/0!</v>
      </c>
      <c r="AD103" s="2393"/>
      <c r="AE103"/>
      <c r="AF103" s="2421" t="s">
        <v>4514</v>
      </c>
      <c r="AG103" s="2218" t="e">
        <f>AF84</f>
        <v>#DIV/0!</v>
      </c>
      <c r="AH103" s="2412"/>
      <c r="AI103"/>
      <c r="AJ103" s="2359" t="s">
        <v>4514</v>
      </c>
      <c r="AK103" s="2218" t="e">
        <f>AJ84</f>
        <v>#DIV/0!</v>
      </c>
      <c r="AL103" s="1963"/>
      <c r="AM103"/>
      <c r="AN103" s="2352" t="s">
        <v>4514</v>
      </c>
      <c r="AO103" s="2218" t="e">
        <f>AN84</f>
        <v>#DIV/0!</v>
      </c>
      <c r="AP103" s="1978"/>
      <c r="AQ103"/>
      <c r="AR103" s="2323" t="s">
        <v>4514</v>
      </c>
      <c r="AS103" s="2218" t="e">
        <f>AR84</f>
        <v>#DIV/0!</v>
      </c>
      <c r="AT103" s="2322"/>
      <c r="AU103" s="378"/>
      <c r="AV103" s="2574"/>
      <c r="AW103" s="2625" t="s">
        <v>4514</v>
      </c>
      <c r="AX103" s="2622" t="e">
        <f>AW84</f>
        <v>#DIV/0!</v>
      </c>
      <c r="AY103" s="2623"/>
      <c r="AZ103" s="2621"/>
      <c r="BA103" s="3760"/>
      <c r="BB103" s="3794" t="s">
        <v>4514</v>
      </c>
      <c r="BC103" s="3791" t="e">
        <f>BB84</f>
        <v>#DIV/0!</v>
      </c>
      <c r="BD103" s="3792"/>
      <c r="BE103" s="3760"/>
    </row>
    <row r="104" spans="1:57" s="224" customFormat="1">
      <c r="A104"/>
      <c r="B104"/>
      <c r="C104" s="1381"/>
      <c r="D104" s="1448"/>
      <c r="E104" s="1546"/>
      <c r="F104" s="1631"/>
      <c r="G104" s="2047"/>
      <c r="H104" s="1448"/>
      <c r="I104" s="3706"/>
      <c r="J104" s="99"/>
      <c r="K104" s="99"/>
      <c r="L104" s="99"/>
      <c r="M104"/>
      <c r="N104" s="177"/>
      <c r="O104"/>
      <c r="P104"/>
      <c r="Q104"/>
      <c r="R104"/>
      <c r="S104"/>
      <c r="T104"/>
      <c r="U104"/>
      <c r="V104"/>
      <c r="W104"/>
      <c r="X104"/>
      <c r="Y104"/>
      <c r="Z104"/>
      <c r="AA104"/>
      <c r="AB104" s="2428" t="s">
        <v>4515</v>
      </c>
      <c r="AC104" s="1944" t="e">
        <f>AB88</f>
        <v>#DIV/0!</v>
      </c>
      <c r="AD104" s="2393"/>
      <c r="AE104"/>
      <c r="AF104" s="2421" t="s">
        <v>4515</v>
      </c>
      <c r="AG104" s="1944" t="e">
        <f>AF88</f>
        <v>#DIV/0!</v>
      </c>
      <c r="AH104" s="2412"/>
      <c r="AI104"/>
      <c r="AJ104" s="2359" t="s">
        <v>4515</v>
      </c>
      <c r="AK104" s="1944" t="e">
        <f>AJ88</f>
        <v>#DIV/0!</v>
      </c>
      <c r="AL104" s="1963"/>
      <c r="AM104"/>
      <c r="AN104" s="2352" t="s">
        <v>4515</v>
      </c>
      <c r="AO104" s="1944" t="e">
        <f>AN88</f>
        <v>#DIV/0!</v>
      </c>
      <c r="AP104" s="1978"/>
      <c r="AQ104"/>
      <c r="AR104" s="2323" t="s">
        <v>4515</v>
      </c>
      <c r="AS104" s="1944" t="e">
        <f>AR88</f>
        <v>#DIV/0!</v>
      </c>
      <c r="AT104" s="2322"/>
      <c r="AU104" s="378"/>
      <c r="AV104" s="2574"/>
      <c r="AW104" s="2625" t="s">
        <v>4515</v>
      </c>
      <c r="AX104" s="2626" t="e">
        <f>AW88</f>
        <v>#DIV/0!</v>
      </c>
      <c r="AY104" s="2623"/>
      <c r="AZ104" s="2621"/>
      <c r="BA104" s="3760"/>
      <c r="BB104" s="3794" t="s">
        <v>4515</v>
      </c>
      <c r="BC104" s="3795" t="e">
        <f>BB88</f>
        <v>#DIV/0!</v>
      </c>
      <c r="BD104" s="3792"/>
      <c r="BE104" s="3760"/>
    </row>
    <row r="105" spans="1:57" s="224" customFormat="1">
      <c r="A105"/>
      <c r="B105" s="99"/>
      <c r="C105" s="1381"/>
      <c r="D105" s="1448"/>
      <c r="E105" s="1546"/>
      <c r="F105" s="1631"/>
      <c r="G105" s="2047"/>
      <c r="H105" s="1448"/>
      <c r="I105" s="3706"/>
      <c r="J105" s="99"/>
      <c r="K105" s="99"/>
      <c r="L105" s="99"/>
      <c r="M105"/>
      <c r="N105" s="177"/>
      <c r="O105"/>
      <c r="P105"/>
      <c r="Q105"/>
      <c r="R105"/>
      <c r="S105"/>
      <c r="T105"/>
      <c r="U105"/>
      <c r="V105"/>
      <c r="W105"/>
      <c r="X105"/>
      <c r="Y105"/>
      <c r="Z105"/>
      <c r="AA105" s="177"/>
      <c r="AB105" s="2305"/>
      <c r="AC105" s="2306"/>
      <c r="AD105" s="2306"/>
      <c r="AE105" s="177"/>
      <c r="AF105" s="2305"/>
      <c r="AG105" s="2306"/>
      <c r="AH105" s="2306"/>
      <c r="AI105" s="177"/>
      <c r="AJ105" s="2305"/>
      <c r="AK105" s="2306"/>
      <c r="AL105" s="2306"/>
      <c r="AM105" s="177"/>
      <c r="AN105" s="2305"/>
      <c r="AO105" s="2306"/>
      <c r="AP105" s="2306"/>
      <c r="AQ105" s="177"/>
      <c r="AR105" s="2305"/>
      <c r="AS105" s="2306"/>
      <c r="AT105" s="2306"/>
      <c r="AU105" s="378"/>
      <c r="AV105" s="2574"/>
      <c r="AW105" s="2627"/>
      <c r="AX105" s="2628"/>
      <c r="AY105" s="2628"/>
      <c r="AZ105" s="2621"/>
      <c r="BA105" s="3760"/>
      <c r="BB105" s="3796"/>
      <c r="BC105" s="3792"/>
      <c r="BD105" s="3792"/>
      <c r="BE105" s="3760"/>
    </row>
    <row r="106" spans="1:57" s="224" customFormat="1">
      <c r="A106"/>
      <c r="B106" s="99"/>
      <c r="C106" s="1381"/>
      <c r="D106" s="1448"/>
      <c r="E106" s="1546"/>
      <c r="F106" s="1631"/>
      <c r="G106" s="2047"/>
      <c r="H106" s="1448"/>
      <c r="I106" s="3706"/>
      <c r="J106" s="99"/>
      <c r="K106" s="99"/>
      <c r="L106" s="99"/>
      <c r="M106" s="47"/>
      <c r="N106" s="47"/>
      <c r="O106"/>
      <c r="P106"/>
      <c r="Q106"/>
      <c r="R106"/>
      <c r="S106"/>
      <c r="T106"/>
      <c r="U106"/>
      <c r="V106"/>
      <c r="W106"/>
      <c r="X106"/>
      <c r="Y106"/>
      <c r="Z106"/>
      <c r="AA106" s="1843"/>
      <c r="AB106" s="1843"/>
      <c r="AC106" s="1843"/>
      <c r="AD106" s="1843"/>
      <c r="AE106" s="1843"/>
      <c r="AF106" s="1843"/>
      <c r="AG106" s="1843"/>
      <c r="AH106" s="1843"/>
      <c r="AI106" s="1843"/>
      <c r="AJ106" s="1843"/>
      <c r="AK106" s="1843"/>
      <c r="AL106" s="1843"/>
      <c r="AM106" s="1843"/>
      <c r="AN106" s="1843"/>
      <c r="AO106" s="1843"/>
      <c r="AP106" s="1843"/>
      <c r="AQ106" s="1843"/>
      <c r="AR106" s="1843"/>
      <c r="AS106" s="1843"/>
      <c r="AT106" s="1843"/>
      <c r="AU106" s="1843"/>
      <c r="AV106" s="2574"/>
      <c r="AW106" s="2576"/>
      <c r="AX106" s="2576"/>
      <c r="AY106" s="2576"/>
      <c r="AZ106" s="2621"/>
      <c r="BA106" s="3760"/>
      <c r="BB106" s="3761"/>
      <c r="BC106" s="3761"/>
      <c r="BD106" s="3761"/>
      <c r="BE106" s="3760"/>
    </row>
    <row r="107" spans="1:57" s="224" customFormat="1">
      <c r="A107"/>
      <c r="B107" s="99"/>
      <c r="C107" s="1381"/>
      <c r="D107" s="1448"/>
      <c r="E107" s="1546"/>
      <c r="F107" s="1631"/>
      <c r="G107" s="2047"/>
      <c r="H107" s="1448"/>
      <c r="I107" s="3706"/>
      <c r="J107" s="99"/>
      <c r="K107" s="99"/>
      <c r="L107" s="99"/>
      <c r="M107"/>
      <c r="N107" s="177"/>
      <c r="O107"/>
      <c r="P107"/>
      <c r="Q107"/>
      <c r="R107"/>
      <c r="S107"/>
      <c r="T107"/>
      <c r="U107"/>
      <c r="V107"/>
      <c r="W107"/>
      <c r="X107"/>
      <c r="Y107"/>
      <c r="Z107"/>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574"/>
      <c r="AW107" s="2576"/>
      <c r="AX107" s="2576"/>
      <c r="AY107" s="2576"/>
      <c r="AZ107" s="2621"/>
      <c r="BA107" s="3760"/>
      <c r="BB107" s="3761"/>
      <c r="BC107" s="3761"/>
      <c r="BD107" s="3761"/>
      <c r="BE107" s="3760"/>
    </row>
    <row r="108" spans="1:57" s="224" customFormat="1">
      <c r="A108"/>
      <c r="B108" s="99"/>
      <c r="C108" s="1381"/>
      <c r="D108" s="1448"/>
      <c r="E108" s="1546"/>
      <c r="F108" s="1631"/>
      <c r="G108" s="2047"/>
      <c r="H108" s="1448"/>
      <c r="I108" s="3706"/>
      <c r="J108" s="99"/>
      <c r="K108" s="99"/>
      <c r="L108" s="99"/>
      <c r="M108"/>
      <c r="N108" s="177"/>
      <c r="O108"/>
      <c r="P108"/>
      <c r="Q108"/>
      <c r="R108"/>
      <c r="S108"/>
      <c r="T108"/>
      <c r="U108"/>
      <c r="V108"/>
      <c r="W108"/>
      <c r="X108"/>
      <c r="Y108"/>
      <c r="Z108"/>
      <c r="AA108" s="2299"/>
      <c r="AB108" s="2299"/>
      <c r="AC108" s="2299"/>
      <c r="AD108" s="2299"/>
      <c r="AE108" s="2299"/>
      <c r="AF108" s="2299"/>
      <c r="AG108" s="2299"/>
      <c r="AH108" s="2299"/>
      <c r="AI108" s="2299"/>
      <c r="AJ108" s="2299"/>
      <c r="AK108" s="2299"/>
      <c r="AL108" s="2299"/>
      <c r="AM108" s="2299"/>
      <c r="AN108" s="2299"/>
      <c r="AO108" s="2299"/>
      <c r="AP108" s="2299"/>
      <c r="AQ108" s="2299"/>
      <c r="AR108" s="2299"/>
      <c r="AS108" s="2299"/>
      <c r="AT108" s="2299"/>
      <c r="AU108" s="2299"/>
      <c r="AV108" s="2574"/>
      <c r="AW108" s="2576"/>
      <c r="AX108" s="2576"/>
      <c r="AY108" s="2576"/>
      <c r="AZ108" s="2621"/>
      <c r="BA108" s="3760"/>
      <c r="BB108" s="3761"/>
      <c r="BC108" s="3761"/>
      <c r="BD108" s="3761"/>
      <c r="BE108" s="3760"/>
    </row>
    <row r="109" spans="1:57" s="224" customFormat="1">
      <c r="A109"/>
      <c r="B109" s="99"/>
      <c r="C109" s="1381"/>
      <c r="D109" s="1448"/>
      <c r="E109" s="1546"/>
      <c r="F109" s="1631"/>
      <c r="G109" s="2047"/>
      <c r="H109" s="1448"/>
      <c r="I109" s="3706"/>
      <c r="J109" s="99"/>
      <c r="K109" s="99"/>
      <c r="L109" s="99"/>
      <c r="M109"/>
      <c r="N109" s="177"/>
      <c r="O109"/>
      <c r="P109"/>
      <c r="Q109"/>
      <c r="R109"/>
      <c r="S109"/>
      <c r="T109"/>
      <c r="U109"/>
      <c r="V109"/>
      <c r="W109"/>
      <c r="X109"/>
      <c r="Y109"/>
      <c r="Z109"/>
      <c r="AA109" s="2299"/>
      <c r="AB109" s="2299"/>
      <c r="AC109" s="2299"/>
      <c r="AD109" s="2299"/>
      <c r="AE109" s="2299"/>
      <c r="AF109" s="2299"/>
      <c r="AG109" s="2299"/>
      <c r="AH109" s="2299"/>
      <c r="AI109" s="2299"/>
      <c r="AJ109" s="2299"/>
      <c r="AK109" s="2299"/>
      <c r="AL109" s="2299"/>
      <c r="AM109" s="2299"/>
      <c r="AN109" s="2299"/>
      <c r="AO109" s="2299"/>
      <c r="AP109" s="2299"/>
      <c r="AQ109" s="2299"/>
      <c r="AR109" s="2299"/>
      <c r="AS109" s="2299"/>
      <c r="AT109" s="2299"/>
      <c r="AU109" s="2299"/>
      <c r="AV109" s="2574"/>
      <c r="AW109" s="2576"/>
      <c r="AX109" s="2576"/>
      <c r="AY109" s="2576"/>
      <c r="AZ109" s="2621"/>
      <c r="BA109" s="3760"/>
      <c r="BB109" s="3761"/>
      <c r="BC109" s="3761"/>
      <c r="BD109" s="3761"/>
      <c r="BE109" s="3760"/>
    </row>
    <row r="110" spans="1:57" s="224" customFormat="1">
      <c r="A110"/>
      <c r="B110" s="98"/>
      <c r="C110" s="1381"/>
      <c r="D110" s="1448"/>
      <c r="E110" s="1546"/>
      <c r="F110" s="1631"/>
      <c r="G110" s="2047"/>
      <c r="H110" s="1448"/>
      <c r="I110" s="3706"/>
      <c r="J110" s="99"/>
      <c r="K110" s="99"/>
      <c r="L110" s="99"/>
      <c r="M110" s="650"/>
      <c r="N110" s="837"/>
      <c r="O110" s="838"/>
      <c r="P110" s="839"/>
      <c r="Q110" s="840"/>
      <c r="R110" s="841"/>
      <c r="S110" s="842"/>
      <c r="T110"/>
      <c r="U110"/>
      <c r="V110"/>
      <c r="W110"/>
      <c r="X110"/>
      <c r="Y110"/>
      <c r="Z110"/>
      <c r="AA110" s="2299"/>
      <c r="AB110" s="2299"/>
      <c r="AC110" s="2299"/>
      <c r="AD110" s="2299"/>
      <c r="AE110" s="2299"/>
      <c r="AF110" s="2299"/>
      <c r="AG110" s="2299"/>
      <c r="AH110" s="2299"/>
      <c r="AI110" s="2299"/>
      <c r="AJ110" s="2299"/>
      <c r="AK110" s="2299"/>
      <c r="AL110" s="2299"/>
      <c r="AM110" s="2299"/>
      <c r="AN110" s="2299"/>
      <c r="AO110" s="2299"/>
      <c r="AP110" s="2299"/>
      <c r="AQ110" s="2299"/>
      <c r="AR110" s="2299"/>
      <c r="AS110" s="2299"/>
      <c r="AT110" s="2299"/>
      <c r="AU110" s="2299"/>
      <c r="AV110" s="2574"/>
      <c r="AW110" s="2576"/>
      <c r="AX110" s="2576"/>
      <c r="AY110" s="2576"/>
      <c r="AZ110" s="2621"/>
      <c r="BA110" s="3760"/>
      <c r="BB110" s="3761"/>
      <c r="BC110" s="3761"/>
      <c r="BD110" s="3761"/>
      <c r="BE110" s="3760"/>
    </row>
    <row r="111" spans="1:57" s="224" customFormat="1">
      <c r="A111"/>
      <c r="B111" s="98"/>
      <c r="C111" s="1397"/>
      <c r="D111" s="1464"/>
      <c r="E111" s="1568"/>
      <c r="F111" s="1647"/>
      <c r="G111" s="2063"/>
      <c r="H111" s="1464"/>
      <c r="I111" s="3738"/>
      <c r="J111" s="378"/>
      <c r="K111" s="993"/>
      <c r="L111" s="994"/>
      <c r="M111" s="650"/>
      <c r="N111" s="837"/>
      <c r="O111" s="838"/>
      <c r="P111" s="839"/>
      <c r="Q111" s="840"/>
      <c r="R111" s="841"/>
      <c r="S111" s="842"/>
      <c r="T111"/>
      <c r="U111"/>
      <c r="V111"/>
      <c r="W111"/>
      <c r="X111"/>
      <c r="Y111"/>
      <c r="Z111"/>
      <c r="AA111" s="2299"/>
      <c r="AB111" s="2299"/>
      <c r="AC111" s="2299"/>
      <c r="AD111" s="2299"/>
      <c r="AE111" s="2299"/>
      <c r="AF111" s="2299"/>
      <c r="AG111" s="2299"/>
      <c r="AH111" s="2299"/>
      <c r="AI111" s="2299"/>
      <c r="AJ111" s="2299"/>
      <c r="AK111" s="2299"/>
      <c r="AL111" s="2299"/>
      <c r="AM111" s="2299"/>
      <c r="AN111" s="2299"/>
      <c r="AO111" s="2299"/>
      <c r="AP111" s="2299"/>
      <c r="AQ111" s="2299"/>
      <c r="AR111" s="2299"/>
      <c r="AS111" s="2299"/>
      <c r="AT111" s="2299"/>
      <c r="AU111" s="2299"/>
      <c r="AV111" s="2574"/>
      <c r="AW111" s="2576"/>
      <c r="AX111" s="2576"/>
      <c r="AY111" s="2576"/>
      <c r="AZ111" s="2621"/>
      <c r="BA111" s="3760"/>
      <c r="BB111" s="3761"/>
      <c r="BC111" s="3761"/>
      <c r="BD111" s="3761"/>
      <c r="BE111" s="3760"/>
    </row>
    <row r="112" spans="1:57" s="224" customFormat="1">
      <c r="A112"/>
      <c r="B112" s="98"/>
      <c r="C112" s="1397"/>
      <c r="D112" s="1464"/>
      <c r="E112" s="1568"/>
      <c r="F112" s="1647"/>
      <c r="G112" s="2063"/>
      <c r="H112" s="1464"/>
      <c r="I112" s="3738"/>
      <c r="J112" s="378"/>
      <c r="K112" s="993"/>
      <c r="L112" s="994"/>
      <c r="M112" s="650"/>
      <c r="N112" s="837"/>
      <c r="O112" s="838"/>
      <c r="P112" s="839"/>
      <c r="Q112" s="840"/>
      <c r="R112" s="841"/>
      <c r="S112" s="842"/>
      <c r="T112"/>
      <c r="U112"/>
      <c r="V112"/>
      <c r="W112"/>
      <c r="X112"/>
      <c r="Y112"/>
      <c r="Z112"/>
      <c r="AA112" s="2299"/>
      <c r="AB112" s="2299"/>
      <c r="AC112" s="2299"/>
      <c r="AD112" s="2299"/>
      <c r="AE112" s="2299"/>
      <c r="AF112" s="2299"/>
      <c r="AG112" s="2299"/>
      <c r="AH112" s="2299"/>
      <c r="AI112" s="2299"/>
      <c r="AJ112" s="2299"/>
      <c r="AK112" s="2299"/>
      <c r="AL112" s="2299"/>
      <c r="AM112" s="2299"/>
      <c r="AN112" s="2299"/>
      <c r="AO112" s="2299"/>
      <c r="AP112" s="2299"/>
      <c r="AQ112" s="2299"/>
      <c r="AR112" s="2299"/>
      <c r="AS112" s="2299"/>
      <c r="AT112" s="2299"/>
      <c r="AU112" s="2299"/>
      <c r="AV112" s="2574"/>
      <c r="AW112" s="2576"/>
      <c r="AX112" s="2576"/>
      <c r="AY112" s="2576"/>
      <c r="AZ112" s="2621"/>
      <c r="BA112" s="3760"/>
      <c r="BB112" s="3761"/>
      <c r="BC112" s="3761"/>
      <c r="BD112" s="3761"/>
      <c r="BE112" s="3760"/>
    </row>
    <row r="113" spans="1:57" s="224" customFormat="1">
      <c r="A113"/>
      <c r="B113" s="98"/>
      <c r="C113" s="1397"/>
      <c r="D113" s="1464"/>
      <c r="E113" s="1568"/>
      <c r="F113" s="1647"/>
      <c r="G113" s="2063"/>
      <c r="H113" s="1464"/>
      <c r="I113" s="3738"/>
      <c r="J113" s="378"/>
      <c r="K113" s="993"/>
      <c r="L113" s="994"/>
      <c r="M113" s="650"/>
      <c r="N113" s="837"/>
      <c r="O113" s="838"/>
      <c r="P113" s="839"/>
      <c r="Q113" s="840"/>
      <c r="R113" s="841"/>
      <c r="S113" s="842"/>
      <c r="T113"/>
      <c r="U113"/>
      <c r="V113"/>
      <c r="W113"/>
      <c r="X113"/>
      <c r="Y113"/>
      <c r="Z113"/>
      <c r="AA113" s="2299"/>
      <c r="AB113" s="2299"/>
      <c r="AC113" s="2299"/>
      <c r="AD113" s="2299"/>
      <c r="AE113" s="2299"/>
      <c r="AF113" s="2299"/>
      <c r="AG113" s="2299"/>
      <c r="AH113" s="2299"/>
      <c r="AI113" s="2299"/>
      <c r="AJ113" s="2299"/>
      <c r="AK113" s="2299"/>
      <c r="AL113" s="2299"/>
      <c r="AM113" s="2299"/>
      <c r="AN113" s="2299"/>
      <c r="AO113" s="2299"/>
      <c r="AP113" s="2299"/>
      <c r="AQ113" s="2299"/>
      <c r="AR113" s="2299"/>
      <c r="AS113" s="2299"/>
      <c r="AT113" s="2299"/>
      <c r="AU113" s="2299"/>
      <c r="AV113" s="2574"/>
      <c r="AW113" s="2576"/>
      <c r="AX113" s="2576"/>
      <c r="AY113" s="2576"/>
      <c r="AZ113" s="2621"/>
      <c r="BA113" s="3760"/>
      <c r="BB113" s="3761"/>
      <c r="BC113" s="3761"/>
      <c r="BD113" s="3761"/>
      <c r="BE113" s="3760"/>
    </row>
    <row r="114" spans="1:57" s="224" customFormat="1">
      <c r="A114"/>
      <c r="B114" s="98"/>
      <c r="C114" s="1397"/>
      <c r="D114" s="1464"/>
      <c r="E114" s="1568"/>
      <c r="F114" s="1647"/>
      <c r="G114" s="2063"/>
      <c r="H114" s="1464"/>
      <c r="I114" s="3738"/>
      <c r="J114" s="378"/>
      <c r="K114" s="993"/>
      <c r="L114" s="994"/>
      <c r="M114" s="650"/>
      <c r="N114" s="837"/>
      <c r="O114" s="838"/>
      <c r="P114" s="839"/>
      <c r="Q114" s="840"/>
      <c r="R114" s="841"/>
      <c r="S114" s="842"/>
      <c r="T114"/>
      <c r="U114"/>
      <c r="V114"/>
      <c r="W114"/>
      <c r="X114"/>
      <c r="Y114"/>
      <c r="Z114"/>
      <c r="AA114" s="2299"/>
      <c r="AB114" s="2299"/>
      <c r="AC114" s="2299"/>
      <c r="AD114" s="2299"/>
      <c r="AE114" s="2299"/>
      <c r="AF114" s="2299"/>
      <c r="AG114" s="2299"/>
      <c r="AH114" s="2299"/>
      <c r="AI114" s="2299"/>
      <c r="AJ114" s="2299"/>
      <c r="AK114" s="2299"/>
      <c r="AL114" s="2299"/>
      <c r="AM114" s="2299"/>
      <c r="AN114" s="2299"/>
      <c r="AO114" s="2299"/>
      <c r="AP114" s="2299"/>
      <c r="AQ114" s="2299"/>
      <c r="AR114" s="2299"/>
      <c r="AS114" s="2299"/>
      <c r="AT114" s="2299"/>
      <c r="AU114" s="2299"/>
      <c r="AV114" s="2574"/>
      <c r="AW114" s="2576"/>
      <c r="AX114" s="2576"/>
      <c r="AY114" s="2576"/>
      <c r="AZ114" s="2621"/>
      <c r="BA114" s="3760"/>
      <c r="BB114" s="3761"/>
      <c r="BC114" s="3761"/>
      <c r="BD114" s="3761"/>
      <c r="BE114" s="3760"/>
    </row>
    <row r="115" spans="1:57">
      <c r="B115" s="98"/>
      <c r="C115" s="1398"/>
      <c r="D115" s="1465"/>
      <c r="E115" s="1569"/>
      <c r="F115" s="1648"/>
      <c r="G115" s="2064"/>
      <c r="H115" s="1465"/>
      <c r="I115" s="3739"/>
      <c r="K115"/>
      <c r="N115" s="378"/>
      <c r="O115" s="378"/>
      <c r="P115" s="378"/>
      <c r="Q115" s="378"/>
      <c r="T115"/>
      <c r="AA115" s="2299"/>
      <c r="AB115" s="2299"/>
      <c r="AC115" s="2299"/>
      <c r="AD115" s="2299"/>
      <c r="AE115" s="2299"/>
      <c r="AF115" s="2299"/>
      <c r="AG115" s="2299"/>
      <c r="AH115" s="2299"/>
      <c r="AI115" s="2299"/>
      <c r="AJ115" s="2299"/>
      <c r="AK115" s="2299"/>
      <c r="AL115" s="2299"/>
      <c r="AM115" s="2299"/>
      <c r="AN115" s="2299"/>
      <c r="AO115" s="2299"/>
      <c r="AP115" s="2299"/>
      <c r="AQ115" s="2299"/>
      <c r="AR115" s="2299"/>
      <c r="AS115" s="2299"/>
      <c r="AT115" s="2299"/>
      <c r="AU115" s="2299"/>
      <c r="AW115" s="2576"/>
      <c r="AX115" s="2576"/>
      <c r="AY115" s="2576"/>
      <c r="BB115" s="3761"/>
      <c r="BC115" s="3761"/>
      <c r="BD115" s="3761"/>
    </row>
    <row r="116" spans="1:57">
      <c r="B116" s="98"/>
      <c r="C116" s="1398"/>
      <c r="D116" s="1465"/>
      <c r="E116" s="1569"/>
      <c r="F116" s="1648"/>
      <c r="G116" s="2064"/>
      <c r="H116" s="1465"/>
      <c r="I116" s="3739"/>
      <c r="K116"/>
      <c r="N116" s="378"/>
      <c r="O116" s="378"/>
      <c r="P116" s="378"/>
      <c r="Q116" s="378"/>
      <c r="T116"/>
      <c r="AA116" s="2299"/>
      <c r="AB116" s="2299"/>
      <c r="AC116" s="2299"/>
      <c r="AD116" s="2299"/>
      <c r="AE116" s="2299"/>
      <c r="AF116" s="2299"/>
      <c r="AG116" s="2299"/>
      <c r="AH116" s="2299"/>
      <c r="AI116" s="2299"/>
      <c r="AJ116" s="2299"/>
      <c r="AK116" s="2299"/>
      <c r="AL116" s="2299"/>
      <c r="AM116" s="2299"/>
      <c r="AN116" s="2299"/>
      <c r="AO116" s="2299"/>
      <c r="AP116" s="2299"/>
      <c r="AQ116" s="2299"/>
      <c r="AR116" s="2299"/>
      <c r="AS116" s="2299"/>
      <c r="AT116" s="2299"/>
      <c r="AU116" s="2299"/>
      <c r="AW116" s="2576"/>
      <c r="AX116" s="2576"/>
      <c r="AY116" s="2576"/>
      <c r="BB116" s="3761"/>
      <c r="BC116" s="3761"/>
      <c r="BD116" s="3761"/>
    </row>
    <row r="117" spans="1:57">
      <c r="B117" s="98"/>
      <c r="C117" s="1398"/>
      <c r="D117" s="1465"/>
      <c r="E117" s="1569"/>
      <c r="F117" s="1648"/>
      <c r="G117" s="2064"/>
      <c r="H117" s="1465"/>
      <c r="I117" s="3739"/>
      <c r="K117"/>
      <c r="N117" s="378"/>
      <c r="O117" s="378"/>
      <c r="P117" s="378"/>
      <c r="Q117" s="378"/>
      <c r="T117"/>
      <c r="AA117" s="2299"/>
      <c r="AB117" s="2299"/>
      <c r="AC117" s="2299"/>
      <c r="AD117" s="2299"/>
      <c r="AE117" s="2299"/>
      <c r="AF117" s="2299"/>
      <c r="AG117" s="2299"/>
      <c r="AH117" s="2299"/>
      <c r="AI117" s="2299"/>
      <c r="AJ117" s="2299"/>
      <c r="AK117" s="2299"/>
      <c r="AL117" s="2299"/>
      <c r="AM117" s="2299"/>
      <c r="AN117" s="2299"/>
      <c r="AO117" s="2299"/>
      <c r="AP117" s="2299"/>
      <c r="AQ117" s="2299"/>
      <c r="AR117" s="2299"/>
      <c r="AS117" s="2299"/>
      <c r="AT117" s="2299"/>
      <c r="AU117" s="2299"/>
      <c r="AW117" s="2576"/>
      <c r="AX117" s="2576"/>
      <c r="AY117" s="2576"/>
      <c r="BB117" s="3761"/>
      <c r="BC117" s="3761"/>
      <c r="BD117" s="3761"/>
    </row>
    <row r="118" spans="1:57">
      <c r="B118" s="98"/>
      <c r="C118" s="1398"/>
      <c r="D118" s="1465"/>
      <c r="E118" s="1569"/>
      <c r="F118" s="1648"/>
      <c r="G118" s="2064"/>
      <c r="H118" s="1465"/>
      <c r="I118" s="3739"/>
      <c r="K118"/>
      <c r="N118" s="378"/>
      <c r="O118" s="378"/>
      <c r="P118" s="378"/>
      <c r="Q118" s="378"/>
      <c r="T118"/>
      <c r="AA118" s="2299"/>
      <c r="AB118" s="2299"/>
      <c r="AC118" s="2299"/>
      <c r="AD118" s="2299"/>
      <c r="AE118" s="2299"/>
      <c r="AF118" s="2299"/>
      <c r="AG118" s="2299"/>
      <c r="AH118" s="2299"/>
      <c r="AI118" s="2299"/>
      <c r="AJ118" s="2299"/>
      <c r="AK118" s="2299"/>
      <c r="AL118" s="2299"/>
      <c r="AM118" s="2299"/>
      <c r="AN118" s="2299"/>
      <c r="AO118" s="2299"/>
      <c r="AP118" s="2299"/>
      <c r="AQ118" s="2299"/>
      <c r="AR118" s="2299"/>
      <c r="AS118" s="2299"/>
      <c r="AT118" s="2299"/>
      <c r="AU118" s="2299"/>
      <c r="AW118" s="2576"/>
      <c r="AX118" s="2576"/>
      <c r="AY118" s="2576"/>
      <c r="BB118" s="3761"/>
      <c r="BC118" s="3761"/>
      <c r="BD118" s="3761"/>
    </row>
    <row r="119" spans="1:57">
      <c r="B119" s="98"/>
      <c r="C119" s="1398"/>
      <c r="D119" s="1465"/>
      <c r="E119" s="1569"/>
      <c r="F119" s="1648"/>
      <c r="G119" s="2064"/>
      <c r="H119" s="1465"/>
      <c r="I119" s="3739"/>
      <c r="K119"/>
      <c r="N119" s="378"/>
      <c r="O119" s="378"/>
      <c r="P119" s="378"/>
      <c r="Q119" s="378"/>
      <c r="T119"/>
      <c r="AA119" s="2299"/>
      <c r="AB119" s="2299"/>
      <c r="AC119" s="2299"/>
      <c r="AD119" s="2299"/>
      <c r="AE119" s="2299"/>
      <c r="AF119" s="2299"/>
      <c r="AG119" s="2299"/>
      <c r="AH119" s="2299"/>
      <c r="AI119" s="2299"/>
      <c r="AJ119" s="2299"/>
      <c r="AK119" s="2299"/>
      <c r="AL119" s="2299"/>
      <c r="AM119" s="2299"/>
      <c r="AN119" s="2299"/>
      <c r="AO119" s="2299"/>
      <c r="AP119" s="2299"/>
      <c r="AQ119" s="2299"/>
      <c r="AR119" s="2299"/>
      <c r="AS119" s="2299"/>
      <c r="AT119" s="2299"/>
      <c r="AU119" s="2299"/>
      <c r="AW119" s="2576"/>
      <c r="AX119" s="2576"/>
      <c r="AY119" s="2576"/>
      <c r="BB119" s="3761"/>
      <c r="BC119" s="3761"/>
      <c r="BD119" s="3761"/>
    </row>
    <row r="120" spans="1:57">
      <c r="B120" s="98"/>
      <c r="C120" s="1398"/>
      <c r="D120" s="1465"/>
      <c r="E120" s="1569"/>
      <c r="F120" s="1648"/>
      <c r="G120" s="2064"/>
      <c r="H120" s="1465"/>
      <c r="I120" s="3739"/>
      <c r="K120"/>
      <c r="N120" s="378"/>
      <c r="O120" s="378"/>
      <c r="P120" s="378"/>
      <c r="Q120" s="378"/>
      <c r="T120"/>
      <c r="AA120" s="2299"/>
      <c r="AB120" s="2299"/>
      <c r="AC120" s="2299"/>
      <c r="AD120" s="2299"/>
      <c r="AE120" s="2299"/>
      <c r="AF120" s="2299"/>
      <c r="AG120" s="2299"/>
      <c r="AH120" s="2299"/>
      <c r="AI120" s="2299"/>
      <c r="AJ120" s="2299"/>
      <c r="AK120" s="2299"/>
      <c r="AL120" s="2299"/>
      <c r="AM120" s="2299"/>
      <c r="AN120" s="2299"/>
      <c r="AO120" s="2299"/>
      <c r="AP120" s="2299"/>
      <c r="AQ120" s="2299"/>
      <c r="AR120" s="2299"/>
      <c r="AS120" s="2299"/>
      <c r="AT120" s="2299"/>
      <c r="AU120" s="2299"/>
      <c r="AW120" s="2576"/>
      <c r="AX120" s="2576"/>
      <c r="AY120" s="2576"/>
      <c r="BB120" s="3761"/>
      <c r="BC120" s="3761"/>
      <c r="BD120" s="3761"/>
    </row>
    <row r="121" spans="1:57">
      <c r="B121" s="98"/>
      <c r="C121" s="1398"/>
      <c r="D121" s="1465"/>
      <c r="E121" s="1569"/>
      <c r="F121" s="1648"/>
      <c r="G121" s="2064"/>
      <c r="H121" s="1465"/>
      <c r="I121" s="3739"/>
      <c r="K121"/>
      <c r="N121" s="378"/>
      <c r="O121" s="378"/>
      <c r="P121" s="378"/>
      <c r="Q121" s="378"/>
      <c r="T121"/>
      <c r="AK121" s="177"/>
      <c r="AL121" s="177"/>
    </row>
    <row r="122" spans="1:57">
      <c r="B122" s="98"/>
      <c r="C122" s="1398"/>
      <c r="D122" s="1465"/>
      <c r="E122" s="1569"/>
      <c r="F122" s="1648"/>
      <c r="G122" s="2064"/>
      <c r="H122" s="1465"/>
      <c r="I122" s="3739"/>
      <c r="K122"/>
      <c r="N122" s="378"/>
      <c r="O122" s="378"/>
      <c r="P122" s="378"/>
      <c r="Q122" s="378"/>
      <c r="T122"/>
      <c r="AK122" s="177"/>
      <c r="AL122" s="177"/>
    </row>
    <row r="123" spans="1:57">
      <c r="B123" s="98"/>
      <c r="C123" s="1398"/>
      <c r="D123" s="1465"/>
      <c r="E123" s="1569"/>
      <c r="F123" s="1648"/>
      <c r="G123" s="2064"/>
      <c r="H123" s="1465"/>
      <c r="I123" s="3739"/>
      <c r="K123"/>
      <c r="N123" s="378"/>
      <c r="O123" s="378"/>
      <c r="P123" s="378"/>
      <c r="Q123" s="378"/>
      <c r="T123"/>
      <c r="AK123" s="177"/>
      <c r="AL123" s="177"/>
    </row>
    <row r="124" spans="1:57">
      <c r="B124" s="98"/>
      <c r="C124" s="1398"/>
      <c r="D124" s="1465"/>
      <c r="E124" s="1569"/>
      <c r="F124" s="1648"/>
      <c r="G124" s="2064"/>
      <c r="H124" s="1465"/>
      <c r="I124" s="3739"/>
      <c r="K124"/>
      <c r="N124" s="378"/>
      <c r="O124" s="378"/>
      <c r="P124" s="378"/>
      <c r="Q124" s="378"/>
      <c r="T124"/>
      <c r="AK124" s="177"/>
      <c r="AL124" s="177"/>
    </row>
    <row r="125" spans="1:57">
      <c r="B125" s="98"/>
      <c r="C125" s="1398"/>
      <c r="D125" s="1465"/>
      <c r="E125" s="1569"/>
      <c r="F125" s="1648"/>
      <c r="G125" s="2064"/>
      <c r="H125" s="1465"/>
      <c r="I125" s="3739"/>
      <c r="K125"/>
      <c r="N125" s="378"/>
      <c r="O125" s="378"/>
      <c r="P125" s="378"/>
      <c r="Q125" s="378"/>
      <c r="T125"/>
      <c r="AK125" s="177"/>
      <c r="AL125" s="177"/>
    </row>
    <row r="126" spans="1:57">
      <c r="B126" s="98"/>
      <c r="C126" s="1398"/>
      <c r="D126" s="1465"/>
      <c r="E126" s="1569"/>
      <c r="F126" s="1648"/>
      <c r="G126" s="2064"/>
      <c r="H126" s="1465"/>
      <c r="I126" s="3739"/>
      <c r="K126"/>
      <c r="N126" s="378"/>
      <c r="O126" s="378"/>
      <c r="P126" s="378"/>
      <c r="Q126" s="378"/>
      <c r="T126"/>
      <c r="AK126" s="177"/>
      <c r="AL126" s="177"/>
    </row>
    <row r="127" spans="1:57">
      <c r="B127" s="98"/>
      <c r="C127" s="1398"/>
      <c r="D127" s="1465"/>
      <c r="E127" s="1569"/>
      <c r="F127" s="1648"/>
      <c r="G127" s="2064"/>
      <c r="H127" s="1465"/>
      <c r="I127" s="3739"/>
      <c r="K127"/>
      <c r="N127" s="378"/>
      <c r="O127" s="378"/>
      <c r="P127" s="378"/>
      <c r="Q127" s="378"/>
      <c r="T127"/>
      <c r="AK127" s="177"/>
      <c r="AL127" s="177"/>
    </row>
    <row r="128" spans="1:57">
      <c r="B128" s="98"/>
      <c r="C128" s="1398"/>
      <c r="D128" s="1465"/>
      <c r="E128" s="1569"/>
      <c r="F128" s="1648"/>
      <c r="G128" s="2064"/>
      <c r="H128" s="1465"/>
      <c r="I128" s="3739"/>
    </row>
    <row r="129" spans="2:9">
      <c r="B129" s="98"/>
      <c r="C129" s="1398"/>
      <c r="D129" s="1465"/>
      <c r="E129" s="1569"/>
      <c r="F129" s="1648"/>
      <c r="G129" s="2064"/>
      <c r="H129" s="1465"/>
      <c r="I129" s="3739"/>
    </row>
    <row r="130" spans="2:9">
      <c r="B130" s="98"/>
      <c r="C130" s="1398"/>
      <c r="D130" s="1465"/>
      <c r="E130" s="1569"/>
      <c r="F130" s="1648"/>
      <c r="G130" s="2064"/>
      <c r="H130" s="1465"/>
      <c r="I130" s="3739"/>
    </row>
    <row r="131" spans="2:9">
      <c r="B131" s="98"/>
      <c r="C131" s="1398"/>
      <c r="D131" s="1465"/>
      <c r="E131" s="1569"/>
      <c r="F131" s="1648"/>
      <c r="G131" s="2064"/>
      <c r="H131" s="1465"/>
      <c r="I131" s="3739"/>
    </row>
    <row r="132" spans="2:9">
      <c r="B132" s="98"/>
      <c r="C132" s="1398"/>
      <c r="D132" s="1465"/>
      <c r="E132" s="1569"/>
      <c r="F132" s="1648"/>
      <c r="G132" s="2064"/>
      <c r="H132" s="1465"/>
      <c r="I132" s="3739"/>
    </row>
    <row r="133" spans="2:9">
      <c r="B133" s="98"/>
      <c r="C133" s="1398"/>
      <c r="D133" s="1465"/>
      <c r="E133" s="1569"/>
      <c r="F133" s="1648"/>
      <c r="G133" s="2064"/>
      <c r="H133" s="1465"/>
      <c r="I133" s="3739"/>
    </row>
    <row r="134" spans="2:9">
      <c r="B134" s="98"/>
      <c r="C134" s="1398"/>
      <c r="D134" s="1465"/>
      <c r="E134" s="1569"/>
      <c r="F134" s="1648"/>
      <c r="G134" s="2064"/>
      <c r="H134" s="1465"/>
      <c r="I134" s="3739"/>
    </row>
    <row r="135" spans="2:9">
      <c r="B135" s="98"/>
      <c r="C135" s="1398"/>
      <c r="D135" s="1465"/>
      <c r="E135" s="1569"/>
      <c r="F135" s="1648"/>
      <c r="G135" s="2064"/>
      <c r="H135" s="1465"/>
      <c r="I135" s="3739"/>
    </row>
    <row r="136" spans="2:9">
      <c r="B136" s="98"/>
      <c r="C136" s="1398"/>
      <c r="D136" s="1465"/>
      <c r="E136" s="1569"/>
      <c r="F136" s="1648"/>
      <c r="G136" s="2064"/>
      <c r="H136" s="1465"/>
      <c r="I136" s="3739"/>
    </row>
    <row r="137" spans="2:9">
      <c r="B137" s="98"/>
      <c r="C137" s="1398"/>
      <c r="D137" s="1465"/>
      <c r="E137" s="1569"/>
      <c r="F137" s="1648"/>
      <c r="G137" s="2064"/>
      <c r="H137" s="1465"/>
      <c r="I137" s="3739"/>
    </row>
    <row r="138" spans="2:9">
      <c r="B138" s="98"/>
      <c r="C138" s="1398"/>
      <c r="D138" s="1465"/>
      <c r="E138" s="1569"/>
      <c r="F138" s="1648"/>
      <c r="G138" s="2064"/>
      <c r="H138" s="1465"/>
      <c r="I138" s="3739"/>
    </row>
    <row r="139" spans="2:9">
      <c r="B139" s="98"/>
      <c r="C139" s="1398"/>
      <c r="D139" s="1465"/>
      <c r="E139" s="1569"/>
      <c r="F139" s="1648"/>
      <c r="G139" s="2064"/>
      <c r="H139" s="1465"/>
      <c r="I139" s="3739"/>
    </row>
    <row r="140" spans="2:9">
      <c r="B140" s="98"/>
      <c r="C140" s="1398"/>
      <c r="D140" s="1465"/>
      <c r="E140" s="1569"/>
      <c r="F140" s="1648"/>
      <c r="G140" s="2064"/>
      <c r="H140" s="1465"/>
      <c r="I140" s="3739"/>
    </row>
    <row r="141" spans="2:9">
      <c r="B141" s="98"/>
      <c r="C141" s="1398"/>
      <c r="D141" s="1465"/>
      <c r="E141" s="1569"/>
      <c r="F141" s="1648"/>
      <c r="G141" s="2064"/>
      <c r="H141" s="1465"/>
      <c r="I141" s="3739"/>
    </row>
    <row r="142" spans="2:9">
      <c r="B142" s="98"/>
      <c r="C142" s="1398"/>
      <c r="D142" s="1465"/>
      <c r="E142" s="1569"/>
      <c r="F142" s="1648"/>
      <c r="G142" s="2064"/>
      <c r="H142" s="1465"/>
      <c r="I142" s="3739"/>
    </row>
    <row r="143" spans="2:9">
      <c r="B143" s="98"/>
      <c r="C143" s="1398"/>
      <c r="D143" s="1465"/>
      <c r="E143" s="1569"/>
      <c r="F143" s="1648"/>
      <c r="G143" s="2064"/>
      <c r="H143" s="1465"/>
      <c r="I143" s="3739"/>
    </row>
    <row r="144" spans="2:9">
      <c r="B144" s="98"/>
      <c r="C144" s="1398"/>
      <c r="D144" s="1465"/>
      <c r="E144" s="1569"/>
      <c r="F144" s="1648"/>
      <c r="G144" s="2064"/>
      <c r="H144" s="1465"/>
      <c r="I144" s="3739"/>
    </row>
    <row r="145" spans="2:9">
      <c r="B145" s="98"/>
      <c r="C145" s="1398"/>
      <c r="D145" s="1465"/>
      <c r="E145" s="1569"/>
      <c r="F145" s="1648"/>
      <c r="G145" s="2064"/>
      <c r="H145" s="1465"/>
      <c r="I145" s="3739"/>
    </row>
    <row r="146" spans="2:9">
      <c r="B146" s="98"/>
      <c r="C146" s="1398"/>
      <c r="D146" s="1465"/>
      <c r="E146" s="1569"/>
      <c r="F146" s="1648"/>
      <c r="G146" s="2064"/>
      <c r="H146" s="1465"/>
      <c r="I146" s="3739"/>
    </row>
    <row r="147" spans="2:9">
      <c r="B147" s="98"/>
      <c r="C147" s="1398"/>
      <c r="D147" s="1465"/>
      <c r="E147" s="1569"/>
      <c r="F147" s="1648"/>
      <c r="G147" s="2064"/>
      <c r="H147" s="1465"/>
      <c r="I147" s="3739"/>
    </row>
    <row r="148" spans="2:9">
      <c r="B148" s="98"/>
      <c r="C148" s="1398"/>
      <c r="D148" s="1465"/>
      <c r="E148" s="1569"/>
      <c r="F148" s="1648"/>
      <c r="G148" s="2064"/>
      <c r="H148" s="1465"/>
      <c r="I148" s="3739"/>
    </row>
    <row r="149" spans="2:9">
      <c r="B149" s="98"/>
      <c r="C149" s="1398"/>
      <c r="D149" s="1465"/>
      <c r="E149" s="1569"/>
      <c r="F149" s="1648"/>
      <c r="G149" s="2064"/>
      <c r="H149" s="1465"/>
      <c r="I149" s="3739"/>
    </row>
    <row r="150" spans="2:9">
      <c r="B150" s="98"/>
      <c r="C150" s="1398"/>
      <c r="D150" s="1465"/>
      <c r="E150" s="1569"/>
      <c r="F150" s="1648"/>
      <c r="G150" s="2064"/>
      <c r="H150" s="1465"/>
      <c r="I150" s="3739"/>
    </row>
    <row r="151" spans="2:9">
      <c r="B151" s="98"/>
      <c r="C151" s="1398"/>
      <c r="D151" s="1465"/>
      <c r="E151" s="1569"/>
      <c r="F151" s="1648"/>
      <c r="G151" s="2064"/>
      <c r="H151" s="1465"/>
      <c r="I151" s="3739"/>
    </row>
    <row r="152" spans="2:9">
      <c r="B152" s="98"/>
      <c r="C152" s="1398"/>
      <c r="D152" s="1465"/>
      <c r="E152" s="1569"/>
      <c r="F152" s="1648"/>
      <c r="G152" s="2064"/>
      <c r="H152" s="1465"/>
      <c r="I152" s="3739"/>
    </row>
    <row r="153" spans="2:9">
      <c r="B153" s="98"/>
      <c r="C153" s="1398"/>
      <c r="D153" s="1465"/>
      <c r="E153" s="1569"/>
      <c r="F153" s="1648"/>
      <c r="G153" s="2064"/>
      <c r="H153" s="1465"/>
      <c r="I153" s="3739"/>
    </row>
    <row r="154" spans="2:9">
      <c r="B154" s="98"/>
      <c r="C154" s="1398"/>
      <c r="D154" s="1465"/>
      <c r="E154" s="1569"/>
      <c r="F154" s="1648"/>
      <c r="G154" s="2064"/>
      <c r="H154" s="1465"/>
      <c r="I154" s="3739"/>
    </row>
    <row r="155" spans="2:9">
      <c r="B155" s="98"/>
      <c r="C155" s="1398"/>
      <c r="D155" s="1465"/>
      <c r="E155" s="1569"/>
      <c r="F155" s="1648"/>
      <c r="G155" s="2064"/>
      <c r="H155" s="1465"/>
      <c r="I155" s="3739"/>
    </row>
    <row r="156" spans="2:9">
      <c r="B156" s="98"/>
      <c r="C156" s="1398"/>
      <c r="D156" s="1465"/>
      <c r="E156" s="1569"/>
      <c r="F156" s="1648"/>
      <c r="G156" s="2064"/>
      <c r="H156" s="1465"/>
      <c r="I156" s="3739"/>
    </row>
    <row r="157" spans="2:9">
      <c r="B157" s="98"/>
      <c r="C157" s="1398"/>
      <c r="D157" s="1465"/>
      <c r="E157" s="1569"/>
      <c r="F157" s="1648"/>
      <c r="G157" s="2064"/>
      <c r="H157" s="1465"/>
      <c r="I157" s="3739"/>
    </row>
    <row r="158" spans="2:9">
      <c r="B158" s="98"/>
      <c r="C158" s="1398"/>
      <c r="D158" s="1465"/>
      <c r="E158" s="1569"/>
      <c r="F158" s="1648"/>
      <c r="G158" s="2064"/>
      <c r="H158" s="1465"/>
      <c r="I158" s="3739"/>
    </row>
    <row r="159" spans="2:9">
      <c r="B159" s="98"/>
      <c r="C159" s="1398"/>
      <c r="D159" s="1465"/>
      <c r="E159" s="1569"/>
      <c r="F159" s="1648"/>
      <c r="G159" s="2064"/>
      <c r="H159" s="1465"/>
      <c r="I159" s="3739"/>
    </row>
    <row r="160" spans="2:9">
      <c r="B160" s="98"/>
      <c r="C160" s="1398"/>
      <c r="D160" s="1465"/>
      <c r="E160" s="1569"/>
      <c r="F160" s="1648"/>
      <c r="G160" s="2064"/>
      <c r="H160" s="1465"/>
      <c r="I160" s="3739"/>
    </row>
    <row r="161" spans="2:9">
      <c r="B161" s="98"/>
      <c r="C161" s="1398"/>
      <c r="D161" s="1465"/>
      <c r="E161" s="1569"/>
      <c r="F161" s="1648"/>
      <c r="G161" s="2064"/>
      <c r="H161" s="1465"/>
      <c r="I161" s="3739"/>
    </row>
    <row r="162" spans="2:9">
      <c r="B162" s="98"/>
      <c r="C162" s="1398"/>
      <c r="D162" s="1465"/>
      <c r="E162" s="1569"/>
      <c r="F162" s="1648"/>
      <c r="G162" s="2064"/>
      <c r="H162" s="1465"/>
      <c r="I162" s="3739"/>
    </row>
    <row r="163" spans="2:9">
      <c r="B163" s="98"/>
      <c r="C163" s="1398"/>
      <c r="D163" s="1465"/>
      <c r="E163" s="1569"/>
      <c r="F163" s="1648"/>
      <c r="G163" s="2064"/>
      <c r="H163" s="1465"/>
      <c r="I163" s="3739"/>
    </row>
    <row r="164" spans="2:9">
      <c r="B164" s="98"/>
      <c r="C164" s="1398"/>
      <c r="D164" s="1465"/>
      <c r="E164" s="1569"/>
      <c r="F164" s="1648"/>
      <c r="G164" s="2064"/>
      <c r="H164" s="1465"/>
      <c r="I164" s="3739"/>
    </row>
    <row r="165" spans="2:9">
      <c r="B165" s="98"/>
      <c r="C165" s="1398"/>
      <c r="D165" s="1465"/>
      <c r="E165" s="1569"/>
      <c r="F165" s="1648"/>
      <c r="G165" s="2064"/>
      <c r="H165" s="1465"/>
      <c r="I165" s="3739"/>
    </row>
    <row r="166" spans="2:9">
      <c r="B166" s="98"/>
      <c r="C166" s="1398"/>
      <c r="D166" s="1465"/>
      <c r="E166" s="1569"/>
      <c r="F166" s="1648"/>
      <c r="G166" s="2064"/>
      <c r="H166" s="1465"/>
      <c r="I166" s="3739"/>
    </row>
    <row r="167" spans="2:9">
      <c r="B167" s="98"/>
      <c r="C167" s="1398"/>
      <c r="D167" s="1465"/>
      <c r="E167" s="1569"/>
      <c r="F167" s="1648"/>
      <c r="G167" s="2064"/>
      <c r="H167" s="1465"/>
      <c r="I167" s="3739"/>
    </row>
    <row r="168" spans="2:9">
      <c r="B168" s="98"/>
      <c r="C168" s="1398"/>
      <c r="D168" s="1465"/>
      <c r="E168" s="1569"/>
      <c r="F168" s="1648"/>
      <c r="G168" s="2064"/>
      <c r="H168" s="1465"/>
      <c r="I168" s="3739"/>
    </row>
    <row r="169" spans="2:9">
      <c r="B169" s="98"/>
      <c r="C169" s="1398"/>
      <c r="D169" s="1465"/>
      <c r="E169" s="1569"/>
      <c r="F169" s="1648"/>
      <c r="G169" s="2064"/>
      <c r="H169" s="1465"/>
      <c r="I169" s="3739"/>
    </row>
    <row r="170" spans="2:9">
      <c r="B170" s="98"/>
      <c r="C170" s="1398"/>
      <c r="D170" s="1465"/>
      <c r="E170" s="1569"/>
      <c r="F170" s="1648"/>
      <c r="G170" s="2064"/>
      <c r="H170" s="1465"/>
      <c r="I170" s="3739"/>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151"/>
  <sheetViews>
    <sheetView topLeftCell="AF4" workbookViewId="0">
      <selection activeCell="AQ39" sqref="AQ39"/>
    </sheetView>
  </sheetViews>
  <sheetFormatPr defaultRowHeight="12.75"/>
  <cols>
    <col min="2" max="2" width="49.7109375" customWidth="1"/>
    <col min="3" max="3" width="20.7109375" style="1403" customWidth="1"/>
    <col min="4" max="4" width="2.7109375" style="1403" customWidth="1"/>
    <col min="5" max="5" width="20.7109375" style="1403" customWidth="1"/>
    <col min="6" max="6" width="2.7109375" style="1403" customWidth="1"/>
    <col min="7" max="7" width="20.7109375" style="1403" customWidth="1"/>
    <col min="8" max="8" width="2.7109375" style="1403" customWidth="1"/>
    <col min="9" max="9" width="20.7109375" style="1403" customWidth="1"/>
    <col min="10" max="10" width="5.7109375" style="3643" customWidth="1"/>
    <col min="11" max="11" width="20.7109375" style="3643" customWidth="1"/>
    <col min="12" max="12" width="2.7109375" style="3643" customWidth="1"/>
    <col min="13" max="13" width="20.7109375" style="3643" customWidth="1"/>
    <col min="14" max="14" width="2.7109375" style="3643" customWidth="1"/>
    <col min="15" max="15" width="20.7109375" style="3643" customWidth="1"/>
    <col min="16" max="16" width="2.7109375" style="3643" customWidth="1"/>
    <col min="17" max="17" width="20.7109375" style="3643" customWidth="1"/>
    <col min="18" max="18" width="5.7109375" style="1570" customWidth="1"/>
    <col min="19" max="19" width="20.7109375" style="1570" customWidth="1"/>
    <col min="20" max="20" width="2.7109375" style="1570" customWidth="1"/>
    <col min="21" max="21" width="20.7109375" style="1570" customWidth="1"/>
    <col min="22" max="22" width="2.7109375" style="1570" customWidth="1"/>
    <col min="23" max="23" width="20.7109375" style="1570" customWidth="1"/>
    <col min="24" max="24" width="2.7109375" style="1570" customWidth="1"/>
    <col min="25" max="25" width="20.7109375" style="1570" customWidth="1"/>
    <col min="26" max="26" width="5.7109375" style="1650" customWidth="1"/>
    <col min="27" max="27" width="20.7109375" style="1650" customWidth="1"/>
    <col min="28" max="28" width="2.7109375" style="1650" customWidth="1"/>
    <col min="29" max="29" width="20.7109375" style="1650" customWidth="1"/>
    <col min="30" max="30" width="2.7109375" style="1650" customWidth="1"/>
    <col min="31" max="31" width="20.7109375" style="1650" customWidth="1"/>
    <col min="32" max="32" width="2.7109375" style="1650" customWidth="1"/>
    <col min="33" max="33" width="20.7109375" style="1650" customWidth="1"/>
    <col min="34" max="34" width="5.7109375" style="2109" customWidth="1"/>
    <col min="35" max="35" width="20.7109375" style="2109" customWidth="1"/>
    <col min="36" max="36" width="2.7109375" style="2109" customWidth="1"/>
    <col min="37" max="37" width="20.7109375" style="2109" customWidth="1"/>
    <col min="38" max="38" width="2.7109375" style="2109" customWidth="1"/>
    <col min="39" max="39" width="20.7109375" style="2109" customWidth="1"/>
    <col min="40" max="40" width="2.7109375" style="2109" customWidth="1"/>
    <col min="41" max="41" width="20.7109375" style="2109" customWidth="1"/>
    <col min="42" max="42" width="5.7109375" style="2631" customWidth="1"/>
    <col min="43" max="43" width="20.7109375" style="2631" customWidth="1"/>
    <col min="44" max="44" width="2.7109375" style="2631" customWidth="1"/>
    <col min="45" max="45" width="20.7109375" style="2631" customWidth="1"/>
    <col min="46" max="46" width="2.7109375" style="2631" customWidth="1"/>
    <col min="47" max="47" width="20.7109375" style="2631" customWidth="1"/>
    <col min="48" max="48" width="2.7109375" style="2631" customWidth="1"/>
    <col min="49" max="49" width="20.7109375" style="2631" customWidth="1"/>
    <col min="50" max="50" width="5.7109375" style="3908" customWidth="1"/>
    <col min="51" max="51" width="20.7109375" style="3908" customWidth="1"/>
    <col min="52" max="52" width="2.7109375" style="3908" customWidth="1"/>
    <col min="53" max="53" width="20.7109375" style="3908" customWidth="1"/>
    <col min="54" max="54" width="2.7109375" style="3908" customWidth="1"/>
    <col min="55" max="55" width="20.7109375" style="3908" customWidth="1"/>
    <col min="56" max="56" width="2.7109375" style="3908" customWidth="1"/>
    <col min="57" max="57" width="20.7109375" style="3908" customWidth="1"/>
  </cols>
  <sheetData>
    <row r="1" spans="1:85">
      <c r="A1" s="293" t="s">
        <v>2049</v>
      </c>
      <c r="B1" s="130"/>
      <c r="I1" s="2733"/>
      <c r="Q1" s="4055"/>
      <c r="Y1" s="2769"/>
      <c r="AG1" s="2790"/>
      <c r="AO1" s="2664"/>
      <c r="AW1" s="2820"/>
      <c r="BE1" s="3909"/>
      <c r="CG1" t="s">
        <v>3907</v>
      </c>
    </row>
    <row r="2" spans="1:85">
      <c r="A2" s="306" t="s">
        <v>7731</v>
      </c>
      <c r="B2" s="131"/>
      <c r="I2" s="2733"/>
      <c r="Q2" s="4055"/>
      <c r="Y2" s="2769"/>
      <c r="AG2" s="2790"/>
      <c r="AO2" s="2664"/>
      <c r="AW2" s="2820"/>
      <c r="BE2" s="3909"/>
    </row>
    <row r="3" spans="1:85">
      <c r="I3" s="2733"/>
      <c r="Q3" s="4055"/>
      <c r="Y3" s="2769"/>
      <c r="AG3" s="2790"/>
      <c r="AO3" s="2664"/>
      <c r="AW3" s="2820"/>
      <c r="BE3" s="3909"/>
    </row>
    <row r="4" spans="1:85">
      <c r="I4" s="2733"/>
      <c r="Q4" s="4055"/>
      <c r="Y4" s="2769"/>
      <c r="AG4" s="2790"/>
      <c r="AO4" s="2664"/>
      <c r="AW4" s="2820"/>
      <c r="BE4" s="3909"/>
    </row>
    <row r="5" spans="1:85">
      <c r="I5" s="2733"/>
      <c r="Q5" s="4055"/>
      <c r="Y5" s="2769"/>
      <c r="AG5" s="2790"/>
      <c r="AO5" s="2664"/>
      <c r="AW5" s="2820"/>
      <c r="BE5" s="3909"/>
    </row>
    <row r="6" spans="1:85">
      <c r="B6" s="35"/>
      <c r="C6" s="1410" t="s">
        <v>4511</v>
      </c>
      <c r="E6" s="1410" t="s">
        <v>4511</v>
      </c>
      <c r="G6" s="1410" t="s">
        <v>4511</v>
      </c>
      <c r="I6" s="2734" t="s">
        <v>4511</v>
      </c>
      <c r="K6" s="3745" t="s">
        <v>4511</v>
      </c>
      <c r="L6" s="3745"/>
      <c r="M6" s="3745" t="s">
        <v>4511</v>
      </c>
      <c r="N6" s="3745"/>
      <c r="O6" s="3745" t="s">
        <v>4511</v>
      </c>
      <c r="P6" s="3745"/>
      <c r="Q6" s="4240" t="s">
        <v>4511</v>
      </c>
      <c r="S6" s="1588" t="s">
        <v>4511</v>
      </c>
      <c r="T6" s="1586"/>
      <c r="U6" s="1588" t="s">
        <v>4511</v>
      </c>
      <c r="V6" s="1586"/>
      <c r="W6" s="1588" t="s">
        <v>4511</v>
      </c>
      <c r="X6" s="1586"/>
      <c r="Y6" s="2772" t="s">
        <v>4511</v>
      </c>
      <c r="AA6" s="1669" t="s">
        <v>4511</v>
      </c>
      <c r="AB6" s="1667"/>
      <c r="AC6" s="1669" t="s">
        <v>4511</v>
      </c>
      <c r="AD6" s="1667"/>
      <c r="AE6" s="1669" t="s">
        <v>4511</v>
      </c>
      <c r="AF6" s="1667"/>
      <c r="AG6" s="2793" t="s">
        <v>4511</v>
      </c>
      <c r="AI6" s="2112" t="s">
        <v>4511</v>
      </c>
      <c r="AJ6" s="2110"/>
      <c r="AK6" s="2112" t="s">
        <v>4511</v>
      </c>
      <c r="AL6" s="2110"/>
      <c r="AM6" s="2112" t="s">
        <v>4511</v>
      </c>
      <c r="AN6" s="2110"/>
      <c r="AO6" s="2812" t="s">
        <v>4511</v>
      </c>
      <c r="AQ6" s="2634" t="s">
        <v>4511</v>
      </c>
      <c r="AR6" s="2632"/>
      <c r="AS6" s="2634" t="s">
        <v>4511</v>
      </c>
      <c r="AT6" s="2632"/>
      <c r="AU6" s="2634" t="s">
        <v>4511</v>
      </c>
      <c r="AV6" s="2632"/>
      <c r="AW6" s="2823" t="s">
        <v>4511</v>
      </c>
      <c r="AY6" s="4090" t="s">
        <v>4511</v>
      </c>
      <c r="AZ6" s="4091"/>
      <c r="BA6" s="4090" t="s">
        <v>4511</v>
      </c>
      <c r="BB6" s="4091"/>
      <c r="BC6" s="4090" t="s">
        <v>4511</v>
      </c>
      <c r="BD6" s="4091"/>
      <c r="BE6" s="4092" t="s">
        <v>4511</v>
      </c>
    </row>
    <row r="7" spans="1:85">
      <c r="B7" s="35"/>
      <c r="C7" s="1408" t="s">
        <v>3613</v>
      </c>
      <c r="D7" s="1408"/>
      <c r="E7" s="1408" t="s">
        <v>3613</v>
      </c>
      <c r="F7" s="1408"/>
      <c r="G7" s="1408" t="s">
        <v>3613</v>
      </c>
      <c r="H7" s="1408"/>
      <c r="I7" s="2735" t="s">
        <v>3613</v>
      </c>
      <c r="K7" s="3745" t="s">
        <v>3673</v>
      </c>
      <c r="L7" s="3745"/>
      <c r="M7" s="3745" t="s">
        <v>3673</v>
      </c>
      <c r="N7" s="3745"/>
      <c r="O7" s="3745" t="s">
        <v>3673</v>
      </c>
      <c r="P7" s="3745"/>
      <c r="Q7" s="4240" t="s">
        <v>3673</v>
      </c>
      <c r="S7" s="1586" t="s">
        <v>3830</v>
      </c>
      <c r="T7" s="1586"/>
      <c r="U7" s="1586" t="s">
        <v>3830</v>
      </c>
      <c r="V7" s="1586"/>
      <c r="W7" s="1586" t="s">
        <v>3830</v>
      </c>
      <c r="X7" s="1586"/>
      <c r="Y7" s="2770" t="s">
        <v>3830</v>
      </c>
      <c r="AA7" s="1667" t="s">
        <v>3903</v>
      </c>
      <c r="AB7" s="1667"/>
      <c r="AC7" s="1667" t="s">
        <v>3903</v>
      </c>
      <c r="AD7" s="1667"/>
      <c r="AE7" s="1667" t="s">
        <v>3903</v>
      </c>
      <c r="AF7" s="1667"/>
      <c r="AG7" s="2791" t="s">
        <v>3903</v>
      </c>
      <c r="AI7" s="2110" t="s">
        <v>4592</v>
      </c>
      <c r="AJ7" s="2110"/>
      <c r="AK7" s="2110" t="s">
        <v>4592</v>
      </c>
      <c r="AL7" s="2110"/>
      <c r="AM7" s="2110" t="s">
        <v>4592</v>
      </c>
      <c r="AN7" s="2110"/>
      <c r="AO7" s="2665" t="s">
        <v>4592</v>
      </c>
      <c r="AQ7" s="2632" t="s">
        <v>7097</v>
      </c>
      <c r="AR7" s="2632"/>
      <c r="AS7" s="2632" t="s">
        <v>7097</v>
      </c>
      <c r="AT7" s="2632"/>
      <c r="AU7" s="2632" t="s">
        <v>7097</v>
      </c>
      <c r="AV7" s="2632"/>
      <c r="AW7" s="2821" t="s">
        <v>7097</v>
      </c>
      <c r="AY7" s="4105" t="s">
        <v>7733</v>
      </c>
      <c r="AZ7" s="4091"/>
      <c r="BA7" s="4091" t="str">
        <f>AY7</f>
        <v>2022-23</v>
      </c>
      <c r="BB7" s="4091"/>
      <c r="BC7" s="4091" t="str">
        <f>BA7</f>
        <v>2022-23</v>
      </c>
      <c r="BD7" s="4091"/>
      <c r="BE7" s="4093" t="str">
        <f>BC7</f>
        <v>2022-23</v>
      </c>
    </row>
    <row r="8" spans="1:85">
      <c r="C8" s="1408" t="s">
        <v>2944</v>
      </c>
      <c r="D8" s="1408"/>
      <c r="E8" s="1408" t="s">
        <v>215</v>
      </c>
      <c r="F8" s="1408"/>
      <c r="G8" s="1408" t="s">
        <v>2944</v>
      </c>
      <c r="H8" s="1408"/>
      <c r="I8" s="2735" t="s">
        <v>215</v>
      </c>
      <c r="K8" s="3745" t="s">
        <v>2944</v>
      </c>
      <c r="L8" s="3745"/>
      <c r="M8" s="3745" t="s">
        <v>215</v>
      </c>
      <c r="N8" s="3745"/>
      <c r="O8" s="3745" t="s">
        <v>2944</v>
      </c>
      <c r="P8" s="3745"/>
      <c r="Q8" s="4240" t="s">
        <v>215</v>
      </c>
      <c r="S8" s="1586" t="s">
        <v>2944</v>
      </c>
      <c r="T8" s="1586"/>
      <c r="U8" s="1586" t="s">
        <v>215</v>
      </c>
      <c r="V8" s="1586"/>
      <c r="W8" s="1586" t="s">
        <v>2944</v>
      </c>
      <c r="X8" s="1586"/>
      <c r="Y8" s="2770" t="s">
        <v>215</v>
      </c>
      <c r="AA8" s="1667" t="s">
        <v>2944</v>
      </c>
      <c r="AB8" s="1667"/>
      <c r="AC8" s="1667" t="s">
        <v>215</v>
      </c>
      <c r="AD8" s="1667"/>
      <c r="AE8" s="1667" t="s">
        <v>2944</v>
      </c>
      <c r="AF8" s="1667"/>
      <c r="AG8" s="2791" t="s">
        <v>215</v>
      </c>
      <c r="AI8" s="2110" t="s">
        <v>2944</v>
      </c>
      <c r="AJ8" s="2110"/>
      <c r="AK8" s="2110" t="s">
        <v>215</v>
      </c>
      <c r="AL8" s="2110"/>
      <c r="AM8" s="2110" t="s">
        <v>2944</v>
      </c>
      <c r="AN8" s="2110"/>
      <c r="AO8" s="2665" t="s">
        <v>215</v>
      </c>
      <c r="AQ8" s="2632" t="s">
        <v>2944</v>
      </c>
      <c r="AR8" s="2632"/>
      <c r="AS8" s="2632" t="s">
        <v>215</v>
      </c>
      <c r="AT8" s="2632"/>
      <c r="AU8" s="2632" t="s">
        <v>2944</v>
      </c>
      <c r="AV8" s="2632"/>
      <c r="AW8" s="2821" t="s">
        <v>215</v>
      </c>
      <c r="AY8" s="4091" t="s">
        <v>2944</v>
      </c>
      <c r="AZ8" s="4091"/>
      <c r="BA8" s="4091" t="s">
        <v>215</v>
      </c>
      <c r="BB8" s="4091"/>
      <c r="BC8" s="4091" t="s">
        <v>2944</v>
      </c>
      <c r="BD8" s="4091"/>
      <c r="BE8" s="4093" t="s">
        <v>215</v>
      </c>
    </row>
    <row r="9" spans="1:85">
      <c r="C9" s="1409">
        <f>Assumptions!G92</f>
        <v>514000</v>
      </c>
      <c r="D9" s="1410"/>
      <c r="E9" s="1409">
        <f>C9</f>
        <v>514000</v>
      </c>
      <c r="F9" s="1410"/>
      <c r="G9" s="1409">
        <f>Assumptions!G93</f>
        <v>319500</v>
      </c>
      <c r="H9" s="1410"/>
      <c r="I9" s="2736">
        <f>G9</f>
        <v>319500</v>
      </c>
      <c r="K9" s="3745">
        <f>Assumptions!G103</f>
        <v>514000</v>
      </c>
      <c r="L9" s="3745"/>
      <c r="M9" s="3745">
        <f>K9</f>
        <v>514000</v>
      </c>
      <c r="N9" s="3745"/>
      <c r="O9" s="3745">
        <f>Assumptions!G104</f>
        <v>319500</v>
      </c>
      <c r="P9" s="3745"/>
      <c r="Q9" s="4240">
        <f>O9</f>
        <v>319500</v>
      </c>
      <c r="S9" s="1587">
        <f>Assumptions!G112</f>
        <v>514000</v>
      </c>
      <c r="T9" s="1588"/>
      <c r="U9" s="1587">
        <f>S9</f>
        <v>514000</v>
      </c>
      <c r="V9" s="1588"/>
      <c r="W9" s="1587">
        <f>Assumptions!G113</f>
        <v>319500</v>
      </c>
      <c r="X9" s="1588"/>
      <c r="Y9" s="2771">
        <f>W9</f>
        <v>319500</v>
      </c>
      <c r="AA9" s="1668">
        <f>Assumptions!G121</f>
        <v>514000</v>
      </c>
      <c r="AB9" s="1669"/>
      <c r="AC9" s="1668">
        <f>AA9</f>
        <v>514000</v>
      </c>
      <c r="AD9" s="1669"/>
      <c r="AE9" s="1668">
        <f>Assumptions!G122</f>
        <v>319500</v>
      </c>
      <c r="AF9" s="1669"/>
      <c r="AG9" s="2792">
        <f>AE9</f>
        <v>319500</v>
      </c>
      <c r="AI9" s="2111">
        <f>Assumptions!G130</f>
        <v>514000</v>
      </c>
      <c r="AJ9" s="2112"/>
      <c r="AK9" s="2111">
        <f>AI9</f>
        <v>514000</v>
      </c>
      <c r="AL9" s="2112"/>
      <c r="AM9" s="2111">
        <f>Assumptions!G131</f>
        <v>319500</v>
      </c>
      <c r="AN9" s="2112"/>
      <c r="AO9" s="2811">
        <f>AM9</f>
        <v>319500</v>
      </c>
      <c r="AQ9" s="2633">
        <f>Assumptions!G139</f>
        <v>514000</v>
      </c>
      <c r="AR9" s="2634"/>
      <c r="AS9" s="2633">
        <f>AQ9</f>
        <v>514000</v>
      </c>
      <c r="AT9" s="2634"/>
      <c r="AU9" s="2633">
        <f>Assumptions!G140</f>
        <v>319500</v>
      </c>
      <c r="AV9" s="2634"/>
      <c r="AW9" s="2822">
        <f>AU9</f>
        <v>319500</v>
      </c>
      <c r="AY9" s="4094">
        <f>Assumptions!G148</f>
        <v>514000</v>
      </c>
      <c r="AZ9" s="4090"/>
      <c r="BA9" s="4094">
        <f>AY9</f>
        <v>514000</v>
      </c>
      <c r="BB9" s="4090"/>
      <c r="BC9" s="4094">
        <f>Assumptions!G149</f>
        <v>319500</v>
      </c>
      <c r="BD9" s="4090"/>
      <c r="BE9" s="4095">
        <f>BC9</f>
        <v>319500</v>
      </c>
    </row>
    <row r="10" spans="1:85">
      <c r="I10" s="2733"/>
      <c r="Q10" s="4055"/>
      <c r="Y10" s="2769"/>
      <c r="AG10" s="2790"/>
      <c r="AO10" s="2664"/>
      <c r="AW10" s="2820"/>
      <c r="BE10" s="3909"/>
    </row>
    <row r="11" spans="1:85">
      <c r="C11" s="1410"/>
      <c r="D11" s="1410"/>
      <c r="E11" s="1410"/>
      <c r="F11" s="1410"/>
      <c r="G11" s="1410"/>
      <c r="H11" s="1410"/>
      <c r="I11" s="2734"/>
      <c r="Q11" s="4055"/>
      <c r="S11" s="1588"/>
      <c r="T11" s="1588"/>
      <c r="U11" s="1588"/>
      <c r="V11" s="1588"/>
      <c r="W11" s="1588"/>
      <c r="X11" s="1588"/>
      <c r="Y11" s="2772"/>
      <c r="AA11" s="1669"/>
      <c r="AB11" s="1669"/>
      <c r="AC11" s="1669"/>
      <c r="AD11" s="1669"/>
      <c r="AE11" s="1669"/>
      <c r="AF11" s="1669"/>
      <c r="AG11" s="2793"/>
      <c r="AI11" s="2112"/>
      <c r="AJ11" s="2112"/>
      <c r="AK11" s="2112"/>
      <c r="AL11" s="2112"/>
      <c r="AM11" s="2112"/>
      <c r="AN11" s="2112"/>
      <c r="AO11" s="2812"/>
      <c r="AQ11" s="2634"/>
      <c r="AR11" s="2634"/>
      <c r="AS11" s="2634"/>
      <c r="AT11" s="2634"/>
      <c r="AU11" s="2634"/>
      <c r="AV11" s="2634"/>
      <c r="AW11" s="2823"/>
      <c r="AY11" s="4090"/>
      <c r="AZ11" s="4090"/>
      <c r="BA11" s="4090"/>
      <c r="BB11" s="4090"/>
      <c r="BC11" s="4090"/>
      <c r="BD11" s="4090"/>
      <c r="BE11" s="4092"/>
    </row>
    <row r="12" spans="1:85" ht="15.75">
      <c r="A12" s="38" t="s">
        <v>1665</v>
      </c>
      <c r="C12" s="1408" t="s">
        <v>2372</v>
      </c>
      <c r="E12" s="1408" t="s">
        <v>2372</v>
      </c>
      <c r="G12" s="1408" t="s">
        <v>2372</v>
      </c>
      <c r="I12" s="2735" t="s">
        <v>2372</v>
      </c>
      <c r="K12" s="3745" t="s">
        <v>2372</v>
      </c>
      <c r="L12" s="3745"/>
      <c r="M12" s="3745" t="s">
        <v>2372</v>
      </c>
      <c r="N12" s="3745"/>
      <c r="O12" s="3745" t="s">
        <v>2372</v>
      </c>
      <c r="P12" s="3745"/>
      <c r="Q12" s="4240" t="s">
        <v>2372</v>
      </c>
      <c r="S12" s="1586" t="s">
        <v>2372</v>
      </c>
      <c r="U12" s="1586" t="s">
        <v>2372</v>
      </c>
      <c r="W12" s="1586" t="s">
        <v>2372</v>
      </c>
      <c r="Y12" s="2770" t="s">
        <v>2372</v>
      </c>
      <c r="AA12" s="1667" t="s">
        <v>2372</v>
      </c>
      <c r="AC12" s="1667" t="s">
        <v>2372</v>
      </c>
      <c r="AE12" s="1667" t="s">
        <v>2372</v>
      </c>
      <c r="AG12" s="2791" t="s">
        <v>2372</v>
      </c>
      <c r="AI12" s="2110" t="s">
        <v>2372</v>
      </c>
      <c r="AK12" s="2110" t="s">
        <v>2372</v>
      </c>
      <c r="AM12" s="2110" t="s">
        <v>2372</v>
      </c>
      <c r="AO12" s="2665" t="s">
        <v>2372</v>
      </c>
      <c r="AQ12" s="2632" t="s">
        <v>2372</v>
      </c>
      <c r="AS12" s="2632" t="s">
        <v>2372</v>
      </c>
      <c r="AU12" s="2632" t="s">
        <v>2372</v>
      </c>
      <c r="AW12" s="2821" t="s">
        <v>2372</v>
      </c>
      <c r="AY12" s="4091" t="s">
        <v>2372</v>
      </c>
      <c r="BA12" s="4091" t="s">
        <v>2372</v>
      </c>
      <c r="BC12" s="4091" t="s">
        <v>2372</v>
      </c>
      <c r="BE12" s="4093" t="s">
        <v>2372</v>
      </c>
    </row>
    <row r="13" spans="1:85">
      <c r="A13" t="s">
        <v>499</v>
      </c>
      <c r="C13" s="1411">
        <f>'Data Entry - SOF'!C136+'Data Entry - SOF'!C137</f>
        <v>0</v>
      </c>
      <c r="D13" s="1412"/>
      <c r="E13" s="1411">
        <f>C13</f>
        <v>0</v>
      </c>
      <c r="F13" s="1412"/>
      <c r="G13" s="1411">
        <f>E13</f>
        <v>0</v>
      </c>
      <c r="H13" s="1412"/>
      <c r="I13" s="2737">
        <f>G13</f>
        <v>0</v>
      </c>
      <c r="K13" s="4114">
        <f>'Data Entry - SOF'!C136+'Data Entry - SOF'!C137</f>
        <v>0</v>
      </c>
      <c r="L13" s="4115"/>
      <c r="M13" s="4114">
        <f>K13</f>
        <v>0</v>
      </c>
      <c r="N13" s="4115"/>
      <c r="O13" s="4114">
        <f>M13</f>
        <v>0</v>
      </c>
      <c r="P13" s="4115"/>
      <c r="Q13" s="4059">
        <f>O13</f>
        <v>0</v>
      </c>
      <c r="S13" s="1589">
        <f>'Data Entry - SOF'!C136+'Data Entry - SOF'!C137</f>
        <v>0</v>
      </c>
      <c r="T13" s="1590"/>
      <c r="U13" s="1589">
        <f>S13</f>
        <v>0</v>
      </c>
      <c r="V13" s="1590"/>
      <c r="W13" s="1589">
        <f>U13</f>
        <v>0</v>
      </c>
      <c r="X13" s="1590"/>
      <c r="Y13" s="2773">
        <f>W13</f>
        <v>0</v>
      </c>
      <c r="AA13" s="1670">
        <f>'Data Entry - SOF'!C136+'Data Entry - SOF'!C137</f>
        <v>0</v>
      </c>
      <c r="AB13" s="1671"/>
      <c r="AC13" s="1670">
        <f>AA13</f>
        <v>0</v>
      </c>
      <c r="AD13" s="1671"/>
      <c r="AE13" s="1670">
        <f>AC13</f>
        <v>0</v>
      </c>
      <c r="AF13" s="1671"/>
      <c r="AG13" s="2794">
        <f>AE13</f>
        <v>0</v>
      </c>
      <c r="AI13" s="2113">
        <f>'Data Entry - SOF'!C136+'Data Entry - SOF'!C137</f>
        <v>0</v>
      </c>
      <c r="AJ13" s="2114"/>
      <c r="AK13" s="2113">
        <f>AI13</f>
        <v>0</v>
      </c>
      <c r="AL13" s="2114"/>
      <c r="AM13" s="2113">
        <f>AK13</f>
        <v>0</v>
      </c>
      <c r="AN13" s="2114"/>
      <c r="AO13" s="2667">
        <f>AM13</f>
        <v>0</v>
      </c>
      <c r="AQ13" s="2635">
        <f>'Data Entry - SOF'!C136+'Data Entry - SOF'!C137</f>
        <v>0</v>
      </c>
      <c r="AR13" s="2636"/>
      <c r="AS13" s="2635">
        <f>AQ13</f>
        <v>0</v>
      </c>
      <c r="AT13" s="2636"/>
      <c r="AU13" s="2635">
        <f>AS13</f>
        <v>0</v>
      </c>
      <c r="AV13" s="2636"/>
      <c r="AW13" s="2824">
        <f>AU13</f>
        <v>0</v>
      </c>
      <c r="AY13" s="3899">
        <f>'Data Entry - SOF'!C136+'Data Entry - SOF'!C137</f>
        <v>0</v>
      </c>
      <c r="AZ13" s="3900"/>
      <c r="BA13" s="3899">
        <f>AY13</f>
        <v>0</v>
      </c>
      <c r="BB13" s="3900"/>
      <c r="BC13" s="3899">
        <f>BA13</f>
        <v>0</v>
      </c>
      <c r="BD13" s="3900"/>
      <c r="BE13" s="3901">
        <f>BC13</f>
        <v>0</v>
      </c>
    </row>
    <row r="14" spans="1:85">
      <c r="A14" t="s">
        <v>500</v>
      </c>
      <c r="C14" s="1413">
        <f>'Data Entry - SOF'!C138</f>
        <v>0</v>
      </c>
      <c r="D14" s="1414"/>
      <c r="E14" s="1413">
        <f>C14</f>
        <v>0</v>
      </c>
      <c r="F14" s="1414"/>
      <c r="G14" s="1413">
        <f>E14</f>
        <v>0</v>
      </c>
      <c r="H14" s="1414"/>
      <c r="I14" s="2738">
        <f>G14</f>
        <v>0</v>
      </c>
      <c r="K14" s="4116">
        <f>'Data Entry - SOF'!C138</f>
        <v>0</v>
      </c>
      <c r="L14" s="4117"/>
      <c r="M14" s="4116">
        <f>K14</f>
        <v>0</v>
      </c>
      <c r="N14" s="4117"/>
      <c r="O14" s="4116">
        <f>M14</f>
        <v>0</v>
      </c>
      <c r="P14" s="4117"/>
      <c r="Q14" s="4241">
        <f>O14</f>
        <v>0</v>
      </c>
      <c r="S14" s="1591">
        <f>'Data Entry - SOF'!C138</f>
        <v>0</v>
      </c>
      <c r="T14" s="1592"/>
      <c r="U14" s="1591">
        <f>S14</f>
        <v>0</v>
      </c>
      <c r="V14" s="1592"/>
      <c r="W14" s="1591">
        <f>U14</f>
        <v>0</v>
      </c>
      <c r="X14" s="1592"/>
      <c r="Y14" s="2774">
        <f>W14</f>
        <v>0</v>
      </c>
      <c r="AA14" s="1672">
        <f>'Data Entry - SOF'!C138</f>
        <v>0</v>
      </c>
      <c r="AB14" s="1673"/>
      <c r="AC14" s="1672">
        <f>AA14</f>
        <v>0</v>
      </c>
      <c r="AD14" s="1673"/>
      <c r="AE14" s="1672">
        <f>AC14</f>
        <v>0</v>
      </c>
      <c r="AF14" s="1673"/>
      <c r="AG14" s="2795">
        <f>AE14</f>
        <v>0</v>
      </c>
      <c r="AI14" s="2115">
        <f>'Data Entry - SOF'!C138</f>
        <v>0</v>
      </c>
      <c r="AJ14" s="2116"/>
      <c r="AK14" s="2115">
        <f>AI14</f>
        <v>0</v>
      </c>
      <c r="AL14" s="2116"/>
      <c r="AM14" s="2115">
        <f>AK14</f>
        <v>0</v>
      </c>
      <c r="AN14" s="2116"/>
      <c r="AO14" s="2666">
        <f>AM14</f>
        <v>0</v>
      </c>
      <c r="AQ14" s="2637">
        <f>'Data Entry - SOF'!C138</f>
        <v>0</v>
      </c>
      <c r="AR14" s="2638"/>
      <c r="AS14" s="2637">
        <f>AQ14</f>
        <v>0</v>
      </c>
      <c r="AT14" s="2638"/>
      <c r="AU14" s="2637">
        <f>AS14</f>
        <v>0</v>
      </c>
      <c r="AV14" s="2638"/>
      <c r="AW14" s="2825">
        <f>AU14</f>
        <v>0</v>
      </c>
      <c r="AY14" s="3902">
        <f>'Data Entry - SOF'!C138</f>
        <v>0</v>
      </c>
      <c r="AZ14" s="3903"/>
      <c r="BA14" s="3902">
        <f>AY14</f>
        <v>0</v>
      </c>
      <c r="BB14" s="3903"/>
      <c r="BC14" s="3902">
        <f>BA14</f>
        <v>0</v>
      </c>
      <c r="BD14" s="3903"/>
      <c r="BE14" s="3904">
        <f>BC14</f>
        <v>0</v>
      </c>
    </row>
    <row r="15" spans="1:85">
      <c r="A15" t="s">
        <v>559</v>
      </c>
      <c r="C15" s="1413" t="e">
        <f>'Ch41 Calc Data'!K17</f>
        <v>#DIV/0!</v>
      </c>
      <c r="D15" s="1414"/>
      <c r="E15" s="1413" t="e">
        <f>C15</f>
        <v>#DIV/0!</v>
      </c>
      <c r="F15" s="1414"/>
      <c r="G15" s="1413" t="e">
        <f>E15</f>
        <v>#DIV/0!</v>
      </c>
      <c r="H15" s="1414"/>
      <c r="I15" s="2738" t="e">
        <f>G15</f>
        <v>#DIV/0!</v>
      </c>
      <c r="K15" s="4116" t="e">
        <f>'Ch41 Calc Data'!L17</f>
        <v>#DIV/0!</v>
      </c>
      <c r="L15" s="4117"/>
      <c r="M15" s="4116" t="e">
        <f>K15</f>
        <v>#DIV/0!</v>
      </c>
      <c r="N15" s="4117"/>
      <c r="O15" s="4116" t="e">
        <f>M15</f>
        <v>#DIV/0!</v>
      </c>
      <c r="P15" s="4117"/>
      <c r="Q15" s="4241" t="e">
        <f>O15</f>
        <v>#DIV/0!</v>
      </c>
      <c r="S15" s="1591" t="e">
        <f>'Ch41 Calc Data'!M17</f>
        <v>#DIV/0!</v>
      </c>
      <c r="T15" s="1592"/>
      <c r="U15" s="1591" t="e">
        <f>S15</f>
        <v>#DIV/0!</v>
      </c>
      <c r="V15" s="1592"/>
      <c r="W15" s="1591" t="e">
        <f>U15</f>
        <v>#DIV/0!</v>
      </c>
      <c r="X15" s="1592"/>
      <c r="Y15" s="2774" t="e">
        <f>W15</f>
        <v>#DIV/0!</v>
      </c>
      <c r="AA15" s="1672" t="e">
        <f>'Ch41 Calc Data'!N17</f>
        <v>#DIV/0!</v>
      </c>
      <c r="AB15" s="1673"/>
      <c r="AC15" s="1672" t="e">
        <f>AA15</f>
        <v>#DIV/0!</v>
      </c>
      <c r="AD15" s="1673"/>
      <c r="AE15" s="1672" t="e">
        <f>AC15</f>
        <v>#DIV/0!</v>
      </c>
      <c r="AF15" s="1673"/>
      <c r="AG15" s="2795" t="e">
        <f>AE15</f>
        <v>#DIV/0!</v>
      </c>
      <c r="AI15" s="2115" t="e">
        <f>'Ch41 Calc Data'!O17</f>
        <v>#DIV/0!</v>
      </c>
      <c r="AJ15" s="2116"/>
      <c r="AK15" s="2115" t="e">
        <f>AI15</f>
        <v>#DIV/0!</v>
      </c>
      <c r="AL15" s="2116"/>
      <c r="AM15" s="2115" t="e">
        <f>AK15</f>
        <v>#DIV/0!</v>
      </c>
      <c r="AN15" s="2116"/>
      <c r="AO15" s="2666" t="e">
        <f>AM15</f>
        <v>#DIV/0!</v>
      </c>
      <c r="AQ15" s="2637" t="e">
        <f>'Ch41 Calc Data'!P17</f>
        <v>#DIV/0!</v>
      </c>
      <c r="AR15" s="2638"/>
      <c r="AS15" s="2637" t="e">
        <f>AQ15</f>
        <v>#DIV/0!</v>
      </c>
      <c r="AT15" s="2638"/>
      <c r="AU15" s="2637" t="e">
        <f>AS15</f>
        <v>#DIV/0!</v>
      </c>
      <c r="AV15" s="2638"/>
      <c r="AW15" s="2825" t="e">
        <f>AU15</f>
        <v>#DIV/0!</v>
      </c>
      <c r="AY15" s="3902" t="e">
        <f>'Ch41 Calc Data'!Q17</f>
        <v>#DIV/0!</v>
      </c>
      <c r="AZ15" s="3903"/>
      <c r="BA15" s="3902" t="e">
        <f>AY15</f>
        <v>#DIV/0!</v>
      </c>
      <c r="BB15" s="3903"/>
      <c r="BC15" s="3902" t="e">
        <f>BA15</f>
        <v>#DIV/0!</v>
      </c>
      <c r="BD15" s="3903"/>
      <c r="BE15" s="3904" t="e">
        <f>BC15</f>
        <v>#DIV/0!</v>
      </c>
    </row>
    <row r="16" spans="1:85">
      <c r="A16" t="s">
        <v>560</v>
      </c>
      <c r="C16" s="1413">
        <f>IF(C14=0,0,C15/C14)</f>
        <v>0</v>
      </c>
      <c r="D16" s="1414"/>
      <c r="E16" s="1413">
        <f>IF(E14=0,0,E15/E14)</f>
        <v>0</v>
      </c>
      <c r="F16" s="1414"/>
      <c r="G16" s="1413">
        <f>IF(G14=0,0,G15/G14)</f>
        <v>0</v>
      </c>
      <c r="H16" s="1414"/>
      <c r="I16" s="2738">
        <f>IF(I14=0,0,I15/I14)</f>
        <v>0</v>
      </c>
      <c r="K16" s="4116">
        <f>IF(K14=0,0,K15/K14)</f>
        <v>0</v>
      </c>
      <c r="L16" s="4117"/>
      <c r="M16" s="4116">
        <f>IF(M14=0,0,M15/M14)</f>
        <v>0</v>
      </c>
      <c r="N16" s="4117"/>
      <c r="O16" s="4116">
        <f>IF(O14=0,0,O15/O14)</f>
        <v>0</v>
      </c>
      <c r="P16" s="4117"/>
      <c r="Q16" s="4241">
        <f>IF(Q14=0,0,Q15/Q14)</f>
        <v>0</v>
      </c>
      <c r="S16" s="1591">
        <f>IF(S14=0,0,S15/S14)</f>
        <v>0</v>
      </c>
      <c r="T16" s="1592"/>
      <c r="U16" s="1591">
        <f>IF(U14=0,0,U15/U14)</f>
        <v>0</v>
      </c>
      <c r="V16" s="1592"/>
      <c r="W16" s="1591">
        <f>IF(W14=0,0,W15/W14)</f>
        <v>0</v>
      </c>
      <c r="X16" s="1592"/>
      <c r="Y16" s="2774">
        <f>IF(Y14=0,0,Y15/Y14)</f>
        <v>0</v>
      </c>
      <c r="AA16" s="1672">
        <f>IF(AA14=0,0,AA15/AA14)</f>
        <v>0</v>
      </c>
      <c r="AB16" s="1673"/>
      <c r="AC16" s="1672">
        <f>IF(AC14=0,0,AC15/AC14)</f>
        <v>0</v>
      </c>
      <c r="AD16" s="1673"/>
      <c r="AE16" s="1672">
        <f>IF(AE14=0,0,AE15/AE14)</f>
        <v>0</v>
      </c>
      <c r="AF16" s="1673"/>
      <c r="AG16" s="2795">
        <f>IF(AG14=0,0,AG15/AG14)</f>
        <v>0</v>
      </c>
      <c r="AI16" s="2115">
        <f>IF(AI14=0,0,AI15/AI14)</f>
        <v>0</v>
      </c>
      <c r="AJ16" s="2116"/>
      <c r="AK16" s="2115">
        <f>IF(AK14=0,0,AK15/AK14)</f>
        <v>0</v>
      </c>
      <c r="AL16" s="2116"/>
      <c r="AM16" s="2115">
        <f>IF(AM14=0,0,AM15/AM14)</f>
        <v>0</v>
      </c>
      <c r="AN16" s="2116"/>
      <c r="AO16" s="2666">
        <f>IF(AO14=0,0,AO15/AO14)</f>
        <v>0</v>
      </c>
      <c r="AQ16" s="2637">
        <f>IF(AQ14=0,0,AQ15/AQ14)</f>
        <v>0</v>
      </c>
      <c r="AR16" s="2638"/>
      <c r="AS16" s="2637">
        <f>IF(AS14=0,0,AS15/AS14)</f>
        <v>0</v>
      </c>
      <c r="AT16" s="2638"/>
      <c r="AU16" s="2637">
        <f>IF(AU14=0,0,AU15/AU14)</f>
        <v>0</v>
      </c>
      <c r="AV16" s="2638"/>
      <c r="AW16" s="2825">
        <f>IF(AW14=0,0,AW15/AW14)</f>
        <v>0</v>
      </c>
      <c r="AY16" s="3902">
        <f>IF(AY14=0,0,AY15/AY14)</f>
        <v>0</v>
      </c>
      <c r="AZ16" s="3903"/>
      <c r="BA16" s="3902">
        <f>IF(BA14=0,0,BA15/BA14)</f>
        <v>0</v>
      </c>
      <c r="BB16" s="3903"/>
      <c r="BC16" s="3902">
        <f>IF(BC14=0,0,BC15/BC14)</f>
        <v>0</v>
      </c>
      <c r="BD16" s="3903"/>
      <c r="BE16" s="3904">
        <f>IF(BE14=0,0,BE15/BE14)</f>
        <v>0</v>
      </c>
    </row>
    <row r="17" spans="1:57">
      <c r="A17" t="s">
        <v>2478</v>
      </c>
      <c r="C17" s="1411">
        <f>C13*C16</f>
        <v>0</v>
      </c>
      <c r="D17" s="1412"/>
      <c r="E17" s="1411">
        <f>E13*E16</f>
        <v>0</v>
      </c>
      <c r="F17" s="1412"/>
      <c r="G17" s="1411">
        <f>G13*G16</f>
        <v>0</v>
      </c>
      <c r="H17" s="1412"/>
      <c r="I17" s="2737">
        <f>I13*I16</f>
        <v>0</v>
      </c>
      <c r="K17" s="4114">
        <f>K13*K16</f>
        <v>0</v>
      </c>
      <c r="L17" s="4115"/>
      <c r="M17" s="4114">
        <f>M13*M16</f>
        <v>0</v>
      </c>
      <c r="N17" s="4115"/>
      <c r="O17" s="4114">
        <f>O13*O16</f>
        <v>0</v>
      </c>
      <c r="P17" s="4115"/>
      <c r="Q17" s="4059">
        <f>Q13*Q16</f>
        <v>0</v>
      </c>
      <c r="S17" s="1589">
        <f>S13*S16</f>
        <v>0</v>
      </c>
      <c r="T17" s="1590"/>
      <c r="U17" s="1589">
        <f>U13*U16</f>
        <v>0</v>
      </c>
      <c r="V17" s="1590"/>
      <c r="W17" s="1589">
        <f>W13*W16</f>
        <v>0</v>
      </c>
      <c r="X17" s="1590"/>
      <c r="Y17" s="2773">
        <f>Y13*Y16</f>
        <v>0</v>
      </c>
      <c r="AA17" s="1670">
        <f>AA13*AA16</f>
        <v>0</v>
      </c>
      <c r="AB17" s="1671"/>
      <c r="AC17" s="1670">
        <f>AC13*AC16</f>
        <v>0</v>
      </c>
      <c r="AD17" s="1671"/>
      <c r="AE17" s="1670">
        <f>AE13*AE16</f>
        <v>0</v>
      </c>
      <c r="AF17" s="1671"/>
      <c r="AG17" s="2794">
        <f>AG13*AG16</f>
        <v>0</v>
      </c>
      <c r="AI17" s="2113">
        <f>AI13*AI16</f>
        <v>0</v>
      </c>
      <c r="AJ17" s="2114"/>
      <c r="AK17" s="2113">
        <f>AK13*AK16</f>
        <v>0</v>
      </c>
      <c r="AL17" s="2114"/>
      <c r="AM17" s="2113">
        <f>AM13*AM16</f>
        <v>0</v>
      </c>
      <c r="AN17" s="2114"/>
      <c r="AO17" s="2667">
        <f>AO13*AO16</f>
        <v>0</v>
      </c>
      <c r="AQ17" s="2635">
        <f>AQ13*AQ16</f>
        <v>0</v>
      </c>
      <c r="AR17" s="2636"/>
      <c r="AS17" s="2635">
        <f>AS13*AS16</f>
        <v>0</v>
      </c>
      <c r="AT17" s="2636"/>
      <c r="AU17" s="2635">
        <f>AU13*AU16</f>
        <v>0</v>
      </c>
      <c r="AV17" s="2636"/>
      <c r="AW17" s="2824">
        <f>AW13*AW16</f>
        <v>0</v>
      </c>
      <c r="AY17" s="3899">
        <f>AY13*AY16</f>
        <v>0</v>
      </c>
      <c r="AZ17" s="3900"/>
      <c r="BA17" s="3899">
        <f>BA13*BA16</f>
        <v>0</v>
      </c>
      <c r="BB17" s="3900"/>
      <c r="BC17" s="3899">
        <f>BC13*BC16</f>
        <v>0</v>
      </c>
      <c r="BD17" s="3900"/>
      <c r="BE17" s="3901">
        <f>BE13*BE16</f>
        <v>0</v>
      </c>
    </row>
    <row r="18" spans="1:57">
      <c r="A18" t="s">
        <v>558</v>
      </c>
      <c r="C18" s="1411">
        <f>'SOF1617-SB1'!F77</f>
        <v>0</v>
      </c>
      <c r="D18" s="1412"/>
      <c r="E18" s="1411">
        <f>C18</f>
        <v>0</v>
      </c>
      <c r="F18" s="1412"/>
      <c r="G18" s="1411">
        <f>E18</f>
        <v>0</v>
      </c>
      <c r="H18" s="1412"/>
      <c r="I18" s="2737">
        <f>G18</f>
        <v>0</v>
      </c>
      <c r="K18" s="4114">
        <f>'SOF1718-SB1'!F76</f>
        <v>0</v>
      </c>
      <c r="L18" s="4115"/>
      <c r="M18" s="4114">
        <f>K18</f>
        <v>0</v>
      </c>
      <c r="N18" s="4115"/>
      <c r="O18" s="4114">
        <f>M18</f>
        <v>0</v>
      </c>
      <c r="P18" s="4115"/>
      <c r="Q18" s="4059">
        <f>O18</f>
        <v>0</v>
      </c>
      <c r="S18" s="1589">
        <f>'SOF1819-SB1'!F76</f>
        <v>0</v>
      </c>
      <c r="T18" s="1590"/>
      <c r="U18" s="1589">
        <f>S18</f>
        <v>0</v>
      </c>
      <c r="V18" s="1590"/>
      <c r="W18" s="1589">
        <f>U18</f>
        <v>0</v>
      </c>
      <c r="X18" s="1590"/>
      <c r="Y18" s="2773">
        <f>W18</f>
        <v>0</v>
      </c>
      <c r="AA18" s="1670">
        <f>'SOF1920-SB1'!F76</f>
        <v>0</v>
      </c>
      <c r="AB18" s="1671"/>
      <c r="AC18" s="1670">
        <f>AA18</f>
        <v>0</v>
      </c>
      <c r="AD18" s="1671"/>
      <c r="AE18" s="1670">
        <f>AC18</f>
        <v>0</v>
      </c>
      <c r="AF18" s="1671"/>
      <c r="AG18" s="2794">
        <f>AE18</f>
        <v>0</v>
      </c>
      <c r="AI18" s="2113">
        <f>'SOF2021-SB1'!F76</f>
        <v>0</v>
      </c>
      <c r="AJ18" s="2114"/>
      <c r="AK18" s="2113">
        <f>AI18</f>
        <v>0</v>
      </c>
      <c r="AL18" s="2114"/>
      <c r="AM18" s="2113">
        <f>AK18</f>
        <v>0</v>
      </c>
      <c r="AN18" s="2114"/>
      <c r="AO18" s="2667">
        <f>AM18</f>
        <v>0</v>
      </c>
      <c r="AQ18" s="2635">
        <f>'SOF2122-SB1'!F76</f>
        <v>0</v>
      </c>
      <c r="AR18" s="2636"/>
      <c r="AS18" s="2635">
        <f>AQ18</f>
        <v>0</v>
      </c>
      <c r="AT18" s="2636"/>
      <c r="AU18" s="2635">
        <f>AS18</f>
        <v>0</v>
      </c>
      <c r="AV18" s="2636"/>
      <c r="AW18" s="2824">
        <f>AU18</f>
        <v>0</v>
      </c>
      <c r="AY18" s="3899">
        <f>'SOF2223-SB1'!F76</f>
        <v>0</v>
      </c>
      <c r="AZ18" s="3900"/>
      <c r="BA18" s="3899">
        <f>AY18</f>
        <v>0</v>
      </c>
      <c r="BB18" s="3900"/>
      <c r="BC18" s="3899">
        <f>BA18</f>
        <v>0</v>
      </c>
      <c r="BD18" s="3900"/>
      <c r="BE18" s="3901">
        <f>BC18</f>
        <v>0</v>
      </c>
    </row>
    <row r="19" spans="1:57">
      <c r="A19" t="s">
        <v>2479</v>
      </c>
      <c r="C19" s="1411">
        <f>C17-C18</f>
        <v>0</v>
      </c>
      <c r="D19" s="1412"/>
      <c r="E19" s="1411">
        <f>E17-E18</f>
        <v>0</v>
      </c>
      <c r="F19" s="1412"/>
      <c r="G19" s="1411">
        <f>G17-G18</f>
        <v>0</v>
      </c>
      <c r="H19" s="1412"/>
      <c r="I19" s="2737">
        <f>I17-I18</f>
        <v>0</v>
      </c>
      <c r="K19" s="4114">
        <f>K17-K18</f>
        <v>0</v>
      </c>
      <c r="L19" s="4115"/>
      <c r="M19" s="4114">
        <f>M17-M18</f>
        <v>0</v>
      </c>
      <c r="N19" s="4115"/>
      <c r="O19" s="4114">
        <f>O17-O18</f>
        <v>0</v>
      </c>
      <c r="P19" s="4115"/>
      <c r="Q19" s="4059">
        <f>Q17-Q18</f>
        <v>0</v>
      </c>
      <c r="S19" s="1589">
        <f>S17-S18</f>
        <v>0</v>
      </c>
      <c r="T19" s="1590"/>
      <c r="U19" s="1589">
        <f>U17-U18</f>
        <v>0</v>
      </c>
      <c r="V19" s="1590"/>
      <c r="W19" s="1589">
        <f>W17-W18</f>
        <v>0</v>
      </c>
      <c r="X19" s="1590"/>
      <c r="Y19" s="2773">
        <f>Y17-Y18</f>
        <v>0</v>
      </c>
      <c r="AA19" s="1670">
        <f>AA17-AA18</f>
        <v>0</v>
      </c>
      <c r="AB19" s="1671"/>
      <c r="AC19" s="1670">
        <f>AC17-AC18</f>
        <v>0</v>
      </c>
      <c r="AD19" s="1671"/>
      <c r="AE19" s="1670">
        <f>AE17-AE18</f>
        <v>0</v>
      </c>
      <c r="AF19" s="1671"/>
      <c r="AG19" s="2794">
        <f>AG17-AG18</f>
        <v>0</v>
      </c>
      <c r="AI19" s="2113">
        <f>AI17-AI18</f>
        <v>0</v>
      </c>
      <c r="AJ19" s="2114"/>
      <c r="AK19" s="2113">
        <f>AK17-AK18</f>
        <v>0</v>
      </c>
      <c r="AL19" s="2114"/>
      <c r="AM19" s="2113">
        <f>AM17-AM18</f>
        <v>0</v>
      </c>
      <c r="AN19" s="2114"/>
      <c r="AO19" s="2667">
        <f>AO17-AO18</f>
        <v>0</v>
      </c>
      <c r="AQ19" s="2635">
        <f>AQ17-AQ18</f>
        <v>0</v>
      </c>
      <c r="AR19" s="2636"/>
      <c r="AS19" s="2635">
        <f>AS17-AS18</f>
        <v>0</v>
      </c>
      <c r="AT19" s="2636"/>
      <c r="AU19" s="2635">
        <f>AU17-AU18</f>
        <v>0</v>
      </c>
      <c r="AV19" s="2636"/>
      <c r="AW19" s="2824">
        <f>AW17-AW18</f>
        <v>0</v>
      </c>
      <c r="AY19" s="3899">
        <f>AY17-AY18</f>
        <v>0</v>
      </c>
      <c r="AZ19" s="3900"/>
      <c r="BA19" s="3899">
        <f>BA17-BA18</f>
        <v>0</v>
      </c>
      <c r="BB19" s="3900"/>
      <c r="BC19" s="3899">
        <f>BC17-BC18</f>
        <v>0</v>
      </c>
      <c r="BD19" s="3900"/>
      <c r="BE19" s="3901">
        <f>BE17-BE18</f>
        <v>0</v>
      </c>
    </row>
    <row r="20" spans="1:57">
      <c r="A20" t="s">
        <v>1283</v>
      </c>
      <c r="C20" s="1413">
        <f>IF('Data Entry - SOF'!C136=0,0,('Data Entry - SOF'!C136/'Data Entry - SOF'!C139)+0.0082)</f>
        <v>0</v>
      </c>
      <c r="D20" s="1414"/>
      <c r="E20" s="1413">
        <f>C20</f>
        <v>0</v>
      </c>
      <c r="F20" s="1414"/>
      <c r="G20" s="1413">
        <f>E20</f>
        <v>0</v>
      </c>
      <c r="H20" s="1414"/>
      <c r="I20" s="2738">
        <f>G20</f>
        <v>0</v>
      </c>
      <c r="K20" s="4116">
        <f>IF('Data Entry - SOF'!C136=0,0,('Data Entry - SOF'!C136/'Data Entry - SOF'!C139)+0.0082)</f>
        <v>0</v>
      </c>
      <c r="L20" s="4117"/>
      <c r="M20" s="4116">
        <f>K20</f>
        <v>0</v>
      </c>
      <c r="N20" s="4117"/>
      <c r="O20" s="4116">
        <f>M20</f>
        <v>0</v>
      </c>
      <c r="P20" s="4117"/>
      <c r="Q20" s="4241">
        <f>O20</f>
        <v>0</v>
      </c>
      <c r="S20" s="1591">
        <f>IF('Data Entry - SOF'!G136=0,0,('Data Entry - SOF'!G136/'Data Entry - SOF'!G139)+0.0082)</f>
        <v>0</v>
      </c>
      <c r="T20" s="1592"/>
      <c r="U20" s="1591">
        <f>S20</f>
        <v>0</v>
      </c>
      <c r="V20" s="1592"/>
      <c r="W20" s="1591">
        <f>U20</f>
        <v>0</v>
      </c>
      <c r="X20" s="1592"/>
      <c r="Y20" s="2774">
        <f>W20</f>
        <v>0</v>
      </c>
      <c r="AA20" s="1672">
        <f>IF('Data Entry - SOF'!I136=0,0,('Data Entry - SOF'!I136/'Data Entry - SOF'!I139)+0.0082)</f>
        <v>0</v>
      </c>
      <c r="AB20" s="1673"/>
      <c r="AC20" s="1672">
        <f>AA20</f>
        <v>0</v>
      </c>
      <c r="AD20" s="1673"/>
      <c r="AE20" s="1672">
        <f>AC20</f>
        <v>0</v>
      </c>
      <c r="AF20" s="1673"/>
      <c r="AG20" s="2795">
        <f>AE20</f>
        <v>0</v>
      </c>
      <c r="AI20" s="2115">
        <f>IF('Data Entry - SOF'!K136=0,0,('Data Entry - SOF'!K136/'Data Entry - SOF'!K139)+0.0082)</f>
        <v>0</v>
      </c>
      <c r="AJ20" s="2116"/>
      <c r="AK20" s="2115">
        <f>AI20</f>
        <v>0</v>
      </c>
      <c r="AL20" s="2116"/>
      <c r="AM20" s="2115">
        <f>AK20</f>
        <v>0</v>
      </c>
      <c r="AN20" s="2116"/>
      <c r="AO20" s="2666">
        <f>AM20</f>
        <v>0</v>
      </c>
      <c r="AQ20" s="2637">
        <f>IF('Data Entry - SOF'!M136=0,0,('Data Entry - SOF'!M136/'Data Entry - SOF'!M139)+0.0082)</f>
        <v>0</v>
      </c>
      <c r="AR20" s="2638"/>
      <c r="AS20" s="2637">
        <f>AQ20</f>
        <v>0</v>
      </c>
      <c r="AT20" s="2638"/>
      <c r="AU20" s="2637">
        <f>AS20</f>
        <v>0</v>
      </c>
      <c r="AV20" s="2638"/>
      <c r="AW20" s="2825">
        <f>AU20</f>
        <v>0</v>
      </c>
      <c r="AY20" s="3902">
        <f>IF('Data Entry - SOF'!O136=0,0,('Data Entry - SOF'!O136/'Data Entry - SOF'!O139)+0.0082)</f>
        <v>0</v>
      </c>
      <c r="AZ20" s="3903"/>
      <c r="BA20" s="3902">
        <f>AY20</f>
        <v>0</v>
      </c>
      <c r="BB20" s="3903"/>
      <c r="BC20" s="3902">
        <f>BA20</f>
        <v>0</v>
      </c>
      <c r="BD20" s="3903"/>
      <c r="BE20" s="3904">
        <f>BC20</f>
        <v>0</v>
      </c>
    </row>
    <row r="21" spans="1:57">
      <c r="A21" t="s">
        <v>1111</v>
      </c>
      <c r="C21" s="1413">
        <f>IF(C20&gt;0.015,C20,0.015)</f>
        <v>1.4999999999999999E-2</v>
      </c>
      <c r="D21" s="1414"/>
      <c r="E21" s="1413">
        <f>IF(E20&gt;0.015,E20,0.015)</f>
        <v>1.4999999999999999E-2</v>
      </c>
      <c r="F21" s="1414"/>
      <c r="G21" s="1413">
        <f>IF(G20&gt;0.015,G20,0.015)</f>
        <v>1.4999999999999999E-2</v>
      </c>
      <c r="H21" s="1414"/>
      <c r="I21" s="2738">
        <f>IF(I20&gt;0.015,I20,0.015)</f>
        <v>1.4999999999999999E-2</v>
      </c>
      <c r="K21" s="4116">
        <f>IF(K20&gt;0.015,K20,0.015)</f>
        <v>1.4999999999999999E-2</v>
      </c>
      <c r="L21" s="4117"/>
      <c r="M21" s="4116">
        <f>IF(M20&gt;0.015,M20,0.015)</f>
        <v>1.4999999999999999E-2</v>
      </c>
      <c r="N21" s="4117"/>
      <c r="O21" s="4116">
        <f>IF(O20&gt;0.015,O20,0.015)</f>
        <v>1.4999999999999999E-2</v>
      </c>
      <c r="P21" s="4117"/>
      <c r="Q21" s="4241">
        <f>IF(Q20&gt;0.015,Q20,0.015)</f>
        <v>1.4999999999999999E-2</v>
      </c>
      <c r="S21" s="1591">
        <f>IF(S20&gt;0.015,S20,0.015)</f>
        <v>1.4999999999999999E-2</v>
      </c>
      <c r="T21" s="1592"/>
      <c r="U21" s="1591">
        <f>IF(U20&gt;0.015,U20,0.015)</f>
        <v>1.4999999999999999E-2</v>
      </c>
      <c r="V21" s="1592"/>
      <c r="W21" s="1591">
        <f>IF(W20&gt;0.015,W20,0.015)</f>
        <v>1.4999999999999999E-2</v>
      </c>
      <c r="X21" s="1592"/>
      <c r="Y21" s="2774">
        <f>IF(Y20&gt;0.015,Y20,0.015)</f>
        <v>1.4999999999999999E-2</v>
      </c>
      <c r="AA21" s="1672">
        <f>IF(AA20&gt;0.015,AA20,0.015)</f>
        <v>1.4999999999999999E-2</v>
      </c>
      <c r="AB21" s="1673"/>
      <c r="AC21" s="1672">
        <f>IF(AC20&gt;0.015,AC20,0.015)</f>
        <v>1.4999999999999999E-2</v>
      </c>
      <c r="AD21" s="1673"/>
      <c r="AE21" s="1672">
        <f>IF(AE20&gt;0.015,AE20,0.015)</f>
        <v>1.4999999999999999E-2</v>
      </c>
      <c r="AF21" s="1673"/>
      <c r="AG21" s="2795">
        <f>IF(AG20&gt;0.015,AG20,0.015)</f>
        <v>1.4999999999999999E-2</v>
      </c>
      <c r="AI21" s="2115">
        <f>IF(AI20&gt;0.015,AI20,0.015)</f>
        <v>1.4999999999999999E-2</v>
      </c>
      <c r="AJ21" s="2116"/>
      <c r="AK21" s="2115">
        <f>IF(AK20&gt;0.015,AK20,0.015)</f>
        <v>1.4999999999999999E-2</v>
      </c>
      <c r="AL21" s="2116"/>
      <c r="AM21" s="2115">
        <f>IF(AM20&gt;0.015,AM20,0.015)</f>
        <v>1.4999999999999999E-2</v>
      </c>
      <c r="AN21" s="2116"/>
      <c r="AO21" s="2666">
        <f>IF(AO20&gt;0.015,AO20,0.015)</f>
        <v>1.4999999999999999E-2</v>
      </c>
      <c r="AQ21" s="2637">
        <f>IF(AQ20&gt;0.015,AQ20,0.015)</f>
        <v>1.4999999999999999E-2</v>
      </c>
      <c r="AR21" s="2638"/>
      <c r="AS21" s="2637">
        <f>IF(AS20&gt;0.015,AS20,0.015)</f>
        <v>1.4999999999999999E-2</v>
      </c>
      <c r="AT21" s="2638"/>
      <c r="AU21" s="2637">
        <f>IF(AU20&gt;0.015,AU20,0.015)</f>
        <v>1.4999999999999999E-2</v>
      </c>
      <c r="AV21" s="2638"/>
      <c r="AW21" s="2825">
        <f>IF(AW20&gt;0.015,AW20,0.015)</f>
        <v>1.4999999999999999E-2</v>
      </c>
      <c r="AY21" s="3902">
        <f>IF(AY20&gt;0.015,AY20,0.015)</f>
        <v>1.4999999999999999E-2</v>
      </c>
      <c r="AZ21" s="3903"/>
      <c r="BA21" s="3902">
        <f>IF(BA20&gt;0.015,BA20,0.015)</f>
        <v>1.4999999999999999E-2</v>
      </c>
      <c r="BB21" s="3903"/>
      <c r="BC21" s="3902">
        <f>IF(BC20&gt;0.015,BC20,0.015)</f>
        <v>1.4999999999999999E-2</v>
      </c>
      <c r="BD21" s="3903"/>
      <c r="BE21" s="3904">
        <f>IF(BE20&gt;0.015,BE20,0.015)</f>
        <v>1.4999999999999999E-2</v>
      </c>
    </row>
    <row r="22" spans="1:57">
      <c r="I22" s="2733"/>
      <c r="K22" s="4113"/>
      <c r="L22" s="4113"/>
      <c r="M22" s="4113"/>
      <c r="N22" s="4113"/>
      <c r="O22" s="4113"/>
      <c r="P22" s="4113"/>
      <c r="Q22" s="4242"/>
      <c r="Y22" s="2769"/>
      <c r="AG22" s="2790"/>
      <c r="AO22" s="2664"/>
      <c r="AW22" s="2820"/>
      <c r="BE22" s="3909"/>
    </row>
    <row r="23" spans="1:57" ht="15.75">
      <c r="A23" s="38" t="s">
        <v>1284</v>
      </c>
      <c r="I23" s="2733"/>
      <c r="K23" s="4113"/>
      <c r="L23" s="4113"/>
      <c r="M23" s="4113"/>
      <c r="N23" s="4113"/>
      <c r="O23" s="4113"/>
      <c r="P23" s="4113"/>
      <c r="Q23" s="4242"/>
      <c r="Y23" s="2769"/>
      <c r="AG23" s="2790"/>
      <c r="AO23" s="2664"/>
      <c r="AW23" s="2820"/>
      <c r="BE23" s="3909"/>
    </row>
    <row r="24" spans="1:57">
      <c r="A24" t="s">
        <v>2150</v>
      </c>
      <c r="C24" s="1411" t="e">
        <f>'Ch41 Calc Data'!K17*Assumptions!G92</f>
        <v>#DIV/0!</v>
      </c>
      <c r="D24" s="1412"/>
      <c r="E24" s="1411" t="e">
        <f>C24</f>
        <v>#DIV/0!</v>
      </c>
      <c r="F24" s="1412"/>
      <c r="G24" s="1411" t="e">
        <f>'Ch41 Calc Data'!K17*Assumptions!G93</f>
        <v>#DIV/0!</v>
      </c>
      <c r="H24" s="1412"/>
      <c r="I24" s="2737" t="e">
        <f>G24</f>
        <v>#DIV/0!</v>
      </c>
      <c r="K24" s="4114" t="e">
        <f>'Ch41 Calc Data'!L17*Assumptions!G103</f>
        <v>#DIV/0!</v>
      </c>
      <c r="L24" s="4115"/>
      <c r="M24" s="4114" t="e">
        <f>K24</f>
        <v>#DIV/0!</v>
      </c>
      <c r="N24" s="4115"/>
      <c r="O24" s="4114" t="e">
        <f>'Ch41 Calc Data'!L17*Assumptions!G104</f>
        <v>#DIV/0!</v>
      </c>
      <c r="P24" s="4115"/>
      <c r="Q24" s="4059" t="e">
        <f>O24</f>
        <v>#DIV/0!</v>
      </c>
      <c r="S24" s="1589" t="e">
        <f>'Ch41 Calc Data'!M17*Assumptions!G112</f>
        <v>#DIV/0!</v>
      </c>
      <c r="T24" s="1590"/>
      <c r="U24" s="1589" t="e">
        <f>S24</f>
        <v>#DIV/0!</v>
      </c>
      <c r="V24" s="1590"/>
      <c r="W24" s="1589" t="e">
        <f>'Ch41 Calc Data'!M17*Assumptions!G113</f>
        <v>#DIV/0!</v>
      </c>
      <c r="X24" s="1590"/>
      <c r="Y24" s="2773" t="e">
        <f>W24</f>
        <v>#DIV/0!</v>
      </c>
      <c r="AA24" s="1670" t="e">
        <f>'Ch41 Calc Data'!N17*Assumptions!G121</f>
        <v>#DIV/0!</v>
      </c>
      <c r="AB24" s="1671"/>
      <c r="AC24" s="1670" t="e">
        <f>AA24</f>
        <v>#DIV/0!</v>
      </c>
      <c r="AD24" s="1671"/>
      <c r="AE24" s="1670" t="e">
        <f>'Ch41 Calc Data'!N17*Assumptions!G122</f>
        <v>#DIV/0!</v>
      </c>
      <c r="AF24" s="1671"/>
      <c r="AG24" s="2794" t="e">
        <f>AE24</f>
        <v>#DIV/0!</v>
      </c>
      <c r="AI24" s="2113" t="e">
        <f>'Ch41 Calc Data'!O17*Assumptions!G130</f>
        <v>#DIV/0!</v>
      </c>
      <c r="AJ24" s="2114"/>
      <c r="AK24" s="2113" t="e">
        <f>AI24</f>
        <v>#DIV/0!</v>
      </c>
      <c r="AL24" s="2114"/>
      <c r="AM24" s="2113" t="e">
        <f>'Ch41 Calc Data'!O17*Assumptions!G131</f>
        <v>#DIV/0!</v>
      </c>
      <c r="AN24" s="2114"/>
      <c r="AO24" s="2667" t="e">
        <f>AM24</f>
        <v>#DIV/0!</v>
      </c>
      <c r="AQ24" s="2635" t="e">
        <f>'Ch41 Calc Data'!P17*Assumptions!G139</f>
        <v>#DIV/0!</v>
      </c>
      <c r="AR24" s="2636"/>
      <c r="AS24" s="2635" t="e">
        <f>AQ24</f>
        <v>#DIV/0!</v>
      </c>
      <c r="AT24" s="2636"/>
      <c r="AU24" s="2635" t="e">
        <f>'Ch41 Calc Data'!P17*Assumptions!G140</f>
        <v>#DIV/0!</v>
      </c>
      <c r="AV24" s="2636"/>
      <c r="AW24" s="2824" t="e">
        <f>AU24</f>
        <v>#DIV/0!</v>
      </c>
      <c r="AY24" s="3899" t="e">
        <f>'Ch41 Calc Data'!Q17*Assumptions!G148</f>
        <v>#DIV/0!</v>
      </c>
      <c r="AZ24" s="3900"/>
      <c r="BA24" s="3899" t="e">
        <f>AY24</f>
        <v>#DIV/0!</v>
      </c>
      <c r="BB24" s="3900"/>
      <c r="BC24" s="3899" t="e">
        <f>'Ch41 Calc Data'!Q17*Assumptions!G149</f>
        <v>#DIV/0!</v>
      </c>
      <c r="BD24" s="3900"/>
      <c r="BE24" s="3901" t="e">
        <f>BC24</f>
        <v>#DIV/0!</v>
      </c>
    </row>
    <row r="25" spans="1:57">
      <c r="I25" s="2733"/>
      <c r="K25" s="4113"/>
      <c r="L25" s="4113"/>
      <c r="M25" s="4113"/>
      <c r="N25" s="4113"/>
      <c r="O25" s="4113"/>
      <c r="P25" s="4113"/>
      <c r="Q25" s="4242"/>
      <c r="Y25" s="2769"/>
      <c r="AG25" s="2790"/>
      <c r="AO25" s="2664"/>
      <c r="AW25" s="2820"/>
      <c r="BE25" s="3909"/>
    </row>
    <row r="26" spans="1:57" ht="15.75">
      <c r="A26" s="38" t="s">
        <v>2390</v>
      </c>
      <c r="I26" s="2733"/>
      <c r="K26" s="4113"/>
      <c r="L26" s="4113"/>
      <c r="M26" s="4113"/>
      <c r="N26" s="4113"/>
      <c r="O26" s="4113"/>
      <c r="P26" s="4113"/>
      <c r="Q26" s="4242"/>
      <c r="Y26" s="2769"/>
      <c r="AG26" s="2790"/>
      <c r="AO26" s="2664"/>
      <c r="AW26" s="2820"/>
      <c r="BE26" s="3909"/>
    </row>
    <row r="27" spans="1:57">
      <c r="A27" t="s">
        <v>2742</v>
      </c>
      <c r="C27" s="1411">
        <f>C19/C21</f>
        <v>0</v>
      </c>
      <c r="D27" s="1415"/>
      <c r="E27" s="1416" t="s">
        <v>1994</v>
      </c>
      <c r="F27" s="1415"/>
      <c r="G27" s="1411">
        <f>G19/G21</f>
        <v>0</v>
      </c>
      <c r="H27" s="1415"/>
      <c r="I27" s="2739" t="s">
        <v>1994</v>
      </c>
      <c r="K27" s="4114">
        <f>K19/K21</f>
        <v>0</v>
      </c>
      <c r="L27" s="4115"/>
      <c r="M27" s="4118" t="s">
        <v>1994</v>
      </c>
      <c r="N27" s="4115"/>
      <c r="O27" s="4114">
        <f>O19/O21</f>
        <v>0</v>
      </c>
      <c r="P27" s="4115"/>
      <c r="Q27" s="4243" t="s">
        <v>1994</v>
      </c>
      <c r="S27" s="1589">
        <f>S19/S21</f>
        <v>0</v>
      </c>
      <c r="T27" s="1593"/>
      <c r="U27" s="1594" t="s">
        <v>1994</v>
      </c>
      <c r="V27" s="1593"/>
      <c r="W27" s="1589">
        <f>W19/W21</f>
        <v>0</v>
      </c>
      <c r="X27" s="1593"/>
      <c r="Y27" s="2775" t="s">
        <v>1994</v>
      </c>
      <c r="AA27" s="1670">
        <f>AA19/AA21</f>
        <v>0</v>
      </c>
      <c r="AB27" s="1674"/>
      <c r="AC27" s="1675" t="s">
        <v>1994</v>
      </c>
      <c r="AD27" s="1674"/>
      <c r="AE27" s="1670">
        <f>AE19/AE21</f>
        <v>0</v>
      </c>
      <c r="AF27" s="1674"/>
      <c r="AG27" s="2796" t="s">
        <v>1994</v>
      </c>
      <c r="AI27" s="2113">
        <f>AI19/AI21</f>
        <v>0</v>
      </c>
      <c r="AJ27" s="2117"/>
      <c r="AK27" s="2118" t="s">
        <v>1994</v>
      </c>
      <c r="AL27" s="2117"/>
      <c r="AM27" s="2113">
        <f>AM19/AM21</f>
        <v>0</v>
      </c>
      <c r="AN27" s="2117"/>
      <c r="AO27" s="2813" t="s">
        <v>1994</v>
      </c>
      <c r="AQ27" s="2635">
        <f>AQ19/AQ21</f>
        <v>0</v>
      </c>
      <c r="AR27" s="2639"/>
      <c r="AS27" s="2640" t="s">
        <v>1994</v>
      </c>
      <c r="AT27" s="2639"/>
      <c r="AU27" s="2635">
        <f>AU19/AU21</f>
        <v>0</v>
      </c>
      <c r="AV27" s="2639"/>
      <c r="AW27" s="2826" t="s">
        <v>1994</v>
      </c>
      <c r="AY27" s="3899">
        <f>AY19/AY21</f>
        <v>0</v>
      </c>
      <c r="AZ27" s="4096"/>
      <c r="BA27" s="4097" t="s">
        <v>1994</v>
      </c>
      <c r="BB27" s="4096"/>
      <c r="BC27" s="3899">
        <f>BC19/BC21</f>
        <v>0</v>
      </c>
      <c r="BD27" s="4096"/>
      <c r="BE27" s="4098" t="s">
        <v>1994</v>
      </c>
    </row>
    <row r="28" spans="1:57">
      <c r="A28" t="s">
        <v>2743</v>
      </c>
      <c r="C28" s="1411" t="e">
        <f>C27/'Ch41 Calc Data'!K17</f>
        <v>#DIV/0!</v>
      </c>
      <c r="D28" s="1415"/>
      <c r="E28" s="1416" t="s">
        <v>1994</v>
      </c>
      <c r="F28" s="1415"/>
      <c r="G28" s="1411" t="e">
        <f>G27/'Ch41 Calc Data'!K17</f>
        <v>#DIV/0!</v>
      </c>
      <c r="H28" s="1415"/>
      <c r="I28" s="2739" t="s">
        <v>1994</v>
      </c>
      <c r="K28" s="4114" t="e">
        <f>K27/'Ch41 Calc Data'!L17</f>
        <v>#DIV/0!</v>
      </c>
      <c r="L28" s="4115"/>
      <c r="M28" s="4118" t="s">
        <v>1994</v>
      </c>
      <c r="N28" s="4115"/>
      <c r="O28" s="4114" t="e">
        <f>O27/'Ch41 Calc Data'!L17</f>
        <v>#DIV/0!</v>
      </c>
      <c r="P28" s="4115"/>
      <c r="Q28" s="4243" t="s">
        <v>1994</v>
      </c>
      <c r="S28" s="1589" t="e">
        <f>S27/'Ch41 Calc Data'!M17</f>
        <v>#DIV/0!</v>
      </c>
      <c r="T28" s="1593"/>
      <c r="U28" s="1594" t="s">
        <v>1994</v>
      </c>
      <c r="V28" s="1593"/>
      <c r="W28" s="1589" t="e">
        <f>W27/'Ch41 Calc Data'!M17</f>
        <v>#DIV/0!</v>
      </c>
      <c r="X28" s="1593"/>
      <c r="Y28" s="2775" t="s">
        <v>1994</v>
      </c>
      <c r="AA28" s="1670" t="e">
        <f>AA27/'Ch41 Calc Data'!N17</f>
        <v>#DIV/0!</v>
      </c>
      <c r="AB28" s="1674"/>
      <c r="AC28" s="1675" t="s">
        <v>1994</v>
      </c>
      <c r="AD28" s="1674"/>
      <c r="AE28" s="1670" t="e">
        <f>AE27/'Ch41 Calc Data'!N17</f>
        <v>#DIV/0!</v>
      </c>
      <c r="AF28" s="1674"/>
      <c r="AG28" s="2796" t="s">
        <v>1994</v>
      </c>
      <c r="AI28" s="2113" t="e">
        <f>AI27/'Ch41 Calc Data'!O17</f>
        <v>#DIV/0!</v>
      </c>
      <c r="AJ28" s="2117"/>
      <c r="AK28" s="2118" t="s">
        <v>1994</v>
      </c>
      <c r="AL28" s="2117"/>
      <c r="AM28" s="2113" t="e">
        <f>AM27/'Ch41 Calc Data'!O17</f>
        <v>#DIV/0!</v>
      </c>
      <c r="AN28" s="2117"/>
      <c r="AO28" s="2813" t="s">
        <v>1994</v>
      </c>
      <c r="AQ28" s="2635" t="e">
        <f>AQ27/'Ch41 Calc Data'!P17</f>
        <v>#DIV/0!</v>
      </c>
      <c r="AR28" s="2639"/>
      <c r="AS28" s="2640" t="s">
        <v>1994</v>
      </c>
      <c r="AT28" s="2639"/>
      <c r="AU28" s="2635" t="e">
        <f>AU27/'Ch41 Calc Data'!P17</f>
        <v>#DIV/0!</v>
      </c>
      <c r="AV28" s="2639"/>
      <c r="AW28" s="2826" t="s">
        <v>1994</v>
      </c>
      <c r="AY28" s="3899" t="e">
        <f>AY27/'Ch41 Calc Data'!Q17</f>
        <v>#DIV/0!</v>
      </c>
      <c r="AZ28" s="4096"/>
      <c r="BA28" s="4097" t="s">
        <v>1994</v>
      </c>
      <c r="BB28" s="4096"/>
      <c r="BC28" s="3899" t="e">
        <f>BC27/'Ch41 Calc Data'!Q17</f>
        <v>#DIV/0!</v>
      </c>
      <c r="BD28" s="4096"/>
      <c r="BE28" s="4098" t="s">
        <v>1994</v>
      </c>
    </row>
    <row r="29" spans="1:57">
      <c r="A29" t="s">
        <v>2039</v>
      </c>
      <c r="C29" s="1411" t="e">
        <f>C28*((((Assumptions!G92/280000)-1)*('Data Entry - SOF'!C58/1.17))+1)</f>
        <v>#DIV/0!</v>
      </c>
      <c r="D29" s="1415"/>
      <c r="E29" s="1416" t="s">
        <v>1994</v>
      </c>
      <c r="F29" s="1415"/>
      <c r="G29" s="1411" t="e">
        <f>G28*((((Assumptions!G93/280000)-1)*('Data Entry - SOF'!C58/1.17))+1)</f>
        <v>#DIV/0!</v>
      </c>
      <c r="H29" s="1415"/>
      <c r="I29" s="2739" t="s">
        <v>1994</v>
      </c>
      <c r="K29" s="4114" t="e">
        <f>K28*((((Assumptions!G103/280000)-1)*('Data Entry - SOF'!E58/1.17))+1)</f>
        <v>#DIV/0!</v>
      </c>
      <c r="L29" s="4115"/>
      <c r="M29" s="4118" t="s">
        <v>1994</v>
      </c>
      <c r="N29" s="4115"/>
      <c r="O29" s="4114" t="e">
        <f>O28*((((Assumptions!G104/280000)-1)*('Data Entry - SOF'!E58/1.17))+1)</f>
        <v>#DIV/0!</v>
      </c>
      <c r="P29" s="4115"/>
      <c r="Q29" s="4243" t="s">
        <v>1994</v>
      </c>
      <c r="S29" s="1589" t="e">
        <f>S28*((((Assumptions!G112/280000)-1)*('Data Entry - SOF'!G58/1.17))+1)</f>
        <v>#DIV/0!</v>
      </c>
      <c r="T29" s="1593"/>
      <c r="U29" s="1594" t="s">
        <v>1994</v>
      </c>
      <c r="V29" s="1593"/>
      <c r="W29" s="1589" t="e">
        <f>W28*((((Assumptions!G113/280000)-1)*('Data Entry - SOF'!G58/1.17))+1)</f>
        <v>#DIV/0!</v>
      </c>
      <c r="X29" s="1593"/>
      <c r="Y29" s="2775" t="s">
        <v>1994</v>
      </c>
      <c r="AA29" s="1670" t="e">
        <f>AA28*((((Assumptions!G121/280000)-1)*('Data Entry - SOF'!I58/1.17))+1)</f>
        <v>#DIV/0!</v>
      </c>
      <c r="AB29" s="1674"/>
      <c r="AC29" s="1675" t="s">
        <v>1994</v>
      </c>
      <c r="AD29" s="1674"/>
      <c r="AE29" s="1670" t="e">
        <f>AE28*((((Assumptions!G122/280000)-1)*('Data Entry - SOF'!I58/1.17))+1)</f>
        <v>#DIV/0!</v>
      </c>
      <c r="AF29" s="1674"/>
      <c r="AG29" s="2796" t="s">
        <v>1994</v>
      </c>
      <c r="AI29" s="2113" t="e">
        <f>AI28*((((Assumptions!G130/280000)-1)*('Data Entry - SOF'!K58/1.17))+1)</f>
        <v>#DIV/0!</v>
      </c>
      <c r="AJ29" s="2117"/>
      <c r="AK29" s="2118" t="s">
        <v>1994</v>
      </c>
      <c r="AL29" s="2117"/>
      <c r="AM29" s="2113" t="e">
        <f>AM28*((((Assumptions!G131/280000)-1)*('Data Entry - SOF'!K58/1.17))+1)</f>
        <v>#DIV/0!</v>
      </c>
      <c r="AN29" s="2117"/>
      <c r="AO29" s="2813" t="s">
        <v>1994</v>
      </c>
      <c r="AQ29" s="2635" t="e">
        <f>AQ28*((((Assumptions!G139/280000)-1)*('Data Entry - SOF'!M58/1.17))+1)</f>
        <v>#DIV/0!</v>
      </c>
      <c r="AR29" s="2639"/>
      <c r="AS29" s="2640" t="s">
        <v>1994</v>
      </c>
      <c r="AT29" s="2639"/>
      <c r="AU29" s="2635" t="e">
        <f>AU28*((((Assumptions!G140/280000)-1)*('Data Entry - SOF'!M58/1.17))+1)</f>
        <v>#DIV/0!</v>
      </c>
      <c r="AV29" s="2639"/>
      <c r="AW29" s="2826" t="s">
        <v>1994</v>
      </c>
      <c r="AY29" s="3899" t="e">
        <f>AY28*((((Assumptions!G148/280000)-1)*('Data Entry - SOF'!O58/1.17))+1)</f>
        <v>#DIV/0!</v>
      </c>
      <c r="AZ29" s="4096"/>
      <c r="BA29" s="4097" t="s">
        <v>1994</v>
      </c>
      <c r="BB29" s="4096"/>
      <c r="BC29" s="3899" t="e">
        <f>BC28*((((Assumptions!G149/280000)-1)*('Data Entry - SOF'!O58/1.17))+1)</f>
        <v>#DIV/0!</v>
      </c>
      <c r="BD29" s="4096"/>
      <c r="BE29" s="4098" t="s">
        <v>1994</v>
      </c>
    </row>
    <row r="30" spans="1:57">
      <c r="A30" t="s">
        <v>905</v>
      </c>
      <c r="C30" s="1411" t="e">
        <f>C29*'Ch41 Calc Data'!K17</f>
        <v>#DIV/0!</v>
      </c>
      <c r="D30" s="1415"/>
      <c r="E30" s="1416" t="s">
        <v>1994</v>
      </c>
      <c r="F30" s="1415"/>
      <c r="G30" s="1411" t="e">
        <f>G29*'Ch41 Calc Data'!K17</f>
        <v>#DIV/0!</v>
      </c>
      <c r="H30" s="1415"/>
      <c r="I30" s="2739" t="s">
        <v>1994</v>
      </c>
      <c r="K30" s="4114" t="e">
        <f>K29*'Ch41 Calc Data'!L17</f>
        <v>#DIV/0!</v>
      </c>
      <c r="L30" s="4115"/>
      <c r="M30" s="4118" t="s">
        <v>1994</v>
      </c>
      <c r="N30" s="4115"/>
      <c r="O30" s="4114" t="e">
        <f>O29*'Ch41 Calc Data'!L17</f>
        <v>#DIV/0!</v>
      </c>
      <c r="P30" s="4115"/>
      <c r="Q30" s="4243" t="s">
        <v>1994</v>
      </c>
      <c r="S30" s="1589" t="e">
        <f>S29*'Ch41 Calc Data'!M17</f>
        <v>#DIV/0!</v>
      </c>
      <c r="T30" s="1593"/>
      <c r="U30" s="1594" t="s">
        <v>1994</v>
      </c>
      <c r="V30" s="1593"/>
      <c r="W30" s="1589" t="e">
        <f>W29*'Ch41 Calc Data'!M17</f>
        <v>#DIV/0!</v>
      </c>
      <c r="X30" s="1593"/>
      <c r="Y30" s="2775" t="s">
        <v>1994</v>
      </c>
      <c r="AA30" s="1670" t="e">
        <f>AA29*'Ch41 Calc Data'!N17</f>
        <v>#DIV/0!</v>
      </c>
      <c r="AB30" s="1674"/>
      <c r="AC30" s="1675" t="s">
        <v>1994</v>
      </c>
      <c r="AD30" s="1674"/>
      <c r="AE30" s="1670" t="e">
        <f>AE29*'Ch41 Calc Data'!N17</f>
        <v>#DIV/0!</v>
      </c>
      <c r="AF30" s="1674"/>
      <c r="AG30" s="2796" t="s">
        <v>1994</v>
      </c>
      <c r="AI30" s="2113" t="e">
        <f>AI29*'Ch41 Calc Data'!O17</f>
        <v>#DIV/0!</v>
      </c>
      <c r="AJ30" s="2117"/>
      <c r="AK30" s="2118" t="s">
        <v>1994</v>
      </c>
      <c r="AL30" s="2117"/>
      <c r="AM30" s="2113" t="e">
        <f>AM29*'Ch41 Calc Data'!O17</f>
        <v>#DIV/0!</v>
      </c>
      <c r="AN30" s="2117"/>
      <c r="AO30" s="2813" t="s">
        <v>1994</v>
      </c>
      <c r="AQ30" s="2635" t="e">
        <f>AQ29*'Ch41 Calc Data'!P17</f>
        <v>#DIV/0!</v>
      </c>
      <c r="AR30" s="2639"/>
      <c r="AS30" s="2640" t="s">
        <v>1994</v>
      </c>
      <c r="AT30" s="2639"/>
      <c r="AU30" s="2635" t="e">
        <f>AU29*'Ch41 Calc Data'!P17</f>
        <v>#DIV/0!</v>
      </c>
      <c r="AV30" s="2639"/>
      <c r="AW30" s="2826" t="s">
        <v>1994</v>
      </c>
      <c r="AY30" s="3899" t="e">
        <f>AY29*'Ch41 Calc Data'!Q17</f>
        <v>#DIV/0!</v>
      </c>
      <c r="AZ30" s="4096"/>
      <c r="BA30" s="4097" t="s">
        <v>1994</v>
      </c>
      <c r="BB30" s="4096"/>
      <c r="BC30" s="3899" t="e">
        <f>BC29*'Ch41 Calc Data'!Q17</f>
        <v>#DIV/0!</v>
      </c>
      <c r="BD30" s="4096"/>
      <c r="BE30" s="4098" t="s">
        <v>1994</v>
      </c>
    </row>
    <row r="31" spans="1:57">
      <c r="I31" s="2733"/>
      <c r="K31" s="4113"/>
      <c r="L31" s="4113"/>
      <c r="M31" s="4113"/>
      <c r="N31" s="4113"/>
      <c r="O31" s="4113"/>
      <c r="P31" s="4113"/>
      <c r="Q31" s="4242"/>
      <c r="Y31" s="2769"/>
      <c r="AG31" s="2790"/>
      <c r="AO31" s="2664"/>
      <c r="AW31" s="2820"/>
      <c r="BE31" s="3909"/>
    </row>
    <row r="32" spans="1:57" ht="15.75">
      <c r="A32" s="38" t="s">
        <v>1420</v>
      </c>
      <c r="I32" s="2733"/>
      <c r="K32" s="4113"/>
      <c r="L32" s="4113"/>
      <c r="M32" s="4113"/>
      <c r="N32" s="4113"/>
      <c r="O32" s="4113"/>
      <c r="P32" s="4113"/>
      <c r="Q32" s="4242"/>
      <c r="Y32" s="2769"/>
      <c r="AG32" s="2790"/>
      <c r="AO32" s="2664"/>
      <c r="AW32" s="2820"/>
      <c r="BE32" s="3909"/>
    </row>
    <row r="33" spans="1:57">
      <c r="A33" t="s">
        <v>1421</v>
      </c>
      <c r="C33" s="1411" t="e">
        <f>IF(C30&gt;C24,C30,C24)</f>
        <v>#DIV/0!</v>
      </c>
      <c r="D33" s="1412"/>
      <c r="E33" s="1411" t="e">
        <f>E24</f>
        <v>#DIV/0!</v>
      </c>
      <c r="F33" s="1412"/>
      <c r="G33" s="1411" t="e">
        <f>IF(G30&gt;G24,G30,G24)</f>
        <v>#DIV/0!</v>
      </c>
      <c r="H33" s="1412"/>
      <c r="I33" s="2737" t="e">
        <f>I24</f>
        <v>#DIV/0!</v>
      </c>
      <c r="K33" s="4114" t="e">
        <f>IF(K30&gt;K24,K30,K24)</f>
        <v>#DIV/0!</v>
      </c>
      <c r="L33" s="4115"/>
      <c r="M33" s="4114" t="e">
        <f>M24</f>
        <v>#DIV/0!</v>
      </c>
      <c r="N33" s="4115"/>
      <c r="O33" s="4114" t="e">
        <f>IF(O30&gt;O24,O30,O24)</f>
        <v>#DIV/0!</v>
      </c>
      <c r="P33" s="4115"/>
      <c r="Q33" s="4059" t="e">
        <f>Q24</f>
        <v>#DIV/0!</v>
      </c>
      <c r="S33" s="1589" t="e">
        <f>IF(S30&gt;S24,S30,S24)</f>
        <v>#DIV/0!</v>
      </c>
      <c r="T33" s="1590"/>
      <c r="U33" s="1589" t="e">
        <f>U24</f>
        <v>#DIV/0!</v>
      </c>
      <c r="V33" s="1590"/>
      <c r="W33" s="1589" t="e">
        <f>IF(W30&gt;W24,W30,W24)</f>
        <v>#DIV/0!</v>
      </c>
      <c r="X33" s="1590"/>
      <c r="Y33" s="2773" t="e">
        <f>Y24</f>
        <v>#DIV/0!</v>
      </c>
      <c r="AA33" s="1670" t="e">
        <f>IF(AA30&gt;AA24,AA30,AA24)</f>
        <v>#DIV/0!</v>
      </c>
      <c r="AB33" s="1671"/>
      <c r="AC33" s="1670" t="e">
        <f>AC24</f>
        <v>#DIV/0!</v>
      </c>
      <c r="AD33" s="1671"/>
      <c r="AE33" s="1670" t="e">
        <f>IF(AE30&gt;AE24,AE30,AE24)</f>
        <v>#DIV/0!</v>
      </c>
      <c r="AF33" s="1671"/>
      <c r="AG33" s="2794" t="e">
        <f>AG24</f>
        <v>#DIV/0!</v>
      </c>
      <c r="AI33" s="2113" t="e">
        <f>IF(AI30&gt;AI24,AI30,AI24)</f>
        <v>#DIV/0!</v>
      </c>
      <c r="AJ33" s="2114"/>
      <c r="AK33" s="2113" t="e">
        <f>AK24</f>
        <v>#DIV/0!</v>
      </c>
      <c r="AL33" s="2114"/>
      <c r="AM33" s="2113" t="e">
        <f>IF(AM30&gt;AM24,AM30,AM24)</f>
        <v>#DIV/0!</v>
      </c>
      <c r="AN33" s="2114"/>
      <c r="AO33" s="2667" t="e">
        <f>AO24</f>
        <v>#DIV/0!</v>
      </c>
      <c r="AQ33" s="2635" t="e">
        <f>IF(AQ30&gt;AQ24,AQ30,AQ24)</f>
        <v>#DIV/0!</v>
      </c>
      <c r="AR33" s="2636"/>
      <c r="AS33" s="2635" t="e">
        <f>AS24</f>
        <v>#DIV/0!</v>
      </c>
      <c r="AT33" s="2636"/>
      <c r="AU33" s="2635" t="e">
        <f>IF(AU30&gt;AU24,AU30,AU24)</f>
        <v>#DIV/0!</v>
      </c>
      <c r="AV33" s="2636"/>
      <c r="AW33" s="2824" t="e">
        <f>AW24</f>
        <v>#DIV/0!</v>
      </c>
      <c r="AY33" s="3899" t="e">
        <f>IF(AY30&gt;AY24,AY30,AY24)</f>
        <v>#DIV/0!</v>
      </c>
      <c r="AZ33" s="3900"/>
      <c r="BA33" s="3899" t="e">
        <f>BA24</f>
        <v>#DIV/0!</v>
      </c>
      <c r="BB33" s="3900"/>
      <c r="BC33" s="3899" t="e">
        <f>IF(BC30&gt;BC24,BC30,BC24)</f>
        <v>#DIV/0!</v>
      </c>
      <c r="BD33" s="3900"/>
      <c r="BE33" s="3901" t="e">
        <f>BE24</f>
        <v>#DIV/0!</v>
      </c>
    </row>
    <row r="34" spans="1:57">
      <c r="A34" t="s">
        <v>545</v>
      </c>
      <c r="C34" s="1411" t="e">
        <f>IF('Data Entry - SOF'!C54-C33&lt;0,0,'Data Entry - SOF'!C54-C33)</f>
        <v>#DIV/0!</v>
      </c>
      <c r="D34" s="1412"/>
      <c r="E34" s="1411" t="e">
        <f>IF('Data Entry - SOF'!C54-E33&lt;0,0,'Data Entry - SOF'!C54-E33)</f>
        <v>#DIV/0!</v>
      </c>
      <c r="F34" s="1412"/>
      <c r="G34" s="1411" t="e">
        <f>IF('Data Entry - SOF'!C54-G33&lt;0,0,'Data Entry - SOF'!C54-G33)</f>
        <v>#DIV/0!</v>
      </c>
      <c r="H34" s="1412"/>
      <c r="I34" s="2737" t="e">
        <f>IF('Data Entry - SOF'!C54-I33&lt;0,0,'Data Entry - SOF'!C54-I33)</f>
        <v>#DIV/0!</v>
      </c>
      <c r="K34" s="4114" t="e">
        <f>IF('Data Entry - SOF'!E54-K33&lt;0,0,'Data Entry - SOF'!E54-K33)</f>
        <v>#DIV/0!</v>
      </c>
      <c r="L34" s="4115"/>
      <c r="M34" s="4114" t="e">
        <f>IF('Data Entry - SOF'!E54-M33&lt;0,0,'Data Entry - SOF'!E54-M33)</f>
        <v>#DIV/0!</v>
      </c>
      <c r="N34" s="4115"/>
      <c r="O34" s="4114" t="e">
        <f>IF('Data Entry - SOF'!E54-O33&lt;0,0,'Data Entry - SOF'!E54-O33)</f>
        <v>#DIV/0!</v>
      </c>
      <c r="P34" s="4115"/>
      <c r="Q34" s="4059" t="e">
        <f>IF('Data Entry - SOF'!E54-Q33&lt;0,0,'Data Entry - SOF'!E54-Q33)</f>
        <v>#DIV/0!</v>
      </c>
      <c r="S34" s="1589" t="e">
        <f>IF('Data Entry - SOF'!G54-S33&lt;0,0,'Data Entry - SOF'!G54-S33)</f>
        <v>#DIV/0!</v>
      </c>
      <c r="T34" s="1590"/>
      <c r="U34" s="1589" t="e">
        <f>IF('Data Entry - SOF'!G54-U33&lt;0,0,'Data Entry - SOF'!G54-U33)</f>
        <v>#DIV/0!</v>
      </c>
      <c r="V34" s="1590"/>
      <c r="W34" s="1589" t="e">
        <f>IF('Data Entry - SOF'!G54-W33&lt;0,0,'Data Entry - SOF'!G54-W33)</f>
        <v>#DIV/0!</v>
      </c>
      <c r="X34" s="1590"/>
      <c r="Y34" s="2773" t="e">
        <f>IF('Data Entry - SOF'!G54-Y33&lt;0,0,'Data Entry - SOF'!G54-Y33)</f>
        <v>#DIV/0!</v>
      </c>
      <c r="AA34" s="1670" t="e">
        <f>IF('Data Entry - SOF'!I54-AA33&lt;0,0,'Data Entry - SOF'!I54-AA33)</f>
        <v>#DIV/0!</v>
      </c>
      <c r="AB34" s="1671"/>
      <c r="AC34" s="1670" t="e">
        <f>IF('Data Entry - SOF'!I54-AC33&lt;0,0,'Data Entry - SOF'!I54-AC33)</f>
        <v>#DIV/0!</v>
      </c>
      <c r="AD34" s="1671"/>
      <c r="AE34" s="1670" t="e">
        <f>IF('Data Entry - SOF'!I54-AE33&lt;0,0,'Data Entry - SOF'!I54-AE33)</f>
        <v>#DIV/0!</v>
      </c>
      <c r="AF34" s="1671"/>
      <c r="AG34" s="2794" t="e">
        <f>IF('Data Entry - SOF'!I54-AG33&lt;0,0,'Data Entry - SOF'!I54-AG33)</f>
        <v>#DIV/0!</v>
      </c>
      <c r="AI34" s="2113" t="e">
        <f>IF('Data Entry - SOF'!K54-AI33&lt;0,0,'Data Entry - SOF'!K54-AI33)</f>
        <v>#DIV/0!</v>
      </c>
      <c r="AJ34" s="2114"/>
      <c r="AK34" s="2113" t="e">
        <f>IF('Data Entry - SOF'!K54-AK33&lt;0,0,'Data Entry - SOF'!K54-AK33)</f>
        <v>#DIV/0!</v>
      </c>
      <c r="AL34" s="2114"/>
      <c r="AM34" s="2113" t="e">
        <f>IF('Data Entry - SOF'!K54-AM33&lt;0,0,'Data Entry - SOF'!K54-AM33)</f>
        <v>#DIV/0!</v>
      </c>
      <c r="AN34" s="2114"/>
      <c r="AO34" s="2667" t="e">
        <f>IF('Data Entry - SOF'!K54-AO33&lt;0,0,'Data Entry - SOF'!K54-AO33)</f>
        <v>#DIV/0!</v>
      </c>
      <c r="AQ34" s="2635" t="e">
        <f>IF('Data Entry - SOF'!M54-AQ33&lt;0,0,'Data Entry - SOF'!M54-AQ33)</f>
        <v>#DIV/0!</v>
      </c>
      <c r="AR34" s="2636"/>
      <c r="AS34" s="2635" t="e">
        <f>IF('Data Entry - SOF'!M54-AS33&lt;0,0,'Data Entry - SOF'!M54-AS33)</f>
        <v>#DIV/0!</v>
      </c>
      <c r="AT34" s="2636"/>
      <c r="AU34" s="2635" t="e">
        <f>IF('Data Entry - SOF'!M54-AU33&lt;0,0,'Data Entry - SOF'!M54-AU33)</f>
        <v>#DIV/0!</v>
      </c>
      <c r="AV34" s="2636"/>
      <c r="AW34" s="2824" t="e">
        <f>IF('Data Entry - SOF'!M54-AW33&lt;0,0,'Data Entry - SOF'!M54-AW33)</f>
        <v>#DIV/0!</v>
      </c>
      <c r="AY34" s="3899" t="e">
        <f>IF('Data Entry - SOF'!O54-AY33&lt;0,0,'Data Entry - SOF'!O54-AY33)</f>
        <v>#DIV/0!</v>
      </c>
      <c r="AZ34" s="3900"/>
      <c r="BA34" s="3899" t="e">
        <f>IF('Data Entry - SOF'!O54-BA33&lt;0,0,'Data Entry - SOF'!O54-BA33)</f>
        <v>#DIV/0!</v>
      </c>
      <c r="BB34" s="3900"/>
      <c r="BC34" s="3899" t="e">
        <f>IF('Data Entry - SOF'!O54-BC33&lt;0,0,'Data Entry - SOF'!O54-BC33)</f>
        <v>#DIV/0!</v>
      </c>
      <c r="BD34" s="3900"/>
      <c r="BE34" s="3901" t="e">
        <f>IF('Data Entry - SOF'!O54-BE33&lt;0,0,'Data Entry - SOF'!O54-BE33)</f>
        <v>#DIV/0!</v>
      </c>
    </row>
    <row r="35" spans="1:57">
      <c r="A35" s="1200" t="s">
        <v>2393</v>
      </c>
      <c r="C35" s="1417" t="e">
        <f>C34/'Data Entry - SOF'!C54</f>
        <v>#DIV/0!</v>
      </c>
      <c r="D35" s="1418"/>
      <c r="E35" s="1417" t="e">
        <f>E34/'Data Entry - SOF'!C54</f>
        <v>#DIV/0!</v>
      </c>
      <c r="F35" s="1418"/>
      <c r="G35" s="1417" t="e">
        <f>G34/'Data Entry - SOF'!C54</f>
        <v>#DIV/0!</v>
      </c>
      <c r="H35" s="1418"/>
      <c r="I35" s="2740" t="e">
        <f>I34/'Data Entry - SOF'!C54</f>
        <v>#DIV/0!</v>
      </c>
      <c r="K35" s="4116" t="e">
        <f>K34/'Data Entry - SOF'!E54</f>
        <v>#DIV/0!</v>
      </c>
      <c r="L35" s="4117"/>
      <c r="M35" s="4116" t="e">
        <f>M34/'Data Entry - SOF'!E54</f>
        <v>#DIV/0!</v>
      </c>
      <c r="N35" s="4117"/>
      <c r="O35" s="4116" t="e">
        <f>O34/'Data Entry - SOF'!E54</f>
        <v>#DIV/0!</v>
      </c>
      <c r="P35" s="4117"/>
      <c r="Q35" s="4241" t="e">
        <f>Q34/'Data Entry - SOF'!E54</f>
        <v>#DIV/0!</v>
      </c>
      <c r="S35" s="1595" t="e">
        <f>S34/'Data Entry - SOF'!G54</f>
        <v>#DIV/0!</v>
      </c>
      <c r="T35" s="1596"/>
      <c r="U35" s="1595" t="e">
        <f>U34/'Data Entry - SOF'!G54</f>
        <v>#DIV/0!</v>
      </c>
      <c r="V35" s="1596"/>
      <c r="W35" s="1595" t="e">
        <f>W34/'Data Entry - SOF'!G54</f>
        <v>#DIV/0!</v>
      </c>
      <c r="X35" s="1596"/>
      <c r="Y35" s="2776" t="e">
        <f>Y34/'Data Entry - SOF'!G54</f>
        <v>#DIV/0!</v>
      </c>
      <c r="AA35" s="1676" t="e">
        <f>AA34/'Data Entry - SOF'!I54</f>
        <v>#DIV/0!</v>
      </c>
      <c r="AB35" s="1677"/>
      <c r="AC35" s="1676" t="e">
        <f>AC34/'Data Entry - SOF'!I54</f>
        <v>#DIV/0!</v>
      </c>
      <c r="AD35" s="1677"/>
      <c r="AE35" s="1676" t="e">
        <f>AE34/'Data Entry - SOF'!I54</f>
        <v>#DIV/0!</v>
      </c>
      <c r="AF35" s="1677"/>
      <c r="AG35" s="2797" t="e">
        <f>AG34/'Data Entry - SOF'!I54</f>
        <v>#DIV/0!</v>
      </c>
      <c r="AI35" s="2119" t="e">
        <f>AI34/'Data Entry - SOF'!K54</f>
        <v>#DIV/0!</v>
      </c>
      <c r="AJ35" s="2120"/>
      <c r="AK35" s="2119" t="e">
        <f>AK34/'Data Entry - SOF'!K54</f>
        <v>#DIV/0!</v>
      </c>
      <c r="AL35" s="2120"/>
      <c r="AM35" s="2119" t="e">
        <f>AM34/'Data Entry - SOF'!K54</f>
        <v>#DIV/0!</v>
      </c>
      <c r="AN35" s="2120"/>
      <c r="AO35" s="2814" t="e">
        <f>AO34/'Data Entry - SOF'!K54</f>
        <v>#DIV/0!</v>
      </c>
      <c r="AQ35" s="2641" t="e">
        <f>AQ34/'Data Entry - SOF'!M54</f>
        <v>#DIV/0!</v>
      </c>
      <c r="AR35" s="2642"/>
      <c r="AS35" s="2641" t="e">
        <f>AS34/'Data Entry - SOF'!M54</f>
        <v>#DIV/0!</v>
      </c>
      <c r="AT35" s="2642"/>
      <c r="AU35" s="2641" t="e">
        <f>AU34/'Data Entry - SOF'!M54</f>
        <v>#DIV/0!</v>
      </c>
      <c r="AV35" s="2642"/>
      <c r="AW35" s="2827" t="e">
        <f>AW34/'Data Entry - SOF'!M54</f>
        <v>#DIV/0!</v>
      </c>
      <c r="AY35" s="4099" t="e">
        <f>AY34/'Data Entry - SOF'!O54</f>
        <v>#DIV/0!</v>
      </c>
      <c r="AZ35" s="4100"/>
      <c r="BA35" s="4099" t="e">
        <f>BA34/'Data Entry - SOF'!O54</f>
        <v>#DIV/0!</v>
      </c>
      <c r="BB35" s="4100"/>
      <c r="BC35" s="4099" t="e">
        <f>BC34/'Data Entry - SOF'!O54</f>
        <v>#DIV/0!</v>
      </c>
      <c r="BD35" s="4100"/>
      <c r="BE35" s="4101" t="e">
        <f>BE34/'Data Entry - SOF'!O54</f>
        <v>#DIV/0!</v>
      </c>
    </row>
    <row r="36" spans="1:57">
      <c r="A36" t="s">
        <v>213</v>
      </c>
      <c r="C36" s="1419" t="e">
        <f>C33/'Ch41 Calc Data'!K17</f>
        <v>#DIV/0!</v>
      </c>
      <c r="D36" s="1420"/>
      <c r="E36" s="1419" t="e">
        <f>E33/'Ch41 Calc Data'!K17</f>
        <v>#DIV/0!</v>
      </c>
      <c r="F36" s="1420"/>
      <c r="G36" s="1419" t="e">
        <f>G33/'Ch41 Calc Data'!K17</f>
        <v>#DIV/0!</v>
      </c>
      <c r="H36" s="1420"/>
      <c r="I36" s="2741" t="e">
        <f>I33/'Ch41 Calc Data'!K17</f>
        <v>#DIV/0!</v>
      </c>
      <c r="K36" s="4114" t="e">
        <f>K33/'Ch41 Calc Data'!L17</f>
        <v>#DIV/0!</v>
      </c>
      <c r="L36" s="4115"/>
      <c r="M36" s="4114" t="e">
        <f>M33/'Ch41 Calc Data'!L17</f>
        <v>#DIV/0!</v>
      </c>
      <c r="N36" s="4115"/>
      <c r="O36" s="4114" t="e">
        <f>O33/'Ch41 Calc Data'!L17</f>
        <v>#DIV/0!</v>
      </c>
      <c r="P36" s="4115"/>
      <c r="Q36" s="4059" t="e">
        <f>Q33/'Ch41 Calc Data'!L17</f>
        <v>#DIV/0!</v>
      </c>
      <c r="S36" s="1597" t="e">
        <f>S33/'Ch41 Calc Data'!M17</f>
        <v>#DIV/0!</v>
      </c>
      <c r="T36" s="1598"/>
      <c r="U36" s="1597" t="e">
        <f>U33/'Ch41 Calc Data'!M17</f>
        <v>#DIV/0!</v>
      </c>
      <c r="V36" s="1598"/>
      <c r="W36" s="1597" t="e">
        <f>W33/'Ch41 Calc Data'!M17</f>
        <v>#DIV/0!</v>
      </c>
      <c r="X36" s="1598"/>
      <c r="Y36" s="2777" t="e">
        <f>Y33/'Ch41 Calc Data'!M17</f>
        <v>#DIV/0!</v>
      </c>
      <c r="AA36" s="1678" t="e">
        <f>AA33/'Ch41 Calc Data'!N17</f>
        <v>#DIV/0!</v>
      </c>
      <c r="AB36" s="1679"/>
      <c r="AC36" s="1678" t="e">
        <f>AC33/'Ch41 Calc Data'!N17</f>
        <v>#DIV/0!</v>
      </c>
      <c r="AD36" s="1679"/>
      <c r="AE36" s="1678" t="e">
        <f>AE33/'Ch41 Calc Data'!N17</f>
        <v>#DIV/0!</v>
      </c>
      <c r="AF36" s="1679"/>
      <c r="AG36" s="2798" t="e">
        <f>AG33/'Ch41 Calc Data'!N17</f>
        <v>#DIV/0!</v>
      </c>
      <c r="AI36" s="2121" t="e">
        <f>AI33/'Ch41 Calc Data'!O17</f>
        <v>#DIV/0!</v>
      </c>
      <c r="AJ36" s="2122"/>
      <c r="AK36" s="2121" t="e">
        <f>AK33/'Ch41 Calc Data'!O17</f>
        <v>#DIV/0!</v>
      </c>
      <c r="AL36" s="2122"/>
      <c r="AM36" s="2121" t="e">
        <f>AM33/'Ch41 Calc Data'!O17</f>
        <v>#DIV/0!</v>
      </c>
      <c r="AN36" s="2122"/>
      <c r="AO36" s="2815" t="e">
        <f>AO33/'Ch41 Calc Data'!O17</f>
        <v>#DIV/0!</v>
      </c>
      <c r="AQ36" s="2643" t="e">
        <f>AQ33/'Ch41 Calc Data'!P17</f>
        <v>#DIV/0!</v>
      </c>
      <c r="AR36" s="2644"/>
      <c r="AS36" s="2643" t="e">
        <f>AS33/'Ch41 Calc Data'!P17</f>
        <v>#DIV/0!</v>
      </c>
      <c r="AT36" s="2644"/>
      <c r="AU36" s="2643" t="e">
        <f>AU33/'Ch41 Calc Data'!P17</f>
        <v>#DIV/0!</v>
      </c>
      <c r="AV36" s="2644"/>
      <c r="AW36" s="2828" t="e">
        <f>AW33/'Ch41 Calc Data'!P17</f>
        <v>#DIV/0!</v>
      </c>
      <c r="AY36" s="3897" t="e">
        <f>AY33/'Ch41 Calc Data'!Q17</f>
        <v>#DIV/0!</v>
      </c>
      <c r="AZ36" s="3895"/>
      <c r="BA36" s="3897" t="e">
        <f>BA33/'Ch41 Calc Data'!Q17</f>
        <v>#DIV/0!</v>
      </c>
      <c r="BB36" s="3895"/>
      <c r="BC36" s="3897" t="e">
        <f>BC33/'Ch41 Calc Data'!Q17</f>
        <v>#DIV/0!</v>
      </c>
      <c r="BD36" s="3895"/>
      <c r="BE36" s="3898" t="e">
        <f>BE33/'Ch41 Calc Data'!Q17</f>
        <v>#DIV/0!</v>
      </c>
    </row>
    <row r="37" spans="1:57">
      <c r="I37" s="2733"/>
      <c r="K37" s="4113"/>
      <c r="L37" s="4113"/>
      <c r="M37" s="4113"/>
      <c r="N37" s="4113"/>
      <c r="O37" s="4113"/>
      <c r="P37" s="4113"/>
      <c r="Q37" s="4242"/>
      <c r="Y37" s="2769"/>
      <c r="AG37" s="2790"/>
      <c r="AO37" s="2664"/>
      <c r="AW37" s="2820"/>
      <c r="BE37" s="3909"/>
    </row>
    <row r="38" spans="1:57" ht="15.75">
      <c r="A38" s="38" t="s">
        <v>2394</v>
      </c>
      <c r="I38" s="2733"/>
      <c r="K38" s="4113"/>
      <c r="L38" s="4113"/>
      <c r="M38" s="4113"/>
      <c r="N38" s="4113"/>
      <c r="O38" s="4113"/>
      <c r="P38" s="4113"/>
      <c r="Q38" s="4242"/>
      <c r="Y38" s="2769"/>
      <c r="AG38" s="2790"/>
      <c r="AO38" s="2664"/>
      <c r="AW38" s="2820"/>
      <c r="BE38" s="3909"/>
    </row>
    <row r="39" spans="1:57">
      <c r="A39" t="s">
        <v>1033</v>
      </c>
      <c r="C39" s="1419" t="e">
        <f>'Calc Data-15K'!C30</f>
        <v>#DIV/0!</v>
      </c>
      <c r="D39" s="1420"/>
      <c r="E39" s="1419" t="e">
        <f>C39</f>
        <v>#DIV/0!</v>
      </c>
      <c r="F39" s="1420"/>
      <c r="G39" s="1419"/>
      <c r="H39" s="1420"/>
      <c r="I39" s="2741"/>
      <c r="K39" s="4114" t="e">
        <f>'Calc Data-15K'!D30</f>
        <v>#DIV/0!</v>
      </c>
      <c r="L39" s="4115"/>
      <c r="M39" s="4114" t="e">
        <f>K39</f>
        <v>#DIV/0!</v>
      </c>
      <c r="N39" s="4115"/>
      <c r="O39" s="4114"/>
      <c r="P39" s="4115"/>
      <c r="Q39" s="4059"/>
      <c r="S39" s="1597" t="e">
        <f>'Calc Data-15K'!E30</f>
        <v>#DIV/0!</v>
      </c>
      <c r="T39" s="1598"/>
      <c r="U39" s="1597" t="e">
        <f>S39</f>
        <v>#DIV/0!</v>
      </c>
      <c r="V39" s="1598"/>
      <c r="W39" s="1597"/>
      <c r="X39" s="1598"/>
      <c r="Y39" s="2777"/>
      <c r="AA39" s="1678" t="e">
        <f>'Calc Data-15K'!F30</f>
        <v>#DIV/0!</v>
      </c>
      <c r="AB39" s="1679"/>
      <c r="AC39" s="1678" t="e">
        <f>AA39</f>
        <v>#DIV/0!</v>
      </c>
      <c r="AD39" s="1679"/>
      <c r="AE39" s="1678"/>
      <c r="AF39" s="1679"/>
      <c r="AG39" s="2798"/>
      <c r="AI39" s="2121" t="e">
        <f>'Calc Data-15K'!G30</f>
        <v>#DIV/0!</v>
      </c>
      <c r="AJ39" s="2122"/>
      <c r="AK39" s="2121" t="e">
        <f>AI39</f>
        <v>#DIV/0!</v>
      </c>
      <c r="AL39" s="2122"/>
      <c r="AM39" s="2121"/>
      <c r="AN39" s="2122"/>
      <c r="AO39" s="2815"/>
      <c r="AQ39" s="2643" t="e">
        <f>'Calc Data-15K'!H30</f>
        <v>#DIV/0!</v>
      </c>
      <c r="AR39" s="2644"/>
      <c r="AS39" s="2643" t="e">
        <f>AQ39</f>
        <v>#DIV/0!</v>
      </c>
      <c r="AT39" s="2644"/>
      <c r="AU39" s="2643"/>
      <c r="AV39" s="2644"/>
      <c r="AW39" s="2828"/>
      <c r="AY39" s="3897" t="e">
        <f>'Calc Data-15K'!I30</f>
        <v>#DIV/0!</v>
      </c>
      <c r="AZ39" s="3895"/>
      <c r="BA39" s="3897" t="e">
        <f>AY39</f>
        <v>#DIV/0!</v>
      </c>
      <c r="BB39" s="3895"/>
      <c r="BC39" s="3897"/>
      <c r="BD39" s="3895"/>
      <c r="BE39" s="3898"/>
    </row>
    <row r="40" spans="1:57">
      <c r="A40" t="s">
        <v>827</v>
      </c>
      <c r="C40" s="1419"/>
      <c r="D40" s="1420"/>
      <c r="E40" s="1419"/>
      <c r="F40" s="1420"/>
      <c r="G40" s="1419" t="e">
        <f>'Calc Data-15K'!C37</f>
        <v>#DIV/0!</v>
      </c>
      <c r="H40" s="1420"/>
      <c r="I40" s="2741" t="e">
        <f>G40</f>
        <v>#DIV/0!</v>
      </c>
      <c r="K40" s="4114"/>
      <c r="L40" s="4115"/>
      <c r="M40" s="4114"/>
      <c r="N40" s="4115"/>
      <c r="O40" s="4114" t="e">
        <f>'Calc Data-15K'!D37</f>
        <v>#DIV/0!</v>
      </c>
      <c r="P40" s="4115"/>
      <c r="Q40" s="4059" t="e">
        <f>O40</f>
        <v>#DIV/0!</v>
      </c>
      <c r="S40" s="1597"/>
      <c r="T40" s="1598"/>
      <c r="U40" s="1597"/>
      <c r="V40" s="1598"/>
      <c r="W40" s="1597" t="e">
        <f>'Calc Data-15K'!E37</f>
        <v>#DIV/0!</v>
      </c>
      <c r="X40" s="1598"/>
      <c r="Y40" s="2777" t="e">
        <f>W40</f>
        <v>#DIV/0!</v>
      </c>
      <c r="AA40" s="1678"/>
      <c r="AB40" s="1679"/>
      <c r="AC40" s="1678"/>
      <c r="AD40" s="1679"/>
      <c r="AE40" s="1678" t="e">
        <f>'Calc Data-15K'!F37</f>
        <v>#DIV/0!</v>
      </c>
      <c r="AF40" s="1679"/>
      <c r="AG40" s="2798" t="e">
        <f>AE40</f>
        <v>#DIV/0!</v>
      </c>
      <c r="AI40" s="2121"/>
      <c r="AJ40" s="2122"/>
      <c r="AK40" s="2121"/>
      <c r="AL40" s="2122"/>
      <c r="AM40" s="2121" t="e">
        <f>'Calc Data-15K'!G37</f>
        <v>#DIV/0!</v>
      </c>
      <c r="AN40" s="2122"/>
      <c r="AO40" s="2815" t="e">
        <f>AM40</f>
        <v>#DIV/0!</v>
      </c>
      <c r="AQ40" s="2643"/>
      <c r="AR40" s="2644"/>
      <c r="AS40" s="2643"/>
      <c r="AT40" s="2644"/>
      <c r="AU40" s="2643" t="e">
        <f>'Calc Data-15K'!H37</f>
        <v>#DIV/0!</v>
      </c>
      <c r="AV40" s="2644"/>
      <c r="AW40" s="2828" t="e">
        <f>AU40</f>
        <v>#DIV/0!</v>
      </c>
      <c r="AY40" s="3897"/>
      <c r="AZ40" s="3895"/>
      <c r="BA40" s="3897"/>
      <c r="BB40" s="3895"/>
      <c r="BC40" s="3897" t="e">
        <f>'Calc Data-15K'!I37</f>
        <v>#DIV/0!</v>
      </c>
      <c r="BD40" s="3895"/>
      <c r="BE40" s="3898" t="e">
        <f>BC40</f>
        <v>#DIV/0!</v>
      </c>
    </row>
    <row r="41" spans="1:57">
      <c r="A41" t="s">
        <v>1343</v>
      </c>
      <c r="C41" s="1419" t="e">
        <f>C39</f>
        <v>#DIV/0!</v>
      </c>
      <c r="D41" s="1420"/>
      <c r="E41" s="1419" t="e">
        <f>E39</f>
        <v>#DIV/0!</v>
      </c>
      <c r="F41" s="1420"/>
      <c r="G41" s="1419" t="e">
        <f>G40</f>
        <v>#DIV/0!</v>
      </c>
      <c r="H41" s="1420"/>
      <c r="I41" s="2741" t="e">
        <f>I40</f>
        <v>#DIV/0!</v>
      </c>
      <c r="K41" s="4114" t="e">
        <f>K39</f>
        <v>#DIV/0!</v>
      </c>
      <c r="L41" s="4115"/>
      <c r="M41" s="4114" t="e">
        <f>M39</f>
        <v>#DIV/0!</v>
      </c>
      <c r="N41" s="4115"/>
      <c r="O41" s="4114" t="e">
        <f>O40</f>
        <v>#DIV/0!</v>
      </c>
      <c r="P41" s="4115"/>
      <c r="Q41" s="4059" t="e">
        <f>Q40</f>
        <v>#DIV/0!</v>
      </c>
      <c r="S41" s="1597" t="e">
        <f>S39</f>
        <v>#DIV/0!</v>
      </c>
      <c r="T41" s="1598"/>
      <c r="U41" s="1597" t="e">
        <f>U39</f>
        <v>#DIV/0!</v>
      </c>
      <c r="V41" s="1598"/>
      <c r="W41" s="1597" t="e">
        <f>W40</f>
        <v>#DIV/0!</v>
      </c>
      <c r="X41" s="1598"/>
      <c r="Y41" s="2777" t="e">
        <f>Y40</f>
        <v>#DIV/0!</v>
      </c>
      <c r="AA41" s="1678" t="e">
        <f>AA39</f>
        <v>#DIV/0!</v>
      </c>
      <c r="AB41" s="1679"/>
      <c r="AC41" s="1678" t="e">
        <f>AC39</f>
        <v>#DIV/0!</v>
      </c>
      <c r="AD41" s="1679"/>
      <c r="AE41" s="1678" t="e">
        <f>AE40</f>
        <v>#DIV/0!</v>
      </c>
      <c r="AF41" s="1679"/>
      <c r="AG41" s="2798" t="e">
        <f>AG40</f>
        <v>#DIV/0!</v>
      </c>
      <c r="AI41" s="2121" t="e">
        <f>AI39</f>
        <v>#DIV/0!</v>
      </c>
      <c r="AJ41" s="2122"/>
      <c r="AK41" s="2121" t="e">
        <f>AK39</f>
        <v>#DIV/0!</v>
      </c>
      <c r="AL41" s="2122"/>
      <c r="AM41" s="2121" t="e">
        <f>AM40</f>
        <v>#DIV/0!</v>
      </c>
      <c r="AN41" s="2122"/>
      <c r="AO41" s="2815" t="e">
        <f>AO40</f>
        <v>#DIV/0!</v>
      </c>
      <c r="AQ41" s="2643" t="e">
        <f>AQ39</f>
        <v>#DIV/0!</v>
      </c>
      <c r="AR41" s="2644"/>
      <c r="AS41" s="2643" t="e">
        <f>AS39</f>
        <v>#DIV/0!</v>
      </c>
      <c r="AT41" s="2644"/>
      <c r="AU41" s="2643" t="e">
        <f>AU40</f>
        <v>#DIV/0!</v>
      </c>
      <c r="AV41" s="2644"/>
      <c r="AW41" s="2828" t="e">
        <f>AW40</f>
        <v>#DIV/0!</v>
      </c>
      <c r="AY41" s="3897" t="e">
        <f>AY39</f>
        <v>#DIV/0!</v>
      </c>
      <c r="AZ41" s="3895"/>
      <c r="BA41" s="3897" t="e">
        <f>BA39</f>
        <v>#DIV/0!</v>
      </c>
      <c r="BB41" s="3895"/>
      <c r="BC41" s="3897" t="e">
        <f>BC40</f>
        <v>#DIV/0!</v>
      </c>
      <c r="BD41" s="3895"/>
      <c r="BE41" s="3898" t="e">
        <f>BE40</f>
        <v>#DIV/0!</v>
      </c>
    </row>
    <row r="42" spans="1:57">
      <c r="A42" t="s">
        <v>2395</v>
      </c>
      <c r="C42" s="1411" t="e">
        <f>C35*C41</f>
        <v>#DIV/0!</v>
      </c>
      <c r="D42" s="1412"/>
      <c r="E42" s="1411" t="e">
        <f>E35*E41</f>
        <v>#DIV/0!</v>
      </c>
      <c r="F42" s="1412"/>
      <c r="G42" s="1411" t="e">
        <f>IF(G40&lt;1,0,G35*G41)</f>
        <v>#DIV/0!</v>
      </c>
      <c r="H42" s="1412"/>
      <c r="I42" s="2737" t="e">
        <f>IF(I40&lt;1,0,I35*I41)</f>
        <v>#DIV/0!</v>
      </c>
      <c r="K42" s="4114" t="e">
        <f>K35*K41</f>
        <v>#DIV/0!</v>
      </c>
      <c r="L42" s="4115"/>
      <c r="M42" s="4114" t="e">
        <f>M35*M41</f>
        <v>#DIV/0!</v>
      </c>
      <c r="N42" s="4115"/>
      <c r="O42" s="4114" t="e">
        <f>IF(O40&lt;1,0,O35*O41)</f>
        <v>#DIV/0!</v>
      </c>
      <c r="P42" s="4115"/>
      <c r="Q42" s="4059" t="e">
        <f>IF(Q40&lt;1,0,Q35*Q41)</f>
        <v>#DIV/0!</v>
      </c>
      <c r="S42" s="1589" t="e">
        <f>S35*S41</f>
        <v>#DIV/0!</v>
      </c>
      <c r="T42" s="1590"/>
      <c r="U42" s="1589" t="e">
        <f>U35*U41</f>
        <v>#DIV/0!</v>
      </c>
      <c r="V42" s="1590"/>
      <c r="W42" s="1589" t="e">
        <f>IF(W40&lt;1,0,W35*W41)</f>
        <v>#DIV/0!</v>
      </c>
      <c r="X42" s="1590"/>
      <c r="Y42" s="2773" t="e">
        <f>IF(Y40&lt;1,0,Y35*Y41)</f>
        <v>#DIV/0!</v>
      </c>
      <c r="AA42" s="1670" t="e">
        <f>AA35*AA41</f>
        <v>#DIV/0!</v>
      </c>
      <c r="AB42" s="1671"/>
      <c r="AC42" s="1670" t="e">
        <f>AC35*AC41</f>
        <v>#DIV/0!</v>
      </c>
      <c r="AD42" s="1671"/>
      <c r="AE42" s="1670" t="e">
        <f>IF(AE40&lt;1,0,AE35*AE41)</f>
        <v>#DIV/0!</v>
      </c>
      <c r="AF42" s="1671"/>
      <c r="AG42" s="2794" t="e">
        <f>IF(AG40&lt;1,0,AG35*AG41)</f>
        <v>#DIV/0!</v>
      </c>
      <c r="AI42" s="2113" t="e">
        <f>AI35*AI41</f>
        <v>#DIV/0!</v>
      </c>
      <c r="AJ42" s="2114"/>
      <c r="AK42" s="2113" t="e">
        <f>AK35*AK41</f>
        <v>#DIV/0!</v>
      </c>
      <c r="AL42" s="2114"/>
      <c r="AM42" s="2113" t="e">
        <f>IF(AM40&lt;1,0,AM35*AM41)</f>
        <v>#DIV/0!</v>
      </c>
      <c r="AN42" s="2114"/>
      <c r="AO42" s="2667" t="e">
        <f>IF(AO40&lt;1,0,AO35*AO41)</f>
        <v>#DIV/0!</v>
      </c>
      <c r="AQ42" s="2635" t="e">
        <f>AQ35*AQ41</f>
        <v>#DIV/0!</v>
      </c>
      <c r="AR42" s="2636"/>
      <c r="AS42" s="2635" t="e">
        <f>AS35*AS41</f>
        <v>#DIV/0!</v>
      </c>
      <c r="AT42" s="2636"/>
      <c r="AU42" s="2635" t="e">
        <f>IF(AU40&lt;1,0,AU35*AU41)</f>
        <v>#DIV/0!</v>
      </c>
      <c r="AV42" s="2636"/>
      <c r="AW42" s="2824" t="e">
        <f>IF(AW40&lt;1,0,AW35*AW41)</f>
        <v>#DIV/0!</v>
      </c>
      <c r="AY42" s="3899" t="e">
        <f>AY35*AY41</f>
        <v>#DIV/0!</v>
      </c>
      <c r="AZ42" s="3900"/>
      <c r="BA42" s="3899" t="e">
        <f>BA35*BA41</f>
        <v>#DIV/0!</v>
      </c>
      <c r="BB42" s="3900"/>
      <c r="BC42" s="3899" t="e">
        <f>IF(BC40&lt;1,0,BC35*BC41)</f>
        <v>#DIV/0!</v>
      </c>
      <c r="BD42" s="3900"/>
      <c r="BE42" s="3901" t="e">
        <f>IF(BE40&lt;1,0,BE35*BE41)</f>
        <v>#DIV/0!</v>
      </c>
    </row>
    <row r="43" spans="1:57">
      <c r="A43" s="97" t="s">
        <v>1141</v>
      </c>
      <c r="C43" s="1413" t="e">
        <f>C34/IF(C36&lt;Assumptions!G92,Assumptions!G92,C36)</f>
        <v>#DIV/0!</v>
      </c>
      <c r="D43" s="1414"/>
      <c r="E43" s="1413" t="e">
        <f>E34/E36</f>
        <v>#DIV/0!</v>
      </c>
      <c r="F43" s="1414"/>
      <c r="G43" s="1413" t="e">
        <f>IF(G42=0,0,G34/G36)</f>
        <v>#DIV/0!</v>
      </c>
      <c r="H43" s="1414"/>
      <c r="I43" s="2738" t="e">
        <f>IF(I42=0,0,I34/I36)</f>
        <v>#DIV/0!</v>
      </c>
      <c r="K43" s="4119" t="e">
        <f>K34/IF(K36&lt;Assumptions!G103,Assumptions!G103,K36)</f>
        <v>#DIV/0!</v>
      </c>
      <c r="L43" s="4120"/>
      <c r="M43" s="4119" t="e">
        <f>M34/M36</f>
        <v>#DIV/0!</v>
      </c>
      <c r="N43" s="4120"/>
      <c r="O43" s="4119" t="e">
        <f>IF(O42=0,0,O34/O36)</f>
        <v>#DIV/0!</v>
      </c>
      <c r="P43" s="4120"/>
      <c r="Q43" s="4244" t="e">
        <f>IF(Q42=0,0,Q34/Q36)</f>
        <v>#DIV/0!</v>
      </c>
      <c r="S43" s="1591" t="e">
        <f>S34/IF(S36&lt;Assumptions!G112,Assumptions!G112,S36)</f>
        <v>#DIV/0!</v>
      </c>
      <c r="T43" s="1592"/>
      <c r="U43" s="1591" t="e">
        <f>U34/U36</f>
        <v>#DIV/0!</v>
      </c>
      <c r="V43" s="1592"/>
      <c r="W43" s="1591" t="e">
        <f>IF(W42=0,0,W34/W36)</f>
        <v>#DIV/0!</v>
      </c>
      <c r="X43" s="1592"/>
      <c r="Y43" s="2774" t="e">
        <f>IF(Y42=0,0,Y34/Y36)</f>
        <v>#DIV/0!</v>
      </c>
      <c r="AA43" s="1672" t="e">
        <f>AA34/IF(AA36&lt;Assumptions!G121,Assumptions!G121,AA36)</f>
        <v>#DIV/0!</v>
      </c>
      <c r="AB43" s="1673"/>
      <c r="AC43" s="1672" t="e">
        <f>AC34/AC36</f>
        <v>#DIV/0!</v>
      </c>
      <c r="AD43" s="1673"/>
      <c r="AE43" s="1672" t="e">
        <f>IF(AE42=0,0,AE34/AE36)</f>
        <v>#DIV/0!</v>
      </c>
      <c r="AF43" s="1673"/>
      <c r="AG43" s="2795" t="e">
        <f>IF(AG42=0,0,AG34/AG36)</f>
        <v>#DIV/0!</v>
      </c>
      <c r="AI43" s="2115" t="e">
        <f>AI34/IF(AI36&lt;Assumptions!G130,Assumptions!G130,AI36)</f>
        <v>#DIV/0!</v>
      </c>
      <c r="AJ43" s="2116"/>
      <c r="AK43" s="2115" t="e">
        <f>AK34/AK36</f>
        <v>#DIV/0!</v>
      </c>
      <c r="AL43" s="2116"/>
      <c r="AM43" s="2115" t="e">
        <f>IF(AM42=0,0,AM34/AM36)</f>
        <v>#DIV/0!</v>
      </c>
      <c r="AN43" s="2116"/>
      <c r="AO43" s="2666" t="e">
        <f>IF(AO42=0,0,AO34/AO36)</f>
        <v>#DIV/0!</v>
      </c>
      <c r="AQ43" s="2637" t="e">
        <f>AQ34/IF(AQ36&lt;Assumptions!G139,Assumptions!G139,AQ36)</f>
        <v>#DIV/0!</v>
      </c>
      <c r="AR43" s="2638"/>
      <c r="AS43" s="2637" t="e">
        <f>AS34/AS36</f>
        <v>#DIV/0!</v>
      </c>
      <c r="AT43" s="2638"/>
      <c r="AU43" s="2637" t="e">
        <f>IF(AU42=0,0,AU34/AU36)</f>
        <v>#DIV/0!</v>
      </c>
      <c r="AV43" s="2638"/>
      <c r="AW43" s="2825" t="e">
        <f>IF(AW42=0,0,AW34/AW36)</f>
        <v>#DIV/0!</v>
      </c>
      <c r="AY43" s="3902" t="e">
        <f>AY34/IF(AY36&lt;Assumptions!G148,Assumptions!G148,AY36)</f>
        <v>#DIV/0!</v>
      </c>
      <c r="AZ43" s="3903"/>
      <c r="BA43" s="3902" t="e">
        <f>BA34/BA36</f>
        <v>#DIV/0!</v>
      </c>
      <c r="BB43" s="3903"/>
      <c r="BC43" s="3902" t="e">
        <f>IF(BC42=0,0,BC34/BC36)</f>
        <v>#DIV/0!</v>
      </c>
      <c r="BD43" s="3903"/>
      <c r="BE43" s="3904" t="e">
        <f>IF(BE42=0,0,BE34/BE36)</f>
        <v>#DIV/0!</v>
      </c>
    </row>
    <row r="44" spans="1:57">
      <c r="A44" s="92" t="s">
        <v>1752</v>
      </c>
      <c r="C44" s="1421" t="e">
        <f>IF(C43=0,0,IF(C42/C43&lt;3147,3147,C42/C43))</f>
        <v>#DIV/0!</v>
      </c>
      <c r="D44" s="1422"/>
      <c r="E44" s="1421" t="e">
        <f>IF(E43=0,0,IF(E42/E43&lt;3147,3147,E42/E43))</f>
        <v>#DIV/0!</v>
      </c>
      <c r="F44" s="1422"/>
      <c r="G44" s="1421" t="e">
        <f>IF(G43=0,0,IF(G42/G43&lt;71.62,71.62,G42/G43))</f>
        <v>#DIV/0!</v>
      </c>
      <c r="H44" s="1422"/>
      <c r="I44" s="2742" t="e">
        <f>IF(I43=0,0,IF(I42/I43&lt;71.62,71.62,I42/I43))</f>
        <v>#DIV/0!</v>
      </c>
      <c r="K44" s="4121" t="e">
        <f>IF(K43=0,0,IF(K42/K43&lt;3392,3392,K42/K43))</f>
        <v>#DIV/0!</v>
      </c>
      <c r="L44" s="4122"/>
      <c r="M44" s="4121" t="e">
        <f>IF(M43=0,0,IF(M42/M43&lt;3392,3392,M42/M43))</f>
        <v>#DIV/0!</v>
      </c>
      <c r="N44" s="4122"/>
      <c r="O44" s="4121" t="e">
        <f>IF(O43=0,0,IF(O42/O43&lt;84.777,84.777,O42/O43))</f>
        <v>#DIV/0!</v>
      </c>
      <c r="P44" s="4122"/>
      <c r="Q44" s="4245" t="e">
        <f>IF(Q43=0,0,IF(Q42/Q43&lt;84.777,84.777,Q42/Q43))</f>
        <v>#DIV/0!</v>
      </c>
      <c r="S44" s="1599" t="e">
        <f>IF(S43=0,0,IF(S42/S43&lt;3392,3392,S42/S43))</f>
        <v>#DIV/0!</v>
      </c>
      <c r="T44" s="1600"/>
      <c r="U44" s="1599" t="e">
        <f>IF(U43=0,0,IF(U42/U43&lt;3392,3392,U42/U43))</f>
        <v>#DIV/0!</v>
      </c>
      <c r="V44" s="1600"/>
      <c r="W44" s="1599" t="e">
        <f>IF(W43=0,0,IF(W42/W43&lt;84.777,84.777,W42/W43))</f>
        <v>#DIV/0!</v>
      </c>
      <c r="X44" s="1600"/>
      <c r="Y44" s="2778" t="e">
        <f>IF(Y43=0,0,IF(Y42/Y43&lt;84.777,84.777,Y42/Y43))</f>
        <v>#DIV/0!</v>
      </c>
      <c r="AA44" s="1680" t="e">
        <f>IF(AA43=0,0,IF(AA42/AA43&lt;3392,3392,AA42/AA43))</f>
        <v>#DIV/0!</v>
      </c>
      <c r="AB44" s="1681"/>
      <c r="AC44" s="1680" t="e">
        <f>IF(AC43=0,0,IF(AC42/AC43&lt;3392,3392,AC42/AC43))</f>
        <v>#DIV/0!</v>
      </c>
      <c r="AD44" s="1681"/>
      <c r="AE44" s="1680" t="e">
        <f>IF(AE43=0,0,IF(AE42/AE43&lt;84.777,84.777,AE42/AE43))</f>
        <v>#DIV/0!</v>
      </c>
      <c r="AF44" s="1681"/>
      <c r="AG44" s="2799" t="e">
        <f>IF(AG43=0,0,IF(AG42/AG43&lt;84.777,84.777,AG42/AG43))</f>
        <v>#DIV/0!</v>
      </c>
      <c r="AI44" s="2123" t="e">
        <f>IF(AI43=0,0,IF(AI42/AI43&lt;3392,3392,AI42/AI43))</f>
        <v>#DIV/0!</v>
      </c>
      <c r="AJ44" s="2124"/>
      <c r="AK44" s="2123" t="e">
        <f>IF(AK43=0,0,IF(AK42/AK43&lt;3392,3392,AK42/AK43))</f>
        <v>#DIV/0!</v>
      </c>
      <c r="AL44" s="2124"/>
      <c r="AM44" s="2123" t="e">
        <f>IF(AM43=0,0,IF(AM42/AM43&lt;84.777,84.777,AM42/AM43))</f>
        <v>#DIV/0!</v>
      </c>
      <c r="AN44" s="2124"/>
      <c r="AO44" s="2816" t="e">
        <f>IF(AO43=0,0,IF(AO42/AO43&lt;84.777,84.777,AO42/AO43))</f>
        <v>#DIV/0!</v>
      </c>
      <c r="AQ44" s="2645" t="e">
        <f>IF(AQ43=0,0,IF(AQ42/AQ43&lt;3392,3392,AQ42/AQ43))</f>
        <v>#DIV/0!</v>
      </c>
      <c r="AR44" s="2646"/>
      <c r="AS44" s="2645" t="e">
        <f>IF(AS43=0,0,IF(AS42/AS43&lt;3392,3392,AS42/AS43))</f>
        <v>#DIV/0!</v>
      </c>
      <c r="AT44" s="2646"/>
      <c r="AU44" s="2645" t="e">
        <f>IF(AU43=0,0,IF(AU42/AU43&lt;84.777,84.777,AU42/AU43))</f>
        <v>#DIV/0!</v>
      </c>
      <c r="AV44" s="2646"/>
      <c r="AW44" s="2829" t="e">
        <f>IF(AW43=0,0,IF(AW42/AW43&lt;84.777,84.777,AW42/AW43))</f>
        <v>#DIV/0!</v>
      </c>
      <c r="AY44" s="3905" t="e">
        <f>IF(AY43=0,0,IF(AY42/AY43&lt;3392,3392,AY42/AY43))</f>
        <v>#DIV/0!</v>
      </c>
      <c r="AZ44" s="3906"/>
      <c r="BA44" s="3905" t="e">
        <f>IF(BA43=0,0,IF(BA42/BA43&lt;3392,3392,BA42/BA43))</f>
        <v>#DIV/0!</v>
      </c>
      <c r="BB44" s="3906"/>
      <c r="BC44" s="3905" t="e">
        <f>IF(BC43=0,0,IF(BC42/BC43&lt;84.777,84.777,BC42/BC43))</f>
        <v>#DIV/0!</v>
      </c>
      <c r="BD44" s="3906"/>
      <c r="BE44" s="3907" t="e">
        <f>IF(BE43=0,0,IF(BE42/BE43&lt;84.777,84.777,BE42/BE43))</f>
        <v>#DIV/0!</v>
      </c>
    </row>
    <row r="45" spans="1:57">
      <c r="A45" s="92" t="s">
        <v>496</v>
      </c>
      <c r="C45" s="1413" t="e">
        <f>IF(OR('Data Entry - SOF'!C95=0,C44=0),0,IF('Data Entry - SOF'!C95&gt;C44,(C44*'Data Entry - SOF'!C94)/C44,('Data Entry - SOF'!C95*'Data Entry - SOF'!C94)/C44))</f>
        <v>#DIV/0!</v>
      </c>
      <c r="D45" s="1414"/>
      <c r="E45" s="1413" t="e">
        <f>C45</f>
        <v>#DIV/0!</v>
      </c>
      <c r="F45" s="1414"/>
      <c r="G45" s="1413" t="e">
        <f>IF(OR('Data Entry - SOF'!C95=0,G44=0),0,IF('Data Entry - SOF'!C95&gt;G44,(G44*'Data Entry - SOF'!C94)/G44,('Data Entry - SOF'!C95*'Data Entry - SOF'!C94)/G44))</f>
        <v>#DIV/0!</v>
      </c>
      <c r="H45" s="1414"/>
      <c r="I45" s="2738" t="e">
        <f>G45</f>
        <v>#DIV/0!</v>
      </c>
      <c r="K45" s="4116" t="e">
        <f>IF(OR('Data Entry - SOF'!E95=0,K44=0),0,IF('Data Entry - SOF'!E95&gt;K44,(K44*'Data Entry - SOF'!E94)/K44,('Data Entry - SOF'!E95*'Data Entry - SOF'!E94)/K44))</f>
        <v>#DIV/0!</v>
      </c>
      <c r="L45" s="4117"/>
      <c r="M45" s="4116" t="e">
        <f>K45</f>
        <v>#DIV/0!</v>
      </c>
      <c r="N45" s="4117"/>
      <c r="O45" s="4116" t="e">
        <f>IF(OR('Data Entry - SOF'!E95=0,O44=0),0,IF('Data Entry - SOF'!E95&gt;O44,(O44*'Data Entry - SOF'!E94)/O44,('Data Entry - SOF'!E95*'Data Entry - SOF'!E94)/O44))</f>
        <v>#DIV/0!</v>
      </c>
      <c r="P45" s="4117"/>
      <c r="Q45" s="4241" t="e">
        <f>O45</f>
        <v>#DIV/0!</v>
      </c>
      <c r="S45" s="1591" t="e">
        <f>IF(OR('Data Entry - SOF'!G95=0,S44=0),0,IF('Data Entry - SOF'!G95&gt;S44,(S44*'Data Entry - SOF'!G94)/S44,('Data Entry - SOF'!G95*'Data Entry - SOF'!G94)/S44))</f>
        <v>#DIV/0!</v>
      </c>
      <c r="T45" s="1592"/>
      <c r="U45" s="1591" t="e">
        <f>S45</f>
        <v>#DIV/0!</v>
      </c>
      <c r="V45" s="1592"/>
      <c r="W45" s="1591" t="e">
        <f>IF(OR('Data Entry - SOF'!G95=0,W44=0),0,IF('Data Entry - SOF'!G95&gt;W44,(W44*'Data Entry - SOF'!G94)/W44,('Data Entry - SOF'!G95*'Data Entry - SOF'!G94)/W44))</f>
        <v>#DIV/0!</v>
      </c>
      <c r="X45" s="1592"/>
      <c r="Y45" s="2774" t="e">
        <f>W45</f>
        <v>#DIV/0!</v>
      </c>
      <c r="AA45" s="1672" t="e">
        <f>IF(OR('Data Entry - SOF'!I95=0,AA44=0),0,IF('Data Entry - SOF'!I95&gt;AA44,(AA44*'Data Entry - SOF'!I94)/AA44,('Data Entry - SOF'!I95*'Data Entry - SOF'!I94)/AA44))</f>
        <v>#DIV/0!</v>
      </c>
      <c r="AB45" s="1673"/>
      <c r="AC45" s="1672" t="e">
        <f>AA45</f>
        <v>#DIV/0!</v>
      </c>
      <c r="AD45" s="1673"/>
      <c r="AE45" s="1672" t="e">
        <f>IF(OR('Data Entry - SOF'!I95=0,AE44=0),0,IF('Data Entry - SOF'!I95&gt;AE44,(AE44*'Data Entry - SOF'!I94)/AE44,('Data Entry - SOF'!I95*'Data Entry - SOF'!I94)/AE44))</f>
        <v>#DIV/0!</v>
      </c>
      <c r="AF45" s="1673"/>
      <c r="AG45" s="2795" t="e">
        <f>AE45</f>
        <v>#DIV/0!</v>
      </c>
      <c r="AI45" s="2115" t="e">
        <f>IF(OR('Data Entry - SOF'!K95=0,AI44=0),0,IF('Data Entry - SOF'!K95&gt;AI44,(AI44*'Data Entry - SOF'!K94)/AI44,('Data Entry - SOF'!K95*'Data Entry - SOF'!K94)/AI44))</f>
        <v>#DIV/0!</v>
      </c>
      <c r="AJ45" s="2116"/>
      <c r="AK45" s="2115" t="e">
        <f>AI45</f>
        <v>#DIV/0!</v>
      </c>
      <c r="AL45" s="2116"/>
      <c r="AM45" s="2115" t="e">
        <f>IF(OR('Data Entry - SOF'!K95=0,AM44=0),0,IF('Data Entry - SOF'!K95&gt;AM44,(AM44*'Data Entry - SOF'!K94)/AM44,('Data Entry - SOF'!K95*'Data Entry - SOF'!K94)/AM44))</f>
        <v>#DIV/0!</v>
      </c>
      <c r="AN45" s="2116"/>
      <c r="AO45" s="2666" t="e">
        <f>AM45</f>
        <v>#DIV/0!</v>
      </c>
      <c r="AQ45" s="2637" t="e">
        <f>IF(OR('Data Entry - SOF'!M95=0,AQ44=0),0,IF('Data Entry - SOF'!M95&gt;AQ44,(AQ44*'Data Entry - SOF'!M94)/AQ44,('Data Entry - SOF'!M95*'Data Entry - SOF'!M94)/AQ44))</f>
        <v>#DIV/0!</v>
      </c>
      <c r="AR45" s="2638"/>
      <c r="AS45" s="2637" t="e">
        <f>AQ45</f>
        <v>#DIV/0!</v>
      </c>
      <c r="AT45" s="2638"/>
      <c r="AU45" s="2637" t="e">
        <f>IF(OR('Data Entry - SOF'!M95=0,AU44=0),0,IF('Data Entry - SOF'!M95&gt;AU44,(AU44*'Data Entry - SOF'!M94)/AU44,('Data Entry - SOF'!M95*'Data Entry - SOF'!M94)/AU44))</f>
        <v>#DIV/0!</v>
      </c>
      <c r="AV45" s="2638"/>
      <c r="AW45" s="2825" t="e">
        <f>AU45</f>
        <v>#DIV/0!</v>
      </c>
      <c r="AY45" s="3902" t="e">
        <f>IF(OR('Data Entry - SOF'!O95=0,AY44=0),0,IF('Data Entry - SOF'!O95&gt;AY44,(AY44*'Data Entry - SOF'!O94)/AY44,('Data Entry - SOF'!O95*'Data Entry - SOF'!O94)/AY44))</f>
        <v>#DIV/0!</v>
      </c>
      <c r="AZ45" s="3903"/>
      <c r="BA45" s="3902" t="e">
        <f>AY45</f>
        <v>#DIV/0!</v>
      </c>
      <c r="BB45" s="3903"/>
      <c r="BC45" s="3902" t="e">
        <f>IF(OR('Data Entry - SOF'!O95=0,BC44=0),0,IF('Data Entry - SOF'!O95&gt;BC44,(BC44*'Data Entry - SOF'!O94)/BC44,('Data Entry - SOF'!O95*'Data Entry - SOF'!O94)/BC44))</f>
        <v>#DIV/0!</v>
      </c>
      <c r="BD45" s="3903"/>
      <c r="BE45" s="3904" t="e">
        <f>BC45</f>
        <v>#DIV/0!</v>
      </c>
    </row>
    <row r="46" spans="1:57">
      <c r="A46" s="92" t="s">
        <v>1476</v>
      </c>
      <c r="C46" s="219">
        <v>0</v>
      </c>
      <c r="D46" s="1414"/>
      <c r="E46" s="219">
        <v>0</v>
      </c>
      <c r="F46" s="1414"/>
      <c r="G46" s="219">
        <v>0</v>
      </c>
      <c r="H46" s="1414"/>
      <c r="I46" s="2743">
        <v>0</v>
      </c>
      <c r="K46" s="4116">
        <v>0</v>
      </c>
      <c r="L46" s="4117"/>
      <c r="M46" s="4116">
        <v>0</v>
      </c>
      <c r="N46" s="4117"/>
      <c r="O46" s="4116">
        <v>0</v>
      </c>
      <c r="P46" s="4117"/>
      <c r="Q46" s="4241">
        <v>0</v>
      </c>
      <c r="S46" s="219">
        <v>0</v>
      </c>
      <c r="T46" s="1592"/>
      <c r="U46" s="219">
        <v>0</v>
      </c>
      <c r="V46" s="1592"/>
      <c r="W46" s="219">
        <v>0</v>
      </c>
      <c r="X46" s="1592"/>
      <c r="Y46" s="2743">
        <v>0</v>
      </c>
      <c r="AA46" s="219">
        <v>0</v>
      </c>
      <c r="AB46" s="1673"/>
      <c r="AC46" s="219">
        <v>0</v>
      </c>
      <c r="AD46" s="1673"/>
      <c r="AE46" s="219">
        <v>0</v>
      </c>
      <c r="AF46" s="1673"/>
      <c r="AG46" s="2743">
        <v>0</v>
      </c>
      <c r="AI46" s="219">
        <v>0</v>
      </c>
      <c r="AJ46" s="2116"/>
      <c r="AK46" s="219">
        <v>0</v>
      </c>
      <c r="AL46" s="2116"/>
      <c r="AM46" s="219">
        <v>0</v>
      </c>
      <c r="AN46" s="2116"/>
      <c r="AO46" s="2743">
        <v>0</v>
      </c>
      <c r="AQ46" s="2647">
        <v>0</v>
      </c>
      <c r="AR46" s="2638"/>
      <c r="AS46" s="2647">
        <v>0</v>
      </c>
      <c r="AT46" s="2638"/>
      <c r="AU46" s="2647">
        <v>0</v>
      </c>
      <c r="AV46" s="2638"/>
      <c r="AW46" s="2830">
        <v>0</v>
      </c>
      <c r="AY46" s="3884">
        <v>0</v>
      </c>
      <c r="AZ46" s="3903"/>
      <c r="BA46" s="3884">
        <v>0</v>
      </c>
      <c r="BB46" s="3903"/>
      <c r="BC46" s="3884">
        <v>0</v>
      </c>
      <c r="BD46" s="3903"/>
      <c r="BE46" s="3885">
        <v>0</v>
      </c>
    </row>
    <row r="47" spans="1:57">
      <c r="A47" s="47" t="s">
        <v>1955</v>
      </c>
      <c r="C47" s="1413" t="e">
        <f>IF(C43-C45-C46&lt;0,0,C43-C45-C46)</f>
        <v>#DIV/0!</v>
      </c>
      <c r="D47" s="1414"/>
      <c r="E47" s="1413" t="e">
        <f>IF(E43-E45-E46&lt;0,0,E43-E45-E46)</f>
        <v>#DIV/0!</v>
      </c>
      <c r="F47" s="1414"/>
      <c r="G47" s="1413" t="e">
        <f>IF(G43-G45-G46&lt;0,0,G43-G45-G46)</f>
        <v>#DIV/0!</v>
      </c>
      <c r="H47" s="1414"/>
      <c r="I47" s="2738" t="e">
        <f>IF(I43-I45-I46&lt;0,0,I43-I45-I46)</f>
        <v>#DIV/0!</v>
      </c>
      <c r="K47" s="4116" t="e">
        <f>IF(K43-K45-K46&lt;0,0,K43-K45-K46)</f>
        <v>#DIV/0!</v>
      </c>
      <c r="L47" s="4117"/>
      <c r="M47" s="4116" t="e">
        <f>IF(M43-M45-M46&lt;0,0,M43-M45-M46)</f>
        <v>#DIV/0!</v>
      </c>
      <c r="N47" s="4117"/>
      <c r="O47" s="4116" t="e">
        <f>IF(O43-O45-O46&lt;0,0,O43-O45-O46)</f>
        <v>#DIV/0!</v>
      </c>
      <c r="P47" s="4117"/>
      <c r="Q47" s="4241" t="e">
        <f>IF(Q43-Q45-Q46&lt;0,0,Q43-Q45-Q46)</f>
        <v>#DIV/0!</v>
      </c>
      <c r="S47" s="1591" t="e">
        <f>IF(S43-S45-S46&lt;0,0,S43-S45-S46)</f>
        <v>#DIV/0!</v>
      </c>
      <c r="T47" s="1592"/>
      <c r="U47" s="1591" t="e">
        <f>IF(U43-U45-U46&lt;0,0,U43-U45-U46)</f>
        <v>#DIV/0!</v>
      </c>
      <c r="V47" s="1592"/>
      <c r="W47" s="1591" t="e">
        <f>IF(W43-W45-W46&lt;0,0,W43-W45-W46)</f>
        <v>#DIV/0!</v>
      </c>
      <c r="X47" s="1592"/>
      <c r="Y47" s="2774" t="e">
        <f>IF(Y43-Y45-Y46&lt;0,0,Y43-Y45-Y46)</f>
        <v>#DIV/0!</v>
      </c>
      <c r="AA47" s="1672" t="e">
        <f>IF(AA43-AA45-AA46&lt;0,0,AA43-AA45-AA46)</f>
        <v>#DIV/0!</v>
      </c>
      <c r="AB47" s="1673"/>
      <c r="AC47" s="1672" t="e">
        <f>IF(AC43-AC45-AC46&lt;0,0,AC43-AC45-AC46)</f>
        <v>#DIV/0!</v>
      </c>
      <c r="AD47" s="1673"/>
      <c r="AE47" s="1672" t="e">
        <f>IF(AE43-AE45-AE46&lt;0,0,AE43-AE45-AE46)</f>
        <v>#DIV/0!</v>
      </c>
      <c r="AF47" s="1673"/>
      <c r="AG47" s="2795" t="e">
        <f>IF(AG43-AG45-AG46&lt;0,0,AG43-AG45-AG46)</f>
        <v>#DIV/0!</v>
      </c>
      <c r="AI47" s="2115" t="e">
        <f>IF(AI43-AI45-AI46&lt;0,0,AI43-AI45-AI46)</f>
        <v>#DIV/0!</v>
      </c>
      <c r="AJ47" s="2116"/>
      <c r="AK47" s="2115" t="e">
        <f>IF(AK43-AK45-AK46&lt;0,0,AK43-AK45-AK46)</f>
        <v>#DIV/0!</v>
      </c>
      <c r="AL47" s="2116"/>
      <c r="AM47" s="2115" t="e">
        <f>IF(AM43-AM45-AM46&lt;0,0,AM43-AM45-AM46)</f>
        <v>#DIV/0!</v>
      </c>
      <c r="AN47" s="2116"/>
      <c r="AO47" s="2666" t="e">
        <f>IF(AO43-AO45-AO46&lt;0,0,AO43-AO45-AO46)</f>
        <v>#DIV/0!</v>
      </c>
      <c r="AQ47" s="2637" t="e">
        <f>IF(AQ43-AQ45-AQ46&lt;0,0,AQ43-AQ45-AQ46)</f>
        <v>#DIV/0!</v>
      </c>
      <c r="AR47" s="2638"/>
      <c r="AS47" s="2637" t="e">
        <f>IF(AS43-AS45-AS46&lt;0,0,AS43-AS45-AS46)</f>
        <v>#DIV/0!</v>
      </c>
      <c r="AT47" s="2638"/>
      <c r="AU47" s="2637" t="e">
        <f>IF(AU43-AU45-AU46&lt;0,0,AU43-AU45-AU46)</f>
        <v>#DIV/0!</v>
      </c>
      <c r="AV47" s="2638"/>
      <c r="AW47" s="2825" t="e">
        <f>IF(AW43-AW45-AW46&lt;0,0,AW43-AW45-AW46)</f>
        <v>#DIV/0!</v>
      </c>
      <c r="AY47" s="3902" t="e">
        <f>IF(AY43-AY45-AY46&lt;0,0,AY43-AY45-AY46)</f>
        <v>#DIV/0!</v>
      </c>
      <c r="AZ47" s="3903"/>
      <c r="BA47" s="3902" t="e">
        <f>IF(BA43-BA45-BA46&lt;0,0,BA43-BA45-BA46)</f>
        <v>#DIV/0!</v>
      </c>
      <c r="BB47" s="3903"/>
      <c r="BC47" s="3902" t="e">
        <f>IF(BC43-BC45-BC46&lt;0,0,BC43-BC45-BC46)</f>
        <v>#DIV/0!</v>
      </c>
      <c r="BD47" s="3903"/>
      <c r="BE47" s="3904" t="e">
        <f>IF(BE43-BE45-BE46&lt;0,0,BE43-BE45-BE46)</f>
        <v>#DIV/0!</v>
      </c>
    </row>
    <row r="48" spans="1:57">
      <c r="A48" s="92" t="s">
        <v>2986</v>
      </c>
      <c r="C48" s="1419" t="e">
        <f>IF(C47=0,0,C47*C44)</f>
        <v>#DIV/0!</v>
      </c>
      <c r="D48" s="1420"/>
      <c r="E48" s="1419" t="e">
        <f>IF(E47=0,0,E47*E44)</f>
        <v>#DIV/0!</v>
      </c>
      <c r="F48" s="1420"/>
      <c r="G48" s="1419" t="e">
        <f>IF(G47=0,0,G47*G44)</f>
        <v>#DIV/0!</v>
      </c>
      <c r="H48" s="1420"/>
      <c r="I48" s="2741" t="e">
        <f>IF(I47=0,0,I47*I44)</f>
        <v>#DIV/0!</v>
      </c>
      <c r="K48" s="4114" t="e">
        <f>IF(K47=0,0,K47*K44)</f>
        <v>#DIV/0!</v>
      </c>
      <c r="L48" s="4115"/>
      <c r="M48" s="4114" t="e">
        <f>IF(M47=0,0,M47*M44)</f>
        <v>#DIV/0!</v>
      </c>
      <c r="N48" s="4115"/>
      <c r="O48" s="4114" t="e">
        <f>IF(O47=0,0,O47*O44)</f>
        <v>#DIV/0!</v>
      </c>
      <c r="P48" s="4115"/>
      <c r="Q48" s="4059" t="e">
        <f>IF(Q47=0,0,Q47*Q44)</f>
        <v>#DIV/0!</v>
      </c>
      <c r="S48" s="1597" t="e">
        <f>IF(S47=0,0,S47*S44)</f>
        <v>#DIV/0!</v>
      </c>
      <c r="T48" s="1598"/>
      <c r="U48" s="1597" t="e">
        <f>IF(U47=0,0,U47*U44)</f>
        <v>#DIV/0!</v>
      </c>
      <c r="V48" s="1598"/>
      <c r="W48" s="1597" t="e">
        <f>IF(W47=0,0,W47*W44)</f>
        <v>#DIV/0!</v>
      </c>
      <c r="X48" s="1598"/>
      <c r="Y48" s="2777" t="e">
        <f>IF(Y47=0,0,Y47*Y44)</f>
        <v>#DIV/0!</v>
      </c>
      <c r="AA48" s="1678" t="e">
        <f>IF(AA47=0,0,AA47*AA44)</f>
        <v>#DIV/0!</v>
      </c>
      <c r="AB48" s="1679"/>
      <c r="AC48" s="1678" t="e">
        <f>IF(AC47=0,0,AC47*AC44)</f>
        <v>#DIV/0!</v>
      </c>
      <c r="AD48" s="1679"/>
      <c r="AE48" s="1678" t="e">
        <f>IF(AE47=0,0,AE47*AE44)</f>
        <v>#DIV/0!</v>
      </c>
      <c r="AF48" s="1679"/>
      <c r="AG48" s="2798" t="e">
        <f>IF(AG47=0,0,AG47*AG44)</f>
        <v>#DIV/0!</v>
      </c>
      <c r="AI48" s="2121" t="e">
        <f>IF(AI47=0,0,AI47*AI44)</f>
        <v>#DIV/0!</v>
      </c>
      <c r="AJ48" s="2122"/>
      <c r="AK48" s="2121" t="e">
        <f>IF(AK47=0,0,AK47*AK44)</f>
        <v>#DIV/0!</v>
      </c>
      <c r="AL48" s="2122"/>
      <c r="AM48" s="2121" t="e">
        <f>IF(AM47=0,0,AM47*AM44)</f>
        <v>#DIV/0!</v>
      </c>
      <c r="AN48" s="2122"/>
      <c r="AO48" s="2815" t="e">
        <f>IF(AO47=0,0,AO47*AO44)</f>
        <v>#DIV/0!</v>
      </c>
      <c r="AQ48" s="2643" t="e">
        <f>IF(AQ47=0,0,AQ47*AQ44)</f>
        <v>#DIV/0!</v>
      </c>
      <c r="AR48" s="2644"/>
      <c r="AS48" s="2643" t="e">
        <f>IF(AS47=0,0,AS47*AS44)</f>
        <v>#DIV/0!</v>
      </c>
      <c r="AT48" s="2644"/>
      <c r="AU48" s="2643" t="e">
        <f>IF(AU47=0,0,AU47*AU44)</f>
        <v>#DIV/0!</v>
      </c>
      <c r="AV48" s="2644"/>
      <c r="AW48" s="2828" t="e">
        <f>IF(AW47=0,0,AW47*AW44)</f>
        <v>#DIV/0!</v>
      </c>
      <c r="AY48" s="3897" t="e">
        <f>IF(AY47=0,0,AY47*AY44)</f>
        <v>#DIV/0!</v>
      </c>
      <c r="AZ48" s="3895"/>
      <c r="BA48" s="3897" t="e">
        <f>IF(BA47=0,0,BA47*BA44)</f>
        <v>#DIV/0!</v>
      </c>
      <c r="BB48" s="3895"/>
      <c r="BC48" s="3897" t="e">
        <f>IF(BC47=0,0,BC47*BC44)</f>
        <v>#DIV/0!</v>
      </c>
      <c r="BD48" s="3895"/>
      <c r="BE48" s="3898" t="e">
        <f>IF(BE47=0,0,BE47*BE44)</f>
        <v>#DIV/0!</v>
      </c>
    </row>
    <row r="49" spans="1:57">
      <c r="A49" s="92"/>
      <c r="I49" s="2733"/>
      <c r="K49" s="4115"/>
      <c r="L49" s="4115"/>
      <c r="M49" s="4115"/>
      <c r="N49" s="4115"/>
      <c r="O49" s="4115"/>
      <c r="P49" s="4115"/>
      <c r="Q49" s="4246"/>
      <c r="Y49" s="2769"/>
      <c r="AG49" s="2790"/>
      <c r="AO49" s="2664"/>
      <c r="AW49" s="2820"/>
      <c r="BE49" s="3909"/>
    </row>
    <row r="50" spans="1:57">
      <c r="A50" s="23" t="s">
        <v>325</v>
      </c>
      <c r="I50" s="2733"/>
      <c r="K50" s="4115"/>
      <c r="L50" s="4115"/>
      <c r="M50" s="4115"/>
      <c r="N50" s="4115"/>
      <c r="O50" s="4115"/>
      <c r="P50" s="4115"/>
      <c r="Q50" s="4246"/>
      <c r="Y50" s="2769"/>
      <c r="AG50" s="2790"/>
      <c r="AO50" s="2664"/>
      <c r="AW50" s="2820"/>
      <c r="BE50" s="3909"/>
    </row>
    <row r="51" spans="1:57">
      <c r="A51" s="92" t="s">
        <v>214</v>
      </c>
      <c r="C51" s="1423" t="e">
        <f>IF(C127&gt;C128,C128,C127)</f>
        <v>#DIV/0!</v>
      </c>
      <c r="D51" s="1420"/>
      <c r="E51" s="1423">
        <v>0</v>
      </c>
      <c r="F51" s="1420"/>
      <c r="G51" s="1423" t="e">
        <f>IF(G127&gt;G128,G128,G127)</f>
        <v>#DIV/0!</v>
      </c>
      <c r="H51" s="1420"/>
      <c r="I51" s="2744">
        <v>0</v>
      </c>
      <c r="K51" s="4114" t="e">
        <f>IF(K127&gt;K128,K128,K127)</f>
        <v>#DIV/0!</v>
      </c>
      <c r="L51" s="4115"/>
      <c r="M51" s="4114">
        <v>0</v>
      </c>
      <c r="N51" s="4115"/>
      <c r="O51" s="4114" t="e">
        <f>IF(O127&gt;O128,O128,O127)</f>
        <v>#DIV/0!</v>
      </c>
      <c r="P51" s="4115"/>
      <c r="Q51" s="4059">
        <v>0</v>
      </c>
      <c r="S51" s="1601" t="e">
        <f>IF(S127&gt;S128,S128,S127)</f>
        <v>#DIV/0!</v>
      </c>
      <c r="T51" s="1598"/>
      <c r="U51" s="1601">
        <v>0</v>
      </c>
      <c r="V51" s="1598"/>
      <c r="W51" s="1601" t="e">
        <f>IF(W127&gt;W128,W128,W127)</f>
        <v>#DIV/0!</v>
      </c>
      <c r="X51" s="1598"/>
      <c r="Y51" s="2779">
        <v>0</v>
      </c>
      <c r="AA51" s="1682" t="e">
        <f>IF(AA127&gt;AA128,AA128,AA127)</f>
        <v>#DIV/0!</v>
      </c>
      <c r="AB51" s="1679"/>
      <c r="AC51" s="1682">
        <v>0</v>
      </c>
      <c r="AD51" s="1679"/>
      <c r="AE51" s="1682" t="e">
        <f>IF(AE127&gt;AE128,AE128,AE127)</f>
        <v>#DIV/0!</v>
      </c>
      <c r="AF51" s="1679"/>
      <c r="AG51" s="2800">
        <v>0</v>
      </c>
      <c r="AI51" s="2125" t="e">
        <f>IF(AI127&gt;AI128,AI128,AI127)</f>
        <v>#DIV/0!</v>
      </c>
      <c r="AJ51" s="2122"/>
      <c r="AK51" s="2125">
        <v>0</v>
      </c>
      <c r="AL51" s="2122"/>
      <c r="AM51" s="2125" t="e">
        <f>IF(AM127&gt;AM128,AM128,AM127)</f>
        <v>#DIV/0!</v>
      </c>
      <c r="AN51" s="2122"/>
      <c r="AO51" s="2817">
        <v>0</v>
      </c>
      <c r="AQ51" s="2648" t="e">
        <f>IF(AQ127&gt;AQ128,AQ128,AQ127)</f>
        <v>#DIV/0!</v>
      </c>
      <c r="AR51" s="2644"/>
      <c r="AS51" s="2648">
        <v>0</v>
      </c>
      <c r="AT51" s="2644"/>
      <c r="AU51" s="2648" t="e">
        <f>IF(AU127&gt;AU128,AU128,AU127)</f>
        <v>#DIV/0!</v>
      </c>
      <c r="AV51" s="2644"/>
      <c r="AW51" s="2831">
        <v>0</v>
      </c>
      <c r="AY51" s="3910" t="e">
        <f>IF(AY127&gt;AY128,AY128,AY127)</f>
        <v>#DIV/0!</v>
      </c>
      <c r="AZ51" s="3895"/>
      <c r="BA51" s="3910">
        <v>0</v>
      </c>
      <c r="BB51" s="3895"/>
      <c r="BC51" s="3910" t="e">
        <f>IF(BC127&gt;BC128,BC128,BC127)</f>
        <v>#DIV/0!</v>
      </c>
      <c r="BD51" s="3895"/>
      <c r="BE51" s="3911">
        <v>0</v>
      </c>
    </row>
    <row r="52" spans="1:57">
      <c r="A52" s="92" t="s">
        <v>1638</v>
      </c>
      <c r="C52" s="1423" t="e">
        <f>'Data Entry - SOF'!C91*(C48/'Data Entry - SOF'!C59)</f>
        <v>#DIV/0!</v>
      </c>
      <c r="D52" s="1420"/>
      <c r="E52" s="1423">
        <f>IF('Data Entry - SOF'!C92&gt;E130,E130,'Data Entry - SOF'!C92)</f>
        <v>0</v>
      </c>
      <c r="F52" s="1420"/>
      <c r="G52" s="1423" t="e">
        <f>'Data Entry - SOF'!C91*(G48/'Data Entry - SOF'!C59)</f>
        <v>#DIV/0!</v>
      </c>
      <c r="H52" s="1420"/>
      <c r="I52" s="2744">
        <f>IF('Data Entry - SOF'!C92&gt;I130,I130,'Data Entry - SOF'!C92)</f>
        <v>0</v>
      </c>
      <c r="K52" s="4114" t="e">
        <f>'Data Entry - SOF'!E91*(K48/'Data Entry - SOF'!E59)</f>
        <v>#DIV/0!</v>
      </c>
      <c r="L52" s="4115"/>
      <c r="M52" s="4114">
        <f>IF('Data Entry - SOF'!E92&gt;M130,M130,'Data Entry - SOF'!E92)</f>
        <v>0</v>
      </c>
      <c r="N52" s="4115"/>
      <c r="O52" s="4114" t="e">
        <f>'Data Entry - SOF'!E91*(O48/'Data Entry - SOF'!E59)</f>
        <v>#DIV/0!</v>
      </c>
      <c r="P52" s="4115"/>
      <c r="Q52" s="4059">
        <f>IF('Data Entry - SOF'!E92&gt;Q130,Q130,'Data Entry - SOF'!E92)</f>
        <v>0</v>
      </c>
      <c r="S52" s="1601" t="e">
        <f>'Data Entry - SOF'!G91*(S48/'Data Entry - SOF'!G59)</f>
        <v>#DIV/0!</v>
      </c>
      <c r="T52" s="1598"/>
      <c r="U52" s="1601">
        <f>IF('Data Entry - SOF'!G92&gt;U130,U130,'Data Entry - SOF'!G92)</f>
        <v>0</v>
      </c>
      <c r="V52" s="1598"/>
      <c r="W52" s="1601" t="e">
        <f>'Data Entry - SOF'!G91*(W48/'Data Entry - SOF'!G59)</f>
        <v>#DIV/0!</v>
      </c>
      <c r="X52" s="1598"/>
      <c r="Y52" s="2779">
        <f>IF('Data Entry - SOF'!G92&gt;Y130,Y130,'Data Entry - SOF'!G92)</f>
        <v>0</v>
      </c>
      <c r="AA52" s="1682" t="e">
        <f>'Data Entry - SOF'!I91*(AA48/'Data Entry - SOF'!I59)</f>
        <v>#DIV/0!</v>
      </c>
      <c r="AB52" s="1679"/>
      <c r="AC52" s="1682">
        <f>IF('Data Entry - SOF'!I92&gt;AC130,AC130,'Data Entry - SOF'!I92)</f>
        <v>0</v>
      </c>
      <c r="AD52" s="1679"/>
      <c r="AE52" s="1682" t="e">
        <f>'Data Entry - SOF'!I91*(AE48/'Data Entry - SOF'!I59)</f>
        <v>#DIV/0!</v>
      </c>
      <c r="AF52" s="1679"/>
      <c r="AG52" s="2800">
        <f>IF('Data Entry - SOF'!I92&gt;AG130,AG130,'Data Entry - SOF'!I92)</f>
        <v>0</v>
      </c>
      <c r="AI52" s="2125" t="e">
        <f>'Data Entry - SOF'!K91*(AI48/'Data Entry - SOF'!K59)</f>
        <v>#DIV/0!</v>
      </c>
      <c r="AJ52" s="2122"/>
      <c r="AK52" s="2125">
        <f>IF('Data Entry - SOF'!K92&gt;AK130,AK130,'Data Entry - SOF'!K92)</f>
        <v>0</v>
      </c>
      <c r="AL52" s="2122"/>
      <c r="AM52" s="2125" t="e">
        <f>'Data Entry - SOF'!K91*(AM48/'Data Entry - SOF'!K59)</f>
        <v>#DIV/0!</v>
      </c>
      <c r="AN52" s="2122"/>
      <c r="AO52" s="2817">
        <f>IF('Data Entry - SOF'!K92&gt;AO130,AO130,'Data Entry - SOF'!K92)</f>
        <v>0</v>
      </c>
      <c r="AQ52" s="2648" t="e">
        <f>'Data Entry - SOF'!M91*(AQ48/'Data Entry - SOF'!M59)</f>
        <v>#DIV/0!</v>
      </c>
      <c r="AR52" s="2644"/>
      <c r="AS52" s="2648">
        <f>IF('Data Entry - SOF'!M92&gt;AS130,AS130,'Data Entry - SOF'!M92)</f>
        <v>0</v>
      </c>
      <c r="AT52" s="2644"/>
      <c r="AU52" s="2648" t="e">
        <f>'Data Entry - SOF'!M91*(AU48/'Data Entry - SOF'!M59)</f>
        <v>#DIV/0!</v>
      </c>
      <c r="AV52" s="2644"/>
      <c r="AW52" s="2831">
        <f>IF('Data Entry - SOF'!M92&gt;AW130,AW130,'Data Entry - SOF'!M92)</f>
        <v>0</v>
      </c>
      <c r="AY52" s="3910" t="e">
        <f>'Data Entry - SOF'!O91*(AY48/'Data Entry - SOF'!O59)</f>
        <v>#DIV/0!</v>
      </c>
      <c r="AZ52" s="3895"/>
      <c r="BA52" s="3910">
        <f>IF('Data Entry - SOF'!O92&gt;BA130,BA130,'Data Entry - SOF'!O92)</f>
        <v>0</v>
      </c>
      <c r="BB52" s="3895"/>
      <c r="BC52" s="3910" t="e">
        <f>'Data Entry - SOF'!O91*(BC48/'Data Entry - SOF'!O59)</f>
        <v>#DIV/0!</v>
      </c>
      <c r="BD52" s="3895"/>
      <c r="BE52" s="3911">
        <f>IF('Data Entry - SOF'!O92&gt;BE130,BE130,'Data Entry - SOF'!O92)</f>
        <v>0</v>
      </c>
    </row>
    <row r="53" spans="1:57">
      <c r="A53" s="92"/>
      <c r="C53" s="1405"/>
      <c r="D53" s="1405"/>
      <c r="E53" s="1405"/>
      <c r="F53" s="1405"/>
      <c r="G53" s="1405"/>
      <c r="H53" s="1405"/>
      <c r="I53" s="2745"/>
      <c r="K53" s="4115"/>
      <c r="L53" s="4115"/>
      <c r="M53" s="4115"/>
      <c r="N53" s="4115"/>
      <c r="O53" s="4115"/>
      <c r="P53" s="4115"/>
      <c r="Q53" s="4246"/>
      <c r="S53" s="1572"/>
      <c r="T53" s="1572"/>
      <c r="U53" s="1572"/>
      <c r="V53" s="1572"/>
      <c r="W53" s="1572"/>
      <c r="X53" s="1572"/>
      <c r="Y53" s="2780"/>
      <c r="AA53" s="1651"/>
      <c r="AB53" s="1651"/>
      <c r="AC53" s="1651"/>
      <c r="AD53" s="1651"/>
      <c r="AE53" s="1651"/>
      <c r="AF53" s="1651"/>
      <c r="AG53" s="2801"/>
      <c r="AI53" s="2126"/>
      <c r="AJ53" s="2126"/>
      <c r="AK53" s="2126"/>
      <c r="AL53" s="2126"/>
      <c r="AM53" s="2126"/>
      <c r="AN53" s="2126"/>
      <c r="AO53" s="2818"/>
      <c r="AQ53" s="2649"/>
      <c r="AR53" s="2649"/>
      <c r="AS53" s="2649"/>
      <c r="AT53" s="2649"/>
      <c r="AU53" s="2649"/>
      <c r="AV53" s="2649"/>
      <c r="AW53" s="2832"/>
      <c r="AY53" s="3912"/>
      <c r="AZ53" s="3912"/>
      <c r="BA53" s="3912"/>
      <c r="BB53" s="3912"/>
      <c r="BC53" s="3912"/>
      <c r="BD53" s="3912"/>
      <c r="BE53" s="3896"/>
    </row>
    <row r="54" spans="1:57" ht="13.5" thickBot="1">
      <c r="A54" s="23"/>
      <c r="C54" s="1424" t="e">
        <f>IF(C48-C51-C52&lt;0,0,C48-C51-C52)</f>
        <v>#DIV/0!</v>
      </c>
      <c r="D54" s="1420"/>
      <c r="E54" s="1424" t="e">
        <f>IF(E48-E51-E52&lt;0,0,E48-E51-E52)</f>
        <v>#DIV/0!</v>
      </c>
      <c r="F54" s="1420"/>
      <c r="G54" s="1424" t="e">
        <f>IF(G48-G51-G52&lt;0,0,G48-G51-G52)</f>
        <v>#DIV/0!</v>
      </c>
      <c r="H54" s="1420"/>
      <c r="I54" s="2746" t="e">
        <f>IF(I48-I51-I52&lt;0,0,I48-I51-I52)</f>
        <v>#DIV/0!</v>
      </c>
      <c r="K54" s="4123" t="e">
        <f>IF(K48-K51-K52&lt;0,0,K48-K51-K52)</f>
        <v>#DIV/0!</v>
      </c>
      <c r="L54" s="4115"/>
      <c r="M54" s="4123" t="e">
        <f>IF(M48-M51-M52&lt;0,0,M48-M51-M52)</f>
        <v>#DIV/0!</v>
      </c>
      <c r="N54" s="4115"/>
      <c r="O54" s="4123" t="e">
        <f>IF(O48-O51-O52&lt;0,0,O48-O51-O52)</f>
        <v>#DIV/0!</v>
      </c>
      <c r="P54" s="4115"/>
      <c r="Q54" s="4247" t="e">
        <f>IF(Q48-Q51-Q52&lt;0,0,Q48-Q51-Q52)</f>
        <v>#DIV/0!</v>
      </c>
      <c r="S54" s="1602" t="e">
        <f>IF(S48-S51-S52&lt;0,0,S48-S51-S52)</f>
        <v>#DIV/0!</v>
      </c>
      <c r="T54" s="1598"/>
      <c r="U54" s="1602" t="e">
        <f>IF(U48-U51-U52&lt;0,0,U48-U51-U52)</f>
        <v>#DIV/0!</v>
      </c>
      <c r="V54" s="1598"/>
      <c r="W54" s="1602" t="e">
        <f>IF(W48-W51-W52&lt;0,0,W48-W51-W52)</f>
        <v>#DIV/0!</v>
      </c>
      <c r="X54" s="1598"/>
      <c r="Y54" s="2781" t="e">
        <f>IF(Y48-Y51-Y52&lt;0,0,Y48-Y51-Y52)</f>
        <v>#DIV/0!</v>
      </c>
      <c r="AA54" s="1683" t="e">
        <f>IF(AA48-AA51-AA52&lt;0,0,AA48-AA51-AA52)</f>
        <v>#DIV/0!</v>
      </c>
      <c r="AB54" s="1679"/>
      <c r="AC54" s="1683" t="e">
        <f>IF(AC48-AC51-AC52&lt;0,0,AC48-AC51-AC52)</f>
        <v>#DIV/0!</v>
      </c>
      <c r="AD54" s="1679"/>
      <c r="AE54" s="1683" t="e">
        <f>IF(AE48-AE51-AE52&lt;0,0,AE48-AE51-AE52)</f>
        <v>#DIV/0!</v>
      </c>
      <c r="AF54" s="1679"/>
      <c r="AG54" s="2802" t="e">
        <f>IF(AG48-AG51-AG52&lt;0,0,AG48-AG51-AG52)</f>
        <v>#DIV/0!</v>
      </c>
      <c r="AI54" s="2127" t="e">
        <f>IF(AI48-AI51-AI52&lt;0,0,AI48-AI51-AI52)</f>
        <v>#DIV/0!</v>
      </c>
      <c r="AJ54" s="2122"/>
      <c r="AK54" s="2127" t="e">
        <f>IF(AK48-AK51-AK52&lt;0,0,AK48-AK51-AK52)</f>
        <v>#DIV/0!</v>
      </c>
      <c r="AL54" s="2122"/>
      <c r="AM54" s="2127" t="e">
        <f>IF(AM48-AM51-AM52&lt;0,0,AM48-AM51-AM52)</f>
        <v>#DIV/0!</v>
      </c>
      <c r="AN54" s="2122"/>
      <c r="AO54" s="2819" t="e">
        <f>IF(AO48-AO51-AO52&lt;0,0,AO48-AO51-AO52)</f>
        <v>#DIV/0!</v>
      </c>
      <c r="AQ54" s="2650" t="e">
        <f>IF(AQ48-AQ51-AQ52&lt;0,0,AQ48-AQ51-AQ52)</f>
        <v>#DIV/0!</v>
      </c>
      <c r="AR54" s="2644"/>
      <c r="AS54" s="2650" t="e">
        <f>IF(AS48-AS51-AS52&lt;0,0,AS48-AS51-AS52)</f>
        <v>#DIV/0!</v>
      </c>
      <c r="AT54" s="2644"/>
      <c r="AU54" s="2650" t="e">
        <f>IF(AU48-AU51-AU52&lt;0,0,AU48-AU51-AU52)</f>
        <v>#DIV/0!</v>
      </c>
      <c r="AV54" s="2644"/>
      <c r="AW54" s="2833" t="e">
        <f>IF(AW48-AW51-AW52&lt;0,0,AW48-AW51-AW52)</f>
        <v>#DIV/0!</v>
      </c>
      <c r="AY54" s="3913" t="e">
        <f>IF(AY48-AY51-AY52&lt;0,0,AY48-AY51-AY52)</f>
        <v>#DIV/0!</v>
      </c>
      <c r="AZ54" s="3895"/>
      <c r="BA54" s="3913" t="e">
        <f>IF(BA48-BA51-BA52&lt;0,0,BA48-BA51-BA52)</f>
        <v>#DIV/0!</v>
      </c>
      <c r="BB54" s="3895"/>
      <c r="BC54" s="3913" t="e">
        <f>IF(BC48-BC51-BC52&lt;0,0,BC48-BC51-BC52)</f>
        <v>#DIV/0!</v>
      </c>
      <c r="BD54" s="3895"/>
      <c r="BE54" s="3914" t="e">
        <f>IF(BE48-BE51-BE52&lt;0,0,BE48-BE51-BE52)</f>
        <v>#DIV/0!</v>
      </c>
    </row>
    <row r="55" spans="1:57" ht="13.5" thickTop="1">
      <c r="A55" s="1200" t="s">
        <v>589</v>
      </c>
      <c r="C55" s="1420" t="e">
        <f>IF(C47=0,0,C54/C47)</f>
        <v>#DIV/0!</v>
      </c>
      <c r="D55" s="1420"/>
      <c r="E55" s="1420" t="e">
        <f>IF(E47=0,0,E54/E47)</f>
        <v>#DIV/0!</v>
      </c>
      <c r="F55" s="1420"/>
      <c r="G55" s="1420" t="e">
        <f>IF(G47=0,0,G54/G47)</f>
        <v>#DIV/0!</v>
      </c>
      <c r="H55" s="1420"/>
      <c r="I55" s="2745" t="e">
        <f>IF(I47=0,0,I54/I47)</f>
        <v>#DIV/0!</v>
      </c>
      <c r="K55" s="4115" t="e">
        <f>IF(K47=0,0,K54/K47)</f>
        <v>#DIV/0!</v>
      </c>
      <c r="L55" s="4115"/>
      <c r="M55" s="4115" t="e">
        <f>IF(M47=0,0,M54/M47)</f>
        <v>#DIV/0!</v>
      </c>
      <c r="N55" s="4115"/>
      <c r="O55" s="4115" t="e">
        <f>IF(O47=0,0,O54/O47)</f>
        <v>#DIV/0!</v>
      </c>
      <c r="P55" s="4115"/>
      <c r="Q55" s="4246" t="e">
        <f>IF(Q47=0,0,Q54/Q47)</f>
        <v>#DIV/0!</v>
      </c>
      <c r="S55" s="1598" t="e">
        <f>IF(S47=0,0,S54/S47)</f>
        <v>#DIV/0!</v>
      </c>
      <c r="T55" s="1598"/>
      <c r="U55" s="1598" t="e">
        <f>IF(U47=0,0,U54/U47)</f>
        <v>#DIV/0!</v>
      </c>
      <c r="V55" s="1598"/>
      <c r="W55" s="1598" t="e">
        <f>IF(W47=0,0,W54/W47)</f>
        <v>#DIV/0!</v>
      </c>
      <c r="X55" s="1598"/>
      <c r="Y55" s="2780" t="e">
        <f>IF(Y47=0,0,Y54/Y47)</f>
        <v>#DIV/0!</v>
      </c>
      <c r="AA55" s="1679" t="e">
        <f>IF(AA47=0,0,AA54/AA47)</f>
        <v>#DIV/0!</v>
      </c>
      <c r="AB55" s="1679"/>
      <c r="AC55" s="1679" t="e">
        <f>IF(AC47=0,0,AC54/AC47)</f>
        <v>#DIV/0!</v>
      </c>
      <c r="AD55" s="1679"/>
      <c r="AE55" s="1679" t="e">
        <f>IF(AE47=0,0,AE54/AE47)</f>
        <v>#DIV/0!</v>
      </c>
      <c r="AF55" s="1679"/>
      <c r="AG55" s="2801" t="e">
        <f>IF(AG47=0,0,AG54/AG47)</f>
        <v>#DIV/0!</v>
      </c>
      <c r="AI55" s="2122" t="e">
        <f>IF(AI47=0,0,AI54/AI47)</f>
        <v>#DIV/0!</v>
      </c>
      <c r="AJ55" s="2122"/>
      <c r="AK55" s="2122" t="e">
        <f>IF(AK47=0,0,AK54/AK47)</f>
        <v>#DIV/0!</v>
      </c>
      <c r="AL55" s="2122"/>
      <c r="AM55" s="2122" t="e">
        <f>IF(AM47=0,0,AM54/AM47)</f>
        <v>#DIV/0!</v>
      </c>
      <c r="AN55" s="2122"/>
      <c r="AO55" s="2818" t="e">
        <f>IF(AO47=0,0,AO54/AO47)</f>
        <v>#DIV/0!</v>
      </c>
      <c r="AQ55" s="2644" t="e">
        <f>IF(AQ47=0,0,AQ54/AQ47)</f>
        <v>#DIV/0!</v>
      </c>
      <c r="AR55" s="2644"/>
      <c r="AS55" s="2644" t="e">
        <f>IF(AS47=0,0,AS54/AS47)</f>
        <v>#DIV/0!</v>
      </c>
      <c r="AT55" s="2644"/>
      <c r="AU55" s="2644" t="e">
        <f>IF(AU47=0,0,AU54/AU47)</f>
        <v>#DIV/0!</v>
      </c>
      <c r="AV55" s="2644"/>
      <c r="AW55" s="2832" t="e">
        <f>IF(AW47=0,0,AW54/AW47)</f>
        <v>#DIV/0!</v>
      </c>
      <c r="AY55" s="3895" t="e">
        <f>IF(AY47=0,0,AY54/AY47)</f>
        <v>#DIV/0!</v>
      </c>
      <c r="AZ55" s="3895"/>
      <c r="BA55" s="3895" t="e">
        <f>IF(BA47=0,0,BA54/BA47)</f>
        <v>#DIV/0!</v>
      </c>
      <c r="BB55" s="3895"/>
      <c r="BC55" s="3895" t="e">
        <f>IF(BC47=0,0,BC54/BC47)</f>
        <v>#DIV/0!</v>
      </c>
      <c r="BD55" s="3895"/>
      <c r="BE55" s="3896" t="e">
        <f>IF(BE47=0,0,BE54/BE47)</f>
        <v>#DIV/0!</v>
      </c>
    </row>
    <row r="56" spans="1:57">
      <c r="I56" s="2733"/>
      <c r="K56" s="4113"/>
      <c r="L56" s="4113"/>
      <c r="M56" s="4113"/>
      <c r="N56" s="4113"/>
      <c r="O56" s="4113"/>
      <c r="P56" s="4113"/>
      <c r="Q56" s="4242"/>
      <c r="Y56" s="2769"/>
      <c r="AG56" s="2790"/>
      <c r="AO56" s="2664"/>
      <c r="AW56" s="2820"/>
      <c r="BE56" s="3909"/>
    </row>
    <row r="57" spans="1:57">
      <c r="A57" s="89" t="s">
        <v>1302</v>
      </c>
      <c r="C57" s="1425" t="str">
        <f>'Report-Recapture1617'!G65</f>
        <v>Y</v>
      </c>
      <c r="G57" s="1426" t="str">
        <f>'Report-Recapture1617'!G141</f>
        <v>Y</v>
      </c>
      <c r="I57" s="2733"/>
      <c r="K57" s="4124" t="str">
        <f>'Report-Recapture1718'!G65</f>
        <v>Y</v>
      </c>
      <c r="L57" s="4113"/>
      <c r="M57" s="4113"/>
      <c r="N57" s="4113"/>
      <c r="O57" s="4124" t="str">
        <f>'Report-Recapture1718'!G141</f>
        <v>Y</v>
      </c>
      <c r="P57" s="4113"/>
      <c r="Q57" s="4242"/>
      <c r="S57" s="1603" t="str">
        <f>'Report-Recapture1819'!G65</f>
        <v>Y</v>
      </c>
      <c r="W57" s="1604" t="str">
        <f>'Report-Recapture1819'!G141</f>
        <v>Y</v>
      </c>
      <c r="Y57" s="2769"/>
      <c r="AA57" s="1684" t="str">
        <f>'Report-Recapture1920'!G65</f>
        <v>Y</v>
      </c>
      <c r="AE57" s="1685" t="str">
        <f>'Report-Recapture1920'!G141</f>
        <v>Y</v>
      </c>
      <c r="AG57" s="2790"/>
      <c r="AI57" s="2128" t="str">
        <f>'Report-Recapture2021'!G65</f>
        <v>Y</v>
      </c>
      <c r="AM57" s="2129" t="str">
        <f>'Report-Recapture2021'!G141</f>
        <v>Y</v>
      </c>
      <c r="AO57" s="2664"/>
      <c r="AQ57" s="2651" t="str">
        <f>'Report-Recapture2122'!G65</f>
        <v>Y</v>
      </c>
      <c r="AU57" s="2652" t="str">
        <f>'Report-Recapture2122'!G141</f>
        <v>Y</v>
      </c>
      <c r="AW57" s="2820"/>
      <c r="AY57" s="4102" t="str">
        <f>'Report-Recapture2223'!G65</f>
        <v>Y</v>
      </c>
      <c r="BC57" s="4103" t="str">
        <f>'Report-Recapture2223'!G141</f>
        <v>Y</v>
      </c>
      <c r="BE57" s="3909"/>
    </row>
    <row r="58" spans="1:57">
      <c r="A58" s="47" t="s">
        <v>1303</v>
      </c>
      <c r="I58" s="2733"/>
      <c r="K58" s="4113"/>
      <c r="L58" s="4113"/>
      <c r="M58" s="4113"/>
      <c r="N58" s="4113"/>
      <c r="O58" s="4113"/>
      <c r="P58" s="4113"/>
      <c r="Q58" s="4242"/>
      <c r="Y58" s="2769"/>
      <c r="AG58" s="2790"/>
      <c r="AO58" s="2664"/>
      <c r="AW58" s="2820"/>
      <c r="BE58" s="3909"/>
    </row>
    <row r="59" spans="1:57">
      <c r="A59" s="109"/>
      <c r="C59" s="1427" t="s">
        <v>1242</v>
      </c>
      <c r="I59" s="2733"/>
      <c r="K59" s="4113" t="s">
        <v>1242</v>
      </c>
      <c r="L59" s="4113"/>
      <c r="M59" s="4113"/>
      <c r="N59" s="4113"/>
      <c r="O59" s="4113"/>
      <c r="P59" s="4113"/>
      <c r="Q59" s="4242"/>
      <c r="S59" s="1605" t="s">
        <v>1242</v>
      </c>
      <c r="Y59" s="2769"/>
      <c r="AA59" s="1686" t="s">
        <v>1242</v>
      </c>
      <c r="AG59" s="2790"/>
      <c r="AI59" s="2130" t="s">
        <v>1242</v>
      </c>
      <c r="AO59" s="2664"/>
      <c r="AQ59" s="2653" t="s">
        <v>1242</v>
      </c>
      <c r="AW59" s="2820"/>
      <c r="AY59" s="4104" t="s">
        <v>1242</v>
      </c>
      <c r="BE59" s="3909"/>
    </row>
    <row r="60" spans="1:57">
      <c r="A60" s="109"/>
      <c r="C60" s="1427" t="s">
        <v>1243</v>
      </c>
      <c r="I60" s="2733"/>
      <c r="K60" s="4113" t="s">
        <v>1243</v>
      </c>
      <c r="L60" s="4113"/>
      <c r="M60" s="4113"/>
      <c r="N60" s="4113"/>
      <c r="O60" s="4113"/>
      <c r="P60" s="4113"/>
      <c r="Q60" s="4242"/>
      <c r="S60" s="1605" t="s">
        <v>1243</v>
      </c>
      <c r="Y60" s="2769"/>
      <c r="AA60" s="1686" t="s">
        <v>1243</v>
      </c>
      <c r="AG60" s="2790"/>
      <c r="AI60" s="2130" t="s">
        <v>1243</v>
      </c>
      <c r="AO60" s="2664"/>
      <c r="AQ60" s="2653" t="s">
        <v>1243</v>
      </c>
      <c r="AW60" s="2820"/>
      <c r="AY60" s="4104" t="s">
        <v>1243</v>
      </c>
      <c r="BE60" s="3909"/>
    </row>
    <row r="61" spans="1:57">
      <c r="A61" s="109"/>
      <c r="I61" s="2733"/>
      <c r="K61" s="4113"/>
      <c r="L61" s="4113"/>
      <c r="M61" s="4113"/>
      <c r="N61" s="4113"/>
      <c r="O61" s="4113"/>
      <c r="P61" s="4113"/>
      <c r="Q61" s="4242"/>
      <c r="Y61" s="2769"/>
      <c r="AG61" s="2790"/>
      <c r="AO61" s="2664"/>
      <c r="AW61" s="2820"/>
      <c r="BE61" s="3909"/>
    </row>
    <row r="62" spans="1:57">
      <c r="A62" s="97"/>
      <c r="I62" s="2733"/>
      <c r="K62" s="4113"/>
      <c r="L62" s="4113"/>
      <c r="M62" s="4113"/>
      <c r="N62" s="4113"/>
      <c r="O62" s="4113"/>
      <c r="P62" s="4113"/>
      <c r="Q62" s="4242"/>
      <c r="Y62" s="2769"/>
      <c r="AG62" s="2790"/>
      <c r="AO62" s="2664"/>
      <c r="AW62" s="2820"/>
      <c r="BE62" s="3909"/>
    </row>
    <row r="63" spans="1:57">
      <c r="A63" s="97"/>
      <c r="C63" s="1886" t="s">
        <v>4473</v>
      </c>
      <c r="D63" s="1886"/>
      <c r="E63" s="1886"/>
      <c r="F63" s="1886"/>
      <c r="G63" s="1886"/>
      <c r="H63" s="1886"/>
      <c r="I63" s="2747"/>
      <c r="K63" s="4113"/>
      <c r="L63" s="4113"/>
      <c r="M63" s="4113"/>
      <c r="N63" s="4113"/>
      <c r="O63" s="4113"/>
      <c r="P63" s="4113"/>
      <c r="Q63" s="4242"/>
      <c r="Y63" s="2769"/>
      <c r="AG63" s="2790"/>
      <c r="AO63" s="2664"/>
      <c r="AQ63" s="2631" t="s">
        <v>4473</v>
      </c>
      <c r="AW63" s="2820"/>
      <c r="AY63" s="3908" t="s">
        <v>4473</v>
      </c>
      <c r="BE63" s="3909"/>
    </row>
    <row r="64" spans="1:57">
      <c r="A64" s="97"/>
      <c r="C64" s="1887" t="e">
        <f>IF(C30&gt;C24,C30,C24)</f>
        <v>#DIV/0!</v>
      </c>
      <c r="D64" s="1886"/>
      <c r="E64" s="1887" t="e">
        <f>E24</f>
        <v>#DIV/0!</v>
      </c>
      <c r="F64" s="1886"/>
      <c r="G64" s="1887" t="e">
        <f>IF(G30&gt;G24,G30,G24)</f>
        <v>#DIV/0!</v>
      </c>
      <c r="H64" s="1886"/>
      <c r="I64" s="2748" t="e">
        <f>I24</f>
        <v>#DIV/0!</v>
      </c>
      <c r="K64" s="4113"/>
      <c r="L64" s="4113"/>
      <c r="M64" s="4113"/>
      <c r="N64" s="4113"/>
      <c r="O64" s="4113"/>
      <c r="P64" s="4113"/>
      <c r="Q64" s="4242"/>
      <c r="Y64" s="2769"/>
      <c r="AG64" s="2790"/>
      <c r="AO64" s="2664"/>
      <c r="AQ64" s="2635" t="e">
        <f>IF(AQ30&gt;AQ24,AQ30,AQ24)</f>
        <v>#DIV/0!</v>
      </c>
      <c r="AS64" s="2635" t="e">
        <f>AS24</f>
        <v>#DIV/0!</v>
      </c>
      <c r="AU64" s="2635" t="e">
        <f>IF(AU30&gt;AU24,AU30,AU24)</f>
        <v>#DIV/0!</v>
      </c>
      <c r="AW64" s="2824" t="e">
        <f>AW24</f>
        <v>#DIV/0!</v>
      </c>
      <c r="AY64" s="3899" t="e">
        <f>IF(AY30&gt;AY24,AY30,AY24)</f>
        <v>#DIV/0!</v>
      </c>
      <c r="BA64" s="3899" t="e">
        <f>BA24</f>
        <v>#DIV/0!</v>
      </c>
      <c r="BC64" s="3899" t="e">
        <f>IF(BC30&gt;BC24,BC30,BC24)</f>
        <v>#DIV/0!</v>
      </c>
      <c r="BE64" s="3901" t="e">
        <f>BE24</f>
        <v>#DIV/0!</v>
      </c>
    </row>
    <row r="65" spans="1:57">
      <c r="A65" s="97"/>
      <c r="C65" s="1887" t="e">
        <f>IF('Data Entry - SOF'!C54-C64&lt;0,0,'Data Entry - SOF'!C54-C64)</f>
        <v>#DIV/0!</v>
      </c>
      <c r="D65" s="1886"/>
      <c r="E65" s="1887" t="e">
        <f>IF('Data Entry - SOF'!C54-E64&lt;0,0,'Data Entry - SOF'!C54-E64)</f>
        <v>#DIV/0!</v>
      </c>
      <c r="F65" s="1886"/>
      <c r="G65" s="1887" t="e">
        <f>IF('Data Entry - SOF'!C54-G64&lt;0,0,'Data Entry - SOF'!C54-G64)</f>
        <v>#DIV/0!</v>
      </c>
      <c r="H65" s="1886"/>
      <c r="I65" s="2748" t="e">
        <f>IF('Data Entry - SOF'!C54-I64&lt;0,0,'Data Entry - SOF'!C54-I64)</f>
        <v>#DIV/0!</v>
      </c>
      <c r="K65" s="4113"/>
      <c r="L65" s="4113"/>
      <c r="M65" s="4113"/>
      <c r="N65" s="4113"/>
      <c r="O65" s="4113"/>
      <c r="P65" s="4113"/>
      <c r="Q65" s="4242"/>
      <c r="Y65" s="2769"/>
      <c r="AG65" s="2790"/>
      <c r="AO65" s="2664"/>
      <c r="AQ65" s="2635" t="e">
        <f>IF('Data Entry - SOF'!M54-AQ64&lt;0,0,'Data Entry - SOF'!M54-AQ64)</f>
        <v>#DIV/0!</v>
      </c>
      <c r="AS65" s="2635" t="e">
        <f>IF('Data Entry - SOF'!M54-AS64&lt;0,0,'Data Entry - SOF'!M54-AS64)</f>
        <v>#DIV/0!</v>
      </c>
      <c r="AU65" s="2635" t="e">
        <f>IF('Data Entry - SOF'!M54-AU64&lt;0,0,'Data Entry - SOF'!M54-AU64)</f>
        <v>#DIV/0!</v>
      </c>
      <c r="AW65" s="2824" t="e">
        <f>IF('Data Entry - SOF'!M54-AW64&lt;0,0,'Data Entry - SOF'!M54-AW64)</f>
        <v>#DIV/0!</v>
      </c>
      <c r="AY65" s="3899" t="e">
        <f>IF('Data Entry - SOF'!O54-AY64&lt;0,0,'Data Entry - SOF'!O54-AY64)</f>
        <v>#DIV/0!</v>
      </c>
      <c r="BA65" s="3899" t="e">
        <f>IF('Data Entry - SOF'!O54-BA64&lt;0,0,'Data Entry - SOF'!O54-BA64)</f>
        <v>#DIV/0!</v>
      </c>
      <c r="BC65" s="3899" t="e">
        <f>IF('Data Entry - SOF'!O54-BC64&lt;0,0,'Data Entry - SOF'!O54-BC64)</f>
        <v>#DIV/0!</v>
      </c>
      <c r="BE65" s="3901" t="e">
        <f>IF('Data Entry - SOF'!O54-BE64&lt;0,0,'Data Entry - SOF'!O54-BE64)</f>
        <v>#DIV/0!</v>
      </c>
    </row>
    <row r="66" spans="1:57">
      <c r="A66" s="97"/>
      <c r="C66" s="1888" t="e">
        <f>C65/'Data Entry - SOF'!C54</f>
        <v>#DIV/0!</v>
      </c>
      <c r="D66" s="1886"/>
      <c r="E66" s="1888" t="e">
        <f>E65/'Data Entry - SOF'!C54</f>
        <v>#DIV/0!</v>
      </c>
      <c r="F66" s="1886"/>
      <c r="G66" s="1888" t="e">
        <f>G65/'Data Entry - SOF'!C54</f>
        <v>#DIV/0!</v>
      </c>
      <c r="H66" s="1886"/>
      <c r="I66" s="2749" t="e">
        <f>I65/'Data Entry - SOF'!C54</f>
        <v>#DIV/0!</v>
      </c>
      <c r="K66" s="4113"/>
      <c r="L66" s="4113"/>
      <c r="M66" s="4113"/>
      <c r="N66" s="4113"/>
      <c r="O66" s="4113"/>
      <c r="P66" s="4113"/>
      <c r="Q66" s="4242"/>
      <c r="Y66" s="2769"/>
      <c r="AG66" s="2790"/>
      <c r="AO66" s="2664"/>
      <c r="AQ66" s="2641" t="e">
        <f>AQ65/'Data Entry - SOF'!M54</f>
        <v>#DIV/0!</v>
      </c>
      <c r="AS66" s="2641" t="e">
        <f>AS65/'Data Entry - SOF'!M54</f>
        <v>#DIV/0!</v>
      </c>
      <c r="AU66" s="2641" t="e">
        <f>AU65/'Data Entry - SOF'!M54</f>
        <v>#DIV/0!</v>
      </c>
      <c r="AW66" s="2827" t="e">
        <f>AW65/'Data Entry - SOF'!M54</f>
        <v>#DIV/0!</v>
      </c>
      <c r="AY66" s="4099" t="e">
        <f>AY65/'Data Entry - SOF'!O54</f>
        <v>#DIV/0!</v>
      </c>
      <c r="BA66" s="4099" t="e">
        <f>BA65/'Data Entry - SOF'!O54</f>
        <v>#DIV/0!</v>
      </c>
      <c r="BC66" s="4099" t="e">
        <f>BC65/'Data Entry - SOF'!O54</f>
        <v>#DIV/0!</v>
      </c>
      <c r="BE66" s="4101" t="e">
        <f>BE65/'Data Entry - SOF'!O54</f>
        <v>#DIV/0!</v>
      </c>
    </row>
    <row r="67" spans="1:57">
      <c r="A67" s="97"/>
      <c r="C67" s="1889" t="e">
        <f>C64/'Ch41 Calc Data'!K17</f>
        <v>#DIV/0!</v>
      </c>
      <c r="D67" s="1886"/>
      <c r="E67" s="1889" t="e">
        <f>E64/'Ch41 Calc Data'!K17</f>
        <v>#DIV/0!</v>
      </c>
      <c r="F67" s="1886"/>
      <c r="G67" s="1889" t="e">
        <f>G64/'Ch41 Calc Data'!K17</f>
        <v>#DIV/0!</v>
      </c>
      <c r="H67" s="1886"/>
      <c r="I67" s="2750" t="e">
        <f>I64/'Ch41 Calc Data'!K17</f>
        <v>#DIV/0!</v>
      </c>
      <c r="K67" s="4113"/>
      <c r="L67" s="4113"/>
      <c r="M67" s="4113"/>
      <c r="N67" s="4113"/>
      <c r="O67" s="4113"/>
      <c r="P67" s="4113"/>
      <c r="Q67" s="4242"/>
      <c r="Y67" s="2769"/>
      <c r="AG67" s="2790"/>
      <c r="AO67" s="2664"/>
      <c r="AQ67" s="2643" t="e">
        <f>AQ64/'Ch41 Calc Data'!P17</f>
        <v>#DIV/0!</v>
      </c>
      <c r="AS67" s="2643" t="e">
        <f>AS64/'Ch41 Calc Data'!P17</f>
        <v>#DIV/0!</v>
      </c>
      <c r="AU67" s="2643" t="e">
        <f>AU64/'Ch41 Calc Data'!P17</f>
        <v>#DIV/0!</v>
      </c>
      <c r="AW67" s="2828" t="e">
        <f>AW64/'Ch41 Calc Data'!P17</f>
        <v>#DIV/0!</v>
      </c>
      <c r="AY67" s="3897" t="e">
        <f>AY64/'Ch41 Calc Data'!Q17</f>
        <v>#DIV/0!</v>
      </c>
      <c r="BA67" s="3897" t="e">
        <f>BA64/'Ch41 Calc Data'!Q17</f>
        <v>#DIV/0!</v>
      </c>
      <c r="BC67" s="3897" t="e">
        <f>BC64/'Ch41 Calc Data'!Q17</f>
        <v>#DIV/0!</v>
      </c>
      <c r="BE67" s="3898" t="e">
        <f>BE64/'Ch41 Calc Data'!Q17</f>
        <v>#DIV/0!</v>
      </c>
    </row>
    <row r="68" spans="1:57">
      <c r="A68" s="97"/>
      <c r="C68" s="1886"/>
      <c r="D68" s="1890"/>
      <c r="E68" s="1886"/>
      <c r="F68" s="1890"/>
      <c r="G68" s="1886"/>
      <c r="H68" s="1890"/>
      <c r="I68" s="2747"/>
      <c r="K68" s="4113"/>
      <c r="L68" s="4113"/>
      <c r="M68" s="4113"/>
      <c r="N68" s="4113"/>
      <c r="O68" s="4113"/>
      <c r="P68" s="4113"/>
      <c r="Q68" s="4242"/>
      <c r="S68" s="1586"/>
      <c r="T68" s="1586"/>
      <c r="U68" s="1586"/>
      <c r="V68" s="1586"/>
      <c r="W68" s="1586"/>
      <c r="X68" s="1586"/>
      <c r="Y68" s="2770"/>
      <c r="AA68" s="1667"/>
      <c r="AB68" s="1667"/>
      <c r="AC68" s="1667"/>
      <c r="AD68" s="1667"/>
      <c r="AE68" s="1667"/>
      <c r="AF68" s="1667"/>
      <c r="AG68" s="2791"/>
      <c r="AI68" s="2110"/>
      <c r="AJ68" s="2110"/>
      <c r="AK68" s="2110"/>
      <c r="AL68" s="2110"/>
      <c r="AM68" s="2110"/>
      <c r="AN68" s="2110"/>
      <c r="AO68" s="2665"/>
      <c r="AR68" s="2632"/>
      <c r="AT68" s="2632"/>
      <c r="AV68" s="2632"/>
      <c r="AW68" s="2820"/>
      <c r="AZ68" s="4091"/>
      <c r="BB68" s="4091"/>
      <c r="BD68" s="4091"/>
      <c r="BE68" s="3909"/>
    </row>
    <row r="69" spans="1:57">
      <c r="A69" s="97"/>
      <c r="C69" s="1886"/>
      <c r="D69" s="1891"/>
      <c r="E69" s="1886"/>
      <c r="F69" s="1891"/>
      <c r="G69" s="1886"/>
      <c r="H69" s="1891"/>
      <c r="I69" s="2747"/>
      <c r="K69" s="4113"/>
      <c r="L69" s="4113"/>
      <c r="M69" s="4113"/>
      <c r="N69" s="4113"/>
      <c r="O69" s="4113"/>
      <c r="P69" s="4113"/>
      <c r="Q69" s="4242"/>
      <c r="S69" s="1598"/>
      <c r="T69" s="1598"/>
      <c r="U69" s="1598"/>
      <c r="V69" s="1598"/>
      <c r="W69" s="1598"/>
      <c r="X69" s="1598"/>
      <c r="Y69" s="2780"/>
      <c r="AA69" s="1679"/>
      <c r="AB69" s="1679"/>
      <c r="AC69" s="1679"/>
      <c r="AD69" s="1679"/>
      <c r="AE69" s="1679"/>
      <c r="AF69" s="1679"/>
      <c r="AG69" s="2801"/>
      <c r="AI69" s="2122"/>
      <c r="AJ69" s="2122"/>
      <c r="AK69" s="2122"/>
      <c r="AL69" s="2122"/>
      <c r="AM69" s="2122"/>
      <c r="AN69" s="2122"/>
      <c r="AO69" s="2818"/>
      <c r="AR69" s="2644"/>
      <c r="AT69" s="2644"/>
      <c r="AV69" s="2644"/>
      <c r="AW69" s="2820"/>
      <c r="AZ69" s="3895"/>
      <c r="BB69" s="3895"/>
      <c r="BD69" s="3895"/>
      <c r="BE69" s="3909"/>
    </row>
    <row r="70" spans="1:57">
      <c r="A70" s="97"/>
      <c r="C70" s="1263" t="e">
        <f>'Calc Data-15K'!AB32</f>
        <v>#DIV/0!</v>
      </c>
      <c r="D70" s="1891"/>
      <c r="E70" s="1889" t="e">
        <f>C70</f>
        <v>#DIV/0!</v>
      </c>
      <c r="F70" s="1891"/>
      <c r="G70" s="1889"/>
      <c r="H70" s="1891"/>
      <c r="I70" s="2750"/>
      <c r="K70" s="4113"/>
      <c r="L70" s="4113"/>
      <c r="M70" s="4113"/>
      <c r="N70" s="4113"/>
      <c r="O70" s="4113"/>
      <c r="P70" s="4113"/>
      <c r="Q70" s="4242"/>
      <c r="S70" s="1598"/>
      <c r="T70" s="1598"/>
      <c r="U70" s="1598"/>
      <c r="V70" s="1598"/>
      <c r="W70" s="1598"/>
      <c r="X70" s="1598"/>
      <c r="Y70" s="2780"/>
      <c r="AA70" s="1679"/>
      <c r="AB70" s="1679"/>
      <c r="AC70" s="1679"/>
      <c r="AD70" s="1679"/>
      <c r="AE70" s="1679"/>
      <c r="AF70" s="1679"/>
      <c r="AG70" s="2801"/>
      <c r="AI70" s="2122"/>
      <c r="AJ70" s="2122"/>
      <c r="AK70" s="2122"/>
      <c r="AL70" s="2122"/>
      <c r="AM70" s="2122"/>
      <c r="AN70" s="2122"/>
      <c r="AO70" s="2818"/>
      <c r="AQ70" s="2643" t="e">
        <f>'Calc Data-15K'!AY36</f>
        <v>#DIV/0!</v>
      </c>
      <c r="AR70" s="2644"/>
      <c r="AS70" s="2643" t="e">
        <f>AQ70</f>
        <v>#DIV/0!</v>
      </c>
      <c r="AT70" s="2644"/>
      <c r="AU70" s="2643"/>
      <c r="AV70" s="2644"/>
      <c r="AW70" s="2828"/>
      <c r="AY70" s="3897" t="e">
        <f>'Calc Data-15K'!BD36</f>
        <v>#DIV/0!</v>
      </c>
      <c r="AZ70" s="3895"/>
      <c r="BA70" s="3897" t="e">
        <f>AY70</f>
        <v>#DIV/0!</v>
      </c>
      <c r="BB70" s="3895"/>
      <c r="BC70" s="3897"/>
      <c r="BD70" s="3895"/>
      <c r="BE70" s="3898"/>
    </row>
    <row r="71" spans="1:57">
      <c r="A71" s="97"/>
      <c r="C71" s="1889"/>
      <c r="D71" s="1891"/>
      <c r="E71" s="1889"/>
      <c r="F71" s="1891"/>
      <c r="G71" s="1889" t="e">
        <f>'Calc Data-15K'!AB31</f>
        <v>#DIV/0!</v>
      </c>
      <c r="H71" s="1891"/>
      <c r="I71" s="2750" t="e">
        <f>G71</f>
        <v>#DIV/0!</v>
      </c>
      <c r="K71" s="4113"/>
      <c r="L71" s="4113"/>
      <c r="M71" s="4113"/>
      <c r="N71" s="4113"/>
      <c r="O71" s="4113"/>
      <c r="P71" s="4113"/>
      <c r="Q71" s="4242"/>
      <c r="S71" s="1598"/>
      <c r="T71" s="1598"/>
      <c r="U71" s="1598"/>
      <c r="V71" s="1598"/>
      <c r="W71" s="1598"/>
      <c r="X71" s="1598"/>
      <c r="Y71" s="2780"/>
      <c r="AA71" s="1679"/>
      <c r="AB71" s="1679"/>
      <c r="AC71" s="1679"/>
      <c r="AD71" s="1679"/>
      <c r="AE71" s="1679"/>
      <c r="AF71" s="1679"/>
      <c r="AG71" s="2801"/>
      <c r="AI71" s="2122"/>
      <c r="AJ71" s="2122"/>
      <c r="AK71" s="2122"/>
      <c r="AL71" s="2122"/>
      <c r="AM71" s="2122"/>
      <c r="AN71" s="2122"/>
      <c r="AO71" s="2818"/>
      <c r="AQ71" s="2643"/>
      <c r="AR71" s="2644"/>
      <c r="AS71" s="2643"/>
      <c r="AT71" s="2644"/>
      <c r="AU71" s="2643" t="e">
        <f>'Calc Data-15K'!AW31</f>
        <v>#DIV/0!</v>
      </c>
      <c r="AV71" s="2644"/>
      <c r="AW71" s="2828" t="e">
        <f>AU71</f>
        <v>#DIV/0!</v>
      </c>
      <c r="AY71" s="3897"/>
      <c r="AZ71" s="3895"/>
      <c r="BA71" s="3897"/>
      <c r="BB71" s="3895"/>
      <c r="BC71" s="3897" t="e">
        <f>'Calc Data-15K'!BB31</f>
        <v>#DIV/0!</v>
      </c>
      <c r="BD71" s="3895"/>
      <c r="BE71" s="3898" t="e">
        <f>BC71</f>
        <v>#DIV/0!</v>
      </c>
    </row>
    <row r="72" spans="1:57">
      <c r="A72" s="97"/>
      <c r="C72" s="1889" t="e">
        <f>C70</f>
        <v>#DIV/0!</v>
      </c>
      <c r="D72" s="1891"/>
      <c r="E72" s="1889" t="e">
        <f>E70</f>
        <v>#DIV/0!</v>
      </c>
      <c r="F72" s="1891"/>
      <c r="G72" s="1889" t="e">
        <f>G71</f>
        <v>#DIV/0!</v>
      </c>
      <c r="H72" s="1891"/>
      <c r="I72" s="2750" t="e">
        <f>I71</f>
        <v>#DIV/0!</v>
      </c>
      <c r="K72" s="4113"/>
      <c r="L72" s="4113"/>
      <c r="M72" s="4113"/>
      <c r="N72" s="4113"/>
      <c r="O72" s="4113"/>
      <c r="P72" s="4113"/>
      <c r="Q72" s="4242"/>
      <c r="S72" s="1598"/>
      <c r="T72" s="1598"/>
      <c r="U72" s="1598"/>
      <c r="V72" s="1598"/>
      <c r="W72" s="1598"/>
      <c r="X72" s="1598"/>
      <c r="Y72" s="2780"/>
      <c r="AA72" s="1679"/>
      <c r="AB72" s="1679"/>
      <c r="AC72" s="1679"/>
      <c r="AD72" s="1679"/>
      <c r="AE72" s="1679"/>
      <c r="AF72" s="1679"/>
      <c r="AG72" s="2801"/>
      <c r="AI72" s="2122"/>
      <c r="AJ72" s="2122"/>
      <c r="AK72" s="2122"/>
      <c r="AL72" s="2122"/>
      <c r="AM72" s="2122"/>
      <c r="AN72" s="2122"/>
      <c r="AO72" s="2818"/>
      <c r="AQ72" s="2643" t="e">
        <f>AQ70</f>
        <v>#DIV/0!</v>
      </c>
      <c r="AR72" s="2644"/>
      <c r="AS72" s="2643" t="e">
        <f>AS70</f>
        <v>#DIV/0!</v>
      </c>
      <c r="AT72" s="2644"/>
      <c r="AU72" s="2643" t="e">
        <f>AU71</f>
        <v>#DIV/0!</v>
      </c>
      <c r="AV72" s="2644"/>
      <c r="AW72" s="2828" t="e">
        <f>AW71</f>
        <v>#DIV/0!</v>
      </c>
      <c r="AY72" s="3897" t="e">
        <f>AY70</f>
        <v>#DIV/0!</v>
      </c>
      <c r="AZ72" s="3895"/>
      <c r="BA72" s="3897" t="e">
        <f>BA70</f>
        <v>#DIV/0!</v>
      </c>
      <c r="BB72" s="3895"/>
      <c r="BC72" s="3897" t="e">
        <f>BC71</f>
        <v>#DIV/0!</v>
      </c>
      <c r="BD72" s="3895"/>
      <c r="BE72" s="3898" t="e">
        <f>BE71</f>
        <v>#DIV/0!</v>
      </c>
    </row>
    <row r="73" spans="1:57">
      <c r="A73" s="97"/>
      <c r="C73" s="1887" t="e">
        <f>C66*C72</f>
        <v>#DIV/0!</v>
      </c>
      <c r="D73" s="1891"/>
      <c r="E73" s="1887" t="e">
        <f>E66*E72</f>
        <v>#DIV/0!</v>
      </c>
      <c r="F73" s="1891"/>
      <c r="G73" s="1887" t="e">
        <f>IF(G71&lt;1,0,G66*G72)</f>
        <v>#DIV/0!</v>
      </c>
      <c r="H73" s="1891"/>
      <c r="I73" s="2748" t="e">
        <f>IF(I71&lt;1,0,I66*I72)</f>
        <v>#DIV/0!</v>
      </c>
      <c r="K73" s="4113"/>
      <c r="L73" s="4113"/>
      <c r="M73" s="4113"/>
      <c r="N73" s="4113"/>
      <c r="O73" s="4113"/>
      <c r="P73" s="4113"/>
      <c r="Q73" s="4242"/>
      <c r="S73" s="1598"/>
      <c r="T73" s="1598"/>
      <c r="U73" s="1598"/>
      <c r="V73" s="1598"/>
      <c r="W73" s="1598"/>
      <c r="X73" s="1598"/>
      <c r="Y73" s="2780"/>
      <c r="AA73" s="1679"/>
      <c r="AB73" s="1679"/>
      <c r="AC73" s="1679"/>
      <c r="AD73" s="1679"/>
      <c r="AE73" s="1679"/>
      <c r="AF73" s="1679"/>
      <c r="AG73" s="2801"/>
      <c r="AI73" s="2122"/>
      <c r="AJ73" s="2122"/>
      <c r="AK73" s="2122"/>
      <c r="AL73" s="2122"/>
      <c r="AM73" s="2122"/>
      <c r="AN73" s="2122"/>
      <c r="AO73" s="2818"/>
      <c r="AQ73" s="2635" t="e">
        <f>AQ66*AQ72</f>
        <v>#DIV/0!</v>
      </c>
      <c r="AR73" s="2644"/>
      <c r="AS73" s="2635" t="e">
        <f>AS66*AS72</f>
        <v>#DIV/0!</v>
      </c>
      <c r="AT73" s="2644"/>
      <c r="AU73" s="2635" t="e">
        <f>IF(AU71&lt;1,0,AU66*AU72)</f>
        <v>#DIV/0!</v>
      </c>
      <c r="AV73" s="2644"/>
      <c r="AW73" s="2824" t="e">
        <f>IF(AW71&lt;1,0,AW66*AW72)</f>
        <v>#DIV/0!</v>
      </c>
      <c r="AY73" s="3899" t="e">
        <f>AY66*AY72</f>
        <v>#DIV/0!</v>
      </c>
      <c r="AZ73" s="3895"/>
      <c r="BA73" s="3899" t="e">
        <f>BA66*BA72</f>
        <v>#DIV/0!</v>
      </c>
      <c r="BB73" s="3895"/>
      <c r="BC73" s="3899" t="e">
        <f>IF(BC71&lt;1,0,BC66*BC72)</f>
        <v>#DIV/0!</v>
      </c>
      <c r="BD73" s="3895"/>
      <c r="BE73" s="3901" t="e">
        <f>IF(BE71&lt;1,0,BE66*BE72)</f>
        <v>#DIV/0!</v>
      </c>
    </row>
    <row r="74" spans="1:57">
      <c r="A74" s="97"/>
      <c r="C74" s="1892" t="e">
        <f>C65/IF(C67&lt;Assumptions!G92,Assumptions!G92,C67)</f>
        <v>#DIV/0!</v>
      </c>
      <c r="D74" s="1891"/>
      <c r="E74" s="1892" t="e">
        <f>E65/E67</f>
        <v>#DIV/0!</v>
      </c>
      <c r="F74" s="1891"/>
      <c r="G74" s="1892" t="e">
        <f>IF(G73=0,0,G65/G67)</f>
        <v>#DIV/0!</v>
      </c>
      <c r="H74" s="1891"/>
      <c r="I74" s="2751" t="e">
        <f>IF(I73=0,0,I65/I67)</f>
        <v>#DIV/0!</v>
      </c>
      <c r="K74" s="4113"/>
      <c r="L74" s="4113"/>
      <c r="M74" s="4113"/>
      <c r="N74" s="4113"/>
      <c r="O74" s="4113"/>
      <c r="P74" s="4113"/>
      <c r="Q74" s="4242"/>
      <c r="S74" s="1598"/>
      <c r="T74" s="1598"/>
      <c r="U74" s="1598"/>
      <c r="V74" s="1598"/>
      <c r="W74" s="1598"/>
      <c r="X74" s="1598"/>
      <c r="Y74" s="2780"/>
      <c r="AA74" s="1679"/>
      <c r="AB74" s="1679"/>
      <c r="AC74" s="1679"/>
      <c r="AD74" s="1679"/>
      <c r="AE74" s="1679"/>
      <c r="AF74" s="1679"/>
      <c r="AG74" s="2801"/>
      <c r="AI74" s="2122"/>
      <c r="AJ74" s="2122"/>
      <c r="AK74" s="2122"/>
      <c r="AL74" s="2122"/>
      <c r="AM74" s="2122"/>
      <c r="AN74" s="2122"/>
      <c r="AO74" s="2818"/>
      <c r="AQ74" s="2637" t="e">
        <f>AQ65/IF(AQ67&lt;Assumptions!G139,Assumptions!G139,AQ67)</f>
        <v>#DIV/0!</v>
      </c>
      <c r="AR74" s="2644"/>
      <c r="AS74" s="2637" t="e">
        <f>AS65/AS67</f>
        <v>#DIV/0!</v>
      </c>
      <c r="AT74" s="2644"/>
      <c r="AU74" s="2637" t="e">
        <f>IF(AU73=0,0,AU65/AU67)</f>
        <v>#DIV/0!</v>
      </c>
      <c r="AV74" s="2644"/>
      <c r="AW74" s="2825" t="e">
        <f>IF(AW73=0,0,AW65/AW67)</f>
        <v>#DIV/0!</v>
      </c>
      <c r="AY74" s="3902" t="e">
        <f>AY65/IF(AY67&lt;Assumptions!G148,Assumptions!G148,AY67)</f>
        <v>#DIV/0!</v>
      </c>
      <c r="AZ74" s="3895"/>
      <c r="BA74" s="3902" t="e">
        <f>BA65/BA67</f>
        <v>#DIV/0!</v>
      </c>
      <c r="BB74" s="3895"/>
      <c r="BC74" s="3902" t="e">
        <f>IF(BC73=0,0,BC65/BC67)</f>
        <v>#DIV/0!</v>
      </c>
      <c r="BD74" s="3895"/>
      <c r="BE74" s="3904" t="e">
        <f>IF(BE73=0,0,BE65/BE67)</f>
        <v>#DIV/0!</v>
      </c>
    </row>
    <row r="75" spans="1:57">
      <c r="A75" s="97"/>
      <c r="C75" s="1893" t="e">
        <f>IF(C74=0,0,IF(C73/C74&lt;3147,3147,C73/C74))</f>
        <v>#DIV/0!</v>
      </c>
      <c r="D75" s="1891"/>
      <c r="E75" s="1893" t="e">
        <f>IF(E74=0,0,IF(E73/E74&lt;3147,3147,E73/E74))</f>
        <v>#DIV/0!</v>
      </c>
      <c r="F75" s="1891"/>
      <c r="G75" s="1893" t="e">
        <f>IF(G74=0,0,IF(G73/G74&lt;71.62,71.62,G73/G74))</f>
        <v>#DIV/0!</v>
      </c>
      <c r="H75" s="1891"/>
      <c r="I75" s="2752" t="e">
        <f>IF(I74=0,0,IF(I73/I74&lt;71.62,71.62,I73/I74))</f>
        <v>#DIV/0!</v>
      </c>
      <c r="K75" s="4113"/>
      <c r="L75" s="4113"/>
      <c r="M75" s="4113"/>
      <c r="N75" s="4113"/>
      <c r="O75" s="4113"/>
      <c r="P75" s="4113"/>
      <c r="Q75" s="4242"/>
      <c r="S75" s="1598"/>
      <c r="T75" s="1598"/>
      <c r="U75" s="1598"/>
      <c r="V75" s="1598"/>
      <c r="W75" s="1598"/>
      <c r="X75" s="1598"/>
      <c r="Y75" s="2780"/>
      <c r="AA75" s="1679"/>
      <c r="AB75" s="1679"/>
      <c r="AC75" s="1679"/>
      <c r="AD75" s="1679"/>
      <c r="AE75" s="1679"/>
      <c r="AF75" s="1679"/>
      <c r="AG75" s="2801"/>
      <c r="AI75" s="2122"/>
      <c r="AJ75" s="2122"/>
      <c r="AK75" s="2122"/>
      <c r="AL75" s="2122"/>
      <c r="AM75" s="2122"/>
      <c r="AN75" s="2122"/>
      <c r="AO75" s="2818"/>
      <c r="AQ75" s="2645" t="e">
        <f>IF(AQ74=0,0,IF(AQ73/AQ74&lt;3392,3392,AQ73/AQ74))</f>
        <v>#DIV/0!</v>
      </c>
      <c r="AR75" s="2644"/>
      <c r="AS75" s="2645" t="e">
        <f>IF(AS74=0,0,IF(AS73/AS74&lt;3392,3392,AS73/AS74))</f>
        <v>#DIV/0!</v>
      </c>
      <c r="AT75" s="2644"/>
      <c r="AU75" s="2645" t="e">
        <f>IF(AU74=0,0,IF(AU73/AU74&lt;84.777,84.777,AU73/AU74))</f>
        <v>#DIV/0!</v>
      </c>
      <c r="AV75" s="2644"/>
      <c r="AW75" s="2829" t="e">
        <f>IF(AW74=0,0,IF(AW73/AW74&lt;84.777,84.777,AW73/AW74))</f>
        <v>#DIV/0!</v>
      </c>
      <c r="AY75" s="3905" t="e">
        <f>IF(AY74=0,0,IF(AY73/AY74&lt;3392,3392,AY73/AY74))</f>
        <v>#DIV/0!</v>
      </c>
      <c r="AZ75" s="3895"/>
      <c r="BA75" s="3905" t="e">
        <f>IF(BA74=0,0,IF(BA73/BA74&lt;3392,3392,BA73/BA74))</f>
        <v>#DIV/0!</v>
      </c>
      <c r="BB75" s="3895"/>
      <c r="BC75" s="3905" t="e">
        <f>IF(BC74=0,0,IF(BC73/BC74&lt;84.777,84.777,BC73/BC74))</f>
        <v>#DIV/0!</v>
      </c>
      <c r="BD75" s="3895"/>
      <c r="BE75" s="3907" t="e">
        <f>IF(BE74=0,0,IF(BE73/BE74&lt;84.777,84.777,BE73/BE74))</f>
        <v>#DIV/0!</v>
      </c>
    </row>
    <row r="76" spans="1:57">
      <c r="A76" s="97"/>
      <c r="C76" s="1892" t="e">
        <f>IF(OR('Data Entry - SOF'!C95=0,C75=0),0,IF('Data Entry - SOF'!C95&gt;C75,(C75*'Data Entry - SOF'!C94)/C75,('Data Entry - SOF'!C95*'Data Entry - SOF'!C94)/C75))</f>
        <v>#DIV/0!</v>
      </c>
      <c r="D76" s="1891"/>
      <c r="E76" s="1892" t="e">
        <f>C76</f>
        <v>#DIV/0!</v>
      </c>
      <c r="F76" s="1891"/>
      <c r="G76" s="1892" t="e">
        <f>IF(OR('Data Entry - SOF'!C95=0,G75=0),0,IF('Data Entry - SOF'!C95&gt;G75,(G75*'Data Entry - SOF'!C94)/G75,('Data Entry - SOF'!C95*'Data Entry - SOF'!C94)/G75))</f>
        <v>#DIV/0!</v>
      </c>
      <c r="H76" s="1891"/>
      <c r="I76" s="2751" t="e">
        <f>G76</f>
        <v>#DIV/0!</v>
      </c>
      <c r="K76" s="4113"/>
      <c r="L76" s="4113"/>
      <c r="M76" s="4113"/>
      <c r="N76" s="4113"/>
      <c r="O76" s="4113"/>
      <c r="P76" s="4113"/>
      <c r="Q76" s="4242"/>
      <c r="S76" s="1598"/>
      <c r="T76" s="1598"/>
      <c r="U76" s="1598"/>
      <c r="V76" s="1598"/>
      <c r="W76" s="1598"/>
      <c r="X76" s="1598"/>
      <c r="Y76" s="2780"/>
      <c r="AA76" s="1679"/>
      <c r="AB76" s="1679"/>
      <c r="AC76" s="1679"/>
      <c r="AD76" s="1679"/>
      <c r="AE76" s="1679"/>
      <c r="AF76" s="1679"/>
      <c r="AG76" s="2801"/>
      <c r="AI76" s="2122"/>
      <c r="AJ76" s="2122"/>
      <c r="AK76" s="2122"/>
      <c r="AL76" s="2122"/>
      <c r="AM76" s="2122"/>
      <c r="AN76" s="2122"/>
      <c r="AO76" s="2818"/>
      <c r="AQ76" s="2637" t="e">
        <f>IF(OR('Data Entry - SOF'!M95=0,AQ75=0),0,IF('Data Entry - SOF'!M95&gt;AQ75,(AQ75*'Data Entry - SOF'!M94)/AQ75,('Data Entry - SOF'!M95*'Data Entry - SOF'!M94)/AQ75))</f>
        <v>#DIV/0!</v>
      </c>
      <c r="AR76" s="2644"/>
      <c r="AS76" s="2637" t="e">
        <f>AQ76</f>
        <v>#DIV/0!</v>
      </c>
      <c r="AT76" s="2644"/>
      <c r="AU76" s="2637" t="e">
        <f>IF(OR('Data Entry - SOF'!M95=0,AU75=0),0,IF('Data Entry - SOF'!M95&gt;AU75,(AU75*'Data Entry - SOF'!M94)/AU75,('Data Entry - SOF'!M95*'Data Entry - SOF'!M94)/AU75))</f>
        <v>#DIV/0!</v>
      </c>
      <c r="AV76" s="2644"/>
      <c r="AW76" s="2825" t="e">
        <f>AU76</f>
        <v>#DIV/0!</v>
      </c>
      <c r="AY76" s="3902" t="e">
        <f>IF(OR('Data Entry - SOF'!O95=0,AY75=0),0,IF('Data Entry - SOF'!O95&gt;AY75,(AY75*'Data Entry - SOF'!O94)/AY75,('Data Entry - SOF'!O95*'Data Entry - SOF'!O94)/AY75))</f>
        <v>#DIV/0!</v>
      </c>
      <c r="AZ76" s="3895"/>
      <c r="BA76" s="3902" t="e">
        <f>AY76</f>
        <v>#DIV/0!</v>
      </c>
      <c r="BB76" s="3895"/>
      <c r="BC76" s="3902" t="e">
        <f>IF(OR('Data Entry - SOF'!O95=0,BC75=0),0,IF('Data Entry - SOF'!O95&gt;BC75,(BC75*'Data Entry - SOF'!O94)/BC75,('Data Entry - SOF'!O95*'Data Entry - SOF'!O94)/BC75))</f>
        <v>#DIV/0!</v>
      </c>
      <c r="BD76" s="3895"/>
      <c r="BE76" s="3904" t="e">
        <f>BC76</f>
        <v>#DIV/0!</v>
      </c>
    </row>
    <row r="77" spans="1:57">
      <c r="A77" s="97"/>
      <c r="C77" s="219">
        <v>0</v>
      </c>
      <c r="D77" s="1891"/>
      <c r="E77" s="219">
        <v>0</v>
      </c>
      <c r="F77" s="1891"/>
      <c r="G77" s="219">
        <v>0</v>
      </c>
      <c r="H77" s="1891"/>
      <c r="I77" s="2743">
        <v>0</v>
      </c>
      <c r="K77" s="4113"/>
      <c r="L77" s="4113"/>
      <c r="M77" s="4113"/>
      <c r="N77" s="4113"/>
      <c r="O77" s="4113"/>
      <c r="P77" s="4113"/>
      <c r="Q77" s="4242"/>
      <c r="S77" s="1598"/>
      <c r="T77" s="1598"/>
      <c r="U77" s="1598"/>
      <c r="V77" s="1598"/>
      <c r="W77" s="1598"/>
      <c r="X77" s="1598"/>
      <c r="Y77" s="2780"/>
      <c r="AA77" s="1679"/>
      <c r="AB77" s="1679"/>
      <c r="AC77" s="1679"/>
      <c r="AD77" s="1679"/>
      <c r="AE77" s="1679"/>
      <c r="AF77" s="1679"/>
      <c r="AG77" s="2801"/>
      <c r="AI77" s="2122"/>
      <c r="AJ77" s="2122"/>
      <c r="AK77" s="2122"/>
      <c r="AL77" s="2122"/>
      <c r="AM77" s="2122"/>
      <c r="AN77" s="2122"/>
      <c r="AO77" s="2818"/>
      <c r="AQ77" s="2647">
        <v>0</v>
      </c>
      <c r="AR77" s="2644"/>
      <c r="AS77" s="2647">
        <v>0</v>
      </c>
      <c r="AT77" s="2644"/>
      <c r="AU77" s="2647">
        <v>0</v>
      </c>
      <c r="AV77" s="2644"/>
      <c r="AW77" s="2830">
        <v>0</v>
      </c>
      <c r="AY77" s="3884">
        <v>0</v>
      </c>
      <c r="AZ77" s="3895"/>
      <c r="BA77" s="3884">
        <v>0</v>
      </c>
      <c r="BB77" s="3895"/>
      <c r="BC77" s="3884">
        <v>0</v>
      </c>
      <c r="BD77" s="3895"/>
      <c r="BE77" s="3885">
        <v>0</v>
      </c>
    </row>
    <row r="78" spans="1:57">
      <c r="A78" s="97"/>
      <c r="C78" s="1892" t="e">
        <f>IF(C74-C76-C77&lt;0,0,C74-C76-C77)</f>
        <v>#DIV/0!</v>
      </c>
      <c r="D78" s="1891"/>
      <c r="E78" s="1892" t="e">
        <f>IF(E74-E76-E77&lt;0,0,E74-E76-E77)</f>
        <v>#DIV/0!</v>
      </c>
      <c r="F78" s="1891"/>
      <c r="G78" s="1892" t="e">
        <f>IF(G74-G76-G77&lt;0,0,G74-G76-G77)</f>
        <v>#DIV/0!</v>
      </c>
      <c r="H78" s="1891"/>
      <c r="I78" s="2751" t="e">
        <f>IF(I74-I76-I77&lt;0,0,I74-I76-I77)</f>
        <v>#DIV/0!</v>
      </c>
      <c r="K78" s="4113"/>
      <c r="L78" s="4113"/>
      <c r="M78" s="4113"/>
      <c r="N78" s="4113"/>
      <c r="O78" s="4113"/>
      <c r="P78" s="4113"/>
      <c r="Q78" s="4242"/>
      <c r="S78" s="1598"/>
      <c r="T78" s="1598"/>
      <c r="U78" s="1598"/>
      <c r="V78" s="1598"/>
      <c r="W78" s="1598"/>
      <c r="X78" s="1598"/>
      <c r="Y78" s="2780"/>
      <c r="AA78" s="1679"/>
      <c r="AB78" s="1679"/>
      <c r="AC78" s="1679"/>
      <c r="AD78" s="1679"/>
      <c r="AE78" s="1679"/>
      <c r="AF78" s="1679"/>
      <c r="AG78" s="2801"/>
      <c r="AI78" s="2122"/>
      <c r="AJ78" s="2122"/>
      <c r="AK78" s="2122"/>
      <c r="AL78" s="2122"/>
      <c r="AM78" s="2122"/>
      <c r="AN78" s="2122"/>
      <c r="AO78" s="2818"/>
      <c r="AQ78" s="2637" t="e">
        <f>IF(AQ74-AQ76-AQ77&lt;0,0,AQ74-AQ76-AQ77)</f>
        <v>#DIV/0!</v>
      </c>
      <c r="AR78" s="2644"/>
      <c r="AS78" s="2637" t="e">
        <f>IF(AS74-AS76-AS77&lt;0,0,AS74-AS76-AS77)</f>
        <v>#DIV/0!</v>
      </c>
      <c r="AT78" s="2644"/>
      <c r="AU78" s="2637" t="e">
        <f>IF(AU74-AU76-AU77&lt;0,0,AU74-AU76-AU77)</f>
        <v>#DIV/0!</v>
      </c>
      <c r="AV78" s="2644"/>
      <c r="AW78" s="2825" t="e">
        <f>IF(AW74-AW76-AW77&lt;0,0,AW74-AW76-AW77)</f>
        <v>#DIV/0!</v>
      </c>
      <c r="AY78" s="3902" t="e">
        <f>IF(AY74-AY76-AY77&lt;0,0,AY74-AY76-AY77)</f>
        <v>#DIV/0!</v>
      </c>
      <c r="AZ78" s="3895"/>
      <c r="BA78" s="3902" t="e">
        <f>IF(BA74-BA76-BA77&lt;0,0,BA74-BA76-BA77)</f>
        <v>#DIV/0!</v>
      </c>
      <c r="BB78" s="3895"/>
      <c r="BC78" s="3902" t="e">
        <f>IF(BC74-BC76-BC77&lt;0,0,BC74-BC76-BC77)</f>
        <v>#DIV/0!</v>
      </c>
      <c r="BD78" s="3895"/>
      <c r="BE78" s="3904" t="e">
        <f>IF(BE74-BE76-BE77&lt;0,0,BE74-BE76-BE77)</f>
        <v>#DIV/0!</v>
      </c>
    </row>
    <row r="79" spans="1:57">
      <c r="A79" s="97"/>
      <c r="C79" s="1889" t="e">
        <f>IF(C78=0,0,C78*C75)</f>
        <v>#DIV/0!</v>
      </c>
      <c r="D79" s="1891"/>
      <c r="E79" s="1889" t="e">
        <f>IF(E78=0,0,E78*E75)</f>
        <v>#DIV/0!</v>
      </c>
      <c r="F79" s="1891"/>
      <c r="G79" s="1889" t="e">
        <f>IF(G78=0,0,G78*G75)</f>
        <v>#DIV/0!</v>
      </c>
      <c r="H79" s="1891"/>
      <c r="I79" s="2750" t="e">
        <f>IF(I78=0,0,I78*I75)</f>
        <v>#DIV/0!</v>
      </c>
      <c r="K79" s="4113"/>
      <c r="L79" s="4113"/>
      <c r="M79" s="4113"/>
      <c r="N79" s="4113"/>
      <c r="O79" s="4113"/>
      <c r="P79" s="4113"/>
      <c r="Q79" s="4242"/>
      <c r="S79" s="1598"/>
      <c r="T79" s="1598"/>
      <c r="U79" s="1598"/>
      <c r="V79" s="1598"/>
      <c r="W79" s="1598"/>
      <c r="X79" s="1598"/>
      <c r="Y79" s="2780"/>
      <c r="AA79" s="1679"/>
      <c r="AB79" s="1679"/>
      <c r="AC79" s="1679"/>
      <c r="AD79" s="1679"/>
      <c r="AE79" s="1679"/>
      <c r="AF79" s="1679"/>
      <c r="AG79" s="2801"/>
      <c r="AI79" s="2122"/>
      <c r="AJ79" s="2122"/>
      <c r="AK79" s="2122"/>
      <c r="AL79" s="2122"/>
      <c r="AM79" s="2122"/>
      <c r="AN79" s="2122"/>
      <c r="AO79" s="2818"/>
      <c r="AQ79" s="2643" t="e">
        <f>IF(AQ78=0,0,AQ78*AQ75)</f>
        <v>#DIV/0!</v>
      </c>
      <c r="AR79" s="2644"/>
      <c r="AS79" s="2643" t="e">
        <f>IF(AS78=0,0,AS78*AS75)</f>
        <v>#DIV/0!</v>
      </c>
      <c r="AT79" s="2644"/>
      <c r="AU79" s="2643" t="e">
        <f>IF(AU78=0,0,AU78*AU75)</f>
        <v>#DIV/0!</v>
      </c>
      <c r="AV79" s="2644"/>
      <c r="AW79" s="2828" t="e">
        <f>IF(AW78=0,0,AW78*AW75)</f>
        <v>#DIV/0!</v>
      </c>
      <c r="AY79" s="3897" t="e">
        <f>IF(AY78=0,0,AY78*AY75)</f>
        <v>#DIV/0!</v>
      </c>
      <c r="AZ79" s="3895"/>
      <c r="BA79" s="3897" t="e">
        <f>IF(BA78=0,0,BA78*BA75)</f>
        <v>#DIV/0!</v>
      </c>
      <c r="BB79" s="3895"/>
      <c r="BC79" s="3897" t="e">
        <f>IF(BC78=0,0,BC78*BC75)</f>
        <v>#DIV/0!</v>
      </c>
      <c r="BD79" s="3895"/>
      <c r="BE79" s="3898" t="e">
        <f>IF(BE78=0,0,BE78*BE75)</f>
        <v>#DIV/0!</v>
      </c>
    </row>
    <row r="80" spans="1:57">
      <c r="A80" s="97"/>
      <c r="C80" s="1886"/>
      <c r="D80" s="1891"/>
      <c r="E80" s="1886"/>
      <c r="F80" s="1891"/>
      <c r="G80" s="1886"/>
      <c r="H80" s="1891"/>
      <c r="I80" s="2747"/>
      <c r="K80" s="4113"/>
      <c r="L80" s="4113"/>
      <c r="M80" s="4113"/>
      <c r="N80" s="4113"/>
      <c r="O80" s="4113"/>
      <c r="P80" s="4113"/>
      <c r="Q80" s="4242"/>
      <c r="S80" s="1598"/>
      <c r="T80" s="1598"/>
      <c r="U80" s="1598"/>
      <c r="V80" s="1598"/>
      <c r="W80" s="1598"/>
      <c r="X80" s="1598"/>
      <c r="Y80" s="2780"/>
      <c r="AA80" s="1679"/>
      <c r="AB80" s="1679"/>
      <c r="AC80" s="1679"/>
      <c r="AD80" s="1679"/>
      <c r="AE80" s="1679"/>
      <c r="AF80" s="1679"/>
      <c r="AG80" s="2801"/>
      <c r="AI80" s="2122"/>
      <c r="AJ80" s="2122"/>
      <c r="AK80" s="2122"/>
      <c r="AL80" s="2122"/>
      <c r="AM80" s="2122"/>
      <c r="AN80" s="2122"/>
      <c r="AO80" s="2818"/>
      <c r="AR80" s="2644"/>
      <c r="AT80" s="2644"/>
      <c r="AV80" s="2644"/>
      <c r="AW80" s="2820"/>
      <c r="AZ80" s="3895"/>
      <c r="BB80" s="3895"/>
      <c r="BD80" s="3895"/>
      <c r="BE80" s="3909"/>
    </row>
    <row r="81" spans="1:57">
      <c r="A81" s="97"/>
      <c r="C81" s="1886"/>
      <c r="D81" s="1891"/>
      <c r="E81" s="1886"/>
      <c r="F81" s="1891"/>
      <c r="G81" s="1886"/>
      <c r="H81" s="1891"/>
      <c r="I81" s="2747"/>
      <c r="K81" s="4113"/>
      <c r="L81" s="4113"/>
      <c r="M81" s="4113"/>
      <c r="N81" s="4113"/>
      <c r="O81" s="4113"/>
      <c r="P81" s="4113"/>
      <c r="Q81" s="4242"/>
      <c r="S81" s="1598"/>
      <c r="T81" s="1598"/>
      <c r="U81" s="1598"/>
      <c r="V81" s="1598"/>
      <c r="W81" s="1598"/>
      <c r="X81" s="1598"/>
      <c r="Y81" s="2780"/>
      <c r="AA81" s="1679"/>
      <c r="AB81" s="1679"/>
      <c r="AC81" s="1679"/>
      <c r="AD81" s="1679"/>
      <c r="AE81" s="1679"/>
      <c r="AF81" s="1679"/>
      <c r="AG81" s="2801"/>
      <c r="AI81" s="2122"/>
      <c r="AJ81" s="2122"/>
      <c r="AK81" s="2122"/>
      <c r="AL81" s="2122"/>
      <c r="AM81" s="2122"/>
      <c r="AN81" s="2122"/>
      <c r="AO81" s="2818"/>
      <c r="AR81" s="2644"/>
      <c r="AT81" s="2644"/>
      <c r="AV81" s="2644"/>
      <c r="AW81" s="2820"/>
      <c r="AZ81" s="3895"/>
      <c r="BB81" s="3895"/>
      <c r="BD81" s="3895"/>
      <c r="BE81" s="3909"/>
    </row>
    <row r="82" spans="1:57">
      <c r="A82" s="97"/>
      <c r="C82" s="1894" t="e">
        <f>IF(C134&gt;C135,C135,C134)</f>
        <v>#DIV/0!</v>
      </c>
      <c r="D82" s="1891"/>
      <c r="E82" s="1894">
        <v>0</v>
      </c>
      <c r="F82" s="1891"/>
      <c r="G82" s="1894" t="e">
        <f>IF(G134&gt;G135,G135,G134)</f>
        <v>#DIV/0!</v>
      </c>
      <c r="H82" s="1891"/>
      <c r="I82" s="2753">
        <v>0</v>
      </c>
      <c r="K82" s="4113"/>
      <c r="L82" s="4113"/>
      <c r="M82" s="4113"/>
      <c r="N82" s="4113"/>
      <c r="O82" s="4113"/>
      <c r="P82" s="4113"/>
      <c r="Q82" s="4242"/>
      <c r="S82" s="1598"/>
      <c r="T82" s="1598"/>
      <c r="U82" s="1598"/>
      <c r="V82" s="1598"/>
      <c r="W82" s="1598"/>
      <c r="X82" s="1598"/>
      <c r="Y82" s="2780"/>
      <c r="AA82" s="1679"/>
      <c r="AB82" s="1679"/>
      <c r="AC82" s="1679"/>
      <c r="AD82" s="1679"/>
      <c r="AE82" s="1679"/>
      <c r="AF82" s="1679"/>
      <c r="AG82" s="2801"/>
      <c r="AI82" s="2122"/>
      <c r="AJ82" s="2122"/>
      <c r="AK82" s="2122"/>
      <c r="AL82" s="2122"/>
      <c r="AM82" s="2122"/>
      <c r="AN82" s="2122"/>
      <c r="AO82" s="2818"/>
      <c r="AQ82" s="2648" t="e">
        <f>IF(AQ134&gt;AQ135,AQ135,AQ134)</f>
        <v>#DIV/0!</v>
      </c>
      <c r="AR82" s="2644"/>
      <c r="AS82" s="2648">
        <v>0</v>
      </c>
      <c r="AT82" s="2644"/>
      <c r="AU82" s="2648" t="e">
        <f>IF(AU134&gt;AU135,AU135,AU134)</f>
        <v>#DIV/0!</v>
      </c>
      <c r="AV82" s="2644"/>
      <c r="AW82" s="2831">
        <v>0</v>
      </c>
      <c r="AY82" s="3910" t="e">
        <f>IF(AY134&gt;AY135,AY135,AY134)</f>
        <v>#DIV/0!</v>
      </c>
      <c r="AZ82" s="3895"/>
      <c r="BA82" s="3910">
        <v>0</v>
      </c>
      <c r="BB82" s="3895"/>
      <c r="BC82" s="3910" t="e">
        <f>IF(BC134&gt;BC135,BC135,BC134)</f>
        <v>#DIV/0!</v>
      </c>
      <c r="BD82" s="3895"/>
      <c r="BE82" s="3911">
        <v>0</v>
      </c>
    </row>
    <row r="83" spans="1:57">
      <c r="A83" s="97"/>
      <c r="C83" s="1894" t="e">
        <f>'Data Entry - SOF'!C91*(C79/'Data Entry - SOF'!C59)</f>
        <v>#DIV/0!</v>
      </c>
      <c r="D83" s="1891"/>
      <c r="E83" s="1894">
        <f>IF('Data Entry - SOF'!C92&gt;E137,E137,'Data Entry - SOF'!C92)</f>
        <v>0</v>
      </c>
      <c r="F83" s="1891"/>
      <c r="G83" s="1894" t="e">
        <f>'Data Entry - SOF'!C91*(G73/'Data Entry - SOF'!C59)</f>
        <v>#DIV/0!</v>
      </c>
      <c r="H83" s="1891"/>
      <c r="I83" s="2753">
        <f>IF('Data Entry - SOF'!C92&gt;I137,I137,'Data Entry - SOF'!C92)</f>
        <v>0</v>
      </c>
      <c r="K83" s="4113"/>
      <c r="L83" s="4113"/>
      <c r="M83" s="4113"/>
      <c r="N83" s="4113"/>
      <c r="O83" s="4113"/>
      <c r="P83" s="4113"/>
      <c r="Q83" s="4242"/>
      <c r="S83" s="1598"/>
      <c r="T83" s="1598"/>
      <c r="U83" s="1598"/>
      <c r="V83" s="1598"/>
      <c r="W83" s="1598"/>
      <c r="X83" s="1598"/>
      <c r="Y83" s="2780"/>
      <c r="AA83" s="1679"/>
      <c r="AB83" s="1679"/>
      <c r="AC83" s="1679"/>
      <c r="AD83" s="1679"/>
      <c r="AE83" s="1679"/>
      <c r="AF83" s="1679"/>
      <c r="AG83" s="2801"/>
      <c r="AI83" s="2122"/>
      <c r="AJ83" s="2122"/>
      <c r="AK83" s="2122"/>
      <c r="AL83" s="2122"/>
      <c r="AM83" s="2122"/>
      <c r="AN83" s="2122"/>
      <c r="AO83" s="2818"/>
      <c r="AQ83" s="2648" t="e">
        <f>'Data Entry - SOF'!M91*(AQ79/'Data Entry - SOF'!M59)</f>
        <v>#DIV/0!</v>
      </c>
      <c r="AR83" s="2644"/>
      <c r="AS83" s="2648">
        <f>IF('Data Entry - SOF'!M92&gt;AS137,AS137,'Data Entry - SOF'!M92)</f>
        <v>0</v>
      </c>
      <c r="AT83" s="2644"/>
      <c r="AU83" s="2648" t="e">
        <f>'Data Entry - SOF'!M91*(AU79/'Data Entry - SOF'!M59)</f>
        <v>#DIV/0!</v>
      </c>
      <c r="AV83" s="2644"/>
      <c r="AW83" s="2831">
        <f>IF('Data Entry - SOF'!M92&gt;AW137,AW137,'Data Entry - SOF'!M92)</f>
        <v>0</v>
      </c>
      <c r="AY83" s="3910" t="e">
        <f>'Data Entry - SOF'!O91*(AY79/'Data Entry - SOF'!O59)</f>
        <v>#DIV/0!</v>
      </c>
      <c r="AZ83" s="3895"/>
      <c r="BA83" s="3910">
        <f>IF('Data Entry - SOF'!O92&gt;BA137,BA137,'Data Entry - SOF'!O92)</f>
        <v>0</v>
      </c>
      <c r="BB83" s="3895"/>
      <c r="BC83" s="3910" t="e">
        <f>'Data Entry - SOF'!O91*(BC79/'Data Entry - SOF'!O59)</f>
        <v>#DIV/0!</v>
      </c>
      <c r="BD83" s="3895"/>
      <c r="BE83" s="3911">
        <f>IF('Data Entry - SOF'!O92&gt;BE137,BE137,'Data Entry - SOF'!O92)</f>
        <v>0</v>
      </c>
    </row>
    <row r="84" spans="1:57">
      <c r="A84" s="97"/>
      <c r="C84" s="1895"/>
      <c r="D84" s="1891"/>
      <c r="E84" s="1895"/>
      <c r="F84" s="1891"/>
      <c r="G84" s="1895"/>
      <c r="H84" s="1891"/>
      <c r="I84" s="2754"/>
      <c r="K84" s="4113"/>
      <c r="L84" s="4113"/>
      <c r="M84" s="4113"/>
      <c r="N84" s="4113"/>
      <c r="O84" s="4113"/>
      <c r="P84" s="4113"/>
      <c r="Q84" s="4242"/>
      <c r="S84" s="1598"/>
      <c r="T84" s="1598"/>
      <c r="U84" s="1598"/>
      <c r="V84" s="1598"/>
      <c r="W84" s="1598"/>
      <c r="X84" s="1598"/>
      <c r="Y84" s="2780"/>
      <c r="AA84" s="1679"/>
      <c r="AB84" s="1679"/>
      <c r="AC84" s="1679"/>
      <c r="AD84" s="1679"/>
      <c r="AE84" s="1679"/>
      <c r="AF84" s="1679"/>
      <c r="AG84" s="2801"/>
      <c r="AI84" s="2122"/>
      <c r="AJ84" s="2122"/>
      <c r="AK84" s="2122"/>
      <c r="AL84" s="2122"/>
      <c r="AM84" s="2122"/>
      <c r="AN84" s="2122"/>
      <c r="AO84" s="2818"/>
      <c r="AQ84" s="2649"/>
      <c r="AR84" s="2644"/>
      <c r="AS84" s="2649"/>
      <c r="AT84" s="2644"/>
      <c r="AU84" s="2649"/>
      <c r="AV84" s="2644"/>
      <c r="AW84" s="2832"/>
      <c r="AY84" s="3912"/>
      <c r="AZ84" s="3895"/>
      <c r="BA84" s="3912"/>
      <c r="BB84" s="3895"/>
      <c r="BC84" s="3912"/>
      <c r="BD84" s="3895"/>
      <c r="BE84" s="3896"/>
    </row>
    <row r="85" spans="1:57" ht="13.5" thickBot="1">
      <c r="A85" s="97"/>
      <c r="C85" s="1896" t="e">
        <f>IF(C79-C82-C83&lt;0,0,C79-C82-C83)</f>
        <v>#DIV/0!</v>
      </c>
      <c r="D85" s="1891"/>
      <c r="E85" s="1896" t="e">
        <f>IF(E79-E82-E83&lt;0,0,E79-E82-E83)</f>
        <v>#DIV/0!</v>
      </c>
      <c r="F85" s="1891"/>
      <c r="G85" s="1896" t="e">
        <f>IF(G79-G82-G83&lt;0,0,G79-G82-G83)</f>
        <v>#DIV/0!</v>
      </c>
      <c r="H85" s="1891"/>
      <c r="I85" s="2755" t="e">
        <f>IF(I79-I82-I83&lt;0,0,I79-I82-I83)</f>
        <v>#DIV/0!</v>
      </c>
      <c r="K85" s="4113"/>
      <c r="L85" s="4113"/>
      <c r="M85" s="4113"/>
      <c r="N85" s="4113"/>
      <c r="O85" s="4113"/>
      <c r="P85" s="4113"/>
      <c r="Q85" s="4242"/>
      <c r="S85" s="1598"/>
      <c r="T85" s="1598"/>
      <c r="U85" s="1598"/>
      <c r="V85" s="1598"/>
      <c r="W85" s="1598"/>
      <c r="X85" s="1598"/>
      <c r="Y85" s="2780"/>
      <c r="AA85" s="1679"/>
      <c r="AB85" s="1679"/>
      <c r="AC85" s="1679"/>
      <c r="AD85" s="1679"/>
      <c r="AE85" s="1679"/>
      <c r="AF85" s="1679"/>
      <c r="AG85" s="2801"/>
      <c r="AI85" s="2122"/>
      <c r="AJ85" s="2122"/>
      <c r="AK85" s="2122"/>
      <c r="AL85" s="2122"/>
      <c r="AM85" s="2122"/>
      <c r="AN85" s="2122"/>
      <c r="AO85" s="2818"/>
      <c r="AQ85" s="2650" t="e">
        <f>IF(AQ79-AQ82-AQ83&lt;0,0,AQ79-AQ82-AQ83)</f>
        <v>#DIV/0!</v>
      </c>
      <c r="AR85" s="2644"/>
      <c r="AS85" s="2650" t="e">
        <f>IF(AS79-AS82-AS83&lt;0,0,AS79-AS82-AS83)</f>
        <v>#DIV/0!</v>
      </c>
      <c r="AT85" s="2644"/>
      <c r="AU85" s="2650" t="e">
        <f>IF(AU79-AU82-AU83&lt;0,0,AU79-AU82-AU83)</f>
        <v>#DIV/0!</v>
      </c>
      <c r="AV85" s="2644"/>
      <c r="AW85" s="2833" t="e">
        <f>IF(AW79-AW82-AW83&lt;0,0,AW79-AW82-AW83)</f>
        <v>#DIV/0!</v>
      </c>
      <c r="AY85" s="3913" t="e">
        <f>IF(AY79-AY82-AY83&lt;0,0,AY79-AY82-AY83)</f>
        <v>#DIV/0!</v>
      </c>
      <c r="AZ85" s="3895"/>
      <c r="BA85" s="3913" t="e">
        <f>IF(BA79-BA82-BA83&lt;0,0,BA79-BA82-BA83)</f>
        <v>#DIV/0!</v>
      </c>
      <c r="BB85" s="3895"/>
      <c r="BC85" s="3913" t="e">
        <f>IF(BC79-BC82-BC83&lt;0,0,BC79-BC82-BC83)</f>
        <v>#DIV/0!</v>
      </c>
      <c r="BD85" s="3895"/>
      <c r="BE85" s="3914" t="e">
        <f>IF(BE79-BE82-BE83&lt;0,0,BE79-BE82-BE83)</f>
        <v>#DIV/0!</v>
      </c>
    </row>
    <row r="86" spans="1:57" ht="13.5" thickTop="1">
      <c r="A86" s="97"/>
      <c r="C86" s="1891" t="e">
        <f>IF(C78=0,0,C85/C78)</f>
        <v>#DIV/0!</v>
      </c>
      <c r="D86" s="1891"/>
      <c r="E86" s="1891" t="e">
        <f>IF(E78=0,0,E85/E78)</f>
        <v>#DIV/0!</v>
      </c>
      <c r="F86" s="1891"/>
      <c r="G86" s="1891" t="e">
        <f>IF(G78=0,0,G85/G78)</f>
        <v>#DIV/0!</v>
      </c>
      <c r="H86" s="1891"/>
      <c r="I86" s="2754" t="e">
        <f>IF(I78=0,0,I85/I78)</f>
        <v>#DIV/0!</v>
      </c>
      <c r="K86" s="4113"/>
      <c r="L86" s="4113"/>
      <c r="M86" s="4113"/>
      <c r="N86" s="4113"/>
      <c r="O86" s="4113"/>
      <c r="P86" s="4113"/>
      <c r="Q86" s="4242"/>
      <c r="S86" s="1598"/>
      <c r="T86" s="1598"/>
      <c r="U86" s="1598"/>
      <c r="V86" s="1598"/>
      <c r="W86" s="1598"/>
      <c r="X86" s="1598"/>
      <c r="Y86" s="2780"/>
      <c r="AA86" s="1679"/>
      <c r="AB86" s="1679"/>
      <c r="AC86" s="1679"/>
      <c r="AD86" s="1679"/>
      <c r="AE86" s="1679"/>
      <c r="AF86" s="1679"/>
      <c r="AG86" s="2801"/>
      <c r="AI86" s="2122"/>
      <c r="AJ86" s="2122"/>
      <c r="AK86" s="2122"/>
      <c r="AL86" s="2122"/>
      <c r="AM86" s="2122"/>
      <c r="AN86" s="2122"/>
      <c r="AO86" s="2818"/>
      <c r="AQ86" s="2644" t="e">
        <f>IF(AQ78=0,0,AQ85/AQ78)</f>
        <v>#DIV/0!</v>
      </c>
      <c r="AR86" s="2644"/>
      <c r="AS86" s="2644" t="e">
        <f>IF(AS78=0,0,AS85/AS78)</f>
        <v>#DIV/0!</v>
      </c>
      <c r="AT86" s="2644"/>
      <c r="AU86" s="2644" t="e">
        <f>IF(AU78=0,0,AU85/AU78)</f>
        <v>#DIV/0!</v>
      </c>
      <c r="AV86" s="2644"/>
      <c r="AW86" s="2832" t="e">
        <f>IF(AW78=0,0,AW85/AW78)</f>
        <v>#DIV/0!</v>
      </c>
      <c r="AY86" s="3895" t="e">
        <f>IF(AY78=0,0,AY85/AY78)</f>
        <v>#DIV/0!</v>
      </c>
      <c r="AZ86" s="3895"/>
      <c r="BA86" s="3895" t="e">
        <f>IF(BA78=0,0,BA85/BA78)</f>
        <v>#DIV/0!</v>
      </c>
      <c r="BB86" s="3895"/>
      <c r="BC86" s="3895" t="e">
        <f>IF(BC78=0,0,BC85/BC78)</f>
        <v>#DIV/0!</v>
      </c>
      <c r="BD86" s="3895"/>
      <c r="BE86" s="3896" t="e">
        <f>IF(BE78=0,0,BE85/BE78)</f>
        <v>#DIV/0!</v>
      </c>
    </row>
    <row r="87" spans="1:57">
      <c r="A87" s="97"/>
      <c r="C87" s="1420"/>
      <c r="D87" s="1420"/>
      <c r="E87" s="1420"/>
      <c r="F87" s="1420"/>
      <c r="G87" s="1420"/>
      <c r="H87" s="1420"/>
      <c r="I87" s="2745"/>
      <c r="K87" s="4113"/>
      <c r="L87" s="4113"/>
      <c r="M87" s="4113"/>
      <c r="N87" s="4113"/>
      <c r="O87" s="4113"/>
      <c r="P87" s="4113"/>
      <c r="Q87" s="4242"/>
      <c r="S87" s="1598"/>
      <c r="T87" s="1598"/>
      <c r="U87" s="1598"/>
      <c r="V87" s="1598"/>
      <c r="W87" s="1598"/>
      <c r="X87" s="1598"/>
      <c r="Y87" s="2780"/>
      <c r="AA87" s="1679"/>
      <c r="AB87" s="1679"/>
      <c r="AC87" s="1679"/>
      <c r="AD87" s="1679"/>
      <c r="AE87" s="1679"/>
      <c r="AF87" s="1679"/>
      <c r="AG87" s="2801"/>
      <c r="AI87" s="2122"/>
      <c r="AJ87" s="2122"/>
      <c r="AK87" s="2122"/>
      <c r="AL87" s="2122"/>
      <c r="AM87" s="2122"/>
      <c r="AN87" s="2122"/>
      <c r="AO87" s="2818"/>
      <c r="AQ87" s="2644"/>
      <c r="AR87" s="2644"/>
      <c r="AS87" s="2644"/>
      <c r="AT87" s="2644"/>
      <c r="AU87" s="2644"/>
      <c r="AV87" s="2644"/>
      <c r="AW87" s="2832"/>
      <c r="AY87" s="3895"/>
      <c r="AZ87" s="3895"/>
      <c r="BA87" s="3895"/>
      <c r="BB87" s="3895"/>
      <c r="BC87" s="3895"/>
      <c r="BD87" s="3895"/>
      <c r="BE87" s="3896"/>
    </row>
    <row r="88" spans="1:57">
      <c r="A88" s="97"/>
      <c r="C88" s="1420"/>
      <c r="D88" s="1420"/>
      <c r="E88" s="1420"/>
      <c r="F88" s="1420"/>
      <c r="G88" s="1420"/>
      <c r="H88" s="1420"/>
      <c r="I88" s="2745"/>
      <c r="K88" s="4113"/>
      <c r="L88" s="4113"/>
      <c r="M88" s="4113"/>
      <c r="N88" s="4113"/>
      <c r="O88" s="4113"/>
      <c r="P88" s="4113"/>
      <c r="Q88" s="4242"/>
      <c r="S88" s="1598"/>
      <c r="T88" s="1598"/>
      <c r="U88" s="1598"/>
      <c r="V88" s="1598"/>
      <c r="W88" s="1598"/>
      <c r="X88" s="1598"/>
      <c r="Y88" s="2780"/>
      <c r="AA88" s="1679"/>
      <c r="AB88" s="1679"/>
      <c r="AC88" s="1679"/>
      <c r="AD88" s="1679"/>
      <c r="AE88" s="1679"/>
      <c r="AF88" s="1679"/>
      <c r="AG88" s="2801"/>
      <c r="AI88" s="2122"/>
      <c r="AJ88" s="2122"/>
      <c r="AK88" s="2122"/>
      <c r="AL88" s="2122"/>
      <c r="AM88" s="2122"/>
      <c r="AN88" s="2122"/>
      <c r="AO88" s="2818"/>
      <c r="AQ88" s="2644"/>
      <c r="AR88" s="2644"/>
      <c r="AS88" s="2644"/>
      <c r="AT88" s="2644"/>
      <c r="AU88" s="2644"/>
      <c r="AV88" s="2644"/>
      <c r="AW88" s="2832"/>
      <c r="AY88" s="3895"/>
      <c r="AZ88" s="3895"/>
      <c r="BA88" s="3895"/>
      <c r="BB88" s="3895"/>
      <c r="BC88" s="3895"/>
      <c r="BD88" s="3895"/>
      <c r="BE88" s="3896"/>
    </row>
    <row r="89" spans="1:57">
      <c r="A89" s="97"/>
      <c r="C89" s="1891" t="s">
        <v>4568</v>
      </c>
      <c r="D89" s="1891"/>
      <c r="E89" s="1891"/>
      <c r="F89" s="1891"/>
      <c r="G89" s="1891"/>
      <c r="H89" s="1891"/>
      <c r="I89" s="2754"/>
      <c r="K89" s="4113" t="s">
        <v>4569</v>
      </c>
      <c r="L89" s="4113"/>
      <c r="M89" s="4113"/>
      <c r="N89" s="4113"/>
      <c r="O89" s="4113"/>
      <c r="P89" s="4113"/>
      <c r="Q89" s="4242"/>
      <c r="S89" s="1986" t="s">
        <v>4570</v>
      </c>
      <c r="T89" s="1986"/>
      <c r="U89" s="1986"/>
      <c r="V89" s="1986"/>
      <c r="W89" s="1986"/>
      <c r="X89" s="1986"/>
      <c r="Y89" s="2782"/>
      <c r="AA89" s="1998" t="s">
        <v>4571</v>
      </c>
      <c r="AB89" s="1998"/>
      <c r="AC89" s="1998"/>
      <c r="AD89" s="1998"/>
      <c r="AE89" s="1998"/>
      <c r="AF89" s="1998"/>
      <c r="AG89" s="2803"/>
      <c r="AI89" s="1891" t="s">
        <v>4647</v>
      </c>
      <c r="AJ89" s="1891"/>
      <c r="AK89" s="1891"/>
      <c r="AL89" s="1891"/>
      <c r="AM89" s="1891"/>
      <c r="AN89" s="1891"/>
      <c r="AO89" s="2754"/>
      <c r="AQ89" s="2644" t="s">
        <v>7719</v>
      </c>
      <c r="AR89" s="2644"/>
      <c r="AS89" s="2644"/>
      <c r="AT89" s="2644"/>
      <c r="AU89" s="2644"/>
      <c r="AV89" s="2644"/>
      <c r="AW89" s="2832"/>
      <c r="AY89" s="3895" t="s">
        <v>7719</v>
      </c>
      <c r="AZ89" s="3895"/>
      <c r="BA89" s="3895"/>
      <c r="BB89" s="3895"/>
      <c r="BC89" s="3895"/>
      <c r="BD89" s="3895"/>
      <c r="BE89" s="3896"/>
    </row>
    <row r="90" spans="1:57">
      <c r="A90" s="97"/>
      <c r="C90" s="1842" t="e">
        <f>'Calc Data-15K'!C78</f>
        <v>#DIV/0!</v>
      </c>
      <c r="D90" s="1874"/>
      <c r="E90" s="1842" t="e">
        <f>C90</f>
        <v>#DIV/0!</v>
      </c>
      <c r="F90" s="1874"/>
      <c r="G90" s="1842"/>
      <c r="H90" s="1874"/>
      <c r="I90" s="2756"/>
      <c r="K90" s="4114" t="e">
        <f>'Calc Data-15K'!AH91</f>
        <v>#DIV/0!</v>
      </c>
      <c r="L90" s="4115"/>
      <c r="M90" s="4114" t="e">
        <f>K90</f>
        <v>#DIV/0!</v>
      </c>
      <c r="N90" s="4115"/>
      <c r="O90" s="4114"/>
      <c r="P90" s="4115"/>
      <c r="Q90" s="4059"/>
      <c r="S90" s="1263" t="e">
        <f>'Calc Data-15K'!AL91</f>
        <v>#DIV/0!</v>
      </c>
      <c r="T90" s="1986"/>
      <c r="U90" s="1987" t="e">
        <f>S90</f>
        <v>#DIV/0!</v>
      </c>
      <c r="V90" s="1986"/>
      <c r="W90" s="1987"/>
      <c r="X90" s="1986"/>
      <c r="Y90" s="2783"/>
      <c r="AA90" s="1985" t="e">
        <f>'Calc Data-15K'!AP91</f>
        <v>#DIV/0!</v>
      </c>
      <c r="AB90" s="1998"/>
      <c r="AC90" s="1999" t="e">
        <f>AA90</f>
        <v>#DIV/0!</v>
      </c>
      <c r="AD90" s="1998"/>
      <c r="AE90" s="1999"/>
      <c r="AF90" s="1998"/>
      <c r="AG90" s="2804"/>
      <c r="AI90" s="1985" t="e">
        <f>'Calc Data-15K'!AT91</f>
        <v>#DIV/0!</v>
      </c>
      <c r="AJ90" s="1891"/>
      <c r="AK90" s="1889" t="e">
        <f>AI90</f>
        <v>#DIV/0!</v>
      </c>
      <c r="AL90" s="1891"/>
      <c r="AM90" s="1889"/>
      <c r="AN90" s="1891"/>
      <c r="AO90" s="2750"/>
      <c r="AQ90" s="2643" t="e">
        <f>'Calc Data-15K'!AY91</f>
        <v>#DIV/0!</v>
      </c>
      <c r="AR90" s="2644"/>
      <c r="AS90" s="2643" t="e">
        <f>AQ90</f>
        <v>#DIV/0!</v>
      </c>
      <c r="AT90" s="2644"/>
      <c r="AU90" s="2643"/>
      <c r="AV90" s="2644"/>
      <c r="AW90" s="2828"/>
      <c r="AY90" s="3897" t="e">
        <f>'Calc Data-15K'!BD91</f>
        <v>#DIV/0!</v>
      </c>
      <c r="AZ90" s="3895"/>
      <c r="BA90" s="3897" t="e">
        <f>AY90</f>
        <v>#DIV/0!</v>
      </c>
      <c r="BB90" s="3895"/>
      <c r="BC90" s="3897"/>
      <c r="BD90" s="3895"/>
      <c r="BE90" s="3898"/>
    </row>
    <row r="91" spans="1:57">
      <c r="A91" s="97"/>
      <c r="C91" s="1842"/>
      <c r="D91" s="1874"/>
      <c r="E91" s="1842"/>
      <c r="F91" s="1874"/>
      <c r="G91" s="1842" t="e">
        <f>'Calc Data-15K'!C83</f>
        <v>#DIV/0!</v>
      </c>
      <c r="H91" s="1874"/>
      <c r="I91" s="2756" t="e">
        <f>G91</f>
        <v>#DIV/0!</v>
      </c>
      <c r="K91" s="4114"/>
      <c r="L91" s="4115"/>
      <c r="M91" s="4114"/>
      <c r="N91" s="4115"/>
      <c r="O91" s="4114" t="e">
        <f>'Calc Data-15K'!AF86</f>
        <v>#DIV/0!</v>
      </c>
      <c r="P91" s="4115"/>
      <c r="Q91" s="4059" t="e">
        <f>O91</f>
        <v>#DIV/0!</v>
      </c>
      <c r="S91" s="1987"/>
      <c r="T91" s="1986"/>
      <c r="U91" s="1987"/>
      <c r="V91" s="1986"/>
      <c r="W91" s="1263" t="e">
        <f>'Calc Data-15K'!AJ86</f>
        <v>#DIV/0!</v>
      </c>
      <c r="X91" s="1986"/>
      <c r="Y91" s="2783" t="e">
        <f>W91</f>
        <v>#DIV/0!</v>
      </c>
      <c r="AA91" s="1999"/>
      <c r="AB91" s="1998"/>
      <c r="AC91" s="1999"/>
      <c r="AD91" s="1998"/>
      <c r="AE91" s="1263" t="e">
        <f>'Calc Data-15K'!AN86</f>
        <v>#DIV/0!</v>
      </c>
      <c r="AF91" s="1998"/>
      <c r="AG91" s="2804" t="e">
        <f>AE91</f>
        <v>#DIV/0!</v>
      </c>
      <c r="AI91" s="1889"/>
      <c r="AJ91" s="1891"/>
      <c r="AK91" s="1889"/>
      <c r="AL91" s="1891"/>
      <c r="AM91" s="1263" t="e">
        <f>'Calc Data-15K'!AR86</f>
        <v>#DIV/0!</v>
      </c>
      <c r="AN91" s="1891"/>
      <c r="AO91" s="2750" t="e">
        <f>AM91</f>
        <v>#DIV/0!</v>
      </c>
      <c r="AQ91" s="2643"/>
      <c r="AR91" s="2644"/>
      <c r="AS91" s="2643"/>
      <c r="AT91" s="2644"/>
      <c r="AU91" s="2616" t="e">
        <f>'Calc Data-15K'!AW86</f>
        <v>#DIV/0!</v>
      </c>
      <c r="AV91" s="2644"/>
      <c r="AW91" s="2828" t="e">
        <f>AU91</f>
        <v>#DIV/0!</v>
      </c>
      <c r="AY91" s="3897"/>
      <c r="AZ91" s="3895"/>
      <c r="BA91" s="3897"/>
      <c r="BB91" s="3895"/>
      <c r="BC91" s="3759" t="e">
        <f>'Calc Data-15K'!BB86</f>
        <v>#DIV/0!</v>
      </c>
      <c r="BD91" s="3895"/>
      <c r="BE91" s="3898" t="e">
        <f>BC91</f>
        <v>#DIV/0!</v>
      </c>
    </row>
    <row r="92" spans="1:57">
      <c r="A92" s="97"/>
      <c r="C92" s="1842" t="e">
        <f>C90</f>
        <v>#DIV/0!</v>
      </c>
      <c r="D92" s="1874"/>
      <c r="E92" s="1842" t="e">
        <f>E90</f>
        <v>#DIV/0!</v>
      </c>
      <c r="F92" s="1874"/>
      <c r="G92" s="1842" t="e">
        <f>G91</f>
        <v>#DIV/0!</v>
      </c>
      <c r="H92" s="1874"/>
      <c r="I92" s="2756" t="e">
        <f>I91</f>
        <v>#DIV/0!</v>
      </c>
      <c r="K92" s="4114" t="e">
        <f>K90</f>
        <v>#DIV/0!</v>
      </c>
      <c r="L92" s="4115"/>
      <c r="M92" s="4114" t="e">
        <f>M90</f>
        <v>#DIV/0!</v>
      </c>
      <c r="N92" s="4115"/>
      <c r="O92" s="4114" t="e">
        <f>O91</f>
        <v>#DIV/0!</v>
      </c>
      <c r="P92" s="4115"/>
      <c r="Q92" s="4059" t="e">
        <f>Q91</f>
        <v>#DIV/0!</v>
      </c>
      <c r="S92" s="1987" t="e">
        <f>S90</f>
        <v>#DIV/0!</v>
      </c>
      <c r="T92" s="1986"/>
      <c r="U92" s="1987" t="e">
        <f>U90</f>
        <v>#DIV/0!</v>
      </c>
      <c r="V92" s="1986"/>
      <c r="W92" s="1987" t="e">
        <f>W91</f>
        <v>#DIV/0!</v>
      </c>
      <c r="X92" s="1986"/>
      <c r="Y92" s="2783" t="e">
        <f>Y91</f>
        <v>#DIV/0!</v>
      </c>
      <c r="AA92" s="1999" t="e">
        <f>AA90</f>
        <v>#DIV/0!</v>
      </c>
      <c r="AB92" s="1998"/>
      <c r="AC92" s="1999" t="e">
        <f>AC90</f>
        <v>#DIV/0!</v>
      </c>
      <c r="AD92" s="1998"/>
      <c r="AE92" s="1999" t="e">
        <f>AE91</f>
        <v>#DIV/0!</v>
      </c>
      <c r="AF92" s="1998"/>
      <c r="AG92" s="2804" t="e">
        <f>AG91</f>
        <v>#DIV/0!</v>
      </c>
      <c r="AI92" s="1889" t="e">
        <f>AI90</f>
        <v>#DIV/0!</v>
      </c>
      <c r="AJ92" s="1891"/>
      <c r="AK92" s="1889" t="e">
        <f>AK90</f>
        <v>#DIV/0!</v>
      </c>
      <c r="AL92" s="1891"/>
      <c r="AM92" s="1889" t="e">
        <f>AM91</f>
        <v>#DIV/0!</v>
      </c>
      <c r="AN92" s="1891"/>
      <c r="AO92" s="2750" t="e">
        <f>AO91</f>
        <v>#DIV/0!</v>
      </c>
      <c r="AQ92" s="2643" t="e">
        <f>AQ90</f>
        <v>#DIV/0!</v>
      </c>
      <c r="AR92" s="2644"/>
      <c r="AS92" s="2643" t="e">
        <f>AS90</f>
        <v>#DIV/0!</v>
      </c>
      <c r="AT92" s="2644"/>
      <c r="AU92" s="2643" t="e">
        <f>AU91</f>
        <v>#DIV/0!</v>
      </c>
      <c r="AV92" s="2644"/>
      <c r="AW92" s="2828" t="e">
        <f>AW91</f>
        <v>#DIV/0!</v>
      </c>
      <c r="AY92" s="3897" t="e">
        <f>AY90</f>
        <v>#DIV/0!</v>
      </c>
      <c r="AZ92" s="3895"/>
      <c r="BA92" s="3897" t="e">
        <f>BA90</f>
        <v>#DIV/0!</v>
      </c>
      <c r="BB92" s="3895"/>
      <c r="BC92" s="3897" t="e">
        <f>BC91</f>
        <v>#DIV/0!</v>
      </c>
      <c r="BD92" s="3895"/>
      <c r="BE92" s="3898" t="e">
        <f>BE91</f>
        <v>#DIV/0!</v>
      </c>
    </row>
    <row r="93" spans="1:57">
      <c r="A93" s="97"/>
      <c r="C93" s="1940" t="e">
        <f>C35*C92</f>
        <v>#DIV/0!</v>
      </c>
      <c r="D93" s="1948"/>
      <c r="E93" s="1940" t="e">
        <f>E35*E92</f>
        <v>#DIV/0!</v>
      </c>
      <c r="F93" s="1948"/>
      <c r="G93" s="1940" t="e">
        <f>IF(G91&lt;1,0,G35*G92)</f>
        <v>#DIV/0!</v>
      </c>
      <c r="H93" s="1948"/>
      <c r="I93" s="2757" t="e">
        <f>IF(I91&lt;1,0,I35*I92)</f>
        <v>#DIV/0!</v>
      </c>
      <c r="K93" s="4114" t="e">
        <f>K35*K92</f>
        <v>#DIV/0!</v>
      </c>
      <c r="L93" s="4115"/>
      <c r="M93" s="4114" t="e">
        <f>M35*M92</f>
        <v>#DIV/0!</v>
      </c>
      <c r="N93" s="4115"/>
      <c r="O93" s="4114" t="e">
        <f>IF(O91&lt;1,0,O35*O92)</f>
        <v>#DIV/0!</v>
      </c>
      <c r="P93" s="4115"/>
      <c r="Q93" s="4059" t="e">
        <f>IF(Q91&lt;1,0,Q35*Q92)</f>
        <v>#DIV/0!</v>
      </c>
      <c r="S93" s="1988" t="e">
        <f>S35*S92</f>
        <v>#DIV/0!</v>
      </c>
      <c r="T93" s="1989"/>
      <c r="U93" s="1988" t="e">
        <f>U35*U92</f>
        <v>#DIV/0!</v>
      </c>
      <c r="V93" s="1989"/>
      <c r="W93" s="1988" t="e">
        <f>IF(W91&lt;1,0,W35*W92)</f>
        <v>#DIV/0!</v>
      </c>
      <c r="X93" s="1989"/>
      <c r="Y93" s="2784" t="e">
        <f>IF(Y91&lt;1,0,Y35*Y92)</f>
        <v>#DIV/0!</v>
      </c>
      <c r="AA93" s="2000" t="e">
        <f>AA35*AA92</f>
        <v>#DIV/0!</v>
      </c>
      <c r="AB93" s="2001"/>
      <c r="AC93" s="2000" t="e">
        <f>AC35*AC92</f>
        <v>#DIV/0!</v>
      </c>
      <c r="AD93" s="2001"/>
      <c r="AE93" s="2000" t="e">
        <f>IF(AE91&lt;1,0,AE35*AE92)</f>
        <v>#DIV/0!</v>
      </c>
      <c r="AF93" s="2001"/>
      <c r="AG93" s="2805" t="e">
        <f>IF(AG91&lt;1,0,AG35*AG92)</f>
        <v>#DIV/0!</v>
      </c>
      <c r="AI93" s="1887" t="e">
        <f>AI35*AI92</f>
        <v>#DIV/0!</v>
      </c>
      <c r="AJ93" s="1897"/>
      <c r="AK93" s="1887" t="e">
        <f>AK35*AK92</f>
        <v>#DIV/0!</v>
      </c>
      <c r="AL93" s="1897"/>
      <c r="AM93" s="1887" t="e">
        <f>IF(AM91&lt;1,0,AM35*AM92)</f>
        <v>#DIV/0!</v>
      </c>
      <c r="AN93" s="1897"/>
      <c r="AO93" s="2748" t="e">
        <f>IF(AO91&lt;1,0,AO35*AO92)</f>
        <v>#DIV/0!</v>
      </c>
      <c r="AQ93" s="2635" t="e">
        <f>AQ35*AQ92</f>
        <v>#DIV/0!</v>
      </c>
      <c r="AR93" s="2636"/>
      <c r="AS93" s="2635" t="e">
        <f>AS35*AS92</f>
        <v>#DIV/0!</v>
      </c>
      <c r="AT93" s="2636"/>
      <c r="AU93" s="2635" t="e">
        <f>IF(AU91&lt;1,0,AU35*AU92)</f>
        <v>#DIV/0!</v>
      </c>
      <c r="AV93" s="2636"/>
      <c r="AW93" s="2824" t="e">
        <f>IF(AW91&lt;1,0,AW35*AW92)</f>
        <v>#DIV/0!</v>
      </c>
      <c r="AY93" s="3899" t="e">
        <f>AY35*AY92</f>
        <v>#DIV/0!</v>
      </c>
      <c r="AZ93" s="3900"/>
      <c r="BA93" s="3899" t="e">
        <f>BA35*BA92</f>
        <v>#DIV/0!</v>
      </c>
      <c r="BB93" s="3900"/>
      <c r="BC93" s="3899" t="e">
        <f>IF(BC91&lt;1,0,BC35*BC92)</f>
        <v>#DIV/0!</v>
      </c>
      <c r="BD93" s="3900"/>
      <c r="BE93" s="3901" t="e">
        <f>IF(BE91&lt;1,0,BE35*BE92)</f>
        <v>#DIV/0!</v>
      </c>
    </row>
    <row r="94" spans="1:57">
      <c r="A94" s="97"/>
      <c r="C94" s="1841" t="e">
        <f>C34/IF(C36&lt;Assumptions!G92,Assumptions!G92,C36)</f>
        <v>#DIV/0!</v>
      </c>
      <c r="D94" s="1949"/>
      <c r="E94" s="1841" t="e">
        <f>E34/E36</f>
        <v>#DIV/0!</v>
      </c>
      <c r="F94" s="1949"/>
      <c r="G94" s="1841" t="e">
        <f>IF(G93=0,0,G34/G36)</f>
        <v>#DIV/0!</v>
      </c>
      <c r="H94" s="1949"/>
      <c r="I94" s="2758" t="e">
        <f>IF(I93=0,0,I34/I36)</f>
        <v>#DIV/0!</v>
      </c>
      <c r="K94" s="4119" t="e">
        <f>K34/IF(K36&lt;Assumptions!G103,Assumptions!G103,K36)</f>
        <v>#DIV/0!</v>
      </c>
      <c r="L94" s="4120"/>
      <c r="M94" s="4119" t="e">
        <f>M34/M36</f>
        <v>#DIV/0!</v>
      </c>
      <c r="N94" s="4120"/>
      <c r="O94" s="4119" t="e">
        <f>IF(O93=0,0,O34/O36)</f>
        <v>#DIV/0!</v>
      </c>
      <c r="P94" s="4120"/>
      <c r="Q94" s="4244" t="e">
        <f>IF(Q93=0,0,Q34/Q36)</f>
        <v>#DIV/0!</v>
      </c>
      <c r="S94" s="1990" t="e">
        <f>S34/IF(S36&lt;Assumptions!G112,Assumptions!G112,S36)</f>
        <v>#DIV/0!</v>
      </c>
      <c r="T94" s="1991"/>
      <c r="U94" s="1990" t="e">
        <f>U34/U36</f>
        <v>#DIV/0!</v>
      </c>
      <c r="V94" s="1991"/>
      <c r="W94" s="1990" t="e">
        <f>IF(W93=0,0,W34/W36)</f>
        <v>#DIV/0!</v>
      </c>
      <c r="X94" s="1991"/>
      <c r="Y94" s="2785" t="e">
        <f>IF(Y93=0,0,Y34/Y36)</f>
        <v>#DIV/0!</v>
      </c>
      <c r="AA94" s="2002" t="e">
        <f>AA34/IF(AA36&lt;Assumptions!G121,Assumptions!G121,AA36)</f>
        <v>#DIV/0!</v>
      </c>
      <c r="AB94" s="2003"/>
      <c r="AC94" s="2002" t="e">
        <f>AC34/AC36</f>
        <v>#DIV/0!</v>
      </c>
      <c r="AD94" s="2003"/>
      <c r="AE94" s="2002" t="e">
        <f>IF(AE93=0,0,AE34/AE36)</f>
        <v>#DIV/0!</v>
      </c>
      <c r="AF94" s="2003"/>
      <c r="AG94" s="2806" t="e">
        <f>IF(AG93=0,0,AG34/AG36)</f>
        <v>#DIV/0!</v>
      </c>
      <c r="AI94" s="1892" t="e">
        <f>AI34/IF(AI36&lt;Assumptions!G130,Assumptions!G130,AI36)</f>
        <v>#DIV/0!</v>
      </c>
      <c r="AJ94" s="1898"/>
      <c r="AK94" s="1892" t="e">
        <f>AK34/AK36</f>
        <v>#DIV/0!</v>
      </c>
      <c r="AL94" s="1898"/>
      <c r="AM94" s="1892" t="e">
        <f>IF(AM93=0,0,AM34/AM36)</f>
        <v>#DIV/0!</v>
      </c>
      <c r="AN94" s="1898"/>
      <c r="AO94" s="2751" t="e">
        <f>IF(AO93=0,0,AO34/AO36)</f>
        <v>#DIV/0!</v>
      </c>
      <c r="AQ94" s="2637" t="e">
        <f>AQ34/IF(AQ36&lt;Assumptions!G139,Assumptions!G139,AQ36)</f>
        <v>#DIV/0!</v>
      </c>
      <c r="AR94" s="2638"/>
      <c r="AS94" s="2637" t="e">
        <f>AS34/AS36</f>
        <v>#DIV/0!</v>
      </c>
      <c r="AT94" s="2638"/>
      <c r="AU94" s="2637" t="e">
        <f>IF(AU93=0,0,AU34/AU36)</f>
        <v>#DIV/0!</v>
      </c>
      <c r="AV94" s="2638"/>
      <c r="AW94" s="2825" t="e">
        <f>IF(AW93=0,0,AW34/AW36)</f>
        <v>#DIV/0!</v>
      </c>
      <c r="AY94" s="3902" t="e">
        <f>AY34/IF(AY36&lt;Assumptions!G148,Assumptions!G148,AY36)</f>
        <v>#DIV/0!</v>
      </c>
      <c r="AZ94" s="3903"/>
      <c r="BA94" s="3902" t="e">
        <f>BA34/BA36</f>
        <v>#DIV/0!</v>
      </c>
      <c r="BB94" s="3903"/>
      <c r="BC94" s="3902" t="e">
        <f>IF(BC93=0,0,BC34/BC36)</f>
        <v>#DIV/0!</v>
      </c>
      <c r="BD94" s="3903"/>
      <c r="BE94" s="3904" t="e">
        <f>IF(BE93=0,0,BE34/BE36)</f>
        <v>#DIV/0!</v>
      </c>
    </row>
    <row r="95" spans="1:57">
      <c r="A95" s="97"/>
      <c r="C95" s="1943" t="e">
        <f>IF(C94=0,0,IF(C93/C94&lt;3147,3147,C93/C94))</f>
        <v>#DIV/0!</v>
      </c>
      <c r="D95" s="1950"/>
      <c r="E95" s="1943" t="e">
        <f>IF(E94=0,0,IF(E93/E94&lt;3147,3147,E93/E94))</f>
        <v>#DIV/0!</v>
      </c>
      <c r="F95" s="1950"/>
      <c r="G95" s="1943" t="e">
        <f>IF(G94=0,0,IF(G93/G94&lt;71.62,71.62,G93/G94))</f>
        <v>#DIV/0!</v>
      </c>
      <c r="H95" s="1950"/>
      <c r="I95" s="2759" t="e">
        <f>IF(I94=0,0,IF(I93/I94&lt;71.62,71.62,I93/I94))</f>
        <v>#DIV/0!</v>
      </c>
      <c r="K95" s="4121" t="e">
        <f>IF(K94=0,0,IF(K93/K94&lt;3392,3392,K93/K94))</f>
        <v>#DIV/0!</v>
      </c>
      <c r="L95" s="4122"/>
      <c r="M95" s="4121" t="e">
        <f>IF(M94=0,0,IF(M93/M94&lt;3392,3392,M93/M94))</f>
        <v>#DIV/0!</v>
      </c>
      <c r="N95" s="4122"/>
      <c r="O95" s="4121" t="e">
        <f>IF(O94=0,0,IF(O93/O94&lt;84.777,84.777,O93/O94))</f>
        <v>#DIV/0!</v>
      </c>
      <c r="P95" s="4122"/>
      <c r="Q95" s="4245" t="e">
        <f>IF(Q94=0,0,IF(Q93/Q94&lt;84.777,84.777,Q93/Q94))</f>
        <v>#DIV/0!</v>
      </c>
      <c r="S95" s="1992" t="e">
        <f>IF(S94=0,0,IF(S93/S94&lt;3392,3392,S93/S94))</f>
        <v>#DIV/0!</v>
      </c>
      <c r="T95" s="1993"/>
      <c r="U95" s="1992" t="e">
        <f>IF(U94=0,0,IF(U93/U94&lt;3392,3392,U93/U94))</f>
        <v>#DIV/0!</v>
      </c>
      <c r="V95" s="1993"/>
      <c r="W95" s="1992" t="e">
        <f>IF(W94=0,0,IF(W93/W94&lt;84.777,84.777,W93/W94))</f>
        <v>#DIV/0!</v>
      </c>
      <c r="X95" s="1993"/>
      <c r="Y95" s="2786" t="e">
        <f>IF(Y94=0,0,IF(Y93/Y94&lt;84.777,84.777,Y93/Y94))</f>
        <v>#DIV/0!</v>
      </c>
      <c r="AA95" s="2004" t="e">
        <f>IF(AA94=0,0,IF(AA93/AA94&lt;3392,3392,AA93/AA94))</f>
        <v>#DIV/0!</v>
      </c>
      <c r="AB95" s="2005"/>
      <c r="AC95" s="2004" t="e">
        <f>IF(AC94=0,0,IF(AC93/AC94&lt;3392,3392,AC93/AC94))</f>
        <v>#DIV/0!</v>
      </c>
      <c r="AD95" s="2005"/>
      <c r="AE95" s="2004" t="e">
        <f>IF(AE94=0,0,IF(AE93/AE94&lt;84.777,84.777,AE93/AE94))</f>
        <v>#DIV/0!</v>
      </c>
      <c r="AF95" s="2005"/>
      <c r="AG95" s="2807" t="e">
        <f>IF(AG94=0,0,IF(AG93/AG94&lt;84.777,84.777,AG93/AG94))</f>
        <v>#DIV/0!</v>
      </c>
      <c r="AI95" s="1893" t="e">
        <f>IF(AI94=0,0,IF(AI93/AI94&lt;3392,3392,AI93/AI94))</f>
        <v>#DIV/0!</v>
      </c>
      <c r="AJ95" s="1899"/>
      <c r="AK95" s="1893" t="e">
        <f>IF(AK94=0,0,IF(AK93/AK94&lt;3392,3392,AK93/AK94))</f>
        <v>#DIV/0!</v>
      </c>
      <c r="AL95" s="1899"/>
      <c r="AM95" s="1893" t="e">
        <f>IF(AM94=0,0,IF(AM93/AM94&lt;84.777,84.777,AM93/AM94))</f>
        <v>#DIV/0!</v>
      </c>
      <c r="AN95" s="1899"/>
      <c r="AO95" s="2752" t="e">
        <f>IF(AO94=0,0,IF(AO93/AO94&lt;84.777,84.777,AO93/AO94))</f>
        <v>#DIV/0!</v>
      </c>
      <c r="AQ95" s="2645" t="e">
        <f>IF(AQ94=0,0,IF(AQ93/AQ94&lt;3392,3392,AQ93/AQ94))</f>
        <v>#DIV/0!</v>
      </c>
      <c r="AR95" s="2646"/>
      <c r="AS95" s="2645" t="e">
        <f>IF(AS94=0,0,IF(AS93/AS94&lt;3392,3392,AS93/AS94))</f>
        <v>#DIV/0!</v>
      </c>
      <c r="AT95" s="2646"/>
      <c r="AU95" s="2645" t="e">
        <f>IF(AU94=0,0,IF(AU93/AU94&lt;84.777,84.777,AU93/AU94))</f>
        <v>#DIV/0!</v>
      </c>
      <c r="AV95" s="2646"/>
      <c r="AW95" s="2829" t="e">
        <f>IF(AW94=0,0,IF(AW93/AW94&lt;84.777,84.777,AW93/AW94))</f>
        <v>#DIV/0!</v>
      </c>
      <c r="AY95" s="3905" t="e">
        <f>IF(AY94=0,0,IF(AY93/AY94&lt;3392,3392,AY93/AY94))</f>
        <v>#DIV/0!</v>
      </c>
      <c r="AZ95" s="3906"/>
      <c r="BA95" s="3905" t="e">
        <f>IF(BA94=0,0,IF(BA93/BA94&lt;3392,3392,BA93/BA94))</f>
        <v>#DIV/0!</v>
      </c>
      <c r="BB95" s="3906"/>
      <c r="BC95" s="3905" t="e">
        <f>IF(BC94=0,0,IF(BC93/BC94&lt;84.777,84.777,BC93/BC94))</f>
        <v>#DIV/0!</v>
      </c>
      <c r="BD95" s="3906"/>
      <c r="BE95" s="3907" t="e">
        <f>IF(BE94=0,0,IF(BE93/BE94&lt;84.777,84.777,BE93/BE94))</f>
        <v>#DIV/0!</v>
      </c>
    </row>
    <row r="96" spans="1:57">
      <c r="A96" s="97"/>
      <c r="C96" s="1841" t="e">
        <f>IF(OR('Data Entry - SOF'!C95=0,C95=0),0,IF('Data Entry - SOF'!C95&gt;C95,(C95*'Data Entry - SOF'!C94)/C95,('Data Entry - SOF'!C95*'Data Entry - SOF'!C94)/C95))</f>
        <v>#DIV/0!</v>
      </c>
      <c r="D96" s="1949"/>
      <c r="E96" s="1841" t="e">
        <f>C96</f>
        <v>#DIV/0!</v>
      </c>
      <c r="F96" s="1949"/>
      <c r="G96" s="1841" t="e">
        <f>IF(OR('Data Entry - SOF'!C143=0,G95=0),0,IF('Data Entry - SOF'!C143&gt;G95,(G95*'Data Entry - SOF'!C142)/G95,('Data Entry - SOF'!C143*'Data Entry - SOF'!C142)/G95))</f>
        <v>#DIV/0!</v>
      </c>
      <c r="H96" s="1949"/>
      <c r="I96" s="2758" t="e">
        <f>G96</f>
        <v>#DIV/0!</v>
      </c>
      <c r="K96" s="4116" t="e">
        <f>IF(OR('Data Entry - SOF'!E95=0,K95=0),0,IF('Data Entry - SOF'!E95&gt;K95,(K95*'Data Entry - SOF'!E94)/K95,('Data Entry - SOF'!E95*'Data Entry - SOF'!E94)/K95))</f>
        <v>#DIV/0!</v>
      </c>
      <c r="L96" s="4117"/>
      <c r="M96" s="4116" t="e">
        <f>K96</f>
        <v>#DIV/0!</v>
      </c>
      <c r="N96" s="4117"/>
      <c r="O96" s="4116" t="e">
        <f>IF(OR('Data Entry - SOF'!E145=0,O95=0),0,IF('Data Entry - SOF'!E145&gt;O95,(O95*'Data Entry - SOF'!E144)/O95,('Data Entry - SOF'!E145*'Data Entry - SOF'!E144)/O95))</f>
        <v>#DIV/0!</v>
      </c>
      <c r="P96" s="4117"/>
      <c r="Q96" s="4241" t="e">
        <f>O96</f>
        <v>#DIV/0!</v>
      </c>
      <c r="S96" s="1990" t="e">
        <f>IF(OR('Data Entry - SOF'!G95=0,S95=0),0,IF('Data Entry - SOF'!G95&gt;S95,(S95*'Data Entry - SOF'!G94)/S95,('Data Entry - SOF'!G95*'Data Entry - SOF'!G94)/S95))</f>
        <v>#DIV/0!</v>
      </c>
      <c r="T96" s="1991"/>
      <c r="U96" s="1990" t="e">
        <f>S96</f>
        <v>#DIV/0!</v>
      </c>
      <c r="V96" s="1991"/>
      <c r="W96" s="1990" t="e">
        <f>IF(OR('Data Entry - SOF'!G145=0,W95=0),0,IF('Data Entry - SOF'!G145&gt;W95,(W95*'Data Entry - SOF'!G144)/W95,('Data Entry - SOF'!G145*'Data Entry - SOF'!G144)/W95))</f>
        <v>#DIV/0!</v>
      </c>
      <c r="X96" s="1991"/>
      <c r="Y96" s="2785" t="e">
        <f>W96</f>
        <v>#DIV/0!</v>
      </c>
      <c r="AA96" s="2002" t="e">
        <f>IF(OR('Data Entry - SOF'!I95=0,AA95=0),0,IF('Data Entry - SOF'!I95&gt;AA95,(AA95*'Data Entry - SOF'!I94)/AA95,('Data Entry - SOF'!I95*'Data Entry - SOF'!I94)/AA95))</f>
        <v>#DIV/0!</v>
      </c>
      <c r="AB96" s="2003"/>
      <c r="AC96" s="2002" t="e">
        <f>AA96</f>
        <v>#DIV/0!</v>
      </c>
      <c r="AD96" s="2003"/>
      <c r="AE96" s="2002" t="e">
        <f>IF(OR('Data Entry - SOF'!I145=0,AE95=0),0,IF('Data Entry - SOF'!I145&gt;AE95,(AE95*'Data Entry - SOF'!I144)/AE95,('Data Entry - SOF'!I145*'Data Entry - SOF'!I144)/AE95))</f>
        <v>#DIV/0!</v>
      </c>
      <c r="AF96" s="2003"/>
      <c r="AG96" s="2806" t="e">
        <f>AE96</f>
        <v>#DIV/0!</v>
      </c>
      <c r="AI96" s="1892" t="e">
        <f>IF(OR('Data Entry - SOF'!K95=0,AI95=0),0,IF('Data Entry - SOF'!K95&gt;AI95,(AI95*'Data Entry - SOF'!K94)/AI95,('Data Entry - SOF'!K95*'Data Entry - SOF'!K94)/AI95))</f>
        <v>#DIV/0!</v>
      </c>
      <c r="AJ96" s="1898"/>
      <c r="AK96" s="1892" t="e">
        <f>AI96</f>
        <v>#DIV/0!</v>
      </c>
      <c r="AL96" s="1898"/>
      <c r="AM96" s="1892" t="e">
        <f>IF(OR('Data Entry - SOF'!K145=0,AM95=0),0,IF('Data Entry - SOF'!K145&gt;AM95,(AM95*'Data Entry - SOF'!K144)/AM95,('Data Entry - SOF'!K145*'Data Entry - SOF'!K144)/AM95))</f>
        <v>#DIV/0!</v>
      </c>
      <c r="AN96" s="1898"/>
      <c r="AO96" s="2751" t="e">
        <f>AM96</f>
        <v>#DIV/0!</v>
      </c>
      <c r="AQ96" s="2637" t="e">
        <f>IF(OR('Data Entry - SOF'!M95=0,AQ95=0),0,IF('Data Entry - SOF'!M95&gt;AQ95,(AQ95*'Data Entry - SOF'!M94)/AQ95,('Data Entry - SOF'!M95*'Data Entry - SOF'!M94)/AQ95))</f>
        <v>#DIV/0!</v>
      </c>
      <c r="AR96" s="2638"/>
      <c r="AS96" s="2637" t="e">
        <f>AQ96</f>
        <v>#DIV/0!</v>
      </c>
      <c r="AT96" s="2638"/>
      <c r="AU96" s="2637" t="e">
        <f>IF(OR('Data Entry - SOF'!M143=0,AU95=0),0,IF('Data Entry - SOF'!M143&gt;AU95,(AU95*'Data Entry - SOF'!M142)/AU95,('Data Entry - SOF'!M143*'Data Entry - SOF'!M142)/AU95))</f>
        <v>#DIV/0!</v>
      </c>
      <c r="AV96" s="2638"/>
      <c r="AW96" s="2825" t="e">
        <f>AU96</f>
        <v>#DIV/0!</v>
      </c>
      <c r="AY96" s="3902" t="e">
        <f>IF(OR('Data Entry - SOF'!O95=0,AY95=0),0,IF('Data Entry - SOF'!O95&gt;AY95,(AY95*'Data Entry - SOF'!O94)/AY95,('Data Entry - SOF'!O95*'Data Entry - SOF'!O94)/AY95))</f>
        <v>#DIV/0!</v>
      </c>
      <c r="AZ96" s="3903"/>
      <c r="BA96" s="3902" t="e">
        <f>AY96</f>
        <v>#DIV/0!</v>
      </c>
      <c r="BB96" s="3903"/>
      <c r="BC96" s="3902" t="e">
        <f>IF(OR('Data Entry - SOF'!O143=0,BC95=0),0,IF('Data Entry - SOF'!O143&gt;BC95,(BC95*'Data Entry - SOF'!O142)/BC95,('Data Entry - SOF'!O143*'Data Entry - SOF'!O142)/BC95))</f>
        <v>#DIV/0!</v>
      </c>
      <c r="BD96" s="3903"/>
      <c r="BE96" s="3904" t="e">
        <f>BC96</f>
        <v>#DIV/0!</v>
      </c>
    </row>
    <row r="97" spans="1:57">
      <c r="A97" s="97"/>
      <c r="C97" s="2443">
        <v>0</v>
      </c>
      <c r="D97" s="1949"/>
      <c r="E97" s="2443">
        <v>0</v>
      </c>
      <c r="F97" s="1949"/>
      <c r="G97" s="2443">
        <v>0</v>
      </c>
      <c r="H97" s="1949"/>
      <c r="I97" s="2760">
        <v>0</v>
      </c>
      <c r="K97" s="4116">
        <v>0</v>
      </c>
      <c r="L97" s="4117"/>
      <c r="M97" s="4116">
        <v>0</v>
      </c>
      <c r="N97" s="4117"/>
      <c r="O97" s="4116">
        <v>0</v>
      </c>
      <c r="P97" s="4117"/>
      <c r="Q97" s="4241">
        <v>0</v>
      </c>
      <c r="S97" s="219">
        <v>0</v>
      </c>
      <c r="T97" s="1991"/>
      <c r="U97" s="219">
        <v>0</v>
      </c>
      <c r="V97" s="1991"/>
      <c r="W97" s="219">
        <v>0</v>
      </c>
      <c r="X97" s="1991"/>
      <c r="Y97" s="2743">
        <v>0</v>
      </c>
      <c r="AA97" s="219">
        <v>0</v>
      </c>
      <c r="AB97" s="2003"/>
      <c r="AC97" s="219">
        <v>0</v>
      </c>
      <c r="AD97" s="2003"/>
      <c r="AE97" s="219">
        <v>0</v>
      </c>
      <c r="AF97" s="2003"/>
      <c r="AG97" s="2743">
        <v>0</v>
      </c>
      <c r="AI97" s="219">
        <v>0</v>
      </c>
      <c r="AJ97" s="1898"/>
      <c r="AK97" s="219">
        <v>0</v>
      </c>
      <c r="AL97" s="1898"/>
      <c r="AM97" s="219">
        <v>0</v>
      </c>
      <c r="AN97" s="1898"/>
      <c r="AO97" s="2743">
        <v>0</v>
      </c>
      <c r="AQ97" s="2647">
        <v>0</v>
      </c>
      <c r="AR97" s="2638"/>
      <c r="AS97" s="2647">
        <v>0</v>
      </c>
      <c r="AT97" s="2638"/>
      <c r="AU97" s="2647">
        <v>0</v>
      </c>
      <c r="AV97" s="2638"/>
      <c r="AW97" s="2830">
        <v>0</v>
      </c>
      <c r="AY97" s="3884">
        <v>0</v>
      </c>
      <c r="AZ97" s="3903"/>
      <c r="BA97" s="3884">
        <v>0</v>
      </c>
      <c r="BB97" s="3903"/>
      <c r="BC97" s="3884">
        <v>0</v>
      </c>
      <c r="BD97" s="3903"/>
      <c r="BE97" s="3885">
        <v>0</v>
      </c>
    </row>
    <row r="98" spans="1:57">
      <c r="A98" s="97"/>
      <c r="C98" s="1841" t="e">
        <f>IF(C94-C96-C97&lt;0,0,C94-C96-C97)</f>
        <v>#DIV/0!</v>
      </c>
      <c r="D98" s="1949"/>
      <c r="E98" s="1841" t="e">
        <f>IF(E94-E96-E97&lt;0,0,E94-E96-E97)</f>
        <v>#DIV/0!</v>
      </c>
      <c r="F98" s="1949"/>
      <c r="G98" s="1841" t="e">
        <f>IF(G94-G96-G97&lt;0,0,G94-G96-G97)</f>
        <v>#DIV/0!</v>
      </c>
      <c r="H98" s="1949"/>
      <c r="I98" s="2758" t="e">
        <f>IF(I94-I96-I97&lt;0,0,I94-I96-I97)</f>
        <v>#DIV/0!</v>
      </c>
      <c r="K98" s="4116" t="e">
        <f>IF(K94-K96-K97&lt;0,0,K94-K96-K97)</f>
        <v>#DIV/0!</v>
      </c>
      <c r="L98" s="4117"/>
      <c r="M98" s="4116" t="e">
        <f>IF(M94-M96-M97&lt;0,0,M94-M96-M97)</f>
        <v>#DIV/0!</v>
      </c>
      <c r="N98" s="4117"/>
      <c r="O98" s="4116" t="e">
        <f>IF(O94-O96-O97&lt;0,0,O94-O96-O97)</f>
        <v>#DIV/0!</v>
      </c>
      <c r="P98" s="4117"/>
      <c r="Q98" s="4241" t="e">
        <f>IF(Q94-Q96-Q97&lt;0,0,Q94-Q96-Q97)</f>
        <v>#DIV/0!</v>
      </c>
      <c r="S98" s="1990" t="e">
        <f>IF(S94-S96-S97&lt;0,0,S94-S96-S97)</f>
        <v>#DIV/0!</v>
      </c>
      <c r="T98" s="1991"/>
      <c r="U98" s="1990" t="e">
        <f>IF(U94-U96-U97&lt;0,0,U94-U96-U97)</f>
        <v>#DIV/0!</v>
      </c>
      <c r="V98" s="1991"/>
      <c r="W98" s="1990" t="e">
        <f>IF(W94-W96-W97&lt;0,0,W94-W96-W97)</f>
        <v>#DIV/0!</v>
      </c>
      <c r="X98" s="1991"/>
      <c r="Y98" s="2785" t="e">
        <f>IF(Y94-Y96-Y97&lt;0,0,Y94-Y96-Y97)</f>
        <v>#DIV/0!</v>
      </c>
      <c r="AA98" s="2002" t="e">
        <f>IF(AA94-AA96-AA97&lt;0,0,AA94-AA96-AA97)</f>
        <v>#DIV/0!</v>
      </c>
      <c r="AB98" s="2003"/>
      <c r="AC98" s="2002" t="e">
        <f>IF(AC94-AC96-AC97&lt;0,0,AC94-AC96-AC97)</f>
        <v>#DIV/0!</v>
      </c>
      <c r="AD98" s="2003"/>
      <c r="AE98" s="2002" t="e">
        <f>IF(AE94-AE96-AE97&lt;0,0,AE94-AE96-AE97)</f>
        <v>#DIV/0!</v>
      </c>
      <c r="AF98" s="2003"/>
      <c r="AG98" s="2806" t="e">
        <f>IF(AG94-AG96-AG97&lt;0,0,AG94-AG96-AG97)</f>
        <v>#DIV/0!</v>
      </c>
      <c r="AI98" s="1892" t="e">
        <f>IF(AI94-AI96-AI97&lt;0,0,AI94-AI96-AI97)</f>
        <v>#DIV/0!</v>
      </c>
      <c r="AJ98" s="1898"/>
      <c r="AK98" s="1892" t="e">
        <f>IF(AK94-AK96-AK97&lt;0,0,AK94-AK96-AK97)</f>
        <v>#DIV/0!</v>
      </c>
      <c r="AL98" s="1898"/>
      <c r="AM98" s="1892" t="e">
        <f>IF(AM94-AM96-AM97&lt;0,0,AM94-AM96-AM97)</f>
        <v>#DIV/0!</v>
      </c>
      <c r="AN98" s="1898"/>
      <c r="AO98" s="2751" t="e">
        <f>IF(AO94-AO96-AO97&lt;0,0,AO94-AO96-AO97)</f>
        <v>#DIV/0!</v>
      </c>
      <c r="AQ98" s="2637" t="e">
        <f>IF(AQ94-AQ96-AQ97&lt;0,0,AQ94-AQ96-AQ97)</f>
        <v>#DIV/0!</v>
      </c>
      <c r="AR98" s="2638"/>
      <c r="AS98" s="2637" t="e">
        <f>IF(AS94-AS96-AS97&lt;0,0,AS94-AS96-AS97)</f>
        <v>#DIV/0!</v>
      </c>
      <c r="AT98" s="2638"/>
      <c r="AU98" s="2637" t="e">
        <f>IF(AU94-AU96-AU97&lt;0,0,AU94-AU96-AU97)</f>
        <v>#DIV/0!</v>
      </c>
      <c r="AV98" s="2638"/>
      <c r="AW98" s="2825" t="e">
        <f>IF(AW94-AW96-AW97&lt;0,0,AW94-AW96-AW97)</f>
        <v>#DIV/0!</v>
      </c>
      <c r="AY98" s="3902" t="e">
        <f>IF(AY94-AY96-AY97&lt;0,0,AY94-AY96-AY97)</f>
        <v>#DIV/0!</v>
      </c>
      <c r="AZ98" s="3903"/>
      <c r="BA98" s="3902" t="e">
        <f>IF(BA94-BA96-BA97&lt;0,0,BA94-BA96-BA97)</f>
        <v>#DIV/0!</v>
      </c>
      <c r="BB98" s="3903"/>
      <c r="BC98" s="3902" t="e">
        <f>IF(BC94-BC96-BC97&lt;0,0,BC94-BC96-BC97)</f>
        <v>#DIV/0!</v>
      </c>
      <c r="BD98" s="3903"/>
      <c r="BE98" s="3904" t="e">
        <f>IF(BE94-BE96-BE97&lt;0,0,BE94-BE96-BE97)</f>
        <v>#DIV/0!</v>
      </c>
    </row>
    <row r="99" spans="1:57">
      <c r="A99" s="97"/>
      <c r="C99" s="1842" t="e">
        <f>IF(C98=0,0,C98*C95)</f>
        <v>#DIV/0!</v>
      </c>
      <c r="D99" s="1874"/>
      <c r="E99" s="1842" t="e">
        <f>IF(E98=0,0,E98*E95)</f>
        <v>#DIV/0!</v>
      </c>
      <c r="F99" s="1874"/>
      <c r="G99" s="1842" t="e">
        <f>IF(G98=0,0,G98*G95)</f>
        <v>#DIV/0!</v>
      </c>
      <c r="H99" s="1874"/>
      <c r="I99" s="2756" t="e">
        <f>IF(I98=0,0,I98*I95)</f>
        <v>#DIV/0!</v>
      </c>
      <c r="K99" s="4114" t="e">
        <f>IF(K98=0,0,K98*K95)</f>
        <v>#DIV/0!</v>
      </c>
      <c r="L99" s="4115"/>
      <c r="M99" s="4114" t="e">
        <f>IF(M98=0,0,M98*M95)</f>
        <v>#DIV/0!</v>
      </c>
      <c r="N99" s="4115"/>
      <c r="O99" s="4114" t="e">
        <f>IF(O98=0,0,O98*O95)</f>
        <v>#DIV/0!</v>
      </c>
      <c r="P99" s="4115"/>
      <c r="Q99" s="4059" t="e">
        <f>IF(Q98=0,0,Q98*Q95)</f>
        <v>#DIV/0!</v>
      </c>
      <c r="S99" s="1987" t="e">
        <f>IF(S98=0,0,S98*S95)</f>
        <v>#DIV/0!</v>
      </c>
      <c r="T99" s="1986"/>
      <c r="U99" s="1987" t="e">
        <f>IF(U98=0,0,U98*U95)</f>
        <v>#DIV/0!</v>
      </c>
      <c r="V99" s="1986"/>
      <c r="W99" s="1987" t="e">
        <f>IF(W98=0,0,W98*W95)</f>
        <v>#DIV/0!</v>
      </c>
      <c r="X99" s="1986"/>
      <c r="Y99" s="2783" t="e">
        <f>IF(Y98=0,0,Y98*Y95)</f>
        <v>#DIV/0!</v>
      </c>
      <c r="AA99" s="1999" t="e">
        <f>IF(AA98=0,0,AA98*AA95)</f>
        <v>#DIV/0!</v>
      </c>
      <c r="AB99" s="1998"/>
      <c r="AC99" s="1999" t="e">
        <f>IF(AC98=0,0,AC98*AC95)</f>
        <v>#DIV/0!</v>
      </c>
      <c r="AD99" s="1998"/>
      <c r="AE99" s="1999" t="e">
        <f>IF(AE98=0,0,AE98*AE95)</f>
        <v>#DIV/0!</v>
      </c>
      <c r="AF99" s="1998"/>
      <c r="AG99" s="2804" t="e">
        <f>IF(AG98=0,0,AG98*AG95)</f>
        <v>#DIV/0!</v>
      </c>
      <c r="AI99" s="1889" t="e">
        <f>IF(AI98=0,0,AI98*AI95)</f>
        <v>#DIV/0!</v>
      </c>
      <c r="AJ99" s="1891"/>
      <c r="AK99" s="1889" t="e">
        <f>IF(AK98=0,0,AK98*AK95)</f>
        <v>#DIV/0!</v>
      </c>
      <c r="AL99" s="1891"/>
      <c r="AM99" s="1889" t="e">
        <f>IF(AM98=0,0,AM98*AM95)</f>
        <v>#DIV/0!</v>
      </c>
      <c r="AN99" s="1891"/>
      <c r="AO99" s="2750" t="e">
        <f>IF(AO98=0,0,AO98*AO95)</f>
        <v>#DIV/0!</v>
      </c>
      <c r="AQ99" s="2643" t="e">
        <f>IF(AQ98=0,0,AQ98*AQ95)</f>
        <v>#DIV/0!</v>
      </c>
      <c r="AR99" s="2644"/>
      <c r="AS99" s="2643" t="e">
        <f>IF(AS98=0,0,AS98*AS95)</f>
        <v>#DIV/0!</v>
      </c>
      <c r="AT99" s="2644"/>
      <c r="AU99" s="2643" t="e">
        <f>IF(AU98=0,0,AU98*AU95)</f>
        <v>#DIV/0!</v>
      </c>
      <c r="AV99" s="2644"/>
      <c r="AW99" s="2828" t="e">
        <f>IF(AW98=0,0,AW98*AW95)</f>
        <v>#DIV/0!</v>
      </c>
      <c r="AY99" s="3897" t="e">
        <f>IF(AY98=0,0,AY98*AY95)</f>
        <v>#DIV/0!</v>
      </c>
      <c r="AZ99" s="3895"/>
      <c r="BA99" s="3897" t="e">
        <f>IF(BA98=0,0,BA98*BA95)</f>
        <v>#DIV/0!</v>
      </c>
      <c r="BB99" s="3895"/>
      <c r="BC99" s="3897" t="e">
        <f>IF(BC98=0,0,BC98*BC95)</f>
        <v>#DIV/0!</v>
      </c>
      <c r="BD99" s="3895"/>
      <c r="BE99" s="3898" t="e">
        <f>IF(BE98=0,0,BE98*BE95)</f>
        <v>#DIV/0!</v>
      </c>
    </row>
    <row r="100" spans="1:57">
      <c r="A100" s="97"/>
      <c r="C100" s="1939"/>
      <c r="D100" s="1939"/>
      <c r="E100" s="1939"/>
      <c r="F100" s="1939"/>
      <c r="G100" s="1939"/>
      <c r="H100" s="1939"/>
      <c r="I100" s="2761"/>
      <c r="K100" s="4115"/>
      <c r="L100" s="4115"/>
      <c r="M100" s="4115"/>
      <c r="N100" s="4115"/>
      <c r="O100" s="4115"/>
      <c r="P100" s="4115"/>
      <c r="Q100" s="4246"/>
      <c r="S100" s="1994"/>
      <c r="T100" s="1994"/>
      <c r="U100" s="1994"/>
      <c r="V100" s="1994"/>
      <c r="W100" s="1994"/>
      <c r="X100" s="1994"/>
      <c r="Y100" s="2787"/>
      <c r="AA100" s="2006"/>
      <c r="AB100" s="2006"/>
      <c r="AC100" s="2006"/>
      <c r="AD100" s="2006"/>
      <c r="AE100" s="2006"/>
      <c r="AF100" s="2006"/>
      <c r="AG100" s="2808"/>
      <c r="AI100" s="1886"/>
      <c r="AJ100" s="1886"/>
      <c r="AK100" s="1886"/>
      <c r="AL100" s="1886"/>
      <c r="AM100" s="1886"/>
      <c r="AN100" s="1886"/>
      <c r="AO100" s="2747"/>
      <c r="AW100" s="2820"/>
      <c r="BE100" s="3909"/>
    </row>
    <row r="101" spans="1:57">
      <c r="A101" s="97"/>
      <c r="C101" s="1939"/>
      <c r="D101" s="1939"/>
      <c r="E101" s="1939"/>
      <c r="F101" s="1939"/>
      <c r="G101" s="1939"/>
      <c r="H101" s="1939"/>
      <c r="I101" s="2761"/>
      <c r="K101" s="4115"/>
      <c r="L101" s="4115"/>
      <c r="M101" s="4115"/>
      <c r="N101" s="4115"/>
      <c r="O101" s="4115"/>
      <c r="P101" s="4115"/>
      <c r="Q101" s="4246"/>
      <c r="S101" s="1994"/>
      <c r="T101" s="1994"/>
      <c r="U101" s="1994"/>
      <c r="V101" s="1994"/>
      <c r="W101" s="1994"/>
      <c r="X101" s="1994"/>
      <c r="Y101" s="2787"/>
      <c r="AA101" s="2006"/>
      <c r="AB101" s="2006"/>
      <c r="AC101" s="2006"/>
      <c r="AD101" s="2006"/>
      <c r="AE101" s="2006"/>
      <c r="AF101" s="2006"/>
      <c r="AG101" s="2808"/>
      <c r="AI101" s="1886"/>
      <c r="AJ101" s="1886"/>
      <c r="AK101" s="1886"/>
      <c r="AL101" s="1886"/>
      <c r="AM101" s="1886"/>
      <c r="AN101" s="1886"/>
      <c r="AO101" s="2747"/>
      <c r="AW101" s="2820"/>
      <c r="BE101" s="3909"/>
    </row>
    <row r="102" spans="1:57">
      <c r="A102" s="97"/>
      <c r="C102" s="1944" t="e">
        <f>IF(C141&gt;C142,C142,C141)</f>
        <v>#DIV/0!</v>
      </c>
      <c r="D102" s="1874"/>
      <c r="E102" s="1944">
        <v>0</v>
      </c>
      <c r="F102" s="1874"/>
      <c r="G102" s="1944" t="e">
        <f>IF(G141&gt;G142,G142,G141)</f>
        <v>#DIV/0!</v>
      </c>
      <c r="H102" s="1874"/>
      <c r="I102" s="2762">
        <v>0</v>
      </c>
      <c r="K102" s="4114" t="e">
        <f>IF(K141&gt;K142,K142,K141)</f>
        <v>#DIV/0!</v>
      </c>
      <c r="L102" s="4115"/>
      <c r="M102" s="4114">
        <v>0</v>
      </c>
      <c r="N102" s="4115"/>
      <c r="O102" s="4114" t="e">
        <f>IF(O141&gt;O142,O142,O141)</f>
        <v>#DIV/0!</v>
      </c>
      <c r="P102" s="4115"/>
      <c r="Q102" s="4059">
        <v>0</v>
      </c>
      <c r="S102" s="1995" t="e">
        <f>IF(S141&gt;S142,S142,S141)</f>
        <v>#DIV/0!</v>
      </c>
      <c r="T102" s="1986"/>
      <c r="U102" s="1995">
        <v>0</v>
      </c>
      <c r="V102" s="1986"/>
      <c r="W102" s="1995" t="e">
        <f>IF(W141&gt;W142,W142,W141)</f>
        <v>#DIV/0!</v>
      </c>
      <c r="X102" s="1986"/>
      <c r="Y102" s="2788">
        <v>0</v>
      </c>
      <c r="AA102" s="2007" t="e">
        <f>IF(AA141&gt;AA142,AA142,AA141)</f>
        <v>#DIV/0!</v>
      </c>
      <c r="AB102" s="1998"/>
      <c r="AC102" s="2007">
        <v>0</v>
      </c>
      <c r="AD102" s="1998"/>
      <c r="AE102" s="2007" t="e">
        <f>IF(AE141&gt;AE142,AE142,AE141)</f>
        <v>#DIV/0!</v>
      </c>
      <c r="AF102" s="1998"/>
      <c r="AG102" s="2809">
        <v>0</v>
      </c>
      <c r="AI102" s="1894" t="e">
        <f>IF(AI141&gt;AI142,AI142,AI141)</f>
        <v>#DIV/0!</v>
      </c>
      <c r="AJ102" s="1891"/>
      <c r="AK102" s="1894">
        <v>0</v>
      </c>
      <c r="AL102" s="1891"/>
      <c r="AM102" s="1894" t="e">
        <f>IF(AM141&gt;AM142,AM142,AM141)</f>
        <v>#DIV/0!</v>
      </c>
      <c r="AN102" s="1891"/>
      <c r="AO102" s="2753">
        <v>0</v>
      </c>
      <c r="AQ102" s="2648" t="e">
        <f>IF(AQ141&gt;AQ142,AQ142,AQ141)</f>
        <v>#DIV/0!</v>
      </c>
      <c r="AR102" s="2644"/>
      <c r="AS102" s="2648">
        <v>0</v>
      </c>
      <c r="AT102" s="2644"/>
      <c r="AU102" s="2648" t="e">
        <f>IF(AU141&gt;AU142,AU142,AU141)</f>
        <v>#DIV/0!</v>
      </c>
      <c r="AV102" s="2644"/>
      <c r="AW102" s="2831">
        <v>0</v>
      </c>
      <c r="AY102" s="3910" t="e">
        <f>IF(AY141&gt;AY142,AY142,AY141)</f>
        <v>#DIV/0!</v>
      </c>
      <c r="AZ102" s="3895"/>
      <c r="BA102" s="3910">
        <v>0</v>
      </c>
      <c r="BB102" s="3895"/>
      <c r="BC102" s="3910" t="e">
        <f>IF(BC141&gt;BC142,BC142,BC141)</f>
        <v>#DIV/0!</v>
      </c>
      <c r="BD102" s="3895"/>
      <c r="BE102" s="3911">
        <v>0</v>
      </c>
    </row>
    <row r="103" spans="1:57">
      <c r="A103" s="97"/>
      <c r="C103" s="1944" t="e">
        <f>'Data Entry - SOF'!C91*(C99/'Data Entry - SOF'!C59)</f>
        <v>#DIV/0!</v>
      </c>
      <c r="D103" s="1874"/>
      <c r="E103" s="1944">
        <f>IF('Data Entry - SOF'!C92&gt;E144,E144,'Data Entry - SOF'!C92)</f>
        <v>0</v>
      </c>
      <c r="F103" s="1874"/>
      <c r="G103" s="1944" t="e">
        <f>'Data Entry - SOF'!C91*(G99/'Data Entry - SOF'!C59)</f>
        <v>#DIV/0!</v>
      </c>
      <c r="H103" s="1874"/>
      <c r="I103" s="2762">
        <f>IF('Data Entry - SOF'!C92&gt;I144,I144,'Data Entry - SOF'!C92)</f>
        <v>0</v>
      </c>
      <c r="K103" s="4114" t="e">
        <f>'Data Entry - SOF'!E91*(K99/'Data Entry - SOF'!E59)</f>
        <v>#DIV/0!</v>
      </c>
      <c r="L103" s="4115"/>
      <c r="M103" s="4114">
        <f>IF('Data Entry - SOF'!E92&gt;M144,M144,'Data Entry - SOF'!E92)</f>
        <v>0</v>
      </c>
      <c r="N103" s="4115"/>
      <c r="O103" s="4114" t="e">
        <f>'Data Entry - SOF'!E91*(O99/'Data Entry - SOF'!E59)</f>
        <v>#DIV/0!</v>
      </c>
      <c r="P103" s="4115"/>
      <c r="Q103" s="4059">
        <f>IF('Data Entry - SOF'!E94&gt;Q144,Q144,'Data Entry - SOF'!E94)</f>
        <v>0</v>
      </c>
      <c r="S103" s="1995" t="e">
        <f>'Data Entry - SOF'!G91*(S99/'Data Entry - SOF'!G59)</f>
        <v>#DIV/0!</v>
      </c>
      <c r="T103" s="1986"/>
      <c r="U103" s="1995">
        <f>IF('Data Entry - SOF'!G92&gt;U144,U144,'Data Entry - SOF'!G92)</f>
        <v>0</v>
      </c>
      <c r="V103" s="1986"/>
      <c r="W103" s="1995" t="e">
        <f>'Data Entry - SOF'!G91*(W99/'Data Entry - SOF'!G59)</f>
        <v>#DIV/0!</v>
      </c>
      <c r="X103" s="1986"/>
      <c r="Y103" s="2788">
        <f>IF('Data Entry - SOF'!G94&gt;Y144,Y144,'Data Entry - SOF'!G94)</f>
        <v>0</v>
      </c>
      <c r="AA103" s="2007" t="e">
        <f>'Data Entry - SOF'!I91*(AA99/'Data Entry - SOF'!I59)</f>
        <v>#DIV/0!</v>
      </c>
      <c r="AB103" s="1998"/>
      <c r="AC103" s="2007">
        <f>IF('Data Entry - SOF'!I92&gt;AC144,AC144,'Data Entry - SOF'!I92)</f>
        <v>0</v>
      </c>
      <c r="AD103" s="1998"/>
      <c r="AE103" s="2007" t="e">
        <f>'Data Entry - SOF'!I91*(AE99/'Data Entry - SOF'!I59)</f>
        <v>#DIV/0!</v>
      </c>
      <c r="AF103" s="1998"/>
      <c r="AG103" s="2809">
        <f>IF('Data Entry - SOF'!I94&gt;AG144,AG144,'Data Entry - SOF'!I94)</f>
        <v>0</v>
      </c>
      <c r="AI103" s="1894" t="e">
        <f>'Data Entry - SOF'!K91*(AI99/'Data Entry - SOF'!K59)</f>
        <v>#DIV/0!</v>
      </c>
      <c r="AJ103" s="1891"/>
      <c r="AK103" s="1894">
        <f>IF('Data Entry - SOF'!K92&gt;AK144,AK144,'Data Entry - SOF'!K92)</f>
        <v>0</v>
      </c>
      <c r="AL103" s="1891"/>
      <c r="AM103" s="1894" t="e">
        <f>'Data Entry - SOF'!K91*(AM99/'Data Entry - SOF'!K59)</f>
        <v>#DIV/0!</v>
      </c>
      <c r="AN103" s="1891"/>
      <c r="AO103" s="2753">
        <f>IF('Data Entry - SOF'!K94&gt;AO144,AO144,'Data Entry - SOF'!K94)</f>
        <v>0</v>
      </c>
      <c r="AQ103" s="2654" t="e">
        <f>'Data Entry - SOF'!M91*(AQ99/'Data Entry - SOF'!M59)</f>
        <v>#DIV/0!</v>
      </c>
      <c r="AR103" s="2644"/>
      <c r="AS103" s="2648">
        <f>IF('Data Entry - SOF'!M92&gt;AS144,AS144,'Data Entry - SOF'!M92)</f>
        <v>0</v>
      </c>
      <c r="AT103" s="2644"/>
      <c r="AU103" s="2648" t="e">
        <f>'Data Entry - SOF'!M91*(AU93/'Data Entry - SOF'!M59)</f>
        <v>#DIV/0!</v>
      </c>
      <c r="AV103" s="2644"/>
      <c r="AW103" s="2831">
        <f>IF('Data Entry - SOF'!M92&gt;AW144,AW144,'Data Entry - SOF'!M92)</f>
        <v>0</v>
      </c>
      <c r="AY103" s="3910" t="e">
        <f>'Data Entry - SOF'!O91*(AY99/'Data Entry - SOF'!O59)</f>
        <v>#DIV/0!</v>
      </c>
      <c r="AZ103" s="3895"/>
      <c r="BA103" s="3910">
        <f>IF('Data Entry - SOF'!O92&gt;BA144,BA144,'Data Entry - SOF'!O92)</f>
        <v>0</v>
      </c>
      <c r="BB103" s="3895"/>
      <c r="BC103" s="3910" t="e">
        <f>'Data Entry - SOF'!O91*(BC99/'Data Entry - SOF'!O59)</f>
        <v>#DIV/0!</v>
      </c>
      <c r="BD103" s="3895"/>
      <c r="BE103" s="3911">
        <f>IF('Data Entry - SOF'!O92&gt;BE144,BE144,'Data Entry - SOF'!O92)</f>
        <v>0</v>
      </c>
    </row>
    <row r="104" spans="1:57">
      <c r="C104" s="1945"/>
      <c r="D104" s="1945"/>
      <c r="E104" s="1945"/>
      <c r="F104" s="1945"/>
      <c r="G104" s="1945"/>
      <c r="H104" s="1945"/>
      <c r="I104" s="2763"/>
      <c r="K104" s="4115"/>
      <c r="L104" s="4115"/>
      <c r="M104" s="4115"/>
      <c r="N104" s="4115"/>
      <c r="O104" s="4115"/>
      <c r="P104" s="4115"/>
      <c r="Q104" s="4246"/>
      <c r="S104" s="1996"/>
      <c r="T104" s="1996"/>
      <c r="U104" s="1996"/>
      <c r="V104" s="1996"/>
      <c r="W104" s="1996"/>
      <c r="X104" s="1996"/>
      <c r="Y104" s="2782"/>
      <c r="AA104" s="2008"/>
      <c r="AB104" s="2008"/>
      <c r="AC104" s="2008"/>
      <c r="AD104" s="2008"/>
      <c r="AE104" s="2008"/>
      <c r="AF104" s="2008"/>
      <c r="AG104" s="2803"/>
      <c r="AI104" s="1895"/>
      <c r="AJ104" s="1895"/>
      <c r="AK104" s="1895"/>
      <c r="AL104" s="1895"/>
      <c r="AM104" s="1895"/>
      <c r="AN104" s="1895"/>
      <c r="AO104" s="2754"/>
      <c r="AQ104" s="2649"/>
      <c r="AR104" s="2649"/>
      <c r="AS104" s="2649"/>
      <c r="AT104" s="2649"/>
      <c r="AU104" s="2649"/>
      <c r="AV104" s="2649"/>
      <c r="AW104" s="2832"/>
      <c r="AY104" s="3912"/>
      <c r="AZ104" s="3912"/>
      <c r="BA104" s="3912"/>
      <c r="BB104" s="3912"/>
      <c r="BC104" s="3912"/>
      <c r="BD104" s="3912"/>
      <c r="BE104" s="3896"/>
    </row>
    <row r="105" spans="1:57" ht="13.5" thickBot="1">
      <c r="C105" s="1946" t="e">
        <f>IF(C99-C102-C103&lt;0,0,C99-C102-C103)</f>
        <v>#DIV/0!</v>
      </c>
      <c r="D105" s="1874"/>
      <c r="E105" s="1946" t="e">
        <f>IF(E99-E102-E103&lt;0,0,E99-E102-E103)</f>
        <v>#DIV/0!</v>
      </c>
      <c r="F105" s="1874"/>
      <c r="G105" s="1946" t="e">
        <f>IF(G99-G102-G103&lt;0,0,G99-G102-G103)</f>
        <v>#DIV/0!</v>
      </c>
      <c r="H105" s="1874"/>
      <c r="I105" s="2764" t="e">
        <f>IF(I99-I102-I103&lt;0,0,I99-I102-I103)</f>
        <v>#DIV/0!</v>
      </c>
      <c r="K105" s="4123" t="e">
        <f>IF(K99-K102-K103&lt;0,0,K99-K102-K103)</f>
        <v>#DIV/0!</v>
      </c>
      <c r="L105" s="4115"/>
      <c r="M105" s="4123" t="e">
        <f>IF(M99-M102-M103&lt;0,0,M99-M102-M103)</f>
        <v>#DIV/0!</v>
      </c>
      <c r="N105" s="4115"/>
      <c r="O105" s="4123" t="e">
        <f>IF(O99-O102-O103&lt;0,0,O99-O102-O103)</f>
        <v>#DIV/0!</v>
      </c>
      <c r="P105" s="4115"/>
      <c r="Q105" s="4247" t="e">
        <f>IF(Q99-Q102-Q103&lt;0,0,Q99-Q102-Q103)</f>
        <v>#DIV/0!</v>
      </c>
      <c r="S105" s="1997" t="e">
        <f>IF(S99-S102-S103&lt;0,0,S99-S102-S103)</f>
        <v>#DIV/0!</v>
      </c>
      <c r="T105" s="1986"/>
      <c r="U105" s="1997" t="e">
        <f>IF(U99-U102-U103&lt;0,0,U99-U102-U103)</f>
        <v>#DIV/0!</v>
      </c>
      <c r="V105" s="1986"/>
      <c r="W105" s="1997" t="e">
        <f>IF(W99-W102-W103&lt;0,0,W99-W102-W103)</f>
        <v>#DIV/0!</v>
      </c>
      <c r="X105" s="1986"/>
      <c r="Y105" s="2789" t="e">
        <f>IF(Y99-Y102-Y103&lt;0,0,Y99-Y102-Y103)</f>
        <v>#DIV/0!</v>
      </c>
      <c r="AA105" s="2009" t="e">
        <f>IF(AA99-AA102-AA103&lt;0,0,AA99-AA102-AA103)</f>
        <v>#DIV/0!</v>
      </c>
      <c r="AB105" s="1998"/>
      <c r="AC105" s="2009" t="e">
        <f>IF(AC99-AC102-AC103&lt;0,0,AC99-AC102-AC103)</f>
        <v>#DIV/0!</v>
      </c>
      <c r="AD105" s="1998"/>
      <c r="AE105" s="2009" t="e">
        <f>IF(AE99-AE102-AE103&lt;0,0,AE99-AE102-AE103)</f>
        <v>#DIV/0!</v>
      </c>
      <c r="AF105" s="1998"/>
      <c r="AG105" s="2810" t="e">
        <f>IF(AG99-AG102-AG103&lt;0,0,AG99-AG102-AG103)</f>
        <v>#DIV/0!</v>
      </c>
      <c r="AI105" s="1896" t="e">
        <f>IF(AI99-AI102-AI103&lt;0,0,AI99-AI102-AI103)</f>
        <v>#DIV/0!</v>
      </c>
      <c r="AJ105" s="1891"/>
      <c r="AK105" s="1896" t="e">
        <f>IF(AK99-AK102-AK103&lt;0,0,AK99-AK102-AK103)</f>
        <v>#DIV/0!</v>
      </c>
      <c r="AL105" s="1891"/>
      <c r="AM105" s="1896" t="e">
        <f>IF(AM99-AM102-AM103&lt;0,0,AM99-AM102-AM103)</f>
        <v>#DIV/0!</v>
      </c>
      <c r="AN105" s="1891"/>
      <c r="AO105" s="2755" t="e">
        <f>IF(AO99-AO102-AO103&lt;0,0,AO99-AO102-AO103)</f>
        <v>#DIV/0!</v>
      </c>
      <c r="AQ105" s="2650" t="e">
        <f>IF(AQ99-AQ102-AQ103&lt;0,0,AQ99-AQ102-AQ103)</f>
        <v>#DIV/0!</v>
      </c>
      <c r="AR105" s="2644"/>
      <c r="AS105" s="2650" t="e">
        <f>IF(AS99-AS102-AS103&lt;0,0,AS99-AS102-AS103)</f>
        <v>#DIV/0!</v>
      </c>
      <c r="AT105" s="2644"/>
      <c r="AU105" s="2650" t="e">
        <f>IF(AU99-AU102-AU103&lt;0,0,AU99-AU102-AU103)</f>
        <v>#DIV/0!</v>
      </c>
      <c r="AV105" s="2644"/>
      <c r="AW105" s="2833" t="e">
        <f>IF(AW99-AW102-AW103&lt;0,0,AW99-AW102-AW103)</f>
        <v>#DIV/0!</v>
      </c>
      <c r="AY105" s="3913" t="e">
        <f>IF(AY99-AY102-AY103&lt;0,0,AY99-AY102-AY103)</f>
        <v>#DIV/0!</v>
      </c>
      <c r="AZ105" s="3895"/>
      <c r="BA105" s="3913" t="e">
        <f>IF(BA99-BA102-BA103&lt;0,0,BA99-BA102-BA103)</f>
        <v>#DIV/0!</v>
      </c>
      <c r="BB105" s="3895"/>
      <c r="BC105" s="3913" t="e">
        <f>IF(BC99-BC102-BC103&lt;0,0,BC99-BC102-BC103)</f>
        <v>#DIV/0!</v>
      </c>
      <c r="BD105" s="3895"/>
      <c r="BE105" s="3914" t="e">
        <f>IF(BE99-BE102-BE103&lt;0,0,BE99-BE102-BE103)</f>
        <v>#DIV/0!</v>
      </c>
    </row>
    <row r="106" spans="1:57" ht="13.5" thickTop="1">
      <c r="C106" s="1874"/>
      <c r="D106" s="1874"/>
      <c r="E106" s="1874" t="e">
        <f>C105+G105</f>
        <v>#DIV/0!</v>
      </c>
      <c r="F106" s="1874"/>
      <c r="G106" s="1874"/>
      <c r="H106" s="1874"/>
      <c r="I106" s="2763" t="e">
        <f>E105+I105</f>
        <v>#DIV/0!</v>
      </c>
      <c r="K106" s="4115"/>
      <c r="L106" s="4115"/>
      <c r="M106" s="4115" t="e">
        <f>K105+O105</f>
        <v>#DIV/0!</v>
      </c>
      <c r="N106" s="4115"/>
      <c r="O106" s="4115"/>
      <c r="P106" s="4115"/>
      <c r="Q106" s="4246" t="e">
        <f>M105+Q105</f>
        <v>#DIV/0!</v>
      </c>
      <c r="U106" s="1572" t="e">
        <f>S105+W105</f>
        <v>#DIV/0!</v>
      </c>
      <c r="Y106" s="2780" t="e">
        <f>U105+Y105</f>
        <v>#DIV/0!</v>
      </c>
      <c r="AC106" s="1651" t="e">
        <f>AA105+AE105</f>
        <v>#DIV/0!</v>
      </c>
      <c r="AG106" s="2801" t="e">
        <f>AC105+AG105</f>
        <v>#DIV/0!</v>
      </c>
      <c r="AK106" s="2126" t="e">
        <f>AI105+AM105</f>
        <v>#DIV/0!</v>
      </c>
      <c r="AO106" s="2818" t="e">
        <f>AK105+AO105</f>
        <v>#DIV/0!</v>
      </c>
      <c r="AQ106" s="2644"/>
      <c r="AR106" s="2644"/>
      <c r="AS106" s="2644" t="e">
        <f>AQ105+AU105</f>
        <v>#DIV/0!</v>
      </c>
      <c r="AT106" s="2644"/>
      <c r="AU106" s="2644"/>
      <c r="AV106" s="2644"/>
      <c r="AW106" s="2832" t="e">
        <f>AS105+AW105</f>
        <v>#DIV/0!</v>
      </c>
      <c r="AY106" s="3895"/>
      <c r="AZ106" s="3895"/>
      <c r="BA106" s="3895" t="e">
        <f>AY105+BC105</f>
        <v>#DIV/0!</v>
      </c>
      <c r="BB106" s="3895"/>
      <c r="BC106" s="3895"/>
      <c r="BD106" s="3895"/>
      <c r="BE106" s="3896" t="e">
        <f>BA105+BE105</f>
        <v>#DIV/0!</v>
      </c>
    </row>
    <row r="107" spans="1:57">
      <c r="C107" s="1874"/>
      <c r="D107" s="1874"/>
      <c r="E107" s="1874"/>
      <c r="F107" s="1874"/>
      <c r="G107" s="1874"/>
      <c r="H107" s="1874"/>
      <c r="I107" s="2763"/>
      <c r="K107" s="4113"/>
      <c r="L107" s="4113"/>
      <c r="M107" s="4113"/>
      <c r="N107" s="4113"/>
      <c r="O107" s="4113"/>
      <c r="P107" s="4113"/>
      <c r="Q107" s="4242"/>
      <c r="Y107" s="2769"/>
      <c r="AG107" s="2790"/>
      <c r="AO107" s="2664"/>
      <c r="AQ107" s="2644"/>
      <c r="AR107" s="2644"/>
      <c r="AS107" s="2644"/>
      <c r="AT107" s="2644"/>
      <c r="AU107" s="2644"/>
      <c r="AV107" s="2644"/>
      <c r="AW107" s="2832"/>
      <c r="AY107" s="3895"/>
      <c r="AZ107" s="3895"/>
      <c r="BA107" s="3895"/>
      <c r="BB107" s="3895"/>
      <c r="BC107" s="3895"/>
      <c r="BD107" s="3895"/>
      <c r="BE107" s="3896"/>
    </row>
    <row r="108" spans="1:57">
      <c r="C108" s="1874"/>
      <c r="D108" s="1874"/>
      <c r="E108" s="1874"/>
      <c r="F108" s="1874"/>
      <c r="G108" s="1874"/>
      <c r="H108" s="1874"/>
      <c r="I108" s="2763"/>
      <c r="K108" s="4113"/>
      <c r="L108" s="4113"/>
      <c r="M108" s="4113"/>
      <c r="N108" s="4113"/>
      <c r="O108" s="4113"/>
      <c r="P108" s="4113"/>
      <c r="Q108" s="4242"/>
      <c r="Y108" s="2769"/>
      <c r="AG108" s="2790"/>
      <c r="AO108" s="2664"/>
      <c r="AQ108" s="2644"/>
      <c r="AR108" s="2644"/>
      <c r="AS108" s="2644"/>
      <c r="AT108" s="2644"/>
      <c r="AU108" s="2644"/>
      <c r="AV108" s="2644"/>
      <c r="AW108" s="2832"/>
      <c r="AY108" s="3895"/>
      <c r="AZ108" s="3895"/>
      <c r="BA108" s="3895"/>
      <c r="BB108" s="3895"/>
      <c r="BC108" s="3895"/>
      <c r="BD108" s="3895"/>
      <c r="BE108" s="3896"/>
    </row>
    <row r="109" spans="1:57">
      <c r="C109" s="1842" t="e">
        <f>'Calc Data-15K'!AD91</f>
        <v>#DIV/0!</v>
      </c>
      <c r="D109" s="1874"/>
      <c r="E109" s="1842" t="e">
        <f>C109</f>
        <v>#DIV/0!</v>
      </c>
      <c r="F109" s="1874"/>
      <c r="G109" s="1842"/>
      <c r="H109" s="1874"/>
      <c r="I109" s="2756"/>
      <c r="K109" s="4113"/>
      <c r="L109" s="4113"/>
      <c r="M109" s="4113"/>
      <c r="N109" s="4113"/>
      <c r="O109" s="4113"/>
      <c r="P109" s="4113"/>
      <c r="Q109" s="4242"/>
      <c r="Y109" s="2769"/>
      <c r="AG109" s="2790"/>
      <c r="AO109" s="2664"/>
      <c r="AQ109" s="2644"/>
      <c r="AR109" s="2644"/>
      <c r="AS109" s="2644"/>
      <c r="AT109" s="2644"/>
      <c r="AU109" s="2644"/>
      <c r="AV109" s="2644"/>
      <c r="AW109" s="2832"/>
      <c r="AY109" s="3895"/>
      <c r="AZ109" s="3895"/>
      <c r="BA109" s="3895"/>
      <c r="BB109" s="3895"/>
      <c r="BC109" s="3895"/>
      <c r="BD109" s="3895"/>
      <c r="BE109" s="3896"/>
    </row>
    <row r="110" spans="1:57">
      <c r="C110" s="1842"/>
      <c r="D110" s="1874"/>
      <c r="E110" s="1842"/>
      <c r="F110" s="1874"/>
      <c r="G110" s="1842" t="e">
        <f>'Calc Data-15K'!AB86</f>
        <v>#DIV/0!</v>
      </c>
      <c r="H110" s="1874"/>
      <c r="I110" s="2756" t="e">
        <f>G110</f>
        <v>#DIV/0!</v>
      </c>
      <c r="K110" s="4113"/>
      <c r="L110" s="4113"/>
      <c r="M110" s="4113"/>
      <c r="N110" s="4113"/>
      <c r="O110" s="4113"/>
      <c r="P110" s="4113"/>
      <c r="Q110" s="4242"/>
      <c r="Y110" s="2769"/>
      <c r="AG110" s="2790"/>
      <c r="AO110" s="2664"/>
      <c r="AQ110" s="2644"/>
      <c r="AR110" s="2644"/>
      <c r="AS110" s="2644"/>
      <c r="AT110" s="2644"/>
      <c r="AU110" s="2644"/>
      <c r="AV110" s="2644"/>
      <c r="AW110" s="2832"/>
      <c r="AY110" s="3895"/>
      <c r="AZ110" s="3895"/>
      <c r="BA110" s="3895"/>
      <c r="BB110" s="3895"/>
      <c r="BC110" s="3895"/>
      <c r="BD110" s="3895"/>
      <c r="BE110" s="3896"/>
    </row>
    <row r="111" spans="1:57">
      <c r="C111" s="1842" t="e">
        <f>C109</f>
        <v>#DIV/0!</v>
      </c>
      <c r="D111" s="1874"/>
      <c r="E111" s="1842" t="e">
        <f>E109</f>
        <v>#DIV/0!</v>
      </c>
      <c r="F111" s="1874"/>
      <c r="G111" s="1842" t="e">
        <f>G110</f>
        <v>#DIV/0!</v>
      </c>
      <c r="H111" s="1874"/>
      <c r="I111" s="2756" t="e">
        <f>I110</f>
        <v>#DIV/0!</v>
      </c>
      <c r="K111" s="4113"/>
      <c r="L111" s="4113"/>
      <c r="M111" s="4113"/>
      <c r="N111" s="4113"/>
      <c r="O111" s="4113"/>
      <c r="P111" s="4113"/>
      <c r="Q111" s="4242"/>
      <c r="Y111" s="2769"/>
      <c r="AG111" s="2790"/>
      <c r="AO111" s="2664"/>
      <c r="AQ111" s="2644"/>
      <c r="AR111" s="2644"/>
      <c r="AS111" s="2644"/>
      <c r="AT111" s="2644"/>
      <c r="AU111" s="2644"/>
      <c r="AV111" s="2644"/>
      <c r="AW111" s="2832"/>
      <c r="AY111" s="3895"/>
      <c r="AZ111" s="3895"/>
      <c r="BA111" s="3895"/>
      <c r="BB111" s="3895"/>
      <c r="BC111" s="3895"/>
      <c r="BD111" s="3895"/>
      <c r="BE111" s="3896"/>
    </row>
    <row r="112" spans="1:57">
      <c r="C112" s="1940" t="e">
        <f>C35*C111</f>
        <v>#DIV/0!</v>
      </c>
      <c r="D112" s="1874"/>
      <c r="E112" s="1940" t="e">
        <f>E35*E111</f>
        <v>#DIV/0!</v>
      </c>
      <c r="F112" s="1874"/>
      <c r="G112" s="1940" t="e">
        <f>IF(G110&lt;1,0,G35*G111)</f>
        <v>#DIV/0!</v>
      </c>
      <c r="H112" s="1874"/>
      <c r="I112" s="2757" t="e">
        <f>IF(I110&lt;1,0,I35*I111)</f>
        <v>#DIV/0!</v>
      </c>
      <c r="K112" s="4113"/>
      <c r="L112" s="4113"/>
      <c r="M112" s="4113"/>
      <c r="N112" s="4113"/>
      <c r="O112" s="4113"/>
      <c r="P112" s="4113"/>
      <c r="Q112" s="4242"/>
      <c r="Y112" s="2769"/>
      <c r="AG112" s="2790"/>
      <c r="AO112" s="2664"/>
      <c r="AQ112" s="2644"/>
      <c r="AR112" s="2644"/>
      <c r="AS112" s="2644"/>
      <c r="AT112" s="2644"/>
      <c r="AU112" s="2644"/>
      <c r="AV112" s="2644"/>
      <c r="AW112" s="2832"/>
      <c r="AY112" s="3895"/>
      <c r="AZ112" s="3895"/>
      <c r="BA112" s="3895"/>
      <c r="BB112" s="3895"/>
      <c r="BC112" s="3895"/>
      <c r="BD112" s="3895"/>
      <c r="BE112" s="3896"/>
    </row>
    <row r="113" spans="3:57">
      <c r="C113" s="1841" t="e">
        <f>C34/IF(C36&lt;Assumptions!G92,Assumptions!G92,C36)</f>
        <v>#DIV/0!</v>
      </c>
      <c r="D113" s="1874"/>
      <c r="E113" s="1841" t="e">
        <f>E34/E36</f>
        <v>#DIV/0!</v>
      </c>
      <c r="F113" s="1874"/>
      <c r="G113" s="1841" t="e">
        <f>IF(G112=0,0,G34/G36)</f>
        <v>#DIV/0!</v>
      </c>
      <c r="H113" s="1874"/>
      <c r="I113" s="2758" t="e">
        <f>IF(I112=0,0,I34/I36)</f>
        <v>#DIV/0!</v>
      </c>
      <c r="K113" s="4113"/>
      <c r="L113" s="4113"/>
      <c r="M113" s="4113"/>
      <c r="N113" s="4113"/>
      <c r="O113" s="4113"/>
      <c r="P113" s="4113"/>
      <c r="Q113" s="4242"/>
      <c r="Y113" s="2769"/>
      <c r="AG113" s="2790"/>
      <c r="AO113" s="2664"/>
      <c r="AQ113" s="2644"/>
      <c r="AR113" s="2644"/>
      <c r="AS113" s="2644"/>
      <c r="AT113" s="2644"/>
      <c r="AU113" s="2644"/>
      <c r="AV113" s="2644"/>
      <c r="AW113" s="2832"/>
      <c r="AY113" s="3895"/>
      <c r="AZ113" s="3895"/>
      <c r="BA113" s="3895"/>
      <c r="BB113" s="3895"/>
      <c r="BC113" s="3895"/>
      <c r="BD113" s="3895"/>
      <c r="BE113" s="3896"/>
    </row>
    <row r="114" spans="3:57">
      <c r="C114" s="1943" t="e">
        <f>IF(C113=0,0,IF(C112/C113&lt;3147,3147,C112/C113))</f>
        <v>#DIV/0!</v>
      </c>
      <c r="D114" s="1874"/>
      <c r="E114" s="1943" t="e">
        <f>IF(E113=0,0,IF(E112/E113&lt;3147,3147,E112/E113))</f>
        <v>#DIV/0!</v>
      </c>
      <c r="F114" s="1874"/>
      <c r="G114" s="1943" t="e">
        <f>IF(G113=0,0,IF(G112/G113&lt;71.62,71.62,G112/G113))</f>
        <v>#DIV/0!</v>
      </c>
      <c r="H114" s="1874"/>
      <c r="I114" s="2759" t="e">
        <f>IF(I113=0,0,IF(I112/I113&lt;71.62,71.62,I112/I113))</f>
        <v>#DIV/0!</v>
      </c>
      <c r="K114" s="4113"/>
      <c r="L114" s="4113"/>
      <c r="M114" s="4113"/>
      <c r="N114" s="4113"/>
      <c r="O114" s="4113"/>
      <c r="P114" s="4113"/>
      <c r="Q114" s="4242"/>
      <c r="Y114" s="2769"/>
      <c r="AG114" s="2790"/>
      <c r="AO114" s="2664"/>
      <c r="AQ114" s="2644"/>
      <c r="AR114" s="2644"/>
      <c r="AS114" s="2644"/>
      <c r="AT114" s="2644"/>
      <c r="AU114" s="2644"/>
      <c r="AV114" s="2644"/>
      <c r="AW114" s="2832"/>
      <c r="AY114" s="3895"/>
      <c r="AZ114" s="3895"/>
      <c r="BA114" s="3895"/>
      <c r="BB114" s="3895"/>
      <c r="BC114" s="3895"/>
      <c r="BD114" s="3895"/>
      <c r="BE114" s="3896"/>
    </row>
    <row r="115" spans="3:57">
      <c r="C115" s="1841" t="e">
        <f>IF(OR('Data Entry - SOF'!C95=0,C114=0),0,IF('Data Entry - SOF'!C95&gt;C114,(C114*'Data Entry - SOF'!C94)/C114,('Data Entry - SOF'!C95*'Data Entry - SOF'!C94)/C114))</f>
        <v>#DIV/0!</v>
      </c>
      <c r="D115" s="1874"/>
      <c r="E115" s="1841" t="e">
        <f>C115</f>
        <v>#DIV/0!</v>
      </c>
      <c r="F115" s="1874"/>
      <c r="G115" s="1841" t="e">
        <f>IF(OR('Data Entry - SOF'!C143=0,G114=0),0,IF('Data Entry - SOF'!C143&gt;G114,(G114*'Data Entry - SOF'!C142)/G114,('Data Entry - SOF'!C143*'Data Entry - SOF'!C142)/G114))</f>
        <v>#DIV/0!</v>
      </c>
      <c r="H115" s="1874"/>
      <c r="I115" s="2758" t="e">
        <f>G115</f>
        <v>#DIV/0!</v>
      </c>
      <c r="K115" s="4113"/>
      <c r="L115" s="4113"/>
      <c r="M115" s="4113"/>
      <c r="N115" s="4113"/>
      <c r="O115" s="4113"/>
      <c r="P115" s="4113"/>
      <c r="Q115" s="4242"/>
      <c r="Y115" s="2769"/>
      <c r="AG115" s="2790"/>
      <c r="AO115" s="2664"/>
      <c r="AQ115" s="2644"/>
      <c r="AR115" s="2644"/>
      <c r="AS115" s="2644"/>
      <c r="AT115" s="2644"/>
      <c r="AU115" s="2644"/>
      <c r="AV115" s="2644"/>
      <c r="AW115" s="2832"/>
      <c r="AY115" s="3895"/>
      <c r="AZ115" s="3895"/>
      <c r="BA115" s="3895"/>
      <c r="BB115" s="3895"/>
      <c r="BC115" s="3895"/>
      <c r="BD115" s="3895"/>
      <c r="BE115" s="3896"/>
    </row>
    <row r="116" spans="3:57">
      <c r="C116" s="2443">
        <v>0</v>
      </c>
      <c r="D116" s="1874"/>
      <c r="E116" s="2443">
        <v>0</v>
      </c>
      <c r="F116" s="1874"/>
      <c r="G116" s="2443">
        <v>0</v>
      </c>
      <c r="H116" s="1874"/>
      <c r="I116" s="2760">
        <v>0</v>
      </c>
      <c r="K116" s="4113"/>
      <c r="L116" s="4113"/>
      <c r="M116" s="4113"/>
      <c r="N116" s="4113"/>
      <c r="O116" s="4113"/>
      <c r="P116" s="4113"/>
      <c r="Q116" s="4242"/>
      <c r="Y116" s="2769"/>
      <c r="AG116" s="2790"/>
      <c r="AO116" s="2664"/>
      <c r="AQ116" s="2644"/>
      <c r="AR116" s="2644"/>
      <c r="AS116" s="2644"/>
      <c r="AT116" s="2644"/>
      <c r="AU116" s="2644"/>
      <c r="AV116" s="2644"/>
      <c r="AW116" s="2832"/>
      <c r="AY116" s="3895"/>
      <c r="AZ116" s="3895"/>
      <c r="BA116" s="3895"/>
      <c r="BB116" s="3895"/>
      <c r="BC116" s="3895"/>
      <c r="BD116" s="3895"/>
      <c r="BE116" s="3896"/>
    </row>
    <row r="117" spans="3:57">
      <c r="C117" s="1841" t="e">
        <f>IF(C113-C115-C116&lt;0,0,C113-C115-C116)</f>
        <v>#DIV/0!</v>
      </c>
      <c r="D117" s="1874"/>
      <c r="E117" s="1841" t="e">
        <f>IF(E113-E115-E116&lt;0,0,E113-E115-E116)</f>
        <v>#DIV/0!</v>
      </c>
      <c r="F117" s="1874"/>
      <c r="G117" s="1841" t="e">
        <f>IF(G113-G115-G116&lt;0,0,G113-G115-G116)</f>
        <v>#DIV/0!</v>
      </c>
      <c r="H117" s="1874"/>
      <c r="I117" s="2758" t="e">
        <f>IF(I113-I115-I116&lt;0,0,I113-I115-I116)</f>
        <v>#DIV/0!</v>
      </c>
      <c r="K117" s="4113"/>
      <c r="L117" s="4113"/>
      <c r="M117" s="4113"/>
      <c r="N117" s="4113"/>
      <c r="O117" s="4113"/>
      <c r="P117" s="4113"/>
      <c r="Q117" s="4242"/>
      <c r="Y117" s="2769"/>
      <c r="AG117" s="2790"/>
      <c r="AO117" s="2664"/>
      <c r="AQ117" s="2644"/>
      <c r="AR117" s="2644"/>
      <c r="AS117" s="2644"/>
      <c r="AT117" s="2644"/>
      <c r="AU117" s="2644"/>
      <c r="AV117" s="2644"/>
      <c r="AW117" s="2832"/>
      <c r="AY117" s="3895"/>
      <c r="AZ117" s="3895"/>
      <c r="BA117" s="3895"/>
      <c r="BB117" s="3895"/>
      <c r="BC117" s="3895"/>
      <c r="BD117" s="3895"/>
      <c r="BE117" s="3896"/>
    </row>
    <row r="118" spans="3:57">
      <c r="C118" s="1842" t="e">
        <f>IF(C117=0,0,C117*C114)</f>
        <v>#DIV/0!</v>
      </c>
      <c r="D118" s="1874"/>
      <c r="E118" s="1842" t="e">
        <f>IF(E117=0,0,E117*E114)</f>
        <v>#DIV/0!</v>
      </c>
      <c r="F118" s="1874"/>
      <c r="G118" s="1842" t="e">
        <f>IF(G117=0,0,G117*G114)</f>
        <v>#DIV/0!</v>
      </c>
      <c r="H118" s="1874"/>
      <c r="I118" s="2756" t="e">
        <f>IF(I117=0,0,I117*I114)</f>
        <v>#DIV/0!</v>
      </c>
      <c r="K118" s="4113"/>
      <c r="L118" s="4113"/>
      <c r="M118" s="4113"/>
      <c r="N118" s="4113"/>
      <c r="O118" s="4113"/>
      <c r="P118" s="4113"/>
      <c r="Q118" s="4242"/>
      <c r="Y118" s="2769"/>
      <c r="AG118" s="2790"/>
      <c r="AO118" s="2664"/>
      <c r="AQ118" s="2644"/>
      <c r="AR118" s="2644"/>
      <c r="AS118" s="2644"/>
      <c r="AT118" s="2644"/>
      <c r="AU118" s="2644"/>
      <c r="AV118" s="2644"/>
      <c r="AW118" s="2832"/>
      <c r="AY118" s="3895"/>
      <c r="AZ118" s="3895"/>
      <c r="BA118" s="3895"/>
      <c r="BB118" s="3895"/>
      <c r="BC118" s="3895"/>
      <c r="BD118" s="3895"/>
      <c r="BE118" s="3896"/>
    </row>
    <row r="119" spans="3:57">
      <c r="C119" s="1939"/>
      <c r="D119" s="1874"/>
      <c r="E119" s="1939"/>
      <c r="F119" s="1874"/>
      <c r="G119" s="1939"/>
      <c r="H119" s="1874"/>
      <c r="I119" s="2761"/>
      <c r="K119" s="4113"/>
      <c r="L119" s="4113"/>
      <c r="M119" s="4113"/>
      <c r="N119" s="4113"/>
      <c r="O119" s="4113"/>
      <c r="P119" s="4113"/>
      <c r="Q119" s="4242"/>
      <c r="Y119" s="2769"/>
      <c r="AG119" s="2790"/>
      <c r="AO119" s="2664"/>
      <c r="AQ119" s="2644"/>
      <c r="AR119" s="2644"/>
      <c r="AS119" s="2644"/>
      <c r="AT119" s="2644"/>
      <c r="AU119" s="2644"/>
      <c r="AV119" s="2644"/>
      <c r="AW119" s="2832"/>
      <c r="AY119" s="3895"/>
      <c r="AZ119" s="3895"/>
      <c r="BA119" s="3895"/>
      <c r="BB119" s="3895"/>
      <c r="BC119" s="3895"/>
      <c r="BD119" s="3895"/>
      <c r="BE119" s="3896"/>
    </row>
    <row r="120" spans="3:57">
      <c r="C120" s="1939"/>
      <c r="D120" s="1874"/>
      <c r="E120" s="1939"/>
      <c r="F120" s="1874"/>
      <c r="G120" s="1939"/>
      <c r="H120" s="1874"/>
      <c r="I120" s="2761"/>
      <c r="K120" s="4113"/>
      <c r="L120" s="4113"/>
      <c r="M120" s="4113"/>
      <c r="N120" s="4113"/>
      <c r="O120" s="4113"/>
      <c r="P120" s="4113"/>
      <c r="Q120" s="4242"/>
      <c r="Y120" s="2769"/>
      <c r="AG120" s="2790"/>
      <c r="AO120" s="2664"/>
      <c r="AQ120" s="2644"/>
      <c r="AR120" s="2644"/>
      <c r="AS120" s="2644"/>
      <c r="AT120" s="2644"/>
      <c r="AU120" s="2644"/>
      <c r="AV120" s="2644"/>
      <c r="AW120" s="2832"/>
      <c r="AY120" s="3895"/>
      <c r="AZ120" s="3895"/>
      <c r="BA120" s="3895"/>
      <c r="BB120" s="3895"/>
      <c r="BC120" s="3895"/>
      <c r="BD120" s="3895"/>
      <c r="BE120" s="3896"/>
    </row>
    <row r="121" spans="3:57">
      <c r="C121" s="1264" t="e">
        <f>IF(C148&gt;C149,C149,C148)</f>
        <v>#DIV/0!</v>
      </c>
      <c r="D121" s="1874"/>
      <c r="E121" s="1944">
        <v>0</v>
      </c>
      <c r="F121" s="1874"/>
      <c r="G121" s="1264" t="e">
        <f>IF(G148&gt;G149,G149,G148)</f>
        <v>#DIV/0!</v>
      </c>
      <c r="H121" s="1874"/>
      <c r="I121" s="2762">
        <v>0</v>
      </c>
      <c r="K121" s="4113"/>
      <c r="L121" s="4113"/>
      <c r="M121" s="4113"/>
      <c r="N121" s="4113"/>
      <c r="O121" s="4113"/>
      <c r="P121" s="4113"/>
      <c r="Q121" s="4242"/>
      <c r="Y121" s="2769"/>
      <c r="AG121" s="2790"/>
      <c r="AO121" s="2664"/>
      <c r="AQ121" s="2644"/>
      <c r="AR121" s="2644"/>
      <c r="AS121" s="2644"/>
      <c r="AT121" s="2644"/>
      <c r="AU121" s="2644"/>
      <c r="AV121" s="2644"/>
      <c r="AW121" s="2832"/>
      <c r="AY121" s="3895"/>
      <c r="AZ121" s="3895"/>
      <c r="BA121" s="3895"/>
      <c r="BB121" s="3895"/>
      <c r="BC121" s="3895"/>
      <c r="BD121" s="3895"/>
      <c r="BE121" s="3896"/>
    </row>
    <row r="122" spans="3:57">
      <c r="C122" s="4637" t="e">
        <f>'Data Entry - SOF'!C91*(C118/'HH1617-Calcs'!D11)</f>
        <v>#DIV/0!</v>
      </c>
      <c r="D122" s="1939"/>
      <c r="E122" s="1944">
        <f>IF('Data Entry - SOF'!C92&gt;E151,E151,'Data Entry - SOF'!C92)</f>
        <v>0</v>
      </c>
      <c r="F122" s="1939"/>
      <c r="G122" s="4637" t="e">
        <f>'Data Entry - SOF'!C91*(G118/'HH1617-Calcs'!D11)</f>
        <v>#DIV/0!</v>
      </c>
      <c r="H122" s="1939"/>
      <c r="I122" s="2762">
        <f>IF('Data Entry - SOF'!C92&gt;I151,I151,'Data Entry - SOF'!C92)</f>
        <v>0</v>
      </c>
      <c r="K122" s="4113"/>
      <c r="L122" s="4113"/>
      <c r="M122" s="4113"/>
      <c r="N122" s="4113"/>
      <c r="O122" s="4113"/>
      <c r="P122" s="4113"/>
      <c r="Q122" s="4242"/>
      <c r="Y122" s="2769"/>
      <c r="AG122" s="2790"/>
      <c r="AO122" s="2664"/>
      <c r="AW122" s="2820"/>
      <c r="BE122" s="3909"/>
    </row>
    <row r="123" spans="3:57">
      <c r="C123" s="1945"/>
      <c r="D123" s="1939"/>
      <c r="E123" s="1945"/>
      <c r="F123" s="1939"/>
      <c r="G123" s="1945"/>
      <c r="H123" s="1939"/>
      <c r="I123" s="2763"/>
      <c r="K123" s="4113"/>
      <c r="L123" s="4113"/>
      <c r="M123" s="4113"/>
      <c r="N123" s="4113"/>
      <c r="O123" s="4113"/>
      <c r="P123" s="4113"/>
      <c r="Q123" s="4242"/>
      <c r="Y123" s="2769"/>
      <c r="AG123" s="2790"/>
      <c r="AO123" s="2664"/>
      <c r="AW123" s="2820"/>
      <c r="BE123" s="3909"/>
    </row>
    <row r="124" spans="3:57" ht="13.5" thickBot="1">
      <c r="C124" s="1946" t="e">
        <f>IF(C118-C121-C122&lt;0,0,C118-C121-C122)</f>
        <v>#DIV/0!</v>
      </c>
      <c r="D124" s="1939"/>
      <c r="E124" s="1946" t="e">
        <f>IF(E118-E121-E122&lt;0,0,E118-E121-E122)</f>
        <v>#DIV/0!</v>
      </c>
      <c r="F124" s="1939"/>
      <c r="G124" s="1946" t="e">
        <f>IF(G118-G121-G122&lt;0,0,G118-G121-G122)</f>
        <v>#DIV/0!</v>
      </c>
      <c r="H124" s="1939"/>
      <c r="I124" s="2764" t="e">
        <f>IF(I118-I121-I122&lt;0,0,I118-I121-I122)</f>
        <v>#DIV/0!</v>
      </c>
      <c r="K124" s="4113"/>
      <c r="L124" s="4113"/>
      <c r="M124" s="4113"/>
      <c r="N124" s="4113"/>
      <c r="O124" s="4113"/>
      <c r="P124" s="4113"/>
      <c r="Q124" s="4242"/>
      <c r="Y124" s="2769"/>
      <c r="AG124" s="2790"/>
      <c r="AO124" s="2664"/>
      <c r="AW124" s="2820"/>
      <c r="BE124" s="3909"/>
    </row>
    <row r="125" spans="3:57" ht="13.5" thickTop="1">
      <c r="C125" s="1939"/>
      <c r="D125" s="1939"/>
      <c r="E125" s="1945" t="e">
        <f>C124+G124</f>
        <v>#DIV/0!</v>
      </c>
      <c r="F125" s="1939"/>
      <c r="G125" s="1939"/>
      <c r="H125" s="1939"/>
      <c r="I125" s="2763" t="e">
        <f>E124+I124</f>
        <v>#DIV/0!</v>
      </c>
      <c r="K125" s="4113"/>
      <c r="L125" s="4113"/>
      <c r="M125" s="4113"/>
      <c r="N125" s="4113"/>
      <c r="O125" s="4113"/>
      <c r="P125" s="4113"/>
      <c r="Q125" s="4242"/>
      <c r="Y125" s="2769"/>
      <c r="AG125" s="2790"/>
      <c r="AO125" s="2664"/>
      <c r="AW125" s="2820"/>
      <c r="BE125" s="3909"/>
    </row>
    <row r="126" spans="3:57">
      <c r="E126" s="1265" t="e">
        <f>IF(FracFunding161715K!E61&lt;=0,'Option Costs-15K-ASATR'!E106,'Option Costs-15K-ASATR'!E125)</f>
        <v>#DIV/0!</v>
      </c>
      <c r="I126" s="2765" t="e">
        <f>IF(FracFunding161715K!E24&lt;=0,'Option Costs-15K-ASATR'!I106,'Option Costs-15K-ASATR'!I125)</f>
        <v>#DIV/0!</v>
      </c>
      <c r="K126" s="4113"/>
      <c r="L126" s="4113"/>
      <c r="M126" s="4113"/>
      <c r="N126" s="4113"/>
      <c r="O126" s="4113"/>
      <c r="P126" s="4113"/>
      <c r="Q126" s="4242"/>
      <c r="Y126" s="2769"/>
      <c r="AG126" s="2790"/>
      <c r="AO126" s="2664"/>
      <c r="AW126" s="2820"/>
      <c r="BE126" s="3909"/>
    </row>
    <row r="127" spans="3:57">
      <c r="C127" s="2442" t="e">
        <f>C48*0.04</f>
        <v>#DIV/0!</v>
      </c>
      <c r="D127" s="2442"/>
      <c r="E127" s="2442" t="e">
        <f>E48*0.05</f>
        <v>#DIV/0!</v>
      </c>
      <c r="F127" s="2442"/>
      <c r="G127" s="2442" t="e">
        <f>G48*0.04</f>
        <v>#DIV/0!</v>
      </c>
      <c r="H127" s="2442"/>
      <c r="I127" s="2766" t="e">
        <f>I48*0.05</f>
        <v>#DIV/0!</v>
      </c>
      <c r="K127" s="4115" t="e">
        <f>K48*0.04</f>
        <v>#DIV/0!</v>
      </c>
      <c r="L127" s="4115"/>
      <c r="M127" s="4115" t="e">
        <f>M48*0.05</f>
        <v>#DIV/0!</v>
      </c>
      <c r="N127" s="4115"/>
      <c r="O127" s="4115" t="e">
        <f>O48*0.04</f>
        <v>#DIV/0!</v>
      </c>
      <c r="P127" s="4115"/>
      <c r="Q127" s="4246" t="e">
        <f>Q48*0.05</f>
        <v>#DIV/0!</v>
      </c>
      <c r="S127" s="2442" t="e">
        <f>S48*0.04</f>
        <v>#DIV/0!</v>
      </c>
      <c r="T127" s="2442"/>
      <c r="U127" s="2442" t="e">
        <f>U48*0.05</f>
        <v>#DIV/0!</v>
      </c>
      <c r="V127" s="2442"/>
      <c r="W127" s="2442" t="e">
        <f>W48*0.04</f>
        <v>#DIV/0!</v>
      </c>
      <c r="X127" s="2442"/>
      <c r="Y127" s="2766" t="e">
        <f>Y48*0.05</f>
        <v>#DIV/0!</v>
      </c>
      <c r="AA127" s="2442" t="e">
        <f>AA48*0.04</f>
        <v>#DIV/0!</v>
      </c>
      <c r="AB127" s="2442"/>
      <c r="AC127" s="2442" t="e">
        <f>AC48*0.05</f>
        <v>#DIV/0!</v>
      </c>
      <c r="AD127" s="2442"/>
      <c r="AE127" s="2442" t="e">
        <f>AE48*0.04</f>
        <v>#DIV/0!</v>
      </c>
      <c r="AF127" s="2442"/>
      <c r="AG127" s="2766" t="e">
        <f>AG48*0.05</f>
        <v>#DIV/0!</v>
      </c>
      <c r="AI127" s="2442" t="e">
        <f>AI48*0.04</f>
        <v>#DIV/0!</v>
      </c>
      <c r="AJ127" s="2442"/>
      <c r="AK127" s="2442" t="e">
        <f>AK48*0.05</f>
        <v>#DIV/0!</v>
      </c>
      <c r="AL127" s="2442"/>
      <c r="AM127" s="2442" t="e">
        <f>AM48*0.04</f>
        <v>#DIV/0!</v>
      </c>
      <c r="AN127" s="2442"/>
      <c r="AO127" s="2766" t="e">
        <f>AO48*0.05</f>
        <v>#DIV/0!</v>
      </c>
      <c r="AQ127" s="2649" t="e">
        <f>AQ48*0.04</f>
        <v>#DIV/0!</v>
      </c>
      <c r="AR127" s="2649"/>
      <c r="AS127" s="2649" t="e">
        <f>AS48*0.05</f>
        <v>#DIV/0!</v>
      </c>
      <c r="AT127" s="2649"/>
      <c r="AU127" s="2649" t="e">
        <f>AU48*0.04</f>
        <v>#DIV/0!</v>
      </c>
      <c r="AV127" s="2649"/>
      <c r="AW127" s="2832" t="e">
        <f>AW48*0.05</f>
        <v>#DIV/0!</v>
      </c>
      <c r="AY127" s="3912" t="e">
        <f>AY48*0.04</f>
        <v>#DIV/0!</v>
      </c>
      <c r="AZ127" s="3912"/>
      <c r="BA127" s="3912" t="e">
        <f>BA48*0.05</f>
        <v>#DIV/0!</v>
      </c>
      <c r="BB127" s="3912"/>
      <c r="BC127" s="3912" t="e">
        <f>BC48*0.04</f>
        <v>#DIV/0!</v>
      </c>
      <c r="BD127" s="3912"/>
      <c r="BE127" s="3896" t="e">
        <f>BE48*0.05</f>
        <v>#DIV/0!</v>
      </c>
    </row>
    <row r="128" spans="3:57">
      <c r="C128" s="2442" t="e">
        <f>C43*80</f>
        <v>#DIV/0!</v>
      </c>
      <c r="D128" s="2442"/>
      <c r="E128" s="2442" t="e">
        <f>'Ch41 Calc Data'!K17*100</f>
        <v>#DIV/0!</v>
      </c>
      <c r="F128" s="2442"/>
      <c r="G128" s="2442" t="e">
        <f>G43*80</f>
        <v>#DIV/0!</v>
      </c>
      <c r="H128" s="2442"/>
      <c r="I128" s="2766" t="e">
        <f>'Ch41 Calc Data'!K17*100</f>
        <v>#DIV/0!</v>
      </c>
      <c r="K128" s="4115" t="e">
        <f>K43*80</f>
        <v>#DIV/0!</v>
      </c>
      <c r="L128" s="4115"/>
      <c r="M128" s="4115" t="e">
        <f>'Ch41 Calc Data'!L17*100</f>
        <v>#DIV/0!</v>
      </c>
      <c r="N128" s="4115"/>
      <c r="O128" s="4115" t="e">
        <f>O43*80</f>
        <v>#DIV/0!</v>
      </c>
      <c r="P128" s="4115"/>
      <c r="Q128" s="4246" t="e">
        <f>'Ch41 Calc Data'!L17*100</f>
        <v>#DIV/0!</v>
      </c>
      <c r="S128" s="2442" t="e">
        <f>S43*80</f>
        <v>#DIV/0!</v>
      </c>
      <c r="T128" s="2442"/>
      <c r="U128" s="2442" t="e">
        <f>'Ch41 Calc Data'!M17*100</f>
        <v>#DIV/0!</v>
      </c>
      <c r="V128" s="2442"/>
      <c r="W128" s="2442" t="e">
        <f>W43*80</f>
        <v>#DIV/0!</v>
      </c>
      <c r="X128" s="2442"/>
      <c r="Y128" s="2766" t="e">
        <f>'Ch41 Calc Data'!M17*100</f>
        <v>#DIV/0!</v>
      </c>
      <c r="AA128" s="2442" t="e">
        <f>AA43*80</f>
        <v>#DIV/0!</v>
      </c>
      <c r="AB128" s="2442"/>
      <c r="AC128" s="2442" t="e">
        <f>'Ch41 Calc Data'!N17*100</f>
        <v>#DIV/0!</v>
      </c>
      <c r="AD128" s="2442"/>
      <c r="AE128" s="2442" t="e">
        <f>AE43*80</f>
        <v>#DIV/0!</v>
      </c>
      <c r="AF128" s="2442"/>
      <c r="AG128" s="2766" t="e">
        <f>'Ch41 Calc Data'!N17*100</f>
        <v>#DIV/0!</v>
      </c>
      <c r="AI128" s="2442" t="e">
        <f>AI43*80</f>
        <v>#DIV/0!</v>
      </c>
      <c r="AJ128" s="2442"/>
      <c r="AK128" s="2442" t="e">
        <f>'Ch41 Calc Data'!O17*100</f>
        <v>#DIV/0!</v>
      </c>
      <c r="AL128" s="2442"/>
      <c r="AM128" s="2442" t="e">
        <f>AM43*80</f>
        <v>#DIV/0!</v>
      </c>
      <c r="AN128" s="2442"/>
      <c r="AO128" s="2766" t="e">
        <f>'Ch41 Calc Data'!O17*100</f>
        <v>#DIV/0!</v>
      </c>
      <c r="AQ128" s="2649" t="e">
        <f>AQ43*80</f>
        <v>#DIV/0!</v>
      </c>
      <c r="AR128" s="2649"/>
      <c r="AS128" s="2649" t="e">
        <f>'Ch41 Calc Data'!P17*100</f>
        <v>#DIV/0!</v>
      </c>
      <c r="AT128" s="2649"/>
      <c r="AU128" s="2649" t="e">
        <f>AU43*80</f>
        <v>#DIV/0!</v>
      </c>
      <c r="AV128" s="2649"/>
      <c r="AW128" s="2832" t="e">
        <f>'Ch41 Calc Data'!P17*100</f>
        <v>#DIV/0!</v>
      </c>
      <c r="AY128" s="3912" t="e">
        <f>AY43*80</f>
        <v>#DIV/0!</v>
      </c>
      <c r="AZ128" s="3912"/>
      <c r="BA128" s="3912" t="e">
        <f>'Ch41 Calc Data'!Q17*100</f>
        <v>#DIV/0!</v>
      </c>
      <c r="BB128" s="3912"/>
      <c r="BC128" s="3912" t="e">
        <f>BC43*80</f>
        <v>#DIV/0!</v>
      </c>
      <c r="BD128" s="3912"/>
      <c r="BE128" s="3896" t="e">
        <f>'Ch41 Calc Data'!Q17*100</f>
        <v>#DIV/0!</v>
      </c>
    </row>
    <row r="129" spans="3:57">
      <c r="C129" s="1821"/>
      <c r="D129" s="1821"/>
      <c r="E129" s="1821"/>
      <c r="F129" s="1821"/>
      <c r="G129" s="1821"/>
      <c r="H129" s="1821"/>
      <c r="I129" s="2661"/>
      <c r="K129" s="4115"/>
      <c r="L129" s="4115"/>
      <c r="M129" s="4115"/>
      <c r="N129" s="4115"/>
      <c r="O129" s="4115"/>
      <c r="P129" s="4115"/>
      <c r="Q129" s="4246"/>
      <c r="S129" s="1821"/>
      <c r="T129" s="1821"/>
      <c r="U129" s="1821"/>
      <c r="V129" s="1821"/>
      <c r="W129" s="1821"/>
      <c r="X129" s="1821"/>
      <c r="Y129" s="2661"/>
      <c r="AA129" s="1821"/>
      <c r="AB129" s="1821"/>
      <c r="AC129" s="1821"/>
      <c r="AD129" s="1821"/>
      <c r="AE129" s="1821"/>
      <c r="AF129" s="1821"/>
      <c r="AG129" s="2661"/>
      <c r="AI129" s="1821"/>
      <c r="AJ129" s="1821"/>
      <c r="AK129" s="1821"/>
      <c r="AL129" s="1821"/>
      <c r="AM129" s="1821"/>
      <c r="AN129" s="1821"/>
      <c r="AO129" s="2661"/>
      <c r="AW129" s="2820"/>
      <c r="BE129" s="3909"/>
    </row>
    <row r="130" spans="3:57">
      <c r="C130" s="1821"/>
      <c r="D130" s="1821"/>
      <c r="E130" s="1821">
        <f>IF('Data Entry - SOF'!C92=0,0,'Data Entry - SOF'!C91*(E48/'Data Entry - SOF'!C59))</f>
        <v>0</v>
      </c>
      <c r="F130" s="1821"/>
      <c r="G130" s="1821"/>
      <c r="H130" s="1821"/>
      <c r="I130" s="2661">
        <f>IF('Data Entry - SOF'!C92=0,0,IF(I41=0,0,'Data Entry - SOF'!C91*(I48/'Data Entry - SOF'!C59)))</f>
        <v>0</v>
      </c>
      <c r="K130" s="4115"/>
      <c r="L130" s="4115"/>
      <c r="M130" s="4115">
        <f>IF('Data Entry - SOF'!E92=0,0,'Data Entry - SOF'!E91*(M48/'Data Entry - SOF'!E59))</f>
        <v>0</v>
      </c>
      <c r="N130" s="4115"/>
      <c r="O130" s="4115"/>
      <c r="P130" s="4115"/>
      <c r="Q130" s="4246">
        <f>IF('Data Entry - SOF'!E92=0,0,IF(Q41=0,0,'Data Entry - SOF'!E91*(Q48/'Data Entry - SOF'!E59)))</f>
        <v>0</v>
      </c>
      <c r="S130" s="1821"/>
      <c r="T130" s="1821"/>
      <c r="U130" s="1821">
        <f>IF('Data Entry - SOF'!G92=0,0,'Data Entry - SOF'!G91*(U48/'Data Entry - SOF'!G59))</f>
        <v>0</v>
      </c>
      <c r="V130" s="1821"/>
      <c r="W130" s="1821"/>
      <c r="X130" s="1821"/>
      <c r="Y130" s="2661">
        <f>IF('Data Entry - SOF'!G92=0,0,IF(Y41=0,0,'Data Entry - SOF'!G91*(Y48/'Data Entry - SOF'!G59)))</f>
        <v>0</v>
      </c>
      <c r="AA130" s="1821"/>
      <c r="AB130" s="1821"/>
      <c r="AC130" s="1821">
        <f>IF('Data Entry - SOF'!I92=0,0,'Data Entry - SOF'!I91*(AC48/'Data Entry - SOF'!I59))</f>
        <v>0</v>
      </c>
      <c r="AD130" s="1821"/>
      <c r="AE130" s="1821"/>
      <c r="AF130" s="1821"/>
      <c r="AG130" s="2661">
        <f>IF('Data Entry - SOF'!I92=0,0,IF(AG41=0,0,'Data Entry - SOF'!I91*(AG48/'Data Entry - SOF'!I59)))</f>
        <v>0</v>
      </c>
      <c r="AI130" s="1821"/>
      <c r="AJ130" s="1821"/>
      <c r="AK130" s="1821">
        <f>IF('Data Entry - SOF'!K92=0,0,'Data Entry - SOF'!K91*(AK48/'Data Entry - SOF'!K59))</f>
        <v>0</v>
      </c>
      <c r="AL130" s="1821"/>
      <c r="AM130" s="1821"/>
      <c r="AN130" s="1821"/>
      <c r="AO130" s="2661">
        <f>IF('Data Entry - SOF'!K92=0,0,IF(AO41=0,0,'Data Entry - SOF'!K91*(AO48/'Data Entry - SOF'!K59)))</f>
        <v>0</v>
      </c>
      <c r="AS130" s="2631">
        <f>IF('Data Entry - SOF'!M92=0,0,'Data Entry - SOF'!M91*(AS48/'Data Entry - SOF'!M59))</f>
        <v>0</v>
      </c>
      <c r="AW130" s="2820">
        <f>IF('Data Entry - SOF'!M92=0,0,IF(AW41=0,0,'Data Entry - SOF'!M91*(AW48/'Data Entry - SOF'!M59)))</f>
        <v>0</v>
      </c>
      <c r="BA130" s="3908">
        <f>IF('Data Entry - SOF'!O92=0,0,'Data Entry - SOF'!O91*(BA48/'Data Entry - SOF'!O59))</f>
        <v>0</v>
      </c>
      <c r="BE130" s="3909">
        <f>IF('Data Entry - SOF'!O92=0,0,IF(BE41=0,0,'Data Entry - SOF'!O91*(BE48/'Data Entry - SOF'!O59)))</f>
        <v>0</v>
      </c>
    </row>
    <row r="131" spans="3:57">
      <c r="I131" s="2733"/>
      <c r="K131" s="4115"/>
      <c r="L131" s="4115"/>
      <c r="M131" s="4115"/>
      <c r="N131" s="4115"/>
      <c r="O131" s="4115"/>
      <c r="P131" s="4115"/>
      <c r="Q131" s="4246"/>
      <c r="S131" s="1403"/>
      <c r="T131" s="1403"/>
      <c r="U131" s="1403"/>
      <c r="V131" s="1403"/>
      <c r="W131" s="1403"/>
      <c r="X131" s="1403"/>
      <c r="Y131" s="2733"/>
      <c r="AA131" s="1403"/>
      <c r="AB131" s="1403"/>
      <c r="AC131" s="1403"/>
      <c r="AD131" s="1403"/>
      <c r="AE131" s="1403"/>
      <c r="AF131" s="1403"/>
      <c r="AG131" s="2733"/>
      <c r="AI131" s="1403"/>
      <c r="AJ131" s="1403"/>
      <c r="AK131" s="1403"/>
      <c r="AL131" s="1403"/>
      <c r="AM131" s="1403"/>
      <c r="AN131" s="1403"/>
      <c r="AO131" s="2733"/>
      <c r="AW131" s="2820"/>
      <c r="BE131" s="3909"/>
    </row>
    <row r="132" spans="3:57">
      <c r="I132" s="2733"/>
      <c r="K132" s="4115"/>
      <c r="L132" s="4115"/>
      <c r="M132" s="4115"/>
      <c r="N132" s="4115"/>
      <c r="O132" s="4115"/>
      <c r="P132" s="4115"/>
      <c r="Q132" s="4246"/>
      <c r="S132" s="1403"/>
      <c r="T132" s="1403"/>
      <c r="U132" s="1403"/>
      <c r="V132" s="1403"/>
      <c r="W132" s="1403"/>
      <c r="X132" s="1403"/>
      <c r="Y132" s="2733"/>
      <c r="AA132" s="1403"/>
      <c r="AB132" s="1403"/>
      <c r="AC132" s="1403"/>
      <c r="AD132" s="1403"/>
      <c r="AE132" s="1403"/>
      <c r="AF132" s="1403"/>
      <c r="AG132" s="2733"/>
      <c r="AI132" s="1403"/>
      <c r="AJ132" s="1403"/>
      <c r="AK132" s="1403"/>
      <c r="AL132" s="1403"/>
      <c r="AM132" s="1403"/>
      <c r="AN132" s="1403"/>
      <c r="AO132" s="2733"/>
      <c r="AW132" s="2820"/>
      <c r="BE132" s="3909"/>
    </row>
    <row r="133" spans="3:57">
      <c r="C133" s="1754" t="s">
        <v>4473</v>
      </c>
      <c r="D133" s="1754"/>
      <c r="E133" s="1754"/>
      <c r="F133" s="1754"/>
      <c r="G133" s="1754"/>
      <c r="H133" s="1754"/>
      <c r="I133" s="2767"/>
      <c r="K133" s="4115" t="s">
        <v>4473</v>
      </c>
      <c r="L133" s="4115"/>
      <c r="M133" s="4115"/>
      <c r="N133" s="4115"/>
      <c r="O133" s="4115"/>
      <c r="P133" s="4115"/>
      <c r="Q133" s="4246"/>
      <c r="S133" s="1754" t="s">
        <v>4473</v>
      </c>
      <c r="T133" s="1754"/>
      <c r="U133" s="1754"/>
      <c r="V133" s="1754"/>
      <c r="W133" s="1754"/>
      <c r="X133" s="1754"/>
      <c r="Y133" s="2767"/>
      <c r="AA133" s="1754" t="s">
        <v>4473</v>
      </c>
      <c r="AB133" s="1754"/>
      <c r="AC133" s="1754"/>
      <c r="AD133" s="1754"/>
      <c r="AE133" s="1754"/>
      <c r="AF133" s="1754"/>
      <c r="AG133" s="2767"/>
      <c r="AI133" s="1754" t="s">
        <v>4473</v>
      </c>
      <c r="AJ133" s="1754"/>
      <c r="AK133" s="1754"/>
      <c r="AL133" s="1754"/>
      <c r="AM133" s="1754"/>
      <c r="AN133" s="1754"/>
      <c r="AO133" s="2767"/>
      <c r="AQ133" s="2631" t="s">
        <v>4473</v>
      </c>
      <c r="AW133" s="2820"/>
      <c r="AY133" s="3908" t="s">
        <v>4473</v>
      </c>
      <c r="BE133" s="3909"/>
    </row>
    <row r="134" spans="3:57">
      <c r="C134" s="1755" t="e">
        <f>C79*0.04</f>
        <v>#DIV/0!</v>
      </c>
      <c r="D134" s="1754"/>
      <c r="E134" s="1755" t="e">
        <f>E79*0.05</f>
        <v>#DIV/0!</v>
      </c>
      <c r="F134" s="1754"/>
      <c r="G134" s="1755" t="e">
        <f>G79*0.04</f>
        <v>#DIV/0!</v>
      </c>
      <c r="H134" s="1754"/>
      <c r="I134" s="2768" t="e">
        <f>I79*0.05</f>
        <v>#DIV/0!</v>
      </c>
      <c r="K134" s="4115" t="e">
        <f>K99*0.04</f>
        <v>#DIV/0!</v>
      </c>
      <c r="L134" s="4115"/>
      <c r="M134" s="4115" t="e">
        <f>M99*0.05</f>
        <v>#DIV/0!</v>
      </c>
      <c r="N134" s="4115"/>
      <c r="O134" s="4115" t="e">
        <f>O99*0.04</f>
        <v>#DIV/0!</v>
      </c>
      <c r="P134" s="4115"/>
      <c r="Q134" s="4246" t="e">
        <f>Q99*0.05</f>
        <v>#DIV/0!</v>
      </c>
      <c r="S134" s="1755" t="e">
        <f>S99*0.04</f>
        <v>#DIV/0!</v>
      </c>
      <c r="T134" s="1754"/>
      <c r="U134" s="1755" t="e">
        <f>U99*0.05</f>
        <v>#DIV/0!</v>
      </c>
      <c r="V134" s="1754"/>
      <c r="W134" s="1755" t="e">
        <f>W99*0.04</f>
        <v>#DIV/0!</v>
      </c>
      <c r="X134" s="1754"/>
      <c r="Y134" s="2768" t="e">
        <f>Y99*0.05</f>
        <v>#DIV/0!</v>
      </c>
      <c r="AA134" s="1755" t="e">
        <f>AA99*0.04</f>
        <v>#DIV/0!</v>
      </c>
      <c r="AB134" s="1754"/>
      <c r="AC134" s="1755" t="e">
        <f>AC99*0.05</f>
        <v>#DIV/0!</v>
      </c>
      <c r="AD134" s="1754"/>
      <c r="AE134" s="1755" t="e">
        <f>AE99*0.04</f>
        <v>#DIV/0!</v>
      </c>
      <c r="AF134" s="1754"/>
      <c r="AG134" s="2768" t="e">
        <f>AG99*0.05</f>
        <v>#DIV/0!</v>
      </c>
      <c r="AI134" s="1755" t="e">
        <f>AI99*0.04</f>
        <v>#DIV/0!</v>
      </c>
      <c r="AJ134" s="1754"/>
      <c r="AK134" s="1755" t="e">
        <f>AK99*0.05</f>
        <v>#DIV/0!</v>
      </c>
      <c r="AL134" s="1754"/>
      <c r="AM134" s="1755" t="e">
        <f>AM99*0.04</f>
        <v>#DIV/0!</v>
      </c>
      <c r="AN134" s="1754"/>
      <c r="AO134" s="2768" t="e">
        <f>AO99*0.05</f>
        <v>#DIV/0!</v>
      </c>
      <c r="AQ134" s="2649" t="e">
        <f>AQ79*0.04</f>
        <v>#DIV/0!</v>
      </c>
      <c r="AS134" s="2649" t="e">
        <f>AS79*0.05</f>
        <v>#DIV/0!</v>
      </c>
      <c r="AU134" s="2649" t="e">
        <f>AU79*0.04</f>
        <v>#DIV/0!</v>
      </c>
      <c r="AW134" s="2832" t="e">
        <f>AW79*0.05</f>
        <v>#DIV/0!</v>
      </c>
      <c r="AY134" s="3912" t="e">
        <f>AY79*0.04</f>
        <v>#DIV/0!</v>
      </c>
      <c r="BA134" s="3912" t="e">
        <f>BA79*0.05</f>
        <v>#DIV/0!</v>
      </c>
      <c r="BC134" s="3912" t="e">
        <f>BC79*0.04</f>
        <v>#DIV/0!</v>
      </c>
      <c r="BE134" s="3896" t="e">
        <f>BE79*0.05</f>
        <v>#DIV/0!</v>
      </c>
    </row>
    <row r="135" spans="3:57">
      <c r="C135" s="1755" t="e">
        <f>C74*80</f>
        <v>#DIV/0!</v>
      </c>
      <c r="D135" s="1754"/>
      <c r="E135" s="1755" t="e">
        <f>'Ch41 Calc Data'!K17*100</f>
        <v>#DIV/0!</v>
      </c>
      <c r="F135" s="1754"/>
      <c r="G135" s="1755" t="e">
        <f>G74*80</f>
        <v>#DIV/0!</v>
      </c>
      <c r="H135" s="1754"/>
      <c r="I135" s="2768" t="e">
        <f>'Ch41 Calc Data'!K17*100</f>
        <v>#DIV/0!</v>
      </c>
      <c r="K135" s="4115" t="e">
        <f>K94*80</f>
        <v>#DIV/0!</v>
      </c>
      <c r="L135" s="4115"/>
      <c r="M135" s="4115" t="e">
        <f>'Ch41 Calc Data'!L17*100</f>
        <v>#DIV/0!</v>
      </c>
      <c r="N135" s="4115"/>
      <c r="O135" s="4115" t="e">
        <f>O94*80</f>
        <v>#DIV/0!</v>
      </c>
      <c r="P135" s="4115"/>
      <c r="Q135" s="4246" t="e">
        <f>'Ch41 Calc Data'!L17*100</f>
        <v>#DIV/0!</v>
      </c>
      <c r="S135" s="1755" t="e">
        <f>S94*80</f>
        <v>#DIV/0!</v>
      </c>
      <c r="T135" s="1754"/>
      <c r="U135" s="1755" t="e">
        <f>'Ch41 Calc Data'!M17*100</f>
        <v>#DIV/0!</v>
      </c>
      <c r="V135" s="1754"/>
      <c r="W135" s="1755" t="e">
        <f>W94*80</f>
        <v>#DIV/0!</v>
      </c>
      <c r="X135" s="1754"/>
      <c r="Y135" s="2768" t="e">
        <f>'Ch41 Calc Data'!M17*100</f>
        <v>#DIV/0!</v>
      </c>
      <c r="AA135" s="1755" t="e">
        <f>AA94*80</f>
        <v>#DIV/0!</v>
      </c>
      <c r="AB135" s="1754"/>
      <c r="AC135" s="1755" t="e">
        <f>'Ch41 Calc Data'!N17*100</f>
        <v>#DIV/0!</v>
      </c>
      <c r="AD135" s="1754"/>
      <c r="AE135" s="1755" t="e">
        <f>AE94*80</f>
        <v>#DIV/0!</v>
      </c>
      <c r="AF135" s="1754"/>
      <c r="AG135" s="2768" t="e">
        <f>'Ch41 Calc Data'!N17*100</f>
        <v>#DIV/0!</v>
      </c>
      <c r="AI135" s="1755" t="e">
        <f>AI94*80</f>
        <v>#DIV/0!</v>
      </c>
      <c r="AJ135" s="1754"/>
      <c r="AK135" s="1755" t="e">
        <f>'Ch41 Calc Data'!O17*100</f>
        <v>#DIV/0!</v>
      </c>
      <c r="AL135" s="1754"/>
      <c r="AM135" s="1755" t="e">
        <f>AM94*80</f>
        <v>#DIV/0!</v>
      </c>
      <c r="AN135" s="1754"/>
      <c r="AO135" s="2768" t="e">
        <f>'Ch41 Calc Data'!O17*100</f>
        <v>#DIV/0!</v>
      </c>
      <c r="AQ135" s="2649" t="e">
        <f>AQ74*80</f>
        <v>#DIV/0!</v>
      </c>
      <c r="AS135" s="2649" t="e">
        <f>'Ch41 Calc Data'!P17*100</f>
        <v>#DIV/0!</v>
      </c>
      <c r="AU135" s="2649" t="e">
        <f>AU74*80</f>
        <v>#DIV/0!</v>
      </c>
      <c r="AW135" s="2832" t="e">
        <f>'Ch41 Calc Data'!P17*100</f>
        <v>#DIV/0!</v>
      </c>
      <c r="AY135" s="3912" t="e">
        <f>AY74*80</f>
        <v>#DIV/0!</v>
      </c>
      <c r="BA135" s="3912" t="e">
        <f>'Ch41 Calc Data'!Q17*100</f>
        <v>#DIV/0!</v>
      </c>
      <c r="BC135" s="3912" t="e">
        <f>BC74*80</f>
        <v>#DIV/0!</v>
      </c>
      <c r="BE135" s="3896" t="e">
        <f>'Ch41 Calc Data'!Q17*100</f>
        <v>#DIV/0!</v>
      </c>
    </row>
    <row r="136" spans="3:57">
      <c r="C136" s="1754"/>
      <c r="D136" s="1754"/>
      <c r="E136" s="1754"/>
      <c r="F136" s="1754"/>
      <c r="G136" s="1754"/>
      <c r="H136" s="1754"/>
      <c r="I136" s="2767"/>
      <c r="K136" s="4115"/>
      <c r="L136" s="4115"/>
      <c r="M136" s="4115"/>
      <c r="N136" s="4115"/>
      <c r="O136" s="4115"/>
      <c r="P136" s="4115"/>
      <c r="Q136" s="4246"/>
      <c r="S136" s="1754"/>
      <c r="T136" s="1754"/>
      <c r="U136" s="1754"/>
      <c r="V136" s="1754"/>
      <c r="W136" s="1754"/>
      <c r="X136" s="1754"/>
      <c r="Y136" s="2767"/>
      <c r="AA136" s="1754"/>
      <c r="AB136" s="1754"/>
      <c r="AC136" s="1754"/>
      <c r="AD136" s="1754"/>
      <c r="AE136" s="1754"/>
      <c r="AF136" s="1754"/>
      <c r="AG136" s="2767"/>
      <c r="AI136" s="1754"/>
      <c r="AJ136" s="1754"/>
      <c r="AK136" s="1754"/>
      <c r="AL136" s="1754"/>
      <c r="AM136" s="1754"/>
      <c r="AN136" s="1754"/>
      <c r="AO136" s="2767"/>
      <c r="AW136" s="2820"/>
      <c r="BE136" s="3909"/>
    </row>
    <row r="137" spans="3:57">
      <c r="C137" s="1754"/>
      <c r="D137" s="1754"/>
      <c r="E137" s="1754">
        <f>IF('Data Entry - SOF'!C92=0,0,'Data Entry - SOF'!C91*(E79/'Data Entry - SOF'!C59))</f>
        <v>0</v>
      </c>
      <c r="F137" s="1754"/>
      <c r="G137" s="1754"/>
      <c r="H137" s="1754"/>
      <c r="I137" s="2767">
        <f>IF('Data Entry - SOF'!C92=0,0,IF(I72=0,0,'Data Entry - SOF'!C91*(I79/'Data Entry - SOF'!C59)))</f>
        <v>0</v>
      </c>
      <c r="K137" s="4115"/>
      <c r="L137" s="4115"/>
      <c r="M137" s="4115">
        <f>IF('Data Entry - SOF'!E92=0,0,'Data Entry - SOF'!E91*(M79/'Data Entry - SOF'!E59))</f>
        <v>0</v>
      </c>
      <c r="N137" s="4115"/>
      <c r="O137" s="4115"/>
      <c r="P137" s="4115"/>
      <c r="Q137" s="4246">
        <f>IF('Data Entry - SOF'!E92=0,0,IF(Q72=0,0,'Data Entry - SOF'!E91*(Q79/'Data Entry - SOF'!E59)))</f>
        <v>0</v>
      </c>
      <c r="S137" s="1754"/>
      <c r="T137" s="1754"/>
      <c r="U137" s="1754">
        <f>IF('Data Entry - SOF'!G92=0,0,'Data Entry - SOF'!G91*(U79/'Data Entry - SOF'!G59))</f>
        <v>0</v>
      </c>
      <c r="V137" s="1754"/>
      <c r="W137" s="1754"/>
      <c r="X137" s="1754"/>
      <c r="Y137" s="2767">
        <f>IF('Data Entry - SOF'!G92=0,0,IF(Y72=0,0,'Data Entry - SOF'!G91*(Y79/'Data Entry - SOF'!G59)))</f>
        <v>0</v>
      </c>
      <c r="AA137" s="1754"/>
      <c r="AB137" s="1754"/>
      <c r="AC137" s="1754">
        <f>IF('Data Entry - SOF'!I92=0,0,'Data Entry - SOF'!I91*(AC79/'Data Entry - SOF'!I59))</f>
        <v>0</v>
      </c>
      <c r="AD137" s="1754"/>
      <c r="AE137" s="1754"/>
      <c r="AF137" s="1754"/>
      <c r="AG137" s="2767">
        <f>IF('Data Entry - SOF'!I92=0,0,IF(AG72=0,0,'Data Entry - SOF'!I91*(AG79/'Data Entry - SOF'!I59)))</f>
        <v>0</v>
      </c>
      <c r="AI137" s="1754"/>
      <c r="AJ137" s="1754"/>
      <c r="AK137" s="1754">
        <f>IF('Data Entry - SOF'!K92=0,0,'Data Entry - SOF'!K91*(AK79/'Data Entry - SOF'!K59))</f>
        <v>0</v>
      </c>
      <c r="AL137" s="1754"/>
      <c r="AM137" s="1754"/>
      <c r="AN137" s="1754"/>
      <c r="AO137" s="2767">
        <f>IF('Data Entry - SOF'!K92=0,0,IF(AO72=0,0,'Data Entry - SOF'!K91*(AO79/'Data Entry - SOF'!K59)))</f>
        <v>0</v>
      </c>
      <c r="AS137" s="2631">
        <f>IF('Data Entry - SOF'!M92=0,0,'Data Entry - SOF'!M91*(AS79/'Data Entry - SOF'!M59))</f>
        <v>0</v>
      </c>
      <c r="AW137" s="2820">
        <f>IF('Data Entry - SOF'!M92=0,0,IF(AW72=0,0,'Data Entry - SOF'!M91*(AW79/'Data Entry - SOF'!M59)))</f>
        <v>0</v>
      </c>
      <c r="BA137" s="3908">
        <f>IF('Data Entry - SOF'!O92=0,0,'Data Entry - SOF'!O91*(BA79/'Data Entry - SOF'!O59))</f>
        <v>0</v>
      </c>
      <c r="BE137" s="3909">
        <f>IF('Data Entry - SOF'!O92=0,0,IF(BE72=0,0,'Data Entry - SOF'!O91*(BE79/'Data Entry - SOF'!O59)))</f>
        <v>0</v>
      </c>
    </row>
    <row r="138" spans="3:57">
      <c r="I138" s="2733"/>
      <c r="K138" s="4115"/>
      <c r="L138" s="4115"/>
      <c r="M138" s="4115"/>
      <c r="N138" s="4115"/>
      <c r="O138" s="4115"/>
      <c r="P138" s="4115"/>
      <c r="Q138" s="4246"/>
      <c r="S138" s="1403"/>
      <c r="T138" s="1403"/>
      <c r="U138" s="1403"/>
      <c r="V138" s="1403"/>
      <c r="W138" s="1403"/>
      <c r="X138" s="1403"/>
      <c r="Y138" s="2733"/>
      <c r="AA138" s="1403"/>
      <c r="AB138" s="1403"/>
      <c r="AC138" s="1403"/>
      <c r="AD138" s="1403"/>
      <c r="AE138" s="1403"/>
      <c r="AF138" s="1403"/>
      <c r="AG138" s="2733"/>
      <c r="AI138" s="1403"/>
      <c r="AJ138" s="1403"/>
      <c r="AK138" s="1403"/>
      <c r="AL138" s="1403"/>
      <c r="AM138" s="1403"/>
      <c r="AN138" s="1403"/>
      <c r="AO138" s="2733"/>
      <c r="AW138" s="2820"/>
      <c r="BE138" s="3909"/>
    </row>
    <row r="139" spans="3:57">
      <c r="I139" s="2733"/>
      <c r="K139" s="4115"/>
      <c r="L139" s="4115"/>
      <c r="M139" s="4115"/>
      <c r="N139" s="4115"/>
      <c r="O139" s="4115"/>
      <c r="P139" s="4115"/>
      <c r="Q139" s="4246"/>
      <c r="S139" s="1403"/>
      <c r="T139" s="1403"/>
      <c r="U139" s="1403"/>
      <c r="V139" s="1403"/>
      <c r="W139" s="1403"/>
      <c r="X139" s="1403"/>
      <c r="Y139" s="2733"/>
      <c r="AA139" s="1403"/>
      <c r="AB139" s="1403"/>
      <c r="AC139" s="1403"/>
      <c r="AD139" s="1403"/>
      <c r="AE139" s="1403"/>
      <c r="AF139" s="1403"/>
      <c r="AG139" s="2733"/>
      <c r="AI139" s="1403"/>
      <c r="AJ139" s="1403"/>
      <c r="AK139" s="1403"/>
      <c r="AL139" s="1403"/>
      <c r="AM139" s="1403"/>
      <c r="AN139" s="1403"/>
      <c r="AO139" s="2733"/>
      <c r="AW139" s="2820"/>
      <c r="BE139" s="3909"/>
    </row>
    <row r="140" spans="3:57">
      <c r="C140" s="1754" t="s">
        <v>4526</v>
      </c>
      <c r="D140" s="1754"/>
      <c r="E140" s="1754"/>
      <c r="F140" s="1754"/>
      <c r="G140" s="1754"/>
      <c r="H140" s="1754"/>
      <c r="I140" s="2767"/>
      <c r="K140" s="4115" t="s">
        <v>4526</v>
      </c>
      <c r="L140" s="4115"/>
      <c r="M140" s="4115"/>
      <c r="N140" s="4115"/>
      <c r="O140" s="4115"/>
      <c r="P140" s="4115"/>
      <c r="Q140" s="4246"/>
      <c r="S140" s="1754" t="s">
        <v>4526</v>
      </c>
      <c r="T140" s="1754"/>
      <c r="U140" s="1754"/>
      <c r="V140" s="1754"/>
      <c r="W140" s="1754"/>
      <c r="X140" s="1754"/>
      <c r="Y140" s="2767"/>
      <c r="AA140" s="1754" t="s">
        <v>4526</v>
      </c>
      <c r="AB140" s="1754"/>
      <c r="AC140" s="1754"/>
      <c r="AD140" s="1754"/>
      <c r="AE140" s="1754"/>
      <c r="AF140" s="1754"/>
      <c r="AG140" s="2767"/>
      <c r="AI140" s="1754" t="s">
        <v>4526</v>
      </c>
      <c r="AJ140" s="1754"/>
      <c r="AK140" s="1754"/>
      <c r="AL140" s="1754"/>
      <c r="AM140" s="1754"/>
      <c r="AN140" s="1754"/>
      <c r="AO140" s="2767"/>
      <c r="AQ140" s="2631" t="s">
        <v>4526</v>
      </c>
      <c r="AW140" s="2820"/>
      <c r="AY140" s="3908" t="s">
        <v>4526</v>
      </c>
      <c r="BE140" s="3909"/>
    </row>
    <row r="141" spans="3:57">
      <c r="C141" s="1755" t="e">
        <f>C99*0.04</f>
        <v>#DIV/0!</v>
      </c>
      <c r="D141" s="1755"/>
      <c r="E141" s="1755" t="e">
        <f>E99*0.05</f>
        <v>#DIV/0!</v>
      </c>
      <c r="F141" s="1755"/>
      <c r="G141" s="1755" t="e">
        <f>G99*0.04</f>
        <v>#DIV/0!</v>
      </c>
      <c r="H141" s="1755"/>
      <c r="I141" s="2768" t="e">
        <f>I99*0.05</f>
        <v>#DIV/0!</v>
      </c>
      <c r="K141" s="4115" t="e">
        <f>K99*0.04</f>
        <v>#DIV/0!</v>
      </c>
      <c r="L141" s="4115"/>
      <c r="M141" s="4115" t="e">
        <f>M99*0.05</f>
        <v>#DIV/0!</v>
      </c>
      <c r="N141" s="4115"/>
      <c r="O141" s="4115" t="e">
        <f>O99*0.04</f>
        <v>#DIV/0!</v>
      </c>
      <c r="P141" s="4115"/>
      <c r="Q141" s="4246" t="e">
        <f>Q99*0.05</f>
        <v>#DIV/0!</v>
      </c>
      <c r="S141" s="1755" t="e">
        <f>S99*0.04</f>
        <v>#DIV/0!</v>
      </c>
      <c r="T141" s="1755"/>
      <c r="U141" s="1755" t="e">
        <f>U99*0.05</f>
        <v>#DIV/0!</v>
      </c>
      <c r="V141" s="1755"/>
      <c r="W141" s="1755" t="e">
        <f>W99*0.04</f>
        <v>#DIV/0!</v>
      </c>
      <c r="X141" s="1755"/>
      <c r="Y141" s="2768" t="e">
        <f>Y99*0.05</f>
        <v>#DIV/0!</v>
      </c>
      <c r="AA141" s="1755" t="e">
        <f>AA99*0.04</f>
        <v>#DIV/0!</v>
      </c>
      <c r="AB141" s="1755"/>
      <c r="AC141" s="1755" t="e">
        <f>AC99*0.05</f>
        <v>#DIV/0!</v>
      </c>
      <c r="AD141" s="1755"/>
      <c r="AE141" s="1755" t="e">
        <f>AE99*0.04</f>
        <v>#DIV/0!</v>
      </c>
      <c r="AF141" s="1755"/>
      <c r="AG141" s="2768" t="e">
        <f>AG99*0.05</f>
        <v>#DIV/0!</v>
      </c>
      <c r="AI141" s="1755" t="e">
        <f>AI99*0.04</f>
        <v>#DIV/0!</v>
      </c>
      <c r="AJ141" s="1755"/>
      <c r="AK141" s="1755" t="e">
        <f>AK99*0.05</f>
        <v>#DIV/0!</v>
      </c>
      <c r="AL141" s="1755"/>
      <c r="AM141" s="1755" t="e">
        <f>AM99*0.04</f>
        <v>#DIV/0!</v>
      </c>
      <c r="AN141" s="1755"/>
      <c r="AO141" s="2768" t="e">
        <f>AO99*0.05</f>
        <v>#DIV/0!</v>
      </c>
      <c r="AQ141" s="2649" t="e">
        <f>AQ99*0.04</f>
        <v>#DIV/0!</v>
      </c>
      <c r="AR141" s="2649"/>
      <c r="AS141" s="2649" t="e">
        <f>AS99*0.05</f>
        <v>#DIV/0!</v>
      </c>
      <c r="AT141" s="2649"/>
      <c r="AU141" s="2649" t="e">
        <f>AU99*0.04</f>
        <v>#DIV/0!</v>
      </c>
      <c r="AV141" s="2649"/>
      <c r="AW141" s="2832" t="e">
        <f>AW99*0.05</f>
        <v>#DIV/0!</v>
      </c>
      <c r="AY141" s="3912" t="e">
        <f>AY99*0.04</f>
        <v>#DIV/0!</v>
      </c>
      <c r="AZ141" s="3912"/>
      <c r="BA141" s="3912" t="e">
        <f>BA99*0.05</f>
        <v>#DIV/0!</v>
      </c>
      <c r="BB141" s="3912"/>
      <c r="BC141" s="3912" t="e">
        <f>BC99*0.04</f>
        <v>#DIV/0!</v>
      </c>
      <c r="BD141" s="3912"/>
      <c r="BE141" s="3896" t="e">
        <f>BE99*0.05</f>
        <v>#DIV/0!</v>
      </c>
    </row>
    <row r="142" spans="3:57">
      <c r="C142" s="1755" t="e">
        <f>C94*80</f>
        <v>#DIV/0!</v>
      </c>
      <c r="D142" s="1755"/>
      <c r="E142" s="1755" t="e">
        <f>'Ch41 Calc Data'!K17*100</f>
        <v>#DIV/0!</v>
      </c>
      <c r="F142" s="1755"/>
      <c r="G142" s="1755" t="e">
        <f>G94*80</f>
        <v>#DIV/0!</v>
      </c>
      <c r="H142" s="1755"/>
      <c r="I142" s="2768" t="e">
        <f>'Ch41 Calc Data'!K17*100</f>
        <v>#DIV/0!</v>
      </c>
      <c r="K142" s="4115" t="e">
        <f>K94*80</f>
        <v>#DIV/0!</v>
      </c>
      <c r="L142" s="4115"/>
      <c r="M142" s="4115" t="e">
        <f>'Ch41 Calc Data'!L17*100</f>
        <v>#DIV/0!</v>
      </c>
      <c r="N142" s="4115"/>
      <c r="O142" s="4115" t="e">
        <f>O94*80</f>
        <v>#DIV/0!</v>
      </c>
      <c r="P142" s="4115"/>
      <c r="Q142" s="4246" t="e">
        <f>'Ch41 Calc Data'!L17*100</f>
        <v>#DIV/0!</v>
      </c>
      <c r="S142" s="1755" t="e">
        <f>S94*80</f>
        <v>#DIV/0!</v>
      </c>
      <c r="T142" s="1755"/>
      <c r="U142" s="1755" t="e">
        <f>'Ch41 Calc Data'!M17*100</f>
        <v>#DIV/0!</v>
      </c>
      <c r="V142" s="1755"/>
      <c r="W142" s="1755" t="e">
        <f>W94*80</f>
        <v>#DIV/0!</v>
      </c>
      <c r="X142" s="1755"/>
      <c r="Y142" s="2768" t="e">
        <f>'Ch41 Calc Data'!M17*100</f>
        <v>#DIV/0!</v>
      </c>
      <c r="AA142" s="1755" t="e">
        <f>AA94*80</f>
        <v>#DIV/0!</v>
      </c>
      <c r="AB142" s="1755"/>
      <c r="AC142" s="1755" t="e">
        <f>'Ch41 Calc Data'!N17*100</f>
        <v>#DIV/0!</v>
      </c>
      <c r="AD142" s="1755"/>
      <c r="AE142" s="1755" t="e">
        <f>AE94*80</f>
        <v>#DIV/0!</v>
      </c>
      <c r="AF142" s="1755"/>
      <c r="AG142" s="2768" t="e">
        <f>'Ch41 Calc Data'!N17*100</f>
        <v>#DIV/0!</v>
      </c>
      <c r="AI142" s="1755" t="e">
        <f>AI94*80</f>
        <v>#DIV/0!</v>
      </c>
      <c r="AJ142" s="1755"/>
      <c r="AK142" s="1755" t="e">
        <f>'Ch41 Calc Data'!O17*100</f>
        <v>#DIV/0!</v>
      </c>
      <c r="AL142" s="1755"/>
      <c r="AM142" s="1755" t="e">
        <f>AM94*80</f>
        <v>#DIV/0!</v>
      </c>
      <c r="AN142" s="1755"/>
      <c r="AO142" s="2768" t="e">
        <f>'Ch41 Calc Data'!O17*100</f>
        <v>#DIV/0!</v>
      </c>
      <c r="AQ142" s="2649" t="e">
        <f>AQ94*80</f>
        <v>#DIV/0!</v>
      </c>
      <c r="AR142" s="2649"/>
      <c r="AS142" s="2649" t="e">
        <f>'Ch41 Calc Data'!P17*100</f>
        <v>#DIV/0!</v>
      </c>
      <c r="AT142" s="2649"/>
      <c r="AU142" s="2649" t="e">
        <f>AU94*80</f>
        <v>#DIV/0!</v>
      </c>
      <c r="AV142" s="2649"/>
      <c r="AW142" s="2832" t="e">
        <f>'Ch41 Calc Data'!P17*100</f>
        <v>#DIV/0!</v>
      </c>
      <c r="AY142" s="3912" t="e">
        <f>AY94*80</f>
        <v>#DIV/0!</v>
      </c>
      <c r="AZ142" s="3912"/>
      <c r="BA142" s="3912" t="e">
        <f>'Ch41 Calc Data'!Q17*100</f>
        <v>#DIV/0!</v>
      </c>
      <c r="BB142" s="3912"/>
      <c r="BC142" s="3912" t="e">
        <f>BC94*80</f>
        <v>#DIV/0!</v>
      </c>
      <c r="BD142" s="3912"/>
      <c r="BE142" s="3896" t="e">
        <f>'Ch41 Calc Data'!Q17*100</f>
        <v>#DIV/0!</v>
      </c>
    </row>
    <row r="143" spans="3:57">
      <c r="C143" s="1754"/>
      <c r="D143" s="1754"/>
      <c r="E143" s="1754"/>
      <c r="F143" s="1754"/>
      <c r="G143" s="1754"/>
      <c r="H143" s="1754"/>
      <c r="I143" s="2767"/>
      <c r="K143" s="4115"/>
      <c r="L143" s="4115"/>
      <c r="M143" s="4115"/>
      <c r="N143" s="4115"/>
      <c r="O143" s="4115"/>
      <c r="P143" s="4115"/>
      <c r="Q143" s="4246"/>
      <c r="S143" s="1754"/>
      <c r="T143" s="1754"/>
      <c r="U143" s="1754"/>
      <c r="V143" s="1754"/>
      <c r="W143" s="1754"/>
      <c r="X143" s="1754"/>
      <c r="Y143" s="2767"/>
      <c r="AA143" s="1754"/>
      <c r="AB143" s="1754"/>
      <c r="AC143" s="1754"/>
      <c r="AD143" s="1754"/>
      <c r="AE143" s="1754"/>
      <c r="AF143" s="1754"/>
      <c r="AG143" s="2767"/>
      <c r="AI143" s="1754"/>
      <c r="AJ143" s="1754"/>
      <c r="AK143" s="1754"/>
      <c r="AL143" s="1754"/>
      <c r="AM143" s="1754"/>
      <c r="AN143" s="1754"/>
      <c r="AO143" s="2767"/>
      <c r="AW143" s="2820"/>
      <c r="BE143" s="3909"/>
    </row>
    <row r="144" spans="3:57">
      <c r="C144" s="1754"/>
      <c r="D144" s="1754"/>
      <c r="E144" s="1754">
        <f>IF('Data Entry - SOF'!C94=0,0,'Data Entry - SOF'!C93*(E99/'HH1617-Calcs'!D11))</f>
        <v>0</v>
      </c>
      <c r="F144" s="1754"/>
      <c r="G144" s="1754"/>
      <c r="H144" s="1754"/>
      <c r="I144" s="2767">
        <f>IF('Data Entry - SOF'!C94=0,0,IF(I93=0,0,'Data Entry - SOF'!C93*(I99/'HH1617-Calcs'!D11)))</f>
        <v>0</v>
      </c>
      <c r="K144" s="4115"/>
      <c r="L144" s="4115"/>
      <c r="M144" s="4115">
        <f>IF('Data Entry - SOF'!E94=0,0,'Data Entry - SOF'!E93*(M99/'HH1718-Calcs'!D11))</f>
        <v>0</v>
      </c>
      <c r="N144" s="4115"/>
      <c r="O144" s="4115"/>
      <c r="P144" s="4115"/>
      <c r="Q144" s="4246">
        <f>IF('Data Entry - SOF'!E94=0,0,IF(Q93=0,0,'Data Entry - SOF'!E93*(Q99/'HH1718-Calcs'!D11)))</f>
        <v>0</v>
      </c>
      <c r="S144" s="1754"/>
      <c r="T144" s="1754"/>
      <c r="U144" s="1754">
        <f>IF('Data Entry - SOF'!G94=0,0,'Data Entry - SOF'!G93*(U99/'HH1819-Calcs'!D11))</f>
        <v>0</v>
      </c>
      <c r="V144" s="1754"/>
      <c r="W144" s="1754"/>
      <c r="X144" s="1754"/>
      <c r="Y144" s="2767">
        <f>IF('Data Entry - SOF'!G94=0,0,'Data Entry - SOF'!G93*(Y99/'HH1819-Calcs'!D11))</f>
        <v>0</v>
      </c>
      <c r="AA144" s="1754"/>
      <c r="AB144" s="1754"/>
      <c r="AC144" s="1754">
        <f>IF('Data Entry - SOF'!I94=0,0,'Data Entry - SOF'!I93*(AC99/'HH1920-Calcs'!D11))</f>
        <v>0</v>
      </c>
      <c r="AD144" s="1754"/>
      <c r="AE144" s="1754"/>
      <c r="AF144" s="1754"/>
      <c r="AG144" s="2767">
        <f>IF('Data Entry - SOF'!I94=0,0,'Data Entry - SOF'!I93*(AG99/'HH1920-Calcs'!D11))</f>
        <v>0</v>
      </c>
      <c r="AI144" s="1754"/>
      <c r="AJ144" s="1754"/>
      <c r="AK144" s="1754">
        <f>IF('Data Entry - SOF'!K94=0,0,'Data Entry - SOF'!K93*(AK99/'HH2021-Calcs'!D11))</f>
        <v>0</v>
      </c>
      <c r="AL144" s="1754"/>
      <c r="AM144" s="1754"/>
      <c r="AN144" s="1754"/>
      <c r="AO144" s="2767">
        <f>IF('Data Entry - SOF'!K94=0,0,'Data Entry - SOF'!K93*(AO99/'HH2021-Calcs'!D11))</f>
        <v>0</v>
      </c>
      <c r="AS144" s="2631">
        <f>IF('Data Entry - SOF'!M92=0,0,'Data Entry - SOF'!M91*(AS99/'HH2122-Calcs'!D11))</f>
        <v>0</v>
      </c>
      <c r="AW144" s="2820">
        <f>IF('Data Entry - SOF'!M92=0,0,'Data Entry - SOF'!M91*(AW99/'HH2122-Calcs'!D11))</f>
        <v>0</v>
      </c>
      <c r="BA144" s="3908">
        <f>IF('Data Entry - SOF'!O92=0,0,'Data Entry - SOF'!O91*(BA99/'HH2223-Calcs'!D11))</f>
        <v>0</v>
      </c>
      <c r="BE144" s="3909">
        <f>IF('Data Entry - SOF'!O92=0,0,'Data Entry - SOF'!O91*(BE99/'HH2223-Calcs'!D11))</f>
        <v>0</v>
      </c>
    </row>
    <row r="145" spans="3:57">
      <c r="I145" s="2733"/>
      <c r="K145" s="4113"/>
      <c r="L145" s="4113"/>
      <c r="M145" s="4113"/>
      <c r="N145" s="4113"/>
      <c r="O145" s="4113"/>
      <c r="P145" s="4113"/>
      <c r="Q145" s="4242"/>
      <c r="Y145" s="2769"/>
      <c r="AG145" s="2790"/>
      <c r="AO145" s="2664"/>
      <c r="AW145" s="2820"/>
      <c r="BE145" s="3909"/>
    </row>
    <row r="146" spans="3:57">
      <c r="I146" s="2733"/>
      <c r="K146" s="4113"/>
      <c r="L146" s="4113"/>
      <c r="M146" s="4113"/>
      <c r="N146" s="4113"/>
      <c r="O146" s="4113"/>
      <c r="P146" s="4113"/>
      <c r="Q146" s="4242"/>
      <c r="Y146" s="2769"/>
      <c r="AG146" s="2790"/>
      <c r="AO146" s="2664"/>
      <c r="AW146" s="2820"/>
      <c r="BE146" s="3909"/>
    </row>
    <row r="147" spans="3:57">
      <c r="C147" s="1754" t="s">
        <v>6898</v>
      </c>
      <c r="D147" s="1754"/>
      <c r="E147" s="1754"/>
      <c r="F147" s="1754"/>
      <c r="G147" s="1754"/>
      <c r="H147" s="1754"/>
      <c r="I147" s="2767"/>
      <c r="K147" s="4113"/>
      <c r="L147" s="4113"/>
      <c r="M147" s="4113"/>
      <c r="N147" s="4113"/>
      <c r="O147" s="4113"/>
      <c r="P147" s="4113"/>
      <c r="Q147" s="4242"/>
      <c r="Y147" s="2769"/>
      <c r="AG147" s="2790"/>
      <c r="AO147" s="2664"/>
      <c r="AW147" s="2820"/>
      <c r="BE147" s="3909"/>
    </row>
    <row r="148" spans="3:57">
      <c r="C148" s="1755" t="e">
        <f>C118*0.04</f>
        <v>#DIV/0!</v>
      </c>
      <c r="D148" s="1754"/>
      <c r="E148" s="1755" t="e">
        <f>E118*0.05</f>
        <v>#DIV/0!</v>
      </c>
      <c r="F148" s="1754"/>
      <c r="G148" s="1755" t="e">
        <f>G118*0.04</f>
        <v>#DIV/0!</v>
      </c>
      <c r="H148" s="1754"/>
      <c r="I148" s="2768" t="e">
        <f>I118*0.05</f>
        <v>#DIV/0!</v>
      </c>
      <c r="K148" s="4113"/>
      <c r="L148" s="4113"/>
      <c r="M148" s="4113"/>
      <c r="N148" s="4113"/>
      <c r="O148" s="4113"/>
      <c r="P148" s="4113"/>
      <c r="Q148" s="4242"/>
      <c r="Y148" s="2769"/>
      <c r="AG148" s="2790"/>
      <c r="AO148" s="2664"/>
      <c r="AW148" s="2820"/>
      <c r="BE148" s="3909"/>
    </row>
    <row r="149" spans="3:57">
      <c r="C149" s="1755" t="e">
        <f>C113*80</f>
        <v>#DIV/0!</v>
      </c>
      <c r="D149" s="1754"/>
      <c r="E149" s="1755" t="e">
        <f>'Ch41 Calc Data'!K17*100</f>
        <v>#DIV/0!</v>
      </c>
      <c r="F149" s="1754"/>
      <c r="G149" s="1755" t="e">
        <f>G113*80</f>
        <v>#DIV/0!</v>
      </c>
      <c r="H149" s="1754"/>
      <c r="I149" s="2768" t="e">
        <f>'Ch41 Calc Data'!K17*100</f>
        <v>#DIV/0!</v>
      </c>
      <c r="Q149" s="4055"/>
      <c r="Y149" s="2769"/>
      <c r="AG149" s="2790"/>
      <c r="AO149" s="2664"/>
      <c r="AW149" s="2820"/>
      <c r="BE149" s="3909"/>
    </row>
    <row r="150" spans="3:57">
      <c r="C150" s="1754"/>
      <c r="D150" s="1754"/>
      <c r="E150" s="1754"/>
      <c r="F150" s="1754"/>
      <c r="G150" s="1754"/>
      <c r="H150" s="1754"/>
      <c r="I150" s="2767"/>
      <c r="Q150" s="4055"/>
      <c r="Y150" s="2769"/>
      <c r="AG150" s="2790"/>
      <c r="AO150" s="2664"/>
      <c r="AW150" s="2820"/>
      <c r="BE150" s="3909"/>
    </row>
    <row r="151" spans="3:57">
      <c r="C151" s="1754"/>
      <c r="D151" s="1754"/>
      <c r="E151" s="1754">
        <f>IF('Data Entry - SOF'!C94=0,0,'Data Entry - SOF'!C93*(E99/'HH1617-Calcs'!D11))</f>
        <v>0</v>
      </c>
      <c r="F151" s="1754"/>
      <c r="G151" s="1754"/>
      <c r="H151" s="1754"/>
      <c r="I151" s="2767">
        <f>IF('Data Entry - SOF'!C94=0,0,IF(I93=0,0,'Data Entry - SOF'!C93*(I99/'HH1617-Calcs'!D11)))</f>
        <v>0</v>
      </c>
      <c r="Q151" s="4055"/>
      <c r="Y151" s="2769"/>
      <c r="AG151" s="2790"/>
      <c r="AO151" s="2664"/>
      <c r="AW151" s="2820"/>
      <c r="BE151" s="3909"/>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30"/>
  <sheetViews>
    <sheetView workbookViewId="0">
      <selection activeCell="C6" sqref="C6"/>
    </sheetView>
  </sheetViews>
  <sheetFormatPr defaultRowHeight="12.75"/>
  <cols>
    <col min="2" max="2" width="49.7109375" customWidth="1"/>
    <col min="3" max="3" width="20.7109375" style="1403" customWidth="1"/>
    <col min="4" max="4" width="2.7109375" style="1403" customWidth="1"/>
    <col min="5" max="5" width="20.7109375" style="1403" customWidth="1"/>
    <col min="6" max="6" width="2.7109375" style="1403" customWidth="1"/>
    <col min="7" max="7" width="20.7109375" style="1403" customWidth="1"/>
    <col min="8" max="8" width="2.7109375" style="1403" customWidth="1"/>
    <col min="9" max="9" width="20.7109375" style="1403" customWidth="1"/>
    <col min="10" max="10" width="5.7109375" style="3797" customWidth="1"/>
    <col min="11" max="11" width="20.7109375" style="3798" customWidth="1"/>
    <col min="12" max="12" width="2.7109375" style="3798" customWidth="1"/>
    <col min="13" max="13" width="20.7109375" style="3798" customWidth="1"/>
    <col min="14" max="14" width="2.7109375" style="3798" customWidth="1"/>
    <col min="15" max="15" width="20.7109375" style="3798" customWidth="1"/>
    <col min="16" max="16" width="2.7109375" style="3798" customWidth="1"/>
    <col min="17" max="17" width="20.7109375" style="3798" customWidth="1"/>
    <col min="18" max="18" width="5.7109375" style="1570" customWidth="1"/>
    <col min="19" max="19" width="20.7109375" style="1570" customWidth="1"/>
    <col min="20" max="20" width="2.7109375" style="1570" customWidth="1"/>
    <col min="21" max="21" width="20.7109375" style="1570" customWidth="1"/>
    <col min="22" max="22" width="2.7109375" style="1570" customWidth="1"/>
    <col min="23" max="23" width="20.7109375" style="1570" customWidth="1"/>
    <col min="24" max="24" width="2.7109375" style="1570" customWidth="1"/>
    <col min="25" max="25" width="20.7109375" style="1570" customWidth="1"/>
    <col min="26" max="26" width="5.7109375" style="1650" customWidth="1"/>
    <col min="27" max="27" width="20.7109375" style="1650" customWidth="1"/>
    <col min="28" max="28" width="2.7109375" style="1650" customWidth="1"/>
    <col min="29" max="29" width="20.7109375" style="1650" customWidth="1"/>
    <col min="30" max="30" width="2.7109375" style="1650" customWidth="1"/>
    <col min="31" max="31" width="20.7109375" style="1650" customWidth="1"/>
    <col min="32" max="32" width="2.7109375" style="1650" customWidth="1"/>
    <col min="33" max="33" width="20.7109375" style="1650" customWidth="1"/>
    <col min="34" max="34" width="5.7109375" style="2109" customWidth="1"/>
    <col min="35" max="35" width="20.7109375" style="2109" customWidth="1"/>
    <col min="36" max="36" width="2.7109375" style="2109" customWidth="1"/>
    <col min="37" max="37" width="20.7109375" style="2109" customWidth="1"/>
    <col min="38" max="38" width="2.7109375" style="2109" customWidth="1"/>
    <col min="39" max="39" width="20.7109375" style="2109" customWidth="1"/>
    <col min="40" max="40" width="2.7109375" style="2109" customWidth="1"/>
    <col min="41" max="41" width="20.7109375" style="2109" customWidth="1"/>
    <col min="42" max="42" width="5.7109375" style="3757" customWidth="1"/>
    <col min="43" max="43" width="20.7109375" style="3757" customWidth="1"/>
    <col min="44" max="44" width="2.7109375" style="3757" customWidth="1"/>
    <col min="45" max="45" width="20.7109375" style="3757" customWidth="1"/>
    <col min="46" max="46" width="2.7109375" style="3757" customWidth="1"/>
    <col min="47" max="47" width="20.7109375" style="3757" customWidth="1"/>
    <col min="48" max="48" width="2.7109375" style="3757" customWidth="1"/>
    <col min="49" max="49" width="20.7109375" style="3757" customWidth="1"/>
    <col min="50" max="50" width="5.7109375" style="3919" customWidth="1"/>
    <col min="51" max="51" width="20.7109375" style="3919" customWidth="1"/>
    <col min="52" max="52" width="2.7109375" style="3919" customWidth="1"/>
    <col min="53" max="53" width="20.7109375" style="3919" customWidth="1"/>
    <col min="54" max="54" width="2.7109375" style="3919" customWidth="1"/>
    <col min="55" max="55" width="20.7109375" style="3919" customWidth="1"/>
    <col min="56" max="56" width="2.7109375" style="3919" customWidth="1"/>
    <col min="57" max="57" width="20.7109375" style="3919" customWidth="1"/>
  </cols>
  <sheetData>
    <row r="1" spans="1:83">
      <c r="A1" s="293" t="s">
        <v>2049</v>
      </c>
      <c r="B1" s="130"/>
      <c r="I1" s="2733"/>
      <c r="Q1" s="3799"/>
      <c r="Y1" s="2769"/>
      <c r="AG1" s="2790"/>
      <c r="AO1" s="2664"/>
      <c r="AW1" s="3859"/>
      <c r="BE1" s="3920"/>
      <c r="CE1" t="s">
        <v>3907</v>
      </c>
    </row>
    <row r="2" spans="1:83">
      <c r="A2" s="306" t="s">
        <v>7731</v>
      </c>
      <c r="B2" s="131"/>
      <c r="I2" s="2733"/>
      <c r="Q2" s="3799"/>
      <c r="Y2" s="2769"/>
      <c r="AG2" s="2790"/>
      <c r="AO2" s="2664"/>
      <c r="AW2" s="3859"/>
      <c r="BE2" s="3920"/>
    </row>
    <row r="3" spans="1:83">
      <c r="I3" s="2733"/>
      <c r="Q3" s="3799"/>
      <c r="Y3" s="2769"/>
      <c r="AG3" s="2790"/>
      <c r="AO3" s="2664"/>
      <c r="AW3" s="3859"/>
      <c r="BE3" s="3920"/>
    </row>
    <row r="4" spans="1:83">
      <c r="I4" s="2733"/>
      <c r="Q4" s="3799"/>
      <c r="Y4" s="2769"/>
      <c r="AG4" s="2790"/>
      <c r="AO4" s="2664"/>
      <c r="AW4" s="3859"/>
      <c r="BE4" s="3920"/>
    </row>
    <row r="5" spans="1:83">
      <c r="I5" s="2733"/>
      <c r="Q5" s="3799"/>
      <c r="Y5" s="2769"/>
      <c r="AG5" s="2790"/>
      <c r="AO5" s="2664"/>
      <c r="AW5" s="3859"/>
      <c r="BE5" s="3920"/>
    </row>
    <row r="6" spans="1:83">
      <c r="B6" s="35"/>
      <c r="C6" s="1410" t="s">
        <v>4511</v>
      </c>
      <c r="E6" s="1410" t="s">
        <v>4511</v>
      </c>
      <c r="G6" s="1410" t="s">
        <v>4511</v>
      </c>
      <c r="I6" s="2734" t="s">
        <v>4511</v>
      </c>
      <c r="K6" s="3800" t="s">
        <v>4511</v>
      </c>
      <c r="L6" s="3801"/>
      <c r="M6" s="3800" t="s">
        <v>4511</v>
      </c>
      <c r="N6" s="3801"/>
      <c r="O6" s="3800" t="s">
        <v>4511</v>
      </c>
      <c r="P6" s="3801"/>
      <c r="Q6" s="3802" t="s">
        <v>4511</v>
      </c>
      <c r="S6" s="1588" t="s">
        <v>4511</v>
      </c>
      <c r="T6" s="1586"/>
      <c r="U6" s="1588" t="s">
        <v>4511</v>
      </c>
      <c r="V6" s="1586"/>
      <c r="W6" s="1588" t="s">
        <v>4511</v>
      </c>
      <c r="X6" s="1586"/>
      <c r="Y6" s="2772" t="s">
        <v>4511</v>
      </c>
      <c r="AA6" s="1669" t="s">
        <v>4511</v>
      </c>
      <c r="AB6" s="1667"/>
      <c r="AC6" s="1669" t="s">
        <v>4511</v>
      </c>
      <c r="AD6" s="1667"/>
      <c r="AE6" s="1669" t="s">
        <v>4511</v>
      </c>
      <c r="AF6" s="1667"/>
      <c r="AG6" s="2793" t="s">
        <v>4511</v>
      </c>
      <c r="AI6" s="2112" t="s">
        <v>4511</v>
      </c>
      <c r="AJ6" s="2110"/>
      <c r="AK6" s="2112" t="s">
        <v>4511</v>
      </c>
      <c r="AL6" s="2110"/>
      <c r="AM6" s="2112" t="s">
        <v>4511</v>
      </c>
      <c r="AN6" s="2110"/>
      <c r="AO6" s="2812" t="s">
        <v>4511</v>
      </c>
      <c r="AQ6" s="3860" t="s">
        <v>4511</v>
      </c>
      <c r="AR6" s="3861"/>
      <c r="AS6" s="3860" t="s">
        <v>4511</v>
      </c>
      <c r="AT6" s="3861"/>
      <c r="AU6" s="3860" t="s">
        <v>4511</v>
      </c>
      <c r="AV6" s="3861"/>
      <c r="AW6" s="3862" t="s">
        <v>4511</v>
      </c>
      <c r="AY6" s="3921" t="s">
        <v>4511</v>
      </c>
      <c r="AZ6" s="3922"/>
      <c r="BA6" s="3921" t="s">
        <v>4511</v>
      </c>
      <c r="BB6" s="3922"/>
      <c r="BC6" s="3921" t="s">
        <v>4511</v>
      </c>
      <c r="BD6" s="3922"/>
      <c r="BE6" s="3923" t="s">
        <v>4511</v>
      </c>
    </row>
    <row r="7" spans="1:83">
      <c r="B7" s="35"/>
      <c r="C7" s="1408" t="s">
        <v>3613</v>
      </c>
      <c r="D7" s="1408"/>
      <c r="E7" s="1408" t="s">
        <v>3613</v>
      </c>
      <c r="F7" s="1408"/>
      <c r="G7" s="1408" t="s">
        <v>3613</v>
      </c>
      <c r="H7" s="1408"/>
      <c r="I7" s="2735" t="s">
        <v>3613</v>
      </c>
      <c r="K7" s="3801" t="s">
        <v>3673</v>
      </c>
      <c r="L7" s="3801"/>
      <c r="M7" s="3801" t="s">
        <v>3673</v>
      </c>
      <c r="N7" s="3801"/>
      <c r="O7" s="3801" t="s">
        <v>3673</v>
      </c>
      <c r="P7" s="3801"/>
      <c r="Q7" s="3803" t="s">
        <v>3673</v>
      </c>
      <c r="S7" s="1586" t="s">
        <v>3830</v>
      </c>
      <c r="T7" s="1586"/>
      <c r="U7" s="1586" t="s">
        <v>3830</v>
      </c>
      <c r="V7" s="1586"/>
      <c r="W7" s="1586" t="s">
        <v>3830</v>
      </c>
      <c r="X7" s="1586"/>
      <c r="Y7" s="2770" t="s">
        <v>3830</v>
      </c>
      <c r="AA7" s="1667" t="s">
        <v>3903</v>
      </c>
      <c r="AB7" s="1667"/>
      <c r="AC7" s="1667" t="s">
        <v>3903</v>
      </c>
      <c r="AD7" s="1667"/>
      <c r="AE7" s="1667" t="s">
        <v>3903</v>
      </c>
      <c r="AF7" s="1667"/>
      <c r="AG7" s="2791" t="s">
        <v>3903</v>
      </c>
      <c r="AI7" s="2110" t="s">
        <v>4592</v>
      </c>
      <c r="AJ7" s="2110"/>
      <c r="AK7" s="2110" t="s">
        <v>4592</v>
      </c>
      <c r="AL7" s="2110"/>
      <c r="AM7" s="2110" t="s">
        <v>4592</v>
      </c>
      <c r="AN7" s="2110"/>
      <c r="AO7" s="2665" t="s">
        <v>4592</v>
      </c>
      <c r="AQ7" s="3861" t="s">
        <v>7097</v>
      </c>
      <c r="AR7" s="3861"/>
      <c r="AS7" s="3861" t="s">
        <v>7097</v>
      </c>
      <c r="AT7" s="3861"/>
      <c r="AU7" s="3861" t="s">
        <v>7097</v>
      </c>
      <c r="AV7" s="3861"/>
      <c r="AW7" s="3863" t="s">
        <v>7097</v>
      </c>
      <c r="AY7" s="3922" t="s">
        <v>7733</v>
      </c>
      <c r="AZ7" s="3922"/>
      <c r="BA7" s="3922" t="str">
        <f>AY7</f>
        <v>2022-23</v>
      </c>
      <c r="BB7" s="3922"/>
      <c r="BC7" s="3922" t="str">
        <f>BA7</f>
        <v>2022-23</v>
      </c>
      <c r="BD7" s="3922"/>
      <c r="BE7" s="3924" t="str">
        <f>BC7</f>
        <v>2022-23</v>
      </c>
    </row>
    <row r="8" spans="1:83">
      <c r="C8" s="1408" t="s">
        <v>2944</v>
      </c>
      <c r="D8" s="1408"/>
      <c r="E8" s="1408" t="s">
        <v>215</v>
      </c>
      <c r="F8" s="1408"/>
      <c r="G8" s="1408" t="s">
        <v>2944</v>
      </c>
      <c r="H8" s="1408"/>
      <c r="I8" s="2735" t="s">
        <v>215</v>
      </c>
      <c r="K8" s="3801" t="s">
        <v>2944</v>
      </c>
      <c r="L8" s="3801"/>
      <c r="M8" s="3801" t="s">
        <v>215</v>
      </c>
      <c r="N8" s="3801"/>
      <c r="O8" s="3801" t="s">
        <v>2944</v>
      </c>
      <c r="P8" s="3801"/>
      <c r="Q8" s="3803" t="s">
        <v>215</v>
      </c>
      <c r="S8" s="1586" t="s">
        <v>2944</v>
      </c>
      <c r="T8" s="1586"/>
      <c r="U8" s="1586" t="s">
        <v>215</v>
      </c>
      <c r="V8" s="1586"/>
      <c r="W8" s="1586" t="s">
        <v>2944</v>
      </c>
      <c r="X8" s="1586"/>
      <c r="Y8" s="2770" t="s">
        <v>215</v>
      </c>
      <c r="AA8" s="1667" t="s">
        <v>2944</v>
      </c>
      <c r="AB8" s="1667"/>
      <c r="AC8" s="1667" t="s">
        <v>215</v>
      </c>
      <c r="AD8" s="1667"/>
      <c r="AE8" s="1667" t="s">
        <v>2944</v>
      </c>
      <c r="AF8" s="1667"/>
      <c r="AG8" s="2791" t="s">
        <v>215</v>
      </c>
      <c r="AI8" s="2110" t="s">
        <v>2944</v>
      </c>
      <c r="AJ8" s="2110"/>
      <c r="AK8" s="2110" t="s">
        <v>215</v>
      </c>
      <c r="AL8" s="2110"/>
      <c r="AM8" s="2110" t="s">
        <v>2944</v>
      </c>
      <c r="AN8" s="2110"/>
      <c r="AO8" s="2665" t="s">
        <v>215</v>
      </c>
      <c r="AQ8" s="3861" t="s">
        <v>2944</v>
      </c>
      <c r="AR8" s="3861"/>
      <c r="AS8" s="3861" t="s">
        <v>215</v>
      </c>
      <c r="AT8" s="3861"/>
      <c r="AU8" s="3861" t="s">
        <v>2944</v>
      </c>
      <c r="AV8" s="3861"/>
      <c r="AW8" s="3863" t="s">
        <v>215</v>
      </c>
      <c r="AY8" s="3922" t="s">
        <v>2944</v>
      </c>
      <c r="AZ8" s="3922"/>
      <c r="BA8" s="3922" t="s">
        <v>215</v>
      </c>
      <c r="BB8" s="3922"/>
      <c r="BC8" s="3922" t="s">
        <v>2944</v>
      </c>
      <c r="BD8" s="3922"/>
      <c r="BE8" s="3924" t="s">
        <v>215</v>
      </c>
    </row>
    <row r="9" spans="1:83">
      <c r="C9" s="1409">
        <f>Assumptions!G92</f>
        <v>514000</v>
      </c>
      <c r="D9" s="1410"/>
      <c r="E9" s="1409">
        <f>C9</f>
        <v>514000</v>
      </c>
      <c r="F9" s="1410"/>
      <c r="G9" s="1409">
        <f>Assumptions!G93</f>
        <v>319500</v>
      </c>
      <c r="H9" s="1410"/>
      <c r="I9" s="2736">
        <f>G9</f>
        <v>319500</v>
      </c>
      <c r="K9" s="3804">
        <f>Assumptions!G103</f>
        <v>514000</v>
      </c>
      <c r="L9" s="3800"/>
      <c r="M9" s="3804">
        <f>K9</f>
        <v>514000</v>
      </c>
      <c r="N9" s="3800"/>
      <c r="O9" s="3804">
        <f>Assumptions!G104</f>
        <v>319500</v>
      </c>
      <c r="P9" s="3800"/>
      <c r="Q9" s="3805">
        <f>O9</f>
        <v>319500</v>
      </c>
      <c r="S9" s="1587">
        <f>Assumptions!G112</f>
        <v>514000</v>
      </c>
      <c r="T9" s="1588"/>
      <c r="U9" s="1587">
        <f>S9</f>
        <v>514000</v>
      </c>
      <c r="V9" s="1588"/>
      <c r="W9" s="1587">
        <f>Assumptions!G113</f>
        <v>319500</v>
      </c>
      <c r="X9" s="1588"/>
      <c r="Y9" s="2771">
        <f>W9</f>
        <v>319500</v>
      </c>
      <c r="AA9" s="1668">
        <f>Assumptions!G121</f>
        <v>514000</v>
      </c>
      <c r="AB9" s="1669"/>
      <c r="AC9" s="1668">
        <f>AA9</f>
        <v>514000</v>
      </c>
      <c r="AD9" s="1669"/>
      <c r="AE9" s="1668">
        <f>Assumptions!G122</f>
        <v>319500</v>
      </c>
      <c r="AF9" s="1669"/>
      <c r="AG9" s="2792">
        <f>AE9</f>
        <v>319500</v>
      </c>
      <c r="AI9" s="2111">
        <f>Assumptions!G130</f>
        <v>514000</v>
      </c>
      <c r="AJ9" s="2112"/>
      <c r="AK9" s="2111">
        <f>AI9</f>
        <v>514000</v>
      </c>
      <c r="AL9" s="2112"/>
      <c r="AM9" s="2111">
        <f>Assumptions!G131</f>
        <v>319500</v>
      </c>
      <c r="AN9" s="2112"/>
      <c r="AO9" s="2811">
        <f>AM9</f>
        <v>319500</v>
      </c>
      <c r="AQ9" s="3864">
        <f>Assumptions!G139</f>
        <v>514000</v>
      </c>
      <c r="AR9" s="3860"/>
      <c r="AS9" s="3864">
        <f>AQ9</f>
        <v>514000</v>
      </c>
      <c r="AT9" s="3860"/>
      <c r="AU9" s="3864">
        <f>Assumptions!G140</f>
        <v>319500</v>
      </c>
      <c r="AV9" s="3860"/>
      <c r="AW9" s="3865">
        <f>AU9</f>
        <v>319500</v>
      </c>
      <c r="AY9" s="3925">
        <f>Assumptions!G148</f>
        <v>514000</v>
      </c>
      <c r="AZ9" s="3921"/>
      <c r="BA9" s="3925">
        <f>AY9</f>
        <v>514000</v>
      </c>
      <c r="BB9" s="3921"/>
      <c r="BC9" s="3925">
        <f>Assumptions!G149</f>
        <v>319500</v>
      </c>
      <c r="BD9" s="3921"/>
      <c r="BE9" s="3926">
        <f>BC9</f>
        <v>319500</v>
      </c>
    </row>
    <row r="10" spans="1:83">
      <c r="I10" s="2733"/>
      <c r="Q10" s="3799"/>
      <c r="Y10" s="2769"/>
      <c r="AG10" s="2790"/>
      <c r="AO10" s="2664"/>
      <c r="AW10" s="3859"/>
      <c r="BE10" s="3920"/>
    </row>
    <row r="11" spans="1:83">
      <c r="C11" s="1410"/>
      <c r="D11" s="1410"/>
      <c r="E11" s="1410"/>
      <c r="F11" s="1410"/>
      <c r="G11" s="1410"/>
      <c r="H11" s="1410"/>
      <c r="I11" s="2734"/>
      <c r="K11" s="3800"/>
      <c r="L11" s="3800"/>
      <c r="M11" s="3800"/>
      <c r="N11" s="3800"/>
      <c r="O11" s="3800"/>
      <c r="P11" s="3800"/>
      <c r="Q11" s="3802"/>
      <c r="S11" s="1588"/>
      <c r="T11" s="1588"/>
      <c r="U11" s="1588"/>
      <c r="V11" s="1588"/>
      <c r="W11" s="1588"/>
      <c r="X11" s="1588"/>
      <c r="Y11" s="2772"/>
      <c r="AA11" s="1669"/>
      <c r="AB11" s="1669"/>
      <c r="AC11" s="1669"/>
      <c r="AD11" s="1669"/>
      <c r="AE11" s="1669"/>
      <c r="AF11" s="1669"/>
      <c r="AG11" s="2793"/>
      <c r="AI11" s="2112"/>
      <c r="AJ11" s="2112"/>
      <c r="AK11" s="2112"/>
      <c r="AL11" s="2112"/>
      <c r="AM11" s="2112"/>
      <c r="AN11" s="2112"/>
      <c r="AO11" s="2812"/>
      <c r="AQ11" s="3860"/>
      <c r="AR11" s="3860"/>
      <c r="AS11" s="3860"/>
      <c r="AT11" s="3860"/>
      <c r="AU11" s="3860"/>
      <c r="AV11" s="3860"/>
      <c r="AW11" s="3862"/>
      <c r="AY11" s="3921"/>
      <c r="AZ11" s="3921"/>
      <c r="BA11" s="3921"/>
      <c r="BB11" s="3921"/>
      <c r="BC11" s="3921"/>
      <c r="BD11" s="3921"/>
      <c r="BE11" s="3923"/>
    </row>
    <row r="12" spans="1:83" ht="15.75">
      <c r="A12" s="38" t="s">
        <v>1665</v>
      </c>
      <c r="C12" s="1408" t="s">
        <v>2372</v>
      </c>
      <c r="E12" s="1408" t="s">
        <v>2372</v>
      </c>
      <c r="G12" s="1408" t="s">
        <v>2372</v>
      </c>
      <c r="I12" s="2735" t="s">
        <v>2372</v>
      </c>
      <c r="K12" s="3801" t="s">
        <v>2372</v>
      </c>
      <c r="M12" s="3801" t="s">
        <v>2372</v>
      </c>
      <c r="O12" s="3801" t="s">
        <v>2372</v>
      </c>
      <c r="Q12" s="3803" t="s">
        <v>2372</v>
      </c>
      <c r="S12" s="1586" t="s">
        <v>2372</v>
      </c>
      <c r="U12" s="1586" t="s">
        <v>2372</v>
      </c>
      <c r="W12" s="1586" t="s">
        <v>2372</v>
      </c>
      <c r="Y12" s="2770" t="s">
        <v>2372</v>
      </c>
      <c r="AA12" s="1667" t="s">
        <v>2372</v>
      </c>
      <c r="AC12" s="1667" t="s">
        <v>2372</v>
      </c>
      <c r="AE12" s="1667" t="s">
        <v>2372</v>
      </c>
      <c r="AG12" s="2791" t="s">
        <v>2372</v>
      </c>
      <c r="AI12" s="2110" t="s">
        <v>2372</v>
      </c>
      <c r="AK12" s="2110" t="s">
        <v>2372</v>
      </c>
      <c r="AM12" s="2110" t="s">
        <v>2372</v>
      </c>
      <c r="AO12" s="2665" t="s">
        <v>2372</v>
      </c>
      <c r="AQ12" s="3861" t="s">
        <v>2372</v>
      </c>
      <c r="AS12" s="3861" t="s">
        <v>2372</v>
      </c>
      <c r="AU12" s="3861" t="s">
        <v>2372</v>
      </c>
      <c r="AW12" s="3863" t="s">
        <v>2372</v>
      </c>
      <c r="AY12" s="3922" t="s">
        <v>2372</v>
      </c>
      <c r="BA12" s="3922" t="s">
        <v>2372</v>
      </c>
      <c r="BC12" s="3922" t="s">
        <v>2372</v>
      </c>
      <c r="BE12" s="3924" t="s">
        <v>2372</v>
      </c>
    </row>
    <row r="13" spans="1:83">
      <c r="A13" t="s">
        <v>499</v>
      </c>
      <c r="C13" s="1411">
        <f>'Data Entry - SOF'!C136+'Data Entry - SOF'!C137</f>
        <v>0</v>
      </c>
      <c r="D13" s="1412"/>
      <c r="E13" s="1411">
        <f>C13</f>
        <v>0</v>
      </c>
      <c r="F13" s="1412"/>
      <c r="G13" s="1411">
        <f>E13</f>
        <v>0</v>
      </c>
      <c r="H13" s="1412"/>
      <c r="I13" s="2737">
        <f>G13</f>
        <v>0</v>
      </c>
      <c r="K13" s="3806">
        <f>'Data Entry - SOF'!C136+'Data Entry - SOF'!C137</f>
        <v>0</v>
      </c>
      <c r="L13" s="3807"/>
      <c r="M13" s="3806">
        <f>K13</f>
        <v>0</v>
      </c>
      <c r="N13" s="3807"/>
      <c r="O13" s="3806">
        <f>M13</f>
        <v>0</v>
      </c>
      <c r="P13" s="3807"/>
      <c r="Q13" s="3808">
        <f>O13</f>
        <v>0</v>
      </c>
      <c r="S13" s="1589">
        <f>'Data Entry - SOF'!C136+'Data Entry - SOF'!C137</f>
        <v>0</v>
      </c>
      <c r="T13" s="1590"/>
      <c r="U13" s="1589">
        <f>S13</f>
        <v>0</v>
      </c>
      <c r="V13" s="1590"/>
      <c r="W13" s="1589">
        <f>U13</f>
        <v>0</v>
      </c>
      <c r="X13" s="1590"/>
      <c r="Y13" s="2773">
        <f>W13</f>
        <v>0</v>
      </c>
      <c r="AA13" s="1670">
        <f>'Data Entry - SOF'!C136+'Data Entry - SOF'!C137</f>
        <v>0</v>
      </c>
      <c r="AB13" s="1671"/>
      <c r="AC13" s="1670">
        <f>AA13</f>
        <v>0</v>
      </c>
      <c r="AD13" s="1671"/>
      <c r="AE13" s="1670">
        <f>AC13</f>
        <v>0</v>
      </c>
      <c r="AF13" s="1671"/>
      <c r="AG13" s="2794">
        <f>AE13</f>
        <v>0</v>
      </c>
      <c r="AI13" s="2113">
        <f>'Data Entry - SOF'!C136+'Data Entry - SOF'!C137</f>
        <v>0</v>
      </c>
      <c r="AJ13" s="2114"/>
      <c r="AK13" s="2113">
        <f>AI13</f>
        <v>0</v>
      </c>
      <c r="AL13" s="2114"/>
      <c r="AM13" s="2113">
        <f>AK13</f>
        <v>0</v>
      </c>
      <c r="AN13" s="2114"/>
      <c r="AO13" s="2667">
        <f>AM13</f>
        <v>0</v>
      </c>
      <c r="AQ13" s="3866">
        <f>'Data Entry - SOF'!C136+'Data Entry - SOF'!C137</f>
        <v>0</v>
      </c>
      <c r="AR13" s="3867"/>
      <c r="AS13" s="3866">
        <f>AQ13</f>
        <v>0</v>
      </c>
      <c r="AT13" s="3867"/>
      <c r="AU13" s="3866">
        <f>AS13</f>
        <v>0</v>
      </c>
      <c r="AV13" s="3867"/>
      <c r="AW13" s="3868">
        <f>AU13</f>
        <v>0</v>
      </c>
      <c r="AY13" s="3927">
        <f>'Data Entry - SOF'!C136+'Data Entry - SOF'!C137</f>
        <v>0</v>
      </c>
      <c r="AZ13" s="3928"/>
      <c r="BA13" s="3927">
        <f>AY13</f>
        <v>0</v>
      </c>
      <c r="BB13" s="3928"/>
      <c r="BC13" s="3927">
        <f>BA13</f>
        <v>0</v>
      </c>
      <c r="BD13" s="3928"/>
      <c r="BE13" s="3929">
        <f>BC13</f>
        <v>0</v>
      </c>
    </row>
    <row r="14" spans="1:83">
      <c r="A14" t="s">
        <v>500</v>
      </c>
      <c r="C14" s="1413">
        <f>'Data Entry - SOF'!C138</f>
        <v>0</v>
      </c>
      <c r="D14" s="1414"/>
      <c r="E14" s="1413">
        <f>C14</f>
        <v>0</v>
      </c>
      <c r="F14" s="1414"/>
      <c r="G14" s="1413">
        <f>E14</f>
        <v>0</v>
      </c>
      <c r="H14" s="1414"/>
      <c r="I14" s="2738">
        <f>G14</f>
        <v>0</v>
      </c>
      <c r="K14" s="3809">
        <f>'Data Entry - SOF'!C138</f>
        <v>0</v>
      </c>
      <c r="L14" s="3810"/>
      <c r="M14" s="3809">
        <f>K14</f>
        <v>0</v>
      </c>
      <c r="N14" s="3810"/>
      <c r="O14" s="3809">
        <f>M14</f>
        <v>0</v>
      </c>
      <c r="P14" s="3810"/>
      <c r="Q14" s="3811">
        <f>O14</f>
        <v>0</v>
      </c>
      <c r="S14" s="1591">
        <f>'Data Entry - SOF'!C138</f>
        <v>0</v>
      </c>
      <c r="T14" s="1592"/>
      <c r="U14" s="1591">
        <f>S14</f>
        <v>0</v>
      </c>
      <c r="V14" s="1592"/>
      <c r="W14" s="1591">
        <f>U14</f>
        <v>0</v>
      </c>
      <c r="X14" s="1592"/>
      <c r="Y14" s="2774">
        <f>W14</f>
        <v>0</v>
      </c>
      <c r="AA14" s="1672">
        <f>'Data Entry - SOF'!C138</f>
        <v>0</v>
      </c>
      <c r="AB14" s="1673"/>
      <c r="AC14" s="1672">
        <f>AA14</f>
        <v>0</v>
      </c>
      <c r="AD14" s="1673"/>
      <c r="AE14" s="1672">
        <f>AC14</f>
        <v>0</v>
      </c>
      <c r="AF14" s="1673"/>
      <c r="AG14" s="2795">
        <f>AE14</f>
        <v>0</v>
      </c>
      <c r="AI14" s="2115">
        <f>'Data Entry - SOF'!C138</f>
        <v>0</v>
      </c>
      <c r="AJ14" s="2116"/>
      <c r="AK14" s="2115">
        <f>AI14</f>
        <v>0</v>
      </c>
      <c r="AL14" s="2116"/>
      <c r="AM14" s="2115">
        <f>AK14</f>
        <v>0</v>
      </c>
      <c r="AN14" s="2116"/>
      <c r="AO14" s="2666">
        <f>AM14</f>
        <v>0</v>
      </c>
      <c r="AQ14" s="3869">
        <f>'Data Entry - SOF'!C138</f>
        <v>0</v>
      </c>
      <c r="AR14" s="3870"/>
      <c r="AS14" s="3869">
        <f>AQ14</f>
        <v>0</v>
      </c>
      <c r="AT14" s="3870"/>
      <c r="AU14" s="3869">
        <f>AS14</f>
        <v>0</v>
      </c>
      <c r="AV14" s="3870"/>
      <c r="AW14" s="3871">
        <f>AU14</f>
        <v>0</v>
      </c>
      <c r="AY14" s="3930">
        <f>'Data Entry - SOF'!C138</f>
        <v>0</v>
      </c>
      <c r="AZ14" s="3931"/>
      <c r="BA14" s="3930">
        <f>AY14</f>
        <v>0</v>
      </c>
      <c r="BB14" s="3931"/>
      <c r="BC14" s="3930">
        <f>BA14</f>
        <v>0</v>
      </c>
      <c r="BD14" s="3931"/>
      <c r="BE14" s="3932">
        <f>BC14</f>
        <v>0</v>
      </c>
    </row>
    <row r="15" spans="1:83">
      <c r="A15" t="s">
        <v>559</v>
      </c>
      <c r="C15" s="1413" t="e">
        <f>'Ch41 Calc Data'!K17</f>
        <v>#DIV/0!</v>
      </c>
      <c r="D15" s="1414"/>
      <c r="E15" s="1413" t="e">
        <f>C15</f>
        <v>#DIV/0!</v>
      </c>
      <c r="F15" s="1414"/>
      <c r="G15" s="1413" t="e">
        <f>E15</f>
        <v>#DIV/0!</v>
      </c>
      <c r="H15" s="1414"/>
      <c r="I15" s="2738" t="e">
        <f>G15</f>
        <v>#DIV/0!</v>
      </c>
      <c r="K15" s="3809" t="e">
        <f>'Ch41 Calc Data'!L17</f>
        <v>#DIV/0!</v>
      </c>
      <c r="L15" s="3810"/>
      <c r="M15" s="3809" t="e">
        <f>K15</f>
        <v>#DIV/0!</v>
      </c>
      <c r="N15" s="3810"/>
      <c r="O15" s="3809" t="e">
        <f>M15</f>
        <v>#DIV/0!</v>
      </c>
      <c r="P15" s="3810"/>
      <c r="Q15" s="3811" t="e">
        <f>O15</f>
        <v>#DIV/0!</v>
      </c>
      <c r="S15" s="1591" t="e">
        <f>'Ch41 Calc Data'!M17</f>
        <v>#DIV/0!</v>
      </c>
      <c r="T15" s="1592"/>
      <c r="U15" s="1591" t="e">
        <f>S15</f>
        <v>#DIV/0!</v>
      </c>
      <c r="V15" s="1592"/>
      <c r="W15" s="1591" t="e">
        <f>U15</f>
        <v>#DIV/0!</v>
      </c>
      <c r="X15" s="1592"/>
      <c r="Y15" s="2774" t="e">
        <f>W15</f>
        <v>#DIV/0!</v>
      </c>
      <c r="AA15" s="1672" t="e">
        <f>'Ch41 Calc Data'!N17</f>
        <v>#DIV/0!</v>
      </c>
      <c r="AB15" s="1673"/>
      <c r="AC15" s="1672" t="e">
        <f>AA15</f>
        <v>#DIV/0!</v>
      </c>
      <c r="AD15" s="1673"/>
      <c r="AE15" s="1672" t="e">
        <f>AC15</f>
        <v>#DIV/0!</v>
      </c>
      <c r="AF15" s="1673"/>
      <c r="AG15" s="2795" t="e">
        <f>AE15</f>
        <v>#DIV/0!</v>
      </c>
      <c r="AI15" s="2115" t="e">
        <f>'Ch41 Calc Data'!O17</f>
        <v>#DIV/0!</v>
      </c>
      <c r="AJ15" s="2116"/>
      <c r="AK15" s="2115" t="e">
        <f>AI15</f>
        <v>#DIV/0!</v>
      </c>
      <c r="AL15" s="2116"/>
      <c r="AM15" s="2115" t="e">
        <f>AK15</f>
        <v>#DIV/0!</v>
      </c>
      <c r="AN15" s="2116"/>
      <c r="AO15" s="2666" t="e">
        <f>AM15</f>
        <v>#DIV/0!</v>
      </c>
      <c r="AQ15" s="3869" t="e">
        <f>'Ch41 Calc Data'!P17</f>
        <v>#DIV/0!</v>
      </c>
      <c r="AR15" s="3870"/>
      <c r="AS15" s="3869" t="e">
        <f>AQ15</f>
        <v>#DIV/0!</v>
      </c>
      <c r="AT15" s="3870"/>
      <c r="AU15" s="3869" t="e">
        <f>AS15</f>
        <v>#DIV/0!</v>
      </c>
      <c r="AV15" s="3870"/>
      <c r="AW15" s="3871" t="e">
        <f>AU15</f>
        <v>#DIV/0!</v>
      </c>
      <c r="AY15" s="3930" t="e">
        <f>'Ch41 Calc Data'!Q17</f>
        <v>#DIV/0!</v>
      </c>
      <c r="AZ15" s="3931"/>
      <c r="BA15" s="3930" t="e">
        <f>AY15</f>
        <v>#DIV/0!</v>
      </c>
      <c r="BB15" s="3931"/>
      <c r="BC15" s="3930" t="e">
        <f>BA15</f>
        <v>#DIV/0!</v>
      </c>
      <c r="BD15" s="3931"/>
      <c r="BE15" s="3932" t="e">
        <f>BC15</f>
        <v>#DIV/0!</v>
      </c>
    </row>
    <row r="16" spans="1:83">
      <c r="A16" t="s">
        <v>560</v>
      </c>
      <c r="C16" s="1413">
        <f>IF(C14=0,0,C15/C14)</f>
        <v>0</v>
      </c>
      <c r="D16" s="1414"/>
      <c r="E16" s="1413">
        <f>IF(E14=0,0,E15/E14)</f>
        <v>0</v>
      </c>
      <c r="F16" s="1414"/>
      <c r="G16" s="1413">
        <f>IF(G14=0,0,G15/G14)</f>
        <v>0</v>
      </c>
      <c r="H16" s="1414"/>
      <c r="I16" s="2738">
        <f>IF(I14=0,0,I15/I14)</f>
        <v>0</v>
      </c>
      <c r="K16" s="3809">
        <f>IF(K14=0,0,K15/K14)</f>
        <v>0</v>
      </c>
      <c r="L16" s="3810"/>
      <c r="M16" s="3809">
        <f>IF(M14=0,0,M15/M14)</f>
        <v>0</v>
      </c>
      <c r="N16" s="3810"/>
      <c r="O16" s="3809">
        <f>IF(O14=0,0,O15/O14)</f>
        <v>0</v>
      </c>
      <c r="P16" s="3810"/>
      <c r="Q16" s="3811">
        <f>IF(Q14=0,0,Q15/Q14)</f>
        <v>0</v>
      </c>
      <c r="S16" s="1591">
        <f>IF(S14=0,0,S15/S14)</f>
        <v>0</v>
      </c>
      <c r="T16" s="1592"/>
      <c r="U16" s="1591">
        <f>IF(U14=0,0,U15/U14)</f>
        <v>0</v>
      </c>
      <c r="V16" s="1592"/>
      <c r="W16" s="1591">
        <f>IF(W14=0,0,W15/W14)</f>
        <v>0</v>
      </c>
      <c r="X16" s="1592"/>
      <c r="Y16" s="2774">
        <f>IF(Y14=0,0,Y15/Y14)</f>
        <v>0</v>
      </c>
      <c r="AA16" s="1672">
        <f>IF(AA14=0,0,AA15/AA14)</f>
        <v>0</v>
      </c>
      <c r="AB16" s="1673"/>
      <c r="AC16" s="1672">
        <f>IF(AC14=0,0,AC15/AC14)</f>
        <v>0</v>
      </c>
      <c r="AD16" s="1673"/>
      <c r="AE16" s="1672">
        <f>IF(AE14=0,0,AE15/AE14)</f>
        <v>0</v>
      </c>
      <c r="AF16" s="1673"/>
      <c r="AG16" s="2795">
        <f>IF(AG14=0,0,AG15/AG14)</f>
        <v>0</v>
      </c>
      <c r="AI16" s="2115">
        <f>IF(AI14=0,0,AI15/AI14)</f>
        <v>0</v>
      </c>
      <c r="AJ16" s="2116"/>
      <c r="AK16" s="2115">
        <f>IF(AK14=0,0,AK15/AK14)</f>
        <v>0</v>
      </c>
      <c r="AL16" s="2116"/>
      <c r="AM16" s="2115">
        <f>IF(AM14=0,0,AM15/AM14)</f>
        <v>0</v>
      </c>
      <c r="AN16" s="2116"/>
      <c r="AO16" s="2666">
        <f>IF(AO14=0,0,AO15/AO14)</f>
        <v>0</v>
      </c>
      <c r="AQ16" s="3869">
        <f>IF(AQ14=0,0,AQ15/AQ14)</f>
        <v>0</v>
      </c>
      <c r="AR16" s="3870"/>
      <c r="AS16" s="3869">
        <f>IF(AS14=0,0,AS15/AS14)</f>
        <v>0</v>
      </c>
      <c r="AT16" s="3870"/>
      <c r="AU16" s="3869">
        <f>IF(AU14=0,0,AU15/AU14)</f>
        <v>0</v>
      </c>
      <c r="AV16" s="3870"/>
      <c r="AW16" s="3871">
        <f>IF(AW14=0,0,AW15/AW14)</f>
        <v>0</v>
      </c>
      <c r="AY16" s="3930">
        <f>IF(AY14=0,0,AY15/AY14)</f>
        <v>0</v>
      </c>
      <c r="AZ16" s="3931"/>
      <c r="BA16" s="3930">
        <f>IF(BA14=0,0,BA15/BA14)</f>
        <v>0</v>
      </c>
      <c r="BB16" s="3931"/>
      <c r="BC16" s="3930">
        <f>IF(BC14=0,0,BC15/BC14)</f>
        <v>0</v>
      </c>
      <c r="BD16" s="3931"/>
      <c r="BE16" s="3932">
        <f>IF(BE14=0,0,BE15/BE14)</f>
        <v>0</v>
      </c>
    </row>
    <row r="17" spans="1:57">
      <c r="A17" t="s">
        <v>2478</v>
      </c>
      <c r="C17" s="1411">
        <f>C13*C16</f>
        <v>0</v>
      </c>
      <c r="D17" s="1412"/>
      <c r="E17" s="1411">
        <f>E13*E16</f>
        <v>0</v>
      </c>
      <c r="F17" s="1412"/>
      <c r="G17" s="1411">
        <f>G13*G16</f>
        <v>0</v>
      </c>
      <c r="H17" s="1412"/>
      <c r="I17" s="2737">
        <f>I13*I16</f>
        <v>0</v>
      </c>
      <c r="K17" s="3806">
        <f>K13*K16</f>
        <v>0</v>
      </c>
      <c r="L17" s="3807"/>
      <c r="M17" s="3806">
        <f>M13*M16</f>
        <v>0</v>
      </c>
      <c r="N17" s="3807"/>
      <c r="O17" s="3806">
        <f>O13*O16</f>
        <v>0</v>
      </c>
      <c r="P17" s="3807"/>
      <c r="Q17" s="3808">
        <f>Q13*Q16</f>
        <v>0</v>
      </c>
      <c r="S17" s="1589">
        <f>S13*S16</f>
        <v>0</v>
      </c>
      <c r="T17" s="1590"/>
      <c r="U17" s="1589">
        <f>U13*U16</f>
        <v>0</v>
      </c>
      <c r="V17" s="1590"/>
      <c r="W17" s="1589">
        <f>W13*W16</f>
        <v>0</v>
      </c>
      <c r="X17" s="1590"/>
      <c r="Y17" s="2773">
        <f>Y13*Y16</f>
        <v>0</v>
      </c>
      <c r="AA17" s="1670">
        <f>AA13*AA16</f>
        <v>0</v>
      </c>
      <c r="AB17" s="1671"/>
      <c r="AC17" s="1670">
        <f>AC13*AC16</f>
        <v>0</v>
      </c>
      <c r="AD17" s="1671"/>
      <c r="AE17" s="1670">
        <f>AE13*AE16</f>
        <v>0</v>
      </c>
      <c r="AF17" s="1671"/>
      <c r="AG17" s="2794">
        <f>AG13*AG16</f>
        <v>0</v>
      </c>
      <c r="AI17" s="2113">
        <f>AI13*AI16</f>
        <v>0</v>
      </c>
      <c r="AJ17" s="2114"/>
      <c r="AK17" s="2113">
        <f>AK13*AK16</f>
        <v>0</v>
      </c>
      <c r="AL17" s="2114"/>
      <c r="AM17" s="2113">
        <f>AM13*AM16</f>
        <v>0</v>
      </c>
      <c r="AN17" s="2114"/>
      <c r="AO17" s="2667">
        <f>AO13*AO16</f>
        <v>0</v>
      </c>
      <c r="AQ17" s="3866">
        <f>AQ13*AQ16</f>
        <v>0</v>
      </c>
      <c r="AR17" s="3867"/>
      <c r="AS17" s="3866">
        <f>AS13*AS16</f>
        <v>0</v>
      </c>
      <c r="AT17" s="3867"/>
      <c r="AU17" s="3866">
        <f>AU13*AU16</f>
        <v>0</v>
      </c>
      <c r="AV17" s="3867"/>
      <c r="AW17" s="3868">
        <f>AW13*AW16</f>
        <v>0</v>
      </c>
      <c r="AY17" s="3927">
        <f>AY13*AY16</f>
        <v>0</v>
      </c>
      <c r="AZ17" s="3928"/>
      <c r="BA17" s="3927">
        <f>BA13*BA16</f>
        <v>0</v>
      </c>
      <c r="BB17" s="3928"/>
      <c r="BC17" s="3927">
        <f>BC13*BC16</f>
        <v>0</v>
      </c>
      <c r="BD17" s="3928"/>
      <c r="BE17" s="3929">
        <f>BE13*BE16</f>
        <v>0</v>
      </c>
    </row>
    <row r="18" spans="1:57">
      <c r="A18" t="s">
        <v>558</v>
      </c>
      <c r="C18" s="1411">
        <f>'SOF1617-SB1'!F77</f>
        <v>0</v>
      </c>
      <c r="D18" s="1412"/>
      <c r="E18" s="1411">
        <f>C18</f>
        <v>0</v>
      </c>
      <c r="F18" s="1412"/>
      <c r="G18" s="1411">
        <f>E18</f>
        <v>0</v>
      </c>
      <c r="H18" s="1412"/>
      <c r="I18" s="2737">
        <f>G18</f>
        <v>0</v>
      </c>
      <c r="K18" s="3806">
        <f>'SOF1718-SB1'!F76</f>
        <v>0</v>
      </c>
      <c r="L18" s="3807"/>
      <c r="M18" s="3806">
        <f>K18</f>
        <v>0</v>
      </c>
      <c r="N18" s="3807"/>
      <c r="O18" s="3806">
        <f>M18</f>
        <v>0</v>
      </c>
      <c r="P18" s="3807"/>
      <c r="Q18" s="3808">
        <f>O18</f>
        <v>0</v>
      </c>
      <c r="S18" s="1589">
        <f>'SOF1819-SB1'!F76</f>
        <v>0</v>
      </c>
      <c r="T18" s="1590"/>
      <c r="U18" s="1589">
        <f>S18</f>
        <v>0</v>
      </c>
      <c r="V18" s="1590"/>
      <c r="W18" s="1589">
        <f>U18</f>
        <v>0</v>
      </c>
      <c r="X18" s="1590"/>
      <c r="Y18" s="2773">
        <f>W18</f>
        <v>0</v>
      </c>
      <c r="AA18" s="1670">
        <f>'SOF1920-SB1'!F76</f>
        <v>0</v>
      </c>
      <c r="AB18" s="1671"/>
      <c r="AC18" s="1670">
        <f>AA18</f>
        <v>0</v>
      </c>
      <c r="AD18" s="1671"/>
      <c r="AE18" s="1670">
        <f>AC18</f>
        <v>0</v>
      </c>
      <c r="AF18" s="1671"/>
      <c r="AG18" s="2794">
        <f>AE18</f>
        <v>0</v>
      </c>
      <c r="AI18" s="2113">
        <f>'SOF2021-SB1'!F76</f>
        <v>0</v>
      </c>
      <c r="AJ18" s="2114"/>
      <c r="AK18" s="2113">
        <f>AI18</f>
        <v>0</v>
      </c>
      <c r="AL18" s="2114"/>
      <c r="AM18" s="2113">
        <f>AK18</f>
        <v>0</v>
      </c>
      <c r="AN18" s="2114"/>
      <c r="AO18" s="2667">
        <f>AM18</f>
        <v>0</v>
      </c>
      <c r="AQ18" s="3866">
        <f>'SOF2122-SB1'!F76</f>
        <v>0</v>
      </c>
      <c r="AR18" s="3867"/>
      <c r="AS18" s="3866">
        <f>AQ18</f>
        <v>0</v>
      </c>
      <c r="AT18" s="3867"/>
      <c r="AU18" s="3866">
        <f>AS18</f>
        <v>0</v>
      </c>
      <c r="AV18" s="3867"/>
      <c r="AW18" s="3868">
        <f>AU18</f>
        <v>0</v>
      </c>
      <c r="AY18" s="3927">
        <f>'SOF2223-SB1'!F76</f>
        <v>0</v>
      </c>
      <c r="AZ18" s="3928"/>
      <c r="BA18" s="3927">
        <f>AY18</f>
        <v>0</v>
      </c>
      <c r="BB18" s="3928"/>
      <c r="BC18" s="3927">
        <f>BA18</f>
        <v>0</v>
      </c>
      <c r="BD18" s="3928"/>
      <c r="BE18" s="3929">
        <f>BC18</f>
        <v>0</v>
      </c>
    </row>
    <row r="19" spans="1:57">
      <c r="A19" t="s">
        <v>2479</v>
      </c>
      <c r="C19" s="1411">
        <f>C17-C18</f>
        <v>0</v>
      </c>
      <c r="D19" s="1412"/>
      <c r="E19" s="1411">
        <f>E17-E18</f>
        <v>0</v>
      </c>
      <c r="F19" s="1412"/>
      <c r="G19" s="1411">
        <f>G17-G18</f>
        <v>0</v>
      </c>
      <c r="H19" s="1412"/>
      <c r="I19" s="2737">
        <f>I17-I18</f>
        <v>0</v>
      </c>
      <c r="K19" s="3806">
        <f>K17-K18</f>
        <v>0</v>
      </c>
      <c r="L19" s="3807"/>
      <c r="M19" s="3806">
        <f>M17-M18</f>
        <v>0</v>
      </c>
      <c r="N19" s="3807"/>
      <c r="O19" s="3806">
        <f>O17-O18</f>
        <v>0</v>
      </c>
      <c r="P19" s="3807"/>
      <c r="Q19" s="3808">
        <f>Q17-Q18</f>
        <v>0</v>
      </c>
      <c r="S19" s="1589">
        <f>S17-S18</f>
        <v>0</v>
      </c>
      <c r="T19" s="1590"/>
      <c r="U19" s="1589">
        <f>U17-U18</f>
        <v>0</v>
      </c>
      <c r="V19" s="1590"/>
      <c r="W19" s="1589">
        <f>W17-W18</f>
        <v>0</v>
      </c>
      <c r="X19" s="1590"/>
      <c r="Y19" s="2773">
        <f>Y17-Y18</f>
        <v>0</v>
      </c>
      <c r="AA19" s="1670">
        <f>AA17-AA18</f>
        <v>0</v>
      </c>
      <c r="AB19" s="1671"/>
      <c r="AC19" s="1670">
        <f>AC17-AC18</f>
        <v>0</v>
      </c>
      <c r="AD19" s="1671"/>
      <c r="AE19" s="1670">
        <f>AE17-AE18</f>
        <v>0</v>
      </c>
      <c r="AF19" s="1671"/>
      <c r="AG19" s="2794">
        <f>AG17-AG18</f>
        <v>0</v>
      </c>
      <c r="AI19" s="2113">
        <f>AI17-AI18</f>
        <v>0</v>
      </c>
      <c r="AJ19" s="2114"/>
      <c r="AK19" s="2113">
        <f>AK17-AK18</f>
        <v>0</v>
      </c>
      <c r="AL19" s="2114"/>
      <c r="AM19" s="2113">
        <f>AM17-AM18</f>
        <v>0</v>
      </c>
      <c r="AN19" s="2114"/>
      <c r="AO19" s="2667">
        <f>AO17-AO18</f>
        <v>0</v>
      </c>
      <c r="AQ19" s="3866">
        <f>AQ17-AQ18</f>
        <v>0</v>
      </c>
      <c r="AR19" s="3867"/>
      <c r="AS19" s="3866">
        <f>AS17-AS18</f>
        <v>0</v>
      </c>
      <c r="AT19" s="3867"/>
      <c r="AU19" s="3866">
        <f>AU17-AU18</f>
        <v>0</v>
      </c>
      <c r="AV19" s="3867"/>
      <c r="AW19" s="3868">
        <f>AW17-AW18</f>
        <v>0</v>
      </c>
      <c r="AY19" s="3927">
        <f>AY17-AY18</f>
        <v>0</v>
      </c>
      <c r="AZ19" s="3928"/>
      <c r="BA19" s="3927">
        <f>BA17-BA18</f>
        <v>0</v>
      </c>
      <c r="BB19" s="3928"/>
      <c r="BC19" s="3927">
        <f>BC17-BC18</f>
        <v>0</v>
      </c>
      <c r="BD19" s="3928"/>
      <c r="BE19" s="3929">
        <f>BE17-BE18</f>
        <v>0</v>
      </c>
    </row>
    <row r="20" spans="1:57">
      <c r="A20" t="s">
        <v>1283</v>
      </c>
      <c r="C20" s="1413">
        <f>IF('Data Entry - SOF'!C136=0,0,('Data Entry - SOF'!C136/'Data Entry - SOF'!C139)+0.0082)</f>
        <v>0</v>
      </c>
      <c r="D20" s="1414"/>
      <c r="E20" s="1413">
        <f>C20</f>
        <v>0</v>
      </c>
      <c r="F20" s="1414"/>
      <c r="G20" s="1413">
        <f>E20</f>
        <v>0</v>
      </c>
      <c r="H20" s="1414"/>
      <c r="I20" s="2738">
        <f>G20</f>
        <v>0</v>
      </c>
      <c r="K20" s="3809">
        <f>IF('Data Entry - SOF'!C136=0,0,('Data Entry - SOF'!C136/'Data Entry - SOF'!C139)+0.0082)</f>
        <v>0</v>
      </c>
      <c r="L20" s="3810"/>
      <c r="M20" s="3809">
        <f>K20</f>
        <v>0</v>
      </c>
      <c r="N20" s="3810"/>
      <c r="O20" s="3809">
        <f>M20</f>
        <v>0</v>
      </c>
      <c r="P20" s="3810"/>
      <c r="Q20" s="3811">
        <f>O20</f>
        <v>0</v>
      </c>
      <c r="S20" s="1591">
        <f>IF('Data Entry - SOF'!G136=0,0,('Data Entry - SOF'!G136/'Data Entry - SOF'!G139)+0.0082)</f>
        <v>0</v>
      </c>
      <c r="T20" s="1592"/>
      <c r="U20" s="1591">
        <f>S20</f>
        <v>0</v>
      </c>
      <c r="V20" s="1592"/>
      <c r="W20" s="1591">
        <f>U20</f>
        <v>0</v>
      </c>
      <c r="X20" s="1592"/>
      <c r="Y20" s="2774">
        <f>W20</f>
        <v>0</v>
      </c>
      <c r="AA20" s="1672">
        <f>IF('Data Entry - SOF'!I136=0,0,('Data Entry - SOF'!I136/'Data Entry - SOF'!I139)+0.0082)</f>
        <v>0</v>
      </c>
      <c r="AB20" s="1673"/>
      <c r="AC20" s="1672">
        <f>AA20</f>
        <v>0</v>
      </c>
      <c r="AD20" s="1673"/>
      <c r="AE20" s="1672">
        <f>AC20</f>
        <v>0</v>
      </c>
      <c r="AF20" s="1673"/>
      <c r="AG20" s="2795">
        <f>AE20</f>
        <v>0</v>
      </c>
      <c r="AI20" s="2115">
        <f>IF('Data Entry - SOF'!K136=0,0,('Data Entry - SOF'!K136/'Data Entry - SOF'!K139)+0.0082)</f>
        <v>0</v>
      </c>
      <c r="AJ20" s="2116"/>
      <c r="AK20" s="2115">
        <f>AI20</f>
        <v>0</v>
      </c>
      <c r="AL20" s="2116"/>
      <c r="AM20" s="2115">
        <f>AK20</f>
        <v>0</v>
      </c>
      <c r="AN20" s="2116"/>
      <c r="AO20" s="2666">
        <f>AM20</f>
        <v>0</v>
      </c>
      <c r="AQ20" s="3869">
        <f>IF('Data Entry - SOF'!M136=0,0,('Data Entry - SOF'!M136/'Data Entry - SOF'!M139)+0.0082)</f>
        <v>0</v>
      </c>
      <c r="AR20" s="3870"/>
      <c r="AS20" s="3869">
        <f>AQ20</f>
        <v>0</v>
      </c>
      <c r="AT20" s="3870"/>
      <c r="AU20" s="3869">
        <f>AS20</f>
        <v>0</v>
      </c>
      <c r="AV20" s="3870"/>
      <c r="AW20" s="3871">
        <f>AU20</f>
        <v>0</v>
      </c>
      <c r="AY20" s="3930">
        <f>IF('Data Entry - SOF'!O136=0,0,('Data Entry - SOF'!O136/'Data Entry - SOF'!O139)+0.0082)</f>
        <v>0</v>
      </c>
      <c r="AZ20" s="3931"/>
      <c r="BA20" s="3930">
        <f>AY20</f>
        <v>0</v>
      </c>
      <c r="BB20" s="3931"/>
      <c r="BC20" s="3930">
        <f>BA20</f>
        <v>0</v>
      </c>
      <c r="BD20" s="3931"/>
      <c r="BE20" s="3932">
        <f>BC20</f>
        <v>0</v>
      </c>
    </row>
    <row r="21" spans="1:57">
      <c r="A21" t="s">
        <v>1111</v>
      </c>
      <c r="C21" s="1413">
        <f>IF(C20&gt;0.015,C20,0.015)</f>
        <v>1.4999999999999999E-2</v>
      </c>
      <c r="D21" s="1414"/>
      <c r="E21" s="1413">
        <f>IF(E20&gt;0.015,E20,0.015)</f>
        <v>1.4999999999999999E-2</v>
      </c>
      <c r="F21" s="1414"/>
      <c r="G21" s="1413">
        <f>IF(G20&gt;0.015,G20,0.015)</f>
        <v>1.4999999999999999E-2</v>
      </c>
      <c r="H21" s="1414"/>
      <c r="I21" s="2738">
        <f>IF(I20&gt;0.015,I20,0.015)</f>
        <v>1.4999999999999999E-2</v>
      </c>
      <c r="K21" s="3809">
        <f>IF(K20&gt;0.015,K20,0.015)</f>
        <v>1.4999999999999999E-2</v>
      </c>
      <c r="L21" s="3810"/>
      <c r="M21" s="3809">
        <f>IF(M20&gt;0.015,M20,0.015)</f>
        <v>1.4999999999999999E-2</v>
      </c>
      <c r="N21" s="3810"/>
      <c r="O21" s="3809">
        <f>IF(O20&gt;0.015,O20,0.015)</f>
        <v>1.4999999999999999E-2</v>
      </c>
      <c r="P21" s="3810"/>
      <c r="Q21" s="3811">
        <f>IF(Q20&gt;0.015,Q20,0.015)</f>
        <v>1.4999999999999999E-2</v>
      </c>
      <c r="S21" s="1591">
        <f>IF(S20&gt;0.015,S20,0.015)</f>
        <v>1.4999999999999999E-2</v>
      </c>
      <c r="T21" s="1592"/>
      <c r="U21" s="1591">
        <f>IF(U20&gt;0.015,U20,0.015)</f>
        <v>1.4999999999999999E-2</v>
      </c>
      <c r="V21" s="1592"/>
      <c r="W21" s="1591">
        <f>IF(W20&gt;0.015,W20,0.015)</f>
        <v>1.4999999999999999E-2</v>
      </c>
      <c r="X21" s="1592"/>
      <c r="Y21" s="2774">
        <f>IF(Y20&gt;0.015,Y20,0.015)</f>
        <v>1.4999999999999999E-2</v>
      </c>
      <c r="AA21" s="1672">
        <f>IF(AA20&gt;0.015,AA20,0.015)</f>
        <v>1.4999999999999999E-2</v>
      </c>
      <c r="AB21" s="1673"/>
      <c r="AC21" s="1672">
        <f>IF(AC20&gt;0.015,AC20,0.015)</f>
        <v>1.4999999999999999E-2</v>
      </c>
      <c r="AD21" s="1673"/>
      <c r="AE21" s="1672">
        <f>IF(AE20&gt;0.015,AE20,0.015)</f>
        <v>1.4999999999999999E-2</v>
      </c>
      <c r="AF21" s="1673"/>
      <c r="AG21" s="2795">
        <f>IF(AG20&gt;0.015,AG20,0.015)</f>
        <v>1.4999999999999999E-2</v>
      </c>
      <c r="AI21" s="2115">
        <f>IF(AI20&gt;0.015,AI20,0.015)</f>
        <v>1.4999999999999999E-2</v>
      </c>
      <c r="AJ21" s="2116"/>
      <c r="AK21" s="2115">
        <f>IF(AK20&gt;0.015,AK20,0.015)</f>
        <v>1.4999999999999999E-2</v>
      </c>
      <c r="AL21" s="2116"/>
      <c r="AM21" s="2115">
        <f>IF(AM20&gt;0.015,AM20,0.015)</f>
        <v>1.4999999999999999E-2</v>
      </c>
      <c r="AN21" s="2116"/>
      <c r="AO21" s="2666">
        <f>IF(AO20&gt;0.015,AO20,0.015)</f>
        <v>1.4999999999999999E-2</v>
      </c>
      <c r="AQ21" s="3869">
        <f>IF(AQ20&gt;0.015,AQ20,0.015)</f>
        <v>1.4999999999999999E-2</v>
      </c>
      <c r="AR21" s="3870"/>
      <c r="AS21" s="3869">
        <f>IF(AS20&gt;0.015,AS20,0.015)</f>
        <v>1.4999999999999999E-2</v>
      </c>
      <c r="AT21" s="3870"/>
      <c r="AU21" s="3869">
        <f>IF(AU20&gt;0.015,AU20,0.015)</f>
        <v>1.4999999999999999E-2</v>
      </c>
      <c r="AV21" s="3870"/>
      <c r="AW21" s="3871">
        <f>IF(AW20&gt;0.015,AW20,0.015)</f>
        <v>1.4999999999999999E-2</v>
      </c>
      <c r="AY21" s="3930">
        <f>IF(AY20&gt;0.015,AY20,0.015)</f>
        <v>1.4999999999999999E-2</v>
      </c>
      <c r="AZ21" s="3931"/>
      <c r="BA21" s="3930">
        <f>IF(BA20&gt;0.015,BA20,0.015)</f>
        <v>1.4999999999999999E-2</v>
      </c>
      <c r="BB21" s="3931"/>
      <c r="BC21" s="3930">
        <f>IF(BC20&gt;0.015,BC20,0.015)</f>
        <v>1.4999999999999999E-2</v>
      </c>
      <c r="BD21" s="3931"/>
      <c r="BE21" s="3932">
        <f>IF(BE20&gt;0.015,BE20,0.015)</f>
        <v>1.4999999999999999E-2</v>
      </c>
    </row>
    <row r="22" spans="1:57">
      <c r="I22" s="2733"/>
      <c r="Q22" s="3799"/>
      <c r="Y22" s="2769"/>
      <c r="AG22" s="2790"/>
      <c r="AO22" s="2664"/>
      <c r="AW22" s="3859"/>
      <c r="BE22" s="3920"/>
    </row>
    <row r="23" spans="1:57" ht="15.75">
      <c r="A23" s="38" t="s">
        <v>1284</v>
      </c>
      <c r="I23" s="2733"/>
      <c r="Q23" s="3799"/>
      <c r="Y23" s="2769"/>
      <c r="AG23" s="2790"/>
      <c r="AO23" s="2664"/>
      <c r="AW23" s="3859"/>
      <c r="BE23" s="3920"/>
    </row>
    <row r="24" spans="1:57">
      <c r="A24" t="s">
        <v>2150</v>
      </c>
      <c r="C24" s="1411" t="e">
        <f>'Ch41 Calc Data'!K17*Assumptions!G92</f>
        <v>#DIV/0!</v>
      </c>
      <c r="D24" s="1412"/>
      <c r="E24" s="1411" t="e">
        <f>C24</f>
        <v>#DIV/0!</v>
      </c>
      <c r="F24" s="1412"/>
      <c r="G24" s="1411" t="e">
        <f>'Ch41 Calc Data'!K17*Assumptions!G93</f>
        <v>#DIV/0!</v>
      </c>
      <c r="H24" s="1412"/>
      <c r="I24" s="2737" t="e">
        <f>G24</f>
        <v>#DIV/0!</v>
      </c>
      <c r="K24" s="3806" t="e">
        <f>'Ch41 Calc Data'!L17*Assumptions!G103</f>
        <v>#DIV/0!</v>
      </c>
      <c r="L24" s="3807"/>
      <c r="M24" s="3806" t="e">
        <f>K24</f>
        <v>#DIV/0!</v>
      </c>
      <c r="N24" s="3807"/>
      <c r="O24" s="3806" t="e">
        <f>'Ch41 Calc Data'!L17*Assumptions!G104</f>
        <v>#DIV/0!</v>
      </c>
      <c r="P24" s="3807"/>
      <c r="Q24" s="3808" t="e">
        <f>O24</f>
        <v>#DIV/0!</v>
      </c>
      <c r="S24" s="1589" t="e">
        <f>'Ch41 Calc Data'!M17*Assumptions!G112</f>
        <v>#DIV/0!</v>
      </c>
      <c r="T24" s="1590"/>
      <c r="U24" s="1589" t="e">
        <f>S24</f>
        <v>#DIV/0!</v>
      </c>
      <c r="V24" s="1590"/>
      <c r="W24" s="1589" t="e">
        <f>'Ch41 Calc Data'!M17*Assumptions!G113</f>
        <v>#DIV/0!</v>
      </c>
      <c r="X24" s="1590"/>
      <c r="Y24" s="2773" t="e">
        <f>W24</f>
        <v>#DIV/0!</v>
      </c>
      <c r="AA24" s="1670" t="e">
        <f>'Ch41 Calc Data'!N17*Assumptions!G121</f>
        <v>#DIV/0!</v>
      </c>
      <c r="AB24" s="1671"/>
      <c r="AC24" s="1670" t="e">
        <f>AA24</f>
        <v>#DIV/0!</v>
      </c>
      <c r="AD24" s="1671"/>
      <c r="AE24" s="1670" t="e">
        <f>'Ch41 Calc Data'!N17*Assumptions!G122</f>
        <v>#DIV/0!</v>
      </c>
      <c r="AF24" s="1671"/>
      <c r="AG24" s="2794" t="e">
        <f>AE24</f>
        <v>#DIV/0!</v>
      </c>
      <c r="AI24" s="2113" t="e">
        <f>'Ch41 Calc Data'!O17*Assumptions!G130</f>
        <v>#DIV/0!</v>
      </c>
      <c r="AJ24" s="2114"/>
      <c r="AK24" s="2113" t="e">
        <f>AI24</f>
        <v>#DIV/0!</v>
      </c>
      <c r="AL24" s="2114"/>
      <c r="AM24" s="2113" t="e">
        <f>'Ch41 Calc Data'!O17*Assumptions!G131</f>
        <v>#DIV/0!</v>
      </c>
      <c r="AN24" s="2114"/>
      <c r="AO24" s="2667" t="e">
        <f>AM24</f>
        <v>#DIV/0!</v>
      </c>
      <c r="AQ24" s="3866" t="e">
        <f>'Ch41 Calc Data'!P17*Assumptions!G139</f>
        <v>#DIV/0!</v>
      </c>
      <c r="AR24" s="3867"/>
      <c r="AS24" s="3866" t="e">
        <f>AQ24</f>
        <v>#DIV/0!</v>
      </c>
      <c r="AT24" s="3867"/>
      <c r="AU24" s="3866" t="e">
        <f>'Ch41 Calc Data'!P17*Assumptions!G140</f>
        <v>#DIV/0!</v>
      </c>
      <c r="AV24" s="3867"/>
      <c r="AW24" s="3868" t="e">
        <f>AU24</f>
        <v>#DIV/0!</v>
      </c>
      <c r="AY24" s="3927" t="e">
        <f>'Ch41 Calc Data'!Q17*Assumptions!G148</f>
        <v>#DIV/0!</v>
      </c>
      <c r="AZ24" s="3928"/>
      <c r="BA24" s="3927" t="e">
        <f>AY24</f>
        <v>#DIV/0!</v>
      </c>
      <c r="BB24" s="3928"/>
      <c r="BC24" s="3927" t="e">
        <f>'Ch41 Calc Data'!Q17*Assumptions!G149</f>
        <v>#DIV/0!</v>
      </c>
      <c r="BD24" s="3928"/>
      <c r="BE24" s="3929" t="e">
        <f>BC24</f>
        <v>#DIV/0!</v>
      </c>
    </row>
    <row r="25" spans="1:57">
      <c r="I25" s="2733"/>
      <c r="Q25" s="3799"/>
      <c r="Y25" s="2769"/>
      <c r="AG25" s="2790"/>
      <c r="AO25" s="2664"/>
      <c r="AW25" s="3859"/>
      <c r="BE25" s="3920"/>
    </row>
    <row r="26" spans="1:57" ht="15.75">
      <c r="A26" s="38" t="s">
        <v>2390</v>
      </c>
      <c r="I26" s="2733"/>
      <c r="Q26" s="3799"/>
      <c r="Y26" s="2769"/>
      <c r="AG26" s="2790"/>
      <c r="AO26" s="2664"/>
      <c r="AW26" s="3859"/>
      <c r="BE26" s="3920"/>
    </row>
    <row r="27" spans="1:57">
      <c r="A27" t="s">
        <v>2742</v>
      </c>
      <c r="C27" s="1411">
        <f>C19/C21</f>
        <v>0</v>
      </c>
      <c r="D27" s="1415"/>
      <c r="E27" s="1416" t="s">
        <v>1994</v>
      </c>
      <c r="F27" s="1415"/>
      <c r="G27" s="1411">
        <f>G19/G21</f>
        <v>0</v>
      </c>
      <c r="H27" s="1415"/>
      <c r="I27" s="2739" t="s">
        <v>1994</v>
      </c>
      <c r="K27" s="3806">
        <f>K19/K21</f>
        <v>0</v>
      </c>
      <c r="L27" s="3812"/>
      <c r="M27" s="3813" t="s">
        <v>1994</v>
      </c>
      <c r="N27" s="3812"/>
      <c r="O27" s="3806">
        <f>O19/O21</f>
        <v>0</v>
      </c>
      <c r="P27" s="3812"/>
      <c r="Q27" s="3814" t="s">
        <v>1994</v>
      </c>
      <c r="S27" s="1589">
        <f>S19/S21</f>
        <v>0</v>
      </c>
      <c r="T27" s="1593"/>
      <c r="U27" s="1594" t="s">
        <v>1994</v>
      </c>
      <c r="V27" s="1593"/>
      <c r="W27" s="1589">
        <f>W19/W21</f>
        <v>0</v>
      </c>
      <c r="X27" s="1593"/>
      <c r="Y27" s="2775" t="s">
        <v>1994</v>
      </c>
      <c r="AA27" s="1670">
        <f>AA19/AA21</f>
        <v>0</v>
      </c>
      <c r="AB27" s="1674"/>
      <c r="AC27" s="1675" t="s">
        <v>1994</v>
      </c>
      <c r="AD27" s="1674"/>
      <c r="AE27" s="1670">
        <f>AE19/AE21</f>
        <v>0</v>
      </c>
      <c r="AF27" s="1674"/>
      <c r="AG27" s="2796" t="s">
        <v>1994</v>
      </c>
      <c r="AI27" s="2113">
        <f>AI19/AI21</f>
        <v>0</v>
      </c>
      <c r="AJ27" s="2117"/>
      <c r="AK27" s="2118" t="s">
        <v>1994</v>
      </c>
      <c r="AL27" s="2117"/>
      <c r="AM27" s="2113">
        <f>AM19/AM21</f>
        <v>0</v>
      </c>
      <c r="AN27" s="2117"/>
      <c r="AO27" s="2813" t="s">
        <v>1994</v>
      </c>
      <c r="AQ27" s="3866">
        <f>AQ19/AQ21</f>
        <v>0</v>
      </c>
      <c r="AR27" s="3872"/>
      <c r="AS27" s="3873" t="s">
        <v>1994</v>
      </c>
      <c r="AT27" s="3872"/>
      <c r="AU27" s="3866">
        <f>AU19/AU21</f>
        <v>0</v>
      </c>
      <c r="AV27" s="3872"/>
      <c r="AW27" s="3874" t="s">
        <v>1994</v>
      </c>
      <c r="AY27" s="3927">
        <f>AY19/AY21</f>
        <v>0</v>
      </c>
      <c r="AZ27" s="3933"/>
      <c r="BA27" s="3934" t="s">
        <v>1994</v>
      </c>
      <c r="BB27" s="3933"/>
      <c r="BC27" s="3927">
        <f>BC19/BC21</f>
        <v>0</v>
      </c>
      <c r="BD27" s="3933"/>
      <c r="BE27" s="3935" t="s">
        <v>1994</v>
      </c>
    </row>
    <row r="28" spans="1:57">
      <c r="A28" t="s">
        <v>2743</v>
      </c>
      <c r="C28" s="1411" t="e">
        <f>C27/'Ch41 Calc Data'!K17</f>
        <v>#DIV/0!</v>
      </c>
      <c r="D28" s="1415"/>
      <c r="E28" s="1416" t="s">
        <v>1994</v>
      </c>
      <c r="F28" s="1415"/>
      <c r="G28" s="1411" t="e">
        <f>G27/'Ch41 Calc Data'!K17</f>
        <v>#DIV/0!</v>
      </c>
      <c r="H28" s="1415"/>
      <c r="I28" s="2739" t="s">
        <v>1994</v>
      </c>
      <c r="K28" s="3806" t="e">
        <f>K27/'Ch41 Calc Data'!L17</f>
        <v>#DIV/0!</v>
      </c>
      <c r="L28" s="3812"/>
      <c r="M28" s="3813" t="s">
        <v>1994</v>
      </c>
      <c r="N28" s="3812"/>
      <c r="O28" s="3806" t="e">
        <f>O27/'Ch41 Calc Data'!L17</f>
        <v>#DIV/0!</v>
      </c>
      <c r="P28" s="3812"/>
      <c r="Q28" s="3814" t="s">
        <v>1994</v>
      </c>
      <c r="S28" s="1589" t="e">
        <f>S27/'Ch41 Calc Data'!M17</f>
        <v>#DIV/0!</v>
      </c>
      <c r="T28" s="1593"/>
      <c r="U28" s="1594" t="s">
        <v>1994</v>
      </c>
      <c r="V28" s="1593"/>
      <c r="W28" s="1589" t="e">
        <f>W27/'Ch41 Calc Data'!M17</f>
        <v>#DIV/0!</v>
      </c>
      <c r="X28" s="1593"/>
      <c r="Y28" s="2775" t="s">
        <v>1994</v>
      </c>
      <c r="AA28" s="1670" t="e">
        <f>AA27/'Ch41 Calc Data'!N17</f>
        <v>#DIV/0!</v>
      </c>
      <c r="AB28" s="1674"/>
      <c r="AC28" s="1675" t="s">
        <v>1994</v>
      </c>
      <c r="AD28" s="1674"/>
      <c r="AE28" s="1670" t="e">
        <f>AE27/'Ch41 Calc Data'!N17</f>
        <v>#DIV/0!</v>
      </c>
      <c r="AF28" s="1674"/>
      <c r="AG28" s="2796" t="s">
        <v>1994</v>
      </c>
      <c r="AI28" s="2113" t="e">
        <f>AI27/'Ch41 Calc Data'!O17</f>
        <v>#DIV/0!</v>
      </c>
      <c r="AJ28" s="2117"/>
      <c r="AK28" s="2118" t="s">
        <v>1994</v>
      </c>
      <c r="AL28" s="2117"/>
      <c r="AM28" s="2113" t="e">
        <f>AM27/'Ch41 Calc Data'!O17</f>
        <v>#DIV/0!</v>
      </c>
      <c r="AN28" s="2117"/>
      <c r="AO28" s="2813" t="s">
        <v>1994</v>
      </c>
      <c r="AQ28" s="3866" t="e">
        <f>AQ27/'Ch41 Calc Data'!P17</f>
        <v>#DIV/0!</v>
      </c>
      <c r="AR28" s="3872"/>
      <c r="AS28" s="3873" t="s">
        <v>1994</v>
      </c>
      <c r="AT28" s="3872"/>
      <c r="AU28" s="3866" t="e">
        <f>AU27/'Ch41 Calc Data'!P17</f>
        <v>#DIV/0!</v>
      </c>
      <c r="AV28" s="3872"/>
      <c r="AW28" s="3874" t="s">
        <v>1994</v>
      </c>
      <c r="AY28" s="3927" t="e">
        <f>AY27/'Ch41 Calc Data'!Q17</f>
        <v>#DIV/0!</v>
      </c>
      <c r="AZ28" s="3933"/>
      <c r="BA28" s="3934" t="s">
        <v>1994</v>
      </c>
      <c r="BB28" s="3933"/>
      <c r="BC28" s="3927" t="e">
        <f>BC27/'Ch41 Calc Data'!Q17</f>
        <v>#DIV/0!</v>
      </c>
      <c r="BD28" s="3933"/>
      <c r="BE28" s="3935" t="s">
        <v>1994</v>
      </c>
    </row>
    <row r="29" spans="1:57">
      <c r="A29" t="s">
        <v>2039</v>
      </c>
      <c r="C29" s="1411" t="e">
        <f>C28*((((Assumptions!G92/280000)-1)*('Data Entry - SOF'!C58/1.17))+1)</f>
        <v>#DIV/0!</v>
      </c>
      <c r="D29" s="1415"/>
      <c r="E29" s="1416" t="s">
        <v>1994</v>
      </c>
      <c r="F29" s="1415"/>
      <c r="G29" s="1411" t="e">
        <f>G28*((((Assumptions!G93/280000)-1)*('Data Entry - SOF'!C58/1.17))+1)</f>
        <v>#DIV/0!</v>
      </c>
      <c r="H29" s="1415"/>
      <c r="I29" s="2739" t="s">
        <v>1994</v>
      </c>
      <c r="K29" s="3806" t="e">
        <f>K28*((((Assumptions!G103/280000)-1)*('Data Entry - SOF'!E58/1.17))+1)</f>
        <v>#DIV/0!</v>
      </c>
      <c r="L29" s="3812"/>
      <c r="M29" s="3813" t="s">
        <v>1994</v>
      </c>
      <c r="N29" s="3812"/>
      <c r="O29" s="3806" t="e">
        <f>O28*((((Assumptions!G104/280000)-1)*('Data Entry - SOF'!E58/1.17))+1)</f>
        <v>#DIV/0!</v>
      </c>
      <c r="P29" s="3812"/>
      <c r="Q29" s="3814" t="s">
        <v>1994</v>
      </c>
      <c r="S29" s="1589" t="e">
        <f>S28*((((Assumptions!G112/280000)-1)*('Data Entry - SOF'!G58/1.17))+1)</f>
        <v>#DIV/0!</v>
      </c>
      <c r="T29" s="1593"/>
      <c r="U29" s="1594" t="s">
        <v>1994</v>
      </c>
      <c r="V29" s="1593"/>
      <c r="W29" s="1589" t="e">
        <f>W28*((((Assumptions!G113/280000)-1)*('Data Entry - SOF'!G58/1.17))+1)</f>
        <v>#DIV/0!</v>
      </c>
      <c r="X29" s="1593"/>
      <c r="Y29" s="2775" t="s">
        <v>1994</v>
      </c>
      <c r="AA29" s="1670" t="e">
        <f>AA28*((((Assumptions!G121/280000)-1)*('Data Entry - SOF'!I58/1.17))+1)</f>
        <v>#DIV/0!</v>
      </c>
      <c r="AB29" s="1674"/>
      <c r="AC29" s="1675" t="s">
        <v>1994</v>
      </c>
      <c r="AD29" s="1674"/>
      <c r="AE29" s="1670" t="e">
        <f>AE28*((((Assumptions!G122/280000)-1)*('Data Entry - SOF'!I58/1.17))+1)</f>
        <v>#DIV/0!</v>
      </c>
      <c r="AF29" s="1674"/>
      <c r="AG29" s="2796" t="s">
        <v>1994</v>
      </c>
      <c r="AI29" s="2113" t="e">
        <f>AI28*((((Assumptions!G130/280000)-1)*('Data Entry - SOF'!K58/1.17))+1)</f>
        <v>#DIV/0!</v>
      </c>
      <c r="AJ29" s="2117"/>
      <c r="AK29" s="2118" t="s">
        <v>1994</v>
      </c>
      <c r="AL29" s="2117"/>
      <c r="AM29" s="2113" t="e">
        <f>AM28*((((Assumptions!G131/280000)-1)*('Data Entry - SOF'!K58/1.17))+1)</f>
        <v>#DIV/0!</v>
      </c>
      <c r="AN29" s="2117"/>
      <c r="AO29" s="2813" t="s">
        <v>1994</v>
      </c>
      <c r="AQ29" s="3866" t="e">
        <f>AQ28*((((Assumptions!G139/280000)-1)*('Data Entry - SOF'!M58/1.17))+1)</f>
        <v>#DIV/0!</v>
      </c>
      <c r="AR29" s="3872"/>
      <c r="AS29" s="3873" t="s">
        <v>1994</v>
      </c>
      <c r="AT29" s="3872"/>
      <c r="AU29" s="3866" t="e">
        <f>AU28*((((Assumptions!G140/280000)-1)*('Data Entry - SOF'!M58/1.17))+1)</f>
        <v>#DIV/0!</v>
      </c>
      <c r="AV29" s="3872"/>
      <c r="AW29" s="3874" t="s">
        <v>1994</v>
      </c>
      <c r="AY29" s="3927" t="e">
        <f>AY28*((((Assumptions!G148/280000)-1)*('Data Entry - SOF'!O58/1.17))+1)</f>
        <v>#DIV/0!</v>
      </c>
      <c r="AZ29" s="3933"/>
      <c r="BA29" s="3934" t="s">
        <v>1994</v>
      </c>
      <c r="BB29" s="3933"/>
      <c r="BC29" s="3927" t="e">
        <f>BC28*((((Assumptions!G149/280000)-1)*('Data Entry - SOF'!O58/1.17))+1)</f>
        <v>#DIV/0!</v>
      </c>
      <c r="BD29" s="3933"/>
      <c r="BE29" s="3935" t="s">
        <v>1994</v>
      </c>
    </row>
    <row r="30" spans="1:57">
      <c r="A30" t="s">
        <v>905</v>
      </c>
      <c r="C30" s="1411" t="e">
        <f>C29*'Ch41 Calc Data'!K17</f>
        <v>#DIV/0!</v>
      </c>
      <c r="D30" s="1415"/>
      <c r="E30" s="1416" t="s">
        <v>1994</v>
      </c>
      <c r="F30" s="1415"/>
      <c r="G30" s="1411" t="e">
        <f>G29*'Ch41 Calc Data'!K17</f>
        <v>#DIV/0!</v>
      </c>
      <c r="H30" s="1415"/>
      <c r="I30" s="2739" t="s">
        <v>1994</v>
      </c>
      <c r="K30" s="3806" t="e">
        <f>K29*'Ch41 Calc Data'!L17</f>
        <v>#DIV/0!</v>
      </c>
      <c r="L30" s="3812"/>
      <c r="M30" s="3813" t="s">
        <v>1994</v>
      </c>
      <c r="N30" s="3812"/>
      <c r="O30" s="3806" t="e">
        <f>O29*'Ch41 Calc Data'!L17</f>
        <v>#DIV/0!</v>
      </c>
      <c r="P30" s="3812"/>
      <c r="Q30" s="3814" t="s">
        <v>1994</v>
      </c>
      <c r="S30" s="1589" t="e">
        <f>S29*'Ch41 Calc Data'!M17</f>
        <v>#DIV/0!</v>
      </c>
      <c r="T30" s="1593"/>
      <c r="U30" s="1594" t="s">
        <v>1994</v>
      </c>
      <c r="V30" s="1593"/>
      <c r="W30" s="1589" t="e">
        <f>W29*'Ch41 Calc Data'!M17</f>
        <v>#DIV/0!</v>
      </c>
      <c r="X30" s="1593"/>
      <c r="Y30" s="2775" t="s">
        <v>1994</v>
      </c>
      <c r="AA30" s="1670" t="e">
        <f>AA29*'Ch41 Calc Data'!N17</f>
        <v>#DIV/0!</v>
      </c>
      <c r="AB30" s="1674"/>
      <c r="AC30" s="1675" t="s">
        <v>1994</v>
      </c>
      <c r="AD30" s="1674"/>
      <c r="AE30" s="1670" t="e">
        <f>AE29*'Ch41 Calc Data'!N17</f>
        <v>#DIV/0!</v>
      </c>
      <c r="AF30" s="1674"/>
      <c r="AG30" s="2796" t="s">
        <v>1994</v>
      </c>
      <c r="AI30" s="2113" t="e">
        <f>AI29*'Ch41 Calc Data'!O17</f>
        <v>#DIV/0!</v>
      </c>
      <c r="AJ30" s="2117"/>
      <c r="AK30" s="2118" t="s">
        <v>1994</v>
      </c>
      <c r="AL30" s="2117"/>
      <c r="AM30" s="2113" t="e">
        <f>AM29*'Ch41 Calc Data'!O17</f>
        <v>#DIV/0!</v>
      </c>
      <c r="AN30" s="2117"/>
      <c r="AO30" s="2813" t="s">
        <v>1994</v>
      </c>
      <c r="AQ30" s="3866" t="e">
        <f>AQ29*'Ch41 Calc Data'!P17</f>
        <v>#DIV/0!</v>
      </c>
      <c r="AR30" s="3872"/>
      <c r="AS30" s="3873" t="s">
        <v>1994</v>
      </c>
      <c r="AT30" s="3872"/>
      <c r="AU30" s="3866" t="e">
        <f>AU29*'Ch41 Calc Data'!P17</f>
        <v>#DIV/0!</v>
      </c>
      <c r="AV30" s="3872"/>
      <c r="AW30" s="3874" t="s">
        <v>1994</v>
      </c>
      <c r="AY30" s="3927" t="e">
        <f>AY29*'Ch41 Calc Data'!Q17</f>
        <v>#DIV/0!</v>
      </c>
      <c r="AZ30" s="3933"/>
      <c r="BA30" s="3934" t="s">
        <v>1994</v>
      </c>
      <c r="BB30" s="3933"/>
      <c r="BC30" s="3927" t="e">
        <f>BC29*'Ch41 Calc Data'!Q17</f>
        <v>#DIV/0!</v>
      </c>
      <c r="BD30" s="3933"/>
      <c r="BE30" s="3935" t="s">
        <v>1994</v>
      </c>
    </row>
    <row r="31" spans="1:57">
      <c r="I31" s="2733"/>
      <c r="Q31" s="3799"/>
      <c r="Y31" s="2769"/>
      <c r="AG31" s="2790"/>
      <c r="AO31" s="2664"/>
      <c r="AW31" s="3859"/>
      <c r="BE31" s="3920"/>
    </row>
    <row r="32" spans="1:57" ht="15.75">
      <c r="A32" s="38" t="s">
        <v>1420</v>
      </c>
      <c r="I32" s="2733"/>
      <c r="Q32" s="3799"/>
      <c r="Y32" s="2769"/>
      <c r="AG32" s="2790"/>
      <c r="AO32" s="2664"/>
      <c r="AW32" s="3859"/>
      <c r="BE32" s="3920"/>
    </row>
    <row r="33" spans="1:57">
      <c r="A33" t="s">
        <v>1421</v>
      </c>
      <c r="C33" s="1411" t="e">
        <f>IF(C30&gt;C24,C30,C24)</f>
        <v>#DIV/0!</v>
      </c>
      <c r="D33" s="1412"/>
      <c r="E33" s="1411" t="e">
        <f>E24</f>
        <v>#DIV/0!</v>
      </c>
      <c r="F33" s="1412"/>
      <c r="G33" s="1411" t="e">
        <f>IF(G30&gt;G24,G30,G24)</f>
        <v>#DIV/0!</v>
      </c>
      <c r="H33" s="1412"/>
      <c r="I33" s="2737" t="e">
        <f>I24</f>
        <v>#DIV/0!</v>
      </c>
      <c r="K33" s="3806" t="e">
        <f>IF(K30&gt;K24,K30,K24)</f>
        <v>#DIV/0!</v>
      </c>
      <c r="L33" s="3807"/>
      <c r="M33" s="3806" t="e">
        <f>M24</f>
        <v>#DIV/0!</v>
      </c>
      <c r="N33" s="3807"/>
      <c r="O33" s="3806" t="e">
        <f>IF(O30&gt;O24,O30,O24)</f>
        <v>#DIV/0!</v>
      </c>
      <c r="P33" s="3807"/>
      <c r="Q33" s="3808" t="e">
        <f>Q24</f>
        <v>#DIV/0!</v>
      </c>
      <c r="S33" s="1589" t="e">
        <f>IF(S30&gt;S24,S30,S24)</f>
        <v>#DIV/0!</v>
      </c>
      <c r="T33" s="1590"/>
      <c r="U33" s="1589" t="e">
        <f>U24</f>
        <v>#DIV/0!</v>
      </c>
      <c r="V33" s="1590"/>
      <c r="W33" s="1589" t="e">
        <f>IF(W30&gt;W24,W30,W24)</f>
        <v>#DIV/0!</v>
      </c>
      <c r="X33" s="1590"/>
      <c r="Y33" s="2773" t="e">
        <f>Y24</f>
        <v>#DIV/0!</v>
      </c>
      <c r="AA33" s="1670" t="e">
        <f>IF(AA30&gt;AA24,AA30,AA24)</f>
        <v>#DIV/0!</v>
      </c>
      <c r="AB33" s="1671"/>
      <c r="AC33" s="1670" t="e">
        <f>AC24</f>
        <v>#DIV/0!</v>
      </c>
      <c r="AD33" s="1671"/>
      <c r="AE33" s="1670" t="e">
        <f>IF(AE30&gt;AE24,AE30,AE24)</f>
        <v>#DIV/0!</v>
      </c>
      <c r="AF33" s="1671"/>
      <c r="AG33" s="2794" t="e">
        <f>AG24</f>
        <v>#DIV/0!</v>
      </c>
      <c r="AI33" s="2113" t="e">
        <f>IF(AI30&gt;AI24,AI30,AI24)</f>
        <v>#DIV/0!</v>
      </c>
      <c r="AJ33" s="2114"/>
      <c r="AK33" s="2113" t="e">
        <f>AK24</f>
        <v>#DIV/0!</v>
      </c>
      <c r="AL33" s="2114"/>
      <c r="AM33" s="2113" t="e">
        <f>IF(AM30&gt;AM24,AM30,AM24)</f>
        <v>#DIV/0!</v>
      </c>
      <c r="AN33" s="2114"/>
      <c r="AO33" s="2667" t="e">
        <f>AO24</f>
        <v>#DIV/0!</v>
      </c>
      <c r="AQ33" s="3866" t="e">
        <f>IF(AQ30&gt;AQ24,AQ30,AQ24)</f>
        <v>#DIV/0!</v>
      </c>
      <c r="AR33" s="3867"/>
      <c r="AS33" s="3866" t="e">
        <f>AS24</f>
        <v>#DIV/0!</v>
      </c>
      <c r="AT33" s="3867"/>
      <c r="AU33" s="3866" t="e">
        <f>IF(AU30&gt;AU24,AU30,AU24)</f>
        <v>#DIV/0!</v>
      </c>
      <c r="AV33" s="3867"/>
      <c r="AW33" s="3868" t="e">
        <f>AW24</f>
        <v>#DIV/0!</v>
      </c>
      <c r="AY33" s="3927" t="e">
        <f>IF(AY30&gt;AY24,AY30,AY24)</f>
        <v>#DIV/0!</v>
      </c>
      <c r="AZ33" s="3928"/>
      <c r="BA33" s="3927" t="e">
        <f>BA24</f>
        <v>#DIV/0!</v>
      </c>
      <c r="BB33" s="3928"/>
      <c r="BC33" s="3927" t="e">
        <f>IF(BC30&gt;BC24,BC30,BC24)</f>
        <v>#DIV/0!</v>
      </c>
      <c r="BD33" s="3928"/>
      <c r="BE33" s="3929" t="e">
        <f>BE24</f>
        <v>#DIV/0!</v>
      </c>
    </row>
    <row r="34" spans="1:57">
      <c r="A34" t="s">
        <v>545</v>
      </c>
      <c r="C34" s="1411" t="e">
        <f>IF('Data Entry - SOF'!C54-C33&lt;0,0,'Data Entry - SOF'!C54-C33)</f>
        <v>#DIV/0!</v>
      </c>
      <c r="D34" s="1412"/>
      <c r="E34" s="1411" t="e">
        <f>IF('Data Entry - SOF'!C54-E33&lt;0,0,'Data Entry - SOF'!C54-E33)</f>
        <v>#DIV/0!</v>
      </c>
      <c r="F34" s="1412"/>
      <c r="G34" s="1411" t="e">
        <f>IF('Data Entry - SOF'!C54-G33&lt;0,0,'Data Entry - SOF'!C54-G33)</f>
        <v>#DIV/0!</v>
      </c>
      <c r="H34" s="1412"/>
      <c r="I34" s="2737" t="e">
        <f>IF('Data Entry - SOF'!C54-I33&lt;0,0,'Data Entry - SOF'!C54-I33)</f>
        <v>#DIV/0!</v>
      </c>
      <c r="K34" s="3806" t="e">
        <f>IF('Data Entry - SOF'!E54-K33&lt;0,0,'Data Entry - SOF'!E54-K33)</f>
        <v>#DIV/0!</v>
      </c>
      <c r="L34" s="3807"/>
      <c r="M34" s="3806" t="e">
        <f>IF('Data Entry - SOF'!E54-M33&lt;0,0,'Data Entry - SOF'!E54-M33)</f>
        <v>#DIV/0!</v>
      </c>
      <c r="N34" s="3807"/>
      <c r="O34" s="3806" t="e">
        <f>IF('Data Entry - SOF'!E54-O33&lt;0,0,'Data Entry - SOF'!E54-O33)</f>
        <v>#DIV/0!</v>
      </c>
      <c r="P34" s="3807"/>
      <c r="Q34" s="3808" t="e">
        <f>IF('Data Entry - SOF'!E54-Q33&lt;0,0,'Data Entry - SOF'!E54-Q33)</f>
        <v>#DIV/0!</v>
      </c>
      <c r="S34" s="1589" t="e">
        <f>IF('Data Entry - SOF'!G54-S33&lt;0,0,'Data Entry - SOF'!G54-S33)</f>
        <v>#DIV/0!</v>
      </c>
      <c r="T34" s="1590"/>
      <c r="U34" s="1589" t="e">
        <f>IF('Data Entry - SOF'!G54-U33&lt;0,0,'Data Entry - SOF'!G54-U33)</f>
        <v>#DIV/0!</v>
      </c>
      <c r="V34" s="1590"/>
      <c r="W34" s="1589" t="e">
        <f>IF('Data Entry - SOF'!G54-W33&lt;0,0,'Data Entry - SOF'!G54-W33)</f>
        <v>#DIV/0!</v>
      </c>
      <c r="X34" s="1590"/>
      <c r="Y34" s="2773" t="e">
        <f>IF('Data Entry - SOF'!G54-Y33&lt;0,0,'Data Entry - SOF'!G54-Y33)</f>
        <v>#DIV/0!</v>
      </c>
      <c r="AA34" s="1670" t="e">
        <f>IF('Data Entry - SOF'!I54-AA33&lt;0,0,'Data Entry - SOF'!I54-AA33)</f>
        <v>#DIV/0!</v>
      </c>
      <c r="AB34" s="1671"/>
      <c r="AC34" s="1670" t="e">
        <f>IF('Data Entry - SOF'!I54-AC33&lt;0,0,'Data Entry - SOF'!I54-AC33)</f>
        <v>#DIV/0!</v>
      </c>
      <c r="AD34" s="1671"/>
      <c r="AE34" s="1670" t="e">
        <f>IF('Data Entry - SOF'!I54-AE33&lt;0,0,'Data Entry - SOF'!I54-AE33)</f>
        <v>#DIV/0!</v>
      </c>
      <c r="AF34" s="1671"/>
      <c r="AG34" s="2794" t="e">
        <f>IF('Data Entry - SOF'!I54-AG33&lt;0,0,'Data Entry - SOF'!I54-AG33)</f>
        <v>#DIV/0!</v>
      </c>
      <c r="AI34" s="2113" t="e">
        <f>IF('Data Entry - SOF'!K54-AI33&lt;0,0,'Data Entry - SOF'!K54-AI33)</f>
        <v>#DIV/0!</v>
      </c>
      <c r="AJ34" s="2114"/>
      <c r="AK34" s="2113" t="e">
        <f>IF('Data Entry - SOF'!K54-AK33&lt;0,0,'Data Entry - SOF'!K54-AK33)</f>
        <v>#DIV/0!</v>
      </c>
      <c r="AL34" s="2114"/>
      <c r="AM34" s="2113" t="e">
        <f>IF('Data Entry - SOF'!K54-AM33&lt;0,0,'Data Entry - SOF'!K54-AM33)</f>
        <v>#DIV/0!</v>
      </c>
      <c r="AN34" s="2114"/>
      <c r="AO34" s="2667" t="e">
        <f>IF('Data Entry - SOF'!K54-AO33&lt;0,0,'Data Entry - SOF'!K54-AO33)</f>
        <v>#DIV/0!</v>
      </c>
      <c r="AQ34" s="3866" t="e">
        <f>IF('Data Entry - SOF'!M54-AQ33&lt;0,0,'Data Entry - SOF'!M54-AQ33)</f>
        <v>#DIV/0!</v>
      </c>
      <c r="AR34" s="3867"/>
      <c r="AS34" s="3866" t="e">
        <f>IF('Data Entry - SOF'!M54-AS33&lt;0,0,'Data Entry - SOF'!M54-AS33)</f>
        <v>#DIV/0!</v>
      </c>
      <c r="AT34" s="3867"/>
      <c r="AU34" s="3866" t="e">
        <f>IF('Data Entry - SOF'!M54-AU33&lt;0,0,'Data Entry - SOF'!M54-AU33)</f>
        <v>#DIV/0!</v>
      </c>
      <c r="AV34" s="3867"/>
      <c r="AW34" s="3868" t="e">
        <f>IF('Data Entry - SOF'!M54-AW33&lt;0,0,'Data Entry - SOF'!M54-AW33)</f>
        <v>#DIV/0!</v>
      </c>
      <c r="AY34" s="3927" t="e">
        <f>IF('Data Entry - SOF'!O54-AY33&lt;0,0,'Data Entry - SOF'!O54-AY33)</f>
        <v>#DIV/0!</v>
      </c>
      <c r="AZ34" s="3928"/>
      <c r="BA34" s="3927" t="e">
        <f>IF('Data Entry - SOF'!O54-BA33&lt;0,0,'Data Entry - SOF'!O54-BA33)</f>
        <v>#DIV/0!</v>
      </c>
      <c r="BB34" s="3928"/>
      <c r="BC34" s="3927" t="e">
        <f>IF('Data Entry - SOF'!O54-BC33&lt;0,0,'Data Entry - SOF'!O54-BC33)</f>
        <v>#DIV/0!</v>
      </c>
      <c r="BD34" s="3928"/>
      <c r="BE34" s="3929" t="e">
        <f>IF('Data Entry - SOF'!O54-BE33&lt;0,0,'Data Entry - SOF'!O54-BE33)</f>
        <v>#DIV/0!</v>
      </c>
    </row>
    <row r="35" spans="1:57">
      <c r="A35" t="s">
        <v>2393</v>
      </c>
      <c r="C35" s="1417" t="e">
        <f>C34/'Data Entry - SOF'!C54</f>
        <v>#DIV/0!</v>
      </c>
      <c r="D35" s="1418"/>
      <c r="E35" s="1417" t="e">
        <f>E34/'Data Entry - SOF'!C54</f>
        <v>#DIV/0!</v>
      </c>
      <c r="F35" s="1418"/>
      <c r="G35" s="1417" t="e">
        <f>G34/'Data Entry - SOF'!C54</f>
        <v>#DIV/0!</v>
      </c>
      <c r="H35" s="1418"/>
      <c r="I35" s="2740" t="e">
        <f>I34/'Data Entry - SOF'!C54</f>
        <v>#DIV/0!</v>
      </c>
      <c r="K35" s="3815" t="e">
        <f>K34/'Data Entry - SOF'!E54</f>
        <v>#DIV/0!</v>
      </c>
      <c r="L35" s="3816"/>
      <c r="M35" s="3815" t="e">
        <f>M34/'Data Entry - SOF'!E54</f>
        <v>#DIV/0!</v>
      </c>
      <c r="N35" s="3816"/>
      <c r="O35" s="3815" t="e">
        <f>O34/'Data Entry - SOF'!E54</f>
        <v>#DIV/0!</v>
      </c>
      <c r="P35" s="3816"/>
      <c r="Q35" s="3817" t="e">
        <f>Q34/'Data Entry - SOF'!E54</f>
        <v>#DIV/0!</v>
      </c>
      <c r="S35" s="1595" t="e">
        <f>S34/'Data Entry - SOF'!G54</f>
        <v>#DIV/0!</v>
      </c>
      <c r="T35" s="1596"/>
      <c r="U35" s="1595" t="e">
        <f>U34/'Data Entry - SOF'!G54</f>
        <v>#DIV/0!</v>
      </c>
      <c r="V35" s="1596"/>
      <c r="W35" s="1595" t="e">
        <f>W34/'Data Entry - SOF'!G54</f>
        <v>#DIV/0!</v>
      </c>
      <c r="X35" s="1596"/>
      <c r="Y35" s="2776" t="e">
        <f>Y34/'Data Entry - SOF'!G54</f>
        <v>#DIV/0!</v>
      </c>
      <c r="AA35" s="1676" t="e">
        <f>AA34/'Data Entry - SOF'!I54</f>
        <v>#DIV/0!</v>
      </c>
      <c r="AB35" s="1677"/>
      <c r="AC35" s="1676" t="e">
        <f>AC34/'Data Entry - SOF'!I54</f>
        <v>#DIV/0!</v>
      </c>
      <c r="AD35" s="1677"/>
      <c r="AE35" s="1676" t="e">
        <f>AE34/'Data Entry - SOF'!I54</f>
        <v>#DIV/0!</v>
      </c>
      <c r="AF35" s="1677"/>
      <c r="AG35" s="2797" t="e">
        <f>AG34/'Data Entry - SOF'!I54</f>
        <v>#DIV/0!</v>
      </c>
      <c r="AI35" s="2119" t="e">
        <f>AI34/'Data Entry - SOF'!K54</f>
        <v>#DIV/0!</v>
      </c>
      <c r="AJ35" s="2120"/>
      <c r="AK35" s="2119" t="e">
        <f>AK34/'Data Entry - SOF'!K54</f>
        <v>#DIV/0!</v>
      </c>
      <c r="AL35" s="2120"/>
      <c r="AM35" s="2119" t="e">
        <f>AM34/'Data Entry - SOF'!K54</f>
        <v>#DIV/0!</v>
      </c>
      <c r="AN35" s="2120"/>
      <c r="AO35" s="2814" t="e">
        <f>AO34/'Data Entry - SOF'!K54</f>
        <v>#DIV/0!</v>
      </c>
      <c r="AQ35" s="3875" t="e">
        <f>AQ34/'Data Entry - SOF'!M54</f>
        <v>#DIV/0!</v>
      </c>
      <c r="AR35" s="3876"/>
      <c r="AS35" s="3875" t="e">
        <f>AS34/'Data Entry - SOF'!M54</f>
        <v>#DIV/0!</v>
      </c>
      <c r="AT35" s="3876"/>
      <c r="AU35" s="3875" t="e">
        <f>AU34/'Data Entry - SOF'!M54</f>
        <v>#DIV/0!</v>
      </c>
      <c r="AV35" s="3876"/>
      <c r="AW35" s="3877" t="e">
        <f>AW34/'Data Entry - SOF'!M54</f>
        <v>#DIV/0!</v>
      </c>
      <c r="AY35" s="3936" t="e">
        <f>AY34/'Data Entry - SOF'!O54</f>
        <v>#DIV/0!</v>
      </c>
      <c r="AZ35" s="3937"/>
      <c r="BA35" s="3936" t="e">
        <f>BA34/'Data Entry - SOF'!O54</f>
        <v>#DIV/0!</v>
      </c>
      <c r="BB35" s="3937"/>
      <c r="BC35" s="3936" t="e">
        <f>BC34/'Data Entry - SOF'!O54</f>
        <v>#DIV/0!</v>
      </c>
      <c r="BD35" s="3937"/>
      <c r="BE35" s="3938" t="e">
        <f>BE34/'Data Entry - SOF'!O54</f>
        <v>#DIV/0!</v>
      </c>
    </row>
    <row r="36" spans="1:57">
      <c r="A36" t="s">
        <v>213</v>
      </c>
      <c r="C36" s="1419" t="e">
        <f>C33/'Ch41 Calc Data'!K17</f>
        <v>#DIV/0!</v>
      </c>
      <c r="D36" s="1420"/>
      <c r="E36" s="1419" t="e">
        <f>E33/'Ch41 Calc Data'!K17</f>
        <v>#DIV/0!</v>
      </c>
      <c r="F36" s="1420"/>
      <c r="G36" s="1419" t="e">
        <f>G33/'Ch41 Calc Data'!K17</f>
        <v>#DIV/0!</v>
      </c>
      <c r="H36" s="1420"/>
      <c r="I36" s="2741" t="e">
        <f>I33/'Ch41 Calc Data'!K17</f>
        <v>#DIV/0!</v>
      </c>
      <c r="K36" s="3818" t="e">
        <f>K33/'Ch41 Calc Data'!L17</f>
        <v>#DIV/0!</v>
      </c>
      <c r="L36" s="3819"/>
      <c r="M36" s="3818" t="e">
        <f>M33/'Ch41 Calc Data'!L17</f>
        <v>#DIV/0!</v>
      </c>
      <c r="N36" s="3819"/>
      <c r="O36" s="3818" t="e">
        <f>O33/'Ch41 Calc Data'!L17</f>
        <v>#DIV/0!</v>
      </c>
      <c r="P36" s="3819"/>
      <c r="Q36" s="3820" t="e">
        <f>Q33/'Ch41 Calc Data'!L17</f>
        <v>#DIV/0!</v>
      </c>
      <c r="S36" s="1597" t="e">
        <f>S33/'Ch41 Calc Data'!M17</f>
        <v>#DIV/0!</v>
      </c>
      <c r="T36" s="1598"/>
      <c r="U36" s="1597" t="e">
        <f>U33/'Ch41 Calc Data'!M17</f>
        <v>#DIV/0!</v>
      </c>
      <c r="V36" s="1598"/>
      <c r="W36" s="1597" t="e">
        <f>W33/'Ch41 Calc Data'!M17</f>
        <v>#DIV/0!</v>
      </c>
      <c r="X36" s="1598"/>
      <c r="Y36" s="2777" t="e">
        <f>Y33/'Ch41 Calc Data'!M17</f>
        <v>#DIV/0!</v>
      </c>
      <c r="AA36" s="1678" t="e">
        <f>AA33/'Ch41 Calc Data'!N17</f>
        <v>#DIV/0!</v>
      </c>
      <c r="AB36" s="1679"/>
      <c r="AC36" s="1678" t="e">
        <f>AC33/'Ch41 Calc Data'!N17</f>
        <v>#DIV/0!</v>
      </c>
      <c r="AD36" s="1679"/>
      <c r="AE36" s="1678" t="e">
        <f>AE33/'Ch41 Calc Data'!N17</f>
        <v>#DIV/0!</v>
      </c>
      <c r="AF36" s="1679"/>
      <c r="AG36" s="2798" t="e">
        <f>AG33/'Ch41 Calc Data'!N17</f>
        <v>#DIV/0!</v>
      </c>
      <c r="AI36" s="2121" t="e">
        <f>AI33/'Ch41 Calc Data'!O17</f>
        <v>#DIV/0!</v>
      </c>
      <c r="AJ36" s="2122"/>
      <c r="AK36" s="2121" t="e">
        <f>AK33/'Ch41 Calc Data'!O17</f>
        <v>#DIV/0!</v>
      </c>
      <c r="AL36" s="2122"/>
      <c r="AM36" s="2121" t="e">
        <f>AM33/'Ch41 Calc Data'!O17</f>
        <v>#DIV/0!</v>
      </c>
      <c r="AN36" s="2122"/>
      <c r="AO36" s="2815" t="e">
        <f>AO33/'Ch41 Calc Data'!O17</f>
        <v>#DIV/0!</v>
      </c>
      <c r="AQ36" s="3878" t="e">
        <f>AQ33/'Ch41 Calc Data'!P17</f>
        <v>#DIV/0!</v>
      </c>
      <c r="AR36" s="3879"/>
      <c r="AS36" s="3878" t="e">
        <f>AS33/'Ch41 Calc Data'!P17</f>
        <v>#DIV/0!</v>
      </c>
      <c r="AT36" s="3879"/>
      <c r="AU36" s="3878" t="e">
        <f>AU33/'Ch41 Calc Data'!P17</f>
        <v>#DIV/0!</v>
      </c>
      <c r="AV36" s="3879"/>
      <c r="AW36" s="3880" t="e">
        <f>AW33/'Ch41 Calc Data'!P17</f>
        <v>#DIV/0!</v>
      </c>
      <c r="AY36" s="3939" t="e">
        <f>AY33/'Ch41 Calc Data'!Q17</f>
        <v>#DIV/0!</v>
      </c>
      <c r="AZ36" s="3940"/>
      <c r="BA36" s="3939" t="e">
        <f>BA33/'Ch41 Calc Data'!Q17</f>
        <v>#DIV/0!</v>
      </c>
      <c r="BB36" s="3940"/>
      <c r="BC36" s="3939" t="e">
        <f>BC33/'Ch41 Calc Data'!Q17</f>
        <v>#DIV/0!</v>
      </c>
      <c r="BD36" s="3940"/>
      <c r="BE36" s="3941" t="e">
        <f>BE33/'Ch41 Calc Data'!Q17</f>
        <v>#DIV/0!</v>
      </c>
    </row>
    <row r="37" spans="1:57">
      <c r="I37" s="2733"/>
      <c r="Q37" s="3799"/>
      <c r="Y37" s="2769"/>
      <c r="AG37" s="2790"/>
      <c r="AO37" s="2664"/>
      <c r="AW37" s="3859"/>
      <c r="BE37" s="3920"/>
    </row>
    <row r="38" spans="1:57" ht="15.75">
      <c r="A38" s="38" t="s">
        <v>2394</v>
      </c>
      <c r="I38" s="2733"/>
      <c r="Q38" s="3799"/>
      <c r="Y38" s="2769"/>
      <c r="AG38" s="2790"/>
      <c r="AO38" s="2664"/>
      <c r="AW38" s="3859"/>
      <c r="BE38" s="3920"/>
    </row>
    <row r="39" spans="1:57">
      <c r="A39" t="s">
        <v>1033</v>
      </c>
      <c r="C39" s="1263" t="e">
        <f>'Calc Data-15K'!C30</f>
        <v>#DIV/0!</v>
      </c>
      <c r="D39" s="1420"/>
      <c r="E39" s="1419" t="e">
        <f>C39</f>
        <v>#DIV/0!</v>
      </c>
      <c r="F39" s="1420"/>
      <c r="G39" s="1419"/>
      <c r="H39" s="1420"/>
      <c r="I39" s="2741"/>
      <c r="K39" s="3821" t="e">
        <f>'Calc Data-15K'!D30</f>
        <v>#DIV/0!</v>
      </c>
      <c r="L39" s="3819"/>
      <c r="M39" s="3818" t="e">
        <f>K39</f>
        <v>#DIV/0!</v>
      </c>
      <c r="N39" s="3819"/>
      <c r="O39" s="3818"/>
      <c r="P39" s="3819"/>
      <c r="Q39" s="3820"/>
      <c r="S39" s="1263" t="e">
        <f>'Calc Data-15K'!E30</f>
        <v>#DIV/0!</v>
      </c>
      <c r="T39" s="1598"/>
      <c r="U39" s="1597" t="e">
        <f>S39</f>
        <v>#DIV/0!</v>
      </c>
      <c r="V39" s="1598"/>
      <c r="W39" s="1597"/>
      <c r="X39" s="1598"/>
      <c r="Y39" s="2777"/>
      <c r="AA39" s="1263" t="e">
        <f>'Calc Data-15K'!F30</f>
        <v>#DIV/0!</v>
      </c>
      <c r="AB39" s="1679"/>
      <c r="AC39" s="1678" t="e">
        <f>AA39</f>
        <v>#DIV/0!</v>
      </c>
      <c r="AD39" s="1679"/>
      <c r="AE39" s="1678"/>
      <c r="AF39" s="1679"/>
      <c r="AG39" s="2798"/>
      <c r="AI39" s="1263" t="e">
        <f>'Calc Data-15K'!G30</f>
        <v>#DIV/0!</v>
      </c>
      <c r="AJ39" s="2122"/>
      <c r="AK39" s="2121" t="e">
        <f>AI39</f>
        <v>#DIV/0!</v>
      </c>
      <c r="AL39" s="2122"/>
      <c r="AM39" s="2121"/>
      <c r="AN39" s="2122"/>
      <c r="AO39" s="2815"/>
      <c r="AQ39" s="3759" t="e">
        <f>'Calc Data-15K'!H30</f>
        <v>#DIV/0!</v>
      </c>
      <c r="AR39" s="3879"/>
      <c r="AS39" s="3878" t="e">
        <f>AQ39</f>
        <v>#DIV/0!</v>
      </c>
      <c r="AT39" s="3879"/>
      <c r="AU39" s="3878"/>
      <c r="AV39" s="3879"/>
      <c r="AW39" s="3880"/>
      <c r="AY39" s="3942" t="e">
        <f>'Calc Data-15K'!I30</f>
        <v>#DIV/0!</v>
      </c>
      <c r="AZ39" s="3940"/>
      <c r="BA39" s="3939" t="e">
        <f>AY39</f>
        <v>#DIV/0!</v>
      </c>
      <c r="BB39" s="3940"/>
      <c r="BC39" s="3939"/>
      <c r="BD39" s="3940"/>
      <c r="BE39" s="3941"/>
    </row>
    <row r="40" spans="1:57">
      <c r="A40" t="s">
        <v>827</v>
      </c>
      <c r="C40" s="1419"/>
      <c r="D40" s="1420"/>
      <c r="E40" s="1419"/>
      <c r="F40" s="1420"/>
      <c r="G40" s="1263" t="e">
        <f>'Calc Data-15K'!C37</f>
        <v>#DIV/0!</v>
      </c>
      <c r="H40" s="1420"/>
      <c r="I40" s="2741" t="e">
        <f>G40</f>
        <v>#DIV/0!</v>
      </c>
      <c r="K40" s="3818"/>
      <c r="L40" s="3819"/>
      <c r="M40" s="3818"/>
      <c r="N40" s="3819"/>
      <c r="O40" s="3821" t="e">
        <f>'Calc Data-15K'!D37</f>
        <v>#DIV/0!</v>
      </c>
      <c r="P40" s="3819"/>
      <c r="Q40" s="3820" t="e">
        <f>O40</f>
        <v>#DIV/0!</v>
      </c>
      <c r="S40" s="1597"/>
      <c r="T40" s="1598"/>
      <c r="U40" s="1597"/>
      <c r="V40" s="1598"/>
      <c r="W40" s="1263" t="e">
        <f>'Calc Data-15K'!E37</f>
        <v>#DIV/0!</v>
      </c>
      <c r="X40" s="1598"/>
      <c r="Y40" s="2777" t="e">
        <f>W40</f>
        <v>#DIV/0!</v>
      </c>
      <c r="AA40" s="1678"/>
      <c r="AB40" s="1679"/>
      <c r="AC40" s="1678"/>
      <c r="AD40" s="1679"/>
      <c r="AE40" s="1263" t="e">
        <f>'Calc Data-15K'!F37</f>
        <v>#DIV/0!</v>
      </c>
      <c r="AF40" s="1679"/>
      <c r="AG40" s="2798" t="e">
        <f>AE40</f>
        <v>#DIV/0!</v>
      </c>
      <c r="AI40" s="2121"/>
      <c r="AJ40" s="2122"/>
      <c r="AK40" s="2121"/>
      <c r="AL40" s="2122"/>
      <c r="AM40" s="1263" t="e">
        <f>'Calc Data-15K'!G37</f>
        <v>#DIV/0!</v>
      </c>
      <c r="AN40" s="2122"/>
      <c r="AO40" s="2815" t="e">
        <f>AM40</f>
        <v>#DIV/0!</v>
      </c>
      <c r="AQ40" s="3878"/>
      <c r="AR40" s="3879"/>
      <c r="AS40" s="3878"/>
      <c r="AT40" s="3879"/>
      <c r="AU40" s="3759" t="e">
        <f>'Calc Data-15K'!H37</f>
        <v>#DIV/0!</v>
      </c>
      <c r="AV40" s="3879"/>
      <c r="AW40" s="3880" t="e">
        <f>AU40</f>
        <v>#DIV/0!</v>
      </c>
      <c r="AY40" s="3939"/>
      <c r="AZ40" s="3940"/>
      <c r="BA40" s="3939"/>
      <c r="BB40" s="3940"/>
      <c r="BC40" s="3942" t="e">
        <f>'Calc Data-15K'!I37</f>
        <v>#DIV/0!</v>
      </c>
      <c r="BD40" s="3940"/>
      <c r="BE40" s="3941" t="e">
        <f>BC40</f>
        <v>#DIV/0!</v>
      </c>
    </row>
    <row r="41" spans="1:57">
      <c r="A41" t="s">
        <v>1343</v>
      </c>
      <c r="C41" s="1419" t="e">
        <f>C39</f>
        <v>#DIV/0!</v>
      </c>
      <c r="D41" s="1420"/>
      <c r="E41" s="1419" t="e">
        <f>E39</f>
        <v>#DIV/0!</v>
      </c>
      <c r="F41" s="1420"/>
      <c r="G41" s="1419" t="e">
        <f>G40</f>
        <v>#DIV/0!</v>
      </c>
      <c r="H41" s="1420"/>
      <c r="I41" s="2741" t="e">
        <f>I40</f>
        <v>#DIV/0!</v>
      </c>
      <c r="K41" s="3818" t="e">
        <f>K39</f>
        <v>#DIV/0!</v>
      </c>
      <c r="L41" s="3819"/>
      <c r="M41" s="3818" t="e">
        <f>M39</f>
        <v>#DIV/0!</v>
      </c>
      <c r="N41" s="3819"/>
      <c r="O41" s="3818" t="e">
        <f>O40</f>
        <v>#DIV/0!</v>
      </c>
      <c r="P41" s="3819"/>
      <c r="Q41" s="3820" t="e">
        <f>Q40</f>
        <v>#DIV/0!</v>
      </c>
      <c r="S41" s="1597" t="e">
        <f>S39</f>
        <v>#DIV/0!</v>
      </c>
      <c r="T41" s="1598"/>
      <c r="U41" s="1597" t="e">
        <f>U39</f>
        <v>#DIV/0!</v>
      </c>
      <c r="V41" s="1598"/>
      <c r="W41" s="1597" t="e">
        <f>W40</f>
        <v>#DIV/0!</v>
      </c>
      <c r="X41" s="1598"/>
      <c r="Y41" s="2777" t="e">
        <f>Y40</f>
        <v>#DIV/0!</v>
      </c>
      <c r="AA41" s="1678" t="e">
        <f>AA39</f>
        <v>#DIV/0!</v>
      </c>
      <c r="AB41" s="1679"/>
      <c r="AC41" s="1678" t="e">
        <f>AC39</f>
        <v>#DIV/0!</v>
      </c>
      <c r="AD41" s="1679"/>
      <c r="AE41" s="1678" t="e">
        <f>AE40</f>
        <v>#DIV/0!</v>
      </c>
      <c r="AF41" s="1679"/>
      <c r="AG41" s="2798" t="e">
        <f>AG40</f>
        <v>#DIV/0!</v>
      </c>
      <c r="AI41" s="2121" t="e">
        <f>AI39</f>
        <v>#DIV/0!</v>
      </c>
      <c r="AJ41" s="2122"/>
      <c r="AK41" s="2121" t="e">
        <f>AK39</f>
        <v>#DIV/0!</v>
      </c>
      <c r="AL41" s="2122"/>
      <c r="AM41" s="2121" t="e">
        <f>AM40</f>
        <v>#DIV/0!</v>
      </c>
      <c r="AN41" s="2122"/>
      <c r="AO41" s="2815" t="e">
        <f>AO40</f>
        <v>#DIV/0!</v>
      </c>
      <c r="AQ41" s="3878" t="e">
        <f>AQ39</f>
        <v>#DIV/0!</v>
      </c>
      <c r="AR41" s="3879"/>
      <c r="AS41" s="3878" t="e">
        <f>AS39</f>
        <v>#DIV/0!</v>
      </c>
      <c r="AT41" s="3879"/>
      <c r="AU41" s="3878" t="e">
        <f>AU40</f>
        <v>#DIV/0!</v>
      </c>
      <c r="AV41" s="3879"/>
      <c r="AW41" s="3880" t="e">
        <f>AW40</f>
        <v>#DIV/0!</v>
      </c>
      <c r="AY41" s="3939" t="e">
        <f>AY39</f>
        <v>#DIV/0!</v>
      </c>
      <c r="AZ41" s="3940"/>
      <c r="BA41" s="3939" t="e">
        <f>BA39</f>
        <v>#DIV/0!</v>
      </c>
      <c r="BB41" s="3940"/>
      <c r="BC41" s="3939" t="e">
        <f>BC40</f>
        <v>#DIV/0!</v>
      </c>
      <c r="BD41" s="3940"/>
      <c r="BE41" s="3941" t="e">
        <f>BE40</f>
        <v>#DIV/0!</v>
      </c>
    </row>
    <row r="42" spans="1:57">
      <c r="A42" t="s">
        <v>2395</v>
      </c>
      <c r="C42" s="1411" t="e">
        <f>C35*C41</f>
        <v>#DIV/0!</v>
      </c>
      <c r="D42" s="1412"/>
      <c r="E42" s="1411" t="e">
        <f>E35*E41</f>
        <v>#DIV/0!</v>
      </c>
      <c r="F42" s="1412"/>
      <c r="G42" s="1411" t="e">
        <f>IF(G40&lt;1,0,G35*G41)</f>
        <v>#DIV/0!</v>
      </c>
      <c r="H42" s="1412"/>
      <c r="I42" s="2737" t="e">
        <f>IF(I40&lt;1,0,I35*I41)</f>
        <v>#DIV/0!</v>
      </c>
      <c r="K42" s="3806" t="e">
        <f>K35*K41</f>
        <v>#DIV/0!</v>
      </c>
      <c r="L42" s="3807"/>
      <c r="M42" s="3806" t="e">
        <f>M35*M41</f>
        <v>#DIV/0!</v>
      </c>
      <c r="N42" s="3807"/>
      <c r="O42" s="3806" t="e">
        <f>IF(O40&lt;1,0,O35*O41)</f>
        <v>#DIV/0!</v>
      </c>
      <c r="P42" s="3807"/>
      <c r="Q42" s="3808" t="e">
        <f>IF(Q40&lt;1,0,Q35*Q41)</f>
        <v>#DIV/0!</v>
      </c>
      <c r="S42" s="1589" t="e">
        <f>S35*S41</f>
        <v>#DIV/0!</v>
      </c>
      <c r="T42" s="1590"/>
      <c r="U42" s="1589" t="e">
        <f>U35*U41</f>
        <v>#DIV/0!</v>
      </c>
      <c r="V42" s="1590"/>
      <c r="W42" s="1589" t="e">
        <f>IF(W40&lt;1,0,W35*W41)</f>
        <v>#DIV/0!</v>
      </c>
      <c r="X42" s="1590"/>
      <c r="Y42" s="2773" t="e">
        <f>IF(Y40&lt;1,0,Y35*Y41)</f>
        <v>#DIV/0!</v>
      </c>
      <c r="AA42" s="1670" t="e">
        <f>AA35*AA41</f>
        <v>#DIV/0!</v>
      </c>
      <c r="AB42" s="1671"/>
      <c r="AC42" s="1670" t="e">
        <f>AC35*AC41</f>
        <v>#DIV/0!</v>
      </c>
      <c r="AD42" s="1671"/>
      <c r="AE42" s="1670" t="e">
        <f>IF(AE40&lt;1,0,AE35*AE41)</f>
        <v>#DIV/0!</v>
      </c>
      <c r="AF42" s="1671"/>
      <c r="AG42" s="2794" t="e">
        <f>IF(AG40&lt;1,0,AG35*AG41)</f>
        <v>#DIV/0!</v>
      </c>
      <c r="AI42" s="2113" t="e">
        <f>AI35*AI41</f>
        <v>#DIV/0!</v>
      </c>
      <c r="AJ42" s="2114"/>
      <c r="AK42" s="2113" t="e">
        <f>AK35*AK41</f>
        <v>#DIV/0!</v>
      </c>
      <c r="AL42" s="2114"/>
      <c r="AM42" s="2113" t="e">
        <f>IF(AM40&lt;1,0,AM35*AM41)</f>
        <v>#DIV/0!</v>
      </c>
      <c r="AN42" s="2114"/>
      <c r="AO42" s="2667" t="e">
        <f>IF(AO40&lt;1,0,AO35*AO41)</f>
        <v>#DIV/0!</v>
      </c>
      <c r="AQ42" s="3866" t="e">
        <f>AQ35*AQ41</f>
        <v>#DIV/0!</v>
      </c>
      <c r="AR42" s="3867"/>
      <c r="AS42" s="3866" t="e">
        <f>AS35*AS41</f>
        <v>#DIV/0!</v>
      </c>
      <c r="AT42" s="3867"/>
      <c r="AU42" s="3866" t="e">
        <f>IF(AU40&lt;1,0,AU35*AU41)</f>
        <v>#DIV/0!</v>
      </c>
      <c r="AV42" s="3867"/>
      <c r="AW42" s="3868" t="e">
        <f>IF(AW40&lt;1,0,AW35*AW41)</f>
        <v>#DIV/0!</v>
      </c>
      <c r="AY42" s="3927" t="e">
        <f>AY35*AY41</f>
        <v>#DIV/0!</v>
      </c>
      <c r="AZ42" s="3928"/>
      <c r="BA42" s="3927" t="e">
        <f>BA35*BA41</f>
        <v>#DIV/0!</v>
      </c>
      <c r="BB42" s="3928"/>
      <c r="BC42" s="3927" t="e">
        <f>IF(BC40&lt;1,0,BC35*BC41)</f>
        <v>#DIV/0!</v>
      </c>
      <c r="BD42" s="3928"/>
      <c r="BE42" s="3929" t="e">
        <f>IF(BE40&lt;1,0,BE35*BE41)</f>
        <v>#DIV/0!</v>
      </c>
    </row>
    <row r="43" spans="1:57">
      <c r="A43" s="97" t="s">
        <v>1141</v>
      </c>
      <c r="C43" s="1413" t="e">
        <f>C34/IF(C36&lt;Assumptions!G92,Assumptions!G92,C36)</f>
        <v>#DIV/0!</v>
      </c>
      <c r="D43" s="1414"/>
      <c r="E43" s="1413" t="e">
        <f>E34/E36</f>
        <v>#DIV/0!</v>
      </c>
      <c r="F43" s="1414"/>
      <c r="G43" s="1413" t="e">
        <f>IF(G42=0,0,G34/G36)</f>
        <v>#DIV/0!</v>
      </c>
      <c r="H43" s="1414"/>
      <c r="I43" s="2738" t="e">
        <f>IF(I42=0,0,I34/I36)</f>
        <v>#DIV/0!</v>
      </c>
      <c r="K43" s="3809" t="e">
        <f>K34/IF(K36&lt;Assumptions!G103,Assumptions!G103,K36)</f>
        <v>#DIV/0!</v>
      </c>
      <c r="L43" s="3810"/>
      <c r="M43" s="3809" t="e">
        <f>M34/M36</f>
        <v>#DIV/0!</v>
      </c>
      <c r="N43" s="3810"/>
      <c r="O43" s="3809" t="e">
        <f>IF(O42=0,0,O34/O36)</f>
        <v>#DIV/0!</v>
      </c>
      <c r="P43" s="3810"/>
      <c r="Q43" s="3811" t="e">
        <f>IF(Q42=0,0,Q34/Q36)</f>
        <v>#DIV/0!</v>
      </c>
      <c r="S43" s="1591" t="e">
        <f>S34/IF(S36&lt;Assumptions!G112,Assumptions!G112,S36)</f>
        <v>#DIV/0!</v>
      </c>
      <c r="T43" s="1592"/>
      <c r="U43" s="1591" t="e">
        <f>U34/U36</f>
        <v>#DIV/0!</v>
      </c>
      <c r="V43" s="1592"/>
      <c r="W43" s="1591" t="e">
        <f>IF(W42=0,0,W34/W36)</f>
        <v>#DIV/0!</v>
      </c>
      <c r="X43" s="1592"/>
      <c r="Y43" s="2774" t="e">
        <f>IF(Y42=0,0,Y34/Y36)</f>
        <v>#DIV/0!</v>
      </c>
      <c r="AA43" s="1672" t="e">
        <f>AA34/IF(AA36&lt;Assumptions!G121,Assumptions!G121,AA36)</f>
        <v>#DIV/0!</v>
      </c>
      <c r="AB43" s="1673"/>
      <c r="AC43" s="1672" t="e">
        <f>AC34/AC36</f>
        <v>#DIV/0!</v>
      </c>
      <c r="AD43" s="1673"/>
      <c r="AE43" s="1672" t="e">
        <f>IF(AE42=0,0,AE34/AE36)</f>
        <v>#DIV/0!</v>
      </c>
      <c r="AF43" s="1673"/>
      <c r="AG43" s="2795" t="e">
        <f>IF(AG42=0,0,AG34/AG36)</f>
        <v>#DIV/0!</v>
      </c>
      <c r="AI43" s="2115" t="e">
        <f>AI34/IF(AI36&lt;Assumptions!G130,Assumptions!G130,AI36)</f>
        <v>#DIV/0!</v>
      </c>
      <c r="AJ43" s="2116"/>
      <c r="AK43" s="2115" t="e">
        <f>AK34/AK36</f>
        <v>#DIV/0!</v>
      </c>
      <c r="AL43" s="2116"/>
      <c r="AM43" s="2115" t="e">
        <f>IF(AM42=0,0,AM34/AM36)</f>
        <v>#DIV/0!</v>
      </c>
      <c r="AN43" s="2116"/>
      <c r="AO43" s="2666" t="e">
        <f>IF(AO42=0,0,AO34/AO36)</f>
        <v>#DIV/0!</v>
      </c>
      <c r="AQ43" s="3869" t="e">
        <f>AQ34/IF(AQ36&lt;Assumptions!G139,Assumptions!G139,AQ36)</f>
        <v>#DIV/0!</v>
      </c>
      <c r="AR43" s="3870"/>
      <c r="AS43" s="3869" t="e">
        <f>AS34/AS36</f>
        <v>#DIV/0!</v>
      </c>
      <c r="AT43" s="3870"/>
      <c r="AU43" s="3869" t="e">
        <f>IF(AU42=0,0,AU34/AU36)</f>
        <v>#DIV/0!</v>
      </c>
      <c r="AV43" s="3870"/>
      <c r="AW43" s="3871" t="e">
        <f>IF(AW42=0,0,AW34/AW36)</f>
        <v>#DIV/0!</v>
      </c>
      <c r="AY43" s="3930" t="e">
        <f>AY34/IF(AY36&lt;Assumptions!G148,Assumptions!G148,AY36)</f>
        <v>#DIV/0!</v>
      </c>
      <c r="AZ43" s="3931"/>
      <c r="BA43" s="3930" t="e">
        <f>BA34/BA36</f>
        <v>#DIV/0!</v>
      </c>
      <c r="BB43" s="3931"/>
      <c r="BC43" s="3930" t="e">
        <f>IF(BC42=0,0,BC34/BC36)</f>
        <v>#DIV/0!</v>
      </c>
      <c r="BD43" s="3931"/>
      <c r="BE43" s="3932" t="e">
        <f>IF(BE42=0,0,BE34/BE36)</f>
        <v>#DIV/0!</v>
      </c>
    </row>
    <row r="44" spans="1:57">
      <c r="A44" s="92" t="s">
        <v>1752</v>
      </c>
      <c r="C44" s="1421" t="e">
        <f>IF(C43=0,0,IF(C42/C43&lt;3147,3147,C42/C43))</f>
        <v>#DIV/0!</v>
      </c>
      <c r="D44" s="1422"/>
      <c r="E44" s="1421" t="e">
        <f>IF(E43=0,0,IF(E42/E43&lt;3147,3147,E42/E43))</f>
        <v>#DIV/0!</v>
      </c>
      <c r="F44" s="1422"/>
      <c r="G44" s="1421" t="e">
        <f>IF(G43=0,0,IF(G42/G43&lt;71.62,71.62,G42/G43))</f>
        <v>#DIV/0!</v>
      </c>
      <c r="H44" s="1422"/>
      <c r="I44" s="2742" t="e">
        <f>IF(I43=0,0,IF(I42/I43&lt;71.62,71.62,I42/I43))</f>
        <v>#DIV/0!</v>
      </c>
      <c r="K44" s="3822" t="e">
        <f>IF(K43=0,0,IF(K42/K43&lt;3392,3392,K42/K43))</f>
        <v>#DIV/0!</v>
      </c>
      <c r="L44" s="3823"/>
      <c r="M44" s="3822" t="e">
        <f>IF(M43=0,0,IF(M42/M43&lt;3392,3392,M42/M43))</f>
        <v>#DIV/0!</v>
      </c>
      <c r="N44" s="3823"/>
      <c r="O44" s="3822" t="e">
        <f>IF(O43=0,0,IF(O42/O43&lt;84.777,84.777,O42/O43))</f>
        <v>#DIV/0!</v>
      </c>
      <c r="P44" s="3823"/>
      <c r="Q44" s="3824" t="e">
        <f>IF(Q43=0,0,IF(Q42/Q43&lt;84.777,84.777,Q42/Q43))</f>
        <v>#DIV/0!</v>
      </c>
      <c r="S44" s="1599" t="e">
        <f>IF(S43=0,0,IF(S42/S43&lt;3392,3392,S42/S43))</f>
        <v>#DIV/0!</v>
      </c>
      <c r="T44" s="1600"/>
      <c r="U44" s="1599" t="e">
        <f>IF(U43=0,0,IF(U42/U43&lt;3392,3392,U42/U43))</f>
        <v>#DIV/0!</v>
      </c>
      <c r="V44" s="1600"/>
      <c r="W44" s="1599" t="e">
        <f>IF(W43=0,0,IF(W42/W43&lt;84.777,84.777,W42/W43))</f>
        <v>#DIV/0!</v>
      </c>
      <c r="X44" s="1600"/>
      <c r="Y44" s="2778" t="e">
        <f>IF(Y43=0,0,IF(Y42/Y43&lt;84.777,84.777,Y42/Y43))</f>
        <v>#DIV/0!</v>
      </c>
      <c r="AA44" s="1680" t="e">
        <f>IF(AA43=0,0,IF(AA42/AA43&lt;3392,3392,AA42/AA43))</f>
        <v>#DIV/0!</v>
      </c>
      <c r="AB44" s="1681"/>
      <c r="AC44" s="1680" t="e">
        <f>IF(AC43=0,0,IF(AC42/AC43&lt;3392,3392,AC42/AC43))</f>
        <v>#DIV/0!</v>
      </c>
      <c r="AD44" s="1681"/>
      <c r="AE44" s="1680" t="e">
        <f>IF(AE43=0,0,IF(AE42/AE43&lt;84.777,84.777,AE42/AE43))</f>
        <v>#DIV/0!</v>
      </c>
      <c r="AF44" s="1681"/>
      <c r="AG44" s="2799" t="e">
        <f>IF(AG43=0,0,IF(AG42/AG43&lt;84.777,84.777,AG42/AG43))</f>
        <v>#DIV/0!</v>
      </c>
      <c r="AI44" s="2123" t="e">
        <f>IF(AI43=0,0,IF(AI42/AI43&lt;3392,3392,AI42/AI43))</f>
        <v>#DIV/0!</v>
      </c>
      <c r="AJ44" s="2124"/>
      <c r="AK44" s="2123" t="e">
        <f>IF(AK43=0,0,IF(AK42/AK43&lt;3392,3392,AK42/AK43))</f>
        <v>#DIV/0!</v>
      </c>
      <c r="AL44" s="2124"/>
      <c r="AM44" s="2123" t="e">
        <f>IF(AM43=0,0,IF(AM42/AM43&lt;84.777,84.777,AM42/AM43))</f>
        <v>#DIV/0!</v>
      </c>
      <c r="AN44" s="2124"/>
      <c r="AO44" s="2816" t="e">
        <f>IF(AO43=0,0,IF(AO42/AO43&lt;84.777,84.777,AO42/AO43))</f>
        <v>#DIV/0!</v>
      </c>
      <c r="AQ44" s="3881" t="e">
        <f>IF(AQ43=0,0,IF(AQ42/AQ43&lt;3392,3392,AQ42/AQ43))</f>
        <v>#DIV/0!</v>
      </c>
      <c r="AR44" s="3882"/>
      <c r="AS44" s="3881" t="e">
        <f>IF(AS43=0,0,IF(AS42/AS43&lt;3392,3392,AS42/AS43))</f>
        <v>#DIV/0!</v>
      </c>
      <c r="AT44" s="3882"/>
      <c r="AU44" s="3881" t="e">
        <f>IF(AU43=0,0,IF(AU42/AU43&lt;84.777,84.777,AU42/AU43))</f>
        <v>#DIV/0!</v>
      </c>
      <c r="AV44" s="3882"/>
      <c r="AW44" s="3883" t="e">
        <f>IF(AW43=0,0,IF(AW42/AW43&lt;84.777,84.777,AW42/AW43))</f>
        <v>#DIV/0!</v>
      </c>
      <c r="AY44" s="3943" t="e">
        <f>IF(AY43=0,0,IF(AY42/AY43&lt;3392,3392,AY42/AY43))</f>
        <v>#DIV/0!</v>
      </c>
      <c r="AZ44" s="3944"/>
      <c r="BA44" s="3943" t="e">
        <f>IF(BA43=0,0,IF(BA42/BA43&lt;3392,3392,BA42/BA43))</f>
        <v>#DIV/0!</v>
      </c>
      <c r="BB44" s="3944"/>
      <c r="BC44" s="3943" t="e">
        <f>IF(BC43=0,0,IF(BC42/BC43&lt;84.777,84.777,BC42/BC43))</f>
        <v>#DIV/0!</v>
      </c>
      <c r="BD44" s="3944"/>
      <c r="BE44" s="3945" t="e">
        <f>IF(BE43=0,0,IF(BE42/BE43&lt;84.777,84.777,BE42/BE43))</f>
        <v>#DIV/0!</v>
      </c>
    </row>
    <row r="45" spans="1:57">
      <c r="A45" s="92" t="s">
        <v>496</v>
      </c>
      <c r="C45" s="1413" t="e">
        <f>IF(OR('Data Entry - SOF'!C95=0,C44=0),0,IF('Data Entry - SOF'!C95&gt;C44,(C44*'Data Entry - SOF'!C94)/C44,('Data Entry - SOF'!C95*'Data Entry - SOF'!C94)/C44))</f>
        <v>#DIV/0!</v>
      </c>
      <c r="D45" s="1414"/>
      <c r="E45" s="1413" t="e">
        <f>C45</f>
        <v>#DIV/0!</v>
      </c>
      <c r="F45" s="1414"/>
      <c r="G45" s="1413" t="e">
        <f>IF(OR('Data Entry - SOF'!C95=0,G44=0),0,IF('Data Entry - SOF'!C95&gt;G44,(G44*'Data Entry - SOF'!C94)/G44,('Data Entry - SOF'!C95*'Data Entry - SOF'!C94)/G44))</f>
        <v>#DIV/0!</v>
      </c>
      <c r="H45" s="1414"/>
      <c r="I45" s="2738" t="e">
        <f>G45</f>
        <v>#DIV/0!</v>
      </c>
      <c r="K45" s="3809" t="e">
        <f>IF(OR('Data Entry - SOF'!E95=0,K44=0),0,IF('Data Entry - SOF'!E95&gt;K44,(K44*'Data Entry - SOF'!E94)/K44,('Data Entry - SOF'!E95*'Data Entry - SOF'!E94)/K44))</f>
        <v>#DIV/0!</v>
      </c>
      <c r="L45" s="3810"/>
      <c r="M45" s="3809" t="e">
        <f>K45</f>
        <v>#DIV/0!</v>
      </c>
      <c r="N45" s="3810"/>
      <c r="O45" s="3809" t="e">
        <f>IF(OR('Data Entry - SOF'!E95=0,O44=0),0,IF('Data Entry - SOF'!E95&gt;O44,(O44*'Data Entry - SOF'!E94)/O44,('Data Entry - SOF'!E95*'Data Entry - SOF'!E94)/O44))</f>
        <v>#DIV/0!</v>
      </c>
      <c r="P45" s="3810"/>
      <c r="Q45" s="3811" t="e">
        <f>O45</f>
        <v>#DIV/0!</v>
      </c>
      <c r="S45" s="1591" t="e">
        <f>IF(OR('Data Entry - SOF'!G95=0,S44=0),0,IF('Data Entry - SOF'!G95&gt;S44,(S44*'Data Entry - SOF'!G94)/S44,('Data Entry - SOF'!G95*'Data Entry - SOF'!G94)/S44))</f>
        <v>#DIV/0!</v>
      </c>
      <c r="T45" s="1592"/>
      <c r="U45" s="1591" t="e">
        <f>S45</f>
        <v>#DIV/0!</v>
      </c>
      <c r="V45" s="1592"/>
      <c r="W45" s="1591" t="e">
        <f>IF(OR('Data Entry - SOF'!G95=0,W44=0),0,IF('Data Entry - SOF'!G95&gt;W44,(W44*'Data Entry - SOF'!G94)/W44,('Data Entry - SOF'!G95*'Data Entry - SOF'!G94)/W44))</f>
        <v>#DIV/0!</v>
      </c>
      <c r="X45" s="1592"/>
      <c r="Y45" s="2774" t="e">
        <f>W45</f>
        <v>#DIV/0!</v>
      </c>
      <c r="AA45" s="1672" t="e">
        <f>IF(OR('Data Entry - SOF'!I95=0,AA44=0),0,IF('Data Entry - SOF'!I95&gt;AA44,(AA44*'Data Entry - SOF'!I94)/AA44,('Data Entry - SOF'!I95*'Data Entry - SOF'!I94)/AA44))</f>
        <v>#DIV/0!</v>
      </c>
      <c r="AB45" s="1673"/>
      <c r="AC45" s="1672" t="e">
        <f>AA45</f>
        <v>#DIV/0!</v>
      </c>
      <c r="AD45" s="1673"/>
      <c r="AE45" s="1672" t="e">
        <f>IF(OR('Data Entry - SOF'!I95=0,AE44=0),0,IF('Data Entry - SOF'!I95&gt;AE44,(AE44*'Data Entry - SOF'!I94)/AE44,('Data Entry - SOF'!I95*'Data Entry - SOF'!I94)/AE44))</f>
        <v>#DIV/0!</v>
      </c>
      <c r="AF45" s="1673"/>
      <c r="AG45" s="2795" t="e">
        <f>AE45</f>
        <v>#DIV/0!</v>
      </c>
      <c r="AI45" s="2115" t="e">
        <f>IF(OR('Data Entry - SOF'!K95=0,AI44=0),0,IF('Data Entry - SOF'!K95&gt;AI44,(AI44*'Data Entry - SOF'!K94)/AI44,('Data Entry - SOF'!K95*'Data Entry - SOF'!K94)/AI44))</f>
        <v>#DIV/0!</v>
      </c>
      <c r="AJ45" s="2116"/>
      <c r="AK45" s="2115" t="e">
        <f>AI45</f>
        <v>#DIV/0!</v>
      </c>
      <c r="AL45" s="2116"/>
      <c r="AM45" s="2115" t="e">
        <f>IF(OR('Data Entry - SOF'!K95=0,AM44=0),0,IF('Data Entry - SOF'!K95&gt;AM44,(AM44*'Data Entry - SOF'!K94)/AM44,('Data Entry - SOF'!K95*'Data Entry - SOF'!K94)/AM44))</f>
        <v>#DIV/0!</v>
      </c>
      <c r="AN45" s="2116"/>
      <c r="AO45" s="2666" t="e">
        <f>AM45</f>
        <v>#DIV/0!</v>
      </c>
      <c r="AQ45" s="3869" t="e">
        <f>IF(OR('Data Entry - SOF'!M95=0,AQ44=0),0,IF('Data Entry - SOF'!M95&gt;AQ44,(AQ44*'Data Entry - SOF'!M94)/AQ44,('Data Entry - SOF'!M95*'Data Entry - SOF'!M94)/AQ44))</f>
        <v>#DIV/0!</v>
      </c>
      <c r="AR45" s="3870"/>
      <c r="AS45" s="3869" t="e">
        <f>AQ45</f>
        <v>#DIV/0!</v>
      </c>
      <c r="AT45" s="3870"/>
      <c r="AU45" s="3869" t="e">
        <f>IF(OR('Data Entry - SOF'!M95=0,AU44=0),0,IF('Data Entry - SOF'!M95&gt;AU44,(AU44*'Data Entry - SOF'!M94)/AU44,('Data Entry - SOF'!M95*'Data Entry - SOF'!M94)/AU44))</f>
        <v>#DIV/0!</v>
      </c>
      <c r="AV45" s="3870"/>
      <c r="AW45" s="3871" t="e">
        <f>AU45</f>
        <v>#DIV/0!</v>
      </c>
      <c r="AY45" s="3930" t="e">
        <f>IF(OR('Data Entry - SOF'!O95=0,AY44=0),0,IF('Data Entry - SOF'!O95&gt;AY44,(AY44*'Data Entry - SOF'!O94)/AY44,('Data Entry - SOF'!O95*'Data Entry - SOF'!O94)/AY44))</f>
        <v>#DIV/0!</v>
      </c>
      <c r="AZ45" s="3931"/>
      <c r="BA45" s="3930" t="e">
        <f>AY45</f>
        <v>#DIV/0!</v>
      </c>
      <c r="BB45" s="3931"/>
      <c r="BC45" s="3930" t="e">
        <f>IF(OR('Data Entry - SOF'!O95=0,BC44=0),0,IF('Data Entry - SOF'!O95&gt;BC44,(BC44*'Data Entry - SOF'!O94)/BC44,('Data Entry - SOF'!O95*'Data Entry - SOF'!O94)/BC44))</f>
        <v>#DIV/0!</v>
      </c>
      <c r="BD45" s="3931"/>
      <c r="BE45" s="3932" t="e">
        <f>BC45</f>
        <v>#DIV/0!</v>
      </c>
    </row>
    <row r="46" spans="1:57">
      <c r="A46" s="92" t="s">
        <v>1476</v>
      </c>
      <c r="C46" s="219">
        <v>0</v>
      </c>
      <c r="D46" s="1414"/>
      <c r="E46" s="219">
        <v>0</v>
      </c>
      <c r="F46" s="1414"/>
      <c r="G46" s="219">
        <v>0</v>
      </c>
      <c r="H46" s="1414"/>
      <c r="I46" s="2743">
        <v>0</v>
      </c>
      <c r="K46" s="3825">
        <v>0</v>
      </c>
      <c r="L46" s="3810"/>
      <c r="M46" s="3825">
        <v>0</v>
      </c>
      <c r="N46" s="3810"/>
      <c r="O46" s="3825">
        <v>0</v>
      </c>
      <c r="P46" s="3810"/>
      <c r="Q46" s="3826">
        <v>0</v>
      </c>
      <c r="S46" s="219">
        <v>0</v>
      </c>
      <c r="T46" s="1592"/>
      <c r="U46" s="219">
        <v>0</v>
      </c>
      <c r="V46" s="1592"/>
      <c r="W46" s="219">
        <v>0</v>
      </c>
      <c r="X46" s="1592"/>
      <c r="Y46" s="2743">
        <v>0</v>
      </c>
      <c r="AA46" s="219">
        <v>0</v>
      </c>
      <c r="AB46" s="1673"/>
      <c r="AC46" s="219">
        <v>0</v>
      </c>
      <c r="AD46" s="1673"/>
      <c r="AE46" s="219">
        <v>0</v>
      </c>
      <c r="AF46" s="1673"/>
      <c r="AG46" s="2743">
        <v>0</v>
      </c>
      <c r="AI46" s="219">
        <v>0</v>
      </c>
      <c r="AJ46" s="2116"/>
      <c r="AK46" s="219">
        <v>0</v>
      </c>
      <c r="AL46" s="2116"/>
      <c r="AM46" s="219">
        <v>0</v>
      </c>
      <c r="AN46" s="2116"/>
      <c r="AO46" s="2743">
        <v>0</v>
      </c>
      <c r="AQ46" s="3884">
        <v>0</v>
      </c>
      <c r="AR46" s="3870"/>
      <c r="AS46" s="3884">
        <v>0</v>
      </c>
      <c r="AT46" s="3870"/>
      <c r="AU46" s="3884">
        <v>0</v>
      </c>
      <c r="AV46" s="3870"/>
      <c r="AW46" s="3885">
        <v>0</v>
      </c>
      <c r="AY46" s="3946">
        <v>0</v>
      </c>
      <c r="AZ46" s="3931"/>
      <c r="BA46" s="3946">
        <v>0</v>
      </c>
      <c r="BB46" s="3931"/>
      <c r="BC46" s="3946">
        <v>0</v>
      </c>
      <c r="BD46" s="3931"/>
      <c r="BE46" s="3947">
        <v>0</v>
      </c>
    </row>
    <row r="47" spans="1:57">
      <c r="A47" s="47" t="s">
        <v>1955</v>
      </c>
      <c r="C47" s="1413" t="e">
        <f>IF(C43-C45-C46&lt;0,0,C43-C45-C46)</f>
        <v>#DIV/0!</v>
      </c>
      <c r="D47" s="1414"/>
      <c r="E47" s="1413" t="e">
        <f>IF(E43-E45-E46&lt;0,0,E43-E45-E46)</f>
        <v>#DIV/0!</v>
      </c>
      <c r="F47" s="1414"/>
      <c r="G47" s="1413" t="e">
        <f>IF(G43-G45-G46&lt;0,0,G43-G45-G46)</f>
        <v>#DIV/0!</v>
      </c>
      <c r="H47" s="1414"/>
      <c r="I47" s="2738" t="e">
        <f>IF(I43-I45-I46&lt;0,0,I43-I45-I46)</f>
        <v>#DIV/0!</v>
      </c>
      <c r="K47" s="3809" t="e">
        <f>IF(K43-K45-K46&lt;0,0,K43-K45-K46)</f>
        <v>#DIV/0!</v>
      </c>
      <c r="L47" s="3810"/>
      <c r="M47" s="3809" t="e">
        <f>IF(M43-M45-M46&lt;0,0,M43-M45-M46)</f>
        <v>#DIV/0!</v>
      </c>
      <c r="N47" s="3810"/>
      <c r="O47" s="3809" t="e">
        <f>IF(O43-O45-O46&lt;0,0,O43-O45-O46)</f>
        <v>#DIV/0!</v>
      </c>
      <c r="P47" s="3810"/>
      <c r="Q47" s="3811" t="e">
        <f>IF(Q43-Q45-Q46&lt;0,0,Q43-Q45-Q46)</f>
        <v>#DIV/0!</v>
      </c>
      <c r="S47" s="1591" t="e">
        <f>IF(S43-S45-S46&lt;0,0,S43-S45-S46)</f>
        <v>#DIV/0!</v>
      </c>
      <c r="T47" s="1592"/>
      <c r="U47" s="1591" t="e">
        <f>IF(U43-U45-U46&lt;0,0,U43-U45-U46)</f>
        <v>#DIV/0!</v>
      </c>
      <c r="V47" s="1592"/>
      <c r="W47" s="1591" t="e">
        <f>IF(W43-W45-W46&lt;0,0,W43-W45-W46)</f>
        <v>#DIV/0!</v>
      </c>
      <c r="X47" s="1592"/>
      <c r="Y47" s="2774" t="e">
        <f>IF(Y43-Y45-Y46&lt;0,0,Y43-Y45-Y46)</f>
        <v>#DIV/0!</v>
      </c>
      <c r="AA47" s="1672" t="e">
        <f>IF(AA43-AA45-AA46&lt;0,0,AA43-AA45-AA46)</f>
        <v>#DIV/0!</v>
      </c>
      <c r="AB47" s="1673"/>
      <c r="AC47" s="1672" t="e">
        <f>IF(AC43-AC45-AC46&lt;0,0,AC43-AC45-AC46)</f>
        <v>#DIV/0!</v>
      </c>
      <c r="AD47" s="1673"/>
      <c r="AE47" s="1672" t="e">
        <f>IF(AE43-AE45-AE46&lt;0,0,AE43-AE45-AE46)</f>
        <v>#DIV/0!</v>
      </c>
      <c r="AF47" s="1673"/>
      <c r="AG47" s="2795" t="e">
        <f>IF(AG43-AG45-AG46&lt;0,0,AG43-AG45-AG46)</f>
        <v>#DIV/0!</v>
      </c>
      <c r="AI47" s="2115" t="e">
        <f>IF(AI43-AI45-AI46&lt;0,0,AI43-AI45-AI46)</f>
        <v>#DIV/0!</v>
      </c>
      <c r="AJ47" s="2116"/>
      <c r="AK47" s="2115" t="e">
        <f>IF(AK43-AK45-AK46&lt;0,0,AK43-AK45-AK46)</f>
        <v>#DIV/0!</v>
      </c>
      <c r="AL47" s="2116"/>
      <c r="AM47" s="2115" t="e">
        <f>IF(AM43-AM45-AM46&lt;0,0,AM43-AM45-AM46)</f>
        <v>#DIV/0!</v>
      </c>
      <c r="AN47" s="2116"/>
      <c r="AO47" s="2666" t="e">
        <f>IF(AO43-AO45-AO46&lt;0,0,AO43-AO45-AO46)</f>
        <v>#DIV/0!</v>
      </c>
      <c r="AQ47" s="3869" t="e">
        <f>IF(AQ43-AQ45-AQ46&lt;0,0,AQ43-AQ45-AQ46)</f>
        <v>#DIV/0!</v>
      </c>
      <c r="AR47" s="3870"/>
      <c r="AS47" s="3869" t="e">
        <f>IF(AS43-AS45-AS46&lt;0,0,AS43-AS45-AS46)</f>
        <v>#DIV/0!</v>
      </c>
      <c r="AT47" s="3870"/>
      <c r="AU47" s="3869" t="e">
        <f>IF(AU43-AU45-AU46&lt;0,0,AU43-AU45-AU46)</f>
        <v>#DIV/0!</v>
      </c>
      <c r="AV47" s="3870"/>
      <c r="AW47" s="3871" t="e">
        <f>IF(AW43-AW45-AW46&lt;0,0,AW43-AW45-AW46)</f>
        <v>#DIV/0!</v>
      </c>
      <c r="AY47" s="3930" t="e">
        <f>IF(AY43-AY45-AY46&lt;0,0,AY43-AY45-AY46)</f>
        <v>#DIV/0!</v>
      </c>
      <c r="AZ47" s="3931"/>
      <c r="BA47" s="3930" t="e">
        <f>IF(BA43-BA45-BA46&lt;0,0,BA43-BA45-BA46)</f>
        <v>#DIV/0!</v>
      </c>
      <c r="BB47" s="3931"/>
      <c r="BC47" s="3930" t="e">
        <f>IF(BC43-BC45-BC46&lt;0,0,BC43-BC45-BC46)</f>
        <v>#DIV/0!</v>
      </c>
      <c r="BD47" s="3931"/>
      <c r="BE47" s="3932" t="e">
        <f>IF(BE43-BE45-BE46&lt;0,0,BE43-BE45-BE46)</f>
        <v>#DIV/0!</v>
      </c>
    </row>
    <row r="48" spans="1:57">
      <c r="A48" s="92" t="s">
        <v>2986</v>
      </c>
      <c r="C48" s="1419" t="e">
        <f>IF(C47=0,0,C47*C44)</f>
        <v>#DIV/0!</v>
      </c>
      <c r="D48" s="1420"/>
      <c r="E48" s="1419" t="e">
        <f>IF(E47=0,0,E47*E44)</f>
        <v>#DIV/0!</v>
      </c>
      <c r="F48" s="1420"/>
      <c r="G48" s="1419" t="e">
        <f>IF(G47=0,0,G47*G44)</f>
        <v>#DIV/0!</v>
      </c>
      <c r="H48" s="1420"/>
      <c r="I48" s="2741" t="e">
        <f>IF(I47=0,0,I47*I44)</f>
        <v>#DIV/0!</v>
      </c>
      <c r="K48" s="3818" t="e">
        <f>IF(K47=0,0,K47*K44)</f>
        <v>#DIV/0!</v>
      </c>
      <c r="L48" s="3819"/>
      <c r="M48" s="3818" t="e">
        <f>IF(M47=0,0,M47*M44)</f>
        <v>#DIV/0!</v>
      </c>
      <c r="N48" s="3819"/>
      <c r="O48" s="3818" t="e">
        <f>IF(O47=0,0,O47*O44)</f>
        <v>#DIV/0!</v>
      </c>
      <c r="P48" s="3819"/>
      <c r="Q48" s="3820" t="e">
        <f>IF(Q47=0,0,Q47*Q44)</f>
        <v>#DIV/0!</v>
      </c>
      <c r="S48" s="1597" t="e">
        <f>IF(S47=0,0,S47*S44)</f>
        <v>#DIV/0!</v>
      </c>
      <c r="T48" s="1598"/>
      <c r="U48" s="1597" t="e">
        <f>IF(U47=0,0,U47*U44)</f>
        <v>#DIV/0!</v>
      </c>
      <c r="V48" s="1598"/>
      <c r="W48" s="1597" t="e">
        <f>IF(W47=0,0,W47*W44)</f>
        <v>#DIV/0!</v>
      </c>
      <c r="X48" s="1598"/>
      <c r="Y48" s="2777" t="e">
        <f>IF(Y47=0,0,Y47*Y44)</f>
        <v>#DIV/0!</v>
      </c>
      <c r="AA48" s="1678" t="e">
        <f>IF(AA47=0,0,AA47*AA44)</f>
        <v>#DIV/0!</v>
      </c>
      <c r="AB48" s="1679"/>
      <c r="AC48" s="1678" t="e">
        <f>IF(AC47=0,0,AC47*AC44)</f>
        <v>#DIV/0!</v>
      </c>
      <c r="AD48" s="1679"/>
      <c r="AE48" s="1678" t="e">
        <f>IF(AE47=0,0,AE47*AE44)</f>
        <v>#DIV/0!</v>
      </c>
      <c r="AF48" s="1679"/>
      <c r="AG48" s="2798" t="e">
        <f>IF(AG47=0,0,AG47*AG44)</f>
        <v>#DIV/0!</v>
      </c>
      <c r="AI48" s="2121" t="e">
        <f>IF(AI47=0,0,AI47*AI44)</f>
        <v>#DIV/0!</v>
      </c>
      <c r="AJ48" s="2122"/>
      <c r="AK48" s="2121" t="e">
        <f>IF(AK47=0,0,AK47*AK44)</f>
        <v>#DIV/0!</v>
      </c>
      <c r="AL48" s="2122"/>
      <c r="AM48" s="2121" t="e">
        <f>IF(AM47=0,0,AM47*AM44)</f>
        <v>#DIV/0!</v>
      </c>
      <c r="AN48" s="2122"/>
      <c r="AO48" s="2815" t="e">
        <f>IF(AO47=0,0,AO47*AO44)</f>
        <v>#DIV/0!</v>
      </c>
      <c r="AQ48" s="3878" t="e">
        <f>IF(AQ47=0,0,AQ47*AQ44)</f>
        <v>#DIV/0!</v>
      </c>
      <c r="AR48" s="3879"/>
      <c r="AS48" s="3878" t="e">
        <f>IF(AS47=0,0,AS47*AS44)</f>
        <v>#DIV/0!</v>
      </c>
      <c r="AT48" s="3879"/>
      <c r="AU48" s="3878" t="e">
        <f>IF(AU47=0,0,AU47*AU44)</f>
        <v>#DIV/0!</v>
      </c>
      <c r="AV48" s="3879"/>
      <c r="AW48" s="3880" t="e">
        <f>IF(AW47=0,0,AW47*AW44)</f>
        <v>#DIV/0!</v>
      </c>
      <c r="AY48" s="3939" t="e">
        <f>IF(AY47=0,0,AY47*AY44)</f>
        <v>#DIV/0!</v>
      </c>
      <c r="AZ48" s="3940"/>
      <c r="BA48" s="3939" t="e">
        <f>IF(BA47=0,0,BA47*BA44)</f>
        <v>#DIV/0!</v>
      </c>
      <c r="BB48" s="3940"/>
      <c r="BC48" s="3939" t="e">
        <f>IF(BC47=0,0,BC47*BC44)</f>
        <v>#DIV/0!</v>
      </c>
      <c r="BD48" s="3940"/>
      <c r="BE48" s="3941" t="e">
        <f>IF(BE47=0,0,BE47*BE44)</f>
        <v>#DIV/0!</v>
      </c>
    </row>
    <row r="49" spans="1:57">
      <c r="A49" s="92"/>
      <c r="I49" s="2733"/>
      <c r="Q49" s="3799"/>
      <c r="Y49" s="2769"/>
      <c r="AG49" s="2790"/>
      <c r="AO49" s="2664"/>
      <c r="AW49" s="3859"/>
      <c r="BE49" s="3920"/>
    </row>
    <row r="50" spans="1:57">
      <c r="A50" s="23" t="s">
        <v>325</v>
      </c>
      <c r="I50" s="2733"/>
      <c r="Q50" s="3799"/>
      <c r="Y50" s="2769"/>
      <c r="AG50" s="2790"/>
      <c r="AO50" s="2664"/>
      <c r="AW50" s="3859"/>
      <c r="BE50" s="3920"/>
    </row>
    <row r="51" spans="1:57">
      <c r="A51" s="92" t="s">
        <v>214</v>
      </c>
      <c r="C51" s="1423" t="e">
        <f>IF(C111&gt;C112,C112,C111)</f>
        <v>#DIV/0!</v>
      </c>
      <c r="D51" s="1420"/>
      <c r="E51" s="1423">
        <v>0</v>
      </c>
      <c r="F51" s="1420"/>
      <c r="G51" s="1423" t="e">
        <f>IF(G111&gt;G112,G112,G111)</f>
        <v>#DIV/0!</v>
      </c>
      <c r="H51" s="1420"/>
      <c r="I51" s="2744">
        <v>0</v>
      </c>
      <c r="K51" s="3827" t="e">
        <f>IF(K111&gt;K112,K112,K111)</f>
        <v>#DIV/0!</v>
      </c>
      <c r="L51" s="3819"/>
      <c r="M51" s="3827">
        <v>0</v>
      </c>
      <c r="N51" s="3819"/>
      <c r="O51" s="3827" t="e">
        <f>IF(O111&gt;O112,O112,O111)</f>
        <v>#DIV/0!</v>
      </c>
      <c r="P51" s="3819"/>
      <c r="Q51" s="3828">
        <v>0</v>
      </c>
      <c r="S51" s="1601" t="e">
        <f>IF(S111&gt;S112,S112,S111)</f>
        <v>#DIV/0!</v>
      </c>
      <c r="T51" s="1598"/>
      <c r="U51" s="1601">
        <v>0</v>
      </c>
      <c r="V51" s="1598"/>
      <c r="W51" s="1601" t="e">
        <f>IF(W111&gt;W112,W112,W111)</f>
        <v>#DIV/0!</v>
      </c>
      <c r="X51" s="1598"/>
      <c r="Y51" s="2779">
        <v>0</v>
      </c>
      <c r="AA51" s="1682" t="e">
        <f>IF(AA111&gt;AA112,AA112,AA111)</f>
        <v>#DIV/0!</v>
      </c>
      <c r="AB51" s="1679"/>
      <c r="AC51" s="1682">
        <v>0</v>
      </c>
      <c r="AD51" s="1679"/>
      <c r="AE51" s="1682" t="e">
        <f>IF(AE111&gt;AE112,AE112,AE111)</f>
        <v>#DIV/0!</v>
      </c>
      <c r="AF51" s="1679"/>
      <c r="AG51" s="2800">
        <v>0</v>
      </c>
      <c r="AI51" s="2125" t="e">
        <f>IF(AI111&gt;AI112,AI112,AI111)</f>
        <v>#DIV/0!</v>
      </c>
      <c r="AJ51" s="2122"/>
      <c r="AK51" s="2125">
        <v>0</v>
      </c>
      <c r="AL51" s="2122"/>
      <c r="AM51" s="2125" t="e">
        <f>IF(AM111&gt;AM112,AM112,AM111)</f>
        <v>#DIV/0!</v>
      </c>
      <c r="AN51" s="2122"/>
      <c r="AO51" s="2817">
        <v>0</v>
      </c>
      <c r="AQ51" s="3886" t="e">
        <f>IF(AQ111&gt;AQ112,AQ112,AQ111)</f>
        <v>#DIV/0!</v>
      </c>
      <c r="AR51" s="3879"/>
      <c r="AS51" s="3886">
        <v>0</v>
      </c>
      <c r="AT51" s="3879"/>
      <c r="AU51" s="3886" t="e">
        <f>IF(AU111&gt;AU112,AU112,AU111)</f>
        <v>#DIV/0!</v>
      </c>
      <c r="AV51" s="3879"/>
      <c r="AW51" s="3887">
        <v>0</v>
      </c>
      <c r="AY51" s="3948" t="e">
        <f>IF(AY111&gt;AY112,AY112,AY111)</f>
        <v>#DIV/0!</v>
      </c>
      <c r="AZ51" s="3940"/>
      <c r="BA51" s="3948">
        <v>0</v>
      </c>
      <c r="BB51" s="3940"/>
      <c r="BC51" s="3948" t="e">
        <f>IF(BC111&gt;BC112,BC112,BC111)</f>
        <v>#DIV/0!</v>
      </c>
      <c r="BD51" s="3940"/>
      <c r="BE51" s="3949">
        <v>0</v>
      </c>
    </row>
    <row r="52" spans="1:57">
      <c r="A52" s="92" t="s">
        <v>1638</v>
      </c>
      <c r="C52" s="1423" t="e">
        <f>'Data Entry - SOF'!C91*(C48/'Data Entry - SOF'!C59)</f>
        <v>#DIV/0!</v>
      </c>
      <c r="D52" s="1420"/>
      <c r="E52" s="1423">
        <f>IF('Data Entry - SOF'!C92&gt;E114,E114,'Data Entry - SOF'!C92)</f>
        <v>0</v>
      </c>
      <c r="F52" s="1420"/>
      <c r="G52" s="1423" t="e">
        <f>'Data Entry - SOF'!C91*(G48/'Data Entry - SOF'!C59)</f>
        <v>#DIV/0!</v>
      </c>
      <c r="H52" s="1420"/>
      <c r="I52" s="2744">
        <f>IF('Data Entry - SOF'!C92&gt;I114,I114,'Data Entry - SOF'!C92)</f>
        <v>0</v>
      </c>
      <c r="K52" s="3827" t="e">
        <f>'Data Entry - SOF'!E91*(K48/'Data Entry - SOF'!E59)</f>
        <v>#DIV/0!</v>
      </c>
      <c r="L52" s="3819"/>
      <c r="M52" s="3827">
        <f>IF('Data Entry - SOF'!E92&gt;M114,M114,'Data Entry - SOF'!E92)</f>
        <v>0</v>
      </c>
      <c r="N52" s="3819"/>
      <c r="O52" s="3827" t="e">
        <f>'Data Entry - SOF'!E91*(O48/'Data Entry - SOF'!E59)</f>
        <v>#DIV/0!</v>
      </c>
      <c r="P52" s="3819"/>
      <c r="Q52" s="3828">
        <f>IF('Data Entry - SOF'!E92&gt;Q114,Q114,'Data Entry - SOF'!E92)</f>
        <v>0</v>
      </c>
      <c r="S52" s="1601" t="e">
        <f>'Data Entry - SOF'!G91*(S48/'Data Entry - SOF'!G59)</f>
        <v>#DIV/0!</v>
      </c>
      <c r="T52" s="1598"/>
      <c r="U52" s="1601">
        <f>IF('Data Entry - SOF'!G92&gt;U114,U114,'Data Entry - SOF'!G92)</f>
        <v>0</v>
      </c>
      <c r="V52" s="1598"/>
      <c r="W52" s="1601" t="e">
        <f>'Data Entry - SOF'!G91*(W48/'Data Entry - SOF'!G59)</f>
        <v>#DIV/0!</v>
      </c>
      <c r="X52" s="1598"/>
      <c r="Y52" s="2779">
        <f>IF('Data Entry - SOF'!G92&gt;Y114,Y114,'Data Entry - SOF'!G92)</f>
        <v>0</v>
      </c>
      <c r="AA52" s="1682" t="e">
        <f>'Data Entry - SOF'!I91*(AA48/'Data Entry - SOF'!I59)</f>
        <v>#DIV/0!</v>
      </c>
      <c r="AB52" s="1679"/>
      <c r="AC52" s="1682">
        <f>IF('Data Entry - SOF'!I92&gt;AC114,AC114,'Data Entry - SOF'!I92)</f>
        <v>0</v>
      </c>
      <c r="AD52" s="1679"/>
      <c r="AE52" s="1682" t="e">
        <f>'Data Entry - SOF'!I91*(AE48/'Data Entry - SOF'!I59)</f>
        <v>#DIV/0!</v>
      </c>
      <c r="AF52" s="1679"/>
      <c r="AG52" s="2800">
        <f>IF('Data Entry - SOF'!I92&gt;AG114,AG114,'Data Entry - SOF'!I92)</f>
        <v>0</v>
      </c>
      <c r="AI52" s="2125" t="e">
        <f>'Data Entry - SOF'!K91*(AI48/'Data Entry - SOF'!K59)</f>
        <v>#DIV/0!</v>
      </c>
      <c r="AJ52" s="2122"/>
      <c r="AK52" s="2125">
        <f>IF('Data Entry - SOF'!K92&gt;AK114,AK114,'Data Entry - SOF'!K92)</f>
        <v>0</v>
      </c>
      <c r="AL52" s="2122"/>
      <c r="AM52" s="2125" t="e">
        <f>'Data Entry - SOF'!K91*(AM48/'Data Entry - SOF'!K59)</f>
        <v>#DIV/0!</v>
      </c>
      <c r="AN52" s="2122"/>
      <c r="AO52" s="2817">
        <f>IF('Data Entry - SOF'!K92&gt;AO114,AO114,'Data Entry - SOF'!K92)</f>
        <v>0</v>
      </c>
      <c r="AQ52" s="3886" t="e">
        <f>'Data Entry - SOF'!M91*(AQ48/'Data Entry - SOF'!M59)</f>
        <v>#DIV/0!</v>
      </c>
      <c r="AR52" s="3879"/>
      <c r="AS52" s="3886">
        <f>IF('Data Entry - SOF'!M92&gt;AS114,AS114,'Data Entry - SOF'!M92)</f>
        <v>0</v>
      </c>
      <c r="AT52" s="3879"/>
      <c r="AU52" s="3886" t="e">
        <f>'Data Entry - SOF'!M91*(AU48/'Data Entry - SOF'!M59)</f>
        <v>#DIV/0!</v>
      </c>
      <c r="AV52" s="3879"/>
      <c r="AW52" s="3887">
        <f>IF('Data Entry - SOF'!M92&gt;AW114,AW114,'Data Entry - SOF'!M92)</f>
        <v>0</v>
      </c>
      <c r="AY52" s="3948" t="e">
        <f>'Data Entry - SOF'!O91*(AY48/'Data Entry - SOF'!O59)</f>
        <v>#DIV/0!</v>
      </c>
      <c r="AZ52" s="3940"/>
      <c r="BA52" s="3948">
        <f>IF('Data Entry - SOF'!O92&gt;BA114,BA114,'Data Entry - SOF'!O92)</f>
        <v>0</v>
      </c>
      <c r="BB52" s="3940"/>
      <c r="BC52" s="3948" t="e">
        <f>'Data Entry - SOF'!O91*(BC48/'Data Entry - SOF'!O59)</f>
        <v>#DIV/0!</v>
      </c>
      <c r="BD52" s="3940"/>
      <c r="BE52" s="3949">
        <f>IF('Data Entry - SOF'!O92&gt;BE114,BE114,'Data Entry - SOF'!O92)</f>
        <v>0</v>
      </c>
    </row>
    <row r="53" spans="1:57">
      <c r="A53" s="92"/>
      <c r="C53" s="1405"/>
      <c r="D53" s="1405"/>
      <c r="E53" s="1405"/>
      <c r="F53" s="1405"/>
      <c r="G53" s="1405"/>
      <c r="H53" s="1405"/>
      <c r="I53" s="2745"/>
      <c r="K53" s="3829"/>
      <c r="L53" s="3829"/>
      <c r="M53" s="3829"/>
      <c r="N53" s="3829"/>
      <c r="O53" s="3829"/>
      <c r="P53" s="3829"/>
      <c r="Q53" s="3830"/>
      <c r="S53" s="1572"/>
      <c r="T53" s="1572"/>
      <c r="U53" s="1572"/>
      <c r="V53" s="1572"/>
      <c r="W53" s="1572"/>
      <c r="X53" s="1572"/>
      <c r="Y53" s="2780"/>
      <c r="AA53" s="1651"/>
      <c r="AB53" s="1651"/>
      <c r="AC53" s="1651"/>
      <c r="AD53" s="1651"/>
      <c r="AE53" s="1651"/>
      <c r="AF53" s="1651"/>
      <c r="AG53" s="2801"/>
      <c r="AI53" s="2126"/>
      <c r="AJ53" s="2126"/>
      <c r="AK53" s="2126"/>
      <c r="AL53" s="2126"/>
      <c r="AM53" s="2126"/>
      <c r="AN53" s="2126"/>
      <c r="AO53" s="2818"/>
      <c r="AQ53" s="3888"/>
      <c r="AR53" s="3888"/>
      <c r="AS53" s="3888"/>
      <c r="AT53" s="3888"/>
      <c r="AU53" s="3888"/>
      <c r="AV53" s="3888"/>
      <c r="AW53" s="3889"/>
      <c r="AY53" s="3950"/>
      <c r="AZ53" s="3950"/>
      <c r="BA53" s="3950"/>
      <c r="BB53" s="3950"/>
      <c r="BC53" s="3950"/>
      <c r="BD53" s="3950"/>
      <c r="BE53" s="3951"/>
    </row>
    <row r="54" spans="1:57" ht="13.5" thickBot="1">
      <c r="A54" s="23" t="s">
        <v>326</v>
      </c>
      <c r="C54" s="1424" t="e">
        <f>IF(C48-C51-C52&lt;0,0,C48-C51-C52)</f>
        <v>#DIV/0!</v>
      </c>
      <c r="D54" s="1420"/>
      <c r="E54" s="1424" t="e">
        <f>IF(E48-E51-E52&lt;0,0,E48-E51-E52)</f>
        <v>#DIV/0!</v>
      </c>
      <c r="F54" s="1420"/>
      <c r="G54" s="1424" t="e">
        <f>IF(G48-G51-G52&lt;0,0,G48-G51-G52)</f>
        <v>#DIV/0!</v>
      </c>
      <c r="H54" s="1420"/>
      <c r="I54" s="2746" t="e">
        <f>IF(I48-I51-I52&lt;0,0,I48-I51-I52)</f>
        <v>#DIV/0!</v>
      </c>
      <c r="K54" s="3831" t="e">
        <f>IF(K48-K51-K52&lt;0,0,K48-K51-K52)</f>
        <v>#DIV/0!</v>
      </c>
      <c r="L54" s="3819"/>
      <c r="M54" s="3831" t="e">
        <f>IF(M48-M51-M52&lt;0,0,M48-M51-M52)</f>
        <v>#DIV/0!</v>
      </c>
      <c r="N54" s="3819"/>
      <c r="O54" s="3831" t="e">
        <f>IF(O48-O51-O52&lt;0,0,O48-O51-O52)</f>
        <v>#DIV/0!</v>
      </c>
      <c r="P54" s="3819"/>
      <c r="Q54" s="3832" t="e">
        <f>IF(Q48-Q51-Q52&lt;0,0,Q48-Q51-Q52)</f>
        <v>#DIV/0!</v>
      </c>
      <c r="S54" s="1602" t="e">
        <f>IF(S48-S51-S52&lt;0,0,S48-S51-S52)</f>
        <v>#DIV/0!</v>
      </c>
      <c r="T54" s="1598"/>
      <c r="U54" s="1602" t="e">
        <f>IF(U48-U51-U52&lt;0,0,U48-U51-U52)</f>
        <v>#DIV/0!</v>
      </c>
      <c r="V54" s="1598"/>
      <c r="W54" s="1602" t="e">
        <f>IF(W48-W51-W52&lt;0,0,W48-W51-W52)</f>
        <v>#DIV/0!</v>
      </c>
      <c r="X54" s="1598"/>
      <c r="Y54" s="2781" t="e">
        <f>IF(Y48-Y51-Y52&lt;0,0,Y48-Y51-Y52)</f>
        <v>#DIV/0!</v>
      </c>
      <c r="AA54" s="1683" t="e">
        <f>IF(AA48-AA51-AA52&lt;0,0,AA48-AA51-AA52)</f>
        <v>#DIV/0!</v>
      </c>
      <c r="AB54" s="1679"/>
      <c r="AC54" s="1683" t="e">
        <f>IF(AC48-AC51-AC52&lt;0,0,AC48-AC51-AC52)</f>
        <v>#DIV/0!</v>
      </c>
      <c r="AD54" s="1679"/>
      <c r="AE54" s="1683" t="e">
        <f>IF(AE48-AE51-AE52&lt;0,0,AE48-AE51-AE52)</f>
        <v>#DIV/0!</v>
      </c>
      <c r="AF54" s="1679"/>
      <c r="AG54" s="2802" t="e">
        <f>IF(AG48-AG51-AG52&lt;0,0,AG48-AG51-AG52)</f>
        <v>#DIV/0!</v>
      </c>
      <c r="AI54" s="2127" t="e">
        <f>IF(AI48-AI51-AI52&lt;0,0,AI48-AI51-AI52)</f>
        <v>#DIV/0!</v>
      </c>
      <c r="AJ54" s="2122"/>
      <c r="AK54" s="2127" t="e">
        <f>IF(AK48-AK51-AK52&lt;0,0,AK48-AK51-AK52)</f>
        <v>#DIV/0!</v>
      </c>
      <c r="AL54" s="2122"/>
      <c r="AM54" s="2127" t="e">
        <f>IF(AM48-AM51-AM52&lt;0,0,AM48-AM51-AM52)</f>
        <v>#DIV/0!</v>
      </c>
      <c r="AN54" s="2122"/>
      <c r="AO54" s="2819" t="e">
        <f>IF(AO48-AO51-AO52&lt;0,0,AO48-AO51-AO52)</f>
        <v>#DIV/0!</v>
      </c>
      <c r="AQ54" s="3890" t="e">
        <f>IF(AQ48-AQ51-AQ52&lt;0,0,AQ48-AQ51-AQ52)</f>
        <v>#DIV/0!</v>
      </c>
      <c r="AR54" s="3879"/>
      <c r="AS54" s="3890" t="e">
        <f>IF(AS48-AS51-AS52&lt;0,0,AS48-AS51-AS52)</f>
        <v>#DIV/0!</v>
      </c>
      <c r="AT54" s="3879"/>
      <c r="AU54" s="3890" t="e">
        <f>IF(AU48-AU51-AU52&lt;0,0,AU48-AU51-AU52)</f>
        <v>#DIV/0!</v>
      </c>
      <c r="AV54" s="3879"/>
      <c r="AW54" s="3891" t="e">
        <f>IF(AW48-AW51-AW52&lt;0,0,AW48-AW51-AW52)</f>
        <v>#DIV/0!</v>
      </c>
      <c r="AY54" s="3952" t="e">
        <f>IF(AY48-AY51-AY52&lt;0,0,AY48-AY51-AY52)</f>
        <v>#DIV/0!</v>
      </c>
      <c r="AZ54" s="3940"/>
      <c r="BA54" s="3952" t="e">
        <f>IF(BA48-BA51-BA52&lt;0,0,BA48-BA51-BA52)</f>
        <v>#DIV/0!</v>
      </c>
      <c r="BB54" s="3940"/>
      <c r="BC54" s="3952" t="e">
        <f>IF(BC48-BC51-BC52&lt;0,0,BC48-BC51-BC52)</f>
        <v>#DIV/0!</v>
      </c>
      <c r="BD54" s="3940"/>
      <c r="BE54" s="3953" t="e">
        <f>IF(BE48-BE51-BE52&lt;0,0,BE48-BE51-BE52)</f>
        <v>#DIV/0!</v>
      </c>
    </row>
    <row r="55" spans="1:57" ht="13.5" thickTop="1">
      <c r="A55" s="23" t="s">
        <v>589</v>
      </c>
      <c r="C55" s="1420" t="e">
        <f>IF(C47=0,0,C54/C47)</f>
        <v>#DIV/0!</v>
      </c>
      <c r="D55" s="1420"/>
      <c r="E55" s="1420" t="e">
        <f>IF(E47=0,0,E54/E47)</f>
        <v>#DIV/0!</v>
      </c>
      <c r="F55" s="1420"/>
      <c r="G55" s="1420" t="e">
        <f>IF(G47=0,0,G54/G47)</f>
        <v>#DIV/0!</v>
      </c>
      <c r="H55" s="1420"/>
      <c r="I55" s="2745" t="e">
        <f>IF(I47=0,0,I54/I47)</f>
        <v>#DIV/0!</v>
      </c>
      <c r="K55" s="3819" t="e">
        <f>IF(K47=0,0,K54/K47)</f>
        <v>#DIV/0!</v>
      </c>
      <c r="L55" s="3819"/>
      <c r="M55" s="3819" t="e">
        <f>IF(M47=0,0,M54/M47)</f>
        <v>#DIV/0!</v>
      </c>
      <c r="N55" s="3819"/>
      <c r="O55" s="3819" t="e">
        <f>IF(O47=0,0,O54/O47)</f>
        <v>#DIV/0!</v>
      </c>
      <c r="P55" s="3819"/>
      <c r="Q55" s="3830" t="e">
        <f>IF(Q47=0,0,Q54/Q47)</f>
        <v>#DIV/0!</v>
      </c>
      <c r="S55" s="1598" t="e">
        <f>IF(S47=0,0,S54/S47)</f>
        <v>#DIV/0!</v>
      </c>
      <c r="T55" s="1598"/>
      <c r="U55" s="1598" t="e">
        <f>IF(U47=0,0,U54/U47)</f>
        <v>#DIV/0!</v>
      </c>
      <c r="V55" s="1598"/>
      <c r="W55" s="1598" t="e">
        <f>IF(W47=0,0,W54/W47)</f>
        <v>#DIV/0!</v>
      </c>
      <c r="X55" s="1598"/>
      <c r="Y55" s="2780" t="e">
        <f>IF(Y47=0,0,Y54/Y47)</f>
        <v>#DIV/0!</v>
      </c>
      <c r="AA55" s="1679" t="e">
        <f>IF(AA47=0,0,AA54/AA47)</f>
        <v>#DIV/0!</v>
      </c>
      <c r="AB55" s="1679"/>
      <c r="AC55" s="1679" t="e">
        <f>IF(AC47=0,0,AC54/AC47)</f>
        <v>#DIV/0!</v>
      </c>
      <c r="AD55" s="1679"/>
      <c r="AE55" s="1679" t="e">
        <f>IF(AE47=0,0,AE54/AE47)</f>
        <v>#DIV/0!</v>
      </c>
      <c r="AF55" s="1679"/>
      <c r="AG55" s="2801" t="e">
        <f>IF(AG47=0,0,AG54/AG47)</f>
        <v>#DIV/0!</v>
      </c>
      <c r="AI55" s="2122" t="e">
        <f>IF(AI47=0,0,AI54/AI47)</f>
        <v>#DIV/0!</v>
      </c>
      <c r="AJ55" s="2122"/>
      <c r="AK55" s="2122" t="e">
        <f>IF(AK47=0,0,AK54/AK47)</f>
        <v>#DIV/0!</v>
      </c>
      <c r="AL55" s="2122"/>
      <c r="AM55" s="2122" t="e">
        <f>IF(AM47=0,0,AM54/AM47)</f>
        <v>#DIV/0!</v>
      </c>
      <c r="AN55" s="2122"/>
      <c r="AO55" s="2818" t="e">
        <f>IF(AO47=0,0,AO54/AO47)</f>
        <v>#DIV/0!</v>
      </c>
      <c r="AQ55" s="3879" t="e">
        <f>IF(AQ47=0,0,AQ54/AQ47)</f>
        <v>#DIV/0!</v>
      </c>
      <c r="AR55" s="3879"/>
      <c r="AS55" s="3879" t="e">
        <f>IF(AS47=0,0,AS54/AS47)</f>
        <v>#DIV/0!</v>
      </c>
      <c r="AT55" s="3879"/>
      <c r="AU55" s="3879" t="e">
        <f>IF(AU47=0,0,AU54/AU47)</f>
        <v>#DIV/0!</v>
      </c>
      <c r="AV55" s="3879"/>
      <c r="AW55" s="3889" t="e">
        <f>IF(AW47=0,0,AW54/AW47)</f>
        <v>#DIV/0!</v>
      </c>
      <c r="AY55" s="3940" t="e">
        <f>IF(AY47=0,0,AY54/AY47)</f>
        <v>#DIV/0!</v>
      </c>
      <c r="AZ55" s="3940"/>
      <c r="BA55" s="3940" t="e">
        <f>IF(BA47=0,0,BA54/BA47)</f>
        <v>#DIV/0!</v>
      </c>
      <c r="BB55" s="3940"/>
      <c r="BC55" s="3940" t="e">
        <f>IF(BC47=0,0,BC54/BC47)</f>
        <v>#DIV/0!</v>
      </c>
      <c r="BD55" s="3940"/>
      <c r="BE55" s="3951" t="e">
        <f>IF(BE47=0,0,BE54/BE47)</f>
        <v>#DIV/0!</v>
      </c>
    </row>
    <row r="56" spans="1:57">
      <c r="I56" s="2733"/>
      <c r="Q56" s="3799"/>
      <c r="Y56" s="2769"/>
      <c r="AG56" s="2790"/>
      <c r="AO56" s="2664"/>
      <c r="AW56" s="3859"/>
      <c r="BE56" s="3920"/>
    </row>
    <row r="57" spans="1:57">
      <c r="A57" s="89" t="s">
        <v>1302</v>
      </c>
      <c r="C57" s="1425" t="str">
        <f>'Report-Recapture1617'!G65</f>
        <v>Y</v>
      </c>
      <c r="G57" s="1426" t="str">
        <f>'Report-Recapture1617'!G141</f>
        <v>Y</v>
      </c>
      <c r="I57" s="2733"/>
      <c r="K57" s="3833" t="str">
        <f>'Report-Recapture1718'!G65</f>
        <v>Y</v>
      </c>
      <c r="O57" s="3834" t="str">
        <f>'Report-Recapture1718'!G141</f>
        <v>Y</v>
      </c>
      <c r="Q57" s="3799"/>
      <c r="S57" s="1603" t="str">
        <f>'Report-Recapture1819'!G65</f>
        <v>Y</v>
      </c>
      <c r="W57" s="1604" t="str">
        <f>'Report-Recapture1819'!G141</f>
        <v>Y</v>
      </c>
      <c r="Y57" s="2769"/>
      <c r="AA57" s="1684" t="str">
        <f>'Report-Recapture1920'!G65</f>
        <v>Y</v>
      </c>
      <c r="AE57" s="1685" t="str">
        <f>'Report-Recapture1920'!G141</f>
        <v>Y</v>
      </c>
      <c r="AG57" s="2790"/>
      <c r="AI57" s="2128" t="str">
        <f>'Report-Recapture2021'!G65</f>
        <v>Y</v>
      </c>
      <c r="AM57" s="2129" t="str">
        <f>'Report-Recapture2021'!G141</f>
        <v>Y</v>
      </c>
      <c r="AO57" s="2664"/>
      <c r="AQ57" s="3892" t="str">
        <f>'Report-Recapture2122'!G65</f>
        <v>Y</v>
      </c>
      <c r="AU57" s="3893" t="str">
        <f>'Report-Recapture2122'!G141</f>
        <v>Y</v>
      </c>
      <c r="AW57" s="3859"/>
      <c r="AY57" s="3954" t="str">
        <f>'Report-Recapture2223'!G65</f>
        <v>Y</v>
      </c>
      <c r="BC57" s="3955" t="str">
        <f>'Report-Recapture2223'!G141</f>
        <v>Y</v>
      </c>
      <c r="BE57" s="3920"/>
    </row>
    <row r="58" spans="1:57">
      <c r="A58" s="47" t="s">
        <v>1303</v>
      </c>
      <c r="I58" s="2733"/>
      <c r="Q58" s="3799"/>
      <c r="Y58" s="2769"/>
      <c r="AG58" s="2790"/>
      <c r="AO58" s="2664"/>
      <c r="AW58" s="3859"/>
      <c r="BE58" s="3920"/>
    </row>
    <row r="59" spans="1:57">
      <c r="A59" s="109"/>
      <c r="C59" s="1427" t="s">
        <v>1242</v>
      </c>
      <c r="I59" s="2733"/>
      <c r="K59" s="3835" t="s">
        <v>1242</v>
      </c>
      <c r="Q59" s="3799"/>
      <c r="S59" s="1605" t="s">
        <v>1242</v>
      </c>
      <c r="Y59" s="2769"/>
      <c r="AA59" s="1686" t="s">
        <v>1242</v>
      </c>
      <c r="AG59" s="2790"/>
      <c r="AI59" s="2130" t="s">
        <v>1242</v>
      </c>
      <c r="AO59" s="2664"/>
      <c r="AQ59" s="3894" t="s">
        <v>1242</v>
      </c>
      <c r="AW59" s="3859"/>
      <c r="AY59" s="3956" t="s">
        <v>1242</v>
      </c>
      <c r="BE59" s="3920"/>
    </row>
    <row r="60" spans="1:57">
      <c r="A60" s="109"/>
      <c r="C60" s="1427" t="s">
        <v>1243</v>
      </c>
      <c r="I60" s="2733"/>
      <c r="K60" s="3835" t="s">
        <v>1243</v>
      </c>
      <c r="Q60" s="3799"/>
      <c r="S60" s="1605" t="s">
        <v>1243</v>
      </c>
      <c r="Y60" s="2769"/>
      <c r="AA60" s="1686" t="s">
        <v>1243</v>
      </c>
      <c r="AG60" s="2790"/>
      <c r="AI60" s="2130" t="s">
        <v>1243</v>
      </c>
      <c r="AO60" s="2664"/>
      <c r="AQ60" s="3894" t="s">
        <v>1243</v>
      </c>
      <c r="AW60" s="3859"/>
      <c r="AY60" s="3956" t="s">
        <v>1243</v>
      </c>
      <c r="BE60" s="3920"/>
    </row>
    <row r="61" spans="1:57">
      <c r="A61" s="109"/>
      <c r="I61" s="2733"/>
      <c r="Q61" s="3799"/>
      <c r="Y61" s="2769"/>
      <c r="AG61" s="2790"/>
      <c r="AO61" s="2664"/>
      <c r="AW61" s="3859"/>
      <c r="BE61" s="3920"/>
    </row>
    <row r="62" spans="1:57">
      <c r="A62" s="97"/>
      <c r="I62" s="2733"/>
      <c r="Q62" s="3799"/>
      <c r="Y62" s="2769"/>
      <c r="AG62" s="2790"/>
      <c r="AO62" s="2664"/>
      <c r="AW62" s="3859"/>
      <c r="BE62" s="3920"/>
    </row>
    <row r="63" spans="1:57">
      <c r="A63" s="97"/>
      <c r="C63" s="1886" t="s">
        <v>4473</v>
      </c>
      <c r="D63" s="1886"/>
      <c r="E63" s="1886"/>
      <c r="F63" s="1886"/>
      <c r="G63" s="1886"/>
      <c r="H63" s="1886"/>
      <c r="I63" s="2747"/>
      <c r="Q63" s="3799"/>
      <c r="Y63" s="2769"/>
      <c r="AG63" s="2790"/>
      <c r="AO63" s="2664"/>
      <c r="AW63" s="3859"/>
      <c r="BE63" s="3920"/>
    </row>
    <row r="64" spans="1:57">
      <c r="A64" s="97"/>
      <c r="C64" s="1887" t="e">
        <f>IF(C30&gt;C24,C30,C24)</f>
        <v>#DIV/0!</v>
      </c>
      <c r="D64" s="1886"/>
      <c r="E64" s="1887" t="e">
        <f>E24</f>
        <v>#DIV/0!</v>
      </c>
      <c r="F64" s="1886"/>
      <c r="G64" s="1887" t="e">
        <f>IF(G30&gt;G24,G30,G24)</f>
        <v>#DIV/0!</v>
      </c>
      <c r="H64" s="1886"/>
      <c r="I64" s="2748" t="e">
        <f>I24</f>
        <v>#DIV/0!</v>
      </c>
      <c r="Q64" s="3799"/>
      <c r="Y64" s="2769"/>
      <c r="AG64" s="2790"/>
      <c r="AO64" s="2664"/>
      <c r="AW64" s="3859"/>
      <c r="BE64" s="3920"/>
    </row>
    <row r="65" spans="1:57">
      <c r="A65" s="97"/>
      <c r="C65" s="1887" t="e">
        <f>IF('Data Entry - SOF'!C54-C64&lt;0,0,'Data Entry - SOF'!C54-C64)</f>
        <v>#DIV/0!</v>
      </c>
      <c r="D65" s="1886"/>
      <c r="E65" s="1887" t="e">
        <f>IF('Data Entry - SOF'!C54-E64&lt;0,0,'Data Entry - SOF'!C54-E64)</f>
        <v>#DIV/0!</v>
      </c>
      <c r="F65" s="1886"/>
      <c r="G65" s="1887" t="e">
        <f>IF('Data Entry - SOF'!C54-G64&lt;0,0,'Data Entry - SOF'!C54-G64)</f>
        <v>#DIV/0!</v>
      </c>
      <c r="H65" s="1886"/>
      <c r="I65" s="2748" t="e">
        <f>IF('Data Entry - SOF'!C54-I64&lt;0,0,'Data Entry - SOF'!C54-I64)</f>
        <v>#DIV/0!</v>
      </c>
      <c r="Q65" s="3799"/>
      <c r="Y65" s="2769"/>
      <c r="AG65" s="2790"/>
      <c r="AO65" s="2664"/>
      <c r="AW65" s="3859"/>
      <c r="BE65" s="3920"/>
    </row>
    <row r="66" spans="1:57">
      <c r="A66" s="97"/>
      <c r="C66" s="1888" t="e">
        <f>C65/'Data Entry - SOF'!C54</f>
        <v>#DIV/0!</v>
      </c>
      <c r="D66" s="1886"/>
      <c r="E66" s="1888" t="e">
        <f>E65/'Data Entry - SOF'!C54</f>
        <v>#DIV/0!</v>
      </c>
      <c r="F66" s="1886"/>
      <c r="G66" s="1888" t="e">
        <f>G65/'Data Entry - SOF'!C54</f>
        <v>#DIV/0!</v>
      </c>
      <c r="H66" s="1886"/>
      <c r="I66" s="2749" t="e">
        <f>I65/'Data Entry - SOF'!C54</f>
        <v>#DIV/0!</v>
      </c>
      <c r="Q66" s="3799"/>
      <c r="Y66" s="2769"/>
      <c r="AG66" s="2790"/>
      <c r="AO66" s="2664"/>
      <c r="AW66" s="3859"/>
      <c r="BE66" s="3920"/>
    </row>
    <row r="67" spans="1:57">
      <c r="A67" s="97"/>
      <c r="C67" s="1889" t="e">
        <f>C64/'Ch41 Calc Data'!K17</f>
        <v>#DIV/0!</v>
      </c>
      <c r="D67" s="1886"/>
      <c r="E67" s="1889" t="e">
        <f>E64/'Ch41 Calc Data'!K17</f>
        <v>#DIV/0!</v>
      </c>
      <c r="F67" s="1886"/>
      <c r="G67" s="1889" t="e">
        <f>G64/'Ch41 Calc Data'!K17</f>
        <v>#DIV/0!</v>
      </c>
      <c r="H67" s="1886"/>
      <c r="I67" s="2750" t="e">
        <f>I64/'Ch41 Calc Data'!K17</f>
        <v>#DIV/0!</v>
      </c>
      <c r="Q67" s="3799"/>
      <c r="Y67" s="2769"/>
      <c r="AG67" s="2790"/>
      <c r="AO67" s="2664"/>
      <c r="AW67" s="3859"/>
      <c r="BE67" s="3920"/>
    </row>
    <row r="68" spans="1:57">
      <c r="A68" s="97"/>
      <c r="C68" s="1886"/>
      <c r="D68" s="1890"/>
      <c r="E68" s="1886"/>
      <c r="F68" s="1890"/>
      <c r="G68" s="1886"/>
      <c r="H68" s="1890"/>
      <c r="I68" s="2747"/>
      <c r="K68" s="3801"/>
      <c r="L68" s="3801"/>
      <c r="M68" s="3801"/>
      <c r="N68" s="3801"/>
      <c r="O68" s="3801"/>
      <c r="P68" s="3801"/>
      <c r="Q68" s="3803"/>
      <c r="S68" s="1586"/>
      <c r="T68" s="1586"/>
      <c r="U68" s="1586"/>
      <c r="V68" s="1586"/>
      <c r="W68" s="1586"/>
      <c r="X68" s="1586"/>
      <c r="Y68" s="2770"/>
      <c r="AA68" s="1667"/>
      <c r="AB68" s="1667"/>
      <c r="AC68" s="1667"/>
      <c r="AD68" s="1667"/>
      <c r="AE68" s="1667"/>
      <c r="AF68" s="1667"/>
      <c r="AG68" s="2791"/>
      <c r="AI68" s="2110"/>
      <c r="AJ68" s="2110"/>
      <c r="AK68" s="2110"/>
      <c r="AL68" s="2110"/>
      <c r="AM68" s="2110"/>
      <c r="AN68" s="2110"/>
      <c r="AO68" s="2665"/>
      <c r="AQ68" s="3861"/>
      <c r="AR68" s="3861"/>
      <c r="AS68" s="3861"/>
      <c r="AT68" s="3861"/>
      <c r="AU68" s="3861"/>
      <c r="AV68" s="3861"/>
      <c r="AW68" s="3863"/>
      <c r="AY68" s="3922"/>
      <c r="AZ68" s="3922"/>
      <c r="BA68" s="3922"/>
      <c r="BB68" s="3922"/>
      <c r="BC68" s="3922"/>
      <c r="BD68" s="3922"/>
      <c r="BE68" s="3924"/>
    </row>
    <row r="69" spans="1:57">
      <c r="A69" s="97"/>
      <c r="C69" s="1886"/>
      <c r="D69" s="1891"/>
      <c r="E69" s="1886"/>
      <c r="F69" s="1891"/>
      <c r="G69" s="1886"/>
      <c r="H69" s="1891"/>
      <c r="I69" s="2747"/>
      <c r="K69" s="3819"/>
      <c r="L69" s="3819"/>
      <c r="M69" s="3819"/>
      <c r="N69" s="3819"/>
      <c r="O69" s="3819"/>
      <c r="P69" s="3819"/>
      <c r="Q69" s="3830"/>
      <c r="S69" s="1598"/>
      <c r="T69" s="1598"/>
      <c r="U69" s="1598"/>
      <c r="V69" s="1598"/>
      <c r="W69" s="1598"/>
      <c r="X69" s="1598"/>
      <c r="Y69" s="2780"/>
      <c r="AA69" s="1679"/>
      <c r="AB69" s="1679"/>
      <c r="AC69" s="1679"/>
      <c r="AD69" s="1679"/>
      <c r="AE69" s="1679"/>
      <c r="AF69" s="1679"/>
      <c r="AG69" s="2801"/>
      <c r="AI69" s="2122"/>
      <c r="AJ69" s="2122"/>
      <c r="AK69" s="2122"/>
      <c r="AL69" s="2122"/>
      <c r="AM69" s="2122"/>
      <c r="AN69" s="2122"/>
      <c r="AO69" s="2818"/>
      <c r="AQ69" s="3879"/>
      <c r="AR69" s="3879"/>
      <c r="AS69" s="3879"/>
      <c r="AT69" s="3879"/>
      <c r="AU69" s="3879"/>
      <c r="AV69" s="3879"/>
      <c r="AW69" s="3889"/>
      <c r="AY69" s="3940"/>
      <c r="AZ69" s="3940"/>
      <c r="BA69" s="3940"/>
      <c r="BB69" s="3940"/>
      <c r="BC69" s="3940"/>
      <c r="BD69" s="3940"/>
      <c r="BE69" s="3951"/>
    </row>
    <row r="70" spans="1:57">
      <c r="A70" s="97"/>
      <c r="C70" s="1263" t="e">
        <f>'Calc Data-15K'!AB32</f>
        <v>#DIV/0!</v>
      </c>
      <c r="D70" s="1891"/>
      <c r="E70" s="1889" t="e">
        <f>C70</f>
        <v>#DIV/0!</v>
      </c>
      <c r="F70" s="1891"/>
      <c r="G70" s="1889"/>
      <c r="H70" s="1891"/>
      <c r="I70" s="2750"/>
      <c r="K70" s="3819"/>
      <c r="L70" s="3819"/>
      <c r="M70" s="3819"/>
      <c r="N70" s="3819"/>
      <c r="O70" s="3819"/>
      <c r="P70" s="3819"/>
      <c r="Q70" s="3830"/>
      <c r="S70" s="1598"/>
      <c r="T70" s="1598"/>
      <c r="U70" s="1598"/>
      <c r="V70" s="1598"/>
      <c r="W70" s="1598"/>
      <c r="X70" s="1598"/>
      <c r="Y70" s="2780"/>
      <c r="AA70" s="1679"/>
      <c r="AB70" s="1679"/>
      <c r="AC70" s="1679"/>
      <c r="AD70" s="1679"/>
      <c r="AE70" s="1679"/>
      <c r="AF70" s="1679"/>
      <c r="AG70" s="2801"/>
      <c r="AI70" s="2122"/>
      <c r="AJ70" s="2122"/>
      <c r="AK70" s="2122"/>
      <c r="AL70" s="2122"/>
      <c r="AM70" s="2122"/>
      <c r="AN70" s="2122"/>
      <c r="AO70" s="2818"/>
      <c r="AQ70" s="3879"/>
      <c r="AR70" s="3879"/>
      <c r="AS70" s="3879"/>
      <c r="AT70" s="3879"/>
      <c r="AU70" s="3879"/>
      <c r="AV70" s="3879"/>
      <c r="AW70" s="3889"/>
      <c r="AY70" s="3940"/>
      <c r="AZ70" s="3940"/>
      <c r="BA70" s="3940"/>
      <c r="BB70" s="3940"/>
      <c r="BC70" s="3940"/>
      <c r="BD70" s="3940"/>
      <c r="BE70" s="3951"/>
    </row>
    <row r="71" spans="1:57">
      <c r="A71" s="97"/>
      <c r="C71" s="1889"/>
      <c r="D71" s="1891"/>
      <c r="E71" s="1889"/>
      <c r="F71" s="1891"/>
      <c r="G71" s="1263" t="e">
        <f>'Calc Data-15K'!AB31</f>
        <v>#DIV/0!</v>
      </c>
      <c r="H71" s="1891"/>
      <c r="I71" s="2750" t="e">
        <f>G71</f>
        <v>#DIV/0!</v>
      </c>
      <c r="K71" s="3819"/>
      <c r="L71" s="3819"/>
      <c r="M71" s="3819"/>
      <c r="N71" s="3819"/>
      <c r="O71" s="3819"/>
      <c r="P71" s="3819"/>
      <c r="Q71" s="3830"/>
      <c r="S71" s="1598"/>
      <c r="T71" s="1598"/>
      <c r="U71" s="1598"/>
      <c r="V71" s="1598"/>
      <c r="W71" s="1598"/>
      <c r="X71" s="1598"/>
      <c r="Y71" s="2780"/>
      <c r="AA71" s="1679"/>
      <c r="AB71" s="1679"/>
      <c r="AC71" s="1679"/>
      <c r="AD71" s="1679"/>
      <c r="AE71" s="1679"/>
      <c r="AF71" s="1679"/>
      <c r="AG71" s="2801"/>
      <c r="AI71" s="2122"/>
      <c r="AJ71" s="2122"/>
      <c r="AK71" s="2122"/>
      <c r="AL71" s="2122"/>
      <c r="AM71" s="2122"/>
      <c r="AN71" s="2122"/>
      <c r="AO71" s="2818"/>
      <c r="AQ71" s="3879"/>
      <c r="AR71" s="3879"/>
      <c r="AS71" s="3879"/>
      <c r="AT71" s="3879"/>
      <c r="AU71" s="3879"/>
      <c r="AV71" s="3879"/>
      <c r="AW71" s="3889"/>
      <c r="AY71" s="3940"/>
      <c r="AZ71" s="3940"/>
      <c r="BA71" s="3940"/>
      <c r="BB71" s="3940"/>
      <c r="BC71" s="3940"/>
      <c r="BD71" s="3940"/>
      <c r="BE71" s="3951"/>
    </row>
    <row r="72" spans="1:57">
      <c r="A72" s="97"/>
      <c r="C72" s="1889" t="e">
        <f>C70</f>
        <v>#DIV/0!</v>
      </c>
      <c r="D72" s="1891"/>
      <c r="E72" s="1889" t="e">
        <f>E70</f>
        <v>#DIV/0!</v>
      </c>
      <c r="F72" s="1891"/>
      <c r="G72" s="1889" t="e">
        <f>G71</f>
        <v>#DIV/0!</v>
      </c>
      <c r="H72" s="1891"/>
      <c r="I72" s="2750" t="e">
        <f>I71</f>
        <v>#DIV/0!</v>
      </c>
      <c r="K72" s="3819"/>
      <c r="L72" s="3819"/>
      <c r="M72" s="3819"/>
      <c r="N72" s="3819"/>
      <c r="O72" s="3819"/>
      <c r="P72" s="3819"/>
      <c r="Q72" s="3830"/>
      <c r="S72" s="1598"/>
      <c r="T72" s="1598"/>
      <c r="U72" s="1598"/>
      <c r="V72" s="1598"/>
      <c r="W72" s="1598"/>
      <c r="X72" s="1598"/>
      <c r="Y72" s="2780"/>
      <c r="AA72" s="1679"/>
      <c r="AB72" s="1679"/>
      <c r="AC72" s="1679"/>
      <c r="AD72" s="1679"/>
      <c r="AE72" s="1679"/>
      <c r="AF72" s="1679"/>
      <c r="AG72" s="2801"/>
      <c r="AI72" s="2122"/>
      <c r="AJ72" s="2122"/>
      <c r="AK72" s="2122"/>
      <c r="AL72" s="2122"/>
      <c r="AM72" s="2122"/>
      <c r="AN72" s="2122"/>
      <c r="AO72" s="2818"/>
      <c r="AQ72" s="3879"/>
      <c r="AR72" s="3879"/>
      <c r="AS72" s="3879"/>
      <c r="AT72" s="3879"/>
      <c r="AU72" s="3879"/>
      <c r="AV72" s="3879"/>
      <c r="AW72" s="3889"/>
      <c r="AY72" s="3940"/>
      <c r="AZ72" s="3940"/>
      <c r="BA72" s="3940"/>
      <c r="BB72" s="3940"/>
      <c r="BC72" s="3940"/>
      <c r="BD72" s="3940"/>
      <c r="BE72" s="3951"/>
    </row>
    <row r="73" spans="1:57">
      <c r="A73" s="97"/>
      <c r="C73" s="1887" t="e">
        <f>C66*C72</f>
        <v>#DIV/0!</v>
      </c>
      <c r="D73" s="1891"/>
      <c r="E73" s="1887" t="e">
        <f>E66*E72</f>
        <v>#DIV/0!</v>
      </c>
      <c r="F73" s="1891"/>
      <c r="G73" s="1887" t="e">
        <f>IF(G71&lt;1,0,G66*G72)</f>
        <v>#DIV/0!</v>
      </c>
      <c r="H73" s="1891"/>
      <c r="I73" s="2748" t="e">
        <f>IF(I71&lt;1,0,I66*I72)</f>
        <v>#DIV/0!</v>
      </c>
      <c r="K73" s="3819"/>
      <c r="L73" s="3819"/>
      <c r="M73" s="3819"/>
      <c r="N73" s="3819"/>
      <c r="O73" s="3819"/>
      <c r="P73" s="3819"/>
      <c r="Q73" s="3830"/>
      <c r="S73" s="1598"/>
      <c r="T73" s="1598"/>
      <c r="U73" s="1598"/>
      <c r="V73" s="1598"/>
      <c r="W73" s="1598"/>
      <c r="X73" s="1598"/>
      <c r="Y73" s="2780"/>
      <c r="AA73" s="1679"/>
      <c r="AB73" s="1679"/>
      <c r="AC73" s="1679"/>
      <c r="AD73" s="1679"/>
      <c r="AE73" s="1679"/>
      <c r="AF73" s="1679"/>
      <c r="AG73" s="2801"/>
      <c r="AI73" s="2122"/>
      <c r="AJ73" s="2122"/>
      <c r="AK73" s="2122"/>
      <c r="AL73" s="2122"/>
      <c r="AM73" s="2122"/>
      <c r="AN73" s="2122"/>
      <c r="AO73" s="2818"/>
      <c r="AQ73" s="3879"/>
      <c r="AR73" s="3879"/>
      <c r="AS73" s="3879"/>
      <c r="AT73" s="3879"/>
      <c r="AU73" s="3879"/>
      <c r="AV73" s="3879"/>
      <c r="AW73" s="3889"/>
      <c r="AY73" s="3940"/>
      <c r="AZ73" s="3940"/>
      <c r="BA73" s="3940"/>
      <c r="BB73" s="3940"/>
      <c r="BC73" s="3940"/>
      <c r="BD73" s="3940"/>
      <c r="BE73" s="3951"/>
    </row>
    <row r="74" spans="1:57">
      <c r="A74" s="97"/>
      <c r="C74" s="1892" t="e">
        <f>C65/IF(C67&lt;Assumptions!G92,Assumptions!G92,C67)</f>
        <v>#DIV/0!</v>
      </c>
      <c r="D74" s="1891"/>
      <c r="E74" s="1892" t="e">
        <f>E65/E67</f>
        <v>#DIV/0!</v>
      </c>
      <c r="F74" s="1891"/>
      <c r="G74" s="1892" t="e">
        <f>IF(G73=0,0,G65/G67)</f>
        <v>#DIV/0!</v>
      </c>
      <c r="H74" s="1891"/>
      <c r="I74" s="2751" t="e">
        <f>IF(I73=0,0,I65/I67)</f>
        <v>#DIV/0!</v>
      </c>
      <c r="K74" s="3819"/>
      <c r="L74" s="3819"/>
      <c r="M74" s="3819"/>
      <c r="N74" s="3819"/>
      <c r="O74" s="3819"/>
      <c r="P74" s="3819"/>
      <c r="Q74" s="3830"/>
      <c r="S74" s="1598"/>
      <c r="T74" s="1598"/>
      <c r="U74" s="1598"/>
      <c r="V74" s="1598"/>
      <c r="W74" s="1598"/>
      <c r="X74" s="1598"/>
      <c r="Y74" s="2780"/>
      <c r="AA74" s="1679"/>
      <c r="AB74" s="1679"/>
      <c r="AC74" s="1679"/>
      <c r="AD74" s="1679"/>
      <c r="AE74" s="1679"/>
      <c r="AF74" s="1679"/>
      <c r="AG74" s="2801"/>
      <c r="AI74" s="2122"/>
      <c r="AJ74" s="2122"/>
      <c r="AK74" s="2122"/>
      <c r="AL74" s="2122"/>
      <c r="AM74" s="2122"/>
      <c r="AN74" s="2122"/>
      <c r="AO74" s="2818"/>
      <c r="AQ74" s="3879"/>
      <c r="AR74" s="3879"/>
      <c r="AS74" s="3879"/>
      <c r="AT74" s="3879"/>
      <c r="AU74" s="3879"/>
      <c r="AV74" s="3879"/>
      <c r="AW74" s="3889"/>
      <c r="AY74" s="3940"/>
      <c r="AZ74" s="3940"/>
      <c r="BA74" s="3940"/>
      <c r="BB74" s="3940"/>
      <c r="BC74" s="3940"/>
      <c r="BD74" s="3940"/>
      <c r="BE74" s="3951"/>
    </row>
    <row r="75" spans="1:57">
      <c r="A75" s="97"/>
      <c r="C75" s="1893" t="e">
        <f>IF(C74=0,0,IF(C73/C74&lt;3147,3147,C73/C74))</f>
        <v>#DIV/0!</v>
      </c>
      <c r="D75" s="1891"/>
      <c r="E75" s="1893" t="e">
        <f>IF(E74=0,0,IF(E73/E74&lt;3147,3147,E73/E74))</f>
        <v>#DIV/0!</v>
      </c>
      <c r="F75" s="1891"/>
      <c r="G75" s="1893" t="e">
        <f>IF(G74=0,0,IF(G73/G74&lt;71.62,71.62,G73/G74))</f>
        <v>#DIV/0!</v>
      </c>
      <c r="H75" s="1891"/>
      <c r="I75" s="2752" t="e">
        <f>IF(I74=0,0,IF(I73/I74&lt;71.62,71.62,I73/I74))</f>
        <v>#DIV/0!</v>
      </c>
      <c r="K75" s="3819"/>
      <c r="L75" s="3819"/>
      <c r="M75" s="3819"/>
      <c r="N75" s="3819"/>
      <c r="O75" s="3819"/>
      <c r="P75" s="3819"/>
      <c r="Q75" s="3830"/>
      <c r="S75" s="1598"/>
      <c r="T75" s="1598"/>
      <c r="U75" s="1598"/>
      <c r="V75" s="1598"/>
      <c r="W75" s="1598"/>
      <c r="X75" s="1598"/>
      <c r="Y75" s="2780"/>
      <c r="AA75" s="1679"/>
      <c r="AB75" s="1679"/>
      <c r="AC75" s="1679"/>
      <c r="AD75" s="1679"/>
      <c r="AE75" s="1679"/>
      <c r="AF75" s="1679"/>
      <c r="AG75" s="2801"/>
      <c r="AI75" s="2122"/>
      <c r="AJ75" s="2122"/>
      <c r="AK75" s="2122"/>
      <c r="AL75" s="2122"/>
      <c r="AM75" s="2122"/>
      <c r="AN75" s="2122"/>
      <c r="AO75" s="2818"/>
      <c r="AQ75" s="3879"/>
      <c r="AR75" s="3879"/>
      <c r="AS75" s="3879"/>
      <c r="AT75" s="3879"/>
      <c r="AU75" s="3879"/>
      <c r="AV75" s="3879"/>
      <c r="AW75" s="3889"/>
      <c r="AY75" s="3940"/>
      <c r="AZ75" s="3940"/>
      <c r="BA75" s="3940"/>
      <c r="BB75" s="3940"/>
      <c r="BC75" s="3940"/>
      <c r="BD75" s="3940"/>
      <c r="BE75" s="3951"/>
    </row>
    <row r="76" spans="1:57">
      <c r="A76" s="97"/>
      <c r="C76" s="1892" t="e">
        <f>IF(OR('Data Entry - SOF'!C95=0,C75=0),0,IF('Data Entry - SOF'!C95&gt;C75,(C75*'Data Entry - SOF'!C94)/C75,('Data Entry - SOF'!C95*'Data Entry - SOF'!C94)/C75))</f>
        <v>#DIV/0!</v>
      </c>
      <c r="D76" s="1891"/>
      <c r="E76" s="1892" t="e">
        <f>C76</f>
        <v>#DIV/0!</v>
      </c>
      <c r="F76" s="1891"/>
      <c r="G76" s="1892" t="e">
        <f>IF(OR('Data Entry - SOF'!C95=0,G75=0),0,IF('Data Entry - SOF'!C95&gt;G75,(G75*'Data Entry - SOF'!C94)/G75,('Data Entry - SOF'!C95*'Data Entry - SOF'!C94)/G75))</f>
        <v>#DIV/0!</v>
      </c>
      <c r="H76" s="1891"/>
      <c r="I76" s="2751" t="e">
        <f>G76</f>
        <v>#DIV/0!</v>
      </c>
      <c r="K76" s="3819"/>
      <c r="L76" s="3819"/>
      <c r="M76" s="3819"/>
      <c r="N76" s="3819"/>
      <c r="O76" s="3819"/>
      <c r="P76" s="3819"/>
      <c r="Q76" s="3830"/>
      <c r="S76" s="1598"/>
      <c r="T76" s="1598"/>
      <c r="U76" s="1598"/>
      <c r="V76" s="1598"/>
      <c r="W76" s="1598"/>
      <c r="X76" s="1598"/>
      <c r="Y76" s="2780"/>
      <c r="AA76" s="1679"/>
      <c r="AB76" s="1679"/>
      <c r="AC76" s="1679"/>
      <c r="AD76" s="1679"/>
      <c r="AE76" s="1679"/>
      <c r="AF76" s="1679"/>
      <c r="AG76" s="2801"/>
      <c r="AI76" s="2122"/>
      <c r="AJ76" s="2122"/>
      <c r="AK76" s="2122"/>
      <c r="AL76" s="2122"/>
      <c r="AM76" s="2122"/>
      <c r="AN76" s="2122"/>
      <c r="AO76" s="2818"/>
      <c r="AQ76" s="3879"/>
      <c r="AR76" s="3879"/>
      <c r="AS76" s="3879"/>
      <c r="AT76" s="3879"/>
      <c r="AU76" s="3879"/>
      <c r="AV76" s="3879"/>
      <c r="AW76" s="3889"/>
      <c r="AY76" s="3940"/>
      <c r="AZ76" s="3940"/>
      <c r="BA76" s="3940"/>
      <c r="BB76" s="3940"/>
      <c r="BC76" s="3940"/>
      <c r="BD76" s="3940"/>
      <c r="BE76" s="3951"/>
    </row>
    <row r="77" spans="1:57">
      <c r="A77" s="97"/>
      <c r="C77" s="219">
        <v>0</v>
      </c>
      <c r="D77" s="1891"/>
      <c r="E77" s="219">
        <v>0</v>
      </c>
      <c r="F77" s="1891"/>
      <c r="G77" s="219">
        <v>0</v>
      </c>
      <c r="H77" s="1891"/>
      <c r="I77" s="2743">
        <v>0</v>
      </c>
      <c r="K77" s="3819"/>
      <c r="L77" s="3819"/>
      <c r="M77" s="3819"/>
      <c r="N77" s="3819"/>
      <c r="O77" s="3819"/>
      <c r="P77" s="3819"/>
      <c r="Q77" s="3830"/>
      <c r="S77" s="1598"/>
      <c r="T77" s="1598"/>
      <c r="U77" s="1598"/>
      <c r="V77" s="1598"/>
      <c r="W77" s="1598"/>
      <c r="X77" s="1598"/>
      <c r="Y77" s="2780"/>
      <c r="AA77" s="1679"/>
      <c r="AB77" s="1679"/>
      <c r="AC77" s="1679"/>
      <c r="AD77" s="1679"/>
      <c r="AE77" s="1679"/>
      <c r="AF77" s="1679"/>
      <c r="AG77" s="2801"/>
      <c r="AI77" s="2122"/>
      <c r="AJ77" s="2122"/>
      <c r="AK77" s="2122"/>
      <c r="AL77" s="2122"/>
      <c r="AM77" s="2122"/>
      <c r="AN77" s="2122"/>
      <c r="AO77" s="2818"/>
      <c r="AQ77" s="3879"/>
      <c r="AR77" s="3879"/>
      <c r="AS77" s="3879"/>
      <c r="AT77" s="3879"/>
      <c r="AU77" s="3879"/>
      <c r="AV77" s="3879"/>
      <c r="AW77" s="3889"/>
      <c r="AY77" s="3940"/>
      <c r="AZ77" s="3940"/>
      <c r="BA77" s="3940"/>
      <c r="BB77" s="3940"/>
      <c r="BC77" s="3940"/>
      <c r="BD77" s="3940"/>
      <c r="BE77" s="3951"/>
    </row>
    <row r="78" spans="1:57">
      <c r="A78" s="97"/>
      <c r="C78" s="1892" t="e">
        <f>IF(C74-C76-C77&lt;0,0,C74-C76-C77)</f>
        <v>#DIV/0!</v>
      </c>
      <c r="D78" s="1891"/>
      <c r="E78" s="1892" t="e">
        <f>IF(E74-E76-E77&lt;0,0,E74-E76-E77)</f>
        <v>#DIV/0!</v>
      </c>
      <c r="F78" s="1891"/>
      <c r="G78" s="1892" t="e">
        <f>IF(G74-G76-G77&lt;0,0,G74-G76-G77)</f>
        <v>#DIV/0!</v>
      </c>
      <c r="H78" s="1891"/>
      <c r="I78" s="2751" t="e">
        <f>IF(I74-I76-I77&lt;0,0,I74-I76-I77)</f>
        <v>#DIV/0!</v>
      </c>
      <c r="K78" s="3819"/>
      <c r="L78" s="3819"/>
      <c r="M78" s="3819"/>
      <c r="N78" s="3819"/>
      <c r="O78" s="3819"/>
      <c r="P78" s="3819"/>
      <c r="Q78" s="3830"/>
      <c r="S78" s="1598"/>
      <c r="T78" s="1598"/>
      <c r="U78" s="1598"/>
      <c r="V78" s="1598"/>
      <c r="W78" s="1598"/>
      <c r="X78" s="1598"/>
      <c r="Y78" s="2780"/>
      <c r="AA78" s="1679"/>
      <c r="AB78" s="1679"/>
      <c r="AC78" s="1679"/>
      <c r="AD78" s="1679"/>
      <c r="AE78" s="1679"/>
      <c r="AF78" s="1679"/>
      <c r="AG78" s="2801"/>
      <c r="AI78" s="2122"/>
      <c r="AJ78" s="2122"/>
      <c r="AK78" s="2122"/>
      <c r="AL78" s="2122"/>
      <c r="AM78" s="2122"/>
      <c r="AN78" s="2122"/>
      <c r="AO78" s="2818"/>
      <c r="AQ78" s="3879"/>
      <c r="AR78" s="3879"/>
      <c r="AS78" s="3879"/>
      <c r="AT78" s="3879"/>
      <c r="AU78" s="3879"/>
      <c r="AV78" s="3879"/>
      <c r="AW78" s="3889"/>
      <c r="AY78" s="3940"/>
      <c r="AZ78" s="3940"/>
      <c r="BA78" s="3940"/>
      <c r="BB78" s="3940"/>
      <c r="BC78" s="3940"/>
      <c r="BD78" s="3940"/>
      <c r="BE78" s="3951"/>
    </row>
    <row r="79" spans="1:57">
      <c r="A79" s="97"/>
      <c r="C79" s="1889" t="e">
        <f>IF(C78=0,0,C78*C75)</f>
        <v>#DIV/0!</v>
      </c>
      <c r="D79" s="1891"/>
      <c r="E79" s="1889" t="e">
        <f>IF(E78=0,0,E78*E75)</f>
        <v>#DIV/0!</v>
      </c>
      <c r="F79" s="1891"/>
      <c r="G79" s="1889" t="e">
        <f>IF(G78=0,0,G78*G75)</f>
        <v>#DIV/0!</v>
      </c>
      <c r="H79" s="1891"/>
      <c r="I79" s="2750" t="e">
        <f>IF(I78=0,0,I78*I75)</f>
        <v>#DIV/0!</v>
      </c>
      <c r="K79" s="3819"/>
      <c r="L79" s="3819"/>
      <c r="M79" s="3819"/>
      <c r="N79" s="3819"/>
      <c r="O79" s="3819"/>
      <c r="P79" s="3819"/>
      <c r="Q79" s="3830"/>
      <c r="S79" s="1598"/>
      <c r="T79" s="1598"/>
      <c r="U79" s="1598"/>
      <c r="V79" s="1598"/>
      <c r="W79" s="1598"/>
      <c r="X79" s="1598"/>
      <c r="Y79" s="2780"/>
      <c r="AA79" s="1679"/>
      <c r="AB79" s="1679"/>
      <c r="AC79" s="1679"/>
      <c r="AD79" s="1679"/>
      <c r="AE79" s="1679"/>
      <c r="AF79" s="1679"/>
      <c r="AG79" s="2801"/>
      <c r="AI79" s="2122"/>
      <c r="AJ79" s="2122"/>
      <c r="AK79" s="2122"/>
      <c r="AL79" s="2122"/>
      <c r="AM79" s="2122"/>
      <c r="AN79" s="2122"/>
      <c r="AO79" s="2818"/>
      <c r="AQ79" s="3879"/>
      <c r="AR79" s="3879"/>
      <c r="AS79" s="3879"/>
      <c r="AT79" s="3879"/>
      <c r="AU79" s="3879"/>
      <c r="AV79" s="3879"/>
      <c r="AW79" s="3889"/>
      <c r="AY79" s="3940"/>
      <c r="AZ79" s="3940"/>
      <c r="BA79" s="3940"/>
      <c r="BB79" s="3940"/>
      <c r="BC79" s="3940"/>
      <c r="BD79" s="3940"/>
      <c r="BE79" s="3951"/>
    </row>
    <row r="80" spans="1:57">
      <c r="A80" s="97"/>
      <c r="C80" s="1886"/>
      <c r="D80" s="1891"/>
      <c r="E80" s="1886"/>
      <c r="F80" s="1891"/>
      <c r="G80" s="1886"/>
      <c r="H80" s="1891"/>
      <c r="I80" s="2747"/>
      <c r="K80" s="3819"/>
      <c r="L80" s="3819"/>
      <c r="M80" s="3819"/>
      <c r="N80" s="3819"/>
      <c r="O80" s="3819"/>
      <c r="P80" s="3819"/>
      <c r="Q80" s="3830"/>
      <c r="S80" s="1598"/>
      <c r="T80" s="1598"/>
      <c r="U80" s="1598"/>
      <c r="V80" s="1598"/>
      <c r="W80" s="1598"/>
      <c r="X80" s="1598"/>
      <c r="Y80" s="2780"/>
      <c r="AA80" s="1679"/>
      <c r="AB80" s="1679"/>
      <c r="AC80" s="1679"/>
      <c r="AD80" s="1679"/>
      <c r="AE80" s="1679"/>
      <c r="AF80" s="1679"/>
      <c r="AG80" s="2801"/>
      <c r="AI80" s="2122"/>
      <c r="AJ80" s="2122"/>
      <c r="AK80" s="2122"/>
      <c r="AL80" s="2122"/>
      <c r="AM80" s="2122"/>
      <c r="AN80" s="2122"/>
      <c r="AO80" s="2818"/>
      <c r="AQ80" s="3879"/>
      <c r="AR80" s="3879"/>
      <c r="AS80" s="3879"/>
      <c r="AT80" s="3879"/>
      <c r="AU80" s="3879"/>
      <c r="AV80" s="3879"/>
      <c r="AW80" s="3889"/>
      <c r="AY80" s="3940"/>
      <c r="AZ80" s="3940"/>
      <c r="BA80" s="3940"/>
      <c r="BB80" s="3940"/>
      <c r="BC80" s="3940"/>
      <c r="BD80" s="3940"/>
      <c r="BE80" s="3951"/>
    </row>
    <row r="81" spans="1:57">
      <c r="A81" s="97"/>
      <c r="C81" s="1886"/>
      <c r="D81" s="1891"/>
      <c r="E81" s="1886"/>
      <c r="F81" s="1891"/>
      <c r="G81" s="1886"/>
      <c r="H81" s="1891"/>
      <c r="I81" s="2747"/>
      <c r="K81" s="3819"/>
      <c r="L81" s="3819"/>
      <c r="M81" s="3819"/>
      <c r="N81" s="3819"/>
      <c r="O81" s="3819"/>
      <c r="P81" s="3819"/>
      <c r="Q81" s="3830"/>
      <c r="S81" s="1598"/>
      <c r="T81" s="1598"/>
      <c r="U81" s="1598"/>
      <c r="V81" s="1598"/>
      <c r="W81" s="1598"/>
      <c r="X81" s="1598"/>
      <c r="Y81" s="2780"/>
      <c r="AA81" s="1679"/>
      <c r="AB81" s="1679"/>
      <c r="AC81" s="1679"/>
      <c r="AD81" s="1679"/>
      <c r="AE81" s="1679"/>
      <c r="AF81" s="1679"/>
      <c r="AG81" s="2801"/>
      <c r="AI81" s="2122"/>
      <c r="AJ81" s="2122"/>
      <c r="AK81" s="2122"/>
      <c r="AL81" s="2122"/>
      <c r="AM81" s="2122"/>
      <c r="AN81" s="2122"/>
      <c r="AO81" s="2818"/>
      <c r="AQ81" s="3879"/>
      <c r="AR81" s="3879"/>
      <c r="AS81" s="3879"/>
      <c r="AT81" s="3879"/>
      <c r="AU81" s="3879"/>
      <c r="AV81" s="3879"/>
      <c r="AW81" s="3889"/>
      <c r="AY81" s="3940"/>
      <c r="AZ81" s="3940"/>
      <c r="BA81" s="3940"/>
      <c r="BB81" s="3940"/>
      <c r="BC81" s="3940"/>
      <c r="BD81" s="3940"/>
      <c r="BE81" s="3951"/>
    </row>
    <row r="82" spans="1:57">
      <c r="A82" s="97"/>
      <c r="C82" s="1894" t="e">
        <f>IF(C118&gt;C119,C119,C118)</f>
        <v>#DIV/0!</v>
      </c>
      <c r="D82" s="1891"/>
      <c r="E82" s="1894">
        <v>0</v>
      </c>
      <c r="F82" s="1891"/>
      <c r="G82" s="1894" t="e">
        <f>IF(G118&gt;G119,G119,G118)</f>
        <v>#DIV/0!</v>
      </c>
      <c r="H82" s="1891"/>
      <c r="I82" s="2753">
        <v>0</v>
      </c>
      <c r="K82" s="3819"/>
      <c r="L82" s="3819"/>
      <c r="M82" s="3819"/>
      <c r="N82" s="3819"/>
      <c r="O82" s="3819"/>
      <c r="P82" s="3819"/>
      <c r="Q82" s="3830"/>
      <c r="S82" s="1598"/>
      <c r="T82" s="1598"/>
      <c r="U82" s="1598"/>
      <c r="V82" s="1598"/>
      <c r="W82" s="1598"/>
      <c r="X82" s="1598"/>
      <c r="Y82" s="2780"/>
      <c r="AA82" s="1679"/>
      <c r="AB82" s="1679"/>
      <c r="AC82" s="1679"/>
      <c r="AD82" s="1679"/>
      <c r="AE82" s="1679"/>
      <c r="AF82" s="1679"/>
      <c r="AG82" s="2801"/>
      <c r="AI82" s="2122"/>
      <c r="AJ82" s="2122"/>
      <c r="AK82" s="2122"/>
      <c r="AL82" s="2122"/>
      <c r="AM82" s="2122"/>
      <c r="AN82" s="2122"/>
      <c r="AO82" s="2818"/>
      <c r="AQ82" s="3879"/>
      <c r="AR82" s="3879"/>
      <c r="AS82" s="3879"/>
      <c r="AT82" s="3879"/>
      <c r="AU82" s="3879"/>
      <c r="AV82" s="3879"/>
      <c r="AW82" s="3889"/>
      <c r="AY82" s="3940"/>
      <c r="AZ82" s="3940"/>
      <c r="BA82" s="3940"/>
      <c r="BB82" s="3940"/>
      <c r="BC82" s="3940"/>
      <c r="BD82" s="3940"/>
      <c r="BE82" s="3951"/>
    </row>
    <row r="83" spans="1:57">
      <c r="A83" s="97"/>
      <c r="C83" s="1894" t="e">
        <f>'Data Entry - SOF'!C91*(C79/'Data Entry - SOF'!C59)</f>
        <v>#DIV/0!</v>
      </c>
      <c r="D83" s="1891"/>
      <c r="E83" s="1894">
        <f>IF('Data Entry - SOF'!C92&gt;E121,E121,'Data Entry - SOF'!C92)</f>
        <v>0</v>
      </c>
      <c r="F83" s="1891"/>
      <c r="G83" s="1894" t="e">
        <f>'Data Entry - SOF'!C91*(G79/'Data Entry - SOF'!C59)</f>
        <v>#DIV/0!</v>
      </c>
      <c r="H83" s="1891"/>
      <c r="I83" s="2753">
        <f>IF('Data Entry - SOF'!C92&gt;I121,I121,'Data Entry - SOF'!C92)</f>
        <v>0</v>
      </c>
      <c r="K83" s="3819"/>
      <c r="L83" s="3819"/>
      <c r="M83" s="3819"/>
      <c r="N83" s="3819"/>
      <c r="O83" s="3819"/>
      <c r="P83" s="3819"/>
      <c r="Q83" s="3830"/>
      <c r="S83" s="1598"/>
      <c r="T83" s="1598"/>
      <c r="U83" s="1598"/>
      <c r="V83" s="1598"/>
      <c r="W83" s="1598"/>
      <c r="X83" s="1598"/>
      <c r="Y83" s="2780"/>
      <c r="AA83" s="1679"/>
      <c r="AB83" s="1679"/>
      <c r="AC83" s="1679"/>
      <c r="AD83" s="1679"/>
      <c r="AE83" s="1679"/>
      <c r="AF83" s="1679"/>
      <c r="AG83" s="2801"/>
      <c r="AI83" s="2122"/>
      <c r="AJ83" s="2122"/>
      <c r="AK83" s="2122"/>
      <c r="AL83" s="2122"/>
      <c r="AM83" s="2122"/>
      <c r="AN83" s="2122"/>
      <c r="AO83" s="2818"/>
      <c r="AQ83" s="3879"/>
      <c r="AR83" s="3879"/>
      <c r="AS83" s="3879"/>
      <c r="AT83" s="3879"/>
      <c r="AU83" s="3879"/>
      <c r="AV83" s="3879"/>
      <c r="AW83" s="3889"/>
      <c r="AY83" s="3940"/>
      <c r="AZ83" s="3940"/>
      <c r="BA83" s="3940"/>
      <c r="BB83" s="3940"/>
      <c r="BC83" s="3940"/>
      <c r="BD83" s="3940"/>
      <c r="BE83" s="3951"/>
    </row>
    <row r="84" spans="1:57">
      <c r="A84" s="97"/>
      <c r="C84" s="1895"/>
      <c r="D84" s="1891"/>
      <c r="E84" s="1895"/>
      <c r="F84" s="1891"/>
      <c r="G84" s="1895"/>
      <c r="H84" s="1891"/>
      <c r="I84" s="2754"/>
      <c r="K84" s="3819"/>
      <c r="L84" s="3819"/>
      <c r="M84" s="3819"/>
      <c r="N84" s="3819"/>
      <c r="O84" s="3819"/>
      <c r="P84" s="3819"/>
      <c r="Q84" s="3830"/>
      <c r="S84" s="1598"/>
      <c r="T84" s="1598"/>
      <c r="U84" s="1598"/>
      <c r="V84" s="1598"/>
      <c r="W84" s="1598"/>
      <c r="X84" s="1598"/>
      <c r="Y84" s="2780"/>
      <c r="AA84" s="1679"/>
      <c r="AB84" s="1679"/>
      <c r="AC84" s="1679"/>
      <c r="AD84" s="1679"/>
      <c r="AE84" s="1679"/>
      <c r="AF84" s="1679"/>
      <c r="AG84" s="2801"/>
      <c r="AI84" s="2122"/>
      <c r="AJ84" s="2122"/>
      <c r="AK84" s="2122"/>
      <c r="AL84" s="2122"/>
      <c r="AM84" s="2122"/>
      <c r="AN84" s="2122"/>
      <c r="AO84" s="2818"/>
      <c r="AQ84" s="3879"/>
      <c r="AR84" s="3879"/>
      <c r="AS84" s="3879"/>
      <c r="AT84" s="3879"/>
      <c r="AU84" s="3879"/>
      <c r="AV84" s="3879"/>
      <c r="AW84" s="3889"/>
      <c r="AY84" s="3940"/>
      <c r="AZ84" s="3940"/>
      <c r="BA84" s="3940"/>
      <c r="BB84" s="3940"/>
      <c r="BC84" s="3940"/>
      <c r="BD84" s="3940"/>
      <c r="BE84" s="3951"/>
    </row>
    <row r="85" spans="1:57" ht="13.5" thickBot="1">
      <c r="A85" s="97"/>
      <c r="C85" s="1896" t="e">
        <f>IF(C79-C82-C83&lt;0,0,C79-C82-C83)</f>
        <v>#DIV/0!</v>
      </c>
      <c r="D85" s="1891"/>
      <c r="E85" s="1896" t="e">
        <f>IF(E79-E82-E83&lt;0,0,E79-E82-E83)</f>
        <v>#DIV/0!</v>
      </c>
      <c r="F85" s="1891"/>
      <c r="G85" s="1896" t="e">
        <f>IF(G79-G82-G83&lt;0,0,G79-G82-G83)</f>
        <v>#DIV/0!</v>
      </c>
      <c r="H85" s="1891"/>
      <c r="I85" s="2755" t="e">
        <f>IF(I79-I82-I83&lt;0,0,I79-I82-I83)</f>
        <v>#DIV/0!</v>
      </c>
      <c r="K85" s="3819"/>
      <c r="L85" s="3819"/>
      <c r="M85" s="3819"/>
      <c r="N85" s="3819"/>
      <c r="O85" s="3819"/>
      <c r="P85" s="3819"/>
      <c r="Q85" s="3830"/>
      <c r="S85" s="1598"/>
      <c r="T85" s="1598"/>
      <c r="U85" s="1598"/>
      <c r="V85" s="1598"/>
      <c r="W85" s="1598"/>
      <c r="X85" s="1598"/>
      <c r="Y85" s="2780"/>
      <c r="AA85" s="1679"/>
      <c r="AB85" s="1679"/>
      <c r="AC85" s="1679"/>
      <c r="AD85" s="1679"/>
      <c r="AE85" s="1679"/>
      <c r="AF85" s="1679"/>
      <c r="AG85" s="2801"/>
      <c r="AI85" s="2122"/>
      <c r="AJ85" s="2122"/>
      <c r="AK85" s="2122"/>
      <c r="AL85" s="2122"/>
      <c r="AM85" s="2122"/>
      <c r="AN85" s="2122"/>
      <c r="AO85" s="2818"/>
      <c r="AQ85" s="3879"/>
      <c r="AR85" s="3879"/>
      <c r="AS85" s="3879"/>
      <c r="AT85" s="3879"/>
      <c r="AU85" s="3879"/>
      <c r="AV85" s="3879"/>
      <c r="AW85" s="3889"/>
      <c r="AY85" s="3940"/>
      <c r="AZ85" s="3940"/>
      <c r="BA85" s="3940"/>
      <c r="BB85" s="3940"/>
      <c r="BC85" s="3940"/>
      <c r="BD85" s="3940"/>
      <c r="BE85" s="3951"/>
    </row>
    <row r="86" spans="1:57" ht="13.5" thickTop="1">
      <c r="A86" s="97"/>
      <c r="C86" s="1891" t="e">
        <f>IF(C78=0,0,C85/C78)</f>
        <v>#DIV/0!</v>
      </c>
      <c r="D86" s="1891"/>
      <c r="E86" s="1891" t="e">
        <f>IF(E78=0,0,E85/E78)</f>
        <v>#DIV/0!</v>
      </c>
      <c r="F86" s="1891"/>
      <c r="G86" s="1891" t="e">
        <f>IF(G78=0,0,G85/G78)</f>
        <v>#DIV/0!</v>
      </c>
      <c r="H86" s="1891"/>
      <c r="I86" s="2754" t="e">
        <f>IF(I78=0,0,I85/I78)</f>
        <v>#DIV/0!</v>
      </c>
      <c r="K86" s="3819"/>
      <c r="L86" s="3819"/>
      <c r="M86" s="3819"/>
      <c r="N86" s="3819"/>
      <c r="O86" s="3819"/>
      <c r="P86" s="3819"/>
      <c r="Q86" s="3830"/>
      <c r="S86" s="1598"/>
      <c r="T86" s="1598"/>
      <c r="U86" s="1598"/>
      <c r="V86" s="1598"/>
      <c r="W86" s="1598"/>
      <c r="X86" s="1598"/>
      <c r="Y86" s="2780"/>
      <c r="AA86" s="1679"/>
      <c r="AB86" s="1679"/>
      <c r="AC86" s="1679"/>
      <c r="AD86" s="1679"/>
      <c r="AE86" s="1679"/>
      <c r="AF86" s="1679"/>
      <c r="AG86" s="2801"/>
      <c r="AI86" s="2122"/>
      <c r="AJ86" s="2122"/>
      <c r="AK86" s="2122"/>
      <c r="AL86" s="2122"/>
      <c r="AM86" s="2122"/>
      <c r="AN86" s="2122"/>
      <c r="AO86" s="2818"/>
      <c r="AQ86" s="3879"/>
      <c r="AR86" s="3879"/>
      <c r="AS86" s="3879"/>
      <c r="AT86" s="3879"/>
      <c r="AU86" s="3879"/>
      <c r="AV86" s="3879"/>
      <c r="AW86" s="3889"/>
      <c r="AY86" s="3940"/>
      <c r="AZ86" s="3940"/>
      <c r="BA86" s="3940"/>
      <c r="BB86" s="3940"/>
      <c r="BC86" s="3940"/>
      <c r="BD86" s="3940"/>
      <c r="BE86" s="3951"/>
    </row>
    <row r="87" spans="1:57">
      <c r="A87" s="97"/>
      <c r="C87" s="1420"/>
      <c r="D87" s="1420"/>
      <c r="E87" s="1420"/>
      <c r="F87" s="1420"/>
      <c r="G87" s="1420"/>
      <c r="H87" s="1420"/>
      <c r="I87" s="2745"/>
      <c r="K87" s="3819"/>
      <c r="L87" s="3819"/>
      <c r="M87" s="3819"/>
      <c r="N87" s="3819"/>
      <c r="O87" s="3819"/>
      <c r="P87" s="3819"/>
      <c r="Q87" s="3830"/>
      <c r="S87" s="1598"/>
      <c r="T87" s="1598"/>
      <c r="U87" s="1598"/>
      <c r="V87" s="1598"/>
      <c r="W87" s="1598"/>
      <c r="X87" s="1598"/>
      <c r="Y87" s="2780"/>
      <c r="AA87" s="1679"/>
      <c r="AB87" s="1679"/>
      <c r="AC87" s="1679"/>
      <c r="AD87" s="1679"/>
      <c r="AE87" s="1679"/>
      <c r="AF87" s="1679"/>
      <c r="AG87" s="2801"/>
      <c r="AI87" s="2122"/>
      <c r="AJ87" s="2122"/>
      <c r="AK87" s="2122"/>
      <c r="AL87" s="2122"/>
      <c r="AM87" s="2122"/>
      <c r="AN87" s="2122"/>
      <c r="AO87" s="2818"/>
      <c r="AQ87" s="3879"/>
      <c r="AR87" s="3879"/>
      <c r="AS87" s="3879"/>
      <c r="AT87" s="3879"/>
      <c r="AU87" s="3879"/>
      <c r="AV87" s="3879"/>
      <c r="AW87" s="3889"/>
      <c r="AY87" s="3940"/>
      <c r="AZ87" s="3940"/>
      <c r="BA87" s="3940"/>
      <c r="BB87" s="3940"/>
      <c r="BC87" s="3940"/>
      <c r="BD87" s="3940"/>
      <c r="BE87" s="3951"/>
    </row>
    <row r="88" spans="1:57">
      <c r="A88" s="97"/>
      <c r="C88" s="1420"/>
      <c r="D88" s="1420"/>
      <c r="E88" s="1420"/>
      <c r="F88" s="1420"/>
      <c r="G88" s="1420"/>
      <c r="H88" s="1420"/>
      <c r="I88" s="2745"/>
      <c r="K88" s="3819"/>
      <c r="L88" s="3819"/>
      <c r="M88" s="3819"/>
      <c r="N88" s="3819"/>
      <c r="O88" s="3819"/>
      <c r="P88" s="3819"/>
      <c r="Q88" s="3830"/>
      <c r="S88" s="1598"/>
      <c r="T88" s="1598"/>
      <c r="U88" s="1598"/>
      <c r="V88" s="1598"/>
      <c r="W88" s="1598"/>
      <c r="X88" s="1598"/>
      <c r="Y88" s="2780"/>
      <c r="AA88" s="1679"/>
      <c r="AB88" s="1679"/>
      <c r="AC88" s="1679"/>
      <c r="AD88" s="1679"/>
      <c r="AE88" s="1679"/>
      <c r="AF88" s="1679"/>
      <c r="AG88" s="2801"/>
      <c r="AI88" s="2122"/>
      <c r="AJ88" s="2122"/>
      <c r="AK88" s="2122"/>
      <c r="AL88" s="2122"/>
      <c r="AM88" s="2122"/>
      <c r="AN88" s="2122"/>
      <c r="AO88" s="2818"/>
      <c r="AQ88" s="3879"/>
      <c r="AR88" s="3879"/>
      <c r="AS88" s="3879"/>
      <c r="AT88" s="3879"/>
      <c r="AU88" s="3879"/>
      <c r="AV88" s="3879"/>
      <c r="AW88" s="3889"/>
      <c r="AY88" s="3940"/>
      <c r="AZ88" s="3940"/>
      <c r="BA88" s="3940"/>
      <c r="BB88" s="3940"/>
      <c r="BC88" s="3940"/>
      <c r="BD88" s="3940"/>
      <c r="BE88" s="3951"/>
    </row>
    <row r="89" spans="1:57">
      <c r="A89" s="97"/>
      <c r="C89" s="1420"/>
      <c r="D89" s="1420"/>
      <c r="E89" s="1420"/>
      <c r="F89" s="1420"/>
      <c r="G89" s="1420"/>
      <c r="H89" s="1420"/>
      <c r="I89" s="2745"/>
      <c r="K89" s="3819"/>
      <c r="L89" s="3819"/>
      <c r="M89" s="3819"/>
      <c r="N89" s="3819"/>
      <c r="O89" s="3819"/>
      <c r="P89" s="3819"/>
      <c r="Q89" s="3830"/>
      <c r="S89" s="1598"/>
      <c r="T89" s="1598"/>
      <c r="U89" s="1598"/>
      <c r="V89" s="1598"/>
      <c r="W89" s="1598"/>
      <c r="X89" s="1598"/>
      <c r="Y89" s="2780"/>
      <c r="AA89" s="1679"/>
      <c r="AB89" s="1679"/>
      <c r="AC89" s="1679"/>
      <c r="AD89" s="1679"/>
      <c r="AE89" s="1679"/>
      <c r="AF89" s="1679"/>
      <c r="AG89" s="2801"/>
      <c r="AI89" s="2122"/>
      <c r="AJ89" s="2122"/>
      <c r="AK89" s="2122"/>
      <c r="AL89" s="2122"/>
      <c r="AM89" s="2122"/>
      <c r="AN89" s="2122"/>
      <c r="AO89" s="2818"/>
      <c r="AQ89" s="3879"/>
      <c r="AR89" s="3879"/>
      <c r="AS89" s="3879"/>
      <c r="AT89" s="3879"/>
      <c r="AU89" s="3879"/>
      <c r="AV89" s="3879"/>
      <c r="AW89" s="3889"/>
      <c r="AY89" s="3940"/>
      <c r="AZ89" s="3940"/>
      <c r="BA89" s="3940"/>
      <c r="BB89" s="3940"/>
      <c r="BC89" s="3940"/>
      <c r="BD89" s="3940"/>
      <c r="BE89" s="3951"/>
    </row>
    <row r="90" spans="1:57">
      <c r="A90" s="97"/>
      <c r="C90" s="1420"/>
      <c r="D90" s="1420"/>
      <c r="E90" s="1420"/>
      <c r="F90" s="1420"/>
      <c r="G90" s="1420"/>
      <c r="H90" s="1420"/>
      <c r="I90" s="2745"/>
      <c r="K90" s="3819"/>
      <c r="L90" s="3819"/>
      <c r="M90" s="3819"/>
      <c r="N90" s="3819"/>
      <c r="O90" s="3819"/>
      <c r="P90" s="3819"/>
      <c r="Q90" s="3830"/>
      <c r="S90" s="1598"/>
      <c r="T90" s="1598"/>
      <c r="U90" s="1598"/>
      <c r="V90" s="1598"/>
      <c r="W90" s="1598"/>
      <c r="X90" s="1598"/>
      <c r="Y90" s="2780"/>
      <c r="AA90" s="1679"/>
      <c r="AB90" s="1679"/>
      <c r="AC90" s="1679"/>
      <c r="AD90" s="1679"/>
      <c r="AE90" s="1679"/>
      <c r="AF90" s="1679"/>
      <c r="AG90" s="2801"/>
      <c r="AI90" s="2122"/>
      <c r="AJ90" s="2122"/>
      <c r="AK90" s="2122"/>
      <c r="AL90" s="2122"/>
      <c r="AM90" s="2122"/>
      <c r="AN90" s="2122"/>
      <c r="AO90" s="2818"/>
      <c r="AQ90" s="3879"/>
      <c r="AR90" s="3879"/>
      <c r="AS90" s="3879"/>
      <c r="AT90" s="3879"/>
      <c r="AU90" s="3879"/>
      <c r="AV90" s="3879"/>
      <c r="AW90" s="3889"/>
      <c r="AY90" s="3940"/>
      <c r="AZ90" s="3940"/>
      <c r="BA90" s="3940"/>
      <c r="BB90" s="3940"/>
      <c r="BC90" s="3940"/>
      <c r="BD90" s="3940"/>
      <c r="BE90" s="3951"/>
    </row>
    <row r="91" spans="1:57">
      <c r="A91" s="97"/>
      <c r="C91" s="1891" t="s">
        <v>4568</v>
      </c>
      <c r="D91" s="1891"/>
      <c r="E91" s="1891"/>
      <c r="F91" s="1891"/>
      <c r="G91" s="1891"/>
      <c r="H91" s="1891"/>
      <c r="I91" s="2754"/>
      <c r="K91" s="3836" t="s">
        <v>4569</v>
      </c>
      <c r="L91" s="3836"/>
      <c r="M91" s="3836"/>
      <c r="N91" s="3836"/>
      <c r="O91" s="3836"/>
      <c r="P91" s="3836"/>
      <c r="Q91" s="3837"/>
      <c r="S91" s="1986" t="s">
        <v>4570</v>
      </c>
      <c r="T91" s="1986"/>
      <c r="U91" s="1986"/>
      <c r="V91" s="1986"/>
      <c r="W91" s="1986"/>
      <c r="X91" s="1986"/>
      <c r="Y91" s="2782"/>
      <c r="AA91" s="1998" t="s">
        <v>4571</v>
      </c>
      <c r="AB91" s="1998"/>
      <c r="AC91" s="1998"/>
      <c r="AD91" s="1998"/>
      <c r="AE91" s="1998"/>
      <c r="AF91" s="1998"/>
      <c r="AG91" s="2803"/>
      <c r="AI91" s="1891" t="s">
        <v>4647</v>
      </c>
      <c r="AJ91" s="1891"/>
      <c r="AK91" s="1891"/>
      <c r="AL91" s="1891"/>
      <c r="AM91" s="1891"/>
      <c r="AN91" s="1891"/>
      <c r="AO91" s="2754"/>
      <c r="AQ91" s="3895" t="s">
        <v>7719</v>
      </c>
      <c r="AR91" s="3895"/>
      <c r="AS91" s="3895"/>
      <c r="AT91" s="3895"/>
      <c r="AU91" s="3895"/>
      <c r="AV91" s="3895"/>
      <c r="AW91" s="3896"/>
      <c r="AY91" s="4089" t="s">
        <v>7993</v>
      </c>
      <c r="AZ91" s="3957"/>
      <c r="BA91" s="3957"/>
      <c r="BB91" s="3957"/>
      <c r="BC91" s="3957"/>
      <c r="BD91" s="3957"/>
      <c r="BE91" s="3958"/>
    </row>
    <row r="92" spans="1:57">
      <c r="A92" s="97"/>
      <c r="C92" s="1263" t="e">
        <f>'ASATR-SB1'!F58</f>
        <v>#DIV/0!</v>
      </c>
      <c r="D92" s="1891"/>
      <c r="E92" s="1889" t="e">
        <f>C92</f>
        <v>#DIV/0!</v>
      </c>
      <c r="F92" s="1891"/>
      <c r="G92" s="1889"/>
      <c r="H92" s="1891"/>
      <c r="I92" s="2750"/>
      <c r="K92" s="3821" t="e">
        <f>'ASATR-SB1'!H58</f>
        <v>#DIV/0!</v>
      </c>
      <c r="L92" s="3836"/>
      <c r="M92" s="3838" t="e">
        <f>K92</f>
        <v>#DIV/0!</v>
      </c>
      <c r="N92" s="3836"/>
      <c r="O92" s="3838"/>
      <c r="P92" s="3836"/>
      <c r="Q92" s="3839"/>
      <c r="S92" s="1263" t="e">
        <f>'ASATR-SB1'!J58</f>
        <v>#DIV/0!</v>
      </c>
      <c r="T92" s="1986"/>
      <c r="U92" s="1987" t="e">
        <f>S92</f>
        <v>#DIV/0!</v>
      </c>
      <c r="V92" s="1986"/>
      <c r="W92" s="1987"/>
      <c r="X92" s="1986"/>
      <c r="Y92" s="2783"/>
      <c r="AA92" s="1263" t="e">
        <f>'ASATR-SB1'!L58</f>
        <v>#DIV/0!</v>
      </c>
      <c r="AB92" s="1998"/>
      <c r="AC92" s="1999" t="e">
        <f>AA92</f>
        <v>#DIV/0!</v>
      </c>
      <c r="AD92" s="1998"/>
      <c r="AE92" s="1999"/>
      <c r="AF92" s="1998"/>
      <c r="AG92" s="2804"/>
      <c r="AI92" s="1263" t="e">
        <f>'ASATR-SB1'!N58</f>
        <v>#DIV/0!</v>
      </c>
      <c r="AJ92" s="1891"/>
      <c r="AK92" s="1889" t="e">
        <f>AI92</f>
        <v>#DIV/0!</v>
      </c>
      <c r="AL92" s="1891"/>
      <c r="AM92" s="1889"/>
      <c r="AN92" s="1891"/>
      <c r="AO92" s="2750"/>
      <c r="AQ92" s="3759" t="e">
        <f>'ASATR-SB1'!P58</f>
        <v>#DIV/0!</v>
      </c>
      <c r="AR92" s="3895"/>
      <c r="AS92" s="3897" t="e">
        <f>AQ92</f>
        <v>#DIV/0!</v>
      </c>
      <c r="AT92" s="3895"/>
      <c r="AU92" s="3897"/>
      <c r="AV92" s="3895"/>
      <c r="AW92" s="3898"/>
      <c r="AY92" s="3942" t="e">
        <f>'ASATR-SB1'!R58</f>
        <v>#DIV/0!</v>
      </c>
      <c r="AZ92" s="3957"/>
      <c r="BA92" s="3959" t="e">
        <f>AY92</f>
        <v>#DIV/0!</v>
      </c>
      <c r="BB92" s="3957"/>
      <c r="BC92" s="3959"/>
      <c r="BD92" s="3957"/>
      <c r="BE92" s="3960"/>
    </row>
    <row r="93" spans="1:57">
      <c r="A93" s="97"/>
      <c r="C93" s="1889"/>
      <c r="D93" s="1891"/>
      <c r="E93" s="1889"/>
      <c r="F93" s="1891"/>
      <c r="G93" s="1263" t="e">
        <f>'Calc Data-15K'!C83</f>
        <v>#DIV/0!</v>
      </c>
      <c r="H93" s="1891"/>
      <c r="I93" s="2750" t="e">
        <f>G93</f>
        <v>#DIV/0!</v>
      </c>
      <c r="K93" s="3838"/>
      <c r="L93" s="3836"/>
      <c r="M93" s="3838"/>
      <c r="N93" s="3836"/>
      <c r="O93" s="3821" t="e">
        <f>'Calc Data-15K'!D83</f>
        <v>#DIV/0!</v>
      </c>
      <c r="P93" s="3836"/>
      <c r="Q93" s="3839" t="e">
        <f>O93</f>
        <v>#DIV/0!</v>
      </c>
      <c r="S93" s="1987"/>
      <c r="T93" s="1986"/>
      <c r="U93" s="1987"/>
      <c r="V93" s="1986"/>
      <c r="W93" s="1263" t="e">
        <f>'Calc Data-15K'!E83</f>
        <v>#DIV/0!</v>
      </c>
      <c r="X93" s="1986"/>
      <c r="Y93" s="2783" t="e">
        <f>W93</f>
        <v>#DIV/0!</v>
      </c>
      <c r="AA93" s="1999"/>
      <c r="AB93" s="1998"/>
      <c r="AC93" s="1999"/>
      <c r="AD93" s="1998"/>
      <c r="AE93" s="1263" t="e">
        <f>'Calc Data-15K'!F83</f>
        <v>#DIV/0!</v>
      </c>
      <c r="AF93" s="1998"/>
      <c r="AG93" s="2804" t="e">
        <f>AE93</f>
        <v>#DIV/0!</v>
      </c>
      <c r="AI93" s="1889"/>
      <c r="AJ93" s="1891"/>
      <c r="AK93" s="1889"/>
      <c r="AL93" s="1891"/>
      <c r="AM93" s="1263" t="e">
        <f>'Calc Data-15K'!G83</f>
        <v>#DIV/0!</v>
      </c>
      <c r="AN93" s="1891"/>
      <c r="AO93" s="2750" t="e">
        <f>AM93</f>
        <v>#DIV/0!</v>
      </c>
      <c r="AQ93" s="3897"/>
      <c r="AR93" s="3895"/>
      <c r="AS93" s="3897"/>
      <c r="AT93" s="3895"/>
      <c r="AU93" s="3759" t="e">
        <f>'Calc Data-15K'!H83</f>
        <v>#DIV/0!</v>
      </c>
      <c r="AV93" s="3895"/>
      <c r="AW93" s="3898" t="e">
        <f>AU93</f>
        <v>#DIV/0!</v>
      </c>
      <c r="AY93" s="3959"/>
      <c r="AZ93" s="3957"/>
      <c r="BA93" s="3959"/>
      <c r="BB93" s="3957"/>
      <c r="BC93" s="3942" t="e">
        <f>'Calc Data-15K'!I83</f>
        <v>#DIV/0!</v>
      </c>
      <c r="BD93" s="3957"/>
      <c r="BE93" s="3960" t="e">
        <f>BC93</f>
        <v>#DIV/0!</v>
      </c>
    </row>
    <row r="94" spans="1:57">
      <c r="A94" s="97"/>
      <c r="C94" s="1889" t="e">
        <f>C92</f>
        <v>#DIV/0!</v>
      </c>
      <c r="D94" s="1891"/>
      <c r="E94" s="1889" t="e">
        <f>E92</f>
        <v>#DIV/0!</v>
      </c>
      <c r="F94" s="1891"/>
      <c r="G94" s="1889" t="e">
        <f>G93</f>
        <v>#DIV/0!</v>
      </c>
      <c r="H94" s="1891"/>
      <c r="I94" s="2750" t="e">
        <f>I93</f>
        <v>#DIV/0!</v>
      </c>
      <c r="K94" s="3838" t="e">
        <f>K92</f>
        <v>#DIV/0!</v>
      </c>
      <c r="L94" s="3836"/>
      <c r="M94" s="3838" t="e">
        <f>M92</f>
        <v>#DIV/0!</v>
      </c>
      <c r="N94" s="3836"/>
      <c r="O94" s="3838" t="e">
        <f>O93</f>
        <v>#DIV/0!</v>
      </c>
      <c r="P94" s="3836"/>
      <c r="Q94" s="3839" t="e">
        <f>Q93</f>
        <v>#DIV/0!</v>
      </c>
      <c r="S94" s="1987" t="e">
        <f>S92</f>
        <v>#DIV/0!</v>
      </c>
      <c r="T94" s="1986"/>
      <c r="U94" s="1987" t="e">
        <f>U92</f>
        <v>#DIV/0!</v>
      </c>
      <c r="V94" s="1986"/>
      <c r="W94" s="1987" t="e">
        <f>W93</f>
        <v>#DIV/0!</v>
      </c>
      <c r="X94" s="1986"/>
      <c r="Y94" s="2783" t="e">
        <f>Y93</f>
        <v>#DIV/0!</v>
      </c>
      <c r="AA94" s="1999" t="e">
        <f>AA92</f>
        <v>#DIV/0!</v>
      </c>
      <c r="AB94" s="1998"/>
      <c r="AC94" s="1999" t="e">
        <f>AC92</f>
        <v>#DIV/0!</v>
      </c>
      <c r="AD94" s="1998"/>
      <c r="AE94" s="1999" t="e">
        <f>AE93</f>
        <v>#DIV/0!</v>
      </c>
      <c r="AF94" s="1998"/>
      <c r="AG94" s="2804" t="e">
        <f>AG93</f>
        <v>#DIV/0!</v>
      </c>
      <c r="AI94" s="1889" t="e">
        <f>AI92</f>
        <v>#DIV/0!</v>
      </c>
      <c r="AJ94" s="1891"/>
      <c r="AK94" s="1889" t="e">
        <f>AK92</f>
        <v>#DIV/0!</v>
      </c>
      <c r="AL94" s="1891"/>
      <c r="AM94" s="1889" t="e">
        <f>AM93</f>
        <v>#DIV/0!</v>
      </c>
      <c r="AN94" s="1891"/>
      <c r="AO94" s="2750" t="e">
        <f>AO93</f>
        <v>#DIV/0!</v>
      </c>
      <c r="AQ94" s="3897" t="e">
        <f>AQ92</f>
        <v>#DIV/0!</v>
      </c>
      <c r="AR94" s="3895"/>
      <c r="AS94" s="3897" t="e">
        <f>AS92</f>
        <v>#DIV/0!</v>
      </c>
      <c r="AT94" s="3895"/>
      <c r="AU94" s="3897" t="e">
        <f>AU93</f>
        <v>#DIV/0!</v>
      </c>
      <c r="AV94" s="3895"/>
      <c r="AW94" s="3898" t="e">
        <f>AW93</f>
        <v>#DIV/0!</v>
      </c>
      <c r="AY94" s="3959" t="e">
        <f>AY92</f>
        <v>#DIV/0!</v>
      </c>
      <c r="AZ94" s="3957"/>
      <c r="BA94" s="3959" t="e">
        <f>BA92</f>
        <v>#DIV/0!</v>
      </c>
      <c r="BB94" s="3957"/>
      <c r="BC94" s="3959" t="e">
        <f>BC93</f>
        <v>#DIV/0!</v>
      </c>
      <c r="BD94" s="3957"/>
      <c r="BE94" s="3960" t="e">
        <f>BE93</f>
        <v>#DIV/0!</v>
      </c>
    </row>
    <row r="95" spans="1:57">
      <c r="A95" s="97"/>
      <c r="C95" s="1887" t="e">
        <f>C35*C94</f>
        <v>#DIV/0!</v>
      </c>
      <c r="D95" s="1897"/>
      <c r="E95" s="1887" t="e">
        <f>E35*E94</f>
        <v>#DIV/0!</v>
      </c>
      <c r="F95" s="1897"/>
      <c r="G95" s="1887" t="e">
        <f>IF(G93&lt;1,0,G35*G94)</f>
        <v>#DIV/0!</v>
      </c>
      <c r="H95" s="1897"/>
      <c r="I95" s="2748" t="e">
        <f>IF(I93&lt;1,0,I35*I94)</f>
        <v>#DIV/0!</v>
      </c>
      <c r="K95" s="3840" t="e">
        <f>K35*K94</f>
        <v>#DIV/0!</v>
      </c>
      <c r="L95" s="3841"/>
      <c r="M95" s="3840" t="e">
        <f>M35*M94</f>
        <v>#DIV/0!</v>
      </c>
      <c r="N95" s="3841"/>
      <c r="O95" s="3840" t="e">
        <f>IF(O93&lt;1,0,O35*O94)</f>
        <v>#DIV/0!</v>
      </c>
      <c r="P95" s="3841"/>
      <c r="Q95" s="3842" t="e">
        <f>IF(Q93&lt;1,0,Q35*Q94)</f>
        <v>#DIV/0!</v>
      </c>
      <c r="S95" s="1988" t="e">
        <f>S35*S94</f>
        <v>#DIV/0!</v>
      </c>
      <c r="T95" s="1989"/>
      <c r="U95" s="1988" t="e">
        <f>U35*U94</f>
        <v>#DIV/0!</v>
      </c>
      <c r="V95" s="1989"/>
      <c r="W95" s="1988" t="e">
        <f>IF(W93&lt;1,0,W35*W94)</f>
        <v>#DIV/0!</v>
      </c>
      <c r="X95" s="1989"/>
      <c r="Y95" s="2784" t="e">
        <f>IF(Y93&lt;1,0,Y35*Y94)</f>
        <v>#DIV/0!</v>
      </c>
      <c r="AA95" s="2000" t="e">
        <f>AA35*AA94</f>
        <v>#DIV/0!</v>
      </c>
      <c r="AB95" s="2001"/>
      <c r="AC95" s="2000" t="e">
        <f>AC35*AC94</f>
        <v>#DIV/0!</v>
      </c>
      <c r="AD95" s="2001"/>
      <c r="AE95" s="2000" t="e">
        <f>IF(AE93&lt;1,0,AE35*AE94)</f>
        <v>#DIV/0!</v>
      </c>
      <c r="AF95" s="2001"/>
      <c r="AG95" s="2805" t="e">
        <f>IF(AG93&lt;1,0,AG35*AG94)</f>
        <v>#DIV/0!</v>
      </c>
      <c r="AI95" s="1887" t="e">
        <f>AI35*AI94</f>
        <v>#DIV/0!</v>
      </c>
      <c r="AJ95" s="1897"/>
      <c r="AK95" s="1887" t="e">
        <f>AK35*AK94</f>
        <v>#DIV/0!</v>
      </c>
      <c r="AL95" s="1897"/>
      <c r="AM95" s="1887" t="e">
        <f>IF(AM93&lt;1,0,AM35*AM94)</f>
        <v>#DIV/0!</v>
      </c>
      <c r="AN95" s="1897"/>
      <c r="AO95" s="2748" t="e">
        <f>IF(AO93&lt;1,0,AO35*AO94)</f>
        <v>#DIV/0!</v>
      </c>
      <c r="AQ95" s="3899" t="e">
        <f>AQ35*AQ94</f>
        <v>#DIV/0!</v>
      </c>
      <c r="AR95" s="3900"/>
      <c r="AS95" s="3899" t="e">
        <f>AS35*AS94</f>
        <v>#DIV/0!</v>
      </c>
      <c r="AT95" s="3900"/>
      <c r="AU95" s="3899" t="e">
        <f>IF(AU93&lt;1,0,AU35*AU94)</f>
        <v>#DIV/0!</v>
      </c>
      <c r="AV95" s="3900"/>
      <c r="AW95" s="3901" t="e">
        <f>IF(AW93&lt;1,0,AW35*AW94)</f>
        <v>#DIV/0!</v>
      </c>
      <c r="AY95" s="3961" t="e">
        <f>AY35*AY94</f>
        <v>#DIV/0!</v>
      </c>
      <c r="AZ95" s="3962"/>
      <c r="BA95" s="3961" t="e">
        <f>BA35*BA94</f>
        <v>#DIV/0!</v>
      </c>
      <c r="BB95" s="3962"/>
      <c r="BC95" s="3961" t="e">
        <f>IF(BC93&lt;1,0,BC35*BC94)</f>
        <v>#DIV/0!</v>
      </c>
      <c r="BD95" s="3962"/>
      <c r="BE95" s="3963" t="e">
        <f>IF(BE93&lt;1,0,BE35*BE94)</f>
        <v>#DIV/0!</v>
      </c>
    </row>
    <row r="96" spans="1:57">
      <c r="A96" s="97"/>
      <c r="C96" s="1892" t="e">
        <f>C34/IF(C36&lt;Assumptions!G92,Assumptions!G92,C36)</f>
        <v>#DIV/0!</v>
      </c>
      <c r="D96" s="1898"/>
      <c r="E96" s="1892" t="e">
        <f>E34/E36</f>
        <v>#DIV/0!</v>
      </c>
      <c r="F96" s="1898"/>
      <c r="G96" s="1892" t="e">
        <f>IF(G95=0,0,G34/G36)</f>
        <v>#DIV/0!</v>
      </c>
      <c r="H96" s="1898"/>
      <c r="I96" s="2751" t="e">
        <f>IF(I95=0,0,I34/I36)</f>
        <v>#DIV/0!</v>
      </c>
      <c r="K96" s="3843" t="e">
        <f>K34/IF(K36&lt;Assumptions!G103,Assumptions!G103,K36)</f>
        <v>#DIV/0!</v>
      </c>
      <c r="L96" s="3844"/>
      <c r="M96" s="3843" t="e">
        <f>M34/M36</f>
        <v>#DIV/0!</v>
      </c>
      <c r="N96" s="3844"/>
      <c r="O96" s="3843" t="e">
        <f>IF(O95=0,0,O34/O36)</f>
        <v>#DIV/0!</v>
      </c>
      <c r="P96" s="3844"/>
      <c r="Q96" s="3845" t="e">
        <f>IF(Q95=0,0,Q34/Q36)</f>
        <v>#DIV/0!</v>
      </c>
      <c r="S96" s="1990" t="e">
        <f>S34/IF(S36&lt;Assumptions!G112,Assumptions!G112,S36)</f>
        <v>#DIV/0!</v>
      </c>
      <c r="T96" s="1991"/>
      <c r="U96" s="1990" t="e">
        <f>U34/U36</f>
        <v>#DIV/0!</v>
      </c>
      <c r="V96" s="1991"/>
      <c r="W96" s="1990" t="e">
        <f>IF(W95=0,0,W34/W36)</f>
        <v>#DIV/0!</v>
      </c>
      <c r="X96" s="1991"/>
      <c r="Y96" s="2785" t="e">
        <f>IF(Y95=0,0,Y34/Y36)</f>
        <v>#DIV/0!</v>
      </c>
      <c r="AA96" s="2002" t="e">
        <f>AA34/IF(AA36&lt;Assumptions!G121,Assumptions!G121,AA36)</f>
        <v>#DIV/0!</v>
      </c>
      <c r="AB96" s="2003"/>
      <c r="AC96" s="2002" t="e">
        <f>AC34/AC36</f>
        <v>#DIV/0!</v>
      </c>
      <c r="AD96" s="2003"/>
      <c r="AE96" s="2002" t="e">
        <f>IF(AE95=0,0,AE34/AE36)</f>
        <v>#DIV/0!</v>
      </c>
      <c r="AF96" s="2003"/>
      <c r="AG96" s="2806" t="e">
        <f>IF(AG95=0,0,AG34/AG36)</f>
        <v>#DIV/0!</v>
      </c>
      <c r="AI96" s="1892" t="e">
        <f>AI34/IF(AI36&lt;Assumptions!G130,Assumptions!G130,AI36)</f>
        <v>#DIV/0!</v>
      </c>
      <c r="AJ96" s="1898"/>
      <c r="AK96" s="1892" t="e">
        <f>AK34/AK36</f>
        <v>#DIV/0!</v>
      </c>
      <c r="AL96" s="1898"/>
      <c r="AM96" s="1892" t="e">
        <f>IF(AM95=0,0,AM34/AM36)</f>
        <v>#DIV/0!</v>
      </c>
      <c r="AN96" s="1898"/>
      <c r="AO96" s="2751" t="e">
        <f>IF(AO95=0,0,AO34/AO36)</f>
        <v>#DIV/0!</v>
      </c>
      <c r="AQ96" s="3902" t="e">
        <f>AQ34/IF(AQ36&lt;Assumptions!G139,Assumptions!G139,AQ36)</f>
        <v>#DIV/0!</v>
      </c>
      <c r="AR96" s="3903"/>
      <c r="AS96" s="3902" t="e">
        <f>AS34/AS36</f>
        <v>#DIV/0!</v>
      </c>
      <c r="AT96" s="3903"/>
      <c r="AU96" s="3902" t="e">
        <f>IF(AU95=0,0,AU34/AU36)</f>
        <v>#DIV/0!</v>
      </c>
      <c r="AV96" s="3903"/>
      <c r="AW96" s="3904" t="e">
        <f>IF(AW95=0,0,AW34/AW36)</f>
        <v>#DIV/0!</v>
      </c>
      <c r="AY96" s="3964" t="e">
        <f>AY34/IF(AY36&lt;Assumptions!G148,Assumptions!G148,AY36)</f>
        <v>#DIV/0!</v>
      </c>
      <c r="AZ96" s="3965"/>
      <c r="BA96" s="3964" t="e">
        <f>BA34/BA36</f>
        <v>#DIV/0!</v>
      </c>
      <c r="BB96" s="3965"/>
      <c r="BC96" s="3964" t="e">
        <f>IF(BC95=0,0,BC34/BC36)</f>
        <v>#DIV/0!</v>
      </c>
      <c r="BD96" s="3965"/>
      <c r="BE96" s="3966" t="e">
        <f>IF(BE95=0,0,BE34/BE36)</f>
        <v>#DIV/0!</v>
      </c>
    </row>
    <row r="97" spans="1:57">
      <c r="A97" s="97"/>
      <c r="C97" s="1893" t="e">
        <f>IF(C96=0,0,IF(C95/C96&lt;3147,3147,C95/C96))</f>
        <v>#DIV/0!</v>
      </c>
      <c r="D97" s="1899"/>
      <c r="E97" s="1893" t="e">
        <f>IF(E96=0,0,IF(E95/E96&lt;3147,3147,E95/E96))</f>
        <v>#DIV/0!</v>
      </c>
      <c r="F97" s="1899"/>
      <c r="G97" s="1893" t="e">
        <f>IF(G96=0,0,IF(G95/G96&lt;71.62,71.62,G95/G96))</f>
        <v>#DIV/0!</v>
      </c>
      <c r="H97" s="1899"/>
      <c r="I97" s="2752" t="e">
        <f>IF(I96=0,0,IF(I95/I96&lt;71.62,71.62,I95/I96))</f>
        <v>#DIV/0!</v>
      </c>
      <c r="K97" s="3846" t="e">
        <f>IF(K96=0,0,IF(K95/K96&lt;3392,3392,K95/K96))</f>
        <v>#DIV/0!</v>
      </c>
      <c r="L97" s="3847"/>
      <c r="M97" s="3846" t="e">
        <f>IF(M96=0,0,IF(M95/M96&lt;3392,3392,M95/M96))</f>
        <v>#DIV/0!</v>
      </c>
      <c r="N97" s="3847"/>
      <c r="O97" s="3846" t="e">
        <f>IF(O96=0,0,IF(O95/O96&lt;84.777,84.777,O95/O96))</f>
        <v>#DIV/0!</v>
      </c>
      <c r="P97" s="3847"/>
      <c r="Q97" s="3848" t="e">
        <f>IF(Q96=0,0,IF(Q95/Q96&lt;84.777,84.777,Q95/Q96))</f>
        <v>#DIV/0!</v>
      </c>
      <c r="S97" s="1992" t="e">
        <f>IF(S96=0,0,IF(S95/S96&lt;3392,3392,S95/S96))</f>
        <v>#DIV/0!</v>
      </c>
      <c r="T97" s="1993"/>
      <c r="U97" s="1992" t="e">
        <f>IF(U96=0,0,IF(U95/U96&lt;3392,3392,U95/U96))</f>
        <v>#DIV/0!</v>
      </c>
      <c r="V97" s="1993"/>
      <c r="W97" s="1992" t="e">
        <f>IF(W96=0,0,IF(W95/W96&lt;84.777,84.777,W95/W96))</f>
        <v>#DIV/0!</v>
      </c>
      <c r="X97" s="1993"/>
      <c r="Y97" s="2786" t="e">
        <f>IF(Y96=0,0,IF(Y95/Y96&lt;84.777,84.777,Y95/Y96))</f>
        <v>#DIV/0!</v>
      </c>
      <c r="AA97" s="2004" t="e">
        <f>IF(AA96=0,0,IF(AA95/AA96&lt;3392,3392,AA95/AA96))</f>
        <v>#DIV/0!</v>
      </c>
      <c r="AB97" s="2005"/>
      <c r="AC97" s="2004" t="e">
        <f>IF(AC96=0,0,IF(AC95/AC96&lt;3392,3392,AC95/AC96))</f>
        <v>#DIV/0!</v>
      </c>
      <c r="AD97" s="2005"/>
      <c r="AE97" s="2004" t="e">
        <f>IF(AE96=0,0,IF(AE95/AE96&lt;84.777,84.777,AE95/AE96))</f>
        <v>#DIV/0!</v>
      </c>
      <c r="AF97" s="2005"/>
      <c r="AG97" s="2807" t="e">
        <f>IF(AG96=0,0,IF(AG95/AG96&lt;84.777,84.777,AG95/AG96))</f>
        <v>#DIV/0!</v>
      </c>
      <c r="AI97" s="1893" t="e">
        <f>IF(AI96=0,0,IF(AI95/AI96&lt;3392,3392,AI95/AI96))</f>
        <v>#DIV/0!</v>
      </c>
      <c r="AJ97" s="1899"/>
      <c r="AK97" s="1893" t="e">
        <f>IF(AK96=0,0,IF(AK95/AK96&lt;3392,3392,AK95/AK96))</f>
        <v>#DIV/0!</v>
      </c>
      <c r="AL97" s="1899"/>
      <c r="AM97" s="1893" t="e">
        <f>IF(AM96=0,0,IF(AM95/AM96&lt;84.777,84.777,AM95/AM96))</f>
        <v>#DIV/0!</v>
      </c>
      <c r="AN97" s="1899"/>
      <c r="AO97" s="2752" t="e">
        <f>IF(AO96=0,0,IF(AO95/AO96&lt;84.777,84.777,AO95/AO96))</f>
        <v>#DIV/0!</v>
      </c>
      <c r="AQ97" s="3905" t="e">
        <f>IF(AQ96=0,0,IF(AQ95/AQ96&lt;3392,3392,AQ95/AQ96))</f>
        <v>#DIV/0!</v>
      </c>
      <c r="AR97" s="3906"/>
      <c r="AS97" s="3905" t="e">
        <f>IF(AS96=0,0,IF(AS95/AS96&lt;3392,3392,AS95/AS96))</f>
        <v>#DIV/0!</v>
      </c>
      <c r="AT97" s="3906"/>
      <c r="AU97" s="3905" t="e">
        <f>IF(AU96=0,0,IF(AU95/AU96&lt;84.777,84.777,AU95/AU96))</f>
        <v>#DIV/0!</v>
      </c>
      <c r="AV97" s="3906"/>
      <c r="AW97" s="3907" t="e">
        <f>IF(AW96=0,0,IF(AW95/AW96&lt;84.777,84.777,AW95/AW96))</f>
        <v>#DIV/0!</v>
      </c>
      <c r="AY97" s="3967" t="e">
        <f>IF(AY96=0,0,IF(AY95/AY96&lt;3392,3392,AY95/AY96))</f>
        <v>#DIV/0!</v>
      </c>
      <c r="AZ97" s="3968"/>
      <c r="BA97" s="3967" t="e">
        <f>IF(BA96=0,0,IF(BA95/BA96&lt;3392,3392,BA95/BA96))</f>
        <v>#DIV/0!</v>
      </c>
      <c r="BB97" s="3968"/>
      <c r="BC97" s="3967" t="e">
        <f>IF(BC96=0,0,IF(BC95/BC96&lt;84.777,84.777,BC95/BC96))</f>
        <v>#DIV/0!</v>
      </c>
      <c r="BD97" s="3968"/>
      <c r="BE97" s="3969" t="e">
        <f>IF(BE96=0,0,IF(BE95/BE96&lt;84.777,84.777,BE95/BE96))</f>
        <v>#DIV/0!</v>
      </c>
    </row>
    <row r="98" spans="1:57">
      <c r="A98" s="97"/>
      <c r="C98" s="1892" t="e">
        <f>IF(OR('Data Entry - SOF'!C95=0,C97=0),0,IF('Data Entry - SOF'!C95&gt;C97,(C97*'Data Entry - SOF'!C94)/C97,('Data Entry - SOF'!C95*'Data Entry - SOF'!C94)/C97))</f>
        <v>#DIV/0!</v>
      </c>
      <c r="D98" s="1898"/>
      <c r="E98" s="1892" t="e">
        <f>C98</f>
        <v>#DIV/0!</v>
      </c>
      <c r="F98" s="1898"/>
      <c r="G98" s="1892" t="e">
        <f>IF(OR('Data Entry - SOF'!C145=0,G97=0),0,IF('Data Entry - SOF'!C145&gt;G97,(G97*'Data Entry - SOF'!C144)/G97,('Data Entry - SOF'!C145*'Data Entry - SOF'!C144)/G97))</f>
        <v>#DIV/0!</v>
      </c>
      <c r="H98" s="1898"/>
      <c r="I98" s="2751" t="e">
        <f>G98</f>
        <v>#DIV/0!</v>
      </c>
      <c r="K98" s="3843" t="e">
        <f>IF(OR('Data Entry - SOF'!E95=0,K97=0),0,IF('Data Entry - SOF'!E95&gt;K97,(K97*'Data Entry - SOF'!E94)/K97,('Data Entry - SOF'!E95*'Data Entry - SOF'!E94)/K97))</f>
        <v>#DIV/0!</v>
      </c>
      <c r="L98" s="3844"/>
      <c r="M98" s="3843" t="e">
        <f>K98</f>
        <v>#DIV/0!</v>
      </c>
      <c r="N98" s="3844"/>
      <c r="O98" s="3843" t="e">
        <f>IF(OR('Data Entry - SOF'!E145=0,O97=0),0,IF('Data Entry - SOF'!E145&gt;O97,(O97*'Data Entry - SOF'!E144)/O97,('Data Entry - SOF'!E145*'Data Entry - SOF'!E144)/O97))</f>
        <v>#DIV/0!</v>
      </c>
      <c r="P98" s="3844"/>
      <c r="Q98" s="3845" t="e">
        <f>O98</f>
        <v>#DIV/0!</v>
      </c>
      <c r="S98" s="1990" t="e">
        <f>IF(OR('Data Entry - SOF'!G95=0,S97=0),0,IF('Data Entry - SOF'!G95&gt;S97,(S97*'Data Entry - SOF'!G94)/S97,('Data Entry - SOF'!G95*'Data Entry - SOF'!G94)/S97))</f>
        <v>#DIV/0!</v>
      </c>
      <c r="T98" s="1991"/>
      <c r="U98" s="1990" t="e">
        <f>S98</f>
        <v>#DIV/0!</v>
      </c>
      <c r="V98" s="1991"/>
      <c r="W98" s="1990" t="e">
        <f>IF(OR('Data Entry - SOF'!G145=0,W97=0),0,IF('Data Entry - SOF'!G145&gt;W97,(W97*'Data Entry - SOF'!G144)/W97,('Data Entry - SOF'!G145*'Data Entry - SOF'!G144)/W97))</f>
        <v>#DIV/0!</v>
      </c>
      <c r="X98" s="1991"/>
      <c r="Y98" s="2785" t="e">
        <f>W98</f>
        <v>#DIV/0!</v>
      </c>
      <c r="AA98" s="2002" t="e">
        <f>IF(OR('Data Entry - SOF'!I95=0,AA97=0),0,IF('Data Entry - SOF'!I95&gt;AA97,(AA97*'Data Entry - SOF'!I94)/AA97,('Data Entry - SOF'!I95*'Data Entry - SOF'!I94)/AA97))</f>
        <v>#DIV/0!</v>
      </c>
      <c r="AB98" s="2003"/>
      <c r="AC98" s="2002" t="e">
        <f>AA98</f>
        <v>#DIV/0!</v>
      </c>
      <c r="AD98" s="2003"/>
      <c r="AE98" s="2002" t="e">
        <f>IF(OR('Data Entry - SOF'!I145=0,AE97=0),0,IF('Data Entry - SOF'!I145&gt;AE97,(AE97*'Data Entry - SOF'!I144)/AE97,('Data Entry - SOF'!I145*'Data Entry - SOF'!I144)/AE97))</f>
        <v>#DIV/0!</v>
      </c>
      <c r="AF98" s="2003"/>
      <c r="AG98" s="2806" t="e">
        <f>AE98</f>
        <v>#DIV/0!</v>
      </c>
      <c r="AI98" s="1892" t="e">
        <f>IF(OR('Data Entry - SOF'!K95=0,AI97=0),0,IF('Data Entry - SOF'!K95&gt;AI97,(AI97*'Data Entry - SOF'!K94)/AI97,('Data Entry - SOF'!K95*'Data Entry - SOF'!K94)/AI97))</f>
        <v>#DIV/0!</v>
      </c>
      <c r="AJ98" s="1898"/>
      <c r="AK98" s="1892" t="e">
        <f>AI98</f>
        <v>#DIV/0!</v>
      </c>
      <c r="AL98" s="1898"/>
      <c r="AM98" s="1892" t="e">
        <f>IF(OR('Data Entry - SOF'!K145=0,AM97=0),0,IF('Data Entry - SOF'!K145&gt;AM97,(AM97*'Data Entry - SOF'!K144)/AM97,('Data Entry - SOF'!K145*'Data Entry - SOF'!K144)/AM97))</f>
        <v>#DIV/0!</v>
      </c>
      <c r="AN98" s="1898"/>
      <c r="AO98" s="2751" t="e">
        <f>AM98</f>
        <v>#DIV/0!</v>
      </c>
      <c r="AQ98" s="3902" t="e">
        <f>IF(OR('Data Entry - SOF'!M95=0,AQ97=0),0,IF('Data Entry - SOF'!M95&gt;AQ97,(AQ97*'Data Entry - SOF'!M94)/AQ97,('Data Entry - SOF'!M95*'Data Entry - SOF'!M94)/AQ97))</f>
        <v>#DIV/0!</v>
      </c>
      <c r="AR98" s="3903"/>
      <c r="AS98" s="3902" t="e">
        <f>AQ98</f>
        <v>#DIV/0!</v>
      </c>
      <c r="AT98" s="3903"/>
      <c r="AU98" s="3902" t="e">
        <f>IF(OR('Data Entry - SOF'!M145=0,AU97=0),0,IF('Data Entry - SOF'!M145&gt;AU97,(AU97*'Data Entry - SOF'!M144)/AU97,('Data Entry - SOF'!M145*'Data Entry - SOF'!M144)/AU97))</f>
        <v>#DIV/0!</v>
      </c>
      <c r="AV98" s="3903"/>
      <c r="AW98" s="3904" t="e">
        <f>AU98</f>
        <v>#DIV/0!</v>
      </c>
      <c r="AY98" s="3964" t="e">
        <f>IF(OR('Data Entry - SOF'!O95=0,AY97=0),0,IF('Data Entry - SOF'!O95&gt;AY97,(AY97*'Data Entry - SOF'!O94)/AY97,('Data Entry - SOF'!O95*'Data Entry - SOF'!O94)/AY97))</f>
        <v>#DIV/0!</v>
      </c>
      <c r="AZ98" s="3965"/>
      <c r="BA98" s="3964" t="e">
        <f>AY98</f>
        <v>#DIV/0!</v>
      </c>
      <c r="BB98" s="3965"/>
      <c r="BC98" s="3964" t="e">
        <f>IF(OR('Data Entry - SOF'!O145=0,BC97=0),0,IF('Data Entry - SOF'!O145&gt;BC97,(BC97*'Data Entry - SOF'!O144)/BC97,('Data Entry - SOF'!O145*'Data Entry - SOF'!O144)/BC97))</f>
        <v>#DIV/0!</v>
      </c>
      <c r="BD98" s="3965"/>
      <c r="BE98" s="3966" t="e">
        <f>BC98</f>
        <v>#DIV/0!</v>
      </c>
    </row>
    <row r="99" spans="1:57">
      <c r="A99" s="97"/>
      <c r="C99" s="219">
        <v>0</v>
      </c>
      <c r="D99" s="1898"/>
      <c r="E99" s="219">
        <v>0</v>
      </c>
      <c r="F99" s="1898"/>
      <c r="G99" s="219">
        <v>0</v>
      </c>
      <c r="H99" s="1898"/>
      <c r="I99" s="2743">
        <v>0</v>
      </c>
      <c r="K99" s="3825">
        <v>0</v>
      </c>
      <c r="L99" s="3844"/>
      <c r="M99" s="3825">
        <v>0</v>
      </c>
      <c r="N99" s="3844"/>
      <c r="O99" s="3825">
        <v>0</v>
      </c>
      <c r="P99" s="3844"/>
      <c r="Q99" s="3826">
        <v>0</v>
      </c>
      <c r="S99" s="219">
        <v>0</v>
      </c>
      <c r="T99" s="1991"/>
      <c r="U99" s="219">
        <v>0</v>
      </c>
      <c r="V99" s="1991"/>
      <c r="W99" s="219">
        <v>0</v>
      </c>
      <c r="X99" s="1991"/>
      <c r="Y99" s="2743">
        <v>0</v>
      </c>
      <c r="AA99" s="219">
        <v>0</v>
      </c>
      <c r="AB99" s="2003"/>
      <c r="AC99" s="219">
        <v>0</v>
      </c>
      <c r="AD99" s="2003"/>
      <c r="AE99" s="219">
        <v>0</v>
      </c>
      <c r="AF99" s="2003"/>
      <c r="AG99" s="2743">
        <v>0</v>
      </c>
      <c r="AI99" s="219">
        <v>0</v>
      </c>
      <c r="AJ99" s="1898"/>
      <c r="AK99" s="219">
        <v>0</v>
      </c>
      <c r="AL99" s="1898"/>
      <c r="AM99" s="219">
        <v>0</v>
      </c>
      <c r="AN99" s="1898"/>
      <c r="AO99" s="2743">
        <v>0</v>
      </c>
      <c r="AQ99" s="3884">
        <v>0</v>
      </c>
      <c r="AR99" s="3903"/>
      <c r="AS99" s="3884">
        <v>0</v>
      </c>
      <c r="AT99" s="3903"/>
      <c r="AU99" s="3884">
        <v>0</v>
      </c>
      <c r="AV99" s="3903"/>
      <c r="AW99" s="3885">
        <v>0</v>
      </c>
      <c r="AY99" s="3946">
        <v>0</v>
      </c>
      <c r="AZ99" s="3965"/>
      <c r="BA99" s="3946">
        <v>0</v>
      </c>
      <c r="BB99" s="3965"/>
      <c r="BC99" s="3946">
        <v>0</v>
      </c>
      <c r="BD99" s="3965"/>
      <c r="BE99" s="3947">
        <v>0</v>
      </c>
    </row>
    <row r="100" spans="1:57">
      <c r="A100" s="97"/>
      <c r="C100" s="1892" t="e">
        <f>IF(C96-C98-C99&lt;0,0,C96-C98-C99)</f>
        <v>#DIV/0!</v>
      </c>
      <c r="D100" s="1898"/>
      <c r="E100" s="1892" t="e">
        <f>IF(E96-E98-E99&lt;0,0,E96-E98-E99)</f>
        <v>#DIV/0!</v>
      </c>
      <c r="F100" s="1898"/>
      <c r="G100" s="1892" t="e">
        <f>IF(G96-G98-G99&lt;0,0,G96-G98-G99)</f>
        <v>#DIV/0!</v>
      </c>
      <c r="H100" s="1898"/>
      <c r="I100" s="2751" t="e">
        <f>IF(I96-I98-I99&lt;0,0,I96-I98-I99)</f>
        <v>#DIV/0!</v>
      </c>
      <c r="K100" s="3843" t="e">
        <f>IF(K96-K98-K99&lt;0,0,K96-K98-K99)</f>
        <v>#DIV/0!</v>
      </c>
      <c r="L100" s="3844"/>
      <c r="M100" s="3843" t="e">
        <f>IF(M96-M98-M99&lt;0,0,M96-M98-M99)</f>
        <v>#DIV/0!</v>
      </c>
      <c r="N100" s="3844"/>
      <c r="O100" s="3843" t="e">
        <f>IF(O96-O98-O99&lt;0,0,O96-O98-O99)</f>
        <v>#DIV/0!</v>
      </c>
      <c r="P100" s="3844"/>
      <c r="Q100" s="3845" t="e">
        <f>IF(Q96-Q98-Q99&lt;0,0,Q96-Q98-Q99)</f>
        <v>#DIV/0!</v>
      </c>
      <c r="S100" s="1990" t="e">
        <f>IF(S96-S98-S99&lt;0,0,S96-S98-S99)</f>
        <v>#DIV/0!</v>
      </c>
      <c r="T100" s="1991"/>
      <c r="U100" s="1990" t="e">
        <f>IF(U96-U98-U99&lt;0,0,U96-U98-U99)</f>
        <v>#DIV/0!</v>
      </c>
      <c r="V100" s="1991"/>
      <c r="W100" s="1990" t="e">
        <f>IF(W96-W98-W99&lt;0,0,W96-W98-W99)</f>
        <v>#DIV/0!</v>
      </c>
      <c r="X100" s="1991"/>
      <c r="Y100" s="2785" t="e">
        <f>IF(Y96-Y98-Y99&lt;0,0,Y96-Y98-Y99)</f>
        <v>#DIV/0!</v>
      </c>
      <c r="AA100" s="2002" t="e">
        <f>IF(AA96-AA98-AA99&lt;0,0,AA96-AA98-AA99)</f>
        <v>#DIV/0!</v>
      </c>
      <c r="AB100" s="2003"/>
      <c r="AC100" s="2002" t="e">
        <f>IF(AC96-AC98-AC99&lt;0,0,AC96-AC98-AC99)</f>
        <v>#DIV/0!</v>
      </c>
      <c r="AD100" s="2003"/>
      <c r="AE100" s="2002" t="e">
        <f>IF(AE96-AE98-AE99&lt;0,0,AE96-AE98-AE99)</f>
        <v>#DIV/0!</v>
      </c>
      <c r="AF100" s="2003"/>
      <c r="AG100" s="2806" t="e">
        <f>IF(AG96-AG98-AG99&lt;0,0,AG96-AG98-AG99)</f>
        <v>#DIV/0!</v>
      </c>
      <c r="AI100" s="1892" t="e">
        <f>IF(AI96-AI98-AI99&lt;0,0,AI96-AI98-AI99)</f>
        <v>#DIV/0!</v>
      </c>
      <c r="AJ100" s="1898"/>
      <c r="AK100" s="1892" t="e">
        <f>IF(AK96-AK98-AK99&lt;0,0,AK96-AK98-AK99)</f>
        <v>#DIV/0!</v>
      </c>
      <c r="AL100" s="1898"/>
      <c r="AM100" s="1892" t="e">
        <f>IF(AM96-AM98-AM99&lt;0,0,AM96-AM98-AM99)</f>
        <v>#DIV/0!</v>
      </c>
      <c r="AN100" s="1898"/>
      <c r="AO100" s="2751" t="e">
        <f>IF(AO96-AO98-AO99&lt;0,0,AO96-AO98-AO99)</f>
        <v>#DIV/0!</v>
      </c>
      <c r="AQ100" s="3902" t="e">
        <f>IF(AQ96-AQ98-AQ99&lt;0,0,AQ96-AQ98-AQ99)</f>
        <v>#DIV/0!</v>
      </c>
      <c r="AR100" s="3903"/>
      <c r="AS100" s="3902" t="e">
        <f>IF(AS96-AS98-AS99&lt;0,0,AS96-AS98-AS99)</f>
        <v>#DIV/0!</v>
      </c>
      <c r="AT100" s="3903"/>
      <c r="AU100" s="3902" t="e">
        <f>IF(AU96-AU98-AU99&lt;0,0,AU96-AU98-AU99)</f>
        <v>#DIV/0!</v>
      </c>
      <c r="AV100" s="3903"/>
      <c r="AW100" s="3904" t="e">
        <f>IF(AW96-AW98-AW99&lt;0,0,AW96-AW98-AW99)</f>
        <v>#DIV/0!</v>
      </c>
      <c r="AY100" s="3964" t="e">
        <f>IF(AY96-AY98-AY99&lt;0,0,AY96-AY98-AY99)</f>
        <v>#DIV/0!</v>
      </c>
      <c r="AZ100" s="3965"/>
      <c r="BA100" s="3964" t="e">
        <f>IF(BA96-BA98-BA99&lt;0,0,BA96-BA98-BA99)</f>
        <v>#DIV/0!</v>
      </c>
      <c r="BB100" s="3965"/>
      <c r="BC100" s="3964" t="e">
        <f>IF(BC96-BC98-BC99&lt;0,0,BC96-BC98-BC99)</f>
        <v>#DIV/0!</v>
      </c>
      <c r="BD100" s="3965"/>
      <c r="BE100" s="3966" t="e">
        <f>IF(BE96-BE98-BE99&lt;0,0,BE96-BE98-BE99)</f>
        <v>#DIV/0!</v>
      </c>
    </row>
    <row r="101" spans="1:57">
      <c r="A101" s="97"/>
      <c r="C101" s="1889" t="e">
        <f>IF(C100=0,0,C100*C97)</f>
        <v>#DIV/0!</v>
      </c>
      <c r="D101" s="1891"/>
      <c r="E101" s="1889" t="e">
        <f>IF(E100=0,0,E100*E97)</f>
        <v>#DIV/0!</v>
      </c>
      <c r="F101" s="1891"/>
      <c r="G101" s="1889" t="e">
        <f>IF(G100=0,0,G100*G97)</f>
        <v>#DIV/0!</v>
      </c>
      <c r="H101" s="1891"/>
      <c r="I101" s="2750" t="e">
        <f>IF(I100=0,0,I100*I97)</f>
        <v>#DIV/0!</v>
      </c>
      <c r="K101" s="3838" t="e">
        <f>IF(K100=0,0,K100*K97)</f>
        <v>#DIV/0!</v>
      </c>
      <c r="L101" s="3836"/>
      <c r="M101" s="3838" t="e">
        <f>IF(M100=0,0,M100*M97)</f>
        <v>#DIV/0!</v>
      </c>
      <c r="N101" s="3836"/>
      <c r="O101" s="3838" t="e">
        <f>IF(O100=0,0,O100*O97)</f>
        <v>#DIV/0!</v>
      </c>
      <c r="P101" s="3836"/>
      <c r="Q101" s="3839" t="e">
        <f>IF(Q100=0,0,Q100*Q97)</f>
        <v>#DIV/0!</v>
      </c>
      <c r="S101" s="1987" t="e">
        <f>IF(S100=0,0,S100*S97)</f>
        <v>#DIV/0!</v>
      </c>
      <c r="T101" s="1986"/>
      <c r="U101" s="1987" t="e">
        <f>IF(U100=0,0,U100*U97)</f>
        <v>#DIV/0!</v>
      </c>
      <c r="V101" s="1986"/>
      <c r="W101" s="1987" t="e">
        <f>IF(W100=0,0,W100*W97)</f>
        <v>#DIV/0!</v>
      </c>
      <c r="X101" s="1986"/>
      <c r="Y101" s="2783" t="e">
        <f>IF(Y100=0,0,Y100*Y97)</f>
        <v>#DIV/0!</v>
      </c>
      <c r="AA101" s="1999" t="e">
        <f>IF(AA100=0,0,AA100*AA97)</f>
        <v>#DIV/0!</v>
      </c>
      <c r="AB101" s="1998"/>
      <c r="AC101" s="1999" t="e">
        <f>IF(AC100=0,0,AC100*AC97)</f>
        <v>#DIV/0!</v>
      </c>
      <c r="AD101" s="1998"/>
      <c r="AE101" s="1999" t="e">
        <f>IF(AE100=0,0,AE100*AE97)</f>
        <v>#DIV/0!</v>
      </c>
      <c r="AF101" s="1998"/>
      <c r="AG101" s="2804" t="e">
        <f>IF(AG100=0,0,AG100*AG97)</f>
        <v>#DIV/0!</v>
      </c>
      <c r="AI101" s="1889" t="e">
        <f>IF(AI100=0,0,AI100*AI97)</f>
        <v>#DIV/0!</v>
      </c>
      <c r="AJ101" s="1891"/>
      <c r="AK101" s="1889" t="e">
        <f>IF(AK100=0,0,AK100*AK97)</f>
        <v>#DIV/0!</v>
      </c>
      <c r="AL101" s="1891"/>
      <c r="AM101" s="1889" t="e">
        <f>IF(AM100=0,0,AM100*AM97)</f>
        <v>#DIV/0!</v>
      </c>
      <c r="AN101" s="1891"/>
      <c r="AO101" s="2750" t="e">
        <f>IF(AO100=0,0,AO100*AO97)</f>
        <v>#DIV/0!</v>
      </c>
      <c r="AQ101" s="3897" t="e">
        <f>IF(AQ100=0,0,AQ100*AQ97)</f>
        <v>#DIV/0!</v>
      </c>
      <c r="AR101" s="3895"/>
      <c r="AS101" s="3897" t="e">
        <f>IF(AS100=0,0,AS100*AS97)</f>
        <v>#DIV/0!</v>
      </c>
      <c r="AT101" s="3895"/>
      <c r="AU101" s="3897" t="e">
        <f>IF(AU100=0,0,AU100*AU97)</f>
        <v>#DIV/0!</v>
      </c>
      <c r="AV101" s="3895"/>
      <c r="AW101" s="3898" t="e">
        <f>IF(AW100=0,0,AW100*AW97)</f>
        <v>#DIV/0!</v>
      </c>
      <c r="AY101" s="3959" t="e">
        <f>IF(AY100=0,0,AY100*AY97)</f>
        <v>#DIV/0!</v>
      </c>
      <c r="AZ101" s="3957"/>
      <c r="BA101" s="3959" t="e">
        <f>IF(BA100=0,0,BA100*BA97)</f>
        <v>#DIV/0!</v>
      </c>
      <c r="BB101" s="3957"/>
      <c r="BC101" s="3959" t="e">
        <f>IF(BC100=0,0,BC100*BC97)</f>
        <v>#DIV/0!</v>
      </c>
      <c r="BD101" s="3957"/>
      <c r="BE101" s="3960" t="e">
        <f>IF(BE100=0,0,BE100*BE97)</f>
        <v>#DIV/0!</v>
      </c>
    </row>
    <row r="102" spans="1:57">
      <c r="A102" s="97"/>
      <c r="C102" s="1886"/>
      <c r="D102" s="1886"/>
      <c r="E102" s="1886"/>
      <c r="F102" s="1886"/>
      <c r="G102" s="1886"/>
      <c r="H102" s="1886"/>
      <c r="I102" s="2747"/>
      <c r="K102" s="3849"/>
      <c r="L102" s="3849"/>
      <c r="M102" s="3849"/>
      <c r="N102" s="3849"/>
      <c r="O102" s="3849"/>
      <c r="P102" s="3849"/>
      <c r="Q102" s="3850"/>
      <c r="S102" s="1994"/>
      <c r="T102" s="1994"/>
      <c r="U102" s="1994"/>
      <c r="V102" s="1994"/>
      <c r="W102" s="1994"/>
      <c r="X102" s="1994"/>
      <c r="Y102" s="2787"/>
      <c r="AA102" s="2006"/>
      <c r="AB102" s="2006"/>
      <c r="AC102" s="2006"/>
      <c r="AD102" s="2006"/>
      <c r="AE102" s="2006"/>
      <c r="AF102" s="2006"/>
      <c r="AG102" s="2808"/>
      <c r="AI102" s="1886"/>
      <c r="AJ102" s="1886"/>
      <c r="AK102" s="1886"/>
      <c r="AL102" s="1886"/>
      <c r="AM102" s="1886"/>
      <c r="AN102" s="1886"/>
      <c r="AO102" s="2747"/>
      <c r="AQ102" s="3908"/>
      <c r="AR102" s="3908"/>
      <c r="AS102" s="3908"/>
      <c r="AT102" s="3908"/>
      <c r="AU102" s="3908"/>
      <c r="AV102" s="3908"/>
      <c r="AW102" s="3909"/>
      <c r="AY102" s="3970"/>
      <c r="AZ102" s="3970"/>
      <c r="BA102" s="3970"/>
      <c r="BB102" s="3970"/>
      <c r="BC102" s="3970"/>
      <c r="BD102" s="3970"/>
      <c r="BE102" s="3971"/>
    </row>
    <row r="103" spans="1:57">
      <c r="A103" s="97"/>
      <c r="C103" s="1886"/>
      <c r="D103" s="1886"/>
      <c r="E103" s="1886"/>
      <c r="F103" s="1886"/>
      <c r="G103" s="1886"/>
      <c r="H103" s="1886"/>
      <c r="I103" s="2747"/>
      <c r="K103" s="3849"/>
      <c r="L103" s="3849"/>
      <c r="M103" s="3849"/>
      <c r="N103" s="3849"/>
      <c r="O103" s="3849"/>
      <c r="P103" s="3849"/>
      <c r="Q103" s="3850"/>
      <c r="S103" s="1994"/>
      <c r="T103" s="1994"/>
      <c r="U103" s="1994"/>
      <c r="V103" s="1994"/>
      <c r="W103" s="1994"/>
      <c r="X103" s="1994"/>
      <c r="Y103" s="2787"/>
      <c r="AA103" s="2006"/>
      <c r="AB103" s="2006"/>
      <c r="AC103" s="2006"/>
      <c r="AD103" s="2006"/>
      <c r="AE103" s="2006"/>
      <c r="AF103" s="2006"/>
      <c r="AG103" s="2808"/>
      <c r="AI103" s="1886"/>
      <c r="AJ103" s="1886"/>
      <c r="AK103" s="1886"/>
      <c r="AL103" s="1886"/>
      <c r="AM103" s="1886"/>
      <c r="AN103" s="1886"/>
      <c r="AO103" s="2747"/>
      <c r="AQ103" s="3908"/>
      <c r="AR103" s="3908"/>
      <c r="AS103" s="3908"/>
      <c r="AT103" s="3908"/>
      <c r="AU103" s="3908"/>
      <c r="AV103" s="3908"/>
      <c r="AW103" s="3909"/>
      <c r="AY103" s="3970"/>
      <c r="AZ103" s="3970"/>
      <c r="BA103" s="3970"/>
      <c r="BB103" s="3970"/>
      <c r="BC103" s="3970"/>
      <c r="BD103" s="3970"/>
      <c r="BE103" s="3971"/>
    </row>
    <row r="104" spans="1:57">
      <c r="A104" s="97"/>
      <c r="C104" s="1894" t="e">
        <f>IF(C127&gt;C128,C128,C127)</f>
        <v>#DIV/0!</v>
      </c>
      <c r="D104" s="1891"/>
      <c r="E104" s="1894">
        <v>0</v>
      </c>
      <c r="F104" s="1891"/>
      <c r="G104" s="1894" t="e">
        <f>IF(G127&gt;G128,G128,G127)</f>
        <v>#DIV/0!</v>
      </c>
      <c r="H104" s="1891"/>
      <c r="I104" s="2753">
        <v>0</v>
      </c>
      <c r="K104" s="3851" t="e">
        <f>IF(K127&gt;K128,K128,K127)</f>
        <v>#DIV/0!</v>
      </c>
      <c r="L104" s="3836"/>
      <c r="M104" s="3851">
        <v>0</v>
      </c>
      <c r="N104" s="3836"/>
      <c r="O104" s="3851" t="e">
        <f>IF(O127&gt;O128,O128,O127)</f>
        <v>#DIV/0!</v>
      </c>
      <c r="P104" s="3836"/>
      <c r="Q104" s="3852">
        <v>0</v>
      </c>
      <c r="S104" s="1995" t="e">
        <f>IF(S127&gt;S128,S128,S127)</f>
        <v>#DIV/0!</v>
      </c>
      <c r="T104" s="1986"/>
      <c r="U104" s="1995">
        <v>0</v>
      </c>
      <c r="V104" s="1986"/>
      <c r="W104" s="1995" t="e">
        <f>IF(W127&gt;W128,W128,W127)</f>
        <v>#DIV/0!</v>
      </c>
      <c r="X104" s="1986"/>
      <c r="Y104" s="2788">
        <v>0</v>
      </c>
      <c r="AA104" s="2007" t="e">
        <f>IF(AA127&gt;AA128,AA128,AA127)</f>
        <v>#DIV/0!</v>
      </c>
      <c r="AB104" s="1998"/>
      <c r="AC104" s="2007">
        <v>0</v>
      </c>
      <c r="AD104" s="1998"/>
      <c r="AE104" s="2007" t="e">
        <f>IF(AE127&gt;AE128,AE128,AE127)</f>
        <v>#DIV/0!</v>
      </c>
      <c r="AF104" s="1998"/>
      <c r="AG104" s="2809">
        <v>0</v>
      </c>
      <c r="AI104" s="1894" t="e">
        <f>IF(AI127&gt;AI128,AI128,AI127)</f>
        <v>#DIV/0!</v>
      </c>
      <c r="AJ104" s="1891"/>
      <c r="AK104" s="1894">
        <v>0</v>
      </c>
      <c r="AL104" s="1891"/>
      <c r="AM104" s="1894" t="e">
        <f>IF(AM127&gt;AM128,AM128,AM127)</f>
        <v>#DIV/0!</v>
      </c>
      <c r="AN104" s="1891"/>
      <c r="AO104" s="2753">
        <v>0</v>
      </c>
      <c r="AQ104" s="3910" t="e">
        <f>IF(AQ127&gt;AQ128,AQ128,AQ127)</f>
        <v>#DIV/0!</v>
      </c>
      <c r="AR104" s="3895"/>
      <c r="AS104" s="3910">
        <v>0</v>
      </c>
      <c r="AT104" s="3895"/>
      <c r="AU104" s="3910" t="e">
        <f>IF(AU127&gt;AU128,AU128,AU127)</f>
        <v>#DIV/0!</v>
      </c>
      <c r="AV104" s="3895"/>
      <c r="AW104" s="3911">
        <v>0</v>
      </c>
      <c r="AY104" s="3972" t="e">
        <f>IF(AY127&gt;AY128,AY128,AY127)</f>
        <v>#DIV/0!</v>
      </c>
      <c r="AZ104" s="3957"/>
      <c r="BA104" s="3972">
        <v>0</v>
      </c>
      <c r="BB104" s="3957"/>
      <c r="BC104" s="3972" t="e">
        <f>IF(BC127&gt;BC128,BC128,BC127)</f>
        <v>#DIV/0!</v>
      </c>
      <c r="BD104" s="3957"/>
      <c r="BE104" s="3973">
        <v>0</v>
      </c>
    </row>
    <row r="105" spans="1:57">
      <c r="A105" s="97"/>
      <c r="C105" s="4642" t="e">
        <f>'Data Entry - SOF'!C91*(C101/'HH1617-Calcs'!D11)</f>
        <v>#DIV/0!</v>
      </c>
      <c r="D105" s="1891"/>
      <c r="E105" s="1894">
        <f>IF('Data Entry - SOF'!C92&gt;E130,E130,'Data Entry - SOF'!C92)</f>
        <v>0</v>
      </c>
      <c r="F105" s="1891"/>
      <c r="G105" s="4642" t="e">
        <f>'Data Entry - SOF'!C91*(G101/'HH1617-Calcs'!D11)</f>
        <v>#DIV/0!</v>
      </c>
      <c r="H105" s="1891"/>
      <c r="I105" s="2753">
        <f>IF('Data Entry - SOF'!C94&gt;I130,I130,'Data Entry - SOF'!C94)</f>
        <v>0</v>
      </c>
      <c r="K105" s="4643" t="e">
        <f>'Data Entry - SOF'!E91*(K101/'HH1718-Calcs'!D11)</f>
        <v>#DIV/0!</v>
      </c>
      <c r="L105" s="3836"/>
      <c r="M105" s="3851">
        <f>IF('Data Entry - SOF'!E92&gt;M130,M130,'Data Entry - SOF'!E92)</f>
        <v>0</v>
      </c>
      <c r="N105" s="3836"/>
      <c r="O105" s="4643" t="e">
        <f>'Data Entry - SOF'!E91*(O101/'HH1718-Calcs'!D11)</f>
        <v>#DIV/0!</v>
      </c>
      <c r="P105" s="3836"/>
      <c r="Q105" s="3852">
        <f>IF('Data Entry - SOF'!E94&gt;Q130,Q130,'Data Entry - SOF'!E94)</f>
        <v>0</v>
      </c>
      <c r="S105" s="4644" t="e">
        <f>'Data Entry - SOF'!G91*(S101/'HH1819-Calcs'!D11)</f>
        <v>#DIV/0!</v>
      </c>
      <c r="T105" s="1986"/>
      <c r="U105" s="1995">
        <f>IF('Data Entry - SOF'!G92&gt;U130,U130,'Data Entry - SOF'!G92)</f>
        <v>0</v>
      </c>
      <c r="V105" s="1986"/>
      <c r="W105" s="4644" t="e">
        <f>'Data Entry - SOF'!G91*(W101/'HH1819-Calcs'!D11)</f>
        <v>#DIV/0!</v>
      </c>
      <c r="X105" s="1986"/>
      <c r="Y105" s="2788">
        <f>IF('Data Entry - SOF'!G94&gt;Y130,Y130,'Data Entry - SOF'!G94)</f>
        <v>0</v>
      </c>
      <c r="AA105" s="4645" t="e">
        <f>'Data Entry - SOF'!I91*(AA101/'HH1920-Calcs'!D11)</f>
        <v>#DIV/0!</v>
      </c>
      <c r="AB105" s="1998"/>
      <c r="AC105" s="2007">
        <f>IF('Data Entry - SOF'!I92&gt;AC130,AC130,'Data Entry - SOF'!I92)</f>
        <v>0</v>
      </c>
      <c r="AD105" s="1998"/>
      <c r="AE105" s="4645" t="e">
        <f>'Data Entry - SOF'!I91*(AE101/'HH1920-Calcs'!D11)</f>
        <v>#DIV/0!</v>
      </c>
      <c r="AF105" s="1998"/>
      <c r="AG105" s="2809">
        <f>IF('Data Entry - SOF'!I94&gt;AG130,AG130,'Data Entry - SOF'!I94)</f>
        <v>0</v>
      </c>
      <c r="AI105" s="4642" t="e">
        <f>'Data Entry - SOF'!K91*(AI101/'HH2021-Calcs'!D11)</f>
        <v>#DIV/0!</v>
      </c>
      <c r="AJ105" s="1891"/>
      <c r="AK105" s="1894">
        <f>IF('Data Entry - SOF'!K92&gt;AK130,AK130,'Data Entry - SOF'!K92)</f>
        <v>0</v>
      </c>
      <c r="AL105" s="1891"/>
      <c r="AM105" s="4642" t="e">
        <f>'Data Entry - SOF'!K91*(AM101/'HH2021-Calcs'!D11)</f>
        <v>#DIV/0!</v>
      </c>
      <c r="AN105" s="1891"/>
      <c r="AO105" s="2753">
        <f>IF('Data Entry - SOF'!K94&gt;AO130,AO130,'Data Entry - SOF'!K94)</f>
        <v>0</v>
      </c>
      <c r="AQ105" s="4646" t="e">
        <f>'Data Entry - SOF'!M91*(AQ101/'HH2122-Calcs'!D11)</f>
        <v>#DIV/0!</v>
      </c>
      <c r="AR105" s="3895"/>
      <c r="AS105" s="3910">
        <f>IF('Data Entry - SOF'!M92&gt;AS130,AS130,'Data Entry - SOF'!M92)</f>
        <v>0</v>
      </c>
      <c r="AT105" s="3895"/>
      <c r="AU105" s="4646" t="e">
        <f>'Data Entry - SOF'!M91*(AU101/'HH2122-Calcs'!D11)</f>
        <v>#DIV/0!</v>
      </c>
      <c r="AV105" s="3895"/>
      <c r="AW105" s="3911">
        <f>IF('Data Entry - SOF'!M94&gt;AW130,AW130,'Data Entry - SOF'!M94)</f>
        <v>0</v>
      </c>
      <c r="AY105" s="4647" t="e">
        <f>'Data Entry - SOF'!O91*(AY101/'HH2223-Calcs'!D11)</f>
        <v>#DIV/0!</v>
      </c>
      <c r="AZ105" s="3957"/>
      <c r="BA105" s="3972">
        <f>IF('Data Entry - SOF'!O92&gt;BA130,BA130,'Data Entry - SOF'!O92)</f>
        <v>0</v>
      </c>
      <c r="BB105" s="3957"/>
      <c r="BC105" s="4647" t="e">
        <f>'Data Entry - SOF'!O91*(BC101/'HH2223-Calcs'!D11)</f>
        <v>#DIV/0!</v>
      </c>
      <c r="BD105" s="3957"/>
      <c r="BE105" s="3973">
        <f>IF('Data Entry - SOF'!O94&gt;BE130,BE130,'Data Entry - SOF'!O94)</f>
        <v>0</v>
      </c>
    </row>
    <row r="106" spans="1:57">
      <c r="C106" s="1895"/>
      <c r="D106" s="1895"/>
      <c r="E106" s="1895"/>
      <c r="F106" s="1895"/>
      <c r="G106" s="1895"/>
      <c r="H106" s="1895"/>
      <c r="I106" s="2754"/>
      <c r="K106" s="3853"/>
      <c r="L106" s="3853"/>
      <c r="M106" s="3853"/>
      <c r="N106" s="3853"/>
      <c r="O106" s="3853"/>
      <c r="P106" s="3853"/>
      <c r="Q106" s="3837"/>
      <c r="S106" s="1996"/>
      <c r="T106" s="1996"/>
      <c r="U106" s="1996"/>
      <c r="V106" s="1996"/>
      <c r="W106" s="1996"/>
      <c r="X106" s="1996"/>
      <c r="Y106" s="2782"/>
      <c r="AA106" s="2008"/>
      <c r="AB106" s="2008"/>
      <c r="AC106" s="2008"/>
      <c r="AD106" s="2008"/>
      <c r="AE106" s="2008"/>
      <c r="AF106" s="2008"/>
      <c r="AG106" s="2803"/>
      <c r="AI106" s="1895"/>
      <c r="AJ106" s="1895"/>
      <c r="AK106" s="1895"/>
      <c r="AL106" s="1895"/>
      <c r="AM106" s="1895"/>
      <c r="AN106" s="1895"/>
      <c r="AO106" s="2754"/>
      <c r="AQ106" s="3912"/>
      <c r="AR106" s="3912"/>
      <c r="AS106" s="3912"/>
      <c r="AT106" s="3912"/>
      <c r="AU106" s="3912"/>
      <c r="AV106" s="3912"/>
      <c r="AW106" s="3896"/>
      <c r="AY106" s="3974"/>
      <c r="AZ106" s="3974"/>
      <c r="BA106" s="3974"/>
      <c r="BB106" s="3974"/>
      <c r="BC106" s="3974"/>
      <c r="BD106" s="3974"/>
      <c r="BE106" s="3958"/>
    </row>
    <row r="107" spans="1:57" ht="13.5" thickBot="1">
      <c r="C107" s="1896" t="e">
        <f>IF(C101-C104-C105&lt;0,0,C101-C104-C105)</f>
        <v>#DIV/0!</v>
      </c>
      <c r="D107" s="1891"/>
      <c r="E107" s="1896" t="e">
        <f>IF(E101-E104-E105&lt;0,0,E101-E104-E105)</f>
        <v>#DIV/0!</v>
      </c>
      <c r="F107" s="1891"/>
      <c r="G107" s="1896" t="e">
        <f>IF(G101-G104-G105&lt;0,0,G101-G104-G105)</f>
        <v>#DIV/0!</v>
      </c>
      <c r="H107" s="1891"/>
      <c r="I107" s="2755" t="e">
        <f>IF(I101-I104-I105&lt;0,0,I101-I104-I105)</f>
        <v>#DIV/0!</v>
      </c>
      <c r="K107" s="3854" t="e">
        <f>IF(K101-K104-K105&lt;0,0,K101-K104-K105)</f>
        <v>#DIV/0!</v>
      </c>
      <c r="L107" s="3836"/>
      <c r="M107" s="3854" t="e">
        <f>IF(M101-M104-M105&lt;0,0,M101-M104-M105)</f>
        <v>#DIV/0!</v>
      </c>
      <c r="N107" s="3836"/>
      <c r="O107" s="3854" t="e">
        <f>IF(O101-O104-O105&lt;0,0,O101-O104-O105)</f>
        <v>#DIV/0!</v>
      </c>
      <c r="P107" s="3836"/>
      <c r="Q107" s="3855" t="e">
        <f>IF(Q101-Q104-Q105&lt;0,0,Q101-Q104-Q105)</f>
        <v>#DIV/0!</v>
      </c>
      <c r="S107" s="1997" t="e">
        <f>IF(S101-S104-S105&lt;0,0,S101-S104-S105)</f>
        <v>#DIV/0!</v>
      </c>
      <c r="T107" s="1986"/>
      <c r="U107" s="1997" t="e">
        <f>IF(U101-U104-U105&lt;0,0,U101-U104-U105)</f>
        <v>#DIV/0!</v>
      </c>
      <c r="V107" s="1986"/>
      <c r="W107" s="1997" t="e">
        <f>IF(W101-W104-W105&lt;0,0,W101-W104-W105)</f>
        <v>#DIV/0!</v>
      </c>
      <c r="X107" s="1986"/>
      <c r="Y107" s="2789" t="e">
        <f>IF(Y101-Y104-Y105&lt;0,0,Y101-Y104-Y105)</f>
        <v>#DIV/0!</v>
      </c>
      <c r="AA107" s="2009" t="e">
        <f>IF(AA101-AA104-AA105&lt;0,0,AA101-AA104-AA105)</f>
        <v>#DIV/0!</v>
      </c>
      <c r="AB107" s="1998"/>
      <c r="AC107" s="2009" t="e">
        <f>IF(AC101-AC104-AC105&lt;0,0,AC101-AC104-AC105)</f>
        <v>#DIV/0!</v>
      </c>
      <c r="AD107" s="1998"/>
      <c r="AE107" s="2009" t="e">
        <f>IF(AE101-AE104-AE105&lt;0,0,AE101-AE104-AE105)</f>
        <v>#DIV/0!</v>
      </c>
      <c r="AF107" s="1998"/>
      <c r="AG107" s="2810" t="e">
        <f>IF(AG101-AG104-AG105&lt;0,0,AG101-AG104-AG105)</f>
        <v>#DIV/0!</v>
      </c>
      <c r="AI107" s="1896" t="e">
        <f>IF(AI101-AI104-AI105&lt;0,0,AI101-AI104-AI105)</f>
        <v>#DIV/0!</v>
      </c>
      <c r="AJ107" s="1891"/>
      <c r="AK107" s="1896" t="e">
        <f>IF(AK101-AK104-AK105&lt;0,0,AK101-AK104-AK105)</f>
        <v>#DIV/0!</v>
      </c>
      <c r="AL107" s="1891"/>
      <c r="AM107" s="1896" t="e">
        <f>IF(AM101-AM104-AM105&lt;0,0,AM101-AM104-AM105)</f>
        <v>#DIV/0!</v>
      </c>
      <c r="AN107" s="1891"/>
      <c r="AO107" s="2755" t="e">
        <f>IF(AO101-AO104-AO105&lt;0,0,AO101-AO104-AO105)</f>
        <v>#DIV/0!</v>
      </c>
      <c r="AQ107" s="3913" t="e">
        <f>IF(AQ101-AQ104-AQ105&lt;0,0,AQ101-AQ104-AQ105)</f>
        <v>#DIV/0!</v>
      </c>
      <c r="AR107" s="3895"/>
      <c r="AS107" s="3913" t="e">
        <f>IF(AS101-AS104-AS105&lt;0,0,AS101-AS104-AS105)</f>
        <v>#DIV/0!</v>
      </c>
      <c r="AT107" s="3895"/>
      <c r="AU107" s="3913" t="e">
        <f>IF(AU101-AU104-AU105&lt;0,0,AU101-AU104-AU105)</f>
        <v>#DIV/0!</v>
      </c>
      <c r="AV107" s="3895"/>
      <c r="AW107" s="3914" t="e">
        <f>IF(AW101-AW104-AW105&lt;0,0,AW101-AW104-AW105)</f>
        <v>#DIV/0!</v>
      </c>
      <c r="AY107" s="3975" t="e">
        <f>IF(AY101-AY104-AY105&lt;0,0,AY101-AY104-AY105)</f>
        <v>#DIV/0!</v>
      </c>
      <c r="AZ107" s="3957"/>
      <c r="BA107" s="3975" t="e">
        <f>IF(BA101-BA104-BA105&lt;0,0,BA101-BA104-BA105)</f>
        <v>#DIV/0!</v>
      </c>
      <c r="BB107" s="3957"/>
      <c r="BC107" s="3975" t="e">
        <f>IF(BC101-BC104-BC105&lt;0,0,BC101-BC104-BC105)</f>
        <v>#DIV/0!</v>
      </c>
      <c r="BD107" s="3957"/>
      <c r="BE107" s="3976" t="e">
        <f>IF(BE101-BE104-BE105&lt;0,0,BE101-BE104-BE105)</f>
        <v>#DIV/0!</v>
      </c>
    </row>
    <row r="108" spans="1:57" ht="13.5" thickTop="1">
      <c r="C108" s="1886"/>
      <c r="D108" s="1886"/>
      <c r="E108" s="1886"/>
      <c r="F108" s="1886"/>
      <c r="G108" s="1886"/>
      <c r="H108" s="1886"/>
      <c r="I108" s="2747"/>
      <c r="Q108" s="3799"/>
      <c r="Y108" s="2769"/>
      <c r="AG108" s="2790"/>
      <c r="AO108" s="2664"/>
      <c r="AW108" s="3859"/>
      <c r="BE108" s="3920"/>
    </row>
    <row r="109" spans="1:57">
      <c r="C109" s="1891" t="e">
        <f>IF(FracFunding1617!E24&lt;=0,C54,C107)</f>
        <v>#DIV/0!</v>
      </c>
      <c r="D109" s="1886"/>
      <c r="E109" s="1891" t="e">
        <f>IF(FracFunding1617!E24&lt;=0,E54,E107)</f>
        <v>#DIV/0!</v>
      </c>
      <c r="F109" s="1886"/>
      <c r="G109" s="1891" t="e">
        <f>IF(FracFunding1617!E24&lt;=0,G54,G107)</f>
        <v>#DIV/0!</v>
      </c>
      <c r="H109" s="1886"/>
      <c r="I109" s="2754" t="e">
        <f>IF(FracFunding1617!E24&lt;=0,I54,I107)</f>
        <v>#DIV/0!</v>
      </c>
      <c r="Q109" s="3799"/>
      <c r="Y109" s="2769"/>
      <c r="AG109" s="2790"/>
      <c r="AO109" s="2664"/>
      <c r="AW109" s="3859"/>
      <c r="BE109" s="3920"/>
    </row>
    <row r="110" spans="1:57">
      <c r="I110" s="2733"/>
      <c r="Q110" s="3799"/>
      <c r="Y110" s="2769"/>
      <c r="AG110" s="2790"/>
      <c r="AO110" s="2664"/>
      <c r="AW110" s="3859"/>
      <c r="BE110" s="3920"/>
    </row>
    <row r="111" spans="1:57">
      <c r="C111" s="1405" t="e">
        <f>C48*0.04</f>
        <v>#DIV/0!</v>
      </c>
      <c r="D111" s="1405"/>
      <c r="E111" s="1405" t="e">
        <f>E48*0.05</f>
        <v>#DIV/0!</v>
      </c>
      <c r="F111" s="1405"/>
      <c r="G111" s="1405" t="e">
        <f>G48*0.04</f>
        <v>#DIV/0!</v>
      </c>
      <c r="H111" s="1405"/>
      <c r="I111" s="2745" t="e">
        <f>I48*0.05</f>
        <v>#DIV/0!</v>
      </c>
      <c r="K111" s="3829" t="e">
        <f>K48*0.04</f>
        <v>#DIV/0!</v>
      </c>
      <c r="L111" s="3829"/>
      <c r="M111" s="3829" t="e">
        <f>M48*0.05</f>
        <v>#DIV/0!</v>
      </c>
      <c r="N111" s="3829"/>
      <c r="O111" s="3829" t="e">
        <f>O48*0.04</f>
        <v>#DIV/0!</v>
      </c>
      <c r="P111" s="3829"/>
      <c r="Q111" s="3830" t="e">
        <f>Q48*0.05</f>
        <v>#DIV/0!</v>
      </c>
      <c r="S111" s="1572" t="e">
        <f>S48*0.04</f>
        <v>#DIV/0!</v>
      </c>
      <c r="T111" s="1572"/>
      <c r="U111" s="1572" t="e">
        <f>U48*0.05</f>
        <v>#DIV/0!</v>
      </c>
      <c r="V111" s="1572"/>
      <c r="W111" s="1572" t="e">
        <f>W48*0.04</f>
        <v>#DIV/0!</v>
      </c>
      <c r="X111" s="1572"/>
      <c r="Y111" s="2780" t="e">
        <f>Y48*0.05</f>
        <v>#DIV/0!</v>
      </c>
      <c r="AA111" s="1651" t="e">
        <f>AA48*0.04</f>
        <v>#DIV/0!</v>
      </c>
      <c r="AB111" s="1651"/>
      <c r="AC111" s="1651" t="e">
        <f>AC48*0.05</f>
        <v>#DIV/0!</v>
      </c>
      <c r="AD111" s="1651"/>
      <c r="AE111" s="1651" t="e">
        <f>AE48*0.04</f>
        <v>#DIV/0!</v>
      </c>
      <c r="AF111" s="1651"/>
      <c r="AG111" s="2801" t="e">
        <f>AG48*0.05</f>
        <v>#DIV/0!</v>
      </c>
      <c r="AI111" s="2126" t="e">
        <f>AI48*0.04</f>
        <v>#DIV/0!</v>
      </c>
      <c r="AJ111" s="2126"/>
      <c r="AK111" s="2126" t="e">
        <f>AK48*0.05</f>
        <v>#DIV/0!</v>
      </c>
      <c r="AL111" s="2126"/>
      <c r="AM111" s="2126" t="e">
        <f>AM48*0.04</f>
        <v>#DIV/0!</v>
      </c>
      <c r="AN111" s="2126"/>
      <c r="AO111" s="2818" t="e">
        <f>AO48*0.05</f>
        <v>#DIV/0!</v>
      </c>
      <c r="AQ111" s="3888" t="e">
        <f>AQ48*0.04</f>
        <v>#DIV/0!</v>
      </c>
      <c r="AR111" s="3888"/>
      <c r="AS111" s="3888" t="e">
        <f>AS48*0.05</f>
        <v>#DIV/0!</v>
      </c>
      <c r="AT111" s="3888"/>
      <c r="AU111" s="3888" t="e">
        <f>AU48*0.04</f>
        <v>#DIV/0!</v>
      </c>
      <c r="AV111" s="3888"/>
      <c r="AW111" s="3889" t="e">
        <f>AW48*0.05</f>
        <v>#DIV/0!</v>
      </c>
      <c r="AY111" s="3950" t="e">
        <f>AY48*0.04</f>
        <v>#DIV/0!</v>
      </c>
      <c r="AZ111" s="3950"/>
      <c r="BA111" s="3950" t="e">
        <f>BA48*0.05</f>
        <v>#DIV/0!</v>
      </c>
      <c r="BB111" s="3950"/>
      <c r="BC111" s="3950" t="e">
        <f>BC48*0.04</f>
        <v>#DIV/0!</v>
      </c>
      <c r="BD111" s="3950"/>
      <c r="BE111" s="3951" t="e">
        <f>BE48*0.05</f>
        <v>#DIV/0!</v>
      </c>
    </row>
    <row r="112" spans="1:57">
      <c r="C112" s="1405" t="e">
        <f>C43*80</f>
        <v>#DIV/0!</v>
      </c>
      <c r="D112" s="1405"/>
      <c r="E112" s="1405" t="e">
        <f>'Ch41 Calc Data'!K17*100</f>
        <v>#DIV/0!</v>
      </c>
      <c r="F112" s="1405"/>
      <c r="G112" s="1405" t="e">
        <f>G43*80</f>
        <v>#DIV/0!</v>
      </c>
      <c r="H112" s="1405"/>
      <c r="I112" s="2745" t="e">
        <f>'Ch41 Calc Data'!K17*100</f>
        <v>#DIV/0!</v>
      </c>
      <c r="K112" s="3829" t="e">
        <f>K43*80</f>
        <v>#DIV/0!</v>
      </c>
      <c r="L112" s="3829"/>
      <c r="M112" s="3829" t="e">
        <f>'Ch41 Calc Data'!L17*100</f>
        <v>#DIV/0!</v>
      </c>
      <c r="N112" s="3829"/>
      <c r="O112" s="3829" t="e">
        <f>O43*80</f>
        <v>#DIV/0!</v>
      </c>
      <c r="P112" s="3829"/>
      <c r="Q112" s="3830" t="e">
        <f>'Ch41 Calc Data'!L17*100</f>
        <v>#DIV/0!</v>
      </c>
      <c r="S112" s="1572" t="e">
        <f>S43*80</f>
        <v>#DIV/0!</v>
      </c>
      <c r="T112" s="1572"/>
      <c r="U112" s="1572" t="e">
        <f>'Ch41 Calc Data'!M17*100</f>
        <v>#DIV/0!</v>
      </c>
      <c r="V112" s="1572"/>
      <c r="W112" s="1572" t="e">
        <f>W43*80</f>
        <v>#DIV/0!</v>
      </c>
      <c r="X112" s="1572"/>
      <c r="Y112" s="2780" t="e">
        <f>'Ch41 Calc Data'!M17*100</f>
        <v>#DIV/0!</v>
      </c>
      <c r="AA112" s="1651" t="e">
        <f>AA43*80</f>
        <v>#DIV/0!</v>
      </c>
      <c r="AB112" s="1651"/>
      <c r="AC112" s="1651" t="e">
        <f>'Ch41 Calc Data'!N17*100</f>
        <v>#DIV/0!</v>
      </c>
      <c r="AD112" s="1651"/>
      <c r="AE112" s="1651" t="e">
        <f>AE43*80</f>
        <v>#DIV/0!</v>
      </c>
      <c r="AF112" s="1651"/>
      <c r="AG112" s="2801" t="e">
        <f>'Ch41 Calc Data'!N17*100</f>
        <v>#DIV/0!</v>
      </c>
      <c r="AI112" s="2126" t="e">
        <f>AI43*80</f>
        <v>#DIV/0!</v>
      </c>
      <c r="AJ112" s="2126"/>
      <c r="AK112" s="2126" t="e">
        <f>'Ch41 Calc Data'!O17*100</f>
        <v>#DIV/0!</v>
      </c>
      <c r="AL112" s="2126"/>
      <c r="AM112" s="2126" t="e">
        <f>AM43*80</f>
        <v>#DIV/0!</v>
      </c>
      <c r="AN112" s="2126"/>
      <c r="AO112" s="2818" t="e">
        <f>'Ch41 Calc Data'!O17*100</f>
        <v>#DIV/0!</v>
      </c>
      <c r="AQ112" s="3888" t="e">
        <f>AQ43*80</f>
        <v>#DIV/0!</v>
      </c>
      <c r="AR112" s="3888"/>
      <c r="AS112" s="3888" t="e">
        <f>'Ch41 Calc Data'!P17*100</f>
        <v>#DIV/0!</v>
      </c>
      <c r="AT112" s="3888"/>
      <c r="AU112" s="3888" t="e">
        <f>AU43*80</f>
        <v>#DIV/0!</v>
      </c>
      <c r="AV112" s="3888"/>
      <c r="AW112" s="3889" t="e">
        <f>'Ch41 Calc Data'!P17*100</f>
        <v>#DIV/0!</v>
      </c>
      <c r="AY112" s="3950" t="e">
        <f>AY43*80</f>
        <v>#DIV/0!</v>
      </c>
      <c r="AZ112" s="3950"/>
      <c r="BA112" s="3950" t="e">
        <f>'Ch41 Calc Data'!Q17*100</f>
        <v>#DIV/0!</v>
      </c>
      <c r="BB112" s="3950"/>
      <c r="BC112" s="3950" t="e">
        <f>BC43*80</f>
        <v>#DIV/0!</v>
      </c>
      <c r="BD112" s="3950"/>
      <c r="BE112" s="3951" t="e">
        <f>'Ch41 Calc Data'!Q17*100</f>
        <v>#DIV/0!</v>
      </c>
    </row>
    <row r="113" spans="3:57">
      <c r="I113" s="2733"/>
      <c r="Q113" s="3799"/>
      <c r="Y113" s="2769"/>
      <c r="AG113" s="2790"/>
      <c r="AO113" s="2664"/>
      <c r="AW113" s="3859"/>
      <c r="BE113" s="3920"/>
    </row>
    <row r="114" spans="3:57">
      <c r="E114" s="1403">
        <f>IF('Data Entry - SOF'!C92=0,0,'Data Entry - SOF'!C91*(E48/'Data Entry - SOF'!C59))</f>
        <v>0</v>
      </c>
      <c r="I114" s="2733">
        <f>IF('Data Entry - SOF'!C92=0,0,IF(I41=0,0,'Data Entry - SOF'!C91*(I48/'Data Entry - SOF'!C59)))</f>
        <v>0</v>
      </c>
      <c r="M114" s="3798">
        <f>IF('Data Entry - SOF'!E92=0,0,'Data Entry - SOF'!E91*(M48/'Data Entry - SOF'!E59))</f>
        <v>0</v>
      </c>
      <c r="Q114" s="3799">
        <f>IF('Data Entry - SOF'!E92=0,0,IF(Q41=0,0,'Data Entry - SOF'!E91*(Q48/'Data Entry - SOF'!E59)))</f>
        <v>0</v>
      </c>
      <c r="U114" s="1570">
        <f>IF('Data Entry - SOF'!G92=0,0,'Data Entry - SOF'!G91*(U48/'Data Entry - SOF'!G59))</f>
        <v>0</v>
      </c>
      <c r="Y114" s="2769">
        <f>IF('Data Entry - SOF'!G92=0,0,IF(Y41=0,0,'Data Entry - SOF'!G91*(Y48/'Data Entry - SOF'!G59)))</f>
        <v>0</v>
      </c>
      <c r="AC114" s="1650">
        <f>IF('Data Entry - SOF'!I92=0,0,'Data Entry - SOF'!I91*(AC48/'Data Entry - SOF'!I59))</f>
        <v>0</v>
      </c>
      <c r="AG114" s="2790">
        <f>IF('Data Entry - SOF'!I92=0,0,IF(AG41=0,0,'Data Entry - SOF'!I91*(AG48/'Data Entry - SOF'!I59)))</f>
        <v>0</v>
      </c>
      <c r="AK114" s="2109">
        <f>IF('Data Entry - SOF'!K92=0,0,'Data Entry - SOF'!K91*(AK48/'Data Entry - SOF'!K59))</f>
        <v>0</v>
      </c>
      <c r="AO114" s="2664">
        <f>IF('Data Entry - SOF'!K92=0,0,IF(AO41=0,0,'Data Entry - SOF'!K91*(AO48/'Data Entry - SOF'!K59)))</f>
        <v>0</v>
      </c>
      <c r="AS114" s="3757">
        <f>IF('Data Entry - SOF'!M92=0,0,'Data Entry - SOF'!M91*(AS48/'Data Entry - SOF'!M59))</f>
        <v>0</v>
      </c>
      <c r="AW114" s="3859">
        <f>IF('Data Entry - SOF'!M92=0,0,IF(AW41=0,0,'Data Entry - SOF'!M91*(AW48/'Data Entry - SOF'!M59)))</f>
        <v>0</v>
      </c>
      <c r="BA114" s="3919">
        <f>IF('Data Entry - SOF'!O92=0,0,'Data Entry - SOF'!O91*(BA48/'Data Entry - SOF'!O59))</f>
        <v>0</v>
      </c>
      <c r="BE114" s="3920">
        <f>IF('Data Entry - SOF'!O92=0,0,IF(BE41=0,0,'Data Entry - SOF'!O91*(BE48/'Data Entry - SOF'!O59)))</f>
        <v>0</v>
      </c>
    </row>
    <row r="115" spans="3:57">
      <c r="I115" s="2733"/>
      <c r="Q115" s="3799"/>
      <c r="Y115" s="2769"/>
      <c r="AG115" s="2790"/>
      <c r="AO115" s="2664"/>
      <c r="AW115" s="3859"/>
      <c r="BE115" s="3920"/>
    </row>
    <row r="116" spans="3:57">
      <c r="I116" s="2733"/>
      <c r="Q116" s="3799"/>
      <c r="Y116" s="2769"/>
      <c r="AG116" s="2790"/>
      <c r="AO116" s="2664"/>
      <c r="AW116" s="3859"/>
      <c r="BE116" s="3920"/>
    </row>
    <row r="117" spans="3:57">
      <c r="C117" s="1754" t="s">
        <v>4473</v>
      </c>
      <c r="D117" s="1754"/>
      <c r="E117" s="1754"/>
      <c r="F117" s="1754"/>
      <c r="G117" s="1754"/>
      <c r="H117" s="1754"/>
      <c r="I117" s="2767"/>
      <c r="J117" s="3798"/>
      <c r="Q117" s="3799"/>
      <c r="Y117" s="2769"/>
      <c r="AG117" s="2790"/>
      <c r="AO117" s="2664"/>
      <c r="AW117" s="3859"/>
      <c r="BE117" s="3920"/>
    </row>
    <row r="118" spans="3:57">
      <c r="C118" s="1755" t="e">
        <f>C79*0.04</f>
        <v>#DIV/0!</v>
      </c>
      <c r="D118" s="1754"/>
      <c r="E118" s="1755" t="e">
        <f>E79*0.05</f>
        <v>#DIV/0!</v>
      </c>
      <c r="F118" s="1754"/>
      <c r="G118" s="1755" t="e">
        <f>G79*0.04</f>
        <v>#DIV/0!</v>
      </c>
      <c r="H118" s="1754"/>
      <c r="I118" s="2768" t="e">
        <f>I79*0.05</f>
        <v>#DIV/0!</v>
      </c>
      <c r="J118" s="3798"/>
      <c r="Q118" s="3799"/>
      <c r="Y118" s="2769"/>
      <c r="AG118" s="2790"/>
      <c r="AO118" s="2664"/>
      <c r="AW118" s="3859"/>
      <c r="BE118" s="3920"/>
    </row>
    <row r="119" spans="3:57">
      <c r="C119" s="1755" t="e">
        <f>C74*80</f>
        <v>#DIV/0!</v>
      </c>
      <c r="D119" s="1754"/>
      <c r="E119" s="1755" t="e">
        <f>'Ch41 Calc Data'!K17*100</f>
        <v>#DIV/0!</v>
      </c>
      <c r="F119" s="1754"/>
      <c r="G119" s="1755" t="e">
        <f>G74*80</f>
        <v>#DIV/0!</v>
      </c>
      <c r="H119" s="1754"/>
      <c r="I119" s="2768" t="e">
        <f>'Ch41 Calc Data'!K17*100</f>
        <v>#DIV/0!</v>
      </c>
      <c r="J119" s="3798"/>
      <c r="Q119" s="3799"/>
      <c r="Y119" s="2769"/>
      <c r="AG119" s="2790"/>
      <c r="AO119" s="2664"/>
      <c r="AW119" s="3859"/>
      <c r="BE119" s="3920"/>
    </row>
    <row r="120" spans="3:57">
      <c r="C120" s="1754"/>
      <c r="D120" s="1754"/>
      <c r="E120" s="1754"/>
      <c r="F120" s="1754"/>
      <c r="G120" s="1754"/>
      <c r="H120" s="1754"/>
      <c r="I120" s="2767"/>
      <c r="J120" s="3798"/>
      <c r="Q120" s="3799"/>
      <c r="Y120" s="2769"/>
      <c r="AG120" s="2790"/>
      <c r="AO120" s="2664"/>
      <c r="AW120" s="3859"/>
      <c r="BE120" s="3920"/>
    </row>
    <row r="121" spans="3:57">
      <c r="C121" s="1754"/>
      <c r="D121" s="1754"/>
      <c r="E121" s="1754">
        <f>IF('Data Entry - SOF'!C92=0,0,'Data Entry - SOF'!C91*(E79/'Data Entry - SOF'!C59))</f>
        <v>0</v>
      </c>
      <c r="F121" s="1754"/>
      <c r="G121" s="1754"/>
      <c r="H121" s="1754"/>
      <c r="I121" s="2767">
        <f>IF('Data Entry - SOF'!C92=0,0,IF(I72=0,0,'Data Entry - SOF'!C91*(I79/'Data Entry - SOF'!C59)))</f>
        <v>0</v>
      </c>
      <c r="J121" s="3798"/>
      <c r="Q121" s="3799"/>
      <c r="Y121" s="2769"/>
      <c r="AG121" s="2790"/>
      <c r="AO121" s="2664"/>
      <c r="AW121" s="3859"/>
      <c r="BE121" s="3920"/>
    </row>
    <row r="122" spans="3:57">
      <c r="I122" s="2733"/>
      <c r="Q122" s="3799"/>
      <c r="Y122" s="2769"/>
      <c r="AG122" s="2790"/>
      <c r="AO122" s="2664"/>
      <c r="AW122" s="3859"/>
      <c r="BE122" s="3920"/>
    </row>
    <row r="123" spans="3:57">
      <c r="I123" s="2733"/>
      <c r="Q123" s="3799"/>
      <c r="Y123" s="2769"/>
      <c r="AG123" s="2790"/>
      <c r="AO123" s="2664"/>
      <c r="AW123" s="3859"/>
      <c r="BE123" s="3920"/>
    </row>
    <row r="124" spans="3:57">
      <c r="I124" s="2733"/>
      <c r="Q124" s="3799"/>
      <c r="Y124" s="2769"/>
      <c r="AG124" s="2790"/>
      <c r="AO124" s="2664"/>
      <c r="AW124" s="3859"/>
      <c r="BE124" s="3920"/>
    </row>
    <row r="125" spans="3:57">
      <c r="I125" s="2733"/>
      <c r="Q125" s="3799"/>
      <c r="Y125" s="2769"/>
      <c r="AG125" s="2790"/>
      <c r="AO125" s="2664"/>
      <c r="AW125" s="3859"/>
      <c r="BE125" s="3920"/>
    </row>
    <row r="126" spans="3:57">
      <c r="C126" s="1754" t="s">
        <v>4526</v>
      </c>
      <c r="D126" s="1754"/>
      <c r="E126" s="1754"/>
      <c r="F126" s="1754"/>
      <c r="G126" s="1754"/>
      <c r="H126" s="1754"/>
      <c r="I126" s="2767"/>
      <c r="K126" s="3797" t="s">
        <v>4526</v>
      </c>
      <c r="L126" s="3797"/>
      <c r="M126" s="3797"/>
      <c r="N126" s="3797"/>
      <c r="O126" s="3797"/>
      <c r="P126" s="3797"/>
      <c r="Q126" s="3856"/>
      <c r="R126" s="1754"/>
      <c r="S126" s="1754" t="s">
        <v>4526</v>
      </c>
      <c r="T126" s="1754"/>
      <c r="U126" s="1754"/>
      <c r="V126" s="1754"/>
      <c r="W126" s="1754"/>
      <c r="X126" s="1754"/>
      <c r="Y126" s="2767"/>
      <c r="Z126" s="1754"/>
      <c r="AA126" s="1754" t="s">
        <v>4526</v>
      </c>
      <c r="AB126" s="1754"/>
      <c r="AC126" s="1754"/>
      <c r="AD126" s="1754"/>
      <c r="AE126" s="1754"/>
      <c r="AF126" s="1754"/>
      <c r="AG126" s="2767"/>
      <c r="AH126" s="1754"/>
      <c r="AI126" s="1754" t="s">
        <v>4526</v>
      </c>
      <c r="AJ126" s="1754"/>
      <c r="AK126" s="1754"/>
      <c r="AL126" s="1754"/>
      <c r="AM126" s="1754"/>
      <c r="AN126" s="1754"/>
      <c r="AO126" s="2767"/>
      <c r="AP126" s="3915"/>
      <c r="AQ126" s="3915" t="s">
        <v>4526</v>
      </c>
      <c r="AR126" s="3915"/>
      <c r="AS126" s="3915"/>
      <c r="AT126" s="3915"/>
      <c r="AU126" s="3915"/>
      <c r="AV126" s="3915"/>
      <c r="AW126" s="3916"/>
      <c r="AX126" s="3977"/>
      <c r="AY126" s="3977" t="s">
        <v>4526</v>
      </c>
      <c r="AZ126" s="3977"/>
      <c r="BA126" s="3977"/>
      <c r="BB126" s="3977"/>
      <c r="BC126" s="3977"/>
      <c r="BD126" s="3977"/>
      <c r="BE126" s="3978"/>
    </row>
    <row r="127" spans="3:57">
      <c r="C127" s="1755" t="e">
        <f>C101*0.04</f>
        <v>#DIV/0!</v>
      </c>
      <c r="D127" s="1755"/>
      <c r="E127" s="1755" t="e">
        <f>E101*0.05</f>
        <v>#DIV/0!</v>
      </c>
      <c r="F127" s="1755"/>
      <c r="G127" s="1755" t="e">
        <f>G101*0.04</f>
        <v>#DIV/0!</v>
      </c>
      <c r="H127" s="1755"/>
      <c r="I127" s="2768" t="e">
        <f>I101*0.05</f>
        <v>#DIV/0!</v>
      </c>
      <c r="K127" s="3857" t="e">
        <f>K101*0.04</f>
        <v>#DIV/0!</v>
      </c>
      <c r="L127" s="3857"/>
      <c r="M127" s="3857" t="e">
        <f>M101*0.05</f>
        <v>#DIV/0!</v>
      </c>
      <c r="N127" s="3857"/>
      <c r="O127" s="3857" t="e">
        <f>O101*0.04</f>
        <v>#DIV/0!</v>
      </c>
      <c r="P127" s="3857"/>
      <c r="Q127" s="3858" t="e">
        <f>Q101*0.05</f>
        <v>#DIV/0!</v>
      </c>
      <c r="R127" s="1754"/>
      <c r="S127" s="1755" t="e">
        <f>S101*0.04</f>
        <v>#DIV/0!</v>
      </c>
      <c r="T127" s="1755"/>
      <c r="U127" s="1755" t="e">
        <f>U101*0.05</f>
        <v>#DIV/0!</v>
      </c>
      <c r="V127" s="1755"/>
      <c r="W127" s="1755" t="e">
        <f>W101*0.04</f>
        <v>#DIV/0!</v>
      </c>
      <c r="X127" s="1755"/>
      <c r="Y127" s="2768" t="e">
        <f>Y101*0.05</f>
        <v>#DIV/0!</v>
      </c>
      <c r="Z127" s="1754"/>
      <c r="AA127" s="1755" t="e">
        <f>AA101*0.04</f>
        <v>#DIV/0!</v>
      </c>
      <c r="AB127" s="1755"/>
      <c r="AC127" s="1755" t="e">
        <f>AC101*0.05</f>
        <v>#DIV/0!</v>
      </c>
      <c r="AD127" s="1755"/>
      <c r="AE127" s="1755" t="e">
        <f>AE101*0.04</f>
        <v>#DIV/0!</v>
      </c>
      <c r="AF127" s="1755"/>
      <c r="AG127" s="2768" t="e">
        <f>AG101*0.05</f>
        <v>#DIV/0!</v>
      </c>
      <c r="AH127" s="1754"/>
      <c r="AI127" s="1755" t="e">
        <f>AI101*0.04</f>
        <v>#DIV/0!</v>
      </c>
      <c r="AJ127" s="1755"/>
      <c r="AK127" s="1755" t="e">
        <f>AK101*0.05</f>
        <v>#DIV/0!</v>
      </c>
      <c r="AL127" s="1755"/>
      <c r="AM127" s="1755" t="e">
        <f>AM101*0.04</f>
        <v>#DIV/0!</v>
      </c>
      <c r="AN127" s="1755"/>
      <c r="AO127" s="2768" t="e">
        <f>AO101*0.05</f>
        <v>#DIV/0!</v>
      </c>
      <c r="AP127" s="3915"/>
      <c r="AQ127" s="3917" t="e">
        <f>AQ101*0.04</f>
        <v>#DIV/0!</v>
      </c>
      <c r="AR127" s="3917"/>
      <c r="AS127" s="3917" t="e">
        <f>AS101*0.05</f>
        <v>#DIV/0!</v>
      </c>
      <c r="AT127" s="3917"/>
      <c r="AU127" s="3917" t="e">
        <f>AU101*0.04</f>
        <v>#DIV/0!</v>
      </c>
      <c r="AV127" s="3917"/>
      <c r="AW127" s="3918" t="e">
        <f>AW101*0.05</f>
        <v>#DIV/0!</v>
      </c>
      <c r="AX127" s="3977"/>
      <c r="AY127" s="3979" t="e">
        <f>AY101*0.04</f>
        <v>#DIV/0!</v>
      </c>
      <c r="AZ127" s="3979"/>
      <c r="BA127" s="3979" t="e">
        <f>BA101*0.05</f>
        <v>#DIV/0!</v>
      </c>
      <c r="BB127" s="3979"/>
      <c r="BC127" s="3979" t="e">
        <f>BC101*0.04</f>
        <v>#DIV/0!</v>
      </c>
      <c r="BD127" s="3979"/>
      <c r="BE127" s="3980" t="e">
        <f>BE101*0.05</f>
        <v>#DIV/0!</v>
      </c>
    </row>
    <row r="128" spans="3:57">
      <c r="C128" s="1755" t="e">
        <f>C96*80</f>
        <v>#DIV/0!</v>
      </c>
      <c r="D128" s="1755"/>
      <c r="E128" s="1755" t="e">
        <f>'Ch41 Calc Data'!K17*100</f>
        <v>#DIV/0!</v>
      </c>
      <c r="F128" s="1755"/>
      <c r="G128" s="1755" t="e">
        <f>G96*80</f>
        <v>#DIV/0!</v>
      </c>
      <c r="H128" s="1755"/>
      <c r="I128" s="2768" t="e">
        <f>'Ch41 Calc Data'!K17*100</f>
        <v>#DIV/0!</v>
      </c>
      <c r="K128" s="3857" t="e">
        <f>K96*80</f>
        <v>#DIV/0!</v>
      </c>
      <c r="L128" s="3857"/>
      <c r="M128" s="3857" t="e">
        <f>'Ch41 Calc Data'!L17*100</f>
        <v>#DIV/0!</v>
      </c>
      <c r="N128" s="3857"/>
      <c r="O128" s="3857" t="e">
        <f>O96*80</f>
        <v>#DIV/0!</v>
      </c>
      <c r="P128" s="3857"/>
      <c r="Q128" s="3858" t="e">
        <f>'Ch41 Calc Data'!L17*100</f>
        <v>#DIV/0!</v>
      </c>
      <c r="R128" s="1754"/>
      <c r="S128" s="1755" t="e">
        <f>S96*80</f>
        <v>#DIV/0!</v>
      </c>
      <c r="T128" s="1755"/>
      <c r="U128" s="1755" t="e">
        <f>'Ch41 Calc Data'!M17*100</f>
        <v>#DIV/0!</v>
      </c>
      <c r="V128" s="1755"/>
      <c r="W128" s="1755" t="e">
        <f>W96*80</f>
        <v>#DIV/0!</v>
      </c>
      <c r="X128" s="1755"/>
      <c r="Y128" s="2768" t="e">
        <f>'Ch41 Calc Data'!M17*100</f>
        <v>#DIV/0!</v>
      </c>
      <c r="Z128" s="1754"/>
      <c r="AA128" s="1755" t="e">
        <f>AA96*80</f>
        <v>#DIV/0!</v>
      </c>
      <c r="AB128" s="1755"/>
      <c r="AC128" s="1755" t="e">
        <f>'Ch41 Calc Data'!N17*100</f>
        <v>#DIV/0!</v>
      </c>
      <c r="AD128" s="1755"/>
      <c r="AE128" s="1755" t="e">
        <f>AE96*80</f>
        <v>#DIV/0!</v>
      </c>
      <c r="AF128" s="1755"/>
      <c r="AG128" s="2768" t="e">
        <f>'Ch41 Calc Data'!N17*100</f>
        <v>#DIV/0!</v>
      </c>
      <c r="AH128" s="1754"/>
      <c r="AI128" s="1755" t="e">
        <f>AI96*80</f>
        <v>#DIV/0!</v>
      </c>
      <c r="AJ128" s="1755"/>
      <c r="AK128" s="1755" t="e">
        <f>'Ch41 Calc Data'!O17*100</f>
        <v>#DIV/0!</v>
      </c>
      <c r="AL128" s="1755"/>
      <c r="AM128" s="1755" t="e">
        <f>AM96*80</f>
        <v>#DIV/0!</v>
      </c>
      <c r="AN128" s="1755"/>
      <c r="AO128" s="2768" t="e">
        <f>'Ch41 Calc Data'!O17*100</f>
        <v>#DIV/0!</v>
      </c>
      <c r="AP128" s="3915"/>
      <c r="AQ128" s="3917" t="e">
        <f>AQ96*80</f>
        <v>#DIV/0!</v>
      </c>
      <c r="AR128" s="3917"/>
      <c r="AS128" s="3917" t="e">
        <f>'Ch41 Calc Data'!P17*100</f>
        <v>#DIV/0!</v>
      </c>
      <c r="AT128" s="3917"/>
      <c r="AU128" s="3917" t="e">
        <f>AU96*80</f>
        <v>#DIV/0!</v>
      </c>
      <c r="AV128" s="3917"/>
      <c r="AW128" s="3918" t="e">
        <f>'Ch41 Calc Data'!P17*100</f>
        <v>#DIV/0!</v>
      </c>
      <c r="AX128" s="3977"/>
      <c r="AY128" s="3979" t="e">
        <f>AY96*80</f>
        <v>#DIV/0!</v>
      </c>
      <c r="AZ128" s="3979"/>
      <c r="BA128" s="3979" t="e">
        <f>'Ch41 Calc Data'!Q17*100</f>
        <v>#DIV/0!</v>
      </c>
      <c r="BB128" s="3979"/>
      <c r="BC128" s="3979" t="e">
        <f>BC96*80</f>
        <v>#DIV/0!</v>
      </c>
      <c r="BD128" s="3979"/>
      <c r="BE128" s="3980" t="e">
        <f>'Ch41 Calc Data'!Q17*100</f>
        <v>#DIV/0!</v>
      </c>
    </row>
    <row r="129" spans="3:57">
      <c r="C129" s="1754"/>
      <c r="D129" s="1754"/>
      <c r="E129" s="1754"/>
      <c r="F129" s="1754"/>
      <c r="G129" s="1754"/>
      <c r="H129" s="1754"/>
      <c r="I129" s="2767"/>
      <c r="K129" s="3797"/>
      <c r="L129" s="3797"/>
      <c r="M129" s="3797"/>
      <c r="N129" s="3797"/>
      <c r="O129" s="3797"/>
      <c r="P129" s="3797"/>
      <c r="Q129" s="3856"/>
      <c r="R129" s="1754"/>
      <c r="S129" s="1754"/>
      <c r="T129" s="1754"/>
      <c r="U129" s="1754"/>
      <c r="V129" s="1754"/>
      <c r="W129" s="1754"/>
      <c r="X129" s="1754"/>
      <c r="Y129" s="2767"/>
      <c r="Z129" s="1754"/>
      <c r="AA129" s="1754"/>
      <c r="AB129" s="1754"/>
      <c r="AC129" s="1754"/>
      <c r="AD129" s="1754"/>
      <c r="AE129" s="1754"/>
      <c r="AF129" s="1754"/>
      <c r="AG129" s="2767"/>
      <c r="AH129" s="1754"/>
      <c r="AI129" s="1754"/>
      <c r="AJ129" s="1754"/>
      <c r="AK129" s="1754"/>
      <c r="AL129" s="1754"/>
      <c r="AM129" s="1754"/>
      <c r="AN129" s="1754"/>
      <c r="AO129" s="2767"/>
      <c r="AP129" s="3915"/>
      <c r="AQ129" s="3915"/>
      <c r="AR129" s="3915"/>
      <c r="AS129" s="3915"/>
      <c r="AT129" s="3915"/>
      <c r="AU129" s="3915"/>
      <c r="AV129" s="3915"/>
      <c r="AW129" s="3916"/>
      <c r="AX129" s="3977"/>
      <c r="AY129" s="3977"/>
      <c r="AZ129" s="3977"/>
      <c r="BA129" s="3977"/>
      <c r="BB129" s="3977"/>
      <c r="BC129" s="3977"/>
      <c r="BD129" s="3977"/>
      <c r="BE129" s="3978"/>
    </row>
    <row r="130" spans="3:57">
      <c r="C130" s="1754"/>
      <c r="D130" s="1754"/>
      <c r="E130" s="1754">
        <f>IF('Data Entry - SOF'!C94=0,0,'Data Entry - SOF'!C93*(E101/'HH1617-Calcs'!D11))</f>
        <v>0</v>
      </c>
      <c r="F130" s="1754"/>
      <c r="G130" s="1754"/>
      <c r="H130" s="1754"/>
      <c r="I130" s="2767">
        <f>IF('Data Entry - SOF'!C94=0,0,IF(I95=0,0,'Data Entry - SOF'!C93*(I101/'HH1617-Calcs'!D11)))</f>
        <v>0</v>
      </c>
      <c r="K130" s="3797"/>
      <c r="L130" s="3797"/>
      <c r="M130" s="3797">
        <f>IF('Data Entry - SOF'!E94=0,0,'Data Entry - SOF'!E93*(M101/'HH1718-Calcs'!D11))</f>
        <v>0</v>
      </c>
      <c r="N130" s="3797"/>
      <c r="O130" s="3797"/>
      <c r="P130" s="3797"/>
      <c r="Q130" s="3856">
        <f>IF('Data Entry - SOF'!E94=0,0,IF(Q95=0,0,'Data Entry - SOF'!E93*(Q101/'HH1718-Calcs'!D11)))</f>
        <v>0</v>
      </c>
      <c r="R130" s="1754"/>
      <c r="S130" s="1754"/>
      <c r="T130" s="1754"/>
      <c r="U130" s="1754">
        <f>IF('Data Entry - SOF'!G94=0,0,'Data Entry - SOF'!G93*(U101/'HH1819-Calcs'!D11))</f>
        <v>0</v>
      </c>
      <c r="V130" s="1754"/>
      <c r="W130" s="1754"/>
      <c r="X130" s="1754"/>
      <c r="Y130" s="2767">
        <f>IF('Data Entry - SOF'!G94=0,0,IF(Y95=0,0,'Data Entry - SOF'!G93*(Y101/'HH1819-Calcs'!D11)))</f>
        <v>0</v>
      </c>
      <c r="Z130" s="1754"/>
      <c r="AA130" s="1754"/>
      <c r="AB130" s="1754"/>
      <c r="AC130" s="1754">
        <f>IF('Data Entry - SOF'!I94=0,0,'Data Entry - SOF'!I93*(AC101/'HH1920-Calcs'!D11))</f>
        <v>0</v>
      </c>
      <c r="AD130" s="1754"/>
      <c r="AE130" s="1754"/>
      <c r="AF130" s="1754"/>
      <c r="AG130" s="2767">
        <f>IF('Data Entry - SOF'!I94=0,0,IF(AG95=0,0,'Data Entry - SOF'!I93*(AG101/'HH1920-Calcs'!D11)))</f>
        <v>0</v>
      </c>
      <c r="AH130" s="1754"/>
      <c r="AI130" s="1754"/>
      <c r="AJ130" s="1754"/>
      <c r="AK130" s="1754">
        <f>IF('Data Entry - SOF'!K94=0,0,'Data Entry - SOF'!K93*(AK101/'HH2021-Calcs'!D11))</f>
        <v>0</v>
      </c>
      <c r="AL130" s="1754"/>
      <c r="AM130" s="1754"/>
      <c r="AN130" s="1754"/>
      <c r="AO130" s="2767">
        <f>IF('Data Entry - SOF'!K94=0,0,IF(AO95=0,0,'Data Entry - SOF'!K93*(AO101/'HH2021-Calcs'!D11)))</f>
        <v>0</v>
      </c>
      <c r="AP130" s="3915"/>
      <c r="AQ130" s="3915"/>
      <c r="AR130" s="3915"/>
      <c r="AS130" s="3915">
        <f>IF('Data Entry - SOF'!M94=0,0,'Data Entry - SOF'!M93*(AS101/'HH2122-Calcs'!D11))</f>
        <v>0</v>
      </c>
      <c r="AT130" s="3915"/>
      <c r="AU130" s="3915"/>
      <c r="AV130" s="3915"/>
      <c r="AW130" s="3916">
        <f>IF('Data Entry - SOF'!M94=0,0,IF(AW95=0,0,'Data Entry - SOF'!M93*(AW101/'HH2122-Calcs'!D11)))</f>
        <v>0</v>
      </c>
      <c r="AX130" s="3977"/>
      <c r="AY130" s="3977"/>
      <c r="AZ130" s="3977"/>
      <c r="BA130" s="3977">
        <f>IF('Data Entry - SOF'!O94=0,0,'Data Entry - SOF'!O93*(BA101/'HH2223-Calcs'!D11))</f>
        <v>0</v>
      </c>
      <c r="BB130" s="3977"/>
      <c r="BC130" s="3977"/>
      <c r="BD130" s="3977"/>
      <c r="BE130" s="3978">
        <f>IF('Data Entry - SOF'!O94=0,0,IF(BE95=0,0,'Data Entry - SOF'!O93*(BE101/'HH2223-Calcs'!D11)))</f>
        <v>0</v>
      </c>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40625" customWidth="1"/>
  </cols>
  <sheetData>
    <row r="1" spans="1:2">
      <c r="A1" s="122" t="s">
        <v>225</v>
      </c>
      <c r="B1" s="114">
        <v>230</v>
      </c>
    </row>
    <row r="2" spans="1:2">
      <c r="A2" s="122" t="s">
        <v>2228</v>
      </c>
      <c r="B2" s="114">
        <v>158</v>
      </c>
    </row>
    <row r="3" spans="1:2">
      <c r="A3" s="122" t="s">
        <v>15</v>
      </c>
      <c r="B3" s="114">
        <v>93</v>
      </c>
    </row>
    <row r="4" spans="1:2">
      <c r="A4" s="122" t="s">
        <v>16</v>
      </c>
      <c r="B4" s="114">
        <v>84</v>
      </c>
    </row>
    <row r="5" spans="1:2">
      <c r="A5" s="122" t="s">
        <v>17</v>
      </c>
      <c r="B5" s="114">
        <v>226</v>
      </c>
    </row>
    <row r="6" spans="1:2">
      <c r="A6" s="122" t="s">
        <v>1254</v>
      </c>
      <c r="B6" s="114">
        <v>96</v>
      </c>
    </row>
    <row r="7" spans="1:2">
      <c r="A7" s="122" t="s">
        <v>1255</v>
      </c>
      <c r="B7" s="114">
        <v>145</v>
      </c>
    </row>
    <row r="8" spans="1:2">
      <c r="A8" s="122" t="s">
        <v>2102</v>
      </c>
      <c r="B8" s="134">
        <v>1503</v>
      </c>
    </row>
    <row r="9" spans="1:2">
      <c r="A9" s="122" t="s">
        <v>774</v>
      </c>
      <c r="B9" s="114">
        <v>76</v>
      </c>
    </row>
    <row r="10" spans="1:2">
      <c r="A10" s="122" t="s">
        <v>1637</v>
      </c>
      <c r="B10" s="114">
        <v>160</v>
      </c>
    </row>
    <row r="11" spans="1:2">
      <c r="A11" s="122" t="s">
        <v>1279</v>
      </c>
      <c r="B11" s="114">
        <v>197</v>
      </c>
    </row>
    <row r="12" spans="1:2">
      <c r="A12" s="122" t="s">
        <v>369</v>
      </c>
      <c r="B12" s="114">
        <v>116</v>
      </c>
    </row>
    <row r="13" spans="1:2">
      <c r="A13" s="122" t="s">
        <v>370</v>
      </c>
      <c r="B13" s="114">
        <v>210</v>
      </c>
    </row>
    <row r="14" spans="1:2">
      <c r="A14" s="122" t="s">
        <v>371</v>
      </c>
      <c r="B14" s="114">
        <v>94</v>
      </c>
    </row>
    <row r="15" spans="1:2">
      <c r="A15" s="122" t="s">
        <v>2839</v>
      </c>
      <c r="B15" s="114">
        <v>443</v>
      </c>
    </row>
    <row r="16" spans="1:2">
      <c r="A16" s="122" t="s">
        <v>2840</v>
      </c>
      <c r="B16" s="114">
        <v>447</v>
      </c>
    </row>
    <row r="17" spans="1:2">
      <c r="A17" s="122" t="s">
        <v>2841</v>
      </c>
      <c r="B17" s="114">
        <v>245</v>
      </c>
    </row>
    <row r="18" spans="1:2">
      <c r="A18" s="122" t="s">
        <v>2842</v>
      </c>
      <c r="B18" s="114">
        <v>170</v>
      </c>
    </row>
    <row r="19" spans="1:2">
      <c r="A19" s="122" t="s">
        <v>2219</v>
      </c>
      <c r="B19" s="114">
        <v>59</v>
      </c>
    </row>
    <row r="20" spans="1:2">
      <c r="A20" s="122" t="s">
        <v>2843</v>
      </c>
      <c r="B20" s="114">
        <v>824</v>
      </c>
    </row>
    <row r="21" spans="1:2">
      <c r="A21" s="122" t="s">
        <v>806</v>
      </c>
      <c r="B21" s="114">
        <v>249</v>
      </c>
    </row>
    <row r="22" spans="1:2">
      <c r="A22" s="122" t="s">
        <v>2844</v>
      </c>
      <c r="B22" s="114">
        <v>272</v>
      </c>
    </row>
    <row r="23" spans="1:2">
      <c r="A23" s="122" t="s">
        <v>2388</v>
      </c>
      <c r="B23" s="114">
        <v>48</v>
      </c>
    </row>
    <row r="24" spans="1:2">
      <c r="A24" s="122" t="s">
        <v>241</v>
      </c>
      <c r="B24" s="114">
        <v>444</v>
      </c>
    </row>
    <row r="25" spans="1:2">
      <c r="A25" s="122" t="s">
        <v>2447</v>
      </c>
      <c r="B25" s="114">
        <v>175</v>
      </c>
    </row>
    <row r="26" spans="1:2">
      <c r="A26" s="122" t="s">
        <v>2845</v>
      </c>
      <c r="B26" s="114">
        <v>387</v>
      </c>
    </row>
    <row r="27" spans="1:2">
      <c r="A27" s="122" t="s">
        <v>783</v>
      </c>
      <c r="B27" s="114">
        <v>207</v>
      </c>
    </row>
    <row r="28" spans="1:2">
      <c r="A28" s="122" t="s">
        <v>784</v>
      </c>
      <c r="B28" s="114">
        <v>127</v>
      </c>
    </row>
    <row r="29" spans="1:2">
      <c r="A29" s="122" t="s">
        <v>785</v>
      </c>
      <c r="B29" s="114">
        <v>474</v>
      </c>
    </row>
    <row r="30" spans="1:2">
      <c r="A30" s="122" t="s">
        <v>216</v>
      </c>
      <c r="B30" s="114">
        <v>306</v>
      </c>
    </row>
    <row r="31" spans="1:2">
      <c r="A31" s="122" t="s">
        <v>2220</v>
      </c>
      <c r="B31" s="114">
        <v>322</v>
      </c>
    </row>
    <row r="32" spans="1:2">
      <c r="A32" s="122" t="s">
        <v>1896</v>
      </c>
      <c r="B32" s="114">
        <v>434</v>
      </c>
    </row>
    <row r="33" spans="1:2">
      <c r="A33" s="122" t="s">
        <v>876</v>
      </c>
      <c r="B33" s="114">
        <v>157</v>
      </c>
    </row>
    <row r="34" spans="1:2">
      <c r="A34" s="122" t="s">
        <v>2710</v>
      </c>
      <c r="B34" s="114">
        <v>292</v>
      </c>
    </row>
    <row r="35" spans="1:2">
      <c r="A35" s="122" t="s">
        <v>2448</v>
      </c>
      <c r="B35" s="114">
        <v>64</v>
      </c>
    </row>
    <row r="36" spans="1:2">
      <c r="A36" s="122" t="s">
        <v>492</v>
      </c>
      <c r="B36" s="114">
        <v>906</v>
      </c>
    </row>
    <row r="37" spans="1:2">
      <c r="A37" s="122" t="s">
        <v>2711</v>
      </c>
      <c r="B37" s="114">
        <v>357</v>
      </c>
    </row>
    <row r="38" spans="1:2">
      <c r="A38" s="122" t="s">
        <v>3048</v>
      </c>
      <c r="B38" s="114">
        <v>151</v>
      </c>
    </row>
    <row r="39" spans="1:2">
      <c r="A39" s="122" t="s">
        <v>3049</v>
      </c>
      <c r="B39" s="114">
        <v>179</v>
      </c>
    </row>
    <row r="40" spans="1:2">
      <c r="A40" s="122" t="s">
        <v>1313</v>
      </c>
      <c r="B40" s="114">
        <v>256</v>
      </c>
    </row>
    <row r="41" spans="1:2">
      <c r="A41" s="122" t="s">
        <v>2449</v>
      </c>
      <c r="B41" s="114">
        <v>52</v>
      </c>
    </row>
    <row r="42" spans="1:2">
      <c r="A42" s="122" t="s">
        <v>1895</v>
      </c>
      <c r="B42" s="114">
        <v>102</v>
      </c>
    </row>
    <row r="43" spans="1:2">
      <c r="A43" s="122" t="s">
        <v>1898</v>
      </c>
      <c r="B43" s="114">
        <v>196</v>
      </c>
    </row>
    <row r="44" spans="1:2">
      <c r="A44" s="122" t="s">
        <v>198</v>
      </c>
      <c r="B44" s="114">
        <v>83</v>
      </c>
    </row>
    <row r="45" spans="1:2">
      <c r="A45" s="122" t="s">
        <v>60</v>
      </c>
      <c r="B45" s="114">
        <v>201</v>
      </c>
    </row>
    <row r="46" spans="1:2">
      <c r="A46" s="122" t="s">
        <v>192</v>
      </c>
      <c r="B46" s="114">
        <v>156</v>
      </c>
    </row>
    <row r="47" spans="1:2">
      <c r="A47" s="122" t="s">
        <v>1487</v>
      </c>
      <c r="B47" s="114">
        <v>130</v>
      </c>
    </row>
    <row r="48" spans="1:2">
      <c r="A48" s="122" t="s">
        <v>1707</v>
      </c>
      <c r="B48" s="114">
        <v>59</v>
      </c>
    </row>
    <row r="49" spans="1:2">
      <c r="A49" s="122" t="s">
        <v>1712</v>
      </c>
      <c r="B49" s="114">
        <v>105</v>
      </c>
    </row>
    <row r="50" spans="1:2">
      <c r="A50" s="122" t="s">
        <v>463</v>
      </c>
      <c r="B50" s="114">
        <v>12</v>
      </c>
    </row>
    <row r="51" spans="1:2">
      <c r="A51" s="122" t="s">
        <v>2125</v>
      </c>
      <c r="B51" s="114">
        <v>22</v>
      </c>
    </row>
    <row r="52" spans="1:2">
      <c r="A52" s="122" t="s">
        <v>874</v>
      </c>
      <c r="B52" s="114">
        <v>19</v>
      </c>
    </row>
    <row r="53" spans="1:2">
      <c r="A53" s="122" t="s">
        <v>1489</v>
      </c>
      <c r="B53" s="114">
        <v>79</v>
      </c>
    </row>
    <row r="54" spans="1:2">
      <c r="A54" s="122" t="s">
        <v>1699</v>
      </c>
      <c r="B54" s="114">
        <v>21</v>
      </c>
    </row>
    <row r="55" spans="1:2">
      <c r="A55" s="122" t="s">
        <v>1316</v>
      </c>
      <c r="B55" s="114">
        <v>78</v>
      </c>
    </row>
    <row r="56" spans="1:2">
      <c r="A56" s="122" t="s">
        <v>1587</v>
      </c>
      <c r="B56" s="114">
        <v>103</v>
      </c>
    </row>
    <row r="57" spans="1:2">
      <c r="A57" s="122" t="s">
        <v>871</v>
      </c>
      <c r="B57" s="114">
        <v>196</v>
      </c>
    </row>
    <row r="58" spans="1:2">
      <c r="A58" s="122" t="s">
        <v>807</v>
      </c>
      <c r="B58" s="114">
        <v>107</v>
      </c>
    </row>
    <row r="59" spans="1:2">
      <c r="A59" s="122" t="s">
        <v>1589</v>
      </c>
      <c r="B59" s="114">
        <v>341</v>
      </c>
    </row>
    <row r="60" spans="1:2">
      <c r="A60" s="122" t="s">
        <v>53</v>
      </c>
      <c r="B60" s="114">
        <v>75</v>
      </c>
    </row>
    <row r="61" spans="1:2">
      <c r="A61" s="122" t="s">
        <v>1700</v>
      </c>
      <c r="B61" s="114">
        <v>101</v>
      </c>
    </row>
    <row r="62" spans="1:2">
      <c r="A62" s="122" t="s">
        <v>1377</v>
      </c>
      <c r="B62" s="114">
        <v>532</v>
      </c>
    </row>
    <row r="63" spans="1:2">
      <c r="A63" s="122" t="s">
        <v>986</v>
      </c>
      <c r="B63" s="114">
        <v>350</v>
      </c>
    </row>
    <row r="64" spans="1:2">
      <c r="A64" s="122" t="s">
        <v>1378</v>
      </c>
      <c r="B64" s="114">
        <v>908</v>
      </c>
    </row>
    <row r="65" spans="1:2">
      <c r="A65" s="122" t="s">
        <v>628</v>
      </c>
      <c r="B65" s="114">
        <v>218</v>
      </c>
    </row>
    <row r="66" spans="1:2">
      <c r="A66" s="122" t="s">
        <v>1379</v>
      </c>
      <c r="B66" s="114">
        <v>150</v>
      </c>
    </row>
    <row r="67" spans="1:2">
      <c r="A67" s="122" t="s">
        <v>1273</v>
      </c>
      <c r="B67" s="114">
        <v>61</v>
      </c>
    </row>
    <row r="68" spans="1:2">
      <c r="A68" s="122" t="s">
        <v>1274</v>
      </c>
      <c r="B68" s="114">
        <v>174</v>
      </c>
    </row>
    <row r="69" spans="1:2">
      <c r="A69" s="122" t="s">
        <v>2174</v>
      </c>
      <c r="B69" s="114">
        <v>102</v>
      </c>
    </row>
    <row r="70" spans="1:2">
      <c r="A70" s="122" t="s">
        <v>1846</v>
      </c>
      <c r="B70" s="114">
        <v>144</v>
      </c>
    </row>
    <row r="71" spans="1:2">
      <c r="A71" s="122" t="s">
        <v>1847</v>
      </c>
      <c r="B71" s="114">
        <v>108</v>
      </c>
    </row>
    <row r="72" spans="1:2">
      <c r="A72" s="122" t="s">
        <v>1848</v>
      </c>
      <c r="B72" s="114">
        <v>147</v>
      </c>
    </row>
    <row r="73" spans="1:2">
      <c r="A73" s="122" t="s">
        <v>997</v>
      </c>
      <c r="B73" s="114">
        <v>279</v>
      </c>
    </row>
    <row r="74" spans="1:2">
      <c r="A74" s="122" t="s">
        <v>808</v>
      </c>
      <c r="B74" s="114">
        <v>69</v>
      </c>
    </row>
    <row r="75" spans="1:2">
      <c r="A75" s="122" t="s">
        <v>2450</v>
      </c>
      <c r="B75" s="114">
        <v>38</v>
      </c>
    </row>
    <row r="76" spans="1:2">
      <c r="A76" s="122" t="s">
        <v>3034</v>
      </c>
      <c r="B76" s="114">
        <v>112</v>
      </c>
    </row>
    <row r="77" spans="1:2">
      <c r="A77" s="122" t="s">
        <v>1252</v>
      </c>
      <c r="B77" s="114">
        <v>80</v>
      </c>
    </row>
    <row r="78" spans="1:2">
      <c r="A78" s="122" t="s">
        <v>1253</v>
      </c>
      <c r="B78" s="114">
        <v>22</v>
      </c>
    </row>
    <row r="79" spans="1:2">
      <c r="A79" s="122" t="s">
        <v>1285</v>
      </c>
      <c r="B79" s="114">
        <v>60</v>
      </c>
    </row>
    <row r="80" spans="1:2">
      <c r="A80" s="122" t="s">
        <v>2451</v>
      </c>
      <c r="B80" s="114">
        <v>145</v>
      </c>
    </row>
    <row r="81" spans="1:2">
      <c r="A81" s="122" t="s">
        <v>1110</v>
      </c>
      <c r="B81" s="114">
        <v>17</v>
      </c>
    </row>
    <row r="82" spans="1:2">
      <c r="A82" s="122" t="s">
        <v>953</v>
      </c>
      <c r="B82" s="114">
        <v>9</v>
      </c>
    </row>
    <row r="83" spans="1:2">
      <c r="A83" s="122" t="s">
        <v>1286</v>
      </c>
      <c r="B83" s="114">
        <v>64</v>
      </c>
    </row>
    <row r="84" spans="1:2">
      <c r="A84" s="122" t="s">
        <v>1287</v>
      </c>
      <c r="B84" s="114">
        <v>19</v>
      </c>
    </row>
    <row r="85" spans="1:2">
      <c r="A85" s="122" t="s">
        <v>954</v>
      </c>
      <c r="B85" s="114">
        <v>9</v>
      </c>
    </row>
    <row r="86" spans="1:2">
      <c r="A86" s="122" t="s">
        <v>207</v>
      </c>
      <c r="B86" s="114">
        <v>254</v>
      </c>
    </row>
    <row r="87" spans="1:2">
      <c r="A87" s="122" t="s">
        <v>1035</v>
      </c>
      <c r="B87" s="114">
        <v>437</v>
      </c>
    </row>
    <row r="88" spans="1:2">
      <c r="A88" s="122" t="s">
        <v>809</v>
      </c>
      <c r="B88" s="114">
        <v>64</v>
      </c>
    </row>
    <row r="89" spans="1:2">
      <c r="A89" s="122" t="s">
        <v>1321</v>
      </c>
      <c r="B89" s="114">
        <v>457</v>
      </c>
    </row>
    <row r="90" spans="1:2">
      <c r="A90" s="122" t="s">
        <v>1322</v>
      </c>
      <c r="B90" s="114">
        <v>213</v>
      </c>
    </row>
    <row r="91" spans="1:2">
      <c r="A91" s="122" t="s">
        <v>1616</v>
      </c>
      <c r="B91" s="114">
        <v>244</v>
      </c>
    </row>
    <row r="92" spans="1:2">
      <c r="A92" s="122" t="s">
        <v>235</v>
      </c>
      <c r="B92" s="114">
        <v>45</v>
      </c>
    </row>
    <row r="93" spans="1:2">
      <c r="A93" s="122" t="s">
        <v>1323</v>
      </c>
      <c r="B93" s="114">
        <v>61</v>
      </c>
    </row>
    <row r="94" spans="1:2">
      <c r="A94" s="122" t="s">
        <v>631</v>
      </c>
      <c r="B94" s="114">
        <v>102</v>
      </c>
    </row>
    <row r="95" spans="1:2">
      <c r="A95" s="122" t="s">
        <v>994</v>
      </c>
      <c r="B95" s="114">
        <v>409</v>
      </c>
    </row>
    <row r="96" spans="1:2">
      <c r="A96" s="122" t="s">
        <v>2918</v>
      </c>
      <c r="B96" s="114">
        <v>701</v>
      </c>
    </row>
    <row r="97" spans="1:2">
      <c r="A97" s="122" t="s">
        <v>440</v>
      </c>
      <c r="B97" s="134">
        <v>1925</v>
      </c>
    </row>
    <row r="98" spans="1:2">
      <c r="A98" s="122" t="s">
        <v>441</v>
      </c>
      <c r="B98" s="134">
        <v>1988</v>
      </c>
    </row>
    <row r="99" spans="1:2">
      <c r="A99" s="122" t="s">
        <v>442</v>
      </c>
      <c r="B99" s="134">
        <v>1579</v>
      </c>
    </row>
    <row r="100" spans="1:2">
      <c r="A100" s="122" t="s">
        <v>443</v>
      </c>
      <c r="B100" s="114">
        <v>553</v>
      </c>
    </row>
    <row r="101" spans="1:2">
      <c r="A101" s="122" t="s">
        <v>745</v>
      </c>
      <c r="B101" s="114">
        <v>945</v>
      </c>
    </row>
    <row r="102" spans="1:2">
      <c r="A102" s="122" t="s">
        <v>746</v>
      </c>
      <c r="B102" s="114">
        <v>199</v>
      </c>
    </row>
    <row r="103" spans="1:2">
      <c r="A103" s="122" t="s">
        <v>747</v>
      </c>
      <c r="B103" s="114">
        <v>141</v>
      </c>
    </row>
    <row r="104" spans="1:2">
      <c r="A104" s="122" t="s">
        <v>988</v>
      </c>
      <c r="B104" s="114">
        <v>93</v>
      </c>
    </row>
    <row r="105" spans="1:2">
      <c r="A105" s="122" t="s">
        <v>2893</v>
      </c>
      <c r="B105" s="114">
        <v>209</v>
      </c>
    </row>
    <row r="106" spans="1:2">
      <c r="A106" s="122" t="s">
        <v>1354</v>
      </c>
      <c r="B106" s="114">
        <v>77</v>
      </c>
    </row>
    <row r="107" spans="1:2">
      <c r="A107" s="122" t="s">
        <v>810</v>
      </c>
      <c r="B107" s="114">
        <v>160</v>
      </c>
    </row>
    <row r="108" spans="1:2">
      <c r="A108" s="122" t="s">
        <v>872</v>
      </c>
      <c r="B108" s="114">
        <v>79</v>
      </c>
    </row>
    <row r="109" spans="1:2">
      <c r="A109" s="122" t="s">
        <v>748</v>
      </c>
      <c r="B109" s="114">
        <v>377</v>
      </c>
    </row>
    <row r="110" spans="1:2">
      <c r="A110" s="122" t="s">
        <v>749</v>
      </c>
      <c r="B110" s="114">
        <v>113</v>
      </c>
    </row>
    <row r="111" spans="1:2">
      <c r="A111" s="122" t="s">
        <v>750</v>
      </c>
      <c r="B111" s="114">
        <v>189</v>
      </c>
    </row>
    <row r="112" spans="1:2">
      <c r="A112" s="122" t="s">
        <v>2154</v>
      </c>
      <c r="B112" s="114">
        <v>703</v>
      </c>
    </row>
    <row r="113" spans="1:2">
      <c r="A113" s="122" t="s">
        <v>380</v>
      </c>
      <c r="B113" s="114">
        <v>296</v>
      </c>
    </row>
    <row r="114" spans="1:2">
      <c r="A114" s="122" t="s">
        <v>497</v>
      </c>
      <c r="B114" s="114">
        <v>325</v>
      </c>
    </row>
    <row r="115" spans="1:2">
      <c r="A115" s="122" t="s">
        <v>1318</v>
      </c>
      <c r="B115" s="114">
        <v>118</v>
      </c>
    </row>
    <row r="116" spans="1:2">
      <c r="A116" s="122" t="s">
        <v>2631</v>
      </c>
      <c r="B116" s="114">
        <v>40</v>
      </c>
    </row>
    <row r="117" spans="1:2">
      <c r="A117" s="122" t="s">
        <v>1535</v>
      </c>
      <c r="B117" s="134">
        <v>1286</v>
      </c>
    </row>
    <row r="118" spans="1:2">
      <c r="A118" s="122" t="s">
        <v>2671</v>
      </c>
      <c r="B118" s="114">
        <v>347</v>
      </c>
    </row>
    <row r="119" spans="1:2">
      <c r="A119" s="122" t="s">
        <v>811</v>
      </c>
      <c r="B119" s="114">
        <v>335</v>
      </c>
    </row>
    <row r="120" spans="1:2">
      <c r="A120" s="122" t="s">
        <v>171</v>
      </c>
      <c r="B120" s="114">
        <v>377</v>
      </c>
    </row>
    <row r="121" spans="1:2">
      <c r="A121" s="122" t="s">
        <v>2090</v>
      </c>
      <c r="B121" s="114">
        <v>113</v>
      </c>
    </row>
    <row r="122" spans="1:2">
      <c r="A122" s="122" t="s">
        <v>993</v>
      </c>
      <c r="B122" s="114">
        <v>109</v>
      </c>
    </row>
    <row r="123" spans="1:2">
      <c r="A123" s="122" t="s">
        <v>2126</v>
      </c>
      <c r="B123" s="114">
        <v>82</v>
      </c>
    </row>
    <row r="124" spans="1:2">
      <c r="A124" s="122" t="s">
        <v>64</v>
      </c>
      <c r="B124" s="114">
        <v>34</v>
      </c>
    </row>
    <row r="125" spans="1:2">
      <c r="A125" s="122" t="s">
        <v>2606</v>
      </c>
      <c r="B125" s="114">
        <v>523</v>
      </c>
    </row>
    <row r="126" spans="1:2">
      <c r="A126" s="122" t="s">
        <v>1892</v>
      </c>
      <c r="B126" s="114">
        <v>463</v>
      </c>
    </row>
    <row r="127" spans="1:2">
      <c r="A127" s="122" t="s">
        <v>812</v>
      </c>
      <c r="B127" s="114">
        <v>89</v>
      </c>
    </row>
    <row r="128" spans="1:2">
      <c r="A128" s="122" t="s">
        <v>1490</v>
      </c>
      <c r="B128" s="114">
        <v>107</v>
      </c>
    </row>
    <row r="129" spans="1:2">
      <c r="A129" s="122" t="s">
        <v>813</v>
      </c>
      <c r="B129" s="114">
        <v>29</v>
      </c>
    </row>
    <row r="130" spans="1:2">
      <c r="A130" s="122" t="s">
        <v>534</v>
      </c>
      <c r="B130" s="114">
        <v>26</v>
      </c>
    </row>
    <row r="131" spans="1:2">
      <c r="A131" s="122" t="s">
        <v>1050</v>
      </c>
      <c r="B131" s="114">
        <v>225</v>
      </c>
    </row>
    <row r="132" spans="1:2">
      <c r="A132" s="122" t="s">
        <v>1051</v>
      </c>
      <c r="B132" s="114">
        <v>242</v>
      </c>
    </row>
    <row r="133" spans="1:2">
      <c r="A133" s="122" t="s">
        <v>879</v>
      </c>
      <c r="B133" s="114">
        <v>557</v>
      </c>
    </row>
    <row r="134" spans="1:2">
      <c r="A134" s="122" t="s">
        <v>2050</v>
      </c>
      <c r="B134" s="114">
        <v>264</v>
      </c>
    </row>
    <row r="135" spans="1:2">
      <c r="A135" s="122" t="s">
        <v>1941</v>
      </c>
      <c r="B135" s="114">
        <v>246</v>
      </c>
    </row>
    <row r="136" spans="1:2">
      <c r="A136" s="122" t="s">
        <v>1942</v>
      </c>
      <c r="B136" s="114">
        <v>66</v>
      </c>
    </row>
    <row r="137" spans="1:2">
      <c r="A137" s="122" t="s">
        <v>842</v>
      </c>
      <c r="B137" s="114">
        <v>124</v>
      </c>
    </row>
    <row r="138" spans="1:2">
      <c r="A138" s="122" t="s">
        <v>843</v>
      </c>
      <c r="B138" s="114">
        <v>278</v>
      </c>
    </row>
    <row r="139" spans="1:2">
      <c r="A139" s="122" t="s">
        <v>2142</v>
      </c>
      <c r="B139" s="114">
        <v>37</v>
      </c>
    </row>
    <row r="140" spans="1:2">
      <c r="A140" s="122" t="s">
        <v>844</v>
      </c>
      <c r="B140" s="114">
        <v>112</v>
      </c>
    </row>
    <row r="141" spans="1:2">
      <c r="A141" s="122" t="s">
        <v>845</v>
      </c>
      <c r="B141" s="114">
        <v>23</v>
      </c>
    </row>
    <row r="142" spans="1:2">
      <c r="A142" s="122" t="s">
        <v>2226</v>
      </c>
      <c r="B142" s="114">
        <v>36</v>
      </c>
    </row>
    <row r="143" spans="1:2">
      <c r="A143" s="122" t="s">
        <v>2227</v>
      </c>
      <c r="B143" s="114">
        <v>446</v>
      </c>
    </row>
    <row r="144" spans="1:2">
      <c r="A144" s="122" t="s">
        <v>2788</v>
      </c>
      <c r="B144" s="114">
        <v>156</v>
      </c>
    </row>
    <row r="145" spans="1:2">
      <c r="A145" s="122" t="s">
        <v>2904</v>
      </c>
      <c r="B145" s="114">
        <v>107</v>
      </c>
    </row>
    <row r="146" spans="1:2">
      <c r="A146" s="122" t="s">
        <v>1840</v>
      </c>
      <c r="B146" s="114">
        <v>444</v>
      </c>
    </row>
    <row r="147" spans="1:2">
      <c r="A147" s="122" t="s">
        <v>2789</v>
      </c>
      <c r="B147" s="114">
        <v>211</v>
      </c>
    </row>
    <row r="148" spans="1:2">
      <c r="A148" s="122" t="s">
        <v>316</v>
      </c>
      <c r="B148" s="114">
        <v>159</v>
      </c>
    </row>
    <row r="149" spans="1:2">
      <c r="A149" s="122" t="s">
        <v>1658</v>
      </c>
      <c r="B149" s="114">
        <v>198</v>
      </c>
    </row>
    <row r="150" spans="1:2">
      <c r="A150" s="122" t="s">
        <v>50</v>
      </c>
      <c r="B150" s="114">
        <v>265</v>
      </c>
    </row>
    <row r="151" spans="1:2">
      <c r="A151" s="122" t="s">
        <v>1486</v>
      </c>
      <c r="B151" s="114">
        <v>352</v>
      </c>
    </row>
    <row r="152" spans="1:2">
      <c r="A152" s="122" t="s">
        <v>2907</v>
      </c>
      <c r="B152" s="114">
        <v>60</v>
      </c>
    </row>
    <row r="153" spans="1:2">
      <c r="A153" s="122" t="s">
        <v>1659</v>
      </c>
      <c r="B153" s="114">
        <v>106</v>
      </c>
    </row>
    <row r="154" spans="1:2">
      <c r="A154" s="122" t="s">
        <v>84</v>
      </c>
      <c r="B154" s="114">
        <v>603</v>
      </c>
    </row>
    <row r="155" spans="1:2">
      <c r="A155" s="122" t="s">
        <v>1270</v>
      </c>
      <c r="B155" s="114">
        <v>66</v>
      </c>
    </row>
    <row r="156" spans="1:2">
      <c r="A156" s="122" t="s">
        <v>2482</v>
      </c>
      <c r="B156" s="114">
        <v>431</v>
      </c>
    </row>
    <row r="157" spans="1:2">
      <c r="A157" s="122" t="s">
        <v>814</v>
      </c>
      <c r="B157" s="114">
        <v>143</v>
      </c>
    </row>
    <row r="158" spans="1:2">
      <c r="A158" s="122" t="s">
        <v>2483</v>
      </c>
      <c r="B158" s="114">
        <v>154</v>
      </c>
    </row>
    <row r="159" spans="1:2">
      <c r="A159" s="122" t="s">
        <v>1883</v>
      </c>
      <c r="B159" s="114">
        <v>271</v>
      </c>
    </row>
    <row r="160" spans="1:2">
      <c r="A160" s="122" t="s">
        <v>1884</v>
      </c>
      <c r="B160" s="114">
        <v>229</v>
      </c>
    </row>
    <row r="161" spans="1:2">
      <c r="A161" s="122" t="s">
        <v>899</v>
      </c>
      <c r="B161" s="114">
        <v>610</v>
      </c>
    </row>
    <row r="162" spans="1:2">
      <c r="A162" s="122" t="s">
        <v>900</v>
      </c>
      <c r="B162" s="114">
        <v>337</v>
      </c>
    </row>
    <row r="163" spans="1:2">
      <c r="A163" s="122" t="s">
        <v>922</v>
      </c>
      <c r="B163" s="114">
        <v>470</v>
      </c>
    </row>
    <row r="164" spans="1:2">
      <c r="A164" s="122" t="s">
        <v>630</v>
      </c>
      <c r="B164" s="114">
        <v>455</v>
      </c>
    </row>
    <row r="165" spans="1:2">
      <c r="A165" s="122" t="s">
        <v>2712</v>
      </c>
      <c r="B165" s="114">
        <v>308</v>
      </c>
    </row>
    <row r="166" spans="1:2">
      <c r="A166" s="122" t="s">
        <v>923</v>
      </c>
      <c r="B166" s="114">
        <v>544</v>
      </c>
    </row>
    <row r="167" spans="1:2">
      <c r="A167" s="122" t="s">
        <v>1954</v>
      </c>
      <c r="B167" s="114">
        <v>199</v>
      </c>
    </row>
    <row r="168" spans="1:2">
      <c r="A168" s="122" t="s">
        <v>638</v>
      </c>
      <c r="B168" s="114">
        <v>23</v>
      </c>
    </row>
    <row r="169" spans="1:2">
      <c r="A169" s="122" t="s">
        <v>1841</v>
      </c>
      <c r="B169" s="114">
        <v>64</v>
      </c>
    </row>
    <row r="170" spans="1:2">
      <c r="A170" s="122" t="s">
        <v>2862</v>
      </c>
      <c r="B170" s="114">
        <v>93</v>
      </c>
    </row>
    <row r="171" spans="1:2">
      <c r="A171" s="122" t="s">
        <v>1900</v>
      </c>
      <c r="B171" s="114">
        <v>89</v>
      </c>
    </row>
    <row r="172" spans="1:2">
      <c r="A172" s="122" t="s">
        <v>1605</v>
      </c>
      <c r="B172" s="114">
        <v>73</v>
      </c>
    </row>
    <row r="173" spans="1:2">
      <c r="A173" s="122" t="s">
        <v>2895</v>
      </c>
      <c r="B173" s="114">
        <v>115</v>
      </c>
    </row>
    <row r="174" spans="1:2">
      <c r="A174" s="122" t="s">
        <v>724</v>
      </c>
      <c r="B174" s="114">
        <v>67</v>
      </c>
    </row>
    <row r="175" spans="1:2">
      <c r="A175" s="122" t="s">
        <v>725</v>
      </c>
      <c r="B175" s="114">
        <v>100</v>
      </c>
    </row>
    <row r="176" spans="1:2">
      <c r="A176" s="122" t="s">
        <v>246</v>
      </c>
      <c r="B176" s="114">
        <v>62</v>
      </c>
    </row>
    <row r="177" spans="1:2">
      <c r="A177" s="122" t="s">
        <v>1780</v>
      </c>
      <c r="B177" s="114">
        <v>52</v>
      </c>
    </row>
    <row r="178" spans="1:2">
      <c r="A178" s="122" t="s">
        <v>1351</v>
      </c>
      <c r="B178" s="114">
        <v>42</v>
      </c>
    </row>
    <row r="179" spans="1:2">
      <c r="A179" s="122" t="s">
        <v>990</v>
      </c>
      <c r="B179" s="114">
        <v>61</v>
      </c>
    </row>
    <row r="180" spans="1:2">
      <c r="A180" s="122" t="s">
        <v>1619</v>
      </c>
      <c r="B180" s="114">
        <v>32</v>
      </c>
    </row>
    <row r="181" spans="1:2">
      <c r="A181" s="122" t="s">
        <v>281</v>
      </c>
      <c r="B181" s="114">
        <v>18</v>
      </c>
    </row>
    <row r="182" spans="1:2">
      <c r="A182" s="122" t="s">
        <v>282</v>
      </c>
      <c r="B182" s="114">
        <v>525</v>
      </c>
    </row>
    <row r="183" spans="1:2">
      <c r="A183" s="122" t="s">
        <v>642</v>
      </c>
      <c r="B183" s="114">
        <v>369</v>
      </c>
    </row>
    <row r="184" spans="1:2">
      <c r="A184" s="122" t="s">
        <v>1617</v>
      </c>
      <c r="B184" s="114">
        <v>407</v>
      </c>
    </row>
    <row r="185" spans="1:2">
      <c r="A185" s="122" t="s">
        <v>643</v>
      </c>
      <c r="B185" s="114">
        <v>417</v>
      </c>
    </row>
    <row r="186" spans="1:2">
      <c r="A186" s="122" t="s">
        <v>34</v>
      </c>
      <c r="B186" s="114">
        <v>172</v>
      </c>
    </row>
    <row r="187" spans="1:2">
      <c r="A187" s="122" t="s">
        <v>35</v>
      </c>
      <c r="B187" s="114">
        <v>77</v>
      </c>
    </row>
    <row r="188" spans="1:2">
      <c r="A188" s="122" t="s">
        <v>1437</v>
      </c>
      <c r="B188" s="114">
        <v>588</v>
      </c>
    </row>
    <row r="189" spans="1:2">
      <c r="A189" s="122" t="s">
        <v>2644</v>
      </c>
      <c r="B189" s="114">
        <v>336</v>
      </c>
    </row>
    <row r="190" spans="1:2">
      <c r="A190" s="122" t="s">
        <v>2763</v>
      </c>
      <c r="B190" s="114">
        <v>250</v>
      </c>
    </row>
    <row r="191" spans="1:2">
      <c r="A191" s="122" t="s">
        <v>2672</v>
      </c>
      <c r="B191" s="114">
        <v>114</v>
      </c>
    </row>
    <row r="192" spans="1:2">
      <c r="A192" s="122" t="s">
        <v>2645</v>
      </c>
      <c r="B192" s="114">
        <v>92</v>
      </c>
    </row>
    <row r="193" spans="1:2">
      <c r="A193" s="122" t="s">
        <v>2646</v>
      </c>
      <c r="B193" s="114">
        <v>559</v>
      </c>
    </row>
    <row r="194" spans="1:2">
      <c r="A194" s="122" t="s">
        <v>331</v>
      </c>
      <c r="B194" s="114">
        <v>315</v>
      </c>
    </row>
    <row r="195" spans="1:2">
      <c r="A195" s="122" t="s">
        <v>1607</v>
      </c>
      <c r="B195" s="114">
        <v>78</v>
      </c>
    </row>
    <row r="196" spans="1:2">
      <c r="A196" s="122" t="s">
        <v>332</v>
      </c>
      <c r="B196" s="114">
        <v>189</v>
      </c>
    </row>
    <row r="197" spans="1:2">
      <c r="A197" s="122" t="s">
        <v>2863</v>
      </c>
      <c r="B197" s="114">
        <v>84</v>
      </c>
    </row>
    <row r="198" spans="1:2">
      <c r="A198" s="122" t="s">
        <v>333</v>
      </c>
      <c r="B198" s="114">
        <v>139</v>
      </c>
    </row>
    <row r="199" spans="1:2">
      <c r="A199" s="122" t="s">
        <v>334</v>
      </c>
      <c r="B199" s="114">
        <v>154</v>
      </c>
    </row>
    <row r="200" spans="1:2">
      <c r="A200" s="122" t="s">
        <v>335</v>
      </c>
      <c r="B200" s="114">
        <v>40</v>
      </c>
    </row>
    <row r="201" spans="1:2">
      <c r="A201" s="122" t="s">
        <v>1962</v>
      </c>
      <c r="B201" s="114">
        <v>20</v>
      </c>
    </row>
    <row r="202" spans="1:2">
      <c r="A202" s="122" t="s">
        <v>1963</v>
      </c>
      <c r="B202" s="114">
        <v>74</v>
      </c>
    </row>
    <row r="203" spans="1:2">
      <c r="A203" s="122" t="s">
        <v>1492</v>
      </c>
      <c r="B203" s="114">
        <v>262</v>
      </c>
    </row>
    <row r="204" spans="1:2">
      <c r="A204" s="122" t="s">
        <v>1267</v>
      </c>
      <c r="B204" s="114">
        <v>475</v>
      </c>
    </row>
    <row r="205" spans="1:2">
      <c r="A205" s="122" t="s">
        <v>2462</v>
      </c>
      <c r="B205" s="114">
        <v>76</v>
      </c>
    </row>
    <row r="206" spans="1:2">
      <c r="A206" s="122" t="s">
        <v>1268</v>
      </c>
      <c r="B206" s="114">
        <v>181</v>
      </c>
    </row>
    <row r="207" spans="1:2">
      <c r="A207" s="122" t="s">
        <v>2752</v>
      </c>
      <c r="B207" s="114">
        <v>57</v>
      </c>
    </row>
    <row r="208" spans="1:2">
      <c r="A208" s="122" t="s">
        <v>1269</v>
      </c>
      <c r="B208" s="114">
        <v>798</v>
      </c>
    </row>
    <row r="209" spans="1:2">
      <c r="A209" s="122" t="s">
        <v>779</v>
      </c>
      <c r="B209" s="114">
        <v>789</v>
      </c>
    </row>
    <row r="210" spans="1:2">
      <c r="A210" s="122" t="s">
        <v>780</v>
      </c>
      <c r="B210" s="134">
        <v>2804</v>
      </c>
    </row>
    <row r="211" spans="1:2">
      <c r="A211" s="122" t="s">
        <v>781</v>
      </c>
      <c r="B211" s="114">
        <v>471</v>
      </c>
    </row>
    <row r="212" spans="1:2">
      <c r="A212" s="122" t="s">
        <v>782</v>
      </c>
      <c r="B212" s="114">
        <v>223</v>
      </c>
    </row>
    <row r="213" spans="1:2">
      <c r="A213" s="122" t="s">
        <v>428</v>
      </c>
      <c r="B213" s="114">
        <v>303</v>
      </c>
    </row>
    <row r="214" spans="1:2">
      <c r="A214" s="122" t="s">
        <v>2928</v>
      </c>
      <c r="B214" s="134">
        <v>4866</v>
      </c>
    </row>
    <row r="215" spans="1:2">
      <c r="A215" s="122" t="s">
        <v>2929</v>
      </c>
      <c r="B215" s="114">
        <v>852</v>
      </c>
    </row>
    <row r="216" spans="1:2">
      <c r="A216" s="122" t="s">
        <v>2930</v>
      </c>
      <c r="B216" s="114">
        <v>599</v>
      </c>
    </row>
    <row r="217" spans="1:2">
      <c r="A217" s="122" t="s">
        <v>1843</v>
      </c>
      <c r="B217" s="114">
        <v>49</v>
      </c>
    </row>
    <row r="218" spans="1:2">
      <c r="A218" s="122" t="s">
        <v>421</v>
      </c>
      <c r="B218" s="114">
        <v>42</v>
      </c>
    </row>
    <row r="219" spans="1:2">
      <c r="A219" s="122" t="s">
        <v>422</v>
      </c>
      <c r="B219" s="114">
        <v>319</v>
      </c>
    </row>
    <row r="220" spans="1:2">
      <c r="A220" s="122" t="s">
        <v>423</v>
      </c>
      <c r="B220" s="114">
        <v>22</v>
      </c>
    </row>
    <row r="221" spans="1:2">
      <c r="A221" s="122" t="s">
        <v>424</v>
      </c>
      <c r="B221" s="114">
        <v>29</v>
      </c>
    </row>
    <row r="222" spans="1:2">
      <c r="A222" s="122" t="s">
        <v>2973</v>
      </c>
      <c r="B222" s="114">
        <v>96</v>
      </c>
    </row>
    <row r="223" spans="1:2">
      <c r="A223" s="122" t="s">
        <v>741</v>
      </c>
      <c r="B223" s="114">
        <v>53</v>
      </c>
    </row>
    <row r="224" spans="1:2">
      <c r="A224" s="122" t="s">
        <v>579</v>
      </c>
      <c r="B224" s="114">
        <v>7</v>
      </c>
    </row>
    <row r="225" spans="1:2">
      <c r="A225" s="122" t="s">
        <v>48</v>
      </c>
      <c r="B225" s="114">
        <v>51</v>
      </c>
    </row>
    <row r="226" spans="1:2">
      <c r="A226" s="122" t="s">
        <v>2028</v>
      </c>
      <c r="B226" s="114">
        <v>38</v>
      </c>
    </row>
    <row r="227" spans="1:2">
      <c r="A227" s="122" t="s">
        <v>2898</v>
      </c>
      <c r="B227" s="114">
        <v>55</v>
      </c>
    </row>
    <row r="228" spans="1:2">
      <c r="A228" s="122" t="s">
        <v>2029</v>
      </c>
      <c r="B228" s="114">
        <v>44</v>
      </c>
    </row>
    <row r="229" spans="1:2">
      <c r="A229" s="122" t="s">
        <v>3087</v>
      </c>
      <c r="B229" s="114">
        <v>20</v>
      </c>
    </row>
    <row r="230" spans="1:2">
      <c r="A230" s="122" t="s">
        <v>276</v>
      </c>
      <c r="B230" s="114">
        <v>70</v>
      </c>
    </row>
    <row r="231" spans="1:2">
      <c r="A231" s="122" t="s">
        <v>277</v>
      </c>
      <c r="B231" s="114">
        <v>24</v>
      </c>
    </row>
    <row r="232" spans="1:2">
      <c r="A232" s="122" t="s">
        <v>278</v>
      </c>
      <c r="B232" s="114">
        <v>138</v>
      </c>
    </row>
    <row r="233" spans="1:2">
      <c r="A233" s="122" t="s">
        <v>279</v>
      </c>
      <c r="B233" s="114">
        <v>571</v>
      </c>
    </row>
    <row r="234" spans="1:2">
      <c r="A234" s="122" t="s">
        <v>280</v>
      </c>
      <c r="B234" s="114">
        <v>343</v>
      </c>
    </row>
    <row r="235" spans="1:2">
      <c r="A235" s="122" t="s">
        <v>408</v>
      </c>
      <c r="B235" s="114">
        <v>218</v>
      </c>
    </row>
    <row r="236" spans="1:2">
      <c r="A236" s="122" t="s">
        <v>2130</v>
      </c>
      <c r="B236" s="114">
        <v>702</v>
      </c>
    </row>
    <row r="237" spans="1:2">
      <c r="A237" s="122" t="s">
        <v>1220</v>
      </c>
      <c r="B237" s="114">
        <v>471</v>
      </c>
    </row>
    <row r="238" spans="1:2">
      <c r="A238" s="122" t="s">
        <v>1221</v>
      </c>
      <c r="B238" s="114">
        <v>234</v>
      </c>
    </row>
    <row r="239" spans="1:2">
      <c r="A239" s="122" t="s">
        <v>711</v>
      </c>
      <c r="B239" s="114">
        <v>99</v>
      </c>
    </row>
    <row r="240" spans="1:2">
      <c r="A240" s="122" t="s">
        <v>1222</v>
      </c>
      <c r="B240" s="114">
        <v>162</v>
      </c>
    </row>
    <row r="241" spans="1:2">
      <c r="A241" s="122" t="s">
        <v>1989</v>
      </c>
      <c r="B241" s="114">
        <v>130</v>
      </c>
    </row>
    <row r="242" spans="1:2">
      <c r="A242" s="122" t="s">
        <v>240</v>
      </c>
      <c r="B242" s="114">
        <v>125</v>
      </c>
    </row>
    <row r="243" spans="1:2">
      <c r="A243" s="122" t="s">
        <v>815</v>
      </c>
      <c r="B243" s="114">
        <v>73</v>
      </c>
    </row>
    <row r="244" spans="1:2">
      <c r="A244" s="122" t="s">
        <v>242</v>
      </c>
      <c r="B244" s="114">
        <v>57</v>
      </c>
    </row>
    <row r="245" spans="1:2">
      <c r="A245" s="122" t="s">
        <v>1893</v>
      </c>
      <c r="B245" s="114">
        <v>47</v>
      </c>
    </row>
    <row r="246" spans="1:2">
      <c r="A246" s="122" t="s">
        <v>532</v>
      </c>
      <c r="B246" s="114">
        <v>97</v>
      </c>
    </row>
    <row r="247" spans="1:2">
      <c r="A247" s="122" t="s">
        <v>2099</v>
      </c>
      <c r="B247" s="114">
        <v>48</v>
      </c>
    </row>
    <row r="248" spans="1:2">
      <c r="A248" s="122" t="s">
        <v>1590</v>
      </c>
      <c r="B248" s="114">
        <v>236</v>
      </c>
    </row>
    <row r="249" spans="1:2">
      <c r="A249" s="122" t="s">
        <v>68</v>
      </c>
      <c r="B249" s="114">
        <v>18</v>
      </c>
    </row>
    <row r="250" spans="1:2">
      <c r="A250" s="122" t="s">
        <v>712</v>
      </c>
      <c r="B250" s="114">
        <v>39</v>
      </c>
    </row>
    <row r="251" spans="1:2">
      <c r="A251" s="122" t="s">
        <v>2864</v>
      </c>
      <c r="B251" s="114">
        <v>269</v>
      </c>
    </row>
    <row r="252" spans="1:2">
      <c r="A252" s="122" t="s">
        <v>2100</v>
      </c>
      <c r="B252" s="114">
        <v>109</v>
      </c>
    </row>
    <row r="253" spans="1:2">
      <c r="A253" s="122" t="s">
        <v>1352</v>
      </c>
      <c r="B253" s="114">
        <v>261</v>
      </c>
    </row>
    <row r="254" spans="1:2">
      <c r="A254" s="122" t="s">
        <v>2101</v>
      </c>
      <c r="B254" s="114">
        <v>208</v>
      </c>
    </row>
    <row r="255" spans="1:2">
      <c r="A255" s="122" t="s">
        <v>796</v>
      </c>
      <c r="B255" s="114">
        <v>74</v>
      </c>
    </row>
    <row r="256" spans="1:2">
      <c r="A256" s="122" t="s">
        <v>330</v>
      </c>
      <c r="B256" s="114">
        <v>98</v>
      </c>
    </row>
    <row r="257" spans="1:2">
      <c r="A257" s="122" t="s">
        <v>203</v>
      </c>
      <c r="B257" s="114">
        <v>533</v>
      </c>
    </row>
    <row r="258" spans="1:2">
      <c r="A258" s="122" t="s">
        <v>204</v>
      </c>
      <c r="B258" s="114">
        <v>390</v>
      </c>
    </row>
    <row r="259" spans="1:2">
      <c r="A259" s="122" t="s">
        <v>816</v>
      </c>
      <c r="B259" s="134">
        <v>1310</v>
      </c>
    </row>
    <row r="260" spans="1:2">
      <c r="A260" s="122" t="s">
        <v>3025</v>
      </c>
      <c r="B260" s="114">
        <v>879</v>
      </c>
    </row>
    <row r="261" spans="1:2">
      <c r="A261" s="122" t="s">
        <v>1753</v>
      </c>
      <c r="B261" s="114">
        <v>304</v>
      </c>
    </row>
    <row r="262" spans="1:2">
      <c r="A262" s="122" t="s">
        <v>3026</v>
      </c>
      <c r="B262" s="114">
        <v>130</v>
      </c>
    </row>
    <row r="263" spans="1:2">
      <c r="A263" s="122" t="s">
        <v>3027</v>
      </c>
      <c r="B263" s="114">
        <v>753</v>
      </c>
    </row>
    <row r="264" spans="1:2">
      <c r="A264" s="122" t="s">
        <v>817</v>
      </c>
      <c r="B264" s="114">
        <v>550</v>
      </c>
    </row>
    <row r="265" spans="1:2">
      <c r="A265" s="122" t="s">
        <v>776</v>
      </c>
      <c r="B265" s="114">
        <v>374</v>
      </c>
    </row>
    <row r="266" spans="1:2">
      <c r="A266" s="122" t="s">
        <v>2463</v>
      </c>
      <c r="B266" s="114">
        <v>215</v>
      </c>
    </row>
    <row r="267" spans="1:2">
      <c r="A267" s="122" t="s">
        <v>2620</v>
      </c>
      <c r="B267" s="114">
        <v>259</v>
      </c>
    </row>
    <row r="268" spans="1:2">
      <c r="A268" s="122" t="s">
        <v>2007</v>
      </c>
      <c r="B268" s="114">
        <v>117</v>
      </c>
    </row>
    <row r="269" spans="1:2">
      <c r="A269" s="122" t="s">
        <v>672</v>
      </c>
      <c r="B269" s="114">
        <v>187</v>
      </c>
    </row>
    <row r="270" spans="1:2">
      <c r="A270" s="122" t="s">
        <v>1034</v>
      </c>
      <c r="B270" s="114">
        <v>132</v>
      </c>
    </row>
    <row r="271" spans="1:2">
      <c r="A271" s="122" t="s">
        <v>2442</v>
      </c>
      <c r="B271" s="114">
        <v>904</v>
      </c>
    </row>
    <row r="272" spans="1:2">
      <c r="A272" s="122" t="s">
        <v>2976</v>
      </c>
      <c r="B272" s="134">
        <v>1628</v>
      </c>
    </row>
    <row r="273" spans="1:2">
      <c r="A273" s="122" t="s">
        <v>2745</v>
      </c>
      <c r="B273" s="114">
        <v>898</v>
      </c>
    </row>
    <row r="274" spans="1:2">
      <c r="A274" s="122" t="s">
        <v>274</v>
      </c>
      <c r="B274" s="114">
        <v>46</v>
      </c>
    </row>
    <row r="275" spans="1:2">
      <c r="A275" s="122" t="s">
        <v>1585</v>
      </c>
      <c r="B275" s="114">
        <v>266</v>
      </c>
    </row>
    <row r="276" spans="1:2">
      <c r="A276" s="122" t="s">
        <v>1586</v>
      </c>
      <c r="B276" s="114">
        <v>79</v>
      </c>
    </row>
    <row r="277" spans="1:2">
      <c r="A277" s="122" t="s">
        <v>818</v>
      </c>
      <c r="B277" s="114">
        <v>65</v>
      </c>
    </row>
    <row r="278" spans="1:2">
      <c r="A278" s="122" t="s">
        <v>1581</v>
      </c>
      <c r="B278" s="114">
        <v>110</v>
      </c>
    </row>
    <row r="279" spans="1:2">
      <c r="A279" s="122" t="s">
        <v>1049</v>
      </c>
      <c r="B279" s="114">
        <v>61</v>
      </c>
    </row>
    <row r="280" spans="1:2">
      <c r="A280" s="122" t="s">
        <v>275</v>
      </c>
      <c r="B280" s="114">
        <v>55</v>
      </c>
    </row>
    <row r="281" spans="1:2">
      <c r="A281" s="122" t="s">
        <v>2382</v>
      </c>
      <c r="B281" s="114">
        <v>35</v>
      </c>
    </row>
    <row r="282" spans="1:2">
      <c r="A282" s="122" t="s">
        <v>375</v>
      </c>
      <c r="B282" s="114">
        <v>193</v>
      </c>
    </row>
    <row r="283" spans="1:2">
      <c r="A283" s="122" t="s">
        <v>819</v>
      </c>
      <c r="B283" s="114">
        <v>74</v>
      </c>
    </row>
    <row r="284" spans="1:2">
      <c r="A284" s="122" t="s">
        <v>629</v>
      </c>
      <c r="B284" s="114">
        <v>384</v>
      </c>
    </row>
    <row r="285" spans="1:2">
      <c r="A285" s="122" t="s">
        <v>2767</v>
      </c>
      <c r="B285" s="114">
        <v>207</v>
      </c>
    </row>
    <row r="286" spans="1:2">
      <c r="A286" s="122" t="s">
        <v>878</v>
      </c>
      <c r="B286" s="114">
        <v>61</v>
      </c>
    </row>
    <row r="287" spans="1:2">
      <c r="A287" s="122" t="s">
        <v>212</v>
      </c>
      <c r="B287" s="114">
        <v>13</v>
      </c>
    </row>
    <row r="288" spans="1:2">
      <c r="A288" s="122" t="s">
        <v>1353</v>
      </c>
      <c r="B288" s="114">
        <v>66</v>
      </c>
    </row>
    <row r="289" spans="1:2">
      <c r="A289" s="122" t="s">
        <v>2401</v>
      </c>
      <c r="B289" s="114">
        <v>7</v>
      </c>
    </row>
    <row r="290" spans="1:2">
      <c r="A290" s="122" t="s">
        <v>2157</v>
      </c>
      <c r="B290" s="114">
        <v>71</v>
      </c>
    </row>
    <row r="291" spans="1:2">
      <c r="A291" s="122" t="s">
        <v>1710</v>
      </c>
      <c r="B291" s="114">
        <v>74</v>
      </c>
    </row>
    <row r="292" spans="1:2">
      <c r="A292" s="122" t="s">
        <v>1315</v>
      </c>
      <c r="B292" s="114">
        <v>133</v>
      </c>
    </row>
    <row r="293" spans="1:2">
      <c r="A293" s="122" t="s">
        <v>2768</v>
      </c>
      <c r="B293" s="114">
        <v>78</v>
      </c>
    </row>
    <row r="294" spans="1:2">
      <c r="A294" s="122" t="s">
        <v>2769</v>
      </c>
      <c r="B294" s="114">
        <v>257</v>
      </c>
    </row>
    <row r="295" spans="1:2">
      <c r="A295" s="122" t="s">
        <v>1704</v>
      </c>
      <c r="B295" s="114">
        <v>239</v>
      </c>
    </row>
    <row r="296" spans="1:2">
      <c r="A296" s="122" t="s">
        <v>2091</v>
      </c>
      <c r="B296" s="114">
        <v>64</v>
      </c>
    </row>
    <row r="297" spans="1:2">
      <c r="A297" s="122" t="s">
        <v>2092</v>
      </c>
      <c r="B297" s="114">
        <v>158</v>
      </c>
    </row>
    <row r="298" spans="1:2">
      <c r="A298" s="122" t="s">
        <v>1400</v>
      </c>
      <c r="B298" s="114">
        <v>138</v>
      </c>
    </row>
    <row r="299" spans="1:2">
      <c r="A299" s="122" t="s">
        <v>2093</v>
      </c>
      <c r="B299" s="114">
        <v>76</v>
      </c>
    </row>
    <row r="300" spans="1:2">
      <c r="A300" s="122" t="s">
        <v>229</v>
      </c>
      <c r="B300" s="114">
        <v>87</v>
      </c>
    </row>
    <row r="301" spans="1:2">
      <c r="A301" s="122" t="s">
        <v>2095</v>
      </c>
      <c r="B301" s="114">
        <v>319</v>
      </c>
    </row>
    <row r="302" spans="1:2">
      <c r="A302" s="122" t="s">
        <v>2103</v>
      </c>
      <c r="B302" s="114">
        <v>20</v>
      </c>
    </row>
    <row r="303" spans="1:2">
      <c r="A303" s="122" t="s">
        <v>230</v>
      </c>
      <c r="B303" s="114">
        <v>302</v>
      </c>
    </row>
    <row r="304" spans="1:2">
      <c r="A304" s="122" t="s">
        <v>231</v>
      </c>
      <c r="B304" s="114">
        <v>231</v>
      </c>
    </row>
    <row r="305" spans="1:2">
      <c r="A305" s="122" t="s">
        <v>1401</v>
      </c>
      <c r="B305" s="114">
        <v>47</v>
      </c>
    </row>
    <row r="306" spans="1:2">
      <c r="A306" s="122" t="s">
        <v>820</v>
      </c>
      <c r="B306" s="114">
        <v>29</v>
      </c>
    </row>
    <row r="307" spans="1:2">
      <c r="A307" s="122" t="s">
        <v>232</v>
      </c>
      <c r="B307" s="114">
        <v>219</v>
      </c>
    </row>
    <row r="308" spans="1:2">
      <c r="A308" s="122" t="s">
        <v>233</v>
      </c>
      <c r="B308" s="114">
        <v>68</v>
      </c>
    </row>
    <row r="309" spans="1:2">
      <c r="A309" s="122" t="s">
        <v>1960</v>
      </c>
      <c r="B309" s="114">
        <v>47</v>
      </c>
    </row>
    <row r="310" spans="1:2">
      <c r="A310" s="122" t="s">
        <v>1961</v>
      </c>
      <c r="B310" s="114">
        <v>49</v>
      </c>
    </row>
    <row r="311" spans="1:2">
      <c r="A311" s="122" t="s">
        <v>1402</v>
      </c>
      <c r="B311" s="114">
        <v>136</v>
      </c>
    </row>
    <row r="312" spans="1:2">
      <c r="A312" s="122" t="s">
        <v>2948</v>
      </c>
      <c r="B312" s="114">
        <v>247</v>
      </c>
    </row>
    <row r="313" spans="1:2">
      <c r="A313" s="122" t="s">
        <v>1911</v>
      </c>
      <c r="B313" s="114">
        <v>316</v>
      </c>
    </row>
    <row r="314" spans="1:2">
      <c r="A314" s="122" t="s">
        <v>1912</v>
      </c>
      <c r="B314" s="114">
        <v>145</v>
      </c>
    </row>
    <row r="315" spans="1:2">
      <c r="A315" s="122" t="s">
        <v>1037</v>
      </c>
      <c r="B315" s="114">
        <v>89</v>
      </c>
    </row>
    <row r="316" spans="1:2">
      <c r="A316" s="122" t="s">
        <v>73</v>
      </c>
      <c r="B316" s="114">
        <v>133</v>
      </c>
    </row>
    <row r="317" spans="1:2">
      <c r="A317" s="122" t="s">
        <v>853</v>
      </c>
      <c r="B317" s="114">
        <v>340</v>
      </c>
    </row>
    <row r="318" spans="1:2">
      <c r="A318" s="122" t="s">
        <v>2865</v>
      </c>
      <c r="B318" s="114">
        <v>352</v>
      </c>
    </row>
    <row r="319" spans="1:2">
      <c r="A319" s="122" t="s">
        <v>697</v>
      </c>
      <c r="B319" s="114">
        <v>648</v>
      </c>
    </row>
    <row r="320" spans="1:2">
      <c r="A320" s="122" t="s">
        <v>698</v>
      </c>
      <c r="B320" s="114">
        <v>239</v>
      </c>
    </row>
    <row r="321" spans="1:2">
      <c r="A321" s="122" t="s">
        <v>699</v>
      </c>
      <c r="B321" s="114">
        <v>889</v>
      </c>
    </row>
    <row r="322" spans="1:2">
      <c r="A322" s="122" t="s">
        <v>700</v>
      </c>
      <c r="B322" s="114">
        <v>348</v>
      </c>
    </row>
    <row r="323" spans="1:2">
      <c r="A323" s="122" t="s">
        <v>2906</v>
      </c>
      <c r="B323" s="114">
        <v>203</v>
      </c>
    </row>
    <row r="324" spans="1:2">
      <c r="A324" s="122" t="s">
        <v>1602</v>
      </c>
      <c r="B324" s="114">
        <v>171</v>
      </c>
    </row>
    <row r="325" spans="1:2">
      <c r="A325" s="122" t="s">
        <v>701</v>
      </c>
      <c r="B325" s="114">
        <v>41</v>
      </c>
    </row>
    <row r="326" spans="1:2">
      <c r="A326" s="122" t="s">
        <v>2647</v>
      </c>
      <c r="B326" s="114">
        <v>6</v>
      </c>
    </row>
    <row r="327" spans="1:2">
      <c r="A327" s="122" t="s">
        <v>2290</v>
      </c>
      <c r="B327" s="114">
        <v>254</v>
      </c>
    </row>
    <row r="328" spans="1:2">
      <c r="A328" s="122" t="s">
        <v>1478</v>
      </c>
      <c r="B328" s="114">
        <v>470</v>
      </c>
    </row>
    <row r="329" spans="1:2">
      <c r="A329" s="122" t="s">
        <v>2192</v>
      </c>
      <c r="B329" s="114">
        <v>216</v>
      </c>
    </row>
    <row r="330" spans="1:2">
      <c r="A330" s="122" t="s">
        <v>2198</v>
      </c>
      <c r="B330" s="114">
        <v>109</v>
      </c>
    </row>
    <row r="331" spans="1:2">
      <c r="A331" s="122" t="s">
        <v>2199</v>
      </c>
      <c r="B331" s="114">
        <v>63</v>
      </c>
    </row>
    <row r="332" spans="1:2">
      <c r="A332" s="122" t="s">
        <v>1403</v>
      </c>
      <c r="B332" s="114">
        <v>358</v>
      </c>
    </row>
    <row r="333" spans="1:2">
      <c r="A333" s="122" t="s">
        <v>2866</v>
      </c>
      <c r="B333" s="114">
        <v>741</v>
      </c>
    </row>
    <row r="334" spans="1:2">
      <c r="A334" s="122" t="s">
        <v>2200</v>
      </c>
      <c r="B334" s="114">
        <v>194</v>
      </c>
    </row>
    <row r="335" spans="1:2">
      <c r="A335" s="122" t="s">
        <v>2420</v>
      </c>
      <c r="B335" s="114">
        <v>216</v>
      </c>
    </row>
    <row r="336" spans="1:2">
      <c r="A336" s="122" t="s">
        <v>2490</v>
      </c>
      <c r="B336" s="134">
        <v>1163</v>
      </c>
    </row>
    <row r="337" spans="1:2">
      <c r="A337" s="122" t="s">
        <v>2270</v>
      </c>
      <c r="B337" s="114">
        <v>88</v>
      </c>
    </row>
    <row r="338" spans="1:2">
      <c r="A338" s="122" t="s">
        <v>2550</v>
      </c>
      <c r="B338" s="114">
        <v>706</v>
      </c>
    </row>
    <row r="339" spans="1:2">
      <c r="A339" s="122" t="s">
        <v>2132</v>
      </c>
      <c r="B339" s="114">
        <v>157</v>
      </c>
    </row>
    <row r="340" spans="1:2">
      <c r="A340" s="122" t="s">
        <v>862</v>
      </c>
      <c r="B340" s="114">
        <v>34</v>
      </c>
    </row>
    <row r="341" spans="1:2">
      <c r="A341" s="122" t="s">
        <v>863</v>
      </c>
      <c r="B341" s="114">
        <v>45</v>
      </c>
    </row>
    <row r="342" spans="1:2">
      <c r="A342" s="122" t="s">
        <v>2817</v>
      </c>
      <c r="B342" s="114">
        <v>86</v>
      </c>
    </row>
    <row r="343" spans="1:2">
      <c r="A343" s="122" t="s">
        <v>533</v>
      </c>
      <c r="B343" s="114">
        <v>75</v>
      </c>
    </row>
    <row r="344" spans="1:2">
      <c r="A344" s="122" t="s">
        <v>2818</v>
      </c>
      <c r="B344" s="114">
        <v>109</v>
      </c>
    </row>
    <row r="345" spans="1:2">
      <c r="A345" s="122" t="s">
        <v>1604</v>
      </c>
      <c r="B345" s="114">
        <v>14</v>
      </c>
    </row>
    <row r="346" spans="1:2">
      <c r="A346" s="122" t="s">
        <v>1872</v>
      </c>
      <c r="B346" s="114">
        <v>788</v>
      </c>
    </row>
    <row r="347" spans="1:2">
      <c r="A347" s="122" t="s">
        <v>1873</v>
      </c>
      <c r="B347" s="114">
        <v>118</v>
      </c>
    </row>
    <row r="348" spans="1:2">
      <c r="A348" s="122" t="s">
        <v>2139</v>
      </c>
      <c r="B348" s="114">
        <v>130</v>
      </c>
    </row>
    <row r="349" spans="1:2">
      <c r="A349" s="122" t="s">
        <v>1636</v>
      </c>
      <c r="B349" s="114">
        <v>759</v>
      </c>
    </row>
    <row r="350" spans="1:2">
      <c r="A350" s="122" t="s">
        <v>2474</v>
      </c>
      <c r="B350" s="114">
        <v>383</v>
      </c>
    </row>
    <row r="351" spans="1:2">
      <c r="A351" s="122" t="s">
        <v>2475</v>
      </c>
      <c r="B351" s="114">
        <v>902</v>
      </c>
    </row>
    <row r="352" spans="1:2">
      <c r="A352" s="122" t="s">
        <v>2794</v>
      </c>
      <c r="B352" s="114">
        <v>861</v>
      </c>
    </row>
    <row r="353" spans="1:2">
      <c r="A353" s="122" t="s">
        <v>1019</v>
      </c>
      <c r="B353" s="114">
        <v>528</v>
      </c>
    </row>
    <row r="354" spans="1:2">
      <c r="A354" s="122" t="s">
        <v>2795</v>
      </c>
      <c r="B354" s="114">
        <v>373</v>
      </c>
    </row>
    <row r="355" spans="1:2">
      <c r="A355" s="122" t="s">
        <v>2796</v>
      </c>
      <c r="B355" s="114">
        <v>175</v>
      </c>
    </row>
    <row r="356" spans="1:2">
      <c r="A356" s="122" t="s">
        <v>2118</v>
      </c>
      <c r="B356" s="114">
        <v>146</v>
      </c>
    </row>
    <row r="357" spans="1:2">
      <c r="A357" s="122" t="s">
        <v>2119</v>
      </c>
      <c r="B357" s="114">
        <v>360</v>
      </c>
    </row>
    <row r="358" spans="1:2">
      <c r="A358" s="122" t="s">
        <v>2301</v>
      </c>
      <c r="B358" s="114">
        <v>449</v>
      </c>
    </row>
    <row r="359" spans="1:2">
      <c r="A359" s="122" t="s">
        <v>2313</v>
      </c>
      <c r="B359" s="114">
        <v>129</v>
      </c>
    </row>
    <row r="360" spans="1:2">
      <c r="A360" s="122" t="s">
        <v>1897</v>
      </c>
      <c r="B360" s="114">
        <v>55</v>
      </c>
    </row>
    <row r="361" spans="1:2">
      <c r="A361" s="122" t="s">
        <v>1107</v>
      </c>
      <c r="B361" s="114">
        <v>52</v>
      </c>
    </row>
    <row r="362" spans="1:2">
      <c r="A362" s="122" t="s">
        <v>1108</v>
      </c>
      <c r="B362" s="114">
        <v>99</v>
      </c>
    </row>
    <row r="363" spans="1:2">
      <c r="A363" s="122" t="s">
        <v>1276</v>
      </c>
      <c r="B363" s="114">
        <v>76</v>
      </c>
    </row>
    <row r="364" spans="1:2">
      <c r="A364" s="122" t="s">
        <v>897</v>
      </c>
      <c r="B364" s="114">
        <v>77</v>
      </c>
    </row>
    <row r="365" spans="1:2">
      <c r="A365" s="122" t="s">
        <v>898</v>
      </c>
      <c r="B365" s="114">
        <v>35</v>
      </c>
    </row>
    <row r="366" spans="1:2">
      <c r="A366" s="122" t="s">
        <v>1404</v>
      </c>
      <c r="B366" s="114">
        <v>69</v>
      </c>
    </row>
    <row r="367" spans="1:2">
      <c r="A367" s="122" t="s">
        <v>1405</v>
      </c>
      <c r="B367" s="114">
        <v>156</v>
      </c>
    </row>
    <row r="368" spans="1:2">
      <c r="A368" s="122" t="s">
        <v>1650</v>
      </c>
      <c r="B368" s="114">
        <v>77</v>
      </c>
    </row>
    <row r="369" spans="1:2">
      <c r="A369" s="122" t="s">
        <v>243</v>
      </c>
      <c r="B369" s="114">
        <v>92</v>
      </c>
    </row>
    <row r="370" spans="1:2">
      <c r="A370" s="122" t="s">
        <v>2977</v>
      </c>
      <c r="B370" s="114">
        <v>122</v>
      </c>
    </row>
    <row r="371" spans="1:2">
      <c r="A371" s="122" t="s">
        <v>1483</v>
      </c>
      <c r="B371" s="114">
        <v>66</v>
      </c>
    </row>
    <row r="372" spans="1:2">
      <c r="A372" s="122" t="s">
        <v>1461</v>
      </c>
      <c r="B372" s="114">
        <v>53</v>
      </c>
    </row>
    <row r="373" spans="1:2">
      <c r="A373" s="122" t="s">
        <v>1462</v>
      </c>
      <c r="B373" s="114">
        <v>108</v>
      </c>
    </row>
    <row r="374" spans="1:2">
      <c r="A374" s="122" t="s">
        <v>1463</v>
      </c>
      <c r="B374" s="114">
        <v>101</v>
      </c>
    </row>
    <row r="375" spans="1:2">
      <c r="A375" s="122" t="s">
        <v>498</v>
      </c>
      <c r="B375" s="114">
        <v>106</v>
      </c>
    </row>
    <row r="376" spans="1:2">
      <c r="A376" s="122" t="s">
        <v>2504</v>
      </c>
      <c r="B376" s="114">
        <v>29</v>
      </c>
    </row>
    <row r="377" spans="1:2">
      <c r="A377" s="122" t="s">
        <v>3035</v>
      </c>
      <c r="B377" s="114">
        <v>42</v>
      </c>
    </row>
    <row r="378" spans="1:2">
      <c r="A378" s="122" t="s">
        <v>1702</v>
      </c>
      <c r="B378" s="114">
        <v>9</v>
      </c>
    </row>
    <row r="379" spans="1:2">
      <c r="A379" s="122" t="s">
        <v>3036</v>
      </c>
      <c r="B379" s="114">
        <v>16</v>
      </c>
    </row>
    <row r="380" spans="1:2">
      <c r="A380" s="122" t="s">
        <v>3037</v>
      </c>
      <c r="B380" s="114">
        <v>265</v>
      </c>
    </row>
    <row r="381" spans="1:2">
      <c r="A381" s="122" t="s">
        <v>3038</v>
      </c>
      <c r="B381" s="114">
        <v>135</v>
      </c>
    </row>
    <row r="382" spans="1:2">
      <c r="A382" s="122" t="s">
        <v>3039</v>
      </c>
      <c r="B382" s="114">
        <v>362</v>
      </c>
    </row>
    <row r="383" spans="1:2">
      <c r="A383" s="122" t="s">
        <v>2456</v>
      </c>
      <c r="B383" s="114">
        <v>126</v>
      </c>
    </row>
    <row r="384" spans="1:2">
      <c r="A384" s="122" t="s">
        <v>537</v>
      </c>
      <c r="B384" s="114">
        <v>376</v>
      </c>
    </row>
    <row r="385" spans="1:2">
      <c r="A385" s="122" t="s">
        <v>535</v>
      </c>
      <c r="B385" s="114">
        <v>65</v>
      </c>
    </row>
    <row r="386" spans="1:2">
      <c r="A386" s="122" t="s">
        <v>2457</v>
      </c>
      <c r="B386" s="114">
        <v>86</v>
      </c>
    </row>
    <row r="387" spans="1:2">
      <c r="A387" s="122" t="s">
        <v>381</v>
      </c>
      <c r="B387" s="114">
        <v>84</v>
      </c>
    </row>
    <row r="388" spans="1:2">
      <c r="A388" s="122" t="s">
        <v>2458</v>
      </c>
      <c r="B388" s="114">
        <v>183</v>
      </c>
    </row>
    <row r="389" spans="1:2">
      <c r="A389" s="122" t="s">
        <v>2459</v>
      </c>
      <c r="B389" s="114">
        <v>132</v>
      </c>
    </row>
    <row r="390" spans="1:2">
      <c r="A390" s="122" t="s">
        <v>547</v>
      </c>
      <c r="B390" s="114">
        <v>159</v>
      </c>
    </row>
    <row r="391" spans="1:2">
      <c r="A391" s="122" t="s">
        <v>2232</v>
      </c>
      <c r="B391" s="114">
        <v>151</v>
      </c>
    </row>
    <row r="392" spans="1:2">
      <c r="A392" s="122" t="s">
        <v>2366</v>
      </c>
      <c r="B392" s="114">
        <v>395</v>
      </c>
    </row>
    <row r="393" spans="1:2">
      <c r="A393" s="122" t="s">
        <v>2367</v>
      </c>
      <c r="B393" s="114">
        <v>704</v>
      </c>
    </row>
    <row r="394" spans="1:2">
      <c r="A394" s="122" t="s">
        <v>169</v>
      </c>
      <c r="B394" s="114">
        <v>466</v>
      </c>
    </row>
    <row r="395" spans="1:2">
      <c r="A395" s="122" t="s">
        <v>170</v>
      </c>
      <c r="B395" s="114">
        <v>513</v>
      </c>
    </row>
    <row r="396" spans="1:2">
      <c r="A396" s="122" t="s">
        <v>2867</v>
      </c>
      <c r="B396" s="114">
        <v>199</v>
      </c>
    </row>
    <row r="397" spans="1:2">
      <c r="A397" s="122" t="s">
        <v>2674</v>
      </c>
      <c r="B397" s="114">
        <v>522</v>
      </c>
    </row>
    <row r="398" spans="1:2">
      <c r="A398" s="122" t="s">
        <v>1281</v>
      </c>
      <c r="B398" s="114">
        <v>367</v>
      </c>
    </row>
    <row r="399" spans="1:2">
      <c r="A399" s="122" t="s">
        <v>1282</v>
      </c>
      <c r="B399" s="114">
        <v>479</v>
      </c>
    </row>
    <row r="400" spans="1:2">
      <c r="A400" s="122" t="s">
        <v>2416</v>
      </c>
      <c r="B400" s="114">
        <v>261</v>
      </c>
    </row>
    <row r="401" spans="1:2">
      <c r="A401" s="122" t="s">
        <v>2417</v>
      </c>
      <c r="B401" s="114">
        <v>557</v>
      </c>
    </row>
    <row r="402" spans="1:2">
      <c r="A402" s="122" t="s">
        <v>1158</v>
      </c>
      <c r="B402" s="114">
        <v>254</v>
      </c>
    </row>
    <row r="403" spans="1:2">
      <c r="A403" s="122" t="s">
        <v>1312</v>
      </c>
      <c r="B403" s="114">
        <v>169</v>
      </c>
    </row>
    <row r="404" spans="1:2">
      <c r="A404" s="122" t="s">
        <v>416</v>
      </c>
      <c r="B404" s="114">
        <v>304</v>
      </c>
    </row>
    <row r="405" spans="1:2">
      <c r="A405" s="122" t="s">
        <v>2608</v>
      </c>
      <c r="B405" s="114">
        <v>59</v>
      </c>
    </row>
    <row r="406" spans="1:2">
      <c r="A406" s="122" t="s">
        <v>1346</v>
      </c>
      <c r="B406" s="114">
        <v>249</v>
      </c>
    </row>
    <row r="407" spans="1:2">
      <c r="A407" s="122" t="s">
        <v>639</v>
      </c>
      <c r="B407" s="114">
        <v>110</v>
      </c>
    </row>
    <row r="408" spans="1:2">
      <c r="A408" s="122" t="s">
        <v>222</v>
      </c>
      <c r="B408" s="114">
        <v>39</v>
      </c>
    </row>
    <row r="409" spans="1:2">
      <c r="A409" s="122" t="s">
        <v>2641</v>
      </c>
      <c r="B409" s="114">
        <v>19</v>
      </c>
    </row>
    <row r="410" spans="1:2">
      <c r="A410" s="122" t="s">
        <v>2758</v>
      </c>
      <c r="B410" s="114">
        <v>82</v>
      </c>
    </row>
    <row r="411" spans="1:2">
      <c r="A411" s="122" t="s">
        <v>2642</v>
      </c>
      <c r="B411" s="114">
        <v>193</v>
      </c>
    </row>
    <row r="412" spans="1:2">
      <c r="A412" s="122" t="s">
        <v>2481</v>
      </c>
      <c r="B412" s="114">
        <v>41</v>
      </c>
    </row>
    <row r="413" spans="1:2">
      <c r="A413" s="122" t="s">
        <v>1588</v>
      </c>
      <c r="B413" s="114">
        <v>32</v>
      </c>
    </row>
    <row r="414" spans="1:2">
      <c r="A414" s="122" t="s">
        <v>1608</v>
      </c>
      <c r="B414" s="114">
        <v>33</v>
      </c>
    </row>
    <row r="415" spans="1:2">
      <c r="A415" s="122" t="s">
        <v>2300</v>
      </c>
      <c r="B415" s="114">
        <v>138</v>
      </c>
    </row>
    <row r="416" spans="1:2">
      <c r="A416" s="122" t="s">
        <v>2921</v>
      </c>
      <c r="B416" s="114">
        <v>298</v>
      </c>
    </row>
    <row r="417" spans="1:2">
      <c r="A417" s="122" t="s">
        <v>1278</v>
      </c>
      <c r="B417" s="114">
        <v>94</v>
      </c>
    </row>
    <row r="418" spans="1:2">
      <c r="A418" s="122" t="s">
        <v>55</v>
      </c>
      <c r="B418" s="114">
        <v>169</v>
      </c>
    </row>
    <row r="419" spans="1:2">
      <c r="A419" s="122" t="s">
        <v>62</v>
      </c>
      <c r="B419" s="114">
        <v>80</v>
      </c>
    </row>
    <row r="420" spans="1:2">
      <c r="A420" s="122" t="s">
        <v>2922</v>
      </c>
      <c r="B420" s="114">
        <v>56</v>
      </c>
    </row>
    <row r="421" spans="1:2">
      <c r="A421" s="122" t="s">
        <v>234</v>
      </c>
      <c r="B421" s="114">
        <v>60</v>
      </c>
    </row>
    <row r="422" spans="1:2">
      <c r="A422" s="122" t="s">
        <v>743</v>
      </c>
      <c r="B422" s="114">
        <v>58</v>
      </c>
    </row>
    <row r="423" spans="1:2">
      <c r="A423" s="122" t="s">
        <v>918</v>
      </c>
      <c r="B423" s="114">
        <v>40</v>
      </c>
    </row>
    <row r="424" spans="1:2">
      <c r="A424" s="122" t="s">
        <v>2221</v>
      </c>
      <c r="B424" s="114">
        <v>86</v>
      </c>
    </row>
    <row r="425" spans="1:2">
      <c r="A425" s="122" t="s">
        <v>2222</v>
      </c>
      <c r="B425" s="114">
        <v>55</v>
      </c>
    </row>
    <row r="426" spans="1:2">
      <c r="A426" s="122" t="s">
        <v>979</v>
      </c>
      <c r="B426" s="114">
        <v>52</v>
      </c>
    </row>
    <row r="427" spans="1:2">
      <c r="A427" s="122" t="s">
        <v>2223</v>
      </c>
      <c r="B427" s="114">
        <v>137</v>
      </c>
    </row>
    <row r="428" spans="1:2">
      <c r="A428" s="122" t="s">
        <v>1692</v>
      </c>
      <c r="B428" s="114">
        <v>349</v>
      </c>
    </row>
    <row r="429" spans="1:2">
      <c r="A429" s="122" t="s">
        <v>1693</v>
      </c>
      <c r="B429" s="114">
        <v>62</v>
      </c>
    </row>
    <row r="430" spans="1:2">
      <c r="A430" s="122" t="s">
        <v>1694</v>
      </c>
      <c r="B430" s="114">
        <v>181</v>
      </c>
    </row>
    <row r="431" spans="1:2">
      <c r="A431" s="122" t="s">
        <v>1765</v>
      </c>
      <c r="B431" s="114">
        <v>102</v>
      </c>
    </row>
    <row r="432" spans="1:2">
      <c r="A432" s="122" t="s">
        <v>1766</v>
      </c>
      <c r="B432" s="114">
        <v>142</v>
      </c>
    </row>
    <row r="433" spans="1:2">
      <c r="A433" s="122" t="s">
        <v>539</v>
      </c>
      <c r="B433" s="134">
        <v>1348</v>
      </c>
    </row>
    <row r="434" spans="1:2">
      <c r="A434" s="122" t="s">
        <v>506</v>
      </c>
      <c r="B434" s="114">
        <v>374</v>
      </c>
    </row>
    <row r="435" spans="1:2">
      <c r="A435" s="122" t="s">
        <v>507</v>
      </c>
      <c r="B435" s="114">
        <v>360</v>
      </c>
    </row>
    <row r="436" spans="1:2">
      <c r="A436" s="122" t="s">
        <v>2868</v>
      </c>
      <c r="B436" s="114">
        <v>85</v>
      </c>
    </row>
    <row r="437" spans="1:2">
      <c r="A437" s="122" t="s">
        <v>508</v>
      </c>
      <c r="B437" s="114">
        <v>134</v>
      </c>
    </row>
    <row r="438" spans="1:2">
      <c r="A438" s="122" t="s">
        <v>509</v>
      </c>
      <c r="B438" s="114">
        <v>235</v>
      </c>
    </row>
    <row r="439" spans="1:2">
      <c r="A439" s="122" t="s">
        <v>1304</v>
      </c>
      <c r="B439" s="114">
        <v>190</v>
      </c>
    </row>
    <row r="440" spans="1:2">
      <c r="A440" s="122" t="s">
        <v>1678</v>
      </c>
      <c r="B440" s="114">
        <v>194</v>
      </c>
    </row>
    <row r="441" spans="1:2">
      <c r="A441" s="122" t="s">
        <v>1467</v>
      </c>
      <c r="B441" s="114">
        <v>141</v>
      </c>
    </row>
    <row r="442" spans="1:2">
      <c r="A442" s="122" t="s">
        <v>2129</v>
      </c>
      <c r="B442" s="114">
        <v>212</v>
      </c>
    </row>
    <row r="443" spans="1:2">
      <c r="A443" s="122" t="s">
        <v>1918</v>
      </c>
      <c r="B443" s="114">
        <v>731</v>
      </c>
    </row>
    <row r="444" spans="1:2">
      <c r="A444" s="122" t="s">
        <v>1919</v>
      </c>
      <c r="B444" s="114">
        <v>236</v>
      </c>
    </row>
    <row r="445" spans="1:2">
      <c r="A445" s="122" t="s">
        <v>2912</v>
      </c>
      <c r="B445" s="114">
        <v>199</v>
      </c>
    </row>
    <row r="446" spans="1:2">
      <c r="A446" s="122" t="s">
        <v>2879</v>
      </c>
      <c r="B446" s="114">
        <v>109</v>
      </c>
    </row>
    <row r="447" spans="1:2">
      <c r="A447" s="122" t="s">
        <v>2284</v>
      </c>
      <c r="B447" s="114">
        <v>81</v>
      </c>
    </row>
    <row r="448" spans="1:2">
      <c r="A448" s="122" t="s">
        <v>71</v>
      </c>
      <c r="B448" s="114">
        <v>118</v>
      </c>
    </row>
    <row r="449" spans="1:2">
      <c r="A449" s="122" t="s">
        <v>1711</v>
      </c>
      <c r="B449" s="114">
        <v>15</v>
      </c>
    </row>
    <row r="450" spans="1:2">
      <c r="A450" s="122" t="s">
        <v>980</v>
      </c>
      <c r="B450" s="114">
        <v>13</v>
      </c>
    </row>
    <row r="451" spans="1:2">
      <c r="A451" s="122" t="s">
        <v>72</v>
      </c>
      <c r="B451" s="114">
        <v>146</v>
      </c>
    </row>
    <row r="452" spans="1:2">
      <c r="A452" s="122" t="s">
        <v>2437</v>
      </c>
      <c r="B452" s="114">
        <v>91</v>
      </c>
    </row>
    <row r="453" spans="1:2">
      <c r="A453" s="122" t="s">
        <v>873</v>
      </c>
      <c r="B453" s="114">
        <v>28</v>
      </c>
    </row>
    <row r="454" spans="1:2">
      <c r="A454" s="122" t="s">
        <v>875</v>
      </c>
      <c r="B454" s="114">
        <v>848</v>
      </c>
    </row>
    <row r="455" spans="1:2">
      <c r="A455" s="122" t="s">
        <v>2131</v>
      </c>
      <c r="B455" s="114">
        <v>36</v>
      </c>
    </row>
    <row r="456" spans="1:2">
      <c r="A456" s="122" t="s">
        <v>2894</v>
      </c>
      <c r="B456" s="114">
        <v>34</v>
      </c>
    </row>
    <row r="457" spans="1:2">
      <c r="A457" s="122" t="s">
        <v>2897</v>
      </c>
      <c r="B457" s="114">
        <v>38</v>
      </c>
    </row>
    <row r="458" spans="1:2">
      <c r="A458" s="122" t="s">
        <v>2903</v>
      </c>
      <c r="B458" s="114">
        <v>43</v>
      </c>
    </row>
    <row r="459" spans="1:2">
      <c r="A459" s="122" t="s">
        <v>239</v>
      </c>
      <c r="B459" s="114">
        <v>57</v>
      </c>
    </row>
    <row r="460" spans="1:2">
      <c r="A460" s="122" t="s">
        <v>1218</v>
      </c>
      <c r="B460" s="114">
        <v>24</v>
      </c>
    </row>
    <row r="461" spans="1:2">
      <c r="A461" s="122" t="s">
        <v>1759</v>
      </c>
      <c r="B461" s="114">
        <v>27</v>
      </c>
    </row>
    <row r="462" spans="1:2">
      <c r="A462" s="122" t="s">
        <v>65</v>
      </c>
      <c r="B462" s="114">
        <v>209</v>
      </c>
    </row>
    <row r="463" spans="1:2">
      <c r="A463" s="122" t="s">
        <v>821</v>
      </c>
      <c r="B463" s="114">
        <v>55</v>
      </c>
    </row>
    <row r="464" spans="1:2">
      <c r="A464" s="122" t="s">
        <v>67</v>
      </c>
      <c r="B464" s="114">
        <v>29</v>
      </c>
    </row>
    <row r="465" spans="1:2">
      <c r="A465" s="122" t="s">
        <v>554</v>
      </c>
      <c r="B465" s="114">
        <v>47</v>
      </c>
    </row>
    <row r="466" spans="1:2">
      <c r="A466" s="122" t="s">
        <v>1715</v>
      </c>
      <c r="B466" s="114">
        <v>10</v>
      </c>
    </row>
    <row r="467" spans="1:2">
      <c r="A467" s="122" t="s">
        <v>172</v>
      </c>
      <c r="B467" s="114">
        <v>75</v>
      </c>
    </row>
    <row r="468" spans="1:2">
      <c r="A468" s="122" t="s">
        <v>2869</v>
      </c>
      <c r="B468" s="114">
        <v>81</v>
      </c>
    </row>
    <row r="469" spans="1:2">
      <c r="A469" s="122" t="s">
        <v>2756</v>
      </c>
      <c r="B469" s="114">
        <v>43</v>
      </c>
    </row>
    <row r="470" spans="1:2">
      <c r="A470" s="122" t="s">
        <v>2133</v>
      </c>
      <c r="B470" s="114">
        <v>128</v>
      </c>
    </row>
    <row r="471" spans="1:2">
      <c r="A471" s="122" t="s">
        <v>555</v>
      </c>
      <c r="B471" s="114">
        <v>64</v>
      </c>
    </row>
    <row r="472" spans="1:2">
      <c r="A472" s="122" t="s">
        <v>49</v>
      </c>
      <c r="B472" s="114">
        <v>137</v>
      </c>
    </row>
    <row r="473" spans="1:2">
      <c r="A473" s="122" t="s">
        <v>173</v>
      </c>
      <c r="B473" s="114">
        <v>46</v>
      </c>
    </row>
    <row r="474" spans="1:2">
      <c r="A474" s="122" t="s">
        <v>567</v>
      </c>
      <c r="B474" s="114">
        <v>48</v>
      </c>
    </row>
    <row r="475" spans="1:2">
      <c r="A475" s="122" t="s">
        <v>1760</v>
      </c>
      <c r="B475" s="114">
        <v>118</v>
      </c>
    </row>
    <row r="476" spans="1:2">
      <c r="A476" s="122" t="s">
        <v>568</v>
      </c>
      <c r="B476" s="114">
        <v>73</v>
      </c>
    </row>
    <row r="477" spans="1:2">
      <c r="A477" s="122" t="s">
        <v>1733</v>
      </c>
      <c r="B477" s="114">
        <v>106</v>
      </c>
    </row>
    <row r="478" spans="1:2">
      <c r="A478" s="122" t="s">
        <v>569</v>
      </c>
      <c r="B478" s="114">
        <v>50</v>
      </c>
    </row>
    <row r="479" spans="1:2">
      <c r="A479" s="122" t="s">
        <v>1761</v>
      </c>
      <c r="B479" s="114">
        <v>82</v>
      </c>
    </row>
    <row r="480" spans="1:2">
      <c r="A480" s="122" t="s">
        <v>1762</v>
      </c>
      <c r="B480" s="114">
        <v>315</v>
      </c>
    </row>
    <row r="481" spans="1:2">
      <c r="A481" s="122" t="s">
        <v>1410</v>
      </c>
      <c r="B481" s="114">
        <v>162</v>
      </c>
    </row>
    <row r="482" spans="1:2">
      <c r="A482" s="122" t="s">
        <v>2104</v>
      </c>
      <c r="B482" s="114">
        <v>106</v>
      </c>
    </row>
    <row r="483" spans="1:2">
      <c r="A483" s="122" t="s">
        <v>1411</v>
      </c>
      <c r="B483" s="114">
        <v>89</v>
      </c>
    </row>
    <row r="484" spans="1:2">
      <c r="A484" s="122" t="s">
        <v>1412</v>
      </c>
      <c r="B484" s="114">
        <v>118</v>
      </c>
    </row>
    <row r="485" spans="1:2">
      <c r="A485" s="122" t="s">
        <v>1413</v>
      </c>
      <c r="B485" s="114">
        <v>259</v>
      </c>
    </row>
    <row r="486" spans="1:2">
      <c r="A486" s="122" t="s">
        <v>1991</v>
      </c>
      <c r="B486" s="114">
        <v>115</v>
      </c>
    </row>
    <row r="487" spans="1:2">
      <c r="A487" s="122" t="s">
        <v>1709</v>
      </c>
      <c r="B487" s="114">
        <v>111</v>
      </c>
    </row>
    <row r="488" spans="1:2">
      <c r="A488" s="122" t="s">
        <v>208</v>
      </c>
      <c r="B488" s="114">
        <v>255</v>
      </c>
    </row>
    <row r="489" spans="1:2">
      <c r="A489" s="122" t="s">
        <v>1687</v>
      </c>
      <c r="B489" s="114">
        <v>70</v>
      </c>
    </row>
    <row r="490" spans="1:2">
      <c r="A490" s="122" t="s">
        <v>209</v>
      </c>
      <c r="B490" s="114">
        <v>103</v>
      </c>
    </row>
    <row r="491" spans="1:2">
      <c r="A491" s="122" t="s">
        <v>2217</v>
      </c>
      <c r="B491" s="114">
        <v>68</v>
      </c>
    </row>
    <row r="492" spans="1:2">
      <c r="A492" s="122" t="s">
        <v>210</v>
      </c>
      <c r="B492" s="114">
        <v>123</v>
      </c>
    </row>
    <row r="493" spans="1:2">
      <c r="A493" s="122" t="s">
        <v>211</v>
      </c>
      <c r="B493" s="114">
        <v>61</v>
      </c>
    </row>
    <row r="494" spans="1:2">
      <c r="A494" s="122" t="s">
        <v>1688</v>
      </c>
      <c r="B494" s="114">
        <v>120</v>
      </c>
    </row>
    <row r="495" spans="1:2">
      <c r="A495" s="122" t="s">
        <v>1601</v>
      </c>
      <c r="B495" s="114">
        <v>200</v>
      </c>
    </row>
    <row r="496" spans="1:2">
      <c r="A496" s="122" t="s">
        <v>1432</v>
      </c>
      <c r="B496" s="114">
        <v>222</v>
      </c>
    </row>
    <row r="497" spans="1:2">
      <c r="A497" s="122" t="s">
        <v>1104</v>
      </c>
      <c r="B497" s="114">
        <v>333</v>
      </c>
    </row>
    <row r="498" spans="1:2">
      <c r="A498" s="122" t="s">
        <v>1105</v>
      </c>
      <c r="B498" s="114">
        <v>103</v>
      </c>
    </row>
    <row r="499" spans="1:2">
      <c r="A499" s="122" t="s">
        <v>1011</v>
      </c>
      <c r="B499" s="114">
        <v>354</v>
      </c>
    </row>
    <row r="500" spans="1:2">
      <c r="A500" s="122" t="s">
        <v>2036</v>
      </c>
      <c r="B500" s="114">
        <v>244</v>
      </c>
    </row>
    <row r="501" spans="1:2">
      <c r="A501" s="122" t="s">
        <v>3076</v>
      </c>
      <c r="B501" s="114">
        <v>304</v>
      </c>
    </row>
    <row r="502" spans="1:2">
      <c r="A502" s="122" t="s">
        <v>3077</v>
      </c>
      <c r="B502" s="114">
        <v>211</v>
      </c>
    </row>
    <row r="503" spans="1:2">
      <c r="A503" s="122" t="s">
        <v>1507</v>
      </c>
      <c r="B503" s="134">
        <v>1733</v>
      </c>
    </row>
    <row r="504" spans="1:2">
      <c r="A504" s="122" t="s">
        <v>2492</v>
      </c>
      <c r="B504" s="134">
        <v>1179</v>
      </c>
    </row>
    <row r="505" spans="1:2">
      <c r="A505" s="122" t="s">
        <v>1271</v>
      </c>
      <c r="B505" s="114">
        <v>621</v>
      </c>
    </row>
    <row r="506" spans="1:2">
      <c r="A506" s="122" t="s">
        <v>2155</v>
      </c>
      <c r="B506" s="114">
        <v>71</v>
      </c>
    </row>
    <row r="507" spans="1:2">
      <c r="A507" s="122" t="s">
        <v>1272</v>
      </c>
      <c r="B507" s="114">
        <v>70</v>
      </c>
    </row>
    <row r="508" spans="1:2">
      <c r="A508" s="122" t="s">
        <v>1618</v>
      </c>
      <c r="B508" s="114">
        <v>116</v>
      </c>
    </row>
    <row r="509" spans="1:2">
      <c r="A509" s="122" t="s">
        <v>1209</v>
      </c>
      <c r="B509" s="114">
        <v>139</v>
      </c>
    </row>
    <row r="510" spans="1:2">
      <c r="A510" s="122" t="s">
        <v>2218</v>
      </c>
      <c r="B510" s="114">
        <v>97</v>
      </c>
    </row>
    <row r="511" spans="1:2">
      <c r="A511" s="122" t="s">
        <v>1781</v>
      </c>
      <c r="B511" s="114">
        <v>152</v>
      </c>
    </row>
    <row r="512" spans="1:2">
      <c r="A512" s="122" t="s">
        <v>273</v>
      </c>
      <c r="B512" s="114">
        <v>86</v>
      </c>
    </row>
    <row r="513" spans="1:2">
      <c r="A513" s="122" t="s">
        <v>1210</v>
      </c>
      <c r="B513" s="114">
        <v>46</v>
      </c>
    </row>
    <row r="514" spans="1:2">
      <c r="A514" s="122" t="s">
        <v>987</v>
      </c>
      <c r="B514" s="114">
        <v>61</v>
      </c>
    </row>
    <row r="515" spans="1:2">
      <c r="A515" s="122" t="s">
        <v>2105</v>
      </c>
      <c r="B515" s="114">
        <v>8</v>
      </c>
    </row>
    <row r="516" spans="1:2">
      <c r="A516" s="122" t="s">
        <v>1211</v>
      </c>
      <c r="B516" s="114">
        <v>52</v>
      </c>
    </row>
    <row r="517" spans="1:2">
      <c r="A517" s="122" t="s">
        <v>2454</v>
      </c>
      <c r="B517" s="114">
        <v>33</v>
      </c>
    </row>
    <row r="518" spans="1:2">
      <c r="A518" s="122" t="s">
        <v>2455</v>
      </c>
      <c r="B518" s="114">
        <v>346</v>
      </c>
    </row>
    <row r="519" spans="1:2">
      <c r="A519" s="122" t="s">
        <v>1428</v>
      </c>
      <c r="B519" s="114">
        <v>166</v>
      </c>
    </row>
    <row r="520" spans="1:2">
      <c r="A520" s="122" t="s">
        <v>1429</v>
      </c>
      <c r="B520" s="134">
        <v>1052</v>
      </c>
    </row>
    <row r="521" spans="1:2">
      <c r="A521" s="122" t="s">
        <v>1039</v>
      </c>
      <c r="B521" s="114">
        <v>185</v>
      </c>
    </row>
    <row r="522" spans="1:2">
      <c r="A522" s="122" t="s">
        <v>1040</v>
      </c>
      <c r="B522" s="114">
        <v>588</v>
      </c>
    </row>
    <row r="523" spans="1:2">
      <c r="A523" s="122" t="s">
        <v>1041</v>
      </c>
      <c r="B523" s="114">
        <v>170</v>
      </c>
    </row>
    <row r="524" spans="1:2">
      <c r="A524" s="122" t="s">
        <v>1042</v>
      </c>
      <c r="B524" s="114">
        <v>381</v>
      </c>
    </row>
    <row r="525" spans="1:2">
      <c r="A525" s="122" t="s">
        <v>2972</v>
      </c>
      <c r="B525" s="114">
        <v>154</v>
      </c>
    </row>
    <row r="526" spans="1:2">
      <c r="A526" s="122" t="s">
        <v>544</v>
      </c>
      <c r="B526" s="114">
        <v>300</v>
      </c>
    </row>
    <row r="527" spans="1:2">
      <c r="A527" s="122" t="s">
        <v>3042</v>
      </c>
      <c r="B527" s="114">
        <v>156</v>
      </c>
    </row>
    <row r="528" spans="1:2">
      <c r="A528" s="122" t="s">
        <v>995</v>
      </c>
      <c r="B528" s="114">
        <v>251</v>
      </c>
    </row>
    <row r="529" spans="1:2">
      <c r="A529" s="122" t="s">
        <v>51</v>
      </c>
      <c r="B529" s="114">
        <v>400</v>
      </c>
    </row>
    <row r="530" spans="1:2">
      <c r="A530" s="122" t="s">
        <v>61</v>
      </c>
      <c r="B530" s="114">
        <v>239</v>
      </c>
    </row>
    <row r="531" spans="1:2">
      <c r="A531" s="122" t="s">
        <v>3043</v>
      </c>
      <c r="B531" s="114">
        <v>26</v>
      </c>
    </row>
    <row r="532" spans="1:2">
      <c r="A532" s="122" t="s">
        <v>3044</v>
      </c>
      <c r="B532" s="134">
        <v>1439</v>
      </c>
    </row>
    <row r="533" spans="1:2">
      <c r="A533" s="122" t="s">
        <v>3045</v>
      </c>
      <c r="B533" s="114">
        <v>819</v>
      </c>
    </row>
    <row r="534" spans="1:2">
      <c r="A534" s="122" t="s">
        <v>2905</v>
      </c>
      <c r="B534" s="114">
        <v>18</v>
      </c>
    </row>
    <row r="535" spans="1:2">
      <c r="A535" s="122" t="s">
        <v>2615</v>
      </c>
      <c r="B535" s="114">
        <v>71</v>
      </c>
    </row>
    <row r="536" spans="1:2">
      <c r="A536" s="122" t="s">
        <v>2616</v>
      </c>
      <c r="B536" s="114">
        <v>21</v>
      </c>
    </row>
    <row r="537" spans="1:2">
      <c r="A537" s="122" t="s">
        <v>1501</v>
      </c>
      <c r="B537" s="114">
        <v>183</v>
      </c>
    </row>
    <row r="538" spans="1:2">
      <c r="A538" s="122" t="s">
        <v>1502</v>
      </c>
      <c r="B538" s="114">
        <v>611</v>
      </c>
    </row>
    <row r="539" spans="1:2">
      <c r="A539" s="122" t="s">
        <v>1484</v>
      </c>
      <c r="B539" s="114">
        <v>273</v>
      </c>
    </row>
    <row r="540" spans="1:2">
      <c r="A540" s="122" t="s">
        <v>1503</v>
      </c>
      <c r="B540" s="134">
        <v>1137</v>
      </c>
    </row>
    <row r="541" spans="1:2">
      <c r="A541" s="122" t="s">
        <v>2299</v>
      </c>
      <c r="B541" s="114">
        <v>306</v>
      </c>
    </row>
    <row r="542" spans="1:2">
      <c r="A542" s="122" t="s">
        <v>2652</v>
      </c>
      <c r="B542" s="114">
        <v>139</v>
      </c>
    </row>
    <row r="543" spans="1:2">
      <c r="A543" s="122" t="s">
        <v>1593</v>
      </c>
      <c r="B543" s="114">
        <v>180</v>
      </c>
    </row>
    <row r="544" spans="1:2">
      <c r="A544" s="122" t="s">
        <v>244</v>
      </c>
      <c r="B544" s="114">
        <v>157</v>
      </c>
    </row>
    <row r="545" spans="1:2">
      <c r="A545" s="122" t="s">
        <v>1504</v>
      </c>
      <c r="B545" s="114">
        <v>47</v>
      </c>
    </row>
    <row r="546" spans="1:2">
      <c r="A546" s="122" t="s">
        <v>223</v>
      </c>
      <c r="B546" s="114">
        <v>98</v>
      </c>
    </row>
    <row r="547" spans="1:2">
      <c r="A547" s="122" t="s">
        <v>2153</v>
      </c>
      <c r="B547" s="114">
        <v>50</v>
      </c>
    </row>
    <row r="548" spans="1:2">
      <c r="A548" s="122" t="s">
        <v>627</v>
      </c>
      <c r="B548" s="114">
        <v>195</v>
      </c>
    </row>
    <row r="549" spans="1:2">
      <c r="A549" s="122" t="s">
        <v>2037</v>
      </c>
      <c r="B549" s="114">
        <v>79</v>
      </c>
    </row>
    <row r="550" spans="1:2">
      <c r="A550" s="122" t="s">
        <v>52</v>
      </c>
      <c r="B550" s="114">
        <v>77</v>
      </c>
    </row>
    <row r="551" spans="1:2">
      <c r="A551" s="122" t="s">
        <v>1505</v>
      </c>
      <c r="B551" s="114">
        <v>5</v>
      </c>
    </row>
    <row r="552" spans="1:2">
      <c r="A552" s="122" t="s">
        <v>2653</v>
      </c>
      <c r="B552" s="114">
        <v>76</v>
      </c>
    </row>
    <row r="553" spans="1:2">
      <c r="A553" s="122" t="s">
        <v>283</v>
      </c>
      <c r="B553" s="114">
        <v>34</v>
      </c>
    </row>
    <row r="554" spans="1:2">
      <c r="A554" s="122" t="s">
        <v>1435</v>
      </c>
      <c r="B554" s="114">
        <v>126</v>
      </c>
    </row>
    <row r="555" spans="1:2">
      <c r="A555" s="122" t="s">
        <v>2400</v>
      </c>
      <c r="B555" s="114">
        <v>260</v>
      </c>
    </row>
    <row r="556" spans="1:2">
      <c r="A556" s="122" t="s">
        <v>1506</v>
      </c>
      <c r="B556" s="114">
        <v>259</v>
      </c>
    </row>
    <row r="557" spans="1:2">
      <c r="A557" s="122" t="s">
        <v>2128</v>
      </c>
      <c r="B557" s="114">
        <v>121</v>
      </c>
    </row>
    <row r="558" spans="1:2">
      <c r="A558" s="122" t="s">
        <v>2870</v>
      </c>
      <c r="B558" s="114">
        <v>236</v>
      </c>
    </row>
    <row r="559" spans="1:2">
      <c r="A559" s="122" t="s">
        <v>288</v>
      </c>
      <c r="B559" s="114">
        <v>144</v>
      </c>
    </row>
    <row r="560" spans="1:2">
      <c r="A560" s="122" t="s">
        <v>54</v>
      </c>
      <c r="B560" s="114">
        <v>362</v>
      </c>
    </row>
    <row r="561" spans="1:2">
      <c r="A561" s="122" t="s">
        <v>2871</v>
      </c>
      <c r="B561" s="114">
        <v>139</v>
      </c>
    </row>
    <row r="562" spans="1:2">
      <c r="A562" s="122" t="s">
        <v>1317</v>
      </c>
      <c r="B562" s="114">
        <v>91</v>
      </c>
    </row>
    <row r="563" spans="1:2">
      <c r="A563" s="122" t="s">
        <v>1899</v>
      </c>
      <c r="B563" s="114">
        <v>132</v>
      </c>
    </row>
    <row r="564" spans="1:2">
      <c r="A564" s="122" t="s">
        <v>2757</v>
      </c>
      <c r="B564" s="114">
        <v>84</v>
      </c>
    </row>
    <row r="565" spans="1:2">
      <c r="A565" s="122" t="s">
        <v>1515</v>
      </c>
      <c r="B565" s="114">
        <v>80</v>
      </c>
    </row>
    <row r="566" spans="1:2">
      <c r="A566" s="122" t="s">
        <v>56</v>
      </c>
      <c r="B566" s="114">
        <v>167</v>
      </c>
    </row>
    <row r="567" spans="1:2">
      <c r="A567" s="122" t="s">
        <v>58</v>
      </c>
      <c r="B567" s="114">
        <v>171</v>
      </c>
    </row>
    <row r="568" spans="1:2">
      <c r="A568" s="122" t="s">
        <v>2923</v>
      </c>
      <c r="B568" s="114">
        <v>87</v>
      </c>
    </row>
    <row r="569" spans="1:2">
      <c r="A569" s="122" t="s">
        <v>2924</v>
      </c>
      <c r="B569" s="114">
        <v>175</v>
      </c>
    </row>
    <row r="570" spans="1:2">
      <c r="A570" s="122" t="s">
        <v>536</v>
      </c>
      <c r="B570" s="114">
        <v>86</v>
      </c>
    </row>
    <row r="571" spans="1:2">
      <c r="A571" s="122" t="s">
        <v>2925</v>
      </c>
      <c r="B571" s="114">
        <v>308</v>
      </c>
    </row>
    <row r="572" spans="1:2">
      <c r="A572" s="122" t="s">
        <v>1732</v>
      </c>
      <c r="B572" s="114">
        <v>349</v>
      </c>
    </row>
    <row r="573" spans="1:2">
      <c r="A573" s="122" t="s">
        <v>3088</v>
      </c>
      <c r="B573" s="134">
        <v>2267</v>
      </c>
    </row>
    <row r="574" spans="1:2">
      <c r="A574" s="122" t="s">
        <v>2649</v>
      </c>
      <c r="B574" s="114">
        <v>784</v>
      </c>
    </row>
    <row r="575" spans="1:2">
      <c r="A575" s="122" t="s">
        <v>1734</v>
      </c>
      <c r="B575" s="114">
        <v>85</v>
      </c>
    </row>
    <row r="576" spans="1:2">
      <c r="A576" s="122" t="s">
        <v>2913</v>
      </c>
      <c r="B576" s="114">
        <v>201</v>
      </c>
    </row>
    <row r="577" spans="1:2">
      <c r="A577" s="122" t="s">
        <v>2914</v>
      </c>
      <c r="B577" s="114">
        <v>162</v>
      </c>
    </row>
    <row r="578" spans="1:2">
      <c r="A578" s="122" t="s">
        <v>529</v>
      </c>
      <c r="B578" s="114">
        <v>228</v>
      </c>
    </row>
    <row r="579" spans="1:2">
      <c r="A579" s="122" t="s">
        <v>2601</v>
      </c>
      <c r="B579" s="114">
        <v>300</v>
      </c>
    </row>
    <row r="580" spans="1:2">
      <c r="A580" s="122" t="s">
        <v>2602</v>
      </c>
      <c r="B580" s="134">
        <v>1105</v>
      </c>
    </row>
    <row r="581" spans="1:2">
      <c r="A581" s="122" t="s">
        <v>1727</v>
      </c>
      <c r="B581" s="114">
        <v>871</v>
      </c>
    </row>
    <row r="582" spans="1:2">
      <c r="A582" s="122" t="s">
        <v>1728</v>
      </c>
      <c r="B582" s="134">
        <v>1363</v>
      </c>
    </row>
    <row r="583" spans="1:2">
      <c r="A583" s="122" t="s">
        <v>2872</v>
      </c>
      <c r="B583" s="114">
        <v>105</v>
      </c>
    </row>
    <row r="584" spans="1:2">
      <c r="A584" s="122" t="s">
        <v>429</v>
      </c>
      <c r="B584" s="114">
        <v>83</v>
      </c>
    </row>
    <row r="585" spans="1:2">
      <c r="A585" s="122" t="s">
        <v>430</v>
      </c>
      <c r="B585" s="114">
        <v>856</v>
      </c>
    </row>
    <row r="586" spans="1:2">
      <c r="A586" s="122" t="s">
        <v>431</v>
      </c>
      <c r="B586" s="114">
        <v>197</v>
      </c>
    </row>
    <row r="587" spans="1:2">
      <c r="A587" s="122" t="s">
        <v>2873</v>
      </c>
      <c r="B587" s="114">
        <v>144</v>
      </c>
    </row>
    <row r="588" spans="1:2">
      <c r="A588" s="122" t="s">
        <v>270</v>
      </c>
      <c r="B588" s="114">
        <v>195</v>
      </c>
    </row>
    <row r="589" spans="1:2">
      <c r="A589" s="122" t="s">
        <v>271</v>
      </c>
      <c r="B589" s="114">
        <v>407</v>
      </c>
    </row>
    <row r="590" spans="1:2">
      <c r="A590" s="122" t="s">
        <v>272</v>
      </c>
      <c r="B590" s="114">
        <v>211</v>
      </c>
    </row>
    <row r="591" spans="1:2">
      <c r="A591" s="122" t="s">
        <v>2654</v>
      </c>
      <c r="B591" s="114">
        <v>94</v>
      </c>
    </row>
    <row r="592" spans="1:2">
      <c r="A592" s="122" t="s">
        <v>2303</v>
      </c>
      <c r="B592" s="114">
        <v>22</v>
      </c>
    </row>
    <row r="593" spans="1:2">
      <c r="A593" s="122" t="s">
        <v>2370</v>
      </c>
      <c r="B593" s="114">
        <v>405</v>
      </c>
    </row>
    <row r="594" spans="1:2">
      <c r="A594" s="122" t="s">
        <v>2874</v>
      </c>
      <c r="B594" s="114">
        <v>236</v>
      </c>
    </row>
    <row r="595" spans="1:2">
      <c r="A595" s="122" t="s">
        <v>1754</v>
      </c>
      <c r="B595" s="114">
        <v>109</v>
      </c>
    </row>
    <row r="596" spans="1:2">
      <c r="A596" s="122" t="s">
        <v>1755</v>
      </c>
      <c r="B596" s="114">
        <v>216</v>
      </c>
    </row>
    <row r="597" spans="1:2">
      <c r="A597" s="122" t="s">
        <v>1592</v>
      </c>
      <c r="B597" s="114">
        <v>301</v>
      </c>
    </row>
    <row r="598" spans="1:2">
      <c r="A598" s="122" t="s">
        <v>2461</v>
      </c>
      <c r="B598" s="114">
        <v>79</v>
      </c>
    </row>
    <row r="599" spans="1:2">
      <c r="A599" s="122" t="s">
        <v>2584</v>
      </c>
      <c r="B599" s="114">
        <v>197</v>
      </c>
    </row>
    <row r="600" spans="1:2">
      <c r="A600" s="122" t="s">
        <v>2585</v>
      </c>
      <c r="B600" s="114">
        <v>580</v>
      </c>
    </row>
    <row r="601" spans="1:2">
      <c r="A601" s="122" t="s">
        <v>2586</v>
      </c>
      <c r="B601" s="114">
        <v>597</v>
      </c>
    </row>
    <row r="602" spans="1:2">
      <c r="A602" s="122" t="s">
        <v>2587</v>
      </c>
      <c r="B602" s="114">
        <v>242</v>
      </c>
    </row>
    <row r="603" spans="1:2">
      <c r="A603" s="122" t="s">
        <v>2755</v>
      </c>
      <c r="B603" s="134">
        <v>1404</v>
      </c>
    </row>
    <row r="604" spans="1:2">
      <c r="A604" s="122" t="s">
        <v>2588</v>
      </c>
      <c r="B604" s="114">
        <v>502</v>
      </c>
    </row>
    <row r="605" spans="1:2">
      <c r="A605" s="122" t="s">
        <v>2589</v>
      </c>
      <c r="B605" s="114">
        <v>113</v>
      </c>
    </row>
    <row r="606" spans="1:2">
      <c r="A606" s="122" t="s">
        <v>2590</v>
      </c>
      <c r="B606" s="114">
        <v>112</v>
      </c>
    </row>
    <row r="607" spans="1:2">
      <c r="A607" s="122" t="s">
        <v>2591</v>
      </c>
      <c r="B607" s="114">
        <v>32</v>
      </c>
    </row>
    <row r="608" spans="1:2">
      <c r="A608" s="122" t="s">
        <v>2592</v>
      </c>
      <c r="B608" s="114">
        <v>62</v>
      </c>
    </row>
    <row r="609" spans="1:2">
      <c r="A609" s="122" t="s">
        <v>2981</v>
      </c>
      <c r="B609" s="114">
        <v>168</v>
      </c>
    </row>
    <row r="610" spans="1:2">
      <c r="A610" s="122" t="s">
        <v>2982</v>
      </c>
      <c r="B610" s="114">
        <v>255</v>
      </c>
    </row>
    <row r="611" spans="1:2">
      <c r="A611" s="122" t="s">
        <v>2983</v>
      </c>
      <c r="B611" s="114">
        <v>291</v>
      </c>
    </row>
    <row r="612" spans="1:2">
      <c r="A612" s="122" t="s">
        <v>2984</v>
      </c>
      <c r="B612" s="114">
        <v>98</v>
      </c>
    </row>
    <row r="613" spans="1:2">
      <c r="A613" s="122" t="s">
        <v>2985</v>
      </c>
      <c r="B613" s="114">
        <v>164</v>
      </c>
    </row>
    <row r="614" spans="1:2">
      <c r="A614" s="122" t="s">
        <v>1561</v>
      </c>
      <c r="B614" s="114">
        <v>360</v>
      </c>
    </row>
    <row r="615" spans="1:2">
      <c r="A615" s="122" t="s">
        <v>1562</v>
      </c>
      <c r="B615" s="114">
        <v>177</v>
      </c>
    </row>
    <row r="616" spans="1:2">
      <c r="A616" s="122" t="s">
        <v>2783</v>
      </c>
      <c r="B616" s="114">
        <v>257</v>
      </c>
    </row>
    <row r="617" spans="1:2">
      <c r="A617" s="122" t="s">
        <v>2421</v>
      </c>
      <c r="B617" s="114">
        <v>308</v>
      </c>
    </row>
    <row r="618" spans="1:2">
      <c r="A618" s="122" t="s">
        <v>3029</v>
      </c>
      <c r="B618" s="114">
        <v>147</v>
      </c>
    </row>
    <row r="619" spans="1:2">
      <c r="A619" s="122" t="s">
        <v>2762</v>
      </c>
      <c r="B619" s="114">
        <v>266</v>
      </c>
    </row>
    <row r="620" spans="1:2">
      <c r="A620" s="122" t="s">
        <v>2422</v>
      </c>
      <c r="B620" s="114">
        <v>158</v>
      </c>
    </row>
    <row r="621" spans="1:2">
      <c r="A621" s="122" t="s">
        <v>2875</v>
      </c>
      <c r="B621" s="114">
        <v>209</v>
      </c>
    </row>
    <row r="622" spans="1:2">
      <c r="A622" s="122" t="s">
        <v>1277</v>
      </c>
      <c r="B622" s="114">
        <v>90</v>
      </c>
    </row>
    <row r="623" spans="1:2">
      <c r="A623" s="122" t="s">
        <v>2423</v>
      </c>
      <c r="B623" s="114">
        <v>129</v>
      </c>
    </row>
    <row r="624" spans="1:2">
      <c r="A624" s="122" t="s">
        <v>2424</v>
      </c>
      <c r="B624" s="114">
        <v>224</v>
      </c>
    </row>
    <row r="625" spans="1:2">
      <c r="A625" s="122" t="s">
        <v>1093</v>
      </c>
      <c r="B625" s="114">
        <v>146</v>
      </c>
    </row>
    <row r="626" spans="1:2">
      <c r="A626" s="122" t="s">
        <v>1513</v>
      </c>
      <c r="B626" s="114">
        <v>497</v>
      </c>
    </row>
    <row r="627" spans="1:2">
      <c r="A627" s="122" t="s">
        <v>1902</v>
      </c>
      <c r="B627" s="114">
        <v>182</v>
      </c>
    </row>
    <row r="628" spans="1:2">
      <c r="A628" s="122" t="s">
        <v>1903</v>
      </c>
      <c r="B628" s="114">
        <v>302</v>
      </c>
    </row>
    <row r="629" spans="1:2">
      <c r="A629" s="122" t="s">
        <v>2926</v>
      </c>
      <c r="B629" s="114">
        <v>258</v>
      </c>
    </row>
    <row r="630" spans="1:2">
      <c r="A630" s="122" t="s">
        <v>2927</v>
      </c>
      <c r="B630" s="114">
        <v>233</v>
      </c>
    </row>
    <row r="631" spans="1:2">
      <c r="A631" s="122" t="s">
        <v>3056</v>
      </c>
      <c r="B631" s="114">
        <v>189</v>
      </c>
    </row>
    <row r="632" spans="1:2">
      <c r="A632" s="122" t="s">
        <v>947</v>
      </c>
      <c r="B632" s="114">
        <v>611</v>
      </c>
    </row>
    <row r="633" spans="1:2">
      <c r="A633" s="122" t="s">
        <v>95</v>
      </c>
      <c r="B633" s="114">
        <v>405</v>
      </c>
    </row>
    <row r="634" spans="1:2">
      <c r="A634" s="122" t="s">
        <v>96</v>
      </c>
      <c r="B634" s="114">
        <v>908</v>
      </c>
    </row>
    <row r="635" spans="1:2">
      <c r="A635" s="122" t="s">
        <v>2607</v>
      </c>
      <c r="B635" s="114">
        <v>87</v>
      </c>
    </row>
    <row r="636" spans="1:2">
      <c r="A636" s="122" t="s">
        <v>2764</v>
      </c>
      <c r="B636" s="114">
        <v>120</v>
      </c>
    </row>
    <row r="637" spans="1:2">
      <c r="A637" s="122" t="s">
        <v>2765</v>
      </c>
      <c r="B637" s="114">
        <v>89</v>
      </c>
    </row>
    <row r="638" spans="1:2">
      <c r="A638" s="122" t="s">
        <v>2414</v>
      </c>
      <c r="B638" s="114">
        <v>118</v>
      </c>
    </row>
    <row r="639" spans="1:2">
      <c r="A639" s="122" t="s">
        <v>1603</v>
      </c>
      <c r="B639" s="114">
        <v>122</v>
      </c>
    </row>
    <row r="640" spans="1:2">
      <c r="A640" s="122" t="s">
        <v>2766</v>
      </c>
      <c r="B640" s="114">
        <v>108</v>
      </c>
    </row>
    <row r="641" spans="1:2">
      <c r="A641" s="122" t="s">
        <v>538</v>
      </c>
      <c r="B641" s="114">
        <v>75</v>
      </c>
    </row>
    <row r="642" spans="1:2">
      <c r="A642" s="122" t="s">
        <v>775</v>
      </c>
      <c r="B642" s="114">
        <v>122</v>
      </c>
    </row>
    <row r="643" spans="1:2">
      <c r="A643" s="122" t="s">
        <v>2679</v>
      </c>
      <c r="B643" s="114">
        <v>325</v>
      </c>
    </row>
    <row r="644" spans="1:2">
      <c r="A644" s="122" t="s">
        <v>2680</v>
      </c>
      <c r="B644" s="114">
        <v>365</v>
      </c>
    </row>
    <row r="645" spans="1:2">
      <c r="A645" s="122" t="s">
        <v>2681</v>
      </c>
      <c r="B645" s="114">
        <v>134</v>
      </c>
    </row>
    <row r="646" spans="1:2">
      <c r="A646" s="122" t="s">
        <v>1651</v>
      </c>
      <c r="B646" s="114">
        <v>138</v>
      </c>
    </row>
    <row r="647" spans="1:2">
      <c r="A647" s="122" t="s">
        <v>2389</v>
      </c>
      <c r="B647" s="114">
        <v>417</v>
      </c>
    </row>
    <row r="648" spans="1:2">
      <c r="A648" s="122" t="s">
        <v>1652</v>
      </c>
      <c r="B648" s="114">
        <v>88</v>
      </c>
    </row>
    <row r="649" spans="1:2">
      <c r="A649" s="122" t="s">
        <v>418</v>
      </c>
      <c r="B649" s="114">
        <v>405</v>
      </c>
    </row>
    <row r="650" spans="1:2">
      <c r="A650" s="122" t="s">
        <v>419</v>
      </c>
      <c r="B650" s="114">
        <v>350</v>
      </c>
    </row>
    <row r="651" spans="1:2">
      <c r="A651" s="122" t="s">
        <v>420</v>
      </c>
      <c r="B651" s="114">
        <v>294</v>
      </c>
    </row>
    <row r="652" spans="1:2">
      <c r="A652" s="122" t="s">
        <v>1856</v>
      </c>
      <c r="B652" s="134">
        <v>1003</v>
      </c>
    </row>
    <row r="653" spans="1:2">
      <c r="A653" s="122" t="s">
        <v>1857</v>
      </c>
      <c r="B653" s="114">
        <v>154</v>
      </c>
    </row>
    <row r="654" spans="1:2">
      <c r="A654" s="122" t="s">
        <v>201</v>
      </c>
      <c r="B654" s="114">
        <v>302</v>
      </c>
    </row>
    <row r="655" spans="1:2">
      <c r="A655" s="122" t="s">
        <v>2438</v>
      </c>
      <c r="B655" s="114">
        <v>198</v>
      </c>
    </row>
    <row r="656" spans="1:2">
      <c r="A656" s="122" t="s">
        <v>2439</v>
      </c>
      <c r="B656" s="114">
        <v>762</v>
      </c>
    </row>
    <row r="657" spans="1:2">
      <c r="A657" s="122" t="s">
        <v>2440</v>
      </c>
      <c r="B657" s="114">
        <v>657</v>
      </c>
    </row>
    <row r="658" spans="1:2">
      <c r="A658" s="122" t="s">
        <v>2057</v>
      </c>
      <c r="B658" s="134">
        <v>1297</v>
      </c>
    </row>
    <row r="659" spans="1:2">
      <c r="A659" s="122" t="s">
        <v>992</v>
      </c>
      <c r="B659" s="114">
        <v>691</v>
      </c>
    </row>
    <row r="660" spans="1:2">
      <c r="A660" s="122" t="s">
        <v>1583</v>
      </c>
      <c r="B660" s="114">
        <v>326</v>
      </c>
    </row>
    <row r="661" spans="1:2">
      <c r="A661" s="122" t="s">
        <v>2265</v>
      </c>
      <c r="B661" s="114">
        <v>172</v>
      </c>
    </row>
    <row r="662" spans="1:2">
      <c r="A662" s="122" t="s">
        <v>1094</v>
      </c>
      <c r="B662" s="114">
        <v>115</v>
      </c>
    </row>
    <row r="663" spans="1:2">
      <c r="A663" s="122" t="s">
        <v>1012</v>
      </c>
      <c r="B663" s="114">
        <v>90</v>
      </c>
    </row>
    <row r="664" spans="1:2">
      <c r="A664" s="122" t="s">
        <v>800</v>
      </c>
      <c r="B664" s="114">
        <v>31</v>
      </c>
    </row>
    <row r="665" spans="1:2">
      <c r="A665" s="122" t="s">
        <v>1095</v>
      </c>
      <c r="B665" s="114">
        <v>60</v>
      </c>
    </row>
    <row r="666" spans="1:2">
      <c r="A666" s="122" t="s">
        <v>2096</v>
      </c>
      <c r="B666" s="114">
        <v>148</v>
      </c>
    </row>
    <row r="667" spans="1:2">
      <c r="A667" s="122" t="s">
        <v>1735</v>
      </c>
      <c r="B667" s="114">
        <v>81</v>
      </c>
    </row>
    <row r="668" spans="1:2">
      <c r="A668" s="122" t="s">
        <v>134</v>
      </c>
      <c r="B668" s="114">
        <v>98</v>
      </c>
    </row>
    <row r="669" spans="1:2">
      <c r="A669" s="122" t="s">
        <v>2384</v>
      </c>
      <c r="B669" s="114">
        <v>54</v>
      </c>
    </row>
    <row r="670" spans="1:2">
      <c r="A670" s="122" t="s">
        <v>373</v>
      </c>
      <c r="B670" s="114">
        <v>60</v>
      </c>
    </row>
    <row r="671" spans="1:2">
      <c r="A671" s="122" t="s">
        <v>376</v>
      </c>
      <c r="B671" s="114">
        <v>130</v>
      </c>
    </row>
    <row r="672" spans="1:2">
      <c r="A672" s="122" t="s">
        <v>2819</v>
      </c>
      <c r="B672" s="114">
        <v>83</v>
      </c>
    </row>
    <row r="673" spans="1:2">
      <c r="A673" s="122" t="s">
        <v>2820</v>
      </c>
      <c r="B673" s="114">
        <v>69</v>
      </c>
    </row>
    <row r="674" spans="1:2">
      <c r="A674" s="122" t="s">
        <v>85</v>
      </c>
      <c r="B674" s="114">
        <v>76</v>
      </c>
    </row>
    <row r="675" spans="1:2">
      <c r="A675" s="122" t="s">
        <v>2638</v>
      </c>
      <c r="B675" s="114">
        <v>33</v>
      </c>
    </row>
    <row r="676" spans="1:2">
      <c r="A676" s="122" t="s">
        <v>190</v>
      </c>
      <c r="B676" s="114">
        <v>71</v>
      </c>
    </row>
    <row r="677" spans="1:2">
      <c r="A677" s="122" t="s">
        <v>991</v>
      </c>
      <c r="B677" s="114">
        <v>22</v>
      </c>
    </row>
    <row r="678" spans="1:2">
      <c r="A678" s="122" t="s">
        <v>2098</v>
      </c>
      <c r="B678" s="114">
        <v>33</v>
      </c>
    </row>
    <row r="679" spans="1:2">
      <c r="A679" s="122" t="s">
        <v>287</v>
      </c>
      <c r="B679" s="114">
        <v>20</v>
      </c>
    </row>
    <row r="680" spans="1:2">
      <c r="A680" s="122" t="s">
        <v>1782</v>
      </c>
      <c r="B680" s="134">
        <v>1205</v>
      </c>
    </row>
    <row r="681" spans="1:2">
      <c r="A681" s="122" t="s">
        <v>1296</v>
      </c>
      <c r="B681" s="114">
        <v>198</v>
      </c>
    </row>
    <row r="682" spans="1:2">
      <c r="A682" s="122" t="s">
        <v>2266</v>
      </c>
      <c r="B682" s="114">
        <v>390</v>
      </c>
    </row>
    <row r="683" spans="1:2">
      <c r="A683" s="122" t="s">
        <v>1036</v>
      </c>
      <c r="B683" s="114">
        <v>43</v>
      </c>
    </row>
    <row r="684" spans="1:2">
      <c r="A684" s="122" t="s">
        <v>199</v>
      </c>
      <c r="B684" s="114">
        <v>529</v>
      </c>
    </row>
    <row r="685" spans="1:2">
      <c r="A685" s="122" t="s">
        <v>2896</v>
      </c>
      <c r="B685" s="114">
        <v>294</v>
      </c>
    </row>
    <row r="686" spans="1:2">
      <c r="A686" s="122" t="s">
        <v>2978</v>
      </c>
      <c r="B686" s="114">
        <v>870</v>
      </c>
    </row>
    <row r="687" spans="1:2">
      <c r="A687" s="122" t="s">
        <v>2899</v>
      </c>
      <c r="B687" s="114">
        <v>751</v>
      </c>
    </row>
    <row r="688" spans="1:2">
      <c r="A688" s="122" t="s">
        <v>1475</v>
      </c>
      <c r="B688" s="114">
        <v>151</v>
      </c>
    </row>
    <row r="689" spans="1:2">
      <c r="A689" s="122" t="s">
        <v>2156</v>
      </c>
      <c r="B689" s="114">
        <v>320</v>
      </c>
    </row>
    <row r="690" spans="1:2">
      <c r="A690" s="122" t="s">
        <v>1536</v>
      </c>
      <c r="B690" s="114">
        <v>76</v>
      </c>
    </row>
    <row r="691" spans="1:2">
      <c r="A691" s="122" t="s">
        <v>2900</v>
      </c>
      <c r="B691" s="114">
        <v>139</v>
      </c>
    </row>
    <row r="692" spans="1:2">
      <c r="A692" s="122" t="s">
        <v>2513</v>
      </c>
      <c r="B692" s="114">
        <v>215</v>
      </c>
    </row>
    <row r="693" spans="1:2">
      <c r="A693" s="122" t="s">
        <v>1046</v>
      </c>
      <c r="B693" s="114">
        <v>130</v>
      </c>
    </row>
    <row r="694" spans="1:2">
      <c r="A694" s="122" t="s">
        <v>409</v>
      </c>
      <c r="B694" s="114">
        <v>50</v>
      </c>
    </row>
    <row r="695" spans="1:2">
      <c r="A695" s="122" t="s">
        <v>1436</v>
      </c>
      <c r="B695" s="114">
        <v>282</v>
      </c>
    </row>
    <row r="696" spans="1:2">
      <c r="A696" s="122" t="s">
        <v>3070</v>
      </c>
      <c r="B696" s="114">
        <v>257</v>
      </c>
    </row>
    <row r="697" spans="1:2">
      <c r="A697" s="122" t="s">
        <v>3071</v>
      </c>
      <c r="B697" s="114">
        <v>144</v>
      </c>
    </row>
    <row r="698" spans="1:2">
      <c r="A698" s="122" t="s">
        <v>2267</v>
      </c>
      <c r="B698" s="114">
        <v>97</v>
      </c>
    </row>
    <row r="699" spans="1:2">
      <c r="A699" s="122" t="s">
        <v>3072</v>
      </c>
      <c r="B699" s="114">
        <v>435</v>
      </c>
    </row>
    <row r="700" spans="1:2">
      <c r="A700" s="122" t="s">
        <v>3073</v>
      </c>
      <c r="B700" s="114">
        <v>165</v>
      </c>
    </row>
    <row r="701" spans="1:2">
      <c r="A701" s="122" t="s">
        <v>1676</v>
      </c>
      <c r="B701" s="114">
        <v>281</v>
      </c>
    </row>
    <row r="702" spans="1:2">
      <c r="A702" s="122" t="s">
        <v>1494</v>
      </c>
      <c r="B702" s="114">
        <v>285</v>
      </c>
    </row>
    <row r="703" spans="1:2">
      <c r="A703" s="122" t="s">
        <v>1612</v>
      </c>
      <c r="B703" s="114">
        <v>160</v>
      </c>
    </row>
    <row r="704" spans="1:2">
      <c r="A704" s="122" t="s">
        <v>910</v>
      </c>
      <c r="B704" s="114">
        <v>158</v>
      </c>
    </row>
    <row r="705" spans="1:2">
      <c r="A705" s="122" t="s">
        <v>1685</v>
      </c>
      <c r="B705" s="114">
        <v>25</v>
      </c>
    </row>
    <row r="706" spans="1:2">
      <c r="A706" s="122" t="s">
        <v>1686</v>
      </c>
      <c r="B706" s="114">
        <v>107</v>
      </c>
    </row>
    <row r="707" spans="1:2">
      <c r="A707" s="122" t="s">
        <v>1445</v>
      </c>
      <c r="B707" s="114">
        <v>125</v>
      </c>
    </row>
    <row r="708" spans="1:2">
      <c r="A708" s="122" t="s">
        <v>1724</v>
      </c>
      <c r="B708" s="114">
        <v>158</v>
      </c>
    </row>
    <row r="709" spans="1:2">
      <c r="A709" s="122" t="s">
        <v>2639</v>
      </c>
      <c r="B709" s="114">
        <v>333</v>
      </c>
    </row>
    <row r="710" spans="1:2">
      <c r="A710" s="122" t="s">
        <v>1725</v>
      </c>
      <c r="B710" s="114">
        <v>234</v>
      </c>
    </row>
    <row r="711" spans="1:2">
      <c r="A711" s="122" t="s">
        <v>1349</v>
      </c>
      <c r="B711" s="114">
        <v>158</v>
      </c>
    </row>
    <row r="712" spans="1:2">
      <c r="A712" s="122" t="s">
        <v>378</v>
      </c>
      <c r="B712" s="114">
        <v>160</v>
      </c>
    </row>
    <row r="713" spans="1:2">
      <c r="A713" s="122" t="s">
        <v>1701</v>
      </c>
      <c r="B713" s="114">
        <v>79</v>
      </c>
    </row>
    <row r="714" spans="1:2">
      <c r="A714" s="122" t="s">
        <v>801</v>
      </c>
      <c r="B714" s="114">
        <v>91</v>
      </c>
    </row>
    <row r="715" spans="1:2">
      <c r="A715" s="122" t="s">
        <v>2134</v>
      </c>
      <c r="B715" s="114">
        <v>761</v>
      </c>
    </row>
    <row r="716" spans="1:2">
      <c r="A716" s="122" t="s">
        <v>2135</v>
      </c>
      <c r="B716" s="114">
        <v>233</v>
      </c>
    </row>
    <row r="717" spans="1:2">
      <c r="A717" s="122" t="s">
        <v>2136</v>
      </c>
      <c r="B717" s="114">
        <v>134</v>
      </c>
    </row>
    <row r="718" spans="1:2">
      <c r="A718" s="122" t="s">
        <v>2137</v>
      </c>
      <c r="B718" s="114">
        <v>194</v>
      </c>
    </row>
    <row r="719" spans="1:2">
      <c r="A719" s="122" t="s">
        <v>2685</v>
      </c>
      <c r="B719" s="134">
        <v>1024</v>
      </c>
    </row>
    <row r="720" spans="1:2">
      <c r="A720" s="122" t="s">
        <v>802</v>
      </c>
      <c r="B720" s="114">
        <v>77</v>
      </c>
    </row>
    <row r="721" spans="1:2">
      <c r="A721" s="122" t="s">
        <v>570</v>
      </c>
      <c r="B721" s="114">
        <v>175</v>
      </c>
    </row>
    <row r="722" spans="1:2">
      <c r="A722" s="122" t="s">
        <v>803</v>
      </c>
      <c r="B722" s="114">
        <v>117</v>
      </c>
    </row>
    <row r="723" spans="1:2">
      <c r="A723" s="122" t="s">
        <v>571</v>
      </c>
      <c r="B723" s="114">
        <v>218</v>
      </c>
    </row>
    <row r="724" spans="1:2">
      <c r="A724" s="122" t="s">
        <v>410</v>
      </c>
      <c r="B724" s="114">
        <v>138</v>
      </c>
    </row>
    <row r="725" spans="1:2">
      <c r="A725" s="122" t="s">
        <v>572</v>
      </c>
      <c r="B725" s="114">
        <v>73</v>
      </c>
    </row>
    <row r="726" spans="1:2">
      <c r="A726" s="122" t="s">
        <v>573</v>
      </c>
      <c r="B726" s="114">
        <v>62</v>
      </c>
    </row>
    <row r="727" spans="1:2">
      <c r="A727" s="122" t="s">
        <v>877</v>
      </c>
      <c r="B727" s="114">
        <v>76</v>
      </c>
    </row>
    <row r="728" spans="1:2">
      <c r="A728" s="122" t="s">
        <v>574</v>
      </c>
      <c r="B728" s="114">
        <v>87</v>
      </c>
    </row>
    <row r="729" spans="1:2">
      <c r="A729" s="122" t="s">
        <v>575</v>
      </c>
      <c r="B729" s="114">
        <v>167</v>
      </c>
    </row>
    <row r="730" spans="1:2">
      <c r="A730" s="122" t="s">
        <v>2754</v>
      </c>
      <c r="B730" s="114">
        <v>226</v>
      </c>
    </row>
    <row r="731" spans="1:2">
      <c r="A731" s="122" t="s">
        <v>2761</v>
      </c>
      <c r="B731" s="114">
        <v>171</v>
      </c>
    </row>
    <row r="732" spans="1:2">
      <c r="A732" s="122" t="s">
        <v>20</v>
      </c>
      <c r="B732" s="114">
        <v>90</v>
      </c>
    </row>
    <row r="733" spans="1:2">
      <c r="A733" s="122" t="s">
        <v>804</v>
      </c>
      <c r="B733" s="114">
        <v>213</v>
      </c>
    </row>
    <row r="734" spans="1:2">
      <c r="A734" s="122" t="s">
        <v>21</v>
      </c>
      <c r="B734" s="114">
        <v>89</v>
      </c>
    </row>
    <row r="735" spans="1:2">
      <c r="A735" s="122" t="s">
        <v>2383</v>
      </c>
      <c r="B735" s="114">
        <v>63</v>
      </c>
    </row>
    <row r="736" spans="1:2">
      <c r="A736" s="122" t="s">
        <v>22</v>
      </c>
      <c r="B736" s="114">
        <v>330</v>
      </c>
    </row>
    <row r="737" spans="1:2">
      <c r="A737" s="122" t="s">
        <v>1159</v>
      </c>
      <c r="B737" s="114">
        <v>390</v>
      </c>
    </row>
    <row r="738" spans="1:2">
      <c r="A738" s="122" t="s">
        <v>2268</v>
      </c>
      <c r="B738" s="114">
        <v>172</v>
      </c>
    </row>
    <row r="739" spans="1:2">
      <c r="A739" s="122" t="s">
        <v>1736</v>
      </c>
      <c r="B739" s="114">
        <v>142</v>
      </c>
    </row>
    <row r="740" spans="1:2">
      <c r="A740" s="122" t="s">
        <v>2145</v>
      </c>
      <c r="B740" s="114">
        <v>289</v>
      </c>
    </row>
    <row r="741" spans="1:2">
      <c r="A741" s="122" t="s">
        <v>2637</v>
      </c>
      <c r="B741" s="114">
        <v>467</v>
      </c>
    </row>
    <row r="742" spans="1:2">
      <c r="A742" s="122" t="s">
        <v>464</v>
      </c>
      <c r="B742" s="114">
        <v>257</v>
      </c>
    </row>
    <row r="743" spans="1:2">
      <c r="A743" s="122" t="s">
        <v>2858</v>
      </c>
      <c r="B743" s="114">
        <v>92</v>
      </c>
    </row>
    <row r="744" spans="1:2">
      <c r="A744" s="122" t="s">
        <v>1337</v>
      </c>
      <c r="B744" s="114">
        <v>176</v>
      </c>
    </row>
    <row r="745" spans="1:2">
      <c r="A745" s="122" t="s">
        <v>1338</v>
      </c>
      <c r="B745" s="114">
        <v>31</v>
      </c>
    </row>
    <row r="746" spans="1:2">
      <c r="A746" s="122" t="s">
        <v>2753</v>
      </c>
      <c r="B746" s="114">
        <v>192</v>
      </c>
    </row>
    <row r="747" spans="1:2">
      <c r="A747" s="122" t="s">
        <v>619</v>
      </c>
      <c r="B747" s="114">
        <v>46</v>
      </c>
    </row>
    <row r="748" spans="1:2">
      <c r="A748" s="122" t="s">
        <v>632</v>
      </c>
      <c r="B748" s="114">
        <v>83</v>
      </c>
    </row>
    <row r="749" spans="1:2">
      <c r="A749" s="122" t="s">
        <v>633</v>
      </c>
      <c r="B749" s="114">
        <v>205</v>
      </c>
    </row>
    <row r="750" spans="1:2">
      <c r="A750" s="122" t="s">
        <v>191</v>
      </c>
      <c r="B750" s="114">
        <v>82</v>
      </c>
    </row>
    <row r="751" spans="1:2">
      <c r="A751" s="122" t="s">
        <v>869</v>
      </c>
      <c r="B751" s="114">
        <v>50</v>
      </c>
    </row>
    <row r="752" spans="1:2">
      <c r="A752" s="122" t="s">
        <v>1087</v>
      </c>
      <c r="B752" s="114">
        <v>124</v>
      </c>
    </row>
    <row r="753" spans="1:2">
      <c r="A753" s="122" t="s">
        <v>2452</v>
      </c>
      <c r="B753" s="114">
        <v>216</v>
      </c>
    </row>
    <row r="754" spans="1:2">
      <c r="A754" s="122" t="s">
        <v>2453</v>
      </c>
      <c r="B754" s="114">
        <v>45</v>
      </c>
    </row>
    <row r="755" spans="1:2">
      <c r="A755" s="122" t="s">
        <v>237</v>
      </c>
      <c r="B755" s="114">
        <v>792</v>
      </c>
    </row>
    <row r="756" spans="1:2">
      <c r="A756" s="122" t="s">
        <v>1097</v>
      </c>
      <c r="B756" s="114">
        <v>546</v>
      </c>
    </row>
    <row r="757" spans="1:2">
      <c r="A757" s="122" t="s">
        <v>1098</v>
      </c>
      <c r="B757" s="114">
        <v>661</v>
      </c>
    </row>
    <row r="758" spans="1:2">
      <c r="A758" s="122" t="s">
        <v>1099</v>
      </c>
      <c r="B758" s="114">
        <v>179</v>
      </c>
    </row>
    <row r="759" spans="1:2">
      <c r="A759" s="122" t="s">
        <v>2225</v>
      </c>
      <c r="B759" s="114">
        <v>68</v>
      </c>
    </row>
    <row r="760" spans="1:2">
      <c r="A760" s="122" t="s">
        <v>1100</v>
      </c>
      <c r="B760" s="114">
        <v>70</v>
      </c>
    </row>
    <row r="761" spans="1:2">
      <c r="A761" s="122" t="s">
        <v>1101</v>
      </c>
      <c r="B761" s="114">
        <v>35</v>
      </c>
    </row>
    <row r="762" spans="1:2">
      <c r="A762" s="122" t="s">
        <v>1655</v>
      </c>
      <c r="B762" s="114">
        <v>120</v>
      </c>
    </row>
    <row r="763" spans="1:2">
      <c r="A763" s="122" t="s">
        <v>1248</v>
      </c>
      <c r="B763" s="114">
        <v>102</v>
      </c>
    </row>
    <row r="764" spans="1:2">
      <c r="A764" s="122" t="s">
        <v>1249</v>
      </c>
      <c r="B764" s="114">
        <v>153</v>
      </c>
    </row>
    <row r="765" spans="1:2">
      <c r="A765" s="122" t="s">
        <v>1250</v>
      </c>
      <c r="B765" s="114">
        <v>238</v>
      </c>
    </row>
    <row r="766" spans="1:2">
      <c r="A766" s="122" t="s">
        <v>2902</v>
      </c>
      <c r="B766" s="114">
        <v>125</v>
      </c>
    </row>
    <row r="767" spans="1:2">
      <c r="A767" s="122" t="s">
        <v>1529</v>
      </c>
      <c r="B767" s="114">
        <v>212</v>
      </c>
    </row>
    <row r="768" spans="1:2">
      <c r="A768" s="122" t="s">
        <v>1530</v>
      </c>
      <c r="B768" s="114">
        <v>116</v>
      </c>
    </row>
    <row r="769" spans="1:2">
      <c r="A769" s="122" t="s">
        <v>1531</v>
      </c>
      <c r="B769" s="114">
        <v>177</v>
      </c>
    </row>
    <row r="770" spans="1:2">
      <c r="A770" s="122" t="s">
        <v>1532</v>
      </c>
      <c r="B770" s="114">
        <v>118</v>
      </c>
    </row>
    <row r="771" spans="1:2">
      <c r="A771" s="122" t="s">
        <v>1533</v>
      </c>
      <c r="B771" s="114">
        <v>544</v>
      </c>
    </row>
    <row r="772" spans="1:2">
      <c r="A772" s="122" t="s">
        <v>2974</v>
      </c>
      <c r="B772" s="114">
        <v>66</v>
      </c>
    </row>
    <row r="773" spans="1:2">
      <c r="A773" s="122" t="s">
        <v>805</v>
      </c>
      <c r="B773" s="114">
        <v>74</v>
      </c>
    </row>
    <row r="774" spans="1:2">
      <c r="A774" s="122" t="s">
        <v>1703</v>
      </c>
      <c r="B774" s="114">
        <v>103</v>
      </c>
    </row>
    <row r="775" spans="1:2">
      <c r="A775" s="122" t="s">
        <v>1656</v>
      </c>
      <c r="B775" s="114">
        <v>254</v>
      </c>
    </row>
    <row r="776" spans="1:2">
      <c r="A776" s="122" t="s">
        <v>2901</v>
      </c>
      <c r="B776" s="114">
        <v>99</v>
      </c>
    </row>
    <row r="777" spans="1:2">
      <c r="A777" s="122" t="s">
        <v>1563</v>
      </c>
      <c r="B777" s="114">
        <v>129</v>
      </c>
    </row>
    <row r="778" spans="1:2">
      <c r="A778" s="122" t="s">
        <v>236</v>
      </c>
      <c r="B778" s="114">
        <v>53</v>
      </c>
    </row>
    <row r="779" spans="1:2">
      <c r="A779" s="122" t="s">
        <v>2144</v>
      </c>
      <c r="B779" s="114">
        <v>88</v>
      </c>
    </row>
    <row r="780" spans="1:2">
      <c r="A780" s="122" t="s">
        <v>1834</v>
      </c>
      <c r="B780" s="114">
        <v>51</v>
      </c>
    </row>
    <row r="781" spans="1:2">
      <c r="A781" s="122" t="s">
        <v>1835</v>
      </c>
      <c r="B781" s="114">
        <v>217</v>
      </c>
    </row>
    <row r="782" spans="1:2">
      <c r="A782" s="122" t="s">
        <v>1836</v>
      </c>
      <c r="B782" s="114">
        <v>169</v>
      </c>
    </row>
    <row r="783" spans="1:2">
      <c r="A783" s="122" t="s">
        <v>1837</v>
      </c>
      <c r="B783" s="114">
        <v>339</v>
      </c>
    </row>
    <row r="784" spans="1:2">
      <c r="A784" s="122" t="s">
        <v>1838</v>
      </c>
      <c r="B784" s="114">
        <v>200</v>
      </c>
    </row>
    <row r="785" spans="1:2">
      <c r="A785" s="122" t="s">
        <v>2140</v>
      </c>
      <c r="B785" s="114">
        <v>913</v>
      </c>
    </row>
    <row r="786" spans="1:2">
      <c r="A786" s="122" t="s">
        <v>2625</v>
      </c>
      <c r="B786" s="134">
        <v>2995</v>
      </c>
    </row>
    <row r="787" spans="1:2">
      <c r="A787" s="122" t="s">
        <v>2614</v>
      </c>
      <c r="B787" s="114">
        <v>871</v>
      </c>
    </row>
    <row r="788" spans="1:2">
      <c r="A788" s="122" t="s">
        <v>1477</v>
      </c>
      <c r="B788" s="114">
        <v>205</v>
      </c>
    </row>
    <row r="789" spans="1:2">
      <c r="A789" s="122" t="s">
        <v>790</v>
      </c>
      <c r="B789" s="114">
        <v>38</v>
      </c>
    </row>
    <row r="790" spans="1:2">
      <c r="A790" s="122" t="s">
        <v>2917</v>
      </c>
      <c r="B790" s="114">
        <v>291</v>
      </c>
    </row>
    <row r="791" spans="1:2">
      <c r="A791" s="122" t="s">
        <v>791</v>
      </c>
      <c r="B791" s="114">
        <v>91</v>
      </c>
    </row>
    <row r="792" spans="1:2">
      <c r="A792" s="122" t="s">
        <v>1992</v>
      </c>
      <c r="B792" s="114">
        <v>328</v>
      </c>
    </row>
    <row r="793" spans="1:2">
      <c r="A793" s="122" t="s">
        <v>1380</v>
      </c>
      <c r="B793" s="114">
        <v>64</v>
      </c>
    </row>
    <row r="794" spans="1:2">
      <c r="A794" s="122" t="s">
        <v>1839</v>
      </c>
      <c r="B794" s="114">
        <v>74</v>
      </c>
    </row>
    <row r="795" spans="1:2">
      <c r="A795" s="122" t="s">
        <v>227</v>
      </c>
      <c r="B795" s="114">
        <v>157</v>
      </c>
    </row>
    <row r="796" spans="1:2">
      <c r="A796" s="122" t="s">
        <v>625</v>
      </c>
      <c r="B796" s="114">
        <v>189</v>
      </c>
    </row>
    <row r="797" spans="1:2">
      <c r="A797" s="122" t="s">
        <v>2496</v>
      </c>
      <c r="B797" s="114">
        <v>558</v>
      </c>
    </row>
    <row r="798" spans="1:2">
      <c r="A798" s="122" t="s">
        <v>1657</v>
      </c>
      <c r="B798" s="134">
        <v>2962</v>
      </c>
    </row>
    <row r="799" spans="1:2">
      <c r="A799" s="122" t="s">
        <v>245</v>
      </c>
      <c r="B799" s="114">
        <v>899</v>
      </c>
    </row>
    <row r="800" spans="1:2">
      <c r="A800" s="122" t="s">
        <v>1464</v>
      </c>
      <c r="B800" s="114">
        <v>235</v>
      </c>
    </row>
    <row r="801" spans="1:2">
      <c r="A801" s="122" t="s">
        <v>1465</v>
      </c>
      <c r="B801" s="114">
        <v>732</v>
      </c>
    </row>
    <row r="802" spans="1:2">
      <c r="A802" s="122" t="s">
        <v>2883</v>
      </c>
      <c r="B802" s="134">
        <v>1177</v>
      </c>
    </row>
    <row r="803" spans="1:2">
      <c r="A803" s="122" t="s">
        <v>896</v>
      </c>
      <c r="B803" s="114">
        <v>430</v>
      </c>
    </row>
    <row r="804" spans="1:2">
      <c r="A804" s="122" t="s">
        <v>135</v>
      </c>
      <c r="B804" s="114">
        <v>175</v>
      </c>
    </row>
    <row r="805" spans="1:2">
      <c r="A805" s="122" t="s">
        <v>3051</v>
      </c>
      <c r="B805" s="114">
        <v>260</v>
      </c>
    </row>
    <row r="806" spans="1:2">
      <c r="A806" s="122" t="s">
        <v>2597</v>
      </c>
      <c r="B806" s="114">
        <v>473</v>
      </c>
    </row>
    <row r="807" spans="1:2">
      <c r="A807" s="122" t="s">
        <v>411</v>
      </c>
      <c r="B807" s="114">
        <v>201</v>
      </c>
    </row>
    <row r="808" spans="1:2">
      <c r="A808" s="122" t="s">
        <v>1113</v>
      </c>
      <c r="B808" s="134">
        <v>2269</v>
      </c>
    </row>
    <row r="809" spans="1:2">
      <c r="A809" s="122" t="s">
        <v>1932</v>
      </c>
      <c r="B809" s="114">
        <v>529</v>
      </c>
    </row>
    <row r="810" spans="1:2">
      <c r="A810" s="122" t="s">
        <v>793</v>
      </c>
      <c r="B810" s="114">
        <v>253</v>
      </c>
    </row>
    <row r="811" spans="1:2">
      <c r="A811" s="122" t="s">
        <v>794</v>
      </c>
      <c r="B811" s="114">
        <v>217</v>
      </c>
    </row>
    <row r="812" spans="1:2">
      <c r="A812" s="122" t="s">
        <v>795</v>
      </c>
      <c r="B812" s="114">
        <v>394</v>
      </c>
    </row>
    <row r="813" spans="1:2">
      <c r="A813" s="122" t="s">
        <v>1644</v>
      </c>
      <c r="B813" s="114">
        <v>782</v>
      </c>
    </row>
    <row r="814" spans="1:2">
      <c r="A814" s="122" t="s">
        <v>1645</v>
      </c>
      <c r="B814" s="114">
        <v>181</v>
      </c>
    </row>
    <row r="815" spans="1:2">
      <c r="A815" s="122" t="s">
        <v>1646</v>
      </c>
      <c r="B815" s="114">
        <v>117</v>
      </c>
    </row>
    <row r="816" spans="1:2">
      <c r="A816" s="122" t="s">
        <v>1647</v>
      </c>
      <c r="B816" s="114">
        <v>401</v>
      </c>
    </row>
    <row r="817" spans="1:2">
      <c r="A817" s="122" t="s">
        <v>1648</v>
      </c>
      <c r="B817" s="114">
        <v>106</v>
      </c>
    </row>
    <row r="818" spans="1:2">
      <c r="A818" s="122" t="s">
        <v>1649</v>
      </c>
      <c r="B818" s="114">
        <v>44</v>
      </c>
    </row>
    <row r="819" spans="1:2">
      <c r="A819" s="122" t="s">
        <v>1885</v>
      </c>
      <c r="B819" s="114">
        <v>108</v>
      </c>
    </row>
    <row r="820" spans="1:2">
      <c r="A820" s="122" t="s">
        <v>2056</v>
      </c>
      <c r="B820" s="114">
        <v>77</v>
      </c>
    </row>
    <row r="821" spans="1:2">
      <c r="A821" s="122" t="s">
        <v>1886</v>
      </c>
      <c r="B821" s="114">
        <v>428</v>
      </c>
    </row>
    <row r="822" spans="1:2">
      <c r="A822" s="122" t="s">
        <v>412</v>
      </c>
      <c r="B822" s="114">
        <v>141</v>
      </c>
    </row>
    <row r="823" spans="1:2">
      <c r="A823" s="122" t="s">
        <v>1350</v>
      </c>
      <c r="B823" s="114">
        <v>351</v>
      </c>
    </row>
    <row r="824" spans="1:2">
      <c r="A824" s="122" t="s">
        <v>413</v>
      </c>
      <c r="B824" s="114">
        <v>21</v>
      </c>
    </row>
    <row r="825" spans="1:2">
      <c r="A825" s="122" t="s">
        <v>1887</v>
      </c>
      <c r="B825" s="114">
        <v>365</v>
      </c>
    </row>
    <row r="826" spans="1:2">
      <c r="A826" s="122" t="s">
        <v>1888</v>
      </c>
      <c r="B826" s="114">
        <v>117</v>
      </c>
    </row>
    <row r="827" spans="1:2">
      <c r="A827" s="122" t="s">
        <v>1889</v>
      </c>
      <c r="B827" s="114">
        <v>12</v>
      </c>
    </row>
    <row r="828" spans="1:2">
      <c r="A828" s="122" t="s">
        <v>2830</v>
      </c>
      <c r="B828" s="114">
        <v>78</v>
      </c>
    </row>
    <row r="829" spans="1:2">
      <c r="A829" s="122" t="s">
        <v>2831</v>
      </c>
      <c r="B829" s="114">
        <v>22</v>
      </c>
    </row>
    <row r="830" spans="1:2">
      <c r="A830" s="122" t="s">
        <v>1890</v>
      </c>
      <c r="B830" s="114">
        <v>105</v>
      </c>
    </row>
    <row r="831" spans="1:2">
      <c r="A831" s="122" t="s">
        <v>218</v>
      </c>
      <c r="B831" s="114">
        <v>78</v>
      </c>
    </row>
    <row r="832" spans="1:2">
      <c r="A832" s="122" t="s">
        <v>1891</v>
      </c>
      <c r="B832" s="114">
        <v>101</v>
      </c>
    </row>
    <row r="833" spans="1:2">
      <c r="A833" s="122" t="s">
        <v>1575</v>
      </c>
      <c r="B833" s="114">
        <v>404</v>
      </c>
    </row>
    <row r="834" spans="1:2">
      <c r="A834" s="122" t="s">
        <v>1576</v>
      </c>
      <c r="B834" s="114">
        <v>111</v>
      </c>
    </row>
    <row r="835" spans="1:2">
      <c r="A835" s="122" t="s">
        <v>1577</v>
      </c>
      <c r="B835" s="114">
        <v>285</v>
      </c>
    </row>
    <row r="836" spans="1:2">
      <c r="A836" s="122" t="s">
        <v>1832</v>
      </c>
      <c r="B836" s="114">
        <v>272</v>
      </c>
    </row>
    <row r="837" spans="1:2">
      <c r="A837" s="122" t="s">
        <v>1833</v>
      </c>
      <c r="B837" s="114">
        <v>416</v>
      </c>
    </row>
    <row r="838" spans="1:2">
      <c r="A838" s="122" t="s">
        <v>2790</v>
      </c>
      <c r="B838" s="114">
        <v>143</v>
      </c>
    </row>
    <row r="839" spans="1:2">
      <c r="A839" s="122" t="s">
        <v>1382</v>
      </c>
      <c r="B839" s="114">
        <v>29</v>
      </c>
    </row>
    <row r="840" spans="1:2">
      <c r="A840" s="122" t="s">
        <v>2791</v>
      </c>
      <c r="B840" s="114">
        <v>99</v>
      </c>
    </row>
    <row r="841" spans="1:2">
      <c r="A841" s="122" t="s">
        <v>1639</v>
      </c>
      <c r="B841" s="114">
        <v>27</v>
      </c>
    </row>
    <row r="842" spans="1:2">
      <c r="A842" s="122" t="s">
        <v>2892</v>
      </c>
      <c r="B842" s="114">
        <v>172</v>
      </c>
    </row>
    <row r="843" spans="1:2">
      <c r="A843" s="122" t="s">
        <v>1591</v>
      </c>
      <c r="B843" s="114">
        <v>122</v>
      </c>
    </row>
    <row r="844" spans="1:2">
      <c r="A844" s="122" t="s">
        <v>1493</v>
      </c>
      <c r="B844" s="114">
        <v>217</v>
      </c>
    </row>
    <row r="845" spans="1:2">
      <c r="A845" s="122" t="s">
        <v>219</v>
      </c>
      <c r="B845" s="114">
        <v>97</v>
      </c>
    </row>
    <row r="846" spans="1:2">
      <c r="A846" s="122" t="s">
        <v>531</v>
      </c>
      <c r="B846" s="114">
        <v>516</v>
      </c>
    </row>
    <row r="847" spans="1:2">
      <c r="A847" s="122" t="s">
        <v>1640</v>
      </c>
      <c r="B847" s="114">
        <v>348</v>
      </c>
    </row>
    <row r="848" spans="1:2">
      <c r="A848" s="122" t="s">
        <v>1641</v>
      </c>
      <c r="B848" s="114">
        <v>243</v>
      </c>
    </row>
    <row r="849" spans="1:2">
      <c r="A849" s="122" t="s">
        <v>1557</v>
      </c>
      <c r="B849" s="134">
        <v>1309</v>
      </c>
    </row>
    <row r="850" spans="1:2">
      <c r="A850" s="122" t="s">
        <v>1558</v>
      </c>
      <c r="B850" s="114">
        <v>155</v>
      </c>
    </row>
    <row r="851" spans="1:2">
      <c r="A851" s="122" t="s">
        <v>1559</v>
      </c>
      <c r="B851" s="114">
        <v>711</v>
      </c>
    </row>
    <row r="852" spans="1:2">
      <c r="A852" s="122" t="s">
        <v>1662</v>
      </c>
      <c r="B852" s="114">
        <v>121</v>
      </c>
    </row>
    <row r="853" spans="1:2">
      <c r="A853" s="122" t="s">
        <v>1084</v>
      </c>
      <c r="B853" s="114">
        <v>595</v>
      </c>
    </row>
    <row r="854" spans="1:2">
      <c r="A854" s="122" t="s">
        <v>1085</v>
      </c>
      <c r="B854" s="114">
        <v>210</v>
      </c>
    </row>
    <row r="855" spans="1:2">
      <c r="A855" s="122" t="s">
        <v>1086</v>
      </c>
      <c r="B855" s="114">
        <v>207</v>
      </c>
    </row>
    <row r="856" spans="1:2">
      <c r="A856" s="122" t="s">
        <v>1245</v>
      </c>
      <c r="B856" s="114">
        <v>136</v>
      </c>
    </row>
    <row r="857" spans="1:2">
      <c r="A857" s="122" t="s">
        <v>220</v>
      </c>
      <c r="B857" s="114">
        <v>266</v>
      </c>
    </row>
    <row r="858" spans="1:2">
      <c r="A858" s="122" t="s">
        <v>1246</v>
      </c>
      <c r="B858" s="114">
        <v>62</v>
      </c>
    </row>
    <row r="859" spans="1:2">
      <c r="A859" s="122" t="s">
        <v>1247</v>
      </c>
      <c r="B859" s="114">
        <v>157</v>
      </c>
    </row>
    <row r="860" spans="1:2">
      <c r="A860" s="122" t="s">
        <v>1407</v>
      </c>
      <c r="B860" s="114">
        <v>28</v>
      </c>
    </row>
    <row r="861" spans="1:2">
      <c r="A861" s="122" t="s">
        <v>1408</v>
      </c>
      <c r="B861" s="114">
        <v>237</v>
      </c>
    </row>
    <row r="862" spans="1:2">
      <c r="A862" s="122" t="s">
        <v>2040</v>
      </c>
      <c r="B862" s="114">
        <v>856</v>
      </c>
    </row>
    <row r="863" spans="1:2">
      <c r="A863" s="122" t="s">
        <v>304</v>
      </c>
      <c r="B863" s="114">
        <v>85</v>
      </c>
    </row>
    <row r="864" spans="1:2">
      <c r="A864" s="122" t="s">
        <v>1943</v>
      </c>
      <c r="B864" s="114">
        <v>82</v>
      </c>
    </row>
    <row r="865" spans="1:2">
      <c r="A865" s="122" t="s">
        <v>1944</v>
      </c>
      <c r="B865" s="114">
        <v>201</v>
      </c>
    </row>
    <row r="866" spans="1:2">
      <c r="A866" s="122" t="s">
        <v>1136</v>
      </c>
      <c r="B866" s="114">
        <v>107</v>
      </c>
    </row>
    <row r="867" spans="1:2">
      <c r="A867" s="122" t="s">
        <v>217</v>
      </c>
      <c r="B867" s="114">
        <v>207</v>
      </c>
    </row>
    <row r="868" spans="1:2">
      <c r="A868" s="122" t="s">
        <v>1348</v>
      </c>
      <c r="B868" s="114">
        <v>79</v>
      </c>
    </row>
    <row r="869" spans="1:2">
      <c r="A869" s="122" t="s">
        <v>1516</v>
      </c>
      <c r="B869" s="114">
        <v>132</v>
      </c>
    </row>
    <row r="870" spans="1:2">
      <c r="A870" s="122" t="s">
        <v>1517</v>
      </c>
      <c r="B870" s="114">
        <v>116</v>
      </c>
    </row>
    <row r="871" spans="1:2">
      <c r="A871" s="122" t="s">
        <v>1518</v>
      </c>
      <c r="B871" s="114">
        <v>208</v>
      </c>
    </row>
    <row r="872" spans="1:2">
      <c r="A872" s="122" t="s">
        <v>3050</v>
      </c>
      <c r="B872" s="114">
        <v>470</v>
      </c>
    </row>
    <row r="873" spans="1:2">
      <c r="A873" s="122" t="s">
        <v>1945</v>
      </c>
      <c r="B873" s="114">
        <v>270</v>
      </c>
    </row>
    <row r="874" spans="1:2">
      <c r="A874" s="122" t="s">
        <v>221</v>
      </c>
      <c r="B874" s="114">
        <v>490</v>
      </c>
    </row>
    <row r="875" spans="1:2">
      <c r="A875" s="122" t="s">
        <v>1946</v>
      </c>
      <c r="B875" s="114">
        <v>807</v>
      </c>
    </row>
    <row r="876" spans="1:2">
      <c r="A876" s="122" t="s">
        <v>2979</v>
      </c>
      <c r="B876" s="114">
        <v>923</v>
      </c>
    </row>
    <row r="877" spans="1:2">
      <c r="A877" s="122" t="s">
        <v>849</v>
      </c>
      <c r="B877" s="114">
        <v>833</v>
      </c>
    </row>
    <row r="878" spans="1:2">
      <c r="A878" s="122" t="s">
        <v>850</v>
      </c>
      <c r="B878" s="134">
        <v>1458</v>
      </c>
    </row>
    <row r="879" spans="1:2">
      <c r="A879" s="122" t="s">
        <v>906</v>
      </c>
      <c r="B879" s="114">
        <v>385</v>
      </c>
    </row>
    <row r="880" spans="1:2">
      <c r="A880" s="122" t="s">
        <v>617</v>
      </c>
      <c r="B880" s="114">
        <v>431</v>
      </c>
    </row>
    <row r="881" spans="1:2">
      <c r="A881" s="122" t="s">
        <v>618</v>
      </c>
      <c r="B881" s="114">
        <v>264</v>
      </c>
    </row>
    <row r="882" spans="1:2">
      <c r="A882" s="122" t="s">
        <v>2621</v>
      </c>
      <c r="B882" s="114">
        <v>88</v>
      </c>
    </row>
    <row r="883" spans="1:2">
      <c r="A883" s="122" t="s">
        <v>985</v>
      </c>
      <c r="B883" s="114">
        <v>41</v>
      </c>
    </row>
    <row r="884" spans="1:2">
      <c r="A884" s="122" t="s">
        <v>2111</v>
      </c>
      <c r="B884" s="114">
        <v>18</v>
      </c>
    </row>
    <row r="885" spans="1:2">
      <c r="A885" s="122" t="s">
        <v>2297</v>
      </c>
      <c r="B885" s="114">
        <v>209</v>
      </c>
    </row>
    <row r="886" spans="1:2">
      <c r="A886" s="122" t="s">
        <v>2497</v>
      </c>
      <c r="B886" s="114">
        <v>53</v>
      </c>
    </row>
    <row r="887" spans="1:2">
      <c r="A887" s="122" t="s">
        <v>57</v>
      </c>
      <c r="B887" s="114">
        <v>49</v>
      </c>
    </row>
    <row r="888" spans="1:2">
      <c r="A888" s="122" t="s">
        <v>379</v>
      </c>
      <c r="B888" s="114">
        <v>95</v>
      </c>
    </row>
    <row r="889" spans="1:2">
      <c r="A889" s="122" t="s">
        <v>1986</v>
      </c>
      <c r="B889" s="114">
        <v>8</v>
      </c>
    </row>
    <row r="890" spans="1:2">
      <c r="A890" s="122" t="s">
        <v>2759</v>
      </c>
      <c r="B890" s="114">
        <v>58</v>
      </c>
    </row>
    <row r="891" spans="1:2">
      <c r="A891" s="122" t="s">
        <v>59</v>
      </c>
      <c r="B891" s="114">
        <v>10</v>
      </c>
    </row>
    <row r="892" spans="1:2">
      <c r="A892" s="122" t="s">
        <v>1894</v>
      </c>
      <c r="B892" s="114">
        <v>93</v>
      </c>
    </row>
    <row r="893" spans="1:2">
      <c r="A893" s="122" t="s">
        <v>1280</v>
      </c>
      <c r="B893" s="114">
        <v>46</v>
      </c>
    </row>
    <row r="894" spans="1:2">
      <c r="A894" s="122" t="s">
        <v>2108</v>
      </c>
      <c r="B894" s="114">
        <v>6</v>
      </c>
    </row>
    <row r="895" spans="1:2">
      <c r="A895" s="122" t="s">
        <v>2542</v>
      </c>
      <c r="B895" s="114">
        <v>72</v>
      </c>
    </row>
    <row r="896" spans="1:2">
      <c r="A896" s="122" t="s">
        <v>2107</v>
      </c>
      <c r="B896" s="114">
        <v>21</v>
      </c>
    </row>
    <row r="897" spans="1:2">
      <c r="A897" s="122" t="s">
        <v>1347</v>
      </c>
      <c r="B897" s="114">
        <v>24</v>
      </c>
    </row>
    <row r="898" spans="1:2">
      <c r="A898" s="122" t="s">
        <v>2543</v>
      </c>
      <c r="B898" s="114">
        <v>108</v>
      </c>
    </row>
    <row r="899" spans="1:2">
      <c r="A899" s="122" t="s">
        <v>2544</v>
      </c>
      <c r="B899" s="114">
        <v>300</v>
      </c>
    </row>
    <row r="900" spans="1:2">
      <c r="A900" s="122" t="s">
        <v>3052</v>
      </c>
      <c r="B900" s="114">
        <v>144</v>
      </c>
    </row>
    <row r="901" spans="1:2">
      <c r="A901" s="122" t="s">
        <v>3053</v>
      </c>
      <c r="B901" s="114">
        <v>366</v>
      </c>
    </row>
    <row r="902" spans="1:2">
      <c r="A902" s="122" t="s">
        <v>3054</v>
      </c>
      <c r="B902" s="114">
        <v>137</v>
      </c>
    </row>
    <row r="903" spans="1:2">
      <c r="A903" s="122" t="s">
        <v>3055</v>
      </c>
      <c r="B903" s="134">
        <v>2362</v>
      </c>
    </row>
    <row r="904" spans="1:2">
      <c r="A904" s="122" t="s">
        <v>1335</v>
      </c>
      <c r="B904" s="114">
        <v>383</v>
      </c>
    </row>
    <row r="905" spans="1:2">
      <c r="A905" s="122" t="s">
        <v>2106</v>
      </c>
      <c r="B905" s="114">
        <v>157</v>
      </c>
    </row>
    <row r="906" spans="1:2">
      <c r="A906" s="122" t="s">
        <v>1336</v>
      </c>
      <c r="B906" s="114">
        <v>265</v>
      </c>
    </row>
    <row r="907" spans="1:2">
      <c r="A907" s="122" t="s">
        <v>1783</v>
      </c>
      <c r="B907" s="114">
        <v>769</v>
      </c>
    </row>
    <row r="908" spans="1:2">
      <c r="A908" s="122" t="s">
        <v>1784</v>
      </c>
      <c r="B908" s="114">
        <v>174</v>
      </c>
    </row>
    <row r="909" spans="1:2">
      <c r="A909" s="122" t="s">
        <v>1785</v>
      </c>
      <c r="B909" s="114">
        <v>232</v>
      </c>
    </row>
    <row r="910" spans="1:2">
      <c r="A910" s="122" t="s">
        <v>2062</v>
      </c>
      <c r="B910" s="114">
        <v>37</v>
      </c>
    </row>
    <row r="911" spans="1:2">
      <c r="A911" s="122" t="s">
        <v>305</v>
      </c>
      <c r="B911" s="114">
        <v>48</v>
      </c>
    </row>
    <row r="912" spans="1:2">
      <c r="A912" s="122" t="s">
        <v>2063</v>
      </c>
      <c r="B912" s="114">
        <v>32</v>
      </c>
    </row>
    <row r="913" spans="1:2">
      <c r="A913" s="122" t="s">
        <v>2797</v>
      </c>
      <c r="B913" s="114">
        <v>312</v>
      </c>
    </row>
    <row r="914" spans="1:2">
      <c r="A914" s="122" t="s">
        <v>1488</v>
      </c>
      <c r="B914" s="114">
        <v>207</v>
      </c>
    </row>
    <row r="915" spans="1:2">
      <c r="A915" s="122" t="s">
        <v>2785</v>
      </c>
      <c r="B915" s="114">
        <v>439</v>
      </c>
    </row>
    <row r="916" spans="1:2">
      <c r="A916" s="122" t="s">
        <v>374</v>
      </c>
      <c r="B916" s="114">
        <v>405</v>
      </c>
    </row>
    <row r="917" spans="1:2">
      <c r="A917" s="122" t="s">
        <v>1482</v>
      </c>
      <c r="B917" s="114">
        <v>168</v>
      </c>
    </row>
    <row r="918" spans="1:2">
      <c r="A918" s="122" t="s">
        <v>1422</v>
      </c>
      <c r="B918" s="114">
        <v>122</v>
      </c>
    </row>
    <row r="919" spans="1:2">
      <c r="A919" s="122" t="s">
        <v>292</v>
      </c>
      <c r="B919" s="114">
        <v>223</v>
      </c>
    </row>
    <row r="920" spans="1:2">
      <c r="A920" s="122" t="s">
        <v>238</v>
      </c>
      <c r="B920" s="114">
        <v>90</v>
      </c>
    </row>
    <row r="921" spans="1:2">
      <c r="A921" s="122" t="s">
        <v>293</v>
      </c>
      <c r="B921" s="114">
        <v>99</v>
      </c>
    </row>
    <row r="922" spans="1:2">
      <c r="A922" s="122" t="s">
        <v>294</v>
      </c>
      <c r="B922" s="114">
        <v>28</v>
      </c>
    </row>
    <row r="923" spans="1:2">
      <c r="A923" s="122" t="s">
        <v>1295</v>
      </c>
      <c r="B923" s="114">
        <v>162</v>
      </c>
    </row>
    <row r="924" spans="1:2">
      <c r="A924" s="122" t="s">
        <v>2804</v>
      </c>
      <c r="B924" s="114">
        <v>33</v>
      </c>
    </row>
    <row r="925" spans="1:2">
      <c r="A925" s="122" t="s">
        <v>1496</v>
      </c>
      <c r="B925" s="114">
        <v>110</v>
      </c>
    </row>
    <row r="926" spans="1:2">
      <c r="A926" s="122" t="s">
        <v>1497</v>
      </c>
      <c r="B926" s="114">
        <v>386</v>
      </c>
    </row>
    <row r="927" spans="1:2">
      <c r="A927" s="122" t="s">
        <v>1498</v>
      </c>
      <c r="B927" s="114">
        <v>155</v>
      </c>
    </row>
    <row r="928" spans="1:2">
      <c r="A928" s="122" t="s">
        <v>1499</v>
      </c>
      <c r="B928" s="114">
        <v>124</v>
      </c>
    </row>
    <row r="929" spans="1:2">
      <c r="A929" s="122" t="s">
        <v>1500</v>
      </c>
      <c r="B929" s="114">
        <v>116</v>
      </c>
    </row>
    <row r="930" spans="1:2">
      <c r="A930" s="122" t="s">
        <v>1615</v>
      </c>
      <c r="B930" s="114">
        <v>200</v>
      </c>
    </row>
    <row r="931" spans="1:2">
      <c r="A931" s="122" t="s">
        <v>2051</v>
      </c>
      <c r="B931" s="114">
        <v>344</v>
      </c>
    </row>
    <row r="932" spans="1:2">
      <c r="A932" s="122" t="s">
        <v>2052</v>
      </c>
      <c r="B932" s="114">
        <v>260</v>
      </c>
    </row>
    <row r="933" spans="1:2">
      <c r="A933" s="122" t="s">
        <v>1423</v>
      </c>
      <c r="B933" s="114">
        <v>110</v>
      </c>
    </row>
    <row r="934" spans="1:2">
      <c r="A934" s="122" t="s">
        <v>83</v>
      </c>
      <c r="B934" s="114">
        <v>166</v>
      </c>
    </row>
    <row r="935" spans="1:2">
      <c r="A935" s="122" t="s">
        <v>2053</v>
      </c>
      <c r="B935" s="114">
        <v>87</v>
      </c>
    </row>
    <row r="936" spans="1:2">
      <c r="A936" s="122" t="s">
        <v>2054</v>
      </c>
      <c r="B936" s="114">
        <v>190</v>
      </c>
    </row>
    <row r="937" spans="1:2">
      <c r="A937" s="122" t="s">
        <v>1594</v>
      </c>
      <c r="B937" s="114">
        <v>78</v>
      </c>
    </row>
    <row r="938" spans="1:2">
      <c r="A938" s="122" t="s">
        <v>1229</v>
      </c>
      <c r="B938" s="114">
        <v>65</v>
      </c>
    </row>
    <row r="939" spans="1:2">
      <c r="A939" s="122" t="s">
        <v>2127</v>
      </c>
      <c r="B939" s="114">
        <v>116</v>
      </c>
    </row>
    <row r="940" spans="1:2">
      <c r="A940" s="122" t="s">
        <v>1230</v>
      </c>
      <c r="B940" s="114">
        <v>55</v>
      </c>
    </row>
    <row r="941" spans="1:2">
      <c r="A941" s="122" t="s">
        <v>1231</v>
      </c>
      <c r="B941" s="114">
        <v>40</v>
      </c>
    </row>
    <row r="942" spans="1:2">
      <c r="A942" s="122" t="s">
        <v>1232</v>
      </c>
      <c r="B942" s="114">
        <v>401</v>
      </c>
    </row>
    <row r="943" spans="1:2">
      <c r="A943" s="122" t="s">
        <v>1233</v>
      </c>
      <c r="B943" s="114">
        <v>838</v>
      </c>
    </row>
    <row r="944" spans="1:2">
      <c r="A944" s="122" t="s">
        <v>63</v>
      </c>
      <c r="B944" s="114">
        <v>108</v>
      </c>
    </row>
    <row r="945" spans="1:2">
      <c r="A945" s="122" t="s">
        <v>1737</v>
      </c>
      <c r="B945" s="114">
        <v>366</v>
      </c>
    </row>
    <row r="946" spans="1:2">
      <c r="A946" s="122" t="s">
        <v>1714</v>
      </c>
      <c r="B946" s="134">
        <v>1146</v>
      </c>
    </row>
    <row r="947" spans="1:2">
      <c r="A947" s="122" t="s">
        <v>1495</v>
      </c>
      <c r="B947" s="114">
        <v>362</v>
      </c>
    </row>
    <row r="948" spans="1:2">
      <c r="A948" s="122" t="s">
        <v>530</v>
      </c>
      <c r="B948" s="114">
        <v>926</v>
      </c>
    </row>
    <row r="949" spans="1:2">
      <c r="A949" s="122" t="s">
        <v>940</v>
      </c>
      <c r="B949" s="134">
        <v>2306</v>
      </c>
    </row>
    <row r="950" spans="1:2">
      <c r="A950" s="122" t="s">
        <v>943</v>
      </c>
      <c r="B950" s="114">
        <v>161</v>
      </c>
    </row>
    <row r="951" spans="1:2">
      <c r="A951" s="122" t="s">
        <v>944</v>
      </c>
      <c r="B951" s="114">
        <v>74</v>
      </c>
    </row>
    <row r="952" spans="1:2">
      <c r="A952" s="122" t="s">
        <v>1726</v>
      </c>
      <c r="B952" s="114">
        <v>104</v>
      </c>
    </row>
    <row r="953" spans="1:2">
      <c r="A953" s="122" t="s">
        <v>2097</v>
      </c>
      <c r="B953" s="114">
        <v>69</v>
      </c>
    </row>
    <row r="954" spans="1:2">
      <c r="A954" s="122" t="s">
        <v>945</v>
      </c>
      <c r="B954" s="114">
        <v>225</v>
      </c>
    </row>
    <row r="955" spans="1:2">
      <c r="A955" s="122" t="s">
        <v>946</v>
      </c>
      <c r="B955" s="114">
        <v>225</v>
      </c>
    </row>
    <row r="956" spans="1:2">
      <c r="A956" s="122" t="s">
        <v>1606</v>
      </c>
      <c r="B956" s="114">
        <v>29</v>
      </c>
    </row>
    <row r="957" spans="1:2">
      <c r="A957" s="122" t="s">
        <v>989</v>
      </c>
      <c r="B957" s="114">
        <v>107</v>
      </c>
    </row>
    <row r="958" spans="1:2">
      <c r="A958" s="122" t="s">
        <v>372</v>
      </c>
      <c r="B958" s="114">
        <v>607</v>
      </c>
    </row>
    <row r="959" spans="1:2">
      <c r="A959" s="122" t="s">
        <v>2992</v>
      </c>
      <c r="B959" s="114">
        <v>51</v>
      </c>
    </row>
    <row r="960" spans="1:2">
      <c r="A960" s="122" t="s">
        <v>1160</v>
      </c>
      <c r="B960" s="114">
        <v>102</v>
      </c>
    </row>
    <row r="961" spans="1:2">
      <c r="A961" s="122" t="s">
        <v>1320</v>
      </c>
      <c r="B961" s="114">
        <v>598</v>
      </c>
    </row>
    <row r="962" spans="1:2">
      <c r="A962" s="122" t="s">
        <v>306</v>
      </c>
      <c r="B962" s="114">
        <v>139</v>
      </c>
    </row>
    <row r="963" spans="1:2">
      <c r="A963" s="122" t="s">
        <v>307</v>
      </c>
      <c r="B963" s="114">
        <v>321</v>
      </c>
    </row>
    <row r="964" spans="1:2">
      <c r="A964" s="122" t="s">
        <v>693</v>
      </c>
      <c r="B964" s="114">
        <v>157</v>
      </c>
    </row>
    <row r="965" spans="1:2">
      <c r="A965" s="122" t="s">
        <v>694</v>
      </c>
      <c r="B965" s="114">
        <v>502</v>
      </c>
    </row>
    <row r="966" spans="1:2">
      <c r="A966" s="122" t="s">
        <v>695</v>
      </c>
      <c r="B966" s="114">
        <v>186</v>
      </c>
    </row>
    <row r="967" spans="1:2">
      <c r="A967" s="122" t="s">
        <v>2669</v>
      </c>
      <c r="B967" s="114">
        <v>462</v>
      </c>
    </row>
    <row r="968" spans="1:2">
      <c r="A968" s="122" t="s">
        <v>2670</v>
      </c>
      <c r="B968" s="114">
        <v>162</v>
      </c>
    </row>
    <row r="969" spans="1:2">
      <c r="A969" s="122" t="s">
        <v>1987</v>
      </c>
      <c r="B969" s="114">
        <v>17</v>
      </c>
    </row>
    <row r="970" spans="1:2">
      <c r="A970" s="122" t="s">
        <v>1223</v>
      </c>
      <c r="B970" s="114">
        <v>106</v>
      </c>
    </row>
    <row r="971" spans="1:2">
      <c r="A971" s="122" t="s">
        <v>1713</v>
      </c>
      <c r="B971" s="134">
        <v>2455</v>
      </c>
    </row>
    <row r="972" spans="1:2">
      <c r="A972" s="122" t="s">
        <v>1043</v>
      </c>
      <c r="B972" s="114">
        <v>797</v>
      </c>
    </row>
    <row r="973" spans="1:2">
      <c r="A973" s="122" t="s">
        <v>1044</v>
      </c>
      <c r="B973" s="114">
        <v>147</v>
      </c>
    </row>
    <row r="974" spans="1:2">
      <c r="A974" s="122" t="s">
        <v>1045</v>
      </c>
      <c r="B974" s="114">
        <v>178</v>
      </c>
    </row>
    <row r="975" spans="1:2">
      <c r="A975" s="122" t="s">
        <v>624</v>
      </c>
      <c r="B975" s="114">
        <v>442</v>
      </c>
    </row>
    <row r="976" spans="1:2">
      <c r="A976" s="122" t="s">
        <v>1014</v>
      </c>
      <c r="B976" s="114">
        <v>186</v>
      </c>
    </row>
    <row r="977" spans="1:2">
      <c r="A977" s="122" t="s">
        <v>1015</v>
      </c>
      <c r="B977" s="114">
        <v>173</v>
      </c>
    </row>
    <row r="978" spans="1:2">
      <c r="A978" s="122" t="s">
        <v>1016</v>
      </c>
      <c r="B978" s="114">
        <v>313</v>
      </c>
    </row>
    <row r="979" spans="1:2">
      <c r="A979" s="122" t="s">
        <v>1017</v>
      </c>
      <c r="B979" s="114">
        <v>182</v>
      </c>
    </row>
    <row r="980" spans="1:2">
      <c r="A980" s="122" t="s">
        <v>1940</v>
      </c>
      <c r="B980" s="114">
        <v>134</v>
      </c>
    </row>
    <row r="981" spans="1:2">
      <c r="A981" s="122" t="s">
        <v>2648</v>
      </c>
      <c r="B981" s="114">
        <v>503</v>
      </c>
    </row>
    <row r="982" spans="1:2">
      <c r="A982" s="122" t="s">
        <v>996</v>
      </c>
      <c r="B982" s="114">
        <v>167</v>
      </c>
    </row>
    <row r="983" spans="1:2">
      <c r="A983" s="122" t="s">
        <v>1424</v>
      </c>
      <c r="B983" s="114">
        <v>201</v>
      </c>
    </row>
    <row r="984" spans="1:2">
      <c r="A984" s="122" t="s">
        <v>714</v>
      </c>
      <c r="B984" s="114">
        <v>172</v>
      </c>
    </row>
    <row r="985" spans="1:2">
      <c r="A985" s="122" t="s">
        <v>2088</v>
      </c>
      <c r="B985" s="114">
        <v>83</v>
      </c>
    </row>
    <row r="986" spans="1:2">
      <c r="A986" s="122" t="s">
        <v>626</v>
      </c>
      <c r="B986" s="114">
        <v>15</v>
      </c>
    </row>
    <row r="987" spans="1:2">
      <c r="A987" s="122" t="s">
        <v>1534</v>
      </c>
      <c r="B987" s="114">
        <v>202</v>
      </c>
    </row>
    <row r="988" spans="1:2">
      <c r="A988" s="122" t="s">
        <v>9</v>
      </c>
      <c r="B988" s="114">
        <v>555</v>
      </c>
    </row>
    <row r="989" spans="1:2">
      <c r="A989" s="122" t="s">
        <v>10</v>
      </c>
      <c r="B989" s="114">
        <v>87</v>
      </c>
    </row>
    <row r="990" spans="1:2">
      <c r="A990" s="122" t="s">
        <v>1695</v>
      </c>
      <c r="B990" s="114">
        <v>66</v>
      </c>
    </row>
    <row r="991" spans="1:2">
      <c r="A991" s="122" t="s">
        <v>2387</v>
      </c>
      <c r="B991" s="114">
        <v>391</v>
      </c>
    </row>
    <row r="992" spans="1:2">
      <c r="A992" s="122" t="s">
        <v>465</v>
      </c>
      <c r="B992" s="114">
        <v>127</v>
      </c>
    </row>
    <row r="993" spans="1:2">
      <c r="A993" s="122" t="s">
        <v>308</v>
      </c>
      <c r="B993" s="114">
        <v>329</v>
      </c>
    </row>
    <row r="994" spans="1:2">
      <c r="A994" s="122" t="s">
        <v>1514</v>
      </c>
      <c r="B994" s="114">
        <v>141</v>
      </c>
    </row>
    <row r="995" spans="1:2">
      <c r="A995" s="122" t="s">
        <v>2975</v>
      </c>
      <c r="B995" s="114">
        <v>184</v>
      </c>
    </row>
    <row r="996" spans="1:2">
      <c r="A996" s="122" t="s">
        <v>2038</v>
      </c>
      <c r="B996" s="114">
        <v>104</v>
      </c>
    </row>
    <row r="997" spans="1:2">
      <c r="A997" s="122" t="s">
        <v>47</v>
      </c>
      <c r="B997" s="114">
        <v>70</v>
      </c>
    </row>
    <row r="998" spans="1:2">
      <c r="A998" s="122" t="s">
        <v>11</v>
      </c>
      <c r="B998" s="114">
        <v>85</v>
      </c>
    </row>
    <row r="999" spans="1:2">
      <c r="A999" s="122" t="s">
        <v>1990</v>
      </c>
      <c r="B999" s="114">
        <v>110</v>
      </c>
    </row>
    <row r="1000" spans="1:2">
      <c r="A1000" s="122" t="s">
        <v>1485</v>
      </c>
      <c r="B1000" s="114">
        <v>110</v>
      </c>
    </row>
    <row r="1001" spans="1:2">
      <c r="A1001" s="122" t="s">
        <v>1738</v>
      </c>
      <c r="B1001" s="114">
        <v>77</v>
      </c>
    </row>
    <row r="1002" spans="1:2">
      <c r="A1002" s="122" t="s">
        <v>1708</v>
      </c>
      <c r="B1002" s="114">
        <v>149</v>
      </c>
    </row>
    <row r="1003" spans="1:2">
      <c r="A1003" s="122" t="s">
        <v>1988</v>
      </c>
      <c r="B1003" s="114">
        <v>198</v>
      </c>
    </row>
    <row r="1004" spans="1:2">
      <c r="A1004" s="122" t="s">
        <v>12</v>
      </c>
      <c r="B1004" s="114">
        <v>50</v>
      </c>
    </row>
    <row r="1005" spans="1:2">
      <c r="A1005" s="122" t="s">
        <v>2814</v>
      </c>
      <c r="B1005" s="114">
        <v>289</v>
      </c>
    </row>
    <row r="1006" spans="1:2">
      <c r="A1006" s="122" t="s">
        <v>66</v>
      </c>
      <c r="B1006" s="114">
        <v>99</v>
      </c>
    </row>
    <row r="1007" spans="1:2">
      <c r="A1007" s="122" t="s">
        <v>2815</v>
      </c>
      <c r="B1007" s="114">
        <v>215</v>
      </c>
    </row>
    <row r="1008" spans="1:2">
      <c r="A1008" s="122" t="s">
        <v>1705</v>
      </c>
      <c r="B1008" s="114">
        <v>184</v>
      </c>
    </row>
    <row r="1009" spans="1:2">
      <c r="A1009" s="122" t="s">
        <v>1339</v>
      </c>
      <c r="B1009" s="114">
        <v>400</v>
      </c>
    </row>
    <row r="1010" spans="1:2">
      <c r="A1010" s="122" t="s">
        <v>1340</v>
      </c>
      <c r="B1010" s="134">
        <v>1118</v>
      </c>
    </row>
    <row r="1011" spans="1:2">
      <c r="A1011" s="122" t="s">
        <v>224</v>
      </c>
      <c r="B1011" s="114">
        <v>111</v>
      </c>
    </row>
    <row r="1012" spans="1:2">
      <c r="A1012" s="122" t="s">
        <v>904</v>
      </c>
      <c r="B1012" s="114">
        <v>65</v>
      </c>
    </row>
    <row r="1013" spans="1:2">
      <c r="A1013" s="122" t="s">
        <v>2491</v>
      </c>
      <c r="B1013" s="114">
        <v>141</v>
      </c>
    </row>
    <row r="1014" spans="1:2">
      <c r="A1014" s="122" t="s">
        <v>2780</v>
      </c>
      <c r="B1014" s="114">
        <v>115</v>
      </c>
    </row>
    <row r="1015" spans="1:2">
      <c r="A1015" s="122" t="s">
        <v>2781</v>
      </c>
      <c r="B1015" s="114">
        <v>218</v>
      </c>
    </row>
    <row r="1016" spans="1:2">
      <c r="A1016" s="122" t="s">
        <v>2302</v>
      </c>
      <c r="B1016" s="114">
        <v>72</v>
      </c>
    </row>
    <row r="1017" spans="1:2">
      <c r="A1017" s="122" t="s">
        <v>1314</v>
      </c>
      <c r="B1017" s="114">
        <v>122</v>
      </c>
    </row>
    <row r="1018" spans="1:2">
      <c r="A1018" s="122" t="s">
        <v>2548</v>
      </c>
      <c r="B1018" s="114">
        <v>98</v>
      </c>
    </row>
    <row r="1019" spans="1:2">
      <c r="A1019" s="122" t="s">
        <v>2549</v>
      </c>
      <c r="B1019" s="114">
        <v>90</v>
      </c>
    </row>
    <row r="1020" spans="1:2">
      <c r="A1020" s="122" t="s">
        <v>2970</v>
      </c>
      <c r="B1020" s="114">
        <v>149</v>
      </c>
    </row>
    <row r="1021" spans="1:2">
      <c r="A1021" s="122" t="s">
        <v>2971</v>
      </c>
      <c r="B1021" s="114">
        <v>74</v>
      </c>
    </row>
    <row r="1022" spans="1:2">
      <c r="A1022" s="122" t="s">
        <v>705</v>
      </c>
      <c r="B1022" s="114">
        <v>93</v>
      </c>
    </row>
    <row r="1023" spans="1:2">
      <c r="A1023" s="122" t="s">
        <v>777</v>
      </c>
      <c r="B1023" s="114">
        <v>173</v>
      </c>
    </row>
    <row r="1024" spans="1:2">
      <c r="A1024" s="122" t="s">
        <v>778</v>
      </c>
      <c r="B1024" s="114">
        <v>157</v>
      </c>
    </row>
    <row r="1025" spans="1:2">
      <c r="A1025" s="122" t="s">
        <v>1660</v>
      </c>
      <c r="B1025" s="114">
        <v>598</v>
      </c>
    </row>
    <row r="1026" spans="1:2">
      <c r="A1026" s="122" t="s">
        <v>1020</v>
      </c>
      <c r="B1026" s="114">
        <v>544</v>
      </c>
    </row>
    <row r="1027" spans="1:2">
      <c r="A1027" s="122" t="s">
        <v>1661</v>
      </c>
      <c r="B1027" s="114">
        <v>219</v>
      </c>
    </row>
    <row r="1028" spans="1:2">
      <c r="A1028" s="122" t="s">
        <v>1696</v>
      </c>
      <c r="B1028" s="114">
        <v>201</v>
      </c>
    </row>
    <row r="1029" spans="1:2">
      <c r="A1029" s="122" t="s">
        <v>556</v>
      </c>
      <c r="B1029" s="134">
        <v>1061</v>
      </c>
    </row>
    <row r="1030" spans="1:2">
      <c r="A1030" s="122" t="s">
        <v>2760</v>
      </c>
      <c r="B1030" s="114">
        <v>656</v>
      </c>
    </row>
    <row r="1031" spans="1:2">
      <c r="A1031" s="122" t="s">
        <v>1901</v>
      </c>
      <c r="B1031" s="114">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Z82"/>
  <sheetViews>
    <sheetView workbookViewId="0">
      <selection activeCell="E3" sqref="E3"/>
    </sheetView>
  </sheetViews>
  <sheetFormatPr defaultRowHeight="12.75"/>
  <cols>
    <col min="1" max="1" width="9.140625" style="72" customWidth="1"/>
    <col min="2" max="2" width="52.28515625" customWidth="1"/>
    <col min="4" max="4" width="13.42578125" customWidth="1"/>
    <col min="5" max="6" width="20.85546875" style="2834" customWidth="1"/>
    <col min="7" max="8" width="20.85546875" style="4582" customWidth="1"/>
    <col min="9" max="10" width="20.85546875" style="3366" customWidth="1"/>
    <col min="11" max="12" width="20.85546875" style="3572" customWidth="1"/>
    <col min="13" max="14" width="20.85546875" style="3332" customWidth="1"/>
    <col min="15" max="16" width="20.85546875" style="3643" customWidth="1"/>
    <col min="17" max="18" width="20.85546875" style="3981" customWidth="1"/>
    <col min="19" max="19" width="18.7109375" customWidth="1"/>
    <col min="20" max="20" width="33.85546875" customWidth="1"/>
    <col min="21" max="22" width="15.7109375" customWidth="1"/>
    <col min="24" max="24" width="18.7109375" customWidth="1"/>
    <col min="25" max="26" width="20.7109375" customWidth="1"/>
  </cols>
  <sheetData>
    <row r="1" spans="1:26">
      <c r="A1" s="40"/>
      <c r="F1" s="2839"/>
      <c r="H1" s="4583"/>
      <c r="J1" s="3367"/>
      <c r="L1" s="3573"/>
      <c r="N1" s="3333"/>
      <c r="P1" s="4055"/>
      <c r="R1" s="4070"/>
    </row>
    <row r="2" spans="1:26">
      <c r="A2" s="40"/>
      <c r="F2" s="2839"/>
      <c r="H2" s="4583"/>
      <c r="J2" s="3367"/>
      <c r="L2" s="3573"/>
      <c r="N2" s="3333"/>
      <c r="P2" s="4055"/>
      <c r="R2" s="4070"/>
    </row>
    <row r="3" spans="1:26">
      <c r="E3" s="2835"/>
      <c r="F3" s="2840"/>
      <c r="G3" s="4584"/>
      <c r="H3" s="4585"/>
      <c r="I3" s="3368"/>
      <c r="J3" s="3369"/>
      <c r="K3" s="3574"/>
      <c r="L3" s="3575"/>
      <c r="M3" s="3334"/>
      <c r="N3" s="3335"/>
      <c r="P3" s="4055"/>
      <c r="R3" s="4070"/>
    </row>
    <row r="4" spans="1:26">
      <c r="F4" s="2839"/>
      <c r="H4" s="4583"/>
      <c r="J4" s="3367"/>
      <c r="L4" s="3573"/>
      <c r="N4" s="3333"/>
      <c r="P4" s="4055"/>
      <c r="R4" s="4070"/>
      <c r="S4" s="2476" t="s">
        <v>7820</v>
      </c>
      <c r="T4" s="2477" t="s">
        <v>7821</v>
      </c>
    </row>
    <row r="5" spans="1:26">
      <c r="F5" s="2839"/>
      <c r="H5" s="4583"/>
      <c r="J5" s="3367"/>
      <c r="L5" s="3573"/>
      <c r="N5" s="3333"/>
      <c r="P5" s="4055"/>
      <c r="R5" s="4070"/>
      <c r="S5" s="2476" t="s">
        <v>3099</v>
      </c>
      <c r="T5" s="2478" t="s">
        <v>3102</v>
      </c>
    </row>
    <row r="6" spans="1:26" ht="18">
      <c r="B6" s="938" t="s">
        <v>2259</v>
      </c>
      <c r="E6" s="2995" t="s">
        <v>4522</v>
      </c>
      <c r="F6" s="2996" t="s">
        <v>4523</v>
      </c>
      <c r="G6" s="4586" t="s">
        <v>4522</v>
      </c>
      <c r="H6" s="4587" t="s">
        <v>4523</v>
      </c>
      <c r="I6" s="3604" t="s">
        <v>4522</v>
      </c>
      <c r="J6" s="3605" t="s">
        <v>4523</v>
      </c>
      <c r="K6" s="3606" t="s">
        <v>4522</v>
      </c>
      <c r="L6" s="3607" t="s">
        <v>4523</v>
      </c>
      <c r="M6" s="3059" t="s">
        <v>4522</v>
      </c>
      <c r="N6" s="3603" t="s">
        <v>4523</v>
      </c>
      <c r="O6" s="4032" t="s">
        <v>4522</v>
      </c>
      <c r="P6" s="4056" t="s">
        <v>4523</v>
      </c>
      <c r="Q6" s="4043" t="s">
        <v>4522</v>
      </c>
      <c r="R6" s="4056" t="s">
        <v>4523</v>
      </c>
      <c r="S6" s="2476" t="s">
        <v>3100</v>
      </c>
      <c r="T6" s="2478" t="s">
        <v>3103</v>
      </c>
      <c r="X6" s="47" t="s">
        <v>7905</v>
      </c>
    </row>
    <row r="7" spans="1:26">
      <c r="A7" s="194" t="s">
        <v>2691</v>
      </c>
      <c r="E7" s="3362" t="s">
        <v>4524</v>
      </c>
      <c r="F7" s="3363" t="s">
        <v>3613</v>
      </c>
      <c r="G7" s="4588" t="s">
        <v>3673</v>
      </c>
      <c r="H7" s="4589" t="s">
        <v>3673</v>
      </c>
      <c r="I7" s="3608" t="s">
        <v>3830</v>
      </c>
      <c r="J7" s="3609" t="s">
        <v>3830</v>
      </c>
      <c r="K7" s="3610" t="s">
        <v>3903</v>
      </c>
      <c r="L7" s="3611" t="s">
        <v>3903</v>
      </c>
      <c r="M7" s="3364" t="s">
        <v>4592</v>
      </c>
      <c r="N7" s="3365" t="s">
        <v>4592</v>
      </c>
      <c r="O7" s="4033" t="s">
        <v>7097</v>
      </c>
      <c r="P7" s="4057" t="s">
        <v>7097</v>
      </c>
      <c r="Q7" s="4044" t="s">
        <v>7733</v>
      </c>
      <c r="R7" s="4057" t="s">
        <v>7733</v>
      </c>
      <c r="S7" s="4248" t="s">
        <v>3676</v>
      </c>
      <c r="T7" s="522"/>
      <c r="X7" s="1716" t="s">
        <v>4436</v>
      </c>
      <c r="Y7" s="1716" t="s">
        <v>7308</v>
      </c>
      <c r="Z7" s="1716" t="s">
        <v>7333</v>
      </c>
    </row>
    <row r="8" spans="1:26">
      <c r="A8" s="72">
        <v>1</v>
      </c>
      <c r="B8" s="47" t="s">
        <v>1568</v>
      </c>
      <c r="E8" s="3624">
        <f>'Data Entry - SOF'!C125*Weights!H7</f>
        <v>0</v>
      </c>
      <c r="F8" s="3625"/>
      <c r="G8" s="4590">
        <f>E8</f>
        <v>0</v>
      </c>
      <c r="H8" s="4591"/>
      <c r="I8" s="3370">
        <f>G8</f>
        <v>0</v>
      </c>
      <c r="J8" s="3371"/>
      <c r="K8" s="3576">
        <f>I8</f>
        <v>0</v>
      </c>
      <c r="L8" s="3577"/>
      <c r="M8" s="3336">
        <f>K8</f>
        <v>0</v>
      </c>
      <c r="N8" s="3337"/>
      <c r="O8" s="4034">
        <f>M8</f>
        <v>0</v>
      </c>
      <c r="P8" s="4058"/>
      <c r="Q8" s="4045">
        <f>O8</f>
        <v>0</v>
      </c>
      <c r="R8" s="4071"/>
      <c r="S8" s="4249">
        <f>'Data Entry - SOF'!C125*Weights!J7</f>
        <v>0</v>
      </c>
      <c r="T8" s="2479" t="s">
        <v>7828</v>
      </c>
      <c r="X8" s="969">
        <f>'Data Entry - SOF'!C125</f>
        <v>0</v>
      </c>
      <c r="Y8" s="969">
        <f>X8</f>
        <v>0</v>
      </c>
      <c r="Z8" s="969">
        <f>Y8</f>
        <v>0</v>
      </c>
    </row>
    <row r="9" spans="1:26">
      <c r="A9" s="72">
        <f>A8+1</f>
        <v>2</v>
      </c>
      <c r="B9" s="47" t="s">
        <v>1569</v>
      </c>
      <c r="E9" s="3626">
        <f>120*Weights!H7</f>
        <v>111.15600000000001</v>
      </c>
      <c r="F9" s="3627"/>
      <c r="G9" s="4592">
        <f>E9</f>
        <v>111.15600000000001</v>
      </c>
      <c r="H9" s="4593"/>
      <c r="I9" s="3372">
        <f>G9</f>
        <v>111.15600000000001</v>
      </c>
      <c r="J9" s="3373"/>
      <c r="K9" s="3578">
        <f>I9</f>
        <v>111.15600000000001</v>
      </c>
      <c r="L9" s="3579"/>
      <c r="M9" s="3338">
        <f>K9</f>
        <v>111.15600000000001</v>
      </c>
      <c r="N9" s="3339"/>
      <c r="O9" s="4034">
        <f>M9</f>
        <v>111.15600000000001</v>
      </c>
      <c r="P9" s="4058"/>
      <c r="Q9" s="4045">
        <f>O9</f>
        <v>111.15600000000001</v>
      </c>
      <c r="R9" s="4071"/>
      <c r="S9" s="4249">
        <f>120*Weights!J7</f>
        <v>111.15600000000001</v>
      </c>
      <c r="T9" s="2479" t="s">
        <v>7828</v>
      </c>
      <c r="X9" s="946">
        <v>120</v>
      </c>
      <c r="Y9" s="946">
        <v>120</v>
      </c>
      <c r="Z9" s="946">
        <v>120</v>
      </c>
    </row>
    <row r="10" spans="1:26">
      <c r="A10" s="72">
        <f>A9+1</f>
        <v>3</v>
      </c>
      <c r="B10" s="92" t="s">
        <v>1564</v>
      </c>
      <c r="E10" s="3626">
        <f>E8+E9</f>
        <v>111.15600000000001</v>
      </c>
      <c r="F10" s="3627"/>
      <c r="G10" s="4592">
        <f>G8+G9</f>
        <v>111.15600000000001</v>
      </c>
      <c r="H10" s="4593"/>
      <c r="I10" s="3372">
        <f>I8+I9</f>
        <v>111.15600000000001</v>
      </c>
      <c r="J10" s="3373"/>
      <c r="K10" s="3578">
        <f>K8+K9</f>
        <v>111.15600000000001</v>
      </c>
      <c r="L10" s="3579"/>
      <c r="M10" s="3338">
        <f>M8+M9</f>
        <v>111.15600000000001</v>
      </c>
      <c r="N10" s="3339"/>
      <c r="O10" s="4034">
        <f>O8+O9</f>
        <v>111.15600000000001</v>
      </c>
      <c r="P10" s="4058"/>
      <c r="Q10" s="4045">
        <f>Q8+Q9</f>
        <v>111.15600000000001</v>
      </c>
      <c r="R10" s="4071"/>
      <c r="S10" s="4250">
        <f>S8+S9</f>
        <v>111.15600000000001</v>
      </c>
      <c r="T10" s="522"/>
      <c r="X10" s="946">
        <f>X8+X9</f>
        <v>120</v>
      </c>
      <c r="Y10" s="946">
        <f>Y8+Y9</f>
        <v>120</v>
      </c>
      <c r="Z10" s="946">
        <f>Z8+Z9</f>
        <v>120</v>
      </c>
    </row>
    <row r="11" spans="1:26">
      <c r="A11" s="72">
        <v>4</v>
      </c>
      <c r="B11" t="s">
        <v>1565</v>
      </c>
      <c r="E11" s="3628" t="e">
        <f>'Calc Data-SB1'!C25</f>
        <v>#DIV/0!</v>
      </c>
      <c r="F11" s="3629"/>
      <c r="G11" s="4594" t="e">
        <f>'Calc Data-SB1'!D25</f>
        <v>#DIV/0!</v>
      </c>
      <c r="H11" s="4595"/>
      <c r="I11" s="3374" t="e">
        <f>'Calc Data-SB1'!E25</f>
        <v>#DIV/0!</v>
      </c>
      <c r="J11" s="3375"/>
      <c r="K11" s="3580" t="e">
        <f>'Calc Data-SB1'!F25</f>
        <v>#DIV/0!</v>
      </c>
      <c r="L11" s="3581"/>
      <c r="M11" s="3340" t="e">
        <f>'Calc Data-SB1'!G25</f>
        <v>#DIV/0!</v>
      </c>
      <c r="N11" s="3341"/>
      <c r="O11" s="4035" t="e">
        <f>'Calc Data-SB1'!H25</f>
        <v>#DIV/0!</v>
      </c>
      <c r="P11" s="4059"/>
      <c r="Q11" s="4046" t="e">
        <f>'Calc Data-SB1'!I25</f>
        <v>#DIV/0!</v>
      </c>
      <c r="R11" s="4072"/>
      <c r="S11" s="4250" t="e">
        <f>'SOF1718-SB1'!R44</f>
        <v>#DIV/0!</v>
      </c>
      <c r="T11" s="522"/>
      <c r="X11" s="948" t="e">
        <f>'Calc Data-SB1'!T11</f>
        <v>#DIV/0!</v>
      </c>
      <c r="Y11" s="948" t="e">
        <f>'Calc Data-SB1'!U11</f>
        <v>#DIV/0!</v>
      </c>
      <c r="Z11" s="948" t="e">
        <f>'Calc Data-SB1'!V11</f>
        <v>#DIV/0!</v>
      </c>
    </row>
    <row r="12" spans="1:26">
      <c r="A12" s="72">
        <f>A11+1</f>
        <v>5</v>
      </c>
      <c r="B12" s="47" t="s">
        <v>2260</v>
      </c>
      <c r="E12" s="3630" t="e">
        <f>E10*E11</f>
        <v>#DIV/0!</v>
      </c>
      <c r="F12" s="3631"/>
      <c r="G12" s="4596" t="e">
        <f>G10*G11</f>
        <v>#DIV/0!</v>
      </c>
      <c r="H12" s="4597"/>
      <c r="I12" s="3376" t="e">
        <f>I10*I11</f>
        <v>#DIV/0!</v>
      </c>
      <c r="J12" s="3377"/>
      <c r="K12" s="3582" t="e">
        <f>K10*K11</f>
        <v>#DIV/0!</v>
      </c>
      <c r="L12" s="3583"/>
      <c r="M12" s="3342" t="e">
        <f>M10*M11</f>
        <v>#DIV/0!</v>
      </c>
      <c r="N12" s="3343"/>
      <c r="O12" s="4035" t="e">
        <f>O10*O11</f>
        <v>#DIV/0!</v>
      </c>
      <c r="P12" s="4059"/>
      <c r="Q12" s="4046" t="e">
        <f>Q10*Q11</f>
        <v>#DIV/0!</v>
      </c>
      <c r="R12" s="4072"/>
      <c r="S12" s="4250" t="e">
        <f>S10*S11</f>
        <v>#DIV/0!</v>
      </c>
      <c r="T12" s="522"/>
      <c r="U12" s="121"/>
      <c r="X12" s="629" t="e">
        <f>X10*X11</f>
        <v>#DIV/0!</v>
      </c>
      <c r="Y12" s="629" t="e">
        <f>Y10*Y11</f>
        <v>#DIV/0!</v>
      </c>
      <c r="Z12" s="629" t="e">
        <f>Z10*Z11</f>
        <v>#DIV/0!</v>
      </c>
    </row>
    <row r="13" spans="1:26">
      <c r="A13" s="72">
        <f>A12+1</f>
        <v>6</v>
      </c>
      <c r="B13" s="177" t="s">
        <v>634</v>
      </c>
      <c r="E13" s="3630">
        <v>0</v>
      </c>
      <c r="F13" s="3631"/>
      <c r="G13" s="4596">
        <v>0</v>
      </c>
      <c r="H13" s="4597"/>
      <c r="I13" s="3376">
        <v>0</v>
      </c>
      <c r="J13" s="3377"/>
      <c r="K13" s="3582">
        <v>0</v>
      </c>
      <c r="L13" s="3583"/>
      <c r="M13" s="3342">
        <v>0</v>
      </c>
      <c r="N13" s="3343"/>
      <c r="O13" s="4035">
        <v>0</v>
      </c>
      <c r="P13" s="4059"/>
      <c r="Q13" s="4046">
        <v>0</v>
      </c>
      <c r="R13" s="4072"/>
      <c r="S13" s="4250">
        <v>0</v>
      </c>
      <c r="T13" s="522"/>
      <c r="X13" s="629">
        <v>0</v>
      </c>
      <c r="Y13" s="629">
        <v>0</v>
      </c>
      <c r="Z13" s="629">
        <v>0</v>
      </c>
    </row>
    <row r="14" spans="1:26">
      <c r="A14" s="72">
        <v>7</v>
      </c>
      <c r="B14" s="94" t="s">
        <v>1566</v>
      </c>
      <c r="E14" s="3630" t="e">
        <f>E12+E13</f>
        <v>#DIV/0!</v>
      </c>
      <c r="F14" s="3631"/>
      <c r="G14" s="4596" t="e">
        <f>G12+G13</f>
        <v>#DIV/0!</v>
      </c>
      <c r="H14" s="4597"/>
      <c r="I14" s="3376" t="e">
        <f>I12+I13</f>
        <v>#DIV/0!</v>
      </c>
      <c r="J14" s="3377"/>
      <c r="K14" s="3582" t="e">
        <f>K12+K13</f>
        <v>#DIV/0!</v>
      </c>
      <c r="L14" s="3583"/>
      <c r="M14" s="3342" t="e">
        <f>M12+M13</f>
        <v>#DIV/0!</v>
      </c>
      <c r="N14" s="3343"/>
      <c r="O14" s="4035" t="e">
        <f>O12+O13</f>
        <v>#DIV/0!</v>
      </c>
      <c r="P14" s="4059"/>
      <c r="Q14" s="4046" t="e">
        <f>Q12+Q13</f>
        <v>#DIV/0!</v>
      </c>
      <c r="R14" s="4072"/>
      <c r="S14" s="4250" t="e">
        <f>S12+S13</f>
        <v>#DIV/0!</v>
      </c>
      <c r="T14" s="522"/>
      <c r="X14" s="629" t="e">
        <f>X12+X13</f>
        <v>#DIV/0!</v>
      </c>
      <c r="Y14" s="629" t="e">
        <f>Y12+Y13</f>
        <v>#DIV/0!</v>
      </c>
      <c r="Z14" s="629" t="e">
        <f>Z12+Z13</f>
        <v>#DIV/0!</v>
      </c>
    </row>
    <row r="15" spans="1:26">
      <c r="A15" s="962">
        <v>8</v>
      </c>
      <c r="B15" t="s">
        <v>2693</v>
      </c>
      <c r="E15" s="3630">
        <f>'Calc Data-SB1'!C71</f>
        <v>0</v>
      </c>
      <c r="F15" s="3631"/>
      <c r="G15" s="4596">
        <f>'Calc Data-SB1'!D71</f>
        <v>0</v>
      </c>
      <c r="H15" s="4597"/>
      <c r="I15" s="3376">
        <f>'Calc Data-SB1'!E71</f>
        <v>0</v>
      </c>
      <c r="J15" s="3377"/>
      <c r="K15" s="3582">
        <f>'Calc Data-SB1'!F71</f>
        <v>0</v>
      </c>
      <c r="L15" s="3583"/>
      <c r="M15" s="3342">
        <f>'Calc Data-SB1'!G71</f>
        <v>0</v>
      </c>
      <c r="N15" s="3343"/>
      <c r="O15" s="4035">
        <f>'Calc Data-SB1'!H71</f>
        <v>0</v>
      </c>
      <c r="P15" s="4059"/>
      <c r="Q15" s="4046">
        <f>'Calc Data-SB1'!I71</f>
        <v>0</v>
      </c>
      <c r="R15" s="4072"/>
      <c r="S15" s="4250">
        <f>'Calc Data-SB1'!E71</f>
        <v>0</v>
      </c>
      <c r="T15" s="522"/>
      <c r="X15" s="629">
        <f>'Calc Data-SB1'!C71</f>
        <v>0</v>
      </c>
      <c r="Y15" s="629">
        <f>'Calc Data-SB1'!D71</f>
        <v>0</v>
      </c>
      <c r="Z15" s="629">
        <f>'Calc Data-SB1'!E71</f>
        <v>0</v>
      </c>
    </row>
    <row r="16" spans="1:26">
      <c r="A16" s="72">
        <v>9</v>
      </c>
      <c r="B16" t="s">
        <v>1259</v>
      </c>
      <c r="E16" s="3630">
        <f>'Calc Data-SB1'!C65</f>
        <v>0</v>
      </c>
      <c r="F16" s="3631"/>
      <c r="G16" s="4596">
        <f>'Calc Data-SB1'!D65</f>
        <v>0</v>
      </c>
      <c r="H16" s="4597"/>
      <c r="I16" s="3376">
        <f>'Calc Data-SB1'!E65</f>
        <v>0</v>
      </c>
      <c r="J16" s="3377"/>
      <c r="K16" s="3582">
        <f>'Calc Data-SB1'!F65</f>
        <v>0</v>
      </c>
      <c r="L16" s="3583"/>
      <c r="M16" s="3342">
        <f>'Calc Data-SB1'!G65</f>
        <v>0</v>
      </c>
      <c r="N16" s="3343"/>
      <c r="O16" s="4035">
        <f>'Calc Data-SB1'!H65</f>
        <v>0</v>
      </c>
      <c r="P16" s="4059"/>
      <c r="Q16" s="4046">
        <f>'Calc Data-SB1'!I65</f>
        <v>0</v>
      </c>
      <c r="R16" s="4072"/>
      <c r="S16" s="4250">
        <f>'Calc Data-SB1'!E65</f>
        <v>0</v>
      </c>
      <c r="T16" s="522"/>
      <c r="X16" s="629">
        <f>'Calc Data-SB1'!C65</f>
        <v>0</v>
      </c>
      <c r="Y16" s="629">
        <f>'Calc Data-SB1'!D65</f>
        <v>0</v>
      </c>
      <c r="Z16" s="629">
        <f>'Calc Data-SB1'!E65</f>
        <v>0</v>
      </c>
    </row>
    <row r="17" spans="1:26">
      <c r="A17" s="72">
        <f>A16+1</f>
        <v>10</v>
      </c>
      <c r="B17" s="177" t="s">
        <v>635</v>
      </c>
      <c r="E17" s="3630">
        <v>0</v>
      </c>
      <c r="F17" s="3631"/>
      <c r="G17" s="4596">
        <v>0</v>
      </c>
      <c r="H17" s="4597"/>
      <c r="I17" s="3376">
        <v>0</v>
      </c>
      <c r="J17" s="3377"/>
      <c r="K17" s="3582">
        <v>0</v>
      </c>
      <c r="L17" s="3583"/>
      <c r="M17" s="3342">
        <v>0</v>
      </c>
      <c r="N17" s="3343"/>
      <c r="O17" s="4035">
        <v>0</v>
      </c>
      <c r="P17" s="4059"/>
      <c r="Q17" s="4046">
        <v>0</v>
      </c>
      <c r="R17" s="4072"/>
      <c r="S17" s="4250">
        <v>0</v>
      </c>
      <c r="T17" s="522"/>
      <c r="X17" s="629">
        <v>0</v>
      </c>
      <c r="Y17" s="629">
        <v>0</v>
      </c>
      <c r="Z17" s="629">
        <v>0</v>
      </c>
    </row>
    <row r="18" spans="1:26">
      <c r="A18" s="72">
        <f>A17+1</f>
        <v>11</v>
      </c>
      <c r="B18" t="s">
        <v>1567</v>
      </c>
      <c r="E18" s="3630">
        <f>23.63*Weights!H7*'Data Entry - SOF'!C115</f>
        <v>0</v>
      </c>
      <c r="F18" s="3631"/>
      <c r="G18" s="4596">
        <f>E18</f>
        <v>0</v>
      </c>
      <c r="H18" s="4597"/>
      <c r="I18" s="3376">
        <f>G18</f>
        <v>0</v>
      </c>
      <c r="J18" s="3377"/>
      <c r="K18" s="3582">
        <f>I18</f>
        <v>0</v>
      </c>
      <c r="L18" s="3583"/>
      <c r="M18" s="3342">
        <f>K18</f>
        <v>0</v>
      </c>
      <c r="N18" s="3343"/>
      <c r="O18" s="4035">
        <f>M18</f>
        <v>0</v>
      </c>
      <c r="P18" s="4059"/>
      <c r="Q18" s="4046">
        <f>O18</f>
        <v>0</v>
      </c>
      <c r="R18" s="4072"/>
      <c r="S18" s="4250">
        <f>E18</f>
        <v>0</v>
      </c>
      <c r="T18" s="2479"/>
      <c r="X18" s="629">
        <f>23.63*'Data Entry - SOF'!C115</f>
        <v>0</v>
      </c>
      <c r="Y18" s="629">
        <f>V18</f>
        <v>0</v>
      </c>
      <c r="Z18" s="629">
        <f>Y18</f>
        <v>0</v>
      </c>
    </row>
    <row r="19" spans="1:26">
      <c r="E19" s="3632"/>
      <c r="F19" s="3633"/>
      <c r="H19" s="4583"/>
      <c r="J19" s="3367"/>
      <c r="L19" s="3584"/>
      <c r="N19" s="3344"/>
      <c r="O19" s="4035"/>
      <c r="P19" s="4059"/>
      <c r="Q19" s="4046"/>
      <c r="R19" s="4072"/>
      <c r="S19" s="4250"/>
      <c r="T19" s="522"/>
    </row>
    <row r="20" spans="1:26" ht="15.75">
      <c r="A20" s="962">
        <f>A18+1</f>
        <v>12</v>
      </c>
      <c r="B20" s="132" t="s">
        <v>1570</v>
      </c>
      <c r="C20" s="961"/>
      <c r="D20" s="961"/>
      <c r="E20" s="3634" t="e">
        <f>E12+E15+E16+E17+E18</f>
        <v>#DIV/0!</v>
      </c>
      <c r="F20" s="3635" t="e">
        <f>E20</f>
        <v>#DIV/0!</v>
      </c>
      <c r="G20" s="4598" t="e">
        <f>G12+G15+G16+G17+G18</f>
        <v>#DIV/0!</v>
      </c>
      <c r="H20" s="4599" t="e">
        <f>G20</f>
        <v>#DIV/0!</v>
      </c>
      <c r="I20" s="3567" t="e">
        <f>I12+I15+I16+I17+I18</f>
        <v>#DIV/0!</v>
      </c>
      <c r="J20" s="3600" t="e">
        <f>I20</f>
        <v>#DIV/0!</v>
      </c>
      <c r="K20" s="3601" t="e">
        <f>K12+K15+K16+K17+K18</f>
        <v>#DIV/0!</v>
      </c>
      <c r="L20" s="3602" t="e">
        <f>K20</f>
        <v>#DIV/0!</v>
      </c>
      <c r="M20" s="3360" t="e">
        <f>M12+M15+M16+M17+M18</f>
        <v>#DIV/0!</v>
      </c>
      <c r="N20" s="3566" t="e">
        <f>M20</f>
        <v>#DIV/0!</v>
      </c>
      <c r="O20" s="4026" t="e">
        <f>O12+O15+O16+O17+O18</f>
        <v>#DIV/0!</v>
      </c>
      <c r="P20" s="4060" t="e">
        <f>O20</f>
        <v>#DIV/0!</v>
      </c>
      <c r="Q20" s="4047" t="e">
        <f>Q12+Q15+Q16+Q17+Q18</f>
        <v>#DIV/0!</v>
      </c>
      <c r="R20" s="4060" t="e">
        <f>Q20</f>
        <v>#DIV/0!</v>
      </c>
      <c r="S20" s="4250" t="e">
        <f>S12+S15+S16+S17+S18</f>
        <v>#DIV/0!</v>
      </c>
      <c r="T20" s="522"/>
      <c r="U20" s="121"/>
      <c r="X20" s="965" t="e">
        <f>X12+X15+X16+X17+X18</f>
        <v>#DIV/0!</v>
      </c>
      <c r="Y20" s="965" t="e">
        <f>Y12+Y15+Y16+Y17+Y18</f>
        <v>#DIV/0!</v>
      </c>
      <c r="Z20" s="965" t="e">
        <f>Z12+Z15+Z16+Z17+Z18</f>
        <v>#DIV/0!</v>
      </c>
    </row>
    <row r="21" spans="1:26">
      <c r="E21" s="3632"/>
      <c r="F21" s="3633"/>
      <c r="H21" s="4583"/>
      <c r="J21" s="3367"/>
      <c r="L21" s="3585"/>
      <c r="N21" s="3345"/>
      <c r="O21" s="4035"/>
      <c r="P21" s="4059"/>
      <c r="Q21" s="4046"/>
      <c r="R21" s="4072"/>
      <c r="S21" s="4251"/>
      <c r="T21" s="522"/>
      <c r="X21" s="618"/>
      <c r="Y21" s="618"/>
      <c r="Z21" s="618"/>
    </row>
    <row r="22" spans="1:26">
      <c r="A22" s="72">
        <v>13</v>
      </c>
      <c r="B22" t="s">
        <v>2829</v>
      </c>
      <c r="E22" s="3636">
        <f>'SOF1617-SB1'!F49</f>
        <v>0</v>
      </c>
      <c r="F22" s="3637">
        <f>'SOF1617-SB1'!J49</f>
        <v>0</v>
      </c>
      <c r="G22" s="4600">
        <f>'SOF1718-SB1'!F49</f>
        <v>0</v>
      </c>
      <c r="H22" s="4601"/>
      <c r="I22" s="3379">
        <f>'SOF1819-SB1'!F49</f>
        <v>0</v>
      </c>
      <c r="J22" s="3380"/>
      <c r="K22" s="3586">
        <f>'SOF1920-SB1'!F49</f>
        <v>0</v>
      </c>
      <c r="L22" s="3587"/>
      <c r="M22" s="3346">
        <f>'SOF2021-SB1'!H49</f>
        <v>0</v>
      </c>
      <c r="N22" s="3347"/>
      <c r="O22" s="4035">
        <f>'SOF2122-SB1'!H49</f>
        <v>0</v>
      </c>
      <c r="P22" s="4059"/>
      <c r="Q22" s="4046">
        <f>'SOF2223-SB1'!H49</f>
        <v>0</v>
      </c>
      <c r="R22" s="4072"/>
      <c r="S22" s="4250" t="e">
        <f>'SOF1718-SB1'!Q49</f>
        <v>#DIV/0!</v>
      </c>
      <c r="T22" s="522"/>
      <c r="X22" s="632">
        <f>'SOF1617-HB3646'!F49</f>
        <v>0</v>
      </c>
      <c r="Y22" s="632">
        <f>'SOF1718-HB3646'!F49</f>
        <v>0</v>
      </c>
      <c r="Z22" s="632">
        <f>'SOF1819-HB3646'!F49</f>
        <v>0</v>
      </c>
    </row>
    <row r="23" spans="1:26">
      <c r="A23" s="72">
        <v>14</v>
      </c>
      <c r="B23" t="s">
        <v>2261</v>
      </c>
      <c r="E23" s="3630" t="e">
        <f>'Calc Data-SB1'!AC36</f>
        <v>#DIV/0!</v>
      </c>
      <c r="F23" s="3631" t="e">
        <f>'Calc Data-15K'!AD36</f>
        <v>#DIV/0!</v>
      </c>
      <c r="G23" s="4596" t="e">
        <f>'Calc Data-SB1'!AG36</f>
        <v>#DIV/0!</v>
      </c>
      <c r="H23" s="4597"/>
      <c r="I23" s="3376" t="e">
        <f>'Calc Data-SB1'!AK36</f>
        <v>#DIV/0!</v>
      </c>
      <c r="J23" s="3377"/>
      <c r="K23" s="3582" t="e">
        <f>'Calc Data-SB1'!AO36</f>
        <v>#DIV/0!</v>
      </c>
      <c r="L23" s="3583"/>
      <c r="M23" s="3342" t="e">
        <f>'Calc Data-SB1'!AS36</f>
        <v>#DIV/0!</v>
      </c>
      <c r="N23" s="3343"/>
      <c r="O23" s="4035" t="e">
        <f>'Calc Data-SB1'!AX36</f>
        <v>#DIV/0!</v>
      </c>
      <c r="P23" s="4059"/>
      <c r="Q23" s="4046" t="e">
        <f>'Calc Data-SB1'!BC36</f>
        <v>#DIV/0!</v>
      </c>
      <c r="R23" s="4072"/>
      <c r="S23" s="4250" t="e">
        <f>IF(FracFunding1718!E24&lt;=0,'Calc Data-SB1'!D30,'Calc Data-SB1'!Y50)</f>
        <v>#DIV/0!</v>
      </c>
      <c r="T23" s="522"/>
      <c r="X23" s="629" t="e">
        <f>E23</f>
        <v>#DIV/0!</v>
      </c>
      <c r="Y23" s="629" t="e">
        <f>G23</f>
        <v>#DIV/0!</v>
      </c>
      <c r="Z23" s="629" t="e">
        <f>I23</f>
        <v>#DIV/0!</v>
      </c>
    </row>
    <row r="24" spans="1:26">
      <c r="A24" s="72">
        <v>15</v>
      </c>
      <c r="B24" t="s">
        <v>2262</v>
      </c>
      <c r="E24" s="3630" t="e">
        <f>IF('Option Costs-ASATR'!C57="N",MAX('Option Costs-ASATR'!C54,'Option Costs-ASATR'!E54),MIN('Option Costs-ASATR'!C54,'Option Costs-ASATR'!E54))</f>
        <v>#DIV/0!</v>
      </c>
      <c r="F24" s="3631" t="e">
        <f>IF('Option Costs-15K-ASATR'!C57="N",MAX('Option Costs-15K-ASATR'!C54,'Option Costs-15K-ASATR'!E54),MIN('Option Costs-15K-ASATR'!C54,'Option Costs-15K-ASATR'!E54))</f>
        <v>#DIV/0!</v>
      </c>
      <c r="G24" s="4596" t="e">
        <f>IF('Option Costs-ASATR'!K57="N",MAX('Option Costs-ASATR'!K54,'Option Costs-ASATR'!M54),MIN('Option Costs-ASATR'!K54,'Option Costs-ASATR'!M54))</f>
        <v>#DIV/0!</v>
      </c>
      <c r="H24" s="4597"/>
      <c r="I24" s="3376" t="e">
        <f>IF('Option Costs-ASATR'!S57="N",MAX('Option Costs-ASATR'!S54,'Option Costs-ASATR'!U54),MIN('Option Costs-ASATR'!S54,'Option Costs-ASATR'!U54))</f>
        <v>#DIV/0!</v>
      </c>
      <c r="J24" s="3377"/>
      <c r="K24" s="3582" t="e">
        <f>IF('Option Costs-ASATR'!AA57="N",MAX('Option Costs-ASATR'!AA54,'Option Costs-ASATR'!AC54),MIN('Option Costs-ASATR'!AA54,'Option Costs-ASATR'!AC54))</f>
        <v>#DIV/0!</v>
      </c>
      <c r="L24" s="3583"/>
      <c r="M24" s="3342" t="e">
        <f>IF('Option Costs-ASATR'!AI57="N",MAX('Option Costs-ASATR'!AI54,'Option Costs-ASATR'!AK54),MIN('Option Costs-ASATR'!AI54,'Option Costs-ASATR'!AK54))</f>
        <v>#DIV/0!</v>
      </c>
      <c r="N24" s="3343"/>
      <c r="O24" s="4035" t="e">
        <f>IF('Option Costs-ASATR'!AQ57="N",MAX('Option Costs-ASATR'!AQ54,'Option Costs-ASATR'!AS54),MIN('Option Costs-ASATR'!AQ54,'Option Costs-ASATR'!AS54))</f>
        <v>#DIV/0!</v>
      </c>
      <c r="P24" s="4059"/>
      <c r="Q24" s="4046" t="e">
        <f>IF('Option Costs-ASATR'!AY57="N",MAX('Option Costs-ASATR'!AY54,'Option Costs-ASATR'!BA54),MIN('Option Costs-ASATR'!AY54,'Option Costs-ASATR'!BA54))</f>
        <v>#DIV/0!</v>
      </c>
      <c r="R24" s="4072"/>
      <c r="S24" s="4250" t="e">
        <f>IF(FracFunding1718!E24&lt;=0,U24,V24)</f>
        <v>#DIV/0!</v>
      </c>
      <c r="T24" s="2479" t="s">
        <v>7829</v>
      </c>
      <c r="U24" s="2480" t="e">
        <f>IF('Option Costs-HB3646'!BH57="N",MAX('Option Costs-HB3646'!BH54,'Option Costs-HB3646'!BI54),MIN('Option Costs-HB3646'!BH54,'Option Costs-HB3646'!BI54))</f>
        <v>#DIV/0!</v>
      </c>
      <c r="V24" s="2480" t="e">
        <f>IF('Option Costs-HB3646'!BH57="N",MAX('Option Costs-HB3646'!BH85,'Option Costs-HB3646'!BI85),MIN('Option Costs-HB3646'!BH85,'Option Costs-HB3646'!BI85))</f>
        <v>#DIV/0!</v>
      </c>
      <c r="X24" s="776" t="e">
        <f>IF('Option Costs-HB3646'!DB57="N",MAX('Option Costs-HB3646'!DB54,'Option Costs-HB3646'!DD54),MIN('Option Costs-HB3646'!DB54,'Option Costs-HB3646'!DD54))</f>
        <v>#DIV/0!</v>
      </c>
      <c r="Y24" s="776" t="e">
        <f>IF('Option Costs-HB3646'!DR57="N",MAX('Option Costs-HB3646'!DR54,'Option Costs-HB3646'!DT54),MIN('Option Costs-HB3646'!DR54,'Option Costs-HB3646'!DT54))</f>
        <v>#DIV/0!</v>
      </c>
      <c r="Z24" s="776" t="e">
        <f>IF('Option Costs-HB3646'!DZ57="N",MAX('Option Costs-HB3646'!DZ54,'Option Costs-HB3646'!EB54),MIN('Option Costs-HB3646'!DZ54,'Option Costs-HB3646'!EB54))</f>
        <v>#DIV/0!</v>
      </c>
    </row>
    <row r="25" spans="1:26" ht="15.75">
      <c r="A25" s="72">
        <v>16</v>
      </c>
      <c r="B25" s="132" t="s">
        <v>2263</v>
      </c>
      <c r="C25" s="961"/>
      <c r="D25" s="961"/>
      <c r="E25" s="3994" t="e">
        <f>E22+E23-E24</f>
        <v>#DIV/0!</v>
      </c>
      <c r="F25" s="4003" t="e">
        <f>F22+F23-F24</f>
        <v>#DIV/0!</v>
      </c>
      <c r="G25" s="4598" t="e">
        <f>G22+G23-G24</f>
        <v>#DIV/0!</v>
      </c>
      <c r="H25" s="4599"/>
      <c r="I25" s="3567" t="e">
        <f>I22+I23-I24</f>
        <v>#DIV/0!</v>
      </c>
      <c r="J25" s="3568"/>
      <c r="K25" s="3569" t="e">
        <f>K22+K23-K24</f>
        <v>#DIV/0!</v>
      </c>
      <c r="L25" s="3570"/>
      <c r="M25" s="3571" t="e">
        <f>M22+M23-M24</f>
        <v>#DIV/0!</v>
      </c>
      <c r="N25" s="3566"/>
      <c r="O25" s="4036" t="e">
        <f>O22+O23-O24</f>
        <v>#DIV/0!</v>
      </c>
      <c r="P25" s="4061"/>
      <c r="Q25" s="4048" t="e">
        <f>Q22+Q23-Q24</f>
        <v>#DIV/0!</v>
      </c>
      <c r="R25" s="4061"/>
      <c r="S25" s="4250" t="e">
        <f>S22+S23-S24</f>
        <v>#DIV/0!</v>
      </c>
      <c r="T25" s="522"/>
      <c r="X25" s="965" t="e">
        <f>X22+X23-X24</f>
        <v>#DIV/0!</v>
      </c>
      <c r="Y25" s="965" t="e">
        <f>Y22+Y23-Y24</f>
        <v>#DIV/0!</v>
      </c>
      <c r="Z25" s="965" t="e">
        <f>Z22+Z23-Z24</f>
        <v>#DIV/0!</v>
      </c>
    </row>
    <row r="26" spans="1:26" ht="15.75">
      <c r="B26" s="132"/>
      <c r="C26" s="961"/>
      <c r="D26" s="961"/>
      <c r="E26" s="3983"/>
      <c r="F26" s="4004"/>
      <c r="G26" s="4602"/>
      <c r="H26" s="4603"/>
      <c r="I26" s="3382"/>
      <c r="J26" s="3383"/>
      <c r="K26" s="3589"/>
      <c r="L26" s="3590"/>
      <c r="M26" s="3349"/>
      <c r="N26" s="3350"/>
      <c r="O26" s="3758"/>
      <c r="P26" s="4062"/>
      <c r="Q26" s="3982"/>
      <c r="R26" s="4073"/>
      <c r="S26" s="4252"/>
      <c r="T26" s="522"/>
      <c r="X26" s="963"/>
      <c r="Y26" s="963"/>
      <c r="Z26" s="963"/>
    </row>
    <row r="27" spans="1:26" s="880" customFormat="1" ht="18">
      <c r="A27" s="938">
        <v>17</v>
      </c>
      <c r="B27" s="3330" t="s">
        <v>2258</v>
      </c>
      <c r="C27" s="881"/>
      <c r="D27" s="881"/>
      <c r="E27" s="3995" t="e">
        <f t="shared" ref="E27:K27" si="0">IF(E25&gt;E20,0,E20-E25)</f>
        <v>#DIV/0!</v>
      </c>
      <c r="F27" s="4005" t="e">
        <f t="shared" si="0"/>
        <v>#DIV/0!</v>
      </c>
      <c r="G27" s="4604" t="e">
        <f t="shared" si="0"/>
        <v>#DIV/0!</v>
      </c>
      <c r="H27" s="4605"/>
      <c r="I27" s="4000" t="e">
        <f t="shared" si="0"/>
        <v>#DIV/0!</v>
      </c>
      <c r="J27" s="4015"/>
      <c r="K27" s="4000" t="e">
        <f t="shared" si="0"/>
        <v>#DIV/0!</v>
      </c>
      <c r="L27" s="4017"/>
      <c r="M27" s="4026" t="e">
        <f>IF(M25&gt;M20,0,M20-M25)</f>
        <v>#DIV/0!</v>
      </c>
      <c r="N27" s="4017"/>
      <c r="O27" s="4026" t="e">
        <f>IF(O25&gt;O20,0,O20-O25)</f>
        <v>#DIV/0!</v>
      </c>
      <c r="P27" s="4060"/>
      <c r="Q27" s="4047" t="e">
        <f>IF(Q25&gt;Q20,0,Q20-Q25)</f>
        <v>#DIV/0!</v>
      </c>
      <c r="R27" s="4060"/>
      <c r="S27" s="4250" t="e">
        <f>IF(S25&gt;S20,0,S20-S25)</f>
        <v>#DIV/0!</v>
      </c>
      <c r="T27" s="3331"/>
      <c r="X27" s="966" t="e">
        <f>IF(X25&gt;X20,0,X20-X25)</f>
        <v>#DIV/0!</v>
      </c>
      <c r="Y27" s="966" t="e">
        <f>IF(Y25&gt;Y20,0,Y20-Y25)</f>
        <v>#DIV/0!</v>
      </c>
      <c r="Z27" s="966" t="e">
        <f>IF(Z25&gt;Z20,0,Z20-Z25)</f>
        <v>#DIV/0!</v>
      </c>
    </row>
    <row r="28" spans="1:26" ht="18">
      <c r="B28" s="964"/>
      <c r="C28" s="881"/>
      <c r="D28" s="881"/>
      <c r="E28" s="3984"/>
      <c r="F28" s="4006"/>
      <c r="G28" s="4606"/>
      <c r="H28" s="4607"/>
      <c r="I28" s="3384"/>
      <c r="J28" s="3385"/>
      <c r="K28" s="3591"/>
      <c r="L28" s="3592"/>
      <c r="M28" s="3351"/>
      <c r="N28" s="3352"/>
      <c r="O28" s="3758"/>
      <c r="P28" s="4062"/>
      <c r="Q28" s="3982"/>
      <c r="R28" s="4073"/>
      <c r="S28" s="4253"/>
      <c r="T28" s="522"/>
      <c r="X28" s="947"/>
      <c r="Y28" s="947"/>
      <c r="Z28" s="947"/>
    </row>
    <row r="29" spans="1:26" ht="14.25" customHeight="1">
      <c r="E29" s="3632"/>
      <c r="F29" s="3633"/>
      <c r="H29" s="4583"/>
      <c r="J29" s="3367"/>
      <c r="L29" s="3573"/>
      <c r="M29" s="3389"/>
      <c r="N29" s="3333"/>
      <c r="O29" s="3758"/>
      <c r="P29" s="4062"/>
      <c r="Q29" s="3982"/>
      <c r="R29" s="4073"/>
      <c r="S29" s="4251"/>
      <c r="T29" s="522"/>
      <c r="X29" s="882"/>
      <c r="Y29" s="882"/>
      <c r="Z29" s="882"/>
    </row>
    <row r="30" spans="1:26">
      <c r="A30" s="72">
        <v>18</v>
      </c>
      <c r="B30" t="s">
        <v>1571</v>
      </c>
      <c r="E30" s="3630" t="e">
        <f>IF(E27=0,E25,E20)</f>
        <v>#DIV/0!</v>
      </c>
      <c r="F30" s="3631"/>
      <c r="G30" s="4596" t="e">
        <f>G25</f>
        <v>#DIV/0!</v>
      </c>
      <c r="H30" s="4597"/>
      <c r="I30" s="3376" t="e">
        <f>I25</f>
        <v>#DIV/0!</v>
      </c>
      <c r="J30" s="3377"/>
      <c r="K30" s="3593" t="e">
        <f>K25</f>
        <v>#DIV/0!</v>
      </c>
      <c r="L30" s="3583"/>
      <c r="M30" s="3353" t="e">
        <f>M25</f>
        <v>#DIV/0!</v>
      </c>
      <c r="N30" s="3343"/>
      <c r="O30" s="3758" t="e">
        <f>O25</f>
        <v>#DIV/0!</v>
      </c>
      <c r="P30" s="4062"/>
      <c r="Q30" s="3982" t="e">
        <f>Q25</f>
        <v>#DIV/0!</v>
      </c>
      <c r="R30" s="4073"/>
      <c r="S30" s="4250" t="e">
        <f>IF(S27=0,S25,S20)</f>
        <v>#DIV/0!</v>
      </c>
      <c r="T30" s="522"/>
      <c r="X30" s="884" t="e">
        <f>IF(X27=0,X25,X20)</f>
        <v>#DIV/0!</v>
      </c>
      <c r="Y30" s="884" t="e">
        <f>IF(Y27=0,Y25,Y20)</f>
        <v>#DIV/0!</v>
      </c>
      <c r="Z30" s="884" t="e">
        <f>IF(Z27=0,Z25,Z20)</f>
        <v>#DIV/0!</v>
      </c>
    </row>
    <row r="31" spans="1:26">
      <c r="A31" s="72">
        <v>19</v>
      </c>
      <c r="B31" t="s">
        <v>1572</v>
      </c>
      <c r="E31" s="3630" t="e">
        <f>E30/E11</f>
        <v>#DIV/0!</v>
      </c>
      <c r="F31" s="3631"/>
      <c r="G31" s="4596" t="e">
        <f>G30/'Calc Data-SB1'!D25</f>
        <v>#DIV/0!</v>
      </c>
      <c r="H31" s="4597"/>
      <c r="I31" s="3376" t="e">
        <f>I30/'Calc Data-SB1'!E25</f>
        <v>#DIV/0!</v>
      </c>
      <c r="J31" s="3377"/>
      <c r="K31" s="3593" t="e">
        <f>K30/'Calc Data-SB1'!F25</f>
        <v>#DIV/0!</v>
      </c>
      <c r="L31" s="3583"/>
      <c r="M31" s="3353" t="e">
        <f>M30/'Calc Data-SB1'!G25</f>
        <v>#DIV/0!</v>
      </c>
      <c r="N31" s="3343"/>
      <c r="O31" s="3758" t="e">
        <f>O30/'Calc Data-SB1'!H25</f>
        <v>#DIV/0!</v>
      </c>
      <c r="P31" s="4062"/>
      <c r="Q31" s="3982" t="e">
        <f>Q30/'Calc Data-SB1'!I25</f>
        <v>#DIV/0!</v>
      </c>
      <c r="R31" s="4073"/>
      <c r="S31" s="4250" t="e">
        <f>S30/S11</f>
        <v>#DIV/0!</v>
      </c>
      <c r="T31" s="522"/>
      <c r="X31" s="939" t="e">
        <f>X30/X11</f>
        <v>#DIV/0!</v>
      </c>
      <c r="Y31" s="939" t="e">
        <f>Y30/Y11</f>
        <v>#DIV/0!</v>
      </c>
      <c r="Z31" s="939" t="e">
        <f>Z30/Z11</f>
        <v>#DIV/0!</v>
      </c>
    </row>
    <row r="32" spans="1:26">
      <c r="F32" s="2841"/>
      <c r="H32" s="4583"/>
      <c r="J32" s="3367"/>
      <c r="L32" s="3573"/>
      <c r="N32" s="3333"/>
      <c r="O32" s="3758"/>
      <c r="P32" s="4062"/>
      <c r="Q32" s="3982"/>
      <c r="R32" s="4073"/>
    </row>
    <row r="33" spans="1:18" ht="18">
      <c r="A33" s="941"/>
      <c r="E33" s="3361" t="s">
        <v>4524</v>
      </c>
      <c r="F33" s="4007" t="s">
        <v>3613</v>
      </c>
      <c r="G33" s="4608" t="s">
        <v>3673</v>
      </c>
      <c r="H33" s="4609" t="s">
        <v>3673</v>
      </c>
      <c r="I33" s="4013" t="s">
        <v>3830</v>
      </c>
      <c r="J33" s="4024" t="s">
        <v>3830</v>
      </c>
      <c r="K33" s="3597" t="s">
        <v>3903</v>
      </c>
      <c r="L33" s="4028" t="s">
        <v>3903</v>
      </c>
      <c r="M33" s="4001" t="s">
        <v>4592</v>
      </c>
      <c r="N33" s="4016" t="s">
        <v>4592</v>
      </c>
      <c r="O33" s="4033" t="s">
        <v>7097</v>
      </c>
      <c r="P33" s="4057" t="str">
        <f>P7</f>
        <v>2021-22</v>
      </c>
      <c r="Q33" s="4044" t="s">
        <v>7733</v>
      </c>
      <c r="R33" s="4057" t="str">
        <f>R7</f>
        <v>2022-23</v>
      </c>
    </row>
    <row r="34" spans="1:18" ht="18">
      <c r="A34" s="941"/>
      <c r="B34" s="942"/>
      <c r="C34" s="942"/>
      <c r="D34" s="942"/>
      <c r="E34" s="3612" t="s">
        <v>4475</v>
      </c>
      <c r="F34" s="4008" t="s">
        <v>4475</v>
      </c>
      <c r="G34" s="4610" t="s">
        <v>4475</v>
      </c>
      <c r="H34" s="4611" t="s">
        <v>4475</v>
      </c>
      <c r="I34" s="4002" t="s">
        <v>4475</v>
      </c>
      <c r="J34" s="4008" t="s">
        <v>4475</v>
      </c>
      <c r="K34" s="4002" t="s">
        <v>4475</v>
      </c>
      <c r="L34" s="4008" t="s">
        <v>4475</v>
      </c>
      <c r="M34" s="4002" t="s">
        <v>4475</v>
      </c>
      <c r="N34" s="4008" t="s">
        <v>4475</v>
      </c>
      <c r="O34" s="4002" t="s">
        <v>4475</v>
      </c>
      <c r="P34" s="4063" t="s">
        <v>4475</v>
      </c>
      <c r="Q34" s="4049" t="s">
        <v>4475</v>
      </c>
      <c r="R34" s="4063" t="s">
        <v>4475</v>
      </c>
    </row>
    <row r="35" spans="1:18" ht="18">
      <c r="A35" s="941"/>
      <c r="B35" s="942"/>
      <c r="E35" s="3991" t="e">
        <f>E20</f>
        <v>#DIV/0!</v>
      </c>
      <c r="F35" s="4009" t="e">
        <f>E35</f>
        <v>#DIV/0!</v>
      </c>
      <c r="G35" s="4612" t="e">
        <f>G20</f>
        <v>#DIV/0!</v>
      </c>
      <c r="H35" s="4613" t="e">
        <f>H20</f>
        <v>#DIV/0!</v>
      </c>
      <c r="I35" s="3987" t="e">
        <f>I20</f>
        <v>#DIV/0!</v>
      </c>
      <c r="J35" s="3988" t="e">
        <f>J20</f>
        <v>#DIV/0!</v>
      </c>
      <c r="K35" s="4022" t="e">
        <f>K20</f>
        <v>#DIV/0!</v>
      </c>
      <c r="L35" s="3989" t="e">
        <f>K35</f>
        <v>#DIV/0!</v>
      </c>
      <c r="M35" s="3985" t="e">
        <f>M20</f>
        <v>#DIV/0!</v>
      </c>
      <c r="N35" s="3986" t="e">
        <f>M35</f>
        <v>#DIV/0!</v>
      </c>
      <c r="O35" s="4026" t="e">
        <f>O20</f>
        <v>#DIV/0!</v>
      </c>
      <c r="P35" s="4060" t="e">
        <f>O35</f>
        <v>#DIV/0!</v>
      </c>
      <c r="Q35" s="4047" t="e">
        <f>Q20</f>
        <v>#DIV/0!</v>
      </c>
      <c r="R35" s="4060" t="e">
        <f>Q35</f>
        <v>#DIV/0!</v>
      </c>
    </row>
    <row r="36" spans="1:18" ht="18">
      <c r="A36" s="941"/>
      <c r="B36" s="942"/>
      <c r="E36" s="3061"/>
      <c r="F36" s="3062"/>
      <c r="H36" s="4583"/>
      <c r="J36" s="3367"/>
      <c r="L36" s="3573"/>
      <c r="N36" s="3333"/>
      <c r="O36" s="4035"/>
      <c r="P36" s="4059"/>
      <c r="Q36" s="4046"/>
      <c r="R36" s="4072"/>
    </row>
    <row r="37" spans="1:18" ht="18">
      <c r="A37" s="941"/>
      <c r="B37" s="942"/>
      <c r="E37" s="3091">
        <f>'SOF1617-SB1'!H49</f>
        <v>0</v>
      </c>
      <c r="F37" s="3323">
        <f>'SOF1617-SB1'!K49</f>
        <v>0</v>
      </c>
      <c r="G37" s="4600">
        <f>'SOF1718-SB1'!H49</f>
        <v>0</v>
      </c>
      <c r="H37" s="4601">
        <f>'SOF1718-SB1'!M49</f>
        <v>0</v>
      </c>
      <c r="I37" s="3379">
        <f>'SOF1819-SB1'!H49</f>
        <v>0</v>
      </c>
      <c r="J37" s="3380">
        <f>'SOF1819-SB1'!M49</f>
        <v>0</v>
      </c>
      <c r="K37" s="3595">
        <f>'SOF1920-SB1'!H49</f>
        <v>0</v>
      </c>
      <c r="L37" s="3587">
        <f>'SOF1920-SB1'!M49</f>
        <v>0</v>
      </c>
      <c r="M37" s="3355">
        <f>'SOF2021-SB1'!H49</f>
        <v>0</v>
      </c>
      <c r="N37" s="3347">
        <f>'SOF2021-SB1'!M49</f>
        <v>0</v>
      </c>
      <c r="O37" s="4035">
        <f>'SOF2122-SB1'!H49</f>
        <v>0</v>
      </c>
      <c r="P37" s="4059">
        <f>'SOF2122-SB1'!M49</f>
        <v>0</v>
      </c>
      <c r="Q37" s="4046">
        <f>'SOF2223-SB1'!H49</f>
        <v>0</v>
      </c>
      <c r="R37" s="4072">
        <f>'SOF2223-SB1'!M49</f>
        <v>0</v>
      </c>
    </row>
    <row r="38" spans="1:18" ht="18">
      <c r="A38" s="941"/>
      <c r="B38" s="942"/>
      <c r="E38" s="3324" t="e">
        <f>'Calc Data-SB1'!AD36</f>
        <v>#DIV/0!</v>
      </c>
      <c r="F38" s="3325" t="e">
        <f>'Calc Data-15K'!AD36</f>
        <v>#DIV/0!</v>
      </c>
      <c r="G38" s="4596" t="e">
        <f>'Calc Data-SB1'!AH36</f>
        <v>#DIV/0!</v>
      </c>
      <c r="H38" s="4597" t="e">
        <f>'Calc Data-15K'!AH36</f>
        <v>#DIV/0!</v>
      </c>
      <c r="I38" s="3376" t="e">
        <f>'Calc Data-SB1'!AL36</f>
        <v>#DIV/0!</v>
      </c>
      <c r="J38" s="3377" t="e">
        <f>'Calc Data-15K'!AL36</f>
        <v>#DIV/0!</v>
      </c>
      <c r="K38" s="3593" t="e">
        <f>'Calc Data-SB1'!AP36</f>
        <v>#DIV/0!</v>
      </c>
      <c r="L38" s="3583" t="e">
        <f>'Calc Data-15K'!AP36</f>
        <v>#DIV/0!</v>
      </c>
      <c r="M38" s="3353" t="e">
        <f>'Calc Data-SB1'!AT36</f>
        <v>#DIV/0!</v>
      </c>
      <c r="N38" s="3343" t="e">
        <f>'Calc Data-15K'!AT36</f>
        <v>#DIV/0!</v>
      </c>
      <c r="O38" s="4035" t="e">
        <f>'Calc Data-SB1'!AY36</f>
        <v>#DIV/0!</v>
      </c>
      <c r="P38" s="4059" t="e">
        <f>'Calc Data-15K'!AY36</f>
        <v>#DIV/0!</v>
      </c>
      <c r="Q38" s="4046" t="e">
        <f>'Calc Data-SB1'!BD36</f>
        <v>#DIV/0!</v>
      </c>
      <c r="R38" s="4072" t="e">
        <f>'Calc Data-15K'!BD36</f>
        <v>#DIV/0!</v>
      </c>
    </row>
    <row r="39" spans="1:18" ht="18">
      <c r="A39" s="941"/>
      <c r="B39" s="942"/>
      <c r="E39" s="3324" t="e">
        <f>IF('Option Costs-ASATR'!C57="N",MAX('Option Costs-ASATR'!C85,'Option Costs-ASATR'!E85),MIN('Option Costs-ASATR'!C85,'Option Costs-ASATR'!E85))</f>
        <v>#DIV/0!</v>
      </c>
      <c r="F39" s="3325" t="e">
        <f>IF('Option Costs-15K-ASATR'!C57="N",MAX('Option Costs-15K-ASATR'!C85,'Option Costs-15K-ASATR'!E85),MIN('Option Costs-15K-ASATR'!C85,'Option Costs-15K-ASATR'!E85))</f>
        <v>#DIV/0!</v>
      </c>
      <c r="G39" s="4596" t="e">
        <f>IF('Option Costs-ASATR'!K57="N",MAX('Option Costs-ASATR'!K85,'Option Costs-ASATR'!M85),MIN('Option Costs-ASATR'!K85,'Option Costs-ASATR'!M85))</f>
        <v>#DIV/0!</v>
      </c>
      <c r="H39" s="4597" t="e">
        <f>IF('Option Costs-15K-ASATR'!K57="N",MAX('Option Costs-15K-ASATR'!K54,'Option Costs-15K-ASATR'!M54),MIN('Option Costs-15K-ASATR'!K54,'Option Costs-15K-ASATR'!M54))</f>
        <v>#DIV/0!</v>
      </c>
      <c r="I39" s="3376" t="e">
        <f>IF('Option Costs-ASATR'!S57="N",MAX('Option Costs-ASATR'!S85,'Option Costs-ASATR'!U85),MIN('Option Costs-ASATR'!S85,'Option Costs-ASATR'!U85))</f>
        <v>#DIV/0!</v>
      </c>
      <c r="J39" s="3377" t="e">
        <f>IF('Option Costs-15K-ASATR'!S57="N",MAX('Option Costs-15K-ASATR'!S54,'Option Costs-15K-ASATR'!U54),MIN('Option Costs-15K-ASATR'!S54,'Option Costs-15K-ASATR'!U54))</f>
        <v>#DIV/0!</v>
      </c>
      <c r="K39" s="3593" t="e">
        <f>IF('Option Costs-ASATR'!AA57="N",MAX('Option Costs-ASATR'!AA85,'Option Costs-ASATR'!AC85),MIN('Option Costs-ASATR'!AA85,'Option Costs-ASATR'!AC85))</f>
        <v>#DIV/0!</v>
      </c>
      <c r="L39" s="3583" t="e">
        <f>IF('Option Costs-15K-ASATR'!AA57="N",MAX('Option Costs-15K-ASATR'!AA54,'Option Costs-15K-ASATR'!AC54),MIN('Option Costs-15K-ASATR'!AA54,'Option Costs-15K-ASATR'!AC54))</f>
        <v>#DIV/0!</v>
      </c>
      <c r="M39" s="3353" t="e">
        <f>IF('Option Costs-ASATR'!AI57="N",MAX('Option Costs-ASATR'!AI85,'Option Costs-ASATR'!AK85),MIN('Option Costs-ASATR'!AI85,'Option Costs-ASATR'!AK85))</f>
        <v>#DIV/0!</v>
      </c>
      <c r="N39" s="3343" t="e">
        <f>IF('Option Costs-15K-ASATR'!AI57="N",MAX('Option Costs-15K-ASATR'!AI54,'Option Costs-15K-ASATR'!AK54),MIN('Option Costs-15K-ASATR'!AI54,'Option Costs-15K-ASATR'!AK54))</f>
        <v>#DIV/0!</v>
      </c>
      <c r="O39" s="4035" t="e">
        <f>IF('Option Costs-ASATR'!AQ57="N",MAX('Option Costs-ASATR'!AQ85,'Option Costs-ASATR'!AS85),MIN('Option Costs-ASATR'!AQ85,'Option Costs-ASATR'!AS85))</f>
        <v>#DIV/0!</v>
      </c>
      <c r="P39" s="4059" t="e">
        <f>IF('Option Costs-15K-ASATR'!AQ57="N",MAX('Option Costs-15K-ASATR'!AQ54,'Option Costs-15K-ASATR'!AS54),MIN('Option Costs-15K-ASATR'!AQ54,'Option Costs-15K-ASATR'!AS54))</f>
        <v>#DIV/0!</v>
      </c>
      <c r="Q39" s="4046" t="e">
        <f>IF('Option Costs-ASATR'!AY57="N",MAX('Option Costs-ASATR'!AY85,'Option Costs-ASATR'!BA85),MIN('Option Costs-ASATR'!AY85,'Option Costs-ASATR'!BA85))</f>
        <v>#DIV/0!</v>
      </c>
      <c r="R39" s="4072" t="e">
        <f>IF('Option Costs-15K-ASATR'!AS57="N",MAX('Option Costs-15K-ASATR'!AS54,'Option Costs-15K-ASATR'!AU54),MIN('Option Costs-15K-ASATR'!AS54,'Option Costs-15K-ASATR'!AU54))</f>
        <v>#DIV/0!</v>
      </c>
    </row>
    <row r="40" spans="1:18" ht="18">
      <c r="A40" s="941"/>
      <c r="B40" s="942"/>
      <c r="E40" s="3321" t="e">
        <f t="shared" ref="E40:L40" si="1">E37+E38-E39</f>
        <v>#DIV/0!</v>
      </c>
      <c r="F40" s="3322" t="e">
        <f t="shared" si="1"/>
        <v>#DIV/0!</v>
      </c>
      <c r="G40" s="4598" t="e">
        <f t="shared" si="1"/>
        <v>#DIV/0!</v>
      </c>
      <c r="H40" s="4599" t="e">
        <f t="shared" si="1"/>
        <v>#DIV/0!</v>
      </c>
      <c r="I40" s="3378" t="e">
        <f t="shared" si="1"/>
        <v>#DIV/0!</v>
      </c>
      <c r="J40" s="3381" t="e">
        <f t="shared" si="1"/>
        <v>#DIV/0!</v>
      </c>
      <c r="K40" s="3594" t="e">
        <f t="shared" si="1"/>
        <v>#DIV/0!</v>
      </c>
      <c r="L40" s="3588" t="e">
        <f t="shared" si="1"/>
        <v>#DIV/0!</v>
      </c>
      <c r="M40" s="3354" t="e">
        <f t="shared" ref="M40:R40" si="2">M37+M38-M39</f>
        <v>#DIV/0!</v>
      </c>
      <c r="N40" s="3348" t="e">
        <f t="shared" si="2"/>
        <v>#DIV/0!</v>
      </c>
      <c r="O40" s="4078" t="e">
        <f t="shared" si="2"/>
        <v>#DIV/0!</v>
      </c>
      <c r="P40" s="4079" t="e">
        <f t="shared" si="2"/>
        <v>#DIV/0!</v>
      </c>
      <c r="Q40" s="4080" t="e">
        <f t="shared" si="2"/>
        <v>#DIV/0!</v>
      </c>
      <c r="R40" s="4081" t="e">
        <f t="shared" si="2"/>
        <v>#DIV/0!</v>
      </c>
    </row>
    <row r="41" spans="1:18" ht="18">
      <c r="A41" s="941"/>
      <c r="B41" s="942"/>
      <c r="E41" s="3326"/>
      <c r="F41" s="3327"/>
      <c r="G41" s="4602"/>
      <c r="H41" s="4603"/>
      <c r="I41" s="3382"/>
      <c r="J41" s="3383"/>
      <c r="K41" s="3589"/>
      <c r="L41" s="3596"/>
      <c r="M41" s="3349"/>
      <c r="N41" s="3356"/>
      <c r="P41" s="4055"/>
      <c r="R41" s="4070"/>
    </row>
    <row r="42" spans="1:18" ht="18">
      <c r="A42" s="941"/>
      <c r="B42" s="942"/>
      <c r="E42" s="4018" t="e">
        <f t="shared" ref="E42:L42" si="3">IF(E40&gt;E35,0,E35-E40)</f>
        <v>#DIV/0!</v>
      </c>
      <c r="F42" s="4019" t="e">
        <f t="shared" si="3"/>
        <v>#DIV/0!</v>
      </c>
      <c r="G42" s="4614" t="e">
        <f t="shared" si="3"/>
        <v>#DIV/0!</v>
      </c>
      <c r="H42" s="4615" t="e">
        <f t="shared" si="3"/>
        <v>#DIV/0!</v>
      </c>
      <c r="I42" s="3996" t="e">
        <f t="shared" si="3"/>
        <v>#DIV/0!</v>
      </c>
      <c r="J42" s="3997" t="e">
        <f t="shared" si="3"/>
        <v>#DIV/0!</v>
      </c>
      <c r="K42" s="4020" t="e">
        <f t="shared" si="3"/>
        <v>#DIV/0!</v>
      </c>
      <c r="L42" s="4021" t="e">
        <f t="shared" si="3"/>
        <v>#DIV/0!</v>
      </c>
      <c r="M42" s="3998" t="e">
        <f t="shared" ref="M42:R42" si="4">IF(M40&gt;M35,0,M35-M40)</f>
        <v>#DIV/0!</v>
      </c>
      <c r="N42" s="3999" t="e">
        <f t="shared" si="4"/>
        <v>#DIV/0!</v>
      </c>
      <c r="O42" s="4037" t="e">
        <f t="shared" si="4"/>
        <v>#DIV/0!</v>
      </c>
      <c r="P42" s="4064" t="e">
        <f t="shared" si="4"/>
        <v>#DIV/0!</v>
      </c>
      <c r="Q42" s="4050" t="e">
        <f t="shared" si="4"/>
        <v>#DIV/0!</v>
      </c>
      <c r="R42" s="4064" t="e">
        <f t="shared" si="4"/>
        <v>#DIV/0!</v>
      </c>
    </row>
    <row r="43" spans="1:18" ht="18">
      <c r="A43" s="941"/>
      <c r="B43" s="942"/>
      <c r="E43" s="3328"/>
      <c r="F43" s="3329"/>
      <c r="G43" s="4606"/>
      <c r="H43" s="4607"/>
      <c r="I43" s="3384"/>
      <c r="J43" s="3385"/>
      <c r="K43" s="3591"/>
      <c r="L43" s="3592"/>
      <c r="M43" s="3351"/>
      <c r="N43" s="3352"/>
      <c r="P43" s="4055"/>
      <c r="R43" s="4070"/>
    </row>
    <row r="44" spans="1:18" ht="18">
      <c r="A44" s="941"/>
      <c r="B44" s="942"/>
      <c r="E44" s="3061"/>
      <c r="F44" s="3062"/>
      <c r="H44" s="4583"/>
      <c r="J44" s="3367"/>
      <c r="L44" s="3573"/>
      <c r="N44" s="3333"/>
      <c r="P44" s="4055"/>
      <c r="R44" s="4070"/>
    </row>
    <row r="45" spans="1:18" ht="18">
      <c r="A45" s="941"/>
      <c r="B45" s="942"/>
      <c r="E45" s="3324" t="e">
        <f>IF(E42=0,E40,E35)</f>
        <v>#DIV/0!</v>
      </c>
      <c r="F45" s="3325"/>
      <c r="G45" s="4596" t="e">
        <f>IF(G42=0,G40,G35)</f>
        <v>#DIV/0!</v>
      </c>
      <c r="H45" s="4597"/>
      <c r="I45" s="3376" t="e">
        <f>IF(I42=0,I40,I35)</f>
        <v>#DIV/0!</v>
      </c>
      <c r="J45" s="3377"/>
      <c r="K45" s="3593" t="e">
        <f>IF(K42=0,K40,K35)</f>
        <v>#DIV/0!</v>
      </c>
      <c r="L45" s="3583"/>
      <c r="M45" s="3353" t="e">
        <f>IF(M42=0,M40,M35)</f>
        <v>#DIV/0!</v>
      </c>
      <c r="N45" s="3343"/>
      <c r="O45" s="4035" t="e">
        <f>IF(O42=0,O40,O35)</f>
        <v>#DIV/0!</v>
      </c>
      <c r="P45" s="4059"/>
      <c r="Q45" s="4046" t="e">
        <f>IF(Q42=0,Q40,Q35)</f>
        <v>#DIV/0!</v>
      </c>
      <c r="R45" s="4074"/>
    </row>
    <row r="46" spans="1:18" ht="18">
      <c r="A46" s="941"/>
      <c r="B46" s="942"/>
      <c r="E46" s="3324" t="e">
        <f>E45/E11</f>
        <v>#DIV/0!</v>
      </c>
      <c r="F46" s="3325"/>
      <c r="G46" s="4596" t="e">
        <f>G45/G11</f>
        <v>#DIV/0!</v>
      </c>
      <c r="H46" s="4597"/>
      <c r="I46" s="3376" t="e">
        <f>I45/I11</f>
        <v>#DIV/0!</v>
      </c>
      <c r="J46" s="3377"/>
      <c r="K46" s="3593" t="e">
        <f>K45/K11</f>
        <v>#DIV/0!</v>
      </c>
      <c r="L46" s="3583"/>
      <c r="M46" s="3353" t="e">
        <f>M45/M11</f>
        <v>#DIV/0!</v>
      </c>
      <c r="N46" s="3343"/>
      <c r="O46" s="4035" t="e">
        <f>O45/O11</f>
        <v>#DIV/0!</v>
      </c>
      <c r="P46" s="4059"/>
      <c r="Q46" s="4046" t="e">
        <f>Q45/Q11</f>
        <v>#DIV/0!</v>
      </c>
      <c r="R46" s="4074"/>
    </row>
    <row r="47" spans="1:18">
      <c r="F47" s="2839"/>
      <c r="H47" s="4583"/>
      <c r="J47" s="3367"/>
      <c r="L47" s="3573"/>
      <c r="N47" s="3333"/>
      <c r="P47" s="4055"/>
      <c r="R47" s="4070"/>
    </row>
    <row r="48" spans="1:18">
      <c r="F48" s="2839"/>
      <c r="H48" s="4583"/>
      <c r="J48" s="3367"/>
      <c r="L48" s="3573"/>
      <c r="N48" s="3333"/>
      <c r="P48" s="4055"/>
      <c r="R48" s="4070"/>
    </row>
    <row r="49" spans="3:18">
      <c r="F49" s="2839"/>
      <c r="H49" s="4583"/>
      <c r="J49" s="3367"/>
      <c r="L49" s="3573"/>
      <c r="N49" s="3333"/>
      <c r="P49" s="4055"/>
      <c r="R49" s="4070"/>
    </row>
    <row r="50" spans="3:18">
      <c r="C50" s="49" t="s">
        <v>3257</v>
      </c>
      <c r="E50" s="2834" t="e">
        <f>E8*E11</f>
        <v>#DIV/0!</v>
      </c>
      <c r="F50" s="2839"/>
      <c r="G50" s="4582" t="e">
        <f>G8*G11</f>
        <v>#DIV/0!</v>
      </c>
      <c r="H50" s="4583"/>
      <c r="I50" s="3366" t="e">
        <f>I8*I11</f>
        <v>#DIV/0!</v>
      </c>
      <c r="J50" s="3367"/>
      <c r="K50" s="3572" t="e">
        <f>K8*K11</f>
        <v>#DIV/0!</v>
      </c>
      <c r="L50" s="3573"/>
      <c r="M50" s="3332" t="e">
        <f>M8*M11</f>
        <v>#DIV/0!</v>
      </c>
      <c r="N50" s="3333"/>
      <c r="O50" s="3643" t="e">
        <f>O8*O11</f>
        <v>#DIV/0!</v>
      </c>
      <c r="P50" s="4055"/>
      <c r="Q50" s="3981" t="e">
        <f>Q8*Q11</f>
        <v>#DIV/0!</v>
      </c>
      <c r="R50" s="4070"/>
    </row>
    <row r="51" spans="3:18">
      <c r="C51" s="49" t="s">
        <v>3256</v>
      </c>
      <c r="E51" s="2834" t="e">
        <f>(120*Weights!H7)*E11</f>
        <v>#DIV/0!</v>
      </c>
      <c r="F51" s="2839"/>
      <c r="G51" s="4582" t="e">
        <f>(120*Weights!I7)*G11</f>
        <v>#DIV/0!</v>
      </c>
      <c r="H51" s="4583"/>
      <c r="I51" s="3366" t="e">
        <f>(120*Weights!J7)*I11</f>
        <v>#DIV/0!</v>
      </c>
      <c r="J51" s="3367"/>
      <c r="K51" s="3572" t="e">
        <f>(120*Weights!K7)*K11</f>
        <v>#DIV/0!</v>
      </c>
      <c r="L51" s="3573"/>
      <c r="M51" s="3332" t="e">
        <f>(120*Weights!L7)*M11</f>
        <v>#DIV/0!</v>
      </c>
      <c r="N51" s="3333"/>
      <c r="O51" s="3643" t="e">
        <f>(120*Weights!O7)*O11</f>
        <v>#DIV/0!</v>
      </c>
      <c r="P51" s="4055"/>
      <c r="Q51" s="3981" t="e">
        <f>(120*Weights!N7)*Q11</f>
        <v>#DIV/0!</v>
      </c>
      <c r="R51" s="4070"/>
    </row>
    <row r="52" spans="3:18">
      <c r="C52" s="49"/>
      <c r="F52" s="2839"/>
      <c r="H52" s="4583"/>
      <c r="J52" s="3367"/>
      <c r="L52" s="3573"/>
      <c r="N52" s="3333"/>
      <c r="P52" s="4055"/>
      <c r="R52" s="4070"/>
    </row>
    <row r="53" spans="3:18">
      <c r="E53" s="3619" t="s">
        <v>4524</v>
      </c>
      <c r="F53" s="3620" t="s">
        <v>3613</v>
      </c>
      <c r="G53" s="4616" t="s">
        <v>3673</v>
      </c>
      <c r="H53" s="4617" t="s">
        <v>3673</v>
      </c>
      <c r="I53" s="3615" t="s">
        <v>3830</v>
      </c>
      <c r="J53" s="3616" t="s">
        <v>3830</v>
      </c>
      <c r="K53" s="3617" t="s">
        <v>3903</v>
      </c>
      <c r="L53" s="3618" t="s">
        <v>3903</v>
      </c>
      <c r="M53" s="3613" t="s">
        <v>4592</v>
      </c>
      <c r="N53" s="3614" t="s">
        <v>4592</v>
      </c>
      <c r="O53" s="4033" t="s">
        <v>7097</v>
      </c>
      <c r="P53" s="4057" t="str">
        <f>P33</f>
        <v>2021-22</v>
      </c>
      <c r="Q53" s="4044" t="s">
        <v>7733</v>
      </c>
      <c r="R53" s="4057" t="str">
        <f>R33</f>
        <v>2022-23</v>
      </c>
    </row>
    <row r="54" spans="3:18">
      <c r="D54" s="98" t="s">
        <v>7989</v>
      </c>
      <c r="E54" s="3621" t="s">
        <v>4522</v>
      </c>
      <c r="F54" s="3622" t="s">
        <v>4523</v>
      </c>
      <c r="G54" s="4618" t="s">
        <v>4522</v>
      </c>
      <c r="H54" s="4619" t="s">
        <v>4523</v>
      </c>
      <c r="I54" s="3623" t="s">
        <v>4522</v>
      </c>
      <c r="J54" s="3622" t="s">
        <v>4523</v>
      </c>
      <c r="K54" s="3623" t="s">
        <v>4522</v>
      </c>
      <c r="L54" s="3622" t="s">
        <v>4523</v>
      </c>
      <c r="M54" s="3623" t="s">
        <v>4522</v>
      </c>
      <c r="N54" s="3622" t="s">
        <v>4523</v>
      </c>
      <c r="O54" s="4038" t="s">
        <v>4522</v>
      </c>
      <c r="P54" s="4065" t="s">
        <v>4523</v>
      </c>
      <c r="Q54" s="4051" t="s">
        <v>4522</v>
      </c>
      <c r="R54" s="4065" t="s">
        <v>4523</v>
      </c>
    </row>
    <row r="55" spans="3:18" ht="15.75">
      <c r="D55" s="98" t="s">
        <v>6896</v>
      </c>
      <c r="E55" s="3992" t="e">
        <f>E35</f>
        <v>#DIV/0!</v>
      </c>
      <c r="F55" s="4010" t="e">
        <f>E55</f>
        <v>#DIV/0!</v>
      </c>
      <c r="G55" s="4598" t="e">
        <f>G35</f>
        <v>#DIV/0!</v>
      </c>
      <c r="H55" s="4599" t="e">
        <f>G55</f>
        <v>#DIV/0!</v>
      </c>
      <c r="I55" s="3378" t="e">
        <f>I35</f>
        <v>#DIV/0!</v>
      </c>
      <c r="J55" s="3381" t="e">
        <f>I55</f>
        <v>#DIV/0!</v>
      </c>
      <c r="K55" s="3594" t="e">
        <f>K35</f>
        <v>#DIV/0!</v>
      </c>
      <c r="L55" s="3588" t="e">
        <f>K55</f>
        <v>#DIV/0!</v>
      </c>
      <c r="M55" s="3354" t="e">
        <f>M35</f>
        <v>#DIV/0!</v>
      </c>
      <c r="N55" s="3348" t="e">
        <f>M55</f>
        <v>#DIV/0!</v>
      </c>
      <c r="O55" s="4039" t="e">
        <f>O35</f>
        <v>#DIV/0!</v>
      </c>
      <c r="P55" s="4066" t="e">
        <f>O55</f>
        <v>#DIV/0!</v>
      </c>
      <c r="Q55" s="4052" t="e">
        <f>Q35</f>
        <v>#DIV/0!</v>
      </c>
      <c r="R55" s="4076" t="e">
        <f>Q55</f>
        <v>#DIV/0!</v>
      </c>
    </row>
    <row r="56" spans="3:18">
      <c r="E56" s="3992"/>
      <c r="F56" s="4010"/>
      <c r="H56" s="4583"/>
      <c r="J56" s="3367"/>
      <c r="L56" s="3573"/>
      <c r="N56" s="3333"/>
      <c r="O56" s="4030"/>
      <c r="P56" s="4067"/>
      <c r="Q56" s="4031"/>
      <c r="R56" s="4075"/>
    </row>
    <row r="57" spans="3:18">
      <c r="E57" s="3992">
        <f>E22</f>
        <v>0</v>
      </c>
      <c r="F57" s="4010">
        <f>F22</f>
        <v>0</v>
      </c>
      <c r="G57" s="4600">
        <f>'SOF1718-SB1'!H49</f>
        <v>0</v>
      </c>
      <c r="H57" s="4601">
        <f>'SOF1718-SB1'!M49</f>
        <v>0</v>
      </c>
      <c r="I57" s="3379">
        <f>'SOF1819-SB1'!H49</f>
        <v>0</v>
      </c>
      <c r="J57" s="3380">
        <f>'SOF1819-SB1'!M49</f>
        <v>0</v>
      </c>
      <c r="K57" s="3595">
        <f>'SOF1920-SB1'!H49</f>
        <v>0</v>
      </c>
      <c r="L57" s="3587">
        <f>'SOF1920-SB1'!M49</f>
        <v>0</v>
      </c>
      <c r="M57" s="3355">
        <f>'SOF2021-SB1'!H49</f>
        <v>0</v>
      </c>
      <c r="N57" s="3347">
        <f>'SOF2021-SB1'!M49</f>
        <v>0</v>
      </c>
      <c r="O57" s="4039">
        <f>'SOF2122-SB1'!H49</f>
        <v>0</v>
      </c>
      <c r="P57" s="4066">
        <f>'SOF2122-SB1'!M49</f>
        <v>0</v>
      </c>
      <c r="Q57" s="4052">
        <f>'SOF2223-SB1'!H49</f>
        <v>0</v>
      </c>
      <c r="R57" s="4076">
        <f>'SOF2223-SB1'!M49</f>
        <v>0</v>
      </c>
    </row>
    <row r="58" spans="3:18">
      <c r="E58" s="3992" t="e">
        <f>'Calc Data-SB1'!AC91</f>
        <v>#DIV/0!</v>
      </c>
      <c r="F58" s="4010" t="e">
        <f>'Calc Data-15K'!AC91</f>
        <v>#DIV/0!</v>
      </c>
      <c r="G58" s="4596" t="e">
        <f>'Calc Data-SB1'!AH91</f>
        <v>#DIV/0!</v>
      </c>
      <c r="H58" s="4597" t="e">
        <f>'Calc Data-15K'!AH91</f>
        <v>#DIV/0!</v>
      </c>
      <c r="I58" s="3376" t="e">
        <f>'Calc Data-SB1'!AL91</f>
        <v>#DIV/0!</v>
      </c>
      <c r="J58" s="3377" t="e">
        <f>'Calc Data-15K'!AL91</f>
        <v>#DIV/0!</v>
      </c>
      <c r="K58" s="3593" t="e">
        <f>'Calc Data-SB1'!AP91</f>
        <v>#DIV/0!</v>
      </c>
      <c r="L58" s="3583" t="e">
        <f>'Calc Data-15K'!AP91</f>
        <v>#DIV/0!</v>
      </c>
      <c r="M58" s="3353" t="e">
        <f>'Calc Data-SB1'!AT91</f>
        <v>#DIV/0!</v>
      </c>
      <c r="N58" s="3343" t="e">
        <f>'Calc Data-15K'!AT91</f>
        <v>#DIV/0!</v>
      </c>
      <c r="O58" s="4039" t="e">
        <f>'Calc Data-SB1'!AY91</f>
        <v>#DIV/0!</v>
      </c>
      <c r="P58" s="4066" t="e">
        <f>'Calc Data-15K'!AY91</f>
        <v>#DIV/0!</v>
      </c>
      <c r="Q58" s="4052" t="e">
        <f>'Calc Data-SB1'!BD91</f>
        <v>#DIV/0!</v>
      </c>
      <c r="R58" s="4076" t="e">
        <f>'Calc Data-15K'!BD91</f>
        <v>#DIV/0!</v>
      </c>
    </row>
    <row r="59" spans="3:18">
      <c r="E59" s="3992" t="e">
        <f>IF('Option Costs-ASATR'!C57="N",MAX('Option Costs-ASATR'!C105,'Option Costs-ASATR'!E105),MIN('Option Costs-ASATR'!C105,'Option Costs-ASATR'!E105))</f>
        <v>#DIV/0!</v>
      </c>
      <c r="F59" s="4010" t="e">
        <f>IF('Option Costs-15K-ASATR'!C57="N",MAX('Option Costs-15K-ASATR'!C105,'Option Costs-15K-ASATR'!E105),MIN('Option Costs-15K-ASATR'!C105,'Option Costs-15K-ASATR'!E105))</f>
        <v>#DIV/0!</v>
      </c>
      <c r="G59" s="4596" t="e">
        <f>IF('Option Costs-ASATR'!K57="N",MAX('Option Costs-ASATR'!K105,'Option Costs-ASATR'!M105),MIN('Option Costs-ASATR'!K105,'Option Costs-ASATR'!M105))</f>
        <v>#DIV/0!</v>
      </c>
      <c r="H59" s="4597" t="e">
        <f>IF('Option Costs-15K-ASATR'!K57="N",MAX('Option Costs-15K-ASATR'!K105,'Option Costs-15K-ASATR'!M105),MIN('Option Costs-15K-ASATR'!K105,'Option Costs-15K-ASATR'!M105))</f>
        <v>#DIV/0!</v>
      </c>
      <c r="I59" s="3376" t="e">
        <f>IF('Option Costs-ASATR'!S57="N",MAX('Option Costs-ASATR'!S105,'Option Costs-ASATR'!U105),MIN('Option Costs-ASATR'!S105,'Option Costs-ASATR'!U105))</f>
        <v>#DIV/0!</v>
      </c>
      <c r="J59" s="3377" t="e">
        <f>IF('Option Costs-15K-ASATR'!S57="N",MAX('Option Costs-15K-ASATR'!S105,'Option Costs-15K-ASATR'!U105),MIN('Option Costs-15K-ASATR'!S105,'Option Costs-15K-ASATR'!U105))</f>
        <v>#DIV/0!</v>
      </c>
      <c r="K59" s="3593" t="e">
        <f>IF('Option Costs-ASATR'!AA57="N",MAX('Option Costs-ASATR'!AA105,'Option Costs-ASATR'!AC105),MIN('Option Costs-ASATR'!AA105,'Option Costs-ASATR'!AC105))</f>
        <v>#DIV/0!</v>
      </c>
      <c r="L59" s="3583" t="e">
        <f>IF('Option Costs-15K-ASATR'!AA57="N",MAX('Option Costs-15K-ASATR'!AA105,'Option Costs-15K-ASATR'!AC105),MIN('Option Costs-15K-ASATR'!AA105,'Option Costs-15K-ASATR'!AC105))</f>
        <v>#DIV/0!</v>
      </c>
      <c r="M59" s="3353" t="e">
        <f>IF('Option Costs-ASATR'!AI57="N",MAX('Option Costs-ASATR'!AI105,'Option Costs-ASATR'!AK105),MIN('Option Costs-ASATR'!AI105,'Option Costs-ASATR'!AK105))</f>
        <v>#DIV/0!</v>
      </c>
      <c r="N59" s="3343" t="e">
        <f>IF('Option Costs-15K-ASATR'!AI57="N",MAX('Option Costs-15K-ASATR'!AI105,'Option Costs-15K-ASATR'!AK105),MIN('Option Costs-15K-ASATR'!AI105,'Option Costs-15K-ASATR'!AK105))</f>
        <v>#DIV/0!</v>
      </c>
      <c r="O59" s="4039" t="e">
        <f>IF('Option Costs-ASATR'!AQ57="N",MAX('Option Costs-ASATR'!AQ105,'Option Costs-ASATR'!AS105),MIN('Option Costs-ASATR'!AQ105,'Option Costs-ASATR'!AS105))</f>
        <v>#DIV/0!</v>
      </c>
      <c r="P59" s="4066" t="e">
        <f>IF('Option Costs-15K-ASATR'!AQ57="N",MAX('Option Costs-15K-ASATR'!AQ105,'Option Costs-15K-ASATR'!AS105),MIN('Option Costs-15K-ASATR'!AQ105,'Option Costs-15K-ASATR'!AS105))</f>
        <v>#DIV/0!</v>
      </c>
      <c r="Q59" s="4052" t="e">
        <f>IF('Option Costs-ASATR'!AY57="N",MAX('Option Costs-ASATR'!AY105,'Option Costs-ASATR'!BA105),MIN('Option Costs-ASATR'!AY105,'Option Costs-ASATR'!BA105))</f>
        <v>#DIV/0!</v>
      </c>
      <c r="R59" s="4076" t="e">
        <f>IF('Option Costs-15K-ASATR'!AS57="N",MAX('Option Costs-15K-ASATR'!AS105,'Option Costs-15K-ASATR'!AU105),MIN('Option Costs-15K-ASATR'!AS105,'Option Costs-15K-ASATR'!AU105))</f>
        <v>#DIV/0!</v>
      </c>
    </row>
    <row r="60" spans="3:18" ht="15.75">
      <c r="E60" s="3992" t="e">
        <f t="shared" ref="E60:N60" si="5">E57+E58-E59</f>
        <v>#DIV/0!</v>
      </c>
      <c r="F60" s="4010" t="e">
        <f t="shared" si="5"/>
        <v>#DIV/0!</v>
      </c>
      <c r="G60" s="4598" t="e">
        <f t="shared" si="5"/>
        <v>#DIV/0!</v>
      </c>
      <c r="H60" s="4599" t="e">
        <f t="shared" si="5"/>
        <v>#DIV/0!</v>
      </c>
      <c r="I60" s="3378" t="e">
        <f t="shared" si="5"/>
        <v>#DIV/0!</v>
      </c>
      <c r="J60" s="3381" t="e">
        <f t="shared" si="5"/>
        <v>#DIV/0!</v>
      </c>
      <c r="K60" s="3594" t="e">
        <f t="shared" si="5"/>
        <v>#DIV/0!</v>
      </c>
      <c r="L60" s="3588" t="e">
        <f t="shared" si="5"/>
        <v>#DIV/0!</v>
      </c>
      <c r="M60" s="3354" t="e">
        <f t="shared" si="5"/>
        <v>#DIV/0!</v>
      </c>
      <c r="N60" s="3348" t="e">
        <f t="shared" si="5"/>
        <v>#DIV/0!</v>
      </c>
      <c r="O60" s="4039" t="e">
        <f>O57+O58-O59</f>
        <v>#DIV/0!</v>
      </c>
      <c r="P60" s="4066" t="e">
        <f>P57+P58-P59</f>
        <v>#DIV/0!</v>
      </c>
      <c r="Q60" s="4052" t="e">
        <f>Q57+Q58-Q59</f>
        <v>#DIV/0!</v>
      </c>
      <c r="R60" s="4076" t="e">
        <f>R57+R58-R59</f>
        <v>#DIV/0!</v>
      </c>
    </row>
    <row r="61" spans="3:18" ht="15.75">
      <c r="E61" s="3992"/>
      <c r="F61" s="4010"/>
      <c r="G61" s="4602"/>
      <c r="H61" s="4603"/>
      <c r="I61" s="3382"/>
      <c r="J61" s="3383"/>
      <c r="K61" s="3589"/>
      <c r="L61" s="3596"/>
      <c r="M61" s="3349"/>
      <c r="N61" s="3356"/>
      <c r="O61" s="4039"/>
      <c r="P61" s="4066"/>
      <c r="Q61" s="4052"/>
      <c r="R61" s="4076"/>
    </row>
    <row r="62" spans="3:18">
      <c r="E62" s="3992" t="e">
        <f t="shared" ref="E62:N62" si="6">IF(E60&gt;E55,0,E55-E60)</f>
        <v>#DIV/0!</v>
      </c>
      <c r="F62" s="4010" t="e">
        <f t="shared" si="6"/>
        <v>#DIV/0!</v>
      </c>
      <c r="G62" s="4620" t="e">
        <f t="shared" si="6"/>
        <v>#DIV/0!</v>
      </c>
      <c r="H62" s="4621" t="e">
        <f t="shared" si="6"/>
        <v>#DIV/0!</v>
      </c>
      <c r="I62" s="4014" t="e">
        <f t="shared" si="6"/>
        <v>#DIV/0!</v>
      </c>
      <c r="J62" s="4025" t="e">
        <f t="shared" si="6"/>
        <v>#DIV/0!</v>
      </c>
      <c r="K62" s="4023" t="e">
        <f t="shared" si="6"/>
        <v>#DIV/0!</v>
      </c>
      <c r="L62" s="4029" t="e">
        <f t="shared" si="6"/>
        <v>#DIV/0!</v>
      </c>
      <c r="M62" s="4027" t="e">
        <f t="shared" si="6"/>
        <v>#DIV/0!</v>
      </c>
      <c r="N62" s="4042" t="e">
        <f t="shared" si="6"/>
        <v>#DIV/0!</v>
      </c>
      <c r="O62" s="4039" t="e">
        <f>IF(O60&gt;O55,0,O55-O60)</f>
        <v>#DIV/0!</v>
      </c>
      <c r="P62" s="4066" t="e">
        <f>IF(P60&gt;P55,0,P55-P60)</f>
        <v>#DIV/0!</v>
      </c>
      <c r="Q62" s="4052" t="e">
        <f>IF(Q60&gt;Q55,0,Q55-Q60)</f>
        <v>#DIV/0!</v>
      </c>
      <c r="R62" s="4076" t="e">
        <f>IF(R60&gt;R55,0,R55-R60)</f>
        <v>#DIV/0!</v>
      </c>
    </row>
    <row r="63" spans="3:18">
      <c r="F63" s="2839"/>
      <c r="H63" s="4583"/>
      <c r="J63" s="3367"/>
      <c r="L63" s="3573"/>
      <c r="N63" s="3333"/>
      <c r="O63" s="4030"/>
      <c r="P63" s="4067"/>
      <c r="Q63" s="4031"/>
      <c r="R63" s="4075"/>
    </row>
    <row r="64" spans="3:18">
      <c r="E64" s="3621" t="s">
        <v>4522</v>
      </c>
      <c r="F64" s="3622" t="s">
        <v>4523</v>
      </c>
      <c r="G64" s="4618" t="s">
        <v>4522</v>
      </c>
      <c r="H64" s="4619" t="s">
        <v>4523</v>
      </c>
      <c r="I64" s="3623" t="s">
        <v>4522</v>
      </c>
      <c r="J64" s="3622" t="s">
        <v>4523</v>
      </c>
      <c r="K64" s="3623" t="s">
        <v>4522</v>
      </c>
      <c r="L64" s="3622" t="s">
        <v>4523</v>
      </c>
      <c r="M64" s="3623" t="s">
        <v>4522</v>
      </c>
      <c r="N64" s="3622" t="s">
        <v>4523</v>
      </c>
      <c r="O64" s="4040" t="s">
        <v>4522</v>
      </c>
      <c r="P64" s="4068" t="s">
        <v>4523</v>
      </c>
      <c r="Q64" s="4053" t="s">
        <v>4522</v>
      </c>
      <c r="R64" s="4068" t="s">
        <v>4523</v>
      </c>
    </row>
    <row r="65" spans="4:18" ht="15.75">
      <c r="E65" s="3993" t="e">
        <f>E55</f>
        <v>#DIV/0!</v>
      </c>
      <c r="F65" s="4011" t="e">
        <f t="shared" ref="F65:N65" si="7">E65</f>
        <v>#DIV/0!</v>
      </c>
      <c r="G65" s="4598" t="e">
        <f t="shared" si="7"/>
        <v>#DIV/0!</v>
      </c>
      <c r="H65" s="4599" t="e">
        <f t="shared" si="7"/>
        <v>#DIV/0!</v>
      </c>
      <c r="I65" s="3378" t="e">
        <f t="shared" si="7"/>
        <v>#DIV/0!</v>
      </c>
      <c r="J65" s="3381" t="e">
        <f t="shared" si="7"/>
        <v>#DIV/0!</v>
      </c>
      <c r="K65" s="3594" t="e">
        <f t="shared" si="7"/>
        <v>#DIV/0!</v>
      </c>
      <c r="L65" s="3588" t="e">
        <f t="shared" si="7"/>
        <v>#DIV/0!</v>
      </c>
      <c r="M65" s="3354" t="e">
        <f t="shared" si="7"/>
        <v>#DIV/0!</v>
      </c>
      <c r="N65" s="3348" t="e">
        <f t="shared" si="7"/>
        <v>#DIV/0!</v>
      </c>
      <c r="O65" s="4041" t="e">
        <f>N65</f>
        <v>#DIV/0!</v>
      </c>
      <c r="P65" s="4069" t="e">
        <f>O65</f>
        <v>#DIV/0!</v>
      </c>
      <c r="Q65" s="4054" t="e">
        <f>P65</f>
        <v>#DIV/0!</v>
      </c>
      <c r="R65" s="4077" t="e">
        <f>Q65</f>
        <v>#DIV/0!</v>
      </c>
    </row>
    <row r="66" spans="4:18">
      <c r="E66" s="3990"/>
      <c r="F66" s="4012"/>
      <c r="H66" s="4583"/>
      <c r="J66" s="3367"/>
      <c r="L66" s="3573"/>
      <c r="N66" s="3333"/>
      <c r="P66" s="4055"/>
      <c r="R66" s="4070"/>
    </row>
    <row r="67" spans="4:18">
      <c r="E67" s="3990">
        <f>'SOF1617-SB1'!M49</f>
        <v>0</v>
      </c>
      <c r="F67" s="4012">
        <f>F37</f>
        <v>0</v>
      </c>
      <c r="H67" s="4583"/>
      <c r="J67" s="3367"/>
      <c r="L67" s="3573"/>
      <c r="N67" s="3333"/>
      <c r="P67" s="4055"/>
      <c r="R67" s="4070"/>
    </row>
    <row r="68" spans="4:18">
      <c r="E68" s="3990" t="e">
        <f>'Calc Data-SB1'!AD91</f>
        <v>#DIV/0!</v>
      </c>
      <c r="F68" s="4012" t="e">
        <f>'Calc Data-15K'!AD91</f>
        <v>#DIV/0!</v>
      </c>
      <c r="H68" s="4583"/>
      <c r="J68" s="3367"/>
      <c r="L68" s="3573"/>
      <c r="N68" s="3333"/>
      <c r="P68" s="4055"/>
      <c r="R68" s="4070"/>
    </row>
    <row r="69" spans="4:18">
      <c r="E69" s="3990" t="e">
        <f>IF('Option Costs-ASATR'!C57="N",MAX('Option Costs-ASATR'!C124,'Option Costs-ASATR'!E124),MIN('Option Costs-ASATR'!C124,'Option Costs-ASATR'!E124))</f>
        <v>#DIV/0!</v>
      </c>
      <c r="F69" s="4012" t="e">
        <f>IF('Option Costs-15K-ASATR'!C57="N",MAX('Option Costs-15K-ASATR'!C124,'Option Costs-15K-ASATR'!E124),MIN('Option Costs-15K-ASATR'!C124,'Option Costs-15K-ASATR'!E124))</f>
        <v>#DIV/0!</v>
      </c>
      <c r="H69" s="4583"/>
      <c r="J69" s="3367"/>
      <c r="L69" s="3573"/>
      <c r="N69" s="3333"/>
      <c r="P69" s="4055"/>
      <c r="R69" s="4070"/>
    </row>
    <row r="70" spans="4:18">
      <c r="E70" s="3990" t="e">
        <f>E67+E68-E69</f>
        <v>#DIV/0!</v>
      </c>
      <c r="F70" s="4012" t="e">
        <f>F67+F68-F69</f>
        <v>#DIV/0!</v>
      </c>
      <c r="H70" s="4583"/>
      <c r="J70" s="3367"/>
      <c r="L70" s="3573"/>
      <c r="N70" s="3333"/>
      <c r="P70" s="4055"/>
      <c r="R70" s="4070"/>
    </row>
    <row r="71" spans="4:18">
      <c r="E71" s="3990"/>
      <c r="F71" s="4012"/>
      <c r="H71" s="4583"/>
      <c r="J71" s="3367"/>
      <c r="L71" s="3573"/>
      <c r="N71" s="3333"/>
      <c r="P71" s="4055"/>
      <c r="R71" s="4070"/>
    </row>
    <row r="72" spans="4:18">
      <c r="E72" s="3990" t="e">
        <f>IF(E70&gt;E65,0,E65-E70)</f>
        <v>#DIV/0!</v>
      </c>
      <c r="F72" s="4012" t="e">
        <f>IF(F70&gt;F65,0,F65-F70)</f>
        <v>#DIV/0!</v>
      </c>
      <c r="H72" s="4583"/>
      <c r="J72" s="3367"/>
      <c r="L72" s="3573"/>
      <c r="N72" s="3333"/>
      <c r="P72" s="4055"/>
      <c r="R72" s="4070"/>
    </row>
    <row r="75" spans="4:18">
      <c r="D75" s="47" t="s">
        <v>1239</v>
      </c>
    </row>
    <row r="76" spans="4:18">
      <c r="D76" s="47" t="s">
        <v>1240</v>
      </c>
    </row>
    <row r="77" spans="4:18">
      <c r="D77" s="47" t="s">
        <v>1241</v>
      </c>
    </row>
    <row r="78" spans="4:18">
      <c r="D78" s="47" t="s">
        <v>1244</v>
      </c>
    </row>
    <row r="79" spans="4:18">
      <c r="D79" s="1032"/>
      <c r="E79" s="2836" t="s">
        <v>3613</v>
      </c>
      <c r="F79" s="2836"/>
      <c r="G79" s="4608" t="s">
        <v>3673</v>
      </c>
      <c r="H79" s="4608"/>
      <c r="I79" s="3386" t="s">
        <v>3830</v>
      </c>
      <c r="J79" s="3386"/>
      <c r="K79" s="3597" t="s">
        <v>3903</v>
      </c>
      <c r="L79" s="3565"/>
      <c r="M79" s="3357" t="s">
        <v>4592</v>
      </c>
      <c r="N79"/>
      <c r="O79" s="3643" t="s">
        <v>7097</v>
      </c>
      <c r="Q79" s="3981" t="s">
        <v>7733</v>
      </c>
    </row>
    <row r="80" spans="4:18">
      <c r="D80" s="1033" t="s">
        <v>116</v>
      </c>
      <c r="E80" s="2837" t="e">
        <f>IF(FracFunding1617!E24&lt;=0,'Data Entry - SOF'!C108,FracFunding1617!D5)</f>
        <v>#DIV/0!</v>
      </c>
      <c r="F80" s="2837"/>
      <c r="G80" s="4622">
        <f>'Calc Data-SB1'!AF30</f>
        <v>0</v>
      </c>
      <c r="H80" s="4622"/>
      <c r="I80" s="3387">
        <f>'Calc Data-SB1'!AJ30</f>
        <v>0</v>
      </c>
      <c r="J80" s="3387"/>
      <c r="K80" s="3598">
        <f>'Calc Data-SB1'!AN30</f>
        <v>0</v>
      </c>
      <c r="L80" s="3565"/>
      <c r="M80" s="3358">
        <f>'Calc Data-SB1'!AR30</f>
        <v>0</v>
      </c>
      <c r="N80"/>
      <c r="O80" s="3643">
        <f>'Calc Data-SB1'!AY30</f>
        <v>0</v>
      </c>
      <c r="Q80" s="3981">
        <f>'Calc Data-SB1'!BD30</f>
        <v>0</v>
      </c>
    </row>
    <row r="81" spans="4:17">
      <c r="D81" s="1033" t="s">
        <v>117</v>
      </c>
      <c r="E81" s="2837">
        <f>'Data Entry - SOF'!C58</f>
        <v>0</v>
      </c>
      <c r="F81" s="2837"/>
      <c r="G81" s="4622">
        <f>'Data Entry - SOF'!E58</f>
        <v>0</v>
      </c>
      <c r="H81" s="4622"/>
      <c r="I81" s="3387">
        <f>'Data Entry - SOF'!G58</f>
        <v>0</v>
      </c>
      <c r="J81" s="3387"/>
      <c r="K81" s="3598">
        <f>'Data Entry - SOF'!I58</f>
        <v>0</v>
      </c>
      <c r="L81" s="3565"/>
      <c r="M81" s="3358">
        <f>'Data Entry - SOF'!K58</f>
        <v>0</v>
      </c>
      <c r="N81"/>
      <c r="O81" s="3643">
        <f>'Data Entry - SOF'!M58</f>
        <v>0</v>
      </c>
      <c r="Q81" s="3981">
        <f>'Data Entry - SOF'!O58</f>
        <v>0</v>
      </c>
    </row>
    <row r="82" spans="4:17">
      <c r="D82" s="1034" t="s">
        <v>118</v>
      </c>
      <c r="E82" s="2838" t="e">
        <f>(IF(E81&gt;=E80,0,E27*(1-(E81/E80))))*-1</f>
        <v>#DIV/0!</v>
      </c>
      <c r="F82" s="2838"/>
      <c r="G82" s="4623">
        <f>(IF(G81&gt;=G80,0,G27*(1-(G81/G80))))*-1</f>
        <v>0</v>
      </c>
      <c r="H82" s="4623"/>
      <c r="I82" s="3388">
        <f>(IF(I81&gt;=I80,0,I27*(1-(I81/I80))))*-1</f>
        <v>0</v>
      </c>
      <c r="J82" s="3388"/>
      <c r="K82" s="3599">
        <f>(IF(K81&gt;=K80,0,K27*(1-(K81/K80))))*-1</f>
        <v>0</v>
      </c>
      <c r="L82" s="3565"/>
      <c r="M82" s="3359">
        <f>(IF(M81&gt;=M80,0,M27*(1-(M81/M80))))*-1</f>
        <v>0</v>
      </c>
      <c r="N82"/>
      <c r="O82" s="3643">
        <f>(IF(O81&gt;=O80,0,O27*(1-(O81/O80))))*-1</f>
        <v>0</v>
      </c>
      <c r="Q82" s="3981">
        <f>(IF(Q81&gt;=Q80,0,Q27*(1-(Q81/Q80))))*-1</f>
        <v>0</v>
      </c>
    </row>
  </sheetData>
  <phoneticPr fontId="25" type="noConversion"/>
  <pageMargins left="0.2" right="0.2" top="0.5" bottom="0.5" header="0.3" footer="0.3"/>
  <pageSetup scale="8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V151"/>
  <sheetViews>
    <sheetView zoomScale="90" zoomScaleNormal="90" workbookViewId="0">
      <selection activeCell="C7" sqref="C7"/>
    </sheetView>
  </sheetViews>
  <sheetFormatPr defaultRowHeight="12.75"/>
  <cols>
    <col min="2" max="2" width="49.7109375" customWidth="1"/>
    <col min="3" max="3" width="20.7109375" style="1403" customWidth="1"/>
    <col min="4" max="4" width="2.7109375" style="1403" customWidth="1"/>
    <col min="5" max="5" width="20.7109375" style="1403" customWidth="1"/>
    <col min="6" max="6" width="2.7109375" style="1403" customWidth="1"/>
    <col min="7" max="7" width="20.7109375" style="1403" customWidth="1"/>
    <col min="8" max="8" width="2.7109375" style="1403" customWidth="1"/>
    <col min="9" max="9" width="20.7109375" style="1403" customWidth="1"/>
    <col min="10" max="10" width="5.7109375" style="4082" customWidth="1"/>
    <col min="11" max="11" width="20.7109375" style="4125" customWidth="1"/>
    <col min="12" max="12" width="2.7109375" style="4125" customWidth="1"/>
    <col min="13" max="13" width="20.7109375" style="4125" customWidth="1"/>
    <col min="14" max="14" width="2.7109375" style="4125" customWidth="1"/>
    <col min="15" max="15" width="20.7109375" style="4125" customWidth="1"/>
    <col min="16" max="16" width="2.7109375" style="4125" customWidth="1"/>
    <col min="17" max="17" width="20.7109375" style="4137" customWidth="1"/>
    <col min="18" max="18" width="5.7109375" style="4083" customWidth="1"/>
    <col min="19" max="19" width="20.7109375" style="4113" customWidth="1"/>
    <col min="20" max="20" width="2.7109375" style="4113" customWidth="1"/>
    <col min="21" max="21" width="20.7109375" style="4113" customWidth="1"/>
    <col min="22" max="22" width="2.7109375" style="4113" customWidth="1"/>
    <col min="23" max="23" width="20.7109375" style="4113" customWidth="1"/>
    <col min="24" max="24" width="2.7109375" style="4113" customWidth="1"/>
    <col min="25" max="25" width="20.7109375" style="4113" customWidth="1"/>
    <col min="26" max="26" width="5.7109375" style="4113" customWidth="1"/>
    <col min="27" max="27" width="20.7109375" style="4148" customWidth="1"/>
    <col min="28" max="28" width="2.7109375" style="4148" customWidth="1"/>
    <col min="29" max="29" width="20.7109375" style="4148" customWidth="1"/>
    <col min="30" max="30" width="2.7109375" style="4148" customWidth="1"/>
    <col min="31" max="31" width="20.7109375" style="4148" customWidth="1"/>
    <col min="32" max="32" width="2.7109375" style="4148" customWidth="1"/>
    <col min="33" max="33" width="20.7109375" style="4148" customWidth="1"/>
    <col min="34" max="34" width="5.7109375" style="4148" customWidth="1"/>
    <col min="35" max="35" width="20.7109375" style="4149" customWidth="1"/>
    <col min="36" max="36" width="2.7109375" style="4149" customWidth="1"/>
    <col min="37" max="37" width="20.7109375" style="4149" customWidth="1"/>
    <col min="38" max="38" width="2.7109375" style="4149" customWidth="1"/>
    <col min="39" max="39" width="20.7109375" style="4149" customWidth="1"/>
    <col min="40" max="40" width="2.7109375" style="4149" customWidth="1"/>
    <col min="41" max="41" width="20.7109375" style="4149" customWidth="1"/>
    <col min="42" max="42" width="5.7109375" style="4149" customWidth="1"/>
    <col min="43" max="43" width="20.7109375" style="4150" customWidth="1"/>
    <col min="44" max="44" width="2.7109375" style="4150" customWidth="1"/>
    <col min="45" max="45" width="20.7109375" style="4150" customWidth="1"/>
    <col min="46" max="46" width="2.7109375" style="4150" customWidth="1"/>
    <col min="47" max="47" width="20.7109375" style="4150" customWidth="1"/>
    <col min="48" max="48" width="2.7109375" style="4150" customWidth="1"/>
    <col min="49" max="49" width="20.7109375" style="4150" customWidth="1"/>
    <col min="50" max="50" width="9.140625" style="4150"/>
    <col min="51" max="51" width="20.7109375" style="4151" customWidth="1"/>
    <col min="52" max="52" width="2.7109375" style="4151" customWidth="1"/>
    <col min="53" max="53" width="20.7109375" style="4151" customWidth="1"/>
    <col min="54" max="54" width="2.7109375" style="4151" customWidth="1"/>
    <col min="55" max="55" width="20.7109375" style="4151" customWidth="1"/>
    <col min="56" max="56" width="2.7109375" style="4151" customWidth="1"/>
    <col min="57" max="57" width="20.7109375" style="4151" customWidth="1"/>
    <col min="58" max="58" width="9.140625" style="4151"/>
    <col min="59" max="59" width="20.7109375" style="2156" customWidth="1"/>
    <col min="60" max="60" width="2.7109375" style="2156" customWidth="1"/>
    <col min="61" max="61" width="20.7109375" style="2156" customWidth="1"/>
    <col min="62" max="62" width="2.7109375" style="2156" customWidth="1"/>
    <col min="63" max="63" width="20.7109375" style="2156" customWidth="1"/>
    <col min="64" max="64" width="2.7109375" style="2156" customWidth="1"/>
    <col min="65" max="65" width="20.7109375" style="2156" customWidth="1"/>
    <col min="66" max="66" width="5.7109375" style="2157" customWidth="1"/>
    <col min="67" max="67" width="20.7109375" style="1840" customWidth="1"/>
    <col min="68" max="68" width="2.7109375" style="1840" customWidth="1"/>
    <col min="69" max="69" width="20.7109375" style="1840" customWidth="1"/>
    <col min="70" max="70" width="2.7109375" style="1840" customWidth="1"/>
    <col min="71" max="71" width="20.7109375" style="1840" customWidth="1"/>
    <col min="72" max="72" width="2.7109375" style="1840" customWidth="1"/>
    <col min="73" max="73" width="20.7109375" style="1840" customWidth="1"/>
    <col min="74" max="74" width="5.7109375" style="1402" customWidth="1"/>
  </cols>
  <sheetData>
    <row r="1" spans="1:73">
      <c r="A1" s="35"/>
      <c r="B1" s="35"/>
      <c r="I1" s="2733"/>
      <c r="R1" s="4260"/>
      <c r="Z1" s="4242"/>
      <c r="AH1" s="4277"/>
      <c r="AP1" s="4290"/>
      <c r="AX1" s="4302"/>
      <c r="BF1" s="4318"/>
    </row>
    <row r="2" spans="1:73">
      <c r="A2" s="35"/>
      <c r="B2" s="35"/>
      <c r="I2" s="2733"/>
      <c r="R2" s="4260"/>
      <c r="Z2" s="4242"/>
      <c r="AH2" s="4277"/>
      <c r="AP2" s="4290"/>
      <c r="AX2" s="4302"/>
      <c r="BF2" s="4318"/>
    </row>
    <row r="3" spans="1:73">
      <c r="I3" s="2733"/>
      <c r="R3" s="4260"/>
      <c r="Z3" s="4242"/>
      <c r="AH3" s="4277"/>
      <c r="AP3" s="4290"/>
      <c r="AX3" s="4302"/>
      <c r="BF3" s="4318"/>
    </row>
    <row r="4" spans="1:73">
      <c r="I4" s="2733"/>
      <c r="R4" s="4260"/>
      <c r="Z4" s="4242"/>
      <c r="AH4" s="4277"/>
      <c r="AP4" s="4290"/>
      <c r="AX4" s="4302"/>
      <c r="BF4" s="4318"/>
    </row>
    <row r="5" spans="1:73">
      <c r="I5" s="2733"/>
      <c r="R5" s="4260"/>
      <c r="Z5" s="4242"/>
      <c r="AH5" s="4277"/>
      <c r="AP5" s="4290"/>
      <c r="AX5" s="4302"/>
      <c r="BF5" s="4318"/>
    </row>
    <row r="6" spans="1:73">
      <c r="B6" s="35"/>
      <c r="I6" s="2733"/>
      <c r="R6" s="4260"/>
      <c r="Z6" s="4242"/>
      <c r="AH6" s="4277"/>
      <c r="AP6" s="4290"/>
      <c r="AX6" s="4302"/>
      <c r="BF6" s="4318"/>
      <c r="BG6" s="2132" t="s">
        <v>4706</v>
      </c>
      <c r="BH6" s="2132"/>
      <c r="BI6" s="2132" t="s">
        <v>4706</v>
      </c>
      <c r="BJ6" s="2132"/>
      <c r="BK6" s="2132" t="s">
        <v>4706</v>
      </c>
      <c r="BL6" s="2132"/>
      <c r="BM6" s="2132" t="s">
        <v>4706</v>
      </c>
      <c r="BO6" s="2132" t="s">
        <v>3739</v>
      </c>
      <c r="BP6" s="2132"/>
      <c r="BQ6" s="2132" t="s">
        <v>3739</v>
      </c>
      <c r="BR6" s="2132"/>
      <c r="BS6" s="2132" t="s">
        <v>3739</v>
      </c>
      <c r="BT6" s="2132"/>
      <c r="BU6" s="2132" t="s">
        <v>3739</v>
      </c>
    </row>
    <row r="7" spans="1:73">
      <c r="B7" s="35"/>
      <c r="C7" s="1408" t="s">
        <v>3613</v>
      </c>
      <c r="D7" s="1408"/>
      <c r="E7" s="1408" t="s">
        <v>3613</v>
      </c>
      <c r="F7" s="1408"/>
      <c r="G7" s="1408" t="s">
        <v>3613</v>
      </c>
      <c r="H7" s="1408"/>
      <c r="I7" s="2735" t="s">
        <v>3613</v>
      </c>
      <c r="K7" s="4126" t="s">
        <v>3673</v>
      </c>
      <c r="L7" s="4126"/>
      <c r="M7" s="4126" t="s">
        <v>3673</v>
      </c>
      <c r="N7" s="4126"/>
      <c r="O7" s="4126" t="s">
        <v>3673</v>
      </c>
      <c r="P7" s="4126"/>
      <c r="Q7" s="4138" t="s">
        <v>3673</v>
      </c>
      <c r="R7" s="4260"/>
      <c r="S7" s="3745" t="s">
        <v>3830</v>
      </c>
      <c r="T7" s="3745"/>
      <c r="U7" s="3745" t="s">
        <v>3830</v>
      </c>
      <c r="V7" s="3745"/>
      <c r="W7" s="3745" t="s">
        <v>3830</v>
      </c>
      <c r="X7" s="3745"/>
      <c r="Y7" s="3745" t="s">
        <v>3830</v>
      </c>
      <c r="Z7" s="4240"/>
      <c r="AA7" s="4144" t="s">
        <v>3903</v>
      </c>
      <c r="AB7" s="4144"/>
      <c r="AC7" s="4144" t="s">
        <v>3903</v>
      </c>
      <c r="AD7" s="4144"/>
      <c r="AE7" s="4144" t="s">
        <v>3903</v>
      </c>
      <c r="AF7" s="4144"/>
      <c r="AG7" s="4144" t="s">
        <v>3903</v>
      </c>
      <c r="AH7" s="4278"/>
      <c r="AI7" s="4145" t="s">
        <v>4592</v>
      </c>
      <c r="AJ7" s="4145"/>
      <c r="AK7" s="4145" t="s">
        <v>4592</v>
      </c>
      <c r="AL7" s="4145"/>
      <c r="AM7" s="4145" t="s">
        <v>4592</v>
      </c>
      <c r="AN7" s="4145"/>
      <c r="AO7" s="4145" t="s">
        <v>4592</v>
      </c>
      <c r="AP7" s="4291"/>
      <c r="AQ7" s="4146" t="s">
        <v>7097</v>
      </c>
      <c r="AR7" s="4146"/>
      <c r="AS7" s="4146" t="str">
        <f>AQ7</f>
        <v>2021-22</v>
      </c>
      <c r="AT7" s="4146"/>
      <c r="AU7" s="4146" t="str">
        <f>AS7</f>
        <v>2021-22</v>
      </c>
      <c r="AV7" s="4146"/>
      <c r="AW7" s="4146" t="str">
        <f>AU7</f>
        <v>2021-22</v>
      </c>
      <c r="AX7" s="4303"/>
      <c r="AY7" s="4147" t="s">
        <v>7733</v>
      </c>
      <c r="AZ7" s="4147"/>
      <c r="BA7" s="4147" t="str">
        <f>AY7</f>
        <v>2022-23</v>
      </c>
      <c r="BB7" s="4147"/>
      <c r="BC7" s="4147" t="str">
        <f>BA7</f>
        <v>2022-23</v>
      </c>
      <c r="BD7" s="4147"/>
      <c r="BE7" s="4147" t="str">
        <f>BC7</f>
        <v>2022-23</v>
      </c>
      <c r="BF7" s="4319"/>
      <c r="BG7" s="2158" t="s">
        <v>3613</v>
      </c>
      <c r="BH7" s="2158"/>
      <c r="BI7" s="2158" t="s">
        <v>3613</v>
      </c>
      <c r="BJ7" s="2158"/>
      <c r="BK7" s="2158" t="s">
        <v>3613</v>
      </c>
      <c r="BL7" s="2158"/>
      <c r="BM7" s="2158" t="s">
        <v>3613</v>
      </c>
      <c r="BO7" s="2135" t="s">
        <v>3613</v>
      </c>
      <c r="BP7" s="2135"/>
      <c r="BQ7" s="2135" t="s">
        <v>3613</v>
      </c>
      <c r="BR7" s="2135"/>
      <c r="BS7" s="2135" t="s">
        <v>3613</v>
      </c>
      <c r="BT7" s="2135"/>
      <c r="BU7" s="2135" t="s">
        <v>3613</v>
      </c>
    </row>
    <row r="8" spans="1:73">
      <c r="C8" s="1408" t="s">
        <v>2944</v>
      </c>
      <c r="D8" s="1408"/>
      <c r="E8" s="1408" t="s">
        <v>215</v>
      </c>
      <c r="F8" s="1408"/>
      <c r="G8" s="1408" t="s">
        <v>2944</v>
      </c>
      <c r="H8" s="1408"/>
      <c r="I8" s="2735" t="s">
        <v>215</v>
      </c>
      <c r="K8" s="4126" t="s">
        <v>2944</v>
      </c>
      <c r="L8" s="4126"/>
      <c r="M8" s="4126" t="s">
        <v>215</v>
      </c>
      <c r="N8" s="4126"/>
      <c r="O8" s="4126" t="s">
        <v>2944</v>
      </c>
      <c r="P8" s="4126"/>
      <c r="Q8" s="4138" t="s">
        <v>215</v>
      </c>
      <c r="R8" s="4260"/>
      <c r="S8" s="3745" t="s">
        <v>2944</v>
      </c>
      <c r="T8" s="3745"/>
      <c r="U8" s="3745" t="s">
        <v>215</v>
      </c>
      <c r="V8" s="3745"/>
      <c r="W8" s="3745" t="s">
        <v>2944</v>
      </c>
      <c r="X8" s="3745"/>
      <c r="Y8" s="3745" t="s">
        <v>215</v>
      </c>
      <c r="Z8" s="4240"/>
      <c r="AA8" s="4144" t="s">
        <v>2944</v>
      </c>
      <c r="AB8" s="4144"/>
      <c r="AC8" s="4144" t="s">
        <v>215</v>
      </c>
      <c r="AD8" s="4144"/>
      <c r="AE8" s="4144" t="s">
        <v>2944</v>
      </c>
      <c r="AF8" s="4144"/>
      <c r="AG8" s="4144" t="s">
        <v>215</v>
      </c>
      <c r="AH8" s="4278"/>
      <c r="AI8" s="4145" t="s">
        <v>2944</v>
      </c>
      <c r="AJ8" s="4145"/>
      <c r="AK8" s="4145" t="s">
        <v>215</v>
      </c>
      <c r="AL8" s="4145"/>
      <c r="AM8" s="4145" t="s">
        <v>2944</v>
      </c>
      <c r="AN8" s="4145"/>
      <c r="AO8" s="4145" t="s">
        <v>215</v>
      </c>
      <c r="AP8" s="4291"/>
      <c r="AQ8" s="4146" t="s">
        <v>2944</v>
      </c>
      <c r="AR8" s="4146"/>
      <c r="AS8" s="4146" t="s">
        <v>215</v>
      </c>
      <c r="AT8" s="4146"/>
      <c r="AU8" s="4146" t="s">
        <v>2944</v>
      </c>
      <c r="AV8" s="4146"/>
      <c r="AW8" s="4146" t="s">
        <v>215</v>
      </c>
      <c r="AX8" s="4303"/>
      <c r="AY8" s="4147" t="s">
        <v>2944</v>
      </c>
      <c r="AZ8" s="4147"/>
      <c r="BA8" s="4147" t="s">
        <v>215</v>
      </c>
      <c r="BB8" s="4147"/>
      <c r="BC8" s="4147" t="s">
        <v>2944</v>
      </c>
      <c r="BD8" s="4147"/>
      <c r="BE8" s="4147" t="s">
        <v>215</v>
      </c>
      <c r="BF8" s="4319"/>
      <c r="BG8" s="2158" t="s">
        <v>2944</v>
      </c>
      <c r="BH8" s="2158"/>
      <c r="BI8" s="2158" t="s">
        <v>215</v>
      </c>
      <c r="BJ8" s="2158"/>
      <c r="BK8" s="2158" t="s">
        <v>2944</v>
      </c>
      <c r="BL8" s="2158"/>
      <c r="BM8" s="2158" t="s">
        <v>215</v>
      </c>
      <c r="BO8" s="2135" t="s">
        <v>2944</v>
      </c>
      <c r="BP8" s="2135"/>
      <c r="BQ8" s="2135" t="s">
        <v>215</v>
      </c>
      <c r="BR8" s="2135"/>
      <c r="BS8" s="2135" t="s">
        <v>2944</v>
      </c>
      <c r="BT8" s="2135"/>
      <c r="BU8" s="2135" t="s">
        <v>215</v>
      </c>
    </row>
    <row r="9" spans="1:73">
      <c r="C9" s="1409">
        <f>Assumptions!G92</f>
        <v>514000</v>
      </c>
      <c r="D9" s="1410"/>
      <c r="E9" s="1409">
        <f>C9</f>
        <v>514000</v>
      </c>
      <c r="F9" s="1410"/>
      <c r="G9" s="1409">
        <f>Assumptions!G93</f>
        <v>319500</v>
      </c>
      <c r="H9" s="1410"/>
      <c r="I9" s="2736">
        <f>G9</f>
        <v>319500</v>
      </c>
      <c r="K9" s="4127">
        <f>Assumptions!G103</f>
        <v>514000</v>
      </c>
      <c r="L9" s="4127"/>
      <c r="M9" s="4127">
        <f>K9</f>
        <v>514000</v>
      </c>
      <c r="N9" s="4127"/>
      <c r="O9" s="4127">
        <f>Assumptions!G104</f>
        <v>319500</v>
      </c>
      <c r="P9" s="4127"/>
      <c r="Q9" s="4139">
        <f>O9</f>
        <v>319500</v>
      </c>
      <c r="R9" s="4260"/>
      <c r="S9" s="4152">
        <f>Assumptions!G112</f>
        <v>514000</v>
      </c>
      <c r="T9" s="4152"/>
      <c r="U9" s="4152">
        <f>S9</f>
        <v>514000</v>
      </c>
      <c r="V9" s="4152"/>
      <c r="W9" s="4152">
        <f>Assumptions!G113</f>
        <v>319500</v>
      </c>
      <c r="X9" s="4152"/>
      <c r="Y9" s="4152">
        <f>W9</f>
        <v>319500</v>
      </c>
      <c r="Z9" s="4270"/>
      <c r="AA9" s="4153">
        <f>Assumptions!G121</f>
        <v>514000</v>
      </c>
      <c r="AB9" s="4153"/>
      <c r="AC9" s="4153">
        <f>AA9</f>
        <v>514000</v>
      </c>
      <c r="AD9" s="4153"/>
      <c r="AE9" s="4153">
        <f>Assumptions!G122</f>
        <v>319500</v>
      </c>
      <c r="AF9" s="4153"/>
      <c r="AG9" s="4153">
        <f>AE9</f>
        <v>319500</v>
      </c>
      <c r="AH9" s="4279"/>
      <c r="AI9" s="4154">
        <f>Assumptions!G130</f>
        <v>514000</v>
      </c>
      <c r="AJ9" s="4154"/>
      <c r="AK9" s="4154">
        <f>AI9</f>
        <v>514000</v>
      </c>
      <c r="AL9" s="4154"/>
      <c r="AM9" s="4154">
        <f>Assumptions!G131</f>
        <v>319500</v>
      </c>
      <c r="AN9" s="4154"/>
      <c r="AO9" s="4154">
        <f>AM9</f>
        <v>319500</v>
      </c>
      <c r="AP9" s="4292"/>
      <c r="AQ9" s="4155">
        <f>Assumptions!G139</f>
        <v>514000</v>
      </c>
      <c r="AR9" s="4155"/>
      <c r="AS9" s="4155">
        <f>AQ9</f>
        <v>514000</v>
      </c>
      <c r="AT9" s="4155"/>
      <c r="AU9" s="4155">
        <f>Assumptions!G140</f>
        <v>319500</v>
      </c>
      <c r="AV9" s="4155"/>
      <c r="AW9" s="4155">
        <f>AU9</f>
        <v>319500</v>
      </c>
      <c r="AX9" s="4304"/>
      <c r="AY9" s="4156">
        <f>Assumptions!G148</f>
        <v>514000</v>
      </c>
      <c r="AZ9" s="4156"/>
      <c r="BA9" s="4156">
        <f>AY9</f>
        <v>514000</v>
      </c>
      <c r="BB9" s="4156"/>
      <c r="BC9" s="4156">
        <f>Assumptions!G149</f>
        <v>319500</v>
      </c>
      <c r="BD9" s="4156"/>
      <c r="BE9" s="4156">
        <f>BC9</f>
        <v>319500</v>
      </c>
      <c r="BF9" s="4320"/>
      <c r="BG9" s="2159">
        <f>Assumptions!G30</f>
        <v>476500</v>
      </c>
      <c r="BH9" s="2160"/>
      <c r="BI9" s="2159">
        <f>BG9</f>
        <v>476500</v>
      </c>
      <c r="BJ9" s="2160"/>
      <c r="BK9" s="2159">
        <f>Assumptions!G41</f>
        <v>319500</v>
      </c>
      <c r="BL9" s="2160"/>
      <c r="BM9" s="2159">
        <f>BK9</f>
        <v>319500</v>
      </c>
      <c r="BO9" s="2136">
        <f>Assumptions!G30</f>
        <v>476500</v>
      </c>
      <c r="BP9" s="2137"/>
      <c r="BQ9" s="2136">
        <f>BO9</f>
        <v>476500</v>
      </c>
      <c r="BR9" s="2137"/>
      <c r="BS9" s="2136">
        <f>Assumptions!G41</f>
        <v>319500</v>
      </c>
      <c r="BT9" s="2137"/>
      <c r="BU9" s="2136">
        <f>BS9</f>
        <v>319500</v>
      </c>
    </row>
    <row r="10" spans="1:73">
      <c r="I10" s="2733"/>
      <c r="R10" s="4260"/>
      <c r="Z10" s="4242"/>
      <c r="AH10" s="4277"/>
      <c r="AP10" s="4290"/>
      <c r="AX10" s="4302"/>
      <c r="BF10" s="4318"/>
    </row>
    <row r="11" spans="1:73">
      <c r="C11" s="1410"/>
      <c r="D11" s="1410"/>
      <c r="E11" s="1410"/>
      <c r="F11" s="1410"/>
      <c r="G11" s="1410"/>
      <c r="H11" s="1410"/>
      <c r="I11" s="2734"/>
      <c r="R11" s="4260"/>
      <c r="Z11" s="4242"/>
      <c r="AH11" s="4277"/>
      <c r="AP11" s="4290"/>
      <c r="AX11" s="4302"/>
      <c r="BF11" s="4318"/>
      <c r="BG11" s="2160"/>
      <c r="BH11" s="2160"/>
      <c r="BI11" s="2160"/>
      <c r="BJ11" s="2160"/>
      <c r="BK11" s="2160"/>
      <c r="BL11" s="2160"/>
      <c r="BM11" s="2160"/>
      <c r="BO11" s="2137"/>
      <c r="BP11" s="2137"/>
      <c r="BQ11" s="2137"/>
      <c r="BR11" s="2137"/>
      <c r="BS11" s="2137"/>
      <c r="BT11" s="2137"/>
      <c r="BU11" s="2137"/>
    </row>
    <row r="12" spans="1:73" ht="15.75">
      <c r="A12" s="38" t="s">
        <v>1665</v>
      </c>
      <c r="C12" s="1408" t="s">
        <v>2372</v>
      </c>
      <c r="E12" s="1408" t="s">
        <v>2372</v>
      </c>
      <c r="G12" s="1408" t="s">
        <v>2372</v>
      </c>
      <c r="I12" s="2735" t="s">
        <v>2372</v>
      </c>
      <c r="K12" s="4126" t="s">
        <v>2372</v>
      </c>
      <c r="L12" s="4126"/>
      <c r="M12" s="4126" t="s">
        <v>2372</v>
      </c>
      <c r="N12" s="4126"/>
      <c r="O12" s="4126" t="s">
        <v>2372</v>
      </c>
      <c r="P12" s="4126"/>
      <c r="Q12" s="4138" t="s">
        <v>2372</v>
      </c>
      <c r="R12" s="4260"/>
      <c r="S12" s="3745" t="s">
        <v>2372</v>
      </c>
      <c r="T12" s="3745"/>
      <c r="U12" s="3745" t="s">
        <v>2372</v>
      </c>
      <c r="V12" s="3745"/>
      <c r="W12" s="3745" t="s">
        <v>2372</v>
      </c>
      <c r="X12" s="3745"/>
      <c r="Y12" s="3745" t="s">
        <v>2372</v>
      </c>
      <c r="Z12" s="4240"/>
      <c r="AA12" s="4144" t="s">
        <v>2372</v>
      </c>
      <c r="AB12" s="4144"/>
      <c r="AC12" s="4144" t="s">
        <v>2372</v>
      </c>
      <c r="AD12" s="4144"/>
      <c r="AE12" s="4144" t="s">
        <v>2372</v>
      </c>
      <c r="AF12" s="4144"/>
      <c r="AG12" s="4144" t="s">
        <v>2372</v>
      </c>
      <c r="AH12" s="4278"/>
      <c r="AI12" s="4145" t="s">
        <v>2372</v>
      </c>
      <c r="AJ12" s="4145"/>
      <c r="AK12" s="4145" t="s">
        <v>2372</v>
      </c>
      <c r="AL12" s="4145"/>
      <c r="AM12" s="4145" t="s">
        <v>2372</v>
      </c>
      <c r="AN12" s="4145"/>
      <c r="AO12" s="4145" t="s">
        <v>2372</v>
      </c>
      <c r="AP12" s="4291"/>
      <c r="AQ12" s="4146" t="s">
        <v>2372</v>
      </c>
      <c r="AR12" s="4146"/>
      <c r="AS12" s="4146" t="s">
        <v>2372</v>
      </c>
      <c r="AT12" s="4146"/>
      <c r="AU12" s="4146" t="s">
        <v>2372</v>
      </c>
      <c r="AV12" s="4146"/>
      <c r="AW12" s="4146" t="s">
        <v>2372</v>
      </c>
      <c r="AX12" s="4303"/>
      <c r="AY12" s="4147" t="s">
        <v>2372</v>
      </c>
      <c r="AZ12" s="4147"/>
      <c r="BA12" s="4147" t="s">
        <v>2372</v>
      </c>
      <c r="BB12" s="4147"/>
      <c r="BC12" s="4147" t="s">
        <v>2372</v>
      </c>
      <c r="BD12" s="4147"/>
      <c r="BE12" s="4147" t="s">
        <v>2372</v>
      </c>
      <c r="BF12" s="4319"/>
      <c r="BG12" s="2158" t="s">
        <v>2372</v>
      </c>
      <c r="BI12" s="2158" t="s">
        <v>2372</v>
      </c>
      <c r="BK12" s="2158" t="s">
        <v>2372</v>
      </c>
      <c r="BM12" s="2158" t="s">
        <v>2372</v>
      </c>
      <c r="BO12" s="2135" t="s">
        <v>2372</v>
      </c>
      <c r="BQ12" s="2135" t="s">
        <v>2372</v>
      </c>
      <c r="BS12" s="2135" t="s">
        <v>2372</v>
      </c>
      <c r="BU12" s="2135" t="s">
        <v>2372</v>
      </c>
    </row>
    <row r="13" spans="1:73">
      <c r="A13" t="s">
        <v>499</v>
      </c>
      <c r="C13" s="1411">
        <f>'Data Entry - SOF'!C136+'Data Entry - SOF'!C137</f>
        <v>0</v>
      </c>
      <c r="D13" s="1412"/>
      <c r="E13" s="1411">
        <f>C13</f>
        <v>0</v>
      </c>
      <c r="F13" s="1412"/>
      <c r="G13" s="1411">
        <f>E13</f>
        <v>0</v>
      </c>
      <c r="H13" s="1412"/>
      <c r="I13" s="2737">
        <f>G13</f>
        <v>0</v>
      </c>
      <c r="K13" s="4128">
        <f>'Data Entry - SOF'!C136+'Data Entry - SOF'!C137</f>
        <v>0</v>
      </c>
      <c r="M13" s="4128">
        <f>K13</f>
        <v>0</v>
      </c>
      <c r="O13" s="4128">
        <f>M13</f>
        <v>0</v>
      </c>
      <c r="Q13" s="4140">
        <f>O13</f>
        <v>0</v>
      </c>
      <c r="R13" s="4260"/>
      <c r="S13" s="4254">
        <f>'Data Entry - SOF'!C136+'Data Entry - SOF'!C137</f>
        <v>0</v>
      </c>
      <c r="T13" s="4030"/>
      <c r="U13" s="4174">
        <f>S13</f>
        <v>0</v>
      </c>
      <c r="V13" s="4030"/>
      <c r="W13" s="4174">
        <f>U13</f>
        <v>0</v>
      </c>
      <c r="X13" s="4030"/>
      <c r="Y13" s="4174">
        <f>W13</f>
        <v>0</v>
      </c>
      <c r="Z13" s="4067"/>
      <c r="AA13" s="4264">
        <f>'Data Entry - SOF'!C136+'Data Entry - SOF'!C137</f>
        <v>0</v>
      </c>
      <c r="AB13" s="4176"/>
      <c r="AC13" s="4175">
        <f>AA13</f>
        <v>0</v>
      </c>
      <c r="AD13" s="4176"/>
      <c r="AE13" s="4175">
        <f>AC13</f>
        <v>0</v>
      </c>
      <c r="AF13" s="4176"/>
      <c r="AG13" s="4175">
        <f>AE13</f>
        <v>0</v>
      </c>
      <c r="AH13" s="4280"/>
      <c r="AI13" s="4052">
        <f>'Data Entry - SOF'!C136+'Data Entry - SOF'!C137</f>
        <v>0</v>
      </c>
      <c r="AJ13" s="4031"/>
      <c r="AK13" s="4177">
        <f>AI13</f>
        <v>0</v>
      </c>
      <c r="AL13" s="4031"/>
      <c r="AM13" s="4177">
        <f>AK13</f>
        <v>0</v>
      </c>
      <c r="AN13" s="4031"/>
      <c r="AO13" s="4177">
        <f>AM13</f>
        <v>0</v>
      </c>
      <c r="AP13" s="4075"/>
      <c r="AQ13" s="4284">
        <f>'Data Entry - SOF'!C136+'Data Entry - SOF'!C137</f>
        <v>0</v>
      </c>
      <c r="AR13" s="4179"/>
      <c r="AS13" s="4178">
        <f>AQ13</f>
        <v>0</v>
      </c>
      <c r="AT13" s="4179"/>
      <c r="AU13" s="4178">
        <f>AS13</f>
        <v>0</v>
      </c>
      <c r="AV13" s="4179"/>
      <c r="AW13" s="4178">
        <f>AU13</f>
        <v>0</v>
      </c>
      <c r="AX13" s="4305"/>
      <c r="AY13" s="4296">
        <f>'Data Entry - SOF'!C136+'Data Entry - SOF'!C137</f>
        <v>0</v>
      </c>
      <c r="AZ13" s="4181"/>
      <c r="BA13" s="4180">
        <f>AY13</f>
        <v>0</v>
      </c>
      <c r="BB13" s="4181"/>
      <c r="BC13" s="4180">
        <f>BA13</f>
        <v>0</v>
      </c>
      <c r="BD13" s="4181"/>
      <c r="BE13" s="4180">
        <f>BC13</f>
        <v>0</v>
      </c>
      <c r="BF13" s="4318"/>
      <c r="BG13" s="4309">
        <f>'Data Entry - SOF'!C136+'Data Entry - SOF'!C137</f>
        <v>0</v>
      </c>
      <c r="BH13" s="2162"/>
      <c r="BI13" s="2161">
        <f>BG13</f>
        <v>0</v>
      </c>
      <c r="BJ13" s="2162"/>
      <c r="BK13" s="2161">
        <f>BI13</f>
        <v>0</v>
      </c>
      <c r="BL13" s="2162"/>
      <c r="BM13" s="2161">
        <f>BK13</f>
        <v>0</v>
      </c>
      <c r="BO13" s="1875">
        <f>'Data Entry - SOF'!C136+'Data Entry - SOF'!C137</f>
        <v>0</v>
      </c>
      <c r="BP13" s="2138"/>
      <c r="BQ13" s="1875">
        <f>BO13</f>
        <v>0</v>
      </c>
      <c r="BR13" s="2138"/>
      <c r="BS13" s="1875">
        <f>BQ13</f>
        <v>0</v>
      </c>
      <c r="BT13" s="2138"/>
      <c r="BU13" s="1875">
        <f>BS13</f>
        <v>0</v>
      </c>
    </row>
    <row r="14" spans="1:73">
      <c r="A14" t="s">
        <v>500</v>
      </c>
      <c r="C14" s="1413">
        <f>'Data Entry - SOF'!C138</f>
        <v>0</v>
      </c>
      <c r="D14" s="1414"/>
      <c r="E14" s="1413">
        <f>C14</f>
        <v>0</v>
      </c>
      <c r="F14" s="1414"/>
      <c r="G14" s="1413">
        <f>E14</f>
        <v>0</v>
      </c>
      <c r="H14" s="1414"/>
      <c r="I14" s="2738">
        <f>G14</f>
        <v>0</v>
      </c>
      <c r="K14" s="4129">
        <f>'Data Entry - SOF'!C138</f>
        <v>0</v>
      </c>
      <c r="L14" s="4130"/>
      <c r="M14" s="4129">
        <f>K14</f>
        <v>0</v>
      </c>
      <c r="N14" s="4130"/>
      <c r="O14" s="4129">
        <f>M14</f>
        <v>0</v>
      </c>
      <c r="P14" s="4130"/>
      <c r="Q14" s="4141">
        <f>O14</f>
        <v>0</v>
      </c>
      <c r="R14" s="4260"/>
      <c r="S14" s="4255">
        <f>'Data Entry - SOF'!C138</f>
        <v>0</v>
      </c>
      <c r="T14" s="4117"/>
      <c r="U14" s="4116">
        <f>S14</f>
        <v>0</v>
      </c>
      <c r="V14" s="4117"/>
      <c r="W14" s="4116">
        <f>U14</f>
        <v>0</v>
      </c>
      <c r="X14" s="4117"/>
      <c r="Y14" s="4116">
        <f>W14</f>
        <v>0</v>
      </c>
      <c r="Z14" s="4271"/>
      <c r="AA14" s="4265">
        <f>'Data Entry - SOF'!C138</f>
        <v>0</v>
      </c>
      <c r="AB14" s="4183"/>
      <c r="AC14" s="4182">
        <f>AA14</f>
        <v>0</v>
      </c>
      <c r="AD14" s="4183"/>
      <c r="AE14" s="4182">
        <f>AC14</f>
        <v>0</v>
      </c>
      <c r="AF14" s="4183"/>
      <c r="AG14" s="4182">
        <f>AE14</f>
        <v>0</v>
      </c>
      <c r="AH14" s="4281"/>
      <c r="AI14" s="4273">
        <f>'Data Entry - SOF'!C138</f>
        <v>0</v>
      </c>
      <c r="AJ14" s="4185"/>
      <c r="AK14" s="4184">
        <f>AI14</f>
        <v>0</v>
      </c>
      <c r="AL14" s="4185"/>
      <c r="AM14" s="4184">
        <f>AK14</f>
        <v>0</v>
      </c>
      <c r="AN14" s="4185"/>
      <c r="AO14" s="4184">
        <f>AM14</f>
        <v>0</v>
      </c>
      <c r="AP14" s="4293"/>
      <c r="AQ14" s="4285">
        <f>'Data Entry - SOF'!C138</f>
        <v>0</v>
      </c>
      <c r="AR14" s="4187"/>
      <c r="AS14" s="4186">
        <f>AQ14</f>
        <v>0</v>
      </c>
      <c r="AT14" s="4187"/>
      <c r="AU14" s="4186">
        <f>AS14</f>
        <v>0</v>
      </c>
      <c r="AV14" s="4187"/>
      <c r="AW14" s="4186">
        <f>AU14</f>
        <v>0</v>
      </c>
      <c r="AX14" s="4306"/>
      <c r="AY14" s="4297">
        <f>'Data Entry - SOF'!C138</f>
        <v>0</v>
      </c>
      <c r="AZ14" s="4189"/>
      <c r="BA14" s="4188">
        <f>AY14</f>
        <v>0</v>
      </c>
      <c r="BB14" s="4189"/>
      <c r="BC14" s="4188">
        <f>BA14</f>
        <v>0</v>
      </c>
      <c r="BD14" s="4189"/>
      <c r="BE14" s="4188">
        <f>BC14</f>
        <v>0</v>
      </c>
      <c r="BF14" s="4318"/>
      <c r="BG14" s="4310">
        <f>'Data Entry - SOF'!C138</f>
        <v>0</v>
      </c>
      <c r="BH14" s="2164"/>
      <c r="BI14" s="2163">
        <f>BG14</f>
        <v>0</v>
      </c>
      <c r="BJ14" s="2164"/>
      <c r="BK14" s="2163">
        <f>BI14</f>
        <v>0</v>
      </c>
      <c r="BL14" s="2164"/>
      <c r="BM14" s="2163">
        <f>BK14</f>
        <v>0</v>
      </c>
      <c r="BO14" s="2139">
        <f>'Data Entry - SOF'!C138</f>
        <v>0</v>
      </c>
      <c r="BP14" s="2140"/>
      <c r="BQ14" s="2139">
        <f>BO14</f>
        <v>0</v>
      </c>
      <c r="BR14" s="2140"/>
      <c r="BS14" s="2139">
        <f>BQ14</f>
        <v>0</v>
      </c>
      <c r="BT14" s="2140"/>
      <c r="BU14" s="2139">
        <f>BS14</f>
        <v>0</v>
      </c>
    </row>
    <row r="15" spans="1:73">
      <c r="A15" t="s">
        <v>559</v>
      </c>
      <c r="C15" s="1413" t="e">
        <f>'Ch41 Calc Data'!K17</f>
        <v>#DIV/0!</v>
      </c>
      <c r="D15" s="1414"/>
      <c r="E15" s="1413" t="e">
        <f>C15</f>
        <v>#DIV/0!</v>
      </c>
      <c r="F15" s="1414"/>
      <c r="G15" s="1413" t="e">
        <f>E15</f>
        <v>#DIV/0!</v>
      </c>
      <c r="H15" s="1414"/>
      <c r="I15" s="2738" t="e">
        <f>G15</f>
        <v>#DIV/0!</v>
      </c>
      <c r="K15" s="4129" t="e">
        <f>'Ch41 Calc Data'!L17</f>
        <v>#DIV/0!</v>
      </c>
      <c r="L15" s="4130"/>
      <c r="M15" s="4129" t="e">
        <f>K15</f>
        <v>#DIV/0!</v>
      </c>
      <c r="N15" s="4130"/>
      <c r="O15" s="4129" t="e">
        <f>M15</f>
        <v>#DIV/0!</v>
      </c>
      <c r="P15" s="4130"/>
      <c r="Q15" s="4141" t="e">
        <f>O15</f>
        <v>#DIV/0!</v>
      </c>
      <c r="R15" s="4260"/>
      <c r="S15" s="4255" t="e">
        <f>'Ch41 Calc Data'!M17</f>
        <v>#DIV/0!</v>
      </c>
      <c r="T15" s="4117"/>
      <c r="U15" s="4116" t="e">
        <f>S15</f>
        <v>#DIV/0!</v>
      </c>
      <c r="V15" s="4117"/>
      <c r="W15" s="4116" t="e">
        <f>U15</f>
        <v>#DIV/0!</v>
      </c>
      <c r="X15" s="4117"/>
      <c r="Y15" s="4116" t="e">
        <f>W15</f>
        <v>#DIV/0!</v>
      </c>
      <c r="Z15" s="4271"/>
      <c r="AA15" s="4265" t="e">
        <f>'Ch41 Calc Data'!N17</f>
        <v>#DIV/0!</v>
      </c>
      <c r="AB15" s="4183"/>
      <c r="AC15" s="4182" t="e">
        <f>AA15</f>
        <v>#DIV/0!</v>
      </c>
      <c r="AD15" s="4183"/>
      <c r="AE15" s="4182" t="e">
        <f>AC15</f>
        <v>#DIV/0!</v>
      </c>
      <c r="AF15" s="4183"/>
      <c r="AG15" s="4182" t="e">
        <f>AE15</f>
        <v>#DIV/0!</v>
      </c>
      <c r="AH15" s="4281"/>
      <c r="AI15" s="4273" t="e">
        <f>'Ch41 Calc Data'!O17</f>
        <v>#DIV/0!</v>
      </c>
      <c r="AJ15" s="4185"/>
      <c r="AK15" s="4184" t="e">
        <f>AI15</f>
        <v>#DIV/0!</v>
      </c>
      <c r="AL15" s="4185"/>
      <c r="AM15" s="4184" t="e">
        <f>AK15</f>
        <v>#DIV/0!</v>
      </c>
      <c r="AN15" s="4185"/>
      <c r="AO15" s="4184" t="e">
        <f>AM15</f>
        <v>#DIV/0!</v>
      </c>
      <c r="AP15" s="4293"/>
      <c r="AQ15" s="4285" t="e">
        <f>'Ch41 Calc Data'!P17</f>
        <v>#DIV/0!</v>
      </c>
      <c r="AR15" s="4187"/>
      <c r="AS15" s="4186" t="e">
        <f>AQ15</f>
        <v>#DIV/0!</v>
      </c>
      <c r="AT15" s="4187"/>
      <c r="AU15" s="4186" t="e">
        <f>AS15</f>
        <v>#DIV/0!</v>
      </c>
      <c r="AV15" s="4187"/>
      <c r="AW15" s="4186" t="e">
        <f>AU15</f>
        <v>#DIV/0!</v>
      </c>
      <c r="AX15" s="4306"/>
      <c r="AY15" s="4297" t="e">
        <f>'Ch41 Calc Data'!Q17</f>
        <v>#DIV/0!</v>
      </c>
      <c r="AZ15" s="4189"/>
      <c r="BA15" s="4188" t="e">
        <f>AY15</f>
        <v>#DIV/0!</v>
      </c>
      <c r="BB15" s="4189"/>
      <c r="BC15" s="4188" t="e">
        <f>BA15</f>
        <v>#DIV/0!</v>
      </c>
      <c r="BD15" s="4189"/>
      <c r="BE15" s="4188" t="e">
        <f>BC15</f>
        <v>#DIV/0!</v>
      </c>
      <c r="BF15" s="4318"/>
      <c r="BG15" s="4310" t="e">
        <f>'Ch41 Calc Data'!AE17</f>
        <v>#DIV/0!</v>
      </c>
      <c r="BH15" s="2164"/>
      <c r="BI15" s="2163" t="e">
        <f>BG15</f>
        <v>#DIV/0!</v>
      </c>
      <c r="BJ15" s="2164"/>
      <c r="BK15" s="2163" t="e">
        <f>BI15</f>
        <v>#DIV/0!</v>
      </c>
      <c r="BL15" s="2164"/>
      <c r="BM15" s="2163" t="e">
        <f>BK15</f>
        <v>#DIV/0!</v>
      </c>
      <c r="BO15" s="2139" t="e">
        <f>'Ch41 Calc Data'!AF17</f>
        <v>#DIV/0!</v>
      </c>
      <c r="BP15" s="2140"/>
      <c r="BQ15" s="2139" t="e">
        <f>BO15</f>
        <v>#DIV/0!</v>
      </c>
      <c r="BR15" s="2140"/>
      <c r="BS15" s="2139" t="e">
        <f>BQ15</f>
        <v>#DIV/0!</v>
      </c>
      <c r="BT15" s="2140"/>
      <c r="BU15" s="2139" t="e">
        <f>BS15</f>
        <v>#DIV/0!</v>
      </c>
    </row>
    <row r="16" spans="1:73">
      <c r="A16" t="s">
        <v>560</v>
      </c>
      <c r="C16" s="1413">
        <f>IF(C14=0,0,C15/C14)</f>
        <v>0</v>
      </c>
      <c r="D16" s="1414"/>
      <c r="E16" s="1413">
        <f>IF(E14=0,0,E15/E14)</f>
        <v>0</v>
      </c>
      <c r="F16" s="1414"/>
      <c r="G16" s="1413">
        <f>IF(G14=0,0,G15/G14)</f>
        <v>0</v>
      </c>
      <c r="H16" s="1414"/>
      <c r="I16" s="2738">
        <f>IF(I14=0,0,I15/I14)</f>
        <v>0</v>
      </c>
      <c r="K16" s="4129">
        <f>IF(K14=0,0,K15/K14)</f>
        <v>0</v>
      </c>
      <c r="L16" s="4130"/>
      <c r="M16" s="4129">
        <f>IF(M14=0,0,M15/M14)</f>
        <v>0</v>
      </c>
      <c r="N16" s="4130"/>
      <c r="O16" s="4129">
        <f>IF(O14=0,0,O15/O14)</f>
        <v>0</v>
      </c>
      <c r="P16" s="4130"/>
      <c r="Q16" s="4141">
        <f>IF(Q14=0,0,Q15/Q14)</f>
        <v>0</v>
      </c>
      <c r="R16" s="4260"/>
      <c r="S16" s="4255">
        <f>IF(S14=0,0,S15/S14)</f>
        <v>0</v>
      </c>
      <c r="T16" s="4117"/>
      <c r="U16" s="4116">
        <f>IF(U14=0,0,U15/U14)</f>
        <v>0</v>
      </c>
      <c r="V16" s="4117"/>
      <c r="W16" s="4116">
        <f>IF(W14=0,0,W15/W14)</f>
        <v>0</v>
      </c>
      <c r="X16" s="4117"/>
      <c r="Y16" s="4116">
        <f>IF(Y14=0,0,Y15/Y14)</f>
        <v>0</v>
      </c>
      <c r="Z16" s="4271"/>
      <c r="AA16" s="4265">
        <f>IF(AA14=0,0,AA15/AA14)</f>
        <v>0</v>
      </c>
      <c r="AB16" s="4183"/>
      <c r="AC16" s="4182">
        <f>IF(AC14=0,0,AC15/AC14)</f>
        <v>0</v>
      </c>
      <c r="AD16" s="4183"/>
      <c r="AE16" s="4182">
        <f>IF(AE14=0,0,AE15/AE14)</f>
        <v>0</v>
      </c>
      <c r="AF16" s="4183"/>
      <c r="AG16" s="4182">
        <f>IF(AG14=0,0,AG15/AG14)</f>
        <v>0</v>
      </c>
      <c r="AH16" s="4281"/>
      <c r="AI16" s="4273">
        <f>IF(AI14=0,0,AI15/AI14)</f>
        <v>0</v>
      </c>
      <c r="AJ16" s="4185"/>
      <c r="AK16" s="4184">
        <f>IF(AK14=0,0,AK15/AK14)</f>
        <v>0</v>
      </c>
      <c r="AL16" s="4185"/>
      <c r="AM16" s="4184">
        <f>IF(AM14=0,0,AM15/AM14)</f>
        <v>0</v>
      </c>
      <c r="AN16" s="4185"/>
      <c r="AO16" s="4184">
        <f>IF(AO14=0,0,AO15/AO14)</f>
        <v>0</v>
      </c>
      <c r="AP16" s="4293"/>
      <c r="AQ16" s="4285">
        <f>IF(AQ14=0,0,AQ15/AQ14)</f>
        <v>0</v>
      </c>
      <c r="AR16" s="4187"/>
      <c r="AS16" s="4186">
        <f>IF(AS14=0,0,AS15/AS14)</f>
        <v>0</v>
      </c>
      <c r="AT16" s="4187"/>
      <c r="AU16" s="4186">
        <f>IF(AU14=0,0,AU15/AU14)</f>
        <v>0</v>
      </c>
      <c r="AV16" s="4187"/>
      <c r="AW16" s="4186">
        <f>IF(AW14=0,0,AW15/AW14)</f>
        <v>0</v>
      </c>
      <c r="AX16" s="4306"/>
      <c r="AY16" s="4297">
        <f>IF(AY14=0,0,AY15/AY14)</f>
        <v>0</v>
      </c>
      <c r="AZ16" s="4189"/>
      <c r="BA16" s="4188">
        <f>IF(BA14=0,0,BA15/BA14)</f>
        <v>0</v>
      </c>
      <c r="BB16" s="4189"/>
      <c r="BC16" s="4188">
        <f>IF(BC14=0,0,BC15/BC14)</f>
        <v>0</v>
      </c>
      <c r="BD16" s="4189"/>
      <c r="BE16" s="4188">
        <f>IF(BE14=0,0,BE15/BE14)</f>
        <v>0</v>
      </c>
      <c r="BF16" s="4318"/>
      <c r="BG16" s="4310">
        <f>IF(BG14=0,0,BG15/BG14)</f>
        <v>0</v>
      </c>
      <c r="BH16" s="2164"/>
      <c r="BI16" s="2163">
        <f>IF(BI14=0,0,BI15/BI14)</f>
        <v>0</v>
      </c>
      <c r="BJ16" s="2164"/>
      <c r="BK16" s="2163">
        <f>IF(BK14=0,0,BK15/BK14)</f>
        <v>0</v>
      </c>
      <c r="BL16" s="2164"/>
      <c r="BM16" s="2163">
        <f>IF(BM14=0,0,BM15/BM14)</f>
        <v>0</v>
      </c>
      <c r="BO16" s="2139">
        <f>IF(BO14=0,0,BO15/BO14)</f>
        <v>0</v>
      </c>
      <c r="BP16" s="2140"/>
      <c r="BQ16" s="2139">
        <f>IF(BQ14=0,0,BQ15/BQ14)</f>
        <v>0</v>
      </c>
      <c r="BR16" s="2140"/>
      <c r="BS16" s="2139">
        <f>IF(BS14=0,0,BS15/BS14)</f>
        <v>0</v>
      </c>
      <c r="BT16" s="2140"/>
      <c r="BU16" s="2139">
        <f>IF(BU14=0,0,BU15/BU14)</f>
        <v>0</v>
      </c>
    </row>
    <row r="17" spans="1:73">
      <c r="A17" t="s">
        <v>2478</v>
      </c>
      <c r="C17" s="1411">
        <f>C13*C16</f>
        <v>0</v>
      </c>
      <c r="D17" s="1412"/>
      <c r="E17" s="1411">
        <f>E13*E16</f>
        <v>0</v>
      </c>
      <c r="F17" s="1412"/>
      <c r="G17" s="1411">
        <f>G13*G16</f>
        <v>0</v>
      </c>
      <c r="H17" s="1412"/>
      <c r="I17" s="2737">
        <f>I13*I16</f>
        <v>0</v>
      </c>
      <c r="K17" s="4128">
        <f>K13*K16</f>
        <v>0</v>
      </c>
      <c r="M17" s="4128">
        <f>M13*M16</f>
        <v>0</v>
      </c>
      <c r="O17" s="4128">
        <f>O13*O16</f>
        <v>0</v>
      </c>
      <c r="Q17" s="4140">
        <f>Q13*Q16</f>
        <v>0</v>
      </c>
      <c r="R17" s="4260"/>
      <c r="S17" s="4256">
        <f>S13*S16</f>
        <v>0</v>
      </c>
      <c r="T17" s="4115"/>
      <c r="U17" s="4114">
        <f>U13*U16</f>
        <v>0</v>
      </c>
      <c r="V17" s="4115"/>
      <c r="W17" s="4114">
        <f>W13*W16</f>
        <v>0</v>
      </c>
      <c r="X17" s="4115"/>
      <c r="Y17" s="4114">
        <f>Y13*Y16</f>
        <v>0</v>
      </c>
      <c r="Z17" s="4246"/>
      <c r="AA17" s="4266">
        <f>AA13*AA16</f>
        <v>0</v>
      </c>
      <c r="AB17" s="4191"/>
      <c r="AC17" s="4190">
        <f>AC13*AC16</f>
        <v>0</v>
      </c>
      <c r="AD17" s="4191"/>
      <c r="AE17" s="4190">
        <f>AE13*AE16</f>
        <v>0</v>
      </c>
      <c r="AF17" s="4191"/>
      <c r="AG17" s="4190">
        <f>AG13*AG16</f>
        <v>0</v>
      </c>
      <c r="AH17" s="4282"/>
      <c r="AI17" s="4046">
        <f>AI13*AI16</f>
        <v>0</v>
      </c>
      <c r="AJ17" s="4193"/>
      <c r="AK17" s="4192">
        <f>AK13*AK16</f>
        <v>0</v>
      </c>
      <c r="AL17" s="4193"/>
      <c r="AM17" s="4192">
        <f>AM13*AM16</f>
        <v>0</v>
      </c>
      <c r="AN17" s="4193"/>
      <c r="AO17" s="4192">
        <f>AO13*AO16</f>
        <v>0</v>
      </c>
      <c r="AP17" s="4294"/>
      <c r="AQ17" s="4286">
        <f>AQ13*AQ16</f>
        <v>0</v>
      </c>
      <c r="AR17" s="4195"/>
      <c r="AS17" s="4194">
        <f>AS13*AS16</f>
        <v>0</v>
      </c>
      <c r="AT17" s="4195"/>
      <c r="AU17" s="4194">
        <f>AU13*AU16</f>
        <v>0</v>
      </c>
      <c r="AV17" s="4195"/>
      <c r="AW17" s="4194">
        <f>AW13*AW16</f>
        <v>0</v>
      </c>
      <c r="AX17" s="4307"/>
      <c r="AY17" s="4298">
        <f>AY13*AY16</f>
        <v>0</v>
      </c>
      <c r="AZ17" s="4197"/>
      <c r="BA17" s="4196">
        <f>BA13*BA16</f>
        <v>0</v>
      </c>
      <c r="BB17" s="4197"/>
      <c r="BC17" s="4196">
        <f>BC13*BC16</f>
        <v>0</v>
      </c>
      <c r="BD17" s="4197"/>
      <c r="BE17" s="4196">
        <f>BE13*BE16</f>
        <v>0</v>
      </c>
      <c r="BF17" s="4318"/>
      <c r="BG17" s="4309">
        <f>BG13*BG16</f>
        <v>0</v>
      </c>
      <c r="BH17" s="2162"/>
      <c r="BI17" s="2161">
        <f>BI13*BI16</f>
        <v>0</v>
      </c>
      <c r="BJ17" s="2162"/>
      <c r="BK17" s="2161">
        <f>BK13*BK16</f>
        <v>0</v>
      </c>
      <c r="BL17" s="2162"/>
      <c r="BM17" s="2161">
        <f>BM13*BM16</f>
        <v>0</v>
      </c>
      <c r="BO17" s="1875">
        <f>BO13*BO16</f>
        <v>0</v>
      </c>
      <c r="BP17" s="2138"/>
      <c r="BQ17" s="1875">
        <f>BQ13*BQ16</f>
        <v>0</v>
      </c>
      <c r="BR17" s="2138"/>
      <c r="BS17" s="1875">
        <f>BS13*BS16</f>
        <v>0</v>
      </c>
      <c r="BT17" s="2138"/>
      <c r="BU17" s="1875">
        <f>BU13*BU16</f>
        <v>0</v>
      </c>
    </row>
    <row r="18" spans="1:73">
      <c r="A18" t="s">
        <v>558</v>
      </c>
      <c r="C18" s="1411">
        <f>'SOF1617-SB1'!F77</f>
        <v>0</v>
      </c>
      <c r="D18" s="1412"/>
      <c r="E18" s="1411">
        <f>C18</f>
        <v>0</v>
      </c>
      <c r="F18" s="1412"/>
      <c r="G18" s="1411">
        <f>E18</f>
        <v>0</v>
      </c>
      <c r="H18" s="1412"/>
      <c r="I18" s="2737">
        <f>G18</f>
        <v>0</v>
      </c>
      <c r="K18" s="4131">
        <f>'SOF1718-SB1'!F76</f>
        <v>0</v>
      </c>
      <c r="L18" s="4132"/>
      <c r="M18" s="4131">
        <f>K18</f>
        <v>0</v>
      </c>
      <c r="N18" s="4132"/>
      <c r="O18" s="4131">
        <f>M18</f>
        <v>0</v>
      </c>
      <c r="P18" s="4132"/>
      <c r="Q18" s="4140">
        <f>O18</f>
        <v>0</v>
      </c>
      <c r="R18" s="4260"/>
      <c r="S18" s="4256">
        <f>'SOF1819-SB1'!F76</f>
        <v>0</v>
      </c>
      <c r="T18" s="4115"/>
      <c r="U18" s="4114">
        <f>S18</f>
        <v>0</v>
      </c>
      <c r="V18" s="4115"/>
      <c r="W18" s="4114">
        <f>U18</f>
        <v>0</v>
      </c>
      <c r="X18" s="4115"/>
      <c r="Y18" s="4114">
        <f>W18</f>
        <v>0</v>
      </c>
      <c r="Z18" s="4246"/>
      <c r="AA18" s="4266">
        <f>'SOF1920-SB1'!F76</f>
        <v>0</v>
      </c>
      <c r="AB18" s="4191"/>
      <c r="AC18" s="4190">
        <f>AA18</f>
        <v>0</v>
      </c>
      <c r="AD18" s="4191"/>
      <c r="AE18" s="4190">
        <f>AC18</f>
        <v>0</v>
      </c>
      <c r="AF18" s="4191"/>
      <c r="AG18" s="4190">
        <f>AE18</f>
        <v>0</v>
      </c>
      <c r="AH18" s="4282"/>
      <c r="AI18" s="4046">
        <f>'SOF2021-SB1'!F76</f>
        <v>0</v>
      </c>
      <c r="AJ18" s="4193"/>
      <c r="AK18" s="4192">
        <f>AI18</f>
        <v>0</v>
      </c>
      <c r="AL18" s="4193"/>
      <c r="AM18" s="4192">
        <f>AK18</f>
        <v>0</v>
      </c>
      <c r="AN18" s="4193"/>
      <c r="AO18" s="4192">
        <f>AM18</f>
        <v>0</v>
      </c>
      <c r="AP18" s="4294"/>
      <c r="AQ18" s="4286">
        <f>'SOF2122-SB1'!F76</f>
        <v>0</v>
      </c>
      <c r="AR18" s="4195"/>
      <c r="AS18" s="4194">
        <f>AQ18</f>
        <v>0</v>
      </c>
      <c r="AT18" s="4195"/>
      <c r="AU18" s="4194">
        <f>AS18</f>
        <v>0</v>
      </c>
      <c r="AV18" s="4195"/>
      <c r="AW18" s="4194">
        <f>AU18</f>
        <v>0</v>
      </c>
      <c r="AX18" s="4307"/>
      <c r="AY18" s="4298">
        <f>'SOF2223-SB1'!F76</f>
        <v>0</v>
      </c>
      <c r="AZ18" s="4197"/>
      <c r="BA18" s="4196">
        <f>AY18</f>
        <v>0</v>
      </c>
      <c r="BB18" s="4197"/>
      <c r="BC18" s="4196">
        <f>BA18</f>
        <v>0</v>
      </c>
      <c r="BD18" s="4197"/>
      <c r="BE18" s="4196">
        <f>BC18</f>
        <v>0</v>
      </c>
      <c r="BF18" s="4318"/>
      <c r="BG18" s="4309">
        <f>'SOF1617-HB3646'!F77</f>
        <v>0</v>
      </c>
      <c r="BH18" s="2162"/>
      <c r="BI18" s="2161">
        <f>BG18</f>
        <v>0</v>
      </c>
      <c r="BJ18" s="2162"/>
      <c r="BK18" s="2161">
        <f>BI18</f>
        <v>0</v>
      </c>
      <c r="BL18" s="2162"/>
      <c r="BM18" s="2161">
        <f>BK18</f>
        <v>0</v>
      </c>
      <c r="BO18" s="1875">
        <f>'SOF1617-HB3646'!G77</f>
        <v>0</v>
      </c>
      <c r="BP18" s="2138"/>
      <c r="BQ18" s="1875">
        <f>BO18</f>
        <v>0</v>
      </c>
      <c r="BR18" s="2138"/>
      <c r="BS18" s="1875">
        <f>BQ18</f>
        <v>0</v>
      </c>
      <c r="BT18" s="2138"/>
      <c r="BU18" s="1875">
        <f>BS18</f>
        <v>0</v>
      </c>
    </row>
    <row r="19" spans="1:73">
      <c r="A19" t="s">
        <v>2479</v>
      </c>
      <c r="C19" s="1411">
        <f>C17-C18</f>
        <v>0</v>
      </c>
      <c r="D19" s="1412"/>
      <c r="E19" s="1411">
        <f>E17-E18</f>
        <v>0</v>
      </c>
      <c r="F19" s="1412"/>
      <c r="G19" s="1411">
        <f>G17-G18</f>
        <v>0</v>
      </c>
      <c r="H19" s="1412"/>
      <c r="I19" s="2737">
        <f>I17-I18</f>
        <v>0</v>
      </c>
      <c r="K19" s="4131">
        <f>K17-K18</f>
        <v>0</v>
      </c>
      <c r="L19" s="4132"/>
      <c r="M19" s="4131">
        <f>M17-M18</f>
        <v>0</v>
      </c>
      <c r="N19" s="4132"/>
      <c r="O19" s="4131">
        <f>O17-O18</f>
        <v>0</v>
      </c>
      <c r="P19" s="4132"/>
      <c r="Q19" s="4140">
        <f>Q17-Q18</f>
        <v>0</v>
      </c>
      <c r="R19" s="4260"/>
      <c r="S19" s="4256">
        <f>S17-S18</f>
        <v>0</v>
      </c>
      <c r="T19" s="4115"/>
      <c r="U19" s="4114">
        <f>U17-U18</f>
        <v>0</v>
      </c>
      <c r="V19" s="4115"/>
      <c r="W19" s="4114">
        <f>W17-W18</f>
        <v>0</v>
      </c>
      <c r="X19" s="4115"/>
      <c r="Y19" s="4114">
        <f>Y17-Y18</f>
        <v>0</v>
      </c>
      <c r="Z19" s="4246"/>
      <c r="AA19" s="4266">
        <f>AA17-AA18</f>
        <v>0</v>
      </c>
      <c r="AB19" s="4191"/>
      <c r="AC19" s="4190">
        <f>AC17-AC18</f>
        <v>0</v>
      </c>
      <c r="AD19" s="4191"/>
      <c r="AE19" s="4190">
        <f>AE17-AE18</f>
        <v>0</v>
      </c>
      <c r="AF19" s="4191"/>
      <c r="AG19" s="4190">
        <f>AG17-AG18</f>
        <v>0</v>
      </c>
      <c r="AH19" s="4282"/>
      <c r="AI19" s="4046">
        <f>AI17-AI18</f>
        <v>0</v>
      </c>
      <c r="AJ19" s="4193"/>
      <c r="AK19" s="4192">
        <f>AK17-AK18</f>
        <v>0</v>
      </c>
      <c r="AL19" s="4193"/>
      <c r="AM19" s="4192">
        <f>AM17-AM18</f>
        <v>0</v>
      </c>
      <c r="AN19" s="4193"/>
      <c r="AO19" s="4192">
        <f>AO17-AO18</f>
        <v>0</v>
      </c>
      <c r="AP19" s="4294"/>
      <c r="AQ19" s="4286">
        <f>AQ17-AQ18</f>
        <v>0</v>
      </c>
      <c r="AR19" s="4195"/>
      <c r="AS19" s="4194">
        <f>AS17-AS18</f>
        <v>0</v>
      </c>
      <c r="AT19" s="4195"/>
      <c r="AU19" s="4194">
        <f>AU17-AU18</f>
        <v>0</v>
      </c>
      <c r="AV19" s="4195"/>
      <c r="AW19" s="4194">
        <f>AW17-AW18</f>
        <v>0</v>
      </c>
      <c r="AX19" s="4307"/>
      <c r="AY19" s="4298">
        <f>AY17-AY18</f>
        <v>0</v>
      </c>
      <c r="AZ19" s="4197"/>
      <c r="BA19" s="4196">
        <f>BA17-BA18</f>
        <v>0</v>
      </c>
      <c r="BB19" s="4197"/>
      <c r="BC19" s="4196">
        <f>BC17-BC18</f>
        <v>0</v>
      </c>
      <c r="BD19" s="4197"/>
      <c r="BE19" s="4196">
        <f>BE17-BE18</f>
        <v>0</v>
      </c>
      <c r="BF19" s="4318"/>
      <c r="BG19" s="4309">
        <f>BG17-BG18</f>
        <v>0</v>
      </c>
      <c r="BH19" s="2162"/>
      <c r="BI19" s="2161">
        <f>BI17-BI18</f>
        <v>0</v>
      </c>
      <c r="BJ19" s="2162"/>
      <c r="BK19" s="2161">
        <f>BK17-BK18</f>
        <v>0</v>
      </c>
      <c r="BL19" s="2162"/>
      <c r="BM19" s="2161">
        <f>BM17-BM18</f>
        <v>0</v>
      </c>
      <c r="BO19" s="1875">
        <f>BO17-BO18</f>
        <v>0</v>
      </c>
      <c r="BP19" s="2138"/>
      <c r="BQ19" s="1875">
        <f>BQ17-BQ18</f>
        <v>0</v>
      </c>
      <c r="BR19" s="2138"/>
      <c r="BS19" s="1875">
        <f>BS17-BS18</f>
        <v>0</v>
      </c>
      <c r="BT19" s="2138"/>
      <c r="BU19" s="1875">
        <f>BU17-BU18</f>
        <v>0</v>
      </c>
    </row>
    <row r="20" spans="1:73">
      <c r="A20" t="s">
        <v>1283</v>
      </c>
      <c r="C20" s="1413">
        <f>IF('Data Entry - SOF'!C136=0,0,('Data Entry - SOF'!C136/'Data Entry - SOF'!C139)+0.0082)</f>
        <v>0</v>
      </c>
      <c r="D20" s="1414"/>
      <c r="E20" s="1413">
        <f>C20</f>
        <v>0</v>
      </c>
      <c r="F20" s="1414"/>
      <c r="G20" s="1413">
        <f>E20</f>
        <v>0</v>
      </c>
      <c r="H20" s="1414"/>
      <c r="I20" s="2738">
        <f>G20</f>
        <v>0</v>
      </c>
      <c r="K20" s="4129">
        <f>IF('Data Entry - SOF'!C136=0,0,('Data Entry - SOF'!C136/'Data Entry - SOF'!C139)+0.0082)</f>
        <v>0</v>
      </c>
      <c r="L20" s="4130"/>
      <c r="M20" s="4129">
        <f>K20</f>
        <v>0</v>
      </c>
      <c r="N20" s="4130"/>
      <c r="O20" s="4129">
        <f>M20</f>
        <v>0</v>
      </c>
      <c r="P20" s="4130"/>
      <c r="Q20" s="4141">
        <f>O20</f>
        <v>0</v>
      </c>
      <c r="R20" s="4261"/>
      <c r="S20" s="4255">
        <f>IF('Data Entry - SOF'!G136=0,0,('Data Entry - SOF'!G136/'Data Entry - SOF'!G139)+0.0082)</f>
        <v>0</v>
      </c>
      <c r="T20" s="4117"/>
      <c r="U20" s="4116">
        <f>S20</f>
        <v>0</v>
      </c>
      <c r="V20" s="4117"/>
      <c r="W20" s="4116">
        <f>U20</f>
        <v>0</v>
      </c>
      <c r="X20" s="4117"/>
      <c r="Y20" s="4116">
        <f>W20</f>
        <v>0</v>
      </c>
      <c r="Z20" s="4271"/>
      <c r="AA20" s="4265">
        <f>IF('Data Entry - SOF'!I136=0,0,('Data Entry - SOF'!I136/'Data Entry - SOF'!I139)+0.0082)</f>
        <v>0</v>
      </c>
      <c r="AB20" s="4183"/>
      <c r="AC20" s="4182">
        <f>AA20</f>
        <v>0</v>
      </c>
      <c r="AD20" s="4183"/>
      <c r="AE20" s="4182">
        <f>AC20</f>
        <v>0</v>
      </c>
      <c r="AF20" s="4183"/>
      <c r="AG20" s="4182">
        <f>AE20</f>
        <v>0</v>
      </c>
      <c r="AH20" s="4281"/>
      <c r="AI20" s="4273">
        <f>IF('Data Entry - SOF'!K136=0,0,('Data Entry - SOF'!K136/'Data Entry - SOF'!K139)+0.0082)</f>
        <v>0</v>
      </c>
      <c r="AJ20" s="4185"/>
      <c r="AK20" s="4184">
        <f>AI20</f>
        <v>0</v>
      </c>
      <c r="AL20" s="4185"/>
      <c r="AM20" s="4184">
        <f>AK20</f>
        <v>0</v>
      </c>
      <c r="AN20" s="4185"/>
      <c r="AO20" s="4184">
        <f>AM20</f>
        <v>0</v>
      </c>
      <c r="AP20" s="4293"/>
      <c r="AQ20" s="4285">
        <f>IF('Data Entry - SOF'!M136=0,0,('Data Entry - SOF'!M136/'Data Entry - SOF'!M139)+0.0082)</f>
        <v>0</v>
      </c>
      <c r="AR20" s="4187"/>
      <c r="AS20" s="4186">
        <f>AQ20</f>
        <v>0</v>
      </c>
      <c r="AT20" s="4187"/>
      <c r="AU20" s="4186">
        <f>AS20</f>
        <v>0</v>
      </c>
      <c r="AV20" s="4187"/>
      <c r="AW20" s="4186">
        <f>AU20</f>
        <v>0</v>
      </c>
      <c r="AX20" s="4306"/>
      <c r="AY20" s="4297">
        <f>IF('Data Entry - SOF'!O136=0,0,('Data Entry - SOF'!O136/'Data Entry - SOF'!O139)+0.0082)</f>
        <v>0</v>
      </c>
      <c r="AZ20" s="4189"/>
      <c r="BA20" s="4188">
        <f>AY20</f>
        <v>0</v>
      </c>
      <c r="BB20" s="4189"/>
      <c r="BC20" s="4188">
        <f>BA20</f>
        <v>0</v>
      </c>
      <c r="BE20" s="4171">
        <f>BC20</f>
        <v>0</v>
      </c>
      <c r="BF20" s="4318"/>
      <c r="BG20" s="4311">
        <f>IF('Data Entry - SOF'!C136=0,0,('Data Entry - SOF'!C136/'Data Entry - SOF'!C139)+0.0082)</f>
        <v>0</v>
      </c>
      <c r="BH20" s="2164"/>
      <c r="BI20" s="2163">
        <f>BG20</f>
        <v>0</v>
      </c>
      <c r="BJ20" s="2164"/>
      <c r="BK20" s="2163">
        <f>BI20</f>
        <v>0</v>
      </c>
      <c r="BL20" s="2164"/>
      <c r="BM20" s="2163">
        <f>BK20</f>
        <v>0</v>
      </c>
      <c r="BO20" s="2141">
        <f>IF('Data Entry - SOF'!C136=0,0,('Data Entry - SOF'!C136/'Data Entry - SOF'!C139)+0.0082)</f>
        <v>0</v>
      </c>
      <c r="BP20" s="2140"/>
      <c r="BQ20" s="2139">
        <f>BO20</f>
        <v>0</v>
      </c>
      <c r="BR20" s="2140"/>
      <c r="BS20" s="2139">
        <f>BQ20</f>
        <v>0</v>
      </c>
      <c r="BT20" s="2140"/>
      <c r="BU20" s="2139">
        <f>BS20</f>
        <v>0</v>
      </c>
    </row>
    <row r="21" spans="1:73">
      <c r="A21" t="s">
        <v>1111</v>
      </c>
      <c r="C21" s="1413">
        <f>IF(C20&gt;0.015,C20,0.015)</f>
        <v>1.4999999999999999E-2</v>
      </c>
      <c r="D21" s="1414"/>
      <c r="E21" s="1413">
        <f>IF(E20&gt;0.015,E20,0.015)</f>
        <v>1.4999999999999999E-2</v>
      </c>
      <c r="F21" s="1414"/>
      <c r="G21" s="1413">
        <f>IF(G20&gt;0.015,G20,0.015)</f>
        <v>1.4999999999999999E-2</v>
      </c>
      <c r="H21" s="1414"/>
      <c r="I21" s="2738">
        <f>IF(I20&gt;0.015,I20,0.015)</f>
        <v>1.4999999999999999E-2</v>
      </c>
      <c r="K21" s="4129">
        <f>IF(K20&gt;0.015,K20,0.015)</f>
        <v>1.4999999999999999E-2</v>
      </c>
      <c r="L21" s="4130"/>
      <c r="M21" s="4129">
        <f>IF(M20&gt;0.015,M20,0.015)</f>
        <v>1.4999999999999999E-2</v>
      </c>
      <c r="N21" s="4130"/>
      <c r="O21" s="4129">
        <f>IF(O20&gt;0.015,O20,0.015)</f>
        <v>1.4999999999999999E-2</v>
      </c>
      <c r="P21" s="4130"/>
      <c r="Q21" s="4141">
        <f>IF(Q20&gt;0.015,Q20,0.015)</f>
        <v>1.4999999999999999E-2</v>
      </c>
      <c r="R21" s="4261"/>
      <c r="S21" s="4255">
        <f>IF(S20&gt;0.015,S20,0.015)</f>
        <v>1.4999999999999999E-2</v>
      </c>
      <c r="T21" s="4117"/>
      <c r="U21" s="4116">
        <f>IF(U20&gt;0.015,U20,0.015)</f>
        <v>1.4999999999999999E-2</v>
      </c>
      <c r="V21" s="4117"/>
      <c r="W21" s="4116">
        <f>IF(W20&gt;0.015,W20,0.015)</f>
        <v>1.4999999999999999E-2</v>
      </c>
      <c r="X21" s="4117"/>
      <c r="Y21" s="4116">
        <f>IF(Y20&gt;0.015,Y20,0.015)</f>
        <v>1.4999999999999999E-2</v>
      </c>
      <c r="Z21" s="4271"/>
      <c r="AA21" s="4265">
        <f>IF(AA20&gt;0.015,AA20,0.015)</f>
        <v>1.4999999999999999E-2</v>
      </c>
      <c r="AB21" s="4183"/>
      <c r="AC21" s="4182">
        <f>IF(AC20&gt;0.015,AC20,0.015)</f>
        <v>1.4999999999999999E-2</v>
      </c>
      <c r="AD21" s="4183"/>
      <c r="AE21" s="4182">
        <f>IF(AE20&gt;0.015,AE20,0.015)</f>
        <v>1.4999999999999999E-2</v>
      </c>
      <c r="AF21" s="4183"/>
      <c r="AG21" s="4182">
        <f>IF(AG20&gt;0.015,AG20,0.015)</f>
        <v>1.4999999999999999E-2</v>
      </c>
      <c r="AH21" s="4281"/>
      <c r="AI21" s="4273">
        <f>IF(AI20&gt;0.015,AI20,0.015)</f>
        <v>1.4999999999999999E-2</v>
      </c>
      <c r="AJ21" s="4185"/>
      <c r="AK21" s="4184">
        <f>IF(AK20&gt;0.015,AK20,0.015)</f>
        <v>1.4999999999999999E-2</v>
      </c>
      <c r="AL21" s="4185"/>
      <c r="AM21" s="4184">
        <f>IF(AM20&gt;0.015,AM20,0.015)</f>
        <v>1.4999999999999999E-2</v>
      </c>
      <c r="AN21" s="4185"/>
      <c r="AO21" s="4184">
        <f>IF(AO20&gt;0.015,AO20,0.015)</f>
        <v>1.4999999999999999E-2</v>
      </c>
      <c r="AP21" s="4293"/>
      <c r="AQ21" s="4285">
        <f>IF(AQ20&gt;0.015,AQ20,0.015)</f>
        <v>1.4999999999999999E-2</v>
      </c>
      <c r="AR21" s="4187"/>
      <c r="AS21" s="4186">
        <f>IF(AS20&gt;0.015,AS20,0.015)</f>
        <v>1.4999999999999999E-2</v>
      </c>
      <c r="AT21" s="4187"/>
      <c r="AU21" s="4186">
        <f>IF(AU20&gt;0.015,AU20,0.015)</f>
        <v>1.4999999999999999E-2</v>
      </c>
      <c r="AV21" s="4187"/>
      <c r="AW21" s="4186">
        <f>IF(AW20&gt;0.015,AW20,0.015)</f>
        <v>1.4999999999999999E-2</v>
      </c>
      <c r="AX21" s="4306"/>
      <c r="AY21" s="4297">
        <f>IF(AY20&gt;0.015,AY20,0.015)</f>
        <v>1.4999999999999999E-2</v>
      </c>
      <c r="AZ21" s="4189"/>
      <c r="BA21" s="4188">
        <f>IF(BA20&gt;0.015,BA20,0.015)</f>
        <v>1.4999999999999999E-2</v>
      </c>
      <c r="BB21" s="4189"/>
      <c r="BC21" s="4188">
        <f>IF(BC20&gt;0.015,BC20,0.015)</f>
        <v>1.4999999999999999E-2</v>
      </c>
      <c r="BE21" s="4171">
        <f>IF(BE20&gt;0.015,BE20,0.015)</f>
        <v>1.4999999999999999E-2</v>
      </c>
      <c r="BF21" s="4318"/>
      <c r="BG21" s="4311">
        <f>IF(BG20&gt;0.015,BG20,0.015)</f>
        <v>1.4999999999999999E-2</v>
      </c>
      <c r="BH21" s="2164"/>
      <c r="BI21" s="2163">
        <f>IF(BI20&gt;0.015,BI20,0.015)</f>
        <v>1.4999999999999999E-2</v>
      </c>
      <c r="BJ21" s="2164"/>
      <c r="BK21" s="2163">
        <f>IF(BK20&gt;0.015,BK20,0.015)</f>
        <v>1.4999999999999999E-2</v>
      </c>
      <c r="BL21" s="2164"/>
      <c r="BM21" s="2163">
        <f>IF(BM20&gt;0.015,BM20,0.015)</f>
        <v>1.4999999999999999E-2</v>
      </c>
      <c r="BO21" s="2141">
        <f>IF(BO20&gt;0.015,BO20,0.015)</f>
        <v>1.4999999999999999E-2</v>
      </c>
      <c r="BP21" s="2140"/>
      <c r="BQ21" s="2139">
        <f>IF(BQ20&gt;0.015,BQ20,0.015)</f>
        <v>1.4999999999999999E-2</v>
      </c>
      <c r="BR21" s="2140"/>
      <c r="BS21" s="2139">
        <f>IF(BS20&gt;0.015,BS20,0.015)</f>
        <v>1.4999999999999999E-2</v>
      </c>
      <c r="BT21" s="2140"/>
      <c r="BU21" s="2139">
        <f>IF(BU20&gt;0.015,BU20,0.015)</f>
        <v>1.4999999999999999E-2</v>
      </c>
    </row>
    <row r="22" spans="1:73">
      <c r="I22" s="2733"/>
      <c r="R22" s="4260"/>
      <c r="Z22" s="4242"/>
      <c r="AH22" s="4277"/>
      <c r="AP22" s="4290"/>
      <c r="AX22" s="4302"/>
      <c r="BF22" s="4318"/>
    </row>
    <row r="23" spans="1:73" ht="15.75">
      <c r="A23" s="38" t="s">
        <v>1284</v>
      </c>
      <c r="I23" s="2733"/>
      <c r="R23" s="4260"/>
      <c r="Z23" s="4242"/>
      <c r="AH23" s="4277"/>
      <c r="AP23" s="4290"/>
      <c r="AX23" s="4302"/>
      <c r="BF23" s="4318"/>
    </row>
    <row r="24" spans="1:73">
      <c r="A24" t="s">
        <v>2150</v>
      </c>
      <c r="C24" s="1411" t="e">
        <f>'Ch41 Calc Data'!K17*Assumptions!G92</f>
        <v>#DIV/0!</v>
      </c>
      <c r="D24" s="1412"/>
      <c r="E24" s="1411" t="e">
        <f>C24</f>
        <v>#DIV/0!</v>
      </c>
      <c r="F24" s="1412"/>
      <c r="G24" s="1411" t="e">
        <f>'Ch41 Calc Data'!K17*Assumptions!G93</f>
        <v>#DIV/0!</v>
      </c>
      <c r="H24" s="1412"/>
      <c r="I24" s="2737" t="e">
        <f>G24</f>
        <v>#DIV/0!</v>
      </c>
      <c r="K24" s="4131" t="e">
        <f>'Ch41 Calc Data'!L17*Assumptions!G103</f>
        <v>#DIV/0!</v>
      </c>
      <c r="L24" s="4132"/>
      <c r="M24" s="4131" t="e">
        <f>K24</f>
        <v>#DIV/0!</v>
      </c>
      <c r="N24" s="4132"/>
      <c r="O24" s="4131" t="e">
        <f>'Ch41 Calc Data'!L17*Assumptions!G104</f>
        <v>#DIV/0!</v>
      </c>
      <c r="P24" s="4132"/>
      <c r="Q24" s="4140" t="e">
        <f>O24</f>
        <v>#DIV/0!</v>
      </c>
      <c r="R24" s="4260"/>
      <c r="S24" s="4256" t="e">
        <f>'Ch41 Calc Data'!M17*Assumptions!G112</f>
        <v>#DIV/0!</v>
      </c>
      <c r="T24" s="4115"/>
      <c r="U24" s="4114" t="e">
        <f>S24</f>
        <v>#DIV/0!</v>
      </c>
      <c r="V24" s="4115"/>
      <c r="W24" s="4114" t="e">
        <f>'Ch41 Calc Data'!M17*Assumptions!G113</f>
        <v>#DIV/0!</v>
      </c>
      <c r="X24" s="4115"/>
      <c r="Y24" s="4114" t="e">
        <f>W24</f>
        <v>#DIV/0!</v>
      </c>
      <c r="Z24" s="4246"/>
      <c r="AA24" s="4266" t="e">
        <f>'Ch41 Calc Data'!N17*Assumptions!G121</f>
        <v>#DIV/0!</v>
      </c>
      <c r="AB24" s="4191"/>
      <c r="AC24" s="4190" t="e">
        <f>AA24</f>
        <v>#DIV/0!</v>
      </c>
      <c r="AD24" s="4191"/>
      <c r="AE24" s="4190" t="e">
        <f>'Ch41 Calc Data'!N17*Assumptions!G122</f>
        <v>#DIV/0!</v>
      </c>
      <c r="AF24" s="4191"/>
      <c r="AG24" s="4190" t="e">
        <f>AE24</f>
        <v>#DIV/0!</v>
      </c>
      <c r="AH24" s="4282"/>
      <c r="AI24" s="4046" t="e">
        <f>'Ch41 Calc Data'!O17*Assumptions!G130</f>
        <v>#DIV/0!</v>
      </c>
      <c r="AJ24" s="4193"/>
      <c r="AK24" s="4192" t="e">
        <f>AI24</f>
        <v>#DIV/0!</v>
      </c>
      <c r="AL24" s="4193"/>
      <c r="AM24" s="4192" t="e">
        <f>'Ch41 Calc Data'!O17*Assumptions!G131</f>
        <v>#DIV/0!</v>
      </c>
      <c r="AN24" s="4193"/>
      <c r="AO24" s="4192" t="e">
        <f>AM24</f>
        <v>#DIV/0!</v>
      </c>
      <c r="AP24" s="4294"/>
      <c r="AQ24" s="4286" t="e">
        <f>'Ch41 Calc Data'!P17*Assumptions!G139</f>
        <v>#DIV/0!</v>
      </c>
      <c r="AR24" s="4195"/>
      <c r="AS24" s="4194" t="e">
        <f>AQ24</f>
        <v>#DIV/0!</v>
      </c>
      <c r="AT24" s="4195"/>
      <c r="AU24" s="4194" t="e">
        <f>'Ch41 Calc Data'!P17*Assumptions!G140</f>
        <v>#DIV/0!</v>
      </c>
      <c r="AV24" s="4195"/>
      <c r="AW24" s="4194" t="e">
        <f>AU24</f>
        <v>#DIV/0!</v>
      </c>
      <c r="AX24" s="4307"/>
      <c r="AY24" s="4298" t="e">
        <f>'Ch41 Calc Data'!Q17*Assumptions!G148</f>
        <v>#DIV/0!</v>
      </c>
      <c r="AZ24" s="4197"/>
      <c r="BA24" s="4196" t="e">
        <f>AY24</f>
        <v>#DIV/0!</v>
      </c>
      <c r="BB24" s="4197"/>
      <c r="BC24" s="4196" t="e">
        <f>'Ch41 Calc Data'!Q17*Assumptions!G149</f>
        <v>#DIV/0!</v>
      </c>
      <c r="BD24" s="4197"/>
      <c r="BE24" s="4196" t="e">
        <f>BC24</f>
        <v>#DIV/0!</v>
      </c>
      <c r="BF24" s="4318"/>
      <c r="BG24" s="4309" t="e">
        <f>'Ch41 Calc Data'!AE17*Assumptions!G30</f>
        <v>#DIV/0!</v>
      </c>
      <c r="BH24" s="2162"/>
      <c r="BI24" s="2161" t="e">
        <f>BG24</f>
        <v>#DIV/0!</v>
      </c>
      <c r="BJ24" s="2162"/>
      <c r="BK24" s="2161" t="e">
        <f>'Ch41 Calc Data'!AE17*Assumptions!G31</f>
        <v>#DIV/0!</v>
      </c>
      <c r="BL24" s="2162"/>
      <c r="BM24" s="2161" t="e">
        <f>BK24</f>
        <v>#DIV/0!</v>
      </c>
      <c r="BO24" s="1875" t="e">
        <f>'Ch41 Calc Data'!AF17*Assumptions!G30</f>
        <v>#DIV/0!</v>
      </c>
      <c r="BP24" s="2138"/>
      <c r="BQ24" s="1875" t="e">
        <f>BO24</f>
        <v>#DIV/0!</v>
      </c>
      <c r="BR24" s="2138"/>
      <c r="BS24" s="1875" t="e">
        <f>'Ch41 Calc Data'!AF17*Assumptions!G31</f>
        <v>#DIV/0!</v>
      </c>
      <c r="BT24" s="2138"/>
      <c r="BU24" s="1875" t="e">
        <f>BS24</f>
        <v>#DIV/0!</v>
      </c>
    </row>
    <row r="25" spans="1:73">
      <c r="I25" s="2733"/>
      <c r="K25" s="4132"/>
      <c r="L25" s="4132"/>
      <c r="M25" s="4132"/>
      <c r="N25" s="4132"/>
      <c r="O25" s="4132"/>
      <c r="P25" s="4132"/>
      <c r="R25" s="4260"/>
      <c r="S25" s="4115"/>
      <c r="T25" s="4115"/>
      <c r="U25" s="4115"/>
      <c r="V25" s="4115"/>
      <c r="W25" s="4115"/>
      <c r="X25" s="4115"/>
      <c r="Y25" s="4115"/>
      <c r="Z25" s="4246"/>
      <c r="AA25" s="4191"/>
      <c r="AB25" s="4191"/>
      <c r="AC25" s="4191"/>
      <c r="AD25" s="4191"/>
      <c r="AE25" s="4191"/>
      <c r="AF25" s="4191"/>
      <c r="AG25" s="4191"/>
      <c r="AH25" s="4282"/>
      <c r="AI25" s="4193"/>
      <c r="AJ25" s="4193"/>
      <c r="AK25" s="4193"/>
      <c r="AL25" s="4193"/>
      <c r="AM25" s="4193"/>
      <c r="AN25" s="4193"/>
      <c r="AO25" s="4193"/>
      <c r="AP25" s="4294"/>
      <c r="AQ25" s="4195"/>
      <c r="AR25" s="4195"/>
      <c r="AS25" s="4195"/>
      <c r="AT25" s="4195"/>
      <c r="AU25" s="4195"/>
      <c r="AV25" s="4195"/>
      <c r="AW25" s="4195"/>
      <c r="AX25" s="4307"/>
      <c r="AY25" s="4197"/>
      <c r="AZ25" s="4197"/>
      <c r="BA25" s="4197"/>
      <c r="BB25" s="4197"/>
      <c r="BC25" s="4197"/>
      <c r="BD25" s="4197"/>
      <c r="BE25" s="4197"/>
      <c r="BF25" s="4318"/>
    </row>
    <row r="26" spans="1:73" ht="15.75">
      <c r="A26" s="38" t="s">
        <v>2390</v>
      </c>
      <c r="I26" s="2733"/>
      <c r="K26" s="4132"/>
      <c r="L26" s="4132"/>
      <c r="M26" s="4132"/>
      <c r="N26" s="4132"/>
      <c r="O26" s="4132"/>
      <c r="P26" s="4132"/>
      <c r="R26" s="4260"/>
      <c r="S26" s="4115"/>
      <c r="T26" s="4115"/>
      <c r="U26" s="4115"/>
      <c r="V26" s="4115"/>
      <c r="W26" s="4115"/>
      <c r="X26" s="4115"/>
      <c r="Y26" s="4115"/>
      <c r="Z26" s="4246"/>
      <c r="AA26" s="4191"/>
      <c r="AB26" s="4191"/>
      <c r="AC26" s="4191"/>
      <c r="AD26" s="4191"/>
      <c r="AE26" s="4191"/>
      <c r="AF26" s="4191"/>
      <c r="AG26" s="4191"/>
      <c r="AH26" s="4282"/>
      <c r="AI26" s="4193"/>
      <c r="AJ26" s="4193"/>
      <c r="AK26" s="4193"/>
      <c r="AL26" s="4193"/>
      <c r="AM26" s="4193"/>
      <c r="AN26" s="4193"/>
      <c r="AO26" s="4193"/>
      <c r="AP26" s="4294"/>
      <c r="AQ26" s="4195"/>
      <c r="AR26" s="4195"/>
      <c r="AS26" s="4195"/>
      <c r="AT26" s="4195"/>
      <c r="AU26" s="4195"/>
      <c r="AV26" s="4195"/>
      <c r="AW26" s="4195"/>
      <c r="AX26" s="4307"/>
      <c r="AY26" s="4197"/>
      <c r="AZ26" s="4197"/>
      <c r="BA26" s="4197"/>
      <c r="BB26" s="4197"/>
      <c r="BC26" s="4197"/>
      <c r="BD26" s="4197"/>
      <c r="BE26" s="4197"/>
      <c r="BF26" s="4318"/>
    </row>
    <row r="27" spans="1:73">
      <c r="A27" t="s">
        <v>2742</v>
      </c>
      <c r="C27" s="1411">
        <f>C19/C21</f>
        <v>0</v>
      </c>
      <c r="D27" s="1415"/>
      <c r="E27" s="1416" t="s">
        <v>1994</v>
      </c>
      <c r="F27" s="1415"/>
      <c r="G27" s="1411">
        <f>G19/G21</f>
        <v>0</v>
      </c>
      <c r="H27" s="1415"/>
      <c r="I27" s="2739" t="s">
        <v>1994</v>
      </c>
      <c r="K27" s="4131">
        <f>K19/K21</f>
        <v>0</v>
      </c>
      <c r="L27" s="4132"/>
      <c r="M27" s="4133" t="s">
        <v>1994</v>
      </c>
      <c r="N27" s="4132"/>
      <c r="O27" s="4131">
        <f>O19/O21</f>
        <v>0</v>
      </c>
      <c r="P27" s="4132"/>
      <c r="Q27" s="4142" t="s">
        <v>1994</v>
      </c>
      <c r="R27" s="4260"/>
      <c r="S27" s="4256">
        <f>S19/S21</f>
        <v>0</v>
      </c>
      <c r="T27" s="4115"/>
      <c r="U27" s="4118" t="s">
        <v>1994</v>
      </c>
      <c r="V27" s="4115"/>
      <c r="W27" s="4114">
        <f>W19/W21</f>
        <v>0</v>
      </c>
      <c r="X27" s="4115"/>
      <c r="Y27" s="4118" t="s">
        <v>1994</v>
      </c>
      <c r="Z27" s="4246"/>
      <c r="AA27" s="4266">
        <f>AA19/AA21</f>
        <v>0</v>
      </c>
      <c r="AB27" s="4191"/>
      <c r="AC27" s="4198" t="s">
        <v>1994</v>
      </c>
      <c r="AD27" s="4191"/>
      <c r="AE27" s="4190">
        <f>AE19/AE21</f>
        <v>0</v>
      </c>
      <c r="AF27" s="4191"/>
      <c r="AG27" s="4198" t="s">
        <v>1994</v>
      </c>
      <c r="AH27" s="4282"/>
      <c r="AI27" s="4046">
        <f>AI19/AI21</f>
        <v>0</v>
      </c>
      <c r="AJ27" s="4193"/>
      <c r="AK27" s="4199" t="s">
        <v>1994</v>
      </c>
      <c r="AL27" s="4193"/>
      <c r="AM27" s="4192">
        <f>AM19/AM21</f>
        <v>0</v>
      </c>
      <c r="AN27" s="4193"/>
      <c r="AO27" s="4199" t="s">
        <v>1994</v>
      </c>
      <c r="AP27" s="4294"/>
      <c r="AQ27" s="4286">
        <f>AQ19/AQ21</f>
        <v>0</v>
      </c>
      <c r="AR27" s="4195"/>
      <c r="AS27" s="4200" t="s">
        <v>1994</v>
      </c>
      <c r="AT27" s="4195"/>
      <c r="AU27" s="4194">
        <f>AU19/AU21</f>
        <v>0</v>
      </c>
      <c r="AV27" s="4195"/>
      <c r="AW27" s="4200" t="s">
        <v>1994</v>
      </c>
      <c r="AX27" s="4307"/>
      <c r="AY27" s="4298">
        <f>AY19/AY21</f>
        <v>0</v>
      </c>
      <c r="AZ27" s="4197"/>
      <c r="BA27" s="4201" t="s">
        <v>1994</v>
      </c>
      <c r="BB27" s="4197"/>
      <c r="BC27" s="4196">
        <f>BC19/BC21</f>
        <v>0</v>
      </c>
      <c r="BD27" s="4197"/>
      <c r="BE27" s="4201" t="s">
        <v>1994</v>
      </c>
      <c r="BF27" s="4318"/>
      <c r="BG27" s="4309">
        <f>BG19/BG21</f>
        <v>0</v>
      </c>
      <c r="BH27" s="2166"/>
      <c r="BI27" s="2167" t="s">
        <v>1994</v>
      </c>
      <c r="BJ27" s="2166"/>
      <c r="BK27" s="2161">
        <f>BK19/BK21</f>
        <v>0</v>
      </c>
      <c r="BL27" s="2166"/>
      <c r="BM27" s="2167" t="s">
        <v>1994</v>
      </c>
      <c r="BO27" s="1875">
        <f>BO19/BO21</f>
        <v>0</v>
      </c>
      <c r="BP27" s="2142"/>
      <c r="BQ27" s="2143" t="s">
        <v>1994</v>
      </c>
      <c r="BR27" s="2142"/>
      <c r="BS27" s="1875">
        <f>BS19/BS21</f>
        <v>0</v>
      </c>
      <c r="BT27" s="2142"/>
      <c r="BU27" s="2143" t="s">
        <v>1994</v>
      </c>
    </row>
    <row r="28" spans="1:73">
      <c r="A28" t="s">
        <v>2743</v>
      </c>
      <c r="C28" s="1411" t="e">
        <f>C27/'Ch41 Calc Data'!K17</f>
        <v>#DIV/0!</v>
      </c>
      <c r="D28" s="1415"/>
      <c r="E28" s="1416" t="s">
        <v>1994</v>
      </c>
      <c r="F28" s="1415"/>
      <c r="G28" s="1411" t="e">
        <f>G27/'Ch41 Calc Data'!K17</f>
        <v>#DIV/0!</v>
      </c>
      <c r="H28" s="1415"/>
      <c r="I28" s="2739" t="s">
        <v>1994</v>
      </c>
      <c r="K28" s="4131" t="e">
        <f>K27/'Ch41 Calc Data'!L17</f>
        <v>#DIV/0!</v>
      </c>
      <c r="L28" s="4132"/>
      <c r="M28" s="4133" t="s">
        <v>1994</v>
      </c>
      <c r="N28" s="4132"/>
      <c r="O28" s="4131" t="e">
        <f>O27/'Ch41 Calc Data'!L17</f>
        <v>#DIV/0!</v>
      </c>
      <c r="P28" s="4132"/>
      <c r="Q28" s="4142" t="s">
        <v>1994</v>
      </c>
      <c r="R28" s="4260"/>
      <c r="S28" s="4256" t="e">
        <f>S27/'Ch41 Calc Data'!M17</f>
        <v>#DIV/0!</v>
      </c>
      <c r="T28" s="4115"/>
      <c r="U28" s="4118" t="s">
        <v>1994</v>
      </c>
      <c r="V28" s="4115"/>
      <c r="W28" s="4114" t="e">
        <f>W27/'Ch41 Calc Data'!M17</f>
        <v>#DIV/0!</v>
      </c>
      <c r="X28" s="4115"/>
      <c r="Y28" s="4118" t="s">
        <v>1994</v>
      </c>
      <c r="Z28" s="4246"/>
      <c r="AA28" s="4266" t="e">
        <f>AA27/'Ch41 Calc Data'!N17</f>
        <v>#DIV/0!</v>
      </c>
      <c r="AB28" s="4191"/>
      <c r="AC28" s="4198" t="s">
        <v>1994</v>
      </c>
      <c r="AD28" s="4191"/>
      <c r="AE28" s="4190" t="e">
        <f>AE27/'Ch41 Calc Data'!N17</f>
        <v>#DIV/0!</v>
      </c>
      <c r="AF28" s="4191"/>
      <c r="AG28" s="4198" t="s">
        <v>1994</v>
      </c>
      <c r="AH28" s="4282"/>
      <c r="AI28" s="4046" t="e">
        <f>AI27/'Ch41 Calc Data'!O17</f>
        <v>#DIV/0!</v>
      </c>
      <c r="AJ28" s="4193"/>
      <c r="AK28" s="4199" t="s">
        <v>1994</v>
      </c>
      <c r="AL28" s="4193"/>
      <c r="AM28" s="4192" t="e">
        <f>AM27/'Ch41 Calc Data'!O17</f>
        <v>#DIV/0!</v>
      </c>
      <c r="AN28" s="4193"/>
      <c r="AO28" s="4199" t="s">
        <v>1994</v>
      </c>
      <c r="AP28" s="4294"/>
      <c r="AQ28" s="4286" t="e">
        <f>AQ27/'Ch41 Calc Data'!P17</f>
        <v>#DIV/0!</v>
      </c>
      <c r="AR28" s="4195"/>
      <c r="AS28" s="4200" t="s">
        <v>1994</v>
      </c>
      <c r="AT28" s="4195"/>
      <c r="AU28" s="4194" t="e">
        <f>AU27/'Ch41 Calc Data'!P17</f>
        <v>#DIV/0!</v>
      </c>
      <c r="AV28" s="4195"/>
      <c r="AW28" s="4200" t="s">
        <v>1994</v>
      </c>
      <c r="AX28" s="4307"/>
      <c r="AY28" s="4298" t="e">
        <f>AY27/'Ch41 Calc Data'!Q17</f>
        <v>#DIV/0!</v>
      </c>
      <c r="AZ28" s="4197"/>
      <c r="BA28" s="4201" t="s">
        <v>1994</v>
      </c>
      <c r="BB28" s="4197"/>
      <c r="BC28" s="4196" t="e">
        <f>BC27/'Ch41 Calc Data'!Q17</f>
        <v>#DIV/0!</v>
      </c>
      <c r="BD28" s="4197"/>
      <c r="BE28" s="4201" t="s">
        <v>1994</v>
      </c>
      <c r="BF28" s="4318"/>
      <c r="BG28" s="4309" t="e">
        <f>BG27/'Ch41 Calc Data'!AE17</f>
        <v>#DIV/0!</v>
      </c>
      <c r="BH28" s="2166"/>
      <c r="BI28" s="2167" t="s">
        <v>1994</v>
      </c>
      <c r="BJ28" s="2166"/>
      <c r="BK28" s="2161" t="e">
        <f>BK27/'Ch41 Calc Data'!AE17</f>
        <v>#DIV/0!</v>
      </c>
      <c r="BL28" s="2166"/>
      <c r="BM28" s="2167" t="s">
        <v>1994</v>
      </c>
      <c r="BO28" s="1875" t="e">
        <f>BO27/'Ch41 Calc Data'!AF17</f>
        <v>#DIV/0!</v>
      </c>
      <c r="BP28" s="2142"/>
      <c r="BQ28" s="2143" t="s">
        <v>1994</v>
      </c>
      <c r="BR28" s="2142"/>
      <c r="BS28" s="1875" t="e">
        <f>BS27/'Ch41 Calc Data'!AF17</f>
        <v>#DIV/0!</v>
      </c>
      <c r="BT28" s="2142"/>
      <c r="BU28" s="2143" t="s">
        <v>1994</v>
      </c>
    </row>
    <row r="29" spans="1:73">
      <c r="A29" t="s">
        <v>2039</v>
      </c>
      <c r="C29" s="1411" t="e">
        <f>C28*((((Assumptions!G92/280000)-1)*('Data Entry - SOF'!C58/1.17))+1)</f>
        <v>#DIV/0!</v>
      </c>
      <c r="D29" s="1415"/>
      <c r="E29" s="1416" t="s">
        <v>1994</v>
      </c>
      <c r="F29" s="1415"/>
      <c r="G29" s="1411" t="e">
        <f>G28*((((Assumptions!G93/280000)-1)*('Data Entry - SOF'!C58/1.17))+1)</f>
        <v>#DIV/0!</v>
      </c>
      <c r="H29" s="1415"/>
      <c r="I29" s="2739" t="s">
        <v>1994</v>
      </c>
      <c r="K29" s="4131" t="e">
        <f>K28*((((Assumptions!G103/280000)-1)*('Data Entry - SOF'!E58/1.17))+1)</f>
        <v>#DIV/0!</v>
      </c>
      <c r="L29" s="4132"/>
      <c r="M29" s="4133" t="s">
        <v>1994</v>
      </c>
      <c r="N29" s="4132"/>
      <c r="O29" s="4131" t="e">
        <f>O28*((((Assumptions!G104/280000)-1)*('Data Entry - SOF'!E58/1.17))+1)</f>
        <v>#DIV/0!</v>
      </c>
      <c r="P29" s="4132"/>
      <c r="Q29" s="4142" t="s">
        <v>1994</v>
      </c>
      <c r="R29" s="4260"/>
      <c r="S29" s="4256" t="e">
        <f>S28*((((Assumptions!G112/280000)-1)*('Data Entry - SOF'!G58/1.17))+1)</f>
        <v>#DIV/0!</v>
      </c>
      <c r="T29" s="4115"/>
      <c r="U29" s="4118" t="s">
        <v>1994</v>
      </c>
      <c r="V29" s="4115"/>
      <c r="W29" s="4114" t="e">
        <f>W28*((((Assumptions!G113/280000)-1)*('Data Entry - SOF'!G58/1.17))+1)</f>
        <v>#DIV/0!</v>
      </c>
      <c r="X29" s="4115"/>
      <c r="Y29" s="4118" t="s">
        <v>1994</v>
      </c>
      <c r="Z29" s="4246"/>
      <c r="AA29" s="4266" t="e">
        <f>AA28*((((Assumptions!G121/280000)-1)*('Data Entry - SOF'!I58/1.17))+1)</f>
        <v>#DIV/0!</v>
      </c>
      <c r="AB29" s="4191"/>
      <c r="AC29" s="4198" t="s">
        <v>1994</v>
      </c>
      <c r="AD29" s="4191"/>
      <c r="AE29" s="4190" t="e">
        <f>AE28*((((Assumptions!G122/280000)-1)*('Data Entry - SOF'!I58/1.17))+1)</f>
        <v>#DIV/0!</v>
      </c>
      <c r="AF29" s="4191"/>
      <c r="AG29" s="4198" t="s">
        <v>1994</v>
      </c>
      <c r="AH29" s="4282"/>
      <c r="AI29" s="4046" t="e">
        <f>AI28*((((Assumptions!G130/280000)-1)*('Data Entry - SOF'!K58/1.17))+1)</f>
        <v>#DIV/0!</v>
      </c>
      <c r="AJ29" s="4193"/>
      <c r="AK29" s="4199" t="s">
        <v>1994</v>
      </c>
      <c r="AL29" s="4193"/>
      <c r="AM29" s="4192" t="e">
        <f>AM28*((((Assumptions!G131/280000)-1)*('Data Entry - SOF'!K58/1.17))+1)</f>
        <v>#DIV/0!</v>
      </c>
      <c r="AN29" s="4193"/>
      <c r="AO29" s="4199" t="s">
        <v>1994</v>
      </c>
      <c r="AP29" s="4294"/>
      <c r="AQ29" s="4286" t="e">
        <f>AQ28*((((Assumptions!G139/280000)-1)*('Data Entry - SOF'!M58/1.17))+1)</f>
        <v>#DIV/0!</v>
      </c>
      <c r="AR29" s="4195"/>
      <c r="AS29" s="4200" t="s">
        <v>1994</v>
      </c>
      <c r="AT29" s="4195"/>
      <c r="AU29" s="4194" t="e">
        <f>AU28*((((Assumptions!G140/280000)-1)*('Data Entry - SOF'!M58/1.17))+1)</f>
        <v>#DIV/0!</v>
      </c>
      <c r="AV29" s="4195"/>
      <c r="AW29" s="4200" t="s">
        <v>1994</v>
      </c>
      <c r="AX29" s="4307"/>
      <c r="AY29" s="4298" t="e">
        <f>AY28*((((Assumptions!G148/280000)-1)*('Data Entry - SOF'!O58/1.17))+1)</f>
        <v>#DIV/0!</v>
      </c>
      <c r="AZ29" s="4197"/>
      <c r="BA29" s="4201" t="s">
        <v>1994</v>
      </c>
      <c r="BB29" s="4197"/>
      <c r="BC29" s="4196" t="e">
        <f>BC28*((((Assumptions!G149/280000)-1)*('Data Entry - SOF'!O58/1.17))+1)</f>
        <v>#DIV/0!</v>
      </c>
      <c r="BD29" s="4197"/>
      <c r="BE29" s="4201" t="s">
        <v>1994</v>
      </c>
      <c r="BF29" s="4318"/>
      <c r="BG29" s="4309" t="e">
        <f>BG28*((((Assumptions!G30/280000)-1)*('Data Entry - SOF'!C58/1.17))+1)</f>
        <v>#DIV/0!</v>
      </c>
      <c r="BH29" s="2166"/>
      <c r="BI29" s="2167" t="s">
        <v>1994</v>
      </c>
      <c r="BJ29" s="2166"/>
      <c r="BK29" s="2161" t="e">
        <f>BK28*((((Assumptions!G31/280000)-1)*('Data Entry - SOF'!C58/1.17))+1)</f>
        <v>#DIV/0!</v>
      </c>
      <c r="BL29" s="2166"/>
      <c r="BM29" s="2167" t="s">
        <v>1994</v>
      </c>
      <c r="BO29" s="1875" t="e">
        <f>BO28*((((Assumptions!G30/280000)-1)*('Data Entry - SOF'!C58/1.17))+1)</f>
        <v>#DIV/0!</v>
      </c>
      <c r="BP29" s="2142"/>
      <c r="BQ29" s="2143" t="s">
        <v>1994</v>
      </c>
      <c r="BR29" s="2142"/>
      <c r="BS29" s="1875" t="e">
        <f>BS28*((((Assumptions!G31/280000)-1)*('Data Entry - SOF'!C58/1.17))+1)</f>
        <v>#DIV/0!</v>
      </c>
      <c r="BT29" s="2142"/>
      <c r="BU29" s="2143" t="s">
        <v>1994</v>
      </c>
    </row>
    <row r="30" spans="1:73">
      <c r="A30" t="s">
        <v>905</v>
      </c>
      <c r="C30" s="1411" t="e">
        <f>C29*'Ch41 Calc Data'!K17</f>
        <v>#DIV/0!</v>
      </c>
      <c r="D30" s="1415"/>
      <c r="E30" s="1416" t="s">
        <v>1994</v>
      </c>
      <c r="F30" s="1415"/>
      <c r="G30" s="1411" t="e">
        <f>G29*'Ch41 Calc Data'!K17</f>
        <v>#DIV/0!</v>
      </c>
      <c r="H30" s="1415"/>
      <c r="I30" s="2739" t="s">
        <v>1994</v>
      </c>
      <c r="K30" s="4131" t="e">
        <f>K29*'Ch41 Calc Data'!L17</f>
        <v>#DIV/0!</v>
      </c>
      <c r="L30" s="4132"/>
      <c r="M30" s="4133" t="s">
        <v>1994</v>
      </c>
      <c r="N30" s="4132"/>
      <c r="O30" s="4131" t="e">
        <f>O29*'Ch41 Calc Data'!L17</f>
        <v>#DIV/0!</v>
      </c>
      <c r="P30" s="4132"/>
      <c r="Q30" s="4142" t="s">
        <v>1994</v>
      </c>
      <c r="R30" s="4260"/>
      <c r="S30" s="4256" t="e">
        <f>S29*'Ch41 Calc Data'!M17</f>
        <v>#DIV/0!</v>
      </c>
      <c r="T30" s="4115"/>
      <c r="U30" s="4118" t="s">
        <v>1994</v>
      </c>
      <c r="V30" s="4115"/>
      <c r="W30" s="4114" t="e">
        <f>W29*'Ch41 Calc Data'!M17</f>
        <v>#DIV/0!</v>
      </c>
      <c r="X30" s="4115"/>
      <c r="Y30" s="4118" t="s">
        <v>1994</v>
      </c>
      <c r="Z30" s="4246"/>
      <c r="AA30" s="4266" t="e">
        <f>AA29*'Ch41 Calc Data'!N17</f>
        <v>#DIV/0!</v>
      </c>
      <c r="AB30" s="4191"/>
      <c r="AC30" s="4198" t="s">
        <v>1994</v>
      </c>
      <c r="AD30" s="4191"/>
      <c r="AE30" s="4190" t="e">
        <f>AE29*'Ch41 Calc Data'!N17</f>
        <v>#DIV/0!</v>
      </c>
      <c r="AF30" s="4191"/>
      <c r="AG30" s="4198" t="s">
        <v>1994</v>
      </c>
      <c r="AH30" s="4282"/>
      <c r="AI30" s="4046" t="e">
        <f>AI29*'Ch41 Calc Data'!O17</f>
        <v>#DIV/0!</v>
      </c>
      <c r="AJ30" s="4193"/>
      <c r="AK30" s="4199" t="s">
        <v>1994</v>
      </c>
      <c r="AL30" s="4193"/>
      <c r="AM30" s="4192" t="e">
        <f>AM29*'Ch41 Calc Data'!O17</f>
        <v>#DIV/0!</v>
      </c>
      <c r="AN30" s="4193"/>
      <c r="AO30" s="4199" t="s">
        <v>1994</v>
      </c>
      <c r="AP30" s="4294"/>
      <c r="AQ30" s="4286" t="e">
        <f>AQ29*'Ch41 Calc Data'!P17</f>
        <v>#DIV/0!</v>
      </c>
      <c r="AR30" s="4195"/>
      <c r="AS30" s="4200" t="s">
        <v>1994</v>
      </c>
      <c r="AT30" s="4195"/>
      <c r="AU30" s="4194" t="e">
        <f>AU29*'Ch41 Calc Data'!P17</f>
        <v>#DIV/0!</v>
      </c>
      <c r="AV30" s="4195"/>
      <c r="AW30" s="4200" t="s">
        <v>1994</v>
      </c>
      <c r="AX30" s="4307"/>
      <c r="AY30" s="4298" t="e">
        <f>AY29*'Ch41 Calc Data'!Q17</f>
        <v>#DIV/0!</v>
      </c>
      <c r="AZ30" s="4197"/>
      <c r="BA30" s="4201" t="s">
        <v>1994</v>
      </c>
      <c r="BB30" s="4197"/>
      <c r="BC30" s="4196" t="e">
        <f>BC29*'Ch41 Calc Data'!Q17</f>
        <v>#DIV/0!</v>
      </c>
      <c r="BD30" s="4197"/>
      <c r="BE30" s="4201" t="s">
        <v>1994</v>
      </c>
      <c r="BF30" s="4318"/>
      <c r="BG30" s="4309" t="e">
        <f>BG29*'Ch41 Calc Data'!AE17</f>
        <v>#DIV/0!</v>
      </c>
      <c r="BH30" s="2166"/>
      <c r="BI30" s="2167" t="s">
        <v>1994</v>
      </c>
      <c r="BJ30" s="2166"/>
      <c r="BK30" s="2161" t="e">
        <f>BK29*'Ch41 Calc Data'!AE17</f>
        <v>#DIV/0!</v>
      </c>
      <c r="BL30" s="2166"/>
      <c r="BM30" s="2167" t="s">
        <v>1994</v>
      </c>
      <c r="BO30" s="1875" t="e">
        <f>BO29*'Ch41 Calc Data'!AF17</f>
        <v>#DIV/0!</v>
      </c>
      <c r="BP30" s="2142"/>
      <c r="BQ30" s="2143" t="s">
        <v>1994</v>
      </c>
      <c r="BR30" s="2142"/>
      <c r="BS30" s="1875" t="e">
        <f>BS29*'Ch41 Calc Data'!AF17</f>
        <v>#DIV/0!</v>
      </c>
      <c r="BT30" s="2142"/>
      <c r="BU30" s="2143" t="s">
        <v>1994</v>
      </c>
    </row>
    <row r="31" spans="1:73">
      <c r="I31" s="2733"/>
      <c r="K31" s="4132"/>
      <c r="L31" s="4132"/>
      <c r="M31" s="4132"/>
      <c r="N31" s="4132"/>
      <c r="O31" s="4132"/>
      <c r="P31" s="4132"/>
      <c r="R31" s="4260"/>
      <c r="S31" s="4115"/>
      <c r="T31" s="4115"/>
      <c r="U31" s="4115"/>
      <c r="V31" s="4115"/>
      <c r="W31" s="4115"/>
      <c r="X31" s="4115"/>
      <c r="Y31" s="4115"/>
      <c r="Z31" s="4246"/>
      <c r="AA31" s="4191"/>
      <c r="AB31" s="4191"/>
      <c r="AC31" s="4191"/>
      <c r="AD31" s="4191"/>
      <c r="AE31" s="4191"/>
      <c r="AF31" s="4191"/>
      <c r="AG31" s="4191"/>
      <c r="AH31" s="4282"/>
      <c r="AI31" s="4193"/>
      <c r="AJ31" s="4193"/>
      <c r="AK31" s="4193"/>
      <c r="AL31" s="4193"/>
      <c r="AM31" s="4193"/>
      <c r="AN31" s="4193"/>
      <c r="AO31" s="4193"/>
      <c r="AP31" s="4294"/>
      <c r="AQ31" s="4195"/>
      <c r="AR31" s="4195"/>
      <c r="AS31" s="4195"/>
      <c r="AT31" s="4195"/>
      <c r="AU31" s="4195"/>
      <c r="AV31" s="4195"/>
      <c r="AW31" s="4195"/>
      <c r="AX31" s="4307"/>
      <c r="AY31" s="4197"/>
      <c r="AZ31" s="4197"/>
      <c r="BA31" s="4197"/>
      <c r="BB31" s="4197"/>
      <c r="BC31" s="4197"/>
      <c r="BD31" s="4197"/>
      <c r="BE31" s="4197"/>
      <c r="BF31" s="4318"/>
    </row>
    <row r="32" spans="1:73" ht="15.75">
      <c r="A32" s="38" t="s">
        <v>1420</v>
      </c>
      <c r="I32" s="2733"/>
      <c r="K32" s="4132"/>
      <c r="L32" s="4132"/>
      <c r="M32" s="4132"/>
      <c r="N32" s="4132"/>
      <c r="O32" s="4132"/>
      <c r="P32" s="4132"/>
      <c r="R32" s="4260"/>
      <c r="S32" s="4115"/>
      <c r="T32" s="4115"/>
      <c r="U32" s="4115"/>
      <c r="V32" s="4115"/>
      <c r="W32" s="4115"/>
      <c r="X32" s="4115"/>
      <c r="Y32" s="4115"/>
      <c r="Z32" s="4246"/>
      <c r="AA32" s="4191"/>
      <c r="AB32" s="4191"/>
      <c r="AC32" s="4191"/>
      <c r="AD32" s="4191"/>
      <c r="AE32" s="4191"/>
      <c r="AF32" s="4191"/>
      <c r="AG32" s="4191"/>
      <c r="AH32" s="4282"/>
      <c r="AI32" s="4193"/>
      <c r="AJ32" s="4193"/>
      <c r="AK32" s="4193"/>
      <c r="AL32" s="4193"/>
      <c r="AM32" s="4193"/>
      <c r="AN32" s="4193"/>
      <c r="AO32" s="4193"/>
      <c r="AP32" s="4294"/>
      <c r="AQ32" s="4195"/>
      <c r="AR32" s="4195"/>
      <c r="AS32" s="4195"/>
      <c r="AT32" s="4195"/>
      <c r="AU32" s="4195"/>
      <c r="AV32" s="4195"/>
      <c r="AW32" s="4195"/>
      <c r="AX32" s="4307"/>
      <c r="AY32" s="4197"/>
      <c r="AZ32" s="4197"/>
      <c r="BA32" s="4197"/>
      <c r="BB32" s="4197"/>
      <c r="BC32" s="4197"/>
      <c r="BD32" s="4197"/>
      <c r="BE32" s="4197"/>
      <c r="BF32" s="4318"/>
    </row>
    <row r="33" spans="1:73">
      <c r="A33" t="s">
        <v>1421</v>
      </c>
      <c r="C33" s="1411" t="e">
        <f>IF(C30&gt;C24,C30,C24)</f>
        <v>#DIV/0!</v>
      </c>
      <c r="D33" s="1412"/>
      <c r="E33" s="1411" t="e">
        <f>E24</f>
        <v>#DIV/0!</v>
      </c>
      <c r="F33" s="1412"/>
      <c r="G33" s="1411" t="e">
        <f>IF(G30&gt;G24,G30,G24)</f>
        <v>#DIV/0!</v>
      </c>
      <c r="H33" s="1412"/>
      <c r="I33" s="2737" t="e">
        <f>I24</f>
        <v>#DIV/0!</v>
      </c>
      <c r="K33" s="4131" t="e">
        <f>IF(K30&gt;K24,K30,K24)</f>
        <v>#DIV/0!</v>
      </c>
      <c r="L33" s="4132"/>
      <c r="M33" s="4131" t="e">
        <f>M24</f>
        <v>#DIV/0!</v>
      </c>
      <c r="N33" s="4132"/>
      <c r="O33" s="4131" t="e">
        <f>IF(O30&gt;O24,O30,O24)</f>
        <v>#DIV/0!</v>
      </c>
      <c r="P33" s="4132"/>
      <c r="Q33" s="4143" t="e">
        <f>Q24</f>
        <v>#DIV/0!</v>
      </c>
      <c r="R33" s="4260"/>
      <c r="S33" s="4256" t="e">
        <f>IF(S30&gt;S24,S30,S24)</f>
        <v>#DIV/0!</v>
      </c>
      <c r="T33" s="4115"/>
      <c r="U33" s="4114" t="e">
        <f>U24</f>
        <v>#DIV/0!</v>
      </c>
      <c r="V33" s="4115"/>
      <c r="W33" s="4114" t="e">
        <f>IF(W30&gt;W24,W30,W24)</f>
        <v>#DIV/0!</v>
      </c>
      <c r="X33" s="4115"/>
      <c r="Y33" s="4114" t="e">
        <f>Y24</f>
        <v>#DIV/0!</v>
      </c>
      <c r="Z33" s="4246"/>
      <c r="AA33" s="4266" t="e">
        <f>IF(AA30&gt;AA24,AA30,AA24)</f>
        <v>#DIV/0!</v>
      </c>
      <c r="AB33" s="4191"/>
      <c r="AC33" s="4190" t="e">
        <f>AC24</f>
        <v>#DIV/0!</v>
      </c>
      <c r="AD33" s="4191"/>
      <c r="AE33" s="4190" t="e">
        <f>IF(AE30&gt;AE24,AE30,AE24)</f>
        <v>#DIV/0!</v>
      </c>
      <c r="AF33" s="4191"/>
      <c r="AG33" s="4190" t="e">
        <f>AG24</f>
        <v>#DIV/0!</v>
      </c>
      <c r="AH33" s="4282"/>
      <c r="AI33" s="4046" t="e">
        <f>IF(AI30&gt;AI24,AI30,AI24)</f>
        <v>#DIV/0!</v>
      </c>
      <c r="AJ33" s="4193"/>
      <c r="AK33" s="4192" t="e">
        <f>AK24</f>
        <v>#DIV/0!</v>
      </c>
      <c r="AL33" s="4193"/>
      <c r="AM33" s="4192" t="e">
        <f>IF(AM30&gt;AM24,AM30,AM24)</f>
        <v>#DIV/0!</v>
      </c>
      <c r="AN33" s="4193"/>
      <c r="AO33" s="4192" t="e">
        <f>AO24</f>
        <v>#DIV/0!</v>
      </c>
      <c r="AP33" s="4294"/>
      <c r="AQ33" s="4286" t="e">
        <f>IF(AQ30&gt;AQ24,AQ30,AQ24)</f>
        <v>#DIV/0!</v>
      </c>
      <c r="AR33" s="4195"/>
      <c r="AS33" s="4194" t="e">
        <f>AS24</f>
        <v>#DIV/0!</v>
      </c>
      <c r="AT33" s="4195"/>
      <c r="AU33" s="4194" t="e">
        <f>IF(AU30&gt;AU24,AU30,AU24)</f>
        <v>#DIV/0!</v>
      </c>
      <c r="AV33" s="4195"/>
      <c r="AW33" s="4194" t="e">
        <f>AW24</f>
        <v>#DIV/0!</v>
      </c>
      <c r="AX33" s="4307"/>
      <c r="AY33" s="4298" t="e">
        <f>IF(AY30&gt;AY24,AY30,AY24)</f>
        <v>#DIV/0!</v>
      </c>
      <c r="AZ33" s="4197"/>
      <c r="BA33" s="4196" t="e">
        <f>BA24</f>
        <v>#DIV/0!</v>
      </c>
      <c r="BB33" s="4197"/>
      <c r="BC33" s="4196" t="e">
        <f>IF(BC30&gt;BC24,BC30,BC24)</f>
        <v>#DIV/0!</v>
      </c>
      <c r="BD33" s="4197"/>
      <c r="BE33" s="4196" t="e">
        <f>BE24</f>
        <v>#DIV/0!</v>
      </c>
      <c r="BF33" s="4318"/>
      <c r="BG33" s="4309" t="e">
        <f>IF(BG30&gt;BG24,BG30,BG24)</f>
        <v>#DIV/0!</v>
      </c>
      <c r="BH33" s="2162"/>
      <c r="BI33" s="2161" t="e">
        <f>BI24</f>
        <v>#DIV/0!</v>
      </c>
      <c r="BJ33" s="2162"/>
      <c r="BK33" s="2161" t="e">
        <f>IF(BK30&gt;BK24,BK30,BK24)</f>
        <v>#DIV/0!</v>
      </c>
      <c r="BL33" s="2162"/>
      <c r="BM33" s="2161" t="e">
        <f>BM24</f>
        <v>#DIV/0!</v>
      </c>
      <c r="BO33" s="1875" t="e">
        <f>IF(BO30&gt;BO24,BO30,BO24)</f>
        <v>#DIV/0!</v>
      </c>
      <c r="BP33" s="2138"/>
      <c r="BQ33" s="1875" t="e">
        <f>BQ24</f>
        <v>#DIV/0!</v>
      </c>
      <c r="BR33" s="2138"/>
      <c r="BS33" s="1875" t="e">
        <f>IF(BS30&gt;BS24,BS30,BS24)</f>
        <v>#DIV/0!</v>
      </c>
      <c r="BT33" s="2138"/>
      <c r="BU33" s="1875" t="e">
        <f>BU24</f>
        <v>#DIV/0!</v>
      </c>
    </row>
    <row r="34" spans="1:73">
      <c r="A34" t="s">
        <v>545</v>
      </c>
      <c r="C34" s="1411" t="e">
        <f>IF('Data Entry - SOF'!C52-C33&lt;0,0,'Data Entry - SOF'!C52-C33)</f>
        <v>#DIV/0!</v>
      </c>
      <c r="D34" s="1412"/>
      <c r="E34" s="1411" t="e">
        <f>IF('Data Entry - SOF'!C52-E33&lt;0,0,'Data Entry - SOF'!C52-E33)</f>
        <v>#DIV/0!</v>
      </c>
      <c r="F34" s="1412"/>
      <c r="G34" s="1411" t="e">
        <f>IF('Data Entry - SOF'!C52-G33&lt;0,0,'Data Entry - SOF'!C52-G33)</f>
        <v>#DIV/0!</v>
      </c>
      <c r="H34" s="1412"/>
      <c r="I34" s="2737" t="e">
        <f>IF('Data Entry - SOF'!C52-I33&lt;0,0,'Data Entry - SOF'!C52-I33)</f>
        <v>#DIV/0!</v>
      </c>
      <c r="K34" s="4131" t="e">
        <f>IF('Data Entry - SOF'!E52-K33&lt;0,0,'Data Entry - SOF'!E52-K33)</f>
        <v>#DIV/0!</v>
      </c>
      <c r="L34" s="4132"/>
      <c r="M34" s="4131" t="e">
        <f>IF('Data Entry - SOF'!E52-M33&lt;0,0,'Data Entry - SOF'!E52-M33)</f>
        <v>#DIV/0!</v>
      </c>
      <c r="N34" s="4132"/>
      <c r="O34" s="4131" t="e">
        <f>IF('Data Entry - SOF'!E52-O33&lt;0,0,'Data Entry - SOF'!E52-O33)</f>
        <v>#DIV/0!</v>
      </c>
      <c r="P34" s="4132"/>
      <c r="Q34" s="4143" t="e">
        <f>IF('Data Entry - SOF'!E52-Q33&lt;0,0,'Data Entry - SOF'!E52-Q33)</f>
        <v>#DIV/0!</v>
      </c>
      <c r="R34" s="4260"/>
      <c r="S34" s="4256" t="e">
        <f>IF('Data Entry - SOF'!G52-S33&lt;0,0,'Data Entry - SOF'!G52-S33)</f>
        <v>#DIV/0!</v>
      </c>
      <c r="T34" s="4115"/>
      <c r="U34" s="4114" t="e">
        <f>IF('Data Entry - SOF'!G52-U33&lt;0,0,'Data Entry - SOF'!G52-U33)</f>
        <v>#DIV/0!</v>
      </c>
      <c r="V34" s="4115"/>
      <c r="W34" s="4114" t="e">
        <f>IF('Data Entry - SOF'!G52-W33&lt;0,0,'Data Entry - SOF'!G52-W33)</f>
        <v>#DIV/0!</v>
      </c>
      <c r="X34" s="4115"/>
      <c r="Y34" s="4114" t="e">
        <f>IF('Data Entry - SOF'!G52-Y33&lt;0,0,'Data Entry - SOF'!G52-Y33)</f>
        <v>#DIV/0!</v>
      </c>
      <c r="Z34" s="4246"/>
      <c r="AA34" s="4266" t="e">
        <f>IF('Data Entry - SOF'!I52-AA33&lt;0,0,'Data Entry - SOF'!I52-AA33)</f>
        <v>#DIV/0!</v>
      </c>
      <c r="AB34" s="4191"/>
      <c r="AC34" s="4190" t="e">
        <f>IF('Data Entry - SOF'!I52-AC33&lt;0,0,'Data Entry - SOF'!I52-AC33)</f>
        <v>#DIV/0!</v>
      </c>
      <c r="AD34" s="4191"/>
      <c r="AE34" s="4190" t="e">
        <f>IF('Data Entry - SOF'!I52-AE33&lt;0,0,'Data Entry - SOF'!I52-AE33)</f>
        <v>#DIV/0!</v>
      </c>
      <c r="AF34" s="4191"/>
      <c r="AG34" s="4190" t="e">
        <f>IF('Data Entry - SOF'!I52-AG33&lt;0,0,'Data Entry - SOF'!I52-AG33)</f>
        <v>#DIV/0!</v>
      </c>
      <c r="AH34" s="4282"/>
      <c r="AI34" s="4046" t="e">
        <f>IF('Data Entry - SOF'!K52-AI33&lt;0,0,'Data Entry - SOF'!K52-AI33)</f>
        <v>#DIV/0!</v>
      </c>
      <c r="AJ34" s="4193"/>
      <c r="AK34" s="4192" t="e">
        <f>IF('Data Entry - SOF'!K52-AK33&lt;0,0,'Data Entry - SOF'!K52-AK33)</f>
        <v>#DIV/0!</v>
      </c>
      <c r="AL34" s="4193"/>
      <c r="AM34" s="4192" t="e">
        <f>IF('Data Entry - SOF'!K52-AM33&lt;0,0,'Data Entry - SOF'!K52-AM33)</f>
        <v>#DIV/0!</v>
      </c>
      <c r="AN34" s="4193"/>
      <c r="AO34" s="4192" t="e">
        <f>IF('Data Entry - SOF'!K52-AO33&lt;0,0,'Data Entry - SOF'!K52-AO33)</f>
        <v>#DIV/0!</v>
      </c>
      <c r="AP34" s="4294"/>
      <c r="AQ34" s="4286" t="e">
        <f>IF('Data Entry - SOF'!M52-AQ33&lt;0,0,'Data Entry - SOF'!M52-AQ33)</f>
        <v>#DIV/0!</v>
      </c>
      <c r="AR34" s="4195"/>
      <c r="AS34" s="4194" t="e">
        <f>IF('Data Entry - SOF'!M52-AS33&lt;0,0,'Data Entry - SOF'!M52-AS33)</f>
        <v>#DIV/0!</v>
      </c>
      <c r="AT34" s="4195"/>
      <c r="AU34" s="4194" t="e">
        <f>IF('Data Entry - SOF'!M52-AU33&lt;0,0,'Data Entry - SOF'!M52-AU33)</f>
        <v>#DIV/0!</v>
      </c>
      <c r="AV34" s="4195"/>
      <c r="AW34" s="4194" t="e">
        <f>IF('Data Entry - SOF'!M52-AW33&lt;0,0,'Data Entry - SOF'!M52-AW33)</f>
        <v>#DIV/0!</v>
      </c>
      <c r="AX34" s="4307"/>
      <c r="AY34" s="4298" t="e">
        <f>IF('Data Entry - SOF'!O52-AY33&lt;0,0,'Data Entry - SOF'!O52-AY33)</f>
        <v>#DIV/0!</v>
      </c>
      <c r="AZ34" s="4197"/>
      <c r="BA34" s="4196" t="e">
        <f>IF('Data Entry - SOF'!O52-BA33&lt;0,0,'Data Entry - SOF'!O52-BA33)</f>
        <v>#DIV/0!</v>
      </c>
      <c r="BB34" s="4197"/>
      <c r="BC34" s="4196" t="e">
        <f>IF('Data Entry - SOF'!O52-BC33&lt;0,0,'Data Entry - SOF'!O52-BC33)</f>
        <v>#DIV/0!</v>
      </c>
      <c r="BD34" s="4197"/>
      <c r="BE34" s="4196" t="e">
        <f>IF('Data Entry - SOF'!O52-BE33&lt;0,0,'Data Entry - SOF'!O52-BE33)</f>
        <v>#DIV/0!</v>
      </c>
      <c r="BF34" s="4318"/>
      <c r="BG34" s="4309" t="e">
        <f>IF('Data Entry - SOF'!C52-BG33&lt;0,0,'Data Entry - SOF'!C52-BG33)</f>
        <v>#DIV/0!</v>
      </c>
      <c r="BH34" s="2162"/>
      <c r="BI34" s="2161" t="e">
        <f>IF('Data Entry - SOF'!C52-BI33&lt;0,0,'Data Entry - SOF'!C52-BI33)</f>
        <v>#DIV/0!</v>
      </c>
      <c r="BJ34" s="2162"/>
      <c r="BK34" s="2161" t="e">
        <f>IF('Data Entry - SOF'!C52-BK33&lt;0,0,'Data Entry - SOF'!C52-BK33)</f>
        <v>#DIV/0!</v>
      </c>
      <c r="BL34" s="2162"/>
      <c r="BM34" s="2161" t="e">
        <f>IF('Data Entry - SOF'!C52-BM33&lt;0,0,'Data Entry - SOF'!C52-BM33)</f>
        <v>#DIV/0!</v>
      </c>
      <c r="BO34" s="1875" t="e">
        <f>IF('Data Entry - SOF'!C52-BO33&lt;0,0,'Data Entry - SOF'!C52-BO33)</f>
        <v>#DIV/0!</v>
      </c>
      <c r="BP34" s="2138"/>
      <c r="BQ34" s="1875" t="e">
        <f>IF('Data Entry - SOF'!C52-BQ33&lt;0,0,'Data Entry - SOF'!C52-BQ33)</f>
        <v>#DIV/0!</v>
      </c>
      <c r="BR34" s="2138"/>
      <c r="BS34" s="1875" t="e">
        <f>IF('Data Entry - SOF'!C52-BS33&lt;0,0,'Data Entry - SOF'!C52-BS33)</f>
        <v>#DIV/0!</v>
      </c>
      <c r="BT34" s="2138"/>
      <c r="BU34" s="1875" t="e">
        <f>IF('Data Entry - SOF'!C52-BU33&lt;0,0,'Data Entry - SOF'!C52-BU33)</f>
        <v>#DIV/0!</v>
      </c>
    </row>
    <row r="35" spans="1:73">
      <c r="A35" t="s">
        <v>2393</v>
      </c>
      <c r="C35" s="1417" t="e">
        <f>C34/'Data Entry - SOF'!C52</f>
        <v>#DIV/0!</v>
      </c>
      <c r="D35" s="1418"/>
      <c r="E35" s="1417" t="e">
        <f>E34/'Data Entry - SOF'!C52</f>
        <v>#DIV/0!</v>
      </c>
      <c r="F35" s="1418"/>
      <c r="G35" s="1417" t="e">
        <f>G34/'Data Entry - SOF'!C52</f>
        <v>#DIV/0!</v>
      </c>
      <c r="H35" s="1418"/>
      <c r="I35" s="2740" t="e">
        <f>I34/'Data Entry - SOF'!C52</f>
        <v>#DIV/0!</v>
      </c>
      <c r="K35" s="4129" t="e">
        <f>K34/'Data Entry - SOF'!E52</f>
        <v>#DIV/0!</v>
      </c>
      <c r="L35" s="4130"/>
      <c r="M35" s="4129" t="e">
        <f>M34/'Data Entry - SOF'!E52</f>
        <v>#DIV/0!</v>
      </c>
      <c r="N35" s="4130"/>
      <c r="O35" s="4129" t="e">
        <f>O34/'Data Entry - SOF'!E52</f>
        <v>#DIV/0!</v>
      </c>
      <c r="P35" s="4130"/>
      <c r="Q35" s="4141" t="e">
        <f>Q34/'Data Entry - SOF'!E52</f>
        <v>#DIV/0!</v>
      </c>
      <c r="R35" s="4260"/>
      <c r="S35" s="4257" t="e">
        <f>S34/'Data Entry - SOF'!G52</f>
        <v>#DIV/0!</v>
      </c>
      <c r="T35" s="4120"/>
      <c r="U35" s="4119" t="e">
        <f>U34/'Data Entry - SOF'!G52</f>
        <v>#DIV/0!</v>
      </c>
      <c r="V35" s="4120"/>
      <c r="W35" s="4119" t="e">
        <f>W34/'Data Entry - SOF'!G52</f>
        <v>#DIV/0!</v>
      </c>
      <c r="X35" s="4120"/>
      <c r="Y35" s="4119" t="e">
        <f>Y34/'Data Entry - SOF'!G52</f>
        <v>#DIV/0!</v>
      </c>
      <c r="Z35" s="4272"/>
      <c r="AA35" s="4267" t="e">
        <f>AA34/'Data Entry - SOF'!I52</f>
        <v>#DIV/0!</v>
      </c>
      <c r="AB35" s="4203"/>
      <c r="AC35" s="4202" t="e">
        <f>AC34/'Data Entry - SOF'!I52</f>
        <v>#DIV/0!</v>
      </c>
      <c r="AD35" s="4203"/>
      <c r="AE35" s="4202" t="e">
        <f>AE34/'Data Entry - SOF'!I52</f>
        <v>#DIV/0!</v>
      </c>
      <c r="AF35" s="4203"/>
      <c r="AG35" s="4202" t="e">
        <f>AG34/'Data Entry - SOF'!I52</f>
        <v>#DIV/0!</v>
      </c>
      <c r="AH35" s="4283"/>
      <c r="AI35" s="4274" t="e">
        <f>AI34/'Data Entry - SOF'!K52</f>
        <v>#DIV/0!</v>
      </c>
      <c r="AJ35" s="4205"/>
      <c r="AK35" s="4204" t="e">
        <f>AK34/'Data Entry - SOF'!K52</f>
        <v>#DIV/0!</v>
      </c>
      <c r="AL35" s="4205"/>
      <c r="AM35" s="4204" t="e">
        <f>AM34/'Data Entry - SOF'!K52</f>
        <v>#DIV/0!</v>
      </c>
      <c r="AN35" s="4205"/>
      <c r="AO35" s="4204" t="e">
        <f>AO34/'Data Entry - SOF'!K52</f>
        <v>#DIV/0!</v>
      </c>
      <c r="AP35" s="4295"/>
      <c r="AQ35" s="4287" t="e">
        <f>AQ34/'Data Entry - SOF'!M52</f>
        <v>#DIV/0!</v>
      </c>
      <c r="AR35" s="4207"/>
      <c r="AS35" s="4206" t="e">
        <f>AS34/'Data Entry - SOF'!M52</f>
        <v>#DIV/0!</v>
      </c>
      <c r="AT35" s="4207"/>
      <c r="AU35" s="4206" t="e">
        <f>AU34/'Data Entry - SOF'!M52</f>
        <v>#DIV/0!</v>
      </c>
      <c r="AV35" s="4207"/>
      <c r="AW35" s="4206" t="e">
        <f>AW34/'Data Entry - SOF'!M52</f>
        <v>#DIV/0!</v>
      </c>
      <c r="AX35" s="4308"/>
      <c r="AY35" s="4299" t="e">
        <f>AY34/'Data Entry - SOF'!O52</f>
        <v>#DIV/0!</v>
      </c>
      <c r="AZ35" s="4209"/>
      <c r="BA35" s="4208" t="e">
        <f>BA34/'Data Entry - SOF'!O52</f>
        <v>#DIV/0!</v>
      </c>
      <c r="BB35" s="4209"/>
      <c r="BC35" s="4208" t="e">
        <f>BC34/'Data Entry - SOF'!O52</f>
        <v>#DIV/0!</v>
      </c>
      <c r="BD35" s="4209"/>
      <c r="BE35" s="4208" t="e">
        <f>BE34/'Data Entry - SOF'!O52</f>
        <v>#DIV/0!</v>
      </c>
      <c r="BF35" s="4318"/>
      <c r="BG35" s="4312" t="e">
        <f>BG34/'Data Entry - SOF'!C52</f>
        <v>#DIV/0!</v>
      </c>
      <c r="BH35" s="2169"/>
      <c r="BI35" s="2168" t="e">
        <f>BI34/'Data Entry - SOF'!C52</f>
        <v>#DIV/0!</v>
      </c>
      <c r="BJ35" s="2169"/>
      <c r="BK35" s="2168" t="e">
        <f>BK34/'Data Entry - SOF'!C52</f>
        <v>#DIV/0!</v>
      </c>
      <c r="BL35" s="2169"/>
      <c r="BM35" s="2168" t="e">
        <f>BM34/'Data Entry - SOF'!C52</f>
        <v>#DIV/0!</v>
      </c>
      <c r="BO35" s="2144" t="e">
        <f>BO34/'Data Entry - SOF'!C52</f>
        <v>#DIV/0!</v>
      </c>
      <c r="BP35" s="2145"/>
      <c r="BQ35" s="2144" t="e">
        <f>BQ34/'Data Entry - SOF'!C52</f>
        <v>#DIV/0!</v>
      </c>
      <c r="BR35" s="2145"/>
      <c r="BS35" s="2144" t="e">
        <f>BS34/'Data Entry - SOF'!C52</f>
        <v>#DIV/0!</v>
      </c>
      <c r="BT35" s="2145"/>
      <c r="BU35" s="2144" t="e">
        <f>BU34/'Data Entry - SOF'!C52</f>
        <v>#DIV/0!</v>
      </c>
    </row>
    <row r="36" spans="1:73">
      <c r="A36" t="s">
        <v>213</v>
      </c>
      <c r="C36" s="1419" t="e">
        <f>C33/'Ch41 Calc Data'!K17</f>
        <v>#DIV/0!</v>
      </c>
      <c r="D36" s="1420"/>
      <c r="E36" s="1419" t="e">
        <f>E33/'Ch41 Calc Data'!K17</f>
        <v>#DIV/0!</v>
      </c>
      <c r="F36" s="1420"/>
      <c r="G36" s="1419" t="e">
        <f>G33/'Ch41 Calc Data'!K17</f>
        <v>#DIV/0!</v>
      </c>
      <c r="H36" s="1420"/>
      <c r="I36" s="2741" t="e">
        <f>I33/'Ch41 Calc Data'!K17</f>
        <v>#DIV/0!</v>
      </c>
      <c r="K36" s="4131" t="e">
        <f>K33/'Ch41 Calc Data'!L17</f>
        <v>#DIV/0!</v>
      </c>
      <c r="L36" s="4132"/>
      <c r="M36" s="4131" t="e">
        <f>M33/'Ch41 Calc Data'!L17</f>
        <v>#DIV/0!</v>
      </c>
      <c r="N36" s="4132"/>
      <c r="O36" s="4131" t="e">
        <f>O33/'Ch41 Calc Data'!L17</f>
        <v>#DIV/0!</v>
      </c>
      <c r="P36" s="4132"/>
      <c r="Q36" s="4140" t="e">
        <f>Q33/'Ch41 Calc Data'!L17</f>
        <v>#DIV/0!</v>
      </c>
      <c r="R36" s="4260"/>
      <c r="S36" s="4258" t="e">
        <f>S33/'Ch41 Calc Data'!M17</f>
        <v>#DIV/0!</v>
      </c>
      <c r="U36" s="4157" t="e">
        <f>U33/'Ch41 Calc Data'!M17</f>
        <v>#DIV/0!</v>
      </c>
      <c r="W36" s="4157" t="e">
        <f>W33/'Ch41 Calc Data'!M17</f>
        <v>#DIV/0!</v>
      </c>
      <c r="Y36" s="4157" t="e">
        <f>Y33/'Ch41 Calc Data'!M17</f>
        <v>#DIV/0!</v>
      </c>
      <c r="Z36" s="4242"/>
      <c r="AA36" s="4268" t="e">
        <f>AA33/'Ch41 Calc Data'!N17</f>
        <v>#DIV/0!</v>
      </c>
      <c r="AC36" s="4166" t="e">
        <f>AC33/'Ch41 Calc Data'!N17</f>
        <v>#DIV/0!</v>
      </c>
      <c r="AE36" s="4166" t="e">
        <f>AE33/'Ch41 Calc Data'!N17</f>
        <v>#DIV/0!</v>
      </c>
      <c r="AG36" s="4166" t="e">
        <f>AG33/'Ch41 Calc Data'!N17</f>
        <v>#DIV/0!</v>
      </c>
      <c r="AH36" s="4277"/>
      <c r="AI36" s="4275" t="e">
        <f>AI33/'Ch41 Calc Data'!O17</f>
        <v>#DIV/0!</v>
      </c>
      <c r="AK36" s="4167" t="e">
        <f>AK33/'Ch41 Calc Data'!O17</f>
        <v>#DIV/0!</v>
      </c>
      <c r="AM36" s="4167" t="e">
        <f>AM33/'Ch41 Calc Data'!O17</f>
        <v>#DIV/0!</v>
      </c>
      <c r="AO36" s="4167" t="e">
        <f>AO33/'Ch41 Calc Data'!O17</f>
        <v>#DIV/0!</v>
      </c>
      <c r="AP36" s="4290"/>
      <c r="AQ36" s="4288" t="e">
        <f>AQ33/'Ch41 Calc Data'!P17</f>
        <v>#DIV/0!</v>
      </c>
      <c r="AS36" s="4170" t="e">
        <f>AS33/'Ch41 Calc Data'!P17</f>
        <v>#DIV/0!</v>
      </c>
      <c r="AU36" s="4170" t="e">
        <f>AU33/'Ch41 Calc Data'!P17</f>
        <v>#DIV/0!</v>
      </c>
      <c r="AW36" s="4170" t="e">
        <f>AW33/'Ch41 Calc Data'!P17</f>
        <v>#DIV/0!</v>
      </c>
      <c r="AX36" s="4302"/>
      <c r="AY36" s="4300" t="e">
        <f>AY33/'Ch41 Calc Data'!Q17</f>
        <v>#DIV/0!</v>
      </c>
      <c r="BA36" s="4171" t="e">
        <f>BA33/'Ch41 Calc Data'!Q17</f>
        <v>#DIV/0!</v>
      </c>
      <c r="BC36" s="4171" t="e">
        <f>BC33/'Ch41 Calc Data'!Q17</f>
        <v>#DIV/0!</v>
      </c>
      <c r="BE36" s="4171" t="e">
        <f>BE33/'Ch41 Calc Data'!Q17</f>
        <v>#DIV/0!</v>
      </c>
      <c r="BF36" s="4318"/>
      <c r="BG36" s="4313" t="e">
        <f>BG33/'Ch41 Calc Data'!AE17</f>
        <v>#DIV/0!</v>
      </c>
      <c r="BH36" s="2171"/>
      <c r="BI36" s="2170" t="e">
        <f>BI33/'Ch41 Calc Data'!AE17</f>
        <v>#DIV/0!</v>
      </c>
      <c r="BJ36" s="2171"/>
      <c r="BK36" s="2170" t="e">
        <f>BK33/'Ch41 Calc Data'!AE17</f>
        <v>#DIV/0!</v>
      </c>
      <c r="BL36" s="2171"/>
      <c r="BM36" s="2170" t="e">
        <f>BM33/'Ch41 Calc Data'!AE17</f>
        <v>#DIV/0!</v>
      </c>
      <c r="BO36" s="1878" t="e">
        <f>BO33/'Ch41 Calc Data'!AF17</f>
        <v>#DIV/0!</v>
      </c>
      <c r="BP36" s="2146"/>
      <c r="BQ36" s="1878" t="e">
        <f>BQ33/'Ch41 Calc Data'!AF17</f>
        <v>#DIV/0!</v>
      </c>
      <c r="BR36" s="2146"/>
      <c r="BS36" s="1878" t="e">
        <f>BS33/'Ch41 Calc Data'!AF17</f>
        <v>#DIV/0!</v>
      </c>
      <c r="BT36" s="2146"/>
      <c r="BU36" s="1878" t="e">
        <f>BU33/'Ch41 Calc Data'!AF17</f>
        <v>#DIV/0!</v>
      </c>
    </row>
    <row r="37" spans="1:73">
      <c r="I37" s="2733"/>
      <c r="R37" s="4260"/>
      <c r="Z37" s="4242"/>
      <c r="AH37" s="4277"/>
      <c r="AP37" s="4290"/>
      <c r="AX37" s="4302"/>
      <c r="BF37" s="4318"/>
    </row>
    <row r="38" spans="1:73" ht="15.75">
      <c r="A38" s="38" t="s">
        <v>2394</v>
      </c>
      <c r="I38" s="2733"/>
      <c r="R38" s="4260"/>
      <c r="Z38" s="4242"/>
      <c r="AH38" s="4277"/>
      <c r="AP38" s="4290"/>
      <c r="AX38" s="4302"/>
      <c r="BF38" s="4318"/>
    </row>
    <row r="39" spans="1:73">
      <c r="A39" t="s">
        <v>1033</v>
      </c>
      <c r="C39" s="1419" t="e">
        <f>'Calc Data-SB1'!C30</f>
        <v>#DIV/0!</v>
      </c>
      <c r="D39" s="1420"/>
      <c r="E39" s="1419" t="e">
        <f>C39</f>
        <v>#DIV/0!</v>
      </c>
      <c r="F39" s="1420"/>
      <c r="G39" s="1419"/>
      <c r="H39" s="1420"/>
      <c r="I39" s="2741"/>
      <c r="K39" s="4131" t="e">
        <f>'Calc Data-SB1'!D30</f>
        <v>#DIV/0!</v>
      </c>
      <c r="L39" s="4132"/>
      <c r="M39" s="4131" t="e">
        <f>K39</f>
        <v>#DIV/0!</v>
      </c>
      <c r="N39" s="4132"/>
      <c r="O39" s="4131"/>
      <c r="P39" s="4132"/>
      <c r="Q39" s="4158"/>
      <c r="R39" s="4260"/>
      <c r="S39" s="4256" t="e">
        <f>'Calc Data-SB1'!E30</f>
        <v>#DIV/0!</v>
      </c>
      <c r="T39" s="4115"/>
      <c r="U39" s="4114" t="e">
        <f>S39</f>
        <v>#DIV/0!</v>
      </c>
      <c r="V39" s="4115"/>
      <c r="W39" s="4114"/>
      <c r="X39" s="4115"/>
      <c r="Y39" s="4114"/>
      <c r="Z39" s="4246"/>
      <c r="AA39" s="4266" t="e">
        <f>'Calc Data-SB1'!F30</f>
        <v>#DIV/0!</v>
      </c>
      <c r="AB39" s="4191"/>
      <c r="AC39" s="4190" t="e">
        <f>AA39</f>
        <v>#DIV/0!</v>
      </c>
      <c r="AD39" s="4191"/>
      <c r="AE39" s="4190"/>
      <c r="AF39" s="4191"/>
      <c r="AG39" s="4190"/>
      <c r="AH39" s="4282"/>
      <c r="AI39" s="4046" t="e">
        <f>'Calc Data-SB1'!G30</f>
        <v>#DIV/0!</v>
      </c>
      <c r="AJ39" s="4193"/>
      <c r="AK39" s="4192" t="e">
        <f>AI39</f>
        <v>#DIV/0!</v>
      </c>
      <c r="AL39" s="4193"/>
      <c r="AM39" s="4192"/>
      <c r="AN39" s="4193"/>
      <c r="AO39" s="4192"/>
      <c r="AP39" s="4294"/>
      <c r="AQ39" s="4286" t="e">
        <f>'Calc Data-SB1'!H30</f>
        <v>#DIV/0!</v>
      </c>
      <c r="AR39" s="4195"/>
      <c r="AS39" s="4194" t="e">
        <f>AQ39</f>
        <v>#DIV/0!</v>
      </c>
      <c r="AT39" s="4195"/>
      <c r="AU39" s="4194"/>
      <c r="AV39" s="4195"/>
      <c r="AW39" s="4194"/>
      <c r="AX39" s="4307"/>
      <c r="AY39" s="4298" t="e">
        <f>'Calc Data-SB1'!I30</f>
        <v>#DIV/0!</v>
      </c>
      <c r="AZ39" s="4197"/>
      <c r="BA39" s="4196" t="e">
        <f>AY39</f>
        <v>#DIV/0!</v>
      </c>
      <c r="BB39" s="4197"/>
      <c r="BC39" s="4196"/>
      <c r="BD39" s="4197"/>
      <c r="BE39" s="4196"/>
      <c r="BF39" s="4318"/>
      <c r="BG39" s="4313" t="e">
        <f>'Calc Data-SB1'!C30</f>
        <v>#DIV/0!</v>
      </c>
      <c r="BH39" s="2171"/>
      <c r="BI39" s="2170" t="e">
        <f>BG39</f>
        <v>#DIV/0!</v>
      </c>
      <c r="BJ39" s="2171"/>
      <c r="BK39" s="2170"/>
      <c r="BL39" s="2171"/>
      <c r="BM39" s="2170"/>
      <c r="BO39" s="1878" t="e">
        <f>'Calc Data-SB1'!C30</f>
        <v>#DIV/0!</v>
      </c>
      <c r="BP39" s="2146"/>
      <c r="BQ39" s="1878" t="e">
        <f>BO39</f>
        <v>#DIV/0!</v>
      </c>
      <c r="BR39" s="2146"/>
      <c r="BS39" s="1878"/>
      <c r="BT39" s="2146"/>
      <c r="BU39" s="1878"/>
    </row>
    <row r="40" spans="1:73">
      <c r="A40" t="s">
        <v>827</v>
      </c>
      <c r="C40" s="1419"/>
      <c r="D40" s="1420"/>
      <c r="E40" s="1419"/>
      <c r="F40" s="1420"/>
      <c r="G40" s="1419" t="e">
        <f>'Calc Data-SB1'!C37</f>
        <v>#DIV/0!</v>
      </c>
      <c r="H40" s="1420"/>
      <c r="I40" s="2741" t="e">
        <f>G40</f>
        <v>#DIV/0!</v>
      </c>
      <c r="K40" s="4131"/>
      <c r="L40" s="4132"/>
      <c r="M40" s="4131"/>
      <c r="N40" s="4132"/>
      <c r="O40" s="4210" t="e">
        <f>'Calc Data-SB1'!D37</f>
        <v>#DIV/0!</v>
      </c>
      <c r="P40" s="4211"/>
      <c r="Q40" s="4143" t="e">
        <f>O40</f>
        <v>#DIV/0!</v>
      </c>
      <c r="R40" s="4262"/>
      <c r="S40" s="4254"/>
      <c r="T40" s="4030"/>
      <c r="U40" s="4174"/>
      <c r="V40" s="4030"/>
      <c r="W40" s="4174" t="e">
        <f>'Calc Data-SB1'!E37</f>
        <v>#DIV/0!</v>
      </c>
      <c r="X40" s="4030"/>
      <c r="Y40" s="4174" t="e">
        <f>W40</f>
        <v>#DIV/0!</v>
      </c>
      <c r="Z40" s="4067"/>
      <c r="AA40" s="4264"/>
      <c r="AB40" s="4176"/>
      <c r="AC40" s="4175"/>
      <c r="AD40" s="4176"/>
      <c r="AE40" s="4175" t="e">
        <f>'Calc Data-SB1'!F37</f>
        <v>#DIV/0!</v>
      </c>
      <c r="AF40" s="4176"/>
      <c r="AG40" s="4175" t="e">
        <f>AE40</f>
        <v>#DIV/0!</v>
      </c>
      <c r="AH40" s="4280"/>
      <c r="AI40" s="4052"/>
      <c r="AJ40" s="4031"/>
      <c r="AK40" s="4177"/>
      <c r="AL40" s="4031"/>
      <c r="AM40" s="4177" t="e">
        <f>'Calc Data-SB1'!G37</f>
        <v>#DIV/0!</v>
      </c>
      <c r="AN40" s="4031"/>
      <c r="AO40" s="4177" t="e">
        <f>AM40</f>
        <v>#DIV/0!</v>
      </c>
      <c r="AP40" s="4075"/>
      <c r="AQ40" s="4284"/>
      <c r="AR40" s="4179"/>
      <c r="AS40" s="4178"/>
      <c r="AT40" s="4179"/>
      <c r="AU40" s="4178" t="e">
        <f>'Calc Data-SB1'!H37</f>
        <v>#DIV/0!</v>
      </c>
      <c r="AV40" s="4179"/>
      <c r="AW40" s="4178" t="e">
        <f>AU40</f>
        <v>#DIV/0!</v>
      </c>
      <c r="AX40" s="4305"/>
      <c r="AY40" s="4296"/>
      <c r="AZ40" s="4181"/>
      <c r="BA40" s="4180"/>
      <c r="BB40" s="4181"/>
      <c r="BC40" s="4180" t="e">
        <f>'Calc Data-SB1'!I37</f>
        <v>#DIV/0!</v>
      </c>
      <c r="BD40" s="4181"/>
      <c r="BE40" s="4180" t="e">
        <f>BC40</f>
        <v>#DIV/0!</v>
      </c>
      <c r="BF40" s="4318"/>
      <c r="BG40" s="4313"/>
      <c r="BH40" s="2171"/>
      <c r="BI40" s="2170"/>
      <c r="BJ40" s="2171"/>
      <c r="BK40" s="2170" t="e">
        <f>'Calc Data-SB1'!D37</f>
        <v>#DIV/0!</v>
      </c>
      <c r="BL40" s="2171"/>
      <c r="BM40" s="2170" t="e">
        <f>BK40</f>
        <v>#DIV/0!</v>
      </c>
      <c r="BO40" s="1878"/>
      <c r="BP40" s="2146"/>
      <c r="BQ40" s="1878"/>
      <c r="BR40" s="2146"/>
      <c r="BS40" s="1878" t="e">
        <f>'Calc Data-SB1'!D37</f>
        <v>#DIV/0!</v>
      </c>
      <c r="BT40" s="2146"/>
      <c r="BU40" s="1878" t="e">
        <f>BS40</f>
        <v>#DIV/0!</v>
      </c>
    </row>
    <row r="41" spans="1:73">
      <c r="A41" t="s">
        <v>1343</v>
      </c>
      <c r="C41" s="1419" t="e">
        <f>C39</f>
        <v>#DIV/0!</v>
      </c>
      <c r="D41" s="1420"/>
      <c r="E41" s="1419" t="e">
        <f>E39</f>
        <v>#DIV/0!</v>
      </c>
      <c r="F41" s="1420"/>
      <c r="G41" s="1419" t="e">
        <f>G40</f>
        <v>#DIV/0!</v>
      </c>
      <c r="H41" s="1420"/>
      <c r="I41" s="2741" t="e">
        <f>I40</f>
        <v>#DIV/0!</v>
      </c>
      <c r="K41" s="4131" t="e">
        <f>K39</f>
        <v>#DIV/0!</v>
      </c>
      <c r="L41" s="4132"/>
      <c r="M41" s="4131" t="e">
        <f>M39</f>
        <v>#DIV/0!</v>
      </c>
      <c r="N41" s="4132"/>
      <c r="O41" s="4210" t="e">
        <f>O40</f>
        <v>#DIV/0!</v>
      </c>
      <c r="P41" s="4211"/>
      <c r="Q41" s="4143" t="e">
        <f>Q40</f>
        <v>#DIV/0!</v>
      </c>
      <c r="R41" s="4262"/>
      <c r="S41" s="4254" t="e">
        <f>S39</f>
        <v>#DIV/0!</v>
      </c>
      <c r="T41" s="4030"/>
      <c r="U41" s="4174" t="e">
        <f>U39</f>
        <v>#DIV/0!</v>
      </c>
      <c r="V41" s="4030"/>
      <c r="W41" s="4174" t="e">
        <f>W40</f>
        <v>#DIV/0!</v>
      </c>
      <c r="X41" s="4030"/>
      <c r="Y41" s="4174" t="e">
        <f>Y40</f>
        <v>#DIV/0!</v>
      </c>
      <c r="Z41" s="4067"/>
      <c r="AA41" s="4264" t="e">
        <f>AA39</f>
        <v>#DIV/0!</v>
      </c>
      <c r="AB41" s="4176"/>
      <c r="AC41" s="4175" t="e">
        <f>AC39</f>
        <v>#DIV/0!</v>
      </c>
      <c r="AD41" s="4176"/>
      <c r="AE41" s="4175" t="e">
        <f>AE40</f>
        <v>#DIV/0!</v>
      </c>
      <c r="AF41" s="4176"/>
      <c r="AG41" s="4175" t="e">
        <f>AG40</f>
        <v>#DIV/0!</v>
      </c>
      <c r="AH41" s="4280"/>
      <c r="AI41" s="4052" t="e">
        <f>AI39</f>
        <v>#DIV/0!</v>
      </c>
      <c r="AJ41" s="4031"/>
      <c r="AK41" s="4177" t="e">
        <f>AK39</f>
        <v>#DIV/0!</v>
      </c>
      <c r="AL41" s="4031"/>
      <c r="AM41" s="4177" t="e">
        <f>AM40</f>
        <v>#DIV/0!</v>
      </c>
      <c r="AN41" s="4031"/>
      <c r="AO41" s="4177" t="e">
        <f>AO40</f>
        <v>#DIV/0!</v>
      </c>
      <c r="AP41" s="4075"/>
      <c r="AQ41" s="4284" t="e">
        <f>AQ39</f>
        <v>#DIV/0!</v>
      </c>
      <c r="AR41" s="4179"/>
      <c r="AS41" s="4178" t="e">
        <f>AS39</f>
        <v>#DIV/0!</v>
      </c>
      <c r="AT41" s="4179"/>
      <c r="AU41" s="4178" t="e">
        <f>AU40</f>
        <v>#DIV/0!</v>
      </c>
      <c r="AV41" s="4179"/>
      <c r="AW41" s="4178" t="e">
        <f>AW40</f>
        <v>#DIV/0!</v>
      </c>
      <c r="AX41" s="4305"/>
      <c r="AY41" s="4296" t="e">
        <f>AY39</f>
        <v>#DIV/0!</v>
      </c>
      <c r="AZ41" s="4181"/>
      <c r="BA41" s="4180" t="e">
        <f>BA39</f>
        <v>#DIV/0!</v>
      </c>
      <c r="BB41" s="4181"/>
      <c r="BC41" s="4180" t="e">
        <f>BC40</f>
        <v>#DIV/0!</v>
      </c>
      <c r="BD41" s="4181"/>
      <c r="BE41" s="4180" t="e">
        <f>BE40</f>
        <v>#DIV/0!</v>
      </c>
      <c r="BF41" s="4318"/>
      <c r="BG41" s="4313" t="e">
        <f>BG39</f>
        <v>#DIV/0!</v>
      </c>
      <c r="BH41" s="2171"/>
      <c r="BI41" s="2170" t="e">
        <f>BI39</f>
        <v>#DIV/0!</v>
      </c>
      <c r="BJ41" s="2171"/>
      <c r="BK41" s="2170" t="e">
        <f>BK40</f>
        <v>#DIV/0!</v>
      </c>
      <c r="BL41" s="2171"/>
      <c r="BM41" s="2170" t="e">
        <f>BM40</f>
        <v>#DIV/0!</v>
      </c>
      <c r="BO41" s="1878" t="e">
        <f>BO39</f>
        <v>#DIV/0!</v>
      </c>
      <c r="BP41" s="2146"/>
      <c r="BQ41" s="1878" t="e">
        <f>BQ39</f>
        <v>#DIV/0!</v>
      </c>
      <c r="BR41" s="2146"/>
      <c r="BS41" s="1878" t="e">
        <f>BS40</f>
        <v>#DIV/0!</v>
      </c>
      <c r="BT41" s="2146"/>
      <c r="BU41" s="1878" t="e">
        <f>BU40</f>
        <v>#DIV/0!</v>
      </c>
    </row>
    <row r="42" spans="1:73">
      <c r="A42" t="s">
        <v>2395</v>
      </c>
      <c r="C42" s="1411" t="e">
        <f>C35*C41</f>
        <v>#DIV/0!</v>
      </c>
      <c r="D42" s="1412"/>
      <c r="E42" s="1411" t="e">
        <f>E35*E41</f>
        <v>#DIV/0!</v>
      </c>
      <c r="F42" s="1412"/>
      <c r="G42" s="1411" t="e">
        <f>IF(G40&lt;1,0,G35*G41)</f>
        <v>#DIV/0!</v>
      </c>
      <c r="H42" s="1412"/>
      <c r="I42" s="2737" t="e">
        <f>IF(I40&lt;1,0,I35*I41)</f>
        <v>#DIV/0!</v>
      </c>
      <c r="K42" s="4131" t="e">
        <f>K35*K41</f>
        <v>#DIV/0!</v>
      </c>
      <c r="L42" s="4132"/>
      <c r="M42" s="4131" t="e">
        <f>M35*M41</f>
        <v>#DIV/0!</v>
      </c>
      <c r="N42" s="4132"/>
      <c r="O42" s="4210" t="e">
        <f>IF(O40&lt;1,0,O35*O41)</f>
        <v>#DIV/0!</v>
      </c>
      <c r="P42" s="4211"/>
      <c r="Q42" s="4143" t="e">
        <f>IF(Q40&lt;1,0,Q35*Q41)</f>
        <v>#DIV/0!</v>
      </c>
      <c r="R42" s="4262"/>
      <c r="S42" s="4254" t="e">
        <f>S35*S41</f>
        <v>#DIV/0!</v>
      </c>
      <c r="T42" s="4030"/>
      <c r="U42" s="4174" t="e">
        <f>U35*U41</f>
        <v>#DIV/0!</v>
      </c>
      <c r="V42" s="4030"/>
      <c r="W42" s="4174" t="e">
        <f>IF(W40&lt;1,0,W35*W41)</f>
        <v>#DIV/0!</v>
      </c>
      <c r="X42" s="4030"/>
      <c r="Y42" s="4174" t="e">
        <f>IF(Y40&lt;1,0,Y35*Y41)</f>
        <v>#DIV/0!</v>
      </c>
      <c r="Z42" s="4067"/>
      <c r="AA42" s="4264" t="e">
        <f>AA35*AA41</f>
        <v>#DIV/0!</v>
      </c>
      <c r="AB42" s="4176"/>
      <c r="AC42" s="4175" t="e">
        <f>AC35*AC41</f>
        <v>#DIV/0!</v>
      </c>
      <c r="AD42" s="4176"/>
      <c r="AE42" s="4175" t="e">
        <f>IF(AE40&lt;1,0,AE35*AE41)</f>
        <v>#DIV/0!</v>
      </c>
      <c r="AF42" s="4176"/>
      <c r="AG42" s="4175" t="e">
        <f>IF(AG40&lt;1,0,AG35*AG41)</f>
        <v>#DIV/0!</v>
      </c>
      <c r="AH42" s="4280"/>
      <c r="AI42" s="4052" t="e">
        <f>AI35*AI41</f>
        <v>#DIV/0!</v>
      </c>
      <c r="AJ42" s="4031"/>
      <c r="AK42" s="4177" t="e">
        <f>AK35*AK41</f>
        <v>#DIV/0!</v>
      </c>
      <c r="AL42" s="4031"/>
      <c r="AM42" s="4177" t="e">
        <f>IF(AM40&lt;1,0,AM35*AM41)</f>
        <v>#DIV/0!</v>
      </c>
      <c r="AN42" s="4031"/>
      <c r="AO42" s="4177" t="e">
        <f>IF(AO40&lt;1,0,AO35*AO41)</f>
        <v>#DIV/0!</v>
      </c>
      <c r="AP42" s="4075"/>
      <c r="AQ42" s="4284" t="e">
        <f>AQ35*AQ41</f>
        <v>#DIV/0!</v>
      </c>
      <c r="AR42" s="4179"/>
      <c r="AS42" s="4178" t="e">
        <f>AS35*AS41</f>
        <v>#DIV/0!</v>
      </c>
      <c r="AT42" s="4179"/>
      <c r="AU42" s="4178" t="e">
        <f>IF(AU40&lt;1,0,AU35*AU41)</f>
        <v>#DIV/0!</v>
      </c>
      <c r="AV42" s="4179"/>
      <c r="AW42" s="4178" t="e">
        <f>IF(AW40&lt;1,0,AW35*AW41)</f>
        <v>#DIV/0!</v>
      </c>
      <c r="AX42" s="4305"/>
      <c r="AY42" s="4296" t="e">
        <f>AY35*AY41</f>
        <v>#DIV/0!</v>
      </c>
      <c r="AZ42" s="4181"/>
      <c r="BA42" s="4180" t="e">
        <f>BA35*BA41</f>
        <v>#DIV/0!</v>
      </c>
      <c r="BB42" s="4181"/>
      <c r="BC42" s="4180" t="e">
        <f>IF(BC40&lt;1,0,BC35*BC41)</f>
        <v>#DIV/0!</v>
      </c>
      <c r="BD42" s="4181"/>
      <c r="BE42" s="4180" t="e">
        <f>IF(BE40&lt;1,0,BE35*BE41)</f>
        <v>#DIV/0!</v>
      </c>
      <c r="BF42" s="4318"/>
      <c r="BG42" s="4309" t="e">
        <f>BG35*BG41</f>
        <v>#DIV/0!</v>
      </c>
      <c r="BH42" s="2162"/>
      <c r="BI42" s="2161" t="e">
        <f>BI35*BI41</f>
        <v>#DIV/0!</v>
      </c>
      <c r="BJ42" s="2162"/>
      <c r="BK42" s="2161" t="e">
        <f>IF(BK40&lt;1,0,BK35*BK41)</f>
        <v>#DIV/0!</v>
      </c>
      <c r="BL42" s="2162"/>
      <c r="BM42" s="2161" t="e">
        <f>IF(BM40&lt;1,0,BM35*BM41)</f>
        <v>#DIV/0!</v>
      </c>
      <c r="BO42" s="1875" t="e">
        <f>BO35*BO41</f>
        <v>#DIV/0!</v>
      </c>
      <c r="BP42" s="2138"/>
      <c r="BQ42" s="1875" t="e">
        <f>BQ35*BQ41</f>
        <v>#DIV/0!</v>
      </c>
      <c r="BR42" s="2138"/>
      <c r="BS42" s="1875" t="e">
        <f>IF(BS40&lt;1,0,BS35*BS41)</f>
        <v>#DIV/0!</v>
      </c>
      <c r="BT42" s="2138"/>
      <c r="BU42" s="1875" t="e">
        <f>IF(BU40&lt;1,0,BU35*BU41)</f>
        <v>#DIV/0!</v>
      </c>
    </row>
    <row r="43" spans="1:73">
      <c r="A43" s="97" t="s">
        <v>1141</v>
      </c>
      <c r="C43" s="1413" t="e">
        <f>C34/IF(C36&lt;Assumptions!G92,Assumptions!G92,C36)</f>
        <v>#DIV/0!</v>
      </c>
      <c r="D43" s="1414"/>
      <c r="E43" s="1413" t="e">
        <f>E34/E36</f>
        <v>#DIV/0!</v>
      </c>
      <c r="F43" s="1414"/>
      <c r="G43" s="1413" t="e">
        <f>IF(G42=0,0,G34/G36)</f>
        <v>#DIV/0!</v>
      </c>
      <c r="H43" s="1414"/>
      <c r="I43" s="2738" t="e">
        <f>IF(I42=0,0,I34/I36)</f>
        <v>#DIV/0!</v>
      </c>
      <c r="K43" s="4134" t="e">
        <f>K34/IF(K36&lt;Assumptions!G103,Assumptions!G103,K36)</f>
        <v>#DIV/0!</v>
      </c>
      <c r="L43" s="4135"/>
      <c r="M43" s="4134" t="e">
        <f>M34/M36</f>
        <v>#DIV/0!</v>
      </c>
      <c r="N43" s="4135"/>
      <c r="O43" s="4129" t="e">
        <f>IF(O42=0,0,O34/O36)</f>
        <v>#DIV/0!</v>
      </c>
      <c r="P43" s="4130"/>
      <c r="Q43" s="4141" t="e">
        <f>IF(Q42=0,0,Q34/Q36)</f>
        <v>#DIV/0!</v>
      </c>
      <c r="R43" s="4261"/>
      <c r="S43" s="4255" t="e">
        <f>S34/IF(S36&lt;Assumptions!G112,Assumptions!G112,S36)</f>
        <v>#DIV/0!</v>
      </c>
      <c r="T43" s="4117"/>
      <c r="U43" s="4116" t="e">
        <f>U34/U36</f>
        <v>#DIV/0!</v>
      </c>
      <c r="V43" s="4117"/>
      <c r="W43" s="4116" t="e">
        <f>IF(W42=0,0,W34/W36)</f>
        <v>#DIV/0!</v>
      </c>
      <c r="X43" s="4117"/>
      <c r="Y43" s="4116" t="e">
        <f>IF(Y42=0,0,Y34/Y36)</f>
        <v>#DIV/0!</v>
      </c>
      <c r="Z43" s="4271"/>
      <c r="AA43" s="4265" t="e">
        <f>AA34/IF(AA36&lt;Assumptions!G121,Assumptions!G121,AA36)</f>
        <v>#DIV/0!</v>
      </c>
      <c r="AB43" s="4183"/>
      <c r="AC43" s="4182" t="e">
        <f>AC34/AC36</f>
        <v>#DIV/0!</v>
      </c>
      <c r="AD43" s="4183"/>
      <c r="AE43" s="4182" t="e">
        <f>IF(AE42=0,0,AE34/AE36)</f>
        <v>#DIV/0!</v>
      </c>
      <c r="AF43" s="4183"/>
      <c r="AG43" s="4182" t="e">
        <f>IF(AG42=0,0,AG34/AG36)</f>
        <v>#DIV/0!</v>
      </c>
      <c r="AH43" s="4281"/>
      <c r="AI43" s="4273" t="e">
        <f>AI34/IF(AI36&lt;Assumptions!G130,Assumptions!G130,AI36)</f>
        <v>#DIV/0!</v>
      </c>
      <c r="AJ43" s="4185"/>
      <c r="AK43" s="4184" t="e">
        <f>AK34/AK36</f>
        <v>#DIV/0!</v>
      </c>
      <c r="AL43" s="4185"/>
      <c r="AM43" s="4184" t="e">
        <f>IF(AM42=0,0,AM34/AM36)</f>
        <v>#DIV/0!</v>
      </c>
      <c r="AN43" s="4185"/>
      <c r="AO43" s="4184" t="e">
        <f>IF(AO42=0,0,AO34/AO36)</f>
        <v>#DIV/0!</v>
      </c>
      <c r="AP43" s="4293"/>
      <c r="AQ43" s="4285" t="e">
        <f>AQ34/IF(AQ36&lt;Assumptions!G139,Assumptions!G139,AQ36)</f>
        <v>#DIV/0!</v>
      </c>
      <c r="AR43" s="4187"/>
      <c r="AS43" s="4186" t="e">
        <f>AS34/AS36</f>
        <v>#DIV/0!</v>
      </c>
      <c r="AT43" s="4187"/>
      <c r="AU43" s="4186" t="e">
        <f>IF(AU42=0,0,AU34/AU36)</f>
        <v>#DIV/0!</v>
      </c>
      <c r="AV43" s="4187"/>
      <c r="AW43" s="4186" t="e">
        <f>IF(AW42=0,0,AW34/AW36)</f>
        <v>#DIV/0!</v>
      </c>
      <c r="AX43" s="4306"/>
      <c r="AY43" s="4297" t="e">
        <f>AY34/IF(AY36&lt;Assumptions!G148,Assumptions!G148,AY36)</f>
        <v>#DIV/0!</v>
      </c>
      <c r="AZ43" s="4189"/>
      <c r="BA43" s="4188" t="e">
        <f>BA34/BA36</f>
        <v>#DIV/0!</v>
      </c>
      <c r="BB43" s="4189"/>
      <c r="BC43" s="4188" t="e">
        <f>IF(BC42=0,0,BC34/BC36)</f>
        <v>#DIV/0!</v>
      </c>
      <c r="BD43" s="4189"/>
      <c r="BE43" s="4188" t="e">
        <f>IF(BE42=0,0,BE34/BE36)</f>
        <v>#DIV/0!</v>
      </c>
      <c r="BF43" s="4318"/>
      <c r="BG43" s="4310" t="e">
        <f>BG34/IF(BG36&lt;Assumptions!G30,Assumptions!G30,BG36)</f>
        <v>#DIV/0!</v>
      </c>
      <c r="BH43" s="2164"/>
      <c r="BI43" s="2163" t="e">
        <f>BI34/BI36</f>
        <v>#DIV/0!</v>
      </c>
      <c r="BJ43" s="2164"/>
      <c r="BK43" s="2163" t="e">
        <f>IF(BK42=0,0,BK34/BK36)</f>
        <v>#DIV/0!</v>
      </c>
      <c r="BL43" s="2164"/>
      <c r="BM43" s="2163" t="e">
        <f>IF(BM42=0,0,BM34/BM36)</f>
        <v>#DIV/0!</v>
      </c>
      <c r="BO43" s="2139" t="e">
        <f>BO34/IF(BO36&lt;Assumptions!G30,Assumptions!G30,BO36)</f>
        <v>#DIV/0!</v>
      </c>
      <c r="BP43" s="2140"/>
      <c r="BQ43" s="2139" t="e">
        <f>BQ34/BQ36</f>
        <v>#DIV/0!</v>
      </c>
      <c r="BR43" s="2140"/>
      <c r="BS43" s="2139" t="e">
        <f>IF(BS42=0,0,BS34/BS36)</f>
        <v>#DIV/0!</v>
      </c>
      <c r="BT43" s="2140"/>
      <c r="BU43" s="2139" t="e">
        <f>IF(BU42=0,0,BU34/BU36)</f>
        <v>#DIV/0!</v>
      </c>
    </row>
    <row r="44" spans="1:73">
      <c r="A44" s="92" t="s">
        <v>1752</v>
      </c>
      <c r="C44" s="1421" t="e">
        <f>IF(C43=0,0,IF(C42/C43&lt;3147,3147,C42/C43))</f>
        <v>#DIV/0!</v>
      </c>
      <c r="D44" s="1422"/>
      <c r="E44" s="1421" t="e">
        <f>IF(E43=0,0,IF(E42/E43&lt;3147,3147,E42/E43))</f>
        <v>#DIV/0!</v>
      </c>
      <c r="F44" s="1422"/>
      <c r="G44" s="1421" t="e">
        <f>IF(G43=0,0,IF(G42/G43&lt;71.62,71.62,G42/G43))</f>
        <v>#DIV/0!</v>
      </c>
      <c r="H44" s="1422"/>
      <c r="I44" s="2742" t="e">
        <f>IF(I43=0,0,IF(I42/I43&lt;71.62,71.62,I42/I43))</f>
        <v>#DIV/0!</v>
      </c>
      <c r="K44" s="4136" t="e">
        <f>IF(K43=0,0,IF(K42/K43&lt;3392,3392,K42/K43))</f>
        <v>#DIV/0!</v>
      </c>
      <c r="L44" s="4082"/>
      <c r="M44" s="4136" t="e">
        <f>IF(M43=0,0,IF(M42/M43&lt;3392,3392,M42/M43))</f>
        <v>#DIV/0!</v>
      </c>
      <c r="N44" s="4082"/>
      <c r="O44" s="4129" t="e">
        <f>IF(O43=0,0,IF(O42/O43&lt;84.777,84.777,O42/O43))</f>
        <v>#DIV/0!</v>
      </c>
      <c r="P44" s="4212"/>
      <c r="Q44" s="4141" t="e">
        <f>IF(Q43=0,0,IF(Q42/Q43&lt;84.777,84.777,Q42/Q43))</f>
        <v>#DIV/0!</v>
      </c>
      <c r="R44" s="4261"/>
      <c r="S44" s="4255" t="e">
        <f>IF(S43=0,0,IF(S42/S43&lt;3380,3380,S42/S43))</f>
        <v>#DIV/0!</v>
      </c>
      <c r="T44" s="4117"/>
      <c r="U44" s="4116" t="e">
        <f>IF(U43=0,0,IF(U42/U43&lt;3380,3380,U42/U43))</f>
        <v>#DIV/0!</v>
      </c>
      <c r="V44" s="4117"/>
      <c r="W44" s="4116" t="e">
        <f>IF(W43=0,0,IF(W42/W43&lt;72,72,W42/W43))</f>
        <v>#DIV/0!</v>
      </c>
      <c r="X44" s="4117"/>
      <c r="Y44" s="4116" t="e">
        <f>IF(Y43=0,0,IF(Y42/Y43&lt;72,72,Y42/Y43))</f>
        <v>#DIV/0!</v>
      </c>
      <c r="Z44" s="4271"/>
      <c r="AA44" s="4265" t="e">
        <f>IF(AA43=0,0,IF(AA42/AA43&lt;3380,3380,AA42/AA43))</f>
        <v>#DIV/0!</v>
      </c>
      <c r="AB44" s="4183"/>
      <c r="AC44" s="4182" t="e">
        <f>IF(AC43=0,0,IF(AC42/AC43&lt;3380,3380,AC42/AC43))</f>
        <v>#DIV/0!</v>
      </c>
      <c r="AD44" s="4183"/>
      <c r="AE44" s="4182" t="e">
        <f>IF(AE43=0,0,IF(AE42/AE43&lt;72,72,AE42/AE43))</f>
        <v>#DIV/0!</v>
      </c>
      <c r="AF44" s="4183"/>
      <c r="AG44" s="4182" t="e">
        <f>IF(AG43=0,0,IF(AG42/AG43&lt;72,72,AG42/AG43))</f>
        <v>#DIV/0!</v>
      </c>
      <c r="AH44" s="4281"/>
      <c r="AI44" s="4273" t="e">
        <f>IF(AI43=0,0,IF(AI42/AI43&lt;3380,3380,AI42/AI43))</f>
        <v>#DIV/0!</v>
      </c>
      <c r="AJ44" s="4185"/>
      <c r="AK44" s="4184" t="e">
        <f>IF(AK43=0,0,IF(AK42/AK43&lt;3380,3380,AK42/AK43))</f>
        <v>#DIV/0!</v>
      </c>
      <c r="AL44" s="4185"/>
      <c r="AM44" s="4184" t="e">
        <f>IF(AM43=0,0,IF(AM42/AM43&lt;72,72,AM42/AM43))</f>
        <v>#DIV/0!</v>
      </c>
      <c r="AN44" s="4185"/>
      <c r="AO44" s="4184" t="e">
        <f>IF(AO43=0,0,IF(AO42/AO43&lt;72,72,AO42/AO43))</f>
        <v>#DIV/0!</v>
      </c>
      <c r="AP44" s="4293"/>
      <c r="AQ44" s="4285" t="e">
        <f>IF(AQ43=0,0,IF(AQ42/AQ43&lt;3380,3380,AQ42/AQ43))</f>
        <v>#DIV/0!</v>
      </c>
      <c r="AR44" s="4187"/>
      <c r="AS44" s="4186" t="e">
        <f>IF(AS43=0,0,IF(AS42/AS43&lt;3380,3380,AS42/AS43))</f>
        <v>#DIV/0!</v>
      </c>
      <c r="AT44" s="4187"/>
      <c r="AU44" s="4186" t="e">
        <f>IF(AU43=0,0,IF(AU42/AU43&lt;72,72,AU42/AU43))</f>
        <v>#DIV/0!</v>
      </c>
      <c r="AV44" s="4187"/>
      <c r="AW44" s="4186" t="e">
        <f>IF(AW43=0,0,IF(AW42/AW43&lt;72,72,AW42/AW43))</f>
        <v>#DIV/0!</v>
      </c>
      <c r="AX44" s="4306"/>
      <c r="AY44" s="4297" t="e">
        <f>IF(AY43=0,0,IF(AY42/AY43&lt;3380,3380,AY42/AY43))</f>
        <v>#DIV/0!</v>
      </c>
      <c r="AZ44" s="4189"/>
      <c r="BA44" s="4188" t="e">
        <f>IF(BA43=0,0,IF(BA42/BA43&lt;3380,3380,BA42/BA43))</f>
        <v>#DIV/0!</v>
      </c>
      <c r="BB44" s="4189"/>
      <c r="BC44" s="4188" t="e">
        <f>IF(BC43=0,0,IF(BC42/BC43&lt;72,72,BC42/BC43))</f>
        <v>#DIV/0!</v>
      </c>
      <c r="BD44" s="4189"/>
      <c r="BE44" s="4188" t="e">
        <f>IF(BE43=0,0,IF(BE42/BE43&lt;72,72,BE42/BE43))</f>
        <v>#DIV/0!</v>
      </c>
      <c r="BF44" s="4318"/>
      <c r="BG44" s="4314" t="e">
        <f>IF(BG43=0,0,IF(BG42/BG43&lt;2780,2780,BG42/BG43))</f>
        <v>#DIV/0!</v>
      </c>
      <c r="BH44" s="2173"/>
      <c r="BI44" s="2172" t="e">
        <f>IF(BI43=0,0,IF(BI42/BI43&lt;2780,2780,BI42/BI43))</f>
        <v>#DIV/0!</v>
      </c>
      <c r="BJ44" s="2173"/>
      <c r="BK44" s="2172" t="e">
        <f>IF(BK43=0,0,IF(BK42/BK43&lt;35.57,35.57,BK42/BK43))</f>
        <v>#DIV/0!</v>
      </c>
      <c r="BL44" s="2173"/>
      <c r="BM44" s="2172" t="e">
        <f>IF(BM43=0,0,IF(BM42/BM43&lt;35.57,35.57,BM42/BM43))</f>
        <v>#DIV/0!</v>
      </c>
      <c r="BO44" s="2147" t="e">
        <f>IF(BO43=0,0,IF(BO42/BO43&lt;2780,2780,BO42/BO43))</f>
        <v>#DIV/0!</v>
      </c>
      <c r="BP44" s="2148"/>
      <c r="BQ44" s="2147" t="e">
        <f>IF(BQ43=0,0,IF(BQ42/BQ43&lt;2780,2780,BQ42/BQ43))</f>
        <v>#DIV/0!</v>
      </c>
      <c r="BR44" s="2148"/>
      <c r="BS44" s="2147" t="e">
        <f>IF(BS43=0,0,IF(BS42/BS43&lt;35.57,35.57,BS42/BS43))</f>
        <v>#DIV/0!</v>
      </c>
      <c r="BT44" s="2148"/>
      <c r="BU44" s="2147" t="e">
        <f>IF(BU43=0,0,IF(BU42/BU43&lt;35.57,35.57,BU42/BU43))</f>
        <v>#DIV/0!</v>
      </c>
    </row>
    <row r="45" spans="1:73">
      <c r="A45" s="92" t="s">
        <v>496</v>
      </c>
      <c r="C45" s="1413" t="e">
        <f>IF(OR('Data Entry - SOF'!C95=0,C44=0),0,IF('Data Entry - SOF'!C95&gt;C44,(C44*'Data Entry - SOF'!C94)/C44,('Data Entry - SOF'!C95*'Data Entry - SOF'!C94)/C44))</f>
        <v>#DIV/0!</v>
      </c>
      <c r="D45" s="1414"/>
      <c r="E45" s="1413" t="e">
        <f>C45</f>
        <v>#DIV/0!</v>
      </c>
      <c r="F45" s="1414"/>
      <c r="G45" s="1413" t="e">
        <f>IF(OR('Data Entry - SOF'!C95=0,G44=0),0,IF('Data Entry - SOF'!C95&gt;G44,(G44*'Data Entry - SOF'!C94)/G44,('Data Entry - SOF'!C95*'Data Entry - SOF'!C94)/G44))</f>
        <v>#DIV/0!</v>
      </c>
      <c r="H45" s="1414"/>
      <c r="I45" s="2738" t="e">
        <f>G45</f>
        <v>#DIV/0!</v>
      </c>
      <c r="K45" s="4129" t="e">
        <f>IF(OR('Data Entry - SOF'!E95=0,K44=0),0,IF('Data Entry - SOF'!E95&gt;K44,(K44*'Data Entry - SOF'!E94)/K44,('Data Entry - SOF'!E95*'Data Entry - SOF'!E94)/K44))</f>
        <v>#DIV/0!</v>
      </c>
      <c r="L45" s="4130"/>
      <c r="M45" s="4129" t="e">
        <f>K45</f>
        <v>#DIV/0!</v>
      </c>
      <c r="N45" s="4130"/>
      <c r="O45" s="4129" t="e">
        <f>IF(OR('Data Entry - SOF'!E95=0,O44=0),0,IF('Data Entry - SOF'!E95&gt;O44,(O44*'Data Entry - SOF'!E94)/O44,('Data Entry - SOF'!E95*'Data Entry - SOF'!E94)/O44))</f>
        <v>#DIV/0!</v>
      </c>
      <c r="P45" s="4130"/>
      <c r="Q45" s="4141" t="e">
        <f>O45</f>
        <v>#DIV/0!</v>
      </c>
      <c r="R45" s="4261"/>
      <c r="S45" s="4255" t="e">
        <f>IF(OR('Data Entry - SOF'!G95=0,S44=0),0,IF('Data Entry - SOF'!G95&gt;S44,(S44*'Data Entry - SOF'!G94)/S44,('Data Entry - SOF'!G95*'Data Entry - SOF'!G94)/S44))</f>
        <v>#DIV/0!</v>
      </c>
      <c r="T45" s="4117"/>
      <c r="U45" s="4116" t="e">
        <f>S45</f>
        <v>#DIV/0!</v>
      </c>
      <c r="V45" s="4117"/>
      <c r="W45" s="4116" t="e">
        <f>IF(OR('Data Entry - SOF'!G95=0,W44=0),0,IF('Data Entry - SOF'!G95&gt;W44,(W44*'Data Entry - SOF'!G94)/W44,('Data Entry - SOF'!G95*'Data Entry - SOF'!G94)/W44))</f>
        <v>#DIV/0!</v>
      </c>
      <c r="X45" s="4117"/>
      <c r="Y45" s="4116" t="e">
        <f>W45</f>
        <v>#DIV/0!</v>
      </c>
      <c r="Z45" s="4271"/>
      <c r="AA45" s="4265" t="e">
        <f>IF(OR('Data Entry - SOF'!I95=0,AA44=0),0,IF('Data Entry - SOF'!I95&gt;AA44,(AA44*'Data Entry - SOF'!I94)/AA44,('Data Entry - SOF'!I95*'Data Entry - SOF'!I94)/AA44))</f>
        <v>#DIV/0!</v>
      </c>
      <c r="AB45" s="4183"/>
      <c r="AC45" s="4182" t="e">
        <f>AA45</f>
        <v>#DIV/0!</v>
      </c>
      <c r="AD45" s="4183"/>
      <c r="AE45" s="4182" t="e">
        <f>IF(OR('Data Entry - SOF'!I95=0,AE44=0),0,IF('Data Entry - SOF'!I95&gt;AE44,(AE44*'Data Entry - SOF'!I94)/AE44,('Data Entry - SOF'!I95*'Data Entry - SOF'!I94)/AE44))</f>
        <v>#DIV/0!</v>
      </c>
      <c r="AF45" s="4183"/>
      <c r="AG45" s="4182" t="e">
        <f>AE45</f>
        <v>#DIV/0!</v>
      </c>
      <c r="AH45" s="4281"/>
      <c r="AI45" s="4273" t="e">
        <f>IF(OR('Data Entry - SOF'!K95=0,AI44=0),0,IF('Data Entry - SOF'!K95&gt;AI44,(AI44*'Data Entry - SOF'!K94)/AI44,('Data Entry - SOF'!K95*'Data Entry - SOF'!K94)/AI44))</f>
        <v>#DIV/0!</v>
      </c>
      <c r="AJ45" s="4185"/>
      <c r="AK45" s="4184" t="e">
        <f>AI45</f>
        <v>#DIV/0!</v>
      </c>
      <c r="AL45" s="4185"/>
      <c r="AM45" s="4184" t="e">
        <f>IF(OR('Data Entry - SOF'!K95=0,AM44=0),0,IF('Data Entry - SOF'!K95&gt;AM44,(AM44*'Data Entry - SOF'!K94)/AM44,('Data Entry - SOF'!K95*'Data Entry - SOF'!K94)/AM44))</f>
        <v>#DIV/0!</v>
      </c>
      <c r="AN45" s="4185"/>
      <c r="AO45" s="4184" t="e">
        <f>AM45</f>
        <v>#DIV/0!</v>
      </c>
      <c r="AP45" s="4293"/>
      <c r="AQ45" s="4285" t="e">
        <f>IF(OR('Data Entry - SOF'!M95=0,AQ44=0),0,IF('Data Entry - SOF'!M95&gt;AQ44,(AQ44*'Data Entry - SOF'!M94)/AQ44,('Data Entry - SOF'!M95*'Data Entry - SOF'!M94)/AQ44))</f>
        <v>#DIV/0!</v>
      </c>
      <c r="AR45" s="4187"/>
      <c r="AS45" s="4186" t="e">
        <f>AQ45</f>
        <v>#DIV/0!</v>
      </c>
      <c r="AT45" s="4187"/>
      <c r="AU45" s="4186" t="e">
        <f>IF(OR('Data Entry - SOF'!M95=0,AU44=0),0,IF('Data Entry - SOF'!M95&gt;AU44,(AU44*'Data Entry - SOF'!M94)/AU44,('Data Entry - SOF'!M95*'Data Entry - SOF'!M94)/AU44))</f>
        <v>#DIV/0!</v>
      </c>
      <c r="AV45" s="4187"/>
      <c r="AW45" s="4186" t="e">
        <f>AU45</f>
        <v>#DIV/0!</v>
      </c>
      <c r="AX45" s="4306"/>
      <c r="AY45" s="4297" t="e">
        <f>IF(OR('Data Entry - SOF'!O95=0,AY44=0),0,IF('Data Entry - SOF'!O95&gt;AY44,(AY44*'Data Entry - SOF'!O94)/AY44,('Data Entry - SOF'!O95*'Data Entry - SOF'!O94)/AY44))</f>
        <v>#DIV/0!</v>
      </c>
      <c r="AZ45" s="4189"/>
      <c r="BA45" s="4188" t="e">
        <f>AY45</f>
        <v>#DIV/0!</v>
      </c>
      <c r="BB45" s="4189"/>
      <c r="BC45" s="4188" t="e">
        <f>IF(OR('Data Entry - SOF'!O95=0,BC44=0),0,IF('Data Entry - SOF'!O95&gt;BC44,(BC44*'Data Entry - SOF'!O94)/BC44,('Data Entry - SOF'!O95*'Data Entry - SOF'!O94)/BC44))</f>
        <v>#DIV/0!</v>
      </c>
      <c r="BD45" s="4189"/>
      <c r="BE45" s="4188" t="e">
        <f>BC45</f>
        <v>#DIV/0!</v>
      </c>
      <c r="BF45" s="4318"/>
      <c r="BG45" s="4310" t="e">
        <f>IF(OR('Data Entry - SOF'!C95=0,BG44=0),0,IF('Data Entry - SOF'!C95&gt;BG44,(BG44*'Data Entry - SOF'!C94)/BG44,('Data Entry - SOF'!C95*'Data Entry - SOF'!C94)/BG44))</f>
        <v>#DIV/0!</v>
      </c>
      <c r="BH45" s="2164"/>
      <c r="BI45" s="2163" t="e">
        <f>BG45</f>
        <v>#DIV/0!</v>
      </c>
      <c r="BJ45" s="2164"/>
      <c r="BK45" s="2163" t="e">
        <f>IF(OR('Data Entry - SOF'!C95=0,BK44=0),0,IF('Data Entry - SOF'!C95&gt;BK44,(BK44*'Data Entry - SOF'!C94)/BK44,('Data Entry - SOF'!C95*'Data Entry - SOF'!C94)/BK44))</f>
        <v>#DIV/0!</v>
      </c>
      <c r="BL45" s="2164"/>
      <c r="BM45" s="2163" t="e">
        <f>BK45</f>
        <v>#DIV/0!</v>
      </c>
      <c r="BO45" s="2139" t="e">
        <f>IF(OR('Data Entry - SOF'!C95=0,BO44=0),0,IF('Data Entry - SOF'!C95&gt;BO44,(BO44*'Data Entry - SOF'!C94)/BO44,('Data Entry - SOF'!C95*'Data Entry - SOF'!C94)/BO44))</f>
        <v>#DIV/0!</v>
      </c>
      <c r="BP45" s="2140"/>
      <c r="BQ45" s="2139" t="e">
        <f>BO45</f>
        <v>#DIV/0!</v>
      </c>
      <c r="BR45" s="2140"/>
      <c r="BS45" s="2139" t="e">
        <f>IF(OR('Data Entry - SOF'!C95=0,BS44=0),0,IF('Data Entry - SOF'!C95&gt;BS44,(BS44*'Data Entry - SOF'!C94)/BS44,('Data Entry - SOF'!C95*'Data Entry - SOF'!C94)/BS44))</f>
        <v>#DIV/0!</v>
      </c>
      <c r="BT45" s="2140"/>
      <c r="BU45" s="2139" t="e">
        <f>BS45</f>
        <v>#DIV/0!</v>
      </c>
    </row>
    <row r="46" spans="1:73">
      <c r="A46" s="92" t="s">
        <v>1476</v>
      </c>
      <c r="C46" s="1413">
        <v>0</v>
      </c>
      <c r="D46" s="1414"/>
      <c r="E46" s="1413">
        <v>0</v>
      </c>
      <c r="F46" s="1414"/>
      <c r="G46" s="1413">
        <v>0</v>
      </c>
      <c r="H46" s="1414"/>
      <c r="I46" s="2738">
        <v>0</v>
      </c>
      <c r="K46" s="4129">
        <v>0</v>
      </c>
      <c r="L46" s="4130"/>
      <c r="M46" s="4129">
        <v>0</v>
      </c>
      <c r="N46" s="4130"/>
      <c r="O46" s="4129">
        <v>0</v>
      </c>
      <c r="P46" s="4130"/>
      <c r="Q46" s="4141">
        <v>0</v>
      </c>
      <c r="R46" s="4261"/>
      <c r="S46" s="4255">
        <v>0</v>
      </c>
      <c r="T46" s="4117"/>
      <c r="U46" s="4116">
        <v>0</v>
      </c>
      <c r="V46" s="4117"/>
      <c r="W46" s="4116">
        <v>0</v>
      </c>
      <c r="X46" s="4117"/>
      <c r="Y46" s="4116">
        <v>0</v>
      </c>
      <c r="Z46" s="4271"/>
      <c r="AA46" s="4265">
        <v>0</v>
      </c>
      <c r="AB46" s="4183"/>
      <c r="AC46" s="4182">
        <v>0</v>
      </c>
      <c r="AD46" s="4183"/>
      <c r="AE46" s="4182">
        <v>0</v>
      </c>
      <c r="AF46" s="4183"/>
      <c r="AG46" s="4182">
        <v>0</v>
      </c>
      <c r="AH46" s="4281"/>
      <c r="AI46" s="4273">
        <v>0</v>
      </c>
      <c r="AJ46" s="4185"/>
      <c r="AK46" s="4184">
        <v>0</v>
      </c>
      <c r="AL46" s="4185"/>
      <c r="AM46" s="4184">
        <v>0</v>
      </c>
      <c r="AN46" s="4185"/>
      <c r="AO46" s="4184">
        <v>0</v>
      </c>
      <c r="AP46" s="4293"/>
      <c r="AQ46" s="4285">
        <v>0</v>
      </c>
      <c r="AR46" s="4187"/>
      <c r="AS46" s="4186">
        <v>0</v>
      </c>
      <c r="AT46" s="4187"/>
      <c r="AU46" s="4186">
        <v>0</v>
      </c>
      <c r="AV46" s="4187"/>
      <c r="AW46" s="4186">
        <v>0</v>
      </c>
      <c r="AX46" s="4306"/>
      <c r="AY46" s="4297">
        <v>0</v>
      </c>
      <c r="AZ46" s="4189"/>
      <c r="BA46" s="4188">
        <v>0</v>
      </c>
      <c r="BB46" s="4189"/>
      <c r="BC46" s="4188">
        <v>0</v>
      </c>
      <c r="BD46" s="4189"/>
      <c r="BE46" s="4188">
        <v>0</v>
      </c>
      <c r="BF46" s="4318"/>
      <c r="BG46" s="4310">
        <v>0</v>
      </c>
      <c r="BH46" s="2164"/>
      <c r="BI46" s="2163">
        <v>0</v>
      </c>
      <c r="BJ46" s="2164"/>
      <c r="BK46" s="2163">
        <v>0</v>
      </c>
      <c r="BL46" s="2164"/>
      <c r="BM46" s="2163">
        <v>0</v>
      </c>
      <c r="BO46" s="2139">
        <v>0</v>
      </c>
      <c r="BP46" s="2140"/>
      <c r="BQ46" s="2139">
        <v>0</v>
      </c>
      <c r="BR46" s="2140"/>
      <c r="BS46" s="2139">
        <v>0</v>
      </c>
      <c r="BT46" s="2140"/>
      <c r="BU46" s="2139">
        <v>0</v>
      </c>
    </row>
    <row r="47" spans="1:73">
      <c r="A47" s="47" t="s">
        <v>1955</v>
      </c>
      <c r="C47" s="1413" t="e">
        <f>IF(C43-C45-C46&lt;0,0,C43-C45-C46)</f>
        <v>#DIV/0!</v>
      </c>
      <c r="D47" s="1414"/>
      <c r="E47" s="1413" t="e">
        <f>IF(E43-E45-E46&lt;0,0,E43-E45-E46)</f>
        <v>#DIV/0!</v>
      </c>
      <c r="F47" s="1414"/>
      <c r="G47" s="1413" t="e">
        <f>IF(G43-G45-G46&lt;0,0,G43-G45-G46)</f>
        <v>#DIV/0!</v>
      </c>
      <c r="H47" s="1414"/>
      <c r="I47" s="2738" t="e">
        <f>IF(I43-I45-I46&lt;0,0,I43-I45-I46)</f>
        <v>#DIV/0!</v>
      </c>
      <c r="K47" s="4129" t="e">
        <f>IF(K43-K45-K46&lt;0,0,K43-K45-K46)</f>
        <v>#DIV/0!</v>
      </c>
      <c r="L47" s="4130"/>
      <c r="M47" s="4129" t="e">
        <f>IF(M43-M45-M46&lt;0,0,M43-M45-M46)</f>
        <v>#DIV/0!</v>
      </c>
      <c r="N47" s="4130"/>
      <c r="O47" s="4129" t="e">
        <f>IF(O43-O45-O46&lt;0,0,O43-O45-O46)</f>
        <v>#DIV/0!</v>
      </c>
      <c r="P47" s="4130"/>
      <c r="Q47" s="4141" t="e">
        <f>IF(Q43-Q45-Q46&lt;0,0,Q43-Q45-Q46)</f>
        <v>#DIV/0!</v>
      </c>
      <c r="R47" s="4261"/>
      <c r="S47" s="4255" t="e">
        <f>IF(S43-S45-S46&lt;0,0,S43-S45-S46)</f>
        <v>#DIV/0!</v>
      </c>
      <c r="T47" s="4117"/>
      <c r="U47" s="4116" t="e">
        <f>IF(U43-U45-U46&lt;0,0,U43-U45-U46)</f>
        <v>#DIV/0!</v>
      </c>
      <c r="V47" s="4117"/>
      <c r="W47" s="4116" t="e">
        <f>IF(W43-W45-W46&lt;0,0,W43-W45-W46)</f>
        <v>#DIV/0!</v>
      </c>
      <c r="X47" s="4117"/>
      <c r="Y47" s="4116" t="e">
        <f>IF(Y43-Y45-Y46&lt;0,0,Y43-Y45-Y46)</f>
        <v>#DIV/0!</v>
      </c>
      <c r="Z47" s="4271"/>
      <c r="AA47" s="4265" t="e">
        <f>IF(AA43-AA45-AA46&lt;0,0,AA43-AA45-AA46)</f>
        <v>#DIV/0!</v>
      </c>
      <c r="AB47" s="4183"/>
      <c r="AC47" s="4182" t="e">
        <f>IF(AC43-AC45-AC46&lt;0,0,AC43-AC45-AC46)</f>
        <v>#DIV/0!</v>
      </c>
      <c r="AD47" s="4183"/>
      <c r="AE47" s="4182" t="e">
        <f>IF(AE43-AE45-AE46&lt;0,0,AE43-AE45-AE46)</f>
        <v>#DIV/0!</v>
      </c>
      <c r="AF47" s="4183"/>
      <c r="AG47" s="4182" t="e">
        <f>IF(AG43-AG45-AG46&lt;0,0,AG43-AG45-AG46)</f>
        <v>#DIV/0!</v>
      </c>
      <c r="AH47" s="4281"/>
      <c r="AI47" s="4273" t="e">
        <f>IF(AI43-AI45-AI46&lt;0,0,AI43-AI45-AI46)</f>
        <v>#DIV/0!</v>
      </c>
      <c r="AJ47" s="4185"/>
      <c r="AK47" s="4184" t="e">
        <f>IF(AK43-AK45-AK46&lt;0,0,AK43-AK45-AK46)</f>
        <v>#DIV/0!</v>
      </c>
      <c r="AL47" s="4185"/>
      <c r="AM47" s="4184" t="e">
        <f>IF(AM43-AM45-AM46&lt;0,0,AM43-AM45-AM46)</f>
        <v>#DIV/0!</v>
      </c>
      <c r="AN47" s="4185"/>
      <c r="AO47" s="4184" t="e">
        <f>IF(AO43-AO45-AO46&lt;0,0,AO43-AO45-AO46)</f>
        <v>#DIV/0!</v>
      </c>
      <c r="AP47" s="4293"/>
      <c r="AQ47" s="4285" t="e">
        <f>IF(AQ43-AQ45-AQ46&lt;0,0,AQ43-AQ45-AQ46)</f>
        <v>#DIV/0!</v>
      </c>
      <c r="AR47" s="4187"/>
      <c r="AS47" s="4186" t="e">
        <f>IF(AS43-AS45-AS46&lt;0,0,AS43-AS45-AS46)</f>
        <v>#DIV/0!</v>
      </c>
      <c r="AT47" s="4187"/>
      <c r="AU47" s="4186" t="e">
        <f>IF(AU43-AU45-AU46&lt;0,0,AU43-AU45-AU46)</f>
        <v>#DIV/0!</v>
      </c>
      <c r="AV47" s="4187"/>
      <c r="AW47" s="4186" t="e">
        <f>IF(AW43-AW45-AW46&lt;0,0,AW43-AW45-AW46)</f>
        <v>#DIV/0!</v>
      </c>
      <c r="AX47" s="4306"/>
      <c r="AY47" s="4297" t="e">
        <f>IF(AY43-AY45-AY46&lt;0,0,AY43-AY45-AY46)</f>
        <v>#DIV/0!</v>
      </c>
      <c r="AZ47" s="4189"/>
      <c r="BA47" s="4188" t="e">
        <f>IF(BA43-BA45-BA46&lt;0,0,BA43-BA45-BA46)</f>
        <v>#DIV/0!</v>
      </c>
      <c r="BB47" s="4189"/>
      <c r="BC47" s="4188" t="e">
        <f>IF(BC43-BC45-BC46&lt;0,0,BC43-BC45-BC46)</f>
        <v>#DIV/0!</v>
      </c>
      <c r="BD47" s="4189"/>
      <c r="BE47" s="4188" t="e">
        <f>IF(BE43-BE45-BE46&lt;0,0,BE43-BE45-BE46)</f>
        <v>#DIV/0!</v>
      </c>
      <c r="BF47" s="4318"/>
      <c r="BG47" s="4310" t="e">
        <f>IF(BG43-BG45-BG46&lt;0,0,BG43-BG45-BG46)</f>
        <v>#DIV/0!</v>
      </c>
      <c r="BH47" s="2164"/>
      <c r="BI47" s="2163" t="e">
        <f>IF(BI43-BI45-BI46&lt;0,0,BI43-BI45-BI46)</f>
        <v>#DIV/0!</v>
      </c>
      <c r="BJ47" s="2164"/>
      <c r="BK47" s="2163" t="e">
        <f>IF(BK43-BK45-BK46&lt;0,0,BK43-BK45-BK46)</f>
        <v>#DIV/0!</v>
      </c>
      <c r="BL47" s="2164"/>
      <c r="BM47" s="2163" t="e">
        <f>IF(BM43-BM45-BM46&lt;0,0,BM43-BM45-BM46)</f>
        <v>#DIV/0!</v>
      </c>
      <c r="BO47" s="2139" t="e">
        <f>IF(BO43-BO45-BO46&lt;0,0,BO43-BO45-BO46)</f>
        <v>#DIV/0!</v>
      </c>
      <c r="BP47" s="2140"/>
      <c r="BQ47" s="2139" t="e">
        <f>IF(BQ43-BQ45-BQ46&lt;0,0,BQ43-BQ45-BQ46)</f>
        <v>#DIV/0!</v>
      </c>
      <c r="BR47" s="2140"/>
      <c r="BS47" s="2139" t="e">
        <f>IF(BS43-BS45-BS46&lt;0,0,BS43-BS45-BS46)</f>
        <v>#DIV/0!</v>
      </c>
      <c r="BT47" s="2140"/>
      <c r="BU47" s="2139" t="e">
        <f>IF(BU43-BU45-BU46&lt;0,0,BU43-BU45-BU46)</f>
        <v>#DIV/0!</v>
      </c>
    </row>
    <row r="48" spans="1:73">
      <c r="A48" s="92" t="s">
        <v>2986</v>
      </c>
      <c r="C48" s="1419" t="e">
        <f>IF(C47=0,0,C47*C44)</f>
        <v>#DIV/0!</v>
      </c>
      <c r="D48" s="1420"/>
      <c r="E48" s="1419" t="e">
        <f>IF(E47=0,0,E47*E44)</f>
        <v>#DIV/0!</v>
      </c>
      <c r="F48" s="1420"/>
      <c r="G48" s="1419" t="e">
        <f>IF(G47=0,0,G47*G44)</f>
        <v>#DIV/0!</v>
      </c>
      <c r="H48" s="1420"/>
      <c r="I48" s="2741" t="e">
        <f>IF(I47=0,0,I47*I44)</f>
        <v>#DIV/0!</v>
      </c>
      <c r="K48" s="4131" t="e">
        <f>IF(K47=0,0,K47*K44)</f>
        <v>#DIV/0!</v>
      </c>
      <c r="L48" s="4132"/>
      <c r="M48" s="4131" t="e">
        <f>IF(M47=0,0,M47*M44)</f>
        <v>#DIV/0!</v>
      </c>
      <c r="N48" s="4132"/>
      <c r="O48" s="4131" t="e">
        <f>IF(O47=0,0,O47*O44)</f>
        <v>#DIV/0!</v>
      </c>
      <c r="P48" s="4132"/>
      <c r="Q48" s="4143" t="e">
        <f>IF(Q47=0,0,Q47*Q44)</f>
        <v>#DIV/0!</v>
      </c>
      <c r="R48" s="4262"/>
      <c r="S48" s="4254" t="e">
        <f>IF(S47=0,0,S47*S44)</f>
        <v>#DIV/0!</v>
      </c>
      <c r="T48" s="4030"/>
      <c r="U48" s="4174" t="e">
        <f>IF(U47=0,0,U47*U44)</f>
        <v>#DIV/0!</v>
      </c>
      <c r="V48" s="4030"/>
      <c r="W48" s="4174" t="e">
        <f>IF(W47=0,0,W47*W44)</f>
        <v>#DIV/0!</v>
      </c>
      <c r="X48" s="4030"/>
      <c r="Y48" s="4174" t="e">
        <f>IF(Y47=0,0,Y47*Y44)</f>
        <v>#DIV/0!</v>
      </c>
      <c r="Z48" s="4067"/>
      <c r="AA48" s="4264" t="e">
        <f>IF(AA47=0,0,AA47*AA44)</f>
        <v>#DIV/0!</v>
      </c>
      <c r="AB48" s="4176"/>
      <c r="AC48" s="4175" t="e">
        <f>IF(AC47=0,0,AC47*AC44)</f>
        <v>#DIV/0!</v>
      </c>
      <c r="AD48" s="4176"/>
      <c r="AE48" s="4175" t="e">
        <f>IF(AE47=0,0,AE47*AE44)</f>
        <v>#DIV/0!</v>
      </c>
      <c r="AF48" s="4176"/>
      <c r="AG48" s="4175" t="e">
        <f>IF(AG47=0,0,AG47*AG44)</f>
        <v>#DIV/0!</v>
      </c>
      <c r="AH48" s="4280"/>
      <c r="AI48" s="4052" t="e">
        <f>IF(AI47=0,0,AI47*AI44)</f>
        <v>#DIV/0!</v>
      </c>
      <c r="AJ48" s="4031"/>
      <c r="AK48" s="4177" t="e">
        <f>IF(AK47=0,0,AK47*AK44)</f>
        <v>#DIV/0!</v>
      </c>
      <c r="AL48" s="4031"/>
      <c r="AM48" s="4177" t="e">
        <f>IF(AM47=0,0,AM47*AM44)</f>
        <v>#DIV/0!</v>
      </c>
      <c r="AN48" s="4031"/>
      <c r="AO48" s="4177" t="e">
        <f>IF(AO47=0,0,AO47*AO44)</f>
        <v>#DIV/0!</v>
      </c>
      <c r="AP48" s="4075"/>
      <c r="AQ48" s="4284" t="e">
        <f>IF(AQ47=0,0,AQ47*AQ44)</f>
        <v>#DIV/0!</v>
      </c>
      <c r="AR48" s="4179"/>
      <c r="AS48" s="4178" t="e">
        <f>IF(AS47=0,0,AS47*AS44)</f>
        <v>#DIV/0!</v>
      </c>
      <c r="AT48" s="4179"/>
      <c r="AU48" s="4178" t="e">
        <f>IF(AU47=0,0,AU47*AU44)</f>
        <v>#DIV/0!</v>
      </c>
      <c r="AV48" s="4179"/>
      <c r="AW48" s="4178" t="e">
        <f>IF(AW47=0,0,AW47*AW44)</f>
        <v>#DIV/0!</v>
      </c>
      <c r="AX48" s="4305"/>
      <c r="AY48" s="4296" t="e">
        <f>IF(AY47=0,0,AY47*AY44)</f>
        <v>#DIV/0!</v>
      </c>
      <c r="AZ48" s="4181"/>
      <c r="BA48" s="4180" t="e">
        <f>IF(BA47=0,0,BA47*BA44)</f>
        <v>#DIV/0!</v>
      </c>
      <c r="BB48" s="4181"/>
      <c r="BC48" s="4180" t="e">
        <f>IF(BC47=0,0,BC47*BC44)</f>
        <v>#DIV/0!</v>
      </c>
      <c r="BD48" s="4181"/>
      <c r="BE48" s="4180" t="e">
        <f>IF(BE47=0,0,BE47*BE44)</f>
        <v>#DIV/0!</v>
      </c>
      <c r="BF48" s="4318"/>
      <c r="BG48" s="4313" t="e">
        <f>IF(BG47=0,0,BG47*BG44)</f>
        <v>#DIV/0!</v>
      </c>
      <c r="BH48" s="2171"/>
      <c r="BI48" s="2170" t="e">
        <f>IF(BI47=0,0,BI47*BI44)</f>
        <v>#DIV/0!</v>
      </c>
      <c r="BJ48" s="2171"/>
      <c r="BK48" s="2170" t="e">
        <f>IF(BK47=0,0,BK47*BK44)</f>
        <v>#DIV/0!</v>
      </c>
      <c r="BL48" s="2171"/>
      <c r="BM48" s="2170" t="e">
        <f>IF(BM47=0,0,BM47*BM44)</f>
        <v>#DIV/0!</v>
      </c>
      <c r="BO48" s="1878" t="e">
        <f>IF(BO47=0,0,BO47*BO44)</f>
        <v>#DIV/0!</v>
      </c>
      <c r="BP48" s="2146"/>
      <c r="BQ48" s="1878" t="e">
        <f>IF(BQ47=0,0,BQ47*BQ44)</f>
        <v>#DIV/0!</v>
      </c>
      <c r="BR48" s="2146"/>
      <c r="BS48" s="1878" t="e">
        <f>IF(BS47=0,0,BS47*BS44)</f>
        <v>#DIV/0!</v>
      </c>
      <c r="BT48" s="2146"/>
      <c r="BU48" s="1878" t="e">
        <f>IF(BU47=0,0,BU47*BU44)</f>
        <v>#DIV/0!</v>
      </c>
    </row>
    <row r="49" spans="1:73">
      <c r="A49" s="92"/>
      <c r="I49" s="2733"/>
      <c r="Q49" s="4213"/>
      <c r="R49" s="4262"/>
      <c r="S49" s="4030"/>
      <c r="T49" s="4030"/>
      <c r="U49" s="4030"/>
      <c r="V49" s="4030"/>
      <c r="W49" s="4030"/>
      <c r="X49" s="4030"/>
      <c r="Y49" s="4030"/>
      <c r="Z49" s="4067"/>
      <c r="AA49" s="4176"/>
      <c r="AB49" s="4176"/>
      <c r="AC49" s="4176"/>
      <c r="AD49" s="4176"/>
      <c r="AE49" s="4176"/>
      <c r="AF49" s="4176"/>
      <c r="AG49" s="4176"/>
      <c r="AH49" s="4280"/>
      <c r="AI49" s="4031"/>
      <c r="AJ49" s="4031"/>
      <c r="AK49" s="4031"/>
      <c r="AL49" s="4031"/>
      <c r="AM49" s="4031"/>
      <c r="AN49" s="4031"/>
      <c r="AO49" s="4031"/>
      <c r="AP49" s="4075"/>
      <c r="AQ49" s="4179"/>
      <c r="AR49" s="4179"/>
      <c r="AS49" s="4179"/>
      <c r="AT49" s="4179"/>
      <c r="AU49" s="4179"/>
      <c r="AV49" s="4179"/>
      <c r="AW49" s="4179"/>
      <c r="AX49" s="4305"/>
      <c r="AY49" s="4181"/>
      <c r="AZ49" s="4181"/>
      <c r="BA49" s="4181"/>
      <c r="BB49" s="4181"/>
      <c r="BC49" s="4181"/>
      <c r="BD49" s="4181"/>
      <c r="BE49" s="4181"/>
      <c r="BF49" s="4318"/>
    </row>
    <row r="50" spans="1:73">
      <c r="A50" s="23" t="s">
        <v>325</v>
      </c>
      <c r="I50" s="2733"/>
      <c r="Q50" s="4213"/>
      <c r="R50" s="4262"/>
      <c r="S50" s="4030"/>
      <c r="T50" s="4030"/>
      <c r="U50" s="4030"/>
      <c r="V50" s="4030"/>
      <c r="W50" s="4030"/>
      <c r="X50" s="4030"/>
      <c r="Y50" s="4030"/>
      <c r="Z50" s="4067"/>
      <c r="AA50" s="4176"/>
      <c r="AB50" s="4176"/>
      <c r="AC50" s="4176"/>
      <c r="AD50" s="4176"/>
      <c r="AE50" s="4176"/>
      <c r="AF50" s="4176"/>
      <c r="AG50" s="4176"/>
      <c r="AH50" s="4280"/>
      <c r="AI50" s="4031"/>
      <c r="AJ50" s="4031"/>
      <c r="AK50" s="4031"/>
      <c r="AL50" s="4031"/>
      <c r="AM50" s="4031"/>
      <c r="AN50" s="4031"/>
      <c r="AO50" s="4031"/>
      <c r="AP50" s="4075"/>
      <c r="AQ50" s="4179"/>
      <c r="AR50" s="4179"/>
      <c r="AS50" s="4179"/>
      <c r="AT50" s="4179"/>
      <c r="AU50" s="4179"/>
      <c r="AV50" s="4179"/>
      <c r="AW50" s="4179"/>
      <c r="AX50" s="4305"/>
      <c r="AY50" s="4181"/>
      <c r="AZ50" s="4181"/>
      <c r="BA50" s="4181"/>
      <c r="BB50" s="4181"/>
      <c r="BC50" s="4181"/>
      <c r="BD50" s="4181"/>
      <c r="BE50" s="4181"/>
      <c r="BF50" s="4318"/>
    </row>
    <row r="51" spans="1:73">
      <c r="A51" s="92" t="s">
        <v>214</v>
      </c>
      <c r="C51" s="1423" t="e">
        <f>IF(C127&gt;C128,C128,C127)</f>
        <v>#DIV/0!</v>
      </c>
      <c r="D51" s="1420"/>
      <c r="E51" s="1423">
        <v>0</v>
      </c>
      <c r="F51" s="1420"/>
      <c r="G51" s="1423" t="e">
        <f>IF(G127&gt;G128,G128,G127)</f>
        <v>#DIV/0!</v>
      </c>
      <c r="H51" s="1420"/>
      <c r="I51" s="2744">
        <v>0</v>
      </c>
      <c r="K51" s="4131" t="e">
        <f>IF(K127&gt;K128,K128,K127)</f>
        <v>#DIV/0!</v>
      </c>
      <c r="L51" s="4132"/>
      <c r="M51" s="4131">
        <v>0</v>
      </c>
      <c r="N51" s="4132"/>
      <c r="O51" s="4131" t="e">
        <f>IF(O127&gt;O128,O128,O127)</f>
        <v>#DIV/0!</v>
      </c>
      <c r="P51" s="4132"/>
      <c r="Q51" s="4143">
        <v>0</v>
      </c>
      <c r="R51" s="4262"/>
      <c r="S51" s="4254" t="e">
        <f>IF(S127&gt;S128,S128,S127)</f>
        <v>#DIV/0!</v>
      </c>
      <c r="T51" s="4030"/>
      <c r="U51" s="4174">
        <v>0</v>
      </c>
      <c r="V51" s="4030"/>
      <c r="W51" s="4174" t="e">
        <f>IF(W127&gt;W128,W128,W127)</f>
        <v>#DIV/0!</v>
      </c>
      <c r="X51" s="4030"/>
      <c r="Y51" s="4174">
        <v>0</v>
      </c>
      <c r="Z51" s="4067"/>
      <c r="AA51" s="4264" t="e">
        <f>IF(AA127&gt;AA128,AA128,AA127)</f>
        <v>#DIV/0!</v>
      </c>
      <c r="AB51" s="4176"/>
      <c r="AC51" s="4175">
        <v>0</v>
      </c>
      <c r="AD51" s="4176"/>
      <c r="AE51" s="4175" t="e">
        <f>IF(AE127&gt;AE128,AE128,AE127)</f>
        <v>#DIV/0!</v>
      </c>
      <c r="AF51" s="4176"/>
      <c r="AG51" s="4175">
        <v>0</v>
      </c>
      <c r="AH51" s="4280"/>
      <c r="AI51" s="4052" t="e">
        <f>IF(AI127&gt;AI128,AI128,AI127)</f>
        <v>#DIV/0!</v>
      </c>
      <c r="AJ51" s="4031"/>
      <c r="AK51" s="4177">
        <v>0</v>
      </c>
      <c r="AL51" s="4031"/>
      <c r="AM51" s="4177" t="e">
        <f>IF(AM127&gt;AM128,AM128,AM127)</f>
        <v>#DIV/0!</v>
      </c>
      <c r="AN51" s="4031"/>
      <c r="AO51" s="4177">
        <v>0</v>
      </c>
      <c r="AP51" s="4075"/>
      <c r="AQ51" s="4284" t="e">
        <f>IF(AQ127&gt;AQ128,AQ128,AQ127)</f>
        <v>#DIV/0!</v>
      </c>
      <c r="AR51" s="4179"/>
      <c r="AS51" s="4178">
        <v>0</v>
      </c>
      <c r="AT51" s="4179"/>
      <c r="AU51" s="4178" t="e">
        <f>IF(AU127&gt;AU128,AU128,AU127)</f>
        <v>#DIV/0!</v>
      </c>
      <c r="AV51" s="4179"/>
      <c r="AW51" s="4178">
        <v>0</v>
      </c>
      <c r="AX51" s="4305"/>
      <c r="AY51" s="4296" t="e">
        <f>IF(AY127&gt;AY128,AY128,AY127)</f>
        <v>#DIV/0!</v>
      </c>
      <c r="AZ51" s="4181"/>
      <c r="BA51" s="4180">
        <v>0</v>
      </c>
      <c r="BB51" s="4181"/>
      <c r="BC51" s="4180" t="e">
        <f>IF(BC127&gt;BC128,BC128,BC127)</f>
        <v>#DIV/0!</v>
      </c>
      <c r="BD51" s="4181"/>
      <c r="BE51" s="4180">
        <v>0</v>
      </c>
      <c r="BF51" s="4318"/>
      <c r="BG51" s="4315" t="e">
        <f>IF(BG127&gt;BG128,BG128,BG127)</f>
        <v>#DIV/0!</v>
      </c>
      <c r="BH51" s="2171"/>
      <c r="BI51" s="2174">
        <v>0</v>
      </c>
      <c r="BJ51" s="2171"/>
      <c r="BK51" s="2174" t="e">
        <f>IF(BK127&gt;BK128,BK128,BK127)</f>
        <v>#DIV/0!</v>
      </c>
      <c r="BL51" s="2171"/>
      <c r="BM51" s="2174">
        <v>0</v>
      </c>
      <c r="BO51" s="2149" t="e">
        <f>IF(BO127&gt;BO128,BO128,BO127)</f>
        <v>#DIV/0!</v>
      </c>
      <c r="BP51" s="2146"/>
      <c r="BQ51" s="2149">
        <v>0</v>
      </c>
      <c r="BR51" s="2146"/>
      <c r="BS51" s="2149" t="e">
        <f>IF(BS127&gt;BS128,BS128,BS127)</f>
        <v>#DIV/0!</v>
      </c>
      <c r="BT51" s="2146"/>
      <c r="BU51" s="2149">
        <v>0</v>
      </c>
    </row>
    <row r="52" spans="1:73">
      <c r="A52" s="92" t="s">
        <v>1638</v>
      </c>
      <c r="C52" s="1423" t="e">
        <f>'Data Entry - SOF'!C91*(C48/'Data Entry - SOF'!C59)</f>
        <v>#DIV/0!</v>
      </c>
      <c r="D52" s="1420"/>
      <c r="E52" s="1423">
        <f>IF('Data Entry - SOF'!C92&gt;E130,E130,'Data Entry - SOF'!C92)</f>
        <v>0</v>
      </c>
      <c r="F52" s="1420"/>
      <c r="G52" s="1423" t="e">
        <f>'Data Entry - SOF'!C91*(G48/'Data Entry - SOF'!C59)</f>
        <v>#DIV/0!</v>
      </c>
      <c r="H52" s="1420"/>
      <c r="I52" s="2744">
        <f>IF('Data Entry - SOF'!C92&gt;I130,I130,'Data Entry - SOF'!C92)</f>
        <v>0</v>
      </c>
      <c r="K52" s="4131" t="e">
        <f>'Data Entry - SOF'!E91*(K48/'Data Entry - SOF'!E59)</f>
        <v>#DIV/0!</v>
      </c>
      <c r="L52" s="4132"/>
      <c r="M52" s="4131">
        <f>IF('Data Entry - SOF'!E92&gt;M130,M130,'Data Entry - SOF'!E92)</f>
        <v>0</v>
      </c>
      <c r="N52" s="4132"/>
      <c r="O52" s="4131" t="e">
        <f>'Data Entry - SOF'!E91*(O48/'Data Entry - SOF'!E59)</f>
        <v>#DIV/0!</v>
      </c>
      <c r="P52" s="4132"/>
      <c r="Q52" s="4143">
        <f>IF('Data Entry - SOF'!E92&gt;Q130,Q130,'Data Entry - SOF'!E92)</f>
        <v>0</v>
      </c>
      <c r="R52" s="4262"/>
      <c r="S52" s="4254" t="e">
        <f>'Data Entry - SOF'!G91*(S48/'Data Entry - SOF'!G59)</f>
        <v>#DIV/0!</v>
      </c>
      <c r="T52" s="4030"/>
      <c r="U52" s="4174">
        <f>IF('Data Entry - SOF'!G92&gt;U130,U130,'Data Entry - SOF'!G92)</f>
        <v>0</v>
      </c>
      <c r="V52" s="4030"/>
      <c r="W52" s="4174" t="e">
        <f>'Data Entry - SOF'!G91*(W48/'Data Entry - SOF'!G59)</f>
        <v>#DIV/0!</v>
      </c>
      <c r="X52" s="4030"/>
      <c r="Y52" s="4174">
        <f>IF('Data Entry - SOF'!G92&gt;Y130,Y130,'Data Entry - SOF'!G92)</f>
        <v>0</v>
      </c>
      <c r="Z52" s="4067"/>
      <c r="AA52" s="4264" t="e">
        <f>'Data Entry - SOF'!I91*(AA48/'Data Entry - SOF'!I59)</f>
        <v>#DIV/0!</v>
      </c>
      <c r="AB52" s="4176"/>
      <c r="AC52" s="4175">
        <f>IF('Data Entry - SOF'!I92&gt;AC130,AC130,'Data Entry - SOF'!I92)</f>
        <v>0</v>
      </c>
      <c r="AD52" s="4176"/>
      <c r="AE52" s="4175" t="e">
        <f>'Data Entry - SOF'!I91*(AE48/'Data Entry - SOF'!I59)</f>
        <v>#DIV/0!</v>
      </c>
      <c r="AF52" s="4176"/>
      <c r="AG52" s="4175">
        <f>IF('Data Entry - SOF'!I92&gt;AG130,AG130,'Data Entry - SOF'!I92)</f>
        <v>0</v>
      </c>
      <c r="AH52" s="4280"/>
      <c r="AI52" s="4052" t="e">
        <f>'Data Entry - SOF'!K91*(AI48/'Data Entry - SOF'!K59)</f>
        <v>#DIV/0!</v>
      </c>
      <c r="AJ52" s="4031"/>
      <c r="AK52" s="4177">
        <f>IF('Data Entry - SOF'!K92&gt;AK130,AK130,'Data Entry - SOF'!K92)</f>
        <v>0</v>
      </c>
      <c r="AL52" s="4031"/>
      <c r="AM52" s="4177" t="e">
        <f>'Data Entry - SOF'!K91*(AM48/'Data Entry - SOF'!K59)</f>
        <v>#DIV/0!</v>
      </c>
      <c r="AN52" s="4031"/>
      <c r="AO52" s="4177">
        <f>IF('Data Entry - SOF'!K92&gt;AO130,AO130,'Data Entry - SOF'!K92)</f>
        <v>0</v>
      </c>
      <c r="AP52" s="4075"/>
      <c r="AQ52" s="4284" t="e">
        <f>'Data Entry - SOF'!M91*(AQ48/'Data Entry - SOF'!M59)</f>
        <v>#DIV/0!</v>
      </c>
      <c r="AR52" s="4179"/>
      <c r="AS52" s="4178">
        <f>IF('Data Entry - SOF'!M92&gt;AS130,AS130,'Data Entry - SOF'!M92)</f>
        <v>0</v>
      </c>
      <c r="AT52" s="4179"/>
      <c r="AU52" s="4178" t="e">
        <f>'Data Entry - SOF'!M91*(AU48/'Data Entry - SOF'!M59)</f>
        <v>#DIV/0!</v>
      </c>
      <c r="AV52" s="4179"/>
      <c r="AW52" s="4178">
        <f>IF('Data Entry - SOF'!M92&gt;AW130,AW130,'Data Entry - SOF'!M92)</f>
        <v>0</v>
      </c>
      <c r="AX52" s="4305"/>
      <c r="AY52" s="4296" t="e">
        <f>'Data Entry - SOF'!O91*(AY48/'Data Entry - SOF'!O59)</f>
        <v>#DIV/0!</v>
      </c>
      <c r="AZ52" s="4181"/>
      <c r="BA52" s="4180">
        <f>IF('Data Entry - SOF'!O92&gt;BA130,BA130,'Data Entry - SOF'!O92)</f>
        <v>0</v>
      </c>
      <c r="BB52" s="4181"/>
      <c r="BC52" s="4180" t="e">
        <f>'Data Entry - SOF'!O91*(BC48/'Data Entry - SOF'!O59)</f>
        <v>#DIV/0!</v>
      </c>
      <c r="BD52" s="4181"/>
      <c r="BE52" s="4180">
        <f>IF('Data Entry - SOF'!O92&gt;BE130,BE130,'Data Entry - SOF'!O92)</f>
        <v>0</v>
      </c>
      <c r="BF52" s="4318"/>
      <c r="BG52" s="4315" t="e">
        <f>'Data Entry - SOF'!C91*(BG48/'Data Entry - SOF'!C59)</f>
        <v>#DIV/0!</v>
      </c>
      <c r="BH52" s="2171"/>
      <c r="BI52" s="2174">
        <f>IF('Data Entry - SOF'!C92&gt;BI130,BI130,'Data Entry - SOF'!C92)</f>
        <v>0</v>
      </c>
      <c r="BJ52" s="2171"/>
      <c r="BK52" s="2174" t="e">
        <f>'Data Entry - SOF'!C91*(BK48/'Data Entry - SOF'!C59)</f>
        <v>#DIV/0!</v>
      </c>
      <c r="BL52" s="2171"/>
      <c r="BM52" s="2174">
        <f>IF('Data Entry - SOF'!C92&gt;BM130,BM130,'Data Entry - SOF'!C92)</f>
        <v>0</v>
      </c>
      <c r="BO52" s="2149" t="e">
        <f>'Data Entry - SOF'!C91*(BO48/'Data Entry - SOF'!C59)</f>
        <v>#DIV/0!</v>
      </c>
      <c r="BP52" s="2146"/>
      <c r="BQ52" s="2149">
        <f>IF('Data Entry - SOF'!C92&gt;BQ130,BQ130,'Data Entry - SOF'!C92)</f>
        <v>0</v>
      </c>
      <c r="BR52" s="2146"/>
      <c r="BS52" s="2149" t="e">
        <f>'Data Entry - SOF'!C91*(BS48/'Data Entry - SOF'!C59)</f>
        <v>#DIV/0!</v>
      </c>
      <c r="BT52" s="2146"/>
      <c r="BU52" s="2149">
        <f>IF('Data Entry - SOF'!C92&gt;BU130,BU130,'Data Entry - SOF'!C92)</f>
        <v>0</v>
      </c>
    </row>
    <row r="53" spans="1:73">
      <c r="A53" s="92"/>
      <c r="C53" s="1405"/>
      <c r="D53" s="1405"/>
      <c r="E53" s="1405"/>
      <c r="F53" s="1405"/>
      <c r="G53" s="1405"/>
      <c r="H53" s="1405"/>
      <c r="I53" s="2745"/>
      <c r="Q53" s="4213"/>
      <c r="R53" s="4262"/>
      <c r="S53" s="4030"/>
      <c r="T53" s="4030"/>
      <c r="U53" s="4030"/>
      <c r="V53" s="4030"/>
      <c r="W53" s="4030"/>
      <c r="X53" s="4030"/>
      <c r="Y53" s="4030"/>
      <c r="Z53" s="4067"/>
      <c r="AA53" s="4176"/>
      <c r="AB53" s="4176"/>
      <c r="AC53" s="4176"/>
      <c r="AD53" s="4176"/>
      <c r="AE53" s="4176"/>
      <c r="AF53" s="4176"/>
      <c r="AG53" s="4176"/>
      <c r="AH53" s="4280"/>
      <c r="AI53" s="4031"/>
      <c r="AJ53" s="4031"/>
      <c r="AK53" s="4031"/>
      <c r="AL53" s="4031"/>
      <c r="AM53" s="4031"/>
      <c r="AN53" s="4031"/>
      <c r="AO53" s="4031"/>
      <c r="AP53" s="4075"/>
      <c r="AQ53" s="4179"/>
      <c r="AR53" s="4179"/>
      <c r="AS53" s="4179"/>
      <c r="AT53" s="4179"/>
      <c r="AU53" s="4179"/>
      <c r="AV53" s="4179"/>
      <c r="AW53" s="4179"/>
      <c r="AX53" s="4305"/>
      <c r="AY53" s="4181"/>
      <c r="AZ53" s="4181"/>
      <c r="BA53" s="4181"/>
      <c r="BB53" s="4181"/>
      <c r="BC53" s="4181"/>
      <c r="BD53" s="4181"/>
      <c r="BE53" s="4181"/>
      <c r="BF53" s="4318"/>
      <c r="BG53" s="2175"/>
      <c r="BH53" s="2175"/>
      <c r="BI53" s="2175"/>
      <c r="BJ53" s="2175"/>
      <c r="BK53" s="2175"/>
      <c r="BL53" s="2175"/>
      <c r="BM53" s="2175"/>
      <c r="BO53" s="2150"/>
      <c r="BP53" s="2150"/>
      <c r="BQ53" s="2150"/>
      <c r="BR53" s="2150"/>
      <c r="BS53" s="2150"/>
      <c r="BT53" s="2150"/>
      <c r="BU53" s="2150"/>
    </row>
    <row r="54" spans="1:73" ht="13.5" thickBot="1">
      <c r="A54" s="23" t="s">
        <v>326</v>
      </c>
      <c r="C54" s="1424" t="e">
        <f>IF(C48-C51-C52&lt;0,0,C48-C51-C52)</f>
        <v>#DIV/0!</v>
      </c>
      <c r="D54" s="1420"/>
      <c r="E54" s="1424" t="e">
        <f>IF(E48-E51-E52&lt;0,0,E48-E51-E52)</f>
        <v>#DIV/0!</v>
      </c>
      <c r="F54" s="1420"/>
      <c r="G54" s="1424" t="e">
        <f>IF(G48-G51-G52&lt;0,0,G48-G51-G52)</f>
        <v>#DIV/0!</v>
      </c>
      <c r="H54" s="1420"/>
      <c r="I54" s="2746" t="e">
        <f>IF(I48-I51-I52&lt;0,0,I48-I51-I52)</f>
        <v>#DIV/0!</v>
      </c>
      <c r="K54" s="4220" t="e">
        <f>IF(K48-K51-K52&lt;0,0,K48-K51-K52)</f>
        <v>#DIV/0!</v>
      </c>
      <c r="L54" s="4132"/>
      <c r="M54" s="4220" t="e">
        <f>IF(M48-M51-M52&lt;0,0,M48-M51-M52)</f>
        <v>#DIV/0!</v>
      </c>
      <c r="N54" s="4132"/>
      <c r="O54" s="4220" t="e">
        <f>IF(O48-O51-O52&lt;0,0,O48-O51-O52)</f>
        <v>#DIV/0!</v>
      </c>
      <c r="P54" s="4132"/>
      <c r="Q54" s="4214" t="e">
        <f>IF(Q48-Q51-Q52&lt;0,0,Q48-Q51-Q52)</f>
        <v>#DIV/0!</v>
      </c>
      <c r="R54" s="4262"/>
      <c r="S54" s="4215" t="e">
        <f>IF(S48-S51-S52&lt;0,0,S48-S51-S52)</f>
        <v>#DIV/0!</v>
      </c>
      <c r="T54" s="4030"/>
      <c r="U54" s="4215" t="e">
        <f>IF(U48-U51-U52&lt;0,0,U48-U51-U52)</f>
        <v>#DIV/0!</v>
      </c>
      <c r="V54" s="4030"/>
      <c r="W54" s="4215" t="e">
        <f>IF(W48-W51-W52&lt;0,0,W48-W51-W52)</f>
        <v>#DIV/0!</v>
      </c>
      <c r="X54" s="4030"/>
      <c r="Y54" s="4215" t="e">
        <f>IF(Y48-Y51-Y52&lt;0,0,Y48-Y51-Y52)</f>
        <v>#DIV/0!</v>
      </c>
      <c r="Z54" s="4067"/>
      <c r="AA54" s="4216" t="e">
        <f>IF(AA48-AA51-AA52&lt;0,0,AA48-AA51-AA52)</f>
        <v>#DIV/0!</v>
      </c>
      <c r="AB54" s="4176"/>
      <c r="AC54" s="4216" t="e">
        <f>IF(AC48-AC51-AC52&lt;0,0,AC48-AC51-AC52)</f>
        <v>#DIV/0!</v>
      </c>
      <c r="AD54" s="4176"/>
      <c r="AE54" s="4216" t="e">
        <f>IF(AE48-AE51-AE52&lt;0,0,AE48-AE51-AE52)</f>
        <v>#DIV/0!</v>
      </c>
      <c r="AF54" s="4176"/>
      <c r="AG54" s="4216" t="e">
        <f>IF(AG48-AG51-AG52&lt;0,0,AG48-AG51-AG52)</f>
        <v>#DIV/0!</v>
      </c>
      <c r="AH54" s="4280"/>
      <c r="AI54" s="4217" t="e">
        <f>IF(AI48-AI51-AI52&lt;0,0,AI48-AI51-AI52)</f>
        <v>#DIV/0!</v>
      </c>
      <c r="AJ54" s="4031"/>
      <c r="AK54" s="4217" t="e">
        <f>IF(AK48-AK51-AK52&lt;0,0,AK48-AK51-AK52)</f>
        <v>#DIV/0!</v>
      </c>
      <c r="AL54" s="4031"/>
      <c r="AM54" s="4217" t="e">
        <f>IF(AM48-AM51-AM52&lt;0,0,AM48-AM51-AM52)</f>
        <v>#DIV/0!</v>
      </c>
      <c r="AN54" s="4031"/>
      <c r="AO54" s="4217" t="e">
        <f>IF(AO48-AO51-AO52&lt;0,0,AO48-AO51-AO52)</f>
        <v>#DIV/0!</v>
      </c>
      <c r="AP54" s="4075"/>
      <c r="AQ54" s="4218" t="e">
        <f>IF(AQ48-AQ51-AQ52&lt;0,0,AQ48-AQ51-AQ52)</f>
        <v>#DIV/0!</v>
      </c>
      <c r="AR54" s="4179"/>
      <c r="AS54" s="4218" t="e">
        <f>IF(AS48-AS51-AS52&lt;0,0,AS48-AS51-AS52)</f>
        <v>#DIV/0!</v>
      </c>
      <c r="AT54" s="4179"/>
      <c r="AU54" s="4218" t="e">
        <f>IF(AU48-AU51-AU52&lt;0,0,AU48-AU51-AU52)</f>
        <v>#DIV/0!</v>
      </c>
      <c r="AV54" s="4179"/>
      <c r="AW54" s="4218" t="e">
        <f>IF(AW48-AW51-AW52&lt;0,0,AW48-AW51-AW52)</f>
        <v>#DIV/0!</v>
      </c>
      <c r="AX54" s="4305"/>
      <c r="AY54" s="4219" t="e">
        <f>IF(AY48-AY51-AY52&lt;0,0,AY48-AY51-AY52)</f>
        <v>#DIV/0!</v>
      </c>
      <c r="AZ54" s="4181"/>
      <c r="BA54" s="4219" t="e">
        <f>IF(BA48-BA51-BA52&lt;0,0,BA48-BA51-BA52)</f>
        <v>#DIV/0!</v>
      </c>
      <c r="BB54" s="4181"/>
      <c r="BC54" s="4219" t="e">
        <f>IF(BC48-BC51-BC52&lt;0,0,BC48-BC51-BC52)</f>
        <v>#DIV/0!</v>
      </c>
      <c r="BD54" s="4181"/>
      <c r="BE54" s="4219" t="e">
        <f>IF(BE48-BE51-BE52&lt;0,0,BE48-BE51-BE52)</f>
        <v>#DIV/0!</v>
      </c>
      <c r="BF54" s="4318"/>
      <c r="BG54" s="4316" t="e">
        <f>IF(BG48-BG51-BG52&lt;0,0,BG48-BG51-BG52)</f>
        <v>#DIV/0!</v>
      </c>
      <c r="BH54" s="2171"/>
      <c r="BI54" s="2176" t="e">
        <f>IF(BI48-BI51-BI52&lt;0,0,BI48-BI51-BI52)</f>
        <v>#DIV/0!</v>
      </c>
      <c r="BJ54" s="2171"/>
      <c r="BK54" s="2176" t="e">
        <f>IF(BK48-BK51-BK52&lt;0,0,BK48-BK51-BK52)</f>
        <v>#DIV/0!</v>
      </c>
      <c r="BL54" s="2171"/>
      <c r="BM54" s="2176" t="e">
        <f>IF(BM48-BM51-BM52&lt;0,0,BM48-BM51-BM52)</f>
        <v>#DIV/0!</v>
      </c>
      <c r="BO54" s="2151" t="e">
        <f>IF(BO48-BO51-BO52&lt;0,0,BO48-BO51-BO52)</f>
        <v>#DIV/0!</v>
      </c>
      <c r="BP54" s="2146"/>
      <c r="BQ54" s="2151" t="e">
        <f>IF(BQ48-BQ51-BQ52&lt;0,0,BQ48-BQ51-BQ52)</f>
        <v>#DIV/0!</v>
      </c>
      <c r="BR54" s="2146"/>
      <c r="BS54" s="2151" t="e">
        <f>IF(BS48-BS51-BS52&lt;0,0,BS48-BS51-BS52)</f>
        <v>#DIV/0!</v>
      </c>
      <c r="BT54" s="2146"/>
      <c r="BU54" s="2151" t="e">
        <f>IF(BU48-BU51-BU52&lt;0,0,BU48-BU51-BU52)</f>
        <v>#DIV/0!</v>
      </c>
    </row>
    <row r="55" spans="1:73" ht="13.5" thickTop="1">
      <c r="A55" s="23" t="s">
        <v>589</v>
      </c>
      <c r="C55" s="1420" t="e">
        <f>IF(C47=0,0,C54/C47)</f>
        <v>#DIV/0!</v>
      </c>
      <c r="D55" s="1420"/>
      <c r="E55" s="1420" t="e">
        <f>IF(E47=0,0,E54/E47)</f>
        <v>#DIV/0!</v>
      </c>
      <c r="F55" s="1420"/>
      <c r="G55" s="1420" t="e">
        <f>IF(G47=0,0,G54/G47)</f>
        <v>#DIV/0!</v>
      </c>
      <c r="H55" s="1420"/>
      <c r="I55" s="2745" t="e">
        <f>IF(I47=0,0,I54/I47)</f>
        <v>#DIV/0!</v>
      </c>
      <c r="K55" s="4132" t="e">
        <f>IF(K47=0,0,K54/K47)</f>
        <v>#DIV/0!</v>
      </c>
      <c r="L55" s="4132"/>
      <c r="M55" s="4132" t="e">
        <f>IF(M47=0,0,M54/M47)</f>
        <v>#DIV/0!</v>
      </c>
      <c r="N55" s="4132"/>
      <c r="O55" s="4132" t="e">
        <f>IF(O47=0,0,O54/O47)</f>
        <v>#DIV/0!</v>
      </c>
      <c r="P55" s="4132"/>
      <c r="Q55" s="4213" t="e">
        <f>IF(Q47=0,0,Q54/Q47)</f>
        <v>#DIV/0!</v>
      </c>
      <c r="R55" s="4262"/>
      <c r="S55" s="4030" t="e">
        <f>IF(S47=0,0,S54/S47)</f>
        <v>#DIV/0!</v>
      </c>
      <c r="T55" s="4030"/>
      <c r="U55" s="4030" t="e">
        <f>IF(U47=0,0,U54/U47)</f>
        <v>#DIV/0!</v>
      </c>
      <c r="V55" s="4030"/>
      <c r="W55" s="4030" t="e">
        <f>IF(W47=0,0,W54/W47)</f>
        <v>#DIV/0!</v>
      </c>
      <c r="X55" s="4030"/>
      <c r="Y55" s="4030" t="e">
        <f>IF(Y47=0,0,Y54/Y47)</f>
        <v>#DIV/0!</v>
      </c>
      <c r="Z55" s="4067"/>
      <c r="AA55" s="4176" t="e">
        <f>IF(AA47=0,0,AA54/AA47)</f>
        <v>#DIV/0!</v>
      </c>
      <c r="AB55" s="4176"/>
      <c r="AC55" s="4176" t="e">
        <f>IF(AC47=0,0,AC54/AC47)</f>
        <v>#DIV/0!</v>
      </c>
      <c r="AD55" s="4176"/>
      <c r="AE55" s="4176" t="e">
        <f>IF(AE47=0,0,AE54/AE47)</f>
        <v>#DIV/0!</v>
      </c>
      <c r="AF55" s="4176"/>
      <c r="AG55" s="4176" t="e">
        <f>IF(AG47=0,0,AG54/AG47)</f>
        <v>#DIV/0!</v>
      </c>
      <c r="AH55" s="4280"/>
      <c r="AI55" s="4031" t="e">
        <f>IF(AI47=0,0,AI54/AI47)</f>
        <v>#DIV/0!</v>
      </c>
      <c r="AJ55" s="4031"/>
      <c r="AK55" s="4031" t="e">
        <f>IF(AK47=0,0,AK54/AK47)</f>
        <v>#DIV/0!</v>
      </c>
      <c r="AL55" s="4031"/>
      <c r="AM55" s="4031" t="e">
        <f>IF(AM47=0,0,AM54/AM47)</f>
        <v>#DIV/0!</v>
      </c>
      <c r="AN55" s="4031"/>
      <c r="AO55" s="4031" t="e">
        <f>IF(AO47=0,0,AO54/AO47)</f>
        <v>#DIV/0!</v>
      </c>
      <c r="AP55" s="4075"/>
      <c r="AQ55" s="4179" t="e">
        <f>IF(AQ47=0,0,AQ54/AQ47)</f>
        <v>#DIV/0!</v>
      </c>
      <c r="AR55" s="4179"/>
      <c r="AS55" s="4179" t="e">
        <f>IF(AS47=0,0,AS54/AS47)</f>
        <v>#DIV/0!</v>
      </c>
      <c r="AT55" s="4179"/>
      <c r="AU55" s="4179" t="e">
        <f>IF(AU47=0,0,AU54/AU47)</f>
        <v>#DIV/0!</v>
      </c>
      <c r="AV55" s="4179"/>
      <c r="AW55" s="4179" t="e">
        <f>IF(AW47=0,0,AW54/AW47)</f>
        <v>#DIV/0!</v>
      </c>
      <c r="AX55" s="4305"/>
      <c r="AY55" s="4181" t="e">
        <f>IF(AY47=0,0,AY54/AY47)</f>
        <v>#DIV/0!</v>
      </c>
      <c r="AZ55" s="4181"/>
      <c r="BA55" s="4181" t="e">
        <f>IF(BA47=0,0,BA54/BA47)</f>
        <v>#DIV/0!</v>
      </c>
      <c r="BB55" s="4181"/>
      <c r="BC55" s="4181" t="e">
        <f>IF(BC47=0,0,BC54/BC47)</f>
        <v>#DIV/0!</v>
      </c>
      <c r="BD55" s="4181"/>
      <c r="BE55" s="4181" t="e">
        <f>IF(BE47=0,0,BE54/BE47)</f>
        <v>#DIV/0!</v>
      </c>
      <c r="BF55" s="4318"/>
      <c r="BG55" s="2171" t="e">
        <f>IF(BG47=0,0,BG54/BG47)</f>
        <v>#DIV/0!</v>
      </c>
      <c r="BH55" s="2171"/>
      <c r="BI55" s="2171" t="e">
        <f>IF(BI47=0,0,BI54/BI47)</f>
        <v>#DIV/0!</v>
      </c>
      <c r="BJ55" s="2171"/>
      <c r="BK55" s="2171" t="e">
        <f>IF(BK47=0,0,BK54/BK47)</f>
        <v>#DIV/0!</v>
      </c>
      <c r="BL55" s="2171"/>
      <c r="BM55" s="2171" t="e">
        <f>IF(BM47=0,0,BM54/BM47)</f>
        <v>#DIV/0!</v>
      </c>
      <c r="BO55" s="2146" t="e">
        <f>IF(BO47=0,0,BO54/BO47)</f>
        <v>#DIV/0!</v>
      </c>
      <c r="BP55" s="2146"/>
      <c r="BQ55" s="2146" t="e">
        <f>IF(BQ47=0,0,BQ54/BQ47)</f>
        <v>#DIV/0!</v>
      </c>
      <c r="BR55" s="2146"/>
      <c r="BS55" s="2146" t="e">
        <f>IF(BS47=0,0,BS54/BS47)</f>
        <v>#DIV/0!</v>
      </c>
      <c r="BT55" s="2146"/>
      <c r="BU55" s="2146" t="e">
        <f>IF(BU47=0,0,BU54/BU47)</f>
        <v>#DIV/0!</v>
      </c>
    </row>
    <row r="56" spans="1:73">
      <c r="I56" s="2733"/>
      <c r="R56" s="4260"/>
      <c r="Z56" s="4242"/>
      <c r="AH56" s="4277"/>
      <c r="AP56" s="4290"/>
      <c r="AX56" s="4302"/>
      <c r="BF56" s="4318"/>
    </row>
    <row r="57" spans="1:73">
      <c r="A57" s="89" t="s">
        <v>1302</v>
      </c>
      <c r="C57" s="1425" t="str">
        <f>'Report-Recapture1617'!G65</f>
        <v>Y</v>
      </c>
      <c r="E57" s="1405" t="e">
        <f>C54+G54</f>
        <v>#DIV/0!</v>
      </c>
      <c r="G57" s="1426" t="str">
        <f>'Report-Recapture1617'!G141</f>
        <v>Y</v>
      </c>
      <c r="I57" s="2745" t="e">
        <f>E54+I54</f>
        <v>#DIV/0!</v>
      </c>
      <c r="K57" s="4159" t="str">
        <f>'Report-Recapture1718'!G65</f>
        <v>Y</v>
      </c>
      <c r="O57" s="4159" t="str">
        <f>'Report-Recapture1718'!G141</f>
        <v>Y</v>
      </c>
      <c r="R57" s="4260"/>
      <c r="S57" s="4259" t="str">
        <f>'Report-Recapture1819'!G65</f>
        <v>Y</v>
      </c>
      <c r="W57" s="4124" t="str">
        <f>'Report-Recapture1819'!G141</f>
        <v>Y</v>
      </c>
      <c r="Z57" s="4242"/>
      <c r="AA57" s="4269" t="str">
        <f>'Report-Recapture1920'!G65</f>
        <v>Y</v>
      </c>
      <c r="AE57" s="4168" t="str">
        <f>'Report-Recapture1920'!G141</f>
        <v>Y</v>
      </c>
      <c r="AH57" s="4277"/>
      <c r="AI57" s="4276" t="str">
        <f>'Report-Recapture2021'!G65</f>
        <v>Y</v>
      </c>
      <c r="AM57" s="4169" t="str">
        <f>'Report-Recapture2021'!G141</f>
        <v>Y</v>
      </c>
      <c r="AP57" s="4290"/>
      <c r="AQ57" s="4289" t="str">
        <f>'Report-Recapture2122'!G65</f>
        <v>Y</v>
      </c>
      <c r="AU57" s="4172" t="str">
        <f>'Report-Recapture2122'!G141</f>
        <v>Y</v>
      </c>
      <c r="AX57" s="4302"/>
      <c r="AY57" s="4301" t="str">
        <f>'Report-Recapture2223'!G65</f>
        <v>Y</v>
      </c>
      <c r="BB57" s="4147"/>
      <c r="BC57" s="4173" t="str">
        <f>'Report-Recapture2223'!G141</f>
        <v>Y</v>
      </c>
      <c r="BF57" s="4318"/>
      <c r="BG57" s="4317" t="str">
        <f>'Report-Recapture1617'!G65</f>
        <v>Y</v>
      </c>
      <c r="BK57" s="2178" t="str">
        <f>'Report-Recapture1617'!G141</f>
        <v>Y</v>
      </c>
      <c r="BO57" s="2152" t="str">
        <f>'Report-Recapture1617'!G65</f>
        <v>Y</v>
      </c>
      <c r="BS57" s="2153" t="e">
        <f>#REF!</f>
        <v>#REF!</v>
      </c>
    </row>
    <row r="58" spans="1:73">
      <c r="A58" s="47" t="s">
        <v>1303</v>
      </c>
      <c r="I58" s="2733"/>
      <c r="R58" s="4260"/>
      <c r="Z58" s="4242"/>
      <c r="AH58" s="4277"/>
      <c r="AP58" s="4290"/>
      <c r="AX58" s="4302"/>
      <c r="BF58" s="4318"/>
    </row>
    <row r="59" spans="1:73">
      <c r="A59" s="109"/>
      <c r="C59" s="1427" t="s">
        <v>1242</v>
      </c>
      <c r="I59" s="2733"/>
      <c r="K59" s="4125" t="s">
        <v>1242</v>
      </c>
      <c r="R59" s="4260"/>
      <c r="S59" s="4113" t="s">
        <v>1242</v>
      </c>
      <c r="Z59" s="4242"/>
      <c r="AA59" s="4148" t="s">
        <v>1242</v>
      </c>
      <c r="AH59" s="4277"/>
      <c r="AI59" s="4149" t="s">
        <v>1242</v>
      </c>
      <c r="AP59" s="4290"/>
      <c r="AQ59" s="4150" t="s">
        <v>1242</v>
      </c>
      <c r="AX59" s="4302"/>
      <c r="AY59" s="4151" t="s">
        <v>1242</v>
      </c>
      <c r="BF59" s="4318"/>
      <c r="BG59" s="2179" t="s">
        <v>1242</v>
      </c>
      <c r="BO59" s="2154" t="s">
        <v>1242</v>
      </c>
    </row>
    <row r="60" spans="1:73">
      <c r="A60" s="109"/>
      <c r="C60" s="1427" t="s">
        <v>1243</v>
      </c>
      <c r="I60" s="2733"/>
      <c r="K60" s="4125" t="s">
        <v>1243</v>
      </c>
      <c r="R60" s="4260"/>
      <c r="S60" s="4113" t="s">
        <v>1243</v>
      </c>
      <c r="Z60" s="4242"/>
      <c r="AA60" s="4148" t="s">
        <v>1243</v>
      </c>
      <c r="AH60" s="4277"/>
      <c r="AI60" s="4149" t="s">
        <v>1243</v>
      </c>
      <c r="AP60" s="4290"/>
      <c r="AQ60" s="4150" t="s">
        <v>1243</v>
      </c>
      <c r="AX60" s="4302"/>
      <c r="AY60" s="4151" t="s">
        <v>1243</v>
      </c>
      <c r="BF60" s="4318"/>
      <c r="BG60" s="2179" t="s">
        <v>1243</v>
      </c>
      <c r="BO60" s="2154" t="s">
        <v>1243</v>
      </c>
    </row>
    <row r="61" spans="1:73">
      <c r="A61" s="109"/>
      <c r="I61" s="2733"/>
      <c r="R61" s="4260"/>
      <c r="Z61" s="4242"/>
      <c r="AH61" s="4277"/>
      <c r="AP61" s="4290"/>
      <c r="AX61" s="4302"/>
      <c r="BF61" s="4318"/>
    </row>
    <row r="62" spans="1:73">
      <c r="A62" s="97"/>
      <c r="I62" s="2733"/>
      <c r="K62" s="4082" t="s">
        <v>7902</v>
      </c>
      <c r="R62" s="4260"/>
      <c r="Z62" s="4242"/>
      <c r="AH62" s="4277"/>
      <c r="AP62" s="4290"/>
      <c r="AX62" s="4302"/>
      <c r="BF62" s="4318"/>
    </row>
    <row r="63" spans="1:73">
      <c r="A63" s="97"/>
      <c r="C63" s="1403" t="s">
        <v>4473</v>
      </c>
      <c r="I63" s="2733"/>
      <c r="K63" s="4125" t="s">
        <v>4473</v>
      </c>
      <c r="R63" s="4260"/>
      <c r="S63" s="4113" t="s">
        <v>4473</v>
      </c>
      <c r="Z63" s="4242"/>
      <c r="AA63" s="4148" t="s">
        <v>4473</v>
      </c>
      <c r="AH63" s="4277"/>
      <c r="AI63" s="4149" t="s">
        <v>4473</v>
      </c>
      <c r="AP63" s="4290"/>
      <c r="AQ63" s="4150" t="s">
        <v>4473</v>
      </c>
      <c r="AX63" s="4302"/>
      <c r="AY63" s="4151" t="s">
        <v>4473</v>
      </c>
      <c r="BF63" s="4318"/>
    </row>
    <row r="64" spans="1:73">
      <c r="A64" s="97"/>
      <c r="C64" s="1411" t="e">
        <f>IF(C30&gt;C24,C30,C24)</f>
        <v>#DIV/0!</v>
      </c>
      <c r="E64" s="1411" t="e">
        <f>E24</f>
        <v>#DIV/0!</v>
      </c>
      <c r="G64" s="1411" t="e">
        <f>IF(G30&gt;G24,G30,G24)</f>
        <v>#DIV/0!</v>
      </c>
      <c r="I64" s="2737" t="e">
        <f>I24</f>
        <v>#DIV/0!</v>
      </c>
      <c r="K64" s="4131" t="e">
        <f>IF(K30&gt;K24,K30,K24)</f>
        <v>#DIV/0!</v>
      </c>
      <c r="L64" s="4132"/>
      <c r="M64" s="4131" t="e">
        <f>M24</f>
        <v>#DIV/0!</v>
      </c>
      <c r="N64" s="4132"/>
      <c r="O64" s="4131" t="e">
        <f>IF(O30&gt;O24,O30,O24)</f>
        <v>#DIV/0!</v>
      </c>
      <c r="P64" s="4132"/>
      <c r="Q64" s="4140" t="e">
        <f>Q24</f>
        <v>#DIV/0!</v>
      </c>
      <c r="R64" s="4263"/>
      <c r="S64" s="4256" t="e">
        <f>IF(S30&gt;S24,S30,S24)</f>
        <v>#DIV/0!</v>
      </c>
      <c r="T64" s="4115"/>
      <c r="U64" s="4114" t="e">
        <f>U24</f>
        <v>#DIV/0!</v>
      </c>
      <c r="V64" s="4115"/>
      <c r="W64" s="4114" t="e">
        <f>IF(W30&gt;W24,W30,W24)</f>
        <v>#DIV/0!</v>
      </c>
      <c r="X64" s="4115"/>
      <c r="Y64" s="4114" t="e">
        <f>Y24</f>
        <v>#DIV/0!</v>
      </c>
      <c r="Z64" s="4246"/>
      <c r="AA64" s="4266" t="e">
        <f>IF(AA30&gt;AA24,AA30,AA24)</f>
        <v>#DIV/0!</v>
      </c>
      <c r="AB64" s="4191"/>
      <c r="AC64" s="4190" t="e">
        <f>AC24</f>
        <v>#DIV/0!</v>
      </c>
      <c r="AD64" s="4191"/>
      <c r="AE64" s="4190" t="e">
        <f>IF(AE30&gt;AE24,AE30,AE24)</f>
        <v>#DIV/0!</v>
      </c>
      <c r="AF64" s="4191"/>
      <c r="AG64" s="4190" t="e">
        <f>AG24</f>
        <v>#DIV/0!</v>
      </c>
      <c r="AH64" s="4282"/>
      <c r="AI64" s="4046" t="e">
        <f>IF(AI30&gt;AI24,AI30,AI24)</f>
        <v>#DIV/0!</v>
      </c>
      <c r="AJ64" s="4193"/>
      <c r="AK64" s="4192" t="e">
        <f>AK24</f>
        <v>#DIV/0!</v>
      </c>
      <c r="AL64" s="4193"/>
      <c r="AM64" s="4192" t="e">
        <f>IF(AM30&gt;AM24,AM30,AM24)</f>
        <v>#DIV/0!</v>
      </c>
      <c r="AN64" s="4193"/>
      <c r="AO64" s="4192" t="e">
        <f>AO24</f>
        <v>#DIV/0!</v>
      </c>
      <c r="AP64" s="4294"/>
      <c r="AQ64" s="4286" t="e">
        <f>IF(AQ30&gt;AQ24,AQ30,AQ24)</f>
        <v>#DIV/0!</v>
      </c>
      <c r="AR64" s="4195"/>
      <c r="AS64" s="4194" t="e">
        <f>AS24</f>
        <v>#DIV/0!</v>
      </c>
      <c r="AT64" s="4195"/>
      <c r="AU64" s="4194" t="e">
        <f>IF(AU30&gt;AU24,AU30,AU24)</f>
        <v>#DIV/0!</v>
      </c>
      <c r="AV64" s="4195"/>
      <c r="AW64" s="4194" t="e">
        <f>AW24</f>
        <v>#DIV/0!</v>
      </c>
      <c r="AX64" s="4307"/>
      <c r="AY64" s="4298" t="e">
        <f>IF(AY30&gt;AY24,AY30,AY24)</f>
        <v>#DIV/0!</v>
      </c>
      <c r="AZ64" s="4197"/>
      <c r="BA64" s="4196" t="e">
        <f>BA24</f>
        <v>#DIV/0!</v>
      </c>
      <c r="BB64" s="4197"/>
      <c r="BC64" s="4196" t="e">
        <f>IF(BC30&gt;BC24,BC30,BC24)</f>
        <v>#DIV/0!</v>
      </c>
      <c r="BD64" s="4197"/>
      <c r="BE64" s="4196" t="e">
        <f>BE24</f>
        <v>#DIV/0!</v>
      </c>
      <c r="BF64" s="4318"/>
    </row>
    <row r="65" spans="1:73">
      <c r="A65" s="97"/>
      <c r="C65" s="1411" t="e">
        <f>IF('Data Entry - SOF'!C52-C64&lt;0,0,'Data Entry - SOF'!C52-C64)</f>
        <v>#DIV/0!</v>
      </c>
      <c r="E65" s="1411" t="e">
        <f>IF('Data Entry - SOF'!C52-E64&lt;0,0,'Data Entry - SOF'!C52-E64)</f>
        <v>#DIV/0!</v>
      </c>
      <c r="G65" s="1411" t="e">
        <f>IF('Data Entry - SOF'!C52-G64&lt;0,0,'Data Entry - SOF'!C52-G64)</f>
        <v>#DIV/0!</v>
      </c>
      <c r="I65" s="2737" t="e">
        <f>IF('Data Entry - SOF'!C52-I64&lt;0,0,'Data Entry - SOF'!C52-I64)</f>
        <v>#DIV/0!</v>
      </c>
      <c r="K65" s="4131" t="e">
        <f>IF('Data Entry - SOF'!E52-K64&lt;0,0,'Data Entry - SOF'!E52-K64)</f>
        <v>#DIV/0!</v>
      </c>
      <c r="L65" s="4132"/>
      <c r="M65" s="4131" t="e">
        <f>IF('Data Entry - SOF'!E52-M64&lt;0,0,'Data Entry - SOF'!E52-M64)</f>
        <v>#DIV/0!</v>
      </c>
      <c r="N65" s="4132"/>
      <c r="O65" s="4131" t="e">
        <f>IF('Data Entry - SOF'!E52-O64&lt;0,0,'Data Entry - SOF'!E52-O64)</f>
        <v>#DIV/0!</v>
      </c>
      <c r="P65" s="4132"/>
      <c r="Q65" s="4140" t="e">
        <f>IF('Data Entry - SOF'!E52-Q64&lt;0,0,'Data Entry - SOF'!E52-Q64)</f>
        <v>#DIV/0!</v>
      </c>
      <c r="R65" s="4263"/>
      <c r="S65" s="4256" t="e">
        <f>IF('Data Entry - SOF'!G52-S64&lt;0,0,'Data Entry - SOF'!G52-S64)</f>
        <v>#DIV/0!</v>
      </c>
      <c r="T65" s="4115"/>
      <c r="U65" s="4114" t="e">
        <f>IF('Data Entry - SOF'!G52-U64&lt;0,0,'Data Entry - SOF'!G52-U64)</f>
        <v>#DIV/0!</v>
      </c>
      <c r="V65" s="4115"/>
      <c r="W65" s="4114" t="e">
        <f>IF('Data Entry - SOF'!G52-W64&lt;0,0,'Data Entry - SOF'!G52-W64)</f>
        <v>#DIV/0!</v>
      </c>
      <c r="X65" s="4115"/>
      <c r="Y65" s="4114" t="e">
        <f>IF('Data Entry - SOF'!G52-Y64&lt;0,0,'Data Entry - SOF'!G52-Y64)</f>
        <v>#DIV/0!</v>
      </c>
      <c r="Z65" s="4246"/>
      <c r="AA65" s="4266" t="e">
        <f>IF('Data Entry - SOF'!I52-AA64&lt;0,0,'Data Entry - SOF'!I52-AA64)</f>
        <v>#DIV/0!</v>
      </c>
      <c r="AB65" s="4191"/>
      <c r="AC65" s="4190" t="e">
        <f>IF('Data Entry - SOF'!I52-AC64&lt;0,0,'Data Entry - SOF'!I52-AC64)</f>
        <v>#DIV/0!</v>
      </c>
      <c r="AD65" s="4191"/>
      <c r="AE65" s="4190" t="e">
        <f>IF('Data Entry - SOF'!I52-AE64&lt;0,0,'Data Entry - SOF'!I52-AE64)</f>
        <v>#DIV/0!</v>
      </c>
      <c r="AF65" s="4191"/>
      <c r="AG65" s="4190" t="e">
        <f>IF('Data Entry - SOF'!I52-AG64&lt;0,0,'Data Entry - SOF'!I52-AG64)</f>
        <v>#DIV/0!</v>
      </c>
      <c r="AH65" s="4282"/>
      <c r="AI65" s="4046" t="e">
        <f>IF('Data Entry - SOF'!K52-AI64&lt;0,0,'Data Entry - SOF'!K52-AI64)</f>
        <v>#DIV/0!</v>
      </c>
      <c r="AJ65" s="4193"/>
      <c r="AK65" s="4192" t="e">
        <f>IF('Data Entry - SOF'!K52-AK64&lt;0,0,'Data Entry - SOF'!K52-AK64)</f>
        <v>#DIV/0!</v>
      </c>
      <c r="AL65" s="4193"/>
      <c r="AM65" s="4192" t="e">
        <f>IF('Data Entry - SOF'!K52-AM64&lt;0,0,'Data Entry - SOF'!K52-AM64)</f>
        <v>#DIV/0!</v>
      </c>
      <c r="AN65" s="4193"/>
      <c r="AO65" s="4192" t="e">
        <f>IF('Data Entry - SOF'!K52-AO64&lt;0,0,'Data Entry - SOF'!K52-AO64)</f>
        <v>#DIV/0!</v>
      </c>
      <c r="AP65" s="4294"/>
      <c r="AQ65" s="4286" t="e">
        <f>IF('Data Entry - SOF'!M52-AQ64&lt;0,0,'Data Entry - SOF'!M52-AQ64)</f>
        <v>#DIV/0!</v>
      </c>
      <c r="AR65" s="4195"/>
      <c r="AS65" s="4194" t="e">
        <f>IF('Data Entry - SOF'!M52-AS64&lt;0,0,'Data Entry - SOF'!M52-AS64)</f>
        <v>#DIV/0!</v>
      </c>
      <c r="AT65" s="4195"/>
      <c r="AU65" s="4194" t="e">
        <f>IF('Data Entry - SOF'!M52-AU64&lt;0,0,'Data Entry - SOF'!M52-AU64)</f>
        <v>#DIV/0!</v>
      </c>
      <c r="AV65" s="4195"/>
      <c r="AW65" s="4194" t="e">
        <f>IF('Data Entry - SOF'!M52-AW64&lt;0,0,'Data Entry - SOF'!M52-AW64)</f>
        <v>#DIV/0!</v>
      </c>
      <c r="AX65" s="4307"/>
      <c r="AY65" s="4298" t="e">
        <f>IF('Data Entry - SOF'!O52-AY64&lt;0,0,'Data Entry - SOF'!O52-AY64)</f>
        <v>#DIV/0!</v>
      </c>
      <c r="AZ65" s="4197"/>
      <c r="BA65" s="4196" t="e">
        <f>IF('Data Entry - SOF'!O52-BA64&lt;0,0,'Data Entry - SOF'!O52-BA64)</f>
        <v>#DIV/0!</v>
      </c>
      <c r="BB65" s="4197"/>
      <c r="BC65" s="4196" t="e">
        <f>IF('Data Entry - SOF'!O52-BC64&lt;0,0,'Data Entry - SOF'!O52-BC64)</f>
        <v>#DIV/0!</v>
      </c>
      <c r="BD65" s="4197"/>
      <c r="BE65" s="4196" t="e">
        <f>IF('Data Entry - SOF'!O52-BE64&lt;0,0,'Data Entry - SOF'!O52-BE64)</f>
        <v>#DIV/0!</v>
      </c>
      <c r="BF65" s="4318"/>
    </row>
    <row r="66" spans="1:73">
      <c r="A66" s="97"/>
      <c r="C66" s="1417" t="e">
        <f>C65/'Data Entry - SOF'!C52</f>
        <v>#DIV/0!</v>
      </c>
      <c r="E66" s="1417" t="e">
        <f>E65/'Data Entry - SOF'!C52</f>
        <v>#DIV/0!</v>
      </c>
      <c r="G66" s="1417" t="e">
        <f>G65/'Data Entry - SOF'!C52</f>
        <v>#DIV/0!</v>
      </c>
      <c r="I66" s="2740" t="e">
        <f>I65/'Data Entry - SOF'!C52</f>
        <v>#DIV/0!</v>
      </c>
      <c r="K66" s="4131" t="e">
        <f>K65/'Data Entry - SOF'!E52</f>
        <v>#DIV/0!</v>
      </c>
      <c r="L66" s="4132"/>
      <c r="M66" s="4131" t="e">
        <f>M65/'Data Entry - SOF'!E52</f>
        <v>#DIV/0!</v>
      </c>
      <c r="N66" s="4132"/>
      <c r="O66" s="4131" t="e">
        <f>O65/'Data Entry - SOF'!E52</f>
        <v>#DIV/0!</v>
      </c>
      <c r="P66" s="4132"/>
      <c r="Q66" s="4141" t="e">
        <f>Q65/'Data Entry - SOF'!E52</f>
        <v>#DIV/0!</v>
      </c>
      <c r="R66" s="4261"/>
      <c r="S66" s="4255" t="e">
        <f>S65/'Data Entry - SOF'!G52</f>
        <v>#DIV/0!</v>
      </c>
      <c r="T66" s="4117"/>
      <c r="U66" s="4116" t="e">
        <f>U65/'Data Entry - SOF'!G52</f>
        <v>#DIV/0!</v>
      </c>
      <c r="V66" s="4117"/>
      <c r="W66" s="4116" t="e">
        <f>W65/'Data Entry - SOF'!G52</f>
        <v>#DIV/0!</v>
      </c>
      <c r="X66" s="4117"/>
      <c r="Y66" s="4116" t="e">
        <f>Y65/'Data Entry - SOF'!G52</f>
        <v>#DIV/0!</v>
      </c>
      <c r="Z66" s="4271"/>
      <c r="AA66" s="4265" t="e">
        <f>AA65/'Data Entry - SOF'!I52</f>
        <v>#DIV/0!</v>
      </c>
      <c r="AB66" s="4183"/>
      <c r="AC66" s="4182" t="e">
        <f>AC65/'Data Entry - SOF'!I52</f>
        <v>#DIV/0!</v>
      </c>
      <c r="AD66" s="4183"/>
      <c r="AE66" s="4182" t="e">
        <f>AE65/'Data Entry - SOF'!I52</f>
        <v>#DIV/0!</v>
      </c>
      <c r="AF66" s="4183"/>
      <c r="AG66" s="4182" t="e">
        <f>AG65/'Data Entry - SOF'!I52</f>
        <v>#DIV/0!</v>
      </c>
      <c r="AH66" s="4281"/>
      <c r="AI66" s="4273" t="e">
        <f>AI65/'Data Entry - SOF'!K52</f>
        <v>#DIV/0!</v>
      </c>
      <c r="AJ66" s="4185"/>
      <c r="AK66" s="4184" t="e">
        <f>AK65/'Data Entry - SOF'!K52</f>
        <v>#DIV/0!</v>
      </c>
      <c r="AL66" s="4185"/>
      <c r="AM66" s="4184" t="e">
        <f>AM65/'Data Entry - SOF'!K52</f>
        <v>#DIV/0!</v>
      </c>
      <c r="AN66" s="4185"/>
      <c r="AO66" s="4184" t="e">
        <f>AO65/'Data Entry - SOF'!K52</f>
        <v>#DIV/0!</v>
      </c>
      <c r="AP66" s="4293"/>
      <c r="AQ66" s="4285" t="e">
        <f>AQ65/'Data Entry - SOF'!M52</f>
        <v>#DIV/0!</v>
      </c>
      <c r="AR66" s="4187"/>
      <c r="AS66" s="4186" t="e">
        <f>AS65/'Data Entry - SOF'!M52</f>
        <v>#DIV/0!</v>
      </c>
      <c r="AT66" s="4187"/>
      <c r="AU66" s="4186" t="e">
        <f>AU65/'Data Entry - SOF'!M52</f>
        <v>#DIV/0!</v>
      </c>
      <c r="AV66" s="4187"/>
      <c r="AW66" s="4186" t="e">
        <f>AW65/'Data Entry - SOF'!M52</f>
        <v>#DIV/0!</v>
      </c>
      <c r="AX66" s="4306"/>
      <c r="AY66" s="4297" t="e">
        <f>AY65/'Data Entry - SOF'!O52</f>
        <v>#DIV/0!</v>
      </c>
      <c r="AZ66" s="4189"/>
      <c r="BA66" s="4188" t="e">
        <f>BA65/'Data Entry - SOF'!O52</f>
        <v>#DIV/0!</v>
      </c>
      <c r="BB66" s="4189"/>
      <c r="BC66" s="4188" t="e">
        <f>BC65/'Data Entry - SOF'!O52</f>
        <v>#DIV/0!</v>
      </c>
      <c r="BD66" s="4189"/>
      <c r="BE66" s="4188" t="e">
        <f>BE65/'Data Entry - SOF'!O52</f>
        <v>#DIV/0!</v>
      </c>
      <c r="BF66" s="4318"/>
    </row>
    <row r="67" spans="1:73">
      <c r="A67" s="97"/>
      <c r="C67" s="1419" t="e">
        <f>C64/'Ch41 Calc Data'!K17</f>
        <v>#DIV/0!</v>
      </c>
      <c r="E67" s="1419" t="e">
        <f>E64/'Ch41 Calc Data'!K17</f>
        <v>#DIV/0!</v>
      </c>
      <c r="G67" s="1419" t="e">
        <f>G64/'Ch41 Calc Data'!K17</f>
        <v>#DIV/0!</v>
      </c>
      <c r="I67" s="2741" t="e">
        <f>I64/'Ch41 Calc Data'!K17</f>
        <v>#DIV/0!</v>
      </c>
      <c r="K67" s="4131" t="e">
        <f>K64/'Ch41 Calc Data'!L17</f>
        <v>#DIV/0!</v>
      </c>
      <c r="L67" s="4132"/>
      <c r="M67" s="4131" t="e">
        <f>M64/'Ch41 Calc Data'!L17</f>
        <v>#DIV/0!</v>
      </c>
      <c r="N67" s="4132"/>
      <c r="O67" s="4131" t="e">
        <f>O64/'Ch41 Calc Data'!L17</f>
        <v>#DIV/0!</v>
      </c>
      <c r="P67" s="4132"/>
      <c r="Q67" s="4140" t="e">
        <f>Q64/'Ch41 Calc Data'!L17</f>
        <v>#DIV/0!</v>
      </c>
      <c r="R67" s="4263"/>
      <c r="S67" s="4256" t="e">
        <f>S64/'Ch41 Calc Data'!M17</f>
        <v>#DIV/0!</v>
      </c>
      <c r="T67" s="4115"/>
      <c r="U67" s="4114" t="e">
        <f>U64/'Ch41 Calc Data'!M17</f>
        <v>#DIV/0!</v>
      </c>
      <c r="V67" s="4115"/>
      <c r="W67" s="4114" t="e">
        <f>W64/'Ch41 Calc Data'!M17</f>
        <v>#DIV/0!</v>
      </c>
      <c r="X67" s="4115"/>
      <c r="Y67" s="4114" t="e">
        <f>Y64/'Ch41 Calc Data'!M17</f>
        <v>#DIV/0!</v>
      </c>
      <c r="Z67" s="4246"/>
      <c r="AA67" s="4266" t="e">
        <f>AA64/'Ch41 Calc Data'!N17</f>
        <v>#DIV/0!</v>
      </c>
      <c r="AB67" s="4191"/>
      <c r="AC67" s="4190" t="e">
        <f>AC64/'Ch41 Calc Data'!N17</f>
        <v>#DIV/0!</v>
      </c>
      <c r="AD67" s="4191"/>
      <c r="AE67" s="4190" t="e">
        <f>AE64/'Ch41 Calc Data'!N17</f>
        <v>#DIV/0!</v>
      </c>
      <c r="AF67" s="4191"/>
      <c r="AG67" s="4190" t="e">
        <f>AG64/'Ch41 Calc Data'!N17</f>
        <v>#DIV/0!</v>
      </c>
      <c r="AH67" s="4282"/>
      <c r="AI67" s="4046" t="e">
        <f>AI64/'Ch41 Calc Data'!O17</f>
        <v>#DIV/0!</v>
      </c>
      <c r="AJ67" s="4193"/>
      <c r="AK67" s="4192" t="e">
        <f>AK64/'Ch41 Calc Data'!O17</f>
        <v>#DIV/0!</v>
      </c>
      <c r="AL67" s="4193"/>
      <c r="AM67" s="4192" t="e">
        <f>AM64/'Ch41 Calc Data'!O17</f>
        <v>#DIV/0!</v>
      </c>
      <c r="AN67" s="4193"/>
      <c r="AO67" s="4192" t="e">
        <f>AO64/'Ch41 Calc Data'!O17</f>
        <v>#DIV/0!</v>
      </c>
      <c r="AP67" s="4294"/>
      <c r="AQ67" s="4286" t="e">
        <f>AQ64/'Ch41 Calc Data'!P17</f>
        <v>#DIV/0!</v>
      </c>
      <c r="AR67" s="4195"/>
      <c r="AS67" s="4194" t="e">
        <f>AS64/'Ch41 Calc Data'!P17</f>
        <v>#DIV/0!</v>
      </c>
      <c r="AT67" s="4195"/>
      <c r="AU67" s="4194" t="e">
        <f>AU64/'Ch41 Calc Data'!P17</f>
        <v>#DIV/0!</v>
      </c>
      <c r="AV67" s="4195"/>
      <c r="AW67" s="4194" t="e">
        <f>AW64/'Ch41 Calc Data'!P17</f>
        <v>#DIV/0!</v>
      </c>
      <c r="AX67" s="4307"/>
      <c r="AY67" s="4298" t="e">
        <f>AY64/'Ch41 Calc Data'!Q17</f>
        <v>#DIV/0!</v>
      </c>
      <c r="AZ67" s="4197"/>
      <c r="BA67" s="4196" t="e">
        <f>BA64/'Ch41 Calc Data'!Q17</f>
        <v>#DIV/0!</v>
      </c>
      <c r="BB67" s="4197"/>
      <c r="BC67" s="4196" t="e">
        <f>BC64/'Ch41 Calc Data'!Q17</f>
        <v>#DIV/0!</v>
      </c>
      <c r="BD67" s="4197"/>
      <c r="BE67" s="4196" t="e">
        <f>BE64/'Ch41 Calc Data'!Q17</f>
        <v>#DIV/0!</v>
      </c>
      <c r="BF67" s="4318"/>
    </row>
    <row r="68" spans="1:73">
      <c r="A68" s="97"/>
      <c r="D68" s="1408"/>
      <c r="F68" s="1408"/>
      <c r="H68" s="1408"/>
      <c r="I68" s="2733"/>
      <c r="Q68" s="4221"/>
      <c r="R68" s="4263"/>
      <c r="S68" s="4115"/>
      <c r="T68" s="4115"/>
      <c r="U68" s="4115"/>
      <c r="V68" s="4115"/>
      <c r="W68" s="4115"/>
      <c r="X68" s="4115"/>
      <c r="Y68" s="4115"/>
      <c r="Z68" s="4246"/>
      <c r="AA68" s="4191"/>
      <c r="AB68" s="4191"/>
      <c r="AC68" s="4191"/>
      <c r="AD68" s="4191"/>
      <c r="AE68" s="4191"/>
      <c r="AF68" s="4191"/>
      <c r="AG68" s="4191"/>
      <c r="AH68" s="4282"/>
      <c r="AI68" s="4193"/>
      <c r="AJ68" s="4193"/>
      <c r="AK68" s="4193"/>
      <c r="AL68" s="4193"/>
      <c r="AM68" s="4193"/>
      <c r="AN68" s="4193"/>
      <c r="AO68" s="4193"/>
      <c r="AP68" s="4294"/>
      <c r="AQ68" s="4195"/>
      <c r="AR68" s="4195"/>
      <c r="AS68" s="4195"/>
      <c r="AT68" s="4195"/>
      <c r="AU68" s="4195"/>
      <c r="AV68" s="4195"/>
      <c r="AW68" s="4195"/>
      <c r="AX68" s="4307"/>
      <c r="AY68" s="4197"/>
      <c r="AZ68" s="4197"/>
      <c r="BA68" s="4197"/>
      <c r="BB68" s="4197"/>
      <c r="BC68" s="4197"/>
      <c r="BD68" s="4197"/>
      <c r="BE68" s="4197"/>
      <c r="BF68" s="4318"/>
      <c r="BG68" s="2158"/>
      <c r="BH68" s="2158"/>
      <c r="BI68" s="2158"/>
      <c r="BJ68" s="2158"/>
      <c r="BK68" s="2158"/>
      <c r="BL68" s="2158"/>
      <c r="BM68" s="2158"/>
      <c r="BO68" s="2135"/>
      <c r="BP68" s="2135"/>
      <c r="BQ68" s="2135"/>
      <c r="BR68" s="2135"/>
      <c r="BS68" s="2135"/>
      <c r="BT68" s="2135"/>
      <c r="BU68" s="2135"/>
    </row>
    <row r="69" spans="1:73">
      <c r="A69" s="97"/>
      <c r="D69" s="1420"/>
      <c r="F69" s="1420"/>
      <c r="H69" s="1420"/>
      <c r="I69" s="2733"/>
      <c r="Q69" s="4221"/>
      <c r="R69" s="4263"/>
      <c r="S69" s="4115"/>
      <c r="T69" s="4115"/>
      <c r="U69" s="4115"/>
      <c r="V69" s="4115"/>
      <c r="W69" s="4115"/>
      <c r="X69" s="4115"/>
      <c r="Y69" s="4115"/>
      <c r="Z69" s="4246"/>
      <c r="AA69" s="4191"/>
      <c r="AB69" s="4191"/>
      <c r="AC69" s="4191"/>
      <c r="AD69" s="4191"/>
      <c r="AE69" s="4191"/>
      <c r="AF69" s="4191"/>
      <c r="AG69" s="4191"/>
      <c r="AH69" s="4282"/>
      <c r="AI69" s="4193"/>
      <c r="AJ69" s="4193"/>
      <c r="AK69" s="4193"/>
      <c r="AL69" s="4193"/>
      <c r="AM69" s="4193"/>
      <c r="AN69" s="4193"/>
      <c r="AO69" s="4193"/>
      <c r="AP69" s="4294"/>
      <c r="AQ69" s="4195"/>
      <c r="AR69" s="4195"/>
      <c r="AS69" s="4195"/>
      <c r="AT69" s="4195"/>
      <c r="AU69" s="4195"/>
      <c r="AV69" s="4195"/>
      <c r="AW69" s="4195"/>
      <c r="AX69" s="4307"/>
      <c r="AY69" s="4197"/>
      <c r="AZ69" s="4197"/>
      <c r="BA69" s="4197"/>
      <c r="BB69" s="4197"/>
      <c r="BC69" s="4197"/>
      <c r="BD69" s="4197"/>
      <c r="BE69" s="4197"/>
      <c r="BF69" s="4318"/>
      <c r="BG69" s="2171"/>
      <c r="BH69" s="2171"/>
      <c r="BI69" s="2171"/>
      <c r="BJ69" s="2171"/>
      <c r="BK69" s="2171"/>
      <c r="BL69" s="2171"/>
      <c r="BM69" s="2171"/>
      <c r="BO69" s="2146"/>
      <c r="BP69" s="2146"/>
      <c r="BQ69" s="2146"/>
      <c r="BR69" s="2146"/>
      <c r="BS69" s="2146"/>
      <c r="BT69" s="2146"/>
      <c r="BU69" s="2146"/>
    </row>
    <row r="70" spans="1:73">
      <c r="A70" s="97"/>
      <c r="C70" s="1419" t="e">
        <f>'Calc Data-SB1'!AD36</f>
        <v>#DIV/0!</v>
      </c>
      <c r="D70" s="1420"/>
      <c r="E70" s="1419" t="e">
        <f>C70</f>
        <v>#DIV/0!</v>
      </c>
      <c r="F70" s="1420"/>
      <c r="G70" s="1419"/>
      <c r="H70" s="1420"/>
      <c r="I70" s="2741"/>
      <c r="K70" s="4131" t="e">
        <f>'Calc Data-SB1'!AH36</f>
        <v>#DIV/0!</v>
      </c>
      <c r="L70" s="4132"/>
      <c r="M70" s="4131" t="e">
        <f>K70</f>
        <v>#DIV/0!</v>
      </c>
      <c r="N70" s="4132"/>
      <c r="O70" s="4131"/>
      <c r="P70" s="4132"/>
      <c r="Q70" s="4140"/>
      <c r="R70" s="4263"/>
      <c r="S70" s="4256" t="e">
        <f>'Calc Data-SB1'!AL36</f>
        <v>#DIV/0!</v>
      </c>
      <c r="T70" s="4115"/>
      <c r="U70" s="4114" t="e">
        <f>S70</f>
        <v>#DIV/0!</v>
      </c>
      <c r="V70" s="4115"/>
      <c r="W70" s="4114"/>
      <c r="X70" s="4115"/>
      <c r="Y70" s="4114"/>
      <c r="Z70" s="4246"/>
      <c r="AA70" s="4266" t="e">
        <f>'Calc Data-SB1'!AP36</f>
        <v>#DIV/0!</v>
      </c>
      <c r="AB70" s="4191"/>
      <c r="AC70" s="4190" t="e">
        <f>AA70</f>
        <v>#DIV/0!</v>
      </c>
      <c r="AD70" s="4191"/>
      <c r="AE70" s="4190"/>
      <c r="AF70" s="4191"/>
      <c r="AG70" s="4190"/>
      <c r="AH70" s="4282"/>
      <c r="AI70" s="4046" t="e">
        <f>'Calc Data-SB1'!AT36</f>
        <v>#DIV/0!</v>
      </c>
      <c r="AJ70" s="4193"/>
      <c r="AK70" s="4192" t="e">
        <f>AI70</f>
        <v>#DIV/0!</v>
      </c>
      <c r="AL70" s="4193"/>
      <c r="AM70" s="4192"/>
      <c r="AN70" s="4193"/>
      <c r="AO70" s="4192"/>
      <c r="AP70" s="4294"/>
      <c r="AQ70" s="4286" t="e">
        <f>'Calc Data-SB1'!AY36</f>
        <v>#DIV/0!</v>
      </c>
      <c r="AR70" s="4195"/>
      <c r="AS70" s="4194" t="e">
        <f>AQ70</f>
        <v>#DIV/0!</v>
      </c>
      <c r="AT70" s="4195"/>
      <c r="AU70" s="4194"/>
      <c r="AV70" s="4195"/>
      <c r="AW70" s="4194"/>
      <c r="AX70" s="4307"/>
      <c r="AY70" s="4298" t="e">
        <f>'Calc Data-SB1'!BD36</f>
        <v>#DIV/0!</v>
      </c>
      <c r="AZ70" s="4197"/>
      <c r="BA70" s="4196" t="e">
        <f>AY70</f>
        <v>#DIV/0!</v>
      </c>
      <c r="BB70" s="4197"/>
      <c r="BC70" s="4196"/>
      <c r="BD70" s="4197"/>
      <c r="BE70" s="4196"/>
      <c r="BF70" s="4318"/>
      <c r="BG70" s="2171"/>
      <c r="BH70" s="2171"/>
      <c r="BI70" s="2171"/>
      <c r="BJ70" s="2171"/>
      <c r="BK70" s="2171"/>
      <c r="BL70" s="2171"/>
      <c r="BM70" s="2171"/>
      <c r="BO70" s="2146"/>
      <c r="BP70" s="2146"/>
      <c r="BQ70" s="2146"/>
      <c r="BR70" s="2146"/>
      <c r="BS70" s="2146"/>
      <c r="BT70" s="2146"/>
      <c r="BU70" s="2146"/>
    </row>
    <row r="71" spans="1:73">
      <c r="A71" s="97"/>
      <c r="C71" s="1419"/>
      <c r="D71" s="1420"/>
      <c r="E71" s="1419"/>
      <c r="F71" s="1420"/>
      <c r="G71" s="1419" t="e">
        <f>'Calc Data-SB1'!AB31</f>
        <v>#DIV/0!</v>
      </c>
      <c r="H71" s="1420"/>
      <c r="I71" s="2741" t="e">
        <f>G71</f>
        <v>#DIV/0!</v>
      </c>
      <c r="K71" s="4131"/>
      <c r="L71" s="4132"/>
      <c r="M71" s="4131"/>
      <c r="N71" s="4132"/>
      <c r="O71" s="4131" t="e">
        <f>'Calc Data-SB1'!AF31</f>
        <v>#DIV/0!</v>
      </c>
      <c r="P71" s="4132"/>
      <c r="Q71" s="4140" t="e">
        <f>O71</f>
        <v>#DIV/0!</v>
      </c>
      <c r="R71" s="4263"/>
      <c r="S71" s="4256"/>
      <c r="T71" s="4115"/>
      <c r="U71" s="4114"/>
      <c r="V71" s="4115"/>
      <c r="W71" s="4114" t="e">
        <f>'Calc Data-SB1'!AJ31</f>
        <v>#DIV/0!</v>
      </c>
      <c r="X71" s="4115"/>
      <c r="Y71" s="4114" t="e">
        <f>W71</f>
        <v>#DIV/0!</v>
      </c>
      <c r="Z71" s="4246"/>
      <c r="AA71" s="4266"/>
      <c r="AB71" s="4191"/>
      <c r="AC71" s="4190"/>
      <c r="AD71" s="4191"/>
      <c r="AE71" s="4190" t="e">
        <f>'Calc Data-SB1'!AN31</f>
        <v>#DIV/0!</v>
      </c>
      <c r="AF71" s="4191"/>
      <c r="AG71" s="4190" t="e">
        <f>AE71</f>
        <v>#DIV/0!</v>
      </c>
      <c r="AH71" s="4282"/>
      <c r="AI71" s="4046"/>
      <c r="AJ71" s="4193"/>
      <c r="AK71" s="4192"/>
      <c r="AL71" s="4193"/>
      <c r="AM71" s="4192" t="e">
        <f>'Calc Data-SB1'!AR31</f>
        <v>#DIV/0!</v>
      </c>
      <c r="AN71" s="4193"/>
      <c r="AO71" s="4192" t="e">
        <f>AM71</f>
        <v>#DIV/0!</v>
      </c>
      <c r="AP71" s="4294"/>
      <c r="AQ71" s="4286"/>
      <c r="AR71" s="4195"/>
      <c r="AS71" s="4194"/>
      <c r="AT71" s="4195"/>
      <c r="AU71" s="4194" t="e">
        <f>'Calc Data-SB1'!AW31</f>
        <v>#DIV/0!</v>
      </c>
      <c r="AV71" s="4195"/>
      <c r="AW71" s="4194" t="e">
        <f>AU71</f>
        <v>#DIV/0!</v>
      </c>
      <c r="AX71" s="4307"/>
      <c r="AY71" s="4298"/>
      <c r="AZ71" s="4197"/>
      <c r="BA71" s="4196"/>
      <c r="BB71" s="4197"/>
      <c r="BC71" s="4196" t="e">
        <f>'Calc Data-SB1'!BB31</f>
        <v>#DIV/0!</v>
      </c>
      <c r="BD71" s="4197"/>
      <c r="BE71" s="4196" t="e">
        <f>BC71</f>
        <v>#DIV/0!</v>
      </c>
      <c r="BF71" s="4318"/>
      <c r="BG71" s="2171"/>
      <c r="BH71" s="2171"/>
      <c r="BI71" s="2171"/>
      <c r="BJ71" s="2171"/>
      <c r="BK71" s="2171"/>
      <c r="BL71" s="2171"/>
      <c r="BM71" s="2171"/>
      <c r="BO71" s="2146"/>
      <c r="BP71" s="2146"/>
      <c r="BQ71" s="2146"/>
      <c r="BR71" s="2146"/>
      <c r="BS71" s="2146"/>
      <c r="BT71" s="2146"/>
      <c r="BU71" s="2146"/>
    </row>
    <row r="72" spans="1:73">
      <c r="A72" s="97"/>
      <c r="C72" s="1419" t="e">
        <f>C70</f>
        <v>#DIV/0!</v>
      </c>
      <c r="D72" s="1420"/>
      <c r="E72" s="1419" t="e">
        <f>E70</f>
        <v>#DIV/0!</v>
      </c>
      <c r="F72" s="1420"/>
      <c r="G72" s="1419" t="e">
        <f>G71</f>
        <v>#DIV/0!</v>
      </c>
      <c r="H72" s="1420"/>
      <c r="I72" s="2741" t="e">
        <f>I71</f>
        <v>#DIV/0!</v>
      </c>
      <c r="K72" s="4131" t="e">
        <f>K70</f>
        <v>#DIV/0!</v>
      </c>
      <c r="L72" s="4132"/>
      <c r="M72" s="4131" t="e">
        <f>M70</f>
        <v>#DIV/0!</v>
      </c>
      <c r="N72" s="4132"/>
      <c r="O72" s="4131" t="e">
        <f>O71</f>
        <v>#DIV/0!</v>
      </c>
      <c r="P72" s="4132"/>
      <c r="Q72" s="4140" t="e">
        <f>Q71</f>
        <v>#DIV/0!</v>
      </c>
      <c r="R72" s="4263"/>
      <c r="S72" s="4256" t="e">
        <f>S70</f>
        <v>#DIV/0!</v>
      </c>
      <c r="T72" s="4115"/>
      <c r="U72" s="4114" t="e">
        <f>U70</f>
        <v>#DIV/0!</v>
      </c>
      <c r="V72" s="4115"/>
      <c r="W72" s="4114" t="e">
        <f>W71</f>
        <v>#DIV/0!</v>
      </c>
      <c r="X72" s="4115"/>
      <c r="Y72" s="4114" t="e">
        <f>Y71</f>
        <v>#DIV/0!</v>
      </c>
      <c r="Z72" s="4246"/>
      <c r="AA72" s="4266" t="e">
        <f>AA70</f>
        <v>#DIV/0!</v>
      </c>
      <c r="AB72" s="4191"/>
      <c r="AC72" s="4190" t="e">
        <f>AC70</f>
        <v>#DIV/0!</v>
      </c>
      <c r="AD72" s="4191"/>
      <c r="AE72" s="4190" t="e">
        <f>AE71</f>
        <v>#DIV/0!</v>
      </c>
      <c r="AF72" s="4191"/>
      <c r="AG72" s="4190" t="e">
        <f>AG71</f>
        <v>#DIV/0!</v>
      </c>
      <c r="AH72" s="4282"/>
      <c r="AI72" s="4046" t="e">
        <f>AI70</f>
        <v>#DIV/0!</v>
      </c>
      <c r="AJ72" s="4193"/>
      <c r="AK72" s="4192" t="e">
        <f>AK70</f>
        <v>#DIV/0!</v>
      </c>
      <c r="AL72" s="4193"/>
      <c r="AM72" s="4192" t="e">
        <f>AM71</f>
        <v>#DIV/0!</v>
      </c>
      <c r="AN72" s="4193"/>
      <c r="AO72" s="4192" t="e">
        <f>AO71</f>
        <v>#DIV/0!</v>
      </c>
      <c r="AP72" s="4294"/>
      <c r="AQ72" s="4286" t="e">
        <f>AQ70</f>
        <v>#DIV/0!</v>
      </c>
      <c r="AR72" s="4195"/>
      <c r="AS72" s="4194" t="e">
        <f>AS70</f>
        <v>#DIV/0!</v>
      </c>
      <c r="AT72" s="4195"/>
      <c r="AU72" s="4194" t="e">
        <f>AU71</f>
        <v>#DIV/0!</v>
      </c>
      <c r="AV72" s="4195"/>
      <c r="AW72" s="4194" t="e">
        <f>AW71</f>
        <v>#DIV/0!</v>
      </c>
      <c r="AX72" s="4307"/>
      <c r="AY72" s="4298" t="e">
        <f>AY70</f>
        <v>#DIV/0!</v>
      </c>
      <c r="AZ72" s="4197"/>
      <c r="BA72" s="4196" t="e">
        <f>BA70</f>
        <v>#DIV/0!</v>
      </c>
      <c r="BB72" s="4197"/>
      <c r="BC72" s="4196" t="e">
        <f>BC71</f>
        <v>#DIV/0!</v>
      </c>
      <c r="BD72" s="4197"/>
      <c r="BE72" s="4196" t="e">
        <f>BE71</f>
        <v>#DIV/0!</v>
      </c>
      <c r="BF72" s="4318"/>
      <c r="BG72" s="2171"/>
      <c r="BH72" s="2171"/>
      <c r="BI72" s="2171"/>
      <c r="BJ72" s="2171"/>
      <c r="BK72" s="2171"/>
      <c r="BL72" s="2171"/>
      <c r="BM72" s="2171"/>
      <c r="BO72" s="2146"/>
      <c r="BP72" s="2146"/>
      <c r="BQ72" s="2146"/>
      <c r="BR72" s="2146"/>
      <c r="BS72" s="2146"/>
      <c r="BT72" s="2146"/>
      <c r="BU72" s="2146"/>
    </row>
    <row r="73" spans="1:73">
      <c r="A73" s="97"/>
      <c r="C73" s="1411" t="e">
        <f>C66*C72</f>
        <v>#DIV/0!</v>
      </c>
      <c r="D73" s="1420"/>
      <c r="E73" s="1411" t="e">
        <f>E66*E72</f>
        <v>#DIV/0!</v>
      </c>
      <c r="F73" s="1420"/>
      <c r="G73" s="1411" t="e">
        <f>IF(G71&lt;1,0,G66*G72)</f>
        <v>#DIV/0!</v>
      </c>
      <c r="H73" s="1420"/>
      <c r="I73" s="2737" t="e">
        <f>IF(I71&lt;1,0,I66*I72)</f>
        <v>#DIV/0!</v>
      </c>
      <c r="K73" s="4131" t="e">
        <f>K66*K72</f>
        <v>#DIV/0!</v>
      </c>
      <c r="L73" s="4132"/>
      <c r="M73" s="4131" t="e">
        <f>M66*M72</f>
        <v>#DIV/0!</v>
      </c>
      <c r="N73" s="4132"/>
      <c r="O73" s="4131" t="e">
        <f>IF(O71&lt;1,0,O66*O72)</f>
        <v>#DIV/0!</v>
      </c>
      <c r="P73" s="4132"/>
      <c r="Q73" s="4140" t="e">
        <f>IF(Q71&lt;1,0,Q66*Q72)</f>
        <v>#DIV/0!</v>
      </c>
      <c r="R73" s="4263"/>
      <c r="S73" s="4256" t="e">
        <f>S66*S72</f>
        <v>#DIV/0!</v>
      </c>
      <c r="T73" s="4115"/>
      <c r="U73" s="4114" t="e">
        <f>U66*U72</f>
        <v>#DIV/0!</v>
      </c>
      <c r="V73" s="4115"/>
      <c r="W73" s="4114" t="e">
        <f>IF(W71&lt;1,0,W66*W72)</f>
        <v>#DIV/0!</v>
      </c>
      <c r="X73" s="4115"/>
      <c r="Y73" s="4114" t="e">
        <f>IF(Y71&lt;1,0,Y66*Y72)</f>
        <v>#DIV/0!</v>
      </c>
      <c r="Z73" s="4246"/>
      <c r="AA73" s="4266" t="e">
        <f>AA66*AA72</f>
        <v>#DIV/0!</v>
      </c>
      <c r="AB73" s="4191"/>
      <c r="AC73" s="4190" t="e">
        <f>AC66*AC72</f>
        <v>#DIV/0!</v>
      </c>
      <c r="AD73" s="4191"/>
      <c r="AE73" s="4190" t="e">
        <f>IF(AE71&lt;1,0,AE66*AE72)</f>
        <v>#DIV/0!</v>
      </c>
      <c r="AF73" s="4191"/>
      <c r="AG73" s="4190" t="e">
        <f>IF(AG71&lt;1,0,AG66*AG72)</f>
        <v>#DIV/0!</v>
      </c>
      <c r="AH73" s="4282"/>
      <c r="AI73" s="4046" t="e">
        <f>AI66*AI72</f>
        <v>#DIV/0!</v>
      </c>
      <c r="AJ73" s="4193"/>
      <c r="AK73" s="4192" t="e">
        <f>AK66*AK72</f>
        <v>#DIV/0!</v>
      </c>
      <c r="AL73" s="4193"/>
      <c r="AM73" s="4192" t="e">
        <f>IF(AM71&lt;1,0,AM66*AM72)</f>
        <v>#DIV/0!</v>
      </c>
      <c r="AN73" s="4193"/>
      <c r="AO73" s="4192" t="e">
        <f>IF(AO71&lt;1,0,AO66*AO72)</f>
        <v>#DIV/0!</v>
      </c>
      <c r="AP73" s="4294"/>
      <c r="AQ73" s="4286" t="e">
        <f>AQ66*AQ72</f>
        <v>#DIV/0!</v>
      </c>
      <c r="AR73" s="4195"/>
      <c r="AS73" s="4194" t="e">
        <f>AS66*AS72</f>
        <v>#DIV/0!</v>
      </c>
      <c r="AT73" s="4195"/>
      <c r="AU73" s="4194" t="e">
        <f>IF(AU71&lt;1,0,AU66*AU72)</f>
        <v>#DIV/0!</v>
      </c>
      <c r="AV73" s="4195"/>
      <c r="AW73" s="4194" t="e">
        <f>IF(AW71&lt;1,0,AW66*AW72)</f>
        <v>#DIV/0!</v>
      </c>
      <c r="AX73" s="4307"/>
      <c r="AY73" s="4298" t="e">
        <f>AY66*AY72</f>
        <v>#DIV/0!</v>
      </c>
      <c r="AZ73" s="4197"/>
      <c r="BA73" s="4196" t="e">
        <f>BA66*BA72</f>
        <v>#DIV/0!</v>
      </c>
      <c r="BB73" s="4197"/>
      <c r="BC73" s="4196" t="e">
        <f>IF(BC71&lt;1,0,BC66*BC72)</f>
        <v>#DIV/0!</v>
      </c>
      <c r="BD73" s="4197"/>
      <c r="BE73" s="4196" t="e">
        <f>IF(BE71&lt;1,0,BE66*BE72)</f>
        <v>#DIV/0!</v>
      </c>
      <c r="BF73" s="4318"/>
      <c r="BG73" s="2171"/>
      <c r="BH73" s="2171"/>
      <c r="BI73" s="2171"/>
      <c r="BJ73" s="2171"/>
      <c r="BK73" s="2171"/>
      <c r="BL73" s="2171"/>
      <c r="BM73" s="2171"/>
      <c r="BO73" s="2146"/>
      <c r="BP73" s="2146"/>
      <c r="BQ73" s="2146"/>
      <c r="BR73" s="2146"/>
      <c r="BS73" s="2146"/>
      <c r="BT73" s="2146"/>
      <c r="BU73" s="2146"/>
    </row>
    <row r="74" spans="1:73">
      <c r="A74" s="97"/>
      <c r="C74" s="1413" t="e">
        <f>C65/IF(C67&lt;Assumptions!G92,Assumptions!G92,C67)</f>
        <v>#DIV/0!</v>
      </c>
      <c r="D74" s="1420"/>
      <c r="E74" s="1413" t="e">
        <f>E65/E67</f>
        <v>#DIV/0!</v>
      </c>
      <c r="F74" s="1420"/>
      <c r="G74" s="1413" t="e">
        <f>IF(G73=0,0,G65/G67)</f>
        <v>#DIV/0!</v>
      </c>
      <c r="H74" s="1420"/>
      <c r="I74" s="2738" t="e">
        <f>IF(I73=0,0,I65/I67)</f>
        <v>#DIV/0!</v>
      </c>
      <c r="K74" s="4160" t="e">
        <f>K65/IF(K67&lt;Assumptions!G103,Assumptions!G103,K67)</f>
        <v>#DIV/0!</v>
      </c>
      <c r="L74" s="4163"/>
      <c r="M74" s="4160" t="e">
        <f>M65/M67</f>
        <v>#DIV/0!</v>
      </c>
      <c r="N74" s="4163"/>
      <c r="O74" s="4222" t="e">
        <f>IF(O73=0,0,O65/O67)</f>
        <v>#DIV/0!</v>
      </c>
      <c r="P74" s="4212"/>
      <c r="Q74" s="4141" t="e">
        <f>IF(Q73=0,0,Q65/Q67)</f>
        <v>#DIV/0!</v>
      </c>
      <c r="R74" s="4261"/>
      <c r="S74" s="4255" t="e">
        <f>S65/IF(S67&lt;Assumptions!G112,Assumptions!G112,S67)</f>
        <v>#DIV/0!</v>
      </c>
      <c r="T74" s="4117"/>
      <c r="U74" s="4116" t="e">
        <f>U65/U67</f>
        <v>#DIV/0!</v>
      </c>
      <c r="V74" s="4117"/>
      <c r="W74" s="4116" t="e">
        <f>IF(W73=0,0,W65/W67)</f>
        <v>#DIV/0!</v>
      </c>
      <c r="X74" s="4117"/>
      <c r="Y74" s="4116" t="e">
        <f>IF(Y73=0,0,Y65/Y67)</f>
        <v>#DIV/0!</v>
      </c>
      <c r="Z74" s="4271"/>
      <c r="AA74" s="4265" t="e">
        <f>AA65/IF(AA67&lt;Assumptions!G121,Assumptions!G121,AA67)</f>
        <v>#DIV/0!</v>
      </c>
      <c r="AB74" s="4183"/>
      <c r="AC74" s="4182" t="e">
        <f>AC65/AC67</f>
        <v>#DIV/0!</v>
      </c>
      <c r="AD74" s="4183"/>
      <c r="AE74" s="4182" t="e">
        <f>IF(AE73=0,0,AE65/AE67)</f>
        <v>#DIV/0!</v>
      </c>
      <c r="AF74" s="4183"/>
      <c r="AG74" s="4182" t="e">
        <f>IF(AG73=0,0,AG65/AG67)</f>
        <v>#DIV/0!</v>
      </c>
      <c r="AH74" s="4281"/>
      <c r="AI74" s="4273" t="e">
        <f>AI65/IF(AI67&lt;Assumptions!G130,Assumptions!G130,AI67)</f>
        <v>#DIV/0!</v>
      </c>
      <c r="AJ74" s="4185"/>
      <c r="AK74" s="4184" t="e">
        <f>AK65/AK67</f>
        <v>#DIV/0!</v>
      </c>
      <c r="AL74" s="4185"/>
      <c r="AM74" s="4184" t="e">
        <f>IF(AM73=0,0,AM65/AM67)</f>
        <v>#DIV/0!</v>
      </c>
      <c r="AN74" s="4185"/>
      <c r="AO74" s="4184" t="e">
        <f>IF(AO73=0,0,AO65/AO67)</f>
        <v>#DIV/0!</v>
      </c>
      <c r="AP74" s="4293"/>
      <c r="AQ74" s="4285" t="e">
        <f>AQ65/IF(AQ67&lt;Assumptions!G139,Assumptions!G139,AQ67)</f>
        <v>#DIV/0!</v>
      </c>
      <c r="AR74" s="4187"/>
      <c r="AS74" s="4186" t="e">
        <f>AS65/AS67</f>
        <v>#DIV/0!</v>
      </c>
      <c r="AT74" s="4187"/>
      <c r="AU74" s="4186" t="e">
        <f>IF(AU73=0,0,AU65/AU67)</f>
        <v>#DIV/0!</v>
      </c>
      <c r="AV74" s="4187"/>
      <c r="AW74" s="4186" t="e">
        <f>IF(AW73=0,0,AW65/AW67)</f>
        <v>#DIV/0!</v>
      </c>
      <c r="AX74" s="4306"/>
      <c r="AY74" s="4297" t="e">
        <f>AY65/IF(AY67&lt;Assumptions!G148,Assumptions!G148,AY67)</f>
        <v>#DIV/0!</v>
      </c>
      <c r="AZ74" s="4189"/>
      <c r="BA74" s="4188" t="e">
        <f>BA65/BA67</f>
        <v>#DIV/0!</v>
      </c>
      <c r="BB74" s="4189"/>
      <c r="BC74" s="4188" t="e">
        <f>IF(BC73=0,0,BC65/BC67)</f>
        <v>#DIV/0!</v>
      </c>
      <c r="BD74" s="4189"/>
      <c r="BE74" s="4188" t="e">
        <f>IF(BE73=0,0,BE65/BE67)</f>
        <v>#DIV/0!</v>
      </c>
      <c r="BF74" s="4318"/>
      <c r="BG74" s="2171"/>
      <c r="BH74" s="2171"/>
      <c r="BI74" s="2171"/>
      <c r="BJ74" s="2171"/>
      <c r="BK74" s="2171"/>
      <c r="BL74" s="2171"/>
      <c r="BM74" s="2171"/>
      <c r="BO74" s="2146"/>
      <c r="BP74" s="2146"/>
      <c r="BQ74" s="2146"/>
      <c r="BR74" s="2146"/>
      <c r="BS74" s="2146"/>
      <c r="BT74" s="2146"/>
      <c r="BU74" s="2146"/>
    </row>
    <row r="75" spans="1:73">
      <c r="A75" s="97"/>
      <c r="C75" s="1421" t="e">
        <f>IF(C74=0,0,IF(C73/C74&lt;3147,3147,C73/C74))</f>
        <v>#DIV/0!</v>
      </c>
      <c r="D75" s="1420"/>
      <c r="E75" s="1421" t="e">
        <f>IF(E74=0,0,IF(E73/E74&lt;3147,3147,E73/E74))</f>
        <v>#DIV/0!</v>
      </c>
      <c r="F75" s="1420"/>
      <c r="G75" s="1421" t="e">
        <f>IF(G74=0,0,IF(G73/G74&lt;71.62,71.62,G73/G74))</f>
        <v>#DIV/0!</v>
      </c>
      <c r="H75" s="1420"/>
      <c r="I75" s="2742" t="e">
        <f>IF(I74=0,0,IF(I73/I74&lt;71.62,71.62,I73/I74))</f>
        <v>#DIV/0!</v>
      </c>
      <c r="K75" s="4160" t="e">
        <f>IF(K74=0,0,IF(K73/K74&lt;3392,3392,K73/K74))</f>
        <v>#DIV/0!</v>
      </c>
      <c r="L75" s="4163"/>
      <c r="M75" s="4160" t="e">
        <f>IF(M74=0,0,IF(M73/M74&lt;3392,3392,M73/M74))</f>
        <v>#DIV/0!</v>
      </c>
      <c r="N75" s="4163"/>
      <c r="O75" s="4222" t="e">
        <f>IF(O74=0,0,IF(O73/O74&lt;84.777,84.777,O73/O74))</f>
        <v>#DIV/0!</v>
      </c>
      <c r="P75" s="4212"/>
      <c r="Q75" s="4141" t="e">
        <f>IF(Q74=0,0,IF(Q73/Q74&lt;84.777,84.777,Q73/Q74))</f>
        <v>#DIV/0!</v>
      </c>
      <c r="R75" s="4261"/>
      <c r="S75" s="4255" t="e">
        <f>IF(S74=0,0,IF(S73/S74&lt;3392,3392,S73/S74))</f>
        <v>#DIV/0!</v>
      </c>
      <c r="T75" s="4117"/>
      <c r="U75" s="4116" t="e">
        <f>IF(U74=0,0,IF(U73/U74&lt;3392,3392,U73/U74))</f>
        <v>#DIV/0!</v>
      </c>
      <c r="V75" s="4117"/>
      <c r="W75" s="4116" t="e">
        <f>IF(W74=0,0,IF(W73/W74&lt;84.777,84.777,W73/W74))</f>
        <v>#DIV/0!</v>
      </c>
      <c r="X75" s="4117"/>
      <c r="Y75" s="4116" t="e">
        <f>IF(Y74=0,0,IF(Y73/Y74&lt;84.777,84.777,Y73/Y74))</f>
        <v>#DIV/0!</v>
      </c>
      <c r="Z75" s="4271"/>
      <c r="AA75" s="4265" t="e">
        <f>IF(AA74=0,0,IF(AA73/AA74&lt;3380,3380,AA73/AA74))</f>
        <v>#DIV/0!</v>
      </c>
      <c r="AB75" s="4183"/>
      <c r="AC75" s="4182" t="e">
        <f>IF(AC74=0,0,IF(AC73/AC74&lt;3380,3380,AC73/AC74))</f>
        <v>#DIV/0!</v>
      </c>
      <c r="AD75" s="4183"/>
      <c r="AE75" s="4182" t="e">
        <f>IF(AE74=0,0,IF(AE73/AE74&lt;72,72,AE73/AE74))</f>
        <v>#DIV/0!</v>
      </c>
      <c r="AF75" s="4183"/>
      <c r="AG75" s="4182" t="e">
        <f>IF(AG74=0,0,IF(AG73/AG74&lt;72,72,AG73/AG74))</f>
        <v>#DIV/0!</v>
      </c>
      <c r="AH75" s="4281"/>
      <c r="AI75" s="4273" t="e">
        <f>IF(AI74=0,0,IF(AI73/AI74&lt;3392,3392,AI73/AI74))</f>
        <v>#DIV/0!</v>
      </c>
      <c r="AJ75" s="4185"/>
      <c r="AK75" s="4184" t="e">
        <f>IF(AK74=0,0,IF(AK73/AK74&lt;3392,3392,AK73/AK74))</f>
        <v>#DIV/0!</v>
      </c>
      <c r="AL75" s="4185"/>
      <c r="AM75" s="4184" t="e">
        <f>IF(AM74=0,0,IF(AM73/AM74&lt;84.777,84.777,AM73/AM74))</f>
        <v>#DIV/0!</v>
      </c>
      <c r="AN75" s="4185"/>
      <c r="AO75" s="4184" t="e">
        <f>IF(AO74=0,0,IF(AO73/AO74&lt;84.777,84.777,AO73/AO74))</f>
        <v>#DIV/0!</v>
      </c>
      <c r="AP75" s="4293"/>
      <c r="AQ75" s="4285" t="e">
        <f>IF(AQ74=0,0,IF(AQ73/AQ74&lt;3392,3392,AQ73/AQ74))</f>
        <v>#DIV/0!</v>
      </c>
      <c r="AR75" s="4187"/>
      <c r="AS75" s="4186" t="e">
        <f>IF(AS74=0,0,IF(AS73/AS74&lt;3392,3392,AS73/AS74))</f>
        <v>#DIV/0!</v>
      </c>
      <c r="AT75" s="4187"/>
      <c r="AU75" s="4186" t="e">
        <f>IF(AU74=0,0,IF(AU73/AU74&lt;84.777,84.777,AU73/AU74))</f>
        <v>#DIV/0!</v>
      </c>
      <c r="AV75" s="4187"/>
      <c r="AW75" s="4186" t="e">
        <f>IF(AW74=0,0,IF(AW73/AW74&lt;84.777,84.777,AW73/AW74))</f>
        <v>#DIV/0!</v>
      </c>
      <c r="AX75" s="4306"/>
      <c r="AY75" s="4297" t="e">
        <f>IF(AY74=0,0,IF(AY73/AY74&lt;3392,3392,AY73/AY74))</f>
        <v>#DIV/0!</v>
      </c>
      <c r="AZ75" s="4189"/>
      <c r="BA75" s="4188" t="e">
        <f>IF(BA74=0,0,IF(BA73/BA74&lt;3392,3392,BA73/BA74))</f>
        <v>#DIV/0!</v>
      </c>
      <c r="BB75" s="4189"/>
      <c r="BC75" s="4188" t="e">
        <f>IF(BC74=0,0,IF(BC73/BC74&lt;84.777,84.777,BC73/BC74))</f>
        <v>#DIV/0!</v>
      </c>
      <c r="BD75" s="4189"/>
      <c r="BE75" s="4188" t="e">
        <f>IF(BE74=0,0,IF(BE73/BE74&lt;84.777,84.777,BE73/BE74))</f>
        <v>#DIV/0!</v>
      </c>
      <c r="BF75" s="4318"/>
      <c r="BG75" s="2171"/>
      <c r="BH75" s="2171"/>
      <c r="BI75" s="2171"/>
      <c r="BJ75" s="2171"/>
      <c r="BK75" s="2171"/>
      <c r="BL75" s="2171"/>
      <c r="BM75" s="2171"/>
      <c r="BO75" s="2146"/>
      <c r="BP75" s="2146"/>
      <c r="BQ75" s="2146"/>
      <c r="BR75" s="2146"/>
      <c r="BS75" s="2146"/>
      <c r="BT75" s="2146"/>
      <c r="BU75" s="2146"/>
    </row>
    <row r="76" spans="1:73">
      <c r="A76" s="97"/>
      <c r="C76" s="1413" t="e">
        <f>IF(OR('Data Entry - SOF'!C95=0,C75=0),0,IF('Data Entry - SOF'!C95&gt;C75,(C75*'Data Entry - SOF'!C94)/C75,('Data Entry - SOF'!C95*'Data Entry - SOF'!C94)/C75))</f>
        <v>#DIV/0!</v>
      </c>
      <c r="D76" s="1420"/>
      <c r="E76" s="1413" t="e">
        <f>C76</f>
        <v>#DIV/0!</v>
      </c>
      <c r="F76" s="1420"/>
      <c r="G76" s="1413" t="e">
        <f>IF(OR('Data Entry - SOF'!C95=0,G75=0),0,IF('Data Entry - SOF'!C95&gt;G75,(G75*'Data Entry - SOF'!C94)/G75,('Data Entry - SOF'!C95*'Data Entry - SOF'!C94)/G75))</f>
        <v>#DIV/0!</v>
      </c>
      <c r="H76" s="1420"/>
      <c r="I76" s="2738" t="e">
        <f>G76</f>
        <v>#DIV/0!</v>
      </c>
      <c r="K76" s="4129" t="e">
        <f>IF(OR('Data Entry - SOF'!E95=0,K75=0),0,IF('Data Entry - SOF'!E95&gt;K75,(K75*'Data Entry - SOF'!E94)/K75,('Data Entry - SOF'!E95*'Data Entry - SOF'!E94)/K75))</f>
        <v>#DIV/0!</v>
      </c>
      <c r="L76" s="4130"/>
      <c r="M76" s="4129" t="e">
        <f>K76</f>
        <v>#DIV/0!</v>
      </c>
      <c r="N76" s="4130"/>
      <c r="O76" s="4129" t="e">
        <f>IF(OR('Data Entry - SOF'!E95=0,O75=0),0,IF('Data Entry - SOF'!E95&gt;O75,(O75*'Data Entry - SOF'!E94)/O75,('Data Entry - SOF'!E95*'Data Entry - SOF'!E94)/O75))</f>
        <v>#DIV/0!</v>
      </c>
      <c r="P76" s="4130"/>
      <c r="Q76" s="4141" t="e">
        <f>O76</f>
        <v>#DIV/0!</v>
      </c>
      <c r="R76" s="4261"/>
      <c r="S76" s="4255" t="e">
        <f>IF(OR('Data Entry - SOF'!G95=0,S75=0),0,IF('Data Entry - SOF'!G95&gt;S75,(S75*'Data Entry - SOF'!G94)/S75,('Data Entry - SOF'!G95*'Data Entry - SOF'!G94)/S75))</f>
        <v>#DIV/0!</v>
      </c>
      <c r="T76" s="4117"/>
      <c r="U76" s="4116" t="e">
        <f>S76</f>
        <v>#DIV/0!</v>
      </c>
      <c r="V76" s="4117"/>
      <c r="W76" s="4116" t="e">
        <f>IF(OR('Data Entry - SOF'!G95=0,W75=0),0,IF('Data Entry - SOF'!G95&gt;W75,(W75*'Data Entry - SOF'!G94)/W75,('Data Entry - SOF'!G95*'Data Entry - SOF'!G94)/W75))</f>
        <v>#DIV/0!</v>
      </c>
      <c r="X76" s="4117"/>
      <c r="Y76" s="4116" t="e">
        <f>W76</f>
        <v>#DIV/0!</v>
      </c>
      <c r="Z76" s="4271"/>
      <c r="AA76" s="4265" t="e">
        <f>IF(OR('Data Entry - SOF'!I95=0,AA75=0),0,IF('Data Entry - SOF'!I95&gt;AA75,(AA75*'Data Entry - SOF'!I94)/AA75,('Data Entry - SOF'!I95*'Data Entry - SOF'!I94)/AA75))</f>
        <v>#DIV/0!</v>
      </c>
      <c r="AB76" s="4183"/>
      <c r="AC76" s="4182" t="e">
        <f>AA76</f>
        <v>#DIV/0!</v>
      </c>
      <c r="AD76" s="4183"/>
      <c r="AE76" s="4182" t="e">
        <f>IF(OR('Data Entry - SOF'!I95=0,AE75=0),0,IF('Data Entry - SOF'!I95&gt;AE75,(AE75*'Data Entry - SOF'!I94)/AE75,('Data Entry - SOF'!I95*'Data Entry - SOF'!I94)/AE75))</f>
        <v>#DIV/0!</v>
      </c>
      <c r="AF76" s="4183"/>
      <c r="AG76" s="4182" t="e">
        <f>AE76</f>
        <v>#DIV/0!</v>
      </c>
      <c r="AH76" s="4281"/>
      <c r="AI76" s="4273" t="e">
        <f>IF(OR('Data Entry - SOF'!K95=0,AI75=0),0,IF('Data Entry - SOF'!K95&gt;AI75,(AI75*'Data Entry - SOF'!K94)/AI75,('Data Entry - SOF'!K95*'Data Entry - SOF'!K94)/AI75))</f>
        <v>#DIV/0!</v>
      </c>
      <c r="AJ76" s="4185"/>
      <c r="AK76" s="4184" t="e">
        <f>AI76</f>
        <v>#DIV/0!</v>
      </c>
      <c r="AL76" s="4185"/>
      <c r="AM76" s="4184" t="e">
        <f>IF(OR('Data Entry - SOF'!K95=0,AM75=0),0,IF('Data Entry - SOF'!K95&gt;AM75,(AM75*'Data Entry - SOF'!K94)/AM75,('Data Entry - SOF'!K95*'Data Entry - SOF'!K94)/AM75))</f>
        <v>#DIV/0!</v>
      </c>
      <c r="AN76" s="4185"/>
      <c r="AO76" s="4184" t="e">
        <f>AM76</f>
        <v>#DIV/0!</v>
      </c>
      <c r="AP76" s="4293"/>
      <c r="AQ76" s="4285" t="e">
        <f>IF(OR('Data Entry - SOF'!M95=0,AQ75=0),0,IF('Data Entry - SOF'!M95&gt;AQ75,(AQ75*'Data Entry - SOF'!M94)/AQ75,('Data Entry - SOF'!M95*'Data Entry - SOF'!M94)/AQ75))</f>
        <v>#DIV/0!</v>
      </c>
      <c r="AR76" s="4187"/>
      <c r="AS76" s="4186" t="e">
        <f>AQ76</f>
        <v>#DIV/0!</v>
      </c>
      <c r="AT76" s="4187"/>
      <c r="AU76" s="4186" t="e">
        <f>IF(OR('Data Entry - SOF'!M95=0,AU75=0),0,IF('Data Entry - SOF'!M95&gt;AU75,(AU75*'Data Entry - SOF'!M94)/AU75,('Data Entry - SOF'!M95*'Data Entry - SOF'!M94)/AU75))</f>
        <v>#DIV/0!</v>
      </c>
      <c r="AV76" s="4187"/>
      <c r="AW76" s="4186" t="e">
        <f>AU76</f>
        <v>#DIV/0!</v>
      </c>
      <c r="AX76" s="4306"/>
      <c r="AY76" s="4297" t="e">
        <f>IF(OR('Data Entry - SOF'!O95=0,AY75=0),0,IF('Data Entry - SOF'!O95&gt;AY75,(AY75*'Data Entry - SOF'!O94)/AY75,('Data Entry - SOF'!O95*'Data Entry - SOF'!O94)/AY75))</f>
        <v>#DIV/0!</v>
      </c>
      <c r="AZ76" s="4189"/>
      <c r="BA76" s="4188" t="e">
        <f>AY76</f>
        <v>#DIV/0!</v>
      </c>
      <c r="BB76" s="4189"/>
      <c r="BC76" s="4188" t="e">
        <f>IF(OR('Data Entry - SOF'!O95=0,BC75=0),0,IF('Data Entry - SOF'!O95&gt;BC75,(BC75*'Data Entry - SOF'!O94)/BC75,('Data Entry - SOF'!O95*'Data Entry - SOF'!O94)/BC75))</f>
        <v>#DIV/0!</v>
      </c>
      <c r="BD76" s="4189"/>
      <c r="BE76" s="4188" t="e">
        <f>BC76</f>
        <v>#DIV/0!</v>
      </c>
      <c r="BF76" s="4318"/>
      <c r="BG76" s="2171"/>
      <c r="BH76" s="2171"/>
      <c r="BI76" s="2171"/>
      <c r="BJ76" s="2171"/>
      <c r="BK76" s="2171"/>
      <c r="BL76" s="2171"/>
      <c r="BM76" s="2171"/>
      <c r="BO76" s="2146"/>
      <c r="BP76" s="2146"/>
      <c r="BQ76" s="2146"/>
      <c r="BR76" s="2146"/>
      <c r="BS76" s="2146"/>
      <c r="BT76" s="2146"/>
      <c r="BU76" s="2146"/>
    </row>
    <row r="77" spans="1:73">
      <c r="A77" s="97"/>
      <c r="C77" s="1413">
        <v>0</v>
      </c>
      <c r="D77"/>
      <c r="E77" s="1413">
        <v>0</v>
      </c>
      <c r="F77"/>
      <c r="G77" s="1413">
        <v>0</v>
      </c>
      <c r="H77"/>
      <c r="I77">
        <v>0</v>
      </c>
      <c r="K77" s="4129">
        <v>0</v>
      </c>
      <c r="L77" s="4130"/>
      <c r="M77" s="4129">
        <v>0</v>
      </c>
      <c r="N77" s="4130"/>
      <c r="O77" s="4129">
        <v>0</v>
      </c>
      <c r="P77" s="4130"/>
      <c r="Q77" s="4141">
        <v>0</v>
      </c>
      <c r="R77" s="4261"/>
      <c r="S77" s="4255">
        <v>0</v>
      </c>
      <c r="T77" s="4117"/>
      <c r="U77" s="4116">
        <v>0</v>
      </c>
      <c r="V77" s="4117"/>
      <c r="W77" s="4116">
        <v>0</v>
      </c>
      <c r="X77" s="4117"/>
      <c r="Y77" s="4116">
        <v>0</v>
      </c>
      <c r="Z77" s="4271"/>
      <c r="AA77" s="4265">
        <v>0</v>
      </c>
      <c r="AB77" s="4183"/>
      <c r="AC77" s="4182">
        <v>0</v>
      </c>
      <c r="AD77" s="4183"/>
      <c r="AE77" s="4182">
        <v>0</v>
      </c>
      <c r="AF77" s="4183"/>
      <c r="AG77" s="4182">
        <v>0</v>
      </c>
      <c r="AH77" s="4281"/>
      <c r="AI77" s="4273">
        <v>0</v>
      </c>
      <c r="AJ77" s="4185"/>
      <c r="AK77" s="4184">
        <v>0</v>
      </c>
      <c r="AL77" s="4185"/>
      <c r="AM77" s="4184">
        <v>0</v>
      </c>
      <c r="AN77" s="4185"/>
      <c r="AO77" s="4184">
        <v>0</v>
      </c>
      <c r="AP77" s="4293"/>
      <c r="AQ77" s="4285">
        <v>0</v>
      </c>
      <c r="AR77" s="4187"/>
      <c r="AS77" s="4186">
        <v>0</v>
      </c>
      <c r="AT77" s="4187"/>
      <c r="AU77" s="4186">
        <v>0</v>
      </c>
      <c r="AV77" s="4187"/>
      <c r="AW77" s="4186">
        <v>0</v>
      </c>
      <c r="AX77" s="4306"/>
      <c r="AY77" s="4297">
        <v>0</v>
      </c>
      <c r="AZ77" s="4189"/>
      <c r="BA77" s="4188">
        <v>0</v>
      </c>
      <c r="BB77" s="4189"/>
      <c r="BC77" s="4188">
        <v>0</v>
      </c>
      <c r="BD77" s="4189"/>
      <c r="BE77" s="4188">
        <v>0</v>
      </c>
      <c r="BF77" s="4318"/>
      <c r="BG77" s="2171"/>
      <c r="BH77" s="2171"/>
      <c r="BI77" s="2171"/>
      <c r="BJ77" s="2171"/>
      <c r="BK77" s="2171"/>
      <c r="BL77" s="2171"/>
      <c r="BM77" s="2171"/>
      <c r="BO77" s="2146"/>
      <c r="BP77" s="2146"/>
      <c r="BQ77" s="2146"/>
      <c r="BR77" s="2146"/>
      <c r="BS77" s="2146"/>
      <c r="BT77" s="2146"/>
      <c r="BU77" s="2146"/>
    </row>
    <row r="78" spans="1:73">
      <c r="A78" s="97"/>
      <c r="C78" s="1413" t="e">
        <f>IF(C74-C76-C77&lt;0,0,C74-C76-C77)</f>
        <v>#DIV/0!</v>
      </c>
      <c r="D78" s="1420"/>
      <c r="E78" s="1413" t="e">
        <f>IF(E74-E76-E77&lt;0,0,E74-E76-E77)</f>
        <v>#DIV/0!</v>
      </c>
      <c r="F78" s="1420"/>
      <c r="G78" s="1413" t="e">
        <f>IF(G74-G76-G77&lt;0,0,G74-G76-G77)</f>
        <v>#DIV/0!</v>
      </c>
      <c r="H78" s="1420"/>
      <c r="I78" s="2738" t="e">
        <f>IF(I74-I76-I77&lt;0,0,I74-I76-I77)</f>
        <v>#DIV/0!</v>
      </c>
      <c r="K78" s="4129" t="e">
        <f>IF(K74-K76-K77&lt;0,0,K74-K76-K77)</f>
        <v>#DIV/0!</v>
      </c>
      <c r="L78" s="4130"/>
      <c r="M78" s="4129" t="e">
        <f>IF(M74-M76-M77&lt;0,0,M74-M76-M77)</f>
        <v>#DIV/0!</v>
      </c>
      <c r="N78" s="4130"/>
      <c r="O78" s="4129" t="e">
        <f>IF(O74-O76-O77&lt;0,0,O74-O76-O77)</f>
        <v>#DIV/0!</v>
      </c>
      <c r="P78" s="4130"/>
      <c r="Q78" s="4141" t="e">
        <f>IF(Q74-Q76-Q77&lt;0,0,Q74-Q76-Q77)</f>
        <v>#DIV/0!</v>
      </c>
      <c r="R78" s="4261"/>
      <c r="S78" s="4255" t="e">
        <f>IF(S74-S76-S77&lt;0,0,S74-S76-S77)</f>
        <v>#DIV/0!</v>
      </c>
      <c r="T78" s="4117"/>
      <c r="U78" s="4116" t="e">
        <f>IF(U74-U76-U77&lt;0,0,U74-U76-U77)</f>
        <v>#DIV/0!</v>
      </c>
      <c r="V78" s="4117"/>
      <c r="W78" s="4116" t="e">
        <f>IF(W74-W76-W77&lt;0,0,W74-W76-W77)</f>
        <v>#DIV/0!</v>
      </c>
      <c r="X78" s="4117"/>
      <c r="Y78" s="4116" t="e">
        <f>IF(Y74-Y76-Y77&lt;0,0,Y74-Y76-Y77)</f>
        <v>#DIV/0!</v>
      </c>
      <c r="Z78" s="4271"/>
      <c r="AA78" s="4265" t="e">
        <f>IF(AA74-AA76-AA77&lt;0,0,AA74-AA76-AA77)</f>
        <v>#DIV/0!</v>
      </c>
      <c r="AB78" s="4183"/>
      <c r="AC78" s="4182" t="e">
        <f>IF(AC74-AC76-AC77&lt;0,0,AC74-AC76-AC77)</f>
        <v>#DIV/0!</v>
      </c>
      <c r="AD78" s="4183"/>
      <c r="AE78" s="4182" t="e">
        <f>IF(AE74-AE76-AE77&lt;0,0,AE74-AE76-AE77)</f>
        <v>#DIV/0!</v>
      </c>
      <c r="AF78" s="4183"/>
      <c r="AG78" s="4182" t="e">
        <f>IF(AG74-AG76-AG77&lt;0,0,AG74-AG76-AG77)</f>
        <v>#DIV/0!</v>
      </c>
      <c r="AH78" s="4281"/>
      <c r="AI78" s="4273" t="e">
        <f>IF(AI74-AI76-AI77&lt;0,0,AI74-AI76-AI77)</f>
        <v>#DIV/0!</v>
      </c>
      <c r="AJ78" s="4185"/>
      <c r="AK78" s="4184" t="e">
        <f>IF(AK74-AK76-AK77&lt;0,0,AK74-AK76-AK77)</f>
        <v>#DIV/0!</v>
      </c>
      <c r="AL78" s="4185"/>
      <c r="AM78" s="4184" t="e">
        <f>IF(AM74-AM76-AM77&lt;0,0,AM74-AM76-AM77)</f>
        <v>#DIV/0!</v>
      </c>
      <c r="AN78" s="4185"/>
      <c r="AO78" s="4184" t="e">
        <f>IF(AO74-AO76-AO77&lt;0,0,AO74-AO76-AO77)</f>
        <v>#DIV/0!</v>
      </c>
      <c r="AP78" s="4293"/>
      <c r="AQ78" s="4285" t="e">
        <f>IF(AQ74-AQ76-AQ77&lt;0,0,AQ74-AQ76-AQ77)</f>
        <v>#DIV/0!</v>
      </c>
      <c r="AR78" s="4187"/>
      <c r="AS78" s="4186" t="e">
        <f>IF(AS74-AS76-AS77&lt;0,0,AS74-AS76-AS77)</f>
        <v>#DIV/0!</v>
      </c>
      <c r="AT78" s="4187"/>
      <c r="AU78" s="4186" t="e">
        <f>IF(AU74-AU76-AU77&lt;0,0,AU74-AU76-AU77)</f>
        <v>#DIV/0!</v>
      </c>
      <c r="AV78" s="4187"/>
      <c r="AW78" s="4186" t="e">
        <f>IF(AW74-AW76-AW77&lt;0,0,AW74-AW76-AW77)</f>
        <v>#DIV/0!</v>
      </c>
      <c r="AX78" s="4306"/>
      <c r="AY78" s="4297" t="e">
        <f>IF(AY74-AY76-AY77&lt;0,0,AY74-AY76-AY77)</f>
        <v>#DIV/0!</v>
      </c>
      <c r="AZ78" s="4189"/>
      <c r="BA78" s="4188" t="e">
        <f>IF(BA74-BA76-BA77&lt;0,0,BA74-BA76-BA77)</f>
        <v>#DIV/0!</v>
      </c>
      <c r="BB78" s="4189"/>
      <c r="BC78" s="4188" t="e">
        <f>IF(BC74-BC76-BC77&lt;0,0,BC74-BC76-BC77)</f>
        <v>#DIV/0!</v>
      </c>
      <c r="BD78" s="4189"/>
      <c r="BE78" s="4188" t="e">
        <f>IF(BE74-BE76-BE77&lt;0,0,BE74-BE76-BE77)</f>
        <v>#DIV/0!</v>
      </c>
      <c r="BF78" s="4318"/>
      <c r="BG78" s="2171"/>
      <c r="BH78" s="2171"/>
      <c r="BI78" s="2171"/>
      <c r="BJ78" s="2171"/>
      <c r="BK78" s="2171"/>
      <c r="BL78" s="2171"/>
      <c r="BM78" s="2171"/>
      <c r="BO78" s="2146"/>
      <c r="BP78" s="2146"/>
      <c r="BQ78" s="2146"/>
      <c r="BR78" s="2146"/>
      <c r="BS78" s="2146"/>
      <c r="BT78" s="2146"/>
      <c r="BU78" s="2146"/>
    </row>
    <row r="79" spans="1:73">
      <c r="A79" s="97"/>
      <c r="C79" s="1419" t="e">
        <f>IF(C78=0,0,C78*C75)</f>
        <v>#DIV/0!</v>
      </c>
      <c r="D79" s="1420"/>
      <c r="E79" s="1419" t="e">
        <f>IF(E78=0,0,E78*E75)</f>
        <v>#DIV/0!</v>
      </c>
      <c r="F79" s="1420"/>
      <c r="G79" s="1419" t="e">
        <f>IF(G78=0,0,G78*G75)</f>
        <v>#DIV/0!</v>
      </c>
      <c r="H79" s="1420"/>
      <c r="I79" s="2741" t="e">
        <f>IF(I78=0,0,I78*I75)</f>
        <v>#DIV/0!</v>
      </c>
      <c r="K79" s="4131" t="e">
        <f>IF(K78=0,0,K78*K75)</f>
        <v>#DIV/0!</v>
      </c>
      <c r="L79" s="4132"/>
      <c r="M79" s="4131" t="e">
        <f>IF(M78=0,0,M78*M75)</f>
        <v>#DIV/0!</v>
      </c>
      <c r="N79" s="4132"/>
      <c r="O79" s="4131" t="e">
        <f>IF(O78=0,0,O78*O75)</f>
        <v>#DIV/0!</v>
      </c>
      <c r="P79" s="4132"/>
      <c r="Q79" s="4140" t="e">
        <f>IF(Q78=0,0,Q78*Q75)</f>
        <v>#DIV/0!</v>
      </c>
      <c r="R79" s="4263"/>
      <c r="S79" s="4256" t="e">
        <f>IF(S78=0,0,S78*S75)</f>
        <v>#DIV/0!</v>
      </c>
      <c r="T79" s="4115"/>
      <c r="U79" s="4114" t="e">
        <f>IF(U78=0,0,U78*U75)</f>
        <v>#DIV/0!</v>
      </c>
      <c r="V79" s="4115"/>
      <c r="W79" s="4114" t="e">
        <f>IF(W78=0,0,W78*W75)</f>
        <v>#DIV/0!</v>
      </c>
      <c r="X79" s="4115"/>
      <c r="Y79" s="4114" t="e">
        <f>IF(Y78=0,0,Y78*Y75)</f>
        <v>#DIV/0!</v>
      </c>
      <c r="Z79" s="4246"/>
      <c r="AA79" s="4266" t="e">
        <f>IF(AA78=0,0,AA78*AA75)</f>
        <v>#DIV/0!</v>
      </c>
      <c r="AB79" s="4191"/>
      <c r="AC79" s="4190" t="e">
        <f>IF(AC78=0,0,AC78*AC75)</f>
        <v>#DIV/0!</v>
      </c>
      <c r="AD79" s="4191"/>
      <c r="AE79" s="4190" t="e">
        <f>IF(AE78=0,0,AE78*AE75)</f>
        <v>#DIV/0!</v>
      </c>
      <c r="AF79" s="4191"/>
      <c r="AG79" s="4190" t="e">
        <f>IF(AG78=0,0,AG78*AG75)</f>
        <v>#DIV/0!</v>
      </c>
      <c r="AH79" s="4282"/>
      <c r="AI79" s="4046" t="e">
        <f>IF(AI78=0,0,AI78*AI75)</f>
        <v>#DIV/0!</v>
      </c>
      <c r="AJ79" s="4193"/>
      <c r="AK79" s="4192" t="e">
        <f>IF(AK78=0,0,AK78*AK75)</f>
        <v>#DIV/0!</v>
      </c>
      <c r="AL79" s="4193"/>
      <c r="AM79" s="4192" t="e">
        <f>IF(AM78=0,0,AM78*AM75)</f>
        <v>#DIV/0!</v>
      </c>
      <c r="AN79" s="4193"/>
      <c r="AO79" s="4192" t="e">
        <f>IF(AO78=0,0,AO78*AO75)</f>
        <v>#DIV/0!</v>
      </c>
      <c r="AP79" s="4294"/>
      <c r="AQ79" s="4286" t="e">
        <f>IF(AQ78=0,0,AQ78*AQ75)</f>
        <v>#DIV/0!</v>
      </c>
      <c r="AR79" s="4195"/>
      <c r="AS79" s="4194" t="e">
        <f>IF(AS78=0,0,AS78*AS75)</f>
        <v>#DIV/0!</v>
      </c>
      <c r="AT79" s="4195"/>
      <c r="AU79" s="4194" t="e">
        <f>IF(AU78=0,0,AU78*AU75)</f>
        <v>#DIV/0!</v>
      </c>
      <c r="AV79" s="4195"/>
      <c r="AW79" s="4194" t="e">
        <f>IF(AW78=0,0,AW78*AW75)</f>
        <v>#DIV/0!</v>
      </c>
      <c r="AX79" s="4307"/>
      <c r="AY79" s="4298" t="e">
        <f>IF(AY78=0,0,AY78*AY75)</f>
        <v>#DIV/0!</v>
      </c>
      <c r="AZ79" s="4197"/>
      <c r="BA79" s="4196" t="e">
        <f>IF(BA78=0,0,BA78*BA75)</f>
        <v>#DIV/0!</v>
      </c>
      <c r="BB79" s="4197"/>
      <c r="BC79" s="4196" t="e">
        <f>IF(BC78=0,0,BC78*BC75)</f>
        <v>#DIV/0!</v>
      </c>
      <c r="BD79" s="4197"/>
      <c r="BE79" s="4196" t="e">
        <f>IF(BE78=0,0,BE78*BE75)</f>
        <v>#DIV/0!</v>
      </c>
      <c r="BF79" s="4318"/>
      <c r="BG79" s="2171"/>
      <c r="BH79" s="2171"/>
      <c r="BI79" s="2171"/>
      <c r="BJ79" s="2171"/>
      <c r="BK79" s="2171"/>
      <c r="BL79" s="2171"/>
      <c r="BM79" s="2171"/>
      <c r="BO79" s="2146"/>
      <c r="BP79" s="2146"/>
      <c r="BQ79" s="2146"/>
      <c r="BR79" s="2146"/>
      <c r="BS79" s="2146"/>
      <c r="BT79" s="2146"/>
      <c r="BU79" s="2146"/>
    </row>
    <row r="80" spans="1:73">
      <c r="A80" s="97"/>
      <c r="D80" s="1420"/>
      <c r="F80" s="1420"/>
      <c r="H80" s="1420"/>
      <c r="I80" s="2733"/>
      <c r="Q80" s="4221"/>
      <c r="R80" s="4263"/>
      <c r="S80" s="4115"/>
      <c r="T80" s="4115"/>
      <c r="U80" s="4115"/>
      <c r="V80" s="4115"/>
      <c r="W80" s="4115"/>
      <c r="X80" s="4115"/>
      <c r="Y80" s="4115"/>
      <c r="Z80" s="4246"/>
      <c r="AA80" s="4191"/>
      <c r="AB80" s="4191"/>
      <c r="AC80" s="4191"/>
      <c r="AD80" s="4191"/>
      <c r="AE80" s="4191"/>
      <c r="AF80" s="4191"/>
      <c r="AG80" s="4191"/>
      <c r="AH80" s="4282"/>
      <c r="AI80" s="4193"/>
      <c r="AJ80" s="4193"/>
      <c r="AK80" s="4193"/>
      <c r="AL80" s="4193"/>
      <c r="AM80" s="4193"/>
      <c r="AN80" s="4193"/>
      <c r="AO80" s="4193"/>
      <c r="AP80" s="4294"/>
      <c r="AQ80" s="4195"/>
      <c r="AR80" s="4195"/>
      <c r="AS80" s="4195"/>
      <c r="AT80" s="4195"/>
      <c r="AU80" s="4195"/>
      <c r="AV80" s="4195"/>
      <c r="AW80" s="4195"/>
      <c r="AX80" s="4307"/>
      <c r="AY80" s="4197"/>
      <c r="AZ80" s="4197"/>
      <c r="BA80" s="4197"/>
      <c r="BB80" s="4197"/>
      <c r="BC80" s="4197"/>
      <c r="BD80" s="4197"/>
      <c r="BE80" s="4197"/>
      <c r="BF80" s="4318"/>
      <c r="BG80" s="2171"/>
      <c r="BH80" s="2171"/>
      <c r="BI80" s="2171"/>
      <c r="BJ80" s="2171"/>
      <c r="BK80" s="2171"/>
      <c r="BL80" s="2171"/>
      <c r="BM80" s="2171"/>
      <c r="BO80" s="2146"/>
      <c r="BP80" s="2146"/>
      <c r="BQ80" s="2146"/>
      <c r="BR80" s="2146"/>
      <c r="BS80" s="2146"/>
      <c r="BT80" s="2146"/>
      <c r="BU80" s="2146"/>
    </row>
    <row r="81" spans="1:73">
      <c r="A81" s="97"/>
      <c r="D81" s="1420"/>
      <c r="F81" s="1420"/>
      <c r="H81" s="1420"/>
      <c r="I81" s="2733"/>
      <c r="Q81" s="4221"/>
      <c r="R81" s="4263"/>
      <c r="S81" s="4115"/>
      <c r="T81" s="4115"/>
      <c r="U81" s="4115"/>
      <c r="V81" s="4115"/>
      <c r="W81" s="4115"/>
      <c r="X81" s="4115"/>
      <c r="Y81" s="4115"/>
      <c r="Z81" s="4246"/>
      <c r="AA81" s="4191"/>
      <c r="AB81" s="4191"/>
      <c r="AC81" s="4191"/>
      <c r="AD81" s="4191"/>
      <c r="AE81" s="4191"/>
      <c r="AF81" s="4191"/>
      <c r="AG81" s="4191"/>
      <c r="AH81" s="4282"/>
      <c r="AI81" s="4193"/>
      <c r="AJ81" s="4193"/>
      <c r="AK81" s="4193"/>
      <c r="AL81" s="4193"/>
      <c r="AM81" s="4193"/>
      <c r="AN81" s="4193"/>
      <c r="AO81" s="4193"/>
      <c r="AP81" s="4294"/>
      <c r="AQ81" s="4195"/>
      <c r="AR81" s="4195"/>
      <c r="AS81" s="4195"/>
      <c r="AT81" s="4195"/>
      <c r="AU81" s="4195"/>
      <c r="AV81" s="4195"/>
      <c r="AW81" s="4195"/>
      <c r="AX81" s="4307"/>
      <c r="AY81" s="4197"/>
      <c r="AZ81" s="4197"/>
      <c r="BA81" s="4197"/>
      <c r="BB81" s="4197"/>
      <c r="BC81" s="4197"/>
      <c r="BD81" s="4197"/>
      <c r="BE81" s="4197"/>
      <c r="BF81" s="4318"/>
      <c r="BG81" s="2171"/>
      <c r="BH81" s="2171"/>
      <c r="BI81" s="2171"/>
      <c r="BJ81" s="2171"/>
      <c r="BK81" s="2171"/>
      <c r="BL81" s="2171"/>
      <c r="BM81" s="2171"/>
      <c r="BO81" s="2146"/>
      <c r="BP81" s="2146"/>
      <c r="BQ81" s="2146"/>
      <c r="BR81" s="2146"/>
      <c r="BS81" s="2146"/>
      <c r="BT81" s="2146"/>
      <c r="BU81" s="2146"/>
    </row>
    <row r="82" spans="1:73">
      <c r="A82" s="97"/>
      <c r="C82" s="1423" t="e">
        <f>IF(C134&gt;C135,C135,C134)</f>
        <v>#DIV/0!</v>
      </c>
      <c r="D82" s="1420"/>
      <c r="E82" s="1423">
        <v>0</v>
      </c>
      <c r="F82" s="1420"/>
      <c r="G82" s="1423" t="e">
        <f>IF(G134&gt;G135,G135,G134)</f>
        <v>#DIV/0!</v>
      </c>
      <c r="H82" s="1420"/>
      <c r="I82" s="2744">
        <v>0</v>
      </c>
      <c r="K82" s="4160" t="e">
        <f>IF(K134&gt;K135,K135,K134)</f>
        <v>#DIV/0!</v>
      </c>
      <c r="L82" s="4161"/>
      <c r="M82" s="4160">
        <v>0</v>
      </c>
      <c r="N82" s="4161"/>
      <c r="O82" s="4228" t="e">
        <f>IF(O134&gt;O135,O135,O134)</f>
        <v>#DIV/0!</v>
      </c>
      <c r="P82" s="4161"/>
      <c r="Q82" s="4140">
        <v>0</v>
      </c>
      <c r="R82" s="4263"/>
      <c r="S82" s="4256" t="e">
        <f>IF(S134&gt;S135,S135,S134)</f>
        <v>#DIV/0!</v>
      </c>
      <c r="T82" s="4115"/>
      <c r="U82" s="4114">
        <v>0</v>
      </c>
      <c r="V82" s="4115"/>
      <c r="W82" s="4114" t="e">
        <f>IF(W134&gt;W135,W135,W134)</f>
        <v>#DIV/0!</v>
      </c>
      <c r="X82" s="4115"/>
      <c r="Y82" s="4114">
        <v>0</v>
      </c>
      <c r="Z82" s="4246"/>
      <c r="AA82" s="4266" t="e">
        <f>IF(AA134&gt;AA135,AA135,AA134)</f>
        <v>#DIV/0!</v>
      </c>
      <c r="AB82" s="4191"/>
      <c r="AC82" s="4190">
        <v>0</v>
      </c>
      <c r="AD82" s="4191"/>
      <c r="AE82" s="4190" t="e">
        <f>IF(AE134&gt;AE135,AE135,AE134)</f>
        <v>#DIV/0!</v>
      </c>
      <c r="AF82" s="4191"/>
      <c r="AG82" s="4190">
        <v>0</v>
      </c>
      <c r="AH82" s="4282"/>
      <c r="AI82" s="4046" t="e">
        <f>IF(AI134&gt;AI135,AI135,AI134)</f>
        <v>#DIV/0!</v>
      </c>
      <c r="AJ82" s="4193"/>
      <c r="AK82" s="4192">
        <v>0</v>
      </c>
      <c r="AL82" s="4193"/>
      <c r="AM82" s="4192" t="e">
        <f>IF(AM134&gt;AM135,AM135,AM134)</f>
        <v>#DIV/0!</v>
      </c>
      <c r="AN82" s="4193"/>
      <c r="AO82" s="4192">
        <v>0</v>
      </c>
      <c r="AP82" s="4294"/>
      <c r="AQ82" s="4286" t="e">
        <f>IF(AQ134&gt;AQ135,AQ135,AQ134)</f>
        <v>#DIV/0!</v>
      </c>
      <c r="AR82" s="4195"/>
      <c r="AS82" s="4194">
        <v>0</v>
      </c>
      <c r="AT82" s="4195"/>
      <c r="AU82" s="4194" t="e">
        <f>IF(AU134&gt;AU135,AU135,AU134)</f>
        <v>#DIV/0!</v>
      </c>
      <c r="AV82" s="4195"/>
      <c r="AW82" s="4194">
        <v>0</v>
      </c>
      <c r="AX82" s="4307"/>
      <c r="AY82" s="4298" t="e">
        <f>IF(AY134&gt;AY135,AY135,AY134)</f>
        <v>#DIV/0!</v>
      </c>
      <c r="AZ82" s="4197"/>
      <c r="BA82" s="4196">
        <v>0</v>
      </c>
      <c r="BB82" s="4197"/>
      <c r="BC82" s="4196" t="e">
        <f>IF(BC134&gt;BC135,BC135,BC134)</f>
        <v>#DIV/0!</v>
      </c>
      <c r="BD82" s="4197"/>
      <c r="BE82" s="4196">
        <v>0</v>
      </c>
      <c r="BF82" s="4318"/>
      <c r="BG82" s="2171"/>
      <c r="BH82" s="2171"/>
      <c r="BI82" s="2171"/>
      <c r="BJ82" s="2171"/>
      <c r="BK82" s="2171"/>
      <c r="BL82" s="2171"/>
      <c r="BM82" s="2171"/>
      <c r="BO82" s="2146"/>
      <c r="BP82" s="2146"/>
      <c r="BQ82" s="2146"/>
      <c r="BR82" s="2146"/>
      <c r="BS82" s="2146"/>
      <c r="BT82" s="2146"/>
      <c r="BU82" s="2146"/>
    </row>
    <row r="83" spans="1:73">
      <c r="A83" s="97"/>
      <c r="C83" s="1423" t="e">
        <f>'Data Entry - SOF'!C91*(C79/'Data Entry - SOF'!C59)</f>
        <v>#DIV/0!</v>
      </c>
      <c r="D83" s="1420"/>
      <c r="E83" s="1423">
        <f>IF('Data Entry - SOF'!C92&gt;E137,E137,'Data Entry - SOF'!C92)</f>
        <v>0</v>
      </c>
      <c r="F83" s="1420"/>
      <c r="G83" s="1423" t="e">
        <f>'Data Entry - SOF'!C91*(G79/'Data Entry - SOF'!C59)</f>
        <v>#DIV/0!</v>
      </c>
      <c r="H83" s="1420"/>
      <c r="I83" s="2744">
        <f>IF('Data Entry - SOF'!C92&gt;I137,I137,'Data Entry - SOF'!C92)</f>
        <v>0</v>
      </c>
      <c r="K83" s="4160" t="e">
        <f>'Data Entry - SOF'!E91*(K79/'Data Entry - SOF'!E59)</f>
        <v>#DIV/0!</v>
      </c>
      <c r="L83" s="4161"/>
      <c r="M83" s="4160">
        <f>IF('Data Entry - SOF'!E92&gt;M137,M137,'Data Entry - SOF'!E92)</f>
        <v>0</v>
      </c>
      <c r="N83" s="4161"/>
      <c r="O83" s="4228" t="e">
        <f>'Data Entry - SOF'!E91*(O79/'Data Entry - SOF'!E59)</f>
        <v>#DIV/0!</v>
      </c>
      <c r="P83" s="4161"/>
      <c r="Q83" s="4140">
        <f>IF('Data Entry - SOF'!E92&gt;Q137,Q137,'Data Entry - SOF'!E92)</f>
        <v>0</v>
      </c>
      <c r="R83" s="4263"/>
      <c r="S83" s="4256" t="e">
        <f>'Data Entry - SOF'!G91*(S79/'Data Entry - SOF'!G59)</f>
        <v>#DIV/0!</v>
      </c>
      <c r="T83" s="4115"/>
      <c r="U83" s="4114">
        <f>IF('Data Entry - SOF'!G92&gt;U137,U137,'Data Entry - SOF'!G92)</f>
        <v>0</v>
      </c>
      <c r="V83" s="4115"/>
      <c r="W83" s="4114" t="e">
        <f>'Data Entry - SOF'!G91*(W79/'Data Entry - SOF'!G59)</f>
        <v>#DIV/0!</v>
      </c>
      <c r="X83" s="4115"/>
      <c r="Y83" s="4114">
        <f>IF('Data Entry - SOF'!G92&gt;Y137,Y137,'Data Entry - SOF'!G92)</f>
        <v>0</v>
      </c>
      <c r="Z83" s="4246"/>
      <c r="AA83" s="4266" t="e">
        <f>'Data Entry - SOF'!I91*(AA79/'Data Entry - SOF'!I59)</f>
        <v>#DIV/0!</v>
      </c>
      <c r="AB83" s="4191"/>
      <c r="AC83" s="4190">
        <f>IF('Data Entry - SOF'!I92&gt;AC137,AC137,'Data Entry - SOF'!I92)</f>
        <v>0</v>
      </c>
      <c r="AD83" s="4191"/>
      <c r="AE83" s="4190" t="e">
        <f>'Data Entry - SOF'!I91*(AE79/'Data Entry - SOF'!I59)</f>
        <v>#DIV/0!</v>
      </c>
      <c r="AF83" s="4191"/>
      <c r="AG83" s="4190">
        <f>IF('Data Entry - SOF'!I92&gt;AG137,AG137,'Data Entry - SOF'!I92)</f>
        <v>0</v>
      </c>
      <c r="AH83" s="4282"/>
      <c r="AI83" s="4046" t="e">
        <f>'Data Entry - SOF'!K91*(AI79/'Data Entry - SOF'!K59)</f>
        <v>#DIV/0!</v>
      </c>
      <c r="AJ83" s="4193"/>
      <c r="AK83" s="4192">
        <f>IF('Data Entry - SOF'!K92&gt;AK137,AK137,'Data Entry - SOF'!K92)</f>
        <v>0</v>
      </c>
      <c r="AL83" s="4193"/>
      <c r="AM83" s="4192" t="e">
        <f>'Data Entry - SOF'!K91*(AM79/'Data Entry - SOF'!K59)</f>
        <v>#DIV/0!</v>
      </c>
      <c r="AN83" s="4193"/>
      <c r="AO83" s="4192">
        <f>IF('Data Entry - SOF'!K92&gt;AO137,AO137,'Data Entry - SOF'!K92)</f>
        <v>0</v>
      </c>
      <c r="AP83" s="4294"/>
      <c r="AQ83" s="4286" t="e">
        <f>'Data Entry - SOF'!M91*(AQ79/'Data Entry - SOF'!M59)</f>
        <v>#DIV/0!</v>
      </c>
      <c r="AR83" s="4195"/>
      <c r="AS83" s="4194">
        <f>IF('Data Entry - SOF'!M92&gt;AS137,AS137,'Data Entry - SOF'!M92)</f>
        <v>0</v>
      </c>
      <c r="AT83" s="4195"/>
      <c r="AU83" s="4194" t="e">
        <f>'Data Entry - SOF'!M91*(AU79/'Data Entry - SOF'!M59)</f>
        <v>#DIV/0!</v>
      </c>
      <c r="AV83" s="4195"/>
      <c r="AW83" s="4194">
        <f>IF('Data Entry - SOF'!M92&gt;AW137,AW137,'Data Entry - SOF'!M92)</f>
        <v>0</v>
      </c>
      <c r="AX83" s="4307"/>
      <c r="AY83" s="4298" t="e">
        <f>'Data Entry - SOF'!O91*(AY79/'Data Entry - SOF'!O59)</f>
        <v>#DIV/0!</v>
      </c>
      <c r="AZ83" s="4197"/>
      <c r="BA83" s="4196">
        <f>IF('Data Entry - SOF'!O92&gt;BA137,BA137,'Data Entry - SOF'!O92)</f>
        <v>0</v>
      </c>
      <c r="BB83" s="4197"/>
      <c r="BC83" s="4196" t="e">
        <f>'Data Entry - SOF'!O91*(BC79/'Data Entry - SOF'!O59)</f>
        <v>#DIV/0!</v>
      </c>
      <c r="BD83" s="4197"/>
      <c r="BE83" s="4196">
        <f>IF('Data Entry - SOF'!O92&gt;BE137,BE137,'Data Entry - SOF'!O92)</f>
        <v>0</v>
      </c>
      <c r="BF83" s="4318"/>
      <c r="BG83" s="2171"/>
      <c r="BH83" s="2171"/>
      <c r="BI83" s="2171"/>
      <c r="BJ83" s="2171"/>
      <c r="BK83" s="2171"/>
      <c r="BL83" s="2171"/>
      <c r="BM83" s="2171"/>
      <c r="BO83" s="2146"/>
      <c r="BP83" s="2146"/>
      <c r="BQ83" s="2146"/>
      <c r="BR83" s="2146"/>
      <c r="BS83" s="2146"/>
      <c r="BT83" s="2146"/>
      <c r="BU83" s="2146"/>
    </row>
    <row r="84" spans="1:73">
      <c r="A84" s="97"/>
      <c r="C84" s="1405"/>
      <c r="D84" s="1420"/>
      <c r="E84" s="1405"/>
      <c r="F84" s="1420"/>
      <c r="G84" s="1405"/>
      <c r="H84" s="1420"/>
      <c r="I84" s="2745"/>
      <c r="K84" s="4161"/>
      <c r="L84" s="4161"/>
      <c r="M84" s="4161"/>
      <c r="N84" s="4161"/>
      <c r="O84" s="4161"/>
      <c r="P84" s="4161"/>
      <c r="Q84" s="4221"/>
      <c r="R84" s="4263"/>
      <c r="S84" s="4115"/>
      <c r="T84" s="4115"/>
      <c r="U84" s="4115"/>
      <c r="V84" s="4115"/>
      <c r="W84" s="4115"/>
      <c r="X84" s="4115"/>
      <c r="Y84" s="4115"/>
      <c r="Z84" s="4246"/>
      <c r="AA84" s="4191"/>
      <c r="AB84" s="4191"/>
      <c r="AC84" s="4191"/>
      <c r="AD84" s="4191"/>
      <c r="AE84" s="4191"/>
      <c r="AF84" s="4191"/>
      <c r="AG84" s="4191"/>
      <c r="AH84" s="4282"/>
      <c r="AI84" s="4193"/>
      <c r="AJ84" s="4193"/>
      <c r="AK84" s="4193"/>
      <c r="AL84" s="4193"/>
      <c r="AM84" s="4193"/>
      <c r="AN84" s="4193"/>
      <c r="AO84" s="4193"/>
      <c r="AP84" s="4294"/>
      <c r="AQ84" s="4195"/>
      <c r="AR84" s="4195"/>
      <c r="AS84" s="4195"/>
      <c r="AT84" s="4195"/>
      <c r="AU84" s="4195"/>
      <c r="AV84" s="4195"/>
      <c r="AW84" s="4195"/>
      <c r="AX84" s="4307"/>
      <c r="AY84" s="4197"/>
      <c r="AZ84" s="4197"/>
      <c r="BA84" s="4197"/>
      <c r="BB84" s="4197"/>
      <c r="BC84" s="4197"/>
      <c r="BD84" s="4197"/>
      <c r="BE84" s="4197"/>
      <c r="BF84" s="4318"/>
      <c r="BG84" s="2171"/>
      <c r="BH84" s="2171"/>
      <c r="BI84" s="2171"/>
      <c r="BJ84" s="2171"/>
      <c r="BK84" s="2171"/>
      <c r="BL84" s="2171"/>
      <c r="BM84" s="2171"/>
      <c r="BO84" s="2146"/>
      <c r="BP84" s="2146"/>
      <c r="BQ84" s="2146"/>
      <c r="BR84" s="2146"/>
      <c r="BS84" s="2146"/>
      <c r="BT84" s="2146"/>
      <c r="BU84" s="2146"/>
    </row>
    <row r="85" spans="1:73" ht="13.5" thickBot="1">
      <c r="A85" s="97"/>
      <c r="C85" s="1424" t="e">
        <f>IF(C79-C82-C83&lt;0,0,C79-C82-C83)</f>
        <v>#DIV/0!</v>
      </c>
      <c r="D85" s="1420"/>
      <c r="E85" s="1424" t="e">
        <f>IF(E79-E82-E83&lt;0,0,E79-E82-E83)</f>
        <v>#DIV/0!</v>
      </c>
      <c r="F85" s="1420"/>
      <c r="G85" s="1424" t="e">
        <f>IF(G79-G82-G83&lt;0,0,G79-G82-G83)</f>
        <v>#DIV/0!</v>
      </c>
      <c r="H85" s="1420"/>
      <c r="I85" s="2746" t="e">
        <f>IF(I79-I82-I83&lt;0,0,I79-I82-I83)</f>
        <v>#DIV/0!</v>
      </c>
      <c r="K85" s="4162" t="e">
        <f>IF(K79-K82-K83&lt;0,0,K79-K82-K83)</f>
        <v>#DIV/0!</v>
      </c>
      <c r="L85" s="4161"/>
      <c r="M85" s="4162" t="e">
        <f>IF(M79-M82-M83&lt;0,0,M79-M82-M83)</f>
        <v>#DIV/0!</v>
      </c>
      <c r="N85" s="4161"/>
      <c r="O85" s="4230" t="e">
        <f>IF(O79-O82-O83&lt;0,0,O79-O82-O83)</f>
        <v>#DIV/0!</v>
      </c>
      <c r="P85" s="4161"/>
      <c r="Q85" s="4223" t="e">
        <f>IF(Q79-Q82-Q83&lt;0,0,Q79-Q82-Q83)</f>
        <v>#DIV/0!</v>
      </c>
      <c r="R85" s="4263"/>
      <c r="S85" s="4123" t="e">
        <f>IF(S79-S82-S83&lt;0,0,S79-S82-S83)</f>
        <v>#DIV/0!</v>
      </c>
      <c r="T85" s="4115"/>
      <c r="U85" s="4123" t="e">
        <f>IF(U79-U82-U83&lt;0,0,U79-U82-U83)</f>
        <v>#DIV/0!</v>
      </c>
      <c r="V85" s="4115"/>
      <c r="W85" s="4123" t="e">
        <f>IF(W79-W82-W83&lt;0,0,W79-W82-W83)</f>
        <v>#DIV/0!</v>
      </c>
      <c r="X85" s="4115"/>
      <c r="Y85" s="4123" t="e">
        <f>IF(Y79-Y82-Y83&lt;0,0,Y79-Y82-Y83)</f>
        <v>#DIV/0!</v>
      </c>
      <c r="Z85" s="4246"/>
      <c r="AA85" s="4224" t="e">
        <f>IF(AA79-AA82-AA83&lt;0,0,AA79-AA82-AA83)</f>
        <v>#DIV/0!</v>
      </c>
      <c r="AB85" s="4191"/>
      <c r="AC85" s="4224" t="e">
        <f>IF(AC79-AC82-AC83&lt;0,0,AC79-AC82-AC83)</f>
        <v>#DIV/0!</v>
      </c>
      <c r="AD85" s="4191"/>
      <c r="AE85" s="4224" t="e">
        <f>IF(AE79-AE82-AE83&lt;0,0,AE79-AE82-AE83)</f>
        <v>#DIV/0!</v>
      </c>
      <c r="AF85" s="4191"/>
      <c r="AG85" s="4224" t="e">
        <f>IF(AG79-AG82-AG83&lt;0,0,AG79-AG82-AG83)</f>
        <v>#DIV/0!</v>
      </c>
      <c r="AH85" s="4282"/>
      <c r="AI85" s="4225" t="e">
        <f>IF(AI79-AI82-AI83&lt;0,0,AI79-AI82-AI83)</f>
        <v>#DIV/0!</v>
      </c>
      <c r="AJ85" s="4193"/>
      <c r="AK85" s="4225" t="e">
        <f>IF(AK79-AK82-AK83&lt;0,0,AK79-AK82-AK83)</f>
        <v>#DIV/0!</v>
      </c>
      <c r="AL85" s="4193"/>
      <c r="AM85" s="4225" t="e">
        <f>IF(AM79-AM82-AM83&lt;0,0,AM79-AM82-AM83)</f>
        <v>#DIV/0!</v>
      </c>
      <c r="AN85" s="4193"/>
      <c r="AO85" s="4225" t="e">
        <f>IF(AO79-AO82-AO83&lt;0,0,AO79-AO82-AO83)</f>
        <v>#DIV/0!</v>
      </c>
      <c r="AP85" s="4294"/>
      <c r="AQ85" s="4226" t="e">
        <f>IF(AQ79-AQ82-AQ83&lt;0,0,AQ79-AQ82-AQ83)</f>
        <v>#DIV/0!</v>
      </c>
      <c r="AR85" s="4195"/>
      <c r="AS85" s="4226" t="e">
        <f>IF(AS79-AS82-AS83&lt;0,0,AS79-AS82-AS83)</f>
        <v>#DIV/0!</v>
      </c>
      <c r="AT85" s="4195"/>
      <c r="AU85" s="4226" t="e">
        <f>IF(AU79-AU82-AU83&lt;0,0,AU79-AU82-AU83)</f>
        <v>#DIV/0!</v>
      </c>
      <c r="AV85" s="4195"/>
      <c r="AW85" s="4226" t="e">
        <f>IF(AW79-AW82-AW83&lt;0,0,AW79-AW82-AW83)</f>
        <v>#DIV/0!</v>
      </c>
      <c r="AX85" s="4307"/>
      <c r="AY85" s="4227" t="e">
        <f>IF(AY79-AY82-AY83&lt;0,0,AY79-AY82-AY83)</f>
        <v>#DIV/0!</v>
      </c>
      <c r="AZ85" s="4197"/>
      <c r="BA85" s="4227" t="e">
        <f>IF(BA79-BA82-BA83&lt;0,0,BA79-BA82-BA83)</f>
        <v>#DIV/0!</v>
      </c>
      <c r="BB85" s="4197"/>
      <c r="BC85" s="4227" t="e">
        <f>IF(BC79-BC82-BC83&lt;0,0,BC79-BC82-BC83)</f>
        <v>#DIV/0!</v>
      </c>
      <c r="BD85" s="4197"/>
      <c r="BE85" s="4227" t="e">
        <f>IF(BE79-BE82-BE83&lt;0,0,BE79-BE82-BE83)</f>
        <v>#DIV/0!</v>
      </c>
      <c r="BF85" s="4318"/>
      <c r="BG85" s="2171"/>
      <c r="BH85" s="2171"/>
      <c r="BI85" s="2171"/>
      <c r="BJ85" s="2171"/>
      <c r="BK85" s="2171"/>
      <c r="BL85" s="2171"/>
      <c r="BM85" s="2171"/>
      <c r="BO85" s="2146"/>
      <c r="BP85" s="2146"/>
      <c r="BQ85" s="2146"/>
      <c r="BR85" s="2146"/>
      <c r="BS85" s="2146"/>
      <c r="BT85" s="2146"/>
      <c r="BU85" s="2146"/>
    </row>
    <row r="86" spans="1:73" ht="13.5" thickTop="1">
      <c r="A86" s="97"/>
      <c r="C86" s="1420" t="e">
        <f>IF(C78=0,0,C85/C78)</f>
        <v>#DIV/0!</v>
      </c>
      <c r="D86" s="1420"/>
      <c r="E86" s="1420" t="e">
        <f>IF(E78=0,0,E85/E78)</f>
        <v>#DIV/0!</v>
      </c>
      <c r="F86" s="1420"/>
      <c r="G86" s="1420" t="e">
        <f>IF(G78=0,0,G85/G78)</f>
        <v>#DIV/0!</v>
      </c>
      <c r="H86" s="1420"/>
      <c r="I86" s="2745" t="e">
        <f>IF(I78=0,0,I85/I78)</f>
        <v>#DIV/0!</v>
      </c>
      <c r="K86" s="4161" t="e">
        <f>IF(K78=0,0,K85/K78)</f>
        <v>#DIV/0!</v>
      </c>
      <c r="L86" s="4161"/>
      <c r="M86" s="4161" t="e">
        <f>IF(M78=0,0,M85/M78)</f>
        <v>#DIV/0!</v>
      </c>
      <c r="N86" s="4161"/>
      <c r="O86" s="4161" t="e">
        <f>IF(O78=0,0,O85/O78)</f>
        <v>#DIV/0!</v>
      </c>
      <c r="P86" s="4161"/>
      <c r="Q86" s="4221" t="e">
        <f>IF(Q78=0,0,Q85/Q78)</f>
        <v>#DIV/0!</v>
      </c>
      <c r="R86" s="4263"/>
      <c r="S86" s="4115" t="e">
        <f>IF(S78=0,0,S85/S78)</f>
        <v>#DIV/0!</v>
      </c>
      <c r="T86" s="4115"/>
      <c r="U86" s="4115" t="e">
        <f>IF(U78=0,0,U85/U78)</f>
        <v>#DIV/0!</v>
      </c>
      <c r="V86" s="4115"/>
      <c r="W86" s="4115" t="e">
        <f>IF(W78=0,0,W85/W78)</f>
        <v>#DIV/0!</v>
      </c>
      <c r="X86" s="4115"/>
      <c r="Y86" s="4115" t="e">
        <f>IF(Y78=0,0,Y85/Y78)</f>
        <v>#DIV/0!</v>
      </c>
      <c r="Z86" s="4246"/>
      <c r="AA86" s="4191" t="e">
        <f>IF(AA78=0,0,AA85/AA78)</f>
        <v>#DIV/0!</v>
      </c>
      <c r="AB86" s="4191"/>
      <c r="AC86" s="4191" t="e">
        <f>IF(AC78=0,0,AC85/AC78)</f>
        <v>#DIV/0!</v>
      </c>
      <c r="AD86" s="4191"/>
      <c r="AE86" s="4191" t="e">
        <f>IF(AE78=0,0,AE85/AE78)</f>
        <v>#DIV/0!</v>
      </c>
      <c r="AF86" s="4191"/>
      <c r="AG86" s="4191" t="e">
        <f>IF(AG78=0,0,AG85/AG78)</f>
        <v>#DIV/0!</v>
      </c>
      <c r="AH86" s="4282"/>
      <c r="AI86" s="4193" t="e">
        <f>IF(AI78=0,0,AI85/AI78)</f>
        <v>#DIV/0!</v>
      </c>
      <c r="AJ86" s="4193"/>
      <c r="AK86" s="4193" t="e">
        <f>IF(AK78=0,0,AK85/AK78)</f>
        <v>#DIV/0!</v>
      </c>
      <c r="AL86" s="4193"/>
      <c r="AM86" s="4193" t="e">
        <f>IF(AM78=0,0,AM85/AM78)</f>
        <v>#DIV/0!</v>
      </c>
      <c r="AN86" s="4193"/>
      <c r="AO86" s="4193" t="e">
        <f>IF(AO78=0,0,AO85/AO78)</f>
        <v>#DIV/0!</v>
      </c>
      <c r="AP86" s="4294"/>
      <c r="AQ86" s="4195" t="e">
        <f>IF(AQ78=0,0,AQ85/AQ78)</f>
        <v>#DIV/0!</v>
      </c>
      <c r="AR86" s="4195"/>
      <c r="AS86" s="4195" t="e">
        <f>IF(AS78=0,0,AS85/AS78)</f>
        <v>#DIV/0!</v>
      </c>
      <c r="AT86" s="4195"/>
      <c r="AU86" s="4195" t="e">
        <f>IF(AU78=0,0,AU85/AU78)</f>
        <v>#DIV/0!</v>
      </c>
      <c r="AV86" s="4195"/>
      <c r="AW86" s="4195" t="e">
        <f>IF(AW78=0,0,AW85/AW78)</f>
        <v>#DIV/0!</v>
      </c>
      <c r="AX86" s="4307"/>
      <c r="AY86" s="4197" t="e">
        <f>IF(AY78=0,0,AY85/AY78)</f>
        <v>#DIV/0!</v>
      </c>
      <c r="AZ86" s="4197"/>
      <c r="BA86" s="4197" t="e">
        <f>IF(BA78=0,0,BA85/BA78)</f>
        <v>#DIV/0!</v>
      </c>
      <c r="BB86" s="4197"/>
      <c r="BC86" s="4197" t="e">
        <f>IF(BC78=0,0,BC85/BC78)</f>
        <v>#DIV/0!</v>
      </c>
      <c r="BD86" s="4197"/>
      <c r="BE86" s="4197" t="e">
        <f>IF(BE78=0,0,BE85/BE78)</f>
        <v>#DIV/0!</v>
      </c>
      <c r="BF86" s="4318"/>
      <c r="BG86" s="2171"/>
      <c r="BH86" s="2171"/>
      <c r="BI86" s="2171"/>
      <c r="BJ86" s="2171"/>
      <c r="BK86" s="2171"/>
      <c r="BL86" s="2171"/>
      <c r="BM86" s="2171"/>
      <c r="BO86" s="2146"/>
      <c r="BP86" s="2146"/>
      <c r="BQ86" s="2146"/>
      <c r="BR86" s="2146"/>
      <c r="BS86" s="2146"/>
      <c r="BT86" s="2146"/>
      <c r="BU86" s="2146"/>
    </row>
    <row r="87" spans="1:73">
      <c r="A87" s="97"/>
      <c r="C87" s="1420"/>
      <c r="D87" s="1420"/>
      <c r="E87" s="1420"/>
      <c r="F87" s="1420"/>
      <c r="G87" s="1420"/>
      <c r="H87" s="1420"/>
      <c r="I87" s="2745"/>
      <c r="K87" s="4161"/>
      <c r="L87" s="4161"/>
      <c r="M87" s="4161"/>
      <c r="N87" s="4161"/>
      <c r="O87" s="4161"/>
      <c r="P87" s="4161"/>
      <c r="Q87" s="4221"/>
      <c r="R87" s="4263"/>
      <c r="S87" s="4115"/>
      <c r="T87" s="4115"/>
      <c r="U87" s="4115"/>
      <c r="V87" s="4115"/>
      <c r="W87" s="4115"/>
      <c r="X87" s="4115"/>
      <c r="Y87" s="4115"/>
      <c r="Z87" s="4246"/>
      <c r="AA87" s="4191"/>
      <c r="AB87" s="4191"/>
      <c r="AC87" s="4191"/>
      <c r="AD87" s="4191"/>
      <c r="AE87" s="4191"/>
      <c r="AF87" s="4191"/>
      <c r="AG87" s="4191"/>
      <c r="AH87" s="4282"/>
      <c r="AI87" s="4193"/>
      <c r="AJ87" s="4193"/>
      <c r="AK87" s="4193"/>
      <c r="AL87" s="4193"/>
      <c r="AM87" s="4193"/>
      <c r="AN87" s="4193"/>
      <c r="AO87" s="4193"/>
      <c r="AP87" s="4294"/>
      <c r="AQ87" s="4195"/>
      <c r="AR87" s="4195"/>
      <c r="AS87" s="4195"/>
      <c r="AT87" s="4195"/>
      <c r="AU87" s="4195"/>
      <c r="AV87" s="4195"/>
      <c r="AW87" s="4195"/>
      <c r="AX87" s="4307"/>
      <c r="AY87" s="4197"/>
      <c r="AZ87" s="4197"/>
      <c r="BA87" s="4197"/>
      <c r="BB87" s="4197"/>
      <c r="BC87" s="4197"/>
      <c r="BD87" s="4197"/>
      <c r="BE87" s="4197"/>
      <c r="BF87" s="4318"/>
      <c r="BG87" s="2171"/>
      <c r="BH87" s="2171"/>
      <c r="BI87" s="2171"/>
      <c r="BJ87" s="2171"/>
      <c r="BK87" s="2171"/>
      <c r="BL87" s="2171"/>
      <c r="BM87" s="2171"/>
      <c r="BO87" s="2146"/>
      <c r="BP87" s="2146"/>
      <c r="BQ87" s="2146"/>
      <c r="BR87" s="2146"/>
      <c r="BS87" s="2146"/>
      <c r="BT87" s="2146"/>
      <c r="BU87" s="2146"/>
    </row>
    <row r="88" spans="1:73">
      <c r="A88" s="97"/>
      <c r="C88" s="1420"/>
      <c r="D88" s="1420"/>
      <c r="E88" s="1420"/>
      <c r="F88" s="1420"/>
      <c r="G88" s="1420"/>
      <c r="H88" s="1420"/>
      <c r="I88" s="2745"/>
      <c r="K88" s="4161"/>
      <c r="L88" s="4161"/>
      <c r="M88" s="4161"/>
      <c r="N88" s="4161"/>
      <c r="O88" s="4161"/>
      <c r="P88" s="4161"/>
      <c r="Q88" s="4221"/>
      <c r="R88" s="4263"/>
      <c r="S88" s="4115"/>
      <c r="T88" s="4115"/>
      <c r="U88" s="4115"/>
      <c r="V88" s="4115"/>
      <c r="W88" s="4115"/>
      <c r="X88" s="4115"/>
      <c r="Y88" s="4115"/>
      <c r="Z88" s="4246"/>
      <c r="AA88" s="4191"/>
      <c r="AB88" s="4191"/>
      <c r="AC88" s="4191"/>
      <c r="AD88" s="4191"/>
      <c r="AE88" s="4191"/>
      <c r="AF88" s="4191"/>
      <c r="AG88" s="4191"/>
      <c r="AH88" s="4282"/>
      <c r="AI88" s="4193"/>
      <c r="AJ88" s="4193"/>
      <c r="AK88" s="4193"/>
      <c r="AL88" s="4193"/>
      <c r="AM88" s="4193"/>
      <c r="AN88" s="4193"/>
      <c r="AO88" s="4193"/>
      <c r="AP88" s="4294"/>
      <c r="AQ88" s="4195"/>
      <c r="AR88" s="4195"/>
      <c r="AS88" s="4195"/>
      <c r="AT88" s="4195"/>
      <c r="AU88" s="4195"/>
      <c r="AV88" s="4195"/>
      <c r="AW88" s="4195"/>
      <c r="AX88" s="4307"/>
      <c r="AY88" s="4197"/>
      <c r="AZ88" s="4197"/>
      <c r="BA88" s="4197"/>
      <c r="BB88" s="4197"/>
      <c r="BC88" s="4197"/>
      <c r="BD88" s="4197"/>
      <c r="BE88" s="4197"/>
      <c r="BF88" s="4318"/>
      <c r="BG88" s="2171"/>
      <c r="BH88" s="2171"/>
      <c r="BI88" s="2171"/>
      <c r="BJ88" s="2171"/>
      <c r="BK88" s="2171"/>
      <c r="BL88" s="2171"/>
      <c r="BM88" s="2171"/>
      <c r="BO88" s="2146"/>
      <c r="BP88" s="2146"/>
      <c r="BQ88" s="2146"/>
      <c r="BR88" s="2146"/>
      <c r="BS88" s="2146"/>
      <c r="BT88" s="2146"/>
      <c r="BU88" s="2146"/>
    </row>
    <row r="89" spans="1:73">
      <c r="A89" s="97"/>
      <c r="C89" s="1947" t="s">
        <v>4568</v>
      </c>
      <c r="D89" s="1874"/>
      <c r="E89" s="1874"/>
      <c r="F89" s="1874"/>
      <c r="G89" s="1874"/>
      <c r="H89" s="1874"/>
      <c r="I89" s="2763"/>
      <c r="K89" s="4163" t="s">
        <v>4569</v>
      </c>
      <c r="L89" s="4164"/>
      <c r="M89" s="4164"/>
      <c r="N89" s="4164"/>
      <c r="O89" s="4164"/>
      <c r="P89" s="4164"/>
      <c r="Q89" s="4221"/>
      <c r="R89" s="4263"/>
      <c r="S89" s="4115" t="s">
        <v>4570</v>
      </c>
      <c r="T89" s="4115"/>
      <c r="U89" s="4115"/>
      <c r="V89" s="4115"/>
      <c r="W89" s="4115"/>
      <c r="X89" s="4115"/>
      <c r="Y89" s="4115"/>
      <c r="Z89" s="4246"/>
      <c r="AA89" s="4191" t="s">
        <v>4571</v>
      </c>
      <c r="AB89" s="4191"/>
      <c r="AC89" s="4191"/>
      <c r="AD89" s="4191"/>
      <c r="AE89" s="4191"/>
      <c r="AF89" s="4191"/>
      <c r="AG89" s="4191"/>
      <c r="AH89" s="4282"/>
      <c r="AI89" s="4193" t="s">
        <v>4647</v>
      </c>
      <c r="AJ89" s="4193"/>
      <c r="AK89" s="4193"/>
      <c r="AL89" s="4193"/>
      <c r="AM89" s="4193"/>
      <c r="AN89" s="4193"/>
      <c r="AO89" s="4193"/>
      <c r="AP89" s="4294"/>
      <c r="AQ89" s="4195" t="s">
        <v>7719</v>
      </c>
      <c r="AR89" s="4195"/>
      <c r="AS89" s="4195"/>
      <c r="AT89" s="4195"/>
      <c r="AU89" s="4195"/>
      <c r="AV89" s="4195"/>
      <c r="AW89" s="4195"/>
      <c r="AX89" s="4307"/>
      <c r="AY89" s="4197" t="s">
        <v>7993</v>
      </c>
      <c r="AZ89" s="4197"/>
      <c r="BA89" s="4197"/>
      <c r="BB89" s="4197"/>
      <c r="BC89" s="4197"/>
      <c r="BD89" s="4197"/>
      <c r="BE89" s="4197"/>
      <c r="BF89" s="4318"/>
      <c r="BG89" s="2171"/>
      <c r="BH89" s="2171"/>
      <c r="BI89" s="2171"/>
      <c r="BJ89" s="2171"/>
      <c r="BK89" s="2171"/>
      <c r="BL89" s="2171"/>
      <c r="BM89" s="2171"/>
      <c r="BO89" s="2146"/>
      <c r="BP89" s="2146"/>
      <c r="BQ89" s="2146"/>
      <c r="BR89" s="2146"/>
      <c r="BS89" s="2146"/>
      <c r="BT89" s="2146"/>
      <c r="BU89" s="2146"/>
    </row>
    <row r="90" spans="1:73">
      <c r="A90" s="97"/>
      <c r="C90" s="1419" t="e">
        <f>'Calc Data-SB1'!C78</f>
        <v>#DIV/0!</v>
      </c>
      <c r="D90" s="1420"/>
      <c r="E90" s="1419" t="e">
        <f>C90</f>
        <v>#DIV/0!</v>
      </c>
      <c r="F90" s="1420"/>
      <c r="G90" s="1419"/>
      <c r="H90" s="1420"/>
      <c r="I90" s="2741"/>
      <c r="K90" s="4160" t="e">
        <f>'Calc Data-SB1'!AH91</f>
        <v>#DIV/0!</v>
      </c>
      <c r="L90" s="4161"/>
      <c r="M90" s="4160" t="e">
        <f>K90</f>
        <v>#DIV/0!</v>
      </c>
      <c r="N90" s="4161"/>
      <c r="O90" s="4160"/>
      <c r="P90" s="4161"/>
      <c r="Q90" s="4140"/>
      <c r="R90" s="4263"/>
      <c r="S90" s="4256" t="e">
        <f>'Calc Data-SB1'!AL91</f>
        <v>#DIV/0!</v>
      </c>
      <c r="T90" s="4115"/>
      <c r="U90" s="4114" t="e">
        <f>S90</f>
        <v>#DIV/0!</v>
      </c>
      <c r="V90" s="4115"/>
      <c r="W90" s="4114"/>
      <c r="X90" s="4115"/>
      <c r="Y90" s="4114"/>
      <c r="Z90" s="4246"/>
      <c r="AA90" s="4266" t="e">
        <f>'Calc Data-SB1'!AP91</f>
        <v>#DIV/0!</v>
      </c>
      <c r="AB90" s="4191"/>
      <c r="AC90" s="4190" t="e">
        <f>AA90</f>
        <v>#DIV/0!</v>
      </c>
      <c r="AD90" s="4191"/>
      <c r="AE90" s="4190"/>
      <c r="AF90" s="4191"/>
      <c r="AG90" s="4190"/>
      <c r="AH90" s="4282"/>
      <c r="AI90" s="4046" t="e">
        <f>'Calc Data-SB1'!AT91</f>
        <v>#DIV/0!</v>
      </c>
      <c r="AJ90" s="4193"/>
      <c r="AK90" s="4192" t="e">
        <f>AI90</f>
        <v>#DIV/0!</v>
      </c>
      <c r="AL90" s="4193"/>
      <c r="AM90" s="4192"/>
      <c r="AN90" s="4193"/>
      <c r="AO90" s="4192"/>
      <c r="AP90" s="4294"/>
      <c r="AQ90" s="4286" t="e">
        <f>'Calc Data-SB1'!AY91</f>
        <v>#DIV/0!</v>
      </c>
      <c r="AR90" s="4195"/>
      <c r="AS90" s="4194" t="e">
        <f>AQ90</f>
        <v>#DIV/0!</v>
      </c>
      <c r="AT90" s="4195"/>
      <c r="AU90" s="4194"/>
      <c r="AV90" s="4195"/>
      <c r="AW90" s="4194"/>
      <c r="AX90" s="4307"/>
      <c r="AY90" s="4298" t="e">
        <f>'Calc Data-SB1'!BD91</f>
        <v>#DIV/0!</v>
      </c>
      <c r="AZ90" s="4197"/>
      <c r="BA90" s="4196" t="e">
        <f>AY90</f>
        <v>#DIV/0!</v>
      </c>
      <c r="BB90" s="4197"/>
      <c r="BC90" s="4196"/>
      <c r="BD90" s="4197"/>
      <c r="BE90" s="4196"/>
      <c r="BF90" s="4318"/>
      <c r="BG90" s="2171"/>
      <c r="BH90" s="2171"/>
      <c r="BI90" s="2171"/>
      <c r="BJ90" s="2171"/>
      <c r="BK90" s="2171"/>
      <c r="BL90" s="2171"/>
      <c r="BM90" s="2171"/>
      <c r="BO90" s="2146"/>
      <c r="BP90" s="2146"/>
      <c r="BQ90" s="2146"/>
      <c r="BR90" s="2146"/>
      <c r="BS90" s="2146"/>
      <c r="BT90" s="2146"/>
      <c r="BU90" s="2146"/>
    </row>
    <row r="91" spans="1:73">
      <c r="A91" s="97"/>
      <c r="C91" s="1419"/>
      <c r="D91" s="1420"/>
      <c r="E91" s="1419"/>
      <c r="F91" s="1420"/>
      <c r="G91" s="1419" t="e">
        <f>'Calc Data-SB1'!C83</f>
        <v>#DIV/0!</v>
      </c>
      <c r="H91" s="1420"/>
      <c r="I91" s="2741" t="e">
        <f>G91</f>
        <v>#DIV/0!</v>
      </c>
      <c r="K91" s="4160"/>
      <c r="L91" s="4161"/>
      <c r="M91" s="4160"/>
      <c r="N91" s="4161"/>
      <c r="O91" s="4160" t="e">
        <f>'Calc Data-SB1'!AF86</f>
        <v>#DIV/0!</v>
      </c>
      <c r="P91" s="4161"/>
      <c r="Q91" s="4140" t="e">
        <f>O91</f>
        <v>#DIV/0!</v>
      </c>
      <c r="R91" s="4263"/>
      <c r="S91" s="4256"/>
      <c r="T91" s="4115"/>
      <c r="U91" s="4114"/>
      <c r="V91" s="4115"/>
      <c r="W91" s="4114" t="e">
        <f>'Calc Data-SB1'!AJ86</f>
        <v>#DIV/0!</v>
      </c>
      <c r="X91" s="4115"/>
      <c r="Y91" s="4114" t="e">
        <f>W91</f>
        <v>#DIV/0!</v>
      </c>
      <c r="Z91" s="4246"/>
      <c r="AA91" s="4266"/>
      <c r="AB91" s="4191"/>
      <c r="AC91" s="4190"/>
      <c r="AD91" s="4191"/>
      <c r="AE91" s="4190" t="e">
        <f>'Calc Data-SB1'!AN86</f>
        <v>#DIV/0!</v>
      </c>
      <c r="AF91" s="4191"/>
      <c r="AG91" s="4190" t="e">
        <f>AE91</f>
        <v>#DIV/0!</v>
      </c>
      <c r="AH91" s="4282"/>
      <c r="AI91" s="4046"/>
      <c r="AJ91" s="4193"/>
      <c r="AK91" s="4192"/>
      <c r="AL91" s="4193"/>
      <c r="AM91" s="4192" t="e">
        <f>'Calc Data-SB1'!AR86</f>
        <v>#DIV/0!</v>
      </c>
      <c r="AN91" s="4193"/>
      <c r="AO91" s="4192" t="e">
        <f>AM91</f>
        <v>#DIV/0!</v>
      </c>
      <c r="AP91" s="4294"/>
      <c r="AQ91" s="4286"/>
      <c r="AR91" s="4195"/>
      <c r="AS91" s="4194"/>
      <c r="AT91" s="4195"/>
      <c r="AU91" s="4194" t="e">
        <f>'Calc Data-SB1'!AW86</f>
        <v>#DIV/0!</v>
      </c>
      <c r="AV91" s="4195"/>
      <c r="AW91" s="4194" t="e">
        <f>AU91</f>
        <v>#DIV/0!</v>
      </c>
      <c r="AX91" s="4307"/>
      <c r="AY91" s="4298"/>
      <c r="AZ91" s="4197"/>
      <c r="BA91" s="4196"/>
      <c r="BB91" s="4197"/>
      <c r="BC91" s="4196" t="e">
        <f>'Calc Data-SB1'!BB86</f>
        <v>#DIV/0!</v>
      </c>
      <c r="BD91" s="4197"/>
      <c r="BE91" s="4196" t="e">
        <f>BC91</f>
        <v>#DIV/0!</v>
      </c>
      <c r="BF91" s="4318"/>
      <c r="BG91" s="2171"/>
      <c r="BH91" s="2171"/>
      <c r="BI91" s="2171"/>
      <c r="BJ91" s="2171"/>
      <c r="BK91" s="2171"/>
      <c r="BL91" s="2171"/>
      <c r="BM91" s="2171"/>
      <c r="BO91" s="2146"/>
      <c r="BP91" s="2146"/>
      <c r="BQ91" s="2146"/>
      <c r="BR91" s="2146"/>
      <c r="BS91" s="2146"/>
      <c r="BT91" s="2146"/>
      <c r="BU91" s="2146"/>
    </row>
    <row r="92" spans="1:73">
      <c r="A92" s="97"/>
      <c r="C92" s="1419" t="e">
        <f>C90</f>
        <v>#DIV/0!</v>
      </c>
      <c r="D92" s="1420"/>
      <c r="E92" s="1419" t="e">
        <f>E90</f>
        <v>#DIV/0!</v>
      </c>
      <c r="F92" s="1420"/>
      <c r="G92" s="1419" t="e">
        <f>G91</f>
        <v>#DIV/0!</v>
      </c>
      <c r="H92" s="1420"/>
      <c r="I92" s="2741" t="e">
        <f>I91</f>
        <v>#DIV/0!</v>
      </c>
      <c r="K92" s="4160" t="e">
        <f>K90</f>
        <v>#DIV/0!</v>
      </c>
      <c r="L92" s="4161"/>
      <c r="M92" s="4160" t="e">
        <f>M90</f>
        <v>#DIV/0!</v>
      </c>
      <c r="N92" s="4161"/>
      <c r="O92" s="4160" t="e">
        <f>O91</f>
        <v>#DIV/0!</v>
      </c>
      <c r="P92" s="4161"/>
      <c r="Q92" s="4140" t="e">
        <f>Q91</f>
        <v>#DIV/0!</v>
      </c>
      <c r="R92" s="4263"/>
      <c r="S92" s="4256" t="e">
        <f>S90</f>
        <v>#DIV/0!</v>
      </c>
      <c r="T92" s="4115"/>
      <c r="U92" s="4114" t="e">
        <f>U90</f>
        <v>#DIV/0!</v>
      </c>
      <c r="V92" s="4115"/>
      <c r="W92" s="4114" t="e">
        <f>W91</f>
        <v>#DIV/0!</v>
      </c>
      <c r="X92" s="4115"/>
      <c r="Y92" s="4114" t="e">
        <f>Y91</f>
        <v>#DIV/0!</v>
      </c>
      <c r="Z92" s="4246"/>
      <c r="AA92" s="4266" t="e">
        <f>AA90</f>
        <v>#DIV/0!</v>
      </c>
      <c r="AB92" s="4191"/>
      <c r="AC92" s="4190" t="e">
        <f>AC90</f>
        <v>#DIV/0!</v>
      </c>
      <c r="AD92" s="4191"/>
      <c r="AE92" s="4190" t="e">
        <f>AE91</f>
        <v>#DIV/0!</v>
      </c>
      <c r="AF92" s="4191"/>
      <c r="AG92" s="4190" t="e">
        <f>AG91</f>
        <v>#DIV/0!</v>
      </c>
      <c r="AH92" s="4282"/>
      <c r="AI92" s="4046" t="e">
        <f>AI90</f>
        <v>#DIV/0!</v>
      </c>
      <c r="AJ92" s="4193"/>
      <c r="AK92" s="4192" t="e">
        <f>AK90</f>
        <v>#DIV/0!</v>
      </c>
      <c r="AL92" s="4193"/>
      <c r="AM92" s="4192" t="e">
        <f>AM91</f>
        <v>#DIV/0!</v>
      </c>
      <c r="AN92" s="4193"/>
      <c r="AO92" s="4192" t="e">
        <f>AO91</f>
        <v>#DIV/0!</v>
      </c>
      <c r="AP92" s="4294"/>
      <c r="AQ92" s="4286" t="e">
        <f>AQ90</f>
        <v>#DIV/0!</v>
      </c>
      <c r="AR92" s="4195"/>
      <c r="AS92" s="4194" t="e">
        <f>AS90</f>
        <v>#DIV/0!</v>
      </c>
      <c r="AT92" s="4195"/>
      <c r="AU92" s="4194" t="e">
        <f>AU91</f>
        <v>#DIV/0!</v>
      </c>
      <c r="AV92" s="4195"/>
      <c r="AW92" s="4194" t="e">
        <f>AW91</f>
        <v>#DIV/0!</v>
      </c>
      <c r="AX92" s="4307"/>
      <c r="AY92" s="4298" t="e">
        <f>AY90</f>
        <v>#DIV/0!</v>
      </c>
      <c r="AZ92" s="4197"/>
      <c r="BA92" s="4196" t="e">
        <f>BA90</f>
        <v>#DIV/0!</v>
      </c>
      <c r="BB92" s="4197"/>
      <c r="BC92" s="4196" t="e">
        <f>BC91</f>
        <v>#DIV/0!</v>
      </c>
      <c r="BD92" s="4197"/>
      <c r="BE92" s="4196" t="e">
        <f>BE91</f>
        <v>#DIV/0!</v>
      </c>
      <c r="BF92" s="4318"/>
      <c r="BG92" s="2171"/>
      <c r="BH92" s="2171"/>
      <c r="BI92" s="2171"/>
      <c r="BJ92" s="2171"/>
      <c r="BK92" s="2171"/>
      <c r="BL92" s="2171"/>
      <c r="BM92" s="2171"/>
      <c r="BO92" s="2146"/>
      <c r="BP92" s="2146"/>
      <c r="BQ92" s="2146"/>
      <c r="BR92" s="2146"/>
      <c r="BS92" s="2146"/>
      <c r="BT92" s="2146"/>
      <c r="BU92" s="2146"/>
    </row>
    <row r="93" spans="1:73">
      <c r="A93" s="97"/>
      <c r="C93" s="1411" t="e">
        <f>C35*C92</f>
        <v>#DIV/0!</v>
      </c>
      <c r="D93" s="1412"/>
      <c r="E93" s="1411" t="e">
        <f>E35*E92</f>
        <v>#DIV/0!</v>
      </c>
      <c r="F93" s="1412"/>
      <c r="G93" s="1411" t="e">
        <f>IF(G91&lt;1,0,G35*G92)</f>
        <v>#DIV/0!</v>
      </c>
      <c r="H93" s="1412"/>
      <c r="I93" s="2737" t="e">
        <f>IF(I91&lt;1,0,I35*I92)</f>
        <v>#DIV/0!</v>
      </c>
      <c r="K93" s="4228" t="e">
        <f>K35*K92</f>
        <v>#DIV/0!</v>
      </c>
      <c r="L93" s="4161"/>
      <c r="M93" s="4228" t="e">
        <f>M35*M92</f>
        <v>#DIV/0!</v>
      </c>
      <c r="N93" s="4161"/>
      <c r="O93" s="4228" t="e">
        <f>IF(O91&lt;1,0,O35*O92)</f>
        <v>#DIV/0!</v>
      </c>
      <c r="P93" s="4161"/>
      <c r="Q93" s="4140" t="e">
        <f>IF(Q91&lt;1,0,Q35*Q92)</f>
        <v>#DIV/0!</v>
      </c>
      <c r="R93" s="4263"/>
      <c r="S93" s="4256" t="e">
        <f>S35*S92</f>
        <v>#DIV/0!</v>
      </c>
      <c r="T93" s="4115"/>
      <c r="U93" s="4114" t="e">
        <f>U35*U92</f>
        <v>#DIV/0!</v>
      </c>
      <c r="V93" s="4115"/>
      <c r="W93" s="4114" t="e">
        <f>IF(W91&lt;1,0,W35*W92)</f>
        <v>#DIV/0!</v>
      </c>
      <c r="X93" s="4115"/>
      <c r="Y93" s="4114" t="e">
        <f>IF(Y91&lt;1,0,Y35*Y92)</f>
        <v>#DIV/0!</v>
      </c>
      <c r="Z93" s="4246"/>
      <c r="AA93" s="4266" t="e">
        <f>AA35*AA92</f>
        <v>#DIV/0!</v>
      </c>
      <c r="AB93" s="4191"/>
      <c r="AC93" s="4190" t="e">
        <f>AC35*AC92</f>
        <v>#DIV/0!</v>
      </c>
      <c r="AD93" s="4191"/>
      <c r="AE93" s="4190" t="e">
        <f>IF(AE91&lt;1,0,AE35*AE92)</f>
        <v>#DIV/0!</v>
      </c>
      <c r="AF93" s="4191"/>
      <c r="AG93" s="4190" t="e">
        <f>IF(AG91&lt;1,0,AG35*AG92)</f>
        <v>#DIV/0!</v>
      </c>
      <c r="AH93" s="4282"/>
      <c r="AI93" s="4046" t="e">
        <f>AI35*AI92</f>
        <v>#DIV/0!</v>
      </c>
      <c r="AJ93" s="4193"/>
      <c r="AK93" s="4192" t="e">
        <f>AK35*AK92</f>
        <v>#DIV/0!</v>
      </c>
      <c r="AL93" s="4193"/>
      <c r="AM93" s="4192" t="e">
        <f>IF(AM91&lt;1,0,AM35*AM92)</f>
        <v>#DIV/0!</v>
      </c>
      <c r="AN93" s="4193"/>
      <c r="AO93" s="4192" t="e">
        <f>IF(AO91&lt;1,0,AO35*AO92)</f>
        <v>#DIV/0!</v>
      </c>
      <c r="AP93" s="4294"/>
      <c r="AQ93" s="4286" t="e">
        <f>AQ35*AQ92</f>
        <v>#DIV/0!</v>
      </c>
      <c r="AR93" s="4195"/>
      <c r="AS93" s="4194" t="e">
        <f>AS35*AS92</f>
        <v>#DIV/0!</v>
      </c>
      <c r="AT93" s="4195"/>
      <c r="AU93" s="4194" t="e">
        <f>IF(AU91&lt;1,0,AU35*AU92)</f>
        <v>#DIV/0!</v>
      </c>
      <c r="AV93" s="4195"/>
      <c r="AW93" s="4194" t="e">
        <f>IF(AW91&lt;1,0,AW35*AW92)</f>
        <v>#DIV/0!</v>
      </c>
      <c r="AX93" s="4307"/>
      <c r="AY93" s="4298" t="e">
        <f>AY35*AY92</f>
        <v>#DIV/0!</v>
      </c>
      <c r="AZ93" s="4197"/>
      <c r="BA93" s="4196" t="e">
        <f>BA35*BA92</f>
        <v>#DIV/0!</v>
      </c>
      <c r="BB93" s="4197"/>
      <c r="BC93" s="4196" t="e">
        <f>IF(BC91&lt;1,0,BC35*BC92)</f>
        <v>#DIV/0!</v>
      </c>
      <c r="BD93" s="4197"/>
      <c r="BE93" s="4196" t="e">
        <f>IF(BE91&lt;1,0,BE35*BE92)</f>
        <v>#DIV/0!</v>
      </c>
      <c r="BF93" s="4318"/>
      <c r="BG93" s="2171"/>
      <c r="BH93" s="2171"/>
      <c r="BI93" s="2171"/>
      <c r="BJ93" s="2171"/>
      <c r="BK93" s="2171"/>
      <c r="BL93" s="2171"/>
      <c r="BM93" s="2171"/>
      <c r="BO93" s="2146"/>
      <c r="BP93" s="2146"/>
      <c r="BQ93" s="2146"/>
      <c r="BR93" s="2146"/>
      <c r="BS93" s="2146"/>
      <c r="BT93" s="2146"/>
      <c r="BU93" s="2146"/>
    </row>
    <row r="94" spans="1:73">
      <c r="A94" s="97"/>
      <c r="C94" s="1413" t="e">
        <f>C34/IF(C36&lt;Assumptions!G92,Assumptions!G92,C36)</f>
        <v>#DIV/0!</v>
      </c>
      <c r="D94" s="1414"/>
      <c r="E94" s="1413" t="e">
        <f>E34/E36</f>
        <v>#DIV/0!</v>
      </c>
      <c r="F94" s="1414"/>
      <c r="G94" s="1413" t="e">
        <f>IF(G93=0,0,G34/G36)</f>
        <v>#DIV/0!</v>
      </c>
      <c r="H94" s="1414"/>
      <c r="I94" s="2738" t="e">
        <f>IF(I93=0,0,I34/I36)</f>
        <v>#DIV/0!</v>
      </c>
      <c r="K94" s="4222" t="e">
        <f>K34/IF(K36&lt;Assumptions!G103,Assumptions!G103,K36)</f>
        <v>#DIV/0!</v>
      </c>
      <c r="L94" s="4165"/>
      <c r="M94" s="4222" t="e">
        <f>M34/M36</f>
        <v>#DIV/0!</v>
      </c>
      <c r="N94" s="4165"/>
      <c r="O94" s="4222" t="e">
        <f>IF(O93=0,0,O34/O36)</f>
        <v>#DIV/0!</v>
      </c>
      <c r="P94" s="4165"/>
      <c r="Q94" s="4141" t="e">
        <f>IF(Q93=0,0,Q34/Q36)</f>
        <v>#DIV/0!</v>
      </c>
      <c r="R94" s="4261"/>
      <c r="S94" s="4255" t="e">
        <f>S34/IF(S36&lt;Assumptions!G112,Assumptions!G112,S36)</f>
        <v>#DIV/0!</v>
      </c>
      <c r="T94" s="4117"/>
      <c r="U94" s="4116" t="e">
        <f>U34/U36</f>
        <v>#DIV/0!</v>
      </c>
      <c r="V94" s="4117"/>
      <c r="W94" s="4116" t="e">
        <f>IF(W93=0,0,W34/W36)</f>
        <v>#DIV/0!</v>
      </c>
      <c r="X94" s="4117"/>
      <c r="Y94" s="4116" t="e">
        <f>IF(Y93=0,0,Y34/Y36)</f>
        <v>#DIV/0!</v>
      </c>
      <c r="Z94" s="4271"/>
      <c r="AA94" s="4265" t="e">
        <f>AA34/IF(AA36&lt;Assumptions!G121,Assumptions!G121,AA36)</f>
        <v>#DIV/0!</v>
      </c>
      <c r="AB94" s="4183"/>
      <c r="AC94" s="4182" t="e">
        <f>AC34/AC36</f>
        <v>#DIV/0!</v>
      </c>
      <c r="AD94" s="4183"/>
      <c r="AE94" s="4182" t="e">
        <f>IF(AE93=0,0,AE34/AE36)</f>
        <v>#DIV/0!</v>
      </c>
      <c r="AF94" s="4183"/>
      <c r="AG94" s="4182" t="e">
        <f>IF(AG93=0,0,AG34/AG36)</f>
        <v>#DIV/0!</v>
      </c>
      <c r="AH94" s="4281"/>
      <c r="AI94" s="4273" t="e">
        <f>AI34/IF(AI36&lt;Assumptions!G130,Assumptions!G130,AI36)</f>
        <v>#DIV/0!</v>
      </c>
      <c r="AJ94" s="4185"/>
      <c r="AK94" s="4184" t="e">
        <f>AK34/AK36</f>
        <v>#DIV/0!</v>
      </c>
      <c r="AL94" s="4185"/>
      <c r="AM94" s="4184" t="e">
        <f>IF(AM93=0,0,AM34/AM36)</f>
        <v>#DIV/0!</v>
      </c>
      <c r="AN94" s="4185"/>
      <c r="AO94" s="4184" t="e">
        <f>IF(AO93=0,0,AO34/AO36)</f>
        <v>#DIV/0!</v>
      </c>
      <c r="AP94" s="4293"/>
      <c r="AQ94" s="4285" t="e">
        <f>AQ34/IF(AQ36&lt;Assumptions!G139,Assumptions!G139,AQ36)</f>
        <v>#DIV/0!</v>
      </c>
      <c r="AR94" s="4187"/>
      <c r="AS94" s="4186" t="e">
        <f>AS34/AS36</f>
        <v>#DIV/0!</v>
      </c>
      <c r="AT94" s="4187"/>
      <c r="AU94" s="4186" t="e">
        <f>IF(AU93=0,0,AU34/AU36)</f>
        <v>#DIV/0!</v>
      </c>
      <c r="AV94" s="4187"/>
      <c r="AW94" s="4186" t="e">
        <f>IF(AW93=0,0,AW34/AW36)</f>
        <v>#DIV/0!</v>
      </c>
      <c r="AX94" s="4306"/>
      <c r="AY94" s="4297" t="e">
        <f>AY34/IF(AY36&lt;Assumptions!G148,Assumptions!G148,AY36)</f>
        <v>#DIV/0!</v>
      </c>
      <c r="AZ94" s="4189"/>
      <c r="BA94" s="4188" t="e">
        <f>BA34/BA36</f>
        <v>#DIV/0!</v>
      </c>
      <c r="BB94" s="4189"/>
      <c r="BC94" s="4188" t="e">
        <f>IF(BC93=0,0,BC34/BC36)</f>
        <v>#DIV/0!</v>
      </c>
      <c r="BD94" s="4189"/>
      <c r="BE94" s="4188" t="e">
        <f>IF(BE93=0,0,BE34/BE36)</f>
        <v>#DIV/0!</v>
      </c>
      <c r="BF94" s="4318"/>
      <c r="BG94" s="2171"/>
      <c r="BH94" s="2171"/>
      <c r="BI94" s="2171"/>
      <c r="BJ94" s="2171"/>
      <c r="BK94" s="2171"/>
      <c r="BL94" s="2171"/>
      <c r="BM94" s="2171"/>
      <c r="BO94" s="2146"/>
      <c r="BP94" s="2146"/>
      <c r="BQ94" s="2146"/>
      <c r="BR94" s="2146"/>
      <c r="BS94" s="2146"/>
      <c r="BT94" s="2146"/>
      <c r="BU94" s="2146"/>
    </row>
    <row r="95" spans="1:73">
      <c r="A95" s="97"/>
      <c r="C95" s="1421" t="e">
        <f>IF(C94=0,0,IF(C93/C94&lt;3147,3147,C93/C94))</f>
        <v>#DIV/0!</v>
      </c>
      <c r="D95" s="1422"/>
      <c r="E95" s="1421" t="e">
        <f>IF(E94=0,0,IF(E93/E94&lt;3147,3147,E93/E94))</f>
        <v>#DIV/0!</v>
      </c>
      <c r="F95" s="1422"/>
      <c r="G95" s="1421" t="e">
        <f>IF(G94=0,0,IF(G93/G94&lt;72,72,G93/G94))</f>
        <v>#DIV/0!</v>
      </c>
      <c r="H95" s="1422"/>
      <c r="I95" s="2742" t="e">
        <f>IF(I94=0,0,IF(I93/I94&lt;72,72,I93/I94))</f>
        <v>#DIV/0!</v>
      </c>
      <c r="K95" s="4222" t="e">
        <f>IF(K94=0,0,IF(K93/K94&lt;3392,3392,K93/K94))</f>
        <v>#DIV/0!</v>
      </c>
      <c r="L95" s="4229"/>
      <c r="M95" s="4222" t="e">
        <f>IF(M94=0,0,IF(M93/M94&lt;3392,3392,M93/M94))</f>
        <v>#DIV/0!</v>
      </c>
      <c r="N95" s="4229"/>
      <c r="O95" s="4222" t="e">
        <f>IF(O94=0,0,IF(O93/O94&lt;84.777,84.777,O93/O94))</f>
        <v>#DIV/0!</v>
      </c>
      <c r="P95" s="4229"/>
      <c r="Q95" s="4141" t="e">
        <f>IF(Q94=0,0,IF(Q93/Q94&lt;84.777,84.777,Q93/Q94))</f>
        <v>#DIV/0!</v>
      </c>
      <c r="R95" s="4261"/>
      <c r="S95" s="4255" t="e">
        <f>IF(S94=0,0,IF(S93/S94&lt;3392,3392,S93/S94))</f>
        <v>#DIV/0!</v>
      </c>
      <c r="T95" s="4117"/>
      <c r="U95" s="4116" t="e">
        <f>IF(U94=0,0,IF(U93/U94&lt;3392,3392,U93/U94))</f>
        <v>#DIV/0!</v>
      </c>
      <c r="V95" s="4117"/>
      <c r="W95" s="4116" t="e">
        <f>IF(W94=0,0,IF(W93/W94&lt;84.777,84.777,W93/W94))</f>
        <v>#DIV/0!</v>
      </c>
      <c r="X95" s="4117"/>
      <c r="Y95" s="4116" t="e">
        <f>IF(Y94=0,0,IF(Y93/Y94&lt;84.777,84.777,Y93/Y94))</f>
        <v>#DIV/0!</v>
      </c>
      <c r="Z95" s="4271"/>
      <c r="AA95" s="4265" t="e">
        <f>IF(AA94=0,0,IF(AA93/AA94&lt;3392,3392,AA93/AA94))</f>
        <v>#DIV/0!</v>
      </c>
      <c r="AB95" s="4183"/>
      <c r="AC95" s="4182" t="e">
        <f>IF(AC94=0,0,IF(AC93/AC94&lt;3392,3392,AC93/AC94))</f>
        <v>#DIV/0!</v>
      </c>
      <c r="AD95" s="4183"/>
      <c r="AE95" s="4182" t="e">
        <f>IF(AE94=0,0,IF(AE93/AE94&lt;84.777,84.777,AE93/AE94))</f>
        <v>#DIV/0!</v>
      </c>
      <c r="AF95" s="4183"/>
      <c r="AG95" s="4182" t="e">
        <f>IF(AG94=0,0,IF(AG93/AG94&lt;84.777,84.777,AG93/AG94))</f>
        <v>#DIV/0!</v>
      </c>
      <c r="AH95" s="4281"/>
      <c r="AI95" s="4273" t="e">
        <f>IF(AI94=0,0,IF(AI93/AI94&lt;3392,3392,AI93/AI94))</f>
        <v>#DIV/0!</v>
      </c>
      <c r="AJ95" s="4185"/>
      <c r="AK95" s="4184" t="e">
        <f>IF(AK94=0,0,IF(AK93/AK94&lt;3392,3392,AK93/AK94))</f>
        <v>#DIV/0!</v>
      </c>
      <c r="AL95" s="4185"/>
      <c r="AM95" s="4184" t="e">
        <f>IF(AM94=0,0,IF(AM93/AM94&lt;84.777,84.777,AM93/AM94))</f>
        <v>#DIV/0!</v>
      </c>
      <c r="AN95" s="4185"/>
      <c r="AO95" s="4184" t="e">
        <f>IF(AO94=0,0,IF(AO93/AO94&lt;84.777,84.777,AO93/AO94))</f>
        <v>#DIV/0!</v>
      </c>
      <c r="AP95" s="4293"/>
      <c r="AQ95" s="4285" t="e">
        <f>IF(AQ94=0,0,IF(AQ93/AQ94&lt;3392,3392,AQ93/AQ94))</f>
        <v>#DIV/0!</v>
      </c>
      <c r="AR95" s="4187"/>
      <c r="AS95" s="4186" t="e">
        <f>IF(AS94=0,0,IF(AS93/AS94&lt;3392,3392,AS93/AS94))</f>
        <v>#DIV/0!</v>
      </c>
      <c r="AT95" s="4187"/>
      <c r="AU95" s="4186" t="e">
        <f>IF(AU94=0,0,IF(AU93/AU94&lt;84.777,84.777,AU93/AU94))</f>
        <v>#DIV/0!</v>
      </c>
      <c r="AV95" s="4187"/>
      <c r="AW95" s="4186" t="e">
        <f>IF(AW94=0,0,IF(AW93/AW94&lt;84.777,84.777,AW93/AW94))</f>
        <v>#DIV/0!</v>
      </c>
      <c r="AX95" s="4306"/>
      <c r="AY95" s="4297" t="e">
        <f>IF(AY94=0,0,IF(AY93/AY94&lt;3392,3392,AY93/AY94))</f>
        <v>#DIV/0!</v>
      </c>
      <c r="AZ95" s="4189"/>
      <c r="BA95" s="4188" t="e">
        <f>IF(BA94=0,0,IF(BA93/BA94&lt;3392,3392,BA93/BA94))</f>
        <v>#DIV/0!</v>
      </c>
      <c r="BB95" s="4189"/>
      <c r="BC95" s="4188" t="e">
        <f>IF(BC94=0,0,IF(BC93/BC94&lt;84.777,84.777,BC93/BC94))</f>
        <v>#DIV/0!</v>
      </c>
      <c r="BD95" s="4189"/>
      <c r="BE95" s="4188" t="e">
        <f>IF(BE94=0,0,IF(BE93/BE94&lt;84.777,84.777,BE93/BE94))</f>
        <v>#DIV/0!</v>
      </c>
      <c r="BF95" s="4318"/>
      <c r="BG95" s="2171"/>
      <c r="BH95" s="2171"/>
      <c r="BI95" s="2171"/>
      <c r="BJ95" s="2171"/>
      <c r="BK95" s="2171"/>
      <c r="BL95" s="2171"/>
      <c r="BM95" s="2171"/>
      <c r="BO95" s="2146"/>
      <c r="BP95" s="2146"/>
      <c r="BQ95" s="2146"/>
      <c r="BR95" s="2146"/>
      <c r="BS95" s="2146"/>
      <c r="BT95" s="2146"/>
      <c r="BU95" s="2146"/>
    </row>
    <row r="96" spans="1:73">
      <c r="A96" s="97"/>
      <c r="C96" s="1413" t="e">
        <f>IF(OR('Data Entry - SOF'!C95=0,C95=0),0,IF('Data Entry - SOF'!C95&gt;C95,(C95*'Data Entry - SOF'!C94)/C95,('Data Entry - SOF'!C95*'Data Entry - SOF'!C94)/C95))</f>
        <v>#DIV/0!</v>
      </c>
      <c r="D96" s="1414"/>
      <c r="E96" s="1413" t="e">
        <f>C96</f>
        <v>#DIV/0!</v>
      </c>
      <c r="F96" s="1414"/>
      <c r="G96" s="1413" t="e">
        <f>IF(OR('Data Entry - SOF'!C143=0,G95=0),0,IF('Data Entry - SOF'!C143&gt;G95,(G95*'Data Entry - SOF'!C142)/G95,('Data Entry - SOF'!C143*'Data Entry - SOF'!C142)/G95))</f>
        <v>#DIV/0!</v>
      </c>
      <c r="H96" s="1414"/>
      <c r="I96" s="2738" t="e">
        <f>G96</f>
        <v>#DIV/0!</v>
      </c>
      <c r="K96" s="4222" t="e">
        <f>IF(OR('Data Entry - SOF'!E95=0,K95=0),0,IF('Data Entry - SOF'!E95&gt;K95,(K95*'Data Entry - SOF'!E94)/K95,('Data Entry - SOF'!E95*'Data Entry - SOF'!E94)/K95))</f>
        <v>#DIV/0!</v>
      </c>
      <c r="L96" s="4165"/>
      <c r="M96" s="4222" t="e">
        <f>K96</f>
        <v>#DIV/0!</v>
      </c>
      <c r="N96" s="4165"/>
      <c r="O96" s="4222" t="e">
        <f>IF(OR('Data Entry - SOF'!E143=0,O95=0),0,IF('Data Entry - SOF'!E143&gt;O95,(O95*'Data Entry - SOF'!E142)/O95,('Data Entry - SOF'!E143*'Data Entry - SOF'!E142)/O95))</f>
        <v>#DIV/0!</v>
      </c>
      <c r="P96" s="4165"/>
      <c r="Q96" s="4141" t="e">
        <f>O96</f>
        <v>#DIV/0!</v>
      </c>
      <c r="R96" s="4261"/>
      <c r="S96" s="4255" t="e">
        <f>IF(OR('Data Entry - SOF'!G95=0,S95=0),0,IF('Data Entry - SOF'!G95&gt;S95,(S95*'Data Entry - SOF'!G94)/S95,('Data Entry - SOF'!G95*'Data Entry - SOF'!G94)/S95))</f>
        <v>#DIV/0!</v>
      </c>
      <c r="T96" s="4117"/>
      <c r="U96" s="4116" t="e">
        <f>S96</f>
        <v>#DIV/0!</v>
      </c>
      <c r="V96" s="4117"/>
      <c r="W96" s="4116" t="e">
        <f>IF(OR('Data Entry - SOF'!G143=0,W95=0),0,IF('Data Entry - SOF'!G143&gt;W95,(W95*'Data Entry - SOF'!G142)/W95,('Data Entry - SOF'!G143*'Data Entry - SOF'!G142)/W95))</f>
        <v>#DIV/0!</v>
      </c>
      <c r="X96" s="4117"/>
      <c r="Y96" s="4116" t="e">
        <f>W96</f>
        <v>#DIV/0!</v>
      </c>
      <c r="Z96" s="4271"/>
      <c r="AA96" s="4265" t="e">
        <f>IF(OR('Data Entry - SOF'!I95=0,AA95=0),0,IF('Data Entry - SOF'!I95&gt;AA95,(AA95*'Data Entry - SOF'!I94)/AA95,('Data Entry - SOF'!I95*'Data Entry - SOF'!I94)/AA95))</f>
        <v>#DIV/0!</v>
      </c>
      <c r="AB96" s="4183"/>
      <c r="AC96" s="4182" t="e">
        <f>AA96</f>
        <v>#DIV/0!</v>
      </c>
      <c r="AD96" s="4183"/>
      <c r="AE96" s="4182" t="e">
        <f>IF(OR('Data Entry - SOF'!I143=0,AE95=0),0,IF('Data Entry - SOF'!I143&gt;AE95,(AE95*'Data Entry - SOF'!I142)/AE95,('Data Entry - SOF'!I143*'Data Entry - SOF'!I142)/AE95))</f>
        <v>#DIV/0!</v>
      </c>
      <c r="AF96" s="4183"/>
      <c r="AG96" s="4182" t="e">
        <f>AE96</f>
        <v>#DIV/0!</v>
      </c>
      <c r="AH96" s="4281"/>
      <c r="AI96" s="4273" t="e">
        <f>IF(OR('Data Entry - SOF'!K95=0,AI95=0),0,IF('Data Entry - SOF'!K95&gt;AI95,(AI95*'Data Entry - SOF'!K94)/AI95,('Data Entry - SOF'!K95*'Data Entry - SOF'!K94)/AI95))</f>
        <v>#DIV/0!</v>
      </c>
      <c r="AJ96" s="4185"/>
      <c r="AK96" s="4184" t="e">
        <f>AI96</f>
        <v>#DIV/0!</v>
      </c>
      <c r="AL96" s="4185"/>
      <c r="AM96" s="4184" t="e">
        <f>IF(OR('Data Entry - SOF'!K143=0,AM95=0),0,IF('Data Entry - SOF'!K143&gt;AM95,(AM95*'Data Entry - SOF'!K142)/AM95,('Data Entry - SOF'!K143*'Data Entry - SOF'!K142)/AM95))</f>
        <v>#DIV/0!</v>
      </c>
      <c r="AN96" s="4185"/>
      <c r="AO96" s="4184" t="e">
        <f>AM96</f>
        <v>#DIV/0!</v>
      </c>
      <c r="AP96" s="4293"/>
      <c r="AQ96" s="4285" t="e">
        <f>IF(OR('Data Entry - SOF'!M95=0,AQ95=0),0,IF('Data Entry - SOF'!M95&gt;AQ95,(AQ95*'Data Entry - SOF'!M94)/AQ95,('Data Entry - SOF'!M95*'Data Entry - SOF'!M94)/AQ95))</f>
        <v>#DIV/0!</v>
      </c>
      <c r="AR96" s="4187"/>
      <c r="AS96" s="4186" t="e">
        <f>AQ96</f>
        <v>#DIV/0!</v>
      </c>
      <c r="AT96" s="4187"/>
      <c r="AU96" s="4186" t="e">
        <f>IF(OR('Data Entry - SOF'!M143=0,AU95=0),0,IF('Data Entry - SOF'!M143&gt;AU95,(AU95*'Data Entry - SOF'!M142)/AU95,('Data Entry - SOF'!M143*'Data Entry - SOF'!M142)/AU95))</f>
        <v>#DIV/0!</v>
      </c>
      <c r="AV96" s="4187"/>
      <c r="AW96" s="4186" t="e">
        <f>AU96</f>
        <v>#DIV/0!</v>
      </c>
      <c r="AX96" s="4306"/>
      <c r="AY96" s="4297" t="e">
        <f>IF(OR('Data Entry - SOF'!O95=0,AY95=0),0,IF('Data Entry - SOF'!O95&gt;AY95,(AY95*'Data Entry - SOF'!O94)/AY95,('Data Entry - SOF'!O95*'Data Entry - SOF'!O94)/AY95))</f>
        <v>#DIV/0!</v>
      </c>
      <c r="AZ96" s="4189"/>
      <c r="BA96" s="4188" t="e">
        <f>AY96</f>
        <v>#DIV/0!</v>
      </c>
      <c r="BB96" s="4189"/>
      <c r="BC96" s="4188" t="e">
        <f>IF(OR('Data Entry - SOF'!O143=0,BC95=0),0,IF('Data Entry - SOF'!O143&gt;BC95,(BC95*'Data Entry - SOF'!O142)/BC95,('Data Entry - SOF'!O143*'Data Entry - SOF'!O142)/BC95))</f>
        <v>#DIV/0!</v>
      </c>
      <c r="BD96" s="4189"/>
      <c r="BE96" s="4188" t="e">
        <f>BC96</f>
        <v>#DIV/0!</v>
      </c>
      <c r="BF96" s="4318"/>
      <c r="BG96" s="2180"/>
      <c r="BH96" s="2180"/>
      <c r="BI96" s="2180"/>
      <c r="BJ96" s="2180"/>
      <c r="BK96" s="2180"/>
      <c r="BL96" s="2180"/>
      <c r="BM96" s="2180"/>
      <c r="BO96" s="2155"/>
      <c r="BP96" s="2155"/>
      <c r="BQ96" s="2155"/>
      <c r="BR96" s="2155"/>
      <c r="BS96" s="2155"/>
      <c r="BT96" s="2155"/>
      <c r="BU96" s="2155"/>
    </row>
    <row r="97" spans="1:58">
      <c r="A97" s="97"/>
      <c r="C97" s="1413">
        <v>0</v>
      </c>
      <c r="D97" s="1414"/>
      <c r="E97" s="1413">
        <v>0</v>
      </c>
      <c r="F97" s="1414"/>
      <c r="G97" s="1413">
        <v>0</v>
      </c>
      <c r="H97" s="1414"/>
      <c r="I97" s="2738">
        <v>0</v>
      </c>
      <c r="K97" s="4222">
        <v>0</v>
      </c>
      <c r="L97" s="4165"/>
      <c r="M97" s="4222">
        <v>0</v>
      </c>
      <c r="N97" s="4165"/>
      <c r="O97" s="4222">
        <v>0</v>
      </c>
      <c r="P97" s="4165"/>
      <c r="Q97" s="4141">
        <v>0</v>
      </c>
      <c r="R97" s="4261"/>
      <c r="S97" s="4255">
        <v>0</v>
      </c>
      <c r="T97" s="4117"/>
      <c r="U97" s="4116">
        <v>0</v>
      </c>
      <c r="V97" s="4117"/>
      <c r="W97" s="4116">
        <v>0</v>
      </c>
      <c r="X97" s="4117"/>
      <c r="Y97" s="4116">
        <v>0</v>
      </c>
      <c r="Z97" s="4271"/>
      <c r="AA97" s="4265">
        <v>0</v>
      </c>
      <c r="AB97" s="4183"/>
      <c r="AC97" s="4182">
        <v>0</v>
      </c>
      <c r="AD97" s="4183"/>
      <c r="AE97" s="4182">
        <v>0</v>
      </c>
      <c r="AF97" s="4183"/>
      <c r="AG97" s="4182">
        <v>0</v>
      </c>
      <c r="AH97" s="4281"/>
      <c r="AI97" s="4273">
        <v>0</v>
      </c>
      <c r="AJ97" s="4185"/>
      <c r="AK97" s="4184">
        <v>0</v>
      </c>
      <c r="AL97" s="4185"/>
      <c r="AM97" s="4184">
        <v>0</v>
      </c>
      <c r="AN97" s="4185"/>
      <c r="AO97" s="4184">
        <v>0</v>
      </c>
      <c r="AP97" s="4293"/>
      <c r="AQ97" s="4285">
        <v>0</v>
      </c>
      <c r="AR97" s="4187"/>
      <c r="AS97" s="4186">
        <v>0</v>
      </c>
      <c r="AT97" s="4187"/>
      <c r="AU97" s="4186">
        <v>0</v>
      </c>
      <c r="AV97" s="4187"/>
      <c r="AW97" s="4186">
        <v>0</v>
      </c>
      <c r="AX97" s="4306"/>
      <c r="AY97" s="4297">
        <v>0</v>
      </c>
      <c r="AZ97" s="4189"/>
      <c r="BA97" s="4188">
        <v>0</v>
      </c>
      <c r="BB97" s="4189"/>
      <c r="BC97" s="4188">
        <v>0</v>
      </c>
      <c r="BD97" s="4189"/>
      <c r="BE97" s="4188">
        <v>0</v>
      </c>
      <c r="BF97" s="4318"/>
    </row>
    <row r="98" spans="1:58">
      <c r="A98" s="97"/>
      <c r="C98" s="1413" t="e">
        <f>IF(C94-C96-C97&lt;0,0,C94-C96-C97)</f>
        <v>#DIV/0!</v>
      </c>
      <c r="D98" s="1414"/>
      <c r="E98" s="1413" t="e">
        <f>IF(E94-E96-E97&lt;0,0,E94-E96-E97)</f>
        <v>#DIV/0!</v>
      </c>
      <c r="F98" s="1414"/>
      <c r="G98" s="1413" t="e">
        <f>IF(G94-G96-G97&lt;0,0,G94-G96-G97)</f>
        <v>#DIV/0!</v>
      </c>
      <c r="H98" s="1414"/>
      <c r="I98" s="2738" t="e">
        <f>IF(I94-I96-I97&lt;0,0,I94-I96-I97)</f>
        <v>#DIV/0!</v>
      </c>
      <c r="K98" s="4222" t="e">
        <f>IF(K94-K96-K97&lt;0,0,K94-K96-K97)</f>
        <v>#DIV/0!</v>
      </c>
      <c r="L98" s="4165"/>
      <c r="M98" s="4222" t="e">
        <f>IF(M94-M96-M97&lt;0,0,M94-M96-M97)</f>
        <v>#DIV/0!</v>
      </c>
      <c r="N98" s="4165"/>
      <c r="O98" s="4222" t="e">
        <f>IF(O94-O96-O97&lt;0,0,O94-O96-O97)</f>
        <v>#DIV/0!</v>
      </c>
      <c r="P98" s="4165"/>
      <c r="Q98" s="4141" t="e">
        <f>IF(Q94-Q96-Q97&lt;0,0,Q94-Q96-Q97)</f>
        <v>#DIV/0!</v>
      </c>
      <c r="R98" s="4261"/>
      <c r="S98" s="4255" t="e">
        <f>IF(S94-S96-S97&lt;0,0,S94-S96-S97)</f>
        <v>#DIV/0!</v>
      </c>
      <c r="T98" s="4117"/>
      <c r="U98" s="4116" t="e">
        <f>IF(U94-U96-U97&lt;0,0,U94-U96-U97)</f>
        <v>#DIV/0!</v>
      </c>
      <c r="V98" s="4117"/>
      <c r="W98" s="4116" t="e">
        <f>IF(W94-W96-W97&lt;0,0,W94-W96-W97)</f>
        <v>#DIV/0!</v>
      </c>
      <c r="X98" s="4117"/>
      <c r="Y98" s="4116" t="e">
        <f>IF(Y94-Y96-Y97&lt;0,0,Y94-Y96-Y97)</f>
        <v>#DIV/0!</v>
      </c>
      <c r="Z98" s="4271"/>
      <c r="AA98" s="4265" t="e">
        <f>IF(AA94-AA96-AA97&lt;0,0,AA94-AA96-AA97)</f>
        <v>#DIV/0!</v>
      </c>
      <c r="AB98" s="4183"/>
      <c r="AC98" s="4182" t="e">
        <f>IF(AC94-AC96-AC97&lt;0,0,AC94-AC96-AC97)</f>
        <v>#DIV/0!</v>
      </c>
      <c r="AD98" s="4183"/>
      <c r="AE98" s="4182" t="e">
        <f>IF(AE94-AE96-AE97&lt;0,0,AE94-AE96-AE97)</f>
        <v>#DIV/0!</v>
      </c>
      <c r="AF98" s="4183"/>
      <c r="AG98" s="4182" t="e">
        <f>IF(AG94-AG96-AG97&lt;0,0,AG94-AG96-AG97)</f>
        <v>#DIV/0!</v>
      </c>
      <c r="AH98" s="4281"/>
      <c r="AI98" s="4273" t="e">
        <f>IF(AI94-AI96-AI97&lt;0,0,AI94-AI96-AI97)</f>
        <v>#DIV/0!</v>
      </c>
      <c r="AJ98" s="4185"/>
      <c r="AK98" s="4184" t="e">
        <f>IF(AK94-AK96-AK97&lt;0,0,AK94-AK96-AK97)</f>
        <v>#DIV/0!</v>
      </c>
      <c r="AL98" s="4185"/>
      <c r="AM98" s="4184" t="e">
        <f>IF(AM94-AM96-AM97&lt;0,0,AM94-AM96-AM97)</f>
        <v>#DIV/0!</v>
      </c>
      <c r="AN98" s="4185"/>
      <c r="AO98" s="4184" t="e">
        <f>IF(AO94-AO96-AO97&lt;0,0,AO94-AO96-AO97)</f>
        <v>#DIV/0!</v>
      </c>
      <c r="AP98" s="4293"/>
      <c r="AQ98" s="4285" t="e">
        <f>IF(AQ94-AQ96-AQ97&lt;0,0,AQ94-AQ96-AQ97)</f>
        <v>#DIV/0!</v>
      </c>
      <c r="AR98" s="4187"/>
      <c r="AS98" s="4186" t="e">
        <f>IF(AS94-AS96-AS97&lt;0,0,AS94-AS96-AS97)</f>
        <v>#DIV/0!</v>
      </c>
      <c r="AT98" s="4187"/>
      <c r="AU98" s="4186" t="e">
        <f>IF(AU94-AU96-AU97&lt;0,0,AU94-AU96-AU97)</f>
        <v>#DIV/0!</v>
      </c>
      <c r="AV98" s="4187"/>
      <c r="AW98" s="4186" t="e">
        <f>IF(AW94-AW96-AW97&lt;0,0,AW94-AW96-AW97)</f>
        <v>#DIV/0!</v>
      </c>
      <c r="AX98" s="4306"/>
      <c r="AY98" s="4297" t="e">
        <f>IF(AY94-AY96-AY97&lt;0,0,AY94-AY96-AY97)</f>
        <v>#DIV/0!</v>
      </c>
      <c r="AZ98" s="4189"/>
      <c r="BA98" s="4188" t="e">
        <f>IF(BA94-BA96-BA97&lt;0,0,BA94-BA96-BA97)</f>
        <v>#DIV/0!</v>
      </c>
      <c r="BB98" s="4189"/>
      <c r="BC98" s="4188" t="e">
        <f>IF(BC94-BC96-BC97&lt;0,0,BC94-BC96-BC97)</f>
        <v>#DIV/0!</v>
      </c>
      <c r="BD98" s="4189"/>
      <c r="BE98" s="4188" t="e">
        <f>IF(BE94-BE96-BE97&lt;0,0,BE94-BE96-BE97)</f>
        <v>#DIV/0!</v>
      </c>
      <c r="BF98" s="4318"/>
    </row>
    <row r="99" spans="1:58">
      <c r="A99" s="97"/>
      <c r="C99" s="1419" t="e">
        <f>IF(C98=0,0,C98*C95)</f>
        <v>#DIV/0!</v>
      </c>
      <c r="D99" s="1420"/>
      <c r="E99" s="1419" t="e">
        <f>IF(E98=0,0,E98*E95)</f>
        <v>#DIV/0!</v>
      </c>
      <c r="F99" s="1420"/>
      <c r="G99" s="1419" t="e">
        <f>IF(G98=0,0,G98*G95)</f>
        <v>#DIV/0!</v>
      </c>
      <c r="H99" s="1420"/>
      <c r="I99" s="2741" t="e">
        <f>IF(I98=0,0,I98*I95)</f>
        <v>#DIV/0!</v>
      </c>
      <c r="K99" s="4228" t="e">
        <f>IF(K98=0,0,K98*K95)</f>
        <v>#DIV/0!</v>
      </c>
      <c r="L99" s="4161"/>
      <c r="M99" s="4228" t="e">
        <f>IF(M98=0,0,M98*M95)</f>
        <v>#DIV/0!</v>
      </c>
      <c r="N99" s="4161"/>
      <c r="O99" s="4228" t="e">
        <f>IF(O98=0,0,O98*O95)</f>
        <v>#DIV/0!</v>
      </c>
      <c r="P99" s="4161"/>
      <c r="Q99" s="4140" t="e">
        <f>IF(Q98=0,0,Q98*Q95)</f>
        <v>#DIV/0!</v>
      </c>
      <c r="R99" s="4263"/>
      <c r="S99" s="4256" t="e">
        <f>IF(S98=0,0,S98*S95)</f>
        <v>#DIV/0!</v>
      </c>
      <c r="T99" s="4115"/>
      <c r="U99" s="4114" t="e">
        <f>IF(U98=0,0,U98*U95)</f>
        <v>#DIV/0!</v>
      </c>
      <c r="V99" s="4115"/>
      <c r="W99" s="4114" t="e">
        <f>IF(W98=0,0,W98*W95)</f>
        <v>#DIV/0!</v>
      </c>
      <c r="X99" s="4115"/>
      <c r="Y99" s="4114" t="e">
        <f>IF(Y98=0,0,Y98*Y95)</f>
        <v>#DIV/0!</v>
      </c>
      <c r="Z99" s="4246"/>
      <c r="AA99" s="4266" t="e">
        <f>IF(AA98=0,0,AA98*AA95)</f>
        <v>#DIV/0!</v>
      </c>
      <c r="AB99" s="4191"/>
      <c r="AC99" s="4190" t="e">
        <f>IF(AC98=0,0,AC98*AC95)</f>
        <v>#DIV/0!</v>
      </c>
      <c r="AD99" s="4191"/>
      <c r="AE99" s="4190" t="e">
        <f>IF(AE98=0,0,AE98*AE95)</f>
        <v>#DIV/0!</v>
      </c>
      <c r="AF99" s="4191"/>
      <c r="AG99" s="4190" t="e">
        <f>IF(AG98=0,0,AG98*AG95)</f>
        <v>#DIV/0!</v>
      </c>
      <c r="AH99" s="4282"/>
      <c r="AI99" s="4046" t="e">
        <f>IF(AI98=0,0,AI98*AI95)</f>
        <v>#DIV/0!</v>
      </c>
      <c r="AJ99" s="4193"/>
      <c r="AK99" s="4192" t="e">
        <f>IF(AK98=0,0,AK98*AK95)</f>
        <v>#DIV/0!</v>
      </c>
      <c r="AL99" s="4193"/>
      <c r="AM99" s="4192" t="e">
        <f>IF(AM98=0,0,AM98*AM95)</f>
        <v>#DIV/0!</v>
      </c>
      <c r="AN99" s="4193"/>
      <c r="AO99" s="4192" t="e">
        <f>IF(AO98=0,0,AO98*AO95)</f>
        <v>#DIV/0!</v>
      </c>
      <c r="AP99" s="4294"/>
      <c r="AQ99" s="4286" t="e">
        <f>IF(AQ98=0,0,AQ98*AQ95)</f>
        <v>#DIV/0!</v>
      </c>
      <c r="AR99" s="4195"/>
      <c r="AS99" s="4194" t="e">
        <f>IF(AS98=0,0,AS98*AS95)</f>
        <v>#DIV/0!</v>
      </c>
      <c r="AT99" s="4195"/>
      <c r="AU99" s="4194" t="e">
        <f>IF(AU98=0,0,AU98*AU95)</f>
        <v>#DIV/0!</v>
      </c>
      <c r="AV99" s="4195"/>
      <c r="AW99" s="4194" t="e">
        <f>IF(AW98=0,0,AW98*AW95)</f>
        <v>#DIV/0!</v>
      </c>
      <c r="AX99" s="4307"/>
      <c r="AY99" s="4298" t="e">
        <f>IF(AY98=0,0,AY98*AY95)</f>
        <v>#DIV/0!</v>
      </c>
      <c r="AZ99" s="4197"/>
      <c r="BA99" s="4196" t="e">
        <f>IF(BA98=0,0,BA98*BA95)</f>
        <v>#DIV/0!</v>
      </c>
      <c r="BB99" s="4197"/>
      <c r="BC99" s="4196" t="e">
        <f>IF(BC98=0,0,BC98*BC95)</f>
        <v>#DIV/0!</v>
      </c>
      <c r="BD99" s="4197"/>
      <c r="BE99" s="4196" t="e">
        <f>IF(BE98=0,0,BE98*BE95)</f>
        <v>#DIV/0!</v>
      </c>
      <c r="BF99" s="4318"/>
    </row>
    <row r="100" spans="1:58">
      <c r="A100" s="97"/>
      <c r="I100" s="2733"/>
      <c r="K100" s="4161"/>
      <c r="L100" s="4161"/>
      <c r="M100" s="4161"/>
      <c r="N100" s="4161"/>
      <c r="O100" s="4161"/>
      <c r="P100" s="4161"/>
      <c r="Q100" s="4221"/>
      <c r="R100" s="4263"/>
      <c r="S100" s="4115"/>
      <c r="T100" s="4115"/>
      <c r="U100" s="4115"/>
      <c r="V100" s="4115"/>
      <c r="W100" s="4115"/>
      <c r="X100" s="4115"/>
      <c r="Y100" s="4115"/>
      <c r="Z100" s="4246"/>
      <c r="AA100" s="4191"/>
      <c r="AB100" s="4191"/>
      <c r="AC100" s="4191"/>
      <c r="AD100" s="4191"/>
      <c r="AE100" s="4191"/>
      <c r="AF100" s="4191"/>
      <c r="AG100" s="4191"/>
      <c r="AH100" s="4282"/>
      <c r="AI100" s="4193"/>
      <c r="AJ100" s="4193"/>
      <c r="AK100" s="4193"/>
      <c r="AL100" s="4193"/>
      <c r="AM100" s="4193"/>
      <c r="AN100" s="4193"/>
      <c r="AO100" s="4193"/>
      <c r="AP100" s="4294"/>
      <c r="AQ100" s="4195"/>
      <c r="AR100" s="4195"/>
      <c r="AS100" s="4195"/>
      <c r="AT100" s="4195"/>
      <c r="AU100" s="4195"/>
      <c r="AV100" s="4195"/>
      <c r="AW100" s="4195"/>
      <c r="AX100" s="4307"/>
      <c r="AY100" s="4197"/>
      <c r="AZ100" s="4197"/>
      <c r="BA100" s="4197"/>
      <c r="BB100" s="4197"/>
      <c r="BC100" s="4197"/>
      <c r="BD100" s="4197"/>
      <c r="BE100" s="4197"/>
      <c r="BF100" s="4318"/>
    </row>
    <row r="101" spans="1:58">
      <c r="A101" s="97"/>
      <c r="I101" s="2733"/>
      <c r="K101" s="4161"/>
      <c r="L101" s="4161"/>
      <c r="M101" s="4161"/>
      <c r="N101" s="4161"/>
      <c r="O101" s="4161"/>
      <c r="P101" s="4161"/>
      <c r="Q101" s="4221"/>
      <c r="R101" s="4263"/>
      <c r="S101" s="4115"/>
      <c r="T101" s="4115"/>
      <c r="U101" s="4115"/>
      <c r="V101" s="4115"/>
      <c r="W101" s="4115"/>
      <c r="X101" s="4115"/>
      <c r="Y101" s="4115"/>
      <c r="Z101" s="4246"/>
      <c r="AA101" s="4191"/>
      <c r="AB101" s="4191"/>
      <c r="AC101" s="4191"/>
      <c r="AD101" s="4191"/>
      <c r="AE101" s="4191"/>
      <c r="AF101" s="4191"/>
      <c r="AG101" s="4191"/>
      <c r="AH101" s="4282"/>
      <c r="AI101" s="4193"/>
      <c r="AJ101" s="4193"/>
      <c r="AK101" s="4193"/>
      <c r="AL101" s="4193"/>
      <c r="AM101" s="4193"/>
      <c r="AN101" s="4193"/>
      <c r="AO101" s="4193"/>
      <c r="AP101" s="4294"/>
      <c r="AQ101" s="4195"/>
      <c r="AR101" s="4195"/>
      <c r="AS101" s="4195"/>
      <c r="AT101" s="4195"/>
      <c r="AU101" s="4195"/>
      <c r="AV101" s="4195"/>
      <c r="AW101" s="4195"/>
      <c r="AX101" s="4307"/>
      <c r="AY101" s="4197"/>
      <c r="AZ101" s="4197"/>
      <c r="BA101" s="4197"/>
      <c r="BB101" s="4197"/>
      <c r="BC101" s="4197"/>
      <c r="BD101" s="4197"/>
      <c r="BE101" s="4197"/>
      <c r="BF101" s="4318"/>
    </row>
    <row r="102" spans="1:58">
      <c r="A102" s="97"/>
      <c r="C102" s="1423" t="e">
        <f>IF(C141&gt;C142,C142,C141)</f>
        <v>#DIV/0!</v>
      </c>
      <c r="D102" s="1420"/>
      <c r="E102" s="1423">
        <v>0</v>
      </c>
      <c r="F102" s="1420"/>
      <c r="G102" s="1423" t="e">
        <f>IF(G141&gt;G142,G142,G141)</f>
        <v>#DIV/0!</v>
      </c>
      <c r="H102" s="1420"/>
      <c r="I102" s="2744">
        <v>0</v>
      </c>
      <c r="K102" s="4228" t="e">
        <f>IF(K141&gt;K142,K142,K141)</f>
        <v>#DIV/0!</v>
      </c>
      <c r="L102" s="4161"/>
      <c r="M102" s="4228">
        <v>0</v>
      </c>
      <c r="N102" s="4161"/>
      <c r="O102" s="4228" t="e">
        <f>IF(O141&gt;O142,O142,O141)</f>
        <v>#DIV/0!</v>
      </c>
      <c r="P102" s="4161"/>
      <c r="Q102" s="4140">
        <v>0</v>
      </c>
      <c r="R102" s="4263"/>
      <c r="S102" s="4256" t="e">
        <f>IF(S141&gt;S142,S142,S141)</f>
        <v>#DIV/0!</v>
      </c>
      <c r="T102" s="4115"/>
      <c r="U102" s="4114">
        <v>0</v>
      </c>
      <c r="V102" s="4115"/>
      <c r="W102" s="4114" t="e">
        <f>IF(W141&gt;W142,W142,W141)</f>
        <v>#DIV/0!</v>
      </c>
      <c r="X102" s="4115"/>
      <c r="Y102" s="4114">
        <v>0</v>
      </c>
      <c r="Z102" s="4246"/>
      <c r="AA102" s="4266" t="e">
        <f>IF(AA141&gt;AA142,AA142,AA141)</f>
        <v>#DIV/0!</v>
      </c>
      <c r="AB102" s="4191"/>
      <c r="AC102" s="4190">
        <v>0</v>
      </c>
      <c r="AD102" s="4191"/>
      <c r="AE102" s="4190" t="e">
        <f>IF(AE141&gt;AE142,AE142,AE141)</f>
        <v>#DIV/0!</v>
      </c>
      <c r="AF102" s="4191"/>
      <c r="AG102" s="4190">
        <v>0</v>
      </c>
      <c r="AH102" s="4282"/>
      <c r="AI102" s="4046" t="e">
        <f>IF(AI141&gt;AI142,AI142,AI141)</f>
        <v>#DIV/0!</v>
      </c>
      <c r="AJ102" s="4193"/>
      <c r="AK102" s="4192">
        <v>0</v>
      </c>
      <c r="AL102" s="4193"/>
      <c r="AM102" s="4192" t="e">
        <f>IF(AM141&gt;AM142,AM142,AM141)</f>
        <v>#DIV/0!</v>
      </c>
      <c r="AN102" s="4193"/>
      <c r="AO102" s="4192">
        <v>0</v>
      </c>
      <c r="AP102" s="4294"/>
      <c r="AQ102" s="4286" t="e">
        <f>IF(AQ141&gt;AQ142,AQ142,AQ141)</f>
        <v>#DIV/0!</v>
      </c>
      <c r="AR102" s="4195"/>
      <c r="AS102" s="4194">
        <v>0</v>
      </c>
      <c r="AT102" s="4195"/>
      <c r="AU102" s="4194" t="e">
        <f>IF(AU141&gt;AU142,AU142,AU141)</f>
        <v>#DIV/0!</v>
      </c>
      <c r="AV102" s="4195"/>
      <c r="AW102" s="4194">
        <v>0</v>
      </c>
      <c r="AX102" s="4307"/>
      <c r="AY102" s="4298" t="e">
        <f>IF(AY141&gt;AY142,AY142,AY141)</f>
        <v>#DIV/0!</v>
      </c>
      <c r="AZ102" s="4197"/>
      <c r="BA102" s="4196">
        <v>0</v>
      </c>
      <c r="BB102" s="4197"/>
      <c r="BC102" s="4196" t="e">
        <f>IF(BC141&gt;BC142,BC142,BC141)</f>
        <v>#DIV/0!</v>
      </c>
      <c r="BD102" s="4197"/>
      <c r="BE102" s="4196">
        <v>0</v>
      </c>
      <c r="BF102" s="4318"/>
    </row>
    <row r="103" spans="1:58">
      <c r="A103" s="97"/>
      <c r="C103" s="4648" t="e">
        <f>'Data Entry - SOF'!C91*(C99/'HH1617-Calcs'!C11)</f>
        <v>#DIV/0!</v>
      </c>
      <c r="D103" s="1420"/>
      <c r="E103" s="1423">
        <f>IF('Data Entry - SOF'!C92&gt;E144,E144,'Data Entry - SOF'!C92)</f>
        <v>0</v>
      </c>
      <c r="F103" s="1420"/>
      <c r="G103" s="4648" t="e">
        <f>'Data Entry - SOF'!C91*(G99/'HH1617-Calcs'!C11)</f>
        <v>#DIV/0!</v>
      </c>
      <c r="H103" s="1420"/>
      <c r="I103" s="2744">
        <f>IF('Data Entry - SOF'!C92&gt;I144,I144,'Data Entry - SOF'!C92)</f>
        <v>0</v>
      </c>
      <c r="K103" s="4160" t="e">
        <f>'Data Entry - SOF'!E91*(K99/'HH1718-Calcs'!C11)</f>
        <v>#DIV/0!</v>
      </c>
      <c r="L103" s="4161"/>
      <c r="M103" s="4228">
        <f>IF('Data Entry - SOF'!E92&gt;M144,M144,'Data Entry - SOF'!E92)</f>
        <v>0</v>
      </c>
      <c r="N103" s="4161"/>
      <c r="O103" s="4160" t="e">
        <f>'Data Entry - SOF'!E91*(O99/'HH1718-Calcs'!C11)</f>
        <v>#DIV/0!</v>
      </c>
      <c r="P103" s="4161"/>
      <c r="Q103" s="4140">
        <f>IF('Data Entry - SOF'!E92&gt;Q144,Q144,'Data Entry - SOF'!E92)</f>
        <v>0</v>
      </c>
      <c r="R103" s="4263"/>
      <c r="S103" s="4258" t="e">
        <f>'Data Entry - SOF'!G91*(S99/'HH1819-Calcs'!C11)</f>
        <v>#DIV/0!</v>
      </c>
      <c r="T103" s="4115"/>
      <c r="U103" s="4114">
        <f>IF('Data Entry - SOF'!G92&gt;U144,U144,'Data Entry - SOF'!G92)</f>
        <v>0</v>
      </c>
      <c r="V103" s="4115"/>
      <c r="W103" s="4157" t="e">
        <f>'Data Entry - SOF'!G91*(W99/'HH1819-Calcs'!C11)</f>
        <v>#DIV/0!</v>
      </c>
      <c r="X103" s="4115"/>
      <c r="Y103" s="4114">
        <f>IF('Data Entry - SOF'!G92&gt;Y144,Y144,'Data Entry - SOF'!G92)</f>
        <v>0</v>
      </c>
      <c r="Z103" s="4246"/>
      <c r="AA103" s="4268" t="e">
        <f>'Data Entry - SOF'!I91*(AA99/'HH1920-Calcs'!C11)</f>
        <v>#DIV/0!</v>
      </c>
      <c r="AB103" s="4191"/>
      <c r="AC103" s="4190">
        <f>IF('Data Entry - SOF'!I92&gt;AC144,AC144,'Data Entry - SOF'!I92)</f>
        <v>0</v>
      </c>
      <c r="AD103" s="4191"/>
      <c r="AE103" s="4166" t="e">
        <f>'Data Entry - SOF'!I91*(AE99/'HH1920-Calcs'!C11)</f>
        <v>#DIV/0!</v>
      </c>
      <c r="AF103" s="4191"/>
      <c r="AG103" s="4190">
        <f>IF('Data Entry - SOF'!I92&gt;AG144,AG144,'Data Entry - SOF'!I92)</f>
        <v>0</v>
      </c>
      <c r="AH103" s="4282"/>
      <c r="AI103" s="4275" t="e">
        <f>'Data Entry - SOF'!K91*(AI99/'HH2021-Calcs'!C11)</f>
        <v>#DIV/0!</v>
      </c>
      <c r="AJ103" s="4193"/>
      <c r="AK103" s="4192">
        <f>IF('Data Entry - SOF'!K92&gt;AK144,AK144,'Data Entry - SOF'!K92)</f>
        <v>0</v>
      </c>
      <c r="AL103" s="4193"/>
      <c r="AM103" s="4167" t="e">
        <f>'Data Entry - SOF'!K91*(AM99/'HH2021-Calcs'!C11)</f>
        <v>#DIV/0!</v>
      </c>
      <c r="AN103" s="4193"/>
      <c r="AO103" s="4192">
        <f>IF('Data Entry - SOF'!K92&gt;AO144,AO144,'Data Entry - SOF'!K92)</f>
        <v>0</v>
      </c>
      <c r="AP103" s="4294"/>
      <c r="AQ103" s="4288" t="e">
        <f>'Data Entry - SOF'!M91*(AQ99/'HH2122-Calcs'!C11)</f>
        <v>#DIV/0!</v>
      </c>
      <c r="AR103" s="4195"/>
      <c r="AS103" s="4194">
        <f>IF('Data Entry - SOF'!M92&gt;AS144,AS144,'Data Entry - SOF'!M92)</f>
        <v>0</v>
      </c>
      <c r="AT103" s="4195"/>
      <c r="AU103" s="4170" t="e">
        <f>'Data Entry - SOF'!M91*(AU99/'HH2122-Calcs'!C11)</f>
        <v>#DIV/0!</v>
      </c>
      <c r="AV103" s="4195"/>
      <c r="AW103" s="4194">
        <f>IF('Data Entry - SOF'!M92&gt;AW144,AW144,'Data Entry - SOF'!M92)</f>
        <v>0</v>
      </c>
      <c r="AX103" s="4307"/>
      <c r="AY103" s="4300" t="e">
        <f>'Data Entry - SOF'!O91*(AY99/'HH2223-Calcs'!C11)</f>
        <v>#DIV/0!</v>
      </c>
      <c r="AZ103" s="4197"/>
      <c r="BA103" s="4196">
        <f>IF('Data Entry - SOF'!O92&gt;BA144,BA144,'Data Entry - SOF'!O92)</f>
        <v>0</v>
      </c>
      <c r="BB103" s="4197"/>
      <c r="BC103" s="4171" t="e">
        <f>'Data Entry - SOF'!O91*(BC99/'HH2223-Calcs'!C11)</f>
        <v>#DIV/0!</v>
      </c>
      <c r="BD103" s="4197"/>
      <c r="BE103" s="4196">
        <f>IF('Data Entry - SOF'!O92&gt;BE144,BE144,'Data Entry - SOF'!O92)</f>
        <v>0</v>
      </c>
      <c r="BF103" s="4318"/>
    </row>
    <row r="104" spans="1:58">
      <c r="A104" s="97"/>
      <c r="C104" s="1405"/>
      <c r="D104" s="1405"/>
      <c r="E104" s="1405"/>
      <c r="F104" s="1405"/>
      <c r="G104" s="1405"/>
      <c r="H104" s="1405"/>
      <c r="I104" s="2745"/>
      <c r="K104" s="4161"/>
      <c r="L104" s="4161"/>
      <c r="M104" s="4161"/>
      <c r="N104" s="4161"/>
      <c r="O104" s="4161"/>
      <c r="P104" s="4161"/>
      <c r="Q104" s="4221"/>
      <c r="R104" s="4263"/>
      <c r="S104" s="4115"/>
      <c r="T104" s="4115"/>
      <c r="U104" s="4115"/>
      <c r="V104" s="4115"/>
      <c r="W104" s="4115"/>
      <c r="X104" s="4115"/>
      <c r="Y104" s="4115"/>
      <c r="Z104" s="4246"/>
      <c r="AA104" s="4191"/>
      <c r="AB104" s="4191"/>
      <c r="AC104" s="4191"/>
      <c r="AD104" s="4191"/>
      <c r="AE104" s="4191"/>
      <c r="AF104" s="4191"/>
      <c r="AG104" s="4191"/>
      <c r="AH104" s="4282"/>
      <c r="AI104" s="4193"/>
      <c r="AJ104" s="4193"/>
      <c r="AK104" s="4193"/>
      <c r="AL104" s="4193"/>
      <c r="AM104" s="4193"/>
      <c r="AN104" s="4193"/>
      <c r="AO104" s="4193"/>
      <c r="AP104" s="4294"/>
      <c r="AQ104" s="4195"/>
      <c r="AR104" s="4195"/>
      <c r="AS104" s="4195"/>
      <c r="AT104" s="4195"/>
      <c r="AU104" s="4195"/>
      <c r="AV104" s="4195"/>
      <c r="AW104" s="4195"/>
      <c r="AX104" s="4307"/>
      <c r="AY104" s="4197"/>
      <c r="AZ104" s="4197"/>
      <c r="BA104" s="4197"/>
      <c r="BB104" s="4197"/>
      <c r="BC104" s="4197"/>
      <c r="BD104" s="4197"/>
      <c r="BE104" s="4197"/>
      <c r="BF104" s="4318"/>
    </row>
    <row r="105" spans="1:58" ht="13.5" thickBot="1">
      <c r="A105" s="97"/>
      <c r="C105" s="1424" t="e">
        <f>IF(C99-C102-C103&lt;0,0,C99-C102-C103)</f>
        <v>#DIV/0!</v>
      </c>
      <c r="D105" s="1420"/>
      <c r="E105" s="1424" t="e">
        <f>IF(E99-E102-E103&lt;0,0,E99-E102-E103)</f>
        <v>#DIV/0!</v>
      </c>
      <c r="F105" s="1420"/>
      <c r="G105" s="1424" t="e">
        <f>IF(G99-G102-G103&lt;0,0,G99-G102-G103)</f>
        <v>#DIV/0!</v>
      </c>
      <c r="H105" s="1420"/>
      <c r="I105" s="2746" t="e">
        <f>IF(I99-I102-I103&lt;0,0,I99-I102-I103)</f>
        <v>#DIV/0!</v>
      </c>
      <c r="K105" s="4230" t="e">
        <f>IF(K99-K102-K103&lt;0,0,K99-K102-K103)</f>
        <v>#DIV/0!</v>
      </c>
      <c r="L105" s="4161"/>
      <c r="M105" s="4230" t="e">
        <f>IF(M99-M102-M103&lt;0,0,M99-M102-M103)</f>
        <v>#DIV/0!</v>
      </c>
      <c r="N105" s="4161"/>
      <c r="O105" s="4230" t="e">
        <f>IF(O99-O102-O103&lt;0,0,O99-O102-O103)</f>
        <v>#DIV/0!</v>
      </c>
      <c r="P105" s="4161"/>
      <c r="Q105" s="4223" t="e">
        <f>IF(Q99-Q102-Q103&lt;0,0,Q99-Q102-Q103)</f>
        <v>#DIV/0!</v>
      </c>
      <c r="R105" s="4263"/>
      <c r="S105" s="4123" t="e">
        <f>IF(S99-S102-S103&lt;0,0,S99-S102-S103)</f>
        <v>#DIV/0!</v>
      </c>
      <c r="T105" s="4115"/>
      <c r="U105" s="4123" t="e">
        <f>IF(U99-U102-U103&lt;0,0,U99-U102-U103)</f>
        <v>#DIV/0!</v>
      </c>
      <c r="V105" s="4115"/>
      <c r="W105" s="4123" t="e">
        <f>IF(W99-W102-W103&lt;0,0,W99-W102-W103)</f>
        <v>#DIV/0!</v>
      </c>
      <c r="X105" s="4115"/>
      <c r="Y105" s="4123" t="e">
        <f>IF(Y99-Y102-Y103&lt;0,0,Y99-Y102-Y103)</f>
        <v>#DIV/0!</v>
      </c>
      <c r="Z105" s="4246"/>
      <c r="AA105" s="4224" t="e">
        <f>IF(AA99-AA102-AA103&lt;0,0,AA99-AA102-AA103)</f>
        <v>#DIV/0!</v>
      </c>
      <c r="AB105" s="4191"/>
      <c r="AC105" s="4224" t="e">
        <f>IF(AC99-AC102-AC103&lt;0,0,AC99-AC102-AC103)</f>
        <v>#DIV/0!</v>
      </c>
      <c r="AD105" s="4191"/>
      <c r="AE105" s="4224" t="e">
        <f>IF(AE99-AE102-AE103&lt;0,0,AE99-AE102-AE103)</f>
        <v>#DIV/0!</v>
      </c>
      <c r="AF105" s="4191"/>
      <c r="AG105" s="4224" t="e">
        <f>IF(AG99-AG102-AG103&lt;0,0,AG99-AG102-AG103)</f>
        <v>#DIV/0!</v>
      </c>
      <c r="AH105" s="4282"/>
      <c r="AI105" s="4225" t="e">
        <f>IF(AI99-AI102-AI103&lt;0,0,AI99-AI102-AI103)</f>
        <v>#DIV/0!</v>
      </c>
      <c r="AJ105" s="4193"/>
      <c r="AK105" s="4225" t="e">
        <f>IF(AK99-AK102-AK103&lt;0,0,AK99-AK102-AK103)</f>
        <v>#DIV/0!</v>
      </c>
      <c r="AL105" s="4193"/>
      <c r="AM105" s="4225" t="e">
        <f>IF(AM99-AM102-AM103&lt;0,0,AM99-AM102-AM103)</f>
        <v>#DIV/0!</v>
      </c>
      <c r="AN105" s="4193"/>
      <c r="AO105" s="4225" t="e">
        <f>IF(AO99-AO102-AO103&lt;0,0,AO99-AO102-AO103)</f>
        <v>#DIV/0!</v>
      </c>
      <c r="AP105" s="4294"/>
      <c r="AQ105" s="4226" t="e">
        <f>IF(AQ99-AQ102-AQ103&lt;0,0,AQ99-AQ102-AQ103)</f>
        <v>#DIV/0!</v>
      </c>
      <c r="AR105" s="4195"/>
      <c r="AS105" s="4226" t="e">
        <f>IF(AS99-AS102-AS103&lt;0,0,AS99-AS102-AS103)</f>
        <v>#DIV/0!</v>
      </c>
      <c r="AT105" s="4195"/>
      <c r="AU105" s="4226" t="e">
        <f>IF(AU99-AU102-AU103&lt;0,0,AU99-AU102-AU103)</f>
        <v>#DIV/0!</v>
      </c>
      <c r="AV105" s="4195"/>
      <c r="AW105" s="4226" t="e">
        <f>IF(AW99-AW102-AW103&lt;0,0,AW99-AW102-AW103)</f>
        <v>#DIV/0!</v>
      </c>
      <c r="AX105" s="4307"/>
      <c r="AY105" s="4227" t="e">
        <f>IF(AY99-AY102-AY103&lt;0,0,AY99-AY102-AY103)</f>
        <v>#DIV/0!</v>
      </c>
      <c r="AZ105" s="4197"/>
      <c r="BA105" s="4227" t="e">
        <f>IF(BA99-BA102-BA103&lt;0,0,BA99-BA102-BA103)</f>
        <v>#DIV/0!</v>
      </c>
      <c r="BB105" s="4197"/>
      <c r="BC105" s="4227" t="e">
        <f>IF(BC99-BC102-BC103&lt;0,0,BC99-BC102-BC103)</f>
        <v>#DIV/0!</v>
      </c>
      <c r="BD105" s="4197"/>
      <c r="BE105" s="4227" t="e">
        <f>IF(BE99-BE102-BE103&lt;0,0,BE99-BE102-BE103)</f>
        <v>#DIV/0!</v>
      </c>
      <c r="BF105" s="4318"/>
    </row>
    <row r="106" spans="1:58" ht="13.5" thickTop="1">
      <c r="A106" s="97"/>
      <c r="C106" s="1420"/>
      <c r="D106" s="1420"/>
      <c r="E106" s="1420" t="e">
        <f>C105+G105</f>
        <v>#DIV/0!</v>
      </c>
      <c r="F106" s="1420"/>
      <c r="G106" s="1420"/>
      <c r="H106" s="1420"/>
      <c r="I106" s="2745" t="e">
        <f>E105+I105</f>
        <v>#DIV/0!</v>
      </c>
      <c r="K106" s="4161"/>
      <c r="L106" s="4161"/>
      <c r="M106" s="4161" t="e">
        <f>K105+O105</f>
        <v>#DIV/0!</v>
      </c>
      <c r="N106" s="4161"/>
      <c r="O106" s="4161"/>
      <c r="P106" s="4161"/>
      <c r="Q106" s="4221" t="e">
        <f>M105+Q105</f>
        <v>#DIV/0!</v>
      </c>
      <c r="R106" s="4263"/>
      <c r="S106" s="4115"/>
      <c r="T106" s="4115"/>
      <c r="U106" s="4115" t="e">
        <f>S105+W105</f>
        <v>#DIV/0!</v>
      </c>
      <c r="V106" s="4115"/>
      <c r="W106" s="4115"/>
      <c r="X106" s="4115"/>
      <c r="Y106" s="4115" t="e">
        <f>U105+Y105</f>
        <v>#DIV/0!</v>
      </c>
      <c r="Z106" s="4246"/>
      <c r="AA106" s="4191"/>
      <c r="AB106" s="4191"/>
      <c r="AC106" s="4191" t="e">
        <f>AA105+AE105</f>
        <v>#DIV/0!</v>
      </c>
      <c r="AD106" s="4191"/>
      <c r="AE106" s="4191"/>
      <c r="AF106" s="4191"/>
      <c r="AG106" s="4191" t="e">
        <f>AC105+AG105</f>
        <v>#DIV/0!</v>
      </c>
      <c r="AH106" s="4282"/>
      <c r="AI106" s="4193"/>
      <c r="AJ106" s="4193"/>
      <c r="AK106" s="4193" t="e">
        <f>AI105+AM105</f>
        <v>#DIV/0!</v>
      </c>
      <c r="AL106" s="4193"/>
      <c r="AM106" s="4193"/>
      <c r="AN106" s="4193"/>
      <c r="AO106" s="4193" t="e">
        <f>AK105+AO105</f>
        <v>#DIV/0!</v>
      </c>
      <c r="AP106" s="4294"/>
      <c r="AQ106" s="4195"/>
      <c r="AR106" s="4195"/>
      <c r="AS106" s="4195" t="e">
        <f>AQ105+AU105</f>
        <v>#DIV/0!</v>
      </c>
      <c r="AT106" s="4195"/>
      <c r="AU106" s="4195"/>
      <c r="AV106" s="4195"/>
      <c r="AW106" s="4195" t="e">
        <f>AS105+AW105</f>
        <v>#DIV/0!</v>
      </c>
      <c r="AX106" s="4307"/>
      <c r="AY106" s="4197"/>
      <c r="AZ106" s="4197"/>
      <c r="BA106" s="4197" t="e">
        <f>AY105+BC105</f>
        <v>#DIV/0!</v>
      </c>
      <c r="BB106" s="4197"/>
      <c r="BC106" s="4197"/>
      <c r="BD106" s="4197"/>
      <c r="BE106" s="4197" t="e">
        <f>BA105+BE105</f>
        <v>#DIV/0!</v>
      </c>
      <c r="BF106" s="4318"/>
    </row>
    <row r="107" spans="1:58">
      <c r="A107" s="97"/>
      <c r="C107" s="1420"/>
      <c r="D107" s="1420"/>
      <c r="E107" s="1420"/>
      <c r="F107" s="1420"/>
      <c r="G107" s="1420"/>
      <c r="H107" s="1420"/>
      <c r="I107" s="2745"/>
      <c r="R107" s="4260"/>
      <c r="Z107" s="4242"/>
      <c r="AH107" s="4277"/>
      <c r="AP107" s="4290"/>
      <c r="AX107" s="4302"/>
      <c r="BF107" s="4318"/>
    </row>
    <row r="108" spans="1:58">
      <c r="A108" s="97"/>
      <c r="C108" s="1420"/>
      <c r="D108" s="1420"/>
      <c r="E108" s="1420"/>
      <c r="F108" s="1420"/>
      <c r="G108" s="1420"/>
      <c r="H108" s="1420"/>
      <c r="I108" s="2745"/>
      <c r="R108" s="4260"/>
      <c r="Z108" s="4242"/>
      <c r="AH108" s="4277"/>
      <c r="AP108" s="4290"/>
      <c r="AX108" s="4302"/>
      <c r="BF108" s="4318"/>
    </row>
    <row r="109" spans="1:58">
      <c r="A109" s="97"/>
      <c r="C109" s="1419" t="e">
        <f>'Calc Data-SB1'!AD91</f>
        <v>#DIV/0!</v>
      </c>
      <c r="D109" s="1420"/>
      <c r="E109" s="1419" t="e">
        <f>C109</f>
        <v>#DIV/0!</v>
      </c>
      <c r="F109" s="1420"/>
      <c r="G109" s="1419"/>
      <c r="H109" s="1420"/>
      <c r="I109" s="2741"/>
      <c r="R109" s="4260"/>
      <c r="Z109" s="4242"/>
      <c r="AH109" s="4277"/>
      <c r="AP109" s="4290"/>
      <c r="AX109" s="4302"/>
      <c r="BF109" s="4318"/>
    </row>
    <row r="110" spans="1:58">
      <c r="A110" s="97"/>
      <c r="C110" s="1419"/>
      <c r="D110" s="1420"/>
      <c r="E110" s="1419"/>
      <c r="F110" s="1420"/>
      <c r="G110" s="1419" t="e">
        <f>'Calc Data-SB1'!AB86</f>
        <v>#DIV/0!</v>
      </c>
      <c r="H110" s="1420"/>
      <c r="I110" s="2741" t="e">
        <f>G110</f>
        <v>#DIV/0!</v>
      </c>
      <c r="R110" s="4260"/>
      <c r="Z110" s="4242"/>
      <c r="AH110" s="4277"/>
      <c r="AP110" s="4290"/>
      <c r="AX110" s="4302"/>
      <c r="BF110" s="4318"/>
    </row>
    <row r="111" spans="1:58">
      <c r="A111" s="97"/>
      <c r="C111" s="1419" t="e">
        <f>C109</f>
        <v>#DIV/0!</v>
      </c>
      <c r="D111" s="1420"/>
      <c r="E111" s="1419" t="e">
        <f>E109</f>
        <v>#DIV/0!</v>
      </c>
      <c r="F111" s="1420"/>
      <c r="G111" s="1419" t="e">
        <f>G110</f>
        <v>#DIV/0!</v>
      </c>
      <c r="H111" s="1420"/>
      <c r="I111" s="2741" t="e">
        <f>I110</f>
        <v>#DIV/0!</v>
      </c>
      <c r="R111" s="4260"/>
      <c r="Z111" s="4242"/>
      <c r="AH111" s="4277"/>
      <c r="AP111" s="4290"/>
      <c r="AX111" s="4302"/>
      <c r="BF111" s="4318"/>
    </row>
    <row r="112" spans="1:58">
      <c r="A112" s="97"/>
      <c r="C112" s="1411" t="e">
        <f>C35*C111</f>
        <v>#DIV/0!</v>
      </c>
      <c r="D112" s="1420"/>
      <c r="E112" s="1411" t="e">
        <f>E35*E111</f>
        <v>#DIV/0!</v>
      </c>
      <c r="F112" s="1420"/>
      <c r="G112" s="1411" t="e">
        <f>IF(G110&lt;1,0,G35*G111)</f>
        <v>#DIV/0!</v>
      </c>
      <c r="H112" s="1420"/>
      <c r="I112" s="2737" t="e">
        <f>IF(I110&lt;1,0,I35*I111)</f>
        <v>#DIV/0!</v>
      </c>
      <c r="R112" s="4260"/>
      <c r="Z112" s="4242"/>
      <c r="AH112" s="4277"/>
      <c r="AP112" s="4290"/>
      <c r="AX112" s="4302"/>
      <c r="BF112" s="4318"/>
    </row>
    <row r="113" spans="1:73">
      <c r="A113" s="97"/>
      <c r="C113" s="1413" t="e">
        <f>C34/IF(C36&lt;Assumptions!G92,Assumptions!G92,C36)</f>
        <v>#DIV/0!</v>
      </c>
      <c r="D113" s="1420"/>
      <c r="E113" s="1413" t="e">
        <f>E34/E36</f>
        <v>#DIV/0!</v>
      </c>
      <c r="F113" s="1420"/>
      <c r="G113" s="1413" t="e">
        <f>IF(G112=0,0,G34/G36)</f>
        <v>#DIV/0!</v>
      </c>
      <c r="H113" s="1420"/>
      <c r="I113" s="2738" t="e">
        <f>IF(I112=0,0,I34/I36)</f>
        <v>#DIV/0!</v>
      </c>
      <c r="R113" s="4260"/>
      <c r="Z113" s="4242"/>
      <c r="AH113" s="4277"/>
      <c r="AP113" s="4290"/>
      <c r="AX113" s="4302"/>
      <c r="BF113" s="4318"/>
    </row>
    <row r="114" spans="1:73">
      <c r="A114" s="97"/>
      <c r="C114" s="1421" t="e">
        <f>IF(C113=0,0,IF(C112/C113&lt;3147,3147,C112/C113))</f>
        <v>#DIV/0!</v>
      </c>
      <c r="D114" s="1420"/>
      <c r="E114" s="1421" t="e">
        <f>IF(E113=0,0,IF(E112/E113&lt;3147,3147,E112/E113))</f>
        <v>#DIV/0!</v>
      </c>
      <c r="F114" s="1420"/>
      <c r="G114" s="1421" t="e">
        <f>IF(G113=0,0,IF(G112/G113&lt;71.62,71.62,G112/G113))</f>
        <v>#DIV/0!</v>
      </c>
      <c r="H114" s="1420"/>
      <c r="I114" s="2742" t="e">
        <f>IF(I113=0,0,IF(I112/I113&lt;71.62,71.62,I112/I113))</f>
        <v>#DIV/0!</v>
      </c>
      <c r="R114" s="4260"/>
      <c r="Z114" s="4242"/>
      <c r="AH114" s="4277"/>
      <c r="AP114" s="4290"/>
      <c r="AX114" s="4302"/>
      <c r="BF114" s="4318"/>
    </row>
    <row r="115" spans="1:73">
      <c r="A115" s="97"/>
      <c r="C115" s="1413" t="e">
        <f>IF(OR('Data Entry - SOF'!C95=0,C114=0),0,IF('Data Entry - SOF'!C95&gt;C114,(C114*'Data Entry - SOF'!C94)/C114,('Data Entry - SOF'!C95*'Data Entry - SOF'!C94)/C114))</f>
        <v>#DIV/0!</v>
      </c>
      <c r="D115" s="1420"/>
      <c r="E115" s="1413" t="e">
        <f>C115</f>
        <v>#DIV/0!</v>
      </c>
      <c r="F115" s="1420"/>
      <c r="G115" s="1413" t="e">
        <f>IF(OR('Data Entry - SOF'!C143=0,G114=0),0,IF('Data Entry - SOF'!C143&gt;G114,(G114*'Data Entry - SOF'!C142)/G114,('Data Entry - SOF'!C143*'Data Entry - SOF'!C142)/G114))</f>
        <v>#DIV/0!</v>
      </c>
      <c r="H115" s="1420"/>
      <c r="I115" s="2738" t="e">
        <f>G115</f>
        <v>#DIV/0!</v>
      </c>
      <c r="R115" s="4260"/>
      <c r="Z115" s="4242"/>
      <c r="AH115" s="4277"/>
      <c r="AP115" s="4290"/>
      <c r="AX115" s="4302"/>
      <c r="BF115" s="4318"/>
    </row>
    <row r="116" spans="1:73">
      <c r="A116" s="97"/>
      <c r="C116" s="1413">
        <v>0</v>
      </c>
      <c r="D116" s="1420"/>
      <c r="E116" s="1413">
        <v>0</v>
      </c>
      <c r="F116" s="1420"/>
      <c r="G116" s="1413">
        <v>0</v>
      </c>
      <c r="H116" s="1420"/>
      <c r="I116" s="2738">
        <v>0</v>
      </c>
      <c r="R116" s="4260"/>
      <c r="Z116" s="4242"/>
      <c r="AH116" s="4277"/>
      <c r="AP116" s="4290"/>
      <c r="AX116" s="4302"/>
      <c r="BF116" s="4318"/>
    </row>
    <row r="117" spans="1:73">
      <c r="A117" s="97"/>
      <c r="C117" s="1413" t="e">
        <f>IF(C113-C115-C116&lt;0,0,C113-C115-C116)</f>
        <v>#DIV/0!</v>
      </c>
      <c r="D117" s="1420"/>
      <c r="E117" s="1413" t="e">
        <f>IF(E113-E115-E116&lt;0,0,E113-E115-E116)</f>
        <v>#DIV/0!</v>
      </c>
      <c r="F117" s="1420"/>
      <c r="G117" s="1413" t="e">
        <f>IF(G113-G115-G116&lt;0,0,G113-G115-G116)</f>
        <v>#DIV/0!</v>
      </c>
      <c r="H117" s="1420"/>
      <c r="I117" s="2738" t="e">
        <f>IF(I113-I115-I116&lt;0,0,I113-I115-I116)</f>
        <v>#DIV/0!</v>
      </c>
      <c r="R117" s="4260"/>
      <c r="Z117" s="4242"/>
      <c r="AH117" s="4277"/>
      <c r="AP117" s="4290"/>
      <c r="AX117" s="4302"/>
      <c r="BF117" s="4318"/>
    </row>
    <row r="118" spans="1:73">
      <c r="A118" s="97"/>
      <c r="C118" s="1419" t="e">
        <f>IF(C117=0,0,C117*C114)</f>
        <v>#DIV/0!</v>
      </c>
      <c r="D118" s="1420"/>
      <c r="E118" s="1419" t="e">
        <f>IF(E117=0,0,E117*E114)</f>
        <v>#DIV/0!</v>
      </c>
      <c r="F118" s="1420"/>
      <c r="G118" s="1419" t="e">
        <f>IF(G117=0,0,G117*G114)</f>
        <v>#DIV/0!</v>
      </c>
      <c r="H118" s="1420"/>
      <c r="I118" s="2741" t="e">
        <f>IF(I117=0,0,I117*I114)</f>
        <v>#DIV/0!</v>
      </c>
      <c r="R118" s="4260"/>
      <c r="Z118" s="4242"/>
      <c r="AH118" s="4277"/>
      <c r="AP118" s="4290"/>
      <c r="AX118" s="4302"/>
      <c r="BF118" s="4318"/>
    </row>
    <row r="119" spans="1:73">
      <c r="A119" s="97"/>
      <c r="D119" s="1420"/>
      <c r="F119" s="1420"/>
      <c r="H119" s="1420"/>
      <c r="I119" s="2733"/>
      <c r="R119" s="4260"/>
      <c r="Z119" s="4242"/>
      <c r="AH119" s="4277"/>
      <c r="AP119" s="4290"/>
      <c r="AX119" s="4302"/>
      <c r="BF119" s="4318"/>
    </row>
    <row r="120" spans="1:73">
      <c r="A120" s="97"/>
      <c r="D120" s="1420"/>
      <c r="F120" s="1420"/>
      <c r="H120" s="1420"/>
      <c r="I120" s="2733"/>
      <c r="R120" s="4260"/>
      <c r="Z120" s="4242"/>
      <c r="AH120" s="4277"/>
      <c r="AP120" s="4290"/>
      <c r="AX120" s="4302"/>
      <c r="BF120" s="4318"/>
    </row>
    <row r="121" spans="1:73">
      <c r="A121" s="97"/>
      <c r="C121" s="1423" t="e">
        <f>IF(C148&gt;C149,C149,C148)</f>
        <v>#DIV/0!</v>
      </c>
      <c r="D121" s="1420"/>
      <c r="E121" s="1423">
        <v>0</v>
      </c>
      <c r="F121" s="1420"/>
      <c r="G121" s="1423">
        <f>IF(G160&gt;G161,G161,G160)</f>
        <v>0</v>
      </c>
      <c r="H121" s="1420"/>
      <c r="I121" s="2744">
        <v>0</v>
      </c>
      <c r="R121" s="4260"/>
      <c r="Z121" s="4242"/>
      <c r="AH121" s="4277"/>
      <c r="AP121" s="4290"/>
      <c r="AX121" s="4302"/>
      <c r="BF121" s="4318"/>
    </row>
    <row r="122" spans="1:73">
      <c r="C122" s="4648" t="e">
        <f>'Data Entry - SOF'!C91*(C118/'HH1617-Calcs'!C11)</f>
        <v>#DIV/0!</v>
      </c>
      <c r="E122" s="1423">
        <f>IF('Data Entry - SOF'!C92&gt;E151,E151,'Data Entry - SOF'!C92)</f>
        <v>0</v>
      </c>
      <c r="G122" s="4648" t="e">
        <f>'Data Entry - SOF'!C91*(G118/'HH1617-Calcs'!C11)</f>
        <v>#DIV/0!</v>
      </c>
      <c r="I122" s="2744">
        <f>IF('Data Entry - SOF'!C92&gt;I151,I151,'Data Entry - SOF'!C92)</f>
        <v>0</v>
      </c>
      <c r="R122" s="4260"/>
      <c r="Z122" s="4242"/>
      <c r="AH122" s="4277"/>
      <c r="AP122" s="4290"/>
      <c r="AX122" s="4302"/>
      <c r="BF122" s="4318"/>
    </row>
    <row r="123" spans="1:73">
      <c r="C123" s="1405"/>
      <c r="E123" s="1405"/>
      <c r="G123" s="1405"/>
      <c r="I123" s="2745"/>
      <c r="R123" s="4260"/>
      <c r="Z123" s="4242"/>
      <c r="AH123" s="4277"/>
      <c r="AP123" s="4290"/>
      <c r="AX123" s="4302"/>
      <c r="BF123" s="4318"/>
    </row>
    <row r="124" spans="1:73" ht="13.5" thickBot="1">
      <c r="C124" s="1424" t="e">
        <f>IF(C118-C121-C122&lt;0,0,C118-C121-C122)</f>
        <v>#DIV/0!</v>
      </c>
      <c r="E124" s="1424" t="e">
        <f>IF(E118-E121-E122&lt;0,0,E118-E121-E122)</f>
        <v>#DIV/0!</v>
      </c>
      <c r="G124" s="1424" t="e">
        <f>IF(G118-G121-G122&lt;0,0,G118-G121-G122)</f>
        <v>#DIV/0!</v>
      </c>
      <c r="I124" s="2746" t="e">
        <f>IF(I118-I121-I122&lt;0,0,I118-I121-I122)</f>
        <v>#DIV/0!</v>
      </c>
      <c r="R124" s="4260"/>
      <c r="Z124" s="4242"/>
      <c r="AH124" s="4277"/>
      <c r="AP124" s="4290"/>
      <c r="AX124" s="4302"/>
      <c r="BF124" s="4318"/>
    </row>
    <row r="125" spans="1:73" ht="13.5" thickTop="1">
      <c r="C125" s="1405"/>
      <c r="D125" s="1405"/>
      <c r="E125" s="1405" t="e">
        <f>C124+G124</f>
        <v>#DIV/0!</v>
      </c>
      <c r="F125" s="1405"/>
      <c r="G125" s="1405"/>
      <c r="H125" s="1405"/>
      <c r="I125" s="2745" t="e">
        <f>E124+I124</f>
        <v>#DIV/0!</v>
      </c>
      <c r="R125" s="4260"/>
      <c r="Z125" s="4242"/>
      <c r="AH125" s="4277"/>
      <c r="AP125" s="4290"/>
      <c r="AX125" s="4302"/>
      <c r="BF125" s="4318"/>
    </row>
    <row r="126" spans="1:73">
      <c r="C126" s="1405"/>
      <c r="D126" s="1405"/>
      <c r="E126" t="e">
        <f>IF(FracFunding1617!E24&lt;=0,'Option Costs-ASATR'!E106,'Option Costs-ASATR'!E125)</f>
        <v>#DIV/0!</v>
      </c>
      <c r="F126"/>
      <c r="G126"/>
      <c r="H126"/>
      <c r="I126" t="e">
        <f>IF(FracFunding1617!E24&lt;=0,'Option Costs-ASATR'!I106,'Option Costs-ASATR'!I125)</f>
        <v>#DIV/0!</v>
      </c>
      <c r="R126" s="4260"/>
      <c r="Z126" s="4242"/>
      <c r="AH126" s="4277"/>
      <c r="AP126" s="4290"/>
      <c r="AX126" s="4302"/>
      <c r="BF126" s="4318"/>
    </row>
    <row r="127" spans="1:73">
      <c r="C127" s="2442" t="e">
        <f>C48*0.04</f>
        <v>#DIV/0!</v>
      </c>
      <c r="D127" s="2442"/>
      <c r="E127" s="2442" t="e">
        <f>E48*0.05</f>
        <v>#DIV/0!</v>
      </c>
      <c r="F127" s="2442"/>
      <c r="G127" s="2442" t="e">
        <f>G48*0.04</f>
        <v>#DIV/0!</v>
      </c>
      <c r="H127" s="2442"/>
      <c r="I127" s="2766" t="e">
        <f>I48*0.05</f>
        <v>#DIV/0!</v>
      </c>
      <c r="K127" s="4132" t="e">
        <f>K48*0.04</f>
        <v>#DIV/0!</v>
      </c>
      <c r="L127" s="4132"/>
      <c r="M127" s="4132" t="e">
        <f>M48*0.05</f>
        <v>#DIV/0!</v>
      </c>
      <c r="N127" s="4132"/>
      <c r="O127" s="4132" t="e">
        <f>O48*0.04</f>
        <v>#DIV/0!</v>
      </c>
      <c r="P127" s="4132"/>
      <c r="Q127" s="4137" t="e">
        <f>Q48*0.05</f>
        <v>#DIV/0!</v>
      </c>
      <c r="R127" s="4260"/>
      <c r="S127" s="4113" t="e">
        <f>S48*0.04</f>
        <v>#DIV/0!</v>
      </c>
      <c r="U127" s="4113" t="e">
        <f>U48*0.05</f>
        <v>#DIV/0!</v>
      </c>
      <c r="W127" s="4113" t="e">
        <f>W48*0.04</f>
        <v>#DIV/0!</v>
      </c>
      <c r="Y127" s="4113" t="e">
        <f>Y48*0.05</f>
        <v>#DIV/0!</v>
      </c>
      <c r="Z127" s="4242"/>
      <c r="AA127" s="4148" t="e">
        <f>AA48*0.04</f>
        <v>#DIV/0!</v>
      </c>
      <c r="AC127" s="4148" t="e">
        <f>AC48*0.05</f>
        <v>#DIV/0!</v>
      </c>
      <c r="AE127" s="4148" t="e">
        <f>AE48*0.04</f>
        <v>#DIV/0!</v>
      </c>
      <c r="AG127" s="4148" t="e">
        <f>AG48*0.05</f>
        <v>#DIV/0!</v>
      </c>
      <c r="AH127" s="4277"/>
      <c r="AI127" s="4149" t="e">
        <f>AI48*0.04</f>
        <v>#DIV/0!</v>
      </c>
      <c r="AK127" s="4149" t="e">
        <f>AK48*0.05</f>
        <v>#DIV/0!</v>
      </c>
      <c r="AM127" s="4149" t="e">
        <f>AM48*0.04</f>
        <v>#DIV/0!</v>
      </c>
      <c r="AO127" s="4149" t="e">
        <f>AO48*0.05</f>
        <v>#DIV/0!</v>
      </c>
      <c r="AP127" s="4290"/>
      <c r="AQ127" s="4150" t="e">
        <f>AQ48*0.04</f>
        <v>#DIV/0!</v>
      </c>
      <c r="AS127" s="4150" t="e">
        <f>AS48*0.05</f>
        <v>#DIV/0!</v>
      </c>
      <c r="AU127" s="4150" t="e">
        <f>AU48*0.04</f>
        <v>#DIV/0!</v>
      </c>
      <c r="AW127" s="4150" t="e">
        <f>AW48*0.05</f>
        <v>#DIV/0!</v>
      </c>
      <c r="AX127" s="4302"/>
      <c r="AY127" s="4151" t="e">
        <f>AY48*0.04</f>
        <v>#DIV/0!</v>
      </c>
      <c r="BA127" s="4151" t="e">
        <f>BA48*0.05</f>
        <v>#DIV/0!</v>
      </c>
      <c r="BC127" s="4151" t="e">
        <f>BC48*0.04</f>
        <v>#DIV/0!</v>
      </c>
      <c r="BE127" s="4151" t="e">
        <f>BE48*0.05</f>
        <v>#DIV/0!</v>
      </c>
      <c r="BF127" s="4318"/>
      <c r="BG127" s="2175" t="e">
        <f>BG42*0.04</f>
        <v>#DIV/0!</v>
      </c>
      <c r="BH127" s="2175"/>
      <c r="BI127" s="2175" t="e">
        <f>BI42*0.05</f>
        <v>#DIV/0!</v>
      </c>
      <c r="BJ127" s="2175"/>
      <c r="BK127" s="2175" t="e">
        <f>BK42*0.04</f>
        <v>#DIV/0!</v>
      </c>
      <c r="BL127" s="2175"/>
      <c r="BM127" s="2175" t="e">
        <f>BM42*0.05</f>
        <v>#DIV/0!</v>
      </c>
      <c r="BO127" s="2150" t="e">
        <f>BO42*0.04</f>
        <v>#DIV/0!</v>
      </c>
      <c r="BP127" s="2150"/>
      <c r="BQ127" s="2150" t="e">
        <f>BQ42*0.05</f>
        <v>#DIV/0!</v>
      </c>
      <c r="BR127" s="2150"/>
      <c r="BS127" s="2150" t="e">
        <f>BS42*0.04</f>
        <v>#DIV/0!</v>
      </c>
      <c r="BT127" s="2150"/>
      <c r="BU127" s="2150" t="e">
        <f>BU42*0.05</f>
        <v>#DIV/0!</v>
      </c>
    </row>
    <row r="128" spans="1:73">
      <c r="C128" s="2442" t="e">
        <f>C43*80</f>
        <v>#DIV/0!</v>
      </c>
      <c r="D128" s="2442"/>
      <c r="E128" s="2442" t="e">
        <f>'Ch41 Calc Data'!K17*100</f>
        <v>#DIV/0!</v>
      </c>
      <c r="F128" s="2442"/>
      <c r="G128" s="2442" t="e">
        <f>G43*80</f>
        <v>#DIV/0!</v>
      </c>
      <c r="H128" s="2442"/>
      <c r="I128" s="2766" t="e">
        <f>'Ch41 Calc Data'!K17*100</f>
        <v>#DIV/0!</v>
      </c>
      <c r="K128" s="4132" t="e">
        <f>K43*80</f>
        <v>#DIV/0!</v>
      </c>
      <c r="L128" s="4132"/>
      <c r="M128" s="4132" t="e">
        <f>'Ch41 Calc Data'!L17*100</f>
        <v>#DIV/0!</v>
      </c>
      <c r="N128" s="4132"/>
      <c r="O128" s="4132" t="e">
        <f>O43*80</f>
        <v>#DIV/0!</v>
      </c>
      <c r="P128" s="4132"/>
      <c r="Q128" s="4137" t="e">
        <f>'Ch41 Calc Data'!L17*100</f>
        <v>#DIV/0!</v>
      </c>
      <c r="R128" s="4260"/>
      <c r="S128" s="4113" t="e">
        <f>S43*80</f>
        <v>#DIV/0!</v>
      </c>
      <c r="U128" s="4113" t="e">
        <f>'Ch41 Calc Data'!M17*100</f>
        <v>#DIV/0!</v>
      </c>
      <c r="W128" s="4113" t="e">
        <f>W43*80</f>
        <v>#DIV/0!</v>
      </c>
      <c r="Y128" s="4113" t="e">
        <f>'Ch41 Calc Data'!M17*100</f>
        <v>#DIV/0!</v>
      </c>
      <c r="Z128" s="4242"/>
      <c r="AA128" s="4148" t="e">
        <f>AA43*80</f>
        <v>#DIV/0!</v>
      </c>
      <c r="AC128" s="4148" t="e">
        <f>'Ch41 Calc Data'!N17*100</f>
        <v>#DIV/0!</v>
      </c>
      <c r="AE128" s="4148" t="e">
        <f>AE43*80</f>
        <v>#DIV/0!</v>
      </c>
      <c r="AG128" s="4148" t="e">
        <f>'Ch41 Calc Data'!N17*100</f>
        <v>#DIV/0!</v>
      </c>
      <c r="AH128" s="4277"/>
      <c r="AI128" s="4149" t="e">
        <f>AI43*80</f>
        <v>#DIV/0!</v>
      </c>
      <c r="AK128" s="4149" t="e">
        <f>'Ch41 Calc Data'!O17*100</f>
        <v>#DIV/0!</v>
      </c>
      <c r="AM128" s="4149" t="e">
        <f>AM43*80</f>
        <v>#DIV/0!</v>
      </c>
      <c r="AO128" s="4149" t="e">
        <f>'Ch41 Calc Data'!O17*100</f>
        <v>#DIV/0!</v>
      </c>
      <c r="AP128" s="4290"/>
      <c r="AQ128" s="4150" t="e">
        <f>AQ43*80</f>
        <v>#DIV/0!</v>
      </c>
      <c r="AS128" s="4150" t="e">
        <f>'Ch41 Calc Data'!P17*100</f>
        <v>#DIV/0!</v>
      </c>
      <c r="AU128" s="4150" t="e">
        <f>AU43*80</f>
        <v>#DIV/0!</v>
      </c>
      <c r="AW128" s="4150" t="e">
        <f>'Ch41 Calc Data'!P17*100</f>
        <v>#DIV/0!</v>
      </c>
      <c r="AX128" s="4302"/>
      <c r="AY128" s="4151" t="e">
        <f>AY43*80</f>
        <v>#DIV/0!</v>
      </c>
      <c r="BA128" s="4151" t="e">
        <f>'Ch41 Calc Data'!Q17*100</f>
        <v>#DIV/0!</v>
      </c>
      <c r="BC128" s="4151" t="e">
        <f>BC43*80</f>
        <v>#DIV/0!</v>
      </c>
      <c r="BE128" s="4151" t="e">
        <f>'Ch41 Calc Data'!Q17*100</f>
        <v>#DIV/0!</v>
      </c>
      <c r="BF128" s="4318"/>
      <c r="BG128" s="2175" t="e">
        <f>BG43*80</f>
        <v>#DIV/0!</v>
      </c>
      <c r="BH128" s="2175"/>
      <c r="BI128" s="2175">
        <f>'Ch41 Calc Data'!AE10*100</f>
        <v>0</v>
      </c>
      <c r="BJ128" s="2175"/>
      <c r="BK128" s="2175" t="e">
        <f>BK43*80</f>
        <v>#DIV/0!</v>
      </c>
      <c r="BL128" s="2175"/>
      <c r="BM128" s="2175">
        <f>'Ch41 Calc Data'!AE10*100</f>
        <v>0</v>
      </c>
      <c r="BO128" s="2150" t="e">
        <f>BO43*80</f>
        <v>#DIV/0!</v>
      </c>
      <c r="BP128" s="2150"/>
      <c r="BQ128" s="2150">
        <f>'Ch41 Calc Data'!AF10*100</f>
        <v>0</v>
      </c>
      <c r="BR128" s="2150"/>
      <c r="BS128" s="2150" t="e">
        <f>BS43*80</f>
        <v>#DIV/0!</v>
      </c>
      <c r="BT128" s="2150"/>
      <c r="BU128" s="2150">
        <f>'Ch41 Calc Data'!AF10*100</f>
        <v>0</v>
      </c>
    </row>
    <row r="129" spans="3:73">
      <c r="C129" s="2442"/>
      <c r="D129" s="2442"/>
      <c r="E129" s="2442"/>
      <c r="F129" s="2442"/>
      <c r="G129" s="2442"/>
      <c r="H129" s="2442"/>
      <c r="I129" s="2766"/>
      <c r="K129" s="4132"/>
      <c r="L129" s="4132"/>
      <c r="M129" s="4132"/>
      <c r="N129" s="4132"/>
      <c r="O129" s="4132"/>
      <c r="P129" s="4132"/>
      <c r="R129" s="4260"/>
      <c r="Z129" s="4242"/>
      <c r="AH129" s="4277"/>
      <c r="AP129" s="4290"/>
      <c r="AX129" s="4302"/>
      <c r="BF129" s="4318"/>
    </row>
    <row r="130" spans="3:73">
      <c r="C130" s="2442"/>
      <c r="D130" s="2442"/>
      <c r="E130" s="2442">
        <f>IF('Data Entry - SOF'!C92=0,0,'Data Entry - SOF'!C91*(E48/'Data Entry - SOF'!C59))</f>
        <v>0</v>
      </c>
      <c r="F130" s="2442"/>
      <c r="G130" s="2442"/>
      <c r="H130" s="2442"/>
      <c r="I130" s="2766">
        <f>IF('Data Entry - SOF'!C92=0,0,IF(I41=0,0,'Data Entry - SOF'!C91*('Option Costs-ASATR'!I48/'Data Entry - SOF'!C59)))</f>
        <v>0</v>
      </c>
      <c r="K130" s="4132"/>
      <c r="L130" s="4132"/>
      <c r="M130" s="4132">
        <f>IF('Data Entry - SOF'!E92=0,0,'Data Entry - SOF'!E91*(M48/'Data Entry - SOF'!E59))</f>
        <v>0</v>
      </c>
      <c r="N130" s="4132"/>
      <c r="O130" s="4132"/>
      <c r="P130" s="4132"/>
      <c r="Q130" s="4137">
        <f>IF('Data Entry - SOF'!E92=0,0,IF(Q41=0,0,'Data Entry - SOF'!E91*(Q48/'Data Entry - SOF'!E59)))</f>
        <v>0</v>
      </c>
      <c r="R130" s="4260"/>
      <c r="U130" s="4113">
        <f>IF('Data Entry - SOF'!G92=0,0,'Data Entry - SOF'!G91*(U48/'Data Entry - SOF'!G59))</f>
        <v>0</v>
      </c>
      <c r="Y130" s="4113">
        <f>IF('Data Entry - SOF'!G92=0,0,IF(Y41=0,0,'Data Entry - SOF'!G91*(Y48/'Data Entry - SOF'!G59)))</f>
        <v>0</v>
      </c>
      <c r="Z130" s="4242"/>
      <c r="AC130" s="4148">
        <f>IF('Data Entry - SOF'!I92=0,0,'Data Entry - SOF'!I91*(AC48/'Data Entry - SOF'!I59))</f>
        <v>0</v>
      </c>
      <c r="AG130" s="4148">
        <f>IF('Data Entry - SOF'!I92=0,0,IF(AG41=0,0,'Data Entry - SOF'!I91*(AG48/'Data Entry - SOF'!I59)))</f>
        <v>0</v>
      </c>
      <c r="AH130" s="4277"/>
      <c r="AK130" s="4149">
        <f>IF('Data Entry - SOF'!K92=0,0,'Data Entry - SOF'!K91*(AK48/'Data Entry - SOF'!K59))</f>
        <v>0</v>
      </c>
      <c r="AO130" s="4149">
        <f>IF('Data Entry - SOF'!K92=0,0,IF(AO41=0,0,'Data Entry - SOF'!K91*(AO48/'Data Entry - SOF'!K59)))</f>
        <v>0</v>
      </c>
      <c r="AP130" s="4290"/>
      <c r="AS130" s="4150">
        <f>IF('Data Entry - SOF'!M92=0,0,'Data Entry - SOF'!M91*(AS48/'Data Entry - SOF'!M59))</f>
        <v>0</v>
      </c>
      <c r="AW130" s="4150">
        <f>IF('Data Entry - SOF'!M92=0,0,IF(AW41=0,0,'Data Entry - SOF'!M91*(AW48/'Data Entry - SOF'!M59)))</f>
        <v>0</v>
      </c>
      <c r="AX130" s="4302"/>
      <c r="BA130" s="4151">
        <f>IF('Data Entry - SOF'!O92=0,0,'Data Entry - SOF'!O91*(BA48/'Data Entry - SOF'!O59))</f>
        <v>0</v>
      </c>
      <c r="BE130" s="4151">
        <f>IF('Data Entry - SOF'!O92=0,0,IF(BE41=0,0,'Data Entry - SOF'!O91*(BE48/'Data Entry - SOF'!O59)))</f>
        <v>0</v>
      </c>
      <c r="BF130" s="4318"/>
      <c r="BI130" s="2156">
        <f>IF('Data Entry - SOF'!C92=0,0,'Data Entry - SOF'!C91*('Option Costs-ASATR'!BI42/'Option Costs-ASATR'!BI41))</f>
        <v>0</v>
      </c>
      <c r="BM130" s="2156">
        <f>IF('Data Entry - SOF'!C92=0,0,IF(BM41=0,0,'Data Entry - SOF'!C91*('Option Costs-ASATR'!BM42/'Option Costs-ASATR'!BM41)))</f>
        <v>0</v>
      </c>
      <c r="BQ130" s="1840">
        <f>IF('Data Entry - SOF'!C92=0,0,'Data Entry - SOF'!C91*('Option Costs-ASATR'!BQ42/'Option Costs-ASATR'!BQ41))</f>
        <v>0</v>
      </c>
      <c r="BU130" s="1840">
        <f>IF('Data Entry - SOF'!C92=0,0,IF(BU41=0,0,'Data Entry - SOF'!C91*('Option Costs-ASATR'!BU42/'Option Costs-ASATR'!BU41)))</f>
        <v>0</v>
      </c>
    </row>
    <row r="131" spans="3:73">
      <c r="C131" s="1405"/>
      <c r="D131" s="1405"/>
      <c r="E131" s="1405"/>
      <c r="F131" s="1405"/>
      <c r="G131" s="1405"/>
      <c r="H131" s="1405"/>
      <c r="I131" s="2745"/>
      <c r="K131" s="4132"/>
      <c r="L131" s="4132"/>
      <c r="M131" s="4132"/>
      <c r="N131" s="4132"/>
      <c r="O131" s="4132"/>
      <c r="P131" s="4132"/>
      <c r="R131" s="4260"/>
      <c r="Z131" s="4242"/>
      <c r="AH131" s="4277"/>
      <c r="AP131" s="4290"/>
      <c r="AX131" s="4302"/>
      <c r="BF131" s="4318"/>
    </row>
    <row r="132" spans="3:73">
      <c r="C132" s="1405"/>
      <c r="D132" s="1405"/>
      <c r="E132" s="1405"/>
      <c r="F132" s="1405"/>
      <c r="G132" s="1405"/>
      <c r="H132" s="1405"/>
      <c r="I132" s="2745"/>
      <c r="K132" s="4132"/>
      <c r="L132" s="4132"/>
      <c r="M132" s="4132"/>
      <c r="N132" s="4132"/>
      <c r="O132" s="4132"/>
      <c r="P132" s="4132"/>
      <c r="R132" s="4260"/>
      <c r="Z132" s="4242"/>
      <c r="AH132" s="4277"/>
      <c r="AP132" s="4290"/>
      <c r="AX132" s="4302"/>
      <c r="BF132" s="4318"/>
    </row>
    <row r="133" spans="3:73">
      <c r="C133" s="2442" t="s">
        <v>4473</v>
      </c>
      <c r="D133" s="2442"/>
      <c r="E133" s="2442"/>
      <c r="F133" s="2442"/>
      <c r="G133" s="2442"/>
      <c r="H133" s="2442"/>
      <c r="I133" s="2766"/>
      <c r="K133" s="4132" t="s">
        <v>4473</v>
      </c>
      <c r="L133" s="4132"/>
      <c r="M133" s="4132"/>
      <c r="N133" s="4132"/>
      <c r="O133" s="4132"/>
      <c r="P133" s="4132"/>
      <c r="R133" s="4260"/>
      <c r="S133" s="4113" t="s">
        <v>4473</v>
      </c>
      <c r="Z133" s="4242"/>
      <c r="AA133" s="4148" t="s">
        <v>4473</v>
      </c>
      <c r="AH133" s="4277"/>
      <c r="AI133" s="4149" t="s">
        <v>4473</v>
      </c>
      <c r="AP133" s="4290"/>
      <c r="AQ133" s="4150" t="s">
        <v>4473</v>
      </c>
      <c r="AX133" s="4302"/>
      <c r="AY133" s="4151" t="s">
        <v>4473</v>
      </c>
      <c r="BF133" s="4318"/>
    </row>
    <row r="134" spans="3:73">
      <c r="C134" s="2442" t="e">
        <f>C79*0.04</f>
        <v>#DIV/0!</v>
      </c>
      <c r="D134" s="2442"/>
      <c r="E134" s="2442" t="e">
        <f>E79*0.05</f>
        <v>#DIV/0!</v>
      </c>
      <c r="F134" s="2442"/>
      <c r="G134" s="2442" t="e">
        <f>G79*0.04</f>
        <v>#DIV/0!</v>
      </c>
      <c r="H134" s="2442"/>
      <c r="I134" s="2766" t="e">
        <f>I79*0.05</f>
        <v>#DIV/0!</v>
      </c>
      <c r="K134" s="4132" t="e">
        <f>K79*0.04</f>
        <v>#DIV/0!</v>
      </c>
      <c r="L134" s="4132"/>
      <c r="M134" s="4132" t="e">
        <f>M79*0.05</f>
        <v>#DIV/0!</v>
      </c>
      <c r="N134" s="4132"/>
      <c r="O134" s="4132" t="e">
        <f>O79*0.04</f>
        <v>#DIV/0!</v>
      </c>
      <c r="P134" s="4132"/>
      <c r="Q134" s="4137" t="e">
        <f>Q79*0.05</f>
        <v>#DIV/0!</v>
      </c>
      <c r="R134" s="4260"/>
      <c r="S134" s="4113" t="e">
        <f>S79*0.04</f>
        <v>#DIV/0!</v>
      </c>
      <c r="U134" s="4113" t="e">
        <f>U79*0.05</f>
        <v>#DIV/0!</v>
      </c>
      <c r="W134" s="4113" t="e">
        <f>W79*0.04</f>
        <v>#DIV/0!</v>
      </c>
      <c r="Y134" s="4113" t="e">
        <f>Y79*0.05</f>
        <v>#DIV/0!</v>
      </c>
      <c r="Z134" s="4242"/>
      <c r="AA134" s="4148" t="e">
        <f>AA79*0.04</f>
        <v>#DIV/0!</v>
      </c>
      <c r="AC134" s="4148" t="e">
        <f>AC79*0.05</f>
        <v>#DIV/0!</v>
      </c>
      <c r="AE134" s="4148" t="e">
        <f>AE79*0.04</f>
        <v>#DIV/0!</v>
      </c>
      <c r="AG134" s="4148" t="e">
        <f>AG79*0.05</f>
        <v>#DIV/0!</v>
      </c>
      <c r="AH134" s="4277"/>
      <c r="AI134" s="4149" t="e">
        <f>AI79*0.04</f>
        <v>#DIV/0!</v>
      </c>
      <c r="AK134" s="4149" t="e">
        <f>AK79*0.05</f>
        <v>#DIV/0!</v>
      </c>
      <c r="AM134" s="4149" t="e">
        <f>AM79*0.04</f>
        <v>#DIV/0!</v>
      </c>
      <c r="AO134" s="4149" t="e">
        <f>AO79*0.05</f>
        <v>#DIV/0!</v>
      </c>
      <c r="AP134" s="4290"/>
      <c r="AQ134" s="4150" t="e">
        <f>AQ79*0.04</f>
        <v>#DIV/0!</v>
      </c>
      <c r="AS134" s="4150" t="e">
        <f>AS79*0.05</f>
        <v>#DIV/0!</v>
      </c>
      <c r="AU134" s="4150" t="e">
        <f>AU79*0.04</f>
        <v>#DIV/0!</v>
      </c>
      <c r="AW134" s="4150" t="e">
        <f>AW79*0.05</f>
        <v>#DIV/0!</v>
      </c>
      <c r="AX134" s="4302"/>
      <c r="AY134" s="4151" t="e">
        <f>AY79*0.04</f>
        <v>#DIV/0!</v>
      </c>
      <c r="BA134" s="4151" t="e">
        <f>BA79*0.05</f>
        <v>#DIV/0!</v>
      </c>
      <c r="BC134" s="4151" t="e">
        <f>BC79*0.04</f>
        <v>#DIV/0!</v>
      </c>
      <c r="BE134" s="4151" t="e">
        <f>BE79*0.05</f>
        <v>#DIV/0!</v>
      </c>
      <c r="BF134" s="4318"/>
    </row>
    <row r="135" spans="3:73">
      <c r="C135" s="2442" t="e">
        <f>C74*80</f>
        <v>#DIV/0!</v>
      </c>
      <c r="D135" s="2442"/>
      <c r="E135" s="2442" t="e">
        <f>'Ch41 Calc Data'!K17*100</f>
        <v>#DIV/0!</v>
      </c>
      <c r="F135" s="2442"/>
      <c r="G135" s="2442" t="e">
        <f>G74*80</f>
        <v>#DIV/0!</v>
      </c>
      <c r="H135" s="2442"/>
      <c r="I135" s="2766" t="e">
        <f>'Ch41 Calc Data'!K17*100</f>
        <v>#DIV/0!</v>
      </c>
      <c r="K135" s="4132" t="e">
        <f>K74*80</f>
        <v>#DIV/0!</v>
      </c>
      <c r="L135" s="4132"/>
      <c r="M135" s="4132" t="e">
        <f>'Ch41 Calc Data'!L17*100</f>
        <v>#DIV/0!</v>
      </c>
      <c r="N135" s="4132"/>
      <c r="O135" s="4132" t="e">
        <f>O74*80</f>
        <v>#DIV/0!</v>
      </c>
      <c r="P135" s="4132"/>
      <c r="Q135" s="4137" t="e">
        <f>'Ch41 Calc Data'!L17*100</f>
        <v>#DIV/0!</v>
      </c>
      <c r="R135" s="4260"/>
      <c r="S135" s="4113" t="e">
        <f>S74*80</f>
        <v>#DIV/0!</v>
      </c>
      <c r="U135" s="4113" t="e">
        <f>'Ch41 Calc Data'!M17*100</f>
        <v>#DIV/0!</v>
      </c>
      <c r="W135" s="4113" t="e">
        <f>W74*80</f>
        <v>#DIV/0!</v>
      </c>
      <c r="Y135" s="4113" t="e">
        <f>'Ch41 Calc Data'!M17*100</f>
        <v>#DIV/0!</v>
      </c>
      <c r="Z135" s="4242"/>
      <c r="AA135" s="4148" t="e">
        <f>AA74*80</f>
        <v>#DIV/0!</v>
      </c>
      <c r="AC135" s="4148" t="e">
        <f>'Ch41 Calc Data'!N17*100</f>
        <v>#DIV/0!</v>
      </c>
      <c r="AE135" s="4148" t="e">
        <f>AE74*80</f>
        <v>#DIV/0!</v>
      </c>
      <c r="AG135" s="4148" t="e">
        <f>'Ch41 Calc Data'!N17*100</f>
        <v>#DIV/0!</v>
      </c>
      <c r="AH135" s="4277"/>
      <c r="AI135" s="4149" t="e">
        <f>AI74*80</f>
        <v>#DIV/0!</v>
      </c>
      <c r="AK135" s="4149" t="e">
        <f>'Ch41 Calc Data'!O17*100</f>
        <v>#DIV/0!</v>
      </c>
      <c r="AM135" s="4149" t="e">
        <f>AM74*80</f>
        <v>#DIV/0!</v>
      </c>
      <c r="AO135" s="4149" t="e">
        <f>'Ch41 Calc Data'!O17*100</f>
        <v>#DIV/0!</v>
      </c>
      <c r="AP135" s="4290"/>
      <c r="AQ135" s="4150" t="e">
        <f>AQ74*80</f>
        <v>#DIV/0!</v>
      </c>
      <c r="AS135" s="4150" t="e">
        <f>'Ch41 Calc Data'!P17*100</f>
        <v>#DIV/0!</v>
      </c>
      <c r="AU135" s="4150" t="e">
        <f>AU74*80</f>
        <v>#DIV/0!</v>
      </c>
      <c r="AW135" s="4150" t="e">
        <f>'Ch41 Calc Data'!P17*100</f>
        <v>#DIV/0!</v>
      </c>
      <c r="AX135" s="4302"/>
      <c r="AY135" s="4151" t="e">
        <f>AY74*80</f>
        <v>#DIV/0!</v>
      </c>
      <c r="BA135" s="4151" t="e">
        <f>'Ch41 Calc Data'!Q17*100</f>
        <v>#DIV/0!</v>
      </c>
      <c r="BC135" s="4151" t="e">
        <f>BC74*80</f>
        <v>#DIV/0!</v>
      </c>
      <c r="BE135" s="4151" t="e">
        <f>'Ch41 Calc Data'!Q17*100</f>
        <v>#DIV/0!</v>
      </c>
      <c r="BF135" s="4318"/>
    </row>
    <row r="136" spans="3:73">
      <c r="C136" s="2442"/>
      <c r="D136" s="2442"/>
      <c r="E136" s="2442"/>
      <c r="F136" s="2442"/>
      <c r="G136" s="2442"/>
      <c r="H136" s="2442"/>
      <c r="I136" s="2766"/>
      <c r="K136" s="4132"/>
      <c r="L136" s="4132"/>
      <c r="M136" s="4132"/>
      <c r="N136" s="4132"/>
      <c r="O136" s="4132"/>
      <c r="P136" s="4132"/>
      <c r="R136" s="4260"/>
      <c r="Z136" s="4242"/>
      <c r="AH136" s="4277"/>
      <c r="AP136" s="4290"/>
      <c r="AX136" s="4302"/>
      <c r="BF136" s="4318"/>
    </row>
    <row r="137" spans="3:73">
      <c r="C137" s="2442"/>
      <c r="D137" s="2442"/>
      <c r="E137" s="2442">
        <f>IF('Data Entry - SOF'!C92=0,0,'Data Entry - SOF'!C91*(E79/'Data Entry - SOF'!C59))</f>
        <v>0</v>
      </c>
      <c r="F137" s="2442"/>
      <c r="G137" s="2442"/>
      <c r="H137" s="2442"/>
      <c r="I137" s="2766">
        <f>IF('Data Entry - SOF'!C92=0,0,IF(I72=0,0,'Data Entry - SOF'!C91*(I79/'Data Entry - SOF'!C59)))</f>
        <v>0</v>
      </c>
      <c r="K137" s="4132"/>
      <c r="L137" s="4132"/>
      <c r="M137" s="4132">
        <f>IF('Data Entry - SOF'!E92=0,0,'Data Entry - SOF'!E91*(M79/'Data Entry - SOF'!E59))</f>
        <v>0</v>
      </c>
      <c r="N137" s="4132"/>
      <c r="O137" s="4132"/>
      <c r="P137" s="4132"/>
      <c r="Q137" s="4137">
        <f>IF('Data Entry - SOF'!E92=0,0,IF(Q72=0,0,'Data Entry - SOF'!E91*(Q79/'Data Entry - SOF'!E59)))</f>
        <v>0</v>
      </c>
      <c r="R137" s="4260"/>
      <c r="U137" s="4113">
        <f>IF('Data Entry - SOF'!G92=0,0,'Data Entry - SOF'!G91*(U79/'Data Entry - SOF'!G59))</f>
        <v>0</v>
      </c>
      <c r="Y137" s="4113">
        <f>IF('Data Entry - SOF'!G92=0,0,IF(Y72=0,0,'Data Entry - SOF'!G91*(Y79/'Data Entry - SOF'!G59)))</f>
        <v>0</v>
      </c>
      <c r="Z137" s="4242"/>
      <c r="AC137" s="4148">
        <f>IF('Data Entry - SOF'!I92=0,0,'Data Entry - SOF'!I91*(AC79/'Data Entry - SOF'!I59))</f>
        <v>0</v>
      </c>
      <c r="AG137" s="4148">
        <f>IF('Data Entry - SOF'!I92=0,0,IF(AG72=0,0,'Data Entry - SOF'!I91*(AG79/'Data Entry - SOF'!I59)))</f>
        <v>0</v>
      </c>
      <c r="AH137" s="4277"/>
      <c r="AK137" s="4149">
        <f>IF('Data Entry - SOF'!K92=0,0,'Data Entry - SOF'!K91*(AK79/'Data Entry - SOF'!K59))</f>
        <v>0</v>
      </c>
      <c r="AO137" s="4149">
        <f>IF('Data Entry - SOF'!K92=0,0,IF(AO72=0,0,'Data Entry - SOF'!K91*(AO79/'Data Entry - SOF'!K59)))</f>
        <v>0</v>
      </c>
      <c r="AP137" s="4290"/>
      <c r="AS137" s="4150">
        <f>IF('Data Entry - SOF'!M92=0,0,'Data Entry - SOF'!M91*(AS79/'Data Entry - SOF'!M59))</f>
        <v>0</v>
      </c>
      <c r="AW137" s="4150">
        <f>IF('Data Entry - SOF'!M92=0,0,IF(AW72=0,0,'Data Entry - SOF'!M91*(AW79/'Data Entry - SOF'!M59)))</f>
        <v>0</v>
      </c>
      <c r="AX137" s="4302"/>
      <c r="BA137" s="4151">
        <f>IF('Data Entry - SOF'!O92=0,0,'Data Entry - SOF'!O91*(BA79/'Data Entry - SOF'!O59))</f>
        <v>0</v>
      </c>
      <c r="BE137" s="4151">
        <f>IF('Data Entry - SOF'!O92=0,0,IF(BE72=0,0,'Data Entry - SOF'!O91*(BE79/'Data Entry - SOF'!O59)))</f>
        <v>0</v>
      </c>
      <c r="BF137" s="4318"/>
    </row>
    <row r="138" spans="3:73">
      <c r="C138" s="1405"/>
      <c r="D138" s="1405"/>
      <c r="E138" s="1405"/>
      <c r="F138" s="1405"/>
      <c r="G138" s="1405"/>
      <c r="H138" s="1405"/>
      <c r="I138" s="2745"/>
      <c r="K138" s="4132"/>
      <c r="L138" s="4132"/>
      <c r="M138" s="4132"/>
      <c r="N138" s="4132"/>
      <c r="O138" s="4132"/>
      <c r="P138" s="4132"/>
      <c r="R138" s="4260"/>
      <c r="Z138" s="4242"/>
      <c r="AH138" s="4277"/>
      <c r="AP138" s="4290"/>
      <c r="AX138" s="4302"/>
      <c r="BF138" s="4318"/>
    </row>
    <row r="139" spans="3:73">
      <c r="C139" s="1405"/>
      <c r="D139" s="1405"/>
      <c r="E139" s="1405"/>
      <c r="F139" s="1405"/>
      <c r="G139" s="1405"/>
      <c r="H139" s="1405"/>
      <c r="I139" s="2745"/>
      <c r="K139" s="4132"/>
      <c r="L139" s="4132"/>
      <c r="M139" s="4132"/>
      <c r="N139" s="4132"/>
      <c r="O139" s="4132"/>
      <c r="P139" s="4132"/>
      <c r="R139" s="4260"/>
      <c r="Z139" s="4242"/>
      <c r="AH139" s="4277"/>
      <c r="AP139" s="4290"/>
      <c r="AX139" s="4302"/>
      <c r="BF139" s="4318"/>
    </row>
    <row r="140" spans="3:73">
      <c r="C140" s="2442" t="s">
        <v>4526</v>
      </c>
      <c r="D140" s="2442"/>
      <c r="E140" s="2442"/>
      <c r="F140" s="2442"/>
      <c r="G140" s="2442"/>
      <c r="H140" s="2442"/>
      <c r="I140" s="2766"/>
      <c r="K140" s="4132" t="s">
        <v>4526</v>
      </c>
      <c r="L140" s="4132"/>
      <c r="M140" s="4132"/>
      <c r="N140" s="4132"/>
      <c r="O140" s="4132"/>
      <c r="P140" s="4132"/>
      <c r="R140" s="4260"/>
      <c r="S140" s="4113" t="s">
        <v>4526</v>
      </c>
      <c r="Z140" s="4242"/>
      <c r="AA140" s="4148" t="s">
        <v>4526</v>
      </c>
      <c r="AH140" s="4277"/>
      <c r="AI140" s="4149" t="s">
        <v>4526</v>
      </c>
      <c r="AP140" s="4290"/>
      <c r="AQ140" s="4150" t="s">
        <v>4526</v>
      </c>
      <c r="AX140" s="4302"/>
      <c r="AY140" s="4151" t="s">
        <v>4526</v>
      </c>
      <c r="BF140" s="4318"/>
    </row>
    <row r="141" spans="3:73">
      <c r="C141" s="2442" t="e">
        <f>C99*0.04</f>
        <v>#DIV/0!</v>
      </c>
      <c r="D141" s="2442"/>
      <c r="E141" s="2442" t="e">
        <f>E99*0.05</f>
        <v>#DIV/0!</v>
      </c>
      <c r="F141" s="2442"/>
      <c r="G141" s="2442" t="e">
        <f>G99*0.04</f>
        <v>#DIV/0!</v>
      </c>
      <c r="H141" s="2442"/>
      <c r="I141" s="2766" t="e">
        <f>I99*0.05</f>
        <v>#DIV/0!</v>
      </c>
      <c r="K141" s="4132" t="e">
        <f>K99*0.04</f>
        <v>#DIV/0!</v>
      </c>
      <c r="L141" s="4132"/>
      <c r="M141" s="4132" t="e">
        <f>M99*0.05</f>
        <v>#DIV/0!</v>
      </c>
      <c r="N141" s="4132"/>
      <c r="O141" s="4132" t="e">
        <f>O99*0.04</f>
        <v>#DIV/0!</v>
      </c>
      <c r="P141" s="4132"/>
      <c r="Q141" s="4137" t="e">
        <f>Q99*0.05</f>
        <v>#DIV/0!</v>
      </c>
      <c r="R141" s="4260"/>
      <c r="S141" s="4113" t="e">
        <f>S99*0.04</f>
        <v>#DIV/0!</v>
      </c>
      <c r="U141" s="4113" t="e">
        <f>U99*0.05</f>
        <v>#DIV/0!</v>
      </c>
      <c r="W141" s="4113" t="e">
        <f>W99*0.04</f>
        <v>#DIV/0!</v>
      </c>
      <c r="Y141" s="4113" t="e">
        <f>Y99*0.05</f>
        <v>#DIV/0!</v>
      </c>
      <c r="Z141" s="4242"/>
      <c r="AA141" s="4148" t="e">
        <f>AA99*0.04</f>
        <v>#DIV/0!</v>
      </c>
      <c r="AC141" s="4148" t="e">
        <f>AC99*0.05</f>
        <v>#DIV/0!</v>
      </c>
      <c r="AE141" s="4148" t="e">
        <f>AE99*0.04</f>
        <v>#DIV/0!</v>
      </c>
      <c r="AG141" s="4148" t="e">
        <f>AG99*0.05</f>
        <v>#DIV/0!</v>
      </c>
      <c r="AH141" s="4277"/>
      <c r="AI141" s="4149" t="e">
        <f>AI99*0.04</f>
        <v>#DIV/0!</v>
      </c>
      <c r="AK141" s="4149" t="e">
        <f>AK99*0.05</f>
        <v>#DIV/0!</v>
      </c>
      <c r="AM141" s="4149" t="e">
        <f>AM99*0.04</f>
        <v>#DIV/0!</v>
      </c>
      <c r="AO141" s="4149" t="e">
        <f>AO99*0.05</f>
        <v>#DIV/0!</v>
      </c>
      <c r="AP141" s="4290"/>
      <c r="AQ141" s="4150" t="e">
        <f>AQ99*0.04</f>
        <v>#DIV/0!</v>
      </c>
      <c r="AS141" s="4150" t="e">
        <f>AS99*0.05</f>
        <v>#DIV/0!</v>
      </c>
      <c r="AU141" s="4150" t="e">
        <f>AU99*0.04</f>
        <v>#DIV/0!</v>
      </c>
      <c r="AW141" s="4150" t="e">
        <f>AW99*0.05</f>
        <v>#DIV/0!</v>
      </c>
      <c r="AX141" s="4302"/>
      <c r="AY141" s="4151" t="e">
        <f>AY99*0.04</f>
        <v>#DIV/0!</v>
      </c>
      <c r="BA141" s="4151" t="e">
        <f>BA99*0.05</f>
        <v>#DIV/0!</v>
      </c>
      <c r="BC141" s="4151" t="e">
        <f>BC99*0.04</f>
        <v>#DIV/0!</v>
      </c>
      <c r="BE141" s="4151" t="e">
        <f>BE99*0.05</f>
        <v>#DIV/0!</v>
      </c>
      <c r="BF141" s="4318"/>
    </row>
    <row r="142" spans="3:73">
      <c r="C142" s="2442" t="e">
        <f>C94*80</f>
        <v>#DIV/0!</v>
      </c>
      <c r="D142" s="2442"/>
      <c r="E142" s="2442" t="e">
        <f>'Ch41 Calc Data'!K17*100</f>
        <v>#DIV/0!</v>
      </c>
      <c r="F142" s="2442"/>
      <c r="G142" s="2442" t="e">
        <f>G94*80</f>
        <v>#DIV/0!</v>
      </c>
      <c r="H142" s="2442"/>
      <c r="I142" s="2766" t="e">
        <f>'Ch41 Calc Data'!K17*100</f>
        <v>#DIV/0!</v>
      </c>
      <c r="K142" s="4132" t="e">
        <f>K94*80</f>
        <v>#DIV/0!</v>
      </c>
      <c r="L142" s="4132"/>
      <c r="M142" s="4132" t="e">
        <f>'Ch41 Calc Data'!L17*100</f>
        <v>#DIV/0!</v>
      </c>
      <c r="N142" s="4132"/>
      <c r="O142" s="4132" t="e">
        <f>O94*80</f>
        <v>#DIV/0!</v>
      </c>
      <c r="P142" s="4132"/>
      <c r="Q142" s="4137" t="e">
        <f>'Ch41 Calc Data'!L17*100</f>
        <v>#DIV/0!</v>
      </c>
      <c r="R142" s="4260"/>
      <c r="S142" s="4113" t="e">
        <f>S94*80</f>
        <v>#DIV/0!</v>
      </c>
      <c r="U142" s="4113" t="e">
        <f>'Ch41 Calc Data'!M17*100</f>
        <v>#DIV/0!</v>
      </c>
      <c r="W142" s="4113" t="e">
        <f>W94*80</f>
        <v>#DIV/0!</v>
      </c>
      <c r="Y142" s="4113" t="e">
        <f>'Ch41 Calc Data'!M17*100</f>
        <v>#DIV/0!</v>
      </c>
      <c r="Z142" s="4242"/>
      <c r="AA142" s="4148" t="e">
        <f>AA94*80</f>
        <v>#DIV/0!</v>
      </c>
      <c r="AC142" s="4148" t="e">
        <f>'Ch41 Calc Data'!N17*100</f>
        <v>#DIV/0!</v>
      </c>
      <c r="AE142" s="4148" t="e">
        <f>AE94*80</f>
        <v>#DIV/0!</v>
      </c>
      <c r="AG142" s="4148" t="e">
        <f>'Ch41 Calc Data'!N17*100</f>
        <v>#DIV/0!</v>
      </c>
      <c r="AH142" s="4277"/>
      <c r="AI142" s="4149" t="e">
        <f>AI94*80</f>
        <v>#DIV/0!</v>
      </c>
      <c r="AK142" s="4149" t="e">
        <f>'Ch41 Calc Data'!O17*100</f>
        <v>#DIV/0!</v>
      </c>
      <c r="AM142" s="4149" t="e">
        <f>AM94*80</f>
        <v>#DIV/0!</v>
      </c>
      <c r="AO142" s="4149" t="e">
        <f>'Ch41 Calc Data'!O17*100</f>
        <v>#DIV/0!</v>
      </c>
      <c r="AP142" s="4290"/>
      <c r="AQ142" s="4150" t="e">
        <f>AQ94*80</f>
        <v>#DIV/0!</v>
      </c>
      <c r="AS142" s="4150" t="e">
        <f>'Ch41 Calc Data'!P17*100</f>
        <v>#DIV/0!</v>
      </c>
      <c r="AU142" s="4150" t="e">
        <f>AU94*80</f>
        <v>#DIV/0!</v>
      </c>
      <c r="AW142" s="4150" t="e">
        <f>'Ch41 Calc Data'!P17*100</f>
        <v>#DIV/0!</v>
      </c>
      <c r="AX142" s="4302"/>
      <c r="AY142" s="4151" t="e">
        <f>AY94*80</f>
        <v>#DIV/0!</v>
      </c>
      <c r="BA142" s="4151" t="e">
        <f>'Ch41 Calc Data'!Q17*100</f>
        <v>#DIV/0!</v>
      </c>
      <c r="BC142" s="4151" t="e">
        <f>BC94*80</f>
        <v>#DIV/0!</v>
      </c>
      <c r="BE142" s="4151" t="e">
        <f>'Ch41 Calc Data'!Q17*100</f>
        <v>#DIV/0!</v>
      </c>
      <c r="BF142" s="4318"/>
    </row>
    <row r="143" spans="3:73">
      <c r="C143" s="2442"/>
      <c r="D143" s="2442"/>
      <c r="E143" s="2442"/>
      <c r="F143" s="2442"/>
      <c r="G143" s="2442"/>
      <c r="H143" s="2442"/>
      <c r="I143" s="2766"/>
      <c r="K143" s="4132"/>
      <c r="L143" s="4132"/>
      <c r="M143" s="4132"/>
      <c r="N143" s="4132"/>
      <c r="O143" s="4132"/>
      <c r="P143" s="4132"/>
      <c r="R143" s="4260"/>
      <c r="Z143" s="4242"/>
      <c r="AH143" s="4277"/>
      <c r="AP143" s="4290"/>
      <c r="AX143" s="4302"/>
      <c r="BF143" s="4318"/>
    </row>
    <row r="144" spans="3:73">
      <c r="C144" s="2442"/>
      <c r="D144" s="2442"/>
      <c r="E144" s="2442">
        <f>IF('Data Entry - SOF'!C92=0,0,'Data Entry - SOF'!C91*(E99/'HH1617-Calcs'!C11))</f>
        <v>0</v>
      </c>
      <c r="F144" s="2442"/>
      <c r="G144" s="2442"/>
      <c r="H144" s="2442"/>
      <c r="I144" s="2766">
        <f>IF('Data Entry - SOF'!C92=0,0,'Data Entry - SOF'!C91*(I99/'HH1617-Calcs'!C11))</f>
        <v>0</v>
      </c>
      <c r="K144" s="4132"/>
      <c r="L144" s="4132"/>
      <c r="M144" s="4132">
        <f>IF('Data Entry - SOF'!E92=0,0,'Data Entry - SOF'!E91*(M99/'HH1718-Calcs'!C11))</f>
        <v>0</v>
      </c>
      <c r="N144" s="4132"/>
      <c r="O144" s="4132"/>
      <c r="P144" s="4132"/>
      <c r="Q144" s="4137">
        <f>IF('Data Entry - SOF'!E92=0,0,'Data Entry - SOF'!E91*(Q99/'HH1718-Calcs'!C11))</f>
        <v>0</v>
      </c>
      <c r="R144" s="4260"/>
      <c r="U144" s="4113">
        <f>IF('Data Entry - SOF'!G92=0,0,'Data Entry - SOF'!G91*(U99/'HH1819-Calcs'!C11))</f>
        <v>0</v>
      </c>
      <c r="Y144" s="4113">
        <f>IF('Data Entry - SOF'!G92=0,0,'Data Entry - SOF'!G91*(Y99/'HH1819-Calcs'!C11))</f>
        <v>0</v>
      </c>
      <c r="Z144" s="4242"/>
      <c r="AC144" s="4148">
        <f>IF('Data Entry - SOF'!I92=0,0,'Data Entry - SOF'!I91*(AC99/'HH1920-Calcs'!C11))</f>
        <v>0</v>
      </c>
      <c r="AG144" s="4148">
        <f>IF('Data Entry - SOF'!I92=0,0,'Data Entry - SOF'!I91*(AG99/'HH1920-Calcs'!C11))</f>
        <v>0</v>
      </c>
      <c r="AH144" s="4277"/>
      <c r="AK144" s="4149">
        <f>IF('Data Entry - SOF'!K92=0,0,'Data Entry - SOF'!K91*(AK99/'HH2021-Calcs'!C11))</f>
        <v>0</v>
      </c>
      <c r="AO144" s="4149">
        <f>IF('Data Entry - SOF'!K92=0,0,'Data Entry - SOF'!K91*(AO99/'HH2021-Calcs'!C11))</f>
        <v>0</v>
      </c>
      <c r="AP144" s="4290"/>
      <c r="AS144" s="4150">
        <f>IF('Data Entry - SOF'!M92=0,0,'Data Entry - SOF'!M91*(AS99/'HH2122-Calcs'!C11))</f>
        <v>0</v>
      </c>
      <c r="AW144" s="4150">
        <f>IF('Data Entry - SOF'!M92=0,0,'Data Entry - SOF'!M91*(AW99/'HH2122-Calcs'!C11))</f>
        <v>0</v>
      </c>
      <c r="AX144" s="4302"/>
      <c r="BA144" s="4151">
        <f>IF('Data Entry - SOF'!O92=0,0,'Data Entry - SOF'!O91*(BA99/'HH2223-Calcs'!C11))</f>
        <v>0</v>
      </c>
      <c r="BE144" s="4151">
        <f>IF('Data Entry - SOF'!O92=0,0,'Data Entry - SOF'!O91*(BE99/'HH2223-Calcs'!C11))</f>
        <v>0</v>
      </c>
      <c r="BF144" s="4318"/>
    </row>
    <row r="145" spans="3:58">
      <c r="C145" s="1405"/>
      <c r="D145" s="1405"/>
      <c r="E145" s="1405"/>
      <c r="F145" s="1405"/>
      <c r="G145" s="1405"/>
      <c r="H145" s="1405"/>
      <c r="I145" s="2745"/>
      <c r="K145" s="4132"/>
      <c r="L145" s="4132"/>
      <c r="M145" s="4132"/>
      <c r="N145" s="4132"/>
      <c r="O145" s="4132"/>
      <c r="P145" s="4132"/>
      <c r="R145" s="4260"/>
      <c r="Z145" s="4242"/>
      <c r="AH145" s="4277"/>
      <c r="AP145" s="4290"/>
      <c r="AX145" s="4302"/>
      <c r="BF145" s="4318"/>
    </row>
    <row r="146" spans="3:58">
      <c r="C146" s="1405"/>
      <c r="D146" s="1405"/>
      <c r="E146" s="1405"/>
      <c r="F146" s="1405"/>
      <c r="G146" s="1405"/>
      <c r="H146" s="1405"/>
      <c r="I146" s="2745"/>
      <c r="K146" s="4132"/>
      <c r="L146" s="4132"/>
      <c r="M146" s="4132"/>
      <c r="N146" s="4132"/>
      <c r="O146" s="4132"/>
      <c r="P146" s="4132"/>
      <c r="R146" s="4260"/>
      <c r="Z146" s="4242"/>
      <c r="AH146" s="4277"/>
      <c r="AP146" s="4290"/>
      <c r="AX146" s="4302"/>
      <c r="BF146" s="4318"/>
    </row>
    <row r="147" spans="3:58">
      <c r="C147" s="2442" t="s">
        <v>6898</v>
      </c>
      <c r="D147" s="2442"/>
      <c r="E147" s="2442"/>
      <c r="F147" s="2442"/>
      <c r="G147" s="2442"/>
      <c r="H147" s="2442"/>
      <c r="I147" s="2766"/>
      <c r="K147" s="4132" t="s">
        <v>6898</v>
      </c>
      <c r="L147" s="4132"/>
      <c r="M147" s="4132"/>
      <c r="N147" s="4132"/>
      <c r="O147" s="4132"/>
      <c r="P147" s="4132"/>
      <c r="R147" s="4260"/>
      <c r="Z147" s="4242"/>
      <c r="AH147" s="4277"/>
      <c r="AP147" s="4290"/>
      <c r="AX147" s="4302"/>
      <c r="BF147" s="4318"/>
    </row>
    <row r="148" spans="3:58">
      <c r="C148" s="2442" t="e">
        <f>C118*0.04</f>
        <v>#DIV/0!</v>
      </c>
      <c r="D148" s="2442"/>
      <c r="E148" s="2442" t="e">
        <f>E118*0.05</f>
        <v>#DIV/0!</v>
      </c>
      <c r="F148" s="2442"/>
      <c r="G148" s="2442" t="e">
        <f>G118*0.04</f>
        <v>#DIV/0!</v>
      </c>
      <c r="H148" s="2442"/>
      <c r="I148" s="2766" t="e">
        <f>I118*0.05</f>
        <v>#DIV/0!</v>
      </c>
      <c r="K148" s="4132" t="e">
        <f>K99*0.04</f>
        <v>#DIV/0!</v>
      </c>
      <c r="L148" s="4132"/>
      <c r="M148" s="4132" t="e">
        <f>M99*0.05</f>
        <v>#DIV/0!</v>
      </c>
      <c r="N148" s="4132"/>
      <c r="O148" s="4132" t="e">
        <f>O99*0.04</f>
        <v>#DIV/0!</v>
      </c>
      <c r="P148" s="4132"/>
      <c r="Q148" s="4137" t="e">
        <f>Q99*0.05</f>
        <v>#DIV/0!</v>
      </c>
      <c r="R148" s="4260"/>
      <c r="Z148" s="4242"/>
      <c r="AH148" s="4277"/>
      <c r="AP148" s="4290"/>
      <c r="AX148" s="4302"/>
      <c r="BF148" s="4318"/>
    </row>
    <row r="149" spans="3:58">
      <c r="C149" s="2442" t="e">
        <f>C113*80</f>
        <v>#DIV/0!</v>
      </c>
      <c r="D149" s="2442"/>
      <c r="E149" s="2442" t="e">
        <f>'Ch41 Calc Data'!K17*100</f>
        <v>#DIV/0!</v>
      </c>
      <c r="F149" s="2442"/>
      <c r="G149" s="2442" t="e">
        <f>G113*80</f>
        <v>#DIV/0!</v>
      </c>
      <c r="H149" s="2442"/>
      <c r="I149" s="2766" t="e">
        <f>'Ch41 Calc Data'!K17*100</f>
        <v>#DIV/0!</v>
      </c>
      <c r="K149" s="4132" t="e">
        <f>K94*80</f>
        <v>#DIV/0!</v>
      </c>
      <c r="L149" s="4132"/>
      <c r="M149" s="4132" t="e">
        <f>'Ch41 Calc Data'!L17*100</f>
        <v>#DIV/0!</v>
      </c>
      <c r="N149" s="4132"/>
      <c r="O149" s="4132" t="e">
        <f>O94*80</f>
        <v>#DIV/0!</v>
      </c>
      <c r="P149" s="4132"/>
      <c r="Q149" s="4137" t="e">
        <f>'Ch41 Calc Data'!L17*100</f>
        <v>#DIV/0!</v>
      </c>
      <c r="R149" s="4260"/>
      <c r="Z149" s="4242"/>
      <c r="AH149" s="4277"/>
      <c r="AP149" s="4290"/>
      <c r="AX149" s="4302"/>
      <c r="BF149" s="4318"/>
    </row>
    <row r="150" spans="3:58">
      <c r="C150" s="2442"/>
      <c r="D150" s="2442"/>
      <c r="E150" s="2442"/>
      <c r="F150" s="2442"/>
      <c r="G150" s="2442"/>
      <c r="H150" s="2442"/>
      <c r="I150" s="2766"/>
      <c r="K150" s="4132"/>
      <c r="L150" s="4132"/>
      <c r="M150" s="4132"/>
      <c r="N150" s="4132"/>
      <c r="O150" s="4132"/>
      <c r="P150" s="4132"/>
      <c r="R150" s="4260"/>
      <c r="Z150" s="4242"/>
      <c r="AH150" s="4277"/>
      <c r="AP150" s="4290"/>
      <c r="AX150" s="4302"/>
      <c r="BF150" s="4318"/>
    </row>
    <row r="151" spans="3:58">
      <c r="C151" s="2442"/>
      <c r="D151" s="2442"/>
      <c r="E151" s="2442">
        <f>IF('Data Entry - SOF'!C92=0,0,'Data Entry - SOF'!C91*(E99/'HH1617-Calcs'!C11))</f>
        <v>0</v>
      </c>
      <c r="F151" s="2442"/>
      <c r="G151" s="2442"/>
      <c r="H151" s="2442"/>
      <c r="I151" s="2766">
        <f>IF('Data Entry - SOF'!C92=0,0,'Data Entry - SOF'!C91*(I99/'HH1617-Calcs'!C11))</f>
        <v>0</v>
      </c>
      <c r="K151" s="4132"/>
      <c r="L151" s="4132"/>
      <c r="M151" s="4132">
        <f>IF('Data Entry - SOF'!E92=0,0,'Data Entry - SOF'!E91*(M99/'HH1718-Calcs'!C11))</f>
        <v>0</v>
      </c>
      <c r="N151" s="4132"/>
      <c r="O151" s="4132"/>
      <c r="P151" s="4132"/>
      <c r="Q151" s="4137">
        <f>IF('Data Entry - SOF'!E92=0,0,'Data Entry - SOF'!E91*(Q99/'HH1718-Calcs'!C11))</f>
        <v>0</v>
      </c>
      <c r="R151" s="4260"/>
      <c r="Z151" s="4242"/>
      <c r="AH151" s="4277"/>
      <c r="AP151" s="4290"/>
      <c r="AX151" s="4302"/>
      <c r="BF151" s="4318"/>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153"/>
  <sheetViews>
    <sheetView zoomScale="90" zoomScaleNormal="90" workbookViewId="0">
      <selection activeCell="C7" sqref="C7"/>
    </sheetView>
  </sheetViews>
  <sheetFormatPr defaultRowHeight="12.75"/>
  <cols>
    <col min="2" max="2" width="49.7109375" customWidth="1"/>
    <col min="3" max="3" width="20.7109375" style="1403" customWidth="1"/>
    <col min="4" max="4" width="2.7109375" style="1403" customWidth="1"/>
    <col min="5" max="5" width="20.7109375" style="1403" customWidth="1"/>
    <col min="6" max="6" width="2.7109375" style="1403" customWidth="1"/>
    <col min="7" max="7" width="20.7109375" style="1403" customWidth="1"/>
    <col min="8" max="8" width="2.7109375" style="1403" customWidth="1"/>
    <col min="9" max="9" width="20.7109375" style="1403" customWidth="1"/>
    <col min="10" max="10" width="5.7109375" customWidth="1"/>
    <col min="11" max="11" width="20.7109375" style="47" customWidth="1"/>
    <col min="12" max="12" width="2.7109375" style="47" customWidth="1"/>
    <col min="13" max="13" width="20.7109375" style="47" customWidth="1"/>
    <col min="14" max="14" width="2.7109375" style="47" customWidth="1"/>
    <col min="15" max="15" width="20.7109375" style="47" customWidth="1"/>
    <col min="16" max="16" width="2.7109375" style="47" customWidth="1"/>
    <col min="17" max="17" width="20.7109375" style="47" customWidth="1"/>
    <col min="18" max="18" width="5.7109375" style="1570" customWidth="1"/>
    <col min="19" max="19" width="20.7109375" style="1570" customWidth="1"/>
    <col min="20" max="20" width="2.7109375" style="1570" customWidth="1"/>
    <col min="21" max="21" width="20.7109375" style="1570" customWidth="1"/>
    <col min="22" max="22" width="2.7109375" style="1570" customWidth="1"/>
    <col min="23" max="23" width="20.7109375" style="1570" customWidth="1"/>
    <col min="24" max="24" width="2.7109375" style="1570" customWidth="1"/>
    <col min="25" max="25" width="20.7109375" style="1570" customWidth="1"/>
    <col min="26" max="26" width="5.7109375" style="1650" customWidth="1"/>
    <col min="27" max="27" width="20.7109375" style="1650" customWidth="1"/>
    <col min="28" max="28" width="2.7109375" style="1650" customWidth="1"/>
    <col min="29" max="29" width="20.7109375" style="1650" customWidth="1"/>
    <col min="30" max="30" width="2.7109375" style="1650" customWidth="1"/>
    <col min="31" max="31" width="20.7109375" style="1650" customWidth="1"/>
    <col min="32" max="32" width="2.7109375" style="1650" customWidth="1"/>
    <col min="33" max="33" width="20.7109375" style="1650" customWidth="1"/>
    <col min="34" max="34" width="5.7109375" style="2085" customWidth="1"/>
    <col min="35" max="35" width="20.7109375" style="2085" customWidth="1"/>
    <col min="36" max="36" width="2.7109375" style="2085" customWidth="1"/>
    <col min="37" max="37" width="20.7109375" style="2085" customWidth="1"/>
    <col min="38" max="38" width="2.7109375" style="2085" customWidth="1"/>
    <col min="39" max="39" width="20.7109375" style="2085" customWidth="1"/>
    <col min="40" max="40" width="2.7109375" style="2085" customWidth="1"/>
    <col min="41" max="41" width="20.7109375" style="2085" customWidth="1"/>
    <col min="42" max="42" width="5.7109375" style="2631" customWidth="1"/>
    <col min="43" max="43" width="20.7109375" style="2631" customWidth="1"/>
    <col min="44" max="44" width="2.7109375" style="2631" customWidth="1"/>
    <col min="45" max="45" width="20.7109375" style="2631" customWidth="1"/>
    <col min="46" max="46" width="2.7109375" style="2631" customWidth="1"/>
    <col min="47" max="47" width="20.7109375" style="2631" customWidth="1"/>
    <col min="48" max="48" width="2.7109375" style="2631" customWidth="1"/>
    <col min="49" max="49" width="20.7109375" style="2631" customWidth="1"/>
    <col min="50" max="50" width="5.7109375" style="4151" customWidth="1"/>
    <col min="51" max="51" width="20.7109375" style="4151" customWidth="1"/>
    <col min="52" max="52" width="2.7109375" style="4151" customWidth="1"/>
    <col min="53" max="53" width="20.7109375" style="4151" customWidth="1"/>
    <col min="54" max="54" width="2.7109375" style="4151" customWidth="1"/>
    <col min="55" max="55" width="20.7109375" style="4151" customWidth="1"/>
    <col min="56" max="56" width="2.7109375" style="4151" customWidth="1"/>
    <col min="57" max="57" width="20.7109375" style="4151" customWidth="1"/>
    <col min="58" max="58" width="9.140625" style="3704"/>
    <col min="60" max="63" width="20.7109375" style="177" customWidth="1"/>
    <col min="74" max="74" width="20.7109375" style="991" hidden="1" customWidth="1"/>
    <col min="75" max="75" width="2.7109375" style="991" hidden="1" customWidth="1"/>
    <col min="76" max="76" width="20.7109375" style="991" hidden="1" customWidth="1"/>
    <col min="77" max="77" width="2.7109375" style="991" hidden="1" customWidth="1"/>
    <col min="78" max="78" width="20.7109375" style="991" hidden="1" customWidth="1"/>
    <col min="79" max="79" width="2.7109375" style="991" hidden="1" customWidth="1"/>
    <col min="80" max="80" width="20.7109375" style="991" hidden="1" customWidth="1"/>
    <col min="81" max="81" width="5.7109375" style="160" hidden="1" customWidth="1"/>
    <col min="82" max="82" width="20.7109375" style="2182" hidden="1" customWidth="1"/>
    <col min="83" max="83" width="2.7109375" style="2182" hidden="1" customWidth="1"/>
    <col min="84" max="84" width="20.7109375" style="2182" hidden="1" customWidth="1"/>
    <col min="85" max="85" width="2.7109375" style="2182" hidden="1" customWidth="1"/>
    <col min="86" max="86" width="20.7109375" style="2182" hidden="1" customWidth="1"/>
    <col min="87" max="87" width="2.7109375" style="2182" hidden="1" customWidth="1"/>
    <col min="88" max="88" width="20.7109375" style="2182" hidden="1" customWidth="1"/>
    <col min="89" max="89" width="5.7109375" style="2183" hidden="1" customWidth="1"/>
    <col min="90" max="90" width="20.7109375" style="2156" hidden="1" customWidth="1"/>
    <col min="91" max="91" width="2.7109375" style="2156" hidden="1" customWidth="1"/>
    <col min="92" max="92" width="20.7109375" style="2156" hidden="1" customWidth="1"/>
    <col min="93" max="93" width="2.7109375" style="2156" hidden="1" customWidth="1"/>
    <col min="94" max="94" width="20.7109375" style="2156" hidden="1" customWidth="1"/>
    <col min="95" max="95" width="2.7109375" style="2156" hidden="1" customWidth="1"/>
    <col min="96" max="96" width="20.7109375" style="2156" hidden="1" customWidth="1"/>
    <col min="97" max="97" width="5.7109375" style="2157" hidden="1" customWidth="1"/>
    <col min="98" max="98" width="20.7109375" style="1840" hidden="1" customWidth="1"/>
    <col min="99" max="99" width="2.7109375" style="1840" hidden="1" customWidth="1"/>
    <col min="100" max="100" width="20.7109375" style="1840" hidden="1" customWidth="1"/>
    <col min="101" max="101" width="2.7109375" style="1840" hidden="1" customWidth="1"/>
    <col min="102" max="102" width="20.7109375" style="1840" hidden="1" customWidth="1"/>
    <col min="103" max="103" width="2.7109375" style="1840" hidden="1" customWidth="1"/>
    <col min="104" max="104" width="20.7109375" style="1840" hidden="1" customWidth="1"/>
    <col min="105" max="105" width="5.7109375" style="1402" customWidth="1"/>
    <col min="106" max="106" width="20.7109375" style="2156" customWidth="1"/>
    <col min="107" max="107" width="2.7109375" style="2156" customWidth="1"/>
    <col min="108" max="108" width="20.7109375" style="2156" customWidth="1"/>
    <col min="109" max="109" width="2.7109375" style="2156" customWidth="1"/>
    <col min="110" max="110" width="20.7109375" style="2156" customWidth="1"/>
    <col min="111" max="111" width="2.7109375" style="2156" customWidth="1"/>
    <col min="112" max="112" width="20.7109375" style="2156" customWidth="1"/>
    <col min="113" max="113" width="5.7109375" style="2157" customWidth="1"/>
    <col min="114" max="114" width="20.7109375" style="1840" customWidth="1"/>
    <col min="115" max="115" width="2.7109375" style="1840" customWidth="1"/>
    <col min="116" max="116" width="20.7109375" style="1840" customWidth="1"/>
    <col min="117" max="117" width="2.7109375" style="1840" customWidth="1"/>
    <col min="118" max="118" width="20.7109375" style="1840" customWidth="1"/>
    <col min="119" max="119" width="2.7109375" style="1840" customWidth="1"/>
    <col min="120" max="120" width="20.7109375" style="1840" customWidth="1"/>
    <col min="121" max="121" width="5.7109375" style="1402" customWidth="1"/>
    <col min="122" max="122" width="20.7109375" style="2156" customWidth="1"/>
    <col min="123" max="123" width="2.7109375" style="2156" customWidth="1"/>
    <col min="124" max="124" width="20.7109375" style="2156" customWidth="1"/>
    <col min="125" max="125" width="2.7109375" style="2156" customWidth="1"/>
    <col min="126" max="126" width="20.7109375" style="2156" customWidth="1"/>
    <col min="127" max="127" width="2.7109375" style="2156" customWidth="1"/>
    <col min="128" max="128" width="20.7109375" style="2156" customWidth="1"/>
    <col min="129" max="129" width="5.7109375" style="2157" customWidth="1"/>
    <col min="130" max="130" width="20.7109375" style="1840" customWidth="1"/>
    <col min="131" max="131" width="2.7109375" style="1840" customWidth="1"/>
    <col min="132" max="132" width="20.7109375" style="1840" customWidth="1"/>
    <col min="133" max="133" width="2.7109375" style="1840" customWidth="1"/>
    <col min="134" max="134" width="20.7109375" style="1840" customWidth="1"/>
    <col min="135" max="135" width="2.7109375" style="1840" customWidth="1"/>
    <col min="136" max="136" width="20.7109375" style="1840" customWidth="1"/>
    <col min="137" max="137" width="5.7109375" style="1402" customWidth="1"/>
  </cols>
  <sheetData>
    <row r="1" spans="1:136">
      <c r="A1" s="35"/>
      <c r="B1" s="35"/>
      <c r="I1" s="2733"/>
      <c r="Q1" s="4333"/>
      <c r="Y1" s="2769"/>
      <c r="AG1" s="2790"/>
      <c r="AO1" s="4375"/>
      <c r="AW1" s="2820"/>
      <c r="BE1" s="4318"/>
      <c r="BH1" s="953"/>
      <c r="BI1" s="953"/>
      <c r="BJ1" s="953"/>
      <c r="BK1" s="953"/>
    </row>
    <row r="2" spans="1:136">
      <c r="A2" s="35"/>
      <c r="B2" s="35"/>
      <c r="I2" s="2733"/>
      <c r="Q2" s="4333"/>
      <c r="Y2" s="2769"/>
      <c r="AG2" s="2790"/>
      <c r="AO2" s="4375"/>
      <c r="AW2" s="2820"/>
      <c r="BE2" s="4318"/>
      <c r="BH2" s="953"/>
      <c r="BI2" s="953"/>
      <c r="BJ2" s="953"/>
      <c r="BK2" s="953"/>
    </row>
    <row r="3" spans="1:136">
      <c r="I3" s="2733"/>
      <c r="Q3" s="4333"/>
      <c r="Y3" s="2769"/>
      <c r="AG3" s="2790"/>
      <c r="AO3" s="4375"/>
      <c r="AW3" s="2820"/>
      <c r="BE3" s="4318"/>
      <c r="BH3" s="953"/>
      <c r="BI3" s="953"/>
      <c r="BJ3" s="953"/>
      <c r="BK3" s="953"/>
    </row>
    <row r="4" spans="1:136">
      <c r="I4" s="2733"/>
      <c r="Q4" s="4333"/>
      <c r="Y4" s="2769"/>
      <c r="AG4" s="2790"/>
      <c r="AO4" s="4375"/>
      <c r="AW4" s="2820"/>
      <c r="BE4" s="4318"/>
      <c r="BH4" s="953"/>
      <c r="BI4" s="953"/>
      <c r="BJ4" s="953"/>
      <c r="BK4" s="953"/>
    </row>
    <row r="5" spans="1:136">
      <c r="I5" s="2733"/>
      <c r="Q5" s="4333"/>
      <c r="Y5" s="2769"/>
      <c r="AG5" s="2790"/>
      <c r="AO5" s="4375"/>
      <c r="AW5" s="2820"/>
      <c r="BE5" s="4318"/>
      <c r="BH5" s="953"/>
      <c r="BI5" s="953"/>
      <c r="BJ5" s="953"/>
      <c r="BK5" s="953"/>
    </row>
    <row r="6" spans="1:136">
      <c r="B6" s="35"/>
      <c r="C6" s="1408" t="s">
        <v>3735</v>
      </c>
      <c r="D6" s="1408"/>
      <c r="E6" s="1408" t="s">
        <v>3735</v>
      </c>
      <c r="F6" s="1408"/>
      <c r="G6" s="1408" t="s">
        <v>3735</v>
      </c>
      <c r="H6" s="1408"/>
      <c r="I6" s="2735" t="s">
        <v>3735</v>
      </c>
      <c r="K6" s="194" t="s">
        <v>3735</v>
      </c>
      <c r="L6" s="194"/>
      <c r="M6" s="194" t="s">
        <v>3735</v>
      </c>
      <c r="N6" s="194"/>
      <c r="O6" s="194" t="s">
        <v>3735</v>
      </c>
      <c r="P6" s="194"/>
      <c r="Q6" s="4334" t="s">
        <v>3735</v>
      </c>
      <c r="S6" s="1586" t="s">
        <v>3735</v>
      </c>
      <c r="T6" s="1586"/>
      <c r="U6" s="1586" t="s">
        <v>3735</v>
      </c>
      <c r="V6" s="1586"/>
      <c r="W6" s="1586" t="s">
        <v>3735</v>
      </c>
      <c r="X6" s="1586"/>
      <c r="Y6" s="2770" t="s">
        <v>3735</v>
      </c>
      <c r="AA6" s="1667" t="s">
        <v>3735</v>
      </c>
      <c r="AB6" s="1667"/>
      <c r="AC6" s="1667" t="s">
        <v>3735</v>
      </c>
      <c r="AD6" s="1667"/>
      <c r="AE6" s="1667" t="s">
        <v>3735</v>
      </c>
      <c r="AF6" s="1667"/>
      <c r="AG6" s="2791" t="s">
        <v>3735</v>
      </c>
      <c r="AI6" s="2086" t="s">
        <v>3735</v>
      </c>
      <c r="AJ6" s="2086"/>
      <c r="AK6" s="2086" t="s">
        <v>3735</v>
      </c>
      <c r="AL6" s="2086"/>
      <c r="AM6" s="2086" t="s">
        <v>3735</v>
      </c>
      <c r="AN6" s="2086"/>
      <c r="AO6" s="4376" t="s">
        <v>3735</v>
      </c>
      <c r="AQ6" s="2632" t="s">
        <v>3735</v>
      </c>
      <c r="AR6" s="2632"/>
      <c r="AS6" s="2632" t="s">
        <v>3735</v>
      </c>
      <c r="AT6" s="2632"/>
      <c r="AU6" s="2632" t="s">
        <v>3735</v>
      </c>
      <c r="AV6" s="2632"/>
      <c r="AW6" s="2821" t="s">
        <v>3735</v>
      </c>
      <c r="AY6" s="4147" t="s">
        <v>3735</v>
      </c>
      <c r="AZ6" s="4147"/>
      <c r="BA6" s="4147" t="s">
        <v>3735</v>
      </c>
      <c r="BB6" s="4147"/>
      <c r="BC6" s="4147" t="s">
        <v>3735</v>
      </c>
      <c r="BD6" s="4147"/>
      <c r="BE6" s="4319" t="s">
        <v>3735</v>
      </c>
      <c r="BH6" s="971" t="s">
        <v>7817</v>
      </c>
      <c r="BI6" s="953"/>
      <c r="BJ6" s="953"/>
      <c r="BK6" s="953"/>
      <c r="BV6" s="2132" t="s">
        <v>4706</v>
      </c>
      <c r="BW6" s="2132"/>
      <c r="BX6" s="2132" t="s">
        <v>4706</v>
      </c>
      <c r="BY6" s="2132"/>
      <c r="BZ6" s="2132" t="s">
        <v>4706</v>
      </c>
      <c r="CA6" s="2132"/>
      <c r="CB6" s="2132" t="s">
        <v>4706</v>
      </c>
      <c r="CD6" s="2132" t="s">
        <v>3739</v>
      </c>
      <c r="CE6" s="2132"/>
      <c r="CF6" s="2132" t="s">
        <v>3739</v>
      </c>
      <c r="CG6" s="2132"/>
      <c r="CH6" s="2132" t="s">
        <v>3739</v>
      </c>
      <c r="CI6" s="2132"/>
      <c r="CJ6" s="2132" t="s">
        <v>3739</v>
      </c>
      <c r="CL6" s="2132" t="s">
        <v>4706</v>
      </c>
      <c r="CM6" s="2132"/>
      <c r="CN6" s="2132" t="s">
        <v>4706</v>
      </c>
      <c r="CO6" s="2132"/>
      <c r="CP6" s="2132" t="s">
        <v>4706</v>
      </c>
      <c r="CQ6" s="2132"/>
      <c r="CR6" s="2132" t="s">
        <v>4706</v>
      </c>
      <c r="CT6" s="2132" t="s">
        <v>3739</v>
      </c>
      <c r="CU6" s="2132"/>
      <c r="CV6" s="2132" t="s">
        <v>3739</v>
      </c>
      <c r="CW6" s="2132"/>
      <c r="CX6" s="2132" t="s">
        <v>3739</v>
      </c>
      <c r="CY6" s="2132"/>
      <c r="CZ6" s="2132" t="s">
        <v>3739</v>
      </c>
      <c r="DB6" s="2132" t="s">
        <v>4706</v>
      </c>
      <c r="DC6" s="2132"/>
      <c r="DD6" s="2132" t="s">
        <v>4706</v>
      </c>
      <c r="DE6" s="2132"/>
      <c r="DF6" s="2132" t="s">
        <v>4706</v>
      </c>
      <c r="DG6" s="2132"/>
      <c r="DH6" s="2132" t="s">
        <v>4706</v>
      </c>
      <c r="DJ6" s="2132" t="s">
        <v>3739</v>
      </c>
      <c r="DK6" s="2132"/>
      <c r="DL6" s="2132" t="s">
        <v>3739</v>
      </c>
      <c r="DM6" s="2132"/>
      <c r="DN6" s="2132" t="s">
        <v>3739</v>
      </c>
      <c r="DO6" s="2132"/>
      <c r="DP6" s="2132" t="s">
        <v>3739</v>
      </c>
      <c r="DR6" s="2132" t="s">
        <v>4706</v>
      </c>
      <c r="DS6" s="2132"/>
      <c r="DT6" s="2132" t="s">
        <v>4706</v>
      </c>
      <c r="DU6" s="2132"/>
      <c r="DV6" s="2132" t="s">
        <v>4706</v>
      </c>
      <c r="DW6" s="2132"/>
      <c r="DX6" s="2132" t="s">
        <v>4706</v>
      </c>
      <c r="DZ6" s="2135" t="s">
        <v>4706</v>
      </c>
      <c r="EA6" s="2135"/>
      <c r="EB6" s="2135" t="s">
        <v>4706</v>
      </c>
      <c r="EC6" s="2135"/>
      <c r="ED6" s="2135" t="s">
        <v>4706</v>
      </c>
      <c r="EE6" s="2135"/>
      <c r="EF6" s="2135" t="s">
        <v>4706</v>
      </c>
    </row>
    <row r="7" spans="1:136">
      <c r="B7" s="35"/>
      <c r="C7" s="1408" t="s">
        <v>3613</v>
      </c>
      <c r="D7" s="1408"/>
      <c r="E7" s="1408" t="s">
        <v>3613</v>
      </c>
      <c r="F7" s="1408"/>
      <c r="G7" s="1408" t="s">
        <v>3613</v>
      </c>
      <c r="H7" s="1408"/>
      <c r="I7" s="2735" t="s">
        <v>3613</v>
      </c>
      <c r="K7" s="194" t="s">
        <v>3673</v>
      </c>
      <c r="L7" s="194"/>
      <c r="M7" s="194" t="s">
        <v>3673</v>
      </c>
      <c r="N7" s="194"/>
      <c r="O7" s="194" t="s">
        <v>3673</v>
      </c>
      <c r="P7" s="194"/>
      <c r="Q7" s="4334" t="s">
        <v>3673</v>
      </c>
      <c r="S7" s="1586" t="s">
        <v>3830</v>
      </c>
      <c r="T7" s="1586"/>
      <c r="U7" s="1586" t="s">
        <v>3830</v>
      </c>
      <c r="V7" s="1586"/>
      <c r="W7" s="1586" t="s">
        <v>3830</v>
      </c>
      <c r="X7" s="1586"/>
      <c r="Y7" s="2770" t="s">
        <v>3830</v>
      </c>
      <c r="AA7" s="1667" t="s">
        <v>3903</v>
      </c>
      <c r="AB7" s="1667"/>
      <c r="AC7" s="1667" t="s">
        <v>3903</v>
      </c>
      <c r="AD7" s="1667"/>
      <c r="AE7" s="1667" t="s">
        <v>3903</v>
      </c>
      <c r="AF7" s="1667"/>
      <c r="AG7" s="2791" t="s">
        <v>3903</v>
      </c>
      <c r="AI7" s="2086" t="s">
        <v>4592</v>
      </c>
      <c r="AJ7" s="2086"/>
      <c r="AK7" s="2086" t="s">
        <v>4592</v>
      </c>
      <c r="AL7" s="2086"/>
      <c r="AM7" s="2086" t="s">
        <v>4592</v>
      </c>
      <c r="AN7" s="2086"/>
      <c r="AO7" s="4376" t="s">
        <v>4592</v>
      </c>
      <c r="AQ7" s="2632" t="s">
        <v>7097</v>
      </c>
      <c r="AR7" s="2632"/>
      <c r="AS7" s="2632" t="s">
        <v>7097</v>
      </c>
      <c r="AT7" s="2632"/>
      <c r="AU7" s="2632" t="s">
        <v>7097</v>
      </c>
      <c r="AV7" s="2632"/>
      <c r="AW7" s="2821" t="s">
        <v>7097</v>
      </c>
      <c r="AY7" s="4147" t="s">
        <v>7733</v>
      </c>
      <c r="AZ7" s="4147"/>
      <c r="BA7" s="4147" t="str">
        <f>AY7</f>
        <v>2022-23</v>
      </c>
      <c r="BB7" s="4147"/>
      <c r="BC7" s="4147" t="str">
        <f>BA7</f>
        <v>2022-23</v>
      </c>
      <c r="BD7" s="4147"/>
      <c r="BE7" s="4319" t="str">
        <f>BC7</f>
        <v>2022-23</v>
      </c>
      <c r="BH7" s="971" t="s">
        <v>7818</v>
      </c>
      <c r="BI7" s="953"/>
      <c r="BJ7" s="953"/>
      <c r="BK7" s="953"/>
      <c r="BV7" s="1009" t="s">
        <v>885</v>
      </c>
      <c r="BW7" s="1009"/>
      <c r="BX7" s="1009" t="s">
        <v>885</v>
      </c>
      <c r="BY7" s="1009"/>
      <c r="BZ7" s="1009" t="s">
        <v>885</v>
      </c>
      <c r="CA7" s="1009"/>
      <c r="CB7" s="1009" t="s">
        <v>885</v>
      </c>
      <c r="CD7" s="2184" t="s">
        <v>885</v>
      </c>
      <c r="CE7" s="2184"/>
      <c r="CF7" s="2184" t="s">
        <v>885</v>
      </c>
      <c r="CG7" s="2184"/>
      <c r="CH7" s="2184" t="s">
        <v>885</v>
      </c>
      <c r="CI7" s="2184"/>
      <c r="CJ7" s="2184" t="s">
        <v>885</v>
      </c>
      <c r="CL7" s="2158" t="s">
        <v>3561</v>
      </c>
      <c r="CM7" s="2158"/>
      <c r="CN7" s="2158" t="s">
        <v>3561</v>
      </c>
      <c r="CO7" s="2158"/>
      <c r="CP7" s="2158" t="s">
        <v>3561</v>
      </c>
      <c r="CQ7" s="2158"/>
      <c r="CR7" s="2158" t="s">
        <v>3561</v>
      </c>
      <c r="CT7" s="2135" t="s">
        <v>3561</v>
      </c>
      <c r="CU7" s="2135"/>
      <c r="CV7" s="2135" t="s">
        <v>3561</v>
      </c>
      <c r="CW7" s="2135"/>
      <c r="CX7" s="2135" t="s">
        <v>3561</v>
      </c>
      <c r="CY7" s="2135"/>
      <c r="CZ7" s="2135" t="s">
        <v>3561</v>
      </c>
      <c r="DB7" s="2158" t="s">
        <v>3613</v>
      </c>
      <c r="DC7" s="2158"/>
      <c r="DD7" s="2158" t="s">
        <v>3613</v>
      </c>
      <c r="DE7" s="2158"/>
      <c r="DF7" s="2158" t="s">
        <v>3613</v>
      </c>
      <c r="DG7" s="2158"/>
      <c r="DH7" s="2158" t="s">
        <v>3613</v>
      </c>
      <c r="DJ7" s="2135" t="s">
        <v>3613</v>
      </c>
      <c r="DK7" s="2135"/>
      <c r="DL7" s="2135" t="s">
        <v>3613</v>
      </c>
      <c r="DM7" s="2135"/>
      <c r="DN7" s="2135" t="s">
        <v>3613</v>
      </c>
      <c r="DO7" s="2135"/>
      <c r="DP7" s="2135" t="s">
        <v>3613</v>
      </c>
      <c r="DR7" s="2158" t="s">
        <v>3673</v>
      </c>
      <c r="DS7" s="2158"/>
      <c r="DT7" s="2158" t="s">
        <v>3673</v>
      </c>
      <c r="DU7" s="2158"/>
      <c r="DV7" s="2158" t="s">
        <v>3673</v>
      </c>
      <c r="DW7" s="2158"/>
      <c r="DX7" s="2158" t="s">
        <v>3673</v>
      </c>
      <c r="DZ7" s="2135" t="s">
        <v>3830</v>
      </c>
      <c r="EA7" s="2135"/>
      <c r="EB7" s="2135" t="s">
        <v>3830</v>
      </c>
      <c r="EC7" s="2135"/>
      <c r="ED7" s="2135" t="s">
        <v>3830</v>
      </c>
      <c r="EE7" s="2135"/>
      <c r="EF7" s="2135" t="s">
        <v>3830</v>
      </c>
    </row>
    <row r="8" spans="1:136">
      <c r="C8" s="1408" t="s">
        <v>2944</v>
      </c>
      <c r="D8" s="1408"/>
      <c r="E8" s="1408" t="s">
        <v>215</v>
      </c>
      <c r="F8" s="1408"/>
      <c r="G8" s="1408" t="s">
        <v>2944</v>
      </c>
      <c r="H8" s="1408"/>
      <c r="I8" s="2735" t="s">
        <v>215</v>
      </c>
      <c r="K8" s="194" t="s">
        <v>2944</v>
      </c>
      <c r="L8" s="194"/>
      <c r="M8" s="194" t="s">
        <v>215</v>
      </c>
      <c r="N8" s="194"/>
      <c r="O8" s="194" t="s">
        <v>2944</v>
      </c>
      <c r="P8" s="194"/>
      <c r="Q8" s="4334" t="s">
        <v>215</v>
      </c>
      <c r="S8" s="1586" t="s">
        <v>2944</v>
      </c>
      <c r="T8" s="1586"/>
      <c r="U8" s="1586" t="s">
        <v>215</v>
      </c>
      <c r="V8" s="1586"/>
      <c r="W8" s="1586" t="s">
        <v>2944</v>
      </c>
      <c r="X8" s="1586"/>
      <c r="Y8" s="2770" t="s">
        <v>215</v>
      </c>
      <c r="AA8" s="1667" t="s">
        <v>2944</v>
      </c>
      <c r="AB8" s="1667"/>
      <c r="AC8" s="1667" t="s">
        <v>215</v>
      </c>
      <c r="AD8" s="1667"/>
      <c r="AE8" s="1667" t="s">
        <v>2944</v>
      </c>
      <c r="AF8" s="1667"/>
      <c r="AG8" s="2791" t="s">
        <v>215</v>
      </c>
      <c r="AI8" s="2086" t="s">
        <v>2944</v>
      </c>
      <c r="AJ8" s="2086"/>
      <c r="AK8" s="2086" t="s">
        <v>215</v>
      </c>
      <c r="AL8" s="2086"/>
      <c r="AM8" s="2086" t="s">
        <v>2944</v>
      </c>
      <c r="AN8" s="2086"/>
      <c r="AO8" s="4376" t="s">
        <v>215</v>
      </c>
      <c r="AQ8" s="2632" t="s">
        <v>2944</v>
      </c>
      <c r="AR8" s="2632"/>
      <c r="AS8" s="2632" t="s">
        <v>215</v>
      </c>
      <c r="AT8" s="2632"/>
      <c r="AU8" s="2632" t="s">
        <v>2944</v>
      </c>
      <c r="AV8" s="2632"/>
      <c r="AW8" s="2821" t="s">
        <v>215</v>
      </c>
      <c r="AY8" s="4147" t="s">
        <v>2944</v>
      </c>
      <c r="AZ8" s="4147"/>
      <c r="BA8" s="4147" t="s">
        <v>215</v>
      </c>
      <c r="BB8" s="4147"/>
      <c r="BC8" s="4147" t="s">
        <v>2944</v>
      </c>
      <c r="BD8" s="4147"/>
      <c r="BE8" s="4319" t="s">
        <v>215</v>
      </c>
      <c r="BH8" s="1057" t="s">
        <v>7819</v>
      </c>
      <c r="BI8" s="1057" t="s">
        <v>7819</v>
      </c>
      <c r="BJ8" s="1057" t="s">
        <v>7819</v>
      </c>
      <c r="BK8" s="1057" t="s">
        <v>7819</v>
      </c>
      <c r="BV8" s="1009" t="s">
        <v>2944</v>
      </c>
      <c r="BW8" s="1009"/>
      <c r="BX8" s="1009" t="s">
        <v>215</v>
      </c>
      <c r="BY8" s="1009"/>
      <c r="BZ8" s="1009" t="s">
        <v>2944</v>
      </c>
      <c r="CA8" s="1009"/>
      <c r="CB8" s="1009" t="s">
        <v>215</v>
      </c>
      <c r="CD8" s="2184" t="s">
        <v>2944</v>
      </c>
      <c r="CE8" s="2184"/>
      <c r="CF8" s="2184" t="s">
        <v>215</v>
      </c>
      <c r="CG8" s="2184"/>
      <c r="CH8" s="2184" t="s">
        <v>2944</v>
      </c>
      <c r="CI8" s="2184"/>
      <c r="CJ8" s="2184" t="s">
        <v>215</v>
      </c>
      <c r="CL8" s="2158" t="s">
        <v>2944</v>
      </c>
      <c r="CM8" s="2158"/>
      <c r="CN8" s="2158" t="s">
        <v>215</v>
      </c>
      <c r="CO8" s="2158"/>
      <c r="CP8" s="2158" t="s">
        <v>2944</v>
      </c>
      <c r="CQ8" s="2158"/>
      <c r="CR8" s="2158" t="s">
        <v>215</v>
      </c>
      <c r="CT8" s="2135" t="s">
        <v>2944</v>
      </c>
      <c r="CU8" s="2135"/>
      <c r="CV8" s="2135" t="s">
        <v>215</v>
      </c>
      <c r="CW8" s="2135"/>
      <c r="CX8" s="2135" t="s">
        <v>2944</v>
      </c>
      <c r="CY8" s="2135"/>
      <c r="CZ8" s="2135" t="s">
        <v>215</v>
      </c>
      <c r="DB8" s="2158" t="s">
        <v>2944</v>
      </c>
      <c r="DC8" s="2158"/>
      <c r="DD8" s="2158" t="s">
        <v>215</v>
      </c>
      <c r="DE8" s="2158"/>
      <c r="DF8" s="2158" t="s">
        <v>2944</v>
      </c>
      <c r="DG8" s="2158"/>
      <c r="DH8" s="2158" t="s">
        <v>215</v>
      </c>
      <c r="DJ8" s="2135" t="s">
        <v>2944</v>
      </c>
      <c r="DK8" s="2135"/>
      <c r="DL8" s="2135" t="s">
        <v>215</v>
      </c>
      <c r="DM8" s="2135"/>
      <c r="DN8" s="2135" t="s">
        <v>2944</v>
      </c>
      <c r="DO8" s="2135"/>
      <c r="DP8" s="2135" t="s">
        <v>215</v>
      </c>
      <c r="DR8" s="2158" t="s">
        <v>2944</v>
      </c>
      <c r="DS8" s="2158"/>
      <c r="DT8" s="2158" t="s">
        <v>215</v>
      </c>
      <c r="DU8" s="2158"/>
      <c r="DV8" s="2158" t="s">
        <v>2944</v>
      </c>
      <c r="DW8" s="2158"/>
      <c r="DX8" s="2158" t="s">
        <v>215</v>
      </c>
      <c r="DZ8" s="2135" t="s">
        <v>2944</v>
      </c>
      <c r="EA8" s="2135"/>
      <c r="EB8" s="2135" t="s">
        <v>215</v>
      </c>
      <c r="EC8" s="2135"/>
      <c r="ED8" s="2135" t="s">
        <v>2944</v>
      </c>
      <c r="EE8" s="2135"/>
      <c r="EF8" s="2135" t="s">
        <v>215</v>
      </c>
    </row>
    <row r="9" spans="1:136">
      <c r="C9" s="1409">
        <f>Assumptions!G92</f>
        <v>514000</v>
      </c>
      <c r="D9" s="1410"/>
      <c r="E9" s="1409">
        <f>C9</f>
        <v>514000</v>
      </c>
      <c r="F9" s="1410"/>
      <c r="G9" s="1409">
        <f>Assumptions!G93</f>
        <v>319500</v>
      </c>
      <c r="H9" s="1410"/>
      <c r="I9" s="2736">
        <f>G9</f>
        <v>319500</v>
      </c>
      <c r="K9" s="308">
        <f>Assumptions!G103</f>
        <v>514000</v>
      </c>
      <c r="L9" s="308"/>
      <c r="M9" s="308">
        <f>K9</f>
        <v>514000</v>
      </c>
      <c r="N9" s="308"/>
      <c r="O9" s="308">
        <f>Assumptions!G104</f>
        <v>319500</v>
      </c>
      <c r="P9" s="308"/>
      <c r="Q9" s="4335">
        <f>O9</f>
        <v>319500</v>
      </c>
      <c r="S9" s="1587">
        <f>Assumptions!G112</f>
        <v>514000</v>
      </c>
      <c r="T9" s="1588"/>
      <c r="U9" s="1587">
        <f>S9</f>
        <v>514000</v>
      </c>
      <c r="V9" s="1588"/>
      <c r="W9" s="1587">
        <f>Assumptions!G113</f>
        <v>319500</v>
      </c>
      <c r="X9" s="1588"/>
      <c r="Y9" s="2771">
        <f>W9</f>
        <v>319500</v>
      </c>
      <c r="AA9" s="1668">
        <f>Assumptions!G121</f>
        <v>514000</v>
      </c>
      <c r="AB9" s="1669"/>
      <c r="AC9" s="1668">
        <f>AA9</f>
        <v>514000</v>
      </c>
      <c r="AD9" s="1669"/>
      <c r="AE9" s="1668">
        <f>Assumptions!G122</f>
        <v>319500</v>
      </c>
      <c r="AF9" s="1669"/>
      <c r="AG9" s="2792">
        <f>AE9</f>
        <v>319500</v>
      </c>
      <c r="AI9" s="2087">
        <f>Assumptions!G130</f>
        <v>514000</v>
      </c>
      <c r="AJ9" s="2088"/>
      <c r="AK9" s="2087">
        <f>AI9</f>
        <v>514000</v>
      </c>
      <c r="AL9" s="2088"/>
      <c r="AM9" s="2087">
        <f>Assumptions!G131</f>
        <v>319500</v>
      </c>
      <c r="AN9" s="2088"/>
      <c r="AO9" s="4377">
        <f>AM9</f>
        <v>319500</v>
      </c>
      <c r="AQ9" s="2633">
        <f>Assumptions!G139</f>
        <v>514000</v>
      </c>
      <c r="AR9" s="2634"/>
      <c r="AS9" s="2633">
        <f>AQ9</f>
        <v>514000</v>
      </c>
      <c r="AT9" s="2634"/>
      <c r="AU9" s="2633">
        <f>Assumptions!G140</f>
        <v>319500</v>
      </c>
      <c r="AV9" s="2634"/>
      <c r="AW9" s="2822">
        <f>AU9</f>
        <v>319500</v>
      </c>
      <c r="AY9" s="4156">
        <f>Assumptions!G148</f>
        <v>514000</v>
      </c>
      <c r="AZ9" s="4156"/>
      <c r="BA9" s="4156">
        <f>AY9</f>
        <v>514000</v>
      </c>
      <c r="BB9" s="4156"/>
      <c r="BC9" s="4156">
        <f>Assumptions!G149</f>
        <v>319500</v>
      </c>
      <c r="BD9" s="4156"/>
      <c r="BE9" s="4320">
        <f>BC9</f>
        <v>319500</v>
      </c>
      <c r="BH9" s="1058" t="s">
        <v>2293</v>
      </c>
      <c r="BI9" s="1058" t="s">
        <v>2293</v>
      </c>
      <c r="BJ9" s="1058" t="s">
        <v>2293</v>
      </c>
      <c r="BK9" s="1058" t="s">
        <v>2293</v>
      </c>
      <c r="BV9" s="1010">
        <f>Assumptions!G30</f>
        <v>476500</v>
      </c>
      <c r="BW9" s="1011"/>
      <c r="BX9" s="1010">
        <f>BV9</f>
        <v>476500</v>
      </c>
      <c r="BY9" s="1011"/>
      <c r="BZ9" s="1010">
        <f>Assumptions!G71</f>
        <v>319500</v>
      </c>
      <c r="CA9" s="1011"/>
      <c r="CB9" s="1010">
        <f>BZ9</f>
        <v>319500</v>
      </c>
      <c r="CD9" s="2185">
        <f>Assumptions!G40</f>
        <v>476500</v>
      </c>
      <c r="CE9" s="2186"/>
      <c r="CF9" s="2185">
        <f>CD9</f>
        <v>476500</v>
      </c>
      <c r="CG9" s="2186"/>
      <c r="CH9" s="2185">
        <f>Assumptions!G41</f>
        <v>319500</v>
      </c>
      <c r="CI9" s="2186"/>
      <c r="CJ9" s="2185">
        <f>CH9</f>
        <v>319500</v>
      </c>
      <c r="CL9" s="2159">
        <f>Assumptions!G30</f>
        <v>476500</v>
      </c>
      <c r="CM9" s="2160"/>
      <c r="CN9" s="2159">
        <f>CL9</f>
        <v>476500</v>
      </c>
      <c r="CO9" s="2160"/>
      <c r="CP9" s="2159">
        <f>Assumptions!G41</f>
        <v>319500</v>
      </c>
      <c r="CQ9" s="2160"/>
      <c r="CR9" s="2159">
        <f>CP9</f>
        <v>319500</v>
      </c>
      <c r="CT9" s="2136">
        <f>Assumptions!G30</f>
        <v>476500</v>
      </c>
      <c r="CU9" s="2137"/>
      <c r="CV9" s="2136">
        <f>CT9</f>
        <v>476500</v>
      </c>
      <c r="CW9" s="2137"/>
      <c r="CX9" s="2136">
        <f>Assumptions!G41</f>
        <v>319500</v>
      </c>
      <c r="CY9" s="2137"/>
      <c r="CZ9" s="2136">
        <f>CX9</f>
        <v>319500</v>
      </c>
      <c r="DB9" s="2159">
        <f>Assumptions!G30</f>
        <v>476500</v>
      </c>
      <c r="DC9" s="2160"/>
      <c r="DD9" s="2159">
        <f>DB9</f>
        <v>476500</v>
      </c>
      <c r="DE9" s="2160"/>
      <c r="DF9" s="2159">
        <f>Assumptions!G41</f>
        <v>319500</v>
      </c>
      <c r="DG9" s="2160"/>
      <c r="DH9" s="2159">
        <f>DF9</f>
        <v>319500</v>
      </c>
      <c r="DJ9" s="2136">
        <f>Assumptions!G30</f>
        <v>476500</v>
      </c>
      <c r="DK9" s="2137"/>
      <c r="DL9" s="2136">
        <f>DJ9</f>
        <v>476500</v>
      </c>
      <c r="DM9" s="2137"/>
      <c r="DN9" s="2136">
        <f>Assumptions!G41</f>
        <v>319500</v>
      </c>
      <c r="DO9" s="2137"/>
      <c r="DP9" s="2136">
        <f>DN9</f>
        <v>319500</v>
      </c>
      <c r="DR9" s="2159">
        <f>Assumptions!W30</f>
        <v>0</v>
      </c>
      <c r="DS9" s="2160"/>
      <c r="DT9" s="2159">
        <f>DR9</f>
        <v>0</v>
      </c>
      <c r="DU9" s="2160"/>
      <c r="DV9" s="2159">
        <f>Assumptions!W41</f>
        <v>0</v>
      </c>
      <c r="DW9" s="2160"/>
      <c r="DX9" s="2159">
        <f>DV9</f>
        <v>0</v>
      </c>
      <c r="DZ9" s="2136">
        <f>Assumptions!AE30</f>
        <v>0</v>
      </c>
      <c r="EA9" s="2137"/>
      <c r="EB9" s="2136">
        <f>DZ9</f>
        <v>0</v>
      </c>
      <c r="EC9" s="2137"/>
      <c r="ED9" s="2136">
        <f>Assumptions!AE41</f>
        <v>0</v>
      </c>
      <c r="EE9" s="2137"/>
      <c r="EF9" s="2136">
        <f>ED9</f>
        <v>0</v>
      </c>
    </row>
    <row r="10" spans="1:136">
      <c r="I10" s="2733"/>
      <c r="K10" s="194"/>
      <c r="L10" s="194"/>
      <c r="M10" s="194"/>
      <c r="N10" s="194"/>
      <c r="O10" s="194"/>
      <c r="P10" s="194"/>
      <c r="Q10" s="4334"/>
      <c r="Y10" s="2769"/>
      <c r="AG10" s="2790"/>
      <c r="AO10" s="4375"/>
      <c r="AW10" s="2820"/>
      <c r="AY10" s="4156"/>
      <c r="AZ10" s="4156"/>
      <c r="BA10" s="4156"/>
      <c r="BB10" s="4156"/>
      <c r="BC10" s="4156"/>
      <c r="BD10" s="4156"/>
      <c r="BE10" s="4320"/>
      <c r="BH10" s="1059" t="s">
        <v>7305</v>
      </c>
      <c r="BI10" s="1059" t="s">
        <v>7305</v>
      </c>
      <c r="BJ10" s="1059" t="s">
        <v>3833</v>
      </c>
      <c r="BK10" s="1059" t="s">
        <v>3833</v>
      </c>
    </row>
    <row r="11" spans="1:136">
      <c r="C11" s="1410"/>
      <c r="D11" s="1410"/>
      <c r="E11" s="1410"/>
      <c r="F11" s="1410"/>
      <c r="G11" s="1410"/>
      <c r="H11" s="1410"/>
      <c r="I11" s="2734"/>
      <c r="K11" s="194"/>
      <c r="L11" s="194"/>
      <c r="M11" s="194"/>
      <c r="N11" s="194"/>
      <c r="O11" s="194"/>
      <c r="P11" s="194"/>
      <c r="Q11" s="4334"/>
      <c r="S11" s="1588"/>
      <c r="T11" s="1588"/>
      <c r="U11" s="1588"/>
      <c r="V11" s="1588"/>
      <c r="W11" s="1588"/>
      <c r="X11" s="1588"/>
      <c r="Y11" s="2772"/>
      <c r="AA11" s="1669"/>
      <c r="AB11" s="1669"/>
      <c r="AC11" s="1669"/>
      <c r="AD11" s="1669"/>
      <c r="AE11" s="1669"/>
      <c r="AF11" s="1669"/>
      <c r="AG11" s="2793"/>
      <c r="AI11" s="2088"/>
      <c r="AJ11" s="2088"/>
      <c r="AK11" s="2088"/>
      <c r="AL11" s="2088"/>
      <c r="AM11" s="2088"/>
      <c r="AN11" s="2088"/>
      <c r="AO11" s="4378"/>
      <c r="AQ11" s="2634"/>
      <c r="AR11" s="2634"/>
      <c r="AS11" s="2634"/>
      <c r="AT11" s="2634"/>
      <c r="AU11" s="2634"/>
      <c r="AV11" s="2634"/>
      <c r="AW11" s="2823"/>
      <c r="AY11" s="4156"/>
      <c r="AZ11" s="4156"/>
      <c r="BA11" s="4156"/>
      <c r="BB11" s="4156"/>
      <c r="BC11" s="4156"/>
      <c r="BD11" s="4156"/>
      <c r="BE11" s="4320"/>
      <c r="BH11" s="1058"/>
      <c r="BI11" s="1058"/>
      <c r="BJ11" s="1058"/>
      <c r="BK11" s="1058"/>
      <c r="BV11" s="1011"/>
      <c r="BW11" s="1011"/>
      <c r="BX11" s="1011"/>
      <c r="BY11" s="1011"/>
      <c r="BZ11" s="1011"/>
      <c r="CA11" s="1011"/>
      <c r="CB11" s="1011"/>
      <c r="CD11" s="2186"/>
      <c r="CE11" s="2186"/>
      <c r="CF11" s="2186"/>
      <c r="CG11" s="2186"/>
      <c r="CH11" s="2186"/>
      <c r="CI11" s="2186"/>
      <c r="CJ11" s="2186"/>
      <c r="CL11" s="2160"/>
      <c r="CM11" s="2160"/>
      <c r="CN11" s="2160"/>
      <c r="CO11" s="2160"/>
      <c r="CP11" s="2160"/>
      <c r="CQ11" s="2160"/>
      <c r="CR11" s="2160"/>
      <c r="CT11" s="2137"/>
      <c r="CU11" s="2137"/>
      <c r="CV11" s="2137"/>
      <c r="CW11" s="2137"/>
      <c r="CX11" s="2137"/>
      <c r="CY11" s="2137"/>
      <c r="CZ11" s="2137"/>
      <c r="DB11" s="2160"/>
      <c r="DC11" s="2160"/>
      <c r="DD11" s="2160"/>
      <c r="DE11" s="2160"/>
      <c r="DF11" s="2160"/>
      <c r="DG11" s="2160"/>
      <c r="DH11" s="2160"/>
      <c r="DJ11" s="2137"/>
      <c r="DK11" s="2137"/>
      <c r="DL11" s="2137"/>
      <c r="DM11" s="2137"/>
      <c r="DN11" s="2137"/>
      <c r="DO11" s="2137"/>
      <c r="DP11" s="2137"/>
      <c r="DR11" s="2160"/>
      <c r="DS11" s="2160"/>
      <c r="DT11" s="2160"/>
      <c r="DU11" s="2160"/>
      <c r="DV11" s="2160"/>
      <c r="DW11" s="2160"/>
      <c r="DX11" s="2160"/>
      <c r="DZ11" s="2137"/>
      <c r="EA11" s="2137"/>
      <c r="EB11" s="2137"/>
      <c r="EC11" s="2137"/>
      <c r="ED11" s="2137"/>
      <c r="EE11" s="2137"/>
      <c r="EF11" s="2137"/>
    </row>
    <row r="12" spans="1:136" ht="15.75">
      <c r="A12" s="38" t="s">
        <v>1665</v>
      </c>
      <c r="C12" s="1408" t="s">
        <v>2372</v>
      </c>
      <c r="E12" s="1408" t="s">
        <v>2372</v>
      </c>
      <c r="G12" s="1408" t="s">
        <v>2372</v>
      </c>
      <c r="I12" s="2735" t="s">
        <v>2372</v>
      </c>
      <c r="K12" s="194" t="s">
        <v>2372</v>
      </c>
      <c r="L12" s="194"/>
      <c r="M12" s="194" t="s">
        <v>2372</v>
      </c>
      <c r="N12" s="194"/>
      <c r="O12" s="194" t="s">
        <v>2372</v>
      </c>
      <c r="P12" s="194"/>
      <c r="Q12" s="4334" t="s">
        <v>2372</v>
      </c>
      <c r="S12" s="1586" t="s">
        <v>2372</v>
      </c>
      <c r="U12" s="1586" t="s">
        <v>2372</v>
      </c>
      <c r="W12" s="1586" t="s">
        <v>2372</v>
      </c>
      <c r="Y12" s="2770" t="s">
        <v>2372</v>
      </c>
      <c r="AA12" s="1667" t="s">
        <v>2372</v>
      </c>
      <c r="AC12" s="1667" t="s">
        <v>2372</v>
      </c>
      <c r="AE12" s="1667" t="s">
        <v>2372</v>
      </c>
      <c r="AG12" s="2791" t="s">
        <v>2372</v>
      </c>
      <c r="AI12" s="2086" t="s">
        <v>2372</v>
      </c>
      <c r="AK12" s="2086" t="s">
        <v>2372</v>
      </c>
      <c r="AM12" s="2086" t="s">
        <v>2372</v>
      </c>
      <c r="AO12" s="4376" t="s">
        <v>2372</v>
      </c>
      <c r="AQ12" s="2632" t="s">
        <v>2372</v>
      </c>
      <c r="AS12" s="2632" t="s">
        <v>2372</v>
      </c>
      <c r="AU12" s="2632" t="s">
        <v>2372</v>
      </c>
      <c r="AW12" s="2821" t="s">
        <v>2372</v>
      </c>
      <c r="AY12" s="4156" t="s">
        <v>2372</v>
      </c>
      <c r="AZ12" s="4156"/>
      <c r="BA12" s="4156" t="s">
        <v>2372</v>
      </c>
      <c r="BB12" s="4156"/>
      <c r="BC12" s="4156" t="s">
        <v>2372</v>
      </c>
      <c r="BD12" s="4156"/>
      <c r="BE12" s="4320" t="s">
        <v>2372</v>
      </c>
      <c r="BH12" s="1060" t="s">
        <v>3673</v>
      </c>
      <c r="BI12" s="1060" t="s">
        <v>3673</v>
      </c>
      <c r="BJ12" s="1060" t="s">
        <v>3673</v>
      </c>
      <c r="BK12" s="1060" t="s">
        <v>3673</v>
      </c>
      <c r="BV12" s="1009" t="s">
        <v>2372</v>
      </c>
      <c r="BX12" s="1009" t="s">
        <v>2372</v>
      </c>
      <c r="BZ12" s="1009" t="s">
        <v>2372</v>
      </c>
      <c r="CB12" s="1009" t="s">
        <v>2372</v>
      </c>
      <c r="CD12" s="2184" t="s">
        <v>2372</v>
      </c>
      <c r="CF12" s="2184" t="s">
        <v>2372</v>
      </c>
      <c r="CH12" s="2184" t="s">
        <v>2372</v>
      </c>
      <c r="CJ12" s="2184" t="s">
        <v>2372</v>
      </c>
      <c r="CL12" s="2158" t="s">
        <v>2372</v>
      </c>
      <c r="CN12" s="2158" t="s">
        <v>2372</v>
      </c>
      <c r="CP12" s="2158" t="s">
        <v>2372</v>
      </c>
      <c r="CR12" s="2158" t="s">
        <v>2372</v>
      </c>
      <c r="CT12" s="2135" t="s">
        <v>2372</v>
      </c>
      <c r="CV12" s="2135" t="s">
        <v>2372</v>
      </c>
      <c r="CX12" s="2135" t="s">
        <v>2372</v>
      </c>
      <c r="CZ12" s="2135" t="s">
        <v>2372</v>
      </c>
      <c r="DB12" s="2158" t="s">
        <v>2372</v>
      </c>
      <c r="DD12" s="2158" t="s">
        <v>2372</v>
      </c>
      <c r="DF12" s="2158" t="s">
        <v>2372</v>
      </c>
      <c r="DH12" s="2158" t="s">
        <v>2372</v>
      </c>
      <c r="DJ12" s="2135" t="s">
        <v>2372</v>
      </c>
      <c r="DL12" s="2135" t="s">
        <v>2372</v>
      </c>
      <c r="DN12" s="2135" t="s">
        <v>2372</v>
      </c>
      <c r="DP12" s="2135" t="s">
        <v>2372</v>
      </c>
      <c r="DR12" s="2158" t="s">
        <v>2372</v>
      </c>
      <c r="DT12" s="2158" t="s">
        <v>2372</v>
      </c>
      <c r="DV12" s="2158" t="s">
        <v>2372</v>
      </c>
      <c r="DX12" s="2158" t="s">
        <v>2372</v>
      </c>
      <c r="DZ12" s="2135" t="s">
        <v>2372</v>
      </c>
      <c r="EB12" s="2135" t="s">
        <v>2372</v>
      </c>
      <c r="ED12" s="2135" t="s">
        <v>2372</v>
      </c>
      <c r="EF12" s="2135" t="s">
        <v>2372</v>
      </c>
    </row>
    <row r="13" spans="1:136">
      <c r="A13" t="s">
        <v>499</v>
      </c>
      <c r="C13" s="1411">
        <f>'Data Entry - SOF'!C136+'Data Entry - SOF'!C137</f>
        <v>0</v>
      </c>
      <c r="D13" s="1412"/>
      <c r="E13" s="1411">
        <f>C13</f>
        <v>0</v>
      </c>
      <c r="F13" s="1412"/>
      <c r="G13" s="1411">
        <f>E13</f>
        <v>0</v>
      </c>
      <c r="H13" s="1412"/>
      <c r="I13" s="4321">
        <f>G13</f>
        <v>0</v>
      </c>
      <c r="K13" s="4231">
        <f>'Data Entry - SOF'!C136+'Data Entry - SOF'!C137</f>
        <v>0</v>
      </c>
      <c r="L13" s="4232"/>
      <c r="M13" s="4231">
        <f>K13</f>
        <v>0</v>
      </c>
      <c r="N13" s="4232"/>
      <c r="O13" s="4231">
        <f>M13</f>
        <v>0</v>
      </c>
      <c r="P13" s="4232"/>
      <c r="Q13" s="4336">
        <f>O13</f>
        <v>0</v>
      </c>
      <c r="S13" s="1589">
        <f>'Data Entry - SOF'!C136+'Data Entry - SOF'!C137</f>
        <v>0</v>
      </c>
      <c r="T13" s="1590"/>
      <c r="U13" s="1589">
        <f>S13</f>
        <v>0</v>
      </c>
      <c r="V13" s="1590"/>
      <c r="W13" s="1589">
        <f>U13</f>
        <v>0</v>
      </c>
      <c r="X13" s="1590"/>
      <c r="Y13" s="4344">
        <f>W13</f>
        <v>0</v>
      </c>
      <c r="AA13" s="1670">
        <f>'Data Entry - SOF'!C136+'Data Entry - SOF'!C137</f>
        <v>0</v>
      </c>
      <c r="AB13" s="1671"/>
      <c r="AC13" s="1670">
        <f>AA13</f>
        <v>0</v>
      </c>
      <c r="AD13" s="1671"/>
      <c r="AE13" s="1670">
        <f>AC13</f>
        <v>0</v>
      </c>
      <c r="AF13" s="1671"/>
      <c r="AG13" s="4359">
        <f>AE13</f>
        <v>0</v>
      </c>
      <c r="AI13" s="2089">
        <f>'Data Entry - SOF'!C136+'Data Entry - SOF'!C137</f>
        <v>0</v>
      </c>
      <c r="AJ13" s="2090"/>
      <c r="AK13" s="2089">
        <f>AI13</f>
        <v>0</v>
      </c>
      <c r="AL13" s="2090"/>
      <c r="AM13" s="2089">
        <f>AK13</f>
        <v>0</v>
      </c>
      <c r="AN13" s="2090"/>
      <c r="AO13" s="4379">
        <f>AM13</f>
        <v>0</v>
      </c>
      <c r="AQ13" s="2635">
        <f>'Data Entry - SOF'!C136+'Data Entry - SOF'!C137</f>
        <v>0</v>
      </c>
      <c r="AR13" s="2636"/>
      <c r="AS13" s="2635">
        <f>AQ13</f>
        <v>0</v>
      </c>
      <c r="AT13" s="2636"/>
      <c r="AU13" s="2635">
        <f>AS13</f>
        <v>0</v>
      </c>
      <c r="AV13" s="2636"/>
      <c r="AW13" s="4390">
        <f>AU13</f>
        <v>0</v>
      </c>
      <c r="AY13" s="4196">
        <f>'Data Entry - SOF'!C136+'Data Entry - SOF'!C137</f>
        <v>0</v>
      </c>
      <c r="AZ13" s="4197"/>
      <c r="BA13" s="4196">
        <f>AY13</f>
        <v>0</v>
      </c>
      <c r="BB13" s="4197"/>
      <c r="BC13" s="4196">
        <f>BA13</f>
        <v>0</v>
      </c>
      <c r="BD13" s="4197"/>
      <c r="BE13" s="4397">
        <f>BC13</f>
        <v>0</v>
      </c>
      <c r="BH13" s="1061">
        <f>C13</f>
        <v>0</v>
      </c>
      <c r="BI13" s="1061">
        <f>BH13</f>
        <v>0</v>
      </c>
      <c r="BJ13" s="1061">
        <f>BI13</f>
        <v>0</v>
      </c>
      <c r="BK13" s="1061">
        <f>BJ13</f>
        <v>0</v>
      </c>
      <c r="BV13" s="1012">
        <f>'Data Entry - SOF'!C136+'Data Entry - SOF'!C137</f>
        <v>0</v>
      </c>
      <c r="BW13" s="1013"/>
      <c r="BX13" s="1012">
        <f>BV13</f>
        <v>0</v>
      </c>
      <c r="BY13" s="1013"/>
      <c r="BZ13" s="1012">
        <f>BX13</f>
        <v>0</v>
      </c>
      <c r="CA13" s="1013"/>
      <c r="CB13" s="1012">
        <f>BZ13</f>
        <v>0</v>
      </c>
      <c r="CD13" s="2187">
        <f>'Data Entry - SOF'!C136+'Data Entry - SOF'!C137</f>
        <v>0</v>
      </c>
      <c r="CE13" s="2188"/>
      <c r="CF13" s="2187">
        <f>CD13</f>
        <v>0</v>
      </c>
      <c r="CG13" s="2188"/>
      <c r="CH13" s="2187">
        <f>CF13</f>
        <v>0</v>
      </c>
      <c r="CI13" s="2188"/>
      <c r="CJ13" s="2187">
        <f>CH13</f>
        <v>0</v>
      </c>
      <c r="CL13" s="2161">
        <f>'Data Entry - SOF'!C136+'Data Entry - SOF'!C137</f>
        <v>0</v>
      </c>
      <c r="CM13" s="2162"/>
      <c r="CN13" s="2161">
        <f>CL13</f>
        <v>0</v>
      </c>
      <c r="CO13" s="2162"/>
      <c r="CP13" s="2161">
        <f>CN13</f>
        <v>0</v>
      </c>
      <c r="CQ13" s="2162"/>
      <c r="CR13" s="2161">
        <f>CP13</f>
        <v>0</v>
      </c>
      <c r="CT13" s="1875">
        <f>'Data Entry - SOF'!C136+'Data Entry - SOF'!C137</f>
        <v>0</v>
      </c>
      <c r="CU13" s="2138"/>
      <c r="CV13" s="1875">
        <f>CT13</f>
        <v>0</v>
      </c>
      <c r="CW13" s="2138"/>
      <c r="CX13" s="1875">
        <f>CV13</f>
        <v>0</v>
      </c>
      <c r="CY13" s="2138"/>
      <c r="CZ13" s="1875">
        <f>CX13</f>
        <v>0</v>
      </c>
      <c r="DB13" s="2161">
        <f>'Data Entry - SOF'!C136+'Data Entry - SOF'!C137</f>
        <v>0</v>
      </c>
      <c r="DC13" s="2162"/>
      <c r="DD13" s="2161">
        <f>DB13</f>
        <v>0</v>
      </c>
      <c r="DE13" s="2162"/>
      <c r="DF13" s="2161">
        <f>DD13</f>
        <v>0</v>
      </c>
      <c r="DG13" s="2162"/>
      <c r="DH13" s="2161">
        <f>DF13</f>
        <v>0</v>
      </c>
      <c r="DJ13" s="1875">
        <f>'Data Entry - SOF'!C136+'Data Entry - SOF'!C137</f>
        <v>0</v>
      </c>
      <c r="DK13" s="2138"/>
      <c r="DL13" s="1875">
        <f>DJ13</f>
        <v>0</v>
      </c>
      <c r="DM13" s="2138"/>
      <c r="DN13" s="1875">
        <f>DL13</f>
        <v>0</v>
      </c>
      <c r="DO13" s="2138"/>
      <c r="DP13" s="1875">
        <f>DN13</f>
        <v>0</v>
      </c>
      <c r="DR13" s="2161">
        <f>'Data Entry - SOF'!C136+'Data Entry - SOF'!C137</f>
        <v>0</v>
      </c>
      <c r="DS13" s="2162"/>
      <c r="DT13" s="2161">
        <f>DR13</f>
        <v>0</v>
      </c>
      <c r="DU13" s="2162"/>
      <c r="DV13" s="2161">
        <f>DT13</f>
        <v>0</v>
      </c>
      <c r="DW13" s="2162"/>
      <c r="DX13" s="2161">
        <f>DV13</f>
        <v>0</v>
      </c>
      <c r="DZ13" s="1875">
        <f>'Data Entry - SOF'!C136+'Data Entry - SOF'!C137</f>
        <v>0</v>
      </c>
      <c r="EA13" s="2138"/>
      <c r="EB13" s="1875">
        <f>DZ13</f>
        <v>0</v>
      </c>
      <c r="EC13" s="2138"/>
      <c r="ED13" s="1875">
        <f>EB13</f>
        <v>0</v>
      </c>
      <c r="EE13" s="2138"/>
      <c r="EF13" s="1875">
        <f>ED13</f>
        <v>0</v>
      </c>
    </row>
    <row r="14" spans="1:136">
      <c r="A14" t="s">
        <v>500</v>
      </c>
      <c r="C14" s="1413">
        <f>'Data Entry - SOF'!C138</f>
        <v>0</v>
      </c>
      <c r="D14" s="1414"/>
      <c r="E14" s="1413">
        <f>C14</f>
        <v>0</v>
      </c>
      <c r="F14" s="1414"/>
      <c r="G14" s="1413">
        <f>E14</f>
        <v>0</v>
      </c>
      <c r="H14" s="1414"/>
      <c r="I14" s="4322">
        <f>G14</f>
        <v>0</v>
      </c>
      <c r="K14" s="4233">
        <f>'Data Entry - SOF'!C138</f>
        <v>0</v>
      </c>
      <c r="L14" s="926"/>
      <c r="M14" s="4233">
        <f>K14</f>
        <v>0</v>
      </c>
      <c r="N14" s="926"/>
      <c r="O14" s="4233">
        <f>M14</f>
        <v>0</v>
      </c>
      <c r="P14" s="926"/>
      <c r="Q14" s="4337">
        <f>O14</f>
        <v>0</v>
      </c>
      <c r="S14" s="1591">
        <f>'Data Entry - SOF'!C138</f>
        <v>0</v>
      </c>
      <c r="T14" s="1592"/>
      <c r="U14" s="1591">
        <f>S14</f>
        <v>0</v>
      </c>
      <c r="V14" s="1592"/>
      <c r="W14" s="1591">
        <f>U14</f>
        <v>0</v>
      </c>
      <c r="X14" s="1592"/>
      <c r="Y14" s="4345">
        <f>W14</f>
        <v>0</v>
      </c>
      <c r="AA14" s="1672">
        <f>'Data Entry - SOF'!C138</f>
        <v>0</v>
      </c>
      <c r="AB14" s="1673"/>
      <c r="AC14" s="1672">
        <f>AA14</f>
        <v>0</v>
      </c>
      <c r="AD14" s="1673"/>
      <c r="AE14" s="1672">
        <f>AC14</f>
        <v>0</v>
      </c>
      <c r="AF14" s="1673"/>
      <c r="AG14" s="4360">
        <f>AE14</f>
        <v>0</v>
      </c>
      <c r="AI14" s="2091">
        <f>'Data Entry - SOF'!C138</f>
        <v>0</v>
      </c>
      <c r="AJ14" s="2092"/>
      <c r="AK14" s="2091">
        <f>AI14</f>
        <v>0</v>
      </c>
      <c r="AL14" s="2092"/>
      <c r="AM14" s="2091">
        <f>AK14</f>
        <v>0</v>
      </c>
      <c r="AN14" s="2092"/>
      <c r="AO14" s="4380">
        <f>AM14</f>
        <v>0</v>
      </c>
      <c r="AQ14" s="2637">
        <f>'Data Entry - SOF'!C138</f>
        <v>0</v>
      </c>
      <c r="AR14" s="2638"/>
      <c r="AS14" s="2637">
        <f>AQ14</f>
        <v>0</v>
      </c>
      <c r="AT14" s="2638"/>
      <c r="AU14" s="2637">
        <f>AS14</f>
        <v>0</v>
      </c>
      <c r="AV14" s="2638"/>
      <c r="AW14" s="4391">
        <f>AU14</f>
        <v>0</v>
      </c>
      <c r="AY14" s="4208">
        <f>'Data Entry - SOF'!C138</f>
        <v>0</v>
      </c>
      <c r="AZ14" s="4209"/>
      <c r="BA14" s="4208">
        <f>AY14</f>
        <v>0</v>
      </c>
      <c r="BB14" s="4209"/>
      <c r="BC14" s="4208">
        <f>BA14</f>
        <v>0</v>
      </c>
      <c r="BD14" s="4209"/>
      <c r="BE14" s="4398">
        <f>BC14</f>
        <v>0</v>
      </c>
      <c r="BH14" s="1061">
        <f>C14</f>
        <v>0</v>
      </c>
      <c r="BI14" s="1063">
        <f t="shared" ref="BI14:BI21" si="0">BH14</f>
        <v>0</v>
      </c>
      <c r="BJ14" s="1063">
        <f t="shared" ref="BJ14:BK21" si="1">BI14</f>
        <v>0</v>
      </c>
      <c r="BK14" s="1063">
        <f t="shared" si="1"/>
        <v>0</v>
      </c>
      <c r="BV14" s="1014">
        <f>'Data Entry - SOF'!C138</f>
        <v>0</v>
      </c>
      <c r="BW14" s="1015"/>
      <c r="BX14" s="1014">
        <f>BV14</f>
        <v>0</v>
      </c>
      <c r="BY14" s="1015"/>
      <c r="BZ14" s="1014">
        <f>BX14</f>
        <v>0</v>
      </c>
      <c r="CA14" s="1015"/>
      <c r="CB14" s="1014">
        <f>BZ14</f>
        <v>0</v>
      </c>
      <c r="CD14" s="2189">
        <f>'Data Entry - SOF'!C138</f>
        <v>0</v>
      </c>
      <c r="CE14" s="2190"/>
      <c r="CF14" s="2189">
        <f>CD14</f>
        <v>0</v>
      </c>
      <c r="CG14" s="2190"/>
      <c r="CH14" s="2189">
        <f>CF14</f>
        <v>0</v>
      </c>
      <c r="CI14" s="2190"/>
      <c r="CJ14" s="2189">
        <f>CH14</f>
        <v>0</v>
      </c>
      <c r="CL14" s="2163">
        <f>'Data Entry - SOF'!C138</f>
        <v>0</v>
      </c>
      <c r="CM14" s="2164"/>
      <c r="CN14" s="2163">
        <f>CL14</f>
        <v>0</v>
      </c>
      <c r="CO14" s="2164"/>
      <c r="CP14" s="2163">
        <f>CN14</f>
        <v>0</v>
      </c>
      <c r="CQ14" s="2164"/>
      <c r="CR14" s="2163">
        <f>CP14</f>
        <v>0</v>
      </c>
      <c r="CT14" s="2139">
        <f>'Data Entry - SOF'!C138</f>
        <v>0</v>
      </c>
      <c r="CU14" s="2140"/>
      <c r="CV14" s="2139">
        <f>CT14</f>
        <v>0</v>
      </c>
      <c r="CW14" s="2140"/>
      <c r="CX14" s="2139">
        <f>CV14</f>
        <v>0</v>
      </c>
      <c r="CY14" s="2140"/>
      <c r="CZ14" s="2139">
        <f>CX14</f>
        <v>0</v>
      </c>
      <c r="DB14" s="2163">
        <f>'Data Entry - SOF'!C138</f>
        <v>0</v>
      </c>
      <c r="DC14" s="2164"/>
      <c r="DD14" s="2163">
        <f>DB14</f>
        <v>0</v>
      </c>
      <c r="DE14" s="2164"/>
      <c r="DF14" s="2163">
        <f>DD14</f>
        <v>0</v>
      </c>
      <c r="DG14" s="2164"/>
      <c r="DH14" s="2163">
        <f>DF14</f>
        <v>0</v>
      </c>
      <c r="DJ14" s="2139">
        <f>'Data Entry - SOF'!C138</f>
        <v>0</v>
      </c>
      <c r="DK14" s="2140"/>
      <c r="DL14" s="2139">
        <f>DJ14</f>
        <v>0</v>
      </c>
      <c r="DM14" s="2140"/>
      <c r="DN14" s="2139">
        <f>DL14</f>
        <v>0</v>
      </c>
      <c r="DO14" s="2140"/>
      <c r="DP14" s="2139">
        <f>DN14</f>
        <v>0</v>
      </c>
      <c r="DR14" s="2163">
        <f>'Data Entry - SOF'!C138</f>
        <v>0</v>
      </c>
      <c r="DS14" s="2164"/>
      <c r="DT14" s="2163">
        <f>DR14</f>
        <v>0</v>
      </c>
      <c r="DU14" s="2164"/>
      <c r="DV14" s="2163">
        <f>DT14</f>
        <v>0</v>
      </c>
      <c r="DW14" s="2164"/>
      <c r="DX14" s="2163">
        <f>DV14</f>
        <v>0</v>
      </c>
      <c r="DZ14" s="2139">
        <f>'Data Entry - SOF'!C138</f>
        <v>0</v>
      </c>
      <c r="EA14" s="2140"/>
      <c r="EB14" s="2139">
        <f>DZ14</f>
        <v>0</v>
      </c>
      <c r="EC14" s="2140"/>
      <c r="ED14" s="2139">
        <f>EB14</f>
        <v>0</v>
      </c>
      <c r="EE14" s="2140"/>
      <c r="EF14" s="2139">
        <f>ED14</f>
        <v>0</v>
      </c>
    </row>
    <row r="15" spans="1:136">
      <c r="A15" t="s">
        <v>559</v>
      </c>
      <c r="C15" s="1413" t="e">
        <f>'Ch41 Calc Data'!K17</f>
        <v>#DIV/0!</v>
      </c>
      <c r="D15" s="1414"/>
      <c r="E15" s="1413" t="e">
        <f>C15</f>
        <v>#DIV/0!</v>
      </c>
      <c r="F15" s="1414"/>
      <c r="G15" s="1413" t="e">
        <f>E15</f>
        <v>#DIV/0!</v>
      </c>
      <c r="H15" s="1414"/>
      <c r="I15" s="4322" t="e">
        <f>G15</f>
        <v>#DIV/0!</v>
      </c>
      <c r="K15" s="4233" t="e">
        <f>'Ch41 Calc Data'!L17</f>
        <v>#DIV/0!</v>
      </c>
      <c r="L15" s="926"/>
      <c r="M15" s="4233" t="e">
        <f>K15</f>
        <v>#DIV/0!</v>
      </c>
      <c r="N15" s="926"/>
      <c r="O15" s="4233" t="e">
        <f>M15</f>
        <v>#DIV/0!</v>
      </c>
      <c r="P15" s="926"/>
      <c r="Q15" s="4337" t="e">
        <f>O15</f>
        <v>#DIV/0!</v>
      </c>
      <c r="S15" s="1591" t="e">
        <f>'Ch41 Calc Data'!M17</f>
        <v>#DIV/0!</v>
      </c>
      <c r="T15" s="1592"/>
      <c r="U15" s="1591" t="e">
        <f>S15</f>
        <v>#DIV/0!</v>
      </c>
      <c r="V15" s="1592"/>
      <c r="W15" s="1591" t="e">
        <f>U15</f>
        <v>#DIV/0!</v>
      </c>
      <c r="X15" s="1592"/>
      <c r="Y15" s="4345" t="e">
        <f>W15</f>
        <v>#DIV/0!</v>
      </c>
      <c r="AA15" s="1672" t="e">
        <f>'Ch41 Calc Data'!N17</f>
        <v>#DIV/0!</v>
      </c>
      <c r="AB15" s="1673"/>
      <c r="AC15" s="1672" t="e">
        <f>AA15</f>
        <v>#DIV/0!</v>
      </c>
      <c r="AD15" s="1673"/>
      <c r="AE15" s="1672" t="e">
        <f>AC15</f>
        <v>#DIV/0!</v>
      </c>
      <c r="AF15" s="1673"/>
      <c r="AG15" s="4360" t="e">
        <f>AE15</f>
        <v>#DIV/0!</v>
      </c>
      <c r="AI15" s="2091" t="e">
        <f>'Ch41 Calc Data'!O17</f>
        <v>#DIV/0!</v>
      </c>
      <c r="AJ15" s="2092"/>
      <c r="AK15" s="2091" t="e">
        <f>AI15</f>
        <v>#DIV/0!</v>
      </c>
      <c r="AL15" s="2092"/>
      <c r="AM15" s="2091" t="e">
        <f>AK15</f>
        <v>#DIV/0!</v>
      </c>
      <c r="AN15" s="2092"/>
      <c r="AO15" s="4380" t="e">
        <f>AM15</f>
        <v>#DIV/0!</v>
      </c>
      <c r="AQ15" s="2637" t="e">
        <f>'Ch41 Calc Data'!P17</f>
        <v>#DIV/0!</v>
      </c>
      <c r="AR15" s="2638"/>
      <c r="AS15" s="2637" t="e">
        <f>AQ15</f>
        <v>#DIV/0!</v>
      </c>
      <c r="AT15" s="2638"/>
      <c r="AU15" s="2637" t="e">
        <f>AS15</f>
        <v>#DIV/0!</v>
      </c>
      <c r="AV15" s="2638"/>
      <c r="AW15" s="4391" t="e">
        <f>AU15</f>
        <v>#DIV/0!</v>
      </c>
      <c r="AY15" s="4208" t="e">
        <f>'Ch41 Calc Data'!Q17</f>
        <v>#DIV/0!</v>
      </c>
      <c r="AZ15" s="4209"/>
      <c r="BA15" s="4208" t="e">
        <f>AY15</f>
        <v>#DIV/0!</v>
      </c>
      <c r="BB15" s="4209"/>
      <c r="BC15" s="4208" t="e">
        <f>BA15</f>
        <v>#DIV/0!</v>
      </c>
      <c r="BD15" s="4209"/>
      <c r="BE15" s="4398" t="e">
        <f>BC15</f>
        <v>#DIV/0!</v>
      </c>
      <c r="BH15" s="1063" t="e">
        <f>'SOF1718-SB1'!R44</f>
        <v>#DIV/0!</v>
      </c>
      <c r="BI15" s="1063" t="e">
        <f t="shared" si="0"/>
        <v>#DIV/0!</v>
      </c>
      <c r="BJ15" s="1063" t="e">
        <f t="shared" si="1"/>
        <v>#DIV/0!</v>
      </c>
      <c r="BK15" s="1063" t="e">
        <f t="shared" si="1"/>
        <v>#DIV/0!</v>
      </c>
      <c r="BV15" s="1014" t="e">
        <f>'Ch41 Calc Data'!AA17</f>
        <v>#REF!</v>
      </c>
      <c r="BW15" s="1015"/>
      <c r="BX15" s="1014" t="e">
        <f>BV15</f>
        <v>#REF!</v>
      </c>
      <c r="BY15" s="1015"/>
      <c r="BZ15" s="1014" t="e">
        <f>BX15</f>
        <v>#REF!</v>
      </c>
      <c r="CA15" s="1015"/>
      <c r="CB15" s="1014" t="e">
        <f>BZ15</f>
        <v>#REF!</v>
      </c>
      <c r="CD15" s="2189" t="e">
        <f>'Ch41 Calc Data'!AB17</f>
        <v>#REF!</v>
      </c>
      <c r="CE15" s="2190"/>
      <c r="CF15" s="2189" t="e">
        <f>CD15</f>
        <v>#REF!</v>
      </c>
      <c r="CG15" s="2190"/>
      <c r="CH15" s="2189" t="e">
        <f>CF15</f>
        <v>#REF!</v>
      </c>
      <c r="CI15" s="2190"/>
      <c r="CJ15" s="2189" t="e">
        <f>CH15</f>
        <v>#REF!</v>
      </c>
      <c r="CL15" s="2163" t="e">
        <f>'Ch41 Calc Data'!AC17</f>
        <v>#REF!</v>
      </c>
      <c r="CM15" s="2164"/>
      <c r="CN15" s="2163" t="e">
        <f>CL15</f>
        <v>#REF!</v>
      </c>
      <c r="CO15" s="2164"/>
      <c r="CP15" s="2163" t="e">
        <f>CN15</f>
        <v>#REF!</v>
      </c>
      <c r="CQ15" s="2164"/>
      <c r="CR15" s="2163" t="e">
        <f>CP15</f>
        <v>#REF!</v>
      </c>
      <c r="CT15" s="2139" t="e">
        <f>'Ch41 Calc Data'!AD17</f>
        <v>#REF!</v>
      </c>
      <c r="CU15" s="2140"/>
      <c r="CV15" s="2139" t="e">
        <f>CT15</f>
        <v>#REF!</v>
      </c>
      <c r="CW15" s="2140"/>
      <c r="CX15" s="2139" t="e">
        <f>CV15</f>
        <v>#REF!</v>
      </c>
      <c r="CY15" s="2140"/>
      <c r="CZ15" s="2139" t="e">
        <f>CX15</f>
        <v>#REF!</v>
      </c>
      <c r="DB15" s="2163" t="e">
        <f>'Ch41 Calc Data'!AE17</f>
        <v>#DIV/0!</v>
      </c>
      <c r="DC15" s="2164"/>
      <c r="DD15" s="2163" t="e">
        <f>DB15</f>
        <v>#DIV/0!</v>
      </c>
      <c r="DE15" s="2164"/>
      <c r="DF15" s="2163" t="e">
        <f>DD15</f>
        <v>#DIV/0!</v>
      </c>
      <c r="DG15" s="2164"/>
      <c r="DH15" s="2163" t="e">
        <f>DF15</f>
        <v>#DIV/0!</v>
      </c>
      <c r="DJ15" s="2139" t="e">
        <f>'Ch41 Calc Data'!AF17</f>
        <v>#DIV/0!</v>
      </c>
      <c r="DK15" s="2140"/>
      <c r="DL15" s="2139" t="e">
        <f>DJ15</f>
        <v>#DIV/0!</v>
      </c>
      <c r="DM15" s="2140"/>
      <c r="DN15" s="2139" t="e">
        <f>DL15</f>
        <v>#DIV/0!</v>
      </c>
      <c r="DO15" s="2140"/>
      <c r="DP15" s="2139" t="e">
        <f>DN15</f>
        <v>#DIV/0!</v>
      </c>
      <c r="DR15" s="2163" t="e">
        <f>'Ch41 Calc Data'!AG17</f>
        <v>#DIV/0!</v>
      </c>
      <c r="DS15" s="2164"/>
      <c r="DT15" s="2163" t="e">
        <f>DR15</f>
        <v>#DIV/0!</v>
      </c>
      <c r="DU15" s="2164"/>
      <c r="DV15" s="2163" t="e">
        <f>DT15</f>
        <v>#DIV/0!</v>
      </c>
      <c r="DW15" s="2164"/>
      <c r="DX15" s="2163" t="e">
        <f>DV15</f>
        <v>#DIV/0!</v>
      </c>
      <c r="DZ15" s="2139" t="e">
        <f>'Ch41 Calc Data'!AH17</f>
        <v>#DIV/0!</v>
      </c>
      <c r="EA15" s="2140"/>
      <c r="EB15" s="2139" t="e">
        <f>DZ15</f>
        <v>#DIV/0!</v>
      </c>
      <c r="EC15" s="2140"/>
      <c r="ED15" s="2139" t="e">
        <f>EB15</f>
        <v>#DIV/0!</v>
      </c>
      <c r="EE15" s="2140"/>
      <c r="EF15" s="2139" t="e">
        <f>ED15</f>
        <v>#DIV/0!</v>
      </c>
    </row>
    <row r="16" spans="1:136">
      <c r="A16" t="s">
        <v>560</v>
      </c>
      <c r="C16" s="1413">
        <f>IF(C14=0,0,C15/C14)</f>
        <v>0</v>
      </c>
      <c r="D16" s="1414"/>
      <c r="E16" s="1413">
        <f>IF(E14=0,0,E15/E14)</f>
        <v>0</v>
      </c>
      <c r="F16" s="1414"/>
      <c r="G16" s="1413">
        <f>IF(G14=0,0,G15/G14)</f>
        <v>0</v>
      </c>
      <c r="H16" s="1414"/>
      <c r="I16" s="4322">
        <f>IF(I14=0,0,I15/I14)</f>
        <v>0</v>
      </c>
      <c r="K16" s="4233">
        <f>IF(K14=0,0,K15/K14)</f>
        <v>0</v>
      </c>
      <c r="L16" s="926"/>
      <c r="M16" s="4233">
        <f>IF(M14=0,0,M15/M14)</f>
        <v>0</v>
      </c>
      <c r="N16" s="926"/>
      <c r="O16" s="4233">
        <f>IF(O14=0,0,O15/O14)</f>
        <v>0</v>
      </c>
      <c r="P16" s="926"/>
      <c r="Q16" s="4337">
        <f>IF(Q14=0,0,Q15/Q14)</f>
        <v>0</v>
      </c>
      <c r="S16" s="1591">
        <f>IF(S14=0,0,S15/S14)</f>
        <v>0</v>
      </c>
      <c r="T16" s="1592"/>
      <c r="U16" s="1591">
        <f>IF(U14=0,0,U15/U14)</f>
        <v>0</v>
      </c>
      <c r="V16" s="1592"/>
      <c r="W16" s="1591">
        <f>IF(W14=0,0,W15/W14)</f>
        <v>0</v>
      </c>
      <c r="X16" s="1592"/>
      <c r="Y16" s="4345">
        <f>IF(Y14=0,0,Y15/Y14)</f>
        <v>0</v>
      </c>
      <c r="AA16" s="1672">
        <f>IF(AA14=0,0,AA15/AA14)</f>
        <v>0</v>
      </c>
      <c r="AB16" s="1673"/>
      <c r="AC16" s="1672">
        <f>IF(AC14=0,0,AC15/AC14)</f>
        <v>0</v>
      </c>
      <c r="AD16" s="1673"/>
      <c r="AE16" s="1672">
        <f>IF(AE14=0,0,AE15/AE14)</f>
        <v>0</v>
      </c>
      <c r="AF16" s="1673"/>
      <c r="AG16" s="4360">
        <f>IF(AG14=0,0,AG15/AG14)</f>
        <v>0</v>
      </c>
      <c r="AI16" s="2091">
        <f>IF(AI14=0,0,AI15/AI14)</f>
        <v>0</v>
      </c>
      <c r="AJ16" s="2092"/>
      <c r="AK16" s="2091">
        <f>IF(AK14=0,0,AK15/AK14)</f>
        <v>0</v>
      </c>
      <c r="AL16" s="2092"/>
      <c r="AM16" s="2091">
        <f>IF(AM14=0,0,AM15/AM14)</f>
        <v>0</v>
      </c>
      <c r="AN16" s="2092"/>
      <c r="AO16" s="4380">
        <f>IF(AO14=0,0,AO15/AO14)</f>
        <v>0</v>
      </c>
      <c r="AQ16" s="2637">
        <f>IF(AQ14=0,0,AQ15/AQ14)</f>
        <v>0</v>
      </c>
      <c r="AR16" s="2638"/>
      <c r="AS16" s="2637">
        <f>IF(AS14=0,0,AS15/AS14)</f>
        <v>0</v>
      </c>
      <c r="AT16" s="2638"/>
      <c r="AU16" s="2637">
        <f>IF(AU14=0,0,AU15/AU14)</f>
        <v>0</v>
      </c>
      <c r="AV16" s="2638"/>
      <c r="AW16" s="4391">
        <f>IF(AW14=0,0,AW15/AW14)</f>
        <v>0</v>
      </c>
      <c r="AY16" s="4208">
        <f>IF(AY14=0,0,AY15/AY14)</f>
        <v>0</v>
      </c>
      <c r="AZ16" s="4209"/>
      <c r="BA16" s="4208">
        <f>IF(BA14=0,0,BA15/BA14)</f>
        <v>0</v>
      </c>
      <c r="BB16" s="4209"/>
      <c r="BC16" s="4208">
        <f>IF(BC14=0,0,BC15/BC14)</f>
        <v>0</v>
      </c>
      <c r="BD16" s="4209"/>
      <c r="BE16" s="4398">
        <f>IF(BE14=0,0,BE15/BE14)</f>
        <v>0</v>
      </c>
      <c r="BH16" s="1181">
        <f>IF(BH14=0,0,BH15/BH14)</f>
        <v>0</v>
      </c>
      <c r="BI16" s="1063">
        <f t="shared" si="0"/>
        <v>0</v>
      </c>
      <c r="BJ16" s="1063">
        <f t="shared" si="1"/>
        <v>0</v>
      </c>
      <c r="BK16" s="1063">
        <f t="shared" si="1"/>
        <v>0</v>
      </c>
      <c r="BV16" s="1014">
        <f>IF(BV14=0,0,BV15/BV14)</f>
        <v>0</v>
      </c>
      <c r="BW16" s="1015"/>
      <c r="BX16" s="1014">
        <f>IF(BX14=0,0,BX15/BX14)</f>
        <v>0</v>
      </c>
      <c r="BY16" s="1015"/>
      <c r="BZ16" s="1014">
        <f>IF(BZ14=0,0,BZ15/BZ14)</f>
        <v>0</v>
      </c>
      <c r="CA16" s="1015"/>
      <c r="CB16" s="1014">
        <f>IF(CB14=0,0,CB15/CB14)</f>
        <v>0</v>
      </c>
      <c r="CD16" s="2189">
        <f>IF(CD14=0,0,CD15/CD14)</f>
        <v>0</v>
      </c>
      <c r="CE16" s="2190"/>
      <c r="CF16" s="2189">
        <f>IF(CF14=0,0,CF15/CF14)</f>
        <v>0</v>
      </c>
      <c r="CG16" s="2190"/>
      <c r="CH16" s="2189">
        <f>IF(CH14=0,0,CH15/CH14)</f>
        <v>0</v>
      </c>
      <c r="CI16" s="2190"/>
      <c r="CJ16" s="2189">
        <f>IF(CJ14=0,0,CJ15/CJ14)</f>
        <v>0</v>
      </c>
      <c r="CL16" s="2163">
        <f>IF(CL14=0,0,CL15/CL14)</f>
        <v>0</v>
      </c>
      <c r="CM16" s="2164"/>
      <c r="CN16" s="2163">
        <f>IF(CN14=0,0,CN15/CN14)</f>
        <v>0</v>
      </c>
      <c r="CO16" s="2164"/>
      <c r="CP16" s="2163">
        <f>IF(CP14=0,0,CP15/CP14)</f>
        <v>0</v>
      </c>
      <c r="CQ16" s="2164"/>
      <c r="CR16" s="2163">
        <f>IF(CR14=0,0,CR15/CR14)</f>
        <v>0</v>
      </c>
      <c r="CT16" s="2139">
        <f>IF(CT14=0,0,CT15/CT14)</f>
        <v>0</v>
      </c>
      <c r="CU16" s="2140"/>
      <c r="CV16" s="2139">
        <f>IF(CV14=0,0,CV15/CV14)</f>
        <v>0</v>
      </c>
      <c r="CW16" s="2140"/>
      <c r="CX16" s="2139">
        <f>IF(CX14=0,0,CX15/CX14)</f>
        <v>0</v>
      </c>
      <c r="CY16" s="2140"/>
      <c r="CZ16" s="2139">
        <f>IF(CZ14=0,0,CZ15/CZ14)</f>
        <v>0</v>
      </c>
      <c r="DB16" s="2163">
        <f>IF(DB14=0,0,DB15/DB14)</f>
        <v>0</v>
      </c>
      <c r="DC16" s="2164"/>
      <c r="DD16" s="2163">
        <f>IF(DD14=0,0,DD15/DD14)</f>
        <v>0</v>
      </c>
      <c r="DE16" s="2164"/>
      <c r="DF16" s="2163">
        <f>IF(DF14=0,0,DF15/DF14)</f>
        <v>0</v>
      </c>
      <c r="DG16" s="2164"/>
      <c r="DH16" s="2163">
        <f>IF(DH14=0,0,DH15/DH14)</f>
        <v>0</v>
      </c>
      <c r="DJ16" s="2139">
        <f>IF(DJ14=0,0,DJ15/DJ14)</f>
        <v>0</v>
      </c>
      <c r="DK16" s="2140"/>
      <c r="DL16" s="2139">
        <f>IF(DL14=0,0,DL15/DL14)</f>
        <v>0</v>
      </c>
      <c r="DM16" s="2140"/>
      <c r="DN16" s="2139">
        <f>IF(DN14=0,0,DN15/DN14)</f>
        <v>0</v>
      </c>
      <c r="DO16" s="2140"/>
      <c r="DP16" s="2139">
        <f>IF(DP14=0,0,DP15/DP14)</f>
        <v>0</v>
      </c>
      <c r="DR16" s="2163">
        <f>IF(DR14=0,0,DR15/DR14)</f>
        <v>0</v>
      </c>
      <c r="DS16" s="2164"/>
      <c r="DT16" s="2163">
        <f>IF(DT14=0,0,DT15/DT14)</f>
        <v>0</v>
      </c>
      <c r="DU16" s="2164"/>
      <c r="DV16" s="2163">
        <f>IF(DV14=0,0,DV15/DV14)</f>
        <v>0</v>
      </c>
      <c r="DW16" s="2164"/>
      <c r="DX16" s="2163">
        <f>IF(DX14=0,0,DX15/DX14)</f>
        <v>0</v>
      </c>
      <c r="DZ16" s="2139">
        <f>IF(DZ14=0,0,DZ15/DZ14)</f>
        <v>0</v>
      </c>
      <c r="EA16" s="2140"/>
      <c r="EB16" s="2139">
        <f>IF(EB14=0,0,EB15/EB14)</f>
        <v>0</v>
      </c>
      <c r="EC16" s="2140"/>
      <c r="ED16" s="2139">
        <f>IF(ED14=0,0,ED15/ED14)</f>
        <v>0</v>
      </c>
      <c r="EE16" s="2140"/>
      <c r="EF16" s="2139">
        <f>IF(EF14=0,0,EF15/EF14)</f>
        <v>0</v>
      </c>
    </row>
    <row r="17" spans="1:136">
      <c r="A17" t="s">
        <v>2478</v>
      </c>
      <c r="C17" s="1411">
        <f>C13*C16</f>
        <v>0</v>
      </c>
      <c r="D17" s="1412"/>
      <c r="E17" s="1411">
        <f>E13*E16</f>
        <v>0</v>
      </c>
      <c r="F17" s="1412"/>
      <c r="G17" s="1411">
        <f>G13*G16</f>
        <v>0</v>
      </c>
      <c r="H17" s="1412"/>
      <c r="I17" s="4321">
        <f>I13*I16</f>
        <v>0</v>
      </c>
      <c r="K17" s="4234">
        <f>K13*K16</f>
        <v>0</v>
      </c>
      <c r="L17" s="4235"/>
      <c r="M17" s="4234">
        <f>M13*M16</f>
        <v>0</v>
      </c>
      <c r="N17" s="4235"/>
      <c r="O17" s="4234">
        <f>O13*O16</f>
        <v>0</v>
      </c>
      <c r="P17" s="4235"/>
      <c r="Q17" s="4338">
        <f>Q13*Q16</f>
        <v>0</v>
      </c>
      <c r="S17" s="1589">
        <f>S13*S16</f>
        <v>0</v>
      </c>
      <c r="T17" s="1590"/>
      <c r="U17" s="1589">
        <f>U13*U16</f>
        <v>0</v>
      </c>
      <c r="V17" s="1590"/>
      <c r="W17" s="1589">
        <f>W13*W16</f>
        <v>0</v>
      </c>
      <c r="X17" s="1590"/>
      <c r="Y17" s="4344">
        <f>Y13*Y16</f>
        <v>0</v>
      </c>
      <c r="AA17" s="1670">
        <f>AA13*AA16</f>
        <v>0</v>
      </c>
      <c r="AB17" s="1671"/>
      <c r="AC17" s="1670">
        <f>AC13*AC16</f>
        <v>0</v>
      </c>
      <c r="AD17" s="1671"/>
      <c r="AE17" s="1670">
        <f>AE13*AE16</f>
        <v>0</v>
      </c>
      <c r="AF17" s="1671"/>
      <c r="AG17" s="4359">
        <f>AG13*AG16</f>
        <v>0</v>
      </c>
      <c r="AI17" s="2089">
        <f>AI13*AI16</f>
        <v>0</v>
      </c>
      <c r="AJ17" s="2090"/>
      <c r="AK17" s="2089">
        <f>AK13*AK16</f>
        <v>0</v>
      </c>
      <c r="AL17" s="2090"/>
      <c r="AM17" s="2089">
        <f>AM13*AM16</f>
        <v>0</v>
      </c>
      <c r="AN17" s="2090"/>
      <c r="AO17" s="4379">
        <f>AO13*AO16</f>
        <v>0</v>
      </c>
      <c r="AQ17" s="2635">
        <f>AQ13*AQ16</f>
        <v>0</v>
      </c>
      <c r="AR17" s="2636"/>
      <c r="AS17" s="2635">
        <f>AS13*AS16</f>
        <v>0</v>
      </c>
      <c r="AT17" s="2636"/>
      <c r="AU17" s="2635">
        <f>AU13*AU16</f>
        <v>0</v>
      </c>
      <c r="AV17" s="2636"/>
      <c r="AW17" s="4390">
        <f>AW13*AW16</f>
        <v>0</v>
      </c>
      <c r="AY17" s="4180">
        <f>AY13*AY16</f>
        <v>0</v>
      </c>
      <c r="AZ17" s="4181"/>
      <c r="BA17" s="4180">
        <f>BA13*BA16</f>
        <v>0</v>
      </c>
      <c r="BB17" s="4181"/>
      <c r="BC17" s="4180">
        <f>BC13*BC16</f>
        <v>0</v>
      </c>
      <c r="BD17" s="4181"/>
      <c r="BE17" s="4399">
        <f>BE13*BE16</f>
        <v>0</v>
      </c>
      <c r="BH17" s="1182">
        <f>BH13*BH16</f>
        <v>0</v>
      </c>
      <c r="BI17" s="1061">
        <f t="shared" si="0"/>
        <v>0</v>
      </c>
      <c r="BJ17" s="1061">
        <f t="shared" si="1"/>
        <v>0</v>
      </c>
      <c r="BK17" s="1061">
        <f t="shared" si="1"/>
        <v>0</v>
      </c>
      <c r="BV17" s="1012">
        <f>BV13*BV16</f>
        <v>0</v>
      </c>
      <c r="BW17" s="1013"/>
      <c r="BX17" s="1012">
        <f>BX13*BX16</f>
        <v>0</v>
      </c>
      <c r="BY17" s="1013"/>
      <c r="BZ17" s="1012">
        <f>BZ13*BZ16</f>
        <v>0</v>
      </c>
      <c r="CA17" s="1013"/>
      <c r="CB17" s="1012">
        <f>CB13*CB16</f>
        <v>0</v>
      </c>
      <c r="CD17" s="2187">
        <f>CD13*CD16</f>
        <v>0</v>
      </c>
      <c r="CE17" s="2188"/>
      <c r="CF17" s="2187">
        <f>CF13*CF16</f>
        <v>0</v>
      </c>
      <c r="CG17" s="2188"/>
      <c r="CH17" s="2187">
        <f>CH13*CH16</f>
        <v>0</v>
      </c>
      <c r="CI17" s="2188"/>
      <c r="CJ17" s="2187">
        <f>CJ13*CJ16</f>
        <v>0</v>
      </c>
      <c r="CL17" s="2161">
        <f>CL13*CL16</f>
        <v>0</v>
      </c>
      <c r="CM17" s="2162"/>
      <c r="CN17" s="2161">
        <f>CN13*CN16</f>
        <v>0</v>
      </c>
      <c r="CO17" s="2162"/>
      <c r="CP17" s="2161">
        <f>CP13*CP16</f>
        <v>0</v>
      </c>
      <c r="CQ17" s="2162"/>
      <c r="CR17" s="2161">
        <f>CR13*CR16</f>
        <v>0</v>
      </c>
      <c r="CT17" s="1875">
        <f>CT13*CT16</f>
        <v>0</v>
      </c>
      <c r="CU17" s="2138"/>
      <c r="CV17" s="1875">
        <f>CV13*CV16</f>
        <v>0</v>
      </c>
      <c r="CW17" s="2138"/>
      <c r="CX17" s="1875">
        <f>CX13*CX16</f>
        <v>0</v>
      </c>
      <c r="CY17" s="2138"/>
      <c r="CZ17" s="1875">
        <f>CZ13*CZ16</f>
        <v>0</v>
      </c>
      <c r="DB17" s="2161">
        <f>DB13*DB16</f>
        <v>0</v>
      </c>
      <c r="DC17" s="2162"/>
      <c r="DD17" s="2161">
        <f>DD13*DD16</f>
        <v>0</v>
      </c>
      <c r="DE17" s="2162"/>
      <c r="DF17" s="2161">
        <f>DF13*DF16</f>
        <v>0</v>
      </c>
      <c r="DG17" s="2162"/>
      <c r="DH17" s="2161">
        <f>DH13*DH16</f>
        <v>0</v>
      </c>
      <c r="DJ17" s="1875">
        <f>DJ13*DJ16</f>
        <v>0</v>
      </c>
      <c r="DK17" s="2138"/>
      <c r="DL17" s="1875">
        <f>DL13*DL16</f>
        <v>0</v>
      </c>
      <c r="DM17" s="2138"/>
      <c r="DN17" s="1875">
        <f>DN13*DN16</f>
        <v>0</v>
      </c>
      <c r="DO17" s="2138"/>
      <c r="DP17" s="1875">
        <f>DP13*DP16</f>
        <v>0</v>
      </c>
      <c r="DR17" s="2161">
        <f>DR13*DR16</f>
        <v>0</v>
      </c>
      <c r="DS17" s="2162"/>
      <c r="DT17" s="2161">
        <f>DT13*DT16</f>
        <v>0</v>
      </c>
      <c r="DU17" s="2162"/>
      <c r="DV17" s="2161">
        <f>DV13*DV16</f>
        <v>0</v>
      </c>
      <c r="DW17" s="2162"/>
      <c r="DX17" s="2161">
        <f>DX13*DX16</f>
        <v>0</v>
      </c>
      <c r="DZ17" s="1875">
        <f>DZ13*DZ16</f>
        <v>0</v>
      </c>
      <c r="EA17" s="2138"/>
      <c r="EB17" s="1875">
        <f>EB13*EB16</f>
        <v>0</v>
      </c>
      <c r="EC17" s="2138"/>
      <c r="ED17" s="1875">
        <f>ED13*ED16</f>
        <v>0</v>
      </c>
      <c r="EE17" s="2138"/>
      <c r="EF17" s="1875">
        <f>EF13*EF16</f>
        <v>0</v>
      </c>
    </row>
    <row r="18" spans="1:136">
      <c r="A18" t="s">
        <v>558</v>
      </c>
      <c r="C18" s="1411">
        <f>'SOF1617-SB1'!F77</f>
        <v>0</v>
      </c>
      <c r="D18" s="1412"/>
      <c r="E18" s="1411">
        <f>C18</f>
        <v>0</v>
      </c>
      <c r="F18" s="1412"/>
      <c r="G18" s="1411">
        <f>E18</f>
        <v>0</v>
      </c>
      <c r="H18" s="1412"/>
      <c r="I18" s="4321">
        <f>G18</f>
        <v>0</v>
      </c>
      <c r="K18" s="4234">
        <f>'SOF1718-SB1'!F76</f>
        <v>0</v>
      </c>
      <c r="L18" s="4235"/>
      <c r="M18" s="4234">
        <f>K18</f>
        <v>0</v>
      </c>
      <c r="N18" s="4235"/>
      <c r="O18" s="4234">
        <f>M18</f>
        <v>0</v>
      </c>
      <c r="P18" s="4235"/>
      <c r="Q18" s="4338">
        <f>O18</f>
        <v>0</v>
      </c>
      <c r="S18" s="1589">
        <f>'SOF1819-SB1'!F76</f>
        <v>0</v>
      </c>
      <c r="T18" s="1590"/>
      <c r="U18" s="1589">
        <f>S18</f>
        <v>0</v>
      </c>
      <c r="V18" s="1590"/>
      <c r="W18" s="1589">
        <f>U18</f>
        <v>0</v>
      </c>
      <c r="X18" s="1590"/>
      <c r="Y18" s="4344">
        <f>W18</f>
        <v>0</v>
      </c>
      <c r="AA18" s="1670">
        <f>'SOF1920-SB1'!F76</f>
        <v>0</v>
      </c>
      <c r="AB18" s="1671"/>
      <c r="AC18" s="1670">
        <f>AA18</f>
        <v>0</v>
      </c>
      <c r="AD18" s="1671"/>
      <c r="AE18" s="1670">
        <f>AC18</f>
        <v>0</v>
      </c>
      <c r="AF18" s="1671"/>
      <c r="AG18" s="4359">
        <f>AE18</f>
        <v>0</v>
      </c>
      <c r="AI18" s="2089">
        <f>'SOF2021-SB1'!F76</f>
        <v>0</v>
      </c>
      <c r="AJ18" s="2090"/>
      <c r="AK18" s="2089">
        <f>AI18</f>
        <v>0</v>
      </c>
      <c r="AL18" s="2090"/>
      <c r="AM18" s="2089">
        <f>AK18</f>
        <v>0</v>
      </c>
      <c r="AN18" s="2090"/>
      <c r="AO18" s="4379">
        <f>AM18</f>
        <v>0</v>
      </c>
      <c r="AQ18" s="2635">
        <f>'SOF2122-SB1'!F76</f>
        <v>0</v>
      </c>
      <c r="AR18" s="2636"/>
      <c r="AS18" s="2635">
        <f>AQ18</f>
        <v>0</v>
      </c>
      <c r="AT18" s="2636"/>
      <c r="AU18" s="2635">
        <f>AS18</f>
        <v>0</v>
      </c>
      <c r="AV18" s="2636"/>
      <c r="AW18" s="4390">
        <f>AU18</f>
        <v>0</v>
      </c>
      <c r="AY18" s="4180">
        <f>'SOF2223-SB1'!F76</f>
        <v>0</v>
      </c>
      <c r="AZ18" s="4181"/>
      <c r="BA18" s="4180">
        <f>AY18</f>
        <v>0</v>
      </c>
      <c r="BB18" s="4181"/>
      <c r="BC18" s="4180">
        <f>BA18</f>
        <v>0</v>
      </c>
      <c r="BD18" s="4181"/>
      <c r="BE18" s="4399">
        <f>BC18</f>
        <v>0</v>
      </c>
      <c r="BH18" s="1182">
        <f>'SOF1617-SB1'!F77</f>
        <v>0</v>
      </c>
      <c r="BI18" s="1061">
        <f t="shared" si="0"/>
        <v>0</v>
      </c>
      <c r="BJ18" s="1061">
        <f t="shared" si="1"/>
        <v>0</v>
      </c>
      <c r="BK18" s="1061">
        <f t="shared" si="1"/>
        <v>0</v>
      </c>
      <c r="BV18" s="1012" t="e">
        <f>#REF!</f>
        <v>#REF!</v>
      </c>
      <c r="BW18" s="1013"/>
      <c r="BX18" s="1012" t="e">
        <f>BV18</f>
        <v>#REF!</v>
      </c>
      <c r="BY18" s="1013"/>
      <c r="BZ18" s="1012" t="e">
        <f>BX18</f>
        <v>#REF!</v>
      </c>
      <c r="CA18" s="1013"/>
      <c r="CB18" s="1012" t="e">
        <f>BZ18</f>
        <v>#REF!</v>
      </c>
      <c r="CD18" s="2187" t="e">
        <f>#REF!</f>
        <v>#REF!</v>
      </c>
      <c r="CE18" s="2188"/>
      <c r="CF18" s="2187" t="e">
        <f>CD18</f>
        <v>#REF!</v>
      </c>
      <c r="CG18" s="2188"/>
      <c r="CH18" s="2187" t="e">
        <f>CF18</f>
        <v>#REF!</v>
      </c>
      <c r="CI18" s="2188"/>
      <c r="CJ18" s="2187" t="e">
        <f>CH18</f>
        <v>#REF!</v>
      </c>
      <c r="CL18" s="2161" t="e">
        <f>#REF!</f>
        <v>#REF!</v>
      </c>
      <c r="CM18" s="2162"/>
      <c r="CN18" s="2161" t="e">
        <f>CL18</f>
        <v>#REF!</v>
      </c>
      <c r="CO18" s="2162"/>
      <c r="CP18" s="2161" t="e">
        <f>CN18</f>
        <v>#REF!</v>
      </c>
      <c r="CQ18" s="2162"/>
      <c r="CR18" s="2161" t="e">
        <f>CP18</f>
        <v>#REF!</v>
      </c>
      <c r="CT18" s="1875" t="e">
        <f>#REF!</f>
        <v>#REF!</v>
      </c>
      <c r="CU18" s="2138"/>
      <c r="CV18" s="1875" t="e">
        <f>CT18</f>
        <v>#REF!</v>
      </c>
      <c r="CW18" s="2138"/>
      <c r="CX18" s="1875" t="e">
        <f>CV18</f>
        <v>#REF!</v>
      </c>
      <c r="CY18" s="2138"/>
      <c r="CZ18" s="1875" t="e">
        <f>CX18</f>
        <v>#REF!</v>
      </c>
      <c r="DB18" s="2161">
        <f>'SOF1617-HB3646'!F77</f>
        <v>0</v>
      </c>
      <c r="DC18" s="2162"/>
      <c r="DD18" s="2161">
        <f>DB18</f>
        <v>0</v>
      </c>
      <c r="DE18" s="2162"/>
      <c r="DF18" s="2161">
        <f>DD18</f>
        <v>0</v>
      </c>
      <c r="DG18" s="2162"/>
      <c r="DH18" s="2161">
        <f>DF18</f>
        <v>0</v>
      </c>
      <c r="DJ18" s="1875">
        <f>'SOF1617-HB3646'!G77</f>
        <v>0</v>
      </c>
      <c r="DK18" s="2138"/>
      <c r="DL18" s="1875">
        <f>DJ18</f>
        <v>0</v>
      </c>
      <c r="DM18" s="2138"/>
      <c r="DN18" s="1875">
        <f>DL18</f>
        <v>0</v>
      </c>
      <c r="DO18" s="2138"/>
      <c r="DP18" s="1875">
        <f>DN18</f>
        <v>0</v>
      </c>
      <c r="DR18" s="2161">
        <f>'SOF1718-HB3646'!F77</f>
        <v>0</v>
      </c>
      <c r="DS18" s="2162"/>
      <c r="DT18" s="2161">
        <f>DR18</f>
        <v>0</v>
      </c>
      <c r="DU18" s="2162"/>
      <c r="DV18" s="2161">
        <f>DT18</f>
        <v>0</v>
      </c>
      <c r="DW18" s="2162"/>
      <c r="DX18" s="2161">
        <f>DV18</f>
        <v>0</v>
      </c>
      <c r="DZ18" s="1875">
        <f>'SOF1819-HB3646'!F77</f>
        <v>0</v>
      </c>
      <c r="EA18" s="2138"/>
      <c r="EB18" s="1875">
        <f>DZ18</f>
        <v>0</v>
      </c>
      <c r="EC18" s="2138"/>
      <c r="ED18" s="1875">
        <f>EB18</f>
        <v>0</v>
      </c>
      <c r="EE18" s="2138"/>
      <c r="EF18" s="1875">
        <f>ED18</f>
        <v>0</v>
      </c>
    </row>
    <row r="19" spans="1:136">
      <c r="A19" t="s">
        <v>2479</v>
      </c>
      <c r="C19" s="1411">
        <f>C17-C18</f>
        <v>0</v>
      </c>
      <c r="D19" s="1412"/>
      <c r="E19" s="1411">
        <f>E17-E18</f>
        <v>0</v>
      </c>
      <c r="F19" s="1412"/>
      <c r="G19" s="1411">
        <f>G17-G18</f>
        <v>0</v>
      </c>
      <c r="H19" s="1412"/>
      <c r="I19" s="4321">
        <f>I17-I18</f>
        <v>0</v>
      </c>
      <c r="K19" s="4234">
        <f>K17-K18</f>
        <v>0</v>
      </c>
      <c r="L19" s="4235"/>
      <c r="M19" s="4234">
        <f>M17-M18</f>
        <v>0</v>
      </c>
      <c r="N19" s="4235"/>
      <c r="O19" s="4234">
        <f>O17-O18</f>
        <v>0</v>
      </c>
      <c r="P19" s="4235"/>
      <c r="Q19" s="4338">
        <f>Q17-Q18</f>
        <v>0</v>
      </c>
      <c r="S19" s="1589">
        <f>S17-S18</f>
        <v>0</v>
      </c>
      <c r="T19" s="1590"/>
      <c r="U19" s="1589">
        <f>U17-U18</f>
        <v>0</v>
      </c>
      <c r="V19" s="1590"/>
      <c r="W19" s="1589">
        <f>W17-W18</f>
        <v>0</v>
      </c>
      <c r="X19" s="1590"/>
      <c r="Y19" s="4344">
        <f>Y17-Y18</f>
        <v>0</v>
      </c>
      <c r="AA19" s="1670">
        <f>AA17-AA18</f>
        <v>0</v>
      </c>
      <c r="AB19" s="1671"/>
      <c r="AC19" s="1670">
        <f>AC17-AC18</f>
        <v>0</v>
      </c>
      <c r="AD19" s="1671"/>
      <c r="AE19" s="1670">
        <f>AE17-AE18</f>
        <v>0</v>
      </c>
      <c r="AF19" s="1671"/>
      <c r="AG19" s="4359">
        <f>AG17-AG18</f>
        <v>0</v>
      </c>
      <c r="AI19" s="2089">
        <f>AI17-AI18</f>
        <v>0</v>
      </c>
      <c r="AJ19" s="2090"/>
      <c r="AK19" s="2089">
        <f>AK17-AK18</f>
        <v>0</v>
      </c>
      <c r="AL19" s="2090"/>
      <c r="AM19" s="2089">
        <f>AM17-AM18</f>
        <v>0</v>
      </c>
      <c r="AN19" s="2090"/>
      <c r="AO19" s="4379">
        <f>AO17-AO18</f>
        <v>0</v>
      </c>
      <c r="AQ19" s="2635">
        <f>AQ17-AQ18</f>
        <v>0</v>
      </c>
      <c r="AR19" s="2636"/>
      <c r="AS19" s="2635">
        <f>AS17-AS18</f>
        <v>0</v>
      </c>
      <c r="AT19" s="2636"/>
      <c r="AU19" s="2635">
        <f>AU17-AU18</f>
        <v>0</v>
      </c>
      <c r="AV19" s="2636"/>
      <c r="AW19" s="4390">
        <f>AW17-AW18</f>
        <v>0</v>
      </c>
      <c r="AY19" s="4180">
        <f>AY17-AY18</f>
        <v>0</v>
      </c>
      <c r="AZ19" s="4181"/>
      <c r="BA19" s="4180">
        <f>BA17-BA18</f>
        <v>0</v>
      </c>
      <c r="BB19" s="4181"/>
      <c r="BC19" s="4180">
        <f>BC17-BC18</f>
        <v>0</v>
      </c>
      <c r="BD19" s="4181"/>
      <c r="BE19" s="4399">
        <f>BE17-BE18</f>
        <v>0</v>
      </c>
      <c r="BH19" s="1182">
        <f>BH17-BH18</f>
        <v>0</v>
      </c>
      <c r="BI19" s="1061">
        <f t="shared" si="0"/>
        <v>0</v>
      </c>
      <c r="BJ19" s="1061">
        <f t="shared" si="1"/>
        <v>0</v>
      </c>
      <c r="BK19" s="1061">
        <f t="shared" si="1"/>
        <v>0</v>
      </c>
      <c r="BV19" s="1012" t="e">
        <f>BV17-BV18</f>
        <v>#REF!</v>
      </c>
      <c r="BW19" s="1013"/>
      <c r="BX19" s="1012" t="e">
        <f>BX17-BX18</f>
        <v>#REF!</v>
      </c>
      <c r="BY19" s="1013"/>
      <c r="BZ19" s="1012" t="e">
        <f>BZ17-BZ18</f>
        <v>#REF!</v>
      </c>
      <c r="CA19" s="1013"/>
      <c r="CB19" s="1012" t="e">
        <f>CB17-CB18</f>
        <v>#REF!</v>
      </c>
      <c r="CD19" s="2187" t="e">
        <f>CD17-CD18</f>
        <v>#REF!</v>
      </c>
      <c r="CE19" s="2188"/>
      <c r="CF19" s="2187" t="e">
        <f>CF17-CF18</f>
        <v>#REF!</v>
      </c>
      <c r="CG19" s="2188"/>
      <c r="CH19" s="2187" t="e">
        <f>CH17-CH18</f>
        <v>#REF!</v>
      </c>
      <c r="CI19" s="2188"/>
      <c r="CJ19" s="2187" t="e">
        <f>CJ17-CJ18</f>
        <v>#REF!</v>
      </c>
      <c r="CL19" s="2161" t="e">
        <f>CL17-CL18</f>
        <v>#REF!</v>
      </c>
      <c r="CM19" s="2162"/>
      <c r="CN19" s="2161" t="e">
        <f>CN17-CN18</f>
        <v>#REF!</v>
      </c>
      <c r="CO19" s="2162"/>
      <c r="CP19" s="2161" t="e">
        <f>CP17-CP18</f>
        <v>#REF!</v>
      </c>
      <c r="CQ19" s="2162"/>
      <c r="CR19" s="2161" t="e">
        <f>CR17-CR18</f>
        <v>#REF!</v>
      </c>
      <c r="CT19" s="1875" t="e">
        <f>CT17-CT18</f>
        <v>#REF!</v>
      </c>
      <c r="CU19" s="2138"/>
      <c r="CV19" s="1875" t="e">
        <f>CV17-CV18</f>
        <v>#REF!</v>
      </c>
      <c r="CW19" s="2138"/>
      <c r="CX19" s="1875" t="e">
        <f>CX17-CX18</f>
        <v>#REF!</v>
      </c>
      <c r="CY19" s="2138"/>
      <c r="CZ19" s="1875" t="e">
        <f>CZ17-CZ18</f>
        <v>#REF!</v>
      </c>
      <c r="DB19" s="2161">
        <f>DB17-DB18</f>
        <v>0</v>
      </c>
      <c r="DC19" s="2162"/>
      <c r="DD19" s="2161">
        <f>DD17-DD18</f>
        <v>0</v>
      </c>
      <c r="DE19" s="2162"/>
      <c r="DF19" s="2161">
        <f>DF17-DF18</f>
        <v>0</v>
      </c>
      <c r="DG19" s="2162"/>
      <c r="DH19" s="2161">
        <f>DH17-DH18</f>
        <v>0</v>
      </c>
      <c r="DJ19" s="1875">
        <f>DJ17-DJ18</f>
        <v>0</v>
      </c>
      <c r="DK19" s="2138"/>
      <c r="DL19" s="1875">
        <f>DL17-DL18</f>
        <v>0</v>
      </c>
      <c r="DM19" s="2138"/>
      <c r="DN19" s="1875">
        <f>DN17-DN18</f>
        <v>0</v>
      </c>
      <c r="DO19" s="2138"/>
      <c r="DP19" s="1875">
        <f>DP17-DP18</f>
        <v>0</v>
      </c>
      <c r="DR19" s="2161">
        <f>DR17-DR18</f>
        <v>0</v>
      </c>
      <c r="DS19" s="2162"/>
      <c r="DT19" s="2161">
        <f>DT17-DT18</f>
        <v>0</v>
      </c>
      <c r="DU19" s="2162"/>
      <c r="DV19" s="2161">
        <f>DV17-DV18</f>
        <v>0</v>
      </c>
      <c r="DW19" s="2162"/>
      <c r="DX19" s="2161">
        <f>DX17-DX18</f>
        <v>0</v>
      </c>
      <c r="DZ19" s="1875">
        <f>DZ17-DZ18</f>
        <v>0</v>
      </c>
      <c r="EA19" s="2138"/>
      <c r="EB19" s="1875">
        <f>EB17-EB18</f>
        <v>0</v>
      </c>
      <c r="EC19" s="2138"/>
      <c r="ED19" s="1875">
        <f>ED17-ED18</f>
        <v>0</v>
      </c>
      <c r="EE19" s="2138"/>
      <c r="EF19" s="1875">
        <f>EF17-EF18</f>
        <v>0</v>
      </c>
    </row>
    <row r="20" spans="1:136">
      <c r="A20" t="s">
        <v>1283</v>
      </c>
      <c r="C20" s="1413">
        <f>IF('Data Entry - SOF'!C136=0,0,('Data Entry - SOF'!C136/'Data Entry - SOF'!C139)+0.0082)</f>
        <v>0</v>
      </c>
      <c r="D20" s="1414"/>
      <c r="E20" s="1413">
        <f>C20</f>
        <v>0</v>
      </c>
      <c r="F20" s="1414"/>
      <c r="G20" s="1413">
        <f>E20</f>
        <v>0</v>
      </c>
      <c r="H20" s="1414"/>
      <c r="I20" s="4322">
        <f>G20</f>
        <v>0</v>
      </c>
      <c r="K20" s="4233">
        <f>IF('Data Entry - SOF'!C136=0,0,('Data Entry - SOF'!C136/'Data Entry - SOF'!C139)+0.0082)</f>
        <v>0</v>
      </c>
      <c r="L20" s="926"/>
      <c r="M20" s="4233">
        <f>K20</f>
        <v>0</v>
      </c>
      <c r="N20" s="926"/>
      <c r="O20" s="4233">
        <f>M20</f>
        <v>0</v>
      </c>
      <c r="P20" s="926"/>
      <c r="Q20" s="4337">
        <f>O20</f>
        <v>0</v>
      </c>
      <c r="S20" s="1591">
        <f>IF('Data Entry - SOF'!G136=0,0,('Data Entry - SOF'!G136/'Data Entry - SOF'!G139)+0.0082)</f>
        <v>0</v>
      </c>
      <c r="T20" s="1592"/>
      <c r="U20" s="1591">
        <f>S20</f>
        <v>0</v>
      </c>
      <c r="V20" s="1592"/>
      <c r="W20" s="1591">
        <f>U20</f>
        <v>0</v>
      </c>
      <c r="X20" s="1592"/>
      <c r="Y20" s="4345">
        <f>W20</f>
        <v>0</v>
      </c>
      <c r="AA20" s="1672">
        <f>IF('Data Entry - SOF'!I136=0,0,('Data Entry - SOF'!I136/'Data Entry - SOF'!I139)+0.0082)</f>
        <v>0</v>
      </c>
      <c r="AB20" s="1673"/>
      <c r="AC20" s="1672">
        <f>AA20</f>
        <v>0</v>
      </c>
      <c r="AD20" s="1673"/>
      <c r="AE20" s="1672">
        <f>AC20</f>
        <v>0</v>
      </c>
      <c r="AF20" s="1673"/>
      <c r="AG20" s="4360">
        <f>AE20</f>
        <v>0</v>
      </c>
      <c r="AI20" s="2091">
        <f>IF('Data Entry - SOF'!K136=0,0,('Data Entry - SOF'!K136/'Data Entry - SOF'!K139)+0.0082)</f>
        <v>0</v>
      </c>
      <c r="AJ20" s="2092"/>
      <c r="AK20" s="2091">
        <f>AI20</f>
        <v>0</v>
      </c>
      <c r="AL20" s="2092"/>
      <c r="AM20" s="2091">
        <f>AK20</f>
        <v>0</v>
      </c>
      <c r="AN20" s="2092"/>
      <c r="AO20" s="4380">
        <f>AM20</f>
        <v>0</v>
      </c>
      <c r="AQ20" s="2637">
        <f>IF('Data Entry - SOF'!M136=0,0,('Data Entry - SOF'!M136/'Data Entry - SOF'!M139)+0.0082)</f>
        <v>0</v>
      </c>
      <c r="AR20" s="2638"/>
      <c r="AS20" s="2637">
        <f>AQ20</f>
        <v>0</v>
      </c>
      <c r="AT20" s="2638"/>
      <c r="AU20" s="2637">
        <f>AS20</f>
        <v>0</v>
      </c>
      <c r="AV20" s="2638"/>
      <c r="AW20" s="4391">
        <f>AU20</f>
        <v>0</v>
      </c>
      <c r="AY20" s="4208">
        <f>IF('Data Entry - SOF'!O136=0,0,('Data Entry - SOF'!O136/'Data Entry - SOF'!O139)+0.0082)</f>
        <v>0</v>
      </c>
      <c r="AZ20" s="4209"/>
      <c r="BA20" s="4208">
        <f>AY20</f>
        <v>0</v>
      </c>
      <c r="BB20" s="4209"/>
      <c r="BC20" s="4208">
        <f>BA20</f>
        <v>0</v>
      </c>
      <c r="BD20" s="4209"/>
      <c r="BE20" s="4398">
        <f>BC20</f>
        <v>0</v>
      </c>
      <c r="BH20" s="1447">
        <f>IF('Data Entry - SOF'!C136=0,0,('Data Entry - SOF'!C136/'Data Entry - SOF'!C139)+0.0082)</f>
        <v>0</v>
      </c>
      <c r="BI20" s="1062">
        <f t="shared" si="0"/>
        <v>0</v>
      </c>
      <c r="BJ20" s="1062">
        <f t="shared" si="1"/>
        <v>0</v>
      </c>
      <c r="BK20" s="1062">
        <f t="shared" si="1"/>
        <v>0</v>
      </c>
      <c r="BV20" s="1129">
        <f>IF('Data Entry - SOF'!C136=0,0,('Data Entry - SOF'!C136/'Data Entry - SOF'!C139)+0.0082)</f>
        <v>0</v>
      </c>
      <c r="BW20" s="1015"/>
      <c r="BX20" s="1014">
        <f>BV20</f>
        <v>0</v>
      </c>
      <c r="BY20" s="1015"/>
      <c r="BZ20" s="1014">
        <f>BX20</f>
        <v>0</v>
      </c>
      <c r="CA20" s="1015"/>
      <c r="CB20" s="1014">
        <f>BZ20</f>
        <v>0</v>
      </c>
      <c r="CD20" s="2191">
        <f>IF('Data Entry - SOF'!C136=0,0,('Data Entry - SOF'!C136/'Data Entry - SOF'!C139)+0.0082)</f>
        <v>0</v>
      </c>
      <c r="CE20" s="2190"/>
      <c r="CF20" s="2189">
        <f>CD20</f>
        <v>0</v>
      </c>
      <c r="CG20" s="2190"/>
      <c r="CH20" s="2189">
        <f>CF20</f>
        <v>0</v>
      </c>
      <c r="CI20" s="2190"/>
      <c r="CJ20" s="2189">
        <f>CH20</f>
        <v>0</v>
      </c>
      <c r="CL20" s="2165">
        <f>IF('Data Entry - SOF'!C136=0,0,('Data Entry - SOF'!C136/'Data Entry - SOF'!C139)+0.0082)</f>
        <v>0</v>
      </c>
      <c r="CM20" s="2164"/>
      <c r="CN20" s="2163">
        <f>CL20</f>
        <v>0</v>
      </c>
      <c r="CO20" s="2164"/>
      <c r="CP20" s="2163">
        <f>CN20</f>
        <v>0</v>
      </c>
      <c r="CQ20" s="2164"/>
      <c r="CR20" s="2163">
        <f>CP20</f>
        <v>0</v>
      </c>
      <c r="CT20" s="2141">
        <f>IF('Data Entry - SOF'!C136=0,0,('Data Entry - SOF'!C136/'Data Entry - SOF'!C139)+0.0082)</f>
        <v>0</v>
      </c>
      <c r="CU20" s="2140"/>
      <c r="CV20" s="2139">
        <f>CT20</f>
        <v>0</v>
      </c>
      <c r="CW20" s="2140"/>
      <c r="CX20" s="2139">
        <f>CV20</f>
        <v>0</v>
      </c>
      <c r="CY20" s="2140"/>
      <c r="CZ20" s="2139">
        <f>CX20</f>
        <v>0</v>
      </c>
      <c r="DB20" s="2165">
        <f>IF('Data Entry - SOF'!C136=0,0,('Data Entry - SOF'!C136/'Data Entry - SOF'!C139)+0.0082)</f>
        <v>0</v>
      </c>
      <c r="DC20" s="2164"/>
      <c r="DD20" s="2163">
        <f>DB20</f>
        <v>0</v>
      </c>
      <c r="DE20" s="2164"/>
      <c r="DF20" s="2163">
        <f>DD20</f>
        <v>0</v>
      </c>
      <c r="DG20" s="2164"/>
      <c r="DH20" s="2163">
        <f>DF20</f>
        <v>0</v>
      </c>
      <c r="DJ20" s="2141">
        <f>IF('Data Entry - SOF'!C136=0,0,('Data Entry - SOF'!C136/'Data Entry - SOF'!C139)+0.0082)</f>
        <v>0</v>
      </c>
      <c r="DK20" s="2140"/>
      <c r="DL20" s="2139">
        <f>DJ20</f>
        <v>0</v>
      </c>
      <c r="DM20" s="2140"/>
      <c r="DN20" s="2139">
        <f>DL20</f>
        <v>0</v>
      </c>
      <c r="DO20" s="2140"/>
      <c r="DP20" s="2139">
        <f>DN20</f>
        <v>0</v>
      </c>
      <c r="DR20" s="2165">
        <f>IF('Data Entry - SOF'!C136=0,0,('Data Entry - SOF'!C136/'Data Entry - SOF'!C139)+0.0082)</f>
        <v>0</v>
      </c>
      <c r="DS20" s="2164"/>
      <c r="DT20" s="2163">
        <f>DR20</f>
        <v>0</v>
      </c>
      <c r="DU20" s="2164"/>
      <c r="DV20" s="2163">
        <f>DT20</f>
        <v>0</v>
      </c>
      <c r="DW20" s="2164"/>
      <c r="DX20" s="2163">
        <f>DV20</f>
        <v>0</v>
      </c>
      <c r="DZ20" s="2141">
        <f>IF('Data Entry - SOF'!C136=0,0,('Data Entry - SOF'!C136/'Data Entry - SOF'!C139)+0.0082)</f>
        <v>0</v>
      </c>
      <c r="EA20" s="2140"/>
      <c r="EB20" s="2139">
        <f>DZ20</f>
        <v>0</v>
      </c>
      <c r="EC20" s="2140"/>
      <c r="ED20" s="2139">
        <f>EB20</f>
        <v>0</v>
      </c>
      <c r="EE20" s="2140"/>
      <c r="EF20" s="2139">
        <f>ED20</f>
        <v>0</v>
      </c>
    </row>
    <row r="21" spans="1:136">
      <c r="A21" t="s">
        <v>1111</v>
      </c>
      <c r="C21" s="1413">
        <f>IF(C20&gt;0.015,C20,0.015)</f>
        <v>1.4999999999999999E-2</v>
      </c>
      <c r="D21" s="1414"/>
      <c r="E21" s="1413">
        <f>IF(E20&gt;0.015,E20,0.015)</f>
        <v>1.4999999999999999E-2</v>
      </c>
      <c r="F21" s="1414"/>
      <c r="G21" s="1413">
        <f>IF(G20&gt;0.015,G20,0.015)</f>
        <v>1.4999999999999999E-2</v>
      </c>
      <c r="H21" s="1414"/>
      <c r="I21" s="4322">
        <f>IF(I20&gt;0.015,I20,0.015)</f>
        <v>1.4999999999999999E-2</v>
      </c>
      <c r="K21" s="4233">
        <f>IF(K20&gt;0.015,K20,0.015)</f>
        <v>1.4999999999999999E-2</v>
      </c>
      <c r="L21" s="926"/>
      <c r="M21" s="4233">
        <f>IF(M20&gt;0.015,M20,0.015)</f>
        <v>1.4999999999999999E-2</v>
      </c>
      <c r="N21" s="926"/>
      <c r="O21" s="4233">
        <f>IF(O20&gt;0.015,O20,0.015)</f>
        <v>1.4999999999999999E-2</v>
      </c>
      <c r="P21" s="926"/>
      <c r="Q21" s="4337">
        <f>IF(Q20&gt;0.015,Q20,0.015)</f>
        <v>1.4999999999999999E-2</v>
      </c>
      <c r="S21" s="1591">
        <f>IF(S20&gt;0.015,S20,0.015)</f>
        <v>1.4999999999999999E-2</v>
      </c>
      <c r="T21" s="1592"/>
      <c r="U21" s="1591">
        <f>IF(U20&gt;0.015,U20,0.015)</f>
        <v>1.4999999999999999E-2</v>
      </c>
      <c r="V21" s="1592"/>
      <c r="W21" s="1591">
        <f>IF(W20&gt;0.015,W20,0.015)</f>
        <v>1.4999999999999999E-2</v>
      </c>
      <c r="X21" s="1592"/>
      <c r="Y21" s="4345">
        <f>IF(Y20&gt;0.015,Y20,0.015)</f>
        <v>1.4999999999999999E-2</v>
      </c>
      <c r="AA21" s="1672">
        <f>IF(AA20&gt;0.015,AA20,0.015)</f>
        <v>1.4999999999999999E-2</v>
      </c>
      <c r="AB21" s="1673"/>
      <c r="AC21" s="1672">
        <f>IF(AC20&gt;0.015,AC20,0.015)</f>
        <v>1.4999999999999999E-2</v>
      </c>
      <c r="AD21" s="1673"/>
      <c r="AE21" s="1672">
        <f>IF(AE20&gt;0.015,AE20,0.015)</f>
        <v>1.4999999999999999E-2</v>
      </c>
      <c r="AF21" s="1673"/>
      <c r="AG21" s="4360">
        <f>IF(AG20&gt;0.015,AG20,0.015)</f>
        <v>1.4999999999999999E-2</v>
      </c>
      <c r="AI21" s="2091">
        <f>IF(AI20&gt;0.015,AI20,0.015)</f>
        <v>1.4999999999999999E-2</v>
      </c>
      <c r="AJ21" s="2092"/>
      <c r="AK21" s="2091">
        <f>IF(AK20&gt;0.015,AK20,0.015)</f>
        <v>1.4999999999999999E-2</v>
      </c>
      <c r="AL21" s="2092"/>
      <c r="AM21" s="2091">
        <f>IF(AM20&gt;0.015,AM20,0.015)</f>
        <v>1.4999999999999999E-2</v>
      </c>
      <c r="AN21" s="2092"/>
      <c r="AO21" s="4380">
        <f>IF(AO20&gt;0.015,AO20,0.015)</f>
        <v>1.4999999999999999E-2</v>
      </c>
      <c r="AQ21" s="2637">
        <f>IF(AQ20&gt;0.015,AQ20,0.015)</f>
        <v>1.4999999999999999E-2</v>
      </c>
      <c r="AR21" s="2638"/>
      <c r="AS21" s="2637">
        <f>IF(AS20&gt;0.015,AS20,0.015)</f>
        <v>1.4999999999999999E-2</v>
      </c>
      <c r="AT21" s="2638"/>
      <c r="AU21" s="2637">
        <f>IF(AU20&gt;0.015,AU20,0.015)</f>
        <v>1.4999999999999999E-2</v>
      </c>
      <c r="AV21" s="2638"/>
      <c r="AW21" s="4391">
        <f>IF(AW20&gt;0.015,AW20,0.015)</f>
        <v>1.4999999999999999E-2</v>
      </c>
      <c r="AY21" s="4208">
        <f>IF(AY20&gt;0.015,AY20,0.015)</f>
        <v>1.4999999999999999E-2</v>
      </c>
      <c r="AZ21" s="4209"/>
      <c r="BA21" s="4208">
        <f>IF(BA20&gt;0.015,BA20,0.015)</f>
        <v>1.4999999999999999E-2</v>
      </c>
      <c r="BB21" s="4209"/>
      <c r="BC21" s="4208">
        <f>IF(BC20&gt;0.015,BC20,0.015)</f>
        <v>1.4999999999999999E-2</v>
      </c>
      <c r="BD21" s="4209"/>
      <c r="BE21" s="4398">
        <f>IF(BE20&gt;0.015,BE20,0.015)</f>
        <v>1.4999999999999999E-2</v>
      </c>
      <c r="BH21" s="1181">
        <f>IF(BH20&gt;0.015,BH20,0.015)</f>
        <v>1.4999999999999999E-2</v>
      </c>
      <c r="BI21" s="1062">
        <f t="shared" si="0"/>
        <v>1.4999999999999999E-2</v>
      </c>
      <c r="BJ21" s="1062">
        <f t="shared" si="1"/>
        <v>1.4999999999999999E-2</v>
      </c>
      <c r="BK21" s="1062">
        <f t="shared" si="1"/>
        <v>1.4999999999999999E-2</v>
      </c>
      <c r="BV21" s="1129">
        <f>IF(BV20&gt;0.015,BV20,0.015)</f>
        <v>1.4999999999999999E-2</v>
      </c>
      <c r="BW21" s="1015"/>
      <c r="BX21" s="1014">
        <f>IF(BX20&gt;0.015,BX20,0.015)</f>
        <v>1.4999999999999999E-2</v>
      </c>
      <c r="BY21" s="1015"/>
      <c r="BZ21" s="1014">
        <f>IF(BZ20&gt;0.015,BZ20,0.015)</f>
        <v>1.4999999999999999E-2</v>
      </c>
      <c r="CA21" s="1015"/>
      <c r="CB21" s="1014">
        <f>IF(CB20&gt;0.015,CB20,0.015)</f>
        <v>1.4999999999999999E-2</v>
      </c>
      <c r="CD21" s="2191">
        <f>IF(CD20&gt;0.015,CD20,0.015)</f>
        <v>1.4999999999999999E-2</v>
      </c>
      <c r="CE21" s="2190"/>
      <c r="CF21" s="2189">
        <f>IF(CF20&gt;0.015,CF20,0.015)</f>
        <v>1.4999999999999999E-2</v>
      </c>
      <c r="CG21" s="2190"/>
      <c r="CH21" s="2189">
        <f>IF(CH20&gt;0.015,CH20,0.015)</f>
        <v>1.4999999999999999E-2</v>
      </c>
      <c r="CI21" s="2190"/>
      <c r="CJ21" s="2189">
        <f>IF(CJ20&gt;0.015,CJ20,0.015)</f>
        <v>1.4999999999999999E-2</v>
      </c>
      <c r="CL21" s="2165">
        <f>IF(CL20&gt;0.015,CL20,0.015)</f>
        <v>1.4999999999999999E-2</v>
      </c>
      <c r="CM21" s="2164"/>
      <c r="CN21" s="2163">
        <f>IF(CN20&gt;0.015,CN20,0.015)</f>
        <v>1.4999999999999999E-2</v>
      </c>
      <c r="CO21" s="2164"/>
      <c r="CP21" s="2163">
        <f>IF(CP20&gt;0.015,CP20,0.015)</f>
        <v>1.4999999999999999E-2</v>
      </c>
      <c r="CQ21" s="2164"/>
      <c r="CR21" s="2163">
        <f>IF(CR20&gt;0.015,CR20,0.015)</f>
        <v>1.4999999999999999E-2</v>
      </c>
      <c r="CT21" s="2141">
        <f>IF(CT20&gt;0.015,CT20,0.015)</f>
        <v>1.4999999999999999E-2</v>
      </c>
      <c r="CU21" s="2140"/>
      <c r="CV21" s="2139">
        <f>IF(CV20&gt;0.015,CV20,0.015)</f>
        <v>1.4999999999999999E-2</v>
      </c>
      <c r="CW21" s="2140"/>
      <c r="CX21" s="2139">
        <f>IF(CX20&gt;0.015,CX20,0.015)</f>
        <v>1.4999999999999999E-2</v>
      </c>
      <c r="CY21" s="2140"/>
      <c r="CZ21" s="2139">
        <f>IF(CZ20&gt;0.015,CZ20,0.015)</f>
        <v>1.4999999999999999E-2</v>
      </c>
      <c r="DB21" s="2165">
        <f>IF(DB20&gt;0.015,DB20,0.015)</f>
        <v>1.4999999999999999E-2</v>
      </c>
      <c r="DC21" s="2164"/>
      <c r="DD21" s="2163">
        <f>IF(DD20&gt;0.015,DD20,0.015)</f>
        <v>1.4999999999999999E-2</v>
      </c>
      <c r="DE21" s="2164"/>
      <c r="DF21" s="2163">
        <f>IF(DF20&gt;0.015,DF20,0.015)</f>
        <v>1.4999999999999999E-2</v>
      </c>
      <c r="DG21" s="2164"/>
      <c r="DH21" s="2163">
        <f>IF(DH20&gt;0.015,DH20,0.015)</f>
        <v>1.4999999999999999E-2</v>
      </c>
      <c r="DJ21" s="2141">
        <f>IF(DJ20&gt;0.015,DJ20,0.015)</f>
        <v>1.4999999999999999E-2</v>
      </c>
      <c r="DK21" s="2140"/>
      <c r="DL21" s="2139">
        <f>IF(DL20&gt;0.015,DL20,0.015)</f>
        <v>1.4999999999999999E-2</v>
      </c>
      <c r="DM21" s="2140"/>
      <c r="DN21" s="2139">
        <f>IF(DN20&gt;0.015,DN20,0.015)</f>
        <v>1.4999999999999999E-2</v>
      </c>
      <c r="DO21" s="2140"/>
      <c r="DP21" s="2139">
        <f>IF(DP20&gt;0.015,DP20,0.015)</f>
        <v>1.4999999999999999E-2</v>
      </c>
      <c r="DR21" s="2165">
        <f>IF(DR20&gt;0.015,DR20,0.015)</f>
        <v>1.4999999999999999E-2</v>
      </c>
      <c r="DS21" s="2164"/>
      <c r="DT21" s="2163">
        <f>IF(DT20&gt;0.015,DT20,0.015)</f>
        <v>1.4999999999999999E-2</v>
      </c>
      <c r="DU21" s="2164"/>
      <c r="DV21" s="2163">
        <f>IF(DV20&gt;0.015,DV20,0.015)</f>
        <v>1.4999999999999999E-2</v>
      </c>
      <c r="DW21" s="2164"/>
      <c r="DX21" s="2163">
        <f>IF(DX20&gt;0.015,DX20,0.015)</f>
        <v>1.4999999999999999E-2</v>
      </c>
      <c r="DZ21" s="2141">
        <f>IF(DZ20&gt;0.015,DZ20,0.015)</f>
        <v>1.4999999999999999E-2</v>
      </c>
      <c r="EA21" s="2140"/>
      <c r="EB21" s="2139">
        <f>IF(EB20&gt;0.015,EB20,0.015)</f>
        <v>1.4999999999999999E-2</v>
      </c>
      <c r="EC21" s="2140"/>
      <c r="ED21" s="2139">
        <f>IF(ED20&gt;0.015,ED20,0.015)</f>
        <v>1.4999999999999999E-2</v>
      </c>
      <c r="EE21" s="2140"/>
      <c r="EF21" s="2139">
        <f>IF(EF20&gt;0.015,EF20,0.015)</f>
        <v>1.4999999999999999E-2</v>
      </c>
    </row>
    <row r="22" spans="1:136">
      <c r="I22" s="2733"/>
      <c r="Q22" s="4333"/>
      <c r="Y22" s="2769"/>
      <c r="AG22" s="2790"/>
      <c r="AO22" s="4375"/>
      <c r="AW22" s="2820"/>
      <c r="BE22" s="4318"/>
      <c r="BH22" s="953"/>
      <c r="BI22" s="953"/>
      <c r="BJ22" s="953"/>
      <c r="BK22" s="953"/>
    </row>
    <row r="23" spans="1:136" ht="15.75">
      <c r="A23" s="38" t="s">
        <v>1284</v>
      </c>
      <c r="I23" s="2733"/>
      <c r="Q23" s="4333"/>
      <c r="Y23" s="2769"/>
      <c r="AG23" s="2790"/>
      <c r="AO23" s="4375"/>
      <c r="AW23" s="2820"/>
      <c r="BE23" s="4318"/>
      <c r="BH23" s="953"/>
      <c r="BI23" s="953"/>
      <c r="BJ23" s="953"/>
      <c r="BK23" s="953"/>
    </row>
    <row r="24" spans="1:136">
      <c r="A24" t="s">
        <v>2150</v>
      </c>
      <c r="C24" s="1411" t="e">
        <f>'Ch41 Calc Data'!K17*Assumptions!G92</f>
        <v>#DIV/0!</v>
      </c>
      <c r="D24" s="1412"/>
      <c r="E24" s="1411" t="e">
        <f>C24</f>
        <v>#DIV/0!</v>
      </c>
      <c r="F24" s="1412"/>
      <c r="G24" s="1411" t="e">
        <f>'Ch41 Calc Data'!K17*Assumptions!G93</f>
        <v>#DIV/0!</v>
      </c>
      <c r="H24" s="1412"/>
      <c r="I24" s="4321" t="e">
        <f>G24</f>
        <v>#DIV/0!</v>
      </c>
      <c r="K24" s="4234" t="e">
        <f>'Ch41 Calc Data'!L17*Assumptions!G103</f>
        <v>#DIV/0!</v>
      </c>
      <c r="L24" s="4235"/>
      <c r="M24" s="4234" t="e">
        <f>K24</f>
        <v>#DIV/0!</v>
      </c>
      <c r="N24" s="4235"/>
      <c r="O24" s="4234" t="e">
        <f>'Ch41 Calc Data'!L17*Assumptions!G104</f>
        <v>#DIV/0!</v>
      </c>
      <c r="P24" s="4235"/>
      <c r="Q24" s="4338" t="e">
        <f>O24</f>
        <v>#DIV/0!</v>
      </c>
      <c r="S24" s="1589" t="e">
        <f>'Ch41 Calc Data'!M17*Assumptions!G112</f>
        <v>#DIV/0!</v>
      </c>
      <c r="T24" s="1590"/>
      <c r="U24" s="1589" t="e">
        <f>S24</f>
        <v>#DIV/0!</v>
      </c>
      <c r="V24" s="1590"/>
      <c r="W24" s="1589" t="e">
        <f>'Ch41 Calc Data'!M17*Assumptions!G113</f>
        <v>#DIV/0!</v>
      </c>
      <c r="X24" s="1590"/>
      <c r="Y24" s="4344" t="e">
        <f>W24</f>
        <v>#DIV/0!</v>
      </c>
      <c r="AA24" s="1670" t="e">
        <f>'Ch41 Calc Data'!N17*Assumptions!G121</f>
        <v>#DIV/0!</v>
      </c>
      <c r="AB24" s="1671"/>
      <c r="AC24" s="1670" t="e">
        <f>AA24</f>
        <v>#DIV/0!</v>
      </c>
      <c r="AD24" s="1671"/>
      <c r="AE24" s="1670" t="e">
        <f>'Ch41 Calc Data'!N17*Assumptions!G122</f>
        <v>#DIV/0!</v>
      </c>
      <c r="AF24" s="1671"/>
      <c r="AG24" s="4359" t="e">
        <f>AE24</f>
        <v>#DIV/0!</v>
      </c>
      <c r="AI24" s="2089" t="e">
        <f>'Ch41 Calc Data'!O17*Assumptions!G130</f>
        <v>#DIV/0!</v>
      </c>
      <c r="AJ24" s="2090"/>
      <c r="AK24" s="2089" t="e">
        <f>AI24</f>
        <v>#DIV/0!</v>
      </c>
      <c r="AL24" s="2090"/>
      <c r="AM24" s="2089" t="e">
        <f>'Ch41 Calc Data'!O17*Assumptions!G131</f>
        <v>#DIV/0!</v>
      </c>
      <c r="AN24" s="2090"/>
      <c r="AO24" s="4379" t="e">
        <f>AM24</f>
        <v>#DIV/0!</v>
      </c>
      <c r="AQ24" s="2635" t="e">
        <f>'Ch41 Calc Data'!P17*Assumptions!G139</f>
        <v>#DIV/0!</v>
      </c>
      <c r="AR24" s="2636"/>
      <c r="AS24" s="2635" t="e">
        <f>AQ24</f>
        <v>#DIV/0!</v>
      </c>
      <c r="AT24" s="2636"/>
      <c r="AU24" s="2635" t="e">
        <f>'Ch41 Calc Data'!P17*Assumptions!G140</f>
        <v>#DIV/0!</v>
      </c>
      <c r="AV24" s="2636"/>
      <c r="AW24" s="4390" t="e">
        <f>AU24</f>
        <v>#DIV/0!</v>
      </c>
      <c r="AY24" s="4196" t="e">
        <f>'Ch41 Calc Data'!Q17*Assumptions!G148</f>
        <v>#DIV/0!</v>
      </c>
      <c r="AZ24" s="4197"/>
      <c r="BA24" s="4196" t="e">
        <f>AY24</f>
        <v>#DIV/0!</v>
      </c>
      <c r="BB24" s="4197"/>
      <c r="BC24" s="4196" t="e">
        <f>'Ch41 Calc Data'!Q17*Assumptions!G149</f>
        <v>#DIV/0!</v>
      </c>
      <c r="BD24" s="4197"/>
      <c r="BE24" s="4397" t="e">
        <f>BC24</f>
        <v>#DIV/0!</v>
      </c>
      <c r="BH24" s="977" t="e">
        <f>'Ch41 Calc Data'!L20*Assumptions!G112</f>
        <v>#DIV/0!</v>
      </c>
      <c r="BI24" s="977" t="e">
        <f>BH24</f>
        <v>#DIV/0!</v>
      </c>
      <c r="BJ24" s="982" t="e">
        <f>'Ch41 Calc Data'!L20*Assumptions!G113</f>
        <v>#DIV/0!</v>
      </c>
      <c r="BK24" s="977" t="e">
        <f>BJ24</f>
        <v>#DIV/0!</v>
      </c>
      <c r="BV24" s="1012" t="e">
        <f>'Ch41 Calc Data'!AA17*Assumptions!G30</f>
        <v>#REF!</v>
      </c>
      <c r="BW24" s="1013"/>
      <c r="BX24" s="1012" t="e">
        <f>BV24</f>
        <v>#REF!</v>
      </c>
      <c r="BY24" s="1013"/>
      <c r="BZ24" s="1012" t="e">
        <f>'Ch41 Calc Data'!AA17*Assumptions!G31</f>
        <v>#REF!</v>
      </c>
      <c r="CA24" s="1013"/>
      <c r="CB24" s="1012" t="e">
        <f>BZ24</f>
        <v>#REF!</v>
      </c>
      <c r="CD24" s="2187" t="e">
        <f>'Ch41 Calc Data'!AB17*Assumptions!G40</f>
        <v>#REF!</v>
      </c>
      <c r="CE24" s="2188"/>
      <c r="CF24" s="2187" t="e">
        <f>CD24</f>
        <v>#REF!</v>
      </c>
      <c r="CG24" s="2188"/>
      <c r="CH24" s="2187" t="e">
        <f>'Ch41 Calc Data'!AB17*Assumptions!G41</f>
        <v>#REF!</v>
      </c>
      <c r="CI24" s="2188"/>
      <c r="CJ24" s="2187" t="e">
        <f>CH24</f>
        <v>#REF!</v>
      </c>
      <c r="CL24" s="2161" t="e">
        <f>'Ch41 Calc Data'!AC17*Assumptions!G30</f>
        <v>#REF!</v>
      </c>
      <c r="CM24" s="2162"/>
      <c r="CN24" s="2161" t="e">
        <f>CL24</f>
        <v>#REF!</v>
      </c>
      <c r="CO24" s="2162"/>
      <c r="CP24" s="2161" t="e">
        <f>'Ch41 Calc Data'!AC17*Assumptions!G31</f>
        <v>#REF!</v>
      </c>
      <c r="CQ24" s="2162"/>
      <c r="CR24" s="2161" t="e">
        <f>CP24</f>
        <v>#REF!</v>
      </c>
      <c r="CT24" s="1875" t="e">
        <f>'Ch41 Calc Data'!AD17*Assumptions!G30</f>
        <v>#REF!</v>
      </c>
      <c r="CU24" s="2138"/>
      <c r="CV24" s="1875" t="e">
        <f>CT24</f>
        <v>#REF!</v>
      </c>
      <c r="CW24" s="2138"/>
      <c r="CX24" s="1875" t="e">
        <f>'Ch41 Calc Data'!AD17*Assumptions!G31</f>
        <v>#REF!</v>
      </c>
      <c r="CY24" s="2138"/>
      <c r="CZ24" s="1875" t="e">
        <f>CX24</f>
        <v>#REF!</v>
      </c>
      <c r="DB24" s="2161" t="e">
        <f>'Ch41 Calc Data'!AE17*Assumptions!G30</f>
        <v>#DIV/0!</v>
      </c>
      <c r="DC24" s="2162"/>
      <c r="DD24" s="2161" t="e">
        <f>DB24</f>
        <v>#DIV/0!</v>
      </c>
      <c r="DE24" s="2162"/>
      <c r="DF24" s="2161" t="e">
        <f>'Ch41 Calc Data'!AE17*Assumptions!G31</f>
        <v>#DIV/0!</v>
      </c>
      <c r="DG24" s="2162"/>
      <c r="DH24" s="2161" t="e">
        <f>DF24</f>
        <v>#DIV/0!</v>
      </c>
      <c r="DJ24" s="1875" t="e">
        <f>'Ch41 Calc Data'!AF17*Assumptions!G30</f>
        <v>#DIV/0!</v>
      </c>
      <c r="DK24" s="2138"/>
      <c r="DL24" s="1875" t="e">
        <f>DJ24</f>
        <v>#DIV/0!</v>
      </c>
      <c r="DM24" s="2138"/>
      <c r="DN24" s="1875" t="e">
        <f>'Ch41 Calc Data'!AF17*Assumptions!G31</f>
        <v>#DIV/0!</v>
      </c>
      <c r="DO24" s="2138"/>
      <c r="DP24" s="1875" t="e">
        <f>DN24</f>
        <v>#DIV/0!</v>
      </c>
      <c r="DR24" s="2161" t="e">
        <f>'Ch41 Calc Data'!AG17*Assumptions!G30</f>
        <v>#DIV/0!</v>
      </c>
      <c r="DS24" s="2162"/>
      <c r="DT24" s="2161" t="e">
        <f>DR24</f>
        <v>#DIV/0!</v>
      </c>
      <c r="DU24" s="2162"/>
      <c r="DV24" s="2161" t="e">
        <f>'Ch41 Calc Data'!AG17*Assumptions!G31</f>
        <v>#DIV/0!</v>
      </c>
      <c r="DW24" s="2162"/>
      <c r="DX24" s="2161" t="e">
        <f>DV24</f>
        <v>#DIV/0!</v>
      </c>
      <c r="DZ24" s="1875" t="e">
        <f>'Ch41 Calc Data'!AH17*Assumptions!G30</f>
        <v>#DIV/0!</v>
      </c>
      <c r="EA24" s="2138"/>
      <c r="EB24" s="1875" t="e">
        <f>DZ24</f>
        <v>#DIV/0!</v>
      </c>
      <c r="EC24" s="2138"/>
      <c r="ED24" s="1875" t="e">
        <f>'Ch41 Calc Data'!AH17*Assumptions!G31</f>
        <v>#DIV/0!</v>
      </c>
      <c r="EE24" s="2138"/>
      <c r="EF24" s="1875" t="e">
        <f>ED24</f>
        <v>#DIV/0!</v>
      </c>
    </row>
    <row r="25" spans="1:136">
      <c r="I25" s="2733"/>
      <c r="K25" s="4235"/>
      <c r="L25" s="4235"/>
      <c r="M25" s="4235"/>
      <c r="N25" s="4235"/>
      <c r="O25" s="4235"/>
      <c r="P25" s="4235"/>
      <c r="Q25" s="4339"/>
      <c r="Y25" s="2769"/>
      <c r="AG25" s="2790"/>
      <c r="AO25" s="4375"/>
      <c r="AW25" s="2820"/>
      <c r="AY25" s="4197"/>
      <c r="AZ25" s="4197"/>
      <c r="BA25" s="4197"/>
      <c r="BB25" s="4197"/>
      <c r="BC25" s="4197"/>
      <c r="BD25" s="4197"/>
      <c r="BE25" s="4400"/>
      <c r="BH25" s="978"/>
      <c r="BI25" s="978"/>
      <c r="BJ25" s="979"/>
      <c r="BK25" s="978"/>
    </row>
    <row r="26" spans="1:136" ht="15.75">
      <c r="A26" s="38" t="s">
        <v>2390</v>
      </c>
      <c r="I26" s="2733"/>
      <c r="K26" s="4235"/>
      <c r="L26" s="4235"/>
      <c r="M26" s="4235"/>
      <c r="N26" s="4235"/>
      <c r="O26" s="4235"/>
      <c r="P26" s="4235"/>
      <c r="Q26" s="4339"/>
      <c r="Y26" s="2769"/>
      <c r="AG26" s="2790"/>
      <c r="AO26" s="4375"/>
      <c r="AW26" s="2820"/>
      <c r="AY26" s="4197"/>
      <c r="AZ26" s="4197"/>
      <c r="BA26" s="4197"/>
      <c r="BB26" s="4197"/>
      <c r="BC26" s="4197"/>
      <c r="BD26" s="4197"/>
      <c r="BE26" s="4400"/>
      <c r="BH26" s="978"/>
      <c r="BI26" s="978"/>
      <c r="BJ26" s="979"/>
      <c r="BK26" s="978"/>
    </row>
    <row r="27" spans="1:136">
      <c r="A27" t="s">
        <v>2742</v>
      </c>
      <c r="C27" s="1411">
        <f>C19/C21</f>
        <v>0</v>
      </c>
      <c r="D27" s="1415"/>
      <c r="E27" s="1416" t="s">
        <v>1994</v>
      </c>
      <c r="F27" s="1415"/>
      <c r="G27" s="1411">
        <f>G19/G21</f>
        <v>0</v>
      </c>
      <c r="H27" s="1415"/>
      <c r="I27" s="4323" t="s">
        <v>1994</v>
      </c>
      <c r="K27" s="4234">
        <f>K19/K21</f>
        <v>0</v>
      </c>
      <c r="L27" s="4235"/>
      <c r="M27" s="4236" t="s">
        <v>1994</v>
      </c>
      <c r="N27" s="4235"/>
      <c r="O27" s="4234">
        <f>O19/O21</f>
        <v>0</v>
      </c>
      <c r="P27" s="4235"/>
      <c r="Q27" s="4340" t="s">
        <v>1994</v>
      </c>
      <c r="S27" s="1589">
        <f>S19/S21</f>
        <v>0</v>
      </c>
      <c r="T27" s="1593"/>
      <c r="U27" s="1594" t="s">
        <v>1994</v>
      </c>
      <c r="V27" s="1593"/>
      <c r="W27" s="1589">
        <f>W19/W21</f>
        <v>0</v>
      </c>
      <c r="X27" s="1593"/>
      <c r="Y27" s="4346" t="s">
        <v>1994</v>
      </c>
      <c r="AA27" s="1670">
        <f>AA19/AA21</f>
        <v>0</v>
      </c>
      <c r="AB27" s="1674"/>
      <c r="AC27" s="1675" t="s">
        <v>1994</v>
      </c>
      <c r="AD27" s="1674"/>
      <c r="AE27" s="1670">
        <f>AE19/AE21</f>
        <v>0</v>
      </c>
      <c r="AF27" s="1674"/>
      <c r="AG27" s="4361" t="s">
        <v>1994</v>
      </c>
      <c r="AI27" s="2089">
        <f>AI19/AI21</f>
        <v>0</v>
      </c>
      <c r="AJ27" s="2093"/>
      <c r="AK27" s="2094" t="s">
        <v>1994</v>
      </c>
      <c r="AL27" s="2093"/>
      <c r="AM27" s="2089">
        <f>AM19/AM21</f>
        <v>0</v>
      </c>
      <c r="AN27" s="2093"/>
      <c r="AO27" s="4381" t="s">
        <v>1994</v>
      </c>
      <c r="AQ27" s="2635">
        <f>AQ19/AQ21</f>
        <v>0</v>
      </c>
      <c r="AR27" s="2639"/>
      <c r="AS27" s="2640" t="s">
        <v>1994</v>
      </c>
      <c r="AT27" s="2639"/>
      <c r="AU27" s="2635">
        <f>AU19/AU21</f>
        <v>0</v>
      </c>
      <c r="AV27" s="2639"/>
      <c r="AW27" s="4392" t="s">
        <v>1994</v>
      </c>
      <c r="AY27" s="4196">
        <f>AY19/AY21</f>
        <v>0</v>
      </c>
      <c r="AZ27" s="4197"/>
      <c r="BA27" s="4201" t="s">
        <v>1994</v>
      </c>
      <c r="BB27" s="4197"/>
      <c r="BC27" s="4196">
        <f>BC19/BC21</f>
        <v>0</v>
      </c>
      <c r="BD27" s="4197"/>
      <c r="BE27" s="4401" t="s">
        <v>1994</v>
      </c>
      <c r="BH27" s="977">
        <f>BH19/BH21</f>
        <v>0</v>
      </c>
      <c r="BI27" s="980" t="s">
        <v>1994</v>
      </c>
      <c r="BJ27" s="977">
        <f>BJ19/BJ21</f>
        <v>0</v>
      </c>
      <c r="BK27" s="980" t="s">
        <v>1994</v>
      </c>
      <c r="BV27" s="1012" t="e">
        <f>BV19/BV21</f>
        <v>#REF!</v>
      </c>
      <c r="BW27" s="1016"/>
      <c r="BX27" s="1017" t="s">
        <v>1994</v>
      </c>
      <c r="BY27" s="1016"/>
      <c r="BZ27" s="1012" t="e">
        <f>BZ19/BZ21</f>
        <v>#REF!</v>
      </c>
      <c r="CA27" s="1016"/>
      <c r="CB27" s="1017" t="s">
        <v>1994</v>
      </c>
      <c r="CD27" s="2187" t="e">
        <f>CD19/CD21</f>
        <v>#REF!</v>
      </c>
      <c r="CE27" s="2192"/>
      <c r="CF27" s="2193" t="s">
        <v>1994</v>
      </c>
      <c r="CG27" s="2192"/>
      <c r="CH27" s="2187" t="e">
        <f>CH19/CH21</f>
        <v>#REF!</v>
      </c>
      <c r="CI27" s="2192"/>
      <c r="CJ27" s="2193" t="s">
        <v>1994</v>
      </c>
      <c r="CL27" s="2161" t="e">
        <f>CL19/CL21</f>
        <v>#REF!</v>
      </c>
      <c r="CM27" s="2166"/>
      <c r="CN27" s="2167" t="s">
        <v>1994</v>
      </c>
      <c r="CO27" s="2166"/>
      <c r="CP27" s="2161" t="e">
        <f>CP19/CP21</f>
        <v>#REF!</v>
      </c>
      <c r="CQ27" s="2166"/>
      <c r="CR27" s="2167" t="s">
        <v>1994</v>
      </c>
      <c r="CT27" s="1875" t="e">
        <f>CT19/CT21</f>
        <v>#REF!</v>
      </c>
      <c r="CU27" s="2142"/>
      <c r="CV27" s="2143" t="s">
        <v>1994</v>
      </c>
      <c r="CW27" s="2142"/>
      <c r="CX27" s="1875" t="e">
        <f>CX19/CX21</f>
        <v>#REF!</v>
      </c>
      <c r="CY27" s="2142"/>
      <c r="CZ27" s="2143" t="s">
        <v>1994</v>
      </c>
      <c r="DB27" s="2161">
        <f>DB19/DB21</f>
        <v>0</v>
      </c>
      <c r="DC27" s="2166"/>
      <c r="DD27" s="2167" t="s">
        <v>1994</v>
      </c>
      <c r="DE27" s="2166"/>
      <c r="DF27" s="2161">
        <f>DF19/DF21</f>
        <v>0</v>
      </c>
      <c r="DG27" s="2166"/>
      <c r="DH27" s="2167" t="s">
        <v>1994</v>
      </c>
      <c r="DJ27" s="1875">
        <f>DJ19/DJ21</f>
        <v>0</v>
      </c>
      <c r="DK27" s="2142"/>
      <c r="DL27" s="2143" t="s">
        <v>1994</v>
      </c>
      <c r="DM27" s="2142"/>
      <c r="DN27" s="1875">
        <f>DN19/DN21</f>
        <v>0</v>
      </c>
      <c r="DO27" s="2142"/>
      <c r="DP27" s="2143" t="s">
        <v>1994</v>
      </c>
      <c r="DR27" s="2161">
        <f>DR19/DR21</f>
        <v>0</v>
      </c>
      <c r="DS27" s="2166"/>
      <c r="DT27" s="2167" t="s">
        <v>1994</v>
      </c>
      <c r="DU27" s="2166"/>
      <c r="DV27" s="2161">
        <f>DV19/DV21</f>
        <v>0</v>
      </c>
      <c r="DW27" s="2166"/>
      <c r="DX27" s="2167" t="s">
        <v>1994</v>
      </c>
      <c r="DZ27" s="1875">
        <f>DZ19/DZ21</f>
        <v>0</v>
      </c>
      <c r="EA27" s="2142"/>
      <c r="EB27" s="2143" t="s">
        <v>1994</v>
      </c>
      <c r="EC27" s="2142"/>
      <c r="ED27" s="1875">
        <f>ED19/ED21</f>
        <v>0</v>
      </c>
      <c r="EE27" s="2142"/>
      <c r="EF27" s="2143" t="s">
        <v>1994</v>
      </c>
    </row>
    <row r="28" spans="1:136">
      <c r="A28" t="s">
        <v>2743</v>
      </c>
      <c r="C28" s="1411" t="e">
        <f>C27/'Ch41 Calc Data'!K17</f>
        <v>#DIV/0!</v>
      </c>
      <c r="D28" s="1415"/>
      <c r="E28" s="1416" t="s">
        <v>1994</v>
      </c>
      <c r="F28" s="1415"/>
      <c r="G28" s="1411" t="e">
        <f>G27/'Ch41 Calc Data'!K17</f>
        <v>#DIV/0!</v>
      </c>
      <c r="H28" s="1415"/>
      <c r="I28" s="4323" t="s">
        <v>1994</v>
      </c>
      <c r="K28" s="4234" t="e">
        <f>K27/'Ch41 Calc Data'!L17</f>
        <v>#DIV/0!</v>
      </c>
      <c r="L28" s="4235"/>
      <c r="M28" s="4236" t="s">
        <v>1994</v>
      </c>
      <c r="N28" s="4235"/>
      <c r="O28" s="4234" t="e">
        <f>O27/'Ch41 Calc Data'!L17</f>
        <v>#DIV/0!</v>
      </c>
      <c r="P28" s="4235"/>
      <c r="Q28" s="4340" t="s">
        <v>1994</v>
      </c>
      <c r="S28" s="1589" t="e">
        <f>S27/'Ch41 Calc Data'!M17</f>
        <v>#DIV/0!</v>
      </c>
      <c r="T28" s="1593"/>
      <c r="U28" s="1594" t="s">
        <v>1994</v>
      </c>
      <c r="V28" s="1593"/>
      <c r="W28" s="1589" t="e">
        <f>W27/'Ch41 Calc Data'!M17</f>
        <v>#DIV/0!</v>
      </c>
      <c r="X28" s="1593"/>
      <c r="Y28" s="4346" t="s">
        <v>1994</v>
      </c>
      <c r="AA28" s="1670" t="e">
        <f>AA27/'Ch41 Calc Data'!N17</f>
        <v>#DIV/0!</v>
      </c>
      <c r="AB28" s="1674"/>
      <c r="AC28" s="1675" t="s">
        <v>1994</v>
      </c>
      <c r="AD28" s="1674"/>
      <c r="AE28" s="1670" t="e">
        <f>AE27/'Ch41 Calc Data'!N17</f>
        <v>#DIV/0!</v>
      </c>
      <c r="AF28" s="1674"/>
      <c r="AG28" s="4361" t="s">
        <v>1994</v>
      </c>
      <c r="AI28" s="2089" t="e">
        <f>AI27/'Ch41 Calc Data'!O17</f>
        <v>#DIV/0!</v>
      </c>
      <c r="AJ28" s="2093"/>
      <c r="AK28" s="2094" t="s">
        <v>1994</v>
      </c>
      <c r="AL28" s="2093"/>
      <c r="AM28" s="2089" t="e">
        <f>AM27/'Ch41 Calc Data'!O17</f>
        <v>#DIV/0!</v>
      </c>
      <c r="AN28" s="2093"/>
      <c r="AO28" s="4381" t="s">
        <v>1994</v>
      </c>
      <c r="AQ28" s="2635" t="e">
        <f>AQ27/'Ch41 Calc Data'!P17</f>
        <v>#DIV/0!</v>
      </c>
      <c r="AR28" s="2639"/>
      <c r="AS28" s="2640" t="s">
        <v>1994</v>
      </c>
      <c r="AT28" s="2639"/>
      <c r="AU28" s="2635" t="e">
        <f>AU27/'Ch41 Calc Data'!P17</f>
        <v>#DIV/0!</v>
      </c>
      <c r="AV28" s="2639"/>
      <c r="AW28" s="4392" t="s">
        <v>1994</v>
      </c>
      <c r="AY28" s="4196" t="e">
        <f>AY27/'Ch41 Calc Data'!Q17</f>
        <v>#DIV/0!</v>
      </c>
      <c r="AZ28" s="4197"/>
      <c r="BA28" s="4201" t="s">
        <v>1994</v>
      </c>
      <c r="BB28" s="4197"/>
      <c r="BC28" s="4196" t="e">
        <f>BC27/'Ch41 Calc Data'!Q17</f>
        <v>#DIV/0!</v>
      </c>
      <c r="BD28" s="4197"/>
      <c r="BE28" s="4401" t="s">
        <v>1994</v>
      </c>
      <c r="BH28" s="977" t="e">
        <f>BH27/'Ch41 Calc Data'!L20</f>
        <v>#DIV/0!</v>
      </c>
      <c r="BI28" s="980" t="s">
        <v>1994</v>
      </c>
      <c r="BJ28" s="977" t="e">
        <f>BJ27/'Ch41 Calc Data'!L20</f>
        <v>#DIV/0!</v>
      </c>
      <c r="BK28" s="980" t="s">
        <v>1994</v>
      </c>
      <c r="BV28" s="1012" t="e">
        <f>BV27/'Ch41 Calc Data'!AA17</f>
        <v>#REF!</v>
      </c>
      <c r="BW28" s="1016"/>
      <c r="BX28" s="1017" t="s">
        <v>1994</v>
      </c>
      <c r="BY28" s="1016"/>
      <c r="BZ28" s="1012" t="e">
        <f>BZ27/'Ch41 Calc Data'!AA17</f>
        <v>#REF!</v>
      </c>
      <c r="CA28" s="1016"/>
      <c r="CB28" s="1017" t="s">
        <v>1994</v>
      </c>
      <c r="CD28" s="2187" t="e">
        <f>CD27/'Ch41 Calc Data'!AB17</f>
        <v>#REF!</v>
      </c>
      <c r="CE28" s="2192"/>
      <c r="CF28" s="2193" t="s">
        <v>1994</v>
      </c>
      <c r="CG28" s="2192"/>
      <c r="CH28" s="2187" t="e">
        <f>CH27/'Ch41 Calc Data'!AB17</f>
        <v>#REF!</v>
      </c>
      <c r="CI28" s="2192"/>
      <c r="CJ28" s="2193" t="s">
        <v>1994</v>
      </c>
      <c r="CL28" s="2161" t="e">
        <f>CL27/'Ch41 Calc Data'!AC17</f>
        <v>#REF!</v>
      </c>
      <c r="CM28" s="2166"/>
      <c r="CN28" s="2167" t="s">
        <v>1994</v>
      </c>
      <c r="CO28" s="2166"/>
      <c r="CP28" s="2161" t="e">
        <f>CP27/'Ch41 Calc Data'!AC17</f>
        <v>#REF!</v>
      </c>
      <c r="CQ28" s="2166"/>
      <c r="CR28" s="2167" t="s">
        <v>1994</v>
      </c>
      <c r="CT28" s="1875" t="e">
        <f>CT27/'Ch41 Calc Data'!AD17</f>
        <v>#REF!</v>
      </c>
      <c r="CU28" s="2142"/>
      <c r="CV28" s="2143" t="s">
        <v>1994</v>
      </c>
      <c r="CW28" s="2142"/>
      <c r="CX28" s="1875" t="e">
        <f>CX27/'Ch41 Calc Data'!AD17</f>
        <v>#REF!</v>
      </c>
      <c r="CY28" s="2142"/>
      <c r="CZ28" s="2143" t="s">
        <v>1994</v>
      </c>
      <c r="DB28" s="2161" t="e">
        <f>DB27/'Ch41 Calc Data'!AE17</f>
        <v>#DIV/0!</v>
      </c>
      <c r="DC28" s="2166"/>
      <c r="DD28" s="2167" t="s">
        <v>1994</v>
      </c>
      <c r="DE28" s="2166"/>
      <c r="DF28" s="2161" t="e">
        <f>DF27/'Ch41 Calc Data'!AE17</f>
        <v>#DIV/0!</v>
      </c>
      <c r="DG28" s="2166"/>
      <c r="DH28" s="2167" t="s">
        <v>1994</v>
      </c>
      <c r="DJ28" s="1875" t="e">
        <f>DJ27/'Ch41 Calc Data'!AF17</f>
        <v>#DIV/0!</v>
      </c>
      <c r="DK28" s="2142"/>
      <c r="DL28" s="2143" t="s">
        <v>1994</v>
      </c>
      <c r="DM28" s="2142"/>
      <c r="DN28" s="1875" t="e">
        <f>DN27/'Ch41 Calc Data'!AF17</f>
        <v>#DIV/0!</v>
      </c>
      <c r="DO28" s="2142"/>
      <c r="DP28" s="2143" t="s">
        <v>1994</v>
      </c>
      <c r="DR28" s="2161" t="e">
        <f>DR27/'Ch41 Calc Data'!AG17</f>
        <v>#DIV/0!</v>
      </c>
      <c r="DS28" s="2166"/>
      <c r="DT28" s="2167" t="s">
        <v>1994</v>
      </c>
      <c r="DU28" s="2166"/>
      <c r="DV28" s="2161" t="e">
        <f>DV27/'Ch41 Calc Data'!AG17</f>
        <v>#DIV/0!</v>
      </c>
      <c r="DW28" s="2166"/>
      <c r="DX28" s="2167" t="s">
        <v>1994</v>
      </c>
      <c r="DZ28" s="1875" t="e">
        <f>DZ27/'Ch41 Calc Data'!AH17</f>
        <v>#DIV/0!</v>
      </c>
      <c r="EA28" s="2142"/>
      <c r="EB28" s="2143" t="s">
        <v>1994</v>
      </c>
      <c r="EC28" s="2142"/>
      <c r="ED28" s="1875" t="e">
        <f>ED27/'Ch41 Calc Data'!AH17</f>
        <v>#DIV/0!</v>
      </c>
      <c r="EE28" s="2142"/>
      <c r="EF28" s="2143" t="s">
        <v>1994</v>
      </c>
    </row>
    <row r="29" spans="1:136">
      <c r="A29" t="s">
        <v>2039</v>
      </c>
      <c r="C29" s="1411" t="e">
        <f>C28*((((Assumptions!G92/280000)-1)*('Data Entry - SOF'!C58/1.17))+1)</f>
        <v>#DIV/0!</v>
      </c>
      <c r="D29" s="1415"/>
      <c r="E29" s="1416" t="s">
        <v>1994</v>
      </c>
      <c r="F29" s="1415"/>
      <c r="G29" s="1411" t="e">
        <f>G28*((((Assumptions!G93/280000)-1)*('Data Entry - SOF'!C58/1.17))+1)</f>
        <v>#DIV/0!</v>
      </c>
      <c r="H29" s="1415"/>
      <c r="I29" s="4323" t="s">
        <v>1994</v>
      </c>
      <c r="K29" s="4234" t="e">
        <f>K28*((((Assumptions!G103/280000)-1)*('Data Entry - SOF'!E58/1.17))+1)</f>
        <v>#DIV/0!</v>
      </c>
      <c r="L29" s="4235"/>
      <c r="M29" s="4236" t="s">
        <v>1994</v>
      </c>
      <c r="N29" s="4235"/>
      <c r="O29" s="4234" t="e">
        <f>O28*((((Assumptions!G104/280000)-1)*('Data Entry - SOF'!E58/1.17))+1)</f>
        <v>#DIV/0!</v>
      </c>
      <c r="P29" s="4235"/>
      <c r="Q29" s="4340" t="s">
        <v>1994</v>
      </c>
      <c r="S29" s="1589" t="e">
        <f>S28*((((Assumptions!G112/280000)-1)*('Data Entry - SOF'!G58/1.17))+1)</f>
        <v>#DIV/0!</v>
      </c>
      <c r="T29" s="1593"/>
      <c r="U29" s="1594" t="s">
        <v>1994</v>
      </c>
      <c r="V29" s="1593"/>
      <c r="W29" s="1589" t="e">
        <f>W28*((((Assumptions!G113/280000)-1)*('Data Entry - SOF'!G58/1.17))+1)</f>
        <v>#DIV/0!</v>
      </c>
      <c r="X29" s="1593"/>
      <c r="Y29" s="4346" t="s">
        <v>1994</v>
      </c>
      <c r="AA29" s="1670" t="e">
        <f>AA28*((((Assumptions!G121/280000)-1)*('Data Entry - SOF'!I58/1.17))+1)</f>
        <v>#DIV/0!</v>
      </c>
      <c r="AB29" s="1674"/>
      <c r="AC29" s="1675" t="s">
        <v>1994</v>
      </c>
      <c r="AD29" s="1674"/>
      <c r="AE29" s="1670" t="e">
        <f>AE28*((((Assumptions!G122/280000)-1)*('Data Entry - SOF'!I58/1.17))+1)</f>
        <v>#DIV/0!</v>
      </c>
      <c r="AF29" s="1674"/>
      <c r="AG29" s="4361" t="s">
        <v>1994</v>
      </c>
      <c r="AI29" s="2089" t="e">
        <f>AI28*((((Assumptions!G130/280000)-1)*('Data Entry - SOF'!K58/1.17))+1)</f>
        <v>#DIV/0!</v>
      </c>
      <c r="AJ29" s="2093"/>
      <c r="AK29" s="2094" t="s">
        <v>1994</v>
      </c>
      <c r="AL29" s="2093"/>
      <c r="AM29" s="2089" t="e">
        <f>AM28*((((Assumptions!G131/280000)-1)*('Data Entry - SOF'!K58/1.17))+1)</f>
        <v>#DIV/0!</v>
      </c>
      <c r="AN29" s="2093"/>
      <c r="AO29" s="4381" t="s">
        <v>1994</v>
      </c>
      <c r="AQ29" s="2635" t="e">
        <f>AQ28*((((Assumptions!G139/280000)-1)*('Data Entry - SOF'!M58/1.17))+1)</f>
        <v>#DIV/0!</v>
      </c>
      <c r="AR29" s="2639"/>
      <c r="AS29" s="2640" t="s">
        <v>1994</v>
      </c>
      <c r="AT29" s="2639"/>
      <c r="AU29" s="2635" t="e">
        <f>AU28*((((Assumptions!G140/280000)-1)*('Data Entry - SOF'!M58/1.17))+1)</f>
        <v>#DIV/0!</v>
      </c>
      <c r="AV29" s="2639"/>
      <c r="AW29" s="4392" t="s">
        <v>1994</v>
      </c>
      <c r="AY29" s="4196" t="e">
        <f>AY28*((((Assumptions!G148/280000)-1)*('Data Entry - SOF'!O58/1.17))+1)</f>
        <v>#DIV/0!</v>
      </c>
      <c r="AZ29" s="4197"/>
      <c r="BA29" s="4201" t="s">
        <v>1994</v>
      </c>
      <c r="BB29" s="4197"/>
      <c r="BC29" s="4196" t="e">
        <f>BC28*((((Assumptions!G149/280000)-1)*('Data Entry - SOF'!O58/1.17))+1)</f>
        <v>#DIV/0!</v>
      </c>
      <c r="BD29" s="4197"/>
      <c r="BE29" s="4401" t="s">
        <v>1994</v>
      </c>
      <c r="BH29" s="977" t="e">
        <f>BH28*((((Assumptions!G112/280000)-1)*('Data Entry - SOF'!E58/1.17))+1)</f>
        <v>#DIV/0!</v>
      </c>
      <c r="BI29" s="980" t="s">
        <v>1994</v>
      </c>
      <c r="BJ29" s="977" t="e">
        <f>BJ28*((((Assumptions!G113/280000)-1)*('Data Entry - SOF'!E58/1.17))+1)</f>
        <v>#DIV/0!</v>
      </c>
      <c r="BK29" s="980" t="s">
        <v>1994</v>
      </c>
      <c r="BV29" s="1012" t="e">
        <f>BV28*((((Assumptions!G30/280000)-1)*('Data Entry - SOF'!#REF!/1.17))+1)</f>
        <v>#REF!</v>
      </c>
      <c r="BW29" s="1016"/>
      <c r="BX29" s="1017" t="s">
        <v>1994</v>
      </c>
      <c r="BY29" s="1016"/>
      <c r="BZ29" s="1012" t="e">
        <f>BZ28*((((Assumptions!G31/280000)-1)*('Data Entry - SOF'!#REF!/1.17))+1)</f>
        <v>#REF!</v>
      </c>
      <c r="CA29" s="1016"/>
      <c r="CB29" s="1017" t="s">
        <v>1994</v>
      </c>
      <c r="CD29" s="2187" t="e">
        <f>CD28*((((Assumptions!G40/280000)-1)*('Data Entry - SOF'!#REF!/1.17))+1)</f>
        <v>#REF!</v>
      </c>
      <c r="CE29" s="2192"/>
      <c r="CF29" s="2193" t="s">
        <v>1994</v>
      </c>
      <c r="CG29" s="2192"/>
      <c r="CH29" s="2187" t="e">
        <f>CH28*((((Assumptions!G41/280000)-1)*('Data Entry - SOF'!#REF!/1.17))+1)</f>
        <v>#REF!</v>
      </c>
      <c r="CI29" s="2192"/>
      <c r="CJ29" s="2193" t="s">
        <v>1994</v>
      </c>
      <c r="CL29" s="2161" t="e">
        <f>CL28*((((Assumptions!G30/280000)-1)*('Data Entry - SOF'!#REF!/1.17))+1)</f>
        <v>#REF!</v>
      </c>
      <c r="CM29" s="2166"/>
      <c r="CN29" s="2167" t="s">
        <v>1994</v>
      </c>
      <c r="CO29" s="2166"/>
      <c r="CP29" s="2161" t="e">
        <f>CP28*((((Assumptions!G31/280000)-1)*('Data Entry - SOF'!#REF!/1.17))+1)</f>
        <v>#REF!</v>
      </c>
      <c r="CQ29" s="2166"/>
      <c r="CR29" s="2167" t="s">
        <v>1994</v>
      </c>
      <c r="CT29" s="1875" t="e">
        <f>CT28*((((Assumptions!G30/280000)-1)*('Data Entry - SOF'!#REF!/1.17))+1)</f>
        <v>#REF!</v>
      </c>
      <c r="CU29" s="2142"/>
      <c r="CV29" s="2143" t="s">
        <v>1994</v>
      </c>
      <c r="CW29" s="2142"/>
      <c r="CX29" s="1875" t="e">
        <f>CX28*((((Assumptions!G31/280000)-1)*('Data Entry - SOF'!#REF!/1.17))+1)</f>
        <v>#REF!</v>
      </c>
      <c r="CY29" s="2142"/>
      <c r="CZ29" s="2143" t="s">
        <v>1994</v>
      </c>
      <c r="DB29" s="2161" t="e">
        <f>DB28*((((Assumptions!G30/280000)-1)*('Data Entry - SOF'!C58/1.17))+1)</f>
        <v>#DIV/0!</v>
      </c>
      <c r="DC29" s="2166"/>
      <c r="DD29" s="2167" t="s">
        <v>1994</v>
      </c>
      <c r="DE29" s="2166"/>
      <c r="DF29" s="2161" t="e">
        <f>DF28*((((Assumptions!G31/280000)-1)*('Data Entry - SOF'!C58/1.17))+1)</f>
        <v>#DIV/0!</v>
      </c>
      <c r="DG29" s="2166"/>
      <c r="DH29" s="2167" t="s">
        <v>1994</v>
      </c>
      <c r="DJ29" s="1875" t="e">
        <f>DJ28*((((Assumptions!G30/280000)-1)*('Data Entry - SOF'!C58/1.17))+1)</f>
        <v>#DIV/0!</v>
      </c>
      <c r="DK29" s="2142"/>
      <c r="DL29" s="2143" t="s">
        <v>1994</v>
      </c>
      <c r="DM29" s="2142"/>
      <c r="DN29" s="1875" t="e">
        <f>DN28*((((Assumptions!G31/280000)-1)*('Data Entry - SOF'!C58/1.17))+1)</f>
        <v>#DIV/0!</v>
      </c>
      <c r="DO29" s="2142"/>
      <c r="DP29" s="2143" t="s">
        <v>1994</v>
      </c>
      <c r="DR29" s="2161" t="e">
        <f>DR28*((((Assumptions!G30/280000)-1)*('Data Entry - SOF'!E58/1.17))+1)</f>
        <v>#DIV/0!</v>
      </c>
      <c r="DS29" s="2166"/>
      <c r="DT29" s="2167" t="s">
        <v>1994</v>
      </c>
      <c r="DU29" s="2166"/>
      <c r="DV29" s="2161" t="e">
        <f>DV28*((((Assumptions!G31/280000)-1)*('Data Entry - SOF'!E58/1.17))+1)</f>
        <v>#DIV/0!</v>
      </c>
      <c r="DW29" s="2166"/>
      <c r="DX29" s="2167" t="s">
        <v>1994</v>
      </c>
      <c r="DZ29" s="1875" t="e">
        <f>DZ28*((((Assumptions!G30/280000)-1)*('Data Entry - SOF'!G58/1.17))+1)</f>
        <v>#DIV/0!</v>
      </c>
      <c r="EA29" s="2142"/>
      <c r="EB29" s="2143" t="s">
        <v>1994</v>
      </c>
      <c r="EC29" s="2142"/>
      <c r="ED29" s="1875" t="e">
        <f>ED28*((((Assumptions!G31/280000)-1)*('Data Entry - SOF'!E58/1.17))+1)</f>
        <v>#DIV/0!</v>
      </c>
      <c r="EE29" s="2142"/>
      <c r="EF29" s="2143" t="s">
        <v>1994</v>
      </c>
    </row>
    <row r="30" spans="1:136">
      <c r="A30" t="s">
        <v>905</v>
      </c>
      <c r="C30" s="1411" t="e">
        <f>C29*'Ch41 Calc Data'!K17</f>
        <v>#DIV/0!</v>
      </c>
      <c r="D30" s="1415"/>
      <c r="E30" s="1416" t="s">
        <v>1994</v>
      </c>
      <c r="F30" s="1415"/>
      <c r="G30" s="1411" t="e">
        <f>G29*'Ch41 Calc Data'!K17</f>
        <v>#DIV/0!</v>
      </c>
      <c r="H30" s="1415"/>
      <c r="I30" s="4323" t="s">
        <v>1994</v>
      </c>
      <c r="K30" s="4234" t="e">
        <f>K29*'Ch41 Calc Data'!L17</f>
        <v>#DIV/0!</v>
      </c>
      <c r="L30" s="4235"/>
      <c r="M30" s="4236" t="s">
        <v>1994</v>
      </c>
      <c r="N30" s="4235"/>
      <c r="O30" s="4234" t="e">
        <f>O29*'Ch41 Calc Data'!L17</f>
        <v>#DIV/0!</v>
      </c>
      <c r="P30" s="4235"/>
      <c r="Q30" s="4340" t="s">
        <v>1994</v>
      </c>
      <c r="S30" s="1589" t="e">
        <f>S29*'Ch41 Calc Data'!M17</f>
        <v>#DIV/0!</v>
      </c>
      <c r="T30" s="1593"/>
      <c r="U30" s="1594" t="s">
        <v>1994</v>
      </c>
      <c r="V30" s="1593"/>
      <c r="W30" s="1589" t="e">
        <f>W29*'Ch41 Calc Data'!M17</f>
        <v>#DIV/0!</v>
      </c>
      <c r="X30" s="1593"/>
      <c r="Y30" s="4346" t="s">
        <v>1994</v>
      </c>
      <c r="AA30" s="1670" t="e">
        <f>AA29*'Ch41 Calc Data'!N17</f>
        <v>#DIV/0!</v>
      </c>
      <c r="AB30" s="1674"/>
      <c r="AC30" s="1675" t="s">
        <v>1994</v>
      </c>
      <c r="AD30" s="1674"/>
      <c r="AE30" s="1670" t="e">
        <f>AE29*'Ch41 Calc Data'!N17</f>
        <v>#DIV/0!</v>
      </c>
      <c r="AF30" s="1674"/>
      <c r="AG30" s="4361" t="s">
        <v>1994</v>
      </c>
      <c r="AI30" s="2089" t="e">
        <f>AI29*'Ch41 Calc Data'!O17</f>
        <v>#DIV/0!</v>
      </c>
      <c r="AJ30" s="2093"/>
      <c r="AK30" s="2094" t="s">
        <v>1994</v>
      </c>
      <c r="AL30" s="2093"/>
      <c r="AM30" s="2089" t="e">
        <f>AM29*'Ch41 Calc Data'!O17</f>
        <v>#DIV/0!</v>
      </c>
      <c r="AN30" s="2093"/>
      <c r="AO30" s="4381" t="s">
        <v>1994</v>
      </c>
      <c r="AQ30" s="2635" t="e">
        <f>AQ29*'Ch41 Calc Data'!P17</f>
        <v>#DIV/0!</v>
      </c>
      <c r="AR30" s="2639"/>
      <c r="AS30" s="2640" t="s">
        <v>1994</v>
      </c>
      <c r="AT30" s="2639"/>
      <c r="AU30" s="2635" t="e">
        <f>AU29*'Ch41 Calc Data'!P17</f>
        <v>#DIV/0!</v>
      </c>
      <c r="AV30" s="2639"/>
      <c r="AW30" s="4392" t="s">
        <v>1994</v>
      </c>
      <c r="AY30" s="4196" t="e">
        <f>AY29*'Ch41 Calc Data'!Q17</f>
        <v>#DIV/0!</v>
      </c>
      <c r="AZ30" s="4197"/>
      <c r="BA30" s="4201" t="s">
        <v>1994</v>
      </c>
      <c r="BB30" s="4197"/>
      <c r="BC30" s="4196" t="e">
        <f>BC29*'Ch41 Calc Data'!Q17</f>
        <v>#DIV/0!</v>
      </c>
      <c r="BD30" s="4197"/>
      <c r="BE30" s="4401" t="s">
        <v>1994</v>
      </c>
      <c r="BH30" s="977" t="e">
        <f>BH29*'Ch41 Calc Data'!L20</f>
        <v>#DIV/0!</v>
      </c>
      <c r="BI30" s="980" t="s">
        <v>1994</v>
      </c>
      <c r="BJ30" s="977" t="e">
        <f>BJ29*'Ch41 Calc Data'!L20</f>
        <v>#DIV/0!</v>
      </c>
      <c r="BK30" s="980" t="s">
        <v>1994</v>
      </c>
      <c r="BV30" s="1012" t="e">
        <f>BV29*'Ch41 Calc Data'!AA17</f>
        <v>#REF!</v>
      </c>
      <c r="BW30" s="1016"/>
      <c r="BX30" s="1017" t="s">
        <v>1994</v>
      </c>
      <c r="BY30" s="1016"/>
      <c r="BZ30" s="1012" t="e">
        <f>BZ29*'Ch41 Calc Data'!AA17</f>
        <v>#REF!</v>
      </c>
      <c r="CA30" s="1016"/>
      <c r="CB30" s="1017" t="s">
        <v>1994</v>
      </c>
      <c r="CD30" s="2187" t="e">
        <f>CD29*'Ch41 Calc Data'!AB17</f>
        <v>#REF!</v>
      </c>
      <c r="CE30" s="2192"/>
      <c r="CF30" s="2193" t="s">
        <v>1994</v>
      </c>
      <c r="CG30" s="2192"/>
      <c r="CH30" s="2187" t="e">
        <f>CH29*'Ch41 Calc Data'!AB17</f>
        <v>#REF!</v>
      </c>
      <c r="CI30" s="2192"/>
      <c r="CJ30" s="2193" t="s">
        <v>1994</v>
      </c>
      <c r="CL30" s="2161" t="e">
        <f>CL29*'Ch41 Calc Data'!AC17</f>
        <v>#REF!</v>
      </c>
      <c r="CM30" s="2166"/>
      <c r="CN30" s="2167" t="s">
        <v>1994</v>
      </c>
      <c r="CO30" s="2166"/>
      <c r="CP30" s="2161" t="e">
        <f>CP29*'Ch41 Calc Data'!AC17</f>
        <v>#REF!</v>
      </c>
      <c r="CQ30" s="2166"/>
      <c r="CR30" s="2167" t="s">
        <v>1994</v>
      </c>
      <c r="CT30" s="1875" t="e">
        <f>CT29*'Ch41 Calc Data'!AD17</f>
        <v>#REF!</v>
      </c>
      <c r="CU30" s="2142"/>
      <c r="CV30" s="2143" t="s">
        <v>1994</v>
      </c>
      <c r="CW30" s="2142"/>
      <c r="CX30" s="1875" t="e">
        <f>CX29*'Ch41 Calc Data'!AD17</f>
        <v>#REF!</v>
      </c>
      <c r="CY30" s="2142"/>
      <c r="CZ30" s="2143" t="s">
        <v>1994</v>
      </c>
      <c r="DB30" s="2161" t="e">
        <f>DB29*'Ch41 Calc Data'!AE17</f>
        <v>#DIV/0!</v>
      </c>
      <c r="DC30" s="2166"/>
      <c r="DD30" s="2167" t="s">
        <v>1994</v>
      </c>
      <c r="DE30" s="2166"/>
      <c r="DF30" s="2161" t="e">
        <f>DF29*'Ch41 Calc Data'!AE17</f>
        <v>#DIV/0!</v>
      </c>
      <c r="DG30" s="2166"/>
      <c r="DH30" s="2167" t="s">
        <v>1994</v>
      </c>
      <c r="DJ30" s="1875" t="e">
        <f>DJ29*'Ch41 Calc Data'!AF17</f>
        <v>#DIV/0!</v>
      </c>
      <c r="DK30" s="2142"/>
      <c r="DL30" s="2143" t="s">
        <v>1994</v>
      </c>
      <c r="DM30" s="2142"/>
      <c r="DN30" s="1875" t="e">
        <f>DN29*'Ch41 Calc Data'!AF17</f>
        <v>#DIV/0!</v>
      </c>
      <c r="DO30" s="2142"/>
      <c r="DP30" s="2143" t="s">
        <v>1994</v>
      </c>
      <c r="DR30" s="2161" t="e">
        <f>DR29*'Ch41 Calc Data'!AG17</f>
        <v>#DIV/0!</v>
      </c>
      <c r="DS30" s="2166"/>
      <c r="DT30" s="2167" t="s">
        <v>1994</v>
      </c>
      <c r="DU30" s="2166"/>
      <c r="DV30" s="2161" t="e">
        <f>DV29*'Ch41 Calc Data'!AG17</f>
        <v>#DIV/0!</v>
      </c>
      <c r="DW30" s="2166"/>
      <c r="DX30" s="2167" t="s">
        <v>1994</v>
      </c>
      <c r="DZ30" s="1875" t="e">
        <f>DZ29*'Ch41 Calc Data'!AH17</f>
        <v>#DIV/0!</v>
      </c>
      <c r="EA30" s="2142"/>
      <c r="EB30" s="2143" t="s">
        <v>1994</v>
      </c>
      <c r="EC30" s="2142"/>
      <c r="ED30" s="1875" t="e">
        <f>ED29*'Ch41 Calc Data'!AH17</f>
        <v>#DIV/0!</v>
      </c>
      <c r="EE30" s="2142"/>
      <c r="EF30" s="2143" t="s">
        <v>1994</v>
      </c>
    </row>
    <row r="31" spans="1:136">
      <c r="I31" s="2733"/>
      <c r="K31" s="4235"/>
      <c r="L31" s="4235"/>
      <c r="M31" s="4235"/>
      <c r="N31" s="4235"/>
      <c r="O31" s="4235"/>
      <c r="P31" s="4235"/>
      <c r="Q31" s="4339"/>
      <c r="Y31" s="2769"/>
      <c r="AG31" s="2790"/>
      <c r="AO31" s="4375"/>
      <c r="AW31" s="2820"/>
      <c r="AY31" s="4197"/>
      <c r="AZ31" s="4197"/>
      <c r="BA31" s="4197"/>
      <c r="BB31" s="4197"/>
      <c r="BC31" s="4197"/>
      <c r="BD31" s="4197"/>
      <c r="BE31" s="4400"/>
      <c r="BH31" s="978"/>
      <c r="BI31" s="978"/>
      <c r="BJ31" s="978"/>
      <c r="BK31" s="978"/>
    </row>
    <row r="32" spans="1:136" ht="15.75">
      <c r="A32" s="38" t="s">
        <v>1420</v>
      </c>
      <c r="I32" s="2733"/>
      <c r="K32" s="4235"/>
      <c r="L32" s="4235"/>
      <c r="M32" s="4235"/>
      <c r="N32" s="4235"/>
      <c r="O32" s="4235"/>
      <c r="P32" s="4235"/>
      <c r="Q32" s="4339"/>
      <c r="Y32" s="2769"/>
      <c r="AG32" s="2790"/>
      <c r="AO32" s="4375"/>
      <c r="AW32" s="2820"/>
      <c r="AY32" s="4197"/>
      <c r="AZ32" s="4197"/>
      <c r="BA32" s="4197"/>
      <c r="BB32" s="4197"/>
      <c r="BC32" s="4197"/>
      <c r="BD32" s="4197"/>
      <c r="BE32" s="4400"/>
      <c r="BH32" s="978"/>
      <c r="BI32" s="978"/>
      <c r="BJ32" s="978"/>
      <c r="BK32" s="978"/>
    </row>
    <row r="33" spans="1:136">
      <c r="A33" t="s">
        <v>1421</v>
      </c>
      <c r="C33" s="1411" t="e">
        <f>IF(C30&gt;C24,C30,C24)</f>
        <v>#DIV/0!</v>
      </c>
      <c r="D33" s="1412"/>
      <c r="E33" s="1411" t="e">
        <f>E24</f>
        <v>#DIV/0!</v>
      </c>
      <c r="F33" s="1412"/>
      <c r="G33" s="1411" t="e">
        <f>IF(G30&gt;G24,G30,G24)</f>
        <v>#DIV/0!</v>
      </c>
      <c r="H33" s="1412"/>
      <c r="I33" s="4321" t="e">
        <f>I24</f>
        <v>#DIV/0!</v>
      </c>
      <c r="K33" s="4234" t="e">
        <f>IF(K30&gt;K24,K30,K24)</f>
        <v>#DIV/0!</v>
      </c>
      <c r="L33" s="4235"/>
      <c r="M33" s="4234" t="e">
        <f>M24</f>
        <v>#DIV/0!</v>
      </c>
      <c r="N33" s="4235"/>
      <c r="O33" s="4234" t="e">
        <f>IF(O30&gt;O24,O30,O24)</f>
        <v>#DIV/0!</v>
      </c>
      <c r="P33" s="4235"/>
      <c r="Q33" s="4338" t="e">
        <f>Q24</f>
        <v>#DIV/0!</v>
      </c>
      <c r="S33" s="1589" t="e">
        <f>IF(S30&gt;S24,S30,S24)</f>
        <v>#DIV/0!</v>
      </c>
      <c r="T33" s="1590"/>
      <c r="U33" s="1589" t="e">
        <f>U24</f>
        <v>#DIV/0!</v>
      </c>
      <c r="V33" s="1590"/>
      <c r="W33" s="1589" t="e">
        <f>IF(W30&gt;W24,W30,W24)</f>
        <v>#DIV/0!</v>
      </c>
      <c r="X33" s="1590"/>
      <c r="Y33" s="4344" t="e">
        <f>Y24</f>
        <v>#DIV/0!</v>
      </c>
      <c r="AA33" s="1670" t="e">
        <f>IF(AA30&gt;AA24,AA30,AA24)</f>
        <v>#DIV/0!</v>
      </c>
      <c r="AB33" s="1671"/>
      <c r="AC33" s="1670" t="e">
        <f>AC24</f>
        <v>#DIV/0!</v>
      </c>
      <c r="AD33" s="1671"/>
      <c r="AE33" s="1670" t="e">
        <f>IF(AE30&gt;AE24,AE30,AE24)</f>
        <v>#DIV/0!</v>
      </c>
      <c r="AF33" s="1671"/>
      <c r="AG33" s="4359" t="e">
        <f>AG24</f>
        <v>#DIV/0!</v>
      </c>
      <c r="AI33" s="2089" t="e">
        <f>IF(AI30&gt;AI24,AI30,AI24)</f>
        <v>#DIV/0!</v>
      </c>
      <c r="AJ33" s="2090"/>
      <c r="AK33" s="2089" t="e">
        <f>AK24</f>
        <v>#DIV/0!</v>
      </c>
      <c r="AL33" s="2090"/>
      <c r="AM33" s="2089" t="e">
        <f>IF(AM30&gt;AM24,AM30,AM24)</f>
        <v>#DIV/0!</v>
      </c>
      <c r="AN33" s="2090"/>
      <c r="AO33" s="4379" t="e">
        <f>AO24</f>
        <v>#DIV/0!</v>
      </c>
      <c r="AQ33" s="2635" t="e">
        <f>IF(AQ30&gt;AQ24,AQ30,AQ24)</f>
        <v>#DIV/0!</v>
      </c>
      <c r="AR33" s="2636"/>
      <c r="AS33" s="2635" t="e">
        <f>AS24</f>
        <v>#DIV/0!</v>
      </c>
      <c r="AT33" s="2636"/>
      <c r="AU33" s="2635" t="e">
        <f>IF(AU30&gt;AU24,AU30,AU24)</f>
        <v>#DIV/0!</v>
      </c>
      <c r="AV33" s="2636"/>
      <c r="AW33" s="4390" t="e">
        <f>AW24</f>
        <v>#DIV/0!</v>
      </c>
      <c r="AY33" s="4196" t="e">
        <f>IF(AY30&gt;AY24,AY30,AY24)</f>
        <v>#DIV/0!</v>
      </c>
      <c r="AZ33" s="4197"/>
      <c r="BA33" s="4196" t="e">
        <f>BA24</f>
        <v>#DIV/0!</v>
      </c>
      <c r="BB33" s="4197"/>
      <c r="BC33" s="4196" t="e">
        <f>IF(BC30&gt;BC24,BC30,BC24)</f>
        <v>#DIV/0!</v>
      </c>
      <c r="BD33" s="4197"/>
      <c r="BE33" s="4397" t="e">
        <f>BE24</f>
        <v>#DIV/0!</v>
      </c>
      <c r="BH33" s="977" t="e">
        <f>IF(BH30&gt;BH24,BH30,BH24)</f>
        <v>#DIV/0!</v>
      </c>
      <c r="BI33" s="977" t="e">
        <f>BI24</f>
        <v>#DIV/0!</v>
      </c>
      <c r="BJ33" s="977" t="e">
        <f>IF(BJ30&gt;BJ24,BJ30,BJ24)</f>
        <v>#DIV/0!</v>
      </c>
      <c r="BK33" s="977" t="e">
        <f>BK24</f>
        <v>#DIV/0!</v>
      </c>
      <c r="BV33" s="1012" t="e">
        <f>IF(BV30&gt;BV24,BV30,BV24)</f>
        <v>#REF!</v>
      </c>
      <c r="BW33" s="1013"/>
      <c r="BX33" s="1012" t="e">
        <f>BX24</f>
        <v>#REF!</v>
      </c>
      <c r="BY33" s="1013"/>
      <c r="BZ33" s="1012" t="e">
        <f>IF(BZ30&gt;BZ24,BZ30,BZ24)</f>
        <v>#REF!</v>
      </c>
      <c r="CA33" s="1013"/>
      <c r="CB33" s="1012" t="e">
        <f>CB24</f>
        <v>#REF!</v>
      </c>
      <c r="CD33" s="2187" t="e">
        <f>IF(CD30&gt;CD24,CD30,CD24)</f>
        <v>#REF!</v>
      </c>
      <c r="CE33" s="2188"/>
      <c r="CF33" s="2187" t="e">
        <f>CF24</f>
        <v>#REF!</v>
      </c>
      <c r="CG33" s="2188"/>
      <c r="CH33" s="2187" t="e">
        <f>IF(CH30&gt;CH24,CH30,CH24)</f>
        <v>#REF!</v>
      </c>
      <c r="CI33" s="2188"/>
      <c r="CJ33" s="2187" t="e">
        <f>CJ24</f>
        <v>#REF!</v>
      </c>
      <c r="CL33" s="2161" t="e">
        <f>IF(CL30&gt;CL24,CL30,CL24)</f>
        <v>#REF!</v>
      </c>
      <c r="CM33" s="2162"/>
      <c r="CN33" s="2161" t="e">
        <f>CN24</f>
        <v>#REF!</v>
      </c>
      <c r="CO33" s="2162"/>
      <c r="CP33" s="2161" t="e">
        <f>IF(CP30&gt;CP24,CP30,CP24)</f>
        <v>#REF!</v>
      </c>
      <c r="CQ33" s="2162"/>
      <c r="CR33" s="2161" t="e">
        <f>CR24</f>
        <v>#REF!</v>
      </c>
      <c r="CT33" s="1875" t="e">
        <f>IF(CT30&gt;CT24,CT30,CT24)</f>
        <v>#REF!</v>
      </c>
      <c r="CU33" s="2138"/>
      <c r="CV33" s="1875" t="e">
        <f>CV24</f>
        <v>#REF!</v>
      </c>
      <c r="CW33" s="2138"/>
      <c r="CX33" s="1875" t="e">
        <f>IF(CX30&gt;CX24,CX30,CX24)</f>
        <v>#REF!</v>
      </c>
      <c r="CY33" s="2138"/>
      <c r="CZ33" s="1875" t="e">
        <f>CZ24</f>
        <v>#REF!</v>
      </c>
      <c r="DB33" s="2161" t="e">
        <f>IF(DB30&gt;DB24,DB30,DB24)</f>
        <v>#DIV/0!</v>
      </c>
      <c r="DC33" s="2162"/>
      <c r="DD33" s="2161" t="e">
        <f>DD24</f>
        <v>#DIV/0!</v>
      </c>
      <c r="DE33" s="2162"/>
      <c r="DF33" s="2161" t="e">
        <f>IF(DF30&gt;DF24,DF30,DF24)</f>
        <v>#DIV/0!</v>
      </c>
      <c r="DG33" s="2162"/>
      <c r="DH33" s="2161" t="e">
        <f>DH24</f>
        <v>#DIV/0!</v>
      </c>
      <c r="DJ33" s="1875" t="e">
        <f>IF(DJ30&gt;DJ24,DJ30,DJ24)</f>
        <v>#DIV/0!</v>
      </c>
      <c r="DK33" s="2138"/>
      <c r="DL33" s="1875" t="e">
        <f>DL24</f>
        <v>#DIV/0!</v>
      </c>
      <c r="DM33" s="2138"/>
      <c r="DN33" s="1875" t="e">
        <f>IF(DN30&gt;DN24,DN30,DN24)</f>
        <v>#DIV/0!</v>
      </c>
      <c r="DO33" s="2138"/>
      <c r="DP33" s="1875" t="e">
        <f>DP24</f>
        <v>#DIV/0!</v>
      </c>
      <c r="DR33" s="2161" t="e">
        <f>IF(DR30&gt;DR24,DR30,DR24)</f>
        <v>#DIV/0!</v>
      </c>
      <c r="DS33" s="2162"/>
      <c r="DT33" s="2161" t="e">
        <f>DT24</f>
        <v>#DIV/0!</v>
      </c>
      <c r="DU33" s="2162"/>
      <c r="DV33" s="2161" t="e">
        <f>IF(DV30&gt;DV24,DV30,DV24)</f>
        <v>#DIV/0!</v>
      </c>
      <c r="DW33" s="2162"/>
      <c r="DX33" s="2161" t="e">
        <f>DX24</f>
        <v>#DIV/0!</v>
      </c>
      <c r="DZ33" s="1875" t="e">
        <f>IF(DZ30&gt;DZ24,DZ30,DZ24)</f>
        <v>#DIV/0!</v>
      </c>
      <c r="EA33" s="2138"/>
      <c r="EB33" s="1875" t="e">
        <f>EB24</f>
        <v>#DIV/0!</v>
      </c>
      <c r="EC33" s="2138"/>
      <c r="ED33" s="1875" t="e">
        <f>IF(ED30&gt;ED24,ED30,ED24)</f>
        <v>#DIV/0!</v>
      </c>
      <c r="EE33" s="2138"/>
      <c r="EF33" s="1875" t="e">
        <f>EF24</f>
        <v>#DIV/0!</v>
      </c>
    </row>
    <row r="34" spans="1:136">
      <c r="A34" t="s">
        <v>545</v>
      </c>
      <c r="C34" s="1411" t="e">
        <f>IF('Data Entry - SOF'!C52-C33&lt;0,0,'Data Entry - SOF'!C52-C33)</f>
        <v>#DIV/0!</v>
      </c>
      <c r="D34" s="1412"/>
      <c r="E34" s="1411" t="e">
        <f>IF('Data Entry - SOF'!C52-E33&lt;0,0,'Data Entry - SOF'!C52-E33)</f>
        <v>#DIV/0!</v>
      </c>
      <c r="F34" s="1412"/>
      <c r="G34" s="1411" t="e">
        <f>IF('Data Entry - SOF'!C52-G33&lt;0,0,'Data Entry - SOF'!C52-G33)</f>
        <v>#DIV/0!</v>
      </c>
      <c r="H34" s="1412"/>
      <c r="I34" s="4321" t="e">
        <f>IF('Data Entry - SOF'!C52-I33&lt;0,0,'Data Entry - SOF'!C52-I33)</f>
        <v>#DIV/0!</v>
      </c>
      <c r="K34" s="4234" t="e">
        <f>IF('Data Entry - SOF'!E52-K33&lt;0,0,'Data Entry - SOF'!E52-K33)</f>
        <v>#DIV/0!</v>
      </c>
      <c r="L34" s="4235"/>
      <c r="M34" s="4234" t="e">
        <f>IF('Data Entry - SOF'!E52-M33&lt;0,0,'Data Entry - SOF'!E52-M33)</f>
        <v>#DIV/0!</v>
      </c>
      <c r="N34" s="4235"/>
      <c r="O34" s="4234" t="e">
        <f>IF('Data Entry - SOF'!E52-O33&lt;0,0,'Data Entry - SOF'!E52-O33)</f>
        <v>#DIV/0!</v>
      </c>
      <c r="P34" s="4235"/>
      <c r="Q34" s="4338" t="e">
        <f>IF('Data Entry - SOF'!E52-Q33&lt;0,0,'Data Entry - SOF'!E52-Q33)</f>
        <v>#DIV/0!</v>
      </c>
      <c r="S34" s="1589" t="e">
        <f>IF('Data Entry - SOF'!G52-S33&lt;0,0,'Data Entry - SOF'!G52-S33)</f>
        <v>#DIV/0!</v>
      </c>
      <c r="T34" s="1590"/>
      <c r="U34" s="1589" t="e">
        <f>IF('Data Entry - SOF'!G52-U33&lt;0,0,'Data Entry - SOF'!G52-U33)</f>
        <v>#DIV/0!</v>
      </c>
      <c r="V34" s="1590"/>
      <c r="W34" s="1589" t="e">
        <f>IF('Data Entry - SOF'!G52-W33&lt;0,0,'Data Entry - SOF'!G52-W33)</f>
        <v>#DIV/0!</v>
      </c>
      <c r="X34" s="1590"/>
      <c r="Y34" s="4344" t="e">
        <f>IF('Data Entry - SOF'!G52-Y33&lt;0,0,'Data Entry - SOF'!G52-Y33)</f>
        <v>#DIV/0!</v>
      </c>
      <c r="AA34" s="1670" t="e">
        <f>IF('Data Entry - SOF'!I52-AA33&lt;0,0,'Data Entry - SOF'!I52-AA33)</f>
        <v>#DIV/0!</v>
      </c>
      <c r="AB34" s="1671"/>
      <c r="AC34" s="1670" t="e">
        <f>IF('Data Entry - SOF'!I52-AC33&lt;0,0,'Data Entry - SOF'!I52-AC33)</f>
        <v>#DIV/0!</v>
      </c>
      <c r="AD34" s="1671"/>
      <c r="AE34" s="1670" t="e">
        <f>IF('Data Entry - SOF'!I52-AE33&lt;0,0,'Data Entry - SOF'!I52-AE33)</f>
        <v>#DIV/0!</v>
      </c>
      <c r="AF34" s="1671"/>
      <c r="AG34" s="4359" t="e">
        <f>IF('Data Entry - SOF'!I52-AG33&lt;0,0,'Data Entry - SOF'!I52-AG33)</f>
        <v>#DIV/0!</v>
      </c>
      <c r="AI34" s="2089" t="e">
        <f>IF('Data Entry - SOF'!K52-AI33&lt;0,0,'Data Entry - SOF'!K52-AI33)</f>
        <v>#DIV/0!</v>
      </c>
      <c r="AJ34" s="2090"/>
      <c r="AK34" s="2089" t="e">
        <f>IF('Data Entry - SOF'!K52-AK33&lt;0,0,'Data Entry - SOF'!K52-AK33)</f>
        <v>#DIV/0!</v>
      </c>
      <c r="AL34" s="2090"/>
      <c r="AM34" s="2089" t="e">
        <f>IF('Data Entry - SOF'!K52-AM33&lt;0,0,'Data Entry - SOF'!K52-AM33)</f>
        <v>#DIV/0!</v>
      </c>
      <c r="AN34" s="2090"/>
      <c r="AO34" s="4379" t="e">
        <f>IF('Data Entry - SOF'!K52-AO33&lt;0,0,'Data Entry - SOF'!K52-AO33)</f>
        <v>#DIV/0!</v>
      </c>
      <c r="AQ34" s="2635" t="e">
        <f>IF('Data Entry - SOF'!M52-AQ33&lt;0,0,'Data Entry - SOF'!M52-AQ33)</f>
        <v>#DIV/0!</v>
      </c>
      <c r="AR34" s="2636"/>
      <c r="AS34" s="2635" t="e">
        <f>IF('Data Entry - SOF'!M52-AS33&lt;0,0,'Data Entry - SOF'!M52-AS33)</f>
        <v>#DIV/0!</v>
      </c>
      <c r="AT34" s="2636"/>
      <c r="AU34" s="2635" t="e">
        <f>IF('Data Entry - SOF'!M52-AU33&lt;0,0,'Data Entry - SOF'!M52-AU33)</f>
        <v>#DIV/0!</v>
      </c>
      <c r="AV34" s="2636"/>
      <c r="AW34" s="4390" t="e">
        <f>IF('Data Entry - SOF'!M52-AW33&lt;0,0,'Data Entry - SOF'!M52-AW33)</f>
        <v>#DIV/0!</v>
      </c>
      <c r="AY34" s="4196" t="e">
        <f>IF('Data Entry - SOF'!O52-AY33&lt;0,0,'Data Entry - SOF'!O52-AY33)</f>
        <v>#DIV/0!</v>
      </c>
      <c r="AZ34" s="4197"/>
      <c r="BA34" s="4196" t="e">
        <f>IF('Data Entry - SOF'!O52-BA33&lt;0,0,'Data Entry - SOF'!O52-BA33)</f>
        <v>#DIV/0!</v>
      </c>
      <c r="BB34" s="4197"/>
      <c r="BC34" s="4196" t="e">
        <f>IF('Data Entry - SOF'!O52-BC33&lt;0,0,'Data Entry - SOF'!O52-BC33)</f>
        <v>#DIV/0!</v>
      </c>
      <c r="BD34" s="4197"/>
      <c r="BE34" s="4397" t="e">
        <f>IF('Data Entry - SOF'!O52-BE33&lt;0,0,'Data Entry - SOF'!O52-BE33)</f>
        <v>#DIV/0!</v>
      </c>
      <c r="BH34" s="977" t="e">
        <f>IF('Data Entry - SOF'!E52-BH33&lt;0,0,'Data Entry - SOF'!E52-BH33)</f>
        <v>#DIV/0!</v>
      </c>
      <c r="BI34" s="977" t="e">
        <f>IF('Data Entry - SOF'!E52-BI33&lt;0,0,'Data Entry - SOF'!E52-BI33)</f>
        <v>#DIV/0!</v>
      </c>
      <c r="BJ34" s="977" t="e">
        <f>IF('Data Entry - SOF'!E52-BJ33&lt;0,0,'Data Entry - SOF'!E52-BJ33)</f>
        <v>#DIV/0!</v>
      </c>
      <c r="BK34" s="977" t="e">
        <f>IF('Data Entry - SOF'!E52-BK33&lt;0,0,'Data Entry - SOF'!E52-BK33)</f>
        <v>#DIV/0!</v>
      </c>
      <c r="BV34" s="1012" t="e">
        <f>IF('Data Entry - SOF'!#REF!-BV33&lt;0,0,'Data Entry - SOF'!#REF!-BV33)</f>
        <v>#REF!</v>
      </c>
      <c r="BW34" s="1013"/>
      <c r="BX34" s="1012" t="e">
        <f>IF('Data Entry - SOF'!#REF!-BX33&lt;0,0,'Data Entry - SOF'!#REF!-BX33)</f>
        <v>#REF!</v>
      </c>
      <c r="BY34" s="1013"/>
      <c r="BZ34" s="1012" t="e">
        <f>IF('Data Entry - SOF'!#REF!-BZ33&lt;0,0,'Data Entry - SOF'!#REF!-BZ33)</f>
        <v>#REF!</v>
      </c>
      <c r="CA34" s="1013"/>
      <c r="CB34" s="1012" t="e">
        <f>IF('Data Entry - SOF'!#REF!-CB33&lt;0,0,'Data Entry - SOF'!#REF!-CB33)</f>
        <v>#REF!</v>
      </c>
      <c r="CD34" s="2187" t="e">
        <f>IF('Data Entry - SOF'!#REF!-CD33&lt;0,0,'Data Entry - SOF'!#REF!-CD33)</f>
        <v>#REF!</v>
      </c>
      <c r="CE34" s="2188"/>
      <c r="CF34" s="2187" t="e">
        <f>IF('Data Entry - SOF'!#REF!-CF33&lt;0,0,'Data Entry - SOF'!#REF!-CF33)</f>
        <v>#REF!</v>
      </c>
      <c r="CG34" s="2188"/>
      <c r="CH34" s="2187" t="e">
        <f>IF('Data Entry - SOF'!#REF!-CH33&lt;0,0,'Data Entry - SOF'!#REF!-CH33)</f>
        <v>#REF!</v>
      </c>
      <c r="CI34" s="2188"/>
      <c r="CJ34" s="2187" t="e">
        <f>IF('Data Entry - SOF'!#REF!-CJ33&lt;0,0,'Data Entry - SOF'!#REF!-CJ33)</f>
        <v>#REF!</v>
      </c>
      <c r="CL34" s="2161" t="e">
        <f>IF('Data Entry - SOF'!#REF!-CL33&lt;0,0,'Data Entry - SOF'!#REF!-CL33)</f>
        <v>#REF!</v>
      </c>
      <c r="CM34" s="2162"/>
      <c r="CN34" s="2161" t="e">
        <f>IF('Data Entry - SOF'!#REF!-CN33&lt;0,0,'Data Entry - SOF'!#REF!-CN33)</f>
        <v>#REF!</v>
      </c>
      <c r="CO34" s="2162"/>
      <c r="CP34" s="2161" t="e">
        <f>IF('Data Entry - SOF'!#REF!-CP33&lt;0,0,'Data Entry - SOF'!#REF!-CP33)</f>
        <v>#REF!</v>
      </c>
      <c r="CQ34" s="2162"/>
      <c r="CR34" s="2161" t="e">
        <f>IF('Data Entry - SOF'!#REF!-CR33&lt;0,0,'Data Entry - SOF'!#REF!-CR33)</f>
        <v>#REF!</v>
      </c>
      <c r="CT34" s="1875" t="e">
        <f>IF('Data Entry - SOF'!#REF!-CT33&lt;0,0,'Data Entry - SOF'!#REF!-CT33)</f>
        <v>#REF!</v>
      </c>
      <c r="CU34" s="2138"/>
      <c r="CV34" s="1875" t="e">
        <f>IF('Data Entry - SOF'!#REF!-CV33&lt;0,0,'Data Entry - SOF'!#REF!-CV33)</f>
        <v>#REF!</v>
      </c>
      <c r="CW34" s="2138"/>
      <c r="CX34" s="1875" t="e">
        <f>IF('Data Entry - SOF'!#REF!-CX33&lt;0,0,'Data Entry - SOF'!#REF!-CX33)</f>
        <v>#REF!</v>
      </c>
      <c r="CY34" s="2138"/>
      <c r="CZ34" s="1875" t="e">
        <f>IF('Data Entry - SOF'!#REF!-CZ33&lt;0,0,'Data Entry - SOF'!#REF!-CZ33)</f>
        <v>#REF!</v>
      </c>
      <c r="DB34" s="2161" t="e">
        <f>IF('Data Entry - SOF'!C52-DB33&lt;0,0,'Data Entry - SOF'!C52-DB33)</f>
        <v>#DIV/0!</v>
      </c>
      <c r="DC34" s="2162"/>
      <c r="DD34" s="2161" t="e">
        <f>IF('Data Entry - SOF'!C52-DD33&lt;0,0,'Data Entry - SOF'!C52-DD33)</f>
        <v>#DIV/0!</v>
      </c>
      <c r="DE34" s="2162"/>
      <c r="DF34" s="2161" t="e">
        <f>IF('Data Entry - SOF'!C52-DF33&lt;0,0,'Data Entry - SOF'!C52-DF33)</f>
        <v>#DIV/0!</v>
      </c>
      <c r="DG34" s="2162"/>
      <c r="DH34" s="2161" t="e">
        <f>IF('Data Entry - SOF'!C52-DH33&lt;0,0,'Data Entry - SOF'!C52-DH33)</f>
        <v>#DIV/0!</v>
      </c>
      <c r="DJ34" s="1875" t="e">
        <f>IF('Data Entry - SOF'!C52-DJ33&lt;0,0,'Data Entry - SOF'!C52-DJ33)</f>
        <v>#DIV/0!</v>
      </c>
      <c r="DK34" s="2138"/>
      <c r="DL34" s="1875" t="e">
        <f>IF('Data Entry - SOF'!C52-DL33&lt;0,0,'Data Entry - SOF'!C52-DL33)</f>
        <v>#DIV/0!</v>
      </c>
      <c r="DM34" s="2138"/>
      <c r="DN34" s="1875" t="e">
        <f>IF('Data Entry - SOF'!C52-DN33&lt;0,0,'Data Entry - SOF'!C52-DN33)</f>
        <v>#DIV/0!</v>
      </c>
      <c r="DO34" s="2138"/>
      <c r="DP34" s="1875" t="e">
        <f>IF('Data Entry - SOF'!C52-DP33&lt;0,0,'Data Entry - SOF'!C52-DP33)</f>
        <v>#DIV/0!</v>
      </c>
      <c r="DR34" s="2161" t="e">
        <f>IF('Data Entry - SOF'!E52-DR33&lt;0,0,'Data Entry - SOF'!E52-DR33)</f>
        <v>#DIV/0!</v>
      </c>
      <c r="DS34" s="2162"/>
      <c r="DT34" s="2161" t="e">
        <f>IF('Data Entry - SOF'!E52-DT33&lt;0,0,'Data Entry - SOF'!E52-DT33)</f>
        <v>#DIV/0!</v>
      </c>
      <c r="DU34" s="2162"/>
      <c r="DV34" s="2161" t="e">
        <f>IF('Data Entry - SOF'!E52-DV33&lt;0,0,'Data Entry - SOF'!E52-DV33)</f>
        <v>#DIV/0!</v>
      </c>
      <c r="DW34" s="2162"/>
      <c r="DX34" s="2161" t="e">
        <f>IF('Data Entry - SOF'!E52-DX33&lt;0,0,'Data Entry - SOF'!E52-DX33)</f>
        <v>#DIV/0!</v>
      </c>
      <c r="DZ34" s="1875" t="e">
        <f>IF('Data Entry - SOF'!G52-DZ33&lt;0,0,'Data Entry - SOF'!G52-DZ33)</f>
        <v>#DIV/0!</v>
      </c>
      <c r="EA34" s="2138"/>
      <c r="EB34" s="1875" t="e">
        <f>IF('Data Entry - SOF'!G52-EB33&lt;0,0,'Data Entry - SOF'!G52-EB33)</f>
        <v>#DIV/0!</v>
      </c>
      <c r="EC34" s="2138"/>
      <c r="ED34" s="1875" t="e">
        <f>IF('Data Entry - SOF'!G52-ED33&lt;0,0,'Data Entry - SOF'!G52-ED33)</f>
        <v>#DIV/0!</v>
      </c>
      <c r="EE34" s="2138"/>
      <c r="EF34" s="1875" t="e">
        <f>IF('Data Entry - SOF'!G52-EF33&lt;0,0,'Data Entry - SOF'!G52-EF33)</f>
        <v>#DIV/0!</v>
      </c>
    </row>
    <row r="35" spans="1:136">
      <c r="A35" t="s">
        <v>2393</v>
      </c>
      <c r="C35" s="1417" t="e">
        <f>C34/'Data Entry - SOF'!C52</f>
        <v>#DIV/0!</v>
      </c>
      <c r="D35" s="1418"/>
      <c r="E35" s="1417" t="e">
        <f>E34/'Data Entry - SOF'!C52</f>
        <v>#DIV/0!</v>
      </c>
      <c r="F35" s="1418"/>
      <c r="G35" s="1417" t="e">
        <f>G34/'Data Entry - SOF'!C52</f>
        <v>#DIV/0!</v>
      </c>
      <c r="H35" s="1418"/>
      <c r="I35" s="4324" t="e">
        <f>I34/'Data Entry - SOF'!C52</f>
        <v>#DIV/0!</v>
      </c>
      <c r="K35" s="4233" t="e">
        <f>K34/'Data Entry - SOF'!E52</f>
        <v>#DIV/0!</v>
      </c>
      <c r="L35" s="926"/>
      <c r="M35" s="4233" t="e">
        <f>M34/'Data Entry - SOF'!E52</f>
        <v>#DIV/0!</v>
      </c>
      <c r="N35" s="926"/>
      <c r="O35" s="4233" t="e">
        <f>O34/'Data Entry - SOF'!E52</f>
        <v>#DIV/0!</v>
      </c>
      <c r="P35" s="926"/>
      <c r="Q35" s="4337" t="e">
        <f>Q34/'Data Entry - SOF'!E52</f>
        <v>#DIV/0!</v>
      </c>
      <c r="S35" s="1595" t="e">
        <f>S34/'Data Entry - SOF'!G52</f>
        <v>#DIV/0!</v>
      </c>
      <c r="T35" s="1596"/>
      <c r="U35" s="1595" t="e">
        <f>U34/'Data Entry - SOF'!G52</f>
        <v>#DIV/0!</v>
      </c>
      <c r="V35" s="1596"/>
      <c r="W35" s="1595" t="e">
        <f>W34/'Data Entry - SOF'!G52</f>
        <v>#DIV/0!</v>
      </c>
      <c r="X35" s="1596"/>
      <c r="Y35" s="4347" t="e">
        <f>Y34/'Data Entry - SOF'!G52</f>
        <v>#DIV/0!</v>
      </c>
      <c r="AA35" s="1676" t="e">
        <f>AA34/'Data Entry - SOF'!I52</f>
        <v>#DIV/0!</v>
      </c>
      <c r="AB35" s="1677"/>
      <c r="AC35" s="1676" t="e">
        <f>AC34/'Data Entry - SOF'!I52</f>
        <v>#DIV/0!</v>
      </c>
      <c r="AD35" s="1677"/>
      <c r="AE35" s="1676" t="e">
        <f>AE34/'Data Entry - SOF'!I52</f>
        <v>#DIV/0!</v>
      </c>
      <c r="AF35" s="1677"/>
      <c r="AG35" s="4362" t="e">
        <f>AG34/'Data Entry - SOF'!I52</f>
        <v>#DIV/0!</v>
      </c>
      <c r="AI35" s="2095" t="e">
        <f>AI34/'Data Entry - SOF'!K52</f>
        <v>#DIV/0!</v>
      </c>
      <c r="AJ35" s="2096"/>
      <c r="AK35" s="2095" t="e">
        <f>AK34/'Data Entry - SOF'!K52</f>
        <v>#DIV/0!</v>
      </c>
      <c r="AL35" s="2096"/>
      <c r="AM35" s="2095" t="e">
        <f>AM34/'Data Entry - SOF'!K52</f>
        <v>#DIV/0!</v>
      </c>
      <c r="AN35" s="2096"/>
      <c r="AO35" s="4382" t="e">
        <f>AO34/'Data Entry - SOF'!K52</f>
        <v>#DIV/0!</v>
      </c>
      <c r="AQ35" s="2641" t="e">
        <f>AQ34/'Data Entry - SOF'!M52</f>
        <v>#DIV/0!</v>
      </c>
      <c r="AR35" s="2642"/>
      <c r="AS35" s="2641" t="e">
        <f>AS34/'Data Entry - SOF'!M52</f>
        <v>#DIV/0!</v>
      </c>
      <c r="AT35" s="2642"/>
      <c r="AU35" s="2641" t="e">
        <f>AU34/'Data Entry - SOF'!M52</f>
        <v>#DIV/0!</v>
      </c>
      <c r="AV35" s="2642"/>
      <c r="AW35" s="4393" t="e">
        <f>AW34/'Data Entry - SOF'!M52</f>
        <v>#DIV/0!</v>
      </c>
      <c r="AY35" s="4188" t="e">
        <f>AY34/'Data Entry - SOF'!O52</f>
        <v>#DIV/0!</v>
      </c>
      <c r="AZ35" s="4189"/>
      <c r="BA35" s="4188" t="e">
        <f>BA34/'Data Entry - SOF'!O52</f>
        <v>#DIV/0!</v>
      </c>
      <c r="BB35" s="4189"/>
      <c r="BC35" s="4188" t="e">
        <f>BC34/'Data Entry - SOF'!O52</f>
        <v>#DIV/0!</v>
      </c>
      <c r="BD35" s="4189"/>
      <c r="BE35" s="4402" t="e">
        <f>BE34/'Data Entry - SOF'!O52</f>
        <v>#DIV/0!</v>
      </c>
      <c r="BH35" s="981" t="e">
        <f>BH34/'Data Entry - SOF'!E52</f>
        <v>#DIV/0!</v>
      </c>
      <c r="BI35" s="981" t="e">
        <f>BI34/'Data Entry - SOF'!E52</f>
        <v>#DIV/0!</v>
      </c>
      <c r="BJ35" s="981" t="e">
        <f>BJ34/'Data Entry - SOF'!E52</f>
        <v>#DIV/0!</v>
      </c>
      <c r="BK35" s="981" t="e">
        <f>BK34/'Data Entry - SOF'!E52</f>
        <v>#DIV/0!</v>
      </c>
      <c r="BV35" s="1018" t="e">
        <f>BV34/'Data Entry - SOF'!#REF!</f>
        <v>#REF!</v>
      </c>
      <c r="BW35" s="1019"/>
      <c r="BX35" s="1018" t="e">
        <f>BX34/'Data Entry - SOF'!#REF!</f>
        <v>#REF!</v>
      </c>
      <c r="BY35" s="1019"/>
      <c r="BZ35" s="1018" t="e">
        <f>BZ34/'Data Entry - SOF'!#REF!</f>
        <v>#REF!</v>
      </c>
      <c r="CA35" s="1019"/>
      <c r="CB35" s="1018" t="e">
        <f>CB34/'Data Entry - SOF'!#REF!</f>
        <v>#REF!</v>
      </c>
      <c r="CD35" s="2194" t="e">
        <f>CD34/'Data Entry - SOF'!#REF!</f>
        <v>#REF!</v>
      </c>
      <c r="CE35" s="2195"/>
      <c r="CF35" s="2194" t="e">
        <f>CF34/'Data Entry - SOF'!#REF!</f>
        <v>#REF!</v>
      </c>
      <c r="CG35" s="2195"/>
      <c r="CH35" s="2194" t="e">
        <f>CH34/'Data Entry - SOF'!#REF!</f>
        <v>#REF!</v>
      </c>
      <c r="CI35" s="2195"/>
      <c r="CJ35" s="2194" t="e">
        <f>CJ34/'Data Entry - SOF'!#REF!</f>
        <v>#REF!</v>
      </c>
      <c r="CL35" s="2168" t="e">
        <f>CL34/'Data Entry - SOF'!#REF!</f>
        <v>#REF!</v>
      </c>
      <c r="CM35" s="2169"/>
      <c r="CN35" s="2168" t="e">
        <f>CN34/'Data Entry - SOF'!#REF!</f>
        <v>#REF!</v>
      </c>
      <c r="CO35" s="2169"/>
      <c r="CP35" s="2168" t="e">
        <f>CP34/'Data Entry - SOF'!#REF!</f>
        <v>#REF!</v>
      </c>
      <c r="CQ35" s="2169"/>
      <c r="CR35" s="2168" t="e">
        <f>CR34/'Data Entry - SOF'!#REF!</f>
        <v>#REF!</v>
      </c>
      <c r="CT35" s="2144" t="e">
        <f>CT34/'Data Entry - SOF'!#REF!</f>
        <v>#REF!</v>
      </c>
      <c r="CU35" s="2145"/>
      <c r="CV35" s="2144" t="e">
        <f>CV34/'Data Entry - SOF'!#REF!</f>
        <v>#REF!</v>
      </c>
      <c r="CW35" s="2145"/>
      <c r="CX35" s="2144" t="e">
        <f>CX34/'Data Entry - SOF'!#REF!</f>
        <v>#REF!</v>
      </c>
      <c r="CY35" s="2145"/>
      <c r="CZ35" s="2144" t="e">
        <f>CZ34/'Data Entry - SOF'!#REF!</f>
        <v>#REF!</v>
      </c>
      <c r="DB35" s="2168" t="e">
        <f>DB34/'Data Entry - SOF'!C52</f>
        <v>#DIV/0!</v>
      </c>
      <c r="DC35" s="2169"/>
      <c r="DD35" s="2168" t="e">
        <f>DD34/'Data Entry - SOF'!C52</f>
        <v>#DIV/0!</v>
      </c>
      <c r="DE35" s="2169"/>
      <c r="DF35" s="2168" t="e">
        <f>DF34/'Data Entry - SOF'!C52</f>
        <v>#DIV/0!</v>
      </c>
      <c r="DG35" s="2169"/>
      <c r="DH35" s="2168" t="e">
        <f>DH34/'Data Entry - SOF'!C52</f>
        <v>#DIV/0!</v>
      </c>
      <c r="DJ35" s="2144" t="e">
        <f>DJ34/'Data Entry - SOF'!C52</f>
        <v>#DIV/0!</v>
      </c>
      <c r="DK35" s="2145"/>
      <c r="DL35" s="2144" t="e">
        <f>DL34/'Data Entry - SOF'!C52</f>
        <v>#DIV/0!</v>
      </c>
      <c r="DM35" s="2145"/>
      <c r="DN35" s="2144" t="e">
        <f>DN34/'Data Entry - SOF'!C52</f>
        <v>#DIV/0!</v>
      </c>
      <c r="DO35" s="2145"/>
      <c r="DP35" s="2144" t="e">
        <f>DP34/'Data Entry - SOF'!C52</f>
        <v>#DIV/0!</v>
      </c>
      <c r="DR35" s="2168" t="e">
        <f>DR34/'Data Entry - SOF'!E52</f>
        <v>#DIV/0!</v>
      </c>
      <c r="DS35" s="2169"/>
      <c r="DT35" s="2168" t="e">
        <f>DT34/'Data Entry - SOF'!E52</f>
        <v>#DIV/0!</v>
      </c>
      <c r="DU35" s="2169"/>
      <c r="DV35" s="2168" t="e">
        <f>DV34/'Data Entry - SOF'!E52</f>
        <v>#DIV/0!</v>
      </c>
      <c r="DW35" s="2169"/>
      <c r="DX35" s="2168" t="e">
        <f>DX34/'Data Entry - SOF'!E52</f>
        <v>#DIV/0!</v>
      </c>
      <c r="DZ35" s="2144" t="e">
        <f>DZ34/'Data Entry - SOF'!G52</f>
        <v>#DIV/0!</v>
      </c>
      <c r="EA35" s="2145"/>
      <c r="EB35" s="2144" t="e">
        <f>EB34/'Data Entry - SOF'!G52</f>
        <v>#DIV/0!</v>
      </c>
      <c r="EC35" s="2145"/>
      <c r="ED35" s="2144" t="e">
        <f>ED34/'Data Entry - SOF'!G52</f>
        <v>#DIV/0!</v>
      </c>
      <c r="EE35" s="2145"/>
      <c r="EF35" s="2144" t="e">
        <f>EF34/'Data Entry - SOF'!G52</f>
        <v>#DIV/0!</v>
      </c>
    </row>
    <row r="36" spans="1:136">
      <c r="A36" t="s">
        <v>213</v>
      </c>
      <c r="C36" s="1419" t="e">
        <f>C33/'Ch41 Calc Data'!K17</f>
        <v>#DIV/0!</v>
      </c>
      <c r="D36" s="1420"/>
      <c r="E36" s="1419" t="e">
        <f>E33/'Ch41 Calc Data'!K17</f>
        <v>#DIV/0!</v>
      </c>
      <c r="F36" s="1420"/>
      <c r="G36" s="1419" t="e">
        <f>G33/'Ch41 Calc Data'!K17</f>
        <v>#DIV/0!</v>
      </c>
      <c r="H36" s="1420"/>
      <c r="I36" s="4325" t="e">
        <f>I33/'Ch41 Calc Data'!K17</f>
        <v>#DIV/0!</v>
      </c>
      <c r="K36" s="4234" t="e">
        <f>K33/'Ch41 Calc Data'!L17</f>
        <v>#DIV/0!</v>
      </c>
      <c r="L36" s="4235"/>
      <c r="M36" s="4234" t="e">
        <f>M33/'Ch41 Calc Data'!L17</f>
        <v>#DIV/0!</v>
      </c>
      <c r="N36" s="4235"/>
      <c r="O36" s="4234" t="e">
        <f>O33/'Ch41 Calc Data'!L17</f>
        <v>#DIV/0!</v>
      </c>
      <c r="P36" s="4235"/>
      <c r="Q36" s="4338" t="e">
        <f>Q33/'Ch41 Calc Data'!L17</f>
        <v>#DIV/0!</v>
      </c>
      <c r="S36" s="1597" t="e">
        <f>S33/'Ch41 Calc Data'!M17</f>
        <v>#DIV/0!</v>
      </c>
      <c r="T36" s="1598"/>
      <c r="U36" s="1597" t="e">
        <f>U33/'Ch41 Calc Data'!M17</f>
        <v>#DIV/0!</v>
      </c>
      <c r="V36" s="1598"/>
      <c r="W36" s="1597" t="e">
        <f>W33/'Ch41 Calc Data'!M17</f>
        <v>#DIV/0!</v>
      </c>
      <c r="X36" s="1598"/>
      <c r="Y36" s="4348" t="e">
        <f>Y33/'Ch41 Calc Data'!M17</f>
        <v>#DIV/0!</v>
      </c>
      <c r="AA36" s="1678" t="e">
        <f>AA33/'Ch41 Calc Data'!N17</f>
        <v>#DIV/0!</v>
      </c>
      <c r="AB36" s="1679"/>
      <c r="AC36" s="1678" t="e">
        <f>AC33/'Ch41 Calc Data'!N17</f>
        <v>#DIV/0!</v>
      </c>
      <c r="AD36" s="1679"/>
      <c r="AE36" s="1678" t="e">
        <f>AE33/'Ch41 Calc Data'!N17</f>
        <v>#DIV/0!</v>
      </c>
      <c r="AF36" s="1679"/>
      <c r="AG36" s="4363" t="e">
        <f>AG33/'Ch41 Calc Data'!N17</f>
        <v>#DIV/0!</v>
      </c>
      <c r="AI36" s="2097" t="e">
        <f>AI33/'Ch41 Calc Data'!O17</f>
        <v>#DIV/0!</v>
      </c>
      <c r="AJ36" s="2098"/>
      <c r="AK36" s="2097" t="e">
        <f>AK33/'Ch41 Calc Data'!O17</f>
        <v>#DIV/0!</v>
      </c>
      <c r="AL36" s="2098"/>
      <c r="AM36" s="2097" t="e">
        <f>AM33/'Ch41 Calc Data'!O17</f>
        <v>#DIV/0!</v>
      </c>
      <c r="AN36" s="2098"/>
      <c r="AO36" s="4383" t="e">
        <f>AO33/'Ch41 Calc Data'!O17</f>
        <v>#DIV/0!</v>
      </c>
      <c r="AQ36" s="2643" t="e">
        <f>AQ33/'Ch41 Calc Data'!P17</f>
        <v>#DIV/0!</v>
      </c>
      <c r="AR36" s="2644"/>
      <c r="AS36" s="2643" t="e">
        <f>AS33/'Ch41 Calc Data'!P17</f>
        <v>#DIV/0!</v>
      </c>
      <c r="AT36" s="2644"/>
      <c r="AU36" s="2643" t="e">
        <f>AU33/'Ch41 Calc Data'!P17</f>
        <v>#DIV/0!</v>
      </c>
      <c r="AV36" s="2644"/>
      <c r="AW36" s="4394" t="e">
        <f>AW33/'Ch41 Calc Data'!P17</f>
        <v>#DIV/0!</v>
      </c>
      <c r="AY36" s="4196" t="e">
        <f>AY33/'Ch41 Calc Data'!Q17</f>
        <v>#DIV/0!</v>
      </c>
      <c r="AZ36" s="4197"/>
      <c r="BA36" s="4196" t="e">
        <f>BA33/'Ch41 Calc Data'!Q17</f>
        <v>#DIV/0!</v>
      </c>
      <c r="BB36" s="4197"/>
      <c r="BC36" s="4196" t="e">
        <f>BC33/'Ch41 Calc Data'!Q17</f>
        <v>#DIV/0!</v>
      </c>
      <c r="BD36" s="4197"/>
      <c r="BE36" s="4397" t="e">
        <f>BE33/'Ch41 Calc Data'!Q17</f>
        <v>#DIV/0!</v>
      </c>
      <c r="BH36" s="982" t="e">
        <f>BH33/'Ch41 Calc Data'!L20</f>
        <v>#DIV/0!</v>
      </c>
      <c r="BI36" s="982" t="e">
        <f>BI33/'Ch41 Calc Data'!L20</f>
        <v>#DIV/0!</v>
      </c>
      <c r="BJ36" s="982" t="e">
        <f>BJ33/'Ch41 Calc Data'!L20</f>
        <v>#DIV/0!</v>
      </c>
      <c r="BK36" s="982" t="e">
        <f>BK33/'Ch41 Calc Data'!L20</f>
        <v>#DIV/0!</v>
      </c>
      <c r="BV36" s="1020" t="e">
        <f>BV33/'Ch41 Calc Data'!AA17</f>
        <v>#REF!</v>
      </c>
      <c r="BW36" s="1021"/>
      <c r="BX36" s="1020" t="e">
        <f>BX33/'Ch41 Calc Data'!AA17</f>
        <v>#REF!</v>
      </c>
      <c r="BY36" s="1021"/>
      <c r="BZ36" s="1020" t="e">
        <f>BZ33/'Ch41 Calc Data'!AA17</f>
        <v>#REF!</v>
      </c>
      <c r="CA36" s="1021"/>
      <c r="CB36" s="1020" t="e">
        <f>CB33/'Ch41 Calc Data'!AA17</f>
        <v>#REF!</v>
      </c>
      <c r="CD36" s="2196" t="e">
        <f>CD33/'Ch41 Calc Data'!AB17</f>
        <v>#REF!</v>
      </c>
      <c r="CE36" s="2197"/>
      <c r="CF36" s="2196" t="e">
        <f>CF33/'Ch41 Calc Data'!AB17</f>
        <v>#REF!</v>
      </c>
      <c r="CG36" s="2197"/>
      <c r="CH36" s="2196" t="e">
        <f>CH33/'Ch41 Calc Data'!AB17</f>
        <v>#REF!</v>
      </c>
      <c r="CI36" s="2197"/>
      <c r="CJ36" s="2196" t="e">
        <f>CJ33/'Ch41 Calc Data'!AB17</f>
        <v>#REF!</v>
      </c>
      <c r="CL36" s="2170" t="e">
        <f>CL33/'Ch41 Calc Data'!AC17</f>
        <v>#REF!</v>
      </c>
      <c r="CM36" s="2171"/>
      <c r="CN36" s="2170" t="e">
        <f>CN33/'Ch41 Calc Data'!AC17</f>
        <v>#REF!</v>
      </c>
      <c r="CO36" s="2171"/>
      <c r="CP36" s="2170" t="e">
        <f>CP33/'Ch41 Calc Data'!AC17</f>
        <v>#REF!</v>
      </c>
      <c r="CQ36" s="2171"/>
      <c r="CR36" s="2170" t="e">
        <f>CR33/'Ch41 Calc Data'!AC17</f>
        <v>#REF!</v>
      </c>
      <c r="CT36" s="1878" t="e">
        <f>CT33/'Ch41 Calc Data'!AD17</f>
        <v>#REF!</v>
      </c>
      <c r="CU36" s="2146"/>
      <c r="CV36" s="1878" t="e">
        <f>CV33/'Ch41 Calc Data'!AD17</f>
        <v>#REF!</v>
      </c>
      <c r="CW36" s="2146"/>
      <c r="CX36" s="1878" t="e">
        <f>CX33/'Ch41 Calc Data'!AD17</f>
        <v>#REF!</v>
      </c>
      <c r="CY36" s="2146"/>
      <c r="CZ36" s="1878" t="e">
        <f>CZ33/'Ch41 Calc Data'!AD17</f>
        <v>#REF!</v>
      </c>
      <c r="DB36" s="2170" t="e">
        <f>DB33/'Ch41 Calc Data'!AE17</f>
        <v>#DIV/0!</v>
      </c>
      <c r="DC36" s="2171"/>
      <c r="DD36" s="2170" t="e">
        <f>DD33/'Ch41 Calc Data'!AE17</f>
        <v>#DIV/0!</v>
      </c>
      <c r="DE36" s="2171"/>
      <c r="DF36" s="2170" t="e">
        <f>DF33/'Ch41 Calc Data'!AE17</f>
        <v>#DIV/0!</v>
      </c>
      <c r="DG36" s="2171"/>
      <c r="DH36" s="2170" t="e">
        <f>DH33/'Ch41 Calc Data'!AE17</f>
        <v>#DIV/0!</v>
      </c>
      <c r="DJ36" s="1878" t="e">
        <f>DJ33/'Ch41 Calc Data'!AF17</f>
        <v>#DIV/0!</v>
      </c>
      <c r="DK36" s="2146"/>
      <c r="DL36" s="1878" t="e">
        <f>DL33/'Ch41 Calc Data'!AF17</f>
        <v>#DIV/0!</v>
      </c>
      <c r="DM36" s="2146"/>
      <c r="DN36" s="1878" t="e">
        <f>DN33/'Ch41 Calc Data'!AF17</f>
        <v>#DIV/0!</v>
      </c>
      <c r="DO36" s="2146"/>
      <c r="DP36" s="1878" t="e">
        <f>DP33/'Ch41 Calc Data'!AF17</f>
        <v>#DIV/0!</v>
      </c>
      <c r="DR36" s="2170" t="e">
        <f>DR33/'Ch41 Calc Data'!AG17</f>
        <v>#DIV/0!</v>
      </c>
      <c r="DS36" s="2171"/>
      <c r="DT36" s="2170" t="e">
        <f>DT33/'Ch41 Calc Data'!AG17</f>
        <v>#DIV/0!</v>
      </c>
      <c r="DU36" s="2171"/>
      <c r="DV36" s="2170" t="e">
        <f>DV33/'Ch41 Calc Data'!AG17</f>
        <v>#DIV/0!</v>
      </c>
      <c r="DW36" s="2171"/>
      <c r="DX36" s="2170" t="e">
        <f>DX33/'Ch41 Calc Data'!AG17</f>
        <v>#DIV/0!</v>
      </c>
      <c r="DZ36" s="1878" t="e">
        <f>DZ33/'Ch41 Calc Data'!AH17</f>
        <v>#DIV/0!</v>
      </c>
      <c r="EA36" s="2146"/>
      <c r="EB36" s="1878" t="e">
        <f>EB33/'Ch41 Calc Data'!AH17</f>
        <v>#DIV/0!</v>
      </c>
      <c r="EC36" s="2146"/>
      <c r="ED36" s="1878" t="e">
        <f>ED33/'Ch41 Calc Data'!AH17</f>
        <v>#DIV/0!</v>
      </c>
      <c r="EE36" s="2146"/>
      <c r="EF36" s="1878" t="e">
        <f>EF33/'Ch41 Calc Data'!AH17</f>
        <v>#DIV/0!</v>
      </c>
    </row>
    <row r="37" spans="1:136">
      <c r="I37" s="2733"/>
      <c r="K37" s="4235"/>
      <c r="L37" s="4235"/>
      <c r="M37" s="4235"/>
      <c r="N37" s="4235"/>
      <c r="O37" s="4235"/>
      <c r="P37" s="4235"/>
      <c r="Q37" s="4339"/>
      <c r="Y37" s="2769"/>
      <c r="AG37" s="2790"/>
      <c r="AO37" s="4375"/>
      <c r="AW37" s="2820"/>
      <c r="AY37" s="4197"/>
      <c r="AZ37" s="4197"/>
      <c r="BA37" s="4197"/>
      <c r="BB37" s="4197"/>
      <c r="BC37" s="4197"/>
      <c r="BD37" s="4197"/>
      <c r="BE37" s="4400"/>
      <c r="BH37" s="978"/>
      <c r="BI37" s="978"/>
      <c r="BJ37" s="978"/>
      <c r="BK37" s="978"/>
    </row>
    <row r="38" spans="1:136" ht="15.75">
      <c r="A38" s="38" t="s">
        <v>2394</v>
      </c>
      <c r="I38" s="2733"/>
      <c r="K38" s="4235"/>
      <c r="L38" s="4235"/>
      <c r="M38" s="4235"/>
      <c r="N38" s="4235"/>
      <c r="O38" s="4235"/>
      <c r="P38" s="4235"/>
      <c r="Q38" s="4339"/>
      <c r="Y38" s="2769"/>
      <c r="AG38" s="2790"/>
      <c r="AO38" s="4375"/>
      <c r="AW38" s="2820"/>
      <c r="AY38" s="4197"/>
      <c r="AZ38" s="4197"/>
      <c r="BA38" s="4197"/>
      <c r="BB38" s="4197"/>
      <c r="BC38" s="4197"/>
      <c r="BD38" s="4197"/>
      <c r="BE38" s="4400"/>
      <c r="BH38" s="978"/>
      <c r="BI38" s="978"/>
      <c r="BJ38" s="978"/>
      <c r="BK38" s="978"/>
    </row>
    <row r="39" spans="1:136">
      <c r="A39" t="s">
        <v>1033</v>
      </c>
      <c r="C39" s="1419" t="e">
        <f>'Calc Data-SB1'!C30</f>
        <v>#DIV/0!</v>
      </c>
      <c r="D39" s="1420"/>
      <c r="E39" s="1419" t="e">
        <f>C39</f>
        <v>#DIV/0!</v>
      </c>
      <c r="F39" s="1420"/>
      <c r="G39" s="1419"/>
      <c r="H39" s="1420"/>
      <c r="I39" s="4325"/>
      <c r="K39" s="4234" t="e">
        <f>'Calc Data-SB1'!D30</f>
        <v>#DIV/0!</v>
      </c>
      <c r="L39" s="4235"/>
      <c r="M39" s="4234" t="e">
        <f>K39</f>
        <v>#DIV/0!</v>
      </c>
      <c r="N39" s="4235"/>
      <c r="O39" s="4234"/>
      <c r="P39" s="4235"/>
      <c r="Q39" s="4338"/>
      <c r="S39" s="1597" t="e">
        <f>'Calc Data-SB1'!E30</f>
        <v>#DIV/0!</v>
      </c>
      <c r="T39" s="1598"/>
      <c r="U39" s="1597" t="e">
        <f>S39</f>
        <v>#DIV/0!</v>
      </c>
      <c r="V39" s="1598"/>
      <c r="W39" s="1597"/>
      <c r="X39" s="1598"/>
      <c r="Y39" s="4348"/>
      <c r="AA39" s="1678" t="e">
        <f>'Calc Data-SB1'!F30</f>
        <v>#DIV/0!</v>
      </c>
      <c r="AB39" s="1679"/>
      <c r="AC39" s="1678" t="e">
        <f>AA39</f>
        <v>#DIV/0!</v>
      </c>
      <c r="AD39" s="1679"/>
      <c r="AE39" s="1678"/>
      <c r="AF39" s="1679"/>
      <c r="AG39" s="4363"/>
      <c r="AI39" s="2097" t="e">
        <f>'Calc Data-SB1'!G30</f>
        <v>#DIV/0!</v>
      </c>
      <c r="AJ39" s="2098"/>
      <c r="AK39" s="2097" t="e">
        <f>AI39</f>
        <v>#DIV/0!</v>
      </c>
      <c r="AL39" s="2098"/>
      <c r="AM39" s="2097"/>
      <c r="AN39" s="2098"/>
      <c r="AO39" s="4383"/>
      <c r="AQ39" s="2643" t="e">
        <f>'Calc Data-SB1'!H30</f>
        <v>#DIV/0!</v>
      </c>
      <c r="AR39" s="2644"/>
      <c r="AS39" s="2643" t="e">
        <f>AQ39</f>
        <v>#DIV/0!</v>
      </c>
      <c r="AT39" s="2644"/>
      <c r="AU39" s="2643"/>
      <c r="AV39" s="2644"/>
      <c r="AW39" s="4394"/>
      <c r="AY39" s="4196" t="e">
        <f>'Calc Data-SB1'!I30</f>
        <v>#DIV/0!</v>
      </c>
      <c r="AZ39" s="4197"/>
      <c r="BA39" s="4196" t="e">
        <f>AY39</f>
        <v>#DIV/0!</v>
      </c>
      <c r="BB39" s="4197"/>
      <c r="BC39" s="4196"/>
      <c r="BD39" s="4197"/>
      <c r="BE39" s="4397"/>
      <c r="BH39" s="982" t="e">
        <f>'Calc Data-SB1'!D30</f>
        <v>#DIV/0!</v>
      </c>
      <c r="BI39" s="982" t="e">
        <f>BH39</f>
        <v>#DIV/0!</v>
      </c>
      <c r="BJ39" s="982"/>
      <c r="BK39" s="982"/>
      <c r="BV39" s="1020" t="e">
        <f>'Calc Data-SB1'!#REF!</f>
        <v>#REF!</v>
      </c>
      <c r="BW39" s="1021"/>
      <c r="BX39" s="1020" t="e">
        <f>BV39</f>
        <v>#REF!</v>
      </c>
      <c r="BY39" s="1021"/>
      <c r="BZ39" s="1020"/>
      <c r="CA39" s="1021"/>
      <c r="CB39" s="1020"/>
      <c r="CD39" s="2196" t="e">
        <f>'Calc Data-SB1'!#REF!</f>
        <v>#REF!</v>
      </c>
      <c r="CE39" s="2197"/>
      <c r="CF39" s="2196" t="e">
        <f>CD39</f>
        <v>#REF!</v>
      </c>
      <c r="CG39" s="2197"/>
      <c r="CH39" s="2196"/>
      <c r="CI39" s="2197"/>
      <c r="CJ39" s="2196"/>
      <c r="CL39" s="2170" t="e">
        <f>'Calc Data-SB1'!#REF!</f>
        <v>#REF!</v>
      </c>
      <c r="CM39" s="2171"/>
      <c r="CN39" s="2170" t="e">
        <f>CL39</f>
        <v>#REF!</v>
      </c>
      <c r="CO39" s="2171"/>
      <c r="CP39" s="2170"/>
      <c r="CQ39" s="2171"/>
      <c r="CR39" s="2170"/>
      <c r="CT39" s="1878" t="e">
        <f>'Calc Data-SB1'!C30</f>
        <v>#DIV/0!</v>
      </c>
      <c r="CU39" s="2146"/>
      <c r="CV39" s="1878" t="e">
        <f>CT39</f>
        <v>#DIV/0!</v>
      </c>
      <c r="CW39" s="2146"/>
      <c r="CX39" s="1878"/>
      <c r="CY39" s="2146"/>
      <c r="CZ39" s="1878"/>
      <c r="DB39" s="2170" t="e">
        <f>'Calc Data-SB1'!C30</f>
        <v>#DIV/0!</v>
      </c>
      <c r="DC39" s="2171"/>
      <c r="DD39" s="2170" t="e">
        <f>DB39</f>
        <v>#DIV/0!</v>
      </c>
      <c r="DE39" s="2171"/>
      <c r="DF39" s="2170"/>
      <c r="DG39" s="2171"/>
      <c r="DH39" s="2170"/>
      <c r="DJ39" s="1878" t="e">
        <f>'Calc Data-SB1'!C30</f>
        <v>#DIV/0!</v>
      </c>
      <c r="DK39" s="2146"/>
      <c r="DL39" s="1878" t="e">
        <f>DJ39</f>
        <v>#DIV/0!</v>
      </c>
      <c r="DM39" s="2146"/>
      <c r="DN39" s="1878"/>
      <c r="DO39" s="2146"/>
      <c r="DP39" s="1878"/>
      <c r="DR39" s="2170" t="e">
        <f>'Calc Data-SB1'!D30</f>
        <v>#DIV/0!</v>
      </c>
      <c r="DS39" s="2171"/>
      <c r="DT39" s="2170" t="e">
        <f>DR39</f>
        <v>#DIV/0!</v>
      </c>
      <c r="DU39" s="2171"/>
      <c r="DV39" s="2170"/>
      <c r="DW39" s="2171"/>
      <c r="DX39" s="2170"/>
      <c r="DZ39" s="1878" t="e">
        <f>'Calc Data-SB1'!E30</f>
        <v>#DIV/0!</v>
      </c>
      <c r="EA39" s="2146"/>
      <c r="EB39" s="1878" t="e">
        <f>DZ39</f>
        <v>#DIV/0!</v>
      </c>
      <c r="EC39" s="2146"/>
      <c r="ED39" s="1878"/>
      <c r="EE39" s="2146"/>
      <c r="EF39" s="1878"/>
    </row>
    <row r="40" spans="1:136">
      <c r="A40" t="s">
        <v>827</v>
      </c>
      <c r="C40" s="1419"/>
      <c r="D40" s="1420"/>
      <c r="E40" s="1419"/>
      <c r="F40" s="1420"/>
      <c r="G40" s="1419" t="e">
        <f>'Calc Data-SB1'!C37</f>
        <v>#DIV/0!</v>
      </c>
      <c r="H40" s="1420"/>
      <c r="I40" s="4325" t="e">
        <f>G40</f>
        <v>#DIV/0!</v>
      </c>
      <c r="K40" s="4234"/>
      <c r="L40" s="4235"/>
      <c r="M40" s="4234"/>
      <c r="N40" s="4235"/>
      <c r="O40" s="4234" t="e">
        <f>'Calc Data-SB1'!D37</f>
        <v>#DIV/0!</v>
      </c>
      <c r="P40" s="4235"/>
      <c r="Q40" s="4338" t="e">
        <f>O40</f>
        <v>#DIV/0!</v>
      </c>
      <c r="S40" s="1597"/>
      <c r="T40" s="1598"/>
      <c r="U40" s="1597"/>
      <c r="V40" s="1598"/>
      <c r="W40" s="1597" t="e">
        <f>'Calc Data-SB1'!E37</f>
        <v>#DIV/0!</v>
      </c>
      <c r="X40" s="1598"/>
      <c r="Y40" s="4348" t="e">
        <f>W40</f>
        <v>#DIV/0!</v>
      </c>
      <c r="AA40" s="1678"/>
      <c r="AB40" s="1679"/>
      <c r="AC40" s="1678"/>
      <c r="AD40" s="1679"/>
      <c r="AE40" s="1678" t="e">
        <f>'Calc Data-SB1'!F37</f>
        <v>#DIV/0!</v>
      </c>
      <c r="AF40" s="1679"/>
      <c r="AG40" s="4363" t="e">
        <f>AE40</f>
        <v>#DIV/0!</v>
      </c>
      <c r="AI40" s="2097"/>
      <c r="AJ40" s="2098"/>
      <c r="AK40" s="2097"/>
      <c r="AL40" s="2098"/>
      <c r="AM40" s="2097" t="e">
        <f>'Calc Data-SB1'!G37</f>
        <v>#DIV/0!</v>
      </c>
      <c r="AN40" s="2098"/>
      <c r="AO40" s="4383" t="e">
        <f>AM40</f>
        <v>#DIV/0!</v>
      </c>
      <c r="AQ40" s="2643"/>
      <c r="AR40" s="2644"/>
      <c r="AS40" s="2643"/>
      <c r="AT40" s="2644"/>
      <c r="AU40" s="2643" t="e">
        <f>'Calc Data-SB1'!H37</f>
        <v>#DIV/0!</v>
      </c>
      <c r="AV40" s="2644"/>
      <c r="AW40" s="4394" t="e">
        <f>AU40</f>
        <v>#DIV/0!</v>
      </c>
      <c r="AY40" s="4196"/>
      <c r="AZ40" s="4197"/>
      <c r="BA40" s="4196"/>
      <c r="BB40" s="4197"/>
      <c r="BC40" s="4196" t="e">
        <f>'Calc Data-SB1'!I37</f>
        <v>#DIV/0!</v>
      </c>
      <c r="BD40" s="4197"/>
      <c r="BE40" s="4397" t="e">
        <f>BC40</f>
        <v>#DIV/0!</v>
      </c>
      <c r="BH40" s="982"/>
      <c r="BI40" s="982"/>
      <c r="BJ40" s="4405" t="e">
        <f>'Calc Data-SB1'!Y49</f>
        <v>#DIV/0!</v>
      </c>
      <c r="BK40" s="982" t="e">
        <f>BJ40</f>
        <v>#DIV/0!</v>
      </c>
      <c r="BV40" s="1020"/>
      <c r="BW40" s="1021"/>
      <c r="BX40" s="1020"/>
      <c r="BY40" s="1021"/>
      <c r="BZ40" s="1020" t="e">
        <f>'Calc Data-SB1'!#REF!</f>
        <v>#REF!</v>
      </c>
      <c r="CA40" s="1021"/>
      <c r="CB40" s="1020" t="e">
        <f>BZ40</f>
        <v>#REF!</v>
      </c>
      <c r="CD40" s="2196"/>
      <c r="CE40" s="2197"/>
      <c r="CF40" s="2196"/>
      <c r="CG40" s="2197"/>
      <c r="CH40" s="2196" t="e">
        <f>'Calc Data-SB1'!#REF!</f>
        <v>#REF!</v>
      </c>
      <c r="CI40" s="2197"/>
      <c r="CJ40" s="2196" t="e">
        <f>CH40</f>
        <v>#REF!</v>
      </c>
      <c r="CL40" s="2170"/>
      <c r="CM40" s="2171"/>
      <c r="CN40" s="2170"/>
      <c r="CO40" s="2171"/>
      <c r="CP40" s="2170" t="e">
        <f>'Calc Data-SB1'!#REF!</f>
        <v>#REF!</v>
      </c>
      <c r="CQ40" s="2171"/>
      <c r="CR40" s="2170" t="e">
        <f>CP40</f>
        <v>#REF!</v>
      </c>
      <c r="CT40" s="1878"/>
      <c r="CU40" s="2146"/>
      <c r="CV40" s="1878"/>
      <c r="CW40" s="2146"/>
      <c r="CX40" s="1878" t="e">
        <f>'Calc Data-SB1'!C37</f>
        <v>#DIV/0!</v>
      </c>
      <c r="CY40" s="2146"/>
      <c r="CZ40" s="1878" t="e">
        <f>CX40</f>
        <v>#DIV/0!</v>
      </c>
      <c r="DB40" s="2170"/>
      <c r="DC40" s="2171"/>
      <c r="DD40" s="2170"/>
      <c r="DE40" s="2171"/>
      <c r="DF40" s="2170" t="e">
        <f>'Calc Data-SB1'!C37</f>
        <v>#DIV/0!</v>
      </c>
      <c r="DG40" s="2171"/>
      <c r="DH40" s="2170" t="e">
        <f>DF40</f>
        <v>#DIV/0!</v>
      </c>
      <c r="DJ40" s="1878"/>
      <c r="DK40" s="2146"/>
      <c r="DL40" s="1878"/>
      <c r="DM40" s="2146"/>
      <c r="DN40" s="1878" t="e">
        <f>'Calc Data-SB1'!D37</f>
        <v>#DIV/0!</v>
      </c>
      <c r="DO40" s="2146"/>
      <c r="DP40" s="1878" t="e">
        <f>DN40</f>
        <v>#DIV/0!</v>
      </c>
      <c r="DR40" s="2170"/>
      <c r="DS40" s="2171"/>
      <c r="DT40" s="2170"/>
      <c r="DU40" s="2171"/>
      <c r="DV40" s="2170" t="e">
        <f>'Calc Data-SB1'!D37</f>
        <v>#DIV/0!</v>
      </c>
      <c r="DW40" s="2171"/>
      <c r="DX40" s="2170" t="e">
        <f>DV40</f>
        <v>#DIV/0!</v>
      </c>
      <c r="DZ40" s="1878"/>
      <c r="EA40" s="2146"/>
      <c r="EB40" s="1878"/>
      <c r="EC40" s="2146"/>
      <c r="ED40" s="1878" t="e">
        <f>'Calc Data-SB1'!E37</f>
        <v>#DIV/0!</v>
      </c>
      <c r="EE40" s="2146"/>
      <c r="EF40" s="1878" t="e">
        <f>ED40</f>
        <v>#DIV/0!</v>
      </c>
    </row>
    <row r="41" spans="1:136">
      <c r="A41" t="s">
        <v>1343</v>
      </c>
      <c r="C41" s="1419" t="e">
        <f>C39</f>
        <v>#DIV/0!</v>
      </c>
      <c r="D41" s="1420"/>
      <c r="E41" s="1419" t="e">
        <f>E39</f>
        <v>#DIV/0!</v>
      </c>
      <c r="F41" s="1420"/>
      <c r="G41" s="1419" t="e">
        <f>G40</f>
        <v>#DIV/0!</v>
      </c>
      <c r="H41" s="1420"/>
      <c r="I41" s="4325" t="e">
        <f>I40</f>
        <v>#DIV/0!</v>
      </c>
      <c r="K41" s="4234" t="e">
        <f>K39</f>
        <v>#DIV/0!</v>
      </c>
      <c r="L41" s="4235"/>
      <c r="M41" s="4234" t="e">
        <f>M39</f>
        <v>#DIV/0!</v>
      </c>
      <c r="N41" s="4235"/>
      <c r="O41" s="4234" t="e">
        <f>O40</f>
        <v>#DIV/0!</v>
      </c>
      <c r="P41" s="4235"/>
      <c r="Q41" s="4338" t="e">
        <f>Q40</f>
        <v>#DIV/0!</v>
      </c>
      <c r="S41" s="1597" t="e">
        <f>S39</f>
        <v>#DIV/0!</v>
      </c>
      <c r="T41" s="1598"/>
      <c r="U41" s="1597" t="e">
        <f>U39</f>
        <v>#DIV/0!</v>
      </c>
      <c r="V41" s="1598"/>
      <c r="W41" s="1597" t="e">
        <f>W40</f>
        <v>#DIV/0!</v>
      </c>
      <c r="X41" s="1598"/>
      <c r="Y41" s="4348" t="e">
        <f>Y40</f>
        <v>#DIV/0!</v>
      </c>
      <c r="AA41" s="1678" t="e">
        <f>AA39</f>
        <v>#DIV/0!</v>
      </c>
      <c r="AB41" s="1679"/>
      <c r="AC41" s="1678" t="e">
        <f>AC39</f>
        <v>#DIV/0!</v>
      </c>
      <c r="AD41" s="1679"/>
      <c r="AE41" s="1678" t="e">
        <f>AE40</f>
        <v>#DIV/0!</v>
      </c>
      <c r="AF41" s="1679"/>
      <c r="AG41" s="4363" t="e">
        <f>AG40</f>
        <v>#DIV/0!</v>
      </c>
      <c r="AI41" s="2097" t="e">
        <f>AI39</f>
        <v>#DIV/0!</v>
      </c>
      <c r="AJ41" s="2098"/>
      <c r="AK41" s="2097" t="e">
        <f>AK39</f>
        <v>#DIV/0!</v>
      </c>
      <c r="AL41" s="2098"/>
      <c r="AM41" s="2097" t="e">
        <f>AM40</f>
        <v>#DIV/0!</v>
      </c>
      <c r="AN41" s="2098"/>
      <c r="AO41" s="4383" t="e">
        <f>AO40</f>
        <v>#DIV/0!</v>
      </c>
      <c r="AQ41" s="2643" t="e">
        <f>AQ39</f>
        <v>#DIV/0!</v>
      </c>
      <c r="AR41" s="2644"/>
      <c r="AS41" s="2643" t="e">
        <f>AS39</f>
        <v>#DIV/0!</v>
      </c>
      <c r="AT41" s="2644"/>
      <c r="AU41" s="2643" t="e">
        <f>AU40</f>
        <v>#DIV/0!</v>
      </c>
      <c r="AV41" s="2644"/>
      <c r="AW41" s="4394" t="e">
        <f>AW40</f>
        <v>#DIV/0!</v>
      </c>
      <c r="AY41" s="4196" t="e">
        <f>AY39</f>
        <v>#DIV/0!</v>
      </c>
      <c r="AZ41" s="4197"/>
      <c r="BA41" s="4196" t="e">
        <f>BA39</f>
        <v>#DIV/0!</v>
      </c>
      <c r="BB41" s="4197"/>
      <c r="BC41" s="4196" t="e">
        <f>BC40</f>
        <v>#DIV/0!</v>
      </c>
      <c r="BD41" s="4197"/>
      <c r="BE41" s="4397" t="e">
        <f>BE40</f>
        <v>#DIV/0!</v>
      </c>
      <c r="BH41" s="982" t="e">
        <f>BH39</f>
        <v>#DIV/0!</v>
      </c>
      <c r="BI41" s="982" t="e">
        <f>BI39</f>
        <v>#DIV/0!</v>
      </c>
      <c r="BJ41" s="982" t="e">
        <f>BJ40</f>
        <v>#DIV/0!</v>
      </c>
      <c r="BK41" s="982" t="e">
        <f>BK40</f>
        <v>#DIV/0!</v>
      </c>
      <c r="BV41" s="1020" t="e">
        <f>BV39</f>
        <v>#REF!</v>
      </c>
      <c r="BW41" s="1021"/>
      <c r="BX41" s="1020" t="e">
        <f>BX39</f>
        <v>#REF!</v>
      </c>
      <c r="BY41" s="1021"/>
      <c r="BZ41" s="1020" t="e">
        <f>BZ40</f>
        <v>#REF!</v>
      </c>
      <c r="CA41" s="1021"/>
      <c r="CB41" s="1020" t="e">
        <f>CB40</f>
        <v>#REF!</v>
      </c>
      <c r="CD41" s="2196" t="e">
        <f>CD39</f>
        <v>#REF!</v>
      </c>
      <c r="CE41" s="2197"/>
      <c r="CF41" s="2196" t="e">
        <f>CF39</f>
        <v>#REF!</v>
      </c>
      <c r="CG41" s="2197"/>
      <c r="CH41" s="2196" t="e">
        <f>CH40</f>
        <v>#REF!</v>
      </c>
      <c r="CI41" s="2197"/>
      <c r="CJ41" s="2196" t="e">
        <f>CJ40</f>
        <v>#REF!</v>
      </c>
      <c r="CL41" s="2170" t="e">
        <f>CL39</f>
        <v>#REF!</v>
      </c>
      <c r="CM41" s="2171"/>
      <c r="CN41" s="2170" t="e">
        <f>CN39</f>
        <v>#REF!</v>
      </c>
      <c r="CO41" s="2171"/>
      <c r="CP41" s="2170" t="e">
        <f>CP40</f>
        <v>#REF!</v>
      </c>
      <c r="CQ41" s="2171"/>
      <c r="CR41" s="2170" t="e">
        <f>CR40</f>
        <v>#REF!</v>
      </c>
      <c r="CT41" s="1878" t="e">
        <f>CT39</f>
        <v>#DIV/0!</v>
      </c>
      <c r="CU41" s="2146"/>
      <c r="CV41" s="1878" t="e">
        <f>CV39</f>
        <v>#DIV/0!</v>
      </c>
      <c r="CW41" s="2146"/>
      <c r="CX41" s="1878" t="e">
        <f>CX40</f>
        <v>#DIV/0!</v>
      </c>
      <c r="CY41" s="2146"/>
      <c r="CZ41" s="1878" t="e">
        <f>CZ40</f>
        <v>#DIV/0!</v>
      </c>
      <c r="DB41" s="2170" t="e">
        <f>DB39</f>
        <v>#DIV/0!</v>
      </c>
      <c r="DC41" s="2171"/>
      <c r="DD41" s="2170" t="e">
        <f>DD39</f>
        <v>#DIV/0!</v>
      </c>
      <c r="DE41" s="2171"/>
      <c r="DF41" s="2170" t="e">
        <f>DF40</f>
        <v>#DIV/0!</v>
      </c>
      <c r="DG41" s="2171"/>
      <c r="DH41" s="2170" t="e">
        <f>DH40</f>
        <v>#DIV/0!</v>
      </c>
      <c r="DJ41" s="1878" t="e">
        <f>DJ39</f>
        <v>#DIV/0!</v>
      </c>
      <c r="DK41" s="2146"/>
      <c r="DL41" s="1878" t="e">
        <f>DL39</f>
        <v>#DIV/0!</v>
      </c>
      <c r="DM41" s="2146"/>
      <c r="DN41" s="1878" t="e">
        <f>DN40</f>
        <v>#DIV/0!</v>
      </c>
      <c r="DO41" s="2146"/>
      <c r="DP41" s="1878" t="e">
        <f>DP40</f>
        <v>#DIV/0!</v>
      </c>
      <c r="DR41" s="2170" t="e">
        <f>DR39</f>
        <v>#DIV/0!</v>
      </c>
      <c r="DS41" s="2171"/>
      <c r="DT41" s="2170" t="e">
        <f>DT39</f>
        <v>#DIV/0!</v>
      </c>
      <c r="DU41" s="2171"/>
      <c r="DV41" s="2170" t="e">
        <f>DV40</f>
        <v>#DIV/0!</v>
      </c>
      <c r="DW41" s="2171"/>
      <c r="DX41" s="2170" t="e">
        <f>DX40</f>
        <v>#DIV/0!</v>
      </c>
      <c r="DZ41" s="1878" t="e">
        <f>DZ39</f>
        <v>#DIV/0!</v>
      </c>
      <c r="EA41" s="2146"/>
      <c r="EB41" s="1878" t="e">
        <f>EB39</f>
        <v>#DIV/0!</v>
      </c>
      <c r="EC41" s="2146"/>
      <c r="ED41" s="1878" t="e">
        <f>ED40</f>
        <v>#DIV/0!</v>
      </c>
      <c r="EE41" s="2146"/>
      <c r="EF41" s="1878" t="e">
        <f>EF40</f>
        <v>#DIV/0!</v>
      </c>
    </row>
    <row r="42" spans="1:136">
      <c r="A42" t="s">
        <v>2395</v>
      </c>
      <c r="C42" s="1411" t="e">
        <f>C35*C41</f>
        <v>#DIV/0!</v>
      </c>
      <c r="D42" s="1412"/>
      <c r="E42" s="1411" t="e">
        <f>E35*E41</f>
        <v>#DIV/0!</v>
      </c>
      <c r="F42" s="1412"/>
      <c r="G42" s="1411" t="e">
        <f>IF(G40&lt;1,0,G35*G41)</f>
        <v>#DIV/0!</v>
      </c>
      <c r="H42" s="1412"/>
      <c r="I42" s="4321" t="e">
        <f>IF(I40&lt;1,0,I35*I41)</f>
        <v>#DIV/0!</v>
      </c>
      <c r="K42" s="4234" t="e">
        <f>K35*K41</f>
        <v>#DIV/0!</v>
      </c>
      <c r="L42" s="4235"/>
      <c r="M42" s="4234" t="e">
        <f>M35*M41</f>
        <v>#DIV/0!</v>
      </c>
      <c r="N42" s="4235"/>
      <c r="O42" s="4234" t="e">
        <f>IF(O40&lt;1,0,O35*O41)</f>
        <v>#DIV/0!</v>
      </c>
      <c r="P42" s="4235"/>
      <c r="Q42" s="4338" t="e">
        <f>IF(Q40&lt;1,0,Q35*Q41)</f>
        <v>#DIV/0!</v>
      </c>
      <c r="S42" s="1589" t="e">
        <f>S35*S41</f>
        <v>#DIV/0!</v>
      </c>
      <c r="T42" s="1590"/>
      <c r="U42" s="1589" t="e">
        <f>U35*U41</f>
        <v>#DIV/0!</v>
      </c>
      <c r="V42" s="1590"/>
      <c r="W42" s="1589" t="e">
        <f>IF(W40&lt;1,0,W35*W41)</f>
        <v>#DIV/0!</v>
      </c>
      <c r="X42" s="1590"/>
      <c r="Y42" s="4344" t="e">
        <f>IF(Y40&lt;1,0,Y35*Y41)</f>
        <v>#DIV/0!</v>
      </c>
      <c r="AA42" s="1670" t="e">
        <f>AA35*AA41</f>
        <v>#DIV/0!</v>
      </c>
      <c r="AB42" s="1671"/>
      <c r="AC42" s="1670" t="e">
        <f>AC35*AC41</f>
        <v>#DIV/0!</v>
      </c>
      <c r="AD42" s="1671"/>
      <c r="AE42" s="1670" t="e">
        <f>IF(AE40&lt;1,0,AE35*AE41)</f>
        <v>#DIV/0!</v>
      </c>
      <c r="AF42" s="1671"/>
      <c r="AG42" s="4359" t="e">
        <f>IF(AG40&lt;1,0,AG35*AG41)</f>
        <v>#DIV/0!</v>
      </c>
      <c r="AI42" s="2089" t="e">
        <f>AI35*AI41</f>
        <v>#DIV/0!</v>
      </c>
      <c r="AJ42" s="2090"/>
      <c r="AK42" s="2089" t="e">
        <f>AK35*AK41</f>
        <v>#DIV/0!</v>
      </c>
      <c r="AL42" s="2090"/>
      <c r="AM42" s="2089" t="e">
        <f>IF(AM40&lt;1,0,AM35*AM41)</f>
        <v>#DIV/0!</v>
      </c>
      <c r="AN42" s="2090"/>
      <c r="AO42" s="4379" t="e">
        <f>IF(AO40&lt;1,0,AO35*AO41)</f>
        <v>#DIV/0!</v>
      </c>
      <c r="AQ42" s="2635" t="e">
        <f>AQ35*AQ41</f>
        <v>#DIV/0!</v>
      </c>
      <c r="AR42" s="2636"/>
      <c r="AS42" s="2635" t="e">
        <f>AS35*AS41</f>
        <v>#DIV/0!</v>
      </c>
      <c r="AT42" s="2636"/>
      <c r="AU42" s="2635" t="e">
        <f>IF(AU40&lt;1,0,AU35*AU41)</f>
        <v>#DIV/0!</v>
      </c>
      <c r="AV42" s="2636"/>
      <c r="AW42" s="4390" t="e">
        <f>IF(AW40&lt;1,0,AW35*AW41)</f>
        <v>#DIV/0!</v>
      </c>
      <c r="AY42" s="4196" t="e">
        <f>AY35*AY41</f>
        <v>#DIV/0!</v>
      </c>
      <c r="AZ42" s="4197"/>
      <c r="BA42" s="4196" t="e">
        <f>BA35*BA41</f>
        <v>#DIV/0!</v>
      </c>
      <c r="BB42" s="4197"/>
      <c r="BC42" s="4196" t="e">
        <f>IF(BC40&lt;1,0,BC35*BC41)</f>
        <v>#DIV/0!</v>
      </c>
      <c r="BD42" s="4197"/>
      <c r="BE42" s="4397" t="e">
        <f>IF(BE40&lt;1,0,BE35*BE41)</f>
        <v>#DIV/0!</v>
      </c>
      <c r="BH42" s="977" t="e">
        <f>BH35*BH41</f>
        <v>#DIV/0!</v>
      </c>
      <c r="BI42" s="977" t="e">
        <f>BI35*BI41</f>
        <v>#DIV/0!</v>
      </c>
      <c r="BJ42" s="977" t="e">
        <f>IF(BJ40&lt;1,0,BJ35*BJ41)</f>
        <v>#DIV/0!</v>
      </c>
      <c r="BK42" s="977" t="e">
        <f>IF(BK40&lt;1,0,BK35*BK41)</f>
        <v>#DIV/0!</v>
      </c>
      <c r="BV42" s="1012" t="e">
        <f>BV35*BV41</f>
        <v>#REF!</v>
      </c>
      <c r="BW42" s="1013"/>
      <c r="BX42" s="1012" t="e">
        <f>BX35*BX41</f>
        <v>#REF!</v>
      </c>
      <c r="BY42" s="1013"/>
      <c r="BZ42" s="1012" t="e">
        <f>IF(BZ40&lt;1,0,BZ35*BZ41)</f>
        <v>#REF!</v>
      </c>
      <c r="CA42" s="1013"/>
      <c r="CB42" s="1012" t="e">
        <f>IF(CB40&lt;1,0,CB35*CB41)</f>
        <v>#REF!</v>
      </c>
      <c r="CD42" s="2187" t="e">
        <f>CD35*CD41</f>
        <v>#REF!</v>
      </c>
      <c r="CE42" s="2188"/>
      <c r="CF42" s="2187" t="e">
        <f>CF35*CF41</f>
        <v>#REF!</v>
      </c>
      <c r="CG42" s="2188"/>
      <c r="CH42" s="2187" t="e">
        <f>IF(CH40&lt;1,0,CH35*CH41)</f>
        <v>#REF!</v>
      </c>
      <c r="CI42" s="2188"/>
      <c r="CJ42" s="2187" t="e">
        <f>IF(CJ40&lt;1,0,CJ35*CJ41)</f>
        <v>#REF!</v>
      </c>
      <c r="CL42" s="2161" t="e">
        <f>CL35*CL41</f>
        <v>#REF!</v>
      </c>
      <c r="CM42" s="2162"/>
      <c r="CN42" s="2161" t="e">
        <f>CN35*CN41</f>
        <v>#REF!</v>
      </c>
      <c r="CO42" s="2162"/>
      <c r="CP42" s="2161" t="e">
        <f>IF(CP40&lt;1,0,CP35*CP41)</f>
        <v>#REF!</v>
      </c>
      <c r="CQ42" s="2162"/>
      <c r="CR42" s="2161" t="e">
        <f>IF(CR40&lt;1,0,CR35*CR41)</f>
        <v>#REF!</v>
      </c>
      <c r="CT42" s="1875" t="e">
        <f>CT35*CT41</f>
        <v>#REF!</v>
      </c>
      <c r="CU42" s="2138"/>
      <c r="CV42" s="1875" t="e">
        <f>CV35*CV41</f>
        <v>#REF!</v>
      </c>
      <c r="CW42" s="2138"/>
      <c r="CX42" s="1875" t="e">
        <f>IF(CX40&lt;1,0,CX35*CX41)</f>
        <v>#DIV/0!</v>
      </c>
      <c r="CY42" s="2138"/>
      <c r="CZ42" s="1875" t="e">
        <f>IF(CZ40&lt;1,0,CZ35*CZ41)</f>
        <v>#DIV/0!</v>
      </c>
      <c r="DB42" s="2161" t="e">
        <f>DB35*DB41</f>
        <v>#DIV/0!</v>
      </c>
      <c r="DC42" s="2162"/>
      <c r="DD42" s="2161" t="e">
        <f>DD35*DD41</f>
        <v>#DIV/0!</v>
      </c>
      <c r="DE42" s="2162"/>
      <c r="DF42" s="2161" t="e">
        <f>IF(DF40&lt;1,0,DF35*DF41)</f>
        <v>#DIV/0!</v>
      </c>
      <c r="DG42" s="2162"/>
      <c r="DH42" s="2161" t="e">
        <f>IF(DH40&lt;1,0,DH35*DH41)</f>
        <v>#DIV/0!</v>
      </c>
      <c r="DJ42" s="1875" t="e">
        <f>DJ35*DJ41</f>
        <v>#DIV/0!</v>
      </c>
      <c r="DK42" s="2138"/>
      <c r="DL42" s="1875" t="e">
        <f>DL35*DL41</f>
        <v>#DIV/0!</v>
      </c>
      <c r="DM42" s="2138"/>
      <c r="DN42" s="1875" t="e">
        <f>IF(DN40&lt;1,0,DN35*DN41)</f>
        <v>#DIV/0!</v>
      </c>
      <c r="DO42" s="2138"/>
      <c r="DP42" s="1875" t="e">
        <f>IF(DP40&lt;1,0,DP35*DP41)</f>
        <v>#DIV/0!</v>
      </c>
      <c r="DR42" s="2161" t="e">
        <f>DR35*DR41</f>
        <v>#DIV/0!</v>
      </c>
      <c r="DS42" s="2162"/>
      <c r="DT42" s="2161" t="e">
        <f>DT35*DT41</f>
        <v>#DIV/0!</v>
      </c>
      <c r="DU42" s="2162"/>
      <c r="DV42" s="2161" t="e">
        <f>IF(DV40&lt;1,0,DV35*DV41)</f>
        <v>#DIV/0!</v>
      </c>
      <c r="DW42" s="2162"/>
      <c r="DX42" s="2161" t="e">
        <f>IF(DX40&lt;1,0,DX35*DX41)</f>
        <v>#DIV/0!</v>
      </c>
      <c r="DZ42" s="1875" t="e">
        <f>DZ35*DZ41</f>
        <v>#DIV/0!</v>
      </c>
      <c r="EA42" s="2138"/>
      <c r="EB42" s="1875" t="e">
        <f>EB35*EB41</f>
        <v>#DIV/0!</v>
      </c>
      <c r="EC42" s="2138"/>
      <c r="ED42" s="1875" t="e">
        <f>IF(ED40&lt;1,0,ED35*ED41)</f>
        <v>#DIV/0!</v>
      </c>
      <c r="EE42" s="2138"/>
      <c r="EF42" s="1875" t="e">
        <f>IF(EF40&lt;1,0,EF35*EF41)</f>
        <v>#DIV/0!</v>
      </c>
    </row>
    <row r="43" spans="1:136">
      <c r="A43" s="97" t="s">
        <v>1141</v>
      </c>
      <c r="C43" s="1413" t="e">
        <f>C34/IF(C36&lt;Assumptions!G92,Assumptions!G92,C36)</f>
        <v>#DIV/0!</v>
      </c>
      <c r="D43" s="1414"/>
      <c r="E43" s="1413" t="e">
        <f>E34/E36</f>
        <v>#DIV/0!</v>
      </c>
      <c r="F43" s="1414"/>
      <c r="G43" s="1413" t="e">
        <f>IF(G42=0,0,G34/G36)</f>
        <v>#DIV/0!</v>
      </c>
      <c r="H43" s="1414"/>
      <c r="I43" s="4322" t="e">
        <f>IF(I42=0,0,I34/I36)</f>
        <v>#DIV/0!</v>
      </c>
      <c r="K43" s="4233" t="e">
        <f>K34/IF(K36&lt;Assumptions!G103,Assumptions!G103,K36)</f>
        <v>#DIV/0!</v>
      </c>
      <c r="L43" s="926"/>
      <c r="M43" s="4233" t="e">
        <f>M34/M36</f>
        <v>#DIV/0!</v>
      </c>
      <c r="N43" s="926"/>
      <c r="O43" s="4233" t="e">
        <f>IF(O42=0,0,O34/O36)</f>
        <v>#DIV/0!</v>
      </c>
      <c r="P43" s="926"/>
      <c r="Q43" s="4337" t="e">
        <f>IF(Q42=0,0,Q34/Q36)</f>
        <v>#DIV/0!</v>
      </c>
      <c r="S43" s="1591" t="e">
        <f>S34/IF(S36&lt;Assumptions!G112,Assumptions!G112,S36)</f>
        <v>#DIV/0!</v>
      </c>
      <c r="T43" s="1592"/>
      <c r="U43" s="1591" t="e">
        <f>U34/U36</f>
        <v>#DIV/0!</v>
      </c>
      <c r="V43" s="1592"/>
      <c r="W43" s="1591" t="e">
        <f>IF(W42=0,0,W34/W36)</f>
        <v>#DIV/0!</v>
      </c>
      <c r="X43" s="1592"/>
      <c r="Y43" s="4345" t="e">
        <f>IF(Y42=0,0,Y34/Y36)</f>
        <v>#DIV/0!</v>
      </c>
      <c r="AA43" s="1672" t="e">
        <f>AA34/IF(AA36&lt;Assumptions!G121,Assumptions!G121,AA36)</f>
        <v>#DIV/0!</v>
      </c>
      <c r="AB43" s="1673"/>
      <c r="AC43" s="1672" t="e">
        <f>AC34/AC36</f>
        <v>#DIV/0!</v>
      </c>
      <c r="AD43" s="1673"/>
      <c r="AE43" s="1672" t="e">
        <f>IF(AE42=0,0,AE34/AE36)</f>
        <v>#DIV/0!</v>
      </c>
      <c r="AF43" s="1673"/>
      <c r="AG43" s="4360" t="e">
        <f>IF(AG42=0,0,AG34/AG36)</f>
        <v>#DIV/0!</v>
      </c>
      <c r="AI43" s="2091" t="e">
        <f>AI34/IF(AI36&lt;Assumptions!G130,Assumptions!G130,AI36)</f>
        <v>#DIV/0!</v>
      </c>
      <c r="AJ43" s="2092"/>
      <c r="AK43" s="2091" t="e">
        <f>AK34/AK36</f>
        <v>#DIV/0!</v>
      </c>
      <c r="AL43" s="2092"/>
      <c r="AM43" s="2091" t="e">
        <f>IF(AM42=0,0,AM34/AM36)</f>
        <v>#DIV/0!</v>
      </c>
      <c r="AN43" s="2092"/>
      <c r="AO43" s="4380" t="e">
        <f>IF(AO42=0,0,AO34/AO36)</f>
        <v>#DIV/0!</v>
      </c>
      <c r="AQ43" s="2637" t="e">
        <f>AQ34/IF(AQ36&lt;Assumptions!G139,Assumptions!G139,AQ36)</f>
        <v>#DIV/0!</v>
      </c>
      <c r="AR43" s="2638"/>
      <c r="AS43" s="2637" t="e">
        <f>AS34/AS36</f>
        <v>#DIV/0!</v>
      </c>
      <c r="AT43" s="2638"/>
      <c r="AU43" s="2637" t="e">
        <f>IF(AU42=0,0,AU34/AU36)</f>
        <v>#DIV/0!</v>
      </c>
      <c r="AV43" s="2638"/>
      <c r="AW43" s="4391" t="e">
        <f>IF(AW42=0,0,AW34/AW36)</f>
        <v>#DIV/0!</v>
      </c>
      <c r="AY43" s="4196" t="e">
        <f>AY34/IF(AY36&lt;Assumptions!G148,Assumptions!G148,AY36)</f>
        <v>#DIV/0!</v>
      </c>
      <c r="AZ43" s="4197"/>
      <c r="BA43" s="4196" t="e">
        <f>BA34/BA36</f>
        <v>#DIV/0!</v>
      </c>
      <c r="BB43" s="4197"/>
      <c r="BC43" s="4196" t="e">
        <f>IF(BC42=0,0,BC34/BC36)</f>
        <v>#DIV/0!</v>
      </c>
      <c r="BD43" s="4197"/>
      <c r="BE43" s="4397" t="e">
        <f>IF(BE42=0,0,BE34/BE36)</f>
        <v>#DIV/0!</v>
      </c>
      <c r="BH43" s="984" t="e">
        <f>BH34/IF(BH36&lt;Assumptions!G112,Assumptions!G112,BH36)</f>
        <v>#DIV/0!</v>
      </c>
      <c r="BI43" s="984" t="e">
        <f>BI34/BI36</f>
        <v>#DIV/0!</v>
      </c>
      <c r="BJ43" s="984" t="e">
        <f>IF(BJ42=0,0,BJ34/BJ36)</f>
        <v>#DIV/0!</v>
      </c>
      <c r="BK43" s="984" t="e">
        <f>IF(BK42=0,0,BK34/BK36)</f>
        <v>#DIV/0!</v>
      </c>
      <c r="BV43" s="1014" t="e">
        <f>BV34/IF(BV36&lt;Assumptions!G30,Assumptions!G30,BV36)</f>
        <v>#REF!</v>
      </c>
      <c r="BW43" s="1015"/>
      <c r="BX43" s="1014" t="e">
        <f>BX34/BX36</f>
        <v>#REF!</v>
      </c>
      <c r="BY43" s="1015"/>
      <c r="BZ43" s="1014" t="e">
        <f>IF(BZ42=0,0,BZ34/BZ36)</f>
        <v>#REF!</v>
      </c>
      <c r="CA43" s="1015"/>
      <c r="CB43" s="1014" t="e">
        <f>IF(CB42=0,0,CB34/CB36)</f>
        <v>#REF!</v>
      </c>
      <c r="CD43" s="2189" t="e">
        <f>CD34/IF(CD36&lt;Assumptions!G40,Assumptions!G40,CD36)</f>
        <v>#REF!</v>
      </c>
      <c r="CE43" s="2190"/>
      <c r="CF43" s="2189" t="e">
        <f>CF34/CF36</f>
        <v>#REF!</v>
      </c>
      <c r="CG43" s="2190"/>
      <c r="CH43" s="2189" t="e">
        <f>IF(CH42=0,0,CH34/CH36)</f>
        <v>#REF!</v>
      </c>
      <c r="CI43" s="2190"/>
      <c r="CJ43" s="2189" t="e">
        <f>IF(CJ42=0,0,CJ34/CJ36)</f>
        <v>#REF!</v>
      </c>
      <c r="CL43" s="2163" t="e">
        <f>CL34/IF(CL36&lt;Assumptions!G30,Assumptions!G30,CL36)</f>
        <v>#REF!</v>
      </c>
      <c r="CM43" s="2164"/>
      <c r="CN43" s="2163" t="e">
        <f>CN34/CN36</f>
        <v>#REF!</v>
      </c>
      <c r="CO43" s="2164"/>
      <c r="CP43" s="2163" t="e">
        <f>IF(CP42=0,0,CP34/CP36)</f>
        <v>#REF!</v>
      </c>
      <c r="CQ43" s="2164"/>
      <c r="CR43" s="2163" t="e">
        <f>IF(CR42=0,0,CR34/CR36)</f>
        <v>#REF!</v>
      </c>
      <c r="CT43" s="2139" t="e">
        <f>CT34/IF(CT36&lt;Assumptions!G30,Assumptions!G30,CT36)</f>
        <v>#REF!</v>
      </c>
      <c r="CU43" s="2140"/>
      <c r="CV43" s="2139" t="e">
        <f>CV34/CV36</f>
        <v>#REF!</v>
      </c>
      <c r="CW43" s="2140"/>
      <c r="CX43" s="2139" t="e">
        <f>IF(CX42=0,0,CX34/CX36)</f>
        <v>#DIV/0!</v>
      </c>
      <c r="CY43" s="2140"/>
      <c r="CZ43" s="2139" t="e">
        <f>IF(CZ42=0,0,CZ34/CZ36)</f>
        <v>#DIV/0!</v>
      </c>
      <c r="DB43" s="2163" t="e">
        <f>DB34/IF(DB36&lt;Assumptions!G30,Assumptions!G30,DB36)</f>
        <v>#DIV/0!</v>
      </c>
      <c r="DC43" s="2164"/>
      <c r="DD43" s="2163" t="e">
        <f>DD34/DD36</f>
        <v>#DIV/0!</v>
      </c>
      <c r="DE43" s="2164"/>
      <c r="DF43" s="2163" t="e">
        <f>IF(DF42=0,0,DF34/DF36)</f>
        <v>#DIV/0!</v>
      </c>
      <c r="DG43" s="2164"/>
      <c r="DH43" s="2163" t="e">
        <f>IF(DH42=0,0,DH34/DH36)</f>
        <v>#DIV/0!</v>
      </c>
      <c r="DJ43" s="2139" t="e">
        <f>DJ34/IF(DJ36&lt;Assumptions!G30,Assumptions!G30,DJ36)</f>
        <v>#DIV/0!</v>
      </c>
      <c r="DK43" s="2140"/>
      <c r="DL43" s="2139" t="e">
        <f>DL34/DL36</f>
        <v>#DIV/0!</v>
      </c>
      <c r="DM43" s="2140"/>
      <c r="DN43" s="2139" t="e">
        <f>IF(DN42=0,0,DN34/DN36)</f>
        <v>#DIV/0!</v>
      </c>
      <c r="DO43" s="2140"/>
      <c r="DP43" s="2139" t="e">
        <f>IF(DP42=0,0,DP34/DP36)</f>
        <v>#DIV/0!</v>
      </c>
      <c r="DR43" s="2163" t="e">
        <f>DR34/IF(DR36&lt;Assumptions!G30,Assumptions!G30,DR36)</f>
        <v>#DIV/0!</v>
      </c>
      <c r="DS43" s="2164"/>
      <c r="DT43" s="2163" t="e">
        <f>DT34/DT36</f>
        <v>#DIV/0!</v>
      </c>
      <c r="DU43" s="2164"/>
      <c r="DV43" s="2163" t="e">
        <f>IF(DV42=0,0,DV34/DV36)</f>
        <v>#DIV/0!</v>
      </c>
      <c r="DW43" s="2164"/>
      <c r="DX43" s="2163" t="e">
        <f>IF(DX42=0,0,DX34/DX36)</f>
        <v>#DIV/0!</v>
      </c>
      <c r="DZ43" s="2139" t="e">
        <f>DZ34/IF(DZ36&lt;Assumptions!G30,Assumptions!G30,DZ36)</f>
        <v>#DIV/0!</v>
      </c>
      <c r="EA43" s="2140"/>
      <c r="EB43" s="2139" t="e">
        <f>EB34/EB36</f>
        <v>#DIV/0!</v>
      </c>
      <c r="EC43" s="2140"/>
      <c r="ED43" s="2139" t="e">
        <f>IF(ED42=0,0,ED34/ED36)</f>
        <v>#DIV/0!</v>
      </c>
      <c r="EE43" s="2140"/>
      <c r="EF43" s="2139" t="e">
        <f>IF(EF42=0,0,EF34/EF36)</f>
        <v>#DIV/0!</v>
      </c>
    </row>
    <row r="44" spans="1:136">
      <c r="A44" s="92" t="s">
        <v>1752</v>
      </c>
      <c r="C44" s="1421" t="e">
        <f>IF(C43=0,0,IF(C42/C43&lt;3147,3147,C42/C43))</f>
        <v>#DIV/0!</v>
      </c>
      <c r="D44" s="1422"/>
      <c r="E44" s="1421" t="e">
        <f>IF(E43=0,0,IF(E42/E43&lt;3147,3147,E42/E43))</f>
        <v>#DIV/0!</v>
      </c>
      <c r="F44" s="1422"/>
      <c r="G44" s="1421" t="e">
        <f>IF(G43=0,0,IF(G42/G43&lt;71.62,71.62,G42/G43))</f>
        <v>#DIV/0!</v>
      </c>
      <c r="H44" s="1422"/>
      <c r="I44" s="4326" t="e">
        <f>IF(I43=0,0,IF(I42/I43&lt;71.62,71.62,I42/I43))</f>
        <v>#DIV/0!</v>
      </c>
      <c r="K44" s="4233" t="e">
        <f>IF(K43=0,0,IF(K42/K43&lt;3392,3392,K42/K43))</f>
        <v>#DIV/0!</v>
      </c>
      <c r="L44" s="926"/>
      <c r="M44" s="4233" t="e">
        <f>IF(M43=0,0,IF(M42/M43&lt;3392,3392,M42/M43))</f>
        <v>#DIV/0!</v>
      </c>
      <c r="N44" s="926"/>
      <c r="O44" s="4233" t="e">
        <f>IF(O43=0,0,IF(O42/O43&lt;84.777,84.777,O42/O43))</f>
        <v>#DIV/0!</v>
      </c>
      <c r="P44" s="926"/>
      <c r="Q44" s="4337" t="e">
        <f>IF(Q43=0,0,IF(Q42/Q43&lt;84.777,84.777,Q42/Q43))</f>
        <v>#DIV/0!</v>
      </c>
      <c r="S44" s="1599" t="e">
        <f>IF(S43=0,0,IF(S42/S43&lt;3380,3380,S42/S43))</f>
        <v>#DIV/0!</v>
      </c>
      <c r="T44" s="1600"/>
      <c r="U44" s="1599" t="e">
        <f>IF(U43=0,0,IF(U42/U43&lt;3380,3380,U42/U43))</f>
        <v>#DIV/0!</v>
      </c>
      <c r="V44" s="1600"/>
      <c r="W44" s="1599" t="e">
        <f>IF(W43=0,0,IF(W42/W43&lt;72,72,W42/W43))</f>
        <v>#DIV/0!</v>
      </c>
      <c r="X44" s="1600"/>
      <c r="Y44" s="4349" t="e">
        <f>IF(Y43=0,0,IF(Y42/Y43&lt;72,72,Y42/Y43))</f>
        <v>#DIV/0!</v>
      </c>
      <c r="AA44" s="1680" t="e">
        <f>IF(AA43=0,0,IF(AA42/AA43&lt;3380,3380,AA42/AA43))</f>
        <v>#DIV/0!</v>
      </c>
      <c r="AB44" s="1681"/>
      <c r="AC44" s="1680" t="e">
        <f>IF(AC43=0,0,IF(AC42/AC43&lt;3380,3380,AC42/AC43))</f>
        <v>#DIV/0!</v>
      </c>
      <c r="AD44" s="1681"/>
      <c r="AE44" s="1680" t="e">
        <f>IF(AE43=0,0,IF(AE42/AE43&lt;72,72,AE42/AE43))</f>
        <v>#DIV/0!</v>
      </c>
      <c r="AF44" s="1681"/>
      <c r="AG44" s="4364" t="e">
        <f>IF(AG43=0,0,IF(AG42/AG43&lt;72,72,AG42/AG43))</f>
        <v>#DIV/0!</v>
      </c>
      <c r="AI44" s="2099" t="e">
        <f>IF(AI43=0,0,IF(AI42/AI43&lt;3380,3380,AI42/AI43))</f>
        <v>#DIV/0!</v>
      </c>
      <c r="AJ44" s="2100"/>
      <c r="AK44" s="2099" t="e">
        <f>IF(AK43=0,0,IF(AK42/AK43&lt;3380,3380,AK42/AK43))</f>
        <v>#DIV/0!</v>
      </c>
      <c r="AL44" s="2100"/>
      <c r="AM44" s="2099" t="e">
        <f>IF(AM43=0,0,IF(AM42/AM43&lt;72,72,AM42/AM43))</f>
        <v>#DIV/0!</v>
      </c>
      <c r="AN44" s="2100"/>
      <c r="AO44" s="4384" t="e">
        <f>IF(AO43=0,0,IF(AO42/AO43&lt;72,72,AO42/AO43))</f>
        <v>#DIV/0!</v>
      </c>
      <c r="AQ44" s="2645" t="e">
        <f>IF(AQ43=0,0,IF(AQ42/AQ43&lt;3380,3380,AQ42/AQ43))</f>
        <v>#DIV/0!</v>
      </c>
      <c r="AR44" s="2646"/>
      <c r="AS44" s="2645" t="e">
        <f>IF(AS43=0,0,IF(AS42/AS43&lt;3380,3380,AS42/AS43))</f>
        <v>#DIV/0!</v>
      </c>
      <c r="AT44" s="2646"/>
      <c r="AU44" s="2645" t="e">
        <f>IF(AU43=0,0,IF(AU42/AU43&lt;72,72,AU42/AU43))</f>
        <v>#DIV/0!</v>
      </c>
      <c r="AV44" s="2646"/>
      <c r="AW44" s="4395" t="e">
        <f>IF(AW43=0,0,IF(AW42/AW43&lt;72,72,AW42/AW43))</f>
        <v>#DIV/0!</v>
      </c>
      <c r="AY44" s="4188" t="e">
        <f>IF(AY43=0,0,IF(AY42/AY43&lt;3380,3380,AY42/AY43))</f>
        <v>#DIV/0!</v>
      </c>
      <c r="AZ44" s="4189"/>
      <c r="BA44" s="4188" t="e">
        <f>IF(BA43=0,0,IF(BA42/BA43&lt;3380,3380,BA42/BA43))</f>
        <v>#DIV/0!</v>
      </c>
      <c r="BB44" s="4189"/>
      <c r="BC44" s="4188" t="e">
        <f>IF(BC43=0,0,IF(BC42/BC43&lt;72,72,BC42/BC43))</f>
        <v>#DIV/0!</v>
      </c>
      <c r="BD44" s="4189"/>
      <c r="BE44" s="4402" t="e">
        <f>IF(BE43=0,0,IF(BE42/BE43&lt;72,72,BE42/BE43))</f>
        <v>#DIV/0!</v>
      </c>
      <c r="BH44" s="2268" t="e">
        <f>IF(BH43=0,0,IF(BH42/BH43&lt;3392,3392,BH42/BH43))</f>
        <v>#DIV/0!</v>
      </c>
      <c r="BI44" s="2268" t="e">
        <f>IF(BI43=0,0,IF(BI42/BI43&lt;3380,3380,BI42/BI43))</f>
        <v>#DIV/0!</v>
      </c>
      <c r="BJ44" s="985" t="e">
        <f>IF(BJ43=0,0,IF(BJ42/BJ43&lt;84.777,84.777,BJ42/BJ43))</f>
        <v>#DIV/0!</v>
      </c>
      <c r="BK44" s="985" t="e">
        <f>IF(BK43=0,0,IF(BK42/BK43&lt;84.777,84.777,BK42/BK43))</f>
        <v>#DIV/0!</v>
      </c>
      <c r="BV44" s="1027" t="e">
        <f>IF(BV43=0,0,IF(BV42/BV43&lt;2780,2780,BV42/BV43))</f>
        <v>#REF!</v>
      </c>
      <c r="BW44" s="1022"/>
      <c r="BX44" s="1027" t="e">
        <f>IF(BX43=0,0,IF(BX42/BX43&lt;2780,2780,BX42/BX43))</f>
        <v>#REF!</v>
      </c>
      <c r="BY44" s="1022"/>
      <c r="BZ44" s="1027" t="e">
        <f>IF(BZ43=0,0,IF(BZ42/BZ43&lt;35.57,35.57,BZ42/BZ43))</f>
        <v>#REF!</v>
      </c>
      <c r="CA44" s="1022"/>
      <c r="CB44" s="1027" t="e">
        <f>IF(CB43=0,0,IF(CB42/CB43&lt;35.57,35.57,CB42/CB43))</f>
        <v>#REF!</v>
      </c>
      <c r="CD44" s="2198" t="e">
        <f>IF(CD43=0,0,IF(CD42/CD43&lt;2780,2780,CD42/CD43))</f>
        <v>#REF!</v>
      </c>
      <c r="CE44" s="2199"/>
      <c r="CF44" s="2198" t="e">
        <f>IF(CF43=0,0,IF(CF42/CF43&lt;2780,2780,CF42/CF43))</f>
        <v>#REF!</v>
      </c>
      <c r="CG44" s="2199"/>
      <c r="CH44" s="2198" t="e">
        <f>IF(CH43=0,0,IF(CH42/CH43&lt;35.57,35.57,CH42/CH43))</f>
        <v>#REF!</v>
      </c>
      <c r="CI44" s="2199"/>
      <c r="CJ44" s="2198" t="e">
        <f>IF(CJ43=0,0,IF(CJ42/CJ43&lt;35.57,35.57,CJ42/CJ43))</f>
        <v>#REF!</v>
      </c>
      <c r="CL44" s="2172" t="e">
        <f>IF(CL43=0,0,IF(CL42/CL43&lt;2780,2780,CL42/CL43))</f>
        <v>#REF!</v>
      </c>
      <c r="CM44" s="2173"/>
      <c r="CN44" s="2172" t="e">
        <f>IF(CN43=0,0,IF(CN42/CN43&lt;2780,2780,CN42/CN43))</f>
        <v>#REF!</v>
      </c>
      <c r="CO44" s="2173"/>
      <c r="CP44" s="2172" t="e">
        <f>IF(CP43=0,0,IF(CP42/CP43&lt;35.57,35.57,CP42/CP43))</f>
        <v>#REF!</v>
      </c>
      <c r="CQ44" s="2173"/>
      <c r="CR44" s="2172" t="e">
        <f>IF(CR43=0,0,IF(CR42/CR43&lt;35.57,35.57,CR42/CR43))</f>
        <v>#REF!</v>
      </c>
      <c r="CT44" s="2147" t="e">
        <f>IF(CT43=0,0,IF(CT42/CT43&lt;2780,2780,CT42/CT43))</f>
        <v>#REF!</v>
      </c>
      <c r="CU44" s="2148"/>
      <c r="CV44" s="2147" t="e">
        <f>IF(CV43=0,0,IF(CV42/CV43&lt;2780,2780,CV42/CV43))</f>
        <v>#REF!</v>
      </c>
      <c r="CW44" s="2148"/>
      <c r="CX44" s="2147" t="e">
        <f>IF(CX43=0,0,IF(CX42/CX43&lt;35.57,35.57,CX42/CX43))</f>
        <v>#DIV/0!</v>
      </c>
      <c r="CY44" s="2148"/>
      <c r="CZ44" s="2147" t="e">
        <f>IF(CZ43=0,0,IF(CZ42/CZ43&lt;35.57,35.57,CZ42/CZ43))</f>
        <v>#DIV/0!</v>
      </c>
      <c r="DB44" s="2172" t="e">
        <f>IF(DB43=0,0,IF(DB42/DB43&lt;2780,2780,DB42/DB43))</f>
        <v>#DIV/0!</v>
      </c>
      <c r="DC44" s="2173"/>
      <c r="DD44" s="2172" t="e">
        <f>IF(DD43=0,0,IF(DD42/DD43&lt;2780,2780,DD42/DD43))</f>
        <v>#DIV/0!</v>
      </c>
      <c r="DE44" s="2173"/>
      <c r="DF44" s="2172" t="e">
        <f>IF(DF43=0,0,IF(DF42/DF43&lt;35.57,35.57,DF42/DF43))</f>
        <v>#DIV/0!</v>
      </c>
      <c r="DG44" s="2173"/>
      <c r="DH44" s="2172" t="e">
        <f>IF(DH43=0,0,IF(DH42/DH43&lt;35.57,35.57,DH42/DH43))</f>
        <v>#DIV/0!</v>
      </c>
      <c r="DJ44" s="2147" t="e">
        <f>IF(DJ43=0,0,IF(DJ42/DJ43&lt;2780,2780,DJ42/DJ43))</f>
        <v>#DIV/0!</v>
      </c>
      <c r="DK44" s="2148"/>
      <c r="DL44" s="2147" t="e">
        <f>IF(DL43=0,0,IF(DL42/DL43&lt;2780,2780,DL42/DL43))</f>
        <v>#DIV/0!</v>
      </c>
      <c r="DM44" s="2148"/>
      <c r="DN44" s="2147" t="e">
        <f>IF(DN43=0,0,IF(DN42/DN43&lt;35.57,35.57,DN42/DN43))</f>
        <v>#DIV/0!</v>
      </c>
      <c r="DO44" s="2148"/>
      <c r="DP44" s="2147" t="e">
        <f>IF(DP43=0,0,IF(DP42/DP43&lt;35.57,35.57,DP42/DP43))</f>
        <v>#DIV/0!</v>
      </c>
      <c r="DR44" s="2172" t="e">
        <f>IF(DR43=0,0,IF(DR42/DR43&lt;2780,2780,DR42/DR43))</f>
        <v>#DIV/0!</v>
      </c>
      <c r="DS44" s="2173"/>
      <c r="DT44" s="2172" t="e">
        <f>IF(DT43=0,0,IF(DT42/DT43&lt;2780,2780,DT42/DT43))</f>
        <v>#DIV/0!</v>
      </c>
      <c r="DU44" s="2173"/>
      <c r="DV44" s="2172" t="e">
        <f>IF(DV43=0,0,IF(DV42/DV43&lt;35.57,35.57,DV42/DV43))</f>
        <v>#DIV/0!</v>
      </c>
      <c r="DW44" s="2173"/>
      <c r="DX44" s="2172" t="e">
        <f>IF(DX43=0,0,IF(DX42/DX43&lt;35.57,35.57,DX42/DX43))</f>
        <v>#DIV/0!</v>
      </c>
      <c r="DZ44" s="2147" t="e">
        <f>IF(DZ43=0,0,IF(DZ42/DZ43&lt;2780,2780,DZ42/DZ43))</f>
        <v>#DIV/0!</v>
      </c>
      <c r="EA44" s="2148"/>
      <c r="EB44" s="2147" t="e">
        <f>IF(EB43=0,0,IF(EB42/EB43&lt;2780,2780,EB42/EB43))</f>
        <v>#DIV/0!</v>
      </c>
      <c r="EC44" s="2148"/>
      <c r="ED44" s="2147" t="e">
        <f>IF(ED43=0,0,IF(ED42/ED43&lt;35.57,35.57,ED42/ED43))</f>
        <v>#DIV/0!</v>
      </c>
      <c r="EE44" s="2148"/>
      <c r="EF44" s="2147" t="e">
        <f>IF(EF43=0,0,IF(EF42/EF43&lt;35.57,35.57,EF42/EF43))</f>
        <v>#DIV/0!</v>
      </c>
    </row>
    <row r="45" spans="1:136">
      <c r="A45" s="92" t="s">
        <v>496</v>
      </c>
      <c r="C45" s="1413" t="e">
        <f>IF(OR('Data Entry - SOF'!C95=0,C44=0),0,IF('Data Entry - SOF'!C95&gt;C44,(C44*'Data Entry - SOF'!C94)/C44,('Data Entry - SOF'!C95*'Data Entry - SOF'!C94)/C44))</f>
        <v>#DIV/0!</v>
      </c>
      <c r="D45" s="1414"/>
      <c r="E45" s="1413" t="e">
        <f>C45</f>
        <v>#DIV/0!</v>
      </c>
      <c r="F45" s="1414"/>
      <c r="G45" s="1413" t="e">
        <f>IF(OR('Data Entry - SOF'!C95=0,G44=0),0,IF('Data Entry - SOF'!C95&gt;G44,(G44*'Data Entry - SOF'!C94)/G44,('Data Entry - SOF'!C95*'Data Entry - SOF'!C94)/G44))</f>
        <v>#DIV/0!</v>
      </c>
      <c r="H45" s="1414"/>
      <c r="I45" s="4322" t="e">
        <f>G45</f>
        <v>#DIV/0!</v>
      </c>
      <c r="K45" s="4233" t="e">
        <f>IF(OR('Data Entry - SOF'!E95=0,K44=0),0,IF('Data Entry - SOF'!E95&gt;K44,(K44*'Data Entry - SOF'!E94)/K44,('Data Entry - SOF'!E95*'Data Entry - SOF'!E94)/K44))</f>
        <v>#DIV/0!</v>
      </c>
      <c r="L45" s="926"/>
      <c r="M45" s="4233" t="e">
        <f>K45</f>
        <v>#DIV/0!</v>
      </c>
      <c r="N45" s="926"/>
      <c r="O45" s="4233" t="e">
        <f>IF(OR('Data Entry - SOF'!E95=0,O44=0),0,IF('Data Entry - SOF'!E95&gt;O44,(O44*'Data Entry - SOF'!E94)/O44,('Data Entry - SOF'!E95*'Data Entry - SOF'!E94)/O44))</f>
        <v>#DIV/0!</v>
      </c>
      <c r="P45" s="926"/>
      <c r="Q45" s="4337" t="e">
        <f>O45</f>
        <v>#DIV/0!</v>
      </c>
      <c r="S45" s="1591" t="e">
        <f>IF(OR('Data Entry - SOF'!G95=0,S44=0),0,IF('Data Entry - SOF'!G95&gt;S44,(S44*'Data Entry - SOF'!G94)/S44,('Data Entry - SOF'!G95*'Data Entry - SOF'!G94)/S44))</f>
        <v>#DIV/0!</v>
      </c>
      <c r="T45" s="1592"/>
      <c r="U45" s="1591" t="e">
        <f>S45</f>
        <v>#DIV/0!</v>
      </c>
      <c r="V45" s="1592"/>
      <c r="W45" s="1591" t="e">
        <f>IF(OR('Data Entry - SOF'!G95=0,W44=0),0,IF('Data Entry - SOF'!G95&gt;W44,(W44*'Data Entry - SOF'!G94)/W44,('Data Entry - SOF'!G95*'Data Entry - SOF'!G94)/W44))</f>
        <v>#DIV/0!</v>
      </c>
      <c r="X45" s="1592"/>
      <c r="Y45" s="4345" t="e">
        <f>W45</f>
        <v>#DIV/0!</v>
      </c>
      <c r="AA45" s="1672" t="e">
        <f>IF(OR('Data Entry - SOF'!I95=0,AA44=0),0,IF('Data Entry - SOF'!I95&gt;AA44,(AA44*'Data Entry - SOF'!I94)/AA44,('Data Entry - SOF'!I95*'Data Entry - SOF'!I94)/AA44))</f>
        <v>#DIV/0!</v>
      </c>
      <c r="AB45" s="1673"/>
      <c r="AC45" s="1672" t="e">
        <f>AA45</f>
        <v>#DIV/0!</v>
      </c>
      <c r="AD45" s="1673"/>
      <c r="AE45" s="1672" t="e">
        <f>IF(OR('Data Entry - SOF'!I95=0,AE44=0),0,IF('Data Entry - SOF'!I95&gt;AE44,(AE44*'Data Entry - SOF'!I94)/AE44,('Data Entry - SOF'!I95*'Data Entry - SOF'!I94)/AE44))</f>
        <v>#DIV/0!</v>
      </c>
      <c r="AF45" s="1673"/>
      <c r="AG45" s="4360" t="e">
        <f>AE45</f>
        <v>#DIV/0!</v>
      </c>
      <c r="AI45" s="2091" t="e">
        <f>IF(OR('Data Entry - SOF'!K95=0,AI44=0),0,IF('Data Entry - SOF'!K95&gt;AI44,(AI44*'Data Entry - SOF'!K94)/AI44,('Data Entry - SOF'!K95*'Data Entry - SOF'!K94)/AI44))</f>
        <v>#DIV/0!</v>
      </c>
      <c r="AJ45" s="2092"/>
      <c r="AK45" s="2091" t="e">
        <f>AI45</f>
        <v>#DIV/0!</v>
      </c>
      <c r="AL45" s="2092"/>
      <c r="AM45" s="2091" t="e">
        <f>IF(OR('Data Entry - SOF'!K95=0,AM44=0),0,IF('Data Entry - SOF'!K95&gt;AM44,(AM44*'Data Entry - SOF'!K94)/AM44,('Data Entry - SOF'!K95*'Data Entry - SOF'!K94)/AM44))</f>
        <v>#DIV/0!</v>
      </c>
      <c r="AN45" s="2092"/>
      <c r="AO45" s="4380" t="e">
        <f>AM45</f>
        <v>#DIV/0!</v>
      </c>
      <c r="AQ45" s="2637" t="e">
        <f>IF(OR('Data Entry - SOF'!M95=0,AQ44=0),0,IF('Data Entry - SOF'!M95&gt;AQ44,(AQ44*'Data Entry - SOF'!M94)/AQ44,('Data Entry - SOF'!M95*'Data Entry - SOF'!M94)/AQ44))</f>
        <v>#DIV/0!</v>
      </c>
      <c r="AR45" s="2638"/>
      <c r="AS45" s="2637" t="e">
        <f>AQ45</f>
        <v>#DIV/0!</v>
      </c>
      <c r="AT45" s="2638"/>
      <c r="AU45" s="2637" t="e">
        <f>IF(OR('Data Entry - SOF'!M95=0,AU44=0),0,IF('Data Entry - SOF'!M95&gt;AU44,(AU44*'Data Entry - SOF'!M94)/AU44,('Data Entry - SOF'!M95*'Data Entry - SOF'!M94)/AU44))</f>
        <v>#DIV/0!</v>
      </c>
      <c r="AV45" s="2638"/>
      <c r="AW45" s="4391" t="e">
        <f>AU45</f>
        <v>#DIV/0!</v>
      </c>
      <c r="AY45" s="4188" t="e">
        <f>IF(OR('Data Entry - SOF'!O95=0,AY44=0),0,IF('Data Entry - SOF'!O95&gt;AY44,(AY44*'Data Entry - SOF'!O94)/AY44,('Data Entry - SOF'!O95*'Data Entry - SOF'!O94)/AY44))</f>
        <v>#DIV/0!</v>
      </c>
      <c r="AZ45" s="4189"/>
      <c r="BA45" s="4188" t="e">
        <f>AY45</f>
        <v>#DIV/0!</v>
      </c>
      <c r="BB45" s="4189"/>
      <c r="BC45" s="4188" t="e">
        <f>IF(OR('Data Entry - SOF'!O95=0,BC44=0),0,IF('Data Entry - SOF'!O95&gt;BC44,(BC44*'Data Entry - SOF'!O94)/BC44,('Data Entry - SOF'!O95*'Data Entry - SOF'!O94)/BC44))</f>
        <v>#DIV/0!</v>
      </c>
      <c r="BD45" s="4189"/>
      <c r="BE45" s="4402" t="e">
        <f>BC45</f>
        <v>#DIV/0!</v>
      </c>
      <c r="BH45" s="2270" t="e">
        <f>IF(OR('Data Entry - SOF'!E95=0,BH44=0),0,IF('Data Entry - SOF'!E95&gt;BH44,(BH44*'Data Entry - SOF'!E94)/BH44,('Data Entry - SOF'!E95*'Data Entry - SOF'!E94)/BH44))</f>
        <v>#DIV/0!</v>
      </c>
      <c r="BI45" s="984" t="e">
        <f>BH45</f>
        <v>#DIV/0!</v>
      </c>
      <c r="BJ45" s="984" t="e">
        <f>IF(OR('Data Entry - SOF'!E95=0,BJ44=0),0,IF('Data Entry - SOF'!E95&gt;BJ44,(BJ44*'Data Entry - SOF'!E94)/BJ44,('Data Entry - SOF'!E95*'Data Entry - SOF'!E94)/BJ44))</f>
        <v>#DIV/0!</v>
      </c>
      <c r="BK45" s="984" t="e">
        <f>BI45</f>
        <v>#DIV/0!</v>
      </c>
      <c r="BV45" s="1014" t="e">
        <f>IF(OR('Data Entry - SOF'!#REF!=0,BV44=0),0,IF('Data Entry - SOF'!#REF!&gt;BV44,(BV44*'Data Entry - SOF'!#REF!)/BV44,('Data Entry - SOF'!#REF!*'Data Entry - SOF'!#REF!)/BV44))</f>
        <v>#REF!</v>
      </c>
      <c r="BW45" s="1015"/>
      <c r="BX45" s="1014" t="e">
        <f>BV45</f>
        <v>#REF!</v>
      </c>
      <c r="BY45" s="1015"/>
      <c r="BZ45" s="1014" t="e">
        <f>IF(OR('Data Entry - SOF'!#REF!=0,BZ44=0),0,IF('Data Entry - SOF'!#REF!&gt;BZ44,(BZ44*'Data Entry - SOF'!#REF!)/BZ44,('Data Entry - SOF'!#REF!*'Data Entry - SOF'!#REF!)/BZ44))</f>
        <v>#REF!</v>
      </c>
      <c r="CA45" s="1015"/>
      <c r="CB45" s="1014" t="e">
        <f>BZ45</f>
        <v>#REF!</v>
      </c>
      <c r="CD45" s="2189" t="e">
        <f>IF(OR('Data Entry - SOF'!#REF!=0,CD44=0),0,IF('Data Entry - SOF'!#REF!&gt;CD44,(CD44*'Data Entry - SOF'!#REF!)/CD44,('Data Entry - SOF'!#REF!*'Data Entry - SOF'!#REF!)/CD44))</f>
        <v>#REF!</v>
      </c>
      <c r="CE45" s="2190"/>
      <c r="CF45" s="2189" t="e">
        <f>CD45</f>
        <v>#REF!</v>
      </c>
      <c r="CG45" s="2190"/>
      <c r="CH45" s="2189" t="e">
        <f>IF(OR('Data Entry - SOF'!#REF!=0,CH44=0),0,IF('Data Entry - SOF'!#REF!&gt;CH44,(CH44*'Data Entry - SOF'!#REF!)/CH44,('Data Entry - SOF'!#REF!*'Data Entry - SOF'!#REF!)/CH44))</f>
        <v>#REF!</v>
      </c>
      <c r="CI45" s="2190"/>
      <c r="CJ45" s="2189" t="e">
        <f>CH45</f>
        <v>#REF!</v>
      </c>
      <c r="CL45" s="2163" t="e">
        <f>IF(OR('Data Entry - SOF'!#REF!=0,CL44=0),0,IF('Data Entry - SOF'!#REF!&gt;CL44,(CL44*'Data Entry - SOF'!#REF!)/CL44,('Data Entry - SOF'!#REF!*'Data Entry - SOF'!#REF!)/CL44))</f>
        <v>#REF!</v>
      </c>
      <c r="CM45" s="2164"/>
      <c r="CN45" s="2163" t="e">
        <f>CL45</f>
        <v>#REF!</v>
      </c>
      <c r="CO45" s="2164"/>
      <c r="CP45" s="2163" t="e">
        <f>IF(OR('Data Entry - SOF'!#REF!=0,CP44=0),0,IF('Data Entry - SOF'!#REF!&gt;CP44,(CP44*'Data Entry - SOF'!#REF!)/CP44,('Data Entry - SOF'!#REF!*'Data Entry - SOF'!#REF!)/CP44))</f>
        <v>#REF!</v>
      </c>
      <c r="CQ45" s="2164"/>
      <c r="CR45" s="2163" t="e">
        <f>CP45</f>
        <v>#REF!</v>
      </c>
      <c r="CT45" s="2139" t="e">
        <f>IF(OR('Data Entry - SOF'!#REF!=0,CT44=0),0,IF('Data Entry - SOF'!#REF!&gt;CT44,(CT44*'Data Entry - SOF'!#REF!)/CT44,('Data Entry - SOF'!#REF!*'Data Entry - SOF'!#REF!)/CT44))</f>
        <v>#REF!</v>
      </c>
      <c r="CU45" s="2140"/>
      <c r="CV45" s="2139" t="e">
        <f>CT45</f>
        <v>#REF!</v>
      </c>
      <c r="CW45" s="2140"/>
      <c r="CX45" s="2139" t="e">
        <f>IF(OR('Data Entry - SOF'!#REF!=0,CX44=0),0,IF('Data Entry - SOF'!#REF!&gt;CX44,(CX44*'Data Entry - SOF'!#REF!)/CX44,('Data Entry - SOF'!#REF!*'Data Entry - SOF'!#REF!)/CX44))</f>
        <v>#REF!</v>
      </c>
      <c r="CY45" s="2140"/>
      <c r="CZ45" s="2139" t="e">
        <f>CX45</f>
        <v>#REF!</v>
      </c>
      <c r="DB45" s="2163" t="e">
        <f>IF(OR('Data Entry - SOF'!C95=0,DB44=0),0,IF('Data Entry - SOF'!C95&gt;DB44,(DB44*'Data Entry - SOF'!C94)/DB44,('Data Entry - SOF'!C95*'Data Entry - SOF'!C94)/DB44))</f>
        <v>#DIV/0!</v>
      </c>
      <c r="DC45" s="2164"/>
      <c r="DD45" s="2163" t="e">
        <f>DB45</f>
        <v>#DIV/0!</v>
      </c>
      <c r="DE45" s="2164"/>
      <c r="DF45" s="2163" t="e">
        <f>IF(OR('Data Entry - SOF'!C95=0,DF44=0),0,IF('Data Entry - SOF'!C95&gt;DF44,(DF44*'Data Entry - SOF'!C94)/DF44,('Data Entry - SOF'!C95*'Data Entry - SOF'!C94)/DF44))</f>
        <v>#DIV/0!</v>
      </c>
      <c r="DG45" s="2164"/>
      <c r="DH45" s="2163" t="e">
        <f>DF45</f>
        <v>#DIV/0!</v>
      </c>
      <c r="DJ45" s="2139" t="e">
        <f>IF(OR('Data Entry - SOF'!C95=0,DJ44=0),0,IF('Data Entry - SOF'!C95&gt;DJ44,(DJ44*'Data Entry - SOF'!C94)/DJ44,('Data Entry - SOF'!C95*'Data Entry - SOF'!C94)/DJ44))</f>
        <v>#DIV/0!</v>
      </c>
      <c r="DK45" s="2140"/>
      <c r="DL45" s="2139" t="e">
        <f>DJ45</f>
        <v>#DIV/0!</v>
      </c>
      <c r="DM45" s="2140"/>
      <c r="DN45" s="2139" t="e">
        <f>IF(OR('Data Entry - SOF'!C95=0,DN44=0),0,IF('Data Entry - SOF'!C95&gt;DN44,(DN44*'Data Entry - SOF'!C94)/DN44,('Data Entry - SOF'!C95*'Data Entry - SOF'!C94)/DN44))</f>
        <v>#DIV/0!</v>
      </c>
      <c r="DO45" s="2140"/>
      <c r="DP45" s="2139" t="e">
        <f>DN45</f>
        <v>#DIV/0!</v>
      </c>
      <c r="DR45" s="2163" t="e">
        <f>IF(OR('Data Entry - SOF'!E95=0,DR44=0),0,IF('Data Entry - SOF'!E95&gt;DR44,(DR44*'Data Entry - SOF'!E94)/DR44,('Data Entry - SOF'!E95*'Data Entry - SOF'!E94)/DR44))</f>
        <v>#DIV/0!</v>
      </c>
      <c r="DS45" s="2164"/>
      <c r="DT45" s="2163" t="e">
        <f>DR45</f>
        <v>#DIV/0!</v>
      </c>
      <c r="DU45" s="2164"/>
      <c r="DV45" s="2163" t="e">
        <f>IF(OR('Data Entry - SOF'!E95=0,DV44=0),0,IF('Data Entry - SOF'!E95&gt;DV44,(DV44*'Data Entry - SOF'!E94)/DV44,('Data Entry - SOF'!E95*'Data Entry - SOF'!E94)/DV44))</f>
        <v>#DIV/0!</v>
      </c>
      <c r="DW45" s="2164"/>
      <c r="DX45" s="2163" t="e">
        <f>DV45</f>
        <v>#DIV/0!</v>
      </c>
      <c r="DZ45" s="2139" t="e">
        <f>IF(OR('Data Entry - SOF'!G95=0,DZ44=0),0,IF('Data Entry - SOF'!G95&gt;DZ44,(DZ44*'Data Entry - SOF'!G94)/DZ44,('Data Entry - SOF'!G95*'Data Entry - SOF'!G94)/DZ44))</f>
        <v>#DIV/0!</v>
      </c>
      <c r="EA45" s="2140"/>
      <c r="EB45" s="2139" t="e">
        <f>DZ45</f>
        <v>#DIV/0!</v>
      </c>
      <c r="EC45" s="2140"/>
      <c r="ED45" s="2139" t="e">
        <f>IF(OR('Data Entry - SOF'!G95=0,ED44=0),0,IF('Data Entry - SOF'!G95&gt;ED44,(ED44*'Data Entry - SOF'!G94)/ED44,('Data Entry - SOF'!G95*'Data Entry - SOF'!G94)/ED44))</f>
        <v>#DIV/0!</v>
      </c>
      <c r="EE45" s="2140"/>
      <c r="EF45" s="2139" t="e">
        <f>ED45</f>
        <v>#DIV/0!</v>
      </c>
    </row>
    <row r="46" spans="1:136">
      <c r="A46" s="92" t="s">
        <v>1476</v>
      </c>
      <c r="C46" s="219">
        <v>0</v>
      </c>
      <c r="D46" s="1414"/>
      <c r="E46" s="219">
        <v>0</v>
      </c>
      <c r="F46" s="1414"/>
      <c r="G46" s="219">
        <v>0</v>
      </c>
      <c r="H46" s="1414"/>
      <c r="I46" s="4327">
        <v>0</v>
      </c>
      <c r="K46" s="4233">
        <v>0</v>
      </c>
      <c r="L46" s="926"/>
      <c r="M46" s="4233">
        <v>0</v>
      </c>
      <c r="N46" s="926"/>
      <c r="O46" s="4233">
        <v>0</v>
      </c>
      <c r="P46" s="926"/>
      <c r="Q46" s="4337">
        <v>0</v>
      </c>
      <c r="S46" s="219">
        <v>0</v>
      </c>
      <c r="T46" s="1592"/>
      <c r="U46" s="219">
        <v>0</v>
      </c>
      <c r="V46" s="1592"/>
      <c r="W46" s="219">
        <v>0</v>
      </c>
      <c r="X46" s="1592"/>
      <c r="Y46" s="4327">
        <v>0</v>
      </c>
      <c r="AA46" s="219">
        <v>0</v>
      </c>
      <c r="AB46" s="1673"/>
      <c r="AC46" s="219">
        <v>0</v>
      </c>
      <c r="AD46" s="1673"/>
      <c r="AE46" s="219">
        <v>0</v>
      </c>
      <c r="AF46" s="1673"/>
      <c r="AG46" s="4327">
        <v>0</v>
      </c>
      <c r="AI46" s="219">
        <v>0</v>
      </c>
      <c r="AJ46" s="2092"/>
      <c r="AK46" s="219">
        <v>0</v>
      </c>
      <c r="AL46" s="2092"/>
      <c r="AM46" s="219">
        <v>0</v>
      </c>
      <c r="AN46" s="2092"/>
      <c r="AO46" s="4327">
        <v>0</v>
      </c>
      <c r="AQ46" s="2647">
        <v>0</v>
      </c>
      <c r="AR46" s="2638"/>
      <c r="AS46" s="2647">
        <v>0</v>
      </c>
      <c r="AT46" s="2638"/>
      <c r="AU46" s="2647">
        <v>0</v>
      </c>
      <c r="AV46" s="2638"/>
      <c r="AW46" s="4396">
        <v>0</v>
      </c>
      <c r="AY46" s="4188">
        <v>0</v>
      </c>
      <c r="AZ46" s="4189"/>
      <c r="BA46" s="4188">
        <v>0</v>
      </c>
      <c r="BB46" s="4189"/>
      <c r="BC46" s="4188">
        <v>0</v>
      </c>
      <c r="BD46" s="4189"/>
      <c r="BE46" s="4402">
        <v>0</v>
      </c>
      <c r="BH46" s="2269">
        <v>0</v>
      </c>
      <c r="BI46" s="2269">
        <v>0</v>
      </c>
      <c r="BJ46" s="2269">
        <v>0</v>
      </c>
      <c r="BK46" s="2269">
        <v>0</v>
      </c>
      <c r="BV46" s="1014">
        <v>0</v>
      </c>
      <c r="BW46" s="1015"/>
      <c r="BX46" s="1014">
        <v>0</v>
      </c>
      <c r="BY46" s="1015"/>
      <c r="BZ46" s="1014">
        <v>0</v>
      </c>
      <c r="CA46" s="1015"/>
      <c r="CB46" s="1014">
        <v>0</v>
      </c>
      <c r="CD46" s="2189">
        <v>0</v>
      </c>
      <c r="CE46" s="2190"/>
      <c r="CF46" s="2189">
        <v>0</v>
      </c>
      <c r="CG46" s="2190"/>
      <c r="CH46" s="2189">
        <v>0</v>
      </c>
      <c r="CI46" s="2190"/>
      <c r="CJ46" s="2189">
        <v>0</v>
      </c>
      <c r="CL46" s="2163">
        <v>0</v>
      </c>
      <c r="CM46" s="2164"/>
      <c r="CN46" s="2163">
        <v>0</v>
      </c>
      <c r="CO46" s="2164"/>
      <c r="CP46" s="2163">
        <v>0</v>
      </c>
      <c r="CQ46" s="2164"/>
      <c r="CR46" s="2163">
        <v>0</v>
      </c>
      <c r="CT46" s="2139">
        <v>0</v>
      </c>
      <c r="CU46" s="2140"/>
      <c r="CV46" s="2139">
        <v>0</v>
      </c>
      <c r="CW46" s="2140"/>
      <c r="CX46" s="2139">
        <v>0</v>
      </c>
      <c r="CY46" s="2140"/>
      <c r="CZ46" s="2139">
        <v>0</v>
      </c>
      <c r="DB46" s="2163">
        <v>0</v>
      </c>
      <c r="DC46" s="2164"/>
      <c r="DD46" s="2163">
        <v>0</v>
      </c>
      <c r="DE46" s="2164"/>
      <c r="DF46" s="2163">
        <v>0</v>
      </c>
      <c r="DG46" s="2164"/>
      <c r="DH46" s="2163">
        <v>0</v>
      </c>
      <c r="DJ46" s="2139">
        <v>0</v>
      </c>
      <c r="DK46" s="2140"/>
      <c r="DL46" s="2139">
        <v>0</v>
      </c>
      <c r="DM46" s="2140"/>
      <c r="DN46" s="2139">
        <v>0</v>
      </c>
      <c r="DO46" s="2140"/>
      <c r="DP46" s="2139">
        <v>0</v>
      </c>
      <c r="DR46" s="2163">
        <v>0</v>
      </c>
      <c r="DS46" s="2164"/>
      <c r="DT46" s="2163">
        <v>0</v>
      </c>
      <c r="DU46" s="2164"/>
      <c r="DV46" s="2163">
        <v>0</v>
      </c>
      <c r="DW46" s="2164"/>
      <c r="DX46" s="2163">
        <v>0</v>
      </c>
      <c r="DZ46" s="2139">
        <v>0</v>
      </c>
      <c r="EA46" s="2140"/>
      <c r="EB46" s="2139">
        <v>0</v>
      </c>
      <c r="EC46" s="2140"/>
      <c r="ED46" s="2139">
        <v>0</v>
      </c>
      <c r="EE46" s="2140"/>
      <c r="EF46" s="2139">
        <v>0</v>
      </c>
    </row>
    <row r="47" spans="1:136">
      <c r="A47" s="47" t="s">
        <v>1955</v>
      </c>
      <c r="C47" s="1413" t="e">
        <f>IF(C43-C45-C46&lt;0,0,C43-C45-C46)</f>
        <v>#DIV/0!</v>
      </c>
      <c r="D47" s="1414"/>
      <c r="E47" s="1413" t="e">
        <f>IF(E43-E45-E46&lt;0,0,E43-E45-E46)</f>
        <v>#DIV/0!</v>
      </c>
      <c r="F47" s="1414"/>
      <c r="G47" s="1413" t="e">
        <f>IF(G43-G45-G46&lt;0,0,G43-G45-G46)</f>
        <v>#DIV/0!</v>
      </c>
      <c r="H47" s="1414"/>
      <c r="I47" s="4322" t="e">
        <f>IF(I43-I45-I46&lt;0,0,I43-I45-I46)</f>
        <v>#DIV/0!</v>
      </c>
      <c r="K47" s="4233" t="e">
        <f>IF(K43-K45-K46&lt;0,0,K43-K45-K46)</f>
        <v>#DIV/0!</v>
      </c>
      <c r="L47" s="926"/>
      <c r="M47" s="4233" t="e">
        <f>IF(M43-M45-M46&lt;0,0,M43-M45-M46)</f>
        <v>#DIV/0!</v>
      </c>
      <c r="N47" s="926"/>
      <c r="O47" s="4233" t="e">
        <f>IF(O43-O45-O46&lt;0,0,O43-O45-O46)</f>
        <v>#DIV/0!</v>
      </c>
      <c r="P47" s="926"/>
      <c r="Q47" s="4337" t="e">
        <f>IF(Q43-Q45-Q46&lt;0,0,Q43-Q45-Q46)</f>
        <v>#DIV/0!</v>
      </c>
      <c r="S47" s="1591" t="e">
        <f>IF(S43-S45-S46&lt;0,0,S43-S45-S46)</f>
        <v>#DIV/0!</v>
      </c>
      <c r="T47" s="1592"/>
      <c r="U47" s="1591" t="e">
        <f>IF(U43-U45-U46&lt;0,0,U43-U45-U46)</f>
        <v>#DIV/0!</v>
      </c>
      <c r="V47" s="1592"/>
      <c r="W47" s="1591" t="e">
        <f>IF(W43-W45-W46&lt;0,0,W43-W45-W46)</f>
        <v>#DIV/0!</v>
      </c>
      <c r="X47" s="1592"/>
      <c r="Y47" s="4345" t="e">
        <f>IF(Y43-Y45-Y46&lt;0,0,Y43-Y45-Y46)</f>
        <v>#DIV/0!</v>
      </c>
      <c r="AA47" s="1672" t="e">
        <f>IF(AA43-AA45-AA46&lt;0,0,AA43-AA45-AA46)</f>
        <v>#DIV/0!</v>
      </c>
      <c r="AB47" s="1673"/>
      <c r="AC47" s="1672" t="e">
        <f>IF(AC43-AC45-AC46&lt;0,0,AC43-AC45-AC46)</f>
        <v>#DIV/0!</v>
      </c>
      <c r="AD47" s="1673"/>
      <c r="AE47" s="1672" t="e">
        <f>IF(AE43-AE45-AE46&lt;0,0,AE43-AE45-AE46)</f>
        <v>#DIV/0!</v>
      </c>
      <c r="AF47" s="1673"/>
      <c r="AG47" s="4360" t="e">
        <f>IF(AG43-AG45-AG46&lt;0,0,AG43-AG45-AG46)</f>
        <v>#DIV/0!</v>
      </c>
      <c r="AI47" s="2091" t="e">
        <f>IF(AI43-AI45-AI46&lt;0,0,AI43-AI45-AI46)</f>
        <v>#DIV/0!</v>
      </c>
      <c r="AJ47" s="2092"/>
      <c r="AK47" s="2091" t="e">
        <f>IF(AK43-AK45-AK46&lt;0,0,AK43-AK45-AK46)</f>
        <v>#DIV/0!</v>
      </c>
      <c r="AL47" s="2092"/>
      <c r="AM47" s="2091" t="e">
        <f>IF(AM43-AM45-AM46&lt;0,0,AM43-AM45-AM46)</f>
        <v>#DIV/0!</v>
      </c>
      <c r="AN47" s="2092"/>
      <c r="AO47" s="4380" t="e">
        <f>IF(AO43-AO45-AO46&lt;0,0,AO43-AO45-AO46)</f>
        <v>#DIV/0!</v>
      </c>
      <c r="AQ47" s="2637" t="e">
        <f>IF(AQ43-AQ45-AQ46&lt;0,0,AQ43-AQ45-AQ46)</f>
        <v>#DIV/0!</v>
      </c>
      <c r="AR47" s="2638"/>
      <c r="AS47" s="2637" t="e">
        <f>IF(AS43-AS45-AS46&lt;0,0,AS43-AS45-AS46)</f>
        <v>#DIV/0!</v>
      </c>
      <c r="AT47" s="2638"/>
      <c r="AU47" s="2637" t="e">
        <f>IF(AU43-AU45-AU46&lt;0,0,AU43-AU45-AU46)</f>
        <v>#DIV/0!</v>
      </c>
      <c r="AV47" s="2638"/>
      <c r="AW47" s="4391" t="e">
        <f>IF(AW43-AW45-AW46&lt;0,0,AW43-AW45-AW46)</f>
        <v>#DIV/0!</v>
      </c>
      <c r="AY47" s="4188" t="e">
        <f>IF(AY43-AY45-AY46&lt;0,0,AY43-AY45-AY46)</f>
        <v>#DIV/0!</v>
      </c>
      <c r="AZ47" s="4189"/>
      <c r="BA47" s="4188" t="e">
        <f>IF(BA43-BA45-BA46&lt;0,0,BA43-BA45-BA46)</f>
        <v>#DIV/0!</v>
      </c>
      <c r="BB47" s="4189"/>
      <c r="BC47" s="4188" t="e">
        <f>IF(BC43-BC45-BC46&lt;0,0,BC43-BC45-BC46)</f>
        <v>#DIV/0!</v>
      </c>
      <c r="BD47" s="4189"/>
      <c r="BE47" s="4402" t="e">
        <f>IF(BE43-BE45-BE46&lt;0,0,BE43-BE45-BE46)</f>
        <v>#DIV/0!</v>
      </c>
      <c r="BH47" s="984" t="e">
        <f>IF(BH43-BH45-BH46&lt;0,0,BH43-BH45-BH46)</f>
        <v>#DIV/0!</v>
      </c>
      <c r="BI47" s="984" t="e">
        <f>IF(BI43-BI45-BI46&lt;0,0,BI43-BI45-BI46)</f>
        <v>#DIV/0!</v>
      </c>
      <c r="BJ47" s="984" t="e">
        <f>IF(BJ43-BJ45-BJ46&lt;0,0,BJ43-BJ45-BJ46)</f>
        <v>#DIV/0!</v>
      </c>
      <c r="BK47" s="984" t="e">
        <f>IF(BK43-BK45-BK46&lt;0,0,BK43-BK45-BK46)</f>
        <v>#DIV/0!</v>
      </c>
      <c r="BV47" s="1014" t="e">
        <f>IF(BV43-BV45-BV46&lt;0,0,BV43-BV45-BV46)</f>
        <v>#REF!</v>
      </c>
      <c r="BW47" s="1015"/>
      <c r="BX47" s="1014" t="e">
        <f>IF(BX43-BX45-BX46&lt;0,0,BX43-BX45-BX46)</f>
        <v>#REF!</v>
      </c>
      <c r="BY47" s="1015"/>
      <c r="BZ47" s="1014" t="e">
        <f>IF(BZ43-BZ45-BZ46&lt;0,0,BZ43-BZ45-BZ46)</f>
        <v>#REF!</v>
      </c>
      <c r="CA47" s="1015"/>
      <c r="CB47" s="1014" t="e">
        <f>IF(CB43-CB45-CB46&lt;0,0,CB43-CB45-CB46)</f>
        <v>#REF!</v>
      </c>
      <c r="CD47" s="2189" t="e">
        <f>IF(CD43-CD45-CD46&lt;0,0,CD43-CD45-CD46)</f>
        <v>#REF!</v>
      </c>
      <c r="CE47" s="2190"/>
      <c r="CF47" s="2189" t="e">
        <f>IF(CF43-CF45-CF46&lt;0,0,CF43-CF45-CF46)</f>
        <v>#REF!</v>
      </c>
      <c r="CG47" s="2190"/>
      <c r="CH47" s="2189" t="e">
        <f>IF(CH43-CH45-CH46&lt;0,0,CH43-CH45-CH46)</f>
        <v>#REF!</v>
      </c>
      <c r="CI47" s="2190"/>
      <c r="CJ47" s="2189" t="e">
        <f>IF(CJ43-CJ45-CJ46&lt;0,0,CJ43-CJ45-CJ46)</f>
        <v>#REF!</v>
      </c>
      <c r="CL47" s="2163" t="e">
        <f>IF(CL43-CL45-CL46&lt;0,0,CL43-CL45-CL46)</f>
        <v>#REF!</v>
      </c>
      <c r="CM47" s="2164"/>
      <c r="CN47" s="2163" t="e">
        <f>IF(CN43-CN45-CN46&lt;0,0,CN43-CN45-CN46)</f>
        <v>#REF!</v>
      </c>
      <c r="CO47" s="2164"/>
      <c r="CP47" s="2163" t="e">
        <f>IF(CP43-CP45-CP46&lt;0,0,CP43-CP45-CP46)</f>
        <v>#REF!</v>
      </c>
      <c r="CQ47" s="2164"/>
      <c r="CR47" s="2163" t="e">
        <f>IF(CR43-CR45-CR46&lt;0,0,CR43-CR45-CR46)</f>
        <v>#REF!</v>
      </c>
      <c r="CT47" s="2139" t="e">
        <f>IF(CT43-CT45-CT46&lt;0,0,CT43-CT45-CT46)</f>
        <v>#REF!</v>
      </c>
      <c r="CU47" s="2140"/>
      <c r="CV47" s="2139" t="e">
        <f>IF(CV43-CV45-CV46&lt;0,0,CV43-CV45-CV46)</f>
        <v>#REF!</v>
      </c>
      <c r="CW47" s="2140"/>
      <c r="CX47" s="2139" t="e">
        <f>IF(CX43-CX45-CX46&lt;0,0,CX43-CX45-CX46)</f>
        <v>#DIV/0!</v>
      </c>
      <c r="CY47" s="2140"/>
      <c r="CZ47" s="2139" t="e">
        <f>IF(CZ43-CZ45-CZ46&lt;0,0,CZ43-CZ45-CZ46)</f>
        <v>#DIV/0!</v>
      </c>
      <c r="DB47" s="2163" t="e">
        <f>IF(DB43-DB45-DB46&lt;0,0,DB43-DB45-DB46)</f>
        <v>#DIV/0!</v>
      </c>
      <c r="DC47" s="2164"/>
      <c r="DD47" s="2163" t="e">
        <f>IF(DD43-DD45-DD46&lt;0,0,DD43-DD45-DD46)</f>
        <v>#DIV/0!</v>
      </c>
      <c r="DE47" s="2164"/>
      <c r="DF47" s="2163" t="e">
        <f>IF(DF43-DF45-DF46&lt;0,0,DF43-DF45-DF46)</f>
        <v>#DIV/0!</v>
      </c>
      <c r="DG47" s="2164"/>
      <c r="DH47" s="2163" t="e">
        <f>IF(DH43-DH45-DH46&lt;0,0,DH43-DH45-DH46)</f>
        <v>#DIV/0!</v>
      </c>
      <c r="DJ47" s="2139" t="e">
        <f>IF(DJ43-DJ45-DJ46&lt;0,0,DJ43-DJ45-DJ46)</f>
        <v>#DIV/0!</v>
      </c>
      <c r="DK47" s="2140"/>
      <c r="DL47" s="2139" t="e">
        <f>IF(DL43-DL45-DL46&lt;0,0,DL43-DL45-DL46)</f>
        <v>#DIV/0!</v>
      </c>
      <c r="DM47" s="2140"/>
      <c r="DN47" s="2139" t="e">
        <f>IF(DN43-DN45-DN46&lt;0,0,DN43-DN45-DN46)</f>
        <v>#DIV/0!</v>
      </c>
      <c r="DO47" s="2140"/>
      <c r="DP47" s="2139" t="e">
        <f>IF(DP43-DP45-DP46&lt;0,0,DP43-DP45-DP46)</f>
        <v>#DIV/0!</v>
      </c>
      <c r="DR47" s="2163" t="e">
        <f>IF(DR43-DR45-DR46&lt;0,0,DR43-DR45-DR46)</f>
        <v>#DIV/0!</v>
      </c>
      <c r="DS47" s="2164"/>
      <c r="DT47" s="2163" t="e">
        <f>IF(DT43-DT45-DT46&lt;0,0,DT43-DT45-DT46)</f>
        <v>#DIV/0!</v>
      </c>
      <c r="DU47" s="2164"/>
      <c r="DV47" s="2163" t="e">
        <f>IF(DV43-DV45-DV46&lt;0,0,DV43-DV45-DV46)</f>
        <v>#DIV/0!</v>
      </c>
      <c r="DW47" s="2164"/>
      <c r="DX47" s="2163" t="e">
        <f>IF(DX43-DX45-DX46&lt;0,0,DX43-DX45-DX46)</f>
        <v>#DIV/0!</v>
      </c>
      <c r="DZ47" s="2139" t="e">
        <f>IF(DZ43-DZ45-DZ46&lt;0,0,DZ43-DZ45-DZ46)</f>
        <v>#DIV/0!</v>
      </c>
      <c r="EA47" s="2140"/>
      <c r="EB47" s="2139" t="e">
        <f>IF(EB43-EB45-EB46&lt;0,0,EB43-EB45-EB46)</f>
        <v>#DIV/0!</v>
      </c>
      <c r="EC47" s="2140"/>
      <c r="ED47" s="2139" t="e">
        <f>IF(ED43-ED45-ED46&lt;0,0,ED43-ED45-ED46)</f>
        <v>#DIV/0!</v>
      </c>
      <c r="EE47" s="2140"/>
      <c r="EF47" s="2139" t="e">
        <f>IF(EF43-EF45-EF46&lt;0,0,EF43-EF45-EF46)</f>
        <v>#DIV/0!</v>
      </c>
    </row>
    <row r="48" spans="1:136">
      <c r="A48" s="92" t="s">
        <v>2986</v>
      </c>
      <c r="C48" s="1419" t="e">
        <f>IF(C47=0,0,C47*C44)</f>
        <v>#DIV/0!</v>
      </c>
      <c r="D48" s="1420"/>
      <c r="E48" s="1419" t="e">
        <f>IF(E47=0,0,E47*E44)</f>
        <v>#DIV/0!</v>
      </c>
      <c r="F48" s="1420"/>
      <c r="G48" s="1419" t="e">
        <f>IF(G47=0,0,G47*G44)</f>
        <v>#DIV/0!</v>
      </c>
      <c r="H48" s="1420"/>
      <c r="I48" s="4325" t="e">
        <f>IF(I47=0,0,I47*I44)</f>
        <v>#DIV/0!</v>
      </c>
      <c r="K48" s="4231" t="e">
        <f>IF(K47=0,0,K47*K44)</f>
        <v>#DIV/0!</v>
      </c>
      <c r="L48" s="4232"/>
      <c r="M48" s="4231" t="e">
        <f>IF(M47=0,0,M47*M44)</f>
        <v>#DIV/0!</v>
      </c>
      <c r="N48" s="4232"/>
      <c r="O48" s="4231" t="e">
        <f>IF(O47=0,0,O47*O44)</f>
        <v>#DIV/0!</v>
      </c>
      <c r="P48" s="4232"/>
      <c r="Q48" s="4336" t="e">
        <f>IF(Q47=0,0,Q47*Q44)</f>
        <v>#DIV/0!</v>
      </c>
      <c r="S48" s="1597" t="e">
        <f>IF(S47=0,0,S47*S44)</f>
        <v>#DIV/0!</v>
      </c>
      <c r="T48" s="1598"/>
      <c r="U48" s="1597" t="e">
        <f>IF(U47=0,0,U47*U44)</f>
        <v>#DIV/0!</v>
      </c>
      <c r="V48" s="1598"/>
      <c r="W48" s="1597" t="e">
        <f>IF(W47=0,0,W47*W44)</f>
        <v>#DIV/0!</v>
      </c>
      <c r="X48" s="1598"/>
      <c r="Y48" s="4348" t="e">
        <f>IF(Y47=0,0,Y47*Y44)</f>
        <v>#DIV/0!</v>
      </c>
      <c r="AA48" s="1678" t="e">
        <f>IF(AA47=0,0,AA47*AA44)</f>
        <v>#DIV/0!</v>
      </c>
      <c r="AB48" s="1679"/>
      <c r="AC48" s="1678" t="e">
        <f>IF(AC47=0,0,AC47*AC44)</f>
        <v>#DIV/0!</v>
      </c>
      <c r="AD48" s="1679"/>
      <c r="AE48" s="1678" t="e">
        <f>IF(AE47=0,0,AE47*AE44)</f>
        <v>#DIV/0!</v>
      </c>
      <c r="AF48" s="1679"/>
      <c r="AG48" s="4363" t="e">
        <f>IF(AG47=0,0,AG47*AG44)</f>
        <v>#DIV/0!</v>
      </c>
      <c r="AI48" s="2097" t="e">
        <f>IF(AI47=0,0,AI47*AI44)</f>
        <v>#DIV/0!</v>
      </c>
      <c r="AJ48" s="2098"/>
      <c r="AK48" s="2097" t="e">
        <f>IF(AK47=0,0,AK47*AK44)</f>
        <v>#DIV/0!</v>
      </c>
      <c r="AL48" s="2098"/>
      <c r="AM48" s="2097" t="e">
        <f>IF(AM47=0,0,AM47*AM44)</f>
        <v>#DIV/0!</v>
      </c>
      <c r="AN48" s="2098"/>
      <c r="AO48" s="4383" t="e">
        <f>IF(AO47=0,0,AO47*AO44)</f>
        <v>#DIV/0!</v>
      </c>
      <c r="AQ48" s="2643" t="e">
        <f>IF(AQ47=0,0,AQ47*AQ44)</f>
        <v>#DIV/0!</v>
      </c>
      <c r="AR48" s="2644"/>
      <c r="AS48" s="2643" t="e">
        <f>IF(AS47=0,0,AS47*AS44)</f>
        <v>#DIV/0!</v>
      </c>
      <c r="AT48" s="2644"/>
      <c r="AU48" s="2643" t="e">
        <f>IF(AU47=0,0,AU47*AU44)</f>
        <v>#DIV/0!</v>
      </c>
      <c r="AV48" s="2644"/>
      <c r="AW48" s="4394" t="e">
        <f>IF(AW47=0,0,AW47*AW44)</f>
        <v>#DIV/0!</v>
      </c>
      <c r="AY48" s="4171" t="e">
        <f>IF(AY47=0,0,AY47*AY44)</f>
        <v>#DIV/0!</v>
      </c>
      <c r="BA48" s="4171" t="e">
        <f>IF(BA47=0,0,BA47*BA44)</f>
        <v>#DIV/0!</v>
      </c>
      <c r="BC48" s="4171" t="e">
        <f>IF(BC47=0,0,BC47*BC44)</f>
        <v>#DIV/0!</v>
      </c>
      <c r="BE48" s="4403" t="e">
        <f>IF(BE47=0,0,BE47*BE44)</f>
        <v>#DIV/0!</v>
      </c>
      <c r="BH48" s="982" t="e">
        <f>IF(BH47=0,0,BH47*BH44)</f>
        <v>#DIV/0!</v>
      </c>
      <c r="BI48" s="982" t="e">
        <f>IF(BI47=0,0,BI47*BI44)</f>
        <v>#DIV/0!</v>
      </c>
      <c r="BJ48" s="982" t="e">
        <f>IF(BJ47=0,0,BJ47*BJ44)</f>
        <v>#DIV/0!</v>
      </c>
      <c r="BK48" s="982" t="e">
        <f>IF(BK47=0,0,BK47*BK44)</f>
        <v>#DIV/0!</v>
      </c>
      <c r="BV48" s="1020" t="e">
        <f>IF(BV47=0,0,BV47*BV44)</f>
        <v>#REF!</v>
      </c>
      <c r="BW48" s="1021"/>
      <c r="BX48" s="1020" t="e">
        <f>IF(BX47=0,0,BX47*BX44)</f>
        <v>#REF!</v>
      </c>
      <c r="BY48" s="1021"/>
      <c r="BZ48" s="1020" t="e">
        <f>IF(BZ47=0,0,BZ47*BZ44)</f>
        <v>#REF!</v>
      </c>
      <c r="CA48" s="1021"/>
      <c r="CB48" s="1020" t="e">
        <f>IF(CB47=0,0,CB47*CB44)</f>
        <v>#REF!</v>
      </c>
      <c r="CD48" s="2196" t="e">
        <f>IF(CD47=0,0,CD47*CD44)</f>
        <v>#REF!</v>
      </c>
      <c r="CE48" s="2197"/>
      <c r="CF48" s="2196" t="e">
        <f>IF(CF47=0,0,CF47*CF44)</f>
        <v>#REF!</v>
      </c>
      <c r="CG48" s="2197"/>
      <c r="CH48" s="2196" t="e">
        <f>IF(CH47=0,0,CH47*CH44)</f>
        <v>#REF!</v>
      </c>
      <c r="CI48" s="2197"/>
      <c r="CJ48" s="2196" t="e">
        <f>IF(CJ47=0,0,CJ47*CJ44)</f>
        <v>#REF!</v>
      </c>
      <c r="CL48" s="2170" t="e">
        <f>IF(CL47=0,0,CL47*CL44)</f>
        <v>#REF!</v>
      </c>
      <c r="CM48" s="2171"/>
      <c r="CN48" s="2170" t="e">
        <f>IF(CN47=0,0,CN47*CN44)</f>
        <v>#REF!</v>
      </c>
      <c r="CO48" s="2171"/>
      <c r="CP48" s="2170" t="e">
        <f>IF(CP47=0,0,CP47*CP44)</f>
        <v>#REF!</v>
      </c>
      <c r="CQ48" s="2171"/>
      <c r="CR48" s="2170" t="e">
        <f>IF(CR47=0,0,CR47*CR44)</f>
        <v>#REF!</v>
      </c>
      <c r="CT48" s="1878" t="e">
        <f>IF(CT47=0,0,CT47*CT44)</f>
        <v>#REF!</v>
      </c>
      <c r="CU48" s="2146"/>
      <c r="CV48" s="1878" t="e">
        <f>IF(CV47=0,0,CV47*CV44)</f>
        <v>#REF!</v>
      </c>
      <c r="CW48" s="2146"/>
      <c r="CX48" s="1878" t="e">
        <f>IF(CX47=0,0,CX47*CX44)</f>
        <v>#DIV/0!</v>
      </c>
      <c r="CY48" s="2146"/>
      <c r="CZ48" s="1878" t="e">
        <f>IF(CZ47=0,0,CZ47*CZ44)</f>
        <v>#DIV/0!</v>
      </c>
      <c r="DB48" s="2170" t="e">
        <f>IF(DB47=0,0,DB47*DB44)</f>
        <v>#DIV/0!</v>
      </c>
      <c r="DC48" s="2171"/>
      <c r="DD48" s="2170" t="e">
        <f>IF(DD47=0,0,DD47*DD44)</f>
        <v>#DIV/0!</v>
      </c>
      <c r="DE48" s="2171"/>
      <c r="DF48" s="2170" t="e">
        <f>IF(DF47=0,0,DF47*DF44)</f>
        <v>#DIV/0!</v>
      </c>
      <c r="DG48" s="2171"/>
      <c r="DH48" s="2170" t="e">
        <f>IF(DH47=0,0,DH47*DH44)</f>
        <v>#DIV/0!</v>
      </c>
      <c r="DJ48" s="1878" t="e">
        <f>IF(DJ47=0,0,DJ47*DJ44)</f>
        <v>#DIV/0!</v>
      </c>
      <c r="DK48" s="2146"/>
      <c r="DL48" s="1878" t="e">
        <f>IF(DL47=0,0,DL47*DL44)</f>
        <v>#DIV/0!</v>
      </c>
      <c r="DM48" s="2146"/>
      <c r="DN48" s="1878" t="e">
        <f>IF(DN47=0,0,DN47*DN44)</f>
        <v>#DIV/0!</v>
      </c>
      <c r="DO48" s="2146"/>
      <c r="DP48" s="1878" t="e">
        <f>IF(DP47=0,0,DP47*DP44)</f>
        <v>#DIV/0!</v>
      </c>
      <c r="DR48" s="2170" t="e">
        <f>IF(DR47=0,0,DR47*DR44)</f>
        <v>#DIV/0!</v>
      </c>
      <c r="DS48" s="2171"/>
      <c r="DT48" s="2170" t="e">
        <f>IF(DT47=0,0,DT47*DT44)</f>
        <v>#DIV/0!</v>
      </c>
      <c r="DU48" s="2171"/>
      <c r="DV48" s="2170" t="e">
        <f>IF(DV47=0,0,DV47*DV44)</f>
        <v>#DIV/0!</v>
      </c>
      <c r="DW48" s="2171"/>
      <c r="DX48" s="2170" t="e">
        <f>IF(DX47=0,0,DX47*DX44)</f>
        <v>#DIV/0!</v>
      </c>
      <c r="DZ48" s="1878" t="e">
        <f>IF(DZ47=0,0,DZ47*DZ44)</f>
        <v>#DIV/0!</v>
      </c>
      <c r="EA48" s="2146"/>
      <c r="EB48" s="1878" t="e">
        <f>IF(EB47=0,0,EB47*EB44)</f>
        <v>#DIV/0!</v>
      </c>
      <c r="EC48" s="2146"/>
      <c r="ED48" s="1878" t="e">
        <f>IF(ED47=0,0,ED47*ED44)</f>
        <v>#DIV/0!</v>
      </c>
      <c r="EE48" s="2146"/>
      <c r="EF48" s="1878" t="e">
        <f>IF(EF47=0,0,EF47*EF44)</f>
        <v>#DIV/0!</v>
      </c>
    </row>
    <row r="49" spans="1:136">
      <c r="A49" s="92"/>
      <c r="I49" s="2733"/>
      <c r="K49" s="4232"/>
      <c r="L49" s="4232"/>
      <c r="M49" s="4232"/>
      <c r="N49" s="4232"/>
      <c r="O49" s="4232"/>
      <c r="P49" s="4232"/>
      <c r="Q49" s="4341"/>
      <c r="Y49" s="2769"/>
      <c r="AG49" s="2790"/>
      <c r="AO49" s="4375"/>
      <c r="AW49" s="2820"/>
      <c r="BE49" s="4318"/>
      <c r="BH49" s="978"/>
      <c r="BI49" s="978"/>
      <c r="BJ49" s="978"/>
      <c r="BK49" s="978"/>
    </row>
    <row r="50" spans="1:136">
      <c r="A50" s="23" t="s">
        <v>325</v>
      </c>
      <c r="I50" s="2733"/>
      <c r="K50" s="4232"/>
      <c r="L50" s="4232"/>
      <c r="M50" s="4232"/>
      <c r="N50" s="4232"/>
      <c r="O50" s="4232"/>
      <c r="P50" s="4232"/>
      <c r="Q50" s="4341"/>
      <c r="Y50" s="2769"/>
      <c r="AG50" s="2790"/>
      <c r="AO50" s="4375"/>
      <c r="AW50" s="2820"/>
      <c r="BE50" s="4318"/>
      <c r="BH50" s="978"/>
      <c r="BI50" s="978"/>
      <c r="BJ50" s="978"/>
      <c r="BK50" s="978"/>
    </row>
    <row r="51" spans="1:136">
      <c r="A51" s="92" t="s">
        <v>214</v>
      </c>
      <c r="C51" s="1423" t="e">
        <f>IF(C111&gt;C112,C112,C111)</f>
        <v>#DIV/0!</v>
      </c>
      <c r="D51" s="1420"/>
      <c r="E51" s="1423">
        <v>0</v>
      </c>
      <c r="F51" s="1420"/>
      <c r="G51" s="1423" t="e">
        <f>IF(G111&gt;G112,G112,G111)</f>
        <v>#DIV/0!</v>
      </c>
      <c r="H51" s="1420"/>
      <c r="I51" s="2744">
        <v>0</v>
      </c>
      <c r="K51" s="4231" t="e">
        <f>IF(K111&gt;K112,K112,K111)</f>
        <v>#DIV/0!</v>
      </c>
      <c r="L51" s="4232"/>
      <c r="M51" s="4231">
        <v>0</v>
      </c>
      <c r="N51" s="4232"/>
      <c r="O51" s="4231" t="e">
        <f>IF(O111&gt;O112,O112,O111)</f>
        <v>#DIV/0!</v>
      </c>
      <c r="P51" s="4232"/>
      <c r="Q51" s="4336">
        <v>0</v>
      </c>
      <c r="S51" s="1601" t="e">
        <f>IF(S111&gt;S112,S112,S111)</f>
        <v>#DIV/0!</v>
      </c>
      <c r="T51" s="1598"/>
      <c r="U51" s="1601">
        <v>0</v>
      </c>
      <c r="V51" s="1598"/>
      <c r="W51" s="1601" t="e">
        <f>IF(W111&gt;W112,W112,W111)</f>
        <v>#DIV/0!</v>
      </c>
      <c r="X51" s="1598"/>
      <c r="Y51" s="2779">
        <v>0</v>
      </c>
      <c r="AA51" s="1682" t="e">
        <f>IF(AA111&gt;AA112,AA112,AA111)</f>
        <v>#DIV/0!</v>
      </c>
      <c r="AB51" s="1679"/>
      <c r="AC51" s="1682">
        <v>0</v>
      </c>
      <c r="AD51" s="1679"/>
      <c r="AE51" s="1682" t="e">
        <f>IF(AE111&gt;AE112,AE112,AE111)</f>
        <v>#DIV/0!</v>
      </c>
      <c r="AF51" s="1679"/>
      <c r="AG51" s="2800">
        <v>0</v>
      </c>
      <c r="AI51" s="2101" t="e">
        <f>IF(AI111&gt;AI112,AI112,AI111)</f>
        <v>#DIV/0!</v>
      </c>
      <c r="AJ51" s="2098"/>
      <c r="AK51" s="2101">
        <v>0</v>
      </c>
      <c r="AL51" s="2098"/>
      <c r="AM51" s="2101" t="e">
        <f>IF(AM111&gt;AM112,AM112,AM111)</f>
        <v>#DIV/0!</v>
      </c>
      <c r="AN51" s="2098"/>
      <c r="AO51" s="4385">
        <v>0</v>
      </c>
      <c r="AQ51" s="2648" t="e">
        <f>IF(AQ111&gt;AQ112,AQ112,AQ111)</f>
        <v>#DIV/0!</v>
      </c>
      <c r="AR51" s="2644"/>
      <c r="AS51" s="2648">
        <v>0</v>
      </c>
      <c r="AT51" s="2644"/>
      <c r="AU51" s="2648" t="e">
        <f>IF(AU111&gt;AU112,AU112,AU111)</f>
        <v>#DIV/0!</v>
      </c>
      <c r="AV51" s="2644"/>
      <c r="AW51" s="2831">
        <v>0</v>
      </c>
      <c r="AY51" s="4196" t="e">
        <f>IF(AY111&gt;AY112,AY112,AY111)</f>
        <v>#DIV/0!</v>
      </c>
      <c r="AZ51" s="4197"/>
      <c r="BA51" s="4196">
        <v>0</v>
      </c>
      <c r="BB51" s="4197"/>
      <c r="BC51" s="4196" t="e">
        <f>IF(BC111&gt;BC112,BC112,BC111)</f>
        <v>#DIV/0!</v>
      </c>
      <c r="BD51" s="4197"/>
      <c r="BE51" s="4397">
        <v>0</v>
      </c>
      <c r="BH51" s="986" t="e">
        <f>IF(BH111&gt;BH112,BH112,BH111)</f>
        <v>#DIV/0!</v>
      </c>
      <c r="BI51" s="986">
        <v>0</v>
      </c>
      <c r="BJ51" s="986" t="e">
        <f>IF(BJ111&gt;BJ112,BJ112,BJ111)</f>
        <v>#DIV/0!</v>
      </c>
      <c r="BK51" s="986">
        <v>0</v>
      </c>
      <c r="BV51" s="1023" t="e">
        <f>IF(BV111&gt;BV112,BV112,BV111)</f>
        <v>#REF!</v>
      </c>
      <c r="BW51" s="1021"/>
      <c r="BX51" s="1023">
        <v>0</v>
      </c>
      <c r="BY51" s="1021"/>
      <c r="BZ51" s="1023" t="e">
        <f>IF(BZ111&gt;BZ112,BZ112,BZ111)</f>
        <v>#REF!</v>
      </c>
      <c r="CA51" s="1021"/>
      <c r="CB51" s="1023">
        <v>0</v>
      </c>
      <c r="CD51" s="2200" t="e">
        <f>IF(CD111&gt;CD112,CD112,CD111)</f>
        <v>#REF!</v>
      </c>
      <c r="CE51" s="2197"/>
      <c r="CF51" s="2200">
        <v>0</v>
      </c>
      <c r="CG51" s="2197"/>
      <c r="CH51" s="2200" t="e">
        <f>IF(CH111&gt;CH112,CH112,CH111)</f>
        <v>#REF!</v>
      </c>
      <c r="CI51" s="2197"/>
      <c r="CJ51" s="2200">
        <v>0</v>
      </c>
      <c r="CL51" s="2174" t="e">
        <f>IF(CL111&gt;CL112,CL112,CL111)</f>
        <v>#REF!</v>
      </c>
      <c r="CM51" s="2171"/>
      <c r="CN51" s="2174">
        <v>0</v>
      </c>
      <c r="CO51" s="2171"/>
      <c r="CP51" s="2174" t="e">
        <f>IF(CP111&gt;CP112,CP112,CP111)</f>
        <v>#REF!</v>
      </c>
      <c r="CQ51" s="2171"/>
      <c r="CR51" s="2174">
        <v>0</v>
      </c>
      <c r="CT51" s="2149" t="e">
        <f>IF(CT111&gt;CT112,CT112,CT111)</f>
        <v>#REF!</v>
      </c>
      <c r="CU51" s="2146"/>
      <c r="CV51" s="2149">
        <v>0</v>
      </c>
      <c r="CW51" s="2146"/>
      <c r="CX51" s="2149" t="e">
        <f>IF(CX111&gt;CX112,CX112,CX111)</f>
        <v>#DIV/0!</v>
      </c>
      <c r="CY51" s="2146"/>
      <c r="CZ51" s="2149">
        <v>0</v>
      </c>
      <c r="DB51" s="2174" t="e">
        <f>IF(DB111&gt;DB112,DB112,DB111)</f>
        <v>#DIV/0!</v>
      </c>
      <c r="DC51" s="2171"/>
      <c r="DD51" s="2174">
        <v>0</v>
      </c>
      <c r="DE51" s="2171"/>
      <c r="DF51" s="2174" t="e">
        <f>IF(DF111&gt;DF112,DF112,DF111)</f>
        <v>#DIV/0!</v>
      </c>
      <c r="DG51" s="2171"/>
      <c r="DH51" s="2174">
        <v>0</v>
      </c>
      <c r="DJ51" s="2149" t="e">
        <f>IF(DJ111&gt;DJ112,DJ112,DJ111)</f>
        <v>#DIV/0!</v>
      </c>
      <c r="DK51" s="2146"/>
      <c r="DL51" s="2149">
        <v>0</v>
      </c>
      <c r="DM51" s="2146"/>
      <c r="DN51" s="2149" t="e">
        <f>IF(DN111&gt;DN112,DN112,DN111)</f>
        <v>#DIV/0!</v>
      </c>
      <c r="DO51" s="2146"/>
      <c r="DP51" s="2149">
        <v>0</v>
      </c>
      <c r="DR51" s="2174" t="e">
        <f>IF(DR111&gt;DR112,DR112,DR111)</f>
        <v>#DIV/0!</v>
      </c>
      <c r="DS51" s="2171"/>
      <c r="DT51" s="2174">
        <v>0</v>
      </c>
      <c r="DU51" s="2171"/>
      <c r="DV51" s="2174" t="e">
        <f>IF(DV111&gt;DV112,DV112,DV111)</f>
        <v>#DIV/0!</v>
      </c>
      <c r="DW51" s="2171"/>
      <c r="DX51" s="2174">
        <v>0</v>
      </c>
      <c r="DZ51" s="2149" t="e">
        <f>IF(DZ111&gt;DZ112,DZ112,DZ111)</f>
        <v>#DIV/0!</v>
      </c>
      <c r="EA51" s="2146"/>
      <c r="EB51" s="2149">
        <v>0</v>
      </c>
      <c r="EC51" s="2146"/>
      <c r="ED51" s="2149" t="e">
        <f>IF(ED111&gt;ED112,ED112,ED111)</f>
        <v>#DIV/0!</v>
      </c>
      <c r="EE51" s="2146"/>
      <c r="EF51" s="2149">
        <v>0</v>
      </c>
    </row>
    <row r="52" spans="1:136">
      <c r="A52" s="92" t="s">
        <v>1638</v>
      </c>
      <c r="C52" s="1423" t="e">
        <f>'Data Entry - SOF'!C91*(C48/'Data Entry - SOF'!C59)</f>
        <v>#DIV/0!</v>
      </c>
      <c r="D52" s="1420"/>
      <c r="E52" s="1423">
        <f>IF('Data Entry - SOF'!C92&gt;E114,E114,'Data Entry - SOF'!C92)</f>
        <v>0</v>
      </c>
      <c r="F52" s="1420"/>
      <c r="G52" s="1423" t="e">
        <f>'Data Entry - SOF'!C91*(G48/'Data Entry - SOF'!C59)</f>
        <v>#DIV/0!</v>
      </c>
      <c r="H52" s="1420"/>
      <c r="I52" s="2744">
        <f>IF('Data Entry - SOF'!C92&gt;I114,I114,'Data Entry - SOF'!C92)</f>
        <v>0</v>
      </c>
      <c r="K52" s="4231" t="e">
        <f>'Data Entry - SOF'!E91*(K48/'Data Entry - SOF'!E59)</f>
        <v>#DIV/0!</v>
      </c>
      <c r="L52" s="4232"/>
      <c r="M52" s="4231">
        <f>IF('Data Entry - SOF'!E92&gt;M114,M114,'Data Entry - SOF'!E92)</f>
        <v>0</v>
      </c>
      <c r="N52" s="4232"/>
      <c r="O52" s="4231" t="e">
        <f>'Data Entry - SOF'!E91*(O48/'Data Entry - SOF'!E59)</f>
        <v>#DIV/0!</v>
      </c>
      <c r="P52" s="4232"/>
      <c r="Q52" s="4336">
        <f>IF('Data Entry - SOF'!E92&gt;Q114,Q114,'Data Entry - SOF'!E92)</f>
        <v>0</v>
      </c>
      <c r="S52" s="1601" t="e">
        <f>'Data Entry - SOF'!G91*(S48/'Data Entry - SOF'!G59)</f>
        <v>#DIV/0!</v>
      </c>
      <c r="T52" s="1598"/>
      <c r="U52" s="1601">
        <f>IF('Data Entry - SOF'!G92&gt;U114,U114,'Data Entry - SOF'!G92)</f>
        <v>0</v>
      </c>
      <c r="V52" s="1598"/>
      <c r="W52" s="1601" t="e">
        <f>'Data Entry - SOF'!G91*(W48/'Data Entry - SOF'!G59)</f>
        <v>#DIV/0!</v>
      </c>
      <c r="X52" s="1598"/>
      <c r="Y52" s="2779">
        <f>IF('Data Entry - SOF'!G92&gt;Y114,Y114,'Data Entry - SOF'!G92)</f>
        <v>0</v>
      </c>
      <c r="AA52" s="1682" t="e">
        <f>'Data Entry - SOF'!I91*(AA48/'Data Entry - SOF'!I59)</f>
        <v>#DIV/0!</v>
      </c>
      <c r="AB52" s="1679"/>
      <c r="AC52" s="1682">
        <f>IF('Data Entry - SOF'!I92&gt;AC114,AC114,'Data Entry - SOF'!I92)</f>
        <v>0</v>
      </c>
      <c r="AD52" s="1679"/>
      <c r="AE52" s="1682" t="e">
        <f>'Data Entry - SOF'!I91*(AE48/'Data Entry - SOF'!I59)</f>
        <v>#DIV/0!</v>
      </c>
      <c r="AF52" s="1679"/>
      <c r="AG52" s="2800">
        <f>IF('Data Entry - SOF'!I92&gt;AG114,AG114,'Data Entry - SOF'!I92)</f>
        <v>0</v>
      </c>
      <c r="AI52" s="2101" t="e">
        <f>'Data Entry - SOF'!K91*(AI48/'Data Entry - SOF'!K59)</f>
        <v>#DIV/0!</v>
      </c>
      <c r="AJ52" s="2098"/>
      <c r="AK52" s="2101">
        <f>IF('Data Entry - SOF'!K92&gt;AK114,AK114,'Data Entry - SOF'!K92)</f>
        <v>0</v>
      </c>
      <c r="AL52" s="2098"/>
      <c r="AM52" s="2101" t="e">
        <f>'Data Entry - SOF'!K91*(AM48/'Data Entry - SOF'!K59)</f>
        <v>#DIV/0!</v>
      </c>
      <c r="AN52" s="2098"/>
      <c r="AO52" s="4385">
        <f>IF('Data Entry - SOF'!K92&gt;AO114,AO114,'Data Entry - SOF'!K92)</f>
        <v>0</v>
      </c>
      <c r="AQ52" s="2648" t="e">
        <f>'Data Entry - SOF'!M91*(AQ48/'Data Entry - SOF'!M59)</f>
        <v>#DIV/0!</v>
      </c>
      <c r="AR52" s="2644"/>
      <c r="AS52" s="2648">
        <f>IF('Data Entry - SOF'!M92&gt;AS114,AS114,'Data Entry - SOF'!M92)</f>
        <v>0</v>
      </c>
      <c r="AT52" s="2644"/>
      <c r="AU52" s="2648" t="e">
        <f>'Data Entry - SOF'!M91*(AU48/'Data Entry - SOF'!M59)</f>
        <v>#DIV/0!</v>
      </c>
      <c r="AV52" s="2644"/>
      <c r="AW52" s="2831">
        <f>IF('Data Entry - SOF'!M92&gt;AW114,AW114,'Data Entry - SOF'!M92)</f>
        <v>0</v>
      </c>
      <c r="AY52" s="4196" t="e">
        <f>'Data Entry - SOF'!O91*(AY48/'Data Entry - SOF'!O59)</f>
        <v>#DIV/0!</v>
      </c>
      <c r="AZ52" s="4197"/>
      <c r="BA52" s="4196">
        <f>IF('Data Entry - SOF'!O92&gt;BA114,BA114,'Data Entry - SOF'!O92)</f>
        <v>0</v>
      </c>
      <c r="BB52" s="4197"/>
      <c r="BC52" s="4196" t="e">
        <f>'Data Entry - SOF'!O91*(BC48/'Data Entry - SOF'!O59)</f>
        <v>#DIV/0!</v>
      </c>
      <c r="BD52" s="4197"/>
      <c r="BE52" s="4397">
        <f>IF('Data Entry - SOF'!O92&gt;BE114,BE114,'Data Entry - SOF'!O92)</f>
        <v>0</v>
      </c>
      <c r="BH52" s="986" t="e">
        <f>'Data Entry - SOF'!E91*(BH48/'Calc Data-SB1'!D30)</f>
        <v>#DIV/0!</v>
      </c>
      <c r="BI52" s="986">
        <f>IF('Data Entry - SOF'!E92&gt;BI114,BI114,'Data Entry - SOF'!E92)</f>
        <v>0</v>
      </c>
      <c r="BJ52" s="986" t="e">
        <f>'Data Entry - SOF'!E91*(BJ48/'Calc Data-SB1'!D30)</f>
        <v>#DIV/0!</v>
      </c>
      <c r="BK52" s="986">
        <v>0</v>
      </c>
      <c r="BV52" s="1023" t="e">
        <f>'Data Entry - SOF'!#REF!*(BV42/'Data Entry - SOF'!#REF!)</f>
        <v>#REF!</v>
      </c>
      <c r="BW52" s="1021"/>
      <c r="BX52" s="1023" t="e">
        <f>IF('Data Entry - SOF'!#REF!&gt;BX114,BX114,'Data Entry - SOF'!#REF!)</f>
        <v>#REF!</v>
      </c>
      <c r="BY52" s="1021"/>
      <c r="BZ52" s="1023" t="e">
        <f>'Data Entry - SOF'!#REF!*(BZ42/'Data Entry - SOF'!#REF!)</f>
        <v>#REF!</v>
      </c>
      <c r="CA52" s="1021"/>
      <c r="CB52" s="1023" t="e">
        <f>IF('Data Entry - SOF'!#REF!&gt;CB114,CB114,'Data Entry - SOF'!#REF!)</f>
        <v>#REF!</v>
      </c>
      <c r="CD52" s="2200" t="e">
        <f>'Data Entry - SOF'!#REF!*(CD42/'Data Entry - SOF'!#REF!)</f>
        <v>#REF!</v>
      </c>
      <c r="CE52" s="2197"/>
      <c r="CF52" s="2200" t="e">
        <f>IF('Data Entry - SOF'!#REF!&gt;CF114,CF114,'Data Entry - SOF'!#REF!)</f>
        <v>#REF!</v>
      </c>
      <c r="CG52" s="2197"/>
      <c r="CH52" s="2200" t="e">
        <f>'Data Entry - SOF'!#REF!*(CH42/'Data Entry - SOF'!#REF!)</f>
        <v>#REF!</v>
      </c>
      <c r="CI52" s="2197"/>
      <c r="CJ52" s="2200" t="e">
        <f>IF('Data Entry - SOF'!#REF!&gt;CJ114,CJ114,'Data Entry - SOF'!#REF!)</f>
        <v>#REF!</v>
      </c>
      <c r="CL52" s="2174" t="e">
        <f>'Data Entry - SOF'!#REF!*(CL42/'Data Entry - SOF'!#REF!)</f>
        <v>#REF!</v>
      </c>
      <c r="CM52" s="2171"/>
      <c r="CN52" s="2174" t="e">
        <f>IF('Data Entry - SOF'!#REF!&gt;CN114,CN114,'Data Entry - SOF'!#REF!)</f>
        <v>#REF!</v>
      </c>
      <c r="CO52" s="2171"/>
      <c r="CP52" s="2174" t="e">
        <f>'Data Entry - SOF'!#REF!*(CP42/'Data Entry - SOF'!#REF!)</f>
        <v>#REF!</v>
      </c>
      <c r="CQ52" s="2171"/>
      <c r="CR52" s="2174" t="e">
        <f>IF('Data Entry - SOF'!#REF!&gt;CR114,CR114,'Data Entry - SOF'!#REF!)</f>
        <v>#REF!</v>
      </c>
      <c r="CT52" s="2149" t="e">
        <f>'Data Entry - SOF'!#REF!*(CT42/'Data Entry - SOF'!#REF!)</f>
        <v>#REF!</v>
      </c>
      <c r="CU52" s="2146"/>
      <c r="CV52" s="2149" t="e">
        <f>IF('Data Entry - SOF'!#REF!&gt;CV114,CV114,'Data Entry - SOF'!#REF!)</f>
        <v>#REF!</v>
      </c>
      <c r="CW52" s="2146"/>
      <c r="CX52" s="2149" t="e">
        <f>'Data Entry - SOF'!#REF!*(CX42/'Data Entry - SOF'!#REF!)</f>
        <v>#REF!</v>
      </c>
      <c r="CY52" s="2146"/>
      <c r="CZ52" s="2149" t="e">
        <f>IF('Data Entry - SOF'!#REF!&gt;CZ114,CZ114,'Data Entry - SOF'!#REF!)</f>
        <v>#REF!</v>
      </c>
      <c r="DB52" s="2174" t="e">
        <f>'Data Entry - SOF'!C91*(DB48/'Data Entry - SOF'!C59)</f>
        <v>#DIV/0!</v>
      </c>
      <c r="DC52" s="2171"/>
      <c r="DD52" s="2174">
        <f>IF('Data Entry - SOF'!C92&gt;DD114,DD114,'Data Entry - SOF'!C92)</f>
        <v>0</v>
      </c>
      <c r="DE52" s="2171"/>
      <c r="DF52" s="2174" t="e">
        <f>'Data Entry - SOF'!C91*(DF48/'Data Entry - SOF'!C59)</f>
        <v>#DIV/0!</v>
      </c>
      <c r="DG52" s="2171"/>
      <c r="DH52" s="2174">
        <f>IF('Data Entry - SOF'!C92&gt;DH114,DH114,'Data Entry - SOF'!C92)</f>
        <v>0</v>
      </c>
      <c r="DJ52" s="2149" t="e">
        <f>'Data Entry - SOF'!C91*(DJ48/'Data Entry - SOF'!C59)</f>
        <v>#DIV/0!</v>
      </c>
      <c r="DK52" s="2146"/>
      <c r="DL52" s="2149">
        <f>IF('Data Entry - SOF'!C92&gt;DL114,DL114,'Data Entry - SOF'!C92)</f>
        <v>0</v>
      </c>
      <c r="DM52" s="2146"/>
      <c r="DN52" s="2149" t="e">
        <f>'Data Entry - SOF'!C91*(DN48/'Data Entry - SOF'!C59)</f>
        <v>#DIV/0!</v>
      </c>
      <c r="DO52" s="2146"/>
      <c r="DP52" s="2149">
        <f>IF('Data Entry - SOF'!C92&gt;DP114,DP114,'Data Entry - SOF'!C92)</f>
        <v>0</v>
      </c>
      <c r="DR52" s="2174" t="e">
        <f>'Data Entry - SOF'!E91*(DR48/'Data Entry - SOF'!E59)</f>
        <v>#DIV/0!</v>
      </c>
      <c r="DS52" s="2171"/>
      <c r="DT52" s="2174">
        <f>IF('Data Entry - SOF'!E92&gt;DT114,DT114,'Data Entry - SOF'!E92)</f>
        <v>0</v>
      </c>
      <c r="DU52" s="2171"/>
      <c r="DV52" s="2174" t="e">
        <f>'Data Entry - SOF'!E91*(DV48/'Data Entry - SOF'!E59)</f>
        <v>#DIV/0!</v>
      </c>
      <c r="DW52" s="2171"/>
      <c r="DX52" s="2174">
        <f>IF('Data Entry - SOF'!E92&gt;DX114,DX114,'Data Entry - SOF'!E92)</f>
        <v>0</v>
      </c>
      <c r="DZ52" s="2149" t="e">
        <f>'Data Entry - SOF'!G91*(DZ48/'Data Entry - SOF'!G59)</f>
        <v>#DIV/0!</v>
      </c>
      <c r="EA52" s="2146"/>
      <c r="EB52" s="2149">
        <f>IF('Data Entry - SOF'!G92&gt;EB114,EB114,'Data Entry - SOF'!G92)</f>
        <v>0</v>
      </c>
      <c r="EC52" s="2146"/>
      <c r="ED52" s="2149" t="e">
        <f>'Data Entry - SOF'!G91*(ED48/'Data Entry - SOF'!G59)</f>
        <v>#DIV/0!</v>
      </c>
      <c r="EE52" s="2146"/>
      <c r="EF52" s="2149">
        <f>IF('Data Entry - SOF'!G92&gt;EF114,EF114,'Data Entry - SOF'!G92)</f>
        <v>0</v>
      </c>
    </row>
    <row r="53" spans="1:136">
      <c r="A53" s="92"/>
      <c r="C53" s="1405"/>
      <c r="D53" s="1405"/>
      <c r="E53" s="1405"/>
      <c r="F53" s="1405"/>
      <c r="G53" s="1405"/>
      <c r="H53" s="1405"/>
      <c r="I53" s="2745"/>
      <c r="K53" s="4232"/>
      <c r="L53" s="4232"/>
      <c r="M53" s="4232"/>
      <c r="N53" s="4232"/>
      <c r="O53" s="4232"/>
      <c r="P53" s="4232"/>
      <c r="Q53" s="4341"/>
      <c r="S53" s="1572"/>
      <c r="T53" s="1572"/>
      <c r="U53" s="1572"/>
      <c r="V53" s="1572"/>
      <c r="W53" s="1572"/>
      <c r="X53" s="1572"/>
      <c r="Y53" s="2780"/>
      <c r="AA53" s="1651"/>
      <c r="AB53" s="1651"/>
      <c r="AC53" s="1651"/>
      <c r="AD53" s="1651"/>
      <c r="AE53" s="1651"/>
      <c r="AF53" s="1651"/>
      <c r="AG53" s="2801"/>
      <c r="AI53" s="2102"/>
      <c r="AJ53" s="2102"/>
      <c r="AK53" s="2102"/>
      <c r="AL53" s="2102"/>
      <c r="AM53" s="2102"/>
      <c r="AN53" s="2102"/>
      <c r="AO53" s="4386"/>
      <c r="AQ53" s="2649"/>
      <c r="AR53" s="2649"/>
      <c r="AS53" s="2649"/>
      <c r="AT53" s="2649"/>
      <c r="AU53" s="2649"/>
      <c r="AV53" s="2649"/>
      <c r="AW53" s="2832"/>
      <c r="AY53" s="4197"/>
      <c r="AZ53" s="4197"/>
      <c r="BA53" s="4197"/>
      <c r="BB53" s="4197"/>
      <c r="BC53" s="4197"/>
      <c r="BD53" s="4197"/>
      <c r="BE53" s="4400"/>
      <c r="BH53" s="987"/>
      <c r="BI53" s="987"/>
      <c r="BJ53" s="987"/>
      <c r="BK53" s="987"/>
      <c r="BV53" s="1024"/>
      <c r="BW53" s="1024"/>
      <c r="BX53" s="1024"/>
      <c r="BY53" s="1024"/>
      <c r="BZ53" s="1024"/>
      <c r="CA53" s="1024"/>
      <c r="CB53" s="1024"/>
      <c r="CD53" s="2201"/>
      <c r="CE53" s="2201"/>
      <c r="CF53" s="2201"/>
      <c r="CG53" s="2201"/>
      <c r="CH53" s="2201"/>
      <c r="CI53" s="2201"/>
      <c r="CJ53" s="2201"/>
      <c r="CL53" s="2175"/>
      <c r="CM53" s="2175"/>
      <c r="CN53" s="2175"/>
      <c r="CO53" s="2175"/>
      <c r="CP53" s="2175"/>
      <c r="CQ53" s="2175"/>
      <c r="CR53" s="2175"/>
      <c r="CT53" s="2150"/>
      <c r="CU53" s="2150"/>
      <c r="CV53" s="2150"/>
      <c r="CW53" s="2150"/>
      <c r="CX53" s="2150"/>
      <c r="CY53" s="2150"/>
      <c r="CZ53" s="2150"/>
      <c r="DB53" s="2175"/>
      <c r="DC53" s="2175"/>
      <c r="DD53" s="2175"/>
      <c r="DE53" s="2175"/>
      <c r="DF53" s="2175"/>
      <c r="DG53" s="2175"/>
      <c r="DH53" s="2175"/>
      <c r="DJ53" s="2150"/>
      <c r="DK53" s="2150"/>
      <c r="DL53" s="2150"/>
      <c r="DM53" s="2150"/>
      <c r="DN53" s="2150"/>
      <c r="DO53" s="2150"/>
      <c r="DP53" s="2150"/>
      <c r="DR53" s="2175"/>
      <c r="DS53" s="2175"/>
      <c r="DT53" s="2175"/>
      <c r="DU53" s="2175"/>
      <c r="DV53" s="2175"/>
      <c r="DW53" s="2175"/>
      <c r="DX53" s="2175"/>
      <c r="DZ53" s="2150"/>
      <c r="EA53" s="2150"/>
      <c r="EB53" s="2150"/>
      <c r="EC53" s="2150"/>
      <c r="ED53" s="2150"/>
      <c r="EE53" s="2150"/>
      <c r="EF53" s="2150"/>
    </row>
    <row r="54" spans="1:136" ht="13.5" thickBot="1">
      <c r="A54" s="23" t="s">
        <v>326</v>
      </c>
      <c r="C54" s="1424" t="e">
        <f>IF(C48-C51-C52&lt;0,0,C48-C51-C52)</f>
        <v>#DIV/0!</v>
      </c>
      <c r="D54" s="1420"/>
      <c r="E54" s="1424" t="e">
        <f>IF(E48-E51-E52&lt;0,0,E48-E51-E52)</f>
        <v>#DIV/0!</v>
      </c>
      <c r="F54" s="1420"/>
      <c r="G54" s="1424" t="e">
        <f>IF(G48-G51-G52&lt;0,0,G48-G51-G52)</f>
        <v>#DIV/0!</v>
      </c>
      <c r="H54" s="1420"/>
      <c r="I54" s="2746" t="e">
        <f>IF(I48-I51-I52&lt;0,0,I48-I51-I52)</f>
        <v>#DIV/0!</v>
      </c>
      <c r="K54" s="4237" t="e">
        <f>IF(K48-K51-K52&lt;0,0,K48-K51-K52)</f>
        <v>#DIV/0!</v>
      </c>
      <c r="L54" s="4232"/>
      <c r="M54" s="4237" t="e">
        <f>IF(M48-M51-M52&lt;0,0,M48-M51-M52)</f>
        <v>#DIV/0!</v>
      </c>
      <c r="N54" s="4232"/>
      <c r="O54" s="4237" t="e">
        <f>IF(O48-O51-O52&lt;0,0,O48-O51-O52)</f>
        <v>#DIV/0!</v>
      </c>
      <c r="P54" s="4232"/>
      <c r="Q54" s="4342" t="e">
        <f>IF(Q48-Q51-Q52&lt;0,0,Q48-Q51-Q52)</f>
        <v>#DIV/0!</v>
      </c>
      <c r="S54" s="1602" t="e">
        <f>IF(S48-S51-S52&lt;0,0,S48-S51-S52)</f>
        <v>#DIV/0!</v>
      </c>
      <c r="T54" s="1598"/>
      <c r="U54" s="1602" t="e">
        <f>IF(U48-U51-U52&lt;0,0,U48-U51-U52)</f>
        <v>#DIV/0!</v>
      </c>
      <c r="V54" s="1598"/>
      <c r="W54" s="1602" t="e">
        <f>IF(W48-W51-W52&lt;0,0,W48-W51-W52)</f>
        <v>#DIV/0!</v>
      </c>
      <c r="X54" s="1598"/>
      <c r="Y54" s="2781" t="e">
        <f>IF(Y48-Y51-Y52&lt;0,0,Y48-Y51-Y52)</f>
        <v>#DIV/0!</v>
      </c>
      <c r="AA54" s="1683" t="e">
        <f>IF(AA48-AA51-AA52&lt;0,0,AA48-AA51-AA52)</f>
        <v>#DIV/0!</v>
      </c>
      <c r="AB54" s="1679"/>
      <c r="AC54" s="1683" t="e">
        <f>IF(AC48-AC51-AC52&lt;0,0,AC48-AC51-AC52)</f>
        <v>#DIV/0!</v>
      </c>
      <c r="AD54" s="1679"/>
      <c r="AE54" s="1683" t="e">
        <f>IF(AE48-AE51-AE52&lt;0,0,AE48-AE51-AE52)</f>
        <v>#DIV/0!</v>
      </c>
      <c r="AF54" s="1679"/>
      <c r="AG54" s="2802" t="e">
        <f>IF(AG48-AG51-AG52&lt;0,0,AG48-AG51-AG52)</f>
        <v>#DIV/0!</v>
      </c>
      <c r="AI54" s="2103" t="e">
        <f>IF(AI48-AI51-AI52&lt;0,0,AI48-AI51-AI52)</f>
        <v>#DIV/0!</v>
      </c>
      <c r="AJ54" s="2098"/>
      <c r="AK54" s="2103" t="e">
        <f>IF(AK48-AK51-AK52&lt;0,0,AK48-AK51-AK52)</f>
        <v>#DIV/0!</v>
      </c>
      <c r="AL54" s="2098"/>
      <c r="AM54" s="2103" t="e">
        <f>IF(AM48-AM51-AM52&lt;0,0,AM48-AM51-AM52)</f>
        <v>#DIV/0!</v>
      </c>
      <c r="AN54" s="2098"/>
      <c r="AO54" s="4387" t="e">
        <f>IF(AO48-AO51-AO52&lt;0,0,AO48-AO51-AO52)</f>
        <v>#DIV/0!</v>
      </c>
      <c r="AQ54" s="2650" t="e">
        <f>IF(AQ48-AQ51-AQ52&lt;0,0,AQ48-AQ51-AQ52)</f>
        <v>#DIV/0!</v>
      </c>
      <c r="AR54" s="2644"/>
      <c r="AS54" s="2650" t="e">
        <f>IF(AS48-AS51-AS52&lt;0,0,AS48-AS51-AS52)</f>
        <v>#DIV/0!</v>
      </c>
      <c r="AT54" s="2644"/>
      <c r="AU54" s="2650" t="e">
        <f>IF(AU48-AU51-AU52&lt;0,0,AU48-AU51-AU52)</f>
        <v>#DIV/0!</v>
      </c>
      <c r="AV54" s="2644"/>
      <c r="AW54" s="2833" t="e">
        <f>IF(AW48-AW51-AW52&lt;0,0,AW48-AW51-AW52)</f>
        <v>#DIV/0!</v>
      </c>
      <c r="AY54" s="4227" t="e">
        <f>IF(AY48-AY51-AY52&lt;0,0,AY48-AY51-AY52)</f>
        <v>#DIV/0!</v>
      </c>
      <c r="AZ54" s="4197"/>
      <c r="BA54" s="4227" t="e">
        <f>IF(BA48-BA51-BA52&lt;0,0,BA48-BA51-BA52)</f>
        <v>#DIV/0!</v>
      </c>
      <c r="BB54" s="4197"/>
      <c r="BC54" s="4227" t="e">
        <f>IF(BC48-BC51-BC52&lt;0,0,BC48-BC51-BC52)</f>
        <v>#DIV/0!</v>
      </c>
      <c r="BD54" s="4197"/>
      <c r="BE54" s="4404" t="e">
        <f>IF(BE48-BE51-BE52&lt;0,0,BE48-BE51-BE52)</f>
        <v>#DIV/0!</v>
      </c>
      <c r="BH54" s="988" t="e">
        <f>IF(BH48-BH51-BH52&lt;0,0,BH48-BH51-BH52)</f>
        <v>#DIV/0!</v>
      </c>
      <c r="BI54" s="988" t="e">
        <f>IF(BI48-BI51-BI52&lt;0,0,BI48-BI51-BI52)</f>
        <v>#DIV/0!</v>
      </c>
      <c r="BJ54" s="988" t="e">
        <f>IF(BJ48-BJ51-BJ52&lt;0,0,BJ48-BJ51-BJ52)</f>
        <v>#DIV/0!</v>
      </c>
      <c r="BK54" s="988" t="e">
        <f>IF(BK48-BK51-BK52&lt;0,0,BK48-BK51-BK52)</f>
        <v>#DIV/0!</v>
      </c>
      <c r="BV54" s="1025" t="e">
        <f>IF(BV48-BV51-BV52&lt;0,0,BV48-BV51-BV52)</f>
        <v>#REF!</v>
      </c>
      <c r="BW54" s="1021"/>
      <c r="BX54" s="1025" t="e">
        <f>IF(BX48-BX51-BX52&lt;0,0,BX48-BX51-BX52)</f>
        <v>#REF!</v>
      </c>
      <c r="BY54" s="1021"/>
      <c r="BZ54" s="1025" t="e">
        <f>IF(BZ48-BZ51-BZ52&lt;0,0,BZ48-BZ51-BZ52)</f>
        <v>#REF!</v>
      </c>
      <c r="CA54" s="1021"/>
      <c r="CB54" s="1025" t="e">
        <f>IF(CB48-CB51-CB52&lt;0,0,CB48-CB51-CB52)</f>
        <v>#REF!</v>
      </c>
      <c r="CD54" s="2202" t="e">
        <f>IF(CD48-CD51-CD52&lt;0,0,CD48-CD51-CD52)</f>
        <v>#REF!</v>
      </c>
      <c r="CE54" s="2197"/>
      <c r="CF54" s="2202" t="e">
        <f>IF(CF48-CF51-CF52&lt;0,0,CF48-CF51-CF52)</f>
        <v>#REF!</v>
      </c>
      <c r="CG54" s="2197"/>
      <c r="CH54" s="2202" t="e">
        <f>IF(CH48-CH51-CH52&lt;0,0,CH48-CH51-CH52)</f>
        <v>#REF!</v>
      </c>
      <c r="CI54" s="2197"/>
      <c r="CJ54" s="2202" t="e">
        <f>IF(CJ48-CJ51-CJ52&lt;0,0,CJ48-CJ51-CJ52)</f>
        <v>#REF!</v>
      </c>
      <c r="CL54" s="2176" t="e">
        <f>IF(CL48-CL51-CL52&lt;0,0,CL48-CL51-CL52)</f>
        <v>#REF!</v>
      </c>
      <c r="CM54" s="2171"/>
      <c r="CN54" s="2176" t="e">
        <f>IF(CN48-CN51-CN52&lt;0,0,CN48-CN51-CN52)</f>
        <v>#REF!</v>
      </c>
      <c r="CO54" s="2171"/>
      <c r="CP54" s="2176" t="e">
        <f>IF(CP48-CP51-CP52&lt;0,0,CP48-CP51-CP52)</f>
        <v>#REF!</v>
      </c>
      <c r="CQ54" s="2171"/>
      <c r="CR54" s="2176" t="e">
        <f>IF(CR48-CR51-CR52&lt;0,0,CR48-CR51-CR52)</f>
        <v>#REF!</v>
      </c>
      <c r="CT54" s="2151" t="e">
        <f>IF(CT48-CT51-CT52&lt;0,0,CT48-CT51-CT52)</f>
        <v>#REF!</v>
      </c>
      <c r="CU54" s="2146"/>
      <c r="CV54" s="2151" t="e">
        <f>IF(CV48-CV51-CV52&lt;0,0,CV48-CV51-CV52)</f>
        <v>#REF!</v>
      </c>
      <c r="CW54" s="2146"/>
      <c r="CX54" s="2151" t="e">
        <f>IF(CX48-CX51-CX52&lt;0,0,CX48-CX51-CX52)</f>
        <v>#DIV/0!</v>
      </c>
      <c r="CY54" s="2146"/>
      <c r="CZ54" s="2151" t="e">
        <f>IF(CZ48-CZ51-CZ52&lt;0,0,CZ48-CZ51-CZ52)</f>
        <v>#DIV/0!</v>
      </c>
      <c r="DB54" s="2176" t="e">
        <f>IF(DB48-DB51-DB52&lt;0,0,DB48-DB51-DB52)</f>
        <v>#DIV/0!</v>
      </c>
      <c r="DC54" s="2171"/>
      <c r="DD54" s="2176" t="e">
        <f>IF(DD48-DD51-DD52&lt;0,0,DD48-DD51-DD52)</f>
        <v>#DIV/0!</v>
      </c>
      <c r="DE54" s="2171"/>
      <c r="DF54" s="2176" t="e">
        <f>IF(DF48-DF51-DF52&lt;0,0,DF48-DF51-DF52)</f>
        <v>#DIV/0!</v>
      </c>
      <c r="DG54" s="2171"/>
      <c r="DH54" s="2176" t="e">
        <f>IF(DH48-DH51-DH52&lt;0,0,DH48-DH51-DH52)</f>
        <v>#DIV/0!</v>
      </c>
      <c r="DJ54" s="2151" t="e">
        <f>IF(DJ48-DJ51-DJ52&lt;0,0,DJ48-DJ51-DJ52)</f>
        <v>#DIV/0!</v>
      </c>
      <c r="DK54" s="2146"/>
      <c r="DL54" s="2151" t="e">
        <f>IF(DL48-DL51-DL52&lt;0,0,DL48-DL51-DL52)</f>
        <v>#DIV/0!</v>
      </c>
      <c r="DM54" s="2146"/>
      <c r="DN54" s="2151" t="e">
        <f>IF(DN48-DN51-DN52&lt;0,0,DN48-DN51-DN52)</f>
        <v>#DIV/0!</v>
      </c>
      <c r="DO54" s="2146"/>
      <c r="DP54" s="2151" t="e">
        <f>IF(DP48-DP51-DP52&lt;0,0,DP48-DP51-DP52)</f>
        <v>#DIV/0!</v>
      </c>
      <c r="DR54" s="2176" t="e">
        <f>IF(DR48-DR51-DR52&lt;0,0,DR48-DR51-DR52)</f>
        <v>#DIV/0!</v>
      </c>
      <c r="DS54" s="2171"/>
      <c r="DT54" s="2176" t="e">
        <f>IF(DT48-DT51-DT52&lt;0,0,DT48-DT51-DT52)</f>
        <v>#DIV/0!</v>
      </c>
      <c r="DU54" s="2171"/>
      <c r="DV54" s="2176" t="e">
        <f>IF(DV48-DV51-DV52&lt;0,0,DV48-DV51-DV52)</f>
        <v>#DIV/0!</v>
      </c>
      <c r="DW54" s="2171"/>
      <c r="DX54" s="2176" t="e">
        <f>IF(DX48-DX51-DX52&lt;0,0,DX48-DX51-DX52)</f>
        <v>#DIV/0!</v>
      </c>
      <c r="DZ54" s="2151" t="e">
        <f>IF(DZ48-DZ51-DZ52&lt;0,0,DZ48-DZ51-DZ52)</f>
        <v>#DIV/0!</v>
      </c>
      <c r="EA54" s="2146"/>
      <c r="EB54" s="2151" t="e">
        <f>IF(EB48-EB51-EB52&lt;0,0,EB48-EB51-EB52)</f>
        <v>#DIV/0!</v>
      </c>
      <c r="EC54" s="2146"/>
      <c r="ED54" s="2151" t="e">
        <f>IF(ED48-ED51-ED52&lt;0,0,ED48-ED51-ED52)</f>
        <v>#DIV/0!</v>
      </c>
      <c r="EE54" s="2146"/>
      <c r="EF54" s="2151" t="e">
        <f>IF(EF48-EF51-EF52&lt;0,0,EF48-EF51-EF52)</f>
        <v>#DIV/0!</v>
      </c>
    </row>
    <row r="55" spans="1:136" ht="13.5" thickTop="1">
      <c r="A55" s="23" t="s">
        <v>589</v>
      </c>
      <c r="C55" s="1420" t="e">
        <f>IF(C47=0,0,C54/C47)</f>
        <v>#DIV/0!</v>
      </c>
      <c r="D55" s="1420"/>
      <c r="E55" s="1420" t="e">
        <f>IF(E47=0,0,E54/E47)</f>
        <v>#DIV/0!</v>
      </c>
      <c r="F55" s="1420"/>
      <c r="G55" s="1420" t="e">
        <f>IF(G47=0,0,G54/G47)</f>
        <v>#DIV/0!</v>
      </c>
      <c r="H55" s="1420"/>
      <c r="I55" s="2745" t="e">
        <f>IF(I47=0,0,I54/I47)</f>
        <v>#DIV/0!</v>
      </c>
      <c r="K55" s="4232" t="e">
        <f>IF(K47=0,0,K54/K47)</f>
        <v>#DIV/0!</v>
      </c>
      <c r="L55" s="4232"/>
      <c r="M55" s="4232" t="e">
        <f>IF(M47=0,0,M54/M47)</f>
        <v>#DIV/0!</v>
      </c>
      <c r="N55" s="4232"/>
      <c r="O55" s="4232" t="e">
        <f>IF(O47=0,0,O54/O47)</f>
        <v>#DIV/0!</v>
      </c>
      <c r="P55" s="4232"/>
      <c r="Q55" s="4341" t="e">
        <f>IF(Q47=0,0,Q54/Q47)</f>
        <v>#DIV/0!</v>
      </c>
      <c r="S55" s="1598" t="e">
        <f>IF(S47=0,0,S54/S47)</f>
        <v>#DIV/0!</v>
      </c>
      <c r="T55" s="1598"/>
      <c r="U55" s="1598" t="e">
        <f>IF(U47=0,0,U54/U47)</f>
        <v>#DIV/0!</v>
      </c>
      <c r="V55" s="1598"/>
      <c r="W55" s="1598" t="e">
        <f>IF(W47=0,0,W54/W47)</f>
        <v>#DIV/0!</v>
      </c>
      <c r="X55" s="1598"/>
      <c r="Y55" s="2780" t="e">
        <f>IF(Y47=0,0,Y54/Y47)</f>
        <v>#DIV/0!</v>
      </c>
      <c r="AA55" s="1679" t="e">
        <f>IF(AA47=0,0,AA54/AA47)</f>
        <v>#DIV/0!</v>
      </c>
      <c r="AB55" s="1679"/>
      <c r="AC55" s="1679" t="e">
        <f>IF(AC47=0,0,AC54/AC47)</f>
        <v>#DIV/0!</v>
      </c>
      <c r="AD55" s="1679"/>
      <c r="AE55" s="1679" t="e">
        <f>IF(AE47=0,0,AE54/AE47)</f>
        <v>#DIV/0!</v>
      </c>
      <c r="AF55" s="1679"/>
      <c r="AG55" s="2801" t="e">
        <f>IF(AG47=0,0,AG54/AG47)</f>
        <v>#DIV/0!</v>
      </c>
      <c r="AI55" s="2098" t="e">
        <f>IF(AI47=0,0,AI54/AI47)</f>
        <v>#DIV/0!</v>
      </c>
      <c r="AJ55" s="2098"/>
      <c r="AK55" s="2098" t="e">
        <f>IF(AK47=0,0,AK54/AK47)</f>
        <v>#DIV/0!</v>
      </c>
      <c r="AL55" s="2098"/>
      <c r="AM55" s="2098" t="e">
        <f>IF(AM47=0,0,AM54/AM47)</f>
        <v>#DIV/0!</v>
      </c>
      <c r="AN55" s="2098"/>
      <c r="AO55" s="4386" t="e">
        <f>IF(AO47=0,0,AO54/AO47)</f>
        <v>#DIV/0!</v>
      </c>
      <c r="AQ55" s="2644" t="e">
        <f>IF(AQ47=0,0,AQ54/AQ47)</f>
        <v>#DIV/0!</v>
      </c>
      <c r="AR55" s="2644"/>
      <c r="AS55" s="2644" t="e">
        <f>IF(AS47=0,0,AS54/AS47)</f>
        <v>#DIV/0!</v>
      </c>
      <c r="AT55" s="2644"/>
      <c r="AU55" s="2644" t="e">
        <f>IF(AU47=0,0,AU54/AU47)</f>
        <v>#DIV/0!</v>
      </c>
      <c r="AV55" s="2644"/>
      <c r="AW55" s="2832" t="e">
        <f>IF(AW47=0,0,AW54/AW47)</f>
        <v>#DIV/0!</v>
      </c>
      <c r="AY55" s="4197" t="e">
        <f>IF(AY47=0,0,AY54/AY47)</f>
        <v>#DIV/0!</v>
      </c>
      <c r="AZ55" s="4197"/>
      <c r="BA55" s="4197" t="e">
        <f>IF(BA47=0,0,BA54/BA47)</f>
        <v>#DIV/0!</v>
      </c>
      <c r="BB55" s="4197"/>
      <c r="BC55" s="4197" t="e">
        <f>IF(BC47=0,0,BC54/BC47)</f>
        <v>#DIV/0!</v>
      </c>
      <c r="BD55" s="4197"/>
      <c r="BE55" s="4400" t="e">
        <f>IF(BE47=0,0,BE54/BE47)</f>
        <v>#DIV/0!</v>
      </c>
      <c r="BH55" s="983" t="e">
        <f>IF(BH47=0,0,BH54/BH47)</f>
        <v>#DIV/0!</v>
      </c>
      <c r="BI55" s="983" t="e">
        <f>IF(BI47=0,0,BI54/BI47)</f>
        <v>#DIV/0!</v>
      </c>
      <c r="BJ55" s="979"/>
      <c r="BK55" s="979"/>
      <c r="BV55" s="1021" t="e">
        <f>IF(BV47=0,0,BV54/BV47)</f>
        <v>#REF!</v>
      </c>
      <c r="BW55" s="1021"/>
      <c r="BX55" s="1021" t="e">
        <f>IF(BX47=0,0,BX54/BX47)</f>
        <v>#REF!</v>
      </c>
      <c r="BY55" s="1021"/>
      <c r="BZ55" s="1021" t="e">
        <f>IF(BZ47=0,0,BZ54/BZ47)</f>
        <v>#REF!</v>
      </c>
      <c r="CA55" s="1021"/>
      <c r="CB55" s="1021" t="e">
        <f>IF(CB47=0,0,CB54/CB47)</f>
        <v>#REF!</v>
      </c>
      <c r="CD55" s="2197" t="e">
        <f>IF(CD47=0,0,CD54/CD47)</f>
        <v>#REF!</v>
      </c>
      <c r="CE55" s="2197"/>
      <c r="CF55" s="2197" t="e">
        <f>IF(CF47=0,0,CF54/CF47)</f>
        <v>#REF!</v>
      </c>
      <c r="CG55" s="2197"/>
      <c r="CH55" s="2197" t="e">
        <f>IF(CH47=0,0,CH54/CH47)</f>
        <v>#REF!</v>
      </c>
      <c r="CI55" s="2197"/>
      <c r="CJ55" s="2197" t="e">
        <f>IF(CJ47=0,0,CJ54/CJ47)</f>
        <v>#REF!</v>
      </c>
      <c r="CL55" s="2171" t="e">
        <f>IF(CL47=0,0,CL54/CL47)</f>
        <v>#REF!</v>
      </c>
      <c r="CM55" s="2171"/>
      <c r="CN55" s="2171" t="e">
        <f>IF(CN47=0,0,CN54/CN47)</f>
        <v>#REF!</v>
      </c>
      <c r="CO55" s="2171"/>
      <c r="CP55" s="2171" t="e">
        <f>IF(CP47=0,0,CP54/CP47)</f>
        <v>#REF!</v>
      </c>
      <c r="CQ55" s="2171"/>
      <c r="CR55" s="2171" t="e">
        <f>IF(CR47=0,0,CR54/CR47)</f>
        <v>#REF!</v>
      </c>
      <c r="CT55" s="2146" t="e">
        <f>IF(CT47=0,0,CT54/CT47)</f>
        <v>#REF!</v>
      </c>
      <c r="CU55" s="2146"/>
      <c r="CV55" s="2146" t="e">
        <f>IF(CV47=0,0,CV54/CV47)</f>
        <v>#REF!</v>
      </c>
      <c r="CW55" s="2146"/>
      <c r="CX55" s="2146" t="e">
        <f>IF(CX47=0,0,CX54/CX47)</f>
        <v>#DIV/0!</v>
      </c>
      <c r="CY55" s="2146"/>
      <c r="CZ55" s="2146" t="e">
        <f>IF(CZ47=0,0,CZ54/CZ47)</f>
        <v>#DIV/0!</v>
      </c>
      <c r="DB55" s="2171" t="e">
        <f>IF(DB47=0,0,DB54/DB47)</f>
        <v>#DIV/0!</v>
      </c>
      <c r="DC55" s="2171"/>
      <c r="DD55" s="2171" t="e">
        <f>IF(DD47=0,0,DD54/DD47)</f>
        <v>#DIV/0!</v>
      </c>
      <c r="DE55" s="2171"/>
      <c r="DF55" s="2171" t="e">
        <f>IF(DF47=0,0,DF54/DF47)</f>
        <v>#DIV/0!</v>
      </c>
      <c r="DG55" s="2171"/>
      <c r="DH55" s="2171" t="e">
        <f>IF(DH47=0,0,DH54/DH47)</f>
        <v>#DIV/0!</v>
      </c>
      <c r="DJ55" s="2146" t="e">
        <f>IF(DJ47=0,0,DJ54/DJ47)</f>
        <v>#DIV/0!</v>
      </c>
      <c r="DK55" s="2146"/>
      <c r="DL55" s="2146" t="e">
        <f>IF(DL47=0,0,DL54/DL47)</f>
        <v>#DIV/0!</v>
      </c>
      <c r="DM55" s="2146"/>
      <c r="DN55" s="2146" t="e">
        <f>IF(DN47=0,0,DN54/DN47)</f>
        <v>#DIV/0!</v>
      </c>
      <c r="DO55" s="2146"/>
      <c r="DP55" s="2146" t="e">
        <f>IF(DP47=0,0,DP54/DP47)</f>
        <v>#DIV/0!</v>
      </c>
      <c r="DR55" s="2171" t="e">
        <f>IF(DR47=0,0,DR54/DR47)</f>
        <v>#DIV/0!</v>
      </c>
      <c r="DS55" s="2171"/>
      <c r="DT55" s="2171" t="e">
        <f>IF(DT47=0,0,DT54/DT47)</f>
        <v>#DIV/0!</v>
      </c>
      <c r="DU55" s="2171"/>
      <c r="DV55" s="2171" t="e">
        <f>IF(DV47=0,0,DV54/DV47)</f>
        <v>#DIV/0!</v>
      </c>
      <c r="DW55" s="2171"/>
      <c r="DX55" s="2171" t="e">
        <f>IF(DX47=0,0,DX54/DX47)</f>
        <v>#DIV/0!</v>
      </c>
      <c r="DZ55" s="2146" t="e">
        <f>IF(DZ47=0,0,DZ54/DZ47)</f>
        <v>#DIV/0!</v>
      </c>
      <c r="EA55" s="2146"/>
      <c r="EB55" s="2146" t="e">
        <f>IF(EB47=0,0,EB54/EB47)</f>
        <v>#DIV/0!</v>
      </c>
      <c r="EC55" s="2146"/>
      <c r="ED55" s="2146" t="e">
        <f>IF(ED47=0,0,ED54/ED47)</f>
        <v>#DIV/0!</v>
      </c>
      <c r="EE55" s="2146"/>
      <c r="EF55" s="2146" t="e">
        <f>IF(EF47=0,0,EF54/EF47)</f>
        <v>#DIV/0!</v>
      </c>
    </row>
    <row r="56" spans="1:136">
      <c r="I56" s="2733"/>
      <c r="K56" s="4232"/>
      <c r="L56" s="4232"/>
      <c r="M56" s="4232"/>
      <c r="N56" s="4232"/>
      <c r="O56" s="4232"/>
      <c r="P56" s="4232"/>
      <c r="Q56" s="4341"/>
      <c r="Y56" s="2769"/>
      <c r="AG56" s="2790"/>
      <c r="AO56" s="4375"/>
      <c r="AW56" s="2820"/>
      <c r="AY56" s="4197"/>
      <c r="AZ56" s="4197"/>
      <c r="BA56" s="4197"/>
      <c r="BB56" s="4197"/>
      <c r="BC56" s="4197"/>
      <c r="BD56" s="4197"/>
      <c r="BE56" s="4400"/>
      <c r="BH56" s="978"/>
      <c r="BI56" s="978"/>
      <c r="BJ56" s="979"/>
      <c r="BK56" s="979"/>
    </row>
    <row r="57" spans="1:136">
      <c r="A57" s="89" t="s">
        <v>1302</v>
      </c>
      <c r="C57" s="1425" t="str">
        <f>'Report-Recapture1617'!G65</f>
        <v>Y</v>
      </c>
      <c r="G57" s="1426" t="str">
        <f>'Report-Recapture1617'!G141</f>
        <v>Y</v>
      </c>
      <c r="I57" s="2733"/>
      <c r="K57" s="4238" t="str">
        <f>'Report-Recapture1718'!G65</f>
        <v>Y</v>
      </c>
      <c r="L57" s="4232"/>
      <c r="M57" s="4232"/>
      <c r="N57" s="4232"/>
      <c r="O57" s="4238" t="str">
        <f>'Report-Recapture1718'!G141</f>
        <v>Y</v>
      </c>
      <c r="P57" s="4232"/>
      <c r="Q57" s="4341"/>
      <c r="S57" s="1603" t="str">
        <f>'Report-Recapture1819'!G65</f>
        <v>Y</v>
      </c>
      <c r="W57" s="1604" t="str">
        <f>'Report-Recapture1819'!G141</f>
        <v>Y</v>
      </c>
      <c r="Y57" s="2769"/>
      <c r="AA57" s="1684" t="str">
        <f>'Report-Recapture1920'!G65</f>
        <v>Y</v>
      </c>
      <c r="AE57" s="1685" t="str">
        <f>'Report-Recapture1920'!G141</f>
        <v>Y</v>
      </c>
      <c r="AG57" s="2790"/>
      <c r="AI57" s="2104" t="str">
        <f>'Report-Recapture2021'!G65</f>
        <v>Y</v>
      </c>
      <c r="AM57" s="2105" t="str">
        <f>'Report-Recapture2021'!G141</f>
        <v>Y</v>
      </c>
      <c r="AO57" s="4375"/>
      <c r="AQ57" s="2651" t="str">
        <f>'Report-Recapture2122'!G65</f>
        <v>Y</v>
      </c>
      <c r="AU57" s="2652" t="str">
        <f>'Report-Recapture2122'!G141</f>
        <v>Y</v>
      </c>
      <c r="AW57" s="2820"/>
      <c r="AY57" s="4201" t="str">
        <f>'Report-Recapture2223'!G65</f>
        <v>Y</v>
      </c>
      <c r="AZ57" s="4197"/>
      <c r="BA57" s="4197"/>
      <c r="BB57" s="4197"/>
      <c r="BC57" s="4156" t="str">
        <f>'Report-Recapture2223'!G141</f>
        <v>Y</v>
      </c>
      <c r="BD57" s="4197"/>
      <c r="BE57" s="4400"/>
      <c r="BH57" s="2481" t="str">
        <f>C57</f>
        <v>Y</v>
      </c>
      <c r="BI57" s="978"/>
      <c r="BJ57" s="2481" t="str">
        <f>G57</f>
        <v>Y</v>
      </c>
      <c r="BK57" s="979"/>
      <c r="BV57" s="2133" t="e">
        <f>#REF!</f>
        <v>#REF!</v>
      </c>
      <c r="BZ57" s="2134" t="e">
        <f>#REF!</f>
        <v>#REF!</v>
      </c>
      <c r="CD57" s="2203" t="e">
        <f>#REF!</f>
        <v>#REF!</v>
      </c>
      <c r="CH57" s="2204" t="e">
        <f>#REF!</f>
        <v>#REF!</v>
      </c>
      <c r="CL57" s="2177" t="e">
        <f>#REF!</f>
        <v>#REF!</v>
      </c>
      <c r="CP57" s="2178" t="e">
        <f>#REF!</f>
        <v>#REF!</v>
      </c>
      <c r="CT57" s="2152" t="e">
        <f>#REF!</f>
        <v>#REF!</v>
      </c>
      <c r="CX57" s="2153" t="e">
        <f>#REF!</f>
        <v>#REF!</v>
      </c>
      <c r="DB57" s="2177" t="str">
        <f>'Report-Recapture1617'!G65</f>
        <v>Y</v>
      </c>
      <c r="DF57" s="2178" t="str">
        <f>'Report-Recapture1617'!G141</f>
        <v>Y</v>
      </c>
      <c r="DJ57" s="2152" t="str">
        <f>'Report-Recapture1617'!G65</f>
        <v>Y</v>
      </c>
      <c r="DN57" s="2153" t="str">
        <f>'Report-Recapture1617'!G141</f>
        <v>Y</v>
      </c>
      <c r="DR57" s="2177" t="str">
        <f>'Report-Recapture1718'!G65</f>
        <v>Y</v>
      </c>
      <c r="DV57" s="2178" t="str">
        <f>'Report-Recapture1718'!G141</f>
        <v>Y</v>
      </c>
      <c r="DZ57" s="2152" t="str">
        <f>'Report-Recapture1819'!G65</f>
        <v>Y</v>
      </c>
      <c r="ED57" s="2153" t="str">
        <f>'Report-Recapture1819'!G141</f>
        <v>Y</v>
      </c>
    </row>
    <row r="58" spans="1:136">
      <c r="A58" s="47" t="s">
        <v>1303</v>
      </c>
      <c r="I58" s="2733"/>
      <c r="K58" s="4232"/>
      <c r="L58" s="4232"/>
      <c r="M58" s="4232"/>
      <c r="N58" s="4232"/>
      <c r="O58" s="4232"/>
      <c r="P58" s="4232"/>
      <c r="Q58" s="4341"/>
      <c r="Y58" s="2769"/>
      <c r="AG58" s="2790"/>
      <c r="AO58" s="4375"/>
      <c r="AW58" s="2820"/>
      <c r="AY58" s="4197"/>
      <c r="AZ58" s="4197"/>
      <c r="BA58" s="4197"/>
      <c r="BB58" s="4197"/>
      <c r="BC58" s="4197"/>
      <c r="BD58" s="4197"/>
      <c r="BE58" s="4400"/>
      <c r="BH58" s="953"/>
      <c r="BI58" s="953"/>
      <c r="BJ58" s="953"/>
      <c r="BK58" s="953"/>
    </row>
    <row r="59" spans="1:136">
      <c r="A59" s="109"/>
      <c r="C59" s="1427" t="s">
        <v>1242</v>
      </c>
      <c r="I59" s="2733"/>
      <c r="K59" s="4232" t="s">
        <v>1242</v>
      </c>
      <c r="L59" s="4232"/>
      <c r="M59" s="4232"/>
      <c r="N59" s="4232"/>
      <c r="O59" s="4232"/>
      <c r="P59" s="4232"/>
      <c r="Q59" s="4341"/>
      <c r="S59" s="1605" t="s">
        <v>1242</v>
      </c>
      <c r="Y59" s="2769"/>
      <c r="AA59" s="1686" t="s">
        <v>1242</v>
      </c>
      <c r="AG59" s="2790"/>
      <c r="AI59" s="2106" t="s">
        <v>1242</v>
      </c>
      <c r="AO59" s="4375"/>
      <c r="AQ59" s="2653" t="s">
        <v>1242</v>
      </c>
      <c r="AW59" s="2820"/>
      <c r="AY59" s="4197" t="s">
        <v>1242</v>
      </c>
      <c r="AZ59" s="4197"/>
      <c r="BA59" s="4197"/>
      <c r="BB59" s="4197"/>
      <c r="BC59" s="4197"/>
      <c r="BD59" s="4197"/>
      <c r="BE59" s="4400"/>
      <c r="BV59" s="1030" t="s">
        <v>1242</v>
      </c>
      <c r="CD59" s="2205" t="s">
        <v>1242</v>
      </c>
      <c r="CL59" s="2179" t="s">
        <v>1242</v>
      </c>
      <c r="CT59" s="2154" t="s">
        <v>1242</v>
      </c>
      <c r="DB59" s="2179" t="s">
        <v>1242</v>
      </c>
      <c r="DJ59" s="2154" t="s">
        <v>1242</v>
      </c>
      <c r="DR59" s="2179" t="s">
        <v>1242</v>
      </c>
      <c r="DZ59" s="2154" t="s">
        <v>1242</v>
      </c>
    </row>
    <row r="60" spans="1:136">
      <c r="A60" s="109"/>
      <c r="C60" s="1427" t="s">
        <v>1243</v>
      </c>
      <c r="I60" s="2733"/>
      <c r="K60" s="4232" t="s">
        <v>1243</v>
      </c>
      <c r="L60" s="4232"/>
      <c r="M60" s="4232"/>
      <c r="N60" s="4232"/>
      <c r="O60" s="4232"/>
      <c r="P60" s="4232"/>
      <c r="Q60" s="4341"/>
      <c r="S60" s="1605" t="s">
        <v>1243</v>
      </c>
      <c r="Y60" s="2769"/>
      <c r="AA60" s="1686" t="s">
        <v>1243</v>
      </c>
      <c r="AG60" s="2790"/>
      <c r="AI60" s="2106" t="s">
        <v>1243</v>
      </c>
      <c r="AO60" s="4375"/>
      <c r="AQ60" s="2653" t="s">
        <v>1243</v>
      </c>
      <c r="AW60" s="2820"/>
      <c r="AY60" s="4197" t="s">
        <v>1243</v>
      </c>
      <c r="AZ60" s="4197"/>
      <c r="BA60" s="4197"/>
      <c r="BB60" s="4197"/>
      <c r="BC60" s="4197"/>
      <c r="BD60" s="4197"/>
      <c r="BE60" s="4400"/>
      <c r="BV60" s="1030" t="s">
        <v>1243</v>
      </c>
      <c r="CD60" s="2205" t="s">
        <v>1243</v>
      </c>
      <c r="CL60" s="2179" t="s">
        <v>1243</v>
      </c>
      <c r="CT60" s="2154" t="s">
        <v>1243</v>
      </c>
      <c r="DB60" s="2179" t="s">
        <v>1243</v>
      </c>
      <c r="DJ60" s="2154" t="s">
        <v>1243</v>
      </c>
      <c r="DR60" s="2179" t="s">
        <v>1243</v>
      </c>
      <c r="DZ60" s="2154" t="s">
        <v>1243</v>
      </c>
    </row>
    <row r="61" spans="1:136">
      <c r="A61" s="109"/>
      <c r="I61" s="2733"/>
      <c r="K61" s="4232"/>
      <c r="L61" s="4232"/>
      <c r="M61" s="4232"/>
      <c r="N61" s="4232"/>
      <c r="O61" s="4232"/>
      <c r="P61" s="4232"/>
      <c r="Q61" s="4341"/>
      <c r="Y61" s="2769"/>
      <c r="AG61" s="2790"/>
      <c r="AO61" s="4375"/>
      <c r="AW61" s="2820"/>
      <c r="AY61" s="4197"/>
      <c r="AZ61" s="4197"/>
      <c r="BA61" s="4197"/>
      <c r="BB61" s="4197"/>
      <c r="BC61" s="4197"/>
      <c r="BD61" s="4197"/>
      <c r="BE61" s="4400"/>
    </row>
    <row r="62" spans="1:136">
      <c r="A62" s="97"/>
      <c r="I62" s="2733"/>
      <c r="K62" s="4232" t="s">
        <v>7902</v>
      </c>
      <c r="L62" s="4232"/>
      <c r="M62" s="4232"/>
      <c r="N62" s="4232"/>
      <c r="O62" s="4232"/>
      <c r="P62" s="4232"/>
      <c r="Q62" s="4341"/>
      <c r="Y62" s="2769"/>
      <c r="AG62" s="2790"/>
      <c r="AO62" s="4375"/>
      <c r="AW62" s="2820"/>
      <c r="AY62" s="4197"/>
      <c r="AZ62" s="4197"/>
      <c r="BA62" s="4197"/>
      <c r="BB62" s="4197"/>
      <c r="BC62" s="4197"/>
      <c r="BD62" s="4197"/>
      <c r="BE62" s="4400"/>
    </row>
    <row r="63" spans="1:136">
      <c r="A63" s="97"/>
      <c r="C63" s="1939" t="s">
        <v>4473</v>
      </c>
      <c r="D63" s="1939"/>
      <c r="E63" s="1939"/>
      <c r="F63" s="1939"/>
      <c r="G63" s="1939"/>
      <c r="H63" s="1939"/>
      <c r="I63" s="2761"/>
      <c r="K63" s="4232" t="s">
        <v>4473</v>
      </c>
      <c r="L63" s="4232"/>
      <c r="M63" s="4232"/>
      <c r="N63" s="4232"/>
      <c r="O63" s="4232"/>
      <c r="P63" s="4232"/>
      <c r="Q63" s="4341"/>
      <c r="S63" s="1966" t="s">
        <v>4473</v>
      </c>
      <c r="T63" s="1966"/>
      <c r="U63" s="1966"/>
      <c r="V63" s="1966"/>
      <c r="W63" s="1966"/>
      <c r="X63" s="1966"/>
      <c r="Y63" s="4350"/>
      <c r="AA63" s="1981" t="s">
        <v>4473</v>
      </c>
      <c r="AB63" s="1981"/>
      <c r="AC63" s="1981"/>
      <c r="AD63" s="1981"/>
      <c r="AE63" s="1981"/>
      <c r="AF63" s="1981"/>
      <c r="AG63" s="4365"/>
      <c r="AI63" s="2085" t="s">
        <v>4473</v>
      </c>
      <c r="AO63" s="4375"/>
      <c r="AQ63" s="2631" t="s">
        <v>4473</v>
      </c>
      <c r="AW63" s="2820"/>
      <c r="AY63" s="4197" t="s">
        <v>4473</v>
      </c>
      <c r="AZ63" s="4197"/>
      <c r="BA63" s="4197"/>
      <c r="BB63" s="4197"/>
      <c r="BC63" s="4197"/>
      <c r="BD63" s="4197"/>
      <c r="BE63" s="4400"/>
      <c r="BH63" s="201" t="s">
        <v>4473</v>
      </c>
    </row>
    <row r="64" spans="1:136">
      <c r="A64" s="97"/>
      <c r="C64" s="1940" t="e">
        <f>IF(C30&gt;C24,C30,C24)</f>
        <v>#DIV/0!</v>
      </c>
      <c r="D64" s="1939"/>
      <c r="E64" s="1940" t="e">
        <f>E24</f>
        <v>#DIV/0!</v>
      </c>
      <c r="F64" s="1939"/>
      <c r="G64" s="1940" t="e">
        <f>IF(G30&gt;G24,G30,G24)</f>
        <v>#DIV/0!</v>
      </c>
      <c r="H64" s="1939"/>
      <c r="I64" s="4328" t="e">
        <f>I24</f>
        <v>#DIV/0!</v>
      </c>
      <c r="K64" s="4231" t="e">
        <f>IF(K30&gt;K24,K30,K24)</f>
        <v>#DIV/0!</v>
      </c>
      <c r="L64" s="4232"/>
      <c r="M64" s="4231" t="e">
        <f>M24</f>
        <v>#DIV/0!</v>
      </c>
      <c r="N64" s="4232"/>
      <c r="O64" s="4231" t="e">
        <f>IF(O30&gt;O24,O30,O24)</f>
        <v>#DIV/0!</v>
      </c>
      <c r="P64" s="4232"/>
      <c r="Q64" s="4336" t="e">
        <f>Q24</f>
        <v>#DIV/0!</v>
      </c>
      <c r="S64" s="1960" t="e">
        <f>IF(S30&gt;S24,S30,S24)</f>
        <v>#DIV/0!</v>
      </c>
      <c r="T64" s="1966"/>
      <c r="U64" s="1960" t="e">
        <f>U24</f>
        <v>#DIV/0!</v>
      </c>
      <c r="V64" s="1966"/>
      <c r="W64" s="1960" t="e">
        <f>IF(W30&gt;W24,W30,W24)</f>
        <v>#DIV/0!</v>
      </c>
      <c r="X64" s="1966"/>
      <c r="Y64" s="4351" t="e">
        <f>Y24</f>
        <v>#DIV/0!</v>
      </c>
      <c r="AA64" s="1975" t="e">
        <f>IF(AA30&gt;AA24,AA30,AA24)</f>
        <v>#DIV/0!</v>
      </c>
      <c r="AB64" s="1981"/>
      <c r="AC64" s="1975" t="e">
        <f>AC24</f>
        <v>#DIV/0!</v>
      </c>
      <c r="AD64" s="1981"/>
      <c r="AE64" s="1975" t="e">
        <f>IF(AE30&gt;AE24,AE30,AE24)</f>
        <v>#DIV/0!</v>
      </c>
      <c r="AF64" s="1981"/>
      <c r="AG64" s="4366" t="e">
        <f>AG24</f>
        <v>#DIV/0!</v>
      </c>
      <c r="AI64" s="2089" t="e">
        <f>IF(AI30&gt;AI24,AI30,AI24)</f>
        <v>#DIV/0!</v>
      </c>
      <c r="AK64" s="2089" t="e">
        <f>AK24</f>
        <v>#DIV/0!</v>
      </c>
      <c r="AM64" s="2089" t="e">
        <f>IF(AM30&gt;AM24,AM30,AM24)</f>
        <v>#DIV/0!</v>
      </c>
      <c r="AO64" s="4379" t="e">
        <f>AO24</f>
        <v>#DIV/0!</v>
      </c>
      <c r="AQ64" s="2635" t="e">
        <f>IF(AQ30&gt;AQ24,AQ30,AQ24)</f>
        <v>#DIV/0!</v>
      </c>
      <c r="AS64" s="2635" t="e">
        <f>AS24</f>
        <v>#DIV/0!</v>
      </c>
      <c r="AU64" s="2635" t="e">
        <f>IF(AU30&gt;AU24,AU30,AU24)</f>
        <v>#DIV/0!</v>
      </c>
      <c r="AW64" s="4390" t="e">
        <f>AW24</f>
        <v>#DIV/0!</v>
      </c>
      <c r="AY64" s="4196" t="e">
        <f>IF(AY30&gt;AY24,AY30,AY24)</f>
        <v>#DIV/0!</v>
      </c>
      <c r="AZ64" s="4197"/>
      <c r="BA64" s="4196" t="e">
        <f>BA24</f>
        <v>#DIV/0!</v>
      </c>
      <c r="BB64" s="4197"/>
      <c r="BC64" s="4196" t="e">
        <f>IF(BC30&gt;BC24,BC30,BC24)</f>
        <v>#DIV/0!</v>
      </c>
      <c r="BD64" s="4197"/>
      <c r="BE64" s="4397" t="e">
        <f>BE24</f>
        <v>#DIV/0!</v>
      </c>
      <c r="BH64" s="977" t="e">
        <f>IF(BH30&gt;BH24,BH30,BH24)</f>
        <v>#DIV/0!</v>
      </c>
      <c r="BI64" s="977" t="e">
        <f>BH64</f>
        <v>#DIV/0!</v>
      </c>
      <c r="BJ64" s="977" t="e">
        <f>IF(BJ30&gt;BJ24,BJ30,BJ24)</f>
        <v>#DIV/0!</v>
      </c>
      <c r="BK64" s="977" t="e">
        <f>BK24</f>
        <v>#DIV/0!</v>
      </c>
    </row>
    <row r="65" spans="1:136">
      <c r="A65" s="97"/>
      <c r="C65" s="1940" t="e">
        <f>IF('Data Entry - SOF'!C52-C64&lt;0,0,'Data Entry - SOF'!C52-C64)</f>
        <v>#DIV/0!</v>
      </c>
      <c r="D65" s="1939"/>
      <c r="E65" s="1940" t="e">
        <f>IF('Data Entry - SOF'!C52-E64&lt;0,0,'Data Entry - SOF'!C52-E64)</f>
        <v>#DIV/0!</v>
      </c>
      <c r="F65" s="1939"/>
      <c r="G65" s="1940" t="e">
        <f>IF('Data Entry - SOF'!C52-G64&lt;0,0,'Data Entry - SOF'!C52-G64)</f>
        <v>#DIV/0!</v>
      </c>
      <c r="H65" s="1939"/>
      <c r="I65" s="4328" t="e">
        <f>IF('Data Entry - SOF'!C52-I64&lt;0,0,'Data Entry - SOF'!C52-I64)</f>
        <v>#DIV/0!</v>
      </c>
      <c r="K65" s="4231" t="e">
        <f>IF('Data Entry - SOF'!E52-K64&lt;0,0,'Data Entry - SOF'!E52-K64)</f>
        <v>#DIV/0!</v>
      </c>
      <c r="L65" s="4232"/>
      <c r="M65" s="4231" t="e">
        <f>IF('Data Entry - SOF'!E52-M64&lt;0,0,'Data Entry - SOF'!E52-M64)</f>
        <v>#DIV/0!</v>
      </c>
      <c r="N65" s="4232"/>
      <c r="O65" s="4231" t="e">
        <f>IF('Data Entry - SOF'!E52-O64&lt;0,0,'Data Entry - SOF'!E52-O64)</f>
        <v>#DIV/0!</v>
      </c>
      <c r="P65" s="4232"/>
      <c r="Q65" s="4336" t="e">
        <f>IF('Data Entry - SOF'!E52-Q64&lt;0,0,'Data Entry - SOF'!E52-Q64)</f>
        <v>#DIV/0!</v>
      </c>
      <c r="S65" s="1960" t="e">
        <f>IF('Data Entry - SOF'!G52-S64&lt;0,0,'Data Entry - SOF'!G52-S64)</f>
        <v>#DIV/0!</v>
      </c>
      <c r="T65" s="1966"/>
      <c r="U65" s="1960" t="e">
        <f>IF('Data Entry - SOF'!G52-U64&lt;0,0,'Data Entry - SOF'!G52-U64)</f>
        <v>#DIV/0!</v>
      </c>
      <c r="V65" s="1966"/>
      <c r="W65" s="1960" t="e">
        <f>IF('Data Entry - SOF'!G52-W64&lt;0,0,'Data Entry - SOF'!G52-W64)</f>
        <v>#DIV/0!</v>
      </c>
      <c r="X65" s="1966"/>
      <c r="Y65" s="4351" t="e">
        <f>IF('Data Entry - SOF'!G52-Y64&lt;0,0,'Data Entry - SOF'!G52-Y64)</f>
        <v>#DIV/0!</v>
      </c>
      <c r="AA65" s="1975" t="e">
        <f>IF('Data Entry - SOF'!I52-AA64&lt;0,0,'Data Entry - SOF'!I52-AA64)</f>
        <v>#DIV/0!</v>
      </c>
      <c r="AB65" s="1981"/>
      <c r="AC65" s="1975" t="e">
        <f>IF('Data Entry - SOF'!I52-AC64&lt;0,0,'Data Entry - SOF'!I52-AC64)</f>
        <v>#DIV/0!</v>
      </c>
      <c r="AD65" s="1981"/>
      <c r="AE65" s="1975" t="e">
        <f>IF('Data Entry - SOF'!I52-AE64&lt;0,0,'Data Entry - SOF'!I52-AE64)</f>
        <v>#DIV/0!</v>
      </c>
      <c r="AF65" s="1981"/>
      <c r="AG65" s="4366" t="e">
        <f>IF('Data Entry - SOF'!I52-AG64&lt;0,0,'Data Entry - SOF'!I52-AG64)</f>
        <v>#DIV/0!</v>
      </c>
      <c r="AI65" s="2089" t="e">
        <f>IF('Data Entry - SOF'!K52-AI64&lt;0,0,'Data Entry - SOF'!K52-AI64)</f>
        <v>#DIV/0!</v>
      </c>
      <c r="AK65" s="2089" t="e">
        <f>IF('Data Entry - SOF'!K52-AK64&lt;0,0,'Data Entry - SOF'!K52-AK64)</f>
        <v>#DIV/0!</v>
      </c>
      <c r="AM65" s="2089" t="e">
        <f>IF('Data Entry - SOF'!K52-AM64&lt;0,0,'Data Entry - SOF'!K52-AM64)</f>
        <v>#DIV/0!</v>
      </c>
      <c r="AO65" s="4379" t="e">
        <f>IF('Data Entry - SOF'!K52-AO64&lt;0,0,'Data Entry - SOF'!K52-AO64)</f>
        <v>#DIV/0!</v>
      </c>
      <c r="AQ65" s="2635" t="e">
        <f>IF('Data Entry - SOF'!M52-AQ64&lt;0,0,'Data Entry - SOF'!M52-AQ64)</f>
        <v>#DIV/0!</v>
      </c>
      <c r="AS65" s="2635" t="e">
        <f>IF('Data Entry - SOF'!M52-AS64&lt;0,0,'Data Entry - SOF'!M52-AS64)</f>
        <v>#DIV/0!</v>
      </c>
      <c r="AU65" s="2635" t="e">
        <f>IF('Data Entry - SOF'!M52-AU64&lt;0,0,'Data Entry - SOF'!M52-AU64)</f>
        <v>#DIV/0!</v>
      </c>
      <c r="AW65" s="4390" t="e">
        <f>IF('Data Entry - SOF'!M52-AW64&lt;0,0,'Data Entry - SOF'!M52-AW64)</f>
        <v>#DIV/0!</v>
      </c>
      <c r="AY65" s="4196" t="e">
        <f>IF('Data Entry - SOF'!O52-AY64&lt;0,0,'Data Entry - SOF'!O52-AY64)</f>
        <v>#DIV/0!</v>
      </c>
      <c r="AZ65" s="4197"/>
      <c r="BA65" s="4196" t="e">
        <f>IF('Data Entry - SOF'!O52-BA64&lt;0,0,'Data Entry - SOF'!O52-BA64)</f>
        <v>#DIV/0!</v>
      </c>
      <c r="BB65" s="4197"/>
      <c r="BC65" s="4196" t="e">
        <f>IF('Data Entry - SOF'!O52-BC64&lt;0,0,'Data Entry - SOF'!O52-BC64)</f>
        <v>#DIV/0!</v>
      </c>
      <c r="BD65" s="4197"/>
      <c r="BE65" s="4397" t="e">
        <f>IF('Data Entry - SOF'!O52-BE64&lt;0,0,'Data Entry - SOF'!O52-BE64)</f>
        <v>#DIV/0!</v>
      </c>
      <c r="BH65" s="977" t="e">
        <f>IF('Data Entry - SOF'!E52-BH64&lt;0,0,'Data Entry - SOF'!E52-BH64)</f>
        <v>#DIV/0!</v>
      </c>
      <c r="BI65" s="977" t="e">
        <f>IF('Data Entry - SOF'!E52-BI64&lt;0,0,'Data Entry - SOF'!E52-BI64)</f>
        <v>#DIV/0!</v>
      </c>
      <c r="BJ65" s="977" t="e">
        <f>IF('Data Entry - SOF'!E52-BJ64&lt;0,0,'Data Entry - SOF'!E52-BJ64)</f>
        <v>#DIV/0!</v>
      </c>
      <c r="BK65" s="977" t="e">
        <f>IF('Data Entry - SOF'!E52-BK64&lt;0,0,'Data Entry - SOF'!E52-BK64)</f>
        <v>#DIV/0!</v>
      </c>
    </row>
    <row r="66" spans="1:136">
      <c r="A66" s="97"/>
      <c r="C66" s="1941" t="e">
        <f>C65/'Data Entry - SOF'!C52</f>
        <v>#DIV/0!</v>
      </c>
      <c r="D66" s="1939"/>
      <c r="E66" s="1941" t="e">
        <f>E65/'Data Entry - SOF'!C52</f>
        <v>#DIV/0!</v>
      </c>
      <c r="F66" s="1939"/>
      <c r="G66" s="1941" t="e">
        <f>G65/'Data Entry - SOF'!C52</f>
        <v>#DIV/0!</v>
      </c>
      <c r="H66" s="1939"/>
      <c r="I66" s="4329" t="e">
        <f>I65/'Data Entry - SOF'!C52</f>
        <v>#DIV/0!</v>
      </c>
      <c r="K66" s="4233" t="e">
        <f>K65/'Data Entry - SOF'!E52</f>
        <v>#DIV/0!</v>
      </c>
      <c r="L66" s="926"/>
      <c r="M66" s="4233" t="e">
        <f>M65/'Data Entry - SOF'!E52</f>
        <v>#DIV/0!</v>
      </c>
      <c r="N66" s="926"/>
      <c r="O66" s="4233" t="e">
        <f>O65/'Data Entry - SOF'!E52</f>
        <v>#DIV/0!</v>
      </c>
      <c r="P66" s="926"/>
      <c r="Q66" s="4337" t="e">
        <f>Q65/'Data Entry - SOF'!E52</f>
        <v>#DIV/0!</v>
      </c>
      <c r="S66" s="1970" t="e">
        <f>S65/'Data Entry - SOF'!G52</f>
        <v>#DIV/0!</v>
      </c>
      <c r="T66" s="1966"/>
      <c r="U66" s="1970" t="e">
        <f>U65/'Data Entry - SOF'!G52</f>
        <v>#DIV/0!</v>
      </c>
      <c r="V66" s="1966"/>
      <c r="W66" s="1970" t="e">
        <f>W65/'Data Entry - SOF'!G52</f>
        <v>#DIV/0!</v>
      </c>
      <c r="X66" s="1966"/>
      <c r="Y66" s="4352" t="e">
        <f>Y65/'Data Entry - SOF'!G52</f>
        <v>#DIV/0!</v>
      </c>
      <c r="AA66" s="2209" t="e">
        <f>AA65/'Data Entry - SOF'!I52</f>
        <v>#DIV/0!</v>
      </c>
      <c r="AB66" s="1981"/>
      <c r="AC66" s="2209" t="e">
        <f>AC65/'Data Entry - SOF'!I52</f>
        <v>#DIV/0!</v>
      </c>
      <c r="AD66" s="1981"/>
      <c r="AE66" s="2209" t="e">
        <f>AE65/'Data Entry - SOF'!I52</f>
        <v>#DIV/0!</v>
      </c>
      <c r="AF66" s="1981"/>
      <c r="AG66" s="4367" t="e">
        <f>AG65/'Data Entry - SOF'!I52</f>
        <v>#DIV/0!</v>
      </c>
      <c r="AI66" s="2095" t="e">
        <f>AI65/'Data Entry - SOF'!K52</f>
        <v>#DIV/0!</v>
      </c>
      <c r="AK66" s="2095" t="e">
        <f>AK65/'Data Entry - SOF'!K52</f>
        <v>#DIV/0!</v>
      </c>
      <c r="AM66" s="2095" t="e">
        <f>AM65/'Data Entry - SOF'!K52</f>
        <v>#DIV/0!</v>
      </c>
      <c r="AO66" s="4382" t="e">
        <f>AO65/'Data Entry - SOF'!K52</f>
        <v>#DIV/0!</v>
      </c>
      <c r="AQ66" s="2641" t="e">
        <f>AQ65/'Data Entry - SOF'!M52</f>
        <v>#DIV/0!</v>
      </c>
      <c r="AS66" s="2641" t="e">
        <f>AS65/'Data Entry - SOF'!M52</f>
        <v>#DIV/0!</v>
      </c>
      <c r="AU66" s="2641" t="e">
        <f>AU65/'Data Entry - SOF'!M52</f>
        <v>#DIV/0!</v>
      </c>
      <c r="AW66" s="4393" t="e">
        <f>AW65/'Data Entry - SOF'!M52</f>
        <v>#DIV/0!</v>
      </c>
      <c r="AY66" s="4208" t="e">
        <f>AY65/'Data Entry - SOF'!O52</f>
        <v>#DIV/0!</v>
      </c>
      <c r="AZ66" s="4209"/>
      <c r="BA66" s="4208" t="e">
        <f>BA65/'Data Entry - SOF'!O52</f>
        <v>#DIV/0!</v>
      </c>
      <c r="BB66" s="4209"/>
      <c r="BC66" s="4208" t="e">
        <f>BC65/'Data Entry - SOF'!O52</f>
        <v>#DIV/0!</v>
      </c>
      <c r="BD66" s="4209"/>
      <c r="BE66" s="4398" t="e">
        <f>BE65/'Data Entry - SOF'!O52</f>
        <v>#DIV/0!</v>
      </c>
      <c r="BH66" s="981" t="e">
        <f>BH65/'Data Entry - SOF'!E52</f>
        <v>#DIV/0!</v>
      </c>
      <c r="BI66" s="981" t="e">
        <f>BI65/'Data Entry - SOF'!E52</f>
        <v>#DIV/0!</v>
      </c>
      <c r="BJ66" s="981" t="e">
        <f>BJ65/'Data Entry - SOF'!E52</f>
        <v>#DIV/0!</v>
      </c>
      <c r="BK66" s="981" t="e">
        <f>BK65/'Data Entry - SOF'!E52</f>
        <v>#DIV/0!</v>
      </c>
    </row>
    <row r="67" spans="1:136">
      <c r="A67" s="97"/>
      <c r="C67" s="1842" t="e">
        <f>C64/'Ch41 Calc Data'!K17</f>
        <v>#DIV/0!</v>
      </c>
      <c r="D67" s="1939"/>
      <c r="E67" s="1842" t="e">
        <f>E64/'Ch41 Calc Data'!K17</f>
        <v>#DIV/0!</v>
      </c>
      <c r="F67" s="1939"/>
      <c r="G67" s="1842" t="e">
        <f>G64/'Ch41 Calc Data'!K17</f>
        <v>#DIV/0!</v>
      </c>
      <c r="H67" s="1939"/>
      <c r="I67" s="4330" t="e">
        <f>I64/'Ch41 Calc Data'!K17</f>
        <v>#DIV/0!</v>
      </c>
      <c r="K67" s="4234" t="e">
        <f>K64/'Ch41 Calc Data'!L17</f>
        <v>#DIV/0!</v>
      </c>
      <c r="L67" s="4235"/>
      <c r="M67" s="4234" t="e">
        <f>M64/'Ch41 Calc Data'!L17</f>
        <v>#DIV/0!</v>
      </c>
      <c r="N67" s="4235"/>
      <c r="O67" s="4234" t="e">
        <f>O64/'Ch41 Calc Data'!L17</f>
        <v>#DIV/0!</v>
      </c>
      <c r="P67" s="4235"/>
      <c r="Q67" s="4338" t="e">
        <f>Q64/'Ch41 Calc Data'!L17</f>
        <v>#DIV/0!</v>
      </c>
      <c r="S67" s="1959" t="e">
        <f>S64/'Ch41 Calc Data'!M17</f>
        <v>#DIV/0!</v>
      </c>
      <c r="T67" s="1966"/>
      <c r="U67" s="1959" t="e">
        <f>U64/'Ch41 Calc Data'!M17</f>
        <v>#DIV/0!</v>
      </c>
      <c r="V67" s="1966"/>
      <c r="W67" s="1959" t="e">
        <f>W64/'Ch41 Calc Data'!M17</f>
        <v>#DIV/0!</v>
      </c>
      <c r="X67" s="1966"/>
      <c r="Y67" s="4353" t="e">
        <f>Y64/'Ch41 Calc Data'!M17</f>
        <v>#DIV/0!</v>
      </c>
      <c r="AA67" s="1974" t="e">
        <f>AA64/'Ch41 Calc Data'!N17</f>
        <v>#DIV/0!</v>
      </c>
      <c r="AB67" s="1981"/>
      <c r="AC67" s="1974" t="e">
        <f>AC64/'Ch41 Calc Data'!N17</f>
        <v>#DIV/0!</v>
      </c>
      <c r="AD67" s="1981"/>
      <c r="AE67" s="1974" t="e">
        <f>AE64/'Ch41 Calc Data'!N17</f>
        <v>#DIV/0!</v>
      </c>
      <c r="AF67" s="1981"/>
      <c r="AG67" s="4368" t="e">
        <f>AG64/'Ch41 Calc Data'!N17</f>
        <v>#DIV/0!</v>
      </c>
      <c r="AI67" s="2097" t="e">
        <f>AI64/'Ch41 Calc Data'!O17</f>
        <v>#DIV/0!</v>
      </c>
      <c r="AK67" s="2097" t="e">
        <f>AK64/'Ch41 Calc Data'!O17</f>
        <v>#DIV/0!</v>
      </c>
      <c r="AM67" s="2097" t="e">
        <f>AM64/'Ch41 Calc Data'!O17</f>
        <v>#DIV/0!</v>
      </c>
      <c r="AO67" s="4383" t="e">
        <f>AO64/'Ch41 Calc Data'!O17</f>
        <v>#DIV/0!</v>
      </c>
      <c r="AQ67" s="2643" t="e">
        <f>AQ64/'Ch41 Calc Data'!P17</f>
        <v>#DIV/0!</v>
      </c>
      <c r="AS67" s="2643" t="e">
        <f>AS64/'Ch41 Calc Data'!P17</f>
        <v>#DIV/0!</v>
      </c>
      <c r="AU67" s="2643" t="e">
        <f>AU64/'Ch41 Calc Data'!P17</f>
        <v>#DIV/0!</v>
      </c>
      <c r="AW67" s="4394" t="e">
        <f>AW64/'Ch41 Calc Data'!P17</f>
        <v>#DIV/0!</v>
      </c>
      <c r="AY67" s="4196" t="e">
        <f>AY64/'Ch41 Calc Data'!Q17</f>
        <v>#DIV/0!</v>
      </c>
      <c r="AZ67" s="4197"/>
      <c r="BA67" s="4196" t="e">
        <f>BA64/'Ch41 Calc Data'!Q17</f>
        <v>#DIV/0!</v>
      </c>
      <c r="BB67" s="4197"/>
      <c r="BC67" s="4196" t="e">
        <f>BC64/'Ch41 Calc Data'!Q17</f>
        <v>#DIV/0!</v>
      </c>
      <c r="BD67" s="4197"/>
      <c r="BE67" s="4397" t="e">
        <f>BE64/'Ch41 Calc Data'!Q17</f>
        <v>#DIV/0!</v>
      </c>
      <c r="BH67" s="982" t="e">
        <f>BH64/'Ch41 Calc Data'!L20</f>
        <v>#DIV/0!</v>
      </c>
      <c r="BI67" s="982" t="e">
        <f>BI64/'Ch41 Calc Data'!L20</f>
        <v>#DIV/0!</v>
      </c>
      <c r="BJ67" s="982" t="e">
        <f>BJ64/'Ch41 Calc Data'!L20</f>
        <v>#DIV/0!</v>
      </c>
      <c r="BK67" s="982" t="e">
        <f>BK64/'Ch41 Calc Data'!L20</f>
        <v>#DIV/0!</v>
      </c>
    </row>
    <row r="68" spans="1:136">
      <c r="A68" s="97"/>
      <c r="C68" s="1939"/>
      <c r="D68" s="1942"/>
      <c r="E68" s="1939"/>
      <c r="F68" s="1942"/>
      <c r="G68" s="1939"/>
      <c r="H68" s="1942"/>
      <c r="I68" s="2761"/>
      <c r="K68" s="4235"/>
      <c r="L68" s="4235"/>
      <c r="M68" s="4235"/>
      <c r="N68" s="4235"/>
      <c r="O68" s="4235"/>
      <c r="P68" s="4235"/>
      <c r="Q68" s="4339"/>
      <c r="S68" s="1966"/>
      <c r="T68" s="1971"/>
      <c r="U68" s="1966"/>
      <c r="V68" s="1971"/>
      <c r="W68" s="1966"/>
      <c r="X68" s="1971"/>
      <c r="Y68" s="4350"/>
      <c r="AA68" s="1981"/>
      <c r="AB68" s="2210"/>
      <c r="AC68" s="1981"/>
      <c r="AD68" s="2210"/>
      <c r="AE68" s="1981"/>
      <c r="AF68" s="2210"/>
      <c r="AG68" s="4365"/>
      <c r="AJ68" s="2086"/>
      <c r="AL68" s="2086"/>
      <c r="AN68" s="2086"/>
      <c r="AO68" s="4375"/>
      <c r="AR68" s="2632"/>
      <c r="AT68" s="2632"/>
      <c r="AV68" s="2632"/>
      <c r="AW68" s="2820"/>
      <c r="AY68" s="4197"/>
      <c r="AZ68" s="4197"/>
      <c r="BA68" s="4197"/>
      <c r="BB68" s="4197"/>
      <c r="BC68" s="4197"/>
      <c r="BD68" s="4197"/>
      <c r="BE68" s="4400"/>
      <c r="BH68" s="978"/>
      <c r="BI68" s="978"/>
      <c r="BJ68" s="978"/>
      <c r="BK68" s="978"/>
      <c r="BV68" s="1009"/>
      <c r="BW68" s="1009"/>
      <c r="BX68" s="1009"/>
      <c r="BY68" s="1009"/>
      <c r="BZ68" s="1009"/>
      <c r="CA68" s="1009"/>
      <c r="CB68" s="1009"/>
      <c r="CD68" s="2184"/>
      <c r="CE68" s="2184"/>
      <c r="CF68" s="2184"/>
      <c r="CG68" s="2184"/>
      <c r="CH68" s="2184"/>
      <c r="CI68" s="2184"/>
      <c r="CJ68" s="2184"/>
      <c r="CL68" s="2158"/>
      <c r="CM68" s="2158"/>
      <c r="CN68" s="2158"/>
      <c r="CO68" s="2158"/>
      <c r="CP68" s="2158"/>
      <c r="CQ68" s="2158"/>
      <c r="CR68" s="2158"/>
      <c r="CT68" s="2135"/>
      <c r="CU68" s="2135"/>
      <c r="CV68" s="2135"/>
      <c r="CW68" s="2135"/>
      <c r="CX68" s="2135"/>
      <c r="CY68" s="2135"/>
      <c r="CZ68" s="2135"/>
      <c r="DB68" s="2158"/>
      <c r="DC68" s="2158"/>
      <c r="DD68" s="2158"/>
      <c r="DE68" s="2158"/>
      <c r="DF68" s="2158"/>
      <c r="DG68" s="2158"/>
      <c r="DH68" s="2158"/>
      <c r="DJ68" s="2135"/>
      <c r="DK68" s="2135"/>
      <c r="DL68" s="2135"/>
      <c r="DM68" s="2135"/>
      <c r="DN68" s="2135"/>
      <c r="DO68" s="2135"/>
      <c r="DP68" s="2135"/>
      <c r="DR68" s="2158"/>
      <c r="DS68" s="2158"/>
      <c r="DT68" s="2158"/>
      <c r="DU68" s="2158"/>
      <c r="DV68" s="2158"/>
      <c r="DW68" s="2158"/>
      <c r="DX68" s="2158"/>
      <c r="DZ68" s="2135"/>
      <c r="EA68" s="2135"/>
      <c r="EB68" s="2135"/>
      <c r="EC68" s="2135"/>
      <c r="ED68" s="2135"/>
      <c r="EE68" s="2135"/>
      <c r="EF68" s="2135"/>
    </row>
    <row r="69" spans="1:136">
      <c r="A69" s="97"/>
      <c r="C69" s="1939"/>
      <c r="D69" s="1874"/>
      <c r="E69" s="1939"/>
      <c r="F69" s="1874"/>
      <c r="G69" s="1939"/>
      <c r="H69" s="1874"/>
      <c r="I69" s="2761"/>
      <c r="K69" s="4235"/>
      <c r="L69" s="4235"/>
      <c r="M69" s="4235"/>
      <c r="N69" s="4235"/>
      <c r="O69" s="4235"/>
      <c r="P69" s="4235"/>
      <c r="Q69" s="4339"/>
      <c r="S69" s="1966"/>
      <c r="T69" s="1958"/>
      <c r="U69" s="1966"/>
      <c r="V69" s="1958"/>
      <c r="W69" s="1966"/>
      <c r="X69" s="1958"/>
      <c r="Y69" s="4350"/>
      <c r="AA69" s="1981"/>
      <c r="AB69" s="1973"/>
      <c r="AC69" s="1981"/>
      <c r="AD69" s="1973"/>
      <c r="AE69" s="1981"/>
      <c r="AF69" s="1973"/>
      <c r="AG69" s="4365"/>
      <c r="AJ69" s="2098"/>
      <c r="AL69" s="2098"/>
      <c r="AN69" s="2098"/>
      <c r="AO69" s="4375"/>
      <c r="AR69" s="2644"/>
      <c r="AT69" s="2644"/>
      <c r="AV69" s="2644"/>
      <c r="AW69" s="2820"/>
      <c r="AY69" s="4197"/>
      <c r="AZ69" s="4197"/>
      <c r="BA69" s="4197"/>
      <c r="BB69" s="4197"/>
      <c r="BC69" s="4197"/>
      <c r="BD69" s="4197"/>
      <c r="BE69" s="4400"/>
      <c r="BH69" s="978"/>
      <c r="BI69" s="978"/>
      <c r="BJ69" s="978"/>
      <c r="BK69" s="978"/>
      <c r="BV69" s="1021"/>
      <c r="BW69" s="1021"/>
      <c r="BX69" s="1021"/>
      <c r="BY69" s="1021"/>
      <c r="BZ69" s="1021"/>
      <c r="CA69" s="1021"/>
      <c r="CB69" s="1021"/>
      <c r="CD69" s="2197"/>
      <c r="CE69" s="2197"/>
      <c r="CF69" s="2197"/>
      <c r="CG69" s="2197"/>
      <c r="CH69" s="2197"/>
      <c r="CI69" s="2197"/>
      <c r="CJ69" s="2197"/>
      <c r="CL69" s="2171"/>
      <c r="CM69" s="2171"/>
      <c r="CN69" s="2171"/>
      <c r="CO69" s="2171"/>
      <c r="CP69" s="2171"/>
      <c r="CQ69" s="2171"/>
      <c r="CR69" s="2171"/>
      <c r="CT69" s="2146"/>
      <c r="CU69" s="2146"/>
      <c r="CV69" s="2146"/>
      <c r="CW69" s="2146"/>
      <c r="CX69" s="2146"/>
      <c r="CY69" s="2146"/>
      <c r="CZ69" s="2146"/>
      <c r="DB69" s="2171"/>
      <c r="DC69" s="2171"/>
      <c r="DD69" s="2171"/>
      <c r="DE69" s="2171"/>
      <c r="DF69" s="2171"/>
      <c r="DG69" s="2171"/>
      <c r="DH69" s="2171"/>
      <c r="DJ69" s="2146"/>
      <c r="DK69" s="2146"/>
      <c r="DL69" s="2146"/>
      <c r="DM69" s="2146"/>
      <c r="DN69" s="2146"/>
      <c r="DO69" s="2146"/>
      <c r="DP69" s="2146"/>
      <c r="DR69" s="2171"/>
      <c r="DS69" s="2171"/>
      <c r="DT69" s="2171"/>
      <c r="DU69" s="2171"/>
      <c r="DV69" s="2171"/>
      <c r="DW69" s="2171"/>
      <c r="DX69" s="2171"/>
      <c r="DZ69" s="2146"/>
      <c r="EA69" s="2146"/>
      <c r="EB69" s="2146"/>
      <c r="EC69" s="2146"/>
      <c r="ED69" s="2146"/>
      <c r="EE69" s="2146"/>
      <c r="EF69" s="2146"/>
    </row>
    <row r="70" spans="1:136">
      <c r="A70" s="97"/>
      <c r="C70" s="1842" t="e">
        <f>'Calc Data-SB1'!AB32</f>
        <v>#DIV/0!</v>
      </c>
      <c r="D70" s="1874"/>
      <c r="E70" s="1842" t="e">
        <f>C70</f>
        <v>#DIV/0!</v>
      </c>
      <c r="F70" s="1874"/>
      <c r="G70" s="1842"/>
      <c r="H70" s="1874"/>
      <c r="I70" s="4330"/>
      <c r="K70" s="4234" t="e">
        <f>'Calc Data-SB1'!AF32</f>
        <v>#DIV/0!</v>
      </c>
      <c r="L70" s="4235"/>
      <c r="M70" s="4234" t="e">
        <f>K70</f>
        <v>#DIV/0!</v>
      </c>
      <c r="N70" s="4235"/>
      <c r="O70" s="4234"/>
      <c r="P70" s="4235"/>
      <c r="Q70" s="4338"/>
      <c r="S70" s="1959" t="e">
        <f>'Calc Data-SB1'!AJ32</f>
        <v>#DIV/0!</v>
      </c>
      <c r="T70" s="1958"/>
      <c r="U70" s="1959" t="e">
        <f>S70</f>
        <v>#DIV/0!</v>
      </c>
      <c r="V70" s="1958"/>
      <c r="W70" s="1959"/>
      <c r="X70" s="1958"/>
      <c r="Y70" s="4353"/>
      <c r="AA70" s="1974" t="e">
        <f>'Calc Data-SB1'!AN32</f>
        <v>#DIV/0!</v>
      </c>
      <c r="AB70" s="1973"/>
      <c r="AC70" s="1974" t="e">
        <f>AA70</f>
        <v>#DIV/0!</v>
      </c>
      <c r="AD70" s="1973"/>
      <c r="AE70" s="1974"/>
      <c r="AF70" s="1973"/>
      <c r="AG70" s="4368"/>
      <c r="AI70" s="2097" t="e">
        <f>'Calc Data-SB1'!AR32</f>
        <v>#DIV/0!</v>
      </c>
      <c r="AJ70" s="2098"/>
      <c r="AK70" s="2097" t="e">
        <f>AI70</f>
        <v>#DIV/0!</v>
      </c>
      <c r="AL70" s="2098"/>
      <c r="AM70" s="2097"/>
      <c r="AN70" s="2098"/>
      <c r="AO70" s="4383"/>
      <c r="AQ70" s="2643" t="e">
        <f>'Calc Data-SB1'!AW32</f>
        <v>#DIV/0!</v>
      </c>
      <c r="AR70" s="2644"/>
      <c r="AS70" s="2643" t="e">
        <f>AQ70</f>
        <v>#DIV/0!</v>
      </c>
      <c r="AT70" s="2644"/>
      <c r="AU70" s="2643"/>
      <c r="AV70" s="2644"/>
      <c r="AW70" s="4394"/>
      <c r="AY70" s="4196" t="e">
        <f>'Calc Data-SB1'!BB32</f>
        <v>#DIV/0!</v>
      </c>
      <c r="AZ70" s="4197"/>
      <c r="BA70" s="4196" t="e">
        <f>AY70</f>
        <v>#DIV/0!</v>
      </c>
      <c r="BB70" s="4197"/>
      <c r="BC70" s="4196"/>
      <c r="BD70" s="4197"/>
      <c r="BE70" s="4397"/>
      <c r="BH70" s="982" t="e">
        <f>IF(FracFunding1718!E24&lt;=0,'Calc Data-SB1'!D30,'Calc Data-SB1'!Y50)</f>
        <v>#DIV/0!</v>
      </c>
      <c r="BI70" s="982" t="e">
        <f>BH70</f>
        <v>#DIV/0!</v>
      </c>
      <c r="BJ70" s="982"/>
      <c r="BK70" s="982"/>
      <c r="BV70" s="1021"/>
      <c r="BW70" s="1021"/>
      <c r="BX70" s="1021"/>
      <c r="BY70" s="1021"/>
      <c r="BZ70" s="1021"/>
      <c r="CA70" s="1021"/>
      <c r="CB70" s="1021"/>
      <c r="CD70" s="2197"/>
      <c r="CE70" s="2197"/>
      <c r="CF70" s="2197"/>
      <c r="CG70" s="2197"/>
      <c r="CH70" s="2197"/>
      <c r="CI70" s="2197"/>
      <c r="CJ70" s="2197"/>
      <c r="CL70" s="2171"/>
      <c r="CM70" s="2171"/>
      <c r="CN70" s="2171"/>
      <c r="CO70" s="2171"/>
      <c r="CP70" s="2171"/>
      <c r="CQ70" s="2171"/>
      <c r="CR70" s="2171"/>
      <c r="CT70" s="2146"/>
      <c r="CU70" s="2146"/>
      <c r="CV70" s="2146"/>
      <c r="CW70" s="2146"/>
      <c r="CX70" s="2146"/>
      <c r="CY70" s="2146"/>
      <c r="CZ70" s="2146"/>
      <c r="DB70" s="2171"/>
      <c r="DC70" s="2171"/>
      <c r="DD70" s="2171"/>
      <c r="DE70" s="2171"/>
      <c r="DF70" s="2171"/>
      <c r="DG70" s="2171"/>
      <c r="DH70" s="2171"/>
      <c r="DJ70" s="2146"/>
      <c r="DK70" s="2146"/>
      <c r="DL70" s="2146"/>
      <c r="DM70" s="2146"/>
      <c r="DN70" s="2146"/>
      <c r="DO70" s="2146"/>
      <c r="DP70" s="2146"/>
      <c r="DR70" s="2171"/>
      <c r="DS70" s="2171"/>
      <c r="DT70" s="2171"/>
      <c r="DU70" s="2171"/>
      <c r="DV70" s="2171"/>
      <c r="DW70" s="2171"/>
      <c r="DX70" s="2171"/>
      <c r="DZ70" s="2146"/>
      <c r="EA70" s="2146"/>
      <c r="EB70" s="2146"/>
      <c r="EC70" s="2146"/>
      <c r="ED70" s="2146"/>
      <c r="EE70" s="2146"/>
      <c r="EF70" s="2146"/>
    </row>
    <row r="71" spans="1:136">
      <c r="A71" s="97"/>
      <c r="C71" s="1842"/>
      <c r="D71" s="1874"/>
      <c r="E71" s="1842"/>
      <c r="F71" s="1874"/>
      <c r="G71" s="1842" t="e">
        <f>'Calc Data-SB1'!AB31</f>
        <v>#DIV/0!</v>
      </c>
      <c r="H71" s="1874"/>
      <c r="I71" s="4330" t="e">
        <f>G71</f>
        <v>#DIV/0!</v>
      </c>
      <c r="K71" s="4234"/>
      <c r="L71" s="4235"/>
      <c r="M71" s="4234"/>
      <c r="N71" s="4235"/>
      <c r="O71" s="4234" t="e">
        <f>'Calc Data-SB1'!AF31</f>
        <v>#DIV/0!</v>
      </c>
      <c r="P71" s="4235"/>
      <c r="Q71" s="4338" t="e">
        <f>O71</f>
        <v>#DIV/0!</v>
      </c>
      <c r="S71" s="1959"/>
      <c r="T71" s="1958"/>
      <c r="U71" s="1959"/>
      <c r="V71" s="1958"/>
      <c r="W71" s="1959" t="e">
        <f>'Calc Data-SB1'!AJ31</f>
        <v>#DIV/0!</v>
      </c>
      <c r="X71" s="1958"/>
      <c r="Y71" s="4353" t="e">
        <f>W71</f>
        <v>#DIV/0!</v>
      </c>
      <c r="AA71" s="1974"/>
      <c r="AB71" s="1973"/>
      <c r="AC71" s="1974"/>
      <c r="AD71" s="1973"/>
      <c r="AE71" s="1974" t="e">
        <f>'Calc Data-SB1'!AN31</f>
        <v>#DIV/0!</v>
      </c>
      <c r="AF71" s="1973"/>
      <c r="AG71" s="4368" t="e">
        <f>AE71</f>
        <v>#DIV/0!</v>
      </c>
      <c r="AI71" s="2097"/>
      <c r="AJ71" s="2098"/>
      <c r="AK71" s="2097"/>
      <c r="AL71" s="2098"/>
      <c r="AM71" s="2097" t="e">
        <f>'Calc Data-SB1'!AR31</f>
        <v>#DIV/0!</v>
      </c>
      <c r="AN71" s="2098"/>
      <c r="AO71" s="4383" t="e">
        <f>AM71</f>
        <v>#DIV/0!</v>
      </c>
      <c r="AQ71" s="2643"/>
      <c r="AR71" s="2644"/>
      <c r="AS71" s="2643"/>
      <c r="AT71" s="2644"/>
      <c r="AU71" s="2643" t="e">
        <f>'Calc Data-SB1'!AW31</f>
        <v>#DIV/0!</v>
      </c>
      <c r="AV71" s="2644"/>
      <c r="AW71" s="4394" t="e">
        <f>AU71</f>
        <v>#DIV/0!</v>
      </c>
      <c r="AY71" s="4196"/>
      <c r="AZ71" s="4197"/>
      <c r="BA71" s="4196"/>
      <c r="BB71" s="4197"/>
      <c r="BC71" s="4196" t="e">
        <f>'Calc Data-SB1'!BB31</f>
        <v>#DIV/0!</v>
      </c>
      <c r="BD71" s="4197"/>
      <c r="BE71" s="4397" t="e">
        <f>BC71</f>
        <v>#DIV/0!</v>
      </c>
      <c r="BH71" s="982"/>
      <c r="BI71" s="982"/>
      <c r="BJ71" t="e">
        <f>'Calc Data-SB1'!Y49</f>
        <v>#DIV/0!</v>
      </c>
      <c r="BK71" s="982" t="e">
        <f>BJ71</f>
        <v>#DIV/0!</v>
      </c>
      <c r="BV71" s="1021"/>
      <c r="BW71" s="1021"/>
      <c r="BX71" s="1021"/>
      <c r="BY71" s="1021"/>
      <c r="BZ71" s="1021"/>
      <c r="CA71" s="1021"/>
      <c r="CB71" s="1021"/>
      <c r="CD71" s="2197"/>
      <c r="CE71" s="2197"/>
      <c r="CF71" s="2197"/>
      <c r="CG71" s="2197"/>
      <c r="CH71" s="2197"/>
      <c r="CI71" s="2197"/>
      <c r="CJ71" s="2197"/>
      <c r="CL71" s="2171"/>
      <c r="CM71" s="2171"/>
      <c r="CN71" s="2171"/>
      <c r="CO71" s="2171"/>
      <c r="CP71" s="2171"/>
      <c r="CQ71" s="2171"/>
      <c r="CR71" s="2171"/>
      <c r="CT71" s="2146"/>
      <c r="CU71" s="2146"/>
      <c r="CV71" s="2146"/>
      <c r="CW71" s="2146"/>
      <c r="CX71" s="2146"/>
      <c r="CY71" s="2146"/>
      <c r="CZ71" s="2146"/>
      <c r="DB71" s="2171"/>
      <c r="DC71" s="2171"/>
      <c r="DD71" s="2171"/>
      <c r="DE71" s="2171"/>
      <c r="DF71" s="2171"/>
      <c r="DG71" s="2171"/>
      <c r="DH71" s="2171"/>
      <c r="DJ71" s="2146"/>
      <c r="DK71" s="2146"/>
      <c r="DL71" s="2146"/>
      <c r="DM71" s="2146"/>
      <c r="DN71" s="2146"/>
      <c r="DO71" s="2146"/>
      <c r="DP71" s="2146"/>
      <c r="DR71" s="2171"/>
      <c r="DS71" s="2171"/>
      <c r="DT71" s="2171"/>
      <c r="DU71" s="2171"/>
      <c r="DV71" s="2171"/>
      <c r="DW71" s="2171"/>
      <c r="DX71" s="2171"/>
      <c r="DZ71" s="2146"/>
      <c r="EA71" s="2146"/>
      <c r="EB71" s="2146"/>
      <c r="EC71" s="2146"/>
      <c r="ED71" s="2146"/>
      <c r="EE71" s="2146"/>
      <c r="EF71" s="2146"/>
    </row>
    <row r="72" spans="1:136">
      <c r="A72" s="97"/>
      <c r="C72" s="1842" t="e">
        <f>C70</f>
        <v>#DIV/0!</v>
      </c>
      <c r="D72" s="1874"/>
      <c r="E72" s="1842" t="e">
        <f>E70</f>
        <v>#DIV/0!</v>
      </c>
      <c r="F72" s="1874"/>
      <c r="G72" s="1842" t="e">
        <f>G71</f>
        <v>#DIV/0!</v>
      </c>
      <c r="H72" s="1874"/>
      <c r="I72" s="4330" t="e">
        <f>I71</f>
        <v>#DIV/0!</v>
      </c>
      <c r="K72" s="4234" t="e">
        <f>K70</f>
        <v>#DIV/0!</v>
      </c>
      <c r="L72" s="4235"/>
      <c r="M72" s="4234" t="e">
        <f>M70</f>
        <v>#DIV/0!</v>
      </c>
      <c r="N72" s="4235"/>
      <c r="O72" s="4234" t="e">
        <f>O71</f>
        <v>#DIV/0!</v>
      </c>
      <c r="P72" s="4235"/>
      <c r="Q72" s="4338" t="e">
        <f>Q71</f>
        <v>#DIV/0!</v>
      </c>
      <c r="S72" s="1959" t="e">
        <f>S70</f>
        <v>#DIV/0!</v>
      </c>
      <c r="T72" s="1958"/>
      <c r="U72" s="1959" t="e">
        <f>U70</f>
        <v>#DIV/0!</v>
      </c>
      <c r="V72" s="1958"/>
      <c r="W72" s="1959" t="e">
        <f>W71</f>
        <v>#DIV/0!</v>
      </c>
      <c r="X72" s="1958"/>
      <c r="Y72" s="4353" t="e">
        <f>Y71</f>
        <v>#DIV/0!</v>
      </c>
      <c r="AA72" s="1974" t="e">
        <f>AA70</f>
        <v>#DIV/0!</v>
      </c>
      <c r="AB72" s="1973"/>
      <c r="AC72" s="1974" t="e">
        <f>AC70</f>
        <v>#DIV/0!</v>
      </c>
      <c r="AD72" s="1973"/>
      <c r="AE72" s="1974" t="e">
        <f>AE71</f>
        <v>#DIV/0!</v>
      </c>
      <c r="AF72" s="1973"/>
      <c r="AG72" s="4368" t="e">
        <f>AG71</f>
        <v>#DIV/0!</v>
      </c>
      <c r="AI72" s="2097" t="e">
        <f>AI70</f>
        <v>#DIV/0!</v>
      </c>
      <c r="AJ72" s="2098"/>
      <c r="AK72" s="2097" t="e">
        <f>AK70</f>
        <v>#DIV/0!</v>
      </c>
      <c r="AL72" s="2098"/>
      <c r="AM72" s="2097" t="e">
        <f>AM71</f>
        <v>#DIV/0!</v>
      </c>
      <c r="AN72" s="2098"/>
      <c r="AO72" s="4383" t="e">
        <f>AO71</f>
        <v>#DIV/0!</v>
      </c>
      <c r="AQ72" s="2643" t="e">
        <f>AQ70</f>
        <v>#DIV/0!</v>
      </c>
      <c r="AR72" s="2644"/>
      <c r="AS72" s="2643" t="e">
        <f>AS70</f>
        <v>#DIV/0!</v>
      </c>
      <c r="AT72" s="2644"/>
      <c r="AU72" s="2643" t="e">
        <f>AU71</f>
        <v>#DIV/0!</v>
      </c>
      <c r="AV72" s="2644"/>
      <c r="AW72" s="4394" t="e">
        <f>AW71</f>
        <v>#DIV/0!</v>
      </c>
      <c r="AY72" s="4196" t="e">
        <f>AY70</f>
        <v>#DIV/0!</v>
      </c>
      <c r="AZ72" s="4197"/>
      <c r="BA72" s="4196" t="e">
        <f>BA70</f>
        <v>#DIV/0!</v>
      </c>
      <c r="BB72" s="4197"/>
      <c r="BC72" s="4196" t="e">
        <f>BC71</f>
        <v>#DIV/0!</v>
      </c>
      <c r="BD72" s="4197"/>
      <c r="BE72" s="4397" t="e">
        <f>BE71</f>
        <v>#DIV/0!</v>
      </c>
      <c r="BH72" s="982" t="e">
        <f>BH70</f>
        <v>#DIV/0!</v>
      </c>
      <c r="BI72" s="982" t="e">
        <f>BI70</f>
        <v>#DIV/0!</v>
      </c>
      <c r="BJ72" s="982" t="e">
        <f>BJ71</f>
        <v>#DIV/0!</v>
      </c>
      <c r="BK72" s="982" t="e">
        <f>BK71</f>
        <v>#DIV/0!</v>
      </c>
      <c r="BV72" s="1021"/>
      <c r="BW72" s="1021"/>
      <c r="BX72" s="1021"/>
      <c r="BY72" s="1021"/>
      <c r="BZ72" s="1021"/>
      <c r="CA72" s="1021"/>
      <c r="CB72" s="1021"/>
      <c r="CD72" s="2197"/>
      <c r="CE72" s="2197"/>
      <c r="CF72" s="2197"/>
      <c r="CG72" s="2197"/>
      <c r="CH72" s="2197"/>
      <c r="CI72" s="2197"/>
      <c r="CJ72" s="2197"/>
      <c r="CL72" s="2171"/>
      <c r="CM72" s="2171"/>
      <c r="CN72" s="2171"/>
      <c r="CO72" s="2171"/>
      <c r="CP72" s="2171"/>
      <c r="CQ72" s="2171"/>
      <c r="CR72" s="2171"/>
      <c r="CT72" s="2146"/>
      <c r="CU72" s="2146"/>
      <c r="CV72" s="2146"/>
      <c r="CW72" s="2146"/>
      <c r="CX72" s="2146"/>
      <c r="CY72" s="2146"/>
      <c r="CZ72" s="2146"/>
      <c r="DB72" s="2171"/>
      <c r="DC72" s="2171"/>
      <c r="DD72" s="2171"/>
      <c r="DE72" s="2171"/>
      <c r="DF72" s="2171"/>
      <c r="DG72" s="2171"/>
      <c r="DH72" s="2171"/>
      <c r="DJ72" s="2146"/>
      <c r="DK72" s="2146"/>
      <c r="DL72" s="2146"/>
      <c r="DM72" s="2146"/>
      <c r="DN72" s="2146"/>
      <c r="DO72" s="2146"/>
      <c r="DP72" s="2146"/>
      <c r="DR72" s="2171"/>
      <c r="DS72" s="2171"/>
      <c r="DT72" s="2171"/>
      <c r="DU72" s="2171"/>
      <c r="DV72" s="2171"/>
      <c r="DW72" s="2171"/>
      <c r="DX72" s="2171"/>
      <c r="DZ72" s="2146"/>
      <c r="EA72" s="2146"/>
      <c r="EB72" s="2146"/>
      <c r="EC72" s="2146"/>
      <c r="ED72" s="2146"/>
      <c r="EE72" s="2146"/>
      <c r="EF72" s="2146"/>
    </row>
    <row r="73" spans="1:136">
      <c r="A73" s="97"/>
      <c r="C73" s="1940" t="e">
        <f>C66*C72</f>
        <v>#DIV/0!</v>
      </c>
      <c r="D73" s="1874"/>
      <c r="E73" s="1940" t="e">
        <f>E66*E72</f>
        <v>#DIV/0!</v>
      </c>
      <c r="F73" s="1874"/>
      <c r="G73" s="1940" t="e">
        <f>IF(G71&lt;1,0,G66*G72)</f>
        <v>#DIV/0!</v>
      </c>
      <c r="H73" s="1874"/>
      <c r="I73" s="4328" t="e">
        <f>IF(I71&lt;1,0,I66*I72)</f>
        <v>#DIV/0!</v>
      </c>
      <c r="K73" s="4234" t="e">
        <f>K66*K72</f>
        <v>#DIV/0!</v>
      </c>
      <c r="L73" s="4235"/>
      <c r="M73" s="4234" t="e">
        <f>M66*M72</f>
        <v>#DIV/0!</v>
      </c>
      <c r="N73" s="4235"/>
      <c r="O73" s="4234" t="e">
        <f>IF(O71&lt;1,0,O66*O72)</f>
        <v>#DIV/0!</v>
      </c>
      <c r="P73" s="4235"/>
      <c r="Q73" s="4338" t="e">
        <f>IF(Q71&lt;1,0,Q66*Q72)</f>
        <v>#DIV/0!</v>
      </c>
      <c r="S73" s="1960" t="e">
        <f>S66*S72</f>
        <v>#DIV/0!</v>
      </c>
      <c r="T73" s="1958"/>
      <c r="U73" s="1960" t="e">
        <f>U66*U72</f>
        <v>#DIV/0!</v>
      </c>
      <c r="V73" s="1958"/>
      <c r="W73" s="1960" t="e">
        <f>IF(W71&lt;1,0,W66*W72)</f>
        <v>#DIV/0!</v>
      </c>
      <c r="X73" s="1958"/>
      <c r="Y73" s="4351" t="e">
        <f>IF(Y71&lt;1,0,Y66*Y72)</f>
        <v>#DIV/0!</v>
      </c>
      <c r="AA73" s="1975" t="e">
        <f>AA66*AA72</f>
        <v>#DIV/0!</v>
      </c>
      <c r="AB73" s="1973"/>
      <c r="AC73" s="1975" t="e">
        <f>AC66*AC72</f>
        <v>#DIV/0!</v>
      </c>
      <c r="AD73" s="1973"/>
      <c r="AE73" s="1975" t="e">
        <f>IF(AE71&lt;1,0,AE66*AE72)</f>
        <v>#DIV/0!</v>
      </c>
      <c r="AF73" s="1973"/>
      <c r="AG73" s="4366" t="e">
        <f>IF(AG71&lt;1,0,AG66*AG72)</f>
        <v>#DIV/0!</v>
      </c>
      <c r="AI73" s="2089" t="e">
        <f>AI66*AI72</f>
        <v>#DIV/0!</v>
      </c>
      <c r="AJ73" s="2098"/>
      <c r="AK73" s="2089" t="e">
        <f>AK66*AK72</f>
        <v>#DIV/0!</v>
      </c>
      <c r="AL73" s="2098"/>
      <c r="AM73" s="2089" t="e">
        <f>IF(AM71&lt;1,0,AM66*AM72)</f>
        <v>#DIV/0!</v>
      </c>
      <c r="AN73" s="2098"/>
      <c r="AO73" s="4379" t="e">
        <f>IF(AO71&lt;1,0,AO66*AO72)</f>
        <v>#DIV/0!</v>
      </c>
      <c r="AQ73" s="2635" t="e">
        <f>AQ66*AQ72</f>
        <v>#DIV/0!</v>
      </c>
      <c r="AR73" s="2644"/>
      <c r="AS73" s="2635" t="e">
        <f>AS66*AS72</f>
        <v>#DIV/0!</v>
      </c>
      <c r="AT73" s="2644"/>
      <c r="AU73" s="2635" t="e">
        <f>IF(AU71&lt;1,0,AU66*AU72)</f>
        <v>#DIV/0!</v>
      </c>
      <c r="AV73" s="2644"/>
      <c r="AW73" s="4390" t="e">
        <f>IF(AW71&lt;1,0,AW66*AW72)</f>
        <v>#DIV/0!</v>
      </c>
      <c r="AY73" s="4196" t="e">
        <f>AY66*AY72</f>
        <v>#DIV/0!</v>
      </c>
      <c r="AZ73" s="4197"/>
      <c r="BA73" s="4196" t="e">
        <f>BA66*BA72</f>
        <v>#DIV/0!</v>
      </c>
      <c r="BB73" s="4197"/>
      <c r="BC73" s="4196" t="e">
        <f>IF(BC71&lt;1,0,BC66*BC72)</f>
        <v>#DIV/0!</v>
      </c>
      <c r="BD73" s="4197"/>
      <c r="BE73" s="4397" t="e">
        <f>IF(BE71&lt;1,0,BE66*BE72)</f>
        <v>#DIV/0!</v>
      </c>
      <c r="BH73" s="977" t="e">
        <f>BH66*BH72</f>
        <v>#DIV/0!</v>
      </c>
      <c r="BI73" s="977" t="e">
        <f>BI66*BI72</f>
        <v>#DIV/0!</v>
      </c>
      <c r="BJ73" s="977" t="e">
        <f>IF(BJ71&lt;1,0,BJ66*BJ72)</f>
        <v>#DIV/0!</v>
      </c>
      <c r="BK73" s="977" t="e">
        <f>IF(BK71&lt;1,0,BK66*BK72)</f>
        <v>#DIV/0!</v>
      </c>
      <c r="BV73" s="1021"/>
      <c r="BW73" s="1021"/>
      <c r="BX73" s="1021"/>
      <c r="BY73" s="1021"/>
      <c r="BZ73" s="1021"/>
      <c r="CA73" s="1021"/>
      <c r="CB73" s="1021"/>
      <c r="CD73" s="2197"/>
      <c r="CE73" s="2197"/>
      <c r="CF73" s="2197"/>
      <c r="CG73" s="2197"/>
      <c r="CH73" s="2197"/>
      <c r="CI73" s="2197"/>
      <c r="CJ73" s="2197"/>
      <c r="CL73" s="2171"/>
      <c r="CM73" s="2171"/>
      <c r="CN73" s="2171"/>
      <c r="CO73" s="2171"/>
      <c r="CP73" s="2171"/>
      <c r="CQ73" s="2171"/>
      <c r="CR73" s="2171"/>
      <c r="CT73" s="2146"/>
      <c r="CU73" s="2146"/>
      <c r="CV73" s="2146"/>
      <c r="CW73" s="2146"/>
      <c r="CX73" s="2146"/>
      <c r="CY73" s="2146"/>
      <c r="CZ73" s="2146"/>
      <c r="DB73" s="2171"/>
      <c r="DC73" s="2171"/>
      <c r="DD73" s="2171"/>
      <c r="DE73" s="2171"/>
      <c r="DF73" s="2171"/>
      <c r="DG73" s="2171"/>
      <c r="DH73" s="2171"/>
      <c r="DJ73" s="2146"/>
      <c r="DK73" s="2146"/>
      <c r="DL73" s="2146"/>
      <c r="DM73" s="2146"/>
      <c r="DN73" s="2146"/>
      <c r="DO73" s="2146"/>
      <c r="DP73" s="2146"/>
      <c r="DR73" s="2171"/>
      <c r="DS73" s="2171"/>
      <c r="DT73" s="2171"/>
      <c r="DU73" s="2171"/>
      <c r="DV73" s="2171"/>
      <c r="DW73" s="2171"/>
      <c r="DX73" s="2171"/>
      <c r="DZ73" s="2146"/>
      <c r="EA73" s="2146"/>
      <c r="EB73" s="2146"/>
      <c r="EC73" s="2146"/>
      <c r="ED73" s="2146"/>
      <c r="EE73" s="2146"/>
      <c r="EF73" s="2146"/>
    </row>
    <row r="74" spans="1:136">
      <c r="A74" s="97"/>
      <c r="C74" s="1841" t="e">
        <f>C65/IF(C67&lt;Assumptions!G92,Assumptions!G92,C67)</f>
        <v>#DIV/0!</v>
      </c>
      <c r="D74" s="1874"/>
      <c r="E74" s="1841" t="e">
        <f>E65/E67</f>
        <v>#DIV/0!</v>
      </c>
      <c r="F74" s="1874"/>
      <c r="G74" s="1841" t="e">
        <f>IF(G73=0,0,G65/G67)</f>
        <v>#DIV/0!</v>
      </c>
      <c r="H74" s="1874"/>
      <c r="I74" s="4331" t="e">
        <f>IF(I73=0,0,I65/I67)</f>
        <v>#DIV/0!</v>
      </c>
      <c r="K74" s="4233" t="e">
        <f>K65/IF(K67&lt;Assumptions!G103,Assumptions!G103,K67)</f>
        <v>#DIV/0!</v>
      </c>
      <c r="L74" s="926"/>
      <c r="M74" s="4233" t="e">
        <f>M65/M67</f>
        <v>#DIV/0!</v>
      </c>
      <c r="N74" s="926"/>
      <c r="O74" s="4233" t="e">
        <f>IF(O73=0,0,O65/O67)</f>
        <v>#DIV/0!</v>
      </c>
      <c r="P74" s="926"/>
      <c r="Q74" s="4337" t="e">
        <f>IF(Q73=0,0,Q65/Q67)</f>
        <v>#DIV/0!</v>
      </c>
      <c r="S74" s="1962" t="e">
        <f>S65/IF(S67&lt;Assumptions!G112,Assumptions!G112,S67)</f>
        <v>#DIV/0!</v>
      </c>
      <c r="T74" s="1958"/>
      <c r="U74" s="1962" t="e">
        <f>U65/U67</f>
        <v>#DIV/0!</v>
      </c>
      <c r="V74" s="1958"/>
      <c r="W74" s="1962" t="e">
        <f>IF(W73=0,0,W65/W67)</f>
        <v>#DIV/0!</v>
      </c>
      <c r="X74" s="1958"/>
      <c r="Y74" s="4354" t="e">
        <f>IF(Y73=0,0,Y65/Y67)</f>
        <v>#DIV/0!</v>
      </c>
      <c r="AA74" s="1977" t="e">
        <f>AA65/IF(AA67&lt;Assumptions!G121,Assumptions!G121,AA67)</f>
        <v>#DIV/0!</v>
      </c>
      <c r="AB74" s="1973"/>
      <c r="AC74" s="1977" t="e">
        <f>AC65/AC67</f>
        <v>#DIV/0!</v>
      </c>
      <c r="AD74" s="1973"/>
      <c r="AE74" s="1977" t="e">
        <f>IF(AE73=0,0,AE65/AE67)</f>
        <v>#DIV/0!</v>
      </c>
      <c r="AF74" s="1973"/>
      <c r="AG74" s="4369" t="e">
        <f>IF(AG73=0,0,AG65/AG67)</f>
        <v>#DIV/0!</v>
      </c>
      <c r="AI74" s="2091" t="e">
        <f>AI65/IF(AI67&lt;Assumptions!G130,Assumptions!G130,AI67)</f>
        <v>#DIV/0!</v>
      </c>
      <c r="AJ74" s="2098"/>
      <c r="AK74" s="2091" t="e">
        <f>AK65/AK67</f>
        <v>#DIV/0!</v>
      </c>
      <c r="AL74" s="2098"/>
      <c r="AM74" s="2091" t="e">
        <f>IF(AM73=0,0,AM65/AM67)</f>
        <v>#DIV/0!</v>
      </c>
      <c r="AN74" s="2098"/>
      <c r="AO74" s="4380" t="e">
        <f>IF(AO73=0,0,AO65/AO67)</f>
        <v>#DIV/0!</v>
      </c>
      <c r="AQ74" s="2637" t="e">
        <f>AQ65/IF(AQ67&lt;Assumptions!G139,Assumptions!G139,AQ67)</f>
        <v>#DIV/0!</v>
      </c>
      <c r="AR74" s="2644"/>
      <c r="AS74" s="2637" t="e">
        <f>AS65/AS67</f>
        <v>#DIV/0!</v>
      </c>
      <c r="AT74" s="2644"/>
      <c r="AU74" s="2637" t="e">
        <f>IF(AU73=0,0,AU65/AU67)</f>
        <v>#DIV/0!</v>
      </c>
      <c r="AV74" s="2644"/>
      <c r="AW74" s="4391" t="e">
        <f>IF(AW73=0,0,AW65/AW67)</f>
        <v>#DIV/0!</v>
      </c>
      <c r="AY74" s="4188" t="e">
        <f>AY65/IF(AY67&lt;Assumptions!G148,Assumptions!G148,AY67)</f>
        <v>#DIV/0!</v>
      </c>
      <c r="AZ74" s="4189"/>
      <c r="BA74" s="4188" t="e">
        <f>BA65/BA67</f>
        <v>#DIV/0!</v>
      </c>
      <c r="BB74" s="4189"/>
      <c r="BC74" s="4188" t="e">
        <f>IF(BC73=0,0,BC65/BC67)</f>
        <v>#DIV/0!</v>
      </c>
      <c r="BD74" s="4189"/>
      <c r="BE74" s="4402" t="e">
        <f>IF(BE73=0,0,BE65/BE67)</f>
        <v>#DIV/0!</v>
      </c>
      <c r="BH74" s="984" t="e">
        <f>BH65/IF(BH36&lt;Assumptions!G112,Assumptions!G112,BH67)</f>
        <v>#DIV/0!</v>
      </c>
      <c r="BI74" s="984" t="e">
        <f>BI65/BI67</f>
        <v>#DIV/0!</v>
      </c>
      <c r="BJ74" s="984" t="e">
        <f>IF(BJ73=0,0,BJ65/BJ67)</f>
        <v>#DIV/0!</v>
      </c>
      <c r="BK74" s="984" t="e">
        <f>IF(BK73=0,0,BK65/BK67)</f>
        <v>#DIV/0!</v>
      </c>
      <c r="BV74" s="1021"/>
      <c r="BW74" s="1021"/>
      <c r="BX74" s="1021"/>
      <c r="BY74" s="1021"/>
      <c r="BZ74" s="1021"/>
      <c r="CA74" s="1021"/>
      <c r="CB74" s="1021"/>
      <c r="CD74" s="2197"/>
      <c r="CE74" s="2197"/>
      <c r="CF74" s="2197"/>
      <c r="CG74" s="2197"/>
      <c r="CH74" s="2197"/>
      <c r="CI74" s="2197"/>
      <c r="CJ74" s="2197"/>
      <c r="CL74" s="2171"/>
      <c r="CM74" s="2171"/>
      <c r="CN74" s="2171"/>
      <c r="CO74" s="2171"/>
      <c r="CP74" s="2171"/>
      <c r="CQ74" s="2171"/>
      <c r="CR74" s="2171"/>
      <c r="CT74" s="2146"/>
      <c r="CU74" s="2146"/>
      <c r="CV74" s="2146"/>
      <c r="CW74" s="2146"/>
      <c r="CX74" s="2146"/>
      <c r="CY74" s="2146"/>
      <c r="CZ74" s="2146"/>
      <c r="DB74" s="2171"/>
      <c r="DC74" s="2171"/>
      <c r="DD74" s="2171"/>
      <c r="DE74" s="2171"/>
      <c r="DF74" s="2171"/>
      <c r="DG74" s="2171"/>
      <c r="DH74" s="2171"/>
      <c r="DJ74" s="2146"/>
      <c r="DK74" s="2146"/>
      <c r="DL74" s="2146"/>
      <c r="DM74" s="2146"/>
      <c r="DN74" s="2146"/>
      <c r="DO74" s="2146"/>
      <c r="DP74" s="2146"/>
      <c r="DR74" s="2171"/>
      <c r="DS74" s="2171"/>
      <c r="DT74" s="2171"/>
      <c r="DU74" s="2171"/>
      <c r="DV74" s="2171"/>
      <c r="DW74" s="2171"/>
      <c r="DX74" s="2171"/>
      <c r="DZ74" s="2146"/>
      <c r="EA74" s="2146"/>
      <c r="EB74" s="2146"/>
      <c r="EC74" s="2146"/>
      <c r="ED74" s="2146"/>
      <c r="EE74" s="2146"/>
      <c r="EF74" s="2146"/>
    </row>
    <row r="75" spans="1:136">
      <c r="A75" s="97"/>
      <c r="C75" s="1943" t="e">
        <f>IF(C74=0,0,IF(C73/C74&lt;3147,3147,C73/C74))</f>
        <v>#DIV/0!</v>
      </c>
      <c r="D75" s="1874"/>
      <c r="E75" s="1943" t="e">
        <f>IF(E74=0,0,IF(E73/E74&lt;3147,3147,E73/E74))</f>
        <v>#DIV/0!</v>
      </c>
      <c r="F75" s="1874"/>
      <c r="G75" s="1943" t="e">
        <f>IF(G74=0,0,IF(G73/G74&lt;71.62,71.62,G73/G74))</f>
        <v>#DIV/0!</v>
      </c>
      <c r="H75" s="1874"/>
      <c r="I75" s="4332" t="e">
        <f>IF(I74=0,0,IF(I73/I74&lt;71.62,71.62,I73/I74))</f>
        <v>#DIV/0!</v>
      </c>
      <c r="K75" s="4233" t="e">
        <f>IF(K74=0,0,IF(K73/K74&lt;3392,3392,K73/K74))</f>
        <v>#DIV/0!</v>
      </c>
      <c r="L75" s="926"/>
      <c r="M75" s="4233" t="e">
        <f>IF(M74=0,0,IF(M73/M74&lt;3392,3392,M73/M74))</f>
        <v>#DIV/0!</v>
      </c>
      <c r="N75" s="926"/>
      <c r="O75" s="4233" t="e">
        <f>IF(O74=0,0,IF(O73/O74&lt;84.777,84.777,O73/O74))</f>
        <v>#DIV/0!</v>
      </c>
      <c r="P75" s="926"/>
      <c r="Q75" s="4337" t="e">
        <f>IF(Q74=0,0,IF(Q73/Q74&lt;84.777,84.777,Q73/Q74))</f>
        <v>#DIV/0!</v>
      </c>
      <c r="S75" s="1964" t="e">
        <f>IF(S74=0,0,IF(S73/S74&lt;3392,3392,S73/S74))</f>
        <v>#DIV/0!</v>
      </c>
      <c r="T75" s="1958"/>
      <c r="U75" s="1964" t="e">
        <f>IF(U74=0,0,IF(U73/U74&lt;3392,3392,U73/U74))</f>
        <v>#DIV/0!</v>
      </c>
      <c r="V75" s="1958"/>
      <c r="W75" s="1964" t="e">
        <f>IF(W74=0,0,IF(W73/W74&lt;84.777,84.777,W73/W74))</f>
        <v>#DIV/0!</v>
      </c>
      <c r="X75" s="1958"/>
      <c r="Y75" s="4355" t="e">
        <f>IF(Y74=0,0,IF(Y73/Y74&lt;84.777,84.777,Y73/Y74))</f>
        <v>#DIV/0!</v>
      </c>
      <c r="AA75" s="1979" t="e">
        <f>IF(AA74=0,0,IF(AA73/AA74&lt;3392,3392,AA73/AA74))</f>
        <v>#DIV/0!</v>
      </c>
      <c r="AB75" s="1973"/>
      <c r="AC75" s="1979" t="e">
        <f>IF(AC74=0,0,IF(AC73/AC74&lt;3392,3392,AC73/AC74))</f>
        <v>#DIV/0!</v>
      </c>
      <c r="AD75" s="1973"/>
      <c r="AE75" s="1979" t="e">
        <f>IF(AE74=0,0,IF(AE73/AE74&lt;84.777,84.777,AE73/AE74))</f>
        <v>#DIV/0!</v>
      </c>
      <c r="AF75" s="1973"/>
      <c r="AG75" s="4370" t="e">
        <f>IF(AG74=0,0,IF(AG73/AG74&lt;84.777,84.777,AG73/AG74))</f>
        <v>#DIV/0!</v>
      </c>
      <c r="AI75" s="2099" t="e">
        <f>IF(AI74=0,0,IF(AI73/AI74&lt;3392,3392,AI73/AI74))</f>
        <v>#DIV/0!</v>
      </c>
      <c r="AJ75" s="2098"/>
      <c r="AK75" s="2099" t="e">
        <f>IF(AK74=0,0,IF(AK73/AK74&lt;3392,3392,AK73/AK74))</f>
        <v>#DIV/0!</v>
      </c>
      <c r="AL75" s="2098"/>
      <c r="AM75" s="2099" t="e">
        <f>IF(AM74=0,0,IF(AM73/AM74&lt;84.777,84.777,AM73/AM74))</f>
        <v>#DIV/0!</v>
      </c>
      <c r="AN75" s="2098"/>
      <c r="AO75" s="4384" t="e">
        <f>IF(AO74=0,0,IF(AO73/AO74&lt;84.777,84.777,AO73/AO74))</f>
        <v>#DIV/0!</v>
      </c>
      <c r="AQ75" s="2645" t="e">
        <f>IF(AQ74=0,0,IF(AQ73/AQ74&lt;3392,3392,AQ73/AQ74))</f>
        <v>#DIV/0!</v>
      </c>
      <c r="AR75" s="2644"/>
      <c r="AS75" s="2645" t="e">
        <f>IF(AS74=0,0,IF(AS73/AS74&lt;3392,3392,AS73/AS74))</f>
        <v>#DIV/0!</v>
      </c>
      <c r="AT75" s="2644"/>
      <c r="AU75" s="2645" t="e">
        <f>IF(AU74=0,0,IF(AU73/AU74&lt;84.777,84.777,AU73/AU74))</f>
        <v>#DIV/0!</v>
      </c>
      <c r="AV75" s="2644"/>
      <c r="AW75" s="4395" t="e">
        <f>IF(AW74=0,0,IF(AW73/AW74&lt;84.777,84.777,AW73/AW74))</f>
        <v>#DIV/0!</v>
      </c>
      <c r="AY75" s="4188" t="e">
        <f>IF(AY74=0,0,IF(AY73/AY74&lt;3392,3392,AY73/AY74))</f>
        <v>#DIV/0!</v>
      </c>
      <c r="AZ75" s="4189"/>
      <c r="BA75" s="4188" t="e">
        <f>IF(BA74=0,0,IF(BA73/BA74&lt;3392,3392,BA73/BA74))</f>
        <v>#DIV/0!</v>
      </c>
      <c r="BB75" s="4189"/>
      <c r="BC75" s="4188" t="e">
        <f>IF(BC74=0,0,IF(BC73/BC74&lt;84.777,84.777,BC73/BC74))</f>
        <v>#DIV/0!</v>
      </c>
      <c r="BD75" s="4189"/>
      <c r="BE75" s="4402" t="e">
        <f>IF(BE74=0,0,IF(BE73/BE74&lt;84.777,84.777,BE73/BE74))</f>
        <v>#DIV/0!</v>
      </c>
      <c r="BH75" s="2268" t="e">
        <f>IF(BH74=0,0,IF(BH73/BH74&lt;3392,3392,BH73/BH74))</f>
        <v>#DIV/0!</v>
      </c>
      <c r="BI75" s="2268" t="e">
        <f>IF(BI74=0,0,IF(BI73/BI74&lt;3392,3392,BI73/BI74))</f>
        <v>#DIV/0!</v>
      </c>
      <c r="BJ75" s="985" t="e">
        <f>IF(BJ74=0,0,IF(BJ73/BJ74&lt;84.777,84.777,BJ73/BJ74))</f>
        <v>#DIV/0!</v>
      </c>
      <c r="BK75" s="985" t="e">
        <f>IF(BK74=0,0,IF(BK73/BK74&lt;84.777,84.777,BK73/BK74))</f>
        <v>#DIV/0!</v>
      </c>
      <c r="BV75" s="1021"/>
      <c r="BW75" s="1021"/>
      <c r="BX75" s="1021"/>
      <c r="BY75" s="1021"/>
      <c r="BZ75" s="1021"/>
      <c r="CA75" s="1021"/>
      <c r="CB75" s="1021"/>
      <c r="CD75" s="2197"/>
      <c r="CE75" s="2197"/>
      <c r="CF75" s="2197"/>
      <c r="CG75" s="2197"/>
      <c r="CH75" s="2197"/>
      <c r="CI75" s="2197"/>
      <c r="CJ75" s="2197"/>
      <c r="CL75" s="2171"/>
      <c r="CM75" s="2171"/>
      <c r="CN75" s="2171"/>
      <c r="CO75" s="2171"/>
      <c r="CP75" s="2171"/>
      <c r="CQ75" s="2171"/>
      <c r="CR75" s="2171"/>
      <c r="CT75" s="2146"/>
      <c r="CU75" s="2146"/>
      <c r="CV75" s="2146"/>
      <c r="CW75" s="2146"/>
      <c r="CX75" s="2146"/>
      <c r="CY75" s="2146"/>
      <c r="CZ75" s="2146"/>
      <c r="DB75" s="2171"/>
      <c r="DC75" s="2171"/>
      <c r="DD75" s="2171"/>
      <c r="DE75" s="2171"/>
      <c r="DF75" s="2171"/>
      <c r="DG75" s="2171"/>
      <c r="DH75" s="2171"/>
      <c r="DJ75" s="2146"/>
      <c r="DK75" s="2146"/>
      <c r="DL75" s="2146"/>
      <c r="DM75" s="2146"/>
      <c r="DN75" s="2146"/>
      <c r="DO75" s="2146"/>
      <c r="DP75" s="2146"/>
      <c r="DR75" s="2171"/>
      <c r="DS75" s="2171"/>
      <c r="DT75" s="2171"/>
      <c r="DU75" s="2171"/>
      <c r="DV75" s="2171"/>
      <c r="DW75" s="2171"/>
      <c r="DX75" s="2171"/>
      <c r="DZ75" s="2146"/>
      <c r="EA75" s="2146"/>
      <c r="EB75" s="2146"/>
      <c r="EC75" s="2146"/>
      <c r="ED75" s="2146"/>
      <c r="EE75" s="2146"/>
      <c r="EF75" s="2146"/>
    </row>
    <row r="76" spans="1:136">
      <c r="A76" s="97"/>
      <c r="C76" s="1841" t="e">
        <f>IF(OR('Data Entry - SOF'!C95=0,C75=0),0,IF('Data Entry - SOF'!C95&gt;C75,(C75*'Data Entry - SOF'!C94)/C75,('Data Entry - SOF'!C95*'Data Entry - SOF'!C94)/C75))</f>
        <v>#DIV/0!</v>
      </c>
      <c r="D76" s="1874"/>
      <c r="E76" s="1841" t="e">
        <f>C76</f>
        <v>#DIV/0!</v>
      </c>
      <c r="F76" s="1874"/>
      <c r="G76" s="1841" t="e">
        <f>IF(OR('Data Entry - SOF'!C95=0,G75=0),0,IF('Data Entry - SOF'!C95&gt;G75,(G75*'Data Entry - SOF'!C94)/G75,('Data Entry - SOF'!C95*'Data Entry - SOF'!C94)/G75))</f>
        <v>#DIV/0!</v>
      </c>
      <c r="H76" s="1874"/>
      <c r="I76" s="4331" t="e">
        <f>G76</f>
        <v>#DIV/0!</v>
      </c>
      <c r="K76" s="4233" t="e">
        <f>IF(OR('Data Entry - SOF'!E95=0,K75=0),0,IF('Data Entry - SOF'!E95&gt;K75,(K75*'Data Entry - SOF'!E94)/K75,('Data Entry - SOF'!E95*'Data Entry - SOF'!E94)/K75))</f>
        <v>#DIV/0!</v>
      </c>
      <c r="L76" s="926"/>
      <c r="M76" s="4233" t="e">
        <f>K76</f>
        <v>#DIV/0!</v>
      </c>
      <c r="N76" s="926"/>
      <c r="O76" s="4233" t="e">
        <f>IF(OR('Data Entry - SOF'!E95=0,O75=0),0,IF('Data Entry - SOF'!E95&gt;O75,(O75*'Data Entry - SOF'!E94)/O75,('Data Entry - SOF'!E95*'Data Entry - SOF'!E94)/O75))</f>
        <v>#DIV/0!</v>
      </c>
      <c r="P76" s="926"/>
      <c r="Q76" s="4337" t="e">
        <f>O76</f>
        <v>#DIV/0!</v>
      </c>
      <c r="S76" s="1962" t="e">
        <f>IF(OR('Data Entry - SOF'!G95=0,S75=0),0,IF('Data Entry - SOF'!G95&gt;S75,(S75*'Data Entry - SOF'!G94)/S75,('Data Entry - SOF'!G95*'Data Entry - SOF'!G94)/S75))</f>
        <v>#DIV/0!</v>
      </c>
      <c r="T76" s="1958"/>
      <c r="U76" s="1962" t="e">
        <f>S76</f>
        <v>#DIV/0!</v>
      </c>
      <c r="V76" s="1958"/>
      <c r="W76" s="1962" t="e">
        <f>IF(OR('Data Entry - SOF'!G95=0,W75=0),0,IF('Data Entry - SOF'!G95&gt;W75,(W75*'Data Entry - SOF'!G94)/W75,('Data Entry - SOF'!G95*'Data Entry - SOF'!G94)/W75))</f>
        <v>#DIV/0!</v>
      </c>
      <c r="X76" s="1958"/>
      <c r="Y76" s="4354" t="e">
        <f>W76</f>
        <v>#DIV/0!</v>
      </c>
      <c r="AA76" s="1977" t="e">
        <f>IF(OR('Data Entry - SOF'!I95=0,AA75=0),0,IF('Data Entry - SOF'!I95&gt;AA75,(AA75*'Data Entry - SOF'!I94)/AA75,('Data Entry - SOF'!I95*'Data Entry - SOF'!I94)/AA75))</f>
        <v>#DIV/0!</v>
      </c>
      <c r="AB76" s="1973"/>
      <c r="AC76" s="1977" t="e">
        <f>AA76</f>
        <v>#DIV/0!</v>
      </c>
      <c r="AD76" s="1973"/>
      <c r="AE76" s="1977" t="e">
        <f>IF(OR('Data Entry - SOF'!I95=0,AE75=0),0,IF('Data Entry - SOF'!I95&gt;AE75,(AE75*'Data Entry - SOF'!I94)/AE75,('Data Entry - SOF'!I95*'Data Entry - SOF'!I94)/AE75))</f>
        <v>#DIV/0!</v>
      </c>
      <c r="AF76" s="1973"/>
      <c r="AG76" s="4369" t="e">
        <f>AE76</f>
        <v>#DIV/0!</v>
      </c>
      <c r="AI76" s="2091" t="e">
        <f>IF(OR('Data Entry - SOF'!K95=0,AI75=0),0,IF('Data Entry - SOF'!K95&gt;AI75,(AI75*'Data Entry - SOF'!K94)/AI75,('Data Entry - SOF'!K95*'Data Entry - SOF'!K94)/AI75))</f>
        <v>#DIV/0!</v>
      </c>
      <c r="AJ76" s="2098"/>
      <c r="AK76" s="2091" t="e">
        <f>AI76</f>
        <v>#DIV/0!</v>
      </c>
      <c r="AL76" s="2098"/>
      <c r="AM76" s="2091" t="e">
        <f>IF(OR('Data Entry - SOF'!K95=0,AM75=0),0,IF('Data Entry - SOF'!K95&gt;AM75,(AM75*'Data Entry - SOF'!K94)/AM75,('Data Entry - SOF'!K95*'Data Entry - SOF'!K94)/AM75))</f>
        <v>#DIV/0!</v>
      </c>
      <c r="AN76" s="2098"/>
      <c r="AO76" s="4380" t="e">
        <f>AM76</f>
        <v>#DIV/0!</v>
      </c>
      <c r="AQ76" s="2637" t="e">
        <f>IF(OR('Data Entry - SOF'!M95=0,AQ75=0),0,IF('Data Entry - SOF'!M95&gt;AQ75,(AQ75*'Data Entry - SOF'!M94)/AQ75,('Data Entry - SOF'!M95*'Data Entry - SOF'!M94)/AQ75))</f>
        <v>#DIV/0!</v>
      </c>
      <c r="AR76" s="2644"/>
      <c r="AS76" s="2637" t="e">
        <f>AQ76</f>
        <v>#DIV/0!</v>
      </c>
      <c r="AT76" s="2644"/>
      <c r="AU76" s="2637" t="e">
        <f>IF(OR('Data Entry - SOF'!M95=0,AU75=0),0,IF('Data Entry - SOF'!M95&gt;AU75,(AU75*'Data Entry - SOF'!M94)/AU75,('Data Entry - SOF'!M95*'Data Entry - SOF'!M94)/AU75))</f>
        <v>#DIV/0!</v>
      </c>
      <c r="AV76" s="2644"/>
      <c r="AW76" s="4391" t="e">
        <f>AU76</f>
        <v>#DIV/0!</v>
      </c>
      <c r="AY76" s="4188" t="e">
        <f>IF(OR('Data Entry - SOF'!O95=0,AY75=0),0,IF('Data Entry - SOF'!O95&gt;AY75,(AY75*'Data Entry - SOF'!O94)/AY75,('Data Entry - SOF'!O95*'Data Entry - SOF'!O94)/AY75))</f>
        <v>#DIV/0!</v>
      </c>
      <c r="AZ76" s="4189"/>
      <c r="BA76" s="4188" t="e">
        <f>AY76</f>
        <v>#DIV/0!</v>
      </c>
      <c r="BB76" s="4189"/>
      <c r="BC76" s="4188" t="e">
        <f>IF(OR('Data Entry - SOF'!O95=0,BC75=0),0,IF('Data Entry - SOF'!O95&gt;BC75,(BC75*'Data Entry - SOF'!O94)/BC75,('Data Entry - SOF'!O95*'Data Entry - SOF'!O94)/BC75))</f>
        <v>#DIV/0!</v>
      </c>
      <c r="BD76" s="4189"/>
      <c r="BE76" s="4402" t="e">
        <f>BC76</f>
        <v>#DIV/0!</v>
      </c>
      <c r="BH76" s="2270" t="e">
        <f>IF(OR('Data Entry - SOF'!E95=0,BH75=0),0,IF('Data Entry - SOF'!E95&gt;BH75,(BH75*'Data Entry - SOF'!E94)/BH75,('Data Entry - SOF'!E95*'Data Entry - SOF'!E94)/BH75))</f>
        <v>#DIV/0!</v>
      </c>
      <c r="BI76" s="984" t="e">
        <f>BH76</f>
        <v>#DIV/0!</v>
      </c>
      <c r="BJ76" s="984" t="e">
        <f>IF(OR('Data Entry - SOF'!E95=0,BJ75=0),0,IF('Data Entry - SOF'!E95&gt;BJ75,(BJ75*'Data Entry - SOF'!E94)/BJ75,('Data Entry - SOF'!E95*'Data Entry - SOF'!E94)/BJ75))</f>
        <v>#DIV/0!</v>
      </c>
      <c r="BK76" s="984" t="e">
        <f>BI76</f>
        <v>#DIV/0!</v>
      </c>
      <c r="BV76" s="1021"/>
      <c r="BW76" s="1021"/>
      <c r="BX76" s="1021"/>
      <c r="BY76" s="1021"/>
      <c r="BZ76" s="1021"/>
      <c r="CA76" s="1021"/>
      <c r="CB76" s="1021"/>
      <c r="CD76" s="2197"/>
      <c r="CE76" s="2197"/>
      <c r="CF76" s="2197"/>
      <c r="CG76" s="2197"/>
      <c r="CH76" s="2197"/>
      <c r="CI76" s="2197"/>
      <c r="CJ76" s="2197"/>
      <c r="CL76" s="2171"/>
      <c r="CM76" s="2171"/>
      <c r="CN76" s="2171"/>
      <c r="CO76" s="2171"/>
      <c r="CP76" s="2171"/>
      <c r="CQ76" s="2171"/>
      <c r="CR76" s="2171"/>
      <c r="CT76" s="2146"/>
      <c r="CU76" s="2146"/>
      <c r="CV76" s="2146"/>
      <c r="CW76" s="2146"/>
      <c r="CX76" s="2146"/>
      <c r="CY76" s="2146"/>
      <c r="CZ76" s="2146"/>
      <c r="DB76" s="2171"/>
      <c r="DC76" s="2171"/>
      <c r="DD76" s="2171"/>
      <c r="DE76" s="2171"/>
      <c r="DF76" s="2171"/>
      <c r="DG76" s="2171"/>
      <c r="DH76" s="2171"/>
      <c r="DJ76" s="2146"/>
      <c r="DK76" s="2146"/>
      <c r="DL76" s="2146"/>
      <c r="DM76" s="2146"/>
      <c r="DN76" s="2146"/>
      <c r="DO76" s="2146"/>
      <c r="DP76" s="2146"/>
      <c r="DR76" s="2171"/>
      <c r="DS76" s="2171"/>
      <c r="DT76" s="2171"/>
      <c r="DU76" s="2171"/>
      <c r="DV76" s="2171"/>
      <c r="DW76" s="2171"/>
      <c r="DX76" s="2171"/>
      <c r="DZ76" s="2146"/>
      <c r="EA76" s="2146"/>
      <c r="EB76" s="2146"/>
      <c r="EC76" s="2146"/>
      <c r="ED76" s="2146"/>
      <c r="EE76" s="2146"/>
      <c r="EF76" s="2146"/>
    </row>
    <row r="77" spans="1:136">
      <c r="A77" s="97"/>
      <c r="C77" s="219">
        <v>0</v>
      </c>
      <c r="D77" s="1874"/>
      <c r="E77" s="219">
        <v>0</v>
      </c>
      <c r="F77" s="1874"/>
      <c r="G77" s="219">
        <v>0</v>
      </c>
      <c r="H77" s="1874"/>
      <c r="I77" s="4327">
        <v>0</v>
      </c>
      <c r="K77" s="4233">
        <v>0</v>
      </c>
      <c r="L77" s="926"/>
      <c r="M77" s="4233">
        <v>0</v>
      </c>
      <c r="N77" s="926"/>
      <c r="O77" s="4233">
        <v>0</v>
      </c>
      <c r="P77" s="926"/>
      <c r="Q77" s="4337">
        <v>0</v>
      </c>
      <c r="S77" s="219">
        <v>0</v>
      </c>
      <c r="T77" s="1958"/>
      <c r="U77" s="219">
        <v>0</v>
      </c>
      <c r="V77" s="1958"/>
      <c r="W77" s="219">
        <v>0</v>
      </c>
      <c r="X77" s="1958"/>
      <c r="Y77" s="4327">
        <v>0</v>
      </c>
      <c r="AA77" s="2211">
        <v>0</v>
      </c>
      <c r="AB77" s="1973"/>
      <c r="AC77" s="2211">
        <v>0</v>
      </c>
      <c r="AD77" s="1973"/>
      <c r="AE77" s="2211">
        <v>0</v>
      </c>
      <c r="AF77" s="1973"/>
      <c r="AG77" s="4371">
        <v>0</v>
      </c>
      <c r="AI77" s="219">
        <v>0</v>
      </c>
      <c r="AJ77" s="2098"/>
      <c r="AK77" s="219">
        <v>0</v>
      </c>
      <c r="AL77" s="2098"/>
      <c r="AM77" s="219">
        <v>0</v>
      </c>
      <c r="AN77" s="2098"/>
      <c r="AO77" s="4327">
        <v>0</v>
      </c>
      <c r="AQ77" s="2647">
        <v>0</v>
      </c>
      <c r="AR77" s="2644"/>
      <c r="AS77" s="2647">
        <v>0</v>
      </c>
      <c r="AT77" s="2644"/>
      <c r="AU77" s="2647">
        <v>0</v>
      </c>
      <c r="AV77" s="2644"/>
      <c r="AW77" s="4396">
        <v>0</v>
      </c>
      <c r="AY77" s="4188">
        <v>0</v>
      </c>
      <c r="AZ77" s="4189"/>
      <c r="BA77" s="4188">
        <v>0</v>
      </c>
      <c r="BB77" s="4189"/>
      <c r="BC77" s="4188">
        <v>0</v>
      </c>
      <c r="BD77" s="4189"/>
      <c r="BE77" s="4402">
        <v>0</v>
      </c>
      <c r="BH77" s="2269">
        <v>0</v>
      </c>
      <c r="BI77" s="2269">
        <v>0</v>
      </c>
      <c r="BJ77" s="2269">
        <v>0</v>
      </c>
      <c r="BK77" s="2269">
        <v>0</v>
      </c>
      <c r="BV77" s="1021"/>
      <c r="BW77" s="1021"/>
      <c r="BX77" s="1021"/>
      <c r="BY77" s="1021"/>
      <c r="BZ77" s="1021"/>
      <c r="CA77" s="1021"/>
      <c r="CB77" s="1021"/>
      <c r="CD77" s="2197"/>
      <c r="CE77" s="2197"/>
      <c r="CF77" s="2197"/>
      <c r="CG77" s="2197"/>
      <c r="CH77" s="2197"/>
      <c r="CI77" s="2197"/>
      <c r="CJ77" s="2197"/>
      <c r="CL77" s="2171"/>
      <c r="CM77" s="2171"/>
      <c r="CN77" s="2171"/>
      <c r="CO77" s="2171"/>
      <c r="CP77" s="2171"/>
      <c r="CQ77" s="2171"/>
      <c r="CR77" s="2171"/>
      <c r="CT77" s="2146"/>
      <c r="CU77" s="2146"/>
      <c r="CV77" s="2146"/>
      <c r="CW77" s="2146"/>
      <c r="CX77" s="2146"/>
      <c r="CY77" s="2146"/>
      <c r="CZ77" s="2146"/>
      <c r="DB77" s="2171"/>
      <c r="DC77" s="2171"/>
      <c r="DD77" s="2171"/>
      <c r="DE77" s="2171"/>
      <c r="DF77" s="2171"/>
      <c r="DG77" s="2171"/>
      <c r="DH77" s="2171"/>
      <c r="DJ77" s="2146"/>
      <c r="DK77" s="2146"/>
      <c r="DL77" s="2146"/>
      <c r="DM77" s="2146"/>
      <c r="DN77" s="2146"/>
      <c r="DO77" s="2146"/>
      <c r="DP77" s="2146"/>
      <c r="DR77" s="2171"/>
      <c r="DS77" s="2171"/>
      <c r="DT77" s="2171"/>
      <c r="DU77" s="2171"/>
      <c r="DV77" s="2171"/>
      <c r="DW77" s="2171"/>
      <c r="DX77" s="2171"/>
      <c r="DZ77" s="2146"/>
      <c r="EA77" s="2146"/>
      <c r="EB77" s="2146"/>
      <c r="EC77" s="2146"/>
      <c r="ED77" s="2146"/>
      <c r="EE77" s="2146"/>
      <c r="EF77" s="2146"/>
    </row>
    <row r="78" spans="1:136">
      <c r="A78" s="97"/>
      <c r="C78" s="1841" t="e">
        <f>IF(C74-C76-C77&lt;0,0,C74-C76-C77)</f>
        <v>#DIV/0!</v>
      </c>
      <c r="D78" s="1874"/>
      <c r="E78" s="1841" t="e">
        <f>IF(E74-E76-E77&lt;0,0,E74-E76-E77)</f>
        <v>#DIV/0!</v>
      </c>
      <c r="F78" s="1874"/>
      <c r="G78" s="1841" t="e">
        <f>IF(G74-G76-G77&lt;0,0,G74-G76-G77)</f>
        <v>#DIV/0!</v>
      </c>
      <c r="H78" s="1874"/>
      <c r="I78" s="4331" t="e">
        <f>IF(I74-I76-I77&lt;0,0,I74-I76-I77)</f>
        <v>#DIV/0!</v>
      </c>
      <c r="K78" s="4233" t="e">
        <f>IF(K74-K76-K77&lt;0,0,K74-K76-K77)</f>
        <v>#DIV/0!</v>
      </c>
      <c r="L78" s="926"/>
      <c r="M78" s="4233" t="e">
        <f>IF(M74-M76-M77&lt;0,0,M74-M76-M77)</f>
        <v>#DIV/0!</v>
      </c>
      <c r="N78" s="926"/>
      <c r="O78" s="4233" t="e">
        <f>IF(O74-O76-O77&lt;0,0,O74-O76-O77)</f>
        <v>#DIV/0!</v>
      </c>
      <c r="P78" s="926"/>
      <c r="Q78" s="4337" t="e">
        <f>IF(Q74-Q76-Q77&lt;0,0,Q74-Q76-Q77)</f>
        <v>#DIV/0!</v>
      </c>
      <c r="S78" s="1962" t="e">
        <f>IF(S74-S76-S77&lt;0,0,S74-S76-S77)</f>
        <v>#DIV/0!</v>
      </c>
      <c r="T78" s="1958"/>
      <c r="U78" s="1962" t="e">
        <f>IF(U74-U76-U77&lt;0,0,U74-U76-U77)</f>
        <v>#DIV/0!</v>
      </c>
      <c r="V78" s="1958"/>
      <c r="W78" s="1962" t="e">
        <f>IF(W74-W76-W77&lt;0,0,W74-W76-W77)</f>
        <v>#DIV/0!</v>
      </c>
      <c r="X78" s="1958"/>
      <c r="Y78" s="4354" t="e">
        <f>IF(Y74-Y76-Y77&lt;0,0,Y74-Y76-Y77)</f>
        <v>#DIV/0!</v>
      </c>
      <c r="AA78" s="1977" t="e">
        <f>IF(AA74-AA76-AA77&lt;0,0,AA74-AA76-AA77)</f>
        <v>#DIV/0!</v>
      </c>
      <c r="AB78" s="1973"/>
      <c r="AC78" s="1977" t="e">
        <f>IF(AC74-AC76-AC77&lt;0,0,AC74-AC76-AC77)</f>
        <v>#DIV/0!</v>
      </c>
      <c r="AD78" s="1973"/>
      <c r="AE78" s="1977" t="e">
        <f>IF(AE74-AE76-AE77&lt;0,0,AE74-AE76-AE77)</f>
        <v>#DIV/0!</v>
      </c>
      <c r="AF78" s="1973"/>
      <c r="AG78" s="4369" t="e">
        <f>IF(AG74-AG76-AG77&lt;0,0,AG74-AG76-AG77)</f>
        <v>#DIV/0!</v>
      </c>
      <c r="AI78" s="2091" t="e">
        <f>IF(AI74-AI76-AI77&lt;0,0,AI74-AI76-AI77)</f>
        <v>#DIV/0!</v>
      </c>
      <c r="AJ78" s="2098"/>
      <c r="AK78" s="2091" t="e">
        <f>IF(AK74-AK76-AK77&lt;0,0,AK74-AK76-AK77)</f>
        <v>#DIV/0!</v>
      </c>
      <c r="AL78" s="2098"/>
      <c r="AM78" s="2091" t="e">
        <f>IF(AM74-AM76-AM77&lt;0,0,AM74-AM76-AM77)</f>
        <v>#DIV/0!</v>
      </c>
      <c r="AN78" s="2098"/>
      <c r="AO78" s="4380" t="e">
        <f>IF(AO74-AO76-AO77&lt;0,0,AO74-AO76-AO77)</f>
        <v>#DIV/0!</v>
      </c>
      <c r="AQ78" s="2637" t="e">
        <f>IF(AQ74-AQ76-AQ77&lt;0,0,AQ74-AQ76-AQ77)</f>
        <v>#DIV/0!</v>
      </c>
      <c r="AR78" s="2644"/>
      <c r="AS78" s="2637" t="e">
        <f>IF(AS74-AS76-AS77&lt;0,0,AS74-AS76-AS77)</f>
        <v>#DIV/0!</v>
      </c>
      <c r="AT78" s="2644"/>
      <c r="AU78" s="2637" t="e">
        <f>IF(AU74-AU76-AU77&lt;0,0,AU74-AU76-AU77)</f>
        <v>#DIV/0!</v>
      </c>
      <c r="AV78" s="2644"/>
      <c r="AW78" s="4391" t="e">
        <f>IF(AW74-AW76-AW77&lt;0,0,AW74-AW76-AW77)</f>
        <v>#DIV/0!</v>
      </c>
      <c r="AY78" s="4188" t="e">
        <f>IF(AY74-AY76-AY77&lt;0,0,AY74-AY76-AY77)</f>
        <v>#DIV/0!</v>
      </c>
      <c r="AZ78" s="4189"/>
      <c r="BA78" s="4188" t="e">
        <f>IF(BA74-BA76-BA77&lt;0,0,BA74-BA76-BA77)</f>
        <v>#DIV/0!</v>
      </c>
      <c r="BB78" s="4189"/>
      <c r="BC78" s="4188" t="e">
        <f>IF(BC74-BC76-BC77&lt;0,0,BC74-BC76-BC77)</f>
        <v>#DIV/0!</v>
      </c>
      <c r="BD78" s="4189"/>
      <c r="BE78" s="4402" t="e">
        <f>IF(BE74-BE76-BE77&lt;0,0,BE74-BE76-BE77)</f>
        <v>#DIV/0!</v>
      </c>
      <c r="BH78" s="984" t="e">
        <f>IF(BH74-BH76-BH77&lt;0,0,BH74-BH76-BH77)</f>
        <v>#DIV/0!</v>
      </c>
      <c r="BI78" s="984" t="e">
        <f>IF(BI74-BI76-BI77&lt;0,0,BI74-BI76-BI77)</f>
        <v>#DIV/0!</v>
      </c>
      <c r="BJ78" s="984" t="e">
        <f>IF(BJ74-BJ76-BJ77&lt;0,0,BJ74-BJ76-BJ77)</f>
        <v>#DIV/0!</v>
      </c>
      <c r="BK78" s="984" t="e">
        <f>IF(BK74-BK76-BK77&lt;0,0,BK74-BK76-BK77)</f>
        <v>#DIV/0!</v>
      </c>
      <c r="BV78" s="1021"/>
      <c r="BW78" s="1021"/>
      <c r="BX78" s="1021"/>
      <c r="BY78" s="1021"/>
      <c r="BZ78" s="1021"/>
      <c r="CA78" s="1021"/>
      <c r="CB78" s="1021"/>
      <c r="CD78" s="2197"/>
      <c r="CE78" s="2197"/>
      <c r="CF78" s="2197"/>
      <c r="CG78" s="2197"/>
      <c r="CH78" s="2197"/>
      <c r="CI78" s="2197"/>
      <c r="CJ78" s="2197"/>
      <c r="CL78" s="2171"/>
      <c r="CM78" s="2171"/>
      <c r="CN78" s="2171"/>
      <c r="CO78" s="2171"/>
      <c r="CP78" s="2171"/>
      <c r="CQ78" s="2171"/>
      <c r="CR78" s="2171"/>
      <c r="CT78" s="2146"/>
      <c r="CU78" s="2146"/>
      <c r="CV78" s="2146"/>
      <c r="CW78" s="2146"/>
      <c r="CX78" s="2146"/>
      <c r="CY78" s="2146"/>
      <c r="CZ78" s="2146"/>
      <c r="DB78" s="2171"/>
      <c r="DC78" s="2171"/>
      <c r="DD78" s="2171"/>
      <c r="DE78" s="2171"/>
      <c r="DF78" s="2171"/>
      <c r="DG78" s="2171"/>
      <c r="DH78" s="2171"/>
      <c r="DJ78" s="2146"/>
      <c r="DK78" s="2146"/>
      <c r="DL78" s="2146"/>
      <c r="DM78" s="2146"/>
      <c r="DN78" s="2146"/>
      <c r="DO78" s="2146"/>
      <c r="DP78" s="2146"/>
      <c r="DR78" s="2171"/>
      <c r="DS78" s="2171"/>
      <c r="DT78" s="2171"/>
      <c r="DU78" s="2171"/>
      <c r="DV78" s="2171"/>
      <c r="DW78" s="2171"/>
      <c r="DX78" s="2171"/>
      <c r="DZ78" s="2146"/>
      <c r="EA78" s="2146"/>
      <c r="EB78" s="2146"/>
      <c r="EC78" s="2146"/>
      <c r="ED78" s="2146"/>
      <c r="EE78" s="2146"/>
      <c r="EF78" s="2146"/>
    </row>
    <row r="79" spans="1:136">
      <c r="A79" s="97"/>
      <c r="C79" s="1842" t="e">
        <f>IF(C78=0,0,C78*C75)</f>
        <v>#DIV/0!</v>
      </c>
      <c r="D79" s="1874"/>
      <c r="E79" s="1842" t="e">
        <f>IF(E78=0,0,E78*E75)</f>
        <v>#DIV/0!</v>
      </c>
      <c r="F79" s="1874"/>
      <c r="G79" s="1842" t="e">
        <f>IF(G78=0,0,G78*G75)</f>
        <v>#DIV/0!</v>
      </c>
      <c r="H79" s="1874"/>
      <c r="I79" s="4330" t="e">
        <f>IF(I78=0,0,I78*I75)</f>
        <v>#DIV/0!</v>
      </c>
      <c r="K79" s="4234" t="e">
        <f>IF(K78=0,0,K78*K75)</f>
        <v>#DIV/0!</v>
      </c>
      <c r="L79" s="4235"/>
      <c r="M79" s="4234" t="e">
        <f>IF(M78=0,0,M78*M75)</f>
        <v>#DIV/0!</v>
      </c>
      <c r="N79" s="4235"/>
      <c r="O79" s="4234" t="e">
        <f>IF(O78=0,0,O78*O75)</f>
        <v>#DIV/0!</v>
      </c>
      <c r="P79" s="4235"/>
      <c r="Q79" s="4338" t="e">
        <f>IF(Q78=0,0,Q78*Q75)</f>
        <v>#DIV/0!</v>
      </c>
      <c r="S79" s="1959" t="e">
        <f>IF(S78=0,0,S78*S75)</f>
        <v>#DIV/0!</v>
      </c>
      <c r="T79" s="1958"/>
      <c r="U79" s="1959" t="e">
        <f>IF(U78=0,0,U78*U75)</f>
        <v>#DIV/0!</v>
      </c>
      <c r="V79" s="1958"/>
      <c r="W79" s="1959" t="e">
        <f>IF(W78=0,0,W78*W75)</f>
        <v>#DIV/0!</v>
      </c>
      <c r="X79" s="1958"/>
      <c r="Y79" s="4353" t="e">
        <f>IF(Y78=0,0,Y78*Y75)</f>
        <v>#DIV/0!</v>
      </c>
      <c r="AA79" s="1974" t="e">
        <f>IF(AA78=0,0,AA78*AA75)</f>
        <v>#DIV/0!</v>
      </c>
      <c r="AB79" s="1973"/>
      <c r="AC79" s="1974" t="e">
        <f>IF(AC78=0,0,AC78*AC75)</f>
        <v>#DIV/0!</v>
      </c>
      <c r="AD79" s="1973"/>
      <c r="AE79" s="1974" t="e">
        <f>IF(AE78=0,0,AE78*AE75)</f>
        <v>#DIV/0!</v>
      </c>
      <c r="AF79" s="1973"/>
      <c r="AG79" s="4368" t="e">
        <f>IF(AG78=0,0,AG78*AG75)</f>
        <v>#DIV/0!</v>
      </c>
      <c r="AI79" s="2097" t="e">
        <f>IF(AI78=0,0,AI78*AI75)</f>
        <v>#DIV/0!</v>
      </c>
      <c r="AJ79" s="2098"/>
      <c r="AK79" s="2097" t="e">
        <f>IF(AK78=0,0,AK78*AK75)</f>
        <v>#DIV/0!</v>
      </c>
      <c r="AL79" s="2098"/>
      <c r="AM79" s="2097" t="e">
        <f>IF(AM78=0,0,AM78*AM75)</f>
        <v>#DIV/0!</v>
      </c>
      <c r="AN79" s="2098"/>
      <c r="AO79" s="4383" t="e">
        <f>IF(AO78=0,0,AO78*AO75)</f>
        <v>#DIV/0!</v>
      </c>
      <c r="AQ79" s="2643" t="e">
        <f>IF(AQ78=0,0,AQ78*AQ75)</f>
        <v>#DIV/0!</v>
      </c>
      <c r="AR79" s="2644"/>
      <c r="AS79" s="2643" t="e">
        <f>IF(AS78=0,0,AS78*AS75)</f>
        <v>#DIV/0!</v>
      </c>
      <c r="AT79" s="2644"/>
      <c r="AU79" s="2643" t="e">
        <f>IF(AU78=0,0,AU78*AU75)</f>
        <v>#DIV/0!</v>
      </c>
      <c r="AV79" s="2644"/>
      <c r="AW79" s="4394" t="e">
        <f>IF(AW78=0,0,AW78*AW75)</f>
        <v>#DIV/0!</v>
      </c>
      <c r="AY79" s="4196" t="e">
        <f>IF(AY78=0,0,AY78*AY75)</f>
        <v>#DIV/0!</v>
      </c>
      <c r="AZ79" s="4197"/>
      <c r="BA79" s="4196" t="e">
        <f>IF(BA78=0,0,BA78*BA75)</f>
        <v>#DIV/0!</v>
      </c>
      <c r="BB79" s="4197"/>
      <c r="BC79" s="4196" t="e">
        <f>IF(BC78=0,0,BC78*BC75)</f>
        <v>#DIV/0!</v>
      </c>
      <c r="BD79" s="4197"/>
      <c r="BE79" s="4397" t="e">
        <f>IF(BE78=0,0,BE78*BE75)</f>
        <v>#DIV/0!</v>
      </c>
      <c r="BH79" s="982" t="e">
        <f>IF(BH78=0,0,BH78*BH75)</f>
        <v>#DIV/0!</v>
      </c>
      <c r="BI79" s="982" t="e">
        <f>IF(BI78=0,0,BI78*BI75)</f>
        <v>#DIV/0!</v>
      </c>
      <c r="BJ79" s="982" t="e">
        <f>IF(BJ78=0,0,BJ78*BJ75)</f>
        <v>#DIV/0!</v>
      </c>
      <c r="BK79" s="982" t="e">
        <f>IF(BK78=0,0,BK78*BK75)</f>
        <v>#DIV/0!</v>
      </c>
      <c r="BV79" s="1021"/>
      <c r="BW79" s="1021"/>
      <c r="BX79" s="1021"/>
      <c r="BY79" s="1021"/>
      <c r="BZ79" s="1021"/>
      <c r="CA79" s="1021"/>
      <c r="CB79" s="1021"/>
      <c r="CD79" s="2197"/>
      <c r="CE79" s="2197"/>
      <c r="CF79" s="2197"/>
      <c r="CG79" s="2197"/>
      <c r="CH79" s="2197"/>
      <c r="CI79" s="2197"/>
      <c r="CJ79" s="2197"/>
      <c r="CL79" s="2171"/>
      <c r="CM79" s="2171"/>
      <c r="CN79" s="2171"/>
      <c r="CO79" s="2171"/>
      <c r="CP79" s="2171"/>
      <c r="CQ79" s="2171"/>
      <c r="CR79" s="2171"/>
      <c r="CT79" s="2146"/>
      <c r="CU79" s="2146"/>
      <c r="CV79" s="2146"/>
      <c r="CW79" s="2146"/>
      <c r="CX79" s="2146"/>
      <c r="CY79" s="2146"/>
      <c r="CZ79" s="2146"/>
      <c r="DB79" s="2171"/>
      <c r="DC79" s="2171"/>
      <c r="DD79" s="2171"/>
      <c r="DE79" s="2171"/>
      <c r="DF79" s="2171"/>
      <c r="DG79" s="2171"/>
      <c r="DH79" s="2171"/>
      <c r="DJ79" s="2146"/>
      <c r="DK79" s="2146"/>
      <c r="DL79" s="2146"/>
      <c r="DM79" s="2146"/>
      <c r="DN79" s="2146"/>
      <c r="DO79" s="2146"/>
      <c r="DP79" s="2146"/>
      <c r="DR79" s="2171"/>
      <c r="DS79" s="2171"/>
      <c r="DT79" s="2171"/>
      <c r="DU79" s="2171"/>
      <c r="DV79" s="2171"/>
      <c r="DW79" s="2171"/>
      <c r="DX79" s="2171"/>
      <c r="DZ79" s="2146"/>
      <c r="EA79" s="2146"/>
      <c r="EB79" s="2146"/>
      <c r="EC79" s="2146"/>
      <c r="ED79" s="2146"/>
      <c r="EE79" s="2146"/>
      <c r="EF79" s="2146"/>
    </row>
    <row r="80" spans="1:136">
      <c r="A80" s="97"/>
      <c r="C80" s="1939"/>
      <c r="D80" s="1874"/>
      <c r="E80" s="1939"/>
      <c r="F80" s="1874"/>
      <c r="G80" s="1939"/>
      <c r="H80" s="1874"/>
      <c r="I80" s="2761"/>
      <c r="K80" s="4235"/>
      <c r="L80" s="4235"/>
      <c r="M80" s="4235"/>
      <c r="N80" s="4235"/>
      <c r="O80" s="4235"/>
      <c r="P80" s="4235"/>
      <c r="Q80" s="4339"/>
      <c r="S80" s="1966"/>
      <c r="T80" s="1958"/>
      <c r="U80" s="1966"/>
      <c r="V80" s="1958"/>
      <c r="W80" s="1966"/>
      <c r="X80" s="1958"/>
      <c r="Y80" s="4350"/>
      <c r="AA80" s="1981"/>
      <c r="AB80" s="1973"/>
      <c r="AC80" s="1981"/>
      <c r="AD80" s="1973"/>
      <c r="AE80" s="1981"/>
      <c r="AF80" s="1973"/>
      <c r="AG80" s="4365"/>
      <c r="AJ80" s="2098"/>
      <c r="AL80" s="2098"/>
      <c r="AN80" s="2098"/>
      <c r="AO80" s="4375"/>
      <c r="AR80" s="2644"/>
      <c r="AT80" s="2644"/>
      <c r="AV80" s="2644"/>
      <c r="AW80" s="2820"/>
      <c r="AY80" s="4197"/>
      <c r="AZ80" s="4197"/>
      <c r="BA80" s="4197"/>
      <c r="BB80" s="4197"/>
      <c r="BC80" s="4197"/>
      <c r="BD80" s="4197"/>
      <c r="BE80" s="4400"/>
      <c r="BH80" s="978"/>
      <c r="BI80" s="978"/>
      <c r="BJ80" s="978"/>
      <c r="BK80" s="978"/>
      <c r="BV80" s="1021"/>
      <c r="BW80" s="1021"/>
      <c r="BX80" s="1021"/>
      <c r="BY80" s="1021"/>
      <c r="BZ80" s="1021"/>
      <c r="CA80" s="1021"/>
      <c r="CB80" s="1021"/>
      <c r="CD80" s="2197"/>
      <c r="CE80" s="2197"/>
      <c r="CF80" s="2197"/>
      <c r="CG80" s="2197"/>
      <c r="CH80" s="2197"/>
      <c r="CI80" s="2197"/>
      <c r="CJ80" s="2197"/>
      <c r="CL80" s="2171"/>
      <c r="CM80" s="2171"/>
      <c r="CN80" s="2171"/>
      <c r="CO80" s="2171"/>
      <c r="CP80" s="2171"/>
      <c r="CQ80" s="2171"/>
      <c r="CR80" s="2171"/>
      <c r="CT80" s="2146"/>
      <c r="CU80" s="2146"/>
      <c r="CV80" s="2146"/>
      <c r="CW80" s="2146"/>
      <c r="CX80" s="2146"/>
      <c r="CY80" s="2146"/>
      <c r="CZ80" s="2146"/>
      <c r="DB80" s="2171"/>
      <c r="DC80" s="2171"/>
      <c r="DD80" s="2171"/>
      <c r="DE80" s="2171"/>
      <c r="DF80" s="2171"/>
      <c r="DG80" s="2171"/>
      <c r="DH80" s="2171"/>
      <c r="DJ80" s="2146"/>
      <c r="DK80" s="2146"/>
      <c r="DL80" s="2146"/>
      <c r="DM80" s="2146"/>
      <c r="DN80" s="2146"/>
      <c r="DO80" s="2146"/>
      <c r="DP80" s="2146"/>
      <c r="DR80" s="2171"/>
      <c r="DS80" s="2171"/>
      <c r="DT80" s="2171"/>
      <c r="DU80" s="2171"/>
      <c r="DV80" s="2171"/>
      <c r="DW80" s="2171"/>
      <c r="DX80" s="2171"/>
      <c r="DZ80" s="2146"/>
      <c r="EA80" s="2146"/>
      <c r="EB80" s="2146"/>
      <c r="EC80" s="2146"/>
      <c r="ED80" s="2146"/>
      <c r="EE80" s="2146"/>
      <c r="EF80" s="2146"/>
    </row>
    <row r="81" spans="1:136">
      <c r="A81" s="97"/>
      <c r="C81" s="1939"/>
      <c r="D81" s="1874"/>
      <c r="E81" s="1939"/>
      <c r="F81" s="1874"/>
      <c r="G81" s="1939"/>
      <c r="H81" s="1874"/>
      <c r="I81" s="2761"/>
      <c r="K81" s="4235"/>
      <c r="L81" s="4235"/>
      <c r="M81" s="4235"/>
      <c r="N81" s="4235"/>
      <c r="O81" s="4235"/>
      <c r="P81" s="4235"/>
      <c r="Q81" s="4339"/>
      <c r="S81" s="1966"/>
      <c r="T81" s="1958"/>
      <c r="U81" s="1966"/>
      <c r="V81" s="1958"/>
      <c r="W81" s="1966"/>
      <c r="X81" s="1958"/>
      <c r="Y81" s="4350"/>
      <c r="AA81" s="1981"/>
      <c r="AB81" s="1973"/>
      <c r="AC81" s="1981"/>
      <c r="AD81" s="1973"/>
      <c r="AE81" s="1981"/>
      <c r="AF81" s="1973"/>
      <c r="AG81" s="4365"/>
      <c r="AJ81" s="2098"/>
      <c r="AL81" s="2098"/>
      <c r="AN81" s="2098"/>
      <c r="AO81" s="4375"/>
      <c r="AR81" s="2644"/>
      <c r="AT81" s="2644"/>
      <c r="AV81" s="2644"/>
      <c r="AW81" s="2820"/>
      <c r="AY81" s="4197"/>
      <c r="AZ81" s="4197"/>
      <c r="BA81" s="4197"/>
      <c r="BB81" s="4197"/>
      <c r="BC81" s="4197"/>
      <c r="BD81" s="4197"/>
      <c r="BE81" s="4400"/>
      <c r="BH81" s="978"/>
      <c r="BI81" s="978"/>
      <c r="BJ81" s="978"/>
      <c r="BK81" s="978"/>
      <c r="BV81" s="1021"/>
      <c r="BW81" s="1021"/>
      <c r="BX81" s="1021"/>
      <c r="BY81" s="1021"/>
      <c r="BZ81" s="1021"/>
      <c r="CA81" s="1021"/>
      <c r="CB81" s="1021"/>
      <c r="CD81" s="2197"/>
      <c r="CE81" s="2197"/>
      <c r="CF81" s="2197"/>
      <c r="CG81" s="2197"/>
      <c r="CH81" s="2197"/>
      <c r="CI81" s="2197"/>
      <c r="CJ81" s="2197"/>
      <c r="CL81" s="2171"/>
      <c r="CM81" s="2171"/>
      <c r="CN81" s="2171"/>
      <c r="CO81" s="2171"/>
      <c r="CP81" s="2171"/>
      <c r="CQ81" s="2171"/>
      <c r="CR81" s="2171"/>
      <c r="CT81" s="2146"/>
      <c r="CU81" s="2146"/>
      <c r="CV81" s="2146"/>
      <c r="CW81" s="2146"/>
      <c r="CX81" s="2146"/>
      <c r="CY81" s="2146"/>
      <c r="CZ81" s="2146"/>
      <c r="DB81" s="2171"/>
      <c r="DC81" s="2171"/>
      <c r="DD81" s="2171"/>
      <c r="DE81" s="2171"/>
      <c r="DF81" s="2171"/>
      <c r="DG81" s="2171"/>
      <c r="DH81" s="2171"/>
      <c r="DJ81" s="2146"/>
      <c r="DK81" s="2146"/>
      <c r="DL81" s="2146"/>
      <c r="DM81" s="2146"/>
      <c r="DN81" s="2146"/>
      <c r="DO81" s="2146"/>
      <c r="DP81" s="2146"/>
      <c r="DR81" s="2171"/>
      <c r="DS81" s="2171"/>
      <c r="DT81" s="2171"/>
      <c r="DU81" s="2171"/>
      <c r="DV81" s="2171"/>
      <c r="DW81" s="2171"/>
      <c r="DX81" s="2171"/>
      <c r="DZ81" s="2146"/>
      <c r="EA81" s="2146"/>
      <c r="EB81" s="2146"/>
      <c r="EC81" s="2146"/>
      <c r="ED81" s="2146"/>
      <c r="EE81" s="2146"/>
      <c r="EF81" s="2146"/>
    </row>
    <row r="82" spans="1:136">
      <c r="A82" s="97"/>
      <c r="C82" s="1944" t="e">
        <f>IF(C118&gt;C119,C119,C118)</f>
        <v>#DIV/0!</v>
      </c>
      <c r="D82" s="1874"/>
      <c r="E82" s="1944">
        <v>0</v>
      </c>
      <c r="F82" s="1874"/>
      <c r="G82" s="1944" t="e">
        <f>IF(G118&gt;G119,G119,G118)</f>
        <v>#DIV/0!</v>
      </c>
      <c r="H82" s="1874"/>
      <c r="I82" s="2762">
        <v>0</v>
      </c>
      <c r="K82" s="4234" t="e">
        <f>IF(K118&gt;K119,K119,K118)</f>
        <v>#DIV/0!</v>
      </c>
      <c r="L82" s="4235"/>
      <c r="M82" s="4234">
        <v>0</v>
      </c>
      <c r="N82" s="4235"/>
      <c r="O82" s="4234" t="e">
        <f>IF(O118&gt;O119,O119,O118)</f>
        <v>#DIV/0!</v>
      </c>
      <c r="P82" s="4235"/>
      <c r="Q82" s="4338">
        <v>0</v>
      </c>
      <c r="S82" s="1967" t="e">
        <f>IF(S118&gt;S119,S119,S118)</f>
        <v>#DIV/0!</v>
      </c>
      <c r="T82" s="1958"/>
      <c r="U82" s="1967">
        <v>0</v>
      </c>
      <c r="V82" s="1958"/>
      <c r="W82" s="1967" t="e">
        <f>IF(W118&gt;W119,W119,W118)</f>
        <v>#DIV/0!</v>
      </c>
      <c r="X82" s="1958"/>
      <c r="Y82" s="4356">
        <v>0</v>
      </c>
      <c r="AA82" s="1982" t="e">
        <f>IF(AA118&gt;AA119,AA119,AA118)</f>
        <v>#DIV/0!</v>
      </c>
      <c r="AB82" s="1973"/>
      <c r="AC82" s="1982">
        <v>0</v>
      </c>
      <c r="AD82" s="1973"/>
      <c r="AE82" s="1982" t="e">
        <f>IF(AE118&gt;AE119,AE119,AE118)</f>
        <v>#DIV/0!</v>
      </c>
      <c r="AF82" s="1973"/>
      <c r="AG82" s="4372">
        <v>0</v>
      </c>
      <c r="AI82" s="2101" t="e">
        <f>IF(AI118&gt;AI119,AI119,AI118)</f>
        <v>#DIV/0!</v>
      </c>
      <c r="AJ82" s="2098"/>
      <c r="AK82" s="2101">
        <v>0</v>
      </c>
      <c r="AL82" s="2098"/>
      <c r="AM82" s="2101" t="e">
        <f>IF(AM118&gt;AM119,AM119,AM118)</f>
        <v>#DIV/0!</v>
      </c>
      <c r="AN82" s="2098"/>
      <c r="AO82" s="4385">
        <v>0</v>
      </c>
      <c r="AQ82" s="2648" t="e">
        <f>IF(AQ118&gt;AQ119,AQ119,AQ118)</f>
        <v>#DIV/0!</v>
      </c>
      <c r="AR82" s="2644"/>
      <c r="AS82" s="2648">
        <v>0</v>
      </c>
      <c r="AT82" s="2644"/>
      <c r="AU82" s="2648" t="e">
        <f>IF(AU118&gt;AU119,AU119,AU118)</f>
        <v>#DIV/0!</v>
      </c>
      <c r="AV82" s="2644"/>
      <c r="AW82" s="2831">
        <v>0</v>
      </c>
      <c r="AY82" s="4196" t="e">
        <f>IF(AY118&gt;AY119,AY119,AY118)</f>
        <v>#DIV/0!</v>
      </c>
      <c r="AZ82" s="4197"/>
      <c r="BA82" s="4196">
        <v>0</v>
      </c>
      <c r="BB82" s="4197"/>
      <c r="BC82" s="4196" t="e">
        <f>IF(BC118&gt;BC119,BC119,BC118)</f>
        <v>#DIV/0!</v>
      </c>
      <c r="BD82" s="4197"/>
      <c r="BE82" s="4397">
        <v>0</v>
      </c>
      <c r="BH82" s="986" t="e">
        <f>IF(BH118&gt;BH119,BH119,BH118)</f>
        <v>#DIV/0!</v>
      </c>
      <c r="BI82" s="986">
        <v>0</v>
      </c>
      <c r="BJ82" s="986" t="e">
        <f>IF(BJ118&gt;BJ119,BJ119,BJ118)</f>
        <v>#DIV/0!</v>
      </c>
      <c r="BK82" s="986">
        <v>0</v>
      </c>
      <c r="BV82" s="1021"/>
      <c r="BW82" s="1021"/>
      <c r="BX82" s="1021"/>
      <c r="BY82" s="1021"/>
      <c r="BZ82" s="1021"/>
      <c r="CA82" s="1021"/>
      <c r="CB82" s="1021"/>
      <c r="CD82" s="2197"/>
      <c r="CE82" s="2197"/>
      <c r="CF82" s="2197"/>
      <c r="CG82" s="2197"/>
      <c r="CH82" s="2197"/>
      <c r="CI82" s="2197"/>
      <c r="CJ82" s="2197"/>
      <c r="CL82" s="2171"/>
      <c r="CM82" s="2171"/>
      <c r="CN82" s="2171"/>
      <c r="CO82" s="2171"/>
      <c r="CP82" s="2171"/>
      <c r="CQ82" s="2171"/>
      <c r="CR82" s="2171"/>
      <c r="CT82" s="2146"/>
      <c r="CU82" s="2146"/>
      <c r="CV82" s="2146"/>
      <c r="CW82" s="2146"/>
      <c r="CX82" s="2146"/>
      <c r="CY82" s="2146"/>
      <c r="CZ82" s="2146"/>
      <c r="DB82" s="2171"/>
      <c r="DC82" s="2171"/>
      <c r="DD82" s="2171"/>
      <c r="DE82" s="2171"/>
      <c r="DF82" s="2171"/>
      <c r="DG82" s="2171"/>
      <c r="DH82" s="2171"/>
      <c r="DJ82" s="2146"/>
      <c r="DK82" s="2146"/>
      <c r="DL82" s="2146"/>
      <c r="DM82" s="2146"/>
      <c r="DN82" s="2146"/>
      <c r="DO82" s="2146"/>
      <c r="DP82" s="2146"/>
      <c r="DR82" s="2171"/>
      <c r="DS82" s="2171"/>
      <c r="DT82" s="2171"/>
      <c r="DU82" s="2171"/>
      <c r="DV82" s="2171"/>
      <c r="DW82" s="2171"/>
      <c r="DX82" s="2171"/>
      <c r="DZ82" s="2146"/>
      <c r="EA82" s="2146"/>
      <c r="EB82" s="2146"/>
      <c r="EC82" s="2146"/>
      <c r="ED82" s="2146"/>
      <c r="EE82" s="2146"/>
      <c r="EF82" s="2146"/>
    </row>
    <row r="83" spans="1:136">
      <c r="A83" s="97"/>
      <c r="C83" s="1944" t="e">
        <f>'Data Entry - SOF'!C91*(C79/'Data Entry - SOF'!C59)</f>
        <v>#DIV/0!</v>
      </c>
      <c r="D83" s="1874"/>
      <c r="E83" s="1944">
        <f>IF('Data Entry - SOF'!C92&gt;E121,E121,'Data Entry - SOF'!C92)</f>
        <v>0</v>
      </c>
      <c r="F83" s="1874"/>
      <c r="G83" s="1944" t="e">
        <f>'Data Entry - SOF'!C91*(G79/'Data Entry - SOF'!C59)</f>
        <v>#DIV/0!</v>
      </c>
      <c r="H83" s="1874"/>
      <c r="I83" s="2762">
        <f>IF('Data Entry - SOF'!C92&gt;I121,I121,'Data Entry - SOF'!C92)</f>
        <v>0</v>
      </c>
      <c r="K83" s="4234" t="e">
        <f>'Data Entry - SOF'!E91*(K79/'Data Entry - SOF'!E59)</f>
        <v>#DIV/0!</v>
      </c>
      <c r="L83" s="4235"/>
      <c r="M83" s="4234">
        <f>IF('Data Entry - SOF'!E92&gt;M121,M121,'Data Entry - SOF'!E92)</f>
        <v>0</v>
      </c>
      <c r="N83" s="4235"/>
      <c r="O83" s="4234" t="e">
        <f>'Data Entry - SOF'!E91*(O79/'Data Entry - SOF'!E59)</f>
        <v>#DIV/0!</v>
      </c>
      <c r="P83" s="4235"/>
      <c r="Q83" s="4338">
        <f>IF('Data Entry - SOF'!E92&gt;Q121,Q121,'Data Entry - SOF'!E92)</f>
        <v>0</v>
      </c>
      <c r="S83" s="1967" t="e">
        <f>'Data Entry - SOF'!G91*(S79/'Data Entry - SOF'!G59)</f>
        <v>#DIV/0!</v>
      </c>
      <c r="T83" s="1958"/>
      <c r="U83" s="1967">
        <f>IF('Data Entry - SOF'!G92&gt;U121,U121,'Data Entry - SOF'!G92)</f>
        <v>0</v>
      </c>
      <c r="V83" s="1958"/>
      <c r="W83" s="1967" t="e">
        <f>'Data Entry - SOF'!G91*(W79/'Data Entry - SOF'!G59)</f>
        <v>#DIV/0!</v>
      </c>
      <c r="X83" s="1958"/>
      <c r="Y83" s="4356">
        <f>IF('Data Entry - SOF'!G92&gt;Y121,Y121,'Data Entry - SOF'!G92)</f>
        <v>0</v>
      </c>
      <c r="AA83" s="1982" t="e">
        <f>'Data Entry - SOF'!I91*(AA79/'Data Entry - SOF'!I59)</f>
        <v>#DIV/0!</v>
      </c>
      <c r="AB83" s="1973"/>
      <c r="AC83" s="1982">
        <f>IF('Data Entry - SOF'!I92&gt;AC121,AC121,'Data Entry - SOF'!I92)</f>
        <v>0</v>
      </c>
      <c r="AD83" s="1973"/>
      <c r="AE83" s="1982" t="e">
        <f>'Data Entry - SOF'!I91*(AE79/'Data Entry - SOF'!I59)</f>
        <v>#DIV/0!</v>
      </c>
      <c r="AF83" s="1973"/>
      <c r="AG83" s="4372">
        <f>IF('Data Entry - SOF'!I92&gt;AG121,AG121,'Data Entry - SOF'!I92)</f>
        <v>0</v>
      </c>
      <c r="AI83" s="2101" t="e">
        <f>'Data Entry - SOF'!K91*(AI79/'Data Entry - SOF'!K59)</f>
        <v>#DIV/0!</v>
      </c>
      <c r="AJ83" s="2098"/>
      <c r="AK83" s="2101">
        <f>IF('Data Entry - SOF'!K92&gt;AK121,AK121,'Data Entry - SOF'!K92)</f>
        <v>0</v>
      </c>
      <c r="AL83" s="2098"/>
      <c r="AM83" s="2101" t="e">
        <f>'Data Entry - SOF'!K91*(AM79/'Data Entry - SOF'!K59)</f>
        <v>#DIV/0!</v>
      </c>
      <c r="AN83" s="2098"/>
      <c r="AO83" s="4385">
        <f>IF('Data Entry - SOF'!K92&gt;AO121,AO121,'Data Entry - SOF'!K92)</f>
        <v>0</v>
      </c>
      <c r="AQ83" s="2648" t="e">
        <f>'Data Entry - SOF'!M91*(AQ79/'Data Entry - SOF'!M59)</f>
        <v>#DIV/0!</v>
      </c>
      <c r="AR83" s="2644"/>
      <c r="AS83" s="2648">
        <f>IF('Data Entry - SOF'!M92&gt;AS121,AS121,'Data Entry - SOF'!M92)</f>
        <v>0</v>
      </c>
      <c r="AT83" s="2644"/>
      <c r="AU83" s="2648" t="e">
        <f>'Data Entry - SOF'!M91*(AU79/'Data Entry - SOF'!M59)</f>
        <v>#DIV/0!</v>
      </c>
      <c r="AV83" s="2644"/>
      <c r="AW83" s="2831">
        <f>IF('Data Entry - SOF'!M92&gt;AW121,AW121,'Data Entry - SOF'!M92)</f>
        <v>0</v>
      </c>
      <c r="AY83" s="4196" t="e">
        <f>'Data Entry - SOF'!O91*(AY79/'Data Entry - SOF'!O59)</f>
        <v>#DIV/0!</v>
      </c>
      <c r="AZ83" s="4197"/>
      <c r="BA83" s="4196">
        <f>IF('Data Entry - SOF'!O92&gt;BA121,BA121,'Data Entry - SOF'!O92)</f>
        <v>0</v>
      </c>
      <c r="BB83" s="4197"/>
      <c r="BC83" s="4196" t="e">
        <f>'Data Entry - SOF'!O91*(BC79/'Data Entry - SOF'!O59)</f>
        <v>#DIV/0!</v>
      </c>
      <c r="BD83" s="4197"/>
      <c r="BE83" s="4397">
        <f>IF('Data Entry - SOF'!O92&gt;BE121,BE121,'Data Entry - SOF'!O92)</f>
        <v>0</v>
      </c>
      <c r="BH83" s="986" t="e">
        <f>'Data Entry - SOF'!E91*(BH79/'Calc Data-SB1'!Y50)</f>
        <v>#DIV/0!</v>
      </c>
      <c r="BI83" s="986">
        <f>IF('Data Entry - SOF'!E92&gt;BI121,BI121,'Data Entry - SOF'!E92)</f>
        <v>0</v>
      </c>
      <c r="BJ83" s="986" t="e">
        <f>'Data Entry - SOF'!E91*(BJ79/'Calc Data-SB1'!Y50)</f>
        <v>#DIV/0!</v>
      </c>
      <c r="BK83">
        <f>IF('Data Entry - SOF'!E92&gt;BK121,BK121,'Data Entry - SOF'!E92)</f>
        <v>0</v>
      </c>
      <c r="BV83" s="1021"/>
      <c r="BW83" s="1021"/>
      <c r="BX83" s="1021"/>
      <c r="BY83" s="1021"/>
      <c r="BZ83" s="1021"/>
      <c r="CA83" s="1021"/>
      <c r="CB83" s="1021"/>
      <c r="CD83" s="2197"/>
      <c r="CE83" s="2197"/>
      <c r="CF83" s="2197"/>
      <c r="CG83" s="2197"/>
      <c r="CH83" s="2197"/>
      <c r="CI83" s="2197"/>
      <c r="CJ83" s="2197"/>
      <c r="CL83" s="2171"/>
      <c r="CM83" s="2171"/>
      <c r="CN83" s="2171"/>
      <c r="CO83" s="2171"/>
      <c r="CP83" s="2171"/>
      <c r="CQ83" s="2171"/>
      <c r="CR83" s="2171"/>
      <c r="CT83" s="2146"/>
      <c r="CU83" s="2146"/>
      <c r="CV83" s="2146"/>
      <c r="CW83" s="2146"/>
      <c r="CX83" s="2146"/>
      <c r="CY83" s="2146"/>
      <c r="CZ83" s="2146"/>
      <c r="DB83" s="2171"/>
      <c r="DC83" s="2171"/>
      <c r="DD83" s="2171"/>
      <c r="DE83" s="2171"/>
      <c r="DF83" s="2171"/>
      <c r="DG83" s="2171"/>
      <c r="DH83" s="2171"/>
      <c r="DJ83" s="2146"/>
      <c r="DK83" s="2146"/>
      <c r="DL83" s="2146"/>
      <c r="DM83" s="2146"/>
      <c r="DN83" s="2146"/>
      <c r="DO83" s="2146"/>
      <c r="DP83" s="2146"/>
      <c r="DR83" s="2171"/>
      <c r="DS83" s="2171"/>
      <c r="DT83" s="2171"/>
      <c r="DU83" s="2171"/>
      <c r="DV83" s="2171"/>
      <c r="DW83" s="2171"/>
      <c r="DX83" s="2171"/>
      <c r="DZ83" s="2146"/>
      <c r="EA83" s="2146"/>
      <c r="EB83" s="2146"/>
      <c r="EC83" s="2146"/>
      <c r="ED83" s="2146"/>
      <c r="EE83" s="2146"/>
      <c r="EF83" s="2146"/>
    </row>
    <row r="84" spans="1:136">
      <c r="A84" s="97"/>
      <c r="C84" s="1945"/>
      <c r="D84" s="1874"/>
      <c r="E84" s="1945"/>
      <c r="F84" s="1874"/>
      <c r="G84" s="1945"/>
      <c r="H84" s="1874"/>
      <c r="I84" s="2763"/>
      <c r="K84" s="4235"/>
      <c r="L84" s="4235"/>
      <c r="M84" s="4235"/>
      <c r="N84" s="4235"/>
      <c r="O84" s="4235"/>
      <c r="P84" s="4235"/>
      <c r="Q84" s="4339"/>
      <c r="S84" s="1968"/>
      <c r="T84" s="1958"/>
      <c r="U84" s="1968"/>
      <c r="V84" s="1958"/>
      <c r="W84" s="1968"/>
      <c r="X84" s="1958"/>
      <c r="Y84" s="4357"/>
      <c r="AA84" s="1983"/>
      <c r="AB84" s="1973"/>
      <c r="AC84" s="1983"/>
      <c r="AD84" s="1973"/>
      <c r="AE84" s="1983"/>
      <c r="AF84" s="1973"/>
      <c r="AG84" s="4373"/>
      <c r="AI84" s="2102"/>
      <c r="AJ84" s="2098"/>
      <c r="AK84" s="2102"/>
      <c r="AL84" s="2098"/>
      <c r="AM84" s="2102"/>
      <c r="AN84" s="2098"/>
      <c r="AO84" s="4386"/>
      <c r="AQ84" s="2649"/>
      <c r="AR84" s="2644"/>
      <c r="AS84" s="2649"/>
      <c r="AT84" s="2644"/>
      <c r="AU84" s="2649"/>
      <c r="AV84" s="2644"/>
      <c r="AW84" s="2832"/>
      <c r="AY84" s="4197"/>
      <c r="AZ84" s="4197"/>
      <c r="BA84" s="4197"/>
      <c r="BB84" s="4197"/>
      <c r="BC84" s="4197"/>
      <c r="BD84" s="4197"/>
      <c r="BE84" s="4400"/>
      <c r="BH84" s="987"/>
      <c r="BI84" s="987"/>
      <c r="BJ84" s="987"/>
      <c r="BK84" s="987"/>
      <c r="BV84" s="1021"/>
      <c r="BW84" s="1021"/>
      <c r="BX84" s="1021"/>
      <c r="BY84" s="1021"/>
      <c r="BZ84" s="1021"/>
      <c r="CA84" s="1021"/>
      <c r="CB84" s="1021"/>
      <c r="CD84" s="2197"/>
      <c r="CE84" s="2197"/>
      <c r="CF84" s="2197"/>
      <c r="CG84" s="2197"/>
      <c r="CH84" s="2197"/>
      <c r="CI84" s="2197"/>
      <c r="CJ84" s="2197"/>
      <c r="CL84" s="2171"/>
      <c r="CM84" s="2171"/>
      <c r="CN84" s="2171"/>
      <c r="CO84" s="2171"/>
      <c r="CP84" s="2171"/>
      <c r="CQ84" s="2171"/>
      <c r="CR84" s="2171"/>
      <c r="CT84" s="2146"/>
      <c r="CU84" s="2146"/>
      <c r="CV84" s="2146"/>
      <c r="CW84" s="2146"/>
      <c r="CX84" s="2146"/>
      <c r="CY84" s="2146"/>
      <c r="CZ84" s="2146"/>
      <c r="DB84" s="2171"/>
      <c r="DC84" s="2171"/>
      <c r="DD84" s="2171"/>
      <c r="DE84" s="2171"/>
      <c r="DF84" s="2171"/>
      <c r="DG84" s="2171"/>
      <c r="DH84" s="2171"/>
      <c r="DJ84" s="2146"/>
      <c r="DK84" s="2146"/>
      <c r="DL84" s="2146"/>
      <c r="DM84" s="2146"/>
      <c r="DN84" s="2146"/>
      <c r="DO84" s="2146"/>
      <c r="DP84" s="2146"/>
      <c r="DR84" s="2171"/>
      <c r="DS84" s="2171"/>
      <c r="DT84" s="2171"/>
      <c r="DU84" s="2171"/>
      <c r="DV84" s="2171"/>
      <c r="DW84" s="2171"/>
      <c r="DX84" s="2171"/>
      <c r="DZ84" s="2146"/>
      <c r="EA84" s="2146"/>
      <c r="EB84" s="2146"/>
      <c r="EC84" s="2146"/>
      <c r="ED84" s="2146"/>
      <c r="EE84" s="2146"/>
      <c r="EF84" s="2146"/>
    </row>
    <row r="85" spans="1:136" ht="13.5" thickBot="1">
      <c r="A85" s="97"/>
      <c r="C85" s="1946" t="e">
        <f>IF(C79-C82-C83&lt;0,0,C79-C82-C83)</f>
        <v>#DIV/0!</v>
      </c>
      <c r="D85" s="1874"/>
      <c r="E85" s="1946" t="e">
        <f>IF(E79-E82-E83&lt;0,0,E79-E82-E83)</f>
        <v>#DIV/0!</v>
      </c>
      <c r="F85" s="1874"/>
      <c r="G85" s="1946" t="e">
        <f>IF(G79-G82-G83&lt;0,0,G79-G82-G83)</f>
        <v>#DIV/0!</v>
      </c>
      <c r="H85" s="1874"/>
      <c r="I85" s="2764" t="e">
        <f>IF(I79-I82-I83&lt;0,0,I79-I82-I83)</f>
        <v>#DIV/0!</v>
      </c>
      <c r="K85" s="4239" t="e">
        <f>IF(K79-K82-K83&lt;0,0,K79-K82-K83)</f>
        <v>#DIV/0!</v>
      </c>
      <c r="L85" s="4235"/>
      <c r="M85" s="4239" t="e">
        <f>IF(M79-M82-M83&lt;0,0,M79-M82-M83)</f>
        <v>#DIV/0!</v>
      </c>
      <c r="N85" s="4235"/>
      <c r="O85" s="4239" t="e">
        <f>IF(O79-O82-O83&lt;0,0,O79-O82-O83)</f>
        <v>#DIV/0!</v>
      </c>
      <c r="P85" s="4235"/>
      <c r="Q85" s="4343" t="e">
        <f>IF(Q79-Q82-Q83&lt;0,0,Q79-Q82-Q83)</f>
        <v>#DIV/0!</v>
      </c>
      <c r="S85" s="1969" t="e">
        <f>IF(S79-S82-S83&lt;0,0,S79-S82-S83)</f>
        <v>#DIV/0!</v>
      </c>
      <c r="T85" s="1958"/>
      <c r="U85" s="1969" t="e">
        <f>IF(U79-U82-U83&lt;0,0,U79-U82-U83)</f>
        <v>#DIV/0!</v>
      </c>
      <c r="V85" s="1958"/>
      <c r="W85" s="1969" t="e">
        <f>IF(W79-W82-W83&lt;0,0,W79-W82-W83)</f>
        <v>#DIV/0!</v>
      </c>
      <c r="X85" s="1958"/>
      <c r="Y85" s="4358" t="e">
        <f>IF(Y79-Y82-Y83&lt;0,0,Y79-Y82-Y83)</f>
        <v>#DIV/0!</v>
      </c>
      <c r="AA85" s="1984" t="e">
        <f>IF(AA79-AA82-AA83&lt;0,0,AA79-AA82-AA83)</f>
        <v>#DIV/0!</v>
      </c>
      <c r="AB85" s="1973"/>
      <c r="AC85" s="1984" t="e">
        <f>IF(AC79-AC82-AC83&lt;0,0,AC79-AC82-AC83)</f>
        <v>#DIV/0!</v>
      </c>
      <c r="AD85" s="1973"/>
      <c r="AE85" s="1984" t="e">
        <f>IF(AE79-AE82-AE83&lt;0,0,AE79-AE82-AE83)</f>
        <v>#DIV/0!</v>
      </c>
      <c r="AF85" s="1973"/>
      <c r="AG85" s="4374" t="e">
        <f>IF(AG79-AG82-AG83&lt;0,0,AG79-AG82-AG83)</f>
        <v>#DIV/0!</v>
      </c>
      <c r="AI85" s="2103" t="e">
        <f>IF(AI79-AI82-AI83&lt;0,0,AI79-AI82-AI83)</f>
        <v>#DIV/0!</v>
      </c>
      <c r="AJ85" s="2098"/>
      <c r="AK85" s="2103" t="e">
        <f>IF(AK79-AK82-AK83&lt;0,0,AK79-AK82-AK83)</f>
        <v>#DIV/0!</v>
      </c>
      <c r="AL85" s="2098"/>
      <c r="AM85" s="2103" t="e">
        <f>IF(AM79-AM82-AM83&lt;0,0,AM79-AM82-AM83)</f>
        <v>#DIV/0!</v>
      </c>
      <c r="AN85" s="2098"/>
      <c r="AO85" s="4387" t="e">
        <f>IF(AO79-AO82-AO83&lt;0,0,AO79-AO82-AO83)</f>
        <v>#DIV/0!</v>
      </c>
      <c r="AQ85" s="2650" t="e">
        <f>IF(AQ79-AQ82-AQ83&lt;0,0,AQ79-AQ82-AQ83)</f>
        <v>#DIV/0!</v>
      </c>
      <c r="AR85" s="2644"/>
      <c r="AS85" s="2650" t="e">
        <f>IF(AS79-AS82-AS83&lt;0,0,AS79-AS82-AS83)</f>
        <v>#DIV/0!</v>
      </c>
      <c r="AT85" s="2644"/>
      <c r="AU85" s="2650" t="e">
        <f>IF(AU79-AU82-AU83&lt;0,0,AU79-AU82-AU83)</f>
        <v>#DIV/0!</v>
      </c>
      <c r="AV85" s="2644"/>
      <c r="AW85" s="2833" t="e">
        <f>IF(AW79-AW82-AW83&lt;0,0,AW79-AW82-AW83)</f>
        <v>#DIV/0!</v>
      </c>
      <c r="AY85" s="4227" t="e">
        <f>IF(AY79-AY82-AY83&lt;0,0,AY79-AY82-AY83)</f>
        <v>#DIV/0!</v>
      </c>
      <c r="AZ85" s="4197"/>
      <c r="BA85" s="4227" t="e">
        <f>IF(BA79-BA82-BA83&lt;0,0,BA79-BA82-BA83)</f>
        <v>#DIV/0!</v>
      </c>
      <c r="BB85" s="4197"/>
      <c r="BC85" s="4227" t="e">
        <f>IF(BC79-BC82-BC83&lt;0,0,BC79-BC82-BC83)</f>
        <v>#DIV/0!</v>
      </c>
      <c r="BD85" s="4197"/>
      <c r="BE85" s="4404" t="e">
        <f>IF(BE79-BE82-BE83&lt;0,0,BE79-BE82-BE83)</f>
        <v>#DIV/0!</v>
      </c>
      <c r="BH85" s="988" t="e">
        <f>IF(BH79-BH82-BH83&lt;0,0,BH79-BH82-BH83)</f>
        <v>#DIV/0!</v>
      </c>
      <c r="BI85" s="988" t="e">
        <f>IF(BI79-BI82-BI83&lt;0,0,BI79-BI82-BI83)</f>
        <v>#DIV/0!</v>
      </c>
      <c r="BJ85" s="988" t="e">
        <f>IF(BJ79-BJ82-BJ83&lt;0,0,BJ79-BJ82-BJ83)</f>
        <v>#DIV/0!</v>
      </c>
      <c r="BK85" s="988" t="e">
        <f>IF(BK79-BK82-BK83&lt;0,0,BK79-BK82-BK83)</f>
        <v>#DIV/0!</v>
      </c>
      <c r="BV85" s="1021"/>
      <c r="BW85" s="1021"/>
      <c r="BX85" s="1021"/>
      <c r="BY85" s="1021"/>
      <c r="BZ85" s="1021"/>
      <c r="CA85" s="1021"/>
      <c r="CB85" s="1021"/>
      <c r="CD85" s="2197"/>
      <c r="CE85" s="2197"/>
      <c r="CF85" s="2197"/>
      <c r="CG85" s="2197"/>
      <c r="CH85" s="2197"/>
      <c r="CI85" s="2197"/>
      <c r="CJ85" s="2197"/>
      <c r="CL85" s="2171"/>
      <c r="CM85" s="2171"/>
      <c r="CN85" s="2171"/>
      <c r="CO85" s="2171"/>
      <c r="CP85" s="2171"/>
      <c r="CQ85" s="2171"/>
      <c r="CR85" s="2171"/>
      <c r="CT85" s="2146"/>
      <c r="CU85" s="2146"/>
      <c r="CV85" s="2146"/>
      <c r="CW85" s="2146"/>
      <c r="CX85" s="2146"/>
      <c r="CY85" s="2146"/>
      <c r="CZ85" s="2146"/>
      <c r="DB85" s="2171"/>
      <c r="DC85" s="2171"/>
      <c r="DD85" s="2171"/>
      <c r="DE85" s="2171"/>
      <c r="DF85" s="2171"/>
      <c r="DG85" s="2171"/>
      <c r="DH85" s="2171"/>
      <c r="DJ85" s="2146"/>
      <c r="DK85" s="2146"/>
      <c r="DL85" s="2146"/>
      <c r="DM85" s="2146"/>
      <c r="DN85" s="2146"/>
      <c r="DO85" s="2146"/>
      <c r="DP85" s="2146"/>
      <c r="DR85" s="2171"/>
      <c r="DS85" s="2171"/>
      <c r="DT85" s="2171"/>
      <c r="DU85" s="2171"/>
      <c r="DV85" s="2171"/>
      <c r="DW85" s="2171"/>
      <c r="DX85" s="2171"/>
      <c r="DZ85" s="2146"/>
      <c r="EA85" s="2146"/>
      <c r="EB85" s="2146"/>
      <c r="EC85" s="2146"/>
      <c r="ED85" s="2146"/>
      <c r="EE85" s="2146"/>
      <c r="EF85" s="2146"/>
    </row>
    <row r="86" spans="1:136" ht="13.5" thickTop="1">
      <c r="A86" s="97"/>
      <c r="C86" s="1874" t="e">
        <f>IF(C78=0,0,C85/C78)</f>
        <v>#DIV/0!</v>
      </c>
      <c r="D86" s="1874"/>
      <c r="E86" s="1874" t="e">
        <f>IF(E78=0,0,E85/E78)</f>
        <v>#DIV/0!</v>
      </c>
      <c r="F86" s="1874"/>
      <c r="G86" s="1874" t="e">
        <f>IF(G78=0,0,G85/G78)</f>
        <v>#DIV/0!</v>
      </c>
      <c r="H86" s="1874"/>
      <c r="I86" s="2763" t="e">
        <f>IF(I78=0,0,I85/I78)</f>
        <v>#DIV/0!</v>
      </c>
      <c r="K86" s="4235" t="e">
        <f>IF(K78=0,0,K85/K78)</f>
        <v>#DIV/0!</v>
      </c>
      <c r="L86" s="4235"/>
      <c r="M86" s="4235" t="e">
        <f>IF(M78=0,0,M85/M78)</f>
        <v>#DIV/0!</v>
      </c>
      <c r="N86" s="4235"/>
      <c r="O86" s="4235" t="e">
        <f>IF(O78=0,0,O85/O78)</f>
        <v>#DIV/0!</v>
      </c>
      <c r="P86" s="4235"/>
      <c r="Q86" s="4339" t="e">
        <f>IF(Q78=0,0,Q85/Q78)</f>
        <v>#DIV/0!</v>
      </c>
      <c r="S86" s="1958" t="e">
        <f>IF(S78=0,0,S85/S78)</f>
        <v>#DIV/0!</v>
      </c>
      <c r="T86" s="1958"/>
      <c r="U86" s="1958" t="e">
        <f>IF(U78=0,0,U85/U78)</f>
        <v>#DIV/0!</v>
      </c>
      <c r="V86" s="1958"/>
      <c r="W86" s="1958" t="e">
        <f>IF(W78=0,0,W85/W78)</f>
        <v>#DIV/0!</v>
      </c>
      <c r="X86" s="1958"/>
      <c r="Y86" s="4357" t="e">
        <f>IF(Y78=0,0,Y85/Y78)</f>
        <v>#DIV/0!</v>
      </c>
      <c r="AA86" s="1973" t="e">
        <f>IF(AA78=0,0,AA85/AA78)</f>
        <v>#DIV/0!</v>
      </c>
      <c r="AB86" s="1973"/>
      <c r="AC86" s="1973" t="e">
        <f>IF(AC78=0,0,AC85/AC78)</f>
        <v>#DIV/0!</v>
      </c>
      <c r="AD86" s="1973"/>
      <c r="AE86" s="1973" t="e">
        <f>IF(AE78=0,0,AE85/AE78)</f>
        <v>#DIV/0!</v>
      </c>
      <c r="AF86" s="1973"/>
      <c r="AG86" s="4373" t="e">
        <f>IF(AG78=0,0,AG85/AG78)</f>
        <v>#DIV/0!</v>
      </c>
      <c r="AI86" s="2098" t="e">
        <f>IF(AI78=0,0,AI85/AI78)</f>
        <v>#DIV/0!</v>
      </c>
      <c r="AJ86" s="2098"/>
      <c r="AK86" s="2098" t="e">
        <f>IF(AK78=0,0,AK85/AK78)</f>
        <v>#DIV/0!</v>
      </c>
      <c r="AL86" s="2098"/>
      <c r="AM86" s="2098" t="e">
        <f>IF(AM78=0,0,AM85/AM78)</f>
        <v>#DIV/0!</v>
      </c>
      <c r="AN86" s="2098"/>
      <c r="AO86" s="4386" t="e">
        <f>IF(AO78=0,0,AO85/AO78)</f>
        <v>#DIV/0!</v>
      </c>
      <c r="AQ86" s="2644" t="e">
        <f>IF(AQ78=0,0,AQ85/AQ78)</f>
        <v>#DIV/0!</v>
      </c>
      <c r="AR86" s="2644"/>
      <c r="AS86" s="2644" t="e">
        <f>IF(AS78=0,0,AS85/AS78)</f>
        <v>#DIV/0!</v>
      </c>
      <c r="AT86" s="2644"/>
      <c r="AU86" s="2644" t="e">
        <f>IF(AU78=0,0,AU85/AU78)</f>
        <v>#DIV/0!</v>
      </c>
      <c r="AV86" s="2644"/>
      <c r="AW86" s="2832" t="e">
        <f>IF(AW78=0,0,AW85/AW78)</f>
        <v>#DIV/0!</v>
      </c>
      <c r="AY86" s="4197" t="e">
        <f>IF(AY78=0,0,AY85/AY78)</f>
        <v>#DIV/0!</v>
      </c>
      <c r="AZ86" s="4197"/>
      <c r="BA86" s="4197" t="e">
        <f>IF(BA78=0,0,BA85/BA78)</f>
        <v>#DIV/0!</v>
      </c>
      <c r="BB86" s="4197"/>
      <c r="BC86" s="4197" t="e">
        <f>IF(BC78=0,0,BC85/BC78)</f>
        <v>#DIV/0!</v>
      </c>
      <c r="BD86" s="4197"/>
      <c r="BE86" s="4400" t="e">
        <f>IF(BE78=0,0,BE85/BE78)</f>
        <v>#DIV/0!</v>
      </c>
      <c r="BH86" s="983" t="e">
        <f>IF(BH78=0,0,BH85/BH78)</f>
        <v>#DIV/0!</v>
      </c>
      <c r="BI86" s="983" t="e">
        <f>IF(BI78=0,0,BI85/BI78)</f>
        <v>#DIV/0!</v>
      </c>
      <c r="BJ86" s="979"/>
      <c r="BK86" s="979"/>
      <c r="BV86" s="1021"/>
      <c r="BW86" s="1021"/>
      <c r="BX86" s="1021"/>
      <c r="BY86" s="1021"/>
      <c r="BZ86" s="1021"/>
      <c r="CA86" s="1021"/>
      <c r="CB86" s="1021"/>
      <c r="CD86" s="2197"/>
      <c r="CE86" s="2197"/>
      <c r="CF86" s="2197"/>
      <c r="CG86" s="2197"/>
      <c r="CH86" s="2197"/>
      <c r="CI86" s="2197"/>
      <c r="CJ86" s="2197"/>
      <c r="CL86" s="2171"/>
      <c r="CM86" s="2171"/>
      <c r="CN86" s="2171"/>
      <c r="CO86" s="2171"/>
      <c r="CP86" s="2171"/>
      <c r="CQ86" s="2171"/>
      <c r="CR86" s="2171"/>
      <c r="CT86" s="2146"/>
      <c r="CU86" s="2146"/>
      <c r="CV86" s="2146"/>
      <c r="CW86" s="2146"/>
      <c r="CX86" s="2146"/>
      <c r="CY86" s="2146"/>
      <c r="CZ86" s="2146"/>
      <c r="DB86" s="2171"/>
      <c r="DC86" s="2171"/>
      <c r="DD86" s="2171"/>
      <c r="DE86" s="2171"/>
      <c r="DF86" s="2171"/>
      <c r="DG86" s="2171"/>
      <c r="DH86" s="2171"/>
      <c r="DJ86" s="2146"/>
      <c r="DK86" s="2146"/>
      <c r="DL86" s="2146"/>
      <c r="DM86" s="2146"/>
      <c r="DN86" s="2146"/>
      <c r="DO86" s="2146"/>
      <c r="DP86" s="2146"/>
      <c r="DR86" s="2171"/>
      <c r="DS86" s="2171"/>
      <c r="DT86" s="2171"/>
      <c r="DU86" s="2171"/>
      <c r="DV86" s="2171"/>
      <c r="DW86" s="2171"/>
      <c r="DX86" s="2171"/>
      <c r="DZ86" s="2146"/>
      <c r="EA86" s="2146"/>
      <c r="EB86" s="2146"/>
      <c r="EC86" s="2146"/>
      <c r="ED86" s="2146"/>
      <c r="EE86" s="2146"/>
      <c r="EF86" s="2146"/>
    </row>
    <row r="87" spans="1:136">
      <c r="A87" s="97"/>
      <c r="C87" s="1420"/>
      <c r="D87" s="1420"/>
      <c r="E87" s="1420"/>
      <c r="F87" s="1420"/>
      <c r="G87" s="1420"/>
      <c r="H87" s="1420"/>
      <c r="I87" s="2745"/>
      <c r="K87" s="4235"/>
      <c r="L87" s="4235"/>
      <c r="M87" s="4235"/>
      <c r="N87" s="4235"/>
      <c r="O87" s="4235"/>
      <c r="P87" s="4235"/>
      <c r="Q87" s="4339"/>
      <c r="S87" s="1598"/>
      <c r="T87" s="1598"/>
      <c r="U87" s="1598"/>
      <c r="V87" s="1598"/>
      <c r="W87" s="1598"/>
      <c r="X87" s="1598"/>
      <c r="Y87" s="2780"/>
      <c r="AA87" s="1679"/>
      <c r="AB87" s="1679"/>
      <c r="AC87" s="1679"/>
      <c r="AD87" s="1679"/>
      <c r="AE87" s="1679"/>
      <c r="AF87" s="1679"/>
      <c r="AG87" s="2801"/>
      <c r="AI87" s="2098"/>
      <c r="AJ87" s="2098"/>
      <c r="AK87" s="2098"/>
      <c r="AL87" s="2098"/>
      <c r="AM87" s="2098"/>
      <c r="AN87" s="2098"/>
      <c r="AO87" s="4386"/>
      <c r="AQ87" s="2644"/>
      <c r="AR87" s="2644"/>
      <c r="AS87" s="2644"/>
      <c r="AT87" s="2644"/>
      <c r="AU87" s="2644"/>
      <c r="AV87" s="2644"/>
      <c r="AW87" s="2832"/>
      <c r="AY87" s="4197"/>
      <c r="AZ87" s="4197"/>
      <c r="BA87" s="4197"/>
      <c r="BB87" s="4197"/>
      <c r="BC87" s="4197"/>
      <c r="BD87" s="4197"/>
      <c r="BE87" s="4400"/>
      <c r="BH87" s="978"/>
      <c r="BI87" s="978"/>
      <c r="BJ87" s="979"/>
      <c r="BK87" s="979"/>
      <c r="BV87" s="1021"/>
      <c r="BW87" s="1021"/>
      <c r="BX87" s="1021"/>
      <c r="BY87" s="1021"/>
      <c r="BZ87" s="1021"/>
      <c r="CA87" s="1021"/>
      <c r="CB87" s="1021"/>
      <c r="CD87" s="2197"/>
      <c r="CE87" s="2197"/>
      <c r="CF87" s="2197"/>
      <c r="CG87" s="2197"/>
      <c r="CH87" s="2197"/>
      <c r="CI87" s="2197"/>
      <c r="CJ87" s="2197"/>
      <c r="CL87" s="2171"/>
      <c r="CM87" s="2171"/>
      <c r="CN87" s="2171"/>
      <c r="CO87" s="2171"/>
      <c r="CP87" s="2171"/>
      <c r="CQ87" s="2171"/>
      <c r="CR87" s="2171"/>
      <c r="CT87" s="2146"/>
      <c r="CU87" s="2146"/>
      <c r="CV87" s="2146"/>
      <c r="CW87" s="2146"/>
      <c r="CX87" s="2146"/>
      <c r="CY87" s="2146"/>
      <c r="CZ87" s="2146"/>
      <c r="DB87" s="2171"/>
      <c r="DC87" s="2171"/>
      <c r="DD87" s="2171"/>
      <c r="DE87" s="2171"/>
      <c r="DF87" s="2171"/>
      <c r="DG87" s="2171"/>
      <c r="DH87" s="2171"/>
      <c r="DJ87" s="2146"/>
      <c r="DK87" s="2146"/>
      <c r="DL87" s="2146"/>
      <c r="DM87" s="2146"/>
      <c r="DN87" s="2146"/>
      <c r="DO87" s="2146"/>
      <c r="DP87" s="2146"/>
      <c r="DR87" s="2171"/>
      <c r="DS87" s="2171"/>
      <c r="DT87" s="2171"/>
      <c r="DU87" s="2171"/>
      <c r="DV87" s="2171"/>
      <c r="DW87" s="2171"/>
      <c r="DX87" s="2171"/>
      <c r="DZ87" s="2146"/>
      <c r="EA87" s="2146"/>
      <c r="EB87" s="2146"/>
      <c r="EC87" s="2146"/>
      <c r="ED87" s="2146"/>
      <c r="EE87" s="2146"/>
      <c r="EF87" s="2146"/>
    </row>
    <row r="88" spans="1:136">
      <c r="A88" s="97"/>
      <c r="C88" s="1420"/>
      <c r="D88" s="1420"/>
      <c r="E88" s="1420"/>
      <c r="F88" s="1420"/>
      <c r="G88" s="1420"/>
      <c r="H88" s="1420"/>
      <c r="I88" s="2745"/>
      <c r="K88" s="4235"/>
      <c r="L88" s="4235"/>
      <c r="M88" s="4235"/>
      <c r="N88" s="4235"/>
      <c r="O88" s="4235"/>
      <c r="P88" s="4235"/>
      <c r="Q88" s="4339"/>
      <c r="S88" s="1598"/>
      <c r="T88" s="1598"/>
      <c r="U88" s="1598"/>
      <c r="V88" s="1598"/>
      <c r="W88" s="1598"/>
      <c r="X88" s="1598"/>
      <c r="Y88" s="2780"/>
      <c r="AA88" s="1679"/>
      <c r="AB88" s="1679"/>
      <c r="AC88" s="1679"/>
      <c r="AD88" s="1679"/>
      <c r="AE88" s="1679"/>
      <c r="AF88" s="1679"/>
      <c r="AG88" s="2801"/>
      <c r="AI88" s="2098"/>
      <c r="AJ88" s="2098"/>
      <c r="AK88" s="2098"/>
      <c r="AL88" s="2098"/>
      <c r="AM88" s="2098"/>
      <c r="AN88" s="2098"/>
      <c r="AO88" s="4386"/>
      <c r="AQ88" s="2644"/>
      <c r="AR88" s="2644"/>
      <c r="AS88" s="2644"/>
      <c r="AT88" s="2644"/>
      <c r="AU88" s="2644"/>
      <c r="AV88" s="2644"/>
      <c r="AW88" s="2832"/>
      <c r="AY88" s="4197"/>
      <c r="AZ88" s="4197"/>
      <c r="BA88" s="4197"/>
      <c r="BB88" s="4197"/>
      <c r="BC88" s="4197"/>
      <c r="BD88" s="4197"/>
      <c r="BE88" s="4400"/>
      <c r="BH88" s="989" t="str">
        <f>BH57</f>
        <v>Y</v>
      </c>
      <c r="BI88" s="978"/>
      <c r="BJ88" s="989" t="str">
        <f>BJ57</f>
        <v>Y</v>
      </c>
      <c r="BK88" s="979"/>
      <c r="BV88" s="1021"/>
      <c r="BW88" s="1021"/>
      <c r="BX88" s="1021"/>
      <c r="BY88" s="1021"/>
      <c r="BZ88" s="1021"/>
      <c r="CA88" s="1021"/>
      <c r="CB88" s="1021"/>
      <c r="CD88" s="2197"/>
      <c r="CE88" s="2197"/>
      <c r="CF88" s="2197"/>
      <c r="CG88" s="2197"/>
      <c r="CH88" s="2197"/>
      <c r="CI88" s="2197"/>
      <c r="CJ88" s="2197"/>
      <c r="CL88" s="2171"/>
      <c r="CM88" s="2171"/>
      <c r="CN88" s="2171"/>
      <c r="CO88" s="2171"/>
      <c r="CP88" s="2171"/>
      <c r="CQ88" s="2171"/>
      <c r="CR88" s="2171"/>
      <c r="CT88" s="2146"/>
      <c r="CU88" s="2146"/>
      <c r="CV88" s="2146"/>
      <c r="CW88" s="2146"/>
      <c r="CX88" s="2146"/>
      <c r="CY88" s="2146"/>
      <c r="CZ88" s="2146"/>
      <c r="DB88" s="2171"/>
      <c r="DC88" s="2171"/>
      <c r="DD88" s="2171"/>
      <c r="DE88" s="2171"/>
      <c r="DF88" s="2171"/>
      <c r="DG88" s="2171"/>
      <c r="DH88" s="2171"/>
      <c r="DJ88" s="2146"/>
      <c r="DK88" s="2146"/>
      <c r="DL88" s="2146"/>
      <c r="DM88" s="2146"/>
      <c r="DN88" s="2146"/>
      <c r="DO88" s="2146"/>
      <c r="DP88" s="2146"/>
      <c r="DR88" s="2171"/>
      <c r="DS88" s="2171"/>
      <c r="DT88" s="2171"/>
      <c r="DU88" s="2171"/>
      <c r="DV88" s="2171"/>
      <c r="DW88" s="2171"/>
      <c r="DX88" s="2171"/>
      <c r="DZ88" s="2146"/>
      <c r="EA88" s="2146"/>
      <c r="EB88" s="2146"/>
      <c r="EC88" s="2146"/>
      <c r="ED88" s="2146"/>
      <c r="EE88" s="2146"/>
      <c r="EF88" s="2146"/>
    </row>
    <row r="89" spans="1:136">
      <c r="A89" s="97"/>
      <c r="C89" s="1947" t="s">
        <v>4568</v>
      </c>
      <c r="D89" s="1874"/>
      <c r="E89" s="1874"/>
      <c r="F89" s="1874"/>
      <c r="G89" s="1874"/>
      <c r="H89" s="1874"/>
      <c r="I89" s="2763"/>
      <c r="K89" s="4235" t="s">
        <v>4569</v>
      </c>
      <c r="L89" s="4235"/>
      <c r="M89" s="4235"/>
      <c r="N89" s="4235"/>
      <c r="O89" s="4235"/>
      <c r="P89" s="4235"/>
      <c r="Q89" s="4339"/>
      <c r="S89" s="1957" t="s">
        <v>4570</v>
      </c>
      <c r="T89" s="1958"/>
      <c r="U89" s="1958"/>
      <c r="V89" s="1958"/>
      <c r="W89" s="1958"/>
      <c r="X89" s="1958"/>
      <c r="Y89" s="4357"/>
      <c r="AA89" s="1972" t="s">
        <v>4571</v>
      </c>
      <c r="AB89" s="1973"/>
      <c r="AC89" s="1973"/>
      <c r="AD89" s="1973"/>
      <c r="AE89" s="1973"/>
      <c r="AF89" s="1973"/>
      <c r="AG89" s="4373"/>
      <c r="AI89" s="2098" t="s">
        <v>4647</v>
      </c>
      <c r="AJ89" s="2098"/>
      <c r="AK89" s="2098"/>
      <c r="AL89" s="2098"/>
      <c r="AM89" s="2098"/>
      <c r="AN89" s="2098"/>
      <c r="AO89" s="4386"/>
      <c r="AQ89" s="2644" t="s">
        <v>4647</v>
      </c>
      <c r="AR89" s="2644"/>
      <c r="AS89" s="2644"/>
      <c r="AT89" s="2644"/>
      <c r="AU89" s="2644"/>
      <c r="AV89" s="2644"/>
      <c r="AW89" s="2832"/>
      <c r="AY89" s="4197" t="s">
        <v>4647</v>
      </c>
      <c r="AZ89" s="4197"/>
      <c r="BA89" s="4197"/>
      <c r="BB89" s="4197"/>
      <c r="BC89" s="4197"/>
      <c r="BD89" s="4197"/>
      <c r="BE89" s="4400"/>
      <c r="BH89" s="953"/>
      <c r="BI89" s="953"/>
      <c r="BJ89" s="953"/>
      <c r="BK89" s="953"/>
      <c r="BV89" s="1021"/>
      <c r="BW89" s="1021"/>
      <c r="BX89" s="1021"/>
      <c r="BY89" s="1021"/>
      <c r="BZ89" s="1021"/>
      <c r="CA89" s="1021"/>
      <c r="CB89" s="1021"/>
      <c r="CD89" s="2197"/>
      <c r="CE89" s="2197"/>
      <c r="CF89" s="2197"/>
      <c r="CG89" s="2197"/>
      <c r="CH89" s="2197"/>
      <c r="CI89" s="2197"/>
      <c r="CJ89" s="2197"/>
      <c r="CL89" s="2171"/>
      <c r="CM89" s="2171"/>
      <c r="CN89" s="2171"/>
      <c r="CO89" s="2171"/>
      <c r="CP89" s="2171"/>
      <c r="CQ89" s="2171"/>
      <c r="CR89" s="2171"/>
      <c r="CT89" s="2146"/>
      <c r="CU89" s="2146"/>
      <c r="CV89" s="2146"/>
      <c r="CW89" s="2146"/>
      <c r="CX89" s="2146"/>
      <c r="CY89" s="2146"/>
      <c r="CZ89" s="2146"/>
      <c r="DB89" s="2171"/>
      <c r="DC89" s="2171"/>
      <c r="DD89" s="2171"/>
      <c r="DE89" s="2171"/>
      <c r="DF89" s="2171"/>
      <c r="DG89" s="2171"/>
      <c r="DH89" s="2171"/>
      <c r="DJ89" s="2146"/>
      <c r="DK89" s="2146"/>
      <c r="DL89" s="2146"/>
      <c r="DM89" s="2146"/>
      <c r="DN89" s="2146"/>
      <c r="DO89" s="2146"/>
      <c r="DP89" s="2146"/>
      <c r="DR89" s="2171"/>
      <c r="DS89" s="2171"/>
      <c r="DT89" s="2171"/>
      <c r="DU89" s="2171"/>
      <c r="DV89" s="2171"/>
      <c r="DW89" s="2171"/>
      <c r="DX89" s="2171"/>
      <c r="DZ89" s="2146"/>
      <c r="EA89" s="2146"/>
      <c r="EB89" s="2146"/>
      <c r="EC89" s="2146"/>
      <c r="ED89" s="2146"/>
      <c r="EE89" s="2146"/>
      <c r="EF89" s="2146"/>
    </row>
    <row r="90" spans="1:136">
      <c r="A90" s="97"/>
      <c r="C90" s="1842" t="e">
        <f>'ASATR-SB1'!E58</f>
        <v>#DIV/0!</v>
      </c>
      <c r="D90" s="1874"/>
      <c r="E90" s="1842" t="e">
        <f>C90</f>
        <v>#DIV/0!</v>
      </c>
      <c r="F90" s="1874"/>
      <c r="G90" s="1842"/>
      <c r="H90" s="1874"/>
      <c r="I90" s="4330"/>
      <c r="K90" s="4234" t="e">
        <f>'ASATR-SB1'!G58</f>
        <v>#DIV/0!</v>
      </c>
      <c r="L90" s="4235"/>
      <c r="M90" s="4234" t="e">
        <f>K90</f>
        <v>#DIV/0!</v>
      </c>
      <c r="N90" s="4235"/>
      <c r="O90" s="4234"/>
      <c r="P90" s="4235"/>
      <c r="Q90" s="4338"/>
      <c r="S90" s="1959" t="e">
        <f>'ASATR-SB1'!I58</f>
        <v>#DIV/0!</v>
      </c>
      <c r="T90" s="1958"/>
      <c r="U90" s="1959" t="e">
        <f>S90</f>
        <v>#DIV/0!</v>
      </c>
      <c r="V90" s="1958"/>
      <c r="W90" s="1959"/>
      <c r="X90" s="1958"/>
      <c r="Y90" s="4353"/>
      <c r="AA90" s="1974" t="e">
        <f>'ASATR-SB1'!K58</f>
        <v>#DIV/0!</v>
      </c>
      <c r="AB90" s="1973"/>
      <c r="AC90" s="1974" t="e">
        <f>AA90</f>
        <v>#DIV/0!</v>
      </c>
      <c r="AD90" s="1973"/>
      <c r="AE90" s="1974"/>
      <c r="AF90" s="1973"/>
      <c r="AG90" s="4368"/>
      <c r="AI90" s="1263" t="e">
        <f>'ASATR-SB1'!M58</f>
        <v>#DIV/0!</v>
      </c>
      <c r="AJ90" s="2098"/>
      <c r="AK90" s="2097" t="e">
        <f>AI90</f>
        <v>#DIV/0!</v>
      </c>
      <c r="AL90" s="2098"/>
      <c r="AM90" s="2097"/>
      <c r="AN90" s="2098"/>
      <c r="AO90" s="4383"/>
      <c r="AQ90" s="2616" t="e">
        <f>'ASATR-SB1'!O58</f>
        <v>#DIV/0!</v>
      </c>
      <c r="AR90" s="2644"/>
      <c r="AS90" s="2643" t="e">
        <f>AQ90</f>
        <v>#DIV/0!</v>
      </c>
      <c r="AT90" s="2644"/>
      <c r="AU90" s="2643"/>
      <c r="AV90" s="2644"/>
      <c r="AW90" s="4394"/>
      <c r="AY90" s="4196" t="e">
        <f>'ASATR-SB1'!Q58</f>
        <v>#DIV/0!</v>
      </c>
      <c r="AZ90" s="4197"/>
      <c r="BA90" s="4196" t="e">
        <f>AY90</f>
        <v>#DIV/0!</v>
      </c>
      <c r="BB90" s="4197"/>
      <c r="BC90" s="4196"/>
      <c r="BD90" s="4197"/>
      <c r="BE90" s="4397"/>
      <c r="BV90" s="1021"/>
      <c r="BW90" s="1021"/>
      <c r="BX90" s="1021"/>
      <c r="BY90" s="1021"/>
      <c r="BZ90" s="1021"/>
      <c r="CA90" s="1021"/>
      <c r="CB90" s="1021"/>
      <c r="CD90" s="2197"/>
      <c r="CE90" s="2197"/>
      <c r="CF90" s="2197"/>
      <c r="CG90" s="2197"/>
      <c r="CH90" s="2197"/>
      <c r="CI90" s="2197"/>
      <c r="CJ90" s="2197"/>
      <c r="CL90" s="2171"/>
      <c r="CM90" s="2171"/>
      <c r="CN90" s="2171"/>
      <c r="CO90" s="2171"/>
      <c r="CP90" s="2171"/>
      <c r="CQ90" s="2171"/>
      <c r="CR90" s="2171"/>
      <c r="CT90" s="2146"/>
      <c r="CU90" s="2146"/>
      <c r="CV90" s="2146"/>
      <c r="CW90" s="2146"/>
      <c r="CX90" s="2146"/>
      <c r="CY90" s="2146"/>
      <c r="CZ90" s="2146"/>
      <c r="DB90" s="2171"/>
      <c r="DC90" s="2171"/>
      <c r="DD90" s="2171"/>
      <c r="DE90" s="2171"/>
      <c r="DF90" s="2171"/>
      <c r="DG90" s="2171"/>
      <c r="DH90" s="2171"/>
      <c r="DJ90" s="2146"/>
      <c r="DK90" s="2146"/>
      <c r="DL90" s="2146"/>
      <c r="DM90" s="2146"/>
      <c r="DN90" s="2146"/>
      <c r="DO90" s="2146"/>
      <c r="DP90" s="2146"/>
      <c r="DR90" s="2171"/>
      <c r="DS90" s="2171"/>
      <c r="DT90" s="2171"/>
      <c r="DU90" s="2171"/>
      <c r="DV90" s="2171"/>
      <c r="DW90" s="2171"/>
      <c r="DX90" s="2171"/>
      <c r="DZ90" s="2146"/>
      <c r="EA90" s="2146"/>
      <c r="EB90" s="2146"/>
      <c r="EC90" s="2146"/>
      <c r="ED90" s="2146"/>
      <c r="EE90" s="2146"/>
      <c r="EF90" s="2146"/>
    </row>
    <row r="91" spans="1:136">
      <c r="A91" s="97"/>
      <c r="C91" s="1842"/>
      <c r="D91" s="1874"/>
      <c r="E91" s="1842"/>
      <c r="F91" s="1874"/>
      <c r="G91" s="1842" t="e">
        <f>IF(FracFunding1617!E24&lt;=0,'Calc Data-SB1'!C83,'Calc Data-SB1'!AB86)</f>
        <v>#DIV/0!</v>
      </c>
      <c r="H91" s="1874"/>
      <c r="I91" s="4330" t="e">
        <f>G91</f>
        <v>#DIV/0!</v>
      </c>
      <c r="K91" s="4234"/>
      <c r="L91" s="4235"/>
      <c r="M91" s="4234"/>
      <c r="N91" s="4235"/>
      <c r="O91" s="4234" t="e">
        <f>IF(FracFunding1718!E24&lt;=0,'Calc Data-SB1'!D83,'Calc Data-SB1'!AF86)</f>
        <v>#DIV/0!</v>
      </c>
      <c r="P91" s="4235"/>
      <c r="Q91" s="4338" t="e">
        <f>O91</f>
        <v>#DIV/0!</v>
      </c>
      <c r="S91" s="1959"/>
      <c r="T91" s="1958"/>
      <c r="U91" s="1959"/>
      <c r="V91" s="1958"/>
      <c r="W91" s="1959" t="e">
        <f>IF(FracFunding1819!E24&lt;=0,'Calc Data-SB1'!E83,'Calc Data-SB1'!AJ86)</f>
        <v>#DIV/0!</v>
      </c>
      <c r="X91" s="1958"/>
      <c r="Y91" s="4353" t="e">
        <f>W91</f>
        <v>#DIV/0!</v>
      </c>
      <c r="AA91" s="1974"/>
      <c r="AB91" s="1973"/>
      <c r="AC91" s="1974"/>
      <c r="AD91" s="1973"/>
      <c r="AE91" s="1974" t="e">
        <f>IF(FracFunding1920!E24&lt;=0,'Calc Data-SB1'!F83,'Calc Data-SB1'!AN86)</f>
        <v>#DIV/0!</v>
      </c>
      <c r="AF91" s="1973"/>
      <c r="AG91" s="4368" t="e">
        <f>AE91</f>
        <v>#DIV/0!</v>
      </c>
      <c r="AI91" s="2097"/>
      <c r="AJ91" s="2098"/>
      <c r="AK91" s="2097"/>
      <c r="AL91" s="2098"/>
      <c r="AM91" s="1263" t="e">
        <f>IF(FracFunding2021!E24&lt;=0,'Calc Data-SB1'!G83,'Calc Data-SB1'!AR86)</f>
        <v>#DIV/0!</v>
      </c>
      <c r="AN91" s="2098"/>
      <c r="AO91" s="4383" t="e">
        <f>AM91</f>
        <v>#DIV/0!</v>
      </c>
      <c r="AQ91" s="2643"/>
      <c r="AR91" s="2644"/>
      <c r="AS91" s="2643"/>
      <c r="AT91" s="2644"/>
      <c r="AU91" s="2616" t="e">
        <f>IF(FracFunding2122!E24&lt;=0,'Calc Data-SB1'!H83,'Calc Data-SB1'!AW86)</f>
        <v>#DIV/0!</v>
      </c>
      <c r="AV91" s="2644"/>
      <c r="AW91" s="4394" t="e">
        <f>AU91</f>
        <v>#DIV/0!</v>
      </c>
      <c r="AY91" s="4196"/>
      <c r="AZ91" s="4197"/>
      <c r="BA91" s="4196"/>
      <c r="BB91" s="4197"/>
      <c r="BC91" s="4196" t="e">
        <f>IF(FracFunding2223!E24&lt;=0,'Calc Data-SB1'!I83,'Calc Data-SB1'!BB86)</f>
        <v>#DIV/0!</v>
      </c>
      <c r="BD91" s="4197"/>
      <c r="BE91" s="4397" t="e">
        <f>BC91</f>
        <v>#DIV/0!</v>
      </c>
      <c r="BV91" s="1021"/>
      <c r="BW91" s="1021"/>
      <c r="BX91" s="1021"/>
      <c r="BY91" s="1021"/>
      <c r="BZ91" s="1021"/>
      <c r="CA91" s="1021"/>
      <c r="CB91" s="1021"/>
      <c r="CD91" s="2197"/>
      <c r="CE91" s="2197"/>
      <c r="CF91" s="2197"/>
      <c r="CG91" s="2197"/>
      <c r="CH91" s="2197"/>
      <c r="CI91" s="2197"/>
      <c r="CJ91" s="2197"/>
      <c r="CL91" s="2171"/>
      <c r="CM91" s="2171"/>
      <c r="CN91" s="2171"/>
      <c r="CO91" s="2171"/>
      <c r="CP91" s="2171"/>
      <c r="CQ91" s="2171"/>
      <c r="CR91" s="2171"/>
      <c r="CT91" s="2146"/>
      <c r="CU91" s="2146"/>
      <c r="CV91" s="2146"/>
      <c r="CW91" s="2146"/>
      <c r="CX91" s="2146"/>
      <c r="CY91" s="2146"/>
      <c r="CZ91" s="2146"/>
      <c r="DB91" s="2171"/>
      <c r="DC91" s="2171"/>
      <c r="DD91" s="2171"/>
      <c r="DE91" s="2171"/>
      <c r="DF91" s="2171"/>
      <c r="DG91" s="2171"/>
      <c r="DH91" s="2171"/>
      <c r="DJ91" s="2146"/>
      <c r="DK91" s="2146"/>
      <c r="DL91" s="2146"/>
      <c r="DM91" s="2146"/>
      <c r="DN91" s="2146"/>
      <c r="DO91" s="2146"/>
      <c r="DP91" s="2146"/>
      <c r="DR91" s="2171"/>
      <c r="DS91" s="2171"/>
      <c r="DT91" s="2171"/>
      <c r="DU91" s="2171"/>
      <c r="DV91" s="2171"/>
      <c r="DW91" s="2171"/>
      <c r="DX91" s="2171"/>
      <c r="DZ91" s="2146"/>
      <c r="EA91" s="2146"/>
      <c r="EB91" s="2146"/>
      <c r="EC91" s="2146"/>
      <c r="ED91" s="2146"/>
      <c r="EE91" s="2146"/>
      <c r="EF91" s="2146"/>
    </row>
    <row r="92" spans="1:136">
      <c r="A92" s="97"/>
      <c r="C92" s="1842" t="e">
        <f>C90</f>
        <v>#DIV/0!</v>
      </c>
      <c r="D92" s="1874"/>
      <c r="E92" s="1842" t="e">
        <f>E90</f>
        <v>#DIV/0!</v>
      </c>
      <c r="F92" s="1874"/>
      <c r="G92" s="1842" t="e">
        <f>G91</f>
        <v>#DIV/0!</v>
      </c>
      <c r="H92" s="1874"/>
      <c r="I92" s="4330" t="e">
        <f>I91</f>
        <v>#DIV/0!</v>
      </c>
      <c r="K92" s="4234" t="e">
        <f>K90</f>
        <v>#DIV/0!</v>
      </c>
      <c r="L92" s="4235"/>
      <c r="M92" s="4234" t="e">
        <f>M90</f>
        <v>#DIV/0!</v>
      </c>
      <c r="N92" s="4235"/>
      <c r="O92" s="4234" t="e">
        <f>O91</f>
        <v>#DIV/0!</v>
      </c>
      <c r="P92" s="4235"/>
      <c r="Q92" s="4338" t="e">
        <f>Q91</f>
        <v>#DIV/0!</v>
      </c>
      <c r="S92" s="1959" t="e">
        <f>S90</f>
        <v>#DIV/0!</v>
      </c>
      <c r="T92" s="1958"/>
      <c r="U92" s="1959" t="e">
        <f>U90</f>
        <v>#DIV/0!</v>
      </c>
      <c r="V92" s="1958"/>
      <c r="W92" s="1959" t="e">
        <f>W91</f>
        <v>#DIV/0!</v>
      </c>
      <c r="X92" s="1958"/>
      <c r="Y92" s="4353" t="e">
        <f>Y91</f>
        <v>#DIV/0!</v>
      </c>
      <c r="AA92" s="1974" t="e">
        <f>AA90</f>
        <v>#DIV/0!</v>
      </c>
      <c r="AB92" s="1973"/>
      <c r="AC92" s="1974" t="e">
        <f>AC90</f>
        <v>#DIV/0!</v>
      </c>
      <c r="AD92" s="1973"/>
      <c r="AE92" s="1974" t="e">
        <f>AE91</f>
        <v>#DIV/0!</v>
      </c>
      <c r="AF92" s="1973"/>
      <c r="AG92" s="4368" t="e">
        <f>AG91</f>
        <v>#DIV/0!</v>
      </c>
      <c r="AI92" s="2097" t="e">
        <f>AI90</f>
        <v>#DIV/0!</v>
      </c>
      <c r="AJ92" s="2098"/>
      <c r="AK92" s="2097" t="e">
        <f>AK90</f>
        <v>#DIV/0!</v>
      </c>
      <c r="AL92" s="2098"/>
      <c r="AM92" s="2097" t="e">
        <f>AM91</f>
        <v>#DIV/0!</v>
      </c>
      <c r="AN92" s="2098"/>
      <c r="AO92" s="4383" t="e">
        <f>AO91</f>
        <v>#DIV/0!</v>
      </c>
      <c r="AQ92" s="2643" t="e">
        <f>AQ90</f>
        <v>#DIV/0!</v>
      </c>
      <c r="AR92" s="2644"/>
      <c r="AS92" s="2643" t="e">
        <f>AS90</f>
        <v>#DIV/0!</v>
      </c>
      <c r="AT92" s="2644"/>
      <c r="AU92" s="2643" t="e">
        <f>AU91</f>
        <v>#DIV/0!</v>
      </c>
      <c r="AV92" s="2644"/>
      <c r="AW92" s="4394" t="e">
        <f>AW91</f>
        <v>#DIV/0!</v>
      </c>
      <c r="AY92" s="4196" t="e">
        <f>AY90</f>
        <v>#DIV/0!</v>
      </c>
      <c r="AZ92" s="4197"/>
      <c r="BA92" s="4196" t="e">
        <f>BA90</f>
        <v>#DIV/0!</v>
      </c>
      <c r="BB92" s="4197"/>
      <c r="BC92" s="4196" t="e">
        <f>BC91</f>
        <v>#DIV/0!</v>
      </c>
      <c r="BD92" s="4197"/>
      <c r="BE92" s="4397" t="e">
        <f>BE91</f>
        <v>#DIV/0!</v>
      </c>
      <c r="BV92" s="1021"/>
      <c r="BW92" s="1021"/>
      <c r="BX92" s="1021"/>
      <c r="BY92" s="1021"/>
      <c r="BZ92" s="1021"/>
      <c r="CA92" s="1021"/>
      <c r="CB92" s="1021"/>
      <c r="CD92" s="2197"/>
      <c r="CE92" s="2197"/>
      <c r="CF92" s="2197"/>
      <c r="CG92" s="2197"/>
      <c r="CH92" s="2197"/>
      <c r="CI92" s="2197"/>
      <c r="CJ92" s="2197"/>
      <c r="CL92" s="2171"/>
      <c r="CM92" s="2171"/>
      <c r="CN92" s="2171"/>
      <c r="CO92" s="2171"/>
      <c r="CP92" s="2171"/>
      <c r="CQ92" s="2171"/>
      <c r="CR92" s="2171"/>
      <c r="CT92" s="2146"/>
      <c r="CU92" s="2146"/>
      <c r="CV92" s="2146"/>
      <c r="CW92" s="2146"/>
      <c r="CX92" s="2146"/>
      <c r="CY92" s="2146"/>
      <c r="CZ92" s="2146"/>
      <c r="DB92" s="2171"/>
      <c r="DC92" s="2171"/>
      <c r="DD92" s="2171"/>
      <c r="DE92" s="2171"/>
      <c r="DF92" s="2171"/>
      <c r="DG92" s="2171"/>
      <c r="DH92" s="2171"/>
      <c r="DJ92" s="2146"/>
      <c r="DK92" s="2146"/>
      <c r="DL92" s="2146"/>
      <c r="DM92" s="2146"/>
      <c r="DN92" s="2146"/>
      <c r="DO92" s="2146"/>
      <c r="DP92" s="2146"/>
      <c r="DR92" s="2171"/>
      <c r="DS92" s="2171"/>
      <c r="DT92" s="2171"/>
      <c r="DU92" s="2171"/>
      <c r="DV92" s="2171"/>
      <c r="DW92" s="2171"/>
      <c r="DX92" s="2171"/>
      <c r="DZ92" s="2146"/>
      <c r="EA92" s="2146"/>
      <c r="EB92" s="2146"/>
      <c r="EC92" s="2146"/>
      <c r="ED92" s="2146"/>
      <c r="EE92" s="2146"/>
      <c r="EF92" s="2146"/>
    </row>
    <row r="93" spans="1:136">
      <c r="A93" s="97"/>
      <c r="C93" s="1940" t="e">
        <f>C35*C92</f>
        <v>#DIV/0!</v>
      </c>
      <c r="D93" s="1948"/>
      <c r="E93" s="1940" t="e">
        <f>E35*E92</f>
        <v>#DIV/0!</v>
      </c>
      <c r="F93" s="1948"/>
      <c r="G93" s="1940" t="e">
        <f>IF(G91&lt;1,0,G35*G92)</f>
        <v>#DIV/0!</v>
      </c>
      <c r="H93" s="1948"/>
      <c r="I93" s="4328" t="e">
        <f>IF(I91&lt;1,0,I35*I92)</f>
        <v>#DIV/0!</v>
      </c>
      <c r="K93" s="4234" t="e">
        <f>K35*K92</f>
        <v>#DIV/0!</v>
      </c>
      <c r="L93" s="4235"/>
      <c r="M93" s="4234" t="e">
        <f>M35*M92</f>
        <v>#DIV/0!</v>
      </c>
      <c r="N93" s="4235"/>
      <c r="O93" s="4234" t="e">
        <f>IF(O91&lt;1,0,O35*O92)</f>
        <v>#DIV/0!</v>
      </c>
      <c r="P93" s="4235"/>
      <c r="Q93" s="4338" t="e">
        <f>IF(Q91&lt;1,0,Q35*Q92)</f>
        <v>#DIV/0!</v>
      </c>
      <c r="S93" s="1960" t="e">
        <f>S35*S92</f>
        <v>#DIV/0!</v>
      </c>
      <c r="T93" s="1961"/>
      <c r="U93" s="1960" t="e">
        <f>U35*U92</f>
        <v>#DIV/0!</v>
      </c>
      <c r="V93" s="1961"/>
      <c r="W93" s="1960" t="e">
        <f>IF(W91&lt;1,0,W35*W92)</f>
        <v>#DIV/0!</v>
      </c>
      <c r="X93" s="1961"/>
      <c r="Y93" s="4351" t="e">
        <f>IF(Y91&lt;1,0,Y35*Y92)</f>
        <v>#DIV/0!</v>
      </c>
      <c r="AA93" s="1975" t="e">
        <f>AA35*AA92</f>
        <v>#DIV/0!</v>
      </c>
      <c r="AB93" s="1976"/>
      <c r="AC93" s="1975" t="e">
        <f>AC35*AC92</f>
        <v>#DIV/0!</v>
      </c>
      <c r="AD93" s="1976"/>
      <c r="AE93" s="1975" t="e">
        <f>IF(AE91&lt;1,0,AE35*AE92)</f>
        <v>#DIV/0!</v>
      </c>
      <c r="AF93" s="1976"/>
      <c r="AG93" s="4366" t="e">
        <f>IF(AG91&lt;1,0,AG35*AG92)</f>
        <v>#DIV/0!</v>
      </c>
      <c r="AI93" s="2089" t="e">
        <f>AI35*AI92</f>
        <v>#DIV/0!</v>
      </c>
      <c r="AJ93" s="2090"/>
      <c r="AK93" s="2089" t="e">
        <f>AK35*AK92</f>
        <v>#DIV/0!</v>
      </c>
      <c r="AL93" s="2090"/>
      <c r="AM93" s="2089" t="e">
        <f>IF(AM91&lt;1,0,AM35*AM92)</f>
        <v>#DIV/0!</v>
      </c>
      <c r="AN93" s="2090"/>
      <c r="AO93" s="4379" t="e">
        <f>IF(AO91&lt;1,0,AO35*AO92)</f>
        <v>#DIV/0!</v>
      </c>
      <c r="AQ93" s="2635" t="e">
        <f>AQ35*AQ92</f>
        <v>#DIV/0!</v>
      </c>
      <c r="AR93" s="2636"/>
      <c r="AS93" s="2635" t="e">
        <f>AS35*AS92</f>
        <v>#DIV/0!</v>
      </c>
      <c r="AT93" s="2636"/>
      <c r="AU93" s="2635" t="e">
        <f>IF(AU91&lt;1,0,AU35*AU92)</f>
        <v>#DIV/0!</v>
      </c>
      <c r="AV93" s="2636"/>
      <c r="AW93" s="4390" t="e">
        <f>IF(AW91&lt;1,0,AW35*AW92)</f>
        <v>#DIV/0!</v>
      </c>
      <c r="AY93" s="4196" t="e">
        <f>AY35*AY92</f>
        <v>#DIV/0!</v>
      </c>
      <c r="AZ93" s="4197"/>
      <c r="BA93" s="4196" t="e">
        <f>BA35*BA92</f>
        <v>#DIV/0!</v>
      </c>
      <c r="BB93" s="4197"/>
      <c r="BC93" s="4196" t="e">
        <f>IF(BC91&lt;1,0,BC35*BC92)</f>
        <v>#DIV/0!</v>
      </c>
      <c r="BD93" s="4197"/>
      <c r="BE93" s="4397" t="e">
        <f>IF(BE91&lt;1,0,BE35*BE92)</f>
        <v>#DIV/0!</v>
      </c>
      <c r="BV93" s="1021"/>
      <c r="BW93" s="1021"/>
      <c r="BX93" s="1021"/>
      <c r="BY93" s="1021"/>
      <c r="BZ93" s="1021"/>
      <c r="CA93" s="1021"/>
      <c r="CB93" s="1021"/>
      <c r="CD93" s="2197"/>
      <c r="CE93" s="2197"/>
      <c r="CF93" s="2197"/>
      <c r="CG93" s="2197"/>
      <c r="CH93" s="2197"/>
      <c r="CI93" s="2197"/>
      <c r="CJ93" s="2197"/>
      <c r="CL93" s="2171"/>
      <c r="CM93" s="2171"/>
      <c r="CN93" s="2171"/>
      <c r="CO93" s="2171"/>
      <c r="CP93" s="2171"/>
      <c r="CQ93" s="2171"/>
      <c r="CR93" s="2171"/>
      <c r="CT93" s="2146"/>
      <c r="CU93" s="2146"/>
      <c r="CV93" s="2146"/>
      <c r="CW93" s="2146"/>
      <c r="CX93" s="2146"/>
      <c r="CY93" s="2146"/>
      <c r="CZ93" s="2146"/>
      <c r="DB93" s="2171"/>
      <c r="DC93" s="2171"/>
      <c r="DD93" s="2171"/>
      <c r="DE93" s="2171"/>
      <c r="DF93" s="2171"/>
      <c r="DG93" s="2171"/>
      <c r="DH93" s="2171"/>
      <c r="DJ93" s="2146"/>
      <c r="DK93" s="2146"/>
      <c r="DL93" s="2146"/>
      <c r="DM93" s="2146"/>
      <c r="DN93" s="2146"/>
      <c r="DO93" s="2146"/>
      <c r="DP93" s="2146"/>
      <c r="DR93" s="2171"/>
      <c r="DS93" s="2171"/>
      <c r="DT93" s="2171"/>
      <c r="DU93" s="2171"/>
      <c r="DV93" s="2171"/>
      <c r="DW93" s="2171"/>
      <c r="DX93" s="2171"/>
      <c r="DZ93" s="2146"/>
      <c r="EA93" s="2146"/>
      <c r="EB93" s="2146"/>
      <c r="EC93" s="2146"/>
      <c r="ED93" s="2146"/>
      <c r="EE93" s="2146"/>
      <c r="EF93" s="2146"/>
    </row>
    <row r="94" spans="1:136">
      <c r="A94" s="97"/>
      <c r="C94" s="1841" t="e">
        <f>C34/IF(C36&lt;Assumptions!G92,Assumptions!G92,C36)</f>
        <v>#DIV/0!</v>
      </c>
      <c r="D94" s="1949"/>
      <c r="E94" s="1841" t="e">
        <f>E34/E36</f>
        <v>#DIV/0!</v>
      </c>
      <c r="F94" s="1949"/>
      <c r="G94" s="1841" t="e">
        <f>IF(G93=0,0,G34/G36)</f>
        <v>#DIV/0!</v>
      </c>
      <c r="H94" s="1949"/>
      <c r="I94" s="4331" t="e">
        <f>IF(I93=0,0,I34/I36)</f>
        <v>#DIV/0!</v>
      </c>
      <c r="K94" s="4233" t="e">
        <f>K34/IF(K36&lt;Assumptions!G103,Assumptions!G103,K36)</f>
        <v>#DIV/0!</v>
      </c>
      <c r="L94" s="926"/>
      <c r="M94" s="4233" t="e">
        <f>M34/M36</f>
        <v>#DIV/0!</v>
      </c>
      <c r="N94" s="926"/>
      <c r="O94" s="4233" t="e">
        <f>IF(O93=0,0,O34/O36)</f>
        <v>#DIV/0!</v>
      </c>
      <c r="P94" s="926"/>
      <c r="Q94" s="4337" t="e">
        <f>IF(Q93=0,0,Q34/Q36)</f>
        <v>#DIV/0!</v>
      </c>
      <c r="S94" s="1962" t="e">
        <f>S34/IF(S36&lt;Assumptions!G112,Assumptions!G112,S36)</f>
        <v>#DIV/0!</v>
      </c>
      <c r="T94" s="1963"/>
      <c r="U94" s="1962" t="e">
        <f>U34/U36</f>
        <v>#DIV/0!</v>
      </c>
      <c r="V94" s="1963"/>
      <c r="W94" s="1962" t="e">
        <f>IF(W93=0,0,W34/W36)</f>
        <v>#DIV/0!</v>
      </c>
      <c r="X94" s="1963"/>
      <c r="Y94" s="4354" t="e">
        <f>IF(Y93=0,0,Y34/Y36)</f>
        <v>#DIV/0!</v>
      </c>
      <c r="AA94" s="1977" t="e">
        <f>AA34/IF(AA36&lt;Assumptions!G121,Assumptions!G121,AA36)</f>
        <v>#DIV/0!</v>
      </c>
      <c r="AB94" s="1978"/>
      <c r="AC94" s="1977" t="e">
        <f>AC34/AC36</f>
        <v>#DIV/0!</v>
      </c>
      <c r="AD94" s="1978"/>
      <c r="AE94" s="1977" t="e">
        <f>IF(AE93=0,0,AE34/AE36)</f>
        <v>#DIV/0!</v>
      </c>
      <c r="AF94" s="1978"/>
      <c r="AG94" s="4369" t="e">
        <f>IF(AG93=0,0,AG34/AG36)</f>
        <v>#DIV/0!</v>
      </c>
      <c r="AI94" s="2091" t="e">
        <f>AI34/IF(AI36&lt;Assumptions!G130,Assumptions!G130,AI36)</f>
        <v>#DIV/0!</v>
      </c>
      <c r="AJ94" s="2092"/>
      <c r="AK94" s="2091" t="e">
        <f>AK34/AK36</f>
        <v>#DIV/0!</v>
      </c>
      <c r="AL94" s="2092"/>
      <c r="AM94" s="2091" t="e">
        <f>IF(AM93=0,0,AM34/AM36)</f>
        <v>#DIV/0!</v>
      </c>
      <c r="AN94" s="2092"/>
      <c r="AO94" s="4380" t="e">
        <f>IF(AO93=0,0,AO34/AO36)</f>
        <v>#DIV/0!</v>
      </c>
      <c r="AQ94" s="2637" t="e">
        <f>AQ34/IF(AQ36&lt;Assumptions!G139,Assumptions!G139,AQ36)</f>
        <v>#DIV/0!</v>
      </c>
      <c r="AR94" s="2638"/>
      <c r="AS94" s="2637" t="e">
        <f>AS34/AS36</f>
        <v>#DIV/0!</v>
      </c>
      <c r="AT94" s="2638"/>
      <c r="AU94" s="2637" t="e">
        <f>IF(AU93=0,0,AU34/AU36)</f>
        <v>#DIV/0!</v>
      </c>
      <c r="AV94" s="2638"/>
      <c r="AW94" s="4391" t="e">
        <f>IF(AW93=0,0,AW34/AW36)</f>
        <v>#DIV/0!</v>
      </c>
      <c r="AY94" s="4188" t="e">
        <f>AY34/IF(AY36&lt;Assumptions!G148,Assumptions!G148,AY36)</f>
        <v>#DIV/0!</v>
      </c>
      <c r="AZ94" s="4189"/>
      <c r="BA94" s="4188" t="e">
        <f>BA34/BA36</f>
        <v>#DIV/0!</v>
      </c>
      <c r="BB94" s="4189"/>
      <c r="BC94" s="4188" t="e">
        <f>IF(BC93=0,0,BC34/BC36)</f>
        <v>#DIV/0!</v>
      </c>
      <c r="BD94" s="4189"/>
      <c r="BE94" s="4402" t="e">
        <f>IF(BE93=0,0,BE34/BE36)</f>
        <v>#DIV/0!</v>
      </c>
      <c r="BV94" s="1021"/>
      <c r="BW94" s="1021"/>
      <c r="BX94" s="1021"/>
      <c r="BY94" s="1021"/>
      <c r="BZ94" s="1021"/>
      <c r="CA94" s="1021"/>
      <c r="CB94" s="1021"/>
      <c r="CD94" s="2197"/>
      <c r="CE94" s="2197"/>
      <c r="CF94" s="2197"/>
      <c r="CG94" s="2197"/>
      <c r="CH94" s="2197"/>
      <c r="CI94" s="2197"/>
      <c r="CJ94" s="2197"/>
      <c r="CL94" s="2171"/>
      <c r="CM94" s="2171"/>
      <c r="CN94" s="2171"/>
      <c r="CO94" s="2171"/>
      <c r="CP94" s="2171"/>
      <c r="CQ94" s="2171"/>
      <c r="CR94" s="2171"/>
      <c r="CT94" s="2146"/>
      <c r="CU94" s="2146"/>
      <c r="CV94" s="2146"/>
      <c r="CW94" s="2146"/>
      <c r="CX94" s="2146"/>
      <c r="CY94" s="2146"/>
      <c r="CZ94" s="2146"/>
      <c r="DB94" s="2171"/>
      <c r="DC94" s="2171"/>
      <c r="DD94" s="2171"/>
      <c r="DE94" s="2171"/>
      <c r="DF94" s="2171"/>
      <c r="DG94" s="2171"/>
      <c r="DH94" s="2171"/>
      <c r="DJ94" s="2146"/>
      <c r="DK94" s="2146"/>
      <c r="DL94" s="2146"/>
      <c r="DM94" s="2146"/>
      <c r="DN94" s="2146"/>
      <c r="DO94" s="2146"/>
      <c r="DP94" s="2146"/>
      <c r="DR94" s="2171"/>
      <c r="DS94" s="2171"/>
      <c r="DT94" s="2171"/>
      <c r="DU94" s="2171"/>
      <c r="DV94" s="2171"/>
      <c r="DW94" s="2171"/>
      <c r="DX94" s="2171"/>
      <c r="DZ94" s="2146"/>
      <c r="EA94" s="2146"/>
      <c r="EB94" s="2146"/>
      <c r="EC94" s="2146"/>
      <c r="ED94" s="2146"/>
      <c r="EE94" s="2146"/>
      <c r="EF94" s="2146"/>
    </row>
    <row r="95" spans="1:136">
      <c r="A95" s="97"/>
      <c r="C95" s="1943" t="e">
        <f>IF(C94=0,0,IF(C93/C94&lt;3147,3147,C93/C94))</f>
        <v>#DIV/0!</v>
      </c>
      <c r="D95" s="1950"/>
      <c r="E95" s="1943" t="e">
        <f>IF(E94=0,0,IF(E93/E94&lt;3147,3147,E93/E94))</f>
        <v>#DIV/0!</v>
      </c>
      <c r="F95" s="1950"/>
      <c r="G95" s="1943" t="e">
        <f>IF(G94=0,0,IF(G93/G94&lt;71.62,71.62,G93/G94))</f>
        <v>#DIV/0!</v>
      </c>
      <c r="H95" s="1950"/>
      <c r="I95" s="4332" t="e">
        <f>IF(I94=0,0,IF(I93/I94&lt;71.62,71.62,I93/I94))</f>
        <v>#DIV/0!</v>
      </c>
      <c r="K95" s="4233" t="e">
        <f>IF(K94=0,0,IF(K93/K94&lt;3392,3392,K93/K94))</f>
        <v>#DIV/0!</v>
      </c>
      <c r="L95" s="926"/>
      <c r="M95" s="4233" t="e">
        <f>IF(M94=0,0,IF(M93/M94&lt;3392,3392,M93/M94))</f>
        <v>#DIV/0!</v>
      </c>
      <c r="N95" s="926"/>
      <c r="O95" s="4233" t="e">
        <f>IF(O94=0,0,IF(O93/O94&lt;84.777,84.777,O93/O94))</f>
        <v>#DIV/0!</v>
      </c>
      <c r="P95" s="926"/>
      <c r="Q95" s="4337" t="e">
        <f>IF(Q94=0,0,IF(Q93/Q94&lt;84.777,84.777,Q93/Q94))</f>
        <v>#DIV/0!</v>
      </c>
      <c r="S95" s="1964" t="e">
        <f>IF(S94=0,0,IF(S93/S94&lt;3392,3392,S93/S94))</f>
        <v>#DIV/0!</v>
      </c>
      <c r="T95" s="1965"/>
      <c r="U95" s="1964" t="e">
        <f>IF(U94=0,0,IF(U93/U94&lt;3392,3392,U93/U94))</f>
        <v>#DIV/0!</v>
      </c>
      <c r="V95" s="1965"/>
      <c r="W95" s="1964" t="e">
        <f>IF(W94=0,0,IF(W93/W94&lt;84.777,84.777,W93/W94))</f>
        <v>#DIV/0!</v>
      </c>
      <c r="X95" s="1965"/>
      <c r="Y95" s="4355" t="e">
        <f>IF(Y94=0,0,IF(Y93/Y94&lt;84.777,84.777,Y93/Y94))</f>
        <v>#DIV/0!</v>
      </c>
      <c r="AA95" s="1979" t="e">
        <f>IF(AA94=0,0,IF(AA93/AA94&lt;3392,3392,AA93/AA94))</f>
        <v>#DIV/0!</v>
      </c>
      <c r="AB95" s="1980"/>
      <c r="AC95" s="1979" t="e">
        <f>IF(AC94=0,0,IF(AC93/AC94&lt;3392,3392,AC93/AC94))</f>
        <v>#DIV/0!</v>
      </c>
      <c r="AD95" s="1980"/>
      <c r="AE95" s="1979" t="e">
        <f>IF(AE94=0,0,IF(AE93/AE94&lt;84.777,84.777,AE93/AE94))</f>
        <v>#DIV/0!</v>
      </c>
      <c r="AF95" s="1980"/>
      <c r="AG95" s="4370" t="e">
        <f>IF(AG94=0,0,IF(AG93/AG94&lt;84.777,84.777,AG93/AG94))</f>
        <v>#DIV/0!</v>
      </c>
      <c r="AI95" s="2099" t="e">
        <f>IF(AI94=0,0,IF(AI93/AI94&lt;3392,3392,AI93/AI94))</f>
        <v>#DIV/0!</v>
      </c>
      <c r="AJ95" s="2100"/>
      <c r="AK95" s="2099" t="e">
        <f>IF(AK94=0,0,IF(AK93/AK94&lt;3392,3392,AK93/AK94))</f>
        <v>#DIV/0!</v>
      </c>
      <c r="AL95" s="2100"/>
      <c r="AM95" s="2099" t="e">
        <f>IF(AM94=0,0,IF(AM93/AM94&lt;84.777,84.777,AM93/AM94))</f>
        <v>#DIV/0!</v>
      </c>
      <c r="AN95" s="2100"/>
      <c r="AO95" s="4384" t="e">
        <f>IF(AO94=0,0,IF(AO93/AO94&lt;84.777,84.777,AO93/AO94))</f>
        <v>#DIV/0!</v>
      </c>
      <c r="AQ95" s="2645" t="e">
        <f>IF(AQ94=0,0,IF(AQ93/AQ94&lt;3392,3392,AQ93/AQ94))</f>
        <v>#DIV/0!</v>
      </c>
      <c r="AR95" s="2646"/>
      <c r="AS95" s="2645" t="e">
        <f>IF(AS94=0,0,IF(AS93/AS94&lt;3392,3392,AS93/AS94))</f>
        <v>#DIV/0!</v>
      </c>
      <c r="AT95" s="2646"/>
      <c r="AU95" s="2645" t="e">
        <f>IF(AU94=0,0,IF(AU93/AU94&lt;84.777,84.777,AU93/AU94))</f>
        <v>#DIV/0!</v>
      </c>
      <c r="AV95" s="2646"/>
      <c r="AW95" s="4395" t="e">
        <f>IF(AW94=0,0,IF(AW93/AW94&lt;84.777,84.777,AW93/AW94))</f>
        <v>#DIV/0!</v>
      </c>
      <c r="AY95" s="4188" t="e">
        <f>IF(AY94=0,0,IF(AY93/AY94&lt;3392,3392,AY93/AY94))</f>
        <v>#DIV/0!</v>
      </c>
      <c r="AZ95" s="4189"/>
      <c r="BA95" s="4188" t="e">
        <f>IF(BA94=0,0,IF(BA93/BA94&lt;3392,3392,BA93/BA94))</f>
        <v>#DIV/0!</v>
      </c>
      <c r="BB95" s="4189"/>
      <c r="BC95" s="4188" t="e">
        <f>IF(BC94=0,0,IF(BC93/BC94&lt;84.777,84.777,BC93/BC94))</f>
        <v>#DIV/0!</v>
      </c>
      <c r="BD95" s="4189"/>
      <c r="BE95" s="4402" t="e">
        <f>IF(BE94=0,0,IF(BE93/BE94&lt;84.777,84.777,BE93/BE94))</f>
        <v>#DIV/0!</v>
      </c>
      <c r="BV95" s="1021"/>
      <c r="BW95" s="1021"/>
      <c r="BX95" s="1021"/>
      <c r="BY95" s="1021"/>
      <c r="BZ95" s="1021"/>
      <c r="CA95" s="1021"/>
      <c r="CB95" s="1021"/>
      <c r="CD95" s="2197"/>
      <c r="CE95" s="2197"/>
      <c r="CF95" s="2197"/>
      <c r="CG95" s="2197"/>
      <c r="CH95" s="2197"/>
      <c r="CI95" s="2197"/>
      <c r="CJ95" s="2197"/>
      <c r="CL95" s="2171"/>
      <c r="CM95" s="2171"/>
      <c r="CN95" s="2171"/>
      <c r="CO95" s="2171"/>
      <c r="CP95" s="2171"/>
      <c r="CQ95" s="2171"/>
      <c r="CR95" s="2171"/>
      <c r="CT95" s="2146"/>
      <c r="CU95" s="2146"/>
      <c r="CV95" s="2146"/>
      <c r="CW95" s="2146"/>
      <c r="CX95" s="2146"/>
      <c r="CY95" s="2146"/>
      <c r="CZ95" s="2146"/>
      <c r="DB95" s="2171"/>
      <c r="DC95" s="2171"/>
      <c r="DD95" s="2171"/>
      <c r="DE95" s="2171"/>
      <c r="DF95" s="2171"/>
      <c r="DG95" s="2171"/>
      <c r="DH95" s="2171"/>
      <c r="DJ95" s="2146"/>
      <c r="DK95" s="2146"/>
      <c r="DL95" s="2146"/>
      <c r="DM95" s="2146"/>
      <c r="DN95" s="2146"/>
      <c r="DO95" s="2146"/>
      <c r="DP95" s="2146"/>
      <c r="DR95" s="2171"/>
      <c r="DS95" s="2171"/>
      <c r="DT95" s="2171"/>
      <c r="DU95" s="2171"/>
      <c r="DV95" s="2171"/>
      <c r="DW95" s="2171"/>
      <c r="DX95" s="2171"/>
      <c r="DZ95" s="2146"/>
      <c r="EA95" s="2146"/>
      <c r="EB95" s="2146"/>
      <c r="EC95" s="2146"/>
      <c r="ED95" s="2146"/>
      <c r="EE95" s="2146"/>
      <c r="EF95" s="2146"/>
    </row>
    <row r="96" spans="1:136">
      <c r="A96" s="97"/>
      <c r="C96" s="1841" t="e">
        <f>IF(OR('Data Entry - SOF'!C95=0,C95=0),0,IF('Data Entry - SOF'!C95&gt;C95,(C95*'Data Entry - SOF'!C94)/C95,('Data Entry - SOF'!C95*'Data Entry - SOF'!C94)/C95))</f>
        <v>#DIV/0!</v>
      </c>
      <c r="D96" s="1949"/>
      <c r="E96" s="1841" t="e">
        <f>C96</f>
        <v>#DIV/0!</v>
      </c>
      <c r="F96" s="1949"/>
      <c r="G96" s="1841" t="e">
        <f>IF(OR('Data Entry - SOF'!C143=0,G95=0),0,IF('Data Entry - SOF'!C143&gt;G95,(G95*'Data Entry - SOF'!C142)/G95,('Data Entry - SOF'!C143*'Data Entry - SOF'!C142)/G95))</f>
        <v>#DIV/0!</v>
      </c>
      <c r="H96" s="1949"/>
      <c r="I96" s="4331" t="e">
        <f>G96</f>
        <v>#DIV/0!</v>
      </c>
      <c r="K96" s="4233" t="e">
        <f>IF(OR('Data Entry - SOF'!E95=0,K95=0),0,IF('Data Entry - SOF'!E95&gt;K95,(K95*'Data Entry - SOF'!E94)/K95,('Data Entry - SOF'!E95*'Data Entry - SOF'!E94)/K95))</f>
        <v>#DIV/0!</v>
      </c>
      <c r="L96" s="926"/>
      <c r="M96" s="4233" t="e">
        <f>K96</f>
        <v>#DIV/0!</v>
      </c>
      <c r="N96" s="926"/>
      <c r="O96" s="4233" t="e">
        <f>IF(OR('Data Entry - SOF'!E143=0,O95=0),0,IF('Data Entry - SOF'!E143&gt;O95,(O95*'Data Entry - SOF'!E142)/O95,('Data Entry - SOF'!E143*'Data Entry - SOF'!E142)/O95))</f>
        <v>#DIV/0!</v>
      </c>
      <c r="P96" s="926"/>
      <c r="Q96" s="4337" t="e">
        <f>O96</f>
        <v>#DIV/0!</v>
      </c>
      <c r="S96" s="1962" t="e">
        <f>IF(OR('Data Entry - SOF'!G95=0,S95=0),0,IF('Data Entry - SOF'!G95&gt;S95,(S95*'Data Entry - SOF'!G94)/S95,('Data Entry - SOF'!G95*'Data Entry - SOF'!G94)/S95))</f>
        <v>#DIV/0!</v>
      </c>
      <c r="T96" s="1963"/>
      <c r="U96" s="1962" t="e">
        <f>S96</f>
        <v>#DIV/0!</v>
      </c>
      <c r="V96" s="1963"/>
      <c r="W96" s="1962" t="e">
        <f>IF(OR('Data Entry - SOF'!G143=0,W95=0),0,IF('Data Entry - SOF'!G143&gt;W95,(W95*'Data Entry - SOF'!G142)/W95,('Data Entry - SOF'!G143*'Data Entry - SOF'!G142)/W95))</f>
        <v>#DIV/0!</v>
      </c>
      <c r="X96" s="1963"/>
      <c r="Y96" s="4354" t="e">
        <f>W96</f>
        <v>#DIV/0!</v>
      </c>
      <c r="AA96" s="1977" t="e">
        <f>IF(OR('Data Entry - SOF'!I95=0,AA95=0),0,IF('Data Entry - SOF'!I95&gt;AA95,(AA95*'Data Entry - SOF'!I94)/AA95,('Data Entry - SOF'!I95*'Data Entry - SOF'!I94)/AA95))</f>
        <v>#DIV/0!</v>
      </c>
      <c r="AB96" s="1978"/>
      <c r="AC96" s="1977" t="e">
        <f>AA96</f>
        <v>#DIV/0!</v>
      </c>
      <c r="AD96" s="1978"/>
      <c r="AE96" s="1962" t="e">
        <f>IF(OR('Data Entry - SOF'!I143=0,AE95=0),0,IF('Data Entry - SOF'!I143&gt;AE95,(AE95*'Data Entry - SOF'!I142)/AE95,('Data Entry - SOF'!I143*'Data Entry - SOF'!I142)/AE95))</f>
        <v>#DIV/0!</v>
      </c>
      <c r="AF96" s="1978"/>
      <c r="AG96" s="4369" t="e">
        <f>AE96</f>
        <v>#DIV/0!</v>
      </c>
      <c r="AI96" s="2091" t="e">
        <f>IF(OR('Data Entry - SOF'!K95=0,AI95=0),0,IF('Data Entry - SOF'!K95&gt;AI95,(AI95*'Data Entry - SOF'!K94)/AI95,('Data Entry - SOF'!K95*'Data Entry - SOF'!K94)/AI95))</f>
        <v>#DIV/0!</v>
      </c>
      <c r="AJ96" s="2092"/>
      <c r="AK96" s="2091" t="e">
        <f>AI96</f>
        <v>#DIV/0!</v>
      </c>
      <c r="AL96" s="2092"/>
      <c r="AM96" s="2091" t="e">
        <f>IF(OR('Data Entry - SOF'!K143=0,AM95=0),0,IF('Data Entry - SOF'!K143&gt;AM95,(AM95*'Data Entry - SOF'!K142)/AM95,('Data Entry - SOF'!K143*'Data Entry - SOF'!K142)/AM95))</f>
        <v>#DIV/0!</v>
      </c>
      <c r="AN96" s="2092"/>
      <c r="AO96" s="4380" t="e">
        <f>AM96</f>
        <v>#DIV/0!</v>
      </c>
      <c r="AQ96" s="2637" t="e">
        <f>IF(OR('Data Entry - SOF'!M95=0,AQ95=0),0,IF('Data Entry - SOF'!M95&gt;AQ95,(AQ95*'Data Entry - SOF'!M94)/AQ95,('Data Entry - SOF'!M95*'Data Entry - SOF'!M94)/AQ95))</f>
        <v>#DIV/0!</v>
      </c>
      <c r="AR96" s="2638"/>
      <c r="AS96" s="2637" t="e">
        <f>AQ96</f>
        <v>#DIV/0!</v>
      </c>
      <c r="AT96" s="2638"/>
      <c r="AU96" s="2637" t="e">
        <f>IF(OR('Data Entry - SOF'!M143=0,AU95=0),0,IF('Data Entry - SOF'!M143&gt;AU95,(AU95*'Data Entry - SOF'!M142)/AU95,('Data Entry - SOF'!M143*'Data Entry - SOF'!M142)/AU95))</f>
        <v>#DIV/0!</v>
      </c>
      <c r="AV96" s="2638"/>
      <c r="AW96" s="4391" t="e">
        <f>AU96</f>
        <v>#DIV/0!</v>
      </c>
      <c r="AY96" s="4188" t="e">
        <f>IF(OR('Data Entry - SOF'!O95=0,AY95=0),0,IF('Data Entry - SOF'!O95&gt;AY95,(AY95*'Data Entry - SOF'!O94)/AY95,('Data Entry - SOF'!O95*'Data Entry - SOF'!O94)/AY95))</f>
        <v>#DIV/0!</v>
      </c>
      <c r="AZ96" s="4189"/>
      <c r="BA96" s="4188" t="e">
        <f>AY96</f>
        <v>#DIV/0!</v>
      </c>
      <c r="BB96" s="4189"/>
      <c r="BC96" s="4188" t="e">
        <f>IF(OR('Data Entry - SOF'!O143=0,BC95=0),0,IF('Data Entry - SOF'!O143&gt;BC95,(BC95*'Data Entry - SOF'!O142)/BC95,('Data Entry - SOF'!O143*'Data Entry - SOF'!O142)/BC95))</f>
        <v>#DIV/0!</v>
      </c>
      <c r="BD96" s="4189"/>
      <c r="BE96" s="4402" t="e">
        <f>BC96</f>
        <v>#DIV/0!</v>
      </c>
      <c r="BV96" s="1026"/>
      <c r="BW96" s="1026"/>
      <c r="BX96" s="1026"/>
      <c r="BY96" s="1026"/>
      <c r="BZ96" s="1026"/>
      <c r="CA96" s="1026"/>
      <c r="CB96" s="1026"/>
      <c r="CD96" s="2206"/>
      <c r="CE96" s="2206"/>
      <c r="CF96" s="2206"/>
      <c r="CG96" s="2206"/>
      <c r="CH96" s="2206"/>
      <c r="CI96" s="2206"/>
      <c r="CJ96" s="2206"/>
      <c r="CL96" s="2180"/>
      <c r="CM96" s="2180"/>
      <c r="CN96" s="2180"/>
      <c r="CO96" s="2180"/>
      <c r="CP96" s="2180"/>
      <c r="CQ96" s="2180"/>
      <c r="CR96" s="2180"/>
      <c r="CT96" s="2155"/>
      <c r="CU96" s="2155"/>
      <c r="CV96" s="2155"/>
      <c r="CW96" s="2155"/>
      <c r="CX96" s="2155"/>
      <c r="CY96" s="2155"/>
      <c r="CZ96" s="2155"/>
      <c r="DB96" s="2180"/>
      <c r="DC96" s="2180"/>
      <c r="DD96" s="2180"/>
      <c r="DE96" s="2180"/>
      <c r="DF96" s="2180"/>
      <c r="DG96" s="2180"/>
      <c r="DH96" s="2180"/>
      <c r="DJ96" s="2155"/>
      <c r="DK96" s="2155"/>
      <c r="DL96" s="2155"/>
      <c r="DM96" s="2155"/>
      <c r="DN96" s="2155"/>
      <c r="DO96" s="2155"/>
      <c r="DP96" s="2155"/>
      <c r="DR96" s="2180"/>
      <c r="DS96" s="2180"/>
      <c r="DT96" s="2180"/>
      <c r="DU96" s="2180"/>
      <c r="DV96" s="2180"/>
      <c r="DW96" s="2180"/>
      <c r="DX96" s="2180"/>
      <c r="DZ96" s="2155"/>
      <c r="EA96" s="2155"/>
      <c r="EB96" s="2155"/>
      <c r="EC96" s="2155"/>
      <c r="ED96" s="2155"/>
      <c r="EE96" s="2155"/>
      <c r="EF96" s="2155"/>
    </row>
    <row r="97" spans="1:136">
      <c r="A97" s="97"/>
      <c r="C97" s="219">
        <v>0</v>
      </c>
      <c r="D97" s="1949"/>
      <c r="E97" s="219">
        <v>0</v>
      </c>
      <c r="F97" s="1949"/>
      <c r="G97" s="219">
        <v>0</v>
      </c>
      <c r="H97" s="1949"/>
      <c r="I97" s="4327">
        <v>0</v>
      </c>
      <c r="K97" s="4233">
        <v>0</v>
      </c>
      <c r="L97" s="926"/>
      <c r="M97" s="4233">
        <v>0</v>
      </c>
      <c r="N97" s="926"/>
      <c r="O97" s="4233">
        <v>0</v>
      </c>
      <c r="P97" s="926"/>
      <c r="Q97" s="4337">
        <v>0</v>
      </c>
      <c r="S97" s="219">
        <v>0</v>
      </c>
      <c r="T97" s="1963"/>
      <c r="U97" s="219">
        <v>0</v>
      </c>
      <c r="V97" s="1963"/>
      <c r="W97" s="219">
        <v>0</v>
      </c>
      <c r="X97" s="1963"/>
      <c r="Y97" s="4327">
        <v>0</v>
      </c>
      <c r="AA97" s="219">
        <v>0</v>
      </c>
      <c r="AB97" s="1978"/>
      <c r="AC97" s="219">
        <v>0</v>
      </c>
      <c r="AD97" s="1978"/>
      <c r="AE97" s="219">
        <v>0</v>
      </c>
      <c r="AF97" s="1978"/>
      <c r="AG97" s="4327">
        <v>0</v>
      </c>
      <c r="AI97" s="219">
        <v>0</v>
      </c>
      <c r="AJ97" s="2092"/>
      <c r="AK97" s="219">
        <v>0</v>
      </c>
      <c r="AL97" s="2092"/>
      <c r="AM97" s="219">
        <v>0</v>
      </c>
      <c r="AN97" s="2092"/>
      <c r="AO97" s="4327">
        <v>0</v>
      </c>
      <c r="AQ97" s="2647">
        <v>0</v>
      </c>
      <c r="AR97" s="2638"/>
      <c r="AS97" s="2647">
        <v>0</v>
      </c>
      <c r="AT97" s="2638"/>
      <c r="AU97" s="2647">
        <v>0</v>
      </c>
      <c r="AV97" s="2638"/>
      <c r="AW97" s="4396">
        <v>0</v>
      </c>
      <c r="AY97" s="4188">
        <v>0</v>
      </c>
      <c r="AZ97" s="4189"/>
      <c r="BA97" s="4188">
        <v>0</v>
      </c>
      <c r="BB97" s="4189"/>
      <c r="BC97" s="4188">
        <v>0</v>
      </c>
      <c r="BD97" s="4189"/>
      <c r="BE97" s="4402">
        <v>0</v>
      </c>
    </row>
    <row r="98" spans="1:136">
      <c r="A98" s="97"/>
      <c r="C98" s="1841" t="e">
        <f>IF(C94-C96-C97&lt;0,0,C94-C96-C97)</f>
        <v>#DIV/0!</v>
      </c>
      <c r="D98" s="1949"/>
      <c r="E98" s="1841" t="e">
        <f>IF(E94-E96-E97&lt;0,0,E94-E96-E97)</f>
        <v>#DIV/0!</v>
      </c>
      <c r="F98" s="1949"/>
      <c r="G98" s="1841" t="e">
        <f>IF(G94-G96-G97&lt;0,0,G94-G96-G97)</f>
        <v>#DIV/0!</v>
      </c>
      <c r="H98" s="1949"/>
      <c r="I98" s="4331" t="e">
        <f>IF(I94-I96-I97&lt;0,0,I94-I96-I97)</f>
        <v>#DIV/0!</v>
      </c>
      <c r="K98" s="4233" t="e">
        <f>IF(K94-K96-K97&lt;0,0,K94-K96-K97)</f>
        <v>#DIV/0!</v>
      </c>
      <c r="L98" s="926"/>
      <c r="M98" s="4233" t="e">
        <f>IF(M94-M96-M97&lt;0,0,M94-M96-M97)</f>
        <v>#DIV/0!</v>
      </c>
      <c r="N98" s="926"/>
      <c r="O98" s="4233" t="e">
        <f>IF(O94-O96-O97&lt;0,0,O94-O96-O97)</f>
        <v>#DIV/0!</v>
      </c>
      <c r="P98" s="926"/>
      <c r="Q98" s="4337" t="e">
        <f>IF(Q94-Q96-Q97&lt;0,0,Q94-Q96-Q97)</f>
        <v>#DIV/0!</v>
      </c>
      <c r="S98" s="1962" t="e">
        <f>IF(S94-S96-S97&lt;0,0,S94-S96-S97)</f>
        <v>#DIV/0!</v>
      </c>
      <c r="T98" s="1963"/>
      <c r="U98" s="1962" t="e">
        <f>IF(U94-U96-U97&lt;0,0,U94-U96-U97)</f>
        <v>#DIV/0!</v>
      </c>
      <c r="V98" s="1963"/>
      <c r="W98" s="1962" t="e">
        <f>IF(W94-W96-W97&lt;0,0,W94-W96-W97)</f>
        <v>#DIV/0!</v>
      </c>
      <c r="X98" s="1963"/>
      <c r="Y98" s="4354" t="e">
        <f>IF(Y94-Y96-Y97&lt;0,0,Y94-Y96-Y97)</f>
        <v>#DIV/0!</v>
      </c>
      <c r="AA98" s="1977" t="e">
        <f>IF(AA94-AA96-AA97&lt;0,0,AA94-AA96-AA97)</f>
        <v>#DIV/0!</v>
      </c>
      <c r="AB98" s="1978"/>
      <c r="AC98" s="1977" t="e">
        <f>IF(AC94-AC96-AC97&lt;0,0,AC94-AC96-AC97)</f>
        <v>#DIV/0!</v>
      </c>
      <c r="AD98" s="1978"/>
      <c r="AE98" s="1977" t="e">
        <f>IF(AE94-AE96-AE97&lt;0,0,AE94-AE96-AE97)</f>
        <v>#DIV/0!</v>
      </c>
      <c r="AF98" s="1978"/>
      <c r="AG98" s="4369" t="e">
        <f>IF(AG94-AG96-AG97&lt;0,0,AG94-AG96-AG97)</f>
        <v>#DIV/0!</v>
      </c>
      <c r="AI98" s="2091" t="e">
        <f>IF(AI94-AI96-AI97&lt;0,0,AI94-AI96-AI97)</f>
        <v>#DIV/0!</v>
      </c>
      <c r="AJ98" s="2092"/>
      <c r="AK98" s="2091" t="e">
        <f>IF(AK94-AK96-AK97&lt;0,0,AK94-AK96-AK97)</f>
        <v>#DIV/0!</v>
      </c>
      <c r="AL98" s="2092"/>
      <c r="AM98" s="2091" t="e">
        <f>IF(AM94-AM96-AM97&lt;0,0,AM94-AM96-AM97)</f>
        <v>#DIV/0!</v>
      </c>
      <c r="AN98" s="2092"/>
      <c r="AO98" s="4380" t="e">
        <f>IF(AO94-AO96-AO97&lt;0,0,AO94-AO96-AO97)</f>
        <v>#DIV/0!</v>
      </c>
      <c r="AQ98" s="2637" t="e">
        <f>IF(AQ94-AQ96-AQ97&lt;0,0,AQ94-AQ96-AQ97)</f>
        <v>#DIV/0!</v>
      </c>
      <c r="AR98" s="2638"/>
      <c r="AS98" s="2637" t="e">
        <f>IF(AS94-AS96-AS97&lt;0,0,AS94-AS96-AS97)</f>
        <v>#DIV/0!</v>
      </c>
      <c r="AT98" s="2638"/>
      <c r="AU98" s="2637" t="e">
        <f>IF(AU94-AU96-AU97&lt;0,0,AU94-AU96-AU97)</f>
        <v>#DIV/0!</v>
      </c>
      <c r="AV98" s="2638"/>
      <c r="AW98" s="4391" t="e">
        <f>IF(AW94-AW96-AW97&lt;0,0,AW94-AW96-AW97)</f>
        <v>#DIV/0!</v>
      </c>
      <c r="AY98" s="4188" t="e">
        <f>IF(AY94-AY96-AY97&lt;0,0,AY94-AY96-AY97)</f>
        <v>#DIV/0!</v>
      </c>
      <c r="AZ98" s="4189"/>
      <c r="BA98" s="4188" t="e">
        <f>IF(BA94-BA96-BA97&lt;0,0,BA94-BA96-BA97)</f>
        <v>#DIV/0!</v>
      </c>
      <c r="BB98" s="4189"/>
      <c r="BC98" s="4188" t="e">
        <f>IF(BC94-BC96-BC97&lt;0,0,BC94-BC96-BC97)</f>
        <v>#DIV/0!</v>
      </c>
      <c r="BD98" s="4189"/>
      <c r="BE98" s="4402" t="e">
        <f>IF(BE94-BE96-BE97&lt;0,0,BE94-BE96-BE97)</f>
        <v>#DIV/0!</v>
      </c>
    </row>
    <row r="99" spans="1:136">
      <c r="A99" s="97"/>
      <c r="C99" s="1842" t="e">
        <f>IF(C98=0,0,C98*C95)</f>
        <v>#DIV/0!</v>
      </c>
      <c r="D99" s="1874"/>
      <c r="E99" s="1842" t="e">
        <f>IF(E98=0,0,E98*E95)</f>
        <v>#DIV/0!</v>
      </c>
      <c r="F99" s="1874"/>
      <c r="G99" s="1842" t="e">
        <f>IF(G98=0,0,G98*G95)</f>
        <v>#DIV/0!</v>
      </c>
      <c r="H99" s="1874"/>
      <c r="I99" s="4330" t="e">
        <f>IF(I98=0,0,I98*I95)</f>
        <v>#DIV/0!</v>
      </c>
      <c r="K99" s="4234" t="e">
        <f>IF(K98=0,0,K98*K95)</f>
        <v>#DIV/0!</v>
      </c>
      <c r="L99" s="4235"/>
      <c r="M99" s="4234" t="e">
        <f>IF(M98=0,0,M98*M95)</f>
        <v>#DIV/0!</v>
      </c>
      <c r="N99" s="4235"/>
      <c r="O99" s="4234" t="e">
        <f>IF(O98=0,0,O98*O95)</f>
        <v>#DIV/0!</v>
      </c>
      <c r="P99" s="4235"/>
      <c r="Q99" s="4338" t="e">
        <f>IF(Q98=0,0,Q98*Q95)</f>
        <v>#DIV/0!</v>
      </c>
      <c r="S99" s="1959" t="e">
        <f>IF(S98=0,0,S98*S95)</f>
        <v>#DIV/0!</v>
      </c>
      <c r="T99" s="1958"/>
      <c r="U99" s="1959" t="e">
        <f>IF(U98=0,0,U98*U95)</f>
        <v>#DIV/0!</v>
      </c>
      <c r="V99" s="1958"/>
      <c r="W99" s="1959" t="e">
        <f>IF(W98=0,0,W98*W95)</f>
        <v>#DIV/0!</v>
      </c>
      <c r="X99" s="1958"/>
      <c r="Y99" s="4353" t="e">
        <f>IF(Y98=0,0,Y98*Y95)</f>
        <v>#DIV/0!</v>
      </c>
      <c r="AA99" s="1974" t="e">
        <f>IF(AA98=0,0,AA98*AA95)</f>
        <v>#DIV/0!</v>
      </c>
      <c r="AB99" s="1973"/>
      <c r="AC99" s="1974" t="e">
        <f>IF(AC98=0,0,AC98*AC95)</f>
        <v>#DIV/0!</v>
      </c>
      <c r="AD99" s="1973"/>
      <c r="AE99" s="1974" t="e">
        <f>IF(AE98=0,0,AE98*AE95)</f>
        <v>#DIV/0!</v>
      </c>
      <c r="AF99" s="1973"/>
      <c r="AG99" s="4368" t="e">
        <f>IF(AG98=0,0,AG98*AG95)</f>
        <v>#DIV/0!</v>
      </c>
      <c r="AI99" s="2097" t="e">
        <f>IF(AI98=0,0,AI98*AI95)</f>
        <v>#DIV/0!</v>
      </c>
      <c r="AJ99" s="2098"/>
      <c r="AK99" s="2097" t="e">
        <f>IF(AK98=0,0,AK98*AK95)</f>
        <v>#DIV/0!</v>
      </c>
      <c r="AL99" s="2098"/>
      <c r="AM99" s="2097" t="e">
        <f>IF(AM98=0,0,AM98*AM95)</f>
        <v>#DIV/0!</v>
      </c>
      <c r="AN99" s="2098"/>
      <c r="AO99" s="4383" t="e">
        <f>IF(AO98=0,0,AO98*AO95)</f>
        <v>#DIV/0!</v>
      </c>
      <c r="AQ99" s="2643" t="e">
        <f>IF(AQ98=0,0,AQ98*AQ95)</f>
        <v>#DIV/0!</v>
      </c>
      <c r="AR99" s="2644"/>
      <c r="AS99" s="2643" t="e">
        <f>IF(AS98=0,0,AS98*AS95)</f>
        <v>#DIV/0!</v>
      </c>
      <c r="AT99" s="2644"/>
      <c r="AU99" s="2643" t="e">
        <f>IF(AU98=0,0,AU98*AU95)</f>
        <v>#DIV/0!</v>
      </c>
      <c r="AV99" s="2644"/>
      <c r="AW99" s="4394" t="e">
        <f>IF(AW98=0,0,AW98*AW95)</f>
        <v>#DIV/0!</v>
      </c>
      <c r="AY99" s="4196" t="e">
        <f>IF(AY98=0,0,AY98*AY95)</f>
        <v>#DIV/0!</v>
      </c>
      <c r="AZ99" s="4197"/>
      <c r="BA99" s="4196" t="e">
        <f>IF(BA98=0,0,BA98*BA95)</f>
        <v>#DIV/0!</v>
      </c>
      <c r="BB99" s="4197"/>
      <c r="BC99" s="4196" t="e">
        <f>IF(BC98=0,0,BC98*BC95)</f>
        <v>#DIV/0!</v>
      </c>
      <c r="BD99" s="4197"/>
      <c r="BE99" s="4397" t="e">
        <f>IF(BE98=0,0,BE98*BE95)</f>
        <v>#DIV/0!</v>
      </c>
    </row>
    <row r="100" spans="1:136">
      <c r="A100" s="97"/>
      <c r="C100" s="1939"/>
      <c r="D100" s="1939"/>
      <c r="E100" s="1939"/>
      <c r="F100" s="1939"/>
      <c r="G100" s="1939"/>
      <c r="H100" s="1939"/>
      <c r="I100" s="2761"/>
      <c r="K100" s="4235"/>
      <c r="L100" s="4235"/>
      <c r="M100" s="4235"/>
      <c r="N100" s="4235"/>
      <c r="O100" s="4235"/>
      <c r="P100" s="4235"/>
      <c r="Q100" s="4339"/>
      <c r="S100" s="1966"/>
      <c r="T100" s="1966"/>
      <c r="U100" s="1966"/>
      <c r="V100" s="1966"/>
      <c r="W100" s="1966"/>
      <c r="X100" s="1966"/>
      <c r="Y100" s="4350"/>
      <c r="AA100" s="1981"/>
      <c r="AB100" s="1981"/>
      <c r="AC100" s="1981"/>
      <c r="AD100" s="1981"/>
      <c r="AE100" s="1981"/>
      <c r="AF100" s="1981"/>
      <c r="AG100" s="4365"/>
      <c r="AO100" s="4375"/>
      <c r="AW100" s="2820"/>
      <c r="AY100" s="4197"/>
      <c r="AZ100" s="4197"/>
      <c r="BA100" s="4197"/>
      <c r="BB100" s="4197"/>
      <c r="BC100" s="4197"/>
      <c r="BD100" s="4197"/>
      <c r="BE100" s="4400"/>
    </row>
    <row r="101" spans="1:136">
      <c r="A101" s="97"/>
      <c r="C101" s="1939"/>
      <c r="D101" s="1939"/>
      <c r="E101" s="1939"/>
      <c r="F101" s="1939"/>
      <c r="G101" s="1939"/>
      <c r="H101" s="1939"/>
      <c r="I101" s="2761"/>
      <c r="K101" s="4235"/>
      <c r="L101" s="4235"/>
      <c r="M101" s="4235"/>
      <c r="N101" s="4235"/>
      <c r="O101" s="4235"/>
      <c r="P101" s="4235"/>
      <c r="Q101" s="4339"/>
      <c r="S101" s="1966"/>
      <c r="T101" s="1966"/>
      <c r="U101" s="1966"/>
      <c r="V101" s="1966"/>
      <c r="W101" s="1966"/>
      <c r="X101" s="1966"/>
      <c r="Y101" s="4350"/>
      <c r="AA101" s="1981"/>
      <c r="AB101" s="1981"/>
      <c r="AC101" s="1981"/>
      <c r="AD101" s="1981"/>
      <c r="AE101" s="1981"/>
      <c r="AF101" s="1981"/>
      <c r="AG101" s="4365"/>
      <c r="AO101" s="4375"/>
      <c r="AW101" s="2820"/>
      <c r="AY101" s="4197"/>
      <c r="AZ101" s="4197"/>
      <c r="BA101" s="4197"/>
      <c r="BB101" s="4197"/>
      <c r="BC101" s="4197"/>
      <c r="BD101" s="4197"/>
      <c r="BE101" s="4400"/>
    </row>
    <row r="102" spans="1:136">
      <c r="A102" s="97"/>
      <c r="C102" s="1944" t="e">
        <f>IF(C125&gt;C126,C126,C125)</f>
        <v>#DIV/0!</v>
      </c>
      <c r="D102" s="1874"/>
      <c r="E102" s="1944">
        <v>0</v>
      </c>
      <c r="F102" s="1874"/>
      <c r="G102" s="1944" t="e">
        <f>IF(G125&gt;G126,G126,G125)</f>
        <v>#DIV/0!</v>
      </c>
      <c r="H102" s="1874"/>
      <c r="I102" s="2762">
        <v>0</v>
      </c>
      <c r="K102" s="4234" t="e">
        <f>IF(K125&gt;K126,K126,K125)</f>
        <v>#DIV/0!</v>
      </c>
      <c r="L102" s="4235"/>
      <c r="M102" s="4234">
        <v>0</v>
      </c>
      <c r="N102" s="4235"/>
      <c r="O102" s="4234" t="e">
        <f>IF(O125&gt;O126,O126,O125)</f>
        <v>#DIV/0!</v>
      </c>
      <c r="P102" s="4235"/>
      <c r="Q102" s="4338">
        <v>0</v>
      </c>
      <c r="S102" s="1967" t="e">
        <f>IF(S125&gt;S126,S126,S125)</f>
        <v>#DIV/0!</v>
      </c>
      <c r="T102" s="1958"/>
      <c r="U102" s="1967">
        <v>0</v>
      </c>
      <c r="V102" s="1958"/>
      <c r="W102" s="1967" t="e">
        <f>IF(W125&gt;W126,W126,W125)</f>
        <v>#DIV/0!</v>
      </c>
      <c r="X102" s="1958"/>
      <c r="Y102" s="4356">
        <v>0</v>
      </c>
      <c r="AA102" s="1982" t="e">
        <f>IF(AA125&gt;AA126,AA126,AA125)</f>
        <v>#DIV/0!</v>
      </c>
      <c r="AB102" s="1973"/>
      <c r="AC102" s="1982">
        <v>0</v>
      </c>
      <c r="AD102" s="1973"/>
      <c r="AE102" s="1982" t="e">
        <f>IF(AE125&gt;AE126,AE126,AE125)</f>
        <v>#DIV/0!</v>
      </c>
      <c r="AF102" s="1973"/>
      <c r="AG102" s="4372">
        <v>0</v>
      </c>
      <c r="AI102" s="2101" t="e">
        <f>IF(AI125&gt;AI126,AI126,AI125)</f>
        <v>#DIV/0!</v>
      </c>
      <c r="AJ102" s="2098"/>
      <c r="AK102" s="2101">
        <v>0</v>
      </c>
      <c r="AL102" s="2098"/>
      <c r="AM102" s="2101" t="e">
        <f>IF(AM125&gt;AM126,AM126,AM125)</f>
        <v>#DIV/0!</v>
      </c>
      <c r="AN102" s="2098"/>
      <c r="AO102" s="4385">
        <v>0</v>
      </c>
      <c r="AQ102" s="2648" t="e">
        <f>IF(AQ125&gt;AQ126,AQ126,AQ125)</f>
        <v>#DIV/0!</v>
      </c>
      <c r="AR102" s="2644"/>
      <c r="AS102" s="2648">
        <v>0</v>
      </c>
      <c r="AT102" s="2644"/>
      <c r="AU102" s="2648" t="e">
        <f>IF(AU125&gt;AU126,AU126,AU125)</f>
        <v>#DIV/0!</v>
      </c>
      <c r="AV102" s="2644"/>
      <c r="AW102" s="2831">
        <v>0</v>
      </c>
      <c r="AY102" s="4196" t="e">
        <f>IF(AY125&gt;AY126,AY126,AY125)</f>
        <v>#DIV/0!</v>
      </c>
      <c r="AZ102" s="4197"/>
      <c r="BA102" s="4196">
        <v>0</v>
      </c>
      <c r="BB102" s="4197"/>
      <c r="BC102" s="4196" t="e">
        <f>IF(BC125&gt;BC126,BC126,BC125)</f>
        <v>#DIV/0!</v>
      </c>
      <c r="BD102" s="4197"/>
      <c r="BE102" s="4397">
        <v>0</v>
      </c>
    </row>
    <row r="103" spans="1:136">
      <c r="A103" s="97"/>
      <c r="C103" s="4637" t="e">
        <f>'Data Entry - SOF'!C91*(C99/'HH1617-Calcs'!C11)</f>
        <v>#DIV/0!</v>
      </c>
      <c r="D103" s="1874"/>
      <c r="E103" s="1944">
        <f>IF('Data Entry - SOF'!C92&gt;E128,E128,'Data Entry - SOF'!C92)</f>
        <v>0</v>
      </c>
      <c r="F103" s="1874"/>
      <c r="G103" s="4637" t="e">
        <f>'Data Entry - SOF'!C91*(G99/'HH1617-Calcs'!C11)</f>
        <v>#DIV/0!</v>
      </c>
      <c r="H103" s="1874"/>
      <c r="I103" s="2762">
        <f>IF('Data Entry - SOF'!C92&gt;I128,I128,'Data Entry - SOF'!C92)</f>
        <v>0</v>
      </c>
      <c r="K103" s="4638" t="e">
        <f>'Data Entry - SOF'!E91*(K99/'HH1718-Calcs'!C11)</f>
        <v>#DIV/0!</v>
      </c>
      <c r="L103" s="4235"/>
      <c r="M103" s="4234">
        <f>IF('Data Entry - SOF'!E92&gt;M128,M128,'Data Entry - SOF'!E92)</f>
        <v>0</v>
      </c>
      <c r="N103" s="4235"/>
      <c r="O103" s="4638" t="e">
        <f>'Data Entry - SOF'!E91*(O99/'HH1718-Calcs'!C11)</f>
        <v>#DIV/0!</v>
      </c>
      <c r="P103" s="4235"/>
      <c r="Q103" s="4338">
        <f>IF('Data Entry - SOF'!E92&gt;Q128,Q128,'Data Entry - SOF'!E92)</f>
        <v>0</v>
      </c>
      <c r="S103" s="4639" t="e">
        <f>'Data Entry - SOF'!G91*(S99/'HH1819-Calcs'!C11)</f>
        <v>#DIV/0!</v>
      </c>
      <c r="T103" s="1958"/>
      <c r="U103" s="1967">
        <f>IF('Data Entry - SOF'!G92&gt;U128,U128,'Data Entry - SOF'!G92)</f>
        <v>0</v>
      </c>
      <c r="V103" s="1958"/>
      <c r="W103" s="4639" t="e">
        <f>'Data Entry - SOF'!G91*(W99/'HH1819-Calcs'!C11)</f>
        <v>#DIV/0!</v>
      </c>
      <c r="X103" s="1958"/>
      <c r="Y103" s="4356">
        <f>IF('Data Entry - SOF'!G92&gt;Y128,Y128,'Data Entry - SOF'!G92)</f>
        <v>0</v>
      </c>
      <c r="AA103" s="4640" t="e">
        <f>'Data Entry - SOF'!I91*(AA99/'HH1920-Calcs'!C11)</f>
        <v>#DIV/0!</v>
      </c>
      <c r="AB103" s="1973"/>
      <c r="AC103" s="1982">
        <f>IF('Data Entry - SOF'!I92&gt;AC128,AC128,'Data Entry - SOF'!I92)</f>
        <v>0</v>
      </c>
      <c r="AD103" s="1973"/>
      <c r="AE103" s="4640" t="e">
        <f>'Data Entry - SOF'!I91*(AE99/'HH1920-Calcs'!C11)</f>
        <v>#DIV/0!</v>
      </c>
      <c r="AF103" s="1973"/>
      <c r="AG103" s="4372">
        <f>IF('Data Entry - SOF'!I92&gt;AG128,AG128,'Data Entry - SOF'!I92)</f>
        <v>0</v>
      </c>
      <c r="AI103" s="4641" t="e">
        <f>'Data Entry - SOF'!K91*(AI99/'HH2021-Calcs'!C11)</f>
        <v>#DIV/0!</v>
      </c>
      <c r="AJ103" s="2098"/>
      <c r="AK103" s="2101">
        <f>IF('Data Entry - SOF'!K92&gt;AK128,AK128,'Data Entry - SOF'!K92)</f>
        <v>0</v>
      </c>
      <c r="AL103" s="2098"/>
      <c r="AM103" s="4641" t="e">
        <f>'Data Entry - SOF'!K91*(AM99/'HH2021-Calcs'!C11)</f>
        <v>#DIV/0!</v>
      </c>
      <c r="AN103" s="2098"/>
      <c r="AO103" s="4385">
        <f>IF('Data Entry - SOF'!K92&gt;AO128,AO128,'Data Entry - SOF'!K92)</f>
        <v>0</v>
      </c>
      <c r="AQ103" s="2654" t="e">
        <f>'Data Entry - SOF'!M91*(AQ99/'HH2122-Calcs'!C11)</f>
        <v>#DIV/0!</v>
      </c>
      <c r="AR103" s="2644"/>
      <c r="AS103" s="2648">
        <f>IF('Data Entry - SOF'!M92&gt;AS128,AS128,'Data Entry - SOF'!M92)</f>
        <v>0</v>
      </c>
      <c r="AT103" s="2644"/>
      <c r="AU103" s="2654" t="e">
        <f>'Data Entry - SOF'!M91*(AU99/'HH2122-Calcs'!C11)</f>
        <v>#DIV/0!</v>
      </c>
      <c r="AV103" s="2644"/>
      <c r="AW103" s="2831">
        <f>IF('Data Entry - SOF'!M92&gt;AW128,AW128,'Data Entry - SOF'!M92)</f>
        <v>0</v>
      </c>
      <c r="AY103" s="4171" t="e">
        <f>'Data Entry - SOF'!O91*(AY99/'HH2223-Calcs'!C11)</f>
        <v>#DIV/0!</v>
      </c>
      <c r="AZ103" s="4197"/>
      <c r="BA103" s="4196">
        <f>IF('Data Entry - SOF'!O92&gt;BA128,BA128,'Data Entry - SOF'!O92)</f>
        <v>0</v>
      </c>
      <c r="BB103" s="4197"/>
      <c r="BC103" s="4171" t="e">
        <f>'Data Entry - SOF'!O91*(BC99/'HH2223-Calcs'!C11)</f>
        <v>#DIV/0!</v>
      </c>
      <c r="BD103" s="4197"/>
      <c r="BE103" s="4397">
        <f>IF('Data Entry - SOF'!O92&gt;BE128,BE128,'Data Entry - SOF'!O92)</f>
        <v>0</v>
      </c>
    </row>
    <row r="104" spans="1:136">
      <c r="A104" s="97"/>
      <c r="C104" s="1945"/>
      <c r="D104" s="1945"/>
      <c r="E104" s="1945"/>
      <c r="F104" s="1945"/>
      <c r="G104" s="1945"/>
      <c r="H104" s="1945"/>
      <c r="I104" s="2763"/>
      <c r="K104" s="4235"/>
      <c r="L104" s="4235"/>
      <c r="M104" s="4235"/>
      <c r="N104" s="4235"/>
      <c r="O104" s="4235"/>
      <c r="P104" s="4235"/>
      <c r="Q104" s="4339"/>
      <c r="S104" s="1968"/>
      <c r="T104" s="1968"/>
      <c r="U104" s="1968"/>
      <c r="V104" s="1968"/>
      <c r="W104" s="1968"/>
      <c r="X104" s="1968"/>
      <c r="Y104" s="4357"/>
      <c r="AA104" s="1983"/>
      <c r="AB104" s="1983"/>
      <c r="AC104" s="1983"/>
      <c r="AD104" s="1983"/>
      <c r="AE104" s="1983"/>
      <c r="AF104" s="1983"/>
      <c r="AG104" s="4373"/>
      <c r="AI104" s="2102"/>
      <c r="AJ104" s="2102"/>
      <c r="AK104" s="2102"/>
      <c r="AL104" s="2102"/>
      <c r="AM104" s="2102"/>
      <c r="AN104" s="2102"/>
      <c r="AO104" s="4386"/>
      <c r="AQ104" s="2649"/>
      <c r="AR104" s="2649"/>
      <c r="AS104" s="2649"/>
      <c r="AT104" s="2649"/>
      <c r="AU104" s="2649"/>
      <c r="AV104" s="2649"/>
      <c r="AW104" s="2832"/>
      <c r="AY104" s="4197"/>
      <c r="AZ104" s="4197"/>
      <c r="BA104" s="4197"/>
      <c r="BB104" s="4197"/>
      <c r="BC104" s="4197"/>
      <c r="BD104" s="4197"/>
      <c r="BE104" s="4400"/>
    </row>
    <row r="105" spans="1:136" ht="13.5" thickBot="1">
      <c r="A105" s="97"/>
      <c r="C105" s="1946" t="e">
        <f>IF(C99-C102-C103&lt;0,0,C99-C102-C103)</f>
        <v>#DIV/0!</v>
      </c>
      <c r="D105" s="1874"/>
      <c r="E105" s="1946" t="e">
        <f>IF(E99-E102-E103&lt;0,0,E99-E102-E103)</f>
        <v>#DIV/0!</v>
      </c>
      <c r="F105" s="1874"/>
      <c r="G105" s="1946" t="e">
        <f>IF(G99-G102-G103&lt;0,0,G99-G102-G103)</f>
        <v>#DIV/0!</v>
      </c>
      <c r="H105" s="1874"/>
      <c r="I105" s="2764" t="e">
        <f>IF(I99-I102-I103&lt;0,0,I99-I102-I103)</f>
        <v>#DIV/0!</v>
      </c>
      <c r="K105" s="4239" t="e">
        <f>IF(K99-K102-K103&lt;0,0,K99-K102-K103)</f>
        <v>#DIV/0!</v>
      </c>
      <c r="L105" s="4235"/>
      <c r="M105" s="4239" t="e">
        <f>IF(M99-M102-M103&lt;0,0,M99-M102-M103)</f>
        <v>#DIV/0!</v>
      </c>
      <c r="N105" s="4235"/>
      <c r="O105" s="4239" t="e">
        <f>IF(O99-O102-O103&lt;0,0,O99-O102-O103)</f>
        <v>#DIV/0!</v>
      </c>
      <c r="P105" s="4235"/>
      <c r="Q105" s="4343" t="e">
        <f>IF(Q99-Q102-Q103&lt;0,0,Q99-Q102-Q103)</f>
        <v>#DIV/0!</v>
      </c>
      <c r="S105" s="1969" t="e">
        <f>IF(S99-S102-S103&lt;0,0,S99-S102-S103)</f>
        <v>#DIV/0!</v>
      </c>
      <c r="T105" s="1958"/>
      <c r="U105" s="1969" t="e">
        <f>IF(U99-U102-U103&lt;0,0,U99-U102-U103)</f>
        <v>#DIV/0!</v>
      </c>
      <c r="V105" s="1958"/>
      <c r="W105" s="1969" t="e">
        <f>IF(W99-W102-W103&lt;0,0,W99-W102-W103)</f>
        <v>#DIV/0!</v>
      </c>
      <c r="X105" s="1958"/>
      <c r="Y105" s="4358" t="e">
        <f>IF(Y99-Y102-Y103&lt;0,0,Y99-Y102-Y103)</f>
        <v>#DIV/0!</v>
      </c>
      <c r="AA105" s="1984" t="e">
        <f>IF(AA99-AA102-AA103&lt;0,0,AA99-AA102-AA103)</f>
        <v>#DIV/0!</v>
      </c>
      <c r="AB105" s="1973"/>
      <c r="AC105" s="1984" t="e">
        <f>IF(AC99-AC102-AC103&lt;0,0,AC99-AC102-AC103)</f>
        <v>#DIV/0!</v>
      </c>
      <c r="AD105" s="1973"/>
      <c r="AE105" s="1984" t="e">
        <f>IF(AE99-AE102-AE103&lt;0,0,AE99-AE102-AE103)</f>
        <v>#DIV/0!</v>
      </c>
      <c r="AF105" s="1973"/>
      <c r="AG105" s="4374" t="e">
        <f>IF(AG99-AG102-AG103&lt;0,0,AG99-AG102-AG103)</f>
        <v>#DIV/0!</v>
      </c>
      <c r="AI105" s="2103" t="e">
        <f>IF(AI99-AI102-AI103&lt;0,0,AI99-AI102-AI103)</f>
        <v>#DIV/0!</v>
      </c>
      <c r="AJ105" s="2098"/>
      <c r="AK105" s="2103" t="e">
        <f>IF(AK99-AK102-AK103&lt;0,0,AK99-AK102-AK103)</f>
        <v>#DIV/0!</v>
      </c>
      <c r="AL105" s="2098"/>
      <c r="AM105" s="2103" t="e">
        <f>IF(AM99-AM102-AM103&lt;0,0,AM99-AM102-AM103)</f>
        <v>#DIV/0!</v>
      </c>
      <c r="AN105" s="2098"/>
      <c r="AO105" s="4387" t="e">
        <f>IF(AO99-AO102-AO103&lt;0,0,AO99-AO102-AO103)</f>
        <v>#DIV/0!</v>
      </c>
      <c r="AQ105" s="2650" t="e">
        <f>IF(AQ99-AQ102-AQ103&lt;0,0,AQ99-AQ102-AQ103)</f>
        <v>#DIV/0!</v>
      </c>
      <c r="AR105" s="2644"/>
      <c r="AS105" s="2650" t="e">
        <f>IF(AS99-AS102-AS103&lt;0,0,AS99-AS102-AS103)</f>
        <v>#DIV/0!</v>
      </c>
      <c r="AT105" s="2644"/>
      <c r="AU105" s="2650" t="e">
        <f>IF(AU99-AU102-AU103&lt;0,0,AU99-AU102-AU103)</f>
        <v>#DIV/0!</v>
      </c>
      <c r="AV105" s="2644"/>
      <c r="AW105" s="2833" t="e">
        <f>IF(AW99-AW102-AW103&lt;0,0,AW99-AW102-AW103)</f>
        <v>#DIV/0!</v>
      </c>
      <c r="AY105" s="4227" t="e">
        <f>IF(AY99-AY102-AY103&lt;0,0,AY99-AY102-AY103)</f>
        <v>#DIV/0!</v>
      </c>
      <c r="AZ105" s="4197"/>
      <c r="BA105" s="4227" t="e">
        <f>IF(BA99-BA102-BA103&lt;0,0,BA99-BA102-BA103)</f>
        <v>#DIV/0!</v>
      </c>
      <c r="BB105" s="4197"/>
      <c r="BC105" s="4227" t="e">
        <f>IF(BC99-BC102-BC103&lt;0,0,BC99-BC102-BC103)</f>
        <v>#DIV/0!</v>
      </c>
      <c r="BD105" s="4197"/>
      <c r="BE105" s="4404" t="e">
        <f>IF(BE99-BE102-BE103&lt;0,0,BE99-BE102-BE103)</f>
        <v>#DIV/0!</v>
      </c>
    </row>
    <row r="106" spans="1:136" ht="13.5" thickTop="1">
      <c r="I106" s="2733"/>
      <c r="Q106" s="4333"/>
      <c r="Y106" s="2769"/>
      <c r="AG106" s="2790"/>
      <c r="AO106" s="4375"/>
      <c r="AW106" s="2820"/>
      <c r="BE106" s="4318"/>
    </row>
    <row r="107" spans="1:136">
      <c r="I107" s="2733"/>
      <c r="Q107" s="4333"/>
      <c r="Y107" s="2769"/>
      <c r="AG107" s="2790"/>
      <c r="AO107" s="4375"/>
      <c r="AW107" s="2820"/>
      <c r="BE107" s="4318"/>
    </row>
    <row r="108" spans="1:136">
      <c r="I108" s="2733"/>
      <c r="Q108" s="4333"/>
      <c r="Y108" s="2769"/>
      <c r="AG108" s="2790"/>
      <c r="AO108" s="4375"/>
      <c r="AW108" s="2820"/>
      <c r="BE108" s="4318"/>
    </row>
    <row r="109" spans="1:136">
      <c r="I109" s="2733"/>
      <c r="Q109" s="4333"/>
      <c r="Y109" s="2769"/>
      <c r="AG109" s="2790"/>
      <c r="AO109" s="4375"/>
      <c r="AW109" s="2820"/>
      <c r="BE109" s="4318"/>
    </row>
    <row r="110" spans="1:136">
      <c r="I110" s="2733"/>
      <c r="Q110" s="4333"/>
      <c r="Y110" s="2769"/>
      <c r="AG110" s="2790"/>
      <c r="AO110" s="4375"/>
      <c r="AW110" s="2820"/>
      <c r="BE110" s="4318"/>
    </row>
    <row r="111" spans="1:136">
      <c r="C111" s="1405" t="e">
        <f>C48*0.04</f>
        <v>#DIV/0!</v>
      </c>
      <c r="D111" s="1405"/>
      <c r="E111" s="1405" t="e">
        <f>E48*0.05</f>
        <v>#DIV/0!</v>
      </c>
      <c r="F111" s="1405"/>
      <c r="G111" s="1405" t="e">
        <f>G48*0.04</f>
        <v>#DIV/0!</v>
      </c>
      <c r="H111" s="1405"/>
      <c r="I111" s="2745" t="e">
        <f>I48*0.05</f>
        <v>#DIV/0!</v>
      </c>
      <c r="K111" s="47" t="e">
        <f>K48*0.04</f>
        <v>#DIV/0!</v>
      </c>
      <c r="M111" s="47" t="e">
        <f>M48*0.05</f>
        <v>#DIV/0!</v>
      </c>
      <c r="O111" s="47" t="e">
        <f>O48*0.04</f>
        <v>#DIV/0!</v>
      </c>
      <c r="Q111" s="4333" t="e">
        <f>Q48*0.05</f>
        <v>#DIV/0!</v>
      </c>
      <c r="S111" s="1572" t="e">
        <f>S48*0.04</f>
        <v>#DIV/0!</v>
      </c>
      <c r="T111" s="1572"/>
      <c r="U111" s="1572" t="e">
        <f>U48*0.05</f>
        <v>#DIV/0!</v>
      </c>
      <c r="V111" s="1572"/>
      <c r="W111" s="1572" t="e">
        <f>W48*0.04</f>
        <v>#DIV/0!</v>
      </c>
      <c r="X111" s="1572"/>
      <c r="Y111" s="2780" t="e">
        <f>Y48*0.05</f>
        <v>#DIV/0!</v>
      </c>
      <c r="AA111" s="1651" t="e">
        <f>AA48*0.04</f>
        <v>#DIV/0!</v>
      </c>
      <c r="AB111" s="1651"/>
      <c r="AC111" s="1651" t="e">
        <f>AC48*0.05</f>
        <v>#DIV/0!</v>
      </c>
      <c r="AD111" s="1651"/>
      <c r="AE111" s="1651" t="e">
        <f>AE48*0.04</f>
        <v>#DIV/0!</v>
      </c>
      <c r="AF111" s="1651"/>
      <c r="AG111" s="2801" t="e">
        <f>AG48*0.05</f>
        <v>#DIV/0!</v>
      </c>
      <c r="AI111" s="2102" t="e">
        <f>AI48*0.04</f>
        <v>#DIV/0!</v>
      </c>
      <c r="AJ111" s="2102"/>
      <c r="AK111" s="2102" t="e">
        <f>AK48*0.05</f>
        <v>#DIV/0!</v>
      </c>
      <c r="AL111" s="2102"/>
      <c r="AM111" s="2102" t="e">
        <f>AM48*0.04</f>
        <v>#DIV/0!</v>
      </c>
      <c r="AN111" s="2102"/>
      <c r="AO111" s="4386" t="e">
        <f>AO48*0.05</f>
        <v>#DIV/0!</v>
      </c>
      <c r="AQ111" s="2649" t="e">
        <f>AQ48*0.04</f>
        <v>#DIV/0!</v>
      </c>
      <c r="AR111" s="2649"/>
      <c r="AS111" s="2649" t="e">
        <f>AS48*0.05</f>
        <v>#DIV/0!</v>
      </c>
      <c r="AT111" s="2649"/>
      <c r="AU111" s="2649" t="e">
        <f>AU48*0.04</f>
        <v>#DIV/0!</v>
      </c>
      <c r="AV111" s="2649"/>
      <c r="AW111" s="2832" t="e">
        <f>AW48*0.05</f>
        <v>#DIV/0!</v>
      </c>
      <c r="AY111" s="4151" t="e">
        <f>AY48*0.04</f>
        <v>#DIV/0!</v>
      </c>
      <c r="BA111" s="4151" t="e">
        <f>BA48*0.05</f>
        <v>#DIV/0!</v>
      </c>
      <c r="BC111" s="4151" t="e">
        <f>BC48*0.04</f>
        <v>#DIV/0!</v>
      </c>
      <c r="BE111" s="4318" t="e">
        <f>BE48*0.05</f>
        <v>#DIV/0!</v>
      </c>
      <c r="BH111" s="498" t="e">
        <f>BH48*0.04</f>
        <v>#DIV/0!</v>
      </c>
      <c r="BI111" s="498" t="e">
        <f>BI48*0.05</f>
        <v>#DIV/0!</v>
      </c>
      <c r="BJ111" s="1838" t="e">
        <f>BJ48*0.04</f>
        <v>#DIV/0!</v>
      </c>
      <c r="BK111" s="1838" t="e">
        <f>BK48*0.05</f>
        <v>#DIV/0!</v>
      </c>
      <c r="BV111" s="1024" t="e">
        <f>BV42*0.04</f>
        <v>#REF!</v>
      </c>
      <c r="BW111" s="1024"/>
      <c r="BX111" s="1024" t="e">
        <f>BX42*0.05</f>
        <v>#REF!</v>
      </c>
      <c r="BY111" s="1024"/>
      <c r="BZ111" s="1024" t="e">
        <f>BZ42*0.04</f>
        <v>#REF!</v>
      </c>
      <c r="CA111" s="1024"/>
      <c r="CB111" s="1024" t="e">
        <f>CB42*0.05</f>
        <v>#REF!</v>
      </c>
      <c r="CD111" s="2201" t="e">
        <f>CD42*0.04</f>
        <v>#REF!</v>
      </c>
      <c r="CE111" s="2201"/>
      <c r="CF111" s="2201" t="e">
        <f>CF42*0.05</f>
        <v>#REF!</v>
      </c>
      <c r="CG111" s="2201"/>
      <c r="CH111" s="2201" t="e">
        <f>CH42*0.04</f>
        <v>#REF!</v>
      </c>
      <c r="CI111" s="2201"/>
      <c r="CJ111" s="2201" t="e">
        <f>CJ42*0.05</f>
        <v>#REF!</v>
      </c>
      <c r="CL111" s="2175" t="e">
        <f>CL42*0.04</f>
        <v>#REF!</v>
      </c>
      <c r="CM111" s="2175"/>
      <c r="CN111" s="2175" t="e">
        <f>CN42*0.05</f>
        <v>#REF!</v>
      </c>
      <c r="CO111" s="2175"/>
      <c r="CP111" s="2175" t="e">
        <f>CP42*0.04</f>
        <v>#REF!</v>
      </c>
      <c r="CQ111" s="2175"/>
      <c r="CR111" s="2175" t="e">
        <f>CR42*0.05</f>
        <v>#REF!</v>
      </c>
      <c r="CT111" s="2150" t="e">
        <f>CT42*0.04</f>
        <v>#REF!</v>
      </c>
      <c r="CU111" s="2150"/>
      <c r="CV111" s="2150" t="e">
        <f>CV42*0.05</f>
        <v>#REF!</v>
      </c>
      <c r="CW111" s="2150"/>
      <c r="CX111" s="2150" t="e">
        <f>CX42*0.04</f>
        <v>#DIV/0!</v>
      </c>
      <c r="CY111" s="2150"/>
      <c r="CZ111" s="2150" t="e">
        <f>CZ42*0.05</f>
        <v>#DIV/0!</v>
      </c>
      <c r="DB111" s="2175" t="e">
        <f>DB48*0.04</f>
        <v>#DIV/0!</v>
      </c>
      <c r="DC111" s="2175"/>
      <c r="DD111" s="2175" t="e">
        <f>DD48*0.05</f>
        <v>#DIV/0!</v>
      </c>
      <c r="DE111" s="2175"/>
      <c r="DF111" s="2175" t="e">
        <f>DF48*0.04</f>
        <v>#DIV/0!</v>
      </c>
      <c r="DG111" s="2175"/>
      <c r="DH111" s="2175" t="e">
        <f>DH48*0.05</f>
        <v>#DIV/0!</v>
      </c>
      <c r="DJ111" s="2150" t="e">
        <f>DJ48*0.04</f>
        <v>#DIV/0!</v>
      </c>
      <c r="DK111" s="2150"/>
      <c r="DL111" s="2150" t="e">
        <f>DL48*0.05</f>
        <v>#DIV/0!</v>
      </c>
      <c r="DM111" s="2150"/>
      <c r="DN111" s="2150" t="e">
        <f>DN48*0.04</f>
        <v>#DIV/0!</v>
      </c>
      <c r="DO111" s="2150"/>
      <c r="DP111" s="2150" t="e">
        <f>DP48*0.05</f>
        <v>#DIV/0!</v>
      </c>
      <c r="DR111" s="2175" t="e">
        <f>DR48*0.04</f>
        <v>#DIV/0!</v>
      </c>
      <c r="DS111" s="2175"/>
      <c r="DT111" s="2175" t="e">
        <f>DT48*0.05</f>
        <v>#DIV/0!</v>
      </c>
      <c r="DU111" s="2175"/>
      <c r="DV111" s="2175" t="e">
        <f>DV48*0.04</f>
        <v>#DIV/0!</v>
      </c>
      <c r="DW111" s="2175"/>
      <c r="DX111" s="2175" t="e">
        <f>DX48*0.05</f>
        <v>#DIV/0!</v>
      </c>
      <c r="DZ111" s="2150" t="e">
        <f>DZ48*0.04</f>
        <v>#DIV/0!</v>
      </c>
      <c r="EA111" s="2150"/>
      <c r="EB111" s="2150" t="e">
        <f>EB48*0.05</f>
        <v>#DIV/0!</v>
      </c>
      <c r="EC111" s="2150"/>
      <c r="ED111" s="2150" t="e">
        <f>ED48*0.04</f>
        <v>#DIV/0!</v>
      </c>
      <c r="EE111" s="2150"/>
      <c r="EF111" s="2150" t="e">
        <f>EF48*0.05</f>
        <v>#DIV/0!</v>
      </c>
    </row>
    <row r="112" spans="1:136">
      <c r="C112" s="1405" t="e">
        <f>C43*80</f>
        <v>#DIV/0!</v>
      </c>
      <c r="D112" s="1405"/>
      <c r="E112" s="1405" t="e">
        <f>'Ch41 Calc Data'!K17*100</f>
        <v>#DIV/0!</v>
      </c>
      <c r="F112" s="1405"/>
      <c r="G112" s="1405" t="e">
        <f>G43*80</f>
        <v>#DIV/0!</v>
      </c>
      <c r="H112" s="1405"/>
      <c r="I112" s="2745">
        <f>'Ch41 Calc Data'!L10*100</f>
        <v>0</v>
      </c>
      <c r="K112" s="47" t="e">
        <f>K43*80</f>
        <v>#DIV/0!</v>
      </c>
      <c r="M112" s="47" t="e">
        <f>'Ch41 Calc Data'!L17*100</f>
        <v>#DIV/0!</v>
      </c>
      <c r="O112" s="47" t="e">
        <f>O43*80</f>
        <v>#DIV/0!</v>
      </c>
      <c r="Q112" s="4333" t="e">
        <f>'Ch41 Calc Data'!L17*100</f>
        <v>#DIV/0!</v>
      </c>
      <c r="S112" s="1572" t="e">
        <f>S43*80</f>
        <v>#DIV/0!</v>
      </c>
      <c r="T112" s="1572"/>
      <c r="U112" s="1572" t="e">
        <f>'Ch41 Calc Data'!M17*100</f>
        <v>#DIV/0!</v>
      </c>
      <c r="V112" s="1572"/>
      <c r="W112" s="1572" t="e">
        <f>W43*80</f>
        <v>#DIV/0!</v>
      </c>
      <c r="X112" s="1572"/>
      <c r="Y112" s="2780" t="e">
        <f>'Ch41 Calc Data'!M17*100</f>
        <v>#DIV/0!</v>
      </c>
      <c r="AA112" s="1651" t="e">
        <f>AA43*80</f>
        <v>#DIV/0!</v>
      </c>
      <c r="AB112" s="1651"/>
      <c r="AC112" s="1651" t="e">
        <f>'Ch41 Calc Data'!N17*100</f>
        <v>#DIV/0!</v>
      </c>
      <c r="AD112" s="1651"/>
      <c r="AE112" s="1651" t="e">
        <f>AE43*80</f>
        <v>#DIV/0!</v>
      </c>
      <c r="AF112" s="1651"/>
      <c r="AG112" s="2801" t="e">
        <f>'Ch41 Calc Data'!N17*100</f>
        <v>#DIV/0!</v>
      </c>
      <c r="AI112" s="2102" t="e">
        <f>AI43*80</f>
        <v>#DIV/0!</v>
      </c>
      <c r="AJ112" s="2102"/>
      <c r="AK112" s="2102" t="e">
        <f>'Ch41 Calc Data'!O17*100</f>
        <v>#DIV/0!</v>
      </c>
      <c r="AL112" s="2102"/>
      <c r="AM112" s="2102" t="e">
        <f>AM43*80</f>
        <v>#DIV/0!</v>
      </c>
      <c r="AN112" s="2102"/>
      <c r="AO112" s="4386" t="e">
        <f>'Ch41 Calc Data'!O17*100</f>
        <v>#DIV/0!</v>
      </c>
      <c r="AQ112" s="2649" t="e">
        <f>AQ43*80</f>
        <v>#DIV/0!</v>
      </c>
      <c r="AR112" s="2649"/>
      <c r="AS112" s="2649" t="e">
        <f>'Ch41 Calc Data'!P17*100</f>
        <v>#DIV/0!</v>
      </c>
      <c r="AT112" s="2649"/>
      <c r="AU112" s="2649" t="e">
        <f>AU43*80</f>
        <v>#DIV/0!</v>
      </c>
      <c r="AV112" s="2649"/>
      <c r="AW112" s="2832" t="e">
        <f>'Ch41 Calc Data'!P17*100</f>
        <v>#DIV/0!</v>
      </c>
      <c r="AY112" s="4151" t="e">
        <f>AY43*80</f>
        <v>#DIV/0!</v>
      </c>
      <c r="BA112" s="4151" t="e">
        <f>'Ch41 Calc Data'!Q17*100</f>
        <v>#DIV/0!</v>
      </c>
      <c r="BC112" s="4151" t="e">
        <f>BC43*80</f>
        <v>#DIV/0!</v>
      </c>
      <c r="BE112" s="4318" t="e">
        <f>'Ch41 Calc Data'!Q17*100</f>
        <v>#DIV/0!</v>
      </c>
      <c r="BH112" s="498" t="e">
        <f>BH43*80</f>
        <v>#DIV/0!</v>
      </c>
      <c r="BI112" s="498" t="e">
        <f>'Ch41 Calc Data'!L20*100</f>
        <v>#DIV/0!</v>
      </c>
      <c r="BJ112" s="1838" t="e">
        <f>BJ43*80</f>
        <v>#DIV/0!</v>
      </c>
      <c r="BK112" s="1838" t="e">
        <f>'Ch41 Calc Data'!L20*100</f>
        <v>#DIV/0!</v>
      </c>
      <c r="BV112" s="1024" t="e">
        <f>BV43*80</f>
        <v>#REF!</v>
      </c>
      <c r="BW112" s="1024"/>
      <c r="BX112" s="1024">
        <f>'Ch41 Calc Data'!AA10*100</f>
        <v>0</v>
      </c>
      <c r="BY112" s="1024"/>
      <c r="BZ112" s="1024" t="e">
        <f>BZ43*80</f>
        <v>#REF!</v>
      </c>
      <c r="CA112" s="1024"/>
      <c r="CB112" s="1024">
        <f>'Ch41 Calc Data'!AA10*100</f>
        <v>0</v>
      </c>
      <c r="CD112" s="2201" t="e">
        <f>CD43*80</f>
        <v>#REF!</v>
      </c>
      <c r="CE112" s="2201"/>
      <c r="CF112" s="2201">
        <f>'Ch41 Calc Data'!AB10*100</f>
        <v>0</v>
      </c>
      <c r="CG112" s="2201"/>
      <c r="CH112" s="2201" t="e">
        <f>CH43*80</f>
        <v>#REF!</v>
      </c>
      <c r="CI112" s="2201"/>
      <c r="CJ112" s="2201">
        <f>'Ch41 Calc Data'!AB10*100</f>
        <v>0</v>
      </c>
      <c r="CL112" s="2175" t="e">
        <f>CL43*80</f>
        <v>#REF!</v>
      </c>
      <c r="CM112" s="2175"/>
      <c r="CN112" s="2175">
        <f>'Ch41 Calc Data'!AC10*100</f>
        <v>0</v>
      </c>
      <c r="CO112" s="2175"/>
      <c r="CP112" s="2175" t="e">
        <f>CP43*80</f>
        <v>#REF!</v>
      </c>
      <c r="CQ112" s="2175"/>
      <c r="CR112" s="2175">
        <f>'Ch41 Calc Data'!AC10*100</f>
        <v>0</v>
      </c>
      <c r="CT112" s="2150" t="e">
        <f>CT43*80</f>
        <v>#REF!</v>
      </c>
      <c r="CU112" s="2150"/>
      <c r="CV112" s="2150">
        <f>'Ch41 Calc Data'!AD10*100</f>
        <v>0</v>
      </c>
      <c r="CW112" s="2150"/>
      <c r="CX112" s="2150" t="e">
        <f>CX43*80</f>
        <v>#DIV/0!</v>
      </c>
      <c r="CY112" s="2150"/>
      <c r="CZ112" s="2150">
        <f>'Ch41 Calc Data'!AD10*100</f>
        <v>0</v>
      </c>
      <c r="DB112" s="2175" t="e">
        <f>DB43*80</f>
        <v>#DIV/0!</v>
      </c>
      <c r="DC112" s="2175"/>
      <c r="DD112" s="2175">
        <f>'Ch41 Calc Data'!AE10*100</f>
        <v>0</v>
      </c>
      <c r="DE112" s="2175"/>
      <c r="DF112" s="2175" t="e">
        <f>DF43*80</f>
        <v>#DIV/0!</v>
      </c>
      <c r="DG112" s="2175"/>
      <c r="DH112" s="2175">
        <f>'Ch41 Calc Data'!AE10*100</f>
        <v>0</v>
      </c>
      <c r="DJ112" s="2150" t="e">
        <f>DJ43*80</f>
        <v>#DIV/0!</v>
      </c>
      <c r="DK112" s="2150"/>
      <c r="DL112" s="2150">
        <f>'Ch41 Calc Data'!AF10*100</f>
        <v>0</v>
      </c>
      <c r="DM112" s="2150"/>
      <c r="DN112" s="2150" t="e">
        <f>DN43*80</f>
        <v>#DIV/0!</v>
      </c>
      <c r="DO112" s="2150"/>
      <c r="DP112" s="2150">
        <f>'Ch41 Calc Data'!AF10*100</f>
        <v>0</v>
      </c>
      <c r="DR112" s="2175" t="e">
        <f>DR43*80</f>
        <v>#DIV/0!</v>
      </c>
      <c r="DS112" s="2175"/>
      <c r="DT112" s="2175">
        <f>'Ch41 Calc Data'!AG10*100</f>
        <v>0</v>
      </c>
      <c r="DU112" s="2175"/>
      <c r="DV112" s="2175" t="e">
        <f>DV43*80</f>
        <v>#DIV/0!</v>
      </c>
      <c r="DW112" s="2175"/>
      <c r="DX112" s="2175">
        <f>'Ch41 Calc Data'!AG10*100</f>
        <v>0</v>
      </c>
      <c r="DZ112" s="2150" t="e">
        <f>DZ43*80</f>
        <v>#DIV/0!</v>
      </c>
      <c r="EA112" s="2150"/>
      <c r="EB112" s="2150">
        <f>'Ch41 Calc Data'!AH10*100</f>
        <v>0</v>
      </c>
      <c r="EC112" s="2150"/>
      <c r="ED112" s="2150" t="e">
        <f>ED43*80</f>
        <v>#DIV/0!</v>
      </c>
      <c r="EE112" s="2150"/>
      <c r="EF112" s="2150">
        <f>'Ch41 Calc Data'!AH10*100</f>
        <v>0</v>
      </c>
    </row>
    <row r="113" spans="3:136">
      <c r="I113" s="2733"/>
      <c r="Q113" s="4333"/>
      <c r="Y113" s="2769"/>
      <c r="AG113" s="2790"/>
      <c r="AO113" s="4375"/>
      <c r="AW113" s="2820"/>
      <c r="BE113" s="4318"/>
      <c r="BH113" s="486"/>
      <c r="BI113" s="486"/>
    </row>
    <row r="114" spans="3:136">
      <c r="E114" s="1403">
        <f>IF('Data Entry - SOF'!C92=0,0,'Data Entry - SOF'!C91*(E48/'Data Entry - SOF'!C59))</f>
        <v>0</v>
      </c>
      <c r="I114" s="2733">
        <f>IF('Data Entry - SOF'!C92=0,0,IF(I41=0,0,'Data Entry - SOF'!C91*('Option Costs-HB3646'!I48/'Data Entry - SOF'!C59)))</f>
        <v>0</v>
      </c>
      <c r="M114" s="47">
        <f>IF('Data Entry - SOF'!E92=0,0,'Data Entry - SOF'!E91*(M48/'Data Entry - SOF'!E59))</f>
        <v>0</v>
      </c>
      <c r="Q114" s="4333">
        <f>IF('Data Entry - SOF'!E92=0,0,IF(Q41=0,0,'Data Entry - SOF'!E91*(Q48/'Data Entry - SOF'!E59)))</f>
        <v>0</v>
      </c>
      <c r="U114" s="1570">
        <f>IF('Data Entry - SOF'!G92=0,0,'Data Entry - SOF'!G91*(U48/'Data Entry - SOF'!G59))</f>
        <v>0</v>
      </c>
      <c r="Y114" s="2769">
        <f>IF('Data Entry - SOF'!G92=0,0,IF(Y41=0,0,'Data Entry - SOF'!G91*(Y48/'Data Entry - SOF'!G59)))</f>
        <v>0</v>
      </c>
      <c r="AC114" s="1650">
        <f>IF('Data Entry - SOF'!I92=0,0,'Data Entry - SOF'!I91*(AC48/'Data Entry - SOF'!I59))</f>
        <v>0</v>
      </c>
      <c r="AG114" s="2790">
        <f>IF('Data Entry - SOF'!I92=0,0,IF(AG41=0,0,'Data Entry - SOF'!I91*(AG48/'Data Entry - SOF'!I59)))</f>
        <v>0</v>
      </c>
      <c r="AK114" s="2085">
        <f>IF('Data Entry - SOF'!K92=0,0,'Data Entry - SOF'!K91*(AK48/'Data Entry - SOF'!K59))</f>
        <v>0</v>
      </c>
      <c r="AO114" s="4375">
        <f>IF('Data Entry - SOF'!K92=0,0,IF(AO41=0,0,'Data Entry - SOF'!K91*(AO48/'Data Entry - SOF'!K59)))</f>
        <v>0</v>
      </c>
      <c r="AS114" s="2631">
        <f>IF('Data Entry - SOF'!M92=0,0,'Data Entry - SOF'!M91*(AS48/'Data Entry - SOF'!M59))</f>
        <v>0</v>
      </c>
      <c r="AW114" s="2820">
        <f>IF('Data Entry - SOF'!M92=0,0,IF(AW41=0,0,'Data Entry - SOF'!M91*(AW48/'Data Entry - SOF'!M59)))</f>
        <v>0</v>
      </c>
      <c r="BA114" s="4151">
        <f>IF('Data Entry - SOF'!O92=0,0,'Data Entry - SOF'!O91*(BA48/'Data Entry - SOF'!O59))</f>
        <v>0</v>
      </c>
      <c r="BE114" s="4318">
        <f>IF('Data Entry - SOF'!O92=0,0,IF(BE41=0,0,'Data Entry - SOF'!O91*(BE48/'Data Entry - SOF'!O59)))</f>
        <v>0</v>
      </c>
      <c r="BH114" s="486"/>
      <c r="BI114" s="486">
        <f>IF('Data Entry - SOF'!E92=0,0,'Data Entry - SOF'!E91*(BI42/BI41))</f>
        <v>0</v>
      </c>
      <c r="BX114" s="991" t="e">
        <f>IF('Data Entry - SOF'!#REF!=0,0,'Data Entry - SOF'!#REF!*('Option Costs-HB3646'!BX42/'Option Costs-HB3646'!BX41))</f>
        <v>#REF!</v>
      </c>
      <c r="CB114" s="991" t="e">
        <f>IF('Data Entry - SOF'!#REF!=0,0,IF(CB41=0,0,'Data Entry - SOF'!#REF!*('Option Costs-HB3646'!CB42/'Option Costs-HB3646'!CB41)))</f>
        <v>#REF!</v>
      </c>
      <c r="CF114" s="2182" t="e">
        <f>IF('Data Entry - SOF'!#REF!=0,0,'Data Entry - SOF'!#REF!*('Option Costs-HB3646'!CF42/'Option Costs-HB3646'!CF41))</f>
        <v>#REF!</v>
      </c>
      <c r="CJ114" s="2182" t="e">
        <f>IF('Data Entry - SOF'!#REF!=0,0,IF(CJ41=0,0,'Data Entry - SOF'!#REF!*('Option Costs-HB3646'!CJ42/'Option Costs-HB3646'!CJ41)))</f>
        <v>#REF!</v>
      </c>
      <c r="CN114" s="2156" t="e">
        <f>IF('Data Entry - SOF'!#REF!=0,0,'Data Entry - SOF'!#REF!*('Option Costs-HB3646'!CN42/'Option Costs-HB3646'!CN41))</f>
        <v>#REF!</v>
      </c>
      <c r="CR114" s="2156" t="e">
        <f>IF('Data Entry - SOF'!#REF!=0,0,IF(CR41=0,0,'Data Entry - SOF'!#REF!*('Option Costs-HB3646'!CR42/'Option Costs-HB3646'!CR41)))</f>
        <v>#REF!</v>
      </c>
      <c r="CV114" s="1840" t="e">
        <f>IF('Data Entry - SOF'!#REF!=0,0,'Data Entry - SOF'!#REF!*('Option Costs-HB3646'!CV42/'Option Costs-HB3646'!CV41))</f>
        <v>#REF!</v>
      </c>
      <c r="CZ114" s="1840" t="e">
        <f>IF('Data Entry - SOF'!#REF!=0,0,IF(CZ41=0,0,'Data Entry - SOF'!#REF!*('Option Costs-HB3646'!CZ42/'Option Costs-HB3646'!CZ41)))</f>
        <v>#REF!</v>
      </c>
      <c r="DD114" s="2156">
        <f>IF('Data Entry - SOF'!C92=0,0,'Data Entry - SOF'!C91*('Option Costs-HB3646'!DD48/'Option Costs-HB3646'!DD41))</f>
        <v>0</v>
      </c>
      <c r="DH114" s="2156">
        <f>IF('Data Entry - SOF'!C92=0,0,IF(DH41=0,0,'Data Entry - SOF'!C91*('Option Costs-HB3646'!DH48/'Option Costs-HB3646'!DH41)))</f>
        <v>0</v>
      </c>
      <c r="DL114" s="1840">
        <f>IF('Data Entry - SOF'!C92=0,0,'Data Entry - SOF'!C91*('Option Costs-HB3646'!DL48/'Option Costs-HB3646'!DL41))</f>
        <v>0</v>
      </c>
      <c r="DP114" s="1840">
        <f>IF('Data Entry - SOF'!C92=0,0,IF(DP41=0,0,'Data Entry - SOF'!C91*('Option Costs-HB3646'!DP48/'Option Costs-HB3646'!DP41)))</f>
        <v>0</v>
      </c>
      <c r="DT114" s="2156">
        <f>IF('Data Entry - SOF'!E92=0,0,'Data Entry - SOF'!E91*('Option Costs-HB3646'!DT48/'Option Costs-HB3646'!DT41))</f>
        <v>0</v>
      </c>
      <c r="DX114" s="2156">
        <f>IF('Data Entry - SOF'!E92=0,0,IF(DX41=0,0,'Data Entry - SOF'!E91*('Option Costs-HB3646'!DX48/'Option Costs-HB3646'!DX41)))</f>
        <v>0</v>
      </c>
      <c r="EB114" s="1840">
        <f>IF('Data Entry - SOF'!G92=0,0,'Data Entry - SOF'!G91*('Option Costs-HB3646'!EB48/'Option Costs-HB3646'!EB41))</f>
        <v>0</v>
      </c>
      <c r="EF114" s="1840">
        <f>IF('Data Entry - SOF'!G92=0,0,IF(EF41=0,0,'Data Entry - SOF'!G91*('Option Costs-HB3646'!EF48/'Option Costs-HB3646'!EF41)))</f>
        <v>0</v>
      </c>
    </row>
    <row r="115" spans="3:136">
      <c r="I115" s="2733"/>
      <c r="Q115" s="4333"/>
      <c r="Y115" s="2769"/>
      <c r="AG115" s="2790"/>
      <c r="AO115" s="4375"/>
      <c r="AW115" s="2820"/>
      <c r="BE115" s="4318"/>
    </row>
    <row r="116" spans="3:136">
      <c r="I116" s="2733"/>
      <c r="Q116" s="4333"/>
      <c r="Y116" s="2769"/>
      <c r="AG116" s="2790"/>
      <c r="AO116" s="4375"/>
      <c r="AW116" s="2820"/>
      <c r="BE116" s="4318"/>
    </row>
    <row r="117" spans="3:136">
      <c r="C117" s="1754" t="s">
        <v>4473</v>
      </c>
      <c r="D117" s="1754"/>
      <c r="E117" s="1754"/>
      <c r="F117" s="1754"/>
      <c r="G117" s="1754"/>
      <c r="H117" s="1754"/>
      <c r="I117" s="2767"/>
      <c r="K117" s="47" t="s">
        <v>4473</v>
      </c>
      <c r="Q117" s="4333"/>
      <c r="S117" s="1754" t="s">
        <v>4473</v>
      </c>
      <c r="T117" s="1754"/>
      <c r="U117" s="1754"/>
      <c r="V117" s="1754"/>
      <c r="W117" s="1754"/>
      <c r="X117" s="1754"/>
      <c r="Y117" s="2767"/>
      <c r="AA117" s="1754" t="s">
        <v>4473</v>
      </c>
      <c r="AB117" s="1754"/>
      <c r="AC117" s="1754"/>
      <c r="AD117" s="1754"/>
      <c r="AE117" s="1754"/>
      <c r="AF117" s="1754"/>
      <c r="AG117" s="2767"/>
      <c r="AH117" s="1827"/>
      <c r="AI117" s="1827" t="s">
        <v>4473</v>
      </c>
      <c r="AJ117" s="1827"/>
      <c r="AK117" s="1827"/>
      <c r="AL117" s="1827"/>
      <c r="AM117" s="1827"/>
      <c r="AN117" s="1827"/>
      <c r="AO117" s="4388"/>
      <c r="AQ117" s="2631" t="s">
        <v>4473</v>
      </c>
      <c r="AW117" s="2820"/>
      <c r="AY117" s="4151" t="s">
        <v>4473</v>
      </c>
      <c r="BE117" s="4318"/>
      <c r="BH117" s="1053" t="s">
        <v>4473</v>
      </c>
      <c r="BI117" s="1053"/>
      <c r="BJ117" s="1053"/>
      <c r="BK117" s="1053"/>
    </row>
    <row r="118" spans="3:136">
      <c r="C118" s="1755" t="e">
        <f>C79*0.04</f>
        <v>#DIV/0!</v>
      </c>
      <c r="D118" s="1754"/>
      <c r="E118" s="1755" t="e">
        <f>E79*0.05</f>
        <v>#DIV/0!</v>
      </c>
      <c r="F118" s="1754"/>
      <c r="G118" s="1755" t="e">
        <f>G79*0.04</f>
        <v>#DIV/0!</v>
      </c>
      <c r="H118" s="1754"/>
      <c r="I118" s="2768" t="e">
        <f>I79*0.05</f>
        <v>#DIV/0!</v>
      </c>
      <c r="K118" s="47" t="e">
        <f>K79*0.04</f>
        <v>#DIV/0!</v>
      </c>
      <c r="M118" s="47" t="e">
        <f>M79*0.05</f>
        <v>#DIV/0!</v>
      </c>
      <c r="O118" s="47" t="e">
        <f>O79*0.04</f>
        <v>#DIV/0!</v>
      </c>
      <c r="Q118" s="4333" t="e">
        <f>Q79*0.05</f>
        <v>#DIV/0!</v>
      </c>
      <c r="S118" s="1755" t="e">
        <f>S79*0.04</f>
        <v>#DIV/0!</v>
      </c>
      <c r="T118" s="1754"/>
      <c r="U118" s="1755" t="e">
        <f>U79*0.05</f>
        <v>#DIV/0!</v>
      </c>
      <c r="V118" s="1754"/>
      <c r="W118" s="1755" t="e">
        <f>W79*0.04</f>
        <v>#DIV/0!</v>
      </c>
      <c r="X118" s="1754"/>
      <c r="Y118" s="2768" t="e">
        <f>Y79*0.05</f>
        <v>#DIV/0!</v>
      </c>
      <c r="AA118" s="1755" t="e">
        <f>AA79*0.04</f>
        <v>#DIV/0!</v>
      </c>
      <c r="AB118" s="1754"/>
      <c r="AC118" s="1755" t="e">
        <f>AC79*0.05</f>
        <v>#DIV/0!</v>
      </c>
      <c r="AD118" s="1754"/>
      <c r="AE118" s="1755" t="e">
        <f>AE79*0.04</f>
        <v>#DIV/0!</v>
      </c>
      <c r="AF118" s="1754"/>
      <c r="AG118" s="2768" t="e">
        <f>AG79*0.05</f>
        <v>#DIV/0!</v>
      </c>
      <c r="AH118" s="1827"/>
      <c r="AI118" s="2108" t="e">
        <f>AI79*0.04</f>
        <v>#DIV/0!</v>
      </c>
      <c r="AJ118" s="1827"/>
      <c r="AK118" s="2108" t="e">
        <f>AK79*0.05</f>
        <v>#DIV/0!</v>
      </c>
      <c r="AL118" s="1827"/>
      <c r="AM118" s="2108" t="e">
        <f>AM79*0.04</f>
        <v>#DIV/0!</v>
      </c>
      <c r="AN118" s="1827"/>
      <c r="AO118" s="4389" t="e">
        <f>AO79*0.05</f>
        <v>#DIV/0!</v>
      </c>
      <c r="AQ118" s="2649" t="e">
        <f>AQ79*0.04</f>
        <v>#DIV/0!</v>
      </c>
      <c r="AS118" s="2649" t="e">
        <f>AS79*0.05</f>
        <v>#DIV/0!</v>
      </c>
      <c r="AU118" s="2649" t="e">
        <f>AU79*0.04</f>
        <v>#DIV/0!</v>
      </c>
      <c r="AW118" s="2832" t="e">
        <f>AW79*0.05</f>
        <v>#DIV/0!</v>
      </c>
      <c r="AY118" s="4151" t="e">
        <f>AY79*0.04</f>
        <v>#DIV/0!</v>
      </c>
      <c r="BA118" s="4151" t="e">
        <f>BA79*0.05</f>
        <v>#DIV/0!</v>
      </c>
      <c r="BC118" s="4151" t="e">
        <f>BC79*0.04</f>
        <v>#DIV/0!</v>
      </c>
      <c r="BE118" s="4318" t="e">
        <f>BE79*0.05</f>
        <v>#DIV/0!</v>
      </c>
      <c r="BH118" s="1803" t="e">
        <f>BH79*0.04</f>
        <v>#DIV/0!</v>
      </c>
      <c r="BI118" s="1803" t="e">
        <f>BI79*0.05</f>
        <v>#DIV/0!</v>
      </c>
      <c r="BJ118" s="1755" t="e">
        <f>BJ79*0.04</f>
        <v>#DIV/0!</v>
      </c>
      <c r="BK118" s="1755" t="e">
        <f>BK79*0.05</f>
        <v>#DIV/0!</v>
      </c>
    </row>
    <row r="119" spans="3:136">
      <c r="C119" s="1755" t="e">
        <f>C74*80</f>
        <v>#DIV/0!</v>
      </c>
      <c r="D119" s="1754"/>
      <c r="E119" s="1755" t="e">
        <f>'Ch41 Calc Data'!K17*100</f>
        <v>#DIV/0!</v>
      </c>
      <c r="F119" s="1754"/>
      <c r="G119" s="1755" t="e">
        <f>G74*80</f>
        <v>#DIV/0!</v>
      </c>
      <c r="H119" s="1754"/>
      <c r="I119" s="2768" t="e">
        <f>'Ch41 Calc Data'!K17*100</f>
        <v>#DIV/0!</v>
      </c>
      <c r="K119" s="47" t="e">
        <f>K74*80</f>
        <v>#DIV/0!</v>
      </c>
      <c r="M119" s="47" t="e">
        <f>'Ch41 Calc Data'!L17*100</f>
        <v>#DIV/0!</v>
      </c>
      <c r="O119" s="47" t="e">
        <f>O74*80</f>
        <v>#DIV/0!</v>
      </c>
      <c r="Q119" s="4333" t="e">
        <f>'Ch41 Calc Data'!L17*100</f>
        <v>#DIV/0!</v>
      </c>
      <c r="S119" s="1755" t="e">
        <f>S74*80</f>
        <v>#DIV/0!</v>
      </c>
      <c r="T119" s="1754"/>
      <c r="U119" s="1755" t="e">
        <f>'Ch41 Calc Data'!M17*100</f>
        <v>#DIV/0!</v>
      </c>
      <c r="V119" s="1754"/>
      <c r="W119" s="1755" t="e">
        <f>W74*80</f>
        <v>#DIV/0!</v>
      </c>
      <c r="X119" s="1754"/>
      <c r="Y119" s="2768" t="e">
        <f>'Ch41 Calc Data'!M17*100</f>
        <v>#DIV/0!</v>
      </c>
      <c r="AA119" s="1755" t="e">
        <f>AA74*80</f>
        <v>#DIV/0!</v>
      </c>
      <c r="AB119" s="1754"/>
      <c r="AC119" s="1755" t="e">
        <f>'Ch41 Calc Data'!N17*100</f>
        <v>#DIV/0!</v>
      </c>
      <c r="AD119" s="1754"/>
      <c r="AE119" s="1755" t="e">
        <f>AE74*80</f>
        <v>#DIV/0!</v>
      </c>
      <c r="AF119" s="1754"/>
      <c r="AG119" s="2768" t="e">
        <f>'Ch41 Calc Data'!N17*100</f>
        <v>#DIV/0!</v>
      </c>
      <c r="AH119" s="1827"/>
      <c r="AI119" s="2108" t="e">
        <f>AI74*80</f>
        <v>#DIV/0!</v>
      </c>
      <c r="AJ119" s="1827"/>
      <c r="AK119" s="2108" t="e">
        <f>'Ch41 Calc Data'!O17*100</f>
        <v>#DIV/0!</v>
      </c>
      <c r="AL119" s="1827"/>
      <c r="AM119" s="2108" t="e">
        <f>AM74*80</f>
        <v>#DIV/0!</v>
      </c>
      <c r="AN119" s="1827"/>
      <c r="AO119" s="4389" t="e">
        <f>'Ch41 Calc Data'!O17*100</f>
        <v>#DIV/0!</v>
      </c>
      <c r="AQ119" s="2649" t="e">
        <f>AQ74*80</f>
        <v>#DIV/0!</v>
      </c>
      <c r="AS119" s="2649" t="e">
        <f>'Ch41 Calc Data'!P17*100</f>
        <v>#DIV/0!</v>
      </c>
      <c r="AU119" s="2649" t="e">
        <f>AU74*80</f>
        <v>#DIV/0!</v>
      </c>
      <c r="AW119" s="2832" t="e">
        <f>'Ch41 Calc Data'!P17*100</f>
        <v>#DIV/0!</v>
      </c>
      <c r="AY119" s="4151" t="e">
        <f>AY74*80</f>
        <v>#DIV/0!</v>
      </c>
      <c r="BA119" s="4151" t="e">
        <f>'Ch41 Calc Data'!Q17*100</f>
        <v>#DIV/0!</v>
      </c>
      <c r="BC119" s="4151" t="e">
        <f>BC74*80</f>
        <v>#DIV/0!</v>
      </c>
      <c r="BE119" s="4318" t="e">
        <f>'Ch41 Calc Data'!Q17*100</f>
        <v>#DIV/0!</v>
      </c>
      <c r="BH119" s="1803" t="e">
        <f>BH43*80</f>
        <v>#DIV/0!</v>
      </c>
      <c r="BI119" s="1803" t="e">
        <f>'Ch41 Calc Data'!L20*100</f>
        <v>#DIV/0!</v>
      </c>
      <c r="BJ119" s="1755" t="e">
        <f>BJ43*80</f>
        <v>#DIV/0!</v>
      </c>
      <c r="BK119" s="1755" t="e">
        <f>'Ch41 Calc Data'!L20*100</f>
        <v>#DIV/0!</v>
      </c>
    </row>
    <row r="120" spans="3:136">
      <c r="C120" s="1754"/>
      <c r="D120" s="1754"/>
      <c r="E120" s="1754"/>
      <c r="F120" s="1754"/>
      <c r="G120" s="1754"/>
      <c r="H120" s="1754"/>
      <c r="I120" s="2767"/>
      <c r="Q120" s="4333"/>
      <c r="S120" s="1754"/>
      <c r="T120" s="1754"/>
      <c r="U120" s="1754"/>
      <c r="V120" s="1754"/>
      <c r="W120" s="1754"/>
      <c r="X120" s="1754"/>
      <c r="Y120" s="2767"/>
      <c r="AA120" s="1754"/>
      <c r="AB120" s="1754"/>
      <c r="AC120" s="1754"/>
      <c r="AD120" s="1754"/>
      <c r="AE120" s="1754"/>
      <c r="AF120" s="1754"/>
      <c r="AG120" s="2767"/>
      <c r="AH120" s="1827"/>
      <c r="AI120" s="1827"/>
      <c r="AJ120" s="1827"/>
      <c r="AK120" s="1827"/>
      <c r="AL120" s="1827"/>
      <c r="AM120" s="1827"/>
      <c r="AN120" s="1827"/>
      <c r="AO120" s="4388"/>
      <c r="AW120" s="2820"/>
      <c r="BE120" s="4318"/>
      <c r="BH120" s="1804"/>
      <c r="BI120" s="1804"/>
      <c r="BJ120" s="1053"/>
      <c r="BK120" s="1053"/>
    </row>
    <row r="121" spans="3:136">
      <c r="C121" s="1754"/>
      <c r="D121" s="1754"/>
      <c r="E121" s="1754">
        <f>IF('Data Entry - SOF'!C92=0,0,'Data Entry - SOF'!C91*(E79/'Data Entry - SOF'!C59))</f>
        <v>0</v>
      </c>
      <c r="F121" s="1754"/>
      <c r="G121" s="1754"/>
      <c r="H121" s="1754"/>
      <c r="I121" s="2767">
        <f>IF('Data Entry - SOF'!C92=0,0,IF(I72=0,0,'Data Entry - SOF'!C91*(I79/'Data Entry - SOF'!C59)))</f>
        <v>0</v>
      </c>
      <c r="M121" s="47">
        <f>IF('Data Entry - SOF'!E92=0,0,'Data Entry - SOF'!E91*(M79/'Data Entry - SOF'!E59))</f>
        <v>0</v>
      </c>
      <c r="Q121" s="4333">
        <f>IF('Data Entry - SOF'!E92=0,0,IF(Q72=0,0,'Data Entry - SOF'!E91*(Q79/'Data Entry - SOF'!E59)))</f>
        <v>0</v>
      </c>
      <c r="S121" s="1754"/>
      <c r="T121" s="1754"/>
      <c r="U121" s="1754">
        <f>IF('Data Entry - SOF'!G92=0,0,'Data Entry - SOF'!G91*(U79/'Data Entry - SOF'!G59))</f>
        <v>0</v>
      </c>
      <c r="V121" s="1754"/>
      <c r="W121" s="1754"/>
      <c r="X121" s="1754"/>
      <c r="Y121" s="2767">
        <f>IF('Data Entry - SOF'!G92=0,0,IF(Y72=0,0,'Data Entry - SOF'!G91*(Y79/'Data Entry - SOF'!G59)))</f>
        <v>0</v>
      </c>
      <c r="AA121" s="1754"/>
      <c r="AB121" s="1754"/>
      <c r="AC121" s="1754">
        <f>IF('Data Entry - SOF'!I92=0,0,'Data Entry - SOF'!I91*(AC79/'Data Entry - SOF'!I59))</f>
        <v>0</v>
      </c>
      <c r="AD121" s="1754"/>
      <c r="AE121" s="1754"/>
      <c r="AF121" s="1754"/>
      <c r="AG121" s="2767">
        <f>IF('Data Entry - SOF'!I92=0,0,IF(AG72=0,0,'Data Entry - SOF'!I91*(AG79/'Data Entry - SOF'!I59)))</f>
        <v>0</v>
      </c>
      <c r="AH121" s="1827"/>
      <c r="AI121" s="1827"/>
      <c r="AJ121" s="1827"/>
      <c r="AK121" s="1827">
        <f>IF('Data Entry - SOF'!K92=0,0,'Data Entry - SOF'!K91*(AK79/'Data Entry - SOF'!K59))</f>
        <v>0</v>
      </c>
      <c r="AL121" s="1827"/>
      <c r="AM121" s="1827"/>
      <c r="AN121" s="1827"/>
      <c r="AO121" s="4388">
        <f>IF('Data Entry - SOF'!K92=0,0,IF(AO72=0,0,'Data Entry - SOF'!K91*(AO79/'Data Entry - SOF'!K59)))</f>
        <v>0</v>
      </c>
      <c r="AS121" s="2631">
        <f>IF('Data Entry - SOF'!M92=0,0,'Data Entry - SOF'!M91*(AS79/'Data Entry - SOF'!M59))</f>
        <v>0</v>
      </c>
      <c r="AW121" s="2820">
        <f>IF('Data Entry - SOF'!M92=0,0,IF(AW72=0,0,'Data Entry - SOF'!M91*(AW79/'Data Entry - SOF'!M59)))</f>
        <v>0</v>
      </c>
      <c r="BA121" s="4151">
        <f>IF('Data Entry - SOF'!O92=0,0,'Data Entry - SOF'!O91*(BA79/'Data Entry - SOF'!O59))</f>
        <v>0</v>
      </c>
      <c r="BE121" s="4318">
        <f>IF('Data Entry - SOF'!O92=0,0,IF(BE72=0,0,'Data Entry - SOF'!O91*(BE79/'Data Entry - SOF'!O59)))</f>
        <v>0</v>
      </c>
      <c r="BH121" s="1804"/>
      <c r="BI121" s="1804">
        <f>IF('Data Entry - SOF'!E92=0,0,'Data Entry - SOF'!E91*(BI42/BI41))</f>
        <v>0</v>
      </c>
      <c r="BJ121" s="1053"/>
      <c r="BK121">
        <f>IF('Data Entry - SOF'!E92=0,0,IF(BK72=0,0,'Data Entry - SOF'!E91*(BK79/'Data Entry - SOF'!E59)))</f>
        <v>0</v>
      </c>
    </row>
    <row r="122" spans="3:136">
      <c r="I122" s="2733"/>
      <c r="Q122" s="4333"/>
      <c r="Y122" s="2769"/>
      <c r="AG122" s="2790"/>
      <c r="AO122" s="4375"/>
      <c r="AW122" s="2820"/>
      <c r="BE122" s="4318"/>
    </row>
    <row r="123" spans="3:136">
      <c r="I123" s="2733"/>
      <c r="Q123" s="4333"/>
      <c r="Y123" s="2769"/>
      <c r="AG123" s="2790"/>
      <c r="AO123" s="4375"/>
      <c r="AW123" s="2820"/>
      <c r="BE123" s="4318"/>
    </row>
    <row r="124" spans="3:136">
      <c r="C124" s="1754" t="s">
        <v>4526</v>
      </c>
      <c r="D124" s="1821"/>
      <c r="E124" s="1821"/>
      <c r="F124" s="1821"/>
      <c r="G124" s="1821"/>
      <c r="H124" s="1821"/>
      <c r="I124" s="2661"/>
      <c r="K124" s="47" t="s">
        <v>4526</v>
      </c>
      <c r="Q124" s="4333"/>
      <c r="S124" s="1754" t="s">
        <v>4526</v>
      </c>
      <c r="T124" s="1821"/>
      <c r="U124" s="1821"/>
      <c r="V124" s="1821"/>
      <c r="W124" s="1821"/>
      <c r="X124" s="1821"/>
      <c r="Y124" s="2661"/>
      <c r="AA124" s="1754" t="s">
        <v>4526</v>
      </c>
      <c r="AB124" s="1821"/>
      <c r="AC124" s="1821"/>
      <c r="AD124" s="1821"/>
      <c r="AE124" s="1821"/>
      <c r="AF124" s="1821"/>
      <c r="AG124" s="2661"/>
      <c r="AH124" s="1827"/>
      <c r="AI124" s="1827" t="s">
        <v>4526</v>
      </c>
      <c r="AJ124" s="1827"/>
      <c r="AK124" s="1827"/>
      <c r="AL124" s="1827"/>
      <c r="AM124" s="1827"/>
      <c r="AN124" s="1827"/>
      <c r="AO124" s="4388"/>
      <c r="AQ124" s="2631" t="s">
        <v>4526</v>
      </c>
      <c r="AW124" s="2820"/>
      <c r="AY124" s="4151" t="s">
        <v>4526</v>
      </c>
      <c r="BE124" s="4318"/>
    </row>
    <row r="125" spans="3:136">
      <c r="C125" s="1755" t="e">
        <f>C99*0.04</f>
        <v>#DIV/0!</v>
      </c>
      <c r="D125" s="1755"/>
      <c r="E125" s="1755" t="e">
        <f>E99*0.05</f>
        <v>#DIV/0!</v>
      </c>
      <c r="F125" s="1755"/>
      <c r="G125" s="1755" t="e">
        <f>G99*0.04</f>
        <v>#DIV/0!</v>
      </c>
      <c r="H125" s="1755"/>
      <c r="I125" s="2768" t="e">
        <f>I99*0.05</f>
        <v>#DIV/0!</v>
      </c>
      <c r="K125" s="47" t="e">
        <f>K99*0.04</f>
        <v>#DIV/0!</v>
      </c>
      <c r="M125" s="47" t="e">
        <f>M99*0.05</f>
        <v>#DIV/0!</v>
      </c>
      <c r="O125" s="47" t="e">
        <f>O99*0.04</f>
        <v>#DIV/0!</v>
      </c>
      <c r="Q125" s="4333" t="e">
        <f>Q99*0.05</f>
        <v>#DIV/0!</v>
      </c>
      <c r="S125" s="1755" t="e">
        <f>S99*0.04</f>
        <v>#DIV/0!</v>
      </c>
      <c r="T125" s="1755"/>
      <c r="U125" s="1755" t="e">
        <f>U99*0.05</f>
        <v>#DIV/0!</v>
      </c>
      <c r="V125" s="1755"/>
      <c r="W125" s="1755" t="e">
        <f>W99*0.04</f>
        <v>#DIV/0!</v>
      </c>
      <c r="X125" s="1755"/>
      <c r="Y125" s="2768" t="e">
        <f>Y99*0.05</f>
        <v>#DIV/0!</v>
      </c>
      <c r="AA125" s="1755" t="e">
        <f>AA99*0.04</f>
        <v>#DIV/0!</v>
      </c>
      <c r="AB125" s="1755"/>
      <c r="AC125" s="1755" t="e">
        <f>AC99*0.05</f>
        <v>#DIV/0!</v>
      </c>
      <c r="AD125" s="1755"/>
      <c r="AE125" s="1755" t="e">
        <f>AE99*0.04</f>
        <v>#DIV/0!</v>
      </c>
      <c r="AF125" s="1755"/>
      <c r="AG125" s="2768" t="e">
        <f>AG99*0.05</f>
        <v>#DIV/0!</v>
      </c>
      <c r="AH125" s="1827"/>
      <c r="AI125" s="2108" t="e">
        <f>AI99*0.04</f>
        <v>#DIV/0!</v>
      </c>
      <c r="AJ125" s="2108"/>
      <c r="AK125" s="2108" t="e">
        <f>AK99*0.05</f>
        <v>#DIV/0!</v>
      </c>
      <c r="AL125" s="2108"/>
      <c r="AM125" s="2108" t="e">
        <f>AM99*0.04</f>
        <v>#DIV/0!</v>
      </c>
      <c r="AN125" s="2108"/>
      <c r="AO125" s="4389" t="e">
        <f>AO99*0.05</f>
        <v>#DIV/0!</v>
      </c>
      <c r="AQ125" s="2649" t="e">
        <f>AQ99*0.04</f>
        <v>#DIV/0!</v>
      </c>
      <c r="AR125" s="2649"/>
      <c r="AS125" s="2649" t="e">
        <f>AS99*0.05</f>
        <v>#DIV/0!</v>
      </c>
      <c r="AT125" s="2649"/>
      <c r="AU125" s="2649" t="e">
        <f>AU99*0.04</f>
        <v>#DIV/0!</v>
      </c>
      <c r="AV125" s="2649"/>
      <c r="AW125" s="2832" t="e">
        <f>AW99*0.05</f>
        <v>#DIV/0!</v>
      </c>
      <c r="AY125" s="4151" t="e">
        <f>AY99*0.04</f>
        <v>#DIV/0!</v>
      </c>
      <c r="BA125" s="4151" t="e">
        <f>BA99*0.05</f>
        <v>#DIV/0!</v>
      </c>
      <c r="BC125" s="4151" t="e">
        <f>BC99*0.04</f>
        <v>#DIV/0!</v>
      </c>
      <c r="BE125" s="4318" t="e">
        <f>BE99*0.05</f>
        <v>#DIV/0!</v>
      </c>
    </row>
    <row r="126" spans="3:136">
      <c r="C126" s="1755" t="e">
        <f>C94*80</f>
        <v>#DIV/0!</v>
      </c>
      <c r="D126" s="1755"/>
      <c r="E126" s="1755" t="e">
        <f>'Ch41 Calc Data'!K17*100</f>
        <v>#DIV/0!</v>
      </c>
      <c r="F126" s="1755"/>
      <c r="G126" s="1755" t="e">
        <f>G94*80</f>
        <v>#DIV/0!</v>
      </c>
      <c r="H126" s="1755"/>
      <c r="I126" s="2768" t="e">
        <f>'Ch41 Calc Data'!K17*100</f>
        <v>#DIV/0!</v>
      </c>
      <c r="K126" s="47" t="e">
        <f>K94*80</f>
        <v>#DIV/0!</v>
      </c>
      <c r="M126" s="47" t="e">
        <f>'Ch41 Calc Data'!L17*100</f>
        <v>#DIV/0!</v>
      </c>
      <c r="O126" s="47" t="e">
        <f>O94*80</f>
        <v>#DIV/0!</v>
      </c>
      <c r="Q126" s="4333" t="e">
        <f>'Ch41 Calc Data'!L17*100</f>
        <v>#DIV/0!</v>
      </c>
      <c r="S126" s="1755" t="e">
        <f>S94*80</f>
        <v>#DIV/0!</v>
      </c>
      <c r="T126" s="1755"/>
      <c r="U126" s="1755" t="e">
        <f>'Ch41 Calc Data'!M17*100</f>
        <v>#DIV/0!</v>
      </c>
      <c r="V126" s="1755"/>
      <c r="W126" s="1755" t="e">
        <f>W94*80</f>
        <v>#DIV/0!</v>
      </c>
      <c r="X126" s="1755"/>
      <c r="Y126" s="2768" t="e">
        <f>'Ch41 Calc Data'!M17*100</f>
        <v>#DIV/0!</v>
      </c>
      <c r="AA126" s="1755" t="e">
        <f>AA94*80</f>
        <v>#DIV/0!</v>
      </c>
      <c r="AB126" s="1755"/>
      <c r="AC126" s="1755" t="e">
        <f>'Ch41 Calc Data'!N17*100</f>
        <v>#DIV/0!</v>
      </c>
      <c r="AD126" s="1755"/>
      <c r="AE126" s="1755" t="e">
        <f>AE94*80</f>
        <v>#DIV/0!</v>
      </c>
      <c r="AF126" s="1755"/>
      <c r="AG126" s="2768" t="e">
        <f>'Ch41 Calc Data'!N17*100</f>
        <v>#DIV/0!</v>
      </c>
      <c r="AH126" s="1827"/>
      <c r="AI126" s="2108" t="e">
        <f>AI94*80</f>
        <v>#DIV/0!</v>
      </c>
      <c r="AJ126" s="2108"/>
      <c r="AK126" s="2108" t="e">
        <f>'Ch41 Calc Data'!O17*100</f>
        <v>#DIV/0!</v>
      </c>
      <c r="AL126" s="2108"/>
      <c r="AM126" s="2108" t="e">
        <f>AM94*80</f>
        <v>#DIV/0!</v>
      </c>
      <c r="AN126" s="2108"/>
      <c r="AO126" s="4389" t="e">
        <f>'Ch41 Calc Data'!O17*100</f>
        <v>#DIV/0!</v>
      </c>
      <c r="AQ126" s="2649" t="e">
        <f>AQ94*80</f>
        <v>#DIV/0!</v>
      </c>
      <c r="AR126" s="2649"/>
      <c r="AS126" s="2649" t="e">
        <f>'Ch41 Calc Data'!P17*100</f>
        <v>#DIV/0!</v>
      </c>
      <c r="AT126" s="2649"/>
      <c r="AU126" s="2649" t="e">
        <f>AU94*80</f>
        <v>#DIV/0!</v>
      </c>
      <c r="AV126" s="2649"/>
      <c r="AW126" s="2832" t="e">
        <f>'Ch41 Calc Data'!P17*100</f>
        <v>#DIV/0!</v>
      </c>
      <c r="AY126" s="4151" t="e">
        <f>AY94*80</f>
        <v>#DIV/0!</v>
      </c>
      <c r="BA126" s="4151" t="e">
        <f>'Ch41 Calc Data'!Q17*100</f>
        <v>#DIV/0!</v>
      </c>
      <c r="BC126" s="4151" t="e">
        <f>BC94*80</f>
        <v>#DIV/0!</v>
      </c>
      <c r="BE126" s="4318" t="e">
        <f>'Ch41 Calc Data'!Q17*100</f>
        <v>#DIV/0!</v>
      </c>
    </row>
    <row r="127" spans="3:136">
      <c r="C127" s="1754"/>
      <c r="D127" s="1754"/>
      <c r="E127" s="1754"/>
      <c r="F127" s="1754"/>
      <c r="G127" s="1754"/>
      <c r="H127" s="1754"/>
      <c r="I127" s="2767"/>
      <c r="Q127" s="4333"/>
      <c r="S127" s="1754"/>
      <c r="T127" s="1754"/>
      <c r="U127" s="1754"/>
      <c r="V127" s="1754"/>
      <c r="W127" s="1754"/>
      <c r="X127" s="1754"/>
      <c r="Y127" s="2767"/>
      <c r="AA127" s="1754"/>
      <c r="AB127" s="1754"/>
      <c r="AC127" s="1754"/>
      <c r="AD127" s="1754"/>
      <c r="AE127" s="1754"/>
      <c r="AF127" s="1754"/>
      <c r="AG127" s="2767"/>
      <c r="AH127" s="1827"/>
      <c r="AI127" s="1827"/>
      <c r="AJ127" s="1827"/>
      <c r="AK127" s="1827"/>
      <c r="AL127" s="1827"/>
      <c r="AM127" s="1827"/>
      <c r="AN127" s="1827"/>
      <c r="AO127" s="4388"/>
      <c r="AW127" s="2820"/>
      <c r="BE127" s="4318"/>
    </row>
    <row r="128" spans="3:136">
      <c r="C128" s="1754"/>
      <c r="D128" s="1754"/>
      <c r="E128" s="1754">
        <f>IF('Data Entry - SOF'!C92=0,0,'Data Entry - SOF'!C91*(E99/'HH1617-Calcs'!C11))</f>
        <v>0</v>
      </c>
      <c r="F128" s="1754"/>
      <c r="G128" s="1754"/>
      <c r="H128" s="1754"/>
      <c r="I128" s="2767">
        <f>IF('Data Entry - SOF'!C92=0,0,'Data Entry - SOF'!C91*(I99/'HH1617-Calcs'!C11))</f>
        <v>0</v>
      </c>
      <c r="M128" s="47">
        <f>IF('Data Entry - SOF'!E92=0,0,'Data Entry - SOF'!E91*(M99/'HH1718-Calcs'!C11))</f>
        <v>0</v>
      </c>
      <c r="Q128" s="4333">
        <f>IF('Data Entry - SOF'!E92=0,0,'Data Entry - SOF'!E91*(Q99/'HH1718-Calcs'!C11))</f>
        <v>0</v>
      </c>
      <c r="S128" s="1754"/>
      <c r="T128" s="1754"/>
      <c r="U128" s="1754">
        <f>IF('Data Entry - SOF'!G92=0,0,'Data Entry - SOF'!G91*(U99/'HH1819-Calcs'!C11))</f>
        <v>0</v>
      </c>
      <c r="V128" s="1754"/>
      <c r="W128" s="1754"/>
      <c r="X128" s="1754"/>
      <c r="Y128" s="2767">
        <f>IF('Data Entry - SOF'!G92=0,0,'Data Entry - SOF'!G91*(Y99/'HH1819-Calcs'!C11))</f>
        <v>0</v>
      </c>
      <c r="AA128" s="1754"/>
      <c r="AB128" s="1754"/>
      <c r="AC128" s="1754">
        <f>IF('Data Entry - SOF'!I92=0,0,'Data Entry - SOF'!I91*(AC99/'HH1920-Calcs'!C11))</f>
        <v>0</v>
      </c>
      <c r="AD128" s="1754"/>
      <c r="AE128" s="1754"/>
      <c r="AF128" s="1754"/>
      <c r="AG128" s="2767">
        <f>IF('Data Entry - SOF'!I92=0,0,'Data Entry - SOF'!I91*(AG99/'HH1920-Calcs'!C11))</f>
        <v>0</v>
      </c>
      <c r="AH128" s="1827"/>
      <c r="AI128" s="1827"/>
      <c r="AJ128" s="1827"/>
      <c r="AK128" s="1827">
        <f>IF('Data Entry - SOF'!K92=0,0,'Data Entry - SOF'!K91*(AK99/'HH2021-Calcs'!C11))</f>
        <v>0</v>
      </c>
      <c r="AL128" s="1827"/>
      <c r="AM128" s="1827"/>
      <c r="AN128" s="1827"/>
      <c r="AO128" s="4388">
        <f>IF('Data Entry - SOF'!K92=0,0,'Data Entry - SOF'!K91*(AO99/'HH2021-Calcs'!C11))</f>
        <v>0</v>
      </c>
      <c r="AS128" s="2631">
        <f>IF('Data Entry - SOF'!M92=0,0,'Data Entry - SOF'!M91*(AS99/'HH2122-Calcs'!C11))</f>
        <v>0</v>
      </c>
      <c r="AW128" s="2820">
        <f>IF('Data Entry - SOF'!M92=0,0,'Data Entry - SOF'!M91*(AW99/'HH2122-Calcs'!C11))</f>
        <v>0</v>
      </c>
      <c r="BA128" s="4151">
        <f>IF('Data Entry - SOF'!O92=0,0,'Data Entry - SOF'!O91*(BA99/'HH2223-Calcs'!C11))</f>
        <v>0</v>
      </c>
      <c r="BE128" s="4318">
        <f>IF('Data Entry - SOF'!O92=0,0,'Data Entry - SOF'!O91*(BE99/'HH2223-Calcs'!C11))</f>
        <v>0</v>
      </c>
    </row>
    <row r="134" spans="11:11" hidden="1">
      <c r="K134" s="47" t="e">
        <f>K66*'Notice Calc1819'!F44</f>
        <v>#DIV/0!</v>
      </c>
    </row>
    <row r="135" spans="11:11" hidden="1">
      <c r="K135" s="47" t="e">
        <f>K74</f>
        <v>#DIV/0!</v>
      </c>
    </row>
    <row r="136" spans="11:11" hidden="1">
      <c r="K136" s="47" t="e">
        <f>IF(K135=0,0,IF(K134/K135&lt;3147,3147,K134/K135))</f>
        <v>#DIV/0!</v>
      </c>
    </row>
    <row r="137" spans="11:11" hidden="1">
      <c r="K137" s="47" t="e">
        <f>IF(OR('Data Entry - SOF'!E95=0,K136=0),0,IF('Data Entry - SOF'!E95&gt;K136,(K136*'Data Entry - SOF'!E94)/K136,('Data Entry - SOF'!E95*'Data Entry - SOF'!E94)/K136))</f>
        <v>#DIV/0!</v>
      </c>
    </row>
    <row r="138" spans="11:11" hidden="1">
      <c r="K138" s="47" t="e">
        <f>IF(OR('Data Entry - SOF'!E42=0,K136=0),0,IF(K136&lt;=0,0,'Report-SOF1718'!D51/K136))</f>
        <v>#DIV/0!</v>
      </c>
    </row>
    <row r="139" spans="11:11" hidden="1">
      <c r="K139" s="47" t="e">
        <f>IF(K135-K137-K138&lt;0,0,K135-K137-K138)</f>
        <v>#DIV/0!</v>
      </c>
    </row>
    <row r="140" spans="11:11" hidden="1">
      <c r="K140" s="47" t="e">
        <f>IF(K139=0,0,K139*K136)</f>
        <v>#DIV/0!</v>
      </c>
    </row>
    <row r="141" spans="11:11" hidden="1"/>
    <row r="142" spans="11:11" hidden="1">
      <c r="K142" s="47" t="e">
        <f>IF(K151&gt;K152,K152,K151)</f>
        <v>#DIV/0!</v>
      </c>
    </row>
    <row r="143" spans="11:11" hidden="1">
      <c r="K143" s="47" t="e">
        <f>'Data Entry - SOF'!E91*(K134/'Data Entry - SOF'!E59)</f>
        <v>#DIV/0!</v>
      </c>
    </row>
    <row r="144" spans="11:11" hidden="1"/>
    <row r="145" spans="11:11" hidden="1">
      <c r="K145" s="47" t="e">
        <f>IF(K140-K142-K143&lt;0,0,K140-K142-K143)</f>
        <v>#DIV/0!</v>
      </c>
    </row>
    <row r="146" spans="11:11" hidden="1"/>
    <row r="150" spans="11:11" hidden="1"/>
    <row r="151" spans="11:11" hidden="1">
      <c r="K151" s="47" t="e">
        <f>K140*0.04</f>
        <v>#DIV/0!</v>
      </c>
    </row>
    <row r="152" spans="11:11" hidden="1">
      <c r="K152" s="47" t="e">
        <f>K135*80</f>
        <v>#DIV/0!</v>
      </c>
    </row>
    <row r="153"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64"/>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3613</v>
      </c>
      <c r="D3" s="75" t="s">
        <v>3613</v>
      </c>
      <c r="E3" s="75" t="s">
        <v>3613</v>
      </c>
    </row>
    <row r="4" spans="1:5">
      <c r="C4" s="117" t="s">
        <v>4476</v>
      </c>
      <c r="D4" s="117" t="s">
        <v>4477</v>
      </c>
      <c r="E4" s="194" t="s">
        <v>4467</v>
      </c>
    </row>
    <row r="5" spans="1:5">
      <c r="A5" t="s">
        <v>4466</v>
      </c>
      <c r="C5" s="1537">
        <f>'Data Entry - SOF'!C108</f>
        <v>0</v>
      </c>
      <c r="D5" s="1537">
        <f>'Calc Data-SB1'!AB30</f>
        <v>0</v>
      </c>
      <c r="E5" s="1537">
        <f>D5-C5</f>
        <v>0</v>
      </c>
    </row>
    <row r="6" spans="1:5">
      <c r="A6" t="s">
        <v>1148</v>
      </c>
      <c r="C6" s="424">
        <f>'Calc Data-SB1'!C19</f>
        <v>0</v>
      </c>
      <c r="D6" s="424">
        <f>'Calc Data-SB1'!AB19</f>
        <v>0</v>
      </c>
      <c r="E6" s="424"/>
    </row>
    <row r="8" spans="1:5">
      <c r="A8" t="s">
        <v>576</v>
      </c>
      <c r="C8" s="1761">
        <f>'SOF1617-SB1'!F44</f>
        <v>0</v>
      </c>
      <c r="D8" s="1761">
        <f>'SOF1617-SB1'!H44</f>
        <v>0</v>
      </c>
      <c r="E8" s="1761">
        <f>D8-C8</f>
        <v>0</v>
      </c>
    </row>
    <row r="9" spans="1:5">
      <c r="A9" t="s">
        <v>4468</v>
      </c>
      <c r="C9" s="1761">
        <f>'SOF1617-SB1'!F45</f>
        <v>0</v>
      </c>
      <c r="D9" s="1761">
        <f>'SOF1617-SB1'!H45</f>
        <v>0</v>
      </c>
      <c r="E9" s="1761">
        <f>D9-C9</f>
        <v>0</v>
      </c>
    </row>
    <row r="10" spans="1:5">
      <c r="A10" t="s">
        <v>2829</v>
      </c>
      <c r="C10" s="1762">
        <f>'SOF1617-SB1'!F46</f>
        <v>0</v>
      </c>
      <c r="D10" s="1762">
        <f>'SOF1617-SB1'!H46</f>
        <v>0</v>
      </c>
      <c r="E10" s="1762">
        <f>IF(D10-C10&lt;0,0,D10-C10)</f>
        <v>0</v>
      </c>
    </row>
    <row r="11" spans="1:5">
      <c r="C11" s="1763"/>
      <c r="D11" s="1763"/>
      <c r="E11" s="1763"/>
    </row>
    <row r="12" spans="1:5">
      <c r="A12" t="s">
        <v>2262</v>
      </c>
      <c r="C12" s="1763" t="e">
        <f>'ASATR-SB1'!E24</f>
        <v>#DIV/0!</v>
      </c>
      <c r="D12" s="1763" t="e">
        <f>'ASATR-SB1'!E39</f>
        <v>#DIV/0!</v>
      </c>
      <c r="E12" s="1767" t="e">
        <f>C12-D12</f>
        <v>#DIV/0!</v>
      </c>
    </row>
    <row r="13" spans="1:5">
      <c r="C13" s="1763"/>
      <c r="D13" s="1763"/>
      <c r="E13" s="1763"/>
    </row>
    <row r="14" spans="1:5">
      <c r="A14" t="s">
        <v>1447</v>
      </c>
      <c r="C14" s="1763" t="e">
        <f>'ASATR-SB1'!E27</f>
        <v>#DIV/0!</v>
      </c>
      <c r="D14" s="1763" t="e">
        <f>'ASATR-SB1'!E42</f>
        <v>#DIV/0!</v>
      </c>
      <c r="E14" s="1767" t="e">
        <f>D14-C14</f>
        <v>#DIV/0!</v>
      </c>
    </row>
    <row r="15" spans="1:5">
      <c r="C15" s="1763"/>
      <c r="D15" s="1763"/>
      <c r="E15" s="1761"/>
    </row>
    <row r="16" spans="1:5">
      <c r="A16" s="283" t="s">
        <v>4471</v>
      </c>
      <c r="B16" s="57"/>
      <c r="C16" s="1768"/>
      <c r="D16" s="1769"/>
      <c r="E16" s="1764" t="e">
        <f>E10+E12+E14</f>
        <v>#DIV/0!</v>
      </c>
    </row>
    <row r="18" spans="1:5">
      <c r="A18" s="60" t="s">
        <v>4469</v>
      </c>
      <c r="C18" s="456">
        <f>'Calc Data-SB1'!C36</f>
        <v>0</v>
      </c>
      <c r="D18" s="456">
        <f>'Calc Data-SB1'!AB28</f>
        <v>0</v>
      </c>
      <c r="E18" s="1537">
        <f>D18-C18</f>
        <v>0</v>
      </c>
    </row>
    <row r="19" spans="1:5">
      <c r="A19" s="283" t="s">
        <v>4470</v>
      </c>
      <c r="B19" s="57"/>
      <c r="C19" s="1768" t="e">
        <f>'SOF1617-SB1'!F53</f>
        <v>#DIV/0!</v>
      </c>
      <c r="D19" s="1769" t="e">
        <f>'SOF1617-SB1'!H53</f>
        <v>#DIV/0!</v>
      </c>
      <c r="E19" s="1765" t="e">
        <f>D19-C19</f>
        <v>#DIV/0!</v>
      </c>
    </row>
    <row r="21" spans="1:5">
      <c r="A21" s="283" t="s">
        <v>4474</v>
      </c>
      <c r="B21" s="57"/>
      <c r="C21" s="1770" t="e">
        <f>'Option Costs-HB3646'!G54</f>
        <v>#DIV/0!</v>
      </c>
      <c r="D21" s="1771" t="e">
        <f>'Option Costs-HB3646'!G85</f>
        <v>#DIV/0!</v>
      </c>
      <c r="E21" s="1765" t="e">
        <f>C21-D21</f>
        <v>#DIV/0!</v>
      </c>
    </row>
    <row r="24" spans="1:5">
      <c r="A24" s="47" t="s">
        <v>4472</v>
      </c>
      <c r="E24" s="1764" t="e">
        <f>E16+E19+E21</f>
        <v>#DIV/0!</v>
      </c>
    </row>
    <row r="27" spans="1:5">
      <c r="A27" s="1796" t="s">
        <v>4492</v>
      </c>
    </row>
    <row r="28" spans="1:5">
      <c r="A28" s="1796" t="s">
        <v>4478</v>
      </c>
    </row>
    <row r="29" spans="1:5">
      <c r="A29" s="1796" t="s">
        <v>4479</v>
      </c>
    </row>
    <row r="30" spans="1:5">
      <c r="A30" s="1796" t="s">
        <v>4493</v>
      </c>
    </row>
    <row r="31" spans="1:5">
      <c r="A31" s="1796" t="s">
        <v>4485</v>
      </c>
    </row>
    <row r="32" spans="1:5">
      <c r="A32" s="1796" t="s">
        <v>4494</v>
      </c>
    </row>
    <row r="33" spans="1:5">
      <c r="A33" s="89" t="s">
        <v>4500</v>
      </c>
    </row>
    <row r="34" spans="1:5">
      <c r="A34" s="89" t="s">
        <v>4498</v>
      </c>
    </row>
    <row r="35" spans="1:5">
      <c r="A35" s="1802" t="s">
        <v>4502</v>
      </c>
    </row>
    <row r="36" spans="1:5">
      <c r="A36" s="1802" t="s">
        <v>4503</v>
      </c>
    </row>
    <row r="39" spans="1:5" hidden="1">
      <c r="A39" s="47" t="s">
        <v>6897</v>
      </c>
      <c r="D39" s="1761"/>
    </row>
    <row r="40" spans="1:5" hidden="1">
      <c r="C40" s="75" t="s">
        <v>3613</v>
      </c>
      <c r="D40" s="75" t="s">
        <v>3613</v>
      </c>
      <c r="E40" s="75" t="s">
        <v>3613</v>
      </c>
    </row>
    <row r="41" spans="1:5" hidden="1">
      <c r="C41" s="117" t="s">
        <v>4476</v>
      </c>
      <c r="D41" s="117" t="s">
        <v>4477</v>
      </c>
      <c r="E41" s="194" t="s">
        <v>4467</v>
      </c>
    </row>
    <row r="42" spans="1:5" hidden="1">
      <c r="A42" t="s">
        <v>4466</v>
      </c>
      <c r="C42" s="1537">
        <f>C5</f>
        <v>0</v>
      </c>
      <c r="D42" s="2441">
        <f>'Calc Data-SB1'!AB85</f>
        <v>0</v>
      </c>
      <c r="E42" s="1537">
        <f>D42-C42</f>
        <v>0</v>
      </c>
    </row>
    <row r="43" spans="1:5" hidden="1">
      <c r="A43" t="s">
        <v>1148</v>
      </c>
      <c r="C43" s="424">
        <f>C6</f>
        <v>0</v>
      </c>
      <c r="D43" s="424">
        <f>'Calc Data-SB1'!AB74</f>
        <v>0</v>
      </c>
    </row>
    <row r="44" spans="1:5" hidden="1"/>
    <row r="45" spans="1:5" hidden="1">
      <c r="A45" t="s">
        <v>576</v>
      </c>
      <c r="C45" s="1761">
        <f>C8</f>
        <v>0</v>
      </c>
      <c r="D45" s="1761">
        <f>'SOF1617-SB1'!M44</f>
        <v>0</v>
      </c>
      <c r="E45" s="1761">
        <f>D45-C45</f>
        <v>0</v>
      </c>
    </row>
    <row r="46" spans="1:5" hidden="1">
      <c r="A46" t="s">
        <v>4468</v>
      </c>
      <c r="C46" s="1761">
        <f>C9</f>
        <v>0</v>
      </c>
      <c r="D46" s="1761">
        <f>'SOF1617-SB1'!M45</f>
        <v>0</v>
      </c>
      <c r="E46" s="1761">
        <f>D46-C46</f>
        <v>0</v>
      </c>
    </row>
    <row r="47" spans="1:5" hidden="1">
      <c r="A47" t="s">
        <v>2829</v>
      </c>
      <c r="C47" s="1762">
        <f>C10</f>
        <v>0</v>
      </c>
      <c r="D47" s="1762">
        <f>'SOF1617-SB1'!M46</f>
        <v>0</v>
      </c>
      <c r="E47" s="1762">
        <f>IF(D47-C47&lt;0,0,D47-C47)</f>
        <v>0</v>
      </c>
    </row>
    <row r="48" spans="1:5" hidden="1">
      <c r="E48" s="1763"/>
    </row>
    <row r="49" spans="1:5" hidden="1">
      <c r="A49" t="s">
        <v>2262</v>
      </c>
      <c r="C49" s="1761" t="e">
        <f>'ASATR-SB1'!E59</f>
        <v>#DIV/0!</v>
      </c>
      <c r="D49" s="424" t="e">
        <f>'ASATR-SB1'!E69</f>
        <v>#DIV/0!</v>
      </c>
      <c r="E49" s="1767" t="e">
        <f>C49-D49</f>
        <v>#DIV/0!</v>
      </c>
    </row>
    <row r="50" spans="1:5" hidden="1">
      <c r="E50" s="1763"/>
    </row>
    <row r="51" spans="1:5" hidden="1">
      <c r="A51" t="s">
        <v>1447</v>
      </c>
      <c r="C51" s="1761" t="e">
        <f>'ASATR-SB1'!E62</f>
        <v>#DIV/0!</v>
      </c>
      <c r="D51" s="424" t="e">
        <f>'ASATR-SB1'!E72</f>
        <v>#DIV/0!</v>
      </c>
      <c r="E51" s="1767" t="e">
        <f>D51-C51</f>
        <v>#DIV/0!</v>
      </c>
    </row>
    <row r="52" spans="1:5" hidden="1">
      <c r="E52" s="1761"/>
    </row>
    <row r="53" spans="1:5" hidden="1">
      <c r="A53" s="283" t="s">
        <v>4471</v>
      </c>
      <c r="B53" s="57"/>
      <c r="C53" s="2023"/>
      <c r="D53" s="2023"/>
      <c r="E53" s="1764" t="e">
        <f>E47+E49+E51</f>
        <v>#DIV/0!</v>
      </c>
    </row>
    <row r="54" spans="1:5" hidden="1"/>
    <row r="55" spans="1:5" hidden="1">
      <c r="A55" s="60" t="s">
        <v>4469</v>
      </c>
      <c r="C55" s="456">
        <f>'Calc Data-SB1'!C82</f>
        <v>0</v>
      </c>
      <c r="D55" s="456">
        <f>'Calc Data-SB1'!AB83</f>
        <v>0</v>
      </c>
      <c r="E55" s="1537">
        <f>D55-C55</f>
        <v>0</v>
      </c>
    </row>
    <row r="56" spans="1:5" hidden="1">
      <c r="A56" s="283" t="s">
        <v>4470</v>
      </c>
      <c r="B56" s="57"/>
      <c r="C56" s="1768" t="e">
        <f>'SOF1617-SB1'!L53</f>
        <v>#DIV/0!</v>
      </c>
      <c r="D56" s="1768" t="e">
        <f>'SOF1617-SB1'!M53</f>
        <v>#DIV/0!</v>
      </c>
      <c r="E56" s="1765" t="e">
        <f>D56-C56</f>
        <v>#DIV/0!</v>
      </c>
    </row>
    <row r="57" spans="1:5" hidden="1"/>
    <row r="58" spans="1:5" hidden="1">
      <c r="A58" s="283" t="s">
        <v>4474</v>
      </c>
      <c r="B58" s="57"/>
      <c r="C58" s="1770" t="e">
        <f>'Option Costs-ASATR'!G105</f>
        <v>#DIV/0!</v>
      </c>
      <c r="D58" s="1770" t="e">
        <f>'Option Costs-ASATR'!G124</f>
        <v>#DIV/0!</v>
      </c>
      <c r="E58" s="1765" t="e">
        <f>C58-D58</f>
        <v>#DIV/0!</v>
      </c>
    </row>
    <row r="59" spans="1:5" hidden="1"/>
    <row r="60" spans="1:5" hidden="1"/>
    <row r="61" spans="1:5" hidden="1">
      <c r="A61" s="47" t="s">
        <v>4472</v>
      </c>
      <c r="E61" s="1764" t="e">
        <f>E53+E56+E58</f>
        <v>#DIV/0!</v>
      </c>
    </row>
    <row r="62" spans="1:5" hidden="1"/>
    <row r="63" spans="1:5" hidden="1"/>
    <row r="64" spans="1:5" hidden="1"/>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3613</v>
      </c>
      <c r="D3" s="75" t="s">
        <v>3613</v>
      </c>
      <c r="E3" s="75" t="s">
        <v>3613</v>
      </c>
    </row>
    <row r="4" spans="1:5">
      <c r="C4" s="117" t="s">
        <v>4476</v>
      </c>
      <c r="D4" s="117" t="s">
        <v>4477</v>
      </c>
      <c r="E4" s="194" t="s">
        <v>4467</v>
      </c>
    </row>
    <row r="5" spans="1:5">
      <c r="A5" t="s">
        <v>4466</v>
      </c>
      <c r="C5" s="1537">
        <f>'Data Entry - SOF'!C108</f>
        <v>0</v>
      </c>
      <c r="D5" s="1537">
        <f>'Calc Data-15K'!AB30</f>
        <v>0</v>
      </c>
      <c r="E5" s="1537">
        <f>D5-C5</f>
        <v>0</v>
      </c>
    </row>
    <row r="6" spans="1:5">
      <c r="A6" t="s">
        <v>1148</v>
      </c>
      <c r="C6" s="424">
        <f>'Calc Data-15K'!C19</f>
        <v>0</v>
      </c>
      <c r="D6" s="424">
        <f>'Calc Data-15K'!AB19</f>
        <v>0</v>
      </c>
      <c r="E6" s="424"/>
    </row>
    <row r="8" spans="1:5">
      <c r="A8" t="s">
        <v>576</v>
      </c>
      <c r="C8" s="1761">
        <f>'SOF1617-SB1'!J44</f>
        <v>0</v>
      </c>
      <c r="D8" s="1761">
        <f>'SOF1617-SB1'!K44</f>
        <v>0</v>
      </c>
      <c r="E8" s="1761">
        <f>D8-C8</f>
        <v>0</v>
      </c>
    </row>
    <row r="9" spans="1:5">
      <c r="A9" t="s">
        <v>4468</v>
      </c>
      <c r="C9" s="1761">
        <f>'SOF1617-SB1'!J45</f>
        <v>0</v>
      </c>
      <c r="D9" s="1761">
        <f>'SOF1617-SB1'!K45</f>
        <v>0</v>
      </c>
      <c r="E9" s="1761">
        <f>D9-C9</f>
        <v>0</v>
      </c>
    </row>
    <row r="10" spans="1:5">
      <c r="A10" t="s">
        <v>2829</v>
      </c>
      <c r="C10" s="1762">
        <f>'SOF1617-SB1'!J46</f>
        <v>0</v>
      </c>
      <c r="D10" s="1762">
        <f>'SOF1617-SB1'!K46</f>
        <v>0</v>
      </c>
      <c r="E10" s="1762">
        <f>IF(D10-C10&lt;0,0,D10-C10)</f>
        <v>0</v>
      </c>
    </row>
    <row r="11" spans="1:5">
      <c r="C11" s="1763"/>
      <c r="D11" s="1763"/>
      <c r="E11" s="1763"/>
    </row>
    <row r="12" spans="1:5">
      <c r="A12" t="s">
        <v>2262</v>
      </c>
      <c r="C12" s="1763" t="e">
        <f>'ASATR-SB1'!F24</f>
        <v>#DIV/0!</v>
      </c>
      <c r="D12" s="1763" t="e">
        <f>'ASATR-SB1'!F39</f>
        <v>#DIV/0!</v>
      </c>
      <c r="E12" s="1767" t="e">
        <f>C12-D12</f>
        <v>#DIV/0!</v>
      </c>
    </row>
    <row r="13" spans="1:5">
      <c r="C13" s="1763"/>
      <c r="D13" s="1763"/>
      <c r="E13" s="1763"/>
    </row>
    <row r="14" spans="1:5">
      <c r="A14" t="s">
        <v>1447</v>
      </c>
      <c r="C14" s="1763" t="e">
        <f>'ASATR-SB1'!F27</f>
        <v>#DIV/0!</v>
      </c>
      <c r="D14" s="1763" t="e">
        <f>'ASATR-SB1'!F42</f>
        <v>#DIV/0!</v>
      </c>
      <c r="E14" s="1767" t="e">
        <f>D14-C14</f>
        <v>#DIV/0!</v>
      </c>
    </row>
    <row r="15" spans="1:5">
      <c r="C15" s="1763"/>
      <c r="D15" s="1763"/>
      <c r="E15" s="1761"/>
    </row>
    <row r="16" spans="1:5">
      <c r="A16" s="283" t="s">
        <v>4471</v>
      </c>
      <c r="B16" s="57"/>
      <c r="C16" s="1768"/>
      <c r="D16" s="1769"/>
      <c r="E16" s="1764" t="e">
        <f>E10+E12+E14</f>
        <v>#DIV/0!</v>
      </c>
    </row>
    <row r="18" spans="1:5">
      <c r="A18" s="60" t="s">
        <v>4469</v>
      </c>
      <c r="C18" s="456">
        <f>'Calc Data-15K'!AB24</f>
        <v>0</v>
      </c>
      <c r="D18" s="456">
        <f>'Calc Data-15K'!AB28</f>
        <v>0</v>
      </c>
      <c r="E18" s="1537">
        <f>D18-C18</f>
        <v>0</v>
      </c>
    </row>
    <row r="19" spans="1:5">
      <c r="A19" s="283" t="s">
        <v>4470</v>
      </c>
      <c r="B19" s="57"/>
      <c r="C19" s="1768" t="e">
        <f>'SOF1617-SB1'!J53</f>
        <v>#DIV/0!</v>
      </c>
      <c r="D19" s="1769" t="e">
        <f>'SOF1617-SB1'!K53</f>
        <v>#DIV/0!</v>
      </c>
      <c r="E19" s="1765" t="e">
        <f>D19-C19</f>
        <v>#DIV/0!</v>
      </c>
    </row>
    <row r="21" spans="1:5">
      <c r="A21" s="283" t="s">
        <v>4474</v>
      </c>
      <c r="B21" s="57"/>
      <c r="C21" s="1770" t="e">
        <f>'Option Costs-15K'!G54</f>
        <v>#DIV/0!</v>
      </c>
      <c r="D21" s="1771" t="e">
        <f>'Option Costs-15K'!G85</f>
        <v>#DIV/0!</v>
      </c>
      <c r="E21" s="1765" t="e">
        <f>C21-D21</f>
        <v>#DIV/0!</v>
      </c>
    </row>
    <row r="24" spans="1:5">
      <c r="A24" s="47" t="s">
        <v>4472</v>
      </c>
      <c r="E24" s="1764" t="e">
        <f>E16+E19+E21</f>
        <v>#DIV/0!</v>
      </c>
    </row>
    <row r="27" spans="1:5">
      <c r="C27" s="1796" t="s">
        <v>4492</v>
      </c>
    </row>
    <row r="28" spans="1:5">
      <c r="C28" s="1796" t="s">
        <v>4478</v>
      </c>
    </row>
    <row r="29" spans="1:5">
      <c r="C29" s="1796" t="s">
        <v>4479</v>
      </c>
    </row>
    <row r="30" spans="1:5">
      <c r="C30" s="1796" t="s">
        <v>4493</v>
      </c>
    </row>
    <row r="31" spans="1:5">
      <c r="C31" s="1796" t="s">
        <v>4485</v>
      </c>
    </row>
    <row r="32" spans="1:5">
      <c r="C32" s="1796" t="s">
        <v>4494</v>
      </c>
    </row>
    <row r="33" spans="1:5">
      <c r="C33" s="89" t="s">
        <v>4499</v>
      </c>
    </row>
    <row r="34" spans="1:5">
      <c r="C34" s="89" t="s">
        <v>4498</v>
      </c>
    </row>
    <row r="35" spans="1:5">
      <c r="C35" s="1802" t="s">
        <v>4502</v>
      </c>
    </row>
    <row r="36" spans="1:5">
      <c r="C36" s="1802" t="s">
        <v>4501</v>
      </c>
    </row>
    <row r="39" spans="1:5">
      <c r="A39" s="47" t="s">
        <v>6897</v>
      </c>
      <c r="D39" s="1761"/>
    </row>
    <row r="40" spans="1:5">
      <c r="C40" s="75" t="s">
        <v>3613</v>
      </c>
      <c r="D40" s="75" t="s">
        <v>3613</v>
      </c>
      <c r="E40" s="75" t="s">
        <v>3613</v>
      </c>
    </row>
    <row r="41" spans="1:5">
      <c r="C41" s="117" t="s">
        <v>4476</v>
      </c>
      <c r="D41" s="117" t="s">
        <v>4477</v>
      </c>
      <c r="E41" s="194" t="s">
        <v>4467</v>
      </c>
    </row>
    <row r="42" spans="1:5">
      <c r="A42" t="s">
        <v>4466</v>
      </c>
      <c r="C42" s="1537">
        <f>C5</f>
        <v>0</v>
      </c>
      <c r="D42" s="1537">
        <f>'Calc Data-15K'!AB85</f>
        <v>0</v>
      </c>
      <c r="E42" s="1537">
        <f>D42-C42</f>
        <v>0</v>
      </c>
    </row>
    <row r="43" spans="1:5">
      <c r="A43" t="s">
        <v>1148</v>
      </c>
      <c r="C43" s="424">
        <f>C6</f>
        <v>0</v>
      </c>
      <c r="D43" s="424">
        <f>'Calc Data-SB1'!AB74</f>
        <v>0</v>
      </c>
    </row>
    <row r="45" spans="1:5">
      <c r="A45" t="s">
        <v>576</v>
      </c>
      <c r="C45" s="1761">
        <f>C8</f>
        <v>0</v>
      </c>
      <c r="D45" s="1761">
        <f>'SOF1617-SB1'!O44</f>
        <v>0</v>
      </c>
      <c r="E45" s="1761">
        <f>D45-C45</f>
        <v>0</v>
      </c>
    </row>
    <row r="46" spans="1:5">
      <c r="A46" t="s">
        <v>4468</v>
      </c>
      <c r="C46" s="1761">
        <f>C9</f>
        <v>0</v>
      </c>
      <c r="D46" s="1761">
        <f>'SOF1617-SB1'!O45</f>
        <v>0</v>
      </c>
      <c r="E46" s="1761">
        <f>D46-C46</f>
        <v>0</v>
      </c>
    </row>
    <row r="47" spans="1:5">
      <c r="A47" t="s">
        <v>2829</v>
      </c>
      <c r="C47" s="1762">
        <f>C10</f>
        <v>0</v>
      </c>
      <c r="D47" s="1762">
        <f>'SOF1617-SB1'!O46</f>
        <v>0</v>
      </c>
      <c r="E47" s="1762">
        <f>IF(D47-C47&lt;0,0,D47-C47)</f>
        <v>0</v>
      </c>
    </row>
    <row r="48" spans="1:5">
      <c r="E48" s="1763"/>
    </row>
    <row r="49" spans="1:5">
      <c r="A49" t="s">
        <v>2262</v>
      </c>
      <c r="C49" s="1761" t="e">
        <f>'ASATR-SB1'!F59</f>
        <v>#DIV/0!</v>
      </c>
      <c r="D49" s="424" t="e">
        <f>'ASATR-SB1'!F69</f>
        <v>#DIV/0!</v>
      </c>
      <c r="E49" s="1767" t="e">
        <f>C49-D49</f>
        <v>#DIV/0!</v>
      </c>
    </row>
    <row r="50" spans="1:5">
      <c r="E50" s="1763"/>
    </row>
    <row r="51" spans="1:5">
      <c r="A51" t="s">
        <v>1447</v>
      </c>
      <c r="C51" s="1761" t="e">
        <f>'ASATR-SB1'!F62</f>
        <v>#DIV/0!</v>
      </c>
      <c r="D51" s="424" t="e">
        <f>'ASATR-SB1'!F72</f>
        <v>#DIV/0!</v>
      </c>
      <c r="E51" s="1767" t="e">
        <f>D51-C51</f>
        <v>#DIV/0!</v>
      </c>
    </row>
    <row r="52" spans="1:5">
      <c r="E52" s="1761"/>
    </row>
    <row r="53" spans="1:5">
      <c r="A53" s="283" t="s">
        <v>4471</v>
      </c>
      <c r="B53" s="57"/>
      <c r="C53" s="2023"/>
      <c r="D53" s="2023"/>
      <c r="E53" s="1764" t="e">
        <f>E47+E49+E51</f>
        <v>#DIV/0!</v>
      </c>
    </row>
    <row r="55" spans="1:5">
      <c r="A55" s="60" t="s">
        <v>4469</v>
      </c>
      <c r="C55" s="456">
        <f>'Calc Data-15K'!AB24</f>
        <v>0</v>
      </c>
      <c r="D55" s="456">
        <f>'Calc Data-15K'!AB79</f>
        <v>0</v>
      </c>
      <c r="E55" s="1537">
        <f>D55-C55</f>
        <v>0</v>
      </c>
    </row>
    <row r="56" spans="1:5">
      <c r="A56" s="283" t="s">
        <v>4470</v>
      </c>
      <c r="B56" s="57"/>
      <c r="C56" s="1768" t="e">
        <f>'SOF1617-SB1'!N53</f>
        <v>#DIV/0!</v>
      </c>
      <c r="D56" s="1768" t="e">
        <f>'SOF1617-SB1'!O53</f>
        <v>#DIV/0!</v>
      </c>
      <c r="E56" s="1765" t="e">
        <f>D56-C56</f>
        <v>#DIV/0!</v>
      </c>
    </row>
    <row r="58" spans="1:5">
      <c r="A58" s="283" t="s">
        <v>4474</v>
      </c>
      <c r="B58" s="57"/>
      <c r="C58" s="1770" t="e">
        <f>'Option Costs-15K-ASATR'!G105</f>
        <v>#DIV/0!</v>
      </c>
      <c r="D58" s="1770" t="e">
        <f>'Option Costs-15K-ASATR'!G124</f>
        <v>#DIV/0!</v>
      </c>
      <c r="E58" s="1765" t="e">
        <f>C58-D58</f>
        <v>#DIV/0!</v>
      </c>
    </row>
    <row r="61" spans="1:5">
      <c r="A61" s="47" t="s">
        <v>4472</v>
      </c>
      <c r="E61" s="1764" t="e">
        <f>E53+E56+E58</f>
        <v>#DIV/0!</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5"/>
  <sheetViews>
    <sheetView workbookViewId="0">
      <selection activeCell="D44" sqref="D44"/>
    </sheetView>
  </sheetViews>
  <sheetFormatPr defaultRowHeight="12.75"/>
  <cols>
    <col min="1" max="1" width="9.140625" style="89" customWidth="1"/>
    <col min="2" max="2" width="81.140625" style="47" customWidth="1"/>
    <col min="3" max="3" width="4.140625" style="47" customWidth="1"/>
    <col min="4" max="4" width="20.7109375" style="47" customWidth="1"/>
    <col min="5" max="5" width="17.5703125" style="47" customWidth="1"/>
    <col min="6" max="6" width="17.140625" style="47" customWidth="1"/>
    <col min="7" max="12" width="9.140625" style="47" customWidth="1"/>
  </cols>
  <sheetData>
    <row r="1" spans="1:12">
      <c r="A1" s="1074" t="s">
        <v>3266</v>
      </c>
      <c r="C1" s="1777"/>
      <c r="D1" s="1773">
        <f>'Data Entry - SOF'!K1</f>
        <v>0</v>
      </c>
    </row>
    <row r="2" spans="1:12">
      <c r="A2" s="1074" t="s">
        <v>3265</v>
      </c>
      <c r="D2" s="98" t="e">
        <f>#REF!</f>
        <v>#REF!</v>
      </c>
    </row>
    <row r="3" spans="1:12">
      <c r="D3" s="82" t="e">
        <f>#REF!</f>
        <v>#REF!</v>
      </c>
    </row>
    <row r="4" spans="1:12" s="1076" customFormat="1" ht="15.75">
      <c r="A4" s="1075" t="s">
        <v>3554</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961"/>
      <c r="C8" s="961"/>
      <c r="D8" s="961"/>
      <c r="E8" s="961"/>
      <c r="F8" s="961"/>
      <c r="G8" s="961"/>
      <c r="H8" s="961"/>
      <c r="I8" s="961"/>
      <c r="J8" s="961"/>
      <c r="K8" s="961"/>
      <c r="L8" s="961"/>
    </row>
    <row r="9" spans="1:12" s="1076" customFormat="1" ht="18">
      <c r="A9" s="1306" t="s">
        <v>3107</v>
      </c>
      <c r="B9" s="1330"/>
      <c r="C9" s="1332"/>
      <c r="D9" s="1283" t="s">
        <v>3115</v>
      </c>
      <c r="E9" s="961"/>
      <c r="F9" s="961"/>
      <c r="G9" s="961"/>
      <c r="H9" s="961"/>
      <c r="I9" s="961"/>
      <c r="J9" s="961"/>
      <c r="K9" s="961"/>
      <c r="L9" s="961"/>
    </row>
    <row r="10" spans="1:12" s="1076" customFormat="1" ht="18">
      <c r="A10" s="1299" t="s">
        <v>3108</v>
      </c>
      <c r="B10" s="1331"/>
      <c r="C10" s="1312"/>
      <c r="D10" s="1285" t="s">
        <v>3116</v>
      </c>
      <c r="E10" s="961"/>
      <c r="F10" s="961"/>
      <c r="G10" s="961"/>
      <c r="H10" s="961"/>
      <c r="I10" s="961"/>
      <c r="J10" s="961"/>
      <c r="K10" s="961"/>
      <c r="L10" s="961"/>
    </row>
    <row r="11" spans="1:12" s="1076" customFormat="1" ht="15.75">
      <c r="A11" s="1079" t="s">
        <v>2501</v>
      </c>
      <c r="B11" s="1080" t="s">
        <v>3109</v>
      </c>
      <c r="C11" s="1080"/>
      <c r="D11" s="1081">
        <f>'SOF1617-SB1'!F8</f>
        <v>0</v>
      </c>
      <c r="E11" s="961"/>
      <c r="F11" s="961"/>
      <c r="G11" s="961"/>
      <c r="H11" s="961"/>
      <c r="I11" s="961"/>
      <c r="J11" s="961"/>
      <c r="K11" s="961"/>
      <c r="L11" s="961"/>
    </row>
    <row r="12" spans="1:12" s="1076" customFormat="1" ht="15.75">
      <c r="A12" s="1079" t="s">
        <v>2502</v>
      </c>
      <c r="B12" s="1513" t="s">
        <v>3760</v>
      </c>
      <c r="C12" s="1080"/>
      <c r="D12" s="1081">
        <f>'Calc Data-SB1'!C10</f>
        <v>0</v>
      </c>
      <c r="E12" s="961"/>
      <c r="F12" s="961"/>
      <c r="G12" s="961"/>
      <c r="H12" s="961"/>
      <c r="I12" s="961"/>
      <c r="J12" s="961"/>
      <c r="K12" s="961"/>
      <c r="L12" s="961"/>
    </row>
    <row r="13" spans="1:12" s="1076" customFormat="1" ht="15.75">
      <c r="A13" s="1079" t="s">
        <v>2503</v>
      </c>
      <c r="B13" s="1511" t="s">
        <v>3761</v>
      </c>
      <c r="C13" s="1080"/>
      <c r="D13" s="1081">
        <f>'SOF1617-SB1'!F9</f>
        <v>0</v>
      </c>
      <c r="E13" s="961"/>
      <c r="F13" s="961"/>
      <c r="G13" s="961"/>
      <c r="H13" s="961"/>
      <c r="I13" s="961"/>
      <c r="J13" s="961"/>
      <c r="K13" s="961"/>
      <c r="L13" s="961"/>
    </row>
    <row r="14" spans="1:12" s="1076" customFormat="1" ht="15.75">
      <c r="A14" s="1079" t="s">
        <v>1024</v>
      </c>
      <c r="B14" s="1080" t="s">
        <v>932</v>
      </c>
      <c r="C14" s="1080"/>
      <c r="D14" s="1081">
        <f>'SOF1617-SB1'!F10</f>
        <v>0</v>
      </c>
      <c r="E14" s="961"/>
      <c r="F14" s="961"/>
      <c r="G14" s="961"/>
      <c r="H14" s="961"/>
      <c r="I14" s="961"/>
      <c r="J14" s="961"/>
      <c r="K14" s="961"/>
      <c r="L14" s="961"/>
    </row>
    <row r="15" spans="1:12" s="1076" customFormat="1" ht="15.75">
      <c r="A15" s="1079" t="s">
        <v>1025</v>
      </c>
      <c r="B15" s="1080" t="s">
        <v>715</v>
      </c>
      <c r="C15" s="1080"/>
      <c r="D15" s="1081">
        <f>'Data Entry - SOF'!C33</f>
        <v>0</v>
      </c>
      <c r="E15" s="961"/>
      <c r="F15" s="961"/>
      <c r="G15" s="961"/>
      <c r="H15" s="961"/>
      <c r="I15" s="961"/>
      <c r="J15" s="961"/>
      <c r="K15" s="961"/>
      <c r="L15" s="961"/>
    </row>
    <row r="16" spans="1:12" s="1076" customFormat="1" ht="15.75">
      <c r="A16" s="1079" t="s">
        <v>1027</v>
      </c>
      <c r="B16" s="1080" t="s">
        <v>3111</v>
      </c>
      <c r="C16" s="1080"/>
      <c r="D16" s="1081">
        <f>'Data Entry - SOF'!C18</f>
        <v>0</v>
      </c>
      <c r="E16" s="961"/>
      <c r="F16" s="961"/>
      <c r="G16" s="961"/>
      <c r="H16" s="961"/>
      <c r="I16" s="961"/>
      <c r="J16" s="961"/>
      <c r="K16" s="961"/>
      <c r="L16" s="961"/>
    </row>
    <row r="17" spans="1:12" s="1076" customFormat="1" ht="15.75">
      <c r="A17" s="1079" t="s">
        <v>1028</v>
      </c>
      <c r="B17" s="1511" t="s">
        <v>3762</v>
      </c>
      <c r="C17" s="1080"/>
      <c r="D17" s="1081" t="e">
        <f>'Calc Data-SB1'!C25</f>
        <v>#DIV/0!</v>
      </c>
      <c r="E17" s="961"/>
      <c r="F17" s="961"/>
      <c r="G17" s="961"/>
      <c r="H17" s="961"/>
      <c r="I17" s="961"/>
      <c r="J17" s="961"/>
      <c r="K17" s="961"/>
      <c r="L17" s="961"/>
    </row>
    <row r="18" spans="1:12" s="1076" customFormat="1" ht="15.75">
      <c r="A18" s="1079" t="s">
        <v>1029</v>
      </c>
      <c r="B18" s="1080" t="s">
        <v>3112</v>
      </c>
      <c r="C18" s="1080"/>
      <c r="D18" s="1081" t="e">
        <f>#REF!</f>
        <v>#REF!</v>
      </c>
      <c r="E18" s="961"/>
      <c r="F18" s="961"/>
      <c r="G18" s="961"/>
      <c r="H18" s="961"/>
      <c r="I18" s="961"/>
      <c r="J18" s="961"/>
      <c r="K18" s="961"/>
      <c r="L18" s="961"/>
    </row>
    <row r="19" spans="1:12" s="1076" customFormat="1" ht="15.75">
      <c r="A19" s="1079" t="s">
        <v>139</v>
      </c>
      <c r="B19" s="1080" t="s">
        <v>3113</v>
      </c>
      <c r="C19" s="1080"/>
      <c r="D19" s="1081">
        <f>'Data Entry - SOF'!C68</f>
        <v>0</v>
      </c>
      <c r="E19" s="961"/>
      <c r="F19" s="961"/>
      <c r="G19" s="961"/>
      <c r="H19" s="961"/>
      <c r="I19" s="961"/>
      <c r="J19" s="961"/>
      <c r="K19" s="961"/>
      <c r="L19" s="961"/>
    </row>
    <row r="20" spans="1:12" s="1076" customFormat="1" ht="15.75">
      <c r="A20" s="1079" t="s">
        <v>140</v>
      </c>
      <c r="B20" s="1080" t="s">
        <v>3114</v>
      </c>
      <c r="C20" s="1080"/>
      <c r="D20" s="1081">
        <f>'Data Entry - SOF'!C67</f>
        <v>0</v>
      </c>
      <c r="E20" s="961"/>
      <c r="F20" s="961"/>
      <c r="G20" s="961"/>
      <c r="H20" s="961"/>
      <c r="I20" s="961"/>
      <c r="J20" s="961"/>
      <c r="K20" s="961"/>
      <c r="L20" s="961"/>
    </row>
    <row r="21" spans="1:12" s="1076" customFormat="1" ht="18">
      <c r="A21" s="1299" t="s">
        <v>3117</v>
      </c>
      <c r="B21" s="1331"/>
      <c r="C21" s="1333"/>
      <c r="D21" s="1333"/>
      <c r="E21" s="961"/>
      <c r="F21" s="961"/>
      <c r="G21" s="961"/>
      <c r="H21" s="961"/>
      <c r="I21" s="961"/>
      <c r="J21" s="961"/>
      <c r="K21" s="961"/>
      <c r="L21" s="961"/>
    </row>
    <row r="22" spans="1:12" s="1076" customFormat="1" ht="15.75">
      <c r="A22" s="1079" t="s">
        <v>141</v>
      </c>
      <c r="B22" s="1080" t="s">
        <v>3118</v>
      </c>
      <c r="C22" s="1080"/>
      <c r="D22" s="1082">
        <f>'Data Entry - SOF'!C44</f>
        <v>0</v>
      </c>
      <c r="E22" s="961"/>
      <c r="F22" s="961"/>
      <c r="G22" s="961"/>
      <c r="H22" s="961"/>
      <c r="I22" s="961"/>
      <c r="J22" s="961"/>
      <c r="K22" s="961"/>
      <c r="L22" s="961"/>
    </row>
    <row r="23" spans="1:12" s="1076" customFormat="1" ht="15.75">
      <c r="A23" s="1079" t="s">
        <v>142</v>
      </c>
      <c r="B23" s="1080" t="s">
        <v>3119</v>
      </c>
      <c r="C23" s="1080"/>
      <c r="D23" s="1082">
        <f>'Data Entry - SOF'!C45</f>
        <v>0</v>
      </c>
      <c r="E23" s="961"/>
      <c r="F23" s="961"/>
      <c r="G23" s="961"/>
      <c r="H23" s="961"/>
      <c r="I23" s="961"/>
      <c r="J23" s="961"/>
      <c r="K23" s="961"/>
      <c r="L23" s="961"/>
    </row>
    <row r="24" spans="1:12" s="1076" customFormat="1" ht="18">
      <c r="A24" s="1299" t="s">
        <v>3120</v>
      </c>
      <c r="B24" s="1331"/>
      <c r="C24" s="1333"/>
      <c r="D24" s="1333"/>
      <c r="E24" s="961"/>
      <c r="F24" s="961"/>
      <c r="G24" s="961"/>
      <c r="H24" s="961"/>
      <c r="I24" s="961"/>
      <c r="J24" s="961"/>
      <c r="K24" s="961"/>
      <c r="L24" s="961"/>
    </row>
    <row r="25" spans="1:12" s="1076" customFormat="1" ht="15.75">
      <c r="A25" s="1079" t="s">
        <v>1706</v>
      </c>
      <c r="B25" s="1080" t="s">
        <v>3568</v>
      </c>
      <c r="C25" s="1080"/>
      <c r="D25" s="1224" t="s">
        <v>3450</v>
      </c>
      <c r="E25" s="961"/>
      <c r="F25" s="961"/>
      <c r="G25" s="961"/>
      <c r="H25" s="961"/>
      <c r="I25" s="961"/>
      <c r="J25" s="961"/>
      <c r="K25" s="961"/>
      <c r="L25" s="961"/>
    </row>
    <row r="26" spans="1:12" s="1076" customFormat="1" ht="15.75">
      <c r="A26" s="1079" t="s">
        <v>6</v>
      </c>
      <c r="B26" s="1080" t="s">
        <v>3569</v>
      </c>
      <c r="C26" s="1080"/>
      <c r="D26" s="1083">
        <f>'Data Entry - SOF'!C50</f>
        <v>0</v>
      </c>
      <c r="E26" s="961"/>
      <c r="F26" s="961"/>
      <c r="G26" s="961"/>
      <c r="H26" s="961"/>
      <c r="I26" s="961"/>
      <c r="J26" s="961"/>
      <c r="K26" s="961"/>
      <c r="L26" s="961"/>
    </row>
    <row r="27" spans="1:12" s="1076" customFormat="1" ht="18">
      <c r="A27" s="1299" t="s">
        <v>3121</v>
      </c>
      <c r="B27" s="1331"/>
      <c r="C27" s="1333"/>
      <c r="D27" s="1333"/>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3570</v>
      </c>
      <c r="C29" s="1078"/>
      <c r="D29" s="1084">
        <f>'Data Entry - SOF'!C108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3555</v>
      </c>
      <c r="C31" s="1078"/>
      <c r="D31" s="1084">
        <f>'Data Entry - SOF'!C58</f>
        <v>0</v>
      </c>
      <c r="E31" s="961"/>
      <c r="F31" s="961"/>
      <c r="G31" s="961"/>
      <c r="H31" s="961"/>
      <c r="I31" s="961"/>
      <c r="J31" s="961"/>
      <c r="K31" s="961"/>
      <c r="L31" s="961"/>
    </row>
    <row r="32" spans="1:12" s="1076" customFormat="1" ht="15.75">
      <c r="A32" s="1079" t="s">
        <v>3126</v>
      </c>
      <c r="B32" s="1511" t="s">
        <v>3768</v>
      </c>
      <c r="C32" s="1080"/>
      <c r="D32" s="1085">
        <f>'Data Entry - SOF'!C59</f>
        <v>0</v>
      </c>
      <c r="E32" s="961"/>
      <c r="F32" s="961"/>
      <c r="G32" s="961"/>
      <c r="H32" s="961"/>
      <c r="I32" s="961"/>
      <c r="J32" s="961"/>
      <c r="K32" s="961"/>
      <c r="L32" s="961"/>
    </row>
    <row r="33" spans="1:12" s="1076" customFormat="1" ht="15.75">
      <c r="A33" s="1079" t="s">
        <v>3127</v>
      </c>
      <c r="B33" s="1080" t="s">
        <v>3753</v>
      </c>
      <c r="C33" s="1080"/>
      <c r="D33" s="1085">
        <f>'Data Entry - SOF'!C63</f>
        <v>0</v>
      </c>
      <c r="E33" s="961"/>
      <c r="F33" s="961"/>
      <c r="G33" s="961"/>
      <c r="H33" s="961"/>
      <c r="I33" s="961"/>
      <c r="J33" s="961"/>
      <c r="K33" s="961"/>
      <c r="L33" s="961"/>
    </row>
    <row r="34" spans="1:12" s="1076" customFormat="1" ht="15.75">
      <c r="A34" s="1079" t="s">
        <v>3128</v>
      </c>
      <c r="B34" s="1080" t="s">
        <v>3556</v>
      </c>
      <c r="C34" s="1080"/>
      <c r="D34" s="1085">
        <f>'Data Entry - SOF'!C153</f>
        <v>0</v>
      </c>
      <c r="E34" s="961"/>
      <c r="F34" s="961"/>
      <c r="G34" s="961"/>
      <c r="H34" s="961"/>
      <c r="I34" s="961"/>
      <c r="J34" s="961"/>
      <c r="K34" s="961"/>
      <c r="L34" s="961"/>
    </row>
    <row r="35" spans="1:12" s="1076" customFormat="1" ht="15.75">
      <c r="A35" s="1079" t="s">
        <v>3129</v>
      </c>
      <c r="B35" s="1080" t="s">
        <v>3754</v>
      </c>
      <c r="C35" s="1080"/>
      <c r="D35" s="1085">
        <f>'Data Entry - SOF'!C69</f>
        <v>0</v>
      </c>
      <c r="E35" s="961"/>
      <c r="F35" s="961"/>
      <c r="G35" s="961"/>
      <c r="H35" s="961"/>
      <c r="I35" s="961"/>
      <c r="J35" s="961"/>
      <c r="K35" s="961"/>
      <c r="L35" s="961"/>
    </row>
    <row r="36" spans="1:12" s="1076" customFormat="1" ht="18">
      <c r="A36" s="1299" t="s">
        <v>3130</v>
      </c>
      <c r="B36" s="1331"/>
      <c r="C36" s="1333"/>
      <c r="D36" s="1333"/>
      <c r="E36" s="961"/>
      <c r="F36" s="961"/>
      <c r="G36" s="961"/>
      <c r="H36" s="961"/>
      <c r="I36" s="961"/>
      <c r="J36" s="961"/>
      <c r="K36" s="961"/>
      <c r="L36" s="961"/>
    </row>
    <row r="37" spans="1:12" s="1076" customFormat="1" ht="15.75">
      <c r="A37" s="1079" t="s">
        <v>3131</v>
      </c>
      <c r="B37" s="1511" t="s">
        <v>3769</v>
      </c>
      <c r="C37" s="1080"/>
      <c r="D37" s="1085" t="e">
        <f>IF(FracFunding161715K!E24&lt;=0,'Calc Data-SB1'!C23,'Calc Data-SB1'!AB23)</f>
        <v>#DIV/0!</v>
      </c>
      <c r="E37" s="961"/>
      <c r="F37" s="961"/>
      <c r="G37" s="961"/>
      <c r="H37" s="961"/>
      <c r="I37" s="961"/>
      <c r="J37" s="961"/>
      <c r="K37" s="961"/>
      <c r="L37" s="961"/>
    </row>
    <row r="38" spans="1:12" s="1076" customFormat="1" ht="15.75">
      <c r="A38" s="1079" t="s">
        <v>3132</v>
      </c>
      <c r="B38" s="1080" t="s">
        <v>3136</v>
      </c>
      <c r="C38" s="1080"/>
      <c r="D38" s="1197" t="e">
        <f>IF(FracFunding161715K!E24&lt;=0,'Report-ASATR1617'!C32,'Report-ASATR1617'!D32)</f>
        <v>#DIV/0!</v>
      </c>
      <c r="E38" s="961"/>
      <c r="F38" s="961"/>
      <c r="G38" s="961"/>
      <c r="H38" s="961"/>
      <c r="I38" s="961"/>
      <c r="J38" s="961"/>
      <c r="K38" s="961"/>
      <c r="L38" s="961"/>
    </row>
    <row r="39" spans="1:12" s="1076" customFormat="1" ht="15.75">
      <c r="A39" s="1079" t="s">
        <v>3133</v>
      </c>
      <c r="B39" s="1080" t="s">
        <v>3183</v>
      </c>
      <c r="C39" s="1080"/>
      <c r="D39" s="1086">
        <f>'Data Entry - SOF'!C112</f>
        <v>0</v>
      </c>
      <c r="E39" s="961"/>
      <c r="F39" s="961"/>
      <c r="G39" s="961"/>
      <c r="H39" s="961"/>
      <c r="I39" s="961"/>
      <c r="J39" s="961"/>
      <c r="K39" s="961"/>
      <c r="L39" s="961"/>
    </row>
    <row r="40" spans="1:12" s="1076" customFormat="1" ht="15.75">
      <c r="A40" s="1079" t="s">
        <v>3134</v>
      </c>
      <c r="B40" s="1080" t="s">
        <v>3137</v>
      </c>
      <c r="C40" s="1080"/>
      <c r="D40" s="1086">
        <f>'Calc Data-SB1'!C59</f>
        <v>0</v>
      </c>
      <c r="E40" s="961"/>
      <c r="F40" s="961"/>
      <c r="G40" s="961"/>
      <c r="H40" s="961"/>
      <c r="I40" s="961"/>
      <c r="J40" s="961"/>
      <c r="K40" s="961"/>
      <c r="L40" s="961"/>
    </row>
    <row r="41" spans="1:12" s="1076" customFormat="1" ht="15.75">
      <c r="A41" s="1079" t="s">
        <v>3135</v>
      </c>
      <c r="B41" s="1080" t="s">
        <v>3138</v>
      </c>
      <c r="C41" s="1080"/>
      <c r="D41" s="1087">
        <f>Assumptions!G96</f>
        <v>390.3</v>
      </c>
      <c r="E41" s="961"/>
      <c r="F41" s="961"/>
      <c r="G41" s="961"/>
      <c r="H41" s="961"/>
      <c r="I41" s="961"/>
      <c r="J41" s="961"/>
      <c r="K41" s="961"/>
      <c r="L41" s="961"/>
    </row>
    <row r="42" spans="1:12" s="1076" customFormat="1" ht="18">
      <c r="A42" s="1299" t="s">
        <v>3139</v>
      </c>
      <c r="B42" s="1331"/>
      <c r="C42" s="1333"/>
      <c r="D42" s="1333"/>
      <c r="E42" s="961"/>
      <c r="F42" s="961"/>
      <c r="G42" s="961"/>
      <c r="H42" s="961"/>
      <c r="I42" s="961"/>
      <c r="J42" s="961"/>
      <c r="K42" s="961"/>
      <c r="L42" s="961"/>
    </row>
    <row r="43" spans="1:12" s="1076" customFormat="1" ht="15.75">
      <c r="A43" s="1300"/>
      <c r="B43" s="1334" t="s">
        <v>3159</v>
      </c>
      <c r="C43" s="1333"/>
      <c r="D43" s="1333"/>
      <c r="E43" s="961"/>
      <c r="F43" s="961"/>
      <c r="G43" s="961"/>
      <c r="H43" s="961"/>
      <c r="I43" s="961"/>
      <c r="J43" s="961"/>
      <c r="K43" s="961"/>
      <c r="L43" s="961"/>
    </row>
    <row r="44" spans="1:12" s="1076" customFormat="1" ht="15.75">
      <c r="A44" s="1079" t="s">
        <v>3140</v>
      </c>
      <c r="B44" s="1080" t="s">
        <v>3160</v>
      </c>
      <c r="C44" s="1080"/>
      <c r="D44" s="1085" t="e">
        <f>IF(FracFunding161715K!E24&lt;=0,'SOF1617-SB1'!J21,'SOF1617-SB1'!K21)</f>
        <v>#DIV/0!</v>
      </c>
      <c r="E44" s="961"/>
      <c r="F44" s="961"/>
      <c r="G44" s="961"/>
      <c r="H44" s="961"/>
      <c r="I44" s="961"/>
      <c r="J44" s="961"/>
      <c r="K44" s="961"/>
      <c r="L44" s="961"/>
    </row>
    <row r="45" spans="1:12" s="1076" customFormat="1" ht="15.75">
      <c r="A45" s="1079" t="s">
        <v>3141</v>
      </c>
      <c r="B45" s="1080" t="s">
        <v>3746</v>
      </c>
      <c r="C45" s="1080"/>
      <c r="D45" s="1085" t="e">
        <f>IF(FracFunding161715K!E24&lt;=0,'SOF1617-SB1'!J134,'SOF1617-SB1'!K134)</f>
        <v>#DIV/0!</v>
      </c>
      <c r="E45" s="961"/>
      <c r="F45" s="961"/>
      <c r="G45" s="961"/>
      <c r="H45" s="961"/>
      <c r="I45" s="961"/>
      <c r="J45" s="961"/>
      <c r="K45" s="961"/>
      <c r="L45" s="961"/>
    </row>
    <row r="46" spans="1:12" s="1076" customFormat="1" ht="15.75">
      <c r="A46" s="1079" t="s">
        <v>3142</v>
      </c>
      <c r="B46" s="1080" t="s">
        <v>3747</v>
      </c>
      <c r="C46" s="1080"/>
      <c r="D46" s="1085" t="e">
        <f>IF(FracFunding161715K!E24&lt;=0,'SOF1617-SB1'!J135,'SOF1617-SB1'!K135)</f>
        <v>#DIV/0!</v>
      </c>
      <c r="E46" s="961"/>
      <c r="F46" s="961"/>
      <c r="G46" s="961"/>
      <c r="H46" s="961"/>
      <c r="I46" s="961"/>
      <c r="J46" s="961"/>
      <c r="K46" s="961"/>
      <c r="L46" s="961"/>
    </row>
    <row r="47" spans="1:12" s="1076" customFormat="1" ht="15.75">
      <c r="A47" s="1079" t="s">
        <v>3143</v>
      </c>
      <c r="B47" s="1080" t="s">
        <v>3748</v>
      </c>
      <c r="C47" s="1080"/>
      <c r="D47" s="1085" t="e">
        <f>IF(FracFunding161715K!E24&lt;=0,'SOF1617-SB1'!J136,'SOF1617-SB1'!K136)</f>
        <v>#DIV/0!</v>
      </c>
      <c r="E47" s="961"/>
      <c r="F47" s="961"/>
      <c r="G47" s="961"/>
      <c r="H47" s="961"/>
      <c r="I47" s="961"/>
      <c r="J47" s="961"/>
      <c r="K47" s="961"/>
      <c r="L47" s="961"/>
    </row>
    <row r="48" spans="1:12" s="1076" customFormat="1" ht="15.75">
      <c r="A48" s="1079" t="s">
        <v>3144</v>
      </c>
      <c r="B48" s="1080" t="s">
        <v>3750</v>
      </c>
      <c r="C48" s="1080"/>
      <c r="D48" s="1085" t="e">
        <f>IF(FracFunding161715K!E24&lt;=0,'SOF1617-SB1'!J137,'SOF1617-SB1'!K137)</f>
        <v>#DIV/0!</v>
      </c>
      <c r="E48" s="961"/>
      <c r="F48" s="961"/>
      <c r="G48" s="961"/>
      <c r="H48" s="961"/>
      <c r="I48" s="961"/>
      <c r="J48" s="961"/>
      <c r="K48" s="961"/>
      <c r="L48" s="961"/>
    </row>
    <row r="49" spans="1:12" s="1076" customFormat="1" ht="15.75">
      <c r="A49" s="1079" t="s">
        <v>3145</v>
      </c>
      <c r="B49" s="1080" t="s">
        <v>3749</v>
      </c>
      <c r="C49" s="1080"/>
      <c r="D49" s="1085" t="e">
        <f>IF(FracFunding161715K!E24&lt;=0,'SOF1617-SB1'!J39,'SOF1617-SB1'!K39)</f>
        <v>#DIV/0!</v>
      </c>
      <c r="E49" s="961"/>
      <c r="F49" s="961"/>
      <c r="G49" s="961"/>
      <c r="H49" s="961"/>
      <c r="I49" s="961"/>
      <c r="J49" s="961"/>
      <c r="K49" s="961"/>
      <c r="L49" s="961"/>
    </row>
    <row r="50" spans="1:12" s="1076" customFormat="1" ht="15.75">
      <c r="A50" s="1079" t="s">
        <v>3146</v>
      </c>
      <c r="B50" s="1080" t="s">
        <v>3162</v>
      </c>
      <c r="C50" s="1080"/>
      <c r="D50" s="1085" t="e">
        <f>IF(FracFunding161715K!E24&lt;=0,'SOF1617-SB1'!J41,'SOF1617-SB1'!K41)</f>
        <v>#DIV/0!</v>
      </c>
      <c r="E50" s="961"/>
      <c r="F50" s="961"/>
      <c r="G50" s="961"/>
      <c r="H50" s="961"/>
      <c r="I50" s="961"/>
      <c r="J50" s="961"/>
      <c r="K50" s="961"/>
      <c r="L50" s="961"/>
    </row>
    <row r="51" spans="1:12" s="1076" customFormat="1" ht="15.75">
      <c r="A51" s="1079" t="s">
        <v>3147</v>
      </c>
      <c r="B51" s="1080" t="s">
        <v>3173</v>
      </c>
      <c r="C51" s="1080"/>
      <c r="D51" s="1085">
        <f>'SOF1617-SB1'!F42</f>
        <v>0</v>
      </c>
      <c r="E51" s="961"/>
      <c r="F51" s="961"/>
      <c r="G51" s="961"/>
      <c r="H51" s="961"/>
      <c r="I51" s="961"/>
      <c r="J51" s="961"/>
      <c r="K51" s="961"/>
      <c r="L51" s="961"/>
    </row>
    <row r="52" spans="1:12" s="1076" customFormat="1" ht="15.75">
      <c r="A52" s="1079" t="s">
        <v>3148</v>
      </c>
      <c r="B52" s="1080" t="s">
        <v>3751</v>
      </c>
      <c r="C52" s="1080"/>
      <c r="D52" s="1085">
        <f>'SOF1617-SB1'!F43</f>
        <v>0</v>
      </c>
      <c r="E52" s="961"/>
      <c r="F52" s="961"/>
      <c r="G52" s="961"/>
      <c r="H52" s="961"/>
      <c r="I52" s="961"/>
      <c r="J52" s="961"/>
      <c r="K52" s="961"/>
      <c r="L52" s="961"/>
    </row>
    <row r="53" spans="1:12" s="1076" customFormat="1" ht="15.75">
      <c r="A53" s="1079" t="s">
        <v>3149</v>
      </c>
      <c r="B53" s="1080" t="s">
        <v>3164</v>
      </c>
      <c r="C53" s="1080"/>
      <c r="D53" s="1085">
        <f>'SOF1617-SB1'!F40</f>
        <v>0</v>
      </c>
      <c r="E53" s="961"/>
      <c r="F53" s="961"/>
      <c r="G53" s="961"/>
      <c r="H53" s="961"/>
      <c r="I53" s="961"/>
      <c r="J53" s="961"/>
      <c r="K53" s="961"/>
      <c r="L53" s="961"/>
    </row>
    <row r="54" spans="1:12" s="1076" customFormat="1" ht="15.75">
      <c r="A54" s="1079" t="s">
        <v>3150</v>
      </c>
      <c r="B54" s="1511" t="s">
        <v>3763</v>
      </c>
      <c r="C54" s="1080"/>
      <c r="D54" s="1085" t="e">
        <f>IF(FracFunding161715K!E24&lt;=0,'SOF1617-SB1'!J44,'SOF1617-SB1'!K44)</f>
        <v>#DIV/0!</v>
      </c>
      <c r="E54" s="961"/>
      <c r="F54" s="961"/>
      <c r="G54" s="961"/>
      <c r="H54" s="961"/>
      <c r="I54" s="961"/>
      <c r="J54" s="961"/>
      <c r="K54" s="961"/>
      <c r="L54" s="961"/>
    </row>
    <row r="55" spans="1:12" s="1076" customFormat="1" ht="15.75">
      <c r="A55" s="1079" t="s">
        <v>3151</v>
      </c>
      <c r="B55" s="1080" t="s">
        <v>3165</v>
      </c>
      <c r="C55" s="1080"/>
      <c r="D55" s="1085" t="e">
        <f>IF(FracFunding161715K!E24&lt;=0,'SOF1617-SB1'!J45,'SOF1617-SB1'!K45)</f>
        <v>#DIV/0!</v>
      </c>
      <c r="E55" s="961"/>
      <c r="F55" s="961"/>
      <c r="G55" s="961"/>
      <c r="H55" s="961"/>
      <c r="I55" s="961"/>
      <c r="J55" s="961"/>
      <c r="K55" s="961"/>
      <c r="L55" s="961"/>
    </row>
    <row r="56" spans="1:12" s="1076" customFormat="1" ht="15.75">
      <c r="A56" s="1079" t="s">
        <v>3152</v>
      </c>
      <c r="B56" s="1080" t="s">
        <v>889</v>
      </c>
      <c r="C56" s="1080"/>
      <c r="D56" s="1085" t="e">
        <f>IF(FracFunding161715K!E24&lt;=0,'SOF1617-SB1'!J46,'SOF1617-SB1'!K46)</f>
        <v>#DIV/0!</v>
      </c>
      <c r="E56" s="961"/>
      <c r="F56" s="961"/>
      <c r="G56" s="961"/>
      <c r="H56" s="961"/>
      <c r="I56" s="961"/>
      <c r="J56" s="961"/>
      <c r="K56" s="961"/>
      <c r="L56" s="961"/>
    </row>
    <row r="57" spans="1:12" s="1076" customFormat="1" ht="15.75">
      <c r="A57" s="1079" t="s">
        <v>3153</v>
      </c>
      <c r="B57" s="1080" t="s">
        <v>3166</v>
      </c>
      <c r="C57" s="1080"/>
      <c r="D57" s="1085">
        <f>'SOF1617-SB1'!F77</f>
        <v>0</v>
      </c>
      <c r="E57" s="961"/>
      <c r="F57" s="961"/>
      <c r="G57" s="961"/>
      <c r="H57" s="961"/>
      <c r="I57" s="961"/>
      <c r="J57" s="961"/>
      <c r="K57" s="961"/>
      <c r="L57" s="961"/>
    </row>
    <row r="58" spans="1:12" s="1076" customFormat="1" ht="18">
      <c r="A58" s="1335" t="s">
        <v>3573</v>
      </c>
      <c r="B58" s="1339"/>
      <c r="C58" s="1339"/>
      <c r="D58" s="1340"/>
      <c r="E58" s="961"/>
      <c r="F58" s="961"/>
      <c r="G58" s="961"/>
      <c r="H58" s="961"/>
      <c r="I58" s="961"/>
      <c r="J58" s="961"/>
      <c r="K58" s="961"/>
      <c r="L58" s="961"/>
    </row>
    <row r="59" spans="1:12" s="1076" customFormat="1" ht="18">
      <c r="A59" s="1336" t="s">
        <v>3574</v>
      </c>
      <c r="B59" s="1337"/>
      <c r="C59" s="1337"/>
      <c r="D59" s="1338"/>
      <c r="E59" s="961"/>
      <c r="F59" s="961"/>
      <c r="G59" s="961"/>
      <c r="H59" s="961"/>
      <c r="I59" s="961"/>
      <c r="J59" s="961"/>
      <c r="K59" s="961"/>
      <c r="L59" s="961"/>
    </row>
    <row r="60" spans="1:12" s="1076" customFormat="1" ht="15.75">
      <c r="A60" s="1079" t="s">
        <v>3154</v>
      </c>
      <c r="B60" s="1080" t="s">
        <v>3167</v>
      </c>
      <c r="C60" s="1080"/>
      <c r="D60" s="1085" t="e">
        <f>IF(FracFunding161715K!E24&lt;=0,'SOF1617-SB1'!J49,'SOF1617-SB1'!K49)</f>
        <v>#DIV/0!</v>
      </c>
      <c r="E60" s="961"/>
      <c r="F60" s="961"/>
      <c r="G60" s="961"/>
      <c r="H60" s="961"/>
      <c r="I60" s="961"/>
      <c r="J60" s="961"/>
      <c r="K60" s="961"/>
      <c r="L60" s="961"/>
    </row>
    <row r="61" spans="1:12" s="1076" customFormat="1" ht="15.75">
      <c r="A61" s="1079" t="s">
        <v>3155</v>
      </c>
      <c r="B61" s="1513" t="s">
        <v>3770</v>
      </c>
      <c r="C61" s="1080"/>
      <c r="D61" s="1085" t="e">
        <f>IF(FracFunding161715K!E24&lt;=0,'SOF1617-SB1'!J54,'SOF1617-SB1'!K54)</f>
        <v>#DIV/0!</v>
      </c>
      <c r="E61" s="961"/>
      <c r="F61" s="961"/>
      <c r="G61" s="961"/>
      <c r="H61" s="961"/>
      <c r="I61" s="961"/>
      <c r="J61" s="961"/>
      <c r="K61" s="961"/>
      <c r="L61" s="961"/>
    </row>
    <row r="62" spans="1:12" s="1076" customFormat="1" ht="15.75">
      <c r="A62" s="1079" t="s">
        <v>3156</v>
      </c>
      <c r="B62" s="1511" t="s">
        <v>3771</v>
      </c>
      <c r="C62" s="1080"/>
      <c r="D62" s="1085" t="e">
        <f>'Report-Other1617'!E26</f>
        <v>#DIV/0!</v>
      </c>
      <c r="E62" s="961"/>
      <c r="F62" s="961"/>
      <c r="G62" s="961"/>
      <c r="H62" s="961"/>
      <c r="I62" s="961"/>
      <c r="J62" s="961"/>
      <c r="K62" s="961"/>
      <c r="L62" s="961"/>
    </row>
    <row r="63" spans="1:12" s="1076" customFormat="1" ht="15.75">
      <c r="A63" s="1079" t="s">
        <v>3157</v>
      </c>
      <c r="B63" s="1080" t="str">
        <f>CONCATENATE("Less: Total Available School Fund ($",Assumptions!G96," * Prior Year ADA)")</f>
        <v>Less: Total Available School Fund ($390.3 * Prior Year ADA)</v>
      </c>
      <c r="C63" s="1080"/>
      <c r="D63" s="1085">
        <f>'SOF1617-SB1'!F72</f>
        <v>0</v>
      </c>
      <c r="E63" s="961"/>
      <c r="F63" s="961"/>
      <c r="G63" s="961"/>
      <c r="H63" s="961"/>
      <c r="I63" s="961"/>
      <c r="J63" s="961"/>
      <c r="K63" s="961"/>
      <c r="L63" s="961"/>
    </row>
    <row r="64" spans="1:12" s="1076" customFormat="1" ht="15.75">
      <c r="A64" s="1079" t="s">
        <v>3158</v>
      </c>
      <c r="B64" s="1080" t="s">
        <v>3168</v>
      </c>
      <c r="C64" s="1080"/>
      <c r="D64" s="1085" t="e">
        <f>IF(FracFunding161715K!E24&lt;=0,'SOF1617-SB1'!J76,'SOF1617-SB1'!K76)</f>
        <v>#DIV/0!</v>
      </c>
      <c r="E64" s="961"/>
      <c r="F64" s="961"/>
      <c r="G64" s="961"/>
      <c r="H64" s="961"/>
      <c r="I64" s="961"/>
      <c r="J64" s="961"/>
      <c r="K64" s="961"/>
      <c r="L64" s="961"/>
    </row>
    <row r="65" spans="1:12" s="1076" customFormat="1" ht="18">
      <c r="A65" s="1299" t="s">
        <v>3174</v>
      </c>
      <c r="B65" s="1331"/>
      <c r="C65" s="1313"/>
      <c r="D65" s="1313"/>
      <c r="E65" s="961"/>
      <c r="F65" s="961"/>
      <c r="G65" s="961"/>
      <c r="H65" s="961"/>
      <c r="I65" s="961"/>
      <c r="J65" s="961"/>
      <c r="K65" s="961"/>
      <c r="L65" s="961"/>
    </row>
    <row r="66" spans="1:12" s="1076" customFormat="1" ht="15.75">
      <c r="A66" s="1296"/>
      <c r="B66" s="1334" t="s">
        <v>3182</v>
      </c>
      <c r="C66" s="1313"/>
      <c r="D66" s="1313"/>
      <c r="E66" s="961"/>
      <c r="F66" s="961"/>
      <c r="G66" s="961"/>
      <c r="H66" s="961"/>
      <c r="I66" s="961"/>
      <c r="J66" s="961"/>
      <c r="K66" s="961"/>
      <c r="L66" s="961"/>
    </row>
    <row r="67" spans="1:12" s="1076" customFormat="1" ht="15.75">
      <c r="A67" s="1079" t="s">
        <v>3175</v>
      </c>
      <c r="B67" s="1080" t="s">
        <v>3181</v>
      </c>
      <c r="C67" s="1080"/>
      <c r="D67" s="1085" t="e">
        <f>IF(FracFunding161715K!E24&lt;=0,'SOF1617-SB1'!J76,'SOF1617-SB1'!K76)</f>
        <v>#DIV/0!</v>
      </c>
      <c r="E67" s="961"/>
      <c r="F67" s="961"/>
      <c r="G67" s="961"/>
      <c r="H67" s="961"/>
      <c r="I67" s="961"/>
      <c r="J67" s="961"/>
      <c r="K67" s="961"/>
      <c r="L67" s="961"/>
    </row>
    <row r="68" spans="1:12" s="1076" customFormat="1" ht="15.75">
      <c r="A68" s="1079" t="s">
        <v>3176</v>
      </c>
      <c r="B68" s="1080" t="s">
        <v>3484</v>
      </c>
      <c r="C68" s="1080"/>
      <c r="D68" s="1085">
        <f>'SOF1617-SB1'!F77</f>
        <v>0</v>
      </c>
      <c r="E68" s="961"/>
      <c r="F68" s="961"/>
      <c r="G68" s="961"/>
      <c r="H68" s="961"/>
      <c r="I68" s="961"/>
      <c r="J68" s="961"/>
      <c r="K68" s="961"/>
      <c r="L68" s="961"/>
    </row>
    <row r="69" spans="1:12" s="1076" customFormat="1" ht="15.75">
      <c r="A69" s="1079" t="s">
        <v>3177</v>
      </c>
      <c r="B69" s="1513" t="s">
        <v>3766</v>
      </c>
      <c r="C69" s="1080"/>
      <c r="D69" s="1085">
        <f>'Existing Debt'!G74</f>
        <v>0</v>
      </c>
      <c r="E69" s="961"/>
      <c r="F69" s="961"/>
      <c r="G69" s="961"/>
      <c r="H69" s="961"/>
      <c r="I69" s="961"/>
      <c r="J69" s="961"/>
      <c r="K69" s="961"/>
      <c r="L69" s="961"/>
    </row>
    <row r="70" spans="1:12" s="1076" customFormat="1" ht="15.75">
      <c r="A70" s="1079" t="s">
        <v>3178</v>
      </c>
      <c r="B70" s="1511" t="s">
        <v>3767</v>
      </c>
      <c r="C70" s="1080"/>
      <c r="D70" s="1085">
        <f>IFA!I86</f>
        <v>0</v>
      </c>
      <c r="E70" s="961"/>
      <c r="F70" s="961"/>
      <c r="G70" s="961"/>
      <c r="H70" s="961"/>
      <c r="I70" s="961"/>
      <c r="J70" s="961"/>
      <c r="K70" s="961"/>
      <c r="L70" s="961"/>
    </row>
    <row r="71" spans="1:12" s="1076" customFormat="1" ht="15.75">
      <c r="A71" s="1079" t="s">
        <v>3179</v>
      </c>
      <c r="B71" s="1080" t="s">
        <v>3752</v>
      </c>
      <c r="C71" s="1080"/>
      <c r="D71" s="1085">
        <f>IFA!I75</f>
        <v>0</v>
      </c>
      <c r="E71" s="961"/>
      <c r="F71" s="961"/>
      <c r="G71" s="961"/>
      <c r="H71" s="961"/>
      <c r="I71" s="961"/>
      <c r="J71" s="961"/>
      <c r="K71" s="961"/>
      <c r="L71" s="961"/>
    </row>
    <row r="72" spans="1:12" s="1076" customFormat="1" ht="18">
      <c r="A72" s="1079" t="s">
        <v>3180</v>
      </c>
      <c r="B72" s="1269" t="s">
        <v>3557</v>
      </c>
      <c r="C72" s="1080"/>
      <c r="D72" s="1090" t="e">
        <f>IF(FracFunding161715K!E24&lt;=0,'SOF1617-SB1'!J82,'SOF1617-SB1'!K82)</f>
        <v>#DIV/0!</v>
      </c>
      <c r="E72" s="961"/>
      <c r="F72" s="961"/>
      <c r="G72" s="961"/>
      <c r="H72" s="961"/>
      <c r="I72" s="961"/>
      <c r="J72" s="961"/>
      <c r="K72" s="961"/>
      <c r="L72" s="961"/>
    </row>
    <row r="73" spans="1:12" s="1076" customFormat="1" ht="18">
      <c r="A73" s="1180"/>
      <c r="B73" s="1358"/>
      <c r="C73" s="1131"/>
      <c r="D73" s="1359"/>
      <c r="E73" s="961"/>
      <c r="F73" s="961"/>
      <c r="G73" s="961"/>
      <c r="H73" s="961"/>
      <c r="I73" s="961"/>
      <c r="J73" s="961"/>
      <c r="K73" s="961"/>
      <c r="L73" s="961"/>
    </row>
    <row r="74" spans="1:12" s="1076" customFormat="1" ht="15.75">
      <c r="A74" s="1079" t="s">
        <v>3320</v>
      </c>
      <c r="B74" s="1512" t="s">
        <v>3755</v>
      </c>
      <c r="C74" s="1313"/>
      <c r="D74" s="1374"/>
      <c r="E74" s="961"/>
      <c r="F74" s="961"/>
      <c r="G74" s="961"/>
      <c r="H74" s="961"/>
      <c r="I74" s="961"/>
      <c r="J74" s="961"/>
      <c r="K74" s="961"/>
      <c r="L74" s="961"/>
    </row>
    <row r="75" spans="1:12" s="1076" customFormat="1" ht="15.75">
      <c r="A75" s="1089"/>
      <c r="E75" s="961"/>
      <c r="F75" s="961"/>
      <c r="G75" s="961"/>
      <c r="H75" s="961"/>
      <c r="I75" s="961"/>
      <c r="J75" s="961"/>
      <c r="K75" s="961"/>
      <c r="L75" s="961"/>
    </row>
    <row r="76" spans="1:12" s="1076" customFormat="1" ht="15.75">
      <c r="A76" s="1075"/>
      <c r="E76" s="961"/>
      <c r="F76" s="961"/>
      <c r="G76" s="961"/>
      <c r="H76" s="961"/>
      <c r="I76" s="961"/>
      <c r="J76" s="961"/>
      <c r="K76" s="961"/>
      <c r="L76" s="961"/>
    </row>
    <row r="77" spans="1:12" ht="16.5" thickBot="1">
      <c r="A77" s="1075" t="s">
        <v>3575</v>
      </c>
      <c r="B77" s="1076"/>
      <c r="C77" s="1076"/>
      <c r="D77" s="1076"/>
      <c r="E77" s="961"/>
      <c r="F77" s="961"/>
    </row>
    <row r="78" spans="1:12" ht="16.5" thickTop="1">
      <c r="A78" s="1236" t="s">
        <v>2816</v>
      </c>
      <c r="B78" s="1117"/>
      <c r="C78" s="1516"/>
      <c r="D78" s="1115"/>
      <c r="E78" s="961"/>
      <c r="F78" s="961"/>
    </row>
    <row r="79" spans="1:12" ht="15.75">
      <c r="A79" s="1519" t="s">
        <v>3809</v>
      </c>
      <c r="B79" s="1525" t="s">
        <v>3822</v>
      </c>
      <c r="C79" s="1078"/>
      <c r="D79" s="1118" t="e">
        <f>IF(FracFunding161715K!E24&lt;=0,'SOF1617-SB1'!J90,'SOF1617-SB1'!K90)</f>
        <v>#DIV/0!</v>
      </c>
      <c r="E79" s="961"/>
      <c r="F79" s="961"/>
    </row>
    <row r="80" spans="1:12" ht="15.75">
      <c r="A80" s="1519" t="s">
        <v>3810</v>
      </c>
      <c r="B80" s="1518" t="s">
        <v>3263</v>
      </c>
      <c r="C80" s="1526"/>
      <c r="D80" s="1118" t="e">
        <f>IF(FracFunding161715K!E24&lt;=0,'SOF1617-SB1'!J91,'SOF1617-SB1'!K91)</f>
        <v>#DIV/0!</v>
      </c>
      <c r="E80" s="961"/>
      <c r="F80" s="961"/>
    </row>
    <row r="81" spans="1:6" ht="15.75">
      <c r="A81" s="1519" t="s">
        <v>3811</v>
      </c>
      <c r="B81" s="1518" t="s">
        <v>3823</v>
      </c>
      <c r="C81" s="1078"/>
      <c r="D81" s="1118" t="e">
        <f>IF(FracFunding161715K!E24&lt;=0,'SOF1617-SB1'!J92,'SOF1617-SB1'!K92)</f>
        <v>#DIV/0!</v>
      </c>
      <c r="E81" s="961"/>
      <c r="F81" s="961"/>
    </row>
    <row r="82" spans="1:6" ht="15.75">
      <c r="A82" s="1519" t="s">
        <v>3812</v>
      </c>
      <c r="B82" s="1518" t="s">
        <v>3824</v>
      </c>
      <c r="C82" s="1078"/>
      <c r="D82" s="1118" t="e">
        <f>IF(FracFunding161715K!E24&lt;=0,'SOF1617-SB1'!J93,'SOF1617-SB1'!K93)</f>
        <v>#DIV/0!</v>
      </c>
      <c r="E82" s="961"/>
      <c r="F82" s="961"/>
    </row>
    <row r="83" spans="1:6" ht="15.75">
      <c r="A83" s="1519" t="s">
        <v>3813</v>
      </c>
      <c r="B83" s="1518" t="s">
        <v>3499</v>
      </c>
      <c r="C83" s="1078"/>
      <c r="D83" s="1118" t="e">
        <f>IF(FracFunding161715K!E24&lt;=0,'SOF1617-SB1'!J94,'SOF1617-SB1'!K94)</f>
        <v>#DIV/0!</v>
      </c>
      <c r="E83" s="961"/>
      <c r="F83" s="961"/>
    </row>
    <row r="84" spans="1:6" ht="15.75">
      <c r="A84" s="1519" t="s">
        <v>3814</v>
      </c>
      <c r="B84" s="1527" t="s">
        <v>3558</v>
      </c>
      <c r="C84" s="1078"/>
      <c r="D84" s="1118" t="e">
        <f>IF(FracFunding161715K!E24&lt;=0,'SOF1617-SB1'!J95,'SOF1617-SB1'!K95)</f>
        <v>#DIV/0!</v>
      </c>
      <c r="E84" s="961"/>
      <c r="F84" s="961"/>
    </row>
    <row r="85" spans="1:6" ht="15.75">
      <c r="A85" s="1519" t="s">
        <v>3815</v>
      </c>
      <c r="B85" s="1528" t="s">
        <v>3264</v>
      </c>
      <c r="C85" s="1078"/>
      <c r="D85" s="1118" t="e">
        <f>IF(FracFunding161715K!E24&lt;=0,'SOF1617-SB1'!J96,'SOF1617-SB1'!K96)</f>
        <v>#DIV/0!</v>
      </c>
      <c r="E85" s="961"/>
      <c r="F85" s="961"/>
    </row>
    <row r="86" spans="1:6" ht="16.5" thickBot="1">
      <c r="A86" s="1520" t="s">
        <v>3816</v>
      </c>
      <c r="B86" s="1529" t="s">
        <v>3559</v>
      </c>
      <c r="C86" s="1517"/>
      <c r="D86" s="1188" t="e">
        <f>IF(FracFunding161715K!E24&lt;=0,'SOF1617-SB1'!J97,'SOF1617-SB1'!K97)</f>
        <v>#DIV/0!</v>
      </c>
      <c r="E86" s="961"/>
      <c r="F86" s="961"/>
    </row>
    <row r="87" spans="1:6" ht="16.5" thickTop="1">
      <c r="B87" s="89"/>
      <c r="E87" s="961"/>
      <c r="F87" s="961"/>
    </row>
    <row r="88" spans="1:6" ht="16.5" thickBot="1">
      <c r="B88" s="89"/>
      <c r="E88" s="961"/>
      <c r="F88" s="961"/>
    </row>
    <row r="89" spans="1:6" ht="16.5" thickTop="1">
      <c r="A89" s="1236" t="s">
        <v>3488</v>
      </c>
      <c r="B89" s="1238"/>
      <c r="C89" s="1238"/>
      <c r="D89" s="1235"/>
      <c r="E89" s="961"/>
      <c r="F89" s="961"/>
    </row>
    <row r="90" spans="1:6" ht="15.75">
      <c r="A90" s="1519" t="s">
        <v>3817</v>
      </c>
      <c r="B90" s="1523" t="str">
        <f>CONCATENATE("Recapture at the $",Assumptions!G81," Level")</f>
        <v>Recapture at the $514000 Level</v>
      </c>
      <c r="C90" s="1521"/>
      <c r="D90" s="1118" t="e">
        <f>IF(FracFunding161715K!E24&lt;=0,'ASATR-SB1'!F24,'ASATR-SB1'!F39)</f>
        <v>#DIV/0!</v>
      </c>
      <c r="E90" s="961"/>
      <c r="F90" s="961"/>
    </row>
    <row r="91" spans="1:6" ht="15.75">
      <c r="A91" s="1519" t="s">
        <v>3818</v>
      </c>
      <c r="B91" s="1523" t="str">
        <f>CONCATENATE("Recapture at the $",Assumptions!G71," Level")</f>
        <v>Recapture at the $319500 Level</v>
      </c>
      <c r="C91" s="1521"/>
      <c r="D91" s="1118" t="e">
        <f>IF('Report-Recapture1617'!G141="Y",MIN('Option Costs-15K'!#REF!,'Option Costs-15K'!#REF!),MAX('Option Costs-15K'!#REF!,'Option Costs-15K'!#REF!))</f>
        <v>#REF!</v>
      </c>
      <c r="E91" s="961"/>
      <c r="F91" s="961"/>
    </row>
    <row r="92" spans="1:6" ht="15.75">
      <c r="A92" s="1519" t="s">
        <v>3819</v>
      </c>
      <c r="B92" s="1524" t="s">
        <v>3560</v>
      </c>
      <c r="C92" s="1521"/>
      <c r="D92" s="1239" t="e">
        <f>D90+D91</f>
        <v>#DIV/0!</v>
      </c>
      <c r="E92" s="961"/>
      <c r="F92" s="961"/>
    </row>
    <row r="93" spans="1:6" ht="15.75">
      <c r="A93" s="1519" t="s">
        <v>3820</v>
      </c>
      <c r="B93" s="1523" t="s">
        <v>3487</v>
      </c>
      <c r="C93" s="1521"/>
      <c r="D93" s="1240">
        <f>'Data Entry - SOF'!C96</f>
        <v>0</v>
      </c>
      <c r="E93" s="961"/>
      <c r="F93" s="961"/>
    </row>
    <row r="94" spans="1:6" ht="16.5" thickBot="1">
      <c r="A94" s="1520" t="s">
        <v>3821</v>
      </c>
      <c r="B94" s="1732" t="s">
        <v>4454</v>
      </c>
      <c r="C94" s="1522"/>
      <c r="D94" s="1188" t="e">
        <f>D92+D93</f>
        <v>#DIV/0!</v>
      </c>
      <c r="E94" s="961"/>
      <c r="F94" s="961"/>
    </row>
    <row r="95" spans="1:6" ht="13.5" thickTop="1"/>
  </sheetData>
  <hyperlinks>
    <hyperlink ref="B12" location="'Report-Calculations'!A1" display="Regular Program ADA (Line 1 - Line 3 - Line 4) (Link to Detail Report)"/>
    <hyperlink ref="B17" location="'Report-Calculations'!A1" display="Weighted ADA (WADA) (Link to Detail Report)"/>
    <hyperlink ref="B13" location="'Report-SpEd1516'!Print_Area" display="Special Education FTEs (Link to Detail Report)"/>
    <hyperlink ref="B32" location="'Report-M&amp;O1516'!Print_Area" display="2015-16 (current school year) M&amp;O Tax Collections (Link to Detail Report)"/>
    <hyperlink ref="B37" location="'Report-AA1516'!Print_Area" display="Adjusted Allotment (Link to Detail Report)"/>
    <hyperlink ref="B54" location="'Report-T1Detail1516'!Print_Area" display="Total Cost of Tier I (Link to Tier I Detail Report)"/>
    <hyperlink ref="B61" location="'Report-T2Detail1516'!Print_Area" display="Tier II (Link to Tier II Detail Report)"/>
    <hyperlink ref="B62" location="'Report-Other1516'!Print_Area" display="Other Programs (Link to Detail Report)"/>
    <hyperlink ref="B69" location="'Report-EDA1516'!Print_Area" display="599/5829 - EDA (Link to Detail Report)"/>
    <hyperlink ref="B70" location="'Report-IFA1516'!Print_Area" display="599/5829 - Instructional Facilities Allotment (Bond) (Link to Detail Report)"/>
    <hyperlink ref="B74" location="'Report-FSF1516'!A1" display="FSP Allocations and Adjustments Report (Link to Detail Report)"/>
    <hyperlink ref="B94" location="'Report-Recapture1516'!A1" display="Total 2015-16 Recapture Payments To TEA (Link to Detail Report)"/>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P139"/>
  <sheetViews>
    <sheetView topLeftCell="A39" workbookViewId="0">
      <selection activeCell="A22" sqref="A2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19.140625" style="1737" customWidth="1"/>
    <col min="10" max="11" width="20.7109375" customWidth="1"/>
    <col min="12" max="15" width="19.140625" style="1737" customWidth="1"/>
    <col min="16" max="16" width="20.7109375" customWidth="1"/>
    <col min="17" max="17" width="16.42578125" customWidth="1"/>
    <col min="18" max="18" width="15.140625" customWidth="1"/>
    <col min="19" max="19" width="13.5703125" style="49" customWidth="1"/>
    <col min="20" max="20" width="13.7109375" customWidth="1"/>
    <col min="42" max="42" width="15.5703125" customWidth="1"/>
    <col min="43" max="43" width="16" customWidth="1"/>
  </cols>
  <sheetData>
    <row r="1" spans="1:19">
      <c r="A1" s="23" t="s">
        <v>78</v>
      </c>
      <c r="C1" s="873">
        <f>'Data Entry - SOF'!B1</f>
        <v>0</v>
      </c>
      <c r="D1" s="35"/>
      <c r="E1" s="1031"/>
      <c r="F1" s="925" t="e">
        <f>#REF!</f>
        <v>#REF!</v>
      </c>
      <c r="G1" s="83"/>
      <c r="H1" s="83"/>
      <c r="I1" s="1736"/>
      <c r="L1" s="1736"/>
      <c r="M1" s="1736"/>
      <c r="N1" s="1736"/>
      <c r="O1" s="1736"/>
    </row>
    <row r="2" spans="1:19">
      <c r="A2" s="23" t="s">
        <v>79</v>
      </c>
      <c r="C2" s="15">
        <f>'Data Entry - SOF'!B2</f>
        <v>0</v>
      </c>
      <c r="F2" s="83" t="e">
        <f>#REF!</f>
        <v>#REF!</v>
      </c>
      <c r="G2" s="83"/>
      <c r="H2" s="83"/>
      <c r="I2" s="1736"/>
      <c r="L2" s="1736"/>
      <c r="M2" s="1736"/>
      <c r="N2" s="1736"/>
      <c r="O2" s="1736"/>
    </row>
    <row r="3" spans="1:19">
      <c r="A3" s="23" t="s">
        <v>164</v>
      </c>
      <c r="C3" s="87">
        <f ca="1">'Data Entry - SOF'!B3</f>
        <v>43146.631174305556</v>
      </c>
      <c r="F3" s="82" t="e">
        <f>#REF!</f>
        <v>#REF!</v>
      </c>
    </row>
    <row r="4" spans="1:19">
      <c r="D4" s="916" t="s">
        <v>1452</v>
      </c>
    </row>
    <row r="5" spans="1:19">
      <c r="D5" s="917" t="s">
        <v>3741</v>
      </c>
    </row>
    <row r="7" spans="1:19">
      <c r="D7" s="23" t="s">
        <v>1573</v>
      </c>
    </row>
    <row r="8" spans="1:19">
      <c r="B8" s="4"/>
      <c r="D8" s="23" t="s">
        <v>942</v>
      </c>
      <c r="F8" s="22">
        <f>'Calc Data-SB1'!C7</f>
        <v>0</v>
      </c>
      <c r="G8" s="21"/>
      <c r="H8" s="21"/>
      <c r="I8" s="1738"/>
      <c r="L8" s="1738"/>
      <c r="M8" s="1738"/>
      <c r="N8" s="1738"/>
      <c r="O8" s="1738"/>
    </row>
    <row r="9" spans="1:19">
      <c r="D9" s="23" t="s">
        <v>1574</v>
      </c>
      <c r="F9" s="22">
        <f>'Calc Data-SB1'!C8</f>
        <v>0</v>
      </c>
      <c r="G9" s="21"/>
      <c r="H9" s="21"/>
      <c r="I9" s="1738"/>
      <c r="L9" s="1738"/>
      <c r="M9" s="1738"/>
      <c r="N9" s="1738"/>
      <c r="O9" s="1738"/>
    </row>
    <row r="10" spans="1:19">
      <c r="D10" s="23" t="s">
        <v>466</v>
      </c>
      <c r="F10" s="22">
        <f>'Data Entry - SOF'!C32</f>
        <v>0</v>
      </c>
      <c r="G10" s="21"/>
      <c r="H10" s="21"/>
      <c r="I10" s="1738"/>
      <c r="L10" s="1738"/>
      <c r="M10" s="1738"/>
      <c r="N10" s="1738"/>
      <c r="O10" s="1738"/>
    </row>
    <row r="11" spans="1:19">
      <c r="B11" s="23"/>
      <c r="D11" s="23" t="s">
        <v>467</v>
      </c>
      <c r="F11" s="22">
        <f>'Calc Data-SB1'!C10</f>
        <v>0</v>
      </c>
      <c r="G11" s="21"/>
      <c r="H11" s="21"/>
      <c r="I11" s="1738"/>
      <c r="L11" s="1738"/>
      <c r="M11" s="1738"/>
      <c r="N11" s="1738"/>
      <c r="O11" s="1738"/>
    </row>
    <row r="12" spans="1:19">
      <c r="D12" s="23" t="s">
        <v>468</v>
      </c>
      <c r="F12" s="19">
        <f>'Data Entry - SOF'!C48</f>
        <v>0</v>
      </c>
      <c r="G12" s="19"/>
      <c r="H12" s="19"/>
      <c r="I12" s="1739"/>
      <c r="L12" s="1739"/>
      <c r="M12" s="1739"/>
      <c r="N12" s="1739"/>
      <c r="O12" s="1739"/>
    </row>
    <row r="13" spans="1:19">
      <c r="D13" s="23" t="s">
        <v>469</v>
      </c>
      <c r="F13" s="19" t="e">
        <f>'Data Entry - SOF'!#REF!</f>
        <v>#REF!</v>
      </c>
      <c r="G13" s="19"/>
      <c r="H13" s="19"/>
      <c r="I13" s="1739"/>
      <c r="L13" s="1739"/>
      <c r="M13" s="1739"/>
      <c r="N13" s="1739"/>
      <c r="O13" s="1739"/>
    </row>
    <row r="14" spans="1:19">
      <c r="D14" s="23" t="s">
        <v>2055</v>
      </c>
      <c r="F14" s="22">
        <f>'Data Entry - SOF'!C112</f>
        <v>0</v>
      </c>
      <c r="G14" s="19"/>
      <c r="H14" s="19"/>
      <c r="I14" s="1739"/>
      <c r="L14" s="1739"/>
      <c r="M14" s="1739"/>
      <c r="N14" s="1739"/>
      <c r="O14" s="1739"/>
    </row>
    <row r="15" spans="1:19">
      <c r="D15" s="23" t="s">
        <v>1319</v>
      </c>
      <c r="F15" s="22">
        <f>'Calc Data-SB1'!C59</f>
        <v>0</v>
      </c>
      <c r="G15" s="20"/>
      <c r="H15" s="20"/>
      <c r="I15" s="1740"/>
      <c r="L15" s="1740"/>
      <c r="M15" s="1740"/>
      <c r="N15" s="1740"/>
      <c r="O15" s="1740"/>
    </row>
    <row r="16" spans="1:19">
      <c r="D16" s="23" t="s">
        <v>2233</v>
      </c>
      <c r="F16" s="19">
        <f>'Data Entry - SOF'!C59</f>
        <v>0</v>
      </c>
      <c r="G16" s="19"/>
      <c r="H16" s="19"/>
      <c r="I16" s="1739"/>
      <c r="L16" s="1739"/>
      <c r="M16" s="1739"/>
      <c r="N16" s="1739"/>
      <c r="O16" s="1739"/>
      <c r="Q16" s="1048" t="s">
        <v>7299</v>
      </c>
      <c r="R16" s="2485" t="s">
        <v>7300</v>
      </c>
      <c r="S16"/>
    </row>
    <row r="17" spans="2:42" ht="13.5" thickBot="1">
      <c r="D17" s="31"/>
      <c r="E17" s="13"/>
      <c r="F17" s="13"/>
      <c r="G17" s="32"/>
      <c r="H17" s="32"/>
      <c r="I17" s="1741"/>
      <c r="J17" s="1741"/>
      <c r="K17" s="1741"/>
      <c r="L17" s="1741"/>
      <c r="M17" s="1741"/>
      <c r="N17" s="1741"/>
      <c r="O17" s="1741"/>
      <c r="Q17" s="1048" t="s">
        <v>3099</v>
      </c>
      <c r="R17" s="1481" t="s">
        <v>3104</v>
      </c>
      <c r="S17"/>
    </row>
    <row r="18" spans="2:42" ht="13.5" thickTop="1">
      <c r="D18" s="34"/>
      <c r="E18" s="35"/>
      <c r="F18" s="35"/>
      <c r="G18" s="32"/>
      <c r="H18" s="32"/>
      <c r="I18" s="1741"/>
      <c r="J18" s="1741"/>
      <c r="K18" s="1741"/>
      <c r="L18" s="1741" t="s">
        <v>4724</v>
      </c>
      <c r="M18" s="1741"/>
      <c r="N18" s="1741" t="s">
        <v>4724</v>
      </c>
      <c r="O18" s="1741"/>
      <c r="Q18" s="1048" t="s">
        <v>3100</v>
      </c>
      <c r="R18" s="1481" t="s">
        <v>3103</v>
      </c>
      <c r="S18" s="62"/>
    </row>
    <row r="19" spans="2:42" ht="15.75" hidden="1">
      <c r="D19" s="23"/>
      <c r="E19" s="973" t="s">
        <v>108</v>
      </c>
      <c r="F19" s="972" t="e">
        <f>IF(#REF!="y","ASATR DIST","FORMULA DIST")</f>
        <v>#REF!</v>
      </c>
      <c r="G19" s="23"/>
      <c r="H19" s="23"/>
      <c r="I19" s="1742"/>
      <c r="L19" s="1742"/>
      <c r="M19" s="1742"/>
      <c r="N19" s="1742"/>
      <c r="O19" s="1742"/>
      <c r="Q19" s="1047"/>
      <c r="R19" s="1053"/>
      <c r="S19"/>
      <c r="AP19" t="s">
        <v>2630</v>
      </c>
    </row>
    <row r="20" spans="2:42" ht="15.75">
      <c r="B20" s="28" t="s">
        <v>470</v>
      </c>
      <c r="D20" s="23"/>
      <c r="F20" s="960"/>
      <c r="G20" s="23"/>
      <c r="H20" s="28" t="s">
        <v>4483</v>
      </c>
      <c r="I20" s="1743" t="s">
        <v>4521</v>
      </c>
      <c r="J20" s="1825" t="s">
        <v>4511</v>
      </c>
      <c r="K20" s="194" t="s">
        <v>4483</v>
      </c>
      <c r="L20" s="1825" t="s">
        <v>4510</v>
      </c>
      <c r="M20" s="194" t="s">
        <v>4483</v>
      </c>
      <c r="N20" s="1825" t="s">
        <v>4511</v>
      </c>
      <c r="O20" s="194" t="s">
        <v>4483</v>
      </c>
      <c r="P20" s="1737"/>
      <c r="Q20" s="1048" t="s">
        <v>3613</v>
      </c>
      <c r="R20" s="1053"/>
      <c r="S20" s="1497" t="s">
        <v>4484</v>
      </c>
    </row>
    <row r="21" spans="2:42" ht="15.75">
      <c r="B21" s="28">
        <v>11</v>
      </c>
      <c r="D21" s="132" t="s">
        <v>3630</v>
      </c>
      <c r="F21" s="945">
        <f>ROUND(ROUND('Calc Data-SB1'!C23,0)*IF('Calc Data-SB1'!C11&gt;'Calc Data-SB1'!C10,'Calc Data-SB1'!C11,'Calc Data-SB1'!C10),0)*Weights!H4</f>
        <v>0</v>
      </c>
      <c r="G21" s="19"/>
      <c r="H21" s="1037">
        <f>ROUND(ROUND('Calc Data-SB1'!AB23,0)*IF('Calc Data-SB1'!C11&gt;'Calc Data-SB1'!C10,'Calc Data-SB1'!C11,'Calc Data-SB1'!C10),0)*Weights!H4</f>
        <v>0</v>
      </c>
      <c r="I21" s="1037"/>
      <c r="J21" s="1864">
        <f>F21</f>
        <v>0</v>
      </c>
      <c r="K21" s="1864">
        <f>H21</f>
        <v>0</v>
      </c>
      <c r="L21" s="2219"/>
      <c r="M21" s="1037">
        <f>ROUND(ROUND('Calc Data-SB1'!AB78,0)*IF('Calc Data-SB1'!C11&gt;'Calc Data-SB1'!C10,'Calc Data-SB1'!C11,'Calc Data-SB1'!C10),0)*Weights!H4</f>
        <v>0</v>
      </c>
      <c r="N21" s="2222"/>
      <c r="O21" s="2222"/>
      <c r="P21" s="1744"/>
      <c r="Q21" s="1037" t="e">
        <f>(ROUND(ROUND(S21,0)*IF('Calc Data-SB1'!C11&gt;'Calc Data-SB1'!C10,'Calc Data-SB1'!C11,'Calc Data-SB1'!C10),0))*Weights!I4</f>
        <v>#DIV/0!</v>
      </c>
      <c r="R21" s="1064" t="s">
        <v>7301</v>
      </c>
      <c r="S21" s="1069" t="e">
        <f>IF(FracFunding1617!E24&lt;=0,'Calc Data-SB1'!J23,'Calc Data-SB1'!W23)</f>
        <v>#DIV/0!</v>
      </c>
      <c r="AP21" s="19" t="e">
        <f>ROUND(ROUND('Calc Data-SB1'!AB23,0)*IF('Calc Data-SB1'!#REF!&gt;'Calc Data-SB1'!#REF!,'Calc Data-SB1'!#REF!,'Calc Data-SB1'!#REF!),0)</f>
        <v>#REF!</v>
      </c>
    </row>
    <row r="22" spans="2:42">
      <c r="B22" s="28">
        <v>23</v>
      </c>
      <c r="D22" s="23" t="s">
        <v>102</v>
      </c>
      <c r="F22" s="19">
        <f>ROUND('Calc Data-SB1'!C9*ROUND('Calc Data-SB1'!C23,0),0)</f>
        <v>0</v>
      </c>
      <c r="G22" s="19"/>
      <c r="H22" s="1038">
        <f>ROUND('Calc Data-SB1'!C9*ROUND('Calc Data-SB1'!AB23,0),0)</f>
        <v>0</v>
      </c>
      <c r="I22" s="1038"/>
      <c r="J22" s="1848">
        <f>F22</f>
        <v>0</v>
      </c>
      <c r="K22" s="1846">
        <f>H22</f>
        <v>0</v>
      </c>
      <c r="L22" s="1750"/>
      <c r="M22" s="1038">
        <f>ROUND('Calc Data-SB1'!C9*ROUND('Calc Data-SB1'!AB78,0),0)</f>
        <v>0</v>
      </c>
      <c r="N22" s="1846"/>
      <c r="O22" s="1846"/>
      <c r="P22" s="1739"/>
      <c r="Q22" s="1038" t="e">
        <f>ROUND('Calc Data-SB1'!C9*ROUND(S21,0),0)</f>
        <v>#DIV/0!</v>
      </c>
      <c r="R22" s="1053"/>
      <c r="S22"/>
      <c r="AP22" s="19" t="e">
        <f>ROUND('Calc Data-SB1'!#REF!*ROUND('Calc Data-SB1'!AB23,0),0)</f>
        <v>#REF!</v>
      </c>
    </row>
    <row r="23" spans="2:42">
      <c r="B23" s="28"/>
      <c r="D23" s="23" t="s">
        <v>103</v>
      </c>
      <c r="F23" s="47"/>
      <c r="H23" s="1039"/>
      <c r="I23" s="1039"/>
      <c r="J23" s="1847"/>
      <c r="K23" s="1847"/>
      <c r="L23" s="1067"/>
      <c r="M23" s="1067"/>
      <c r="N23" s="1847"/>
      <c r="O23" s="1847"/>
      <c r="P23" s="1745"/>
      <c r="Q23" s="1039"/>
      <c r="R23" s="1053"/>
      <c r="S23"/>
    </row>
    <row r="24" spans="2:42">
      <c r="B24" s="28">
        <v>23</v>
      </c>
      <c r="D24" s="23" t="s">
        <v>104</v>
      </c>
      <c r="F24" s="30">
        <f>ROUND('Data Entry - SOF'!C31*Weights!H21*ROUND('Calc Data-SB1'!C23,0),0)</f>
        <v>0</v>
      </c>
      <c r="G24" s="30"/>
      <c r="H24" s="1040">
        <f>ROUND('Data Entry - SOF'!C31*Weights!H21*ROUND('Calc Data-SB1'!AB23,0),0)</f>
        <v>0</v>
      </c>
      <c r="I24" s="1040"/>
      <c r="J24" s="1848">
        <f t="shared" ref="J24:J43" si="0">F24</f>
        <v>0</v>
      </c>
      <c r="K24" s="1846">
        <f t="shared" ref="K24:K43" si="1">H24</f>
        <v>0</v>
      </c>
      <c r="L24" s="1750"/>
      <c r="M24" s="1040">
        <f>ROUND('Data Entry - SOF'!C31*Weights!H21*ROUND('Calc Data-SB1'!AB78,0),0)</f>
        <v>0</v>
      </c>
      <c r="N24" s="2223"/>
      <c r="O24" s="2223"/>
      <c r="P24" s="30"/>
      <c r="Q24" s="1040" t="e">
        <f>ROUND('Data Entry - SOF'!C31*Weights!I21*ROUND(S21,0),0)</f>
        <v>#DIV/0!</v>
      </c>
      <c r="R24" s="1053"/>
      <c r="S24"/>
      <c r="AP24" s="30" t="e">
        <f>ROUND('Data Entry - SOF'!#REF!*1.1*ROUND('Calc Data-SB1'!AB23,0),0)</f>
        <v>#REF!</v>
      </c>
    </row>
    <row r="25" spans="2:42">
      <c r="B25" s="28">
        <v>23</v>
      </c>
      <c r="D25" s="23" t="s">
        <v>105</v>
      </c>
      <c r="F25" s="19">
        <f>ROUND((+'Data Entry - SOF'!C29*Weights!H19)*ROUND('Calc Data-SB1'!C23,0),0)</f>
        <v>0</v>
      </c>
      <c r="G25" s="19"/>
      <c r="H25" s="1038">
        <f>ROUND((+'Data Entry - SOF'!C29*Weights!H19)*ROUND('Calc Data-SB1'!AB23,0),0)</f>
        <v>0</v>
      </c>
      <c r="I25" s="1038"/>
      <c r="J25" s="1848">
        <f t="shared" si="0"/>
        <v>0</v>
      </c>
      <c r="K25" s="1846">
        <f t="shared" si="1"/>
        <v>0</v>
      </c>
      <c r="L25" s="1750"/>
      <c r="M25" s="1038">
        <f>ROUND((+'Data Entry - SOF'!C29*Weights!H19)*ROUND('Calc Data-SB1'!AB78,0),0)</f>
        <v>0</v>
      </c>
      <c r="N25" s="1846"/>
      <c r="O25" s="1846"/>
      <c r="P25" s="1739"/>
      <c r="Q25" s="1038" t="e">
        <f>ROUND((+'Data Entry - SOF'!C29*Weights!I19)*ROUND(S21,0),0)</f>
        <v>#DIV/0!</v>
      </c>
      <c r="R25" s="1053"/>
      <c r="S25"/>
      <c r="AP25" s="19" t="e">
        <f>ROUND((+'Data Entry - SOF'!#REF!*4)*ROUND('Calc Data-SB1'!AB23,0),0)</f>
        <v>#REF!</v>
      </c>
    </row>
    <row r="26" spans="2:42">
      <c r="B26" s="28">
        <v>23</v>
      </c>
      <c r="D26" s="25" t="s">
        <v>919</v>
      </c>
      <c r="F26" s="19">
        <f>ROUND((+'Data Entry - SOF'!C27*Weights!H17)*ROUND('Calc Data-SB1'!C23,0),0)</f>
        <v>0</v>
      </c>
      <c r="G26" s="19"/>
      <c r="H26" s="1038">
        <f>ROUND((+'Data Entry - SOF'!C27*Weights!H17)*ROUND('Calc Data-SB1'!AB23,0),0)</f>
        <v>0</v>
      </c>
      <c r="I26" s="1038"/>
      <c r="J26" s="1848">
        <f t="shared" si="0"/>
        <v>0</v>
      </c>
      <c r="K26" s="1846">
        <f t="shared" si="1"/>
        <v>0</v>
      </c>
      <c r="L26" s="1750"/>
      <c r="M26" s="1038">
        <f>ROUND((+'Data Entry - SOF'!C27*Weights!H17)*ROUND('Calc Data-SB1'!AB78,0),0)</f>
        <v>0</v>
      </c>
      <c r="N26" s="1846"/>
      <c r="O26" s="1846"/>
      <c r="P26" s="1739"/>
      <c r="Q26" s="1038" t="e">
        <f>ROUND((+'Data Entry - SOF'!C27*Weights!I17)*ROUND(S21,0),0)</f>
        <v>#DIV/0!</v>
      </c>
      <c r="R26" s="1053"/>
      <c r="S26"/>
      <c r="AP26" s="19" t="e">
        <f>ROUND((+'Data Entry - SOF'!#REF!*2.8)*ROUND('Calc Data-SB1'!AB23,0),0)</f>
        <v>#REF!</v>
      </c>
    </row>
    <row r="27" spans="2:42">
      <c r="B27" s="28">
        <v>23</v>
      </c>
      <c r="D27" s="25" t="s">
        <v>920</v>
      </c>
      <c r="F27" s="19">
        <f>ROUND(('Data Entry - SOF'!C28*Weights!H18)*ROUND('Calc Data-SB1'!C23,0),0)</f>
        <v>0</v>
      </c>
      <c r="G27" s="19"/>
      <c r="H27" s="1038">
        <f>ROUND(('Data Entry - SOF'!C28*Weights!H18)*ROUND('Calc Data-SB1'!AB23,0),0)</f>
        <v>0</v>
      </c>
      <c r="I27" s="1038"/>
      <c r="J27" s="1848">
        <f t="shared" si="0"/>
        <v>0</v>
      </c>
      <c r="K27" s="1846">
        <f t="shared" si="1"/>
        <v>0</v>
      </c>
      <c r="L27" s="1750"/>
      <c r="M27" s="1038">
        <f>ROUND(('Data Entry - SOF'!C28*Weights!H18)*ROUND('Calc Data-SB1'!AB78,0),0)</f>
        <v>0</v>
      </c>
      <c r="N27" s="1846"/>
      <c r="O27" s="1846"/>
      <c r="P27" s="1739"/>
      <c r="Q27" s="1038" t="e">
        <f>ROUND(('Data Entry - SOF'!C28*Weights!I18)*ROUND(S21,0),0)</f>
        <v>#DIV/0!</v>
      </c>
      <c r="R27" s="1053"/>
      <c r="S27"/>
      <c r="AP27" s="19" t="e">
        <f>ROUND(('Data Entry - SOF'!#REF!*1.7)*ROUND('Calc Data-SB1'!AB23,0),0)</f>
        <v>#REF!</v>
      </c>
    </row>
    <row r="28" spans="2:42">
      <c r="B28" s="28"/>
      <c r="D28" s="23" t="s">
        <v>1308</v>
      </c>
      <c r="F28" s="19">
        <f>IF('Data Entry - SOF'!C71&lt;0,'Data Entry - SOF'!C71,'Data Entry - SOF'!C71*-1)</f>
        <v>0</v>
      </c>
      <c r="G28" s="19"/>
      <c r="H28" s="1038">
        <f>IF('Data Entry - SOF'!C71&lt;0,'Data Entry - SOF'!C71,'Data Entry - SOF'!C71*-1)</f>
        <v>0</v>
      </c>
      <c r="I28" s="1038"/>
      <c r="J28" s="1848">
        <f t="shared" si="0"/>
        <v>0</v>
      </c>
      <c r="K28" s="1846">
        <f t="shared" si="1"/>
        <v>0</v>
      </c>
      <c r="L28" s="1750"/>
      <c r="M28" s="1038">
        <f>IF('Data Entry - SOF'!C71&lt;0,'Data Entry - SOF'!C71,'Data Entry - SOF'!C71*-1)</f>
        <v>0</v>
      </c>
      <c r="N28" s="1846"/>
      <c r="O28" s="1846"/>
      <c r="P28" s="1739"/>
      <c r="Q28" s="1038">
        <f>IF('Data Entry - SOF'!C71&lt;0,'Data Entry - SOF'!C71,'Data Entry - SOF'!C71*-1)</f>
        <v>0</v>
      </c>
      <c r="R28" s="1053"/>
      <c r="S28"/>
      <c r="AP28" s="19">
        <v>0</v>
      </c>
    </row>
    <row r="29" spans="2:42">
      <c r="B29" s="28">
        <v>22</v>
      </c>
      <c r="C29" s="17"/>
      <c r="D29" s="23" t="s">
        <v>119</v>
      </c>
      <c r="F29" s="19">
        <f>ROUND(ROUND('Calc Data-SB1'!C23,0)*'Data Entry - SOF'!C32*Weights!H23,0)</f>
        <v>0</v>
      </c>
      <c r="G29" s="19"/>
      <c r="H29" s="1038">
        <f>ROUND(ROUND('Calc Data-SB1'!AB23,0)*'Data Entry - SOF'!C32*Weights!H23,0)</f>
        <v>0</v>
      </c>
      <c r="I29" s="1038"/>
      <c r="J29" s="1848">
        <f t="shared" si="0"/>
        <v>0</v>
      </c>
      <c r="K29" s="1846">
        <f t="shared" si="1"/>
        <v>0</v>
      </c>
      <c r="L29" s="1750"/>
      <c r="M29" s="1038">
        <f>ROUND(ROUND('Calc Data-SB1'!AB78,0)*'Data Entry - SOF'!C32*Weights!H23,0)</f>
        <v>0</v>
      </c>
      <c r="N29" s="1846"/>
      <c r="O29" s="1846"/>
      <c r="P29" s="1739"/>
      <c r="Q29" s="1038" t="e">
        <f>ROUND(ROUND(S21,0)*'Data Entry - SOF'!C32*Weights!I23,0)</f>
        <v>#DIV/0!</v>
      </c>
      <c r="R29" s="1053"/>
      <c r="S29"/>
      <c r="AP29" s="19" t="e">
        <f>ROUND(ROUND('Calc Data-SB1'!AB23,0)*'Data Entry - SOF'!#REF!*1.35,0)</f>
        <v>#REF!</v>
      </c>
    </row>
    <row r="30" spans="2:42">
      <c r="B30" s="28"/>
      <c r="C30" s="17"/>
      <c r="D30" s="47" t="s">
        <v>716</v>
      </c>
      <c r="F30" s="19">
        <f>Weights!H24*'Data Entry - SOF'!C33</f>
        <v>0</v>
      </c>
      <c r="G30" s="19"/>
      <c r="H30" s="1038">
        <f>Weights!H24*'Data Entry - SOF'!C33</f>
        <v>0</v>
      </c>
      <c r="I30" s="1038"/>
      <c r="J30" s="1848">
        <f t="shared" si="0"/>
        <v>0</v>
      </c>
      <c r="K30" s="1846">
        <f t="shared" si="1"/>
        <v>0</v>
      </c>
      <c r="L30" s="1750"/>
      <c r="M30" s="1038">
        <f>Weights!H24*'Data Entry - SOF'!C33</f>
        <v>0</v>
      </c>
      <c r="N30" s="1846"/>
      <c r="O30" s="1846"/>
      <c r="P30" s="1739"/>
      <c r="Q30" s="1038">
        <f>Weights!I24*'Data Entry - SOF'!C33</f>
        <v>0</v>
      </c>
      <c r="R30" s="1053"/>
      <c r="S30"/>
      <c r="AP30" s="19"/>
    </row>
    <row r="31" spans="2:42">
      <c r="B31" s="28"/>
      <c r="C31" s="17"/>
      <c r="D31" s="47" t="s">
        <v>717</v>
      </c>
      <c r="F31" s="19">
        <f>400*'Data Entry - SOF'!C34</f>
        <v>0</v>
      </c>
      <c r="G31" s="19"/>
      <c r="H31" s="1038">
        <f>400*'Data Entry - SOF'!C34</f>
        <v>0</v>
      </c>
      <c r="I31" s="1038"/>
      <c r="J31" s="1848">
        <f t="shared" si="0"/>
        <v>0</v>
      </c>
      <c r="K31" s="1846">
        <f t="shared" si="1"/>
        <v>0</v>
      </c>
      <c r="L31" s="1750"/>
      <c r="M31" s="1750"/>
      <c r="N31" s="1846"/>
      <c r="O31" s="1846"/>
      <c r="P31" s="1739"/>
      <c r="Q31" s="1038">
        <f>400*'Data Entry - SOF'!C34</f>
        <v>0</v>
      </c>
      <c r="R31" s="1053"/>
      <c r="S31"/>
      <c r="AP31" s="19"/>
    </row>
    <row r="32" spans="2:42">
      <c r="B32" s="28"/>
      <c r="C32" s="17"/>
      <c r="D32" s="47" t="s">
        <v>718</v>
      </c>
      <c r="F32" s="19">
        <f>80*'Data Entry - SOF'!C35</f>
        <v>0</v>
      </c>
      <c r="G32" s="19"/>
      <c r="H32" s="1038">
        <f>80*'Data Entry - SOF'!C35</f>
        <v>0</v>
      </c>
      <c r="I32" s="1038"/>
      <c r="J32" s="1848">
        <f t="shared" si="0"/>
        <v>0</v>
      </c>
      <c r="K32" s="1846">
        <f t="shared" si="1"/>
        <v>0</v>
      </c>
      <c r="L32" s="1750"/>
      <c r="M32" s="1750"/>
      <c r="N32" s="1846"/>
      <c r="O32" s="1846"/>
      <c r="P32" s="1739"/>
      <c r="Q32" s="1038">
        <f>80*'Data Entry - SOF'!C35</f>
        <v>0</v>
      </c>
      <c r="R32" s="1053"/>
      <c r="S32"/>
      <c r="AP32" s="19"/>
    </row>
    <row r="33" spans="2:42">
      <c r="B33" s="28">
        <v>21</v>
      </c>
      <c r="D33" s="23" t="s">
        <v>3030</v>
      </c>
      <c r="F33" s="19">
        <f>ROUND(ROUND('Calc Data-SB1'!C23,0)*'Data Entry - SOF'!C157*Weights!H28,0)</f>
        <v>0</v>
      </c>
      <c r="G33" s="19"/>
      <c r="H33" s="1038">
        <f>ROUND(ROUND('Calc Data-SB1'!AB23,0)*'Data Entry - SOF'!C157*Weights!H28,0)</f>
        <v>0</v>
      </c>
      <c r="I33" s="1038"/>
      <c r="J33" s="1848">
        <f t="shared" si="0"/>
        <v>0</v>
      </c>
      <c r="K33" s="1846">
        <f t="shared" si="1"/>
        <v>0</v>
      </c>
      <c r="L33" s="1750"/>
      <c r="M33" s="1038">
        <f>ROUND(ROUND('Calc Data-SB1'!AB78,0)*'Data Entry - SOF'!C157*Weights!H28,0)</f>
        <v>0</v>
      </c>
      <c r="N33" s="1846"/>
      <c r="O33" s="1846"/>
      <c r="P33" s="1739"/>
      <c r="Q33" s="1038" t="e">
        <f>ROUND(ROUND(S21,0)*'Data Entry - SOF'!C157*Weights!I28,0)</f>
        <v>#DIV/0!</v>
      </c>
      <c r="R33" s="1053"/>
      <c r="S33"/>
      <c r="AP33" s="19" t="e">
        <f>ROUND(ROUND('Calc Data-SB1'!AB23,0)*'Data Entry - SOF'!#REF!*0.12,0)</f>
        <v>#REF!</v>
      </c>
    </row>
    <row r="34" spans="2:42">
      <c r="B34" s="28"/>
      <c r="D34" s="23" t="s">
        <v>433</v>
      </c>
      <c r="F34" s="19">
        <f>IF('Data Entry - SOF'!C70&lt;0,'Data Entry - SOF'!C70,'Data Entry - SOF'!C70*-1)</f>
        <v>0</v>
      </c>
      <c r="G34" s="19"/>
      <c r="H34" s="1038">
        <f>IF('Data Entry - SOF'!C70&lt;0,'Data Entry - SOF'!C70,'Data Entry - SOF'!C70*-1)</f>
        <v>0</v>
      </c>
      <c r="I34" s="1038"/>
      <c r="J34" s="1848">
        <f t="shared" si="0"/>
        <v>0</v>
      </c>
      <c r="K34" s="1846">
        <f t="shared" si="1"/>
        <v>0</v>
      </c>
      <c r="L34" s="1750"/>
      <c r="M34" s="1038">
        <f>IF('Data Entry - SOF'!C70&lt;0,'Data Entry - SOF'!C70,'Data Entry - SOF'!C70*-1)</f>
        <v>0</v>
      </c>
      <c r="N34" s="1846"/>
      <c r="O34" s="1846"/>
      <c r="P34" s="1739"/>
      <c r="Q34" s="1038">
        <f>IF('Data Entry - SOF'!C70&lt;0,'Data Entry - SOF'!C70,'Data Entry - SOF'!C70*-1)</f>
        <v>0</v>
      </c>
      <c r="R34" s="1053"/>
      <c r="S34"/>
      <c r="AP34" s="19">
        <v>0</v>
      </c>
    </row>
    <row r="35" spans="2:42">
      <c r="B35" s="28" t="s">
        <v>2857</v>
      </c>
      <c r="D35" s="23" t="s">
        <v>434</v>
      </c>
      <c r="F35" s="19">
        <f>ROUND(ROUND('Calc Data-SB1'!C23,0)*'Data Entry - SOF'!C36*Weights!H30,0)</f>
        <v>0</v>
      </c>
      <c r="G35" s="19"/>
      <c r="H35" s="1038">
        <f>ROUND(ROUND('Calc Data-SB1'!AB23,0)*'Data Entry - SOF'!C36*Weights!H30,0)</f>
        <v>0</v>
      </c>
      <c r="I35" s="1038"/>
      <c r="J35" s="1848">
        <f t="shared" si="0"/>
        <v>0</v>
      </c>
      <c r="K35" s="1846">
        <f t="shared" si="1"/>
        <v>0</v>
      </c>
      <c r="L35" s="1750"/>
      <c r="M35" s="1038">
        <f>ROUND(ROUND('Calc Data-SB1'!AB78,0)*'Data Entry - SOF'!C36*Weights!H30,0)</f>
        <v>0</v>
      </c>
      <c r="N35" s="1846"/>
      <c r="O35" s="1846"/>
      <c r="P35" s="1739"/>
      <c r="Q35" s="1038" t="e">
        <f>ROUND(ROUND(S21,0)*'Data Entry - SOF'!C36*Weights!I30,0)</f>
        <v>#DIV/0!</v>
      </c>
      <c r="R35" s="1053"/>
      <c r="S35"/>
      <c r="AP35" s="19" t="e">
        <f>ROUND(ROUND('Calc Data-SB1'!AB23,0)*'Data Entry - SOF'!#REF!*0.2,0)</f>
        <v>#REF!</v>
      </c>
    </row>
    <row r="36" spans="2:42">
      <c r="B36" s="28" t="s">
        <v>2857</v>
      </c>
      <c r="D36" s="23" t="s">
        <v>435</v>
      </c>
      <c r="F36" s="19">
        <f>ROUND(ROUND('Calc Data-SB1'!C23,0)*'Data Entry - SOF'!C37*Weights!H31,0)</f>
        <v>0</v>
      </c>
      <c r="G36" s="19"/>
      <c r="H36" s="1038">
        <f>ROUND(ROUND('Calc Data-SB1'!AB23,0)*'Data Entry - SOF'!C37*Weights!H31,0)</f>
        <v>0</v>
      </c>
      <c r="I36" s="1038"/>
      <c r="J36" s="1848">
        <f t="shared" si="0"/>
        <v>0</v>
      </c>
      <c r="K36" s="1846">
        <f t="shared" si="1"/>
        <v>0</v>
      </c>
      <c r="L36" s="1750"/>
      <c r="M36" s="1038">
        <f>ROUND(ROUND('Calc Data-SB1'!AB78,0)*'Data Entry - SOF'!C37*Weights!H31,0)</f>
        <v>0</v>
      </c>
      <c r="N36" s="1846"/>
      <c r="O36" s="1846"/>
      <c r="P36" s="1739"/>
      <c r="Q36" s="1038" t="e">
        <f>ROUND(ROUND(S21,0)*'Data Entry - SOF'!C37*Weights!I31,0)</f>
        <v>#DIV/0!</v>
      </c>
      <c r="R36" s="1053"/>
      <c r="S36"/>
      <c r="AP36" s="19" t="e">
        <f>ROUND(ROUND('Calc Data-SB1'!AB23,0)*'Data Entry - SOF'!#REF!*2.41,0)</f>
        <v>#REF!</v>
      </c>
    </row>
    <row r="37" spans="2:42">
      <c r="B37" s="28" t="s">
        <v>2857</v>
      </c>
      <c r="D37" s="97" t="s">
        <v>491</v>
      </c>
      <c r="E37" s="944"/>
      <c r="F37" s="19">
        <f>650*'Data Entry - SOF'!C38</f>
        <v>0</v>
      </c>
      <c r="G37" s="19"/>
      <c r="H37" s="1038">
        <f>650*'Data Entry - SOF'!C38</f>
        <v>0</v>
      </c>
      <c r="I37" s="1038"/>
      <c r="J37" s="1848">
        <f t="shared" si="0"/>
        <v>0</v>
      </c>
      <c r="K37" s="1846">
        <f t="shared" si="1"/>
        <v>0</v>
      </c>
      <c r="L37" s="1750"/>
      <c r="M37" s="1750"/>
      <c r="N37" s="1846"/>
      <c r="O37" s="1846"/>
      <c r="P37" s="1739"/>
      <c r="Q37" s="1038">
        <f>650*'Data Entry - SOF'!C38</f>
        <v>0</v>
      </c>
      <c r="R37" s="1053"/>
      <c r="S37"/>
      <c r="AP37" s="19"/>
    </row>
    <row r="38" spans="2:42">
      <c r="B38" s="28"/>
      <c r="D38" s="23" t="s">
        <v>1397</v>
      </c>
      <c r="F38" s="90">
        <v>0</v>
      </c>
      <c r="G38" s="19"/>
      <c r="H38" s="1041">
        <v>0</v>
      </c>
      <c r="I38" s="1041"/>
      <c r="J38" s="1848">
        <f t="shared" si="0"/>
        <v>0</v>
      </c>
      <c r="K38" s="1846">
        <f t="shared" si="1"/>
        <v>0</v>
      </c>
      <c r="L38" s="1750"/>
      <c r="M38" s="1750"/>
      <c r="N38" s="1848"/>
      <c r="O38" s="1848"/>
      <c r="P38" s="1746"/>
      <c r="Q38" s="1041">
        <v>0</v>
      </c>
      <c r="R38" s="1053"/>
      <c r="S38"/>
      <c r="AP38" s="19">
        <v>0</v>
      </c>
    </row>
    <row r="39" spans="2:42">
      <c r="B39" s="28">
        <v>25</v>
      </c>
      <c r="D39" s="23" t="s">
        <v>1297</v>
      </c>
      <c r="F39" s="19">
        <f>ROUND(ROUND('Calc Data-SB1'!C23,0)*('Data Entry - SOF'!C39*Weights!H26),0)</f>
        <v>0</v>
      </c>
      <c r="G39" s="19"/>
      <c r="H39" s="1038">
        <f>ROUND(ROUND('Calc Data-SB1'!AB23,0)*('Data Entry - SOF'!C39*Weights!H26),0)</f>
        <v>0</v>
      </c>
      <c r="I39" s="1038"/>
      <c r="J39" s="1848">
        <f t="shared" si="0"/>
        <v>0</v>
      </c>
      <c r="K39" s="1846">
        <f t="shared" si="1"/>
        <v>0</v>
      </c>
      <c r="L39" s="1750"/>
      <c r="M39" s="1038">
        <f>ROUND(ROUND('Calc Data-SB1'!AB78,0)*('Data Entry - SOF'!C39*Weights!H26),0)</f>
        <v>0</v>
      </c>
      <c r="N39" s="1846"/>
      <c r="O39" s="1846"/>
      <c r="P39" s="1739"/>
      <c r="Q39" s="1038" t="e">
        <f>ROUND(ROUND(S21,0)*('Data Entry - SOF'!C39*Weights!I26),0)</f>
        <v>#DIV/0!</v>
      </c>
      <c r="R39" s="1053"/>
      <c r="S39"/>
      <c r="AP39" s="19" t="e">
        <f>ROUND(ROUND('Calc Data-SB1'!AB23,0)*('Data Entry - SOF'!#REF!*0.1),0)</f>
        <v>#REF!</v>
      </c>
    </row>
    <row r="40" spans="2:42">
      <c r="B40" s="28">
        <v>31</v>
      </c>
      <c r="D40" s="47" t="s">
        <v>2792</v>
      </c>
      <c r="F40" s="19">
        <f>Weights!H33*'Data Entry - SOF'!C18</f>
        <v>0</v>
      </c>
      <c r="G40" s="19"/>
      <c r="H40" s="1038">
        <f>Weights!H33*'Data Entry - SOF'!C18</f>
        <v>0</v>
      </c>
      <c r="I40" s="1038"/>
      <c r="J40" s="1848">
        <f t="shared" si="0"/>
        <v>0</v>
      </c>
      <c r="K40" s="1846">
        <f t="shared" si="1"/>
        <v>0</v>
      </c>
      <c r="L40" s="1750"/>
      <c r="M40" s="1038">
        <f>Weights!H33*'Data Entry - SOF'!C18</f>
        <v>0</v>
      </c>
      <c r="N40" s="1846"/>
      <c r="O40" s="1846"/>
      <c r="P40" s="1739"/>
      <c r="Q40" s="1038">
        <f>Weights!I33*'Data Entry - SOF'!C18</f>
        <v>0</v>
      </c>
      <c r="R40" s="1053"/>
      <c r="S40"/>
      <c r="AP40" s="19" t="e">
        <f>#REF!</f>
        <v>#REF!</v>
      </c>
    </row>
    <row r="41" spans="2:42">
      <c r="B41" s="28"/>
      <c r="D41" s="23" t="s">
        <v>984</v>
      </c>
      <c r="F41" s="19">
        <f>ROUND(ROUND('Calc Data-SB1'!C23,0)*'Data Entry - SOF'!C41*Weights!H37,0)</f>
        <v>0</v>
      </c>
      <c r="G41" s="19"/>
      <c r="H41" s="1038">
        <f>ROUND(ROUND('Calc Data-SB1'!AB23,0)*'Data Entry - SOF'!C41*Weights!H37,0)</f>
        <v>0</v>
      </c>
      <c r="I41" s="1038"/>
      <c r="J41" s="1848">
        <f t="shared" si="0"/>
        <v>0</v>
      </c>
      <c r="K41" s="1846">
        <f t="shared" si="1"/>
        <v>0</v>
      </c>
      <c r="L41" s="1750"/>
      <c r="M41" s="1038">
        <f>ROUND(ROUND('Calc Data-SB1'!AB78,0)*'Data Entry - SOF'!C41*Weights!H37,0)</f>
        <v>0</v>
      </c>
      <c r="N41" s="1846"/>
      <c r="O41" s="1846"/>
      <c r="P41" s="1739"/>
      <c r="Q41" s="1038" t="e">
        <f>ROUND(ROUND(S21,0)*'Data Entry - SOF'!C41*Weights!I37,0)</f>
        <v>#DIV/0!</v>
      </c>
      <c r="R41" s="1053"/>
      <c r="S41"/>
      <c r="AP41" s="19" t="e">
        <f>ROUND(ROUND('Calc Data-SB1'!AB23,0)*'Data Entry - SOF'!#REF!*0.1,0)</f>
        <v>#REF!</v>
      </c>
    </row>
    <row r="42" spans="2:42">
      <c r="B42" s="28"/>
      <c r="D42" s="47" t="s">
        <v>4482</v>
      </c>
      <c r="F42" s="116">
        <f>ROUND('Data Entry - SOF'!C42*Weights!H35,0)</f>
        <v>0</v>
      </c>
      <c r="G42" s="19"/>
      <c r="H42" s="1038">
        <f>F42</f>
        <v>0</v>
      </c>
      <c r="I42" s="1042"/>
      <c r="J42" s="1848">
        <f t="shared" si="0"/>
        <v>0</v>
      </c>
      <c r="K42" s="1846">
        <f t="shared" si="1"/>
        <v>0</v>
      </c>
      <c r="L42" s="1750"/>
      <c r="M42" s="1038">
        <f>ROUND('Data Entry - SOF'!C42*Weights!H35,0)</f>
        <v>0</v>
      </c>
      <c r="N42" s="2224"/>
      <c r="O42" s="2224"/>
      <c r="P42" s="1747"/>
      <c r="Q42" s="1042">
        <f>'Report-SOF1617'!D51</f>
        <v>0</v>
      </c>
      <c r="R42" s="1053"/>
      <c r="S42"/>
      <c r="AP42" s="19" t="e">
        <f>'Data Entry - SOF'!#REF!*250</f>
        <v>#REF!</v>
      </c>
    </row>
    <row r="43" spans="2:42">
      <c r="B43" s="28">
        <v>99</v>
      </c>
      <c r="D43" s="23" t="s">
        <v>2385</v>
      </c>
      <c r="F43" s="29">
        <f>'Data Entry - SOF'!C66</f>
        <v>0</v>
      </c>
      <c r="G43" s="32"/>
      <c r="H43" s="1043">
        <f>'Data Entry - SOF'!C66</f>
        <v>0</v>
      </c>
      <c r="I43" s="1824"/>
      <c r="J43" s="1848">
        <f t="shared" si="0"/>
        <v>0</v>
      </c>
      <c r="K43" s="1846">
        <f t="shared" si="1"/>
        <v>0</v>
      </c>
      <c r="L43" s="1750"/>
      <c r="M43" s="1043">
        <f>'Data Entry - SOF'!C66</f>
        <v>0</v>
      </c>
      <c r="N43" s="2225"/>
      <c r="O43" s="2226"/>
      <c r="P43" s="1815"/>
      <c r="Q43" s="1043">
        <f>'Data Entry - SOF'!C66</f>
        <v>0</v>
      </c>
      <c r="R43" s="1048" t="s">
        <v>2949</v>
      </c>
      <c r="S43"/>
      <c r="AP43" s="29" t="e">
        <f>'Data Entry - SOF'!#REF!</f>
        <v>#REF!</v>
      </c>
    </row>
    <row r="44" spans="2:42">
      <c r="D44" s="23" t="s">
        <v>576</v>
      </c>
      <c r="F44" s="19">
        <f>SUM(F21:F43)</f>
        <v>0</v>
      </c>
      <c r="G44" s="19"/>
      <c r="H44" s="1038">
        <f>SUM(H21:H43)</f>
        <v>0</v>
      </c>
      <c r="I44" s="1750">
        <f>H44-F44</f>
        <v>0</v>
      </c>
      <c r="J44" s="1849">
        <f>F44</f>
        <v>0</v>
      </c>
      <c r="K44" s="1849">
        <f>H44</f>
        <v>0</v>
      </c>
      <c r="L44" s="2220"/>
      <c r="M44" s="1038">
        <f>SUM(M21:M43)</f>
        <v>0</v>
      </c>
      <c r="N44" s="1809"/>
      <c r="O44" s="1846">
        <f>M44</f>
        <v>0</v>
      </c>
      <c r="P44" s="1927"/>
      <c r="Q44" s="1044" t="e">
        <f>SUM(Q21:Q43)</f>
        <v>#DIV/0!</v>
      </c>
      <c r="R44" s="974" t="e">
        <f>ROUND((('SOF1617-SB1'!Q44-'SOF1617-SB1'!Q43-'SOF1617-SB1'!Q42-'SOF1617-SB1'!Q40-'SOF1617-SB1'!Q28)-(((IF(FracFunding1617!E24&lt;=0,'Calc Data-SB1'!J20-'Calc Data-SB1'!J19,'Calc Data-SB1'!W20-'Calc Data-SB1'!W19))*0.5)/IF(FracFunding1617!E24&lt;=0,'Calc Data-SB1'!J20,'Calc Data-SB1'!W20))*('SOF1617-SB1'!Q44-'SOF1617-SB1'!Q43-'SOF1617-SB1'!Q42-'SOF1617-SB1'!Q40-'SOF1617-SB1'!Q28))/IF(FracFunding1617!E24&lt;=0,'Calc Data-SB1'!J19,'Calc Data-SB1'!W19),3)</f>
        <v>#DIV/0!</v>
      </c>
      <c r="S44"/>
      <c r="AP44" s="19" t="e">
        <f>SUM(AP21:AP43)</f>
        <v>#REF!</v>
      </c>
    </row>
    <row r="45" spans="2:42">
      <c r="D45" s="23" t="s">
        <v>890</v>
      </c>
      <c r="F45" s="36">
        <f>IF(C2="084-906",33643302,IF('Data Entry - SOF'!C108&gt;1,1*('Data Entry - SOF'!C48/100),'Data Entry - SOF'!C108*('Data Entry - SOF'!C48/100)))</f>
        <v>0</v>
      </c>
      <c r="G45" s="59"/>
      <c r="H45" s="1045">
        <f>IF(C2="084-906",33643302,IF('Calc Data-SB1'!AB30&gt;1,1*('Data Entry - SOF'!C48/100),'Calc Data-SB1'!AB30*('Data Entry - SOF'!C48/100)))</f>
        <v>0</v>
      </c>
      <c r="I45" s="1751">
        <f>F45-H45</f>
        <v>0</v>
      </c>
      <c r="J45" s="1814">
        <f>IF(C2="084-906",34360843,IF('Data Entry - SOF'!C108&gt;1,1*('Data Entry - SOF'!C50/100),'Data Entry - SOF'!C108*('Data Entry - SOF'!C50/100)))</f>
        <v>0</v>
      </c>
      <c r="K45" s="1814">
        <f>IF(C2="084-906",34360843,IF('Calc Data-15K'!AB30&gt;1,1*('Data Entry - SOF'!C50/100),'Calc Data-15K'!AB30*('Data Entry - SOF'!C50/100)))</f>
        <v>0</v>
      </c>
      <c r="L45" s="1751"/>
      <c r="M45" s="1045">
        <f>IF(C2="084-906",33643302,IF('Calc Data-SB1'!AB85&gt;1,1*('Data Entry - SOF'!C48/100),'Calc Data-SB1'!AB85*('Data Entry - SOF'!C48/100)))</f>
        <v>0</v>
      </c>
      <c r="N45" s="1810"/>
      <c r="O45" s="1045">
        <f>IF(C2="084-906",34360843,IF('Calc Data-15K'!AB85&gt;1,1*('Data Entry - SOF'!C50/100),'Calc Data-15K'!AB85*('Data Entry - SOF'!C50/100)))</f>
        <v>0</v>
      </c>
      <c r="P45" s="1928"/>
      <c r="Q45" s="1045" t="e">
        <f>IF('Data Entry - SOF'!C108&gt;1.00005,1.00005*('Data Entry - SOF'!C48/100),IF(FracFunding1617!E24&lt;0,'Data Entry - SOF'!C108*('Data Entry - SOF'!C48/100),FracFunding1617!D5*('Data Entry - SOF'!C48/100)))</f>
        <v>#DIV/0!</v>
      </c>
      <c r="R45" s="1053"/>
      <c r="S45" s="121">
        <f>(0.98/100)*'Data Entry - SOF'!C48</f>
        <v>0</v>
      </c>
      <c r="T45" t="e">
        <f>Q45/('Data Entry - SOF'!C48/100)</f>
        <v>#DIV/0!</v>
      </c>
      <c r="AP45" s="36" t="e">
        <f>#REF!</f>
        <v>#REF!</v>
      </c>
    </row>
    <row r="46" spans="2:42">
      <c r="D46" s="23" t="s">
        <v>889</v>
      </c>
      <c r="F46" s="37">
        <f>F44-F45</f>
        <v>0</v>
      </c>
      <c r="G46" s="37"/>
      <c r="H46" s="1046">
        <f>H44-H45</f>
        <v>0</v>
      </c>
      <c r="I46" s="1752">
        <f>SUM(I44:I45)</f>
        <v>0</v>
      </c>
      <c r="J46" s="1810">
        <f>J44-J45</f>
        <v>0</v>
      </c>
      <c r="K46" s="1810">
        <f>K44-K45</f>
        <v>0</v>
      </c>
      <c r="L46" s="1751"/>
      <c r="M46" s="1046">
        <f>M44-M45</f>
        <v>0</v>
      </c>
      <c r="N46" s="1810"/>
      <c r="O46" s="1046">
        <f>O44-O45</f>
        <v>0</v>
      </c>
      <c r="P46" s="1928"/>
      <c r="Q46" s="1046" t="e">
        <f>Q44-Q45</f>
        <v>#DIV/0!</v>
      </c>
      <c r="R46" s="1053"/>
      <c r="S46"/>
      <c r="AP46" s="37" t="e">
        <f>AP44-AP45</f>
        <v>#REF!</v>
      </c>
    </row>
    <row r="47" spans="2:42">
      <c r="D47" s="23"/>
      <c r="G47" s="37"/>
      <c r="H47" s="1735"/>
      <c r="I47" s="1053"/>
      <c r="J47" s="1402"/>
      <c r="K47" s="1402"/>
      <c r="L47" s="1053"/>
      <c r="M47" s="1053"/>
      <c r="N47" s="1402"/>
      <c r="O47" s="1846"/>
      <c r="P47" s="177"/>
      <c r="Q47" s="1047"/>
      <c r="R47" s="1053"/>
      <c r="S47"/>
      <c r="AP47" s="37"/>
    </row>
    <row r="48" spans="2:42">
      <c r="D48" s="949" t="s">
        <v>835</v>
      </c>
      <c r="G48" s="37"/>
      <c r="H48" s="1735"/>
      <c r="I48" s="1053"/>
      <c r="J48" s="1402"/>
      <c r="K48" s="1402"/>
      <c r="L48" s="1053"/>
      <c r="M48" s="1053"/>
      <c r="N48" s="1402"/>
      <c r="O48" s="1846"/>
      <c r="P48" s="177"/>
      <c r="Q48" s="1047"/>
      <c r="R48" s="1053"/>
      <c r="S48"/>
      <c r="AP48" s="37"/>
    </row>
    <row r="49" spans="4:21">
      <c r="D49" s="23" t="s">
        <v>1716</v>
      </c>
      <c r="F49" s="90">
        <f>IF(F46&lt;F77+F40+F42+F31+F32,F77+F40+F42+F31+F32,F46)</f>
        <v>0</v>
      </c>
      <c r="G49" s="37"/>
      <c r="H49" s="1041">
        <f>IF(H46&lt;H77+H40+H42+H31+H32,H77+H40+H42+H31+H32,H46)</f>
        <v>0</v>
      </c>
      <c r="I49" s="1049">
        <f>H49-F49</f>
        <v>0</v>
      </c>
      <c r="J49" s="1811">
        <f>IF(J46&lt;J77+J40+J42+J31+J32,J77+J40+J42+J31+J32,J46)</f>
        <v>0</v>
      </c>
      <c r="K49" s="1811">
        <f>IF(K46&lt;K77+K40+K42+K31+K32,K77+K40+K42+K31+K32,K46)</f>
        <v>0</v>
      </c>
      <c r="L49" s="1049"/>
      <c r="M49" s="1041">
        <f>IF(M46&lt;H77+M40+M42+M31+M32,H77+M40+M42+M31+M32,M46)</f>
        <v>0</v>
      </c>
      <c r="N49" s="1811"/>
      <c r="O49" s="1041">
        <f>IF(M46&lt;H77+M40+M42+M31+M32,H77+M40+M42+M31+M32,M46)</f>
        <v>0</v>
      </c>
      <c r="P49" s="1929"/>
      <c r="Q49" s="1049" t="e">
        <f>IF(Q46&lt;Q77+Q40+Q31+Q32,Q77+Q40+Q31+Q32,Q46)</f>
        <v>#DIV/0!</v>
      </c>
      <c r="R49" s="1053"/>
      <c r="S49"/>
    </row>
    <row r="50" spans="4:21" hidden="1">
      <c r="D50" s="23" t="s">
        <v>2596</v>
      </c>
      <c r="G50" s="37" t="e">
        <f>ROUND(IF((24.7*'Calc Data-SB1'!#REF!*IF('Calc Data-SB1'!#REF!&gt;=0.64,0.64,'Calc Data-SB1'!#REF!)*100)&lt;'Calc Data-SB1'!#REF!,0,(24.7*'Calc Data-SB1'!#REF!*IF('Calc Data-SB1'!#REF!&gt;=0.64,0.64,'Calc Data-SB1'!#REF!)*100)-'Calc Data-SB1'!#REF!),0)</f>
        <v>#REF!</v>
      </c>
      <c r="H50" s="37"/>
      <c r="I50" s="1749"/>
      <c r="J50" s="1812"/>
      <c r="K50" s="1812"/>
      <c r="L50" s="1050"/>
      <c r="M50" s="1050"/>
      <c r="N50" s="1812"/>
      <c r="O50" s="1846"/>
      <c r="P50" s="1929"/>
      <c r="Q50" s="1047"/>
      <c r="R50" s="1053"/>
      <c r="S50"/>
    </row>
    <row r="51" spans="4:21">
      <c r="D51" s="23"/>
      <c r="G51" s="37"/>
      <c r="H51" s="1050"/>
      <c r="I51" s="1050"/>
      <c r="J51" s="1812"/>
      <c r="K51" s="1812"/>
      <c r="L51" s="1050"/>
      <c r="M51" s="1050"/>
      <c r="N51" s="1811"/>
      <c r="O51" s="1846"/>
      <c r="P51" s="1929"/>
      <c r="Q51" s="1047"/>
      <c r="R51" s="1053"/>
      <c r="S51"/>
    </row>
    <row r="52" spans="4:21">
      <c r="D52" s="23" t="s">
        <v>2748</v>
      </c>
      <c r="F52" s="37" t="e">
        <f>ROUND(IF((Assumptions!G90*'Calc Data-SB1'!C25*'Calc Data-SB1'!C35*100)&lt;'Calc Data-SB1'!C42,0,(Assumptions!G90*'Calc Data-SB1'!C25*'Calc Data-SB1'!C35*100)-'Calc Data-SB1'!C42),0)</f>
        <v>#DIV/0!</v>
      </c>
      <c r="G52" s="37"/>
      <c r="H52" s="1050" t="e">
        <f>ROUND(IF((Assumptions!G90*'Calc Data-SB1'!C25*'Calc Data-SB1'!C35*100)&lt;'Calc Data-SB1'!C42,0,(Assumptions!G90*'Calc Data-SB1'!C25*'Calc Data-SB1'!C35*100)-'Calc Data-SB1'!C42),0)</f>
        <v>#DIV/0!</v>
      </c>
      <c r="I52" s="1049" t="e">
        <f>H52-F52</f>
        <v>#DIV/0!</v>
      </c>
      <c r="J52" s="1812" t="e">
        <f>ROUND(IF((Assumptions!G90*'Calc Data-15K'!C25*'Calc Data-15K'!AC93*100)&lt;'Calc Data-15K'!AC102,0,(Assumptions!G90*'Calc Data-15K'!C25*'Calc Data-15K'!AC93*100)-'Calc Data-15K'!AC102),0)</f>
        <v>#DIV/0!</v>
      </c>
      <c r="K52" s="1811" t="e">
        <f>J52</f>
        <v>#DIV/0!</v>
      </c>
      <c r="L52" s="1050" t="e">
        <f>ROUND(IF((Assumptions!G90*'Calc Data-SB1'!C25*'Calc Data-SB1'!C81*100)&lt;'Calc Data-SB1'!C88,0,(Assumptions!G90*'Calc Data-SB1'!C25*'Calc Data-SB1'!C81*100)-'Calc Data-SB1'!C88),0)</f>
        <v>#DIV/0!</v>
      </c>
      <c r="M52" s="1052" t="e">
        <f>L52</f>
        <v>#DIV/0!</v>
      </c>
      <c r="N52" s="2014" t="e">
        <f>ROUND(IF((Assumptions!G79*'Calc Data-15K'!C25*'Calc Data-15K'!C81*100)&lt;'Calc Data-15K'!C88,0,(Assumptions!G79*'Calc Data-15K'!C25*'Calc Data-15K'!C81*100)-'Calc Data-15K'!C88),0)</f>
        <v>#DIV/0!</v>
      </c>
      <c r="O52" s="1846" t="e">
        <f>N52</f>
        <v>#DIV/0!</v>
      </c>
      <c r="P52" t="s">
        <v>7105</v>
      </c>
      <c r="Q52" s="1050" t="e">
        <f>ROUND(IF((Assumptions!G101*R44*'Calc Data-SB1'!C35*100)&lt;'Calc Data-SB1'!C42,0,(Assumptions!G101*R44*'Calc Data-SB1'!C35*100)-'Calc Data-SB1'!C42),0)</f>
        <v>#DIV/0!</v>
      </c>
      <c r="R52" s="1064" t="s">
        <v>3106</v>
      </c>
      <c r="S52"/>
    </row>
    <row r="53" spans="4:21">
      <c r="D53" s="23" t="s">
        <v>515</v>
      </c>
      <c r="F53" s="66" t="e">
        <f>ROUND(IF((Assumptions!G91*'Calc Data-SB1'!C25*'Calc Data-SB1'!C38*100)&lt;'Calc Data-SB1'!C43,0,(Assumptions!G91*'Calc Data-SB1'!C25*'Calc Data-SB1'!C38*100)-'Calc Data-SB1'!C43),0)</f>
        <v>#DIV/0!</v>
      </c>
      <c r="G53" s="37"/>
      <c r="H53" s="1051" t="e">
        <f>ROUND(IF((Assumptions!G91*'Calc Data-SB1'!C25*'Calc Data-SB1'!AB29*100)&lt;'Calc Data-SB1'!AB33,0,(Assumptions!G91*'Calc Data-SB1'!C25*'Calc Data-SB1'!AB29*100)-'Calc Data-SB1'!AB33),0)</f>
        <v>#DIV/0!</v>
      </c>
      <c r="I53" s="1049" t="e">
        <f>H53-F53</f>
        <v>#DIV/0!</v>
      </c>
      <c r="J53" s="1823" t="e">
        <f>ROUND(IF((Assumptions!G91*'Calc Data-15K'!C25*'Calc Data-15K'!AC94*100)&lt;'Calc Data-15K'!AC104,0,(Assumptions!G91*'Calc Data-15K'!C25*'Calc Data-15K'!AC94*100)-'Calc Data-15K'!AC104),0)</f>
        <v>#DIV/0!</v>
      </c>
      <c r="K53" s="1823" t="e">
        <f>ROUND(IF((Assumptions!G91*'Calc Data-15K'!C25*'Calc Data-15K'!AC29*100)&lt;'Calc Data-15K'!AC33,0,(Assumptions!G91*'Calc Data-15K'!C25*'Calc Data-15K'!AC29*100)-'Calc Data-15K'!AC33),0)</f>
        <v>#DIV/0!</v>
      </c>
      <c r="L53" s="1051" t="e">
        <f>ROUND(IF((Assumptions!G91*'Calc Data-SB1'!C25*'Calc Data-SB1'!C84*100)&lt;'Calc Data-SB1'!C89,0,(Assumptions!G91*'Calc Data-SB1'!C25*'Calc Data-SB1'!C84*100)-'Calc Data-SB1'!C89),0)</f>
        <v>#DIV/0!</v>
      </c>
      <c r="M53" s="1051" t="e">
        <f>ROUND(IF((Assumptions!G91*'Calc Data-SB1'!C25*'Calc Data-SB1'!AB84*100)&lt;'Calc Data-SB1'!AB88,0,(Assumptions!G91*'Calc Data-SB1'!C25*'Calc Data-SB1'!AB84*100)-'Calc Data-SB1'!AB88),0)</f>
        <v>#DIV/0!</v>
      </c>
      <c r="N53" s="2236" t="e">
        <f>ROUND(IF((Assumptions!G80*'Calc Data-15K'!C25*'Calc Data-15K'!C84*100)&lt;'Calc Data-15K'!C89,0,(Assumptions!G80*'Calc Data-15K'!C25*'Calc Data-15K'!C84*100)-'Calc Data-15K'!C89),0)</f>
        <v>#DIV/0!</v>
      </c>
      <c r="O53" s="1823" t="e">
        <f>ROUND(IF((Assumptions!G80*'Calc Data-15K'!C25*'Calc Data-15K'!AB84*100)&lt;'Calc Data-15K'!AB88,0,(Assumptions!G80*'Calc Data-15K'!C25*'Calc Data-15K'!AB84*100)-'Calc Data-15K'!AB88),0)</f>
        <v>#DIV/0!</v>
      </c>
      <c r="P53" s="1929"/>
      <c r="Q53" s="1051" t="e">
        <f>IF(FracFunding1617!E24&lt;=0,T53,U53)</f>
        <v>#DIV/0!</v>
      </c>
      <c r="R53" s="1064" t="s">
        <v>3106</v>
      </c>
      <c r="S53"/>
      <c r="T53" s="1051" t="e">
        <f>ROUND(IF((Assumptions!G102*R44*'Calc Data-SB1'!C38*100)&lt;'Calc Data-SB1'!C43,0,(Assumptions!G102*R44*'Calc Data-SB1'!C38*100)-'Calc Data-SB1'!C43),0)</f>
        <v>#DIV/0!</v>
      </c>
      <c r="U53" s="1051" t="e">
        <f>ROUND(IF((Assumptions!G102*R44*'Calc Data-SB1'!Y47*100)&lt;'Calc Data-SB1'!Y51,0,(Assumptions!G102*R44*'Calc Data-SB1'!Y47*100)-'Calc Data-SB1'!Y51),0)</f>
        <v>#DIV/0!</v>
      </c>
    </row>
    <row r="54" spans="4:21">
      <c r="D54" s="23" t="s">
        <v>315</v>
      </c>
      <c r="F54" s="37" t="e">
        <f>SUM(F50:F53)</f>
        <v>#DIV/0!</v>
      </c>
      <c r="G54" s="37"/>
      <c r="H54" s="1050" t="e">
        <f>SUM(H50:H53)</f>
        <v>#DIV/0!</v>
      </c>
      <c r="I54" s="1753" t="e">
        <f>H54-F54</f>
        <v>#DIV/0!</v>
      </c>
      <c r="J54" s="1813" t="e">
        <f>SUM(J52:J53)</f>
        <v>#DIV/0!</v>
      </c>
      <c r="K54" s="1813" t="e">
        <f>SUM(K52:K53)</f>
        <v>#DIV/0!</v>
      </c>
      <c r="L54" s="1808"/>
      <c r="M54" s="1808"/>
      <c r="N54" s="1811"/>
      <c r="O54" s="1846"/>
      <c r="P54" s="1930"/>
      <c r="Q54" s="1052" t="e">
        <f>Q52+Q53</f>
        <v>#DIV/0!</v>
      </c>
      <c r="R54" s="1053"/>
      <c r="S54"/>
    </row>
    <row r="55" spans="4:21">
      <c r="D55" s="23"/>
      <c r="G55" s="37"/>
      <c r="H55" s="1050"/>
      <c r="I55" s="1050"/>
      <c r="J55" s="1812"/>
      <c r="K55" s="1812"/>
      <c r="L55" s="1050"/>
      <c r="M55" s="1050"/>
      <c r="N55" s="1812"/>
      <c r="O55" s="1846"/>
      <c r="P55" s="1931"/>
      <c r="Q55" s="1055"/>
      <c r="R55" s="1053"/>
      <c r="S55"/>
    </row>
    <row r="56" spans="4:21">
      <c r="D56" s="23" t="s">
        <v>832</v>
      </c>
      <c r="G56" s="37"/>
      <c r="H56" s="1050"/>
      <c r="I56" s="1050"/>
      <c r="J56" s="1812"/>
      <c r="K56" s="1812"/>
      <c r="L56" s="1050"/>
      <c r="M56" s="1050"/>
      <c r="N56" s="1812"/>
      <c r="O56" s="1846"/>
      <c r="P56" s="1931"/>
      <c r="Q56" s="1055"/>
      <c r="R56" s="1053"/>
      <c r="S56"/>
    </row>
    <row r="57" spans="4:21" ht="15.75">
      <c r="D57" s="132" t="s">
        <v>2043</v>
      </c>
      <c r="F57" s="195" t="e">
        <f>'ASATR-SB1'!E27</f>
        <v>#DIV/0!</v>
      </c>
      <c r="G57" s="37"/>
      <c r="H57" s="1050" t="e">
        <f>'ASATR-SB1'!E42</f>
        <v>#DIV/0!</v>
      </c>
      <c r="I57" s="1049" t="e">
        <f>H57-F57</f>
        <v>#DIV/0!</v>
      </c>
      <c r="J57" s="1828" t="e">
        <f>'ASATR-SB1'!F27</f>
        <v>#DIV/0!</v>
      </c>
      <c r="K57" s="1812" t="e">
        <f>'ASATR-SB1'!F42</f>
        <v>#DIV/0!</v>
      </c>
      <c r="L57" s="1850" t="e">
        <f>'ASATR-SB1'!E62</f>
        <v>#DIV/0!</v>
      </c>
      <c r="M57" s="1050" t="e">
        <f>L57</f>
        <v>#DIV/0!</v>
      </c>
      <c r="N57" s="1812" t="e">
        <f>'ASATR-SB1'!F42</f>
        <v>#DIV/0!</v>
      </c>
      <c r="O57" s="1846" t="e">
        <f>N57</f>
        <v>#DIV/0!</v>
      </c>
      <c r="P57" s="1931"/>
      <c r="Q57" s="1056" t="e">
        <f>'ASATR-SB1'!S27</f>
        <v>#DIV/0!</v>
      </c>
      <c r="R57" s="1053"/>
      <c r="S57"/>
    </row>
    <row r="58" spans="4:21">
      <c r="D58" s="23" t="s">
        <v>859</v>
      </c>
      <c r="F58" s="37">
        <f>'Data Entry - SOF'!C76</f>
        <v>0</v>
      </c>
      <c r="G58" s="37"/>
      <c r="H58" s="1050">
        <f>F58</f>
        <v>0</v>
      </c>
      <c r="I58" s="1050"/>
      <c r="J58" s="1812">
        <f>H58</f>
        <v>0</v>
      </c>
      <c r="K58" s="1812">
        <f>J58</f>
        <v>0</v>
      </c>
      <c r="L58" s="1050"/>
      <c r="M58" s="1050"/>
      <c r="N58" s="1812"/>
      <c r="O58" s="1846"/>
      <c r="P58" s="1931"/>
    </row>
    <row r="59" spans="4:21">
      <c r="D59" s="23" t="s">
        <v>3489</v>
      </c>
      <c r="F59" s="37">
        <f>'Data Entry - SOF'!C75</f>
        <v>0</v>
      </c>
      <c r="G59" s="37"/>
      <c r="H59" s="1050">
        <f t="shared" ref="H59:H69" si="2">F59</f>
        <v>0</v>
      </c>
      <c r="I59" s="1050"/>
      <c r="J59" s="1812">
        <f t="shared" ref="J59:J70" si="3">H59</f>
        <v>0</v>
      </c>
      <c r="K59" s="1812">
        <f t="shared" ref="K59:K70" si="4">J59</f>
        <v>0</v>
      </c>
      <c r="L59" s="1050"/>
      <c r="M59" s="1050"/>
      <c r="N59" s="1812"/>
      <c r="O59" s="1846"/>
      <c r="P59" s="1931"/>
    </row>
    <row r="60" spans="4:21">
      <c r="D60" s="23" t="s">
        <v>3490</v>
      </c>
      <c r="F60" s="37">
        <f>'Data Entry - SOF'!C77</f>
        <v>0</v>
      </c>
      <c r="G60" s="37"/>
      <c r="H60" s="1050">
        <f t="shared" si="2"/>
        <v>0</v>
      </c>
      <c r="I60" s="1050"/>
      <c r="J60" s="1812">
        <f t="shared" si="3"/>
        <v>0</v>
      </c>
      <c r="K60" s="1812">
        <f t="shared" si="4"/>
        <v>0</v>
      </c>
      <c r="L60" s="1050"/>
      <c r="M60" s="1050"/>
      <c r="N60" s="1812"/>
      <c r="O60" s="1846"/>
      <c r="P60" s="1931"/>
    </row>
    <row r="61" spans="4:21">
      <c r="D61" s="23" t="s">
        <v>3491</v>
      </c>
      <c r="F61" s="37">
        <f>'Data Entry - SOF'!C78</f>
        <v>0</v>
      </c>
      <c r="G61" s="37"/>
      <c r="H61" s="1050">
        <f t="shared" si="2"/>
        <v>0</v>
      </c>
      <c r="I61" s="1050"/>
      <c r="J61" s="1812">
        <f t="shared" si="3"/>
        <v>0</v>
      </c>
      <c r="K61" s="1812">
        <f t="shared" si="4"/>
        <v>0</v>
      </c>
      <c r="L61" s="1050"/>
      <c r="M61" s="1050"/>
      <c r="N61" s="1812"/>
      <c r="O61" s="1846"/>
      <c r="P61" s="1931"/>
    </row>
    <row r="62" spans="4:21">
      <c r="D62" s="23" t="s">
        <v>3492</v>
      </c>
      <c r="F62" s="37">
        <f>'Data Entry - SOF'!C79</f>
        <v>0</v>
      </c>
      <c r="G62" s="37"/>
      <c r="H62" s="1050">
        <f t="shared" si="2"/>
        <v>0</v>
      </c>
      <c r="I62" s="1050"/>
      <c r="J62" s="1812">
        <f t="shared" si="3"/>
        <v>0</v>
      </c>
      <c r="K62" s="1812">
        <f t="shared" si="4"/>
        <v>0</v>
      </c>
      <c r="L62" s="1050"/>
      <c r="M62" s="1050"/>
      <c r="N62" s="1812"/>
      <c r="O62" s="1846"/>
      <c r="P62" s="1931"/>
    </row>
    <row r="63" spans="4:21">
      <c r="D63" s="23" t="s">
        <v>3493</v>
      </c>
      <c r="F63" s="37">
        <v>0</v>
      </c>
      <c r="G63" s="37"/>
      <c r="H63" s="1050">
        <f t="shared" si="2"/>
        <v>0</v>
      </c>
      <c r="I63" s="1050"/>
      <c r="J63" s="1812">
        <f t="shared" si="3"/>
        <v>0</v>
      </c>
      <c r="K63" s="1812">
        <f t="shared" si="4"/>
        <v>0</v>
      </c>
      <c r="L63" s="1050"/>
      <c r="M63" s="1050"/>
      <c r="N63" s="1812"/>
      <c r="O63" s="1846"/>
      <c r="P63" s="1931"/>
    </row>
    <row r="64" spans="4:21">
      <c r="D64" s="23" t="s">
        <v>3494</v>
      </c>
      <c r="F64" s="37">
        <f>'Data Entry - SOF'!C80</f>
        <v>0</v>
      </c>
      <c r="G64" s="37"/>
      <c r="H64" s="1050">
        <f t="shared" si="2"/>
        <v>0</v>
      </c>
      <c r="I64" s="1050"/>
      <c r="J64" s="1812">
        <f t="shared" si="3"/>
        <v>0</v>
      </c>
      <c r="K64" s="1812">
        <f t="shared" si="4"/>
        <v>0</v>
      </c>
      <c r="L64" s="1050"/>
      <c r="M64" s="1050"/>
      <c r="N64" s="1812"/>
      <c r="O64" s="1846"/>
      <c r="P64" s="1931"/>
    </row>
    <row r="65" spans="1:17">
      <c r="D65" s="23" t="s">
        <v>7432</v>
      </c>
      <c r="F65" s="37">
        <f>'Data Entry - SOF'!C83</f>
        <v>0</v>
      </c>
      <c r="G65" s="37"/>
      <c r="H65" s="1050">
        <f t="shared" si="2"/>
        <v>0</v>
      </c>
      <c r="I65" s="1050"/>
      <c r="J65" s="1812">
        <f t="shared" si="3"/>
        <v>0</v>
      </c>
      <c r="K65" s="1812">
        <f t="shared" si="4"/>
        <v>0</v>
      </c>
      <c r="L65" s="1050"/>
      <c r="M65" s="1050"/>
      <c r="N65" s="1812"/>
      <c r="O65" s="1846"/>
      <c r="P65" s="1931"/>
    </row>
    <row r="66" spans="1:17">
      <c r="D66" s="23" t="s">
        <v>2793</v>
      </c>
      <c r="F66" s="37">
        <f>(500*'Data Entry - SOF'!C44)+(250*'Data Entry - SOF'!C45)</f>
        <v>0</v>
      </c>
      <c r="G66" s="37"/>
      <c r="H66" s="1050">
        <f t="shared" si="2"/>
        <v>0</v>
      </c>
      <c r="I66" s="1050"/>
      <c r="J66" s="1812">
        <f t="shared" si="3"/>
        <v>0</v>
      </c>
      <c r="K66" s="1812">
        <f t="shared" si="4"/>
        <v>0</v>
      </c>
      <c r="L66" s="1050"/>
      <c r="M66" s="1050"/>
      <c r="N66" s="1812"/>
      <c r="O66" s="1846"/>
      <c r="P66" s="1931"/>
    </row>
    <row r="67" spans="1:17">
      <c r="D67" s="23" t="s">
        <v>833</v>
      </c>
      <c r="F67" s="905" t="e">
        <f>(('Data Entry - SOF'!C69/'Data Entry - SOF'!C134)*'Data Entry - SOF'!C67)*-1</f>
        <v>#DIV/0!</v>
      </c>
      <c r="G67" s="37"/>
      <c r="H67" s="1050" t="e">
        <f t="shared" si="2"/>
        <v>#DIV/0!</v>
      </c>
      <c r="I67" s="1050"/>
      <c r="J67" s="1812" t="e">
        <f t="shared" si="3"/>
        <v>#DIV/0!</v>
      </c>
      <c r="K67" s="1812" t="e">
        <f t="shared" si="4"/>
        <v>#DIV/0!</v>
      </c>
      <c r="L67" s="1050"/>
      <c r="M67" s="1050"/>
      <c r="N67" s="1812"/>
      <c r="O67" s="1846"/>
      <c r="P67" s="1931"/>
    </row>
    <row r="68" spans="1:17">
      <c r="D68" s="23" t="s">
        <v>834</v>
      </c>
      <c r="F68" s="1241" t="e">
        <f>(('Data Entry - SOF'!C69/'Data Entry - SOF'!C134)*'Data Entry - SOF'!C68)*-1</f>
        <v>#DIV/0!</v>
      </c>
      <c r="G68" s="37"/>
      <c r="H68" s="1050" t="e">
        <f t="shared" si="2"/>
        <v>#DIV/0!</v>
      </c>
      <c r="I68" s="1050"/>
      <c r="J68" s="1812" t="e">
        <f t="shared" si="3"/>
        <v>#DIV/0!</v>
      </c>
      <c r="K68" s="1812" t="e">
        <f t="shared" si="4"/>
        <v>#DIV/0!</v>
      </c>
      <c r="L68" s="1050"/>
      <c r="M68" s="1050"/>
      <c r="N68" s="1812"/>
      <c r="O68" s="1846"/>
      <c r="P68" s="1931"/>
    </row>
    <row r="69" spans="1:17">
      <c r="D69" s="23" t="s">
        <v>3399</v>
      </c>
      <c r="F69" s="1242">
        <f>'Data Entry - SOF'!C96</f>
        <v>0</v>
      </c>
      <c r="G69" s="37"/>
      <c r="H69" s="1051">
        <f t="shared" si="2"/>
        <v>0</v>
      </c>
      <c r="I69" s="1050"/>
      <c r="J69" s="1812">
        <f t="shared" si="3"/>
        <v>0</v>
      </c>
      <c r="K69" s="1812">
        <f t="shared" si="4"/>
        <v>0</v>
      </c>
      <c r="L69" s="1050"/>
      <c r="M69" s="1050"/>
      <c r="N69" s="1812"/>
      <c r="O69" s="1846"/>
      <c r="P69" s="1931"/>
    </row>
    <row r="70" spans="1:17">
      <c r="D70" s="906" t="s">
        <v>200</v>
      </c>
      <c r="F70" s="37" t="e">
        <f>SUM(F57:F69)</f>
        <v>#DIV/0!</v>
      </c>
      <c r="G70" s="37"/>
      <c r="H70" s="1050" t="e">
        <f>SUM(H57:H69)</f>
        <v>#DIV/0!</v>
      </c>
      <c r="I70" s="1049" t="e">
        <f>H70-F70</f>
        <v>#DIV/0!</v>
      </c>
      <c r="J70" s="1857" t="e">
        <f t="shared" si="3"/>
        <v>#DIV/0!</v>
      </c>
      <c r="K70" s="1857" t="e">
        <f t="shared" si="4"/>
        <v>#DIV/0!</v>
      </c>
      <c r="L70" s="1751"/>
      <c r="M70" s="1751"/>
      <c r="N70" s="1812"/>
      <c r="O70" s="1846"/>
      <c r="P70" s="1931"/>
    </row>
    <row r="71" spans="1:17">
      <c r="D71" s="906"/>
      <c r="F71" s="47"/>
      <c r="G71" s="37"/>
      <c r="H71" s="1050"/>
      <c r="I71" s="1050"/>
      <c r="J71" s="1812"/>
      <c r="K71" s="1812"/>
      <c r="L71" s="1050"/>
      <c r="M71" s="1050"/>
      <c r="N71" s="1812"/>
      <c r="O71" s="1846"/>
      <c r="P71" s="1931"/>
    </row>
    <row r="72" spans="1:17">
      <c r="D72" s="23" t="s">
        <v>2749</v>
      </c>
      <c r="F72" s="37">
        <f>F77*-1</f>
        <v>0</v>
      </c>
      <c r="G72" s="37"/>
      <c r="H72" s="1050">
        <f>H77*-1</f>
        <v>0</v>
      </c>
      <c r="I72" s="1050"/>
      <c r="J72" s="1812">
        <f>J77*-1</f>
        <v>0</v>
      </c>
      <c r="K72" s="1812">
        <f>K77*-1</f>
        <v>0</v>
      </c>
      <c r="L72" s="1050"/>
      <c r="M72" s="1050"/>
      <c r="N72" s="1812"/>
      <c r="O72" s="1846"/>
      <c r="P72" s="1931"/>
    </row>
    <row r="73" spans="1:17" ht="13.5" thickBot="1">
      <c r="D73" s="23"/>
      <c r="G73" s="37"/>
      <c r="H73" s="1050"/>
      <c r="I73" s="1050"/>
      <c r="J73" s="1812"/>
      <c r="K73" s="1812"/>
      <c r="L73" s="1050"/>
      <c r="M73" s="1050"/>
      <c r="N73" s="1812"/>
      <c r="O73" s="1846"/>
      <c r="P73" s="1931"/>
    </row>
    <row r="74" spans="1:17" ht="13.5" thickTop="1">
      <c r="A74" s="909"/>
      <c r="B74" s="910"/>
      <c r="C74" s="910"/>
      <c r="D74" s="911"/>
      <c r="E74" s="910"/>
      <c r="F74" s="956"/>
      <c r="G74" s="37"/>
      <c r="H74" s="1050"/>
      <c r="I74" s="1050"/>
      <c r="J74" s="1812"/>
      <c r="K74" s="1812"/>
      <c r="L74" s="1050"/>
      <c r="M74" s="1050"/>
      <c r="N74" s="1812"/>
      <c r="O74" s="1846"/>
      <c r="P74" s="1931"/>
    </row>
    <row r="75" spans="1:17">
      <c r="A75" s="912"/>
      <c r="B75" s="893" t="s">
        <v>202</v>
      </c>
      <c r="C75" s="35"/>
      <c r="D75" s="908"/>
      <c r="E75" s="35"/>
      <c r="F75" s="957"/>
      <c r="G75" s="37"/>
      <c r="H75" s="1050"/>
      <c r="I75" s="1050"/>
      <c r="J75" s="1812"/>
      <c r="K75" s="1812"/>
      <c r="L75" s="1050"/>
      <c r="M75" s="1050"/>
      <c r="N75" s="1812"/>
      <c r="O75" s="1846"/>
      <c r="P75" s="1931"/>
    </row>
    <row r="76" spans="1:17">
      <c r="A76" s="912"/>
      <c r="B76" s="893" t="s">
        <v>1681</v>
      </c>
      <c r="C76" s="35"/>
      <c r="D76" s="101" t="s">
        <v>836</v>
      </c>
      <c r="E76" s="101"/>
      <c r="F76" s="189" t="e">
        <f>F49+F54+F70+F72</f>
        <v>#DIV/0!</v>
      </c>
      <c r="G76" s="37"/>
      <c r="H76" s="1756" t="e">
        <f>H49+H54+H70+H72</f>
        <v>#DIV/0!</v>
      </c>
      <c r="I76" s="1049" t="e">
        <f t="shared" ref="I76:I82" si="5">H76-F76</f>
        <v>#DIV/0!</v>
      </c>
      <c r="J76" s="1858" t="e">
        <f>J49+J54+J70+J72</f>
        <v>#DIV/0!</v>
      </c>
      <c r="K76" s="1858" t="e">
        <f>K49+K54+K70+K72</f>
        <v>#DIV/0!</v>
      </c>
      <c r="L76" s="2221"/>
      <c r="M76" s="2221"/>
      <c r="N76" s="1811"/>
      <c r="O76" s="1846"/>
      <c r="P76" s="1929"/>
    </row>
    <row r="77" spans="1:17">
      <c r="A77" s="912"/>
      <c r="B77" s="893" t="s">
        <v>1679</v>
      </c>
      <c r="C77" s="35"/>
      <c r="D77" s="101" t="s">
        <v>3005</v>
      </c>
      <c r="E77" s="101"/>
      <c r="F77" s="189">
        <f>'Data Entry - SOF'!C134*Assumptions!G96</f>
        <v>0</v>
      </c>
      <c r="G77" s="37"/>
      <c r="H77" s="1756">
        <f>F77</f>
        <v>0</v>
      </c>
      <c r="I77" s="1049">
        <f t="shared" si="5"/>
        <v>0</v>
      </c>
      <c r="J77" s="1858">
        <f>H77</f>
        <v>0</v>
      </c>
      <c r="K77" s="1858">
        <f>J77</f>
        <v>0</v>
      </c>
      <c r="L77" s="2221"/>
      <c r="M77" s="2221"/>
      <c r="N77" s="1811"/>
      <c r="O77" s="1846"/>
      <c r="P77" s="1929"/>
      <c r="Q77" s="121">
        <f>'Data Entry - SOF'!C134*Assumptions!G105</f>
        <v>0</v>
      </c>
    </row>
    <row r="78" spans="1:17" ht="15.75">
      <c r="A78" s="912"/>
      <c r="B78" s="893" t="s">
        <v>1680</v>
      </c>
      <c r="C78" s="35"/>
      <c r="D78" s="952" t="s">
        <v>858</v>
      </c>
      <c r="E78" s="123"/>
      <c r="F78" s="959">
        <v>0</v>
      </c>
      <c r="G78" s="37"/>
      <c r="H78" s="1757">
        <v>0</v>
      </c>
      <c r="I78" s="1049">
        <f t="shared" si="5"/>
        <v>0</v>
      </c>
      <c r="J78" s="1811">
        <v>0</v>
      </c>
      <c r="K78" s="1811">
        <v>0</v>
      </c>
      <c r="L78" s="1049"/>
      <c r="M78" s="1049"/>
      <c r="N78" s="1811"/>
      <c r="O78" s="1846"/>
      <c r="P78" s="1929"/>
    </row>
    <row r="79" spans="1:17">
      <c r="A79" s="912"/>
      <c r="B79" s="893" t="s">
        <v>839</v>
      </c>
      <c r="C79" s="35"/>
      <c r="D79" s="101" t="s">
        <v>837</v>
      </c>
      <c r="E79" s="101"/>
      <c r="F79" s="189">
        <f>'Existing Debt'!G74</f>
        <v>0</v>
      </c>
      <c r="G79" s="37"/>
      <c r="H79" s="1756">
        <f>'Existing Debt'!G74</f>
        <v>0</v>
      </c>
      <c r="I79" s="1049">
        <f t="shared" si="5"/>
        <v>0</v>
      </c>
      <c r="J79" s="1858">
        <f>'Existing Debt'!H74</f>
        <v>0</v>
      </c>
      <c r="K79" s="1811">
        <f>J79</f>
        <v>0</v>
      </c>
      <c r="L79" s="1049"/>
      <c r="M79" s="1049"/>
      <c r="N79" s="1811"/>
      <c r="O79" s="1846"/>
      <c r="P79" s="1929"/>
    </row>
    <row r="80" spans="1:17" ht="13.5" thickBot="1">
      <c r="A80" s="912"/>
      <c r="B80" s="893" t="s">
        <v>1251</v>
      </c>
      <c r="C80" s="35"/>
      <c r="D80" s="101" t="s">
        <v>838</v>
      </c>
      <c r="E80" s="101"/>
      <c r="F80" s="950">
        <f>IFA!H86+IFA!J75</f>
        <v>0</v>
      </c>
      <c r="G80" s="37"/>
      <c r="H80" s="1758">
        <f>IFA!H86+IFA!J75</f>
        <v>0</v>
      </c>
      <c r="I80" s="1049">
        <f t="shared" si="5"/>
        <v>0</v>
      </c>
      <c r="J80" s="1859">
        <f>IFA!I86+IFA!K75</f>
        <v>0</v>
      </c>
      <c r="K80" s="1860">
        <f>J80</f>
        <v>0</v>
      </c>
      <c r="L80" s="1808"/>
      <c r="M80" s="1808"/>
      <c r="N80" s="1811"/>
      <c r="O80" s="1846"/>
      <c r="P80" s="1929"/>
    </row>
    <row r="81" spans="1:20">
      <c r="A81" s="912"/>
      <c r="B81" s="35"/>
      <c r="C81" s="35"/>
      <c r="D81" s="35"/>
      <c r="E81" s="35"/>
      <c r="F81" s="957"/>
      <c r="G81" s="37"/>
      <c r="H81" s="1759"/>
      <c r="I81" s="1049">
        <f t="shared" si="5"/>
        <v>0</v>
      </c>
      <c r="J81" s="1811"/>
      <c r="K81" s="1811"/>
      <c r="L81" s="1049"/>
      <c r="M81" s="1049"/>
      <c r="N81" s="1811"/>
      <c r="O81" s="1846"/>
      <c r="P81" s="1929"/>
    </row>
    <row r="82" spans="1:20" ht="12.75" customHeight="1" thickBot="1">
      <c r="A82" s="912"/>
      <c r="B82" s="35"/>
      <c r="C82" s="35"/>
      <c r="D82" s="101" t="s">
        <v>1155</v>
      </c>
      <c r="E82" s="35"/>
      <c r="F82" s="951" t="e">
        <f>SUM(F76:F80)</f>
        <v>#DIV/0!</v>
      </c>
      <c r="G82" s="37"/>
      <c r="H82" s="1760" t="e">
        <f>SUM(H76:H80)</f>
        <v>#DIV/0!</v>
      </c>
      <c r="I82" s="1049" t="e">
        <f t="shared" si="5"/>
        <v>#DIV/0!</v>
      </c>
      <c r="J82" s="1858" t="e">
        <f>SUM(J76:J80)</f>
        <v>#DIV/0!</v>
      </c>
      <c r="K82" s="1858" t="e">
        <f>SUM(K76:K80)</f>
        <v>#DIV/0!</v>
      </c>
      <c r="L82" s="2221"/>
      <c r="M82" s="2221"/>
      <c r="N82" s="1811"/>
      <c r="O82" s="1846"/>
      <c r="P82" s="1929"/>
    </row>
    <row r="83" spans="1:20" ht="13.5" hidden="1" thickTop="1">
      <c r="A83" s="912"/>
      <c r="B83" s="35"/>
      <c r="C83" s="35"/>
      <c r="D83" s="34" t="s">
        <v>513</v>
      </c>
      <c r="E83" s="35"/>
      <c r="F83" s="35"/>
      <c r="G83" s="37"/>
      <c r="H83" s="37"/>
      <c r="I83" s="1749"/>
      <c r="J83" s="1749"/>
      <c r="K83" s="1749"/>
      <c r="L83" s="1050"/>
      <c r="M83" s="1050"/>
      <c r="N83" s="1812"/>
      <c r="O83" s="1846"/>
      <c r="P83" s="1931"/>
      <c r="Q83" s="229"/>
    </row>
    <row r="84" spans="1:20" ht="14.25" thickTop="1" thickBot="1">
      <c r="A84" s="913"/>
      <c r="B84" s="914"/>
      <c r="C84" s="914"/>
      <c r="D84" s="915"/>
      <c r="E84" s="914"/>
      <c r="F84" s="970"/>
      <c r="G84" s="19"/>
      <c r="H84" s="19"/>
      <c r="I84" s="1739"/>
      <c r="J84" s="1809"/>
      <c r="K84" s="1809"/>
      <c r="L84" s="1750"/>
      <c r="M84" s="1750"/>
      <c r="N84" s="1809"/>
      <c r="O84" s="1846"/>
      <c r="P84" s="1927"/>
    </row>
    <row r="85" spans="1:20" ht="13.5" thickTop="1">
      <c r="B85" s="23"/>
      <c r="G85" s="59"/>
      <c r="H85" s="59"/>
      <c r="I85" s="1748"/>
      <c r="J85" s="1810"/>
      <c r="K85" s="1810"/>
      <c r="L85" s="1751"/>
      <c r="M85" s="1751"/>
      <c r="N85" s="1810"/>
      <c r="O85" s="1846"/>
      <c r="P85" s="1928"/>
      <c r="R85" s="121"/>
      <c r="S85" s="421"/>
      <c r="T85" s="5"/>
    </row>
    <row r="86" spans="1:20">
      <c r="J86" s="1402"/>
      <c r="K86" s="1402"/>
      <c r="L86" s="1053"/>
      <c r="M86" s="1053"/>
      <c r="N86" s="1402"/>
      <c r="O86" s="1846"/>
      <c r="P86" s="177"/>
      <c r="R86" s="5"/>
    </row>
    <row r="87" spans="1:20" ht="13.5" thickBot="1">
      <c r="J87" s="1402"/>
      <c r="K87" s="1402"/>
      <c r="L87" s="1053"/>
      <c r="M87" s="1053"/>
      <c r="N87" s="1402"/>
      <c r="O87" s="1846"/>
      <c r="P87" s="177"/>
    </row>
    <row r="88" spans="1:20" ht="13.5" thickTop="1">
      <c r="A88" s="918" t="s">
        <v>2816</v>
      </c>
      <c r="B88" s="91"/>
      <c r="C88" s="91"/>
      <c r="D88" s="91"/>
      <c r="E88" s="91"/>
      <c r="F88" s="183"/>
      <c r="J88" s="1402"/>
      <c r="K88" s="1402"/>
      <c r="L88" s="1053"/>
      <c r="M88" s="1053"/>
      <c r="N88" s="1402"/>
      <c r="O88" s="1846"/>
      <c r="P88" s="177"/>
    </row>
    <row r="89" spans="1:20">
      <c r="A89" s="186"/>
      <c r="B89" s="35"/>
      <c r="C89" s="35"/>
      <c r="D89" s="35"/>
      <c r="E89" s="35"/>
      <c r="F89" s="184"/>
      <c r="J89" s="1402"/>
      <c r="K89" s="1402"/>
      <c r="L89" s="1053"/>
      <c r="M89" s="1053"/>
      <c r="N89" s="1402"/>
      <c r="O89" s="1846"/>
      <c r="P89" s="177"/>
    </row>
    <row r="90" spans="1:20">
      <c r="A90" s="185" t="s">
        <v>2477</v>
      </c>
      <c r="B90" s="35"/>
      <c r="C90" s="35"/>
      <c r="D90" s="35"/>
      <c r="E90" s="35"/>
      <c r="F90" s="894" t="e">
        <f>IF(F76&lt;0,F77,F76+F77)</f>
        <v>#DIV/0!</v>
      </c>
      <c r="H90" s="894" t="e">
        <f>IF(H76&lt;0,H77,H76+H77)</f>
        <v>#DIV/0!</v>
      </c>
      <c r="I90" s="1049" t="e">
        <f t="shared" ref="I90:I96" si="6">H90-F90</f>
        <v>#DIV/0!</v>
      </c>
      <c r="J90" s="1813" t="e">
        <f>IF(J76&lt;0,J77,J76+J77)</f>
        <v>#DIV/0!</v>
      </c>
      <c r="K90" s="1813" t="e">
        <f>IF(K76&lt;0,K77,K76+K77)</f>
        <v>#DIV/0!</v>
      </c>
      <c r="L90" s="1808"/>
      <c r="M90" s="1808"/>
      <c r="N90" s="1811"/>
      <c r="O90" s="1846"/>
      <c r="P90" s="1929"/>
    </row>
    <row r="91" spans="1:20">
      <c r="A91" s="239" t="s">
        <v>1910</v>
      </c>
      <c r="B91" s="35"/>
      <c r="C91" s="35"/>
      <c r="D91" s="35"/>
      <c r="E91" s="35"/>
      <c r="F91" s="895" t="e">
        <f>'Calc Data-SB1'!C30-'ASATR-SB1'!E24</f>
        <v>#DIV/0!</v>
      </c>
      <c r="H91" s="895" t="e">
        <f>'Calc Data-SB1'!AB32-'ASATR-SB1'!E39</f>
        <v>#DIV/0!</v>
      </c>
      <c r="I91" s="1049" t="e">
        <f t="shared" si="6"/>
        <v>#DIV/0!</v>
      </c>
      <c r="J91" s="1861" t="e">
        <f>'ASATR-SB1'!F23-'ASATR-SB1'!F24</f>
        <v>#DIV/0!</v>
      </c>
      <c r="K91" s="1861" t="e">
        <f>'Calc Data-15K'!AC32-'ASATR-SB1'!F39</f>
        <v>#DIV/0!</v>
      </c>
      <c r="L91" s="1854"/>
      <c r="M91" s="1854"/>
      <c r="N91" s="1811"/>
      <c r="O91" s="1846"/>
      <c r="P91" s="1929"/>
      <c r="R91" s="121"/>
    </row>
    <row r="92" spans="1:20">
      <c r="A92" s="239" t="s">
        <v>1062</v>
      </c>
      <c r="B92" s="35"/>
      <c r="C92" s="35"/>
      <c r="D92" s="35"/>
      <c r="E92" s="35"/>
      <c r="F92" s="895" t="e">
        <f>'Calc Data-SB1'!C34</f>
        <v>#DIV/0!</v>
      </c>
      <c r="H92" s="895" t="e">
        <f>'Calc Data-SB1'!AC71</f>
        <v>#DIV/0!</v>
      </c>
      <c r="I92" s="1049" t="e">
        <f t="shared" si="6"/>
        <v>#DIV/0!</v>
      </c>
      <c r="J92" s="1861" t="e">
        <f>'Calc Data-15K'!C34</f>
        <v>#DIV/0!</v>
      </c>
      <c r="K92" s="1811" t="e">
        <f>'Calc Data-15K'!AC71</f>
        <v>#DIV/0!</v>
      </c>
      <c r="L92" s="1049"/>
      <c r="M92" s="1049"/>
      <c r="N92" s="1811"/>
      <c r="O92" s="1846"/>
      <c r="P92" s="1929"/>
      <c r="R92" s="121"/>
    </row>
    <row r="93" spans="1:20">
      <c r="A93" s="239" t="s">
        <v>1063</v>
      </c>
      <c r="B93" s="35"/>
      <c r="C93" s="35"/>
      <c r="D93" s="35"/>
      <c r="E93" s="35"/>
      <c r="F93" s="907" t="e">
        <f>'Calc Data-SB1'!C37-IF('Option Costs-HB3646'!G57="N",MAX('Option Costs-HB3646'!G54,'Option Costs-HB3646'!I54),MIN('Option Costs-HB3646'!G54,'Option Costs-HB3646'!I54))</f>
        <v>#DIV/0!</v>
      </c>
      <c r="H93" s="907" t="e">
        <f>'Calc Data-SB1'!AB31-IF('Option Costs-HB3646'!G57="N",MAX('Option Costs-HB3646'!G85,'Option Costs-HB3646'!I85),MIN('Option Costs-HB3646'!G85,'Option Costs-HB3646'!I85))</f>
        <v>#DIV/0!</v>
      </c>
      <c r="I93" s="1049" t="e">
        <f t="shared" si="6"/>
        <v>#DIV/0!</v>
      </c>
      <c r="J93" s="1862" t="e">
        <f>'Calc Data-15K'!C37-IF('Option Costs-15K'!G57="N",MAX('Option Costs-15K'!G54,'Option Costs-15K'!I54),MIN('Option Costs-15K'!G54,'Option Costs-15K'!I54))</f>
        <v>#DIV/0!</v>
      </c>
      <c r="K93" s="1862" t="e">
        <f>'Calc Data-15K'!AC31-IF('Option Costs-15K'!G57="N",MAX('Option Costs-15K'!G85,'Option Costs-15K'!I85),MIN('Option Costs-15K'!G85,'Option Costs-15K'!I85))</f>
        <v>#DIV/0!</v>
      </c>
      <c r="L93" s="1854"/>
      <c r="M93" s="1854"/>
      <c r="N93" s="1811"/>
      <c r="O93" s="1846"/>
      <c r="P93" s="1929"/>
    </row>
    <row r="94" spans="1:20">
      <c r="A94" s="239" t="s">
        <v>3498</v>
      </c>
      <c r="B94" s="35"/>
      <c r="C94" s="35"/>
      <c r="D94" s="35"/>
      <c r="E94" s="35"/>
      <c r="F94" s="895">
        <f>F69*-1</f>
        <v>0</v>
      </c>
      <c r="H94" s="2013">
        <f>H69*-1</f>
        <v>0</v>
      </c>
      <c r="I94" s="1766">
        <f t="shared" si="6"/>
        <v>0</v>
      </c>
      <c r="J94" s="1861">
        <f>J69*-1</f>
        <v>0</v>
      </c>
      <c r="K94" s="1861">
        <f>K69*-1</f>
        <v>0</v>
      </c>
      <c r="L94" s="1854"/>
      <c r="M94" s="1854"/>
      <c r="N94" s="1813"/>
      <c r="O94" s="1846"/>
      <c r="P94" s="1930"/>
    </row>
    <row r="95" spans="1:20">
      <c r="A95" s="239" t="s">
        <v>3664</v>
      </c>
      <c r="B95" s="35"/>
      <c r="C95" s="35"/>
      <c r="D95" s="35"/>
      <c r="E95" s="35"/>
      <c r="F95" s="958" t="e">
        <f>SUM(F90:F94)</f>
        <v>#DIV/0!</v>
      </c>
      <c r="H95" s="958" t="e">
        <f>SUM(H90:H94)</f>
        <v>#DIV/0!</v>
      </c>
      <c r="I95" s="1049" t="e">
        <f t="shared" si="6"/>
        <v>#DIV/0!</v>
      </c>
      <c r="J95" s="1863" t="e">
        <f>SUM(J90:J94)</f>
        <v>#DIV/0!</v>
      </c>
      <c r="K95" s="1863" t="e">
        <f>SUM(K90:K94)</f>
        <v>#DIV/0!</v>
      </c>
      <c r="L95" s="1808"/>
      <c r="M95" s="1808"/>
      <c r="N95" s="1811"/>
      <c r="O95" s="1846"/>
      <c r="P95" s="1929"/>
    </row>
    <row r="96" spans="1:20">
      <c r="A96" s="185" t="s">
        <v>1908</v>
      </c>
      <c r="B96" s="35"/>
      <c r="C96" s="35"/>
      <c r="D96" s="35"/>
      <c r="E96" s="35"/>
      <c r="F96" s="907" t="e">
        <f>IF(F76&gt;0,0,F76)</f>
        <v>#DIV/0!</v>
      </c>
      <c r="H96" s="907" t="e">
        <f>IF(H76&gt;0,0,H76)</f>
        <v>#DIV/0!</v>
      </c>
      <c r="I96" s="1049" t="e">
        <f t="shared" si="6"/>
        <v>#DIV/0!</v>
      </c>
      <c r="J96" s="1862" t="e">
        <f>IF(J76&gt;0,0,J76)</f>
        <v>#DIV/0!</v>
      </c>
      <c r="K96" s="1862" t="e">
        <f>IF(K76&gt;0,0,K76)</f>
        <v>#DIV/0!</v>
      </c>
      <c r="L96" s="1854"/>
      <c r="M96" s="1854"/>
      <c r="N96" s="1811"/>
      <c r="O96" s="1846"/>
      <c r="P96" s="1929"/>
    </row>
    <row r="97" spans="1:16">
      <c r="A97" s="423" t="s">
        <v>3665</v>
      </c>
      <c r="B97" s="35"/>
      <c r="C97" s="35"/>
      <c r="D97" s="35"/>
      <c r="E97" s="35"/>
      <c r="F97" s="958" t="e">
        <f>F95+F96</f>
        <v>#DIV/0!</v>
      </c>
      <c r="H97" s="958" t="e">
        <f>H95+H96</f>
        <v>#DIV/0!</v>
      </c>
      <c r="I97" s="1049" t="e">
        <f>H97-F97</f>
        <v>#DIV/0!</v>
      </c>
      <c r="J97" s="1863" t="e">
        <f>J95+J96</f>
        <v>#DIV/0!</v>
      </c>
      <c r="K97" s="1863" t="e">
        <f>K95+K96</f>
        <v>#DIV/0!</v>
      </c>
      <c r="L97" s="1808"/>
      <c r="M97" s="1808"/>
      <c r="N97" s="1811"/>
      <c r="O97" s="1846"/>
      <c r="P97" s="1929"/>
    </row>
    <row r="98" spans="1:16" ht="13.5" thickBot="1">
      <c r="A98" s="187"/>
      <c r="B98" s="50"/>
      <c r="C98" s="50"/>
      <c r="D98" s="50"/>
      <c r="E98" s="50"/>
      <c r="F98" s="188"/>
      <c r="J98" s="1402"/>
      <c r="K98" s="1402"/>
      <c r="L98" s="1053"/>
      <c r="M98" s="1053"/>
      <c r="N98" s="1402"/>
      <c r="O98" s="1846"/>
      <c r="P98" s="177"/>
    </row>
    <row r="99" spans="1:16" ht="13.5" hidden="1" thickTop="1">
      <c r="D99" s="47" t="s">
        <v>1399</v>
      </c>
      <c r="E99" s="47"/>
      <c r="F99" s="47"/>
      <c r="J99" s="1737"/>
      <c r="K99" s="1737"/>
      <c r="P99" s="1737"/>
    </row>
    <row r="100" spans="1:16" ht="13.5" hidden="1" thickTop="1">
      <c r="D100" s="47" t="s">
        <v>511</v>
      </c>
      <c r="E100" s="47"/>
      <c r="F100" s="47"/>
      <c r="J100" s="1737"/>
      <c r="K100" s="1737"/>
      <c r="P100" s="1737"/>
    </row>
    <row r="101" spans="1:16" ht="13.5" hidden="1" thickTop="1">
      <c r="D101" s="47" t="s">
        <v>512</v>
      </c>
      <c r="J101" s="1737"/>
      <c r="K101" s="1737"/>
      <c r="P101" s="1737"/>
    </row>
    <row r="102" spans="1:16" ht="13.5" hidden="1" thickTop="1">
      <c r="D102" s="47" t="s">
        <v>1147</v>
      </c>
      <c r="J102" s="1737"/>
      <c r="K102" s="1737"/>
      <c r="P102" s="1737"/>
    </row>
    <row r="103" spans="1:16" ht="13.5" hidden="1" thickTop="1">
      <c r="D103" s="47" t="s">
        <v>720</v>
      </c>
      <c r="J103" s="1737"/>
      <c r="K103" s="1737"/>
      <c r="P103" s="1737"/>
    </row>
    <row r="104" spans="1:16" ht="13.5" hidden="1" thickTop="1">
      <c r="D104" s="47" t="s">
        <v>721</v>
      </c>
      <c r="J104" s="1737"/>
      <c r="K104" s="1737"/>
      <c r="P104" s="1737"/>
    </row>
    <row r="105" spans="1:16" ht="13.5" thickTop="1">
      <c r="D105" s="47"/>
      <c r="J105" s="1737"/>
      <c r="K105" s="1737"/>
      <c r="P105" s="1737"/>
    </row>
    <row r="106" spans="1:16">
      <c r="J106" s="1737"/>
      <c r="K106" s="1737"/>
      <c r="P106" s="1737"/>
    </row>
    <row r="107" spans="1:16">
      <c r="J107" s="1737"/>
      <c r="K107" s="1737"/>
      <c r="P107" s="1737"/>
    </row>
    <row r="108" spans="1:16">
      <c r="J108" s="1737"/>
      <c r="K108" s="1737"/>
      <c r="P108" s="1737"/>
    </row>
    <row r="109" spans="1:16" hidden="1">
      <c r="A109" s="23" t="s">
        <v>1870</v>
      </c>
      <c r="G109" s="19"/>
      <c r="H109" s="19"/>
      <c r="I109" s="1739"/>
      <c r="J109" s="1739"/>
      <c r="K109" s="1739"/>
      <c r="L109" s="1739"/>
      <c r="M109" s="1739"/>
      <c r="N109" s="1739"/>
      <c r="O109" s="1739"/>
      <c r="P109" s="1739"/>
    </row>
    <row r="110" spans="1:16" hidden="1">
      <c r="G110" s="19"/>
      <c r="H110" s="19"/>
      <c r="I110" s="1739"/>
      <c r="J110" s="1739"/>
      <c r="K110" s="1739"/>
      <c r="L110" s="1739"/>
      <c r="M110" s="1739"/>
      <c r="N110" s="1739"/>
      <c r="O110" s="1739"/>
      <c r="P110" s="1739"/>
    </row>
    <row r="111" spans="1:16" hidden="1">
      <c r="A111" s="23" t="s">
        <v>1682</v>
      </c>
      <c r="G111" s="19"/>
      <c r="H111" s="19"/>
      <c r="I111" s="1739"/>
      <c r="J111" s="1739"/>
      <c r="K111" s="1739"/>
      <c r="L111" s="1739"/>
      <c r="M111" s="1739"/>
      <c r="N111" s="1739"/>
      <c r="O111" s="1739"/>
      <c r="P111" s="1739"/>
    </row>
    <row r="112" spans="1:16" hidden="1">
      <c r="A112" s="23" t="s">
        <v>1683</v>
      </c>
      <c r="J112" s="1737"/>
      <c r="K112" s="1737"/>
      <c r="P112" s="1737"/>
    </row>
    <row r="113" spans="1:16" hidden="1">
      <c r="A113" s="23" t="s">
        <v>561</v>
      </c>
      <c r="J113" s="1737"/>
      <c r="K113" s="1737"/>
      <c r="P113" s="1737"/>
    </row>
    <row r="114" spans="1:16" hidden="1">
      <c r="A114" s="23" t="s">
        <v>562</v>
      </c>
      <c r="J114" s="1737"/>
      <c r="K114" s="1737"/>
      <c r="P114" s="1737"/>
    </row>
    <row r="115" spans="1:16" hidden="1">
      <c r="A115" s="23" t="s">
        <v>1139</v>
      </c>
      <c r="J115" s="1737"/>
      <c r="K115" s="1737"/>
      <c r="P115" s="1737"/>
    </row>
    <row r="116" spans="1:16" hidden="1">
      <c r="A116" s="23" t="s">
        <v>1140</v>
      </c>
      <c r="J116" s="1737"/>
      <c r="K116" s="1737"/>
      <c r="P116" s="1737"/>
    </row>
    <row r="117" spans="1:16" hidden="1">
      <c r="A117" s="97" t="s">
        <v>2027</v>
      </c>
      <c r="J117" s="1737"/>
      <c r="K117" s="1737"/>
      <c r="P117" s="1737"/>
    </row>
    <row r="118" spans="1:16" hidden="1">
      <c r="J118" s="1737"/>
      <c r="K118" s="1737"/>
      <c r="P118" s="1737"/>
    </row>
    <row r="119" spans="1:16" hidden="1">
      <c r="A119" s="23" t="s">
        <v>70</v>
      </c>
      <c r="J119" s="1737"/>
      <c r="K119" s="1737"/>
      <c r="P119" s="1737"/>
    </row>
    <row r="120" spans="1:16" hidden="1">
      <c r="A120" s="23" t="s">
        <v>1906</v>
      </c>
      <c r="J120" s="1737"/>
      <c r="K120" s="1737"/>
      <c r="P120" s="1737"/>
    </row>
    <row r="121" spans="1:16" hidden="1">
      <c r="A121" s="23" t="s">
        <v>1907</v>
      </c>
      <c r="J121" s="1737"/>
      <c r="K121" s="1737"/>
      <c r="P121" s="1737"/>
    </row>
    <row r="122" spans="1:16" hidden="1">
      <c r="A122" s="23" t="s">
        <v>2077</v>
      </c>
      <c r="J122" s="1737"/>
      <c r="K122" s="1737"/>
      <c r="P122" s="1737"/>
    </row>
    <row r="123" spans="1:16" hidden="1">
      <c r="J123" s="1737"/>
      <c r="K123" s="1737"/>
      <c r="P123" s="1737"/>
    </row>
    <row r="124" spans="1:16" hidden="1">
      <c r="A124" s="23" t="s">
        <v>2078</v>
      </c>
      <c r="J124" s="1737"/>
      <c r="K124" s="1737"/>
      <c r="P124" s="1737"/>
    </row>
    <row r="125" spans="1:16" hidden="1">
      <c r="A125" s="23" t="s">
        <v>2079</v>
      </c>
      <c r="J125" s="1737"/>
      <c r="K125" s="1737"/>
      <c r="P125" s="1737"/>
    </row>
    <row r="126" spans="1:16" hidden="1">
      <c r="A126" s="23" t="s">
        <v>368</v>
      </c>
      <c r="J126" s="1737"/>
      <c r="K126" s="1737"/>
      <c r="P126" s="1737"/>
    </row>
    <row r="127" spans="1:16" hidden="1">
      <c r="A127" s="23" t="s">
        <v>2080</v>
      </c>
      <c r="J127" s="1737"/>
      <c r="K127" s="1737"/>
      <c r="P127" s="1737"/>
    </row>
    <row r="128" spans="1:16" hidden="1">
      <c r="A128" s="23" t="s">
        <v>366</v>
      </c>
      <c r="J128" s="1737"/>
      <c r="K128" s="1737"/>
      <c r="P128" s="1737"/>
    </row>
    <row r="129" spans="1:16" hidden="1">
      <c r="J129" s="1737"/>
      <c r="K129" s="1737"/>
      <c r="P129" s="1737"/>
    </row>
    <row r="130" spans="1:16" hidden="1">
      <c r="A130" s="97" t="s">
        <v>367</v>
      </c>
      <c r="J130" s="1737"/>
      <c r="K130" s="1737"/>
      <c r="P130" s="1737"/>
    </row>
    <row r="131" spans="1:16" hidden="1">
      <c r="J131" s="1737"/>
      <c r="K131" s="1737"/>
      <c r="P131" s="1737"/>
    </row>
    <row r="132" spans="1:16">
      <c r="J132" s="1737"/>
      <c r="K132" s="1737"/>
      <c r="P132" s="1737"/>
    </row>
    <row r="133" spans="1:16">
      <c r="J133" s="1737"/>
      <c r="K133" s="1737"/>
      <c r="P133" s="1737"/>
    </row>
    <row r="134" spans="1:16">
      <c r="E134" t="s">
        <v>3169</v>
      </c>
      <c r="F134" s="5">
        <f>SUM(F22:F28)</f>
        <v>0</v>
      </c>
      <c r="H134" s="5">
        <f>SUM(H22:H28)</f>
        <v>0</v>
      </c>
      <c r="J134" s="5">
        <f>SUM(J22:J28)</f>
        <v>0</v>
      </c>
      <c r="K134" s="5">
        <f>SUM(K22:K28)</f>
        <v>0</v>
      </c>
      <c r="L134" s="5"/>
      <c r="M134" s="5"/>
      <c r="P134" s="1737"/>
    </row>
    <row r="135" spans="1:16">
      <c r="E135" t="s">
        <v>3170</v>
      </c>
      <c r="F135" s="5">
        <f>F29+F30</f>
        <v>0</v>
      </c>
      <c r="H135" s="5">
        <f>H29+H30</f>
        <v>0</v>
      </c>
      <c r="J135" s="5">
        <f>J29+J30</f>
        <v>0</v>
      </c>
      <c r="K135" s="5">
        <f>K29+K30</f>
        <v>0</v>
      </c>
      <c r="L135" s="5"/>
      <c r="M135" s="5"/>
      <c r="P135" s="1737"/>
    </row>
    <row r="136" spans="1:16">
      <c r="E136" t="s">
        <v>3171</v>
      </c>
      <c r="F136" s="5">
        <f>F33+F34</f>
        <v>0</v>
      </c>
      <c r="H136" s="5">
        <f>H33+H34</f>
        <v>0</v>
      </c>
      <c r="J136" s="5">
        <f>J33+J34</f>
        <v>0</v>
      </c>
      <c r="K136" s="5">
        <f>K33+K34</f>
        <v>0</v>
      </c>
      <c r="L136" s="5"/>
      <c r="M136" s="5"/>
      <c r="P136" s="1737"/>
    </row>
    <row r="137" spans="1:16">
      <c r="E137" t="s">
        <v>3172</v>
      </c>
      <c r="F137" s="5">
        <f>F35+F36</f>
        <v>0</v>
      </c>
      <c r="H137" s="5">
        <f>H35+H36</f>
        <v>0</v>
      </c>
      <c r="J137" s="5">
        <f>J35+J36</f>
        <v>0</v>
      </c>
      <c r="K137" s="5">
        <f>K35+K36</f>
        <v>0</v>
      </c>
      <c r="L137" s="5"/>
      <c r="M137" s="5"/>
      <c r="P137" s="1737"/>
    </row>
    <row r="138" spans="1:16">
      <c r="E138" t="s">
        <v>3251</v>
      </c>
      <c r="F138" s="121" t="e">
        <f>Assumptions!G90*'Calc Data-SB1'!C25*'Calc Data-SB1'!C35*100</f>
        <v>#DIV/0!</v>
      </c>
      <c r="H138" s="121" t="e">
        <f>Assumptions!G90*'Calc Data-SB1'!C25*'Calc Data-SB1'!C35*100</f>
        <v>#DIV/0!</v>
      </c>
      <c r="J138" s="121" t="e">
        <f>Assumptions!G79*'Calc Data-SB1'!C25*'Calc Data-SB1'!#REF!*100</f>
        <v>#DIV/0!</v>
      </c>
      <c r="K138" s="121" t="e">
        <f>Assumptions!G79*'Calc Data-SB1'!C25*'Calc Data-SB1'!#REF!*100</f>
        <v>#DIV/0!</v>
      </c>
      <c r="L138" s="121"/>
      <c r="M138" s="121"/>
      <c r="P138" s="1737"/>
    </row>
    <row r="139" spans="1:16">
      <c r="E139" t="s">
        <v>3253</v>
      </c>
      <c r="F139" s="121" t="e">
        <f>Assumptions!G91*'Calc Data-SB1'!C25*'Calc Data-SB1'!C38*100</f>
        <v>#DIV/0!</v>
      </c>
      <c r="H139" s="121" t="e">
        <f>Assumptions!G91*'Calc Data-SB1'!C25*'Calc Data-SB1'!AB29*100</f>
        <v>#DIV/0!</v>
      </c>
      <c r="J139" s="121" t="e">
        <f>Assumptions!G80*'Calc Data-SB1'!C25*'Calc Data-SB1'!AC50*100</f>
        <v>#DIV/0!</v>
      </c>
      <c r="K139" s="121" t="e">
        <f>Assumptions!G80*'Calc Data-SB1'!C25*'Calc Data-SB1'!AC29*100</f>
        <v>#DIV/0!</v>
      </c>
      <c r="L139" s="121"/>
      <c r="M139" s="121"/>
      <c r="P139" s="1737"/>
    </row>
  </sheetData>
  <pageMargins left="0.25" right="0.25" top="0.25" bottom="0.25" header="0.5" footer="0.5"/>
  <pageSetup orientation="landscape" r:id="rId1"/>
  <headerFooter alignWithMargins="0"/>
  <rowBreaks count="2" manualBreakCount="2">
    <brk id="47" max="6" man="1"/>
    <brk id="86" max="6" man="1"/>
  </rowBreaks>
  <legacy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2.75"/>
  <cols>
    <col min="1" max="1" width="9.140625" style="89" customWidth="1"/>
    <col min="2" max="2" width="86" style="47" customWidth="1"/>
    <col min="3" max="3" width="4.140625" style="47" customWidth="1"/>
    <col min="4" max="4" width="20.7109375" style="47" customWidth="1"/>
    <col min="5" max="5" width="17.5703125" style="47" customWidth="1"/>
    <col min="6" max="12" width="9.140625" style="47" customWidth="1"/>
  </cols>
  <sheetData>
    <row r="1" spans="1:12">
      <c r="A1" s="1074" t="s">
        <v>3266</v>
      </c>
      <c r="C1" s="1777"/>
      <c r="D1" s="1774" t="str">
        <f>'Data Entry - SOF'!O1</f>
        <v>84th/85th Legislative Session</v>
      </c>
    </row>
    <row r="2" spans="1:12">
      <c r="A2" s="1074" t="s">
        <v>3265</v>
      </c>
      <c r="D2" s="1774" t="str">
        <f>'Data Entry - SOF'!O2</f>
        <v>Release 2</v>
      </c>
    </row>
    <row r="3" spans="1:12">
      <c r="D3" s="4635">
        <f>'Data Entry - SOF'!O3</f>
        <v>43145</v>
      </c>
    </row>
    <row r="4" spans="1:12" s="1076" customFormat="1" ht="15.75">
      <c r="A4" s="1075" t="s">
        <v>3659</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961"/>
      <c r="C8" s="961"/>
      <c r="D8" s="961"/>
      <c r="E8" s="961"/>
      <c r="F8" s="961"/>
      <c r="G8" s="961"/>
      <c r="H8" s="961"/>
      <c r="I8" s="961"/>
      <c r="J8" s="961"/>
      <c r="K8" s="961"/>
      <c r="L8" s="961"/>
    </row>
    <row r="9" spans="1:12" s="1076" customFormat="1" ht="18">
      <c r="A9" s="3655" t="s">
        <v>3107</v>
      </c>
      <c r="B9" s="3656"/>
      <c r="C9" s="3657"/>
      <c r="D9" s="3658" t="s">
        <v>3115</v>
      </c>
      <c r="E9" s="961"/>
      <c r="F9" s="961"/>
      <c r="G9" s="961"/>
      <c r="H9" s="961"/>
      <c r="I9" s="961"/>
      <c r="J9" s="961"/>
      <c r="K9" s="961"/>
      <c r="L9" s="961"/>
    </row>
    <row r="10" spans="1:12" s="1076" customFormat="1" ht="18">
      <c r="A10" s="3648" t="s">
        <v>3108</v>
      </c>
      <c r="B10" s="3653"/>
      <c r="C10" s="3653"/>
      <c r="D10" s="3659" t="s">
        <v>3207</v>
      </c>
      <c r="E10" s="961"/>
      <c r="F10" s="961"/>
      <c r="G10" s="961"/>
      <c r="H10" s="961"/>
      <c r="I10" s="961"/>
      <c r="J10" s="961"/>
      <c r="K10" s="961"/>
      <c r="L10" s="961"/>
    </row>
    <row r="11" spans="1:12" s="1076" customFormat="1" ht="15.75">
      <c r="A11" s="1079" t="s">
        <v>2501</v>
      </c>
      <c r="B11" s="1080" t="s">
        <v>3109</v>
      </c>
      <c r="C11" s="1080"/>
      <c r="D11" s="1081">
        <f>'SOF1617-SB1'!F8</f>
        <v>0</v>
      </c>
      <c r="E11" s="961"/>
      <c r="F11" s="961"/>
      <c r="G11" s="961"/>
      <c r="H11" s="961"/>
      <c r="I11" s="961"/>
      <c r="J11" s="961"/>
      <c r="K11" s="961"/>
      <c r="L11" s="961"/>
    </row>
    <row r="12" spans="1:12" s="1076" customFormat="1" ht="15.75">
      <c r="A12" s="1079" t="s">
        <v>2502</v>
      </c>
      <c r="B12" s="1513" t="s">
        <v>3760</v>
      </c>
      <c r="C12" s="1080"/>
      <c r="D12" s="1081">
        <f>'Calc Data-SB1'!C10</f>
        <v>0</v>
      </c>
      <c r="E12" s="961"/>
      <c r="F12" s="961"/>
      <c r="G12" s="961"/>
      <c r="H12" s="961"/>
      <c r="I12" s="961"/>
      <c r="J12" s="961"/>
      <c r="K12" s="961"/>
      <c r="L12" s="961"/>
    </row>
    <row r="13" spans="1:12" s="1076" customFormat="1" ht="15.75">
      <c r="A13" s="1079" t="s">
        <v>2503</v>
      </c>
      <c r="B13" s="1511" t="s">
        <v>3761</v>
      </c>
      <c r="C13" s="1080"/>
      <c r="D13" s="1081">
        <f>'SOF1617-SB1'!F9</f>
        <v>0</v>
      </c>
      <c r="E13" s="961"/>
      <c r="F13" s="961"/>
      <c r="G13" s="961"/>
      <c r="H13" s="961"/>
      <c r="I13" s="961"/>
      <c r="J13" s="961"/>
      <c r="K13" s="961"/>
      <c r="L13" s="961"/>
    </row>
    <row r="14" spans="1:12" s="1076" customFormat="1" ht="15.75">
      <c r="A14" s="1079" t="s">
        <v>1024</v>
      </c>
      <c r="B14" s="1080" t="s">
        <v>932</v>
      </c>
      <c r="C14" s="1080"/>
      <c r="D14" s="1081">
        <f>'SOF1617-SB1'!F10</f>
        <v>0</v>
      </c>
      <c r="E14" s="961"/>
      <c r="F14" s="961"/>
      <c r="G14" s="961"/>
      <c r="H14" s="961"/>
      <c r="I14" s="961"/>
      <c r="J14" s="961"/>
      <c r="K14" s="961"/>
      <c r="L14" s="961"/>
    </row>
    <row r="15" spans="1:12" s="1076" customFormat="1" ht="15.75">
      <c r="A15" s="1079" t="s">
        <v>1025</v>
      </c>
      <c r="B15" s="1080" t="s">
        <v>715</v>
      </c>
      <c r="C15" s="1080"/>
      <c r="D15" s="1081">
        <f>'Data Entry - SOF'!C33</f>
        <v>0</v>
      </c>
      <c r="E15" s="961"/>
      <c r="F15" s="961"/>
      <c r="G15" s="961"/>
      <c r="H15" s="961"/>
      <c r="I15" s="961"/>
      <c r="J15" s="961"/>
      <c r="K15" s="961"/>
      <c r="L15" s="961"/>
    </row>
    <row r="16" spans="1:12" s="1076" customFormat="1" ht="15.75">
      <c r="A16" s="1079" t="s">
        <v>1027</v>
      </c>
      <c r="B16" s="1080" t="s">
        <v>3111</v>
      </c>
      <c r="C16" s="1080"/>
      <c r="D16" s="1081">
        <f>'Data Entry - SOF'!C18</f>
        <v>0</v>
      </c>
      <c r="E16" s="961"/>
      <c r="F16" s="961"/>
      <c r="G16" s="961"/>
      <c r="H16" s="961"/>
      <c r="I16" s="961"/>
      <c r="J16" s="961"/>
      <c r="K16" s="961"/>
      <c r="L16" s="961"/>
    </row>
    <row r="17" spans="1:12" s="1076" customFormat="1" ht="15.75">
      <c r="A17" s="1079" t="s">
        <v>1028</v>
      </c>
      <c r="B17" s="1511" t="s">
        <v>3762</v>
      </c>
      <c r="C17" s="1080"/>
      <c r="D17" s="1081" t="e">
        <f>'Calc Data-SB1'!C25</f>
        <v>#DIV/0!</v>
      </c>
      <c r="E17" s="961"/>
      <c r="F17" s="961"/>
      <c r="G17" s="961"/>
      <c r="H17" s="961"/>
      <c r="I17" s="961"/>
      <c r="J17" s="961"/>
      <c r="K17" s="961"/>
      <c r="L17" s="961"/>
    </row>
    <row r="18" spans="1:12" s="1076" customFormat="1" ht="15.75">
      <c r="A18" s="1079" t="s">
        <v>1029</v>
      </c>
      <c r="B18" s="1080" t="s">
        <v>3112</v>
      </c>
      <c r="C18" s="1080"/>
      <c r="D18" s="1081">
        <f>'Data Entry - SOF'!C134</f>
        <v>0</v>
      </c>
      <c r="E18" s="961"/>
      <c r="F18" s="961"/>
      <c r="G18" s="961"/>
      <c r="H18" s="961"/>
      <c r="I18" s="961"/>
      <c r="J18" s="961"/>
      <c r="K18" s="961"/>
      <c r="L18" s="961"/>
    </row>
    <row r="19" spans="1:12" s="1076" customFormat="1" ht="15.75">
      <c r="A19" s="1079" t="s">
        <v>139</v>
      </c>
      <c r="B19" s="1080" t="s">
        <v>3113</v>
      </c>
      <c r="C19" s="1080"/>
      <c r="D19" s="1081">
        <f>'Data Entry - SOF'!C68</f>
        <v>0</v>
      </c>
      <c r="E19" s="961"/>
      <c r="F19" s="961"/>
      <c r="G19" s="961"/>
      <c r="H19" s="961"/>
      <c r="I19" s="961"/>
      <c r="J19" s="961"/>
      <c r="K19" s="961"/>
      <c r="L19" s="961"/>
    </row>
    <row r="20" spans="1:12" s="1076" customFormat="1" ht="15.75">
      <c r="A20" s="1079" t="s">
        <v>140</v>
      </c>
      <c r="B20" s="1080" t="s">
        <v>3114</v>
      </c>
      <c r="C20" s="1080"/>
      <c r="D20" s="1081">
        <f>'Data Entry - SOF'!C67</f>
        <v>0</v>
      </c>
      <c r="E20" s="961"/>
      <c r="F20" s="961"/>
      <c r="G20" s="961"/>
      <c r="H20" s="961"/>
      <c r="I20" s="961"/>
      <c r="J20" s="961"/>
      <c r="K20" s="961"/>
      <c r="L20" s="961"/>
    </row>
    <row r="21" spans="1:12" s="1076" customFormat="1" ht="18">
      <c r="A21" s="3638" t="s">
        <v>3117</v>
      </c>
      <c r="B21" s="3654"/>
      <c r="C21" s="3654"/>
      <c r="D21" s="3639"/>
      <c r="E21" s="961"/>
      <c r="F21" s="961"/>
      <c r="G21" s="961"/>
      <c r="H21" s="961"/>
      <c r="I21" s="961"/>
      <c r="J21" s="961"/>
      <c r="K21" s="961"/>
      <c r="L21" s="961"/>
    </row>
    <row r="22" spans="1:12" s="1076" customFormat="1" ht="15.75">
      <c r="A22" s="1079" t="s">
        <v>141</v>
      </c>
      <c r="B22" s="1080" t="s">
        <v>3118</v>
      </c>
      <c r="C22" s="1080"/>
      <c r="D22" s="1081">
        <f>'Data Entry - SOF'!C44</f>
        <v>0</v>
      </c>
      <c r="E22" s="961"/>
      <c r="F22" s="961"/>
      <c r="G22" s="961"/>
      <c r="H22" s="961"/>
      <c r="I22" s="961"/>
      <c r="J22" s="961"/>
      <c r="K22" s="961"/>
      <c r="L22" s="961"/>
    </row>
    <row r="23" spans="1:12" s="1076" customFormat="1" ht="15.75">
      <c r="A23" s="1079" t="s">
        <v>142</v>
      </c>
      <c r="B23" s="1080" t="s">
        <v>3119</v>
      </c>
      <c r="C23" s="1080"/>
      <c r="D23" s="1081">
        <f>'Data Entry - SOF'!C45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3660</v>
      </c>
      <c r="C25" s="1080"/>
      <c r="D25" s="1224" t="s">
        <v>3450</v>
      </c>
      <c r="E25" s="961"/>
      <c r="F25" s="961"/>
      <c r="G25" s="961"/>
      <c r="H25" s="961"/>
      <c r="I25" s="961"/>
      <c r="J25" s="961"/>
      <c r="K25" s="961"/>
      <c r="L25" s="961"/>
    </row>
    <row r="26" spans="1:12" s="1076" customFormat="1" ht="15.75">
      <c r="A26" s="1079" t="s">
        <v>6</v>
      </c>
      <c r="B26" s="1080" t="s">
        <v>3661</v>
      </c>
      <c r="C26" s="1080"/>
      <c r="D26" s="1083">
        <f>'Data Entry - SOF'!C48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4690</v>
      </c>
      <c r="C29" s="1078"/>
      <c r="D29" s="1084">
        <f>'Data Entry - SOF'!C108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4691</v>
      </c>
      <c r="C31" s="1078"/>
      <c r="D31" s="1084">
        <f>'Data Entry - SOF'!C58</f>
        <v>0</v>
      </c>
      <c r="E31" s="961"/>
      <c r="F31" s="961"/>
      <c r="G31" s="961"/>
      <c r="H31" s="961"/>
      <c r="I31" s="961"/>
      <c r="J31" s="961"/>
      <c r="K31" s="961"/>
      <c r="L31" s="961"/>
    </row>
    <row r="32" spans="1:12" s="1076" customFormat="1" ht="15.75">
      <c r="A32" s="1079" t="s">
        <v>3126</v>
      </c>
      <c r="B32" s="1511" t="s">
        <v>4693</v>
      </c>
      <c r="C32" s="1080"/>
      <c r="D32" s="1085">
        <f>'Data Entry - SOF'!C59</f>
        <v>0</v>
      </c>
      <c r="E32" s="961"/>
      <c r="F32" s="961"/>
      <c r="G32" s="961"/>
      <c r="H32" s="961"/>
      <c r="I32" s="961"/>
      <c r="J32" s="961"/>
      <c r="K32" s="961"/>
      <c r="L32" s="961"/>
    </row>
    <row r="33" spans="1:12" s="1076" customFormat="1" ht="15.75">
      <c r="A33" s="1079" t="s">
        <v>3127</v>
      </c>
      <c r="B33" s="1080" t="s">
        <v>3697</v>
      </c>
      <c r="C33" s="1080"/>
      <c r="D33" s="1085">
        <f>'Data Entry - SOF'!C63</f>
        <v>0</v>
      </c>
      <c r="E33" s="961"/>
      <c r="F33" s="961"/>
      <c r="G33" s="961"/>
      <c r="H33" s="961"/>
      <c r="I33" s="961"/>
      <c r="J33" s="961"/>
      <c r="K33" s="961"/>
      <c r="L33" s="961"/>
    </row>
    <row r="34" spans="1:12" s="1076" customFormat="1" ht="15.75">
      <c r="A34" s="1079" t="s">
        <v>3128</v>
      </c>
      <c r="B34" s="1080" t="s">
        <v>3662</v>
      </c>
      <c r="C34" s="1080"/>
      <c r="D34" s="1085">
        <f>'Data Entry - SOF'!C153</f>
        <v>0</v>
      </c>
      <c r="E34" s="961"/>
      <c r="F34" s="961"/>
      <c r="G34" s="961"/>
      <c r="H34" s="961"/>
      <c r="I34" s="961"/>
      <c r="J34" s="961"/>
      <c r="K34" s="961"/>
      <c r="L34" s="961"/>
    </row>
    <row r="35" spans="1:12" s="1076" customFormat="1" ht="15.75">
      <c r="A35" s="1079" t="s">
        <v>3129</v>
      </c>
      <c r="B35" s="1080" t="s">
        <v>4692</v>
      </c>
      <c r="C35" s="1080"/>
      <c r="D35" s="1085">
        <f>'Data Entry - SOF'!C69</f>
        <v>0</v>
      </c>
      <c r="E35" s="961"/>
      <c r="F35" s="961"/>
      <c r="G35" s="961"/>
      <c r="H35" s="961"/>
      <c r="I35" s="961"/>
      <c r="J35" s="961"/>
      <c r="K35" s="961"/>
      <c r="L35" s="961"/>
    </row>
    <row r="36" spans="1:12" s="1076" customFormat="1" ht="18">
      <c r="A36" s="3638" t="s">
        <v>3130</v>
      </c>
      <c r="B36" s="3660"/>
      <c r="C36" s="3660"/>
      <c r="D36" s="3661"/>
      <c r="E36" s="961"/>
      <c r="F36" s="961"/>
      <c r="G36" s="961"/>
      <c r="H36" s="961"/>
      <c r="I36" s="961"/>
      <c r="J36" s="961"/>
      <c r="K36" s="961"/>
      <c r="L36" s="961"/>
    </row>
    <row r="37" spans="1:12" s="1076" customFormat="1" ht="15.75">
      <c r="A37" s="1301" t="s">
        <v>3131</v>
      </c>
      <c r="B37" s="1511" t="s">
        <v>3769</v>
      </c>
      <c r="C37" s="1099"/>
      <c r="D37" s="1807" t="e">
        <f>IF(FracFunding1617!E24&lt;=0,'Calc Data-SB1'!C23,'Calc Data-SB1'!AB23)</f>
        <v>#DIV/0!</v>
      </c>
      <c r="E37" s="961"/>
      <c r="F37" s="961"/>
      <c r="G37" s="961"/>
      <c r="H37" s="961"/>
      <c r="I37" s="961"/>
      <c r="J37" s="961"/>
      <c r="K37" s="961"/>
      <c r="L37" s="961"/>
    </row>
    <row r="38" spans="1:12" s="1076" customFormat="1" ht="15.75">
      <c r="A38" s="1079" t="s">
        <v>3132</v>
      </c>
      <c r="B38" s="1080" t="s">
        <v>3136</v>
      </c>
      <c r="C38" s="1080"/>
      <c r="D38" s="1197" t="e">
        <f>'Report-ASATR1617'!C32</f>
        <v>#DIV/0!</v>
      </c>
      <c r="E38" s="961"/>
      <c r="F38" s="961"/>
      <c r="G38" s="961"/>
      <c r="H38" s="961"/>
      <c r="I38" s="961"/>
      <c r="J38" s="961"/>
      <c r="K38" s="961"/>
      <c r="L38" s="961"/>
    </row>
    <row r="39" spans="1:12" s="1076" customFormat="1" ht="15.75">
      <c r="A39" s="1079" t="s">
        <v>3133</v>
      </c>
      <c r="B39" s="1080" t="s">
        <v>3183</v>
      </c>
      <c r="C39" s="1080"/>
      <c r="D39" s="1086">
        <f>'Data Entry - SOF'!C112</f>
        <v>0</v>
      </c>
      <c r="E39" s="961"/>
      <c r="F39" s="961"/>
      <c r="G39" s="961"/>
      <c r="H39" s="961"/>
      <c r="I39" s="961"/>
      <c r="J39" s="961"/>
      <c r="K39" s="961"/>
      <c r="L39" s="961"/>
    </row>
    <row r="40" spans="1:12" s="1076" customFormat="1" ht="15.75">
      <c r="A40" s="1079" t="s">
        <v>3134</v>
      </c>
      <c r="B40" s="1080" t="s">
        <v>3137</v>
      </c>
      <c r="C40" s="1080"/>
      <c r="D40" s="1086">
        <f>'Calc Data-SB1'!C59</f>
        <v>0</v>
      </c>
      <c r="E40" s="961"/>
      <c r="F40" s="961"/>
      <c r="G40" s="961"/>
      <c r="H40" s="961"/>
      <c r="I40" s="961"/>
      <c r="J40" s="961"/>
      <c r="K40" s="961"/>
      <c r="L40" s="961"/>
    </row>
    <row r="41" spans="1:12" s="1076" customFormat="1" ht="15.75">
      <c r="A41" s="1079" t="s">
        <v>3135</v>
      </c>
      <c r="B41" s="1080" t="s">
        <v>3138</v>
      </c>
      <c r="C41" s="1080"/>
      <c r="D41" s="1087">
        <f>Assumptions!G96</f>
        <v>390.3</v>
      </c>
      <c r="E41" s="961"/>
      <c r="F41" s="961"/>
      <c r="G41" s="961"/>
      <c r="H41" s="961"/>
      <c r="I41" s="961"/>
      <c r="J41" s="961"/>
      <c r="K41" s="961"/>
      <c r="L41" s="961"/>
    </row>
    <row r="42" spans="1:12" s="1076" customFormat="1" ht="18">
      <c r="A42" s="3638" t="s">
        <v>3139</v>
      </c>
      <c r="B42" s="3654"/>
      <c r="C42" s="3654"/>
      <c r="D42" s="3639"/>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t="e">
        <f>IF(FracFunding1617!E24&lt;=0,'SOF1617-SB1'!F21,'SOF1617-SB1'!H21)</f>
        <v>#DIV/0!</v>
      </c>
      <c r="E44" s="961"/>
      <c r="F44" s="961"/>
      <c r="G44" s="961"/>
      <c r="H44" s="961"/>
      <c r="I44" s="961"/>
      <c r="J44" s="961"/>
      <c r="K44" s="961"/>
      <c r="L44" s="961"/>
    </row>
    <row r="45" spans="1:12" s="1076" customFormat="1" ht="15.75">
      <c r="A45" s="1079" t="s">
        <v>3141</v>
      </c>
      <c r="B45" s="1080" t="s">
        <v>3746</v>
      </c>
      <c r="C45" s="1080"/>
      <c r="D45" s="1085" t="e">
        <f>IF(FracFunding1617!E24&lt;=0,'SOF1617-SB1'!F134,'SOF1617-SB1'!H134)</f>
        <v>#DIV/0!</v>
      </c>
      <c r="E45" s="961"/>
      <c r="F45" s="961"/>
      <c r="G45" s="961"/>
      <c r="H45" s="961"/>
      <c r="I45" s="961"/>
      <c r="J45" s="961"/>
      <c r="K45" s="961"/>
      <c r="L45" s="961"/>
    </row>
    <row r="46" spans="1:12" s="1076" customFormat="1" ht="15.75">
      <c r="A46" s="1079" t="s">
        <v>3142</v>
      </c>
      <c r="B46" s="1080" t="s">
        <v>3747</v>
      </c>
      <c r="C46" s="1080"/>
      <c r="D46" s="1085" t="e">
        <f>IF(FracFunding1617!E24&lt;=0,'SOF1617-SB1'!F135,'SOF1617-SB1'!H135)</f>
        <v>#DIV/0!</v>
      </c>
      <c r="E46" s="961"/>
      <c r="F46" s="961"/>
      <c r="G46" s="961"/>
      <c r="H46" s="961"/>
      <c r="I46" s="961"/>
      <c r="J46" s="961"/>
      <c r="K46" s="961"/>
      <c r="L46" s="961"/>
    </row>
    <row r="47" spans="1:12" s="1076" customFormat="1" ht="15.75">
      <c r="A47" s="1079" t="s">
        <v>3143</v>
      </c>
      <c r="B47" s="1080" t="s">
        <v>3748</v>
      </c>
      <c r="C47" s="1080"/>
      <c r="D47" s="1085" t="e">
        <f>IF(FracFunding1617!E24&lt;=0,'SOF1617-SB1'!F136,'SOF1617-SB1'!H136)</f>
        <v>#DIV/0!</v>
      </c>
      <c r="E47" s="961"/>
      <c r="F47" s="961"/>
      <c r="G47" s="961"/>
      <c r="H47" s="961"/>
      <c r="I47" s="961"/>
      <c r="J47" s="961"/>
      <c r="K47" s="961"/>
      <c r="L47" s="961"/>
    </row>
    <row r="48" spans="1:12" s="1076" customFormat="1" ht="15.75">
      <c r="A48" s="1079" t="s">
        <v>3144</v>
      </c>
      <c r="B48" s="1080" t="s">
        <v>3750</v>
      </c>
      <c r="C48" s="1080"/>
      <c r="D48" s="1085" t="e">
        <f>IF(FracFunding1617!E24&lt;=0,'SOF1617-SB1'!F137,'SOF1617-SB1'!H137)</f>
        <v>#DIV/0!</v>
      </c>
      <c r="E48" s="961"/>
      <c r="F48" s="961"/>
      <c r="G48" s="961"/>
      <c r="H48" s="961"/>
      <c r="I48" s="961"/>
      <c r="J48" s="961"/>
      <c r="K48" s="961"/>
      <c r="L48" s="961"/>
    </row>
    <row r="49" spans="1:12" s="1076" customFormat="1" ht="15.75">
      <c r="A49" s="1079" t="s">
        <v>3145</v>
      </c>
      <c r="B49" s="1080" t="s">
        <v>3749</v>
      </c>
      <c r="C49" s="1080"/>
      <c r="D49" s="1085" t="e">
        <f>IF(FracFunding1617!E24&lt;=0,'SOF1617-SB1'!F39,'SOF1617-SB1'!H39)</f>
        <v>#DIV/0!</v>
      </c>
      <c r="E49" s="961"/>
      <c r="F49" s="961"/>
      <c r="G49" s="961"/>
      <c r="H49" s="961"/>
      <c r="I49" s="961"/>
      <c r="J49" s="961"/>
      <c r="K49" s="961"/>
      <c r="L49" s="961"/>
    </row>
    <row r="50" spans="1:12" s="1076" customFormat="1" ht="15.75">
      <c r="A50" s="1079" t="s">
        <v>3146</v>
      </c>
      <c r="B50" s="1080" t="s">
        <v>3162</v>
      </c>
      <c r="C50" s="1080"/>
      <c r="D50" s="1085" t="e">
        <f>IF(FracFunding1617!E24&lt;=0,'SOF1617-SB1'!F41,'SOF1617-SB1'!H41)</f>
        <v>#DIV/0!</v>
      </c>
      <c r="E50" s="961"/>
      <c r="F50" s="961"/>
      <c r="G50" s="961"/>
      <c r="H50" s="961"/>
      <c r="I50" s="961"/>
      <c r="J50" s="961"/>
      <c r="K50" s="961"/>
      <c r="L50" s="961"/>
    </row>
    <row r="51" spans="1:12" s="1076" customFormat="1" ht="15.75">
      <c r="A51" s="1079" t="s">
        <v>3147</v>
      </c>
      <c r="B51" s="1080" t="s">
        <v>3173</v>
      </c>
      <c r="C51" s="1080"/>
      <c r="D51" s="1085">
        <f>'SOF1617-SB1'!F42</f>
        <v>0</v>
      </c>
      <c r="E51" s="961"/>
      <c r="F51" s="961"/>
      <c r="G51" s="961"/>
      <c r="H51" s="961"/>
      <c r="I51" s="961"/>
      <c r="J51" s="961"/>
      <c r="K51" s="961"/>
      <c r="L51" s="961"/>
    </row>
    <row r="52" spans="1:12" s="1076" customFormat="1" ht="15.75">
      <c r="A52" s="1079" t="s">
        <v>3148</v>
      </c>
      <c r="B52" s="1080" t="s">
        <v>3588</v>
      </c>
      <c r="C52" s="1080"/>
      <c r="D52" s="1085">
        <f>'SOF1617-SB1'!F43</f>
        <v>0</v>
      </c>
      <c r="E52" s="961"/>
      <c r="F52" s="961"/>
      <c r="G52" s="961"/>
      <c r="H52" s="961"/>
      <c r="I52" s="961"/>
      <c r="J52" s="961"/>
      <c r="K52" s="961"/>
      <c r="L52" s="961"/>
    </row>
    <row r="53" spans="1:12" s="1076" customFormat="1" ht="15.75">
      <c r="A53" s="1079" t="s">
        <v>3149</v>
      </c>
      <c r="B53" s="1080" t="s">
        <v>3164</v>
      </c>
      <c r="C53" s="1080"/>
      <c r="D53" s="1085">
        <f>'SOF1617-SB1'!F40</f>
        <v>0</v>
      </c>
      <c r="E53" s="961"/>
      <c r="F53" s="961"/>
      <c r="G53" s="961"/>
      <c r="H53" s="961"/>
      <c r="I53" s="961"/>
      <c r="J53" s="961"/>
      <c r="K53" s="961"/>
      <c r="L53" s="961"/>
    </row>
    <row r="54" spans="1:12" s="1076" customFormat="1" ht="15.75">
      <c r="A54" s="1079" t="s">
        <v>3150</v>
      </c>
      <c r="B54" s="1511" t="s">
        <v>3763</v>
      </c>
      <c r="C54" s="1080"/>
      <c r="D54" s="1085" t="e">
        <f>IF(FracFunding1617!E24&lt;=0,'SOF1617-SB1'!F44,'SOF1617-SB1'!H44)</f>
        <v>#DIV/0!</v>
      </c>
      <c r="E54" s="961"/>
      <c r="F54" s="961"/>
      <c r="G54" s="961"/>
      <c r="H54" s="961"/>
      <c r="I54" s="961"/>
      <c r="J54" s="961"/>
      <c r="K54" s="961"/>
      <c r="L54" s="961"/>
    </row>
    <row r="55" spans="1:12" s="1076" customFormat="1" ht="15.75">
      <c r="A55" s="1079" t="s">
        <v>3151</v>
      </c>
      <c r="B55" s="1080" t="s">
        <v>3165</v>
      </c>
      <c r="C55" s="1080"/>
      <c r="D55" s="1085" t="e">
        <f>IF(FracFunding1617!E24&lt;=0,'SOF1617-SB1'!F45,'SOF1617-SB1'!H45)</f>
        <v>#DIV/0!</v>
      </c>
      <c r="E55" s="961"/>
      <c r="F55" s="961"/>
      <c r="G55" s="961"/>
      <c r="H55" s="961"/>
      <c r="I55" s="961"/>
      <c r="J55" s="961"/>
      <c r="K55" s="961"/>
      <c r="L55" s="961"/>
    </row>
    <row r="56" spans="1:12" s="1076" customFormat="1" ht="15.75">
      <c r="A56" s="1079" t="s">
        <v>3152</v>
      </c>
      <c r="B56" s="1080" t="s">
        <v>889</v>
      </c>
      <c r="C56" s="1080"/>
      <c r="D56" s="1085" t="e">
        <f>IF(FracFunding1617!E24&lt;=0,'SOF1617-SB1'!F46,'SOF1617-SB1'!H46)</f>
        <v>#DIV/0!</v>
      </c>
      <c r="E56" s="961"/>
      <c r="F56" s="961"/>
      <c r="G56" s="961"/>
      <c r="H56" s="961"/>
      <c r="I56" s="961"/>
      <c r="J56" s="961"/>
      <c r="K56" s="961"/>
      <c r="L56" s="961"/>
    </row>
    <row r="57" spans="1:12" s="1076" customFormat="1" ht="15.75">
      <c r="A57" s="1079" t="s">
        <v>3153</v>
      </c>
      <c r="B57" s="1080" t="s">
        <v>3166</v>
      </c>
      <c r="C57" s="1080"/>
      <c r="D57" s="1085">
        <f>'SOF1617-SB1'!F77</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t="e">
        <f>IF(FracFunding1617!E24&lt;=0,'SOF1617-SB1'!F49,'SOF1617-SB1'!H49)</f>
        <v>#DIV/0!</v>
      </c>
      <c r="E60" s="961"/>
      <c r="F60" s="961"/>
      <c r="G60" s="961"/>
      <c r="H60" s="961"/>
      <c r="I60" s="961"/>
      <c r="J60" s="961"/>
      <c r="K60" s="961"/>
      <c r="L60" s="961"/>
    </row>
    <row r="61" spans="1:12" s="1076" customFormat="1" ht="15.75">
      <c r="A61" s="1079" t="s">
        <v>3155</v>
      </c>
      <c r="B61" s="1513" t="s">
        <v>3764</v>
      </c>
      <c r="C61" s="1080"/>
      <c r="D61" s="1085" t="e">
        <f>IF(FracFunding1617!E24&lt;=0,'SOF1617-SB1'!F54,'SOF1617-SB1'!H54)</f>
        <v>#DIV/0!</v>
      </c>
      <c r="E61" s="961"/>
      <c r="F61" s="961"/>
      <c r="G61" s="961"/>
      <c r="H61" s="961"/>
      <c r="I61" s="961"/>
      <c r="J61" s="961"/>
      <c r="K61" s="961"/>
      <c r="L61" s="961"/>
    </row>
    <row r="62" spans="1:12" s="1076" customFormat="1" ht="15.75">
      <c r="A62" s="1079" t="s">
        <v>3156</v>
      </c>
      <c r="B62" s="1511" t="s">
        <v>3765</v>
      </c>
      <c r="C62" s="1080"/>
      <c r="D62" s="1085" t="e">
        <f>'Report-Other1617'!D26</f>
        <v>#DIV/0!</v>
      </c>
      <c r="E62" s="961" t="s">
        <v>4711</v>
      </c>
      <c r="F62" s="961"/>
      <c r="G62" s="961"/>
      <c r="H62" s="961"/>
      <c r="I62" s="961"/>
      <c r="J62" s="961"/>
      <c r="K62" s="961"/>
      <c r="L62" s="961"/>
    </row>
    <row r="63" spans="1:12" s="1076" customFormat="1" ht="15.75">
      <c r="A63" s="1079" t="s">
        <v>3157</v>
      </c>
      <c r="B63" s="1080" t="str">
        <f>CONCATENATE("Less: Total Available School Fund ($",Assumptions!G96," * Prior Year ADA)")</f>
        <v>Less: Total Available School Fund ($390.3 * Prior Year ADA)</v>
      </c>
      <c r="C63" s="1080"/>
      <c r="D63" s="1085">
        <f>'SOF1617-SB1'!F72</f>
        <v>0</v>
      </c>
      <c r="E63" s="961"/>
      <c r="F63" s="961"/>
      <c r="G63" s="961"/>
      <c r="H63" s="961"/>
      <c r="I63" s="961"/>
      <c r="J63" s="961"/>
      <c r="K63" s="961"/>
      <c r="L63" s="961"/>
    </row>
    <row r="64" spans="1:12" s="1076" customFormat="1" ht="15.75">
      <c r="A64" s="1079" t="s">
        <v>3158</v>
      </c>
      <c r="B64" s="1080" t="s">
        <v>3168</v>
      </c>
      <c r="C64" s="1080"/>
      <c r="D64" s="1085" t="e">
        <f>IF(FracFunding1617!E24&lt;=0,'SOF1617-SB1'!F76,'SOF1617-SB1'!H76)+'HH1617-Calcs'!D26</f>
        <v>#DIV/0!</v>
      </c>
      <c r="E64" s="961"/>
      <c r="F64" s="961"/>
      <c r="G64" s="961"/>
      <c r="H64" s="961"/>
      <c r="I64" s="961"/>
      <c r="J64" s="961"/>
      <c r="K64" s="961"/>
      <c r="L64" s="961"/>
    </row>
    <row r="65" spans="1:12" s="1076" customFormat="1" ht="18">
      <c r="A65" s="3638" t="s">
        <v>3174</v>
      </c>
      <c r="B65" s="3654"/>
      <c r="C65" s="3654"/>
      <c r="D65" s="3639"/>
      <c r="E65" s="961"/>
      <c r="F65" s="961"/>
      <c r="G65" s="961"/>
      <c r="H65" s="961"/>
      <c r="I65" s="961"/>
      <c r="J65" s="961"/>
      <c r="K65" s="961"/>
      <c r="L65" s="961"/>
    </row>
    <row r="66" spans="1:12" s="1076" customFormat="1" ht="18">
      <c r="A66" s="3644"/>
      <c r="B66" s="3660" t="s">
        <v>3182</v>
      </c>
      <c r="C66" s="3654"/>
      <c r="D66" s="3639"/>
      <c r="E66" s="961"/>
      <c r="F66" s="961"/>
      <c r="G66" s="961"/>
      <c r="H66" s="961"/>
      <c r="I66" s="961"/>
      <c r="J66" s="961"/>
      <c r="K66" s="961"/>
      <c r="L66" s="961"/>
    </row>
    <row r="67" spans="1:12" s="1076" customFormat="1" ht="15.75">
      <c r="A67" s="1079" t="s">
        <v>3175</v>
      </c>
      <c r="B67" s="1080" t="s">
        <v>3181</v>
      </c>
      <c r="C67" s="1080"/>
      <c r="D67" s="1085" t="e">
        <f>IF(FracFunding1617!E24&lt;=0,'SOF1617-SB1'!F76,'SOF1617-SB1'!H76)+'HH1617-Calcs'!D26</f>
        <v>#DIV/0!</v>
      </c>
      <c r="E67" s="961"/>
      <c r="F67" s="961"/>
      <c r="G67" s="961"/>
      <c r="H67" s="961"/>
      <c r="I67" s="961"/>
      <c r="J67" s="961"/>
      <c r="K67" s="961"/>
      <c r="L67" s="961"/>
    </row>
    <row r="68" spans="1:12" s="1076" customFormat="1" ht="15.75">
      <c r="A68" s="1079" t="s">
        <v>3176</v>
      </c>
      <c r="B68" s="1080" t="s">
        <v>3484</v>
      </c>
      <c r="C68" s="1080"/>
      <c r="D68" s="1085">
        <f>'SOF1617-SB1'!F77</f>
        <v>0</v>
      </c>
      <c r="E68" s="961"/>
      <c r="F68" s="961"/>
      <c r="G68" s="961"/>
      <c r="H68" s="961"/>
      <c r="I68" s="961"/>
      <c r="J68" s="961"/>
      <c r="K68" s="961"/>
      <c r="L68" s="961"/>
    </row>
    <row r="69" spans="1:12" s="1076" customFormat="1" ht="15.75">
      <c r="A69" s="1079" t="s">
        <v>3177</v>
      </c>
      <c r="B69" s="1513" t="s">
        <v>3766</v>
      </c>
      <c r="C69" s="1080"/>
      <c r="D69" s="1085">
        <f>'Existing Debt'!G74</f>
        <v>0</v>
      </c>
      <c r="E69" s="961"/>
      <c r="F69" s="961"/>
      <c r="G69" s="961"/>
      <c r="H69" s="961"/>
      <c r="I69" s="961"/>
      <c r="J69" s="961"/>
      <c r="K69" s="961"/>
      <c r="L69" s="961"/>
    </row>
    <row r="70" spans="1:12" s="1076" customFormat="1" ht="15.75">
      <c r="A70" s="1079" t="s">
        <v>3178</v>
      </c>
      <c r="B70" s="1511" t="s">
        <v>3767</v>
      </c>
      <c r="C70" s="1080"/>
      <c r="D70" s="1085">
        <f>IFA!H86</f>
        <v>0</v>
      </c>
      <c r="E70" s="961"/>
      <c r="F70" s="961"/>
      <c r="G70" s="961"/>
      <c r="H70" s="961"/>
      <c r="I70" s="961"/>
      <c r="J70" s="961"/>
      <c r="K70" s="961"/>
      <c r="L70" s="961"/>
    </row>
    <row r="71" spans="1:12" s="1076" customFormat="1" ht="15.75">
      <c r="A71" s="1079" t="s">
        <v>3179</v>
      </c>
      <c r="B71" s="1080" t="s">
        <v>3756</v>
      </c>
      <c r="C71" s="1080"/>
      <c r="D71" s="1085">
        <f>IFA!J86</f>
        <v>0</v>
      </c>
      <c r="E71" s="961"/>
      <c r="F71" s="961"/>
      <c r="G71" s="961"/>
      <c r="H71" s="961"/>
      <c r="I71" s="961"/>
      <c r="J71" s="961"/>
      <c r="K71" s="961"/>
      <c r="L71" s="961"/>
    </row>
    <row r="72" spans="1:12" s="1076" customFormat="1" ht="15.75">
      <c r="A72" s="1079" t="s">
        <v>3180</v>
      </c>
      <c r="B72" s="1080" t="s">
        <v>4738</v>
      </c>
      <c r="C72" s="1080"/>
      <c r="D72" s="1085" t="e">
        <f>'HH1617-Calcs'!C51</f>
        <v>#DIV/0!</v>
      </c>
      <c r="E72" s="961"/>
      <c r="F72" s="961"/>
      <c r="G72" s="961"/>
      <c r="H72" s="961"/>
      <c r="I72" s="961"/>
      <c r="J72" s="961"/>
      <c r="K72" s="961"/>
      <c r="L72" s="961"/>
    </row>
    <row r="73" spans="1:12" s="1076" customFormat="1" ht="18">
      <c r="A73" s="1224" t="s">
        <v>3320</v>
      </c>
      <c r="B73" s="3405" t="s">
        <v>3663</v>
      </c>
      <c r="C73" s="3665"/>
      <c r="D73" s="3666" t="e">
        <f>IF(FracFunding1617!E24&lt;=0,'SOF1617-SB1'!F82,'SOF1617-SB1'!H82)+'HH1617-Calcs'!D26+D72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1512" t="s">
        <v>3755</v>
      </c>
      <c r="C75" s="3644"/>
      <c r="D75" s="3644"/>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D77" s="1687"/>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IF(FracFunding1617!E24&lt;=0,'SOF1617-SB1'!F90,'SOF1617-SB1'!H90)+'HH1617-Calcs'!D26</f>
        <v>#DIV/0!</v>
      </c>
    </row>
    <row r="81" spans="1:4" ht="15.75">
      <c r="A81" s="1519" t="s">
        <v>3810</v>
      </c>
      <c r="B81" s="1518" t="s">
        <v>3263</v>
      </c>
      <c r="C81" s="1526"/>
      <c r="D81" s="1118" t="e">
        <f>IF(FracFunding1617!E24&lt;=0,'SOF1617-SB1'!F91,'SOF1617-SB1'!H91)</f>
        <v>#DIV/0!</v>
      </c>
    </row>
    <row r="82" spans="1:4" ht="15.75">
      <c r="A82" s="1519" t="s">
        <v>3811</v>
      </c>
      <c r="B82" s="1518" t="s">
        <v>3823</v>
      </c>
      <c r="C82" s="1078"/>
      <c r="D82" s="1118" t="e">
        <f>IF(FracFunding1617!E24&lt;=0,'SOF1617-SB1'!F92,'SOF1617-SB1'!H92)</f>
        <v>#DIV/0!</v>
      </c>
    </row>
    <row r="83" spans="1:4" ht="15.75">
      <c r="A83" s="1519" t="s">
        <v>3812</v>
      </c>
      <c r="B83" s="1518" t="s">
        <v>3824</v>
      </c>
      <c r="C83" s="1078"/>
      <c r="D83" s="1118" t="e">
        <f>IF(FracFunding1617!E24&lt;=0,'SOF1617-SB1'!F93,'SOF1617-SB1'!H93)</f>
        <v>#DIV/0!</v>
      </c>
    </row>
    <row r="84" spans="1:4" ht="15.75">
      <c r="A84" s="1519" t="s">
        <v>3813</v>
      </c>
      <c r="B84" s="1518" t="s">
        <v>3499</v>
      </c>
      <c r="C84" s="1078"/>
      <c r="D84" s="1118" t="e">
        <f>IF(FracFunding1617!E24&lt;=0,'SOF1617-SB1'!F94,'SOF1617-SB1'!H94)</f>
        <v>#DIV/0!</v>
      </c>
    </row>
    <row r="85" spans="1:4" ht="15.75">
      <c r="A85" s="1519" t="s">
        <v>3814</v>
      </c>
      <c r="B85" s="1527" t="s">
        <v>3664</v>
      </c>
      <c r="C85" s="1078"/>
      <c r="D85" s="1118" t="e">
        <f>IF(FracFunding1617!E24&lt;=0,'SOF1617-SB1'!F95,'SOF1617-SB1'!H95)+'HH1617-Calcs'!D26</f>
        <v>#DIV/0!</v>
      </c>
    </row>
    <row r="86" spans="1:4" ht="15.75">
      <c r="A86" s="1519" t="s">
        <v>3815</v>
      </c>
      <c r="B86" s="1528" t="s">
        <v>3264</v>
      </c>
      <c r="C86" s="1078"/>
      <c r="D86" s="1118" t="e">
        <f>IF(FracFunding1617!E24&lt;=0,'SOF1617-SB1'!F96,'SOF1617-SB1'!H96)</f>
        <v>#DIV/0!</v>
      </c>
    </row>
    <row r="87" spans="1:4" ht="16.5" thickBot="1">
      <c r="A87" s="1520" t="s">
        <v>3816</v>
      </c>
      <c r="B87" s="1529" t="s">
        <v>3665</v>
      </c>
      <c r="C87" s="1517"/>
      <c r="D87" s="1188" t="e">
        <f>IF(FracFunding1617!E24&lt;=0,'SOF1617-SB1'!F97,'SOF1617-SB1'!H97)+'HH1617-Calcs'!D26</f>
        <v>#DIV/0!</v>
      </c>
    </row>
    <row r="88" spans="1:4" ht="16.5" thickTop="1">
      <c r="B88" s="89"/>
      <c r="D88" s="2505"/>
    </row>
    <row r="89" spans="1:4" ht="13.5" thickBot="1">
      <c r="B89" s="89"/>
    </row>
    <row r="90" spans="1:4" ht="16.5" thickTop="1">
      <c r="A90" s="1236" t="s">
        <v>3488</v>
      </c>
      <c r="B90" s="1238"/>
      <c r="C90" s="1238"/>
      <c r="D90" s="1235"/>
    </row>
    <row r="91" spans="1:4" ht="15">
      <c r="A91" s="1519" t="s">
        <v>3817</v>
      </c>
      <c r="B91" s="1523" t="str">
        <f>CONCATENATE("Recapture at the $",Assumptions!G92," Level")</f>
        <v>Recapture at the $514000 Level</v>
      </c>
      <c r="C91" s="1521"/>
      <c r="D91" s="1118" t="e">
        <f>IF(FracFunding1617!E24&lt;=0,'ASATR-SB1'!E24,'ASATR-SB1'!E39)</f>
        <v>#DIV/0!</v>
      </c>
    </row>
    <row r="92" spans="1:4" ht="15">
      <c r="A92" s="1519" t="s">
        <v>3818</v>
      </c>
      <c r="B92" s="1523" t="str">
        <f>CONCATENATE("Recapture at the $",Assumptions!G71," Level")</f>
        <v>Recapture at the $319500 Level</v>
      </c>
      <c r="C92" s="1521"/>
      <c r="D92" s="1118" t="e">
        <f>IF('Report-Recapture1617'!G141="Y",MIN('Report-Recapture1617'!C141,'Report-Recapture1617'!E141),MAX('Report-Recapture1617'!C141,'Report-Recapture1617'!E141))</f>
        <v>#DIV/0!</v>
      </c>
    </row>
    <row r="93" spans="1:4" ht="15.75">
      <c r="A93" s="1519" t="s">
        <v>3819</v>
      </c>
      <c r="B93" t="s">
        <v>7754</v>
      </c>
      <c r="C93" s="1521"/>
      <c r="D93" s="1239" t="e">
        <f>D91+D92</f>
        <v>#DIV/0!</v>
      </c>
    </row>
    <row r="94" spans="1:4" ht="15">
      <c r="A94" s="1519" t="s">
        <v>3820</v>
      </c>
      <c r="B94" s="1523" t="s">
        <v>3487</v>
      </c>
      <c r="C94" s="1521"/>
      <c r="D94" s="1240">
        <f>'Data Entry - SOF'!C96</f>
        <v>0</v>
      </c>
    </row>
    <row r="95" spans="1:4" ht="16.5" thickBot="1">
      <c r="A95" s="1520" t="s">
        <v>3821</v>
      </c>
      <c r="B95" s="3399" t="s">
        <v>7907</v>
      </c>
      <c r="C95" s="1522"/>
      <c r="D95" s="1188" t="e">
        <f>D93+D94</f>
        <v>#DIV/0!</v>
      </c>
    </row>
    <row r="96" spans="1:4" ht="16.5" thickTop="1">
      <c r="D96" s="2505"/>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617'!A1" display="Special Education FTEs (Link to Detail Report)"/>
    <hyperlink ref="B32" location="'Report-M&amp;O1617'!A1" display="2016-17 (current school year) M&amp;O Tax Collections (Link to Detail Report)"/>
    <hyperlink ref="B37" location="'Report-AA1617'!A1" display="Adjusted Allotment (Link to Detail Report)"/>
    <hyperlink ref="B54" location="'Report-T1Detail1617'!A1" display="Total Cost of Tier I (Link to Tier I Detail Report)"/>
    <hyperlink ref="B61" location="'Report-T2Detail1617'!A1" display="Tier II (Link to Tier II Detail Report)"/>
    <hyperlink ref="B62" location="'Report-Other1617'!A1" display="Other Programs (Link to Detail Report)"/>
    <hyperlink ref="B69" location="'Report-EDA1617'!A1" display="599/5829 - EDA (Link to Detail Report)"/>
    <hyperlink ref="B70" location="'Report-IFA1617'!A1" display="599/5829 - Instructional Facilities Allotment (Bond) (Link to Detail Report)"/>
    <hyperlink ref="B75" location="'Report-FSF1617'!A1" display="FSP Allocations and Adjustments Report (Link to Detail Report)"/>
    <hyperlink ref="B93" location="'Report-Recapture1617'!A1" display="Total 2016-17 Recapture"/>
  </hyperlinks>
  <pageMargins left="0.45" right="0.45" top="0.5" bottom="0.5" header="0.3" footer="0.3"/>
  <pageSetup scale="80" orientation="portrait" r:id="rId1"/>
  <rowBreaks count="1" manualBreakCount="1">
    <brk id="41" max="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4546</v>
      </c>
    </row>
    <row r="6" spans="1:5" ht="15.75">
      <c r="A6" s="1830"/>
      <c r="B6" s="1817" t="s">
        <v>3268</v>
      </c>
      <c r="C6" s="1836" t="s">
        <v>4522</v>
      </c>
      <c r="D6" s="1836" t="s">
        <v>4523</v>
      </c>
      <c r="E6" s="1836" t="s">
        <v>4467</v>
      </c>
    </row>
    <row r="7" spans="1:5" ht="15">
      <c r="A7" s="1816">
        <v>1</v>
      </c>
      <c r="B7" s="1831" t="s">
        <v>4550</v>
      </c>
      <c r="C7" s="1085">
        <f>'Data Entry - SOF'!C48</f>
        <v>0</v>
      </c>
      <c r="D7" s="1085">
        <f>'Data Entry - SOF'!C50</f>
        <v>0</v>
      </c>
      <c r="E7" s="1085">
        <f t="shared" ref="E7:E14" si="0">C7-D7</f>
        <v>0</v>
      </c>
    </row>
    <row r="8" spans="1:5" ht="15">
      <c r="A8" s="1816">
        <v>2</v>
      </c>
      <c r="B8" s="1831" t="s">
        <v>4548</v>
      </c>
      <c r="C8" s="1103">
        <f>'Data Entry - SOF'!C58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4551</v>
      </c>
      <c r="C10" s="1197">
        <f>'Data Entry - SOF'!C59+'Data Entry - SOF'!C60</f>
        <v>0</v>
      </c>
      <c r="D10" s="1197" t="e">
        <f>(('Data Entry - SOF'!C59-IFA!K79)*(D7/C7))+IFA!K79+'Data Entry - SOF'!C60</f>
        <v>#DIV/0!</v>
      </c>
      <c r="E10" s="1085" t="e">
        <f t="shared" si="0"/>
        <v>#DIV/0!</v>
      </c>
    </row>
    <row r="11" spans="1:5" s="1076" customFormat="1" ht="15">
      <c r="A11" s="1816">
        <v>5</v>
      </c>
      <c r="B11" s="1831" t="s">
        <v>4549</v>
      </c>
      <c r="C11" s="1197" t="e">
        <f>C10*IF(C8&lt;C9,1,C9/C8)</f>
        <v>#DIV/0!</v>
      </c>
      <c r="D11" s="1197" t="e">
        <f>D10*IF(D8&lt;D9,1,D9/D8)</f>
        <v>#DIV/0!</v>
      </c>
      <c r="E11" s="1085" t="e">
        <f t="shared" si="0"/>
        <v>#DIV/0!</v>
      </c>
    </row>
    <row r="12" spans="1:5" s="1076" customFormat="1" ht="15">
      <c r="A12" s="1816">
        <v>6</v>
      </c>
      <c r="B12" s="1831" t="s">
        <v>576</v>
      </c>
      <c r="C12" s="1085" t="e">
        <f>IF(FracFunding1617!E61&lt;=0,'SOF1617-SB1'!F44,'SOF1617-SB1'!H44)</f>
        <v>#DIV/0!</v>
      </c>
      <c r="D12" s="1085" t="e">
        <f>IF(FracFunding1617!E61&lt;=0,'SOF1617-SB1'!J44,'SOF1617-SB1'!K44)</f>
        <v>#DIV/0!</v>
      </c>
      <c r="E12" s="1085" t="e">
        <f t="shared" si="0"/>
        <v>#DIV/0!</v>
      </c>
    </row>
    <row r="13" spans="1:5" s="1076" customFormat="1" ht="15">
      <c r="A13" s="1816">
        <v>7</v>
      </c>
      <c r="B13" s="1831" t="s">
        <v>4533</v>
      </c>
      <c r="C13" s="1085" t="e">
        <f>IF(FracFunding1617!E61&lt;=0,'SOF1617-SB1'!F45,'SOF1617-SB1'!H45)</f>
        <v>#DIV/0!</v>
      </c>
      <c r="D13" s="1085" t="e">
        <f>IF(FracFunding1617!E61&lt;=0,'SOF1617-SB1'!J45,'SOF1617-SB1'!K45)</f>
        <v>#DIV/0!</v>
      </c>
      <c r="E13" s="1085" t="e">
        <f t="shared" si="0"/>
        <v>#DIV/0!</v>
      </c>
    </row>
    <row r="14" spans="1:5" s="1076" customFormat="1" ht="15">
      <c r="A14" s="1816">
        <v>8</v>
      </c>
      <c r="B14" s="1831" t="s">
        <v>4528</v>
      </c>
      <c r="C14" s="1085" t="e">
        <f>IF(FracFunding1617!E61&lt;=0,'SOF1617-SB1'!F49,'SOF1617-SB1'!H49)</f>
        <v>#DIV/0!</v>
      </c>
      <c r="D14" s="1085" t="e">
        <f>IF(FracFunding1617!E61&lt;=0,'SOF1617-SB1'!J49,'SOF1617-SB1'!K49)</f>
        <v>#DIV/0!</v>
      </c>
      <c r="E14" s="1085" t="e">
        <f t="shared" si="0"/>
        <v>#DIV/0!</v>
      </c>
    </row>
    <row r="15" spans="1:5" s="1076" customFormat="1" ht="15.75">
      <c r="A15" s="1832"/>
      <c r="B15" s="1833" t="s">
        <v>4531</v>
      </c>
      <c r="C15" s="1834"/>
      <c r="D15" s="1834"/>
      <c r="E15" s="1924"/>
    </row>
    <row r="16" spans="1:5" s="1076" customFormat="1" ht="15">
      <c r="A16" s="1816">
        <v>9</v>
      </c>
      <c r="B16" s="1835" t="s">
        <v>4536</v>
      </c>
      <c r="C16" s="1085" t="e">
        <f>MAX((C12-C13),C14)</f>
        <v>#DIV/0!</v>
      </c>
      <c r="D16" s="1085" t="e">
        <f>MAX((D12-D13),D14)</f>
        <v>#DIV/0!</v>
      </c>
      <c r="E16" s="1085" t="e">
        <f>C16-D16</f>
        <v>#DIV/0!</v>
      </c>
    </row>
    <row r="17" spans="1:5" s="1076" customFormat="1" ht="15">
      <c r="A17" s="1816">
        <v>10</v>
      </c>
      <c r="B17" s="1831" t="s">
        <v>4534</v>
      </c>
      <c r="C17" s="1085" t="e">
        <f>'SOF1617-SB1'!L52</f>
        <v>#DIV/0!</v>
      </c>
      <c r="D17" s="1085" t="e">
        <f>'SOF1617-SB1'!N52</f>
        <v>#DIV/0!</v>
      </c>
      <c r="E17" s="1085" t="e">
        <f>C17-D17</f>
        <v>#DIV/0!</v>
      </c>
    </row>
    <row r="18" spans="1:5" s="1076" customFormat="1" ht="15">
      <c r="A18" s="1816">
        <v>11</v>
      </c>
      <c r="B18" s="1831" t="s">
        <v>4535</v>
      </c>
      <c r="C18" s="1085" t="e">
        <f>IF(FracFunding1617!E61&lt;=0,'SOF1617-SB1'!L53,'SOF1617-SB1'!M53)</f>
        <v>#DIV/0!</v>
      </c>
      <c r="D18" s="1085" t="e">
        <f>IF(FracFunding1617!E61&lt;=0,'SOF1617-SB1'!N53,'SOF1617-SB1'!O53)</f>
        <v>#DIV/0!</v>
      </c>
      <c r="E18" s="1085" t="e">
        <f>C18-D18</f>
        <v>#DIV/0!</v>
      </c>
    </row>
    <row r="19" spans="1:5" s="1076" customFormat="1" ht="15">
      <c r="A19" s="1816">
        <v>12</v>
      </c>
      <c r="B19" s="1831" t="s">
        <v>7111</v>
      </c>
      <c r="C19" s="1085">
        <f>IFA!J86</f>
        <v>0</v>
      </c>
      <c r="D19" s="1085">
        <f>IFA!K86</f>
        <v>0</v>
      </c>
      <c r="E19" s="1085">
        <f>C19-D19</f>
        <v>0</v>
      </c>
    </row>
    <row r="20" spans="1:5" s="1076" customFormat="1" ht="15">
      <c r="A20" s="1816">
        <v>13</v>
      </c>
      <c r="B20" s="1831" t="s">
        <v>514</v>
      </c>
      <c r="C20" s="1085" t="e">
        <f>IF(FracFunding1617!E61&lt;=0,'ASATR-SB1'!E62,'ASATR-SB1'!E72)</f>
        <v>#DIV/0!</v>
      </c>
      <c r="D20" s="1085" t="e">
        <f>IF(FracFunding161715K!E61&lt;=0,'ASATR-SB1'!F62,'ASATR-SB1'!F72)</f>
        <v>#DIV/0!</v>
      </c>
      <c r="E20" s="1085" t="e">
        <f>C20-D20</f>
        <v>#DIV/0!</v>
      </c>
    </row>
    <row r="21" spans="1:5" s="1076" customFormat="1" ht="15">
      <c r="A21" s="1816">
        <v>14</v>
      </c>
      <c r="B21" s="1831" t="s">
        <v>4537</v>
      </c>
      <c r="C21" s="1085" t="e">
        <f>IF('Option Costs-ASATR'!C57="Y",'Option Costs-ASATR'!E126,'Option Costs-ASATR'!I126)</f>
        <v>#DIV/0!</v>
      </c>
      <c r="D21" s="1085" t="e">
        <f>IF('Option Costs-15K-ASATR'!C57="Y",'Option Costs-15K-ASATR'!E126,'Option Costs-15K-ASATR'!I126)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67" t="s">
        <v>4547</v>
      </c>
    </row>
    <row r="33" spans="1:3" ht="15.75">
      <c r="A33" s="1829"/>
      <c r="B33" s="1817" t="s">
        <v>3268</v>
      </c>
      <c r="C33" s="1834"/>
    </row>
    <row r="34" spans="1:3" ht="15">
      <c r="A34" s="1816">
        <v>1</v>
      </c>
      <c r="B34" s="1819" t="s">
        <v>7375</v>
      </c>
      <c r="C34" s="1085">
        <f>'Data Entry - SOF'!C53</f>
        <v>0</v>
      </c>
    </row>
    <row r="35" spans="1:3" ht="15">
      <c r="A35" s="1816">
        <v>2</v>
      </c>
      <c r="B35" s="1819" t="s">
        <v>7376</v>
      </c>
      <c r="C35" s="1085">
        <f>'Data Entry - SOF'!C55</f>
        <v>0</v>
      </c>
    </row>
    <row r="36" spans="1:3" ht="15">
      <c r="A36" s="1816">
        <v>3</v>
      </c>
      <c r="B36" s="1819" t="s">
        <v>4580</v>
      </c>
      <c r="C36" s="1085">
        <f>'Data Entry - SOF'!C74</f>
        <v>0</v>
      </c>
    </row>
    <row r="37" spans="1:3" ht="15.75">
      <c r="A37" s="1832"/>
      <c r="B37" s="1820" t="s">
        <v>4726</v>
      </c>
      <c r="C37" s="1834"/>
    </row>
    <row r="38" spans="1:3" ht="15">
      <c r="A38" s="1816">
        <v>4</v>
      </c>
      <c r="B38" s="2237" t="s">
        <v>4516</v>
      </c>
      <c r="C38" s="1085">
        <f>IFA!H86</f>
        <v>0</v>
      </c>
    </row>
    <row r="39" spans="1:3" ht="15">
      <c r="A39" s="1816">
        <v>5</v>
      </c>
      <c r="B39" s="2237" t="s">
        <v>4517</v>
      </c>
      <c r="C39" s="1085">
        <f>'Existing Debt'!G74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IFA!I86</f>
        <v>0</v>
      </c>
    </row>
    <row r="45" spans="1:3" ht="15">
      <c r="A45" s="1816">
        <v>10</v>
      </c>
      <c r="B45" s="2237" t="s">
        <v>4519</v>
      </c>
      <c r="C45" s="1085">
        <f>'Existing Debt'!H74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SOF'!C63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3673</v>
      </c>
      <c r="D3" s="75" t="s">
        <v>3673</v>
      </c>
      <c r="E3" s="75" t="s">
        <v>3673</v>
      </c>
    </row>
    <row r="4" spans="1:5">
      <c r="C4" s="117" t="s">
        <v>4476</v>
      </c>
      <c r="D4" s="117" t="s">
        <v>4477</v>
      </c>
      <c r="E4" s="194" t="s">
        <v>4467</v>
      </c>
    </row>
    <row r="5" spans="1:5">
      <c r="A5" t="s">
        <v>4466</v>
      </c>
      <c r="C5" s="1537">
        <f>'Data Entry - SOF'!E108</f>
        <v>0</v>
      </c>
      <c r="D5" s="1537">
        <f>'Calc Data-SB1'!AF30</f>
        <v>0</v>
      </c>
      <c r="E5" s="1537">
        <f>D5-C5</f>
        <v>0</v>
      </c>
    </row>
    <row r="6" spans="1:5">
      <c r="A6" t="s">
        <v>1148</v>
      </c>
      <c r="C6" s="424">
        <f>'Calc Data-SB1'!D19</f>
        <v>0</v>
      </c>
      <c r="D6" s="424">
        <f>'Calc Data-SB1'!AF19</f>
        <v>0</v>
      </c>
      <c r="E6" s="424"/>
    </row>
    <row r="8" spans="1:5">
      <c r="A8" t="s">
        <v>576</v>
      </c>
      <c r="C8" s="1761">
        <f>'SOF1718-SB1'!F44</f>
        <v>0</v>
      </c>
      <c r="D8" s="1761">
        <f>'SOF1718-SB1'!H44</f>
        <v>0</v>
      </c>
      <c r="E8" s="1761">
        <f>D8-C8</f>
        <v>0</v>
      </c>
    </row>
    <row r="9" spans="1:5">
      <c r="A9" t="s">
        <v>4468</v>
      </c>
      <c r="C9" s="1761">
        <f>'SOF1718-SB1'!F45</f>
        <v>0</v>
      </c>
      <c r="D9" s="1761">
        <f>'SOF1718-SB1'!H45</f>
        <v>0</v>
      </c>
      <c r="E9" s="1761">
        <f>D9-C9</f>
        <v>0</v>
      </c>
    </row>
    <row r="10" spans="1:5">
      <c r="A10" t="s">
        <v>2829</v>
      </c>
      <c r="C10" s="1762">
        <f>'SOF1718-SB1'!F46</f>
        <v>0</v>
      </c>
      <c r="D10" s="1762">
        <f>'SOF1718-SB1'!H46</f>
        <v>0</v>
      </c>
      <c r="E10" s="1762">
        <f>IF(D10-C10&lt;0,0,D10-C10)</f>
        <v>0</v>
      </c>
    </row>
    <row r="11" spans="1:5">
      <c r="C11" s="1763"/>
      <c r="D11" s="1763"/>
      <c r="E11" s="1763"/>
    </row>
    <row r="12" spans="1:5">
      <c r="A12" t="s">
        <v>2262</v>
      </c>
      <c r="C12" s="1763" t="e">
        <f>'ASATR-SB1'!G24</f>
        <v>#DIV/0!</v>
      </c>
      <c r="D12" s="1763" t="e">
        <f>'ASATR-SB1'!G39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Data-SB1'!D36</f>
        <v>0</v>
      </c>
      <c r="D18" s="456">
        <f>'Calc Data-SB1'!AF28</f>
        <v>0</v>
      </c>
      <c r="E18" s="1537">
        <f>D18-C18</f>
        <v>0</v>
      </c>
    </row>
    <row r="19" spans="1:5">
      <c r="A19" s="283" t="s">
        <v>4470</v>
      </c>
      <c r="B19" s="57"/>
      <c r="C19" s="1768" t="e">
        <f>'SOF1718-SB1'!F53</f>
        <v>#DIV/0!</v>
      </c>
      <c r="D19" s="1769" t="e">
        <f>'SOF1718-SB1'!H53</f>
        <v>#DIV/0!</v>
      </c>
      <c r="E19" s="1765" t="e">
        <f>D19-C19</f>
        <v>#DIV/0!</v>
      </c>
    </row>
    <row r="21" spans="1:5">
      <c r="A21" s="283" t="s">
        <v>4474</v>
      </c>
      <c r="B21" s="57"/>
      <c r="C21" s="1770" t="e">
        <f>'Option Costs-HB3646'!O54</f>
        <v>#DIV/0!</v>
      </c>
      <c r="D21" s="1771" t="e">
        <f>'Option Costs-HB3646'!O85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2" spans="1:5">
      <c r="C32" s="1796"/>
    </row>
    <row r="33" spans="1:1">
      <c r="A33" s="1802" t="s">
        <v>7108</v>
      </c>
    </row>
    <row r="34" spans="1:1">
      <c r="A34" s="1802"/>
    </row>
    <row r="35" spans="1:1" ht="15" customHeight="1">
      <c r="A35" s="4624" t="s">
        <v>7106</v>
      </c>
    </row>
    <row r="36" spans="1:1" ht="15" customHeight="1">
      <c r="A36" s="4624" t="s">
        <v>8017</v>
      </c>
    </row>
    <row r="37" spans="1:1" ht="15" customHeight="1">
      <c r="A37" s="4624" t="s">
        <v>7107</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0"/>
  <sheetViews>
    <sheetView topLeftCell="A98" workbookViewId="0">
      <selection activeCell="A98" sqref="A98"/>
    </sheetView>
  </sheetViews>
  <sheetFormatPr defaultRowHeight="12.75"/>
  <cols>
    <col min="1" max="1" width="32" style="89" customWidth="1"/>
    <col min="2" max="2" width="13" style="89" customWidth="1"/>
    <col min="3" max="3" width="15.7109375" style="89" hidden="1" customWidth="1"/>
    <col min="4" max="4" width="3.140625" style="89" hidden="1" customWidth="1"/>
    <col min="5" max="5" width="15.7109375" style="89" hidden="1" customWidth="1"/>
    <col min="6" max="6" width="3.140625" style="89" customWidth="1"/>
    <col min="7" max="7" width="15.7109375" style="89" customWidth="1"/>
    <col min="8" max="8" width="2.7109375" customWidth="1"/>
    <col min="11" max="11" width="12.7109375" customWidth="1"/>
    <col min="12" max="12" width="29.85546875" customWidth="1"/>
  </cols>
  <sheetData>
    <row r="1" spans="1:12">
      <c r="A1" s="89" t="s">
        <v>517</v>
      </c>
    </row>
    <row r="3" spans="1:12">
      <c r="A3" s="89" t="s">
        <v>998</v>
      </c>
      <c r="L3" s="1778"/>
    </row>
    <row r="4" spans="1:12">
      <c r="A4" s="89" t="s">
        <v>2280</v>
      </c>
      <c r="L4" s="1778"/>
    </row>
    <row r="5" spans="1:12">
      <c r="A5" s="89" t="s">
        <v>2281</v>
      </c>
      <c r="L5" s="1778"/>
    </row>
    <row r="6" spans="1:12">
      <c r="A6" s="89" t="s">
        <v>792</v>
      </c>
      <c r="L6" s="1778"/>
    </row>
    <row r="7" spans="1:12">
      <c r="A7" s="89" t="s">
        <v>177</v>
      </c>
      <c r="L7" s="1778"/>
    </row>
    <row r="8" spans="1:12">
      <c r="A8" s="89" t="s">
        <v>178</v>
      </c>
      <c r="L8" s="1778"/>
    </row>
    <row r="9" spans="1:12">
      <c r="L9" s="1778"/>
    </row>
    <row r="10" spans="1:12">
      <c r="A10" s="89" t="s">
        <v>2594</v>
      </c>
      <c r="L10" s="1778"/>
    </row>
    <row r="11" spans="1:12">
      <c r="L11" s="1778"/>
    </row>
    <row r="12" spans="1:12">
      <c r="L12" s="1778"/>
    </row>
    <row r="13" spans="1:12">
      <c r="A13" s="89" t="s">
        <v>136</v>
      </c>
      <c r="L13" s="1778"/>
    </row>
    <row r="14" spans="1:12">
      <c r="A14" s="89" t="s">
        <v>137</v>
      </c>
      <c r="L14" s="1778"/>
    </row>
    <row r="15" spans="1:12">
      <c r="L15" s="1778"/>
    </row>
    <row r="16" spans="1:12">
      <c r="A16" s="75" t="s">
        <v>1059</v>
      </c>
      <c r="C16" s="75" t="s">
        <v>1009</v>
      </c>
      <c r="D16" s="74"/>
      <c r="E16" s="75" t="s">
        <v>2595</v>
      </c>
      <c r="F16" s="74"/>
      <c r="G16" s="75" t="s">
        <v>510</v>
      </c>
      <c r="L16" s="1778"/>
    </row>
    <row r="17" spans="1:12">
      <c r="A17" s="89" t="s">
        <v>1148</v>
      </c>
      <c r="C17" s="308">
        <v>3737</v>
      </c>
      <c r="D17" s="308"/>
      <c r="E17" s="308">
        <v>4800</v>
      </c>
      <c r="F17" s="308"/>
      <c r="G17" s="891">
        <v>4765</v>
      </c>
      <c r="L17" s="1778"/>
    </row>
    <row r="18" spans="1:12">
      <c r="A18" s="89" t="s">
        <v>1149</v>
      </c>
      <c r="C18" s="805">
        <v>43.46</v>
      </c>
      <c r="D18" s="805"/>
      <c r="E18" s="805">
        <v>59.02</v>
      </c>
      <c r="F18" s="805"/>
      <c r="G18" s="805"/>
      <c r="L18" s="1778"/>
    </row>
    <row r="19" spans="1:12">
      <c r="A19" s="89" t="s">
        <v>1150</v>
      </c>
      <c r="C19" s="805">
        <v>59.02</v>
      </c>
      <c r="D19" s="805"/>
      <c r="E19" s="805">
        <v>59.02</v>
      </c>
      <c r="F19" s="805"/>
      <c r="G19" s="805">
        <v>59.02</v>
      </c>
      <c r="L19" s="1778"/>
    </row>
    <row r="20" spans="1:12">
      <c r="A20" s="89" t="s">
        <v>2177</v>
      </c>
      <c r="C20" s="805">
        <v>31.95</v>
      </c>
      <c r="D20" s="805"/>
      <c r="E20" s="805">
        <v>31.95</v>
      </c>
      <c r="F20" s="805"/>
      <c r="G20" s="805">
        <v>31.95</v>
      </c>
      <c r="L20" s="1778"/>
    </row>
    <row r="21" spans="1:12">
      <c r="A21" s="89" t="s">
        <v>2175</v>
      </c>
      <c r="C21" s="308">
        <v>434600</v>
      </c>
      <c r="D21" s="308"/>
      <c r="E21" s="308">
        <v>480000</v>
      </c>
      <c r="F21" s="308"/>
      <c r="G21" s="308">
        <v>476500</v>
      </c>
      <c r="L21" s="1778"/>
    </row>
    <row r="22" spans="1:12">
      <c r="A22" s="89" t="s">
        <v>2176</v>
      </c>
      <c r="C22" s="308">
        <v>319500</v>
      </c>
      <c r="D22" s="308"/>
      <c r="E22" s="308">
        <v>319500</v>
      </c>
      <c r="F22" s="308"/>
      <c r="G22" s="308">
        <v>319500</v>
      </c>
      <c r="L22" s="1778"/>
    </row>
    <row r="23" spans="1:12">
      <c r="L23" s="1778"/>
    </row>
    <row r="24" spans="1:12">
      <c r="L24" s="1778"/>
    </row>
    <row r="25" spans="1:12">
      <c r="A25" s="75" t="s">
        <v>2516</v>
      </c>
      <c r="C25" s="75" t="s">
        <v>1009</v>
      </c>
      <c r="D25" s="74"/>
      <c r="E25" s="75" t="s">
        <v>2595</v>
      </c>
      <c r="F25" s="74"/>
      <c r="G25" s="75" t="s">
        <v>510</v>
      </c>
      <c r="L25" s="1778"/>
    </row>
    <row r="26" spans="1:12">
      <c r="A26" s="89" t="s">
        <v>1148</v>
      </c>
      <c r="C26" s="308">
        <v>3874</v>
      </c>
      <c r="D26" s="308"/>
      <c r="E26" s="308">
        <v>4800</v>
      </c>
      <c r="F26" s="308"/>
      <c r="G26" s="308">
        <v>4765</v>
      </c>
      <c r="L26" s="1778"/>
    </row>
    <row r="27" spans="1:12">
      <c r="A27" s="89" t="s">
        <v>1149</v>
      </c>
      <c r="C27" s="805">
        <v>45.04</v>
      </c>
      <c r="D27" s="805"/>
      <c r="E27" s="805">
        <v>59.97</v>
      </c>
      <c r="F27" s="805"/>
      <c r="G27" s="805"/>
      <c r="L27" s="1778"/>
    </row>
    <row r="28" spans="1:12">
      <c r="A28" s="89" t="s">
        <v>1150</v>
      </c>
      <c r="C28" s="805">
        <v>59.97</v>
      </c>
      <c r="D28" s="805"/>
      <c r="E28" s="805">
        <v>59.97</v>
      </c>
      <c r="F28" s="805"/>
      <c r="G28" s="805">
        <v>59.97</v>
      </c>
      <c r="L28" s="1778"/>
    </row>
    <row r="29" spans="1:12">
      <c r="A29" s="89" t="s">
        <v>2177</v>
      </c>
      <c r="C29" s="805">
        <v>31.95</v>
      </c>
      <c r="D29" s="805"/>
      <c r="E29" s="805">
        <v>31.95</v>
      </c>
      <c r="F29" s="805"/>
      <c r="G29" s="805">
        <v>31.95</v>
      </c>
      <c r="L29" s="1778"/>
    </row>
    <row r="30" spans="1:12">
      <c r="A30" s="89" t="s">
        <v>2175</v>
      </c>
      <c r="C30" s="308">
        <v>450400</v>
      </c>
      <c r="D30" s="308"/>
      <c r="E30" s="308">
        <v>480000</v>
      </c>
      <c r="F30" s="308"/>
      <c r="G30" s="308">
        <v>476500</v>
      </c>
      <c r="L30" s="1778"/>
    </row>
    <row r="31" spans="1:12">
      <c r="A31" s="89" t="s">
        <v>2176</v>
      </c>
      <c r="C31" s="308">
        <v>319500</v>
      </c>
      <c r="D31" s="308"/>
      <c r="E31" s="308">
        <v>319500</v>
      </c>
      <c r="F31" s="308"/>
      <c r="G31" s="308">
        <v>319500</v>
      </c>
      <c r="L31" s="1778"/>
    </row>
    <row r="32" spans="1:12">
      <c r="L32" s="1778"/>
    </row>
    <row r="34" spans="1:12">
      <c r="A34" s="75" t="s">
        <v>195</v>
      </c>
      <c r="C34" s="75" t="s">
        <v>1009</v>
      </c>
      <c r="D34" s="74"/>
      <c r="E34" s="75" t="s">
        <v>2595</v>
      </c>
      <c r="F34" s="74"/>
      <c r="G34" s="75" t="s">
        <v>1451</v>
      </c>
    </row>
    <row r="35" spans="1:12">
      <c r="A35" s="89" t="s">
        <v>1148</v>
      </c>
      <c r="C35" s="308">
        <v>4193</v>
      </c>
      <c r="D35" s="308"/>
      <c r="E35" s="308">
        <v>4800</v>
      </c>
      <c r="F35" s="308"/>
      <c r="G35" s="308">
        <v>4765</v>
      </c>
    </row>
    <row r="36" spans="1:12">
      <c r="A36" s="89" t="s">
        <v>1149</v>
      </c>
      <c r="C36" s="805">
        <v>48.76</v>
      </c>
      <c r="D36" s="805"/>
      <c r="E36" s="805">
        <v>61.14</v>
      </c>
      <c r="F36" s="805"/>
      <c r="G36" s="805"/>
    </row>
    <row r="37" spans="1:12">
      <c r="A37" s="89" t="s">
        <v>1150</v>
      </c>
      <c r="C37" s="805">
        <v>61.14</v>
      </c>
      <c r="D37" s="805"/>
      <c r="E37" s="805">
        <v>61.14</v>
      </c>
      <c r="F37" s="805"/>
      <c r="G37" s="1029">
        <v>59.97</v>
      </c>
    </row>
    <row r="38" spans="1:12">
      <c r="A38" s="89" t="s">
        <v>2177</v>
      </c>
      <c r="C38" s="805">
        <v>31.95</v>
      </c>
      <c r="D38" s="805"/>
      <c r="E38" s="805">
        <v>31.95</v>
      </c>
      <c r="F38" s="805"/>
      <c r="G38" s="805">
        <v>31.95</v>
      </c>
      <c r="L38" s="89"/>
    </row>
    <row r="39" spans="1:12">
      <c r="A39" s="89" t="s">
        <v>109</v>
      </c>
      <c r="C39" s="805"/>
      <c r="D39" s="805"/>
      <c r="E39" s="805"/>
      <c r="F39" s="805"/>
      <c r="G39" s="805">
        <v>33.950000000000003</v>
      </c>
      <c r="L39" s="89"/>
    </row>
    <row r="40" spans="1:12">
      <c r="A40" s="89" t="s">
        <v>2175</v>
      </c>
      <c r="C40" s="308">
        <v>487600</v>
      </c>
      <c r="D40" s="308"/>
      <c r="E40" s="308">
        <v>480000</v>
      </c>
      <c r="F40" s="308"/>
      <c r="G40" s="308">
        <v>476500</v>
      </c>
      <c r="L40" s="40"/>
    </row>
    <row r="41" spans="1:12">
      <c r="A41" s="89" t="s">
        <v>2176</v>
      </c>
      <c r="C41" s="308">
        <v>319500</v>
      </c>
      <c r="D41" s="308"/>
      <c r="E41" s="308">
        <v>319500</v>
      </c>
      <c r="F41" s="308"/>
      <c r="G41" s="308">
        <v>319500</v>
      </c>
      <c r="L41" s="40"/>
    </row>
    <row r="42" spans="1:12">
      <c r="A42" s="89" t="s">
        <v>110</v>
      </c>
      <c r="G42" s="308">
        <v>339500</v>
      </c>
    </row>
    <row r="43" spans="1:12">
      <c r="A43" s="89" t="s">
        <v>3138</v>
      </c>
      <c r="G43" s="1485">
        <v>251.774</v>
      </c>
    </row>
    <row r="45" spans="1:12">
      <c r="A45" s="75" t="s">
        <v>196</v>
      </c>
      <c r="C45" s="75" t="s">
        <v>1009</v>
      </c>
      <c r="D45" s="74"/>
      <c r="E45" s="75" t="s">
        <v>2595</v>
      </c>
      <c r="F45" s="74"/>
      <c r="G45" s="75" t="s">
        <v>1451</v>
      </c>
    </row>
    <row r="46" spans="1:12">
      <c r="A46" s="89" t="s">
        <v>1148</v>
      </c>
      <c r="C46" s="308">
        <v>4427</v>
      </c>
      <c r="D46" s="308"/>
      <c r="E46" s="308">
        <v>4800</v>
      </c>
      <c r="F46" s="308"/>
      <c r="G46" s="308">
        <v>4765</v>
      </c>
    </row>
    <row r="47" spans="1:12">
      <c r="A47" s="89" t="s">
        <v>1149</v>
      </c>
      <c r="C47" s="805">
        <v>51.47</v>
      </c>
      <c r="D47" s="805"/>
      <c r="E47" s="805">
        <v>62.72</v>
      </c>
      <c r="F47" s="805"/>
      <c r="G47" s="805"/>
    </row>
    <row r="48" spans="1:12">
      <c r="A48" s="89" t="s">
        <v>1150</v>
      </c>
      <c r="C48" s="805">
        <v>62.72</v>
      </c>
      <c r="D48" s="805"/>
      <c r="E48" s="805">
        <v>62.72</v>
      </c>
      <c r="F48" s="805"/>
      <c r="G48" s="1029">
        <v>59.97</v>
      </c>
    </row>
    <row r="49" spans="1:12">
      <c r="A49" s="89" t="s">
        <v>2177</v>
      </c>
      <c r="C49" s="805">
        <v>31.95</v>
      </c>
      <c r="D49" s="805"/>
      <c r="E49" s="805">
        <v>31.95</v>
      </c>
      <c r="F49" s="805"/>
      <c r="G49" s="805">
        <v>31.95</v>
      </c>
    </row>
    <row r="50" spans="1:12">
      <c r="A50" s="89" t="s">
        <v>2175</v>
      </c>
      <c r="C50" s="308">
        <v>514700</v>
      </c>
      <c r="D50" s="308"/>
      <c r="E50" s="308">
        <v>480000</v>
      </c>
      <c r="F50" s="308"/>
      <c r="G50" s="308">
        <v>476500</v>
      </c>
    </row>
    <row r="51" spans="1:12">
      <c r="A51" s="89" t="s">
        <v>2176</v>
      </c>
      <c r="C51" s="308">
        <v>319500</v>
      </c>
      <c r="D51" s="308"/>
      <c r="E51" s="308">
        <v>319500</v>
      </c>
      <c r="F51" s="308"/>
      <c r="G51" s="308">
        <v>319500</v>
      </c>
    </row>
    <row r="52" spans="1:12">
      <c r="A52" s="89" t="s">
        <v>3138</v>
      </c>
      <c r="G52" s="1485">
        <v>469.21499999999997</v>
      </c>
    </row>
    <row r="54" spans="1:12">
      <c r="A54" s="1789" t="s">
        <v>197</v>
      </c>
      <c r="B54" s="1379"/>
      <c r="C54" s="1789" t="s">
        <v>1009</v>
      </c>
      <c r="D54" s="1790"/>
      <c r="E54" s="1789" t="s">
        <v>2595</v>
      </c>
      <c r="F54" s="1790"/>
      <c r="G54" s="1789" t="str">
        <f>G45</f>
        <v>SB 1</v>
      </c>
    </row>
    <row r="55" spans="1:12">
      <c r="A55" s="1379" t="s">
        <v>1148</v>
      </c>
      <c r="B55" s="1379"/>
      <c r="C55" s="1791">
        <v>4535</v>
      </c>
      <c r="D55" s="1791"/>
      <c r="E55" s="1791">
        <v>4800</v>
      </c>
      <c r="F55" s="1791"/>
      <c r="G55" s="1791">
        <v>4950</v>
      </c>
    </row>
    <row r="56" spans="1:12">
      <c r="A56" s="1379" t="s">
        <v>1149</v>
      </c>
      <c r="B56" s="1379"/>
      <c r="C56" s="1029">
        <v>52.74</v>
      </c>
      <c r="D56" s="1029"/>
      <c r="E56" s="1029">
        <v>64.33</v>
      </c>
      <c r="F56" s="1029"/>
      <c r="G56" s="1029"/>
    </row>
    <row r="57" spans="1:12">
      <c r="A57" s="1379" t="s">
        <v>1150</v>
      </c>
      <c r="B57" s="1379"/>
      <c r="C57" s="1029">
        <v>64.33</v>
      </c>
      <c r="D57" s="1029"/>
      <c r="E57" s="1029">
        <v>64.33</v>
      </c>
      <c r="F57" s="1029"/>
      <c r="G57" s="1029">
        <v>59.97</v>
      </c>
    </row>
    <row r="58" spans="1:12">
      <c r="A58" s="1379" t="s">
        <v>2177</v>
      </c>
      <c r="B58" s="1379"/>
      <c r="C58" s="1029">
        <v>31.95</v>
      </c>
      <c r="D58" s="1029"/>
      <c r="E58" s="1029">
        <v>31.95</v>
      </c>
      <c r="F58" s="1029"/>
      <c r="G58" s="1029">
        <v>31.95</v>
      </c>
    </row>
    <row r="59" spans="1:12">
      <c r="A59" s="1379" t="s">
        <v>2175</v>
      </c>
      <c r="B59" s="1379"/>
      <c r="C59" s="1791">
        <v>527400</v>
      </c>
      <c r="D59" s="1791"/>
      <c r="E59" s="1791">
        <v>480000</v>
      </c>
      <c r="F59" s="1791"/>
      <c r="G59" s="1791">
        <v>495000</v>
      </c>
    </row>
    <row r="60" spans="1:12">
      <c r="A60" s="1379" t="s">
        <v>2176</v>
      </c>
      <c r="B60" s="1379"/>
      <c r="C60" s="1791">
        <v>319500</v>
      </c>
      <c r="D60" s="1791"/>
      <c r="E60" s="1791">
        <v>319500</v>
      </c>
      <c r="F60" s="1791"/>
      <c r="G60" s="1791">
        <v>319500</v>
      </c>
    </row>
    <row r="61" spans="1:12" hidden="1">
      <c r="A61" s="1379" t="s">
        <v>1611</v>
      </c>
      <c r="B61" s="1379"/>
      <c r="C61" s="1791"/>
      <c r="D61" s="1791"/>
      <c r="E61" s="1791"/>
      <c r="F61" s="1791"/>
      <c r="G61" s="1029">
        <v>0.98</v>
      </c>
      <c r="H61" s="62" t="s">
        <v>2739</v>
      </c>
      <c r="L61" s="47" t="s">
        <v>2738</v>
      </c>
    </row>
    <row r="62" spans="1:12" hidden="1">
      <c r="A62" s="1379" t="s">
        <v>2737</v>
      </c>
      <c r="B62" s="1379"/>
      <c r="C62" s="1791"/>
      <c r="D62" s="1791"/>
      <c r="E62" s="1791"/>
      <c r="F62" s="1791"/>
      <c r="G62" s="1792">
        <v>0.92349999999999999</v>
      </c>
      <c r="H62" s="62" t="s">
        <v>2739</v>
      </c>
      <c r="L62" s="47" t="s">
        <v>2740</v>
      </c>
    </row>
    <row r="63" spans="1:12">
      <c r="A63" s="1379" t="s">
        <v>3138</v>
      </c>
      <c r="B63" s="1379"/>
      <c r="C63" s="1379"/>
      <c r="D63" s="1379"/>
      <c r="E63" s="1379"/>
      <c r="F63" s="1379"/>
      <c r="G63" s="1485">
        <v>261.37200000000001</v>
      </c>
      <c r="H63" s="62"/>
      <c r="L63" s="47"/>
    </row>
    <row r="64" spans="1:12">
      <c r="A64" s="1379"/>
      <c r="B64" s="1379"/>
      <c r="C64" s="1791"/>
      <c r="D64" s="1791"/>
      <c r="E64" s="1791"/>
      <c r="F64" s="1791"/>
      <c r="G64" s="1791"/>
    </row>
    <row r="65" spans="1:12">
      <c r="A65" s="1789" t="s">
        <v>885</v>
      </c>
      <c r="B65" s="1379"/>
      <c r="C65" s="1789" t="s">
        <v>1009</v>
      </c>
      <c r="D65" s="1790"/>
      <c r="E65" s="1789" t="s">
        <v>2595</v>
      </c>
      <c r="F65" s="1790"/>
      <c r="G65" s="1789" t="s">
        <v>1451</v>
      </c>
    </row>
    <row r="66" spans="1:12">
      <c r="A66" s="1379" t="s">
        <v>1148</v>
      </c>
      <c r="B66" s="1379"/>
      <c r="C66" s="1791">
        <v>4535</v>
      </c>
      <c r="D66" s="1791"/>
      <c r="E66" s="1791">
        <v>4800</v>
      </c>
      <c r="F66" s="1791"/>
      <c r="G66" s="1791">
        <v>5040</v>
      </c>
    </row>
    <row r="67" spans="1:12">
      <c r="A67" s="1379" t="s">
        <v>1149</v>
      </c>
      <c r="B67" s="1379"/>
      <c r="C67" s="1029">
        <v>52.74</v>
      </c>
      <c r="D67" s="1029"/>
      <c r="E67" s="1029">
        <v>64.33</v>
      </c>
      <c r="F67" s="1029"/>
      <c r="G67" s="1029"/>
    </row>
    <row r="68" spans="1:12">
      <c r="A68" s="1379" t="s">
        <v>1150</v>
      </c>
      <c r="B68" s="1379"/>
      <c r="C68" s="1029">
        <v>64.33</v>
      </c>
      <c r="D68" s="1029"/>
      <c r="E68" s="1029">
        <v>64.33</v>
      </c>
      <c r="F68" s="1029"/>
      <c r="G68" s="1029">
        <v>61.86</v>
      </c>
    </row>
    <row r="69" spans="1:12">
      <c r="A69" s="1379" t="s">
        <v>2177</v>
      </c>
      <c r="B69" s="1379"/>
      <c r="C69" s="1029">
        <v>31.95</v>
      </c>
      <c r="D69" s="1029"/>
      <c r="E69" s="1029">
        <v>31.95</v>
      </c>
      <c r="F69" s="1029"/>
      <c r="G69" s="1029">
        <v>31.95</v>
      </c>
    </row>
    <row r="70" spans="1:12">
      <c r="A70" s="1379" t="s">
        <v>2175</v>
      </c>
      <c r="B70" s="1379"/>
      <c r="C70" s="1791">
        <v>527400</v>
      </c>
      <c r="D70" s="1791"/>
      <c r="E70" s="1791">
        <v>480000</v>
      </c>
      <c r="F70" s="1791"/>
      <c r="G70" s="1791">
        <v>504000</v>
      </c>
    </row>
    <row r="71" spans="1:12">
      <c r="A71" s="1379" t="s">
        <v>2176</v>
      </c>
      <c r="B71" s="1379"/>
      <c r="C71" s="1791">
        <v>319500</v>
      </c>
      <c r="D71" s="1791"/>
      <c r="E71" s="1791">
        <v>319500</v>
      </c>
      <c r="F71" s="1791"/>
      <c r="G71" s="1791">
        <v>319500</v>
      </c>
    </row>
    <row r="72" spans="1:12" hidden="1">
      <c r="A72" s="1379" t="s">
        <v>1611</v>
      </c>
      <c r="B72" s="1379"/>
      <c r="C72" s="1791"/>
      <c r="D72" s="1791"/>
      <c r="E72" s="1791"/>
      <c r="F72" s="1791"/>
      <c r="G72" s="1029">
        <v>0.98</v>
      </c>
      <c r="H72" s="62" t="s">
        <v>2739</v>
      </c>
      <c r="L72" s="47" t="s">
        <v>2738</v>
      </c>
    </row>
    <row r="73" spans="1:12" hidden="1">
      <c r="A73" s="1379" t="s">
        <v>2737</v>
      </c>
      <c r="B73" s="1379"/>
      <c r="C73" s="1791"/>
      <c r="D73" s="1791"/>
      <c r="E73" s="1791"/>
      <c r="F73" s="1791"/>
      <c r="G73" s="1792">
        <v>0.92349999999999999</v>
      </c>
      <c r="H73" s="62" t="s">
        <v>2739</v>
      </c>
      <c r="L73" s="47" t="s">
        <v>2740</v>
      </c>
    </row>
    <row r="74" spans="1:12">
      <c r="A74" s="1379" t="s">
        <v>3138</v>
      </c>
      <c r="B74" s="1379"/>
      <c r="C74" s="1379"/>
      <c r="D74" s="1379"/>
      <c r="E74" s="1379"/>
      <c r="F74" s="1379"/>
      <c r="G74" s="1872">
        <v>263.596</v>
      </c>
    </row>
    <row r="75" spans="1:12">
      <c r="G75" s="1088"/>
    </row>
    <row r="76" spans="1:12">
      <c r="A76" s="1789" t="s">
        <v>3561</v>
      </c>
      <c r="B76" s="1379"/>
      <c r="C76" s="1789" t="s">
        <v>1009</v>
      </c>
      <c r="D76" s="1790"/>
      <c r="E76" s="1789" t="s">
        <v>2595</v>
      </c>
      <c r="F76" s="1790"/>
      <c r="G76" s="1789" t="s">
        <v>4480</v>
      </c>
    </row>
    <row r="77" spans="1:12">
      <c r="A77" s="1379" t="s">
        <v>1148</v>
      </c>
      <c r="B77" s="1379"/>
      <c r="C77" s="1791">
        <v>4535</v>
      </c>
      <c r="D77" s="1791"/>
      <c r="E77" s="1791">
        <v>4800</v>
      </c>
      <c r="F77" s="1791"/>
      <c r="G77" s="1791">
        <v>5140</v>
      </c>
    </row>
    <row r="78" spans="1:12">
      <c r="A78" s="1379" t="s">
        <v>1149</v>
      </c>
      <c r="B78" s="1379"/>
      <c r="C78" s="1029">
        <v>52.74</v>
      </c>
      <c r="D78" s="1029"/>
      <c r="E78" s="1029">
        <v>64.33</v>
      </c>
      <c r="F78" s="1029"/>
      <c r="G78" s="1029"/>
    </row>
    <row r="79" spans="1:12">
      <c r="A79" s="1379" t="s">
        <v>1150</v>
      </c>
      <c r="B79" s="1379"/>
      <c r="C79" s="1029">
        <v>64.33</v>
      </c>
      <c r="D79" s="1029"/>
      <c r="E79" s="1029">
        <v>64.33</v>
      </c>
      <c r="F79" s="1029"/>
      <c r="G79" s="1029">
        <v>74.28</v>
      </c>
    </row>
    <row r="80" spans="1:12">
      <c r="A80" s="1379" t="s">
        <v>2177</v>
      </c>
      <c r="B80" s="1379"/>
      <c r="C80" s="1029">
        <v>31.95</v>
      </c>
      <c r="D80" s="1029"/>
      <c r="E80" s="1029">
        <v>31.95</v>
      </c>
      <c r="F80" s="1029"/>
      <c r="G80" s="1029">
        <v>31.95</v>
      </c>
    </row>
    <row r="81" spans="1:7">
      <c r="A81" s="1379" t="s">
        <v>2175</v>
      </c>
      <c r="B81" s="1379"/>
      <c r="C81" s="1791">
        <v>527400</v>
      </c>
      <c r="D81" s="1791"/>
      <c r="E81" s="1791">
        <v>480000</v>
      </c>
      <c r="F81" s="1791"/>
      <c r="G81" s="1791">
        <v>514000</v>
      </c>
    </row>
    <row r="82" spans="1:7">
      <c r="A82" s="1379" t="s">
        <v>2176</v>
      </c>
      <c r="B82" s="1379"/>
      <c r="C82" s="1791">
        <v>319500</v>
      </c>
      <c r="D82" s="1791"/>
      <c r="E82" s="1791">
        <v>319500</v>
      </c>
      <c r="F82" s="1791"/>
      <c r="G82" s="1791">
        <v>319500</v>
      </c>
    </row>
    <row r="83" spans="1:7" hidden="1">
      <c r="A83" s="1379" t="s">
        <v>1611</v>
      </c>
      <c r="B83" s="1379"/>
      <c r="C83" s="1791"/>
      <c r="D83" s="1791"/>
      <c r="E83" s="1791"/>
      <c r="F83" s="1791"/>
      <c r="G83" s="1029">
        <v>0.98</v>
      </c>
    </row>
    <row r="84" spans="1:7" hidden="1">
      <c r="A84" s="1379" t="s">
        <v>2737</v>
      </c>
      <c r="B84" s="1379"/>
      <c r="C84" s="1791"/>
      <c r="D84" s="1791"/>
      <c r="E84" s="1791"/>
      <c r="F84" s="1791"/>
      <c r="G84" s="1792">
        <v>0.92349999999999999</v>
      </c>
    </row>
    <row r="85" spans="1:7">
      <c r="A85" s="1379" t="s">
        <v>3138</v>
      </c>
      <c r="B85" s="1379"/>
      <c r="C85" s="1379"/>
      <c r="D85" s="1379"/>
      <c r="E85" s="1379"/>
      <c r="F85" s="1379"/>
      <c r="G85" s="1485">
        <v>180.32</v>
      </c>
    </row>
    <row r="86" spans="1:7">
      <c r="A86" s="1379"/>
      <c r="B86" s="1379"/>
      <c r="C86" s="1379"/>
      <c r="D86" s="1379"/>
      <c r="E86" s="1379"/>
      <c r="F86" s="1379"/>
      <c r="G86" s="1485"/>
    </row>
    <row r="87" spans="1:7">
      <c r="A87" s="1789" t="s">
        <v>3613</v>
      </c>
      <c r="B87" s="1379"/>
      <c r="C87" s="1789" t="s">
        <v>1009</v>
      </c>
      <c r="D87" s="1790"/>
      <c r="E87" s="1789" t="s">
        <v>2595</v>
      </c>
      <c r="F87" s="1790"/>
      <c r="G87" s="1789" t="s">
        <v>4480</v>
      </c>
    </row>
    <row r="88" spans="1:7">
      <c r="A88" s="1379" t="s">
        <v>1148</v>
      </c>
      <c r="B88" s="1379"/>
      <c r="C88" s="1791">
        <v>4535</v>
      </c>
      <c r="D88" s="1791"/>
      <c r="E88" s="1791">
        <v>4800</v>
      </c>
      <c r="F88" s="1791"/>
      <c r="G88" s="1791">
        <v>5140</v>
      </c>
    </row>
    <row r="89" spans="1:7">
      <c r="A89" s="1379" t="s">
        <v>1149</v>
      </c>
      <c r="B89" s="1379"/>
      <c r="C89" s="1029">
        <v>52.74</v>
      </c>
      <c r="D89" s="1029"/>
      <c r="E89" s="1029">
        <v>64.33</v>
      </c>
      <c r="F89" s="1029"/>
      <c r="G89" s="1029"/>
    </row>
    <row r="90" spans="1:7">
      <c r="A90" s="1379" t="s">
        <v>1150</v>
      </c>
      <c r="B90" s="1379"/>
      <c r="C90" s="1029">
        <v>64.33</v>
      </c>
      <c r="D90" s="1029"/>
      <c r="E90" s="1029">
        <v>64.33</v>
      </c>
      <c r="F90" s="1029"/>
      <c r="G90" s="1029">
        <v>77.53</v>
      </c>
    </row>
    <row r="91" spans="1:7">
      <c r="A91" s="1379" t="s">
        <v>2177</v>
      </c>
      <c r="B91" s="1379"/>
      <c r="C91" s="1029">
        <v>31.95</v>
      </c>
      <c r="D91" s="1029"/>
      <c r="E91" s="1029">
        <v>31.95</v>
      </c>
      <c r="F91" s="1029"/>
      <c r="G91" s="1029">
        <v>31.95</v>
      </c>
    </row>
    <row r="92" spans="1:7">
      <c r="A92" s="1379" t="s">
        <v>2175</v>
      </c>
      <c r="B92" s="1379"/>
      <c r="C92" s="1791">
        <v>527400</v>
      </c>
      <c r="D92" s="1791"/>
      <c r="E92" s="1791">
        <v>480000</v>
      </c>
      <c r="F92" s="1791"/>
      <c r="G92" s="1791">
        <v>514000</v>
      </c>
    </row>
    <row r="93" spans="1:7">
      <c r="A93" s="1379" t="s">
        <v>2176</v>
      </c>
      <c r="B93" s="1379"/>
      <c r="C93" s="1791">
        <v>319500</v>
      </c>
      <c r="D93" s="1791"/>
      <c r="E93" s="1791">
        <v>319500</v>
      </c>
      <c r="F93" s="1791"/>
      <c r="G93" s="1791">
        <v>319500</v>
      </c>
    </row>
    <row r="94" spans="1:7" hidden="1">
      <c r="A94" s="1379" t="s">
        <v>1611</v>
      </c>
      <c r="B94" s="1379"/>
      <c r="C94" s="1791"/>
      <c r="D94" s="1791"/>
      <c r="E94" s="1791"/>
      <c r="F94" s="1791"/>
      <c r="G94" s="1029">
        <v>0.98</v>
      </c>
    </row>
    <row r="95" spans="1:7" hidden="1">
      <c r="A95" s="1379" t="s">
        <v>2737</v>
      </c>
      <c r="B95" s="1379"/>
      <c r="C95" s="1791"/>
      <c r="D95" s="1791"/>
      <c r="E95" s="1791"/>
      <c r="F95" s="1791"/>
      <c r="G95" s="1792">
        <v>0.92349999999999999</v>
      </c>
    </row>
    <row r="96" spans="1:7">
      <c r="A96" s="1379" t="s">
        <v>3138</v>
      </c>
      <c r="B96" s="1379"/>
      <c r="C96" s="1379"/>
      <c r="D96" s="1379"/>
      <c r="E96" s="1379"/>
      <c r="F96" s="1379"/>
      <c r="G96" s="1485">
        <v>390.3</v>
      </c>
    </row>
    <row r="97" spans="1:11">
      <c r="G97" s="1088"/>
    </row>
    <row r="98" spans="1:11">
      <c r="A98" s="1480" t="s">
        <v>3673</v>
      </c>
      <c r="B98" s="1481"/>
      <c r="C98" s="1480" t="s">
        <v>1009</v>
      </c>
      <c r="D98" s="3118"/>
      <c r="E98" s="1480" t="s">
        <v>2595</v>
      </c>
      <c r="F98" s="3118"/>
      <c r="G98" s="1480" t="s">
        <v>7332</v>
      </c>
      <c r="I98" s="2489" t="s">
        <v>3546</v>
      </c>
      <c r="J98" s="129"/>
      <c r="K98" s="130"/>
    </row>
    <row r="99" spans="1:11">
      <c r="A99" s="1481" t="s">
        <v>1148</v>
      </c>
      <c r="B99" s="1481"/>
      <c r="C99" s="1482">
        <v>4535</v>
      </c>
      <c r="D99" s="1482"/>
      <c r="E99" s="1482">
        <v>4800</v>
      </c>
      <c r="F99" s="1482"/>
      <c r="G99" s="1482">
        <f>G88</f>
        <v>5140</v>
      </c>
      <c r="I99" s="2486" t="s">
        <v>3552</v>
      </c>
      <c r="J99" s="35"/>
      <c r="K99" s="118"/>
    </row>
    <row r="100" spans="1:11">
      <c r="A100" s="1481" t="s">
        <v>1149</v>
      </c>
      <c r="B100" s="1481"/>
      <c r="C100" s="3119">
        <v>52.74</v>
      </c>
      <c r="D100" s="3119"/>
      <c r="E100" s="3119">
        <v>64.33</v>
      </c>
      <c r="F100" s="3119"/>
      <c r="G100" s="3119"/>
      <c r="I100" s="2487" t="s">
        <v>3553</v>
      </c>
      <c r="J100" s="35"/>
      <c r="K100" s="118"/>
    </row>
    <row r="101" spans="1:11">
      <c r="A101" s="1481" t="s">
        <v>1150</v>
      </c>
      <c r="B101" s="1481"/>
      <c r="C101" s="3119">
        <v>64.33</v>
      </c>
      <c r="D101" s="3119"/>
      <c r="E101" s="3119">
        <v>64.33</v>
      </c>
      <c r="F101" s="3119"/>
      <c r="G101" s="3119">
        <v>99.41</v>
      </c>
      <c r="I101" s="2486" t="s">
        <v>3549</v>
      </c>
      <c r="J101" s="35"/>
      <c r="K101" s="118"/>
    </row>
    <row r="102" spans="1:11">
      <c r="A102" s="1481" t="s">
        <v>2177</v>
      </c>
      <c r="B102" s="1481"/>
      <c r="C102" s="3119">
        <v>31.95</v>
      </c>
      <c r="D102" s="3119"/>
      <c r="E102" s="3119">
        <v>31.95</v>
      </c>
      <c r="F102" s="3119"/>
      <c r="G102" s="3119">
        <v>31.95</v>
      </c>
      <c r="I102" s="2488" t="s">
        <v>3547</v>
      </c>
      <c r="J102" s="119"/>
      <c r="K102" s="131"/>
    </row>
    <row r="103" spans="1:11">
      <c r="A103" s="1481" t="s">
        <v>2175</v>
      </c>
      <c r="B103" s="1481"/>
      <c r="C103" s="1482">
        <v>527400</v>
      </c>
      <c r="D103" s="1482"/>
      <c r="E103" s="1482">
        <v>480000</v>
      </c>
      <c r="F103" s="1482"/>
      <c r="G103" s="1482">
        <f>G92</f>
        <v>514000</v>
      </c>
    </row>
    <row r="104" spans="1:11">
      <c r="A104" s="1481" t="s">
        <v>2176</v>
      </c>
      <c r="B104" s="1481"/>
      <c r="C104" s="1482">
        <v>319500</v>
      </c>
      <c r="D104" s="1482"/>
      <c r="E104" s="1482">
        <v>319500</v>
      </c>
      <c r="F104" s="1482"/>
      <c r="G104" s="1482">
        <v>319500</v>
      </c>
    </row>
    <row r="105" spans="1:11">
      <c r="A105" s="1481" t="s">
        <v>3138</v>
      </c>
      <c r="B105" s="1481"/>
      <c r="C105" s="1481"/>
      <c r="D105" s="1481"/>
      <c r="E105" s="1481"/>
      <c r="F105" s="1481"/>
      <c r="G105" s="3120">
        <v>206.566</v>
      </c>
      <c r="H105" s="47" t="s">
        <v>4445</v>
      </c>
      <c r="I105" s="47" t="s">
        <v>7738</v>
      </c>
    </row>
    <row r="106" spans="1:11">
      <c r="A106" s="1481"/>
      <c r="B106" s="1481"/>
      <c r="C106" s="1481"/>
      <c r="D106" s="1481"/>
      <c r="E106" s="1481"/>
      <c r="F106" s="1481"/>
      <c r="G106" s="1481"/>
    </row>
    <row r="107" spans="1:11">
      <c r="A107" s="1480" t="s">
        <v>3830</v>
      </c>
      <c r="B107" s="1481"/>
      <c r="C107" s="1480" t="s">
        <v>1009</v>
      </c>
      <c r="D107" s="3118"/>
      <c r="E107" s="1480" t="s">
        <v>2595</v>
      </c>
      <c r="F107" s="3118"/>
      <c r="G107" s="1480" t="str">
        <f>G98</f>
        <v>85th Leg</v>
      </c>
    </row>
    <row r="108" spans="1:11">
      <c r="A108" s="1481" t="s">
        <v>1148</v>
      </c>
      <c r="B108" s="1481"/>
      <c r="C108" s="1482">
        <v>4535</v>
      </c>
      <c r="D108" s="1482"/>
      <c r="E108" s="1482">
        <v>4800</v>
      </c>
      <c r="F108" s="1482"/>
      <c r="G108" s="1482">
        <f>G99</f>
        <v>5140</v>
      </c>
    </row>
    <row r="109" spans="1:11">
      <c r="A109" s="1481" t="s">
        <v>1149</v>
      </c>
      <c r="B109" s="1481"/>
      <c r="C109" s="3119">
        <v>52.74</v>
      </c>
      <c r="D109" s="3119"/>
      <c r="E109" s="3119">
        <v>64.33</v>
      </c>
      <c r="F109" s="3119"/>
      <c r="G109" s="3119"/>
    </row>
    <row r="110" spans="1:11">
      <c r="A110" s="1481" t="s">
        <v>1150</v>
      </c>
      <c r="B110" s="1481"/>
      <c r="C110" s="3119">
        <v>64.33</v>
      </c>
      <c r="D110" s="3119"/>
      <c r="E110" s="3119">
        <v>64.33</v>
      </c>
      <c r="F110" s="3119"/>
      <c r="G110" s="3119">
        <v>106.28</v>
      </c>
    </row>
    <row r="111" spans="1:11">
      <c r="A111" s="1481" t="s">
        <v>2177</v>
      </c>
      <c r="B111" s="1481"/>
      <c r="C111" s="3119">
        <v>31.95</v>
      </c>
      <c r="D111" s="3119"/>
      <c r="E111" s="3119">
        <v>31.95</v>
      </c>
      <c r="F111" s="3119"/>
      <c r="G111" s="3119">
        <v>31.95</v>
      </c>
    </row>
    <row r="112" spans="1:11">
      <c r="A112" s="1481" t="s">
        <v>2175</v>
      </c>
      <c r="B112" s="1481"/>
      <c r="C112" s="1482">
        <v>527400</v>
      </c>
      <c r="D112" s="1482"/>
      <c r="E112" s="1482">
        <v>480000</v>
      </c>
      <c r="F112" s="1482"/>
      <c r="G112" s="1482">
        <f>G103</f>
        <v>514000</v>
      </c>
    </row>
    <row r="113" spans="1:9">
      <c r="A113" s="1481" t="s">
        <v>2176</v>
      </c>
      <c r="B113" s="1481"/>
      <c r="C113" s="1482">
        <v>319500</v>
      </c>
      <c r="D113" s="1482"/>
      <c r="E113" s="1482">
        <v>319500</v>
      </c>
      <c r="F113" s="1482"/>
      <c r="G113" s="1482">
        <v>319500</v>
      </c>
    </row>
    <row r="114" spans="1:9">
      <c r="A114" s="1481" t="s">
        <v>3138</v>
      </c>
      <c r="B114" s="1481"/>
      <c r="C114" s="1481"/>
      <c r="D114" s="1481"/>
      <c r="E114" s="1481"/>
      <c r="F114" s="1481"/>
      <c r="G114" s="3120">
        <v>447.18</v>
      </c>
      <c r="H114" s="47" t="s">
        <v>4445</v>
      </c>
      <c r="I114" s="47" t="s">
        <v>9063</v>
      </c>
    </row>
    <row r="116" spans="1:9">
      <c r="A116" s="75" t="s">
        <v>3903</v>
      </c>
      <c r="C116" s="75" t="s">
        <v>1009</v>
      </c>
      <c r="D116" s="74"/>
      <c r="E116" s="75" t="s">
        <v>2595</v>
      </c>
      <c r="F116" s="74"/>
      <c r="G116" s="75" t="str">
        <f>G107</f>
        <v>85th Leg</v>
      </c>
    </row>
    <row r="117" spans="1:9">
      <c r="A117" s="89" t="s">
        <v>1148</v>
      </c>
      <c r="C117" s="308">
        <v>4535</v>
      </c>
      <c r="D117" s="308"/>
      <c r="E117" s="308">
        <v>4800</v>
      </c>
      <c r="F117" s="308"/>
      <c r="G117" s="308">
        <f>G108</f>
        <v>5140</v>
      </c>
    </row>
    <row r="118" spans="1:9">
      <c r="A118" s="89" t="s">
        <v>1149</v>
      </c>
      <c r="C118" s="805">
        <v>52.74</v>
      </c>
      <c r="D118" s="805"/>
      <c r="E118" s="805">
        <v>64.33</v>
      </c>
      <c r="F118" s="805"/>
      <c r="G118" s="805"/>
    </row>
    <row r="119" spans="1:9">
      <c r="A119" s="89" t="s">
        <v>1150</v>
      </c>
      <c r="C119" s="805">
        <v>64.33</v>
      </c>
      <c r="D119" s="805"/>
      <c r="E119" s="805">
        <v>64.33</v>
      </c>
      <c r="F119" s="805"/>
      <c r="G119" s="805">
        <f>G110</f>
        <v>106.28</v>
      </c>
    </row>
    <row r="120" spans="1:9">
      <c r="A120" s="89" t="s">
        <v>2177</v>
      </c>
      <c r="C120" s="805">
        <v>31.95</v>
      </c>
      <c r="D120" s="805"/>
      <c r="E120" s="805">
        <v>31.95</v>
      </c>
      <c r="F120" s="805"/>
      <c r="G120" s="805">
        <v>31.95</v>
      </c>
    </row>
    <row r="121" spans="1:9">
      <c r="A121" s="89" t="s">
        <v>2175</v>
      </c>
      <c r="C121" s="308">
        <v>527400</v>
      </c>
      <c r="D121" s="308"/>
      <c r="E121" s="308">
        <v>480000</v>
      </c>
      <c r="F121" s="308"/>
      <c r="G121" s="308">
        <f>G112</f>
        <v>514000</v>
      </c>
    </row>
    <row r="122" spans="1:9">
      <c r="A122" s="89" t="s">
        <v>2176</v>
      </c>
      <c r="C122" s="308">
        <v>319500</v>
      </c>
      <c r="D122" s="308"/>
      <c r="E122" s="308">
        <v>319500</v>
      </c>
      <c r="F122" s="308"/>
      <c r="G122" s="308">
        <v>319500</v>
      </c>
    </row>
    <row r="123" spans="1:9">
      <c r="A123" s="89" t="s">
        <v>3138</v>
      </c>
      <c r="G123" s="1088">
        <v>200</v>
      </c>
      <c r="H123" s="47" t="s">
        <v>4445</v>
      </c>
      <c r="I123" s="47" t="s">
        <v>7739</v>
      </c>
    </row>
    <row r="125" spans="1:9">
      <c r="A125" s="75" t="s">
        <v>4592</v>
      </c>
      <c r="C125" s="75" t="s">
        <v>1009</v>
      </c>
      <c r="D125" s="74"/>
      <c r="E125" s="75" t="s">
        <v>2595</v>
      </c>
      <c r="F125" s="74"/>
      <c r="G125" s="75" t="str">
        <f>G116</f>
        <v>85th Leg</v>
      </c>
    </row>
    <row r="126" spans="1:9">
      <c r="A126" s="89" t="s">
        <v>1148</v>
      </c>
      <c r="C126" s="308">
        <v>4535</v>
      </c>
      <c r="D126" s="308"/>
      <c r="E126" s="308">
        <v>4800</v>
      </c>
      <c r="F126" s="308"/>
      <c r="G126" s="308">
        <f>G117</f>
        <v>5140</v>
      </c>
    </row>
    <row r="127" spans="1:9">
      <c r="A127" s="89" t="s">
        <v>1149</v>
      </c>
      <c r="C127" s="805">
        <v>52.74</v>
      </c>
      <c r="D127" s="805"/>
      <c r="E127" s="805">
        <v>64.33</v>
      </c>
      <c r="F127" s="805"/>
      <c r="G127" s="805"/>
    </row>
    <row r="128" spans="1:9">
      <c r="A128" s="89" t="s">
        <v>1150</v>
      </c>
      <c r="C128" s="805">
        <v>64.33</v>
      </c>
      <c r="D128" s="805"/>
      <c r="E128" s="805">
        <v>64.33</v>
      </c>
      <c r="F128" s="805"/>
      <c r="G128" s="805">
        <f>G119</f>
        <v>106.28</v>
      </c>
    </row>
    <row r="129" spans="1:9">
      <c r="A129" s="89" t="s">
        <v>2177</v>
      </c>
      <c r="C129" s="805">
        <v>31.95</v>
      </c>
      <c r="D129" s="805"/>
      <c r="E129" s="805">
        <v>31.95</v>
      </c>
      <c r="F129" s="805"/>
      <c r="G129" s="805">
        <v>31.95</v>
      </c>
    </row>
    <row r="130" spans="1:9">
      <c r="A130" s="89" t="s">
        <v>2175</v>
      </c>
      <c r="C130" s="308">
        <v>527400</v>
      </c>
      <c r="D130" s="308"/>
      <c r="E130" s="308">
        <v>480000</v>
      </c>
      <c r="F130" s="308"/>
      <c r="G130" s="308">
        <f>G121</f>
        <v>514000</v>
      </c>
    </row>
    <row r="131" spans="1:9">
      <c r="A131" s="89" t="s">
        <v>2176</v>
      </c>
      <c r="C131" s="308">
        <v>319500</v>
      </c>
      <c r="D131" s="308"/>
      <c r="E131" s="308">
        <v>319500</v>
      </c>
      <c r="F131" s="308"/>
      <c r="G131" s="308">
        <v>319500</v>
      </c>
    </row>
    <row r="132" spans="1:9">
      <c r="A132" s="89" t="s">
        <v>3138</v>
      </c>
      <c r="G132" s="1088">
        <v>375</v>
      </c>
      <c r="H132" s="47" t="s">
        <v>4445</v>
      </c>
      <c r="I132" s="47" t="s">
        <v>7739</v>
      </c>
    </row>
    <row r="134" spans="1:9">
      <c r="A134" s="75" t="s">
        <v>7097</v>
      </c>
      <c r="C134" s="75" t="s">
        <v>1009</v>
      </c>
      <c r="D134" s="74"/>
      <c r="E134" s="75" t="s">
        <v>2595</v>
      </c>
      <c r="F134" s="74"/>
      <c r="G134" s="75" t="str">
        <f>G125</f>
        <v>85th Leg</v>
      </c>
    </row>
    <row r="135" spans="1:9">
      <c r="A135" s="89" t="s">
        <v>1148</v>
      </c>
      <c r="C135" s="308">
        <v>4535</v>
      </c>
      <c r="D135" s="308"/>
      <c r="E135" s="308">
        <v>4800</v>
      </c>
      <c r="F135" s="308"/>
      <c r="G135" s="308">
        <v>5140</v>
      </c>
    </row>
    <row r="136" spans="1:9">
      <c r="A136" s="89" t="s">
        <v>1149</v>
      </c>
      <c r="C136" s="805">
        <v>52.74</v>
      </c>
      <c r="D136" s="805"/>
      <c r="E136" s="805">
        <v>64.33</v>
      </c>
      <c r="F136" s="805"/>
      <c r="G136" s="805"/>
    </row>
    <row r="137" spans="1:9">
      <c r="A137" s="89" t="s">
        <v>1150</v>
      </c>
      <c r="C137" s="805">
        <v>64.33</v>
      </c>
      <c r="D137" s="805"/>
      <c r="E137" s="805">
        <v>64.33</v>
      </c>
      <c r="F137" s="805"/>
      <c r="G137" s="805">
        <f>G128</f>
        <v>106.28</v>
      </c>
    </row>
    <row r="138" spans="1:9">
      <c r="A138" s="89" t="s">
        <v>2177</v>
      </c>
      <c r="C138" s="805">
        <v>31.95</v>
      </c>
      <c r="D138" s="805"/>
      <c r="E138" s="805">
        <v>31.95</v>
      </c>
      <c r="F138" s="805"/>
      <c r="G138" s="805">
        <v>31.95</v>
      </c>
    </row>
    <row r="139" spans="1:9">
      <c r="A139" s="89" t="s">
        <v>2175</v>
      </c>
      <c r="C139" s="308">
        <v>527400</v>
      </c>
      <c r="D139" s="308"/>
      <c r="E139" s="308">
        <v>480000</v>
      </c>
      <c r="F139" s="308"/>
      <c r="G139" s="308">
        <f>G135*100</f>
        <v>514000</v>
      </c>
    </row>
    <row r="140" spans="1:9">
      <c r="A140" s="89" t="s">
        <v>2176</v>
      </c>
      <c r="C140" s="308">
        <v>319500</v>
      </c>
      <c r="D140" s="308"/>
      <c r="E140" s="308">
        <v>319500</v>
      </c>
      <c r="F140" s="308"/>
      <c r="G140" s="308">
        <v>319500</v>
      </c>
    </row>
    <row r="141" spans="1:9">
      <c r="A141" s="89" t="s">
        <v>3138</v>
      </c>
      <c r="G141" s="1088">
        <v>200</v>
      </c>
      <c r="H141" s="47" t="s">
        <v>4445</v>
      </c>
      <c r="I141" s="47" t="s">
        <v>7739</v>
      </c>
    </row>
    <row r="143" spans="1:9">
      <c r="A143" s="75" t="s">
        <v>7733</v>
      </c>
      <c r="C143" s="75" t="s">
        <v>1009</v>
      </c>
      <c r="D143" s="74"/>
      <c r="E143" s="75" t="s">
        <v>2595</v>
      </c>
      <c r="F143" s="74"/>
      <c r="G143" s="75" t="str">
        <f>G134</f>
        <v>85th Leg</v>
      </c>
    </row>
    <row r="144" spans="1:9">
      <c r="A144" s="89" t="s">
        <v>1148</v>
      </c>
      <c r="C144" s="308">
        <v>4535</v>
      </c>
      <c r="D144" s="308"/>
      <c r="E144" s="308">
        <v>4800</v>
      </c>
      <c r="F144" s="308"/>
      <c r="G144" s="308">
        <v>5140</v>
      </c>
    </row>
    <row r="145" spans="1:9">
      <c r="A145" s="89" t="s">
        <v>1149</v>
      </c>
      <c r="C145" s="805">
        <v>52.74</v>
      </c>
      <c r="D145" s="805"/>
      <c r="E145" s="805">
        <v>64.33</v>
      </c>
      <c r="F145" s="805"/>
      <c r="G145" s="805"/>
    </row>
    <row r="146" spans="1:9">
      <c r="A146" s="89" t="s">
        <v>1150</v>
      </c>
      <c r="C146" s="805">
        <v>64.33</v>
      </c>
      <c r="D146" s="805"/>
      <c r="E146" s="805">
        <v>64.33</v>
      </c>
      <c r="F146" s="805"/>
      <c r="G146" s="805">
        <f>G137</f>
        <v>106.28</v>
      </c>
    </row>
    <row r="147" spans="1:9">
      <c r="A147" s="89" t="s">
        <v>2177</v>
      </c>
      <c r="C147" s="805">
        <v>31.95</v>
      </c>
      <c r="D147" s="805"/>
      <c r="E147" s="805">
        <v>31.95</v>
      </c>
      <c r="F147" s="805"/>
      <c r="G147" s="805">
        <v>31.95</v>
      </c>
    </row>
    <row r="148" spans="1:9">
      <c r="A148" s="89" t="s">
        <v>2175</v>
      </c>
      <c r="C148" s="308">
        <v>527400</v>
      </c>
      <c r="D148" s="308"/>
      <c r="E148" s="308">
        <v>480000</v>
      </c>
      <c r="F148" s="308"/>
      <c r="G148" s="308">
        <f>G144*100</f>
        <v>514000</v>
      </c>
    </row>
    <row r="149" spans="1:9">
      <c r="A149" s="89" t="s">
        <v>2176</v>
      </c>
      <c r="C149" s="308">
        <v>319500</v>
      </c>
      <c r="D149" s="308"/>
      <c r="E149" s="308">
        <v>319500</v>
      </c>
      <c r="F149" s="308"/>
      <c r="G149" s="308">
        <v>319500</v>
      </c>
    </row>
    <row r="150" spans="1:9">
      <c r="A150" s="89" t="s">
        <v>3138</v>
      </c>
      <c r="G150" s="1088">
        <v>375</v>
      </c>
      <c r="H150" s="47" t="s">
        <v>4445</v>
      </c>
      <c r="I150" s="47" t="s">
        <v>7739</v>
      </c>
    </row>
  </sheetData>
  <phoneticPr fontId="25" type="noConversion"/>
  <pageMargins left="0.45" right="0.45" top="0.5" bottom="0.5" header="0.3" footer="0.3"/>
  <pageSetup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2.75"/>
  <cols>
    <col min="1" max="1" width="9.140625" style="89" customWidth="1"/>
    <col min="2" max="2" width="86.28515625" style="47" customWidth="1"/>
    <col min="3" max="3" width="4.140625" style="47" customWidth="1"/>
    <col min="4" max="4" width="20.7109375" style="47" customWidth="1"/>
    <col min="5" max="5" width="19.7109375" style="47" customWidth="1"/>
    <col min="6" max="12" width="9.140625" style="47" customWidth="1"/>
  </cols>
  <sheetData>
    <row r="1" spans="1:12">
      <c r="A1" s="1074" t="s">
        <v>3266</v>
      </c>
      <c r="C1" s="1777"/>
      <c r="D1" s="1773" t="str">
        <f>'Report-SOF1617'!D1</f>
        <v>84th/85th Legislative Session</v>
      </c>
    </row>
    <row r="2" spans="1:12">
      <c r="A2" s="1074" t="s">
        <v>3265</v>
      </c>
      <c r="D2" s="98" t="str">
        <f>'Report-SOF1617'!D2</f>
        <v>Release 2</v>
      </c>
    </row>
    <row r="3" spans="1:12">
      <c r="D3" s="82">
        <f>'Report-SOF1617'!D3</f>
        <v>43145</v>
      </c>
    </row>
    <row r="4" spans="1:12" s="1076" customFormat="1" ht="15.75">
      <c r="A4" s="1075" t="s">
        <v>3705</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1795" t="s">
        <v>7617</v>
      </c>
      <c r="F7" s="961"/>
      <c r="G7" s="961"/>
      <c r="H7" s="961"/>
      <c r="I7" s="961"/>
      <c r="J7" s="961"/>
      <c r="K7" s="961"/>
      <c r="L7" s="961"/>
    </row>
    <row r="8" spans="1:12" s="1076" customFormat="1" ht="15.75">
      <c r="A8" s="1075"/>
      <c r="B8" s="3392" t="s">
        <v>3727</v>
      </c>
      <c r="C8" s="3393"/>
      <c r="D8" s="1479" t="e">
        <f>'ASATR-SB1'!G42</f>
        <v>#DIV/0!</v>
      </c>
      <c r="E8" s="2566">
        <f>IF(ISNA('DE1'!E22),0,'DE1'!E22)</f>
        <v>0</v>
      </c>
      <c r="F8" s="1795" t="s">
        <v>7616</v>
      </c>
      <c r="G8" s="961"/>
      <c r="H8" s="961"/>
      <c r="I8" s="961"/>
      <c r="J8" s="961"/>
      <c r="K8" s="961"/>
      <c r="L8" s="961"/>
    </row>
    <row r="9" spans="1:12" s="1076" customFormat="1" ht="18">
      <c r="A9" s="1314" t="s">
        <v>3107</v>
      </c>
      <c r="B9" s="3390"/>
      <c r="C9" s="3391"/>
      <c r="D9" s="3400" t="s">
        <v>3115</v>
      </c>
      <c r="E9" s="961"/>
      <c r="F9" s="1795" t="s">
        <v>7633</v>
      </c>
      <c r="G9" s="961"/>
      <c r="H9" s="961"/>
      <c r="I9" s="961"/>
      <c r="J9" s="961"/>
      <c r="K9" s="961"/>
      <c r="L9" s="961"/>
    </row>
    <row r="10" spans="1:12" s="1076" customFormat="1" ht="18">
      <c r="A10" s="3638" t="s">
        <v>3108</v>
      </c>
      <c r="B10" s="3654"/>
      <c r="C10" s="3639"/>
      <c r="D10" s="3400" t="s">
        <v>3207</v>
      </c>
      <c r="E10" s="961"/>
      <c r="F10" s="1795" t="s">
        <v>7634</v>
      </c>
      <c r="G10" s="961"/>
      <c r="H10" s="961"/>
      <c r="I10" s="961"/>
      <c r="J10" s="961"/>
      <c r="K10" s="961"/>
      <c r="L10" s="961"/>
    </row>
    <row r="11" spans="1:12" s="1076" customFormat="1" ht="15.75">
      <c r="A11" s="1079" t="s">
        <v>2501</v>
      </c>
      <c r="B11" s="1080" t="s">
        <v>3109</v>
      </c>
      <c r="C11" s="1080"/>
      <c r="D11" s="1081">
        <f>'SOF1718-SB1'!F8</f>
        <v>0</v>
      </c>
      <c r="E11" s="961"/>
      <c r="G11" s="961"/>
      <c r="H11" s="961"/>
      <c r="I11" s="961"/>
      <c r="J11" s="961"/>
      <c r="K11" s="961"/>
      <c r="L11" s="961"/>
    </row>
    <row r="12" spans="1:12" s="1076" customFormat="1" ht="15.75">
      <c r="A12" s="1079" t="s">
        <v>2502</v>
      </c>
      <c r="B12" s="1513" t="s">
        <v>3760</v>
      </c>
      <c r="C12" s="1080"/>
      <c r="D12" s="1081">
        <f>'Calc Data-SB1'!D10</f>
        <v>0</v>
      </c>
      <c r="E12" s="961"/>
      <c r="F12" s="961"/>
      <c r="G12" s="961"/>
      <c r="H12" s="961"/>
      <c r="I12" s="961"/>
      <c r="J12" s="961"/>
      <c r="K12" s="961"/>
      <c r="L12" s="961"/>
    </row>
    <row r="13" spans="1:12" s="1076" customFormat="1" ht="15.75">
      <c r="A13" s="1079" t="s">
        <v>2503</v>
      </c>
      <c r="B13" s="1511" t="s">
        <v>3761</v>
      </c>
      <c r="C13" s="1080"/>
      <c r="D13" s="1081">
        <f>'SOF1718-SB1'!F9</f>
        <v>0</v>
      </c>
      <c r="E13" s="961"/>
      <c r="F13" s="961"/>
      <c r="G13" s="961"/>
      <c r="H13" s="961"/>
      <c r="I13" s="961"/>
      <c r="J13" s="961"/>
      <c r="K13" s="961"/>
      <c r="L13" s="961"/>
    </row>
    <row r="14" spans="1:12" s="1076" customFormat="1" ht="15.75">
      <c r="A14" s="1079" t="s">
        <v>1024</v>
      </c>
      <c r="B14" s="1080" t="s">
        <v>932</v>
      </c>
      <c r="C14" s="1080"/>
      <c r="D14" s="1081">
        <f>'SOF1718-SB1'!F10</f>
        <v>0</v>
      </c>
      <c r="E14" s="961"/>
      <c r="F14" s="961"/>
      <c r="G14" s="961"/>
      <c r="H14" s="961"/>
      <c r="I14" s="961"/>
      <c r="J14" s="961"/>
      <c r="K14" s="961"/>
      <c r="L14" s="961"/>
    </row>
    <row r="15" spans="1:12" s="1076" customFormat="1" ht="15.75">
      <c r="A15" s="1079" t="s">
        <v>1025</v>
      </c>
      <c r="B15" s="1080" t="s">
        <v>715</v>
      </c>
      <c r="C15" s="1080"/>
      <c r="D15" s="1081">
        <f>'Data Entry - SOF'!E33</f>
        <v>0</v>
      </c>
      <c r="E15" s="961"/>
      <c r="F15" s="961"/>
      <c r="G15" s="961"/>
      <c r="H15" s="961"/>
      <c r="I15" s="961"/>
      <c r="J15" s="961"/>
      <c r="K15" s="961"/>
      <c r="L15" s="961"/>
    </row>
    <row r="16" spans="1:12" s="1076" customFormat="1" ht="15.75">
      <c r="A16" s="1079" t="s">
        <v>1027</v>
      </c>
      <c r="B16" s="1080" t="s">
        <v>3111</v>
      </c>
      <c r="C16" s="1080"/>
      <c r="D16" s="1081">
        <f>'Data Entry - SOF'!E18</f>
        <v>0</v>
      </c>
      <c r="E16" s="961"/>
      <c r="F16" s="961"/>
      <c r="G16" s="961"/>
      <c r="H16" s="961"/>
      <c r="I16" s="961"/>
      <c r="J16" s="961"/>
      <c r="K16" s="961"/>
      <c r="L16" s="961"/>
    </row>
    <row r="17" spans="1:12" s="1076" customFormat="1" ht="15.75">
      <c r="A17" s="1079" t="s">
        <v>1028</v>
      </c>
      <c r="B17" s="1511" t="s">
        <v>3762</v>
      </c>
      <c r="C17" s="1080"/>
      <c r="D17" s="1081" t="e">
        <f>'Calc Data-SB1'!D25</f>
        <v>#DIV/0!</v>
      </c>
      <c r="E17" s="961"/>
      <c r="F17" s="961"/>
      <c r="G17" s="961"/>
      <c r="H17" s="961"/>
      <c r="I17" s="961"/>
      <c r="J17" s="961"/>
      <c r="K17" s="961"/>
      <c r="L17" s="961"/>
    </row>
    <row r="18" spans="1:12" s="1076" customFormat="1" ht="15.75">
      <c r="A18" s="1079" t="s">
        <v>1029</v>
      </c>
      <c r="B18" s="1080" t="s">
        <v>3112</v>
      </c>
      <c r="C18" s="1080"/>
      <c r="D18" s="1081">
        <f>'Report-SOF1617'!D11</f>
        <v>0</v>
      </c>
      <c r="E18" s="961"/>
      <c r="F18" s="961"/>
      <c r="G18" s="961"/>
      <c r="H18" s="961"/>
      <c r="I18" s="961"/>
      <c r="J18" s="961"/>
      <c r="K18" s="961"/>
      <c r="L18" s="961"/>
    </row>
    <row r="19" spans="1:12" s="1076" customFormat="1" ht="15.75">
      <c r="A19" s="1079" t="s">
        <v>139</v>
      </c>
      <c r="B19" s="1080" t="s">
        <v>3113</v>
      </c>
      <c r="C19" s="1080"/>
      <c r="D19" s="1081">
        <f>'Data Entry - SOF'!E68</f>
        <v>0</v>
      </c>
      <c r="E19" s="961"/>
      <c r="F19" s="961"/>
      <c r="G19" s="961"/>
      <c r="H19" s="961"/>
      <c r="I19" s="961"/>
      <c r="J19" s="961"/>
      <c r="K19" s="961"/>
      <c r="L19" s="961"/>
    </row>
    <row r="20" spans="1:12" s="1076" customFormat="1" ht="15.75">
      <c r="A20" s="1079" t="s">
        <v>140</v>
      </c>
      <c r="B20" s="1080" t="s">
        <v>3114</v>
      </c>
      <c r="C20" s="1080"/>
      <c r="D20" s="1081">
        <f>'Data Entry - SOF'!E67</f>
        <v>0</v>
      </c>
      <c r="E20" s="961"/>
      <c r="F20" s="961"/>
      <c r="G20" s="961"/>
      <c r="H20" s="961"/>
      <c r="I20" s="961"/>
      <c r="J20" s="961"/>
      <c r="K20" s="961"/>
      <c r="L20" s="961"/>
    </row>
    <row r="21" spans="1:12" s="1076" customFormat="1" ht="18">
      <c r="A21" s="3661" t="s">
        <v>3117</v>
      </c>
      <c r="B21" s="3644"/>
      <c r="C21" s="3644"/>
      <c r="D21" s="3668"/>
      <c r="E21" s="961"/>
      <c r="F21" s="961"/>
      <c r="G21" s="961"/>
      <c r="H21" s="961"/>
      <c r="I21" s="961"/>
      <c r="J21" s="961"/>
      <c r="K21" s="961"/>
      <c r="L21" s="961"/>
    </row>
    <row r="22" spans="1:12" s="1076" customFormat="1" ht="15.75">
      <c r="A22" s="1079" t="s">
        <v>141</v>
      </c>
      <c r="B22" s="1080" t="s">
        <v>3118</v>
      </c>
      <c r="C22" s="1080"/>
      <c r="D22" s="1081">
        <f>'Data Entry - SOF'!E44</f>
        <v>0</v>
      </c>
      <c r="E22" s="961"/>
      <c r="F22" s="961"/>
      <c r="G22" s="961"/>
      <c r="H22" s="961"/>
      <c r="I22" s="961"/>
      <c r="J22" s="961"/>
      <c r="K22" s="961"/>
      <c r="L22" s="961"/>
    </row>
    <row r="23" spans="1:12" s="1076" customFormat="1" ht="15.75">
      <c r="A23" s="1079" t="s">
        <v>142</v>
      </c>
      <c r="B23" s="1080" t="s">
        <v>3119</v>
      </c>
      <c r="C23" s="1080"/>
      <c r="D23" s="1081">
        <f>'Data Entry - SOF'!E45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3706</v>
      </c>
      <c r="C25" s="1080"/>
      <c r="D25" s="1224" t="s">
        <v>3450</v>
      </c>
      <c r="E25" s="961"/>
      <c r="F25" s="961"/>
      <c r="G25" s="961"/>
      <c r="H25" s="961"/>
      <c r="I25" s="961"/>
      <c r="J25" s="961"/>
      <c r="K25" s="961"/>
      <c r="L25" s="961"/>
    </row>
    <row r="26" spans="1:12" s="1076" customFormat="1" ht="15.75">
      <c r="A26" s="1079" t="s">
        <v>6</v>
      </c>
      <c r="B26" s="1080" t="s">
        <v>3707</v>
      </c>
      <c r="C26" s="1080"/>
      <c r="D26" s="1083">
        <f>'Data Entry - SOF'!E48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4686</v>
      </c>
      <c r="C29" s="1078"/>
      <c r="D29" s="1084">
        <f>'Data Entry - SOF'!E108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4687</v>
      </c>
      <c r="C31" s="1078"/>
      <c r="D31" s="1084">
        <f>'Data Entry - SOF'!E58</f>
        <v>0</v>
      </c>
      <c r="E31" s="961"/>
      <c r="F31" s="961"/>
      <c r="G31" s="961"/>
      <c r="H31" s="961"/>
      <c r="I31" s="961"/>
      <c r="J31" s="961"/>
      <c r="K31" s="961"/>
      <c r="L31" s="961"/>
    </row>
    <row r="32" spans="1:12" s="1076" customFormat="1" ht="15.75">
      <c r="A32" s="1079" t="s">
        <v>3126</v>
      </c>
      <c r="B32" s="1511" t="s">
        <v>4694</v>
      </c>
      <c r="C32" s="1080"/>
      <c r="D32" s="1085">
        <f>'Data Entry - SOF'!E59</f>
        <v>0</v>
      </c>
      <c r="E32" s="961"/>
      <c r="F32" s="961"/>
      <c r="G32" s="961"/>
      <c r="H32" s="961"/>
      <c r="I32" s="961"/>
      <c r="J32" s="961"/>
      <c r="K32" s="961"/>
      <c r="L32" s="961"/>
    </row>
    <row r="33" spans="1:12" s="1076" customFormat="1" ht="15.75">
      <c r="A33" s="1079" t="s">
        <v>3127</v>
      </c>
      <c r="B33" s="1080" t="s">
        <v>4688</v>
      </c>
      <c r="C33" s="1080"/>
      <c r="D33" s="1085">
        <f>'Data Entry - SOF'!E63</f>
        <v>0</v>
      </c>
      <c r="E33" s="961"/>
      <c r="F33" s="961"/>
      <c r="G33" s="961"/>
      <c r="H33" s="961"/>
      <c r="I33" s="961"/>
      <c r="J33" s="961"/>
      <c r="K33" s="961"/>
      <c r="L33" s="961"/>
    </row>
    <row r="34" spans="1:12" s="1076" customFormat="1" ht="15.75">
      <c r="A34" s="1079" t="s">
        <v>3128</v>
      </c>
      <c r="B34" s="1080" t="s">
        <v>3708</v>
      </c>
      <c r="C34" s="1080"/>
      <c r="D34" s="1085">
        <f>'Data Entry - SOF'!E153</f>
        <v>0</v>
      </c>
      <c r="E34" s="961"/>
      <c r="F34" s="961"/>
      <c r="G34" s="961"/>
      <c r="H34" s="961"/>
      <c r="I34" s="961"/>
      <c r="J34" s="961"/>
      <c r="K34" s="961"/>
      <c r="L34" s="961"/>
    </row>
    <row r="35" spans="1:12" s="1076" customFormat="1" ht="15.75">
      <c r="A35" s="1079" t="s">
        <v>3129</v>
      </c>
      <c r="B35" s="1080" t="s">
        <v>4689</v>
      </c>
      <c r="C35" s="1080"/>
      <c r="D35" s="1085">
        <f>'Data Entry - SOF'!E69</f>
        <v>0</v>
      </c>
      <c r="E35" s="961"/>
      <c r="F35" s="961"/>
      <c r="G35" s="961"/>
      <c r="H35" s="961"/>
      <c r="I35" s="961"/>
      <c r="J35" s="961"/>
      <c r="K35" s="961"/>
      <c r="L35" s="961"/>
    </row>
    <row r="36" spans="1:12" s="1076" customFormat="1" ht="18">
      <c r="A36" s="3638" t="s">
        <v>3130</v>
      </c>
      <c r="B36" s="3660"/>
      <c r="C36" s="3660"/>
      <c r="D36" s="3661"/>
      <c r="E36" s="961"/>
      <c r="F36" s="961"/>
      <c r="G36" s="961"/>
      <c r="H36" s="961"/>
      <c r="I36" s="961"/>
      <c r="J36" s="961"/>
      <c r="K36" s="961"/>
      <c r="L36" s="961"/>
    </row>
    <row r="37" spans="1:12" s="1076" customFormat="1" ht="15.75">
      <c r="A37" s="1301" t="s">
        <v>3131</v>
      </c>
      <c r="B37" s="1511" t="s">
        <v>3769</v>
      </c>
      <c r="C37" s="1099"/>
      <c r="D37" s="1807">
        <f>'Calc Data-SB1'!AF23</f>
        <v>0</v>
      </c>
      <c r="E37" s="961"/>
      <c r="F37" s="961"/>
      <c r="G37" s="961"/>
      <c r="H37" s="961"/>
      <c r="I37" s="961"/>
      <c r="J37" s="961"/>
      <c r="K37" s="961"/>
      <c r="L37" s="961"/>
    </row>
    <row r="38" spans="1:12" s="1076" customFormat="1" ht="15.75">
      <c r="A38" s="1079" t="s">
        <v>3132</v>
      </c>
      <c r="B38" s="1080" t="s">
        <v>3136</v>
      </c>
      <c r="C38" s="1080"/>
      <c r="D38" s="1197" t="e">
        <f>'ASATR-SB1'!G46</f>
        <v>#DIV/0!</v>
      </c>
      <c r="E38" s="961"/>
      <c r="F38" s="961"/>
      <c r="G38" s="961"/>
      <c r="H38" s="961"/>
      <c r="I38" s="961"/>
      <c r="J38" s="961"/>
      <c r="K38" s="961"/>
      <c r="L38" s="961"/>
    </row>
    <row r="39" spans="1:12" s="1076" customFormat="1" ht="15.75">
      <c r="A39" s="1079" t="s">
        <v>3133</v>
      </c>
      <c r="B39" s="1080" t="s">
        <v>3183</v>
      </c>
      <c r="C39" s="1080"/>
      <c r="D39" s="1086">
        <f>'Data Entry - SOF'!E112</f>
        <v>0</v>
      </c>
      <c r="E39" s="961"/>
      <c r="F39" s="961"/>
      <c r="G39" s="961"/>
      <c r="H39" s="961"/>
      <c r="I39" s="961"/>
      <c r="J39" s="961"/>
      <c r="K39" s="961"/>
      <c r="L39" s="961"/>
    </row>
    <row r="40" spans="1:12" s="1076" customFormat="1" ht="15.75">
      <c r="A40" s="1079" t="s">
        <v>3134</v>
      </c>
      <c r="B40" s="1080" t="s">
        <v>3137</v>
      </c>
      <c r="C40" s="1080"/>
      <c r="D40" s="1086">
        <f>'Calc Data-SB1'!D59</f>
        <v>0</v>
      </c>
      <c r="E40" s="961"/>
      <c r="F40" s="961"/>
      <c r="G40" s="961"/>
      <c r="H40" s="961"/>
      <c r="I40" s="961"/>
      <c r="J40" s="961"/>
      <c r="K40" s="961"/>
      <c r="L40" s="961"/>
    </row>
    <row r="41" spans="1:12" s="1076" customFormat="1" ht="15.75">
      <c r="A41" s="1079" t="s">
        <v>3135</v>
      </c>
      <c r="B41" s="1080" t="s">
        <v>3138</v>
      </c>
      <c r="C41" s="1080"/>
      <c r="D41" s="1087">
        <f>Assumptions!G105</f>
        <v>206.566</v>
      </c>
      <c r="E41" s="961"/>
      <c r="F41" s="961"/>
      <c r="G41" s="961"/>
      <c r="H41" s="961"/>
      <c r="I41" s="961"/>
      <c r="J41" s="961"/>
      <c r="K41" s="961"/>
      <c r="L41" s="961"/>
    </row>
    <row r="42" spans="1:12" s="1076" customFormat="1" ht="18">
      <c r="A42" s="3638" t="s">
        <v>3139</v>
      </c>
      <c r="B42" s="3660"/>
      <c r="C42" s="3660"/>
      <c r="D42" s="3661"/>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'SOF1718-SB1'!H21</f>
        <v>0</v>
      </c>
      <c r="E44" s="961"/>
      <c r="F44" s="961"/>
      <c r="G44" s="961"/>
      <c r="H44" s="961"/>
      <c r="I44" s="961"/>
      <c r="J44" s="961"/>
      <c r="K44" s="961"/>
      <c r="L44" s="961"/>
    </row>
    <row r="45" spans="1:12" s="1076" customFormat="1" ht="15.75">
      <c r="A45" s="1079" t="s">
        <v>3141</v>
      </c>
      <c r="B45" s="1080" t="s">
        <v>3746</v>
      </c>
      <c r="C45" s="1080"/>
      <c r="D45" s="1085">
        <f>'SOF1718-SB1'!H132</f>
        <v>0</v>
      </c>
      <c r="E45" s="961"/>
      <c r="F45" s="961"/>
      <c r="G45" s="961"/>
      <c r="H45" s="961"/>
      <c r="I45" s="961"/>
      <c r="J45" s="961"/>
      <c r="K45" s="961"/>
      <c r="L45" s="961"/>
    </row>
    <row r="46" spans="1:12" s="1076" customFormat="1" ht="15.75">
      <c r="A46" s="1079" t="s">
        <v>3142</v>
      </c>
      <c r="B46" s="1080" t="s">
        <v>3747</v>
      </c>
      <c r="C46" s="1080"/>
      <c r="D46" s="1085">
        <f>'SOF1718-SB1'!H133</f>
        <v>0</v>
      </c>
      <c r="E46" s="961"/>
      <c r="F46" s="961"/>
      <c r="G46" s="961"/>
      <c r="H46" s="961"/>
      <c r="I46" s="961"/>
      <c r="J46" s="961"/>
      <c r="K46" s="961"/>
      <c r="L46" s="961"/>
    </row>
    <row r="47" spans="1:12" s="1076" customFormat="1" ht="15.75">
      <c r="A47" s="1079" t="s">
        <v>3143</v>
      </c>
      <c r="B47" s="1080" t="s">
        <v>3748</v>
      </c>
      <c r="C47" s="1080"/>
      <c r="D47" s="1085">
        <f>'SOF1718-SB1'!H134</f>
        <v>0</v>
      </c>
      <c r="E47" s="961"/>
      <c r="F47" s="961"/>
      <c r="G47" s="961"/>
      <c r="H47" s="961"/>
      <c r="I47" s="961"/>
      <c r="J47" s="961"/>
      <c r="K47" s="961"/>
      <c r="L47" s="961"/>
    </row>
    <row r="48" spans="1:12" s="1076" customFormat="1" ht="15.75">
      <c r="A48" s="1079" t="s">
        <v>3144</v>
      </c>
      <c r="B48" s="1080" t="s">
        <v>3750</v>
      </c>
      <c r="C48" s="1080"/>
      <c r="D48" s="1085">
        <f>'SOF1718-SB1'!H135</f>
        <v>0</v>
      </c>
      <c r="E48" s="961"/>
      <c r="F48" s="961"/>
      <c r="G48" s="961"/>
      <c r="H48" s="961"/>
      <c r="I48" s="961"/>
      <c r="J48" s="961"/>
      <c r="K48" s="961"/>
      <c r="L48" s="961"/>
    </row>
    <row r="49" spans="1:12" s="1076" customFormat="1" ht="15.75">
      <c r="A49" s="1079" t="s">
        <v>3145</v>
      </c>
      <c r="B49" s="1080" t="s">
        <v>3749</v>
      </c>
      <c r="C49" s="1080"/>
      <c r="D49" s="1085">
        <f>'SOF1718-SB1'!H39</f>
        <v>0</v>
      </c>
      <c r="E49" s="961"/>
      <c r="F49" s="961"/>
      <c r="G49" s="961"/>
      <c r="H49" s="961"/>
      <c r="I49" s="961"/>
      <c r="J49" s="961"/>
      <c r="K49" s="961"/>
      <c r="L49" s="961"/>
    </row>
    <row r="50" spans="1:12" s="1076" customFormat="1" ht="15.75">
      <c r="A50" s="1079" t="s">
        <v>3146</v>
      </c>
      <c r="B50" s="1080" t="s">
        <v>3162</v>
      </c>
      <c r="C50" s="1080"/>
      <c r="D50" s="1085">
        <f>'SOF1718-SB1'!H41</f>
        <v>0</v>
      </c>
      <c r="E50" s="961"/>
      <c r="F50" s="961"/>
      <c r="G50" s="961"/>
      <c r="H50" s="961"/>
      <c r="I50" s="961"/>
      <c r="J50" s="961"/>
      <c r="K50" s="961"/>
      <c r="L50" s="961"/>
    </row>
    <row r="51" spans="1:12" s="1076" customFormat="1" ht="15.75">
      <c r="A51" s="1079" t="s">
        <v>3147</v>
      </c>
      <c r="B51" s="1080" t="s">
        <v>3173</v>
      </c>
      <c r="C51" s="1080"/>
      <c r="D51" s="1085">
        <f>'SOF1718-SB1'!H42</f>
        <v>0</v>
      </c>
      <c r="E51" s="961"/>
      <c r="F51" s="961"/>
      <c r="G51" s="961"/>
      <c r="H51" s="961"/>
      <c r="I51" s="961"/>
      <c r="J51" s="961"/>
      <c r="K51" s="961"/>
      <c r="L51" s="961"/>
    </row>
    <row r="52" spans="1:12" s="1076" customFormat="1" ht="15.75">
      <c r="A52" s="1079" t="s">
        <v>3148</v>
      </c>
      <c r="B52" s="1080" t="s">
        <v>3751</v>
      </c>
      <c r="C52" s="1080"/>
      <c r="D52" s="1085">
        <f>'SOF1718-SB1'!H43</f>
        <v>0</v>
      </c>
      <c r="E52" s="961"/>
      <c r="F52" s="961"/>
      <c r="G52" s="961"/>
      <c r="H52" s="961"/>
      <c r="I52" s="961"/>
      <c r="J52" s="961"/>
      <c r="K52" s="961"/>
      <c r="L52" s="961"/>
    </row>
    <row r="53" spans="1:12" s="1076" customFormat="1" ht="15.75">
      <c r="A53" s="1079" t="s">
        <v>3149</v>
      </c>
      <c r="B53" s="1080" t="s">
        <v>3164</v>
      </c>
      <c r="C53" s="1080"/>
      <c r="D53" s="1085">
        <f>'SOF1718-SB1'!H40</f>
        <v>0</v>
      </c>
      <c r="E53" s="961"/>
      <c r="F53" s="961"/>
      <c r="G53" s="961"/>
      <c r="H53" s="961"/>
      <c r="I53" s="961"/>
      <c r="J53" s="961"/>
      <c r="K53" s="961"/>
      <c r="L53" s="961"/>
    </row>
    <row r="54" spans="1:12" s="1076" customFormat="1" ht="15.75">
      <c r="A54" s="1079" t="s">
        <v>3150</v>
      </c>
      <c r="B54" s="1511" t="s">
        <v>3763</v>
      </c>
      <c r="C54" s="1080"/>
      <c r="D54" s="1085">
        <f>'SOF1718-SB1'!H44</f>
        <v>0</v>
      </c>
      <c r="E54" s="961"/>
      <c r="F54" s="961"/>
      <c r="G54" s="961"/>
      <c r="H54" s="961"/>
      <c r="I54" s="961"/>
      <c r="J54" s="961"/>
      <c r="K54" s="961"/>
      <c r="L54" s="961"/>
    </row>
    <row r="55" spans="1:12" s="1076" customFormat="1" ht="15.75">
      <c r="A55" s="1079" t="s">
        <v>3151</v>
      </c>
      <c r="B55" s="1080" t="s">
        <v>3165</v>
      </c>
      <c r="C55" s="1080"/>
      <c r="D55" s="1085">
        <f>'SOF1718-SB1'!H45</f>
        <v>0</v>
      </c>
      <c r="E55" s="961"/>
      <c r="F55" s="961"/>
      <c r="G55" s="961"/>
      <c r="H55" s="961"/>
      <c r="I55" s="961"/>
      <c r="J55" s="961"/>
      <c r="K55" s="961"/>
      <c r="L55" s="961"/>
    </row>
    <row r="56" spans="1:12" s="1076" customFormat="1" ht="15.75">
      <c r="A56" s="1079" t="s">
        <v>3152</v>
      </c>
      <c r="B56" s="1080" t="s">
        <v>889</v>
      </c>
      <c r="C56" s="1080"/>
      <c r="D56" s="1085">
        <f>'SOF1718-SB1'!H46</f>
        <v>0</v>
      </c>
      <c r="E56" s="961"/>
      <c r="F56" s="961"/>
      <c r="G56" s="961"/>
      <c r="H56" s="961"/>
      <c r="I56" s="961"/>
      <c r="J56" s="961"/>
      <c r="K56" s="961"/>
      <c r="L56" s="961"/>
    </row>
    <row r="57" spans="1:12" s="1076" customFormat="1" ht="15.75">
      <c r="A57" s="1079" t="s">
        <v>3153</v>
      </c>
      <c r="B57" s="1080" t="s">
        <v>3166</v>
      </c>
      <c r="C57" s="1080"/>
      <c r="D57" s="1085">
        <f>'SOF1718-SB1'!H76</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f>'SOF1718-SB1'!H49</f>
        <v>0</v>
      </c>
      <c r="E60" s="961"/>
      <c r="F60" s="961"/>
      <c r="G60" s="961"/>
      <c r="H60" s="961"/>
      <c r="I60" s="961"/>
      <c r="J60" s="961"/>
      <c r="K60" s="961"/>
      <c r="L60" s="961"/>
    </row>
    <row r="61" spans="1:12" s="1076" customFormat="1" ht="15.75">
      <c r="A61" s="1079" t="s">
        <v>3155</v>
      </c>
      <c r="B61" s="1513" t="s">
        <v>3772</v>
      </c>
      <c r="C61" s="1080"/>
      <c r="D61" s="1085" t="e">
        <f>'SOF1718-SB1'!H54</f>
        <v>#DIV/0!</v>
      </c>
      <c r="E61" s="961"/>
      <c r="F61" s="961"/>
      <c r="G61" s="961"/>
      <c r="H61" s="961"/>
      <c r="I61" s="961"/>
      <c r="J61" s="961"/>
      <c r="K61" s="961"/>
      <c r="L61" s="961"/>
    </row>
    <row r="62" spans="1:12" s="1076" customFormat="1" ht="15.75">
      <c r="A62" s="1079" t="s">
        <v>3156</v>
      </c>
      <c r="B62" s="1511" t="s">
        <v>3765</v>
      </c>
      <c r="C62" s="1080"/>
      <c r="D62" s="1085" t="e">
        <f>'Report-Other1718'!D26</f>
        <v>#DIV/0!</v>
      </c>
      <c r="E62" s="961" t="s">
        <v>4711</v>
      </c>
      <c r="F62" s="961"/>
      <c r="G62" s="961"/>
      <c r="H62" s="961"/>
      <c r="I62" s="961"/>
      <c r="J62" s="961"/>
      <c r="K62" s="961"/>
      <c r="L62" s="961"/>
    </row>
    <row r="63" spans="1:12" s="1076" customFormat="1" ht="15.75">
      <c r="A63" s="1079" t="s">
        <v>3157</v>
      </c>
      <c r="B63" s="1080" t="str">
        <f>CONCATENATE("Less: Total Available School Fund ($",Assumptions!G105," * Prior Year ADA)")</f>
        <v>Less: Total Available School Fund ($206.566 * Prior Year ADA)</v>
      </c>
      <c r="C63" s="1080"/>
      <c r="D63" s="1085">
        <f>'SOF1718-SB1'!H71</f>
        <v>0</v>
      </c>
      <c r="E63" s="961"/>
      <c r="F63" s="961"/>
      <c r="G63" s="961"/>
      <c r="H63" s="961"/>
      <c r="I63" s="961"/>
      <c r="J63" s="961"/>
      <c r="K63" s="961"/>
      <c r="L63" s="961"/>
    </row>
    <row r="64" spans="1:12" s="1076" customFormat="1" ht="15.75">
      <c r="A64" s="1079" t="s">
        <v>3158</v>
      </c>
      <c r="B64" s="1080" t="s">
        <v>3168</v>
      </c>
      <c r="C64" s="1080"/>
      <c r="D64" s="1085" t="e">
        <f>'SOF1718-SB1'!H75+'HH1718-Calcs'!D26</f>
        <v>#DIV/0!</v>
      </c>
      <c r="E64" s="961"/>
      <c r="F64" s="961"/>
      <c r="G64" s="961"/>
      <c r="H64" s="961"/>
      <c r="I64" s="961"/>
      <c r="J64" s="961"/>
      <c r="K64" s="961"/>
      <c r="L64" s="961"/>
    </row>
    <row r="65" spans="1:12" s="1076" customFormat="1" ht="18">
      <c r="A65" s="3638" t="s">
        <v>3174</v>
      </c>
      <c r="B65" s="3660"/>
      <c r="C65" s="3660"/>
      <c r="D65" s="3661"/>
      <c r="E65" s="961"/>
      <c r="F65" s="961"/>
      <c r="G65" s="961"/>
      <c r="H65" s="961"/>
      <c r="I65" s="961"/>
      <c r="J65" s="961"/>
      <c r="K65" s="961"/>
      <c r="L65" s="961"/>
    </row>
    <row r="66" spans="1:12" s="1076" customFormat="1" ht="18">
      <c r="A66" s="3669"/>
      <c r="B66" s="3660" t="s">
        <v>3182</v>
      </c>
      <c r="C66" s="3660"/>
      <c r="D66" s="3661"/>
      <c r="E66" s="961"/>
      <c r="F66" s="961"/>
      <c r="G66" s="961"/>
      <c r="H66" s="961"/>
      <c r="I66" s="961"/>
      <c r="J66" s="961"/>
      <c r="K66" s="961"/>
      <c r="L66" s="961"/>
    </row>
    <row r="67" spans="1:12" s="1076" customFormat="1" ht="15.75">
      <c r="A67" s="1079" t="s">
        <v>3175</v>
      </c>
      <c r="B67" s="1080" t="s">
        <v>3181</v>
      </c>
      <c r="C67" s="1080"/>
      <c r="D67" s="1085" t="e">
        <f>'SOF1718-SB1'!H75+'HH1718-Calcs'!D26</f>
        <v>#DIV/0!</v>
      </c>
      <c r="E67" s="961"/>
      <c r="F67" s="961"/>
      <c r="G67" s="961"/>
      <c r="H67" s="961"/>
      <c r="I67" s="961"/>
      <c r="J67" s="961"/>
      <c r="K67" s="961"/>
      <c r="L67" s="961"/>
    </row>
    <row r="68" spans="1:12" s="1076" customFormat="1" ht="15.75">
      <c r="A68" s="1079" t="s">
        <v>3176</v>
      </c>
      <c r="B68" s="1080" t="s">
        <v>3484</v>
      </c>
      <c r="C68" s="1080"/>
      <c r="D68" s="1085">
        <f>'SOF1718-SB1'!H76</f>
        <v>0</v>
      </c>
      <c r="E68" s="961"/>
      <c r="F68" s="961"/>
      <c r="G68" s="961"/>
      <c r="H68" s="961"/>
      <c r="I68" s="961"/>
      <c r="J68" s="961"/>
      <c r="K68" s="961"/>
      <c r="L68" s="961"/>
    </row>
    <row r="69" spans="1:12" s="1076" customFormat="1" ht="15.75">
      <c r="A69" s="1079" t="s">
        <v>3177</v>
      </c>
      <c r="B69" s="1513" t="s">
        <v>3766</v>
      </c>
      <c r="C69" s="1080"/>
      <c r="D69" s="1085">
        <f>'Existing Debt'!I74</f>
        <v>0</v>
      </c>
      <c r="E69" s="961"/>
      <c r="F69" s="961"/>
      <c r="G69" s="961"/>
      <c r="H69" s="961"/>
      <c r="I69" s="961"/>
      <c r="J69" s="961"/>
      <c r="K69" s="961"/>
      <c r="L69" s="961"/>
    </row>
    <row r="70" spans="1:12" s="1076" customFormat="1" ht="15.75">
      <c r="A70" s="1079" t="s">
        <v>3178</v>
      </c>
      <c r="B70" s="1511" t="s">
        <v>3767</v>
      </c>
      <c r="C70" s="1080"/>
      <c r="D70" s="1085">
        <f>IFA!L86</f>
        <v>0</v>
      </c>
      <c r="E70" s="961"/>
      <c r="F70" s="961"/>
      <c r="G70" s="961"/>
      <c r="H70" s="961"/>
      <c r="I70" s="961"/>
      <c r="J70" s="961"/>
      <c r="K70" s="961"/>
      <c r="L70" s="961"/>
    </row>
    <row r="71" spans="1:12" s="1076" customFormat="1" ht="15.75">
      <c r="A71" s="1079" t="s">
        <v>3179</v>
      </c>
      <c r="B71" s="1080" t="s">
        <v>3756</v>
      </c>
      <c r="C71" s="1080"/>
      <c r="D71" s="1085">
        <f>IFA!N86</f>
        <v>0</v>
      </c>
      <c r="E71" s="961"/>
      <c r="F71" s="961"/>
      <c r="G71" s="961"/>
      <c r="H71" s="961"/>
      <c r="I71" s="961"/>
      <c r="J71" s="961"/>
      <c r="K71" s="961"/>
      <c r="L71" s="961"/>
    </row>
    <row r="72" spans="1:12" s="1076" customFormat="1" ht="15.75">
      <c r="A72" s="1113" t="s">
        <v>3180</v>
      </c>
      <c r="B72" s="1097" t="s">
        <v>4739</v>
      </c>
      <c r="C72" s="1097"/>
      <c r="D72" s="3397" t="e">
        <f>'HH1718-Calcs'!C51</f>
        <v>#DIV/0!</v>
      </c>
      <c r="E72" s="961"/>
      <c r="F72" s="961"/>
      <c r="G72" s="961"/>
      <c r="H72" s="961"/>
      <c r="I72" s="961"/>
      <c r="J72" s="961"/>
      <c r="K72" s="961"/>
      <c r="L72" s="961"/>
    </row>
    <row r="73" spans="1:12" s="1076" customFormat="1" ht="18">
      <c r="A73" s="1224" t="s">
        <v>3320</v>
      </c>
      <c r="B73" s="3405" t="s">
        <v>3709</v>
      </c>
      <c r="C73" s="3670"/>
      <c r="D73" s="3671" t="e">
        <f>'SOF1718-SB1'!H81+'HH1718-Calcs'!D26+D72</f>
        <v>#DIV/0!</v>
      </c>
      <c r="E73" s="961" t="s">
        <v>4710</v>
      </c>
      <c r="F73" s="961"/>
      <c r="G73" s="961"/>
      <c r="H73" s="961"/>
      <c r="I73" s="961"/>
      <c r="J73" s="961"/>
      <c r="K73" s="961"/>
      <c r="L73" s="961"/>
    </row>
    <row r="74" spans="1:12" s="1076" customFormat="1" ht="18">
      <c r="A74" s="3395"/>
      <c r="B74" s="3396"/>
      <c r="C74" s="1156"/>
      <c r="D74" s="3398"/>
      <c r="E74" s="961"/>
      <c r="F74" s="961"/>
      <c r="G74" s="961"/>
      <c r="H74" s="961"/>
      <c r="I74" s="961"/>
      <c r="J74" s="961"/>
      <c r="K74" s="961"/>
      <c r="L74" s="961"/>
    </row>
    <row r="75" spans="1:12" s="1076" customFormat="1" ht="15.75">
      <c r="A75" s="3672"/>
      <c r="B75" s="3394" t="s">
        <v>3755</v>
      </c>
      <c r="C75" s="3644"/>
      <c r="D75" s="3644"/>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'SOF1718-SB1'!H89+'HH1718-Calcs'!D26</f>
        <v>#DIV/0!</v>
      </c>
    </row>
    <row r="81" spans="1:5" ht="15.75">
      <c r="A81" s="1519" t="s">
        <v>3810</v>
      </c>
      <c r="B81" s="1518" t="s">
        <v>3263</v>
      </c>
      <c r="C81" s="1526"/>
      <c r="D81" s="1118" t="e">
        <f>'SOF1718-SB1'!H90</f>
        <v>#DIV/0!</v>
      </c>
    </row>
    <row r="82" spans="1:5" ht="15.75">
      <c r="A82" s="1519" t="s">
        <v>3811</v>
      </c>
      <c r="B82" s="1518" t="s">
        <v>3823</v>
      </c>
      <c r="C82" s="1078"/>
      <c r="D82" s="1118" t="e">
        <f>'SOF1718-SB1'!H91</f>
        <v>#DIV/0!</v>
      </c>
    </row>
    <row r="83" spans="1:5" ht="15.75">
      <c r="A83" s="1519" t="s">
        <v>3812</v>
      </c>
      <c r="B83" s="1518" t="s">
        <v>3824</v>
      </c>
      <c r="C83" s="1078"/>
      <c r="D83" s="1118" t="e">
        <f>'SOF1718-SB1'!H92</f>
        <v>#DIV/0!</v>
      </c>
    </row>
    <row r="84" spans="1:5" ht="15.75">
      <c r="A84" s="1519" t="s">
        <v>3813</v>
      </c>
      <c r="B84" s="1518" t="s">
        <v>3499</v>
      </c>
      <c r="C84" s="1078"/>
      <c r="D84" s="2549">
        <f>'SOF1718-SB1'!H68*-1</f>
        <v>0</v>
      </c>
    </row>
    <row r="85" spans="1:5" ht="15.75">
      <c r="A85" s="1519" t="s">
        <v>3814</v>
      </c>
      <c r="B85" s="1527" t="s">
        <v>3710</v>
      </c>
      <c r="C85" s="1078"/>
      <c r="D85" s="1118" t="e">
        <f>'SOF1718-SB1'!H93+'HH1718-Calcs'!D26</f>
        <v>#DIV/0!</v>
      </c>
    </row>
    <row r="86" spans="1:5" ht="15.75">
      <c r="A86" s="1519" t="s">
        <v>3815</v>
      </c>
      <c r="B86" s="1528" t="s">
        <v>3264</v>
      </c>
      <c r="C86" s="1078"/>
      <c r="D86" s="1118" t="e">
        <f>'SOF1718-SB1'!H94</f>
        <v>#DIV/0!</v>
      </c>
    </row>
    <row r="87" spans="1:5" ht="16.5" thickBot="1">
      <c r="A87" s="1520" t="s">
        <v>3816</v>
      </c>
      <c r="B87" s="1529" t="s">
        <v>3711</v>
      </c>
      <c r="C87" s="1517"/>
      <c r="D87" s="1188" t="e">
        <f>'SOF1718-SB1'!H95+'HH1718-Calcs'!D26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$",Assumptions!G103," Level")</f>
        <v>Recapture at the $514000 Level</v>
      </c>
      <c r="C91" s="1521"/>
      <c r="D91" s="1118" t="e">
        <f>'ASATR-SB1'!G39</f>
        <v>#DIV/0!</v>
      </c>
    </row>
    <row r="92" spans="1:5" ht="15">
      <c r="A92" s="1519" t="s">
        <v>3818</v>
      </c>
      <c r="B92" s="1523" t="str">
        <f>CONCATENATE("Recapture at the $",Assumptions!G71," Level")</f>
        <v>Recapture at the $319500 Level</v>
      </c>
      <c r="C92" s="1521"/>
      <c r="D92" s="1118" t="e">
        <f>IF('Report-Recapture1718'!G141="Y",MIN('Report-Recapture1718'!C141,'Report-Recapture1718'!E141),MAX('Report-Recapture1718'!C141,'Report-Recapture1718'!E141))</f>
        <v>#DIV/0!</v>
      </c>
    </row>
    <row r="93" spans="1:5" ht="15.75">
      <c r="A93" s="1519" t="s">
        <v>3819</v>
      </c>
      <c r="B93" t="s">
        <v>7756</v>
      </c>
      <c r="C93" s="1521"/>
      <c r="D93" s="1239" t="e">
        <f>D91+D92</f>
        <v>#DIV/0!</v>
      </c>
    </row>
    <row r="94" spans="1:5" ht="15">
      <c r="A94" s="1519" t="s">
        <v>3820</v>
      </c>
      <c r="B94" s="1523" t="s">
        <v>3487</v>
      </c>
      <c r="C94" s="1521"/>
      <c r="D94" s="2550">
        <f>'Data Entry - SOF'!E96</f>
        <v>0</v>
      </c>
    </row>
    <row r="95" spans="1:5" ht="16.5" thickBot="1">
      <c r="A95" s="1520" t="s">
        <v>3821</v>
      </c>
      <c r="B95" s="3399" t="s">
        <v>7908</v>
      </c>
      <c r="C95" s="1522"/>
      <c r="D95" s="1188" t="e">
        <f>D93+D94</f>
        <v>#DIV/0!</v>
      </c>
    </row>
    <row r="96" spans="1:5" ht="13.5" thickTop="1"/>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N139"/>
  <sheetViews>
    <sheetView topLeftCell="A63" workbookViewId="0">
      <selection activeCell="F76" sqref="F7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16.5703125" style="47" customWidth="1"/>
    <col min="10" max="13" width="19.140625" style="1737" customWidth="1"/>
    <col min="14" max="14" width="13.5703125" customWidth="1"/>
    <col min="15" max="15" width="13.5703125" style="177" customWidth="1"/>
    <col min="16" max="16" width="25.140625" customWidth="1"/>
    <col min="17" max="17" width="13.5703125" style="49" customWidth="1"/>
    <col min="18" max="18" width="15" customWidth="1"/>
    <col min="19" max="21" width="12.7109375" customWidth="1"/>
    <col min="40" max="40" width="15.5703125" customWidth="1"/>
    <col min="41" max="41" width="16" customWidth="1"/>
  </cols>
  <sheetData>
    <row r="1" spans="1:18">
      <c r="A1" s="23" t="s">
        <v>78</v>
      </c>
      <c r="C1" s="873">
        <f>'Data Entry - SOF'!B1</f>
        <v>0</v>
      </c>
      <c r="D1" s="35"/>
      <c r="E1" s="158"/>
      <c r="F1" t="str">
        <f>'Report-SOF1718'!D1</f>
        <v>84th/85th Legislative Session</v>
      </c>
      <c r="G1" s="83"/>
      <c r="H1" s="83"/>
      <c r="J1" s="1736"/>
      <c r="K1" s="1736"/>
      <c r="L1" s="1736"/>
      <c r="M1" s="1736"/>
    </row>
    <row r="2" spans="1:18">
      <c r="A2" s="23" t="s">
        <v>79</v>
      </c>
      <c r="C2" s="15">
        <f>'Data Entry - SOF'!B2</f>
        <v>0</v>
      </c>
      <c r="F2" s="83" t="str">
        <f>'Report-SOF1718'!D2</f>
        <v>Release 2</v>
      </c>
      <c r="G2" s="83"/>
      <c r="H2" s="83"/>
      <c r="J2" s="1736"/>
      <c r="K2" s="1736"/>
      <c r="L2" s="1736"/>
      <c r="M2" s="1736"/>
    </row>
    <row r="3" spans="1:18">
      <c r="A3" s="23" t="s">
        <v>164</v>
      </c>
      <c r="C3" s="87">
        <f ca="1">'Data Entry - SOF'!B3</f>
        <v>43146.631174305556</v>
      </c>
      <c r="F3" s="82">
        <f>'Report-SOF1718'!D3</f>
        <v>43145</v>
      </c>
    </row>
    <row r="4" spans="1:18">
      <c r="D4" s="916" t="s">
        <v>3740</v>
      </c>
    </row>
    <row r="5" spans="1:18">
      <c r="D5" s="917" t="s">
        <v>3742</v>
      </c>
    </row>
    <row r="7" spans="1:18">
      <c r="D7" s="23" t="s">
        <v>1573</v>
      </c>
    </row>
    <row r="8" spans="1:18">
      <c r="B8" s="4"/>
      <c r="D8" s="23" t="s">
        <v>942</v>
      </c>
      <c r="F8" s="22">
        <f>'Calc Data-SB1'!D7</f>
        <v>0</v>
      </c>
      <c r="G8" s="21"/>
      <c r="H8" s="21"/>
      <c r="J8" s="1738"/>
      <c r="K8" s="1738"/>
      <c r="L8" s="1738"/>
      <c r="M8" s="1738"/>
    </row>
    <row r="9" spans="1:18">
      <c r="D9" s="23" t="s">
        <v>1574</v>
      </c>
      <c r="F9" s="22">
        <f>'Calc Data-SB1'!D8</f>
        <v>0</v>
      </c>
      <c r="G9" s="21"/>
      <c r="H9" s="21"/>
      <c r="J9" s="1738"/>
      <c r="K9" s="1738"/>
      <c r="L9" s="1738"/>
      <c r="M9" s="1738"/>
    </row>
    <row r="10" spans="1:18">
      <c r="D10" s="23" t="s">
        <v>466</v>
      </c>
      <c r="F10" s="22">
        <f>'Data Entry - SOF'!E32</f>
        <v>0</v>
      </c>
      <c r="G10" s="21"/>
      <c r="H10" s="21"/>
      <c r="J10" s="1738"/>
      <c r="K10" s="1738"/>
      <c r="L10" s="1738"/>
      <c r="M10" s="1738"/>
    </row>
    <row r="11" spans="1:18">
      <c r="B11" s="23"/>
      <c r="D11" s="23" t="s">
        <v>467</v>
      </c>
      <c r="F11" s="22">
        <f>'Calc Data-SB1'!D10</f>
        <v>0</v>
      </c>
      <c r="G11" s="21"/>
      <c r="H11" s="21"/>
      <c r="J11" s="1738"/>
      <c r="K11" s="1738"/>
      <c r="L11" s="1738"/>
      <c r="M11" s="1738"/>
    </row>
    <row r="12" spans="1:18">
      <c r="D12" s="23" t="s">
        <v>468</v>
      </c>
      <c r="F12" s="19">
        <f>'Data Entry - SOF'!E48</f>
        <v>0</v>
      </c>
      <c r="G12" s="19"/>
      <c r="H12" s="19"/>
      <c r="J12" s="1739"/>
      <c r="K12" s="1739"/>
      <c r="L12" s="1739"/>
      <c r="M12" s="1739"/>
    </row>
    <row r="13" spans="1:18">
      <c r="D13" s="23" t="s">
        <v>469</v>
      </c>
      <c r="F13" s="19">
        <f>F12</f>
        <v>0</v>
      </c>
      <c r="G13" s="19"/>
      <c r="H13" s="19"/>
      <c r="J13" s="1739"/>
      <c r="K13" s="1739"/>
      <c r="L13" s="1739"/>
      <c r="M13" s="1739"/>
    </row>
    <row r="14" spans="1:18">
      <c r="D14" s="23" t="s">
        <v>2055</v>
      </c>
      <c r="F14" s="22">
        <f>'Data Entry - SOF'!E112</f>
        <v>0</v>
      </c>
      <c r="G14" s="19"/>
      <c r="H14" s="19"/>
      <c r="J14" s="1739"/>
      <c r="K14" s="1739"/>
      <c r="L14" s="1739"/>
      <c r="M14" s="1739"/>
    </row>
    <row r="15" spans="1:18">
      <c r="D15" s="23" t="s">
        <v>1319</v>
      </c>
      <c r="F15" s="22">
        <f>'Calc Data-SB1'!D59</f>
        <v>0</v>
      </c>
      <c r="G15" s="20"/>
      <c r="H15" s="20"/>
      <c r="J15" s="1740"/>
      <c r="K15" s="1740"/>
      <c r="L15" s="1740"/>
      <c r="M15" s="1740"/>
      <c r="Q15" t="s">
        <v>7822</v>
      </c>
    </row>
    <row r="16" spans="1:18">
      <c r="D16" s="23" t="s">
        <v>2233</v>
      </c>
      <c r="F16" s="19">
        <f>'Data Entry - SOF'!E59</f>
        <v>0</v>
      </c>
      <c r="G16" s="19"/>
      <c r="H16" s="19"/>
      <c r="J16" s="1739"/>
      <c r="K16" s="1739"/>
      <c r="L16" s="1739"/>
      <c r="M16" s="1739"/>
      <c r="Q16" s="1048" t="s">
        <v>3673</v>
      </c>
      <c r="R16" s="2485" t="s">
        <v>7821</v>
      </c>
    </row>
    <row r="17" spans="2:40" ht="13.5" thickBot="1">
      <c r="D17" s="31"/>
      <c r="E17" s="13"/>
      <c r="F17" s="13"/>
      <c r="G17" s="32"/>
      <c r="H17" s="32"/>
      <c r="J17" s="1741"/>
      <c r="K17" s="1741"/>
      <c r="L17" s="1741"/>
      <c r="M17" s="1741"/>
      <c r="Q17" s="1048"/>
      <c r="R17" s="1481" t="s">
        <v>3104</v>
      </c>
    </row>
    <row r="18" spans="2:40" ht="13.5" thickTop="1">
      <c r="D18" s="34"/>
      <c r="E18" s="35"/>
      <c r="F18" s="35"/>
      <c r="G18" s="32"/>
      <c r="H18" t="s">
        <v>4510</v>
      </c>
      <c r="J18" t="s">
        <v>7900</v>
      </c>
      <c r="K18"/>
      <c r="L18" t="s">
        <v>7899</v>
      </c>
      <c r="M18"/>
      <c r="Q18" s="1048"/>
      <c r="R18" s="1481" t="s">
        <v>3103</v>
      </c>
      <c r="S18" s="62"/>
    </row>
    <row r="19" spans="2:40" ht="15.75" hidden="1">
      <c r="D19" s="23"/>
      <c r="E19" s="973" t="s">
        <v>108</v>
      </c>
      <c r="F19" s="972" t="e">
        <f>IF(#REF!="y","ASATR DIST","FORMULA DIST")</f>
        <v>#REF!</v>
      </c>
      <c r="G19" s="23"/>
      <c r="J19"/>
      <c r="K19"/>
      <c r="L19"/>
      <c r="M19"/>
      <c r="Q19" s="1047"/>
      <c r="R19" s="1053"/>
      <c r="AN19" t="s">
        <v>2630</v>
      </c>
    </row>
    <row r="20" spans="2:40" ht="15.75">
      <c r="B20" s="28" t="s">
        <v>470</v>
      </c>
      <c r="D20" s="23"/>
      <c r="F20" s="960" t="s">
        <v>4566</v>
      </c>
      <c r="G20" s="23"/>
      <c r="H20" t="s">
        <v>4483</v>
      </c>
      <c r="I20" s="117"/>
      <c r="J20" t="s">
        <v>4510</v>
      </c>
      <c r="K20" t="s">
        <v>4483</v>
      </c>
      <c r="L20" t="s">
        <v>4511</v>
      </c>
      <c r="M20" t="s">
        <v>4483</v>
      </c>
      <c r="Q20" s="1048"/>
      <c r="R20" s="1053"/>
      <c r="S20" s="1497" t="s">
        <v>4484</v>
      </c>
    </row>
    <row r="21" spans="2:40" ht="15.75">
      <c r="B21" s="28">
        <v>11</v>
      </c>
      <c r="D21" s="132" t="s">
        <v>3630</v>
      </c>
      <c r="F21" s="945">
        <f>ROUND(ROUND('Calc Data-SB1'!D23,0)*IF('Calc Data-SB1'!D11&gt;'Calc Data-SB1'!D10,'Calc Data-SB1'!D11,'Calc Data-SB1'!D10),0)</f>
        <v>0</v>
      </c>
      <c r="G21" s="19"/>
      <c r="H21" s="1037">
        <f>ROUND(ROUND('Calc Data-SB1'!AF23,0)*IF('Calc Data-SB1'!D11&gt;'Calc Data-SB1'!D10,'Calc Data-SB1'!D11,'Calc Data-SB1'!D10),0)*Weights!J4</f>
        <v>0</v>
      </c>
      <c r="J21"/>
      <c r="K21"/>
      <c r="L21"/>
      <c r="M21">
        <f>H21</f>
        <v>0</v>
      </c>
      <c r="Q21" s="1037" t="e">
        <f>(ROUND(ROUND(S21,0)*IF('Calc Data-SB1'!D11&gt;'Calc Data-SB1'!D10,'Calc Data-SB1'!D11,'Calc Data-SB1'!D10),0))*Weights!J4</f>
        <v>#DIV/0!</v>
      </c>
      <c r="R21" s="1064" t="s">
        <v>7823</v>
      </c>
      <c r="S21" s="1069" t="e">
        <f>IF(FracFunding1718!E24&lt;=0,'Calc Data-SB1'!J23,'Calc Data-SB1'!W23)</f>
        <v>#DIV/0!</v>
      </c>
      <c r="AN21" s="19" t="e">
        <f>ROUND(ROUND('Calc Data-SB1'!AF23,0)*IF('Calc Data-SB1'!#REF!&gt;'Calc Data-SB1'!#REF!,'Calc Data-SB1'!#REF!,'Calc Data-SB1'!#REF!),0)</f>
        <v>#REF!</v>
      </c>
    </row>
    <row r="22" spans="2:40">
      <c r="B22" s="28">
        <v>23</v>
      </c>
      <c r="D22" s="23" t="s">
        <v>102</v>
      </c>
      <c r="F22" s="19">
        <f>ROUND('Calc Data-SB1'!D9*ROUND('Calc Data-SB1'!D23,0),0)</f>
        <v>0</v>
      </c>
      <c r="G22" s="19"/>
      <c r="H22" s="1038">
        <f>ROUND('Calc Data-SB1'!D9*ROUND('Calc Data-SB1'!AF23,0),0)</f>
        <v>0</v>
      </c>
      <c r="J22"/>
      <c r="K22"/>
      <c r="L22"/>
      <c r="M22">
        <f>H22</f>
        <v>0</v>
      </c>
      <c r="Q22" s="1038" t="e">
        <f>ROUND('Calc Data-SB1'!D9*ROUND(S21,0),0)</f>
        <v>#DIV/0!</v>
      </c>
      <c r="R22" s="1053"/>
      <c r="AN22" s="19" t="e">
        <f>ROUND('Calc Data-SB1'!#REF!*ROUND('Calc Data-SB1'!AF23,0),0)</f>
        <v>#REF!</v>
      </c>
    </row>
    <row r="23" spans="2:40">
      <c r="B23" s="28"/>
      <c r="D23" s="23" t="s">
        <v>103</v>
      </c>
      <c r="F23" s="47"/>
      <c r="H23" s="1039"/>
      <c r="J23"/>
      <c r="K23"/>
      <c r="L23"/>
      <c r="M23"/>
      <c r="Q23" s="1039"/>
      <c r="R23" s="1053"/>
    </row>
    <row r="24" spans="2:40">
      <c r="B24" s="28">
        <v>23</v>
      </c>
      <c r="D24" s="23" t="s">
        <v>104</v>
      </c>
      <c r="F24" s="30">
        <f>ROUND('Data Entry - SOF'!E31*Weights!J21*ROUND('Calc Data-SB1'!D23,0),0)</f>
        <v>0</v>
      </c>
      <c r="G24" s="30"/>
      <c r="H24" s="1040">
        <f>ROUND('Data Entry - SOF'!E31*Weights!J21*ROUND('Calc Data-SB1'!AF23,0),0)</f>
        <v>0</v>
      </c>
      <c r="J24"/>
      <c r="K24"/>
      <c r="L24"/>
      <c r="M24">
        <f t="shared" ref="M24:M44" si="0">H24</f>
        <v>0</v>
      </c>
      <c r="Q24" s="1040" t="e">
        <f>ROUND('Data Entry - SOF'!E31*Weights!J21*ROUND(S21,0),0)</f>
        <v>#DIV/0!</v>
      </c>
      <c r="R24" s="1053"/>
      <c r="AN24" s="30" t="e">
        <f>ROUND('Data Entry - SOF'!#REF!*1.1*ROUND('Calc Data-SB1'!AF23,0),0)</f>
        <v>#REF!</v>
      </c>
    </row>
    <row r="25" spans="2:40">
      <c r="B25" s="28">
        <v>23</v>
      </c>
      <c r="D25" s="23" t="s">
        <v>105</v>
      </c>
      <c r="F25" s="19">
        <f>ROUND((+'Data Entry - SOF'!E29*Weights!J19)*ROUND('Calc Data-SB1'!D23,0),0)</f>
        <v>0</v>
      </c>
      <c r="G25" s="19"/>
      <c r="H25" s="1038">
        <f>ROUND((+'Data Entry - SOF'!E29*Weights!J19)*ROUND('Calc Data-SB1'!AF23,0),0)</f>
        <v>0</v>
      </c>
      <c r="J25"/>
      <c r="K25"/>
      <c r="L25"/>
      <c r="M25">
        <f t="shared" si="0"/>
        <v>0</v>
      </c>
      <c r="Q25" s="1038" t="e">
        <f>ROUND((+'Data Entry - SOF'!E29*Weights!J19)*ROUND(S21,0),0)</f>
        <v>#DIV/0!</v>
      </c>
      <c r="R25" s="1053"/>
      <c r="AN25" s="19" t="e">
        <f>ROUND((+'Data Entry - SOF'!#REF!*4)*ROUND('Calc Data-SB1'!AF23,0),0)</f>
        <v>#REF!</v>
      </c>
    </row>
    <row r="26" spans="2:40">
      <c r="B26" s="28">
        <v>23</v>
      </c>
      <c r="D26" s="25" t="s">
        <v>919</v>
      </c>
      <c r="F26" s="19">
        <f>ROUND((+'Data Entry - SOF'!E27*Weights!J17)*ROUND('Calc Data-SB1'!D23,0),0)</f>
        <v>0</v>
      </c>
      <c r="G26" s="19"/>
      <c r="H26" s="1038">
        <f>ROUND((+'Data Entry - SOF'!E27*Weights!J17)*ROUND('Calc Data-SB1'!AF23,0),0)</f>
        <v>0</v>
      </c>
      <c r="J26"/>
      <c r="K26"/>
      <c r="L26"/>
      <c r="M26">
        <f t="shared" si="0"/>
        <v>0</v>
      </c>
      <c r="Q26" s="1038" t="e">
        <f>ROUND((+'Data Entry - SOF'!E27*Weights!J17)*ROUND(S21,0),0)</f>
        <v>#DIV/0!</v>
      </c>
      <c r="R26" s="1053"/>
      <c r="AN26" s="19" t="e">
        <f>ROUND((+'Data Entry - SOF'!#REF!*2.8)*ROUND('Calc Data-SB1'!AF23,0),0)</f>
        <v>#REF!</v>
      </c>
    </row>
    <row r="27" spans="2:40">
      <c r="B27" s="28">
        <v>23</v>
      </c>
      <c r="D27" s="25" t="s">
        <v>920</v>
      </c>
      <c r="F27" s="19">
        <f>ROUND(('Data Entry - SOF'!E28*Weights!J18)*ROUND('Calc Data-SB1'!D23,0),0)</f>
        <v>0</v>
      </c>
      <c r="G27" s="19"/>
      <c r="H27" s="1038">
        <f>ROUND(('Data Entry - SOF'!E28*Weights!J18)*ROUND('Calc Data-SB1'!AF23,0),0)</f>
        <v>0</v>
      </c>
      <c r="J27"/>
      <c r="K27"/>
      <c r="L27"/>
      <c r="M27">
        <f t="shared" si="0"/>
        <v>0</v>
      </c>
      <c r="Q27" s="1038" t="e">
        <f>ROUND(('Data Entry - SOF'!E28*Weights!J18)*ROUND(S21,0),0)</f>
        <v>#DIV/0!</v>
      </c>
      <c r="R27" s="1053"/>
      <c r="AN27" s="19" t="e">
        <f>ROUND(('Data Entry - SOF'!#REF!*1.7)*ROUND('Calc Data-SB1'!AF23,0),0)</f>
        <v>#REF!</v>
      </c>
    </row>
    <row r="28" spans="2:40">
      <c r="B28" s="28"/>
      <c r="D28" s="23" t="s">
        <v>1308</v>
      </c>
      <c r="F28" s="19">
        <f>IF('Data Entry - SOF'!E71&lt;0,'Data Entry - SOF'!E71,'Data Entry - SOF'!E71*-1)</f>
        <v>0</v>
      </c>
      <c r="G28" s="19"/>
      <c r="H28" s="1038">
        <f>IF('Data Entry - SOF'!E71&lt;0,'Data Entry - SOF'!E71,'Data Entry - SOF'!E71*-1)</f>
        <v>0</v>
      </c>
      <c r="J28"/>
      <c r="K28"/>
      <c r="L28"/>
      <c r="M28">
        <f t="shared" si="0"/>
        <v>0</v>
      </c>
      <c r="Q28" s="1038">
        <f>IF('Data Entry - SOF'!E71&lt;0,'Data Entry - SOF'!E71,'Data Entry - SOF'!E71*-1)</f>
        <v>0</v>
      </c>
      <c r="R28" s="1053"/>
      <c r="AN28" s="19">
        <v>0</v>
      </c>
    </row>
    <row r="29" spans="2:40">
      <c r="B29" s="28">
        <v>22</v>
      </c>
      <c r="C29" s="17"/>
      <c r="D29" s="23" t="s">
        <v>119</v>
      </c>
      <c r="F29" s="19">
        <f>ROUND(ROUND('Calc Data-SB1'!D23,0)*'Data Entry - SOF'!E32*Weights!J23,0)</f>
        <v>0</v>
      </c>
      <c r="G29" s="19"/>
      <c r="H29" s="1038">
        <f>ROUND(ROUND('Calc Data-SB1'!AF23,0)*'Data Entry - SOF'!E32*Weights!J23,0)</f>
        <v>0</v>
      </c>
      <c r="J29"/>
      <c r="K29"/>
      <c r="L29"/>
      <c r="M29">
        <f t="shared" si="0"/>
        <v>0</v>
      </c>
      <c r="Q29" s="1038" t="e">
        <f>ROUND(ROUND(S21,0)*'Data Entry - SOF'!E32*Weights!J23,0)</f>
        <v>#DIV/0!</v>
      </c>
      <c r="R29" s="1053"/>
      <c r="AN29" s="19" t="e">
        <f>ROUND(ROUND('Calc Data-SB1'!AF23,0)*'Data Entry - SOF'!#REF!*1.35,0)</f>
        <v>#REF!</v>
      </c>
    </row>
    <row r="30" spans="2:40">
      <c r="B30" s="28"/>
      <c r="C30" s="17"/>
      <c r="D30" s="47" t="s">
        <v>716</v>
      </c>
      <c r="F30" s="19">
        <f>Weights!J24*'Data Entry - SOF'!E33</f>
        <v>0</v>
      </c>
      <c r="G30" s="19"/>
      <c r="H30" s="1038">
        <f>Weights!J24*'Data Entry - SOF'!E33</f>
        <v>0</v>
      </c>
      <c r="J30"/>
      <c r="K30"/>
      <c r="L30"/>
      <c r="M30">
        <f t="shared" si="0"/>
        <v>0</v>
      </c>
      <c r="Q30" s="1038">
        <f>Weights!J24*'Data Entry - SOF'!E33</f>
        <v>0</v>
      </c>
      <c r="R30" s="1053"/>
      <c r="AN30" s="19"/>
    </row>
    <row r="31" spans="2:40" hidden="1">
      <c r="B31" s="28"/>
      <c r="C31" s="17"/>
      <c r="D31" s="47" t="s">
        <v>717</v>
      </c>
      <c r="F31" s="19">
        <f>400*'Data Entry - SOF'!E34</f>
        <v>0</v>
      </c>
      <c r="G31" s="19"/>
      <c r="H31" s="1038">
        <f>400*'Data Entry - SOF'!E34</f>
        <v>0</v>
      </c>
      <c r="J31"/>
      <c r="K31"/>
      <c r="L31"/>
      <c r="M31">
        <f t="shared" si="0"/>
        <v>0</v>
      </c>
      <c r="Q31" s="1038">
        <f>400*'Data Entry - SOF'!E34</f>
        <v>0</v>
      </c>
      <c r="R31" s="1053"/>
      <c r="AN31" s="19"/>
    </row>
    <row r="32" spans="2:40" hidden="1">
      <c r="B32" s="28"/>
      <c r="C32" s="17"/>
      <c r="D32" s="47" t="s">
        <v>718</v>
      </c>
      <c r="F32" s="19">
        <f>80*'Data Entry - SOF'!E35</f>
        <v>0</v>
      </c>
      <c r="G32" s="19"/>
      <c r="H32" s="1038">
        <f>80*'Data Entry - SOF'!E35</f>
        <v>0</v>
      </c>
      <c r="J32"/>
      <c r="K32"/>
      <c r="L32"/>
      <c r="M32">
        <f t="shared" si="0"/>
        <v>0</v>
      </c>
      <c r="Q32" s="1038">
        <f>80*'Data Entry - SOF'!E35</f>
        <v>0</v>
      </c>
      <c r="R32" s="1053"/>
      <c r="AN32" s="19"/>
    </row>
    <row r="33" spans="2:40">
      <c r="B33" s="28">
        <v>21</v>
      </c>
      <c r="D33" s="23" t="s">
        <v>3030</v>
      </c>
      <c r="F33" s="19">
        <f>ROUND(ROUND('Calc Data-SB1'!D23,0)*'Data Entry - SOF'!E157*Weights!J28,0)</f>
        <v>0</v>
      </c>
      <c r="G33" s="19"/>
      <c r="H33" s="1038">
        <f>ROUND(ROUND('Calc Data-SB1'!AF23,0)*'Data Entry - SOF'!E157*Weights!J28,0)</f>
        <v>0</v>
      </c>
      <c r="J33"/>
      <c r="K33"/>
      <c r="L33"/>
      <c r="M33">
        <f t="shared" si="0"/>
        <v>0</v>
      </c>
      <c r="Q33" s="1038" t="e">
        <f>ROUND(ROUND(S21,0)*'Data Entry - SOF'!E157*Weights!J28,0)</f>
        <v>#DIV/0!</v>
      </c>
      <c r="R33" s="1053"/>
      <c r="AN33" s="19" t="e">
        <f>ROUND(ROUND('Calc Data-SB1'!AF23,0)*'Data Entry - SOF'!#REF!*0.12,0)</f>
        <v>#REF!</v>
      </c>
    </row>
    <row r="34" spans="2:40">
      <c r="B34" s="28"/>
      <c r="D34" s="23" t="s">
        <v>433</v>
      </c>
      <c r="F34" s="19">
        <f>IF('Data Entry - SOF'!E70&lt;0,'Data Entry - SOF'!E70,'Data Entry - SOF'!E70*-1)</f>
        <v>0</v>
      </c>
      <c r="G34" s="19"/>
      <c r="H34" s="1038">
        <f>IF('Data Entry - SOF'!E70&lt;0,'Data Entry - SOF'!E70,'Data Entry - SOF'!E70*-1)</f>
        <v>0</v>
      </c>
      <c r="J34"/>
      <c r="K34"/>
      <c r="L34"/>
      <c r="M34">
        <f t="shared" si="0"/>
        <v>0</v>
      </c>
      <c r="Q34" s="1038">
        <f>IF('Data Entry - SOF'!E70&lt;0,'Data Entry - SOF'!E70,'Data Entry - SOF'!E70*-1)</f>
        <v>0</v>
      </c>
      <c r="R34" s="1053"/>
      <c r="AN34" s="19">
        <v>0</v>
      </c>
    </row>
    <row r="35" spans="2:40">
      <c r="B35" s="28" t="s">
        <v>2857</v>
      </c>
      <c r="D35" s="23" t="s">
        <v>434</v>
      </c>
      <c r="F35" s="19">
        <f>ROUND(ROUND('Calc Data-SB1'!D23,0)*'Data Entry - SOF'!E36*Weights!J30,0)</f>
        <v>0</v>
      </c>
      <c r="G35" s="19"/>
      <c r="H35" s="1038">
        <f>ROUND(ROUND('Calc Data-SB1'!AF23,0)*'Data Entry - SOF'!E36*Weights!J30,0)</f>
        <v>0</v>
      </c>
      <c r="J35"/>
      <c r="K35"/>
      <c r="L35"/>
      <c r="M35">
        <f t="shared" si="0"/>
        <v>0</v>
      </c>
      <c r="Q35" s="1038" t="e">
        <f>ROUND(ROUND(S21,0)*'Data Entry - SOF'!E36*Weights!J30,0)</f>
        <v>#DIV/0!</v>
      </c>
      <c r="R35" s="1053"/>
      <c r="AN35" s="19" t="e">
        <f>ROUND(ROUND('Calc Data-SB1'!AF23,0)*'Data Entry - SOF'!#REF!*0.2,0)</f>
        <v>#REF!</v>
      </c>
    </row>
    <row r="36" spans="2:40">
      <c r="B36" s="28" t="s">
        <v>2857</v>
      </c>
      <c r="D36" s="23" t="s">
        <v>435</v>
      </c>
      <c r="F36" s="19">
        <f>ROUND(ROUND('Calc Data-SB1'!D23,0)*'Data Entry - SOF'!E37*Weights!J31,0)</f>
        <v>0</v>
      </c>
      <c r="G36" s="19"/>
      <c r="H36" s="1038">
        <f>ROUND(ROUND('Calc Data-SB1'!AF23,0)*'Data Entry - SOF'!E37*Weights!J31,0)</f>
        <v>0</v>
      </c>
      <c r="J36"/>
      <c r="K36"/>
      <c r="L36"/>
      <c r="M36">
        <f t="shared" si="0"/>
        <v>0</v>
      </c>
      <c r="Q36" s="1038" t="e">
        <f>ROUND(ROUND(S21,0)*'Data Entry - SOF'!E37*Weights!J31,0)</f>
        <v>#DIV/0!</v>
      </c>
      <c r="R36" s="1053"/>
      <c r="AN36" s="19" t="e">
        <f>ROUND(ROUND('Calc Data-SB1'!AF23,0)*'Data Entry - SOF'!#REF!*2.41,0)</f>
        <v>#REF!</v>
      </c>
    </row>
    <row r="37" spans="2:40" hidden="1">
      <c r="B37" s="28" t="s">
        <v>2857</v>
      </c>
      <c r="D37" s="97" t="s">
        <v>491</v>
      </c>
      <c r="E37" s="944"/>
      <c r="F37" s="19">
        <f>650*'Data Entry - SOF'!E38</f>
        <v>0</v>
      </c>
      <c r="G37" s="19"/>
      <c r="H37" s="1038">
        <f>650*'Data Entry - SOF'!E38</f>
        <v>0</v>
      </c>
      <c r="J37"/>
      <c r="K37"/>
      <c r="L37"/>
      <c r="M37">
        <f t="shared" si="0"/>
        <v>0</v>
      </c>
      <c r="Q37" s="1038">
        <f>650*'Data Entry - SOF'!E38</f>
        <v>0</v>
      </c>
      <c r="R37" s="1053"/>
      <c r="AN37" s="19"/>
    </row>
    <row r="38" spans="2:40" hidden="1">
      <c r="B38" s="28"/>
      <c r="D38" s="23" t="s">
        <v>1397</v>
      </c>
      <c r="F38" s="90">
        <v>0</v>
      </c>
      <c r="G38" s="19"/>
      <c r="H38" s="1041">
        <v>0</v>
      </c>
      <c r="J38"/>
      <c r="K38"/>
      <c r="L38"/>
      <c r="M38">
        <f t="shared" si="0"/>
        <v>0</v>
      </c>
      <c r="Q38" s="1041">
        <v>0</v>
      </c>
      <c r="R38" s="1053"/>
      <c r="AN38" s="19">
        <v>0</v>
      </c>
    </row>
    <row r="39" spans="2:40">
      <c r="B39" s="28">
        <v>25</v>
      </c>
      <c r="D39" s="23" t="s">
        <v>1297</v>
      </c>
      <c r="F39" s="19">
        <f>ROUND(ROUND('Calc Data-SB1'!D23,0)*('Data Entry - SOF'!E39*Weights!J26),0)</f>
        <v>0</v>
      </c>
      <c r="G39" s="19"/>
      <c r="H39" s="1038">
        <f>ROUND(ROUND('Calc Data-SB1'!AF23,0)*('Data Entry - SOF'!E39*Weights!J26),0)</f>
        <v>0</v>
      </c>
      <c r="J39"/>
      <c r="K39"/>
      <c r="L39"/>
      <c r="M39">
        <f t="shared" si="0"/>
        <v>0</v>
      </c>
      <c r="Q39" s="1038" t="e">
        <f>ROUND(ROUND(S21,0)*('Data Entry - SOF'!E39*Weights!J26),0)</f>
        <v>#DIV/0!</v>
      </c>
      <c r="R39" s="1053"/>
      <c r="AN39" s="19" t="e">
        <f>ROUND(ROUND('Calc Data-SB1'!AF23,0)*('Data Entry - SOF'!#REF!*0.1),0)</f>
        <v>#REF!</v>
      </c>
    </row>
    <row r="40" spans="2:40">
      <c r="B40" s="28">
        <v>31</v>
      </c>
      <c r="D40" s="47" t="s">
        <v>2792</v>
      </c>
      <c r="F40" s="19">
        <f>Weights!J33*'Data Entry - SOF'!E18</f>
        <v>0</v>
      </c>
      <c r="G40" s="19"/>
      <c r="H40" s="1038">
        <f>Weights!J33*'Data Entry - SOF'!E18</f>
        <v>0</v>
      </c>
      <c r="J40"/>
      <c r="K40"/>
      <c r="L40"/>
      <c r="M40">
        <f t="shared" si="0"/>
        <v>0</v>
      </c>
      <c r="Q40" s="1038">
        <f>Weights!J33*'Data Entry - SOF'!E18</f>
        <v>0</v>
      </c>
      <c r="R40" s="1053"/>
      <c r="AN40" s="19" t="e">
        <f>#REF!</f>
        <v>#REF!</v>
      </c>
    </row>
    <row r="41" spans="2:40">
      <c r="B41" s="28"/>
      <c r="D41" s="23" t="s">
        <v>984</v>
      </c>
      <c r="F41" s="19">
        <f>ROUND(ROUND('Calc Data-SB1'!D23,0)*'Data Entry - SOF'!E41*Weights!J37,0)</f>
        <v>0</v>
      </c>
      <c r="G41" s="19"/>
      <c r="H41" s="1038">
        <f>ROUND(ROUND('Calc Data-SB1'!AF23,0)*'Data Entry - SOF'!E41*Weights!J37,0)</f>
        <v>0</v>
      </c>
      <c r="J41"/>
      <c r="K41"/>
      <c r="L41"/>
      <c r="M41">
        <f t="shared" si="0"/>
        <v>0</v>
      </c>
      <c r="Q41" s="1038" t="e">
        <f>ROUND(ROUND(S21,0)*'Data Entry - SOF'!E41*Weights!J37,0)</f>
        <v>#DIV/0!</v>
      </c>
      <c r="R41" s="1053"/>
      <c r="AN41" s="19" t="e">
        <f>ROUND(ROUND('Calc Data-SB1'!AF23,0)*'Data Entry - SOF'!#REF!*0.1,0)</f>
        <v>#REF!</v>
      </c>
    </row>
    <row r="42" spans="2:40" ht="15.75">
      <c r="B42" s="28"/>
      <c r="D42" s="955" t="s">
        <v>4497</v>
      </c>
      <c r="F42" s="116">
        <f>'Data Entry - SOF'!E42*Weights!J35</f>
        <v>0</v>
      </c>
      <c r="G42" s="19"/>
      <c r="H42" s="1038">
        <f>F42</f>
        <v>0</v>
      </c>
      <c r="J42"/>
      <c r="K42"/>
      <c r="L42"/>
      <c r="M42">
        <f t="shared" si="0"/>
        <v>0</v>
      </c>
      <c r="Q42" s="1042">
        <f>'Report-SOF1617'!D51</f>
        <v>0</v>
      </c>
      <c r="R42" s="1053"/>
      <c r="AN42" s="19" t="e">
        <f>'Data Entry - SOF'!#REF!*250</f>
        <v>#REF!</v>
      </c>
    </row>
    <row r="43" spans="2:40">
      <c r="B43" s="28">
        <v>99</v>
      </c>
      <c r="D43" s="23" t="s">
        <v>2385</v>
      </c>
      <c r="F43" s="29">
        <f>'Data Entry - SOF'!E66</f>
        <v>0</v>
      </c>
      <c r="G43" s="32"/>
      <c r="H43" s="1043">
        <f>'Data Entry - SOF'!E66</f>
        <v>0</v>
      </c>
      <c r="J43"/>
      <c r="K43"/>
      <c r="L43" s="2225"/>
      <c r="M43">
        <f t="shared" si="0"/>
        <v>0</v>
      </c>
      <c r="Q43" s="1043">
        <f>'Data Entry - SOF'!E66</f>
        <v>0</v>
      </c>
      <c r="R43" s="1048" t="s">
        <v>2949</v>
      </c>
      <c r="AN43" s="29" t="e">
        <f>'Data Entry - SOF'!#REF!</f>
        <v>#REF!</v>
      </c>
    </row>
    <row r="44" spans="2:40">
      <c r="D44" s="23" t="s">
        <v>576</v>
      </c>
      <c r="F44" s="19">
        <f>SUM(F21:F43)</f>
        <v>0</v>
      </c>
      <c r="G44" s="19"/>
      <c r="H44" s="1038">
        <f>SUM(H21:H43)</f>
        <v>0</v>
      </c>
      <c r="J44"/>
      <c r="K44"/>
      <c r="L44"/>
      <c r="M44">
        <f t="shared" si="0"/>
        <v>0</v>
      </c>
      <c r="Q44" s="1044" t="e">
        <f>SUM(Q21:Q43)</f>
        <v>#DIV/0!</v>
      </c>
      <c r="R44" s="974" t="e">
        <f>ROUND((('SOF1718-SB1'!Q44-'SOF1718-SB1'!Q43-'SOF1718-SB1'!Q42-'SOF1718-SB1'!Q40-'SOF1718-SB1'!Q28)-(((IF(FracFunding1718!E24&lt;=0,'Calc Data-SB1'!J20-'Calc Data-SB1'!J19,'Calc Data-SB1'!W20-'Calc Data-SB1'!W19))*0.5)/IF(FracFunding1718!E24&lt;=0,'Calc Data-SB1'!J20,'Calc Data-SB1'!W20))*('SOF1718-SB1'!Q44-'SOF1718-SB1'!Q43-'SOF1718-SB1'!Q42-'SOF1718-SB1'!Q40-'SOF1718-SB1'!Q28))/IF(FracFunding1718!E24&lt;=0,'Calc Data-SB1'!J19,'Calc Data-SB1'!W19),3)</f>
        <v>#DIV/0!</v>
      </c>
      <c r="AN44" s="19" t="e">
        <f>SUM(AN21:AN43)</f>
        <v>#REF!</v>
      </c>
    </row>
    <row r="45" spans="2:40">
      <c r="D45" s="23" t="s">
        <v>890</v>
      </c>
      <c r="F45" s="36">
        <f>IF(C2="084-906",30604936,IF('Data Entry - SOF'!E108&gt;1,1*('Data Entry - SOF'!E48/100),'Data Entry - SOF'!E108*('Data Entry - SOF'!E48/100)))</f>
        <v>0</v>
      </c>
      <c r="G45" s="59"/>
      <c r="H45" s="1045">
        <f>IF(C2="084-906",30604936,IF('Calc Data-SB1'!AF30&gt;1,1*('Data Entry - SOF'!E48/100),'Calc Data-SB1'!AF30*('Data Entry - SOF'!E48/100)))</f>
        <v>0</v>
      </c>
      <c r="J45"/>
      <c r="K45"/>
      <c r="L45" s="1810"/>
      <c r="M45">
        <f>IF(C2="084-906",31318969,IF('Calc Data-15K'!AF30&gt;1,1*('Data Entry - SOF'!E50/100),'Calc Data-15K'!AF30*('Data Entry - SOF'!E50/100)))</f>
        <v>0</v>
      </c>
      <c r="Q45" s="1045" t="e">
        <f>IF('Data Entry - SOF'!E108&gt;1.00005,1.00005*('Data Entry - SOF'!E48/100),IF(FracFunding1718!E24&lt;=0,'Data Entry - SOF'!E108*('Data Entry - SOF'!E48/100),FracFunding1718!D5*('Data Entry - SOF'!E48/100)))</f>
        <v>#DIV/0!</v>
      </c>
      <c r="R45" s="1053"/>
      <c r="S45" s="121">
        <f>(0.98/100)*'Data Entry - SOF'!E48</f>
        <v>0</v>
      </c>
      <c r="T45" t="e">
        <f>Q45/('Data Entry - SOF'!E48/100)</f>
        <v>#DIV/0!</v>
      </c>
      <c r="AN45" s="36" t="e">
        <f>#REF!</f>
        <v>#REF!</v>
      </c>
    </row>
    <row r="46" spans="2:40">
      <c r="D46" s="23" t="s">
        <v>889</v>
      </c>
      <c r="F46" s="37">
        <f>F44-F45</f>
        <v>0</v>
      </c>
      <c r="G46" s="37"/>
      <c r="H46" s="1046">
        <f>H44-H45</f>
        <v>0</v>
      </c>
      <c r="J46"/>
      <c r="K46"/>
      <c r="L46" s="1810"/>
      <c r="M46">
        <f>M44-M45</f>
        <v>0</v>
      </c>
      <c r="Q46" s="1046" t="e">
        <f>Q44-Q45</f>
        <v>#DIV/0!</v>
      </c>
      <c r="R46" s="1053"/>
      <c r="AN46" s="37" t="e">
        <f>AN44-AN45</f>
        <v>#REF!</v>
      </c>
    </row>
    <row r="47" spans="2:40">
      <c r="D47" s="23"/>
      <c r="G47" s="37"/>
      <c r="H47" s="1735"/>
      <c r="J47"/>
      <c r="K47"/>
      <c r="L47"/>
      <c r="M47"/>
      <c r="P47" s="62"/>
      <c r="Q47" s="1047"/>
      <c r="R47" s="1053"/>
      <c r="AN47" s="37"/>
    </row>
    <row r="48" spans="2:40">
      <c r="D48" s="949" t="s">
        <v>835</v>
      </c>
      <c r="G48" s="37"/>
      <c r="H48" s="1735"/>
      <c r="J48"/>
      <c r="K48"/>
      <c r="L48"/>
      <c r="M48"/>
      <c r="P48" s="62"/>
      <c r="Q48" s="1047"/>
      <c r="R48" s="1053"/>
      <c r="AN48" s="37"/>
    </row>
    <row r="49" spans="4:21">
      <c r="D49" s="23" t="s">
        <v>1716</v>
      </c>
      <c r="F49" s="90">
        <f>IF(F46&lt;F76+F40+F42+F31+F32,F76+F40+F42+F31+F32,F46)</f>
        <v>0</v>
      </c>
      <c r="G49" s="37"/>
      <c r="H49" s="1041">
        <f>IF(H46&lt;H76+H40+H42+H31+H32,H76+H40+H42+H31+H32,H46)</f>
        <v>0</v>
      </c>
      <c r="J49"/>
      <c r="K49"/>
      <c r="L49" s="1813"/>
      <c r="M49">
        <f>IF(M46&lt;M76+M40+M42+M31+M32,M76+M40+M42+M31+M32,M46)</f>
        <v>0</v>
      </c>
      <c r="Q49" s="1049" t="e">
        <f>IF(Q46&lt;Q77+Q40+Q31+Q32,Q77+Q40+Q31+Q32,Q46)</f>
        <v>#DIV/0!</v>
      </c>
      <c r="R49" s="1053"/>
    </row>
    <row r="50" spans="4:21" hidden="1">
      <c r="D50" s="23" t="s">
        <v>2596</v>
      </c>
      <c r="G50" s="37" t="e">
        <f>ROUND(IF((24.7*'Calc Data-SB1'!#REF!*IF('Calc Data-SB1'!#REF!&gt;=0.64,0.64,'Calc Data-SB1'!#REF!)*100)&lt;'Calc Data-SB1'!#REF!,0,(24.7*'Calc Data-SB1'!#REF!*IF('Calc Data-SB1'!#REF!&gt;=0.64,0.64,'Calc Data-SB1'!#REF!)*100)-'Calc Data-SB1'!#REF!),0)</f>
        <v>#REF!</v>
      </c>
      <c r="H50" s="37"/>
      <c r="I50" s="1925"/>
      <c r="J50"/>
      <c r="K50"/>
      <c r="L50" s="1810"/>
      <c r="M50"/>
      <c r="Q50" s="1047"/>
      <c r="R50" s="1053"/>
    </row>
    <row r="51" spans="4:21">
      <c r="D51" s="23"/>
      <c r="G51" s="37"/>
      <c r="H51" s="1050"/>
      <c r="J51"/>
      <c r="K51"/>
      <c r="L51" s="1813"/>
      <c r="M51"/>
      <c r="Q51" s="1047"/>
      <c r="R51" s="1053"/>
    </row>
    <row r="52" spans="4:21">
      <c r="D52" s="23" t="s">
        <v>2748</v>
      </c>
      <c r="F52" s="37" t="e">
        <f>ROUND(IF((Assumptions!G101*'Calc Data-SB1'!D25*'Calc Data-SB1'!D35*100)&lt;'Calc Data-SB1'!D42,0,(Assumptions!G101*'Calc Data-SB1'!D25*'Calc Data-SB1'!D35*100)-'Calc Data-SB1'!D42),0)</f>
        <v>#DIV/0!</v>
      </c>
      <c r="G52" s="37"/>
      <c r="H52" s="1050" t="e">
        <f>ROUND(IF((Assumptions!G101*'Calc Data-SB1'!D25*'Calc Data-SB1'!D35*100)&lt;'Calc Data-SB1'!D42,0,(Assumptions!G101*'Calc Data-SB1'!D25*'Calc Data-SB1'!D35*100)-'Calc Data-SB1'!D42),0)</f>
        <v>#DIV/0!</v>
      </c>
      <c r="J52" t="e">
        <f>ROUND(IF((Assumptions!G101*'Calc Data-SB1'!D25*'Calc Data-SB1'!D81*100)&lt;'Calc Data-SB1'!D88,0,(Assumptions!G101*'Calc Data-SB1'!D25*'Calc Data-SB1'!D81*100)-'Calc Data-SB1'!D88),0)</f>
        <v>#DIV/0!</v>
      </c>
      <c r="K52" t="e">
        <f>J52</f>
        <v>#DIV/0!</v>
      </c>
      <c r="L52" s="1813"/>
      <c r="M52" t="e">
        <f>ROUND(IF((Assumptions!G79*'Calc Data-15K'!D25*'Calc Data-15K'!D81*100)&lt;'Calc Data-15K'!D88,0,(Assumptions!G79*'Calc Data-15K'!D25*'Calc Data-15K'!D81*100)-'Calc Data-15K'!D88),0)</f>
        <v>#DIV/0!</v>
      </c>
      <c r="Q52" s="1050" t="e">
        <f>ROUND(IF((Assumptions!G110*R44*'Calc Data-SB1'!D35*100)&lt;'Calc Data-SB1'!D42,0,(Assumptions!G110*R44*'Calc Data-SB1'!D35*100)-'Calc Data-SB1'!D42),0)</f>
        <v>#DIV/0!</v>
      </c>
      <c r="R52" s="1064" t="s">
        <v>3106</v>
      </c>
    </row>
    <row r="53" spans="4:21">
      <c r="D53" s="23" t="s">
        <v>515</v>
      </c>
      <c r="F53" s="66" t="e">
        <f>ROUND(IF((Assumptions!G102*'Calc Data-SB1'!D25*'Calc Data-SB1'!D38*100)&lt;'Calc Data-SB1'!D43,0,(Assumptions!G102*'Calc Data-SB1'!D25*'Calc Data-SB1'!D38*100)-'Calc Data-SB1'!D43),0)</f>
        <v>#DIV/0!</v>
      </c>
      <c r="G53" s="37"/>
      <c r="H53" s="1051" t="e">
        <f>ROUND(IF((Assumptions!G102*'Calc Data-SB1'!D25*'Calc Data-SB1'!AF29*100)&lt;'Calc Data-SB1'!AF33,0,(Assumptions!G102*'Calc Data-SB1'!D25*'Calc Data-SB1'!AF29*100)-'Calc Data-SB1'!AF33),0)</f>
        <v>#DIV/0!</v>
      </c>
      <c r="J53" t="e">
        <f>ROUND(IF((Assumptions!G102*'Calc Data-SB1'!D25*'Calc Data-SB1'!D84*100)&lt;'Calc Data-SB1'!D89,0,(Assumptions!G102*'Calc Data-SB1'!D25*'Calc Data-SB1'!D84*100)-'Calc Data-SB1'!D89),0)</f>
        <v>#DIV/0!</v>
      </c>
      <c r="K53" t="e">
        <f>ROUND(IF((Assumptions!G102*'Calc Data-SB1'!D25*'Calc Data-SB1'!AF84*100)&lt;'Calc Data-SB1'!AF88,0,(Assumptions!G102*'Calc Data-SB1'!D25*'Calc Data-SB1'!AF84*100)-'Calc Data-SB1'!AF88),0)</f>
        <v>#DIV/0!</v>
      </c>
      <c r="L53" s="1813"/>
      <c r="M53" t="e">
        <f>ROUND(IF((Assumptions!G80*'Calc Data-15K'!D25*'Calc Data-15K'!D84*100)&lt;'Calc Data-15K'!D89,0,(Assumptions!G80*'Calc Data-15K'!D25*'Calc Data-15K'!D84*100)-'Calc Data-15K'!D89),0)</f>
        <v>#DIV/0!</v>
      </c>
      <c r="Q53" s="1051" t="e">
        <f>IF(FracFunding1718!E24&lt;=0,T53,U53)</f>
        <v>#DIV/0!</v>
      </c>
      <c r="R53" s="1064" t="s">
        <v>3106</v>
      </c>
      <c r="T53" s="1051" t="e">
        <f>ROUND(IF((Assumptions!G111*R44*'Calc Data-SB1'!D38*100)&lt;'Calc Data-SB1'!D43,0,(Assumptions!G111*R44*'Calc Data-SB1'!D38*100)-'Calc Data-SB1'!D43),0)</f>
        <v>#DIV/0!</v>
      </c>
      <c r="U53" s="1051" t="e">
        <f>ROUND(IF((Assumptions!G111*R44*'Calc Data-SB1'!Y47*100)&lt;'Calc Data-SB1'!Y51,0,(Assumptions!G111*R44*'Calc Data-SB1'!Y47*100)-'Calc Data-SB1'!Y51),0)</f>
        <v>#DIV/0!</v>
      </c>
    </row>
    <row r="54" spans="4:21">
      <c r="D54" s="23" t="s">
        <v>315</v>
      </c>
      <c r="F54" s="37" t="e">
        <f>SUM(F50:F53)</f>
        <v>#DIV/0!</v>
      </c>
      <c r="G54" s="37"/>
      <c r="H54" s="1050" t="e">
        <f>SUM(H50:H53)</f>
        <v>#DIV/0!</v>
      </c>
      <c r="J54"/>
      <c r="K54"/>
      <c r="L54" s="1813"/>
      <c r="M54"/>
      <c r="Q54" s="1052" t="e">
        <f>Q52+Q53</f>
        <v>#DIV/0!</v>
      </c>
      <c r="R54" s="1053"/>
    </row>
    <row r="55" spans="4:21">
      <c r="D55" s="23"/>
      <c r="G55" s="37"/>
      <c r="H55" s="1050"/>
      <c r="J55"/>
      <c r="K55"/>
      <c r="L55" s="1810"/>
      <c r="M55"/>
      <c r="N55" s="121"/>
      <c r="O55" s="1375"/>
      <c r="Q55" s="1055"/>
      <c r="R55" s="1053"/>
    </row>
    <row r="56" spans="4:21">
      <c r="D56" s="23" t="s">
        <v>832</v>
      </c>
      <c r="G56" s="37"/>
      <c r="H56" s="1050"/>
      <c r="J56"/>
      <c r="K56"/>
      <c r="L56" s="1810"/>
      <c r="M56"/>
      <c r="N56" s="121"/>
      <c r="O56" s="1375"/>
      <c r="Q56" s="1055"/>
      <c r="R56" s="1053"/>
    </row>
    <row r="57" spans="4:21">
      <c r="D57" s="23" t="s">
        <v>859</v>
      </c>
      <c r="F57" s="37">
        <f>'Data Entry - SOF'!E76</f>
        <v>0</v>
      </c>
      <c r="G57" s="37"/>
      <c r="H57" s="1050">
        <f>F57</f>
        <v>0</v>
      </c>
      <c r="J57" t="e">
        <f>'ASATR-SB1'!G62</f>
        <v>#DIV/0!</v>
      </c>
      <c r="K57" t="e">
        <f>'ASATR-SB1'!H62</f>
        <v>#DIV/0!</v>
      </c>
      <c r="L57" s="1858" t="e">
        <f>'ASATR-SB1'!H62</f>
        <v>#DIV/0!</v>
      </c>
      <c r="M57">
        <f t="shared" ref="M57:M71" si="1">H57</f>
        <v>0</v>
      </c>
      <c r="N57" s="121"/>
      <c r="O57" s="1375"/>
      <c r="Q57" s="1056" t="e">
        <f>'ASATR-SB1'!S27</f>
        <v>#DIV/0!</v>
      </c>
      <c r="R57" s="1053"/>
    </row>
    <row r="58" spans="4:21">
      <c r="D58" s="23" t="s">
        <v>3489</v>
      </c>
      <c r="F58" s="37">
        <f>'Data Entry - SOF'!E75</f>
        <v>0</v>
      </c>
      <c r="G58" s="37"/>
      <c r="H58" s="1050">
        <f>F58</f>
        <v>0</v>
      </c>
      <c r="J58"/>
      <c r="K58"/>
      <c r="L58" s="1810"/>
      <c r="M58">
        <f t="shared" si="1"/>
        <v>0</v>
      </c>
      <c r="N58" s="121"/>
      <c r="O58" s="1375"/>
      <c r="Q58"/>
      <c r="S58" s="49"/>
    </row>
    <row r="59" spans="4:21">
      <c r="D59" s="23" t="s">
        <v>3490</v>
      </c>
      <c r="F59" s="37">
        <f>'Data Entry - SOF'!E77</f>
        <v>0</v>
      </c>
      <c r="G59" s="37"/>
      <c r="H59" s="1050">
        <f t="shared" ref="H59:H68" si="2">F59</f>
        <v>0</v>
      </c>
      <c r="J59"/>
      <c r="K59"/>
      <c r="L59" s="1810"/>
      <c r="M59">
        <f t="shared" si="1"/>
        <v>0</v>
      </c>
      <c r="N59" s="121"/>
      <c r="O59" s="1375"/>
      <c r="Q59"/>
      <c r="S59" s="49"/>
    </row>
    <row r="60" spans="4:21">
      <c r="D60" s="23" t="s">
        <v>3491</v>
      </c>
      <c r="F60" s="37">
        <f>'Data Entry - SOF'!E78</f>
        <v>0</v>
      </c>
      <c r="G60" s="37"/>
      <c r="H60" s="1050">
        <f t="shared" si="2"/>
        <v>0</v>
      </c>
      <c r="J60"/>
      <c r="K60"/>
      <c r="L60" s="1810"/>
      <c r="M60">
        <f t="shared" si="1"/>
        <v>0</v>
      </c>
      <c r="N60" s="121"/>
      <c r="O60" s="1375"/>
      <c r="Q60"/>
      <c r="S60" s="49"/>
    </row>
    <row r="61" spans="4:21">
      <c r="D61" s="23" t="s">
        <v>3492</v>
      </c>
      <c r="F61" s="37">
        <f>'Data Entry - SOF'!E79</f>
        <v>0</v>
      </c>
      <c r="G61" s="37"/>
      <c r="H61" s="1050">
        <f t="shared" si="2"/>
        <v>0</v>
      </c>
      <c r="J61"/>
      <c r="K61"/>
      <c r="L61" s="1810"/>
      <c r="M61">
        <f t="shared" si="1"/>
        <v>0</v>
      </c>
      <c r="N61" s="121"/>
      <c r="O61" s="1375"/>
      <c r="Q61"/>
      <c r="S61" s="49"/>
    </row>
    <row r="62" spans="4:21">
      <c r="D62" s="23" t="s">
        <v>3493</v>
      </c>
      <c r="F62" s="37">
        <v>0</v>
      </c>
      <c r="G62" s="37"/>
      <c r="H62" s="1050">
        <f t="shared" si="2"/>
        <v>0</v>
      </c>
      <c r="J62"/>
      <c r="K62"/>
      <c r="L62" s="1810"/>
      <c r="M62">
        <f t="shared" si="1"/>
        <v>0</v>
      </c>
      <c r="N62" s="121"/>
      <c r="O62" s="1375"/>
      <c r="Q62"/>
      <c r="S62" s="49"/>
    </row>
    <row r="63" spans="4:21">
      <c r="D63" s="23" t="s">
        <v>3494</v>
      </c>
      <c r="F63" s="37">
        <f>'Data Entry - SOF'!E80</f>
        <v>0</v>
      </c>
      <c r="G63" s="37"/>
      <c r="H63" s="1050">
        <f t="shared" si="2"/>
        <v>0</v>
      </c>
      <c r="J63"/>
      <c r="K63"/>
      <c r="L63" s="1810"/>
      <c r="M63">
        <f t="shared" si="1"/>
        <v>0</v>
      </c>
      <c r="N63" s="121"/>
      <c r="O63" s="1375"/>
      <c r="Q63"/>
      <c r="S63" s="49"/>
    </row>
    <row r="64" spans="4:21">
      <c r="D64" s="23" t="s">
        <v>7432</v>
      </c>
      <c r="F64" s="37">
        <f>'Data Entry - SOF'!E83</f>
        <v>0</v>
      </c>
      <c r="G64" s="37"/>
      <c r="H64" s="1050">
        <f t="shared" si="2"/>
        <v>0</v>
      </c>
      <c r="J64"/>
      <c r="K64"/>
      <c r="L64" s="1810"/>
      <c r="M64">
        <f t="shared" si="1"/>
        <v>0</v>
      </c>
      <c r="N64" s="121"/>
      <c r="O64" s="1375"/>
      <c r="Q64"/>
      <c r="S64" s="49"/>
    </row>
    <row r="65" spans="1:19">
      <c r="D65" s="23" t="s">
        <v>2793</v>
      </c>
      <c r="F65" s="37">
        <f>(500*'Data Entry - SOF'!E44)+(250*'Data Entry - SOF'!E45)</f>
        <v>0</v>
      </c>
      <c r="G65" s="37"/>
      <c r="H65" s="1050">
        <f t="shared" si="2"/>
        <v>0</v>
      </c>
      <c r="J65"/>
      <c r="K65"/>
      <c r="L65" s="1810"/>
      <c r="M65">
        <f t="shared" si="1"/>
        <v>0</v>
      </c>
      <c r="N65" s="121"/>
      <c r="O65" s="1375"/>
      <c r="Q65"/>
      <c r="S65" s="49"/>
    </row>
    <row r="66" spans="1:19">
      <c r="D66" s="23" t="s">
        <v>833</v>
      </c>
      <c r="F66" s="905" t="e">
        <f>(('Data Entry - SOF'!E69/'Calc Data-SB1'!D7)*'Data Entry - SOF'!E67)*-1</f>
        <v>#DIV/0!</v>
      </c>
      <c r="G66" s="37"/>
      <c r="H66" s="1050" t="e">
        <f t="shared" si="2"/>
        <v>#DIV/0!</v>
      </c>
      <c r="J66"/>
      <c r="K66"/>
      <c r="L66" s="1810"/>
      <c r="M66" t="e">
        <f t="shared" si="1"/>
        <v>#DIV/0!</v>
      </c>
      <c r="N66" s="121"/>
      <c r="O66" s="1375"/>
      <c r="Q66"/>
      <c r="S66" s="49"/>
    </row>
    <row r="67" spans="1:19">
      <c r="D67" s="23" t="s">
        <v>834</v>
      </c>
      <c r="F67" s="1241" t="e">
        <f>(('Data Entry - SOF'!E69/'Calc Data-SB1'!D7)*'Data Entry - SOF'!E68)*-1</f>
        <v>#DIV/0!</v>
      </c>
      <c r="G67" s="37"/>
      <c r="H67" s="1050" t="e">
        <f t="shared" si="2"/>
        <v>#DIV/0!</v>
      </c>
      <c r="J67"/>
      <c r="K67"/>
      <c r="L67" s="1810"/>
      <c r="M67" t="e">
        <f t="shared" si="1"/>
        <v>#DIV/0!</v>
      </c>
      <c r="N67" s="121"/>
      <c r="O67" s="1375"/>
      <c r="Q67"/>
      <c r="S67" s="49"/>
    </row>
    <row r="68" spans="1:19">
      <c r="D68" s="23" t="s">
        <v>3399</v>
      </c>
      <c r="F68" s="1242">
        <f>'Data Entry - SOF'!E96</f>
        <v>0</v>
      </c>
      <c r="G68" s="37"/>
      <c r="H68" s="1051">
        <f t="shared" si="2"/>
        <v>0</v>
      </c>
      <c r="J68"/>
      <c r="K68"/>
      <c r="L68" s="1810"/>
      <c r="M68">
        <f t="shared" si="1"/>
        <v>0</v>
      </c>
      <c r="N68" s="121"/>
      <c r="O68" s="1375"/>
      <c r="Q68"/>
      <c r="S68" s="49"/>
    </row>
    <row r="69" spans="1:19">
      <c r="D69" s="906" t="s">
        <v>200</v>
      </c>
      <c r="F69" s="37" t="e">
        <f>SUM(F57:F68)</f>
        <v>#DIV/0!</v>
      </c>
      <c r="G69" s="37"/>
      <c r="H69" s="1050" t="e">
        <f>SUM(H57:H68)</f>
        <v>#DIV/0!</v>
      </c>
      <c r="J69"/>
      <c r="K69"/>
      <c r="L69" s="1810"/>
      <c r="M69" t="e">
        <f t="shared" si="1"/>
        <v>#DIV/0!</v>
      </c>
      <c r="N69" s="121"/>
      <c r="O69" s="1375"/>
      <c r="Q69"/>
      <c r="S69" s="49"/>
    </row>
    <row r="70" spans="1:19">
      <c r="D70" s="906"/>
      <c r="F70" s="47"/>
      <c r="G70" s="37"/>
      <c r="H70" s="1050"/>
      <c r="J70"/>
      <c r="K70"/>
      <c r="L70" s="1810"/>
      <c r="M70">
        <f t="shared" si="1"/>
        <v>0</v>
      </c>
      <c r="N70" s="121"/>
      <c r="O70" s="1375"/>
      <c r="Q70"/>
      <c r="S70" s="49"/>
    </row>
    <row r="71" spans="1:19">
      <c r="D71" s="23" t="s">
        <v>2749</v>
      </c>
      <c r="F71" s="37">
        <f>F76*-1</f>
        <v>0</v>
      </c>
      <c r="G71" s="37"/>
      <c r="H71" s="1050">
        <f>H76*-1</f>
        <v>0</v>
      </c>
      <c r="J71"/>
      <c r="K71"/>
      <c r="L71" s="1810"/>
      <c r="M71">
        <f t="shared" si="1"/>
        <v>0</v>
      </c>
      <c r="N71" s="121"/>
      <c r="O71" s="1375"/>
      <c r="Q71"/>
      <c r="S71" s="49"/>
    </row>
    <row r="72" spans="1:19" ht="13.5" thickBot="1">
      <c r="D72" s="23"/>
      <c r="G72" s="37"/>
      <c r="H72" s="1050"/>
      <c r="J72"/>
      <c r="K72"/>
      <c r="L72" s="1810"/>
      <c r="M72"/>
      <c r="N72" s="121"/>
      <c r="O72" s="1375"/>
      <c r="Q72"/>
      <c r="S72" s="49"/>
    </row>
    <row r="73" spans="1:19" ht="13.5" thickTop="1">
      <c r="A73" s="909"/>
      <c r="B73" s="910"/>
      <c r="C73" s="910"/>
      <c r="D73" s="911"/>
      <c r="E73" s="910"/>
      <c r="F73" s="956"/>
      <c r="G73" s="37"/>
      <c r="J73"/>
      <c r="K73"/>
      <c r="L73" s="1810"/>
      <c r="M73"/>
      <c r="N73" s="121"/>
      <c r="O73" s="1375"/>
      <c r="Q73"/>
      <c r="S73" s="49"/>
    </row>
    <row r="74" spans="1:19">
      <c r="A74" s="912"/>
      <c r="B74" s="893" t="s">
        <v>202</v>
      </c>
      <c r="C74" s="35"/>
      <c r="D74" s="908"/>
      <c r="E74" s="35"/>
      <c r="F74" s="957"/>
      <c r="G74" s="37"/>
      <c r="J74"/>
      <c r="K74"/>
      <c r="L74" s="1810"/>
      <c r="M74"/>
      <c r="N74" s="121"/>
      <c r="O74" s="1375"/>
      <c r="Q74"/>
      <c r="S74" s="49"/>
    </row>
    <row r="75" spans="1:19">
      <c r="A75" s="912"/>
      <c r="B75" s="893" t="s">
        <v>1681</v>
      </c>
      <c r="C75" s="35"/>
      <c r="D75" s="101" t="s">
        <v>836</v>
      </c>
      <c r="E75" s="101"/>
      <c r="F75" s="189" t="e">
        <f>F49+F54+F69+F71</f>
        <v>#DIV/0!</v>
      </c>
      <c r="G75" s="37"/>
      <c r="H75" s="1756" t="e">
        <f>H49+H54+H69+H71</f>
        <v>#DIV/0!</v>
      </c>
      <c r="J75"/>
      <c r="K75"/>
      <c r="L75" s="1810"/>
      <c r="M75" t="e">
        <f>M49+I54+M69+M71</f>
        <v>#DIV/0!</v>
      </c>
      <c r="N75" s="121"/>
      <c r="O75" s="1375"/>
      <c r="Q75"/>
      <c r="S75" s="49"/>
    </row>
    <row r="76" spans="1:19">
      <c r="A76" s="912"/>
      <c r="B76" s="893" t="s">
        <v>1679</v>
      </c>
      <c r="C76" s="35"/>
      <c r="D76" s="101" t="s">
        <v>3005</v>
      </c>
      <c r="E76" s="101"/>
      <c r="F76" s="189">
        <f>'Calc Data-SB1'!C7*Assumptions!G105</f>
        <v>0</v>
      </c>
      <c r="G76" s="37"/>
      <c r="H76" s="1756">
        <f>F76</f>
        <v>0</v>
      </c>
      <c r="J76"/>
      <c r="K76"/>
      <c r="L76" s="1813"/>
      <c r="M76">
        <f>H76</f>
        <v>0</v>
      </c>
      <c r="N76" s="121"/>
      <c r="O76" s="1375"/>
      <c r="Q76"/>
      <c r="S76" s="49"/>
    </row>
    <row r="77" spans="1:19" ht="15.75">
      <c r="A77" s="912"/>
      <c r="B77" s="893" t="s">
        <v>1680</v>
      </c>
      <c r="C77" s="35"/>
      <c r="D77" s="952" t="s">
        <v>858</v>
      </c>
      <c r="E77" s="123"/>
      <c r="F77" s="959">
        <v>0</v>
      </c>
      <c r="G77" s="37"/>
      <c r="H77" s="1757">
        <v>0</v>
      </c>
      <c r="J77"/>
      <c r="K77"/>
      <c r="L77" s="1813"/>
      <c r="M77">
        <f>H77</f>
        <v>0</v>
      </c>
      <c r="N77" s="121"/>
      <c r="O77" s="1375"/>
      <c r="Q77" s="121">
        <f>'Calc Data-SB1'!C6*Assumptions!G114</f>
        <v>0</v>
      </c>
      <c r="S77" s="49"/>
    </row>
    <row r="78" spans="1:19">
      <c r="A78" s="912"/>
      <c r="B78" s="893" t="s">
        <v>839</v>
      </c>
      <c r="C78" s="35"/>
      <c r="D78" s="101" t="s">
        <v>837</v>
      </c>
      <c r="E78" s="101"/>
      <c r="F78" s="189">
        <f>'Existing Debt'!I74</f>
        <v>0</v>
      </c>
      <c r="G78" s="37"/>
      <c r="H78" s="1756">
        <f>'Existing Debt'!I74</f>
        <v>0</v>
      </c>
      <c r="J78"/>
      <c r="K78"/>
      <c r="L78" s="1813"/>
      <c r="M78">
        <f>'Existing Debt'!J74</f>
        <v>0</v>
      </c>
      <c r="N78" s="121"/>
      <c r="O78" s="1375"/>
    </row>
    <row r="79" spans="1:19" ht="13.5" thickBot="1">
      <c r="A79" s="912"/>
      <c r="B79" s="893" t="s">
        <v>1251</v>
      </c>
      <c r="C79" s="35"/>
      <c r="D79" s="101" t="s">
        <v>838</v>
      </c>
      <c r="E79" s="101"/>
      <c r="F79" s="950">
        <f>IFA!L86+IFA!N75</f>
        <v>0</v>
      </c>
      <c r="G79" s="37"/>
      <c r="H79" s="1758">
        <f>IFA!L86+IFA!N75</f>
        <v>0</v>
      </c>
      <c r="J79"/>
      <c r="K79"/>
      <c r="L79" s="1813"/>
      <c r="M79">
        <f>IFA!M86+IFA!O75</f>
        <v>0</v>
      </c>
      <c r="N79" s="121"/>
      <c r="O79" s="1375"/>
    </row>
    <row r="80" spans="1:19">
      <c r="A80" s="912"/>
      <c r="B80" s="35"/>
      <c r="C80" s="35"/>
      <c r="D80" s="35"/>
      <c r="E80" s="35"/>
      <c r="F80" s="957"/>
      <c r="G80" s="37"/>
      <c r="H80" s="1759"/>
      <c r="J80"/>
      <c r="K80"/>
      <c r="L80" s="1813"/>
      <c r="M80"/>
      <c r="N80" s="173"/>
      <c r="O80" s="1797"/>
    </row>
    <row r="81" spans="1:18" ht="12.75" customHeight="1" thickBot="1">
      <c r="A81" s="912"/>
      <c r="B81" s="35"/>
      <c r="C81" s="35"/>
      <c r="D81" s="101" t="s">
        <v>1155</v>
      </c>
      <c r="E81" s="35"/>
      <c r="F81" s="951" t="e">
        <f>SUM(F75:F79)</f>
        <v>#DIV/0!</v>
      </c>
      <c r="G81" s="37"/>
      <c r="H81" s="1760" t="e">
        <f>SUM(H75:H79)</f>
        <v>#DIV/0!</v>
      </c>
      <c r="J81"/>
      <c r="K81"/>
      <c r="L81" s="1813"/>
      <c r="M81" t="e">
        <f>SUM(M75:M79)</f>
        <v>#DIV/0!</v>
      </c>
      <c r="N81" s="173"/>
      <c r="O81" s="1797"/>
    </row>
    <row r="82" spans="1:18" ht="14.25" hidden="1" thickTop="1" thickBot="1">
      <c r="A82" s="912"/>
      <c r="B82" s="35"/>
      <c r="C82" s="35"/>
      <c r="D82" s="34" t="s">
        <v>513</v>
      </c>
      <c r="E82" s="35"/>
      <c r="F82" s="35"/>
      <c r="G82" s="37"/>
      <c r="H82" s="1760" t="e">
        <f>SUM(H75:H79)</f>
        <v>#DIV/0!</v>
      </c>
      <c r="J82"/>
      <c r="K82"/>
      <c r="L82" s="1813"/>
      <c r="M82"/>
      <c r="N82" s="173"/>
      <c r="O82" s="1797"/>
    </row>
    <row r="83" spans="1:18" ht="14.25" thickTop="1" thickBot="1">
      <c r="A83" s="913"/>
      <c r="B83" s="914"/>
      <c r="C83" s="914"/>
      <c r="D83" s="915"/>
      <c r="E83" s="914"/>
      <c r="F83" s="970"/>
      <c r="G83" s="19"/>
      <c r="H83" s="1050"/>
      <c r="J83"/>
      <c r="K83"/>
      <c r="L83" s="1810"/>
      <c r="M83"/>
    </row>
    <row r="84" spans="1:18" ht="13.5" thickTop="1">
      <c r="B84" s="23"/>
      <c r="G84" s="59"/>
      <c r="H84" s="1750"/>
      <c r="J84"/>
      <c r="K84"/>
      <c r="L84"/>
      <c r="M84"/>
      <c r="P84" s="121"/>
      <c r="Q84" s="421"/>
      <c r="R84" s="5"/>
    </row>
    <row r="85" spans="1:18">
      <c r="H85" s="1751"/>
      <c r="J85"/>
      <c r="K85"/>
      <c r="L85" s="1810"/>
      <c r="M85"/>
      <c r="P85" s="5"/>
    </row>
    <row r="86" spans="1:18" ht="13.5" thickBot="1">
      <c r="H86" s="1053"/>
      <c r="J86"/>
      <c r="K86"/>
      <c r="L86"/>
      <c r="M86"/>
    </row>
    <row r="87" spans="1:18" ht="13.5" thickTop="1">
      <c r="A87" s="918" t="s">
        <v>2816</v>
      </c>
      <c r="B87" s="91"/>
      <c r="C87" s="91"/>
      <c r="D87" s="91"/>
      <c r="E87" s="91"/>
      <c r="F87" s="183"/>
      <c r="J87"/>
      <c r="K87"/>
      <c r="L87"/>
      <c r="M87"/>
    </row>
    <row r="88" spans="1:18">
      <c r="A88" s="186"/>
      <c r="B88" s="35"/>
      <c r="C88" s="35"/>
      <c r="D88" s="35"/>
      <c r="E88" s="35"/>
      <c r="F88" s="184"/>
      <c r="J88"/>
      <c r="K88"/>
      <c r="L88"/>
      <c r="M88"/>
    </row>
    <row r="89" spans="1:18">
      <c r="A89" s="185" t="s">
        <v>2477</v>
      </c>
      <c r="B89" s="35"/>
      <c r="C89" s="35"/>
      <c r="D89" s="35"/>
      <c r="E89" s="35"/>
      <c r="F89" s="894" t="e">
        <f>IF(F75&lt;0,F76,F75+F76)</f>
        <v>#DIV/0!</v>
      </c>
      <c r="H89" s="1851" t="e">
        <f>IF(H75&lt;0,H76,H75+H76)</f>
        <v>#DIV/0!</v>
      </c>
      <c r="J89"/>
      <c r="K89"/>
      <c r="L89"/>
      <c r="M89" t="e">
        <f>IF(M75&lt;0,M76,M75+M76)</f>
        <v>#DIV/0!</v>
      </c>
    </row>
    <row r="90" spans="1:18">
      <c r="A90" s="239" t="s">
        <v>1910</v>
      </c>
      <c r="B90" s="35"/>
      <c r="C90" s="35"/>
      <c r="D90" s="35"/>
      <c r="E90" s="35"/>
      <c r="F90" s="895" t="e">
        <f>'Calc Data-SB1'!D30-'ASATR-SB1'!G24</f>
        <v>#DIV/0!</v>
      </c>
      <c r="H90" s="1852" t="e">
        <f>'Calc Data-SB1'!AF32-'ASATR-SB1'!G39</f>
        <v>#DIV/0!</v>
      </c>
      <c r="J90"/>
      <c r="K90"/>
      <c r="L90" s="1813"/>
      <c r="M90" t="e">
        <f>'Calc Data-SB1'!AG32-'ASATR-SB1'!H39</f>
        <v>#DIV/0!</v>
      </c>
      <c r="P90" s="121"/>
    </row>
    <row r="91" spans="1:18">
      <c r="A91" s="239" t="s">
        <v>1062</v>
      </c>
      <c r="B91" s="35"/>
      <c r="C91" s="35"/>
      <c r="D91" s="35"/>
      <c r="E91" s="35"/>
      <c r="F91" s="895" t="e">
        <f>'Calc Data-SB1'!D34</f>
        <v>#DIV/0!</v>
      </c>
      <c r="H91" s="1852" t="e">
        <f>'Calc Data-SB1'!AG71</f>
        <v>#DIV/0!</v>
      </c>
      <c r="J91"/>
      <c r="K91"/>
      <c r="L91" s="1813"/>
      <c r="M91" t="e">
        <f>H91</f>
        <v>#DIV/0!</v>
      </c>
      <c r="P91" s="121"/>
    </row>
    <row r="92" spans="1:18">
      <c r="A92" s="239" t="s">
        <v>1063</v>
      </c>
      <c r="B92" s="35"/>
      <c r="C92" s="35"/>
      <c r="D92" s="35"/>
      <c r="E92" s="35"/>
      <c r="F92" s="907" t="e">
        <f>'Calc Data-SB1'!D37-IF('Option Costs-HB3646'!O57="N",MAX('Option Costs-HB3646'!O54,'Option Costs-HB3646'!Q54),MIN('Option Costs-HB3646'!O54,'Option Costs-HB3646'!Q54))</f>
        <v>#DIV/0!</v>
      </c>
      <c r="H92" s="1853" t="e">
        <f>'Calc Data-SB1'!AF31-IF('Option Costs-HB3646'!O57="N",MAX('Option Costs-HB3646'!O85,'Option Costs-HB3646'!Q85),MIN('Option Costs-HB3646'!O85,'Option Costs-HB3646'!Q85))</f>
        <v>#DIV/0!</v>
      </c>
      <c r="J92"/>
      <c r="K92"/>
      <c r="L92" s="1813"/>
      <c r="M92" t="e">
        <f>'Calc Data-SB1'!AG31-IF('Option Costs-15K'!O57="N",MAX('Option Costs-15K'!O54,'Option Costs-15K'!Q54),MIN('Option Costs-15K'!O54,'Option Costs-15K'!Q54))</f>
        <v>#DIV/0!</v>
      </c>
    </row>
    <row r="93" spans="1:18" ht="13.5" thickBot="1">
      <c r="A93" s="239" t="s">
        <v>3710</v>
      </c>
      <c r="B93" s="35"/>
      <c r="C93" s="35"/>
      <c r="D93" s="35"/>
      <c r="E93" s="35"/>
      <c r="F93" s="958" t="e">
        <f>SUM(F89:F92)</f>
        <v>#DIV/0!</v>
      </c>
      <c r="H93" s="1855" t="e">
        <f>SUM(H89:H92)</f>
        <v>#DIV/0!</v>
      </c>
      <c r="J93"/>
      <c r="K93"/>
      <c r="L93" s="1813"/>
      <c r="M93" t="e">
        <f>SUM(M89:M92)</f>
        <v>#DIV/0!</v>
      </c>
    </row>
    <row r="94" spans="1:18" ht="13.5" thickTop="1">
      <c r="A94" s="185" t="s">
        <v>1908</v>
      </c>
      <c r="B94" s="35"/>
      <c r="C94" s="35"/>
      <c r="D94" s="35"/>
      <c r="E94" s="35"/>
      <c r="F94" s="907" t="e">
        <f>IF(F75&gt;0,0,F75)</f>
        <v>#DIV/0!</v>
      </c>
      <c r="H94" s="1853" t="e">
        <f>IF(H75&gt;0,0,H75)</f>
        <v>#DIV/0!</v>
      </c>
      <c r="J94"/>
      <c r="K94"/>
      <c r="L94" s="1813"/>
      <c r="M94" t="e">
        <f>IF(M75&gt;0,0,M75)</f>
        <v>#DIV/0!</v>
      </c>
    </row>
    <row r="95" spans="1:18" ht="13.5" thickBot="1">
      <c r="A95" s="423" t="s">
        <v>3711</v>
      </c>
      <c r="B95" s="35"/>
      <c r="C95" s="35"/>
      <c r="D95" s="35"/>
      <c r="E95" s="35"/>
      <c r="F95" s="958" t="e">
        <f>F93+F94</f>
        <v>#DIV/0!</v>
      </c>
      <c r="H95" s="1855" t="e">
        <f>H93+H94</f>
        <v>#DIV/0!</v>
      </c>
      <c r="J95"/>
      <c r="K95"/>
      <c r="L95" s="1813"/>
      <c r="M95" t="e">
        <f>M93+M94</f>
        <v>#DIV/0!</v>
      </c>
    </row>
    <row r="96" spans="1:18" ht="14.25" thickTop="1" thickBot="1">
      <c r="A96" s="187"/>
      <c r="B96" s="50"/>
      <c r="C96" s="50"/>
      <c r="D96" s="50"/>
      <c r="E96" s="50"/>
      <c r="F96" s="188"/>
      <c r="I96"/>
      <c r="J96"/>
      <c r="K96"/>
      <c r="L96"/>
      <c r="M96"/>
    </row>
    <row r="97" spans="1:13" ht="13.5" thickTop="1">
      <c r="D97" s="47" t="s">
        <v>1399</v>
      </c>
      <c r="E97" s="47"/>
      <c r="F97" s="47"/>
      <c r="H97" s="958" t="e">
        <f>H94+H95</f>
        <v>#DIV/0!</v>
      </c>
      <c r="J97"/>
      <c r="K97"/>
      <c r="L97"/>
      <c r="M97"/>
    </row>
    <row r="98" spans="1:13">
      <c r="D98" s="47" t="s">
        <v>511</v>
      </c>
      <c r="E98" s="47"/>
      <c r="F98" s="47"/>
      <c r="J98"/>
      <c r="K98"/>
      <c r="L98"/>
      <c r="M98"/>
    </row>
    <row r="99" spans="1:13">
      <c r="D99" s="47" t="s">
        <v>512</v>
      </c>
    </row>
    <row r="100" spans="1:13">
      <c r="D100" s="47" t="s">
        <v>1147</v>
      </c>
    </row>
    <row r="101" spans="1:13">
      <c r="D101" s="47" t="s">
        <v>720</v>
      </c>
    </row>
    <row r="102" spans="1:13">
      <c r="D102" s="47" t="s">
        <v>721</v>
      </c>
    </row>
    <row r="103" spans="1:13">
      <c r="D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Assumptions!G101*'Calc Data-SB1'!D25*'Calc Data-SB1'!D35*100</f>
        <v>#DIV/0!</v>
      </c>
      <c r="H136" s="121" t="e">
        <f>Assumptions!G101*'Calc Data-SB1'!D25*'Calc Data-SB1'!D35*100</f>
        <v>#DIV/0!</v>
      </c>
      <c r="J136" s="5"/>
      <c r="K136" s="5"/>
    </row>
    <row r="137" spans="5:11">
      <c r="E137" t="s">
        <v>3253</v>
      </c>
      <c r="F137" s="121" t="e">
        <f>Assumptions!G102*'Calc Data-SB1'!D25*'Calc Data-SB1'!D38*100</f>
        <v>#DIV/0!</v>
      </c>
      <c r="H137" s="121" t="e">
        <f>Assumptions!G102*'Calc Data-SB1'!D25*'Calc Data-SB1'!AF29*100</f>
        <v>#DIV/0!</v>
      </c>
      <c r="J137" s="5"/>
      <c r="K137" s="5"/>
    </row>
    <row r="138" spans="5:11">
      <c r="J138" s="121"/>
      <c r="K138" s="121"/>
    </row>
    <row r="139" spans="5:11">
      <c r="J139" s="121"/>
      <c r="K139" s="121"/>
    </row>
  </sheetData>
  <pageMargins left="0.25" right="0.25" top="0.25" bottom="0.25" header="0.5" footer="0.5"/>
  <pageSetup orientation="landscape" r:id="rId1"/>
  <headerFooter alignWithMargins="0"/>
  <rowBreaks count="2" manualBreakCount="2">
    <brk id="47" max="6" man="1"/>
    <brk id="85" max="6" man="1"/>
  </rowBreaks>
  <legacy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4552</v>
      </c>
    </row>
    <row r="6" spans="1:5" ht="15.75">
      <c r="A6" s="1830"/>
      <c r="B6" s="1817" t="s">
        <v>3268</v>
      </c>
      <c r="C6" s="1836" t="s">
        <v>4522</v>
      </c>
      <c r="D6" s="1836" t="s">
        <v>4523</v>
      </c>
      <c r="E6" s="1836" t="s">
        <v>4467</v>
      </c>
    </row>
    <row r="7" spans="1:5" ht="15">
      <c r="A7" s="1816">
        <v>1</v>
      </c>
      <c r="B7" s="1831" t="s">
        <v>4554</v>
      </c>
      <c r="C7" s="1085">
        <f>'Data Entry - SOF'!E48</f>
        <v>0</v>
      </c>
      <c r="D7" s="1085">
        <f>'Data Entry - SOF'!E50</f>
        <v>0</v>
      </c>
      <c r="E7" s="1085">
        <f t="shared" ref="E7:E14" si="0">C7-D7</f>
        <v>0</v>
      </c>
    </row>
    <row r="8" spans="1:5" ht="15">
      <c r="A8" s="1816">
        <v>2</v>
      </c>
      <c r="B8" s="1831" t="s">
        <v>4555</v>
      </c>
      <c r="C8" s="1103">
        <f>'Data Entry - SOF'!E58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4556</v>
      </c>
      <c r="C10" s="1197">
        <f>'Data Entry - SOF'!E59+'Data Entry - SOF'!E60</f>
        <v>0</v>
      </c>
      <c r="D10" s="1197" t="e">
        <f>(('Data Entry - SOF'!E59-IFA!O79)*(D7/C7))+IFA!O79+'Data Entry - SOF'!E60</f>
        <v>#DIV/0!</v>
      </c>
      <c r="E10" s="1085" t="e">
        <f t="shared" si="0"/>
        <v>#DIV/0!</v>
      </c>
    </row>
    <row r="11" spans="1:5" s="1076" customFormat="1" ht="15">
      <c r="A11" s="1816">
        <v>5</v>
      </c>
      <c r="B11" s="1831" t="s">
        <v>4557</v>
      </c>
      <c r="C11" s="1197" t="e">
        <f>C10*IF(C8&lt;C9,1,C9/C8)</f>
        <v>#DIV/0!</v>
      </c>
      <c r="D11" s="1197" t="e">
        <f>D10*IF(D8&lt;D9,1,D9/D8)</f>
        <v>#DIV/0!</v>
      </c>
      <c r="E11" s="1085" t="e">
        <f t="shared" si="0"/>
        <v>#DIV/0!</v>
      </c>
    </row>
    <row r="12" spans="1:5" s="1076" customFormat="1" ht="15">
      <c r="A12" s="1816">
        <v>6</v>
      </c>
      <c r="B12" s="1831" t="s">
        <v>576</v>
      </c>
      <c r="C12" s="1085">
        <f>'Report-SOF1718'!D54</f>
        <v>0</v>
      </c>
      <c r="D12" s="1085">
        <f>'SOF1718-SB1'!M44</f>
        <v>0</v>
      </c>
      <c r="E12" s="1085">
        <f t="shared" si="0"/>
        <v>0</v>
      </c>
    </row>
    <row r="13" spans="1:5" s="1076" customFormat="1" ht="15">
      <c r="A13" s="1816">
        <v>7</v>
      </c>
      <c r="B13" s="1831" t="s">
        <v>4533</v>
      </c>
      <c r="C13" s="1085">
        <f>'Report-SOF1718'!D55</f>
        <v>0</v>
      </c>
      <c r="D13" s="1085">
        <f>'SOF1718-SB1'!M45</f>
        <v>0</v>
      </c>
      <c r="E13" s="1085">
        <f t="shared" si="0"/>
        <v>0</v>
      </c>
    </row>
    <row r="14" spans="1:5" s="1076" customFormat="1" ht="15">
      <c r="A14" s="1816">
        <v>8</v>
      </c>
      <c r="B14" s="1831" t="s">
        <v>4528</v>
      </c>
      <c r="C14" s="1085">
        <f>'Report-SOF1718'!D60</f>
        <v>0</v>
      </c>
      <c r="D14" s="1085">
        <f>'SOF1718-SB1'!M49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'SOF1718-SB1'!K52</f>
        <v>#DIV/0!</v>
      </c>
      <c r="D17" s="1085" t="e">
        <f>'SOF1718-SB1'!M52</f>
        <v>#DIV/0!</v>
      </c>
      <c r="E17" s="1085" t="e">
        <f>C17-D17</f>
        <v>#DIV/0!</v>
      </c>
    </row>
    <row r="18" spans="1:5" s="1076" customFormat="1" ht="15">
      <c r="A18" s="1816">
        <v>11</v>
      </c>
      <c r="B18" s="1831" t="s">
        <v>4535</v>
      </c>
      <c r="C18" s="1085" t="e">
        <f>'SOF1718-SB1'!K53</f>
        <v>#DIV/0!</v>
      </c>
      <c r="D18" s="1085" t="e">
        <f>'SOF1718-SB1'!M53</f>
        <v>#DIV/0!</v>
      </c>
      <c r="E18" s="1085" t="e">
        <f>C18-D18</f>
        <v>#DIV/0!</v>
      </c>
    </row>
    <row r="19" spans="1:5" s="1076" customFormat="1" ht="15">
      <c r="A19" s="1816">
        <v>12</v>
      </c>
      <c r="B19" s="1831" t="s">
        <v>7111</v>
      </c>
      <c r="C19" s="1085">
        <f>IFA!N86</f>
        <v>0</v>
      </c>
      <c r="D19" s="1085">
        <f>IFA!O86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Costs-ASATR'!K57="Y",'Option Costs-ASATR'!M106,'Option Costs-ASATR'!Q106)</f>
        <v>#DIV/0!</v>
      </c>
      <c r="D21" s="1085" t="e">
        <f>IF('Option Costs-15K-ASATR'!K57="Y",'Option Costs-15K-ASATR'!M106,'Option Costs-15K-ASATR'!Q106)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67" t="s">
        <v>4553</v>
      </c>
    </row>
    <row r="33" spans="1:3" ht="15.75">
      <c r="A33" s="1829"/>
      <c r="B33" s="1817" t="s">
        <v>3268</v>
      </c>
      <c r="C33" s="1834"/>
    </row>
    <row r="34" spans="1:3" ht="15">
      <c r="A34" s="1816">
        <v>1</v>
      </c>
      <c r="B34" s="1819" t="s">
        <v>7377</v>
      </c>
      <c r="C34" s="1085">
        <f>'Data Entry - SOF'!E53</f>
        <v>0</v>
      </c>
    </row>
    <row r="35" spans="1:3" ht="15">
      <c r="A35" s="1816">
        <v>2</v>
      </c>
      <c r="B35" s="1819" t="s">
        <v>7378</v>
      </c>
      <c r="C35" s="1085">
        <f>'Data Entry - SOF'!E55</f>
        <v>0</v>
      </c>
    </row>
    <row r="36" spans="1:3" ht="15">
      <c r="A36" s="1816">
        <v>3</v>
      </c>
      <c r="B36" s="1819" t="s">
        <v>4580</v>
      </c>
      <c r="C36" s="1085">
        <f>'Data Entry - SOF'!E74</f>
        <v>0</v>
      </c>
    </row>
    <row r="37" spans="1:3" ht="15.75">
      <c r="A37" s="1832"/>
      <c r="B37" s="1820" t="s">
        <v>4726</v>
      </c>
      <c r="C37" s="1834"/>
    </row>
    <row r="38" spans="1:3" ht="15">
      <c r="A38" s="1816">
        <v>4</v>
      </c>
      <c r="B38" s="2237" t="s">
        <v>4516</v>
      </c>
      <c r="C38" s="1085">
        <f>IFA!L86</f>
        <v>0</v>
      </c>
    </row>
    <row r="39" spans="1:3" ht="15">
      <c r="A39" s="1816">
        <v>5</v>
      </c>
      <c r="B39" s="2237" t="s">
        <v>4517</v>
      </c>
      <c r="C39" s="1085">
        <f>'Existing Debt'!I74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IFA!M86</f>
        <v>0</v>
      </c>
    </row>
    <row r="45" spans="1:3" ht="15">
      <c r="A45" s="1816">
        <v>10</v>
      </c>
      <c r="B45" s="2237" t="s">
        <v>4519</v>
      </c>
      <c r="C45" s="1085">
        <f>'Existing Debt'!J74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SOF'!E63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3830</v>
      </c>
      <c r="D3" s="75" t="s">
        <v>3830</v>
      </c>
      <c r="E3" s="75" t="s">
        <v>3830</v>
      </c>
    </row>
    <row r="4" spans="1:5">
      <c r="C4" s="117" t="s">
        <v>4476</v>
      </c>
      <c r="D4" s="117" t="s">
        <v>4477</v>
      </c>
      <c r="E4" s="194" t="s">
        <v>4467</v>
      </c>
    </row>
    <row r="5" spans="1:5">
      <c r="A5" t="s">
        <v>4466</v>
      </c>
      <c r="C5" s="1537">
        <f>'Data Entry - SOF'!G108</f>
        <v>0</v>
      </c>
      <c r="D5" s="1537">
        <f>'Calc Data-SB1'!AJ30</f>
        <v>0</v>
      </c>
      <c r="E5" s="1537">
        <f>D5-C5</f>
        <v>0</v>
      </c>
    </row>
    <row r="6" spans="1:5">
      <c r="A6" t="s">
        <v>1148</v>
      </c>
      <c r="C6" s="424">
        <f>'Calc Data-SB1'!E19</f>
        <v>0</v>
      </c>
      <c r="D6" s="424">
        <f>'Calc Data-SB1'!AJ19</f>
        <v>0</v>
      </c>
      <c r="E6" s="424"/>
    </row>
    <row r="8" spans="1:5">
      <c r="A8" t="s">
        <v>576</v>
      </c>
      <c r="C8" s="1761">
        <f>'SOF1819-SB1'!F44</f>
        <v>0</v>
      </c>
      <c r="D8" s="1761">
        <f>'SOF1819-SB1'!H44</f>
        <v>0</v>
      </c>
      <c r="E8" s="1761">
        <f>D8-C8</f>
        <v>0</v>
      </c>
    </row>
    <row r="9" spans="1:5">
      <c r="A9" t="s">
        <v>4468</v>
      </c>
      <c r="C9" s="1761">
        <f>'SOF1819-SB1'!F45</f>
        <v>0</v>
      </c>
      <c r="D9" s="1761">
        <f>'SOF1819-SB1'!H45</f>
        <v>0</v>
      </c>
      <c r="E9" s="1761">
        <f>D9-C9</f>
        <v>0</v>
      </c>
    </row>
    <row r="10" spans="1:5">
      <c r="A10" t="s">
        <v>2829</v>
      </c>
      <c r="C10" s="1762">
        <f>'SOF1819-SB1'!F46</f>
        <v>0</v>
      </c>
      <c r="D10" s="1762">
        <f>'SOF1819-SB1'!H46</f>
        <v>0</v>
      </c>
      <c r="E10" s="1762">
        <f>IF(D10-C10&lt;0,0,D10-C10)</f>
        <v>0</v>
      </c>
    </row>
    <row r="11" spans="1:5">
      <c r="C11" s="1763"/>
      <c r="D11" s="1763"/>
      <c r="E11" s="1763"/>
    </row>
    <row r="12" spans="1:5">
      <c r="A12" t="s">
        <v>2262</v>
      </c>
      <c r="C12" s="1763" t="e">
        <f>'ASATR-SB1'!I24</f>
        <v>#DIV/0!</v>
      </c>
      <c r="D12" s="1763" t="e">
        <f>'ASATR-SB1'!I39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Data-SB1'!E36</f>
        <v>0</v>
      </c>
      <c r="D18" s="456">
        <f>'Calc Data-SB1'!AJ28</f>
        <v>0</v>
      </c>
      <c r="E18" s="1537">
        <f>D18-C18</f>
        <v>0</v>
      </c>
    </row>
    <row r="19" spans="1:5">
      <c r="A19" s="283" t="s">
        <v>4470</v>
      </c>
      <c r="B19" s="57"/>
      <c r="C19" s="1768" t="e">
        <f>'SOF1819-SB1'!F53</f>
        <v>#DIV/0!</v>
      </c>
      <c r="D19" s="1769" t="e">
        <f>'SOF1819-SB1'!H53</f>
        <v>#DIV/0!</v>
      </c>
      <c r="E19" s="1765" t="e">
        <f>D19-C19</f>
        <v>#DIV/0!</v>
      </c>
    </row>
    <row r="21" spans="1:5">
      <c r="A21" s="283" t="s">
        <v>4474</v>
      </c>
      <c r="B21" s="57"/>
      <c r="C21" s="1770" t="e">
        <f>'Option Costs-HB3646'!W54</f>
        <v>#DIV/0!</v>
      </c>
      <c r="D21" s="1771" t="e">
        <f>'Option Costs-HB3646'!W85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3" spans="1:1">
      <c r="A33" s="1802" t="s">
        <v>7108</v>
      </c>
    </row>
    <row r="34" spans="1:1">
      <c r="A34" s="1802"/>
    </row>
    <row r="35" spans="1:1" ht="15" customHeight="1">
      <c r="A35" s="4624" t="s">
        <v>7106</v>
      </c>
    </row>
    <row r="36" spans="1:1" ht="15" customHeight="1">
      <c r="A36" s="4624" t="s">
        <v>8015</v>
      </c>
    </row>
    <row r="37" spans="1:1" ht="15" customHeight="1">
      <c r="A37" s="4624" t="s">
        <v>7107</v>
      </c>
    </row>
  </sheetData>
  <sheetProtection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51" workbookViewId="0">
      <selection activeCell="M76" sqref="M7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17" customWidth="1"/>
    <col min="10" max="13" width="19.140625" style="1737" customWidth="1"/>
    <col min="14" max="14" width="13.5703125" customWidth="1"/>
    <col min="15" max="15" width="13.5703125" style="177" customWidth="1"/>
    <col min="16" max="16" width="13.5703125" customWidth="1"/>
    <col min="17" max="17" width="13.5703125" style="49" customWidth="1"/>
    <col min="18" max="18" width="13.7109375" customWidth="1"/>
    <col min="40" max="40" width="15.5703125" customWidth="1"/>
    <col min="41" max="41" width="16" customWidth="1"/>
  </cols>
  <sheetData>
    <row r="1" spans="1:13">
      <c r="A1" s="23" t="s">
        <v>78</v>
      </c>
      <c r="C1" s="873">
        <f>'Data Entry - SOF'!B1</f>
        <v>0</v>
      </c>
      <c r="D1" s="35"/>
      <c r="E1" s="1031"/>
      <c r="F1" t="str">
        <f>'Report-SOF1819'!D1</f>
        <v>84th/85th Legislative Session</v>
      </c>
      <c r="G1" s="83"/>
      <c r="H1" s="83"/>
      <c r="J1" s="1736"/>
      <c r="K1" s="1736"/>
      <c r="L1" s="1736"/>
      <c r="M1" s="1736"/>
    </row>
    <row r="2" spans="1:13">
      <c r="A2" s="23" t="s">
        <v>79</v>
      </c>
      <c r="C2" s="15">
        <f>'Data Entry - SOF'!B2</f>
        <v>0</v>
      </c>
      <c r="F2" s="83" t="str">
        <f>'Report-SOF1819'!D2</f>
        <v>Release 2</v>
      </c>
      <c r="G2" s="83"/>
      <c r="H2" s="83"/>
      <c r="J2" s="1736"/>
      <c r="K2" s="1736"/>
      <c r="L2" s="1736"/>
      <c r="M2" s="1736"/>
    </row>
    <row r="3" spans="1:13">
      <c r="A3" s="23" t="s">
        <v>164</v>
      </c>
      <c r="C3" s="87">
        <f ca="1">'Data Entry - SOF'!B3</f>
        <v>43146.631174305556</v>
      </c>
      <c r="F3" s="82">
        <f>'Report-SOF1819'!D3</f>
        <v>43145</v>
      </c>
    </row>
    <row r="4" spans="1:13">
      <c r="D4" s="916" t="s">
        <v>3740</v>
      </c>
    </row>
    <row r="5" spans="1:13">
      <c r="D5" s="917" t="s">
        <v>4496</v>
      </c>
    </row>
    <row r="7" spans="1:13">
      <c r="D7" s="23" t="s">
        <v>1573</v>
      </c>
    </row>
    <row r="8" spans="1:13">
      <c r="B8" s="4"/>
      <c r="D8" s="23" t="s">
        <v>942</v>
      </c>
      <c r="F8" s="22">
        <f>'Calc Data-SB1'!E7</f>
        <v>0</v>
      </c>
      <c r="G8" s="21"/>
      <c r="H8" s="21"/>
      <c r="J8" s="1738"/>
      <c r="K8" s="1738"/>
      <c r="L8" s="1738"/>
      <c r="M8" s="1738"/>
    </row>
    <row r="9" spans="1:13">
      <c r="D9" s="23" t="s">
        <v>1574</v>
      </c>
      <c r="F9" s="22">
        <f>'Calc Data-SB1'!E8</f>
        <v>0</v>
      </c>
      <c r="G9" s="21"/>
      <c r="H9" s="21"/>
      <c r="J9" s="1738"/>
      <c r="K9" s="1738"/>
      <c r="L9" s="1738"/>
      <c r="M9" s="1738"/>
    </row>
    <row r="10" spans="1:13">
      <c r="D10" s="23" t="s">
        <v>466</v>
      </c>
      <c r="F10" s="22">
        <f>'Data Entry - SOF'!G32</f>
        <v>0</v>
      </c>
      <c r="G10" s="21"/>
      <c r="H10" s="21"/>
      <c r="J10" s="1738"/>
      <c r="K10" s="1738"/>
      <c r="L10" s="1738"/>
      <c r="M10" s="1738"/>
    </row>
    <row r="11" spans="1:13">
      <c r="B11" s="23"/>
      <c r="D11" s="23" t="s">
        <v>467</v>
      </c>
      <c r="F11" s="22">
        <f>'Calc Data-SB1'!E10</f>
        <v>0</v>
      </c>
      <c r="G11" s="21"/>
      <c r="H11" s="21"/>
      <c r="J11" s="1738"/>
      <c r="K11" s="1738"/>
      <c r="L11" s="1738"/>
      <c r="M11" s="1738"/>
    </row>
    <row r="12" spans="1:13">
      <c r="D12" s="23" t="s">
        <v>468</v>
      </c>
      <c r="F12" s="19">
        <f>'Data Entry - SOF'!G48</f>
        <v>0</v>
      </c>
      <c r="G12" s="19"/>
      <c r="H12" s="19"/>
      <c r="J12" s="1739"/>
      <c r="K12" s="1739"/>
      <c r="L12" s="1739"/>
      <c r="M12" s="1739"/>
    </row>
    <row r="13" spans="1:13" hidden="1">
      <c r="D13" s="23" t="s">
        <v>469</v>
      </c>
      <c r="F13" s="19" t="e">
        <f>'Data Entry - SOF'!#REF!</f>
        <v>#REF!</v>
      </c>
      <c r="G13" s="19"/>
      <c r="H13" s="19"/>
      <c r="J13" s="1739"/>
      <c r="K13" s="1739"/>
      <c r="L13" s="1739"/>
      <c r="M13" s="1739"/>
    </row>
    <row r="14" spans="1:13">
      <c r="D14" s="23" t="s">
        <v>2055</v>
      </c>
      <c r="F14" s="22">
        <f>'Data Entry - SOF'!G112</f>
        <v>0</v>
      </c>
      <c r="G14" s="19"/>
      <c r="H14" s="19"/>
      <c r="J14" s="1739"/>
      <c r="K14" s="1739"/>
      <c r="L14" s="1739"/>
      <c r="M14" s="1739"/>
    </row>
    <row r="15" spans="1:13">
      <c r="D15" s="23" t="s">
        <v>1319</v>
      </c>
      <c r="F15" s="22">
        <f>'Calc Data-SB1'!E59</f>
        <v>0</v>
      </c>
      <c r="G15" s="20"/>
      <c r="H15" s="20"/>
      <c r="J15" s="1740"/>
      <c r="K15" s="1740"/>
      <c r="L15" s="1740"/>
      <c r="M15" s="1740"/>
    </row>
    <row r="16" spans="1:13">
      <c r="D16" s="23" t="s">
        <v>2233</v>
      </c>
      <c r="F16" s="19">
        <f>'Data Entry - SOF'!G59</f>
        <v>0</v>
      </c>
      <c r="G16" s="19"/>
      <c r="H16" s="19"/>
      <c r="J16" s="1739"/>
      <c r="K16" s="1739"/>
      <c r="L16" s="1739"/>
      <c r="M16" s="1739"/>
    </row>
    <row r="17" spans="2:40" ht="13.5" thickBot="1">
      <c r="D17" s="31"/>
      <c r="E17" s="13"/>
      <c r="F17" s="13"/>
      <c r="G17" s="32"/>
      <c r="H17" s="32"/>
      <c r="J17" s="1741"/>
      <c r="K17" s="1741"/>
      <c r="L17" s="1741"/>
      <c r="M17" s="1741"/>
    </row>
    <row r="18" spans="2:40" ht="13.5" thickTop="1">
      <c r="D18" s="34"/>
      <c r="E18" s="35"/>
      <c r="F18" s="35"/>
      <c r="G18" s="32"/>
      <c r="H18" t="s">
        <v>4510</v>
      </c>
      <c r="J18" t="s">
        <v>7901</v>
      </c>
      <c r="K18"/>
      <c r="L18" t="s">
        <v>7901</v>
      </c>
      <c r="M18"/>
    </row>
    <row r="19" spans="2:40" ht="15.75" hidden="1">
      <c r="D19" s="23"/>
      <c r="E19" s="973" t="s">
        <v>108</v>
      </c>
      <c r="F19" s="972" t="e">
        <f>IF(#REF!="y","ASATR DIST","FORMULA DIST")</f>
        <v>#REF!</v>
      </c>
      <c r="G19" s="23"/>
      <c r="J19"/>
      <c r="K19"/>
      <c r="L19"/>
      <c r="M19"/>
      <c r="AN19" t="s">
        <v>2630</v>
      </c>
    </row>
    <row r="20" spans="2:40" ht="15.75">
      <c r="B20" s="28" t="s">
        <v>470</v>
      </c>
      <c r="D20" s="23"/>
      <c r="F20" s="960" t="s">
        <v>4566</v>
      </c>
      <c r="G20" s="23"/>
      <c r="H20" t="s">
        <v>4483</v>
      </c>
      <c r="I20" s="117"/>
      <c r="J20" t="s">
        <v>4510</v>
      </c>
      <c r="K20" t="s">
        <v>4483</v>
      </c>
      <c r="L20" t="s">
        <v>4511</v>
      </c>
      <c r="M20" t="s">
        <v>4483</v>
      </c>
    </row>
    <row r="21" spans="2:40" ht="15.75">
      <c r="B21" s="28">
        <v>11</v>
      </c>
      <c r="D21" s="132" t="s">
        <v>3630</v>
      </c>
      <c r="F21" s="945">
        <f>ROUND(ROUND('Calc Data-SB1'!E23,0)*IF('Calc Data-SB1'!E11&gt;'Calc Data-SB1'!E10,'Calc Data-SB1'!E11,'Calc Data-SB1'!E10),0)</f>
        <v>0</v>
      </c>
      <c r="G21" s="19"/>
      <c r="H21" s="1037">
        <f>ROUND(ROUND('Calc Data-SB1'!AJ23,0)*IF('Calc Data-SB1'!E11&gt;'Calc Data-SB1'!E10,'Calc Data-SB1'!E11,'Calc Data-SB1'!E10),0)</f>
        <v>0</v>
      </c>
      <c r="J21"/>
      <c r="K21"/>
      <c r="L21"/>
      <c r="M21">
        <f>H21</f>
        <v>0</v>
      </c>
      <c r="AN21" s="19" t="e">
        <f>ROUND(ROUND('Calc Data-SB1'!AB23,0)*IF('Calc Data-SB1'!#REF!&gt;'Calc Data-SB1'!#REF!,'Calc Data-SB1'!#REF!,'Calc Data-SB1'!#REF!),0)</f>
        <v>#REF!</v>
      </c>
    </row>
    <row r="22" spans="2:40">
      <c r="B22" s="28">
        <v>23</v>
      </c>
      <c r="D22" s="23" t="s">
        <v>102</v>
      </c>
      <c r="F22" s="19">
        <f>ROUND('Calc Data-SB1'!E9*ROUND('Calc Data-SB1'!E23,0),0)</f>
        <v>0</v>
      </c>
      <c r="G22" s="19"/>
      <c r="H22" s="1038">
        <f>ROUND('Calc Data-SB1'!E9*ROUND('Calc Data-SB1'!AJ23,0),0)</f>
        <v>0</v>
      </c>
      <c r="J22"/>
      <c r="K22"/>
      <c r="L22"/>
      <c r="M22">
        <f>H22</f>
        <v>0</v>
      </c>
      <c r="AN22" s="19" t="e">
        <f>ROUND('Calc Data-SB1'!#REF!*ROUND('Calc Data-SB1'!AB23,0),0)</f>
        <v>#REF!</v>
      </c>
    </row>
    <row r="23" spans="2:40">
      <c r="B23" s="28"/>
      <c r="D23" s="23" t="s">
        <v>103</v>
      </c>
      <c r="F23" s="47"/>
      <c r="H23" s="1039"/>
      <c r="J23"/>
      <c r="K23"/>
      <c r="L23"/>
      <c r="M23"/>
    </row>
    <row r="24" spans="2:40">
      <c r="B24" s="28">
        <v>23</v>
      </c>
      <c r="D24" s="23" t="s">
        <v>104</v>
      </c>
      <c r="F24" s="30">
        <f>ROUND('Data Entry - SOF'!G31*Weights!J21*ROUND('Calc Data-SB1'!E23,0),0)</f>
        <v>0</v>
      </c>
      <c r="G24" s="30"/>
      <c r="H24" s="1040">
        <f>ROUND('Data Entry - SOF'!G31*Weights!J21*ROUND('Calc Data-SB1'!AJ23,0),0)</f>
        <v>0</v>
      </c>
      <c r="J24"/>
      <c r="K24"/>
      <c r="L24"/>
      <c r="M24">
        <f t="shared" ref="M24:M44" si="0">H24</f>
        <v>0</v>
      </c>
      <c r="AN24" s="30" t="e">
        <f>ROUND('Data Entry - SOF'!#REF!*1.1*ROUND('Calc Data-SB1'!AB23,0),0)</f>
        <v>#REF!</v>
      </c>
    </row>
    <row r="25" spans="2:40">
      <c r="B25" s="28">
        <v>23</v>
      </c>
      <c r="D25" s="23" t="s">
        <v>105</v>
      </c>
      <c r="F25" s="19">
        <f>ROUND((+'Data Entry - SOF'!G29*Weights!J19)*ROUND('Calc Data-SB1'!E23,0),0)</f>
        <v>0</v>
      </c>
      <c r="G25" s="19"/>
      <c r="H25" s="1038">
        <f>ROUND((+'Data Entry - SOF'!G29*Weights!J19)*ROUND('Calc Data-SB1'!AJ23,0),0)</f>
        <v>0</v>
      </c>
      <c r="J25"/>
      <c r="K25"/>
      <c r="L25"/>
      <c r="M25">
        <f t="shared" si="0"/>
        <v>0</v>
      </c>
      <c r="AN25" s="19" t="e">
        <f>ROUND((+'Data Entry - SOF'!#REF!*4)*ROUND('Calc Data-SB1'!AB23,0),0)</f>
        <v>#REF!</v>
      </c>
    </row>
    <row r="26" spans="2:40">
      <c r="B26" s="28">
        <v>23</v>
      </c>
      <c r="D26" s="25" t="s">
        <v>919</v>
      </c>
      <c r="F26" s="19">
        <f>ROUND((+'Data Entry - SOF'!G27*Weights!J17)*ROUND('Calc Data-SB1'!E23,0),0)</f>
        <v>0</v>
      </c>
      <c r="G26" s="19"/>
      <c r="H26" s="1038">
        <f>ROUND((+'Data Entry - SOF'!G27*Weights!J17)*ROUND('Calc Data-SB1'!AJ23,0),0)</f>
        <v>0</v>
      </c>
      <c r="J26"/>
      <c r="K26"/>
      <c r="L26"/>
      <c r="M26">
        <f t="shared" si="0"/>
        <v>0</v>
      </c>
      <c r="AN26" s="19" t="e">
        <f>ROUND((+'Data Entry - SOF'!#REF!*2.8)*ROUND('Calc Data-SB1'!AB23,0),0)</f>
        <v>#REF!</v>
      </c>
    </row>
    <row r="27" spans="2:40">
      <c r="B27" s="28">
        <v>23</v>
      </c>
      <c r="D27" s="25" t="s">
        <v>920</v>
      </c>
      <c r="F27" s="19">
        <f>ROUND(('Data Entry - SOF'!G28*Weights!J18)*ROUND('Calc Data-SB1'!E23,0),0)</f>
        <v>0</v>
      </c>
      <c r="G27" s="19"/>
      <c r="H27" s="1038">
        <f>ROUND(('Data Entry - SOF'!G28*Weights!J18)*ROUND('Calc Data-SB1'!AJ23,0),0)</f>
        <v>0</v>
      </c>
      <c r="J27"/>
      <c r="K27"/>
      <c r="L27"/>
      <c r="M27">
        <f t="shared" si="0"/>
        <v>0</v>
      </c>
      <c r="AN27" s="19" t="e">
        <f>ROUND(('Data Entry - SOF'!#REF!*1.7)*ROUND('Calc Data-SB1'!AB23,0),0)</f>
        <v>#REF!</v>
      </c>
    </row>
    <row r="28" spans="2:40">
      <c r="B28" s="28"/>
      <c r="D28" s="23" t="s">
        <v>1308</v>
      </c>
      <c r="F28" s="19">
        <f>IF('Data Entry - SOF'!G71&lt;0,'Data Entry - SOF'!G71,'Data Entry - SOF'!G71*-1)</f>
        <v>0</v>
      </c>
      <c r="G28" s="19"/>
      <c r="H28" s="1038">
        <f>IF('Data Entry - SOF'!G71&lt;0,'Data Entry - SOF'!G71,'Data Entry - SOF'!G71*-1)</f>
        <v>0</v>
      </c>
      <c r="J28"/>
      <c r="K28"/>
      <c r="L28"/>
      <c r="M28">
        <f t="shared" si="0"/>
        <v>0</v>
      </c>
      <c r="AN28" s="19">
        <v>0</v>
      </c>
    </row>
    <row r="29" spans="2:40">
      <c r="B29" s="28">
        <v>22</v>
      </c>
      <c r="C29" s="17"/>
      <c r="D29" s="23" t="s">
        <v>119</v>
      </c>
      <c r="F29" s="19">
        <f>ROUND(ROUND('Calc Data-SB1'!E23,0)*'Data Entry - SOF'!G32*Weights!J23,0)</f>
        <v>0</v>
      </c>
      <c r="G29" s="19"/>
      <c r="H29" s="1038">
        <f>ROUND(ROUND('Calc Data-SB1'!AJ23,0)*'Data Entry - SOF'!G32*Weights!J23,0)</f>
        <v>0</v>
      </c>
      <c r="J29"/>
      <c r="K29"/>
      <c r="L29"/>
      <c r="M29">
        <f t="shared" si="0"/>
        <v>0</v>
      </c>
      <c r="AN29" s="19" t="e">
        <f>ROUND(ROUND('Calc Data-SB1'!AB23,0)*'Data Entry - SOF'!#REF!*1.35,0)</f>
        <v>#REF!</v>
      </c>
    </row>
    <row r="30" spans="2:40">
      <c r="B30" s="28"/>
      <c r="C30" s="17"/>
      <c r="D30" s="47" t="s">
        <v>716</v>
      </c>
      <c r="F30" s="19">
        <f>Weights!J24*'Data Entry - SOF'!G33</f>
        <v>0</v>
      </c>
      <c r="G30" s="19"/>
      <c r="H30" s="1038">
        <f>Weights!J24*'Data Entry - SOF'!G33</f>
        <v>0</v>
      </c>
      <c r="J30"/>
      <c r="K30"/>
      <c r="L30"/>
      <c r="M30">
        <f t="shared" si="0"/>
        <v>0</v>
      </c>
      <c r="AN30" s="19"/>
    </row>
    <row r="31" spans="2:40" hidden="1">
      <c r="B31" s="28"/>
      <c r="C31" s="17"/>
      <c r="D31" s="47" t="s">
        <v>717</v>
      </c>
      <c r="F31" s="19">
        <f>400*'Data Entry - SOF'!G34</f>
        <v>0</v>
      </c>
      <c r="G31" s="19"/>
      <c r="H31" s="1038">
        <f>400*'Data Entry - SOF'!G34</f>
        <v>0</v>
      </c>
      <c r="J31"/>
      <c r="K31"/>
      <c r="L31"/>
      <c r="M31">
        <f t="shared" si="0"/>
        <v>0</v>
      </c>
      <c r="AN31" s="19"/>
    </row>
    <row r="32" spans="2:40" hidden="1">
      <c r="B32" s="28"/>
      <c r="C32" s="17"/>
      <c r="D32" s="47" t="s">
        <v>718</v>
      </c>
      <c r="F32" s="19">
        <f>80*'Data Entry - SOF'!G35</f>
        <v>0</v>
      </c>
      <c r="G32" s="19"/>
      <c r="H32" s="1038">
        <f>80*'Data Entry - SOF'!G35</f>
        <v>0</v>
      </c>
      <c r="J32"/>
      <c r="K32"/>
      <c r="L32"/>
      <c r="M32">
        <f t="shared" si="0"/>
        <v>0</v>
      </c>
      <c r="AN32" s="19"/>
    </row>
    <row r="33" spans="2:40">
      <c r="B33" s="28">
        <v>21</v>
      </c>
      <c r="D33" s="23" t="s">
        <v>3030</v>
      </c>
      <c r="F33" s="19">
        <f>ROUND(ROUND('Calc Data-SB1'!E23,0)*'Data Entry - SOF'!G157*Weights!J28,0)</f>
        <v>0</v>
      </c>
      <c r="G33" s="19"/>
      <c r="H33" s="1038">
        <f>ROUND(ROUND('Calc Data-SB1'!AJ23,0)*'Data Entry - SOF'!G157*Weights!J28,0)</f>
        <v>0</v>
      </c>
      <c r="J33"/>
      <c r="K33"/>
      <c r="L33"/>
      <c r="M33">
        <f t="shared" si="0"/>
        <v>0</v>
      </c>
      <c r="AN33" s="19" t="e">
        <f>ROUND(ROUND('Calc Data-SB1'!AB23,0)*'Data Entry - SOF'!#REF!*0.12,0)</f>
        <v>#REF!</v>
      </c>
    </row>
    <row r="34" spans="2:40">
      <c r="B34" s="28"/>
      <c r="D34" s="23" t="s">
        <v>433</v>
      </c>
      <c r="F34" s="19">
        <f>IF('Data Entry - SOF'!G70&lt;0,'Data Entry - SOF'!G70,'Data Entry - SOF'!G70*-1)</f>
        <v>0</v>
      </c>
      <c r="G34" s="19"/>
      <c r="H34" s="1038">
        <f>IF('Data Entry - SOF'!G70&lt;0,'Data Entry - SOF'!G70,'Data Entry - SOF'!G70*-1)</f>
        <v>0</v>
      </c>
      <c r="J34"/>
      <c r="K34"/>
      <c r="L34"/>
      <c r="M34">
        <f t="shared" si="0"/>
        <v>0</v>
      </c>
      <c r="AN34" s="19">
        <v>0</v>
      </c>
    </row>
    <row r="35" spans="2:40">
      <c r="B35" s="28" t="s">
        <v>2857</v>
      </c>
      <c r="D35" s="23" t="s">
        <v>434</v>
      </c>
      <c r="F35" s="19">
        <f>ROUND(ROUND('Calc Data-SB1'!E23,0)*'Data Entry - SOF'!G36*Weights!J30,0)</f>
        <v>0</v>
      </c>
      <c r="G35" s="19"/>
      <c r="H35" s="1038">
        <f>ROUND(ROUND('Calc Data-SB1'!AJ23,0)*'Data Entry - SOF'!G36*Weights!J30,0)</f>
        <v>0</v>
      </c>
      <c r="J35"/>
      <c r="K35"/>
      <c r="L35"/>
      <c r="M35">
        <f t="shared" si="0"/>
        <v>0</v>
      </c>
      <c r="AN35" s="19" t="e">
        <f>ROUND(ROUND('Calc Data-SB1'!AB23,0)*'Data Entry - SOF'!#REF!*0.2,0)</f>
        <v>#REF!</v>
      </c>
    </row>
    <row r="36" spans="2:40">
      <c r="B36" s="28" t="s">
        <v>2857</v>
      </c>
      <c r="D36" s="23" t="s">
        <v>435</v>
      </c>
      <c r="F36" s="19">
        <f>ROUND(ROUND('Calc Data-SB1'!E23,0)*'Data Entry - SOF'!G37*Weights!J31,0)</f>
        <v>0</v>
      </c>
      <c r="G36" s="19"/>
      <c r="H36" s="1038">
        <f>ROUND(ROUND('Calc Data-SB1'!AJ23,0)*'Data Entry - SOF'!G37*Weights!J31,0)</f>
        <v>0</v>
      </c>
      <c r="J36"/>
      <c r="K36"/>
      <c r="L36"/>
      <c r="M36">
        <f t="shared" si="0"/>
        <v>0</v>
      </c>
      <c r="AN36" s="19" t="e">
        <f>ROUND(ROUND('Calc Data-SB1'!AB23,0)*'Data Entry - SOF'!#REF!*2.41,0)</f>
        <v>#REF!</v>
      </c>
    </row>
    <row r="37" spans="2:40" hidden="1">
      <c r="B37" s="28" t="s">
        <v>2857</v>
      </c>
      <c r="D37" s="97" t="s">
        <v>491</v>
      </c>
      <c r="E37" s="944"/>
      <c r="F37" s="19">
        <f>650*'Data Entry - SOF'!G38</f>
        <v>0</v>
      </c>
      <c r="G37" s="19"/>
      <c r="H37" s="1038">
        <f>650*'Data Entry - SOF'!G38</f>
        <v>0</v>
      </c>
      <c r="J37"/>
      <c r="K37"/>
      <c r="L37"/>
      <c r="M37">
        <f t="shared" si="0"/>
        <v>0</v>
      </c>
      <c r="AN37" s="19"/>
    </row>
    <row r="38" spans="2:40" hidden="1">
      <c r="B38" s="28"/>
      <c r="D38" s="23" t="s">
        <v>1397</v>
      </c>
      <c r="F38" s="90">
        <v>0</v>
      </c>
      <c r="G38" s="19"/>
      <c r="H38" s="1041">
        <v>0</v>
      </c>
      <c r="J38"/>
      <c r="K38"/>
      <c r="L38"/>
      <c r="M38">
        <f t="shared" si="0"/>
        <v>0</v>
      </c>
      <c r="AN38" s="19">
        <v>0</v>
      </c>
    </row>
    <row r="39" spans="2:40">
      <c r="B39" s="28">
        <v>25</v>
      </c>
      <c r="D39" s="23" t="s">
        <v>1297</v>
      </c>
      <c r="F39" s="19">
        <f>ROUND(ROUND('Calc Data-SB1'!E23,0)*('Data Entry - SOF'!G39*Weights!J26),0)</f>
        <v>0</v>
      </c>
      <c r="G39" s="19"/>
      <c r="H39" s="1038">
        <f>ROUND(ROUND('Calc Data-SB1'!AJ23,0)*('Data Entry - SOF'!G39*Weights!J26),0)</f>
        <v>0</v>
      </c>
      <c r="J39"/>
      <c r="K39"/>
      <c r="L39"/>
      <c r="M39">
        <f t="shared" si="0"/>
        <v>0</v>
      </c>
      <c r="AN39" s="19" t="e">
        <f>ROUND(ROUND('Calc Data-SB1'!AB23,0)*('Data Entry - SOF'!#REF!*0.1),0)</f>
        <v>#REF!</v>
      </c>
    </row>
    <row r="40" spans="2:40">
      <c r="B40" s="28">
        <v>31</v>
      </c>
      <c r="D40" s="47" t="s">
        <v>2792</v>
      </c>
      <c r="F40" s="19">
        <f>Weights!J33*'Data Entry - SOF'!G18</f>
        <v>0</v>
      </c>
      <c r="G40" s="19"/>
      <c r="H40" s="1038">
        <f>Weights!J33*'Data Entry - SOF'!G18</f>
        <v>0</v>
      </c>
      <c r="J40"/>
      <c r="K40"/>
      <c r="L40"/>
      <c r="M40">
        <f t="shared" si="0"/>
        <v>0</v>
      </c>
      <c r="AN40" s="19" t="e">
        <f>#REF!</f>
        <v>#REF!</v>
      </c>
    </row>
    <row r="41" spans="2:40">
      <c r="B41" s="28"/>
      <c r="D41" s="23" t="s">
        <v>984</v>
      </c>
      <c r="F41" s="19">
        <f>ROUND(ROUND('Calc Data-SB1'!E23,0)*'Data Entry - SOF'!G41*Weights!J37,0)</f>
        <v>0</v>
      </c>
      <c r="G41" s="19"/>
      <c r="H41" s="1038">
        <f>ROUND(ROUND('Calc Data-SB1'!AJ23,0)*'Data Entry - SOF'!G41*Weights!J37,0)</f>
        <v>0</v>
      </c>
      <c r="J41"/>
      <c r="K41"/>
      <c r="L41"/>
      <c r="M41">
        <f t="shared" si="0"/>
        <v>0</v>
      </c>
      <c r="AN41" s="19" t="e">
        <f>ROUND(ROUND('Calc Data-SB1'!AB23,0)*'Data Entry - SOF'!#REF!*0.1,0)</f>
        <v>#REF!</v>
      </c>
    </row>
    <row r="42" spans="2:40" ht="15.75">
      <c r="B42" s="28"/>
      <c r="D42" s="955" t="s">
        <v>4497</v>
      </c>
      <c r="F42" s="116">
        <f>'Data Entry - SOF'!G42*Weights!J35</f>
        <v>0</v>
      </c>
      <c r="G42" s="19"/>
      <c r="H42" s="1038">
        <f>F42</f>
        <v>0</v>
      </c>
      <c r="J42"/>
      <c r="K42"/>
      <c r="L42"/>
      <c r="M42">
        <f t="shared" si="0"/>
        <v>0</v>
      </c>
      <c r="AN42" s="19" t="e">
        <f>'Data Entry - SOF'!#REF!*250</f>
        <v>#REF!</v>
      </c>
    </row>
    <row r="43" spans="2:40">
      <c r="B43" s="28">
        <v>99</v>
      </c>
      <c r="D43" s="23" t="s">
        <v>2385</v>
      </c>
      <c r="F43" s="29">
        <f>'Data Entry - SOF'!G66</f>
        <v>0</v>
      </c>
      <c r="G43" s="32"/>
      <c r="H43" s="1043">
        <f>'Data Entry - SOF'!G66</f>
        <v>0</v>
      </c>
      <c r="J43"/>
      <c r="K43"/>
      <c r="L43" s="2225"/>
      <c r="M43">
        <f t="shared" si="0"/>
        <v>0</v>
      </c>
      <c r="AN43" s="29" t="e">
        <f>'Data Entry - SOF'!#REF!</f>
        <v>#REF!</v>
      </c>
    </row>
    <row r="44" spans="2:40">
      <c r="D44" s="23" t="s">
        <v>576</v>
      </c>
      <c r="F44" s="19">
        <f>SUM(F21:F43)</f>
        <v>0</v>
      </c>
      <c r="G44" s="19"/>
      <c r="H44" s="1038">
        <f>SUM(H21:H43)</f>
        <v>0</v>
      </c>
      <c r="J44"/>
      <c r="K44"/>
      <c r="L44"/>
      <c r="M44">
        <f t="shared" si="0"/>
        <v>0</v>
      </c>
      <c r="AN44" s="19" t="e">
        <f>SUM(AN21:AN43)</f>
        <v>#REF!</v>
      </c>
    </row>
    <row r="45" spans="2:40">
      <c r="D45" s="23" t="s">
        <v>890</v>
      </c>
      <c r="F45" s="36">
        <f>IF('Data Entry - SOF'!G108&gt;1,1*('Data Entry - SOF'!G48/100),'Data Entry - SOF'!G108*('Data Entry - SOF'!G48/100))</f>
        <v>0</v>
      </c>
      <c r="G45" s="59"/>
      <c r="H45" s="1045">
        <f>IF('Calc Data-SB1'!AJ30&gt;1,1*('Data Entry - SOF'!G48/100),'Calc Data-SB1'!AJ30*('Data Entry - SOF'!G48/100))</f>
        <v>0</v>
      </c>
      <c r="J45"/>
      <c r="K45"/>
      <c r="L45" s="1810"/>
      <c r="M45">
        <f>IF('Calc Data-15K'!AJ30&gt;1,1*('Data Entry - SOF'!G50/100),'Calc Data-15K'!AJ30*('Data Entry - SOF'!G50/100))</f>
        <v>0</v>
      </c>
      <c r="AN45" s="36" t="e">
        <f>#REF!</f>
        <v>#REF!</v>
      </c>
    </row>
    <row r="46" spans="2:40">
      <c r="D46" s="23" t="s">
        <v>889</v>
      </c>
      <c r="F46" s="37">
        <f>F44-F45</f>
        <v>0</v>
      </c>
      <c r="G46" s="37"/>
      <c r="H46" s="1046">
        <f>H44-H45</f>
        <v>0</v>
      </c>
      <c r="J46"/>
      <c r="K46"/>
      <c r="L46" s="1810"/>
      <c r="M46">
        <f>M44-M45</f>
        <v>0</v>
      </c>
      <c r="AN46" s="37" t="e">
        <f>AN44-AN45</f>
        <v>#REF!</v>
      </c>
    </row>
    <row r="47" spans="2:40">
      <c r="D47" s="23"/>
      <c r="G47" s="37"/>
      <c r="H47" s="1735"/>
      <c r="J47"/>
      <c r="K47"/>
      <c r="L47"/>
      <c r="M47"/>
      <c r="P47" s="62"/>
      <c r="AN47" s="37"/>
    </row>
    <row r="48" spans="2:40">
      <c r="D48" s="949" t="s">
        <v>835</v>
      </c>
      <c r="G48" s="37"/>
      <c r="H48" s="1735"/>
      <c r="J48"/>
      <c r="K48"/>
      <c r="L48"/>
      <c r="M48"/>
      <c r="P48" s="62"/>
      <c r="AN48" s="37"/>
    </row>
    <row r="49" spans="4:15">
      <c r="D49" s="23" t="s">
        <v>1716</v>
      </c>
      <c r="F49" s="90">
        <f>IF(F46&lt;F76+F40+F42+F31+F32,F76+F40+F42+F31+F32,F46)</f>
        <v>0</v>
      </c>
      <c r="G49" s="37"/>
      <c r="H49" s="1041">
        <f>IF(H46&lt;H76+H40+H42+H31+H32,H76+H40+H42+H31+H32,H46)</f>
        <v>0</v>
      </c>
      <c r="J49"/>
      <c r="K49"/>
      <c r="L49" s="1813"/>
      <c r="M49">
        <f>IF(M46&lt;M76+M40+M42+M31+M32,M76+M40+M42+M31+M32,M46)</f>
        <v>0</v>
      </c>
    </row>
    <row r="50" spans="4:15" hidden="1">
      <c r="D50" s="23" t="s">
        <v>2596</v>
      </c>
      <c r="G50" s="37" t="e">
        <f>ROUND(IF((24.7*'Calc Data-SB1'!#REF!*IF('Calc Data-SB1'!#REF!&gt;=0.64,0.64,'Calc Data-SB1'!#REF!)*100)&lt;'Calc Data-SB1'!#REF!,0,(24.7*'Calc Data-SB1'!#REF!*IF('Calc Data-SB1'!#REF!&gt;=0.64,0.64,'Calc Data-SB1'!#REF!)*100)-'Calc Data-SB1'!#REF!),0)</f>
        <v>#REF!</v>
      </c>
      <c r="H50" s="37"/>
      <c r="I50" s="1925"/>
      <c r="J50"/>
      <c r="K50"/>
      <c r="L50" s="1810"/>
      <c r="M50"/>
    </row>
    <row r="51" spans="4:15">
      <c r="D51" s="23"/>
      <c r="G51" s="37"/>
      <c r="H51" s="1050"/>
      <c r="J51"/>
      <c r="K51"/>
      <c r="L51" s="1813"/>
      <c r="M51"/>
    </row>
    <row r="52" spans="4:15">
      <c r="D52" s="23" t="s">
        <v>2748</v>
      </c>
      <c r="F52" s="37" t="e">
        <f>ROUND(IF((Assumptions!G110*'Calc Data-SB1'!E25*'Calc Data-SB1'!E35*100)&lt;'Calc Data-SB1'!E42,0,(Assumptions!G110*'Calc Data-SB1'!E25*'Calc Data-SB1'!E35*100)-'Calc Data-SB1'!E42),0)</f>
        <v>#DIV/0!</v>
      </c>
      <c r="G52" s="37"/>
      <c r="H52" s="1050" t="e">
        <f>ROUND(IF((Assumptions!G110*'Calc Data-SB1'!E25*'Calc Data-SB1'!E35*100)&lt;'Calc Data-SB1'!E42,0,(Assumptions!G110*'Calc Data-SB1'!E25*'Calc Data-SB1'!E35*100)-'Calc Data-SB1'!E42),0)</f>
        <v>#DIV/0!</v>
      </c>
      <c r="J52" t="e">
        <f>ROUND(IF((Assumptions!G110*'Calc Data-SB1'!E25*'Calc Data-SB1'!E81*100)&lt;'Calc Data-SB1'!E88,0,(Assumptions!G110*'Calc Data-SB1'!E25*'Calc Data-SB1'!E81*100)-'Calc Data-SB1'!E88),0)</f>
        <v>#DIV/0!</v>
      </c>
      <c r="K52" t="e">
        <f>J52</f>
        <v>#DIV/0!</v>
      </c>
      <c r="L52"/>
      <c r="M52" t="e">
        <f>ROUND(IF((Assumptions!G79*'Calc Data-15K'!E25*'Calc Data-15K'!E81*100)&lt;'Calc Data-15K'!E88,0,(Assumptions!G79*'Calc Data-15K'!E25*'Calc Data-15K'!E81*100)-'Calc Data-15K'!E88),0)</f>
        <v>#DIV/0!</v>
      </c>
    </row>
    <row r="53" spans="4:15">
      <c r="D53" s="23" t="s">
        <v>515</v>
      </c>
      <c r="F53" s="66" t="e">
        <f>ROUND(IF((Assumptions!G111*'Calc Data-SB1'!E25*'Calc Data-SB1'!E38*100)&lt;'Calc Data-SB1'!E43,0,(Assumptions!G111*'Calc Data-SB1'!E25*'Calc Data-SB1'!E38*100)-'Calc Data-SB1'!E43),0)</f>
        <v>#DIV/0!</v>
      </c>
      <c r="G53" s="37"/>
      <c r="H53" s="1051" t="e">
        <f>ROUND(IF((Assumptions!G111*'Calc Data-SB1'!D25*'Calc Data-SB1'!AJ29*100)&lt;'Calc Data-SB1'!AJ33,0,(Assumptions!G111*'Calc Data-SB1'!D25*'Calc Data-SB1'!AJ29*100)-'Calc Data-SB1'!AJ33),0)</f>
        <v>#DIV/0!</v>
      </c>
      <c r="J53" t="e">
        <f>ROUND(IF((Assumptions!G111*'Calc Data-SB1'!E25*'Calc Data-SB1'!E84*100)&lt;'Calc Data-SB1'!E89,0,(Assumptions!G111*'Calc Data-SB1'!E25*'Calc Data-SB1'!E84*100)-'Calc Data-SB1'!E89),0)</f>
        <v>#DIV/0!</v>
      </c>
      <c r="K53" t="e">
        <f>ROUND(IF((Assumptions!G111*'Calc Data-SB1'!E25*'Calc Data-SB1'!AJ84*100)&lt;'Calc Data-SB1'!AJ88,0,(Assumptions!G111*'Calc Data-SB1'!E25*'Calc Data-SB1'!AJ84*100)-'Calc Data-SB1'!AJ88),0)</f>
        <v>#DIV/0!</v>
      </c>
      <c r="L53"/>
      <c r="M53" t="e">
        <f>ROUND(IF((Assumptions!G80*'Calc Data-15K'!E25*'Calc Data-15K'!E84*100)&lt;'Calc Data-15K'!E89,0,(Assumptions!G80*'Calc Data-15K'!E25*'Calc Data-15K'!E84*100)-'Calc Data-15K'!E89),0)</f>
        <v>#DIV/0!</v>
      </c>
    </row>
    <row r="54" spans="4:15">
      <c r="D54" s="23" t="s">
        <v>315</v>
      </c>
      <c r="F54" s="37" t="e">
        <f>SUM(F52:F53)</f>
        <v>#DIV/0!</v>
      </c>
      <c r="G54" s="37"/>
      <c r="H54" s="1050" t="e">
        <f>SUM(H52:H53)</f>
        <v>#DIV/0!</v>
      </c>
      <c r="J54"/>
      <c r="K54"/>
      <c r="L54" s="1813"/>
      <c r="M54"/>
    </row>
    <row r="55" spans="4:15">
      <c r="D55" s="23"/>
      <c r="G55" s="37"/>
      <c r="H55" s="1050"/>
      <c r="J55"/>
      <c r="K55"/>
      <c r="L55" s="1810"/>
      <c r="M55"/>
      <c r="N55" s="121"/>
      <c r="O55" s="1375"/>
    </row>
    <row r="56" spans="4:15">
      <c r="D56" s="23" t="s">
        <v>832</v>
      </c>
      <c r="G56" s="37"/>
      <c r="H56" s="1050"/>
      <c r="J56"/>
      <c r="K56"/>
      <c r="L56" s="1810"/>
      <c r="M56"/>
      <c r="N56" s="121"/>
      <c r="O56" s="1375"/>
    </row>
    <row r="57" spans="4:15">
      <c r="D57" s="23" t="s">
        <v>859</v>
      </c>
      <c r="F57" s="37">
        <f>'Data Entry - SOF'!G76</f>
        <v>0</v>
      </c>
      <c r="G57" s="37"/>
      <c r="H57" s="1050">
        <f>F57</f>
        <v>0</v>
      </c>
      <c r="J57" t="e">
        <f>'ASATR-SB1'!I62</f>
        <v>#DIV/0!</v>
      </c>
      <c r="K57" t="e">
        <f>J57</f>
        <v>#DIV/0!</v>
      </c>
      <c r="L57" s="1858" t="e">
        <f>'ASATR-SB1'!J62</f>
        <v>#DIV/0!</v>
      </c>
      <c r="M57">
        <f t="shared" ref="M57:M69" si="1">H57</f>
        <v>0</v>
      </c>
      <c r="N57" s="121"/>
      <c r="O57" s="1375"/>
    </row>
    <row r="58" spans="4:15">
      <c r="D58" s="23" t="s">
        <v>3489</v>
      </c>
      <c r="F58" s="37">
        <f>'Data Entry - SOF'!G75</f>
        <v>0</v>
      </c>
      <c r="G58" s="37"/>
      <c r="H58" s="1050">
        <f>F58</f>
        <v>0</v>
      </c>
      <c r="J58"/>
      <c r="K58"/>
      <c r="L58" s="1810"/>
      <c r="M58">
        <f t="shared" si="1"/>
        <v>0</v>
      </c>
      <c r="N58" s="121"/>
      <c r="O58" s="1375"/>
    </row>
    <row r="59" spans="4:15">
      <c r="D59" s="23" t="s">
        <v>3490</v>
      </c>
      <c r="F59" s="37">
        <f>'Data Entry - SOF'!G77</f>
        <v>0</v>
      </c>
      <c r="G59" s="37"/>
      <c r="H59" s="1050">
        <f t="shared" ref="H59:H68" si="2">F59</f>
        <v>0</v>
      </c>
      <c r="J59"/>
      <c r="K59"/>
      <c r="L59" s="1810"/>
      <c r="M59">
        <f t="shared" si="1"/>
        <v>0</v>
      </c>
      <c r="N59" s="121"/>
      <c r="O59" s="1375"/>
    </row>
    <row r="60" spans="4:15">
      <c r="D60" s="23" t="s">
        <v>3491</v>
      </c>
      <c r="F60" s="37">
        <f>'Data Entry - SOF'!G78</f>
        <v>0</v>
      </c>
      <c r="G60" s="37"/>
      <c r="H60" s="1050">
        <f t="shared" si="2"/>
        <v>0</v>
      </c>
      <c r="J60"/>
      <c r="K60"/>
      <c r="L60" s="1810"/>
      <c r="M60">
        <f t="shared" si="1"/>
        <v>0</v>
      </c>
      <c r="N60" s="121"/>
      <c r="O60" s="1375"/>
    </row>
    <row r="61" spans="4:15">
      <c r="D61" s="23" t="s">
        <v>3492</v>
      </c>
      <c r="F61" s="37">
        <f>'Data Entry - SOF'!G79</f>
        <v>0</v>
      </c>
      <c r="G61" s="37"/>
      <c r="H61" s="1050">
        <f t="shared" si="2"/>
        <v>0</v>
      </c>
      <c r="J61"/>
      <c r="K61"/>
      <c r="L61" s="1810"/>
      <c r="M61">
        <f t="shared" si="1"/>
        <v>0</v>
      </c>
      <c r="N61" s="121"/>
      <c r="O61" s="1375"/>
    </row>
    <row r="62" spans="4:15">
      <c r="D62" s="23" t="s">
        <v>3493</v>
      </c>
      <c r="F62" s="37">
        <v>0</v>
      </c>
      <c r="G62" s="37"/>
      <c r="H62" s="1050">
        <f t="shared" si="2"/>
        <v>0</v>
      </c>
      <c r="J62"/>
      <c r="K62"/>
      <c r="L62" s="1810"/>
      <c r="M62">
        <f t="shared" si="1"/>
        <v>0</v>
      </c>
      <c r="N62" s="121"/>
      <c r="O62" s="1375"/>
    </row>
    <row r="63" spans="4:15">
      <c r="D63" s="23" t="s">
        <v>3494</v>
      </c>
      <c r="F63" s="37">
        <f>'Data Entry - SOF'!G80</f>
        <v>0</v>
      </c>
      <c r="G63" s="37"/>
      <c r="H63" s="1050">
        <f t="shared" si="2"/>
        <v>0</v>
      </c>
      <c r="J63"/>
      <c r="K63"/>
      <c r="L63" s="1810"/>
      <c r="M63">
        <f t="shared" si="1"/>
        <v>0</v>
      </c>
      <c r="N63" s="121"/>
      <c r="O63" s="1375"/>
    </row>
    <row r="64" spans="4:15">
      <c r="D64" s="23" t="s">
        <v>2801</v>
      </c>
      <c r="F64" s="37">
        <v>0</v>
      </c>
      <c r="G64" s="37"/>
      <c r="H64" s="1050">
        <f t="shared" si="2"/>
        <v>0</v>
      </c>
      <c r="J64"/>
      <c r="K64"/>
      <c r="L64" s="1810"/>
      <c r="M64">
        <f t="shared" si="1"/>
        <v>0</v>
      </c>
      <c r="N64" s="121"/>
      <c r="O64" s="1375"/>
    </row>
    <row r="65" spans="1:15">
      <c r="D65" s="23" t="s">
        <v>2793</v>
      </c>
      <c r="F65" s="37">
        <f>(500*'Data Entry - SOF'!G44)+(250*'Data Entry - SOF'!G45)</f>
        <v>0</v>
      </c>
      <c r="G65" s="37"/>
      <c r="H65" s="1050">
        <f t="shared" si="2"/>
        <v>0</v>
      </c>
      <c r="J65"/>
      <c r="K65"/>
      <c r="L65" s="1810"/>
      <c r="M65">
        <f t="shared" si="1"/>
        <v>0</v>
      </c>
      <c r="N65" s="121"/>
      <c r="O65" s="1375"/>
    </row>
    <row r="66" spans="1:15">
      <c r="D66" s="23" t="s">
        <v>833</v>
      </c>
      <c r="F66" s="905" t="e">
        <f>(('Data Entry - SOF'!G69/'Calc Data-SB1'!D7)*'Data Entry - SOF'!G67)*-1</f>
        <v>#DIV/0!</v>
      </c>
      <c r="G66" s="37"/>
      <c r="H66" s="1050" t="e">
        <f t="shared" si="2"/>
        <v>#DIV/0!</v>
      </c>
      <c r="J66"/>
      <c r="K66"/>
      <c r="L66" s="1810"/>
      <c r="M66" t="e">
        <f t="shared" si="1"/>
        <v>#DIV/0!</v>
      </c>
      <c r="N66" s="121"/>
      <c r="O66" s="1375"/>
    </row>
    <row r="67" spans="1:15">
      <c r="D67" s="23" t="s">
        <v>834</v>
      </c>
      <c r="F67" s="1241" t="e">
        <f>(('Data Entry - SOF'!G69/'Calc Data-SB1'!D7)*'Data Entry - SOF'!G68)*-1</f>
        <v>#DIV/0!</v>
      </c>
      <c r="G67" s="37"/>
      <c r="H67" s="1050" t="e">
        <f t="shared" si="2"/>
        <v>#DIV/0!</v>
      </c>
      <c r="J67"/>
      <c r="K67"/>
      <c r="L67" s="1810"/>
      <c r="M67" t="e">
        <f t="shared" si="1"/>
        <v>#DIV/0!</v>
      </c>
      <c r="N67" s="121"/>
      <c r="O67" s="1375"/>
    </row>
    <row r="68" spans="1:15">
      <c r="D68" s="23" t="s">
        <v>3399</v>
      </c>
      <c r="F68" s="1242">
        <f>'Data Entry - SOF'!G96</f>
        <v>0</v>
      </c>
      <c r="G68" s="37"/>
      <c r="H68" s="1051">
        <f t="shared" si="2"/>
        <v>0</v>
      </c>
      <c r="J68"/>
      <c r="K68"/>
      <c r="L68" s="1810"/>
      <c r="M68">
        <f t="shared" si="1"/>
        <v>0</v>
      </c>
      <c r="N68" s="121"/>
      <c r="O68" s="1375"/>
    </row>
    <row r="69" spans="1:15">
      <c r="D69" s="906" t="s">
        <v>200</v>
      </c>
      <c r="F69" s="37" t="e">
        <f>SUM(F57:F68)</f>
        <v>#DIV/0!</v>
      </c>
      <c r="G69" s="37"/>
      <c r="H69" s="1050" t="e">
        <f>SUM(H57:H68)</f>
        <v>#DIV/0!</v>
      </c>
      <c r="J69"/>
      <c r="K69"/>
      <c r="L69" s="1810"/>
      <c r="M69" t="e">
        <f t="shared" si="1"/>
        <v>#DIV/0!</v>
      </c>
      <c r="N69" s="121"/>
      <c r="O69" s="1375"/>
    </row>
    <row r="70" spans="1:15">
      <c r="D70" s="906"/>
      <c r="F70" s="47"/>
      <c r="G70" s="37"/>
      <c r="H70" s="1050"/>
      <c r="J70"/>
      <c r="K70"/>
      <c r="L70" s="1810"/>
      <c r="M70"/>
      <c r="N70" s="121"/>
      <c r="O70" s="1375"/>
    </row>
    <row r="71" spans="1:15">
      <c r="D71" s="23" t="s">
        <v>2749</v>
      </c>
      <c r="F71" s="37">
        <f>F76*-1</f>
        <v>0</v>
      </c>
      <c r="G71" s="37"/>
      <c r="H71" s="1050">
        <f>H76*-1</f>
        <v>0</v>
      </c>
      <c r="J71"/>
      <c r="K71"/>
      <c r="L71" s="1810"/>
      <c r="M71">
        <f>H71</f>
        <v>0</v>
      </c>
      <c r="N71" s="121"/>
      <c r="O71" s="1375"/>
    </row>
    <row r="72" spans="1:15" ht="13.5" thickBot="1">
      <c r="D72" s="23"/>
      <c r="G72" s="37"/>
      <c r="H72" s="1050"/>
      <c r="J72"/>
      <c r="K72"/>
      <c r="L72" s="1810"/>
      <c r="M72"/>
      <c r="N72" s="121"/>
      <c r="O72" s="1375"/>
    </row>
    <row r="73" spans="1:15" ht="13.5" thickTop="1">
      <c r="A73" s="909"/>
      <c r="B73" s="910"/>
      <c r="C73" s="910"/>
      <c r="D73" s="911"/>
      <c r="E73" s="910"/>
      <c r="F73" s="956"/>
      <c r="G73" s="37"/>
      <c r="J73"/>
      <c r="K73"/>
      <c r="L73" s="1810"/>
      <c r="M73"/>
      <c r="N73" s="121"/>
      <c r="O73" s="1375"/>
    </row>
    <row r="74" spans="1:15">
      <c r="A74" s="912"/>
      <c r="B74" s="893" t="s">
        <v>202</v>
      </c>
      <c r="C74" s="35"/>
      <c r="D74" s="908"/>
      <c r="E74" s="35"/>
      <c r="F74" s="957"/>
      <c r="G74" s="37"/>
      <c r="J74"/>
      <c r="K74"/>
      <c r="L74" s="1810"/>
      <c r="M74"/>
      <c r="N74" s="121"/>
      <c r="O74" s="1375"/>
    </row>
    <row r="75" spans="1:15">
      <c r="A75" s="912"/>
      <c r="B75" s="893" t="s">
        <v>1681</v>
      </c>
      <c r="C75" s="35"/>
      <c r="D75" s="101" t="s">
        <v>836</v>
      </c>
      <c r="E75" s="101"/>
      <c r="F75" s="189" t="e">
        <f>F49+F54+F69+F71</f>
        <v>#DIV/0!</v>
      </c>
      <c r="G75" s="37"/>
      <c r="H75" s="1756" t="e">
        <f>H49+H54+H69+H71</f>
        <v>#DIV/0!</v>
      </c>
      <c r="J75"/>
      <c r="K75"/>
      <c r="L75" s="1810"/>
      <c r="M75" t="e">
        <f>M49+I54+M69+M71</f>
        <v>#DIV/0!</v>
      </c>
      <c r="N75" s="121"/>
      <c r="O75" s="1375"/>
    </row>
    <row r="76" spans="1:15">
      <c r="A76" s="912"/>
      <c r="B76" s="893" t="s">
        <v>1679</v>
      </c>
      <c r="C76" s="35"/>
      <c r="D76" s="101" t="s">
        <v>3005</v>
      </c>
      <c r="E76" s="101"/>
      <c r="F76" s="189">
        <f>'Calc Data-SB1'!D7*Assumptions!G114</f>
        <v>0</v>
      </c>
      <c r="G76" s="37"/>
      <c r="H76" s="1756">
        <f>'Calc Data-SB1'!D7*Assumptions!G114</f>
        <v>0</v>
      </c>
      <c r="J76"/>
      <c r="K76"/>
      <c r="L76" s="1813"/>
      <c r="M76">
        <f>H76</f>
        <v>0</v>
      </c>
      <c r="N76" s="121"/>
      <c r="O76" s="1375"/>
    </row>
    <row r="77" spans="1:15" ht="15.75">
      <c r="A77" s="912"/>
      <c r="B77" s="893" t="s">
        <v>1680</v>
      </c>
      <c r="C77" s="35"/>
      <c r="D77" s="952" t="s">
        <v>858</v>
      </c>
      <c r="E77" s="123"/>
      <c r="F77" s="959">
        <v>0</v>
      </c>
      <c r="G77" s="37"/>
      <c r="H77" s="1757">
        <v>0</v>
      </c>
      <c r="J77"/>
      <c r="K77"/>
      <c r="L77" s="1813"/>
      <c r="M77">
        <f>H77</f>
        <v>0</v>
      </c>
      <c r="N77" s="121"/>
      <c r="O77" s="1375"/>
    </row>
    <row r="78" spans="1:15">
      <c r="A78" s="912"/>
      <c r="B78" s="893" t="s">
        <v>839</v>
      </c>
      <c r="C78" s="35"/>
      <c r="D78" s="101" t="s">
        <v>837</v>
      </c>
      <c r="E78" s="101"/>
      <c r="F78" s="189">
        <f>'Existing Debt'!K74</f>
        <v>0</v>
      </c>
      <c r="G78" s="37"/>
      <c r="H78" s="1756">
        <f>'Existing Debt'!K74</f>
        <v>0</v>
      </c>
      <c r="J78"/>
      <c r="K78"/>
      <c r="L78" s="1813"/>
      <c r="M78">
        <f>'Existing Debt'!L74</f>
        <v>0</v>
      </c>
      <c r="N78" s="121"/>
      <c r="O78" s="1375"/>
    </row>
    <row r="79" spans="1:15" ht="13.5" thickBot="1">
      <c r="A79" s="912"/>
      <c r="B79" s="893" t="s">
        <v>1251</v>
      </c>
      <c r="C79" s="35"/>
      <c r="D79" s="101" t="s">
        <v>838</v>
      </c>
      <c r="E79" s="101"/>
      <c r="F79" s="950">
        <f>IFA!P86+IFA!R75</f>
        <v>0</v>
      </c>
      <c r="G79" s="37"/>
      <c r="H79" s="1758">
        <f>IFA!P86+IFA!R75</f>
        <v>0</v>
      </c>
      <c r="J79"/>
      <c r="K79"/>
      <c r="L79" s="1813"/>
      <c r="M79">
        <f>IFA!Q86+IFA!S75</f>
        <v>0</v>
      </c>
      <c r="N79" s="121"/>
      <c r="O79" s="1375"/>
    </row>
    <row r="80" spans="1:15">
      <c r="A80" s="912"/>
      <c r="B80" s="35"/>
      <c r="C80" s="35"/>
      <c r="D80" s="35"/>
      <c r="E80" s="35"/>
      <c r="F80" s="957"/>
      <c r="G80" s="37"/>
      <c r="H80" s="1759"/>
      <c r="J80"/>
      <c r="K80"/>
      <c r="L80" s="1813"/>
      <c r="M80"/>
      <c r="N80" s="173"/>
      <c r="O80" s="1797"/>
    </row>
    <row r="81" spans="1:18" ht="12.75" customHeight="1" thickBot="1">
      <c r="A81" s="912"/>
      <c r="B81" s="35"/>
      <c r="C81" s="35"/>
      <c r="D81" s="101" t="s">
        <v>1155</v>
      </c>
      <c r="E81" s="35"/>
      <c r="F81" s="951" t="e">
        <f>SUM(F75:F79)</f>
        <v>#DIV/0!</v>
      </c>
      <c r="G81" s="37"/>
      <c r="H81" s="1760" t="e">
        <f>SUM(H75:H79)</f>
        <v>#DIV/0!</v>
      </c>
      <c r="J81"/>
      <c r="K81"/>
      <c r="L81" s="1813"/>
      <c r="M81" t="e">
        <f>SUM(M75:M79)</f>
        <v>#DIV/0!</v>
      </c>
      <c r="N81" s="173"/>
      <c r="O81" s="1797"/>
    </row>
    <row r="82" spans="1:18" ht="14.25" hidden="1" thickTop="1" thickBot="1">
      <c r="A82" s="912"/>
      <c r="B82" s="35"/>
      <c r="C82" s="35"/>
      <c r="D82" s="34" t="s">
        <v>513</v>
      </c>
      <c r="E82" s="35"/>
      <c r="F82" s="35"/>
      <c r="G82" s="37"/>
      <c r="H82" s="1760" t="e">
        <f>SUM(H75:H79)</f>
        <v>#DIV/0!</v>
      </c>
      <c r="I82" s="1925"/>
      <c r="J82"/>
      <c r="K82"/>
      <c r="L82" s="1813"/>
      <c r="M82"/>
      <c r="N82" s="173"/>
      <c r="O82" s="1797"/>
    </row>
    <row r="83" spans="1:18" ht="14.25" thickTop="1" thickBot="1">
      <c r="A83" s="913"/>
      <c r="B83" s="914"/>
      <c r="C83" s="914"/>
      <c r="D83" s="915"/>
      <c r="E83" s="914"/>
      <c r="F83" s="970"/>
      <c r="G83" s="19"/>
      <c r="H83" s="1050"/>
      <c r="J83"/>
      <c r="K83"/>
      <c r="L83" s="1810"/>
      <c r="M83"/>
    </row>
    <row r="84" spans="1:18" ht="13.5" thickTop="1">
      <c r="B84" s="23"/>
      <c r="G84" s="59"/>
      <c r="H84" s="1750"/>
      <c r="J84"/>
      <c r="K84"/>
      <c r="L84"/>
      <c r="M84"/>
      <c r="P84" s="121"/>
      <c r="Q84" s="421"/>
      <c r="R84" s="5"/>
    </row>
    <row r="85" spans="1:18">
      <c r="H85" s="1751"/>
      <c r="J85"/>
      <c r="K85"/>
      <c r="L85" s="1810"/>
      <c r="M85"/>
      <c r="P85" s="5"/>
    </row>
    <row r="86" spans="1:18" ht="13.5" thickBot="1">
      <c r="H86" s="1053"/>
      <c r="J86"/>
      <c r="K86"/>
      <c r="L86"/>
      <c r="M86"/>
    </row>
    <row r="87" spans="1:18" ht="13.5" thickTop="1">
      <c r="A87" s="918" t="s">
        <v>2816</v>
      </c>
      <c r="B87" s="91"/>
      <c r="C87" s="91"/>
      <c r="D87" s="91"/>
      <c r="E87" s="91"/>
      <c r="F87" s="183"/>
      <c r="J87"/>
      <c r="K87"/>
      <c r="L87"/>
      <c r="M87"/>
    </row>
    <row r="88" spans="1:18">
      <c r="A88" s="186"/>
      <c r="B88" s="35"/>
      <c r="C88" s="35"/>
      <c r="D88" s="35"/>
      <c r="E88" s="35"/>
      <c r="F88" s="184"/>
      <c r="J88"/>
      <c r="K88"/>
      <c r="L88"/>
      <c r="M88"/>
    </row>
    <row r="89" spans="1:18">
      <c r="A89" s="185" t="s">
        <v>2477</v>
      </c>
      <c r="B89" s="35"/>
      <c r="C89" s="35"/>
      <c r="D89" s="35"/>
      <c r="E89" s="35"/>
      <c r="F89" s="894" t="e">
        <f>IF(F75&lt;0,F76,F75+F76)</f>
        <v>#DIV/0!</v>
      </c>
      <c r="H89" s="1851" t="e">
        <f>IF(H75&lt;0,H76,H75+H76)</f>
        <v>#DIV/0!</v>
      </c>
      <c r="J89"/>
      <c r="K89"/>
      <c r="L89"/>
      <c r="M89" t="e">
        <f>IF(M75&lt;0,M76,M75+M76)</f>
        <v>#DIV/0!</v>
      </c>
    </row>
    <row r="90" spans="1:18">
      <c r="A90" s="239" t="s">
        <v>1910</v>
      </c>
      <c r="B90" s="35"/>
      <c r="C90" s="35"/>
      <c r="D90" s="35"/>
      <c r="E90" s="35"/>
      <c r="F90" s="895" t="e">
        <f>'Calc Data-SB1'!E30-'ASATR-SB1'!I24</f>
        <v>#DIV/0!</v>
      </c>
      <c r="H90" s="1852" t="e">
        <f>'Calc Data-SB1'!AJ32-'ASATR-SB1'!I39</f>
        <v>#DIV/0!</v>
      </c>
      <c r="J90"/>
      <c r="K90"/>
      <c r="L90" s="1813"/>
      <c r="M90" t="e">
        <f>'Calc Data-SB1'!AK32-'ASATR-SB1'!J39</f>
        <v>#DIV/0!</v>
      </c>
      <c r="P90" s="121"/>
    </row>
    <row r="91" spans="1:18">
      <c r="A91" s="239" t="s">
        <v>1062</v>
      </c>
      <c r="B91" s="35"/>
      <c r="C91" s="35"/>
      <c r="D91" s="35"/>
      <c r="E91" s="35"/>
      <c r="F91" s="895" t="e">
        <f>'Calc Data-SB1'!E34</f>
        <v>#DIV/0!</v>
      </c>
      <c r="H91" s="1852" t="e">
        <f>'Calc Data-SB1'!AK71</f>
        <v>#DIV/0!</v>
      </c>
      <c r="J91"/>
      <c r="K91"/>
      <c r="L91" s="1813"/>
      <c r="M91" t="e">
        <f>H91</f>
        <v>#DIV/0!</v>
      </c>
      <c r="P91" s="121"/>
    </row>
    <row r="92" spans="1:18">
      <c r="A92" s="239" t="s">
        <v>1063</v>
      </c>
      <c r="B92" s="35"/>
      <c r="C92" s="35"/>
      <c r="D92" s="35"/>
      <c r="E92" s="35"/>
      <c r="F92" s="907" t="e">
        <f>'Calc Data-SB1'!E37-IF('Option Costs-HB3646'!W57="N",MAX('Option Costs-HB3646'!W54,'Option Costs-HB3646'!Y54),MIN('Option Costs-HB3646'!W54,'Option Costs-HB3646'!Y54))</f>
        <v>#DIV/0!</v>
      </c>
      <c r="H92" s="1853" t="e">
        <f>'Calc Data-SB1'!AJ31-IF('Option Costs-HB3646'!W57="N",MAX('Option Costs-HB3646'!W85,'Option Costs-HB3646'!Y85),MIN('Option Costs-HB3646'!W85,'Option Costs-HB3646'!Y85))</f>
        <v>#DIV/0!</v>
      </c>
      <c r="J92"/>
      <c r="K92"/>
      <c r="L92" s="1813"/>
      <c r="M92" t="e">
        <f>'Calc Data-SB1'!AK31-IF('Option Costs-15K'!W57="N",MAX('Option Costs-15K'!W54,'Option Costs-15K'!Y54),MIN('Option Costs-15K'!W54,'Option Costs-15K'!Y54))</f>
        <v>#DIV/0!</v>
      </c>
    </row>
    <row r="93" spans="1:18">
      <c r="A93" s="239" t="s">
        <v>3710</v>
      </c>
      <c r="B93" s="35"/>
      <c r="C93" s="35"/>
      <c r="D93" s="35"/>
      <c r="E93" s="35"/>
      <c r="F93" s="958" t="e">
        <f>SUM(F89:F92)</f>
        <v>#DIV/0!</v>
      </c>
      <c r="H93" s="1855" t="e">
        <f>SUM(H89:H92)</f>
        <v>#DIV/0!</v>
      </c>
      <c r="J93"/>
      <c r="K93"/>
      <c r="L93" s="1813"/>
      <c r="M93" t="e">
        <f>SUM(M89:M92)</f>
        <v>#DIV/0!</v>
      </c>
    </row>
    <row r="94" spans="1:18">
      <c r="A94" s="185" t="s">
        <v>1908</v>
      </c>
      <c r="B94" s="35"/>
      <c r="C94" s="35"/>
      <c r="D94" s="35"/>
      <c r="E94" s="35"/>
      <c r="F94" s="907" t="e">
        <f>IF(F75&gt;0,0,F75)</f>
        <v>#DIV/0!</v>
      </c>
      <c r="H94" s="1853" t="e">
        <f>IF(H75&gt;0,0,H75)</f>
        <v>#DIV/0!</v>
      </c>
      <c r="J94"/>
      <c r="K94"/>
      <c r="L94" s="1813"/>
      <c r="M94" t="e">
        <f>IF(M75&gt;0,0,M75)</f>
        <v>#DIV/0!</v>
      </c>
    </row>
    <row r="95" spans="1:18" ht="13.5" thickBot="1">
      <c r="A95" s="423" t="s">
        <v>3711</v>
      </c>
      <c r="B95" s="35"/>
      <c r="C95" s="35"/>
      <c r="D95" s="35"/>
      <c r="E95" s="35"/>
      <c r="F95" s="958" t="e">
        <f>F93+F94</f>
        <v>#DIV/0!</v>
      </c>
      <c r="H95" s="1855" t="e">
        <f>H93+H94</f>
        <v>#DIV/0!</v>
      </c>
      <c r="J95"/>
      <c r="K95"/>
      <c r="L95"/>
      <c r="M95" t="e">
        <f>M93+M94</f>
        <v>#DIV/0!</v>
      </c>
    </row>
    <row r="96" spans="1:18" ht="13.5" thickBot="1">
      <c r="A96" s="187"/>
      <c r="B96" s="50"/>
      <c r="C96" s="50"/>
      <c r="D96" s="50"/>
      <c r="E96" s="50"/>
      <c r="F96" s="188"/>
      <c r="I96" s="47"/>
      <c r="J96"/>
      <c r="K96"/>
      <c r="L96"/>
      <c r="M96"/>
    </row>
    <row r="97" spans="1:13" ht="13.5" hidden="1" thickTop="1">
      <c r="D97" s="47" t="s">
        <v>1399</v>
      </c>
      <c r="E97" s="47"/>
      <c r="F97" s="47"/>
      <c r="H97" s="958" t="e">
        <f>H94+H95</f>
        <v>#DIV/0!</v>
      </c>
      <c r="I97" s="47"/>
      <c r="J97" s="1808"/>
      <c r="K97" s="1808"/>
      <c r="L97" s="1811"/>
      <c r="M97" s="1846"/>
    </row>
    <row r="98" spans="1:13" ht="13.5" hidden="1" thickTop="1">
      <c r="D98" s="47" t="s">
        <v>511</v>
      </c>
      <c r="E98" s="47"/>
      <c r="F98" s="47"/>
      <c r="I98" s="47"/>
      <c r="J98" s="1053"/>
      <c r="K98" s="1053"/>
      <c r="L98" s="1402"/>
      <c r="M98" s="1846"/>
    </row>
    <row r="99" spans="1:13" ht="13.5" hidden="1" thickTop="1">
      <c r="D99" s="47" t="s">
        <v>512</v>
      </c>
      <c r="I99" s="47"/>
    </row>
    <row r="100" spans="1:13" ht="13.5" hidden="1" thickTop="1">
      <c r="D100" s="47" t="s">
        <v>1147</v>
      </c>
      <c r="I100" s="47"/>
    </row>
    <row r="101" spans="1:13" ht="13.5" hidden="1" thickTop="1">
      <c r="D101" s="47" t="s">
        <v>720</v>
      </c>
      <c r="I101" s="47"/>
    </row>
    <row r="102" spans="1:13" ht="13.5" hidden="1" thickTop="1">
      <c r="D102" s="47" t="s">
        <v>721</v>
      </c>
      <c r="I102" s="47"/>
    </row>
    <row r="103" spans="1:13" ht="13.5" thickTop="1">
      <c r="D103" s="47"/>
      <c r="I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Assumptions!G110*'Calc Data-SB1'!E25*'Calc Data-SB1'!E35*100</f>
        <v>#DIV/0!</v>
      </c>
      <c r="H136" s="121" t="e">
        <f>Assumptions!G110*'Calc Data-SB1'!D25*'Calc Data-SB1'!D35*100</f>
        <v>#DIV/0!</v>
      </c>
      <c r="J136" s="5"/>
      <c r="K136" s="5"/>
    </row>
    <row r="137" spans="5:11">
      <c r="E137" t="s">
        <v>3253</v>
      </c>
      <c r="F137" s="121" t="e">
        <f>Assumptions!G111*'Calc Data-SB1'!E25*'Calc Data-SB1'!E38*100</f>
        <v>#DIV/0!</v>
      </c>
      <c r="H137" s="121" t="e">
        <f>Assumptions!G111*'Calc Data-SB1'!D25*'Calc Data-SB1'!AJ29*100</f>
        <v>#DIV/0!</v>
      </c>
      <c r="J137" s="5"/>
      <c r="K137" s="5"/>
    </row>
    <row r="138" spans="5:11">
      <c r="J138" s="121"/>
      <c r="K138" s="121"/>
    </row>
    <row r="139" spans="5:11">
      <c r="J139" s="121"/>
      <c r="K139" s="121"/>
    </row>
  </sheetData>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2.75"/>
  <cols>
    <col min="1" max="1" width="9.140625" style="89" customWidth="1"/>
    <col min="2" max="2" width="86.140625" style="47" customWidth="1"/>
    <col min="3" max="3" width="4.140625" style="47" customWidth="1"/>
    <col min="4" max="4" width="20.7109375" style="47" customWidth="1"/>
    <col min="5" max="5" width="17.5703125" style="47" customWidth="1"/>
    <col min="6" max="12" width="9.140625" style="47" customWidth="1"/>
  </cols>
  <sheetData>
    <row r="1" spans="1:12">
      <c r="A1" s="1074" t="s">
        <v>3266</v>
      </c>
      <c r="C1" s="1777"/>
      <c r="D1" s="1773" t="str">
        <f>'Report-SOF1718'!D1</f>
        <v>84th/85th Legislative Session</v>
      </c>
    </row>
    <row r="2" spans="1:12">
      <c r="A2" s="1074" t="s">
        <v>3265</v>
      </c>
      <c r="D2" s="98" t="str">
        <f>'Report-SOF1718'!D2</f>
        <v>Release 2</v>
      </c>
    </row>
    <row r="3" spans="1:12">
      <c r="D3" s="82">
        <f>'Report-SOF1718'!D3</f>
        <v>43145</v>
      </c>
    </row>
    <row r="4" spans="1:12" s="1076" customFormat="1" ht="15.75">
      <c r="A4" s="1075" t="s">
        <v>3834</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3392" t="s">
        <v>3835</v>
      </c>
      <c r="C8" s="3393"/>
      <c r="D8" s="3401" t="e">
        <f>'ASATR-SB1'!I42</f>
        <v>#DIV/0!</v>
      </c>
      <c r="E8" s="961"/>
      <c r="F8" s="961"/>
      <c r="G8" s="961"/>
      <c r="H8" s="961"/>
      <c r="I8" s="961"/>
      <c r="J8" s="961"/>
      <c r="K8" s="961"/>
      <c r="L8" s="961"/>
    </row>
    <row r="9" spans="1:12" s="1076" customFormat="1" ht="18">
      <c r="A9" s="1314" t="s">
        <v>3107</v>
      </c>
      <c r="B9" s="3390"/>
      <c r="C9" s="3390"/>
      <c r="D9" s="1279" t="s">
        <v>3115</v>
      </c>
      <c r="E9" s="961"/>
      <c r="F9" s="961"/>
      <c r="G9" s="961"/>
      <c r="H9" s="961"/>
      <c r="I9" s="961"/>
      <c r="J9" s="961"/>
      <c r="K9" s="961"/>
      <c r="L9" s="961"/>
    </row>
    <row r="10" spans="1:12" s="1076" customFormat="1" ht="18">
      <c r="A10" s="3638" t="s">
        <v>3108</v>
      </c>
      <c r="B10" s="3654"/>
      <c r="C10" s="3654"/>
      <c r="D10" s="1280" t="s">
        <v>3116</v>
      </c>
      <c r="E10" s="961"/>
      <c r="F10" s="961"/>
      <c r="G10" s="961"/>
      <c r="H10" s="961"/>
      <c r="I10" s="961"/>
      <c r="J10" s="961"/>
      <c r="K10" s="961"/>
      <c r="L10" s="961"/>
    </row>
    <row r="11" spans="1:12" s="1076" customFormat="1" ht="15.75">
      <c r="A11" s="1079" t="s">
        <v>2501</v>
      </c>
      <c r="B11" s="1080" t="s">
        <v>3109</v>
      </c>
      <c r="C11" s="1080"/>
      <c r="D11" s="1081">
        <f>'SOF1819-SB1'!F8</f>
        <v>0</v>
      </c>
      <c r="E11" s="961"/>
      <c r="F11" s="961"/>
      <c r="G11" s="961"/>
      <c r="H11" s="961"/>
      <c r="I11" s="961"/>
      <c r="J11" s="961"/>
      <c r="K11" s="961"/>
      <c r="L11" s="961"/>
    </row>
    <row r="12" spans="1:12" s="1076" customFormat="1" ht="15.75">
      <c r="A12" s="1079" t="s">
        <v>2502</v>
      </c>
      <c r="B12" s="1688" t="s">
        <v>3980</v>
      </c>
      <c r="C12" s="1080"/>
      <c r="D12" s="1081">
        <f>'Calc Data-SB1'!E10</f>
        <v>0</v>
      </c>
      <c r="E12" s="961"/>
      <c r="F12" s="961"/>
      <c r="G12" s="961"/>
      <c r="H12" s="961"/>
      <c r="I12" s="961"/>
      <c r="J12" s="961"/>
      <c r="K12" s="961"/>
      <c r="L12" s="961"/>
    </row>
    <row r="13" spans="1:12" s="1076" customFormat="1" ht="15.75">
      <c r="A13" s="1079" t="s">
        <v>2503</v>
      </c>
      <c r="B13" s="1610" t="s">
        <v>3983</v>
      </c>
      <c r="C13" s="1080"/>
      <c r="D13" s="1081">
        <f>'SOF1819-SB1'!F9</f>
        <v>0</v>
      </c>
      <c r="E13" s="961"/>
      <c r="F13" s="961"/>
      <c r="G13" s="961"/>
      <c r="H13" s="961"/>
      <c r="I13" s="961"/>
      <c r="J13" s="961"/>
      <c r="K13" s="961"/>
      <c r="L13" s="961"/>
    </row>
    <row r="14" spans="1:12" s="1076" customFormat="1" ht="15.75">
      <c r="A14" s="1079" t="s">
        <v>1024</v>
      </c>
      <c r="B14" s="1080" t="s">
        <v>932</v>
      </c>
      <c r="C14" s="1080"/>
      <c r="D14" s="1081">
        <f>'SOF1819-SB1'!F10</f>
        <v>0</v>
      </c>
      <c r="E14" s="961"/>
      <c r="F14" s="961"/>
      <c r="G14" s="961"/>
      <c r="H14" s="961"/>
      <c r="I14" s="961"/>
      <c r="J14" s="961"/>
      <c r="K14" s="961"/>
      <c r="L14" s="961"/>
    </row>
    <row r="15" spans="1:12" s="1076" customFormat="1" ht="15.75">
      <c r="A15" s="1079" t="s">
        <v>1025</v>
      </c>
      <c r="B15" s="1080" t="s">
        <v>715</v>
      </c>
      <c r="C15" s="1080"/>
      <c r="D15" s="1081">
        <f>'Data Entry - SOF'!G33</f>
        <v>0</v>
      </c>
      <c r="E15" s="961"/>
      <c r="F15" s="961"/>
      <c r="G15" s="961"/>
      <c r="H15" s="961"/>
      <c r="I15" s="961"/>
      <c r="J15" s="961"/>
      <c r="K15" s="961"/>
      <c r="L15" s="961"/>
    </row>
    <row r="16" spans="1:12" s="1076" customFormat="1" ht="15.75">
      <c r="A16" s="1079" t="s">
        <v>1027</v>
      </c>
      <c r="B16" s="1080" t="s">
        <v>3111</v>
      </c>
      <c r="C16" s="1080"/>
      <c r="D16" s="1081">
        <f>'Data Entry - SOF'!G18</f>
        <v>0</v>
      </c>
      <c r="E16" s="961"/>
      <c r="F16" s="961"/>
      <c r="G16" s="961"/>
      <c r="H16" s="961"/>
      <c r="I16" s="961"/>
      <c r="J16" s="961"/>
      <c r="K16" s="961"/>
      <c r="L16" s="961"/>
    </row>
    <row r="17" spans="1:12" s="1076" customFormat="1" ht="15.75">
      <c r="A17" s="1079" t="s">
        <v>1028</v>
      </c>
      <c r="B17" s="1511" t="s">
        <v>3762</v>
      </c>
      <c r="C17" s="1080"/>
      <c r="D17" s="1081" t="e">
        <f>'Calc Data-SB1'!E25</f>
        <v>#DIV/0!</v>
      </c>
      <c r="E17" s="961"/>
      <c r="F17" s="961"/>
      <c r="G17" s="961"/>
      <c r="H17" s="961"/>
      <c r="I17" s="961"/>
      <c r="J17" s="961"/>
      <c r="K17" s="961"/>
      <c r="L17" s="961"/>
    </row>
    <row r="18" spans="1:12" s="1076" customFormat="1" ht="15.75">
      <c r="A18" s="1079" t="s">
        <v>1029</v>
      </c>
      <c r="B18" s="1080" t="s">
        <v>3112</v>
      </c>
      <c r="C18" s="1080"/>
      <c r="D18" s="1081">
        <f>'Report-SOF1718'!D11</f>
        <v>0</v>
      </c>
      <c r="E18" s="961"/>
      <c r="F18" s="961"/>
      <c r="G18" s="961"/>
      <c r="H18" s="961"/>
      <c r="I18" s="961"/>
      <c r="J18" s="961"/>
      <c r="K18" s="961"/>
      <c r="L18" s="961"/>
    </row>
    <row r="19" spans="1:12" s="1076" customFormat="1" ht="15.75">
      <c r="A19" s="1079" t="s">
        <v>139</v>
      </c>
      <c r="B19" s="1080" t="s">
        <v>3113</v>
      </c>
      <c r="C19" s="1080"/>
      <c r="D19" s="1081">
        <f>'Data Entry - SOF'!G68</f>
        <v>0</v>
      </c>
      <c r="E19" s="961"/>
      <c r="F19" s="961"/>
      <c r="G19" s="961"/>
      <c r="H19" s="961"/>
      <c r="I19" s="961"/>
      <c r="J19" s="961"/>
      <c r="K19" s="961"/>
      <c r="L19" s="961"/>
    </row>
    <row r="20" spans="1:12" s="1076" customFormat="1" ht="15.75">
      <c r="A20" s="1079" t="s">
        <v>140</v>
      </c>
      <c r="B20" s="1080" t="s">
        <v>3114</v>
      </c>
      <c r="C20" s="1080"/>
      <c r="D20" s="1081">
        <f>'Data Entry - SOF'!G67</f>
        <v>0</v>
      </c>
      <c r="E20" s="961"/>
      <c r="F20" s="961"/>
      <c r="G20" s="961"/>
      <c r="H20" s="961"/>
      <c r="I20" s="961"/>
      <c r="J20" s="961"/>
      <c r="K20" s="961"/>
      <c r="L20" s="961"/>
    </row>
    <row r="21" spans="1:12" s="1076" customFormat="1" ht="18">
      <c r="A21" s="3638" t="s">
        <v>3117</v>
      </c>
      <c r="B21" s="3654"/>
      <c r="C21" s="3654"/>
      <c r="D21" s="3639"/>
      <c r="E21" s="961"/>
      <c r="F21" s="961"/>
      <c r="G21" s="961"/>
      <c r="H21" s="961"/>
      <c r="I21" s="961"/>
      <c r="J21" s="961"/>
      <c r="K21" s="961"/>
      <c r="L21" s="961"/>
    </row>
    <row r="22" spans="1:12" s="1076" customFormat="1" ht="15.75">
      <c r="A22" s="1079" t="s">
        <v>141</v>
      </c>
      <c r="B22" s="1080" t="s">
        <v>3118</v>
      </c>
      <c r="C22" s="1080"/>
      <c r="D22" s="1081">
        <f>'Data Entry - SOF'!G44</f>
        <v>0</v>
      </c>
      <c r="E22" s="961"/>
      <c r="F22" s="961"/>
      <c r="G22" s="961"/>
      <c r="H22" s="961"/>
      <c r="I22" s="961"/>
      <c r="J22" s="961"/>
      <c r="K22" s="961"/>
      <c r="L22" s="961"/>
    </row>
    <row r="23" spans="1:12" s="1076" customFormat="1" ht="15.75">
      <c r="A23" s="1079" t="s">
        <v>142</v>
      </c>
      <c r="B23" s="1080" t="s">
        <v>3119</v>
      </c>
      <c r="C23" s="1080"/>
      <c r="D23" s="1081">
        <f>'Data Entry - SOF'!G45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4681</v>
      </c>
      <c r="C25" s="1080"/>
      <c r="D25" s="1224" t="s">
        <v>3450</v>
      </c>
      <c r="E25" s="961"/>
      <c r="F25" s="961"/>
      <c r="G25" s="961"/>
      <c r="H25" s="961"/>
      <c r="I25" s="961"/>
      <c r="J25" s="961"/>
      <c r="K25" s="961"/>
      <c r="L25" s="961"/>
    </row>
    <row r="26" spans="1:12" s="1076" customFormat="1" ht="15.75">
      <c r="A26" s="1079" t="s">
        <v>6</v>
      </c>
      <c r="B26" s="1080" t="s">
        <v>4682</v>
      </c>
      <c r="C26" s="1080"/>
      <c r="D26" s="1083">
        <f>'Data Entry - SOF'!G48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4683</v>
      </c>
      <c r="C29" s="1078"/>
      <c r="D29" s="1084">
        <f>'Data Entry - SOF'!G108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4684</v>
      </c>
      <c r="C31" s="1078"/>
      <c r="D31" s="1084">
        <f>'Data Entry - SOF'!G58</f>
        <v>0</v>
      </c>
      <c r="E31" s="961"/>
      <c r="F31" s="961"/>
      <c r="G31" s="961"/>
      <c r="H31" s="961"/>
      <c r="I31" s="961"/>
      <c r="J31" s="961"/>
      <c r="K31" s="961"/>
      <c r="L31" s="961"/>
    </row>
    <row r="32" spans="1:12" s="1076" customFormat="1" ht="15.75">
      <c r="A32" s="1079" t="s">
        <v>3126</v>
      </c>
      <c r="B32" s="1607" t="s">
        <v>4695</v>
      </c>
      <c r="C32" s="1080"/>
      <c r="D32" s="1085">
        <f>'Data Entry - SOF'!G59</f>
        <v>0</v>
      </c>
      <c r="E32" s="961"/>
      <c r="F32" s="961"/>
      <c r="G32" s="961"/>
      <c r="H32" s="961"/>
      <c r="I32" s="961"/>
      <c r="J32" s="961"/>
      <c r="K32" s="961"/>
      <c r="L32" s="961"/>
    </row>
    <row r="33" spans="1:12" s="1076" customFormat="1" ht="15.75">
      <c r="A33" s="1079" t="s">
        <v>3127</v>
      </c>
      <c r="B33" s="1080" t="s">
        <v>3942</v>
      </c>
      <c r="C33" s="1080"/>
      <c r="D33" s="1085">
        <f>'Data Entry - SOF'!G63</f>
        <v>0</v>
      </c>
      <c r="E33" s="961"/>
      <c r="F33" s="961"/>
      <c r="G33" s="961"/>
      <c r="H33" s="961"/>
      <c r="I33" s="961"/>
      <c r="J33" s="961"/>
      <c r="K33" s="961"/>
      <c r="L33" s="961"/>
    </row>
    <row r="34" spans="1:12" s="1076" customFormat="1" ht="15.75">
      <c r="A34" s="1079" t="s">
        <v>3128</v>
      </c>
      <c r="B34" s="1080" t="s">
        <v>3836</v>
      </c>
      <c r="C34" s="1080"/>
      <c r="D34" s="1085">
        <f>'Data Entry - SOF'!G153</f>
        <v>0</v>
      </c>
      <c r="E34" s="961"/>
      <c r="F34" s="961"/>
      <c r="G34" s="961"/>
      <c r="H34" s="961"/>
      <c r="I34" s="961"/>
      <c r="J34" s="961"/>
      <c r="K34" s="961"/>
      <c r="L34" s="961"/>
    </row>
    <row r="35" spans="1:12" s="1076" customFormat="1" ht="15.75">
      <c r="A35" s="1079" t="s">
        <v>3129</v>
      </c>
      <c r="B35" s="1080" t="s">
        <v>4685</v>
      </c>
      <c r="C35" s="1080"/>
      <c r="D35" s="1085">
        <f>'Data Entry - SOF'!G69</f>
        <v>0</v>
      </c>
      <c r="E35" s="961"/>
      <c r="F35" s="961"/>
      <c r="G35" s="961"/>
      <c r="H35" s="961"/>
      <c r="I35" s="961"/>
      <c r="J35" s="961"/>
      <c r="K35" s="961"/>
      <c r="L35" s="961"/>
    </row>
    <row r="36" spans="1:12" s="1076" customFormat="1" ht="18">
      <c r="A36" s="3650" t="s">
        <v>3130</v>
      </c>
      <c r="B36" s="3668"/>
      <c r="C36" s="3654"/>
      <c r="D36" s="3639"/>
      <c r="E36" s="961"/>
      <c r="F36" s="961"/>
      <c r="G36" s="961"/>
      <c r="H36" s="961"/>
      <c r="I36" s="961"/>
      <c r="J36" s="961"/>
      <c r="K36" s="961"/>
      <c r="L36" s="961"/>
    </row>
    <row r="37" spans="1:12" s="1076" customFormat="1" ht="15.75">
      <c r="A37" s="1079" t="s">
        <v>3131</v>
      </c>
      <c r="B37" s="1607" t="s">
        <v>3870</v>
      </c>
      <c r="C37" s="1099"/>
      <c r="D37" s="1807">
        <f>'Calc Data-SB1'!AJ23</f>
        <v>0</v>
      </c>
      <c r="E37" s="961"/>
      <c r="F37" s="961"/>
      <c r="G37" s="961"/>
      <c r="H37" s="961"/>
      <c r="I37" s="961"/>
      <c r="J37" s="961"/>
      <c r="K37" s="961"/>
      <c r="L37" s="961"/>
    </row>
    <row r="38" spans="1:12" s="1076" customFormat="1" ht="15.75">
      <c r="A38" s="1079" t="s">
        <v>3132</v>
      </c>
      <c r="B38" s="1080" t="s">
        <v>3136</v>
      </c>
      <c r="C38" s="1080"/>
      <c r="D38" s="1197" t="e">
        <f>'ASATR-SB1'!I46</f>
        <v>#DIV/0!</v>
      </c>
      <c r="E38" s="961"/>
      <c r="F38" s="961"/>
      <c r="G38" s="961"/>
      <c r="H38" s="961"/>
      <c r="I38" s="961"/>
      <c r="J38" s="961"/>
      <c r="K38" s="961"/>
      <c r="L38" s="961"/>
    </row>
    <row r="39" spans="1:12" s="1076" customFormat="1" ht="15.75">
      <c r="A39" s="1079" t="s">
        <v>3133</v>
      </c>
      <c r="B39" s="1080" t="s">
        <v>3183</v>
      </c>
      <c r="C39" s="1080"/>
      <c r="D39" s="1086">
        <f>'Data Entry - SOF'!G112</f>
        <v>0</v>
      </c>
      <c r="E39" s="961"/>
      <c r="F39" s="961"/>
      <c r="G39" s="961"/>
      <c r="H39" s="961"/>
      <c r="I39" s="961"/>
      <c r="J39" s="961"/>
      <c r="K39" s="961"/>
      <c r="L39" s="961"/>
    </row>
    <row r="40" spans="1:12" s="1076" customFormat="1" ht="15.75">
      <c r="A40" s="1079" t="s">
        <v>3134</v>
      </c>
      <c r="B40" s="1080" t="s">
        <v>3137</v>
      </c>
      <c r="C40" s="1080"/>
      <c r="D40" s="1086">
        <f>'Calc Data-SB1'!E59</f>
        <v>0</v>
      </c>
      <c r="E40" s="961"/>
      <c r="F40" s="961"/>
      <c r="G40" s="961"/>
      <c r="H40" s="961"/>
      <c r="I40" s="961"/>
      <c r="J40" s="961"/>
      <c r="K40" s="961"/>
      <c r="L40" s="961"/>
    </row>
    <row r="41" spans="1:12" s="1076" customFormat="1" ht="15.75">
      <c r="A41" s="1079" t="s">
        <v>3135</v>
      </c>
      <c r="B41" s="1080" t="s">
        <v>3138</v>
      </c>
      <c r="C41" s="1080"/>
      <c r="D41" s="1087">
        <f>Assumptions!G114</f>
        <v>447.18</v>
      </c>
      <c r="E41" s="961"/>
      <c r="F41" s="961"/>
      <c r="G41" s="961"/>
      <c r="H41" s="961"/>
      <c r="I41" s="961"/>
      <c r="J41" s="961"/>
      <c r="K41" s="961"/>
      <c r="L41" s="961"/>
    </row>
    <row r="42" spans="1:12" s="1076" customFormat="1" ht="18">
      <c r="A42" s="3638" t="s">
        <v>3139</v>
      </c>
      <c r="B42" s="3660"/>
      <c r="C42" s="3660"/>
      <c r="D42" s="3661"/>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'SOF1819-SB1'!H21</f>
        <v>0</v>
      </c>
      <c r="E44" s="961"/>
      <c r="F44" s="961"/>
      <c r="G44" s="961"/>
      <c r="H44" s="961"/>
      <c r="I44" s="961"/>
      <c r="J44" s="961"/>
      <c r="K44" s="961"/>
      <c r="L44" s="961"/>
    </row>
    <row r="45" spans="1:12" s="1076" customFormat="1" ht="15.75">
      <c r="A45" s="1079" t="s">
        <v>3141</v>
      </c>
      <c r="B45" s="1080" t="s">
        <v>3746</v>
      </c>
      <c r="C45" s="1080"/>
      <c r="D45" s="1085">
        <f>'SOF1819-SB1'!H132</f>
        <v>0</v>
      </c>
      <c r="E45" s="961"/>
      <c r="F45" s="961"/>
      <c r="G45" s="961"/>
      <c r="H45" s="961"/>
      <c r="I45" s="961"/>
      <c r="J45" s="961"/>
      <c r="K45" s="961"/>
      <c r="L45" s="961"/>
    </row>
    <row r="46" spans="1:12" s="1076" customFormat="1" ht="15.75">
      <c r="A46" s="1079" t="s">
        <v>3142</v>
      </c>
      <c r="B46" s="1080" t="s">
        <v>3747</v>
      </c>
      <c r="C46" s="1080"/>
      <c r="D46" s="1085">
        <f>'SOF1819-SB1'!H133</f>
        <v>0</v>
      </c>
      <c r="E46" s="961"/>
      <c r="F46" s="961"/>
      <c r="G46" s="961"/>
      <c r="H46" s="961"/>
      <c r="I46" s="961"/>
      <c r="J46" s="961"/>
      <c r="K46" s="961"/>
      <c r="L46" s="961"/>
    </row>
    <row r="47" spans="1:12" s="1076" customFormat="1" ht="15.75">
      <c r="A47" s="1079" t="s">
        <v>3143</v>
      </c>
      <c r="B47" s="1080" t="s">
        <v>3748</v>
      </c>
      <c r="C47" s="1080"/>
      <c r="D47" s="1085">
        <f>'SOF1819-SB1'!H134</f>
        <v>0</v>
      </c>
      <c r="E47" s="961"/>
      <c r="F47" s="961"/>
      <c r="G47" s="961"/>
      <c r="H47" s="961"/>
      <c r="I47" s="961"/>
      <c r="J47" s="961"/>
      <c r="K47" s="961"/>
      <c r="L47" s="961"/>
    </row>
    <row r="48" spans="1:12" s="1076" customFormat="1" ht="15.75">
      <c r="A48" s="1079" t="s">
        <v>3144</v>
      </c>
      <c r="B48" s="1080" t="s">
        <v>3750</v>
      </c>
      <c r="C48" s="1080"/>
      <c r="D48" s="1085">
        <f>'SOF1819-SB1'!H135</f>
        <v>0</v>
      </c>
      <c r="E48" s="961"/>
      <c r="F48" s="961"/>
      <c r="G48" s="961"/>
      <c r="H48" s="961"/>
      <c r="I48" s="961"/>
      <c r="J48" s="961"/>
      <c r="K48" s="961"/>
      <c r="L48" s="961"/>
    </row>
    <row r="49" spans="1:12" s="1076" customFormat="1" ht="15.75">
      <c r="A49" s="1079" t="s">
        <v>3145</v>
      </c>
      <c r="B49" s="1080" t="s">
        <v>3749</v>
      </c>
      <c r="C49" s="1080"/>
      <c r="D49" s="1085">
        <f>'SOF1819-SB1'!H39</f>
        <v>0</v>
      </c>
      <c r="E49" s="961"/>
      <c r="F49" s="961"/>
      <c r="G49" s="961"/>
      <c r="H49" s="961"/>
      <c r="I49" s="961"/>
      <c r="J49" s="961"/>
      <c r="K49" s="961"/>
      <c r="L49" s="961"/>
    </row>
    <row r="50" spans="1:12" s="1076" customFormat="1" ht="15.75">
      <c r="A50" s="1079" t="s">
        <v>3146</v>
      </c>
      <c r="B50" s="1080" t="s">
        <v>3162</v>
      </c>
      <c r="C50" s="1080"/>
      <c r="D50" s="1085">
        <f>'SOF1819-SB1'!H41</f>
        <v>0</v>
      </c>
      <c r="E50" s="961"/>
      <c r="F50" s="961"/>
      <c r="G50" s="961"/>
      <c r="H50" s="961"/>
      <c r="I50" s="961"/>
      <c r="J50" s="961"/>
      <c r="K50" s="961"/>
      <c r="L50" s="961"/>
    </row>
    <row r="51" spans="1:12" s="1076" customFormat="1" ht="15.75">
      <c r="A51" s="1079" t="s">
        <v>3147</v>
      </c>
      <c r="B51" s="1080" t="s">
        <v>3173</v>
      </c>
      <c r="C51" s="1080"/>
      <c r="D51" s="1085">
        <f>'SOF1819-SB1'!H42</f>
        <v>0</v>
      </c>
      <c r="E51" s="961"/>
      <c r="F51" s="961"/>
      <c r="G51" s="961"/>
      <c r="H51" s="961"/>
      <c r="I51" s="961"/>
      <c r="J51" s="961"/>
      <c r="K51" s="961"/>
      <c r="L51" s="961"/>
    </row>
    <row r="52" spans="1:12" s="1076" customFormat="1" ht="15.75">
      <c r="A52" s="1079" t="s">
        <v>3148</v>
      </c>
      <c r="B52" s="1080" t="s">
        <v>3751</v>
      </c>
      <c r="C52" s="1080"/>
      <c r="D52" s="1085">
        <f>'SOF1819-SB1'!H43</f>
        <v>0</v>
      </c>
      <c r="E52" s="961"/>
      <c r="F52" s="961"/>
      <c r="G52" s="961"/>
      <c r="H52" s="961"/>
      <c r="I52" s="961"/>
      <c r="J52" s="961"/>
      <c r="K52" s="961"/>
      <c r="L52" s="961"/>
    </row>
    <row r="53" spans="1:12" s="1076" customFormat="1" ht="15.75">
      <c r="A53" s="1079" t="s">
        <v>3149</v>
      </c>
      <c r="B53" s="1080" t="s">
        <v>3164</v>
      </c>
      <c r="C53" s="1080"/>
      <c r="D53" s="1085">
        <f>'SOF1819-SB1'!H40</f>
        <v>0</v>
      </c>
      <c r="E53" s="961"/>
      <c r="F53" s="961"/>
      <c r="G53" s="961"/>
      <c r="H53" s="961"/>
      <c r="I53" s="961"/>
      <c r="J53" s="961"/>
      <c r="K53" s="961"/>
      <c r="L53" s="961"/>
    </row>
    <row r="54" spans="1:12" s="1076" customFormat="1" ht="15.75">
      <c r="A54" s="1079" t="s">
        <v>3150</v>
      </c>
      <c r="B54" s="1607" t="s">
        <v>3871</v>
      </c>
      <c r="C54" s="1080"/>
      <c r="D54" s="1085">
        <f>'SOF1819-SB1'!H44</f>
        <v>0</v>
      </c>
      <c r="E54" s="961"/>
      <c r="F54" s="961"/>
      <c r="G54" s="961"/>
      <c r="H54" s="961"/>
      <c r="I54" s="961"/>
      <c r="J54" s="961"/>
      <c r="K54" s="961"/>
      <c r="L54" s="961"/>
    </row>
    <row r="55" spans="1:12" s="1076" customFormat="1" ht="15.75">
      <c r="A55" s="1079" t="s">
        <v>3151</v>
      </c>
      <c r="B55" s="1080" t="s">
        <v>3165</v>
      </c>
      <c r="C55" s="1080"/>
      <c r="D55" s="1085">
        <f>'SOF1819-SB1'!H45</f>
        <v>0</v>
      </c>
      <c r="E55" s="961"/>
      <c r="F55" s="961"/>
      <c r="G55" s="961"/>
      <c r="H55" s="961"/>
      <c r="I55" s="961"/>
      <c r="J55" s="961"/>
      <c r="K55" s="961"/>
      <c r="L55" s="961"/>
    </row>
    <row r="56" spans="1:12" s="1076" customFormat="1" ht="15.75">
      <c r="A56" s="1079" t="s">
        <v>3152</v>
      </c>
      <c r="B56" s="1080" t="s">
        <v>889</v>
      </c>
      <c r="C56" s="1080"/>
      <c r="D56" s="1085">
        <f>'SOF1819-SB1'!H46</f>
        <v>0</v>
      </c>
      <c r="E56" s="961"/>
      <c r="F56" s="961"/>
      <c r="G56" s="961"/>
      <c r="H56" s="961"/>
      <c r="I56" s="961"/>
      <c r="J56" s="961"/>
      <c r="K56" s="961"/>
      <c r="L56" s="961"/>
    </row>
    <row r="57" spans="1:12" s="1076" customFormat="1" ht="15.75">
      <c r="A57" s="1079" t="s">
        <v>3153</v>
      </c>
      <c r="B57" s="1080" t="s">
        <v>3166</v>
      </c>
      <c r="C57" s="1080"/>
      <c r="D57" s="1085">
        <f>'SOF1819-SB1'!H76</f>
        <v>0</v>
      </c>
      <c r="E57" s="961"/>
      <c r="F57" s="961"/>
      <c r="G57" s="961"/>
      <c r="H57" s="961"/>
      <c r="I57" s="961"/>
      <c r="J57" s="961"/>
      <c r="K57" s="961"/>
      <c r="L57" s="961"/>
    </row>
    <row r="58" spans="1:12" s="1076" customFormat="1" ht="18">
      <c r="A58" s="3662" t="s">
        <v>3573</v>
      </c>
      <c r="B58" s="3673"/>
      <c r="C58" s="3673"/>
      <c r="D58" s="3674"/>
      <c r="E58" s="961"/>
      <c r="F58" s="961"/>
      <c r="G58" s="961"/>
      <c r="H58" s="961"/>
      <c r="I58" s="961"/>
      <c r="J58" s="961"/>
      <c r="K58" s="961"/>
      <c r="L58" s="961"/>
    </row>
    <row r="59" spans="1:12" s="1076" customFormat="1" ht="18">
      <c r="A59" s="3648" t="s">
        <v>3574</v>
      </c>
      <c r="B59" s="3675"/>
      <c r="C59" s="3675"/>
      <c r="D59" s="3676"/>
      <c r="E59" s="961"/>
      <c r="F59" s="961"/>
      <c r="G59" s="961"/>
      <c r="H59" s="961"/>
      <c r="I59" s="961"/>
      <c r="J59" s="961"/>
      <c r="K59" s="961"/>
      <c r="L59" s="961"/>
    </row>
    <row r="60" spans="1:12" s="1076" customFormat="1" ht="15.75">
      <c r="A60" s="1079" t="s">
        <v>3154</v>
      </c>
      <c r="B60" s="1080" t="s">
        <v>3167</v>
      </c>
      <c r="C60" s="1080"/>
      <c r="D60" s="1085">
        <f>'SOF1819-SB1'!H49</f>
        <v>0</v>
      </c>
      <c r="E60" s="961"/>
      <c r="F60" s="961"/>
      <c r="G60" s="961"/>
      <c r="H60" s="961"/>
      <c r="I60" s="961"/>
      <c r="J60" s="961"/>
      <c r="K60" s="961"/>
      <c r="L60" s="961"/>
    </row>
    <row r="61" spans="1:12" s="1076" customFormat="1" ht="15.75">
      <c r="A61" s="1079" t="s">
        <v>3155</v>
      </c>
      <c r="B61" s="1608" t="s">
        <v>3872</v>
      </c>
      <c r="C61" s="1080"/>
      <c r="D61" s="1085" t="e">
        <f>'SOF1819-SB1'!H54</f>
        <v>#DIV/0!</v>
      </c>
      <c r="E61" s="961"/>
      <c r="F61" s="961"/>
      <c r="G61" s="961"/>
      <c r="H61" s="961"/>
      <c r="I61" s="961"/>
      <c r="J61" s="961"/>
      <c r="K61" s="961"/>
      <c r="L61" s="961"/>
    </row>
    <row r="62" spans="1:12" s="1076" customFormat="1" ht="15.75">
      <c r="A62" s="1079" t="s">
        <v>3156</v>
      </c>
      <c r="B62" s="1607" t="s">
        <v>3873</v>
      </c>
      <c r="C62" s="1080"/>
      <c r="D62" s="1085" t="e">
        <f>'Report-Other1819'!D26</f>
        <v>#DIV/0!</v>
      </c>
      <c r="E62" s="961" t="s">
        <v>4711</v>
      </c>
      <c r="F62" s="961"/>
      <c r="G62" s="961"/>
      <c r="H62" s="961"/>
      <c r="I62" s="961"/>
      <c r="J62" s="961"/>
      <c r="K62" s="961"/>
      <c r="L62" s="961"/>
    </row>
    <row r="63" spans="1:12" s="1076" customFormat="1" ht="15.75">
      <c r="A63" s="1079" t="s">
        <v>3157</v>
      </c>
      <c r="B63" s="1080" t="str">
        <f>CONCATENATE("Less: Total Available School Fund ($",Assumptions!G114," * Prior Year ADA)")</f>
        <v>Less: Total Available School Fund ($447.18 * Prior Year ADA)</v>
      </c>
      <c r="C63" s="1080"/>
      <c r="D63" s="1085">
        <f>'SOF1819-SB1'!H71</f>
        <v>0</v>
      </c>
      <c r="E63" s="961"/>
      <c r="F63" s="961"/>
      <c r="G63" s="961"/>
      <c r="H63" s="961"/>
      <c r="I63" s="961"/>
      <c r="J63" s="961"/>
      <c r="K63" s="961"/>
      <c r="L63" s="961"/>
    </row>
    <row r="64" spans="1:12" s="1076" customFormat="1" ht="15.75">
      <c r="A64" s="1079" t="s">
        <v>3158</v>
      </c>
      <c r="B64" s="1080" t="s">
        <v>3168</v>
      </c>
      <c r="C64" s="1080"/>
      <c r="D64" s="1085" t="e">
        <f>'SOF1819-SB1'!H75+'HH1819-Calcs'!D26</f>
        <v>#DIV/0!</v>
      </c>
      <c r="E64" s="961"/>
      <c r="F64" s="961"/>
      <c r="G64" s="961"/>
      <c r="H64" s="961"/>
      <c r="I64" s="961"/>
      <c r="J64" s="961"/>
      <c r="K64" s="961"/>
      <c r="L64" s="961"/>
    </row>
    <row r="65" spans="1:12" s="1076" customFormat="1" ht="18">
      <c r="A65" s="3638" t="s">
        <v>3174</v>
      </c>
      <c r="B65" s="3660"/>
      <c r="C65" s="3660"/>
      <c r="D65" s="3661"/>
      <c r="E65" s="961"/>
      <c r="F65" s="961"/>
      <c r="G65" s="961"/>
      <c r="H65" s="961"/>
      <c r="I65" s="961"/>
      <c r="J65" s="961"/>
      <c r="K65" s="961"/>
      <c r="L65" s="961"/>
    </row>
    <row r="66" spans="1:12" s="1076" customFormat="1" ht="18">
      <c r="A66" s="3644"/>
      <c r="B66" s="3660" t="s">
        <v>3182</v>
      </c>
      <c r="C66" s="3654"/>
      <c r="D66" s="3639"/>
      <c r="E66" s="961"/>
      <c r="F66" s="961"/>
      <c r="G66" s="961"/>
      <c r="H66" s="961"/>
      <c r="I66" s="961"/>
      <c r="J66" s="961"/>
      <c r="K66" s="961"/>
      <c r="L66" s="961"/>
    </row>
    <row r="67" spans="1:12" s="1076" customFormat="1" ht="15.75">
      <c r="A67" s="1079" t="s">
        <v>3175</v>
      </c>
      <c r="B67" s="1080" t="s">
        <v>3181</v>
      </c>
      <c r="C67" s="1080"/>
      <c r="D67" s="1085" t="e">
        <f>'SOF1819-SB1'!H75+'HH1819-Calcs'!D26</f>
        <v>#DIV/0!</v>
      </c>
      <c r="E67" s="961"/>
      <c r="F67" s="961"/>
      <c r="G67" s="961"/>
      <c r="H67" s="961"/>
      <c r="I67" s="961"/>
      <c r="J67" s="961"/>
      <c r="K67" s="961"/>
      <c r="L67" s="961"/>
    </row>
    <row r="68" spans="1:12" s="1076" customFormat="1" ht="15.75">
      <c r="A68" s="1079" t="s">
        <v>3176</v>
      </c>
      <c r="B68" s="1080" t="s">
        <v>3484</v>
      </c>
      <c r="C68" s="1080"/>
      <c r="D68" s="1085">
        <f>'SOF1819-SB1'!H76</f>
        <v>0</v>
      </c>
      <c r="E68" s="961"/>
      <c r="F68" s="961"/>
      <c r="G68" s="961"/>
      <c r="H68" s="961"/>
      <c r="I68" s="961"/>
      <c r="J68" s="961"/>
      <c r="K68" s="961"/>
      <c r="L68" s="961"/>
    </row>
    <row r="69" spans="1:12" s="1076" customFormat="1" ht="15.75">
      <c r="A69" s="1079" t="s">
        <v>3177</v>
      </c>
      <c r="B69" s="1608" t="s">
        <v>3874</v>
      </c>
      <c r="C69" s="1080"/>
      <c r="D69" s="1085">
        <f>'Existing Debt'!K74</f>
        <v>0</v>
      </c>
      <c r="E69" s="961"/>
      <c r="F69" s="961"/>
      <c r="G69" s="961"/>
      <c r="H69" s="961"/>
      <c r="I69" s="961"/>
      <c r="J69" s="961"/>
      <c r="K69" s="961"/>
      <c r="L69" s="961"/>
    </row>
    <row r="70" spans="1:12" s="1076" customFormat="1" ht="15.75">
      <c r="A70" s="1079" t="s">
        <v>3178</v>
      </c>
      <c r="B70" s="1607" t="s">
        <v>3875</v>
      </c>
      <c r="C70" s="1080"/>
      <c r="D70" s="1085">
        <f>IFA!P86</f>
        <v>0</v>
      </c>
      <c r="E70" s="961"/>
      <c r="F70" s="961"/>
      <c r="G70" s="961"/>
      <c r="H70" s="961"/>
      <c r="I70" s="961"/>
      <c r="J70" s="961"/>
      <c r="K70" s="961"/>
      <c r="L70" s="961"/>
    </row>
    <row r="71" spans="1:12" s="1076" customFormat="1" ht="15.75">
      <c r="A71" s="1079" t="s">
        <v>3179</v>
      </c>
      <c r="B71" s="1080" t="s">
        <v>3756</v>
      </c>
      <c r="C71" s="1080"/>
      <c r="D71" s="1085">
        <f>IFA!R86</f>
        <v>0</v>
      </c>
      <c r="E71" s="961"/>
      <c r="F71" s="961"/>
      <c r="G71" s="961"/>
      <c r="H71" s="961"/>
      <c r="I71" s="961"/>
      <c r="J71" s="961"/>
      <c r="K71" s="961"/>
      <c r="L71" s="961"/>
    </row>
    <row r="72" spans="1:12" s="1076" customFormat="1" ht="15.75">
      <c r="A72" s="1079" t="s">
        <v>3180</v>
      </c>
      <c r="B72" s="1080" t="s">
        <v>4743</v>
      </c>
      <c r="C72" s="1080"/>
      <c r="D72" s="1085" t="e">
        <f>'HH1819-Calcs'!C51</f>
        <v>#DIV/0!</v>
      </c>
      <c r="E72" s="961"/>
      <c r="F72" s="961"/>
      <c r="G72" s="961"/>
      <c r="H72" s="961"/>
      <c r="I72" s="961"/>
      <c r="J72" s="961"/>
      <c r="K72" s="961"/>
      <c r="L72" s="961"/>
    </row>
    <row r="73" spans="1:12" s="1076" customFormat="1" ht="18">
      <c r="A73" s="1224" t="s">
        <v>3320</v>
      </c>
      <c r="B73" s="3405" t="s">
        <v>3837</v>
      </c>
      <c r="C73" s="3665"/>
      <c r="D73" s="3677" t="e">
        <f>'SOF1819-SB1'!H81+'HH1819-Calcs'!D26+D72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1609" t="s">
        <v>3876</v>
      </c>
      <c r="C75" s="3644"/>
      <c r="D75" s="3644"/>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'SOF1819-SB1'!H89+'HH1819-Calcs'!D26</f>
        <v>#DIV/0!</v>
      </c>
    </row>
    <row r="81" spans="1:5" ht="15.75">
      <c r="A81" s="1519" t="s">
        <v>3810</v>
      </c>
      <c r="B81" s="1518" t="s">
        <v>3263</v>
      </c>
      <c r="C81" s="1526"/>
      <c r="D81" s="1118" t="e">
        <f>'SOF1819-SB1'!H90</f>
        <v>#DIV/0!</v>
      </c>
    </row>
    <row r="82" spans="1:5" ht="15.75">
      <c r="A82" s="1519" t="s">
        <v>3811</v>
      </c>
      <c r="B82" s="1518" t="s">
        <v>3823</v>
      </c>
      <c r="C82" s="1078"/>
      <c r="D82" s="1118" t="e">
        <f>'SOF1819-SB1'!H91</f>
        <v>#DIV/0!</v>
      </c>
    </row>
    <row r="83" spans="1:5" ht="15.75">
      <c r="A83" s="1519" t="s">
        <v>3812</v>
      </c>
      <c r="B83" s="1518" t="s">
        <v>3824</v>
      </c>
      <c r="C83" s="1078"/>
      <c r="D83" s="1118" t="e">
        <f>'SOF1819-SB1'!H92</f>
        <v>#DIV/0!</v>
      </c>
    </row>
    <row r="84" spans="1:5" ht="15.75">
      <c r="A84" s="1519" t="s">
        <v>3813</v>
      </c>
      <c r="B84" s="1518" t="s">
        <v>3499</v>
      </c>
      <c r="C84" s="1078"/>
      <c r="D84" s="2549">
        <f>'Data Entry - SOF'!G96*-1</f>
        <v>0</v>
      </c>
    </row>
    <row r="85" spans="1:5" ht="15.75">
      <c r="A85" s="1519" t="s">
        <v>3814</v>
      </c>
      <c r="B85" s="1527" t="s">
        <v>3838</v>
      </c>
      <c r="C85" s="1078"/>
      <c r="D85" s="1118" t="e">
        <f>'SOF1819-SB1'!H93+'HH1819-Calcs'!D26</f>
        <v>#DIV/0!</v>
      </c>
    </row>
    <row r="86" spans="1:5" ht="15.75">
      <c r="A86" s="1519" t="s">
        <v>3815</v>
      </c>
      <c r="B86" s="1528" t="s">
        <v>3264</v>
      </c>
      <c r="C86" s="1078"/>
      <c r="D86" s="1118" t="e">
        <f>'SOF1819-SB1'!H94</f>
        <v>#DIV/0!</v>
      </c>
    </row>
    <row r="87" spans="1:5" ht="16.5" thickBot="1">
      <c r="A87" s="1520" t="s">
        <v>3816</v>
      </c>
      <c r="B87" s="1529" t="s">
        <v>3839</v>
      </c>
      <c r="C87" s="1517"/>
      <c r="D87" s="1188" t="e">
        <f>'SOF1819-SB1'!H95+'HH1819-Calcs'!D26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$",Assumptions!G112," Level")</f>
        <v>Recapture at the $514000 Level</v>
      </c>
      <c r="C91" s="1521"/>
      <c r="D91" s="1118" t="e">
        <f>'ASATR-SB1'!I39</f>
        <v>#DIV/0!</v>
      </c>
    </row>
    <row r="92" spans="1:5" ht="15">
      <c r="A92" s="1519" t="s">
        <v>3818</v>
      </c>
      <c r="B92" s="1523" t="str">
        <f>CONCATENATE("Recapture at the $",Assumptions!G71," Level")</f>
        <v>Recapture at the $319500 Level</v>
      </c>
      <c r="C92" s="1521"/>
      <c r="D92" s="1118" t="e">
        <f>IF('Report-Recapture1819'!G141="Y",MIN('Report-Recapture1819'!C141,'Report-Recapture1819'!E141),MAX('Report-Recapture1819'!C141,'Report-Recapture1819'!E141))</f>
        <v>#DIV/0!</v>
      </c>
    </row>
    <row r="93" spans="1:5" ht="15.75">
      <c r="A93" s="1519" t="s">
        <v>3819</v>
      </c>
      <c r="B93" s="1076" t="s">
        <v>8011</v>
      </c>
      <c r="C93" s="1521"/>
      <c r="D93" s="1239" t="e">
        <f>D91+D92</f>
        <v>#DIV/0!</v>
      </c>
    </row>
    <row r="94" spans="1:5" ht="15">
      <c r="A94" s="1519" t="s">
        <v>3820</v>
      </c>
      <c r="B94" s="1523" t="s">
        <v>3487</v>
      </c>
      <c r="C94" s="1521"/>
      <c r="D94" s="2550">
        <f>'Data Entry - SOF'!G96</f>
        <v>0</v>
      </c>
    </row>
    <row r="95" spans="1:5" ht="16.5" thickBot="1">
      <c r="A95" s="1520" t="s">
        <v>3821</v>
      </c>
      <c r="B95" s="3399" t="s">
        <v>7755</v>
      </c>
      <c r="C95" s="1522"/>
      <c r="D95" s="1188" t="e">
        <f>D93+D94</f>
        <v>#DIV/0!</v>
      </c>
    </row>
    <row r="96" spans="1:5" ht="13.5" thickTop="1"/>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4560</v>
      </c>
    </row>
    <row r="6" spans="1:5" ht="15.75">
      <c r="A6" s="1830"/>
      <c r="B6" s="1817" t="s">
        <v>3268</v>
      </c>
      <c r="C6" s="1836" t="s">
        <v>4522</v>
      </c>
      <c r="D6" s="1836" t="s">
        <v>4523</v>
      </c>
      <c r="E6" s="1836" t="s">
        <v>4467</v>
      </c>
    </row>
    <row r="7" spans="1:5" ht="15">
      <c r="A7" s="1816">
        <v>1</v>
      </c>
      <c r="B7" s="1831" t="s">
        <v>4561</v>
      </c>
      <c r="C7" s="1085">
        <f>'Data Entry - SOF'!G48</f>
        <v>0</v>
      </c>
      <c r="D7" s="1085">
        <f>'Data Entry - SOF'!G50</f>
        <v>0</v>
      </c>
      <c r="E7" s="1085">
        <f t="shared" ref="E7:E14" si="0">C7-D7</f>
        <v>0</v>
      </c>
    </row>
    <row r="8" spans="1:5" ht="15">
      <c r="A8" s="1816">
        <v>2</v>
      </c>
      <c r="B8" s="1831" t="s">
        <v>4562</v>
      </c>
      <c r="C8" s="1103">
        <f>'Data Entry - SOF'!G58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4563</v>
      </c>
      <c r="C10" s="1197">
        <f>'Data Entry - SOF'!G59+'Data Entry - SOF'!G60</f>
        <v>0</v>
      </c>
      <c r="D10" s="1197" t="e">
        <f>(('Data Entry - SOF'!G59-IFA!S79)*(D7/C7))+IFA!S79+'Data Entry - SOF'!G60</f>
        <v>#DIV/0!</v>
      </c>
      <c r="E10" s="1085" t="e">
        <f t="shared" si="0"/>
        <v>#DIV/0!</v>
      </c>
    </row>
    <row r="11" spans="1:5" s="1076" customFormat="1" ht="15">
      <c r="A11" s="1816">
        <v>5</v>
      </c>
      <c r="B11" s="1831" t="s">
        <v>4564</v>
      </c>
      <c r="C11" s="1197" t="e">
        <f>C10*IF(C8&lt;C9,1,C9/C8)</f>
        <v>#DIV/0!</v>
      </c>
      <c r="D11" s="1197" t="e">
        <f>D10*IF(D8&lt;D9,1,D9/D8)</f>
        <v>#DIV/0!</v>
      </c>
      <c r="E11" s="1085" t="e">
        <f t="shared" si="0"/>
        <v>#DIV/0!</v>
      </c>
    </row>
    <row r="12" spans="1:5" s="1076" customFormat="1" ht="15">
      <c r="A12" s="1816">
        <v>6</v>
      </c>
      <c r="B12" s="1831" t="s">
        <v>576</v>
      </c>
      <c r="C12" s="1085">
        <f>'Report-SOF1819'!D54</f>
        <v>0</v>
      </c>
      <c r="D12" s="1085">
        <f>'SOF1819-SB1'!M44</f>
        <v>0</v>
      </c>
      <c r="E12" s="1085">
        <f t="shared" si="0"/>
        <v>0</v>
      </c>
    </row>
    <row r="13" spans="1:5" s="1076" customFormat="1" ht="15">
      <c r="A13" s="1816">
        <v>7</v>
      </c>
      <c r="B13" s="1831" t="s">
        <v>4533</v>
      </c>
      <c r="C13" s="1085">
        <f>'Report-SOF1819'!D55</f>
        <v>0</v>
      </c>
      <c r="D13" s="1085">
        <f>'SOF1819-SB1'!M45</f>
        <v>0</v>
      </c>
      <c r="E13" s="1085">
        <f t="shared" si="0"/>
        <v>0</v>
      </c>
    </row>
    <row r="14" spans="1:5" s="1076" customFormat="1" ht="15">
      <c r="A14" s="1816">
        <v>8</v>
      </c>
      <c r="B14" s="1831" t="s">
        <v>4528</v>
      </c>
      <c r="C14" s="1085">
        <f>'Report-SOF1819'!D60</f>
        <v>0</v>
      </c>
      <c r="D14" s="1085">
        <f>'SOF1819-SB1'!M49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'SOF1819-SB1'!K52</f>
        <v>#DIV/0!</v>
      </c>
      <c r="D17" s="1085" t="e">
        <f>'SOF1819-SB1'!M52</f>
        <v>#DIV/0!</v>
      </c>
      <c r="E17" s="1085" t="e">
        <f>C17-D17</f>
        <v>#DIV/0!</v>
      </c>
    </row>
    <row r="18" spans="1:5" s="1076" customFormat="1" ht="15">
      <c r="A18" s="1816">
        <v>11</v>
      </c>
      <c r="B18" s="1831" t="s">
        <v>4535</v>
      </c>
      <c r="C18" s="1085" t="e">
        <f>'SOF1819-SB1'!K53</f>
        <v>#DIV/0!</v>
      </c>
      <c r="D18" s="1085" t="e">
        <f>'SOF1819-SB1'!M53</f>
        <v>#DIV/0!</v>
      </c>
      <c r="E18" s="1085" t="e">
        <f>C18-D18</f>
        <v>#DIV/0!</v>
      </c>
    </row>
    <row r="19" spans="1:5" s="1076" customFormat="1" ht="15">
      <c r="A19" s="1816">
        <v>12</v>
      </c>
      <c r="B19" s="1831" t="s">
        <v>7111</v>
      </c>
      <c r="C19" s="1085">
        <f>IFA!R86</f>
        <v>0</v>
      </c>
      <c r="D19" s="1085">
        <f>IFA!S86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Costs-ASATR'!S57="Y",'Option Costs-ASATR'!U106,'Option Costs-ASATR'!Y106)</f>
        <v>#DIV/0!</v>
      </c>
      <c r="D21" s="1085" t="e">
        <f>IF('Option Costs-15K-ASATR'!S57="Y",'Option Costs-15K-ASATR'!U106,'Option Costs-15K-ASATR'!Y106)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78" t="s">
        <v>4572</v>
      </c>
    </row>
    <row r="33" spans="1:3" ht="15.75">
      <c r="A33" s="1829"/>
      <c r="B33" s="1817" t="s">
        <v>3268</v>
      </c>
      <c r="C33" s="1834"/>
    </row>
    <row r="34" spans="1:3" ht="15">
      <c r="A34" s="1816">
        <v>1</v>
      </c>
      <c r="B34" s="1819" t="s">
        <v>4565</v>
      </c>
      <c r="C34" s="1085">
        <f>'Data Entry - SOF'!G53</f>
        <v>0</v>
      </c>
    </row>
    <row r="35" spans="1:3" ht="15">
      <c r="A35" s="1816">
        <v>2</v>
      </c>
      <c r="B35" s="1819" t="s">
        <v>4735</v>
      </c>
      <c r="C35" s="1085">
        <f>'Data Entry - SOF'!G55</f>
        <v>0</v>
      </c>
    </row>
    <row r="36" spans="1:3" ht="15">
      <c r="A36" s="1816">
        <v>3</v>
      </c>
      <c r="B36" s="1819" t="s">
        <v>4580</v>
      </c>
      <c r="C36" s="1085">
        <f>'Data Entry - SOF'!G74</f>
        <v>0</v>
      </c>
    </row>
    <row r="37" spans="1:3" ht="15.75">
      <c r="A37" s="1832"/>
      <c r="B37" s="1820" t="s">
        <v>4726</v>
      </c>
      <c r="C37" s="1834"/>
    </row>
    <row r="38" spans="1:3" ht="15">
      <c r="A38" s="1816">
        <v>4</v>
      </c>
      <c r="B38" s="2237" t="s">
        <v>4516</v>
      </c>
      <c r="C38" s="1085">
        <f>IFA!P86</f>
        <v>0</v>
      </c>
    </row>
    <row r="39" spans="1:3" ht="15">
      <c r="A39" s="1816">
        <v>5</v>
      </c>
      <c r="B39" s="2237" t="s">
        <v>4517</v>
      </c>
      <c r="C39" s="1085">
        <f>'Existing Debt'!K74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IFA!Q86</f>
        <v>0</v>
      </c>
    </row>
    <row r="45" spans="1:3" ht="15">
      <c r="A45" s="1816">
        <v>10</v>
      </c>
      <c r="B45" s="2237" t="s">
        <v>4519</v>
      </c>
      <c r="C45" s="1085">
        <f>'Existing Debt'!L74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SOF'!G63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J27"/>
  <sheetViews>
    <sheetView workbookViewId="0">
      <selection activeCell="F3" sqref="F3"/>
    </sheetView>
  </sheetViews>
  <sheetFormatPr defaultRowHeight="12.75"/>
  <cols>
    <col min="1" max="1" width="76.140625" customWidth="1"/>
    <col min="2" max="2" width="3.7109375" customWidth="1"/>
    <col min="3" max="5" width="2.7109375" style="72" customWidth="1"/>
    <col min="6" max="6" width="18.7109375" style="72" customWidth="1"/>
    <col min="7" max="7" width="2.7109375" style="72" customWidth="1"/>
    <col min="8" max="8" width="18.7109375" style="72" customWidth="1"/>
    <col min="9" max="9" width="2.7109375" style="72" customWidth="1"/>
    <col min="10" max="10" width="18.7109375" style="72" customWidth="1"/>
  </cols>
  <sheetData>
    <row r="1" spans="1:10" ht="18">
      <c r="A1" s="2491" t="s">
        <v>7319</v>
      </c>
      <c r="B1" s="2023"/>
      <c r="C1" s="2023"/>
      <c r="D1" s="2023"/>
      <c r="E1" s="2023"/>
      <c r="F1" s="2023"/>
      <c r="G1" s="2023"/>
      <c r="H1" s="2023"/>
      <c r="I1" s="2023"/>
      <c r="J1" s="2490"/>
    </row>
    <row r="4" spans="1:10">
      <c r="A4" s="194"/>
      <c r="F4" s="1480" t="s">
        <v>3613</v>
      </c>
      <c r="H4" s="1480" t="s">
        <v>3673</v>
      </c>
      <c r="J4" s="1480" t="s">
        <v>3830</v>
      </c>
    </row>
    <row r="5" spans="1:10">
      <c r="A5" s="2181" t="s">
        <v>4443</v>
      </c>
      <c r="F5" s="1499" t="e">
        <f>'SOF1617-HB3646'!F97</f>
        <v>#DIV/0!</v>
      </c>
      <c r="H5" s="1499" t="e">
        <f>'SOF1718-HB3646'!F97</f>
        <v>#DIV/0!</v>
      </c>
      <c r="J5" s="1499" t="e">
        <f>'SOF1819-HB3646'!F97</f>
        <v>#DIV/0!</v>
      </c>
    </row>
    <row r="6" spans="1:10">
      <c r="A6" s="47" t="s">
        <v>4441</v>
      </c>
      <c r="F6" s="1499"/>
      <c r="H6" s="1499"/>
      <c r="J6" s="1499"/>
    </row>
    <row r="7" spans="1:10">
      <c r="A7" s="47"/>
      <c r="F7" s="1499"/>
      <c r="H7" s="1499"/>
      <c r="J7" s="1499"/>
    </row>
    <row r="8" spans="1:10" hidden="1">
      <c r="A8" s="2181" t="s">
        <v>4444</v>
      </c>
      <c r="F8" s="1786" t="s">
        <v>4486</v>
      </c>
      <c r="H8" s="1786" t="s">
        <v>4486</v>
      </c>
      <c r="J8" s="1786" t="s">
        <v>4486</v>
      </c>
    </row>
    <row r="9" spans="1:10" hidden="1">
      <c r="A9" s="47" t="s">
        <v>4440</v>
      </c>
      <c r="F9" s="1499"/>
      <c r="H9" s="1499"/>
      <c r="J9" s="1499"/>
    </row>
    <row r="10" spans="1:10" hidden="1">
      <c r="A10" s="47"/>
      <c r="F10" s="1499"/>
      <c r="H10" s="1499"/>
      <c r="J10" s="1499"/>
    </row>
    <row r="11" spans="1:10" hidden="1">
      <c r="A11" s="1787" t="s">
        <v>4442</v>
      </c>
      <c r="F11" s="1786" t="s">
        <v>4486</v>
      </c>
      <c r="H11" s="1786" t="s">
        <v>4486</v>
      </c>
      <c r="J11" s="1786" t="s">
        <v>4486</v>
      </c>
    </row>
    <row r="12" spans="1:10" hidden="1">
      <c r="A12" s="47"/>
      <c r="F12" s="1712"/>
      <c r="H12" s="1712"/>
      <c r="J12" s="1712"/>
    </row>
    <row r="13" spans="1:10" hidden="1">
      <c r="A13" s="47"/>
      <c r="F13" s="1712"/>
      <c r="H13" s="1712"/>
      <c r="J13" s="1712"/>
    </row>
    <row r="14" spans="1:10" hidden="1">
      <c r="A14" s="47"/>
      <c r="F14" s="194"/>
      <c r="H14" s="194"/>
      <c r="J14" s="194"/>
    </row>
    <row r="15" spans="1:10" hidden="1">
      <c r="A15" s="2181" t="s">
        <v>4487</v>
      </c>
      <c r="F15" s="1786" t="s">
        <v>4486</v>
      </c>
      <c r="H15" s="1786" t="s">
        <v>4486</v>
      </c>
      <c r="J15" s="1786" t="s">
        <v>4486</v>
      </c>
    </row>
    <row r="16" spans="1:10" hidden="1">
      <c r="A16" s="47" t="s">
        <v>4438</v>
      </c>
      <c r="F16" s="1501"/>
      <c r="H16" s="1501"/>
      <c r="J16" s="1501"/>
    </row>
    <row r="17" spans="1:10" hidden="1">
      <c r="A17" s="47"/>
      <c r="F17" s="194"/>
      <c r="H17" s="194"/>
      <c r="J17" s="194"/>
    </row>
    <row r="18" spans="1:10" hidden="1">
      <c r="A18" s="2181" t="s">
        <v>4439</v>
      </c>
      <c r="F18" s="1786" t="s">
        <v>4486</v>
      </c>
      <c r="H18" s="1786" t="s">
        <v>4486</v>
      </c>
      <c r="J18" s="1786" t="s">
        <v>4486</v>
      </c>
    </row>
    <row r="19" spans="1:10" hidden="1">
      <c r="A19" s="71"/>
      <c r="F19" s="1714"/>
      <c r="H19" s="1714"/>
      <c r="J19" s="1714"/>
    </row>
    <row r="20" spans="1:10" hidden="1">
      <c r="A20" s="1787" t="s">
        <v>4488</v>
      </c>
      <c r="F20" s="1786" t="s">
        <v>4486</v>
      </c>
      <c r="H20" s="1786" t="s">
        <v>4486</v>
      </c>
      <c r="J20" s="1786" t="s">
        <v>4486</v>
      </c>
    </row>
    <row r="21" spans="1:10" hidden="1">
      <c r="A21" s="47" t="s">
        <v>4489</v>
      </c>
    </row>
    <row r="22" spans="1:10" hidden="1">
      <c r="A22" s="71"/>
    </row>
    <row r="23" spans="1:10">
      <c r="A23" s="71"/>
    </row>
    <row r="24" spans="1:10">
      <c r="A24" s="2181" t="s">
        <v>7320</v>
      </c>
      <c r="F24" s="1713" t="e">
        <f>'Report-SOF1617'!D87</f>
        <v>#DIV/0!</v>
      </c>
      <c r="H24" s="1713" t="e">
        <f>'Report-SOF1718'!D87</f>
        <v>#DIV/0!</v>
      </c>
      <c r="J24" s="1713" t="e">
        <f>'Report-SOF1819'!D87</f>
        <v>#DIV/0!</v>
      </c>
    </row>
    <row r="25" spans="1:10">
      <c r="A25" s="71"/>
    </row>
    <row r="26" spans="1:10">
      <c r="A26" s="1787" t="s">
        <v>7321</v>
      </c>
      <c r="F26" s="1788" t="e">
        <f>F24-F5</f>
        <v>#DIV/0!</v>
      </c>
      <c r="H26" s="1788" t="e">
        <f>H24-H5</f>
        <v>#DIV/0!</v>
      </c>
      <c r="J26" s="1788" t="e">
        <f>J24-J5</f>
        <v>#DIV/0!</v>
      </c>
    </row>
    <row r="27" spans="1:10">
      <c r="A27" s="47" t="s">
        <v>4490</v>
      </c>
    </row>
  </sheetData>
  <sheetProtection sheet="1" objects="1" scenarios="1"/>
  <phoneticPr fontId="25" type="noConversion"/>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2" sqref="C2"/>
    </sheetView>
  </sheetViews>
  <sheetFormatPr defaultRowHeight="12.75"/>
  <cols>
    <col min="1" max="1" width="74.85546875" customWidth="1"/>
    <col min="2" max="2" width="12.28515625" customWidth="1"/>
    <col min="3" max="3" width="19" customWidth="1"/>
    <col min="4" max="4" width="5.140625" customWidth="1"/>
    <col min="5" max="5" width="10.7109375" hidden="1" customWidth="1"/>
  </cols>
  <sheetData>
    <row r="1" spans="1:113">
      <c r="A1" s="47" t="s">
        <v>2881</v>
      </c>
      <c r="B1" s="158"/>
      <c r="C1" s="1779" t="str">
        <f>'EffectiveM&amp;ORate1819'!F1</f>
        <v>84th/85th Legislative Session</v>
      </c>
    </row>
    <row r="2" spans="1:113">
      <c r="A2" s="47" t="s">
        <v>7832</v>
      </c>
      <c r="C2" s="98" t="str">
        <f>'EffectiveM&amp;ORate1819'!F2</f>
        <v>Release 2</v>
      </c>
    </row>
    <row r="3" spans="1:113">
      <c r="A3" s="97"/>
      <c r="C3" s="82">
        <f>'EffectiveM&amp;ORate1819'!F3</f>
        <v>43145</v>
      </c>
    </row>
    <row r="5" spans="1:113" ht="13.5" thickBot="1">
      <c r="A5" s="1207" t="s">
        <v>3457</v>
      </c>
    </row>
    <row r="6" spans="1:113">
      <c r="A6" s="902" t="s">
        <v>7853</v>
      </c>
      <c r="B6" s="901"/>
      <c r="C6" s="1211">
        <f>'Data Entry - SOF'!E62</f>
        <v>0</v>
      </c>
    </row>
    <row r="7" spans="1:113" s="1053" customFormat="1">
      <c r="A7" s="900" t="s">
        <v>7318</v>
      </c>
      <c r="B7" s="158"/>
      <c r="C7" s="1210">
        <f>'Data Entry - SOF'!G105</f>
        <v>0</v>
      </c>
      <c r="D7" s="17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77" customFormat="1">
      <c r="A8" s="900" t="s">
        <v>7315</v>
      </c>
      <c r="B8" s="158"/>
      <c r="C8" s="2429">
        <f>'Data Entry - SOF'!E60</f>
        <v>0</v>
      </c>
    </row>
    <row r="9" spans="1:113" s="177" customFormat="1">
      <c r="A9" s="900" t="s">
        <v>7854</v>
      </c>
      <c r="B9" s="158"/>
      <c r="C9" s="1212">
        <f>'Data Entry - SOF'!E58</f>
        <v>0</v>
      </c>
      <c r="F9" s="377"/>
    </row>
    <row r="10" spans="1:113" s="177" customFormat="1">
      <c r="A10" s="900" t="s">
        <v>7855</v>
      </c>
      <c r="B10" s="158"/>
      <c r="C10" s="1210">
        <f>'Data Entry - SOF'!E59</f>
        <v>0</v>
      </c>
      <c r="F10" s="377"/>
    </row>
    <row r="11" spans="1:113" s="177" customFormat="1">
      <c r="A11" s="900" t="s">
        <v>7856</v>
      </c>
      <c r="B11" s="158"/>
      <c r="C11" s="2454" t="e">
        <f>IF(FracFunding1718!E24&lt;=0,'Calc Data-SB1'!D30,'Calc Data-SB1'!AF32)</f>
        <v>#DIV/0!</v>
      </c>
      <c r="F11" s="377"/>
    </row>
    <row r="12" spans="1:113" s="177" customFormat="1">
      <c r="A12" s="900" t="s">
        <v>7857</v>
      </c>
      <c r="B12" s="158"/>
      <c r="C12" s="1210">
        <f>'Data Entry - SOF'!E63</f>
        <v>0</v>
      </c>
      <c r="F12" s="377"/>
    </row>
    <row r="13" spans="1:113" s="177" customFormat="1">
      <c r="A13" s="2430" t="s">
        <v>7858</v>
      </c>
      <c r="B13" s="158"/>
      <c r="C13" s="2454" t="e">
        <f>IF(FracFunding1718!E24&lt;=0,'ASATR-SB1'!G30,'ASATR-SB1'!G45)</f>
        <v>#DIV/0!</v>
      </c>
      <c r="F13" s="377"/>
    </row>
    <row r="14" spans="1:113" s="177" customFormat="1" hidden="1">
      <c r="A14" s="900" t="s">
        <v>7859</v>
      </c>
      <c r="B14" s="158"/>
      <c r="C14" s="1210">
        <v>0</v>
      </c>
      <c r="F14" s="377"/>
    </row>
    <row r="15" spans="1:113" s="177" customFormat="1">
      <c r="A15" s="900" t="s">
        <v>7860</v>
      </c>
      <c r="B15" s="158"/>
      <c r="C15" s="1210" t="e">
        <f>'Report-T2Detail1718'!D16</f>
        <v>#DIV/0!</v>
      </c>
      <c r="F15" s="377"/>
    </row>
    <row r="16" spans="1:113" s="177" customFormat="1">
      <c r="A16" s="900" t="s">
        <v>7306</v>
      </c>
      <c r="B16" s="158"/>
      <c r="C16" s="1210" t="e">
        <f>'Report-T2Detail1718'!D22</f>
        <v>#DIV/0!</v>
      </c>
      <c r="F16" s="377"/>
    </row>
    <row r="17" spans="1:6" s="177" customFormat="1">
      <c r="A17" s="900" t="s">
        <v>7861</v>
      </c>
      <c r="B17" s="158"/>
      <c r="C17" s="1209">
        <f>'Calc Data-SB1'!D7</f>
        <v>0</v>
      </c>
      <c r="F17" s="377"/>
    </row>
    <row r="18" spans="1:6" s="177" customFormat="1">
      <c r="A18" s="900" t="s">
        <v>7862</v>
      </c>
      <c r="B18" s="158"/>
      <c r="C18" s="1210">
        <f>IFA!L86+IFA!N86</f>
        <v>0</v>
      </c>
      <c r="F18" s="377"/>
    </row>
    <row r="19" spans="1:6" s="177" customFormat="1">
      <c r="A19" s="900" t="s">
        <v>7317</v>
      </c>
      <c r="B19" s="158"/>
      <c r="C19" s="1210">
        <f>'Existing Debt'!I74</f>
        <v>0</v>
      </c>
      <c r="F19" s="377"/>
    </row>
    <row r="20" spans="1:6" s="177" customFormat="1">
      <c r="A20" s="900" t="s">
        <v>7863</v>
      </c>
      <c r="B20" s="158"/>
      <c r="C20" s="1210" t="e">
        <f>IF(FracFunding1718!E24&lt;=0,'ASATR-SB1'!G24,'ASATR-SB1'!G39)</f>
        <v>#DIV/0!</v>
      </c>
      <c r="F20" s="377"/>
    </row>
    <row r="21" spans="1:6" s="177" customFormat="1">
      <c r="A21" s="900" t="s">
        <v>7833</v>
      </c>
      <c r="B21" s="158"/>
      <c r="C21" s="1212">
        <f>'Data Entry - SOF'!G62</f>
        <v>0</v>
      </c>
      <c r="D21" s="1208"/>
      <c r="E21" s="899"/>
      <c r="F21" s="899"/>
    </row>
    <row r="22" spans="1:6" s="177" customFormat="1">
      <c r="A22" s="900" t="s">
        <v>7834</v>
      </c>
      <c r="B22" s="158"/>
      <c r="C22" s="2435">
        <f>'Data Entry - SOF'!G102</f>
        <v>0</v>
      </c>
      <c r="D22"/>
      <c r="E22" s="899"/>
      <c r="F22" s="899"/>
    </row>
    <row r="23" spans="1:6" s="177" customFormat="1">
      <c r="A23" s="900" t="s">
        <v>7835</v>
      </c>
      <c r="B23" s="158"/>
      <c r="C23" s="2431">
        <f>'Data Entry - SOF'!G63</f>
        <v>0</v>
      </c>
      <c r="E23" s="177" t="s">
        <v>7864</v>
      </c>
    </row>
    <row r="24" spans="1:6" s="177" customFormat="1">
      <c r="A24" s="900" t="s">
        <v>7836</v>
      </c>
      <c r="B24" s="158"/>
      <c r="C24" s="2431">
        <f>'Data Entry - SOF'!G60</f>
        <v>0</v>
      </c>
      <c r="E24" s="177" t="s">
        <v>7865</v>
      </c>
    </row>
    <row r="25" spans="1:6" s="177" customFormat="1" ht="13.5" thickBot="1">
      <c r="A25" s="2432" t="s">
        <v>7837</v>
      </c>
      <c r="B25" s="2433"/>
      <c r="C25" s="2434">
        <f>'Data Entry - SOF'!G73</f>
        <v>0</v>
      </c>
    </row>
    <row r="26" spans="1:6" s="1053" customFormat="1" hidden="1"/>
    <row r="27" spans="1:6" s="1053" customFormat="1" hidden="1">
      <c r="A27" s="1065" t="s">
        <v>2060</v>
      </c>
      <c r="C27" s="1066"/>
    </row>
    <row r="28" spans="1:6" s="1053" customFormat="1" hidden="1">
      <c r="A28" s="1067" t="s">
        <v>395</v>
      </c>
      <c r="C28" s="1066"/>
    </row>
    <row r="29" spans="1:6" s="1053" customFormat="1" hidden="1">
      <c r="A29" s="1067" t="s">
        <v>396</v>
      </c>
      <c r="C29" s="1066"/>
    </row>
    <row r="30" spans="1:6" s="1053" customFormat="1" hidden="1">
      <c r="A30" s="1053" t="s">
        <v>7838</v>
      </c>
      <c r="C30" s="1068">
        <v>2153.6520999999998</v>
      </c>
      <c r="E30" s="1053" t="s">
        <v>7866</v>
      </c>
    </row>
    <row r="31" spans="1:6" s="1053" customFormat="1" hidden="1">
      <c r="C31" s="1066"/>
    </row>
    <row r="32" spans="1:6" s="1053" customFormat="1" hidden="1">
      <c r="A32" s="1067" t="s">
        <v>2059</v>
      </c>
      <c r="C32" s="1066"/>
    </row>
    <row r="33" spans="1:5" s="1053" customFormat="1" hidden="1">
      <c r="A33" s="1053" t="s">
        <v>7839</v>
      </c>
      <c r="C33" s="1069" t="e">
        <f>#REF!</f>
        <v>#REF!</v>
      </c>
    </row>
    <row r="34" spans="1:5" s="1053" customFormat="1" hidden="1">
      <c r="A34" s="1053" t="s">
        <v>7840</v>
      </c>
      <c r="C34" s="1069" t="e">
        <f>#REF!</f>
        <v>#REF!</v>
      </c>
    </row>
    <row r="35" spans="1:5" s="1053" customFormat="1" hidden="1">
      <c r="A35" s="1053" t="s">
        <v>7841</v>
      </c>
      <c r="C35" s="1072">
        <v>0</v>
      </c>
      <c r="E35" s="1053" t="s">
        <v>2938</v>
      </c>
    </row>
    <row r="36" spans="1:5" s="1053" customFormat="1" hidden="1">
      <c r="A36" s="1053" t="s">
        <v>3744</v>
      </c>
      <c r="C36" s="1069" t="e">
        <f>'EffectiveM&amp;ORate1819'!#REF!</f>
        <v>#REF!</v>
      </c>
    </row>
    <row r="37" spans="1:5" s="1053" customFormat="1" hidden="1">
      <c r="A37" s="1053" t="s">
        <v>7842</v>
      </c>
      <c r="C37" s="1070" t="e">
        <f>'Data Entry - SOF'!#REF!</f>
        <v>#REF!</v>
      </c>
    </row>
    <row r="38" spans="1:5" s="1053" customFormat="1" hidden="1">
      <c r="A38" s="1053" t="s">
        <v>7843</v>
      </c>
      <c r="C38" s="1070" t="e">
        <f>'Calc Data-SB1'!#REF!</f>
        <v>#REF!</v>
      </c>
      <c r="E38" s="1053" t="s">
        <v>7867</v>
      </c>
    </row>
    <row r="39" spans="1:5" s="1053" customFormat="1" hidden="1">
      <c r="A39" s="1053" t="s">
        <v>7844</v>
      </c>
      <c r="C39" s="1071" t="e">
        <f>'Calc Data-SB1'!#REF!</f>
        <v>#REF!</v>
      </c>
      <c r="E39" s="1053" t="s">
        <v>7868</v>
      </c>
    </row>
    <row r="40" spans="1:5" s="1053" customFormat="1" hidden="1">
      <c r="A40" s="1053" t="s">
        <v>7845</v>
      </c>
      <c r="C40" s="1069" t="e">
        <f>'Data Entry - SOF'!#REF!</f>
        <v>#REF!</v>
      </c>
      <c r="E40" s="1053" t="s">
        <v>7869</v>
      </c>
    </row>
    <row r="41" spans="1:5" s="1053" customFormat="1" hidden="1">
      <c r="A41" s="1053" t="s">
        <v>7846</v>
      </c>
      <c r="C41" s="1069" t="e">
        <f>IFA!#REF!</f>
        <v>#REF!</v>
      </c>
      <c r="E41" s="1053" t="s">
        <v>7870</v>
      </c>
    </row>
    <row r="42" spans="1:5" s="1053" customFormat="1" hidden="1">
      <c r="A42" s="1053" t="s">
        <v>7847</v>
      </c>
      <c r="C42" s="1069" t="e">
        <f>IFA!#REF!</f>
        <v>#REF!</v>
      </c>
      <c r="E42" s="1053" t="s">
        <v>7871</v>
      </c>
    </row>
    <row r="43" spans="1:5" s="1053" customFormat="1" hidden="1">
      <c r="A43" s="1053" t="s">
        <v>7848</v>
      </c>
      <c r="C43" s="1069" t="e">
        <f>'Existing Debt'!#REF!</f>
        <v>#REF!</v>
      </c>
      <c r="E43" s="1053" t="s">
        <v>7872</v>
      </c>
    </row>
    <row r="44" spans="1:5" s="1053" customFormat="1" hidden="1">
      <c r="A44" s="1053" t="s">
        <v>7849</v>
      </c>
      <c r="C44" s="1069" t="e">
        <f>'Calc Data-SB1'!#REF!</f>
        <v>#REF!</v>
      </c>
      <c r="E44" s="1053" t="s">
        <v>7873</v>
      </c>
    </row>
    <row r="45" spans="1:5" s="1053" customFormat="1" hidden="1">
      <c r="A45" s="1053" t="s">
        <v>7850</v>
      </c>
      <c r="C45" s="1069" t="e">
        <f>'Data Entry - SOF'!#REF!</f>
        <v>#REF!</v>
      </c>
      <c r="E45" s="1053" t="s">
        <v>3047</v>
      </c>
    </row>
    <row r="46" spans="1:5" s="1053" customFormat="1" hidden="1">
      <c r="A46" s="1053" t="s">
        <v>7851</v>
      </c>
      <c r="C46" s="1073" t="e">
        <f>#REF!</f>
        <v>#REF!</v>
      </c>
      <c r="E46" s="1053" t="s">
        <v>7874</v>
      </c>
    </row>
    <row r="47" spans="1:5" s="1053" customFormat="1" hidden="1">
      <c r="A47" s="1053" t="s">
        <v>7852</v>
      </c>
      <c r="C47" s="1069"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93"/>
  <sheetViews>
    <sheetView topLeftCell="A63" workbookViewId="0">
      <selection activeCell="D93" sqref="D93"/>
    </sheetView>
  </sheetViews>
  <sheetFormatPr defaultRowHeight="12.75"/>
  <cols>
    <col min="1" max="1" width="5.7109375" customWidth="1"/>
    <col min="2" max="2" width="75.7109375" customWidth="1"/>
    <col min="3" max="3" width="13.28515625" customWidth="1"/>
    <col min="4" max="4" width="17.5703125" customWidth="1"/>
    <col min="5" max="5" width="18.5703125" customWidth="1"/>
    <col min="6" max="6" width="23.140625" customWidth="1"/>
  </cols>
  <sheetData>
    <row r="1" spans="1:4">
      <c r="A1" s="47" t="s">
        <v>1433</v>
      </c>
      <c r="C1" s="158"/>
      <c r="D1" s="1779" t="str">
        <f>'Data - Notice1819'!C1</f>
        <v>84th/85th Legislative Session</v>
      </c>
    </row>
    <row r="2" spans="1:4">
      <c r="A2" s="47" t="s">
        <v>0</v>
      </c>
      <c r="D2" s="98" t="str">
        <f>'Data - Notice1819'!C2</f>
        <v>Release 2</v>
      </c>
    </row>
    <row r="3" spans="1:4" hidden="1">
      <c r="A3" s="287" t="s">
        <v>2489</v>
      </c>
      <c r="B3" s="288"/>
      <c r="D3" s="82"/>
    </row>
    <row r="4" spans="1:4" hidden="1">
      <c r="A4" s="289" t="s">
        <v>1927</v>
      </c>
      <c r="B4" s="290"/>
      <c r="D4" s="98"/>
    </row>
    <row r="5" spans="1:4" ht="13.5" hidden="1" thickBot="1">
      <c r="A5" s="291" t="s">
        <v>1928</v>
      </c>
      <c r="B5" s="292"/>
      <c r="D5" s="98"/>
    </row>
    <row r="6" spans="1:4">
      <c r="A6" s="97"/>
      <c r="D6" s="82">
        <f>'Data - Notice1819'!C3</f>
        <v>43145</v>
      </c>
    </row>
    <row r="9" spans="1:4">
      <c r="A9" s="283" t="s">
        <v>1537</v>
      </c>
      <c r="B9" s="58"/>
    </row>
    <row r="10" spans="1:4">
      <c r="A10" t="s">
        <v>2501</v>
      </c>
      <c r="B10" s="99" t="s">
        <v>2812</v>
      </c>
      <c r="D10" s="285">
        <f>'Data Entry - SOF'!C58</f>
        <v>0</v>
      </c>
    </row>
    <row r="11" spans="1:4">
      <c r="D11" s="278"/>
    </row>
    <row r="12" spans="1:4">
      <c r="A12" t="s">
        <v>2502</v>
      </c>
      <c r="B12" s="99" t="s">
        <v>2351</v>
      </c>
      <c r="D12" s="285" t="e">
        <f>'EffectiveM&amp;ORate1819'!F112</f>
        <v>#DIV/0!</v>
      </c>
    </row>
    <row r="13" spans="1:4">
      <c r="B13" s="99" t="s">
        <v>2352</v>
      </c>
      <c r="D13" s="278"/>
    </row>
    <row r="15" spans="1:4">
      <c r="A15" s="283" t="s">
        <v>826</v>
      </c>
      <c r="B15" s="284"/>
    </row>
    <row r="16" spans="1:4">
      <c r="A16" t="s">
        <v>1024</v>
      </c>
      <c r="B16" s="99" t="s">
        <v>2812</v>
      </c>
      <c r="D16" s="285">
        <f>'Data Entry - SOF'!E62</f>
        <v>0</v>
      </c>
    </row>
    <row r="17" spans="1:4">
      <c r="D17" s="278"/>
    </row>
    <row r="18" spans="1:4">
      <c r="A18" t="s">
        <v>1025</v>
      </c>
      <c r="B18" s="99" t="s">
        <v>548</v>
      </c>
      <c r="D18" s="278"/>
    </row>
    <row r="19" spans="1:4">
      <c r="B19" s="99" t="s">
        <v>2352</v>
      </c>
      <c r="D19" s="278"/>
    </row>
    <row r="20" spans="1:4">
      <c r="A20" t="s">
        <v>549</v>
      </c>
      <c r="B20" t="s">
        <v>7837</v>
      </c>
      <c r="D20" s="280">
        <f>'Data Entry - SOF'!G73</f>
        <v>0</v>
      </c>
    </row>
    <row r="21" spans="1:4">
      <c r="A21" t="s">
        <v>550</v>
      </c>
      <c r="B21" t="s">
        <v>7875</v>
      </c>
      <c r="D21" s="280">
        <f>IFA!P86</f>
        <v>0</v>
      </c>
    </row>
    <row r="22" spans="1:4">
      <c r="A22" t="s">
        <v>551</v>
      </c>
      <c r="B22" t="s">
        <v>7848</v>
      </c>
      <c r="D22" s="280">
        <f>'Existing Debt'!K74</f>
        <v>0</v>
      </c>
    </row>
    <row r="23" spans="1:4">
      <c r="A23" t="s">
        <v>552</v>
      </c>
      <c r="B23" t="s">
        <v>6872</v>
      </c>
      <c r="D23" s="280">
        <f>'Data Entry - SOF'!G105</f>
        <v>0</v>
      </c>
    </row>
    <row r="24" spans="1:4">
      <c r="A24" t="s">
        <v>553</v>
      </c>
      <c r="B24" t="s">
        <v>1115</v>
      </c>
      <c r="D24" s="280">
        <f>D20-D21-D22-D23</f>
        <v>0</v>
      </c>
    </row>
    <row r="25" spans="1:4">
      <c r="A25" t="s">
        <v>1116</v>
      </c>
      <c r="B25" t="s">
        <v>1117</v>
      </c>
      <c r="D25" s="281">
        <f>'Data Entry - SOF'!G102</f>
        <v>0</v>
      </c>
    </row>
    <row r="26" spans="1:4">
      <c r="A26" t="s">
        <v>1118</v>
      </c>
      <c r="B26" t="s">
        <v>1119</v>
      </c>
      <c r="D26" s="280">
        <f>IF(D25=0,0,D24/D25)</f>
        <v>0</v>
      </c>
    </row>
    <row r="27" spans="1:4">
      <c r="A27" t="s">
        <v>1120</v>
      </c>
      <c r="B27" t="s">
        <v>7898</v>
      </c>
      <c r="D27" s="280">
        <f>IF('Data Entry - SOF'!G104=0,'Data Entry - SOF'!G103,'Data Entry - SOF'!G104)</f>
        <v>0</v>
      </c>
    </row>
    <row r="28" spans="1:4">
      <c r="A28" t="s">
        <v>1121</v>
      </c>
      <c r="B28" s="99" t="s">
        <v>2351</v>
      </c>
      <c r="D28" s="285">
        <f>IF(D26=0,0,(D26/D27)*100)</f>
        <v>0</v>
      </c>
    </row>
    <row r="29" spans="1:4">
      <c r="B29" s="99" t="s">
        <v>1122</v>
      </c>
      <c r="D29" s="278"/>
    </row>
    <row r="30" spans="1:4">
      <c r="D30" s="278"/>
    </row>
    <row r="31" spans="1:4">
      <c r="A31" t="s">
        <v>1027</v>
      </c>
      <c r="B31" s="99" t="s">
        <v>917</v>
      </c>
      <c r="D31" s="285">
        <f>'Data Entry - SOF'!G62</f>
        <v>0</v>
      </c>
    </row>
    <row r="33" spans="1:4">
      <c r="A33" s="283" t="s">
        <v>2833</v>
      </c>
      <c r="B33" s="284"/>
    </row>
    <row r="34" spans="1:4">
      <c r="A34" t="s">
        <v>1028</v>
      </c>
      <c r="B34" s="99" t="s">
        <v>2834</v>
      </c>
    </row>
    <row r="35" spans="1:4">
      <c r="A35" t="s">
        <v>2835</v>
      </c>
      <c r="B35" t="s">
        <v>7891</v>
      </c>
      <c r="D35" s="280" t="e">
        <f>'Data - Notice1819'!C10-'Data - Notice1819'!C20-IF('Option Costs-HB3646'!O57="Y",MIN('Option Costs-HB3646'!O54,'Option Costs-HB3646'!Q54),MAX('Option Costs-HB3646'!_oG54,'Option Costs-HB3646'!Q54))</f>
        <v>#DIV/0!</v>
      </c>
    </row>
    <row r="36" spans="1:4">
      <c r="A36" t="s">
        <v>2836</v>
      </c>
      <c r="B36" t="s">
        <v>7857</v>
      </c>
      <c r="D36" s="280">
        <f>'Data Entry - SOF'!E63</f>
        <v>0</v>
      </c>
    </row>
    <row r="37" spans="1:4" hidden="1">
      <c r="A37" t="s">
        <v>2837</v>
      </c>
      <c r="B37" t="s">
        <v>7315</v>
      </c>
      <c r="D37" s="280" t="e">
        <f>'Data - Notice1819'!#REF!</f>
        <v>#REF!</v>
      </c>
    </row>
    <row r="38" spans="1:4">
      <c r="A38" t="s">
        <v>2837</v>
      </c>
      <c r="B38" t="s">
        <v>7892</v>
      </c>
      <c r="D38" s="280" t="e">
        <f>D35+D36</f>
        <v>#DIV/0!</v>
      </c>
    </row>
    <row r="39" spans="1:4">
      <c r="A39" t="s">
        <v>2838</v>
      </c>
      <c r="B39" t="s">
        <v>7316</v>
      </c>
      <c r="D39" s="282">
        <f>'Data - Notice1819'!C17</f>
        <v>0</v>
      </c>
    </row>
    <row r="40" spans="1:4">
      <c r="A40" t="s">
        <v>3105</v>
      </c>
      <c r="B40" s="99" t="s">
        <v>840</v>
      </c>
      <c r="D40" s="280" t="e">
        <f>D38/D39</f>
        <v>#DIV/0!</v>
      </c>
    </row>
    <row r="41" spans="1:4">
      <c r="D41" s="278"/>
    </row>
    <row r="42" spans="1:4">
      <c r="A42" t="s">
        <v>1029</v>
      </c>
      <c r="B42" s="99" t="s">
        <v>2351</v>
      </c>
      <c r="D42" s="278"/>
    </row>
    <row r="43" spans="1:4">
      <c r="B43" s="99" t="s">
        <v>1468</v>
      </c>
      <c r="D43" s="278"/>
    </row>
    <row r="44" spans="1:4">
      <c r="A44" t="s">
        <v>1469</v>
      </c>
      <c r="B44" t="s">
        <v>7876</v>
      </c>
      <c r="D44" s="280" t="e">
        <f>'EffectiveM&amp;ORate1819'!F43-'ASATR-SB1'!I37-'Report-SOF1819'!D61</f>
        <v>#DIV/0!</v>
      </c>
    </row>
    <row r="45" spans="1:4">
      <c r="A45" t="s">
        <v>1470</v>
      </c>
      <c r="B45" t="s">
        <v>7877</v>
      </c>
      <c r="D45" s="280">
        <f>D24</f>
        <v>0</v>
      </c>
    </row>
    <row r="46" spans="1:4">
      <c r="A46" t="s">
        <v>1471</v>
      </c>
      <c r="B46" t="s">
        <v>7878</v>
      </c>
      <c r="D46" s="280" t="e">
        <f>D44+D45</f>
        <v>#DIV/0!</v>
      </c>
    </row>
    <row r="47" spans="1:4">
      <c r="A47" t="s">
        <v>1472</v>
      </c>
      <c r="B47" t="s">
        <v>7843</v>
      </c>
      <c r="D47" s="414">
        <f>'Calc Data-SB1'!E7</f>
        <v>0</v>
      </c>
    </row>
    <row r="48" spans="1:4">
      <c r="A48" t="s">
        <v>1473</v>
      </c>
      <c r="B48" s="99" t="s">
        <v>1474</v>
      </c>
      <c r="D48" s="280" t="e">
        <f>D46/D47</f>
        <v>#DIV/0!</v>
      </c>
    </row>
    <row r="49" spans="1:4">
      <c r="B49" s="99" t="s">
        <v>1861</v>
      </c>
      <c r="D49" s="278"/>
    </row>
    <row r="50" spans="1:4">
      <c r="D50" s="278"/>
    </row>
    <row r="51" spans="1:4">
      <c r="A51" t="s">
        <v>139</v>
      </c>
      <c r="B51" s="99" t="s">
        <v>1862</v>
      </c>
      <c r="D51" s="278"/>
    </row>
    <row r="52" spans="1:4">
      <c r="A52" t="s">
        <v>1863</v>
      </c>
      <c r="B52" t="s">
        <v>7879</v>
      </c>
      <c r="D52" s="280" t="e">
        <f>'Data Entry - SOF'!G59-'ASATR-SB1'!I39-IF('Option Costs-HB3646'!W57="Y",MIN('Option Costs-HB3646'!W85,'Option Costs-HB3646'!Y85),MAX('Option Costs-HB3646'!W85,'Option Costs-HB3646'!Y85))</f>
        <v>#DIV/0!</v>
      </c>
    </row>
    <row r="53" spans="1:4">
      <c r="A53" t="s">
        <v>1864</v>
      </c>
      <c r="B53" t="s">
        <v>7880</v>
      </c>
      <c r="D53" s="280">
        <f>'Data - Notice1819'!C23</f>
        <v>0</v>
      </c>
    </row>
    <row r="54" spans="1:4" hidden="1">
      <c r="A54" t="s">
        <v>1865</v>
      </c>
      <c r="B54" t="s">
        <v>7881</v>
      </c>
      <c r="D54" s="280" t="e">
        <f>'Data - Notice1819'!#REF!</f>
        <v>#REF!</v>
      </c>
    </row>
    <row r="55" spans="1:4">
      <c r="A55" t="s">
        <v>1865</v>
      </c>
      <c r="B55" t="s">
        <v>7882</v>
      </c>
      <c r="D55" s="280" t="e">
        <f>D52+D53</f>
        <v>#DIV/0!</v>
      </c>
    </row>
    <row r="56" spans="1:4">
      <c r="A56" t="s">
        <v>1866</v>
      </c>
      <c r="B56" t="s">
        <v>7883</v>
      </c>
      <c r="D56" s="414">
        <f>D47</f>
        <v>0</v>
      </c>
    </row>
    <row r="57" spans="1:4">
      <c r="A57" t="s">
        <v>1867</v>
      </c>
      <c r="B57" s="99" t="s">
        <v>841</v>
      </c>
      <c r="D57" s="280" t="e">
        <f>D55/D56</f>
        <v>#DIV/0!</v>
      </c>
    </row>
    <row r="59" spans="1:4">
      <c r="A59" s="283" t="s">
        <v>647</v>
      </c>
      <c r="B59" s="58"/>
    </row>
    <row r="60" spans="1:4">
      <c r="A60" t="s">
        <v>140</v>
      </c>
      <c r="B60" s="99" t="s">
        <v>2834</v>
      </c>
    </row>
    <row r="61" spans="1:4">
      <c r="A61" t="s">
        <v>648</v>
      </c>
      <c r="B61" s="940" t="s">
        <v>3882</v>
      </c>
      <c r="D61" s="286">
        <f>'Report-SOF1718'!D60</f>
        <v>0</v>
      </c>
    </row>
    <row r="62" spans="1:4">
      <c r="A62" t="s">
        <v>649</v>
      </c>
      <c r="B62" s="2514" t="s">
        <v>7893</v>
      </c>
      <c r="D62" s="286" t="e">
        <f>'Report-ASATR1718'!C28</f>
        <v>#DIV/0!</v>
      </c>
    </row>
    <row r="63" spans="1:4">
      <c r="A63" t="s">
        <v>650</v>
      </c>
      <c r="B63" t="s">
        <v>7894</v>
      </c>
      <c r="D63" s="286" t="e">
        <f>'Data - Notice1819'!C15</f>
        <v>#DIV/0!</v>
      </c>
    </row>
    <row r="64" spans="1:4">
      <c r="A64" t="s">
        <v>651</v>
      </c>
      <c r="B64" t="s">
        <v>7895</v>
      </c>
      <c r="D64" s="286" t="e">
        <f>'Data - Notice1819'!C16</f>
        <v>#DIV/0!</v>
      </c>
    </row>
    <row r="65" spans="1:5">
      <c r="A65" t="s">
        <v>652</v>
      </c>
      <c r="B65" t="s">
        <v>7862</v>
      </c>
      <c r="D65" s="280">
        <f>'Data - Notice1819'!C18</f>
        <v>0</v>
      </c>
    </row>
    <row r="66" spans="1:5">
      <c r="A66" t="s">
        <v>653</v>
      </c>
      <c r="B66" t="s">
        <v>7317</v>
      </c>
      <c r="D66" s="280">
        <f>'Data - Notice1819'!C19</f>
        <v>0</v>
      </c>
    </row>
    <row r="67" spans="1:5" hidden="1">
      <c r="A67" t="s">
        <v>654</v>
      </c>
      <c r="B67" t="s">
        <v>7896</v>
      </c>
      <c r="D67" s="286">
        <f>'Data - Notice1819'!C14</f>
        <v>0</v>
      </c>
    </row>
    <row r="68" spans="1:5">
      <c r="A68" t="s">
        <v>654</v>
      </c>
      <c r="B68" t="s">
        <v>7897</v>
      </c>
      <c r="D68" s="286" t="e">
        <f>IF(SUM(D61:D67)&lt;0,'SOF1718-SB1'!F77,SUM(D61:D67))</f>
        <v>#DIV/0!</v>
      </c>
    </row>
    <row r="69" spans="1:5">
      <c r="A69" t="s">
        <v>2061</v>
      </c>
      <c r="B69" t="s">
        <v>7316</v>
      </c>
      <c r="D69" s="279">
        <f>'Data - Notice1819'!C17</f>
        <v>0</v>
      </c>
    </row>
    <row r="70" spans="1:5">
      <c r="A70" t="s">
        <v>828</v>
      </c>
      <c r="B70" s="99" t="s">
        <v>3612</v>
      </c>
      <c r="D70" s="280" t="e">
        <f>D68/D69</f>
        <v>#DIV/0!</v>
      </c>
    </row>
    <row r="71" spans="1:5">
      <c r="D71" s="278"/>
    </row>
    <row r="72" spans="1:5">
      <c r="D72" s="278"/>
    </row>
    <row r="73" spans="1:5">
      <c r="A73" t="s">
        <v>141</v>
      </c>
      <c r="B73" s="99" t="s">
        <v>548</v>
      </c>
      <c r="D73" s="278"/>
    </row>
    <row r="74" spans="1:5">
      <c r="B74" s="99" t="s">
        <v>2352</v>
      </c>
      <c r="D74" s="278"/>
    </row>
    <row r="75" spans="1:5">
      <c r="A75" t="s">
        <v>655</v>
      </c>
      <c r="B75" t="s">
        <v>7884</v>
      </c>
      <c r="D75" s="280" t="e">
        <f>'EffectiveM&amp;ORate1819'!F43</f>
        <v>#DIV/0!</v>
      </c>
    </row>
    <row r="76" spans="1:5">
      <c r="A76" t="s">
        <v>907</v>
      </c>
      <c r="B76" t="s">
        <v>7399</v>
      </c>
      <c r="D76" s="280" t="e">
        <f>D75-'Report-SOF1819'!D60-'Report-SOF1819'!D61</f>
        <v>#DIV/0!</v>
      </c>
      <c r="E76" s="121"/>
    </row>
    <row r="77" spans="1:5" hidden="1">
      <c r="A77" t="s">
        <v>1595</v>
      </c>
      <c r="B77" t="s">
        <v>7885</v>
      </c>
      <c r="D77" s="280">
        <v>0</v>
      </c>
    </row>
    <row r="78" spans="1:5">
      <c r="A78" t="s">
        <v>1595</v>
      </c>
      <c r="B78" t="s">
        <v>7886</v>
      </c>
      <c r="D78" s="286">
        <f>IFA!P86+IFA!R86</f>
        <v>0</v>
      </c>
    </row>
    <row r="79" spans="1:5">
      <c r="A79" t="s">
        <v>1596</v>
      </c>
      <c r="B79" t="s">
        <v>7848</v>
      </c>
      <c r="D79" s="286">
        <f>'Existing Debt'!K74</f>
        <v>0</v>
      </c>
    </row>
    <row r="80" spans="1:5">
      <c r="A80" t="s">
        <v>1597</v>
      </c>
      <c r="B80" t="s">
        <v>7887</v>
      </c>
      <c r="D80" s="286" t="e">
        <f>IF(D75-D76+D77+D78+D79&lt;0,'Report-SOF1718'!D68,D75-D76+D77+D78+D79)</f>
        <v>#DIV/0!</v>
      </c>
    </row>
    <row r="81" spans="1:4">
      <c r="A81" t="s">
        <v>1598</v>
      </c>
      <c r="B81" t="s">
        <v>7843</v>
      </c>
      <c r="D81" s="281">
        <f>'Calc Data-SB1'!E7</f>
        <v>0</v>
      </c>
    </row>
    <row r="82" spans="1:4">
      <c r="B82" s="99" t="s">
        <v>548</v>
      </c>
      <c r="D82" s="286" t="e">
        <f>D80/D81</f>
        <v>#DIV/0!</v>
      </c>
    </row>
    <row r="83" spans="1:4">
      <c r="B83" s="99" t="s">
        <v>830</v>
      </c>
      <c r="D83" s="278"/>
    </row>
    <row r="84" spans="1:4">
      <c r="D84" s="278"/>
    </row>
    <row r="85" spans="1:4">
      <c r="A85" t="s">
        <v>142</v>
      </c>
      <c r="B85" s="99" t="s">
        <v>1862</v>
      </c>
      <c r="D85" s="278"/>
    </row>
    <row r="86" spans="1:4">
      <c r="A86" t="s">
        <v>1599</v>
      </c>
      <c r="B86" t="s">
        <v>3895</v>
      </c>
      <c r="D86" s="286">
        <f>'Report-SOF1819'!D60</f>
        <v>0</v>
      </c>
    </row>
    <row r="87" spans="1:4">
      <c r="A87" t="s">
        <v>1600</v>
      </c>
      <c r="B87" s="903" t="s">
        <v>7888</v>
      </c>
      <c r="D87" s="286" t="e">
        <f>'Report-SOF1819'!D61</f>
        <v>#DIV/0!</v>
      </c>
    </row>
    <row r="88" spans="1:4">
      <c r="A88" t="s">
        <v>786</v>
      </c>
      <c r="B88" t="s">
        <v>7889</v>
      </c>
      <c r="D88" s="286">
        <v>0</v>
      </c>
    </row>
    <row r="89" spans="1:4">
      <c r="A89" t="s">
        <v>787</v>
      </c>
      <c r="B89" t="s">
        <v>7886</v>
      </c>
      <c r="D89" s="280">
        <f>D78</f>
        <v>0</v>
      </c>
    </row>
    <row r="90" spans="1:4">
      <c r="A90" t="s">
        <v>788</v>
      </c>
      <c r="B90" t="s">
        <v>7848</v>
      </c>
      <c r="D90" s="280">
        <f>D79</f>
        <v>0</v>
      </c>
    </row>
    <row r="91" spans="1:4">
      <c r="A91" t="s">
        <v>789</v>
      </c>
      <c r="B91" t="s">
        <v>7890</v>
      </c>
      <c r="D91" s="286" t="e">
        <f>IF(SUM(D86:D90)&lt;0,'Report-SOF1819'!D68,SUM(D86:D90))</f>
        <v>#DIV/0!</v>
      </c>
    </row>
    <row r="92" spans="1:4">
      <c r="A92" t="s">
        <v>955</v>
      </c>
      <c r="B92" t="s">
        <v>7843</v>
      </c>
      <c r="D92" s="281">
        <f>D81</f>
        <v>0</v>
      </c>
    </row>
    <row r="93" spans="1:4">
      <c r="A93" t="s">
        <v>956</v>
      </c>
      <c r="B93" s="99" t="s">
        <v>1613</v>
      </c>
      <c r="D93" s="280" t="e">
        <f>D91/D92</f>
        <v>#DIV/0!</v>
      </c>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election activeCell="I2" sqref="I2"/>
    </sheetView>
  </sheetViews>
  <sheetFormatPr defaultRowHeight="12.75"/>
  <cols>
    <col min="1" max="1" width="27.140625" customWidth="1"/>
    <col min="2" max="2" width="2.7109375" customWidth="1"/>
    <col min="3" max="6" width="12.7109375" hidden="1" customWidth="1"/>
    <col min="7" max="14" width="12.7109375" customWidth="1"/>
    <col min="15" max="15" width="34.140625" customWidth="1"/>
  </cols>
  <sheetData>
    <row r="1" spans="1:15">
      <c r="A1" s="47" t="s">
        <v>3550</v>
      </c>
    </row>
    <row r="2" spans="1:15">
      <c r="C2" s="98" t="s">
        <v>195</v>
      </c>
      <c r="D2" s="98" t="s">
        <v>196</v>
      </c>
      <c r="E2" s="98" t="s">
        <v>197</v>
      </c>
      <c r="F2" s="98" t="s">
        <v>885</v>
      </c>
      <c r="G2" s="98" t="s">
        <v>3561</v>
      </c>
      <c r="H2" s="98" t="s">
        <v>3613</v>
      </c>
      <c r="I2" s="1055" t="s">
        <v>3673</v>
      </c>
      <c r="J2" s="1055" t="s">
        <v>3830</v>
      </c>
      <c r="K2" s="98" t="s">
        <v>3903</v>
      </c>
      <c r="L2" s="98" t="s">
        <v>4592</v>
      </c>
      <c r="M2" s="98" t="s">
        <v>7097</v>
      </c>
      <c r="N2" s="98" t="s">
        <v>7733</v>
      </c>
      <c r="O2" s="1256" t="s">
        <v>3551</v>
      </c>
    </row>
    <row r="3" spans="1:15">
      <c r="I3" s="1053"/>
      <c r="J3" s="1053"/>
      <c r="O3" s="1257" t="s">
        <v>3543</v>
      </c>
    </row>
    <row r="4" spans="1:15">
      <c r="A4" t="s">
        <v>3519</v>
      </c>
      <c r="C4" s="173">
        <v>0.92390000000000005</v>
      </c>
      <c r="D4" s="173">
        <v>0.98</v>
      </c>
      <c r="E4" s="1797">
        <v>1</v>
      </c>
      <c r="F4" s="1797">
        <v>1</v>
      </c>
      <c r="G4" s="1797">
        <v>1</v>
      </c>
      <c r="H4" s="1797">
        <v>1</v>
      </c>
      <c r="I4" s="1484">
        <f t="shared" ref="I4:N4" si="0">H4</f>
        <v>1</v>
      </c>
      <c r="J4" s="1484">
        <f t="shared" si="0"/>
        <v>1</v>
      </c>
      <c r="K4" s="1252">
        <f t="shared" si="0"/>
        <v>1</v>
      </c>
      <c r="L4" s="1252">
        <f t="shared" si="0"/>
        <v>1</v>
      </c>
      <c r="M4" s="1252">
        <f t="shared" si="0"/>
        <v>1</v>
      </c>
      <c r="N4" s="1252">
        <f t="shared" si="0"/>
        <v>1</v>
      </c>
      <c r="O4" s="1257" t="s">
        <v>3548</v>
      </c>
    </row>
    <row r="5" spans="1:15">
      <c r="A5" t="s">
        <v>3518</v>
      </c>
      <c r="C5" s="1252">
        <v>0.95194999999999996</v>
      </c>
      <c r="D5" s="1252">
        <v>0.95194999999999996</v>
      </c>
      <c r="E5" s="1798"/>
      <c r="F5" s="1798"/>
      <c r="G5" s="1798"/>
      <c r="H5" s="1798"/>
      <c r="I5" s="1484"/>
      <c r="J5" s="1484"/>
      <c r="K5" s="1252"/>
      <c r="L5" s="1252"/>
      <c r="M5" s="1252"/>
      <c r="N5" s="1252"/>
      <c r="O5" s="1257" t="s">
        <v>3544</v>
      </c>
    </row>
    <row r="6" spans="1:15">
      <c r="C6" s="1252"/>
      <c r="D6" s="1252"/>
      <c r="E6" s="1798"/>
      <c r="F6" s="1798"/>
      <c r="G6" s="1798"/>
      <c r="H6" s="1798"/>
      <c r="I6" s="1484"/>
      <c r="J6" s="1484"/>
      <c r="K6" s="1252"/>
      <c r="L6" s="1252"/>
      <c r="M6" s="1252"/>
      <c r="N6" s="1252"/>
      <c r="O6" s="1258" t="s">
        <v>3545</v>
      </c>
    </row>
    <row r="7" spans="1:15">
      <c r="A7" t="s">
        <v>3516</v>
      </c>
      <c r="C7">
        <v>1</v>
      </c>
      <c r="D7">
        <v>0.92349999999999999</v>
      </c>
      <c r="E7" s="177">
        <v>0.92630000000000001</v>
      </c>
      <c r="F7" s="177">
        <v>0.92630000000000001</v>
      </c>
      <c r="G7" s="177">
        <v>0.92630000000000001</v>
      </c>
      <c r="H7" s="177">
        <v>0.92630000000000001</v>
      </c>
      <c r="I7" s="1484">
        <f t="shared" ref="I7:N7" si="1">H7</f>
        <v>0.92630000000000001</v>
      </c>
      <c r="J7" s="1484">
        <f t="shared" si="1"/>
        <v>0.92630000000000001</v>
      </c>
      <c r="K7" s="1252">
        <f t="shared" si="1"/>
        <v>0.92630000000000001</v>
      </c>
      <c r="L7" s="1252">
        <f t="shared" si="1"/>
        <v>0.92630000000000001</v>
      </c>
      <c r="M7" s="1252">
        <f t="shared" si="1"/>
        <v>0.92630000000000001</v>
      </c>
      <c r="N7" s="1252">
        <f t="shared" si="1"/>
        <v>0.92630000000000001</v>
      </c>
    </row>
    <row r="8" spans="1:15">
      <c r="C8" s="173"/>
      <c r="D8" s="173"/>
      <c r="E8" s="173"/>
      <c r="F8" s="173"/>
      <c r="G8" s="173"/>
      <c r="H8" s="173"/>
      <c r="I8" s="1483"/>
      <c r="J8" s="1483"/>
      <c r="K8" s="173"/>
      <c r="L8" s="173"/>
      <c r="M8" s="173"/>
      <c r="N8" s="173"/>
    </row>
    <row r="9" spans="1:15">
      <c r="A9" t="s">
        <v>3504</v>
      </c>
      <c r="C9" s="173"/>
      <c r="D9" s="173"/>
      <c r="E9" s="173"/>
      <c r="F9" s="173"/>
      <c r="G9" s="173"/>
      <c r="H9" s="173"/>
      <c r="I9" s="1483"/>
      <c r="J9" s="1483"/>
      <c r="K9" s="173"/>
      <c r="L9" s="173"/>
      <c r="M9" s="173"/>
      <c r="N9" s="173"/>
      <c r="O9" s="47"/>
    </row>
    <row r="10" spans="1:15">
      <c r="A10" t="s">
        <v>3186</v>
      </c>
      <c r="C10" s="125">
        <v>5</v>
      </c>
      <c r="D10" s="125">
        <v>5</v>
      </c>
      <c r="E10" s="125">
        <v>5</v>
      </c>
      <c r="F10" s="125">
        <v>5</v>
      </c>
      <c r="G10" s="125">
        <v>5</v>
      </c>
      <c r="H10" s="125">
        <v>5</v>
      </c>
      <c r="I10" s="2519">
        <v>5</v>
      </c>
      <c r="J10" s="2519">
        <v>5</v>
      </c>
      <c r="K10" s="125">
        <v>5</v>
      </c>
      <c r="L10" s="125">
        <v>5</v>
      </c>
      <c r="M10" s="125">
        <v>5</v>
      </c>
      <c r="N10" s="125">
        <v>5</v>
      </c>
      <c r="O10" s="47"/>
    </row>
    <row r="11" spans="1:15">
      <c r="A11" t="s">
        <v>3187</v>
      </c>
      <c r="C11" s="125">
        <v>3</v>
      </c>
      <c r="D11" s="125">
        <v>3</v>
      </c>
      <c r="E11" s="125">
        <v>3</v>
      </c>
      <c r="F11" s="125">
        <v>3</v>
      </c>
      <c r="G11" s="125">
        <v>3</v>
      </c>
      <c r="H11" s="125">
        <v>3</v>
      </c>
      <c r="I11" s="2519">
        <v>3</v>
      </c>
      <c r="J11" s="2519">
        <v>3</v>
      </c>
      <c r="K11" s="125">
        <v>3</v>
      </c>
      <c r="L11" s="125">
        <v>3</v>
      </c>
      <c r="M11" s="125">
        <v>3</v>
      </c>
      <c r="N11" s="125">
        <v>3</v>
      </c>
    </row>
    <row r="12" spans="1:15">
      <c r="A12" t="s">
        <v>3188</v>
      </c>
      <c r="C12" s="125">
        <v>5</v>
      </c>
      <c r="D12" s="125">
        <v>5</v>
      </c>
      <c r="E12" s="125">
        <v>5</v>
      </c>
      <c r="F12" s="125">
        <v>5</v>
      </c>
      <c r="G12" s="125">
        <v>5</v>
      </c>
      <c r="H12" s="125">
        <v>5</v>
      </c>
      <c r="I12" s="2519">
        <v>5</v>
      </c>
      <c r="J12" s="2519">
        <v>5</v>
      </c>
      <c r="K12" s="125">
        <v>5</v>
      </c>
      <c r="L12" s="125">
        <v>5</v>
      </c>
      <c r="M12" s="125">
        <v>5</v>
      </c>
      <c r="N12" s="125">
        <v>5</v>
      </c>
    </row>
    <row r="13" spans="1:15">
      <c r="A13" t="s">
        <v>3189</v>
      </c>
      <c r="C13" s="125">
        <v>3</v>
      </c>
      <c r="D13" s="125">
        <v>3</v>
      </c>
      <c r="E13" s="125">
        <v>3</v>
      </c>
      <c r="F13" s="125">
        <v>3</v>
      </c>
      <c r="G13" s="125">
        <v>3</v>
      </c>
      <c r="H13" s="125">
        <v>3</v>
      </c>
      <c r="I13" s="2519">
        <v>3</v>
      </c>
      <c r="J13" s="2519">
        <v>3</v>
      </c>
      <c r="K13" s="125">
        <v>3</v>
      </c>
      <c r="L13" s="125">
        <v>3</v>
      </c>
      <c r="M13" s="125">
        <v>3</v>
      </c>
      <c r="N13" s="125">
        <v>3</v>
      </c>
    </row>
    <row r="14" spans="1:15">
      <c r="A14" t="s">
        <v>3500</v>
      </c>
      <c r="C14" s="125">
        <v>3</v>
      </c>
      <c r="D14" s="125">
        <v>3</v>
      </c>
      <c r="E14" s="125">
        <v>3</v>
      </c>
      <c r="F14" s="125">
        <v>3</v>
      </c>
      <c r="G14" s="125">
        <v>3</v>
      </c>
      <c r="H14" s="125">
        <v>3</v>
      </c>
      <c r="I14" s="2519">
        <v>3</v>
      </c>
      <c r="J14" s="2519">
        <v>3</v>
      </c>
      <c r="K14" s="125">
        <v>3</v>
      </c>
      <c r="L14" s="125">
        <v>3</v>
      </c>
      <c r="M14" s="125">
        <v>3</v>
      </c>
      <c r="N14" s="125">
        <v>3</v>
      </c>
    </row>
    <row r="15" spans="1:15">
      <c r="A15" t="s">
        <v>3192</v>
      </c>
      <c r="C15" s="125">
        <v>2.7</v>
      </c>
      <c r="D15" s="125">
        <v>2.7</v>
      </c>
      <c r="E15" s="125">
        <v>2.7</v>
      </c>
      <c r="F15" s="125">
        <v>2.7</v>
      </c>
      <c r="G15" s="125">
        <v>2.7</v>
      </c>
      <c r="H15" s="125">
        <v>2.7</v>
      </c>
      <c r="I15" s="2519">
        <v>2.7</v>
      </c>
      <c r="J15" s="2519">
        <v>2.7</v>
      </c>
      <c r="K15" s="125">
        <v>2.7</v>
      </c>
      <c r="L15" s="125">
        <v>2.7</v>
      </c>
      <c r="M15" s="125">
        <v>2.7</v>
      </c>
      <c r="N15" s="125">
        <v>2.7</v>
      </c>
    </row>
    <row r="16" spans="1:15">
      <c r="A16" t="s">
        <v>3501</v>
      </c>
      <c r="C16" s="125">
        <v>2.2999999999999998</v>
      </c>
      <c r="D16" s="125">
        <v>2.2999999999999998</v>
      </c>
      <c r="E16" s="125">
        <v>2.2999999999999998</v>
      </c>
      <c r="F16" s="125">
        <v>2.2999999999999998</v>
      </c>
      <c r="G16" s="125">
        <v>2.2999999999999998</v>
      </c>
      <c r="H16" s="125">
        <v>2.2999999999999998</v>
      </c>
      <c r="I16" s="2519">
        <v>2.2999999999999998</v>
      </c>
      <c r="J16" s="2519">
        <v>2.2999999999999998</v>
      </c>
      <c r="K16" s="125">
        <v>2.2999999999999998</v>
      </c>
      <c r="L16" s="125">
        <v>2.2999999999999998</v>
      </c>
      <c r="M16" s="125">
        <v>2.2999999999999998</v>
      </c>
      <c r="N16" s="125">
        <v>2.2999999999999998</v>
      </c>
    </row>
    <row r="17" spans="1:14">
      <c r="A17" t="s">
        <v>3194</v>
      </c>
      <c r="C17" s="125">
        <v>2.8</v>
      </c>
      <c r="D17" s="125">
        <v>2.8</v>
      </c>
      <c r="E17" s="125">
        <v>2.8</v>
      </c>
      <c r="F17" s="125">
        <v>2.8</v>
      </c>
      <c r="G17" s="125">
        <v>2.8</v>
      </c>
      <c r="H17" s="125">
        <v>2.8</v>
      </c>
      <c r="I17" s="2519">
        <v>2.8</v>
      </c>
      <c r="J17" s="2519">
        <v>2.8</v>
      </c>
      <c r="K17" s="125">
        <v>2.8</v>
      </c>
      <c r="L17" s="125">
        <v>2.8</v>
      </c>
      <c r="M17" s="125">
        <v>2.8</v>
      </c>
      <c r="N17" s="125">
        <v>2.8</v>
      </c>
    </row>
    <row r="18" spans="1:14">
      <c r="A18" t="s">
        <v>3502</v>
      </c>
      <c r="C18" s="125">
        <v>1.7</v>
      </c>
      <c r="D18" s="125">
        <v>1.7</v>
      </c>
      <c r="E18" s="125">
        <v>1.7</v>
      </c>
      <c r="F18" s="125">
        <v>1.7</v>
      </c>
      <c r="G18" s="125">
        <v>1.7</v>
      </c>
      <c r="H18" s="125">
        <v>1.7</v>
      </c>
      <c r="I18" s="2519">
        <v>1.7</v>
      </c>
      <c r="J18" s="2519">
        <v>1.7</v>
      </c>
      <c r="K18" s="125">
        <v>1.7</v>
      </c>
      <c r="L18" s="125">
        <v>1.7</v>
      </c>
      <c r="M18" s="125">
        <v>1.7</v>
      </c>
      <c r="N18" s="125">
        <v>1.7</v>
      </c>
    </row>
    <row r="19" spans="1:14">
      <c r="A19" t="s">
        <v>3503</v>
      </c>
      <c r="C19" s="125">
        <v>4</v>
      </c>
      <c r="D19" s="125">
        <v>4</v>
      </c>
      <c r="E19" s="125">
        <v>4</v>
      </c>
      <c r="F19" s="125">
        <v>4</v>
      </c>
      <c r="G19" s="125">
        <v>4</v>
      </c>
      <c r="H19" s="125">
        <v>4</v>
      </c>
      <c r="I19" s="2519">
        <v>4</v>
      </c>
      <c r="J19" s="2519">
        <v>4</v>
      </c>
      <c r="K19" s="125">
        <v>4</v>
      </c>
      <c r="L19" s="125">
        <v>4</v>
      </c>
      <c r="M19" s="125">
        <v>4</v>
      </c>
      <c r="N19" s="125">
        <v>4</v>
      </c>
    </row>
    <row r="20" spans="1:14">
      <c r="C20" s="125"/>
      <c r="D20" s="125"/>
      <c r="E20" s="125"/>
      <c r="F20" s="125"/>
      <c r="G20" s="125"/>
      <c r="H20" s="125"/>
      <c r="I20" s="2519"/>
      <c r="J20" s="2519"/>
      <c r="K20" s="125"/>
      <c r="L20" s="125"/>
      <c r="M20" s="125"/>
      <c r="N20" s="125"/>
    </row>
    <row r="21" spans="1:14">
      <c r="A21" t="s">
        <v>3226</v>
      </c>
      <c r="C21" s="125">
        <v>1.1000000000000001</v>
      </c>
      <c r="D21" s="125">
        <v>1.1000000000000001</v>
      </c>
      <c r="E21" s="125">
        <v>1.1000000000000001</v>
      </c>
      <c r="F21" s="125">
        <v>1.1000000000000001</v>
      </c>
      <c r="G21" s="125">
        <v>1.1000000000000001</v>
      </c>
      <c r="H21" s="125">
        <v>1.1000000000000001</v>
      </c>
      <c r="I21" s="2519">
        <v>1.1000000000000001</v>
      </c>
      <c r="J21" s="2519">
        <v>1.1000000000000001</v>
      </c>
      <c r="K21" s="125">
        <v>1.1000000000000001</v>
      </c>
      <c r="L21" s="125">
        <v>1.1000000000000001</v>
      </c>
      <c r="M21" s="125">
        <v>1.1000000000000001</v>
      </c>
      <c r="N21" s="125">
        <v>1.1000000000000001</v>
      </c>
    </row>
    <row r="22" spans="1:14">
      <c r="C22" s="125"/>
      <c r="D22" s="125"/>
      <c r="E22" s="125"/>
      <c r="F22" s="125"/>
      <c r="G22" s="125"/>
      <c r="H22" s="125"/>
      <c r="I22" s="2519"/>
      <c r="J22" s="2519"/>
      <c r="K22" s="125"/>
      <c r="L22" s="125"/>
      <c r="M22" s="125"/>
      <c r="N22" s="125"/>
    </row>
    <row r="23" spans="1:14">
      <c r="A23" t="s">
        <v>3505</v>
      </c>
      <c r="C23" s="125">
        <v>1.35</v>
      </c>
      <c r="D23" s="125">
        <v>1.35</v>
      </c>
      <c r="E23" s="125">
        <v>1.35</v>
      </c>
      <c r="F23" s="125">
        <v>1.35</v>
      </c>
      <c r="G23" s="125">
        <v>1.35</v>
      </c>
      <c r="H23" s="125">
        <v>1.35</v>
      </c>
      <c r="I23" s="2519">
        <v>1.35</v>
      </c>
      <c r="J23" s="2519">
        <v>1.35</v>
      </c>
      <c r="K23" s="125">
        <v>1.35</v>
      </c>
      <c r="L23" s="125">
        <v>1.35</v>
      </c>
      <c r="M23" s="125">
        <v>1.35</v>
      </c>
      <c r="N23" s="125">
        <v>1.35</v>
      </c>
    </row>
    <row r="24" spans="1:14">
      <c r="A24" t="s">
        <v>3510</v>
      </c>
      <c r="C24" s="121">
        <v>50</v>
      </c>
      <c r="D24" s="121">
        <v>50</v>
      </c>
      <c r="E24" s="121">
        <v>50</v>
      </c>
      <c r="F24" s="121">
        <v>50</v>
      </c>
      <c r="G24" s="121">
        <v>50</v>
      </c>
      <c r="H24" s="121">
        <v>50</v>
      </c>
      <c r="I24" s="2267">
        <v>50</v>
      </c>
      <c r="J24" s="2267">
        <v>50</v>
      </c>
      <c r="K24" s="121">
        <v>50</v>
      </c>
      <c r="L24" s="121">
        <v>50</v>
      </c>
      <c r="M24" s="121">
        <v>50</v>
      </c>
      <c r="N24" s="121">
        <v>50</v>
      </c>
    </row>
    <row r="25" spans="1:14">
      <c r="C25" s="173"/>
      <c r="D25" s="173"/>
      <c r="E25" s="173"/>
      <c r="F25" s="173"/>
      <c r="G25" s="173"/>
      <c r="H25" s="173"/>
      <c r="I25" s="1483"/>
      <c r="J25" s="1483"/>
      <c r="K25" s="173"/>
      <c r="L25" s="173"/>
      <c r="M25" s="173"/>
      <c r="N25" s="173"/>
    </row>
    <row r="26" spans="1:14">
      <c r="A26" t="s">
        <v>3506</v>
      </c>
      <c r="C26" s="125">
        <v>0.1</v>
      </c>
      <c r="D26" s="125">
        <v>0.1</v>
      </c>
      <c r="E26" s="125">
        <v>0.1</v>
      </c>
      <c r="F26" s="125">
        <v>0.1</v>
      </c>
      <c r="G26" s="125">
        <v>0.1</v>
      </c>
      <c r="H26" s="125">
        <v>0.1</v>
      </c>
      <c r="I26" s="2519">
        <v>0.1</v>
      </c>
      <c r="J26" s="2519">
        <v>0.1</v>
      </c>
      <c r="K26" s="125">
        <v>0.1</v>
      </c>
      <c r="L26" s="125">
        <v>0.1</v>
      </c>
      <c r="M26" s="125">
        <v>0.1</v>
      </c>
      <c r="N26" s="125">
        <v>0.1</v>
      </c>
    </row>
    <row r="27" spans="1:14">
      <c r="C27" s="125"/>
      <c r="D27" s="125"/>
      <c r="E27" s="125"/>
      <c r="F27" s="125"/>
      <c r="G27" s="125"/>
      <c r="H27" s="125"/>
      <c r="I27" s="2519"/>
      <c r="J27" s="2519"/>
      <c r="K27" s="125"/>
      <c r="L27" s="125"/>
      <c r="M27" s="125"/>
      <c r="N27" s="125"/>
    </row>
    <row r="28" spans="1:14">
      <c r="A28" t="s">
        <v>3507</v>
      </c>
      <c r="C28" s="125">
        <v>0.12</v>
      </c>
      <c r="D28" s="125">
        <v>0.12</v>
      </c>
      <c r="E28" s="125">
        <v>0.12</v>
      </c>
      <c r="F28" s="125">
        <v>0.12</v>
      </c>
      <c r="G28" s="125">
        <v>0.12</v>
      </c>
      <c r="H28" s="125">
        <v>0.12</v>
      </c>
      <c r="I28" s="2519">
        <v>0.12</v>
      </c>
      <c r="J28" s="2519">
        <v>0.12</v>
      </c>
      <c r="K28" s="125">
        <v>0.12</v>
      </c>
      <c r="L28" s="125">
        <v>0.12</v>
      </c>
      <c r="M28" s="125">
        <v>0.12</v>
      </c>
      <c r="N28" s="125">
        <v>0.12</v>
      </c>
    </row>
    <row r="29" spans="1:14">
      <c r="C29" s="125"/>
      <c r="D29" s="125"/>
      <c r="E29" s="125"/>
      <c r="F29" s="125"/>
      <c r="G29" s="125"/>
      <c r="H29" s="125"/>
      <c r="I29" s="2519"/>
      <c r="J29" s="2519"/>
      <c r="K29" s="125"/>
      <c r="L29" s="125"/>
      <c r="M29" s="125"/>
      <c r="N29" s="125"/>
    </row>
    <row r="30" spans="1:14">
      <c r="A30" t="s">
        <v>3508</v>
      </c>
      <c r="C30" s="125">
        <v>0.2</v>
      </c>
      <c r="D30" s="125">
        <v>0.2</v>
      </c>
      <c r="E30" s="125">
        <v>0.2</v>
      </c>
      <c r="F30" s="125">
        <v>0.2</v>
      </c>
      <c r="G30" s="125">
        <v>0.2</v>
      </c>
      <c r="H30" s="125">
        <v>0.2</v>
      </c>
      <c r="I30" s="2519">
        <v>0.2</v>
      </c>
      <c r="J30" s="2519">
        <v>0.2</v>
      </c>
      <c r="K30" s="125">
        <v>0.2</v>
      </c>
      <c r="L30" s="125">
        <v>0.2</v>
      </c>
      <c r="M30" s="125">
        <v>0.2</v>
      </c>
      <c r="N30" s="125">
        <v>0.2</v>
      </c>
    </row>
    <row r="31" spans="1:14">
      <c r="A31" t="s">
        <v>3509</v>
      </c>
      <c r="C31" s="125">
        <v>2.41</v>
      </c>
      <c r="D31" s="125">
        <v>2.41</v>
      </c>
      <c r="E31" s="125">
        <v>2.41</v>
      </c>
      <c r="F31" s="125">
        <v>2.41</v>
      </c>
      <c r="G31" s="125">
        <v>2.41</v>
      </c>
      <c r="H31" s="125">
        <v>2.41</v>
      </c>
      <c r="I31" s="2519">
        <v>2.41</v>
      </c>
      <c r="J31" s="2519">
        <v>2.41</v>
      </c>
      <c r="K31" s="125">
        <v>2.41</v>
      </c>
      <c r="L31" s="125">
        <v>2.41</v>
      </c>
      <c r="M31" s="125">
        <v>2.41</v>
      </c>
      <c r="N31" s="125">
        <v>2.41</v>
      </c>
    </row>
    <row r="32" spans="1:14">
      <c r="C32" s="173"/>
      <c r="D32" s="173"/>
      <c r="E32" s="173"/>
      <c r="F32" s="173"/>
      <c r="G32" s="173"/>
      <c r="H32" s="173"/>
      <c r="I32" s="1483"/>
      <c r="J32" s="1483"/>
      <c r="K32" s="173"/>
      <c r="L32" s="173"/>
      <c r="M32" s="173"/>
      <c r="N32" s="173"/>
    </row>
    <row r="33" spans="1:15">
      <c r="A33" t="s">
        <v>3511</v>
      </c>
      <c r="C33" s="121">
        <v>275</v>
      </c>
      <c r="D33" s="121">
        <v>275</v>
      </c>
      <c r="E33" s="121">
        <v>275</v>
      </c>
      <c r="F33" s="121">
        <v>275</v>
      </c>
      <c r="G33" s="121">
        <v>275</v>
      </c>
      <c r="H33" s="121">
        <v>275</v>
      </c>
      <c r="I33" s="2267">
        <v>275</v>
      </c>
      <c r="J33" s="2267">
        <v>275</v>
      </c>
      <c r="K33" s="121">
        <v>275</v>
      </c>
      <c r="L33" s="121">
        <v>275</v>
      </c>
      <c r="M33" s="121">
        <v>275</v>
      </c>
      <c r="N33" s="121">
        <v>275</v>
      </c>
    </row>
    <row r="34" spans="1:15">
      <c r="C34" s="121"/>
      <c r="D34" s="121"/>
      <c r="E34" s="121"/>
      <c r="F34" s="121"/>
      <c r="G34" s="121"/>
      <c r="H34" s="121"/>
      <c r="I34" s="2267"/>
      <c r="J34" s="2267"/>
      <c r="K34" s="121"/>
      <c r="L34" s="121"/>
      <c r="M34" s="121"/>
      <c r="N34" s="121"/>
    </row>
    <row r="35" spans="1:15">
      <c r="A35" t="s">
        <v>1237</v>
      </c>
      <c r="C35" s="173"/>
      <c r="D35" s="173"/>
      <c r="E35" s="173"/>
      <c r="F35" s="173"/>
      <c r="G35" s="121">
        <v>250</v>
      </c>
      <c r="H35" s="121">
        <v>250</v>
      </c>
      <c r="I35" s="2534">
        <v>1000</v>
      </c>
      <c r="J35" s="2535">
        <v>1000</v>
      </c>
      <c r="K35" s="2521">
        <v>1000</v>
      </c>
      <c r="L35" s="2538">
        <v>1000</v>
      </c>
      <c r="M35" s="2538">
        <v>1000</v>
      </c>
      <c r="N35" s="2538">
        <v>1000</v>
      </c>
      <c r="O35" s="2530" t="s">
        <v>7429</v>
      </c>
    </row>
    <row r="36" spans="1:15">
      <c r="C36" s="173"/>
      <c r="D36" s="173"/>
      <c r="E36" s="173"/>
      <c r="F36" s="173"/>
      <c r="G36" s="173"/>
      <c r="H36" s="173"/>
      <c r="I36" s="1483"/>
      <c r="J36" s="1483"/>
      <c r="K36" s="173"/>
      <c r="L36" s="173"/>
      <c r="M36" s="173"/>
      <c r="N36" s="173"/>
      <c r="O36" s="2531" t="s">
        <v>7430</v>
      </c>
    </row>
    <row r="37" spans="1:15">
      <c r="A37" t="s">
        <v>3512</v>
      </c>
      <c r="C37" s="125">
        <v>0.1</v>
      </c>
      <c r="D37" s="125">
        <v>0.1</v>
      </c>
      <c r="E37" s="125">
        <v>0.1</v>
      </c>
      <c r="F37" s="125">
        <v>0.1</v>
      </c>
      <c r="G37" s="125">
        <v>0.1</v>
      </c>
      <c r="H37" s="125">
        <v>0.1</v>
      </c>
      <c r="I37" s="2519">
        <v>0.1</v>
      </c>
      <c r="J37" s="2519">
        <v>0.1</v>
      </c>
      <c r="K37" s="125">
        <v>0.1</v>
      </c>
      <c r="L37" s="125">
        <v>0.1</v>
      </c>
      <c r="M37" s="125">
        <v>0.1</v>
      </c>
      <c r="N37" s="125">
        <v>0.1</v>
      </c>
      <c r="O37" s="2532" t="s">
        <v>7431</v>
      </c>
    </row>
    <row r="38" spans="1:15">
      <c r="C38" s="173"/>
      <c r="D38" s="173"/>
      <c r="E38" s="173"/>
      <c r="F38" s="173"/>
      <c r="G38" s="173"/>
      <c r="H38" s="173"/>
      <c r="I38" s="1483"/>
      <c r="J38" s="1483"/>
      <c r="K38" s="173"/>
      <c r="L38" s="173"/>
      <c r="M38" s="173"/>
      <c r="N38" s="173"/>
    </row>
    <row r="39" spans="1:15">
      <c r="A39" t="s">
        <v>3513</v>
      </c>
      <c r="C39" s="1252">
        <v>2.5000000000000001E-4</v>
      </c>
      <c r="D39" s="1252">
        <v>2.5000000000000001E-4</v>
      </c>
      <c r="E39" s="1252">
        <v>2.5000000000000001E-4</v>
      </c>
      <c r="F39" s="1252">
        <v>2.5000000000000001E-4</v>
      </c>
      <c r="G39" s="1252">
        <v>2.5000000000000001E-4</v>
      </c>
      <c r="H39" s="1252">
        <v>2.5000000000000001E-4</v>
      </c>
      <c r="I39" s="1484">
        <v>2.5000000000000001E-4</v>
      </c>
      <c r="J39" s="2533">
        <v>2.7500000000000002E-4</v>
      </c>
      <c r="K39" s="2536">
        <v>2.9999999999999997E-4</v>
      </c>
      <c r="L39" s="2537">
        <v>3.2499999999999999E-4</v>
      </c>
      <c r="M39" s="2537">
        <v>3.5E-4</v>
      </c>
      <c r="N39" s="2537">
        <v>3.7500000000000001E-4</v>
      </c>
    </row>
    <row r="40" spans="1:15">
      <c r="A40" t="s">
        <v>3520</v>
      </c>
      <c r="C40" s="173">
        <v>4.0000000000000002E-4</v>
      </c>
      <c r="D40" s="173">
        <v>4.0000000000000002E-4</v>
      </c>
      <c r="E40" s="173">
        <v>4.0000000000000002E-4</v>
      </c>
      <c r="F40" s="173">
        <v>4.0000000000000002E-4</v>
      </c>
      <c r="G40" s="173">
        <v>4.0000000000000002E-4</v>
      </c>
      <c r="H40" s="173">
        <v>4.0000000000000002E-4</v>
      </c>
      <c r="I40" s="1483">
        <v>4.0000000000000002E-4</v>
      </c>
      <c r="J40" s="1483">
        <v>4.0000000000000002E-4</v>
      </c>
      <c r="K40" s="173">
        <v>4.0000000000000002E-4</v>
      </c>
      <c r="L40" s="173">
        <v>4.0000000000000002E-4</v>
      </c>
      <c r="M40" s="173">
        <v>4.0000000000000002E-4</v>
      </c>
      <c r="N40" s="173">
        <v>4.0000000000000002E-4</v>
      </c>
    </row>
    <row r="41" spans="1:15">
      <c r="I41" s="1053"/>
      <c r="J41" s="1053"/>
    </row>
    <row r="42" spans="1:15">
      <c r="A42" t="s">
        <v>3514</v>
      </c>
      <c r="C42" s="175">
        <v>2.5000000000000001E-5</v>
      </c>
      <c r="D42" s="175">
        <v>2.5000000000000001E-5</v>
      </c>
      <c r="E42" s="175">
        <v>2.5000000000000001E-5</v>
      </c>
      <c r="F42" s="175">
        <v>2.5000000000000001E-5</v>
      </c>
      <c r="G42" s="175">
        <v>2.5000000000000001E-5</v>
      </c>
      <c r="H42" s="175">
        <v>2.5000000000000001E-5</v>
      </c>
      <c r="I42" s="2520">
        <v>2.5000000000000001E-5</v>
      </c>
      <c r="J42" s="2520">
        <v>2.5000000000000001E-5</v>
      </c>
      <c r="K42" s="175">
        <v>2.5000000000000001E-5</v>
      </c>
      <c r="L42" s="175">
        <v>2.5000000000000001E-5</v>
      </c>
      <c r="M42" s="175">
        <v>2.5000000000000001E-5</v>
      </c>
      <c r="N42" s="175">
        <v>2.5000000000000001E-5</v>
      </c>
    </row>
    <row r="43" spans="1:15">
      <c r="I43" s="1053"/>
      <c r="J43" s="1053"/>
    </row>
    <row r="44" spans="1:15">
      <c r="A44" t="s">
        <v>3515</v>
      </c>
      <c r="C44">
        <v>0.71</v>
      </c>
      <c r="D44">
        <v>0.71</v>
      </c>
      <c r="E44">
        <v>0.71</v>
      </c>
      <c r="F44">
        <v>0.71</v>
      </c>
      <c r="G44">
        <v>0.71</v>
      </c>
      <c r="H44">
        <v>0.71</v>
      </c>
      <c r="I44" s="1053">
        <v>0.71</v>
      </c>
      <c r="J44" s="1053">
        <v>0.71</v>
      </c>
      <c r="K44">
        <v>0.71</v>
      </c>
      <c r="L44">
        <v>0.71</v>
      </c>
      <c r="M44">
        <v>0.71</v>
      </c>
      <c r="N44">
        <v>0.71</v>
      </c>
    </row>
    <row r="45" spans="1:15">
      <c r="A45" t="s">
        <v>3521</v>
      </c>
      <c r="C45">
        <v>1.3999999999999999E-4</v>
      </c>
      <c r="D45">
        <v>1.3999999999999999E-4</v>
      </c>
      <c r="E45">
        <v>1.3999999999999999E-4</v>
      </c>
      <c r="F45">
        <v>1.3999999999999999E-4</v>
      </c>
      <c r="G45">
        <v>1.3999999999999999E-4</v>
      </c>
      <c r="H45">
        <v>1.3999999999999999E-4</v>
      </c>
      <c r="I45" s="1053">
        <v>1.3999999999999999E-4</v>
      </c>
      <c r="J45" s="1053">
        <v>1.3999999999999999E-4</v>
      </c>
      <c r="K45">
        <v>1.3999999999999999E-4</v>
      </c>
      <c r="L45">
        <v>1.3999999999999999E-4</v>
      </c>
      <c r="M45">
        <v>1.3999999999999999E-4</v>
      </c>
      <c r="N45">
        <v>1.3999999999999999E-4</v>
      </c>
    </row>
    <row r="46" spans="1:15">
      <c r="I46" s="1053"/>
      <c r="J46" s="1053"/>
    </row>
    <row r="47" spans="1:15">
      <c r="A47" t="s">
        <v>3517</v>
      </c>
      <c r="C47">
        <v>0.66669999999999996</v>
      </c>
      <c r="D47">
        <v>0.66669999999999996</v>
      </c>
      <c r="E47">
        <v>0.66669999999999996</v>
      </c>
      <c r="F47">
        <v>0.66669999999999996</v>
      </c>
      <c r="G47">
        <v>0.66669999999999996</v>
      </c>
      <c r="H47">
        <v>0.66669999999999996</v>
      </c>
      <c r="I47" s="1053">
        <v>0.66669999999999996</v>
      </c>
      <c r="J47" s="1053">
        <v>0.66669999999999996</v>
      </c>
      <c r="K47">
        <v>0.66669999999999996</v>
      </c>
      <c r="L47">
        <v>0.66669999999999996</v>
      </c>
      <c r="M47">
        <v>0.66669999999999996</v>
      </c>
      <c r="N47">
        <v>0.66669999999999996</v>
      </c>
    </row>
    <row r="48" spans="1:15">
      <c r="I48" s="1053"/>
      <c r="J48" s="1053"/>
    </row>
    <row r="49" spans="1:15">
      <c r="A49" t="s">
        <v>3522</v>
      </c>
      <c r="C49">
        <v>35</v>
      </c>
      <c r="D49">
        <v>35</v>
      </c>
      <c r="E49">
        <v>35</v>
      </c>
      <c r="F49">
        <v>35</v>
      </c>
      <c r="G49">
        <v>35</v>
      </c>
      <c r="H49">
        <v>35</v>
      </c>
      <c r="I49" s="1053">
        <v>35</v>
      </c>
      <c r="J49" s="1053">
        <v>35</v>
      </c>
      <c r="K49">
        <v>35</v>
      </c>
      <c r="L49">
        <v>35</v>
      </c>
      <c r="M49">
        <v>35</v>
      </c>
      <c r="N49">
        <v>35</v>
      </c>
    </row>
    <row r="50" spans="1:15">
      <c r="A50" t="s">
        <v>3523</v>
      </c>
      <c r="C50">
        <v>35</v>
      </c>
      <c r="D50">
        <v>35</v>
      </c>
      <c r="E50">
        <v>35</v>
      </c>
      <c r="F50">
        <v>35</v>
      </c>
      <c r="G50">
        <v>35</v>
      </c>
      <c r="H50">
        <v>35</v>
      </c>
      <c r="I50" s="1053">
        <v>35</v>
      </c>
      <c r="J50" s="2529">
        <v>38</v>
      </c>
      <c r="K50">
        <v>38</v>
      </c>
      <c r="L50">
        <v>38</v>
      </c>
      <c r="M50">
        <v>38</v>
      </c>
      <c r="N50">
        <v>38</v>
      </c>
    </row>
    <row r="51" spans="1:15">
      <c r="J51" s="2523" t="s">
        <v>7427</v>
      </c>
      <c r="K51" s="2524"/>
      <c r="L51" s="2524"/>
      <c r="M51" s="2524"/>
      <c r="N51" s="2524"/>
      <c r="O51" s="2525"/>
    </row>
    <row r="52" spans="1:15">
      <c r="J52" s="2526" t="s">
        <v>7428</v>
      </c>
      <c r="K52" s="2527"/>
      <c r="L52" s="2527"/>
      <c r="M52" s="2527"/>
      <c r="N52" s="2527"/>
      <c r="O52" s="2528"/>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39"/>
  <sheetViews>
    <sheetView workbookViewId="0">
      <selection activeCell="F2" sqref="F2"/>
    </sheetView>
  </sheetViews>
  <sheetFormatPr defaultRowHeight="12.75"/>
  <cols>
    <col min="2" max="2" width="3.7109375" customWidth="1"/>
    <col min="3" max="3" width="5.85546875" style="177" customWidth="1"/>
    <col min="4" max="4" width="95.140625" customWidth="1"/>
    <col min="5" max="5" width="11.140625" customWidth="1"/>
    <col min="6" max="6" width="23.28515625" customWidth="1"/>
    <col min="7" max="7" width="5.7109375" style="47" customWidth="1"/>
    <col min="8" max="8" width="37.85546875" hidden="1" customWidth="1"/>
    <col min="9" max="9" width="17.7109375" hidden="1" customWidth="1"/>
    <col min="10" max="10" width="19" hidden="1" customWidth="1"/>
    <col min="11" max="11" width="17.140625" hidden="1" customWidth="1"/>
    <col min="13" max="13" width="4.5703125" customWidth="1"/>
  </cols>
  <sheetData>
    <row r="1" spans="1:8">
      <c r="A1" s="23" t="s">
        <v>78</v>
      </c>
      <c r="D1" s="257">
        <f>'Data Entry - SOF'!B1</f>
        <v>0</v>
      </c>
      <c r="E1" s="1778"/>
      <c r="F1" s="1779" t="str">
        <f>'Report-SOF1718'!D1</f>
        <v>84th/85th Legislative Session</v>
      </c>
    </row>
    <row r="2" spans="1:8">
      <c r="A2" s="23" t="s">
        <v>79</v>
      </c>
      <c r="D2" s="257">
        <f>'Data Entry - SOF'!B2</f>
        <v>0</v>
      </c>
      <c r="E2" s="257"/>
      <c r="F2" s="83" t="str">
        <f>'Report-SOF1718'!D2</f>
        <v>Release 2</v>
      </c>
    </row>
    <row r="3" spans="1:8">
      <c r="A3" s="23" t="s">
        <v>164</v>
      </c>
      <c r="D3" s="258">
        <f ca="1">'Data Entry - SOF'!B3</f>
        <v>43146.631174305556</v>
      </c>
      <c r="E3" s="258"/>
      <c r="F3" s="82">
        <f>'Report-SOF1718'!D3</f>
        <v>43145</v>
      </c>
    </row>
    <row r="4" spans="1:8">
      <c r="A4" s="23"/>
      <c r="D4" s="258"/>
      <c r="E4" s="258"/>
      <c r="F4" s="82"/>
    </row>
    <row r="6" spans="1:8" ht="18" hidden="1">
      <c r="A6" s="269" t="s">
        <v>26</v>
      </c>
      <c r="B6" s="273"/>
      <c r="C6" s="274"/>
      <c r="D6" s="273"/>
      <c r="E6" s="273"/>
      <c r="F6" s="266"/>
    </row>
    <row r="7" spans="1:8" ht="18" hidden="1">
      <c r="A7" s="270" t="s">
        <v>27</v>
      </c>
      <c r="B7" s="35"/>
      <c r="C7" s="158"/>
      <c r="D7" s="35"/>
      <c r="E7" s="35"/>
      <c r="F7" s="267"/>
    </row>
    <row r="8" spans="1:8" ht="18" hidden="1">
      <c r="A8" s="270" t="s">
        <v>1112</v>
      </c>
      <c r="B8" s="35"/>
      <c r="C8" s="158"/>
      <c r="D8" s="35"/>
      <c r="E8" s="35"/>
      <c r="F8" s="267"/>
    </row>
    <row r="9" spans="1:8" ht="18" hidden="1">
      <c r="A9" s="270" t="s">
        <v>194</v>
      </c>
      <c r="B9" s="35"/>
      <c r="C9" s="158"/>
      <c r="D9" s="35"/>
      <c r="E9" s="35"/>
      <c r="F9" s="267"/>
    </row>
    <row r="10" spans="1:8" ht="18" hidden="1">
      <c r="A10" s="270" t="s">
        <v>952</v>
      </c>
      <c r="B10" s="35"/>
      <c r="C10" s="158"/>
      <c r="D10" s="35"/>
      <c r="E10" s="35"/>
      <c r="F10" s="267"/>
    </row>
    <row r="11" spans="1:8" ht="18.75" hidden="1" thickBot="1">
      <c r="A11" s="271" t="s">
        <v>417</v>
      </c>
      <c r="B11" s="275"/>
      <c r="C11" s="276"/>
      <c r="D11" s="275"/>
      <c r="E11" s="275"/>
      <c r="F11" s="268"/>
    </row>
    <row r="12" spans="1:8" ht="18.75" hidden="1" thickBot="1">
      <c r="A12" s="272"/>
      <c r="D12" s="287" t="s">
        <v>2741</v>
      </c>
      <c r="E12" s="943"/>
      <c r="F12" s="266"/>
    </row>
    <row r="13" spans="1:8" s="177" customFormat="1">
      <c r="D13" s="927"/>
      <c r="E13" s="927"/>
      <c r="F13"/>
      <c r="G13" s="265"/>
      <c r="H13"/>
    </row>
    <row r="14" spans="1:8" s="177" customFormat="1">
      <c r="D14" s="931" t="s">
        <v>7802</v>
      </c>
      <c r="E14" s="928"/>
      <c r="F14" s="130"/>
      <c r="G14" s="265"/>
      <c r="H14"/>
    </row>
    <row r="15" spans="1:8" s="177" customFormat="1">
      <c r="D15" s="932" t="s">
        <v>7803</v>
      </c>
      <c r="E15" s="927"/>
      <c r="F15" s="118"/>
      <c r="G15" s="265"/>
      <c r="H15"/>
    </row>
    <row r="16" spans="1:8" s="177" customFormat="1">
      <c r="D16" s="1266" t="s">
        <v>7804</v>
      </c>
      <c r="E16" s="927"/>
      <c r="F16" s="118"/>
      <c r="G16" s="265"/>
      <c r="H16"/>
    </row>
    <row r="17" spans="1:10" s="177" customFormat="1">
      <c r="D17" s="1266" t="s">
        <v>7805</v>
      </c>
      <c r="E17" s="927"/>
      <c r="F17" s="118"/>
      <c r="G17" s="265"/>
      <c r="H17"/>
    </row>
    <row r="18" spans="1:10" s="177" customFormat="1">
      <c r="D18" s="1266" t="s">
        <v>7418</v>
      </c>
      <c r="E18" s="927"/>
      <c r="F18" s="118"/>
      <c r="G18" s="265"/>
      <c r="H18"/>
    </row>
    <row r="19" spans="1:10">
      <c r="D19" s="1036" t="s">
        <v>7831</v>
      </c>
      <c r="E19" s="35"/>
      <c r="F19" s="118"/>
      <c r="G19" s="94"/>
    </row>
    <row r="20" spans="1:10">
      <c r="D20" s="933"/>
      <c r="E20" s="929"/>
      <c r="F20" s="930"/>
    </row>
    <row r="21" spans="1:10">
      <c r="D21" s="897"/>
      <c r="E21" s="897"/>
      <c r="F21" s="896"/>
    </row>
    <row r="22" spans="1:10">
      <c r="D22" s="897"/>
      <c r="E22" s="897"/>
      <c r="F22" s="896"/>
    </row>
    <row r="24" spans="1:10">
      <c r="A24" s="177"/>
      <c r="C24" s="244">
        <v>1</v>
      </c>
      <c r="D24" s="240" t="s">
        <v>7806</v>
      </c>
      <c r="E24" s="240"/>
      <c r="F24" s="63" t="e">
        <f>'SOF1718-SB1'!Q49</f>
        <v>#DIV/0!</v>
      </c>
    </row>
    <row r="25" spans="1:10">
      <c r="A25" s="177"/>
      <c r="C25" s="244"/>
      <c r="D25" s="240"/>
      <c r="E25" s="240"/>
      <c r="F25" s="43"/>
    </row>
    <row r="26" spans="1:10">
      <c r="C26" s="244">
        <v>2</v>
      </c>
      <c r="D26" s="240" t="s">
        <v>7807</v>
      </c>
      <c r="E26" s="240"/>
      <c r="F26" s="898" t="e">
        <f>'SOF1718-SB1'!Q52</f>
        <v>#DIV/0!</v>
      </c>
    </row>
    <row r="27" spans="1:10">
      <c r="C27" s="244"/>
      <c r="D27" s="240"/>
      <c r="E27" s="240"/>
      <c r="F27" s="43"/>
    </row>
    <row r="28" spans="1:10">
      <c r="C28" s="244">
        <v>3</v>
      </c>
      <c r="D28" s="240" t="s">
        <v>7808</v>
      </c>
      <c r="E28" s="240"/>
      <c r="F28" s="63" t="e">
        <f>'SOF1718-SB1'!Q53</f>
        <v>#DIV/0!</v>
      </c>
    </row>
    <row r="29" spans="1:10">
      <c r="C29" s="244"/>
      <c r="D29" s="240"/>
      <c r="E29" s="240"/>
      <c r="F29" s="43"/>
    </row>
    <row r="30" spans="1:10">
      <c r="C30" s="244">
        <v>4</v>
      </c>
      <c r="D30" s="240" t="s">
        <v>7809</v>
      </c>
      <c r="E30" s="240"/>
      <c r="F30" s="904" t="e">
        <f>'ASATR-SB1'!S27</f>
        <v>#DIV/0!</v>
      </c>
      <c r="I30" t="s">
        <v>4506</v>
      </c>
    </row>
    <row r="31" spans="1:10" hidden="1">
      <c r="C31" s="244"/>
      <c r="D31" s="240" t="s">
        <v>829</v>
      </c>
      <c r="E31" s="240"/>
      <c r="F31" s="43"/>
    </row>
    <row r="32" spans="1:10">
      <c r="C32" s="244"/>
      <c r="D32" s="240"/>
      <c r="E32" s="240"/>
      <c r="F32" s="43"/>
      <c r="I32" s="254" t="e">
        <f>IF('Option Costs-HB3646'!BH57="n",MAX('Option Costs-HB3646'!BH54,'Option Costs-HB3646'!BI54),MIN('Option Costs-HB3646'!BH54,'Option Costs-HB3646'!BI54))</f>
        <v>#DIV/0!</v>
      </c>
      <c r="J32" t="s">
        <v>4504</v>
      </c>
    </row>
    <row r="33" spans="3:10">
      <c r="C33" s="244">
        <v>5</v>
      </c>
      <c r="D33" s="178" t="s">
        <v>7810</v>
      </c>
      <c r="E33" s="178"/>
      <c r="F33" s="254" t="e">
        <f>IF(FracFunding1718!E24&lt;=0,'Data Entry - SOF'!E59-I32-I33,'Data Entry - SOF'!E59-I37-I38)</f>
        <v>#DIV/0!</v>
      </c>
      <c r="I33" s="254" t="e">
        <f>IF('Option Costs-HB3646'!BJ57="n",MAX('Option Costs-HB3646'!BJ54,'Option Costs-HB3646'!BK54),MIN('Option Costs-HB3646'!BJ54,'Option Costs-HB3646'!BK54))</f>
        <v>#DIV/0!</v>
      </c>
      <c r="J33" t="s">
        <v>4505</v>
      </c>
    </row>
    <row r="34" spans="3:10">
      <c r="D34" s="178"/>
      <c r="E34" s="178"/>
    </row>
    <row r="35" spans="3:10">
      <c r="C35" s="244">
        <v>6</v>
      </c>
      <c r="D35" s="178" t="s">
        <v>7811</v>
      </c>
      <c r="E35" s="178"/>
      <c r="F35" s="63" t="e">
        <f>SUM(F24:F33)</f>
        <v>#DIV/0!</v>
      </c>
    </row>
    <row r="36" spans="3:10">
      <c r="D36" s="178"/>
      <c r="E36" s="178"/>
      <c r="I36" t="s">
        <v>4507</v>
      </c>
    </row>
    <row r="37" spans="3:10">
      <c r="C37" s="244">
        <v>7</v>
      </c>
      <c r="D37" s="178" t="s">
        <v>7812</v>
      </c>
      <c r="E37" s="178"/>
      <c r="F37" s="243" t="e">
        <f>'SOF1718-SB1'!R44</f>
        <v>#DIV/0!</v>
      </c>
      <c r="I37" s="254" t="e">
        <f>IF('Option Costs-HB3646'!BH88="n",MAX('Option Costs-HB3646'!BH85,'Option Costs-HB3646'!BI85),MIN('Option Costs-HB3646'!BH85,'Option Costs-HB3646'!BI85))</f>
        <v>#DIV/0!</v>
      </c>
      <c r="J37" t="s">
        <v>4504</v>
      </c>
    </row>
    <row r="38" spans="3:10">
      <c r="C38" s="246"/>
      <c r="D38" s="178"/>
      <c r="E38" s="178"/>
      <c r="I38" s="254" t="e">
        <f>IF('Option Costs-HB3646'!BJ88="n",MAX('Option Costs-HB3646'!BJ85,'Option Costs-HB3646'!BK85),MIN('Option Costs-HB3646'!BJ85,'Option Costs-HB3646'!BK85))</f>
        <v>#DIV/0!</v>
      </c>
      <c r="J38" t="s">
        <v>4505</v>
      </c>
    </row>
    <row r="39" spans="3:10">
      <c r="C39" s="244">
        <v>8</v>
      </c>
      <c r="D39" s="178" t="s">
        <v>7813</v>
      </c>
      <c r="E39" s="178"/>
      <c r="F39" s="243" t="e">
        <f>F35/F37</f>
        <v>#DIV/0!</v>
      </c>
    </row>
    <row r="40" spans="3:10">
      <c r="C40" s="244"/>
      <c r="D40" s="178"/>
      <c r="E40" s="178"/>
    </row>
    <row r="41" spans="3:10">
      <c r="C41" s="244">
        <v>9</v>
      </c>
      <c r="D41" s="178" t="s">
        <v>3891</v>
      </c>
      <c r="E41" s="178"/>
      <c r="F41" s="243" t="e">
        <f>'Calc Data-SB1'!E25</f>
        <v>#DIV/0!</v>
      </c>
    </row>
    <row r="42" spans="3:10">
      <c r="D42" s="178"/>
      <c r="E42" s="178"/>
    </row>
    <row r="43" spans="3:10">
      <c r="C43" s="244">
        <v>10</v>
      </c>
      <c r="D43" s="178" t="s">
        <v>7765</v>
      </c>
      <c r="E43" s="178"/>
      <c r="F43" s="242" t="e">
        <f>F39*F41</f>
        <v>#DIV/0!</v>
      </c>
    </row>
    <row r="44" spans="3:10">
      <c r="D44" s="178" t="s">
        <v>7814</v>
      </c>
      <c r="E44" s="178"/>
    </row>
    <row r="45" spans="3:10">
      <c r="C45" s="244"/>
      <c r="D45" s="178"/>
      <c r="E45" s="178"/>
    </row>
    <row r="46" spans="3:10">
      <c r="C46" s="248">
        <v>11</v>
      </c>
      <c r="D46" s="240" t="s">
        <v>7766</v>
      </c>
      <c r="E46" s="240"/>
      <c r="F46" s="254" t="e">
        <f>'ASATR-SB1'!I40</f>
        <v>#DIV/0!</v>
      </c>
    </row>
    <row r="47" spans="3:10">
      <c r="C47" s="248"/>
      <c r="D47" s="240"/>
      <c r="E47" s="240"/>
      <c r="F47" s="202"/>
    </row>
    <row r="48" spans="3:10">
      <c r="C48" s="247">
        <v>12</v>
      </c>
      <c r="D48" s="240" t="s">
        <v>7767</v>
      </c>
      <c r="E48" s="240"/>
      <c r="F48" s="254" t="e">
        <f>MIN(F43,F46)</f>
        <v>#DIV/0!</v>
      </c>
    </row>
    <row r="49" spans="3:9">
      <c r="C49" s="247"/>
      <c r="D49" s="240"/>
      <c r="E49" s="240"/>
      <c r="F49" s="202"/>
    </row>
    <row r="50" spans="3:9">
      <c r="C50" s="248">
        <v>13</v>
      </c>
      <c r="D50" s="2509" t="s">
        <v>7768</v>
      </c>
      <c r="E50" s="240"/>
      <c r="F50" s="2515" t="e">
        <f>((F48-'ASATR-SB1'!I37)/'Data Entry - SOF'!G102)/(1-'Option Costs-HB3646'!S66)</f>
        <v>#DIV/0!</v>
      </c>
    </row>
    <row r="51" spans="3:9">
      <c r="D51" s="240"/>
      <c r="E51" s="240"/>
      <c r="F51" s="202"/>
    </row>
    <row r="52" spans="3:9">
      <c r="C52" s="247">
        <v>14</v>
      </c>
      <c r="D52" s="240" t="s">
        <v>7815</v>
      </c>
      <c r="E52" s="240"/>
      <c r="F52" s="254" t="e">
        <f>IF(F43-F46&lt;0,0,F43-F46)</f>
        <v>#DIV/0!</v>
      </c>
    </row>
    <row r="53" spans="3:9">
      <c r="D53" s="240"/>
      <c r="E53" s="240"/>
      <c r="F53" s="202"/>
    </row>
    <row r="54" spans="3:9">
      <c r="C54" s="248">
        <v>15</v>
      </c>
      <c r="D54" s="47" t="s">
        <v>7769</v>
      </c>
      <c r="E54" s="47"/>
      <c r="F54" s="400" t="e">
        <f>F52/IF(I60&gt;Assumptions!G110,I60,Assumptions!G110)/F41/100</f>
        <v>#DIV/0!</v>
      </c>
    </row>
    <row r="55" spans="3:9">
      <c r="D55" s="178"/>
      <c r="E55" s="178"/>
    </row>
    <row r="56" spans="3:9">
      <c r="C56" s="248">
        <v>16</v>
      </c>
      <c r="D56" s="47" t="s">
        <v>7770</v>
      </c>
      <c r="E56" s="47"/>
      <c r="F56" s="242" t="e">
        <f>6*'Calc Data-SB1'!E29</f>
        <v>#DIV/0!</v>
      </c>
    </row>
    <row r="57" spans="3:9">
      <c r="C57" s="248"/>
      <c r="D57" s="178"/>
      <c r="E57" s="178"/>
    </row>
    <row r="58" spans="3:9">
      <c r="C58" s="248">
        <v>17</v>
      </c>
      <c r="D58" s="47" t="s">
        <v>7771</v>
      </c>
      <c r="E58" s="47"/>
      <c r="F58" s="243" t="e">
        <f>F56/('Data Entry - SOF'!G48/100)</f>
        <v>#DIV/0!</v>
      </c>
    </row>
    <row r="59" spans="3:9">
      <c r="C59" s="245"/>
      <c r="D59" s="178"/>
      <c r="E59" s="178"/>
      <c r="F59" s="121"/>
    </row>
    <row r="60" spans="3:9">
      <c r="C60" s="248">
        <v>18</v>
      </c>
      <c r="D60" s="47" t="s">
        <v>7772</v>
      </c>
      <c r="E60" s="47"/>
      <c r="F60" s="254" t="e">
        <f>F58*IF(I60&gt;Assumptions!G110,I60,Assumptions!G110)*F41*100</f>
        <v>#DIV/0!</v>
      </c>
      <c r="I60" s="176" t="e">
        <f>'Data Entry - SOF'!G48/10000/'Calc Data-SB1'!E25</f>
        <v>#DIV/0!</v>
      </c>
    </row>
    <row r="61" spans="3:9">
      <c r="C61" s="248"/>
      <c r="D61" s="178"/>
      <c r="E61" s="178"/>
      <c r="F61" s="121"/>
    </row>
    <row r="62" spans="3:9">
      <c r="C62" s="248">
        <v>19</v>
      </c>
      <c r="D62" s="47" t="s">
        <v>7773</v>
      </c>
      <c r="E62" s="47"/>
      <c r="F62" s="242" t="e">
        <f>IF(I62="No",F56,MIN(F54,F58)*('Data Entry - SOF'!G48/100))</f>
        <v>#DIV/0!</v>
      </c>
      <c r="H62" t="e">
        <f>F58*('Data Entry - SOF'!G48/100)</f>
        <v>#DIV/0!</v>
      </c>
      <c r="I62" s="72" t="e">
        <f>IF(F60&gt;=F52,"Yes","No")</f>
        <v>#DIV/0!</v>
      </c>
    </row>
    <row r="63" spans="3:9">
      <c r="C63" s="248"/>
      <c r="D63" s="47"/>
      <c r="E63" s="47"/>
      <c r="F63" s="163"/>
      <c r="I63" s="72"/>
    </row>
    <row r="64" spans="3:9">
      <c r="C64" s="248">
        <v>20</v>
      </c>
      <c r="D64" s="2510" t="s">
        <v>7774</v>
      </c>
      <c r="E64" s="47"/>
      <c r="F64" s="2516" t="e">
        <f>(F62/'Data Entry - SOF'!G102)</f>
        <v>#DIV/0!</v>
      </c>
      <c r="I64" s="72"/>
    </row>
    <row r="65" spans="3:11">
      <c r="C65" s="245"/>
      <c r="D65" s="178"/>
      <c r="E65" s="178"/>
      <c r="F65" s="175"/>
    </row>
    <row r="66" spans="3:11">
      <c r="C66" s="248">
        <v>21</v>
      </c>
      <c r="D66" s="201" t="s">
        <v>7775</v>
      </c>
      <c r="E66" s="201"/>
      <c r="F66" s="242" t="e">
        <f>IF((Assumptions!G110*MIN(F54,F58)*F41*100)-F62&lt;0,0,(Assumptions!G110*MIN(F54,F58)*F41*100)-F62)</f>
        <v>#DIV/0!</v>
      </c>
      <c r="H66" s="121"/>
    </row>
    <row r="67" spans="3:11">
      <c r="H67" s="121"/>
    </row>
    <row r="68" spans="3:11">
      <c r="C68" s="248">
        <v>22</v>
      </c>
      <c r="D68" s="47" t="s">
        <v>7776</v>
      </c>
      <c r="E68" s="47"/>
      <c r="F68" s="242" t="e">
        <f>IF(F52-F62-F66&lt;0,0,F52-F62-F66)</f>
        <v>#DIV/0!</v>
      </c>
      <c r="H68" s="121"/>
    </row>
    <row r="69" spans="3:11">
      <c r="C69" s="248"/>
      <c r="D69" s="178"/>
      <c r="E69" s="178"/>
      <c r="F69" s="163"/>
      <c r="H69" s="121"/>
    </row>
    <row r="70" spans="3:11">
      <c r="C70" s="248">
        <v>23</v>
      </c>
      <c r="D70" s="47" t="s">
        <v>7777</v>
      </c>
      <c r="E70" s="47"/>
      <c r="F70" s="400" t="e">
        <f>F68/F41/IF(('Option Costs-HB3646'!W36/10000)&gt;Assumptions!G111,('Option Costs-HB3646'!W36/10000),Assumptions!G111)/100</f>
        <v>#DIV/0!</v>
      </c>
      <c r="H70" s="121"/>
      <c r="I70" s="400" t="e">
        <f>F68/F41/IF(('Option Costs-HB3646'!Y36/10000)&gt;Assumptions!G111,('Option Costs-HB3646'!Y36/10000),Assumptions!G111)/100</f>
        <v>#DIV/0!</v>
      </c>
      <c r="J70" s="400" t="e">
        <f>F68/F41/IF(('Option Costs-HB3646'!Y36/10000)&gt;Assumptions!G111,('Option Costs-HB3646'!Y36/10000),Assumptions!G111)/100</f>
        <v>#DIV/0!</v>
      </c>
    </row>
    <row r="71" spans="3:11">
      <c r="D71" s="178"/>
      <c r="E71" s="178"/>
    </row>
    <row r="72" spans="3:11">
      <c r="C72" s="248">
        <v>24</v>
      </c>
      <c r="D72" s="47" t="s">
        <v>7778</v>
      </c>
      <c r="E72" s="47"/>
      <c r="F72" s="400">
        <f>J72</f>
        <v>1.1099999999999999</v>
      </c>
      <c r="I72" s="400">
        <f>1.17-'Data Entry - SOF'!G108-0.06</f>
        <v>1.1099999999999999</v>
      </c>
      <c r="J72" s="400">
        <f>1.17-'Calc Data-SB1'!AJ30-0.06</f>
        <v>1.1099999999999999</v>
      </c>
    </row>
    <row r="73" spans="3:11">
      <c r="C73" s="248"/>
      <c r="D73" s="241"/>
      <c r="E73" s="241"/>
    </row>
    <row r="74" spans="3:11">
      <c r="C74" s="248">
        <v>25</v>
      </c>
      <c r="D74" s="47" t="s">
        <v>7779</v>
      </c>
      <c r="E74" s="47"/>
      <c r="F74" s="242" t="e">
        <f>F72*100*'Calc Data-SB1'!E29</f>
        <v>#DIV/0!</v>
      </c>
      <c r="I74" s="242"/>
    </row>
    <row r="75" spans="3:11">
      <c r="C75" s="248"/>
      <c r="D75" s="241"/>
      <c r="E75" s="241"/>
    </row>
    <row r="76" spans="3:11">
      <c r="C76" s="248">
        <v>26</v>
      </c>
      <c r="D76" s="47" t="s">
        <v>7780</v>
      </c>
      <c r="E76" s="47"/>
      <c r="F76" s="243" t="e">
        <f>F74/('Data Entry - SOF'!G48/100)</f>
        <v>#DIV/0!</v>
      </c>
    </row>
    <row r="77" spans="3:11">
      <c r="C77" s="248"/>
      <c r="D77" s="47"/>
      <c r="E77" s="47"/>
      <c r="F77" s="1473"/>
    </row>
    <row r="78" spans="3:11">
      <c r="C78" s="248">
        <v>27</v>
      </c>
      <c r="D78" s="47" t="s">
        <v>7781</v>
      </c>
      <c r="E78" s="47"/>
      <c r="F78" s="242" t="e">
        <f>IF(F70&lt;F76,F74*(F70/F76),F74)</f>
        <v>#DIV/0!</v>
      </c>
    </row>
    <row r="79" spans="3:11">
      <c r="C79" s="1379"/>
      <c r="D79" s="47"/>
      <c r="E79" s="47"/>
      <c r="F79" s="1473"/>
    </row>
    <row r="80" spans="3:11">
      <c r="C80" s="248">
        <v>28</v>
      </c>
      <c r="D80" s="47" t="s">
        <v>7782</v>
      </c>
      <c r="E80" s="47"/>
      <c r="F80" s="242" t="e">
        <f>IF(('Option Costs-HB3646'!W36/10000)&gt;Assumptions!G111,('Option Costs-HB3646'!W36/10000),Assumptions!G111)*F41*MIN(F70,F76)*100</f>
        <v>#DIV/0!</v>
      </c>
      <c r="I80" s="121"/>
      <c r="K80" s="121"/>
    </row>
    <row r="81" spans="3:14">
      <c r="C81" s="248"/>
      <c r="D81" s="178"/>
      <c r="E81" s="178"/>
    </row>
    <row r="82" spans="3:14">
      <c r="C82" s="248">
        <v>29</v>
      </c>
      <c r="D82" s="201" t="s">
        <v>7783</v>
      </c>
      <c r="E82" s="201"/>
      <c r="F82" s="254" t="e">
        <f>IF(I60&gt;MAX('Option Costs-HB3646'!W36/10000,Assumptions!G111),F80,IF(I82="No",F74,MIN(F70,F76)*('Data Entry - SOF'!G48/100)))</f>
        <v>#DIV/0!</v>
      </c>
      <c r="H82" t="e">
        <f>F76*('Data Entry - SOF'!G48/100)</f>
        <v>#DIV/0!</v>
      </c>
      <c r="I82" s="245" t="e">
        <f>IF(F80&gt;=F68,"Yes","No")</f>
        <v>#DIV/0!</v>
      </c>
    </row>
    <row r="83" spans="3:14">
      <c r="C83" s="248"/>
      <c r="D83" s="201"/>
      <c r="E83" s="201"/>
      <c r="F83" s="202"/>
      <c r="I83" s="245"/>
    </row>
    <row r="84" spans="3:14">
      <c r="C84" s="248">
        <v>30</v>
      </c>
      <c r="D84" s="2510" t="s">
        <v>7784</v>
      </c>
      <c r="E84" s="201"/>
      <c r="F84" s="2516" t="e">
        <f>(F78/'Data Entry - SOF'!G102)</f>
        <v>#DIV/0!</v>
      </c>
      <c r="I84" s="245"/>
    </row>
    <row r="85" spans="3:14">
      <c r="C85" s="248"/>
      <c r="D85" s="178"/>
      <c r="E85" s="178"/>
      <c r="F85" s="163"/>
    </row>
    <row r="86" spans="3:14">
      <c r="C86" s="248">
        <v>31</v>
      </c>
      <c r="D86" s="47" t="s">
        <v>7785</v>
      </c>
      <c r="E86" s="47"/>
      <c r="F86" s="242" t="e">
        <f>IF(F82&gt;=F80,0,F80-F82)</f>
        <v>#DIV/0!</v>
      </c>
    </row>
    <row r="87" spans="3:14">
      <c r="C87" s="248"/>
      <c r="D87" s="178"/>
      <c r="E87" s="178"/>
      <c r="F87" s="163"/>
    </row>
    <row r="88" spans="3:14">
      <c r="C88" s="248">
        <v>32</v>
      </c>
      <c r="D88" s="47" t="s">
        <v>7786</v>
      </c>
      <c r="E88" s="47"/>
      <c r="F88" s="242" t="e">
        <f>IF(F68-F82-F86&lt;0,0,F68-F82-F86)</f>
        <v>#DIV/0!</v>
      </c>
      <c r="H88" s="177"/>
      <c r="I88" s="1375"/>
      <c r="J88" s="177"/>
      <c r="L88" s="177"/>
      <c r="M88" s="177"/>
      <c r="N88" s="177"/>
    </row>
    <row r="89" spans="3:14">
      <c r="C89" s="248"/>
      <c r="D89" s="47"/>
      <c r="E89" s="47"/>
      <c r="F89" s="163"/>
      <c r="H89" s="177"/>
      <c r="I89" s="1375"/>
      <c r="J89" s="177"/>
      <c r="L89" s="177"/>
      <c r="M89" s="177"/>
      <c r="N89" s="177"/>
    </row>
    <row r="90" spans="3:14">
      <c r="C90" s="248">
        <v>33</v>
      </c>
      <c r="D90" s="201" t="s">
        <v>7787</v>
      </c>
      <c r="E90" s="201"/>
      <c r="F90" s="254" t="e">
        <f>IF(F88=0,0,IF('Option Costs-HB3646'!W35=0,F88,F88/(1-'Option Costs-HB3646'!W35)))</f>
        <v>#DIV/0!</v>
      </c>
      <c r="H90" s="177"/>
      <c r="I90" s="1375"/>
      <c r="J90" s="177"/>
      <c r="L90" s="177"/>
      <c r="M90" s="177"/>
      <c r="N90" s="177"/>
    </row>
    <row r="91" spans="3:14">
      <c r="C91" s="248"/>
      <c r="D91" s="201"/>
      <c r="E91" s="201"/>
      <c r="F91" s="202"/>
      <c r="H91" s="177"/>
      <c r="I91" s="1375"/>
      <c r="J91" s="177"/>
      <c r="L91" s="177"/>
      <c r="M91" s="177"/>
      <c r="N91" s="177"/>
    </row>
    <row r="92" spans="3:14">
      <c r="C92" s="248">
        <v>34</v>
      </c>
      <c r="D92" s="1200" t="s">
        <v>7788</v>
      </c>
      <c r="E92" s="201"/>
      <c r="F92" s="2516" t="e">
        <f>(F90/'Data Entry - SOF'!G102)</f>
        <v>#DIV/0!</v>
      </c>
      <c r="H92" s="177"/>
      <c r="I92" s="1375"/>
      <c r="J92" s="177"/>
      <c r="L92" s="177"/>
      <c r="M92" s="177"/>
      <c r="N92" s="177"/>
    </row>
    <row r="93" spans="3:14">
      <c r="C93" s="248"/>
      <c r="D93" s="178"/>
      <c r="E93" s="178"/>
      <c r="F93" s="163"/>
      <c r="H93" s="177"/>
      <c r="I93" s="177"/>
      <c r="J93" s="177"/>
      <c r="L93" s="177"/>
      <c r="M93" s="177"/>
      <c r="N93" s="177"/>
    </row>
    <row r="94" spans="3:14">
      <c r="C94" s="248">
        <v>35</v>
      </c>
      <c r="D94" s="47" t="s">
        <v>7789</v>
      </c>
      <c r="E94" s="47"/>
      <c r="F94" s="242">
        <f>IFA!R79</f>
        <v>0</v>
      </c>
      <c r="I94" s="121" t="e">
        <f>F88*0.9466</f>
        <v>#DIV/0!</v>
      </c>
    </row>
    <row r="95" spans="3:14">
      <c r="C95" s="248"/>
      <c r="D95" s="47"/>
      <c r="E95" s="47"/>
      <c r="F95" s="163"/>
      <c r="I95" s="121"/>
    </row>
    <row r="96" spans="3:14">
      <c r="C96" s="248">
        <v>36</v>
      </c>
      <c r="D96" s="2510" t="s">
        <v>7790</v>
      </c>
      <c r="E96" s="47"/>
      <c r="F96" s="2516" t="e">
        <f>(F94/'Data Entry - SOF'!G102)</f>
        <v>#DIV/0!</v>
      </c>
      <c r="I96" s="121"/>
    </row>
    <row r="97" spans="3:10">
      <c r="C97" s="248"/>
      <c r="D97" s="178"/>
      <c r="E97" s="178"/>
      <c r="F97" s="163"/>
      <c r="I97" s="121" t="e">
        <f>F88-I94</f>
        <v>#DIV/0!</v>
      </c>
    </row>
    <row r="98" spans="3:10" hidden="1">
      <c r="C98" s="248">
        <v>37</v>
      </c>
      <c r="D98" s="47" t="s">
        <v>7791</v>
      </c>
      <c r="E98" s="47"/>
      <c r="F98" s="242" t="e">
        <f>F62+F82+F90+F94</f>
        <v>#DIV/0!</v>
      </c>
      <c r="H98" s="177"/>
    </row>
    <row r="99" spans="3:10" hidden="1">
      <c r="C99" s="248"/>
      <c r="D99" s="47"/>
      <c r="E99" s="47"/>
      <c r="F99" s="163"/>
      <c r="H99" s="177"/>
    </row>
    <row r="100" spans="3:10" hidden="1">
      <c r="C100" s="248">
        <v>38</v>
      </c>
      <c r="D100" s="47" t="s">
        <v>7792</v>
      </c>
      <c r="E100" s="47"/>
      <c r="F100" s="243">
        <f>'Data Entry - SOF'!E102</f>
        <v>0</v>
      </c>
      <c r="H100" s="177"/>
    </row>
    <row r="101" spans="3:10" hidden="1">
      <c r="C101" s="248"/>
      <c r="D101" s="47"/>
      <c r="E101" s="47"/>
      <c r="F101" s="163"/>
      <c r="H101" s="177"/>
    </row>
    <row r="102" spans="3:10" hidden="1">
      <c r="C102" s="248">
        <v>33</v>
      </c>
      <c r="D102" s="47" t="s">
        <v>7793</v>
      </c>
      <c r="E102" s="47"/>
      <c r="F102" s="242" t="e">
        <f>F98/F100</f>
        <v>#DIV/0!</v>
      </c>
      <c r="H102" s="177"/>
    </row>
    <row r="103" spans="3:10" hidden="1">
      <c r="C103" s="248"/>
      <c r="D103" s="178"/>
      <c r="E103" s="178"/>
      <c r="F103" s="163"/>
      <c r="H103" s="177"/>
    </row>
    <row r="104" spans="3:10" hidden="1">
      <c r="C104" s="248">
        <v>37</v>
      </c>
      <c r="D104" s="240" t="s">
        <v>7307</v>
      </c>
      <c r="E104" s="240"/>
      <c r="F104" s="254">
        <f>'Data Entry - SOF'!E103</f>
        <v>0</v>
      </c>
      <c r="H104" s="177"/>
    </row>
    <row r="105" spans="3:10" hidden="1">
      <c r="D105" s="240"/>
      <c r="E105" s="240"/>
      <c r="F105" s="202"/>
      <c r="H105" s="177"/>
    </row>
    <row r="106" spans="3:10" hidden="1">
      <c r="C106" s="248">
        <v>35</v>
      </c>
      <c r="D106" s="240" t="s">
        <v>7794</v>
      </c>
      <c r="E106" s="240"/>
      <c r="F106" s="400" t="e">
        <f>(F102/F104)*100</f>
        <v>#DIV/0!</v>
      </c>
      <c r="H106" s="177"/>
    </row>
    <row r="107" spans="3:10" hidden="1">
      <c r="D107" s="255"/>
      <c r="E107" s="255"/>
      <c r="F107" s="177"/>
      <c r="H107" s="177"/>
    </row>
    <row r="108" spans="3:10">
      <c r="C108" s="248">
        <v>37</v>
      </c>
      <c r="D108" s="2510" t="s">
        <v>7795</v>
      </c>
      <c r="E108" s="255"/>
      <c r="F108" s="2516" t="e">
        <f>F50+F64+F84+F92+F96</f>
        <v>#DIV/0!</v>
      </c>
      <c r="H108" s="177"/>
    </row>
    <row r="109" spans="3:10">
      <c r="C109" s="248"/>
      <c r="D109" s="2510"/>
      <c r="E109" s="255"/>
      <c r="F109" s="177"/>
      <c r="H109" s="177"/>
    </row>
    <row r="110" spans="3:10">
      <c r="C110" s="248">
        <v>38</v>
      </c>
      <c r="D110" s="2517" t="s">
        <v>7400</v>
      </c>
      <c r="E110" s="255"/>
      <c r="F110" s="254">
        <f>'Data Entry - SOF'!G103</f>
        <v>0</v>
      </c>
      <c r="H110" s="177"/>
    </row>
    <row r="111" spans="3:10">
      <c r="D111" s="255"/>
      <c r="E111" s="255"/>
      <c r="F111" s="177"/>
      <c r="H111" s="177"/>
    </row>
    <row r="112" spans="3:10">
      <c r="C112" s="248">
        <v>39</v>
      </c>
      <c r="D112" s="2511" t="s">
        <v>7796</v>
      </c>
      <c r="E112" s="2512"/>
      <c r="F112" s="2513" t="e">
        <f>F108/((F110/100))</f>
        <v>#DIV/0!</v>
      </c>
      <c r="H112" s="121" t="e">
        <f>F104*(F112/100)*F100</f>
        <v>#DIV/0!</v>
      </c>
      <c r="I112" s="1806" t="e">
        <f>F106+IF('Data Entry - SOF'!C108&gt;'Data Entry - SOF'!G58,'Data Entry - SOF'!G58,'Data Entry - SOF'!C108)</f>
        <v>#DIV/0!</v>
      </c>
      <c r="J112" s="1806" t="e">
        <f>F106+IF(FracFunding1819!D5&gt;='Data Entry - SOF'!G58,'Data Entry - SOF'!G58,FracFunding1819!D5)</f>
        <v>#DIV/0!</v>
      </c>
    </row>
    <row r="113" spans="4:6">
      <c r="D113" s="94"/>
      <c r="E113" s="94"/>
      <c r="F113" s="177"/>
    </row>
    <row r="114" spans="4:6">
      <c r="D114" s="94"/>
      <c r="E114" s="94"/>
      <c r="F114" s="177"/>
    </row>
    <row r="115" spans="4:6" hidden="1">
      <c r="D115" s="94"/>
      <c r="E115" s="94"/>
      <c r="F115" s="177"/>
    </row>
    <row r="116" spans="4:6" hidden="1">
      <c r="D116" s="384" t="s">
        <v>7816</v>
      </c>
      <c r="E116" s="919"/>
      <c r="F116" s="385"/>
    </row>
    <row r="117" spans="4:6" hidden="1">
      <c r="D117" s="386" t="s">
        <v>7797</v>
      </c>
      <c r="E117" s="920"/>
      <c r="F117" s="387"/>
    </row>
    <row r="118" spans="4:6">
      <c r="D118" s="94"/>
      <c r="E118" s="94"/>
      <c r="F118" s="177"/>
    </row>
    <row r="119" spans="4:6" ht="13.5" thickBot="1">
      <c r="D119" s="94"/>
      <c r="E119" s="94"/>
      <c r="F119" s="177"/>
    </row>
    <row r="120" spans="4:6">
      <c r="D120" s="314" t="s">
        <v>7798</v>
      </c>
      <c r="E120" s="921"/>
      <c r="F120" s="316"/>
    </row>
    <row r="121" spans="4:6">
      <c r="D121" s="1245" t="s">
        <v>4446</v>
      </c>
      <c r="E121" s="922"/>
      <c r="F121" s="317"/>
    </row>
    <row r="122" spans="4:6" ht="13.5" thickBot="1">
      <c r="D122" s="315" t="s">
        <v>3497</v>
      </c>
      <c r="E122" s="923"/>
      <c r="F122" s="318"/>
    </row>
    <row r="123" spans="4:6">
      <c r="D123" s="94"/>
      <c r="E123" s="94"/>
      <c r="F123" s="177"/>
    </row>
    <row r="124" spans="4:6" ht="13.5" thickBot="1">
      <c r="D124" s="94"/>
      <c r="E124" s="94"/>
      <c r="F124" s="177"/>
    </row>
    <row r="125" spans="4:6">
      <c r="D125" s="1246" t="s">
        <v>4447</v>
      </c>
      <c r="E125" s="1247"/>
      <c r="F125" s="1248"/>
    </row>
    <row r="126" spans="4:6">
      <c r="D126" s="1376" t="s">
        <v>4448</v>
      </c>
      <c r="E126" s="1377"/>
      <c r="F126" s="1378"/>
    </row>
    <row r="127" spans="4:6" ht="13.5" thickBot="1">
      <c r="D127" s="1249" t="s">
        <v>4449</v>
      </c>
      <c r="E127" s="1250"/>
      <c r="F127" s="1251"/>
    </row>
    <row r="128" spans="4:6" ht="13.5" thickBot="1">
      <c r="D128" s="177"/>
      <c r="E128" s="177"/>
      <c r="F128" s="177"/>
    </row>
    <row r="129" spans="4:7" ht="13.5" thickBot="1">
      <c r="D129" s="1718"/>
      <c r="E129" s="1719"/>
      <c r="F129" s="1720"/>
    </row>
    <row r="130" spans="4:7">
      <c r="D130" s="1721" t="s">
        <v>7799</v>
      </c>
      <c r="E130" s="924"/>
      <c r="F130" s="1727">
        <f>IF('Data Entry - SOF'!C113&gt;1.5,('Data Entry - SOF'!C113*0.6667)+0.04,(1.5*0.6667)+0.04)</f>
        <v>1.0400499999999999</v>
      </c>
    </row>
    <row r="131" spans="4:7">
      <c r="D131" s="1721" t="s">
        <v>831</v>
      </c>
      <c r="E131" s="924"/>
      <c r="F131" s="1726">
        <f>'Data Entry - SOF'!G106</f>
        <v>0</v>
      </c>
      <c r="G131" s="62"/>
    </row>
    <row r="132" spans="4:7">
      <c r="D132" s="1730" t="s">
        <v>2779</v>
      </c>
      <c r="E132" s="1731"/>
      <c r="F132" s="1725">
        <f>F130+F131</f>
        <v>1.0400499999999999</v>
      </c>
    </row>
    <row r="133" spans="4:7">
      <c r="D133" s="1721"/>
      <c r="E133" s="924"/>
      <c r="F133" s="1781"/>
    </row>
    <row r="134" spans="4:7">
      <c r="D134" s="1721"/>
      <c r="E134" s="924"/>
      <c r="F134" s="1781"/>
    </row>
    <row r="135" spans="4:7">
      <c r="D135" s="1730" t="s">
        <v>7800</v>
      </c>
      <c r="E135" s="1731"/>
      <c r="F135" s="1725" t="e">
        <f>F112+0.04</f>
        <v>#DIV/0!</v>
      </c>
    </row>
    <row r="136" spans="4:7">
      <c r="D136" s="1721"/>
      <c r="E136" s="924"/>
      <c r="F136" s="1781"/>
    </row>
    <row r="137" spans="4:7" ht="13.5" thickBot="1">
      <c r="D137" s="1721"/>
      <c r="E137" s="924"/>
      <c r="F137" s="1781"/>
    </row>
    <row r="138" spans="4:7" ht="13.5" thickBot="1">
      <c r="D138" s="1729" t="s">
        <v>7801</v>
      </c>
      <c r="E138" s="830"/>
      <c r="F138" s="1728" t="e">
        <f>IF('Data Entry - SOF'!C113&gt;1.5,MIN(F132,F135),IF(MIN(F132,F135)&gt;1.17,1.17,MIN(F132,F135)))</f>
        <v>#DIV/0!</v>
      </c>
    </row>
    <row r="139" spans="4:7" ht="13.5" thickBot="1">
      <c r="D139" s="1722" t="s">
        <v>1266</v>
      </c>
      <c r="E139" s="1723"/>
      <c r="F139" s="1724"/>
    </row>
  </sheetData>
  <sheetProtection sheet="1" objects="1" scenarios="1"/>
  <phoneticPr fontId="25" type="noConversion"/>
  <pageMargins left="0.25" right="0.25" top="0.5" bottom="0.5" header="0.5" footer="0.5"/>
  <pageSetup scale="65" orientation="portrait" r:id="rId1"/>
  <headerFooter alignWithMargins="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25"/>
  <sheetViews>
    <sheetView workbookViewId="0">
      <selection activeCell="K2" sqref="K2"/>
    </sheetView>
  </sheetViews>
  <sheetFormatPr defaultRowHeight="12.75"/>
  <cols>
    <col min="1" max="1" width="9.140625" style="47" customWidth="1"/>
    <col min="2" max="2" width="14.42578125" style="47" customWidth="1"/>
    <col min="3" max="3" width="13.7109375" style="47" customWidth="1"/>
    <col min="4" max="4" width="1.7109375" style="47" customWidth="1"/>
    <col min="5" max="5" width="13.7109375" style="47" customWidth="1"/>
    <col min="6" max="6" width="1.7109375" style="47" customWidth="1"/>
    <col min="7" max="7" width="13.7109375" style="47" customWidth="1"/>
    <col min="8" max="8" width="1.7109375" style="47" customWidth="1"/>
    <col min="9" max="9" width="13.7109375" style="47" customWidth="1"/>
    <col min="10" max="10" width="1.7109375" style="47" customWidth="1"/>
    <col min="11" max="11" width="13.7109375" style="47" customWidth="1"/>
    <col min="15" max="15" width="20.7109375" customWidth="1"/>
  </cols>
  <sheetData>
    <row r="1" spans="1:11">
      <c r="A1" s="101"/>
      <c r="B1" s="35"/>
      <c r="C1" s="71"/>
      <c r="D1" s="71"/>
      <c r="E1" s="71"/>
      <c r="F1" s="71"/>
      <c r="G1" s="71"/>
      <c r="H1" s="71"/>
      <c r="I1" s="164"/>
      <c r="J1" s="164"/>
      <c r="K1" s="1779" t="str">
        <f>'Notice Calc1819'!D1</f>
        <v>84th/85th Legislative Session</v>
      </c>
    </row>
    <row r="2" spans="1:11">
      <c r="A2" s="101"/>
      <c r="B2" s="35"/>
      <c r="C2" s="71"/>
      <c r="D2" s="71"/>
      <c r="E2" s="71"/>
      <c r="F2" s="71"/>
      <c r="G2" s="71"/>
      <c r="H2" s="71"/>
      <c r="I2" s="71"/>
      <c r="K2" s="98" t="str">
        <f>'Notice Calc1819'!D2</f>
        <v>Release 2</v>
      </c>
    </row>
    <row r="3" spans="1:11">
      <c r="A3" s="101"/>
      <c r="B3" s="35"/>
      <c r="C3" s="71"/>
      <c r="D3" s="71"/>
      <c r="E3" s="71"/>
      <c r="F3" s="71"/>
      <c r="G3" s="71"/>
      <c r="H3" s="71"/>
      <c r="I3" s="71"/>
      <c r="K3" s="82">
        <f>'Notice Calc1819'!D6</f>
        <v>43145</v>
      </c>
    </row>
    <row r="4" spans="1:11">
      <c r="A4" s="101"/>
      <c r="B4" s="35"/>
      <c r="C4" s="71"/>
      <c r="D4" s="71"/>
      <c r="E4" s="71"/>
      <c r="F4" s="71"/>
      <c r="G4" s="71"/>
      <c r="H4" s="71"/>
      <c r="I4" s="71"/>
      <c r="K4" s="82"/>
    </row>
    <row r="5" spans="1:11">
      <c r="A5" s="101"/>
      <c r="B5" s="35"/>
      <c r="C5" s="71"/>
      <c r="D5" s="71"/>
      <c r="E5" s="71"/>
      <c r="F5" s="71"/>
      <c r="G5" s="71"/>
      <c r="H5" s="71"/>
      <c r="I5" s="71"/>
      <c r="K5" s="82"/>
    </row>
    <row r="7" spans="1:11">
      <c r="A7" s="293" t="s">
        <v>823</v>
      </c>
      <c r="B7" s="294"/>
      <c r="C7" s="294"/>
      <c r="D7" s="294"/>
      <c r="E7" s="294"/>
      <c r="F7" s="294"/>
      <c r="G7" s="294"/>
      <c r="H7" s="294"/>
      <c r="I7" s="294"/>
      <c r="J7" s="294"/>
      <c r="K7" s="295"/>
    </row>
    <row r="8" spans="1:11">
      <c r="A8" s="296" t="s">
        <v>824</v>
      </c>
      <c r="B8" s="71"/>
      <c r="C8" s="71"/>
      <c r="D8" s="71"/>
      <c r="E8" s="71"/>
      <c r="F8" s="71"/>
      <c r="G8" s="71"/>
      <c r="H8" s="71"/>
      <c r="I8" s="71"/>
      <c r="J8" s="71"/>
      <c r="K8" s="297"/>
    </row>
    <row r="9" spans="1:11">
      <c r="A9" s="296"/>
      <c r="B9" s="71"/>
      <c r="C9" s="71"/>
      <c r="D9" s="71"/>
      <c r="E9" s="71"/>
      <c r="F9" s="71"/>
      <c r="G9" s="71"/>
      <c r="H9" s="71"/>
      <c r="I9" s="71"/>
      <c r="J9" s="71"/>
      <c r="K9" s="297"/>
    </row>
    <row r="10" spans="1:11">
      <c r="A10" s="296"/>
      <c r="B10" s="71"/>
      <c r="C10" s="71"/>
      <c r="D10" s="71"/>
      <c r="E10" s="71"/>
      <c r="F10" s="71"/>
      <c r="G10" s="71"/>
      <c r="H10" s="71"/>
      <c r="I10" s="71"/>
      <c r="J10" s="71"/>
      <c r="K10" s="297"/>
    </row>
    <row r="11" spans="1:11">
      <c r="A11" s="296"/>
      <c r="B11" s="71"/>
      <c r="C11" s="71"/>
      <c r="D11" s="71"/>
      <c r="E11" s="71"/>
      <c r="F11" s="71"/>
      <c r="G11" s="71"/>
      <c r="H11" s="71"/>
      <c r="I11" s="71"/>
      <c r="J11" s="71"/>
      <c r="K11" s="297"/>
    </row>
    <row r="12" spans="1:11">
      <c r="A12" s="296"/>
      <c r="B12" s="71"/>
      <c r="C12" s="71" t="s">
        <v>1224</v>
      </c>
      <c r="D12" s="71"/>
      <c r="E12" s="71"/>
      <c r="F12" s="71"/>
      <c r="G12" s="71"/>
      <c r="H12" s="71"/>
      <c r="I12" s="71"/>
      <c r="J12" s="71"/>
      <c r="K12" s="297"/>
    </row>
    <row r="13" spans="1:11" ht="12.75" customHeight="1">
      <c r="A13" s="296"/>
      <c r="B13" s="71"/>
      <c r="C13" s="71"/>
      <c r="D13" s="71"/>
      <c r="E13" s="71"/>
      <c r="F13" s="71"/>
      <c r="G13" s="71"/>
      <c r="H13" s="71"/>
      <c r="I13" s="71"/>
      <c r="J13" s="71"/>
      <c r="K13" s="297"/>
    </row>
    <row r="14" spans="1:11" s="92" customFormat="1">
      <c r="A14" s="298"/>
      <c r="B14" s="169"/>
      <c r="C14" s="299" t="s">
        <v>855</v>
      </c>
      <c r="D14" s="169"/>
      <c r="E14" s="299" t="s">
        <v>856</v>
      </c>
      <c r="F14" s="169"/>
      <c r="G14" s="169"/>
      <c r="H14" s="169"/>
      <c r="I14" s="299" t="s">
        <v>2806</v>
      </c>
      <c r="J14" s="169"/>
      <c r="K14" s="300" t="s">
        <v>2807</v>
      </c>
    </row>
    <row r="15" spans="1:11" s="92" customFormat="1">
      <c r="A15" s="298"/>
      <c r="B15" s="169"/>
      <c r="C15" s="277" t="s">
        <v>2808</v>
      </c>
      <c r="D15" s="169"/>
      <c r="E15" s="277" t="s">
        <v>2809</v>
      </c>
      <c r="F15" s="169"/>
      <c r="G15" s="277" t="s">
        <v>2810</v>
      </c>
      <c r="H15" s="169"/>
      <c r="I15" s="277" t="s">
        <v>2811</v>
      </c>
      <c r="J15" s="169"/>
      <c r="K15" s="301" t="s">
        <v>2811</v>
      </c>
    </row>
    <row r="16" spans="1:11" s="92" customFormat="1">
      <c r="A16" s="298" t="s">
        <v>2812</v>
      </c>
      <c r="B16" s="169"/>
      <c r="C16" s="302">
        <f>'Data Entry - SOF'!E58</f>
        <v>0</v>
      </c>
      <c r="D16" s="169"/>
      <c r="E16" s="302">
        <f>'Data Entry - SOF'!E62</f>
        <v>0</v>
      </c>
      <c r="F16" s="169"/>
      <c r="G16" s="302">
        <f>C16+E16</f>
        <v>0</v>
      </c>
      <c r="H16" s="169"/>
      <c r="I16" s="303" t="e">
        <f>'Notice Calc1819'!D40</f>
        <v>#DIV/0!</v>
      </c>
      <c r="J16" s="169"/>
      <c r="K16" s="304" t="e">
        <f>'Notice Calc1819'!D70</f>
        <v>#DIV/0!</v>
      </c>
    </row>
    <row r="17" spans="1:11" s="92" customFormat="1">
      <c r="A17" s="298" t="s">
        <v>2813</v>
      </c>
      <c r="B17" s="169"/>
      <c r="C17" s="302" t="e">
        <f>'Notice Calc1819'!D12</f>
        <v>#DIV/0!</v>
      </c>
      <c r="D17" s="169"/>
      <c r="E17" s="302">
        <f>'Notice Calc1819'!D28</f>
        <v>0</v>
      </c>
      <c r="F17" s="169"/>
      <c r="G17" s="302" t="e">
        <f>C17+E17</f>
        <v>#DIV/0!</v>
      </c>
      <c r="H17" s="169"/>
      <c r="I17" s="303" t="e">
        <f>'Notice Calc1819'!D48</f>
        <v>#DIV/0!</v>
      </c>
      <c r="J17" s="169"/>
      <c r="K17" s="304" t="e">
        <f>'Notice Calc1819'!D82</f>
        <v>#DIV/0!</v>
      </c>
    </row>
    <row r="18" spans="1:11" s="92" customFormat="1">
      <c r="A18" s="298" t="s">
        <v>914</v>
      </c>
      <c r="B18" s="169"/>
      <c r="C18" s="302"/>
      <c r="D18" s="169"/>
      <c r="E18" s="302"/>
      <c r="F18" s="169"/>
      <c r="G18" s="299"/>
      <c r="H18" s="169"/>
      <c r="I18" s="299"/>
      <c r="J18" s="169"/>
      <c r="K18" s="300"/>
    </row>
    <row r="19" spans="1:11" s="92" customFormat="1">
      <c r="A19" s="298" t="s">
        <v>915</v>
      </c>
      <c r="B19" s="169"/>
      <c r="C19" s="302"/>
      <c r="D19" s="169"/>
      <c r="E19" s="302"/>
      <c r="F19" s="169"/>
      <c r="G19" s="299"/>
      <c r="H19" s="169"/>
      <c r="I19" s="299"/>
      <c r="J19" s="169"/>
      <c r="K19" s="300"/>
    </row>
    <row r="20" spans="1:11" s="92" customFormat="1">
      <c r="A20" s="298" t="s">
        <v>916</v>
      </c>
      <c r="B20" s="169"/>
      <c r="C20" s="302"/>
      <c r="D20" s="169"/>
      <c r="E20" s="302"/>
      <c r="F20" s="169"/>
      <c r="G20" s="299"/>
      <c r="H20" s="169"/>
      <c r="I20" s="299"/>
      <c r="J20" s="169"/>
      <c r="K20" s="300"/>
    </row>
    <row r="21" spans="1:11" s="92" customFormat="1">
      <c r="A21" s="298" t="s">
        <v>917</v>
      </c>
      <c r="B21" s="169"/>
      <c r="C21" s="302">
        <f>'Data Entry - SOF'!G58</f>
        <v>0</v>
      </c>
      <c r="D21" s="169"/>
      <c r="E21" s="302">
        <f>'Data Entry - SOF'!G62</f>
        <v>0</v>
      </c>
      <c r="F21" s="169"/>
      <c r="G21" s="302">
        <f>C21+E21</f>
        <v>0</v>
      </c>
      <c r="H21" s="169"/>
      <c r="I21" s="303" t="e">
        <f>'Notice Calc1819'!D57</f>
        <v>#DIV/0!</v>
      </c>
      <c r="J21" s="169"/>
      <c r="K21" s="304" t="e">
        <f>'Notice Calc1819'!D93</f>
        <v>#DIV/0!</v>
      </c>
    </row>
    <row r="22" spans="1:11" s="92" customFormat="1">
      <c r="A22" s="298"/>
      <c r="B22" s="169"/>
      <c r="C22" s="169"/>
      <c r="D22" s="169"/>
      <c r="E22" s="169"/>
      <c r="F22" s="169"/>
      <c r="G22" s="169"/>
      <c r="H22" s="169"/>
      <c r="I22" s="169"/>
      <c r="J22" s="169"/>
      <c r="K22" s="305"/>
    </row>
    <row r="23" spans="1:11" s="92" customFormat="1">
      <c r="A23" s="298" t="s">
        <v>2802</v>
      </c>
      <c r="B23" s="169"/>
      <c r="C23" s="169"/>
      <c r="D23" s="169"/>
      <c r="E23" s="169"/>
      <c r="F23" s="169"/>
      <c r="G23" s="169"/>
      <c r="H23" s="169"/>
      <c r="I23" s="169"/>
      <c r="J23" s="169"/>
      <c r="K23" s="305"/>
    </row>
    <row r="24" spans="1:11" s="92" customFormat="1">
      <c r="A24" s="298" t="s">
        <v>2178</v>
      </c>
      <c r="B24" s="169"/>
      <c r="C24" s="169"/>
      <c r="D24" s="169"/>
      <c r="E24" s="169"/>
      <c r="F24" s="169"/>
      <c r="G24" s="169"/>
      <c r="H24" s="169"/>
      <c r="I24" s="169"/>
      <c r="J24" s="169"/>
      <c r="K24" s="305"/>
    </row>
    <row r="25" spans="1:11">
      <c r="A25" s="306"/>
      <c r="B25" s="193"/>
      <c r="C25" s="193"/>
      <c r="D25" s="193"/>
      <c r="E25" s="193"/>
      <c r="F25" s="193"/>
      <c r="G25" s="193"/>
      <c r="H25" s="193"/>
      <c r="I25" s="193"/>
      <c r="J25" s="193"/>
      <c r="K25" s="307"/>
    </row>
  </sheetData>
  <sheetProtection sheet="1" objects="1" scenarios="1"/>
  <phoneticPr fontId="25" type="noConversion"/>
  <pageMargins left="0.25" right="0.25" top="0.75" bottom="1" header="0.5" footer="0.5"/>
  <pageSetup orientation="portrait" r:id="rId1"/>
  <headerFooter alignWithMargins="0"/>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3903</v>
      </c>
      <c r="D3" s="75" t="s">
        <v>3903</v>
      </c>
      <c r="E3" s="75" t="s">
        <v>3903</v>
      </c>
    </row>
    <row r="4" spans="1:5">
      <c r="C4" s="117" t="s">
        <v>4476</v>
      </c>
      <c r="D4" s="117" t="s">
        <v>4477</v>
      </c>
      <c r="E4" s="194" t="s">
        <v>4467</v>
      </c>
    </row>
    <row r="5" spans="1:5">
      <c r="A5" t="s">
        <v>4466</v>
      </c>
      <c r="C5" s="1537">
        <f>'Data Entry - SOF'!I108</f>
        <v>0</v>
      </c>
      <c r="D5" s="1537">
        <f>'Calc Data-SB1'!AN30</f>
        <v>0</v>
      </c>
      <c r="E5" s="1537">
        <f>D5-C5</f>
        <v>0</v>
      </c>
    </row>
    <row r="6" spans="1:5">
      <c r="A6" t="s">
        <v>1148</v>
      </c>
      <c r="C6" s="424">
        <f>'Calc Data-SB1'!F19</f>
        <v>0</v>
      </c>
      <c r="D6" s="424">
        <f>'Calc Data-SB1'!AN19</f>
        <v>0</v>
      </c>
      <c r="E6" s="424"/>
    </row>
    <row r="8" spans="1:5">
      <c r="A8" t="s">
        <v>576</v>
      </c>
      <c r="C8" s="1761">
        <f>'SOF1920-SB1'!F44</f>
        <v>0</v>
      </c>
      <c r="D8" s="1761">
        <f>'SOF1920-SB1'!H44</f>
        <v>0</v>
      </c>
      <c r="E8" s="1761">
        <f>D8-C8</f>
        <v>0</v>
      </c>
    </row>
    <row r="9" spans="1:5">
      <c r="A9" t="s">
        <v>4468</v>
      </c>
      <c r="C9" s="1761">
        <f>'SOF1920-SB1'!F45</f>
        <v>0</v>
      </c>
      <c r="D9" s="1761">
        <f>'SOF1920-SB1'!H45</f>
        <v>0</v>
      </c>
      <c r="E9" s="1761">
        <f>D9-C9</f>
        <v>0</v>
      </c>
    </row>
    <row r="10" spans="1:5">
      <c r="A10" t="s">
        <v>2829</v>
      </c>
      <c r="C10" s="1762">
        <f>'SOF1920-SB1'!F46</f>
        <v>0</v>
      </c>
      <c r="D10" s="1762">
        <f>'SOF1920-SB1'!H46</f>
        <v>0</v>
      </c>
      <c r="E10" s="1762">
        <f>IF(D10-C10&lt;0,0,D10-C10)</f>
        <v>0</v>
      </c>
    </row>
    <row r="11" spans="1:5">
      <c r="C11" s="1763"/>
      <c r="D11" s="1763"/>
      <c r="E11" s="1763"/>
    </row>
    <row r="12" spans="1:5">
      <c r="A12" t="s">
        <v>2262</v>
      </c>
      <c r="C12" s="1763" t="e">
        <f>'ASATR-SB1'!K24</f>
        <v>#DIV/0!</v>
      </c>
      <c r="D12" s="1763" t="e">
        <f>'ASATR-SB1'!K39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Data-SB1'!F36</f>
        <v>0</v>
      </c>
      <c r="D18" s="456">
        <f>'Calc Data-SB1'!AN28</f>
        <v>0</v>
      </c>
      <c r="E18" s="1537">
        <f>D18-C18</f>
        <v>0</v>
      </c>
    </row>
    <row r="19" spans="1:5">
      <c r="A19" s="283" t="s">
        <v>4470</v>
      </c>
      <c r="B19" s="57"/>
      <c r="C19" s="1768" t="e">
        <f>'SOF1920-SB1'!F53</f>
        <v>#DIV/0!</v>
      </c>
      <c r="D19" s="1769" t="e">
        <f>'SOF1920-SB1'!H53</f>
        <v>#DIV/0!</v>
      </c>
      <c r="E19" s="1765" t="e">
        <f>D19-C19</f>
        <v>#DIV/0!</v>
      </c>
    </row>
    <row r="21" spans="1:5">
      <c r="A21" s="283" t="s">
        <v>4474</v>
      </c>
      <c r="B21" s="57"/>
      <c r="C21" s="1770" t="e">
        <f>'Option Costs-HB3646'!AE54</f>
        <v>#DIV/0!</v>
      </c>
      <c r="D21" s="1771" t="e">
        <f>'Option Costs-HB3646'!AE85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3" spans="1:1">
      <c r="A33" s="1802" t="s">
        <v>7108</v>
      </c>
    </row>
    <row r="34" spans="1:1">
      <c r="A34" s="1802"/>
    </row>
    <row r="35" spans="1:1" ht="15" customHeight="1">
      <c r="A35" s="4624" t="s">
        <v>7106</v>
      </c>
    </row>
    <row r="36" spans="1:1" ht="15" customHeight="1">
      <c r="A36" s="4624" t="s">
        <v>8016</v>
      </c>
    </row>
    <row r="37" spans="1:1" ht="15" customHeight="1">
      <c r="A37" s="4624" t="s">
        <v>7107</v>
      </c>
    </row>
  </sheetData>
  <sheetProtection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2.75"/>
  <cols>
    <col min="1" max="1" width="9.140625" style="89" customWidth="1"/>
    <col min="2" max="2" width="86.140625" style="47" customWidth="1"/>
    <col min="3" max="3" width="4.140625" style="47" customWidth="1"/>
    <col min="4" max="4" width="20.7109375" style="47" customWidth="1"/>
    <col min="5" max="5" width="17.5703125" style="47" customWidth="1"/>
    <col min="6" max="12" width="9.140625" style="47" customWidth="1"/>
  </cols>
  <sheetData>
    <row r="1" spans="1:12">
      <c r="A1" s="1074" t="s">
        <v>3266</v>
      </c>
      <c r="C1" s="1777"/>
      <c r="D1" s="1773" t="str">
        <f>'Report-SOF1819'!D1</f>
        <v>84th/85th Legislative Session</v>
      </c>
    </row>
    <row r="2" spans="1:12">
      <c r="A2" s="1074" t="s">
        <v>3265</v>
      </c>
      <c r="D2" s="98" t="str">
        <f>'Report-SOF1819'!D2</f>
        <v>Release 2</v>
      </c>
    </row>
    <row r="3" spans="1:12">
      <c r="D3" s="82">
        <f>'Report-SOF1819'!D3</f>
        <v>43145</v>
      </c>
    </row>
    <row r="4" spans="1:12" s="1076" customFormat="1" ht="15.75">
      <c r="A4" s="1075" t="s">
        <v>3953</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3392" t="s">
        <v>3954</v>
      </c>
      <c r="C8" s="3393"/>
      <c r="D8" s="3401" t="e">
        <f>'ASATR-SB1'!K42</f>
        <v>#DIV/0!</v>
      </c>
      <c r="E8" s="961"/>
      <c r="F8" s="961"/>
      <c r="G8" s="961"/>
      <c r="H8" s="961"/>
      <c r="I8" s="961"/>
      <c r="J8" s="961"/>
      <c r="K8" s="961"/>
      <c r="L8" s="961"/>
    </row>
    <row r="9" spans="1:12" s="1076" customFormat="1" ht="18">
      <c r="A9" s="1314" t="s">
        <v>3107</v>
      </c>
      <c r="B9" s="3390"/>
      <c r="C9" s="3390"/>
      <c r="D9" s="1279" t="s">
        <v>3115</v>
      </c>
      <c r="E9" s="961"/>
      <c r="F9" s="961"/>
      <c r="G9" s="961"/>
      <c r="H9" s="961"/>
      <c r="I9" s="961"/>
      <c r="J9" s="961"/>
      <c r="K9" s="961"/>
      <c r="L9" s="961"/>
    </row>
    <row r="10" spans="1:12" s="1076" customFormat="1" ht="18">
      <c r="A10" s="3638" t="s">
        <v>3108</v>
      </c>
      <c r="B10" s="3654"/>
      <c r="C10" s="3654"/>
      <c r="D10" s="1280" t="s">
        <v>3116</v>
      </c>
      <c r="E10" s="961"/>
      <c r="F10" s="961"/>
      <c r="G10" s="961"/>
      <c r="H10" s="961"/>
      <c r="I10" s="961"/>
      <c r="J10" s="961"/>
      <c r="K10" s="961"/>
      <c r="L10" s="961"/>
    </row>
    <row r="11" spans="1:12" s="1076" customFormat="1" ht="15.75">
      <c r="A11" s="1079" t="s">
        <v>2501</v>
      </c>
      <c r="B11" s="1080" t="s">
        <v>3109</v>
      </c>
      <c r="C11" s="1080"/>
      <c r="D11" s="1081">
        <f>'SOF1920-SB1'!F8</f>
        <v>0</v>
      </c>
      <c r="E11" s="961"/>
      <c r="F11" s="961"/>
      <c r="G11" s="961"/>
      <c r="H11" s="961"/>
      <c r="I11" s="961"/>
      <c r="J11" s="961"/>
      <c r="K11" s="961"/>
      <c r="L11" s="961"/>
    </row>
    <row r="12" spans="1:12" s="1076" customFormat="1" ht="15.75">
      <c r="A12" s="1079" t="s">
        <v>2502</v>
      </c>
      <c r="B12" s="1688" t="s">
        <v>3982</v>
      </c>
      <c r="C12" s="1080"/>
      <c r="D12" s="1081">
        <f>'Calc Data-SB1'!F10</f>
        <v>0</v>
      </c>
      <c r="E12" s="961"/>
      <c r="F12" s="961"/>
      <c r="G12" s="961"/>
      <c r="H12" s="961"/>
      <c r="I12" s="961"/>
      <c r="J12" s="961"/>
      <c r="K12" s="961"/>
      <c r="L12" s="961"/>
    </row>
    <row r="13" spans="1:12" s="1076" customFormat="1" ht="15.75">
      <c r="A13" s="1079" t="s">
        <v>2503</v>
      </c>
      <c r="B13" s="1689" t="s">
        <v>3984</v>
      </c>
      <c r="C13" s="1080"/>
      <c r="D13" s="1081">
        <f>'SOF1920-SB1'!F9</f>
        <v>0</v>
      </c>
      <c r="E13" s="961"/>
      <c r="F13" s="961"/>
      <c r="G13" s="961"/>
      <c r="H13" s="961"/>
      <c r="I13" s="961"/>
      <c r="J13" s="961"/>
      <c r="K13" s="961"/>
      <c r="L13" s="961"/>
    </row>
    <row r="14" spans="1:12" s="1076" customFormat="1" ht="15.75">
      <c r="A14" s="1079" t="s">
        <v>1024</v>
      </c>
      <c r="B14" s="1080" t="s">
        <v>932</v>
      </c>
      <c r="C14" s="1080"/>
      <c r="D14" s="1081">
        <f>'SOF1920-SB1'!F10</f>
        <v>0</v>
      </c>
      <c r="E14" s="961"/>
      <c r="F14" s="961"/>
      <c r="G14" s="961"/>
      <c r="H14" s="961"/>
      <c r="I14" s="961"/>
      <c r="J14" s="961"/>
      <c r="K14" s="961"/>
      <c r="L14" s="961"/>
    </row>
    <row r="15" spans="1:12" s="1076" customFormat="1" ht="15.75">
      <c r="A15" s="1079" t="s">
        <v>1025</v>
      </c>
      <c r="B15" s="1080" t="s">
        <v>715</v>
      </c>
      <c r="C15" s="1080"/>
      <c r="D15" s="1081">
        <f>'Data Entry - SOF'!I33</f>
        <v>0</v>
      </c>
      <c r="E15" s="961"/>
      <c r="F15" s="961"/>
      <c r="G15" s="961"/>
      <c r="H15" s="961"/>
      <c r="I15" s="961"/>
      <c r="J15" s="961"/>
      <c r="K15" s="961"/>
      <c r="L15" s="961"/>
    </row>
    <row r="16" spans="1:12" s="1076" customFormat="1" ht="15.75">
      <c r="A16" s="1079" t="s">
        <v>1027</v>
      </c>
      <c r="B16" s="1080" t="s">
        <v>3111</v>
      </c>
      <c r="C16" s="1080"/>
      <c r="D16" s="1081">
        <f>'Data Entry - SOF'!I18</f>
        <v>0</v>
      </c>
      <c r="E16" s="961"/>
      <c r="F16" s="961"/>
      <c r="G16" s="961"/>
      <c r="H16" s="961"/>
      <c r="I16" s="961"/>
      <c r="J16" s="961"/>
      <c r="K16" s="961"/>
      <c r="L16" s="961"/>
    </row>
    <row r="17" spans="1:12" s="1076" customFormat="1" ht="15.75">
      <c r="A17" s="1079" t="s">
        <v>1028</v>
      </c>
      <c r="B17" s="1689" t="s">
        <v>3985</v>
      </c>
      <c r="C17" s="1080"/>
      <c r="D17" s="1081" t="e">
        <f>'Calc Data-SB1'!F25</f>
        <v>#DIV/0!</v>
      </c>
      <c r="E17" s="961"/>
      <c r="F17" s="961"/>
      <c r="G17" s="961"/>
      <c r="H17" s="961"/>
      <c r="I17" s="961"/>
      <c r="J17" s="961"/>
      <c r="K17" s="961"/>
      <c r="L17" s="961"/>
    </row>
    <row r="18" spans="1:12" s="1076" customFormat="1" ht="15.75">
      <c r="A18" s="1079" t="s">
        <v>1029</v>
      </c>
      <c r="B18" s="1080" t="s">
        <v>3112</v>
      </c>
      <c r="C18" s="1080"/>
      <c r="D18" s="1081">
        <f>'Report-SOF1819'!D11</f>
        <v>0</v>
      </c>
      <c r="E18" s="961"/>
      <c r="F18" s="961"/>
      <c r="G18" s="961"/>
      <c r="H18" s="961"/>
      <c r="I18" s="961"/>
      <c r="J18" s="961"/>
      <c r="K18" s="961"/>
      <c r="L18" s="961"/>
    </row>
    <row r="19" spans="1:12" s="1076" customFormat="1" ht="15.75">
      <c r="A19" s="1079" t="s">
        <v>139</v>
      </c>
      <c r="B19" s="1080" t="s">
        <v>3113</v>
      </c>
      <c r="C19" s="1080"/>
      <c r="D19" s="1081">
        <f>'Data Entry - SOF'!I68</f>
        <v>0</v>
      </c>
      <c r="E19" s="961"/>
      <c r="F19" s="961"/>
      <c r="G19" s="961"/>
      <c r="H19" s="961"/>
      <c r="I19" s="961"/>
      <c r="J19" s="961"/>
      <c r="K19" s="961"/>
      <c r="L19" s="961"/>
    </row>
    <row r="20" spans="1:12" s="1076" customFormat="1" ht="15.75">
      <c r="A20" s="1079" t="s">
        <v>140</v>
      </c>
      <c r="B20" s="1080" t="s">
        <v>3114</v>
      </c>
      <c r="C20" s="1080"/>
      <c r="D20" s="1081">
        <f>'Data Entry - SOF'!I67</f>
        <v>0</v>
      </c>
      <c r="E20" s="961"/>
      <c r="F20" s="961"/>
      <c r="G20" s="961"/>
      <c r="H20" s="961"/>
      <c r="I20" s="961"/>
      <c r="J20" s="961"/>
      <c r="K20" s="961"/>
      <c r="L20" s="961"/>
    </row>
    <row r="21" spans="1:12" s="1076" customFormat="1" ht="18">
      <c r="A21" s="3638" t="s">
        <v>3117</v>
      </c>
      <c r="B21" s="3660"/>
      <c r="C21" s="3660"/>
      <c r="D21" s="3661"/>
      <c r="E21" s="961"/>
      <c r="F21" s="961"/>
      <c r="G21" s="961"/>
      <c r="H21" s="961"/>
      <c r="I21" s="961"/>
      <c r="J21" s="961"/>
      <c r="K21" s="961"/>
      <c r="L21" s="961"/>
    </row>
    <row r="22" spans="1:12" s="1076" customFormat="1" ht="15.75">
      <c r="A22" s="1079" t="s">
        <v>141</v>
      </c>
      <c r="B22" s="1080" t="s">
        <v>3118</v>
      </c>
      <c r="C22" s="1080"/>
      <c r="D22" s="1081">
        <f>'Data Entry - SOF'!I44</f>
        <v>0</v>
      </c>
      <c r="E22" s="961"/>
      <c r="F22" s="961"/>
      <c r="G22" s="961"/>
      <c r="H22" s="961"/>
      <c r="I22" s="961"/>
      <c r="J22" s="961"/>
      <c r="K22" s="961"/>
      <c r="L22" s="961"/>
    </row>
    <row r="23" spans="1:12" s="1076" customFormat="1" ht="15.75">
      <c r="A23" s="1079" t="s">
        <v>142</v>
      </c>
      <c r="B23" s="1080" t="s">
        <v>3119</v>
      </c>
      <c r="C23" s="1080"/>
      <c r="D23" s="1081">
        <f>'Data Entry - SOF'!I45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4672</v>
      </c>
      <c r="C25" s="1080"/>
      <c r="D25" s="1224" t="s">
        <v>3450</v>
      </c>
      <c r="E25" s="961"/>
      <c r="F25" s="961"/>
      <c r="G25" s="961"/>
      <c r="H25" s="961"/>
      <c r="I25" s="961"/>
      <c r="J25" s="961"/>
      <c r="K25" s="961"/>
      <c r="L25" s="961"/>
    </row>
    <row r="26" spans="1:12" s="1076" customFormat="1" ht="15.75">
      <c r="A26" s="1079" t="s">
        <v>6</v>
      </c>
      <c r="B26" s="1080" t="s">
        <v>4673</v>
      </c>
      <c r="C26" s="1080"/>
      <c r="D26" s="1083">
        <f>'Data Entry - SOF'!I48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4676</v>
      </c>
      <c r="C29" s="1078"/>
      <c r="D29" s="1084">
        <f>'Data Entry - SOF'!I108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4677</v>
      </c>
      <c r="C31" s="1078"/>
      <c r="D31" s="1084">
        <f>'Data Entry - SOF'!I58</f>
        <v>0</v>
      </c>
      <c r="E31" s="961"/>
      <c r="F31" s="961"/>
      <c r="G31" s="961"/>
      <c r="H31" s="961"/>
      <c r="I31" s="961"/>
      <c r="J31" s="961"/>
      <c r="K31" s="961"/>
      <c r="L31" s="961"/>
    </row>
    <row r="32" spans="1:12" s="1076" customFormat="1" ht="15.75">
      <c r="A32" s="1079" t="s">
        <v>3126</v>
      </c>
      <c r="B32" s="1689" t="s">
        <v>4696</v>
      </c>
      <c r="C32" s="1080"/>
      <c r="D32" s="1085">
        <f>'Data Entry - SOF'!I59</f>
        <v>0</v>
      </c>
      <c r="E32" s="961"/>
      <c r="F32" s="961"/>
      <c r="G32" s="961"/>
      <c r="H32" s="961"/>
      <c r="I32" s="961"/>
      <c r="J32" s="961"/>
      <c r="K32" s="961"/>
      <c r="L32" s="961"/>
    </row>
    <row r="33" spans="1:12" s="1076" customFormat="1" ht="15.75">
      <c r="A33" s="1079" t="s">
        <v>3127</v>
      </c>
      <c r="B33" s="1080" t="s">
        <v>4678</v>
      </c>
      <c r="C33" s="1080"/>
      <c r="D33" s="1085">
        <f>'Data Entry - SOF'!I63</f>
        <v>0</v>
      </c>
      <c r="E33" s="961"/>
      <c r="F33" s="961"/>
      <c r="G33" s="961"/>
      <c r="H33" s="961"/>
      <c r="I33" s="961"/>
      <c r="J33" s="961"/>
      <c r="K33" s="961"/>
      <c r="L33" s="961"/>
    </row>
    <row r="34" spans="1:12" s="1076" customFormat="1" ht="15.75">
      <c r="A34" s="1079" t="s">
        <v>3128</v>
      </c>
      <c r="B34" s="1080" t="s">
        <v>4679</v>
      </c>
      <c r="C34" s="1080"/>
      <c r="D34" s="1085">
        <f>'Data Entry - SOF'!I153</f>
        <v>0</v>
      </c>
      <c r="E34" s="961"/>
      <c r="F34" s="961"/>
      <c r="G34" s="961"/>
      <c r="H34" s="961"/>
      <c r="I34" s="961"/>
      <c r="J34" s="961"/>
      <c r="K34" s="961"/>
      <c r="L34" s="961"/>
    </row>
    <row r="35" spans="1:12" s="1076" customFormat="1" ht="15.75">
      <c r="A35" s="1079" t="s">
        <v>3129</v>
      </c>
      <c r="B35" s="1080" t="s">
        <v>4680</v>
      </c>
      <c r="C35" s="1080"/>
      <c r="D35" s="1085">
        <f>'Data Entry - SOF'!I69</f>
        <v>0</v>
      </c>
      <c r="E35" s="961"/>
      <c r="F35" s="961"/>
      <c r="G35" s="961"/>
      <c r="H35" s="961"/>
      <c r="I35" s="961"/>
      <c r="J35" s="961"/>
      <c r="K35" s="961"/>
      <c r="L35" s="961"/>
    </row>
    <row r="36" spans="1:12" s="1076" customFormat="1" ht="18">
      <c r="A36" s="3638" t="s">
        <v>3130</v>
      </c>
      <c r="B36" s="3654"/>
      <c r="C36" s="3654"/>
      <c r="D36" s="3639"/>
      <c r="E36" s="961"/>
      <c r="F36" s="961"/>
      <c r="G36" s="961"/>
      <c r="H36" s="961"/>
      <c r="I36" s="961"/>
      <c r="J36" s="961"/>
      <c r="K36" s="961"/>
      <c r="L36" s="961"/>
    </row>
    <row r="37" spans="1:12" s="1076" customFormat="1" ht="15.75">
      <c r="A37" s="1301" t="s">
        <v>3131</v>
      </c>
      <c r="B37" s="1689" t="s">
        <v>3986</v>
      </c>
      <c r="C37" s="1099"/>
      <c r="D37" s="1807">
        <f>'Calc Data-SB1'!AN23</f>
        <v>0</v>
      </c>
      <c r="E37" s="961"/>
      <c r="F37" s="961"/>
      <c r="G37" s="961"/>
      <c r="H37" s="961"/>
      <c r="I37" s="961"/>
      <c r="J37" s="961"/>
      <c r="K37" s="961"/>
      <c r="L37" s="961"/>
    </row>
    <row r="38" spans="1:12" s="1076" customFormat="1" ht="15.75">
      <c r="A38" s="1079" t="s">
        <v>3132</v>
      </c>
      <c r="B38" s="1080" t="s">
        <v>3136</v>
      </c>
      <c r="C38" s="1080"/>
      <c r="D38" s="1197" t="e">
        <f>'ASATR-SB1'!K46</f>
        <v>#DIV/0!</v>
      </c>
      <c r="E38" s="961"/>
      <c r="F38" s="961"/>
      <c r="G38" s="961"/>
      <c r="H38" s="961"/>
      <c r="I38" s="961"/>
      <c r="J38" s="961"/>
      <c r="K38" s="961"/>
      <c r="L38" s="961"/>
    </row>
    <row r="39" spans="1:12" s="1076" customFormat="1" ht="15.75">
      <c r="A39" s="1079" t="s">
        <v>3133</v>
      </c>
      <c r="B39" s="1080" t="s">
        <v>3183</v>
      </c>
      <c r="C39" s="1080"/>
      <c r="D39" s="1086">
        <f>'Data Entry - SOF'!I112</f>
        <v>0</v>
      </c>
      <c r="E39" s="961"/>
      <c r="F39" s="961"/>
      <c r="G39" s="961"/>
      <c r="H39" s="961"/>
      <c r="I39" s="961"/>
      <c r="J39" s="961"/>
      <c r="K39" s="961"/>
      <c r="L39" s="961"/>
    </row>
    <row r="40" spans="1:12" s="1076" customFormat="1" ht="15.75">
      <c r="A40" s="1079" t="s">
        <v>3134</v>
      </c>
      <c r="B40" s="1080" t="s">
        <v>3137</v>
      </c>
      <c r="C40" s="1080"/>
      <c r="D40" s="1086">
        <f>'Calc Data-SB1'!F59</f>
        <v>0</v>
      </c>
      <c r="E40" s="961"/>
      <c r="F40" s="961"/>
      <c r="G40" s="961"/>
      <c r="H40" s="961"/>
      <c r="I40" s="961"/>
      <c r="J40" s="961"/>
      <c r="K40" s="961"/>
      <c r="L40" s="961"/>
    </row>
    <row r="41" spans="1:12" s="1076" customFormat="1" ht="15.75">
      <c r="A41" s="1079" t="s">
        <v>3135</v>
      </c>
      <c r="B41" s="1080" t="s">
        <v>3138</v>
      </c>
      <c r="C41" s="1080"/>
      <c r="D41" s="1087">
        <f>Assumptions!G123</f>
        <v>200</v>
      </c>
      <c r="E41" s="961"/>
      <c r="F41" s="961"/>
      <c r="G41" s="961"/>
      <c r="H41" s="961"/>
      <c r="I41" s="961"/>
      <c r="J41" s="961"/>
      <c r="K41" s="961"/>
      <c r="L41" s="961"/>
    </row>
    <row r="42" spans="1:12" s="1076" customFormat="1" ht="18">
      <c r="A42" s="3638" t="s">
        <v>3139</v>
      </c>
      <c r="B42" s="3654"/>
      <c r="C42" s="3654"/>
      <c r="D42" s="3639"/>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'SOF1920-SB1'!H21</f>
        <v>0</v>
      </c>
      <c r="E44" s="961"/>
      <c r="F44" s="961"/>
      <c r="G44" s="961"/>
      <c r="H44" s="961"/>
      <c r="I44" s="961"/>
      <c r="J44" s="961"/>
      <c r="K44" s="961"/>
      <c r="L44" s="961"/>
    </row>
    <row r="45" spans="1:12" s="1076" customFormat="1" ht="15.75">
      <c r="A45" s="1079" t="s">
        <v>3141</v>
      </c>
      <c r="B45" s="1080" t="s">
        <v>3746</v>
      </c>
      <c r="C45" s="1080"/>
      <c r="D45" s="1085">
        <f>'SOF1920-SB1'!H132</f>
        <v>0</v>
      </c>
      <c r="E45" s="961"/>
      <c r="F45" s="961"/>
      <c r="G45" s="961"/>
      <c r="H45" s="961"/>
      <c r="I45" s="961"/>
      <c r="J45" s="961"/>
      <c r="K45" s="961"/>
      <c r="L45" s="961"/>
    </row>
    <row r="46" spans="1:12" s="1076" customFormat="1" ht="15.75">
      <c r="A46" s="1079" t="s">
        <v>3142</v>
      </c>
      <c r="B46" s="1080" t="s">
        <v>3747</v>
      </c>
      <c r="C46" s="1080"/>
      <c r="D46" s="1085">
        <f>'SOF1920-SB1'!H133</f>
        <v>0</v>
      </c>
      <c r="E46" s="961"/>
      <c r="F46" s="961"/>
      <c r="G46" s="961"/>
      <c r="H46" s="961"/>
      <c r="I46" s="961"/>
      <c r="J46" s="961"/>
      <c r="K46" s="961"/>
      <c r="L46" s="961"/>
    </row>
    <row r="47" spans="1:12" s="1076" customFormat="1" ht="15.75">
      <c r="A47" s="1079" t="s">
        <v>3143</v>
      </c>
      <c r="B47" s="1080" t="s">
        <v>3748</v>
      </c>
      <c r="C47" s="1080"/>
      <c r="D47" s="1085">
        <f>'SOF1920-SB1'!H134</f>
        <v>0</v>
      </c>
      <c r="E47" s="961"/>
      <c r="F47" s="961"/>
      <c r="G47" s="961"/>
      <c r="H47" s="961"/>
      <c r="I47" s="961"/>
      <c r="J47" s="961"/>
      <c r="K47" s="961"/>
      <c r="L47" s="961"/>
    </row>
    <row r="48" spans="1:12" s="1076" customFormat="1" ht="15.75">
      <c r="A48" s="1079" t="s">
        <v>3144</v>
      </c>
      <c r="B48" s="1080" t="s">
        <v>3750</v>
      </c>
      <c r="C48" s="1080"/>
      <c r="D48" s="1085">
        <f>'SOF1920-SB1'!H135</f>
        <v>0</v>
      </c>
      <c r="E48" s="961"/>
      <c r="F48" s="961"/>
      <c r="G48" s="961"/>
      <c r="H48" s="961"/>
      <c r="I48" s="961"/>
      <c r="J48" s="961"/>
      <c r="K48" s="961"/>
      <c r="L48" s="961"/>
    </row>
    <row r="49" spans="1:12" s="1076" customFormat="1" ht="15.75">
      <c r="A49" s="1079" t="s">
        <v>3145</v>
      </c>
      <c r="B49" s="1080" t="s">
        <v>3749</v>
      </c>
      <c r="C49" s="1080"/>
      <c r="D49" s="1085">
        <f>'SOF1920-SB1'!H39</f>
        <v>0</v>
      </c>
      <c r="E49" s="961"/>
      <c r="F49" s="961"/>
      <c r="G49" s="961"/>
      <c r="H49" s="961"/>
      <c r="I49" s="961"/>
      <c r="J49" s="961"/>
      <c r="K49" s="961"/>
      <c r="L49" s="961"/>
    </row>
    <row r="50" spans="1:12" s="1076" customFormat="1" ht="15.75">
      <c r="A50" s="1079" t="s">
        <v>3146</v>
      </c>
      <c r="B50" s="1080" t="s">
        <v>3162</v>
      </c>
      <c r="C50" s="1080"/>
      <c r="D50" s="1085">
        <f>'SOF1920-SB1'!H41</f>
        <v>0</v>
      </c>
      <c r="E50" s="961"/>
      <c r="F50" s="961"/>
      <c r="G50" s="961"/>
      <c r="H50" s="961"/>
      <c r="I50" s="961"/>
      <c r="J50" s="961"/>
      <c r="K50" s="961"/>
      <c r="L50" s="961"/>
    </row>
    <row r="51" spans="1:12" s="1076" customFormat="1" ht="15.75">
      <c r="A51" s="1079" t="s">
        <v>3147</v>
      </c>
      <c r="B51" s="1080" t="s">
        <v>3173</v>
      </c>
      <c r="C51" s="1080"/>
      <c r="D51" s="1085">
        <f>'SOF1920-SB1'!H42</f>
        <v>0</v>
      </c>
      <c r="E51" s="961"/>
      <c r="F51" s="961"/>
      <c r="G51" s="961"/>
      <c r="H51" s="961"/>
      <c r="I51" s="961"/>
      <c r="J51" s="961"/>
      <c r="K51" s="961"/>
      <c r="L51" s="961"/>
    </row>
    <row r="52" spans="1:12" s="1076" customFormat="1" ht="15.75">
      <c r="A52" s="1079" t="s">
        <v>3148</v>
      </c>
      <c r="B52" s="1080" t="s">
        <v>3751</v>
      </c>
      <c r="C52" s="1080"/>
      <c r="D52" s="1085">
        <f>'SOF1920-SB1'!H43</f>
        <v>0</v>
      </c>
      <c r="E52" s="961"/>
      <c r="F52" s="961"/>
      <c r="G52" s="961"/>
      <c r="H52" s="961"/>
      <c r="I52" s="961"/>
      <c r="J52" s="961"/>
      <c r="K52" s="961"/>
      <c r="L52" s="961"/>
    </row>
    <row r="53" spans="1:12" s="1076" customFormat="1" ht="15.75">
      <c r="A53" s="1079" t="s">
        <v>3149</v>
      </c>
      <c r="B53" s="1080" t="s">
        <v>3164</v>
      </c>
      <c r="C53" s="1080"/>
      <c r="D53" s="1085">
        <f>'SOF1920-SB1'!H40</f>
        <v>0</v>
      </c>
      <c r="E53" s="961"/>
      <c r="F53" s="961"/>
      <c r="G53" s="961"/>
      <c r="H53" s="961"/>
      <c r="I53" s="961"/>
      <c r="J53" s="961"/>
      <c r="K53" s="961"/>
      <c r="L53" s="961"/>
    </row>
    <row r="54" spans="1:12" s="1076" customFormat="1" ht="15.75">
      <c r="A54" s="1079" t="s">
        <v>3150</v>
      </c>
      <c r="B54" s="1689" t="s">
        <v>3987</v>
      </c>
      <c r="C54" s="1080"/>
      <c r="D54" s="1085">
        <f>'SOF1920-SB1'!H44</f>
        <v>0</v>
      </c>
      <c r="E54" s="961"/>
      <c r="F54" s="961"/>
      <c r="G54" s="961"/>
      <c r="H54" s="961"/>
      <c r="I54" s="961"/>
      <c r="J54" s="961"/>
      <c r="K54" s="961"/>
      <c r="L54" s="961"/>
    </row>
    <row r="55" spans="1:12" s="1076" customFormat="1" ht="15.75">
      <c r="A55" s="1079" t="s">
        <v>3151</v>
      </c>
      <c r="B55" s="1080" t="s">
        <v>3165</v>
      </c>
      <c r="C55" s="1080"/>
      <c r="D55" s="1085">
        <f>'SOF1920-SB1'!H45</f>
        <v>0</v>
      </c>
      <c r="E55" s="961"/>
      <c r="F55" s="961"/>
      <c r="G55" s="961"/>
      <c r="H55" s="961"/>
      <c r="I55" s="961"/>
      <c r="J55" s="961"/>
      <c r="K55" s="961"/>
      <c r="L55" s="961"/>
    </row>
    <row r="56" spans="1:12" s="1076" customFormat="1" ht="15.75">
      <c r="A56" s="1079" t="s">
        <v>3152</v>
      </c>
      <c r="B56" s="1080" t="s">
        <v>889</v>
      </c>
      <c r="C56" s="1080"/>
      <c r="D56" s="1085">
        <f>'SOF1920-SB1'!H46</f>
        <v>0</v>
      </c>
      <c r="E56" s="961"/>
      <c r="F56" s="961"/>
      <c r="G56" s="961"/>
      <c r="H56" s="961"/>
      <c r="I56" s="961"/>
      <c r="J56" s="961"/>
      <c r="K56" s="961"/>
      <c r="L56" s="961"/>
    </row>
    <row r="57" spans="1:12" s="1076" customFormat="1" ht="15.75">
      <c r="A57" s="1079" t="s">
        <v>3153</v>
      </c>
      <c r="B57" s="1080" t="s">
        <v>3166</v>
      </c>
      <c r="C57" s="1080"/>
      <c r="D57" s="1085">
        <f>'SOF1920-SB1'!H76</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f>'SOF1920-SB1'!H49</f>
        <v>0</v>
      </c>
      <c r="E60" s="961"/>
      <c r="F60" s="961"/>
      <c r="G60" s="961"/>
      <c r="H60" s="961"/>
      <c r="I60" s="961"/>
      <c r="J60" s="961"/>
      <c r="K60" s="961"/>
      <c r="L60" s="961"/>
    </row>
    <row r="61" spans="1:12" s="1076" customFormat="1" ht="15.75">
      <c r="A61" s="1079" t="s">
        <v>3155</v>
      </c>
      <c r="B61" s="1688" t="s">
        <v>3988</v>
      </c>
      <c r="C61" s="1080"/>
      <c r="D61" s="1085" t="e">
        <f>'SOF1920-SB1'!H54</f>
        <v>#DIV/0!</v>
      </c>
      <c r="E61" s="961"/>
      <c r="F61" s="961"/>
      <c r="G61" s="961"/>
      <c r="H61" s="961"/>
      <c r="I61" s="961"/>
      <c r="J61" s="961"/>
      <c r="K61" s="961"/>
      <c r="L61" s="961"/>
    </row>
    <row r="62" spans="1:12" s="1076" customFormat="1" ht="15.75">
      <c r="A62" s="1079" t="s">
        <v>3156</v>
      </c>
      <c r="B62" s="1689" t="s">
        <v>3989</v>
      </c>
      <c r="C62" s="1080"/>
      <c r="D62" s="1085" t="e">
        <f>'Report-Other1920'!D26</f>
        <v>#DIV/0!</v>
      </c>
      <c r="E62" s="961" t="s">
        <v>4711</v>
      </c>
      <c r="F62" s="961"/>
      <c r="G62" s="961"/>
      <c r="H62" s="961"/>
      <c r="I62" s="961"/>
      <c r="J62" s="961"/>
      <c r="K62" s="961"/>
      <c r="L62" s="961"/>
    </row>
    <row r="63" spans="1:12" s="1076" customFormat="1" ht="15.75">
      <c r="A63" s="1079" t="s">
        <v>3157</v>
      </c>
      <c r="B63" s="1080" t="str">
        <f>CONCATENATE("Less: Total Available School Fund ($",Assumptions!G123," * Prior Year ADA)")</f>
        <v>Less: Total Available School Fund ($200 * Prior Year ADA)</v>
      </c>
      <c r="C63" s="1080"/>
      <c r="D63" s="1085">
        <f>'SOF1920-SB1'!H71</f>
        <v>0</v>
      </c>
      <c r="E63" s="961"/>
      <c r="F63" s="961"/>
      <c r="G63" s="961"/>
      <c r="H63" s="961"/>
      <c r="I63" s="961"/>
      <c r="J63" s="961"/>
      <c r="K63" s="961"/>
      <c r="L63" s="961"/>
    </row>
    <row r="64" spans="1:12" s="1076" customFormat="1" ht="15.75">
      <c r="A64" s="1079" t="s">
        <v>3158</v>
      </c>
      <c r="B64" s="1080" t="s">
        <v>3168</v>
      </c>
      <c r="C64" s="1080"/>
      <c r="D64" s="1085" t="e">
        <f>'SOF1920-SB1'!H75+'HH1920-Calcs'!D26</f>
        <v>#DIV/0!</v>
      </c>
      <c r="E64" s="961"/>
      <c r="F64" s="961"/>
      <c r="G64" s="961"/>
      <c r="H64" s="961"/>
      <c r="I64" s="961"/>
      <c r="J64" s="961"/>
      <c r="K64" s="961"/>
      <c r="L64" s="961"/>
    </row>
    <row r="65" spans="1:12" s="1076" customFormat="1" ht="18">
      <c r="A65" s="3638" t="s">
        <v>3174</v>
      </c>
      <c r="B65" s="3654"/>
      <c r="C65" s="3654"/>
      <c r="D65" s="3639"/>
      <c r="E65" s="961"/>
      <c r="F65" s="961"/>
      <c r="G65" s="961"/>
      <c r="H65" s="961"/>
      <c r="I65" s="961"/>
      <c r="J65" s="961"/>
      <c r="K65" s="961"/>
      <c r="L65" s="961"/>
    </row>
    <row r="66" spans="1:12" s="1076" customFormat="1" ht="18">
      <c r="A66" s="3644"/>
      <c r="B66" s="3660" t="s">
        <v>3182</v>
      </c>
      <c r="C66" s="3654"/>
      <c r="D66" s="3639"/>
      <c r="E66" s="961"/>
      <c r="F66" s="961"/>
      <c r="G66" s="961"/>
      <c r="H66" s="961"/>
      <c r="I66" s="961"/>
      <c r="J66" s="961"/>
      <c r="K66" s="961"/>
      <c r="L66" s="961"/>
    </row>
    <row r="67" spans="1:12" s="1076" customFormat="1" ht="15.75">
      <c r="A67" s="1079" t="s">
        <v>3175</v>
      </c>
      <c r="B67" s="1080" t="s">
        <v>3181</v>
      </c>
      <c r="C67" s="1080"/>
      <c r="D67" s="1085" t="e">
        <f>'SOF1920-SB1'!H75+'HH1920-Calcs'!D26</f>
        <v>#DIV/0!</v>
      </c>
      <c r="E67" s="961"/>
      <c r="F67" s="961"/>
      <c r="G67" s="961"/>
      <c r="H67" s="961"/>
      <c r="I67" s="961"/>
      <c r="J67" s="961"/>
      <c r="K67" s="961"/>
      <c r="L67" s="961"/>
    </row>
    <row r="68" spans="1:12" s="1076" customFormat="1" ht="15.75">
      <c r="A68" s="1079" t="s">
        <v>3176</v>
      </c>
      <c r="B68" s="1080" t="s">
        <v>3484</v>
      </c>
      <c r="C68" s="1080"/>
      <c r="D68" s="1085">
        <f>'SOF1920-SB1'!H76</f>
        <v>0</v>
      </c>
      <c r="E68" s="961"/>
      <c r="F68" s="961"/>
      <c r="G68" s="961"/>
      <c r="H68" s="961"/>
      <c r="I68" s="961"/>
      <c r="J68" s="961"/>
      <c r="K68" s="961"/>
      <c r="L68" s="961"/>
    </row>
    <row r="69" spans="1:12" s="1076" customFormat="1" ht="15.75">
      <c r="A69" s="1079" t="s">
        <v>3177</v>
      </c>
      <c r="B69" s="1688" t="s">
        <v>3990</v>
      </c>
      <c r="C69" s="1080"/>
      <c r="D69" s="1085">
        <f>'Existing Debt'!M74</f>
        <v>0</v>
      </c>
      <c r="E69" s="961"/>
      <c r="F69" s="961"/>
      <c r="G69" s="961"/>
      <c r="H69" s="961"/>
      <c r="I69" s="961"/>
      <c r="J69" s="961"/>
      <c r="K69" s="961"/>
      <c r="L69" s="961"/>
    </row>
    <row r="70" spans="1:12" s="1076" customFormat="1" ht="15.75">
      <c r="A70" s="1079" t="s">
        <v>3178</v>
      </c>
      <c r="B70" s="1689" t="s">
        <v>3991</v>
      </c>
      <c r="C70" s="1080"/>
      <c r="D70" s="1085">
        <f>IFA!T86</f>
        <v>0</v>
      </c>
      <c r="E70" s="961"/>
      <c r="F70" s="961"/>
      <c r="G70" s="961"/>
      <c r="H70" s="961"/>
      <c r="I70" s="961"/>
      <c r="J70" s="961"/>
      <c r="K70" s="961"/>
      <c r="L70" s="961"/>
    </row>
    <row r="71" spans="1:12" s="1076" customFormat="1" ht="15.75">
      <c r="A71" s="1079" t="s">
        <v>3179</v>
      </c>
      <c r="B71" s="1690" t="s">
        <v>3992</v>
      </c>
      <c r="C71" s="1080"/>
      <c r="D71" s="1085">
        <f>IFA!V86</f>
        <v>0</v>
      </c>
      <c r="E71" s="961"/>
      <c r="F71" s="961"/>
      <c r="G71" s="961"/>
      <c r="H71" s="961"/>
      <c r="I71" s="961"/>
      <c r="J71" s="961"/>
      <c r="K71" s="961"/>
      <c r="L71" s="961"/>
    </row>
    <row r="72" spans="1:12" s="1076" customFormat="1" ht="15.75">
      <c r="A72" s="1079" t="s">
        <v>3180</v>
      </c>
      <c r="B72" s="1080" t="s">
        <v>4744</v>
      </c>
      <c r="C72" s="1080"/>
      <c r="D72" s="1085" t="e">
        <f>'HH1920-Calcs'!C51</f>
        <v>#DIV/0!</v>
      </c>
      <c r="E72" s="961"/>
      <c r="F72" s="961"/>
      <c r="G72" s="961"/>
      <c r="H72" s="961"/>
      <c r="I72" s="961"/>
      <c r="J72" s="961"/>
      <c r="K72" s="961"/>
      <c r="L72" s="961"/>
    </row>
    <row r="73" spans="1:12" s="1076" customFormat="1" ht="18">
      <c r="A73" s="1224" t="s">
        <v>3320</v>
      </c>
      <c r="B73" s="3405" t="s">
        <v>3955</v>
      </c>
      <c r="C73" s="3665"/>
      <c r="D73" s="3677" t="e">
        <f>'SOF1920-SB1'!H81+'HH1920-Calcs'!D26+D72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1691" t="s">
        <v>3993</v>
      </c>
      <c r="C75" s="3644"/>
      <c r="D75" s="3644"/>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'SOF1920-SB1'!H89+'HH1920-Calcs'!D26</f>
        <v>#DIV/0!</v>
      </c>
    </row>
    <row r="81" spans="1:5" ht="15.75">
      <c r="A81" s="1519" t="s">
        <v>3810</v>
      </c>
      <c r="B81" s="1518" t="s">
        <v>3263</v>
      </c>
      <c r="C81" s="1526"/>
      <c r="D81" s="1118" t="e">
        <f>'SOF1920-SB1'!H90</f>
        <v>#DIV/0!</v>
      </c>
    </row>
    <row r="82" spans="1:5" ht="15.75">
      <c r="A82" s="1519" t="s">
        <v>3811</v>
      </c>
      <c r="B82" s="1518" t="s">
        <v>3823</v>
      </c>
      <c r="C82" s="1078"/>
      <c r="D82" s="1118" t="e">
        <f>'SOF1920-SB1'!H91</f>
        <v>#DIV/0!</v>
      </c>
    </row>
    <row r="83" spans="1:5" ht="15.75">
      <c r="A83" s="1519" t="s">
        <v>3812</v>
      </c>
      <c r="B83" s="1518" t="s">
        <v>3824</v>
      </c>
      <c r="C83" s="1078"/>
      <c r="D83" s="1118" t="e">
        <f>'SOF1920-SB1'!H92</f>
        <v>#DIV/0!</v>
      </c>
    </row>
    <row r="84" spans="1:5" ht="15.75">
      <c r="A84" s="1519" t="s">
        <v>3813</v>
      </c>
      <c r="B84" s="1518" t="s">
        <v>3499</v>
      </c>
      <c r="C84" s="1078"/>
      <c r="D84" s="2549">
        <f>'Data Entry - SOF'!I96*-1</f>
        <v>0</v>
      </c>
    </row>
    <row r="85" spans="1:5" ht="15.75">
      <c r="A85" s="1519" t="s">
        <v>3814</v>
      </c>
      <c r="B85" s="1527" t="s">
        <v>3957</v>
      </c>
      <c r="C85" s="1078"/>
      <c r="D85" s="1118" t="e">
        <f>'SOF1920-SB1'!H93+'HH1920-Calcs'!D26</f>
        <v>#DIV/0!</v>
      </c>
    </row>
    <row r="86" spans="1:5" ht="15.75">
      <c r="A86" s="1519" t="s">
        <v>3815</v>
      </c>
      <c r="B86" s="1528" t="s">
        <v>3264</v>
      </c>
      <c r="C86" s="1078"/>
      <c r="D86" s="1118" t="e">
        <f>'SOF1920-SB1'!H94</f>
        <v>#DIV/0!</v>
      </c>
    </row>
    <row r="87" spans="1:5" ht="16.5" thickBot="1">
      <c r="A87" s="1520" t="s">
        <v>3816</v>
      </c>
      <c r="B87" s="1529" t="s">
        <v>3956</v>
      </c>
      <c r="C87" s="1517"/>
      <c r="D87" s="1188" t="e">
        <f>'SOF1920-SB1'!H95+'HH1920-Calcs'!D26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$",Assumptions!G121," Level")</f>
        <v>Recapture at the $514000 Level</v>
      </c>
      <c r="C91" s="1521"/>
      <c r="D91" s="1118" t="e">
        <f>'ASATR-SB1'!K39</f>
        <v>#DIV/0!</v>
      </c>
    </row>
    <row r="92" spans="1:5" ht="15">
      <c r="A92" s="1519" t="s">
        <v>3818</v>
      </c>
      <c r="B92" s="1523" t="str">
        <f>CONCATENATE("Recapture at the $",Assumptions!G71," Level")</f>
        <v>Recapture at the $319500 Level</v>
      </c>
      <c r="C92" s="1521"/>
      <c r="D92" s="1118" t="e">
        <f>IF('Report-Recapture1920'!G141="Y",MIN('Report-Recapture1920'!C141,'Report-Recapture1920'!E141),MAX('Report-Recapture1920'!C141,'Report-Recapture1920'!E141))</f>
        <v>#DIV/0!</v>
      </c>
    </row>
    <row r="93" spans="1:5" ht="15.75">
      <c r="A93" s="1519" t="s">
        <v>3819</v>
      </c>
      <c r="B93" t="s">
        <v>7757</v>
      </c>
      <c r="C93" s="1521"/>
      <c r="D93" s="1239" t="e">
        <f>D91+D92</f>
        <v>#DIV/0!</v>
      </c>
    </row>
    <row r="94" spans="1:5" ht="15">
      <c r="A94" s="1519" t="s">
        <v>3820</v>
      </c>
      <c r="B94" s="1523" t="s">
        <v>3487</v>
      </c>
      <c r="C94" s="1521"/>
      <c r="D94" s="2550">
        <f>'Data Entry - SOF'!I96</f>
        <v>0</v>
      </c>
    </row>
    <row r="95" spans="1:5" ht="16.5" thickBot="1">
      <c r="A95" s="1520" t="s">
        <v>3821</v>
      </c>
      <c r="B95" s="3399" t="s">
        <v>7758</v>
      </c>
      <c r="C95" s="1522"/>
      <c r="D95" s="1188" t="e">
        <f>D93+D94</f>
        <v>#DIV/0!</v>
      </c>
    </row>
    <row r="96" spans="1:5" ht="13.5"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33" workbookViewId="0">
      <selection activeCell="H49" sqref="H49"/>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16.42578125" customWidth="1"/>
    <col min="10" max="13" width="19.140625" style="1737" customWidth="1"/>
    <col min="14" max="14" width="13.5703125" customWidth="1"/>
    <col min="15" max="15" width="13.5703125" style="177" customWidth="1"/>
    <col min="16" max="16" width="13.5703125" customWidth="1"/>
    <col min="17" max="17" width="13.5703125" style="49" customWidth="1"/>
    <col min="18" max="18" width="13.7109375" customWidth="1"/>
    <col min="40" max="40" width="15.5703125" customWidth="1"/>
    <col min="41" max="41" width="16" customWidth="1"/>
  </cols>
  <sheetData>
    <row r="1" spans="1:13">
      <c r="A1" s="23" t="s">
        <v>78</v>
      </c>
      <c r="C1" s="873">
        <f>'Data Entry - SOF'!B1</f>
        <v>0</v>
      </c>
      <c r="D1" s="35"/>
      <c r="E1" s="1031"/>
      <c r="F1" s="925" t="str">
        <f>'Report-SOF1920'!D1</f>
        <v>84th/85th Legislative Session</v>
      </c>
      <c r="G1" s="83"/>
      <c r="J1" s="1736"/>
      <c r="K1" s="1736"/>
      <c r="L1" s="1736"/>
      <c r="M1" s="1736"/>
    </row>
    <row r="2" spans="1:13">
      <c r="A2" s="23" t="s">
        <v>79</v>
      </c>
      <c r="C2" s="15">
        <f>'Data Entry - SOF'!B2</f>
        <v>0</v>
      </c>
      <c r="F2" s="83" t="str">
        <f>'Report-SOF1920'!D2</f>
        <v>Release 2</v>
      </c>
      <c r="G2" s="83"/>
      <c r="J2" s="1736"/>
      <c r="K2" s="1736"/>
      <c r="L2" s="1736"/>
      <c r="M2" s="1736"/>
    </row>
    <row r="3" spans="1:13">
      <c r="A3" s="23" t="s">
        <v>164</v>
      </c>
      <c r="C3" s="87">
        <f ca="1">'Data Entry - SOF'!B3</f>
        <v>43146.631174305556</v>
      </c>
      <c r="F3" s="82">
        <f>'Report-SOF1920'!D3</f>
        <v>43145</v>
      </c>
    </row>
    <row r="4" spans="1:13">
      <c r="D4" s="916" t="s">
        <v>3740</v>
      </c>
    </row>
    <row r="5" spans="1:13">
      <c r="D5" s="917" t="s">
        <v>3906</v>
      </c>
    </row>
    <row r="7" spans="1:13">
      <c r="D7" s="23" t="s">
        <v>1573</v>
      </c>
    </row>
    <row r="8" spans="1:13">
      <c r="B8" s="4"/>
      <c r="D8" s="23" t="s">
        <v>942</v>
      </c>
      <c r="F8" s="22">
        <f>'Calc Data-SB1'!F7</f>
        <v>0</v>
      </c>
      <c r="G8" s="21"/>
      <c r="J8" s="1738"/>
      <c r="K8" s="1738"/>
      <c r="L8" s="1738"/>
      <c r="M8" s="1738"/>
    </row>
    <row r="9" spans="1:13">
      <c r="D9" s="23" t="s">
        <v>1574</v>
      </c>
      <c r="F9" s="22">
        <f>'Calc Data-SB1'!F8</f>
        <v>0</v>
      </c>
      <c r="G9" s="21"/>
      <c r="J9" s="1738"/>
      <c r="K9" s="1738"/>
      <c r="L9" s="1738"/>
      <c r="M9" s="1738"/>
    </row>
    <row r="10" spans="1:13">
      <c r="D10" s="23" t="s">
        <v>466</v>
      </c>
      <c r="F10" s="22">
        <f>'Data Entry - SOF'!I32</f>
        <v>0</v>
      </c>
      <c r="G10" s="21"/>
      <c r="J10" s="1738"/>
      <c r="K10" s="1738"/>
      <c r="L10" s="1738"/>
      <c r="M10" s="1738"/>
    </row>
    <row r="11" spans="1:13">
      <c r="B11" s="23"/>
      <c r="D11" s="23" t="s">
        <v>467</v>
      </c>
      <c r="F11" s="22">
        <f>'Calc Data-SB1'!F10</f>
        <v>0</v>
      </c>
      <c r="G11" s="21"/>
      <c r="J11" s="1738"/>
      <c r="K11" s="1738"/>
      <c r="L11" s="1738"/>
      <c r="M11" s="1738"/>
    </row>
    <row r="12" spans="1:13">
      <c r="D12" s="23" t="s">
        <v>468</v>
      </c>
      <c r="F12" s="19">
        <f>'Data Entry - SOF'!I48</f>
        <v>0</v>
      </c>
      <c r="G12" s="19"/>
      <c r="J12" s="1739"/>
      <c r="K12" s="1739"/>
      <c r="L12" s="1739"/>
      <c r="M12" s="1739"/>
    </row>
    <row r="13" spans="1:13" hidden="1">
      <c r="D13" s="23" t="s">
        <v>469</v>
      </c>
      <c r="F13" s="19" t="e">
        <f>'Data Entry - SOF'!#REF!</f>
        <v>#REF!</v>
      </c>
      <c r="G13" s="19"/>
      <c r="J13" s="1739"/>
      <c r="K13" s="1739"/>
      <c r="L13" s="1739"/>
      <c r="M13" s="1739"/>
    </row>
    <row r="14" spans="1:13">
      <c r="D14" s="23" t="s">
        <v>2055</v>
      </c>
      <c r="F14" s="22">
        <f>'Data Entry - SOF'!I112</f>
        <v>0</v>
      </c>
      <c r="G14" s="19"/>
      <c r="J14" s="1739"/>
      <c r="K14" s="1739"/>
      <c r="L14" s="1739"/>
      <c r="M14" s="1739"/>
    </row>
    <row r="15" spans="1:13">
      <c r="D15" s="23" t="s">
        <v>1319</v>
      </c>
      <c r="F15" s="22">
        <f>'Calc Data-SB1'!F59</f>
        <v>0</v>
      </c>
      <c r="G15" s="20"/>
      <c r="J15" s="1740"/>
      <c r="K15" s="1740"/>
      <c r="L15" s="1740"/>
      <c r="M15" s="1740"/>
    </row>
    <row r="16" spans="1:13">
      <c r="D16" s="23" t="s">
        <v>2233</v>
      </c>
      <c r="F16" s="19">
        <f>'Data Entry - SOF'!I59</f>
        <v>0</v>
      </c>
      <c r="G16" s="19"/>
      <c r="J16" s="1739"/>
      <c r="K16" s="1739"/>
      <c r="L16" s="1739"/>
      <c r="M16" s="1739"/>
    </row>
    <row r="17" spans="2:40" ht="13.5" thickBot="1">
      <c r="D17" s="31"/>
      <c r="E17" s="13"/>
      <c r="F17" s="13"/>
      <c r="G17" s="32"/>
      <c r="J17" s="1741"/>
      <c r="K17" s="1741"/>
      <c r="L17" s="1741"/>
      <c r="M17" s="1741"/>
    </row>
    <row r="18" spans="2:40" ht="13.5" thickTop="1">
      <c r="D18" s="34"/>
      <c r="E18" s="35"/>
      <c r="F18" s="35"/>
      <c r="G18" s="32"/>
      <c r="H18" t="s">
        <v>4510</v>
      </c>
      <c r="J18" t="s">
        <v>7899</v>
      </c>
      <c r="K18"/>
      <c r="L18" t="s">
        <v>7901</v>
      </c>
      <c r="M18"/>
    </row>
    <row r="19" spans="2:40" ht="15.75" hidden="1">
      <c r="D19" s="23"/>
      <c r="E19" s="973" t="s">
        <v>108</v>
      </c>
      <c r="F19" s="972" t="e">
        <f>IF(#REF!="y","ASATR DIST","FORMULA DIST")</f>
        <v>#REF!</v>
      </c>
      <c r="G19" s="23"/>
      <c r="J19"/>
      <c r="K19"/>
      <c r="L19"/>
      <c r="M19"/>
      <c r="AN19" t="s">
        <v>2630</v>
      </c>
    </row>
    <row r="20" spans="2:40" ht="15.75">
      <c r="B20" s="28" t="s">
        <v>470</v>
      </c>
      <c r="D20" s="23"/>
      <c r="F20" s="960" t="s">
        <v>4566</v>
      </c>
      <c r="G20" s="23"/>
      <c r="H20" t="s">
        <v>4483</v>
      </c>
      <c r="J20" t="s">
        <v>4510</v>
      </c>
      <c r="K20" t="s">
        <v>4483</v>
      </c>
      <c r="L20" t="s">
        <v>4511</v>
      </c>
      <c r="M20" t="s">
        <v>4483</v>
      </c>
    </row>
    <row r="21" spans="2:40" ht="15.75">
      <c r="B21" s="28">
        <v>11</v>
      </c>
      <c r="D21" s="132" t="s">
        <v>3630</v>
      </c>
      <c r="F21" s="945">
        <f>ROUND(ROUND('Calc Data-SB1'!F23,0)*IF('Calc Data-SB1'!F11&gt;'Calc Data-SB1'!F10,'Calc Data-SB1'!F11,'Calc Data-SB1'!F10),0)</f>
        <v>0</v>
      </c>
      <c r="G21" s="19"/>
      <c r="H21" s="1037">
        <f>ROUND(ROUND('Calc Data-SB1'!AN23,0)*IF('Calc Data-SB1'!F11&gt;'Calc Data-SB1'!F10,'Calc Data-SB1'!F11,'Calc Data-SB1'!F10),0)</f>
        <v>0</v>
      </c>
      <c r="J21"/>
      <c r="K21"/>
      <c r="L21"/>
      <c r="M21">
        <f>H21</f>
        <v>0</v>
      </c>
      <c r="AN21" s="19" t="e">
        <f>ROUND(ROUND('Calc Data-SB1'!AB23,0)*IF('Calc Data-SB1'!#REF!&gt;'Calc Data-SB1'!#REF!,'Calc Data-SB1'!#REF!,'Calc Data-SB1'!#REF!),0)</f>
        <v>#REF!</v>
      </c>
    </row>
    <row r="22" spans="2:40">
      <c r="B22" s="28">
        <v>23</v>
      </c>
      <c r="D22" s="23" t="s">
        <v>102</v>
      </c>
      <c r="F22" s="19">
        <f>ROUND('Calc Data-SB1'!F9*ROUND('Calc Data-SB1'!F23,0),0)</f>
        <v>0</v>
      </c>
      <c r="G22" s="19"/>
      <c r="H22" s="1038">
        <f>ROUND('Calc Data-SB1'!F9*ROUND('Calc Data-SB1'!AN23,0),0)</f>
        <v>0</v>
      </c>
      <c r="J22"/>
      <c r="K22"/>
      <c r="L22"/>
      <c r="M22"/>
      <c r="AN22" s="19" t="e">
        <f>ROUND('Calc Data-SB1'!#REF!*ROUND('Calc Data-SB1'!AB23,0),0)</f>
        <v>#REF!</v>
      </c>
    </row>
    <row r="23" spans="2:40">
      <c r="B23" s="28"/>
      <c r="D23" s="23" t="s">
        <v>103</v>
      </c>
      <c r="F23" s="47"/>
      <c r="H23" s="1039"/>
      <c r="J23"/>
      <c r="K23"/>
      <c r="L23"/>
      <c r="M23"/>
    </row>
    <row r="24" spans="2:40">
      <c r="B24" s="28">
        <v>23</v>
      </c>
      <c r="D24" s="23" t="s">
        <v>104</v>
      </c>
      <c r="F24" s="30">
        <f>ROUND('Data Entry - SOF'!I31*Weights!K21*ROUND('Calc Data-SB1'!F23,0),0)</f>
        <v>0</v>
      </c>
      <c r="G24" s="30"/>
      <c r="H24" s="1040">
        <f>ROUND('Data Entry - SOF'!I31*Weights!K21*ROUND('Calc Data-SB1'!AN23,0),0)</f>
        <v>0</v>
      </c>
      <c r="J24"/>
      <c r="K24"/>
      <c r="L24"/>
      <c r="M24">
        <f t="shared" ref="M24:M44" si="0">H24</f>
        <v>0</v>
      </c>
      <c r="AN24" s="30" t="e">
        <f>ROUND('Data Entry - SOF'!#REF!*1.1*ROUND('Calc Data-SB1'!AB23,0),0)</f>
        <v>#REF!</v>
      </c>
    </row>
    <row r="25" spans="2:40">
      <c r="B25" s="28">
        <v>23</v>
      </c>
      <c r="D25" s="23" t="s">
        <v>105</v>
      </c>
      <c r="F25" s="19">
        <f>ROUND((+'Data Entry - SOF'!I29*Weights!K19)*ROUND('Calc Data-SB1'!F23,0),0)</f>
        <v>0</v>
      </c>
      <c r="G25" s="19"/>
      <c r="H25" s="1038">
        <f>ROUND((+'Data Entry - SOF'!I29*Weights!K19)*ROUND('Calc Data-SB1'!AN23,0),0)</f>
        <v>0</v>
      </c>
      <c r="J25"/>
      <c r="K25"/>
      <c r="L25"/>
      <c r="M25">
        <f t="shared" si="0"/>
        <v>0</v>
      </c>
      <c r="AN25" s="19" t="e">
        <f>ROUND((+'Data Entry - SOF'!#REF!*4)*ROUND('Calc Data-SB1'!AB23,0),0)</f>
        <v>#REF!</v>
      </c>
    </row>
    <row r="26" spans="2:40">
      <c r="B26" s="28">
        <v>23</v>
      </c>
      <c r="D26" s="25" t="s">
        <v>919</v>
      </c>
      <c r="F26" s="19">
        <f>ROUND((+'Data Entry - SOF'!I27*Weights!K17)*ROUND('Calc Data-SB1'!F23,0),0)</f>
        <v>0</v>
      </c>
      <c r="G26" s="19"/>
      <c r="H26" s="1038">
        <f>ROUND((+'Data Entry - SOF'!I27*Weights!K17)*ROUND('Calc Data-SB1'!AN23,0),0)</f>
        <v>0</v>
      </c>
      <c r="J26"/>
      <c r="K26"/>
      <c r="L26"/>
      <c r="M26">
        <f t="shared" si="0"/>
        <v>0</v>
      </c>
      <c r="AN26" s="19" t="e">
        <f>ROUND((+'Data Entry - SOF'!#REF!*2.8)*ROUND('Calc Data-SB1'!AB23,0),0)</f>
        <v>#REF!</v>
      </c>
    </row>
    <row r="27" spans="2:40">
      <c r="B27" s="28">
        <v>23</v>
      </c>
      <c r="D27" s="25" t="s">
        <v>920</v>
      </c>
      <c r="F27" s="19">
        <f>ROUND(('Data Entry - SOF'!I28*Weights!K18)*ROUND('Calc Data-SB1'!F23,0),0)</f>
        <v>0</v>
      </c>
      <c r="G27" s="19"/>
      <c r="H27" s="1038">
        <f>ROUND(('Data Entry - SOF'!I28*Weights!K18)*ROUND('Calc Data-SB1'!AN23,0),0)</f>
        <v>0</v>
      </c>
      <c r="J27"/>
      <c r="K27"/>
      <c r="L27"/>
      <c r="M27">
        <f t="shared" si="0"/>
        <v>0</v>
      </c>
      <c r="AN27" s="19" t="e">
        <f>ROUND(('Data Entry - SOF'!#REF!*1.7)*ROUND('Calc Data-SB1'!AB23,0),0)</f>
        <v>#REF!</v>
      </c>
    </row>
    <row r="28" spans="2:40">
      <c r="B28" s="28"/>
      <c r="D28" s="23" t="s">
        <v>1308</v>
      </c>
      <c r="F28" s="19">
        <f>IF('Data Entry - SOF'!I71&lt;0,'Data Entry - SOF'!I71,'Data Entry - SOF'!I71*-1)</f>
        <v>0</v>
      </c>
      <c r="G28" s="19"/>
      <c r="H28" s="1038">
        <f>IF('Data Entry - SOF'!I71&lt;0,'Data Entry - SOF'!I71,'Data Entry - SOF'!I71*-1)</f>
        <v>0</v>
      </c>
      <c r="J28"/>
      <c r="K28"/>
      <c r="L28"/>
      <c r="M28">
        <f t="shared" si="0"/>
        <v>0</v>
      </c>
      <c r="AN28" s="19">
        <v>0</v>
      </c>
    </row>
    <row r="29" spans="2:40">
      <c r="B29" s="28">
        <v>22</v>
      </c>
      <c r="C29" s="17"/>
      <c r="D29" s="23" t="s">
        <v>119</v>
      </c>
      <c r="F29" s="19">
        <f>ROUND(ROUND('Calc Data-SB1'!F23,0)*'Data Entry - SOF'!I32*Weights!K23,0)</f>
        <v>0</v>
      </c>
      <c r="G29" s="19"/>
      <c r="H29" s="1038">
        <f>ROUND(ROUND('Calc Data-SB1'!AN23,0)*'Data Entry - SOF'!I32*Weights!K23,0)</f>
        <v>0</v>
      </c>
      <c r="J29"/>
      <c r="K29"/>
      <c r="L29"/>
      <c r="M29">
        <f t="shared" si="0"/>
        <v>0</v>
      </c>
      <c r="AN29" s="19" t="e">
        <f>ROUND(ROUND('Calc Data-SB1'!AB23,0)*'Data Entry - SOF'!#REF!*1.35,0)</f>
        <v>#REF!</v>
      </c>
    </row>
    <row r="30" spans="2:40">
      <c r="B30" s="28"/>
      <c r="C30" s="17"/>
      <c r="D30" s="47" t="s">
        <v>716</v>
      </c>
      <c r="F30" s="19">
        <f>Weights!K24*'Data Entry - SOF'!I33</f>
        <v>0</v>
      </c>
      <c r="G30" s="19"/>
      <c r="H30" s="1038">
        <f>Weights!K24*'Data Entry - SOF'!I33</f>
        <v>0</v>
      </c>
      <c r="J30"/>
      <c r="K30"/>
      <c r="L30"/>
      <c r="M30">
        <f t="shared" si="0"/>
        <v>0</v>
      </c>
      <c r="AN30" s="19"/>
    </row>
    <row r="31" spans="2:40" hidden="1">
      <c r="B31" s="28"/>
      <c r="C31" s="17"/>
      <c r="D31" s="47" t="s">
        <v>717</v>
      </c>
      <c r="F31" s="19">
        <f>400*'Data Entry - SOF'!I34</f>
        <v>0</v>
      </c>
      <c r="G31" s="19"/>
      <c r="H31" s="1038">
        <f>400*'Data Entry - SOF'!I34</f>
        <v>0</v>
      </c>
      <c r="J31"/>
      <c r="K31"/>
      <c r="L31"/>
      <c r="M31">
        <f t="shared" si="0"/>
        <v>0</v>
      </c>
      <c r="AN31" s="19"/>
    </row>
    <row r="32" spans="2:40" hidden="1">
      <c r="B32" s="28"/>
      <c r="C32" s="17"/>
      <c r="D32" s="47" t="s">
        <v>718</v>
      </c>
      <c r="F32" s="19">
        <f>80*'Data Entry - SOF'!I35</f>
        <v>0</v>
      </c>
      <c r="G32" s="19"/>
      <c r="H32" s="1038">
        <f>80*'Data Entry - SOF'!I35</f>
        <v>0</v>
      </c>
      <c r="J32"/>
      <c r="K32"/>
      <c r="L32"/>
      <c r="M32">
        <f t="shared" si="0"/>
        <v>0</v>
      </c>
      <c r="AN32" s="19"/>
    </row>
    <row r="33" spans="2:40">
      <c r="B33" s="28">
        <v>21</v>
      </c>
      <c r="D33" s="23" t="s">
        <v>3030</v>
      </c>
      <c r="F33" s="19">
        <f>ROUND(ROUND('Calc Data-SB1'!F23,0)*'Data Entry - SOF'!I157*Weights!K28,0)</f>
        <v>0</v>
      </c>
      <c r="G33" s="19"/>
      <c r="H33" s="1038">
        <f>ROUND(ROUND('Calc Data-SB1'!AN23,0)*'Data Entry - SOF'!I157*Weights!K28,0)</f>
        <v>0</v>
      </c>
      <c r="J33"/>
      <c r="K33"/>
      <c r="L33"/>
      <c r="M33">
        <f t="shared" si="0"/>
        <v>0</v>
      </c>
      <c r="AN33" s="19" t="e">
        <f>ROUND(ROUND('Calc Data-SB1'!AB23,0)*'Data Entry - SOF'!#REF!*0.12,0)</f>
        <v>#REF!</v>
      </c>
    </row>
    <row r="34" spans="2:40">
      <c r="B34" s="28"/>
      <c r="D34" s="23" t="s">
        <v>433</v>
      </c>
      <c r="F34" s="19">
        <f>IF('Data Entry - SOF'!I70&lt;0,'Data Entry - SOF'!I70,'Data Entry - SOF'!I70*-1)</f>
        <v>0</v>
      </c>
      <c r="G34" s="19"/>
      <c r="H34" s="1038">
        <f>IF('Data Entry - SOF'!I70&lt;0,'Data Entry - SOF'!I70,'Data Entry - SOF'!I70*-1)</f>
        <v>0</v>
      </c>
      <c r="J34"/>
      <c r="K34"/>
      <c r="L34"/>
      <c r="M34">
        <f t="shared" si="0"/>
        <v>0</v>
      </c>
      <c r="AN34" s="19">
        <v>0</v>
      </c>
    </row>
    <row r="35" spans="2:40">
      <c r="B35" s="28" t="s">
        <v>2857</v>
      </c>
      <c r="D35" s="23" t="s">
        <v>434</v>
      </c>
      <c r="F35" s="19">
        <f>ROUND(ROUND('Calc Data-SB1'!F23,0)*'Data Entry - SOF'!I36*Weights!K30,0)</f>
        <v>0</v>
      </c>
      <c r="G35" s="19"/>
      <c r="H35" s="1038">
        <f>ROUND(ROUND('Calc Data-SB1'!AN23,0)*'Data Entry - SOF'!I36*Weights!K30,0)</f>
        <v>0</v>
      </c>
      <c r="J35"/>
      <c r="K35"/>
      <c r="L35"/>
      <c r="M35">
        <f t="shared" si="0"/>
        <v>0</v>
      </c>
      <c r="AN35" s="19" t="e">
        <f>ROUND(ROUND('Calc Data-SB1'!AB23,0)*'Data Entry - SOF'!#REF!*0.2,0)</f>
        <v>#REF!</v>
      </c>
    </row>
    <row r="36" spans="2:40">
      <c r="B36" s="28" t="s">
        <v>2857</v>
      </c>
      <c r="D36" s="23" t="s">
        <v>435</v>
      </c>
      <c r="F36" s="19">
        <f>ROUND(ROUND('Calc Data-SB1'!F23,0)*'Data Entry - SOF'!I37*Weights!K31,0)</f>
        <v>0</v>
      </c>
      <c r="G36" s="19"/>
      <c r="H36" s="1038">
        <f>ROUND(ROUND('Calc Data-SB1'!AN23,0)*'Data Entry - SOF'!I37*Weights!K31,0)</f>
        <v>0</v>
      </c>
      <c r="J36"/>
      <c r="K36"/>
      <c r="L36"/>
      <c r="M36">
        <f t="shared" si="0"/>
        <v>0</v>
      </c>
      <c r="AN36" s="19" t="e">
        <f>ROUND(ROUND('Calc Data-SB1'!AB23,0)*'Data Entry - SOF'!#REF!*2.41,0)</f>
        <v>#REF!</v>
      </c>
    </row>
    <row r="37" spans="2:40" hidden="1">
      <c r="B37" s="28" t="s">
        <v>2857</v>
      </c>
      <c r="D37" s="97" t="s">
        <v>491</v>
      </c>
      <c r="E37" s="944"/>
      <c r="F37" s="19">
        <f>650*'Data Entry - SOF'!I38</f>
        <v>0</v>
      </c>
      <c r="G37" s="19"/>
      <c r="H37" s="1038">
        <f>650*'Data Entry - SOF'!I38</f>
        <v>0</v>
      </c>
      <c r="J37"/>
      <c r="K37"/>
      <c r="L37"/>
      <c r="M37">
        <f t="shared" si="0"/>
        <v>0</v>
      </c>
      <c r="AN37" s="19"/>
    </row>
    <row r="38" spans="2:40" hidden="1">
      <c r="B38" s="28"/>
      <c r="D38" s="23" t="s">
        <v>1397</v>
      </c>
      <c r="F38" s="90">
        <v>0</v>
      </c>
      <c r="G38" s="19"/>
      <c r="H38" s="1041">
        <v>0</v>
      </c>
      <c r="J38"/>
      <c r="K38"/>
      <c r="L38"/>
      <c r="M38">
        <f t="shared" si="0"/>
        <v>0</v>
      </c>
      <c r="AN38" s="19">
        <v>0</v>
      </c>
    </row>
    <row r="39" spans="2:40">
      <c r="B39" s="28">
        <v>25</v>
      </c>
      <c r="D39" s="23" t="s">
        <v>1297</v>
      </c>
      <c r="F39" s="19">
        <f>ROUND(ROUND('Calc Data-SB1'!F23,0)*('Data Entry - SOF'!I39*Weights!K26),0)</f>
        <v>0</v>
      </c>
      <c r="G39" s="19"/>
      <c r="H39" s="1038">
        <f>ROUND(ROUND('Calc Data-SB1'!AN23,0)*('Data Entry - SOF'!I39*Weights!K26),0)</f>
        <v>0</v>
      </c>
      <c r="J39"/>
      <c r="K39"/>
      <c r="L39"/>
      <c r="M39">
        <f t="shared" si="0"/>
        <v>0</v>
      </c>
      <c r="AN39" s="19" t="e">
        <f>ROUND(ROUND('Calc Data-SB1'!AB23,0)*('Data Entry - SOF'!#REF!*0.1),0)</f>
        <v>#REF!</v>
      </c>
    </row>
    <row r="40" spans="2:40">
      <c r="B40" s="28">
        <v>31</v>
      </c>
      <c r="D40" s="47" t="s">
        <v>2792</v>
      </c>
      <c r="F40" s="19">
        <f>Weights!K33*'Data Entry - SOF'!I18</f>
        <v>0</v>
      </c>
      <c r="G40" s="19"/>
      <c r="H40" s="1038">
        <f>Weights!K33*'Data Entry - SOF'!I18</f>
        <v>0</v>
      </c>
      <c r="J40"/>
      <c r="K40"/>
      <c r="L40"/>
      <c r="M40">
        <f t="shared" si="0"/>
        <v>0</v>
      </c>
      <c r="AN40" s="19" t="e">
        <f>#REF!</f>
        <v>#REF!</v>
      </c>
    </row>
    <row r="41" spans="2:40">
      <c r="B41" s="28"/>
      <c r="D41" s="23" t="s">
        <v>984</v>
      </c>
      <c r="F41" s="19">
        <f>ROUND(ROUND('Calc Data-SB1'!F23,0)*'Data Entry - SOF'!I41*Weights!K37,0)</f>
        <v>0</v>
      </c>
      <c r="G41" s="19"/>
      <c r="H41" s="1038">
        <f>ROUND(ROUND('Calc Data-SB1'!AN23,0)*'Data Entry - SOF'!I41*Weights!K37,0)</f>
        <v>0</v>
      </c>
      <c r="J41"/>
      <c r="K41"/>
      <c r="L41"/>
      <c r="M41">
        <f t="shared" si="0"/>
        <v>0</v>
      </c>
      <c r="AN41" s="19" t="e">
        <f>ROUND(ROUND('Calc Data-SB1'!AB23,0)*'Data Entry - SOF'!#REF!*0.1,0)</f>
        <v>#REF!</v>
      </c>
    </row>
    <row r="42" spans="2:40" ht="15.75">
      <c r="B42" s="28"/>
      <c r="D42" s="955" t="s">
        <v>4482</v>
      </c>
      <c r="F42" s="116">
        <f>'Data Entry - SOF'!I42*Weights!K35</f>
        <v>0</v>
      </c>
      <c r="G42" s="19"/>
      <c r="H42" s="1038">
        <f>F42</f>
        <v>0</v>
      </c>
      <c r="J42"/>
      <c r="K42"/>
      <c r="L42"/>
      <c r="M42">
        <f t="shared" si="0"/>
        <v>0</v>
      </c>
      <c r="AN42" s="19" t="e">
        <f>'Data Entry - SOF'!#REF!*250</f>
        <v>#REF!</v>
      </c>
    </row>
    <row r="43" spans="2:40">
      <c r="B43" s="28">
        <v>99</v>
      </c>
      <c r="D43" s="23" t="s">
        <v>2385</v>
      </c>
      <c r="F43" s="29">
        <f>'Data Entry - SOF'!I66</f>
        <v>0</v>
      </c>
      <c r="G43" s="32"/>
      <c r="H43" s="1043">
        <f>'Data Entry - SOF'!I66</f>
        <v>0</v>
      </c>
      <c r="J43"/>
      <c r="K43"/>
      <c r="L43" s="2225"/>
      <c r="M43">
        <f t="shared" si="0"/>
        <v>0</v>
      </c>
      <c r="AN43" s="29" t="e">
        <f>'Data Entry - SOF'!#REF!</f>
        <v>#REF!</v>
      </c>
    </row>
    <row r="44" spans="2:40">
      <c r="D44" s="23" t="s">
        <v>576</v>
      </c>
      <c r="F44" s="19">
        <f>SUM(F21:F43)</f>
        <v>0</v>
      </c>
      <c r="G44" s="19"/>
      <c r="H44" s="1038">
        <f>SUM(H21:H43)</f>
        <v>0</v>
      </c>
      <c r="J44"/>
      <c r="K44"/>
      <c r="L44"/>
      <c r="M44">
        <f t="shared" si="0"/>
        <v>0</v>
      </c>
      <c r="AN44" s="19" t="e">
        <f>SUM(AN21:AN43)</f>
        <v>#REF!</v>
      </c>
    </row>
    <row r="45" spans="2:40">
      <c r="D45" s="23" t="s">
        <v>890</v>
      </c>
      <c r="F45" s="36">
        <f>IF('Data Entry - SOF'!I108&gt;1,1*('Data Entry - SOF'!I48/100),'Data Entry - SOF'!I108*('Data Entry - SOF'!I48/100))</f>
        <v>0</v>
      </c>
      <c r="G45" s="59"/>
      <c r="H45" s="1045">
        <f>IF('Calc Data-SB1'!AN30&gt;1,1*('Data Entry - SOF'!I48/100),'Calc Data-SB1'!AN30*('Data Entry - SOF'!I48/100))</f>
        <v>0</v>
      </c>
      <c r="J45"/>
      <c r="K45"/>
      <c r="L45" s="1810"/>
      <c r="M45">
        <f>IF('Calc Data-15K'!AN30&gt;1,1*('Data Entry - SOF'!I50/100),'Calc Data-15K'!AN30*('Data Entry - SOF'!I50/100))</f>
        <v>0</v>
      </c>
      <c r="AN45" s="36" t="e">
        <f>#REF!</f>
        <v>#REF!</v>
      </c>
    </row>
    <row r="46" spans="2:40">
      <c r="D46" s="23" t="s">
        <v>889</v>
      </c>
      <c r="F46" s="37">
        <f>F44-F45</f>
        <v>0</v>
      </c>
      <c r="G46" s="37"/>
      <c r="H46" s="1046">
        <f>H44-H45</f>
        <v>0</v>
      </c>
      <c r="J46"/>
      <c r="K46"/>
      <c r="L46" s="1810"/>
      <c r="M46">
        <f>M44-M45</f>
        <v>0</v>
      </c>
      <c r="AN46" s="37" t="e">
        <f>AN44-AN45</f>
        <v>#REF!</v>
      </c>
    </row>
    <row r="47" spans="2:40">
      <c r="D47" s="23"/>
      <c r="G47" s="37"/>
      <c r="H47" s="1735"/>
      <c r="J47"/>
      <c r="K47"/>
      <c r="L47"/>
      <c r="M47"/>
      <c r="P47" s="62"/>
      <c r="AN47" s="37"/>
    </row>
    <row r="48" spans="2:40">
      <c r="D48" s="949" t="s">
        <v>835</v>
      </c>
      <c r="G48" s="37"/>
      <c r="H48" s="1735"/>
      <c r="J48"/>
      <c r="K48"/>
      <c r="L48"/>
      <c r="M48"/>
      <c r="P48" s="62"/>
      <c r="AN48" s="37"/>
    </row>
    <row r="49" spans="4:15">
      <c r="D49" s="23" t="s">
        <v>1716</v>
      </c>
      <c r="F49" s="90">
        <f>IF(F46&lt;F76+F40+F42+F31+F32,F76+F40+F42+F31+F32,F46)</f>
        <v>0</v>
      </c>
      <c r="G49" s="37"/>
      <c r="H49" s="1041">
        <f>IF(H46&lt;H76+H40+H42+H31+H32,H76+H40+H42+H31+H32,H46)</f>
        <v>0</v>
      </c>
      <c r="J49"/>
      <c r="K49"/>
      <c r="L49" s="1813"/>
      <c r="M49">
        <f>IF(M46&lt;M76+M40+M42+M31+M32,M76+M40+M42+M31+M32,M46)</f>
        <v>0</v>
      </c>
    </row>
    <row r="50" spans="4:15" hidden="1">
      <c r="D50" s="23" t="s">
        <v>2596</v>
      </c>
      <c r="G50" s="37" t="e">
        <f>ROUND(IF((24.7*'Calc Data-SB1'!#REF!*IF('Calc Data-SB1'!#REF!&gt;=0.64,0.64,'Calc Data-SB1'!#REF!)*100)&lt;'Calc Data-SB1'!#REF!,0,(24.7*'Calc Data-SB1'!#REF!*IF('Calc Data-SB1'!#REF!&gt;=0.64,0.64,'Calc Data-SB1'!#REF!)*100)-'Calc Data-SB1'!#REF!),0)</f>
        <v>#REF!</v>
      </c>
      <c r="H50" s="37"/>
      <c r="I50" s="1925"/>
      <c r="J50"/>
      <c r="K50"/>
      <c r="L50" s="1810"/>
      <c r="M50"/>
    </row>
    <row r="51" spans="4:15">
      <c r="D51" s="23"/>
      <c r="G51" s="37"/>
      <c r="H51" s="1050"/>
      <c r="J51"/>
      <c r="K51"/>
      <c r="L51" s="1813"/>
      <c r="M51"/>
    </row>
    <row r="52" spans="4:15">
      <c r="D52" s="23" t="s">
        <v>2748</v>
      </c>
      <c r="F52" s="37" t="e">
        <f>ROUND(IF((Assumptions!G119*'Calc Data-SB1'!F25*'Calc Data-SB1'!F35*100)&lt;'Calc Data-SB1'!F42,0,(Assumptions!G119*'Calc Data-SB1'!F25*'Calc Data-SB1'!F35*100)-'Calc Data-SB1'!F42),0)</f>
        <v>#DIV/0!</v>
      </c>
      <c r="G52" s="37"/>
      <c r="H52" s="1050" t="e">
        <f>ROUND(IF((Assumptions!G119*'Calc Data-SB1'!F25*'Calc Data-SB1'!F35*100)&lt;'Calc Data-SB1'!F42,0,(Assumptions!G119*'Calc Data-SB1'!F25*'Calc Data-SB1'!F35*100)-'Calc Data-SB1'!F42),0)</f>
        <v>#DIV/0!</v>
      </c>
      <c r="J52" t="e">
        <f>ROUND(IF((Assumptions!G119*'Calc Data-SB1'!F25*'Calc Data-SB1'!F81*100)&lt;'Calc Data-SB1'!F88,0,(Assumptions!G119*'Calc Data-SB1'!F25*'Calc Data-SB1'!F81*100)-'Calc Data-SB1'!F88),0)</f>
        <v>#DIV/0!</v>
      </c>
      <c r="K52" t="e">
        <f>J52</f>
        <v>#DIV/0!</v>
      </c>
      <c r="L52"/>
      <c r="M52" t="e">
        <f>ROUND(IF((Assumptions!G79*'Calc Data-15K'!F25*'Calc Data-15K'!F81*100)&lt;'Calc Data-15K'!F88,0,(Assumptions!G79*'Calc Data-15K'!F25*'Calc Data-15K'!F81*100)-'Calc Data-15K'!F88),0)</f>
        <v>#DIV/0!</v>
      </c>
    </row>
    <row r="53" spans="4:15">
      <c r="D53" s="23" t="s">
        <v>515</v>
      </c>
      <c r="F53" s="66" t="e">
        <f>ROUND(IF((Assumptions!G120*'Calc Data-SB1'!F25*'Calc Data-SB1'!F38*100)&lt;'Calc Data-SB1'!F43,0,(Assumptions!G120*'Calc Data-SB1'!F25*'Calc Data-SB1'!F38*100)-'Calc Data-SB1'!F43),0)</f>
        <v>#DIV/0!</v>
      </c>
      <c r="G53" s="37"/>
      <c r="H53" s="1051" t="e">
        <f>ROUND(IF((Assumptions!G120*'Calc Data-SB1'!D25*'Calc Data-SB1'!AN29*100)&lt;'Calc Data-SB1'!AN33,0,(Assumptions!G120*'Calc Data-SB1'!D25*'Calc Data-SB1'!AN29*100)-'Calc Data-SB1'!AN33),0)</f>
        <v>#DIV/0!</v>
      </c>
      <c r="J53" t="e">
        <f>ROUND(IF((Assumptions!G120*'Calc Data-SB1'!F25*'Calc Data-SB1'!F84*100)&lt;'Calc Data-SB1'!F89,0,(Assumptions!G120*'Calc Data-SB1'!F25*'Calc Data-SB1'!F84*100)-'Calc Data-SB1'!F89),0)</f>
        <v>#DIV/0!</v>
      </c>
      <c r="K53" t="e">
        <f>ROUND(IF((Assumptions!G120*'Calc Data-SB1'!F25*'Calc Data-SB1'!AN84*100)&lt;'Calc Data-SB1'!AN88,0,(Assumptions!G120*'Calc Data-SB1'!F25*'Calc Data-SB1'!AN84*100)-'Calc Data-SB1'!AN88),0)</f>
        <v>#DIV/0!</v>
      </c>
      <c r="L53"/>
      <c r="M53" t="e">
        <f>ROUND(IF((Assumptions!G80*'Calc Data-15K'!F25*'Calc Data-15K'!F84*100)&lt;'Calc Data-15K'!F89,0,(Assumptions!G80*'Calc Data-15K'!F25*'Calc Data-15K'!F84*100)-'Calc Data-15K'!F89),0)</f>
        <v>#DIV/0!</v>
      </c>
    </row>
    <row r="54" spans="4:15">
      <c r="D54" s="23" t="s">
        <v>315</v>
      </c>
      <c r="F54" s="37" t="e">
        <f>SUM(F50:F53)</f>
        <v>#DIV/0!</v>
      </c>
      <c r="G54" s="37"/>
      <c r="H54" s="1050" t="e">
        <f>SUM(H50:H53)</f>
        <v>#DIV/0!</v>
      </c>
      <c r="J54"/>
      <c r="K54"/>
      <c r="L54" s="1813"/>
      <c r="M54"/>
    </row>
    <row r="55" spans="4:15">
      <c r="D55" s="23"/>
      <c r="G55" s="37"/>
      <c r="H55" s="1050"/>
      <c r="J55"/>
      <c r="K55"/>
      <c r="L55" s="1810"/>
      <c r="M55"/>
      <c r="N55" s="121"/>
      <c r="O55" s="1375"/>
    </row>
    <row r="56" spans="4:15">
      <c r="D56" s="23" t="s">
        <v>832</v>
      </c>
      <c r="G56" s="37"/>
      <c r="H56" s="1050"/>
      <c r="J56"/>
      <c r="K56"/>
      <c r="L56" s="1810"/>
      <c r="M56"/>
      <c r="N56" s="121"/>
      <c r="O56" s="1375"/>
    </row>
    <row r="57" spans="4:15">
      <c r="D57" s="23" t="s">
        <v>859</v>
      </c>
      <c r="F57" s="37">
        <f>'Data Entry - SOF'!I76</f>
        <v>0</v>
      </c>
      <c r="G57" s="37"/>
      <c r="H57" s="1050">
        <f>F57</f>
        <v>0</v>
      </c>
      <c r="J57" t="e">
        <f>'ASATR-SB1'!K62</f>
        <v>#DIV/0!</v>
      </c>
      <c r="K57" t="e">
        <f>J57</f>
        <v>#DIV/0!</v>
      </c>
      <c r="L57" s="1858" t="e">
        <f>'ASATR-SB1'!L62</f>
        <v>#DIV/0!</v>
      </c>
      <c r="M57">
        <f t="shared" ref="M57:M69" si="1">H57</f>
        <v>0</v>
      </c>
      <c r="N57" s="121"/>
      <c r="O57" s="1375"/>
    </row>
    <row r="58" spans="4:15">
      <c r="D58" s="23" t="s">
        <v>3489</v>
      </c>
      <c r="F58" s="37">
        <f>'Data Entry - SOF'!I75</f>
        <v>0</v>
      </c>
      <c r="G58" s="37"/>
      <c r="H58" s="1050">
        <f>F58</f>
        <v>0</v>
      </c>
      <c r="J58"/>
      <c r="K58"/>
      <c r="L58" s="1810"/>
      <c r="M58">
        <f t="shared" si="1"/>
        <v>0</v>
      </c>
      <c r="N58" s="121"/>
      <c r="O58" s="1375"/>
    </row>
    <row r="59" spans="4:15">
      <c r="D59" s="23" t="s">
        <v>3490</v>
      </c>
      <c r="F59" s="37">
        <f>'Data Entry - SOF'!I77</f>
        <v>0</v>
      </c>
      <c r="G59" s="37"/>
      <c r="H59" s="1050">
        <f t="shared" ref="H59:H68" si="2">F59</f>
        <v>0</v>
      </c>
      <c r="J59"/>
      <c r="K59"/>
      <c r="L59" s="1810"/>
      <c r="M59">
        <f t="shared" si="1"/>
        <v>0</v>
      </c>
      <c r="N59" s="121"/>
      <c r="O59" s="1375"/>
    </row>
    <row r="60" spans="4:15">
      <c r="D60" s="23" t="s">
        <v>3491</v>
      </c>
      <c r="F60" s="37">
        <f>'Data Entry - SOF'!I78</f>
        <v>0</v>
      </c>
      <c r="G60" s="37"/>
      <c r="H60" s="1050">
        <f t="shared" si="2"/>
        <v>0</v>
      </c>
      <c r="J60"/>
      <c r="K60"/>
      <c r="L60" s="1810"/>
      <c r="M60">
        <f t="shared" si="1"/>
        <v>0</v>
      </c>
      <c r="N60" s="121"/>
      <c r="O60" s="1375"/>
    </row>
    <row r="61" spans="4:15">
      <c r="D61" s="23" t="s">
        <v>3492</v>
      </c>
      <c r="F61" s="37">
        <f>'Data Entry - SOF'!I79</f>
        <v>0</v>
      </c>
      <c r="G61" s="37"/>
      <c r="H61" s="1050">
        <f t="shared" si="2"/>
        <v>0</v>
      </c>
      <c r="J61"/>
      <c r="K61"/>
      <c r="L61" s="1810"/>
      <c r="M61">
        <f t="shared" si="1"/>
        <v>0</v>
      </c>
      <c r="N61" s="121"/>
      <c r="O61" s="1375"/>
    </row>
    <row r="62" spans="4:15">
      <c r="D62" s="23" t="s">
        <v>3493</v>
      </c>
      <c r="F62" s="37">
        <v>0</v>
      </c>
      <c r="G62" s="37"/>
      <c r="H62" s="1050">
        <f t="shared" si="2"/>
        <v>0</v>
      </c>
      <c r="J62"/>
      <c r="K62"/>
      <c r="L62" s="1810"/>
      <c r="M62">
        <f t="shared" si="1"/>
        <v>0</v>
      </c>
      <c r="N62" s="121"/>
      <c r="O62" s="1375"/>
    </row>
    <row r="63" spans="4:15">
      <c r="D63" s="23" t="s">
        <v>3494</v>
      </c>
      <c r="F63" s="37">
        <f>'Data Entry - SOF'!I80</f>
        <v>0</v>
      </c>
      <c r="G63" s="37"/>
      <c r="H63" s="1050">
        <f t="shared" si="2"/>
        <v>0</v>
      </c>
      <c r="J63"/>
      <c r="K63"/>
      <c r="L63" s="1810"/>
      <c r="M63">
        <f t="shared" si="1"/>
        <v>0</v>
      </c>
      <c r="N63" s="121"/>
      <c r="O63" s="1375"/>
    </row>
    <row r="64" spans="4:15">
      <c r="D64" s="23" t="s">
        <v>2801</v>
      </c>
      <c r="F64" s="37">
        <v>0</v>
      </c>
      <c r="G64" s="37"/>
      <c r="H64" s="1050">
        <f t="shared" si="2"/>
        <v>0</v>
      </c>
      <c r="J64"/>
      <c r="K64"/>
      <c r="L64" s="1810"/>
      <c r="M64">
        <f t="shared" si="1"/>
        <v>0</v>
      </c>
      <c r="N64" s="121"/>
      <c r="O64" s="1375"/>
    </row>
    <row r="65" spans="1:15">
      <c r="D65" s="23" t="s">
        <v>2793</v>
      </c>
      <c r="F65" s="37">
        <f>(500*'Data Entry - SOF'!I44)+(250*'Data Entry - SOF'!I45)</f>
        <v>0</v>
      </c>
      <c r="G65" s="37"/>
      <c r="H65" s="1050">
        <f t="shared" si="2"/>
        <v>0</v>
      </c>
      <c r="J65"/>
      <c r="K65"/>
      <c r="L65" s="1810"/>
      <c r="M65">
        <f t="shared" si="1"/>
        <v>0</v>
      </c>
      <c r="N65" s="121"/>
      <c r="O65" s="1375"/>
    </row>
    <row r="66" spans="1:15">
      <c r="D66" s="23" t="s">
        <v>833</v>
      </c>
      <c r="F66" s="905" t="e">
        <f>(('Data Entry - SOF'!I69/'Calc Data-SB1'!E7)*'Data Entry - SOF'!I67)*-1</f>
        <v>#DIV/0!</v>
      </c>
      <c r="G66" s="37"/>
      <c r="H66" s="1050" t="e">
        <f t="shared" si="2"/>
        <v>#DIV/0!</v>
      </c>
      <c r="J66"/>
      <c r="K66"/>
      <c r="L66" s="1810"/>
      <c r="M66" t="e">
        <f t="shared" si="1"/>
        <v>#DIV/0!</v>
      </c>
      <c r="N66" s="121"/>
      <c r="O66" s="1375"/>
    </row>
    <row r="67" spans="1:15">
      <c r="D67" s="23" t="s">
        <v>834</v>
      </c>
      <c r="F67" s="1241" t="e">
        <f>(('Data Entry - SOF'!I69/'Calc Data-SB1'!E7)*'Data Entry - SOF'!I68)*-1</f>
        <v>#DIV/0!</v>
      </c>
      <c r="G67" s="37"/>
      <c r="H67" s="1050" t="e">
        <f t="shared" si="2"/>
        <v>#DIV/0!</v>
      </c>
      <c r="J67"/>
      <c r="K67"/>
      <c r="L67" s="1810"/>
      <c r="M67" t="e">
        <f t="shared" si="1"/>
        <v>#DIV/0!</v>
      </c>
      <c r="N67" s="121"/>
      <c r="O67" s="1375"/>
    </row>
    <row r="68" spans="1:15">
      <c r="D68" s="23" t="s">
        <v>3399</v>
      </c>
      <c r="F68" s="1242">
        <f>'Data Entry - SOF'!I96</f>
        <v>0</v>
      </c>
      <c r="G68" s="37"/>
      <c r="H68" s="1051">
        <f t="shared" si="2"/>
        <v>0</v>
      </c>
      <c r="J68"/>
      <c r="K68"/>
      <c r="L68" s="1810"/>
      <c r="M68">
        <f t="shared" si="1"/>
        <v>0</v>
      </c>
      <c r="N68" s="121"/>
      <c r="O68" s="1375"/>
    </row>
    <row r="69" spans="1:15">
      <c r="D69" s="906" t="s">
        <v>200</v>
      </c>
      <c r="F69" s="37" t="e">
        <f>SUM(F57:F68)</f>
        <v>#DIV/0!</v>
      </c>
      <c r="G69" s="37"/>
      <c r="H69" s="1050" t="e">
        <f>SUM(H57:H68)</f>
        <v>#DIV/0!</v>
      </c>
      <c r="J69"/>
      <c r="K69"/>
      <c r="L69" s="1810"/>
      <c r="M69" t="e">
        <f t="shared" si="1"/>
        <v>#DIV/0!</v>
      </c>
      <c r="N69" s="121"/>
      <c r="O69" s="1375"/>
    </row>
    <row r="70" spans="1:15">
      <c r="D70" s="906"/>
      <c r="F70" s="47"/>
      <c r="G70" s="37"/>
      <c r="H70" s="1050"/>
      <c r="J70"/>
      <c r="K70"/>
      <c r="L70" s="1810"/>
      <c r="M70"/>
      <c r="N70" s="121"/>
      <c r="O70" s="1375"/>
    </row>
    <row r="71" spans="1:15">
      <c r="D71" s="23" t="s">
        <v>2749</v>
      </c>
      <c r="F71" s="37">
        <f>F76*-1</f>
        <v>0</v>
      </c>
      <c r="G71" s="37"/>
      <c r="H71" s="1050">
        <f>H76*-1</f>
        <v>0</v>
      </c>
      <c r="J71"/>
      <c r="K71"/>
      <c r="L71" s="1810"/>
      <c r="M71">
        <f>H71</f>
        <v>0</v>
      </c>
      <c r="N71" s="121"/>
      <c r="O71" s="1375"/>
    </row>
    <row r="72" spans="1:15" ht="13.5" thickBot="1">
      <c r="D72" s="23"/>
      <c r="G72" s="37"/>
      <c r="H72" s="1050"/>
      <c r="J72"/>
      <c r="K72"/>
      <c r="L72" s="1810"/>
      <c r="M72"/>
      <c r="N72" s="121"/>
      <c r="O72" s="1375"/>
    </row>
    <row r="73" spans="1:15" ht="13.5" thickTop="1">
      <c r="A73" s="909"/>
      <c r="B73" s="910"/>
      <c r="C73" s="910"/>
      <c r="D73" s="911"/>
      <c r="E73" s="910"/>
      <c r="F73" s="956"/>
      <c r="G73" s="37"/>
      <c r="J73"/>
      <c r="K73"/>
      <c r="L73" s="1810"/>
      <c r="M73"/>
      <c r="N73" s="121"/>
      <c r="O73" s="1375"/>
    </row>
    <row r="74" spans="1:15">
      <c r="A74" s="912"/>
      <c r="B74" s="893" t="s">
        <v>202</v>
      </c>
      <c r="C74" s="35"/>
      <c r="D74" s="908"/>
      <c r="E74" s="35"/>
      <c r="F74" s="957"/>
      <c r="G74" s="37"/>
      <c r="J74"/>
      <c r="K74"/>
      <c r="L74" s="1810"/>
      <c r="M74"/>
      <c r="N74" s="121"/>
      <c r="O74" s="1375"/>
    </row>
    <row r="75" spans="1:15">
      <c r="A75" s="912"/>
      <c r="B75" s="893" t="s">
        <v>1681</v>
      </c>
      <c r="C75" s="35"/>
      <c r="D75" s="101" t="s">
        <v>836</v>
      </c>
      <c r="E75" s="101"/>
      <c r="F75" s="189" t="e">
        <f>F49+F54+F69+F71</f>
        <v>#DIV/0!</v>
      </c>
      <c r="G75" s="37"/>
      <c r="H75" s="1756" t="e">
        <f>H49+H54+H69+H71</f>
        <v>#DIV/0!</v>
      </c>
      <c r="J75"/>
      <c r="K75"/>
      <c r="L75" s="1810"/>
      <c r="M75" t="e">
        <f>M49+I54+M69+M71</f>
        <v>#DIV/0!</v>
      </c>
      <c r="N75" s="121"/>
      <c r="O75" s="1375"/>
    </row>
    <row r="76" spans="1:15">
      <c r="A76" s="912"/>
      <c r="B76" s="893" t="s">
        <v>1679</v>
      </c>
      <c r="C76" s="35"/>
      <c r="D76" s="101" t="s">
        <v>3005</v>
      </c>
      <c r="E76" s="101"/>
      <c r="F76" s="189">
        <f>'Calc Data-SB1'!E7*Assumptions!G123</f>
        <v>0</v>
      </c>
      <c r="G76" s="37"/>
      <c r="H76" s="1756">
        <f>'Calc Data-SB1'!E7*Assumptions!G123</f>
        <v>0</v>
      </c>
      <c r="J76"/>
      <c r="K76"/>
      <c r="L76" s="1813"/>
      <c r="M76">
        <f>H76</f>
        <v>0</v>
      </c>
      <c r="N76" s="121"/>
      <c r="O76" s="1375"/>
    </row>
    <row r="77" spans="1:15" ht="15.75">
      <c r="A77" s="912"/>
      <c r="B77" s="893" t="s">
        <v>1680</v>
      </c>
      <c r="C77" s="35"/>
      <c r="D77" s="952" t="s">
        <v>858</v>
      </c>
      <c r="E77" s="123"/>
      <c r="F77" s="959">
        <v>0</v>
      </c>
      <c r="G77" s="37"/>
      <c r="H77" s="1757">
        <v>0</v>
      </c>
      <c r="J77"/>
      <c r="K77"/>
      <c r="L77" s="1813"/>
      <c r="M77">
        <f>H77</f>
        <v>0</v>
      </c>
      <c r="N77" s="121"/>
      <c r="O77" s="1375"/>
    </row>
    <row r="78" spans="1:15">
      <c r="A78" s="912"/>
      <c r="B78" s="893" t="s">
        <v>839</v>
      </c>
      <c r="C78" s="35"/>
      <c r="D78" s="101" t="s">
        <v>837</v>
      </c>
      <c r="E78" s="101"/>
      <c r="F78" s="189">
        <f>'Existing Debt'!M74</f>
        <v>0</v>
      </c>
      <c r="G78" s="37"/>
      <c r="H78" s="1756">
        <f>'Existing Debt'!M74</f>
        <v>0</v>
      </c>
      <c r="J78"/>
      <c r="K78"/>
      <c r="L78" s="1813"/>
      <c r="M78">
        <f>'Existing Debt'!N74</f>
        <v>0</v>
      </c>
      <c r="N78" s="121"/>
      <c r="O78" s="1375"/>
    </row>
    <row r="79" spans="1:15" ht="13.5" thickBot="1">
      <c r="A79" s="912"/>
      <c r="B79" s="893" t="s">
        <v>1251</v>
      </c>
      <c r="C79" s="35"/>
      <c r="D79" s="101" t="s">
        <v>838</v>
      </c>
      <c r="E79" s="101"/>
      <c r="F79" s="950">
        <f>IFA!T86+IFA!V75</f>
        <v>0</v>
      </c>
      <c r="G79" s="37"/>
      <c r="H79" s="1758">
        <f>IFA!T86+IFA!V75</f>
        <v>0</v>
      </c>
      <c r="J79"/>
      <c r="K79"/>
      <c r="L79" s="1813"/>
      <c r="M79">
        <f>IFA!U86+IFA!W75</f>
        <v>0</v>
      </c>
      <c r="N79" s="121"/>
      <c r="O79" s="1375"/>
    </row>
    <row r="80" spans="1:15">
      <c r="A80" s="912"/>
      <c r="B80" s="35"/>
      <c r="C80" s="35"/>
      <c r="D80" s="35"/>
      <c r="E80" s="35"/>
      <c r="F80" s="957"/>
      <c r="G80" s="37"/>
      <c r="H80" s="1759"/>
      <c r="J80"/>
      <c r="K80"/>
      <c r="L80" s="1813"/>
      <c r="M80"/>
      <c r="N80" s="173"/>
      <c r="O80" s="1797"/>
    </row>
    <row r="81" spans="1:18" ht="12.75" customHeight="1" thickBot="1">
      <c r="A81" s="912"/>
      <c r="B81" s="35"/>
      <c r="C81" s="35"/>
      <c r="D81" s="101" t="s">
        <v>1155</v>
      </c>
      <c r="E81" s="35"/>
      <c r="F81" s="951" t="e">
        <f>SUM(F75:F79)</f>
        <v>#DIV/0!</v>
      </c>
      <c r="G81" s="37"/>
      <c r="H81" s="951" t="e">
        <f>SUM(H75:H79)</f>
        <v>#DIV/0!</v>
      </c>
      <c r="J81"/>
      <c r="K81"/>
      <c r="L81" s="1813"/>
      <c r="M81" t="e">
        <f>SUM(M75:M79)</f>
        <v>#DIV/0!</v>
      </c>
      <c r="N81" s="173"/>
      <c r="O81" s="1797"/>
    </row>
    <row r="82" spans="1:18" ht="14.25" hidden="1" thickTop="1" thickBot="1">
      <c r="A82" s="912"/>
      <c r="B82" s="35"/>
      <c r="C82" s="35"/>
      <c r="D82" s="34" t="s">
        <v>513</v>
      </c>
      <c r="E82" s="35"/>
      <c r="F82" s="35"/>
      <c r="G82" s="37"/>
      <c r="H82" s="1760" t="e">
        <f>SUM(H75:H79)</f>
        <v>#DIV/0!</v>
      </c>
      <c r="J82"/>
      <c r="K82"/>
      <c r="L82" s="1813"/>
      <c r="M82"/>
      <c r="N82" s="173"/>
      <c r="O82" s="1797"/>
    </row>
    <row r="83" spans="1:18" ht="14.25" thickTop="1" thickBot="1">
      <c r="A83" s="913"/>
      <c r="B83" s="914"/>
      <c r="C83" s="914"/>
      <c r="D83" s="915"/>
      <c r="E83" s="914"/>
      <c r="F83" s="970"/>
      <c r="G83" s="19"/>
      <c r="H83" s="37"/>
      <c r="J83"/>
      <c r="K83"/>
      <c r="L83" s="1810"/>
      <c r="M83"/>
    </row>
    <row r="84" spans="1:18" ht="13.5" thickTop="1">
      <c r="B84" s="23"/>
      <c r="G84" s="59"/>
      <c r="H84" s="19"/>
      <c r="J84"/>
      <c r="K84"/>
      <c r="L84"/>
      <c r="M84"/>
      <c r="P84" s="121"/>
      <c r="Q84" s="421"/>
      <c r="R84" s="5"/>
    </row>
    <row r="85" spans="1:18">
      <c r="H85" s="59"/>
      <c r="J85"/>
      <c r="K85"/>
      <c r="L85" s="1810"/>
      <c r="M85"/>
      <c r="P85" s="5"/>
    </row>
    <row r="86" spans="1:18" ht="13.5" thickBot="1">
      <c r="J86"/>
      <c r="K86"/>
      <c r="L86"/>
      <c r="M86"/>
    </row>
    <row r="87" spans="1:18" ht="13.5" thickTop="1">
      <c r="A87" s="918" t="s">
        <v>2816</v>
      </c>
      <c r="B87" s="91"/>
      <c r="C87" s="91"/>
      <c r="D87" s="91"/>
      <c r="E87" s="91"/>
      <c r="F87" s="183"/>
      <c r="J87"/>
      <c r="K87"/>
      <c r="L87"/>
      <c r="M87"/>
    </row>
    <row r="88" spans="1:18">
      <c r="A88" s="186"/>
      <c r="B88" s="35"/>
      <c r="C88" s="35"/>
      <c r="D88" s="35"/>
      <c r="E88" s="35"/>
      <c r="F88" s="184"/>
      <c r="H88" s="184"/>
      <c r="J88"/>
      <c r="K88"/>
      <c r="L88"/>
      <c r="M88"/>
    </row>
    <row r="89" spans="1:18">
      <c r="A89" s="185" t="s">
        <v>2477</v>
      </c>
      <c r="B89" s="35"/>
      <c r="C89" s="35"/>
      <c r="D89" s="35"/>
      <c r="E89" s="35"/>
      <c r="F89" s="894" t="e">
        <f>IF(F75&lt;0,F76,F75+F76)</f>
        <v>#DIV/0!</v>
      </c>
      <c r="H89" s="894" t="e">
        <f>IF(H75&lt;0,H76,H75+H76)</f>
        <v>#DIV/0!</v>
      </c>
      <c r="J89"/>
      <c r="K89"/>
      <c r="L89"/>
      <c r="M89" t="e">
        <f>IF(M75&lt;0,M76,M75+M76)</f>
        <v>#DIV/0!</v>
      </c>
    </row>
    <row r="90" spans="1:18">
      <c r="A90" s="239" t="s">
        <v>1910</v>
      </c>
      <c r="B90" s="35"/>
      <c r="C90" s="35"/>
      <c r="D90" s="35"/>
      <c r="E90" s="35"/>
      <c r="F90" s="895" t="e">
        <f>'Calc Data-SB1'!F30-'ASATR-SB1'!K24</f>
        <v>#DIV/0!</v>
      </c>
      <c r="H90" s="895" t="e">
        <f>'Calc Data-SB1'!AN32-'ASATR-SB1'!K39</f>
        <v>#DIV/0!</v>
      </c>
      <c r="J90"/>
      <c r="K90"/>
      <c r="L90" s="1813"/>
      <c r="M90" t="e">
        <f>'Calc Data-SB1'!AO32-'ASATR-SB1'!L39</f>
        <v>#DIV/0!</v>
      </c>
      <c r="P90" s="121"/>
    </row>
    <row r="91" spans="1:18">
      <c r="A91" s="239" t="s">
        <v>1062</v>
      </c>
      <c r="B91" s="35"/>
      <c r="C91" s="35"/>
      <c r="D91" s="35"/>
      <c r="E91" s="35"/>
      <c r="F91" s="895" t="e">
        <f>'Calc Data-SB1'!F34</f>
        <v>#DIV/0!</v>
      </c>
      <c r="H91" s="895" t="e">
        <f>'Calc Data-SB1'!F34</f>
        <v>#DIV/0!</v>
      </c>
      <c r="J91"/>
      <c r="K91"/>
      <c r="L91" s="1813"/>
      <c r="M91" t="e">
        <f>'Calc Data-SB1'!AO71</f>
        <v>#DIV/0!</v>
      </c>
      <c r="P91" s="121"/>
    </row>
    <row r="92" spans="1:18">
      <c r="A92" s="239" t="s">
        <v>1063</v>
      </c>
      <c r="B92" s="35"/>
      <c r="C92" s="35"/>
      <c r="D92" s="35"/>
      <c r="E92" s="35"/>
      <c r="F92" s="907" t="e">
        <f>'Calc Data-SB1'!F37-IF('Option Costs-HB3646'!AE57="N",MAX('Option Costs-HB3646'!AE54,'Option Costs-HB3646'!AG54),MIN('Option Costs-HB3646'!AE54,'Option Costs-HB3646'!AG54))</f>
        <v>#DIV/0!</v>
      </c>
      <c r="H92" s="907" t="e">
        <f>'Calc Data-SB1'!AN31-IF('Option Costs-HB3646'!AE57="N",MAX('Option Costs-HB3646'!AE85,'Option Costs-HB3646'!AG85),MIN('Option Costs-HB3646'!AE85,'Option Costs-HB3646'!AG85))</f>
        <v>#DIV/0!</v>
      </c>
      <c r="J92"/>
      <c r="K92"/>
      <c r="L92" s="1813"/>
      <c r="M92" t="e">
        <f>'Calc Data-SB1'!AO31-IF('Option Costs-15K'!AE57="N",MAX('Option Costs-15K'!AE54,'Option Costs-15K'!AG54),MIN('Option Costs-15K'!AE54,'Option Costs-15K'!AG54))</f>
        <v>#DIV/0!</v>
      </c>
    </row>
    <row r="93" spans="1:18">
      <c r="A93" s="239" t="s">
        <v>3710</v>
      </c>
      <c r="B93" s="35"/>
      <c r="C93" s="35"/>
      <c r="D93" s="35"/>
      <c r="E93" s="35"/>
      <c r="F93" s="958" t="e">
        <f>SUM(F89:F92)</f>
        <v>#DIV/0!</v>
      </c>
      <c r="H93" s="958" t="e">
        <f>SUM(H89:H92)</f>
        <v>#DIV/0!</v>
      </c>
      <c r="J93"/>
      <c r="K93"/>
      <c r="L93" s="1813"/>
      <c r="M93" t="e">
        <f>SUM(M89:M92)</f>
        <v>#DIV/0!</v>
      </c>
    </row>
    <row r="94" spans="1:18">
      <c r="A94" s="185" t="s">
        <v>1908</v>
      </c>
      <c r="B94" s="35"/>
      <c r="C94" s="35"/>
      <c r="D94" s="35"/>
      <c r="E94" s="35"/>
      <c r="F94" s="907" t="e">
        <f>IF(F75&gt;0,0,F75)</f>
        <v>#DIV/0!</v>
      </c>
      <c r="H94" s="907" t="e">
        <f>IF(H75&gt;0,0,H75)</f>
        <v>#DIV/0!</v>
      </c>
      <c r="J94"/>
      <c r="K94"/>
      <c r="L94" s="1813"/>
      <c r="M94" t="e">
        <f>IF(M75&gt;0,0,M75)</f>
        <v>#DIV/0!</v>
      </c>
    </row>
    <row r="95" spans="1:18" ht="13.5" thickBot="1">
      <c r="A95" s="423" t="s">
        <v>3711</v>
      </c>
      <c r="B95" s="35"/>
      <c r="C95" s="35"/>
      <c r="D95" s="35"/>
      <c r="E95" s="35"/>
      <c r="F95" s="958" t="e">
        <f>F93+F94</f>
        <v>#DIV/0!</v>
      </c>
      <c r="H95" s="958" t="e">
        <f>H93+H94</f>
        <v>#DIV/0!</v>
      </c>
      <c r="J95"/>
      <c r="K95"/>
      <c r="L95"/>
      <c r="M95" t="e">
        <f>M93+M94</f>
        <v>#DIV/0!</v>
      </c>
    </row>
    <row r="96" spans="1:18" ht="13.5" thickBot="1">
      <c r="A96" s="187"/>
      <c r="B96" s="50"/>
      <c r="C96" s="50"/>
      <c r="D96" s="50"/>
      <c r="E96" s="50"/>
      <c r="F96" s="188"/>
      <c r="J96"/>
      <c r="K96"/>
      <c r="L96"/>
      <c r="M96"/>
    </row>
    <row r="97" spans="1:13" ht="13.5" hidden="1" thickTop="1">
      <c r="D97" s="47" t="s">
        <v>1399</v>
      </c>
      <c r="E97" s="47"/>
      <c r="F97" s="47"/>
      <c r="H97" s="958" t="e">
        <f>H94+H95</f>
        <v>#DIV/0!</v>
      </c>
      <c r="J97" s="1808"/>
      <c r="K97" s="1808"/>
      <c r="L97" s="1811"/>
      <c r="M97" s="1846"/>
    </row>
    <row r="98" spans="1:13" ht="13.5" hidden="1" thickTop="1">
      <c r="D98" s="47" t="s">
        <v>511</v>
      </c>
      <c r="E98" s="47"/>
      <c r="F98" s="47"/>
      <c r="J98" s="1053"/>
      <c r="K98" s="1053"/>
      <c r="L98" s="1402"/>
      <c r="M98" s="1846"/>
    </row>
    <row r="99" spans="1:13" ht="13.5" hidden="1" thickTop="1">
      <c r="D99" s="47" t="s">
        <v>512</v>
      </c>
    </row>
    <row r="100" spans="1:13" ht="13.5" hidden="1" thickTop="1">
      <c r="D100" s="47" t="s">
        <v>1147</v>
      </c>
    </row>
    <row r="101" spans="1:13" ht="13.5" hidden="1" thickTop="1">
      <c r="D101" s="47" t="s">
        <v>720</v>
      </c>
    </row>
    <row r="102" spans="1:13" ht="13.5" hidden="1" thickTop="1">
      <c r="D102" s="47" t="s">
        <v>721</v>
      </c>
    </row>
    <row r="103" spans="1:13" ht="13.5" thickTop="1">
      <c r="D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Assumptions!G119*'Calc Data-SB1'!F25*'Calc Data-SB1'!F35*100</f>
        <v>#DIV/0!</v>
      </c>
      <c r="H136" s="121" t="e">
        <f>Assumptions!G119*'Calc Data-SB1'!D25*'Calc Data-SB1'!D35*100</f>
        <v>#DIV/0!</v>
      </c>
      <c r="J136" s="5"/>
      <c r="K136" s="5"/>
    </row>
    <row r="137" spans="5:11">
      <c r="E137" t="s">
        <v>3253</v>
      </c>
      <c r="F137" s="121" t="e">
        <f>Assumptions!G120*'Calc Data-SB1'!F25*'Calc Data-SB1'!F38*100</f>
        <v>#DIV/0!</v>
      </c>
      <c r="H137" s="121" t="e">
        <f>Assumptions!G120*'Calc Data-SB1'!D25*'Calc Data-SB1'!AN29*100</f>
        <v>#DIV/0!</v>
      </c>
      <c r="J137" s="5"/>
      <c r="K137" s="5"/>
    </row>
    <row r="138" spans="5:11">
      <c r="J138" s="121"/>
      <c r="K138" s="121"/>
    </row>
    <row r="139" spans="5:11">
      <c r="J139" s="121"/>
      <c r="K139" s="121"/>
    </row>
  </sheetData>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4567</v>
      </c>
    </row>
    <row r="6" spans="1:5" ht="15.75">
      <c r="A6" s="1830"/>
      <c r="B6" s="1817" t="s">
        <v>3268</v>
      </c>
      <c r="C6" s="1836" t="s">
        <v>4522</v>
      </c>
      <c r="D6" s="1836" t="s">
        <v>4523</v>
      </c>
      <c r="E6" s="1836" t="s">
        <v>4467</v>
      </c>
    </row>
    <row r="7" spans="1:5" ht="15">
      <c r="A7" s="1816">
        <v>1</v>
      </c>
      <c r="B7" s="1831" t="s">
        <v>4574</v>
      </c>
      <c r="C7" s="1085">
        <f>'Data Entry - SOF'!I48</f>
        <v>0</v>
      </c>
      <c r="D7" s="1085">
        <f>'Data Entry - SOF'!I50</f>
        <v>0</v>
      </c>
      <c r="E7" s="1085">
        <f t="shared" ref="E7:E14" si="0">C7-D7</f>
        <v>0</v>
      </c>
    </row>
    <row r="8" spans="1:5" ht="15">
      <c r="A8" s="1816">
        <v>2</v>
      </c>
      <c r="B8" s="1831" t="s">
        <v>4575</v>
      </c>
      <c r="C8" s="1103">
        <f>'Data Entry - SOF'!I58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4576</v>
      </c>
      <c r="C10" s="1197">
        <f>'Data Entry - SOF'!I59+'Data Entry - SOF'!I60</f>
        <v>0</v>
      </c>
      <c r="D10" s="1197" t="e">
        <f>(('Data Entry - SOF'!I59-IFA!W79)*(D7/C7))+IFA!W79+'Data Entry - SOF'!I60</f>
        <v>#DIV/0!</v>
      </c>
      <c r="E10" s="1085" t="e">
        <f t="shared" si="0"/>
        <v>#DIV/0!</v>
      </c>
    </row>
    <row r="11" spans="1:5" s="1076" customFormat="1" ht="15">
      <c r="A11" s="1816">
        <v>5</v>
      </c>
      <c r="B11" s="1831" t="s">
        <v>4616</v>
      </c>
      <c r="C11" s="1197" t="e">
        <f>C10*IF(C8&lt;C9,1,C9/C8)</f>
        <v>#DIV/0!</v>
      </c>
      <c r="D11" s="1197" t="e">
        <f>D10*IF(D8&lt;D9,1,D9/D8)</f>
        <v>#DIV/0!</v>
      </c>
      <c r="E11" s="1085" t="e">
        <f t="shared" si="0"/>
        <v>#DIV/0!</v>
      </c>
    </row>
    <row r="12" spans="1:5" s="1076" customFormat="1" ht="15">
      <c r="A12" s="1816">
        <v>6</v>
      </c>
      <c r="B12" s="1831" t="s">
        <v>576</v>
      </c>
      <c r="C12" s="1085">
        <f>'SOF1920-SB1'!H44</f>
        <v>0</v>
      </c>
      <c r="D12" s="1085">
        <f>'SOF1920-SB1'!M44</f>
        <v>0</v>
      </c>
      <c r="E12" s="1085">
        <f t="shared" si="0"/>
        <v>0</v>
      </c>
    </row>
    <row r="13" spans="1:5" s="1076" customFormat="1" ht="15">
      <c r="A13" s="1816">
        <v>7</v>
      </c>
      <c r="B13" s="1831" t="s">
        <v>4533</v>
      </c>
      <c r="C13" s="1085">
        <f>'SOF1920-SB1'!H45</f>
        <v>0</v>
      </c>
      <c r="D13" s="1085">
        <f>'SOF1920-SB1'!M45</f>
        <v>0</v>
      </c>
      <c r="E13" s="1085">
        <f t="shared" si="0"/>
        <v>0</v>
      </c>
    </row>
    <row r="14" spans="1:5" s="1076" customFormat="1" ht="15">
      <c r="A14" s="1816">
        <v>8</v>
      </c>
      <c r="B14" s="1831" t="s">
        <v>4528</v>
      </c>
      <c r="C14" s="1085">
        <f>'SOF1920-SB1'!H49</f>
        <v>0</v>
      </c>
      <c r="D14" s="1085">
        <f>'SOF1920-SB1'!M49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'SOF1920-SB1'!K52</f>
        <v>#DIV/0!</v>
      </c>
      <c r="D17" s="1085" t="e">
        <f>'SOF1920-SB1'!M52</f>
        <v>#DIV/0!</v>
      </c>
      <c r="E17" s="1085" t="e">
        <f>C17-D17</f>
        <v>#DIV/0!</v>
      </c>
    </row>
    <row r="18" spans="1:5" s="1076" customFormat="1" ht="15">
      <c r="A18" s="1816">
        <v>11</v>
      </c>
      <c r="B18" s="1831" t="s">
        <v>4535</v>
      </c>
      <c r="C18" s="1085" t="e">
        <f>'SOF1920-SB1'!K53</f>
        <v>#DIV/0!</v>
      </c>
      <c r="D18" s="1085" t="e">
        <f>'SOF1920-SB1'!M53</f>
        <v>#DIV/0!</v>
      </c>
      <c r="E18" s="1085" t="e">
        <f>C18-D18</f>
        <v>#DIV/0!</v>
      </c>
    </row>
    <row r="19" spans="1:5" s="1076" customFormat="1" ht="15">
      <c r="A19" s="1816">
        <v>12</v>
      </c>
      <c r="B19" s="1831" t="s">
        <v>7111</v>
      </c>
      <c r="C19" s="1085">
        <f>IFA!V86</f>
        <v>0</v>
      </c>
      <c r="D19" s="1085">
        <f>IFA!W86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Costs-ASATR'!AA57="Y",'Option Costs-ASATR'!AC106,'Option Costs-ASATR'!AG106)</f>
        <v>#DIV/0!</v>
      </c>
      <c r="D21" s="1085" t="e">
        <f>IF('Option Costs-15K-ASATR'!AA57="Y",'Option Costs-15K-ASATR'!AC106,'Option Costs-15K-ASATR'!AG106)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67" t="s">
        <v>4573</v>
      </c>
    </row>
    <row r="33" spans="1:3" ht="15.75">
      <c r="A33" s="1829"/>
      <c r="B33" s="1817" t="s">
        <v>3268</v>
      </c>
      <c r="C33" s="1834"/>
    </row>
    <row r="34" spans="1:3" ht="15">
      <c r="A34" s="1816">
        <v>1</v>
      </c>
      <c r="B34" s="1819" t="s">
        <v>4577</v>
      </c>
      <c r="C34" s="1085">
        <f>'Data Entry - SOF'!I53</f>
        <v>0</v>
      </c>
    </row>
    <row r="35" spans="1:3" ht="15">
      <c r="A35" s="1816">
        <v>2</v>
      </c>
      <c r="B35" s="1819" t="s">
        <v>4736</v>
      </c>
      <c r="C35" s="1085">
        <f>'Data Entry - SOF'!I55</f>
        <v>0</v>
      </c>
    </row>
    <row r="36" spans="1:3" ht="15">
      <c r="A36" s="1816">
        <v>3</v>
      </c>
      <c r="B36" s="1819" t="s">
        <v>4580</v>
      </c>
      <c r="C36" s="1085">
        <f>'Data Entry - SOF'!I74</f>
        <v>0</v>
      </c>
    </row>
    <row r="37" spans="1:3" ht="15.75">
      <c r="A37" s="1832"/>
      <c r="B37" s="1820" t="s">
        <v>4726</v>
      </c>
      <c r="C37" s="1834"/>
    </row>
    <row r="38" spans="1:3" ht="15">
      <c r="A38" s="1816">
        <v>4</v>
      </c>
      <c r="B38" s="2237" t="s">
        <v>4516</v>
      </c>
      <c r="C38" s="1085">
        <f>IFA!T86</f>
        <v>0</v>
      </c>
    </row>
    <row r="39" spans="1:3" ht="15">
      <c r="A39" s="1816">
        <v>5</v>
      </c>
      <c r="B39" s="2237" t="s">
        <v>4517</v>
      </c>
      <c r="C39" s="1085">
        <f>'Existing Debt'!M74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IFA!U86</f>
        <v>0</v>
      </c>
    </row>
    <row r="45" spans="1:3" ht="15">
      <c r="A45" s="1816">
        <v>10</v>
      </c>
      <c r="B45" s="2237" t="s">
        <v>4519</v>
      </c>
      <c r="C45" s="1085">
        <f>'Existing Debt'!N74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SOF'!I63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4592</v>
      </c>
      <c r="D3" s="75" t="s">
        <v>4592</v>
      </c>
      <c r="E3" s="75" t="s">
        <v>4592</v>
      </c>
    </row>
    <row r="4" spans="1:5">
      <c r="C4" s="117" t="s">
        <v>4476</v>
      </c>
      <c r="D4" s="117" t="s">
        <v>4477</v>
      </c>
      <c r="E4" s="194" t="s">
        <v>4467</v>
      </c>
    </row>
    <row r="5" spans="1:5">
      <c r="A5" t="s">
        <v>4466</v>
      </c>
      <c r="C5" s="1537">
        <f>'Data Entry - SOF'!K108</f>
        <v>0</v>
      </c>
      <c r="D5" s="1537">
        <f>'Calc Data-SB1'!AR30</f>
        <v>0</v>
      </c>
      <c r="E5" s="1537">
        <f>D5-C5</f>
        <v>0</v>
      </c>
    </row>
    <row r="6" spans="1:5">
      <c r="A6" t="s">
        <v>1148</v>
      </c>
      <c r="C6" s="424">
        <f>'Calc Data-SB1'!G19</f>
        <v>0</v>
      </c>
      <c r="D6" s="424">
        <f>'Calc Data-SB1'!AR19</f>
        <v>0</v>
      </c>
      <c r="E6" s="424"/>
    </row>
    <row r="8" spans="1:5">
      <c r="A8" t="s">
        <v>576</v>
      </c>
      <c r="C8" s="1761">
        <f>'SOF2021-SB1'!F44</f>
        <v>0</v>
      </c>
      <c r="D8" s="1761">
        <f>'SOF2021-SB1'!H44</f>
        <v>0</v>
      </c>
      <c r="E8" s="1761">
        <f>D8-C8</f>
        <v>0</v>
      </c>
    </row>
    <row r="9" spans="1:5">
      <c r="A9" t="s">
        <v>4468</v>
      </c>
      <c r="C9" s="1761">
        <f>'SOF2021-SB1'!F45</f>
        <v>0</v>
      </c>
      <c r="D9" s="1761">
        <f>'SOF2021-SB1'!H45</f>
        <v>0</v>
      </c>
      <c r="E9" s="1761">
        <f>D9-C9</f>
        <v>0</v>
      </c>
    </row>
    <row r="10" spans="1:5">
      <c r="A10" t="s">
        <v>2829</v>
      </c>
      <c r="C10" s="1762">
        <f>'SOF2021-SB1'!F46</f>
        <v>0</v>
      </c>
      <c r="D10" s="1762">
        <f>'SOF2021-SB1'!H46</f>
        <v>0</v>
      </c>
      <c r="E10" s="1762">
        <f>IF(D10-C10&lt;0,0,D10-C10)</f>
        <v>0</v>
      </c>
    </row>
    <row r="11" spans="1:5">
      <c r="C11" s="1763"/>
      <c r="D11" s="1763"/>
      <c r="E11" s="1763"/>
    </row>
    <row r="12" spans="1:5">
      <c r="A12" t="s">
        <v>2262</v>
      </c>
      <c r="C12" s="1763" t="e">
        <f>'ASATR-SB1'!M24</f>
        <v>#DIV/0!</v>
      </c>
      <c r="D12" s="1763" t="e">
        <f>'ASATR-SB1'!M39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Data-SB1'!G36</f>
        <v>0</v>
      </c>
      <c r="D18" s="456">
        <f>'Calc Data-SB1'!AR28</f>
        <v>0</v>
      </c>
      <c r="E18" s="1537">
        <f>D18-C18</f>
        <v>0</v>
      </c>
    </row>
    <row r="19" spans="1:5">
      <c r="A19" s="283" t="s">
        <v>4470</v>
      </c>
      <c r="B19" s="57"/>
      <c r="C19" s="1768" t="e">
        <f>'SOF2021-SB1'!F53</f>
        <v>#DIV/0!</v>
      </c>
      <c r="D19" s="1769" t="e">
        <f>'SOF2021-SB1'!H53</f>
        <v>#DIV/0!</v>
      </c>
      <c r="E19" s="1765" t="e">
        <f>D19-C19</f>
        <v>#DIV/0!</v>
      </c>
    </row>
    <row r="21" spans="1:5">
      <c r="A21" s="283" t="s">
        <v>4474</v>
      </c>
      <c r="B21" s="57"/>
      <c r="C21" s="1770" t="e">
        <f>'Option Costs-HB3646'!AM54</f>
        <v>#DIV/0!</v>
      </c>
      <c r="D21" s="1771" t="e">
        <f>'Option Costs-HB3646'!AM85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3" spans="1:1">
      <c r="A33" s="1802" t="s">
        <v>7108</v>
      </c>
    </row>
    <row r="34" spans="1:1">
      <c r="A34" s="1802"/>
    </row>
    <row r="35" spans="1:1" ht="15" customHeight="1">
      <c r="A35" s="4624" t="s">
        <v>7106</v>
      </c>
    </row>
    <row r="36" spans="1:1" ht="15" customHeight="1">
      <c r="A36" s="4624" t="s">
        <v>8015</v>
      </c>
    </row>
    <row r="37" spans="1:1" ht="15" customHeight="1">
      <c r="A37" s="4624" t="s">
        <v>7107</v>
      </c>
    </row>
  </sheetData>
  <sheetProtection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N139"/>
  <sheetViews>
    <sheetView topLeftCell="A33" workbookViewId="0">
      <selection activeCell="H49" sqref="H49"/>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16.42578125" customWidth="1"/>
    <col min="10" max="13" width="19.140625" style="1737" customWidth="1"/>
    <col min="14" max="14" width="13.5703125" customWidth="1"/>
    <col min="15" max="15" width="13.5703125" style="177" customWidth="1"/>
    <col min="16" max="16" width="13.5703125" customWidth="1"/>
    <col min="17" max="17" width="13.5703125" style="49" customWidth="1"/>
    <col min="18" max="18" width="13.7109375" customWidth="1"/>
    <col min="40" max="40" width="15.5703125" customWidth="1"/>
    <col min="41" max="41" width="16" customWidth="1"/>
  </cols>
  <sheetData>
    <row r="1" spans="1:13">
      <c r="A1" s="23" t="s">
        <v>78</v>
      </c>
      <c r="C1" s="873">
        <f>'Data Entry - SOF'!B1</f>
        <v>0</v>
      </c>
      <c r="D1" s="35"/>
      <c r="E1" s="1031"/>
      <c r="F1" s="925" t="e">
        <f>#REF!</f>
        <v>#REF!</v>
      </c>
      <c r="G1" s="83"/>
      <c r="J1" s="1736"/>
      <c r="K1" s="1736"/>
      <c r="L1" s="1736"/>
      <c r="M1" s="1736"/>
    </row>
    <row r="2" spans="1:13">
      <c r="A2" s="23" t="s">
        <v>79</v>
      </c>
      <c r="C2" s="15">
        <f>'Data Entry - SOF'!B2</f>
        <v>0</v>
      </c>
      <c r="F2" s="83" t="e">
        <f>#REF!</f>
        <v>#REF!</v>
      </c>
      <c r="G2" s="83"/>
      <c r="J2" s="1736"/>
      <c r="K2" s="1736"/>
      <c r="L2" s="1736"/>
      <c r="M2" s="1736"/>
    </row>
    <row r="3" spans="1:13">
      <c r="A3" s="23" t="s">
        <v>164</v>
      </c>
      <c r="C3" s="87">
        <f ca="1">'Data Entry - SOF'!B3</f>
        <v>43146.631174305556</v>
      </c>
      <c r="F3" s="82" t="e">
        <f>#REF!</f>
        <v>#REF!</v>
      </c>
    </row>
    <row r="4" spans="1:13">
      <c r="D4" s="916" t="s">
        <v>3740</v>
      </c>
    </row>
    <row r="5" spans="1:13">
      <c r="D5" s="917" t="s">
        <v>4617</v>
      </c>
    </row>
    <row r="7" spans="1:13">
      <c r="D7" s="23" t="s">
        <v>1573</v>
      </c>
    </row>
    <row r="8" spans="1:13">
      <c r="B8" s="4"/>
      <c r="D8" s="23" t="s">
        <v>942</v>
      </c>
      <c r="F8" s="22">
        <f>'Calc Data-SB1'!G7</f>
        <v>0</v>
      </c>
      <c r="G8" s="21"/>
      <c r="J8" s="1738"/>
      <c r="K8" s="1738"/>
      <c r="L8" s="1738"/>
      <c r="M8" s="1738"/>
    </row>
    <row r="9" spans="1:13">
      <c r="D9" s="23" t="s">
        <v>1574</v>
      </c>
      <c r="F9" s="22">
        <f>'Calc Data-SB1'!G8</f>
        <v>0</v>
      </c>
      <c r="G9" s="21"/>
      <c r="J9" s="1738"/>
      <c r="K9" s="1738"/>
      <c r="L9" s="1738"/>
      <c r="M9" s="1738"/>
    </row>
    <row r="10" spans="1:13">
      <c r="D10" s="23" t="s">
        <v>466</v>
      </c>
      <c r="F10" s="22">
        <f>'Data Entry - SOF'!K32</f>
        <v>0</v>
      </c>
      <c r="G10" s="21"/>
      <c r="J10" s="1738"/>
      <c r="K10" s="1738"/>
      <c r="L10" s="1738"/>
      <c r="M10" s="1738"/>
    </row>
    <row r="11" spans="1:13">
      <c r="B11" s="23"/>
      <c r="D11" s="23" t="s">
        <v>467</v>
      </c>
      <c r="F11" s="22">
        <f>'Calc Data-SB1'!G10</f>
        <v>0</v>
      </c>
      <c r="G11" s="21"/>
      <c r="J11" s="1738"/>
      <c r="K11" s="1738"/>
      <c r="L11" s="1738"/>
      <c r="M11" s="1738"/>
    </row>
    <row r="12" spans="1:13">
      <c r="D12" s="23" t="s">
        <v>468</v>
      </c>
      <c r="F12" s="19">
        <f>'Data Entry - SOF'!K48</f>
        <v>0</v>
      </c>
      <c r="G12" s="19"/>
      <c r="J12" s="1739"/>
      <c r="K12" s="1739"/>
      <c r="L12" s="1739"/>
      <c r="M12" s="1739"/>
    </row>
    <row r="13" spans="1:13" hidden="1">
      <c r="D13" s="23" t="s">
        <v>469</v>
      </c>
      <c r="F13" s="19" t="e">
        <f>'Data Entry - SOF'!#REF!</f>
        <v>#REF!</v>
      </c>
      <c r="G13" s="19"/>
      <c r="J13" s="1739"/>
      <c r="K13" s="1739"/>
      <c r="L13" s="1739"/>
      <c r="M13" s="1739"/>
    </row>
    <row r="14" spans="1:13">
      <c r="D14" s="23" t="s">
        <v>2055</v>
      </c>
      <c r="F14" s="22">
        <f>'Data Entry - SOF'!K112</f>
        <v>0</v>
      </c>
      <c r="G14" s="19"/>
      <c r="J14" s="1739"/>
      <c r="K14" s="1739"/>
      <c r="L14" s="1739"/>
      <c r="M14" s="1739"/>
    </row>
    <row r="15" spans="1:13">
      <c r="D15" s="23" t="s">
        <v>1319</v>
      </c>
      <c r="F15" s="22">
        <f>'Calc Data-SB1'!G59</f>
        <v>0</v>
      </c>
      <c r="G15" s="20"/>
      <c r="J15" s="1740"/>
      <c r="K15" s="1740"/>
      <c r="L15" s="1740"/>
      <c r="M15" s="1740"/>
    </row>
    <row r="16" spans="1:13">
      <c r="D16" s="23" t="s">
        <v>2233</v>
      </c>
      <c r="F16" s="19">
        <f>'Data Entry - SOF'!K59</f>
        <v>0</v>
      </c>
      <c r="G16" s="19"/>
      <c r="J16" s="1739"/>
      <c r="K16" s="1739"/>
      <c r="L16" s="1739"/>
      <c r="M16" s="1739"/>
    </row>
    <row r="17" spans="2:40" ht="13.5" thickBot="1">
      <c r="D17" s="31"/>
      <c r="E17" s="13"/>
      <c r="F17" s="13"/>
      <c r="G17" s="32"/>
      <c r="J17" s="1741"/>
      <c r="K17" s="1741"/>
      <c r="L17" s="1741"/>
      <c r="M17" s="1741"/>
    </row>
    <row r="18" spans="2:40" ht="13.5" thickTop="1">
      <c r="D18" s="34"/>
      <c r="E18" s="35"/>
      <c r="F18" s="35"/>
      <c r="G18" s="32"/>
      <c r="J18" s="1741" t="s">
        <v>4724</v>
      </c>
      <c r="K18" s="1741"/>
      <c r="L18" s="1741" t="s">
        <v>4724</v>
      </c>
      <c r="M18" s="1741"/>
    </row>
    <row r="19" spans="2:40" ht="15.75" hidden="1">
      <c r="D19" s="23"/>
      <c r="E19" s="973" t="s">
        <v>108</v>
      </c>
      <c r="F19" s="972" t="e">
        <f>IF(#REF!="y","ASATR DIST","FORMULA DIST")</f>
        <v>#REF!</v>
      </c>
      <c r="G19" s="23"/>
      <c r="J19" s="1742"/>
      <c r="K19" s="1742"/>
      <c r="L19" s="1742"/>
      <c r="M19" s="1742"/>
      <c r="AN19" t="s">
        <v>2630</v>
      </c>
    </row>
    <row r="20" spans="2:40" ht="15.75">
      <c r="B20" s="28" t="s">
        <v>470</v>
      </c>
      <c r="D20" s="23"/>
      <c r="F20" s="960"/>
      <c r="G20" s="23"/>
      <c r="H20" s="28" t="s">
        <v>4483</v>
      </c>
      <c r="J20" s="1825" t="s">
        <v>4510</v>
      </c>
      <c r="K20" s="194" t="s">
        <v>4483</v>
      </c>
      <c r="L20" s="1825" t="s">
        <v>4511</v>
      </c>
      <c r="M20" s="194" t="s">
        <v>4483</v>
      </c>
    </row>
    <row r="21" spans="2:40" ht="15.75">
      <c r="B21" s="28">
        <v>11</v>
      </c>
      <c r="D21" s="132" t="s">
        <v>3630</v>
      </c>
      <c r="F21" s="945">
        <f>ROUND(ROUND('Calc Data-SB1'!G23,0)*IF('Calc Data-SB1'!G11&gt;'Calc Data-SB1'!G10,'Calc Data-SB1'!G11,'Calc Data-SB1'!G10),0)</f>
        <v>0</v>
      </c>
      <c r="G21" s="19"/>
      <c r="H21" s="1037">
        <f>ROUND(ROUND('Calc Data-SB1'!AR23,0)*IF('Calc Data-SB1'!G11&gt;'Calc Data-SB1'!G10,'Calc Data-SB1'!G11,'Calc Data-SB1'!G10),0)</f>
        <v>0</v>
      </c>
      <c r="J21" s="2219"/>
      <c r="K21" s="2219"/>
      <c r="L21" s="2222"/>
      <c r="M21" s="1811">
        <f>H21</f>
        <v>0</v>
      </c>
      <c r="AN21" s="19" t="e">
        <f>ROUND(ROUND('Calc Data-SB1'!AB23,0)*IF('Calc Data-SB1'!#REF!&gt;'Calc Data-SB1'!#REF!,'Calc Data-SB1'!#REF!,'Calc Data-SB1'!#REF!),0)</f>
        <v>#REF!</v>
      </c>
    </row>
    <row r="22" spans="2:40">
      <c r="B22" s="28">
        <v>23</v>
      </c>
      <c r="D22" s="23" t="s">
        <v>102</v>
      </c>
      <c r="F22" s="19">
        <f>ROUND('Calc Data-SB1'!G9*ROUND('Calc Data-SB1'!G23,0),0)</f>
        <v>0</v>
      </c>
      <c r="G22" s="19"/>
      <c r="H22" s="1038">
        <f>ROUND('Calc Data-SB1'!G9*ROUND('Calc Data-SB1'!AR23,0),0)</f>
        <v>0</v>
      </c>
      <c r="J22" s="1750"/>
      <c r="K22" s="1750"/>
      <c r="L22" s="1846"/>
      <c r="M22" s="1925"/>
      <c r="AN22" s="19" t="e">
        <f>ROUND('Calc Data-SB1'!#REF!*ROUND('Calc Data-SB1'!AB23,0),0)</f>
        <v>#REF!</v>
      </c>
    </row>
    <row r="23" spans="2:40">
      <c r="B23" s="28"/>
      <c r="D23" s="23" t="s">
        <v>103</v>
      </c>
      <c r="F23" s="47"/>
      <c r="H23" s="1039"/>
      <c r="J23" s="1067"/>
      <c r="K23" s="1067"/>
      <c r="L23" s="1847"/>
      <c r="M23" s="1925"/>
    </row>
    <row r="24" spans="2:40">
      <c r="B24" s="28">
        <v>23</v>
      </c>
      <c r="D24" s="23" t="s">
        <v>104</v>
      </c>
      <c r="F24" s="30">
        <f>ROUND('Data Entry - SOF'!K31*Weights!L21*ROUND('Calc Data-SB1'!G23,0),0)</f>
        <v>0</v>
      </c>
      <c r="G24" s="30"/>
      <c r="H24" s="1040">
        <f>ROUND('Data Entry - SOF'!K31*Weights!L21*ROUND('Calc Data-SB1'!AR23,0),0)</f>
        <v>0</v>
      </c>
      <c r="J24" s="1750"/>
      <c r="K24" s="1750"/>
      <c r="L24" s="2223"/>
      <c r="M24" s="1811">
        <f t="shared" ref="M24:M44" si="0">H24</f>
        <v>0</v>
      </c>
      <c r="AN24" s="30" t="e">
        <f>ROUND('Data Entry - SOF'!#REF!*1.1*ROUND('Calc Data-SB1'!AB23,0),0)</f>
        <v>#REF!</v>
      </c>
    </row>
    <row r="25" spans="2:40">
      <c r="B25" s="28">
        <v>23</v>
      </c>
      <c r="D25" s="23" t="s">
        <v>105</v>
      </c>
      <c r="F25" s="19">
        <f>ROUND((+'Data Entry - SOF'!K29*Weights!L19)*ROUND('Calc Data-SB1'!G23,0),0)</f>
        <v>0</v>
      </c>
      <c r="G25" s="19"/>
      <c r="H25" s="1038">
        <f>ROUND((+'Data Entry - SOF'!K29*Weights!L19)*ROUND('Calc Data-SB1'!AR23,0),0)</f>
        <v>0</v>
      </c>
      <c r="J25" s="1750"/>
      <c r="K25" s="1750"/>
      <c r="L25" s="1846"/>
      <c r="M25" s="1811">
        <f t="shared" si="0"/>
        <v>0</v>
      </c>
      <c r="AN25" s="19" t="e">
        <f>ROUND((+'Data Entry - SOF'!#REF!*4)*ROUND('Calc Data-SB1'!AB23,0),0)</f>
        <v>#REF!</v>
      </c>
    </row>
    <row r="26" spans="2:40">
      <c r="B26" s="28">
        <v>23</v>
      </c>
      <c r="D26" s="25" t="s">
        <v>919</v>
      </c>
      <c r="F26" s="19">
        <f>ROUND((+'Data Entry - SOF'!K27*Weights!L17)*ROUND('Calc Data-SB1'!G23,0),0)</f>
        <v>0</v>
      </c>
      <c r="G26" s="19"/>
      <c r="H26" s="1038">
        <f>ROUND((+'Data Entry - SOF'!K27*Weights!L17)*ROUND('Calc Data-SB1'!AR23,0),0)</f>
        <v>0</v>
      </c>
      <c r="J26" s="1750"/>
      <c r="K26" s="1750"/>
      <c r="L26" s="1846"/>
      <c r="M26" s="1811">
        <f t="shared" si="0"/>
        <v>0</v>
      </c>
      <c r="AN26" s="19" t="e">
        <f>ROUND((+'Data Entry - SOF'!#REF!*2.8)*ROUND('Calc Data-SB1'!AB23,0),0)</f>
        <v>#REF!</v>
      </c>
    </row>
    <row r="27" spans="2:40">
      <c r="B27" s="28">
        <v>23</v>
      </c>
      <c r="D27" s="25" t="s">
        <v>920</v>
      </c>
      <c r="F27" s="19">
        <f>ROUND(('Data Entry - SOF'!K28*Weights!L18)*ROUND('Calc Data-SB1'!G23,0),0)</f>
        <v>0</v>
      </c>
      <c r="G27" s="19"/>
      <c r="H27" s="1038">
        <f>ROUND(('Data Entry - SOF'!K28*Weights!L18)*ROUND('Calc Data-SB1'!AR23,0),0)</f>
        <v>0</v>
      </c>
      <c r="J27" s="1750"/>
      <c r="K27" s="1750"/>
      <c r="L27" s="1846"/>
      <c r="M27" s="1811">
        <f t="shared" si="0"/>
        <v>0</v>
      </c>
      <c r="AN27" s="19" t="e">
        <f>ROUND(('Data Entry - SOF'!#REF!*1.7)*ROUND('Calc Data-SB1'!AB23,0),0)</f>
        <v>#REF!</v>
      </c>
    </row>
    <row r="28" spans="2:40">
      <c r="B28" s="28"/>
      <c r="D28" s="23" t="s">
        <v>1308</v>
      </c>
      <c r="F28" s="19">
        <f>IF('Data Entry - SOF'!K71&lt;0,'Data Entry - SOF'!K71,'Data Entry - SOF'!K71*-1)</f>
        <v>0</v>
      </c>
      <c r="G28" s="19"/>
      <c r="H28" s="1038">
        <f>IF('Data Entry - SOF'!K71&lt;0,'Data Entry - SOF'!K71,'Data Entry - SOF'!K71*-1)</f>
        <v>0</v>
      </c>
      <c r="J28" s="1750"/>
      <c r="K28" s="1750"/>
      <c r="L28" s="1846"/>
      <c r="M28" s="1811">
        <f t="shared" si="0"/>
        <v>0</v>
      </c>
      <c r="AN28" s="19">
        <v>0</v>
      </c>
    </row>
    <row r="29" spans="2:40">
      <c r="B29" s="28">
        <v>22</v>
      </c>
      <c r="C29" s="17"/>
      <c r="D29" s="23" t="s">
        <v>119</v>
      </c>
      <c r="F29" s="19">
        <f>ROUND(ROUND('Calc Data-SB1'!G23,0)*'Data Entry - SOF'!K32*Weights!L23,0)</f>
        <v>0</v>
      </c>
      <c r="G29" s="19"/>
      <c r="H29" s="1038">
        <f>ROUND(ROUND('Calc Data-SB1'!AR23,0)*'Data Entry - SOF'!K32*Weights!L23,0)</f>
        <v>0</v>
      </c>
      <c r="J29" s="1750"/>
      <c r="K29" s="1750"/>
      <c r="L29" s="1846"/>
      <c r="M29" s="1811">
        <f t="shared" si="0"/>
        <v>0</v>
      </c>
      <c r="AN29" s="19" t="e">
        <f>ROUND(ROUND('Calc Data-SB1'!AB23,0)*'Data Entry - SOF'!#REF!*1.35,0)</f>
        <v>#REF!</v>
      </c>
    </row>
    <row r="30" spans="2:40">
      <c r="B30" s="28"/>
      <c r="C30" s="17"/>
      <c r="D30" s="47" t="s">
        <v>716</v>
      </c>
      <c r="F30" s="19">
        <f>Weights!L24*'Data Entry - SOF'!K33</f>
        <v>0</v>
      </c>
      <c r="G30" s="19"/>
      <c r="H30" s="1038">
        <f>Weights!L24*'Data Entry - SOF'!K33</f>
        <v>0</v>
      </c>
      <c r="J30" s="1750"/>
      <c r="K30" s="1750"/>
      <c r="L30" s="1846"/>
      <c r="M30" s="1811">
        <f t="shared" si="0"/>
        <v>0</v>
      </c>
      <c r="AN30" s="19"/>
    </row>
    <row r="31" spans="2:40" hidden="1">
      <c r="B31" s="28"/>
      <c r="C31" s="17"/>
      <c r="D31" s="47" t="s">
        <v>717</v>
      </c>
      <c r="F31" s="19">
        <f>400*'Data Entry - SOF'!K34</f>
        <v>0</v>
      </c>
      <c r="G31" s="19"/>
      <c r="H31" s="1038">
        <f>400*'Data Entry - SOF'!K34</f>
        <v>0</v>
      </c>
      <c r="J31" s="1750"/>
      <c r="K31" s="1750"/>
      <c r="L31" s="1846"/>
      <c r="M31" s="1811">
        <f t="shared" si="0"/>
        <v>0</v>
      </c>
      <c r="AN31" s="19"/>
    </row>
    <row r="32" spans="2:40" hidden="1">
      <c r="B32" s="28"/>
      <c r="C32" s="17"/>
      <c r="D32" s="47" t="s">
        <v>718</v>
      </c>
      <c r="F32" s="19">
        <f>80*'Data Entry - SOF'!K35</f>
        <v>0</v>
      </c>
      <c r="G32" s="19"/>
      <c r="H32" s="1038">
        <f>80*'Data Entry - SOF'!K35</f>
        <v>0</v>
      </c>
      <c r="J32" s="1750"/>
      <c r="K32" s="1750"/>
      <c r="L32" s="1846"/>
      <c r="M32" s="1811">
        <f t="shared" si="0"/>
        <v>0</v>
      </c>
      <c r="AN32" s="19"/>
    </row>
    <row r="33" spans="2:40">
      <c r="B33" s="28">
        <v>21</v>
      </c>
      <c r="D33" s="23" t="s">
        <v>3030</v>
      </c>
      <c r="F33" s="19">
        <f>ROUND(ROUND('Calc Data-SB1'!G23,0)*'Data Entry - SOF'!K157*Weights!L28,0)</f>
        <v>0</v>
      </c>
      <c r="G33" s="19"/>
      <c r="H33" s="1038">
        <f>ROUND(ROUND('Calc Data-SB1'!AR23,0)*'Data Entry - SOF'!K157*Weights!L28,0)</f>
        <v>0</v>
      </c>
      <c r="J33" s="1750"/>
      <c r="K33" s="1750"/>
      <c r="L33" s="1846"/>
      <c r="M33" s="1811">
        <f t="shared" si="0"/>
        <v>0</v>
      </c>
      <c r="AN33" s="19" t="e">
        <f>ROUND(ROUND('Calc Data-SB1'!AB23,0)*'Data Entry - SOF'!#REF!*0.12,0)</f>
        <v>#REF!</v>
      </c>
    </row>
    <row r="34" spans="2:40">
      <c r="B34" s="28"/>
      <c r="D34" s="23" t="s">
        <v>433</v>
      </c>
      <c r="F34" s="19">
        <f>IF('Data Entry - SOF'!K70&lt;0,'Data Entry - SOF'!K70,'Data Entry - SOF'!K70*-1)</f>
        <v>0</v>
      </c>
      <c r="G34" s="19"/>
      <c r="H34" s="1038">
        <f>IF('Data Entry - SOF'!K70&lt;0,'Data Entry - SOF'!K70,'Data Entry - SOF'!K70*-1)</f>
        <v>0</v>
      </c>
      <c r="J34" s="1750"/>
      <c r="K34" s="1750"/>
      <c r="L34" s="1846"/>
      <c r="M34" s="1811">
        <f t="shared" si="0"/>
        <v>0</v>
      </c>
      <c r="AN34" s="19">
        <v>0</v>
      </c>
    </row>
    <row r="35" spans="2:40">
      <c r="B35" s="28" t="s">
        <v>2857</v>
      </c>
      <c r="D35" s="23" t="s">
        <v>434</v>
      </c>
      <c r="F35" s="19">
        <f>ROUND(ROUND('Calc Data-SB1'!G23,0)*'Data Entry - SOF'!K36*Weights!L30,0)</f>
        <v>0</v>
      </c>
      <c r="G35" s="19"/>
      <c r="H35" s="1038">
        <f>ROUND(ROUND('Calc Data-SB1'!AR23,0)*'Data Entry - SOF'!K36*Weights!L30,0)</f>
        <v>0</v>
      </c>
      <c r="J35" s="1750"/>
      <c r="K35" s="1750"/>
      <c r="L35" s="1846"/>
      <c r="M35" s="1811">
        <f t="shared" si="0"/>
        <v>0</v>
      </c>
      <c r="AN35" s="19" t="e">
        <f>ROUND(ROUND('Calc Data-SB1'!AB23,0)*'Data Entry - SOF'!#REF!*0.2,0)</f>
        <v>#REF!</v>
      </c>
    </row>
    <row r="36" spans="2:40">
      <c r="B36" s="28" t="s">
        <v>2857</v>
      </c>
      <c r="D36" s="23" t="s">
        <v>435</v>
      </c>
      <c r="F36" s="19">
        <f>ROUND(ROUND('Calc Data-SB1'!G23,0)*'Data Entry - SOF'!K37*Weights!L31,0)</f>
        <v>0</v>
      </c>
      <c r="G36" s="19"/>
      <c r="H36" s="1038">
        <f>ROUND(ROUND('Calc Data-SB1'!AR23,0)*'Data Entry - SOF'!K37*Weights!L31,0)</f>
        <v>0</v>
      </c>
      <c r="J36" s="1750"/>
      <c r="K36" s="1750"/>
      <c r="L36" s="1846"/>
      <c r="M36" s="1811">
        <f t="shared" si="0"/>
        <v>0</v>
      </c>
      <c r="AN36" s="19" t="e">
        <f>ROUND(ROUND('Calc Data-SB1'!AB23,0)*'Data Entry - SOF'!#REF!*2.41,0)</f>
        <v>#REF!</v>
      </c>
    </row>
    <row r="37" spans="2:40" hidden="1">
      <c r="B37" s="28" t="s">
        <v>2857</v>
      </c>
      <c r="D37" s="97" t="s">
        <v>491</v>
      </c>
      <c r="E37" s="944"/>
      <c r="F37" s="19">
        <f>650*'Data Entry - SOF'!K38</f>
        <v>0</v>
      </c>
      <c r="G37" s="19"/>
      <c r="H37" s="1038">
        <f>650*'Data Entry - SOF'!K38</f>
        <v>0</v>
      </c>
      <c r="J37" s="1750"/>
      <c r="K37" s="1750"/>
      <c r="L37" s="1846"/>
      <c r="M37" s="1811">
        <f t="shared" si="0"/>
        <v>0</v>
      </c>
      <c r="AN37" s="19"/>
    </row>
    <row r="38" spans="2:40" hidden="1">
      <c r="B38" s="28"/>
      <c r="D38" s="23" t="s">
        <v>1397</v>
      </c>
      <c r="F38" s="90">
        <v>0</v>
      </c>
      <c r="G38" s="19"/>
      <c r="H38" s="1041">
        <v>0</v>
      </c>
      <c r="J38" s="1750"/>
      <c r="K38" s="1750"/>
      <c r="L38" s="1848"/>
      <c r="M38" s="1811">
        <f t="shared" si="0"/>
        <v>0</v>
      </c>
      <c r="AN38" s="19">
        <v>0</v>
      </c>
    </row>
    <row r="39" spans="2:40">
      <c r="B39" s="28">
        <v>25</v>
      </c>
      <c r="D39" s="23" t="s">
        <v>1297</v>
      </c>
      <c r="F39" s="19">
        <f>ROUND(ROUND('Calc Data-SB1'!G23,0)*('Data Entry - SOF'!K39*Weights!L26),0)</f>
        <v>0</v>
      </c>
      <c r="G39" s="19"/>
      <c r="H39" s="1038">
        <f>ROUND(ROUND('Calc Data-SB1'!AR23,0)*('Data Entry - SOF'!K39*Weights!L26),0)</f>
        <v>0</v>
      </c>
      <c r="J39" s="1750"/>
      <c r="K39" s="1750"/>
      <c r="L39" s="1846"/>
      <c r="M39" s="1811">
        <f t="shared" si="0"/>
        <v>0</v>
      </c>
      <c r="AN39" s="19" t="e">
        <f>ROUND(ROUND('Calc Data-SB1'!AB23,0)*('Data Entry - SOF'!#REF!*0.1),0)</f>
        <v>#REF!</v>
      </c>
    </row>
    <row r="40" spans="2:40">
      <c r="B40" s="28">
        <v>31</v>
      </c>
      <c r="D40" s="47" t="s">
        <v>2792</v>
      </c>
      <c r="F40" s="19">
        <f>Weights!L33*'Data Entry - SOF'!K18</f>
        <v>0</v>
      </c>
      <c r="G40" s="19"/>
      <c r="H40" s="1038">
        <f>Weights!L33*'Data Entry - SOF'!K18</f>
        <v>0</v>
      </c>
      <c r="J40" s="1750"/>
      <c r="K40" s="1750"/>
      <c r="L40" s="1846"/>
      <c r="M40" s="1811">
        <f t="shared" si="0"/>
        <v>0</v>
      </c>
      <c r="AN40" s="19" t="e">
        <f>#REF!</f>
        <v>#REF!</v>
      </c>
    </row>
    <row r="41" spans="2:40">
      <c r="B41" s="28"/>
      <c r="D41" s="23" t="s">
        <v>984</v>
      </c>
      <c r="F41" s="19">
        <f>ROUND(ROUND('Calc Data-SB1'!G23,0)*'Data Entry - SOF'!K41*Weights!L37,0)</f>
        <v>0</v>
      </c>
      <c r="G41" s="19"/>
      <c r="H41" s="1038">
        <f>ROUND(ROUND('Calc Data-SB1'!AR23,0)*'Data Entry - SOF'!K41*Weights!L37,0)</f>
        <v>0</v>
      </c>
      <c r="J41" s="1750"/>
      <c r="K41" s="1750"/>
      <c r="L41" s="1846"/>
      <c r="M41" s="1811">
        <f t="shared" si="0"/>
        <v>0</v>
      </c>
      <c r="AN41" s="19" t="e">
        <f>ROUND(ROUND('Calc Data-SB1'!AB23,0)*'Data Entry - SOF'!#REF!*0.1,0)</f>
        <v>#REF!</v>
      </c>
    </row>
    <row r="42" spans="2:40" ht="15.75">
      <c r="B42" s="28"/>
      <c r="D42" s="955" t="s">
        <v>4482</v>
      </c>
      <c r="F42" s="116">
        <f>'Data Entry - SOF'!K42*Weights!L35</f>
        <v>0</v>
      </c>
      <c r="G42" s="19"/>
      <c r="H42" s="1038">
        <f>F42</f>
        <v>0</v>
      </c>
      <c r="J42" s="1750"/>
      <c r="K42" s="1750"/>
      <c r="L42" s="2224"/>
      <c r="M42" s="1811">
        <f t="shared" si="0"/>
        <v>0</v>
      </c>
      <c r="AN42" s="19" t="e">
        <f>'Data Entry - SOF'!#REF!*250</f>
        <v>#REF!</v>
      </c>
    </row>
    <row r="43" spans="2:40">
      <c r="B43" s="28">
        <v>99</v>
      </c>
      <c r="D43" s="23" t="s">
        <v>2385</v>
      </c>
      <c r="F43" s="29">
        <f>'Data Entry - SOF'!K66</f>
        <v>0</v>
      </c>
      <c r="G43" s="32"/>
      <c r="H43" s="1043">
        <f>'Data Entry - SOF'!K66</f>
        <v>0</v>
      </c>
      <c r="J43" s="1750"/>
      <c r="K43" s="1750"/>
      <c r="L43" s="2225"/>
      <c r="M43" s="1860">
        <f t="shared" si="0"/>
        <v>0</v>
      </c>
      <c r="AN43" s="29" t="e">
        <f>'Data Entry - SOF'!#REF!</f>
        <v>#REF!</v>
      </c>
    </row>
    <row r="44" spans="2:40">
      <c r="D44" s="23" t="s">
        <v>576</v>
      </c>
      <c r="F44" s="19">
        <f>SUM(F21:F43)</f>
        <v>0</v>
      </c>
      <c r="G44" s="19"/>
      <c r="H44" s="1038">
        <f>SUM(H21:H43)</f>
        <v>0</v>
      </c>
      <c r="J44" s="2220"/>
      <c r="K44" s="2220"/>
      <c r="L44" s="1809"/>
      <c r="M44" s="1811">
        <f t="shared" si="0"/>
        <v>0</v>
      </c>
      <c r="AN44" s="19" t="e">
        <f>SUM(AN21:AN43)</f>
        <v>#REF!</v>
      </c>
    </row>
    <row r="45" spans="2:40">
      <c r="D45" s="23" t="s">
        <v>890</v>
      </c>
      <c r="F45" s="36">
        <f>IF('Data Entry - SOF'!K108&gt;1,1*('Data Entry - SOF'!K48/100),'Data Entry - SOF'!K108*('Data Entry - SOF'!K48/100))</f>
        <v>0</v>
      </c>
      <c r="G45" s="59"/>
      <c r="H45" s="1045">
        <f>IF('Calc Data-SB1'!AR30&gt;1,1*('Data Entry - SOF'!K48/100),'Calc Data-SB1'!AR30*('Data Entry - SOF'!K48/100))</f>
        <v>0</v>
      </c>
      <c r="J45" s="1751"/>
      <c r="K45" s="1751"/>
      <c r="L45" s="1810"/>
      <c r="M45" s="1814">
        <f>IF('Calc Data-15K'!AR30&gt;1,1*('Data Entry - SOF'!K50/100),'Calc Data-15K'!AR30*('Data Entry - SOF'!K50/100))</f>
        <v>0</v>
      </c>
      <c r="AN45" s="36" t="e">
        <f>#REF!</f>
        <v>#REF!</v>
      </c>
    </row>
    <row r="46" spans="2:40">
      <c r="D46" s="23" t="s">
        <v>889</v>
      </c>
      <c r="F46" s="37">
        <f>F44-F45</f>
        <v>0</v>
      </c>
      <c r="G46" s="37"/>
      <c r="H46" s="1046">
        <f>H44-H45</f>
        <v>0</v>
      </c>
      <c r="J46" s="1751"/>
      <c r="K46" s="1751"/>
      <c r="L46" s="1810"/>
      <c r="M46" s="1811">
        <f>M44-M45</f>
        <v>0</v>
      </c>
      <c r="AN46" s="37" t="e">
        <f>AN44-AN45</f>
        <v>#REF!</v>
      </c>
    </row>
    <row r="47" spans="2:40">
      <c r="D47" s="23"/>
      <c r="G47" s="37"/>
      <c r="H47" s="1735"/>
      <c r="J47" s="1053"/>
      <c r="K47" s="1053"/>
      <c r="L47" s="1402"/>
      <c r="M47" s="1925"/>
      <c r="P47" s="62"/>
      <c r="AN47" s="37"/>
    </row>
    <row r="48" spans="2:40">
      <c r="D48" s="949" t="s">
        <v>835</v>
      </c>
      <c r="G48" s="37"/>
      <c r="H48" s="1735"/>
      <c r="J48" s="1053"/>
      <c r="K48" s="1053"/>
      <c r="L48" s="1402"/>
      <c r="M48" s="1925"/>
      <c r="P48" s="62"/>
      <c r="AN48" s="37"/>
    </row>
    <row r="49" spans="4:15">
      <c r="D49" s="23" t="s">
        <v>1716</v>
      </c>
      <c r="F49" s="90">
        <f>IF(F46&lt;F76+F40+F42+F31+F32,F76+F40+F42+F31+F32,F46)</f>
        <v>0</v>
      </c>
      <c r="G49" s="37"/>
      <c r="H49" s="1041">
        <f>IF(H46&lt;H76+H40+H42+H31+H32,H76+H40+H42+H31+H32,H46)</f>
        <v>0</v>
      </c>
      <c r="J49" s="1049"/>
      <c r="K49" s="1049"/>
      <c r="L49" s="1811"/>
      <c r="M49" s="1811">
        <f>IF(M46&lt;I76+M40+M42+M31+M32,I76+M40+M42+M31+M32,M46)</f>
        <v>0</v>
      </c>
    </row>
    <row r="50" spans="4:15" hidden="1">
      <c r="D50" s="23" t="s">
        <v>2596</v>
      </c>
      <c r="G50" s="37" t="e">
        <f>ROUND(IF((24.7*'Calc Data-SB1'!#REF!*IF('Calc Data-SB1'!#REF!&gt;=0.64,0.64,'Calc Data-SB1'!#REF!)*100)&lt;'Calc Data-SB1'!#REF!,0,(24.7*'Calc Data-SB1'!#REF!*IF('Calc Data-SB1'!#REF!&gt;=0.64,0.64,'Calc Data-SB1'!#REF!)*100)-'Calc Data-SB1'!#REF!),0)</f>
        <v>#REF!</v>
      </c>
      <c r="H50" s="37"/>
      <c r="I50" s="1925"/>
      <c r="J50" s="1050"/>
      <c r="K50" s="1050"/>
      <c r="L50" s="1812"/>
      <c r="M50" s="1846"/>
    </row>
    <row r="51" spans="4:15">
      <c r="D51" s="23"/>
      <c r="G51" s="37"/>
      <c r="H51" s="1050"/>
      <c r="I51" s="1925"/>
      <c r="J51" s="1050"/>
      <c r="K51" s="1050"/>
      <c r="L51" s="1811"/>
      <c r="M51" s="1846"/>
    </row>
    <row r="52" spans="4:15">
      <c r="D52" s="23" t="s">
        <v>2748</v>
      </c>
      <c r="F52" s="37" t="e">
        <f>ROUND(IF((Assumptions!G128*'Calc Data-SB1'!G25*'Calc Data-SB1'!G35*100)&lt;'Calc Data-SB1'!G42,0,(Assumptions!G128*'Calc Data-SB1'!G25*'Calc Data-SB1'!G35*100)-'Calc Data-SB1'!G42),0)</f>
        <v>#DIV/0!</v>
      </c>
      <c r="G52" s="37"/>
      <c r="H52" s="1050" t="e">
        <f>ROUND(IF((Assumptions!G128*'Calc Data-SB1'!G25*'Calc Data-SB1'!G35*100)&lt;'Calc Data-SB1'!G42,0,(Assumptions!G128*'Calc Data-SB1'!G25*'Calc Data-SB1'!G35*100)-'Calc Data-SB1'!G42),0)</f>
        <v>#DIV/0!</v>
      </c>
      <c r="J52" s="1050" t="e">
        <f>ROUND(IF((Assumptions!G128*'Calc Data-SB1'!G25*'Calc Data-SB1'!G81*100)&lt;'Calc Data-SB1'!G88,0,(Assumptions!G128*'Calc Data-SB1'!G25*'Calc Data-SB1'!G81*100)-'Calc Data-SB1'!G88),0)</f>
        <v>#DIV/0!</v>
      </c>
      <c r="K52" s="1052" t="e">
        <f>J52</f>
        <v>#DIV/0!</v>
      </c>
      <c r="M52" s="2014" t="e">
        <f>ROUND(IF((Assumptions!G79*'Calc Data-15K'!G25*'Calc Data-15K'!G81*100)&lt;'Calc Data-15K'!G88,0,(Assumptions!G79*'Calc Data-15K'!G25*'Calc Data-15K'!G81*100)-'Calc Data-15K'!G88),0)</f>
        <v>#DIV/0!</v>
      </c>
    </row>
    <row r="53" spans="4:15">
      <c r="D53" s="23" t="s">
        <v>515</v>
      </c>
      <c r="F53" s="66" t="e">
        <f>ROUND(IF((Assumptions!G129*'Calc Data-SB1'!G25*'Calc Data-SB1'!G38*100)&lt;'Calc Data-SB1'!G43,0,(Assumptions!G129*'Calc Data-SB1'!G25*'Calc Data-SB1'!G38*100)-'Calc Data-SB1'!G43),0)</f>
        <v>#DIV/0!</v>
      </c>
      <c r="G53" s="37"/>
      <c r="H53" s="1051" t="e">
        <f>ROUND(IF((Assumptions!G129*'Calc Data-SB1'!G25*'Calc Data-SB1'!AR29*100)&lt;'Calc Data-SB1'!AR33,0,(Assumptions!G129*'Calc Data-SB1'!G25*'Calc Data-SB1'!AR29*100)-'Calc Data-SB1'!AR33),0)</f>
        <v>#DIV/0!</v>
      </c>
      <c r="J53" s="1051" t="e">
        <f>ROUND(IF((Assumptions!G129*'Calc Data-SB1'!G25*'Calc Data-SB1'!G84*100)&lt;'Calc Data-SB1'!G89,0,(Assumptions!G129*'Calc Data-SB1'!G25*'Calc Data-SB1'!G84*100)-'Calc Data-SB1'!G89),0)</f>
        <v>#DIV/0!</v>
      </c>
      <c r="K53" s="1051" t="e">
        <f>ROUND(IF((Assumptions!G129*'Calc Data-SB1'!G25*'Calc Data-SB1'!AR84*100)&lt;'Calc Data-SB1'!AR88,0,(Assumptions!G129*'Calc Data-SB1'!G25*'Calc Data-SB1'!AR84*100)-'Calc Data-SB1'!AR88),0)</f>
        <v>#DIV/0!</v>
      </c>
      <c r="M53" s="2236" t="e">
        <f>ROUND(IF((Assumptions!G80*'Calc Data-15K'!G25*'Calc Data-15K'!G84*100)&lt;'Calc Data-15K'!G89,0,(Assumptions!G80*'Calc Data-15K'!G25*'Calc Data-15K'!G84*100)-'Calc Data-15K'!G89),0)</f>
        <v>#DIV/0!</v>
      </c>
    </row>
    <row r="54" spans="4:15">
      <c r="D54" s="23" t="s">
        <v>315</v>
      </c>
      <c r="F54" s="37" t="e">
        <f>SUM(F50:F53)</f>
        <v>#DIV/0!</v>
      </c>
      <c r="G54" s="37"/>
      <c r="H54" s="1050" t="e">
        <f>SUM(H50:H53)</f>
        <v>#DIV/0!</v>
      </c>
      <c r="J54" s="1808"/>
      <c r="K54" s="1808"/>
      <c r="L54" s="1811"/>
      <c r="M54" s="1846"/>
    </row>
    <row r="55" spans="4:15">
      <c r="D55" s="23"/>
      <c r="G55" s="37"/>
      <c r="H55" s="1050"/>
      <c r="J55" s="1050"/>
      <c r="K55" s="1050"/>
      <c r="L55" s="1812"/>
      <c r="M55" s="1846"/>
      <c r="N55" s="121"/>
      <c r="O55" s="1375"/>
    </row>
    <row r="56" spans="4:15">
      <c r="D56" s="23" t="s">
        <v>832</v>
      </c>
      <c r="G56" s="37"/>
      <c r="H56" s="1050"/>
      <c r="J56" s="1050"/>
      <c r="K56" s="1050"/>
      <c r="L56" s="1812"/>
      <c r="M56" s="1846"/>
      <c r="N56" s="121"/>
      <c r="O56" s="1375"/>
    </row>
    <row r="57" spans="4:15">
      <c r="D57" s="23" t="s">
        <v>859</v>
      </c>
      <c r="F57" s="37">
        <f>'Data Entry - SOF'!K76</f>
        <v>0</v>
      </c>
      <c r="G57" s="37"/>
      <c r="H57" s="1050">
        <f>F57</f>
        <v>0</v>
      </c>
      <c r="I57" s="1811">
        <f>H57</f>
        <v>0</v>
      </c>
      <c r="J57" s="1850" t="e">
        <f>'ASATR-SB1'!M62</f>
        <v>#DIV/0!</v>
      </c>
      <c r="K57" s="1050" t="e">
        <f>J57</f>
        <v>#DIV/0!</v>
      </c>
      <c r="L57" s="1828" t="e">
        <f>'ASATR-SB1'!N62</f>
        <v>#DIV/0!</v>
      </c>
      <c r="M57" s="1846" t="e">
        <f>L57</f>
        <v>#DIV/0!</v>
      </c>
      <c r="N57" s="121"/>
      <c r="O57" s="1375"/>
    </row>
    <row r="58" spans="4:15">
      <c r="D58" s="23" t="s">
        <v>3489</v>
      </c>
      <c r="F58" s="37">
        <f>'Data Entry - SOF'!K75</f>
        <v>0</v>
      </c>
      <c r="G58" s="37"/>
      <c r="H58" s="1050">
        <f>F58</f>
        <v>0</v>
      </c>
      <c r="I58" s="1811">
        <f t="shared" ref="I58:I71" si="1">H58</f>
        <v>0</v>
      </c>
      <c r="J58" s="1050"/>
      <c r="K58" s="1050"/>
      <c r="L58" s="1812"/>
      <c r="M58" s="1846"/>
      <c r="N58" s="121"/>
      <c r="O58" s="1375"/>
    </row>
    <row r="59" spans="4:15">
      <c r="D59" s="23" t="s">
        <v>3490</v>
      </c>
      <c r="F59" s="37">
        <f>'Data Entry - SOF'!K77</f>
        <v>0</v>
      </c>
      <c r="G59" s="37"/>
      <c r="H59" s="1050">
        <f t="shared" ref="H59:H68" si="2">F59</f>
        <v>0</v>
      </c>
      <c r="I59" s="1811">
        <f t="shared" si="1"/>
        <v>0</v>
      </c>
      <c r="J59" s="1050"/>
      <c r="K59" s="1050"/>
      <c r="L59" s="1812"/>
      <c r="M59" s="1846"/>
      <c r="N59" s="121"/>
      <c r="O59" s="1375"/>
    </row>
    <row r="60" spans="4:15">
      <c r="D60" s="23" t="s">
        <v>3491</v>
      </c>
      <c r="F60" s="37">
        <f>'Data Entry - SOF'!K78</f>
        <v>0</v>
      </c>
      <c r="G60" s="37"/>
      <c r="H60" s="1050">
        <f t="shared" si="2"/>
        <v>0</v>
      </c>
      <c r="I60" s="1811">
        <f t="shared" si="1"/>
        <v>0</v>
      </c>
      <c r="J60" s="1050"/>
      <c r="K60" s="1050"/>
      <c r="L60" s="1812"/>
      <c r="M60" s="1846"/>
      <c r="N60" s="121"/>
      <c r="O60" s="1375"/>
    </row>
    <row r="61" spans="4:15">
      <c r="D61" s="23" t="s">
        <v>3492</v>
      </c>
      <c r="F61" s="37">
        <f>'Data Entry - SOF'!K79</f>
        <v>0</v>
      </c>
      <c r="G61" s="37"/>
      <c r="H61" s="1050">
        <f t="shared" si="2"/>
        <v>0</v>
      </c>
      <c r="I61" s="1811">
        <f t="shared" si="1"/>
        <v>0</v>
      </c>
      <c r="J61" s="1050"/>
      <c r="K61" s="1050"/>
      <c r="L61" s="1812"/>
      <c r="M61" s="1846"/>
      <c r="N61" s="121"/>
      <c r="O61" s="1375"/>
    </row>
    <row r="62" spans="4:15">
      <c r="D62" s="23" t="s">
        <v>3493</v>
      </c>
      <c r="F62" s="37">
        <v>0</v>
      </c>
      <c r="G62" s="37"/>
      <c r="H62" s="1050">
        <f t="shared" si="2"/>
        <v>0</v>
      </c>
      <c r="I62" s="1811">
        <f t="shared" si="1"/>
        <v>0</v>
      </c>
      <c r="J62" s="1050"/>
      <c r="K62" s="1050"/>
      <c r="L62" s="1812"/>
      <c r="M62" s="1846"/>
      <c r="N62" s="121"/>
      <c r="O62" s="1375"/>
    </row>
    <row r="63" spans="4:15">
      <c r="D63" s="23" t="s">
        <v>3494</v>
      </c>
      <c r="F63" s="37">
        <f>'Data Entry - SOF'!K80</f>
        <v>0</v>
      </c>
      <c r="G63" s="37"/>
      <c r="H63" s="1050">
        <f t="shared" si="2"/>
        <v>0</v>
      </c>
      <c r="I63" s="1811">
        <f t="shared" si="1"/>
        <v>0</v>
      </c>
      <c r="J63" s="1050"/>
      <c r="K63" s="1050"/>
      <c r="L63" s="1812"/>
      <c r="M63" s="1846"/>
      <c r="N63" s="121"/>
      <c r="O63" s="1375"/>
    </row>
    <row r="64" spans="4:15">
      <c r="D64" s="23" t="s">
        <v>2801</v>
      </c>
      <c r="F64" s="37">
        <v>0</v>
      </c>
      <c r="G64" s="37"/>
      <c r="H64" s="1050">
        <f t="shared" si="2"/>
        <v>0</v>
      </c>
      <c r="I64" s="1811">
        <f t="shared" si="1"/>
        <v>0</v>
      </c>
      <c r="J64" s="1050"/>
      <c r="K64" s="1050"/>
      <c r="L64" s="1812"/>
      <c r="M64" s="1846"/>
      <c r="N64" s="121"/>
      <c r="O64" s="1375"/>
    </row>
    <row r="65" spans="1:15">
      <c r="D65" s="23" t="s">
        <v>2793</v>
      </c>
      <c r="F65" s="37">
        <f>(500*'Data Entry - SOF'!K44)+(250*'Data Entry - SOF'!K45)</f>
        <v>0</v>
      </c>
      <c r="G65" s="37"/>
      <c r="H65" s="1050">
        <f t="shared" si="2"/>
        <v>0</v>
      </c>
      <c r="I65" s="1811">
        <f t="shared" si="1"/>
        <v>0</v>
      </c>
      <c r="J65" s="1050"/>
      <c r="K65" s="1050"/>
      <c r="L65" s="1812"/>
      <c r="M65" s="1846"/>
      <c r="N65" s="121"/>
      <c r="O65" s="1375"/>
    </row>
    <row r="66" spans="1:15">
      <c r="D66" s="23" t="s">
        <v>833</v>
      </c>
      <c r="F66" s="905" t="e">
        <f>(('Data Entry - SOF'!K69/'Calc Data-SB1'!F7)*'Data Entry - SOF'!K67)*-1</f>
        <v>#DIV/0!</v>
      </c>
      <c r="G66" s="37"/>
      <c r="H66" s="1050" t="e">
        <f t="shared" si="2"/>
        <v>#DIV/0!</v>
      </c>
      <c r="I66" s="1811" t="e">
        <f t="shared" si="1"/>
        <v>#DIV/0!</v>
      </c>
      <c r="J66" s="1050"/>
      <c r="K66" s="1050"/>
      <c r="L66" s="1812"/>
      <c r="M66" s="1846"/>
      <c r="N66" s="121"/>
      <c r="O66" s="1375"/>
    </row>
    <row r="67" spans="1:15">
      <c r="D67" s="23" t="s">
        <v>834</v>
      </c>
      <c r="F67" s="1241" t="e">
        <f>(('Data Entry - SOF'!K69/'Calc Data-SB1'!F7)*'Data Entry - SOF'!K68)*-1</f>
        <v>#DIV/0!</v>
      </c>
      <c r="G67" s="37"/>
      <c r="H67" s="1050" t="e">
        <f t="shared" si="2"/>
        <v>#DIV/0!</v>
      </c>
      <c r="I67" s="1811" t="e">
        <f t="shared" si="1"/>
        <v>#DIV/0!</v>
      </c>
      <c r="J67" s="1050"/>
      <c r="K67" s="1050"/>
      <c r="L67" s="1812"/>
      <c r="M67" s="1846"/>
      <c r="N67" s="121"/>
      <c r="O67" s="1375"/>
    </row>
    <row r="68" spans="1:15">
      <c r="D68" s="23" t="s">
        <v>3399</v>
      </c>
      <c r="F68" s="1242">
        <f>'Data Entry - SOF'!K96</f>
        <v>0</v>
      </c>
      <c r="G68" s="37"/>
      <c r="H68" s="1051">
        <f t="shared" si="2"/>
        <v>0</v>
      </c>
      <c r="I68" s="1859">
        <f t="shared" si="1"/>
        <v>0</v>
      </c>
      <c r="J68" s="1050"/>
      <c r="K68" s="1050"/>
      <c r="L68" s="1812"/>
      <c r="M68" s="1846"/>
      <c r="N68" s="121"/>
      <c r="O68" s="1375"/>
    </row>
    <row r="69" spans="1:15">
      <c r="D69" s="906" t="s">
        <v>200</v>
      </c>
      <c r="F69" s="37" t="e">
        <f>SUM(F57:F68)</f>
        <v>#DIV/0!</v>
      </c>
      <c r="G69" s="37"/>
      <c r="H69" s="1050" t="e">
        <f>SUM(H57:H68)</f>
        <v>#DIV/0!</v>
      </c>
      <c r="I69" s="1811" t="e">
        <f t="shared" si="1"/>
        <v>#DIV/0!</v>
      </c>
      <c r="J69" s="1050"/>
      <c r="K69" s="1050"/>
      <c r="L69" s="1812"/>
      <c r="M69" s="1846"/>
      <c r="N69" s="121"/>
      <c r="O69" s="1375"/>
    </row>
    <row r="70" spans="1:15">
      <c r="D70" s="906"/>
      <c r="F70" s="47"/>
      <c r="G70" s="37"/>
      <c r="H70" s="1050"/>
      <c r="I70" s="1811"/>
      <c r="J70" s="1751"/>
      <c r="K70" s="1751"/>
      <c r="L70" s="1812"/>
      <c r="M70" s="1846"/>
      <c r="N70" s="121"/>
      <c r="O70" s="1375"/>
    </row>
    <row r="71" spans="1:15">
      <c r="D71" s="23" t="s">
        <v>2749</v>
      </c>
      <c r="F71" s="37">
        <f>F76*-1</f>
        <v>0</v>
      </c>
      <c r="G71" s="37"/>
      <c r="H71" s="1050">
        <f>H76*-1</f>
        <v>0</v>
      </c>
      <c r="I71" s="1811">
        <f t="shared" si="1"/>
        <v>0</v>
      </c>
      <c r="J71" s="1050"/>
      <c r="K71" s="1050"/>
      <c r="L71" s="1812"/>
      <c r="M71" s="1846"/>
      <c r="N71" s="121"/>
      <c r="O71" s="1375"/>
    </row>
    <row r="72" spans="1:15" ht="13.5" thickBot="1">
      <c r="D72" s="23"/>
      <c r="G72" s="37"/>
      <c r="H72" s="1050"/>
      <c r="I72" s="1925"/>
      <c r="J72" s="1050"/>
      <c r="K72" s="1050"/>
      <c r="L72" s="1812"/>
      <c r="M72" s="1846"/>
      <c r="N72" s="121"/>
      <c r="O72" s="1375"/>
    </row>
    <row r="73" spans="1:15" ht="13.5" thickTop="1">
      <c r="A73" s="909"/>
      <c r="B73" s="910"/>
      <c r="C73" s="910"/>
      <c r="D73" s="911"/>
      <c r="E73" s="910"/>
      <c r="F73" s="956"/>
      <c r="G73" s="37"/>
      <c r="H73" s="1050"/>
      <c r="I73" s="1925"/>
      <c r="J73" s="1050"/>
      <c r="K73" s="1050"/>
      <c r="L73" s="1812"/>
      <c r="M73" s="1846"/>
      <c r="N73" s="121"/>
      <c r="O73" s="1375"/>
    </row>
    <row r="74" spans="1:15">
      <c r="A74" s="912"/>
      <c r="B74" s="893" t="s">
        <v>202</v>
      </c>
      <c r="C74" s="35"/>
      <c r="D74" s="908"/>
      <c r="E74" s="35"/>
      <c r="F74" s="957"/>
      <c r="G74" s="37"/>
      <c r="H74" s="1050"/>
      <c r="I74" s="1925"/>
      <c r="J74" s="1050"/>
      <c r="K74" s="1050"/>
      <c r="L74" s="1812"/>
      <c r="M74" s="1846"/>
      <c r="N74" s="121"/>
      <c r="O74" s="1375"/>
    </row>
    <row r="75" spans="1:15">
      <c r="A75" s="912"/>
      <c r="B75" s="893" t="s">
        <v>1681</v>
      </c>
      <c r="C75" s="35"/>
      <c r="D75" s="101" t="s">
        <v>836</v>
      </c>
      <c r="E75" s="101"/>
      <c r="F75" s="189" t="e">
        <f>F49+F54+F69+F71</f>
        <v>#DIV/0!</v>
      </c>
      <c r="G75" s="37"/>
      <c r="H75" s="1756" t="e">
        <f>H49+H54+H69+H71</f>
        <v>#DIV/0!</v>
      </c>
      <c r="I75" s="2010" t="e">
        <f>M49+I54+I69+I71</f>
        <v>#DIV/0!</v>
      </c>
      <c r="J75" s="1050"/>
      <c r="K75" s="1050"/>
      <c r="L75" s="1812"/>
      <c r="M75" s="1846"/>
      <c r="N75" s="121"/>
      <c r="O75" s="1375"/>
    </row>
    <row r="76" spans="1:15">
      <c r="A76" s="912"/>
      <c r="B76" s="893" t="s">
        <v>1679</v>
      </c>
      <c r="C76" s="35"/>
      <c r="D76" s="101" t="s">
        <v>3005</v>
      </c>
      <c r="E76" s="101"/>
      <c r="F76" s="189">
        <f>'Calc Data-SB1'!F7*Assumptions!G132</f>
        <v>0</v>
      </c>
      <c r="G76" s="37"/>
      <c r="H76" s="1756">
        <f>'Calc Data-SB1'!F7*Assumptions!G132</f>
        <v>0</v>
      </c>
      <c r="I76" s="1932">
        <f>H76</f>
        <v>0</v>
      </c>
      <c r="J76" s="2221"/>
      <c r="K76" s="2221"/>
      <c r="L76" s="1811"/>
      <c r="M76" s="1846"/>
      <c r="N76" s="121"/>
      <c r="O76" s="1375"/>
    </row>
    <row r="77" spans="1:15" ht="15.75">
      <c r="A77" s="912"/>
      <c r="B77" s="893" t="s">
        <v>1680</v>
      </c>
      <c r="C77" s="35"/>
      <c r="D77" s="952" t="s">
        <v>858</v>
      </c>
      <c r="E77" s="123"/>
      <c r="F77" s="959">
        <v>0</v>
      </c>
      <c r="G77" s="37"/>
      <c r="H77" s="1757">
        <v>0</v>
      </c>
      <c r="I77" s="1932">
        <f>H77</f>
        <v>0</v>
      </c>
      <c r="J77" s="2221"/>
      <c r="K77" s="2221"/>
      <c r="L77" s="1811"/>
      <c r="M77" s="1846"/>
      <c r="N77" s="121"/>
      <c r="O77" s="1375"/>
    </row>
    <row r="78" spans="1:15">
      <c r="A78" s="912"/>
      <c r="B78" s="893" t="s">
        <v>839</v>
      </c>
      <c r="C78" s="35"/>
      <c r="D78" s="101" t="s">
        <v>837</v>
      </c>
      <c r="E78" s="101"/>
      <c r="F78" s="189">
        <f>'Existing Debt'!O74</f>
        <v>0</v>
      </c>
      <c r="G78" s="37"/>
      <c r="H78" s="1756">
        <f>'Existing Debt'!O74</f>
        <v>0</v>
      </c>
      <c r="I78" s="1932">
        <f>'Existing Debt'!P74</f>
        <v>0</v>
      </c>
      <c r="J78" s="1049"/>
      <c r="K78" s="1049"/>
      <c r="L78" s="1811"/>
      <c r="M78" s="1846"/>
      <c r="N78" s="121"/>
      <c r="O78" s="1375"/>
    </row>
    <row r="79" spans="1:15" ht="13.5" thickBot="1">
      <c r="A79" s="912"/>
      <c r="B79" s="893" t="s">
        <v>1251</v>
      </c>
      <c r="C79" s="35"/>
      <c r="D79" s="101" t="s">
        <v>838</v>
      </c>
      <c r="E79" s="101"/>
      <c r="F79" s="950">
        <f>IFA!X86+IFA!Z75</f>
        <v>0</v>
      </c>
      <c r="G79" s="37"/>
      <c r="H79" s="1758">
        <f>IFA!X86+IFA!Z75</f>
        <v>0</v>
      </c>
      <c r="I79" s="2011">
        <f>IFA!Y86+IFA!AA75</f>
        <v>0</v>
      </c>
      <c r="J79" s="1049"/>
      <c r="K79" s="1049"/>
      <c r="L79" s="1811"/>
      <c r="M79" s="1846"/>
      <c r="N79" s="121"/>
      <c r="O79" s="1375"/>
    </row>
    <row r="80" spans="1:15">
      <c r="A80" s="912"/>
      <c r="B80" s="35"/>
      <c r="C80" s="35"/>
      <c r="D80" s="35"/>
      <c r="E80" s="35"/>
      <c r="F80" s="957"/>
      <c r="G80" s="37"/>
      <c r="H80" s="1759"/>
      <c r="I80" s="1933"/>
      <c r="J80" s="1808"/>
      <c r="K80" s="1808"/>
      <c r="L80" s="1811"/>
      <c r="M80" s="1846"/>
      <c r="N80" s="173"/>
      <c r="O80" s="1797"/>
    </row>
    <row r="81" spans="1:18" ht="12.75" customHeight="1" thickBot="1">
      <c r="A81" s="912"/>
      <c r="B81" s="35"/>
      <c r="C81" s="35"/>
      <c r="D81" s="101" t="s">
        <v>1155</v>
      </c>
      <c r="E81" s="35"/>
      <c r="F81" s="951" t="e">
        <f>SUM(F75:F79)</f>
        <v>#DIV/0!</v>
      </c>
      <c r="G81" s="37"/>
      <c r="H81" s="951" t="e">
        <f>SUM(H75:H79)</f>
        <v>#DIV/0!</v>
      </c>
      <c r="I81" s="2012" t="e">
        <f>SUM(I75:I79)</f>
        <v>#DIV/0!</v>
      </c>
      <c r="J81" s="1049"/>
      <c r="K81" s="1049"/>
      <c r="L81" s="1811"/>
      <c r="M81" s="1846"/>
      <c r="N81" s="173"/>
      <c r="O81" s="1797"/>
    </row>
    <row r="82" spans="1:18" ht="14.25" hidden="1" thickTop="1" thickBot="1">
      <c r="A82" s="912"/>
      <c r="B82" s="35"/>
      <c r="C82" s="35"/>
      <c r="D82" s="34" t="s">
        <v>513</v>
      </c>
      <c r="E82" s="35"/>
      <c r="F82" s="35"/>
      <c r="G82" s="37"/>
      <c r="H82" s="1760" t="e">
        <f>SUM(H75:H79)</f>
        <v>#DIV/0!</v>
      </c>
      <c r="I82" s="1925"/>
      <c r="J82" s="2221"/>
      <c r="K82" s="2221"/>
      <c r="L82" s="1811"/>
      <c r="M82" s="1846"/>
      <c r="N82" s="173"/>
      <c r="O82" s="1797"/>
    </row>
    <row r="83" spans="1:18" ht="14.25" thickTop="1" thickBot="1">
      <c r="A83" s="913"/>
      <c r="B83" s="914"/>
      <c r="C83" s="914"/>
      <c r="D83" s="915"/>
      <c r="E83" s="914"/>
      <c r="F83" s="970"/>
      <c r="G83" s="19"/>
      <c r="H83" s="37"/>
      <c r="I83" s="1925"/>
      <c r="J83" s="1050"/>
      <c r="K83" s="1050"/>
      <c r="L83" s="1812"/>
      <c r="M83" s="1846"/>
    </row>
    <row r="84" spans="1:18" ht="13.5" thickTop="1">
      <c r="B84" s="23"/>
      <c r="G84" s="59"/>
      <c r="H84" s="19"/>
      <c r="I84" s="1925"/>
      <c r="J84" s="1750"/>
      <c r="K84" s="1750"/>
      <c r="L84" s="1809"/>
      <c r="M84" s="1846"/>
      <c r="P84" s="121"/>
      <c r="Q84" s="421"/>
      <c r="R84" s="5"/>
    </row>
    <row r="85" spans="1:18">
      <c r="H85" s="59"/>
      <c r="I85" s="1925"/>
      <c r="J85" s="1751"/>
      <c r="K85" s="1751"/>
      <c r="L85" s="1810"/>
      <c r="M85" s="1846"/>
      <c r="P85" s="5"/>
    </row>
    <row r="86" spans="1:18" ht="13.5" thickBot="1">
      <c r="I86" s="1925"/>
      <c r="J86" s="1053"/>
      <c r="K86" s="1053"/>
      <c r="L86" s="1402"/>
      <c r="M86" s="1846"/>
    </row>
    <row r="87" spans="1:18" ht="13.5" thickTop="1">
      <c r="A87" s="918" t="s">
        <v>2816</v>
      </c>
      <c r="B87" s="91"/>
      <c r="C87" s="91"/>
      <c r="D87" s="91"/>
      <c r="E87" s="91"/>
      <c r="F87" s="183"/>
      <c r="I87" s="1925"/>
      <c r="J87" s="1053"/>
      <c r="K87" s="1053"/>
      <c r="L87" s="1402"/>
      <c r="M87" s="1846"/>
    </row>
    <row r="88" spans="1:18">
      <c r="A88" s="186"/>
      <c r="B88" s="35"/>
      <c r="C88" s="35"/>
      <c r="D88" s="35"/>
      <c r="E88" s="35"/>
      <c r="F88" s="184"/>
      <c r="I88" s="1925"/>
      <c r="J88" s="1053"/>
      <c r="K88" s="1053"/>
      <c r="L88" s="1402"/>
      <c r="M88" s="1846"/>
    </row>
    <row r="89" spans="1:18">
      <c r="A89" s="185" t="s">
        <v>2477</v>
      </c>
      <c r="B89" s="35"/>
      <c r="C89" s="35"/>
      <c r="D89" s="35"/>
      <c r="E89" s="35"/>
      <c r="F89" s="894" t="e">
        <f>IF(F75&lt;0,F76,F75+F76)</f>
        <v>#DIV/0!</v>
      </c>
      <c r="H89" s="894" t="e">
        <f>IF(H75&lt;0,H76,H75+H76)</f>
        <v>#DIV/0!</v>
      </c>
      <c r="I89" s="1934" t="e">
        <f>IF(I75&lt;0,I76,I75+I76)</f>
        <v>#DIV/0!</v>
      </c>
      <c r="J89" s="1053"/>
      <c r="K89" s="1053"/>
      <c r="L89" s="1402"/>
      <c r="M89" s="1846"/>
    </row>
    <row r="90" spans="1:18">
      <c r="A90" s="239" t="s">
        <v>1910</v>
      </c>
      <c r="B90" s="35"/>
      <c r="C90" s="35"/>
      <c r="D90" s="35"/>
      <c r="E90" s="35"/>
      <c r="F90" s="895" t="e">
        <f>'Calc Data-SB1'!G30-'ASATR-SB1'!M24</f>
        <v>#DIV/0!</v>
      </c>
      <c r="H90" s="895" t="e">
        <f>'Calc Data-SB1'!AR32-'ASATR-SB1'!M39</f>
        <v>#DIV/0!</v>
      </c>
      <c r="I90" s="1935" t="e">
        <f>'Calc Data-SB1'!AS32-'ASATR-SB1'!N39</f>
        <v>#DIV/0!</v>
      </c>
      <c r="J90" s="1808"/>
      <c r="K90" s="1808"/>
      <c r="L90" s="1811"/>
      <c r="M90" s="1846"/>
      <c r="P90" s="121"/>
    </row>
    <row r="91" spans="1:18">
      <c r="A91" s="239" t="s">
        <v>1062</v>
      </c>
      <c r="B91" s="35"/>
      <c r="C91" s="35"/>
      <c r="D91" s="35"/>
      <c r="E91" s="35"/>
      <c r="F91" s="895" t="e">
        <f>'Calc Data-SB1'!G34</f>
        <v>#DIV/0!</v>
      </c>
      <c r="H91" s="895" t="e">
        <f>'Calc Data-SB1'!G34</f>
        <v>#DIV/0!</v>
      </c>
      <c r="I91" s="1938" t="e">
        <f>'Calc Data-SB1'!AS71</f>
        <v>#DIV/0!</v>
      </c>
      <c r="J91" s="1854"/>
      <c r="K91" s="1854"/>
      <c r="L91" s="1811"/>
      <c r="M91" s="1846"/>
      <c r="P91" s="121"/>
    </row>
    <row r="92" spans="1:18">
      <c r="A92" s="239" t="s">
        <v>1063</v>
      </c>
      <c r="B92" s="35"/>
      <c r="C92" s="35"/>
      <c r="D92" s="35"/>
      <c r="E92" s="35"/>
      <c r="F92" s="907" t="e">
        <f>'Calc Data-SB1'!G37-IF('Option Costs-HB3646'!AM57="N",MAX('Option Costs-HB3646'!AM54,'Option Costs-HB3646'!AO54),MIN('Option Costs-HB3646'!AM54,'Option Costs-HB3646'!AO54))</f>
        <v>#DIV/0!</v>
      </c>
      <c r="H92" s="907" t="e">
        <f>'Calc Data-SB1'!AR31-IF('Option Costs-HB3646'!AM57="N",MAX('Option Costs-HB3646'!AM85,'Option Costs-HB3646'!AO85),MIN('Option Costs-HB3646'!AM85,'Option Costs-HB3646'!AO85))</f>
        <v>#DIV/0!</v>
      </c>
      <c r="I92" s="1936" t="e">
        <f>'Calc Data-SB1'!AS31-IF('Option Costs-15K'!AM57="N",MAX('Option Costs-15K'!AM54,'Option Costs-15K'!AO54),MIN('Option Costs-15K'!AM54,'Option Costs-15K'!AE54))</f>
        <v>#DIV/0!</v>
      </c>
      <c r="J92" s="1049"/>
      <c r="K92" s="1049"/>
      <c r="L92" s="1811"/>
      <c r="M92" s="1846"/>
    </row>
    <row r="93" spans="1:18">
      <c r="A93" s="239" t="s">
        <v>3710</v>
      </c>
      <c r="B93" s="35"/>
      <c r="C93" s="35"/>
      <c r="D93" s="35"/>
      <c r="E93" s="35"/>
      <c r="F93" s="958" t="e">
        <f>SUM(F89:F92)</f>
        <v>#DIV/0!</v>
      </c>
      <c r="H93" s="958" t="e">
        <f>SUM(H89:H92)</f>
        <v>#DIV/0!</v>
      </c>
      <c r="I93" s="1937" t="e">
        <f>SUM(I89:I92)</f>
        <v>#DIV/0!</v>
      </c>
      <c r="J93" s="1854"/>
      <c r="K93" s="1854"/>
      <c r="L93" s="1811"/>
      <c r="M93" s="1846"/>
    </row>
    <row r="94" spans="1:18">
      <c r="A94" s="185" t="s">
        <v>1908</v>
      </c>
      <c r="B94" s="35"/>
      <c r="C94" s="35"/>
      <c r="D94" s="35"/>
      <c r="E94" s="35"/>
      <c r="F94" s="907" t="e">
        <f>IF(F75&gt;0,0,F75)</f>
        <v>#DIV/0!</v>
      </c>
      <c r="H94" s="907" t="e">
        <f>IF(H75&gt;0,0,H75)</f>
        <v>#DIV/0!</v>
      </c>
      <c r="I94" s="1936" t="e">
        <f>IF(I75&gt;0,0,I75)</f>
        <v>#DIV/0!</v>
      </c>
      <c r="J94" s="1854"/>
      <c r="K94" s="1854"/>
      <c r="L94" s="1813"/>
      <c r="M94" s="1846"/>
    </row>
    <row r="95" spans="1:18">
      <c r="A95" s="423" t="s">
        <v>3711</v>
      </c>
      <c r="B95" s="35"/>
      <c r="C95" s="35"/>
      <c r="D95" s="35"/>
      <c r="E95" s="35"/>
      <c r="F95" s="958" t="e">
        <f>F93+F94</f>
        <v>#DIV/0!</v>
      </c>
      <c r="H95" s="958" t="e">
        <f>H93+H94</f>
        <v>#DIV/0!</v>
      </c>
      <c r="I95" s="1937" t="e">
        <f>I93+I94</f>
        <v>#DIV/0!</v>
      </c>
      <c r="J95" s="1808"/>
      <c r="K95" s="1808"/>
      <c r="L95" s="1811"/>
      <c r="M95" s="1846"/>
    </row>
    <row r="96" spans="1:18" ht="13.5" thickBot="1">
      <c r="A96" s="187"/>
      <c r="B96" s="50"/>
      <c r="C96" s="50"/>
      <c r="D96" s="50"/>
      <c r="E96" s="50"/>
      <c r="F96" s="188"/>
      <c r="J96" s="1854"/>
      <c r="K96" s="1854"/>
      <c r="L96" s="1811"/>
      <c r="M96" s="1846"/>
    </row>
    <row r="97" spans="1:13" ht="13.5" hidden="1" thickTop="1">
      <c r="D97" s="47" t="s">
        <v>1399</v>
      </c>
      <c r="E97" s="47"/>
      <c r="F97" s="47"/>
      <c r="H97" s="958" t="e">
        <f>H94+H95</f>
        <v>#DIV/0!</v>
      </c>
      <c r="J97" s="1808"/>
      <c r="K97" s="1808"/>
      <c r="L97" s="1811"/>
      <c r="M97" s="1846"/>
    </row>
    <row r="98" spans="1:13" ht="13.5" hidden="1" thickTop="1">
      <c r="D98" s="47" t="s">
        <v>511</v>
      </c>
      <c r="E98" s="47"/>
      <c r="F98" s="47"/>
      <c r="J98" s="1053"/>
      <c r="K98" s="1053"/>
      <c r="L98" s="1402"/>
      <c r="M98" s="1846"/>
    </row>
    <row r="99" spans="1:13" ht="13.5" hidden="1" thickTop="1">
      <c r="D99" s="47" t="s">
        <v>512</v>
      </c>
    </row>
    <row r="100" spans="1:13" ht="13.5" hidden="1" thickTop="1">
      <c r="D100" s="47" t="s">
        <v>1147</v>
      </c>
    </row>
    <row r="101" spans="1:13" ht="13.5" hidden="1" thickTop="1">
      <c r="D101" s="47" t="s">
        <v>720</v>
      </c>
    </row>
    <row r="102" spans="1:13" ht="13.5" hidden="1" thickTop="1">
      <c r="D102" s="47" t="s">
        <v>721</v>
      </c>
    </row>
    <row r="103" spans="1:13" ht="13.5" thickTop="1">
      <c r="D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Assumptions!G119*'Calc Data-SB1'!G25*'Calc Data-SB1'!G35*100</f>
        <v>#DIV/0!</v>
      </c>
      <c r="H136" s="121" t="e">
        <f>Assumptions!G119*'Calc Data-SB1'!D25*'Calc Data-SB1'!D35*100</f>
        <v>#DIV/0!</v>
      </c>
      <c r="J136" s="5"/>
      <c r="K136" s="5"/>
    </row>
    <row r="137" spans="5:11">
      <c r="E137" t="s">
        <v>3253</v>
      </c>
      <c r="F137" s="121" t="e">
        <f>Assumptions!G120*'Calc Data-SB1'!G25*'Calc Data-SB1'!G38*100</f>
        <v>#DIV/0!</v>
      </c>
      <c r="H137" s="121" t="e">
        <f>Assumptions!G120*'Calc Data-SB1'!D25*'Calc Data-SB1'!AR29*100</f>
        <v>#DIV/0!</v>
      </c>
      <c r="J137" s="5"/>
      <c r="K137" s="5"/>
    </row>
    <row r="138" spans="5:11">
      <c r="J138" s="121"/>
      <c r="K138" s="121"/>
    </row>
    <row r="139" spans="5:11">
      <c r="J139" s="121"/>
      <c r="K139" s="121"/>
    </row>
  </sheetData>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2.75"/>
  <cols>
    <col min="1" max="1" width="9.140625" style="89" customWidth="1"/>
    <col min="2" max="2" width="86" style="47" customWidth="1"/>
    <col min="3" max="3" width="4.140625" style="47" customWidth="1"/>
    <col min="4" max="4" width="20.7109375" style="47" customWidth="1"/>
    <col min="5" max="5" width="17.5703125" style="47" customWidth="1"/>
    <col min="6" max="12" width="9.140625" style="47" customWidth="1"/>
  </cols>
  <sheetData>
    <row r="1" spans="1:12">
      <c r="A1" s="1074" t="s">
        <v>3266</v>
      </c>
      <c r="C1" s="1777"/>
      <c r="D1" s="1773" t="str">
        <f>'Report-SOF1819'!D1</f>
        <v>84th/85th Legislative Session</v>
      </c>
    </row>
    <row r="2" spans="1:12">
      <c r="A2" s="1074" t="s">
        <v>3265</v>
      </c>
      <c r="D2" s="98" t="str">
        <f>'Report-SOF1920'!D2</f>
        <v>Release 2</v>
      </c>
    </row>
    <row r="3" spans="1:12">
      <c r="D3" s="82">
        <f>'Report-SOF1920'!D3</f>
        <v>43145</v>
      </c>
    </row>
    <row r="4" spans="1:12" s="1076" customFormat="1" ht="15.75">
      <c r="A4" s="1075" t="s">
        <v>4607</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3392" t="s">
        <v>4608</v>
      </c>
      <c r="C8" s="3393"/>
      <c r="D8" s="1479" t="e">
        <f>'ASATR-SB1'!M42</f>
        <v>#DIV/0!</v>
      </c>
      <c r="E8" s="961"/>
      <c r="F8" s="961"/>
      <c r="G8" s="961"/>
      <c r="H8" s="961"/>
      <c r="I8" s="961"/>
      <c r="J8" s="961"/>
      <c r="K8" s="961"/>
      <c r="L8" s="961"/>
    </row>
    <row r="9" spans="1:12" s="1076" customFormat="1" ht="18">
      <c r="A9" s="1314" t="s">
        <v>3107</v>
      </c>
      <c r="B9" s="3390"/>
      <c r="C9" s="3391"/>
      <c r="D9" s="1279" t="s">
        <v>3115</v>
      </c>
      <c r="E9" s="961"/>
      <c r="F9" s="961"/>
      <c r="G9" s="961"/>
      <c r="H9" s="961"/>
      <c r="I9" s="961"/>
      <c r="J9" s="961"/>
      <c r="K9" s="961"/>
      <c r="L9" s="961"/>
    </row>
    <row r="10" spans="1:12" s="1076" customFormat="1" ht="18">
      <c r="A10" s="3638" t="s">
        <v>3108</v>
      </c>
      <c r="B10" s="3654"/>
      <c r="C10" s="3639"/>
      <c r="D10" s="1280" t="s">
        <v>3116</v>
      </c>
      <c r="E10" s="961"/>
      <c r="F10" s="961"/>
      <c r="G10" s="961"/>
      <c r="H10" s="961"/>
      <c r="I10" s="961"/>
      <c r="J10" s="961"/>
      <c r="K10" s="961"/>
      <c r="L10" s="961"/>
    </row>
    <row r="11" spans="1:12" s="1076" customFormat="1" ht="15.75">
      <c r="A11" s="1079" t="s">
        <v>2501</v>
      </c>
      <c r="B11" s="1080" t="s">
        <v>3109</v>
      </c>
      <c r="C11" s="1080"/>
      <c r="D11" s="1081">
        <f>'SOF2021-SB1'!F8</f>
        <v>0</v>
      </c>
      <c r="E11" s="961"/>
      <c r="F11" s="961"/>
      <c r="G11" s="961"/>
      <c r="H11" s="961"/>
      <c r="I11" s="961"/>
      <c r="J11" s="961"/>
      <c r="K11" s="961"/>
      <c r="L11" s="961"/>
    </row>
    <row r="12" spans="1:12" s="1076" customFormat="1" ht="15.75">
      <c r="A12" s="1079" t="s">
        <v>2502</v>
      </c>
      <c r="B12" s="1688" t="s">
        <v>3982</v>
      </c>
      <c r="C12" s="1080"/>
      <c r="D12" s="1081">
        <f>'Calc Data-SB1'!G10</f>
        <v>0</v>
      </c>
      <c r="E12" s="961"/>
      <c r="F12" s="961"/>
      <c r="G12" s="961"/>
      <c r="H12" s="961"/>
      <c r="I12" s="961"/>
      <c r="J12" s="961"/>
      <c r="K12" s="961"/>
      <c r="L12" s="961"/>
    </row>
    <row r="13" spans="1:12" s="1076" customFormat="1" ht="15.75">
      <c r="A13" s="1079" t="s">
        <v>2503</v>
      </c>
      <c r="B13" s="1511" t="s">
        <v>4698</v>
      </c>
      <c r="C13" s="1080"/>
      <c r="D13" s="1081">
        <f>'SOF2021-SB1'!F9</f>
        <v>0</v>
      </c>
      <c r="E13" s="961"/>
      <c r="F13" s="961"/>
      <c r="G13" s="961"/>
      <c r="H13" s="961"/>
      <c r="I13" s="961"/>
      <c r="J13" s="961"/>
      <c r="K13" s="961"/>
      <c r="L13" s="961"/>
    </row>
    <row r="14" spans="1:12" s="1076" customFormat="1" ht="15.75">
      <c r="A14" s="1079" t="s">
        <v>1024</v>
      </c>
      <c r="B14" s="1080" t="s">
        <v>932</v>
      </c>
      <c r="C14" s="1080"/>
      <c r="D14" s="1081">
        <f>'SOF2021-SB1'!F10</f>
        <v>0</v>
      </c>
      <c r="E14" s="961"/>
      <c r="F14" s="961"/>
      <c r="G14" s="961"/>
      <c r="H14" s="961"/>
      <c r="I14" s="961"/>
      <c r="J14" s="961"/>
      <c r="K14" s="961"/>
      <c r="L14" s="961"/>
    </row>
    <row r="15" spans="1:12" s="1076" customFormat="1" ht="15.75">
      <c r="A15" s="1079" t="s">
        <v>1025</v>
      </c>
      <c r="B15" s="1080" t="s">
        <v>715</v>
      </c>
      <c r="C15" s="1080"/>
      <c r="D15" s="1081">
        <f>'Data Entry - SOF'!K33</f>
        <v>0</v>
      </c>
      <c r="E15" s="961"/>
      <c r="F15" s="961"/>
      <c r="G15" s="961"/>
      <c r="H15" s="961"/>
      <c r="I15" s="961"/>
      <c r="J15" s="961"/>
      <c r="K15" s="961"/>
      <c r="L15" s="961"/>
    </row>
    <row r="16" spans="1:12" s="1076" customFormat="1" ht="15.75">
      <c r="A16" s="1079" t="s">
        <v>1027</v>
      </c>
      <c r="B16" s="1080" t="s">
        <v>3111</v>
      </c>
      <c r="C16" s="1080"/>
      <c r="D16" s="1081">
        <f>'Data Entry - SOF'!K18</f>
        <v>0</v>
      </c>
      <c r="E16" s="961"/>
      <c r="F16" s="961"/>
      <c r="G16" s="961"/>
      <c r="H16" s="961"/>
      <c r="I16" s="961"/>
      <c r="J16" s="961"/>
      <c r="K16" s="961"/>
      <c r="L16" s="961"/>
    </row>
    <row r="17" spans="1:12" s="1076" customFormat="1" ht="15.75">
      <c r="A17" s="1079" t="s">
        <v>1028</v>
      </c>
      <c r="B17" s="1689" t="s">
        <v>3985</v>
      </c>
      <c r="C17" s="1080"/>
      <c r="D17" s="1081" t="e">
        <f>'Calc Data-SB1'!G25</f>
        <v>#DIV/0!</v>
      </c>
      <c r="E17" s="961"/>
      <c r="F17" s="961"/>
      <c r="G17" s="961"/>
      <c r="H17" s="961"/>
      <c r="I17" s="961"/>
      <c r="J17" s="961"/>
      <c r="K17" s="961"/>
      <c r="L17" s="961"/>
    </row>
    <row r="18" spans="1:12" s="1076" customFormat="1" ht="15.75">
      <c r="A18" s="1079" t="s">
        <v>1029</v>
      </c>
      <c r="B18" s="1080" t="s">
        <v>3112</v>
      </c>
      <c r="C18" s="1080"/>
      <c r="D18" s="1081">
        <f>'Report-SOF1920'!D11</f>
        <v>0</v>
      </c>
      <c r="E18" s="961"/>
      <c r="F18" s="961"/>
      <c r="G18" s="961"/>
      <c r="H18" s="961"/>
      <c r="I18" s="961"/>
      <c r="J18" s="961"/>
      <c r="K18" s="961"/>
      <c r="L18" s="961"/>
    </row>
    <row r="19" spans="1:12" s="1076" customFormat="1" ht="15.75">
      <c r="A19" s="1079" t="s">
        <v>139</v>
      </c>
      <c r="B19" s="1080" t="s">
        <v>3113</v>
      </c>
      <c r="C19" s="1080"/>
      <c r="D19" s="1081">
        <f>'Data Entry - SOF'!K68</f>
        <v>0</v>
      </c>
      <c r="E19" s="961"/>
      <c r="F19" s="961"/>
      <c r="G19" s="961"/>
      <c r="H19" s="961"/>
      <c r="I19" s="961"/>
      <c r="J19" s="961"/>
      <c r="K19" s="961"/>
      <c r="L19" s="961"/>
    </row>
    <row r="20" spans="1:12" s="1076" customFormat="1" ht="15.75">
      <c r="A20" s="1079" t="s">
        <v>140</v>
      </c>
      <c r="B20" s="1080" t="s">
        <v>3114</v>
      </c>
      <c r="C20" s="1080"/>
      <c r="D20" s="1081">
        <f>'Data Entry - SOF'!K67</f>
        <v>0</v>
      </c>
      <c r="E20" s="961"/>
      <c r="F20" s="961"/>
      <c r="G20" s="961"/>
      <c r="H20" s="961"/>
      <c r="I20" s="961"/>
      <c r="J20" s="961"/>
      <c r="K20" s="961"/>
      <c r="L20" s="961"/>
    </row>
    <row r="21" spans="1:12" s="1076" customFormat="1" ht="18">
      <c r="A21" s="3638" t="s">
        <v>3117</v>
      </c>
      <c r="B21" s="3654"/>
      <c r="C21" s="3654"/>
      <c r="D21" s="3639"/>
      <c r="E21" s="961"/>
      <c r="F21" s="961"/>
      <c r="G21" s="961"/>
      <c r="H21" s="961"/>
      <c r="I21" s="961"/>
      <c r="J21" s="961"/>
      <c r="K21" s="961"/>
      <c r="L21" s="961"/>
    </row>
    <row r="22" spans="1:12" s="1076" customFormat="1" ht="15.75">
      <c r="A22" s="1079" t="s">
        <v>141</v>
      </c>
      <c r="B22" s="1080" t="s">
        <v>3118</v>
      </c>
      <c r="C22" s="1080"/>
      <c r="D22" s="1082">
        <f>'Data Entry - SOF'!K44</f>
        <v>0</v>
      </c>
      <c r="E22" s="961"/>
      <c r="F22" s="961"/>
      <c r="G22" s="961"/>
      <c r="H22" s="961"/>
      <c r="I22" s="961"/>
      <c r="J22" s="961"/>
      <c r="K22" s="961"/>
      <c r="L22" s="961"/>
    </row>
    <row r="23" spans="1:12" s="1076" customFormat="1" ht="15.75">
      <c r="A23" s="1079" t="s">
        <v>142</v>
      </c>
      <c r="B23" s="1080" t="s">
        <v>3119</v>
      </c>
      <c r="C23" s="1080"/>
      <c r="D23" s="1082">
        <f>'Data Entry - SOF'!K45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4674</v>
      </c>
      <c r="C25" s="1080"/>
      <c r="D25" s="1224" t="s">
        <v>3450</v>
      </c>
      <c r="E25" s="961"/>
      <c r="F25" s="961"/>
      <c r="G25" s="961"/>
      <c r="H25" s="961"/>
      <c r="I25" s="961"/>
      <c r="J25" s="961"/>
      <c r="K25" s="961"/>
      <c r="L25" s="961"/>
    </row>
    <row r="26" spans="1:12" s="1076" customFormat="1" ht="15.75">
      <c r="A26" s="1079" t="s">
        <v>6</v>
      </c>
      <c r="B26" s="1080" t="s">
        <v>4675</v>
      </c>
      <c r="C26" s="1080"/>
      <c r="D26" s="1083">
        <f>'Data Entry - SOF'!K48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4664</v>
      </c>
      <c r="C29" s="1078"/>
      <c r="D29" s="1084">
        <f>'Data Entry - SOF'!K108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4665</v>
      </c>
      <c r="C31" s="1078"/>
      <c r="D31" s="1084">
        <f>'Data Entry - SOF'!K58</f>
        <v>0</v>
      </c>
      <c r="E31" s="961"/>
      <c r="F31" s="961"/>
      <c r="G31" s="961"/>
      <c r="H31" s="961"/>
      <c r="I31" s="961"/>
      <c r="J31" s="961"/>
      <c r="K31" s="961"/>
      <c r="L31" s="961"/>
    </row>
    <row r="32" spans="1:12" s="1076" customFormat="1" ht="15.75">
      <c r="A32" s="1079" t="s">
        <v>3126</v>
      </c>
      <c r="B32" s="1511" t="s">
        <v>4697</v>
      </c>
      <c r="C32" s="1080"/>
      <c r="D32" s="1085">
        <f>'Data Entry - SOF'!K59</f>
        <v>0</v>
      </c>
      <c r="E32" s="961"/>
      <c r="F32" s="961"/>
      <c r="G32" s="961"/>
      <c r="H32" s="961"/>
      <c r="I32" s="961"/>
      <c r="J32" s="961"/>
      <c r="K32" s="961"/>
      <c r="L32" s="961"/>
    </row>
    <row r="33" spans="1:12" s="1076" customFormat="1" ht="15.75">
      <c r="A33" s="1079" t="s">
        <v>3127</v>
      </c>
      <c r="B33" s="1080" t="s">
        <v>4666</v>
      </c>
      <c r="C33" s="1080"/>
      <c r="D33" s="1085">
        <f>'Data Entry - SOF'!K63</f>
        <v>0</v>
      </c>
      <c r="E33" s="961"/>
      <c r="F33" s="961"/>
      <c r="G33" s="961"/>
      <c r="H33" s="961"/>
      <c r="I33" s="961"/>
      <c r="J33" s="961"/>
      <c r="K33" s="961"/>
      <c r="L33" s="961"/>
    </row>
    <row r="34" spans="1:12" s="1076" customFormat="1" ht="15.75">
      <c r="A34" s="1079" t="s">
        <v>3128</v>
      </c>
      <c r="B34" s="1080" t="s">
        <v>4667</v>
      </c>
      <c r="C34" s="1080"/>
      <c r="D34" s="1085">
        <f>'Data Entry - SOF'!K153</f>
        <v>0</v>
      </c>
      <c r="E34" s="961"/>
      <c r="F34" s="961"/>
      <c r="G34" s="961"/>
      <c r="H34" s="961"/>
      <c r="I34" s="961"/>
      <c r="J34" s="961"/>
      <c r="K34" s="961"/>
      <c r="L34" s="961"/>
    </row>
    <row r="35" spans="1:12" s="1076" customFormat="1" ht="15.75">
      <c r="A35" s="1079" t="s">
        <v>3129</v>
      </c>
      <c r="B35" s="1080" t="s">
        <v>4668</v>
      </c>
      <c r="C35" s="1080"/>
      <c r="D35" s="1085">
        <f>'Data Entry - SOF'!K69</f>
        <v>0</v>
      </c>
      <c r="E35" s="961"/>
      <c r="F35" s="961"/>
      <c r="G35" s="961"/>
      <c r="H35" s="961"/>
      <c r="I35" s="961"/>
      <c r="J35" s="961"/>
      <c r="K35" s="961"/>
      <c r="L35" s="961"/>
    </row>
    <row r="36" spans="1:12" s="1076" customFormat="1" ht="18">
      <c r="A36" s="3638" t="s">
        <v>3130</v>
      </c>
      <c r="B36" s="3654"/>
      <c r="C36" s="3654"/>
      <c r="D36" s="3639"/>
      <c r="E36" s="961"/>
      <c r="F36" s="961"/>
      <c r="G36" s="961"/>
      <c r="H36" s="961"/>
      <c r="I36" s="961"/>
      <c r="J36" s="961"/>
      <c r="K36" s="961"/>
      <c r="L36" s="961"/>
    </row>
    <row r="37" spans="1:12" s="1076" customFormat="1" ht="15.75">
      <c r="A37" s="1301" t="s">
        <v>3131</v>
      </c>
      <c r="B37" s="2131" t="s">
        <v>4699</v>
      </c>
      <c r="C37" s="1099"/>
      <c r="D37" s="1807">
        <f>'Calc Data-SB1'!AR23</f>
        <v>0</v>
      </c>
      <c r="E37" s="961"/>
      <c r="F37" s="961"/>
      <c r="G37" s="961"/>
      <c r="H37" s="961"/>
      <c r="I37" s="961"/>
      <c r="J37" s="961"/>
      <c r="K37" s="961"/>
      <c r="L37" s="961"/>
    </row>
    <row r="38" spans="1:12" s="1076" customFormat="1" ht="15.75">
      <c r="A38" s="1079" t="s">
        <v>3132</v>
      </c>
      <c r="B38" s="1080" t="s">
        <v>3136</v>
      </c>
      <c r="C38" s="1080"/>
      <c r="D38" s="1197" t="e">
        <f>'ASATR-SB1'!M46</f>
        <v>#DIV/0!</v>
      </c>
      <c r="E38" s="961"/>
      <c r="F38" s="961"/>
      <c r="G38" s="961"/>
      <c r="H38" s="961"/>
      <c r="I38" s="961"/>
      <c r="J38" s="961"/>
      <c r="K38" s="961"/>
      <c r="L38" s="961"/>
    </row>
    <row r="39" spans="1:12" s="1076" customFormat="1" ht="15.75">
      <c r="A39" s="1079" t="s">
        <v>3133</v>
      </c>
      <c r="B39" s="1080" t="s">
        <v>3183</v>
      </c>
      <c r="C39" s="1080"/>
      <c r="D39" s="1086">
        <f>'Data Entry - SOF'!K112</f>
        <v>0</v>
      </c>
      <c r="E39" s="961"/>
      <c r="F39" s="961"/>
      <c r="G39" s="961"/>
      <c r="H39" s="961"/>
      <c r="I39" s="961"/>
      <c r="J39" s="961"/>
      <c r="K39" s="961"/>
      <c r="L39" s="961"/>
    </row>
    <row r="40" spans="1:12" s="1076" customFormat="1" ht="15.75">
      <c r="A40" s="1079" t="s">
        <v>3134</v>
      </c>
      <c r="B40" s="1080" t="s">
        <v>3137</v>
      </c>
      <c r="C40" s="1080"/>
      <c r="D40" s="1086">
        <f>'Calc Data-SB1'!G59</f>
        <v>0</v>
      </c>
      <c r="E40" s="961"/>
      <c r="F40" s="961"/>
      <c r="G40" s="961"/>
      <c r="H40" s="961"/>
      <c r="I40" s="961"/>
      <c r="J40" s="961"/>
      <c r="K40" s="961"/>
      <c r="L40" s="961"/>
    </row>
    <row r="41" spans="1:12" s="1076" customFormat="1" ht="15.75">
      <c r="A41" s="1079" t="s">
        <v>3135</v>
      </c>
      <c r="B41" s="1080" t="s">
        <v>3138</v>
      </c>
      <c r="C41" s="1080"/>
      <c r="D41" s="1087">
        <f>Assumptions!G132</f>
        <v>375</v>
      </c>
      <c r="E41" s="961"/>
      <c r="F41" s="961"/>
      <c r="G41" s="961"/>
      <c r="H41" s="961"/>
      <c r="I41" s="961"/>
      <c r="J41" s="961"/>
      <c r="K41" s="961"/>
      <c r="L41" s="961"/>
    </row>
    <row r="42" spans="1:12" s="1076" customFormat="1" ht="18">
      <c r="A42" s="3638" t="s">
        <v>3139</v>
      </c>
      <c r="B42" s="3654"/>
      <c r="C42" s="3654"/>
      <c r="D42" s="3639"/>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'SOF2021-SB1'!H21</f>
        <v>0</v>
      </c>
      <c r="E44" s="961"/>
      <c r="F44" s="961"/>
      <c r="G44" s="961"/>
      <c r="H44" s="961"/>
      <c r="I44" s="961"/>
      <c r="J44" s="961"/>
      <c r="K44" s="961"/>
      <c r="L44" s="961"/>
    </row>
    <row r="45" spans="1:12" s="1076" customFormat="1" ht="15.75">
      <c r="A45" s="1079" t="s">
        <v>3141</v>
      </c>
      <c r="B45" s="1080" t="s">
        <v>3746</v>
      </c>
      <c r="C45" s="1080"/>
      <c r="D45" s="1085">
        <f>'SOF2021-SB1'!H132</f>
        <v>0</v>
      </c>
      <c r="E45" s="961"/>
      <c r="F45" s="961"/>
      <c r="G45" s="961"/>
      <c r="H45" s="961"/>
      <c r="I45" s="961"/>
      <c r="J45" s="961"/>
      <c r="K45" s="961"/>
      <c r="L45" s="961"/>
    </row>
    <row r="46" spans="1:12" s="1076" customFormat="1" ht="15.75">
      <c r="A46" s="1079" t="s">
        <v>3142</v>
      </c>
      <c r="B46" s="1080" t="s">
        <v>3747</v>
      </c>
      <c r="C46" s="1080"/>
      <c r="D46" s="1085">
        <f>'SOF2021-SB1'!H133</f>
        <v>0</v>
      </c>
      <c r="E46" s="961"/>
      <c r="F46" s="961"/>
      <c r="G46" s="961"/>
      <c r="H46" s="961"/>
      <c r="I46" s="961"/>
      <c r="J46" s="961"/>
      <c r="K46" s="961"/>
      <c r="L46" s="961"/>
    </row>
    <row r="47" spans="1:12" s="1076" customFormat="1" ht="15.75">
      <c r="A47" s="1079" t="s">
        <v>3143</v>
      </c>
      <c r="B47" s="1080" t="s">
        <v>3748</v>
      </c>
      <c r="C47" s="1080"/>
      <c r="D47" s="1085">
        <f>'SOF2021-SB1'!H134</f>
        <v>0</v>
      </c>
      <c r="E47" s="961"/>
      <c r="F47" s="961"/>
      <c r="G47" s="961"/>
      <c r="H47" s="961"/>
      <c r="I47" s="961"/>
      <c r="J47" s="961"/>
      <c r="K47" s="961"/>
      <c r="L47" s="961"/>
    </row>
    <row r="48" spans="1:12" s="1076" customFormat="1" ht="15.75">
      <c r="A48" s="1079" t="s">
        <v>3144</v>
      </c>
      <c r="B48" s="1080" t="s">
        <v>3750</v>
      </c>
      <c r="C48" s="1080"/>
      <c r="D48" s="1085">
        <f>'SOF2021-SB1'!H135</f>
        <v>0</v>
      </c>
      <c r="E48" s="961"/>
      <c r="F48" s="961"/>
      <c r="G48" s="961"/>
      <c r="H48" s="961"/>
      <c r="I48" s="961"/>
      <c r="J48" s="961"/>
      <c r="K48" s="961"/>
      <c r="L48" s="961"/>
    </row>
    <row r="49" spans="1:12" s="1076" customFormat="1" ht="15.75">
      <c r="A49" s="1079" t="s">
        <v>3145</v>
      </c>
      <c r="B49" s="1080" t="s">
        <v>3749</v>
      </c>
      <c r="C49" s="1080"/>
      <c r="D49" s="1085">
        <f>'SOF2021-SB1'!H39</f>
        <v>0</v>
      </c>
      <c r="E49" s="961"/>
      <c r="F49" s="961"/>
      <c r="G49" s="961"/>
      <c r="H49" s="961"/>
      <c r="I49" s="961"/>
      <c r="J49" s="961"/>
      <c r="K49" s="961"/>
      <c r="L49" s="961"/>
    </row>
    <row r="50" spans="1:12" s="1076" customFormat="1" ht="15.75">
      <c r="A50" s="1079" t="s">
        <v>3146</v>
      </c>
      <c r="B50" s="1080" t="s">
        <v>3162</v>
      </c>
      <c r="C50" s="1080"/>
      <c r="D50" s="1085">
        <f>'SOF2021-SB1'!H41</f>
        <v>0</v>
      </c>
      <c r="E50" s="961"/>
      <c r="F50" s="961"/>
      <c r="G50" s="961"/>
      <c r="H50" s="961"/>
      <c r="I50" s="961"/>
      <c r="J50" s="961"/>
      <c r="K50" s="961"/>
      <c r="L50" s="961"/>
    </row>
    <row r="51" spans="1:12" s="1076" customFormat="1" ht="15.75">
      <c r="A51" s="1079" t="s">
        <v>3147</v>
      </c>
      <c r="B51" s="1080" t="s">
        <v>3173</v>
      </c>
      <c r="C51" s="1080"/>
      <c r="D51" s="1085">
        <f>'SOF2021-SB1'!H42</f>
        <v>0</v>
      </c>
      <c r="E51" s="961"/>
      <c r="F51" s="961"/>
      <c r="G51" s="961"/>
      <c r="H51" s="961"/>
      <c r="I51" s="961"/>
      <c r="J51" s="961"/>
      <c r="K51" s="961"/>
      <c r="L51" s="961"/>
    </row>
    <row r="52" spans="1:12" s="1076" customFormat="1" ht="15.75">
      <c r="A52" s="1079" t="s">
        <v>3148</v>
      </c>
      <c r="B52" s="1080" t="s">
        <v>3751</v>
      </c>
      <c r="C52" s="1080"/>
      <c r="D52" s="1085">
        <f>'SOF2021-SB1'!H43</f>
        <v>0</v>
      </c>
      <c r="E52" s="961"/>
      <c r="F52" s="961"/>
      <c r="G52" s="961"/>
      <c r="H52" s="961"/>
      <c r="I52" s="961"/>
      <c r="J52" s="961"/>
      <c r="K52" s="961"/>
      <c r="L52" s="961"/>
    </row>
    <row r="53" spans="1:12" s="1076" customFormat="1" ht="15.75">
      <c r="A53" s="1079" t="s">
        <v>3149</v>
      </c>
      <c r="B53" s="1080" t="s">
        <v>3164</v>
      </c>
      <c r="C53" s="1080"/>
      <c r="D53" s="1085">
        <f>'SOF2021-SB1'!H40</f>
        <v>0</v>
      </c>
      <c r="E53" s="961"/>
      <c r="F53" s="961"/>
      <c r="G53" s="961"/>
      <c r="H53" s="961"/>
      <c r="I53" s="961"/>
      <c r="J53" s="961"/>
      <c r="K53" s="961"/>
      <c r="L53" s="961"/>
    </row>
    <row r="54" spans="1:12" s="1076" customFormat="1" ht="15.75">
      <c r="A54" s="1079" t="s">
        <v>3150</v>
      </c>
      <c r="B54" s="1511" t="s">
        <v>4700</v>
      </c>
      <c r="C54" s="1080"/>
      <c r="D54" s="1085">
        <f>'SOF2021-SB1'!H44</f>
        <v>0</v>
      </c>
      <c r="E54" s="961"/>
      <c r="F54" s="961"/>
      <c r="G54" s="961"/>
      <c r="H54" s="961"/>
      <c r="I54" s="961"/>
      <c r="J54" s="961"/>
      <c r="K54" s="961"/>
      <c r="L54" s="961"/>
    </row>
    <row r="55" spans="1:12" s="1076" customFormat="1" ht="15.75">
      <c r="A55" s="1079" t="s">
        <v>3151</v>
      </c>
      <c r="B55" s="1080" t="s">
        <v>3165</v>
      </c>
      <c r="C55" s="1080"/>
      <c r="D55" s="1085">
        <f>'SOF2021-SB1'!H45</f>
        <v>0</v>
      </c>
      <c r="E55" s="961"/>
      <c r="F55" s="961"/>
      <c r="G55" s="961"/>
      <c r="H55" s="961"/>
      <c r="I55" s="961"/>
      <c r="J55" s="961"/>
      <c r="K55" s="961"/>
      <c r="L55" s="961"/>
    </row>
    <row r="56" spans="1:12" s="1076" customFormat="1" ht="15.75">
      <c r="A56" s="1079" t="s">
        <v>3152</v>
      </c>
      <c r="B56" s="1080" t="s">
        <v>889</v>
      </c>
      <c r="C56" s="1080"/>
      <c r="D56" s="1085">
        <f>'SOF2021-SB1'!H46</f>
        <v>0</v>
      </c>
      <c r="E56" s="961"/>
      <c r="F56" s="961"/>
      <c r="G56" s="961"/>
      <c r="H56" s="961"/>
      <c r="I56" s="961"/>
      <c r="J56" s="961"/>
      <c r="K56" s="961"/>
      <c r="L56" s="961"/>
    </row>
    <row r="57" spans="1:12" s="1076" customFormat="1" ht="15.75">
      <c r="A57" s="1079" t="s">
        <v>3153</v>
      </c>
      <c r="B57" s="1080" t="s">
        <v>3166</v>
      </c>
      <c r="C57" s="1080"/>
      <c r="D57" s="1085">
        <f>'SOF2021-SB1'!H76</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f>'SOF2021-SB1'!H49</f>
        <v>0</v>
      </c>
      <c r="E60" s="961"/>
      <c r="F60" s="961"/>
      <c r="G60" s="961"/>
      <c r="H60" s="961"/>
      <c r="I60" s="961"/>
      <c r="J60" s="961"/>
      <c r="K60" s="961"/>
      <c r="L60" s="961"/>
    </row>
    <row r="61" spans="1:12" s="1076" customFormat="1" ht="15.75">
      <c r="A61" s="1079" t="s">
        <v>3155</v>
      </c>
      <c r="B61" s="1513" t="s">
        <v>4701</v>
      </c>
      <c r="C61" s="1080"/>
      <c r="D61" s="1085" t="e">
        <f>'SOF2021-SB1'!H54</f>
        <v>#DIV/0!</v>
      </c>
      <c r="E61" s="961"/>
      <c r="F61" s="961"/>
      <c r="G61" s="961"/>
      <c r="H61" s="961"/>
      <c r="I61" s="961"/>
      <c r="J61" s="961"/>
      <c r="K61" s="961"/>
      <c r="L61" s="961"/>
    </row>
    <row r="62" spans="1:12" s="1076" customFormat="1" ht="15.75">
      <c r="A62" s="1079" t="s">
        <v>3156</v>
      </c>
      <c r="B62" s="1511" t="s">
        <v>4702</v>
      </c>
      <c r="C62" s="1080"/>
      <c r="D62" s="1085" t="e">
        <f>'Report-Other2021'!D26</f>
        <v>#DIV/0!</v>
      </c>
      <c r="E62" s="961" t="s">
        <v>4711</v>
      </c>
      <c r="F62" s="961"/>
      <c r="G62" s="961"/>
      <c r="H62" s="961"/>
      <c r="I62" s="961"/>
      <c r="J62" s="961"/>
      <c r="K62" s="961"/>
      <c r="L62" s="961"/>
    </row>
    <row r="63" spans="1:12" s="1076" customFormat="1" ht="15.75">
      <c r="A63" s="1079" t="s">
        <v>3157</v>
      </c>
      <c r="B63" s="1080" t="str">
        <f>CONCATENATE("Less: Total Available School Fund ($",Assumptions!G123," * Prior Year ADA)")</f>
        <v>Less: Total Available School Fund ($200 * Prior Year ADA)</v>
      </c>
      <c r="C63" s="1080"/>
      <c r="D63" s="1085">
        <f>'SOF2021-SB1'!H71</f>
        <v>0</v>
      </c>
      <c r="E63" s="961"/>
      <c r="F63" s="961"/>
      <c r="G63" s="961"/>
      <c r="H63" s="961"/>
      <c r="I63" s="961"/>
      <c r="J63" s="961"/>
      <c r="K63" s="961"/>
      <c r="L63" s="961"/>
    </row>
    <row r="64" spans="1:12" s="1076" customFormat="1" ht="15.75">
      <c r="A64" s="1079" t="s">
        <v>3158</v>
      </c>
      <c r="B64" s="1080" t="s">
        <v>3168</v>
      </c>
      <c r="C64" s="1080"/>
      <c r="D64" s="1085" t="e">
        <f>'SOF2021-SB1'!H75+'HH2021-Calcs'!D26</f>
        <v>#DIV/0!</v>
      </c>
      <c r="E64" s="961"/>
      <c r="F64" s="961"/>
      <c r="G64" s="961"/>
      <c r="H64" s="961"/>
      <c r="I64" s="961"/>
      <c r="J64" s="961"/>
      <c r="K64" s="961"/>
      <c r="L64" s="961"/>
    </row>
    <row r="65" spans="1:12" s="1076" customFormat="1" ht="18">
      <c r="A65" s="3638" t="s">
        <v>3174</v>
      </c>
      <c r="B65" s="3654"/>
      <c r="C65" s="3654"/>
      <c r="D65" s="3639"/>
      <c r="E65" s="961"/>
      <c r="F65" s="961"/>
      <c r="G65" s="961"/>
      <c r="H65" s="961"/>
      <c r="I65" s="961"/>
      <c r="J65" s="961"/>
      <c r="K65" s="961"/>
      <c r="L65" s="961"/>
    </row>
    <row r="66" spans="1:12" s="1076" customFormat="1" ht="18">
      <c r="A66" s="3654"/>
      <c r="B66" s="3660" t="s">
        <v>3182</v>
      </c>
      <c r="C66" s="3654"/>
      <c r="D66" s="3639"/>
      <c r="E66" s="961"/>
      <c r="F66" s="961"/>
      <c r="G66" s="961"/>
      <c r="H66" s="961"/>
      <c r="I66" s="961"/>
      <c r="J66" s="961"/>
      <c r="K66" s="961"/>
      <c r="L66" s="961"/>
    </row>
    <row r="67" spans="1:12" s="1076" customFormat="1" ht="15.75">
      <c r="A67" s="1079" t="s">
        <v>3175</v>
      </c>
      <c r="B67" s="1080" t="s">
        <v>3181</v>
      </c>
      <c r="C67" s="1080"/>
      <c r="D67" s="1085" t="e">
        <f>'SOF2021-SB1'!H75+'HH2021-Calcs'!D26</f>
        <v>#DIV/0!</v>
      </c>
      <c r="E67" s="961"/>
      <c r="F67" s="961"/>
      <c r="G67" s="961"/>
      <c r="H67" s="961"/>
      <c r="I67" s="961"/>
      <c r="J67" s="961"/>
      <c r="K67" s="961"/>
      <c r="L67" s="961"/>
    </row>
    <row r="68" spans="1:12" s="1076" customFormat="1" ht="15.75">
      <c r="A68" s="1079" t="s">
        <v>3176</v>
      </c>
      <c r="B68" s="1080" t="s">
        <v>3484</v>
      </c>
      <c r="C68" s="1080"/>
      <c r="D68" s="1085">
        <f>'SOF2021-SB1'!H76</f>
        <v>0</v>
      </c>
      <c r="E68" s="961"/>
      <c r="F68" s="961"/>
      <c r="G68" s="961"/>
      <c r="H68" s="961"/>
      <c r="I68" s="961"/>
      <c r="J68" s="961"/>
      <c r="K68" s="961"/>
      <c r="L68" s="961"/>
    </row>
    <row r="69" spans="1:12" s="1076" customFormat="1" ht="15.75">
      <c r="A69" s="1079" t="s">
        <v>3177</v>
      </c>
      <c r="B69" s="1513" t="s">
        <v>4703</v>
      </c>
      <c r="C69" s="1080"/>
      <c r="D69" s="1085">
        <f>'Existing Debt'!O74</f>
        <v>0</v>
      </c>
      <c r="E69" s="961"/>
      <c r="F69" s="961"/>
      <c r="G69" s="961"/>
      <c r="H69" s="961"/>
      <c r="I69" s="961"/>
      <c r="J69" s="961"/>
      <c r="K69" s="961"/>
      <c r="L69" s="961"/>
    </row>
    <row r="70" spans="1:12" s="1076" customFormat="1" ht="15.75">
      <c r="A70" s="1079" t="s">
        <v>3178</v>
      </c>
      <c r="B70" s="1511" t="s">
        <v>4704</v>
      </c>
      <c r="C70" s="1080"/>
      <c r="D70" s="1085">
        <f>IFA!X86</f>
        <v>0</v>
      </c>
      <c r="E70" s="961"/>
      <c r="F70" s="961"/>
      <c r="G70" s="961"/>
      <c r="H70" s="961"/>
      <c r="I70" s="961"/>
      <c r="J70" s="961"/>
      <c r="K70" s="961"/>
      <c r="L70" s="961"/>
    </row>
    <row r="71" spans="1:12" s="1076" customFormat="1" ht="15.75">
      <c r="A71" s="1079" t="s">
        <v>3179</v>
      </c>
      <c r="B71" s="1690" t="s">
        <v>3992</v>
      </c>
      <c r="C71" s="1080"/>
      <c r="D71" s="1085">
        <f>IFA!Z86</f>
        <v>0</v>
      </c>
      <c r="E71" s="961"/>
      <c r="F71" s="961"/>
      <c r="G71" s="961"/>
      <c r="H71" s="961"/>
      <c r="I71" s="961"/>
      <c r="J71" s="961"/>
      <c r="K71" s="961"/>
      <c r="L71" s="961"/>
    </row>
    <row r="72" spans="1:12" s="1076" customFormat="1" ht="15.75">
      <c r="A72" s="1079" t="s">
        <v>3180</v>
      </c>
      <c r="B72" s="1080" t="s">
        <v>4746</v>
      </c>
      <c r="C72" s="1080"/>
      <c r="D72" s="1085" t="e">
        <f>'HH2021-Calcs'!C51</f>
        <v>#DIV/0!</v>
      </c>
      <c r="E72" s="961"/>
      <c r="F72" s="961"/>
      <c r="G72" s="961"/>
      <c r="H72" s="961"/>
      <c r="I72" s="961"/>
      <c r="J72" s="961"/>
      <c r="K72" s="961"/>
      <c r="L72" s="961"/>
    </row>
    <row r="73" spans="1:12" s="1076" customFormat="1" ht="18">
      <c r="A73" s="1254" t="s">
        <v>3320</v>
      </c>
      <c r="B73" s="3404" t="s">
        <v>4669</v>
      </c>
      <c r="C73" s="3665"/>
      <c r="D73" s="3677" t="e">
        <f>'SOF2021-SB1'!H81+'HH2021-Calcs'!D26+D72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1512" t="s">
        <v>4705</v>
      </c>
      <c r="C75" s="3644"/>
      <c r="D75" s="3644"/>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'SOF2021-SB1'!H89+'HH2021-Calcs'!D26</f>
        <v>#DIV/0!</v>
      </c>
    </row>
    <row r="81" spans="1:5" ht="15.75">
      <c r="A81" s="1519" t="s">
        <v>3810</v>
      </c>
      <c r="B81" s="1518" t="s">
        <v>3263</v>
      </c>
      <c r="C81" s="1526"/>
      <c r="D81" s="1118" t="e">
        <f>'SOF2021-SB1'!H90</f>
        <v>#DIV/0!</v>
      </c>
    </row>
    <row r="82" spans="1:5" ht="15.75">
      <c r="A82" s="1519" t="s">
        <v>3811</v>
      </c>
      <c r="B82" s="1518" t="s">
        <v>3823</v>
      </c>
      <c r="C82" s="1078"/>
      <c r="D82" s="1118" t="e">
        <f>'SOF2021-SB1'!H91</f>
        <v>#DIV/0!</v>
      </c>
    </row>
    <row r="83" spans="1:5" ht="15.75">
      <c r="A83" s="1519" t="s">
        <v>3812</v>
      </c>
      <c r="B83" s="1518" t="s">
        <v>3824</v>
      </c>
      <c r="C83" s="1078"/>
      <c r="D83" s="1118" t="e">
        <f>'SOF2021-SB1'!H92</f>
        <v>#DIV/0!</v>
      </c>
    </row>
    <row r="84" spans="1:5" ht="15.75">
      <c r="A84" s="1519" t="s">
        <v>3813</v>
      </c>
      <c r="B84" s="1518" t="s">
        <v>3499</v>
      </c>
      <c r="C84" s="1078"/>
      <c r="D84" s="2549">
        <f>'Data Entry - SOF'!K96*-1</f>
        <v>0</v>
      </c>
    </row>
    <row r="85" spans="1:5" ht="15.75">
      <c r="A85" s="1519" t="s">
        <v>3814</v>
      </c>
      <c r="B85" s="1527" t="s">
        <v>4670</v>
      </c>
      <c r="C85" s="1078"/>
      <c r="D85" s="1118" t="e">
        <f>'SOF2021-SB1'!H93+'HH2021-Calcs'!D26</f>
        <v>#DIV/0!</v>
      </c>
    </row>
    <row r="86" spans="1:5" ht="15.75">
      <c r="A86" s="1519" t="s">
        <v>3815</v>
      </c>
      <c r="B86" s="1528" t="s">
        <v>3264</v>
      </c>
      <c r="C86" s="1078"/>
      <c r="D86" s="1118" t="e">
        <f>'SOF2021-SB1'!H94</f>
        <v>#DIV/0!</v>
      </c>
    </row>
    <row r="87" spans="1:5" ht="16.5" thickBot="1">
      <c r="A87" s="1520" t="s">
        <v>3816</v>
      </c>
      <c r="B87" s="1529" t="s">
        <v>4671</v>
      </c>
      <c r="C87" s="1517"/>
      <c r="D87" s="1188" t="e">
        <f>'SOF2021-SB1'!H95+'HH2021-Calcs'!D26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$",Assumptions!G121," Level")</f>
        <v>Recapture at the $514000 Level</v>
      </c>
      <c r="C91" s="1521"/>
      <c r="D91" s="1118" t="e">
        <f>'ASATR-SB1'!M39</f>
        <v>#DIV/0!</v>
      </c>
    </row>
    <row r="92" spans="1:5" ht="15">
      <c r="A92" s="1519" t="s">
        <v>3818</v>
      </c>
      <c r="B92" s="1523" t="str">
        <f>CONCATENATE("Recapture at the $",Assumptions!G71," Level")</f>
        <v>Recapture at the $319500 Level</v>
      </c>
      <c r="C92" s="1521"/>
      <c r="D92" s="1118" t="e">
        <f>IF('Report-Recapture2021'!G141="Y",MIN('Report-Recapture2021'!C141,'Report-Recapture2021'!E141),MAX('Report-Recapture2021'!C141,'Report-Recapture2021'!E141))</f>
        <v>#DIV/0!</v>
      </c>
    </row>
    <row r="93" spans="1:5" ht="15.75">
      <c r="A93" s="1519" t="s">
        <v>3819</v>
      </c>
      <c r="B93" t="s">
        <v>7760</v>
      </c>
      <c r="C93" s="1521"/>
      <c r="D93" s="1239" t="e">
        <f>D91+D92</f>
        <v>#DIV/0!</v>
      </c>
    </row>
    <row r="94" spans="1:5" ht="15">
      <c r="A94" s="1519" t="s">
        <v>3820</v>
      </c>
      <c r="B94" s="1523" t="s">
        <v>3487</v>
      </c>
      <c r="C94" s="1521"/>
      <c r="D94" s="2550">
        <f>'Data Entry - SOF'!K96</f>
        <v>0</v>
      </c>
    </row>
    <row r="95" spans="1:5" ht="16.5" thickBot="1">
      <c r="A95" s="1520" t="s">
        <v>3821</v>
      </c>
      <c r="B95" s="3399" t="s">
        <v>7759</v>
      </c>
      <c r="C95" s="1522"/>
      <c r="D95" s="1188" t="e">
        <f>D93+D94</f>
        <v>#DIV/0!</v>
      </c>
    </row>
    <row r="96" spans="1:5" ht="13.5"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4613</v>
      </c>
    </row>
    <row r="6" spans="1:5" ht="15.75">
      <c r="A6" s="1830"/>
      <c r="B6" s="1817" t="s">
        <v>3268</v>
      </c>
      <c r="C6" s="1836" t="s">
        <v>4522</v>
      </c>
      <c r="D6" s="1836" t="s">
        <v>4523</v>
      </c>
      <c r="E6" s="1836" t="s">
        <v>4467</v>
      </c>
    </row>
    <row r="7" spans="1:5" ht="15">
      <c r="A7" s="1816">
        <v>1</v>
      </c>
      <c r="B7" s="1831" t="s">
        <v>4609</v>
      </c>
      <c r="C7" s="1085">
        <f>'Data Entry - SOF'!K48</f>
        <v>0</v>
      </c>
      <c r="D7" s="1085">
        <f>'Data Entry - SOF'!K50</f>
        <v>0</v>
      </c>
      <c r="E7" s="1085">
        <f t="shared" ref="E7:E14" si="0">C7-D7</f>
        <v>0</v>
      </c>
    </row>
    <row r="8" spans="1:5" ht="15">
      <c r="A8" s="1816">
        <v>2</v>
      </c>
      <c r="B8" s="1831" t="s">
        <v>4610</v>
      </c>
      <c r="C8" s="1103">
        <f>'Data Entry - SOF'!K58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4611</v>
      </c>
      <c r="C10" s="1197">
        <f>'Data Entry - SOF'!K59+'Data Entry - SOF'!K60</f>
        <v>0</v>
      </c>
      <c r="D10" s="1197" t="e">
        <f>(('Data Entry - SOF'!K59-IFA!AA79)*(D7/C7))+IFA!AA79+'Data Entry - SOF'!K60</f>
        <v>#DIV/0!</v>
      </c>
      <c r="E10" s="1085" t="e">
        <f t="shared" si="0"/>
        <v>#DIV/0!</v>
      </c>
    </row>
    <row r="11" spans="1:5" s="1076" customFormat="1" ht="15">
      <c r="A11" s="1816">
        <v>5</v>
      </c>
      <c r="B11" s="1831" t="s">
        <v>4612</v>
      </c>
      <c r="C11" s="1197" t="e">
        <f>C10*IF(C8&lt;C9,1,C9/C8)</f>
        <v>#DIV/0!</v>
      </c>
      <c r="D11" s="1197" t="e">
        <f>D10*IF(D8&lt;D9,1,D9/D8)</f>
        <v>#DIV/0!</v>
      </c>
      <c r="E11" s="1085" t="e">
        <f t="shared" si="0"/>
        <v>#DIV/0!</v>
      </c>
    </row>
    <row r="12" spans="1:5" s="1076" customFormat="1" ht="15">
      <c r="A12" s="1816">
        <v>6</v>
      </c>
      <c r="B12" s="1831" t="s">
        <v>576</v>
      </c>
      <c r="C12" s="1085">
        <f>'SOF2021-SB1'!H44</f>
        <v>0</v>
      </c>
      <c r="D12" s="1085">
        <f>'SOF2021-SB1'!M44</f>
        <v>0</v>
      </c>
      <c r="E12" s="1085">
        <f t="shared" si="0"/>
        <v>0</v>
      </c>
    </row>
    <row r="13" spans="1:5" s="1076" customFormat="1" ht="15">
      <c r="A13" s="1816">
        <v>7</v>
      </c>
      <c r="B13" s="1831" t="s">
        <v>4533</v>
      </c>
      <c r="C13" s="1085">
        <f>'SOF2021-SB1'!H45</f>
        <v>0</v>
      </c>
      <c r="D13" s="1085">
        <f>'SOF2021-SB1'!M45</f>
        <v>0</v>
      </c>
      <c r="E13" s="1085">
        <f t="shared" si="0"/>
        <v>0</v>
      </c>
    </row>
    <row r="14" spans="1:5" s="1076" customFormat="1" ht="15">
      <c r="A14" s="1816">
        <v>8</v>
      </c>
      <c r="B14" s="1831" t="s">
        <v>4528</v>
      </c>
      <c r="C14" s="1085">
        <f>'SOF2021-SB1'!H49</f>
        <v>0</v>
      </c>
      <c r="D14" s="1085">
        <f>'SOF2021-SB1'!M49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'SOF2021-SB1'!K52</f>
        <v>#DIV/0!</v>
      </c>
      <c r="D17" s="1085" t="e">
        <f>'SOF2021-SB1'!M52</f>
        <v>#DIV/0!</v>
      </c>
      <c r="E17" s="1085" t="e">
        <f>C17-D17</f>
        <v>#DIV/0!</v>
      </c>
    </row>
    <row r="18" spans="1:5" s="1076" customFormat="1" ht="15">
      <c r="A18" s="1816">
        <v>11</v>
      </c>
      <c r="B18" s="1831" t="s">
        <v>4535</v>
      </c>
      <c r="C18" s="1085" t="e">
        <f>'SOF2021-SB1'!K53</f>
        <v>#DIV/0!</v>
      </c>
      <c r="D18" s="1085" t="e">
        <f>'SOF2021-SB1'!M53</f>
        <v>#DIV/0!</v>
      </c>
      <c r="E18" s="1085" t="e">
        <f>C18-D18</f>
        <v>#DIV/0!</v>
      </c>
    </row>
    <row r="19" spans="1:5" s="1076" customFormat="1" ht="15">
      <c r="A19" s="1816">
        <v>12</v>
      </c>
      <c r="B19" s="1831" t="s">
        <v>7111</v>
      </c>
      <c r="C19" s="1085">
        <f>IFA!Z86</f>
        <v>0</v>
      </c>
      <c r="D19" s="1085">
        <f>IFA!AA86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Costs-ASATR'!AI57="Y",'Option Costs-ASATR'!AK106,'Option Costs-ASATR'!AO106)</f>
        <v>#DIV/0!</v>
      </c>
      <c r="D21" s="1085" t="e">
        <f>IF('Option Costs-15K-ASATR'!AI57="Y",'Option Costs-15K-ASATR'!AK106,'Option Costs-15K-ASATR'!AO106)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67" t="s">
        <v>4614</v>
      </c>
    </row>
    <row r="33" spans="1:3" ht="15.75">
      <c r="A33" s="1829"/>
      <c r="B33" s="1817" t="s">
        <v>3268</v>
      </c>
      <c r="C33" s="1834"/>
    </row>
    <row r="34" spans="1:3" ht="15">
      <c r="A34" s="1816">
        <v>1</v>
      </c>
      <c r="B34" s="1819" t="s">
        <v>4615</v>
      </c>
      <c r="C34" s="1085">
        <f>'Data Entry - SOF'!K53</f>
        <v>0</v>
      </c>
    </row>
    <row r="35" spans="1:3" ht="15">
      <c r="A35" s="1816">
        <v>2</v>
      </c>
      <c r="B35" s="1819" t="s">
        <v>4737</v>
      </c>
      <c r="C35" s="1085">
        <f>'Data Entry - SOF'!K55</f>
        <v>0</v>
      </c>
    </row>
    <row r="36" spans="1:3" ht="15">
      <c r="A36" s="1816">
        <v>3</v>
      </c>
      <c r="B36" s="1819" t="s">
        <v>4580</v>
      </c>
      <c r="C36" s="1085">
        <f>'Data Entry - SOF'!K74</f>
        <v>0</v>
      </c>
    </row>
    <row r="37" spans="1:3" ht="15.75">
      <c r="A37" s="1832"/>
      <c r="B37" s="1820" t="s">
        <v>4726</v>
      </c>
      <c r="C37" s="1834"/>
    </row>
    <row r="38" spans="1:3" ht="15">
      <c r="A38" s="1816">
        <v>4</v>
      </c>
      <c r="B38" s="2237" t="s">
        <v>4516</v>
      </c>
      <c r="C38" s="1085">
        <f>IFA!X86</f>
        <v>0</v>
      </c>
    </row>
    <row r="39" spans="1:3" ht="15">
      <c r="A39" s="1816">
        <v>5</v>
      </c>
      <c r="B39" s="2237" t="s">
        <v>4517</v>
      </c>
      <c r="C39" s="1085">
        <f>'Existing Debt'!O74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IFA!Y86</f>
        <v>0</v>
      </c>
    </row>
    <row r="45" spans="1:3" ht="15">
      <c r="A45" s="1816">
        <v>10</v>
      </c>
      <c r="B45" s="2237" t="s">
        <v>4519</v>
      </c>
      <c r="C45" s="1085">
        <f>'Existing Debt'!P74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SOF'!K63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79998168889431442"/>
  </sheetPr>
  <dimension ref="A1:X489"/>
  <sheetViews>
    <sheetView showOutlineSymbols="0" zoomScale="83" zoomScaleNormal="83" workbookViewId="0">
      <selection activeCell="C13" sqref="C13"/>
    </sheetView>
  </sheetViews>
  <sheetFormatPr defaultColWidth="10.7109375" defaultRowHeight="12.75"/>
  <cols>
    <col min="1" max="1" width="22.85546875" customWidth="1"/>
    <col min="2" max="2" width="51.42578125" customWidth="1"/>
    <col min="3" max="3" width="20.7109375" style="531" customWidth="1"/>
    <col min="4" max="4" width="2.7109375" customWidth="1"/>
    <col min="5" max="5" width="20.7109375" style="531" customWidth="1"/>
    <col min="6" max="6" width="2.7109375" customWidth="1"/>
    <col min="7" max="7" width="20.7109375" customWidth="1"/>
    <col min="8" max="8" width="2.7109375" customWidth="1"/>
    <col min="9" max="9" width="20.7109375" customWidth="1"/>
    <col min="10" max="10" width="2.7109375" customWidth="1"/>
    <col min="11" max="11" width="20.7109375" customWidth="1"/>
    <col min="12" max="12" width="2.7109375" style="177" customWidth="1"/>
    <col min="13" max="13" width="20.7109375" customWidth="1"/>
    <col min="14" max="14" width="2.7109375" style="177" customWidth="1"/>
    <col min="15" max="15" width="20.7109375" customWidth="1"/>
    <col min="16" max="16" width="2.7109375" style="177" customWidth="1"/>
    <col min="17" max="17" width="17.140625" customWidth="1"/>
    <col min="18" max="18" width="15.7109375" style="322" customWidth="1"/>
    <col min="19" max="19" width="16.42578125" customWidth="1"/>
    <col min="20" max="20" width="76.140625" customWidth="1"/>
    <col min="21" max="21" width="24.7109375" customWidth="1"/>
    <col min="22" max="22" width="30.7109375" customWidth="1"/>
    <col min="23" max="23" width="17" customWidth="1"/>
    <col min="24" max="24" width="16.5703125" hidden="1" customWidth="1"/>
    <col min="25" max="25" width="18.42578125" customWidth="1"/>
    <col min="26" max="27" width="17.7109375" customWidth="1"/>
    <col min="28" max="28" width="17.5703125" customWidth="1"/>
    <col min="29" max="29" width="16" customWidth="1"/>
    <col min="30" max="30" width="16.28515625" customWidth="1"/>
  </cols>
  <sheetData>
    <row r="1" spans="1:20" s="1076" customFormat="1" ht="15.75">
      <c r="A1" s="38" t="s">
        <v>78</v>
      </c>
      <c r="B1" s="1446">
        <f>IF(ISNA('DE1'!C1),0,'DE1'!C1)</f>
        <v>0</v>
      </c>
      <c r="C1" s="2853" t="s">
        <v>7736</v>
      </c>
      <c r="G1"/>
      <c r="K1" s="1617"/>
      <c r="L1" s="1132"/>
      <c r="N1" s="1132"/>
      <c r="O1" s="3121" t="s">
        <v>7381</v>
      </c>
      <c r="P1" s="1132"/>
    </row>
    <row r="2" spans="1:20" s="1076" customFormat="1" ht="15.75">
      <c r="A2" s="38" t="s">
        <v>79</v>
      </c>
      <c r="B2" s="1204"/>
      <c r="C2" s="2854" t="s">
        <v>7737</v>
      </c>
      <c r="G2"/>
      <c r="K2" s="83"/>
      <c r="L2" s="1132"/>
      <c r="N2" s="1132"/>
      <c r="O2" s="2851" t="s">
        <v>8023</v>
      </c>
      <c r="P2" s="1132"/>
      <c r="T2" s="38"/>
    </row>
    <row r="3" spans="1:20" s="1076" customFormat="1" ht="15.75">
      <c r="A3" s="38" t="s">
        <v>164</v>
      </c>
      <c r="B3" s="1189">
        <f ca="1">NOW()</f>
        <v>43146.631174305556</v>
      </c>
      <c r="C3" s="531"/>
      <c r="G3"/>
      <c r="K3" s="82"/>
      <c r="L3" s="1132"/>
      <c r="N3" s="1132"/>
      <c r="O3" s="2852">
        <v>43145</v>
      </c>
      <c r="P3" s="1132"/>
      <c r="T3" s="1150"/>
    </row>
    <row r="4" spans="1:20" s="1076" customFormat="1" ht="15.75">
      <c r="A4" s="38" t="s">
        <v>2124</v>
      </c>
      <c r="B4" s="2850"/>
      <c r="C4" s="4625" t="s">
        <v>7911</v>
      </c>
      <c r="E4" s="1133"/>
      <c r="L4" s="1132"/>
      <c r="N4" s="1132"/>
      <c r="P4" s="1132"/>
      <c r="R4" s="1134"/>
    </row>
    <row r="5" spans="1:20">
      <c r="A5" s="23"/>
      <c r="B5" s="1709"/>
    </row>
    <row r="6" spans="1:20">
      <c r="I6" s="940"/>
    </row>
    <row r="7" spans="1:20" s="880" customFormat="1" ht="18">
      <c r="A7" s="1793" t="s">
        <v>7373</v>
      </c>
      <c r="B7" s="1794"/>
      <c r="C7" s="2464"/>
      <c r="D7" s="2849"/>
      <c r="E7" s="2464"/>
      <c r="L7" s="881"/>
      <c r="N7" s="881"/>
      <c r="P7" s="881"/>
      <c r="R7" s="1174"/>
    </row>
    <row r="8" spans="1:20">
      <c r="A8" s="1187" t="s">
        <v>7374</v>
      </c>
      <c r="B8" s="35"/>
    </row>
    <row r="9" spans="1:20">
      <c r="B9" s="35"/>
    </row>
    <row r="10" spans="1:20">
      <c r="A10" s="71" t="s">
        <v>7636</v>
      </c>
      <c r="B10" s="35"/>
    </row>
    <row r="11" spans="1:20" ht="12.75" customHeight="1">
      <c r="A11" s="71" t="s">
        <v>7398</v>
      </c>
      <c r="B11" s="35"/>
    </row>
    <row r="12" spans="1:20">
      <c r="A12" s="101" t="s">
        <v>3341</v>
      </c>
      <c r="B12" s="35"/>
      <c r="C12" s="532"/>
      <c r="E12" s="532"/>
    </row>
    <row r="13" spans="1:20" ht="15.95" customHeight="1">
      <c r="A13" s="34" t="s">
        <v>80</v>
      </c>
      <c r="B13" s="35"/>
      <c r="C13" s="532"/>
      <c r="E13" s="1474" t="s">
        <v>3675</v>
      </c>
      <c r="G13" s="1474" t="s">
        <v>3675</v>
      </c>
      <c r="I13" s="1474" t="s">
        <v>3675</v>
      </c>
      <c r="K13" s="1474" t="s">
        <v>3675</v>
      </c>
      <c r="L13" s="1618"/>
      <c r="M13" s="1474" t="s">
        <v>3675</v>
      </c>
      <c r="N13" s="1618"/>
      <c r="O13" s="1474" t="s">
        <v>3675</v>
      </c>
      <c r="P13" s="1618"/>
      <c r="Q13" s="23"/>
      <c r="R13" s="323"/>
      <c r="S13" s="23"/>
    </row>
    <row r="14" spans="1:20" ht="18">
      <c r="A14" s="35"/>
      <c r="B14" s="4406"/>
      <c r="C14" s="4407"/>
      <c r="D14" s="4408" t="s">
        <v>8014</v>
      </c>
      <c r="E14" s="1475" t="s">
        <v>1447</v>
      </c>
      <c r="G14" s="1475" t="s">
        <v>1447</v>
      </c>
      <c r="I14" s="1475" t="s">
        <v>1447</v>
      </c>
      <c r="K14" s="1475" t="s">
        <v>1447</v>
      </c>
      <c r="L14" s="1618"/>
      <c r="M14" s="1475" t="s">
        <v>1447</v>
      </c>
      <c r="N14" s="1618"/>
      <c r="O14" s="1475" t="s">
        <v>1447</v>
      </c>
      <c r="P14" s="1618"/>
    </row>
    <row r="15" spans="1:20" s="880" customFormat="1" ht="18">
      <c r="A15" s="4626"/>
      <c r="B15" s="4627" t="s">
        <v>3107</v>
      </c>
      <c r="C15" s="3640" t="s">
        <v>3613</v>
      </c>
      <c r="D15" s="3640"/>
      <c r="E15" s="3640" t="s">
        <v>3673</v>
      </c>
      <c r="F15" s="3640"/>
      <c r="G15" s="3640" t="s">
        <v>3830</v>
      </c>
      <c r="H15" s="3640"/>
      <c r="I15" s="3640" t="s">
        <v>3903</v>
      </c>
      <c r="J15" s="3640"/>
      <c r="K15" s="3640" t="s">
        <v>4592</v>
      </c>
      <c r="L15" s="3640"/>
      <c r="M15" s="3640" t="s">
        <v>7097</v>
      </c>
      <c r="N15" s="3640"/>
      <c r="O15" s="3640" t="s">
        <v>7733</v>
      </c>
      <c r="P15" s="3444"/>
    </row>
    <row r="16" spans="1:20" s="880" customFormat="1" ht="18">
      <c r="A16" s="3638" t="s">
        <v>3108</v>
      </c>
      <c r="B16" s="3639"/>
      <c r="C16" s="3641" t="s">
        <v>3207</v>
      </c>
      <c r="D16" s="3641"/>
      <c r="E16" s="3641" t="s">
        <v>3207</v>
      </c>
      <c r="F16" s="3641"/>
      <c r="G16" s="3641" t="s">
        <v>3207</v>
      </c>
      <c r="H16" s="3641"/>
      <c r="I16" s="3641" t="s">
        <v>3207</v>
      </c>
      <c r="J16" s="3641"/>
      <c r="K16" s="3641" t="s">
        <v>3207</v>
      </c>
      <c r="L16" s="3641"/>
      <c r="M16" s="3641" t="s">
        <v>3207</v>
      </c>
      <c r="N16" s="3641"/>
      <c r="O16" s="3641" t="s">
        <v>3207</v>
      </c>
      <c r="P16" s="3444"/>
    </row>
    <row r="17" spans="1:22" s="1076" customFormat="1" ht="15" customHeight="1">
      <c r="A17" s="1128" t="s">
        <v>540</v>
      </c>
      <c r="B17" s="1162"/>
      <c r="C17" s="2855">
        <v>0</v>
      </c>
      <c r="E17" s="3422">
        <v>0</v>
      </c>
      <c r="F17" s="1611"/>
      <c r="G17" s="1612">
        <f>E17</f>
        <v>0</v>
      </c>
      <c r="H17" s="1611"/>
      <c r="I17" s="3433">
        <f>G17</f>
        <v>0</v>
      </c>
      <c r="J17" s="1611"/>
      <c r="K17" s="2868">
        <f>I17</f>
        <v>0</v>
      </c>
      <c r="L17" s="2037"/>
      <c r="M17" s="3449">
        <f>K17</f>
        <v>0</v>
      </c>
      <c r="N17" s="2037"/>
      <c r="O17" s="3411">
        <f>M17</f>
        <v>0</v>
      </c>
      <c r="P17" s="2037"/>
      <c r="Q17" s="940" t="s">
        <v>3431</v>
      </c>
      <c r="R17" s="1134"/>
      <c r="U17" s="1135"/>
      <c r="V17" s="1136"/>
    </row>
    <row r="18" spans="1:22" s="1076" customFormat="1" ht="15" customHeight="1">
      <c r="A18" s="1128" t="s">
        <v>3339</v>
      </c>
      <c r="B18" s="1162"/>
      <c r="C18" s="3517">
        <v>0</v>
      </c>
      <c r="E18" s="3518">
        <v>0</v>
      </c>
      <c r="F18" s="1611"/>
      <c r="G18" s="3519">
        <f>E18</f>
        <v>0</v>
      </c>
      <c r="H18" s="1611"/>
      <c r="I18" s="3520">
        <f>G18</f>
        <v>0</v>
      </c>
      <c r="J18" s="1611"/>
      <c r="K18" s="3521">
        <f>I18</f>
        <v>0</v>
      </c>
      <c r="L18" s="2037"/>
      <c r="M18" s="3522">
        <f>K18</f>
        <v>0</v>
      </c>
      <c r="N18" s="2037"/>
      <c r="O18" s="3523">
        <f>M18</f>
        <v>0</v>
      </c>
      <c r="P18" s="2037"/>
      <c r="Q18" s="940" t="s">
        <v>3432</v>
      </c>
      <c r="R18" s="1134"/>
      <c r="U18" s="1135"/>
      <c r="V18" s="1136"/>
    </row>
    <row r="19" spans="1:22" s="1076" customFormat="1" ht="15" customHeight="1">
      <c r="A19" s="3642" t="s">
        <v>585</v>
      </c>
      <c r="B19" s="3643"/>
      <c r="C19" s="3644"/>
      <c r="D19" s="3644"/>
      <c r="E19" s="3644"/>
      <c r="F19" s="3644"/>
      <c r="G19" s="3644"/>
      <c r="H19" s="3644"/>
      <c r="I19" s="3644"/>
      <c r="J19" s="3644"/>
      <c r="K19" s="3644"/>
      <c r="L19" s="3644"/>
      <c r="M19" s="3644"/>
      <c r="N19" s="3644"/>
      <c r="O19" s="3644"/>
      <c r="P19" s="3445"/>
      <c r="R19" s="1134"/>
      <c r="U19" s="1137"/>
      <c r="V19" s="1138"/>
    </row>
    <row r="20" spans="1:22" s="1076" customFormat="1" ht="15" customHeight="1">
      <c r="A20" s="1128" t="s">
        <v>541</v>
      </c>
      <c r="B20" s="1107"/>
      <c r="C20" s="2855">
        <v>0</v>
      </c>
      <c r="E20" s="3422">
        <v>0</v>
      </c>
      <c r="F20" s="1611"/>
      <c r="G20" s="1612">
        <f t="shared" ref="G20:G41" si="0">E20</f>
        <v>0</v>
      </c>
      <c r="H20" s="1611"/>
      <c r="I20" s="3433">
        <f t="shared" ref="I20:I41" si="1">G20</f>
        <v>0</v>
      </c>
      <c r="J20" s="1611"/>
      <c r="K20" s="2868">
        <f t="shared" ref="K20:K41" si="2">I20</f>
        <v>0</v>
      </c>
      <c r="L20" s="2037"/>
      <c r="M20" s="3449">
        <f t="shared" ref="M20:M42" si="3">K20</f>
        <v>0</v>
      </c>
      <c r="N20" s="2037"/>
      <c r="O20" s="3411">
        <f t="shared" ref="O20:O42" si="4">M20</f>
        <v>0</v>
      </c>
      <c r="P20" s="2037"/>
      <c r="Q20" s="940" t="s">
        <v>3323</v>
      </c>
      <c r="R20" s="1134"/>
      <c r="U20" s="1135"/>
      <c r="V20" s="1136"/>
    </row>
    <row r="21" spans="1:22" s="1076" customFormat="1" ht="15" customHeight="1">
      <c r="A21" s="1145" t="s">
        <v>542</v>
      </c>
      <c r="B21" s="1146"/>
      <c r="C21" s="2855">
        <v>0</v>
      </c>
      <c r="E21" s="3422">
        <v>0</v>
      </c>
      <c r="F21" s="1611"/>
      <c r="G21" s="1612">
        <f t="shared" si="0"/>
        <v>0</v>
      </c>
      <c r="H21" s="1611"/>
      <c r="I21" s="3433">
        <f t="shared" si="1"/>
        <v>0</v>
      </c>
      <c r="J21" s="1611"/>
      <c r="K21" s="2868">
        <f t="shared" si="2"/>
        <v>0</v>
      </c>
      <c r="L21" s="2037"/>
      <c r="M21" s="3449">
        <f t="shared" si="3"/>
        <v>0</v>
      </c>
      <c r="N21" s="2037"/>
      <c r="O21" s="3411">
        <f t="shared" si="4"/>
        <v>0</v>
      </c>
      <c r="P21" s="2037"/>
      <c r="Q21" s="940" t="s">
        <v>3413</v>
      </c>
      <c r="R21" s="1134"/>
      <c r="U21" s="1135"/>
      <c r="V21" s="1136"/>
    </row>
    <row r="22" spans="1:22" s="1076" customFormat="1" ht="15" customHeight="1">
      <c r="A22" s="1128" t="s">
        <v>1913</v>
      </c>
      <c r="B22" s="1107"/>
      <c r="C22" s="2855">
        <v>0</v>
      </c>
      <c r="E22" s="3422">
        <v>0</v>
      </c>
      <c r="F22" s="1611"/>
      <c r="G22" s="1612">
        <f t="shared" si="0"/>
        <v>0</v>
      </c>
      <c r="H22" s="1611"/>
      <c r="I22" s="3433">
        <f t="shared" si="1"/>
        <v>0</v>
      </c>
      <c r="J22" s="1611"/>
      <c r="K22" s="2868">
        <f t="shared" si="2"/>
        <v>0</v>
      </c>
      <c r="L22" s="2037"/>
      <c r="M22" s="3449">
        <f t="shared" si="3"/>
        <v>0</v>
      </c>
      <c r="N22" s="2037"/>
      <c r="O22" s="3411">
        <f t="shared" si="4"/>
        <v>0</v>
      </c>
      <c r="P22" s="2037"/>
      <c r="Q22" s="940" t="s">
        <v>3414</v>
      </c>
      <c r="R22" s="1134"/>
      <c r="U22" s="1135"/>
      <c r="V22" s="1136"/>
    </row>
    <row r="23" spans="1:22" s="1076" customFormat="1" ht="15" customHeight="1">
      <c r="A23" s="1128" t="s">
        <v>1914</v>
      </c>
      <c r="B23" s="1107"/>
      <c r="C23" s="2855">
        <v>0</v>
      </c>
      <c r="E23" s="3422">
        <v>0</v>
      </c>
      <c r="F23" s="1611"/>
      <c r="G23" s="1612">
        <f t="shared" si="0"/>
        <v>0</v>
      </c>
      <c r="H23" s="1611"/>
      <c r="I23" s="3433">
        <f t="shared" si="1"/>
        <v>0</v>
      </c>
      <c r="J23" s="1611"/>
      <c r="K23" s="2868">
        <f t="shared" si="2"/>
        <v>0</v>
      </c>
      <c r="L23" s="2037"/>
      <c r="M23" s="3449">
        <f t="shared" si="3"/>
        <v>0</v>
      </c>
      <c r="N23" s="2037"/>
      <c r="O23" s="3411">
        <f t="shared" si="4"/>
        <v>0</v>
      </c>
      <c r="P23" s="2037"/>
      <c r="Q23" s="940" t="s">
        <v>3415</v>
      </c>
      <c r="R23" s="1134"/>
      <c r="U23" s="1135"/>
      <c r="V23" s="1136"/>
    </row>
    <row r="24" spans="1:22" s="1076" customFormat="1" ht="15" customHeight="1">
      <c r="A24" s="1128" t="s">
        <v>636</v>
      </c>
      <c r="B24" s="1107"/>
      <c r="C24" s="2855">
        <v>0</v>
      </c>
      <c r="E24" s="3422">
        <v>0</v>
      </c>
      <c r="F24" s="1611"/>
      <c r="G24" s="1612">
        <f t="shared" si="0"/>
        <v>0</v>
      </c>
      <c r="H24" s="1611"/>
      <c r="I24" s="3433">
        <f t="shared" si="1"/>
        <v>0</v>
      </c>
      <c r="J24" s="1611"/>
      <c r="K24" s="2868">
        <f t="shared" si="2"/>
        <v>0</v>
      </c>
      <c r="L24" s="2037"/>
      <c r="M24" s="3449">
        <f t="shared" si="3"/>
        <v>0</v>
      </c>
      <c r="N24" s="2037"/>
      <c r="O24" s="3411">
        <f t="shared" si="4"/>
        <v>0</v>
      </c>
      <c r="P24" s="2037"/>
      <c r="Q24" s="940" t="s">
        <v>3416</v>
      </c>
      <c r="R24" s="1134"/>
      <c r="U24" s="1135"/>
      <c r="V24" s="1136"/>
    </row>
    <row r="25" spans="1:22" s="1076" customFormat="1" ht="15" customHeight="1">
      <c r="A25" s="1128" t="s">
        <v>2291</v>
      </c>
      <c r="B25" s="1107"/>
      <c r="C25" s="2855">
        <v>0</v>
      </c>
      <c r="E25" s="3422">
        <v>0</v>
      </c>
      <c r="F25" s="1611"/>
      <c r="G25" s="1612">
        <f t="shared" si="0"/>
        <v>0</v>
      </c>
      <c r="H25" s="1611"/>
      <c r="I25" s="3433">
        <f t="shared" si="1"/>
        <v>0</v>
      </c>
      <c r="J25" s="1611"/>
      <c r="K25" s="2868">
        <f t="shared" si="2"/>
        <v>0</v>
      </c>
      <c r="L25" s="2037"/>
      <c r="M25" s="3449">
        <f t="shared" si="3"/>
        <v>0</v>
      </c>
      <c r="N25" s="2037"/>
      <c r="O25" s="3411">
        <f t="shared" si="4"/>
        <v>0</v>
      </c>
      <c r="P25" s="2037"/>
      <c r="Q25" s="940" t="s">
        <v>3417</v>
      </c>
      <c r="R25" s="1134"/>
      <c r="U25" s="1135"/>
      <c r="V25" s="1136"/>
    </row>
    <row r="26" spans="1:22" s="1076" customFormat="1" ht="15" customHeight="1">
      <c r="A26" s="1128" t="s">
        <v>2292</v>
      </c>
      <c r="B26" s="1107"/>
      <c r="C26" s="2855">
        <v>0</v>
      </c>
      <c r="E26" s="3422">
        <v>0</v>
      </c>
      <c r="F26" s="1611"/>
      <c r="G26" s="1612">
        <f t="shared" si="0"/>
        <v>0</v>
      </c>
      <c r="H26" s="1611"/>
      <c r="I26" s="3433">
        <f t="shared" si="1"/>
        <v>0</v>
      </c>
      <c r="J26" s="1611"/>
      <c r="K26" s="2868">
        <f t="shared" si="2"/>
        <v>0</v>
      </c>
      <c r="L26" s="2037"/>
      <c r="M26" s="3449">
        <f t="shared" si="3"/>
        <v>0</v>
      </c>
      <c r="N26" s="2037"/>
      <c r="O26" s="3411">
        <f t="shared" si="4"/>
        <v>0</v>
      </c>
      <c r="P26" s="2037"/>
      <c r="Q26" s="940" t="s">
        <v>3418</v>
      </c>
      <c r="R26" s="1134"/>
      <c r="U26" s="1135"/>
      <c r="V26" s="1136"/>
    </row>
    <row r="27" spans="1:22" s="1076" customFormat="1" ht="15" customHeight="1">
      <c r="A27" s="1128" t="s">
        <v>543</v>
      </c>
      <c r="B27" s="1107"/>
      <c r="C27" s="2855">
        <v>0</v>
      </c>
      <c r="E27" s="3422">
        <v>0</v>
      </c>
      <c r="F27" s="1611"/>
      <c r="G27" s="1612">
        <f t="shared" si="0"/>
        <v>0</v>
      </c>
      <c r="H27" s="1611"/>
      <c r="I27" s="3433">
        <f t="shared" si="1"/>
        <v>0</v>
      </c>
      <c r="J27" s="1611"/>
      <c r="K27" s="2868">
        <f t="shared" si="2"/>
        <v>0</v>
      </c>
      <c r="L27" s="2037"/>
      <c r="M27" s="3449">
        <f t="shared" si="3"/>
        <v>0</v>
      </c>
      <c r="N27" s="2037"/>
      <c r="O27" s="3411">
        <f t="shared" si="4"/>
        <v>0</v>
      </c>
      <c r="P27" s="2037"/>
      <c r="Q27" s="940" t="s">
        <v>3419</v>
      </c>
      <c r="R27" s="1134"/>
      <c r="U27" s="1135"/>
      <c r="V27" s="1136"/>
    </row>
    <row r="28" spans="1:22" s="1076" customFormat="1" ht="15" customHeight="1">
      <c r="A28" s="1128" t="s">
        <v>581</v>
      </c>
      <c r="B28" s="1107"/>
      <c r="C28" s="2855">
        <v>0</v>
      </c>
      <c r="E28" s="3422">
        <v>0</v>
      </c>
      <c r="F28" s="1611"/>
      <c r="G28" s="1612">
        <f t="shared" si="0"/>
        <v>0</v>
      </c>
      <c r="H28" s="1611"/>
      <c r="I28" s="3433">
        <f t="shared" si="1"/>
        <v>0</v>
      </c>
      <c r="J28" s="1611"/>
      <c r="K28" s="2868">
        <f t="shared" si="2"/>
        <v>0</v>
      </c>
      <c r="L28" s="2037"/>
      <c r="M28" s="3449">
        <f t="shared" si="3"/>
        <v>0</v>
      </c>
      <c r="N28" s="2037"/>
      <c r="O28" s="3411">
        <f t="shared" si="4"/>
        <v>0</v>
      </c>
      <c r="P28" s="2037"/>
      <c r="Q28" s="940" t="s">
        <v>3420</v>
      </c>
      <c r="R28" s="1134"/>
      <c r="U28" s="1135"/>
      <c r="V28" s="1136"/>
    </row>
    <row r="29" spans="1:22" s="1076" customFormat="1" ht="15" customHeight="1">
      <c r="A29" s="1128" t="s">
        <v>582</v>
      </c>
      <c r="B29" s="1107"/>
      <c r="C29" s="2855">
        <v>0</v>
      </c>
      <c r="E29" s="3422">
        <v>0</v>
      </c>
      <c r="F29" s="1611"/>
      <c r="G29" s="1612">
        <f t="shared" si="0"/>
        <v>0</v>
      </c>
      <c r="H29" s="1611"/>
      <c r="I29" s="3433">
        <f t="shared" si="1"/>
        <v>0</v>
      </c>
      <c r="J29" s="1611"/>
      <c r="K29" s="2868">
        <f t="shared" si="2"/>
        <v>0</v>
      </c>
      <c r="L29" s="2037"/>
      <c r="M29" s="3449">
        <f t="shared" si="3"/>
        <v>0</v>
      </c>
      <c r="N29" s="2037"/>
      <c r="O29" s="3411">
        <f t="shared" si="4"/>
        <v>0</v>
      </c>
      <c r="P29" s="2037"/>
      <c r="Q29" s="940" t="s">
        <v>3421</v>
      </c>
      <c r="R29" s="1134"/>
      <c r="U29" s="1135"/>
      <c r="V29" s="1136"/>
    </row>
    <row r="30" spans="1:22" s="1076" customFormat="1" ht="15" hidden="1" customHeight="1">
      <c r="A30" s="1128" t="s">
        <v>583</v>
      </c>
      <c r="B30" s="1107"/>
      <c r="C30" s="2855">
        <v>0</v>
      </c>
      <c r="E30" s="3422">
        <v>0</v>
      </c>
      <c r="F30" s="1611"/>
      <c r="G30" s="1612">
        <f t="shared" si="0"/>
        <v>0</v>
      </c>
      <c r="H30" s="1611"/>
      <c r="I30" s="3433">
        <f t="shared" si="1"/>
        <v>0</v>
      </c>
      <c r="J30" s="1611"/>
      <c r="K30" s="2868">
        <f t="shared" si="2"/>
        <v>0</v>
      </c>
      <c r="L30" s="2037"/>
      <c r="M30" s="3449">
        <f t="shared" si="3"/>
        <v>0</v>
      </c>
      <c r="N30" s="2037"/>
      <c r="O30" s="3411">
        <f t="shared" si="4"/>
        <v>0</v>
      </c>
      <c r="P30" s="2037"/>
      <c r="Q30" s="940" t="s">
        <v>3422</v>
      </c>
      <c r="R30" s="1134"/>
      <c r="U30" s="1135"/>
      <c r="V30" s="1136"/>
    </row>
    <row r="31" spans="1:22" s="1076" customFormat="1" ht="15" customHeight="1">
      <c r="A31" s="1128" t="s">
        <v>584</v>
      </c>
      <c r="B31" s="1107"/>
      <c r="C31" s="2855">
        <v>0</v>
      </c>
      <c r="E31" s="3422">
        <v>0</v>
      </c>
      <c r="F31" s="1611"/>
      <c r="G31" s="1612">
        <f t="shared" si="0"/>
        <v>0</v>
      </c>
      <c r="H31" s="1611"/>
      <c r="I31" s="3433">
        <f t="shared" si="1"/>
        <v>0</v>
      </c>
      <c r="J31" s="1611"/>
      <c r="K31" s="2868">
        <f t="shared" si="2"/>
        <v>0</v>
      </c>
      <c r="L31" s="2037"/>
      <c r="M31" s="3449">
        <f t="shared" si="3"/>
        <v>0</v>
      </c>
      <c r="N31" s="2037"/>
      <c r="O31" s="3411">
        <f t="shared" si="4"/>
        <v>0</v>
      </c>
      <c r="P31" s="2037"/>
      <c r="Q31" s="940" t="s">
        <v>3423</v>
      </c>
      <c r="R31" s="1134"/>
      <c r="U31" s="1135"/>
      <c r="V31" s="1136"/>
    </row>
    <row r="32" spans="1:22" s="1076" customFormat="1" ht="15" customHeight="1">
      <c r="A32" s="1128" t="s">
        <v>932</v>
      </c>
      <c r="B32" s="1107"/>
      <c r="C32" s="2855">
        <v>0</v>
      </c>
      <c r="E32" s="3422">
        <v>0</v>
      </c>
      <c r="F32" s="1611"/>
      <c r="G32" s="1612">
        <f t="shared" si="0"/>
        <v>0</v>
      </c>
      <c r="H32" s="1611"/>
      <c r="I32" s="3433">
        <f t="shared" si="1"/>
        <v>0</v>
      </c>
      <c r="J32" s="1611"/>
      <c r="K32" s="2868">
        <f t="shared" si="2"/>
        <v>0</v>
      </c>
      <c r="L32" s="2037"/>
      <c r="M32" s="3449">
        <f t="shared" si="3"/>
        <v>0</v>
      </c>
      <c r="N32" s="2037"/>
      <c r="O32" s="3411">
        <f t="shared" si="4"/>
        <v>0</v>
      </c>
      <c r="P32" s="2037"/>
      <c r="Q32" s="940" t="s">
        <v>3424</v>
      </c>
      <c r="R32" s="1134"/>
      <c r="U32" s="1135"/>
      <c r="V32" s="1136"/>
    </row>
    <row r="33" spans="1:22" s="1076" customFormat="1" ht="15" customHeight="1">
      <c r="A33" s="1163" t="s">
        <v>715</v>
      </c>
      <c r="B33" s="1152"/>
      <c r="C33" s="2855">
        <v>0</v>
      </c>
      <c r="E33" s="3422">
        <v>0</v>
      </c>
      <c r="F33" s="1611"/>
      <c r="G33" s="1612">
        <f t="shared" si="0"/>
        <v>0</v>
      </c>
      <c r="H33" s="1611"/>
      <c r="I33" s="3433">
        <f t="shared" si="1"/>
        <v>0</v>
      </c>
      <c r="J33" s="1611"/>
      <c r="K33" s="2868">
        <f t="shared" si="2"/>
        <v>0</v>
      </c>
      <c r="L33" s="2037"/>
      <c r="M33" s="3449">
        <f t="shared" si="3"/>
        <v>0</v>
      </c>
      <c r="N33" s="2037"/>
      <c r="O33" s="3411">
        <f t="shared" si="4"/>
        <v>0</v>
      </c>
      <c r="P33" s="2037"/>
      <c r="Q33" s="60" t="s">
        <v>2747</v>
      </c>
      <c r="R33" s="1134"/>
      <c r="U33" s="1135"/>
      <c r="V33" s="1136"/>
    </row>
    <row r="34" spans="1:22" s="1076" customFormat="1" ht="15" hidden="1" customHeight="1">
      <c r="A34" s="1157" t="s">
        <v>1261</v>
      </c>
      <c r="B34" s="1156"/>
      <c r="C34" s="2855">
        <v>0</v>
      </c>
      <c r="E34" s="3422">
        <v>0</v>
      </c>
      <c r="F34" s="1611"/>
      <c r="G34" s="1612">
        <f t="shared" si="0"/>
        <v>0</v>
      </c>
      <c r="H34" s="1611"/>
      <c r="I34" s="3433">
        <f t="shared" si="1"/>
        <v>0</v>
      </c>
      <c r="J34" s="1611"/>
      <c r="K34" s="2868">
        <f t="shared" si="2"/>
        <v>0</v>
      </c>
      <c r="L34" s="2037"/>
      <c r="M34" s="3449">
        <f t="shared" si="3"/>
        <v>0</v>
      </c>
      <c r="N34" s="2037"/>
      <c r="O34" s="3411">
        <f t="shared" si="4"/>
        <v>0</v>
      </c>
      <c r="P34" s="2037"/>
      <c r="Q34" s="940" t="s">
        <v>563</v>
      </c>
      <c r="R34" s="1134"/>
      <c r="U34" s="1135"/>
      <c r="V34" s="1136"/>
    </row>
    <row r="35" spans="1:22" s="1076" customFormat="1" ht="15" hidden="1" customHeight="1">
      <c r="A35" s="1158" t="s">
        <v>1260</v>
      </c>
      <c r="B35" s="1159"/>
      <c r="C35" s="2855">
        <v>0</v>
      </c>
      <c r="E35" s="3422">
        <v>0</v>
      </c>
      <c r="F35" s="1611"/>
      <c r="G35" s="1612">
        <f t="shared" si="0"/>
        <v>0</v>
      </c>
      <c r="H35" s="1611"/>
      <c r="I35" s="3433">
        <f t="shared" si="1"/>
        <v>0</v>
      </c>
      <c r="J35" s="1611"/>
      <c r="K35" s="2868">
        <f t="shared" si="2"/>
        <v>0</v>
      </c>
      <c r="L35" s="2037"/>
      <c r="M35" s="3449">
        <f t="shared" si="3"/>
        <v>0</v>
      </c>
      <c r="N35" s="2037"/>
      <c r="O35" s="3411">
        <f t="shared" si="4"/>
        <v>0</v>
      </c>
      <c r="P35" s="2037"/>
      <c r="Q35" s="1201" t="s">
        <v>2076</v>
      </c>
      <c r="R35" s="1134"/>
      <c r="U35" s="1135"/>
      <c r="V35" s="1136"/>
    </row>
    <row r="36" spans="1:22" s="1076" customFormat="1" ht="15" customHeight="1">
      <c r="A36" s="1145" t="s">
        <v>586</v>
      </c>
      <c r="B36" s="1146"/>
      <c r="C36" s="2855">
        <v>0</v>
      </c>
      <c r="E36" s="3422">
        <v>0</v>
      </c>
      <c r="F36" s="1611"/>
      <c r="G36" s="1612">
        <f t="shared" si="0"/>
        <v>0</v>
      </c>
      <c r="H36" s="1611"/>
      <c r="I36" s="3433">
        <f t="shared" si="1"/>
        <v>0</v>
      </c>
      <c r="J36" s="1611"/>
      <c r="K36" s="2868">
        <f t="shared" si="2"/>
        <v>0</v>
      </c>
      <c r="L36" s="2037"/>
      <c r="M36" s="3449">
        <f t="shared" si="3"/>
        <v>0</v>
      </c>
      <c r="N36" s="2037"/>
      <c r="O36" s="3411">
        <f t="shared" si="4"/>
        <v>0</v>
      </c>
      <c r="P36" s="2037"/>
      <c r="Q36" s="940" t="s">
        <v>3425</v>
      </c>
      <c r="R36" s="1134"/>
      <c r="U36" s="1135"/>
      <c r="V36" s="1136"/>
    </row>
    <row r="37" spans="1:22" s="1076" customFormat="1" ht="15" customHeight="1">
      <c r="A37" s="1128" t="s">
        <v>587</v>
      </c>
      <c r="B37" s="1107"/>
      <c r="C37" s="2855">
        <v>0</v>
      </c>
      <c r="E37" s="3422">
        <v>0</v>
      </c>
      <c r="F37" s="1611"/>
      <c r="G37" s="1612">
        <f t="shared" si="0"/>
        <v>0</v>
      </c>
      <c r="H37" s="1611"/>
      <c r="I37" s="3433">
        <f t="shared" si="1"/>
        <v>0</v>
      </c>
      <c r="J37" s="1611"/>
      <c r="K37" s="2868">
        <f t="shared" si="2"/>
        <v>0</v>
      </c>
      <c r="L37" s="2037"/>
      <c r="M37" s="3449">
        <f t="shared" si="3"/>
        <v>0</v>
      </c>
      <c r="N37" s="2037"/>
      <c r="O37" s="3411">
        <f t="shared" si="4"/>
        <v>0</v>
      </c>
      <c r="P37" s="2037"/>
      <c r="Q37" s="940" t="s">
        <v>3426</v>
      </c>
      <c r="R37" s="1134"/>
      <c r="U37" s="1135"/>
      <c r="V37" s="1136"/>
    </row>
    <row r="38" spans="1:22" s="1076" customFormat="1" ht="15" hidden="1" customHeight="1">
      <c r="A38" s="1160" t="s">
        <v>1803</v>
      </c>
      <c r="B38" s="1161"/>
      <c r="C38" s="2855">
        <v>0</v>
      </c>
      <c r="E38" s="3422">
        <v>0</v>
      </c>
      <c r="F38" s="1611"/>
      <c r="G38" s="1612">
        <f t="shared" si="0"/>
        <v>0</v>
      </c>
      <c r="H38" s="1611"/>
      <c r="I38" s="3433">
        <f t="shared" si="1"/>
        <v>0</v>
      </c>
      <c r="J38" s="1611"/>
      <c r="K38" s="2868">
        <f t="shared" si="2"/>
        <v>0</v>
      </c>
      <c r="L38" s="2037"/>
      <c r="M38" s="3449">
        <f t="shared" si="3"/>
        <v>0</v>
      </c>
      <c r="N38" s="2037"/>
      <c r="O38" s="3411">
        <f t="shared" si="4"/>
        <v>0</v>
      </c>
      <c r="P38" s="2037"/>
      <c r="Q38" s="1201" t="s">
        <v>490</v>
      </c>
      <c r="R38" s="1134"/>
      <c r="U38" s="1135"/>
      <c r="V38" s="1136"/>
    </row>
    <row r="39" spans="1:22" s="1076" customFormat="1" ht="15" customHeight="1">
      <c r="A39" s="1145" t="s">
        <v>168</v>
      </c>
      <c r="B39" s="1146"/>
      <c r="C39" s="2855">
        <v>0</v>
      </c>
      <c r="E39" s="3422">
        <v>0</v>
      </c>
      <c r="F39" s="1611"/>
      <c r="G39" s="1612">
        <f t="shared" si="0"/>
        <v>0</v>
      </c>
      <c r="H39" s="1611"/>
      <c r="I39" s="3433">
        <f t="shared" si="1"/>
        <v>0</v>
      </c>
      <c r="J39" s="1611"/>
      <c r="K39" s="2868">
        <f t="shared" si="2"/>
        <v>0</v>
      </c>
      <c r="L39" s="2037"/>
      <c r="M39" s="3449">
        <f t="shared" si="3"/>
        <v>0</v>
      </c>
      <c r="N39" s="2037"/>
      <c r="O39" s="3411">
        <f t="shared" si="4"/>
        <v>0</v>
      </c>
      <c r="P39" s="2037"/>
      <c r="Q39" s="940" t="s">
        <v>1154</v>
      </c>
      <c r="R39" s="1134"/>
      <c r="U39" s="1135"/>
      <c r="V39" s="1136"/>
    </row>
    <row r="40" spans="1:22" s="1076" customFormat="1" ht="15" customHeight="1">
      <c r="A40" s="1145" t="s">
        <v>1055</v>
      </c>
      <c r="B40" s="1146"/>
      <c r="C40" s="2855">
        <v>0</v>
      </c>
      <c r="E40" s="3422">
        <v>0</v>
      </c>
      <c r="F40" s="1611"/>
      <c r="G40" s="1612">
        <f t="shared" si="0"/>
        <v>0</v>
      </c>
      <c r="H40" s="1611"/>
      <c r="I40" s="3433">
        <f t="shared" si="1"/>
        <v>0</v>
      </c>
      <c r="J40" s="1611"/>
      <c r="K40" s="2868">
        <f t="shared" si="2"/>
        <v>0</v>
      </c>
      <c r="L40" s="2037"/>
      <c r="M40" s="3449">
        <f t="shared" si="3"/>
        <v>0</v>
      </c>
      <c r="N40" s="2037"/>
      <c r="O40" s="3411">
        <f t="shared" si="4"/>
        <v>0</v>
      </c>
      <c r="P40" s="2037"/>
      <c r="Q40" s="940" t="s">
        <v>3427</v>
      </c>
      <c r="R40" s="1134"/>
      <c r="U40" s="1135"/>
      <c r="V40" s="1136"/>
    </row>
    <row r="41" spans="1:22" s="1076" customFormat="1" ht="15" customHeight="1">
      <c r="A41" s="1145" t="s">
        <v>1056</v>
      </c>
      <c r="B41" s="1146"/>
      <c r="C41" s="2855">
        <v>0</v>
      </c>
      <c r="E41" s="3422">
        <v>0</v>
      </c>
      <c r="F41" s="1611"/>
      <c r="G41" s="1612">
        <f t="shared" si="0"/>
        <v>0</v>
      </c>
      <c r="H41" s="1611"/>
      <c r="I41" s="3433">
        <f t="shared" si="1"/>
        <v>0</v>
      </c>
      <c r="J41" s="1611"/>
      <c r="K41" s="2868">
        <f t="shared" si="2"/>
        <v>0</v>
      </c>
      <c r="L41" s="2037"/>
      <c r="M41" s="3449">
        <f t="shared" si="3"/>
        <v>0</v>
      </c>
      <c r="N41" s="2037"/>
      <c r="O41" s="3411">
        <f t="shared" si="4"/>
        <v>0</v>
      </c>
      <c r="P41" s="2037"/>
      <c r="Q41" s="940" t="s">
        <v>3428</v>
      </c>
      <c r="R41" s="1134"/>
      <c r="U41" s="1135"/>
      <c r="V41" s="1136"/>
    </row>
    <row r="42" spans="1:22" s="1076" customFormat="1" ht="15" customHeight="1">
      <c r="A42" s="3524" t="s">
        <v>4481</v>
      </c>
      <c r="B42" s="2539"/>
      <c r="C42" s="3525">
        <v>0</v>
      </c>
      <c r="E42" s="3518">
        <v>0</v>
      </c>
      <c r="G42" s="3526">
        <v>0</v>
      </c>
      <c r="I42" s="3527">
        <v>0</v>
      </c>
      <c r="K42" s="3528">
        <v>0</v>
      </c>
      <c r="L42" s="2037"/>
      <c r="M42" s="3529">
        <f t="shared" si="3"/>
        <v>0</v>
      </c>
      <c r="N42" s="2037"/>
      <c r="O42" s="3530">
        <f t="shared" si="4"/>
        <v>0</v>
      </c>
      <c r="P42" s="2037"/>
      <c r="Q42" s="940" t="s">
        <v>3429</v>
      </c>
      <c r="R42" s="1134"/>
      <c r="U42" s="1135"/>
      <c r="V42" s="1136"/>
    </row>
    <row r="43" spans="1:22" s="1076" customFormat="1" ht="18" customHeight="1">
      <c r="A43" s="3638" t="s">
        <v>3117</v>
      </c>
      <c r="B43" s="3639"/>
      <c r="C43" s="3645" t="s">
        <v>3613</v>
      </c>
      <c r="D43" s="3645"/>
      <c r="E43" s="3645" t="s">
        <v>3673</v>
      </c>
      <c r="F43" s="3645"/>
      <c r="G43" s="3645" t="s">
        <v>3830</v>
      </c>
      <c r="H43" s="3645"/>
      <c r="I43" s="3645" t="s">
        <v>3903</v>
      </c>
      <c r="J43" s="3645"/>
      <c r="K43" s="3645" t="s">
        <v>4592</v>
      </c>
      <c r="L43" s="3645"/>
      <c r="M43" s="3645" t="s">
        <v>7097</v>
      </c>
      <c r="N43" s="3645"/>
      <c r="O43" s="3645" t="s">
        <v>7733</v>
      </c>
      <c r="P43" s="3446"/>
      <c r="Q43" s="940"/>
      <c r="R43" s="1134"/>
      <c r="U43" s="1135"/>
      <c r="V43" s="1136"/>
    </row>
    <row r="44" spans="1:22" s="1076" customFormat="1" ht="15" customHeight="1">
      <c r="A44" s="1107" t="s">
        <v>2146</v>
      </c>
      <c r="B44" s="1107"/>
      <c r="C44" s="2855">
        <v>0</v>
      </c>
      <c r="D44" s="1371"/>
      <c r="E44" s="3422">
        <v>0</v>
      </c>
      <c r="F44" s="1611"/>
      <c r="G44" s="1612">
        <f>E44</f>
        <v>0</v>
      </c>
      <c r="H44" s="1611"/>
      <c r="I44" s="3433">
        <f>G44</f>
        <v>0</v>
      </c>
      <c r="J44" s="1611"/>
      <c r="K44" s="2868">
        <f>I44</f>
        <v>0</v>
      </c>
      <c r="L44" s="2037"/>
      <c r="M44" s="3449">
        <f>K44</f>
        <v>0</v>
      </c>
      <c r="N44" s="2037"/>
      <c r="O44" s="3411">
        <f>M44</f>
        <v>0</v>
      </c>
      <c r="P44" s="2037"/>
      <c r="Q44" s="940" t="s">
        <v>3324</v>
      </c>
      <c r="R44" s="1134"/>
      <c r="S44" s="1139"/>
      <c r="U44" s="1140"/>
      <c r="V44" s="1141"/>
    </row>
    <row r="45" spans="1:22" s="1076" customFormat="1" ht="15" customHeight="1">
      <c r="A45" s="1128" t="s">
        <v>2147</v>
      </c>
      <c r="B45" s="1799"/>
      <c r="C45" s="3517">
        <v>0</v>
      </c>
      <c r="D45" s="1371"/>
      <c r="E45" s="3518">
        <v>0</v>
      </c>
      <c r="F45" s="1611"/>
      <c r="G45" s="3519">
        <f>E45</f>
        <v>0</v>
      </c>
      <c r="H45" s="1611"/>
      <c r="I45" s="3520">
        <f>G45</f>
        <v>0</v>
      </c>
      <c r="J45" s="1611"/>
      <c r="K45" s="3521">
        <f>I45</f>
        <v>0</v>
      </c>
      <c r="L45" s="2037"/>
      <c r="M45" s="3522">
        <f>K45</f>
        <v>0</v>
      </c>
      <c r="N45" s="2037"/>
      <c r="O45" s="3523">
        <f>M45</f>
        <v>0</v>
      </c>
      <c r="P45" s="2037"/>
      <c r="Q45" s="940" t="s">
        <v>3325</v>
      </c>
      <c r="R45" s="1134"/>
      <c r="S45" s="1139"/>
      <c r="U45" s="1140"/>
      <c r="V45" s="1141"/>
    </row>
    <row r="46" spans="1:22" s="1076" customFormat="1" ht="18" customHeight="1">
      <c r="A46" s="3646"/>
      <c r="B46" s="3647"/>
      <c r="C46" s="3640" t="s">
        <v>3672</v>
      </c>
      <c r="D46" s="3640"/>
      <c r="E46" s="3640" t="s">
        <v>3674</v>
      </c>
      <c r="F46" s="3640"/>
      <c r="G46" s="4652" t="s">
        <v>9061</v>
      </c>
      <c r="H46" s="3640"/>
      <c r="I46" s="3640" t="s">
        <v>3904</v>
      </c>
      <c r="J46" s="3640"/>
      <c r="K46" s="3640" t="s">
        <v>4605</v>
      </c>
      <c r="L46" s="3640"/>
      <c r="M46" s="3640" t="s">
        <v>7637</v>
      </c>
      <c r="N46" s="3640"/>
      <c r="O46" s="3640" t="s">
        <v>7912</v>
      </c>
      <c r="P46" s="3446"/>
      <c r="Q46" s="940"/>
      <c r="R46" s="1134"/>
      <c r="U46" s="1135"/>
      <c r="V46" s="1136"/>
    </row>
    <row r="47" spans="1:22" s="1076" customFormat="1" ht="18">
      <c r="A47" s="3648" t="s">
        <v>7734</v>
      </c>
      <c r="B47" s="3649"/>
      <c r="C47" s="3641" t="s">
        <v>3357</v>
      </c>
      <c r="D47" s="3641"/>
      <c r="E47" s="3641" t="s">
        <v>3357</v>
      </c>
      <c r="F47" s="3641"/>
      <c r="G47" s="4653" t="s">
        <v>9062</v>
      </c>
      <c r="H47" s="3641"/>
      <c r="I47" s="3641" t="s">
        <v>3357</v>
      </c>
      <c r="J47" s="3641"/>
      <c r="K47" s="3641" t="s">
        <v>3357</v>
      </c>
      <c r="L47" s="3641"/>
      <c r="M47" s="3641" t="s">
        <v>3357</v>
      </c>
      <c r="N47" s="3641"/>
      <c r="O47" s="3641" t="s">
        <v>3357</v>
      </c>
      <c r="P47" s="3447"/>
      <c r="Q47" s="4649" t="s">
        <v>8024</v>
      </c>
      <c r="R47" s="1142"/>
      <c r="V47" s="520"/>
    </row>
    <row r="48" spans="1:22" s="1076" customFormat="1" ht="15" customHeight="1">
      <c r="A48" s="1800" t="s">
        <v>4529</v>
      </c>
      <c r="B48" s="1799"/>
      <c r="C48" s="3531">
        <f>IF(ISNA('DE1'!H48),0,'DE1'!H48)</f>
        <v>0</v>
      </c>
      <c r="E48" s="3532">
        <f>IF(ISNA('DE1'!I48),0,'DE1'!I48)</f>
        <v>0</v>
      </c>
      <c r="G48" s="3532">
        <f>IF(ISNA('DE1'!J48),0,'DE1'!J48)</f>
        <v>0</v>
      </c>
      <c r="I48" s="3435">
        <v>0</v>
      </c>
      <c r="K48" s="2871">
        <v>0</v>
      </c>
      <c r="L48" s="2039"/>
      <c r="M48" s="3451">
        <v>0</v>
      </c>
      <c r="N48" s="2039"/>
      <c r="O48" s="3413">
        <v>0</v>
      </c>
      <c r="P48" s="2039"/>
      <c r="Q48" t="s">
        <v>8025</v>
      </c>
      <c r="R48" s="1134"/>
      <c r="U48" s="1143"/>
      <c r="V48" s="1144"/>
    </row>
    <row r="49" spans="1:22" s="1076" customFormat="1" ht="15" hidden="1" customHeight="1">
      <c r="A49" s="1826" t="s">
        <v>4530</v>
      </c>
      <c r="B49" s="1232"/>
      <c r="C49" s="2858"/>
      <c r="E49" s="3424"/>
      <c r="G49" s="1190"/>
      <c r="I49" s="3436"/>
      <c r="K49" s="2872"/>
      <c r="L49" s="2039"/>
      <c r="M49" s="3452"/>
      <c r="N49" s="2039"/>
      <c r="O49" s="3414"/>
      <c r="P49" s="2039"/>
      <c r="Q49" t="s">
        <v>7397</v>
      </c>
      <c r="R49" s="1134"/>
      <c r="U49" s="1143"/>
      <c r="V49" s="1144"/>
    </row>
    <row r="50" spans="1:22" s="1076" customFormat="1" ht="15" customHeight="1">
      <c r="A50" s="1800" t="s">
        <v>7360</v>
      </c>
      <c r="C50" s="2857">
        <f>IF(ISNA('DE1'!H50),0,'DE1'!H50)</f>
        <v>0</v>
      </c>
      <c r="E50" s="3423">
        <f>IF(ISNA('DE1'!I50),0,'DE1'!I50)</f>
        <v>0</v>
      </c>
      <c r="G50" s="3532">
        <f>IF(ISNA('DE1'!J49),0,'DE1'!J49)</f>
        <v>0</v>
      </c>
      <c r="I50" s="3435">
        <v>0</v>
      </c>
      <c r="K50" s="2871">
        <v>0</v>
      </c>
      <c r="L50" s="2039"/>
      <c r="M50" s="3451">
        <v>0</v>
      </c>
      <c r="N50" s="2039"/>
      <c r="O50" s="3413">
        <v>0</v>
      </c>
      <c r="P50" s="2039"/>
      <c r="Q50" t="s">
        <v>8026</v>
      </c>
      <c r="R50" s="1134"/>
      <c r="U50" s="1143"/>
      <c r="V50" s="1144"/>
    </row>
    <row r="51" spans="1:22" s="1076" customFormat="1" ht="15" hidden="1" customHeight="1">
      <c r="A51" s="1826" t="s">
        <v>7361</v>
      </c>
      <c r="B51" s="1232"/>
      <c r="C51" s="2858"/>
      <c r="E51" s="3424"/>
      <c r="G51" s="1542"/>
      <c r="I51" s="3435"/>
      <c r="K51" s="2871"/>
      <c r="L51" s="2039"/>
      <c r="M51" s="3451"/>
      <c r="N51" s="2039"/>
      <c r="O51" s="3413"/>
      <c r="P51" s="2039"/>
      <c r="Q51" t="s">
        <v>8025</v>
      </c>
      <c r="R51" s="1134"/>
      <c r="U51" s="1143"/>
      <c r="V51" s="1144"/>
    </row>
    <row r="52" spans="1:22" s="1076" customFormat="1" ht="15" customHeight="1">
      <c r="A52" s="2507" t="s">
        <v>7356</v>
      </c>
      <c r="B52" s="2506"/>
      <c r="C52" s="2857">
        <f>IF(ISNA('DE1'!H52),0,'DE1'!H52)</f>
        <v>0</v>
      </c>
      <c r="E52" s="3423">
        <f>IF(ISNA('DE1'!I52),0,'DE1'!I52)</f>
        <v>0</v>
      </c>
      <c r="G52" s="3532">
        <f>IF(ISNA('DE1'!J50),0,'DE1'!J50)</f>
        <v>0</v>
      </c>
      <c r="I52" s="3435">
        <v>0</v>
      </c>
      <c r="K52" s="2871">
        <v>0</v>
      </c>
      <c r="L52" s="2039"/>
      <c r="M52" s="3451">
        <v>0</v>
      </c>
      <c r="N52" s="2039"/>
      <c r="O52" s="3413">
        <v>0</v>
      </c>
      <c r="P52" s="2039"/>
      <c r="Q52" t="s">
        <v>8027</v>
      </c>
      <c r="R52" s="1134"/>
      <c r="U52" s="1143"/>
      <c r="V52" s="1144"/>
    </row>
    <row r="53" spans="1:22" s="1076" customFormat="1" ht="15" customHeight="1">
      <c r="A53" s="2508" t="s">
        <v>7357</v>
      </c>
      <c r="B53" s="2506"/>
      <c r="C53" s="2857">
        <f>IF(ISNA('DE1'!H53),0,'DE1'!H53)</f>
        <v>0</v>
      </c>
      <c r="E53" s="3423">
        <f>IF(ISNA('DE1'!I53),0,'DE1'!I53)</f>
        <v>0</v>
      </c>
      <c r="G53" s="3532">
        <f>IF(ISNA('DE1'!J51),0,'DE1'!J51)</f>
        <v>0</v>
      </c>
      <c r="I53" s="3435">
        <v>0</v>
      </c>
      <c r="K53" s="2871">
        <v>0</v>
      </c>
      <c r="L53" s="2039"/>
      <c r="M53" s="3451">
        <v>0</v>
      </c>
      <c r="N53" s="2039"/>
      <c r="O53" s="3413">
        <v>0</v>
      </c>
      <c r="P53" s="2039"/>
      <c r="Q53" t="s">
        <v>8028</v>
      </c>
      <c r="R53" s="1134"/>
      <c r="U53" s="1143"/>
      <c r="V53" s="1144"/>
    </row>
    <row r="54" spans="1:22" s="1076" customFormat="1" ht="15" customHeight="1">
      <c r="A54" s="2507" t="s">
        <v>7358</v>
      </c>
      <c r="B54" s="2506"/>
      <c r="C54" s="2857">
        <f>IF(ISNA('DE1'!H54),0,'DE1'!H54)</f>
        <v>0</v>
      </c>
      <c r="E54" s="3423">
        <f>IF(ISNA('DE1'!I54),0,'DE1'!I54)</f>
        <v>0</v>
      </c>
      <c r="G54" s="3532">
        <f>IF(ISNA('DE1'!J52),0,'DE1'!J52)</f>
        <v>0</v>
      </c>
      <c r="I54" s="3435">
        <v>0</v>
      </c>
      <c r="K54" s="2871">
        <v>0</v>
      </c>
      <c r="L54" s="2039"/>
      <c r="M54" s="3451">
        <v>0</v>
      </c>
      <c r="N54" s="2039"/>
      <c r="O54" s="3413">
        <v>0</v>
      </c>
      <c r="P54" s="2039"/>
      <c r="Q54" t="s">
        <v>8029</v>
      </c>
      <c r="R54" s="1134"/>
      <c r="U54" s="1143"/>
      <c r="V54" s="1144"/>
    </row>
    <row r="55" spans="1:22" s="1076" customFormat="1" ht="15" customHeight="1">
      <c r="A55" s="3533" t="s">
        <v>7359</v>
      </c>
      <c r="B55" s="2506"/>
      <c r="C55" s="3534">
        <f>IF(ISNA('DE1'!H55),0,'DE1'!H55)</f>
        <v>0</v>
      </c>
      <c r="E55" s="3535">
        <f>IF(ISNA('DE1'!I55),0,'DE1'!I55)</f>
        <v>0</v>
      </c>
      <c r="G55" s="3532">
        <f>IF(ISNA('DE1'!J53),0,'DE1'!J53)</f>
        <v>0</v>
      </c>
      <c r="I55" s="3537">
        <v>0</v>
      </c>
      <c r="K55" s="3538">
        <v>0</v>
      </c>
      <c r="L55" s="2039"/>
      <c r="M55" s="3539">
        <v>0</v>
      </c>
      <c r="N55" s="2039"/>
      <c r="O55" s="3540">
        <v>0</v>
      </c>
      <c r="P55" s="2039"/>
      <c r="Q55" t="s">
        <v>8030</v>
      </c>
      <c r="R55" s="1134"/>
      <c r="U55" s="1143"/>
      <c r="V55" s="1144"/>
    </row>
    <row r="56" spans="1:22" s="1076" customFormat="1" ht="15" customHeight="1">
      <c r="A56" s="3646"/>
      <c r="B56" s="3647"/>
      <c r="C56" s="3640"/>
      <c r="D56" s="3640"/>
      <c r="E56" s="3640"/>
      <c r="F56" s="3640"/>
      <c r="G56" s="3640"/>
      <c r="H56" s="3640"/>
      <c r="I56" s="3640"/>
      <c r="J56" s="3640"/>
      <c r="K56" s="3640"/>
      <c r="L56" s="3640"/>
      <c r="M56" s="3640"/>
      <c r="N56" s="3640"/>
      <c r="O56" s="3640"/>
      <c r="P56" s="3448"/>
      <c r="Q56" s="940"/>
      <c r="R56" s="1134"/>
      <c r="U56" s="1143"/>
      <c r="V56" s="1144"/>
    </row>
    <row r="57" spans="1:22" s="1076" customFormat="1" ht="18" customHeight="1">
      <c r="A57" s="3648" t="s">
        <v>3121</v>
      </c>
      <c r="B57" s="3649"/>
      <c r="C57" s="3641" t="s">
        <v>3613</v>
      </c>
      <c r="D57" s="3641"/>
      <c r="E57" s="3641" t="str">
        <f>E43</f>
        <v>2017-18</v>
      </c>
      <c r="F57" s="3641"/>
      <c r="G57" s="3641" t="str">
        <f>G43</f>
        <v>2018-19</v>
      </c>
      <c r="H57" s="3641"/>
      <c r="I57" s="3641" t="str">
        <f>I43</f>
        <v>2019-20</v>
      </c>
      <c r="J57" s="3641"/>
      <c r="K57" s="3641" t="str">
        <f>K43</f>
        <v>2020-21</v>
      </c>
      <c r="L57" s="3641"/>
      <c r="M57" s="3641" t="str">
        <f>M43</f>
        <v>2021-22</v>
      </c>
      <c r="N57" s="3641"/>
      <c r="O57" s="3641" t="str">
        <f>O43</f>
        <v>2022-23</v>
      </c>
      <c r="P57" s="3446"/>
      <c r="Q57" s="940"/>
      <c r="R57" s="1134"/>
      <c r="U57" s="1135"/>
      <c r="V57" s="1136"/>
    </row>
    <row r="58" spans="1:22" s="1076" customFormat="1" ht="15.75">
      <c r="A58" s="1165" t="s">
        <v>3326</v>
      </c>
      <c r="B58" s="1164"/>
      <c r="C58" s="2859">
        <v>0</v>
      </c>
      <c r="E58" s="3425">
        <v>0</v>
      </c>
      <c r="G58" s="2444">
        <v>0</v>
      </c>
      <c r="I58" s="3437">
        <v>0</v>
      </c>
      <c r="K58" s="2873">
        <v>0</v>
      </c>
      <c r="L58" s="2040"/>
      <c r="M58" s="3453">
        <v>0</v>
      </c>
      <c r="N58" s="2040"/>
      <c r="O58" s="3415">
        <v>0</v>
      </c>
      <c r="P58" s="2040"/>
      <c r="Q58" t="s">
        <v>8031</v>
      </c>
      <c r="R58" s="1134"/>
      <c r="U58" s="1135"/>
      <c r="V58" s="1136"/>
    </row>
    <row r="59" spans="1:22" s="1076" customFormat="1" ht="15.75">
      <c r="A59" s="1107" t="s">
        <v>3327</v>
      </c>
      <c r="B59" s="1107"/>
      <c r="C59" s="2860">
        <v>0</v>
      </c>
      <c r="E59" s="3426">
        <v>0</v>
      </c>
      <c r="G59" s="1542">
        <v>0</v>
      </c>
      <c r="I59" s="3435">
        <v>0</v>
      </c>
      <c r="K59" s="2871">
        <v>0</v>
      </c>
      <c r="L59" s="2040"/>
      <c r="M59" s="3451">
        <v>0</v>
      </c>
      <c r="N59" s="2040"/>
      <c r="O59" s="3413">
        <v>0</v>
      </c>
      <c r="P59" s="2040"/>
      <c r="Q59" t="s">
        <v>8032</v>
      </c>
      <c r="R59" s="1134"/>
      <c r="U59" s="1143"/>
      <c r="V59" s="1144"/>
    </row>
    <row r="60" spans="1:22" s="1076" customFormat="1" ht="15.75">
      <c r="A60" s="1107" t="s">
        <v>4532</v>
      </c>
      <c r="B60" s="1107"/>
      <c r="C60" s="2860">
        <v>0</v>
      </c>
      <c r="E60" s="3426">
        <v>0</v>
      </c>
      <c r="G60" s="1542">
        <v>0</v>
      </c>
      <c r="I60" s="3435">
        <v>0</v>
      </c>
      <c r="K60" s="2871">
        <v>0</v>
      </c>
      <c r="L60" s="2040"/>
      <c r="M60" s="3451">
        <v>0</v>
      </c>
      <c r="N60" s="2040"/>
      <c r="O60" s="3413">
        <v>0</v>
      </c>
      <c r="P60" s="2040"/>
      <c r="Q60" t="s">
        <v>4541</v>
      </c>
      <c r="R60" s="1134"/>
      <c r="U60" s="1143"/>
      <c r="V60" s="1144"/>
    </row>
    <row r="61" spans="1:22" s="1076" customFormat="1" ht="15.75">
      <c r="A61" s="1128" t="s">
        <v>3394</v>
      </c>
      <c r="B61" s="1107"/>
      <c r="C61" s="2860">
        <v>0</v>
      </c>
      <c r="E61" s="3426">
        <v>0</v>
      </c>
      <c r="G61" s="1542">
        <v>0</v>
      </c>
      <c r="I61" s="3435">
        <v>0</v>
      </c>
      <c r="K61" s="2871">
        <v>0</v>
      </c>
      <c r="L61" s="2039"/>
      <c r="M61" s="3451">
        <v>0</v>
      </c>
      <c r="N61" s="2039"/>
      <c r="O61" s="3413">
        <v>0</v>
      </c>
      <c r="P61" s="2039"/>
      <c r="Q61" t="s">
        <v>8033</v>
      </c>
      <c r="R61" s="1134"/>
      <c r="U61" s="1143"/>
      <c r="V61" s="1144"/>
    </row>
    <row r="62" spans="1:22" s="1076" customFormat="1" ht="15.75">
      <c r="A62" s="1107" t="s">
        <v>3456</v>
      </c>
      <c r="B62" s="1107"/>
      <c r="C62" s="2859">
        <v>0</v>
      </c>
      <c r="E62" s="3425">
        <v>0</v>
      </c>
      <c r="G62" s="2444">
        <v>0</v>
      </c>
      <c r="I62" s="3437">
        <v>0</v>
      </c>
      <c r="K62" s="2873">
        <v>0</v>
      </c>
      <c r="L62" s="2040"/>
      <c r="M62" s="3453">
        <v>0</v>
      </c>
      <c r="N62" s="2040"/>
      <c r="O62" s="3415">
        <v>0</v>
      </c>
      <c r="P62" s="2040"/>
      <c r="Q62" t="s">
        <v>4527</v>
      </c>
      <c r="R62" s="1134"/>
      <c r="U62" s="1143"/>
      <c r="V62" s="1144"/>
    </row>
    <row r="63" spans="1:22" s="1076" customFormat="1" ht="15.75">
      <c r="A63" s="1076" t="s">
        <v>3328</v>
      </c>
      <c r="C63" s="2860">
        <v>0</v>
      </c>
      <c r="E63" s="3426">
        <v>0</v>
      </c>
      <c r="G63" s="1542">
        <v>0</v>
      </c>
      <c r="I63" s="3435">
        <v>0</v>
      </c>
      <c r="K63" s="2871">
        <v>0</v>
      </c>
      <c r="L63" s="2039"/>
      <c r="M63" s="3451">
        <v>0</v>
      </c>
      <c r="N63" s="2039"/>
      <c r="O63" s="3413">
        <v>0</v>
      </c>
      <c r="P63" s="2039"/>
      <c r="Q63" t="s">
        <v>8034</v>
      </c>
      <c r="R63" s="1134"/>
      <c r="U63" s="1143"/>
      <c r="V63" s="1144"/>
    </row>
    <row r="64" spans="1:22" s="1076" customFormat="1" ht="15.75">
      <c r="A64" s="3541" t="s">
        <v>4603</v>
      </c>
      <c r="B64" s="1108"/>
      <c r="C64" s="3542">
        <v>0</v>
      </c>
      <c r="E64" s="3543">
        <v>0</v>
      </c>
      <c r="G64" s="3536">
        <v>0</v>
      </c>
      <c r="I64" s="3537">
        <v>0</v>
      </c>
      <c r="K64" s="3538">
        <v>0</v>
      </c>
      <c r="L64" s="2039"/>
      <c r="M64" s="3539">
        <v>0</v>
      </c>
      <c r="N64" s="2039"/>
      <c r="O64" s="3540">
        <v>0</v>
      </c>
      <c r="P64" s="2039"/>
      <c r="Q64" t="s">
        <v>8035</v>
      </c>
      <c r="R64" s="1134"/>
      <c r="U64" s="1143"/>
      <c r="V64" s="1144"/>
    </row>
    <row r="65" spans="1:22" ht="18">
      <c r="A65" s="3638" t="s">
        <v>3329</v>
      </c>
      <c r="B65" s="3639"/>
      <c r="C65" s="3644"/>
      <c r="D65" s="3644"/>
      <c r="E65" s="3644"/>
      <c r="F65" s="3644"/>
      <c r="G65" s="3644"/>
      <c r="H65" s="3644"/>
      <c r="I65" s="3644"/>
      <c r="J65" s="3644"/>
      <c r="K65" s="3644"/>
      <c r="L65" s="3644"/>
      <c r="M65" s="3644"/>
      <c r="N65" s="3644"/>
      <c r="O65" s="3644"/>
      <c r="P65" s="3446"/>
      <c r="Q65" s="47"/>
      <c r="U65" s="458"/>
      <c r="V65" s="527"/>
    </row>
    <row r="66" spans="1:22" ht="15.75">
      <c r="A66" s="1146" t="s">
        <v>1081</v>
      </c>
      <c r="B66" s="1146"/>
      <c r="C66" s="2860">
        <v>0</v>
      </c>
      <c r="E66" s="3427">
        <f>C66</f>
        <v>0</v>
      </c>
      <c r="F66" s="1613"/>
      <c r="G66" s="1873">
        <f>E66</f>
        <v>0</v>
      </c>
      <c r="H66" s="1613"/>
      <c r="I66" s="3438">
        <f>G66</f>
        <v>0</v>
      </c>
      <c r="J66" s="1613"/>
      <c r="K66" s="2874">
        <f>I66</f>
        <v>0</v>
      </c>
      <c r="L66" s="2039"/>
      <c r="M66" s="3454">
        <f>K66</f>
        <v>0</v>
      </c>
      <c r="N66" s="2039"/>
      <c r="O66" s="3416">
        <f>M66</f>
        <v>0</v>
      </c>
      <c r="P66" s="2039"/>
      <c r="Q66" s="60" t="s">
        <v>1219</v>
      </c>
    </row>
    <row r="67" spans="1:22" ht="15.75">
      <c r="A67" s="1107" t="s">
        <v>3331</v>
      </c>
      <c r="B67" s="1107"/>
      <c r="C67" s="2859">
        <v>0</v>
      </c>
      <c r="E67" s="3425">
        <v>0</v>
      </c>
      <c r="F67" s="1613"/>
      <c r="G67" s="1710">
        <v>0</v>
      </c>
      <c r="H67" s="1613"/>
      <c r="I67" s="3434">
        <v>0</v>
      </c>
      <c r="J67" s="1613"/>
      <c r="K67" s="2870">
        <v>0</v>
      </c>
      <c r="L67" s="2037"/>
      <c r="M67" s="3450">
        <v>0</v>
      </c>
      <c r="N67" s="2037"/>
      <c r="O67" s="3412">
        <v>0</v>
      </c>
      <c r="P67" s="2037"/>
      <c r="Q67" s="940" t="s">
        <v>8036</v>
      </c>
      <c r="S67" s="180"/>
      <c r="V67" s="460"/>
    </row>
    <row r="68" spans="1:22" ht="15.75">
      <c r="A68" s="1107" t="s">
        <v>3332</v>
      </c>
      <c r="B68" s="1107"/>
      <c r="C68" s="2859">
        <v>0</v>
      </c>
      <c r="E68" s="3425">
        <v>0</v>
      </c>
      <c r="F68" s="1613"/>
      <c r="G68" s="1710">
        <v>0</v>
      </c>
      <c r="H68" s="1613"/>
      <c r="I68" s="3434">
        <v>0</v>
      </c>
      <c r="J68" s="1613"/>
      <c r="K68" s="2870">
        <v>0</v>
      </c>
      <c r="L68" s="2037"/>
      <c r="M68" s="3450">
        <v>0</v>
      </c>
      <c r="N68" s="2037"/>
      <c r="O68" s="3412">
        <v>0</v>
      </c>
      <c r="P68" s="2037"/>
      <c r="Q68" s="92" t="s">
        <v>2598</v>
      </c>
      <c r="S68" s="180"/>
      <c r="U68" s="459"/>
      <c r="V68" s="461"/>
    </row>
    <row r="69" spans="1:22" ht="15.75">
      <c r="A69" s="1107" t="s">
        <v>301</v>
      </c>
      <c r="B69" s="1107"/>
      <c r="C69" s="2860">
        <v>0</v>
      </c>
      <c r="E69" s="3426">
        <v>0</v>
      </c>
      <c r="F69" s="1613"/>
      <c r="G69" s="1542">
        <v>0</v>
      </c>
      <c r="H69" s="1613"/>
      <c r="I69" s="3435">
        <v>0</v>
      </c>
      <c r="J69" s="1613"/>
      <c r="K69" s="2871">
        <v>0</v>
      </c>
      <c r="L69" s="2039"/>
      <c r="M69" s="3451">
        <v>0</v>
      </c>
      <c r="N69" s="2039"/>
      <c r="O69" s="3413">
        <v>0</v>
      </c>
      <c r="P69" s="2039"/>
      <c r="Q69" s="940" t="s">
        <v>8037</v>
      </c>
      <c r="S69" s="180"/>
      <c r="U69" s="164"/>
      <c r="V69" s="528"/>
    </row>
    <row r="70" spans="1:22" ht="15.75">
      <c r="A70" s="1107" t="s">
        <v>3759</v>
      </c>
      <c r="B70" s="1107"/>
      <c r="C70" s="2860">
        <v>0</v>
      </c>
      <c r="E70" s="3426">
        <v>0</v>
      </c>
      <c r="F70" s="1613"/>
      <c r="G70" s="1614">
        <f>E70</f>
        <v>0</v>
      </c>
      <c r="H70" s="1613"/>
      <c r="I70" s="3438">
        <f>G70</f>
        <v>0</v>
      </c>
      <c r="J70" s="1613"/>
      <c r="K70" s="2874">
        <f>I70</f>
        <v>0</v>
      </c>
      <c r="L70" s="2039"/>
      <c r="M70" s="3454">
        <f>K70</f>
        <v>0</v>
      </c>
      <c r="N70" s="2039"/>
      <c r="O70" s="3416">
        <f>M70</f>
        <v>0</v>
      </c>
      <c r="P70" s="2039"/>
      <c r="Q70" s="940" t="s">
        <v>8038</v>
      </c>
      <c r="S70" s="180"/>
      <c r="U70" s="164"/>
      <c r="V70" s="528"/>
    </row>
    <row r="71" spans="1:22" ht="15.75">
      <c r="A71" s="1146" t="s">
        <v>3757</v>
      </c>
      <c r="B71" s="1146"/>
      <c r="C71" s="2860">
        <v>0</v>
      </c>
      <c r="E71" s="3426">
        <v>0</v>
      </c>
      <c r="F71" s="1613"/>
      <c r="G71" s="1614">
        <f>E71</f>
        <v>0</v>
      </c>
      <c r="H71" s="1613"/>
      <c r="I71" s="3438">
        <f>G71</f>
        <v>0</v>
      </c>
      <c r="J71" s="1613"/>
      <c r="K71" s="2874">
        <f>I71</f>
        <v>0</v>
      </c>
      <c r="L71" s="2039"/>
      <c r="M71" s="3454">
        <f>K71</f>
        <v>0</v>
      </c>
      <c r="N71" s="2039"/>
      <c r="O71" s="3416">
        <f>M71</f>
        <v>0</v>
      </c>
      <c r="P71" s="2039"/>
      <c r="Q71" s="940" t="s">
        <v>8039</v>
      </c>
      <c r="S71" s="180"/>
      <c r="U71" s="458"/>
      <c r="V71" s="527"/>
    </row>
    <row r="72" spans="1:22" ht="15.75">
      <c r="A72" s="1107" t="s">
        <v>3335</v>
      </c>
      <c r="B72" s="1107"/>
      <c r="C72" s="2860">
        <v>0</v>
      </c>
      <c r="E72" s="3426">
        <v>0</v>
      </c>
      <c r="F72" s="1613"/>
      <c r="G72" s="1542">
        <v>0</v>
      </c>
      <c r="H72" s="1613"/>
      <c r="I72" s="3435">
        <v>0</v>
      </c>
      <c r="J72" s="1613"/>
      <c r="K72" s="2871">
        <v>0</v>
      </c>
      <c r="L72" s="2039"/>
      <c r="M72" s="3451">
        <v>0</v>
      </c>
      <c r="N72" s="2039"/>
      <c r="O72" s="3413">
        <v>0</v>
      </c>
      <c r="P72" s="2039"/>
      <c r="Q72" t="s">
        <v>3430</v>
      </c>
      <c r="S72" s="180"/>
      <c r="U72" s="458"/>
      <c r="V72" s="527"/>
    </row>
    <row r="73" spans="1:22" ht="15.75">
      <c r="A73" s="1107" t="s">
        <v>4604</v>
      </c>
      <c r="B73" s="1107"/>
      <c r="C73" s="2860">
        <v>0</v>
      </c>
      <c r="E73" s="3426">
        <v>0</v>
      </c>
      <c r="G73" s="1542">
        <v>0</v>
      </c>
      <c r="I73" s="3435">
        <v>0</v>
      </c>
      <c r="K73" s="2871">
        <v>0</v>
      </c>
      <c r="L73" s="2039"/>
      <c r="M73" s="3451">
        <v>0</v>
      </c>
      <c r="N73" s="2039"/>
      <c r="O73" s="3413">
        <v>0</v>
      </c>
      <c r="P73" s="2039"/>
      <c r="Q73" t="s">
        <v>8040</v>
      </c>
      <c r="S73" s="180"/>
      <c r="U73" s="458"/>
      <c r="V73" s="527"/>
    </row>
    <row r="74" spans="1:22" ht="15.75">
      <c r="A74" s="1869" t="s">
        <v>4579</v>
      </c>
      <c r="B74" s="1107"/>
      <c r="C74" s="2857">
        <f>IF(ISNA('DE1'!H70),0,'DE1'!H70)</f>
        <v>0</v>
      </c>
      <c r="E74" s="3426">
        <v>0</v>
      </c>
      <c r="G74" s="1542">
        <v>0</v>
      </c>
      <c r="I74" s="3435">
        <v>0</v>
      </c>
      <c r="K74" s="2871">
        <v>0</v>
      </c>
      <c r="L74" s="2039"/>
      <c r="M74" s="3451">
        <v>0</v>
      </c>
      <c r="N74" s="2039"/>
      <c r="O74" s="3413">
        <v>0</v>
      </c>
      <c r="P74" s="2039"/>
      <c r="Q74" t="s">
        <v>7635</v>
      </c>
      <c r="S74" s="180"/>
      <c r="U74" s="458"/>
      <c r="V74" s="527"/>
    </row>
    <row r="75" spans="1:22" ht="15.75">
      <c r="A75" s="1243" t="s">
        <v>3495</v>
      </c>
      <c r="B75" s="1232"/>
      <c r="C75" s="2860">
        <v>0</v>
      </c>
      <c r="E75" s="3426">
        <v>0</v>
      </c>
      <c r="F75" s="1613"/>
      <c r="G75" s="1542">
        <v>0</v>
      </c>
      <c r="H75" s="1613"/>
      <c r="I75" s="3435">
        <v>0</v>
      </c>
      <c r="J75" s="1613"/>
      <c r="K75" s="2871">
        <v>0</v>
      </c>
      <c r="L75" s="2039"/>
      <c r="M75" s="3451">
        <v>0</v>
      </c>
      <c r="N75" s="2039"/>
      <c r="O75" s="3413">
        <v>0</v>
      </c>
      <c r="P75" s="2039"/>
      <c r="Q75" t="s">
        <v>3485</v>
      </c>
      <c r="S75" s="180"/>
      <c r="U75" s="164"/>
      <c r="V75" s="528"/>
    </row>
    <row r="76" spans="1:22" ht="15.75">
      <c r="A76" s="1231" t="s">
        <v>3336</v>
      </c>
      <c r="B76" s="1232"/>
      <c r="C76" s="2860">
        <v>0</v>
      </c>
      <c r="E76" s="3426">
        <v>0</v>
      </c>
      <c r="F76" s="1613"/>
      <c r="G76" s="1542">
        <v>0</v>
      </c>
      <c r="H76" s="1613"/>
      <c r="I76" s="3435">
        <v>0</v>
      </c>
      <c r="J76" s="1613"/>
      <c r="K76" s="2871">
        <v>0</v>
      </c>
      <c r="L76" s="2039"/>
      <c r="M76" s="3451">
        <v>0</v>
      </c>
      <c r="N76" s="2039"/>
      <c r="O76" s="3413">
        <v>0</v>
      </c>
      <c r="P76" s="2039"/>
      <c r="Q76" t="s">
        <v>3433</v>
      </c>
      <c r="S76" s="180"/>
      <c r="U76" s="164"/>
      <c r="V76" s="528"/>
    </row>
    <row r="77" spans="1:22" ht="15.75" hidden="1">
      <c r="A77" s="1243" t="s">
        <v>3396</v>
      </c>
      <c r="B77" s="1232"/>
      <c r="C77" s="2860">
        <v>0</v>
      </c>
      <c r="E77" s="3426">
        <v>0</v>
      </c>
      <c r="F77" s="1613"/>
      <c r="G77" s="1542">
        <v>0</v>
      </c>
      <c r="H77" s="1613"/>
      <c r="I77" s="3435">
        <v>0</v>
      </c>
      <c r="J77" s="1613"/>
      <c r="K77" s="2871">
        <v>0</v>
      </c>
      <c r="L77" s="2039"/>
      <c r="M77" s="3451">
        <v>0</v>
      </c>
      <c r="N77" s="2039"/>
      <c r="O77" s="3413">
        <v>0</v>
      </c>
      <c r="P77" s="2039"/>
      <c r="Q77" t="s">
        <v>3433</v>
      </c>
      <c r="S77" s="180"/>
      <c r="U77" s="164"/>
      <c r="V77" s="528"/>
    </row>
    <row r="78" spans="1:22" ht="15.75">
      <c r="A78" s="1243" t="s">
        <v>3397</v>
      </c>
      <c r="B78" s="1232"/>
      <c r="C78" s="2860">
        <v>0</v>
      </c>
      <c r="E78" s="3426">
        <v>0</v>
      </c>
      <c r="F78" s="1613"/>
      <c r="G78" s="1542">
        <v>0</v>
      </c>
      <c r="H78" s="1613"/>
      <c r="I78" s="3435">
        <v>0</v>
      </c>
      <c r="J78" s="1613"/>
      <c r="K78" s="2871">
        <v>0</v>
      </c>
      <c r="L78" s="2039"/>
      <c r="M78" s="3451">
        <v>0</v>
      </c>
      <c r="N78" s="2039"/>
      <c r="O78" s="3413">
        <v>0</v>
      </c>
      <c r="P78" s="2039"/>
      <c r="Q78" t="s">
        <v>3433</v>
      </c>
      <c r="S78" s="180"/>
      <c r="U78" s="164"/>
      <c r="V78" s="528"/>
    </row>
    <row r="79" spans="1:22" ht="15.75" hidden="1">
      <c r="A79" s="1243" t="s">
        <v>3398</v>
      </c>
      <c r="B79" s="1232"/>
      <c r="C79" s="2860">
        <v>0</v>
      </c>
      <c r="E79" s="3426">
        <v>0</v>
      </c>
      <c r="F79" s="1613"/>
      <c r="G79" s="1542">
        <v>0</v>
      </c>
      <c r="H79" s="1613"/>
      <c r="I79" s="3435">
        <v>0</v>
      </c>
      <c r="J79" s="1613"/>
      <c r="K79" s="2871">
        <v>0</v>
      </c>
      <c r="L79" s="2039"/>
      <c r="M79" s="3451">
        <v>0</v>
      </c>
      <c r="N79" s="2039"/>
      <c r="O79" s="3413">
        <v>0</v>
      </c>
      <c r="P79" s="2039"/>
      <c r="Q79" t="s">
        <v>3433</v>
      </c>
      <c r="S79" s="180"/>
      <c r="U79" s="164"/>
      <c r="V79" s="528"/>
    </row>
    <row r="80" spans="1:22" ht="15.75">
      <c r="A80" s="1243" t="s">
        <v>3401</v>
      </c>
      <c r="B80" s="1232"/>
      <c r="C80" s="2860">
        <v>0</v>
      </c>
      <c r="E80" s="3426">
        <v>0</v>
      </c>
      <c r="F80" s="1613"/>
      <c r="G80" s="1542">
        <v>0</v>
      </c>
      <c r="H80" s="1613"/>
      <c r="I80" s="3435">
        <v>0</v>
      </c>
      <c r="J80" s="1613"/>
      <c r="K80" s="2871">
        <v>0</v>
      </c>
      <c r="L80" s="2039"/>
      <c r="M80" s="3451">
        <v>0</v>
      </c>
      <c r="N80" s="2039"/>
      <c r="O80" s="3413">
        <v>0</v>
      </c>
      <c r="P80" s="2039"/>
      <c r="Q80" t="s">
        <v>3433</v>
      </c>
      <c r="S80" s="180"/>
      <c r="U80" s="164"/>
      <c r="V80" s="528"/>
    </row>
    <row r="81" spans="1:22" ht="15.75" hidden="1">
      <c r="A81" s="1107" t="s">
        <v>3447</v>
      </c>
      <c r="B81" s="1107"/>
      <c r="C81" s="2856"/>
      <c r="D81" s="1147"/>
      <c r="E81" s="3428"/>
      <c r="G81" s="1541"/>
      <c r="I81" s="3439"/>
      <c r="K81" s="2869"/>
      <c r="L81" s="2038"/>
      <c r="M81" s="3455"/>
      <c r="N81" s="2038"/>
      <c r="O81" s="3417"/>
      <c r="P81" s="2038"/>
      <c r="Q81" t="s">
        <v>3443</v>
      </c>
      <c r="S81" s="180"/>
      <c r="U81" s="457"/>
      <c r="V81" s="529"/>
    </row>
    <row r="82" spans="1:22" ht="15.75" hidden="1">
      <c r="A82" s="1231" t="s">
        <v>3758</v>
      </c>
      <c r="B82" s="1232"/>
      <c r="C82" s="2856"/>
      <c r="D82" s="1147"/>
      <c r="E82" s="3428"/>
      <c r="F82" s="1147"/>
      <c r="G82" s="1541"/>
      <c r="H82" s="1147"/>
      <c r="I82" s="3439"/>
      <c r="J82" s="1147"/>
      <c r="K82" s="2869"/>
      <c r="L82" s="2038"/>
      <c r="M82" s="3455"/>
      <c r="N82" s="2038"/>
      <c r="O82" s="3417"/>
      <c r="P82" s="2038"/>
      <c r="Q82" t="s">
        <v>3496</v>
      </c>
      <c r="S82" s="180"/>
      <c r="U82" s="164"/>
      <c r="V82" s="528"/>
    </row>
    <row r="83" spans="1:22" ht="15.75">
      <c r="A83" s="2522" t="s">
        <v>7432</v>
      </c>
      <c r="B83" s="1152"/>
      <c r="C83" s="2857">
        <f>IF(ISNA('DE1'!E83),0,'DE1'!E83)</f>
        <v>0</v>
      </c>
      <c r="E83" s="3426">
        <v>0</v>
      </c>
      <c r="F83" s="1613"/>
      <c r="G83" s="1542">
        <v>0</v>
      </c>
      <c r="H83" s="1613"/>
      <c r="I83" s="3435">
        <v>0</v>
      </c>
      <c r="J83" s="1613"/>
      <c r="K83" s="2871">
        <v>0</v>
      </c>
      <c r="L83" s="2038"/>
      <c r="M83" s="3451">
        <v>0</v>
      </c>
      <c r="N83" s="2038"/>
      <c r="O83" s="3413">
        <v>0</v>
      </c>
      <c r="P83" s="2038"/>
      <c r="Q83" t="s">
        <v>8041</v>
      </c>
      <c r="S83" s="180"/>
      <c r="U83" s="164"/>
      <c r="V83" s="528"/>
    </row>
    <row r="84" spans="1:22" ht="15.75">
      <c r="A84" s="1370" t="s">
        <v>4601</v>
      </c>
      <c r="B84" s="1152"/>
      <c r="C84" s="2860">
        <v>0</v>
      </c>
      <c r="E84" s="3426">
        <v>0</v>
      </c>
      <c r="G84" s="1542">
        <v>0</v>
      </c>
      <c r="I84" s="3435">
        <v>0</v>
      </c>
      <c r="K84" s="2871">
        <v>0</v>
      </c>
      <c r="L84" s="2039"/>
      <c r="M84" s="3451">
        <v>0</v>
      </c>
      <c r="N84" s="2039"/>
      <c r="O84" s="3413">
        <v>0</v>
      </c>
      <c r="P84" s="2039"/>
      <c r="Q84" t="s">
        <v>3611</v>
      </c>
      <c r="S84" s="180"/>
      <c r="U84" s="164"/>
      <c r="V84" s="528"/>
    </row>
    <row r="85" spans="1:22" ht="15.75">
      <c r="A85" s="1370" t="s">
        <v>4602</v>
      </c>
      <c r="B85" s="1152"/>
      <c r="C85" s="3542">
        <v>0</v>
      </c>
      <c r="E85" s="3543">
        <v>0</v>
      </c>
      <c r="G85" s="3536">
        <v>0</v>
      </c>
      <c r="I85" s="3537">
        <v>0</v>
      </c>
      <c r="K85" s="3538">
        <v>0</v>
      </c>
      <c r="L85" s="2039"/>
      <c r="M85" s="3539">
        <v>0</v>
      </c>
      <c r="N85" s="2039"/>
      <c r="O85" s="3540">
        <v>0</v>
      </c>
      <c r="P85" s="2039"/>
      <c r="Q85" t="s">
        <v>3611</v>
      </c>
      <c r="S85" s="180"/>
      <c r="U85" s="164"/>
      <c r="V85" s="528"/>
    </row>
    <row r="86" spans="1:22" ht="18">
      <c r="A86" s="3650" t="s">
        <v>3330</v>
      </c>
      <c r="B86" s="3643"/>
      <c r="C86" s="3645" t="s">
        <v>3613</v>
      </c>
      <c r="D86" s="3645"/>
      <c r="E86" s="3645" t="str">
        <f>E57</f>
        <v>2017-18</v>
      </c>
      <c r="F86" s="3645"/>
      <c r="G86" s="3645" t="str">
        <f>G57</f>
        <v>2018-19</v>
      </c>
      <c r="H86" s="3645"/>
      <c r="I86" s="3645" t="str">
        <f>I57</f>
        <v>2019-20</v>
      </c>
      <c r="J86" s="3645"/>
      <c r="K86" s="3645" t="str">
        <f>K57</f>
        <v>2020-21</v>
      </c>
      <c r="L86" s="3645"/>
      <c r="M86" s="3645" t="str">
        <f>M57</f>
        <v>2021-22</v>
      </c>
      <c r="N86" s="3645"/>
      <c r="O86" s="3645" t="str">
        <f>O57</f>
        <v>2022-23</v>
      </c>
      <c r="P86" s="3446"/>
      <c r="Q86" s="265" t="s">
        <v>1106</v>
      </c>
      <c r="U86" s="458"/>
      <c r="V86" s="527"/>
    </row>
    <row r="87" spans="1:22" ht="15.75" hidden="1">
      <c r="A87" s="1107" t="s">
        <v>3333</v>
      </c>
      <c r="B87" s="1107"/>
      <c r="C87" s="2455" t="s">
        <v>2001</v>
      </c>
      <c r="D87" s="177"/>
      <c r="E87" s="1615" t="str">
        <f>C87</f>
        <v>N</v>
      </c>
      <c r="F87" s="177"/>
      <c r="G87" s="1616" t="str">
        <f>E87</f>
        <v>N</v>
      </c>
      <c r="H87" s="177"/>
      <c r="I87" s="1630" t="str">
        <f>G87</f>
        <v>N</v>
      </c>
      <c r="J87" s="177"/>
      <c r="K87" s="2046" t="str">
        <f>I87</f>
        <v>N</v>
      </c>
      <c r="L87" s="2041"/>
      <c r="M87" s="2046" t="str">
        <f>K87</f>
        <v>N</v>
      </c>
      <c r="N87" s="2041"/>
      <c r="O87" s="2046" t="str">
        <f>M87</f>
        <v>N</v>
      </c>
      <c r="P87" s="2041"/>
      <c r="Q87" s="92" t="s">
        <v>2744</v>
      </c>
      <c r="S87" s="180"/>
      <c r="U87" s="457"/>
      <c r="V87" s="529"/>
    </row>
    <row r="88" spans="1:22" ht="15.75" hidden="1">
      <c r="A88" s="1107" t="s">
        <v>3334</v>
      </c>
      <c r="B88" s="1107"/>
      <c r="C88" s="2455" t="s">
        <v>2001</v>
      </c>
      <c r="D88" s="177"/>
      <c r="E88" s="1615" t="str">
        <f>C88</f>
        <v>N</v>
      </c>
      <c r="F88" s="177"/>
      <c r="G88" s="1616" t="str">
        <f>E88</f>
        <v>N</v>
      </c>
      <c r="H88" s="177"/>
      <c r="I88" s="1630" t="str">
        <f>G88</f>
        <v>N</v>
      </c>
      <c r="J88" s="177"/>
      <c r="K88" s="2046" t="str">
        <f>I88</f>
        <v>N</v>
      </c>
      <c r="L88" s="2041"/>
      <c r="M88" s="2046" t="str">
        <f>K88</f>
        <v>N</v>
      </c>
      <c r="N88" s="2041"/>
      <c r="O88" s="2046" t="str">
        <f>M88</f>
        <v>N</v>
      </c>
      <c r="P88" s="2041"/>
      <c r="Q88" t="s">
        <v>3442</v>
      </c>
      <c r="S88" s="180"/>
      <c r="U88" s="457"/>
      <c r="V88" s="529"/>
    </row>
    <row r="89" spans="1:22" ht="15.75">
      <c r="A89" s="1152" t="s">
        <v>2396</v>
      </c>
      <c r="B89" s="1152"/>
      <c r="C89" s="2860">
        <v>0</v>
      </c>
      <c r="E89" s="3426">
        <v>0</v>
      </c>
      <c r="G89" s="1542">
        <v>0</v>
      </c>
      <c r="I89" s="3435">
        <v>0</v>
      </c>
      <c r="K89" s="2871">
        <v>0</v>
      </c>
      <c r="L89" s="2039"/>
      <c r="M89" s="3451">
        <v>0</v>
      </c>
      <c r="N89" s="2039"/>
      <c r="O89" s="3413">
        <v>0</v>
      </c>
      <c r="P89" s="2039"/>
      <c r="Q89" s="4650" t="s">
        <v>8042</v>
      </c>
      <c r="S89" s="180"/>
      <c r="U89" s="458"/>
      <c r="V89" s="527"/>
    </row>
    <row r="90" spans="1:22" ht="15.75">
      <c r="A90" s="1152" t="s">
        <v>1047</v>
      </c>
      <c r="B90" s="1152"/>
      <c r="C90" s="2860">
        <v>0</v>
      </c>
      <c r="E90" s="3426">
        <v>0</v>
      </c>
      <c r="G90" s="1542">
        <v>0</v>
      </c>
      <c r="I90" s="3435">
        <v>0</v>
      </c>
      <c r="K90" s="2871">
        <v>0</v>
      </c>
      <c r="L90" s="2039"/>
      <c r="M90" s="3451">
        <v>0</v>
      </c>
      <c r="N90" s="2039"/>
      <c r="O90" s="3413">
        <v>0</v>
      </c>
      <c r="P90" s="2039"/>
      <c r="Q90" s="377" t="s">
        <v>8043</v>
      </c>
      <c r="S90" s="180"/>
      <c r="U90" s="458"/>
      <c r="V90" s="527"/>
    </row>
    <row r="91" spans="1:22" ht="15.75">
      <c r="A91" s="1152" t="s">
        <v>3337</v>
      </c>
      <c r="B91" s="1152"/>
      <c r="C91" s="2860">
        <v>0</v>
      </c>
      <c r="E91" s="3426">
        <v>0</v>
      </c>
      <c r="G91" s="1542">
        <v>0</v>
      </c>
      <c r="I91" s="3435">
        <v>0</v>
      </c>
      <c r="K91" s="2871">
        <v>0</v>
      </c>
      <c r="L91" s="2039"/>
      <c r="M91" s="3451">
        <v>0</v>
      </c>
      <c r="N91" s="2039"/>
      <c r="O91" s="3413">
        <v>0</v>
      </c>
      <c r="P91" s="2039"/>
      <c r="Q91" s="377" t="s">
        <v>3434</v>
      </c>
      <c r="S91" s="180"/>
      <c r="U91" s="458"/>
      <c r="V91" s="527"/>
    </row>
    <row r="92" spans="1:22" ht="15.75">
      <c r="A92" s="1152" t="s">
        <v>2800</v>
      </c>
      <c r="B92" s="1152"/>
      <c r="C92" s="2860">
        <v>0</v>
      </c>
      <c r="E92" s="3426">
        <v>0</v>
      </c>
      <c r="G92" s="1542">
        <v>0</v>
      </c>
      <c r="I92" s="3435">
        <v>0</v>
      </c>
      <c r="K92" s="2871">
        <v>0</v>
      </c>
      <c r="L92" s="2039"/>
      <c r="M92" s="3451">
        <v>0</v>
      </c>
      <c r="N92" s="2039"/>
      <c r="O92" s="3413">
        <v>0</v>
      </c>
      <c r="P92" s="2039"/>
      <c r="Q92" s="377" t="s">
        <v>3435</v>
      </c>
      <c r="S92" s="180"/>
      <c r="U92" s="458"/>
      <c r="V92" s="527"/>
    </row>
    <row r="93" spans="1:22" ht="15.75">
      <c r="A93" s="1132" t="s">
        <v>2116</v>
      </c>
      <c r="B93" s="1132"/>
      <c r="C93" s="2861"/>
      <c r="E93" s="3429"/>
      <c r="G93" s="1711"/>
      <c r="I93" s="3440"/>
      <c r="K93" s="2875"/>
      <c r="L93" s="2039"/>
      <c r="M93" s="3456"/>
      <c r="N93" s="2039"/>
      <c r="O93" s="3418"/>
      <c r="P93" s="2039"/>
      <c r="S93" s="180"/>
      <c r="U93" s="458"/>
      <c r="V93" s="527"/>
    </row>
    <row r="94" spans="1:22" ht="15.75">
      <c r="A94" s="1167" t="s">
        <v>3078</v>
      </c>
      <c r="B94" s="1166"/>
      <c r="C94" s="2860">
        <v>0</v>
      </c>
      <c r="E94" s="3426">
        <v>0</v>
      </c>
      <c r="G94" s="1542">
        <v>0</v>
      </c>
      <c r="I94" s="3435">
        <v>0</v>
      </c>
      <c r="K94" s="2871">
        <v>0</v>
      </c>
      <c r="L94" s="2039"/>
      <c r="M94" s="3451">
        <v>0</v>
      </c>
      <c r="N94" s="2039"/>
      <c r="O94" s="3413">
        <v>0</v>
      </c>
      <c r="P94" s="2039"/>
      <c r="Q94" s="377" t="s">
        <v>3436</v>
      </c>
      <c r="S94" s="180"/>
      <c r="U94" s="458"/>
      <c r="V94" s="527"/>
    </row>
    <row r="95" spans="1:22" ht="15.75">
      <c r="A95" s="1163" t="s">
        <v>868</v>
      </c>
      <c r="B95" s="1232"/>
      <c r="C95" s="2860">
        <v>0</v>
      </c>
      <c r="E95" s="3426">
        <v>0</v>
      </c>
      <c r="G95" s="1542">
        <v>0</v>
      </c>
      <c r="I95" s="3435">
        <v>0</v>
      </c>
      <c r="K95" s="2871">
        <v>0</v>
      </c>
      <c r="L95" s="2039"/>
      <c r="M95" s="3451">
        <v>0</v>
      </c>
      <c r="N95" s="2039"/>
      <c r="O95" s="3413">
        <v>0</v>
      </c>
      <c r="P95" s="2039"/>
      <c r="Q95" s="377" t="s">
        <v>3437</v>
      </c>
    </row>
    <row r="96" spans="1:22" ht="15.75">
      <c r="A96" s="1243" t="s">
        <v>3774</v>
      </c>
      <c r="B96" s="1232"/>
      <c r="C96" s="2860">
        <v>0</v>
      </c>
      <c r="E96" s="3426">
        <v>0</v>
      </c>
      <c r="G96" s="1542">
        <v>0</v>
      </c>
      <c r="I96" s="3435">
        <v>0</v>
      </c>
      <c r="K96" s="2871">
        <v>0</v>
      </c>
      <c r="L96" s="2041"/>
      <c r="M96" s="3451">
        <v>0</v>
      </c>
      <c r="N96" s="2041"/>
      <c r="O96" s="3413">
        <v>0</v>
      </c>
      <c r="P96" s="2041"/>
      <c r="Q96" t="s">
        <v>3485</v>
      </c>
      <c r="S96" s="180"/>
      <c r="U96" s="164"/>
      <c r="V96" s="528"/>
    </row>
    <row r="97" spans="1:22" ht="15.75">
      <c r="A97" s="1163" t="s">
        <v>4508</v>
      </c>
      <c r="B97" s="1232"/>
      <c r="C97" s="2862" t="s">
        <v>798</v>
      </c>
      <c r="D97" s="177"/>
      <c r="E97" s="3430" t="str">
        <f>C97</f>
        <v>Y</v>
      </c>
      <c r="F97" s="177"/>
      <c r="G97" s="1616" t="str">
        <f>E97</f>
        <v>Y</v>
      </c>
      <c r="H97" s="177"/>
      <c r="I97" s="3441" t="str">
        <f>G97</f>
        <v>Y</v>
      </c>
      <c r="J97" s="177"/>
      <c r="K97" s="2876" t="str">
        <f>I97</f>
        <v>Y</v>
      </c>
      <c r="L97" s="2041"/>
      <c r="M97" s="3457" t="str">
        <f>K97</f>
        <v>Y</v>
      </c>
      <c r="N97" s="2041"/>
      <c r="O97" s="3419" t="str">
        <f>M97</f>
        <v>Y</v>
      </c>
      <c r="P97" s="2041"/>
      <c r="Q97" s="377" t="s">
        <v>8044</v>
      </c>
    </row>
    <row r="98" spans="1:22" ht="15.75">
      <c r="A98" s="1163" t="s">
        <v>3482</v>
      </c>
      <c r="B98" s="1244"/>
      <c r="C98" s="2862" t="s">
        <v>798</v>
      </c>
      <c r="D98" s="1476"/>
      <c r="E98" s="3430" t="str">
        <f>C98</f>
        <v>Y</v>
      </c>
      <c r="F98" s="1476"/>
      <c r="G98" s="1616" t="str">
        <f>E98</f>
        <v>Y</v>
      </c>
      <c r="H98" s="1476"/>
      <c r="I98" s="3441" t="str">
        <f>G98</f>
        <v>Y</v>
      </c>
      <c r="J98" s="1476"/>
      <c r="K98" s="2876" t="str">
        <f>I98</f>
        <v>Y</v>
      </c>
      <c r="L98" s="2041"/>
      <c r="M98" s="3457" t="str">
        <f>K98</f>
        <v>Y</v>
      </c>
      <c r="N98" s="2041"/>
      <c r="O98" s="3419" t="str">
        <f>M98</f>
        <v>Y</v>
      </c>
      <c r="P98" s="2041"/>
      <c r="Q98" s="377" t="s">
        <v>8045</v>
      </c>
    </row>
    <row r="99" spans="1:22" ht="18">
      <c r="A99" s="3650" t="s">
        <v>3453</v>
      </c>
      <c r="B99" s="3647"/>
      <c r="C99" s="3644"/>
      <c r="D99" s="3644"/>
      <c r="E99" s="3644"/>
      <c r="F99" s="3644"/>
      <c r="G99" s="3645" t="str">
        <f>G86</f>
        <v>2018-19</v>
      </c>
      <c r="I99" s="1631"/>
      <c r="K99" s="2047"/>
      <c r="L99" s="2042"/>
      <c r="M99" s="2047"/>
      <c r="N99" s="2042"/>
      <c r="O99" s="2047"/>
      <c r="P99" s="2042"/>
      <c r="Q99" s="377"/>
    </row>
    <row r="100" spans="1:22" ht="15.75" hidden="1">
      <c r="A100" s="1152" t="s">
        <v>3455</v>
      </c>
      <c r="B100" s="1232"/>
      <c r="C100" s="1717"/>
      <c r="D100" s="531"/>
      <c r="G100" s="531"/>
      <c r="I100" s="1631"/>
      <c r="K100" s="2047"/>
      <c r="L100" s="2042"/>
      <c r="M100" s="2047"/>
      <c r="N100" s="2042"/>
      <c r="O100" s="2047"/>
      <c r="P100" s="2042"/>
      <c r="Q100" s="377" t="s">
        <v>3458</v>
      </c>
    </row>
    <row r="101" spans="1:22" ht="15.75" hidden="1">
      <c r="A101" s="1152" t="s">
        <v>3454</v>
      </c>
      <c r="B101" s="1232"/>
      <c r="C101" s="1717"/>
      <c r="D101" s="531"/>
      <c r="G101" s="531"/>
      <c r="I101" s="1631"/>
      <c r="K101" s="2047"/>
      <c r="L101" s="2042"/>
      <c r="M101" s="2047"/>
      <c r="N101" s="2042"/>
      <c r="O101" s="2047"/>
      <c r="P101" s="2042"/>
      <c r="Q101" s="377" t="s">
        <v>3459</v>
      </c>
    </row>
    <row r="102" spans="1:22" ht="15.75">
      <c r="A102" s="1152" t="s">
        <v>3745</v>
      </c>
      <c r="B102" s="1232"/>
      <c r="C102" s="3644"/>
      <c r="D102" s="3643"/>
      <c r="E102" s="3644"/>
      <c r="F102" s="3643"/>
      <c r="G102" s="3409">
        <v>0</v>
      </c>
      <c r="I102" s="1631"/>
      <c r="K102" s="2047"/>
      <c r="L102" s="2042"/>
      <c r="M102" s="2047"/>
      <c r="N102" s="2042"/>
      <c r="O102" s="2047"/>
      <c r="P102" s="2042"/>
      <c r="Q102" s="377" t="s">
        <v>3460</v>
      </c>
    </row>
    <row r="103" spans="1:22" ht="15.75">
      <c r="A103" s="1152" t="s">
        <v>7638</v>
      </c>
      <c r="B103" s="1232"/>
      <c r="C103" s="3644"/>
      <c r="D103" s="3643"/>
      <c r="E103" s="3644"/>
      <c r="F103" s="3643"/>
      <c r="G103" s="3410">
        <v>0</v>
      </c>
      <c r="H103" s="2842" t="s">
        <v>7735</v>
      </c>
      <c r="I103" s="1631"/>
      <c r="K103" s="2047"/>
      <c r="L103" s="2042"/>
      <c r="M103" s="2047"/>
      <c r="N103" s="2042"/>
      <c r="O103" s="2047"/>
      <c r="P103" s="2042"/>
      <c r="Q103" s="177" t="s">
        <v>8046</v>
      </c>
    </row>
    <row r="104" spans="1:22" ht="15.75">
      <c r="A104" s="2522" t="s">
        <v>7640</v>
      </c>
      <c r="B104" s="3544"/>
      <c r="C104" s="3644"/>
      <c r="D104" s="3643"/>
      <c r="E104" s="3644"/>
      <c r="F104" s="3643"/>
      <c r="G104" s="3410">
        <v>0</v>
      </c>
      <c r="H104" s="2518" t="s">
        <v>7641</v>
      </c>
      <c r="I104" s="1631"/>
      <c r="K104" s="2047"/>
      <c r="L104" s="2042"/>
      <c r="M104" s="2047"/>
      <c r="N104" s="2042"/>
      <c r="O104" s="2047"/>
      <c r="P104" s="2042"/>
      <c r="Q104" s="177" t="s">
        <v>8047</v>
      </c>
    </row>
    <row r="105" spans="1:22" ht="15.75">
      <c r="A105" s="1152" t="s">
        <v>7639</v>
      </c>
      <c r="B105" s="1232"/>
      <c r="C105" s="3644"/>
      <c r="D105" s="3643"/>
      <c r="E105" s="3644"/>
      <c r="F105" s="3643"/>
      <c r="G105" s="3410">
        <v>0</v>
      </c>
      <c r="I105" s="1631"/>
      <c r="K105" s="2047"/>
      <c r="L105" s="2042"/>
      <c r="M105" s="2047"/>
      <c r="N105" s="2042"/>
      <c r="O105" s="2047"/>
      <c r="P105" s="2042"/>
      <c r="Q105" s="377" t="s">
        <v>8048</v>
      </c>
    </row>
    <row r="106" spans="1:22" ht="15.75">
      <c r="A106" s="1152" t="s">
        <v>3477</v>
      </c>
      <c r="B106" s="1232"/>
      <c r="C106" s="3651"/>
      <c r="D106" s="3643"/>
      <c r="E106" s="3651"/>
      <c r="F106" s="3643"/>
      <c r="G106" s="3545">
        <v>0</v>
      </c>
      <c r="I106" s="1631"/>
      <c r="K106" s="2047"/>
      <c r="L106" s="2042"/>
      <c r="M106" s="2047"/>
      <c r="N106" s="2042"/>
      <c r="O106" s="2047"/>
      <c r="P106" s="2042"/>
      <c r="Q106" s="377" t="s">
        <v>3478</v>
      </c>
    </row>
    <row r="107" spans="1:22" ht="18">
      <c r="A107" s="3650" t="s">
        <v>3352</v>
      </c>
      <c r="B107" s="3649"/>
      <c r="C107" s="3645" t="str">
        <f>C86</f>
        <v>2016-17</v>
      </c>
      <c r="D107" s="3645"/>
      <c r="E107" s="3645" t="str">
        <f>E86</f>
        <v>2017-18</v>
      </c>
      <c r="F107" s="3645"/>
      <c r="G107" s="3645" t="str">
        <f>G86</f>
        <v>2018-19</v>
      </c>
      <c r="H107" s="3645"/>
      <c r="I107" s="3645" t="str">
        <f>I86</f>
        <v>2019-20</v>
      </c>
      <c r="J107" s="3645"/>
      <c r="K107" s="3645" t="str">
        <f>K86</f>
        <v>2020-21</v>
      </c>
      <c r="L107" s="3645"/>
      <c r="M107" s="3645" t="str">
        <f>M86</f>
        <v>2021-22</v>
      </c>
      <c r="N107" s="3645"/>
      <c r="O107" s="3645" t="str">
        <f>O86</f>
        <v>2022-23</v>
      </c>
      <c r="P107" s="3446"/>
    </row>
    <row r="108" spans="1:22" s="1076" customFormat="1" ht="15.75">
      <c r="A108" s="1107" t="s">
        <v>2110</v>
      </c>
      <c r="B108" s="1164"/>
      <c r="C108" s="3546">
        <f>ROUNDDOWN(C113*Weights!H47,4)</f>
        <v>0</v>
      </c>
      <c r="E108" s="3547">
        <f>ROUNDDOWN(C113*Weights!I47,4)</f>
        <v>0</v>
      </c>
      <c r="G108" s="3548">
        <f>ROUNDDOWN(C113*Weights!J47,4)</f>
        <v>0</v>
      </c>
      <c r="I108" s="3549">
        <f>ROUNDDOWN(C113*Weights!K47,4)</f>
        <v>0</v>
      </c>
      <c r="K108" s="3550">
        <f>ROUNDDOWN(C113*Weights!L47,4)</f>
        <v>0</v>
      </c>
      <c r="L108" s="2043"/>
      <c r="M108" s="3551">
        <f>ROUNDDOWN(C113*Weights!M47,4)</f>
        <v>0</v>
      </c>
      <c r="N108" s="2043"/>
      <c r="O108" s="3552">
        <f>ROUNDDOWN(C113*Weights!N47,4)</f>
        <v>0</v>
      </c>
      <c r="P108" s="2043"/>
      <c r="Q108" s="940" t="s">
        <v>2298</v>
      </c>
      <c r="R108" s="1134"/>
      <c r="U108" s="1148"/>
      <c r="V108" s="1149"/>
    </row>
    <row r="109" spans="1:22" ht="15.75">
      <c r="A109" s="1107" t="s">
        <v>1057</v>
      </c>
      <c r="B109" s="1107"/>
      <c r="C109" s="2863">
        <f>IF(ISNA('DE1'!F92),0,'DE1'!F92)</f>
        <v>0</v>
      </c>
      <c r="E109" s="3431">
        <f>C109</f>
        <v>0</v>
      </c>
      <c r="G109" s="1543">
        <f>E109</f>
        <v>0</v>
      </c>
      <c r="I109" s="3442">
        <f>G109</f>
        <v>0</v>
      </c>
      <c r="K109" s="2877">
        <f>I109</f>
        <v>0</v>
      </c>
      <c r="L109" s="2044"/>
      <c r="M109" s="3458">
        <f>K109</f>
        <v>0</v>
      </c>
      <c r="N109" s="2044"/>
      <c r="O109" s="3420">
        <f>M109</f>
        <v>0</v>
      </c>
      <c r="P109" s="2044"/>
      <c r="Q109" t="s">
        <v>3438</v>
      </c>
    </row>
    <row r="110" spans="1:22" ht="15.75">
      <c r="A110" s="1107" t="s">
        <v>1444</v>
      </c>
      <c r="B110" s="1107"/>
      <c r="C110" s="2863">
        <f>IF(ISNA('DE1'!G35),0,'DE1'!G35)</f>
        <v>0</v>
      </c>
      <c r="E110" s="3431">
        <f>C110</f>
        <v>0</v>
      </c>
      <c r="G110" s="1543">
        <f>E110</f>
        <v>0</v>
      </c>
      <c r="I110" s="3442">
        <f>G110</f>
        <v>0</v>
      </c>
      <c r="K110" s="2877">
        <f>I110</f>
        <v>0</v>
      </c>
      <c r="L110" s="2044"/>
      <c r="M110" s="3458">
        <f>K110</f>
        <v>0</v>
      </c>
      <c r="N110" s="2044"/>
      <c r="O110" s="3420">
        <f>M110</f>
        <v>0</v>
      </c>
      <c r="P110" s="2044"/>
      <c r="Q110" t="s">
        <v>3439</v>
      </c>
    </row>
    <row r="111" spans="1:22" ht="15.75">
      <c r="A111" s="1107" t="s">
        <v>2381</v>
      </c>
      <c r="B111" s="1107"/>
      <c r="C111" s="2863">
        <f>IF(ISNA('DE1'!F94),0,'DE1'!F94)</f>
        <v>0</v>
      </c>
      <c r="E111" s="3431">
        <f>C111</f>
        <v>0</v>
      </c>
      <c r="G111" s="1543">
        <f>E111</f>
        <v>0</v>
      </c>
      <c r="I111" s="3442">
        <f>G111</f>
        <v>0</v>
      </c>
      <c r="K111" s="2877">
        <f>I111</f>
        <v>0</v>
      </c>
      <c r="L111" s="2044"/>
      <c r="M111" s="3458">
        <f>K111</f>
        <v>0</v>
      </c>
      <c r="N111" s="2044"/>
      <c r="O111" s="3420">
        <f>M111</f>
        <v>0</v>
      </c>
      <c r="P111" s="2044"/>
      <c r="Q111" t="s">
        <v>3440</v>
      </c>
    </row>
    <row r="112" spans="1:22" ht="15.75">
      <c r="A112" s="1107" t="s">
        <v>3338</v>
      </c>
      <c r="B112" s="1107"/>
      <c r="C112" s="2864">
        <f>IF(ISNA('DE1'!G37),0,'DE1'!G37)</f>
        <v>0</v>
      </c>
      <c r="D112" s="1380"/>
      <c r="E112" s="3432">
        <f>C112</f>
        <v>0</v>
      </c>
      <c r="G112" s="1544">
        <f>E112</f>
        <v>0</v>
      </c>
      <c r="I112" s="3443">
        <f>G112</f>
        <v>0</v>
      </c>
      <c r="K112" s="2878">
        <f>I112</f>
        <v>0</v>
      </c>
      <c r="L112" s="2045"/>
      <c r="M112" s="3459">
        <f>K112</f>
        <v>0</v>
      </c>
      <c r="N112" s="2045"/>
      <c r="O112" s="3421">
        <f>M112</f>
        <v>0</v>
      </c>
      <c r="P112" s="2045"/>
      <c r="Q112" s="92" t="s">
        <v>13</v>
      </c>
    </row>
    <row r="113" spans="1:18" s="1076" customFormat="1" ht="15.75">
      <c r="A113" s="1107" t="s">
        <v>2355</v>
      </c>
      <c r="B113" s="1107"/>
      <c r="C113" s="2864">
        <f>IF(ISNA('DE1'!D15),0,'DE1'!D15)</f>
        <v>0</v>
      </c>
      <c r="E113" s="1133"/>
      <c r="L113" s="1132"/>
      <c r="N113" s="1132"/>
      <c r="P113" s="1132"/>
      <c r="R113" s="1134"/>
    </row>
    <row r="114" spans="1:18" s="1076" customFormat="1" ht="15.75" hidden="1">
      <c r="A114" s="1152" t="s">
        <v>2476</v>
      </c>
      <c r="B114" s="1152"/>
      <c r="C114" s="2857">
        <f>IF(ISNA('DE1'!G23),0,'DE1'!G23)</f>
        <v>0</v>
      </c>
      <c r="E114" s="1133"/>
      <c r="G114" s="961"/>
      <c r="I114" s="961"/>
      <c r="K114" s="961"/>
      <c r="L114" s="1477"/>
      <c r="M114" s="961"/>
      <c r="N114" s="1477"/>
      <c r="O114" s="961"/>
      <c r="P114" s="1477"/>
      <c r="Q114" s="1151" t="s">
        <v>2750</v>
      </c>
      <c r="R114" s="1134"/>
    </row>
    <row r="115" spans="1:18" s="1076" customFormat="1" ht="15.75">
      <c r="A115" s="1152" t="s">
        <v>2094</v>
      </c>
      <c r="B115" s="1152"/>
      <c r="C115" s="2865">
        <f>IF(ISNA('DE1'!G24),0,'DE1'!G24)</f>
        <v>0</v>
      </c>
      <c r="E115" s="1133"/>
      <c r="G115" s="961"/>
      <c r="I115" s="961"/>
      <c r="K115" s="961"/>
      <c r="L115" s="1477"/>
      <c r="M115" s="961"/>
      <c r="N115" s="1477"/>
      <c r="O115" s="961"/>
      <c r="P115" s="1477"/>
      <c r="Q115" s="1203" t="s">
        <v>3441</v>
      </c>
      <c r="R115" s="1134"/>
    </row>
    <row r="116" spans="1:18" s="1076" customFormat="1" ht="15.75" hidden="1">
      <c r="A116" s="1152" t="s">
        <v>719</v>
      </c>
      <c r="B116" s="1152"/>
      <c r="C116" s="2857">
        <f>IF(ISNA('DE1'!G25),0,'DE1'!G25)</f>
        <v>0</v>
      </c>
      <c r="E116" s="1133"/>
      <c r="G116" s="961"/>
      <c r="I116" s="961"/>
      <c r="K116" s="961"/>
      <c r="L116" s="1477"/>
      <c r="M116" s="961"/>
      <c r="N116" s="1477"/>
      <c r="O116" s="961"/>
      <c r="P116" s="1477"/>
      <c r="Q116" s="1202" t="s">
        <v>2750</v>
      </c>
      <c r="R116" s="1134"/>
    </row>
    <row r="117" spans="1:18" s="1076" customFormat="1" ht="15.75" hidden="1">
      <c r="A117" s="1152" t="s">
        <v>1396</v>
      </c>
      <c r="B117" s="1152"/>
      <c r="C117" s="2857">
        <f>IF(ISNA('DE1'!G26),0,'DE1'!G26)</f>
        <v>0</v>
      </c>
      <c r="E117" s="1133"/>
      <c r="G117" s="961"/>
      <c r="I117" s="961"/>
      <c r="K117" s="961"/>
      <c r="L117" s="1477"/>
      <c r="M117" s="961"/>
      <c r="N117" s="1477"/>
      <c r="O117" s="961"/>
      <c r="P117" s="1477"/>
      <c r="Q117" s="1202" t="s">
        <v>2750</v>
      </c>
      <c r="R117" s="1134"/>
    </row>
    <row r="118" spans="1:18" s="1076" customFormat="1" ht="15.75" hidden="1">
      <c r="A118" s="1152" t="s">
        <v>722</v>
      </c>
      <c r="B118" s="1152"/>
      <c r="C118" s="2857">
        <f>IF(ISNA('DE1'!G27),0,'DE1'!G27)</f>
        <v>0</v>
      </c>
      <c r="E118" s="1133"/>
      <c r="G118" s="961"/>
      <c r="I118" s="961"/>
      <c r="K118" s="961"/>
      <c r="L118" s="1477"/>
      <c r="M118" s="961"/>
      <c r="N118" s="1477"/>
      <c r="O118" s="961"/>
      <c r="P118" s="1477"/>
      <c r="Q118" s="1202" t="s">
        <v>2750</v>
      </c>
      <c r="R118" s="1134"/>
    </row>
    <row r="119" spans="1:18" s="1076" customFormat="1" ht="15.75" hidden="1">
      <c r="A119" s="1152" t="s">
        <v>723</v>
      </c>
      <c r="B119" s="1152"/>
      <c r="C119" s="2857">
        <f>IF(ISNA('DE1'!G28),0,'DE1'!G28)</f>
        <v>0</v>
      </c>
      <c r="E119" s="1133"/>
      <c r="G119" s="961"/>
      <c r="I119" s="961"/>
      <c r="K119" s="961"/>
      <c r="L119" s="1477"/>
      <c r="M119" s="961"/>
      <c r="N119" s="1477"/>
      <c r="O119" s="961"/>
      <c r="P119" s="1477"/>
      <c r="Q119" s="1202" t="s">
        <v>2750</v>
      </c>
      <c r="R119" s="1134"/>
    </row>
    <row r="120" spans="1:18" s="1076" customFormat="1" ht="15.75" hidden="1">
      <c r="A120" s="1107" t="s">
        <v>2159</v>
      </c>
      <c r="B120" s="1152"/>
      <c r="C120" s="2865">
        <f>IF(ISNA('DE1'!G143),0,'DE1'!G143)</f>
        <v>0</v>
      </c>
      <c r="E120" s="1133"/>
      <c r="G120" s="961"/>
      <c r="I120" s="961"/>
      <c r="K120" s="961"/>
      <c r="L120" s="1477"/>
      <c r="M120" s="961"/>
      <c r="N120" s="1477"/>
      <c r="O120" s="961"/>
      <c r="P120" s="1477"/>
      <c r="Q120" s="1202" t="s">
        <v>2750</v>
      </c>
      <c r="R120" s="1134"/>
    </row>
    <row r="121" spans="1:18" s="1076" customFormat="1" ht="15.75" hidden="1">
      <c r="A121" s="1152" t="s">
        <v>2160</v>
      </c>
      <c r="B121" s="1152"/>
      <c r="C121" s="2865">
        <f>IF(ISNA('DE1'!G144),0,'DE1'!G144)</f>
        <v>0</v>
      </c>
      <c r="E121" s="1133"/>
      <c r="G121" s="961"/>
      <c r="I121" s="961"/>
      <c r="K121" s="961"/>
      <c r="L121" s="1477"/>
      <c r="M121" s="961"/>
      <c r="N121" s="1477"/>
      <c r="O121" s="961"/>
      <c r="P121" s="1477"/>
      <c r="Q121" s="1202"/>
      <c r="R121" s="1134"/>
    </row>
    <row r="122" spans="1:18" s="1076" customFormat="1" ht="15.75">
      <c r="A122" s="1107" t="s">
        <v>2694</v>
      </c>
      <c r="B122" s="1152"/>
      <c r="C122" s="2857">
        <f>IF(ISNA('DE1'!G145),0,'DE1'!G145)</f>
        <v>0</v>
      </c>
      <c r="E122" s="1133"/>
      <c r="G122" s="961"/>
      <c r="I122" s="961"/>
      <c r="K122" s="961"/>
      <c r="L122" s="1477"/>
      <c r="M122" s="961"/>
      <c r="N122" s="1477"/>
      <c r="O122" s="961"/>
      <c r="P122" s="1477"/>
      <c r="Q122" s="1203" t="s">
        <v>3441</v>
      </c>
      <c r="R122" s="1134"/>
    </row>
    <row r="123" spans="1:18" s="1076" customFormat="1" ht="15.75">
      <c r="A123" s="1107" t="s">
        <v>2695</v>
      </c>
      <c r="B123" s="1152"/>
      <c r="C123" s="2857">
        <f>IF(ISNA('DE1'!G146),0,'DE1'!G146)</f>
        <v>0</v>
      </c>
      <c r="E123" s="1133"/>
      <c r="G123" s="961"/>
      <c r="I123" s="961"/>
      <c r="K123" s="961"/>
      <c r="L123" s="1477"/>
      <c r="M123" s="961"/>
      <c r="N123" s="1477"/>
      <c r="O123" s="961"/>
      <c r="P123" s="1477"/>
      <c r="Q123" s="1203" t="s">
        <v>3441</v>
      </c>
      <c r="R123" s="1134"/>
    </row>
    <row r="124" spans="1:18" s="1076" customFormat="1" ht="15.75" hidden="1">
      <c r="A124" s="1152" t="s">
        <v>2696</v>
      </c>
      <c r="B124" s="1152"/>
      <c r="C124" s="1708">
        <f>IF(ISNA('DE1'!G147),0,'DE1'!G147)</f>
        <v>0</v>
      </c>
      <c r="E124" s="1133"/>
      <c r="G124" s="961"/>
      <c r="I124" s="961"/>
      <c r="K124" s="961"/>
      <c r="L124" s="1477"/>
      <c r="M124" s="961"/>
      <c r="N124" s="1477"/>
      <c r="O124" s="961"/>
      <c r="P124" s="1477"/>
      <c r="Q124" s="1203" t="s">
        <v>3441</v>
      </c>
      <c r="R124" s="1134"/>
    </row>
    <row r="125" spans="1:18" s="1076" customFormat="1" ht="15.75">
      <c r="A125" s="1225" t="s">
        <v>2692</v>
      </c>
      <c r="B125" s="1226"/>
      <c r="C125" s="1227">
        <f>IF(ISNA('DE1'!G149),0,'DE1'!G149)</f>
        <v>0</v>
      </c>
      <c r="E125" s="1133"/>
      <c r="G125" s="961"/>
      <c r="I125" s="961"/>
      <c r="K125" s="961"/>
      <c r="L125" s="1477"/>
      <c r="M125" s="961"/>
      <c r="N125" s="1477"/>
      <c r="O125" s="961"/>
      <c r="P125" s="1477"/>
      <c r="Q125" s="1203" t="s">
        <v>3441</v>
      </c>
      <c r="R125" s="1134"/>
    </row>
    <row r="126" spans="1:18" s="1076" customFormat="1" ht="15.75">
      <c r="A126" s="1539" t="s">
        <v>3275</v>
      </c>
      <c r="B126" s="1152"/>
      <c r="C126" s="2866">
        <f>IF(ISNA('DE1'!C120),0,'DE1'!C120)</f>
        <v>0</v>
      </c>
      <c r="E126" s="1133"/>
      <c r="G126" s="961"/>
      <c r="I126" s="961"/>
      <c r="K126" s="961"/>
      <c r="L126" s="1477"/>
      <c r="M126" s="961"/>
      <c r="N126" s="1477"/>
      <c r="O126" s="961"/>
      <c r="P126" s="1477"/>
      <c r="Q126" s="1203" t="s">
        <v>3441</v>
      </c>
      <c r="R126" s="1134"/>
    </row>
    <row r="127" spans="1:18" s="1076" customFormat="1" ht="15.75">
      <c r="A127" s="1540" t="s">
        <v>7125</v>
      </c>
      <c r="B127" s="1152"/>
      <c r="C127" s="2857">
        <f>IF(ISNA('DE1'!C121),0,'DE1'!C121)</f>
        <v>0</v>
      </c>
      <c r="E127" s="1133"/>
      <c r="G127" s="961"/>
      <c r="I127" s="961"/>
      <c r="K127" s="961"/>
      <c r="L127" s="1477"/>
      <c r="M127" s="961"/>
      <c r="N127" s="1477"/>
      <c r="O127" s="961"/>
      <c r="P127" s="1477"/>
      <c r="Q127" s="1203" t="s">
        <v>3441</v>
      </c>
      <c r="R127" s="1134"/>
    </row>
    <row r="128" spans="1:18" s="1076" customFormat="1" ht="15.75">
      <c r="A128" s="1540" t="s">
        <v>3562</v>
      </c>
      <c r="B128" s="1152"/>
      <c r="C128" s="2857">
        <f>IF(ISNA('DE1'!C122),0,'DE1'!C122)</f>
        <v>0</v>
      </c>
      <c r="E128" s="1133"/>
      <c r="G128" s="961"/>
      <c r="I128" s="961"/>
      <c r="K128" s="961"/>
      <c r="L128" s="1477"/>
      <c r="M128" s="961"/>
      <c r="N128" s="1477"/>
      <c r="O128" s="961"/>
      <c r="P128" s="1477"/>
      <c r="Q128" s="1203" t="s">
        <v>3441</v>
      </c>
      <c r="R128" s="1134"/>
    </row>
    <row r="129" spans="1:19" s="2460" customFormat="1" ht="15.75" hidden="1">
      <c r="A129" s="2456" t="s">
        <v>7126</v>
      </c>
      <c r="B129" s="2457"/>
      <c r="C129" s="2867">
        <v>0</v>
      </c>
      <c r="E129" s="2459"/>
      <c r="G129" s="2458"/>
      <c r="I129" s="2458"/>
      <c r="K129" s="2458"/>
      <c r="L129" s="2458"/>
      <c r="M129" s="2458"/>
      <c r="N129" s="2458"/>
      <c r="O129" s="2458"/>
      <c r="P129" s="2458"/>
      <c r="Q129" s="2461" t="s">
        <v>3441</v>
      </c>
      <c r="R129" s="2462"/>
    </row>
    <row r="130" spans="1:19" s="1076" customFormat="1" ht="15.75">
      <c r="A130" s="1539" t="s">
        <v>7127</v>
      </c>
      <c r="B130" s="1152"/>
      <c r="C130" s="2857">
        <f>IF(ISNA('DE1'!C123),0,'DE1'!C123)</f>
        <v>0</v>
      </c>
      <c r="E130" s="1133"/>
      <c r="G130" s="961"/>
      <c r="I130" s="961"/>
      <c r="K130" s="961"/>
      <c r="L130" s="1477"/>
      <c r="M130" s="961"/>
      <c r="N130" s="1477"/>
      <c r="O130" s="961"/>
      <c r="P130" s="1477"/>
      <c r="Q130" s="1203" t="s">
        <v>3441</v>
      </c>
      <c r="R130" s="1134"/>
    </row>
    <row r="131" spans="1:19" s="1076" customFormat="1" ht="15.75">
      <c r="A131" s="1539" t="s">
        <v>7128</v>
      </c>
      <c r="B131" s="1152"/>
      <c r="C131" s="2857">
        <f>IF(ISNA('DE1'!C124),0,'DE1'!C124)</f>
        <v>0</v>
      </c>
      <c r="E131" s="1133"/>
      <c r="G131" s="961"/>
      <c r="I131" s="961"/>
      <c r="K131" s="961"/>
      <c r="L131" s="1477"/>
      <c r="M131" s="961"/>
      <c r="N131" s="1477"/>
      <c r="O131" s="961"/>
      <c r="P131" s="1477"/>
      <c r="Q131" s="1203" t="s">
        <v>3441</v>
      </c>
      <c r="R131" s="1134"/>
    </row>
    <row r="132" spans="1:19" s="2460" customFormat="1" ht="15.75" hidden="1">
      <c r="A132" s="2456" t="s">
        <v>7129</v>
      </c>
      <c r="B132" s="2457"/>
      <c r="C132" s="2867">
        <v>0</v>
      </c>
      <c r="E132" s="2459"/>
      <c r="G132" s="2458"/>
      <c r="I132" s="2458"/>
      <c r="K132" s="2458"/>
      <c r="L132" s="2458"/>
      <c r="M132" s="2458"/>
      <c r="N132" s="2458"/>
      <c r="O132" s="2458"/>
      <c r="P132" s="2458"/>
      <c r="Q132" s="1203" t="s">
        <v>3441</v>
      </c>
      <c r="R132" s="2462"/>
    </row>
    <row r="133" spans="1:19" s="1132" customFormat="1" ht="15.75">
      <c r="A133" s="1540" t="s">
        <v>7130</v>
      </c>
      <c r="B133" s="1152"/>
      <c r="C133" s="2865">
        <f>IF(ISNA('DE1'!C125),0,'DE1'!C125)</f>
        <v>0</v>
      </c>
      <c r="E133" s="2463"/>
      <c r="G133" s="1477"/>
      <c r="I133" s="1477"/>
      <c r="K133" s="1477"/>
      <c r="L133" s="1477"/>
      <c r="M133" s="1477"/>
      <c r="N133" s="1477"/>
      <c r="O133" s="1477"/>
      <c r="P133" s="1477"/>
      <c r="Q133" s="1203" t="s">
        <v>3441</v>
      </c>
      <c r="R133" s="1154"/>
    </row>
    <row r="134" spans="1:19" s="1132" customFormat="1" ht="15.75">
      <c r="A134" s="1540" t="s">
        <v>3566</v>
      </c>
      <c r="B134" s="1152"/>
      <c r="C134" s="2866">
        <f>IF(ISNA('DE1'!C134),0,'DE1'!C134)</f>
        <v>0</v>
      </c>
      <c r="E134" s="2463"/>
      <c r="G134" s="1477"/>
      <c r="I134" s="1477"/>
      <c r="K134" s="1477"/>
      <c r="L134" s="1477"/>
      <c r="M134" s="1477"/>
      <c r="N134" s="1477"/>
      <c r="O134" s="1477"/>
      <c r="P134" s="1477"/>
      <c r="Q134" s="1203" t="s">
        <v>3441</v>
      </c>
      <c r="R134" s="1154"/>
    </row>
    <row r="135" spans="1:19" s="1132" customFormat="1" ht="15.75">
      <c r="A135" s="3652" t="s">
        <v>978</v>
      </c>
      <c r="B135" s="3639"/>
      <c r="C135" s="3644"/>
      <c r="E135" s="1153"/>
      <c r="Q135" s="177"/>
      <c r="R135" s="1154"/>
    </row>
    <row r="136" spans="1:19" s="1132" customFormat="1" ht="15.75">
      <c r="A136" s="1152" t="s">
        <v>1082</v>
      </c>
      <c r="B136" s="1152"/>
      <c r="C136" s="2857">
        <f>IF(ISNA('DE1'!F47),0,'DE1'!F47)</f>
        <v>0</v>
      </c>
      <c r="E136" s="1155"/>
      <c r="Q136" s="1203" t="s">
        <v>13</v>
      </c>
      <c r="R136" s="1154"/>
    </row>
    <row r="137" spans="1:19" s="1132" customFormat="1" ht="15.75">
      <c r="A137" s="1152" t="s">
        <v>1083</v>
      </c>
      <c r="B137" s="1152"/>
      <c r="C137" s="2857">
        <f>IF(ISNA('DE1'!F48),0,'DE1'!F48)</f>
        <v>0</v>
      </c>
      <c r="E137" s="1155"/>
      <c r="Q137" s="1203" t="s">
        <v>13</v>
      </c>
      <c r="R137" s="1154"/>
    </row>
    <row r="138" spans="1:19" s="1132" customFormat="1" ht="15.75">
      <c r="A138" s="1152" t="s">
        <v>673</v>
      </c>
      <c r="B138" s="1152"/>
      <c r="C138" s="2857">
        <f>IF(ISNA('DE1'!F49),0,'DE1'!F49)</f>
        <v>0</v>
      </c>
      <c r="E138" s="1155"/>
      <c r="Q138" s="1203" t="s">
        <v>13</v>
      </c>
      <c r="R138" s="1154"/>
    </row>
    <row r="139" spans="1:19" s="1132" customFormat="1" ht="15.75">
      <c r="A139" s="1152" t="s">
        <v>674</v>
      </c>
      <c r="B139" s="1152"/>
      <c r="C139" s="2857">
        <f>IF(ISNA('DE1'!F50),0,'DE1'!F50)</f>
        <v>0</v>
      </c>
      <c r="E139" s="1155"/>
      <c r="Q139" s="1203" t="s">
        <v>13</v>
      </c>
      <c r="R139" s="1154"/>
    </row>
    <row r="140" spans="1:19" hidden="1">
      <c r="A140" s="160" t="s">
        <v>1779</v>
      </c>
      <c r="B140" s="160"/>
      <c r="C140" s="535"/>
      <c r="E140" s="535"/>
      <c r="G140" s="160"/>
      <c r="I140" s="160"/>
      <c r="K140" s="160"/>
      <c r="M140" s="160"/>
      <c r="O140" s="160"/>
      <c r="Q140" s="377" t="s">
        <v>1092</v>
      </c>
      <c r="R140" s="324"/>
      <c r="S140" s="160"/>
    </row>
    <row r="141" spans="1:19" s="177" customFormat="1" ht="12.75" customHeight="1">
      <c r="A141"/>
      <c r="B141"/>
      <c r="C141" s="534"/>
      <c r="E141" s="534"/>
      <c r="R141" s="376"/>
      <c r="S141" s="378"/>
    </row>
    <row r="142" spans="1:19" s="177" customFormat="1" ht="12.75" customHeight="1">
      <c r="A142"/>
      <c r="B142"/>
      <c r="C142" s="534"/>
      <c r="E142" s="534"/>
      <c r="R142" s="376"/>
      <c r="S142" s="378"/>
    </row>
    <row r="143" spans="1:19" s="177" customFormat="1" ht="12.75" customHeight="1">
      <c r="A143"/>
      <c r="B143"/>
      <c r="C143" s="534"/>
      <c r="E143" s="534"/>
      <c r="R143" s="376"/>
      <c r="S143" s="378"/>
    </row>
    <row r="144" spans="1:19" s="177" customFormat="1" ht="12.75" customHeight="1">
      <c r="A144"/>
      <c r="B144"/>
      <c r="C144" s="534"/>
      <c r="E144" s="534"/>
      <c r="R144" s="376"/>
      <c r="S144" s="378"/>
    </row>
    <row r="145" spans="1:19" s="177" customFormat="1" ht="12.75" customHeight="1">
      <c r="A145"/>
      <c r="B145"/>
      <c r="C145" s="534"/>
      <c r="E145" s="534"/>
      <c r="R145" s="376"/>
      <c r="S145" s="378"/>
    </row>
    <row r="146" spans="1:19" s="177" customFormat="1" ht="12.75" customHeight="1">
      <c r="A146"/>
      <c r="B146"/>
      <c r="C146" s="534"/>
      <c r="E146" s="534"/>
      <c r="R146" s="376"/>
      <c r="S146" s="378"/>
    </row>
    <row r="147" spans="1:19" s="177" customFormat="1" ht="12.75" customHeight="1">
      <c r="A147"/>
      <c r="B147"/>
      <c r="C147" s="534"/>
      <c r="E147" s="534"/>
      <c r="R147" s="376"/>
      <c r="S147" s="378"/>
    </row>
    <row r="148" spans="1:19" s="177" customFormat="1" ht="12.75" customHeight="1">
      <c r="A148"/>
      <c r="B148"/>
      <c r="C148" s="534"/>
      <c r="E148" s="534"/>
      <c r="R148" s="376"/>
      <c r="S148" s="378"/>
    </row>
    <row r="149" spans="1:19" s="177" customFormat="1" ht="12.75" customHeight="1">
      <c r="A149"/>
      <c r="B149"/>
      <c r="C149" s="534"/>
      <c r="E149" s="534"/>
      <c r="R149" s="376"/>
      <c r="S149" s="378"/>
    </row>
    <row r="150" spans="1:19" s="177" customFormat="1" ht="12" customHeight="1">
      <c r="A150"/>
      <c r="B150"/>
      <c r="C150" s="534"/>
      <c r="E150" s="534"/>
      <c r="R150" s="376"/>
      <c r="S150" s="378"/>
    </row>
    <row r="151" spans="1:19" ht="12.75" customHeight="1"/>
    <row r="153" spans="1:19">
      <c r="C153" s="1393">
        <f>C59+C63</f>
        <v>0</v>
      </c>
      <c r="E153" s="1460">
        <f>E59+E63</f>
        <v>0</v>
      </c>
      <c r="G153" s="1545">
        <f>G59+G63</f>
        <v>0</v>
      </c>
      <c r="I153" s="1545">
        <f>I59+I63</f>
        <v>0</v>
      </c>
      <c r="K153" s="1545">
        <f>K59+K63</f>
        <v>0</v>
      </c>
      <c r="L153" s="1619"/>
      <c r="M153" s="1545">
        <f>M59+M63</f>
        <v>0</v>
      </c>
      <c r="N153" s="1619"/>
      <c r="O153" s="1545">
        <f>O59+O63</f>
        <v>0</v>
      </c>
      <c r="P153" s="1619"/>
    </row>
    <row r="154" spans="1:19">
      <c r="C154" s="1381"/>
      <c r="E154" s="1448"/>
      <c r="G154" s="1546"/>
      <c r="I154" s="1546"/>
      <c r="K154" s="1546"/>
      <c r="L154" s="1620"/>
      <c r="M154" s="1546"/>
      <c r="N154" s="1620"/>
      <c r="O154" s="1546"/>
      <c r="P154" s="1620"/>
    </row>
    <row r="155" spans="1:19">
      <c r="C155" s="1428" t="s">
        <v>3613</v>
      </c>
      <c r="E155" s="1468" t="s">
        <v>3673</v>
      </c>
      <c r="G155" s="1547" t="s">
        <v>3830</v>
      </c>
      <c r="I155" s="1547" t="s">
        <v>3903</v>
      </c>
      <c r="K155" s="1547" t="s">
        <v>4592</v>
      </c>
      <c r="L155" s="1621"/>
      <c r="M155" s="1547" t="s">
        <v>7097</v>
      </c>
      <c r="N155" s="1621"/>
      <c r="O155" s="1547" t="s">
        <v>7733</v>
      </c>
      <c r="P155" s="1621"/>
    </row>
    <row r="156" spans="1:19">
      <c r="C156" s="1428" t="s">
        <v>886</v>
      </c>
      <c r="E156" s="1468" t="s">
        <v>886</v>
      </c>
      <c r="G156" s="1547" t="s">
        <v>886</v>
      </c>
      <c r="I156" s="1547" t="s">
        <v>886</v>
      </c>
      <c r="K156" s="1547" t="s">
        <v>886</v>
      </c>
      <c r="L156" s="1621"/>
      <c r="M156" s="1547" t="s">
        <v>886</v>
      </c>
      <c r="N156" s="1621"/>
      <c r="O156" s="1547" t="s">
        <v>886</v>
      </c>
      <c r="P156" s="1621"/>
    </row>
    <row r="157" spans="1:19">
      <c r="C157" s="1406">
        <f>IF(C40&gt;(C17*0.05),C17*0.05,C40)</f>
        <v>0</v>
      </c>
      <c r="E157" s="1469">
        <f>IF(E40&gt;(E17*0.05),E17*0.05,E40)</f>
        <v>0</v>
      </c>
      <c r="G157" s="1548">
        <f>IF(G40&gt;(G17*0.05),G17*0.05,G40)</f>
        <v>0</v>
      </c>
      <c r="I157" s="1548">
        <f>IF(I40&gt;(I17*0.05),I17*0.05,I40)</f>
        <v>0</v>
      </c>
      <c r="K157" s="1548">
        <f>IF(K40&gt;(K17*0.05),K17*0.05,K40)</f>
        <v>0</v>
      </c>
      <c r="L157" s="1622"/>
      <c r="M157" s="1548">
        <f>IF(M40&gt;(M17*0.05),M17*0.05,M40)</f>
        <v>0</v>
      </c>
      <c r="N157" s="1622"/>
      <c r="O157" s="1548">
        <f>IF(O40&gt;(O17*0.05),O17*0.05,O40)</f>
        <v>0</v>
      </c>
      <c r="P157" s="1622"/>
    </row>
    <row r="158" spans="1:19">
      <c r="C158" s="1381"/>
      <c r="E158" s="1448"/>
      <c r="G158" s="1546"/>
      <c r="I158" s="1546"/>
      <c r="K158" s="1546"/>
      <c r="L158" s="1620"/>
      <c r="M158" s="1546"/>
      <c r="N158" s="1620"/>
      <c r="O158" s="1546"/>
      <c r="P158" s="1620"/>
    </row>
    <row r="159" spans="1:19">
      <c r="C159" s="1428" t="s">
        <v>3613</v>
      </c>
      <c r="E159" s="1468" t="s">
        <v>3673</v>
      </c>
      <c r="G159" s="1547" t="s">
        <v>3830</v>
      </c>
      <c r="I159" s="1547" t="s">
        <v>3903</v>
      </c>
      <c r="K159" s="1547" t="s">
        <v>4592</v>
      </c>
      <c r="L159" s="1621"/>
      <c r="M159" s="1547" t="s">
        <v>7097</v>
      </c>
      <c r="N159" s="1621"/>
      <c r="O159" s="1547" t="str">
        <f>O155</f>
        <v>2022-23</v>
      </c>
      <c r="P159" s="1621"/>
    </row>
    <row r="160" spans="1:19">
      <c r="C160" s="1394" t="s">
        <v>891</v>
      </c>
      <c r="E160" s="1461" t="s">
        <v>891</v>
      </c>
      <c r="G160" s="1549" t="s">
        <v>891</v>
      </c>
      <c r="I160" s="1549" t="s">
        <v>891</v>
      </c>
      <c r="K160" s="1549" t="s">
        <v>891</v>
      </c>
      <c r="L160" s="1623"/>
      <c r="M160" s="1549" t="s">
        <v>891</v>
      </c>
      <c r="N160" s="1623"/>
      <c r="O160" s="1549" t="s">
        <v>891</v>
      </c>
      <c r="P160" s="1623"/>
    </row>
    <row r="161" spans="3:16">
      <c r="C161" s="1393">
        <f>IF(AND(C111&gt;30,C109=12),130,IF(OR('Calc Data-SB1'!C10&gt;129.999,C109&lt;12),0,IF(OR(C134&gt;=90,'Calc Data-SB1'!C6&gt;=90),130,0)))</f>
        <v>0</v>
      </c>
      <c r="E161" s="1460">
        <f>IF(AND(E111&gt;30,E109=12),130,IF(OR('Calc Data-SB1'!D10&gt;129.999,E109&lt;12),0,IF(OR('Calc Data-SB1'!C6&gt;=90,'Calc Data-SB1'!D6&gt;=90),130,0)))</f>
        <v>0</v>
      </c>
      <c r="G161" s="1545">
        <f>IF(AND(G111&gt;30,G109=12),130,IF(OR('Calc Data-SB1'!E10&gt;129.999,G109&lt;12),0,IF(OR('Calc Data-SB1'!D6&gt;=90,'Calc Data-SB1'!E6&gt;=90),130,0)))</f>
        <v>0</v>
      </c>
      <c r="I161" s="1545">
        <f>IF(AND(I111&gt;30,I109=12),130,IF(OR('Calc Data-SB1'!F10&gt;129.999,I109&lt;12),0,IF(OR('Calc Data-SB1'!E6&gt;=90,'Calc Data-SB1'!F6&gt;=90),130,0)))</f>
        <v>0</v>
      </c>
      <c r="K161" s="1545">
        <f>IF(AND(K111&gt;30,K109=12),130,IF(OR('Calc Data-SB1'!G10&gt;129.999,K109&lt;12),0,IF(OR('Calc Data-SB1'!F6&gt;=90,'Calc Data-SB1'!G6&gt;=90),130,0)))</f>
        <v>0</v>
      </c>
      <c r="L161" s="1619"/>
      <c r="M161" s="1545">
        <f>IF(AND(M111&gt;30,M109=12),130,IF(OR('Calc Data-SB1'!H10&gt;129.999,M109&lt;12),0,IF(OR('Calc Data-SB1'!I6&gt;=90,'Calc Data-SB1'!H6&gt;=90),130,0)))</f>
        <v>0</v>
      </c>
      <c r="N161" s="1619"/>
      <c r="O161" s="1545">
        <f>IF(AND(O111&gt;30,O109=12),130,IF(OR('Calc Data-SB1'!J10&gt;129.999,O109&lt;12),0,IF(OR('Calc Data-SB1'!K6&gt;=90,'Calc Data-SB1'!J6&gt;=90),130,0)))</f>
        <v>0</v>
      </c>
      <c r="P161" s="1619"/>
    </row>
    <row r="162" spans="3:16" ht="12.75" customHeight="1">
      <c r="C162" s="1429">
        <f>IF(AND(C111&gt;30,C109=8),75,IF(C109&lt;8,0,IF(OR(C134&gt;=50,'Calc Data-SB1'!C6&gt;=50),75,0)))</f>
        <v>0</v>
      </c>
      <c r="E162" s="1470">
        <f>IF(AND(E111&gt;30,E109=8),75,IF(E109&lt;8,0,IF(OR('Calc Data-SB1'!C6&gt;=50,'Calc Data-SB1'!D6&gt;=50),75,0)))</f>
        <v>0</v>
      </c>
      <c r="G162" s="1550">
        <f>IF(AND(G111&gt;30,G109=8),75,IF(G109&lt;8,0,IF(OR('Calc Data-SB1'!D6&gt;=50,'Calc Data-SB1'!E6&gt;=50),75,0)))</f>
        <v>0</v>
      </c>
      <c r="I162" s="1550">
        <f>IF(AND(I111&gt;30,I109=8),75,IF(I109&lt;8,0,IF(OR('Calc Data-SB1'!E6&gt;=50,'Calc Data-SB1'!F6&gt;=50),75,0)))</f>
        <v>0</v>
      </c>
      <c r="K162" s="1550">
        <f>IF(AND(K111&gt;30,K109=8),75,IF(K109&lt;8,0,IF(OR('Calc Data-SB1'!F6&gt;=50,'Calc Data-SB1'!G6&gt;=50),75,0)))</f>
        <v>0</v>
      </c>
      <c r="L162" s="1624"/>
      <c r="M162" s="1550">
        <f>IF(AND(M111&gt;30,M109=8),75,IF(M109&lt;8,0,IF(OR('Calc Data-SB1'!I6&gt;=50,'Calc Data-SB1'!H6&gt;=50),75,0)))</f>
        <v>0</v>
      </c>
      <c r="N162" s="1624"/>
      <c r="O162" s="1550">
        <f>IF(AND(O111&gt;30,O109=8),75,IF(O109&lt;8,0,IF(OR('Calc Data-SB1'!K6&gt;=50,'Calc Data-SB1'!J6&gt;=50),75,0)))</f>
        <v>0</v>
      </c>
      <c r="P162" s="1624"/>
    </row>
    <row r="163" spans="3:16">
      <c r="C163" s="1429">
        <f>IF(AND(C111&gt;30,C109=6),60,IF(C109&lt;6,0,IF(OR(C134&gt;=40,'Calc Data-SB1'!C6&gt;=40),60,0)))</f>
        <v>0</v>
      </c>
      <c r="E163" s="1470">
        <f>IF(AND(E111&gt;30,E109=6),60,IF(E109&lt;6,0,IF(OR('Calc Data-SB1'!C6&gt;=40,'Calc Data-SB1'!D6&gt;=40),60,0)))</f>
        <v>0</v>
      </c>
      <c r="G163" s="1550">
        <f>IF(AND(G111&gt;30,G109=6),60,IF(G109&lt;6,0,IF(OR('Calc Data-SB1'!D6&gt;=40,'Calc Data-SB1'!E6&gt;=40),60,0)))</f>
        <v>0</v>
      </c>
      <c r="I163" s="1550">
        <f>IF(AND(I111&gt;30,I109=6),60,IF(I109&lt;6,0,IF(OR('Calc Data-SB1'!E6&gt;=40,'Calc Data-SB1'!F6&gt;=40),60,0)))</f>
        <v>0</v>
      </c>
      <c r="K163" s="1550">
        <f>IF(AND(K111&gt;30,K109=6),60,IF(K109&lt;6,0,IF(OR('Calc Data-SB1'!F6&gt;=40,'Calc Data-SB1'!G6&gt;=40),60,0)))</f>
        <v>0</v>
      </c>
      <c r="L163" s="1624"/>
      <c r="M163" s="1550">
        <f>IF(AND(M111&gt;30,M109=6),60,IF(M109&lt;6,0,IF(OR('Calc Data-SB1'!I6&gt;=40,'Calc Data-SB1'!H6&gt;=40),60,0)))</f>
        <v>0</v>
      </c>
      <c r="N163" s="1624"/>
      <c r="O163" s="1550">
        <f>IF(AND(O111&gt;30,O109=6),60,IF(O109&lt;6,0,IF(OR('Calc Data-SB1'!K6&gt;=40,'Calc Data-SB1'!J6&gt;=40),60,0)))</f>
        <v>0</v>
      </c>
      <c r="P163" s="1624"/>
    </row>
    <row r="164" spans="3:16" ht="21" customHeight="1">
      <c r="C164" s="1393">
        <f>IF(C109=12,1,0)</f>
        <v>0</v>
      </c>
      <c r="E164" s="1460">
        <f>IF(E109=12,1,0)</f>
        <v>0</v>
      </c>
      <c r="G164" s="1545">
        <f>IF(G109=12,1,0)</f>
        <v>0</v>
      </c>
      <c r="I164" s="1545">
        <f>IF(I109=12,1,0)</f>
        <v>0</v>
      </c>
      <c r="K164" s="1545">
        <f>IF(K109=12,1,0)</f>
        <v>0</v>
      </c>
      <c r="L164" s="1619"/>
      <c r="M164" s="1545">
        <f>IF(M109=12,1,0)</f>
        <v>0</v>
      </c>
      <c r="N164" s="1619"/>
      <c r="O164" s="1545">
        <f>IF(O109=12,1,0)</f>
        <v>0</v>
      </c>
      <c r="P164" s="1619"/>
    </row>
    <row r="165" spans="3:16" ht="21" customHeight="1">
      <c r="C165" s="1393">
        <f>IF(C109=8,1,0)</f>
        <v>0</v>
      </c>
      <c r="E165" s="1460">
        <f>IF(E109=8,1,0)</f>
        <v>0</v>
      </c>
      <c r="G165" s="1545">
        <f>IF(G109=8,1,0)</f>
        <v>0</v>
      </c>
      <c r="I165" s="1545">
        <f>IF(I109=8,1,0)</f>
        <v>0</v>
      </c>
      <c r="K165" s="1545">
        <f>IF(K109=8,1,0)</f>
        <v>0</v>
      </c>
      <c r="L165" s="1619"/>
      <c r="M165" s="1545">
        <f>IF(M109=8,1,0)</f>
        <v>0</v>
      </c>
      <c r="N165" s="1619"/>
      <c r="O165" s="1545">
        <f>IF(O109=8,1,0)</f>
        <v>0</v>
      </c>
      <c r="P165" s="1619"/>
    </row>
    <row r="166" spans="3:16" ht="21" customHeight="1">
      <c r="C166" s="1393">
        <f>IF(C109=6,1,0)</f>
        <v>0</v>
      </c>
      <c r="E166" s="1460">
        <f>IF(E109=6,1,0)</f>
        <v>0</v>
      </c>
      <c r="G166" s="1545">
        <f>IF(G109=6,1,0)</f>
        <v>0</v>
      </c>
      <c r="I166" s="1545">
        <f>IF(I109=6,1,0)</f>
        <v>0</v>
      </c>
      <c r="K166" s="1545">
        <f>IF(K109=6,1,0)</f>
        <v>0</v>
      </c>
      <c r="L166" s="1619"/>
      <c r="M166" s="1545">
        <f>IF(M109=6,1,0)</f>
        <v>0</v>
      </c>
      <c r="N166" s="1619"/>
      <c r="O166" s="1545">
        <f>IF(O109=6,1,0)</f>
        <v>0</v>
      </c>
      <c r="P166" s="1619"/>
    </row>
    <row r="167" spans="3:16">
      <c r="C167" s="1394" t="str">
        <f>IF(C110&gt;300,"Yes","No")</f>
        <v>No</v>
      </c>
      <c r="E167" s="1461" t="str">
        <f>IF(E110&gt;300,"Yes","No")</f>
        <v>No</v>
      </c>
      <c r="G167" s="1549" t="str">
        <f>IF(G110&gt;300,"Yes","No")</f>
        <v>No</v>
      </c>
      <c r="I167" s="1549" t="str">
        <f>IF(I110&gt;300,"Yes","No")</f>
        <v>No</v>
      </c>
      <c r="K167" s="1549" t="str">
        <f>IF(K110&gt;300,"Yes","No")</f>
        <v>No</v>
      </c>
      <c r="L167" s="1623"/>
      <c r="M167" s="1549" t="str">
        <f>IF(M110&gt;300,"Yes","No")</f>
        <v>No</v>
      </c>
      <c r="N167" s="1623"/>
      <c r="O167" s="1549" t="str">
        <f>IF(O110&gt;300,"Yes","No")</f>
        <v>No</v>
      </c>
      <c r="P167" s="1623"/>
    </row>
    <row r="168" spans="3:16">
      <c r="C168" s="1394" t="str">
        <f>IF(C111&gt;30,"Yes","No")</f>
        <v>No</v>
      </c>
      <c r="E168" s="1461" t="str">
        <f>IF(E111&gt;30,"Yes","No")</f>
        <v>No</v>
      </c>
      <c r="G168" s="1549" t="str">
        <f>IF(G111&gt;30,"Yes","No")</f>
        <v>No</v>
      </c>
      <c r="I168" s="1549" t="str">
        <f>IF(I111&gt;30,"Yes","No")</f>
        <v>No</v>
      </c>
      <c r="K168" s="1549" t="str">
        <f>IF(K111&gt;30,"Yes","No")</f>
        <v>No</v>
      </c>
      <c r="L168" s="1623"/>
      <c r="M168" s="1549" t="str">
        <f>IF(M111&gt;30,"Yes","No")</f>
        <v>No</v>
      </c>
      <c r="N168" s="1623"/>
      <c r="O168" s="1549" t="str">
        <f>IF(O111&gt;30,"Yes","No")</f>
        <v>No</v>
      </c>
      <c r="P168" s="1623"/>
    </row>
    <row r="197" spans="21:21" ht="12" customHeight="1"/>
    <row r="208" spans="21:21">
      <c r="U208" s="8"/>
    </row>
    <row r="209" spans="21:21">
      <c r="U209" s="8"/>
    </row>
    <row r="210" spans="21:21">
      <c r="U210" s="8"/>
    </row>
    <row r="211" spans="21:21">
      <c r="U211" s="8"/>
    </row>
    <row r="212" spans="21:21">
      <c r="U212" s="8"/>
    </row>
    <row r="213" spans="21:21">
      <c r="U213" s="8"/>
    </row>
    <row r="214" spans="21:21">
      <c r="U214" s="8"/>
    </row>
    <row r="215" spans="21:21">
      <c r="U215" s="8"/>
    </row>
    <row r="216" spans="21:21">
      <c r="U216" s="8"/>
    </row>
    <row r="217" spans="21:21">
      <c r="U217" s="8"/>
    </row>
    <row r="218" spans="21:21">
      <c r="U218" s="8"/>
    </row>
    <row r="219" spans="21:21">
      <c r="U219" s="8"/>
    </row>
    <row r="220" spans="21:21">
      <c r="U220" s="8"/>
    </row>
    <row r="221" spans="21:21">
      <c r="U221" s="8"/>
    </row>
    <row r="222" spans="21:21">
      <c r="U222" s="8"/>
    </row>
    <row r="223" spans="21:21">
      <c r="U223" s="8"/>
    </row>
    <row r="224" spans="21:21">
      <c r="U224" s="8"/>
    </row>
    <row r="225" spans="2:23">
      <c r="U225" s="8"/>
    </row>
    <row r="226" spans="2:23">
      <c r="U226" s="8"/>
    </row>
    <row r="227" spans="2:23">
      <c r="U227" s="8"/>
    </row>
    <row r="228" spans="2:23">
      <c r="U228" s="8"/>
    </row>
    <row r="229" spans="2:23">
      <c r="U229" s="8"/>
    </row>
    <row r="230" spans="2:23">
      <c r="U230" s="8"/>
    </row>
    <row r="231" spans="2:23">
      <c r="U231" s="8"/>
    </row>
    <row r="232" spans="2:23">
      <c r="U232" s="8"/>
    </row>
    <row r="233" spans="2:23">
      <c r="U233" s="8"/>
    </row>
    <row r="234" spans="2:23">
      <c r="U234" s="8"/>
    </row>
    <row r="235" spans="2:23">
      <c r="U235" s="8"/>
    </row>
    <row r="236" spans="2:23">
      <c r="U236" s="8"/>
    </row>
    <row r="237" spans="2:23">
      <c r="B237" s="23"/>
      <c r="U237" s="8"/>
    </row>
    <row r="238" spans="2:23">
      <c r="U238" s="8"/>
    </row>
    <row r="239" spans="2:23">
      <c r="U239" s="8"/>
    </row>
    <row r="240" spans="2:23">
      <c r="U240" s="8"/>
      <c r="W240" s="4"/>
    </row>
    <row r="241" spans="21:24">
      <c r="U241" s="8"/>
    </row>
    <row r="242" spans="21:24">
      <c r="U242" s="8"/>
      <c r="W242" s="4"/>
    </row>
    <row r="243" spans="21:24">
      <c r="U243" s="8"/>
      <c r="W243" s="4"/>
    </row>
    <row r="244" spans="21:24">
      <c r="U244" s="8"/>
      <c r="W244" s="4"/>
    </row>
    <row r="245" spans="21:24">
      <c r="U245" s="8"/>
      <c r="W245" s="4"/>
    </row>
    <row r="247" spans="21:24">
      <c r="U247" s="3"/>
    </row>
    <row r="248" spans="21:24">
      <c r="U248" s="8"/>
      <c r="W248" s="4"/>
    </row>
    <row r="249" spans="21:24">
      <c r="U249" s="8"/>
      <c r="W249" s="4"/>
    </row>
    <row r="250" spans="21:24">
      <c r="U250" s="8"/>
      <c r="W250" s="4"/>
    </row>
    <row r="251" spans="21:24">
      <c r="U251" s="3"/>
      <c r="W251" s="4"/>
    </row>
    <row r="252" spans="21:24">
      <c r="U252" s="8"/>
    </row>
    <row r="253" spans="21:24">
      <c r="U253" s="8"/>
      <c r="W253" s="4"/>
      <c r="X253" s="8"/>
    </row>
    <row r="254" spans="21:24">
      <c r="U254" s="8"/>
      <c r="W254" s="4"/>
    </row>
    <row r="255" spans="21:24">
      <c r="U255" s="8"/>
      <c r="W255" s="4"/>
    </row>
    <row r="264" spans="3:23">
      <c r="U264" s="8"/>
      <c r="W264" s="4"/>
    </row>
    <row r="265" spans="3:23">
      <c r="U265" s="8"/>
      <c r="W265" s="4"/>
    </row>
    <row r="266" spans="3:23">
      <c r="U266" s="8"/>
      <c r="W266" s="4"/>
    </row>
    <row r="267" spans="3:23">
      <c r="C267" s="537"/>
      <c r="E267" s="537"/>
      <c r="R267"/>
      <c r="U267" s="8"/>
      <c r="W267" s="4"/>
    </row>
    <row r="268" spans="3:23">
      <c r="C268" s="537"/>
      <c r="E268" s="537"/>
      <c r="R268"/>
      <c r="U268" s="8"/>
      <c r="W268" s="4"/>
    </row>
    <row r="269" spans="3:23">
      <c r="C269" s="537"/>
      <c r="E269" s="537"/>
      <c r="R269"/>
      <c r="U269" s="3"/>
      <c r="W269" s="4"/>
    </row>
    <row r="270" spans="3:23">
      <c r="C270" s="537"/>
      <c r="E270" s="537"/>
      <c r="R270"/>
      <c r="U270" s="8"/>
      <c r="W270" s="4"/>
    </row>
    <row r="271" spans="3:23">
      <c r="C271" s="537"/>
      <c r="E271" s="537"/>
      <c r="R271"/>
    </row>
    <row r="272" spans="3:23">
      <c r="C272" s="537"/>
      <c r="E272" s="537"/>
      <c r="R272"/>
    </row>
    <row r="273" spans="3:23">
      <c r="C273" s="537"/>
      <c r="E273" s="537"/>
      <c r="R273"/>
    </row>
    <row r="274" spans="3:23">
      <c r="C274" s="537"/>
      <c r="E274" s="537"/>
      <c r="R274"/>
    </row>
    <row r="275" spans="3:23">
      <c r="C275" s="537"/>
      <c r="E275" s="537"/>
      <c r="R275"/>
      <c r="S275" s="32"/>
    </row>
    <row r="276" spans="3:23">
      <c r="C276" s="537"/>
      <c r="E276" s="537"/>
      <c r="R276"/>
      <c r="W276" s="4"/>
    </row>
    <row r="277" spans="3:23">
      <c r="C277" s="537"/>
      <c r="E277" s="537"/>
      <c r="R277"/>
      <c r="S277" s="32"/>
      <c r="W277" s="4"/>
    </row>
    <row r="278" spans="3:23">
      <c r="C278" s="537"/>
      <c r="E278" s="537"/>
      <c r="R278"/>
      <c r="S278" s="35"/>
      <c r="U278" s="8"/>
      <c r="W278" s="4"/>
    </row>
    <row r="279" spans="3:23">
      <c r="C279" s="537"/>
      <c r="E279" s="537"/>
      <c r="R279"/>
      <c r="W279" s="4"/>
    </row>
    <row r="280" spans="3:23">
      <c r="C280" s="537"/>
      <c r="E280" s="537"/>
      <c r="R280"/>
    </row>
    <row r="281" spans="3:23">
      <c r="C281" s="537"/>
      <c r="E281" s="537"/>
      <c r="R281"/>
    </row>
    <row r="282" spans="3:23">
      <c r="C282" s="537"/>
      <c r="E282" s="537"/>
      <c r="R282"/>
    </row>
    <row r="284" spans="3:23">
      <c r="W284" s="4"/>
    </row>
    <row r="285" spans="3:23">
      <c r="G285" s="5"/>
      <c r="I285" s="5"/>
      <c r="K285" s="5"/>
      <c r="L285" s="1625"/>
      <c r="M285" s="5"/>
      <c r="N285" s="1625"/>
      <c r="O285" s="5"/>
      <c r="P285" s="1625"/>
      <c r="Q285" s="5"/>
      <c r="R285" s="327"/>
      <c r="S285" s="5"/>
      <c r="W285" s="4"/>
    </row>
    <row r="286" spans="3:23">
      <c r="U286" s="8"/>
      <c r="W286" s="4"/>
    </row>
    <row r="287" spans="3:23">
      <c r="W287" s="4"/>
    </row>
    <row r="288" spans="3:23">
      <c r="W288" s="4"/>
    </row>
    <row r="289" spans="2:23">
      <c r="W289" s="4"/>
    </row>
    <row r="290" spans="2:23">
      <c r="U290" s="8"/>
      <c r="W290" s="4"/>
    </row>
    <row r="291" spans="2:23">
      <c r="U291" s="8"/>
      <c r="W291" s="4"/>
    </row>
    <row r="292" spans="2:23">
      <c r="B292" s="121"/>
      <c r="U292" s="8"/>
      <c r="W292" s="4"/>
    </row>
    <row r="293" spans="2:23">
      <c r="B293" s="121"/>
      <c r="U293" s="8"/>
      <c r="W293" s="4"/>
    </row>
    <row r="294" spans="2:23">
      <c r="B294" s="121"/>
      <c r="U294" s="8"/>
      <c r="W294" s="4"/>
    </row>
    <row r="295" spans="2:23">
      <c r="B295" s="121"/>
      <c r="U295" s="8"/>
      <c r="W295" s="4"/>
    </row>
    <row r="296" spans="2:23">
      <c r="U296" s="8"/>
      <c r="W296" s="4"/>
    </row>
    <row r="297" spans="2:23">
      <c r="R297"/>
      <c r="U297" s="8"/>
    </row>
    <row r="298" spans="2:23">
      <c r="R298"/>
      <c r="U298" s="8"/>
    </row>
    <row r="299" spans="2:23">
      <c r="C299" s="538"/>
      <c r="E299" s="538"/>
      <c r="G299" s="22"/>
      <c r="I299" s="22"/>
      <c r="K299" s="22"/>
      <c r="L299" s="1626"/>
      <c r="M299" s="22"/>
      <c r="N299" s="1626"/>
      <c r="O299" s="22"/>
      <c r="P299" s="1626"/>
      <c r="R299"/>
      <c r="U299" s="8"/>
    </row>
    <row r="300" spans="2:23">
      <c r="C300" s="538"/>
      <c r="E300" s="538"/>
      <c r="G300" s="22"/>
      <c r="I300" s="22"/>
      <c r="K300" s="22"/>
      <c r="L300" s="1626"/>
      <c r="M300" s="22"/>
      <c r="N300" s="1626"/>
      <c r="O300" s="22"/>
      <c r="P300" s="1626"/>
      <c r="R300"/>
      <c r="U300" s="8"/>
    </row>
    <row r="301" spans="2:23">
      <c r="C301" s="538"/>
      <c r="E301" s="538"/>
      <c r="G301" s="22"/>
      <c r="I301" s="22"/>
      <c r="K301" s="22"/>
      <c r="L301" s="1626"/>
      <c r="M301" s="22"/>
      <c r="N301" s="1626"/>
      <c r="O301" s="22"/>
      <c r="P301" s="1626"/>
      <c r="Q301" s="22"/>
      <c r="R301" s="328"/>
      <c r="S301" s="22"/>
      <c r="U301" s="8"/>
    </row>
    <row r="302" spans="2:23">
      <c r="C302" s="538"/>
      <c r="E302" s="538"/>
      <c r="G302" s="22"/>
      <c r="I302" s="22"/>
      <c r="K302" s="22"/>
      <c r="L302" s="1626"/>
      <c r="M302" s="22"/>
      <c r="N302" s="1626"/>
      <c r="O302" s="22"/>
      <c r="P302" s="1626"/>
      <c r="R302"/>
      <c r="U302" s="8"/>
    </row>
    <row r="303" spans="2:23">
      <c r="C303" s="538"/>
      <c r="E303" s="538"/>
      <c r="G303" s="22"/>
      <c r="I303" s="22"/>
      <c r="K303" s="22"/>
      <c r="L303" s="1626"/>
      <c r="M303" s="22"/>
      <c r="N303" s="1626"/>
      <c r="O303" s="22"/>
      <c r="P303" s="1626"/>
      <c r="R303"/>
      <c r="U303" s="8"/>
    </row>
    <row r="304" spans="2:23">
      <c r="C304" s="538"/>
      <c r="E304" s="538"/>
      <c r="G304" s="22"/>
      <c r="I304" s="22"/>
      <c r="K304" s="22"/>
      <c r="L304" s="1626"/>
      <c r="M304" s="22"/>
      <c r="N304" s="1626"/>
      <c r="O304" s="22"/>
      <c r="P304" s="1626"/>
      <c r="R304"/>
      <c r="U304" s="8"/>
    </row>
    <row r="305" spans="3:23">
      <c r="C305" s="538"/>
      <c r="E305" s="538"/>
      <c r="G305" s="22"/>
      <c r="I305" s="22"/>
      <c r="K305" s="22"/>
      <c r="L305" s="1626"/>
      <c r="M305" s="22"/>
      <c r="N305" s="1626"/>
      <c r="O305" s="22"/>
      <c r="P305" s="1626"/>
      <c r="R305"/>
      <c r="S305" s="8"/>
      <c r="U305" s="8"/>
    </row>
    <row r="306" spans="3:23">
      <c r="C306" s="538"/>
      <c r="E306" s="538"/>
      <c r="G306" s="22"/>
      <c r="I306" s="22"/>
      <c r="K306" s="22"/>
      <c r="L306" s="1626"/>
      <c r="M306" s="22"/>
      <c r="N306" s="1626"/>
      <c r="O306" s="22"/>
      <c r="P306" s="1626"/>
      <c r="R306"/>
      <c r="S306" s="8"/>
      <c r="U306" s="8"/>
    </row>
    <row r="307" spans="3:23">
      <c r="C307" s="538"/>
      <c r="E307" s="538"/>
      <c r="G307" s="22"/>
      <c r="I307" s="22"/>
      <c r="K307" s="22"/>
      <c r="L307" s="1626"/>
      <c r="M307" s="22"/>
      <c r="N307" s="1626"/>
      <c r="O307" s="22"/>
      <c r="P307" s="1626"/>
      <c r="R307"/>
      <c r="S307" s="8"/>
      <c r="U307" s="8"/>
    </row>
    <row r="308" spans="3:23">
      <c r="C308" s="538"/>
      <c r="E308" s="538"/>
      <c r="G308" s="22"/>
      <c r="I308" s="22"/>
      <c r="K308" s="22"/>
      <c r="L308" s="1626"/>
      <c r="M308" s="22"/>
      <c r="N308" s="1626"/>
      <c r="O308" s="22"/>
      <c r="P308" s="1626"/>
      <c r="R308"/>
      <c r="S308" s="8"/>
    </row>
    <row r="309" spans="3:23">
      <c r="C309" s="538"/>
      <c r="E309" s="538"/>
      <c r="G309" s="22"/>
      <c r="I309" s="22"/>
      <c r="K309" s="22"/>
      <c r="L309" s="1626"/>
      <c r="M309" s="22"/>
      <c r="N309" s="1626"/>
      <c r="O309" s="22"/>
      <c r="P309" s="1626"/>
      <c r="R309"/>
    </row>
    <row r="310" spans="3:23">
      <c r="C310" s="538"/>
      <c r="E310" s="538"/>
      <c r="G310" s="22"/>
      <c r="I310" s="22"/>
      <c r="K310" s="22"/>
      <c r="L310" s="1626"/>
      <c r="M310" s="22"/>
      <c r="N310" s="1626"/>
      <c r="O310" s="22"/>
      <c r="P310" s="1626"/>
      <c r="R310"/>
    </row>
    <row r="311" spans="3:23">
      <c r="C311" s="538"/>
      <c r="E311" s="538"/>
      <c r="G311" s="22"/>
      <c r="I311" s="22"/>
      <c r="K311" s="22"/>
      <c r="L311" s="1626"/>
      <c r="M311" s="22"/>
      <c r="N311" s="1626"/>
      <c r="O311" s="22"/>
      <c r="P311" s="1626"/>
      <c r="R311"/>
    </row>
    <row r="312" spans="3:23">
      <c r="C312" s="538"/>
      <c r="E312" s="538"/>
      <c r="G312" s="22"/>
      <c r="I312" s="22"/>
      <c r="K312" s="22"/>
      <c r="L312" s="1626"/>
      <c r="M312" s="22"/>
      <c r="N312" s="1626"/>
      <c r="O312" s="22"/>
      <c r="P312" s="1626"/>
      <c r="R312"/>
    </row>
    <row r="313" spans="3:23">
      <c r="C313" s="538"/>
      <c r="E313" s="538"/>
      <c r="G313" s="22"/>
      <c r="I313" s="22"/>
      <c r="K313" s="22"/>
      <c r="L313" s="1626"/>
      <c r="M313" s="22"/>
      <c r="N313" s="1626"/>
      <c r="O313" s="22"/>
      <c r="P313" s="1626"/>
      <c r="Q313" s="22"/>
      <c r="R313" s="22"/>
      <c r="S313" s="8"/>
      <c r="U313" s="8"/>
      <c r="W313" s="4"/>
    </row>
    <row r="314" spans="3:23">
      <c r="C314" s="538"/>
      <c r="E314" s="538"/>
      <c r="G314" s="22"/>
      <c r="I314" s="22"/>
      <c r="K314" s="22"/>
      <c r="L314" s="1626"/>
      <c r="M314" s="22"/>
      <c r="N314" s="1626"/>
      <c r="O314" s="22"/>
      <c r="P314" s="1626"/>
      <c r="Q314" s="22"/>
      <c r="R314" s="22"/>
      <c r="U314" s="8"/>
      <c r="W314" s="4"/>
    </row>
    <row r="315" spans="3:23">
      <c r="U315" s="8"/>
    </row>
    <row r="316" spans="3:23">
      <c r="C316" s="539"/>
      <c r="E316" s="539"/>
      <c r="G316" s="8"/>
      <c r="I316" s="8"/>
      <c r="K316" s="8"/>
      <c r="L316" s="1627"/>
      <c r="M316" s="8"/>
      <c r="N316" s="1627"/>
      <c r="O316" s="8"/>
      <c r="P316" s="1627"/>
      <c r="Q316" s="22"/>
      <c r="R316" s="22"/>
      <c r="S316" s="22"/>
      <c r="U316" s="8"/>
    </row>
    <row r="317" spans="3:23">
      <c r="C317" s="537"/>
      <c r="E317" s="537"/>
      <c r="G317" s="8"/>
      <c r="I317" s="8"/>
      <c r="K317" s="8"/>
      <c r="L317" s="1627"/>
      <c r="M317" s="8"/>
      <c r="N317" s="1627"/>
      <c r="O317" s="8"/>
      <c r="P317" s="1627"/>
      <c r="Q317" s="22"/>
      <c r="R317" s="22"/>
      <c r="S317" s="22"/>
      <c r="U317" s="3"/>
    </row>
    <row r="318" spans="3:23">
      <c r="C318" s="537"/>
      <c r="E318" s="537"/>
      <c r="G318" s="8"/>
      <c r="I318" s="8"/>
      <c r="K318" s="8"/>
      <c r="L318" s="1627"/>
      <c r="M318" s="8"/>
      <c r="N318" s="1627"/>
      <c r="O318" s="8"/>
      <c r="P318" s="1627"/>
      <c r="Q318" s="22"/>
      <c r="R318" s="22"/>
      <c r="S318" s="22"/>
      <c r="U318" s="3"/>
    </row>
    <row r="319" spans="3:23">
      <c r="C319" s="537"/>
      <c r="E319" s="537"/>
      <c r="G319" s="8"/>
      <c r="I319" s="8"/>
      <c r="K319" s="8"/>
      <c r="L319" s="1627"/>
      <c r="M319" s="8"/>
      <c r="N319" s="1627"/>
      <c r="O319" s="8"/>
      <c r="P319" s="1627"/>
      <c r="Q319" s="22"/>
      <c r="R319" s="22"/>
      <c r="S319" s="22"/>
      <c r="T319" s="8"/>
      <c r="U319" s="8"/>
    </row>
    <row r="320" spans="3:23">
      <c r="C320" s="537"/>
      <c r="E320" s="537"/>
      <c r="G320" s="8"/>
      <c r="I320" s="8"/>
      <c r="K320" s="8"/>
      <c r="L320" s="1627"/>
      <c r="M320" s="8"/>
      <c r="N320" s="1627"/>
      <c r="O320" s="8"/>
      <c r="P320" s="1627"/>
      <c r="Q320" s="22"/>
      <c r="R320" s="22"/>
      <c r="S320" s="22"/>
      <c r="T320" s="8"/>
      <c r="U320" s="8"/>
    </row>
    <row r="321" spans="3:24">
      <c r="C321" s="537"/>
      <c r="E321" s="537"/>
      <c r="G321" s="8"/>
      <c r="I321" s="8"/>
      <c r="K321" s="8"/>
      <c r="L321" s="1627"/>
      <c r="M321" s="8"/>
      <c r="N321" s="1627"/>
      <c r="O321" s="8"/>
      <c r="P321" s="1627"/>
      <c r="Q321" s="22"/>
      <c r="R321" s="22"/>
      <c r="S321" s="22"/>
      <c r="U321" s="652"/>
      <c r="X321" s="117" t="s">
        <v>1547</v>
      </c>
    </row>
    <row r="322" spans="3:24">
      <c r="C322" s="537"/>
      <c r="E322" s="537"/>
      <c r="G322" s="8"/>
      <c r="I322" s="8"/>
      <c r="K322" s="8"/>
      <c r="L322" s="1627"/>
      <c r="M322" s="8"/>
      <c r="N322" s="1627"/>
      <c r="O322" s="8"/>
      <c r="P322" s="1627"/>
      <c r="Q322" s="22"/>
      <c r="R322" s="22"/>
      <c r="S322" s="22"/>
      <c r="U322" s="121"/>
      <c r="X322" s="121" t="e">
        <f>IF(OR('Calc Data'!L13&gt;129.999,#REF!&lt;12),0,IF(OR('Calc Data'!K10&gt;90,'Calc Data'!L10&gt;90),130,IF(AND(OR('Calc Data'!K10&lt;90,'Calc Data'!L10&lt;90),#REF!&gt;30),130,0)))</f>
        <v>#REF!</v>
      </c>
    </row>
    <row r="323" spans="3:24">
      <c r="C323" s="537"/>
      <c r="E323" s="537"/>
      <c r="G323" s="8"/>
      <c r="I323" s="8"/>
      <c r="K323" s="8"/>
      <c r="L323" s="1627"/>
      <c r="M323" s="8"/>
      <c r="N323" s="1627"/>
      <c r="O323" s="8"/>
      <c r="P323" s="1627"/>
      <c r="Q323" s="22"/>
      <c r="R323" s="22"/>
      <c r="S323" s="22"/>
      <c r="U323" s="455"/>
      <c r="X323" s="455" t="e">
        <f>IF(OR('Calc Data'!L13&gt;129.999,#REF!&lt;8),0,IF(OR('Calc Data'!K10&gt;50,'Calc Data'!L10&gt;50),75,IF(AND(OR('Calc Data'!K10&lt;50,'Calc Data'!L10&lt;50),#REF!&gt;30),75,0)))</f>
        <v>#REF!</v>
      </c>
    </row>
    <row r="324" spans="3:24">
      <c r="C324" s="537"/>
      <c r="E324" s="537"/>
      <c r="G324" s="8"/>
      <c r="I324" s="8"/>
      <c r="K324" s="8"/>
      <c r="L324" s="1627"/>
      <c r="M324" s="8"/>
      <c r="N324" s="1627"/>
      <c r="O324" s="8"/>
      <c r="P324" s="1627"/>
      <c r="Q324" s="22"/>
      <c r="R324" s="22"/>
      <c r="S324" s="22"/>
      <c r="T324" s="8"/>
      <c r="U324" s="455"/>
      <c r="X324" s="455" t="e">
        <f>IF(OR('Calc Data'!L13&gt;129.999,#REF!&lt;6),0,IF(OR('Calc Data'!K10&gt;40,'Calc Data'!L10&gt;40),60,IF(AND(OR('Calc Data'!K10&lt;40,'Calc Data'!L10&lt;40),#REF!&gt;30),60,0)))</f>
        <v>#REF!</v>
      </c>
    </row>
    <row r="325" spans="3:24">
      <c r="C325" s="537"/>
      <c r="E325" s="537"/>
      <c r="G325" s="8"/>
      <c r="I325" s="8"/>
      <c r="K325" s="8"/>
      <c r="L325" s="1627"/>
      <c r="M325" s="8"/>
      <c r="N325" s="1627"/>
      <c r="O325" s="8"/>
      <c r="P325" s="1627"/>
      <c r="Q325" s="8"/>
      <c r="R325" s="329"/>
      <c r="S325" s="8"/>
      <c r="T325" s="8"/>
      <c r="U325" s="8"/>
    </row>
    <row r="326" spans="3:24">
      <c r="C326" s="537"/>
      <c r="E326" s="537"/>
      <c r="G326" s="8"/>
      <c r="I326" s="8"/>
      <c r="K326" s="8"/>
      <c r="L326" s="1627"/>
      <c r="M326" s="8"/>
      <c r="N326" s="1627"/>
      <c r="O326" s="8"/>
      <c r="P326" s="1627"/>
      <c r="Q326" s="8"/>
      <c r="R326" s="329"/>
      <c r="S326" s="8"/>
      <c r="T326" s="8"/>
      <c r="U326" s="8"/>
    </row>
    <row r="327" spans="3:24">
      <c r="C327" s="540"/>
      <c r="E327" s="540"/>
      <c r="G327" s="8"/>
      <c r="I327" s="8"/>
      <c r="K327" s="8"/>
      <c r="L327" s="1627"/>
      <c r="M327" s="8"/>
      <c r="N327" s="1627"/>
      <c r="O327" s="8"/>
      <c r="P327" s="1627"/>
      <c r="Q327" s="8"/>
      <c r="R327" s="329"/>
      <c r="S327" s="8"/>
      <c r="T327" s="8"/>
      <c r="U327" s="8"/>
    </row>
    <row r="328" spans="3:24">
      <c r="C328" s="540"/>
      <c r="E328" s="540"/>
      <c r="G328" s="8"/>
      <c r="I328" s="8"/>
      <c r="K328" s="8"/>
      <c r="L328" s="1627"/>
      <c r="M328" s="8"/>
      <c r="N328" s="1627"/>
      <c r="O328" s="8"/>
      <c r="P328" s="1627"/>
      <c r="Q328" s="8"/>
      <c r="R328" s="329"/>
      <c r="S328" s="8"/>
      <c r="T328" s="8"/>
      <c r="U328" s="121"/>
    </row>
    <row r="329" spans="3:24">
      <c r="C329" s="540"/>
      <c r="E329" s="540"/>
      <c r="G329" s="8"/>
      <c r="I329" s="8"/>
      <c r="K329" s="8"/>
      <c r="L329" s="1627"/>
      <c r="M329" s="8"/>
      <c r="N329" s="1627"/>
      <c r="O329" s="8"/>
      <c r="P329" s="1627"/>
      <c r="Q329" s="8"/>
      <c r="R329" s="329"/>
      <c r="S329" s="8"/>
      <c r="T329" s="8"/>
      <c r="U329" s="121"/>
    </row>
    <row r="330" spans="3:24">
      <c r="C330" s="540"/>
      <c r="E330" s="540"/>
      <c r="G330" s="8"/>
      <c r="I330" s="8"/>
      <c r="K330" s="8"/>
      <c r="L330" s="1627"/>
      <c r="M330" s="8"/>
      <c r="N330" s="1627"/>
      <c r="O330" s="8"/>
      <c r="P330" s="1627"/>
      <c r="Q330" s="8"/>
      <c r="R330" s="329"/>
      <c r="S330" s="8"/>
      <c r="T330" s="8"/>
      <c r="U330" s="121"/>
    </row>
    <row r="331" spans="3:24">
      <c r="C331" s="540"/>
      <c r="E331" s="540"/>
      <c r="G331" s="8"/>
      <c r="I331" s="8"/>
      <c r="K331" s="8"/>
      <c r="L331" s="1627"/>
      <c r="M331" s="8"/>
      <c r="N331" s="1627"/>
      <c r="O331" s="8"/>
      <c r="P331" s="1627"/>
      <c r="Q331" s="8"/>
      <c r="R331" s="329"/>
      <c r="S331" s="8"/>
      <c r="T331" s="8"/>
      <c r="U331" s="8"/>
    </row>
    <row r="332" spans="3:24">
      <c r="C332" s="540"/>
      <c r="E332" s="540"/>
      <c r="G332" s="8"/>
      <c r="I332" s="8"/>
      <c r="K332" s="8"/>
      <c r="L332" s="1627"/>
      <c r="M332" s="8"/>
      <c r="N332" s="1627"/>
      <c r="O332" s="8"/>
      <c r="P332" s="1627"/>
      <c r="Q332" s="8"/>
      <c r="R332" s="329"/>
      <c r="S332" s="8"/>
      <c r="T332" s="8"/>
      <c r="U332" s="8"/>
    </row>
    <row r="333" spans="3:24">
      <c r="C333" s="540"/>
      <c r="E333" s="540"/>
      <c r="G333" s="8"/>
      <c r="I333" s="8"/>
      <c r="K333" s="8"/>
      <c r="L333" s="1627"/>
      <c r="M333" s="8"/>
      <c r="N333" s="1627"/>
      <c r="O333" s="8"/>
      <c r="P333" s="1627"/>
      <c r="Q333" s="8"/>
      <c r="R333" s="329"/>
      <c r="S333" s="8"/>
      <c r="T333" s="8"/>
      <c r="U333" s="8"/>
    </row>
    <row r="334" spans="3:24">
      <c r="C334" s="540"/>
      <c r="E334" s="540"/>
      <c r="G334" s="8"/>
      <c r="I334" s="8"/>
      <c r="K334" s="8"/>
      <c r="L334" s="1627"/>
      <c r="M334" s="8"/>
      <c r="N334" s="1627"/>
      <c r="O334" s="8"/>
      <c r="P334" s="1627"/>
      <c r="Q334" s="8"/>
      <c r="R334" s="329"/>
      <c r="S334" s="8"/>
      <c r="T334" s="8"/>
      <c r="U334" s="8"/>
    </row>
    <row r="335" spans="3:24">
      <c r="C335" s="540"/>
      <c r="E335" s="540"/>
      <c r="G335" s="8"/>
      <c r="I335" s="8"/>
      <c r="K335" s="8"/>
      <c r="L335" s="1627"/>
      <c r="M335" s="8"/>
      <c r="N335" s="1627"/>
      <c r="O335" s="8"/>
      <c r="P335" s="1627"/>
      <c r="Q335" s="8"/>
      <c r="R335" s="329"/>
      <c r="S335" s="8"/>
      <c r="T335" s="8"/>
      <c r="U335" s="8"/>
    </row>
    <row r="336" spans="3:24">
      <c r="C336" s="540"/>
      <c r="E336" s="540"/>
      <c r="G336" s="8"/>
      <c r="I336" s="8"/>
      <c r="K336" s="8"/>
      <c r="L336" s="1627"/>
      <c r="M336" s="8"/>
      <c r="N336" s="1627"/>
      <c r="O336" s="8"/>
      <c r="P336" s="1627"/>
      <c r="Q336" s="8"/>
      <c r="R336" s="329"/>
      <c r="S336" s="8"/>
      <c r="T336" s="8"/>
      <c r="U336" s="8"/>
    </row>
    <row r="337" spans="3:21">
      <c r="C337" s="540"/>
      <c r="E337" s="540"/>
      <c r="G337" s="8"/>
      <c r="I337" s="8"/>
      <c r="K337" s="8"/>
      <c r="L337" s="1627"/>
      <c r="M337" s="8"/>
      <c r="N337" s="1627"/>
      <c r="O337" s="8"/>
      <c r="P337" s="1627"/>
      <c r="Q337" s="8"/>
      <c r="R337" s="329"/>
      <c r="S337" s="8"/>
      <c r="T337" s="8"/>
      <c r="U337" s="8"/>
    </row>
    <row r="338" spans="3:21">
      <c r="T338" s="8"/>
      <c r="U338" s="8"/>
    </row>
    <row r="339" spans="3:21">
      <c r="T339" s="8"/>
      <c r="U339" s="8"/>
    </row>
    <row r="340" spans="3:21">
      <c r="T340" s="8"/>
      <c r="U340" s="8"/>
    </row>
    <row r="341" spans="3:21">
      <c r="T341" s="8"/>
      <c r="U341" s="8"/>
    </row>
    <row r="342" spans="3:21">
      <c r="T342" s="8"/>
      <c r="U342" s="8"/>
    </row>
    <row r="343" spans="3:21">
      <c r="T343" s="8"/>
      <c r="U343" s="8"/>
    </row>
    <row r="344" spans="3:21">
      <c r="T344" s="8"/>
      <c r="U344" s="8"/>
    </row>
    <row r="345" spans="3:21">
      <c r="T345" s="8"/>
      <c r="U345" s="8"/>
    </row>
    <row r="346" spans="3:21">
      <c r="T346" s="8"/>
      <c r="U346" s="8"/>
    </row>
    <row r="347" spans="3:21">
      <c r="T347" s="8"/>
      <c r="U347" s="8"/>
    </row>
    <row r="348" spans="3:21">
      <c r="T348" s="8"/>
      <c r="U348" s="8"/>
    </row>
    <row r="349" spans="3:21">
      <c r="T349" s="8"/>
      <c r="U349" s="8"/>
    </row>
    <row r="350" spans="3:21">
      <c r="T350" s="8"/>
      <c r="U350" s="8"/>
    </row>
    <row r="351" spans="3:21">
      <c r="T351" s="8"/>
      <c r="U351" s="8"/>
    </row>
    <row r="352" spans="3:21">
      <c r="T352" s="8"/>
      <c r="U352" s="8"/>
    </row>
    <row r="353" spans="20:21">
      <c r="T353" s="8"/>
      <c r="U353" s="8"/>
    </row>
    <row r="354" spans="20:21">
      <c r="T354" s="8"/>
      <c r="U354" s="8"/>
    </row>
    <row r="355" spans="20:21">
      <c r="T355" s="8"/>
      <c r="U355" s="8"/>
    </row>
    <row r="356" spans="20:21">
      <c r="T356" s="8"/>
      <c r="U356" s="8"/>
    </row>
    <row r="357" spans="20:21">
      <c r="T357" s="8"/>
      <c r="U357" s="8"/>
    </row>
    <row r="358" spans="20:21">
      <c r="T358" s="8"/>
      <c r="U358" s="8"/>
    </row>
    <row r="359" spans="20:21">
      <c r="T359" s="8"/>
      <c r="U359" s="8"/>
    </row>
    <row r="360" spans="20:21">
      <c r="T360" s="8"/>
      <c r="U360" s="8"/>
    </row>
    <row r="361" spans="20:21">
      <c r="T361" s="8"/>
      <c r="U361" s="8"/>
    </row>
    <row r="362" spans="20:21">
      <c r="T362" s="8"/>
      <c r="U362" s="8"/>
    </row>
    <row r="363" spans="20:21">
      <c r="T363" s="8"/>
      <c r="U363" s="8"/>
    </row>
    <row r="364" spans="20:21">
      <c r="T364" s="8"/>
      <c r="U364" s="8"/>
    </row>
    <row r="365" spans="20:21">
      <c r="T365" s="8"/>
      <c r="U365" s="8"/>
    </row>
    <row r="366" spans="20:21">
      <c r="T366" s="8"/>
      <c r="U366" s="8"/>
    </row>
    <row r="367" spans="20:21">
      <c r="T367" s="8"/>
      <c r="U367" s="8"/>
    </row>
    <row r="368" spans="20:21">
      <c r="T368" s="8"/>
      <c r="U368" s="8"/>
    </row>
    <row r="369" spans="3:21">
      <c r="T369" s="8"/>
      <c r="U369" s="8"/>
    </row>
    <row r="370" spans="3:21">
      <c r="T370" s="8"/>
      <c r="U370" s="8"/>
    </row>
    <row r="371" spans="3:21">
      <c r="T371" s="8"/>
      <c r="U371" s="8"/>
    </row>
    <row r="372" spans="3:21">
      <c r="T372" s="8"/>
      <c r="U372" s="8"/>
    </row>
    <row r="373" spans="3:21">
      <c r="T373" s="8"/>
      <c r="U373" s="8"/>
    </row>
    <row r="374" spans="3:21">
      <c r="T374" s="8"/>
    </row>
    <row r="375" spans="3:21">
      <c r="T375" s="8"/>
    </row>
    <row r="376" spans="3:21">
      <c r="C376" s="541"/>
      <c r="E376" s="541"/>
      <c r="G376" s="2"/>
      <c r="I376" s="2"/>
      <c r="K376" s="2"/>
      <c r="L376" s="1628"/>
      <c r="M376" s="2"/>
      <c r="N376" s="1628"/>
      <c r="O376" s="2"/>
      <c r="P376" s="1628"/>
      <c r="Q376" s="2"/>
      <c r="R376" s="330"/>
      <c r="S376" s="2"/>
      <c r="T376" s="8"/>
    </row>
    <row r="377" spans="3:21">
      <c r="C377" s="541"/>
      <c r="E377" s="541"/>
      <c r="G377" s="2"/>
      <c r="I377" s="2"/>
      <c r="K377" s="2"/>
      <c r="L377" s="1628"/>
      <c r="M377" s="2"/>
      <c r="N377" s="1628"/>
      <c r="O377" s="2"/>
      <c r="P377" s="1628"/>
      <c r="Q377" s="2"/>
      <c r="R377" s="330"/>
      <c r="S377" s="2"/>
      <c r="T377" s="8"/>
    </row>
    <row r="378" spans="3:21">
      <c r="C378" s="541"/>
      <c r="E378" s="541"/>
      <c r="G378" s="2"/>
      <c r="I378" s="2"/>
      <c r="K378" s="2"/>
      <c r="L378" s="1628"/>
      <c r="M378" s="2"/>
      <c r="N378" s="1628"/>
      <c r="O378" s="2"/>
      <c r="P378" s="1628"/>
      <c r="Q378" s="2"/>
      <c r="R378" s="330"/>
      <c r="S378" s="2"/>
      <c r="T378" s="8"/>
    </row>
    <row r="379" spans="3:21">
      <c r="C379" s="541"/>
      <c r="E379" s="541"/>
      <c r="G379" s="2"/>
      <c r="I379" s="2"/>
      <c r="K379" s="2"/>
      <c r="L379" s="1628"/>
      <c r="M379" s="2"/>
      <c r="N379" s="1628"/>
      <c r="O379" s="2"/>
      <c r="P379" s="1628"/>
      <c r="Q379" s="2"/>
      <c r="R379" s="330"/>
      <c r="S379" s="2"/>
      <c r="T379" s="8"/>
    </row>
    <row r="380" spans="3:21">
      <c r="C380" s="541"/>
      <c r="E380" s="541"/>
      <c r="G380" s="2"/>
      <c r="I380" s="2"/>
      <c r="K380" s="2"/>
      <c r="L380" s="1628"/>
      <c r="M380" s="2"/>
      <c r="N380" s="1628"/>
      <c r="O380" s="2"/>
      <c r="P380" s="1628"/>
      <c r="Q380" s="2"/>
      <c r="R380" s="330"/>
      <c r="S380" s="2"/>
      <c r="T380" s="8"/>
    </row>
    <row r="381" spans="3:21">
      <c r="C381" s="541"/>
      <c r="E381" s="541"/>
      <c r="G381" s="2"/>
      <c r="I381" s="2"/>
      <c r="K381" s="2"/>
      <c r="L381" s="1628"/>
      <c r="M381" s="2"/>
      <c r="N381" s="1628"/>
      <c r="O381" s="2"/>
      <c r="P381" s="1628"/>
      <c r="Q381" s="2"/>
      <c r="R381" s="330"/>
      <c r="S381" s="2"/>
      <c r="T381" s="8"/>
    </row>
    <row r="382" spans="3:21">
      <c r="C382" s="541"/>
      <c r="E382" s="541"/>
      <c r="G382" s="2"/>
      <c r="I382" s="2"/>
      <c r="K382" s="2"/>
      <c r="L382" s="1628"/>
      <c r="M382" s="2"/>
      <c r="N382" s="1628"/>
      <c r="O382" s="2"/>
      <c r="P382" s="1628"/>
      <c r="Q382" s="2"/>
      <c r="R382" s="330"/>
      <c r="S382" s="2"/>
      <c r="T382" s="8"/>
    </row>
    <row r="383" spans="3:21">
      <c r="C383" s="541"/>
      <c r="E383" s="541"/>
      <c r="G383" s="2"/>
      <c r="I383" s="2"/>
      <c r="K383" s="2"/>
      <c r="L383" s="1628"/>
      <c r="M383" s="2"/>
      <c r="N383" s="1628"/>
      <c r="O383" s="2"/>
      <c r="P383" s="1628"/>
      <c r="Q383" s="2"/>
      <c r="R383" s="330"/>
      <c r="S383" s="2"/>
      <c r="T383" s="8"/>
    </row>
    <row r="384" spans="3:21">
      <c r="C384" s="541"/>
      <c r="E384" s="541"/>
      <c r="G384" s="2"/>
      <c r="I384" s="2"/>
      <c r="K384" s="2"/>
      <c r="L384" s="1628"/>
      <c r="M384" s="2"/>
      <c r="N384" s="1628"/>
      <c r="O384" s="2"/>
      <c r="P384" s="1628"/>
      <c r="Q384" s="2"/>
      <c r="R384" s="330"/>
      <c r="S384" s="2"/>
      <c r="T384" s="8"/>
    </row>
    <row r="385" spans="3:20">
      <c r="C385" s="541"/>
      <c r="E385" s="541"/>
      <c r="G385" s="2"/>
      <c r="I385" s="2"/>
      <c r="K385" s="2"/>
      <c r="L385" s="1628"/>
      <c r="M385" s="2"/>
      <c r="N385" s="1628"/>
      <c r="O385" s="2"/>
      <c r="P385" s="1628"/>
      <c r="Q385" s="2"/>
      <c r="R385" s="330"/>
      <c r="S385" s="2"/>
      <c r="T385" s="8"/>
    </row>
    <row r="386" spans="3:20">
      <c r="C386" s="541"/>
      <c r="E386" s="541"/>
      <c r="G386" s="2"/>
      <c r="I386" s="2"/>
      <c r="K386" s="2"/>
      <c r="L386" s="1628"/>
      <c r="M386" s="2"/>
      <c r="N386" s="1628"/>
      <c r="O386" s="2"/>
      <c r="P386" s="1628"/>
      <c r="Q386" s="2"/>
      <c r="R386" s="330"/>
      <c r="S386" s="2"/>
      <c r="T386" s="8"/>
    </row>
    <row r="387" spans="3:20">
      <c r="C387" s="541"/>
      <c r="E387" s="541"/>
      <c r="G387" s="2"/>
      <c r="I387" s="2"/>
      <c r="K387" s="2"/>
      <c r="L387" s="1628"/>
      <c r="M387" s="2"/>
      <c r="N387" s="1628"/>
      <c r="O387" s="2"/>
      <c r="P387" s="1628"/>
      <c r="Q387" s="2"/>
      <c r="R387" s="330"/>
      <c r="S387" s="2"/>
      <c r="T387" s="8"/>
    </row>
    <row r="388" spans="3:20">
      <c r="C388" s="541"/>
      <c r="E388" s="541"/>
      <c r="G388" s="2"/>
      <c r="I388" s="2"/>
      <c r="K388" s="2"/>
      <c r="L388" s="1628"/>
      <c r="M388" s="2"/>
      <c r="N388" s="1628"/>
      <c r="O388" s="2"/>
      <c r="P388" s="1628"/>
      <c r="Q388" s="2"/>
      <c r="R388" s="330"/>
      <c r="S388" s="2"/>
      <c r="T388" s="8"/>
    </row>
    <row r="389" spans="3:20">
      <c r="T389" s="8"/>
    </row>
    <row r="390" spans="3:20">
      <c r="T390" s="8"/>
    </row>
    <row r="391" spans="3:20">
      <c r="C391" s="542"/>
      <c r="E391" s="542"/>
      <c r="G391" s="7"/>
      <c r="I391" s="7"/>
      <c r="K391" s="7"/>
      <c r="L391" s="1629"/>
      <c r="M391" s="7"/>
      <c r="N391" s="1629"/>
      <c r="O391" s="7"/>
      <c r="P391" s="1629"/>
      <c r="Q391" s="7"/>
      <c r="R391" s="331"/>
      <c r="S391" s="7"/>
      <c r="T391" s="8"/>
    </row>
    <row r="392" spans="3:20">
      <c r="C392" s="541"/>
      <c r="E392" s="541"/>
      <c r="G392" s="2"/>
      <c r="I392" s="2"/>
      <c r="K392" s="2"/>
      <c r="L392" s="1628"/>
      <c r="M392" s="2"/>
      <c r="N392" s="1628"/>
      <c r="O392" s="2"/>
      <c r="P392" s="1628"/>
      <c r="Q392" s="2"/>
      <c r="R392" s="330"/>
      <c r="S392" s="2"/>
      <c r="T392" s="8"/>
    </row>
    <row r="393" spans="3:20">
      <c r="C393" s="542"/>
      <c r="E393" s="542"/>
      <c r="G393" s="7"/>
      <c r="I393" s="7"/>
      <c r="K393" s="7"/>
      <c r="L393" s="1629"/>
      <c r="M393" s="7"/>
      <c r="N393" s="1629"/>
      <c r="O393" s="7"/>
      <c r="P393" s="1629"/>
      <c r="Q393" s="7"/>
      <c r="R393" s="331"/>
      <c r="S393" s="7"/>
      <c r="T393" s="8"/>
    </row>
    <row r="394" spans="3:20">
      <c r="C394" s="542"/>
      <c r="E394" s="542"/>
      <c r="G394" s="7"/>
      <c r="I394" s="7"/>
      <c r="K394" s="7"/>
      <c r="L394" s="1629"/>
      <c r="M394" s="7"/>
      <c r="N394" s="1629"/>
      <c r="O394" s="7"/>
      <c r="P394" s="1629"/>
      <c r="Q394" s="7"/>
      <c r="R394" s="331"/>
      <c r="S394" s="7"/>
      <c r="T394" s="8"/>
    </row>
    <row r="395" spans="3:20">
      <c r="T395" s="7"/>
    </row>
    <row r="396" spans="3:20">
      <c r="T396" s="7"/>
    </row>
    <row r="397" spans="3:20">
      <c r="T397" s="7"/>
    </row>
    <row r="398" spans="3:20">
      <c r="T398" s="6"/>
    </row>
    <row r="399" spans="3:20">
      <c r="T399" s="2"/>
    </row>
    <row r="400" spans="3:20">
      <c r="T400" s="2"/>
    </row>
    <row r="401" spans="20:20">
      <c r="T401" s="2"/>
    </row>
    <row r="402" spans="20:20">
      <c r="T402" s="2"/>
    </row>
    <row r="453" spans="20:20">
      <c r="T453" s="5"/>
    </row>
    <row r="454" spans="20:20">
      <c r="T454" s="5"/>
    </row>
    <row r="455" spans="20:20">
      <c r="T455" s="5"/>
    </row>
    <row r="457" spans="20:20">
      <c r="T457" s="5"/>
    </row>
    <row r="458" spans="20:20">
      <c r="T458" s="5"/>
    </row>
    <row r="459" spans="20:20">
      <c r="T459" s="5"/>
    </row>
    <row r="460" spans="20:20">
      <c r="T460" s="5"/>
    </row>
    <row r="461" spans="20:20">
      <c r="T461" s="5"/>
    </row>
    <row r="462" spans="20:20">
      <c r="T462" s="5"/>
    </row>
    <row r="463" spans="20:20">
      <c r="T463" s="5"/>
    </row>
    <row r="464" spans="20:20">
      <c r="T464" s="5"/>
    </row>
    <row r="465" spans="2:20">
      <c r="T465" s="5"/>
    </row>
    <row r="466" spans="2:20">
      <c r="T466" s="5"/>
    </row>
    <row r="467" spans="2:20">
      <c r="T467" s="5"/>
    </row>
    <row r="468" spans="2:20">
      <c r="T468" s="5"/>
    </row>
    <row r="469" spans="2:20">
      <c r="T469" s="5"/>
    </row>
    <row r="470" spans="2:20">
      <c r="T470" s="5"/>
    </row>
    <row r="471" spans="2:20">
      <c r="T471" s="5"/>
    </row>
    <row r="472" spans="2:20">
      <c r="T472" s="5"/>
    </row>
    <row r="473" spans="2:20">
      <c r="T473" s="5"/>
    </row>
    <row r="474" spans="2:20">
      <c r="T474" s="5"/>
    </row>
    <row r="476" spans="2:20">
      <c r="C476" s="543"/>
      <c r="E476" s="543"/>
      <c r="G476" s="5"/>
      <c r="I476" s="5"/>
      <c r="K476" s="5"/>
      <c r="L476" s="1625"/>
      <c r="M476" s="5"/>
      <c r="N476" s="1625"/>
      <c r="O476" s="5"/>
      <c r="P476" s="1625"/>
      <c r="Q476" s="5"/>
      <c r="R476" s="327"/>
      <c r="S476" s="5"/>
    </row>
    <row r="477" spans="2:20">
      <c r="C477" s="543"/>
      <c r="E477" s="543"/>
      <c r="G477" s="5"/>
      <c r="I477" s="5"/>
      <c r="K477" s="5"/>
      <c r="L477" s="1625"/>
      <c r="M477" s="5"/>
      <c r="N477" s="1625"/>
      <c r="O477" s="5"/>
      <c r="P477" s="1625"/>
      <c r="Q477" s="5"/>
      <c r="R477" s="327"/>
      <c r="S477" s="5"/>
    </row>
    <row r="478" spans="2:20">
      <c r="B478" s="4"/>
      <c r="T478" s="5"/>
    </row>
    <row r="479" spans="2:20">
      <c r="T479" s="5"/>
    </row>
    <row r="480" spans="2:20">
      <c r="T480" s="5"/>
    </row>
    <row r="481" spans="20:20">
      <c r="T481" s="5"/>
    </row>
    <row r="482" spans="20:20">
      <c r="T482" s="5"/>
    </row>
    <row r="483" spans="20:20">
      <c r="T483" s="1"/>
    </row>
    <row r="484" spans="20:20">
      <c r="T484" s="5"/>
    </row>
    <row r="486" spans="20:20">
      <c r="T486" s="5"/>
    </row>
    <row r="488" spans="20:20">
      <c r="T488" s="5"/>
    </row>
    <row r="489" spans="20:20">
      <c r="T489" s="5"/>
    </row>
  </sheetData>
  <sheetProtection sheet="1" objects="1" scenarios="1"/>
  <phoneticPr fontId="0" type="noConversion"/>
  <printOptions headings="1"/>
  <pageMargins left="0.45" right="0.45" top="0.5" bottom="0.5" header="0.3" footer="0.3"/>
  <pageSetup scale="55" fitToHeight="2" orientation="portrait" r:id="rId1"/>
  <headerFooter alignWithMargins="0"/>
  <rowBreaks count="2" manualBreakCount="2">
    <brk id="106" max="13" man="1"/>
    <brk id="164" max="6"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7097</v>
      </c>
      <c r="D3" s="75" t="str">
        <f>C3</f>
        <v>2021-22</v>
      </c>
      <c r="E3" s="75" t="str">
        <f>D3</f>
        <v>2021-22</v>
      </c>
    </row>
    <row r="4" spans="1:5">
      <c r="C4" s="117" t="s">
        <v>4476</v>
      </c>
      <c r="D4" s="117" t="s">
        <v>4477</v>
      </c>
      <c r="E4" s="194" t="s">
        <v>4467</v>
      </c>
    </row>
    <row r="5" spans="1:5">
      <c r="A5" t="s">
        <v>4466</v>
      </c>
      <c r="C5" s="1537">
        <f>'Data Entry - SOF'!M108</f>
        <v>0</v>
      </c>
      <c r="D5" s="1537">
        <f>'Calc Data-SB1'!AW30</f>
        <v>0</v>
      </c>
      <c r="E5" s="1537">
        <f>D5-C5</f>
        <v>0</v>
      </c>
    </row>
    <row r="6" spans="1:5">
      <c r="A6" t="s">
        <v>1148</v>
      </c>
      <c r="C6" s="424">
        <f>'Calc Data-SB1'!H19</f>
        <v>0</v>
      </c>
      <c r="D6" s="424">
        <f>'Calc Data-SB1'!AW19</f>
        <v>0</v>
      </c>
      <c r="E6" s="424"/>
    </row>
    <row r="8" spans="1:5">
      <c r="A8" t="s">
        <v>576</v>
      </c>
      <c r="C8" s="1761">
        <f>'SOF2122-SB1'!F44</f>
        <v>0</v>
      </c>
      <c r="D8" s="1761">
        <f>'SOF2122-SB1'!H44</f>
        <v>0</v>
      </c>
      <c r="E8" s="1761">
        <f>D8-C8</f>
        <v>0</v>
      </c>
    </row>
    <row r="9" spans="1:5">
      <c r="A9" t="s">
        <v>4468</v>
      </c>
      <c r="C9" s="1761">
        <f>'SOF2122-SB1'!F45</f>
        <v>0</v>
      </c>
      <c r="D9" s="1761">
        <f>'SOF2122-SB1'!H45</f>
        <v>0</v>
      </c>
      <c r="E9" s="1761">
        <f>D9-C9</f>
        <v>0</v>
      </c>
    </row>
    <row r="10" spans="1:5">
      <c r="A10" t="s">
        <v>2829</v>
      </c>
      <c r="C10" s="1762">
        <f>'SOF2122-SB1'!F46</f>
        <v>0</v>
      </c>
      <c r="D10" s="1762">
        <f>'SOF2122-SB1'!H46</f>
        <v>0</v>
      </c>
      <c r="E10" s="1762">
        <f>IF(D10-C10&lt;0,0,D10-C10)</f>
        <v>0</v>
      </c>
    </row>
    <row r="11" spans="1:5">
      <c r="C11" s="1763"/>
      <c r="D11" s="1763"/>
      <c r="E11" s="1763"/>
    </row>
    <row r="12" spans="1:5">
      <c r="A12" t="s">
        <v>2262</v>
      </c>
      <c r="C12" s="1763" t="e">
        <f>'ASATR-SB1'!O24</f>
        <v>#DIV/0!</v>
      </c>
      <c r="D12" s="1763" t="e">
        <f>'ASATR-SB1'!O39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Data-SB1'!H36</f>
        <v>0</v>
      </c>
      <c r="D18" s="456">
        <f>'Calc Data-SB1'!AW28</f>
        <v>0</v>
      </c>
      <c r="E18" s="1537">
        <f>D18-C18</f>
        <v>0</v>
      </c>
    </row>
    <row r="19" spans="1:5">
      <c r="A19" s="283" t="s">
        <v>4470</v>
      </c>
      <c r="B19" s="57"/>
      <c r="C19" s="1768" t="e">
        <f>'SOF2122-SB1'!F53</f>
        <v>#DIV/0!</v>
      </c>
      <c r="D19" s="1769" t="e">
        <f>'SOF2122-SB1'!H53</f>
        <v>#DIV/0!</v>
      </c>
      <c r="E19" s="1765" t="e">
        <f>D19-C19</f>
        <v>#DIV/0!</v>
      </c>
    </row>
    <row r="21" spans="1:5">
      <c r="A21" s="283" t="s">
        <v>4474</v>
      </c>
      <c r="B21" s="57"/>
      <c r="C21" s="1770" t="e">
        <f>'Option Costs-HB3646'!AU54</f>
        <v>#DIV/0!</v>
      </c>
      <c r="D21" s="1771" t="e">
        <f>'Option Costs-HB3646'!AU85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3" spans="1:1">
      <c r="A33" s="1802" t="s">
        <v>7108</v>
      </c>
    </row>
    <row r="34" spans="1:1">
      <c r="A34" s="1802"/>
    </row>
    <row r="35" spans="1:1" ht="15" customHeight="1">
      <c r="A35" s="4624" t="s">
        <v>7106</v>
      </c>
    </row>
    <row r="36" spans="1:1" ht="15" customHeight="1">
      <c r="A36" s="4624" t="s">
        <v>8015</v>
      </c>
    </row>
    <row r="37" spans="1:1" ht="15" customHeight="1">
      <c r="A37" s="4624" t="s">
        <v>7107</v>
      </c>
    </row>
  </sheetData>
  <sheetProtection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2.75"/>
  <cols>
    <col min="1" max="1" width="9.140625" style="89" customWidth="1"/>
    <col min="2" max="2" width="86" style="47" customWidth="1"/>
    <col min="3" max="3" width="4.140625" style="47" customWidth="1"/>
    <col min="4" max="4" width="20.7109375" style="47" customWidth="1"/>
    <col min="5" max="5" width="17.5703125" style="47" customWidth="1"/>
    <col min="6" max="12" width="9.140625" style="47" customWidth="1"/>
  </cols>
  <sheetData>
    <row r="1" spans="1:12">
      <c r="A1" t="s">
        <v>3266</v>
      </c>
      <c r="C1" s="1777"/>
      <c r="D1" s="1773" t="str">
        <f>'Report-SOF1819'!D1</f>
        <v>84th/85th Legislative Session</v>
      </c>
    </row>
    <row r="2" spans="1:12">
      <c r="A2" s="1074" t="s">
        <v>3265</v>
      </c>
      <c r="D2" s="98" t="str">
        <f>'Report-SOF1920'!D2</f>
        <v>Release 2</v>
      </c>
    </row>
    <row r="3" spans="1:12">
      <c r="D3" s="82">
        <f>'Report-SOF1920'!D3</f>
        <v>43145</v>
      </c>
    </row>
    <row r="4" spans="1:12" s="1076" customFormat="1" ht="15.75">
      <c r="A4" s="1075" t="s">
        <v>7660</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1515" t="s">
        <v>7661</v>
      </c>
      <c r="C8" s="1478"/>
      <c r="D8" s="1479" t="e">
        <f>'ASATR-SB1'!O42</f>
        <v>#DIV/0!</v>
      </c>
      <c r="E8" s="961"/>
      <c r="F8" s="961"/>
      <c r="G8" s="961"/>
      <c r="H8" s="961"/>
      <c r="I8" s="961"/>
      <c r="J8" s="961"/>
      <c r="K8" s="961"/>
      <c r="L8" s="961"/>
    </row>
    <row r="9" spans="1:12" s="1076" customFormat="1" ht="18">
      <c r="A9" s="3402" t="s">
        <v>3107</v>
      </c>
      <c r="B9" s="2183"/>
      <c r="C9" s="2183"/>
      <c r="D9" s="1279" t="s">
        <v>3115</v>
      </c>
      <c r="E9" s="961"/>
      <c r="F9" s="961"/>
      <c r="G9" s="961"/>
      <c r="H9" s="961"/>
      <c r="I9" s="961"/>
      <c r="J9" s="961"/>
      <c r="K9" s="961"/>
      <c r="L9" s="961"/>
    </row>
    <row r="10" spans="1:12" s="1076" customFormat="1" ht="18">
      <c r="A10" s="3638" t="s">
        <v>3108</v>
      </c>
      <c r="B10" s="3654"/>
      <c r="C10" s="3639"/>
      <c r="D10" s="1280" t="s">
        <v>3116</v>
      </c>
      <c r="E10" s="961"/>
      <c r="F10" s="961"/>
      <c r="G10" s="961"/>
      <c r="H10" s="961"/>
      <c r="I10" s="961"/>
      <c r="J10" s="961"/>
      <c r="K10" s="961"/>
      <c r="L10" s="961"/>
    </row>
    <row r="11" spans="1:12" s="1076" customFormat="1" ht="15.75">
      <c r="A11" s="1079" t="s">
        <v>2501</v>
      </c>
      <c r="B11" s="1080" t="s">
        <v>3109</v>
      </c>
      <c r="C11" s="1080"/>
      <c r="D11" s="1081">
        <f>'SOF2122-SB1'!F8</f>
        <v>0</v>
      </c>
      <c r="E11" s="961"/>
      <c r="F11" s="961"/>
      <c r="G11" s="961"/>
      <c r="H11" s="961"/>
      <c r="I11" s="961"/>
      <c r="J11" s="961"/>
      <c r="K11" s="961"/>
      <c r="L11" s="961"/>
    </row>
    <row r="12" spans="1:12" s="1076" customFormat="1" ht="15.75">
      <c r="A12" s="1254" t="s">
        <v>2502</v>
      </c>
      <c r="B12" s="1080" t="s">
        <v>7909</v>
      </c>
      <c r="C12" s="416"/>
      <c r="D12" s="1081">
        <f>'Calc Data-SB1'!H10</f>
        <v>0</v>
      </c>
      <c r="E12" s="961"/>
      <c r="F12" s="961"/>
      <c r="G12" s="961"/>
      <c r="H12" s="961"/>
      <c r="I12" s="961"/>
      <c r="J12" s="961"/>
      <c r="K12" s="961"/>
      <c r="L12" s="961"/>
    </row>
    <row r="13" spans="1:12" s="1076" customFormat="1" ht="15.75">
      <c r="A13" s="1254" t="s">
        <v>2503</v>
      </c>
      <c r="B13" s="1080" t="s">
        <v>7910</v>
      </c>
      <c r="C13" s="416"/>
      <c r="D13" s="1081">
        <f>'SOF2122-SB1'!F9</f>
        <v>0</v>
      </c>
      <c r="E13" s="961"/>
      <c r="F13" s="961"/>
      <c r="G13" s="961"/>
      <c r="H13" s="961"/>
      <c r="I13" s="961"/>
      <c r="J13" s="961"/>
      <c r="K13" s="961"/>
      <c r="L13" s="961"/>
    </row>
    <row r="14" spans="1:12" s="1076" customFormat="1" ht="15.75">
      <c r="A14" s="1254" t="s">
        <v>1024</v>
      </c>
      <c r="B14" s="1080" t="s">
        <v>932</v>
      </c>
      <c r="C14" s="416"/>
      <c r="D14" s="1081">
        <f>'SOF2122-SB1'!F10</f>
        <v>0</v>
      </c>
      <c r="E14" s="961"/>
      <c r="F14" s="961"/>
      <c r="G14" s="961"/>
      <c r="H14" s="961"/>
      <c r="I14" s="961"/>
      <c r="J14" s="961"/>
      <c r="K14" s="961"/>
      <c r="L14" s="961"/>
    </row>
    <row r="15" spans="1:12" s="1076" customFormat="1" ht="15.75">
      <c r="A15" s="1079" t="s">
        <v>1025</v>
      </c>
      <c r="B15" s="1080" t="s">
        <v>715</v>
      </c>
      <c r="C15" s="1080"/>
      <c r="D15" s="1081">
        <f>'Data Entry - SOF'!M33</f>
        <v>0</v>
      </c>
      <c r="E15" s="961"/>
      <c r="F15" s="961"/>
      <c r="G15" s="961"/>
      <c r="H15" s="961"/>
      <c r="I15" s="961"/>
      <c r="J15" s="961"/>
      <c r="K15" s="961"/>
      <c r="L15" s="961"/>
    </row>
    <row r="16" spans="1:12" s="1076" customFormat="1" ht="15.75">
      <c r="A16" s="1079" t="s">
        <v>1027</v>
      </c>
      <c r="B16" s="1080" t="s">
        <v>3111</v>
      </c>
      <c r="C16" s="1080"/>
      <c r="D16" s="1081">
        <f>'Data Entry - SOF'!M18</f>
        <v>0</v>
      </c>
      <c r="E16" s="961"/>
      <c r="F16" s="961"/>
      <c r="G16" s="961"/>
      <c r="H16" s="961"/>
      <c r="I16" s="961"/>
      <c r="J16" s="961"/>
      <c r="K16" s="961"/>
      <c r="L16" s="961"/>
    </row>
    <row r="17" spans="1:12" s="1076" customFormat="1" ht="15.75">
      <c r="A17" s="1079" t="s">
        <v>1028</v>
      </c>
      <c r="B17" s="1689" t="s">
        <v>3985</v>
      </c>
      <c r="C17" s="1080"/>
      <c r="D17" s="1081" t="e">
        <f>'Calc Data-SB1'!H25</f>
        <v>#DIV/0!</v>
      </c>
      <c r="E17" s="961"/>
      <c r="F17" s="961"/>
      <c r="G17" s="961"/>
      <c r="H17" s="961"/>
      <c r="I17" s="961"/>
      <c r="J17" s="961"/>
      <c r="K17" s="961"/>
      <c r="L17" s="961"/>
    </row>
    <row r="18" spans="1:12" s="1076" customFormat="1" ht="15.75">
      <c r="A18" s="1079" t="s">
        <v>1029</v>
      </c>
      <c r="B18" s="1080" t="s">
        <v>3112</v>
      </c>
      <c r="C18" s="1080"/>
      <c r="D18" s="1081">
        <f>'Report-SOF2021'!D11</f>
        <v>0</v>
      </c>
      <c r="E18" s="961"/>
      <c r="F18" s="961"/>
      <c r="G18" s="961"/>
      <c r="H18" s="961"/>
      <c r="I18" s="961"/>
      <c r="J18" s="961"/>
      <c r="K18" s="961"/>
      <c r="L18" s="961"/>
    </row>
    <row r="19" spans="1:12" s="1076" customFormat="1" ht="15.75">
      <c r="A19" s="1079" t="s">
        <v>139</v>
      </c>
      <c r="B19" s="1080" t="s">
        <v>3113</v>
      </c>
      <c r="C19" s="1080"/>
      <c r="D19" s="1081">
        <f>'Data Entry - SOF'!M68</f>
        <v>0</v>
      </c>
      <c r="E19" s="961"/>
      <c r="F19" s="961"/>
      <c r="G19" s="961"/>
      <c r="H19" s="961"/>
      <c r="I19" s="961"/>
      <c r="J19" s="961"/>
      <c r="K19" s="961"/>
      <c r="L19" s="961"/>
    </row>
    <row r="20" spans="1:12" s="1076" customFormat="1" ht="15.75">
      <c r="A20" s="1079" t="s">
        <v>140</v>
      </c>
      <c r="B20" s="1080" t="s">
        <v>3114</v>
      </c>
      <c r="C20" s="1080"/>
      <c r="D20" s="1081">
        <f>'Data Entry - SOF'!M67</f>
        <v>0</v>
      </c>
      <c r="E20" s="961"/>
      <c r="F20" s="961"/>
      <c r="G20" s="961"/>
      <c r="H20" s="961"/>
      <c r="I20" s="961"/>
      <c r="J20" s="961"/>
      <c r="K20" s="961"/>
      <c r="L20" s="961"/>
    </row>
    <row r="21" spans="1:12" s="1076" customFormat="1" ht="18">
      <c r="A21" s="3638" t="s">
        <v>3117</v>
      </c>
      <c r="B21" s="3654"/>
      <c r="C21" s="3654"/>
      <c r="D21" s="3639"/>
      <c r="E21" s="961"/>
      <c r="F21" s="961"/>
      <c r="G21" s="961"/>
      <c r="H21" s="961"/>
      <c r="I21" s="961"/>
      <c r="J21" s="961"/>
      <c r="K21" s="961"/>
      <c r="L21" s="961"/>
    </row>
    <row r="22" spans="1:12" s="1076" customFormat="1" ht="15.75">
      <c r="A22" s="1079" t="s">
        <v>141</v>
      </c>
      <c r="B22" s="1080" t="s">
        <v>3118</v>
      </c>
      <c r="C22" s="1080"/>
      <c r="D22" s="1082">
        <f>'Data Entry - SOF'!M44</f>
        <v>0</v>
      </c>
      <c r="E22" s="961"/>
      <c r="F22" s="961"/>
      <c r="G22" s="961"/>
      <c r="H22" s="961"/>
      <c r="I22" s="961"/>
      <c r="J22" s="961"/>
      <c r="K22" s="961"/>
      <c r="L22" s="961"/>
    </row>
    <row r="23" spans="1:12" s="1076" customFormat="1" ht="15.75">
      <c r="A23" s="1079" t="s">
        <v>142</v>
      </c>
      <c r="B23" s="1080" t="s">
        <v>3119</v>
      </c>
      <c r="C23" s="1080"/>
      <c r="D23" s="1082">
        <f>'Data Entry - SOF'!M45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4674</v>
      </c>
      <c r="C25" s="1080"/>
      <c r="D25" s="1224" t="s">
        <v>3450</v>
      </c>
      <c r="E25" s="961"/>
      <c r="F25" s="961"/>
      <c r="G25" s="961"/>
      <c r="H25" s="961"/>
      <c r="I25" s="961"/>
      <c r="J25" s="961"/>
      <c r="K25" s="961"/>
      <c r="L25" s="961"/>
    </row>
    <row r="26" spans="1:12" s="1076" customFormat="1" ht="15.75">
      <c r="A26" s="1079" t="s">
        <v>6</v>
      </c>
      <c r="B26" s="1080" t="s">
        <v>4675</v>
      </c>
      <c r="C26" s="1080"/>
      <c r="D26" s="1083">
        <f>'Data Entry - SOF'!M48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7662</v>
      </c>
      <c r="C29" s="1078"/>
      <c r="D29" s="1084">
        <f>'Data Entry - SOF'!M108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7663</v>
      </c>
      <c r="C31" s="1078"/>
      <c r="D31" s="1084">
        <f>'Data Entry - SOF'!M58</f>
        <v>0</v>
      </c>
      <c r="E31" s="961"/>
      <c r="F31" s="961"/>
      <c r="G31" s="961"/>
      <c r="H31" s="961"/>
      <c r="I31" s="961"/>
      <c r="J31" s="961"/>
      <c r="K31" s="961"/>
      <c r="L31" s="961"/>
    </row>
    <row r="32" spans="1:12" s="1076" customFormat="1" ht="15.75">
      <c r="A32" s="1079" t="s">
        <v>3126</v>
      </c>
      <c r="B32" s="1610" t="s">
        <v>7742</v>
      </c>
      <c r="C32" s="1080"/>
      <c r="D32" s="1085">
        <f>'Data Entry - SOF'!M59</f>
        <v>0</v>
      </c>
      <c r="E32" s="961"/>
      <c r="F32" s="961"/>
      <c r="G32" s="961"/>
      <c r="H32" s="961"/>
      <c r="I32" s="961"/>
      <c r="J32" s="961"/>
      <c r="K32" s="961"/>
      <c r="L32" s="961"/>
    </row>
    <row r="33" spans="1:12" s="1076" customFormat="1" ht="15.75">
      <c r="A33" s="1079" t="s">
        <v>3127</v>
      </c>
      <c r="B33" s="1080" t="s">
        <v>7664</v>
      </c>
      <c r="C33" s="1080"/>
      <c r="D33" s="1085">
        <f>'Data Entry - SOF'!M63</f>
        <v>0</v>
      </c>
      <c r="E33" s="961"/>
      <c r="F33" s="961"/>
      <c r="G33" s="961"/>
      <c r="H33" s="961"/>
      <c r="I33" s="961"/>
      <c r="J33" s="961"/>
      <c r="K33" s="961"/>
      <c r="L33" s="961"/>
    </row>
    <row r="34" spans="1:12" s="1076" customFormat="1" ht="15.75">
      <c r="A34" s="1079" t="s">
        <v>3128</v>
      </c>
      <c r="B34" s="1080" t="s">
        <v>7665</v>
      </c>
      <c r="C34" s="1080"/>
      <c r="D34" s="1085">
        <f>'Data Entry - SOF'!M153</f>
        <v>0</v>
      </c>
      <c r="E34" s="961"/>
      <c r="F34" s="961"/>
      <c r="G34" s="961"/>
      <c r="H34" s="961"/>
      <c r="I34" s="961"/>
      <c r="J34" s="961"/>
      <c r="K34" s="961"/>
      <c r="L34" s="961"/>
    </row>
    <row r="35" spans="1:12" s="1076" customFormat="1" ht="15.75">
      <c r="A35" s="1079" t="s">
        <v>3129</v>
      </c>
      <c r="B35" s="1080" t="s">
        <v>7666</v>
      </c>
      <c r="C35" s="1080"/>
      <c r="D35" s="1085">
        <f>'Data Entry - SOF'!M69</f>
        <v>0</v>
      </c>
      <c r="E35" s="961"/>
      <c r="F35" s="961"/>
      <c r="G35" s="961"/>
      <c r="H35" s="961"/>
      <c r="I35" s="961"/>
      <c r="J35" s="961"/>
      <c r="K35" s="961"/>
      <c r="L35" s="961"/>
    </row>
    <row r="36" spans="1:12" s="1076" customFormat="1" ht="18">
      <c r="A36" s="3638" t="s">
        <v>3130</v>
      </c>
      <c r="B36" s="3654"/>
      <c r="C36" s="3654"/>
      <c r="D36" s="3639"/>
      <c r="E36" s="961"/>
      <c r="F36" s="961"/>
      <c r="G36" s="961"/>
      <c r="H36" s="961"/>
      <c r="I36" s="961"/>
      <c r="J36" s="961"/>
      <c r="K36" s="961"/>
      <c r="L36" s="961"/>
    </row>
    <row r="37" spans="1:12" s="1076" customFormat="1" ht="15.75">
      <c r="A37" s="1301" t="s">
        <v>3131</v>
      </c>
      <c r="B37" s="1610" t="s">
        <v>7743</v>
      </c>
      <c r="C37" s="1099"/>
      <c r="D37" s="1807">
        <f>'Calc Data-SB1'!AW23</f>
        <v>0</v>
      </c>
      <c r="E37" s="961"/>
      <c r="F37" s="961"/>
      <c r="G37" s="961"/>
      <c r="H37" s="961"/>
      <c r="I37" s="961"/>
      <c r="J37" s="961"/>
      <c r="K37" s="961"/>
      <c r="L37" s="961"/>
    </row>
    <row r="38" spans="1:12" s="1076" customFormat="1" ht="15.75">
      <c r="A38" s="1079" t="s">
        <v>3132</v>
      </c>
      <c r="B38" s="1080" t="s">
        <v>3136</v>
      </c>
      <c r="C38" s="1080"/>
      <c r="D38" s="1197" t="e">
        <f>'ASATR-SB1'!O46</f>
        <v>#DIV/0!</v>
      </c>
      <c r="E38" s="961"/>
      <c r="F38" s="961"/>
      <c r="G38" s="961"/>
      <c r="H38" s="961"/>
      <c r="I38" s="961"/>
      <c r="J38" s="961"/>
      <c r="K38" s="961"/>
      <c r="L38" s="961"/>
    </row>
    <row r="39" spans="1:12" s="1076" customFormat="1" ht="15.75">
      <c r="A39" s="1079" t="s">
        <v>3133</v>
      </c>
      <c r="B39" s="1080" t="s">
        <v>3183</v>
      </c>
      <c r="C39" s="1080"/>
      <c r="D39" s="1086">
        <f>'Data Entry - SOF'!M112</f>
        <v>0</v>
      </c>
      <c r="E39" s="961"/>
      <c r="F39" s="961"/>
      <c r="G39" s="961"/>
      <c r="H39" s="961"/>
      <c r="I39" s="961"/>
      <c r="J39" s="961"/>
      <c r="K39" s="961"/>
      <c r="L39" s="961"/>
    </row>
    <row r="40" spans="1:12" s="1076" customFormat="1" ht="15.75">
      <c r="A40" s="1079" t="s">
        <v>3134</v>
      </c>
      <c r="B40" s="1080" t="s">
        <v>3137</v>
      </c>
      <c r="C40" s="1080"/>
      <c r="D40" s="1086">
        <f>'Calc Data-SB1'!H59</f>
        <v>0</v>
      </c>
      <c r="E40" s="961"/>
      <c r="F40" s="961"/>
      <c r="G40" s="961"/>
      <c r="H40" s="961"/>
      <c r="I40" s="961"/>
      <c r="J40" s="961"/>
      <c r="K40" s="961"/>
      <c r="L40" s="961"/>
    </row>
    <row r="41" spans="1:12" s="1076" customFormat="1" ht="15.75">
      <c r="A41" s="1079" t="s">
        <v>3135</v>
      </c>
      <c r="B41" s="1080" t="s">
        <v>3138</v>
      </c>
      <c r="C41" s="1080"/>
      <c r="D41" s="1087">
        <f>Assumptions!G141</f>
        <v>200</v>
      </c>
      <c r="E41" s="961"/>
      <c r="F41" s="961"/>
      <c r="G41" s="961"/>
      <c r="H41" s="961"/>
      <c r="I41" s="961"/>
      <c r="J41" s="961"/>
      <c r="K41" s="961"/>
      <c r="L41" s="961"/>
    </row>
    <row r="42" spans="1:12" s="1076" customFormat="1" ht="18">
      <c r="A42" s="3638" t="s">
        <v>3139</v>
      </c>
      <c r="B42" s="3654"/>
      <c r="C42" s="3654"/>
      <c r="D42" s="3639"/>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'SOF2122-SB1'!H21</f>
        <v>0</v>
      </c>
      <c r="E44" s="961"/>
      <c r="F44" s="961"/>
      <c r="G44" s="961"/>
      <c r="H44" s="961"/>
      <c r="I44" s="961"/>
      <c r="J44" s="961"/>
      <c r="K44" s="961"/>
      <c r="L44" s="961"/>
    </row>
    <row r="45" spans="1:12" s="1076" customFormat="1" ht="15.75">
      <c r="A45" s="1079" t="s">
        <v>3141</v>
      </c>
      <c r="B45" s="1080" t="s">
        <v>3746</v>
      </c>
      <c r="C45" s="1080"/>
      <c r="D45" s="1085">
        <f>'SOF2122-SB1'!H132</f>
        <v>0</v>
      </c>
      <c r="E45" s="961"/>
      <c r="F45" s="961"/>
      <c r="G45" s="961"/>
      <c r="H45" s="961"/>
      <c r="I45" s="961"/>
      <c r="J45" s="961"/>
      <c r="K45" s="961"/>
      <c r="L45" s="961"/>
    </row>
    <row r="46" spans="1:12" s="1076" customFormat="1" ht="15.75">
      <c r="A46" s="1079" t="s">
        <v>3142</v>
      </c>
      <c r="B46" s="1080" t="s">
        <v>3747</v>
      </c>
      <c r="C46" s="1080"/>
      <c r="D46" s="1085">
        <f>'SOF2122-SB1'!H133</f>
        <v>0</v>
      </c>
      <c r="E46" s="961"/>
      <c r="F46" s="961"/>
      <c r="G46" s="961"/>
      <c r="H46" s="961"/>
      <c r="I46" s="961"/>
      <c r="J46" s="961"/>
      <c r="K46" s="961"/>
      <c r="L46" s="961"/>
    </row>
    <row r="47" spans="1:12" s="1076" customFormat="1" ht="15.75">
      <c r="A47" s="1079" t="s">
        <v>3143</v>
      </c>
      <c r="B47" s="1080" t="s">
        <v>3748</v>
      </c>
      <c r="C47" s="1080"/>
      <c r="D47" s="1085">
        <f>'SOF2122-SB1'!H134</f>
        <v>0</v>
      </c>
      <c r="E47" s="961"/>
      <c r="F47" s="961"/>
      <c r="G47" s="961"/>
      <c r="H47" s="961"/>
      <c r="I47" s="961"/>
      <c r="J47" s="961"/>
      <c r="K47" s="961"/>
      <c r="L47" s="961"/>
    </row>
    <row r="48" spans="1:12" s="1076" customFormat="1" ht="15.75">
      <c r="A48" s="1079" t="s">
        <v>3144</v>
      </c>
      <c r="B48" s="1080" t="s">
        <v>3750</v>
      </c>
      <c r="C48" s="1080"/>
      <c r="D48" s="1085">
        <f>'SOF2122-SB1'!H135</f>
        <v>0</v>
      </c>
      <c r="E48" s="961"/>
      <c r="F48" s="961"/>
      <c r="G48" s="961"/>
      <c r="H48" s="961"/>
      <c r="I48" s="961"/>
      <c r="J48" s="961"/>
      <c r="K48" s="961"/>
      <c r="L48" s="961"/>
    </row>
    <row r="49" spans="1:12" s="1076" customFormat="1" ht="15.75">
      <c r="A49" s="1079" t="s">
        <v>3145</v>
      </c>
      <c r="B49" s="1080" t="s">
        <v>3749</v>
      </c>
      <c r="C49" s="1080"/>
      <c r="D49" s="1085">
        <f>'SOF2122-SB1'!H39</f>
        <v>0</v>
      </c>
      <c r="E49" s="961"/>
      <c r="F49" s="961"/>
      <c r="G49" s="961"/>
      <c r="H49" s="961"/>
      <c r="I49" s="961"/>
      <c r="J49" s="961"/>
      <c r="K49" s="961"/>
      <c r="L49" s="961"/>
    </row>
    <row r="50" spans="1:12" s="1076" customFormat="1" ht="15.75">
      <c r="A50" s="1079" t="s">
        <v>3146</v>
      </c>
      <c r="B50" s="1080" t="s">
        <v>3162</v>
      </c>
      <c r="C50" s="1080"/>
      <c r="D50" s="1085">
        <f>'SOF2122-SB1'!H41</f>
        <v>0</v>
      </c>
      <c r="E50" s="961"/>
      <c r="F50" s="961"/>
      <c r="G50" s="961"/>
      <c r="H50" s="961"/>
      <c r="I50" s="961"/>
      <c r="J50" s="961"/>
      <c r="K50" s="961"/>
      <c r="L50" s="961"/>
    </row>
    <row r="51" spans="1:12" s="1076" customFormat="1" ht="15.75">
      <c r="A51" s="1079" t="s">
        <v>3147</v>
      </c>
      <c r="B51" s="1080" t="s">
        <v>3173</v>
      </c>
      <c r="C51" s="1080"/>
      <c r="D51" s="1085">
        <f>'SOF2122-SB1'!H42</f>
        <v>0</v>
      </c>
      <c r="E51" s="961"/>
      <c r="F51" s="961"/>
      <c r="G51" s="961"/>
      <c r="H51" s="961"/>
      <c r="I51" s="961"/>
      <c r="J51" s="961"/>
      <c r="K51" s="961"/>
      <c r="L51" s="961"/>
    </row>
    <row r="52" spans="1:12" s="1076" customFormat="1" ht="15.75">
      <c r="A52" s="1079" t="s">
        <v>3148</v>
      </c>
      <c r="B52" s="1080" t="s">
        <v>3751</v>
      </c>
      <c r="C52" s="1080"/>
      <c r="D52" s="1085">
        <f>'SOF2122-SB1'!H43</f>
        <v>0</v>
      </c>
      <c r="E52" s="961"/>
      <c r="F52" s="961"/>
      <c r="G52" s="961"/>
      <c r="H52" s="961"/>
      <c r="I52" s="961"/>
      <c r="J52" s="961"/>
      <c r="K52" s="961"/>
      <c r="L52" s="961"/>
    </row>
    <row r="53" spans="1:12" s="1076" customFormat="1" ht="15.75">
      <c r="A53" s="1079" t="s">
        <v>3149</v>
      </c>
      <c r="B53" s="1080" t="s">
        <v>3164</v>
      </c>
      <c r="C53" s="1080"/>
      <c r="D53" s="1085">
        <f>'SOF2122-SB1'!H40</f>
        <v>0</v>
      </c>
      <c r="E53" s="961"/>
      <c r="F53" s="961"/>
      <c r="G53" s="961"/>
      <c r="H53" s="961"/>
      <c r="I53" s="961"/>
      <c r="J53" s="961"/>
      <c r="K53" s="961"/>
      <c r="L53" s="961"/>
    </row>
    <row r="54" spans="1:12" s="1076" customFormat="1" ht="15.75">
      <c r="A54" s="1079" t="s">
        <v>3150</v>
      </c>
      <c r="B54" s="1610" t="s">
        <v>7744</v>
      </c>
      <c r="C54" s="1080"/>
      <c r="D54" s="1085">
        <f>'SOF2122-SB1'!H44</f>
        <v>0</v>
      </c>
      <c r="E54" s="961"/>
      <c r="F54" s="961"/>
      <c r="G54" s="961"/>
      <c r="H54" s="961"/>
      <c r="I54" s="961"/>
      <c r="J54" s="961"/>
      <c r="K54" s="961"/>
      <c r="L54" s="961"/>
    </row>
    <row r="55" spans="1:12" s="1076" customFormat="1" ht="15.75">
      <c r="A55" s="1079" t="s">
        <v>3151</v>
      </c>
      <c r="B55" s="1080" t="s">
        <v>3165</v>
      </c>
      <c r="C55" s="1080"/>
      <c r="D55" s="1085">
        <f>'SOF2122-SB1'!H45</f>
        <v>0</v>
      </c>
      <c r="E55" s="961"/>
      <c r="F55" s="961"/>
      <c r="G55" s="961"/>
      <c r="H55" s="961"/>
      <c r="I55" s="961"/>
      <c r="J55" s="961"/>
      <c r="K55" s="961"/>
      <c r="L55" s="961"/>
    </row>
    <row r="56" spans="1:12" s="1076" customFormat="1" ht="15.75">
      <c r="A56" s="1079" t="s">
        <v>3152</v>
      </c>
      <c r="B56" s="1080" t="s">
        <v>889</v>
      </c>
      <c r="C56" s="1080"/>
      <c r="D56" s="1085">
        <f>'SOF2122-SB1'!H46</f>
        <v>0</v>
      </c>
      <c r="E56" s="961"/>
      <c r="F56" s="961"/>
      <c r="G56" s="961"/>
      <c r="H56" s="961"/>
      <c r="I56" s="961"/>
      <c r="J56" s="961"/>
      <c r="K56" s="961"/>
      <c r="L56" s="961"/>
    </row>
    <row r="57" spans="1:12" s="1076" customFormat="1" ht="15.75">
      <c r="A57" s="1079" t="s">
        <v>3153</v>
      </c>
      <c r="B57" s="1080" t="s">
        <v>3166</v>
      </c>
      <c r="C57" s="1080"/>
      <c r="D57" s="1085">
        <f>'SOF2122-SB1'!H76</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f>'SOF2122-SB1'!H49</f>
        <v>0</v>
      </c>
      <c r="E60" s="961"/>
      <c r="F60" s="961"/>
      <c r="G60" s="961"/>
      <c r="H60" s="961"/>
      <c r="I60" s="961"/>
      <c r="J60" s="961"/>
      <c r="K60" s="961"/>
      <c r="L60" s="961"/>
    </row>
    <row r="61" spans="1:12" s="1076" customFormat="1" ht="15.75">
      <c r="A61" s="1079" t="s">
        <v>3155</v>
      </c>
      <c r="B61" s="416" t="s">
        <v>7745</v>
      </c>
      <c r="C61" s="1080"/>
      <c r="D61" s="1085" t="e">
        <f>'SOF2122-SB1'!H54</f>
        <v>#DIV/0!</v>
      </c>
      <c r="E61" s="961"/>
      <c r="F61" s="961"/>
      <c r="G61" s="961"/>
      <c r="H61" s="961"/>
      <c r="I61" s="961"/>
      <c r="J61" s="961"/>
      <c r="K61" s="961"/>
      <c r="L61" s="961"/>
    </row>
    <row r="62" spans="1:12" s="1076" customFormat="1" ht="15.75">
      <c r="A62" s="1079" t="s">
        <v>3156</v>
      </c>
      <c r="B62" s="1610" t="s">
        <v>7746</v>
      </c>
      <c r="C62" s="1080"/>
      <c r="D62" s="1085" t="e">
        <f>'Report-Other2122'!D26</f>
        <v>#DIV/0!</v>
      </c>
      <c r="E62" s="961" t="s">
        <v>4711</v>
      </c>
      <c r="F62" s="961"/>
      <c r="G62" s="961"/>
      <c r="H62" s="961"/>
      <c r="I62" s="961"/>
      <c r="J62" s="961"/>
      <c r="K62" s="961"/>
      <c r="L62" s="961"/>
    </row>
    <row r="63" spans="1:12" s="1076" customFormat="1" ht="15.75">
      <c r="A63" s="1079" t="s">
        <v>3157</v>
      </c>
      <c r="B63" s="1080" t="str">
        <f>CONCATENATE("Less: Total Available School Fund ($",Assumptions!G123," * Prior Year ADA)")</f>
        <v>Less: Total Available School Fund ($200 * Prior Year ADA)</v>
      </c>
      <c r="C63" s="1080"/>
      <c r="D63" s="1085">
        <f>'SOF2122-SB1'!H71</f>
        <v>0</v>
      </c>
      <c r="E63" s="961"/>
      <c r="F63" s="961"/>
      <c r="G63" s="961"/>
      <c r="H63" s="961"/>
      <c r="I63" s="961"/>
      <c r="J63" s="961"/>
      <c r="K63" s="961"/>
      <c r="L63" s="961"/>
    </row>
    <row r="64" spans="1:12" s="1076" customFormat="1" ht="15.75">
      <c r="A64" s="1079" t="s">
        <v>3158</v>
      </c>
      <c r="B64" s="1080" t="s">
        <v>3168</v>
      </c>
      <c r="C64" s="1080"/>
      <c r="D64" s="1085" t="e">
        <f>'SOF2122-SB1'!H75+'HH2122-Calcs'!D26</f>
        <v>#DIV/0!</v>
      </c>
      <c r="E64" s="961"/>
      <c r="F64" s="961"/>
      <c r="G64" s="961"/>
      <c r="H64" s="961"/>
      <c r="I64" s="961"/>
      <c r="J64" s="961"/>
      <c r="K64" s="961"/>
      <c r="L64" s="961"/>
    </row>
    <row r="65" spans="1:12" s="1076" customFormat="1" ht="18">
      <c r="A65" s="3638" t="s">
        <v>3174</v>
      </c>
      <c r="B65" s="3654"/>
      <c r="C65" s="3654"/>
      <c r="D65" s="3639"/>
      <c r="E65" s="961"/>
      <c r="F65" s="961"/>
      <c r="G65" s="961"/>
      <c r="H65" s="961"/>
      <c r="I65" s="961"/>
      <c r="J65" s="961"/>
      <c r="K65" s="961"/>
      <c r="L65" s="961"/>
    </row>
    <row r="66" spans="1:12" s="1076" customFormat="1" ht="18">
      <c r="A66" s="3644"/>
      <c r="B66" s="3660" t="s">
        <v>3182</v>
      </c>
      <c r="C66" s="3654"/>
      <c r="D66" s="3639"/>
      <c r="E66" s="961"/>
      <c r="F66" s="961"/>
      <c r="G66" s="961"/>
      <c r="H66" s="961"/>
      <c r="I66" s="961"/>
      <c r="J66" s="961"/>
      <c r="K66" s="961"/>
      <c r="L66" s="961"/>
    </row>
    <row r="67" spans="1:12" s="1076" customFormat="1" ht="15.75">
      <c r="A67" s="1079" t="s">
        <v>3175</v>
      </c>
      <c r="B67" s="1080" t="s">
        <v>3181</v>
      </c>
      <c r="C67" s="1080"/>
      <c r="D67" s="1085" t="e">
        <f>'SOF2122-SB1'!H75+'HH2122-Calcs'!D26</f>
        <v>#DIV/0!</v>
      </c>
      <c r="E67" s="961"/>
      <c r="F67" s="961"/>
      <c r="G67" s="961"/>
      <c r="H67" s="961"/>
      <c r="I67" s="961"/>
      <c r="J67" s="961"/>
      <c r="K67" s="961"/>
      <c r="L67" s="961"/>
    </row>
    <row r="68" spans="1:12" s="1076" customFormat="1" ht="15.75">
      <c r="A68" s="1079" t="s">
        <v>3176</v>
      </c>
      <c r="B68" s="1080" t="s">
        <v>3484</v>
      </c>
      <c r="C68" s="1080"/>
      <c r="D68" s="1085">
        <f>'SOF2122-SB1'!H76</f>
        <v>0</v>
      </c>
      <c r="E68" s="961"/>
      <c r="F68" s="961"/>
      <c r="G68" s="961"/>
      <c r="H68" s="961"/>
      <c r="I68" s="961"/>
      <c r="J68" s="961"/>
      <c r="K68" s="961"/>
      <c r="L68" s="961"/>
    </row>
    <row r="69" spans="1:12" s="1076" customFormat="1" ht="15.75">
      <c r="A69" s="1079" t="s">
        <v>3177</v>
      </c>
      <c r="B69" s="416" t="s">
        <v>7747</v>
      </c>
      <c r="C69" s="1080"/>
      <c r="D69" s="1085">
        <f>'Existing Debt'!Q74</f>
        <v>0</v>
      </c>
      <c r="E69" s="961"/>
      <c r="F69" s="961"/>
      <c r="G69" s="961"/>
      <c r="H69" s="961"/>
      <c r="I69" s="961"/>
      <c r="J69" s="961"/>
      <c r="K69" s="961"/>
      <c r="L69" s="961"/>
    </row>
    <row r="70" spans="1:12" s="1076" customFormat="1" ht="15.75">
      <c r="A70" s="1079" t="s">
        <v>3178</v>
      </c>
      <c r="B70" s="1610" t="s">
        <v>7748</v>
      </c>
      <c r="C70" s="1080"/>
      <c r="D70" s="1085">
        <f>IFA!AB86</f>
        <v>0</v>
      </c>
      <c r="E70" s="961"/>
      <c r="F70" s="961"/>
      <c r="G70" s="961"/>
      <c r="H70" s="961"/>
      <c r="I70" s="961"/>
      <c r="J70" s="961"/>
      <c r="K70" s="961"/>
      <c r="L70" s="961"/>
    </row>
    <row r="71" spans="1:12" s="1076" customFormat="1" ht="15.75">
      <c r="A71" s="1079" t="s">
        <v>3179</v>
      </c>
      <c r="B71" s="1690" t="s">
        <v>3992</v>
      </c>
      <c r="C71" s="1080"/>
      <c r="D71" s="1085">
        <f>IFA!AD86</f>
        <v>0</v>
      </c>
      <c r="E71" s="961"/>
      <c r="F71" s="961"/>
      <c r="G71" s="961"/>
      <c r="H71" s="961"/>
      <c r="I71" s="961"/>
      <c r="J71" s="961"/>
      <c r="K71" s="961"/>
      <c r="L71" s="961"/>
    </row>
    <row r="72" spans="1:12" s="1076" customFormat="1" ht="15.75">
      <c r="A72" s="1079" t="s">
        <v>3180</v>
      </c>
      <c r="B72" s="1080" t="s">
        <v>7710</v>
      </c>
      <c r="C72" s="1080"/>
      <c r="D72" s="1085" t="e">
        <f>'HH2122-Calcs'!C51</f>
        <v>#DIV/0!</v>
      </c>
      <c r="E72" s="961"/>
      <c r="F72" s="961"/>
      <c r="G72" s="961"/>
      <c r="H72" s="961"/>
      <c r="I72" s="961"/>
      <c r="J72" s="961"/>
      <c r="K72" s="961"/>
      <c r="L72" s="961"/>
    </row>
    <row r="73" spans="1:12" s="1076" customFormat="1" ht="18">
      <c r="A73" s="1254" t="s">
        <v>3320</v>
      </c>
      <c r="B73" s="3404" t="s">
        <v>7667</v>
      </c>
      <c r="C73" s="3665"/>
      <c r="D73" s="3677" t="e">
        <f>'SOF2122-SB1'!H81+'HH2122-Calcs'!D26+D72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416" t="s">
        <v>7749</v>
      </c>
      <c r="C75" s="3679"/>
      <c r="D75" s="3680"/>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'SOF2122-SB1'!H89+'HH2122-Calcs'!D26</f>
        <v>#DIV/0!</v>
      </c>
    </row>
    <row r="81" spans="1:5" ht="15.75">
      <c r="A81" s="1519" t="s">
        <v>3810</v>
      </c>
      <c r="B81" s="1518" t="s">
        <v>3263</v>
      </c>
      <c r="C81" s="1526"/>
      <c r="D81" s="1118" t="e">
        <f>'SOF2122-SB1'!H90</f>
        <v>#DIV/0!</v>
      </c>
    </row>
    <row r="82" spans="1:5" ht="15.75">
      <c r="A82" s="1519" t="s">
        <v>3811</v>
      </c>
      <c r="B82" s="1518" t="s">
        <v>3823</v>
      </c>
      <c r="C82" s="1078"/>
      <c r="D82" s="1118" t="e">
        <f>'SOF2122-SB1'!H91</f>
        <v>#DIV/0!</v>
      </c>
    </row>
    <row r="83" spans="1:5" ht="15.75">
      <c r="A83" s="1519" t="s">
        <v>3812</v>
      </c>
      <c r="B83" s="1518" t="s">
        <v>3824</v>
      </c>
      <c r="C83" s="1078"/>
      <c r="D83" s="1118" t="e">
        <f>'SOF2122-SB1'!H92</f>
        <v>#DIV/0!</v>
      </c>
    </row>
    <row r="84" spans="1:5" ht="15.75">
      <c r="A84" s="1519" t="s">
        <v>3813</v>
      </c>
      <c r="B84" s="1518" t="s">
        <v>3499</v>
      </c>
      <c r="C84" s="1078"/>
      <c r="D84" s="2549">
        <f>'Data Entry - SOF'!M96*-1</f>
        <v>0</v>
      </c>
    </row>
    <row r="85" spans="1:5" ht="15.75">
      <c r="A85" s="1519" t="s">
        <v>3814</v>
      </c>
      <c r="B85" s="1527" t="s">
        <v>7668</v>
      </c>
      <c r="C85" s="1078"/>
      <c r="D85" s="1118" t="e">
        <f>'SOF2122-SB1'!H93+'HH2122-Calcs'!D26</f>
        <v>#DIV/0!</v>
      </c>
    </row>
    <row r="86" spans="1:5" ht="15.75">
      <c r="A86" s="1519" t="s">
        <v>3815</v>
      </c>
      <c r="B86" s="1528" t="s">
        <v>3264</v>
      </c>
      <c r="C86" s="1078"/>
      <c r="D86" s="1118" t="e">
        <f>'SOF2122-SB1'!H94</f>
        <v>#DIV/0!</v>
      </c>
    </row>
    <row r="87" spans="1:5" ht="16.5" thickBot="1">
      <c r="A87" s="1520" t="s">
        <v>3816</v>
      </c>
      <c r="B87" s="1529" t="s">
        <v>7669</v>
      </c>
      <c r="C87" s="1517"/>
      <c r="D87" s="1188" t="e">
        <f>'SOF2122-SB1'!H95+'HH2122-Calcs'!D26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$",Assumptions!G121," Level")</f>
        <v>Recapture at the $514000 Level</v>
      </c>
      <c r="C91" s="1521"/>
      <c r="D91" s="1118" t="e">
        <f>'ASATR-SB1'!O39</f>
        <v>#DIV/0!</v>
      </c>
    </row>
    <row r="92" spans="1:5" ht="15">
      <c r="A92" s="1519" t="s">
        <v>3818</v>
      </c>
      <c r="B92" s="1523" t="str">
        <f>CONCATENATE("Recapture at the $",Assumptions!G71," Level")</f>
        <v>Recapture at the $319500 Level</v>
      </c>
      <c r="C92" s="1521"/>
      <c r="D92" s="1118" t="e">
        <f>IF('Report-Recapture2122'!G141="Y",MIN('Report-Recapture2122'!C141,'Report-Recapture2122'!E141),MAX('Report-Recapture2122'!C141,'Report-Recapture2122'!E141))</f>
        <v>#DIV/0!</v>
      </c>
    </row>
    <row r="93" spans="1:5" ht="15.75">
      <c r="A93" s="1519" t="s">
        <v>3819</v>
      </c>
      <c r="B93" t="s">
        <v>7752</v>
      </c>
      <c r="C93" s="1521"/>
      <c r="D93" s="1239" t="e">
        <f>D91+D92</f>
        <v>#DIV/0!</v>
      </c>
    </row>
    <row r="94" spans="1:5" ht="15">
      <c r="A94" s="1519" t="s">
        <v>3820</v>
      </c>
      <c r="B94" s="1523" t="s">
        <v>3487</v>
      </c>
      <c r="C94" s="1521"/>
      <c r="D94" s="2550">
        <f>'Data Entry - SOF'!M96</f>
        <v>0</v>
      </c>
    </row>
    <row r="95" spans="1:5" ht="16.5" thickBot="1">
      <c r="A95" s="1520" t="s">
        <v>3821</v>
      </c>
      <c r="B95" s="3403" t="s">
        <v>7751</v>
      </c>
      <c r="C95" s="1522"/>
      <c r="D95" s="1188" t="e">
        <f>D93+D94</f>
        <v>#DIV/0!</v>
      </c>
    </row>
    <row r="96" spans="1:5" ht="13.5"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workbookViewId="0">
      <selection activeCell="H49" sqref="H49"/>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16.42578125" customWidth="1"/>
    <col min="10" max="13" width="19.140625" style="1737" customWidth="1"/>
    <col min="14" max="14" width="13.5703125" customWidth="1"/>
    <col min="15" max="15" width="13.5703125" style="177" customWidth="1"/>
    <col min="16" max="16" width="13.5703125" customWidth="1"/>
    <col min="17" max="17" width="13.5703125" style="49" customWidth="1"/>
    <col min="18" max="18" width="13.7109375" customWidth="1"/>
    <col min="40" max="40" width="15.5703125" customWidth="1"/>
    <col min="41" max="41" width="16" customWidth="1"/>
  </cols>
  <sheetData>
    <row r="1" spans="1:13">
      <c r="A1" s="23" t="s">
        <v>78</v>
      </c>
      <c r="C1" s="873">
        <f>'Data Entry - SOF'!B1</f>
        <v>0</v>
      </c>
      <c r="D1" s="35"/>
      <c r="E1" s="1031"/>
      <c r="F1" s="925" t="e">
        <f>#REF!</f>
        <v>#REF!</v>
      </c>
      <c r="G1" s="83"/>
      <c r="J1" s="1736"/>
      <c r="K1" s="1736"/>
      <c r="L1" s="1736"/>
      <c r="M1" s="1736"/>
    </row>
    <row r="2" spans="1:13">
      <c r="A2" s="23" t="s">
        <v>79</v>
      </c>
      <c r="C2" s="15">
        <f>'Data Entry - SOF'!B2</f>
        <v>0</v>
      </c>
      <c r="F2" s="83" t="e">
        <f>#REF!</f>
        <v>#REF!</v>
      </c>
      <c r="G2" s="83"/>
      <c r="J2" s="1736"/>
      <c r="K2" s="1736"/>
      <c r="L2" s="1736"/>
      <c r="M2" s="1736"/>
    </row>
    <row r="3" spans="1:13">
      <c r="A3" s="23" t="s">
        <v>164</v>
      </c>
      <c r="C3" s="87">
        <f ca="1">'Data Entry - SOF'!B3</f>
        <v>43146.631174305556</v>
      </c>
      <c r="F3" s="82" t="e">
        <f>#REF!</f>
        <v>#REF!</v>
      </c>
    </row>
    <row r="4" spans="1:13">
      <c r="D4" s="916" t="s">
        <v>3740</v>
      </c>
    </row>
    <row r="5" spans="1:13">
      <c r="D5" s="917" t="s">
        <v>4617</v>
      </c>
    </row>
    <row r="7" spans="1:13">
      <c r="D7" s="23" t="s">
        <v>1573</v>
      </c>
    </row>
    <row r="8" spans="1:13">
      <c r="B8" s="4"/>
      <c r="D8" s="23" t="s">
        <v>942</v>
      </c>
      <c r="F8" s="22">
        <f>'Calc Data-SB1'!H7</f>
        <v>0</v>
      </c>
      <c r="G8" s="21"/>
      <c r="J8" s="1738"/>
      <c r="K8" s="1738"/>
      <c r="L8" s="1738"/>
      <c r="M8" s="1738"/>
    </row>
    <row r="9" spans="1:13">
      <c r="D9" s="23" t="s">
        <v>1574</v>
      </c>
      <c r="F9" s="22">
        <f>'Calc Data-SB1'!H8</f>
        <v>0</v>
      </c>
      <c r="G9" s="21"/>
      <c r="J9" s="1738"/>
      <c r="K9" s="1738"/>
      <c r="L9" s="1738"/>
      <c r="M9" s="1738"/>
    </row>
    <row r="10" spans="1:13">
      <c r="D10" s="23" t="s">
        <v>466</v>
      </c>
      <c r="F10" s="22">
        <f>'Data Entry - SOF'!M32</f>
        <v>0</v>
      </c>
      <c r="G10" s="21"/>
      <c r="J10" s="1738"/>
      <c r="K10" s="1738"/>
      <c r="L10" s="1738"/>
      <c r="M10" s="1738"/>
    </row>
    <row r="11" spans="1:13">
      <c r="B11" s="23"/>
      <c r="D11" s="23" t="s">
        <v>467</v>
      </c>
      <c r="F11" s="22">
        <f>'Calc Data-SB1'!H10</f>
        <v>0</v>
      </c>
      <c r="G11" s="21"/>
      <c r="J11" s="1738"/>
      <c r="K11" s="1738"/>
      <c r="L11" s="1738"/>
      <c r="M11" s="1738"/>
    </row>
    <row r="12" spans="1:13">
      <c r="D12" s="23" t="s">
        <v>468</v>
      </c>
      <c r="F12" s="19">
        <f>'Data Entry - SOF'!M48</f>
        <v>0</v>
      </c>
      <c r="G12" s="19"/>
      <c r="J12" s="1739"/>
      <c r="K12" s="1739"/>
      <c r="L12" s="1739"/>
      <c r="M12" s="1739"/>
    </row>
    <row r="13" spans="1:13" hidden="1">
      <c r="D13" s="23" t="s">
        <v>469</v>
      </c>
      <c r="F13" s="19" t="e">
        <f>'Data Entry - SOF'!#REF!</f>
        <v>#REF!</v>
      </c>
      <c r="G13" s="19"/>
      <c r="J13" s="1739"/>
      <c r="K13" s="1739"/>
      <c r="L13" s="1739"/>
      <c r="M13" s="1739"/>
    </row>
    <row r="14" spans="1:13">
      <c r="D14" s="23" t="s">
        <v>2055</v>
      </c>
      <c r="F14" s="22">
        <f>'Data Entry - SOF'!M112</f>
        <v>0</v>
      </c>
      <c r="G14" s="19"/>
      <c r="J14" s="1739"/>
      <c r="K14" s="1739"/>
      <c r="L14" s="1739"/>
      <c r="M14" s="1739"/>
    </row>
    <row r="15" spans="1:13">
      <c r="D15" s="23" t="s">
        <v>1319</v>
      </c>
      <c r="F15" s="22">
        <f>'Calc Data-SB1'!H59</f>
        <v>0</v>
      </c>
      <c r="G15" s="20"/>
      <c r="J15" s="1740"/>
      <c r="K15" s="1740"/>
      <c r="L15" s="1740"/>
      <c r="M15" s="1740"/>
    </row>
    <row r="16" spans="1:13">
      <c r="D16" s="23" t="s">
        <v>2233</v>
      </c>
      <c r="F16" s="19">
        <f>'Data Entry - SOF'!M59</f>
        <v>0</v>
      </c>
      <c r="G16" s="19"/>
      <c r="J16" s="1739"/>
      <c r="K16" s="1739"/>
      <c r="L16" s="1739"/>
      <c r="M16" s="1739"/>
    </row>
    <row r="17" spans="2:40" ht="13.5" thickBot="1">
      <c r="D17" s="31"/>
      <c r="E17" s="13"/>
      <c r="F17" s="13"/>
      <c r="G17" s="32"/>
      <c r="J17" s="1741"/>
      <c r="K17" s="1741"/>
      <c r="L17" s="1741"/>
      <c r="M17" s="1741"/>
    </row>
    <row r="18" spans="2:40" ht="13.5" thickTop="1">
      <c r="D18" s="34"/>
      <c r="E18" s="35"/>
      <c r="F18" s="35"/>
      <c r="G18" s="32"/>
      <c r="J18" s="1741" t="s">
        <v>4724</v>
      </c>
      <c r="K18" s="1741"/>
      <c r="L18" s="1741" t="s">
        <v>4724</v>
      </c>
      <c r="M18" s="1741"/>
    </row>
    <row r="19" spans="2:40" ht="15.75" hidden="1">
      <c r="D19" s="23"/>
      <c r="E19" s="973" t="s">
        <v>108</v>
      </c>
      <c r="F19" s="972" t="e">
        <f>IF(#REF!="y","ASATR DIST","FORMULA DIST")</f>
        <v>#REF!</v>
      </c>
      <c r="G19" s="23"/>
      <c r="J19" s="1742"/>
      <c r="K19" s="1742"/>
      <c r="L19" s="1742"/>
      <c r="M19" s="1742"/>
      <c r="AN19" t="s">
        <v>2630</v>
      </c>
    </row>
    <row r="20" spans="2:40" ht="15.75">
      <c r="B20" s="28" t="s">
        <v>470</v>
      </c>
      <c r="D20" s="23"/>
      <c r="F20" s="960"/>
      <c r="G20" s="23"/>
      <c r="H20" s="28" t="s">
        <v>4483</v>
      </c>
      <c r="I20" s="1825"/>
      <c r="J20" s="1825" t="s">
        <v>4510</v>
      </c>
      <c r="K20" s="194" t="s">
        <v>4483</v>
      </c>
      <c r="L20" s="1825" t="s">
        <v>4511</v>
      </c>
      <c r="M20" s="194" t="s">
        <v>4483</v>
      </c>
    </row>
    <row r="21" spans="2:40" ht="15.75">
      <c r="B21" s="28">
        <v>11</v>
      </c>
      <c r="D21" s="132" t="s">
        <v>3630</v>
      </c>
      <c r="F21" s="945">
        <f>ROUND(ROUND('Calc Data-SB1'!H23,0)*IF('Calc Data-SB1'!H11&gt;'Calc Data-SB1'!H10,'Calc Data-SB1'!H11,'Calc Data-SB1'!H10),0)</f>
        <v>0</v>
      </c>
      <c r="G21" s="19"/>
      <c r="H21" s="1037">
        <f>ROUND(ROUND('Calc Data-SB1'!AW23,0)*IF('Calc Data-SB1'!H11&gt;'Calc Data-SB1'!H10,'Calc Data-SB1'!H11,'Calc Data-SB1'!H10),0)</f>
        <v>0</v>
      </c>
      <c r="J21" s="2219"/>
      <c r="K21" s="2219"/>
      <c r="M21" s="1811">
        <f>H21</f>
        <v>0</v>
      </c>
      <c r="AN21" s="19" t="e">
        <f>ROUND(ROUND('Calc Data-SB1'!AB23,0)*IF('Calc Data-SB1'!#REF!&gt;'Calc Data-SB1'!#REF!,'Calc Data-SB1'!#REF!,'Calc Data-SB1'!#REF!),0)</f>
        <v>#REF!</v>
      </c>
    </row>
    <row r="22" spans="2:40">
      <c r="B22" s="28">
        <v>23</v>
      </c>
      <c r="D22" s="23" t="s">
        <v>102</v>
      </c>
      <c r="F22" s="19">
        <f>ROUND('Calc Data-SB1'!H9*ROUND('Calc Data-SB1'!H23,0),0)</f>
        <v>0</v>
      </c>
      <c r="G22" s="19"/>
      <c r="H22" s="1038">
        <f>ROUND('Calc Data-SB1'!H9*ROUND('Calc Data-SB1'!AW23,0),0)</f>
        <v>0</v>
      </c>
      <c r="J22" s="1750"/>
      <c r="K22" s="1750"/>
      <c r="M22" s="1925"/>
      <c r="AN22" s="19" t="e">
        <f>ROUND('Calc Data-SB1'!#REF!*ROUND('Calc Data-SB1'!AB23,0),0)</f>
        <v>#REF!</v>
      </c>
    </row>
    <row r="23" spans="2:40">
      <c r="B23" s="28"/>
      <c r="D23" s="23" t="s">
        <v>103</v>
      </c>
      <c r="F23" s="47"/>
      <c r="H23" s="1039"/>
      <c r="J23" s="1067"/>
      <c r="K23" s="1067"/>
      <c r="M23" s="1925"/>
    </row>
    <row r="24" spans="2:40">
      <c r="B24" s="28">
        <v>23</v>
      </c>
      <c r="D24" s="23" t="s">
        <v>104</v>
      </c>
      <c r="F24" s="30">
        <f>ROUND('Data Entry - SOF'!M31*Weights!M21*ROUND('Calc Data-SB1'!H23,0),0)</f>
        <v>0</v>
      </c>
      <c r="G24" s="30"/>
      <c r="H24" s="1040">
        <f>ROUND('Data Entry - SOF'!M31*Weights!M21*ROUND('Calc Data-SB1'!AW23,0),0)</f>
        <v>0</v>
      </c>
      <c r="J24" s="1750"/>
      <c r="K24" s="1750"/>
      <c r="M24" s="1811">
        <f t="shared" ref="M24:M44" si="0">H24</f>
        <v>0</v>
      </c>
      <c r="AN24" s="30" t="e">
        <f>ROUND('Data Entry - SOF'!#REF!*1.1*ROUND('Calc Data-SB1'!AB23,0),0)</f>
        <v>#REF!</v>
      </c>
    </row>
    <row r="25" spans="2:40">
      <c r="B25" s="28">
        <v>23</v>
      </c>
      <c r="D25" s="23" t="s">
        <v>105</v>
      </c>
      <c r="F25" s="19">
        <f>ROUND((+'Data Entry - SOF'!M29*Weights!M19)*ROUND('Calc Data-SB1'!H23,0),0)</f>
        <v>0</v>
      </c>
      <c r="G25" s="19"/>
      <c r="H25" s="1038">
        <f>ROUND((+'Data Entry - SOF'!M29*Weights!M19)*ROUND('Calc Data-SB1'!AW23,0),0)</f>
        <v>0</v>
      </c>
      <c r="J25" s="1750"/>
      <c r="K25" s="1750"/>
      <c r="M25" s="1811">
        <f t="shared" si="0"/>
        <v>0</v>
      </c>
      <c r="AN25" s="19" t="e">
        <f>ROUND((+'Data Entry - SOF'!#REF!*4)*ROUND('Calc Data-SB1'!AB23,0),0)</f>
        <v>#REF!</v>
      </c>
    </row>
    <row r="26" spans="2:40">
      <c r="B26" s="28">
        <v>23</v>
      </c>
      <c r="D26" s="25" t="s">
        <v>919</v>
      </c>
      <c r="F26" s="19">
        <f>ROUND((+'Data Entry - SOF'!M27*Weights!M17)*ROUND('Calc Data-SB1'!H23,0),0)</f>
        <v>0</v>
      </c>
      <c r="G26" s="19"/>
      <c r="H26" s="1038">
        <f>ROUND((+'Data Entry - SOF'!M27*Weights!M17)*ROUND('Calc Data-SB1'!AW23,0),0)</f>
        <v>0</v>
      </c>
      <c r="J26" s="1750"/>
      <c r="K26" s="1750"/>
      <c r="M26" s="1811">
        <f t="shared" si="0"/>
        <v>0</v>
      </c>
      <c r="AN26" s="19" t="e">
        <f>ROUND((+'Data Entry - SOF'!#REF!*2.8)*ROUND('Calc Data-SB1'!AB23,0),0)</f>
        <v>#REF!</v>
      </c>
    </row>
    <row r="27" spans="2:40">
      <c r="B27" s="28">
        <v>23</v>
      </c>
      <c r="D27" s="25" t="s">
        <v>920</v>
      </c>
      <c r="F27" s="19">
        <f>ROUND(('Data Entry - SOF'!M28*Weights!M18)*ROUND('Calc Data-SB1'!H23,0),0)</f>
        <v>0</v>
      </c>
      <c r="G27" s="19"/>
      <c r="H27" s="1038">
        <f>ROUND(('Data Entry - SOF'!M28*Weights!M18)*ROUND('Calc Data-SB1'!AW23,0),0)</f>
        <v>0</v>
      </c>
      <c r="J27" s="1750"/>
      <c r="K27" s="1750"/>
      <c r="M27" s="1811">
        <f t="shared" si="0"/>
        <v>0</v>
      </c>
      <c r="AN27" s="19" t="e">
        <f>ROUND(('Data Entry - SOF'!#REF!*1.7)*ROUND('Calc Data-SB1'!AB23,0),0)</f>
        <v>#REF!</v>
      </c>
    </row>
    <row r="28" spans="2:40">
      <c r="B28" s="28"/>
      <c r="D28" s="23" t="s">
        <v>1308</v>
      </c>
      <c r="F28" s="19">
        <f>IF('Data Entry - SOF'!M71&lt;0,'Data Entry - SOF'!M71,'Data Entry - SOF'!M71*-1)</f>
        <v>0</v>
      </c>
      <c r="G28" s="19"/>
      <c r="H28" s="1038">
        <f>IF('Data Entry - SOF'!M71&lt;0,'Data Entry - SOF'!M71,'Data Entry - SOF'!M71*-1)</f>
        <v>0</v>
      </c>
      <c r="J28" s="1750"/>
      <c r="K28" s="1750"/>
      <c r="M28" s="1811">
        <f t="shared" si="0"/>
        <v>0</v>
      </c>
      <c r="AN28" s="19">
        <v>0</v>
      </c>
    </row>
    <row r="29" spans="2:40">
      <c r="B29" s="28">
        <v>22</v>
      </c>
      <c r="C29" s="17"/>
      <c r="D29" s="23" t="s">
        <v>119</v>
      </c>
      <c r="F29" s="19">
        <f>ROUND(ROUND('Calc Data-SB1'!H23,0)*'Data Entry - SOF'!M32*Weights!M23,0)</f>
        <v>0</v>
      </c>
      <c r="G29" s="19"/>
      <c r="H29" s="1038">
        <f>ROUND(ROUND('Calc Data-SB1'!AW23,0)*'Data Entry - SOF'!M32*Weights!M23,0)</f>
        <v>0</v>
      </c>
      <c r="J29" s="1750"/>
      <c r="K29" s="1750"/>
      <c r="M29" s="1811">
        <f t="shared" si="0"/>
        <v>0</v>
      </c>
      <c r="AN29" s="19" t="e">
        <f>ROUND(ROUND('Calc Data-SB1'!AB23,0)*'Data Entry - SOF'!#REF!*1.35,0)</f>
        <v>#REF!</v>
      </c>
    </row>
    <row r="30" spans="2:40">
      <c r="B30" s="28"/>
      <c r="C30" s="17"/>
      <c r="D30" s="47" t="s">
        <v>716</v>
      </c>
      <c r="F30" s="19">
        <f>Weights!M24*'Data Entry - SOF'!M33</f>
        <v>0</v>
      </c>
      <c r="G30" s="19"/>
      <c r="H30" s="1038">
        <f>Weights!M24*'Data Entry - SOF'!M33</f>
        <v>0</v>
      </c>
      <c r="J30" s="1750"/>
      <c r="K30" s="1750"/>
      <c r="M30" s="1811">
        <f t="shared" si="0"/>
        <v>0</v>
      </c>
      <c r="AN30" s="19"/>
    </row>
    <row r="31" spans="2:40" hidden="1">
      <c r="B31" s="28"/>
      <c r="C31" s="17"/>
      <c r="D31" s="47" t="s">
        <v>717</v>
      </c>
      <c r="F31" s="19">
        <f>400*'Data Entry - SOF'!M34</f>
        <v>0</v>
      </c>
      <c r="G31" s="19"/>
      <c r="H31" s="1038">
        <f>400*'Data Entry - SOF'!M34</f>
        <v>0</v>
      </c>
      <c r="J31" s="1750"/>
      <c r="K31" s="1750"/>
      <c r="M31" s="1811">
        <f t="shared" si="0"/>
        <v>0</v>
      </c>
      <c r="AN31" s="19"/>
    </row>
    <row r="32" spans="2:40" hidden="1">
      <c r="B32" s="28"/>
      <c r="C32" s="17"/>
      <c r="D32" s="47" t="s">
        <v>718</v>
      </c>
      <c r="F32" s="19">
        <f>80*'Data Entry - SOF'!M35</f>
        <v>0</v>
      </c>
      <c r="G32" s="19"/>
      <c r="H32" s="1038">
        <f>80*'Data Entry - SOF'!M35</f>
        <v>0</v>
      </c>
      <c r="J32" s="1750"/>
      <c r="K32" s="1750"/>
      <c r="M32" s="1811">
        <f t="shared" si="0"/>
        <v>0</v>
      </c>
      <c r="AN32" s="19"/>
    </row>
    <row r="33" spans="2:40">
      <c r="B33" s="28">
        <v>21</v>
      </c>
      <c r="D33" s="23" t="s">
        <v>3030</v>
      </c>
      <c r="F33" s="19">
        <f>ROUND(ROUND('Calc Data-SB1'!H23,0)*'Data Entry - SOF'!M157*Weights!M28,0)</f>
        <v>0</v>
      </c>
      <c r="G33" s="19"/>
      <c r="H33" s="1038">
        <f>ROUND(ROUND('Calc Data-SB1'!AW23,0)*'Data Entry - SOF'!M157*Weights!M28,0)</f>
        <v>0</v>
      </c>
      <c r="J33" s="1750"/>
      <c r="K33" s="1750"/>
      <c r="M33" s="1811">
        <f t="shared" si="0"/>
        <v>0</v>
      </c>
      <c r="AN33" s="19" t="e">
        <f>ROUND(ROUND('Calc Data-SB1'!AB23,0)*'Data Entry - SOF'!#REF!*0.12,0)</f>
        <v>#REF!</v>
      </c>
    </row>
    <row r="34" spans="2:40">
      <c r="B34" s="28"/>
      <c r="D34" s="23" t="s">
        <v>433</v>
      </c>
      <c r="F34" s="19">
        <f>IF('Data Entry - SOF'!M70&lt;0,'Data Entry - SOF'!M70,'Data Entry - SOF'!M70*-1)</f>
        <v>0</v>
      </c>
      <c r="G34" s="19"/>
      <c r="H34" s="1038">
        <f>IF('Data Entry - SOF'!M70&lt;0,'Data Entry - SOF'!M70,'Data Entry - SOF'!M70*-1)</f>
        <v>0</v>
      </c>
      <c r="J34" s="1750"/>
      <c r="K34" s="1750"/>
      <c r="M34" s="1811">
        <f t="shared" si="0"/>
        <v>0</v>
      </c>
      <c r="AN34" s="19">
        <v>0</v>
      </c>
    </row>
    <row r="35" spans="2:40">
      <c r="B35" s="28" t="s">
        <v>2857</v>
      </c>
      <c r="D35" s="23" t="s">
        <v>434</v>
      </c>
      <c r="F35" s="19">
        <f>ROUND(ROUND('Calc Data-SB1'!H23,0)*'Data Entry - SOF'!M36*Weights!M30,0)</f>
        <v>0</v>
      </c>
      <c r="G35" s="19"/>
      <c r="H35" s="1038">
        <f>ROUND(ROUND('Calc Data-SB1'!AW23,0)*'Data Entry - SOF'!M36*Weights!M30,0)</f>
        <v>0</v>
      </c>
      <c r="J35" s="1750"/>
      <c r="K35" s="1750"/>
      <c r="M35" s="1811">
        <f t="shared" si="0"/>
        <v>0</v>
      </c>
      <c r="AN35" s="19" t="e">
        <f>ROUND(ROUND('Calc Data-SB1'!AB23,0)*'Data Entry - SOF'!#REF!*0.2,0)</f>
        <v>#REF!</v>
      </c>
    </row>
    <row r="36" spans="2:40">
      <c r="B36" s="28" t="s">
        <v>2857</v>
      </c>
      <c r="D36" s="23" t="s">
        <v>435</v>
      </c>
      <c r="F36" s="19">
        <f>ROUND(ROUND('Calc Data-SB1'!H23,0)*'Data Entry - SOF'!M37*Weights!M31,0)</f>
        <v>0</v>
      </c>
      <c r="G36" s="19"/>
      <c r="H36" s="1038">
        <f>ROUND(ROUND('Calc Data-SB1'!AW23,0)*'Data Entry - SOF'!M37*Weights!M31,0)</f>
        <v>0</v>
      </c>
      <c r="J36" s="1750"/>
      <c r="K36" s="1750"/>
      <c r="M36" s="1811">
        <f t="shared" si="0"/>
        <v>0</v>
      </c>
      <c r="AN36" s="19" t="e">
        <f>ROUND(ROUND('Calc Data-SB1'!AB23,0)*'Data Entry - SOF'!#REF!*2.41,0)</f>
        <v>#REF!</v>
      </c>
    </row>
    <row r="37" spans="2:40" hidden="1">
      <c r="B37" s="28" t="s">
        <v>2857</v>
      </c>
      <c r="D37" s="97" t="s">
        <v>491</v>
      </c>
      <c r="E37" s="944"/>
      <c r="F37" s="19">
        <f>650*'Data Entry - SOF'!M38</f>
        <v>0</v>
      </c>
      <c r="G37" s="19"/>
      <c r="H37" s="1038">
        <f>650*'Data Entry - SOF'!M38</f>
        <v>0</v>
      </c>
      <c r="J37" s="1750"/>
      <c r="K37" s="1750"/>
      <c r="M37" s="1811">
        <f t="shared" si="0"/>
        <v>0</v>
      </c>
      <c r="AN37" s="19"/>
    </row>
    <row r="38" spans="2:40" hidden="1">
      <c r="B38" s="28"/>
      <c r="D38" s="23" t="s">
        <v>1397</v>
      </c>
      <c r="F38" s="90">
        <v>0</v>
      </c>
      <c r="G38" s="19"/>
      <c r="H38" s="1041">
        <v>0</v>
      </c>
      <c r="J38" s="1750"/>
      <c r="K38" s="1750"/>
      <c r="M38" s="1811">
        <f t="shared" si="0"/>
        <v>0</v>
      </c>
      <c r="AN38" s="19">
        <v>0</v>
      </c>
    </row>
    <row r="39" spans="2:40">
      <c r="B39" s="28">
        <v>25</v>
      </c>
      <c r="D39" s="23" t="s">
        <v>1297</v>
      </c>
      <c r="F39" s="19">
        <f>ROUND(ROUND('Calc Data-SB1'!H23,0)*('Data Entry - SOF'!M39*Weights!M26),0)</f>
        <v>0</v>
      </c>
      <c r="G39" s="19"/>
      <c r="H39" s="1038">
        <f>ROUND(ROUND('Calc Data-SB1'!AW23,0)*('Data Entry - SOF'!M39*Weights!M26),0)</f>
        <v>0</v>
      </c>
      <c r="J39" s="1750"/>
      <c r="K39" s="1750"/>
      <c r="M39" s="1811">
        <f t="shared" si="0"/>
        <v>0</v>
      </c>
      <c r="AN39" s="19" t="e">
        <f>ROUND(ROUND('Calc Data-SB1'!AB23,0)*('Data Entry - SOF'!#REF!*0.1),0)</f>
        <v>#REF!</v>
      </c>
    </row>
    <row r="40" spans="2:40">
      <c r="B40" s="28">
        <v>31</v>
      </c>
      <c r="D40" s="47" t="s">
        <v>2792</v>
      </c>
      <c r="F40" s="19">
        <f>Weights!M33*'Data Entry - SOF'!M18</f>
        <v>0</v>
      </c>
      <c r="G40" s="19"/>
      <c r="H40" s="1038">
        <f>Weights!M33*'Data Entry - SOF'!M18</f>
        <v>0</v>
      </c>
      <c r="J40" s="1750"/>
      <c r="K40" s="1750"/>
      <c r="M40" s="1811">
        <f t="shared" si="0"/>
        <v>0</v>
      </c>
      <c r="AN40" s="19" t="e">
        <f>#REF!</f>
        <v>#REF!</v>
      </c>
    </row>
    <row r="41" spans="2:40">
      <c r="B41" s="28"/>
      <c r="D41" s="23" t="s">
        <v>984</v>
      </c>
      <c r="F41" s="19">
        <f>ROUND(ROUND('Calc Data-SB1'!H23,0)*'Data Entry - SOF'!M41*Weights!M37,0)</f>
        <v>0</v>
      </c>
      <c r="G41" s="19"/>
      <c r="H41" s="1038">
        <f>ROUND(ROUND('Calc Data-SB1'!AW23,0)*'Data Entry - SOF'!M41*Weights!M37,0)</f>
        <v>0</v>
      </c>
      <c r="J41" s="1750"/>
      <c r="K41" s="1750"/>
      <c r="M41" s="1811">
        <f t="shared" si="0"/>
        <v>0</v>
      </c>
      <c r="AN41" s="19" t="e">
        <f>ROUND(ROUND('Calc Data-SB1'!AB23,0)*'Data Entry - SOF'!#REF!*0.1,0)</f>
        <v>#REF!</v>
      </c>
    </row>
    <row r="42" spans="2:40" ht="15.75">
      <c r="B42" s="28"/>
      <c r="D42" s="955" t="s">
        <v>4482</v>
      </c>
      <c r="F42" s="116">
        <f>'Data Entry - SOF'!M42*Weights!M35</f>
        <v>0</v>
      </c>
      <c r="G42" s="19"/>
      <c r="H42" s="1038">
        <f>F42</f>
        <v>0</v>
      </c>
      <c r="J42" s="1750"/>
      <c r="K42" s="1750"/>
      <c r="M42" s="1811">
        <f t="shared" si="0"/>
        <v>0</v>
      </c>
      <c r="AN42" s="19" t="e">
        <f>'Data Entry - SOF'!#REF!*250</f>
        <v>#REF!</v>
      </c>
    </row>
    <row r="43" spans="2:40">
      <c r="B43" s="28">
        <v>99</v>
      </c>
      <c r="D43" s="23" t="s">
        <v>2385</v>
      </c>
      <c r="F43" s="29">
        <f>'Data Entry - SOF'!M66</f>
        <v>0</v>
      </c>
      <c r="G43" s="32"/>
      <c r="H43" s="1043">
        <f>'Data Entry - SOF'!M66</f>
        <v>0</v>
      </c>
      <c r="J43" s="1750"/>
      <c r="K43" s="1750"/>
      <c r="M43" s="1860">
        <f t="shared" si="0"/>
        <v>0</v>
      </c>
      <c r="AN43" s="29" t="e">
        <f>'Data Entry - SOF'!#REF!</f>
        <v>#REF!</v>
      </c>
    </row>
    <row r="44" spans="2:40">
      <c r="D44" s="23" t="s">
        <v>576</v>
      </c>
      <c r="F44" s="19">
        <f>SUM(F21:F43)</f>
        <v>0</v>
      </c>
      <c r="G44" s="19"/>
      <c r="H44" s="1038">
        <f>SUM(H21:H43)</f>
        <v>0</v>
      </c>
      <c r="J44" s="2220"/>
      <c r="K44" s="2220"/>
      <c r="M44" s="1811">
        <f t="shared" si="0"/>
        <v>0</v>
      </c>
      <c r="AN44" s="19" t="e">
        <f>SUM(AN21:AN43)</f>
        <v>#REF!</v>
      </c>
    </row>
    <row r="45" spans="2:40">
      <c r="D45" s="23" t="s">
        <v>890</v>
      </c>
      <c r="F45" s="36">
        <f>IF('Data Entry - SOF'!M108&gt;1,1*('Data Entry - SOF'!M48/100),'Data Entry - SOF'!M108*('Data Entry - SOF'!M48/100))</f>
        <v>0</v>
      </c>
      <c r="G45" s="59"/>
      <c r="H45" s="1045">
        <f>IF('Calc Data-SB1'!AW30&gt;1,1*('Data Entry - SOF'!M48/100),'Calc Data-SB1'!AW30*('Data Entry - SOF'!M48/100))</f>
        <v>0</v>
      </c>
      <c r="J45" s="1751"/>
      <c r="K45" s="1751"/>
      <c r="M45" s="1814">
        <f>IF('Calc Data-15K'!AW30&gt;1,1*('Data Entry - SOF'!M50/100),'Calc Data-15K'!AW30*('Data Entry - SOF'!M50/100))</f>
        <v>0</v>
      </c>
      <c r="AN45" s="36" t="e">
        <f>#REF!</f>
        <v>#REF!</v>
      </c>
    </row>
    <row r="46" spans="2:40">
      <c r="D46" s="23" t="s">
        <v>889</v>
      </c>
      <c r="F46" s="37">
        <f>F44-F45</f>
        <v>0</v>
      </c>
      <c r="G46" s="37"/>
      <c r="H46" s="1046">
        <f>H44-H45</f>
        <v>0</v>
      </c>
      <c r="J46" s="1751"/>
      <c r="K46" s="1751"/>
      <c r="M46" s="1811">
        <f>M44-M45</f>
        <v>0</v>
      </c>
      <c r="AN46" s="37" t="e">
        <f>AN44-AN45</f>
        <v>#REF!</v>
      </c>
    </row>
    <row r="47" spans="2:40">
      <c r="D47" s="23"/>
      <c r="G47" s="37"/>
      <c r="H47" s="1735"/>
      <c r="J47" s="1053"/>
      <c r="K47" s="1053"/>
      <c r="M47" s="1925"/>
      <c r="P47" s="62"/>
      <c r="AN47" s="37"/>
    </row>
    <row r="48" spans="2:40">
      <c r="D48" s="949" t="s">
        <v>835</v>
      </c>
      <c r="G48" s="37"/>
      <c r="H48" s="1735"/>
      <c r="J48" s="1053"/>
      <c r="K48" s="1053"/>
      <c r="M48" s="1925"/>
      <c r="P48" s="62"/>
      <c r="AN48" s="37"/>
    </row>
    <row r="49" spans="4:15">
      <c r="D49" s="23" t="s">
        <v>1716</v>
      </c>
      <c r="F49" s="90">
        <f>IF(F46&lt;F76+F40+F42+F31+F32,F76+F40+F42+F31+F32,F46)</f>
        <v>0</v>
      </c>
      <c r="G49" s="37"/>
      <c r="H49" s="1041">
        <f>IF(H46&lt;H76+H40+H42+H31+H32,H76+H40+H42+H31+H32,H46)</f>
        <v>0</v>
      </c>
      <c r="J49" s="1049"/>
      <c r="K49" s="1049"/>
      <c r="M49" s="1811">
        <f>IF(M46&lt;I76+M40+M42+M31+M32,I76+M40+M42+M31+M32,M46)</f>
        <v>0</v>
      </c>
    </row>
    <row r="50" spans="4:15" hidden="1">
      <c r="D50" s="23" t="s">
        <v>2596</v>
      </c>
      <c r="G50" s="37" t="e">
        <f>ROUND(IF((24.7*'Calc Data-SB1'!#REF!*IF('Calc Data-SB1'!#REF!&gt;=0.64,0.64,'Calc Data-SB1'!#REF!)*100)&lt;'Calc Data-SB1'!#REF!,0,(24.7*'Calc Data-SB1'!#REF!*IF('Calc Data-SB1'!#REF!&gt;=0.64,0.64,'Calc Data-SB1'!#REF!)*100)-'Calc Data-SB1'!#REF!),0)</f>
        <v>#REF!</v>
      </c>
      <c r="H50" s="37"/>
      <c r="I50" s="1925"/>
      <c r="J50" s="1050"/>
      <c r="K50" s="1050"/>
      <c r="L50" s="1812"/>
      <c r="M50" s="1846"/>
    </row>
    <row r="51" spans="4:15">
      <c r="D51" s="23"/>
      <c r="G51" s="37"/>
      <c r="H51" s="1050"/>
      <c r="I51" s="1925"/>
      <c r="J51" s="1050"/>
      <c r="K51" s="1050"/>
      <c r="L51" s="1811"/>
      <c r="M51" s="1846"/>
    </row>
    <row r="52" spans="4:15">
      <c r="D52" s="23" t="s">
        <v>2748</v>
      </c>
      <c r="F52" s="37" t="e">
        <f>ROUND(IF((Assumptions!G137*'Calc Data-SB1'!H25*'Calc Data-SB1'!H35*100)&lt;'Calc Data-SB1'!H42,0,(Assumptions!G137*'Calc Data-SB1'!H25*'Calc Data-SB1'!H35*100)-'Calc Data-SB1'!H42),0)</f>
        <v>#DIV/0!</v>
      </c>
      <c r="G52" s="37"/>
      <c r="H52" s="1050" t="e">
        <f>ROUND(IF((Assumptions!G137*'Calc Data-SB1'!H25*'Calc Data-SB1'!H35*100)&lt;'Calc Data-SB1'!H42,0,(Assumptions!G137*'Calc Data-SB1'!H25*'Calc Data-SB1'!H35*100)-'Calc Data-SB1'!H42),0)</f>
        <v>#DIV/0!</v>
      </c>
      <c r="I52" s="1812" t="e">
        <f>ROUND(IF((Assumptions!G128*'Calc Data-SB1'!H25*'Calc Data-SB1'!AS93*100)&lt;'Calc Data-SB1'!AS102,0,(Assumptions!G128*'Calc Data-SB1'!H25*'Calc Data-SB1'!AS93*100)-'Calc Data-SB1'!AS102),0)</f>
        <v>#DIV/0!</v>
      </c>
      <c r="J52" s="1050" t="e">
        <f>ROUND(IF((Assumptions!G128*'Calc Data-SB1'!H25*'Calc Data-SB1'!H81*100)&lt;'Calc Data-SB1'!H88,0,(Assumptions!G128*'Calc Data-SB1'!H25*'Calc Data-SB1'!H81*100)-'Calc Data-SB1'!H88),0)</f>
        <v>#DIV/0!</v>
      </c>
      <c r="K52" s="1052" t="e">
        <f>J52</f>
        <v>#DIV/0!</v>
      </c>
      <c r="M52" s="2014" t="e">
        <f>ROUND(IF((Assumptions!G79*'Calc Data-15K'!G25*'Calc Data-15K'!G81*100)&lt;'Calc Data-15K'!G88,0,(Assumptions!G79*'Calc Data-15K'!G25*'Calc Data-15K'!G81*100)-'Calc Data-15K'!G88),0)</f>
        <v>#DIV/0!</v>
      </c>
    </row>
    <row r="53" spans="4:15">
      <c r="D53" s="23" t="s">
        <v>515</v>
      </c>
      <c r="F53" s="66" t="e">
        <f>ROUND(IF((Assumptions!G138*'Calc Data-SB1'!H25*'Calc Data-SB1'!H38*100)&lt;'Calc Data-SB1'!H43,0,(Assumptions!G138*'Calc Data-SB1'!H25*'Calc Data-SB1'!H38*100)-'Calc Data-SB1'!H43),0)</f>
        <v>#DIV/0!</v>
      </c>
      <c r="G53" s="37"/>
      <c r="H53" s="1051" t="e">
        <f>ROUND(IF((Assumptions!G138*'Calc Data-SB1'!H25*'Calc Data-SB1'!AW29*100)&lt;'Calc Data-SB1'!AW33,0,(Assumptions!G138*'Calc Data-SB1'!H25*'Calc Data-SB1'!AW29*100)-'Calc Data-SB1'!AW33),0)</f>
        <v>#DIV/0!</v>
      </c>
      <c r="I53" s="1823" t="e">
        <f>ROUND(IF((Assumptions!G129*'Calc Data-SB1'!H25*'Calc Data-SB1'!AS94*100)&lt;'Calc Data-SB1'!AS104,0,(Assumptions!G129*'Calc Data-SB1'!H25*'Calc Data-SB1'!AS94*100)-'Calc Data-SB1'!AS104),0)</f>
        <v>#DIV/0!</v>
      </c>
      <c r="J53" s="1051" t="e">
        <f>ROUND(IF((Assumptions!G129*'Calc Data-SB1'!H25*'Calc Data-SB1'!H84*100)&lt;'Calc Data-SB1'!H89,0,(Assumptions!G129*'Calc Data-SB1'!H25*'Calc Data-SB1'!H84*100)-'Calc Data-SB1'!H89),0)</f>
        <v>#DIV/0!</v>
      </c>
      <c r="K53" s="1051" t="e">
        <f>ROUND(IF((Assumptions!G129*'Calc Data-SB1'!H25*'Calc Data-SB1'!AR84*100)&lt;'Calc Data-SB1'!AR88,0,(Assumptions!G129*'Calc Data-SB1'!H25*'Calc Data-SB1'!AR84*100)-'Calc Data-SB1'!AR88),0)</f>
        <v>#DIV/0!</v>
      </c>
      <c r="M53" s="2236" t="e">
        <f>ROUND(IF((Assumptions!G80*'Calc Data-15K'!G25*'Calc Data-15K'!G84*100)&lt;'Calc Data-15K'!G89,0,(Assumptions!G80*'Calc Data-15K'!G25*'Calc Data-15K'!G84*100)-'Calc Data-15K'!G89),0)</f>
        <v>#DIV/0!</v>
      </c>
    </row>
    <row r="54" spans="4:15">
      <c r="D54" s="23" t="s">
        <v>315</v>
      </c>
      <c r="F54" s="37" t="e">
        <f>SUM(F50:F53)</f>
        <v>#DIV/0!</v>
      </c>
      <c r="G54" s="37"/>
      <c r="H54" s="1050" t="e">
        <f>SUM(H50:H53)</f>
        <v>#DIV/0!</v>
      </c>
      <c r="I54" s="1811" t="e">
        <f>SUM(I52:I53)</f>
        <v>#DIV/0!</v>
      </c>
      <c r="J54" s="1808"/>
      <c r="K54" s="1808"/>
      <c r="L54" s="1811"/>
      <c r="M54" s="1846"/>
    </row>
    <row r="55" spans="4:15">
      <c r="D55" s="23"/>
      <c r="G55" s="37"/>
      <c r="H55" s="1050"/>
      <c r="I55" s="1402"/>
      <c r="J55" s="1050"/>
      <c r="K55" s="1050"/>
      <c r="L55" s="1812"/>
      <c r="M55" s="1846"/>
      <c r="N55" s="121"/>
      <c r="O55" s="1375"/>
    </row>
    <row r="56" spans="4:15">
      <c r="D56" s="23" t="s">
        <v>832</v>
      </c>
      <c r="G56" s="37"/>
      <c r="H56" s="1050"/>
      <c r="I56" s="1402"/>
      <c r="J56" s="1050"/>
      <c r="K56" s="1050"/>
      <c r="L56" s="1812"/>
      <c r="M56" s="1846"/>
      <c r="N56" s="121"/>
      <c r="O56" s="1375"/>
    </row>
    <row r="57" spans="4:15">
      <c r="D57" s="23" t="s">
        <v>859</v>
      </c>
      <c r="F57" s="37">
        <f>'Data Entry - SOF'!M76</f>
        <v>0</v>
      </c>
      <c r="G57" s="37"/>
      <c r="H57" s="1050">
        <f>F57</f>
        <v>0</v>
      </c>
      <c r="I57" s="1811">
        <f t="shared" ref="I57:I69" si="1">H57</f>
        <v>0</v>
      </c>
      <c r="J57" s="1850" t="e">
        <f>'ASATR-SB1'!O62</f>
        <v>#DIV/0!</v>
      </c>
      <c r="K57" s="1050" t="e">
        <f>J57</f>
        <v>#DIV/0!</v>
      </c>
      <c r="L57" s="1828" t="e">
        <f>'ASATR-SB1'!N62</f>
        <v>#DIV/0!</v>
      </c>
      <c r="M57" s="1846" t="e">
        <f>L57</f>
        <v>#DIV/0!</v>
      </c>
      <c r="N57" s="121"/>
      <c r="O57" s="1375"/>
    </row>
    <row r="58" spans="4:15">
      <c r="D58" s="23" t="s">
        <v>3489</v>
      </c>
      <c r="F58" s="37">
        <f>'Data Entry - SOF'!M75</f>
        <v>0</v>
      </c>
      <c r="G58" s="37"/>
      <c r="H58" s="1050">
        <f>F58</f>
        <v>0</v>
      </c>
      <c r="I58" s="1811">
        <f t="shared" si="1"/>
        <v>0</v>
      </c>
      <c r="J58" s="1050"/>
      <c r="K58" s="1050"/>
      <c r="L58" s="1812"/>
      <c r="M58" s="1846"/>
      <c r="N58" s="121"/>
      <c r="O58" s="1375"/>
    </row>
    <row r="59" spans="4:15">
      <c r="D59" s="23" t="s">
        <v>3490</v>
      </c>
      <c r="F59" s="37">
        <f>'Data Entry - SOF'!M77</f>
        <v>0</v>
      </c>
      <c r="G59" s="37"/>
      <c r="H59" s="1050">
        <f t="shared" ref="H59:H68" si="2">F59</f>
        <v>0</v>
      </c>
      <c r="I59" s="1811">
        <f t="shared" si="1"/>
        <v>0</v>
      </c>
      <c r="J59" s="1050"/>
      <c r="K59" s="1050"/>
      <c r="L59" s="1812"/>
      <c r="M59" s="1846"/>
      <c r="N59" s="121"/>
      <c r="O59" s="1375"/>
    </row>
    <row r="60" spans="4:15">
      <c r="D60" s="23" t="s">
        <v>3491</v>
      </c>
      <c r="F60" s="37">
        <f>'Data Entry - SOF'!M78</f>
        <v>0</v>
      </c>
      <c r="G60" s="37"/>
      <c r="H60" s="1050">
        <f t="shared" si="2"/>
        <v>0</v>
      </c>
      <c r="I60" s="1811">
        <f t="shared" si="1"/>
        <v>0</v>
      </c>
      <c r="J60" s="1050"/>
      <c r="K60" s="1050"/>
      <c r="L60" s="1812"/>
      <c r="M60" s="1846"/>
      <c r="N60" s="121"/>
      <c r="O60" s="1375"/>
    </row>
    <row r="61" spans="4:15">
      <c r="D61" s="23" t="s">
        <v>3492</v>
      </c>
      <c r="F61" s="37">
        <f>'Data Entry - SOF'!M79</f>
        <v>0</v>
      </c>
      <c r="G61" s="37"/>
      <c r="H61" s="1050">
        <f t="shared" si="2"/>
        <v>0</v>
      </c>
      <c r="I61" s="1811">
        <f t="shared" si="1"/>
        <v>0</v>
      </c>
      <c r="J61" s="1050"/>
      <c r="K61" s="1050"/>
      <c r="L61" s="1812"/>
      <c r="M61" s="1846"/>
      <c r="N61" s="121"/>
      <c r="O61" s="1375"/>
    </row>
    <row r="62" spans="4:15">
      <c r="D62" s="23" t="s">
        <v>3493</v>
      </c>
      <c r="F62" s="37">
        <v>0</v>
      </c>
      <c r="G62" s="37"/>
      <c r="H62" s="1050">
        <f t="shared" si="2"/>
        <v>0</v>
      </c>
      <c r="I62" s="1811">
        <f t="shared" si="1"/>
        <v>0</v>
      </c>
      <c r="J62" s="1050"/>
      <c r="K62" s="1050"/>
      <c r="L62" s="1812"/>
      <c r="M62" s="1846"/>
      <c r="N62" s="121"/>
      <c r="O62" s="1375"/>
    </row>
    <row r="63" spans="4:15">
      <c r="D63" s="23" t="s">
        <v>3494</v>
      </c>
      <c r="F63" s="37">
        <f>'Data Entry - SOF'!M80</f>
        <v>0</v>
      </c>
      <c r="G63" s="37"/>
      <c r="H63" s="1050">
        <f t="shared" si="2"/>
        <v>0</v>
      </c>
      <c r="I63" s="1811">
        <f t="shared" si="1"/>
        <v>0</v>
      </c>
      <c r="J63" s="1050"/>
      <c r="K63" s="1050"/>
      <c r="L63" s="1812"/>
      <c r="M63" s="1846"/>
      <c r="N63" s="121"/>
      <c r="O63" s="1375"/>
    </row>
    <row r="64" spans="4:15">
      <c r="D64" s="23" t="s">
        <v>2801</v>
      </c>
      <c r="F64" s="37">
        <v>0</v>
      </c>
      <c r="G64" s="37"/>
      <c r="H64" s="1050">
        <f t="shared" si="2"/>
        <v>0</v>
      </c>
      <c r="I64" s="1811">
        <f t="shared" si="1"/>
        <v>0</v>
      </c>
      <c r="J64" s="1050"/>
      <c r="K64" s="1050"/>
      <c r="L64" s="1812"/>
      <c r="M64" s="1846"/>
      <c r="N64" s="121"/>
      <c r="O64" s="1375"/>
    </row>
    <row r="65" spans="1:15">
      <c r="D65" s="23" t="s">
        <v>2793</v>
      </c>
      <c r="F65" s="37">
        <f>(500*'Data Entry - SOF'!M44)+(250*'Data Entry - SOF'!M45)</f>
        <v>0</v>
      </c>
      <c r="G65" s="37"/>
      <c r="H65" s="1050">
        <f t="shared" si="2"/>
        <v>0</v>
      </c>
      <c r="I65" s="1811">
        <f t="shared" si="1"/>
        <v>0</v>
      </c>
      <c r="J65" s="1050"/>
      <c r="K65" s="1050"/>
      <c r="L65" s="1812"/>
      <c r="M65" s="1846"/>
      <c r="N65" s="121"/>
      <c r="O65" s="1375"/>
    </row>
    <row r="66" spans="1:15">
      <c r="D66" s="23" t="s">
        <v>833</v>
      </c>
      <c r="F66" s="905" t="e">
        <f>(('Data Entry - SOF'!M69/'Calc Data-SB1'!G7)*'Data Entry - SOF'!M67)*-1</f>
        <v>#DIV/0!</v>
      </c>
      <c r="G66" s="37"/>
      <c r="H66" s="1050" t="e">
        <f t="shared" si="2"/>
        <v>#DIV/0!</v>
      </c>
      <c r="I66" s="1811" t="e">
        <f t="shared" si="1"/>
        <v>#DIV/0!</v>
      </c>
      <c r="J66" s="1050"/>
      <c r="K66" s="1050"/>
      <c r="L66" s="1812"/>
      <c r="M66" s="1846"/>
      <c r="N66" s="121"/>
      <c r="O66" s="1375"/>
    </row>
    <row r="67" spans="1:15">
      <c r="D67" s="23" t="s">
        <v>834</v>
      </c>
      <c r="F67" s="1241" t="e">
        <f>(('Data Entry - SOF'!M69/'Calc Data-SB1'!G7)*'Data Entry - SOF'!M68)*-1</f>
        <v>#DIV/0!</v>
      </c>
      <c r="G67" s="37"/>
      <c r="H67" s="1050" t="e">
        <f t="shared" si="2"/>
        <v>#DIV/0!</v>
      </c>
      <c r="I67" s="1811" t="e">
        <f t="shared" si="1"/>
        <v>#DIV/0!</v>
      </c>
      <c r="J67" s="1050"/>
      <c r="K67" s="1050"/>
      <c r="L67" s="1812"/>
      <c r="M67" s="1846"/>
      <c r="N67" s="121"/>
      <c r="O67" s="1375"/>
    </row>
    <row r="68" spans="1:15">
      <c r="D68" s="23" t="s">
        <v>3399</v>
      </c>
      <c r="F68" s="1242">
        <f>'Data Entry - SOF'!M96</f>
        <v>0</v>
      </c>
      <c r="G68" s="37"/>
      <c r="H68" s="1051">
        <f t="shared" si="2"/>
        <v>0</v>
      </c>
      <c r="I68" s="1859">
        <f t="shared" si="1"/>
        <v>0</v>
      </c>
      <c r="J68" s="1050"/>
      <c r="K68" s="1050"/>
      <c r="L68" s="1812"/>
      <c r="M68" s="1846"/>
      <c r="N68" s="121"/>
      <c r="O68" s="1375"/>
    </row>
    <row r="69" spans="1:15">
      <c r="D69" s="906" t="s">
        <v>200</v>
      </c>
      <c r="F69" s="37" t="e">
        <f>SUM(F57:F68)</f>
        <v>#DIV/0!</v>
      </c>
      <c r="G69" s="37"/>
      <c r="H69" s="1050" t="e">
        <f>SUM(H57:H68)</f>
        <v>#DIV/0!</v>
      </c>
      <c r="I69" s="1811" t="e">
        <f t="shared" si="1"/>
        <v>#DIV/0!</v>
      </c>
      <c r="J69" s="1050"/>
      <c r="K69" s="1050"/>
      <c r="L69" s="1812"/>
      <c r="M69" s="1846"/>
      <c r="N69" s="121"/>
      <c r="O69" s="1375"/>
    </row>
    <row r="70" spans="1:15">
      <c r="D70" s="906"/>
      <c r="F70" s="47"/>
      <c r="G70" s="37"/>
      <c r="H70" s="1050"/>
      <c r="I70" s="1811"/>
      <c r="J70" s="1751"/>
      <c r="K70" s="1751"/>
      <c r="L70" s="1812"/>
      <c r="M70" s="1846"/>
      <c r="N70" s="121"/>
      <c r="O70" s="1375"/>
    </row>
    <row r="71" spans="1:15">
      <c r="D71" s="23" t="s">
        <v>2749</v>
      </c>
      <c r="F71" s="37">
        <f>F76*-1</f>
        <v>0</v>
      </c>
      <c r="G71" s="37"/>
      <c r="H71" s="1050">
        <f>H76*-1</f>
        <v>0</v>
      </c>
      <c r="I71" s="1811">
        <f>H71</f>
        <v>0</v>
      </c>
      <c r="J71" s="1050"/>
      <c r="K71" s="1050"/>
      <c r="L71" s="1812"/>
      <c r="M71" s="1846"/>
      <c r="N71" s="121"/>
      <c r="O71" s="1375"/>
    </row>
    <row r="72" spans="1:15" ht="13.5" thickBot="1">
      <c r="D72" s="23"/>
      <c r="G72" s="37"/>
      <c r="H72" s="1050"/>
      <c r="I72" s="1925"/>
      <c r="J72" s="1050"/>
      <c r="K72" s="1050"/>
      <c r="L72" s="1812"/>
      <c r="M72" s="1846"/>
      <c r="N72" s="121"/>
      <c r="O72" s="1375"/>
    </row>
    <row r="73" spans="1:15" ht="13.5" thickTop="1">
      <c r="A73" s="909"/>
      <c r="B73" s="910"/>
      <c r="C73" s="910"/>
      <c r="D73" s="911"/>
      <c r="E73" s="910"/>
      <c r="F73" s="956"/>
      <c r="G73" s="37"/>
      <c r="H73" s="1050"/>
      <c r="I73" s="1925"/>
      <c r="J73" s="1050"/>
      <c r="K73" s="1050"/>
      <c r="L73" s="1812"/>
      <c r="M73" s="1846"/>
      <c r="N73" s="121"/>
      <c r="O73" s="1375"/>
    </row>
    <row r="74" spans="1:15">
      <c r="A74" s="912"/>
      <c r="B74" s="893" t="s">
        <v>202</v>
      </c>
      <c r="C74" s="35"/>
      <c r="D74" s="908"/>
      <c r="E74" s="35"/>
      <c r="F74" s="957"/>
      <c r="G74" s="37"/>
      <c r="H74" s="1050"/>
      <c r="I74" s="1925"/>
      <c r="J74" s="1050"/>
      <c r="K74" s="1050"/>
      <c r="L74" s="1812"/>
      <c r="M74" s="1846"/>
      <c r="N74" s="121"/>
      <c r="O74" s="1375"/>
    </row>
    <row r="75" spans="1:15">
      <c r="A75" s="912"/>
      <c r="B75" s="893" t="s">
        <v>1681</v>
      </c>
      <c r="C75" s="35"/>
      <c r="D75" s="101" t="s">
        <v>836</v>
      </c>
      <c r="E75" s="101"/>
      <c r="F75" s="189" t="e">
        <f>F49+F54+F69+F71</f>
        <v>#DIV/0!</v>
      </c>
      <c r="G75" s="37"/>
      <c r="H75" s="1756" t="e">
        <f>H49+H54+H69+H71</f>
        <v>#DIV/0!</v>
      </c>
      <c r="I75" s="2010" t="e">
        <f>M49+I54+I69+I71</f>
        <v>#DIV/0!</v>
      </c>
      <c r="J75" s="1050"/>
      <c r="K75" s="1050"/>
      <c r="L75" s="1812"/>
      <c r="M75" s="1846"/>
      <c r="N75" s="121"/>
      <c r="O75" s="1375"/>
    </row>
    <row r="76" spans="1:15">
      <c r="A76" s="912"/>
      <c r="B76" s="893" t="s">
        <v>1679</v>
      </c>
      <c r="C76" s="35"/>
      <c r="D76" s="101" t="s">
        <v>3005</v>
      </c>
      <c r="E76" s="101"/>
      <c r="F76" s="189">
        <f>'Calc Data-SB1'!G7*Assumptions!G141</f>
        <v>0</v>
      </c>
      <c r="G76" s="37"/>
      <c r="H76" s="1756">
        <f>'Calc Data-SB1'!G7*Assumptions!G141</f>
        <v>0</v>
      </c>
      <c r="I76" s="1932">
        <f>H76</f>
        <v>0</v>
      </c>
      <c r="J76" s="2221"/>
      <c r="K76" s="2221"/>
      <c r="L76" s="1811"/>
      <c r="M76" s="1846"/>
      <c r="N76" s="121"/>
      <c r="O76" s="1375"/>
    </row>
    <row r="77" spans="1:15" ht="15.75">
      <c r="A77" s="912"/>
      <c r="B77" s="893" t="s">
        <v>1680</v>
      </c>
      <c r="C77" s="35"/>
      <c r="D77" s="952" t="s">
        <v>858</v>
      </c>
      <c r="E77" s="123"/>
      <c r="F77" s="959">
        <v>0</v>
      </c>
      <c r="G77" s="37"/>
      <c r="H77" s="1757">
        <v>0</v>
      </c>
      <c r="I77" s="1932">
        <f>H77</f>
        <v>0</v>
      </c>
      <c r="J77" s="2221"/>
      <c r="K77" s="2221"/>
      <c r="L77" s="1811"/>
      <c r="M77" s="1846"/>
      <c r="N77" s="121"/>
      <c r="O77" s="1375"/>
    </row>
    <row r="78" spans="1:15">
      <c r="A78" s="912"/>
      <c r="B78" s="893" t="s">
        <v>839</v>
      </c>
      <c r="C78" s="35"/>
      <c r="D78" s="101" t="s">
        <v>837</v>
      </c>
      <c r="E78" s="101"/>
      <c r="F78" s="189">
        <f>'Existing Debt'!Q74</f>
        <v>0</v>
      </c>
      <c r="G78" s="37"/>
      <c r="H78" s="1756">
        <f>F78</f>
        <v>0</v>
      </c>
      <c r="I78" s="1932">
        <f>'Existing Debt'!P74</f>
        <v>0</v>
      </c>
      <c r="J78" s="1049"/>
      <c r="K78" s="1049"/>
      <c r="L78" s="1811"/>
      <c r="M78" s="1846"/>
      <c r="N78" s="121"/>
      <c r="O78" s="1375"/>
    </row>
    <row r="79" spans="1:15" ht="13.5" thickBot="1">
      <c r="A79" s="912"/>
      <c r="B79" s="893" t="s">
        <v>1251</v>
      </c>
      <c r="C79" s="35"/>
      <c r="D79" s="101" t="s">
        <v>838</v>
      </c>
      <c r="E79" s="101"/>
      <c r="F79" s="950">
        <f>IFA!AB86+IFA!AD75</f>
        <v>0</v>
      </c>
      <c r="G79" s="37"/>
      <c r="H79" s="1758">
        <f>F79</f>
        <v>0</v>
      </c>
      <c r="I79" s="2011">
        <f>IFA!Y86+IFA!AA75</f>
        <v>0</v>
      </c>
      <c r="J79" s="1049"/>
      <c r="K79" s="1049"/>
      <c r="L79" s="1811"/>
      <c r="M79" s="1846"/>
      <c r="N79" s="121"/>
      <c r="O79" s="1375"/>
    </row>
    <row r="80" spans="1:15">
      <c r="A80" s="912"/>
      <c r="B80" s="35"/>
      <c r="C80" s="35"/>
      <c r="D80" s="35"/>
      <c r="E80" s="35"/>
      <c r="F80" s="957"/>
      <c r="G80" s="37"/>
      <c r="H80" s="1759"/>
      <c r="I80" s="1933"/>
      <c r="J80" s="1808"/>
      <c r="K80" s="1808"/>
      <c r="L80" s="1811"/>
      <c r="M80" s="1846"/>
      <c r="N80" s="173"/>
      <c r="O80" s="1797"/>
    </row>
    <row r="81" spans="1:18" ht="12.75" customHeight="1" thickBot="1">
      <c r="A81" s="912"/>
      <c r="B81" s="35"/>
      <c r="C81" s="35"/>
      <c r="D81" s="101" t="s">
        <v>1155</v>
      </c>
      <c r="E81" s="35"/>
      <c r="F81" s="951" t="e">
        <f>SUM(F75:F79)</f>
        <v>#DIV/0!</v>
      </c>
      <c r="G81" s="37"/>
      <c r="H81" s="951" t="e">
        <f>SUM(H75:H79)</f>
        <v>#DIV/0!</v>
      </c>
      <c r="I81" s="2012" t="e">
        <f>SUM(I75:I79)</f>
        <v>#DIV/0!</v>
      </c>
      <c r="J81" s="1049"/>
      <c r="K81" s="1049"/>
      <c r="L81" s="1811"/>
      <c r="M81" s="1846"/>
      <c r="N81" s="173"/>
      <c r="O81" s="1797"/>
    </row>
    <row r="82" spans="1:18" ht="14.25" hidden="1" thickTop="1" thickBot="1">
      <c r="A82" s="912"/>
      <c r="B82" s="35"/>
      <c r="C82" s="35"/>
      <c r="D82" s="34" t="s">
        <v>513</v>
      </c>
      <c r="E82" s="35"/>
      <c r="F82" s="35"/>
      <c r="G82" s="37"/>
      <c r="H82" s="1760" t="e">
        <f>SUM(H75:H79)</f>
        <v>#DIV/0!</v>
      </c>
      <c r="I82" s="1925"/>
      <c r="J82" s="2221"/>
      <c r="K82" s="2221"/>
      <c r="L82" s="1811"/>
      <c r="M82" s="1846"/>
      <c r="N82" s="173"/>
      <c r="O82" s="1797"/>
    </row>
    <row r="83" spans="1:18" ht="14.25" thickTop="1" thickBot="1">
      <c r="A83" s="913"/>
      <c r="B83" s="914"/>
      <c r="C83" s="914"/>
      <c r="D83" s="915"/>
      <c r="E83" s="914"/>
      <c r="F83" s="970"/>
      <c r="G83" s="19"/>
      <c r="H83" s="37"/>
      <c r="I83" s="1925"/>
      <c r="J83" s="1050"/>
      <c r="K83" s="1050"/>
      <c r="L83" s="1812"/>
      <c r="M83" s="1846"/>
    </row>
    <row r="84" spans="1:18" ht="13.5" thickTop="1">
      <c r="B84" s="23"/>
      <c r="G84" s="59"/>
      <c r="H84" s="19"/>
      <c r="I84" s="1925"/>
      <c r="J84" s="1750"/>
      <c r="K84" s="1750"/>
      <c r="L84" s="1809"/>
      <c r="M84" s="1846"/>
      <c r="P84" s="121"/>
      <c r="Q84" s="421"/>
      <c r="R84" s="5"/>
    </row>
    <row r="85" spans="1:18">
      <c r="H85" s="59"/>
      <c r="I85" s="1925"/>
      <c r="J85" s="1751"/>
      <c r="K85" s="1751"/>
      <c r="L85" s="1810"/>
      <c r="M85" s="1846"/>
      <c r="P85" s="5"/>
    </row>
    <row r="86" spans="1:18" ht="13.5" thickBot="1">
      <c r="I86" s="1925"/>
      <c r="J86" s="1053"/>
      <c r="K86" s="1053"/>
      <c r="L86" s="1402"/>
      <c r="M86" s="1846"/>
    </row>
    <row r="87" spans="1:18" ht="13.5" thickTop="1">
      <c r="A87" s="918" t="s">
        <v>2816</v>
      </c>
      <c r="B87" s="91"/>
      <c r="C87" s="91"/>
      <c r="D87" s="91"/>
      <c r="E87" s="91"/>
      <c r="F87" s="183"/>
      <c r="I87" s="1925"/>
      <c r="J87" s="1053"/>
      <c r="K87" s="1053"/>
      <c r="L87" s="1402"/>
      <c r="M87" s="1846"/>
    </row>
    <row r="88" spans="1:18">
      <c r="A88" s="186"/>
      <c r="B88" s="35"/>
      <c r="C88" s="35"/>
      <c r="D88" s="35"/>
      <c r="E88" s="35"/>
      <c r="F88" s="184"/>
      <c r="I88" s="1925"/>
      <c r="J88" s="1053"/>
      <c r="K88" s="1053"/>
      <c r="L88" s="1402"/>
      <c r="M88" s="1846"/>
    </row>
    <row r="89" spans="1:18">
      <c r="A89" s="185" t="s">
        <v>2477</v>
      </c>
      <c r="B89" s="35"/>
      <c r="C89" s="35"/>
      <c r="D89" s="35"/>
      <c r="E89" s="35"/>
      <c r="F89" s="894" t="e">
        <f>IF(F75&lt;0,F76,F75+F76)</f>
        <v>#DIV/0!</v>
      </c>
      <c r="H89" s="894" t="e">
        <f>IF(H75&lt;0,H76,H75+H76)</f>
        <v>#DIV/0!</v>
      </c>
      <c r="I89" s="1934" t="e">
        <f>IF(I75&lt;0,I76,I75+I76)</f>
        <v>#DIV/0!</v>
      </c>
      <c r="J89" s="1053"/>
      <c r="K89" s="1053"/>
      <c r="L89" s="1402"/>
      <c r="M89" s="1846"/>
    </row>
    <row r="90" spans="1:18">
      <c r="A90" s="239" t="s">
        <v>1910</v>
      </c>
      <c r="B90" s="35"/>
      <c r="C90" s="35"/>
      <c r="D90" s="35"/>
      <c r="E90" s="35"/>
      <c r="F90" s="895" t="e">
        <f>'Calc Data-SB1'!H30-'ASATR-SB1'!O24</f>
        <v>#DIV/0!</v>
      </c>
      <c r="H90" s="895" t="e">
        <f>'Calc Data-SB1'!AW32-'ASATR-SB1'!O39</f>
        <v>#DIV/0!</v>
      </c>
      <c r="I90" s="1935" t="e">
        <f>'Calc Data-SB1'!AX32-'ASATR-SB1'!N39</f>
        <v>#DIV/0!</v>
      </c>
      <c r="J90" s="1808"/>
      <c r="K90" s="1808"/>
      <c r="L90" s="1811"/>
      <c r="M90" s="1846"/>
      <c r="P90" s="121"/>
    </row>
    <row r="91" spans="1:18">
      <c r="A91" s="239" t="s">
        <v>1062</v>
      </c>
      <c r="B91" s="35"/>
      <c r="C91" s="35"/>
      <c r="D91" s="35"/>
      <c r="E91" s="35"/>
      <c r="F91" s="895" t="e">
        <f>'Calc Data-SB1'!H34</f>
        <v>#DIV/0!</v>
      </c>
      <c r="H91" s="895" t="e">
        <f>'Calc Data-SB1'!H34</f>
        <v>#DIV/0!</v>
      </c>
      <c r="I91" s="1938" t="e">
        <f>'Calc Data-SB1'!AS71</f>
        <v>#DIV/0!</v>
      </c>
      <c r="J91" s="1854"/>
      <c r="K91" s="1854"/>
      <c r="L91" s="1811"/>
      <c r="M91" s="1846"/>
      <c r="P91" s="121"/>
    </row>
    <row r="92" spans="1:18">
      <c r="A92" s="239" t="s">
        <v>1063</v>
      </c>
      <c r="B92" s="35"/>
      <c r="C92" s="35"/>
      <c r="D92" s="35"/>
      <c r="E92" s="35"/>
      <c r="F92" s="2655" t="e">
        <f>'Calc Data-SB1'!H37-IF('Option Costs-HB3646'!AS57="N",MAX('Option Costs-HB3646'!AS54,'Option Costs-HB3646'!AW54),MIN('Option Costs-HB3646'!AS54,'Option Costs-HB3646'!AW54))</f>
        <v>#DIV/0!</v>
      </c>
      <c r="H92" s="2655" t="e">
        <f>'Calc Data-SB1'!AW31-IF('Option Costs-HB3646'!AU57="N",MAX('Option Costs-HB3646'!AU85,'Option Costs-HB3646'!AW85),MIN('Option Costs-HB3646'!AU85,'Option Costs-HB3646'!AW85))</f>
        <v>#DIV/0!</v>
      </c>
      <c r="I92" s="1936" t="e">
        <f>'Calc Data-SB1'!AS31-IF('Option Costs-15K'!AU57="N",MAX('Option Costs-15K'!AU54,'Option Costs-15K'!AW54),MIN('Option Costs-15K'!AU54,'Option Costs-15K'!AW54))</f>
        <v>#DIV/0!</v>
      </c>
      <c r="J92" s="1049"/>
      <c r="K92" s="1049"/>
      <c r="L92" s="1811"/>
      <c r="M92" s="1846"/>
    </row>
    <row r="93" spans="1:18">
      <c r="A93" s="239" t="s">
        <v>3710</v>
      </c>
      <c r="B93" s="35"/>
      <c r="C93" s="35"/>
      <c r="D93" s="35"/>
      <c r="E93" s="35"/>
      <c r="F93" s="958" t="e">
        <f>SUM(F89:F92)</f>
        <v>#DIV/0!</v>
      </c>
      <c r="H93" s="958" t="e">
        <f>SUM(H89:H92)</f>
        <v>#DIV/0!</v>
      </c>
      <c r="I93" s="1937" t="e">
        <f>SUM(I89:I92)</f>
        <v>#DIV/0!</v>
      </c>
      <c r="J93" s="1854"/>
      <c r="K93" s="1854"/>
      <c r="L93" s="1811"/>
      <c r="M93" s="1846"/>
    </row>
    <row r="94" spans="1:18">
      <c r="A94" s="185" t="s">
        <v>1908</v>
      </c>
      <c r="B94" s="35"/>
      <c r="C94" s="35"/>
      <c r="D94" s="35"/>
      <c r="E94" s="35"/>
      <c r="F94" s="907" t="e">
        <f>IF(F75&gt;0,0,F75)</f>
        <v>#DIV/0!</v>
      </c>
      <c r="H94" s="907" t="e">
        <f>IF(H75&gt;0,0,H75)</f>
        <v>#DIV/0!</v>
      </c>
      <c r="I94" s="1936" t="e">
        <f>IF(I75&gt;0,0,I75)</f>
        <v>#DIV/0!</v>
      </c>
      <c r="J94" s="1854"/>
      <c r="K94" s="1854"/>
      <c r="L94" s="1813"/>
      <c r="M94" s="1846"/>
    </row>
    <row r="95" spans="1:18">
      <c r="A95" s="423" t="s">
        <v>3711</v>
      </c>
      <c r="B95" s="35"/>
      <c r="C95" s="35"/>
      <c r="D95" s="35"/>
      <c r="E95" s="35"/>
      <c r="F95" s="958" t="e">
        <f>F93+F94</f>
        <v>#DIV/0!</v>
      </c>
      <c r="H95" s="958" t="e">
        <f>H93+H94</f>
        <v>#DIV/0!</v>
      </c>
      <c r="I95" s="1937" t="e">
        <f>I93+I94</f>
        <v>#DIV/0!</v>
      </c>
      <c r="J95" s="1808"/>
      <c r="K95" s="1808"/>
      <c r="L95" s="1811"/>
      <c r="M95" s="1846"/>
    </row>
    <row r="96" spans="1:18" ht="13.5" thickBot="1">
      <c r="A96" s="187"/>
      <c r="B96" s="50"/>
      <c r="C96" s="50"/>
      <c r="D96" s="50"/>
      <c r="E96" s="50"/>
      <c r="F96" s="188"/>
      <c r="J96" s="1854"/>
      <c r="K96" s="1854"/>
      <c r="L96" s="1811"/>
      <c r="M96" s="1846"/>
    </row>
    <row r="97" spans="1:13" ht="13.5" hidden="1" thickTop="1">
      <c r="D97" s="47" t="s">
        <v>1399</v>
      </c>
      <c r="E97" s="47"/>
      <c r="F97" s="47"/>
      <c r="H97" s="958" t="e">
        <f>H94+H95</f>
        <v>#DIV/0!</v>
      </c>
      <c r="J97" s="1808"/>
      <c r="K97" s="1808"/>
      <c r="L97" s="1811"/>
      <c r="M97" s="1846"/>
    </row>
    <row r="98" spans="1:13" ht="13.5" hidden="1" thickTop="1">
      <c r="D98" s="47" t="s">
        <v>511</v>
      </c>
      <c r="E98" s="47"/>
      <c r="F98" s="47"/>
      <c r="J98" s="1053"/>
      <c r="K98" s="1053"/>
      <c r="L98" s="1402"/>
      <c r="M98" s="1846"/>
    </row>
    <row r="99" spans="1:13" ht="13.5" hidden="1" thickTop="1">
      <c r="D99" s="47" t="s">
        <v>512</v>
      </c>
    </row>
    <row r="100" spans="1:13" ht="13.5" hidden="1" thickTop="1">
      <c r="D100" s="47" t="s">
        <v>1147</v>
      </c>
    </row>
    <row r="101" spans="1:13" ht="13.5" hidden="1" thickTop="1">
      <c r="D101" s="47" t="s">
        <v>720</v>
      </c>
    </row>
    <row r="102" spans="1:13" ht="13.5" hidden="1" thickTop="1">
      <c r="D102" s="47" t="s">
        <v>721</v>
      </c>
    </row>
    <row r="103" spans="1:13" ht="13.5" thickTop="1">
      <c r="D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Assumptions!G137*'Calc Data-SB1'!H25*'Calc Data-SB1'!H35*100</f>
        <v>#DIV/0!</v>
      </c>
      <c r="H136" s="121" t="e">
        <f>Assumptions!G137*'Calc Data-SB1'!H25*'Calc Data-SB1'!H35*100</f>
        <v>#DIV/0!</v>
      </c>
      <c r="J136" s="5"/>
      <c r="K136" s="5"/>
    </row>
    <row r="137" spans="5:11">
      <c r="E137" t="s">
        <v>3253</v>
      </c>
      <c r="F137" s="121" t="e">
        <f>Assumptions!G138*'Calc Data-SB1'!H25*'Calc Data-SB1'!H38*100</f>
        <v>#DIV/0!</v>
      </c>
      <c r="H137" s="121" t="e">
        <f>Assumptions!G138*'Calc Data-SB1'!H25*'Calc Data-SB1'!AW29*100</f>
        <v>#DIV/0!</v>
      </c>
      <c r="J137" s="5"/>
      <c r="K137" s="5"/>
    </row>
    <row r="138" spans="5:11">
      <c r="J138" s="121"/>
      <c r="K138" s="121"/>
    </row>
    <row r="139" spans="5:11">
      <c r="J139" s="121"/>
      <c r="K139" s="121"/>
    </row>
  </sheetData>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3667" t="s">
        <v>7711</v>
      </c>
    </row>
    <row r="6" spans="1:5" ht="15.75">
      <c r="A6" s="1830"/>
      <c r="B6" s="1817" t="s">
        <v>3268</v>
      </c>
      <c r="C6" s="1836" t="s">
        <v>4522</v>
      </c>
      <c r="D6" s="1836" t="s">
        <v>4523</v>
      </c>
      <c r="E6" s="1836" t="s">
        <v>4467</v>
      </c>
    </row>
    <row r="7" spans="1:5" ht="15">
      <c r="A7" s="1816">
        <v>1</v>
      </c>
      <c r="B7" s="1831" t="s">
        <v>7712</v>
      </c>
      <c r="C7" s="1085">
        <f>'Data Entry - SOF'!M48</f>
        <v>0</v>
      </c>
      <c r="D7" s="1085">
        <f>'Data Entry - SOF'!M50</f>
        <v>0</v>
      </c>
      <c r="E7" s="1085">
        <f t="shared" ref="E7:E14" si="0">C7-D7</f>
        <v>0</v>
      </c>
    </row>
    <row r="8" spans="1:5" ht="15">
      <c r="A8" s="1816">
        <v>2</v>
      </c>
      <c r="B8" s="1831" t="s">
        <v>7713</v>
      </c>
      <c r="C8" s="1103">
        <f>'Data Entry - SOF'!M58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7714</v>
      </c>
      <c r="C10" s="1197">
        <f>'Data Entry - SOF'!M59+'Data Entry - SOF'!M60</f>
        <v>0</v>
      </c>
      <c r="D10" s="1197" t="e">
        <f>(('Data Entry - SOF'!M59-IFA!AE79)*(D7/C7))+IFA!AE79+'Data Entry - SOF'!M60</f>
        <v>#DIV/0!</v>
      </c>
      <c r="E10" s="1085" t="e">
        <f t="shared" si="0"/>
        <v>#DIV/0!</v>
      </c>
    </row>
    <row r="11" spans="1:5" s="1076" customFormat="1" ht="15">
      <c r="A11" s="1816">
        <v>5</v>
      </c>
      <c r="B11" s="1831" t="s">
        <v>7715</v>
      </c>
      <c r="C11" s="1197" t="e">
        <f>C10*IF(C8&lt;C9,1,C9/C8)</f>
        <v>#DIV/0!</v>
      </c>
      <c r="D11" s="1197" t="e">
        <f>D10*IF(D8&lt;D9,1,D9/D8)</f>
        <v>#DIV/0!</v>
      </c>
      <c r="E11" s="1085" t="e">
        <f t="shared" si="0"/>
        <v>#DIV/0!</v>
      </c>
    </row>
    <row r="12" spans="1:5" s="1076" customFormat="1" ht="15">
      <c r="A12" s="1816">
        <v>6</v>
      </c>
      <c r="B12" s="1831" t="s">
        <v>576</v>
      </c>
      <c r="C12" s="1085">
        <f>'SOF2122-SB1'!H44</f>
        <v>0</v>
      </c>
      <c r="D12" s="1085">
        <f>'SOF2122-SB1'!M44</f>
        <v>0</v>
      </c>
      <c r="E12" s="1085">
        <f t="shared" si="0"/>
        <v>0</v>
      </c>
    </row>
    <row r="13" spans="1:5" s="1076" customFormat="1" ht="15">
      <c r="A13" s="1816">
        <v>7</v>
      </c>
      <c r="B13" s="1831" t="s">
        <v>4533</v>
      </c>
      <c r="C13" s="1085">
        <f>'SOF2122-SB1'!H45</f>
        <v>0</v>
      </c>
      <c r="D13" s="1085">
        <f>'SOF2122-SB1'!M45</f>
        <v>0</v>
      </c>
      <c r="E13" s="1085">
        <f t="shared" si="0"/>
        <v>0</v>
      </c>
    </row>
    <row r="14" spans="1:5" s="1076" customFormat="1" ht="15">
      <c r="A14" s="1816">
        <v>8</v>
      </c>
      <c r="B14" s="1831" t="s">
        <v>4528</v>
      </c>
      <c r="C14" s="1085">
        <f>'SOF2122-SB1'!H49</f>
        <v>0</v>
      </c>
      <c r="D14" s="1085">
        <f>'SOF2122-SB1'!M49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'SOF2122-SB1'!K52</f>
        <v>#DIV/0!</v>
      </c>
      <c r="D17" s="1085" t="e">
        <f>'SOF2122-SB1'!M52</f>
        <v>#DIV/0!</v>
      </c>
      <c r="E17" s="1085" t="e">
        <f>C17-D17</f>
        <v>#DIV/0!</v>
      </c>
    </row>
    <row r="18" spans="1:5" s="1076" customFormat="1" ht="15">
      <c r="A18" s="1816">
        <v>11</v>
      </c>
      <c r="B18" s="1831" t="s">
        <v>4535</v>
      </c>
      <c r="C18" s="1085" t="e">
        <f>'SOF2122-SB1'!K53</f>
        <v>#DIV/0!</v>
      </c>
      <c r="D18" s="1085" t="e">
        <f>'SOF2122-SB1'!M53</f>
        <v>#DIV/0!</v>
      </c>
      <c r="E18" s="1085" t="e">
        <f>C18-D18</f>
        <v>#DIV/0!</v>
      </c>
    </row>
    <row r="19" spans="1:5" s="1076" customFormat="1" ht="15">
      <c r="A19" s="1816">
        <v>12</v>
      </c>
      <c r="B19" s="1831" t="s">
        <v>7111</v>
      </c>
      <c r="C19" s="1085">
        <f>IFA!AD86</f>
        <v>0</v>
      </c>
      <c r="D19" s="1085">
        <f>IFA!AE86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Costs-ASATR'!AQ57="Y",'Option Costs-ASATR'!AS106,'Option Costs-ASATR'!AW106)</f>
        <v>#DIV/0!</v>
      </c>
      <c r="D21" s="1085" t="e">
        <f>IF('Option Costs-15K-ASATR'!AQ57="Y",'Option Costs-15K-ASATR'!AS106,'Option Costs-15K-ASATR'!AW106)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3667" t="s">
        <v>7716</v>
      </c>
    </row>
    <row r="33" spans="1:3" ht="15.75">
      <c r="A33" s="1829"/>
      <c r="B33" s="1817" t="s">
        <v>3268</v>
      </c>
      <c r="C33" s="1834"/>
    </row>
    <row r="34" spans="1:3" ht="15">
      <c r="A34" s="1816">
        <v>1</v>
      </c>
      <c r="B34" s="1819" t="s">
        <v>7717</v>
      </c>
      <c r="C34" s="1085">
        <f>'Data Entry - SOF'!M53</f>
        <v>0</v>
      </c>
    </row>
    <row r="35" spans="1:3" ht="15">
      <c r="A35" s="1816">
        <v>2</v>
      </c>
      <c r="B35" s="1819" t="s">
        <v>7718</v>
      </c>
      <c r="C35" s="1085">
        <f>'Data Entry - SOF'!M55</f>
        <v>0</v>
      </c>
    </row>
    <row r="36" spans="1:3" ht="15">
      <c r="A36" s="1816">
        <v>3</v>
      </c>
      <c r="B36" s="1819" t="s">
        <v>4580</v>
      </c>
      <c r="C36" s="1085">
        <f>'Data Entry - SOF'!M74</f>
        <v>0</v>
      </c>
    </row>
    <row r="37" spans="1:3" ht="15.75">
      <c r="A37" s="1832"/>
      <c r="B37" s="1820" t="s">
        <v>4726</v>
      </c>
      <c r="C37" s="1834"/>
    </row>
    <row r="38" spans="1:3" ht="15">
      <c r="A38" s="1816">
        <v>4</v>
      </c>
      <c r="B38" s="2237" t="s">
        <v>4516</v>
      </c>
      <c r="C38" s="1085">
        <f>IFA!AB86</f>
        <v>0</v>
      </c>
    </row>
    <row r="39" spans="1:3" ht="15">
      <c r="A39" s="1816">
        <v>5</v>
      </c>
      <c r="B39" s="2237" t="s">
        <v>4517</v>
      </c>
      <c r="C39" s="1085">
        <f>'Existing Debt'!Q74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IFA!AC86</f>
        <v>0</v>
      </c>
    </row>
    <row r="45" spans="1:3" ht="15">
      <c r="A45" s="1816">
        <v>10</v>
      </c>
      <c r="B45" s="2237" t="s">
        <v>4519</v>
      </c>
      <c r="C45" s="1085">
        <f>'Existing Debt'!R74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SOF'!M63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72" customWidth="1"/>
    <col min="4" max="4" width="29.42578125" style="72" customWidth="1"/>
    <col min="5" max="5" width="25.7109375" style="72" customWidth="1"/>
  </cols>
  <sheetData>
    <row r="1" spans="1:5">
      <c r="A1" s="47" t="s">
        <v>4495</v>
      </c>
    </row>
    <row r="2" spans="1:5">
      <c r="A2" s="47"/>
    </row>
    <row r="3" spans="1:5">
      <c r="C3" s="75" t="s">
        <v>7733</v>
      </c>
      <c r="D3" s="75" t="str">
        <f>C3</f>
        <v>2022-23</v>
      </c>
      <c r="E3" s="75" t="str">
        <f>D3</f>
        <v>2022-23</v>
      </c>
    </row>
    <row r="4" spans="1:5">
      <c r="C4" s="117" t="s">
        <v>4476</v>
      </c>
      <c r="D4" s="117" t="s">
        <v>4477</v>
      </c>
      <c r="E4" s="194" t="s">
        <v>4467</v>
      </c>
    </row>
    <row r="5" spans="1:5">
      <c r="A5" t="s">
        <v>4466</v>
      </c>
      <c r="C5" s="1537">
        <f>'Data Entry - SOF'!O108</f>
        <v>0</v>
      </c>
      <c r="D5" s="1537">
        <f>'Calc Data-SB1'!BB30</f>
        <v>0</v>
      </c>
      <c r="E5" s="1537">
        <f>D5-C5</f>
        <v>0</v>
      </c>
    </row>
    <row r="6" spans="1:5">
      <c r="A6" t="s">
        <v>1148</v>
      </c>
      <c r="C6" s="424">
        <f>'Calc Data-SB1'!I19</f>
        <v>0</v>
      </c>
      <c r="D6" s="424">
        <f>'Calc Data-SB1'!BB19</f>
        <v>0</v>
      </c>
      <c r="E6" s="424"/>
    </row>
    <row r="8" spans="1:5">
      <c r="A8" t="s">
        <v>576</v>
      </c>
      <c r="C8" s="1761">
        <f>'SOF2223-SB1'!F44</f>
        <v>0</v>
      </c>
      <c r="D8" s="1761">
        <f>'SOF2223-SB1'!H44</f>
        <v>0</v>
      </c>
      <c r="E8" s="1761">
        <f>D8-C8</f>
        <v>0</v>
      </c>
    </row>
    <row r="9" spans="1:5">
      <c r="A9" t="s">
        <v>4468</v>
      </c>
      <c r="C9" s="1761">
        <f>'SOF2223-SB1'!F45</f>
        <v>0</v>
      </c>
      <c r="D9" s="1761">
        <f>'SOF2223-SB1'!H45</f>
        <v>0</v>
      </c>
      <c r="E9" s="1761">
        <f>D9-C9</f>
        <v>0</v>
      </c>
    </row>
    <row r="10" spans="1:5">
      <c r="A10" t="s">
        <v>2829</v>
      </c>
      <c r="C10" s="1762">
        <f>'SOF2223-SB1'!F46</f>
        <v>0</v>
      </c>
      <c r="D10" s="1762">
        <f>'SOF2223-SB1'!H46</f>
        <v>0</v>
      </c>
      <c r="E10" s="1762">
        <f>IF(D10-C10&lt;0,0,D10-C10)</f>
        <v>0</v>
      </c>
    </row>
    <row r="11" spans="1:5">
      <c r="C11" s="1763"/>
      <c r="D11" s="1763"/>
      <c r="E11" s="1763"/>
    </row>
    <row r="12" spans="1:5">
      <c r="A12" t="s">
        <v>2262</v>
      </c>
      <c r="C12" s="1763" t="e">
        <f>'ASATR-SB1'!Q24</f>
        <v>#DIV/0!</v>
      </c>
      <c r="D12" s="1763" t="e">
        <f>'ASATR-SB1'!Q39</f>
        <v>#DIV/0!</v>
      </c>
      <c r="E12" s="1767" t="e">
        <f>C12-D12</f>
        <v>#DIV/0!</v>
      </c>
    </row>
    <row r="13" spans="1:5">
      <c r="C13" s="1763"/>
      <c r="D13" s="1763"/>
      <c r="E13" s="1763"/>
    </row>
    <row r="14" spans="1:5">
      <c r="A14" t="s">
        <v>1447</v>
      </c>
      <c r="C14" s="1763" t="s">
        <v>1994</v>
      </c>
      <c r="D14" s="1763" t="s">
        <v>1994</v>
      </c>
      <c r="E14" s="1767">
        <v>0</v>
      </c>
    </row>
    <row r="15" spans="1:5">
      <c r="C15" s="1763"/>
      <c r="D15" s="1763"/>
      <c r="E15" s="1761"/>
    </row>
    <row r="16" spans="1:5">
      <c r="A16" s="283" t="s">
        <v>4471</v>
      </c>
      <c r="B16" s="57"/>
      <c r="C16" s="1768"/>
      <c r="D16" s="1769"/>
      <c r="E16" s="1764" t="e">
        <f>E10+E12+E14</f>
        <v>#DIV/0!</v>
      </c>
    </row>
    <row r="18" spans="1:5">
      <c r="A18" s="60" t="s">
        <v>4469</v>
      </c>
      <c r="C18" s="456">
        <f>'Calc Data-SB1'!I36</f>
        <v>0</v>
      </c>
      <c r="D18" s="456">
        <f>'Calc Data-SB1'!BB28</f>
        <v>0</v>
      </c>
      <c r="E18" s="1537">
        <f>D18-C18</f>
        <v>0</v>
      </c>
    </row>
    <row r="19" spans="1:5">
      <c r="A19" s="283" t="s">
        <v>4470</v>
      </c>
      <c r="B19" s="57"/>
      <c r="C19" s="1768" t="e">
        <f>'SOF2223-SB1'!F53</f>
        <v>#DIV/0!</v>
      </c>
      <c r="D19" s="1769" t="e">
        <f>'SOF2223-SB1'!H53</f>
        <v>#DIV/0!</v>
      </c>
      <c r="E19" s="1765" t="e">
        <f>D19-C19</f>
        <v>#DIV/0!</v>
      </c>
    </row>
    <row r="21" spans="1:5">
      <c r="A21" s="283" t="s">
        <v>4474</v>
      </c>
      <c r="B21" s="57"/>
      <c r="C21" s="1770" t="e">
        <f>'Option Costs-HB3646'!BC54</f>
        <v>#DIV/0!</v>
      </c>
      <c r="D21" s="1771" t="e">
        <f>'Option Costs-HB3646'!BC85</f>
        <v>#DIV/0!</v>
      </c>
      <c r="E21" s="1765" t="e">
        <f>C21-D21</f>
        <v>#DIV/0!</v>
      </c>
    </row>
    <row r="24" spans="1:5">
      <c r="A24" s="47" t="s">
        <v>4472</v>
      </c>
      <c r="E24" s="1764" t="e">
        <f>E16+E19+E21</f>
        <v>#DIV/0!</v>
      </c>
    </row>
    <row r="27" spans="1:5">
      <c r="A27" s="1074" t="s">
        <v>7109</v>
      </c>
    </row>
    <row r="28" spans="1:5">
      <c r="A28" s="1074" t="s">
        <v>4478</v>
      </c>
    </row>
    <row r="29" spans="1:5">
      <c r="A29" s="1074" t="s">
        <v>4479</v>
      </c>
    </row>
    <row r="30" spans="1:5">
      <c r="A30" s="1074" t="s">
        <v>7110</v>
      </c>
    </row>
    <row r="33" spans="1:1">
      <c r="A33" s="1802" t="s">
        <v>7108</v>
      </c>
    </row>
    <row r="34" spans="1:1">
      <c r="A34" s="1802"/>
    </row>
    <row r="35" spans="1:1" ht="15" customHeight="1">
      <c r="A35" s="4624" t="s">
        <v>7106</v>
      </c>
    </row>
    <row r="36" spans="1:1" ht="15" customHeight="1">
      <c r="A36" s="4624" t="s">
        <v>8015</v>
      </c>
    </row>
    <row r="37" spans="1:1" ht="15" customHeight="1">
      <c r="A37" s="4624" t="s">
        <v>7107</v>
      </c>
    </row>
  </sheetData>
  <sheetProtection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2.75"/>
  <cols>
    <col min="1" max="1" width="9.140625" style="89" customWidth="1"/>
    <col min="2" max="2" width="86" style="47" customWidth="1"/>
    <col min="3" max="3" width="4.140625" style="47" customWidth="1"/>
    <col min="4" max="4" width="20.7109375" style="47" customWidth="1"/>
    <col min="5" max="5" width="17.5703125" style="47" customWidth="1"/>
    <col min="6" max="12" width="9.140625" style="47" customWidth="1"/>
  </cols>
  <sheetData>
    <row r="1" spans="1:12">
      <c r="A1" t="s">
        <v>3266</v>
      </c>
      <c r="C1" s="1777"/>
      <c r="D1" s="1773" t="str">
        <f>'Report-SOF1819'!D1</f>
        <v>84th/85th Legislative Session</v>
      </c>
    </row>
    <row r="2" spans="1:12">
      <c r="A2" s="1074" t="s">
        <v>3265</v>
      </c>
      <c r="D2" s="98" t="str">
        <f>'Report-SOF1920'!D2</f>
        <v>Release 2</v>
      </c>
    </row>
    <row r="3" spans="1:12">
      <c r="D3" s="82">
        <f>'Report-SOF1920'!D3</f>
        <v>43145</v>
      </c>
    </row>
    <row r="4" spans="1:12" s="1076" customFormat="1" ht="15.75">
      <c r="A4" s="1075" t="s">
        <v>7915</v>
      </c>
      <c r="B4" s="961"/>
      <c r="C4" s="961"/>
      <c r="D4" s="961"/>
      <c r="E4" s="961"/>
      <c r="F4" s="961"/>
      <c r="G4" s="961"/>
      <c r="H4" s="961"/>
      <c r="I4" s="961"/>
      <c r="J4" s="961"/>
      <c r="K4" s="961"/>
      <c r="L4" s="961"/>
    </row>
    <row r="5" spans="1:12" s="1076" customFormat="1" ht="15.75">
      <c r="A5" s="1077">
        <f>'Data Entry - SOF'!B1</f>
        <v>0</v>
      </c>
      <c r="B5" s="961"/>
      <c r="C5" s="961"/>
      <c r="D5" s="961"/>
      <c r="E5" s="961"/>
      <c r="F5" s="961"/>
      <c r="G5" s="961"/>
      <c r="H5" s="961"/>
      <c r="I5" s="961"/>
      <c r="J5" s="961"/>
      <c r="K5" s="961"/>
      <c r="L5" s="961"/>
    </row>
    <row r="6" spans="1:12" s="1076" customFormat="1" ht="15.75">
      <c r="A6" s="1075">
        <f>'Data Entry - SOF'!B2</f>
        <v>0</v>
      </c>
      <c r="B6" s="961"/>
      <c r="C6" s="961"/>
      <c r="D6" s="961"/>
      <c r="E6" s="961"/>
      <c r="F6" s="961"/>
      <c r="G6" s="961"/>
      <c r="H6" s="961"/>
      <c r="I6" s="961"/>
      <c r="J6" s="961"/>
      <c r="K6" s="961"/>
      <c r="L6" s="961"/>
    </row>
    <row r="7" spans="1:12" s="1076" customFormat="1" ht="15.75">
      <c r="A7" s="1075"/>
      <c r="B7" s="961"/>
      <c r="C7" s="961"/>
      <c r="D7" s="961"/>
      <c r="E7" s="961"/>
      <c r="F7" s="961"/>
      <c r="G7" s="961"/>
      <c r="H7" s="961"/>
      <c r="I7" s="961"/>
      <c r="J7" s="961"/>
      <c r="K7" s="961"/>
      <c r="L7" s="961"/>
    </row>
    <row r="8" spans="1:12" s="1076" customFormat="1" ht="15.75">
      <c r="A8" s="1075"/>
      <c r="B8" s="1515" t="s">
        <v>7916</v>
      </c>
      <c r="C8" s="1478"/>
      <c r="D8" s="1479" t="e">
        <f>'ASATR-SB1'!Q42</f>
        <v>#DIV/0!</v>
      </c>
      <c r="E8" s="961"/>
      <c r="F8" s="961"/>
      <c r="G8" s="961"/>
      <c r="H8" s="961"/>
      <c r="I8" s="961"/>
      <c r="J8" s="961"/>
      <c r="K8" s="961"/>
      <c r="L8" s="961"/>
    </row>
    <row r="9" spans="1:12" s="1076" customFormat="1" ht="18">
      <c r="A9" s="3402" t="s">
        <v>3107</v>
      </c>
      <c r="B9" s="2183"/>
      <c r="C9" s="2183"/>
      <c r="D9" s="1279" t="s">
        <v>3115</v>
      </c>
      <c r="E9" s="961"/>
      <c r="F9" s="961"/>
      <c r="G9" s="961"/>
      <c r="H9" s="961"/>
      <c r="I9" s="961"/>
      <c r="J9" s="961"/>
      <c r="K9" s="961"/>
      <c r="L9" s="961"/>
    </row>
    <row r="10" spans="1:12" s="1076" customFormat="1" ht="18">
      <c r="A10" s="3638" t="s">
        <v>3108</v>
      </c>
      <c r="B10" s="3654"/>
      <c r="C10" s="3639"/>
      <c r="D10" s="1280" t="s">
        <v>3116</v>
      </c>
      <c r="E10" s="961"/>
      <c r="F10" s="961"/>
      <c r="G10" s="961"/>
      <c r="H10" s="961"/>
      <c r="I10" s="961"/>
      <c r="J10" s="961"/>
      <c r="K10" s="961"/>
      <c r="L10" s="961"/>
    </row>
    <row r="11" spans="1:12" s="1076" customFormat="1" ht="15.75">
      <c r="A11" s="1079" t="s">
        <v>2501</v>
      </c>
      <c r="B11" s="1080" t="s">
        <v>3109</v>
      </c>
      <c r="C11" s="1080"/>
      <c r="D11" s="1081">
        <f>'SOF2223-SB1'!F8</f>
        <v>0</v>
      </c>
      <c r="E11" s="961"/>
      <c r="F11" s="961"/>
      <c r="G11" s="961"/>
      <c r="H11" s="961"/>
      <c r="I11" s="961"/>
      <c r="J11" s="961"/>
      <c r="K11" s="961"/>
      <c r="L11" s="961"/>
    </row>
    <row r="12" spans="1:12" s="1076" customFormat="1" ht="15.75">
      <c r="A12" s="1254" t="s">
        <v>2502</v>
      </c>
      <c r="B12" s="1080" t="s">
        <v>7909</v>
      </c>
      <c r="C12" s="416"/>
      <c r="D12" s="1081">
        <f>'Calc Data-SB1'!I10</f>
        <v>0</v>
      </c>
      <c r="E12" s="961"/>
      <c r="F12" s="961"/>
      <c r="G12" s="961"/>
      <c r="H12" s="961"/>
      <c r="I12" s="961"/>
      <c r="J12" s="961"/>
      <c r="K12" s="961"/>
      <c r="L12" s="961"/>
    </row>
    <row r="13" spans="1:12" s="1076" customFormat="1" ht="15.75">
      <c r="A13" s="1254" t="s">
        <v>2503</v>
      </c>
      <c r="B13" s="4107" t="s">
        <v>7995</v>
      </c>
      <c r="C13" s="416"/>
      <c r="D13" s="1081">
        <f>'SOF2223-SB1'!F9</f>
        <v>0</v>
      </c>
      <c r="E13" s="961"/>
      <c r="F13" s="961"/>
      <c r="G13" s="961"/>
      <c r="H13" s="961"/>
      <c r="I13" s="961"/>
      <c r="J13" s="961"/>
      <c r="K13" s="961"/>
      <c r="L13" s="961"/>
    </row>
    <row r="14" spans="1:12" s="1076" customFormat="1" ht="15.75">
      <c r="A14" s="1254" t="s">
        <v>1024</v>
      </c>
      <c r="B14" s="1080" t="s">
        <v>932</v>
      </c>
      <c r="C14" s="416"/>
      <c r="D14" s="1081">
        <f>'SOF2223-SB1'!F10</f>
        <v>0</v>
      </c>
      <c r="E14" s="961"/>
      <c r="F14" s="961"/>
      <c r="G14" s="961"/>
      <c r="H14" s="961"/>
      <c r="I14" s="961"/>
      <c r="J14" s="961"/>
      <c r="K14" s="961"/>
      <c r="L14" s="961"/>
    </row>
    <row r="15" spans="1:12" s="1076" customFormat="1" ht="15.75">
      <c r="A15" s="1079" t="s">
        <v>1025</v>
      </c>
      <c r="B15" s="1080" t="s">
        <v>715</v>
      </c>
      <c r="C15" s="1080"/>
      <c r="D15" s="1081">
        <f>'Data Entry - SOF'!O33</f>
        <v>0</v>
      </c>
      <c r="E15" s="961"/>
      <c r="F15" s="961"/>
      <c r="G15" s="961"/>
      <c r="H15" s="961"/>
      <c r="I15" s="961"/>
      <c r="J15" s="961"/>
      <c r="K15" s="961"/>
      <c r="L15" s="961"/>
    </row>
    <row r="16" spans="1:12" s="1076" customFormat="1" ht="15.75">
      <c r="A16" s="1079" t="s">
        <v>1027</v>
      </c>
      <c r="B16" s="1080" t="s">
        <v>3111</v>
      </c>
      <c r="C16" s="1080"/>
      <c r="D16" s="1081">
        <f>'Data Entry - SOF'!O18</f>
        <v>0</v>
      </c>
      <c r="E16" s="961"/>
      <c r="F16" s="961"/>
      <c r="G16" s="961"/>
      <c r="H16" s="961"/>
      <c r="I16" s="961"/>
      <c r="J16" s="961"/>
      <c r="K16" s="961"/>
      <c r="L16" s="961"/>
    </row>
    <row r="17" spans="1:12" s="1076" customFormat="1" ht="15.75">
      <c r="A17" s="1079" t="s">
        <v>1028</v>
      </c>
      <c r="B17" s="1689" t="s">
        <v>3985</v>
      </c>
      <c r="C17" s="1080"/>
      <c r="D17" s="1081" t="e">
        <f>'Calc Data-SB1'!I25</f>
        <v>#DIV/0!</v>
      </c>
      <c r="E17" s="961"/>
      <c r="F17" s="961"/>
      <c r="G17" s="961"/>
      <c r="H17" s="961"/>
      <c r="I17" s="961"/>
      <c r="J17" s="961"/>
      <c r="K17" s="961"/>
      <c r="L17" s="961"/>
    </row>
    <row r="18" spans="1:12" s="1076" customFormat="1" ht="15.75">
      <c r="A18" s="1079" t="s">
        <v>1029</v>
      </c>
      <c r="B18" s="1080" t="s">
        <v>3112</v>
      </c>
      <c r="C18" s="1080"/>
      <c r="D18" s="1081">
        <f>'Report-SOF2122'!D11</f>
        <v>0</v>
      </c>
      <c r="E18" s="961"/>
      <c r="F18" s="961"/>
      <c r="G18" s="961"/>
      <c r="H18" s="961"/>
      <c r="I18" s="961"/>
      <c r="J18" s="961"/>
      <c r="K18" s="961"/>
      <c r="L18" s="961"/>
    </row>
    <row r="19" spans="1:12" s="1076" customFormat="1" ht="15.75">
      <c r="A19" s="1079" t="s">
        <v>139</v>
      </c>
      <c r="B19" s="1080" t="s">
        <v>3113</v>
      </c>
      <c r="C19" s="1080"/>
      <c r="D19" s="1081">
        <f>'Data Entry - SOF'!O68</f>
        <v>0</v>
      </c>
      <c r="E19" s="961"/>
      <c r="F19" s="961"/>
      <c r="G19" s="961"/>
      <c r="H19" s="961"/>
      <c r="I19" s="961"/>
      <c r="J19" s="961"/>
      <c r="K19" s="961"/>
      <c r="L19" s="961"/>
    </row>
    <row r="20" spans="1:12" s="1076" customFormat="1" ht="15.75">
      <c r="A20" s="1079" t="s">
        <v>140</v>
      </c>
      <c r="B20" s="1080" t="s">
        <v>3114</v>
      </c>
      <c r="C20" s="1080"/>
      <c r="D20" s="1081">
        <f>'Data Entry - SOF'!O67</f>
        <v>0</v>
      </c>
      <c r="E20" s="961"/>
      <c r="F20" s="961"/>
      <c r="G20" s="961"/>
      <c r="H20" s="961"/>
      <c r="I20" s="961"/>
      <c r="J20" s="961"/>
      <c r="K20" s="961"/>
      <c r="L20" s="961"/>
    </row>
    <row r="21" spans="1:12" s="1076" customFormat="1" ht="18">
      <c r="A21" s="3638" t="s">
        <v>3117</v>
      </c>
      <c r="B21" s="3654"/>
      <c r="C21" s="3654"/>
      <c r="D21" s="3639"/>
      <c r="E21" s="961"/>
      <c r="F21" s="961"/>
      <c r="G21" s="961"/>
      <c r="H21" s="961"/>
      <c r="I21" s="961"/>
      <c r="J21" s="961"/>
      <c r="K21" s="961"/>
      <c r="L21" s="961"/>
    </row>
    <row r="22" spans="1:12" s="1076" customFormat="1" ht="15.75">
      <c r="A22" s="1079" t="s">
        <v>141</v>
      </c>
      <c r="B22" s="1080" t="s">
        <v>3118</v>
      </c>
      <c r="C22" s="1080"/>
      <c r="D22" s="1082">
        <f>'Data Entry - SOF'!O44</f>
        <v>0</v>
      </c>
      <c r="E22" s="961"/>
      <c r="F22" s="961"/>
      <c r="G22" s="961"/>
      <c r="H22" s="961"/>
      <c r="I22" s="961"/>
      <c r="J22" s="961"/>
      <c r="K22" s="961"/>
      <c r="L22" s="961"/>
    </row>
    <row r="23" spans="1:12" s="1076" customFormat="1" ht="15.75">
      <c r="A23" s="1079" t="s">
        <v>142</v>
      </c>
      <c r="B23" s="1080" t="s">
        <v>3119</v>
      </c>
      <c r="C23" s="1080"/>
      <c r="D23" s="1082">
        <f>'Data Entry - SOF'!O45</f>
        <v>0</v>
      </c>
      <c r="E23" s="961"/>
      <c r="F23" s="961"/>
      <c r="G23" s="961"/>
      <c r="H23" s="961"/>
      <c r="I23" s="961"/>
      <c r="J23" s="961"/>
      <c r="K23" s="961"/>
      <c r="L23" s="961"/>
    </row>
    <row r="24" spans="1:12" s="1076" customFormat="1" ht="18">
      <c r="A24" s="3638" t="s">
        <v>3120</v>
      </c>
      <c r="B24" s="3654"/>
      <c r="C24" s="3654"/>
      <c r="D24" s="3639"/>
      <c r="E24" s="961"/>
      <c r="F24" s="961"/>
      <c r="G24" s="961"/>
      <c r="H24" s="961"/>
      <c r="I24" s="961"/>
      <c r="J24" s="961"/>
      <c r="K24" s="961"/>
      <c r="L24" s="961"/>
    </row>
    <row r="25" spans="1:12" s="1076" customFormat="1" ht="15.75">
      <c r="A25" s="1079" t="s">
        <v>1706</v>
      </c>
      <c r="B25" s="1080" t="s">
        <v>4674</v>
      </c>
      <c r="C25" s="1080"/>
      <c r="D25" s="1224" t="s">
        <v>3450</v>
      </c>
      <c r="E25" s="961"/>
      <c r="F25" s="961"/>
      <c r="G25" s="961"/>
      <c r="H25" s="961"/>
      <c r="I25" s="961"/>
      <c r="J25" s="961"/>
      <c r="K25" s="961"/>
      <c r="L25" s="961"/>
    </row>
    <row r="26" spans="1:12" s="1076" customFormat="1" ht="15.75">
      <c r="A26" s="1079" t="s">
        <v>6</v>
      </c>
      <c r="B26" s="1080" t="s">
        <v>4675</v>
      </c>
      <c r="C26" s="1080"/>
      <c r="D26" s="1083">
        <f>'Data Entry - SOF'!O48</f>
        <v>0</v>
      </c>
      <c r="E26" s="961"/>
      <c r="F26" s="961"/>
      <c r="G26" s="961"/>
      <c r="H26" s="961"/>
      <c r="I26" s="961"/>
      <c r="J26" s="961"/>
      <c r="K26" s="961"/>
      <c r="L26" s="961"/>
    </row>
    <row r="27" spans="1:12" s="1076" customFormat="1" ht="18">
      <c r="A27" s="3638" t="s">
        <v>3121</v>
      </c>
      <c r="B27" s="3654"/>
      <c r="C27" s="3654"/>
      <c r="D27" s="3639"/>
      <c r="E27" s="961"/>
      <c r="F27" s="961"/>
      <c r="G27" s="961"/>
      <c r="H27" s="961"/>
      <c r="I27" s="961"/>
      <c r="J27" s="961"/>
      <c r="K27" s="961"/>
      <c r="L27" s="961"/>
    </row>
    <row r="28" spans="1:12" s="1076" customFormat="1" ht="15.75">
      <c r="A28" s="1079" t="s">
        <v>2551</v>
      </c>
      <c r="B28" s="1080" t="s">
        <v>3124</v>
      </c>
      <c r="C28" s="1078"/>
      <c r="D28" s="1084">
        <f>'Data Entry - SOF'!C113</f>
        <v>0</v>
      </c>
      <c r="E28" s="961"/>
      <c r="F28" s="961"/>
      <c r="G28" s="961"/>
      <c r="H28" s="961"/>
      <c r="I28" s="961"/>
      <c r="J28" s="961"/>
      <c r="K28" s="961"/>
      <c r="L28" s="961"/>
    </row>
    <row r="29" spans="1:12" s="1076" customFormat="1" ht="15.75">
      <c r="A29" s="1079" t="s">
        <v>2552</v>
      </c>
      <c r="B29" s="1080" t="s">
        <v>7917</v>
      </c>
      <c r="C29" s="1078"/>
      <c r="D29" s="1084">
        <f>'Data Entry - SOF'!O108</f>
        <v>0</v>
      </c>
      <c r="E29" s="961"/>
      <c r="F29" s="961"/>
      <c r="G29" s="961"/>
      <c r="H29" s="961"/>
      <c r="I29" s="961"/>
      <c r="J29" s="961"/>
      <c r="K29" s="961"/>
      <c r="L29" s="961"/>
    </row>
    <row r="30" spans="1:12" s="1076" customFormat="1" ht="15.75">
      <c r="A30" s="1079" t="s">
        <v>3122</v>
      </c>
      <c r="B30" s="1080" t="s">
        <v>3125</v>
      </c>
      <c r="C30" s="1078"/>
      <c r="D30" s="1224" t="s">
        <v>3450</v>
      </c>
      <c r="E30" s="961"/>
      <c r="F30" s="961"/>
      <c r="G30" s="961"/>
      <c r="H30" s="961"/>
      <c r="I30" s="961"/>
      <c r="J30" s="961"/>
      <c r="K30" s="961"/>
      <c r="L30" s="961"/>
    </row>
    <row r="31" spans="1:12" s="1076" customFormat="1" ht="15.75">
      <c r="A31" s="1079" t="s">
        <v>3123</v>
      </c>
      <c r="B31" s="1080" t="s">
        <v>7918</v>
      </c>
      <c r="C31" s="1078"/>
      <c r="D31" s="1084">
        <f>'Data Entry - SOF'!O58</f>
        <v>0</v>
      </c>
      <c r="E31" s="961"/>
      <c r="F31" s="961"/>
      <c r="G31" s="961"/>
      <c r="H31" s="961"/>
      <c r="I31" s="961"/>
      <c r="J31" s="961"/>
      <c r="K31" s="961"/>
      <c r="L31" s="961"/>
    </row>
    <row r="32" spans="1:12" s="1076" customFormat="1" ht="15.75">
      <c r="A32" s="1079" t="s">
        <v>3126</v>
      </c>
      <c r="B32" s="1689" t="s">
        <v>7997</v>
      </c>
      <c r="C32" s="1080"/>
      <c r="D32" s="1085">
        <f>'Data Entry - SOF'!O59</f>
        <v>0</v>
      </c>
      <c r="E32" s="961"/>
      <c r="F32" s="961"/>
      <c r="G32" s="961"/>
      <c r="H32" s="961"/>
      <c r="I32" s="961"/>
      <c r="J32" s="961"/>
      <c r="K32" s="961"/>
      <c r="L32" s="961"/>
    </row>
    <row r="33" spans="1:12" s="1076" customFormat="1" ht="15.75">
      <c r="A33" s="1079" t="s">
        <v>3127</v>
      </c>
      <c r="B33" s="1080" t="s">
        <v>7919</v>
      </c>
      <c r="C33" s="1080"/>
      <c r="D33" s="1085">
        <f>'Data Entry - SOF'!O63</f>
        <v>0</v>
      </c>
      <c r="E33" s="961"/>
      <c r="F33" s="961"/>
      <c r="G33" s="961"/>
      <c r="H33" s="961"/>
      <c r="I33" s="961"/>
      <c r="J33" s="961"/>
      <c r="K33" s="961"/>
      <c r="L33" s="961"/>
    </row>
    <row r="34" spans="1:12" s="1076" customFormat="1" ht="15.75">
      <c r="A34" s="1079" t="s">
        <v>3128</v>
      </c>
      <c r="B34" s="1080" t="s">
        <v>7920</v>
      </c>
      <c r="C34" s="1080"/>
      <c r="D34" s="1085">
        <f>'Data Entry - SOF'!O153</f>
        <v>0</v>
      </c>
      <c r="E34" s="961"/>
      <c r="F34" s="961"/>
      <c r="G34" s="961"/>
      <c r="H34" s="961"/>
      <c r="I34" s="961"/>
      <c r="J34" s="961"/>
      <c r="K34" s="961"/>
      <c r="L34" s="961"/>
    </row>
    <row r="35" spans="1:12" s="1076" customFormat="1" ht="15.75">
      <c r="A35" s="1079" t="s">
        <v>3129</v>
      </c>
      <c r="B35" s="1080" t="s">
        <v>7921</v>
      </c>
      <c r="C35" s="1080"/>
      <c r="D35" s="1085">
        <f>'Data Entry - SOF'!O69</f>
        <v>0</v>
      </c>
      <c r="E35" s="961"/>
      <c r="F35" s="961"/>
      <c r="G35" s="961"/>
      <c r="H35" s="961"/>
      <c r="I35" s="961"/>
      <c r="J35" s="961"/>
      <c r="K35" s="961"/>
      <c r="L35" s="961"/>
    </row>
    <row r="36" spans="1:12" s="1076" customFormat="1" ht="18">
      <c r="A36" s="3638" t="s">
        <v>3130</v>
      </c>
      <c r="B36" s="3654"/>
      <c r="C36" s="3654"/>
      <c r="D36" s="3639"/>
      <c r="E36" s="961"/>
      <c r="F36" s="961"/>
      <c r="G36" s="961"/>
      <c r="H36" s="961"/>
      <c r="I36" s="961"/>
      <c r="J36" s="961"/>
      <c r="K36" s="961"/>
      <c r="L36" s="961"/>
    </row>
    <row r="37" spans="1:12" s="1076" customFormat="1" ht="15.75">
      <c r="A37" s="1301" t="s">
        <v>3131</v>
      </c>
      <c r="B37" s="1689" t="s">
        <v>7998</v>
      </c>
      <c r="C37" s="1099"/>
      <c r="D37" s="1807">
        <f>'Calc Data-SB1'!BB23</f>
        <v>0</v>
      </c>
      <c r="E37" s="961"/>
      <c r="F37" s="961"/>
      <c r="G37" s="961"/>
      <c r="H37" s="961"/>
      <c r="I37" s="961"/>
      <c r="J37" s="961"/>
      <c r="K37" s="961"/>
      <c r="L37" s="961"/>
    </row>
    <row r="38" spans="1:12" s="1076" customFormat="1" ht="15.75">
      <c r="A38" s="1079" t="s">
        <v>3132</v>
      </c>
      <c r="B38" s="1080" t="s">
        <v>3136</v>
      </c>
      <c r="C38" s="1080"/>
      <c r="D38" s="1197" t="e">
        <f>'ASATR-SB1'!Q46</f>
        <v>#DIV/0!</v>
      </c>
      <c r="E38" s="961"/>
      <c r="F38" s="961"/>
      <c r="G38" s="961"/>
      <c r="H38" s="961"/>
      <c r="I38" s="961"/>
      <c r="J38" s="961"/>
      <c r="K38" s="961"/>
      <c r="L38" s="961"/>
    </row>
    <row r="39" spans="1:12" s="1076" customFormat="1" ht="15.75">
      <c r="A39" s="1079" t="s">
        <v>3133</v>
      </c>
      <c r="B39" s="1080" t="s">
        <v>3183</v>
      </c>
      <c r="C39" s="1080"/>
      <c r="D39" s="1086">
        <f>'Data Entry - SOF'!O112</f>
        <v>0</v>
      </c>
      <c r="E39" s="961"/>
      <c r="F39" s="961"/>
      <c r="G39" s="961"/>
      <c r="H39" s="961"/>
      <c r="I39" s="961"/>
      <c r="J39" s="961"/>
      <c r="K39" s="961"/>
      <c r="L39" s="961"/>
    </row>
    <row r="40" spans="1:12" s="1076" customFormat="1" ht="15.75">
      <c r="A40" s="1079" t="s">
        <v>3134</v>
      </c>
      <c r="B40" s="1080" t="s">
        <v>3137</v>
      </c>
      <c r="C40" s="1080"/>
      <c r="D40" s="1086">
        <f>'Calc Data-SB1'!I59</f>
        <v>0</v>
      </c>
      <c r="E40" s="961"/>
      <c r="F40" s="961"/>
      <c r="G40" s="961"/>
      <c r="H40" s="961"/>
      <c r="I40" s="961"/>
      <c r="J40" s="961"/>
      <c r="K40" s="961"/>
      <c r="L40" s="961"/>
    </row>
    <row r="41" spans="1:12" s="1076" customFormat="1" ht="15.75">
      <c r="A41" s="1079" t="s">
        <v>3135</v>
      </c>
      <c r="B41" s="1080" t="s">
        <v>3138</v>
      </c>
      <c r="C41" s="1080"/>
      <c r="D41" s="1087">
        <f>Assumptions!G150</f>
        <v>375</v>
      </c>
      <c r="E41" s="961"/>
      <c r="F41" s="961"/>
      <c r="G41" s="961"/>
      <c r="H41" s="961"/>
      <c r="I41" s="961"/>
      <c r="J41" s="961"/>
      <c r="K41" s="961"/>
      <c r="L41" s="961"/>
    </row>
    <row r="42" spans="1:12" s="1076" customFormat="1" ht="18">
      <c r="A42" s="3638" t="s">
        <v>3139</v>
      </c>
      <c r="B42" s="3654"/>
      <c r="C42" s="3654"/>
      <c r="D42" s="3639"/>
      <c r="E42" s="961"/>
      <c r="F42" s="961"/>
      <c r="G42" s="961"/>
      <c r="H42" s="961"/>
      <c r="I42" s="961"/>
      <c r="J42" s="961"/>
      <c r="K42" s="961"/>
      <c r="L42" s="961"/>
    </row>
    <row r="43" spans="1:12" s="1076" customFormat="1" ht="18">
      <c r="A43" s="3644"/>
      <c r="B43" s="3660" t="s">
        <v>3159</v>
      </c>
      <c r="C43" s="3654"/>
      <c r="D43" s="3639"/>
      <c r="E43" s="961"/>
      <c r="F43" s="961"/>
      <c r="G43" s="961"/>
      <c r="H43" s="961"/>
      <c r="I43" s="961"/>
      <c r="J43" s="961"/>
      <c r="K43" s="961"/>
      <c r="L43" s="961"/>
    </row>
    <row r="44" spans="1:12" s="1076" customFormat="1" ht="15.75">
      <c r="A44" s="1079" t="s">
        <v>3140</v>
      </c>
      <c r="B44" s="1080" t="s">
        <v>3160</v>
      </c>
      <c r="C44" s="1080"/>
      <c r="D44" s="1085">
        <f>'SOF2223-SB1'!H21</f>
        <v>0</v>
      </c>
      <c r="E44" s="961"/>
      <c r="F44" s="961"/>
      <c r="G44" s="961"/>
      <c r="H44" s="961"/>
      <c r="I44" s="961"/>
      <c r="J44" s="961"/>
      <c r="K44" s="961"/>
      <c r="L44" s="961"/>
    </row>
    <row r="45" spans="1:12" s="1076" customFormat="1" ht="15.75">
      <c r="A45" s="1079" t="s">
        <v>3141</v>
      </c>
      <c r="B45" s="1080" t="s">
        <v>3746</v>
      </c>
      <c r="C45" s="1080"/>
      <c r="D45" s="1085">
        <f>'SOF2223-SB1'!H132</f>
        <v>0</v>
      </c>
      <c r="E45" s="961"/>
      <c r="F45" s="961"/>
      <c r="G45" s="961"/>
      <c r="H45" s="961"/>
      <c r="I45" s="961"/>
      <c r="J45" s="961"/>
      <c r="K45" s="961"/>
      <c r="L45" s="961"/>
    </row>
    <row r="46" spans="1:12" s="1076" customFormat="1" ht="15.75">
      <c r="A46" s="1079" t="s">
        <v>3142</v>
      </c>
      <c r="B46" s="1080" t="s">
        <v>3747</v>
      </c>
      <c r="C46" s="1080"/>
      <c r="D46" s="1085">
        <f>'SOF2223-SB1'!H133</f>
        <v>0</v>
      </c>
      <c r="E46" s="961"/>
      <c r="F46" s="961"/>
      <c r="G46" s="961"/>
      <c r="H46" s="961"/>
      <c r="I46" s="961"/>
      <c r="J46" s="961"/>
      <c r="K46" s="961"/>
      <c r="L46" s="961"/>
    </row>
    <row r="47" spans="1:12" s="1076" customFormat="1" ht="15.75">
      <c r="A47" s="1079" t="s">
        <v>3143</v>
      </c>
      <c r="B47" s="1080" t="s">
        <v>3748</v>
      </c>
      <c r="C47" s="1080"/>
      <c r="D47" s="1085">
        <f>'SOF2223-SB1'!H134</f>
        <v>0</v>
      </c>
      <c r="E47" s="961"/>
      <c r="F47" s="961"/>
      <c r="G47" s="961"/>
      <c r="H47" s="961"/>
      <c r="I47" s="961"/>
      <c r="J47" s="961"/>
      <c r="K47" s="961"/>
      <c r="L47" s="961"/>
    </row>
    <row r="48" spans="1:12" s="1076" customFormat="1" ht="15.75">
      <c r="A48" s="1079" t="s">
        <v>3144</v>
      </c>
      <c r="B48" s="1080" t="s">
        <v>7990</v>
      </c>
      <c r="C48" s="1080"/>
      <c r="D48" s="1085">
        <f>'SOF2223-SB1'!H135</f>
        <v>0</v>
      </c>
      <c r="E48" s="961"/>
      <c r="F48" s="961"/>
      <c r="G48" s="961"/>
      <c r="H48" s="961"/>
      <c r="I48" s="961"/>
      <c r="J48" s="961"/>
      <c r="K48" s="961"/>
      <c r="L48" s="961"/>
    </row>
    <row r="49" spans="1:12" s="1076" customFormat="1" ht="15.75">
      <c r="A49" s="1079" t="s">
        <v>3145</v>
      </c>
      <c r="B49" s="1080" t="s">
        <v>3749</v>
      </c>
      <c r="C49" s="1080"/>
      <c r="D49" s="1085">
        <f>'SOF2223-SB1'!H39</f>
        <v>0</v>
      </c>
      <c r="E49" s="961"/>
      <c r="F49" s="961"/>
      <c r="G49" s="961"/>
      <c r="H49" s="961"/>
      <c r="I49" s="961"/>
      <c r="J49" s="961"/>
      <c r="K49" s="961"/>
      <c r="L49" s="961"/>
    </row>
    <row r="50" spans="1:12" s="1076" customFormat="1" ht="15.75">
      <c r="A50" s="1079" t="s">
        <v>3146</v>
      </c>
      <c r="B50" s="1080" t="s">
        <v>3162</v>
      </c>
      <c r="C50" s="1080"/>
      <c r="D50" s="1085">
        <f>'SOF2223-SB1'!H41</f>
        <v>0</v>
      </c>
      <c r="E50" s="961"/>
      <c r="F50" s="961"/>
      <c r="G50" s="961"/>
      <c r="H50" s="961"/>
      <c r="I50" s="961"/>
      <c r="J50" s="961"/>
      <c r="K50" s="961"/>
      <c r="L50" s="961"/>
    </row>
    <row r="51" spans="1:12" s="1076" customFormat="1" ht="15.75">
      <c r="A51" s="1079" t="s">
        <v>3147</v>
      </c>
      <c r="B51" s="1080" t="s">
        <v>3173</v>
      </c>
      <c r="C51" s="1080"/>
      <c r="D51" s="1085">
        <f>'SOF2223-SB1'!H42</f>
        <v>0</v>
      </c>
      <c r="E51" s="961"/>
      <c r="F51" s="961"/>
      <c r="G51" s="961"/>
      <c r="H51" s="961"/>
      <c r="I51" s="961"/>
      <c r="J51" s="961"/>
      <c r="K51" s="961"/>
      <c r="L51" s="961"/>
    </row>
    <row r="52" spans="1:12" s="1076" customFormat="1" ht="15.75">
      <c r="A52" s="1079" t="s">
        <v>3148</v>
      </c>
      <c r="B52" s="1080" t="s">
        <v>7991</v>
      </c>
      <c r="C52" s="1080"/>
      <c r="D52" s="1085">
        <f>'SOF2223-SB1'!H43</f>
        <v>0</v>
      </c>
      <c r="E52" s="961"/>
      <c r="F52" s="961"/>
      <c r="G52" s="961"/>
      <c r="H52" s="961"/>
      <c r="I52" s="961"/>
      <c r="J52" s="961"/>
      <c r="K52" s="961"/>
      <c r="L52" s="961"/>
    </row>
    <row r="53" spans="1:12" s="1076" customFormat="1" ht="15.75">
      <c r="A53" s="1079" t="s">
        <v>3149</v>
      </c>
      <c r="B53" s="1080" t="s">
        <v>3164</v>
      </c>
      <c r="C53" s="1080"/>
      <c r="D53" s="1085">
        <f>'SOF2223-SB1'!H40</f>
        <v>0</v>
      </c>
      <c r="E53" s="961"/>
      <c r="F53" s="961"/>
      <c r="G53" s="961"/>
      <c r="H53" s="961"/>
      <c r="I53" s="961"/>
      <c r="J53" s="961"/>
      <c r="K53" s="961"/>
      <c r="L53" s="961"/>
    </row>
    <row r="54" spans="1:12" s="1076" customFormat="1" ht="15.75">
      <c r="A54" s="1079" t="s">
        <v>3150</v>
      </c>
      <c r="B54" s="1689" t="s">
        <v>7999</v>
      </c>
      <c r="C54" s="1080"/>
      <c r="D54" s="1085">
        <f>'SOF2223-SB1'!H44</f>
        <v>0</v>
      </c>
      <c r="E54" s="961"/>
      <c r="F54" s="961"/>
      <c r="G54" s="961"/>
      <c r="H54" s="961"/>
      <c r="I54" s="961"/>
      <c r="J54" s="961"/>
      <c r="K54" s="961"/>
      <c r="L54" s="961"/>
    </row>
    <row r="55" spans="1:12" s="1076" customFormat="1" ht="15.75">
      <c r="A55" s="1079" t="s">
        <v>3151</v>
      </c>
      <c r="B55" s="1080" t="s">
        <v>3165</v>
      </c>
      <c r="C55" s="1080"/>
      <c r="D55" s="1085">
        <f>'SOF2223-SB1'!H45</f>
        <v>0</v>
      </c>
      <c r="E55" s="961"/>
      <c r="F55" s="961"/>
      <c r="G55" s="961"/>
      <c r="H55" s="961"/>
      <c r="I55" s="961"/>
      <c r="J55" s="961"/>
      <c r="K55" s="961"/>
      <c r="L55" s="961"/>
    </row>
    <row r="56" spans="1:12" s="1076" customFormat="1" ht="15.75">
      <c r="A56" s="1079" t="s">
        <v>3152</v>
      </c>
      <c r="B56" s="1080" t="s">
        <v>889</v>
      </c>
      <c r="C56" s="1080"/>
      <c r="D56" s="1085">
        <f>'SOF2223-SB1'!H46</f>
        <v>0</v>
      </c>
      <c r="E56" s="961"/>
      <c r="F56" s="961"/>
      <c r="G56" s="961"/>
      <c r="H56" s="961"/>
      <c r="I56" s="961"/>
      <c r="J56" s="961"/>
      <c r="K56" s="961"/>
      <c r="L56" s="961"/>
    </row>
    <row r="57" spans="1:12" s="1076" customFormat="1" ht="15.75">
      <c r="A57" s="1079" t="s">
        <v>3153</v>
      </c>
      <c r="B57" s="1080" t="s">
        <v>3166</v>
      </c>
      <c r="C57" s="1080"/>
      <c r="D57" s="1085">
        <f>'SOF2223-SB1'!H76</f>
        <v>0</v>
      </c>
      <c r="E57" s="961"/>
      <c r="F57" s="961"/>
      <c r="G57" s="961"/>
      <c r="H57" s="961"/>
      <c r="I57" s="961"/>
      <c r="J57" s="961"/>
      <c r="K57" s="961"/>
      <c r="L57" s="961"/>
    </row>
    <row r="58" spans="1:12" s="1076" customFormat="1" ht="18">
      <c r="A58" s="3662" t="s">
        <v>3573</v>
      </c>
      <c r="B58" s="3663"/>
      <c r="C58" s="3663"/>
      <c r="D58" s="3647"/>
      <c r="E58" s="961"/>
      <c r="F58" s="961"/>
      <c r="G58" s="961"/>
      <c r="H58" s="961"/>
      <c r="I58" s="961"/>
      <c r="J58" s="961"/>
      <c r="K58" s="961"/>
      <c r="L58" s="961"/>
    </row>
    <row r="59" spans="1:12" s="1076" customFormat="1" ht="18">
      <c r="A59" s="3648" t="s">
        <v>3574</v>
      </c>
      <c r="B59" s="3653"/>
      <c r="C59" s="3653"/>
      <c r="D59" s="3649"/>
      <c r="E59" s="961"/>
      <c r="F59" s="961"/>
      <c r="G59" s="961"/>
      <c r="H59" s="961"/>
      <c r="I59" s="961"/>
      <c r="J59" s="961"/>
      <c r="K59" s="961"/>
      <c r="L59" s="961"/>
    </row>
    <row r="60" spans="1:12" s="1076" customFormat="1" ht="15.75">
      <c r="A60" s="1079" t="s">
        <v>3154</v>
      </c>
      <c r="B60" s="1080" t="s">
        <v>3167</v>
      </c>
      <c r="C60" s="1080"/>
      <c r="D60" s="1085">
        <f>'SOF2223-SB1'!H49</f>
        <v>0</v>
      </c>
      <c r="E60" s="961"/>
      <c r="F60" s="961"/>
      <c r="G60" s="961"/>
      <c r="H60" s="961"/>
      <c r="I60" s="961"/>
      <c r="J60" s="961"/>
      <c r="K60" s="961"/>
      <c r="L60" s="961"/>
    </row>
    <row r="61" spans="1:12" s="1076" customFormat="1" ht="15.75">
      <c r="A61" s="1079" t="s">
        <v>3155</v>
      </c>
      <c r="B61" s="1690" t="s">
        <v>8000</v>
      </c>
      <c r="C61" s="1080"/>
      <c r="D61" s="1085" t="e">
        <f>'SOF2223-SB1'!H54</f>
        <v>#DIV/0!</v>
      </c>
      <c r="E61" s="961"/>
      <c r="F61" s="961"/>
      <c r="G61" s="961"/>
      <c r="H61" s="961"/>
      <c r="I61" s="961"/>
      <c r="J61" s="961"/>
      <c r="K61" s="961"/>
      <c r="L61" s="961"/>
    </row>
    <row r="62" spans="1:12" s="1076" customFormat="1" ht="15.75">
      <c r="A62" s="1079" t="s">
        <v>3156</v>
      </c>
      <c r="B62" s="1689" t="s">
        <v>8001</v>
      </c>
      <c r="C62" s="1080"/>
      <c r="D62" s="1085" t="e">
        <f>'Report-Other2122'!D26</f>
        <v>#DIV/0!</v>
      </c>
      <c r="E62" s="961" t="s">
        <v>4711</v>
      </c>
      <c r="F62" s="961"/>
      <c r="G62" s="961"/>
      <c r="H62" s="961"/>
      <c r="I62" s="961"/>
      <c r="J62" s="961"/>
      <c r="K62" s="961"/>
      <c r="L62" s="961"/>
    </row>
    <row r="63" spans="1:12" s="1076" customFormat="1" ht="15.75">
      <c r="A63" s="1079" t="s">
        <v>3157</v>
      </c>
      <c r="B63" s="1080" t="str">
        <f>CONCATENATE("Less: Total Available School Fund ($",Assumptions!G123," * Prior Year ADA)")</f>
        <v>Less: Total Available School Fund ($200 * Prior Year ADA)</v>
      </c>
      <c r="C63" s="1080"/>
      <c r="D63" s="1085">
        <f>'SOF2223-SB1'!H71</f>
        <v>0</v>
      </c>
      <c r="E63" s="961"/>
      <c r="F63" s="961"/>
      <c r="G63" s="961"/>
      <c r="H63" s="961"/>
      <c r="I63" s="961"/>
      <c r="J63" s="961"/>
      <c r="K63" s="961"/>
      <c r="L63" s="961"/>
    </row>
    <row r="64" spans="1:12" s="1076" customFormat="1" ht="15.75">
      <c r="A64" s="1079" t="s">
        <v>3158</v>
      </c>
      <c r="B64" s="1080" t="s">
        <v>3168</v>
      </c>
      <c r="C64" s="1080"/>
      <c r="D64" s="1085" t="e">
        <f>'SOF2223-SB1'!H75+'HH2122-Calcs'!D26</f>
        <v>#DIV/0!</v>
      </c>
      <c r="E64" s="961"/>
      <c r="F64" s="961"/>
      <c r="G64" s="961"/>
      <c r="H64" s="961"/>
      <c r="I64" s="961"/>
      <c r="J64" s="961"/>
      <c r="K64" s="961"/>
      <c r="L64" s="961"/>
    </row>
    <row r="65" spans="1:12" s="1076" customFormat="1" ht="18">
      <c r="A65" s="3638" t="s">
        <v>3174</v>
      </c>
      <c r="B65" s="3654"/>
      <c r="C65" s="3654"/>
      <c r="D65" s="3639"/>
      <c r="E65" s="961"/>
      <c r="F65" s="961"/>
      <c r="G65" s="961"/>
      <c r="H65" s="961"/>
      <c r="I65" s="961"/>
      <c r="J65" s="961"/>
      <c r="K65" s="961"/>
      <c r="L65" s="961"/>
    </row>
    <row r="66" spans="1:12" s="1076" customFormat="1" ht="18">
      <c r="A66" s="3644"/>
      <c r="B66" s="3660" t="s">
        <v>3182</v>
      </c>
      <c r="C66" s="3654"/>
      <c r="D66" s="3639"/>
      <c r="E66" s="961"/>
      <c r="F66" s="961"/>
      <c r="G66" s="961"/>
      <c r="H66" s="961"/>
      <c r="I66" s="961"/>
      <c r="J66" s="961"/>
      <c r="K66" s="961"/>
      <c r="L66" s="961"/>
    </row>
    <row r="67" spans="1:12" s="1076" customFormat="1" ht="15.75">
      <c r="A67" s="1079" t="s">
        <v>3175</v>
      </c>
      <c r="B67" s="1080" t="s">
        <v>3181</v>
      </c>
      <c r="C67" s="1080"/>
      <c r="D67" s="1085" t="e">
        <f>'SOF2223-SB1'!H75+'HH2223-Calcs'!D26</f>
        <v>#DIV/0!</v>
      </c>
      <c r="E67" s="961"/>
      <c r="F67" s="961"/>
      <c r="G67" s="961"/>
      <c r="H67" s="961"/>
      <c r="I67" s="961"/>
      <c r="J67" s="961"/>
      <c r="K67" s="961"/>
      <c r="L67" s="961"/>
    </row>
    <row r="68" spans="1:12" s="1076" customFormat="1" ht="15.75">
      <c r="A68" s="1079" t="s">
        <v>3176</v>
      </c>
      <c r="B68" s="1080" t="s">
        <v>3484</v>
      </c>
      <c r="C68" s="1080"/>
      <c r="D68" s="1085">
        <f>'SOF2223-SB1'!H76</f>
        <v>0</v>
      </c>
      <c r="E68" s="961"/>
      <c r="F68" s="961"/>
      <c r="G68" s="961"/>
      <c r="H68" s="961"/>
      <c r="I68" s="961"/>
      <c r="J68" s="961"/>
      <c r="K68" s="961"/>
      <c r="L68" s="961"/>
    </row>
    <row r="69" spans="1:12" s="1076" customFormat="1" ht="15.75">
      <c r="A69" s="1079" t="s">
        <v>3177</v>
      </c>
      <c r="B69" s="1690" t="s">
        <v>8003</v>
      </c>
      <c r="C69" s="1080"/>
      <c r="D69" s="1085">
        <f>'Existing Debt'!S74</f>
        <v>0</v>
      </c>
      <c r="E69" s="961"/>
      <c r="F69" s="961"/>
      <c r="G69" s="961"/>
      <c r="H69" s="961"/>
      <c r="I69" s="961"/>
      <c r="J69" s="961"/>
      <c r="K69" s="961"/>
      <c r="L69" s="961"/>
    </row>
    <row r="70" spans="1:12" s="1076" customFormat="1" ht="15.75">
      <c r="A70" s="1079" t="s">
        <v>3178</v>
      </c>
      <c r="B70" s="1689" t="s">
        <v>8004</v>
      </c>
      <c r="C70" s="1080"/>
      <c r="D70" s="1085">
        <f>IFA!AF86</f>
        <v>0</v>
      </c>
      <c r="E70" s="961"/>
      <c r="F70" s="961"/>
      <c r="G70" s="961"/>
      <c r="H70" s="961"/>
      <c r="I70" s="961"/>
      <c r="J70" s="961"/>
      <c r="K70" s="961"/>
      <c r="L70" s="961"/>
    </row>
    <row r="71" spans="1:12" s="1076" customFormat="1" ht="15.75">
      <c r="A71" s="1079" t="s">
        <v>3179</v>
      </c>
      <c r="B71" s="1690" t="s">
        <v>8005</v>
      </c>
      <c r="C71" s="1080"/>
      <c r="D71" s="1085">
        <f>IFA!AH86</f>
        <v>0</v>
      </c>
      <c r="E71" s="961"/>
      <c r="F71" s="961"/>
      <c r="G71" s="961"/>
      <c r="H71" s="961"/>
      <c r="I71" s="961"/>
      <c r="J71" s="961"/>
      <c r="K71" s="961"/>
      <c r="L71" s="961"/>
    </row>
    <row r="72" spans="1:12" s="1076" customFormat="1" ht="15.75">
      <c r="A72" s="1079" t="s">
        <v>3180</v>
      </c>
      <c r="B72" s="1080" t="s">
        <v>7992</v>
      </c>
      <c r="C72" s="1080"/>
      <c r="D72" s="1085" t="e">
        <f>'HH2223-Calcs'!C51</f>
        <v>#DIV/0!</v>
      </c>
      <c r="E72" s="961"/>
      <c r="F72" s="961"/>
      <c r="G72" s="961"/>
      <c r="H72" s="961"/>
      <c r="I72" s="961"/>
      <c r="J72" s="961"/>
      <c r="K72" s="961"/>
      <c r="L72" s="961"/>
    </row>
    <row r="73" spans="1:12" s="1076" customFormat="1" ht="18">
      <c r="A73" s="1254" t="s">
        <v>3320</v>
      </c>
      <c r="B73" s="3404" t="s">
        <v>7922</v>
      </c>
      <c r="C73" s="3681"/>
      <c r="D73" s="3682" t="e">
        <f>'SOF2223-SB1'!H81+'HH2223-Calcs'!D26+D72</f>
        <v>#DIV/0!</v>
      </c>
      <c r="E73" s="961" t="s">
        <v>4710</v>
      </c>
      <c r="F73" s="961"/>
      <c r="G73" s="961"/>
      <c r="H73" s="961"/>
      <c r="I73" s="961"/>
      <c r="J73" s="961"/>
      <c r="K73" s="961"/>
      <c r="L73" s="961"/>
    </row>
    <row r="74" spans="1:12" s="1076" customFormat="1" ht="18">
      <c r="A74" s="1180"/>
      <c r="B74" s="1358"/>
      <c r="C74" s="1131"/>
      <c r="D74" s="1359"/>
      <c r="E74" s="961"/>
      <c r="F74" s="961"/>
      <c r="G74" s="961"/>
      <c r="H74" s="961"/>
      <c r="I74" s="961"/>
      <c r="J74" s="961"/>
      <c r="K74" s="961"/>
      <c r="L74" s="961"/>
    </row>
    <row r="75" spans="1:12" s="1076" customFormat="1" ht="15.75">
      <c r="A75" s="3664"/>
      <c r="B75" s="1690" t="s">
        <v>8006</v>
      </c>
      <c r="C75" s="3679"/>
      <c r="D75" s="3680"/>
      <c r="E75" s="961"/>
      <c r="F75" s="961"/>
      <c r="G75" s="961"/>
      <c r="H75" s="961"/>
      <c r="I75" s="961"/>
      <c r="J75" s="961"/>
      <c r="K75" s="961"/>
      <c r="L75" s="961"/>
    </row>
    <row r="76" spans="1:12" s="1076" customFormat="1" ht="15.75">
      <c r="A76" s="1089"/>
      <c r="E76" s="961"/>
      <c r="F76" s="961"/>
      <c r="G76" s="961"/>
      <c r="H76" s="961"/>
      <c r="I76" s="961"/>
      <c r="J76" s="961"/>
      <c r="K76" s="961"/>
      <c r="L76" s="961"/>
    </row>
    <row r="77" spans="1:12" s="1076" customFormat="1" ht="15.75">
      <c r="A77" s="1075"/>
      <c r="E77" s="961"/>
      <c r="F77" s="961"/>
      <c r="G77" s="961"/>
      <c r="H77" s="961"/>
      <c r="I77" s="961"/>
      <c r="J77" s="961"/>
      <c r="K77" s="961"/>
      <c r="L77" s="961"/>
    </row>
    <row r="78" spans="1:12" ht="16.5" thickBot="1">
      <c r="A78" s="1075" t="s">
        <v>3575</v>
      </c>
      <c r="B78" s="1076"/>
      <c r="C78" s="1076"/>
      <c r="D78" s="1076"/>
    </row>
    <row r="79" spans="1:12" ht="16.5" thickTop="1">
      <c r="A79" s="1236" t="s">
        <v>2816</v>
      </c>
      <c r="B79" s="1117"/>
      <c r="C79" s="1516"/>
      <c r="D79" s="1115"/>
    </row>
    <row r="80" spans="1:12" ht="15.75">
      <c r="A80" s="1519" t="s">
        <v>3809</v>
      </c>
      <c r="B80" s="1525" t="s">
        <v>3822</v>
      </c>
      <c r="C80" s="1078"/>
      <c r="D80" s="1118" t="e">
        <f>'SOF2223-SB1'!H89+'HH2223-Calcs'!D26</f>
        <v>#DIV/0!</v>
      </c>
    </row>
    <row r="81" spans="1:5" ht="15.75">
      <c r="A81" s="1519" t="s">
        <v>3810</v>
      </c>
      <c r="B81" s="1518" t="s">
        <v>3263</v>
      </c>
      <c r="C81" s="1526"/>
      <c r="D81" s="1118" t="e">
        <f>'SOF2223-SB1'!H90</f>
        <v>#DIV/0!</v>
      </c>
    </row>
    <row r="82" spans="1:5" ht="15.75">
      <c r="A82" s="1519" t="s">
        <v>3811</v>
      </c>
      <c r="B82" s="1518" t="s">
        <v>3823</v>
      </c>
      <c r="C82" s="1078"/>
      <c r="D82" s="1118" t="e">
        <f>'SOF2223-SB1'!H91</f>
        <v>#DIV/0!</v>
      </c>
    </row>
    <row r="83" spans="1:5" ht="15.75">
      <c r="A83" s="1519" t="s">
        <v>3812</v>
      </c>
      <c r="B83" s="1518" t="s">
        <v>3824</v>
      </c>
      <c r="C83" s="1078"/>
      <c r="D83" s="1118" t="e">
        <f>'SOF2223-SB1'!H92</f>
        <v>#DIV/0!</v>
      </c>
    </row>
    <row r="84" spans="1:5" ht="15.75">
      <c r="A84" s="1519" t="s">
        <v>3813</v>
      </c>
      <c r="B84" s="1518" t="s">
        <v>3499</v>
      </c>
      <c r="C84" s="1078"/>
      <c r="D84" s="2549">
        <f>'Data Entry - SOF'!O96*-1</f>
        <v>0</v>
      </c>
    </row>
    <row r="85" spans="1:5" ht="15.75">
      <c r="A85" s="1519" t="s">
        <v>3814</v>
      </c>
      <c r="B85" s="1527" t="s">
        <v>7923</v>
      </c>
      <c r="C85" s="1078"/>
      <c r="D85" s="3683" t="e">
        <f>'SOF2223-SB1'!H93+'HH2223-Calcs'!D26</f>
        <v>#DIV/0!</v>
      </c>
    </row>
    <row r="86" spans="1:5" ht="15.75">
      <c r="A86" s="1519" t="s">
        <v>3815</v>
      </c>
      <c r="B86" s="1528" t="s">
        <v>3264</v>
      </c>
      <c r="C86" s="1078"/>
      <c r="D86" s="1118" t="e">
        <f>'SOF2223-SB1'!H94</f>
        <v>#DIV/0!</v>
      </c>
    </row>
    <row r="87" spans="1:5" ht="16.5" thickBot="1">
      <c r="A87" s="1520" t="s">
        <v>3816</v>
      </c>
      <c r="B87" s="1529" t="s">
        <v>7924</v>
      </c>
      <c r="C87" s="1517"/>
      <c r="D87" s="3684" t="e">
        <f>'SOF2223-SB1'!H95+'HH2223-Calcs'!D26</f>
        <v>#DIV/0!</v>
      </c>
    </row>
    <row r="88" spans="1:5" ht="13.5" customHeight="1" thickTop="1">
      <c r="B88" s="1148"/>
      <c r="C88" s="1116"/>
      <c r="D88" s="1116"/>
      <c r="E88" s="1359"/>
    </row>
    <row r="89" spans="1:5" ht="13.5" thickBot="1">
      <c r="B89" s="89"/>
    </row>
    <row r="90" spans="1:5" ht="16.5" thickTop="1">
      <c r="A90" s="1236" t="s">
        <v>3488</v>
      </c>
      <c r="B90" s="1238"/>
      <c r="C90" s="1238"/>
      <c r="D90" s="1235"/>
    </row>
    <row r="91" spans="1:5" ht="15">
      <c r="A91" s="1519" t="s">
        <v>3817</v>
      </c>
      <c r="B91" s="1523" t="str">
        <f>CONCATENATE("Recapture at the $",Assumptions!G121," Level")</f>
        <v>Recapture at the $514000 Level</v>
      </c>
      <c r="C91" s="1521"/>
      <c r="D91" s="1118" t="e">
        <f>'ASATR-SB1'!Q39</f>
        <v>#DIV/0!</v>
      </c>
    </row>
    <row r="92" spans="1:5" ht="15">
      <c r="A92" s="1519" t="s">
        <v>3818</v>
      </c>
      <c r="B92" s="1523" t="str">
        <f>CONCATENATE("Recapture at the $",Assumptions!G71," Level")</f>
        <v>Recapture at the $319500 Level</v>
      </c>
      <c r="C92" s="1521"/>
      <c r="D92" s="1118" t="e">
        <f>IF('Report-Recapture2223'!G141="Y",MIN('Report-Recapture2223'!C141,'Report-Recapture2223'!E141),MAX('Report-Recapture2223'!C141,'Report-Recapture2223'!E141))</f>
        <v>#DIV/0!</v>
      </c>
    </row>
    <row r="93" spans="1:5" ht="15.75">
      <c r="A93" s="1519" t="s">
        <v>3819</v>
      </c>
      <c r="B93" s="4110" t="s">
        <v>8007</v>
      </c>
      <c r="C93" s="1521"/>
      <c r="D93" s="1239" t="e">
        <f>D91+D92</f>
        <v>#DIV/0!</v>
      </c>
    </row>
    <row r="94" spans="1:5" ht="15">
      <c r="A94" s="1519" t="s">
        <v>3820</v>
      </c>
      <c r="B94" s="1523" t="s">
        <v>3487</v>
      </c>
      <c r="C94" s="1521"/>
      <c r="D94" s="2550">
        <f>'Data Entry - SOF'!O96</f>
        <v>0</v>
      </c>
    </row>
    <row r="95" spans="1:5" ht="16.5" thickBot="1">
      <c r="A95" s="1520" t="s">
        <v>3821</v>
      </c>
      <c r="B95" s="3685" t="s">
        <v>7925</v>
      </c>
      <c r="C95" s="1522"/>
      <c r="D95" s="1188" t="e">
        <f>D93+D94</f>
        <v>#DIV/0!</v>
      </c>
    </row>
    <row r="96" spans="1:5" ht="13.5"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54" workbookViewId="0">
      <selection activeCell="F76" sqref="F7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16.42578125" hidden="1" customWidth="1"/>
    <col min="10" max="13" width="19.140625" style="1737" customWidth="1"/>
    <col min="14" max="14" width="13.5703125" customWidth="1"/>
    <col min="15" max="15" width="13.5703125" style="177" customWidth="1"/>
    <col min="16" max="16" width="13.5703125" customWidth="1"/>
    <col min="17" max="17" width="13.5703125" style="49" customWidth="1"/>
    <col min="18" max="18" width="13.7109375" customWidth="1"/>
    <col min="40" max="40" width="15.5703125" customWidth="1"/>
    <col min="41" max="41" width="16" customWidth="1"/>
  </cols>
  <sheetData>
    <row r="1" spans="1:13">
      <c r="A1" s="23" t="s">
        <v>78</v>
      </c>
      <c r="C1" s="873">
        <f>'Data Entry - SOF'!B1</f>
        <v>0</v>
      </c>
      <c r="D1" s="35"/>
      <c r="E1" s="1031"/>
      <c r="F1" s="925" t="e">
        <f>#REF!</f>
        <v>#REF!</v>
      </c>
      <c r="G1" s="83"/>
      <c r="J1" s="1736"/>
      <c r="K1" s="1736"/>
      <c r="L1" s="1736"/>
      <c r="M1" s="1736"/>
    </row>
    <row r="2" spans="1:13">
      <c r="A2" s="23" t="s">
        <v>79</v>
      </c>
      <c r="C2" s="15">
        <f>'Data Entry - SOF'!B2</f>
        <v>0</v>
      </c>
      <c r="F2" s="83" t="e">
        <f>#REF!</f>
        <v>#REF!</v>
      </c>
      <c r="G2" s="83"/>
      <c r="J2" s="1736"/>
      <c r="K2" s="1736"/>
      <c r="L2" s="1736"/>
      <c r="M2" s="1736"/>
    </row>
    <row r="3" spans="1:13">
      <c r="A3" s="23" t="s">
        <v>164</v>
      </c>
      <c r="C3" s="87">
        <f ca="1">'Data Entry - SOF'!B3</f>
        <v>43146.631174305556</v>
      </c>
      <c r="F3" s="82" t="e">
        <f>#REF!</f>
        <v>#REF!</v>
      </c>
    </row>
    <row r="4" spans="1:13">
      <c r="D4" s="916" t="s">
        <v>3740</v>
      </c>
    </row>
    <row r="5" spans="1:13">
      <c r="D5" s="917" t="s">
        <v>7988</v>
      </c>
    </row>
    <row r="7" spans="1:13">
      <c r="D7" s="23" t="s">
        <v>1573</v>
      </c>
    </row>
    <row r="8" spans="1:13">
      <c r="B8" s="4"/>
      <c r="D8" s="23" t="s">
        <v>942</v>
      </c>
      <c r="F8" s="22">
        <f>'Calc Data-SB1'!I7</f>
        <v>0</v>
      </c>
      <c r="G8" s="21"/>
      <c r="J8" s="1738"/>
      <c r="K8" s="1738"/>
      <c r="L8" s="1738"/>
      <c r="M8" s="1738"/>
    </row>
    <row r="9" spans="1:13">
      <c r="D9" s="23" t="s">
        <v>1574</v>
      </c>
      <c r="F9" s="22">
        <f>'Calc Data-SB1'!I8</f>
        <v>0</v>
      </c>
      <c r="G9" s="21"/>
      <c r="J9" s="1738"/>
      <c r="K9" s="1738"/>
      <c r="L9" s="1738"/>
      <c r="M9" s="1738"/>
    </row>
    <row r="10" spans="1:13">
      <c r="D10" s="23" t="s">
        <v>466</v>
      </c>
      <c r="F10" s="22">
        <f>'Data Entry - SOF'!O32</f>
        <v>0</v>
      </c>
      <c r="G10" s="21"/>
      <c r="J10" s="1738"/>
      <c r="K10" s="1738"/>
      <c r="L10" s="1738"/>
      <c r="M10" s="1738"/>
    </row>
    <row r="11" spans="1:13">
      <c r="B11" s="23"/>
      <c r="D11" s="23" t="s">
        <v>467</v>
      </c>
      <c r="F11" s="22">
        <f>'Calc Data-SB1'!I10</f>
        <v>0</v>
      </c>
      <c r="G11" s="21"/>
      <c r="J11" s="1738"/>
      <c r="K11" s="1738"/>
      <c r="L11" s="1738"/>
      <c r="M11" s="1738"/>
    </row>
    <row r="12" spans="1:13">
      <c r="D12" s="23" t="s">
        <v>468</v>
      </c>
      <c r="F12" s="19">
        <f>'Data Entry - SOF'!O48</f>
        <v>0</v>
      </c>
      <c r="G12" s="19"/>
      <c r="J12" s="1739"/>
      <c r="K12" s="1739"/>
      <c r="L12" s="1739"/>
      <c r="M12" s="1739"/>
    </row>
    <row r="13" spans="1:13" hidden="1">
      <c r="D13" s="23" t="s">
        <v>469</v>
      </c>
      <c r="F13" s="19" t="e">
        <f>'Data Entry - SOF'!#REF!</f>
        <v>#REF!</v>
      </c>
      <c r="G13" s="19"/>
      <c r="J13" s="1739"/>
      <c r="K13" s="1739"/>
      <c r="L13" s="1739"/>
      <c r="M13" s="1739"/>
    </row>
    <row r="14" spans="1:13">
      <c r="D14" s="23" t="s">
        <v>2055</v>
      </c>
      <c r="F14" s="22">
        <f>'Data Entry - SOF'!O112</f>
        <v>0</v>
      </c>
      <c r="G14" s="19"/>
      <c r="J14" s="1739"/>
      <c r="K14" s="1739"/>
      <c r="L14" s="1739"/>
      <c r="M14" s="1739"/>
    </row>
    <row r="15" spans="1:13">
      <c r="D15" s="23" t="s">
        <v>1319</v>
      </c>
      <c r="F15" s="22">
        <f>'Calc Data-SB1'!I59</f>
        <v>0</v>
      </c>
      <c r="G15" s="20"/>
      <c r="J15" s="1740"/>
      <c r="K15" s="1740"/>
      <c r="L15" s="1740"/>
      <c r="M15" s="1740"/>
    </row>
    <row r="16" spans="1:13">
      <c r="D16" s="23" t="s">
        <v>2233</v>
      </c>
      <c r="F16" s="19">
        <f>'Data Entry - SOF'!O59</f>
        <v>0</v>
      </c>
      <c r="G16" s="19"/>
      <c r="J16" s="1739"/>
      <c r="K16" s="1739"/>
      <c r="L16" s="1739"/>
      <c r="M16" s="1739"/>
    </row>
    <row r="17" spans="2:40" ht="13.5" thickBot="1">
      <c r="D17" s="31"/>
      <c r="E17" s="13"/>
      <c r="F17" s="13"/>
      <c r="G17" s="32"/>
      <c r="J17" s="1741"/>
      <c r="K17" s="1741"/>
      <c r="L17" s="1741"/>
      <c r="M17" s="1741"/>
    </row>
    <row r="18" spans="2:40" ht="13.5" thickTop="1">
      <c r="D18" s="34"/>
      <c r="E18" s="35"/>
      <c r="F18" s="35"/>
      <c r="G18" s="32"/>
      <c r="J18" s="1741" t="s">
        <v>4724</v>
      </c>
      <c r="K18" s="1741"/>
      <c r="L18" s="1741" t="s">
        <v>4724</v>
      </c>
      <c r="M18" s="1741"/>
    </row>
    <row r="19" spans="2:40" ht="15.75" hidden="1">
      <c r="D19" s="23"/>
      <c r="E19" s="973" t="s">
        <v>108</v>
      </c>
      <c r="F19" s="972" t="e">
        <f>IF(#REF!="y","ASATR DIST","FORMULA DIST")</f>
        <v>#REF!</v>
      </c>
      <c r="G19" s="23"/>
      <c r="J19" s="1742"/>
      <c r="K19" s="1742"/>
      <c r="L19" s="1742"/>
      <c r="M19" s="1742"/>
      <c r="AN19" t="s">
        <v>2630</v>
      </c>
    </row>
    <row r="20" spans="2:40" ht="15.75">
      <c r="B20" s="28" t="s">
        <v>470</v>
      </c>
      <c r="D20" s="23"/>
      <c r="F20" s="960"/>
      <c r="G20" s="23"/>
      <c r="H20" s="28" t="s">
        <v>4483</v>
      </c>
      <c r="I20" s="1825"/>
      <c r="J20" s="1825" t="s">
        <v>4510</v>
      </c>
      <c r="K20" s="194" t="s">
        <v>4483</v>
      </c>
      <c r="L20" s="1825" t="s">
        <v>4511</v>
      </c>
      <c r="M20" s="194" t="s">
        <v>4483</v>
      </c>
    </row>
    <row r="21" spans="2:40" ht="15.75">
      <c r="B21" s="28">
        <v>11</v>
      </c>
      <c r="D21" s="132" t="s">
        <v>3630</v>
      </c>
      <c r="F21" s="945">
        <f>ROUND(ROUND('Calc Data-SB1'!I23,0)*IF('Calc Data-SB1'!I11&gt;'Calc Data-SB1'!I10,'Calc Data-SB1'!I11,'Calc Data-SB1'!I10),0)</f>
        <v>0</v>
      </c>
      <c r="G21" s="19"/>
      <c r="H21" s="1037">
        <f>ROUND(ROUND('Calc Data-SB1'!BB23,0)*IF('Calc Data-SB1'!I11&gt;'Calc Data-SB1'!I10,'Calc Data-SB1'!I11,'Calc Data-SB1'!I10),0)</f>
        <v>0</v>
      </c>
      <c r="J21"/>
      <c r="K21"/>
      <c r="L21"/>
      <c r="M21">
        <f>H21</f>
        <v>0</v>
      </c>
      <c r="AN21" s="19" t="e">
        <f>ROUND(ROUND('Calc Data-SB1'!AB23,0)*IF('Calc Data-SB1'!#REF!&gt;'Calc Data-SB1'!#REF!,'Calc Data-SB1'!#REF!,'Calc Data-SB1'!#REF!),0)</f>
        <v>#REF!</v>
      </c>
    </row>
    <row r="22" spans="2:40">
      <c r="B22" s="28">
        <v>23</v>
      </c>
      <c r="D22" s="23" t="s">
        <v>102</v>
      </c>
      <c r="F22" s="19">
        <f>ROUND('Calc Data-SB1'!I9*ROUND('Calc Data-SB1'!I23,0),0)</f>
        <v>0</v>
      </c>
      <c r="G22" s="19"/>
      <c r="H22" s="1038">
        <f>ROUND('Calc Data-SB1'!I9*ROUND('Calc Data-SB1'!BB23,0),0)</f>
        <v>0</v>
      </c>
      <c r="J22"/>
      <c r="K22"/>
      <c r="L22"/>
      <c r="M22"/>
      <c r="AN22" s="19" t="e">
        <f>ROUND('Calc Data-SB1'!#REF!*ROUND('Calc Data-SB1'!AB23,0),0)</f>
        <v>#REF!</v>
      </c>
    </row>
    <row r="23" spans="2:40">
      <c r="B23" s="28"/>
      <c r="D23" s="23" t="s">
        <v>103</v>
      </c>
      <c r="F23" s="47"/>
      <c r="H23" s="1039"/>
      <c r="J23"/>
      <c r="K23"/>
      <c r="L23"/>
      <c r="M23"/>
    </row>
    <row r="24" spans="2:40">
      <c r="B24" s="28">
        <v>23</v>
      </c>
      <c r="D24" s="23" t="s">
        <v>104</v>
      </c>
      <c r="F24" s="30">
        <f>ROUND('Data Entry - SOF'!O31*Weights!N21*ROUND('Calc Data-SB1'!I23,0),0)</f>
        <v>0</v>
      </c>
      <c r="G24" s="30"/>
      <c r="H24" s="1040">
        <f>ROUND('Data Entry - SOF'!O31*Weights!N21*ROUND('Calc Data-SB1'!BB23,0),0)</f>
        <v>0</v>
      </c>
      <c r="J24"/>
      <c r="K24"/>
      <c r="L24"/>
      <c r="M24">
        <f t="shared" ref="M24:M44" si="0">H24</f>
        <v>0</v>
      </c>
      <c r="AN24" s="30" t="e">
        <f>ROUND('Data Entry - SOF'!#REF!*1.1*ROUND('Calc Data-SB1'!AB23,0),0)</f>
        <v>#REF!</v>
      </c>
    </row>
    <row r="25" spans="2:40">
      <c r="B25" s="28">
        <v>23</v>
      </c>
      <c r="D25" s="23" t="s">
        <v>105</v>
      </c>
      <c r="F25" s="19">
        <f>ROUND((+'Data Entry - SOF'!O29*Weights!N19)*ROUND('Calc Data-SB1'!I23,0),0)</f>
        <v>0</v>
      </c>
      <c r="G25" s="19"/>
      <c r="H25" s="1038">
        <f>ROUND((+'Data Entry - SOF'!O29*Weights!N19)*ROUND('Calc Data-SB1'!BB23,0),0)</f>
        <v>0</v>
      </c>
      <c r="J25"/>
      <c r="K25"/>
      <c r="L25"/>
      <c r="M25">
        <f t="shared" si="0"/>
        <v>0</v>
      </c>
      <c r="AN25" s="19" t="e">
        <f>ROUND((+'Data Entry - SOF'!#REF!*4)*ROUND('Calc Data-SB1'!AB23,0),0)</f>
        <v>#REF!</v>
      </c>
    </row>
    <row r="26" spans="2:40">
      <c r="B26" s="28">
        <v>23</v>
      </c>
      <c r="D26" s="25" t="s">
        <v>919</v>
      </c>
      <c r="F26" s="19">
        <f>ROUND((+'Data Entry - SOF'!O27*Weights!N17)*ROUND('Calc Data-SB1'!I23,0),0)</f>
        <v>0</v>
      </c>
      <c r="G26" s="19"/>
      <c r="H26" s="1038">
        <f>ROUND((+'Data Entry - SOF'!O27*Weights!N17)*ROUND('Calc Data-SB1'!BB23,0),0)</f>
        <v>0</v>
      </c>
      <c r="J26"/>
      <c r="K26"/>
      <c r="L26"/>
      <c r="M26">
        <f t="shared" si="0"/>
        <v>0</v>
      </c>
      <c r="AN26" s="19" t="e">
        <f>ROUND((+'Data Entry - SOF'!#REF!*2.8)*ROUND('Calc Data-SB1'!AB23,0),0)</f>
        <v>#REF!</v>
      </c>
    </row>
    <row r="27" spans="2:40">
      <c r="B27" s="28">
        <v>23</v>
      </c>
      <c r="D27" s="25" t="s">
        <v>920</v>
      </c>
      <c r="F27" s="19">
        <f>ROUND(('Data Entry - SOF'!O28*Weights!N18)*ROUND('Calc Data-SB1'!I23,0),0)</f>
        <v>0</v>
      </c>
      <c r="G27" s="19"/>
      <c r="H27" s="1038">
        <f>ROUND(('Data Entry - SOF'!O28*Weights!N18)*ROUND('Calc Data-SB1'!BB23,0),0)</f>
        <v>0</v>
      </c>
      <c r="J27"/>
      <c r="K27"/>
      <c r="L27"/>
      <c r="M27">
        <f t="shared" si="0"/>
        <v>0</v>
      </c>
      <c r="AN27" s="19" t="e">
        <f>ROUND(('Data Entry - SOF'!#REF!*1.7)*ROUND('Calc Data-SB1'!AB23,0),0)</f>
        <v>#REF!</v>
      </c>
    </row>
    <row r="28" spans="2:40">
      <c r="B28" s="28"/>
      <c r="D28" s="23" t="s">
        <v>1308</v>
      </c>
      <c r="F28" s="19">
        <f>IF('Data Entry - SOF'!O71&lt;0,'Data Entry - SOF'!O71,'Data Entry - SOF'!O71*-1)</f>
        <v>0</v>
      </c>
      <c r="G28" s="19"/>
      <c r="H28" s="1038">
        <f>IF('Data Entry - SOF'!O71&lt;0,'Data Entry - SOF'!O71,'Data Entry - SOF'!O71*-1)</f>
        <v>0</v>
      </c>
      <c r="J28"/>
      <c r="K28"/>
      <c r="L28"/>
      <c r="M28">
        <f t="shared" si="0"/>
        <v>0</v>
      </c>
      <c r="AN28" s="19">
        <v>0</v>
      </c>
    </row>
    <row r="29" spans="2:40">
      <c r="B29" s="28">
        <v>22</v>
      </c>
      <c r="C29" s="17"/>
      <c r="D29" s="23" t="s">
        <v>119</v>
      </c>
      <c r="F29" s="19">
        <f>ROUND(ROUND('Calc Data-SB1'!I23,0)*'Data Entry - SOF'!O32*Weights!N23,0)</f>
        <v>0</v>
      </c>
      <c r="G29" s="19"/>
      <c r="H29" s="1038">
        <f>ROUND(ROUND('Calc Data-SB1'!BB23,0)*'Data Entry - SOF'!O32*Weights!N23,0)</f>
        <v>0</v>
      </c>
      <c r="J29"/>
      <c r="K29"/>
      <c r="L29"/>
      <c r="M29">
        <f t="shared" si="0"/>
        <v>0</v>
      </c>
      <c r="AN29" s="19" t="e">
        <f>ROUND(ROUND('Calc Data-SB1'!AB23,0)*'Data Entry - SOF'!#REF!*1.35,0)</f>
        <v>#REF!</v>
      </c>
    </row>
    <row r="30" spans="2:40">
      <c r="B30" s="28"/>
      <c r="C30" s="17"/>
      <c r="D30" s="47" t="s">
        <v>716</v>
      </c>
      <c r="F30" s="19">
        <f>Weights!N24*'Data Entry - SOF'!O33</f>
        <v>0</v>
      </c>
      <c r="G30" s="19"/>
      <c r="H30" s="1038">
        <f>Weights!N24*'Data Entry - SOF'!O33</f>
        <v>0</v>
      </c>
      <c r="J30"/>
      <c r="K30"/>
      <c r="L30"/>
      <c r="M30">
        <f t="shared" si="0"/>
        <v>0</v>
      </c>
      <c r="AN30" s="19"/>
    </row>
    <row r="31" spans="2:40" hidden="1">
      <c r="B31" s="28"/>
      <c r="C31" s="17"/>
      <c r="D31" s="47" t="s">
        <v>717</v>
      </c>
      <c r="F31" s="19">
        <f>400*'Data Entry - SOF'!O34</f>
        <v>0</v>
      </c>
      <c r="G31" s="19"/>
      <c r="H31" s="1038">
        <f>400*'Data Entry - SOF'!O34</f>
        <v>0</v>
      </c>
      <c r="J31"/>
      <c r="K31"/>
      <c r="L31"/>
      <c r="M31">
        <f t="shared" si="0"/>
        <v>0</v>
      </c>
      <c r="AN31" s="19"/>
    </row>
    <row r="32" spans="2:40" hidden="1">
      <c r="B32" s="28"/>
      <c r="C32" s="17"/>
      <c r="D32" s="47" t="s">
        <v>718</v>
      </c>
      <c r="F32" s="19">
        <f>80*'Data Entry - SOF'!O35</f>
        <v>0</v>
      </c>
      <c r="G32" s="19"/>
      <c r="H32" s="1038">
        <f>80*'Data Entry - SOF'!O35</f>
        <v>0</v>
      </c>
      <c r="J32"/>
      <c r="K32"/>
      <c r="L32"/>
      <c r="M32">
        <f t="shared" si="0"/>
        <v>0</v>
      </c>
      <c r="AN32" s="19"/>
    </row>
    <row r="33" spans="2:40">
      <c r="B33" s="28">
        <v>21</v>
      </c>
      <c r="D33" s="23" t="s">
        <v>3030</v>
      </c>
      <c r="F33" s="19">
        <f>ROUND(ROUND('Calc Data-SB1'!I23,0)*'Data Entry - SOF'!O157*Weights!N28,0)</f>
        <v>0</v>
      </c>
      <c r="G33" s="19"/>
      <c r="H33" s="1038">
        <f>ROUND(ROUND('Calc Data-SB1'!BB23,0)*'Data Entry - SOF'!O157*Weights!N28,0)</f>
        <v>0</v>
      </c>
      <c r="J33"/>
      <c r="K33"/>
      <c r="L33"/>
      <c r="M33">
        <f t="shared" si="0"/>
        <v>0</v>
      </c>
      <c r="AN33" s="19" t="e">
        <f>ROUND(ROUND('Calc Data-SB1'!AB23,0)*'Data Entry - SOF'!#REF!*0.12,0)</f>
        <v>#REF!</v>
      </c>
    </row>
    <row r="34" spans="2:40">
      <c r="B34" s="28"/>
      <c r="D34" s="23" t="s">
        <v>433</v>
      </c>
      <c r="F34" s="19">
        <f>IF('Data Entry - SOF'!O70&lt;0,'Data Entry - SOF'!O70,'Data Entry - SOF'!O70*-1)</f>
        <v>0</v>
      </c>
      <c r="G34" s="19"/>
      <c r="H34" s="1038">
        <f>IF('Data Entry - SOF'!O70&lt;0,'Data Entry - SOF'!O70,'Data Entry - SOF'!O70*-1)</f>
        <v>0</v>
      </c>
      <c r="J34"/>
      <c r="K34"/>
      <c r="L34"/>
      <c r="M34">
        <f t="shared" si="0"/>
        <v>0</v>
      </c>
      <c r="AN34" s="19">
        <v>0</v>
      </c>
    </row>
    <row r="35" spans="2:40">
      <c r="B35" s="28" t="s">
        <v>2857</v>
      </c>
      <c r="D35" s="23" t="s">
        <v>434</v>
      </c>
      <c r="F35" s="19">
        <f>ROUND(ROUND('Calc Data-SB1'!I23,0)*'Data Entry - SOF'!O36*Weights!N30,0)</f>
        <v>0</v>
      </c>
      <c r="G35" s="19"/>
      <c r="H35" s="1038">
        <f>ROUND(ROUND('Calc Data-SB1'!BB23,0)*'Data Entry - SOF'!O36*Weights!N30,0)</f>
        <v>0</v>
      </c>
      <c r="J35"/>
      <c r="K35"/>
      <c r="L35"/>
      <c r="M35">
        <f t="shared" si="0"/>
        <v>0</v>
      </c>
      <c r="AN35" s="19" t="e">
        <f>ROUND(ROUND('Calc Data-SB1'!AB23,0)*'Data Entry - SOF'!#REF!*0.2,0)</f>
        <v>#REF!</v>
      </c>
    </row>
    <row r="36" spans="2:40">
      <c r="B36" s="28" t="s">
        <v>2857</v>
      </c>
      <c r="D36" s="23" t="s">
        <v>435</v>
      </c>
      <c r="F36" s="19">
        <f>ROUND(ROUND('Calc Data-SB1'!I23,0)*'Data Entry - SOF'!O37*Weights!N31,0)</f>
        <v>0</v>
      </c>
      <c r="G36" s="19"/>
      <c r="H36" s="1038">
        <f>ROUND(ROUND('Calc Data-SB1'!BB23,0)*'Data Entry - SOF'!O37*Weights!N31,0)</f>
        <v>0</v>
      </c>
      <c r="J36"/>
      <c r="K36"/>
      <c r="L36"/>
      <c r="M36">
        <f t="shared" si="0"/>
        <v>0</v>
      </c>
      <c r="AN36" s="19" t="e">
        <f>ROUND(ROUND('Calc Data-SB1'!AB23,0)*'Data Entry - SOF'!#REF!*2.41,0)</f>
        <v>#REF!</v>
      </c>
    </row>
    <row r="37" spans="2:40" hidden="1">
      <c r="B37" s="28" t="s">
        <v>2857</v>
      </c>
      <c r="D37" s="97" t="s">
        <v>491</v>
      </c>
      <c r="E37" s="944"/>
      <c r="F37" s="19">
        <f>650*'Data Entry - SOF'!O38</f>
        <v>0</v>
      </c>
      <c r="G37" s="19"/>
      <c r="H37" s="1038">
        <f>650*'Data Entry - SOF'!O38</f>
        <v>0</v>
      </c>
      <c r="J37"/>
      <c r="K37"/>
      <c r="L37"/>
      <c r="M37">
        <f t="shared" si="0"/>
        <v>0</v>
      </c>
      <c r="AN37" s="19"/>
    </row>
    <row r="38" spans="2:40" hidden="1">
      <c r="B38" s="28"/>
      <c r="D38" s="23" t="s">
        <v>1397</v>
      </c>
      <c r="F38" s="90">
        <v>0</v>
      </c>
      <c r="G38" s="19"/>
      <c r="H38" s="1041">
        <v>0</v>
      </c>
      <c r="J38"/>
      <c r="K38"/>
      <c r="L38"/>
      <c r="M38">
        <f t="shared" si="0"/>
        <v>0</v>
      </c>
      <c r="AN38" s="19">
        <v>0</v>
      </c>
    </row>
    <row r="39" spans="2:40">
      <c r="B39" s="28">
        <v>25</v>
      </c>
      <c r="D39" s="23" t="s">
        <v>1297</v>
      </c>
      <c r="F39" s="19">
        <f>ROUND(ROUND('Calc Data-SB1'!I23,0)*('Data Entry - SOF'!O39*Weights!N26),0)</f>
        <v>0</v>
      </c>
      <c r="G39" s="19"/>
      <c r="H39" s="1038">
        <f>ROUND(ROUND('Calc Data-SB1'!BB23,0)*('Data Entry - SOF'!O39*Weights!N26),0)</f>
        <v>0</v>
      </c>
      <c r="J39"/>
      <c r="K39"/>
      <c r="L39"/>
      <c r="M39">
        <f t="shared" si="0"/>
        <v>0</v>
      </c>
      <c r="AN39" s="19" t="e">
        <f>ROUND(ROUND('Calc Data-SB1'!AB23,0)*('Data Entry - SOF'!#REF!*0.1),0)</f>
        <v>#REF!</v>
      </c>
    </row>
    <row r="40" spans="2:40">
      <c r="B40" s="28">
        <v>31</v>
      </c>
      <c r="D40" s="47" t="s">
        <v>2792</v>
      </c>
      <c r="F40" s="19">
        <f>Weights!N33*'Data Entry - SOF'!O18</f>
        <v>0</v>
      </c>
      <c r="G40" s="19"/>
      <c r="H40" s="1038">
        <f>Weights!N33*'Data Entry - SOF'!O18</f>
        <v>0</v>
      </c>
      <c r="J40"/>
      <c r="K40"/>
      <c r="L40"/>
      <c r="M40">
        <f t="shared" si="0"/>
        <v>0</v>
      </c>
      <c r="AN40" s="19" t="e">
        <f>#REF!</f>
        <v>#REF!</v>
      </c>
    </row>
    <row r="41" spans="2:40">
      <c r="B41" s="28"/>
      <c r="D41" s="23" t="s">
        <v>984</v>
      </c>
      <c r="F41" s="19">
        <f>ROUND(ROUND('Calc Data-SB1'!I23,0)*'Data Entry - SOF'!O41*Weights!N37,0)</f>
        <v>0</v>
      </c>
      <c r="G41" s="19"/>
      <c r="H41" s="1038">
        <f>ROUND(ROUND('Calc Data-SB1'!BB23,0)*'Data Entry - SOF'!O41*Weights!N37,0)</f>
        <v>0</v>
      </c>
      <c r="J41"/>
      <c r="K41"/>
      <c r="L41"/>
      <c r="M41">
        <f t="shared" si="0"/>
        <v>0</v>
      </c>
      <c r="AN41" s="19" t="e">
        <f>ROUND(ROUND('Calc Data-SB1'!AB23,0)*'Data Entry - SOF'!#REF!*0.1,0)</f>
        <v>#REF!</v>
      </c>
    </row>
    <row r="42" spans="2:40" ht="15.75">
      <c r="B42" s="28"/>
      <c r="D42" s="955" t="s">
        <v>4482</v>
      </c>
      <c r="F42" s="116">
        <f>'Data Entry - SOF'!O42*Weights!N35</f>
        <v>0</v>
      </c>
      <c r="G42" s="19"/>
      <c r="H42" s="1038">
        <f>F42</f>
        <v>0</v>
      </c>
      <c r="J42"/>
      <c r="K42"/>
      <c r="L42"/>
      <c r="M42">
        <f t="shared" si="0"/>
        <v>0</v>
      </c>
      <c r="AN42" s="19" t="e">
        <f>'Data Entry - SOF'!#REF!*250</f>
        <v>#REF!</v>
      </c>
    </row>
    <row r="43" spans="2:40">
      <c r="B43" s="28">
        <v>99</v>
      </c>
      <c r="D43" s="23" t="s">
        <v>2385</v>
      </c>
      <c r="F43" s="29">
        <f>'Data Entry - SOF'!O66</f>
        <v>0</v>
      </c>
      <c r="G43" s="32"/>
      <c r="H43" s="1043">
        <f>'Data Entry - SOF'!O66</f>
        <v>0</v>
      </c>
      <c r="J43"/>
      <c r="K43"/>
      <c r="L43"/>
      <c r="M43">
        <f t="shared" si="0"/>
        <v>0</v>
      </c>
      <c r="AN43" s="29" t="e">
        <f>'Data Entry - SOF'!#REF!</f>
        <v>#REF!</v>
      </c>
    </row>
    <row r="44" spans="2:40">
      <c r="D44" s="23" t="s">
        <v>576</v>
      </c>
      <c r="F44" s="19">
        <f>SUM(F21:F43)</f>
        <v>0</v>
      </c>
      <c r="G44" s="19"/>
      <c r="H44" s="1038">
        <f>SUM(H21:H43)</f>
        <v>0</v>
      </c>
      <c r="J44"/>
      <c r="K44"/>
      <c r="L44"/>
      <c r="M44">
        <f t="shared" si="0"/>
        <v>0</v>
      </c>
      <c r="AN44" s="19" t="e">
        <f>SUM(AN21:AN43)</f>
        <v>#REF!</v>
      </c>
    </row>
    <row r="45" spans="2:40">
      <c r="D45" s="23" t="s">
        <v>890</v>
      </c>
      <c r="F45" s="36">
        <f>IF('Data Entry - SOF'!O108&gt;1,1*('Data Entry - SOF'!O48/100),'Data Entry - SOF'!O108*('Data Entry - SOF'!O48/100))</f>
        <v>0</v>
      </c>
      <c r="G45" s="59"/>
      <c r="H45" s="1045">
        <f>IF('Calc Data-SB1'!BB30&gt;1,1*('Data Entry - SOF'!O48/100),'Calc Data-SB1'!BB30*('Data Entry - SOF'!O48/100))</f>
        <v>0</v>
      </c>
      <c r="J45"/>
      <c r="K45"/>
      <c r="L45"/>
      <c r="M45">
        <f>IF('Calc Data-15K'!AW30&gt;1,1*('Data Entry - SOF'!O50/100),'Calc Data-15K'!AW30*('Data Entry - SOF'!O50/100))</f>
        <v>0</v>
      </c>
      <c r="AN45" s="36" t="e">
        <f>#REF!</f>
        <v>#REF!</v>
      </c>
    </row>
    <row r="46" spans="2:40">
      <c r="D46" s="23" t="s">
        <v>889</v>
      </c>
      <c r="F46" s="37">
        <f>F44-F45</f>
        <v>0</v>
      </c>
      <c r="G46" s="37"/>
      <c r="H46" s="1046">
        <f>H44-H45</f>
        <v>0</v>
      </c>
      <c r="J46"/>
      <c r="K46"/>
      <c r="L46"/>
      <c r="M46">
        <f>M44-M45</f>
        <v>0</v>
      </c>
      <c r="AN46" s="37" t="e">
        <f>AN44-AN45</f>
        <v>#REF!</v>
      </c>
    </row>
    <row r="47" spans="2:40">
      <c r="D47" s="23"/>
      <c r="G47" s="37"/>
      <c r="H47" s="1735"/>
      <c r="J47"/>
      <c r="K47"/>
      <c r="L47"/>
      <c r="M47"/>
      <c r="P47" s="62"/>
      <c r="AN47" s="37"/>
    </row>
    <row r="48" spans="2:40">
      <c r="D48" s="949" t="s">
        <v>835</v>
      </c>
      <c r="G48" s="37"/>
      <c r="H48" s="1735"/>
      <c r="J48"/>
      <c r="K48"/>
      <c r="L48"/>
      <c r="M48"/>
      <c r="P48" s="62"/>
      <c r="AN48" s="37"/>
    </row>
    <row r="49" spans="4:15">
      <c r="D49" s="23" t="s">
        <v>1716</v>
      </c>
      <c r="F49" s="90">
        <f>IF(F46&lt;F76+F40+F42+F31+F32,F76+F40+F42+F31+F32,F46)</f>
        <v>0</v>
      </c>
      <c r="G49" s="37"/>
      <c r="H49" s="1041">
        <f>IF(H46&lt;H76+H40+H42+H31+H32,H76+H40+H42+H31+H32,H46)</f>
        <v>0</v>
      </c>
      <c r="J49"/>
      <c r="K49"/>
      <c r="L49"/>
      <c r="M49">
        <f>IF(M46&lt;I76+M40+M42+M31+M32,I76+M40+M42+M31+M32,M46)</f>
        <v>0</v>
      </c>
    </row>
    <row r="50" spans="4:15" hidden="1">
      <c r="D50" s="23" t="s">
        <v>2596</v>
      </c>
      <c r="G50" s="37" t="e">
        <f>ROUND(IF((24.7*'Calc Data-SB1'!#REF!*IF('Calc Data-SB1'!#REF!&gt;=0.64,0.64,'Calc Data-SB1'!#REF!)*100)&lt;'Calc Data-SB1'!#REF!,0,(24.7*'Calc Data-SB1'!#REF!*IF('Calc Data-SB1'!#REF!&gt;=0.64,0.64,'Calc Data-SB1'!#REF!)*100)-'Calc Data-SB1'!#REF!),0)</f>
        <v>#REF!</v>
      </c>
      <c r="H50" s="37"/>
      <c r="I50" s="1925"/>
      <c r="J50"/>
      <c r="K50"/>
      <c r="L50"/>
      <c r="M50"/>
    </row>
    <row r="51" spans="4:15">
      <c r="D51" s="23"/>
      <c r="G51" s="37"/>
      <c r="H51" s="1050"/>
      <c r="I51" s="1925"/>
      <c r="J51"/>
      <c r="K51"/>
      <c r="L51"/>
      <c r="M51"/>
    </row>
    <row r="52" spans="4:15">
      <c r="D52" s="23" t="s">
        <v>2748</v>
      </c>
      <c r="F52" s="37" t="e">
        <f>ROUND(IF((Assumptions!G146*'Calc Data-SB1'!I25*'Calc Data-SB1'!I35*100)&lt;'Calc Data-SB1'!I42,0,(Assumptions!G146*'Calc Data-SB1'!I25*'Calc Data-SB1'!I35*100)-'Calc Data-SB1'!I42),0)</f>
        <v>#DIV/0!</v>
      </c>
      <c r="G52" s="37"/>
      <c r="H52" s="1050" t="e">
        <f>ROUND(IF((Assumptions!G146*'Calc Data-SB1'!I25*'Calc Data-SB1'!I35*100)&lt;'Calc Data-SB1'!I42,0,(Assumptions!G146*'Calc Data-SB1'!I25*'Calc Data-SB1'!I35*100)-'Calc Data-SB1'!I42),0)</f>
        <v>#DIV/0!</v>
      </c>
      <c r="I52" s="1812" t="e">
        <f>ROUND(IF((Assumptions!G128*'Calc Data-SB1'!I25*'Calc Data-SB1'!AS93*100)&lt;'Calc Data-SB1'!AS102,0,(Assumptions!G128*'Calc Data-SB1'!I25*'Calc Data-SB1'!AS93*100)-'Calc Data-SB1'!AS102),0)</f>
        <v>#DIV/0!</v>
      </c>
      <c r="J52" t="e">
        <f>ROUND(IF((Assumptions!G128*'Calc Data-SB1'!I25*'Calc Data-SB1'!I81*100)&lt;'Calc Data-SB1'!I88,0,(Assumptions!G128*'Calc Data-SB1'!I25*'Calc Data-SB1'!I81*100)-'Calc Data-SB1'!I88),0)</f>
        <v>#DIV/0!</v>
      </c>
      <c r="K52" t="e">
        <f>J52</f>
        <v>#DIV/0!</v>
      </c>
      <c r="L52"/>
      <c r="M52" t="e">
        <f>ROUND(IF((Assumptions!G79*'Calc Data-15K'!G25*'Calc Data-15K'!G81*100)&lt;'Calc Data-15K'!G88,0,(Assumptions!G79*'Calc Data-15K'!G25*'Calc Data-15K'!G81*100)-'Calc Data-15K'!G88),0)</f>
        <v>#DIV/0!</v>
      </c>
    </row>
    <row r="53" spans="4:15">
      <c r="D53" s="23" t="s">
        <v>515</v>
      </c>
      <c r="F53" s="66" t="e">
        <f>ROUND(IF((Assumptions!G147*'Calc Data-SB1'!I25*'Calc Data-SB1'!I38*100)&lt;'Calc Data-SB1'!I43,0,(Assumptions!G147*'Calc Data-SB1'!I25*'Calc Data-SB1'!I38*100)-'Calc Data-SB1'!I43),0)</f>
        <v>#DIV/0!</v>
      </c>
      <c r="G53" s="37"/>
      <c r="H53" s="1051" t="e">
        <f>ROUND(IF((Assumptions!G147*'Calc Data-SB1'!I25*'Calc Data-SB1'!BB29*100)&lt;'Calc Data-SB1'!BB33,0,(Assumptions!G147*'Calc Data-SB1'!I25*'Calc Data-SB1'!BB29*100)-'Calc Data-SB1'!BB33),0)</f>
        <v>#DIV/0!</v>
      </c>
      <c r="I53" s="1823" t="e">
        <f>ROUND(IF((Assumptions!G129*'Calc Data-SB1'!I25*'Calc Data-SB1'!AS94*100)&lt;'Calc Data-SB1'!AS104,0,(Assumptions!G129*'Calc Data-SB1'!I25*'Calc Data-SB1'!AS94*100)-'Calc Data-SB1'!AS104),0)</f>
        <v>#DIV/0!</v>
      </c>
      <c r="J53" t="e">
        <f>ROUND(IF((Assumptions!G129*'Calc Data-SB1'!I25*'Calc Data-SB1'!I84*100)&lt;'Calc Data-SB1'!I89,0,(Assumptions!G129*'Calc Data-SB1'!I25*'Calc Data-SB1'!I84*100)-'Calc Data-SB1'!I89),0)</f>
        <v>#DIV/0!</v>
      </c>
      <c r="K53" t="e">
        <f>ROUND(IF((Assumptions!G129*'Calc Data-SB1'!I25*'Calc Data-SB1'!AR84*100)&lt;'Calc Data-SB1'!AR88,0,(Assumptions!G129*'Calc Data-SB1'!I25*'Calc Data-SB1'!AR84*100)-'Calc Data-SB1'!AR88),0)</f>
        <v>#DIV/0!</v>
      </c>
      <c r="L53"/>
      <c r="M53" t="e">
        <f>ROUND(IF((Assumptions!G80*'Calc Data-15K'!G25*'Calc Data-15K'!G84*100)&lt;'Calc Data-15K'!G89,0,(Assumptions!G80*'Calc Data-15K'!G25*'Calc Data-15K'!G84*100)-'Calc Data-15K'!G89),0)</f>
        <v>#DIV/0!</v>
      </c>
    </row>
    <row r="54" spans="4:15">
      <c r="D54" s="23" t="s">
        <v>315</v>
      </c>
      <c r="F54" s="37" t="e">
        <f>SUM(F50:F53)</f>
        <v>#DIV/0!</v>
      </c>
      <c r="G54" s="37"/>
      <c r="H54" s="1050" t="e">
        <f>SUM(H50:H53)</f>
        <v>#DIV/0!</v>
      </c>
      <c r="I54" s="1811" t="e">
        <f>SUM(I52:I53)</f>
        <v>#DIV/0!</v>
      </c>
      <c r="J54"/>
      <c r="K54"/>
      <c r="L54"/>
      <c r="M54"/>
    </row>
    <row r="55" spans="4:15">
      <c r="D55" s="23"/>
      <c r="G55" s="37"/>
      <c r="H55" s="1050"/>
      <c r="I55" s="1402"/>
      <c r="J55"/>
      <c r="K55"/>
      <c r="L55"/>
      <c r="M55"/>
      <c r="N55" s="121"/>
      <c r="O55" s="1375"/>
    </row>
    <row r="56" spans="4:15">
      <c r="D56" s="23" t="s">
        <v>832</v>
      </c>
      <c r="G56" s="37"/>
      <c r="H56" s="1050"/>
      <c r="I56" s="1402"/>
      <c r="J56"/>
      <c r="K56"/>
      <c r="L56"/>
      <c r="M56"/>
      <c r="N56" s="121"/>
      <c r="O56" s="1375"/>
    </row>
    <row r="57" spans="4:15">
      <c r="D57" s="23" t="s">
        <v>859</v>
      </c>
      <c r="F57" s="37">
        <f>'Data Entry - SOF'!O76</f>
        <v>0</v>
      </c>
      <c r="G57" s="37"/>
      <c r="H57" s="1050">
        <f>F57</f>
        <v>0</v>
      </c>
      <c r="I57" s="1811">
        <f t="shared" ref="I57:I69" si="1">H57</f>
        <v>0</v>
      </c>
      <c r="J57" t="e">
        <f>'ASATR-SB1'!Q62</f>
        <v>#DIV/0!</v>
      </c>
      <c r="K57" t="e">
        <f>J57</f>
        <v>#DIV/0!</v>
      </c>
      <c r="L57" t="e">
        <f>'ASATR-SB1'!N62</f>
        <v>#DIV/0!</v>
      </c>
      <c r="M57" t="e">
        <f>L57</f>
        <v>#DIV/0!</v>
      </c>
      <c r="N57" s="121"/>
      <c r="O57" s="1375"/>
    </row>
    <row r="58" spans="4:15">
      <c r="D58" s="23" t="s">
        <v>3489</v>
      </c>
      <c r="F58" s="37">
        <f>'Data Entry - SOF'!O75</f>
        <v>0</v>
      </c>
      <c r="G58" s="37"/>
      <c r="H58" s="1050">
        <f>F58</f>
        <v>0</v>
      </c>
      <c r="I58" s="1811">
        <f t="shared" si="1"/>
        <v>0</v>
      </c>
      <c r="J58"/>
      <c r="K58"/>
      <c r="L58"/>
      <c r="M58"/>
      <c r="N58" s="121"/>
      <c r="O58" s="1375"/>
    </row>
    <row r="59" spans="4:15">
      <c r="D59" s="23" t="s">
        <v>3490</v>
      </c>
      <c r="F59" s="37">
        <f>'Data Entry - SOF'!O77</f>
        <v>0</v>
      </c>
      <c r="G59" s="37"/>
      <c r="H59" s="1050">
        <f t="shared" ref="H59:H68" si="2">F59</f>
        <v>0</v>
      </c>
      <c r="I59" s="1811">
        <f t="shared" si="1"/>
        <v>0</v>
      </c>
      <c r="J59"/>
      <c r="K59"/>
      <c r="L59"/>
      <c r="M59"/>
      <c r="N59" s="121"/>
      <c r="O59" s="1375"/>
    </row>
    <row r="60" spans="4:15">
      <c r="D60" s="23" t="s">
        <v>3491</v>
      </c>
      <c r="F60" s="37">
        <f>'Data Entry - SOF'!O78</f>
        <v>0</v>
      </c>
      <c r="G60" s="37"/>
      <c r="H60" s="1050">
        <f t="shared" si="2"/>
        <v>0</v>
      </c>
      <c r="I60" s="1811">
        <f t="shared" si="1"/>
        <v>0</v>
      </c>
      <c r="J60"/>
      <c r="K60"/>
      <c r="L60"/>
      <c r="M60"/>
      <c r="N60" s="121"/>
      <c r="O60" s="1375"/>
    </row>
    <row r="61" spans="4:15">
      <c r="D61" s="23" t="s">
        <v>3492</v>
      </c>
      <c r="F61" s="37">
        <f>'Data Entry - SOF'!O79</f>
        <v>0</v>
      </c>
      <c r="G61" s="37"/>
      <c r="H61" s="1050">
        <f t="shared" si="2"/>
        <v>0</v>
      </c>
      <c r="I61" s="1811">
        <f t="shared" si="1"/>
        <v>0</v>
      </c>
      <c r="J61"/>
      <c r="K61"/>
      <c r="L61"/>
      <c r="M61"/>
      <c r="N61" s="121"/>
      <c r="O61" s="1375"/>
    </row>
    <row r="62" spans="4:15">
      <c r="D62" s="23" t="s">
        <v>3493</v>
      </c>
      <c r="F62" s="37">
        <v>0</v>
      </c>
      <c r="G62" s="37"/>
      <c r="H62" s="1050">
        <f t="shared" si="2"/>
        <v>0</v>
      </c>
      <c r="I62" s="1811">
        <f t="shared" si="1"/>
        <v>0</v>
      </c>
      <c r="J62"/>
      <c r="K62"/>
      <c r="L62"/>
      <c r="M62"/>
      <c r="N62" s="121"/>
      <c r="O62" s="1375"/>
    </row>
    <row r="63" spans="4:15">
      <c r="D63" s="23" t="s">
        <v>3494</v>
      </c>
      <c r="F63" s="37">
        <f>'Data Entry - SOF'!O80</f>
        <v>0</v>
      </c>
      <c r="G63" s="37"/>
      <c r="H63" s="1050">
        <f t="shared" si="2"/>
        <v>0</v>
      </c>
      <c r="I63" s="1811">
        <f t="shared" si="1"/>
        <v>0</v>
      </c>
      <c r="J63"/>
      <c r="K63"/>
      <c r="L63"/>
      <c r="M63"/>
      <c r="N63" s="121"/>
      <c r="O63" s="1375"/>
    </row>
    <row r="64" spans="4:15">
      <c r="D64" s="23" t="s">
        <v>2801</v>
      </c>
      <c r="F64" s="37">
        <v>0</v>
      </c>
      <c r="G64" s="37"/>
      <c r="H64" s="1050">
        <f t="shared" si="2"/>
        <v>0</v>
      </c>
      <c r="I64" s="1811">
        <f t="shared" si="1"/>
        <v>0</v>
      </c>
      <c r="J64"/>
      <c r="K64"/>
      <c r="L64"/>
      <c r="M64"/>
      <c r="N64" s="121"/>
      <c r="O64" s="1375"/>
    </row>
    <row r="65" spans="1:15">
      <c r="D65" s="23" t="s">
        <v>2793</v>
      </c>
      <c r="F65" s="37">
        <f>(500*'Data Entry - SOF'!O44)+(250*'Data Entry - SOF'!O45)</f>
        <v>0</v>
      </c>
      <c r="G65" s="37"/>
      <c r="H65" s="1050">
        <f t="shared" si="2"/>
        <v>0</v>
      </c>
      <c r="I65" s="1811">
        <f t="shared" si="1"/>
        <v>0</v>
      </c>
      <c r="J65"/>
      <c r="K65"/>
      <c r="L65"/>
      <c r="M65"/>
      <c r="N65" s="121"/>
      <c r="O65" s="1375"/>
    </row>
    <row r="66" spans="1:15">
      <c r="D66" s="23" t="s">
        <v>833</v>
      </c>
      <c r="F66" s="905" t="e">
        <f>(('Data Entry - SOF'!O69/'Calc Data-SB1'!H7)*'Data Entry - SOF'!O67)*-1</f>
        <v>#DIV/0!</v>
      </c>
      <c r="G66" s="37"/>
      <c r="H66" s="1050" t="e">
        <f t="shared" si="2"/>
        <v>#DIV/0!</v>
      </c>
      <c r="I66" s="1811" t="e">
        <f t="shared" si="1"/>
        <v>#DIV/0!</v>
      </c>
      <c r="J66"/>
      <c r="K66"/>
      <c r="L66"/>
      <c r="M66"/>
      <c r="N66" s="121"/>
      <c r="O66" s="1375"/>
    </row>
    <row r="67" spans="1:15">
      <c r="D67" s="23" t="s">
        <v>834</v>
      </c>
      <c r="F67" s="1241" t="e">
        <f>(('Data Entry - SOF'!O69/'Calc Data-SB1'!H7)*'Data Entry - SOF'!O68)*-1</f>
        <v>#DIV/0!</v>
      </c>
      <c r="G67" s="37"/>
      <c r="H67" s="1050" t="e">
        <f t="shared" si="2"/>
        <v>#DIV/0!</v>
      </c>
      <c r="I67" s="1811" t="e">
        <f t="shared" si="1"/>
        <v>#DIV/0!</v>
      </c>
      <c r="J67"/>
      <c r="K67"/>
      <c r="L67"/>
      <c r="M67"/>
      <c r="N67" s="121"/>
      <c r="O67" s="1375"/>
    </row>
    <row r="68" spans="1:15">
      <c r="D68" s="23" t="s">
        <v>3399</v>
      </c>
      <c r="F68" s="1242">
        <f>'Data Entry - SOF'!O96</f>
        <v>0</v>
      </c>
      <c r="G68" s="37"/>
      <c r="H68" s="1051">
        <f t="shared" si="2"/>
        <v>0</v>
      </c>
      <c r="I68" s="1859">
        <f t="shared" si="1"/>
        <v>0</v>
      </c>
      <c r="J68"/>
      <c r="K68"/>
      <c r="L68"/>
      <c r="M68"/>
      <c r="N68" s="121"/>
      <c r="O68" s="1375"/>
    </row>
    <row r="69" spans="1:15">
      <c r="D69" s="906" t="s">
        <v>200</v>
      </c>
      <c r="F69" s="37" t="e">
        <f>SUM(F57:F68)</f>
        <v>#DIV/0!</v>
      </c>
      <c r="G69" s="37"/>
      <c r="H69" s="1050" t="e">
        <f>SUM(H57:H68)</f>
        <v>#DIV/0!</v>
      </c>
      <c r="I69" s="1811" t="e">
        <f t="shared" si="1"/>
        <v>#DIV/0!</v>
      </c>
      <c r="J69"/>
      <c r="K69"/>
      <c r="L69"/>
      <c r="M69"/>
      <c r="N69" s="121"/>
      <c r="O69" s="1375"/>
    </row>
    <row r="70" spans="1:15">
      <c r="D70" s="906"/>
      <c r="F70" s="47"/>
      <c r="G70" s="37"/>
      <c r="H70" s="1050"/>
      <c r="I70" s="1811"/>
      <c r="J70"/>
      <c r="K70"/>
      <c r="L70"/>
      <c r="M70"/>
      <c r="N70" s="121"/>
      <c r="O70" s="1375"/>
    </row>
    <row r="71" spans="1:15">
      <c r="D71" s="23" t="s">
        <v>2749</v>
      </c>
      <c r="F71" s="37">
        <f>F76*-1</f>
        <v>0</v>
      </c>
      <c r="G71" s="37"/>
      <c r="H71" s="1050">
        <f>H76*-1</f>
        <v>0</v>
      </c>
      <c r="I71" s="1811">
        <f>H71</f>
        <v>0</v>
      </c>
      <c r="J71"/>
      <c r="K71"/>
      <c r="L71"/>
      <c r="M71"/>
      <c r="N71" s="121"/>
      <c r="O71" s="1375"/>
    </row>
    <row r="72" spans="1:15" ht="13.5" thickBot="1">
      <c r="D72" s="23"/>
      <c r="G72" s="37"/>
      <c r="H72" s="1050"/>
      <c r="I72" s="1925"/>
      <c r="J72"/>
      <c r="K72"/>
      <c r="L72"/>
      <c r="M72"/>
      <c r="N72" s="121"/>
      <c r="O72" s="1375"/>
    </row>
    <row r="73" spans="1:15" ht="13.5" thickTop="1">
      <c r="A73" s="909"/>
      <c r="B73" s="910"/>
      <c r="C73" s="910"/>
      <c r="D73" s="911"/>
      <c r="E73" s="910"/>
      <c r="F73" s="956"/>
      <c r="G73" s="37"/>
      <c r="H73" s="1050"/>
      <c r="I73" s="1925"/>
      <c r="J73"/>
      <c r="K73"/>
      <c r="L73"/>
      <c r="M73"/>
      <c r="N73" s="121"/>
      <c r="O73" s="1375"/>
    </row>
    <row r="74" spans="1:15">
      <c r="A74" s="912"/>
      <c r="B74" s="893" t="s">
        <v>202</v>
      </c>
      <c r="C74" s="35"/>
      <c r="D74" s="908"/>
      <c r="E74" s="35"/>
      <c r="F74" s="957"/>
      <c r="G74" s="37"/>
      <c r="H74" s="1050"/>
      <c r="I74" s="1925"/>
      <c r="J74"/>
      <c r="K74"/>
      <c r="L74"/>
      <c r="M74"/>
      <c r="N74" s="121"/>
      <c r="O74" s="1375"/>
    </row>
    <row r="75" spans="1:15">
      <c r="A75" s="912"/>
      <c r="B75" s="893" t="s">
        <v>1681</v>
      </c>
      <c r="C75" s="35"/>
      <c r="D75" s="101" t="s">
        <v>836</v>
      </c>
      <c r="E75" s="101"/>
      <c r="F75" s="189" t="e">
        <f>F49+F54+F69+F71</f>
        <v>#DIV/0!</v>
      </c>
      <c r="G75" s="37"/>
      <c r="H75" s="1756" t="e">
        <f>H49+H54+H69+H71</f>
        <v>#DIV/0!</v>
      </c>
      <c r="I75" s="2010" t="e">
        <f>M49+I54+I69+I71</f>
        <v>#DIV/0!</v>
      </c>
      <c r="J75"/>
      <c r="K75"/>
      <c r="L75"/>
      <c r="M75"/>
      <c r="N75" s="121"/>
      <c r="O75" s="1375"/>
    </row>
    <row r="76" spans="1:15">
      <c r="A76" s="912"/>
      <c r="B76" s="893" t="s">
        <v>1679</v>
      </c>
      <c r="C76" s="35"/>
      <c r="D76" s="101" t="s">
        <v>3005</v>
      </c>
      <c r="E76" s="101"/>
      <c r="F76" s="189">
        <f>'Calc Data-SB1'!H7*Assumptions!G150</f>
        <v>0</v>
      </c>
      <c r="G76" s="37"/>
      <c r="H76" s="1756">
        <f>'Calc Data-SB1'!H7*Assumptions!G150</f>
        <v>0</v>
      </c>
      <c r="I76" s="1932">
        <f>H76</f>
        <v>0</v>
      </c>
      <c r="J76"/>
      <c r="K76"/>
      <c r="L76"/>
      <c r="M76"/>
      <c r="N76" s="121"/>
      <c r="O76" s="1375"/>
    </row>
    <row r="77" spans="1:15" ht="15.75">
      <c r="A77" s="912"/>
      <c r="B77" s="893" t="s">
        <v>1680</v>
      </c>
      <c r="C77" s="35"/>
      <c r="D77" s="952" t="s">
        <v>858</v>
      </c>
      <c r="E77" s="123"/>
      <c r="F77" s="959">
        <v>0</v>
      </c>
      <c r="G77" s="37"/>
      <c r="H77" s="1757">
        <v>0</v>
      </c>
      <c r="I77" s="1932">
        <f>H77</f>
        <v>0</v>
      </c>
      <c r="J77"/>
      <c r="K77"/>
      <c r="L77"/>
      <c r="M77"/>
      <c r="N77" s="121"/>
      <c r="O77" s="1375"/>
    </row>
    <row r="78" spans="1:15">
      <c r="A78" s="912"/>
      <c r="B78" s="893" t="s">
        <v>839</v>
      </c>
      <c r="C78" s="35"/>
      <c r="D78" s="101" t="s">
        <v>837</v>
      </c>
      <c r="E78" s="101"/>
      <c r="F78" s="189">
        <f>'Existing Debt'!S74</f>
        <v>0</v>
      </c>
      <c r="G78" s="37"/>
      <c r="H78" s="1756">
        <f>F78</f>
        <v>0</v>
      </c>
      <c r="I78" s="1932">
        <f>'Existing Debt'!P74</f>
        <v>0</v>
      </c>
      <c r="J78"/>
      <c r="K78"/>
      <c r="L78"/>
      <c r="M78"/>
      <c r="N78" s="121"/>
      <c r="O78" s="1375"/>
    </row>
    <row r="79" spans="1:15" ht="13.5" thickBot="1">
      <c r="A79" s="912"/>
      <c r="B79" s="893" t="s">
        <v>1251</v>
      </c>
      <c r="C79" s="35"/>
      <c r="D79" s="101" t="s">
        <v>838</v>
      </c>
      <c r="E79" s="101"/>
      <c r="F79" s="950">
        <f>IFA!AF86+IFA!AH75</f>
        <v>0</v>
      </c>
      <c r="G79" s="37"/>
      <c r="H79" s="1758">
        <f>F79</f>
        <v>0</v>
      </c>
      <c r="I79" s="2011">
        <f>IFA!Y86+IFA!AA75</f>
        <v>0</v>
      </c>
      <c r="J79"/>
      <c r="K79"/>
      <c r="L79"/>
      <c r="M79"/>
      <c r="N79" s="121"/>
      <c r="O79" s="1375"/>
    </row>
    <row r="80" spans="1:15">
      <c r="A80" s="912"/>
      <c r="B80" s="35"/>
      <c r="C80" s="35"/>
      <c r="D80" s="35"/>
      <c r="E80" s="35"/>
      <c r="F80" s="957"/>
      <c r="G80" s="37"/>
      <c r="H80" s="1759"/>
      <c r="I80" s="1933"/>
      <c r="J80"/>
      <c r="K80"/>
      <c r="L80"/>
      <c r="M80"/>
      <c r="N80" s="173"/>
      <c r="O80" s="1797"/>
    </row>
    <row r="81" spans="1:18" ht="12.75" customHeight="1" thickBot="1">
      <c r="A81" s="912"/>
      <c r="B81" s="35"/>
      <c r="C81" s="35"/>
      <c r="D81" s="101" t="s">
        <v>1155</v>
      </c>
      <c r="E81" s="35"/>
      <c r="F81" s="951" t="e">
        <f>SUM(F75:F79)</f>
        <v>#DIV/0!</v>
      </c>
      <c r="G81" s="37"/>
      <c r="H81" s="951" t="e">
        <f>SUM(H75:H79)</f>
        <v>#DIV/0!</v>
      </c>
      <c r="I81" s="2012" t="e">
        <f>SUM(I75:I79)</f>
        <v>#DIV/0!</v>
      </c>
      <c r="J81"/>
      <c r="K81"/>
      <c r="L81"/>
      <c r="M81"/>
      <c r="N81" s="173"/>
      <c r="O81" s="1797"/>
    </row>
    <row r="82" spans="1:18" ht="14.25" hidden="1" thickTop="1" thickBot="1">
      <c r="A82" s="912"/>
      <c r="B82" s="35"/>
      <c r="C82" s="35"/>
      <c r="D82" s="34" t="s">
        <v>513</v>
      </c>
      <c r="E82" s="35"/>
      <c r="F82" s="35"/>
      <c r="G82" s="37"/>
      <c r="H82" s="1760" t="e">
        <f>SUM(H75:H79)</f>
        <v>#DIV/0!</v>
      </c>
      <c r="I82" s="1925"/>
      <c r="J82"/>
      <c r="K82"/>
      <c r="L82"/>
      <c r="M82"/>
      <c r="N82" s="173"/>
      <c r="O82" s="1797"/>
    </row>
    <row r="83" spans="1:18" ht="14.25" thickTop="1" thickBot="1">
      <c r="A83" s="913"/>
      <c r="B83" s="914"/>
      <c r="C83" s="914"/>
      <c r="D83" s="915"/>
      <c r="E83" s="914"/>
      <c r="F83" s="970"/>
      <c r="G83" s="19"/>
      <c r="H83" s="37"/>
      <c r="I83" s="1925"/>
      <c r="J83"/>
      <c r="K83"/>
      <c r="L83"/>
      <c r="M83"/>
    </row>
    <row r="84" spans="1:18" ht="13.5" thickTop="1">
      <c r="B84" s="23"/>
      <c r="G84" s="59"/>
      <c r="H84" s="19"/>
      <c r="I84" s="1925"/>
      <c r="J84"/>
      <c r="K84"/>
      <c r="L84"/>
      <c r="M84"/>
      <c r="P84" s="121"/>
      <c r="Q84" s="421"/>
      <c r="R84" s="5"/>
    </row>
    <row r="85" spans="1:18">
      <c r="H85" s="59"/>
      <c r="I85" s="1925"/>
      <c r="J85"/>
      <c r="K85"/>
      <c r="L85"/>
      <c r="M85"/>
      <c r="P85" s="5"/>
    </row>
    <row r="86" spans="1:18" ht="13.5" thickBot="1">
      <c r="I86" s="1925"/>
      <c r="J86"/>
      <c r="K86"/>
      <c r="L86"/>
      <c r="M86"/>
    </row>
    <row r="87" spans="1:18" ht="13.5" thickTop="1">
      <c r="A87" s="918" t="s">
        <v>2816</v>
      </c>
      <c r="B87" s="91"/>
      <c r="C87" s="91"/>
      <c r="D87" s="91"/>
      <c r="E87" s="91"/>
      <c r="F87" s="183"/>
      <c r="I87" s="1925"/>
      <c r="J87"/>
      <c r="K87"/>
      <c r="L87"/>
      <c r="M87"/>
    </row>
    <row r="88" spans="1:18">
      <c r="A88" s="186"/>
      <c r="B88" s="35"/>
      <c r="C88" s="35"/>
      <c r="D88" s="35"/>
      <c r="E88" s="35"/>
      <c r="F88" s="184"/>
      <c r="I88" s="1925"/>
      <c r="J88"/>
      <c r="K88"/>
      <c r="L88"/>
      <c r="M88"/>
    </row>
    <row r="89" spans="1:18">
      <c r="A89" s="185" t="s">
        <v>2477</v>
      </c>
      <c r="B89" s="35"/>
      <c r="C89" s="35"/>
      <c r="D89" s="35"/>
      <c r="E89" s="35"/>
      <c r="F89" s="894" t="e">
        <f>IF(F75&lt;0,F76,F75+F76)</f>
        <v>#DIV/0!</v>
      </c>
      <c r="H89" s="894" t="e">
        <f>IF(H75&lt;0,H76,H75+H76)</f>
        <v>#DIV/0!</v>
      </c>
      <c r="I89" s="1934" t="e">
        <f>IF(I75&lt;0,I76,I75+I76)</f>
        <v>#DIV/0!</v>
      </c>
      <c r="J89"/>
      <c r="K89"/>
      <c r="L89"/>
      <c r="M89"/>
    </row>
    <row r="90" spans="1:18">
      <c r="A90" s="239" t="s">
        <v>1910</v>
      </c>
      <c r="B90" s="35"/>
      <c r="C90" s="35"/>
      <c r="D90" s="35"/>
      <c r="E90" s="35"/>
      <c r="F90" s="895" t="e">
        <f>'Calc Data-SB1'!I30-'ASATR-SB1'!Q24</f>
        <v>#DIV/0!</v>
      </c>
      <c r="H90" s="895" t="e">
        <f>'Calc Data-SB1'!BB32-'ASATR-SB1'!Q39</f>
        <v>#DIV/0!</v>
      </c>
      <c r="I90" s="1935" t="e">
        <f>'Calc Data-SB1'!AX32-'ASATR-SB1'!N39</f>
        <v>#DIV/0!</v>
      </c>
      <c r="J90"/>
      <c r="K90"/>
      <c r="L90"/>
      <c r="M90"/>
      <c r="P90" s="121"/>
    </row>
    <row r="91" spans="1:18">
      <c r="A91" s="239" t="s">
        <v>1062</v>
      </c>
      <c r="B91" s="35"/>
      <c r="C91" s="35"/>
      <c r="D91" s="35"/>
      <c r="E91" s="35"/>
      <c r="F91" s="895" t="e">
        <f>'Calc Data-SB1'!I34</f>
        <v>#DIV/0!</v>
      </c>
      <c r="H91" s="895" t="e">
        <f>'Calc Data-SB1'!I34</f>
        <v>#DIV/0!</v>
      </c>
      <c r="I91" s="1938" t="e">
        <f>'Calc Data-SB1'!AS71</f>
        <v>#DIV/0!</v>
      </c>
      <c r="J91"/>
      <c r="K91"/>
      <c r="L91"/>
      <c r="M91"/>
      <c r="P91" s="121"/>
    </row>
    <row r="92" spans="1:18">
      <c r="A92" s="239" t="s">
        <v>1063</v>
      </c>
      <c r="B92" s="35"/>
      <c r="C92" s="35"/>
      <c r="D92" s="35"/>
      <c r="E92" s="35"/>
      <c r="F92" t="e">
        <f>'Calc Data-SB1'!I37-IF('Option Costs-HB3646'!AY57="N",MAX('Option Costs-HB3646'!BC54,'Option Costs-HB3646'!BE54),MIN('Option Costs-HB3646'!BC54,'Option Costs-HB3646'!BE54))</f>
        <v>#DIV/0!</v>
      </c>
      <c r="H92" s="907" t="e">
        <f>'Calc Data-SB1'!BB31-IF('Option Costs-HB3646'!BC57="N",MAX('Option Costs-HB3646'!BC85,'Option Costs-HB3646'!BE85),MIN('Option Costs-HB3646'!BC85,'Option Costs-HB3646'!BE85))</f>
        <v>#DIV/0!</v>
      </c>
      <c r="I92" s="1936" t="e">
        <f>'Calc Data-SB1'!AS31-IF('Option Costs-15K'!AU57="N",MAX('Option Costs-15K'!AU54,'Option Costs-15K'!AW54),MIN('Option Costs-15K'!AU54,'Option Costs-15K'!AW54))</f>
        <v>#DIV/0!</v>
      </c>
      <c r="J92"/>
      <c r="K92"/>
      <c r="L92"/>
      <c r="M92"/>
    </row>
    <row r="93" spans="1:18">
      <c r="A93" s="239" t="s">
        <v>3710</v>
      </c>
      <c r="B93" s="35"/>
      <c r="C93" s="35"/>
      <c r="D93" s="35"/>
      <c r="E93" s="35"/>
      <c r="F93" s="958" t="e">
        <f>SUM(F89:F92)</f>
        <v>#DIV/0!</v>
      </c>
      <c r="H93" s="958" t="e">
        <f>SUM(H89:H92)</f>
        <v>#DIV/0!</v>
      </c>
      <c r="I93" s="1937" t="e">
        <f>SUM(I89:I92)</f>
        <v>#DIV/0!</v>
      </c>
      <c r="J93"/>
      <c r="K93"/>
      <c r="L93"/>
      <c r="M93"/>
    </row>
    <row r="94" spans="1:18">
      <c r="A94" s="185" t="s">
        <v>1908</v>
      </c>
      <c r="B94" s="35"/>
      <c r="C94" s="35"/>
      <c r="D94" s="35"/>
      <c r="E94" s="35"/>
      <c r="F94" s="907" t="e">
        <f>IF(F75&gt;0,0,F75)</f>
        <v>#DIV/0!</v>
      </c>
      <c r="H94" s="907" t="e">
        <f>IF(H75&gt;0,0,H75)</f>
        <v>#DIV/0!</v>
      </c>
      <c r="I94" s="1936" t="e">
        <f>IF(I75&gt;0,0,I75)</f>
        <v>#DIV/0!</v>
      </c>
      <c r="J94"/>
      <c r="K94"/>
      <c r="L94"/>
      <c r="M94"/>
    </row>
    <row r="95" spans="1:18">
      <c r="A95" s="423" t="s">
        <v>3711</v>
      </c>
      <c r="B95" s="35"/>
      <c r="C95" s="35"/>
      <c r="D95" s="35"/>
      <c r="E95" s="35"/>
      <c r="F95" s="958" t="e">
        <f>F93+F94</f>
        <v>#DIV/0!</v>
      </c>
      <c r="H95" s="958" t="e">
        <f>H93+H94</f>
        <v>#DIV/0!</v>
      </c>
      <c r="I95" s="1937" t="e">
        <f>I93+I94</f>
        <v>#DIV/0!</v>
      </c>
      <c r="J95"/>
      <c r="K95"/>
      <c r="L95"/>
      <c r="M95"/>
    </row>
    <row r="96" spans="1:18" ht="13.5" thickBot="1">
      <c r="A96" s="187"/>
      <c r="B96" s="50"/>
      <c r="C96" s="50"/>
      <c r="D96" s="50"/>
      <c r="E96" s="50"/>
      <c r="F96" s="188"/>
      <c r="J96"/>
      <c r="K96"/>
      <c r="L96"/>
      <c r="M96"/>
    </row>
    <row r="97" spans="1:13" ht="13.5" hidden="1" thickTop="1">
      <c r="D97" s="47" t="s">
        <v>1399</v>
      </c>
      <c r="E97" s="47"/>
      <c r="F97" s="47"/>
      <c r="H97" s="958" t="e">
        <f>H94+H95</f>
        <v>#DIV/0!</v>
      </c>
      <c r="J97" s="1808"/>
      <c r="K97" s="1808"/>
      <c r="L97" s="1811"/>
      <c r="M97" s="1846"/>
    </row>
    <row r="98" spans="1:13" ht="13.5" hidden="1" thickTop="1">
      <c r="D98" s="47" t="s">
        <v>511</v>
      </c>
      <c r="E98" s="47"/>
      <c r="F98" s="47"/>
      <c r="J98" s="1053"/>
      <c r="K98" s="1053"/>
      <c r="L98" s="1402"/>
      <c r="M98" s="1846"/>
    </row>
    <row r="99" spans="1:13" ht="13.5" hidden="1" thickTop="1">
      <c r="D99" s="47" t="s">
        <v>512</v>
      </c>
    </row>
    <row r="100" spans="1:13" ht="13.5" hidden="1" thickTop="1">
      <c r="D100" s="47" t="s">
        <v>1147</v>
      </c>
    </row>
    <row r="101" spans="1:13" ht="13.5" hidden="1" thickTop="1">
      <c r="D101" s="47" t="s">
        <v>720</v>
      </c>
    </row>
    <row r="102" spans="1:13" ht="13.5" hidden="1" thickTop="1">
      <c r="D102" s="47" t="s">
        <v>721</v>
      </c>
    </row>
    <row r="103" spans="1:13" ht="13.5" thickTop="1">
      <c r="D103" s="47"/>
    </row>
    <row r="107" spans="1:13" hidden="1">
      <c r="A107" s="23" t="s">
        <v>1870</v>
      </c>
      <c r="G107" s="19"/>
    </row>
    <row r="108" spans="1:13" hidden="1">
      <c r="G108" s="19"/>
    </row>
    <row r="109" spans="1:13" hidden="1">
      <c r="A109" s="23" t="s">
        <v>1682</v>
      </c>
      <c r="G109" s="19"/>
      <c r="H109" s="19"/>
      <c r="J109" s="1739"/>
      <c r="K109" s="1739"/>
      <c r="L109" s="1739"/>
      <c r="M109" s="1739"/>
    </row>
    <row r="110" spans="1:13" hidden="1">
      <c r="A110" s="23" t="s">
        <v>1683</v>
      </c>
      <c r="H110" s="19"/>
      <c r="J110" s="1739"/>
      <c r="K110" s="1739"/>
      <c r="L110" s="1739"/>
      <c r="M110" s="1739"/>
    </row>
    <row r="111" spans="1:13" hidden="1">
      <c r="A111" s="23" t="s">
        <v>561</v>
      </c>
      <c r="H111" s="19"/>
      <c r="J111" s="1739"/>
      <c r="K111" s="1739"/>
      <c r="L111" s="1739"/>
      <c r="M111" s="1739"/>
    </row>
    <row r="112" spans="1:13" hidden="1">
      <c r="A112" s="23" t="s">
        <v>562</v>
      </c>
    </row>
    <row r="113" spans="1:1" hidden="1">
      <c r="A113" s="23" t="s">
        <v>1139</v>
      </c>
    </row>
    <row r="114" spans="1:1" hidden="1">
      <c r="A114" s="23" t="s">
        <v>1140</v>
      </c>
    </row>
    <row r="115" spans="1:1" hidden="1">
      <c r="A115" s="97" t="s">
        <v>2027</v>
      </c>
    </row>
    <row r="116" spans="1:1" hidden="1"/>
    <row r="117" spans="1:1" hidden="1">
      <c r="A117" s="23" t="s">
        <v>70</v>
      </c>
    </row>
    <row r="118" spans="1:1" hidden="1">
      <c r="A118" s="23" t="s">
        <v>1906</v>
      </c>
    </row>
    <row r="119" spans="1:1" hidden="1">
      <c r="A119" s="23" t="s">
        <v>1907</v>
      </c>
    </row>
    <row r="120" spans="1:1" hidden="1">
      <c r="A120" s="23" t="s">
        <v>2077</v>
      </c>
    </row>
    <row r="121" spans="1:1" hidden="1"/>
    <row r="122" spans="1:1" hidden="1">
      <c r="A122" s="23" t="s">
        <v>2078</v>
      </c>
    </row>
    <row r="123" spans="1:1" hidden="1">
      <c r="A123" s="23" t="s">
        <v>2079</v>
      </c>
    </row>
    <row r="124" spans="1:1" hidden="1">
      <c r="A124" s="23" t="s">
        <v>368</v>
      </c>
    </row>
    <row r="125" spans="1:1" hidden="1">
      <c r="A125" s="23" t="s">
        <v>2080</v>
      </c>
    </row>
    <row r="126" spans="1:1" hidden="1">
      <c r="A126" s="23" t="s">
        <v>366</v>
      </c>
    </row>
    <row r="127" spans="1:1" hidden="1"/>
    <row r="128" spans="1:1" hidden="1">
      <c r="A128" s="97" t="s">
        <v>367</v>
      </c>
    </row>
    <row r="129" spans="5:11" hidden="1"/>
    <row r="132" spans="5:11">
      <c r="E132" t="s">
        <v>3169</v>
      </c>
      <c r="F132" s="5">
        <f>SUM(F22:F28)</f>
        <v>0</v>
      </c>
      <c r="H132" s="5">
        <f>SUM(H22:H28)</f>
        <v>0</v>
      </c>
    </row>
    <row r="133" spans="5:11">
      <c r="E133" t="s">
        <v>3170</v>
      </c>
      <c r="F133" s="5">
        <f>F29+F30</f>
        <v>0</v>
      </c>
      <c r="H133" s="5">
        <f>H29+H30</f>
        <v>0</v>
      </c>
    </row>
    <row r="134" spans="5:11">
      <c r="E134" t="s">
        <v>3171</v>
      </c>
      <c r="F134" s="5">
        <f>F33+F34</f>
        <v>0</v>
      </c>
      <c r="H134" s="5">
        <f>H33+H34</f>
        <v>0</v>
      </c>
      <c r="J134" s="5"/>
      <c r="K134" s="5"/>
    </row>
    <row r="135" spans="5:11">
      <c r="E135" t="s">
        <v>3172</v>
      </c>
      <c r="F135" s="5">
        <f>F35+F36</f>
        <v>0</v>
      </c>
      <c r="H135" s="5">
        <f>H35+H36</f>
        <v>0</v>
      </c>
      <c r="J135" s="5"/>
      <c r="K135" s="5"/>
    </row>
    <row r="136" spans="5:11">
      <c r="E136" t="s">
        <v>3251</v>
      </c>
      <c r="F136" s="121" t="e">
        <f>Assumptions!G146*'Calc Data-SB1'!I25*'Calc Data-SB1'!I35*100</f>
        <v>#DIV/0!</v>
      </c>
      <c r="H136" s="121" t="e">
        <f>Assumptions!G146*'Calc Data-SB1'!I25*'Calc Data-SB1'!I35*100</f>
        <v>#DIV/0!</v>
      </c>
      <c r="J136" s="5"/>
      <c r="K136" s="5"/>
    </row>
    <row r="137" spans="5:11">
      <c r="E137" t="s">
        <v>3253</v>
      </c>
      <c r="F137" s="121" t="e">
        <f>Assumptions!G147*'Calc Data-SB1'!I25*'Calc Data-SB1'!I38*100</f>
        <v>#DIV/0!</v>
      </c>
      <c r="H137" s="121" t="e">
        <f>Assumptions!G147*'Calc Data-SB1'!I25*'Calc Data-SB1'!BB29*100</f>
        <v>#DIV/0!</v>
      </c>
      <c r="J137" s="5"/>
      <c r="K137" s="5"/>
    </row>
    <row r="138" spans="5:11">
      <c r="J138" s="121"/>
      <c r="K138" s="121"/>
    </row>
    <row r="139" spans="5:11">
      <c r="J139" s="121"/>
      <c r="K139" s="121"/>
    </row>
  </sheetData>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2.75"/>
  <cols>
    <col min="1" max="1" width="4.85546875" style="72" customWidth="1"/>
    <col min="2" max="2" width="114.140625" customWidth="1"/>
    <col min="3" max="5" width="20.7109375" customWidth="1"/>
  </cols>
  <sheetData>
    <row r="1" spans="1:5" ht="15.75">
      <c r="B1" s="1795" t="s">
        <v>4545</v>
      </c>
    </row>
    <row r="2" spans="1:5" ht="15.75">
      <c r="B2" s="961"/>
    </row>
    <row r="3" spans="1:5" ht="15.75">
      <c r="A3" s="1075"/>
    </row>
    <row r="4" spans="1:5" ht="15.75">
      <c r="B4" s="2036" t="s">
        <v>7980</v>
      </c>
    </row>
    <row r="6" spans="1:5" ht="15.75">
      <c r="A6" s="1830"/>
      <c r="B6" s="1817" t="s">
        <v>3268</v>
      </c>
      <c r="C6" s="1836" t="s">
        <v>4522</v>
      </c>
      <c r="D6" s="1836" t="s">
        <v>4523</v>
      </c>
      <c r="E6" s="1836" t="s">
        <v>4467</v>
      </c>
    </row>
    <row r="7" spans="1:5" ht="15">
      <c r="A7" s="1816">
        <v>1</v>
      </c>
      <c r="B7" s="1831" t="s">
        <v>7981</v>
      </c>
      <c r="C7" s="1085">
        <f>'Data Entry - SOF'!O48</f>
        <v>0</v>
      </c>
      <c r="D7" s="1085">
        <f>'Data Entry - SOF'!O50</f>
        <v>0</v>
      </c>
      <c r="E7" s="1085">
        <f t="shared" ref="E7:E14" si="0">C7-D7</f>
        <v>0</v>
      </c>
    </row>
    <row r="8" spans="1:5" ht="15">
      <c r="A8" s="1816">
        <v>2</v>
      </c>
      <c r="B8" s="1831" t="s">
        <v>7982</v>
      </c>
      <c r="C8" s="1103">
        <f>'Data Entry - SOF'!O58</f>
        <v>0</v>
      </c>
      <c r="D8" s="1103">
        <f>C8</f>
        <v>0</v>
      </c>
      <c r="E8" s="1103">
        <f t="shared" si="0"/>
        <v>0</v>
      </c>
    </row>
    <row r="9" spans="1:5" ht="15">
      <c r="A9" s="1816">
        <v>3</v>
      </c>
      <c r="B9" s="1831" t="s">
        <v>4544</v>
      </c>
      <c r="C9" s="1103">
        <f>'Data Entry - SOF'!C133</f>
        <v>0</v>
      </c>
      <c r="D9" s="1103">
        <f>C9</f>
        <v>0</v>
      </c>
      <c r="E9" s="1103">
        <f t="shared" si="0"/>
        <v>0</v>
      </c>
    </row>
    <row r="10" spans="1:5" s="1076" customFormat="1" ht="15">
      <c r="A10" s="1816">
        <v>4</v>
      </c>
      <c r="B10" s="1831" t="s">
        <v>7983</v>
      </c>
      <c r="C10" s="1197">
        <f>'Data Entry - SOF'!O59+'Data Entry - SOF'!O60</f>
        <v>0</v>
      </c>
      <c r="D10" s="1197" t="e">
        <f>(('Data Entry - SOF'!O59-IFA!AI79)*(D7/C7))+IFA!AE79+'Data Entry - SOF'!O60</f>
        <v>#DIV/0!</v>
      </c>
      <c r="E10" s="1085" t="e">
        <f t="shared" si="0"/>
        <v>#DIV/0!</v>
      </c>
    </row>
    <row r="11" spans="1:5" s="1076" customFormat="1" ht="15">
      <c r="A11" s="1816">
        <v>5</v>
      </c>
      <c r="B11" s="1831" t="s">
        <v>7984</v>
      </c>
      <c r="C11" s="1197" t="e">
        <f>C10*IF(C8&lt;C9,1,C9/C8)</f>
        <v>#DIV/0!</v>
      </c>
      <c r="D11" s="1197" t="e">
        <f>D10*IF(D8&lt;D9,1,D9/D8)</f>
        <v>#DIV/0!</v>
      </c>
      <c r="E11" s="1085" t="e">
        <f t="shared" si="0"/>
        <v>#DIV/0!</v>
      </c>
    </row>
    <row r="12" spans="1:5" s="1076" customFormat="1" ht="15">
      <c r="A12" s="1816">
        <v>6</v>
      </c>
      <c r="B12" s="1831" t="s">
        <v>576</v>
      </c>
      <c r="C12" s="1085">
        <f>'SOF2223-SB1'!H44</f>
        <v>0</v>
      </c>
      <c r="D12" s="1085">
        <f>'SOF2223-SB1'!M44</f>
        <v>0</v>
      </c>
      <c r="E12" s="1085">
        <f t="shared" si="0"/>
        <v>0</v>
      </c>
    </row>
    <row r="13" spans="1:5" s="1076" customFormat="1" ht="15">
      <c r="A13" s="1816">
        <v>7</v>
      </c>
      <c r="B13" s="1831" t="s">
        <v>4533</v>
      </c>
      <c r="C13" s="1085">
        <f>'SOF2223-SB1'!H45</f>
        <v>0</v>
      </c>
      <c r="D13" s="1085">
        <f>'SOF2223-SB1'!M45</f>
        <v>0</v>
      </c>
      <c r="E13" s="1085">
        <f t="shared" si="0"/>
        <v>0</v>
      </c>
    </row>
    <row r="14" spans="1:5" s="1076" customFormat="1" ht="15">
      <c r="A14" s="1816">
        <v>8</v>
      </c>
      <c r="B14" s="1831" t="s">
        <v>4528</v>
      </c>
      <c r="C14" s="1085">
        <f>'SOF2223-SB1'!H49</f>
        <v>0</v>
      </c>
      <c r="D14" s="1085">
        <f>'SOF2223-SB1'!M49</f>
        <v>0</v>
      </c>
      <c r="E14" s="1085">
        <f t="shared" si="0"/>
        <v>0</v>
      </c>
    </row>
    <row r="15" spans="1:5" s="1076" customFormat="1" ht="15.75">
      <c r="A15" s="1832"/>
      <c r="B15" s="1833" t="s">
        <v>4531</v>
      </c>
      <c r="C15" s="1834"/>
      <c r="D15" s="1834"/>
      <c r="E15" s="1924"/>
    </row>
    <row r="16" spans="1:5" s="1076" customFormat="1" ht="15">
      <c r="A16" s="1816">
        <v>9</v>
      </c>
      <c r="B16" s="1835" t="s">
        <v>4536</v>
      </c>
      <c r="C16" s="1085">
        <f>MAX((C12-C13),C14)</f>
        <v>0</v>
      </c>
      <c r="D16" s="1085">
        <f>MAX((D12-D13),D14)</f>
        <v>0</v>
      </c>
      <c r="E16" s="1085">
        <f>C16-D16</f>
        <v>0</v>
      </c>
    </row>
    <row r="17" spans="1:5" s="1076" customFormat="1" ht="15">
      <c r="A17" s="1816">
        <v>10</v>
      </c>
      <c r="B17" s="1831" t="s">
        <v>4534</v>
      </c>
      <c r="C17" s="1085" t="e">
        <f>'SOF2223-SB1'!K52</f>
        <v>#DIV/0!</v>
      </c>
      <c r="D17" s="1085" t="e">
        <f>'SOF2223-SB1'!M52</f>
        <v>#DIV/0!</v>
      </c>
      <c r="E17" s="1085" t="e">
        <f>C17-D17</f>
        <v>#DIV/0!</v>
      </c>
    </row>
    <row r="18" spans="1:5" s="1076" customFormat="1" ht="15">
      <c r="A18" s="1816">
        <v>11</v>
      </c>
      <c r="B18" s="1831" t="s">
        <v>4535</v>
      </c>
      <c r="C18" s="1085" t="e">
        <f>'SOF2223-SB1'!K53</f>
        <v>#DIV/0!</v>
      </c>
      <c r="D18" s="1085" t="e">
        <f>'SOF2223-SB1'!M53</f>
        <v>#DIV/0!</v>
      </c>
      <c r="E18" s="1085" t="e">
        <f>C18-D18</f>
        <v>#DIV/0!</v>
      </c>
    </row>
    <row r="19" spans="1:5" s="1076" customFormat="1" ht="15">
      <c r="A19" s="1816">
        <v>12</v>
      </c>
      <c r="B19" s="1831" t="s">
        <v>7111</v>
      </c>
      <c r="C19" s="1085">
        <f>IFA!AH86</f>
        <v>0</v>
      </c>
      <c r="D19" s="1085">
        <f>IFA!AI86</f>
        <v>0</v>
      </c>
      <c r="E19" s="1085">
        <f>C19-D19</f>
        <v>0</v>
      </c>
    </row>
    <row r="20" spans="1:5" s="1076" customFormat="1" ht="15.75">
      <c r="A20" s="1816">
        <v>13</v>
      </c>
      <c r="B20" s="2307" t="s">
        <v>6886</v>
      </c>
      <c r="C20" s="1085">
        <v>0</v>
      </c>
      <c r="D20" s="1085">
        <v>0</v>
      </c>
      <c r="E20" s="1085">
        <f>C20-D20</f>
        <v>0</v>
      </c>
    </row>
    <row r="21" spans="1:5" s="1076" customFormat="1" ht="15">
      <c r="A21" s="1816">
        <v>14</v>
      </c>
      <c r="B21" s="1831" t="s">
        <v>4537</v>
      </c>
      <c r="C21" s="1085" t="e">
        <f>IF('Option Costs-ASATR'!AY57="Y",'Option Costs-ASATR'!BA106,'Option Costs-ASATR'!BE106)</f>
        <v>#DIV/0!</v>
      </c>
      <c r="D21" s="1085" t="e">
        <f>IF('Option Costs-15K-ASATR'!AY57="Y",'Option Costs-15K-ASATR'!BA106,'Option Costs-15K-ASATR'!BE106)</f>
        <v>#DIV/0!</v>
      </c>
      <c r="E21" s="1085" t="e">
        <f>D21-C21</f>
        <v>#DIV/0!</v>
      </c>
    </row>
    <row r="22" spans="1:5" s="1076" customFormat="1" ht="15.75">
      <c r="A22" s="1832"/>
      <c r="B22" s="1833" t="s">
        <v>4525</v>
      </c>
      <c r="C22" s="1834"/>
      <c r="D22" s="1834"/>
      <c r="E22" s="1924"/>
    </row>
    <row r="23" spans="1:5" s="1076" customFormat="1" ht="15">
      <c r="A23" s="1816">
        <v>15</v>
      </c>
      <c r="B23" s="1831" t="s">
        <v>7112</v>
      </c>
      <c r="C23" s="1085" t="e">
        <f>C11-C21</f>
        <v>#DIV/0!</v>
      </c>
      <c r="D23" s="1085" t="e">
        <f>D11-D21</f>
        <v>#DIV/0!</v>
      </c>
      <c r="E23" s="1085" t="e">
        <f>C23-D23</f>
        <v>#DIV/0!</v>
      </c>
    </row>
    <row r="24" spans="1:5" s="1076" customFormat="1" ht="15">
      <c r="A24" s="1816">
        <v>16</v>
      </c>
      <c r="B24" s="1831" t="s">
        <v>7113</v>
      </c>
      <c r="C24" s="1085" t="e">
        <f>C16+C17+C18+C19+C20</f>
        <v>#DIV/0!</v>
      </c>
      <c r="D24" s="1085" t="e">
        <f>D16+D17+D18+D19+D20</f>
        <v>#DIV/0!</v>
      </c>
      <c r="E24" s="1085" t="e">
        <f>C24-D24</f>
        <v>#DIV/0!</v>
      </c>
    </row>
    <row r="25" spans="1:5" s="1076" customFormat="1" ht="15">
      <c r="A25" s="1816">
        <f>A24+1</f>
        <v>17</v>
      </c>
      <c r="B25" s="1865" t="s">
        <v>7114</v>
      </c>
      <c r="C25" s="1085" t="e">
        <f>C23+C24</f>
        <v>#DIV/0!</v>
      </c>
      <c r="D25" s="1085" t="e">
        <f>D23+D24</f>
        <v>#DIV/0!</v>
      </c>
      <c r="E25" s="1085" t="e">
        <f>C25-D25</f>
        <v>#DIV/0!</v>
      </c>
    </row>
    <row r="26" spans="1:5" ht="15.75">
      <c r="A26" s="1866">
        <f>A25+1</f>
        <v>18</v>
      </c>
      <c r="B26" s="1867" t="s">
        <v>7115</v>
      </c>
      <c r="C26" s="1868"/>
      <c r="D26" s="1837" t="e">
        <f>IF(D25-C25&lt;=0,0,D25-C25)</f>
        <v>#DIV/0!</v>
      </c>
    </row>
    <row r="27" spans="1:5">
      <c r="D27" s="1839"/>
    </row>
    <row r="30" spans="1:5">
      <c r="C30" s="121"/>
    </row>
    <row r="31" spans="1:5" ht="15.75">
      <c r="B31" s="2036" t="s">
        <v>7985</v>
      </c>
    </row>
    <row r="33" spans="1:3" ht="15.75">
      <c r="A33" s="1829"/>
      <c r="B33" s="1817" t="s">
        <v>3268</v>
      </c>
      <c r="C33" s="1834"/>
    </row>
    <row r="34" spans="1:3" ht="15">
      <c r="A34" s="1816">
        <v>1</v>
      </c>
      <c r="B34" s="1819" t="s">
        <v>7986</v>
      </c>
      <c r="C34" s="1085">
        <f>'Data Entry - SOF'!O53</f>
        <v>0</v>
      </c>
    </row>
    <row r="35" spans="1:3" ht="15">
      <c r="A35" s="1816">
        <v>2</v>
      </c>
      <c r="B35" s="1819" t="s">
        <v>7987</v>
      </c>
      <c r="C35" s="1085">
        <f>'Data Entry - SOF'!O55</f>
        <v>0</v>
      </c>
    </row>
    <row r="36" spans="1:3" ht="15">
      <c r="A36" s="1816">
        <v>3</v>
      </c>
      <c r="B36" s="1819" t="s">
        <v>4580</v>
      </c>
      <c r="C36" s="1085">
        <f>'Data Entry - SOF'!O74</f>
        <v>0</v>
      </c>
    </row>
    <row r="37" spans="1:3" ht="15.75">
      <c r="A37" s="1832"/>
      <c r="B37" s="1820" t="s">
        <v>4726</v>
      </c>
      <c r="C37" s="1834"/>
    </row>
    <row r="38" spans="1:3" ht="15">
      <c r="A38" s="1816">
        <v>4</v>
      </c>
      <c r="B38" s="2237" t="s">
        <v>4516</v>
      </c>
      <c r="C38" s="1085">
        <f>IFA!AF86</f>
        <v>0</v>
      </c>
    </row>
    <row r="39" spans="1:3" ht="15">
      <c r="A39" s="1816">
        <v>5</v>
      </c>
      <c r="B39" s="2237" t="s">
        <v>4517</v>
      </c>
      <c r="C39" s="1085">
        <f>'Existing Debt'!S74</f>
        <v>0</v>
      </c>
    </row>
    <row r="40" spans="1:3" ht="15">
      <c r="A40" s="1816">
        <v>6</v>
      </c>
      <c r="B40" s="2237" t="s">
        <v>4727</v>
      </c>
      <c r="C40" s="1085">
        <f>C36-C38-C39</f>
        <v>0</v>
      </c>
    </row>
    <row r="41" spans="1:3" ht="15">
      <c r="A41" s="1816">
        <v>7</v>
      </c>
      <c r="B41" s="1156" t="s">
        <v>4728</v>
      </c>
      <c r="C41" s="2240" t="e">
        <f>1-(C34/C35)</f>
        <v>#DIV/0!</v>
      </c>
    </row>
    <row r="42" spans="1:3" ht="15">
      <c r="A42" s="1816">
        <v>8</v>
      </c>
      <c r="B42" s="1163" t="s">
        <v>4729</v>
      </c>
      <c r="C42" s="1085" t="e">
        <f>C40*C41</f>
        <v>#DIV/0!</v>
      </c>
    </row>
    <row r="43" spans="1:3" ht="15.75">
      <c r="A43" s="1832"/>
      <c r="B43" s="1820" t="s">
        <v>4520</v>
      </c>
      <c r="C43" s="1834"/>
    </row>
    <row r="44" spans="1:3" ht="15">
      <c r="A44" s="1816">
        <v>9</v>
      </c>
      <c r="B44" s="2237" t="s">
        <v>4518</v>
      </c>
      <c r="C44" s="1085">
        <f>IFA!AG86</f>
        <v>0</v>
      </c>
    </row>
    <row r="45" spans="1:3" ht="15">
      <c r="A45" s="1816">
        <v>10</v>
      </c>
      <c r="B45" s="2237" t="s">
        <v>4519</v>
      </c>
      <c r="C45" s="1085">
        <f>'Existing Debt'!T74</f>
        <v>0</v>
      </c>
    </row>
    <row r="46" spans="1:3" ht="15">
      <c r="A46" s="1816">
        <v>11</v>
      </c>
      <c r="B46" s="2237" t="s">
        <v>4730</v>
      </c>
      <c r="C46" s="1085">
        <f>(C38+C39)-(C44+C45)</f>
        <v>0</v>
      </c>
    </row>
    <row r="47" spans="1:3" ht="15.75">
      <c r="A47" s="1832"/>
      <c r="B47" s="1818" t="s">
        <v>4578</v>
      </c>
      <c r="C47" s="1834"/>
    </row>
    <row r="48" spans="1:3" ht="15">
      <c r="A48" s="1816">
        <v>12</v>
      </c>
      <c r="B48" s="2237" t="s">
        <v>4731</v>
      </c>
      <c r="C48" s="1085" t="e">
        <f>IF(C42-C46&lt;0,0,C42-C46)</f>
        <v>#DIV/0!</v>
      </c>
    </row>
    <row r="49" spans="1:3" ht="15">
      <c r="A49" s="1816">
        <v>13</v>
      </c>
      <c r="B49" s="2237" t="s">
        <v>3529</v>
      </c>
      <c r="C49" s="1085">
        <f>'Data Entry - SOF'!O63</f>
        <v>0</v>
      </c>
    </row>
    <row r="50" spans="1:3" ht="15">
      <c r="A50" s="1816">
        <v>14</v>
      </c>
      <c r="B50" s="2238" t="s">
        <v>4732</v>
      </c>
      <c r="C50" s="1085" t="e">
        <f>C40-C48</f>
        <v>#DIV/0!</v>
      </c>
    </row>
    <row r="51" spans="1:3" ht="15.75">
      <c r="A51" s="1845">
        <v>15</v>
      </c>
      <c r="B51" s="2239" t="s">
        <v>4733</v>
      </c>
      <c r="C51" s="1837" t="e">
        <f>IF(C49&gt;=C50,C48,C48*(C49/C50))</f>
        <v>#DIV/0!</v>
      </c>
    </row>
    <row r="54" spans="1:3" hidden="1">
      <c r="B54" s="49" t="s">
        <v>4587</v>
      </c>
      <c r="C54" s="121">
        <f>IF(C49=0,0,C49*(C35/C34))</f>
        <v>0</v>
      </c>
    </row>
  </sheetData>
  <sheetProtection sheet="1" objects="1" scenarios="1"/>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K96"/>
  <sheetViews>
    <sheetView zoomScaleNormal="100" workbookViewId="0">
      <selection activeCell="E7" sqref="E7"/>
    </sheetView>
  </sheetViews>
  <sheetFormatPr defaultRowHeight="12.75"/>
  <cols>
    <col min="1" max="1" width="9.140625" customWidth="1"/>
    <col min="2" max="2" width="81.140625" customWidth="1"/>
    <col min="3" max="3" width="1.7109375" customWidth="1"/>
    <col min="4" max="4" width="18.7109375" hidden="1" customWidth="1"/>
    <col min="5" max="11" width="20.7109375" customWidth="1"/>
  </cols>
  <sheetData>
    <row r="1" spans="1:11">
      <c r="A1" s="1200" t="s">
        <v>3541</v>
      </c>
      <c r="G1" s="1780"/>
      <c r="K1" s="1773" t="str">
        <f>'Report-SOF2223'!D1</f>
        <v>84th/85th Legislative Session</v>
      </c>
    </row>
    <row r="2" spans="1:11">
      <c r="K2" s="98" t="str">
        <f>'Report-SOF2223'!D2</f>
        <v>Release 2</v>
      </c>
    </row>
    <row r="3" spans="1:11">
      <c r="K3" s="82">
        <f>'Report-SOF2223'!D3</f>
        <v>43145</v>
      </c>
    </row>
    <row r="4" spans="1:11" ht="15.75">
      <c r="A4" s="1075" t="s">
        <v>3542</v>
      </c>
      <c r="B4" s="961"/>
      <c r="C4" s="961"/>
    </row>
    <row r="5" spans="1:11" ht="15.75">
      <c r="A5" s="1077">
        <f>'Data Entry - SOF'!B1</f>
        <v>0</v>
      </c>
      <c r="B5" s="961"/>
      <c r="C5" s="961"/>
    </row>
    <row r="6" spans="1:11" ht="15.75">
      <c r="A6" s="1075">
        <f>'Data Entry - SOF'!B2</f>
        <v>0</v>
      </c>
      <c r="B6" s="961"/>
      <c r="C6" s="961"/>
    </row>
    <row r="7" spans="1:11" ht="15.75">
      <c r="A7" s="1075"/>
      <c r="B7" s="961"/>
      <c r="C7" s="961"/>
    </row>
    <row r="8" spans="1:11" ht="15.75">
      <c r="A8" s="1075"/>
      <c r="B8" s="961"/>
      <c r="C8" s="961"/>
    </row>
    <row r="9" spans="1:11" ht="18">
      <c r="A9" s="1306" t="s">
        <v>3107</v>
      </c>
      <c r="B9" s="1344"/>
      <c r="C9" s="1343"/>
      <c r="D9" s="1283"/>
      <c r="E9" s="1283"/>
      <c r="F9" s="1283"/>
      <c r="G9" s="1283"/>
      <c r="H9" s="1283"/>
      <c r="I9" s="1283"/>
      <c r="J9" s="1283"/>
      <c r="K9" s="1283"/>
    </row>
    <row r="10" spans="1:11" ht="18">
      <c r="A10" s="3686" t="s">
        <v>3108</v>
      </c>
      <c r="B10" s="3687"/>
      <c r="C10" s="3688"/>
      <c r="D10" s="1285" t="s">
        <v>195</v>
      </c>
      <c r="E10" s="1285" t="s">
        <v>3613</v>
      </c>
      <c r="F10" s="1285" t="s">
        <v>3673</v>
      </c>
      <c r="G10" s="1285" t="s">
        <v>3830</v>
      </c>
      <c r="H10" s="1285" t="s">
        <v>3903</v>
      </c>
      <c r="I10" s="1285" t="s">
        <v>4592</v>
      </c>
      <c r="J10" s="1285" t="s">
        <v>7097</v>
      </c>
      <c r="K10" s="1285" t="s">
        <v>7733</v>
      </c>
    </row>
    <row r="11" spans="1:11" ht="15">
      <c r="A11" s="1079" t="s">
        <v>2501</v>
      </c>
      <c r="B11" s="1080" t="s">
        <v>3109</v>
      </c>
      <c r="C11" s="1080"/>
      <c r="D11" s="1086" t="e">
        <f>#REF!</f>
        <v>#REF!</v>
      </c>
      <c r="E11" s="1086">
        <f>'Report-SOF1617'!D11</f>
        <v>0</v>
      </c>
      <c r="F11" s="1086">
        <f>'Report-SOF1718'!D11</f>
        <v>0</v>
      </c>
      <c r="G11" s="1086">
        <f>'Report-SOF1819'!D11</f>
        <v>0</v>
      </c>
      <c r="H11" s="1086">
        <f>'Report-SOF1920'!D11</f>
        <v>0</v>
      </c>
      <c r="I11" s="1086">
        <f>'Report-SOF2021'!D11</f>
        <v>0</v>
      </c>
      <c r="J11" s="1086">
        <f>'Report-SOF2122'!D11</f>
        <v>0</v>
      </c>
      <c r="K11" s="1086">
        <f>'Report-SOF2223'!D11</f>
        <v>0</v>
      </c>
    </row>
    <row r="12" spans="1:11" ht="15">
      <c r="A12" s="1079" t="s">
        <v>2502</v>
      </c>
      <c r="B12" s="1080" t="s">
        <v>2288</v>
      </c>
      <c r="C12" s="1080"/>
      <c r="D12" s="1086" t="e">
        <f>#REF!</f>
        <v>#REF!</v>
      </c>
      <c r="E12" s="1086">
        <f>'Report-SOF1617'!D12</f>
        <v>0</v>
      </c>
      <c r="F12" s="1086">
        <f>'Report-SOF1718'!D12</f>
        <v>0</v>
      </c>
      <c r="G12" s="1086">
        <f>'Report-SOF1819'!D12</f>
        <v>0</v>
      </c>
      <c r="H12" s="1086">
        <f>'Report-SOF1920'!D12</f>
        <v>0</v>
      </c>
      <c r="I12" s="1086">
        <f>'Report-SOF2021'!D12</f>
        <v>0</v>
      </c>
      <c r="J12" s="1086">
        <f>'Report-SOF2122'!D12</f>
        <v>0</v>
      </c>
      <c r="K12" s="1086">
        <f>'Report-SOF2223'!D12</f>
        <v>0</v>
      </c>
    </row>
    <row r="13" spans="1:11" ht="15">
      <c r="A13" s="1079" t="s">
        <v>2503</v>
      </c>
      <c r="B13" s="1076" t="s">
        <v>3110</v>
      </c>
      <c r="C13" s="1080"/>
      <c r="D13" s="1086" t="e">
        <f>#REF!</f>
        <v>#REF!</v>
      </c>
      <c r="E13" s="1086">
        <f>'Report-SOF1617'!D13</f>
        <v>0</v>
      </c>
      <c r="F13" s="1086">
        <f>'Report-SOF1718'!D13</f>
        <v>0</v>
      </c>
      <c r="G13" s="1086">
        <f>'Report-SOF1819'!D13</f>
        <v>0</v>
      </c>
      <c r="H13" s="1086">
        <f>'Report-SOF1920'!D13</f>
        <v>0</v>
      </c>
      <c r="I13" s="1086">
        <f>'Report-SOF2021'!D13</f>
        <v>0</v>
      </c>
      <c r="J13" s="1086">
        <f>'Report-SOF2122'!D13</f>
        <v>0</v>
      </c>
      <c r="K13" s="1086">
        <f>'Report-SOF2223'!D13</f>
        <v>0</v>
      </c>
    </row>
    <row r="14" spans="1:11" ht="15">
      <c r="A14" s="1079" t="s">
        <v>1024</v>
      </c>
      <c r="B14" s="1080" t="s">
        <v>932</v>
      </c>
      <c r="C14" s="1080"/>
      <c r="D14" s="1086" t="e">
        <f>#REF!</f>
        <v>#REF!</v>
      </c>
      <c r="E14" s="1086">
        <f>'Report-SOF1617'!D14</f>
        <v>0</v>
      </c>
      <c r="F14" s="1086">
        <f>'Report-SOF1718'!D14</f>
        <v>0</v>
      </c>
      <c r="G14" s="1086">
        <f>'Report-SOF1819'!D14</f>
        <v>0</v>
      </c>
      <c r="H14" s="1086">
        <f>'Report-SOF1920'!D14</f>
        <v>0</v>
      </c>
      <c r="I14" s="1086">
        <f>'Report-SOF2021'!D14</f>
        <v>0</v>
      </c>
      <c r="J14" s="1086">
        <f>'Report-SOF2122'!D14</f>
        <v>0</v>
      </c>
      <c r="K14" s="1086">
        <f>'Report-SOF2223'!D14</f>
        <v>0</v>
      </c>
    </row>
    <row r="15" spans="1:11" ht="15">
      <c r="A15" s="1079" t="s">
        <v>1025</v>
      </c>
      <c r="B15" s="1080" t="s">
        <v>715</v>
      </c>
      <c r="C15" s="1080"/>
      <c r="D15" s="1086" t="e">
        <f>#REF!</f>
        <v>#REF!</v>
      </c>
      <c r="E15" s="1086">
        <f>'Report-SOF1617'!D15</f>
        <v>0</v>
      </c>
      <c r="F15" s="1086">
        <f>'Report-SOF1718'!D15</f>
        <v>0</v>
      </c>
      <c r="G15" s="1086">
        <f>'Report-SOF1819'!D15</f>
        <v>0</v>
      </c>
      <c r="H15" s="1086">
        <f>'Report-SOF1920'!D15</f>
        <v>0</v>
      </c>
      <c r="I15" s="1086">
        <f>'Report-SOF2021'!D15</f>
        <v>0</v>
      </c>
      <c r="J15" s="1086">
        <f>'Report-SOF2122'!D15</f>
        <v>0</v>
      </c>
      <c r="K15" s="1086">
        <f>'Report-SOF2223'!D15</f>
        <v>0</v>
      </c>
    </row>
    <row r="16" spans="1:11" ht="15">
      <c r="A16" s="1079" t="s">
        <v>1027</v>
      </c>
      <c r="B16" s="1080" t="s">
        <v>3111</v>
      </c>
      <c r="C16" s="1080"/>
      <c r="D16" s="1086" t="e">
        <f>#REF!</f>
        <v>#REF!</v>
      </c>
      <c r="E16" s="1086">
        <f>'Report-SOF1617'!D16</f>
        <v>0</v>
      </c>
      <c r="F16" s="1086">
        <f>'Report-SOF1718'!D16</f>
        <v>0</v>
      </c>
      <c r="G16" s="1086">
        <f>'Report-SOF1819'!D16</f>
        <v>0</v>
      </c>
      <c r="H16" s="1086">
        <f>'Report-SOF1920'!D16</f>
        <v>0</v>
      </c>
      <c r="I16" s="1086">
        <f>'Report-SOF2021'!D16</f>
        <v>0</v>
      </c>
      <c r="J16" s="1086">
        <f>'Report-SOF2122'!D16</f>
        <v>0</v>
      </c>
      <c r="K16" s="1086">
        <f>'Report-SOF2223'!D16</f>
        <v>0</v>
      </c>
    </row>
    <row r="17" spans="1:11" ht="15">
      <c r="A17" s="1079" t="s">
        <v>1028</v>
      </c>
      <c r="B17" s="1076" t="s">
        <v>3524</v>
      </c>
      <c r="C17" s="1080"/>
      <c r="D17" s="1086" t="e">
        <f>#REF!</f>
        <v>#REF!</v>
      </c>
      <c r="E17" s="1086" t="e">
        <f>'Report-SOF1617'!D17</f>
        <v>#DIV/0!</v>
      </c>
      <c r="F17" s="1086" t="e">
        <f>'Report-SOF1718'!D17</f>
        <v>#DIV/0!</v>
      </c>
      <c r="G17" s="1086" t="e">
        <f>'Report-SOF1819'!D17</f>
        <v>#DIV/0!</v>
      </c>
      <c r="H17" s="1086" t="e">
        <f>'Report-SOF1920'!D17</f>
        <v>#DIV/0!</v>
      </c>
      <c r="I17" s="1086" t="e">
        <f>'Report-SOF2021'!D17</f>
        <v>#DIV/0!</v>
      </c>
      <c r="J17" s="1086" t="e">
        <f>'Report-SOF2122'!D17</f>
        <v>#DIV/0!</v>
      </c>
      <c r="K17" s="1086" t="e">
        <f>'Report-SOF2223'!D17</f>
        <v>#DIV/0!</v>
      </c>
    </row>
    <row r="18" spans="1:11" ht="15">
      <c r="A18" s="1079" t="s">
        <v>1029</v>
      </c>
      <c r="B18" s="1080" t="s">
        <v>3112</v>
      </c>
      <c r="C18" s="1080"/>
      <c r="D18" s="1086" t="e">
        <f>#REF!</f>
        <v>#REF!</v>
      </c>
      <c r="E18" s="1086">
        <f>'Report-SOF1617'!D18</f>
        <v>0</v>
      </c>
      <c r="F18" s="1086">
        <f>'Report-SOF1718'!D18</f>
        <v>0</v>
      </c>
      <c r="G18" s="1086">
        <f>'Report-SOF1819'!D18</f>
        <v>0</v>
      </c>
      <c r="H18" s="1086">
        <f>'Report-SOF1920'!D18</f>
        <v>0</v>
      </c>
      <c r="I18" s="1086">
        <f>'Report-SOF2021'!D18</f>
        <v>0</v>
      </c>
      <c r="J18" s="1086">
        <f>'Report-SOF2122'!D18</f>
        <v>0</v>
      </c>
      <c r="K18" s="1086">
        <f>'Report-SOF2223'!D18</f>
        <v>0</v>
      </c>
    </row>
    <row r="19" spans="1:11" ht="15">
      <c r="A19" s="1079" t="s">
        <v>139</v>
      </c>
      <c r="B19" s="1080" t="s">
        <v>3113</v>
      </c>
      <c r="C19" s="1080"/>
      <c r="D19" s="1086" t="e">
        <f>#REF!</f>
        <v>#REF!</v>
      </c>
      <c r="E19" s="1086">
        <f>'Report-SOF1617'!D19</f>
        <v>0</v>
      </c>
      <c r="F19" s="1086">
        <f>'Report-SOF1718'!D19</f>
        <v>0</v>
      </c>
      <c r="G19" s="1086">
        <f>'Report-SOF1819'!D19</f>
        <v>0</v>
      </c>
      <c r="H19" s="1086">
        <f>'Report-SOF1920'!D19</f>
        <v>0</v>
      </c>
      <c r="I19" s="1086">
        <f>'Report-SOF2021'!D19</f>
        <v>0</v>
      </c>
      <c r="J19" s="1086">
        <f>'Report-SOF2122'!D19</f>
        <v>0</v>
      </c>
      <c r="K19" s="1086">
        <f>'Report-SOF2223'!D19</f>
        <v>0</v>
      </c>
    </row>
    <row r="20" spans="1:11" ht="15">
      <c r="A20" s="1079" t="s">
        <v>140</v>
      </c>
      <c r="B20" s="1080" t="s">
        <v>3114</v>
      </c>
      <c r="C20" s="1080"/>
      <c r="D20" s="1086" t="e">
        <f>#REF!</f>
        <v>#REF!</v>
      </c>
      <c r="E20" s="1086">
        <f>'Report-SOF1617'!D20</f>
        <v>0</v>
      </c>
      <c r="F20" s="1086">
        <f>'Report-SOF1718'!D20</f>
        <v>0</v>
      </c>
      <c r="G20" s="1086">
        <f>'Report-SOF1819'!D20</f>
        <v>0</v>
      </c>
      <c r="H20" s="1086">
        <f>'Report-SOF1920'!D20</f>
        <v>0</v>
      </c>
      <c r="I20" s="1086">
        <f>'Report-SOF2021'!D20</f>
        <v>0</v>
      </c>
      <c r="J20" s="1086">
        <f>'Report-SOF2122'!D20</f>
        <v>0</v>
      </c>
      <c r="K20" s="1086">
        <f>'Report-SOF2223'!D20</f>
        <v>0</v>
      </c>
    </row>
    <row r="21" spans="1:11" ht="18">
      <c r="A21" s="3686" t="s">
        <v>3117</v>
      </c>
      <c r="B21" s="3689"/>
      <c r="C21" s="3679"/>
      <c r="D21" s="3679"/>
      <c r="E21" s="3667" t="s">
        <v>3613</v>
      </c>
      <c r="F21" s="3667" t="s">
        <v>3673</v>
      </c>
      <c r="G21" s="3667" t="s">
        <v>3830</v>
      </c>
      <c r="H21" s="3667" t="s">
        <v>3903</v>
      </c>
      <c r="I21" s="3667" t="s">
        <v>4592</v>
      </c>
      <c r="J21" s="3667" t="s">
        <v>7097</v>
      </c>
      <c r="K21" s="3667" t="str">
        <f>K10</f>
        <v>2022-23</v>
      </c>
    </row>
    <row r="22" spans="1:11" ht="15">
      <c r="A22" s="1079" t="s">
        <v>141</v>
      </c>
      <c r="B22" s="1080" t="s">
        <v>3118</v>
      </c>
      <c r="C22" s="1080"/>
      <c r="D22" s="1083" t="e">
        <f>#REF!</f>
        <v>#REF!</v>
      </c>
      <c r="E22" s="1083">
        <f>'Report-SOF1617'!D22</f>
        <v>0</v>
      </c>
      <c r="F22" s="1083">
        <f>'Report-SOF1718'!D22</f>
        <v>0</v>
      </c>
      <c r="G22" s="1083">
        <f>'Report-SOF1819'!D22</f>
        <v>0</v>
      </c>
      <c r="H22" s="1083">
        <f>'Report-SOF1920'!D22</f>
        <v>0</v>
      </c>
      <c r="I22" s="1083">
        <f>'Report-SOF2021'!D22</f>
        <v>0</v>
      </c>
      <c r="J22" s="1083">
        <f>'Report-SOF2122'!D22</f>
        <v>0</v>
      </c>
      <c r="K22" s="1083">
        <f>'Report-SOF2223'!D22</f>
        <v>0</v>
      </c>
    </row>
    <row r="23" spans="1:11" ht="15">
      <c r="A23" s="1079" t="s">
        <v>142</v>
      </c>
      <c r="B23" s="1080" t="s">
        <v>3119</v>
      </c>
      <c r="C23" s="1080"/>
      <c r="D23" s="1083" t="e">
        <f>#REF!</f>
        <v>#REF!</v>
      </c>
      <c r="E23" s="1083">
        <f>'Report-SOF1617'!D23</f>
        <v>0</v>
      </c>
      <c r="F23" s="1083">
        <f>'Report-SOF1718'!D23</f>
        <v>0</v>
      </c>
      <c r="G23" s="1083">
        <f>'Report-SOF1819'!D23</f>
        <v>0</v>
      </c>
      <c r="H23" s="1083">
        <f>'Report-SOF1920'!D23</f>
        <v>0</v>
      </c>
      <c r="I23" s="1083">
        <f>'Report-SOF2021'!D23</f>
        <v>0</v>
      </c>
      <c r="J23" s="1083">
        <f>'Report-SOF2122'!D23</f>
        <v>0</v>
      </c>
      <c r="K23" s="1083">
        <f>'Report-SOF2223'!D23</f>
        <v>0</v>
      </c>
    </row>
    <row r="24" spans="1:11" ht="18">
      <c r="A24" s="3686" t="s">
        <v>3120</v>
      </c>
      <c r="B24" s="3689"/>
      <c r="C24" s="3679"/>
      <c r="D24" s="3679"/>
      <c r="E24" s="3667" t="s">
        <v>3613</v>
      </c>
      <c r="F24" s="3667" t="s">
        <v>3673</v>
      </c>
      <c r="G24" s="3667" t="s">
        <v>3830</v>
      </c>
      <c r="H24" s="3667" t="s">
        <v>3903</v>
      </c>
      <c r="I24" s="3667" t="s">
        <v>4592</v>
      </c>
      <c r="J24" s="3667" t="str">
        <f>J21</f>
        <v>2021-22</v>
      </c>
      <c r="K24" s="3667" t="str">
        <f>K21</f>
        <v>2022-23</v>
      </c>
    </row>
    <row r="25" spans="1:11" ht="15">
      <c r="A25" s="1079" t="s">
        <v>1706</v>
      </c>
      <c r="B25" s="1080" t="s">
        <v>3528</v>
      </c>
      <c r="C25" s="1080"/>
      <c r="D25" s="1253" t="e">
        <f>#REF!</f>
        <v>#REF!</v>
      </c>
      <c r="E25" s="1253" t="str">
        <f>'Report-SOF1617'!D25</f>
        <v>Not Needed</v>
      </c>
      <c r="F25" s="1253" t="str">
        <f>'Report-SOF1718'!D25</f>
        <v>Not Needed</v>
      </c>
      <c r="G25" s="1253" t="str">
        <f>'Report-SOF1819'!D25</f>
        <v>Not Needed</v>
      </c>
      <c r="H25" s="1253" t="str">
        <f>'Report-SOF1920'!D25</f>
        <v>Not Needed</v>
      </c>
      <c r="I25" s="1253" t="str">
        <f>'Report-SOF2021'!D25</f>
        <v>Not Needed</v>
      </c>
      <c r="J25" s="1253" t="str">
        <f>'Report-SOF2122'!D25</f>
        <v>Not Needed</v>
      </c>
      <c r="K25" s="1253" t="str">
        <f>'Report-SOF2223'!D25</f>
        <v>Not Needed</v>
      </c>
    </row>
    <row r="26" spans="1:11" ht="15">
      <c r="A26" s="1079" t="s">
        <v>6</v>
      </c>
      <c r="B26" s="1080" t="s">
        <v>3446</v>
      </c>
      <c r="C26" s="1080"/>
      <c r="D26" s="1083" t="e">
        <f>#REF!</f>
        <v>#REF!</v>
      </c>
      <c r="E26" s="1083">
        <f>'Report-SOF1617'!D26</f>
        <v>0</v>
      </c>
      <c r="F26" s="1083">
        <f>'Report-SOF1718'!D26</f>
        <v>0</v>
      </c>
      <c r="G26" s="1083">
        <f>'Report-SOF1819'!D26</f>
        <v>0</v>
      </c>
      <c r="H26" s="1083">
        <f>'Report-SOF1920'!D26</f>
        <v>0</v>
      </c>
      <c r="I26" s="1083">
        <f>'Report-SOF2021'!D26</f>
        <v>0</v>
      </c>
      <c r="J26" s="1083">
        <f>'Report-SOF2122'!D26</f>
        <v>0</v>
      </c>
      <c r="K26" s="1083">
        <f>'Report-SOF2223'!D26</f>
        <v>0</v>
      </c>
    </row>
    <row r="27" spans="1:11" ht="18">
      <c r="A27" s="3686" t="s">
        <v>3121</v>
      </c>
      <c r="B27" s="3689"/>
      <c r="C27" s="3679"/>
      <c r="D27" s="3679"/>
      <c r="E27" s="3667" t="s">
        <v>3613</v>
      </c>
      <c r="F27" s="3667" t="s">
        <v>3673</v>
      </c>
      <c r="G27" s="3667" t="s">
        <v>3830</v>
      </c>
      <c r="H27" s="3667" t="s">
        <v>3903</v>
      </c>
      <c r="I27" s="3667" t="s">
        <v>4592</v>
      </c>
      <c r="J27" s="3667" t="str">
        <f>J24</f>
        <v>2021-22</v>
      </c>
      <c r="K27" s="3667" t="str">
        <f>K24</f>
        <v>2022-23</v>
      </c>
    </row>
    <row r="28" spans="1:11" ht="15">
      <c r="A28" s="1079" t="s">
        <v>2551</v>
      </c>
      <c r="B28" s="1080" t="s">
        <v>3124</v>
      </c>
      <c r="C28" s="1080"/>
      <c r="D28" s="1084" t="e">
        <f>#REF!</f>
        <v>#REF!</v>
      </c>
      <c r="E28" s="1084">
        <f>'Report-SOF1617'!D28</f>
        <v>0</v>
      </c>
      <c r="F28" s="1084">
        <f>'Report-SOF1718'!D28</f>
        <v>0</v>
      </c>
      <c r="G28" s="1084">
        <f>'Report-SOF1819'!D28</f>
        <v>0</v>
      </c>
      <c r="H28" s="1084">
        <f>'Report-SOF1920'!D28</f>
        <v>0</v>
      </c>
      <c r="I28" s="1084">
        <f>'Report-SOF2021'!D28</f>
        <v>0</v>
      </c>
      <c r="J28" s="1084">
        <f>'Report-SOF2122'!D28</f>
        <v>0</v>
      </c>
      <c r="K28" s="1084">
        <f>'Report-SOF2223'!D28</f>
        <v>0</v>
      </c>
    </row>
    <row r="29" spans="1:11" ht="15">
      <c r="A29" s="1079" t="s">
        <v>2552</v>
      </c>
      <c r="B29" s="1080" t="s">
        <v>3527</v>
      </c>
      <c r="C29" s="1080"/>
      <c r="D29" s="1084" t="e">
        <f>#REF!</f>
        <v>#REF!</v>
      </c>
      <c r="E29" s="1084">
        <f>'Report-SOF1617'!D29</f>
        <v>0</v>
      </c>
      <c r="F29" s="1084">
        <f>'Report-SOF1718'!D29</f>
        <v>0</v>
      </c>
      <c r="G29" s="1084">
        <f>'Report-SOF1819'!D29</f>
        <v>0</v>
      </c>
      <c r="H29" s="1084">
        <f>'Report-SOF1920'!D29</f>
        <v>0</v>
      </c>
      <c r="I29" s="1084">
        <f>'Report-SOF2021'!D29</f>
        <v>0</v>
      </c>
      <c r="J29" s="1084">
        <f>'Report-SOF2122'!D29</f>
        <v>0</v>
      </c>
      <c r="K29" s="1084">
        <f>'Report-SOF2223'!D29</f>
        <v>0</v>
      </c>
    </row>
    <row r="30" spans="1:11" ht="15">
      <c r="A30" s="1079" t="s">
        <v>3122</v>
      </c>
      <c r="B30" s="1080" t="s">
        <v>3125</v>
      </c>
      <c r="C30" s="1080"/>
      <c r="D30" s="1254" t="e">
        <f>#REF!</f>
        <v>#REF!</v>
      </c>
      <c r="E30" s="1254" t="str">
        <f>'Report-SOF1617'!D30</f>
        <v>Not Needed</v>
      </c>
      <c r="F30" s="1254" t="str">
        <f>'Report-SOF1718'!D30</f>
        <v>Not Needed</v>
      </c>
      <c r="G30" s="1254" t="str">
        <f>'Report-SOF1819'!D30</f>
        <v>Not Needed</v>
      </c>
      <c r="H30" s="1254" t="str">
        <f>'Report-SOF1920'!D30</f>
        <v>Not Needed</v>
      </c>
      <c r="I30" s="1254" t="str">
        <f>'Report-SOF2021'!D30</f>
        <v>Not Needed</v>
      </c>
      <c r="J30" s="1254" t="str">
        <f>'Report-SOF2122'!D30</f>
        <v>Not Needed</v>
      </c>
      <c r="K30" s="1254" t="str">
        <f>'Report-SOF2223'!D30</f>
        <v>Not Needed</v>
      </c>
    </row>
    <row r="31" spans="1:11" ht="15">
      <c r="A31" s="1079" t="s">
        <v>3123</v>
      </c>
      <c r="B31" s="1080" t="s">
        <v>3526</v>
      </c>
      <c r="C31" s="1080"/>
      <c r="D31" s="1084" t="e">
        <f>#REF!</f>
        <v>#REF!</v>
      </c>
      <c r="E31" s="1084">
        <f>'Report-SOF1617'!D31</f>
        <v>0</v>
      </c>
      <c r="F31" s="1084">
        <f>'Report-SOF1718'!D31</f>
        <v>0</v>
      </c>
      <c r="G31" s="1084">
        <f>'Report-SOF1819'!D31</f>
        <v>0</v>
      </c>
      <c r="H31" s="1084">
        <f>'Report-SOF1920'!D31</f>
        <v>0</v>
      </c>
      <c r="I31" s="1084">
        <f>'Report-SOF2021'!D31</f>
        <v>0</v>
      </c>
      <c r="J31" s="1084">
        <f>'Report-SOF2122'!D31</f>
        <v>0</v>
      </c>
      <c r="K31" s="1084">
        <f>'Report-SOF2223'!D31</f>
        <v>0</v>
      </c>
    </row>
    <row r="32" spans="1:11" ht="15">
      <c r="A32" s="1079" t="s">
        <v>3126</v>
      </c>
      <c r="B32" s="1076" t="s">
        <v>3525</v>
      </c>
      <c r="C32" s="1080"/>
      <c r="D32" s="1085" t="e">
        <f>#REF!</f>
        <v>#REF!</v>
      </c>
      <c r="E32" s="1085">
        <f>'Report-SOF1617'!D32</f>
        <v>0</v>
      </c>
      <c r="F32" s="1085">
        <f>'Report-SOF1718'!D32</f>
        <v>0</v>
      </c>
      <c r="G32" s="1085">
        <f>'Report-SOF1819'!D32</f>
        <v>0</v>
      </c>
      <c r="H32" s="1085">
        <f>'Report-SOF1920'!D32</f>
        <v>0</v>
      </c>
      <c r="I32" s="1085">
        <f>'Report-SOF2021'!D32</f>
        <v>0</v>
      </c>
      <c r="J32" s="1085">
        <f>'Report-SOF2122'!D32</f>
        <v>0</v>
      </c>
      <c r="K32" s="1085">
        <f>'Report-SOF2223'!D32</f>
        <v>0</v>
      </c>
    </row>
    <row r="33" spans="1:11" ht="15">
      <c r="A33" s="1079" t="s">
        <v>3127</v>
      </c>
      <c r="B33" s="1080" t="s">
        <v>3529</v>
      </c>
      <c r="C33" s="1080"/>
      <c r="D33" s="1085" t="e">
        <f>#REF!</f>
        <v>#REF!</v>
      </c>
      <c r="E33" s="1085">
        <f>'Report-SOF1617'!D33</f>
        <v>0</v>
      </c>
      <c r="F33" s="1085">
        <f>'Report-SOF1718'!D33</f>
        <v>0</v>
      </c>
      <c r="G33" s="1085">
        <f>'Report-SOF1819'!D33</f>
        <v>0</v>
      </c>
      <c r="H33" s="1085">
        <f>'Report-SOF1920'!D33</f>
        <v>0</v>
      </c>
      <c r="I33" s="1085">
        <f>'Report-SOF2021'!D33</f>
        <v>0</v>
      </c>
      <c r="J33" s="1085">
        <f>'Report-SOF2122'!D33</f>
        <v>0</v>
      </c>
      <c r="K33" s="1085">
        <f>'Report-SOF2223'!D33</f>
        <v>0</v>
      </c>
    </row>
    <row r="34" spans="1:11" ht="15">
      <c r="A34" s="1079" t="s">
        <v>3128</v>
      </c>
      <c r="B34" s="1080" t="s">
        <v>3530</v>
      </c>
      <c r="C34" s="1080"/>
      <c r="D34" s="1085" t="e">
        <f>#REF!</f>
        <v>#REF!</v>
      </c>
      <c r="E34" s="1085">
        <f>'Report-SOF1617'!D34</f>
        <v>0</v>
      </c>
      <c r="F34" s="1085">
        <f>'Report-SOF1718'!D34</f>
        <v>0</v>
      </c>
      <c r="G34" s="1085">
        <f>'Report-SOF1819'!D34</f>
        <v>0</v>
      </c>
      <c r="H34" s="1085">
        <f>'Report-SOF1920'!D34</f>
        <v>0</v>
      </c>
      <c r="I34" s="1085">
        <f>'Report-SOF2021'!D34</f>
        <v>0</v>
      </c>
      <c r="J34" s="1085">
        <f>'Report-SOF2122'!D34</f>
        <v>0</v>
      </c>
      <c r="K34" s="1085">
        <f>'Report-SOF2223'!D34</f>
        <v>0</v>
      </c>
    </row>
    <row r="35" spans="1:11" ht="15">
      <c r="A35" s="1079" t="s">
        <v>3129</v>
      </c>
      <c r="B35" s="1080" t="s">
        <v>301</v>
      </c>
      <c r="C35" s="1080"/>
      <c r="D35" s="1085" t="e">
        <f>#REF!</f>
        <v>#REF!</v>
      </c>
      <c r="E35" s="1085">
        <f>'Report-SOF1617'!D35</f>
        <v>0</v>
      </c>
      <c r="F35" s="1085">
        <f>'Report-SOF1718'!D35</f>
        <v>0</v>
      </c>
      <c r="G35" s="1085">
        <f>'Report-SOF1819'!D35</f>
        <v>0</v>
      </c>
      <c r="H35" s="1085">
        <f>'Report-SOF1920'!D35</f>
        <v>0</v>
      </c>
      <c r="I35" s="1085">
        <f>'Report-SOF2021'!D35</f>
        <v>0</v>
      </c>
      <c r="J35" s="1085">
        <f>'Report-SOF2122'!D35</f>
        <v>0</v>
      </c>
      <c r="K35" s="1085">
        <f>'Report-SOF2223'!D35</f>
        <v>0</v>
      </c>
    </row>
    <row r="36" spans="1:11" ht="18">
      <c r="A36" s="3686" t="s">
        <v>3130</v>
      </c>
      <c r="B36" s="3689"/>
      <c r="C36" s="3679"/>
      <c r="D36" s="3679"/>
      <c r="E36" s="3667" t="s">
        <v>3613</v>
      </c>
      <c r="F36" s="3667" t="s">
        <v>3673</v>
      </c>
      <c r="G36" s="3667" t="s">
        <v>3830</v>
      </c>
      <c r="H36" s="3667" t="s">
        <v>3903</v>
      </c>
      <c r="I36" s="3667" t="s">
        <v>4592</v>
      </c>
      <c r="J36" s="3667" t="str">
        <f>J27</f>
        <v>2021-22</v>
      </c>
      <c r="K36" s="3667" t="str">
        <f>K27</f>
        <v>2022-23</v>
      </c>
    </row>
    <row r="37" spans="1:11" ht="15">
      <c r="A37" s="1079" t="s">
        <v>3131</v>
      </c>
      <c r="B37" s="1076" t="s">
        <v>3531</v>
      </c>
      <c r="C37" s="1080"/>
      <c r="D37" s="1085" t="e">
        <f>#REF!</f>
        <v>#REF!</v>
      </c>
      <c r="E37" s="1085" t="e">
        <f>'Report-SOF1617'!D37</f>
        <v>#DIV/0!</v>
      </c>
      <c r="F37" s="1085">
        <f>'Report-SOF1718'!D37</f>
        <v>0</v>
      </c>
      <c r="G37" s="1085">
        <f>'Report-SOF1819'!D37</f>
        <v>0</v>
      </c>
      <c r="H37" s="1085">
        <f>'Report-SOF1920'!D37</f>
        <v>0</v>
      </c>
      <c r="I37" s="1085">
        <f>'Report-SOF2021'!D37</f>
        <v>0</v>
      </c>
      <c r="J37" s="1085">
        <f>'Report-SOF2122'!D37</f>
        <v>0</v>
      </c>
      <c r="K37" s="1085">
        <f>'Report-SOF2223'!D37</f>
        <v>0</v>
      </c>
    </row>
    <row r="38" spans="1:11" ht="15">
      <c r="A38" s="1079" t="s">
        <v>3132</v>
      </c>
      <c r="B38" s="1080" t="s">
        <v>3136</v>
      </c>
      <c r="C38" s="1080"/>
      <c r="D38" s="1085" t="e">
        <f>#REF!</f>
        <v>#REF!</v>
      </c>
      <c r="E38" s="1085" t="e">
        <f>'Report-SOF1617'!D38</f>
        <v>#DIV/0!</v>
      </c>
      <c r="F38" s="1085" t="e">
        <f>'Report-SOF1718'!D38</f>
        <v>#DIV/0!</v>
      </c>
      <c r="G38" s="1085" t="e">
        <f>'Report-SOF1819'!D38</f>
        <v>#DIV/0!</v>
      </c>
      <c r="H38" s="1085" t="e">
        <f>'Report-SOF1920'!D38</f>
        <v>#DIV/0!</v>
      </c>
      <c r="I38" s="1085" t="e">
        <f>'Report-SOF2021'!D38</f>
        <v>#DIV/0!</v>
      </c>
      <c r="J38" s="1085" t="e">
        <f>'Report-SOF2122'!D38</f>
        <v>#DIV/0!</v>
      </c>
      <c r="K38" s="1085" t="e">
        <f>'Report-SOF2223'!D38</f>
        <v>#DIV/0!</v>
      </c>
    </row>
    <row r="39" spans="1:11" ht="15">
      <c r="A39" s="1079" t="s">
        <v>3133</v>
      </c>
      <c r="B39" s="1080" t="s">
        <v>3183</v>
      </c>
      <c r="C39" s="1080"/>
      <c r="D39" s="1086" t="e">
        <f>#REF!</f>
        <v>#REF!</v>
      </c>
      <c r="E39" s="1086">
        <f>'Report-SOF1617'!D39</f>
        <v>0</v>
      </c>
      <c r="F39" s="1086">
        <f>'Report-SOF1718'!D39</f>
        <v>0</v>
      </c>
      <c r="G39" s="1086">
        <f>'Report-SOF1819'!D39</f>
        <v>0</v>
      </c>
      <c r="H39" s="1086">
        <f>'Report-SOF1920'!D39</f>
        <v>0</v>
      </c>
      <c r="I39" s="1086">
        <f>'Report-SOF2021'!D39</f>
        <v>0</v>
      </c>
      <c r="J39" s="1086">
        <f>'Report-SOF2122'!D39</f>
        <v>0</v>
      </c>
      <c r="K39" s="1086">
        <f>'Report-SOF2223'!D39</f>
        <v>0</v>
      </c>
    </row>
    <row r="40" spans="1:11" ht="15">
      <c r="A40" s="1079" t="s">
        <v>3134</v>
      </c>
      <c r="B40" s="1080" t="s">
        <v>3137</v>
      </c>
      <c r="C40" s="1080"/>
      <c r="D40" s="1086" t="e">
        <f>#REF!</f>
        <v>#REF!</v>
      </c>
      <c r="E40" s="1086">
        <f>'Report-SOF1617'!D40</f>
        <v>0</v>
      </c>
      <c r="F40" s="1086">
        <f>'Report-SOF1718'!D40</f>
        <v>0</v>
      </c>
      <c r="G40" s="1086">
        <f>'Report-SOF1819'!D40</f>
        <v>0</v>
      </c>
      <c r="H40" s="1086">
        <f>'Report-SOF1920'!D40</f>
        <v>0</v>
      </c>
      <c r="I40" s="1086">
        <f>'Report-SOF2021'!D40</f>
        <v>0</v>
      </c>
      <c r="J40" s="1086">
        <f>'Report-SOF2122'!D40</f>
        <v>0</v>
      </c>
      <c r="K40" s="1086">
        <f>'Report-SOF2223'!D40</f>
        <v>0</v>
      </c>
    </row>
    <row r="41" spans="1:11" ht="15">
      <c r="A41" s="1079" t="s">
        <v>3135</v>
      </c>
      <c r="B41" s="1080" t="s">
        <v>3138</v>
      </c>
      <c r="C41" s="1080"/>
      <c r="D41" s="1087" t="e">
        <f>#REF!</f>
        <v>#REF!</v>
      </c>
      <c r="E41" s="1087">
        <f>'Report-SOF1617'!D41</f>
        <v>390.3</v>
      </c>
      <c r="F41" s="1087">
        <f>'Report-SOF1718'!D41</f>
        <v>206.566</v>
      </c>
      <c r="G41" s="1087">
        <f>'Report-SOF1819'!D41</f>
        <v>447.18</v>
      </c>
      <c r="H41" s="1087">
        <f>'Report-SOF1920'!D41</f>
        <v>200</v>
      </c>
      <c r="I41" s="1087">
        <f>'Report-SOF2021'!D41</f>
        <v>375</v>
      </c>
      <c r="J41" s="1087">
        <f>'Report-SOF2122'!D41</f>
        <v>200</v>
      </c>
      <c r="K41" s="1087">
        <f>'Report-SOF2223'!D41</f>
        <v>375</v>
      </c>
    </row>
    <row r="42" spans="1:11" ht="18">
      <c r="A42" s="3686" t="s">
        <v>3139</v>
      </c>
      <c r="B42" s="3689"/>
      <c r="C42" s="3679"/>
      <c r="D42" s="3679"/>
      <c r="E42" s="3679"/>
      <c r="F42" s="3679"/>
      <c r="G42" s="3679"/>
      <c r="H42" s="3679"/>
      <c r="I42" s="3679"/>
      <c r="J42" s="3679"/>
      <c r="K42" s="3679"/>
    </row>
    <row r="43" spans="1:11" ht="15.75">
      <c r="A43" s="3690"/>
      <c r="B43" s="3691" t="s">
        <v>3159</v>
      </c>
      <c r="C43" s="3679"/>
      <c r="D43" s="3667" t="s">
        <v>195</v>
      </c>
      <c r="E43" s="3667" t="s">
        <v>3613</v>
      </c>
      <c r="F43" s="3667" t="s">
        <v>3673</v>
      </c>
      <c r="G43" s="3667" t="s">
        <v>3830</v>
      </c>
      <c r="H43" s="3667" t="s">
        <v>3903</v>
      </c>
      <c r="I43" s="3667" t="s">
        <v>4592</v>
      </c>
      <c r="J43" s="3667" t="str">
        <f>J36</f>
        <v>2021-22</v>
      </c>
      <c r="K43" s="3667" t="str">
        <f>K36</f>
        <v>2022-23</v>
      </c>
    </row>
    <row r="44" spans="1:11" ht="15">
      <c r="A44" s="1079" t="s">
        <v>3140</v>
      </c>
      <c r="B44" s="1080" t="s">
        <v>3160</v>
      </c>
      <c r="C44" s="1080"/>
      <c r="D44" s="1085" t="e">
        <f>#REF!</f>
        <v>#REF!</v>
      </c>
      <c r="E44" s="1085" t="e">
        <f>'Report-SOF1617'!D44</f>
        <v>#DIV/0!</v>
      </c>
      <c r="F44" s="1085">
        <f>'Report-SOF1718'!D44</f>
        <v>0</v>
      </c>
      <c r="G44" s="1085">
        <f>'Report-SOF1819'!D44</f>
        <v>0</v>
      </c>
      <c r="H44" s="1085">
        <f>'Report-SOF1920'!D44</f>
        <v>0</v>
      </c>
      <c r="I44" s="1085">
        <f>'Report-SOF2021'!D44</f>
        <v>0</v>
      </c>
      <c r="J44" s="1085">
        <f>'Report-SOF2122'!D44</f>
        <v>0</v>
      </c>
      <c r="K44" s="1085">
        <f>'Report-SOF2223'!D44</f>
        <v>0</v>
      </c>
    </row>
    <row r="45" spans="1:11" ht="15">
      <c r="A45" s="1079" t="s">
        <v>3141</v>
      </c>
      <c r="B45" s="1080" t="s">
        <v>3406</v>
      </c>
      <c r="C45" s="1080"/>
      <c r="D45" s="1085" t="e">
        <f>#REF!</f>
        <v>#REF!</v>
      </c>
      <c r="E45" s="1085" t="e">
        <f>'Report-SOF1617'!D45</f>
        <v>#DIV/0!</v>
      </c>
      <c r="F45" s="1085">
        <f>'Report-SOF1718'!D45</f>
        <v>0</v>
      </c>
      <c r="G45" s="1085">
        <f>'Report-SOF1819'!D45</f>
        <v>0</v>
      </c>
      <c r="H45" s="1085">
        <f>'Report-SOF1920'!D45</f>
        <v>0</v>
      </c>
      <c r="I45" s="1085">
        <f>'Report-SOF2021'!D45</f>
        <v>0</v>
      </c>
      <c r="J45" s="1085">
        <f>'Report-SOF2122'!D45</f>
        <v>0</v>
      </c>
      <c r="K45" s="1085">
        <f>'Report-SOF2223'!D45</f>
        <v>0</v>
      </c>
    </row>
    <row r="46" spans="1:11" ht="15">
      <c r="A46" s="1079" t="s">
        <v>3142</v>
      </c>
      <c r="B46" s="1080" t="s">
        <v>3407</v>
      </c>
      <c r="C46" s="1080"/>
      <c r="D46" s="1085" t="e">
        <f>#REF!</f>
        <v>#REF!</v>
      </c>
      <c r="E46" s="1085" t="e">
        <f>'Report-SOF1617'!D46</f>
        <v>#DIV/0!</v>
      </c>
      <c r="F46" s="1085">
        <f>'Report-SOF1718'!D46</f>
        <v>0</v>
      </c>
      <c r="G46" s="1085">
        <f>'Report-SOF1819'!D46</f>
        <v>0</v>
      </c>
      <c r="H46" s="1085">
        <f>'Report-SOF1920'!D46</f>
        <v>0</v>
      </c>
      <c r="I46" s="1085">
        <f>'Report-SOF2021'!D46</f>
        <v>0</v>
      </c>
      <c r="J46" s="1085">
        <f>'Report-SOF2122'!D46</f>
        <v>0</v>
      </c>
      <c r="K46" s="1085">
        <f>'Report-SOF2223'!D46</f>
        <v>0</v>
      </c>
    </row>
    <row r="47" spans="1:11" ht="15">
      <c r="A47" s="1079" t="s">
        <v>3143</v>
      </c>
      <c r="B47" s="1080" t="s">
        <v>3161</v>
      </c>
      <c r="C47" s="1080"/>
      <c r="D47" s="1085" t="e">
        <f>#REF!</f>
        <v>#REF!</v>
      </c>
      <c r="E47" s="1085" t="e">
        <f>'Report-SOF1617'!D47</f>
        <v>#DIV/0!</v>
      </c>
      <c r="F47" s="1085">
        <f>'Report-SOF1718'!D47</f>
        <v>0</v>
      </c>
      <c r="G47" s="1085">
        <f>'Report-SOF1819'!D47</f>
        <v>0</v>
      </c>
      <c r="H47" s="1085">
        <f>'Report-SOF1920'!D47</f>
        <v>0</v>
      </c>
      <c r="I47" s="1085">
        <f>'Report-SOF2021'!D47</f>
        <v>0</v>
      </c>
      <c r="J47" s="1085">
        <f>'Report-SOF2122'!D47</f>
        <v>0</v>
      </c>
      <c r="K47" s="1085">
        <f>'Report-SOF2223'!D47</f>
        <v>0</v>
      </c>
    </row>
    <row r="48" spans="1:11" ht="15">
      <c r="A48" s="1079" t="s">
        <v>3144</v>
      </c>
      <c r="B48" s="1080" t="s">
        <v>3408</v>
      </c>
      <c r="C48" s="1080"/>
      <c r="D48" s="1085" t="e">
        <f>#REF!</f>
        <v>#REF!</v>
      </c>
      <c r="E48" s="1085" t="e">
        <f>'Report-SOF1617'!D48</f>
        <v>#DIV/0!</v>
      </c>
      <c r="F48" s="1085">
        <f>'Report-SOF1718'!D48</f>
        <v>0</v>
      </c>
      <c r="G48" s="1085">
        <f>'Report-SOF1819'!D48</f>
        <v>0</v>
      </c>
      <c r="H48" s="1085">
        <f>'Report-SOF1920'!D48</f>
        <v>0</v>
      </c>
      <c r="I48" s="1085">
        <f>'Report-SOF2021'!D48</f>
        <v>0</v>
      </c>
      <c r="J48" s="1085">
        <f>'Report-SOF2122'!D48</f>
        <v>0</v>
      </c>
      <c r="K48" s="1085">
        <f>'Report-SOF2223'!D48</f>
        <v>0</v>
      </c>
    </row>
    <row r="49" spans="1:11" ht="15">
      <c r="A49" s="1079" t="s">
        <v>3145</v>
      </c>
      <c r="B49" s="1080" t="s">
        <v>3409</v>
      </c>
      <c r="C49" s="1080"/>
      <c r="D49" s="1085" t="e">
        <f>#REF!</f>
        <v>#REF!</v>
      </c>
      <c r="E49" s="1085" t="e">
        <f>'Report-SOF1617'!D49</f>
        <v>#DIV/0!</v>
      </c>
      <c r="F49" s="1085">
        <f>'Report-SOF1718'!D49</f>
        <v>0</v>
      </c>
      <c r="G49" s="1085">
        <f>'Report-SOF1819'!D49</f>
        <v>0</v>
      </c>
      <c r="H49" s="1085">
        <f>'Report-SOF1920'!D49</f>
        <v>0</v>
      </c>
      <c r="I49" s="1085">
        <f>'Report-SOF2021'!D49</f>
        <v>0</v>
      </c>
      <c r="J49" s="1085">
        <f>'Report-SOF2122'!D49</f>
        <v>0</v>
      </c>
      <c r="K49" s="1085">
        <f>'Report-SOF2223'!D49</f>
        <v>0</v>
      </c>
    </row>
    <row r="50" spans="1:11" ht="15">
      <c r="A50" s="1079" t="s">
        <v>3146</v>
      </c>
      <c r="B50" s="1080" t="s">
        <v>3162</v>
      </c>
      <c r="C50" s="1080"/>
      <c r="D50" s="1085" t="e">
        <f>#REF!</f>
        <v>#REF!</v>
      </c>
      <c r="E50" s="1085" t="e">
        <f>'Report-SOF1617'!D50</f>
        <v>#DIV/0!</v>
      </c>
      <c r="F50" s="1085">
        <f>'Report-SOF1718'!D50</f>
        <v>0</v>
      </c>
      <c r="G50" s="1085">
        <f>'Report-SOF1819'!D50</f>
        <v>0</v>
      </c>
      <c r="H50" s="1085">
        <f>'Report-SOF1920'!D50</f>
        <v>0</v>
      </c>
      <c r="I50" s="1085">
        <f>'Report-SOF2021'!D50</f>
        <v>0</v>
      </c>
      <c r="J50" s="1085">
        <f>'Report-SOF2122'!D50</f>
        <v>0</v>
      </c>
      <c r="K50" s="1085">
        <f>'Report-SOF2223'!D50</f>
        <v>0</v>
      </c>
    </row>
    <row r="51" spans="1:11" ht="15">
      <c r="A51" s="1079" t="s">
        <v>3147</v>
      </c>
      <c r="B51" s="1080" t="s">
        <v>3173</v>
      </c>
      <c r="C51" s="1080"/>
      <c r="D51" s="1085" t="e">
        <f>#REF!</f>
        <v>#REF!</v>
      </c>
      <c r="E51" s="1085">
        <f>'Report-SOF1617'!D51</f>
        <v>0</v>
      </c>
      <c r="F51" s="1085">
        <f>'Report-SOF1718'!D51</f>
        <v>0</v>
      </c>
      <c r="G51" s="1085">
        <f>'Report-SOF1819'!D51</f>
        <v>0</v>
      </c>
      <c r="H51" s="1085">
        <f>'Report-SOF1920'!D51</f>
        <v>0</v>
      </c>
      <c r="I51" s="1085">
        <f>'Report-SOF2021'!D51</f>
        <v>0</v>
      </c>
      <c r="J51" s="1085">
        <f>'Report-SOF2122'!D51</f>
        <v>0</v>
      </c>
      <c r="K51" s="1085">
        <f>'Report-SOF2223'!D51</f>
        <v>0</v>
      </c>
    </row>
    <row r="52" spans="1:11" ht="15">
      <c r="A52" s="1079" t="s">
        <v>3148</v>
      </c>
      <c r="B52" s="1080" t="s">
        <v>3163</v>
      </c>
      <c r="C52" s="1080"/>
      <c r="D52" s="1085" t="e">
        <f>#REF!</f>
        <v>#REF!</v>
      </c>
      <c r="E52" s="1085">
        <f>'Report-SOF1617'!D52</f>
        <v>0</v>
      </c>
      <c r="F52" s="1085">
        <f>'Report-SOF1718'!D52</f>
        <v>0</v>
      </c>
      <c r="G52" s="1085">
        <f>'Report-SOF1819'!D52</f>
        <v>0</v>
      </c>
      <c r="H52" s="1085">
        <f>'Report-SOF1920'!D52</f>
        <v>0</v>
      </c>
      <c r="I52" s="1085">
        <f>'Report-SOF2021'!D52</f>
        <v>0</v>
      </c>
      <c r="J52" s="1085">
        <f>'Report-SOF2122'!D52</f>
        <v>0</v>
      </c>
      <c r="K52" s="1085">
        <f>'Report-SOF2223'!D52</f>
        <v>0</v>
      </c>
    </row>
    <row r="53" spans="1:11" ht="15">
      <c r="A53" s="1079" t="s">
        <v>3149</v>
      </c>
      <c r="B53" s="1080" t="s">
        <v>3164</v>
      </c>
      <c r="C53" s="1080"/>
      <c r="D53" s="1085" t="e">
        <f>#REF!</f>
        <v>#REF!</v>
      </c>
      <c r="E53" s="1085">
        <f>'Report-SOF1617'!D53</f>
        <v>0</v>
      </c>
      <c r="F53" s="1085">
        <f>'Report-SOF1718'!D53</f>
        <v>0</v>
      </c>
      <c r="G53" s="1085">
        <f>'Report-SOF1819'!D53</f>
        <v>0</v>
      </c>
      <c r="H53" s="1085">
        <f>'Report-SOF1920'!D53</f>
        <v>0</v>
      </c>
      <c r="I53" s="1085">
        <f>'Report-SOF2021'!D53</f>
        <v>0</v>
      </c>
      <c r="J53" s="1085">
        <f>'Report-SOF2122'!D53</f>
        <v>0</v>
      </c>
      <c r="K53" s="1085">
        <f>'Report-SOF2223'!D53</f>
        <v>0</v>
      </c>
    </row>
    <row r="54" spans="1:11" ht="15">
      <c r="A54" s="1079" t="s">
        <v>3150</v>
      </c>
      <c r="B54" s="1076" t="s">
        <v>576</v>
      </c>
      <c r="C54" s="1080"/>
      <c r="D54" s="1085" t="e">
        <f>#REF!</f>
        <v>#REF!</v>
      </c>
      <c r="E54" s="1085" t="e">
        <f>'Report-SOF1617'!D54</f>
        <v>#DIV/0!</v>
      </c>
      <c r="F54" s="1085">
        <f>'Report-SOF1718'!D54</f>
        <v>0</v>
      </c>
      <c r="G54" s="1085">
        <f>'Report-SOF1819'!D54</f>
        <v>0</v>
      </c>
      <c r="H54" s="1085">
        <f>'Report-SOF1920'!D54</f>
        <v>0</v>
      </c>
      <c r="I54" s="1085">
        <f>'Report-SOF2021'!D54</f>
        <v>0</v>
      </c>
      <c r="J54" s="1085">
        <f>'Report-SOF2122'!D54</f>
        <v>0</v>
      </c>
      <c r="K54" s="1085">
        <f>'Report-SOF2223'!D54</f>
        <v>0</v>
      </c>
    </row>
    <row r="55" spans="1:11" ht="15">
      <c r="A55" s="1079" t="s">
        <v>3151</v>
      </c>
      <c r="B55" s="1080" t="s">
        <v>3165</v>
      </c>
      <c r="C55" s="1080"/>
      <c r="D55" s="1085" t="e">
        <f>#REF!</f>
        <v>#REF!</v>
      </c>
      <c r="E55" s="1085" t="e">
        <f>'Report-SOF1617'!D55</f>
        <v>#DIV/0!</v>
      </c>
      <c r="F55" s="1085">
        <f>'Report-SOF1718'!D55</f>
        <v>0</v>
      </c>
      <c r="G55" s="1085">
        <f>'Report-SOF1819'!D55</f>
        <v>0</v>
      </c>
      <c r="H55" s="1085">
        <f>'Report-SOF1920'!D55</f>
        <v>0</v>
      </c>
      <c r="I55" s="1085">
        <f>'Report-SOF2021'!D55</f>
        <v>0</v>
      </c>
      <c r="J55" s="1085">
        <f>'Report-SOF2122'!D55</f>
        <v>0</v>
      </c>
      <c r="K55" s="1085">
        <f>'Report-SOF2223'!D55</f>
        <v>0</v>
      </c>
    </row>
    <row r="56" spans="1:11" ht="15">
      <c r="A56" s="1079" t="s">
        <v>3152</v>
      </c>
      <c r="B56" s="1080" t="s">
        <v>889</v>
      </c>
      <c r="C56" s="1080"/>
      <c r="D56" s="1085" t="e">
        <f>#REF!</f>
        <v>#REF!</v>
      </c>
      <c r="E56" s="1085" t="e">
        <f>'Report-SOF1617'!D56</f>
        <v>#DIV/0!</v>
      </c>
      <c r="F56" s="1085">
        <f>'Report-SOF1718'!D56</f>
        <v>0</v>
      </c>
      <c r="G56" s="1085">
        <f>'Report-SOF1819'!D56</f>
        <v>0</v>
      </c>
      <c r="H56" s="1085">
        <f>'Report-SOF1920'!D56</f>
        <v>0</v>
      </c>
      <c r="I56" s="1085">
        <f>'Report-SOF2021'!D56</f>
        <v>0</v>
      </c>
      <c r="J56" s="1085">
        <f>'Report-SOF2122'!D56</f>
        <v>0</v>
      </c>
      <c r="K56" s="1085">
        <f>'Report-SOF2223'!D56</f>
        <v>0</v>
      </c>
    </row>
    <row r="57" spans="1:11" ht="15">
      <c r="A57" s="1079" t="s">
        <v>3153</v>
      </c>
      <c r="B57" s="1080" t="s">
        <v>3166</v>
      </c>
      <c r="C57" s="1080"/>
      <c r="D57" s="1085" t="e">
        <f>#REF!</f>
        <v>#REF!</v>
      </c>
      <c r="E57" s="1085">
        <f>'Report-SOF1617'!D57</f>
        <v>0</v>
      </c>
      <c r="F57" s="1085">
        <f>'Report-SOF1718'!D57</f>
        <v>0</v>
      </c>
      <c r="G57" s="1085">
        <f>'Report-SOF1819'!D57</f>
        <v>0</v>
      </c>
      <c r="H57" s="1085">
        <f>'Report-SOF1920'!D57</f>
        <v>0</v>
      </c>
      <c r="I57" s="1085">
        <f>'Report-SOF2021'!D57</f>
        <v>0</v>
      </c>
      <c r="J57" s="1085">
        <f>'Report-SOF2122'!D57</f>
        <v>0</v>
      </c>
      <c r="K57" s="1085">
        <f>'Report-SOF2223'!D57</f>
        <v>0</v>
      </c>
    </row>
    <row r="58" spans="1:11" ht="18">
      <c r="A58" s="3692" t="s">
        <v>3573</v>
      </c>
      <c r="B58" s="3693"/>
      <c r="C58" s="3679"/>
      <c r="D58" s="3694"/>
      <c r="E58" s="3694"/>
      <c r="F58" s="3694"/>
      <c r="G58" s="3694"/>
      <c r="H58" s="3694"/>
      <c r="I58" s="3694"/>
      <c r="J58" s="3694"/>
      <c r="K58" s="3694"/>
    </row>
    <row r="59" spans="1:11" ht="18">
      <c r="A59" s="3695" t="s">
        <v>3574</v>
      </c>
      <c r="B59" s="3696"/>
      <c r="C59" s="3679"/>
      <c r="D59" s="3694"/>
      <c r="E59" s="3667" t="s">
        <v>3613</v>
      </c>
      <c r="F59" s="3667" t="s">
        <v>3673</v>
      </c>
      <c r="G59" s="3667" t="s">
        <v>3830</v>
      </c>
      <c r="H59" s="3667" t="s">
        <v>3903</v>
      </c>
      <c r="I59" s="3667" t="s">
        <v>4592</v>
      </c>
      <c r="J59" s="3667" t="str">
        <f>J43</f>
        <v>2021-22</v>
      </c>
      <c r="K59" s="3667" t="str">
        <f>K43</f>
        <v>2022-23</v>
      </c>
    </row>
    <row r="60" spans="1:11" ht="15">
      <c r="A60" s="1079" t="s">
        <v>3154</v>
      </c>
      <c r="B60" s="1080" t="s">
        <v>3167</v>
      </c>
      <c r="C60" s="1080"/>
      <c r="D60" s="1085" t="e">
        <f>#REF!</f>
        <v>#REF!</v>
      </c>
      <c r="E60" s="1085" t="e">
        <f>'Report-SOF1617'!D60</f>
        <v>#DIV/0!</v>
      </c>
      <c r="F60" s="1085">
        <f>'Report-SOF1718'!D60</f>
        <v>0</v>
      </c>
      <c r="G60" s="1085">
        <f>'Report-SOF1819'!D60</f>
        <v>0</v>
      </c>
      <c r="H60" s="1085">
        <f>'Report-SOF1920'!D60</f>
        <v>0</v>
      </c>
      <c r="I60" s="1085">
        <f>'Report-SOF2021'!D60</f>
        <v>0</v>
      </c>
      <c r="J60" s="1085">
        <f>'Report-SOF2122'!D60</f>
        <v>0</v>
      </c>
      <c r="K60" s="1085">
        <f>'Report-SOF2223'!D60</f>
        <v>0</v>
      </c>
    </row>
    <row r="61" spans="1:11" ht="15">
      <c r="A61" s="1079" t="s">
        <v>3155</v>
      </c>
      <c r="B61" s="1080" t="s">
        <v>3532</v>
      </c>
      <c r="C61" s="1080"/>
      <c r="D61" s="1085" t="e">
        <f>#REF!</f>
        <v>#REF!</v>
      </c>
      <c r="E61" s="1085" t="e">
        <f>'Report-SOF1617'!D61</f>
        <v>#DIV/0!</v>
      </c>
      <c r="F61" s="1085" t="e">
        <f>'Report-SOF1718'!D61</f>
        <v>#DIV/0!</v>
      </c>
      <c r="G61" s="1085" t="e">
        <f>'Report-SOF1819'!D61</f>
        <v>#DIV/0!</v>
      </c>
      <c r="H61" s="1085" t="e">
        <f>'Report-SOF1920'!D61</f>
        <v>#DIV/0!</v>
      </c>
      <c r="I61" s="1085" t="e">
        <f>'Report-SOF2021'!D61</f>
        <v>#DIV/0!</v>
      </c>
      <c r="J61" s="1085" t="e">
        <f>'Report-SOF2122'!D61</f>
        <v>#DIV/0!</v>
      </c>
      <c r="K61" s="1085" t="e">
        <f>'Report-SOF2223'!D61</f>
        <v>#DIV/0!</v>
      </c>
    </row>
    <row r="62" spans="1:11" ht="15">
      <c r="A62" s="1079" t="s">
        <v>3156</v>
      </c>
      <c r="B62" s="1076" t="s">
        <v>3533</v>
      </c>
      <c r="C62" s="1080"/>
      <c r="D62" s="1085" t="e">
        <f>#REF!</f>
        <v>#REF!</v>
      </c>
      <c r="E62" s="1085" t="e">
        <f>'Report-SOF1617'!D62</f>
        <v>#DIV/0!</v>
      </c>
      <c r="F62" s="1085" t="e">
        <f>'Report-SOF1718'!D62</f>
        <v>#DIV/0!</v>
      </c>
      <c r="G62" s="1085" t="e">
        <f>'Report-SOF1819'!D62</f>
        <v>#DIV/0!</v>
      </c>
      <c r="H62" s="1085" t="e">
        <f>'Report-SOF1920'!D62</f>
        <v>#DIV/0!</v>
      </c>
      <c r="I62" s="1085" t="e">
        <f>'Report-SOF2021'!D62</f>
        <v>#DIV/0!</v>
      </c>
      <c r="J62" s="1085" t="e">
        <f>'Report-SOF2122'!D62</f>
        <v>#DIV/0!</v>
      </c>
      <c r="K62" s="1085" t="e">
        <f>'Report-SOF2223'!D62</f>
        <v>#DIV/0!</v>
      </c>
    </row>
    <row r="63" spans="1:11" ht="15">
      <c r="A63" s="1079" t="s">
        <v>3157</v>
      </c>
      <c r="B63" s="1080" t="s">
        <v>3536</v>
      </c>
      <c r="C63" s="1080"/>
      <c r="D63" s="1085" t="e">
        <f>#REF!</f>
        <v>#REF!</v>
      </c>
      <c r="E63" s="1085">
        <f>'Report-SOF1617'!D63</f>
        <v>0</v>
      </c>
      <c r="F63" s="1085">
        <f>'Report-SOF1718'!D63</f>
        <v>0</v>
      </c>
      <c r="G63" s="1085">
        <f>'Report-SOF1819'!D63</f>
        <v>0</v>
      </c>
      <c r="H63" s="1085">
        <f>'Report-SOF1920'!D63</f>
        <v>0</v>
      </c>
      <c r="I63" s="1085">
        <f>'Report-SOF2021'!D63</f>
        <v>0</v>
      </c>
      <c r="J63" s="1085">
        <f>'Report-SOF2122'!D63</f>
        <v>0</v>
      </c>
      <c r="K63" s="1085">
        <f>'Report-SOF2223'!D63</f>
        <v>0</v>
      </c>
    </row>
    <row r="64" spans="1:11" ht="15">
      <c r="A64" s="1079" t="s">
        <v>3158</v>
      </c>
      <c r="B64" s="1080" t="s">
        <v>3168</v>
      </c>
      <c r="C64" s="1080"/>
      <c r="D64" s="1085" t="e">
        <f>#REF!</f>
        <v>#REF!</v>
      </c>
      <c r="E64" s="1085" t="e">
        <f>'Report-SOF1617'!D64</f>
        <v>#DIV/0!</v>
      </c>
      <c r="F64" s="1085" t="e">
        <f>'Report-SOF1718'!D64</f>
        <v>#DIV/0!</v>
      </c>
      <c r="G64" s="1085" t="e">
        <f>'Report-SOF1819'!D64</f>
        <v>#DIV/0!</v>
      </c>
      <c r="H64" s="1085" t="e">
        <f>'Report-SOF1920'!D64</f>
        <v>#DIV/0!</v>
      </c>
      <c r="I64" s="1085" t="e">
        <f>'Report-SOF2021'!D64</f>
        <v>#DIV/0!</v>
      </c>
      <c r="J64" s="1085" t="e">
        <f>'Report-SOF2122'!D64</f>
        <v>#DIV/0!</v>
      </c>
      <c r="K64" s="1085" t="e">
        <f>'Report-SOF2223'!D64</f>
        <v>#DIV/0!</v>
      </c>
    </row>
    <row r="65" spans="1:11" ht="18">
      <c r="A65" s="3686" t="s">
        <v>3174</v>
      </c>
      <c r="B65" s="3689"/>
      <c r="C65" s="3679"/>
      <c r="D65" s="3679"/>
      <c r="E65" s="3679"/>
      <c r="F65" s="3679"/>
      <c r="G65" s="3679"/>
      <c r="H65" s="3679"/>
      <c r="I65" s="3679"/>
      <c r="J65" s="3679"/>
      <c r="K65" s="3679"/>
    </row>
    <row r="66" spans="1:11" ht="15.75">
      <c r="A66" s="3697"/>
      <c r="B66" s="3691" t="s">
        <v>3182</v>
      </c>
      <c r="C66" s="3679"/>
      <c r="D66" s="3679"/>
      <c r="E66" s="3667" t="s">
        <v>3613</v>
      </c>
      <c r="F66" s="3667" t="s">
        <v>3673</v>
      </c>
      <c r="G66" s="3667" t="s">
        <v>3830</v>
      </c>
      <c r="H66" s="3667" t="s">
        <v>3903</v>
      </c>
      <c r="I66" s="3667" t="s">
        <v>4592</v>
      </c>
      <c r="J66" s="3667" t="str">
        <f>J59</f>
        <v>2021-22</v>
      </c>
      <c r="K66" s="3667" t="str">
        <f>K59</f>
        <v>2022-23</v>
      </c>
    </row>
    <row r="67" spans="1:11" ht="15">
      <c r="A67" s="1079" t="s">
        <v>3175</v>
      </c>
      <c r="B67" s="1080" t="s">
        <v>3181</v>
      </c>
      <c r="C67" s="1080"/>
      <c r="D67" s="1085" t="e">
        <f>#REF!</f>
        <v>#REF!</v>
      </c>
      <c r="E67" s="1085" t="e">
        <f>'Report-SOF1617'!D67</f>
        <v>#DIV/0!</v>
      </c>
      <c r="F67" s="1085" t="e">
        <f>'Report-SOF1718'!D67</f>
        <v>#DIV/0!</v>
      </c>
      <c r="G67" s="1085" t="e">
        <f>'Report-SOF1819'!D67</f>
        <v>#DIV/0!</v>
      </c>
      <c r="H67" s="1085" t="e">
        <f>'Report-SOF1920'!D67</f>
        <v>#DIV/0!</v>
      </c>
      <c r="I67" s="1085" t="e">
        <f>'Report-SOF2021'!D67</f>
        <v>#DIV/0!</v>
      </c>
      <c r="J67" s="1085" t="e">
        <f>'Report-SOF2122'!D67</f>
        <v>#DIV/0!</v>
      </c>
      <c r="K67" s="1085" t="e">
        <f>'Report-SOF2223'!D67</f>
        <v>#DIV/0!</v>
      </c>
    </row>
    <row r="68" spans="1:11" ht="15">
      <c r="A68" s="1079" t="s">
        <v>3176</v>
      </c>
      <c r="B68" s="1080" t="s">
        <v>3484</v>
      </c>
      <c r="C68" s="1080"/>
      <c r="D68" s="1085" t="e">
        <f>#REF!</f>
        <v>#REF!</v>
      </c>
      <c r="E68" s="1085">
        <f>'Report-SOF1617'!D68</f>
        <v>0</v>
      </c>
      <c r="F68" s="1085">
        <f>'Report-SOF1718'!D68</f>
        <v>0</v>
      </c>
      <c r="G68" s="1085">
        <f>'Report-SOF1819'!D68</f>
        <v>0</v>
      </c>
      <c r="H68" s="1085">
        <f>'Report-SOF1920'!D68</f>
        <v>0</v>
      </c>
      <c r="I68" s="1085">
        <f>'Report-SOF2021'!D68</f>
        <v>0</v>
      </c>
      <c r="J68" s="1085">
        <f>'Report-SOF2122'!D68</f>
        <v>0</v>
      </c>
      <c r="K68" s="1085">
        <f>'Report-SOF2223'!D68</f>
        <v>0</v>
      </c>
    </row>
    <row r="69" spans="1:11" ht="15">
      <c r="A69" s="1079" t="s">
        <v>3177</v>
      </c>
      <c r="B69" s="1095" t="s">
        <v>3534</v>
      </c>
      <c r="C69" s="1080"/>
      <c r="D69" s="1085" t="e">
        <f>#REF!</f>
        <v>#REF!</v>
      </c>
      <c r="E69" s="1085">
        <f>'Report-SOF1617'!D69</f>
        <v>0</v>
      </c>
      <c r="F69" s="1085">
        <f>'Report-SOF1718'!D69</f>
        <v>0</v>
      </c>
      <c r="G69" s="1085">
        <f>'Report-SOF1819'!D69</f>
        <v>0</v>
      </c>
      <c r="H69" s="1085">
        <f>'Report-SOF1920'!D69</f>
        <v>0</v>
      </c>
      <c r="I69" s="1085">
        <f>'Report-SOF2021'!D69</f>
        <v>0</v>
      </c>
      <c r="J69" s="1085">
        <f>'Report-SOF2122'!D69</f>
        <v>0</v>
      </c>
      <c r="K69" s="1085">
        <f>'Report-SOF2223'!D69</f>
        <v>0</v>
      </c>
    </row>
    <row r="70" spans="1:11" ht="15">
      <c r="A70" s="1079" t="s">
        <v>3178</v>
      </c>
      <c r="B70" s="1120" t="s">
        <v>3535</v>
      </c>
      <c r="C70" s="1080"/>
      <c r="D70" s="1085" t="e">
        <f>#REF!</f>
        <v>#REF!</v>
      </c>
      <c r="E70" s="1085">
        <f>'Report-SOF1617'!D70</f>
        <v>0</v>
      </c>
      <c r="F70" s="1085">
        <f>'Report-SOF1718'!D70</f>
        <v>0</v>
      </c>
      <c r="G70" s="1085">
        <f>'Report-SOF1819'!D70</f>
        <v>0</v>
      </c>
      <c r="H70" s="1085">
        <f>'Report-SOF1920'!D70</f>
        <v>0</v>
      </c>
      <c r="I70" s="1085">
        <f>'Report-SOF2021'!D70</f>
        <v>0</v>
      </c>
      <c r="J70" s="1085">
        <f>'Report-SOF2122'!D70</f>
        <v>0</v>
      </c>
      <c r="K70" s="1085">
        <f>'Report-SOF2223'!D70</f>
        <v>0</v>
      </c>
    </row>
    <row r="71" spans="1:11" ht="15">
      <c r="A71" s="1079" t="s">
        <v>3179</v>
      </c>
      <c r="B71" s="1080" t="s">
        <v>3571</v>
      </c>
      <c r="C71" s="1080"/>
      <c r="D71" s="1085" t="e">
        <f>#REF!</f>
        <v>#REF!</v>
      </c>
      <c r="E71" s="1085">
        <f>'Report-SOF1617'!D71</f>
        <v>0</v>
      </c>
      <c r="F71" s="1085">
        <f>'Report-SOF1718'!D71</f>
        <v>0</v>
      </c>
      <c r="G71" s="1085">
        <f>'Report-SOF1819'!D71</f>
        <v>0</v>
      </c>
      <c r="H71" s="1085">
        <f>'Report-SOF1920'!D71</f>
        <v>0</v>
      </c>
      <c r="I71" s="1085">
        <f>'Report-SOF2021'!D71</f>
        <v>0</v>
      </c>
      <c r="J71" s="1085">
        <f>'Report-SOF2122'!D71</f>
        <v>0</v>
      </c>
      <c r="K71" s="1085">
        <f>'Report-SOF2223'!D71</f>
        <v>0</v>
      </c>
    </row>
    <row r="72" spans="1:11" ht="15.75">
      <c r="A72" s="1079" t="s">
        <v>3180</v>
      </c>
      <c r="B72" s="1080" t="s">
        <v>6466</v>
      </c>
      <c r="C72" s="1080"/>
      <c r="D72" s="1085"/>
      <c r="E72" s="1085" t="e">
        <f>'Report-SOF1617'!D72</f>
        <v>#DIV/0!</v>
      </c>
      <c r="F72" s="1085" t="e">
        <f>'Report-SOF1718'!D72</f>
        <v>#DIV/0!</v>
      </c>
      <c r="G72" s="1085" t="e">
        <f>'Report-SOF1819'!D72</f>
        <v>#DIV/0!</v>
      </c>
      <c r="H72" s="1085" t="e">
        <f>'Report-SOF1920'!D72</f>
        <v>#DIV/0!</v>
      </c>
      <c r="I72" s="1085" t="e">
        <f>'Report-SOF2021'!D72</f>
        <v>#DIV/0!</v>
      </c>
      <c r="J72" s="1085" t="e">
        <f>'Report-SOF2122'!D72</f>
        <v>#DIV/0!</v>
      </c>
      <c r="K72" s="1085" t="e">
        <f>'Report-SOF2223'!D72</f>
        <v>#DIV/0!</v>
      </c>
    </row>
    <row r="73" spans="1:11" ht="18">
      <c r="A73" s="1079" t="s">
        <v>3320</v>
      </c>
      <c r="B73" s="1269" t="s">
        <v>3537</v>
      </c>
      <c r="C73" s="1080"/>
      <c r="D73" s="1090" t="e">
        <f>#REF!</f>
        <v>#REF!</v>
      </c>
      <c r="E73" s="1090" t="e">
        <f>'Report-SOF1617'!D73</f>
        <v>#DIV/0!</v>
      </c>
      <c r="F73" s="1090" t="e">
        <f>'Report-SOF1718'!D73</f>
        <v>#DIV/0!</v>
      </c>
      <c r="G73" s="1090" t="e">
        <f>'Report-SOF1819'!D73</f>
        <v>#DIV/0!</v>
      </c>
      <c r="H73" s="1090" t="e">
        <f>'Report-SOF1920'!D73</f>
        <v>#DIV/0!</v>
      </c>
      <c r="I73" s="1090" t="e">
        <f>'Report-SOF2021'!D73</f>
        <v>#DIV/0!</v>
      </c>
      <c r="J73" s="1090" t="e">
        <f>'Report-SOF2122'!D73</f>
        <v>#DIV/0!</v>
      </c>
      <c r="K73" s="1090" t="e">
        <f>'Report-SOF2223'!D73</f>
        <v>#DIV/0!</v>
      </c>
    </row>
    <row r="74" spans="1:11" ht="18" customHeight="1"/>
    <row r="75" spans="1:11" s="1076" customFormat="1" ht="15.75">
      <c r="A75" s="1079"/>
      <c r="B75" s="1534" t="s">
        <v>3825</v>
      </c>
      <c r="C75"/>
      <c r="D75" s="1374"/>
      <c r="E75" s="961"/>
      <c r="F75" s="961"/>
      <c r="G75" s="961"/>
      <c r="H75" s="961"/>
      <c r="I75" s="961"/>
      <c r="J75" s="961"/>
      <c r="K75" s="961"/>
    </row>
    <row r="76" spans="1:11" ht="15.75" customHeight="1">
      <c r="F76" s="1223"/>
    </row>
    <row r="77" spans="1:11" ht="15.75" customHeight="1"/>
    <row r="78" spans="1:11" ht="16.5" thickBot="1">
      <c r="A78" s="1075" t="s">
        <v>3575</v>
      </c>
      <c r="B78" s="1076"/>
      <c r="C78" s="1076"/>
    </row>
    <row r="79" spans="1:11" ht="16.5" thickTop="1">
      <c r="A79" s="1236" t="s">
        <v>2816</v>
      </c>
      <c r="B79" s="1117"/>
      <c r="C79" s="3701"/>
      <c r="D79" s="1342" t="s">
        <v>195</v>
      </c>
      <c r="E79" s="3698" t="s">
        <v>3613</v>
      </c>
      <c r="F79" s="3699" t="s">
        <v>3673</v>
      </c>
      <c r="G79" s="3699" t="s">
        <v>3830</v>
      </c>
      <c r="H79" s="3700" t="s">
        <v>3903</v>
      </c>
      <c r="I79" s="3700" t="s">
        <v>4592</v>
      </c>
      <c r="J79" s="3700" t="str">
        <f>J66</f>
        <v>2021-22</v>
      </c>
      <c r="K79" s="3700" t="str">
        <f>K66</f>
        <v>2022-23</v>
      </c>
    </row>
    <row r="80" spans="1:11" ht="15">
      <c r="A80" s="1519" t="s">
        <v>3809</v>
      </c>
      <c r="B80" s="1525" t="s">
        <v>3822</v>
      </c>
      <c r="C80" s="3702"/>
      <c r="D80" s="1085" t="e">
        <f>#REF!</f>
        <v>#REF!</v>
      </c>
      <c r="E80" s="1085" t="e">
        <f>'Report-SOF1617'!D80</f>
        <v>#DIV/0!</v>
      </c>
      <c r="F80" s="1118" t="e">
        <f>'Report-SOF1718'!D80</f>
        <v>#DIV/0!</v>
      </c>
      <c r="G80" s="1118" t="e">
        <f>'Report-SOF1819'!D80</f>
        <v>#DIV/0!</v>
      </c>
      <c r="H80" s="1118" t="e">
        <f>'Report-SOF1920'!D80</f>
        <v>#DIV/0!</v>
      </c>
      <c r="I80" s="1118" t="e">
        <f>'Report-SOF2021'!D80</f>
        <v>#DIV/0!</v>
      </c>
      <c r="J80" s="1118" t="e">
        <f>'Report-SOF2122'!D80</f>
        <v>#DIV/0!</v>
      </c>
      <c r="K80" s="1118" t="e">
        <f>'Report-SOF2223'!D80</f>
        <v>#DIV/0!</v>
      </c>
    </row>
    <row r="81" spans="1:11" ht="15">
      <c r="A81" s="1519" t="s">
        <v>3810</v>
      </c>
      <c r="B81" s="1518" t="s">
        <v>3263</v>
      </c>
      <c r="C81" s="3702"/>
      <c r="D81" s="1085" t="e">
        <f>#REF!</f>
        <v>#REF!</v>
      </c>
      <c r="E81" s="1085" t="e">
        <f>'Report-SOF1617'!D81</f>
        <v>#DIV/0!</v>
      </c>
      <c r="F81" s="1118" t="e">
        <f>'Report-SOF1718'!D81</f>
        <v>#DIV/0!</v>
      </c>
      <c r="G81" s="1118" t="e">
        <f>'Report-SOF1819'!D81</f>
        <v>#DIV/0!</v>
      </c>
      <c r="H81" s="1118" t="e">
        <f>'Report-SOF1920'!D81</f>
        <v>#DIV/0!</v>
      </c>
      <c r="I81" s="1118" t="e">
        <f>'Report-SOF2021'!D81</f>
        <v>#DIV/0!</v>
      </c>
      <c r="J81" s="1118" t="e">
        <f>'Report-SOF2122'!D81</f>
        <v>#DIV/0!</v>
      </c>
      <c r="K81" s="1118" t="e">
        <f>'Report-SOF2223'!D81</f>
        <v>#DIV/0!</v>
      </c>
    </row>
    <row r="82" spans="1:11" ht="15">
      <c r="A82" s="1519" t="s">
        <v>3811</v>
      </c>
      <c r="B82" s="1518" t="s">
        <v>3823</v>
      </c>
      <c r="C82" s="3702"/>
      <c r="D82" s="1085" t="e">
        <f>#REF!</f>
        <v>#REF!</v>
      </c>
      <c r="E82" s="1085" t="e">
        <f>'Report-SOF1617'!D82</f>
        <v>#DIV/0!</v>
      </c>
      <c r="F82" s="1118" t="e">
        <f>'Report-SOF1718'!D82</f>
        <v>#DIV/0!</v>
      </c>
      <c r="G82" s="1118" t="e">
        <f>'Report-SOF1819'!D82</f>
        <v>#DIV/0!</v>
      </c>
      <c r="H82" s="1118" t="e">
        <f>'Report-SOF1920'!D82</f>
        <v>#DIV/0!</v>
      </c>
      <c r="I82" s="1118" t="e">
        <f>'Report-SOF2021'!D82</f>
        <v>#DIV/0!</v>
      </c>
      <c r="J82" s="1118" t="e">
        <f>'Report-SOF2122'!D82</f>
        <v>#DIV/0!</v>
      </c>
      <c r="K82" s="1118" t="e">
        <f>'Report-SOF2223'!D82</f>
        <v>#DIV/0!</v>
      </c>
    </row>
    <row r="83" spans="1:11" ht="15">
      <c r="A83" s="1519" t="s">
        <v>3812</v>
      </c>
      <c r="B83" s="1518" t="s">
        <v>3824</v>
      </c>
      <c r="C83" s="3702"/>
      <c r="D83" s="1085" t="e">
        <f>#REF!</f>
        <v>#REF!</v>
      </c>
      <c r="E83" s="1085" t="e">
        <f>'Report-SOF1617'!D83</f>
        <v>#DIV/0!</v>
      </c>
      <c r="F83" s="1118" t="e">
        <f>'Report-SOF1718'!D83</f>
        <v>#DIV/0!</v>
      </c>
      <c r="G83" s="1118" t="e">
        <f>'Report-SOF1819'!D83</f>
        <v>#DIV/0!</v>
      </c>
      <c r="H83" s="1118" t="e">
        <f>'Report-SOF1920'!D83</f>
        <v>#DIV/0!</v>
      </c>
      <c r="I83" s="1118" t="e">
        <f>'Report-SOF2021'!D83</f>
        <v>#DIV/0!</v>
      </c>
      <c r="J83" s="1118" t="e">
        <f>'Report-SOF2122'!D83</f>
        <v>#DIV/0!</v>
      </c>
      <c r="K83" s="1118" t="e">
        <f>'Report-SOF2223'!D83</f>
        <v>#DIV/0!</v>
      </c>
    </row>
    <row r="84" spans="1:11" ht="15">
      <c r="A84" s="1519" t="s">
        <v>3813</v>
      </c>
      <c r="B84" s="1518" t="s">
        <v>3499</v>
      </c>
      <c r="C84" s="3702"/>
      <c r="D84" s="1085" t="e">
        <f>#REF!</f>
        <v>#REF!</v>
      </c>
      <c r="E84" s="1085" t="e">
        <f>'Report-SOF1617'!D84</f>
        <v>#DIV/0!</v>
      </c>
      <c r="F84" s="1535" t="s">
        <v>1994</v>
      </c>
      <c r="G84" s="1535" t="s">
        <v>1994</v>
      </c>
      <c r="H84" s="1535" t="s">
        <v>1994</v>
      </c>
      <c r="I84" s="1535" t="s">
        <v>1994</v>
      </c>
      <c r="J84" s="1535" t="s">
        <v>1994</v>
      </c>
      <c r="K84" s="1535" t="s">
        <v>1994</v>
      </c>
    </row>
    <row r="85" spans="1:11" ht="15">
      <c r="A85" s="1519" t="s">
        <v>3814</v>
      </c>
      <c r="B85" s="1527" t="s">
        <v>3538</v>
      </c>
      <c r="C85" s="3702"/>
      <c r="D85" s="1085" t="e">
        <f>#REF!</f>
        <v>#REF!</v>
      </c>
      <c r="E85" s="1085" t="e">
        <f>'Report-SOF1617'!D85</f>
        <v>#DIV/0!</v>
      </c>
      <c r="F85" s="1118" t="e">
        <f>'Report-SOF1718'!D85</f>
        <v>#DIV/0!</v>
      </c>
      <c r="G85" s="1118" t="e">
        <f>'Report-SOF1819'!D85</f>
        <v>#DIV/0!</v>
      </c>
      <c r="H85" s="1118" t="e">
        <f>'Report-SOF1920'!D85</f>
        <v>#DIV/0!</v>
      </c>
      <c r="I85" s="1118" t="e">
        <f>'Report-SOF2021'!D85</f>
        <v>#DIV/0!</v>
      </c>
      <c r="J85" s="1118" t="e">
        <f>'Report-SOF2122'!D85</f>
        <v>#DIV/0!</v>
      </c>
      <c r="K85" s="1118" t="e">
        <f>'Report-SOF2223'!D85</f>
        <v>#DIV/0!</v>
      </c>
    </row>
    <row r="86" spans="1:11" ht="15">
      <c r="A86" s="1519" t="s">
        <v>3815</v>
      </c>
      <c r="B86" s="1528" t="s">
        <v>3264</v>
      </c>
      <c r="C86" s="3702"/>
      <c r="D86" s="1085" t="e">
        <f>#REF!</f>
        <v>#REF!</v>
      </c>
      <c r="E86" s="1085" t="e">
        <f>'Report-SOF1617'!D86</f>
        <v>#DIV/0!</v>
      </c>
      <c r="F86" s="1118" t="e">
        <f>'Report-SOF1718'!D86</f>
        <v>#DIV/0!</v>
      </c>
      <c r="G86" s="1118" t="e">
        <f>'Report-SOF1819'!D86</f>
        <v>#DIV/0!</v>
      </c>
      <c r="H86" s="1118" t="e">
        <f>'Report-SOF1920'!D86</f>
        <v>#DIV/0!</v>
      </c>
      <c r="I86" s="1118" t="e">
        <f>'Report-SOF2021'!D86</f>
        <v>#DIV/0!</v>
      </c>
      <c r="J86" s="1118" t="e">
        <f>'Report-SOF2122'!D86</f>
        <v>#DIV/0!</v>
      </c>
      <c r="K86" s="1118" t="e">
        <f>'Report-SOF2223'!D86</f>
        <v>#DIV/0!</v>
      </c>
    </row>
    <row r="87" spans="1:11" ht="16.5" thickBot="1">
      <c r="A87" s="1520" t="s">
        <v>3816</v>
      </c>
      <c r="B87" s="1530" t="s">
        <v>3539</v>
      </c>
      <c r="C87" s="3703"/>
      <c r="D87" s="1255" t="e">
        <f>#REF!</f>
        <v>#REF!</v>
      </c>
      <c r="E87" s="1255" t="e">
        <f>'Report-SOF1617'!D87</f>
        <v>#DIV/0!</v>
      </c>
      <c r="F87" s="1536" t="e">
        <f>'Report-SOF1718'!D87</f>
        <v>#DIV/0!</v>
      </c>
      <c r="G87" s="1536" t="e">
        <f>'Report-SOF1819'!D87</f>
        <v>#DIV/0!</v>
      </c>
      <c r="H87" s="1536" t="e">
        <f>'Report-SOF1920'!D87</f>
        <v>#DIV/0!</v>
      </c>
      <c r="I87" s="1536" t="e">
        <f>'Report-SOF2021'!D87</f>
        <v>#DIV/0!</v>
      </c>
      <c r="J87" s="1536" t="e">
        <f>'Report-SOF2122'!D87</f>
        <v>#DIV/0!</v>
      </c>
      <c r="K87" s="1536" t="e">
        <f>'Report-SOF2223'!D87</f>
        <v>#DIV/0!</v>
      </c>
    </row>
    <row r="88" spans="1:11" ht="13.5" thickTop="1">
      <c r="B88" s="89"/>
      <c r="C88" s="3704"/>
      <c r="D88" s="47"/>
    </row>
    <row r="89" spans="1:11" ht="13.5" thickBot="1">
      <c r="B89" s="89"/>
      <c r="C89" s="3704"/>
      <c r="D89" s="47"/>
    </row>
    <row r="90" spans="1:11" ht="16.5" thickTop="1">
      <c r="A90" s="1236" t="s">
        <v>3488</v>
      </c>
      <c r="B90" s="1237"/>
      <c r="C90" s="3701"/>
      <c r="D90" s="1341"/>
      <c r="E90" s="3698" t="s">
        <v>3613</v>
      </c>
      <c r="F90" s="3699" t="s">
        <v>3673</v>
      </c>
      <c r="G90" s="3699" t="s">
        <v>3830</v>
      </c>
      <c r="H90" s="3700" t="s">
        <v>3903</v>
      </c>
      <c r="I90" s="3700" t="s">
        <v>4592</v>
      </c>
      <c r="J90" s="3700" t="str">
        <f>J79</f>
        <v>2021-22</v>
      </c>
      <c r="K90" s="3700" t="str">
        <f>K79</f>
        <v>2022-23</v>
      </c>
    </row>
    <row r="91" spans="1:11" ht="15">
      <c r="A91" s="1519" t="s">
        <v>3817</v>
      </c>
      <c r="B91" s="1531" t="s">
        <v>9069</v>
      </c>
      <c r="C91" s="3705"/>
      <c r="D91" s="1085" t="e">
        <f>#REF!</f>
        <v>#REF!</v>
      </c>
      <c r="E91" s="1085" t="e">
        <f>'Report-SOF1617'!D91</f>
        <v>#DIV/0!</v>
      </c>
      <c r="F91" s="1118" t="e">
        <f>'Report-SOF1718'!D91</f>
        <v>#DIV/0!</v>
      </c>
      <c r="G91" s="1118" t="e">
        <f>'Report-SOF1819'!D91</f>
        <v>#DIV/0!</v>
      </c>
      <c r="H91" s="1118" t="e">
        <f>'Report-SOF1920'!D91</f>
        <v>#DIV/0!</v>
      </c>
      <c r="I91" s="1118" t="e">
        <f>'Report-SOF2021'!D91</f>
        <v>#DIV/0!</v>
      </c>
      <c r="J91" s="1118" t="e">
        <f>'Report-SOF2122'!D91</f>
        <v>#DIV/0!</v>
      </c>
      <c r="K91" s="1118" t="e">
        <f>'Report-SOF2223'!D91</f>
        <v>#DIV/0!</v>
      </c>
    </row>
    <row r="92" spans="1:11" ht="15">
      <c r="A92" s="1519" t="s">
        <v>3818</v>
      </c>
      <c r="B92" s="1531" t="s">
        <v>3486</v>
      </c>
      <c r="C92" s="3702"/>
      <c r="D92" s="1085" t="e">
        <f>#REF!</f>
        <v>#REF!</v>
      </c>
      <c r="E92" s="1085" t="e">
        <f>'Report-SOF1617'!D92</f>
        <v>#DIV/0!</v>
      </c>
      <c r="F92" s="1118" t="e">
        <f>'Report-SOF1718'!D92</f>
        <v>#DIV/0!</v>
      </c>
      <c r="G92" s="1118" t="e">
        <f>'Report-SOF1819'!D92</f>
        <v>#DIV/0!</v>
      </c>
      <c r="H92" s="1118" t="e">
        <f>'Report-SOF1920'!D92</f>
        <v>#DIV/0!</v>
      </c>
      <c r="I92" s="1118" t="e">
        <f>'Report-SOF2021'!D92</f>
        <v>#DIV/0!</v>
      </c>
      <c r="J92" s="1118" t="e">
        <f>'Report-SOF2122'!D92</f>
        <v>#DIV/0!</v>
      </c>
      <c r="K92" s="1118" t="e">
        <f>'Report-SOF2223'!D92</f>
        <v>#DIV/0!</v>
      </c>
    </row>
    <row r="93" spans="1:11" ht="15.75">
      <c r="A93" s="1519" t="s">
        <v>3819</v>
      </c>
      <c r="B93" s="1532" t="s">
        <v>3540</v>
      </c>
      <c r="C93" s="3702"/>
      <c r="D93" s="1090" t="e">
        <f>#REF!</f>
        <v>#REF!</v>
      </c>
      <c r="E93" s="1090" t="e">
        <f>'Report-SOF1617'!D93</f>
        <v>#DIV/0!</v>
      </c>
      <c r="F93" s="1239" t="e">
        <f>'Report-SOF1718'!D93</f>
        <v>#DIV/0!</v>
      </c>
      <c r="G93" s="1239" t="e">
        <f>'Report-SOF1819'!D93</f>
        <v>#DIV/0!</v>
      </c>
      <c r="H93" s="1239" t="e">
        <f>'Report-SOF1920'!D93</f>
        <v>#DIV/0!</v>
      </c>
      <c r="I93" s="1239" t="e">
        <f>'Report-SOF2021'!D93</f>
        <v>#DIV/0!</v>
      </c>
      <c r="J93" s="1239" t="e">
        <f>'Report-SOF2122'!D93</f>
        <v>#DIV/0!</v>
      </c>
      <c r="K93" s="1239" t="e">
        <f>'Report-SOF2223'!D93</f>
        <v>#DIV/0!</v>
      </c>
    </row>
    <row r="94" spans="1:11" ht="15">
      <c r="A94" s="1519" t="s">
        <v>3820</v>
      </c>
      <c r="B94" s="1531" t="s">
        <v>3487</v>
      </c>
      <c r="C94" s="3702"/>
      <c r="D94" s="1085" t="e">
        <f>#REF!</f>
        <v>#REF!</v>
      </c>
      <c r="E94" s="1085">
        <f>'Data Entry - SOF'!C96</f>
        <v>0</v>
      </c>
      <c r="F94" s="1085">
        <f>'Data Entry - SOF'!E96</f>
        <v>0</v>
      </c>
      <c r="G94" s="1085">
        <f>'Data Entry - SOF'!G96</f>
        <v>0</v>
      </c>
      <c r="H94" s="1085">
        <f>'Data Entry - SOF'!I96</f>
        <v>0</v>
      </c>
      <c r="I94" s="1085">
        <f>'Data Entry - SOF'!K96</f>
        <v>0</v>
      </c>
      <c r="J94" s="1085">
        <f>'Data Entry - SOF'!M96</f>
        <v>0</v>
      </c>
      <c r="K94" s="1085">
        <f>'Data Entry - SOF'!N96</f>
        <v>0</v>
      </c>
    </row>
    <row r="95" spans="1:11" ht="16.5" thickBot="1">
      <c r="A95" s="1520" t="s">
        <v>3821</v>
      </c>
      <c r="B95" s="1533" t="s">
        <v>7903</v>
      </c>
      <c r="C95" s="3703"/>
      <c r="D95" s="1255" t="e">
        <f>#REF!</f>
        <v>#REF!</v>
      </c>
      <c r="E95" s="1255" t="e">
        <f>'Report-SOF1617'!D95</f>
        <v>#DIV/0!</v>
      </c>
      <c r="F95" s="1536" t="e">
        <f>'Report-SOF1718'!D95</f>
        <v>#DIV/0!</v>
      </c>
      <c r="G95" s="1536" t="e">
        <f>'Report-SOF1819'!D95</f>
        <v>#DIV/0!</v>
      </c>
      <c r="H95" s="1536" t="e">
        <f>'Report-SOF1920'!D95</f>
        <v>#DIV/0!</v>
      </c>
      <c r="I95" s="1536" t="e">
        <f>'Report-SOF2021'!D95</f>
        <v>#DIV/0!</v>
      </c>
      <c r="J95" s="1536" t="e">
        <f>'Report-SOF2122'!D95</f>
        <v>#DIV/0!</v>
      </c>
      <c r="K95" s="1536" t="e">
        <f>'Report-SOF2223'!D95</f>
        <v>#DIV/0!</v>
      </c>
    </row>
    <row r="96" spans="1:11" ht="13.5" thickTop="1"/>
  </sheetData>
  <sheetProtection sheet="1" objects="1" scenarios="1"/>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J63"/>
  <sheetViews>
    <sheetView workbookViewId="0">
      <selection activeCell="J2" sqref="J2"/>
    </sheetView>
  </sheetViews>
  <sheetFormatPr defaultRowHeight="12.75"/>
  <cols>
    <col min="1" max="1" width="6.85546875" customWidth="1"/>
    <col min="2" max="2" width="36.42578125" customWidth="1"/>
    <col min="3" max="3" width="21.7109375" hidden="1" customWidth="1"/>
    <col min="4" max="7" width="21.7109375" customWidth="1"/>
    <col min="8" max="8" width="22.85546875" customWidth="1"/>
    <col min="9" max="10" width="23" customWidth="1"/>
  </cols>
  <sheetData>
    <row r="1" spans="1:10">
      <c r="A1" s="1200" t="s">
        <v>3358</v>
      </c>
      <c r="C1" s="98"/>
      <c r="I1" s="4109"/>
      <c r="J1" s="4109" t="str">
        <f>'Report-SOF2223'!D1</f>
        <v>84th/85th Legislative Session</v>
      </c>
    </row>
    <row r="2" spans="1:10">
      <c r="A2" s="1200" t="s">
        <v>3371</v>
      </c>
      <c r="C2" s="98"/>
      <c r="I2" s="2207"/>
      <c r="J2" s="4112" t="str">
        <f>'Report-SOF2223'!D2</f>
        <v>Release 2</v>
      </c>
    </row>
    <row r="3" spans="1:10">
      <c r="C3" s="82"/>
      <c r="I3" s="2208"/>
      <c r="J3" s="4636">
        <f>'Report-SOF-AllYears'!K3</f>
        <v>43145</v>
      </c>
    </row>
    <row r="5" spans="1:10" ht="15.75">
      <c r="A5" s="1354" t="s">
        <v>3342</v>
      </c>
      <c r="B5" s="1353"/>
      <c r="C5" s="1355" t="s">
        <v>195</v>
      </c>
      <c r="D5" s="1356" t="s">
        <v>3613</v>
      </c>
      <c r="E5" s="1356" t="s">
        <v>3673</v>
      </c>
      <c r="F5" s="1356" t="s">
        <v>3830</v>
      </c>
      <c r="G5" s="1356" t="s">
        <v>3903</v>
      </c>
      <c r="H5" s="1356" t="s">
        <v>4592</v>
      </c>
      <c r="I5" s="1356" t="s">
        <v>7097</v>
      </c>
      <c r="J5" s="1356" t="s">
        <v>7733</v>
      </c>
    </row>
    <row r="6" spans="1:10" ht="15">
      <c r="A6" s="1079" t="s">
        <v>2501</v>
      </c>
      <c r="B6" s="1099" t="s">
        <v>3345</v>
      </c>
      <c r="C6" s="1175" t="e">
        <f>'Data Entry - SOF'!#REF!</f>
        <v>#REF!</v>
      </c>
      <c r="D6" s="1086">
        <f>'Data Entry - SOF'!C17</f>
        <v>0</v>
      </c>
      <c r="E6" s="1086">
        <f>'Data Entry - SOF'!E17</f>
        <v>0</v>
      </c>
      <c r="F6" s="1086">
        <f>'Data Entry - SOF'!G17</f>
        <v>0</v>
      </c>
      <c r="G6" s="1086">
        <f>'Data Entry - SOF'!I17</f>
        <v>0</v>
      </c>
      <c r="H6" s="1086">
        <f>'Data Entry - SOF'!K17</f>
        <v>0</v>
      </c>
      <c r="I6" s="1086">
        <f>'Data Entry - SOF'!M17</f>
        <v>0</v>
      </c>
      <c r="J6" s="1086">
        <f>'Data Entry - SOF'!O17</f>
        <v>0</v>
      </c>
    </row>
    <row r="7" spans="1:10" ht="15">
      <c r="A7" s="1079" t="s">
        <v>2502</v>
      </c>
      <c r="B7" s="1080" t="s">
        <v>3343</v>
      </c>
      <c r="C7" s="1176" t="e">
        <f>#REF!</f>
        <v>#REF!</v>
      </c>
      <c r="D7" s="1086">
        <f>'Calc Data-SB1'!C8</f>
        <v>0</v>
      </c>
      <c r="E7" s="1086">
        <f>'Calc Data-SB1'!D8</f>
        <v>0</v>
      </c>
      <c r="F7" s="1086">
        <f>'Calc Data-SB1'!E8</f>
        <v>0</v>
      </c>
      <c r="G7" s="1086">
        <f>'Calc Data-SB1'!F8</f>
        <v>0</v>
      </c>
      <c r="H7" s="1086">
        <f>'Calc Data-SB1'!G8</f>
        <v>0</v>
      </c>
      <c r="I7" s="1086">
        <f>'Calc Data-SB1'!H8</f>
        <v>0</v>
      </c>
      <c r="J7" s="1086">
        <f>'Calc Data-SB1'!I8</f>
        <v>0</v>
      </c>
    </row>
    <row r="8" spans="1:10" ht="15">
      <c r="A8" s="1079" t="s">
        <v>2503</v>
      </c>
      <c r="B8" s="1080" t="s">
        <v>3344</v>
      </c>
      <c r="C8" s="1177" t="e">
        <f>'Data Entry - SOF'!#REF!</f>
        <v>#REF!</v>
      </c>
      <c r="D8" s="1086">
        <f>'Data Entry - SOF'!C32</f>
        <v>0</v>
      </c>
      <c r="E8" s="1086">
        <f>'Data Entry - SOF'!E32</f>
        <v>0</v>
      </c>
      <c r="F8" s="1086">
        <f>'Data Entry - SOF'!G32</f>
        <v>0</v>
      </c>
      <c r="G8" s="1086">
        <f>'Data Entry - SOF'!I32</f>
        <v>0</v>
      </c>
      <c r="H8" s="1086">
        <f>'Data Entry - SOF'!K32</f>
        <v>0</v>
      </c>
      <c r="I8" s="1086">
        <f>'Data Entry - SOF'!M32</f>
        <v>0</v>
      </c>
      <c r="J8" s="1086">
        <f>'Data Entry - SOF'!O32</f>
        <v>0</v>
      </c>
    </row>
    <row r="9" spans="1:10" ht="15.75">
      <c r="A9" s="1079" t="s">
        <v>1024</v>
      </c>
      <c r="B9" s="1078" t="s">
        <v>7740</v>
      </c>
      <c r="C9" s="1177" t="e">
        <f t="shared" ref="C9:H9" si="0">C6-C7-C8</f>
        <v>#REF!</v>
      </c>
      <c r="D9" s="1178">
        <f t="shared" si="0"/>
        <v>0</v>
      </c>
      <c r="E9" s="1178">
        <f t="shared" si="0"/>
        <v>0</v>
      </c>
      <c r="F9" s="1178">
        <f t="shared" si="0"/>
        <v>0</v>
      </c>
      <c r="G9" s="1178">
        <f t="shared" si="0"/>
        <v>0</v>
      </c>
      <c r="H9" s="1178">
        <f t="shared" si="0"/>
        <v>0</v>
      </c>
      <c r="I9" s="1178">
        <f>I6-I7-I8</f>
        <v>0</v>
      </c>
      <c r="J9" s="1178">
        <f>J6-J7-J8</f>
        <v>0</v>
      </c>
    </row>
    <row r="10" spans="1:10" s="1076" customFormat="1" ht="15">
      <c r="A10" s="1079" t="s">
        <v>1025</v>
      </c>
      <c r="B10" s="1080" t="s">
        <v>2289</v>
      </c>
      <c r="C10" s="1086" t="e">
        <f>'Calc Data-SB1'!#REF!</f>
        <v>#REF!</v>
      </c>
      <c r="D10" s="1086">
        <f>'Calc Data-SB1'!C11</f>
        <v>0</v>
      </c>
      <c r="E10" s="1086">
        <f>'Calc Data-SB1'!D11</f>
        <v>0</v>
      </c>
      <c r="F10" s="1086">
        <f>'Calc Data-SB1'!E11</f>
        <v>0</v>
      </c>
      <c r="G10" s="1086">
        <f>'Calc Data-SB1'!F11</f>
        <v>0</v>
      </c>
      <c r="H10" s="1086">
        <f>'Calc Data-SB1'!G11</f>
        <v>0</v>
      </c>
      <c r="I10" s="1086">
        <f>'Calc Data-SB1'!H11</f>
        <v>0</v>
      </c>
      <c r="J10" s="1086">
        <f>'Calc Data-SB1'!I11</f>
        <v>0</v>
      </c>
    </row>
    <row r="11" spans="1:10" s="1076" customFormat="1" ht="15.75">
      <c r="A11" s="1180"/>
      <c r="B11" s="1191" t="s">
        <v>3390</v>
      </c>
      <c r="C11" s="1192" t="s">
        <v>3391</v>
      </c>
      <c r="D11" s="1445" t="s">
        <v>3666</v>
      </c>
      <c r="E11" s="1445" t="s">
        <v>3704</v>
      </c>
      <c r="F11" s="1194" t="s">
        <v>3869</v>
      </c>
      <c r="G11" s="1194" t="s">
        <v>3981</v>
      </c>
      <c r="H11" s="1445" t="s">
        <v>4663</v>
      </c>
      <c r="I11" s="4106" t="s">
        <v>7659</v>
      </c>
      <c r="J11" s="4106" t="s">
        <v>7994</v>
      </c>
    </row>
    <row r="12" spans="1:10" s="1076" customFormat="1" ht="15.75">
      <c r="A12" s="1180"/>
      <c r="B12" s="1191"/>
      <c r="C12" s="1192"/>
      <c r="F12"/>
      <c r="G12"/>
      <c r="H12"/>
      <c r="I12"/>
      <c r="J12"/>
    </row>
    <row r="13" spans="1:10" ht="15">
      <c r="A13" s="1119"/>
      <c r="B13" s="1076" t="s">
        <v>3346</v>
      </c>
      <c r="C13" s="1076"/>
    </row>
    <row r="14" spans="1:10" ht="15">
      <c r="A14" s="1119"/>
      <c r="B14" s="1076" t="s">
        <v>4720</v>
      </c>
      <c r="C14" s="1076"/>
    </row>
    <row r="15" spans="1:10" ht="15">
      <c r="A15" s="1119"/>
      <c r="B15" s="1076" t="s">
        <v>4721</v>
      </c>
      <c r="C15" s="1076"/>
    </row>
    <row r="16" spans="1:10" ht="15">
      <c r="A16" s="1119"/>
      <c r="B16" s="1076" t="s">
        <v>4722</v>
      </c>
      <c r="C16" s="1076"/>
    </row>
    <row r="17" spans="1:10" ht="15">
      <c r="A17" s="1119"/>
      <c r="B17" s="1076" t="s">
        <v>3348</v>
      </c>
      <c r="C17" s="1076"/>
      <c r="F17" s="1076"/>
      <c r="G17" s="1076"/>
      <c r="H17" s="1076"/>
      <c r="I17" s="1076"/>
      <c r="J17" s="1076"/>
    </row>
    <row r="18" spans="1:10" s="1076" customFormat="1" ht="15">
      <c r="F18"/>
      <c r="G18"/>
      <c r="H18"/>
      <c r="I18"/>
      <c r="J18"/>
    </row>
    <row r="20" spans="1:10" s="1076" customFormat="1" ht="15.75">
      <c r="A20" s="1354" t="s">
        <v>3359</v>
      </c>
      <c r="B20" s="1357"/>
      <c r="C20" s="1355" t="s">
        <v>195</v>
      </c>
      <c r="D20" s="1356" t="s">
        <v>3613</v>
      </c>
      <c r="E20" s="1356" t="s">
        <v>3673</v>
      </c>
      <c r="F20" s="1356" t="s">
        <v>3830</v>
      </c>
      <c r="G20" s="1356" t="s">
        <v>3903</v>
      </c>
      <c r="H20" s="1356" t="s">
        <v>4592</v>
      </c>
      <c r="I20" s="1356" t="str">
        <f>I5</f>
        <v>2021-22</v>
      </c>
      <c r="J20" s="1356" t="str">
        <f>J5</f>
        <v>2022-23</v>
      </c>
    </row>
    <row r="21" spans="1:10" s="1076" customFormat="1" ht="15">
      <c r="A21" s="1079" t="s">
        <v>142</v>
      </c>
      <c r="B21" s="1080" t="s">
        <v>576</v>
      </c>
      <c r="C21" s="1085" t="e">
        <f>#REF!</f>
        <v>#REF!</v>
      </c>
      <c r="D21" s="1085" t="e">
        <f>'Report-SOF1617'!D54</f>
        <v>#DIV/0!</v>
      </c>
      <c r="E21" s="1085">
        <f>'Report-SOF1718'!D54</f>
        <v>0</v>
      </c>
      <c r="F21" s="1085">
        <f>'Report-SOF1819'!D54</f>
        <v>0</v>
      </c>
      <c r="G21" s="1085">
        <f>'Report-SOF1920'!D54</f>
        <v>0</v>
      </c>
      <c r="H21" s="1085">
        <f>'Report-SOF2021'!D54</f>
        <v>0</v>
      </c>
      <c r="I21" s="1085">
        <f>'Report-SOF2122'!D54</f>
        <v>0</v>
      </c>
      <c r="J21" s="1085">
        <f>'Report-SOF2223'!D54</f>
        <v>0</v>
      </c>
    </row>
    <row r="22" spans="1:10" s="1076" customFormat="1" ht="15">
      <c r="A22" s="1079" t="s">
        <v>1706</v>
      </c>
      <c r="B22" s="1080" t="s">
        <v>3361</v>
      </c>
      <c r="C22" s="1085" t="e">
        <f>#REF!*-1</f>
        <v>#REF!</v>
      </c>
      <c r="D22" s="1085">
        <f>'Report-SOF1617'!D52*-1</f>
        <v>0</v>
      </c>
      <c r="E22" s="1085">
        <f>'Report-SOF1718'!D52*-1</f>
        <v>0</v>
      </c>
      <c r="F22" s="1085">
        <f>'Report-SOF1819'!D52*-1</f>
        <v>0</v>
      </c>
      <c r="G22" s="1085">
        <f>'Report-SOF1920'!D52*-1</f>
        <v>0</v>
      </c>
      <c r="H22" s="1085">
        <f>'Report-SOF2021'!D52*-1</f>
        <v>0</v>
      </c>
      <c r="I22" s="1085">
        <f>'Report-SOF2122'!D52*-1</f>
        <v>0</v>
      </c>
      <c r="J22" s="1085">
        <f>'Report-SOF2223'!D52*-1</f>
        <v>0</v>
      </c>
    </row>
    <row r="23" spans="1:10" s="1076" customFormat="1" ht="15">
      <c r="A23" s="1079" t="s">
        <v>6</v>
      </c>
      <c r="B23" s="1080" t="s">
        <v>3366</v>
      </c>
      <c r="C23" s="1085" t="e">
        <f>#REF!*-1</f>
        <v>#REF!</v>
      </c>
      <c r="D23" s="1085">
        <f>'Report-SOF1617'!D53*-1</f>
        <v>0</v>
      </c>
      <c r="E23" s="1085">
        <f>'Report-SOF1718'!D53*-1</f>
        <v>0</v>
      </c>
      <c r="F23" s="1085">
        <f>'Report-SOF1819'!D53*-1</f>
        <v>0</v>
      </c>
      <c r="G23" s="1085">
        <f>'Report-SOF1920'!D53*-1</f>
        <v>0</v>
      </c>
      <c r="H23" s="1085">
        <f>'Report-SOF2021'!D53*-1</f>
        <v>0</v>
      </c>
      <c r="I23" s="1183">
        <f>'Report-SOF2122'!D53*-1</f>
        <v>0</v>
      </c>
      <c r="J23" s="1183">
        <f>'Report-SOF2223'!D53*-1</f>
        <v>0</v>
      </c>
    </row>
    <row r="24" spans="1:10" s="1076" customFormat="1" ht="15">
      <c r="A24" s="1079" t="s">
        <v>2551</v>
      </c>
      <c r="B24" s="1080" t="s">
        <v>4712</v>
      </c>
      <c r="C24" s="1085"/>
      <c r="D24" s="1085">
        <f>'Report-SOF1617'!D51*-1</f>
        <v>0</v>
      </c>
      <c r="E24" s="1085">
        <f>'Report-SOF1718'!D51*-1</f>
        <v>0</v>
      </c>
      <c r="F24" s="1085">
        <f>'Report-SOF1819'!D51*-1</f>
        <v>0</v>
      </c>
      <c r="G24" s="1085">
        <f>'Report-SOF1920'!D51*-1</f>
        <v>0</v>
      </c>
      <c r="H24" s="1085">
        <f>'Report-SOF2021'!D51*-1</f>
        <v>0</v>
      </c>
      <c r="I24" s="1085">
        <f>'Report-SOF2122'!D51*-1</f>
        <v>0</v>
      </c>
      <c r="J24" s="1085">
        <f>'Report-SOF2223'!D51*-1</f>
        <v>0</v>
      </c>
    </row>
    <row r="25" spans="1:10" s="1076" customFormat="1" ht="15">
      <c r="A25" s="1079" t="s">
        <v>2552</v>
      </c>
      <c r="B25" s="1080" t="s">
        <v>3360</v>
      </c>
      <c r="C25" s="1085" t="e">
        <f>#REF!*-1</f>
        <v>#REF!</v>
      </c>
      <c r="D25" s="1085" t="e">
        <f>'Report-T1Detail1617'!D19*-1</f>
        <v>#DIV/0!</v>
      </c>
      <c r="E25" s="1085">
        <f>'Report-T1Detail1718'!D19*-1</f>
        <v>0</v>
      </c>
      <c r="F25" s="1085">
        <f>'Report-T1Detail1819'!D19*-1</f>
        <v>0</v>
      </c>
      <c r="G25" s="1085">
        <f>'Report-T1Detail1920'!D19*-1</f>
        <v>0</v>
      </c>
      <c r="H25" s="1085">
        <f>'Report-T1Detail2021'!D19*-1</f>
        <v>0</v>
      </c>
      <c r="I25" s="1085">
        <f>'Report-T1Detail2122'!D19*-1</f>
        <v>0</v>
      </c>
      <c r="J25" s="1085">
        <f>'Report-T1Detail2223'!D19*-1</f>
        <v>0</v>
      </c>
    </row>
    <row r="26" spans="1:10" s="1076" customFormat="1" ht="15">
      <c r="A26" s="1079" t="s">
        <v>3122</v>
      </c>
      <c r="B26" s="1080" t="s">
        <v>3362</v>
      </c>
      <c r="C26" s="1085" t="e">
        <f t="shared" ref="C26:H26" si="1">SUM(C21:C25)</f>
        <v>#REF!</v>
      </c>
      <c r="D26" s="1085" t="e">
        <f t="shared" si="1"/>
        <v>#DIV/0!</v>
      </c>
      <c r="E26" s="1085">
        <f t="shared" si="1"/>
        <v>0</v>
      </c>
      <c r="F26" s="1085">
        <f t="shared" si="1"/>
        <v>0</v>
      </c>
      <c r="G26" s="1085">
        <f t="shared" si="1"/>
        <v>0</v>
      </c>
      <c r="H26" s="1085">
        <f t="shared" si="1"/>
        <v>0</v>
      </c>
      <c r="I26" s="1085">
        <f>SUM(I21:I25)</f>
        <v>0</v>
      </c>
      <c r="J26" s="1085">
        <f>SUM(J21:J25)</f>
        <v>0</v>
      </c>
    </row>
    <row r="27" spans="1:10" s="1076" customFormat="1" ht="15">
      <c r="A27" s="1079" t="s">
        <v>3123</v>
      </c>
      <c r="B27" s="1080" t="s">
        <v>3363</v>
      </c>
      <c r="C27" s="1179" t="e">
        <f t="shared" ref="C27:H27" si="2">C47-C46</f>
        <v>#REF!</v>
      </c>
      <c r="D27" s="1179" t="e">
        <f t="shared" si="2"/>
        <v>#DIV/0!</v>
      </c>
      <c r="E27" s="1179">
        <f t="shared" si="2"/>
        <v>0</v>
      </c>
      <c r="F27" s="1179">
        <f t="shared" si="2"/>
        <v>0</v>
      </c>
      <c r="G27" s="1179">
        <f t="shared" si="2"/>
        <v>0</v>
      </c>
      <c r="H27" s="1179">
        <f t="shared" si="2"/>
        <v>0</v>
      </c>
      <c r="I27" s="1179">
        <f>I47-I46</f>
        <v>0</v>
      </c>
      <c r="J27" s="1179">
        <f>J47-J46</f>
        <v>0</v>
      </c>
    </row>
    <row r="28" spans="1:10" s="1076" customFormat="1" ht="15">
      <c r="A28" s="1079" t="s">
        <v>3126</v>
      </c>
      <c r="B28" s="1080" t="s">
        <v>3364</v>
      </c>
      <c r="C28" s="1179" t="e">
        <f t="shared" ref="C28:H28" si="3">C47*2</f>
        <v>#REF!</v>
      </c>
      <c r="D28" s="1179" t="e">
        <f t="shared" si="3"/>
        <v>#DIV/0!</v>
      </c>
      <c r="E28" s="1179">
        <f t="shared" si="3"/>
        <v>0</v>
      </c>
      <c r="F28" s="1179">
        <f t="shared" si="3"/>
        <v>0</v>
      </c>
      <c r="G28" s="1179">
        <f t="shared" si="3"/>
        <v>0</v>
      </c>
      <c r="H28" s="1179">
        <f t="shared" si="3"/>
        <v>0</v>
      </c>
      <c r="I28" s="1179">
        <f>I47*2</f>
        <v>0</v>
      </c>
      <c r="J28" s="1179">
        <f>J47*2</f>
        <v>0</v>
      </c>
    </row>
    <row r="29" spans="1:10" s="1076" customFormat="1" ht="15">
      <c r="A29" s="1079" t="s">
        <v>3127</v>
      </c>
      <c r="B29" s="1080" t="s">
        <v>3367</v>
      </c>
      <c r="C29" s="1084" t="e">
        <f t="shared" ref="C29:H29" si="4">C27/C28</f>
        <v>#REF!</v>
      </c>
      <c r="D29" s="1084" t="e">
        <f t="shared" si="4"/>
        <v>#DIV/0!</v>
      </c>
      <c r="E29" s="1084" t="e">
        <f t="shared" si="4"/>
        <v>#DIV/0!</v>
      </c>
      <c r="F29" s="1084" t="e">
        <f t="shared" si="4"/>
        <v>#DIV/0!</v>
      </c>
      <c r="G29" s="1084" t="e">
        <f t="shared" si="4"/>
        <v>#DIV/0!</v>
      </c>
      <c r="H29" s="1084" t="e">
        <f t="shared" si="4"/>
        <v>#DIV/0!</v>
      </c>
      <c r="I29" s="1084" t="e">
        <f>I27/I28</f>
        <v>#DIV/0!</v>
      </c>
      <c r="J29" s="1084" t="e">
        <f>J27/J28</f>
        <v>#DIV/0!</v>
      </c>
    </row>
    <row r="30" spans="1:10" s="1076" customFormat="1" ht="15">
      <c r="A30" s="1079" t="s">
        <v>3128</v>
      </c>
      <c r="B30" s="1080" t="s">
        <v>3368</v>
      </c>
      <c r="C30" s="1084" t="e">
        <f>1 - C29</f>
        <v>#REF!</v>
      </c>
      <c r="D30" s="1084" t="e">
        <f t="shared" ref="D30:I30" si="5">1-D29</f>
        <v>#DIV/0!</v>
      </c>
      <c r="E30" s="1084" t="e">
        <f t="shared" si="5"/>
        <v>#DIV/0!</v>
      </c>
      <c r="F30" s="1084" t="e">
        <f t="shared" si="5"/>
        <v>#DIV/0!</v>
      </c>
      <c r="G30" s="1084" t="e">
        <f t="shared" si="5"/>
        <v>#DIV/0!</v>
      </c>
      <c r="H30" s="1084" t="e">
        <f t="shared" si="5"/>
        <v>#DIV/0!</v>
      </c>
      <c r="I30" s="1084" t="e">
        <f t="shared" si="5"/>
        <v>#DIV/0!</v>
      </c>
      <c r="J30" s="1084" t="e">
        <f t="shared" ref="J30" si="6">1-J29</f>
        <v>#DIV/0!</v>
      </c>
    </row>
    <row r="31" spans="1:10" s="1076" customFormat="1" ht="15">
      <c r="A31" s="1079" t="s">
        <v>3129</v>
      </c>
      <c r="B31" s="1080" t="s">
        <v>7741</v>
      </c>
      <c r="C31" s="1085" t="e">
        <f t="shared" ref="C31:H31" si="7">C26*C30</f>
        <v>#REF!</v>
      </c>
      <c r="D31" s="1085" t="e">
        <f t="shared" si="7"/>
        <v>#DIV/0!</v>
      </c>
      <c r="E31" s="1085" t="e">
        <f t="shared" si="7"/>
        <v>#DIV/0!</v>
      </c>
      <c r="F31" s="1085" t="e">
        <f t="shared" si="7"/>
        <v>#DIV/0!</v>
      </c>
      <c r="G31" s="1085" t="e">
        <f t="shared" si="7"/>
        <v>#DIV/0!</v>
      </c>
      <c r="H31" s="1085" t="e">
        <f t="shared" si="7"/>
        <v>#DIV/0!</v>
      </c>
      <c r="I31" s="1085" t="e">
        <f>I26*I30</f>
        <v>#DIV/0!</v>
      </c>
      <c r="J31" s="1085" t="e">
        <f>J26*J30</f>
        <v>#DIV/0!</v>
      </c>
    </row>
    <row r="32" spans="1:10" s="1076" customFormat="1" ht="15">
      <c r="A32" s="1079" t="s">
        <v>3131</v>
      </c>
      <c r="B32" s="1080" t="s">
        <v>3365</v>
      </c>
      <c r="C32" s="1085" t="e">
        <f t="shared" ref="C32:H32" si="8">C46</f>
        <v>#REF!</v>
      </c>
      <c r="D32" s="1085" t="e">
        <f t="shared" si="8"/>
        <v>#DIV/0!</v>
      </c>
      <c r="E32" s="1085">
        <f t="shared" si="8"/>
        <v>0</v>
      </c>
      <c r="F32" s="1085">
        <f t="shared" si="8"/>
        <v>0</v>
      </c>
      <c r="G32" s="1085">
        <f t="shared" si="8"/>
        <v>0</v>
      </c>
      <c r="H32" s="1085">
        <f t="shared" si="8"/>
        <v>0</v>
      </c>
      <c r="I32" s="1085">
        <f>I46</f>
        <v>0</v>
      </c>
      <c r="J32" s="1085">
        <f>J46</f>
        <v>0</v>
      </c>
    </row>
    <row r="33" spans="1:10" s="1076" customFormat="1" ht="15.75">
      <c r="A33" s="1079" t="s">
        <v>3132</v>
      </c>
      <c r="B33" s="1078" t="s">
        <v>3444</v>
      </c>
      <c r="C33" s="1084" t="e">
        <f t="shared" ref="C33:H33" si="9">C31/C32</f>
        <v>#REF!</v>
      </c>
      <c r="D33" s="1084" t="e">
        <f t="shared" si="9"/>
        <v>#DIV/0!</v>
      </c>
      <c r="E33" s="1084" t="e">
        <f t="shared" si="9"/>
        <v>#DIV/0!</v>
      </c>
      <c r="F33" s="1084" t="e">
        <f t="shared" si="9"/>
        <v>#DIV/0!</v>
      </c>
      <c r="G33" s="1084" t="e">
        <f t="shared" si="9"/>
        <v>#DIV/0!</v>
      </c>
      <c r="H33" s="1084" t="e">
        <f t="shared" si="9"/>
        <v>#DIV/0!</v>
      </c>
      <c r="I33" s="1084" t="e">
        <f>I31/I32</f>
        <v>#DIV/0!</v>
      </c>
      <c r="J33" s="1084" t="e">
        <f>J31/J32</f>
        <v>#DIV/0!</v>
      </c>
    </row>
    <row r="34" spans="1:10" s="1076" customFormat="1" ht="15.75">
      <c r="B34" s="1191" t="s">
        <v>3390</v>
      </c>
      <c r="C34" s="1192" t="s">
        <v>3391</v>
      </c>
      <c r="D34" s="1445" t="s">
        <v>3666</v>
      </c>
      <c r="E34" s="1445" t="s">
        <v>3704</v>
      </c>
      <c r="F34" s="1194" t="s">
        <v>3869</v>
      </c>
      <c r="G34" s="1194" t="s">
        <v>3981</v>
      </c>
      <c r="H34" s="1445" t="s">
        <v>4663</v>
      </c>
      <c r="I34" s="4106" t="s">
        <v>7659</v>
      </c>
      <c r="J34" s="4106" t="s">
        <v>7994</v>
      </c>
    </row>
    <row r="35" spans="1:10" s="1076" customFormat="1" ht="15"/>
    <row r="36" spans="1:10" s="1076" customFormat="1" ht="15">
      <c r="B36" s="1076" t="s">
        <v>3346</v>
      </c>
    </row>
    <row r="37" spans="1:10" s="1076" customFormat="1" ht="15">
      <c r="B37" s="1076" t="s">
        <v>4713</v>
      </c>
    </row>
    <row r="38" spans="1:10" s="1076" customFormat="1" ht="15">
      <c r="B38" s="1076" t="s">
        <v>3389</v>
      </c>
    </row>
    <row r="39" spans="1:10" s="1076" customFormat="1" ht="15">
      <c r="B39" s="1076" t="s">
        <v>4714</v>
      </c>
    </row>
    <row r="40" spans="1:10" s="1076" customFormat="1" ht="15">
      <c r="B40" s="1076" t="s">
        <v>4715</v>
      </c>
    </row>
    <row r="41" spans="1:10" s="1076" customFormat="1" ht="15">
      <c r="B41" s="1076" t="s">
        <v>3370</v>
      </c>
    </row>
    <row r="42" spans="1:10" s="1076" customFormat="1" ht="15">
      <c r="B42" s="1076" t="s">
        <v>3369</v>
      </c>
    </row>
    <row r="43" spans="1:10" s="1076" customFormat="1" ht="15"/>
    <row r="44" spans="1:10" s="1076" customFormat="1" ht="15"/>
    <row r="45" spans="1:10" s="1076" customFormat="1" ht="15.75">
      <c r="A45" s="1354" t="s">
        <v>3347</v>
      </c>
      <c r="B45" s="1357"/>
      <c r="C45" s="1355" t="s">
        <v>195</v>
      </c>
      <c r="D45" s="1356" t="s">
        <v>3613</v>
      </c>
      <c r="E45" s="1356" t="s">
        <v>3673</v>
      </c>
      <c r="F45" s="1356" t="s">
        <v>3830</v>
      </c>
      <c r="G45" s="1356" t="s">
        <v>3903</v>
      </c>
      <c r="H45" s="1356" t="s">
        <v>4592</v>
      </c>
      <c r="I45" s="1356" t="str">
        <f>I20</f>
        <v>2021-22</v>
      </c>
      <c r="J45" s="1356" t="str">
        <f>J20</f>
        <v>2022-23</v>
      </c>
    </row>
    <row r="46" spans="1:10" s="1076" customFormat="1" ht="15">
      <c r="A46" s="1079" t="s">
        <v>1027</v>
      </c>
      <c r="B46" s="1080" t="s">
        <v>2776</v>
      </c>
      <c r="C46" s="1085" t="e">
        <f>'Calc Data-SB1'!#REF!</f>
        <v>#REF!</v>
      </c>
      <c r="D46" s="1085" t="e">
        <f>IF(FracFunding1617!E24&lt;=0,'Calc Data-SB1'!C19,FracFunding1617!D6)</f>
        <v>#DIV/0!</v>
      </c>
      <c r="E46" s="1085">
        <f>FracFunding1718!D6</f>
        <v>0</v>
      </c>
      <c r="F46" s="1085">
        <f>FracFunding1819!D6</f>
        <v>0</v>
      </c>
      <c r="G46" s="1085">
        <f>FracFunding1920!D6</f>
        <v>0</v>
      </c>
      <c r="H46" s="1085">
        <f>FracFunding2021!D6</f>
        <v>0</v>
      </c>
      <c r="I46" s="1085">
        <f>FracFunding2122!D6</f>
        <v>0</v>
      </c>
      <c r="J46" s="1085">
        <f>FracFunding2223!D6</f>
        <v>0</v>
      </c>
    </row>
    <row r="47" spans="1:10" s="1076" customFormat="1" ht="15">
      <c r="A47" s="1079" t="s">
        <v>1028</v>
      </c>
      <c r="B47" s="1080" t="s">
        <v>1915</v>
      </c>
      <c r="C47" s="1179" t="e">
        <f>'Calc Data-SB1'!#REF!</f>
        <v>#REF!</v>
      </c>
      <c r="D47" s="1179" t="e">
        <f>IF(FracFunding1617!E24&lt;=0,'Calc Data-SB1'!C20,'Calc Data-SB1'!AB20)</f>
        <v>#DIV/0!</v>
      </c>
      <c r="E47" s="1179">
        <f>'Calc Data-SB1'!AF20</f>
        <v>0</v>
      </c>
      <c r="F47" s="1179">
        <f>'Calc Data-SB1'!AJ20</f>
        <v>0</v>
      </c>
      <c r="G47" s="1179">
        <f>'Calc Data-SB1'!AN20</f>
        <v>0</v>
      </c>
      <c r="H47" s="1179">
        <f>'Calc Data-SB1'!AR20</f>
        <v>0</v>
      </c>
      <c r="I47" s="1179">
        <f>'Calc Data-SB1'!AW20</f>
        <v>0</v>
      </c>
      <c r="J47" s="1179">
        <f>'Calc Data-SB1'!BB20</f>
        <v>0</v>
      </c>
    </row>
    <row r="48" spans="1:10" s="1076" customFormat="1" ht="15">
      <c r="A48" s="1079" t="s">
        <v>1029</v>
      </c>
      <c r="B48" s="1080" t="s">
        <v>3349</v>
      </c>
      <c r="C48" s="1080" t="e">
        <f>'Calc Data-SB1'!#REF!</f>
        <v>#REF!</v>
      </c>
      <c r="D48" s="1080">
        <f>'Calc Data-SB1'!C18</f>
        <v>2.5000000000000001E-4</v>
      </c>
      <c r="E48" s="1080">
        <f>'Calc Data-SB1'!D18</f>
        <v>2.5000000000000001E-4</v>
      </c>
      <c r="F48" s="1080">
        <f>'Calc Data-SB1'!E18</f>
        <v>2.7500000000000002E-4</v>
      </c>
      <c r="G48" s="1080">
        <f>'Calc Data-SB1'!F18</f>
        <v>2.9999999999999997E-4</v>
      </c>
      <c r="H48" s="1080">
        <f>'Calc Data-SB1'!G18</f>
        <v>3.2499999999999999E-4</v>
      </c>
      <c r="I48" s="1080">
        <f>'Calc Data-SB1'!H18</f>
        <v>3.5E-4</v>
      </c>
      <c r="J48" s="1080">
        <f>'Calc Data-SB1'!I18</f>
        <v>3.7500000000000001E-4</v>
      </c>
    </row>
    <row r="49" spans="1:10" s="1076" customFormat="1" ht="15">
      <c r="A49" s="1079" t="s">
        <v>139</v>
      </c>
      <c r="B49" s="1080" t="s">
        <v>3350</v>
      </c>
      <c r="C49" s="1179" t="e">
        <f>'Calc Data-SB1'!#REF!</f>
        <v>#REF!</v>
      </c>
      <c r="D49" s="1179" t="e">
        <f>IF(FracFunding1617!E24&lt;=0,'Calc Data-SB1'!C21,'Calc Data-SB1'!AB21)</f>
        <v>#DIV/0!</v>
      </c>
      <c r="E49" s="1179">
        <f>'Calc Data-SB1'!D21</f>
        <v>0</v>
      </c>
      <c r="F49" s="1179">
        <f>'Calc Data-SB1'!E21</f>
        <v>0</v>
      </c>
      <c r="G49" s="1179">
        <f>'Calc Data-SB1'!F21</f>
        <v>0</v>
      </c>
      <c r="H49" s="1179">
        <f>'Calc Data-SB1'!G21</f>
        <v>0</v>
      </c>
      <c r="I49" s="1179">
        <f>'Calc Data-SB1'!H21</f>
        <v>0</v>
      </c>
      <c r="J49" s="1179">
        <f>'Calc Data-SB1'!I21</f>
        <v>0</v>
      </c>
    </row>
    <row r="50" spans="1:10" s="1076" customFormat="1" ht="15">
      <c r="A50" s="1079" t="s">
        <v>140</v>
      </c>
      <c r="B50" s="1080" t="s">
        <v>3351</v>
      </c>
      <c r="C50" s="1179" t="e">
        <f>'Calc Data-SB1'!#REF!</f>
        <v>#REF!</v>
      </c>
      <c r="D50" s="1179" t="e">
        <f>IF(FracFunding1617!E24&lt;=0,'Calc Data-SB1'!C22,'Calc Data-SB1'!AB22)</f>
        <v>#DIV/0!</v>
      </c>
      <c r="E50" s="1179">
        <f>'Calc Data-SB1'!D22</f>
        <v>0</v>
      </c>
      <c r="F50" s="1179">
        <f>'Calc Data-SB1'!E22</f>
        <v>0</v>
      </c>
      <c r="G50" s="1179">
        <f>'Calc Data-SB1'!F22</f>
        <v>0</v>
      </c>
      <c r="H50" s="1179">
        <f>'Calc Data-SB1'!G22</f>
        <v>0</v>
      </c>
      <c r="I50" s="1179">
        <f>'Calc Data-SB1'!H22</f>
        <v>0</v>
      </c>
      <c r="J50" s="1179">
        <f>'Calc Data-SB1'!I22</f>
        <v>0</v>
      </c>
    </row>
    <row r="51" spans="1:10" s="1076" customFormat="1" ht="15.75">
      <c r="A51" s="1079" t="s">
        <v>141</v>
      </c>
      <c r="B51" s="1078" t="s">
        <v>1916</v>
      </c>
      <c r="C51" s="1179" t="e">
        <f>'Calc Data-SB1'!#REF!</f>
        <v>#REF!</v>
      </c>
      <c r="D51" s="1179" t="e">
        <f>IF(FracFunding1617!E24&lt;=0,'Calc Data-SB1'!C23,'Calc Data-SB1'!AB23)</f>
        <v>#DIV/0!</v>
      </c>
      <c r="E51" s="1179">
        <f>'Calc Data-SB1'!D23</f>
        <v>0</v>
      </c>
      <c r="F51" s="1179">
        <f>'Calc Data-SB1'!E23</f>
        <v>0</v>
      </c>
      <c r="G51" s="1179">
        <f>'Calc Data-SB1'!F23</f>
        <v>0</v>
      </c>
      <c r="H51" s="1179">
        <f>'Calc Data-SB1'!G23</f>
        <v>0</v>
      </c>
      <c r="I51" s="1179">
        <f>'Calc Data-SB1'!H23</f>
        <v>0</v>
      </c>
      <c r="J51" s="1179">
        <f>'Calc Data-SB1'!I23</f>
        <v>0</v>
      </c>
    </row>
    <row r="52" spans="1:10" s="1076" customFormat="1" ht="15.75">
      <c r="A52" s="1089"/>
      <c r="B52" s="1191" t="s">
        <v>3390</v>
      </c>
      <c r="C52" s="1192" t="s">
        <v>3391</v>
      </c>
      <c r="D52" s="1445" t="s">
        <v>3666</v>
      </c>
      <c r="E52" s="1445" t="s">
        <v>3704</v>
      </c>
      <c r="F52" s="1194" t="s">
        <v>3869</v>
      </c>
      <c r="G52" s="1194" t="s">
        <v>3981</v>
      </c>
      <c r="H52" s="1445" t="s">
        <v>4663</v>
      </c>
      <c r="I52" s="4108" t="str">
        <f>I34</f>
        <v>Report-SOF2122</v>
      </c>
      <c r="J52" s="4106" t="s">
        <v>7994</v>
      </c>
    </row>
    <row r="53" spans="1:10" s="1076" customFormat="1" ht="15">
      <c r="A53" s="1089"/>
    </row>
    <row r="54" spans="1:10" s="1076" customFormat="1" ht="15">
      <c r="A54" s="1089"/>
      <c r="B54" s="1076" t="s">
        <v>3346</v>
      </c>
    </row>
    <row r="55" spans="1:10" s="1076" customFormat="1" ht="15">
      <c r="A55" s="1089"/>
      <c r="B55" s="1076" t="s">
        <v>4716</v>
      </c>
    </row>
    <row r="56" spans="1:10" s="1076" customFormat="1" ht="15">
      <c r="B56" s="1076" t="s">
        <v>4717</v>
      </c>
    </row>
    <row r="57" spans="1:10" s="1076" customFormat="1" ht="15">
      <c r="B57" s="1076" t="s">
        <v>7996</v>
      </c>
    </row>
    <row r="58" spans="1:10" s="1076" customFormat="1" ht="15">
      <c r="B58" s="1076" t="s">
        <v>4718</v>
      </c>
    </row>
    <row r="59" spans="1:10" s="1076" customFormat="1" ht="15">
      <c r="B59" s="1076" t="s">
        <v>3356</v>
      </c>
    </row>
    <row r="60" spans="1:10" s="1076" customFormat="1" ht="15">
      <c r="B60" s="1076" t="s">
        <v>4719</v>
      </c>
    </row>
    <row r="61" spans="1:10" s="1076" customFormat="1" ht="15">
      <c r="B61" s="1076" t="s">
        <v>3355</v>
      </c>
      <c r="F61"/>
      <c r="G61"/>
      <c r="H61"/>
      <c r="I61"/>
      <c r="J61"/>
    </row>
    <row r="62" spans="1:10" s="1076" customFormat="1" ht="15">
      <c r="B62" s="1076" t="s">
        <v>3353</v>
      </c>
      <c r="F62"/>
      <c r="G62"/>
      <c r="H62"/>
      <c r="I62"/>
      <c r="J62"/>
    </row>
    <row r="63" spans="1:10" s="1076" customFormat="1" ht="15">
      <c r="B63" s="1076" t="s">
        <v>3354</v>
      </c>
      <c r="F63"/>
      <c r="G63"/>
      <c r="H63"/>
      <c r="I63"/>
      <c r="J63"/>
    </row>
  </sheetData>
  <sheetProtection sheet="1" objects="1" scenarios="1"/>
  <hyperlinks>
    <hyperlink ref="C11" location="'Report-SOF1112'!A1" display="Report-SOF1112"/>
    <hyperlink ref="C34" location="'Report-SOF1112'!A1" display="Report-SOF1112"/>
    <hyperlink ref="C52" location="'Report-SOF1112'!A1" display="Report-SOF1112"/>
    <hyperlink ref="D11" location="'Report-SOF1617'!A1" display="'Report-SOF1617'!A1"/>
    <hyperlink ref="D34" location="'Report-SOF1617'!A1" display="'Report-SOF1617'!A1"/>
    <hyperlink ref="D52" location="'Report-SOF1617'!A1" display="'Report-SOF1617'!A1"/>
    <hyperlink ref="E11" location="'Report-SOF1718'!A1" display="'Report-SOF1718'!A1"/>
    <hyperlink ref="E34" location="'Report-SOF1718'!A1" display="'Report-SOF1718'!A1"/>
    <hyperlink ref="E52" location="'Report-SOF1718'!A1" display="'Report-SOF1718'!A1"/>
    <hyperlink ref="F11" location="'Report-SOF1819'!A1" display="'Report-SOF1819'!A1"/>
    <hyperlink ref="F34" location="'Report-SOF1819'!A1" display="'Report-SOF1819'!A1"/>
    <hyperlink ref="F52" location="'Report-SOF1819'!A1" display="'Report-SOF1819'!A1"/>
    <hyperlink ref="G11" location="'Report-SOF1920'!A1" display="'Report-SOF1920'!A1"/>
    <hyperlink ref="G34" location="'Report-SOF1920'!A1" display="'Report-SOF1920'!A1"/>
    <hyperlink ref="G52" location="'Report-SOF1920'!A1" display="'Report-SOF1920'!A1"/>
    <hyperlink ref="H34" location="'Report-SOF2021'!A1" display="'Report-SOF2021'!A1"/>
    <hyperlink ref="H11" location="'Report-SOF2021'!A1" display="'Report-SOF2021'!A1"/>
    <hyperlink ref="H52" location="'Report-SOF2021'!A1" display="'Report-SOF2021'!A1"/>
    <hyperlink ref="I52"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2" location="'Report-SOF2223'!A1" display="'Report-SOF2223'!A1"/>
  </hyperlinks>
  <pageMargins left="0.45" right="0.45" top="0.5" bottom="0.5" header="0.3" footer="0.3"/>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31"/>
  <sheetViews>
    <sheetView workbookViewId="0">
      <selection activeCell="B1" sqref="B1"/>
    </sheetView>
  </sheetViews>
  <sheetFormatPr defaultRowHeight="12.75"/>
  <cols>
    <col min="1" max="1" width="8.28515625" customWidth="1"/>
    <col min="2" max="2" width="23.42578125" customWidth="1"/>
    <col min="3" max="3" width="12.7109375" style="424" customWidth="1"/>
    <col min="4" max="4" width="8.28515625" style="72" customWidth="1"/>
    <col min="5" max="8" width="12.7109375" customWidth="1"/>
    <col min="9" max="9" width="12.7109375" style="173" customWidth="1"/>
    <col min="10" max="10" width="15.7109375" style="121" customWidth="1"/>
    <col min="11" max="11" width="12.7109375" style="125" customWidth="1"/>
    <col min="12" max="12" width="12.7109375" style="173" customWidth="1"/>
    <col min="13" max="16" width="12.7109375" customWidth="1"/>
    <col min="17" max="34" width="11.7109375" customWidth="1"/>
    <col min="35" max="35" width="12.7109375" style="121" customWidth="1"/>
    <col min="36" max="37" width="12.7109375" customWidth="1"/>
    <col min="38" max="38" width="12.7109375" style="176" customWidth="1"/>
    <col min="39" max="43" width="12.7109375" customWidth="1"/>
    <col min="44" max="47" width="10.7109375" customWidth="1"/>
    <col min="48" max="48" width="10.7109375" style="72" customWidth="1"/>
    <col min="49" max="49" width="10.7109375" customWidth="1"/>
    <col min="50" max="50" width="13.85546875" customWidth="1"/>
    <col min="51" max="53" width="11.7109375" customWidth="1"/>
    <col min="54" max="54" width="14.7109375" customWidth="1"/>
    <col min="55" max="61" width="11.7109375" customWidth="1"/>
    <col min="62" max="62" width="11.7109375" style="121" customWidth="1"/>
    <col min="63" max="63" width="18" customWidth="1"/>
    <col min="67" max="67" width="12" customWidth="1"/>
    <col min="68" max="68" width="14.85546875" customWidth="1"/>
  </cols>
  <sheetData>
    <row r="1" spans="1:68" s="72" customFormat="1">
      <c r="A1" s="72">
        <v>1</v>
      </c>
      <c r="B1" s="72">
        <f>A1+1</f>
        <v>2</v>
      </c>
      <c r="C1" s="424">
        <f t="shared" ref="C1:AV1" si="0">B1+1</f>
        <v>3</v>
      </c>
      <c r="D1" s="72">
        <f>C1+1</f>
        <v>4</v>
      </c>
      <c r="E1" s="72">
        <f t="shared" si="0"/>
        <v>5</v>
      </c>
      <c r="F1" s="72">
        <f t="shared" si="0"/>
        <v>6</v>
      </c>
      <c r="G1" s="72">
        <f t="shared" si="0"/>
        <v>7</v>
      </c>
      <c r="H1" s="72">
        <f t="shared" si="0"/>
        <v>8</v>
      </c>
      <c r="I1" s="72">
        <f t="shared" si="0"/>
        <v>9</v>
      </c>
      <c r="J1" s="72">
        <f t="shared" si="0"/>
        <v>10</v>
      </c>
      <c r="K1" s="72">
        <f t="shared" si="0"/>
        <v>11</v>
      </c>
      <c r="L1" s="72">
        <f t="shared" si="0"/>
        <v>12</v>
      </c>
      <c r="M1" s="72">
        <f t="shared" si="0"/>
        <v>13</v>
      </c>
      <c r="N1" s="72">
        <f t="shared" si="0"/>
        <v>14</v>
      </c>
      <c r="O1" s="72">
        <f t="shared" si="0"/>
        <v>15</v>
      </c>
      <c r="P1" s="72">
        <f t="shared" si="0"/>
        <v>16</v>
      </c>
      <c r="Q1" s="72">
        <f t="shared" si="0"/>
        <v>17</v>
      </c>
      <c r="R1" s="72">
        <f t="shared" si="0"/>
        <v>18</v>
      </c>
      <c r="S1" s="72">
        <f t="shared" si="0"/>
        <v>19</v>
      </c>
      <c r="T1" s="72">
        <f t="shared" si="0"/>
        <v>20</v>
      </c>
      <c r="U1" s="72">
        <f t="shared" si="0"/>
        <v>21</v>
      </c>
      <c r="V1" s="72">
        <f t="shared" si="0"/>
        <v>22</v>
      </c>
      <c r="W1" s="72">
        <f t="shared" si="0"/>
        <v>23</v>
      </c>
      <c r="X1" s="72">
        <f t="shared" si="0"/>
        <v>24</v>
      </c>
      <c r="Y1" s="72">
        <f t="shared" si="0"/>
        <v>25</v>
      </c>
      <c r="Z1" s="72">
        <f t="shared" si="0"/>
        <v>26</v>
      </c>
      <c r="AA1" s="72">
        <f t="shared" si="0"/>
        <v>27</v>
      </c>
      <c r="AB1" s="72">
        <f t="shared" si="0"/>
        <v>28</v>
      </c>
      <c r="AC1" s="72">
        <f t="shared" si="0"/>
        <v>29</v>
      </c>
      <c r="AD1" s="72">
        <f t="shared" si="0"/>
        <v>30</v>
      </c>
      <c r="AE1" s="72">
        <f t="shared" si="0"/>
        <v>31</v>
      </c>
      <c r="AF1" s="72">
        <f t="shared" si="0"/>
        <v>32</v>
      </c>
      <c r="AG1" s="72">
        <f t="shared" si="0"/>
        <v>33</v>
      </c>
      <c r="AH1" s="72">
        <f t="shared" si="0"/>
        <v>34</v>
      </c>
      <c r="AI1" s="424">
        <f t="shared" si="0"/>
        <v>35</v>
      </c>
      <c r="AJ1" s="72">
        <f t="shared" si="0"/>
        <v>36</v>
      </c>
      <c r="AK1" s="72">
        <f t="shared" si="0"/>
        <v>37</v>
      </c>
      <c r="AL1" s="456">
        <f t="shared" si="0"/>
        <v>38</v>
      </c>
      <c r="AM1" s="72">
        <f t="shared" si="0"/>
        <v>39</v>
      </c>
      <c r="AN1" s="72">
        <f t="shared" si="0"/>
        <v>40</v>
      </c>
      <c r="AO1" s="72">
        <f t="shared" si="0"/>
        <v>41</v>
      </c>
      <c r="AP1" s="72">
        <f t="shared" si="0"/>
        <v>42</v>
      </c>
      <c r="AQ1" s="72">
        <f t="shared" si="0"/>
        <v>43</v>
      </c>
      <c r="AR1" s="72">
        <f t="shared" si="0"/>
        <v>44</v>
      </c>
      <c r="AS1" s="72">
        <f t="shared" si="0"/>
        <v>45</v>
      </c>
      <c r="AT1" s="72">
        <f t="shared" si="0"/>
        <v>46</v>
      </c>
      <c r="AU1" s="72">
        <f t="shared" si="0"/>
        <v>47</v>
      </c>
      <c r="AV1" s="72">
        <f t="shared" si="0"/>
        <v>48</v>
      </c>
      <c r="AW1" s="72">
        <f>AV1+1</f>
        <v>49</v>
      </c>
      <c r="AX1" s="72">
        <f>AW1+1</f>
        <v>50</v>
      </c>
      <c r="AY1" s="72">
        <f t="shared" ref="AY1:BK1" si="1">AX1+1</f>
        <v>51</v>
      </c>
      <c r="AZ1" s="72">
        <f t="shared" si="1"/>
        <v>52</v>
      </c>
      <c r="BA1" s="72">
        <f t="shared" si="1"/>
        <v>53</v>
      </c>
      <c r="BB1" s="72">
        <f t="shared" si="1"/>
        <v>54</v>
      </c>
      <c r="BC1" s="72">
        <f t="shared" si="1"/>
        <v>55</v>
      </c>
      <c r="BD1" s="72">
        <f t="shared" si="1"/>
        <v>56</v>
      </c>
      <c r="BE1" s="72">
        <f t="shared" si="1"/>
        <v>57</v>
      </c>
      <c r="BF1" s="72">
        <f t="shared" si="1"/>
        <v>58</v>
      </c>
      <c r="BG1" s="72">
        <f t="shared" si="1"/>
        <v>59</v>
      </c>
      <c r="BH1" s="72">
        <f t="shared" si="1"/>
        <v>60</v>
      </c>
      <c r="BI1" s="72">
        <f t="shared" si="1"/>
        <v>61</v>
      </c>
      <c r="BJ1" s="424">
        <f t="shared" si="1"/>
        <v>62</v>
      </c>
      <c r="BK1" s="424">
        <f t="shared" si="1"/>
        <v>63</v>
      </c>
      <c r="BL1" s="424">
        <f>BK1+1</f>
        <v>64</v>
      </c>
      <c r="BM1" s="424">
        <f>BL1+1</f>
        <v>65</v>
      </c>
      <c r="BN1" s="424">
        <f>BM1+1</f>
        <v>66</v>
      </c>
      <c r="BO1" s="424">
        <f>BN1+1</f>
        <v>67</v>
      </c>
      <c r="BP1" s="424">
        <f>BO1+1</f>
        <v>68</v>
      </c>
    </row>
    <row r="2" spans="1:68">
      <c r="C2" s="424" t="s">
        <v>1162</v>
      </c>
      <c r="E2" t="s">
        <v>1163</v>
      </c>
      <c r="F2" t="s">
        <v>1164</v>
      </c>
      <c r="G2" t="s">
        <v>1165</v>
      </c>
      <c r="H2" t="s">
        <v>1166</v>
      </c>
      <c r="I2" s="173" t="s">
        <v>1167</v>
      </c>
      <c r="J2" s="121" t="s">
        <v>1168</v>
      </c>
      <c r="K2" s="125" t="s">
        <v>2949</v>
      </c>
      <c r="L2" s="173" t="s">
        <v>1169</v>
      </c>
      <c r="M2" t="s">
        <v>1170</v>
      </c>
      <c r="N2" t="s">
        <v>1171</v>
      </c>
      <c r="O2" t="s">
        <v>1172</v>
      </c>
      <c r="P2" t="s">
        <v>1173</v>
      </c>
      <c r="Q2" s="72" t="s">
        <v>2014</v>
      </c>
      <c r="R2" s="72" t="s">
        <v>751</v>
      </c>
      <c r="S2" s="72" t="s">
        <v>752</v>
      </c>
      <c r="T2" s="72" t="s">
        <v>754</v>
      </c>
      <c r="U2" s="72" t="s">
        <v>753</v>
      </c>
      <c r="V2" s="72" t="s">
        <v>755</v>
      </c>
      <c r="W2" s="72" t="s">
        <v>756</v>
      </c>
      <c r="X2" s="72" t="s">
        <v>757</v>
      </c>
      <c r="Y2" s="72" t="s">
        <v>758</v>
      </c>
      <c r="Z2" s="72" t="s">
        <v>759</v>
      </c>
      <c r="AA2" s="72" t="s">
        <v>760</v>
      </c>
      <c r="AB2" s="72" t="s">
        <v>761</v>
      </c>
      <c r="AC2" s="72" t="s">
        <v>762</v>
      </c>
      <c r="AD2" s="72" t="s">
        <v>763</v>
      </c>
      <c r="AE2" s="72" t="s">
        <v>764</v>
      </c>
      <c r="AF2" s="72" t="s">
        <v>765</v>
      </c>
      <c r="AG2" s="72" t="s">
        <v>766</v>
      </c>
      <c r="AH2" s="72" t="s">
        <v>2114</v>
      </c>
      <c r="AI2" s="424" t="s">
        <v>772</v>
      </c>
      <c r="AJ2" s="72" t="s">
        <v>2115</v>
      </c>
      <c r="AK2" s="72" t="s">
        <v>2344</v>
      </c>
      <c r="AL2" s="456" t="s">
        <v>2345</v>
      </c>
      <c r="AM2" s="72" t="s">
        <v>2113</v>
      </c>
      <c r="AN2" s="72" t="s">
        <v>175</v>
      </c>
      <c r="AO2" s="72" t="s">
        <v>176</v>
      </c>
      <c r="AP2" s="72" t="s">
        <v>2336</v>
      </c>
      <c r="AQ2" s="72" t="s">
        <v>2346</v>
      </c>
      <c r="AR2" s="72" t="s">
        <v>765</v>
      </c>
      <c r="AS2" s="72" t="s">
        <v>762</v>
      </c>
      <c r="AT2" s="72" t="s">
        <v>2347</v>
      </c>
      <c r="AU2" s="72" t="s">
        <v>2348</v>
      </c>
      <c r="AV2" s="72" t="s">
        <v>2342</v>
      </c>
      <c r="AW2" s="72" t="s">
        <v>2350</v>
      </c>
      <c r="AX2" s="72" t="s">
        <v>2349</v>
      </c>
      <c r="AY2" s="120" t="s">
        <v>2908</v>
      </c>
      <c r="AZ2" s="120" t="s">
        <v>1448</v>
      </c>
      <c r="BA2" s="120" t="s">
        <v>1449</v>
      </c>
      <c r="BB2" s="120" t="s">
        <v>2954</v>
      </c>
      <c r="BC2" s="120" t="s">
        <v>2955</v>
      </c>
      <c r="BD2" s="120" t="s">
        <v>2956</v>
      </c>
      <c r="BE2" s="120" t="s">
        <v>2957</v>
      </c>
      <c r="BF2" s="120" t="s">
        <v>2958</v>
      </c>
      <c r="BG2" s="120" t="s">
        <v>2959</v>
      </c>
      <c r="BH2" s="120" t="s">
        <v>2960</v>
      </c>
      <c r="BI2" s="72" t="s">
        <v>32</v>
      </c>
      <c r="BJ2" s="424" t="s">
        <v>2717</v>
      </c>
      <c r="BK2" s="72" t="s">
        <v>880</v>
      </c>
      <c r="BL2" s="72" t="s">
        <v>1874</v>
      </c>
      <c r="BM2" s="72" t="s">
        <v>1875</v>
      </c>
      <c r="BN2" s="72" t="s">
        <v>1876</v>
      </c>
      <c r="BO2" s="824" t="s">
        <v>1877</v>
      </c>
      <c r="BP2" s="824" t="s">
        <v>1878</v>
      </c>
    </row>
    <row r="3" spans="1:68">
      <c r="A3" t="s">
        <v>225</v>
      </c>
      <c r="B3" t="s">
        <v>310</v>
      </c>
      <c r="C3" s="121">
        <v>5555</v>
      </c>
      <c r="D3" s="72">
        <v>2</v>
      </c>
      <c r="E3">
        <v>160.83000000000001</v>
      </c>
      <c r="F3">
        <v>66</v>
      </c>
      <c r="G3">
        <v>75</v>
      </c>
      <c r="H3">
        <v>1</v>
      </c>
      <c r="I3" s="173">
        <v>1.04</v>
      </c>
      <c r="J3" s="121">
        <v>344878227</v>
      </c>
      <c r="K3" s="125">
        <v>846.67899999999997</v>
      </c>
      <c r="L3" s="173">
        <v>1.5</v>
      </c>
      <c r="M3">
        <v>1.04</v>
      </c>
      <c r="N3">
        <v>1.000000005</v>
      </c>
      <c r="O3">
        <v>3.9999995000000066</v>
      </c>
      <c r="P3">
        <v>515.17700000000002</v>
      </c>
      <c r="Q3" s="125">
        <v>0</v>
      </c>
      <c r="R3" s="125">
        <v>0</v>
      </c>
      <c r="S3" s="125">
        <v>1.1339999999999999</v>
      </c>
      <c r="T3" s="125">
        <v>25.036999999999999</v>
      </c>
      <c r="U3" s="125">
        <v>3.0190000000000001</v>
      </c>
      <c r="V3" s="125">
        <v>0</v>
      </c>
      <c r="W3" s="125">
        <v>0.83099999999999996</v>
      </c>
      <c r="X3" s="125">
        <v>0</v>
      </c>
      <c r="Y3" s="125">
        <v>0</v>
      </c>
      <c r="Z3" s="125">
        <v>0</v>
      </c>
      <c r="AA3" s="125">
        <v>13.932</v>
      </c>
      <c r="AB3" s="125">
        <v>17.937000000000001</v>
      </c>
      <c r="AC3" s="125">
        <v>253.9</v>
      </c>
      <c r="AD3" s="125">
        <v>0</v>
      </c>
      <c r="AE3" s="125">
        <v>4.2119999999999997</v>
      </c>
      <c r="AF3" s="125">
        <v>25.758849999999999</v>
      </c>
      <c r="AG3" s="125">
        <v>0</v>
      </c>
      <c r="AH3" s="125">
        <v>0</v>
      </c>
      <c r="AI3" s="121">
        <v>3690749</v>
      </c>
      <c r="AJ3" s="121">
        <v>0</v>
      </c>
      <c r="AK3" s="424">
        <v>12</v>
      </c>
      <c r="AL3">
        <v>0</v>
      </c>
      <c r="AM3" s="121">
        <v>87378</v>
      </c>
      <c r="AN3" s="125">
        <v>0</v>
      </c>
      <c r="AO3" s="125">
        <v>0</v>
      </c>
      <c r="AP3" s="121">
        <v>3690749</v>
      </c>
      <c r="AQ3" s="114">
        <v>0</v>
      </c>
      <c r="AR3" s="121">
        <v>0</v>
      </c>
      <c r="AS3" s="121">
        <v>0</v>
      </c>
      <c r="AT3" s="121">
        <v>0</v>
      </c>
      <c r="AU3" s="420" t="s">
        <v>798</v>
      </c>
      <c r="AV3" s="420" t="s">
        <v>2001</v>
      </c>
      <c r="AW3" s="121">
        <v>0</v>
      </c>
      <c r="AX3" s="121">
        <v>0</v>
      </c>
      <c r="AY3" s="134">
        <v>523485</v>
      </c>
      <c r="AZ3" s="134">
        <v>2031699</v>
      </c>
      <c r="BA3" s="114">
        <v>772</v>
      </c>
      <c r="BB3" s="134">
        <v>138548925</v>
      </c>
      <c r="BC3" s="114">
        <v>0</v>
      </c>
      <c r="BD3" s="114">
        <v>0</v>
      </c>
      <c r="BE3" s="114">
        <v>0</v>
      </c>
      <c r="BF3" s="114">
        <v>580</v>
      </c>
      <c r="BG3" s="114">
        <v>0</v>
      </c>
      <c r="BH3" s="114">
        <v>0</v>
      </c>
      <c r="BI3">
        <v>0</v>
      </c>
      <c r="BJ3" s="121">
        <v>0</v>
      </c>
      <c r="BK3" s="134">
        <v>344878227</v>
      </c>
      <c r="BL3" s="934">
        <v>4899</v>
      </c>
      <c r="BM3" s="934">
        <v>5555</v>
      </c>
      <c r="BN3" s="934">
        <v>5068</v>
      </c>
      <c r="BO3" s="114">
        <v>0</v>
      </c>
      <c r="BP3" s="114">
        <v>0</v>
      </c>
    </row>
    <row r="4" spans="1:68">
      <c r="A4" t="s">
        <v>2228</v>
      </c>
      <c r="B4" t="s">
        <v>311</v>
      </c>
      <c r="C4" s="121">
        <v>4599</v>
      </c>
      <c r="D4" s="72">
        <v>2</v>
      </c>
      <c r="E4">
        <v>330.04</v>
      </c>
      <c r="F4">
        <v>104</v>
      </c>
      <c r="G4">
        <v>75</v>
      </c>
      <c r="H4">
        <v>5</v>
      </c>
      <c r="I4" s="173">
        <v>1.17</v>
      </c>
      <c r="J4" s="121">
        <v>183040768</v>
      </c>
      <c r="K4" s="125">
        <v>1817.098</v>
      </c>
      <c r="L4" s="173">
        <v>1.5</v>
      </c>
      <c r="M4">
        <v>1.17</v>
      </c>
      <c r="N4">
        <v>1.000000005</v>
      </c>
      <c r="O4">
        <v>16.999999499999994</v>
      </c>
      <c r="P4">
        <v>1234.7260000000001</v>
      </c>
      <c r="Q4" s="125">
        <v>0.35199999999999998</v>
      </c>
      <c r="R4" s="125">
        <v>0</v>
      </c>
      <c r="S4" s="125">
        <v>2.411</v>
      </c>
      <c r="T4" s="125">
        <v>37.335000000000001</v>
      </c>
      <c r="U4" s="125">
        <v>12.651</v>
      </c>
      <c r="V4" s="125">
        <v>0</v>
      </c>
      <c r="W4" s="125">
        <v>3.5459999999999998</v>
      </c>
      <c r="X4" s="125">
        <v>0</v>
      </c>
      <c r="Y4" s="125">
        <v>0</v>
      </c>
      <c r="Z4" s="125">
        <v>4.3250000000000002</v>
      </c>
      <c r="AA4" s="125">
        <v>72.956999999999994</v>
      </c>
      <c r="AB4" s="125">
        <v>43.317999999999998</v>
      </c>
      <c r="AC4" s="125">
        <v>705.3</v>
      </c>
      <c r="AD4" s="125">
        <v>0.36</v>
      </c>
      <c r="AE4" s="125">
        <v>8.35</v>
      </c>
      <c r="AF4" s="125">
        <v>61.735999999999997</v>
      </c>
      <c r="AG4" s="125">
        <v>0</v>
      </c>
      <c r="AH4" s="125">
        <v>0</v>
      </c>
      <c r="AI4" s="121">
        <v>2091250</v>
      </c>
      <c r="AJ4" s="121">
        <v>0</v>
      </c>
      <c r="AK4" s="424">
        <v>12</v>
      </c>
      <c r="AL4">
        <v>0</v>
      </c>
      <c r="AM4" s="121">
        <v>122878</v>
      </c>
      <c r="AN4" s="125">
        <v>0</v>
      </c>
      <c r="AO4" s="125">
        <v>0</v>
      </c>
      <c r="AP4" s="121">
        <v>2091250</v>
      </c>
      <c r="AQ4" s="114">
        <v>0</v>
      </c>
      <c r="AR4" s="121">
        <v>122.00756237</v>
      </c>
      <c r="AS4" s="121">
        <v>23974.869137000002</v>
      </c>
      <c r="AT4" s="121">
        <v>3157.4795144999998</v>
      </c>
      <c r="AU4" s="420" t="s">
        <v>2001</v>
      </c>
      <c r="AV4" s="420" t="s">
        <v>2001</v>
      </c>
      <c r="AW4" s="121">
        <v>0</v>
      </c>
      <c r="AX4" s="121">
        <v>0</v>
      </c>
      <c r="BI4">
        <v>0</v>
      </c>
      <c r="BJ4" s="121">
        <v>0</v>
      </c>
      <c r="BK4" s="134">
        <v>183040768</v>
      </c>
      <c r="BL4" s="934">
        <v>4529</v>
      </c>
      <c r="BM4" s="934">
        <v>4599</v>
      </c>
      <c r="BN4" s="934">
        <v>4599</v>
      </c>
      <c r="BO4" s="114">
        <v>0</v>
      </c>
      <c r="BP4" s="114">
        <v>0</v>
      </c>
    </row>
    <row r="5" spans="1:68">
      <c r="A5" t="s">
        <v>15</v>
      </c>
      <c r="B5" t="s">
        <v>312</v>
      </c>
      <c r="C5" s="121">
        <v>4648</v>
      </c>
      <c r="D5" s="72">
        <v>1</v>
      </c>
      <c r="E5">
        <v>236.892</v>
      </c>
      <c r="F5">
        <v>79</v>
      </c>
      <c r="G5">
        <v>47</v>
      </c>
      <c r="H5">
        <v>5</v>
      </c>
      <c r="I5" s="173">
        <v>1.04</v>
      </c>
      <c r="J5" s="121">
        <v>275826252</v>
      </c>
      <c r="K5" s="125">
        <v>1219.1010000000001</v>
      </c>
      <c r="L5" s="173">
        <v>1.4556</v>
      </c>
      <c r="M5">
        <v>1.04</v>
      </c>
      <c r="N5">
        <v>0.97040000485200006</v>
      </c>
      <c r="O5">
        <v>6.9599995147999971</v>
      </c>
      <c r="P5">
        <v>764</v>
      </c>
      <c r="Q5" s="125">
        <v>0</v>
      </c>
      <c r="R5" s="125">
        <v>0</v>
      </c>
      <c r="S5" s="125">
        <v>1.2</v>
      </c>
      <c r="T5" s="125">
        <v>40</v>
      </c>
      <c r="U5" s="125">
        <v>4.5</v>
      </c>
      <c r="V5" s="125">
        <v>0</v>
      </c>
      <c r="W5" s="125">
        <v>1.2</v>
      </c>
      <c r="X5" s="125">
        <v>0</v>
      </c>
      <c r="Y5" s="125">
        <v>0</v>
      </c>
      <c r="Z5" s="125">
        <v>0.7</v>
      </c>
      <c r="AA5" s="125">
        <v>3</v>
      </c>
      <c r="AB5" s="125">
        <v>45</v>
      </c>
      <c r="AC5" s="125">
        <v>447</v>
      </c>
      <c r="AD5" s="125">
        <v>0.2</v>
      </c>
      <c r="AE5" s="125">
        <v>40</v>
      </c>
      <c r="AF5" s="125">
        <v>38.200000000000003</v>
      </c>
      <c r="AG5" s="125">
        <v>0</v>
      </c>
      <c r="AH5" s="125">
        <v>0</v>
      </c>
      <c r="AI5" s="121">
        <v>2895868</v>
      </c>
      <c r="AJ5" s="121">
        <v>148299</v>
      </c>
      <c r="AK5" s="424">
        <v>12</v>
      </c>
      <c r="AL5">
        <v>0</v>
      </c>
      <c r="AM5" s="121">
        <v>63779</v>
      </c>
      <c r="AN5" s="125">
        <v>0</v>
      </c>
      <c r="AO5" s="125">
        <v>0</v>
      </c>
      <c r="AP5" s="121">
        <v>3044167</v>
      </c>
      <c r="AQ5" s="114">
        <v>0</v>
      </c>
      <c r="AR5" s="121">
        <v>183.85460796999999</v>
      </c>
      <c r="AS5" s="121">
        <v>36128.007812000003</v>
      </c>
      <c r="AT5" s="121">
        <v>4758.0424282000004</v>
      </c>
      <c r="AU5" s="420" t="s">
        <v>2001</v>
      </c>
      <c r="AV5" s="420" t="s">
        <v>2001</v>
      </c>
      <c r="AW5" s="121">
        <v>0</v>
      </c>
      <c r="AX5" s="121">
        <v>224375</v>
      </c>
      <c r="BI5">
        <v>0</v>
      </c>
      <c r="BJ5" s="121">
        <v>0</v>
      </c>
      <c r="BK5" s="134">
        <v>275826252</v>
      </c>
      <c r="BL5" s="934">
        <v>4648</v>
      </c>
      <c r="BM5" s="934">
        <v>4468</v>
      </c>
      <c r="BN5" s="934">
        <v>4563</v>
      </c>
      <c r="BO5" s="114">
        <v>0</v>
      </c>
      <c r="BP5" s="114">
        <v>0</v>
      </c>
    </row>
    <row r="6" spans="1:68">
      <c r="A6" t="s">
        <v>16</v>
      </c>
      <c r="B6" t="s">
        <v>313</v>
      </c>
      <c r="C6" s="121">
        <v>4554</v>
      </c>
      <c r="D6" s="72">
        <v>1</v>
      </c>
      <c r="E6">
        <v>91.474000000000004</v>
      </c>
      <c r="F6">
        <v>32</v>
      </c>
      <c r="G6">
        <v>14</v>
      </c>
      <c r="H6">
        <v>0</v>
      </c>
      <c r="I6" s="173">
        <v>1.04</v>
      </c>
      <c r="J6" s="121">
        <v>101798332</v>
      </c>
      <c r="K6" s="125">
        <v>511.84399999999999</v>
      </c>
      <c r="L6" s="173">
        <v>1.5</v>
      </c>
      <c r="M6">
        <v>1.04</v>
      </c>
      <c r="N6">
        <v>1.000000005</v>
      </c>
      <c r="O6">
        <v>3.9999995000000066</v>
      </c>
      <c r="P6">
        <v>286.05700000000002</v>
      </c>
      <c r="Q6" s="125">
        <v>3.5999999999999997E-2</v>
      </c>
      <c r="R6" s="125">
        <v>0</v>
      </c>
      <c r="S6" s="125">
        <v>0.70599999999999996</v>
      </c>
      <c r="T6" s="125">
        <v>19</v>
      </c>
      <c r="U6" s="125">
        <v>1.3149999999999999</v>
      </c>
      <c r="V6" s="125">
        <v>0</v>
      </c>
      <c r="W6" s="125">
        <v>3.2290000000000001</v>
      </c>
      <c r="X6" s="125">
        <v>0</v>
      </c>
      <c r="Y6" s="125">
        <v>0</v>
      </c>
      <c r="Z6" s="125">
        <v>0</v>
      </c>
      <c r="AA6" s="125">
        <v>9.6</v>
      </c>
      <c r="AB6" s="125">
        <v>14.449</v>
      </c>
      <c r="AC6" s="125">
        <v>134.4</v>
      </c>
      <c r="AD6" s="125">
        <v>0.14499999999999999</v>
      </c>
      <c r="AE6" s="125">
        <v>0</v>
      </c>
      <c r="AF6" s="125">
        <v>14.302849999999999</v>
      </c>
      <c r="AG6" s="125">
        <v>0</v>
      </c>
      <c r="AH6" s="125">
        <v>0</v>
      </c>
      <c r="AI6" s="121">
        <v>1044940</v>
      </c>
      <c r="AJ6" s="121">
        <v>0</v>
      </c>
      <c r="AK6" s="424">
        <v>12</v>
      </c>
      <c r="AL6">
        <v>0</v>
      </c>
      <c r="AM6" s="121">
        <v>34817</v>
      </c>
      <c r="AN6" s="125">
        <v>0</v>
      </c>
      <c r="AO6" s="125">
        <v>0</v>
      </c>
      <c r="AP6" s="121">
        <v>1044940</v>
      </c>
      <c r="AQ6" s="114">
        <v>0</v>
      </c>
      <c r="AR6" s="121">
        <v>67.854645039000005</v>
      </c>
      <c r="AS6" s="121">
        <v>13333.65083</v>
      </c>
      <c r="AT6" s="121">
        <v>1756.0358351</v>
      </c>
      <c r="AU6" s="420" t="s">
        <v>2001</v>
      </c>
      <c r="AV6" s="420" t="s">
        <v>2001</v>
      </c>
      <c r="AW6" s="121">
        <v>0</v>
      </c>
      <c r="AX6" s="121">
        <v>265070</v>
      </c>
      <c r="BI6">
        <v>0</v>
      </c>
      <c r="BJ6" s="121">
        <v>0</v>
      </c>
      <c r="BK6" s="134">
        <v>101798332</v>
      </c>
      <c r="BL6" s="934">
        <v>4554</v>
      </c>
      <c r="BM6" s="934">
        <v>4441</v>
      </c>
      <c r="BN6" s="934">
        <v>4441</v>
      </c>
      <c r="BO6" s="114">
        <v>0</v>
      </c>
      <c r="BP6" s="114">
        <v>0</v>
      </c>
    </row>
    <row r="7" spans="1:68">
      <c r="A7" t="s">
        <v>17</v>
      </c>
      <c r="B7" t="s">
        <v>314</v>
      </c>
      <c r="C7" s="121">
        <v>4675</v>
      </c>
      <c r="D7" s="72">
        <v>2</v>
      </c>
      <c r="E7">
        <v>799.48400000000004</v>
      </c>
      <c r="F7">
        <v>268</v>
      </c>
      <c r="G7">
        <v>202</v>
      </c>
      <c r="H7">
        <v>26</v>
      </c>
      <c r="I7" s="173">
        <v>1.17</v>
      </c>
      <c r="J7" s="121">
        <v>900762557</v>
      </c>
      <c r="K7" s="125">
        <v>4493.2299999999996</v>
      </c>
      <c r="L7" s="173">
        <v>1.5</v>
      </c>
      <c r="M7">
        <v>1.17</v>
      </c>
      <c r="N7">
        <v>1.000000005</v>
      </c>
      <c r="O7">
        <v>16.999999499999994</v>
      </c>
      <c r="P7">
        <v>3202.0830000000001</v>
      </c>
      <c r="Q7" s="125">
        <v>1.7999999999999999E-2</v>
      </c>
      <c r="R7" s="125">
        <v>5.7469999999999999</v>
      </c>
      <c r="S7" s="125">
        <v>2.9780000000000002</v>
      </c>
      <c r="T7" s="125">
        <v>76.619</v>
      </c>
      <c r="U7" s="125">
        <v>24.544</v>
      </c>
      <c r="V7" s="125">
        <v>0</v>
      </c>
      <c r="W7" s="125">
        <v>12.718999999999999</v>
      </c>
      <c r="X7" s="125">
        <v>0</v>
      </c>
      <c r="Y7" s="125">
        <v>0</v>
      </c>
      <c r="Z7" s="125">
        <v>13.638</v>
      </c>
      <c r="AA7" s="125">
        <v>66.605000000000004</v>
      </c>
      <c r="AB7" s="125">
        <v>140.119</v>
      </c>
      <c r="AC7" s="125">
        <v>2604.6</v>
      </c>
      <c r="AD7" s="125">
        <v>2.5459999999999998</v>
      </c>
      <c r="AE7" s="125">
        <v>289.03300000000002</v>
      </c>
      <c r="AF7" s="125">
        <v>160.10400000000001</v>
      </c>
      <c r="AG7" s="125">
        <v>0</v>
      </c>
      <c r="AH7" s="125">
        <v>0</v>
      </c>
      <c r="AI7" s="121">
        <v>10955209</v>
      </c>
      <c r="AJ7" s="121">
        <v>938484</v>
      </c>
      <c r="AK7" s="424">
        <v>12</v>
      </c>
      <c r="AL7">
        <v>0</v>
      </c>
      <c r="AM7" s="121">
        <v>293281</v>
      </c>
      <c r="AN7" s="125">
        <v>0</v>
      </c>
      <c r="AO7" s="125">
        <v>0</v>
      </c>
      <c r="AP7" s="121">
        <v>11893693</v>
      </c>
      <c r="AQ7" s="114">
        <v>0</v>
      </c>
      <c r="AR7" s="121">
        <v>600.41183749000004</v>
      </c>
      <c r="AS7" s="121">
        <v>117982.8115</v>
      </c>
      <c r="AT7" s="121">
        <v>15538.283368</v>
      </c>
      <c r="AU7" s="420" t="s">
        <v>2001</v>
      </c>
      <c r="AV7" s="420" t="s">
        <v>2001</v>
      </c>
      <c r="AW7" s="121">
        <v>0</v>
      </c>
      <c r="AX7" s="121">
        <v>1311503</v>
      </c>
      <c r="BI7">
        <v>0</v>
      </c>
      <c r="BJ7" s="121">
        <v>0</v>
      </c>
      <c r="BK7" s="134">
        <v>900762557</v>
      </c>
      <c r="BL7" s="934">
        <v>4585</v>
      </c>
      <c r="BM7" s="934">
        <v>4675</v>
      </c>
      <c r="BN7" s="934">
        <v>4675</v>
      </c>
      <c r="BO7" s="114">
        <v>0</v>
      </c>
      <c r="BP7" s="114">
        <v>0</v>
      </c>
    </row>
    <row r="8" spans="1:68">
      <c r="A8" t="s">
        <v>1254</v>
      </c>
      <c r="B8" t="s">
        <v>1355</v>
      </c>
      <c r="C8" s="121">
        <v>4438</v>
      </c>
      <c r="D8" s="72">
        <v>3</v>
      </c>
      <c r="E8">
        <v>437.02499999999998</v>
      </c>
      <c r="F8">
        <v>134</v>
      </c>
      <c r="G8">
        <v>83</v>
      </c>
      <c r="H8">
        <v>9</v>
      </c>
      <c r="I8" s="173">
        <v>1.0049999999999999</v>
      </c>
      <c r="J8" s="121">
        <v>399855868</v>
      </c>
      <c r="K8" s="125">
        <v>2368.7849999999999</v>
      </c>
      <c r="L8" s="173">
        <v>1.337</v>
      </c>
      <c r="M8">
        <v>1.0049999999999999</v>
      </c>
      <c r="N8">
        <v>0.89133333779000001</v>
      </c>
      <c r="O8">
        <v>11.366666220999988</v>
      </c>
      <c r="P8">
        <v>1678.8119999999999</v>
      </c>
      <c r="Q8" s="125">
        <v>9.5000000000000001E-2</v>
      </c>
      <c r="R8" s="125">
        <v>0</v>
      </c>
      <c r="S8" s="125">
        <v>2.7709999999999999</v>
      </c>
      <c r="T8" s="125">
        <v>49.956000000000003</v>
      </c>
      <c r="U8" s="125">
        <v>25.352</v>
      </c>
      <c r="V8" s="125">
        <v>0</v>
      </c>
      <c r="W8" s="125">
        <v>7.8680000000000003</v>
      </c>
      <c r="X8" s="125">
        <v>0</v>
      </c>
      <c r="Y8" s="125">
        <v>0</v>
      </c>
      <c r="Z8" s="125">
        <v>1.4350000000000001</v>
      </c>
      <c r="AA8" s="125">
        <v>53.551000000000002</v>
      </c>
      <c r="AB8" s="125">
        <v>44.734000000000002</v>
      </c>
      <c r="AC8" s="125">
        <v>991.2</v>
      </c>
      <c r="AD8" s="125">
        <v>0</v>
      </c>
      <c r="AE8" s="125">
        <v>41.496000000000002</v>
      </c>
      <c r="AF8" s="125">
        <v>83.940600000000003</v>
      </c>
      <c r="AG8" s="125">
        <v>0</v>
      </c>
      <c r="AH8" s="125">
        <v>0</v>
      </c>
      <c r="AI8" s="121">
        <v>3716572</v>
      </c>
      <c r="AJ8" s="121">
        <v>0</v>
      </c>
      <c r="AK8" s="424">
        <v>12</v>
      </c>
      <c r="AL8">
        <v>0</v>
      </c>
      <c r="AM8" s="121">
        <v>85567</v>
      </c>
      <c r="AN8" s="125">
        <v>0</v>
      </c>
      <c r="AO8" s="125">
        <v>0</v>
      </c>
      <c r="AP8" s="121">
        <v>3716572</v>
      </c>
      <c r="AQ8" s="114">
        <v>0</v>
      </c>
      <c r="AR8" s="121">
        <v>266.52772620000002</v>
      </c>
      <c r="AS8" s="121">
        <v>52373.535157999999</v>
      </c>
      <c r="AT8" s="121">
        <v>6897.5710947999996</v>
      </c>
      <c r="AU8" s="420" t="s">
        <v>2001</v>
      </c>
      <c r="AV8" s="420" t="s">
        <v>2001</v>
      </c>
      <c r="AW8" s="121">
        <v>0</v>
      </c>
      <c r="AX8" s="121">
        <v>0</v>
      </c>
      <c r="BI8">
        <v>0</v>
      </c>
      <c r="BJ8" s="121">
        <v>0</v>
      </c>
      <c r="BK8" s="134">
        <v>370734974</v>
      </c>
      <c r="BL8" s="934">
        <v>4214</v>
      </c>
      <c r="BM8" s="934">
        <v>4437</v>
      </c>
      <c r="BN8" s="934">
        <v>4438</v>
      </c>
      <c r="BO8" s="114">
        <v>0</v>
      </c>
      <c r="BP8" s="114">
        <v>0</v>
      </c>
    </row>
    <row r="9" spans="1:68">
      <c r="A9" t="s">
        <v>1255</v>
      </c>
      <c r="B9" t="s">
        <v>1356</v>
      </c>
      <c r="C9" s="121">
        <v>4462</v>
      </c>
      <c r="D9" s="72">
        <v>2</v>
      </c>
      <c r="E9">
        <v>92.546999999999997</v>
      </c>
      <c r="F9">
        <v>39</v>
      </c>
      <c r="G9">
        <v>14</v>
      </c>
      <c r="H9">
        <v>2</v>
      </c>
      <c r="I9" s="173">
        <v>0.93799999999999994</v>
      </c>
      <c r="J9" s="121">
        <v>86985602</v>
      </c>
      <c r="K9" s="125">
        <v>679.05899999999997</v>
      </c>
      <c r="L9" s="173">
        <v>1.2871999999999999</v>
      </c>
      <c r="M9">
        <v>0.93799999999999994</v>
      </c>
      <c r="N9">
        <v>0.8581333376239999</v>
      </c>
      <c r="O9">
        <v>7.9866662376000042</v>
      </c>
      <c r="P9">
        <v>376.23200000000003</v>
      </c>
      <c r="Q9" s="125">
        <v>6.3E-2</v>
      </c>
      <c r="R9" s="125">
        <v>0</v>
      </c>
      <c r="S9" s="125">
        <v>0.96599999999999997</v>
      </c>
      <c r="T9" s="125">
        <v>28.134</v>
      </c>
      <c r="U9" s="125">
        <v>2.4889999999999999</v>
      </c>
      <c r="V9" s="125">
        <v>0</v>
      </c>
      <c r="W9" s="125">
        <v>3.6219999999999999</v>
      </c>
      <c r="X9" s="125">
        <v>0</v>
      </c>
      <c r="Y9" s="125">
        <v>0</v>
      </c>
      <c r="Z9" s="125">
        <v>0.69499999999999995</v>
      </c>
      <c r="AA9" s="125">
        <v>1.85</v>
      </c>
      <c r="AB9" s="125">
        <v>19.645</v>
      </c>
      <c r="AC9" s="125">
        <v>247.5</v>
      </c>
      <c r="AD9" s="125">
        <v>0</v>
      </c>
      <c r="AE9" s="125">
        <v>0.36899999999999999</v>
      </c>
      <c r="AF9" s="125">
        <v>18.811599999999999</v>
      </c>
      <c r="AG9" s="125">
        <v>0</v>
      </c>
      <c r="AH9" s="125">
        <v>0</v>
      </c>
      <c r="AI9" s="121">
        <v>817526</v>
      </c>
      <c r="AJ9" s="121">
        <v>0</v>
      </c>
      <c r="AK9" s="424">
        <v>12</v>
      </c>
      <c r="AL9">
        <v>0</v>
      </c>
      <c r="AM9" s="121">
        <v>65753</v>
      </c>
      <c r="AN9" s="125">
        <v>0</v>
      </c>
      <c r="AO9" s="125">
        <v>0</v>
      </c>
      <c r="AP9" s="121">
        <v>817526</v>
      </c>
      <c r="AQ9" s="114">
        <v>0</v>
      </c>
      <c r="AR9" s="121">
        <v>57.981079405000003</v>
      </c>
      <c r="AS9" s="121">
        <v>11393.464177</v>
      </c>
      <c r="AT9" s="121">
        <v>1500.5141229999999</v>
      </c>
      <c r="AU9" s="420" t="s">
        <v>2001</v>
      </c>
      <c r="AV9" s="420" t="s">
        <v>2001</v>
      </c>
      <c r="AW9" s="121">
        <v>0</v>
      </c>
      <c r="AX9" s="121">
        <v>0</v>
      </c>
      <c r="BI9">
        <v>0</v>
      </c>
      <c r="BJ9" s="121">
        <v>0</v>
      </c>
      <c r="BK9" s="134">
        <v>84699974</v>
      </c>
      <c r="BL9" s="934">
        <v>4259</v>
      </c>
      <c r="BM9" s="934">
        <v>4462</v>
      </c>
      <c r="BN9" s="934">
        <v>4437</v>
      </c>
      <c r="BO9" s="114">
        <v>0</v>
      </c>
      <c r="BP9" s="114">
        <v>0</v>
      </c>
    </row>
    <row r="10" spans="1:68">
      <c r="A10" t="s">
        <v>2102</v>
      </c>
      <c r="B10" t="s">
        <v>1357</v>
      </c>
      <c r="C10" s="121">
        <v>6236</v>
      </c>
      <c r="D10" s="72">
        <v>2</v>
      </c>
      <c r="E10">
        <v>798.63699999999994</v>
      </c>
      <c r="F10">
        <v>234</v>
      </c>
      <c r="G10">
        <v>189</v>
      </c>
      <c r="H10">
        <v>15</v>
      </c>
      <c r="I10" s="173">
        <v>1.04</v>
      </c>
      <c r="J10" s="121">
        <v>3393947392</v>
      </c>
      <c r="K10" s="125">
        <v>3926.4160000000002</v>
      </c>
      <c r="L10" s="173">
        <v>1.5</v>
      </c>
      <c r="M10">
        <v>1.04</v>
      </c>
      <c r="N10">
        <v>1.000000005</v>
      </c>
      <c r="O10">
        <v>3.9999995000000066</v>
      </c>
      <c r="P10">
        <v>2948</v>
      </c>
      <c r="Q10" s="125">
        <v>0.12</v>
      </c>
      <c r="R10" s="125">
        <v>0</v>
      </c>
      <c r="S10" s="125">
        <v>5.84</v>
      </c>
      <c r="T10" s="125">
        <v>124</v>
      </c>
      <c r="U10" s="125">
        <v>40</v>
      </c>
      <c r="V10" s="125">
        <v>0</v>
      </c>
      <c r="W10" s="125">
        <v>15.8</v>
      </c>
      <c r="X10" s="125">
        <v>0</v>
      </c>
      <c r="Y10" s="125">
        <v>0</v>
      </c>
      <c r="Z10" s="125">
        <v>0</v>
      </c>
      <c r="AA10" s="125">
        <v>36</v>
      </c>
      <c r="AB10" s="125">
        <v>149</v>
      </c>
      <c r="AC10" s="125">
        <v>1595</v>
      </c>
      <c r="AD10" s="125">
        <v>0.42</v>
      </c>
      <c r="AE10" s="125">
        <v>163</v>
      </c>
      <c r="AF10" s="125">
        <v>147</v>
      </c>
      <c r="AG10" s="125">
        <v>0</v>
      </c>
      <c r="AH10" s="125">
        <v>0</v>
      </c>
      <c r="AI10" s="121">
        <v>36691286</v>
      </c>
      <c r="AJ10" s="121">
        <v>4376334</v>
      </c>
      <c r="AK10" s="424">
        <v>12</v>
      </c>
      <c r="AL10">
        <v>0</v>
      </c>
      <c r="AM10" s="121">
        <v>102695</v>
      </c>
      <c r="AN10" s="125">
        <v>0</v>
      </c>
      <c r="AO10" s="125">
        <v>0</v>
      </c>
      <c r="AP10" s="121">
        <v>41067620</v>
      </c>
      <c r="AQ10" s="114">
        <v>0</v>
      </c>
      <c r="AR10" s="121">
        <v>0</v>
      </c>
      <c r="AS10" s="121">
        <v>0</v>
      </c>
      <c r="AT10" s="121">
        <v>0</v>
      </c>
      <c r="AU10" s="420" t="s">
        <v>798</v>
      </c>
      <c r="AV10" s="420" t="s">
        <v>2001</v>
      </c>
      <c r="AW10" s="121">
        <v>0</v>
      </c>
      <c r="AX10" s="121">
        <v>4373900</v>
      </c>
      <c r="AY10" s="134">
        <v>7635731</v>
      </c>
      <c r="AZ10" s="134">
        <v>9529806</v>
      </c>
      <c r="BA10" s="134">
        <v>4039</v>
      </c>
      <c r="BB10" s="134">
        <v>2443154790</v>
      </c>
      <c r="BC10" s="114">
        <v>0</v>
      </c>
      <c r="BD10" s="114">
        <v>0</v>
      </c>
      <c r="BE10" s="114">
        <v>0</v>
      </c>
      <c r="BF10" s="134">
        <v>3035</v>
      </c>
      <c r="BG10" s="114">
        <v>0</v>
      </c>
      <c r="BH10" s="114">
        <v>0</v>
      </c>
      <c r="BI10">
        <v>0</v>
      </c>
      <c r="BJ10" s="121">
        <v>1295</v>
      </c>
      <c r="BK10" s="134">
        <v>3393947392</v>
      </c>
      <c r="BL10" s="934">
        <v>6036</v>
      </c>
      <c r="BM10" s="934">
        <v>6236</v>
      </c>
      <c r="BN10" s="934">
        <v>6169</v>
      </c>
      <c r="BO10" s="114">
        <v>0</v>
      </c>
      <c r="BP10" s="114">
        <v>0</v>
      </c>
    </row>
    <row r="11" spans="1:68">
      <c r="A11" t="s">
        <v>774</v>
      </c>
      <c r="B11" t="s">
        <v>2733</v>
      </c>
      <c r="C11" s="121">
        <v>4576</v>
      </c>
      <c r="D11" s="72">
        <v>3</v>
      </c>
      <c r="E11">
        <v>678.95699999999999</v>
      </c>
      <c r="F11">
        <v>178</v>
      </c>
      <c r="G11">
        <v>110</v>
      </c>
      <c r="H11">
        <v>32</v>
      </c>
      <c r="I11" s="173">
        <v>1.0357000000000001</v>
      </c>
      <c r="J11" s="121">
        <v>263553164</v>
      </c>
      <c r="K11" s="125">
        <v>3181.1840000000002</v>
      </c>
      <c r="L11" s="173">
        <v>1.4350000000000001</v>
      </c>
      <c r="M11">
        <v>1.0357000000000001</v>
      </c>
      <c r="N11">
        <v>0.95666667145000006</v>
      </c>
      <c r="O11">
        <v>7.9033328550000004</v>
      </c>
      <c r="P11">
        <v>2370</v>
      </c>
      <c r="Q11" s="125">
        <v>0.45500000000000002</v>
      </c>
      <c r="R11" s="125">
        <v>0</v>
      </c>
      <c r="S11" s="125">
        <v>2.032</v>
      </c>
      <c r="T11" s="125">
        <v>38</v>
      </c>
      <c r="U11" s="125">
        <v>32.5</v>
      </c>
      <c r="V11" s="125">
        <v>0</v>
      </c>
      <c r="W11" s="125">
        <v>2</v>
      </c>
      <c r="X11" s="125">
        <v>0</v>
      </c>
      <c r="Y11" s="125">
        <v>0</v>
      </c>
      <c r="Z11" s="125">
        <v>0</v>
      </c>
      <c r="AA11" s="125">
        <v>72</v>
      </c>
      <c r="AB11" s="125">
        <v>95.543000000000006</v>
      </c>
      <c r="AC11" s="125">
        <v>1318</v>
      </c>
      <c r="AD11" s="125">
        <v>1.5980000000000001</v>
      </c>
      <c r="AE11" s="125">
        <v>135</v>
      </c>
      <c r="AF11" s="125">
        <v>118.5</v>
      </c>
      <c r="AG11" s="125">
        <v>0</v>
      </c>
      <c r="AH11" s="125">
        <v>0</v>
      </c>
      <c r="AI11" s="121">
        <v>2792120</v>
      </c>
      <c r="AJ11" s="121">
        <v>235654</v>
      </c>
      <c r="AK11" s="424">
        <v>12</v>
      </c>
      <c r="AL11">
        <v>0</v>
      </c>
      <c r="AM11" s="121">
        <v>193638</v>
      </c>
      <c r="AN11" s="125">
        <v>0</v>
      </c>
      <c r="AO11" s="125">
        <v>0</v>
      </c>
      <c r="AP11" s="121">
        <v>3027774</v>
      </c>
      <c r="AQ11" s="114">
        <v>0</v>
      </c>
      <c r="AR11" s="121">
        <v>175.6738646</v>
      </c>
      <c r="AS11" s="121">
        <v>34520.466050000003</v>
      </c>
      <c r="AT11" s="121">
        <v>4546.3298990000003</v>
      </c>
      <c r="AU11" s="420" t="s">
        <v>2001</v>
      </c>
      <c r="AV11" s="420" t="s">
        <v>2001</v>
      </c>
      <c r="AW11" s="121">
        <v>0</v>
      </c>
      <c r="AX11" s="121">
        <v>868593</v>
      </c>
      <c r="BI11">
        <v>0</v>
      </c>
      <c r="BJ11" s="121">
        <v>0</v>
      </c>
      <c r="BK11" s="134">
        <v>263553164</v>
      </c>
      <c r="BL11" s="934">
        <v>4510</v>
      </c>
      <c r="BM11" s="934">
        <v>4524</v>
      </c>
      <c r="BN11" s="934">
        <v>4576</v>
      </c>
      <c r="BO11" s="114">
        <v>0</v>
      </c>
      <c r="BP11" s="114">
        <v>0</v>
      </c>
    </row>
    <row r="12" spans="1:68">
      <c r="A12" t="s">
        <v>1637</v>
      </c>
      <c r="B12" t="s">
        <v>1358</v>
      </c>
      <c r="C12" s="121">
        <v>4592</v>
      </c>
      <c r="D12" s="72">
        <v>1</v>
      </c>
      <c r="E12">
        <v>2151.09</v>
      </c>
      <c r="F12">
        <v>621</v>
      </c>
      <c r="G12">
        <v>498</v>
      </c>
      <c r="H12">
        <v>67</v>
      </c>
      <c r="I12" s="173">
        <v>1.04</v>
      </c>
      <c r="J12" s="121">
        <v>1934291574</v>
      </c>
      <c r="K12" s="125">
        <v>11226.714</v>
      </c>
      <c r="L12" s="173">
        <v>1.5</v>
      </c>
      <c r="M12">
        <v>1.04</v>
      </c>
      <c r="N12">
        <v>1.000000005</v>
      </c>
      <c r="O12">
        <v>3.9999995000000066</v>
      </c>
      <c r="P12">
        <v>8155.1869999999999</v>
      </c>
      <c r="Q12" s="125">
        <v>1.1839999999999999</v>
      </c>
      <c r="R12" s="125">
        <v>0</v>
      </c>
      <c r="S12" s="125">
        <v>8.1270000000000007</v>
      </c>
      <c r="T12" s="125">
        <v>378.35700000000003</v>
      </c>
      <c r="U12" s="125">
        <v>110.72799999999999</v>
      </c>
      <c r="V12" s="125">
        <v>0</v>
      </c>
      <c r="W12" s="125">
        <v>16.734000000000002</v>
      </c>
      <c r="X12" s="125">
        <v>4.1399999999999997</v>
      </c>
      <c r="Y12" s="125">
        <v>0</v>
      </c>
      <c r="Z12" s="125">
        <v>20.716999999999999</v>
      </c>
      <c r="AA12" s="125">
        <v>57.185000000000002</v>
      </c>
      <c r="AB12" s="125">
        <v>336.584</v>
      </c>
      <c r="AC12" s="125">
        <v>6875.6</v>
      </c>
      <c r="AD12" s="125">
        <v>5.5339999999999998</v>
      </c>
      <c r="AE12" s="125">
        <v>1130.258</v>
      </c>
      <c r="AF12" s="125">
        <v>407.75900000000001</v>
      </c>
      <c r="AG12" s="125">
        <v>0</v>
      </c>
      <c r="AH12" s="125">
        <v>0</v>
      </c>
      <c r="AI12" s="121">
        <v>20963063</v>
      </c>
      <c r="AJ12" s="121">
        <v>1421949</v>
      </c>
      <c r="AK12" s="424">
        <v>12</v>
      </c>
      <c r="AL12">
        <v>0</v>
      </c>
      <c r="AM12" s="121">
        <v>892317</v>
      </c>
      <c r="AN12" s="125">
        <v>2</v>
      </c>
      <c r="AO12" s="125">
        <v>1</v>
      </c>
      <c r="AP12" s="121">
        <v>22385012</v>
      </c>
      <c r="AQ12" s="114">
        <v>0</v>
      </c>
      <c r="AR12" s="121">
        <v>1289.32042</v>
      </c>
      <c r="AS12" s="121">
        <v>253355.51130000001</v>
      </c>
      <c r="AT12" s="121">
        <v>33366.807226999998</v>
      </c>
      <c r="AU12" s="420" t="s">
        <v>2001</v>
      </c>
      <c r="AV12" s="420" t="s">
        <v>2001</v>
      </c>
      <c r="AW12" s="121">
        <v>0</v>
      </c>
      <c r="AX12" s="121">
        <v>2088900</v>
      </c>
      <c r="BI12">
        <v>0</v>
      </c>
      <c r="BJ12" s="121">
        <v>0</v>
      </c>
      <c r="BK12" s="134">
        <v>1919694399</v>
      </c>
      <c r="BL12" s="934">
        <v>4592</v>
      </c>
      <c r="BM12" s="934">
        <v>4555</v>
      </c>
      <c r="BN12" s="934">
        <v>4555</v>
      </c>
      <c r="BO12" s="114">
        <v>0</v>
      </c>
      <c r="BP12" s="114">
        <v>0</v>
      </c>
    </row>
    <row r="13" spans="1:68">
      <c r="A13" t="s">
        <v>1279</v>
      </c>
      <c r="B13" t="s">
        <v>1438</v>
      </c>
      <c r="C13" s="121">
        <v>4183</v>
      </c>
      <c r="D13" s="72">
        <v>1</v>
      </c>
      <c r="E13">
        <v>479.82</v>
      </c>
      <c r="F13">
        <v>135</v>
      </c>
      <c r="G13">
        <v>119</v>
      </c>
      <c r="H13">
        <v>5</v>
      </c>
      <c r="I13" s="173">
        <v>1.04</v>
      </c>
      <c r="J13" s="121">
        <v>162498145</v>
      </c>
      <c r="K13" s="125">
        <v>2243.163</v>
      </c>
      <c r="L13" s="173">
        <v>1.5</v>
      </c>
      <c r="M13">
        <v>1.04</v>
      </c>
      <c r="N13">
        <v>1.000000005</v>
      </c>
      <c r="O13">
        <v>3.9999995000000066</v>
      </c>
      <c r="P13">
        <v>1572.0329999999999</v>
      </c>
      <c r="Q13" s="125">
        <v>0.125</v>
      </c>
      <c r="R13" s="125">
        <v>0</v>
      </c>
      <c r="S13" s="125">
        <v>2.2040000000000002</v>
      </c>
      <c r="T13" s="125">
        <v>43.947000000000003</v>
      </c>
      <c r="U13" s="125">
        <v>23.222000000000001</v>
      </c>
      <c r="V13" s="125">
        <v>0.22700000000000001</v>
      </c>
      <c r="W13" s="125">
        <v>5.6950000000000003</v>
      </c>
      <c r="X13" s="125">
        <v>0</v>
      </c>
      <c r="Y13" s="125">
        <v>0</v>
      </c>
      <c r="Z13" s="125">
        <v>0</v>
      </c>
      <c r="AA13" s="125">
        <v>46.107999999999997</v>
      </c>
      <c r="AB13" s="125">
        <v>146.68700000000001</v>
      </c>
      <c r="AC13" s="125">
        <v>934.9</v>
      </c>
      <c r="AD13" s="125">
        <v>1.212</v>
      </c>
      <c r="AE13" s="125">
        <v>20.605</v>
      </c>
      <c r="AF13" s="125">
        <v>78.601650000000006</v>
      </c>
      <c r="AG13" s="125">
        <v>0</v>
      </c>
      <c r="AH13" s="125">
        <v>0</v>
      </c>
      <c r="AI13" s="121">
        <v>1734636</v>
      </c>
      <c r="AJ13" s="121">
        <v>194157</v>
      </c>
      <c r="AK13" s="424">
        <v>12</v>
      </c>
      <c r="AL13">
        <v>0</v>
      </c>
      <c r="AM13" s="121">
        <v>162635</v>
      </c>
      <c r="AN13" s="125">
        <v>0</v>
      </c>
      <c r="AO13" s="125">
        <v>0</v>
      </c>
      <c r="AP13" s="121">
        <v>1928793</v>
      </c>
      <c r="AQ13" s="114">
        <v>0</v>
      </c>
      <c r="AR13" s="121">
        <v>108.31468216</v>
      </c>
      <c r="AS13" s="121">
        <v>21284.175178000001</v>
      </c>
      <c r="AT13" s="121">
        <v>2803.1163265999999</v>
      </c>
      <c r="AU13" s="420" t="s">
        <v>2001</v>
      </c>
      <c r="AV13" s="420" t="s">
        <v>2001</v>
      </c>
      <c r="AW13" s="121">
        <v>0</v>
      </c>
      <c r="AX13" s="121">
        <v>1360312</v>
      </c>
      <c r="BI13">
        <v>0</v>
      </c>
      <c r="BJ13" s="121">
        <v>0</v>
      </c>
      <c r="BK13" s="134">
        <v>160453982</v>
      </c>
      <c r="BL13" s="934">
        <v>4183</v>
      </c>
      <c r="BM13" s="934">
        <v>4147</v>
      </c>
      <c r="BN13" s="934">
        <v>4147</v>
      </c>
      <c r="BO13" s="114">
        <v>0</v>
      </c>
      <c r="BP13" s="114">
        <v>0</v>
      </c>
    </row>
    <row r="14" spans="1:68">
      <c r="A14" t="s">
        <v>369</v>
      </c>
      <c r="B14" t="s">
        <v>1359</v>
      </c>
      <c r="C14" s="121">
        <v>4422</v>
      </c>
      <c r="D14" s="72">
        <v>2</v>
      </c>
      <c r="E14">
        <v>456.88499999999999</v>
      </c>
      <c r="F14">
        <v>170</v>
      </c>
      <c r="G14">
        <v>92</v>
      </c>
      <c r="H14">
        <v>13</v>
      </c>
      <c r="I14" s="173">
        <v>1.04</v>
      </c>
      <c r="J14" s="121">
        <v>281306546</v>
      </c>
      <c r="K14" s="125">
        <v>2561.4989999999998</v>
      </c>
      <c r="L14" s="173">
        <v>1.5</v>
      </c>
      <c r="M14">
        <v>1.04</v>
      </c>
      <c r="N14">
        <v>1.000000005</v>
      </c>
      <c r="O14">
        <v>3.9999995000000066</v>
      </c>
      <c r="P14">
        <v>1715.127</v>
      </c>
      <c r="Q14" s="125">
        <v>0.41399999999999998</v>
      </c>
      <c r="R14" s="125">
        <v>0</v>
      </c>
      <c r="S14" s="125">
        <v>2.8780000000000001</v>
      </c>
      <c r="T14" s="125">
        <v>41.286999999999999</v>
      </c>
      <c r="U14" s="125">
        <v>5.86</v>
      </c>
      <c r="V14" s="125">
        <v>3.4020000000000001</v>
      </c>
      <c r="W14" s="125">
        <v>10.962999999999999</v>
      </c>
      <c r="X14" s="125">
        <v>0</v>
      </c>
      <c r="Y14" s="125">
        <v>0</v>
      </c>
      <c r="Z14" s="125">
        <v>0.85399999999999998</v>
      </c>
      <c r="AA14" s="125">
        <v>52.298000000000002</v>
      </c>
      <c r="AB14" s="125">
        <v>89.715999999999994</v>
      </c>
      <c r="AC14" s="125">
        <v>1645.1</v>
      </c>
      <c r="AD14" s="125">
        <v>0.38800000000000001</v>
      </c>
      <c r="AE14" s="125">
        <v>348.83800000000002</v>
      </c>
      <c r="AF14" s="125">
        <v>85.756</v>
      </c>
      <c r="AG14" s="125">
        <v>0</v>
      </c>
      <c r="AH14" s="125">
        <v>0</v>
      </c>
      <c r="AI14" s="121">
        <v>3035515</v>
      </c>
      <c r="AJ14" s="121">
        <v>1821</v>
      </c>
      <c r="AK14" s="424">
        <v>12</v>
      </c>
      <c r="AL14">
        <v>0</v>
      </c>
      <c r="AM14" s="121">
        <v>111485</v>
      </c>
      <c r="AN14" s="125">
        <v>0</v>
      </c>
      <c r="AO14" s="125">
        <v>0</v>
      </c>
      <c r="AP14" s="121">
        <v>3037336</v>
      </c>
      <c r="AQ14" s="114">
        <v>0</v>
      </c>
      <c r="AR14" s="121">
        <v>187.50754982000001</v>
      </c>
      <c r="AS14" s="121">
        <v>36845.822356999997</v>
      </c>
      <c r="AT14" s="121">
        <v>4852.5782817999998</v>
      </c>
      <c r="AU14" s="420" t="s">
        <v>2001</v>
      </c>
      <c r="AV14" s="420" t="s">
        <v>2001</v>
      </c>
      <c r="AW14" s="121">
        <v>0</v>
      </c>
      <c r="AX14" s="121">
        <v>0</v>
      </c>
      <c r="BI14">
        <v>0</v>
      </c>
      <c r="BJ14" s="121">
        <v>0</v>
      </c>
      <c r="BK14" s="134">
        <v>280785432</v>
      </c>
      <c r="BL14" s="934">
        <v>4328</v>
      </c>
      <c r="BM14" s="934">
        <v>4422</v>
      </c>
      <c r="BN14" s="934">
        <v>4422</v>
      </c>
      <c r="BO14" s="114">
        <v>0</v>
      </c>
      <c r="BP14" s="114">
        <v>0</v>
      </c>
    </row>
    <row r="15" spans="1:68">
      <c r="A15" t="s">
        <v>370</v>
      </c>
      <c r="B15" t="s">
        <v>1360</v>
      </c>
      <c r="C15" s="121">
        <v>4081</v>
      </c>
      <c r="D15" s="72">
        <v>3</v>
      </c>
      <c r="E15">
        <v>112.05</v>
      </c>
      <c r="F15">
        <v>43</v>
      </c>
      <c r="G15">
        <v>21</v>
      </c>
      <c r="H15">
        <v>8</v>
      </c>
      <c r="I15" s="173">
        <v>1.034</v>
      </c>
      <c r="J15" s="121">
        <v>68553598</v>
      </c>
      <c r="K15" s="125">
        <v>772.76700000000005</v>
      </c>
      <c r="L15" s="173">
        <v>1.4415</v>
      </c>
      <c r="M15">
        <v>1.034</v>
      </c>
      <c r="N15">
        <v>0.96100000480500003</v>
      </c>
      <c r="O15">
        <v>7.2999995195</v>
      </c>
      <c r="P15">
        <v>440.815</v>
      </c>
      <c r="Q15" s="125">
        <v>2.9000000000000001E-2</v>
      </c>
      <c r="R15" s="125">
        <v>0</v>
      </c>
      <c r="S15" s="125">
        <v>0.79700000000000004</v>
      </c>
      <c r="T15" s="125">
        <v>17.93</v>
      </c>
      <c r="U15" s="125">
        <v>3.7999999999999999E-2</v>
      </c>
      <c r="V15" s="125">
        <v>1.9159999999999999</v>
      </c>
      <c r="W15" s="125">
        <v>0.51100000000000001</v>
      </c>
      <c r="X15" s="125">
        <v>0</v>
      </c>
      <c r="Y15" s="125">
        <v>0</v>
      </c>
      <c r="Z15" s="125">
        <v>0</v>
      </c>
      <c r="AA15" s="125">
        <v>27.800999999999998</v>
      </c>
      <c r="AB15" s="125">
        <v>17.620999999999999</v>
      </c>
      <c r="AC15" s="125">
        <v>325.3</v>
      </c>
      <c r="AD15" s="125">
        <v>0</v>
      </c>
      <c r="AE15" s="125">
        <v>0</v>
      </c>
      <c r="AF15" s="125">
        <v>22.040749999999999</v>
      </c>
      <c r="AG15" s="125">
        <v>0</v>
      </c>
      <c r="AH15" s="125">
        <v>0</v>
      </c>
      <c r="AI15" s="121">
        <v>727380</v>
      </c>
      <c r="AJ15" s="121">
        <v>44151</v>
      </c>
      <c r="AK15" s="424">
        <v>12</v>
      </c>
      <c r="AL15">
        <v>0</v>
      </c>
      <c r="AM15" s="121">
        <v>62724</v>
      </c>
      <c r="AN15" s="125">
        <v>0</v>
      </c>
      <c r="AO15" s="125">
        <v>0</v>
      </c>
      <c r="AP15" s="121">
        <v>771531</v>
      </c>
      <c r="AQ15" s="114">
        <v>0</v>
      </c>
      <c r="AR15" s="121">
        <v>45.695051960999997</v>
      </c>
      <c r="AS15" s="121">
        <v>8979.2212034999993</v>
      </c>
      <c r="AT15" s="121">
        <v>1182.5594060000001</v>
      </c>
      <c r="AU15" s="420" t="s">
        <v>2001</v>
      </c>
      <c r="AV15" s="420" t="s">
        <v>2001</v>
      </c>
      <c r="AW15" s="121">
        <v>0</v>
      </c>
      <c r="AX15" s="121">
        <v>96218</v>
      </c>
      <c r="BI15">
        <v>0</v>
      </c>
      <c r="BJ15" s="121">
        <v>0</v>
      </c>
      <c r="BK15" s="134">
        <v>67673093</v>
      </c>
      <c r="BL15" s="934">
        <v>4068</v>
      </c>
      <c r="BM15" s="934">
        <v>4033</v>
      </c>
      <c r="BN15" s="934">
        <v>4081</v>
      </c>
      <c r="BO15" s="114">
        <v>0</v>
      </c>
      <c r="BP15" s="114">
        <v>0</v>
      </c>
    </row>
    <row r="16" spans="1:68">
      <c r="A16" t="s">
        <v>371</v>
      </c>
      <c r="B16" t="s">
        <v>1361</v>
      </c>
      <c r="C16" s="121">
        <v>4550</v>
      </c>
      <c r="D16" s="72">
        <v>1</v>
      </c>
      <c r="E16">
        <v>456.899</v>
      </c>
      <c r="F16">
        <v>129</v>
      </c>
      <c r="G16">
        <v>74</v>
      </c>
      <c r="H16">
        <v>14</v>
      </c>
      <c r="I16" s="173">
        <v>1.04</v>
      </c>
      <c r="J16" s="121">
        <v>177628049</v>
      </c>
      <c r="K16" s="125">
        <v>2322.5659999999998</v>
      </c>
      <c r="L16" s="173">
        <v>1.5</v>
      </c>
      <c r="M16">
        <v>1.04</v>
      </c>
      <c r="N16">
        <v>1.000000005</v>
      </c>
      <c r="O16">
        <v>3.9999995000000066</v>
      </c>
      <c r="P16">
        <v>1573.37</v>
      </c>
      <c r="Q16" s="125">
        <v>9.4E-2</v>
      </c>
      <c r="R16" s="125">
        <v>0</v>
      </c>
      <c r="S16" s="125">
        <v>1.7689999999999999</v>
      </c>
      <c r="T16" s="125">
        <v>59.152999999999999</v>
      </c>
      <c r="U16" s="125">
        <v>12.414</v>
      </c>
      <c r="V16" s="125">
        <v>6.9000000000000006E-2</v>
      </c>
      <c r="W16" s="125">
        <v>11.988</v>
      </c>
      <c r="X16" s="125">
        <v>0</v>
      </c>
      <c r="Y16" s="125">
        <v>0</v>
      </c>
      <c r="Z16" s="125">
        <v>0.72799999999999998</v>
      </c>
      <c r="AA16" s="125">
        <v>113.539</v>
      </c>
      <c r="AB16" s="125">
        <v>110.658</v>
      </c>
      <c r="AC16" s="125">
        <v>894.4</v>
      </c>
      <c r="AD16" s="125">
        <v>0.56299999999999994</v>
      </c>
      <c r="AE16" s="125">
        <v>47.003999999999998</v>
      </c>
      <c r="AF16" s="125">
        <v>78.668499999999995</v>
      </c>
      <c r="AG16" s="125">
        <v>0</v>
      </c>
      <c r="AH16" s="125">
        <v>0</v>
      </c>
      <c r="AI16" s="121">
        <v>1920301</v>
      </c>
      <c r="AJ16" s="121">
        <v>0</v>
      </c>
      <c r="AK16" s="424">
        <v>12</v>
      </c>
      <c r="AL16">
        <v>0</v>
      </c>
      <c r="AM16" s="121">
        <v>168215</v>
      </c>
      <c r="AN16" s="125">
        <v>0</v>
      </c>
      <c r="AO16" s="125">
        <v>0</v>
      </c>
      <c r="AP16" s="121">
        <v>1920301</v>
      </c>
      <c r="AQ16" s="114">
        <v>0</v>
      </c>
      <c r="AR16" s="121">
        <v>118.39966311000001</v>
      </c>
      <c r="AS16" s="121">
        <v>23265.905602999999</v>
      </c>
      <c r="AT16" s="121">
        <v>3064.1093350000001</v>
      </c>
      <c r="AU16" s="420" t="s">
        <v>2001</v>
      </c>
      <c r="AV16" s="420" t="s">
        <v>2001</v>
      </c>
      <c r="AW16" s="121">
        <v>0</v>
      </c>
      <c r="AX16" s="121">
        <v>0</v>
      </c>
      <c r="BI16">
        <v>0</v>
      </c>
      <c r="BJ16" s="121">
        <v>0</v>
      </c>
      <c r="BK16" s="134">
        <v>177628049</v>
      </c>
      <c r="BL16" s="934">
        <v>4550</v>
      </c>
      <c r="BM16" s="934">
        <v>4486</v>
      </c>
      <c r="BN16" s="934">
        <v>4486</v>
      </c>
      <c r="BO16" s="114">
        <v>0</v>
      </c>
      <c r="BP16" s="114">
        <v>0</v>
      </c>
    </row>
    <row r="17" spans="1:68">
      <c r="A17" t="s">
        <v>2839</v>
      </c>
      <c r="B17" t="s">
        <v>1362</v>
      </c>
      <c r="C17" s="121">
        <v>6090</v>
      </c>
      <c r="D17" s="72">
        <v>2</v>
      </c>
      <c r="E17">
        <v>886.09799999999996</v>
      </c>
      <c r="F17">
        <v>259</v>
      </c>
      <c r="G17">
        <v>247</v>
      </c>
      <c r="H17">
        <v>2</v>
      </c>
      <c r="I17" s="173">
        <v>1.04</v>
      </c>
      <c r="J17" s="121">
        <v>2266738831</v>
      </c>
      <c r="K17" s="125">
        <v>4083.9659999999999</v>
      </c>
      <c r="L17" s="173">
        <v>1.462</v>
      </c>
      <c r="M17">
        <v>1.04</v>
      </c>
      <c r="N17">
        <v>0.97466667153999997</v>
      </c>
      <c r="O17">
        <v>6.5333328460000057</v>
      </c>
      <c r="P17">
        <v>3053.181</v>
      </c>
      <c r="Q17" s="125">
        <v>0.105</v>
      </c>
      <c r="R17" s="125">
        <v>0</v>
      </c>
      <c r="S17" s="125">
        <v>3.9</v>
      </c>
      <c r="T17" s="125">
        <v>81</v>
      </c>
      <c r="U17" s="125">
        <v>27.678000000000001</v>
      </c>
      <c r="V17" s="125">
        <v>0</v>
      </c>
      <c r="W17" s="125">
        <v>0</v>
      </c>
      <c r="X17" s="125">
        <v>0</v>
      </c>
      <c r="Y17" s="125">
        <v>0.97799999999999998</v>
      </c>
      <c r="Z17" s="125">
        <v>0</v>
      </c>
      <c r="AA17" s="125">
        <v>141</v>
      </c>
      <c r="AB17" s="125">
        <v>122</v>
      </c>
      <c r="AC17" s="125">
        <v>2066</v>
      </c>
      <c r="AD17" s="125">
        <v>1.3</v>
      </c>
      <c r="AE17" s="125">
        <v>100</v>
      </c>
      <c r="AF17" s="125">
        <v>152.65899999999999</v>
      </c>
      <c r="AG17" s="125">
        <v>0</v>
      </c>
      <c r="AH17" s="125">
        <v>0</v>
      </c>
      <c r="AI17" s="121">
        <v>24752788</v>
      </c>
      <c r="AJ17" s="121">
        <v>1206244</v>
      </c>
      <c r="AK17" s="424">
        <v>12</v>
      </c>
      <c r="AL17">
        <v>0</v>
      </c>
      <c r="AM17" s="121">
        <v>388746</v>
      </c>
      <c r="AN17" s="125">
        <v>0</v>
      </c>
      <c r="AO17" s="125">
        <v>0</v>
      </c>
      <c r="AP17" s="121">
        <v>25959032</v>
      </c>
      <c r="AQ17" s="114">
        <v>0</v>
      </c>
      <c r="AR17" s="121">
        <v>0</v>
      </c>
      <c r="AS17" s="121">
        <v>0</v>
      </c>
      <c r="AT17" s="121">
        <v>0</v>
      </c>
      <c r="AU17" s="420" t="s">
        <v>798</v>
      </c>
      <c r="AV17" s="420" t="s">
        <v>2001</v>
      </c>
      <c r="AW17" s="121">
        <v>0</v>
      </c>
      <c r="AX17" s="121">
        <v>1108650</v>
      </c>
      <c r="AY17" s="134">
        <v>3746173</v>
      </c>
      <c r="AZ17" s="134">
        <v>8198175</v>
      </c>
      <c r="BA17" s="134">
        <v>3498</v>
      </c>
      <c r="BB17" s="134">
        <v>685116099</v>
      </c>
      <c r="BC17" s="114">
        <v>0</v>
      </c>
      <c r="BD17" s="114">
        <v>0</v>
      </c>
      <c r="BE17" s="114">
        <v>0</v>
      </c>
      <c r="BF17" s="134">
        <v>3155</v>
      </c>
      <c r="BG17" s="114">
        <v>0</v>
      </c>
      <c r="BH17" s="114">
        <v>0</v>
      </c>
      <c r="BI17">
        <v>0</v>
      </c>
      <c r="BJ17" s="121">
        <v>0</v>
      </c>
      <c r="BK17" s="134">
        <v>2266738831</v>
      </c>
      <c r="BL17" s="934">
        <v>5456</v>
      </c>
      <c r="BM17" s="934">
        <v>6090</v>
      </c>
      <c r="BN17" s="934">
        <v>6084</v>
      </c>
      <c r="BO17" s="114">
        <v>0</v>
      </c>
      <c r="BP17" s="114">
        <v>0</v>
      </c>
    </row>
    <row r="18" spans="1:68">
      <c r="A18" t="s">
        <v>2840</v>
      </c>
      <c r="B18" t="s">
        <v>1363</v>
      </c>
      <c r="C18" s="121">
        <v>4972</v>
      </c>
      <c r="D18" s="72">
        <v>2</v>
      </c>
      <c r="E18">
        <v>143.76599999999999</v>
      </c>
      <c r="F18">
        <v>48</v>
      </c>
      <c r="G18">
        <v>30</v>
      </c>
      <c r="H18">
        <v>2</v>
      </c>
      <c r="I18" s="173">
        <v>0.94</v>
      </c>
      <c r="J18" s="121">
        <v>172620749</v>
      </c>
      <c r="K18" s="125">
        <v>904.779</v>
      </c>
      <c r="L18" s="173">
        <v>1.35</v>
      </c>
      <c r="M18">
        <v>0.94</v>
      </c>
      <c r="N18">
        <v>0.90000000450000006</v>
      </c>
      <c r="O18">
        <v>3.9999995499999885</v>
      </c>
      <c r="P18">
        <v>490</v>
      </c>
      <c r="Q18" s="125">
        <v>0.01</v>
      </c>
      <c r="R18" s="125">
        <v>0</v>
      </c>
      <c r="S18" s="125">
        <v>0.7</v>
      </c>
      <c r="T18" s="125">
        <v>20</v>
      </c>
      <c r="U18" s="125">
        <v>5</v>
      </c>
      <c r="V18" s="125">
        <v>0</v>
      </c>
      <c r="W18" s="125">
        <v>2.5</v>
      </c>
      <c r="X18" s="125">
        <v>0</v>
      </c>
      <c r="Y18" s="125">
        <v>0</v>
      </c>
      <c r="Z18" s="125">
        <v>0</v>
      </c>
      <c r="AA18" s="125">
        <v>8</v>
      </c>
      <c r="AB18" s="125">
        <v>24.33</v>
      </c>
      <c r="AC18" s="125">
        <v>176.3</v>
      </c>
      <c r="AD18" s="125">
        <v>0.35899999999999999</v>
      </c>
      <c r="AE18" s="125">
        <v>2.347</v>
      </c>
      <c r="AF18" s="125">
        <v>23.7</v>
      </c>
      <c r="AG18" s="125">
        <v>0</v>
      </c>
      <c r="AH18" s="125">
        <v>0</v>
      </c>
      <c r="AI18" s="121">
        <v>1669691</v>
      </c>
      <c r="AJ18" s="121">
        <v>121664</v>
      </c>
      <c r="AK18" s="424">
        <v>12</v>
      </c>
      <c r="AL18">
        <v>0</v>
      </c>
      <c r="AM18" s="121">
        <v>48470</v>
      </c>
      <c r="AN18" s="125">
        <v>0</v>
      </c>
      <c r="AO18" s="125">
        <v>0</v>
      </c>
      <c r="AP18" s="121">
        <v>1791355</v>
      </c>
      <c r="AQ18" s="114">
        <v>0</v>
      </c>
      <c r="AR18" s="121">
        <v>115.06199974</v>
      </c>
      <c r="AS18" s="121">
        <v>22610.044269999999</v>
      </c>
      <c r="AT18" s="121">
        <v>2977.7326914</v>
      </c>
      <c r="AU18" s="420" t="s">
        <v>2001</v>
      </c>
      <c r="AV18" s="420" t="s">
        <v>2001</v>
      </c>
      <c r="AW18" s="121">
        <v>0</v>
      </c>
      <c r="AX18" s="121">
        <v>135007</v>
      </c>
      <c r="BI18">
        <v>0</v>
      </c>
      <c r="BJ18" s="121">
        <v>0</v>
      </c>
      <c r="BK18" s="134">
        <v>172620749</v>
      </c>
      <c r="BL18" s="934">
        <v>4370</v>
      </c>
      <c r="BM18" s="934">
        <v>4972</v>
      </c>
      <c r="BN18" s="934">
        <v>4622</v>
      </c>
      <c r="BO18" s="114">
        <v>0</v>
      </c>
      <c r="BP18" s="114">
        <v>0</v>
      </c>
    </row>
    <row r="19" spans="1:68">
      <c r="A19" t="s">
        <v>2841</v>
      </c>
      <c r="B19" t="s">
        <v>1364</v>
      </c>
      <c r="C19" s="121">
        <v>4847</v>
      </c>
      <c r="D19" s="72">
        <v>2</v>
      </c>
      <c r="E19">
        <v>252.70099999999999</v>
      </c>
      <c r="F19">
        <v>69</v>
      </c>
      <c r="G19">
        <v>38</v>
      </c>
      <c r="H19">
        <v>7</v>
      </c>
      <c r="I19" s="173">
        <v>1.04</v>
      </c>
      <c r="J19" s="121">
        <v>208170568</v>
      </c>
      <c r="K19" s="125">
        <v>1229.8689999999999</v>
      </c>
      <c r="L19" s="173">
        <v>1.5</v>
      </c>
      <c r="M19">
        <v>1.04</v>
      </c>
      <c r="N19">
        <v>1.000000005</v>
      </c>
      <c r="O19">
        <v>3.9999995000000066</v>
      </c>
      <c r="P19">
        <v>870</v>
      </c>
      <c r="Q19" s="125">
        <v>0</v>
      </c>
      <c r="R19" s="125">
        <v>0</v>
      </c>
      <c r="S19" s="125">
        <v>0.82899999999999996</v>
      </c>
      <c r="T19" s="125">
        <v>18.841999999999999</v>
      </c>
      <c r="U19" s="125">
        <v>1.8240000000000001</v>
      </c>
      <c r="V19" s="125">
        <v>0</v>
      </c>
      <c r="W19" s="125">
        <v>0</v>
      </c>
      <c r="X19" s="125">
        <v>0</v>
      </c>
      <c r="Y19" s="125">
        <v>0</v>
      </c>
      <c r="Z19" s="125">
        <v>1.0609999999999999</v>
      </c>
      <c r="AA19" s="125">
        <v>12.62</v>
      </c>
      <c r="AB19" s="125">
        <v>50.566000000000003</v>
      </c>
      <c r="AC19" s="125">
        <v>259</v>
      </c>
      <c r="AD19" s="125">
        <v>0</v>
      </c>
      <c r="AE19" s="125">
        <v>0</v>
      </c>
      <c r="AF19" s="125">
        <v>43.5</v>
      </c>
      <c r="AG19" s="125">
        <v>0</v>
      </c>
      <c r="AH19" s="125">
        <v>0</v>
      </c>
      <c r="AI19" s="121">
        <v>2250490</v>
      </c>
      <c r="AJ19" s="121">
        <v>421871</v>
      </c>
      <c r="AK19" s="424">
        <v>12</v>
      </c>
      <c r="AL19">
        <v>0</v>
      </c>
      <c r="AM19" s="121">
        <v>80176</v>
      </c>
      <c r="AN19" s="125">
        <v>0</v>
      </c>
      <c r="AO19" s="125">
        <v>0</v>
      </c>
      <c r="AP19" s="121">
        <v>2672361</v>
      </c>
      <c r="AQ19" s="114">
        <v>0</v>
      </c>
      <c r="AR19" s="121">
        <v>138.75806922999999</v>
      </c>
      <c r="AS19" s="121">
        <v>27266.396336000002</v>
      </c>
      <c r="AT19" s="121">
        <v>3590.9721706</v>
      </c>
      <c r="AU19" s="420" t="s">
        <v>2001</v>
      </c>
      <c r="AV19" s="420" t="s">
        <v>2001</v>
      </c>
      <c r="AW19" s="121">
        <v>0</v>
      </c>
      <c r="AX19" s="121">
        <v>410138</v>
      </c>
      <c r="BI19">
        <v>0</v>
      </c>
      <c r="BJ19" s="121">
        <v>0</v>
      </c>
      <c r="BK19" s="134">
        <v>208170568</v>
      </c>
      <c r="BL19" s="934">
        <v>4646</v>
      </c>
      <c r="BM19" s="934">
        <v>4847</v>
      </c>
      <c r="BN19" s="934">
        <v>4796</v>
      </c>
      <c r="BO19" s="114">
        <v>0</v>
      </c>
      <c r="BP19" s="114">
        <v>0</v>
      </c>
    </row>
    <row r="20" spans="1:68">
      <c r="A20" t="s">
        <v>2219</v>
      </c>
      <c r="B20" t="s">
        <v>1289</v>
      </c>
      <c r="C20" s="121">
        <v>4729</v>
      </c>
      <c r="D20" s="72">
        <v>2</v>
      </c>
      <c r="E20">
        <v>140.65100000000001</v>
      </c>
      <c r="F20">
        <v>40</v>
      </c>
      <c r="G20">
        <v>20</v>
      </c>
      <c r="H20">
        <v>9</v>
      </c>
      <c r="I20" s="173">
        <v>1.04</v>
      </c>
      <c r="J20" s="121">
        <v>55031429</v>
      </c>
      <c r="K20" s="125">
        <v>809.89800000000002</v>
      </c>
      <c r="L20" s="173">
        <v>1.5</v>
      </c>
      <c r="M20">
        <v>1.04</v>
      </c>
      <c r="N20">
        <v>1.000000005</v>
      </c>
      <c r="O20">
        <v>3.9999995000000066</v>
      </c>
      <c r="P20">
        <v>515</v>
      </c>
      <c r="Q20" s="125">
        <v>0</v>
      </c>
      <c r="R20" s="125">
        <v>0</v>
      </c>
      <c r="S20" s="125">
        <v>0.56000000000000005</v>
      </c>
      <c r="T20" s="125">
        <v>11.5</v>
      </c>
      <c r="U20" s="125">
        <v>1</v>
      </c>
      <c r="V20" s="125">
        <v>0</v>
      </c>
      <c r="W20" s="125">
        <v>1.9</v>
      </c>
      <c r="X20" s="125">
        <v>0</v>
      </c>
      <c r="Y20" s="125">
        <v>0</v>
      </c>
      <c r="Z20" s="125">
        <v>0</v>
      </c>
      <c r="AA20" s="125">
        <v>9.4</v>
      </c>
      <c r="AB20" s="125">
        <v>25</v>
      </c>
      <c r="AC20" s="125">
        <v>230</v>
      </c>
      <c r="AD20" s="125">
        <v>0</v>
      </c>
      <c r="AE20" s="125">
        <v>60</v>
      </c>
      <c r="AF20" s="125">
        <v>25.75</v>
      </c>
      <c r="AG20" s="125">
        <v>0</v>
      </c>
      <c r="AH20" s="125">
        <v>0</v>
      </c>
      <c r="AI20" s="121">
        <v>588924</v>
      </c>
      <c r="AJ20" s="121">
        <v>53926</v>
      </c>
      <c r="AK20" s="424">
        <v>12</v>
      </c>
      <c r="AL20">
        <v>0</v>
      </c>
      <c r="AM20" s="121">
        <v>50877</v>
      </c>
      <c r="AN20" s="125">
        <v>0</v>
      </c>
      <c r="AO20" s="125">
        <v>0</v>
      </c>
      <c r="AP20" s="121">
        <v>642850</v>
      </c>
      <c r="AQ20" s="114">
        <v>0</v>
      </c>
      <c r="AR20" s="121">
        <v>36.681721668999998</v>
      </c>
      <c r="AS20" s="121">
        <v>7208.0734971000002</v>
      </c>
      <c r="AT20" s="121">
        <v>949.30004728999995</v>
      </c>
      <c r="AU20" s="420" t="s">
        <v>2001</v>
      </c>
      <c r="AV20" s="420" t="s">
        <v>2001</v>
      </c>
      <c r="AW20" s="121">
        <v>0</v>
      </c>
      <c r="AX20" s="121">
        <v>167855</v>
      </c>
      <c r="BI20">
        <v>0</v>
      </c>
      <c r="BJ20" s="121">
        <v>0</v>
      </c>
      <c r="BK20" s="134">
        <v>55031429</v>
      </c>
      <c r="BL20" s="934">
        <v>4662</v>
      </c>
      <c r="BM20" s="934">
        <v>4729</v>
      </c>
      <c r="BN20" s="934">
        <v>4729</v>
      </c>
      <c r="BO20" s="114">
        <v>0</v>
      </c>
      <c r="BP20" s="114">
        <v>0</v>
      </c>
    </row>
    <row r="21" spans="1:68">
      <c r="A21" t="s">
        <v>2843</v>
      </c>
      <c r="B21" t="s">
        <v>1365</v>
      </c>
      <c r="C21" s="121">
        <v>4769</v>
      </c>
      <c r="D21" s="72">
        <v>3</v>
      </c>
      <c r="E21">
        <v>102.313</v>
      </c>
      <c r="F21">
        <v>41</v>
      </c>
      <c r="G21">
        <v>22</v>
      </c>
      <c r="H21">
        <v>4</v>
      </c>
      <c r="I21" s="173">
        <v>1.01</v>
      </c>
      <c r="J21" s="121">
        <v>99134965</v>
      </c>
      <c r="K21" s="125">
        <v>661.57600000000002</v>
      </c>
      <c r="L21" s="173">
        <v>1.36</v>
      </c>
      <c r="M21">
        <v>1.01</v>
      </c>
      <c r="N21">
        <v>0.90666667120000011</v>
      </c>
      <c r="O21">
        <v>10.33333287999999</v>
      </c>
      <c r="P21">
        <v>344.14800000000002</v>
      </c>
      <c r="Q21" s="125">
        <v>0</v>
      </c>
      <c r="R21" s="125">
        <v>0</v>
      </c>
      <c r="S21" s="125">
        <v>0.70399999999999996</v>
      </c>
      <c r="T21" s="125">
        <v>8.8460000000000001</v>
      </c>
      <c r="U21" s="125">
        <v>1.0569999999999999</v>
      </c>
      <c r="V21" s="125">
        <v>0</v>
      </c>
      <c r="W21" s="125">
        <v>0</v>
      </c>
      <c r="X21" s="125">
        <v>0</v>
      </c>
      <c r="Y21" s="125">
        <v>0</v>
      </c>
      <c r="Z21" s="125">
        <v>2.5999999999999999E-2</v>
      </c>
      <c r="AA21" s="125">
        <v>12.045</v>
      </c>
      <c r="AB21" s="125">
        <v>15.595000000000001</v>
      </c>
      <c r="AC21" s="125">
        <v>207</v>
      </c>
      <c r="AD21" s="125">
        <v>0</v>
      </c>
      <c r="AE21" s="125">
        <v>6.6980000000000004</v>
      </c>
      <c r="AF21" s="125">
        <v>17.207000000000001</v>
      </c>
      <c r="AG21" s="125">
        <v>0</v>
      </c>
      <c r="AH21" s="125">
        <v>0</v>
      </c>
      <c r="AI21" s="121">
        <v>901570</v>
      </c>
      <c r="AJ21" s="121">
        <v>143053</v>
      </c>
      <c r="AK21" s="424">
        <v>12</v>
      </c>
      <c r="AL21">
        <v>0</v>
      </c>
      <c r="AM21" s="121">
        <v>79763</v>
      </c>
      <c r="AN21" s="125">
        <v>0</v>
      </c>
      <c r="AO21" s="125">
        <v>0</v>
      </c>
      <c r="AP21" s="121">
        <v>1044623</v>
      </c>
      <c r="AQ21" s="114">
        <v>0</v>
      </c>
      <c r="AR21" s="121">
        <v>66.079352469</v>
      </c>
      <c r="AS21" s="121">
        <v>12984.800265</v>
      </c>
      <c r="AT21" s="121">
        <v>1710.0923722</v>
      </c>
      <c r="AU21" s="420" t="s">
        <v>2001</v>
      </c>
      <c r="AV21" s="420" t="s">
        <v>2001</v>
      </c>
      <c r="AW21" s="121">
        <v>0</v>
      </c>
      <c r="AX21" s="121">
        <v>174491</v>
      </c>
      <c r="BI21">
        <v>0</v>
      </c>
      <c r="BJ21" s="121">
        <v>0</v>
      </c>
      <c r="BK21" s="134">
        <v>99134965</v>
      </c>
      <c r="BL21" s="934">
        <v>4661</v>
      </c>
      <c r="BM21" s="934">
        <v>4715</v>
      </c>
      <c r="BN21" s="934">
        <v>4769</v>
      </c>
      <c r="BO21" s="114">
        <v>0</v>
      </c>
      <c r="BP21" s="114">
        <v>0</v>
      </c>
    </row>
    <row r="22" spans="1:68">
      <c r="A22" t="s">
        <v>806</v>
      </c>
      <c r="B22" t="s">
        <v>736</v>
      </c>
      <c r="C22" s="121">
        <v>4587</v>
      </c>
      <c r="D22" s="72">
        <v>3</v>
      </c>
      <c r="E22">
        <v>128.86199999999999</v>
      </c>
      <c r="F22">
        <v>45</v>
      </c>
      <c r="G22">
        <v>34</v>
      </c>
      <c r="H22">
        <v>1</v>
      </c>
      <c r="I22" s="173">
        <v>1.04</v>
      </c>
      <c r="J22" s="121">
        <v>85142228</v>
      </c>
      <c r="K22" s="125">
        <v>866.47799999999995</v>
      </c>
      <c r="L22" s="173">
        <v>1.39</v>
      </c>
      <c r="M22">
        <v>1.04</v>
      </c>
      <c r="N22">
        <v>0.92666667129999991</v>
      </c>
      <c r="O22">
        <v>11.333332870000012</v>
      </c>
      <c r="P22">
        <v>502.08800000000002</v>
      </c>
      <c r="Q22" s="125">
        <v>0.02</v>
      </c>
      <c r="R22" s="125">
        <v>0</v>
      </c>
      <c r="S22" s="125">
        <v>0.63200000000000001</v>
      </c>
      <c r="T22" s="125">
        <v>20.295000000000002</v>
      </c>
      <c r="U22" s="125">
        <v>0</v>
      </c>
      <c r="V22" s="125">
        <v>0</v>
      </c>
      <c r="W22" s="125">
        <v>2.4969999999999999</v>
      </c>
      <c r="X22" s="125">
        <v>0</v>
      </c>
      <c r="Y22" s="125">
        <v>0</v>
      </c>
      <c r="Z22" s="125">
        <v>0</v>
      </c>
      <c r="AA22" s="125">
        <v>0</v>
      </c>
      <c r="AB22" s="125">
        <v>25.881</v>
      </c>
      <c r="AC22" s="125">
        <v>450</v>
      </c>
      <c r="AD22" s="125">
        <v>0.67900000000000005</v>
      </c>
      <c r="AE22" s="125">
        <v>25.757000000000001</v>
      </c>
      <c r="AF22" s="125">
        <v>25.103999999999999</v>
      </c>
      <c r="AG22" s="125">
        <v>0</v>
      </c>
      <c r="AH22" s="125">
        <v>0</v>
      </c>
      <c r="AI22" s="121">
        <v>911158</v>
      </c>
      <c r="AJ22" s="121">
        <v>83883</v>
      </c>
      <c r="AK22" s="424">
        <v>12</v>
      </c>
      <c r="AL22">
        <v>0</v>
      </c>
      <c r="AM22" s="121">
        <v>34338</v>
      </c>
      <c r="AN22" s="125">
        <v>0</v>
      </c>
      <c r="AO22" s="125">
        <v>0</v>
      </c>
      <c r="AP22" s="121">
        <v>995041</v>
      </c>
      <c r="AQ22" s="114">
        <v>0</v>
      </c>
      <c r="AR22" s="121">
        <v>56.752360723999999</v>
      </c>
      <c r="AS22" s="121">
        <v>11152.017098</v>
      </c>
      <c r="AT22" s="121">
        <v>1468.715651</v>
      </c>
      <c r="AU22" s="420" t="s">
        <v>2001</v>
      </c>
      <c r="AV22" s="420" t="s">
        <v>2001</v>
      </c>
      <c r="AW22" s="121">
        <v>0</v>
      </c>
      <c r="AX22" s="121">
        <v>226871</v>
      </c>
      <c r="BI22">
        <v>0</v>
      </c>
      <c r="BJ22" s="121">
        <v>0</v>
      </c>
      <c r="BK22" s="134">
        <v>85142228</v>
      </c>
      <c r="BL22" s="934">
        <v>4560</v>
      </c>
      <c r="BM22" s="934">
        <v>4495</v>
      </c>
      <c r="BN22" s="934">
        <v>4587</v>
      </c>
      <c r="BO22" s="114">
        <v>0</v>
      </c>
      <c r="BP22" s="114">
        <v>0</v>
      </c>
    </row>
    <row r="23" spans="1:68">
      <c r="A23" t="s">
        <v>2844</v>
      </c>
      <c r="B23" t="s">
        <v>1366</v>
      </c>
      <c r="C23" s="121">
        <v>4915</v>
      </c>
      <c r="D23" s="72">
        <v>2</v>
      </c>
      <c r="E23">
        <v>339.54599999999999</v>
      </c>
      <c r="F23">
        <v>102</v>
      </c>
      <c r="G23">
        <v>79</v>
      </c>
      <c r="H23">
        <v>0</v>
      </c>
      <c r="I23" s="173">
        <v>1.17</v>
      </c>
      <c r="J23" s="121">
        <v>396055658</v>
      </c>
      <c r="K23" s="125">
        <v>1782.992</v>
      </c>
      <c r="L23" s="173">
        <v>1.5</v>
      </c>
      <c r="M23">
        <v>1.17</v>
      </c>
      <c r="N23">
        <v>1.000000005</v>
      </c>
      <c r="O23">
        <v>16.999999499999994</v>
      </c>
      <c r="P23">
        <v>1200.952</v>
      </c>
      <c r="Q23" s="125">
        <v>0.186</v>
      </c>
      <c r="R23" s="125">
        <v>0</v>
      </c>
      <c r="S23" s="125">
        <v>1.214</v>
      </c>
      <c r="T23" s="125">
        <v>40.984000000000002</v>
      </c>
      <c r="U23" s="125">
        <v>5.0679999999999996</v>
      </c>
      <c r="V23" s="125">
        <v>0</v>
      </c>
      <c r="W23" s="125">
        <v>4.9219999999999997</v>
      </c>
      <c r="X23" s="125">
        <v>0</v>
      </c>
      <c r="Y23" s="125">
        <v>0</v>
      </c>
      <c r="Z23" s="125">
        <v>0</v>
      </c>
      <c r="AA23" s="125">
        <v>4.3540000000000001</v>
      </c>
      <c r="AB23" s="125">
        <v>74.605000000000004</v>
      </c>
      <c r="AC23" s="125">
        <v>950.2</v>
      </c>
      <c r="AD23" s="125">
        <v>0.49299999999999999</v>
      </c>
      <c r="AE23" s="125">
        <v>33.122999999999998</v>
      </c>
      <c r="AF23" s="125">
        <v>60.047600000000003</v>
      </c>
      <c r="AG23" s="125">
        <v>0</v>
      </c>
      <c r="AH23" s="125">
        <v>0</v>
      </c>
      <c r="AI23" s="121">
        <v>4809012</v>
      </c>
      <c r="AJ23" s="121">
        <v>0</v>
      </c>
      <c r="AK23" s="424">
        <v>12</v>
      </c>
      <c r="AL23">
        <v>0</v>
      </c>
      <c r="AM23" s="121">
        <v>122900</v>
      </c>
      <c r="AN23" s="125">
        <v>0</v>
      </c>
      <c r="AO23" s="125">
        <v>0</v>
      </c>
      <c r="AP23" s="121">
        <v>4809012</v>
      </c>
      <c r="AQ23" s="114">
        <v>0</v>
      </c>
      <c r="AR23" s="121">
        <v>263.99466036000001</v>
      </c>
      <c r="AS23" s="121">
        <v>51875.779766</v>
      </c>
      <c r="AT23" s="121">
        <v>6832.0169328000002</v>
      </c>
      <c r="AU23" s="420" t="s">
        <v>2001</v>
      </c>
      <c r="AV23" s="420" t="s">
        <v>2001</v>
      </c>
      <c r="AW23" s="121">
        <v>0</v>
      </c>
      <c r="AX23" s="121">
        <v>0</v>
      </c>
      <c r="BI23">
        <v>0</v>
      </c>
      <c r="BJ23" s="121">
        <v>0</v>
      </c>
      <c r="BK23" s="134">
        <v>395408009</v>
      </c>
      <c r="BL23" s="934">
        <v>4566</v>
      </c>
      <c r="BM23" s="934">
        <v>4915</v>
      </c>
      <c r="BN23" s="934">
        <v>4555</v>
      </c>
      <c r="BO23" s="114">
        <v>0</v>
      </c>
      <c r="BP23" s="114">
        <v>0</v>
      </c>
    </row>
    <row r="24" spans="1:68">
      <c r="A24" t="s">
        <v>2388</v>
      </c>
      <c r="B24" t="s">
        <v>1367</v>
      </c>
      <c r="C24" s="121">
        <v>4627</v>
      </c>
      <c r="D24" s="72">
        <v>2</v>
      </c>
      <c r="E24">
        <v>451.36500000000001</v>
      </c>
      <c r="F24">
        <v>143</v>
      </c>
      <c r="G24">
        <v>100</v>
      </c>
      <c r="H24">
        <v>10</v>
      </c>
      <c r="I24" s="173">
        <v>1.04</v>
      </c>
      <c r="J24" s="121">
        <v>181357613</v>
      </c>
      <c r="K24" s="125">
        <v>2153.4949999999999</v>
      </c>
      <c r="L24" s="173">
        <v>1.5</v>
      </c>
      <c r="M24">
        <v>1.04</v>
      </c>
      <c r="N24">
        <v>1.000000005</v>
      </c>
      <c r="O24">
        <v>3.9999995000000066</v>
      </c>
      <c r="P24">
        <v>1530</v>
      </c>
      <c r="Q24" s="125">
        <v>2.9000000000000001E-2</v>
      </c>
      <c r="R24" s="125">
        <v>0</v>
      </c>
      <c r="S24" s="125">
        <v>1.714</v>
      </c>
      <c r="T24" s="125">
        <v>32.926000000000002</v>
      </c>
      <c r="U24" s="125">
        <v>4.8739999999999997</v>
      </c>
      <c r="V24" s="125">
        <v>1.113</v>
      </c>
      <c r="W24" s="125">
        <v>1.534</v>
      </c>
      <c r="X24" s="125">
        <v>0</v>
      </c>
      <c r="Y24" s="125">
        <v>0</v>
      </c>
      <c r="Z24" s="125">
        <v>0</v>
      </c>
      <c r="AA24" s="125">
        <v>28</v>
      </c>
      <c r="AB24" s="125">
        <v>98</v>
      </c>
      <c r="AC24" s="125">
        <v>1115</v>
      </c>
      <c r="AD24" s="125">
        <v>0.84599999999999997</v>
      </c>
      <c r="AE24" s="125">
        <v>115</v>
      </c>
      <c r="AF24" s="125">
        <v>76.5</v>
      </c>
      <c r="AG24" s="125">
        <v>0</v>
      </c>
      <c r="AH24" s="125">
        <v>0</v>
      </c>
      <c r="AI24" s="121">
        <v>1940817</v>
      </c>
      <c r="AJ24" s="121">
        <v>353305</v>
      </c>
      <c r="AK24" s="424">
        <v>12</v>
      </c>
      <c r="AL24">
        <v>0</v>
      </c>
      <c r="AM24" s="121">
        <v>141427</v>
      </c>
      <c r="AN24" s="125">
        <v>0</v>
      </c>
      <c r="AO24" s="125">
        <v>0</v>
      </c>
      <c r="AP24" s="121">
        <v>2294122</v>
      </c>
      <c r="AQ24" s="114">
        <v>0</v>
      </c>
      <c r="AR24" s="121">
        <v>120.88563942</v>
      </c>
      <c r="AS24" s="121">
        <v>23754.407754</v>
      </c>
      <c r="AT24" s="121">
        <v>3128.4448492000001</v>
      </c>
      <c r="AU24" s="420" t="s">
        <v>2001</v>
      </c>
      <c r="AV24" s="420" t="s">
        <v>2001</v>
      </c>
      <c r="AW24" s="121">
        <v>0</v>
      </c>
      <c r="AX24" s="121">
        <v>1115409</v>
      </c>
      <c r="BI24">
        <v>0</v>
      </c>
      <c r="BJ24" s="121">
        <v>0</v>
      </c>
      <c r="BK24" s="134">
        <v>181357613</v>
      </c>
      <c r="BL24" s="934">
        <v>4589</v>
      </c>
      <c r="BM24" s="934">
        <v>4627</v>
      </c>
      <c r="BN24" s="934">
        <v>4627</v>
      </c>
      <c r="BO24" s="114">
        <v>0</v>
      </c>
      <c r="BP24" s="114">
        <v>0</v>
      </c>
    </row>
    <row r="25" spans="1:68">
      <c r="A25" t="s">
        <v>241</v>
      </c>
      <c r="B25" t="s">
        <v>1128</v>
      </c>
      <c r="C25" s="121">
        <v>4683</v>
      </c>
      <c r="D25" s="72">
        <v>2</v>
      </c>
      <c r="E25">
        <v>919.50199999999995</v>
      </c>
      <c r="F25">
        <v>276</v>
      </c>
      <c r="G25">
        <v>235</v>
      </c>
      <c r="H25">
        <v>36</v>
      </c>
      <c r="I25" s="173">
        <v>1.04</v>
      </c>
      <c r="J25" s="121">
        <v>577844329</v>
      </c>
      <c r="K25" s="125">
        <v>4615.2560000000003</v>
      </c>
      <c r="L25" s="173">
        <v>1.5</v>
      </c>
      <c r="M25">
        <v>1.04</v>
      </c>
      <c r="N25">
        <v>1.000000005</v>
      </c>
      <c r="O25">
        <v>3.9999995000000066</v>
      </c>
      <c r="P25">
        <v>3265.2849999999999</v>
      </c>
      <c r="Q25" s="125">
        <v>0.16500000000000001</v>
      </c>
      <c r="R25" s="125">
        <v>0</v>
      </c>
      <c r="S25" s="125">
        <v>4.4770000000000003</v>
      </c>
      <c r="T25" s="125">
        <v>115.916</v>
      </c>
      <c r="U25" s="125">
        <v>26.492000000000001</v>
      </c>
      <c r="V25" s="125">
        <v>0</v>
      </c>
      <c r="W25" s="125">
        <v>17.954000000000001</v>
      </c>
      <c r="X25" s="125">
        <v>0</v>
      </c>
      <c r="Y25" s="125">
        <v>0</v>
      </c>
      <c r="Z25" s="125">
        <v>0</v>
      </c>
      <c r="AA25" s="125">
        <v>83.468000000000004</v>
      </c>
      <c r="AB25" s="125">
        <v>129.55799999999999</v>
      </c>
      <c r="AC25" s="125">
        <v>2547.6999999999998</v>
      </c>
      <c r="AD25" s="125">
        <v>0.86299999999999999</v>
      </c>
      <c r="AE25" s="125">
        <v>101.5</v>
      </c>
      <c r="AF25" s="125">
        <v>163.26400000000001</v>
      </c>
      <c r="AG25" s="125">
        <v>0</v>
      </c>
      <c r="AH25" s="125">
        <v>0</v>
      </c>
      <c r="AI25" s="121">
        <v>6183859</v>
      </c>
      <c r="AJ25" s="121">
        <v>277793</v>
      </c>
      <c r="AK25" s="424">
        <v>12</v>
      </c>
      <c r="AL25">
        <v>0</v>
      </c>
      <c r="AM25" s="121">
        <v>311366</v>
      </c>
      <c r="AN25" s="125">
        <v>0</v>
      </c>
      <c r="AO25" s="125">
        <v>0</v>
      </c>
      <c r="AP25" s="121">
        <v>6461652</v>
      </c>
      <c r="AQ25" s="114">
        <v>0</v>
      </c>
      <c r="AR25" s="121">
        <v>385.16762564999999</v>
      </c>
      <c r="AS25" s="121">
        <v>75686.647956999994</v>
      </c>
      <c r="AT25" s="121">
        <v>9967.8975962999993</v>
      </c>
      <c r="AU25" s="420" t="s">
        <v>2001</v>
      </c>
      <c r="AV25" s="420" t="s">
        <v>2001</v>
      </c>
      <c r="AW25" s="121">
        <v>0</v>
      </c>
      <c r="AX25" s="121">
        <v>1129794</v>
      </c>
      <c r="BI25">
        <v>0</v>
      </c>
      <c r="BJ25" s="121">
        <v>0</v>
      </c>
      <c r="BK25" s="134">
        <v>577844329</v>
      </c>
      <c r="BL25" s="934">
        <v>4593</v>
      </c>
      <c r="BM25" s="934">
        <v>4683</v>
      </c>
      <c r="BN25" s="934">
        <v>4683</v>
      </c>
      <c r="BO25" s="114">
        <v>0</v>
      </c>
      <c r="BP25" s="114">
        <v>0</v>
      </c>
    </row>
    <row r="26" spans="1:68">
      <c r="A26" t="s">
        <v>2447</v>
      </c>
      <c r="B26" t="s">
        <v>1131</v>
      </c>
      <c r="C26" s="121">
        <v>4743</v>
      </c>
      <c r="D26" s="72">
        <v>2</v>
      </c>
      <c r="E26">
        <v>442.41399999999999</v>
      </c>
      <c r="F26">
        <v>131</v>
      </c>
      <c r="G26">
        <v>105</v>
      </c>
      <c r="H26">
        <v>20</v>
      </c>
      <c r="I26" s="173">
        <v>1.04</v>
      </c>
      <c r="J26" s="121">
        <v>152689135</v>
      </c>
      <c r="K26" s="125">
        <v>2355.2310000000002</v>
      </c>
      <c r="L26" s="173">
        <v>1.5</v>
      </c>
      <c r="M26">
        <v>1.04</v>
      </c>
      <c r="N26">
        <v>1.000000005</v>
      </c>
      <c r="O26">
        <v>3.9999995000000066</v>
      </c>
      <c r="P26">
        <v>1610</v>
      </c>
      <c r="Q26" s="125">
        <v>0.34499999999999997</v>
      </c>
      <c r="R26" s="125">
        <v>0</v>
      </c>
      <c r="S26" s="125">
        <v>2.3109999999999999</v>
      </c>
      <c r="T26" s="125">
        <v>49.732999999999997</v>
      </c>
      <c r="U26" s="125">
        <v>4.8659999999999997</v>
      </c>
      <c r="V26" s="125">
        <v>0</v>
      </c>
      <c r="W26" s="125">
        <v>2.6360000000000001</v>
      </c>
      <c r="X26" s="125">
        <v>0</v>
      </c>
      <c r="Y26" s="125">
        <v>0</v>
      </c>
      <c r="Z26" s="125">
        <v>0</v>
      </c>
      <c r="AA26" s="125">
        <v>26.576000000000001</v>
      </c>
      <c r="AB26" s="125">
        <v>62.883000000000003</v>
      </c>
      <c r="AC26" s="125">
        <v>1450</v>
      </c>
      <c r="AD26" s="125">
        <v>1.6479999999999999</v>
      </c>
      <c r="AE26" s="125">
        <v>96.738</v>
      </c>
      <c r="AF26" s="125">
        <v>80.5</v>
      </c>
      <c r="AG26" s="125">
        <v>0</v>
      </c>
      <c r="AH26" s="125">
        <v>0</v>
      </c>
      <c r="AI26" s="121">
        <v>1700713</v>
      </c>
      <c r="AJ26" s="121">
        <v>147010</v>
      </c>
      <c r="AK26" s="424">
        <v>12</v>
      </c>
      <c r="AL26">
        <v>0</v>
      </c>
      <c r="AM26" s="121">
        <v>147371</v>
      </c>
      <c r="AN26" s="125">
        <v>0</v>
      </c>
      <c r="AO26" s="125">
        <v>0</v>
      </c>
      <c r="AP26" s="121">
        <v>1847723</v>
      </c>
      <c r="AQ26" s="114">
        <v>0</v>
      </c>
      <c r="AR26" s="121">
        <v>101.77639311999999</v>
      </c>
      <c r="AS26" s="121">
        <v>19999.380850000001</v>
      </c>
      <c r="AT26" s="121">
        <v>2633.9094897</v>
      </c>
      <c r="AU26" s="420" t="s">
        <v>2001</v>
      </c>
      <c r="AV26" s="420" t="s">
        <v>2001</v>
      </c>
      <c r="AW26" s="121">
        <v>0</v>
      </c>
      <c r="AX26" s="121">
        <v>391708</v>
      </c>
      <c r="BI26">
        <v>0</v>
      </c>
      <c r="BJ26" s="121">
        <v>0</v>
      </c>
      <c r="BK26" s="134">
        <v>152689135</v>
      </c>
      <c r="BL26" s="934">
        <v>4628</v>
      </c>
      <c r="BM26" s="934">
        <v>4743</v>
      </c>
      <c r="BN26" s="934">
        <v>4666</v>
      </c>
      <c r="BO26" s="114">
        <v>0</v>
      </c>
      <c r="BP26" s="114">
        <v>0</v>
      </c>
    </row>
    <row r="27" spans="1:68">
      <c r="A27" t="s">
        <v>2845</v>
      </c>
      <c r="B27" t="s">
        <v>1368</v>
      </c>
      <c r="C27" s="121">
        <v>5056</v>
      </c>
      <c r="D27" s="72">
        <v>2</v>
      </c>
      <c r="E27">
        <v>645.02</v>
      </c>
      <c r="F27">
        <v>164</v>
      </c>
      <c r="G27">
        <v>136</v>
      </c>
      <c r="H27">
        <v>4</v>
      </c>
      <c r="I27" s="173">
        <v>1.04</v>
      </c>
      <c r="J27" s="121">
        <v>757702443</v>
      </c>
      <c r="K27" s="125">
        <v>2962.0030000000002</v>
      </c>
      <c r="L27" s="173">
        <v>1.5</v>
      </c>
      <c r="M27">
        <v>1.04</v>
      </c>
      <c r="N27">
        <v>1.000000005</v>
      </c>
      <c r="O27">
        <v>3.9999995000000066</v>
      </c>
      <c r="P27">
        <v>2102.1239999999998</v>
      </c>
      <c r="Q27" s="125">
        <v>4.3999999999999997E-2</v>
      </c>
      <c r="R27" s="125">
        <v>0</v>
      </c>
      <c r="S27" s="125">
        <v>2.3290000000000002</v>
      </c>
      <c r="T27" s="125">
        <v>79.537000000000006</v>
      </c>
      <c r="U27" s="125">
        <v>7.4619999999999997</v>
      </c>
      <c r="V27" s="125">
        <v>5.2430000000000003</v>
      </c>
      <c r="W27" s="125">
        <v>11.733000000000001</v>
      </c>
      <c r="X27" s="125">
        <v>0</v>
      </c>
      <c r="Y27" s="125">
        <v>0</v>
      </c>
      <c r="Z27" s="125">
        <v>0</v>
      </c>
      <c r="AA27" s="125">
        <v>82.171999999999997</v>
      </c>
      <c r="AB27" s="125">
        <v>109.792</v>
      </c>
      <c r="AC27" s="125">
        <v>840.9</v>
      </c>
      <c r="AD27" s="125">
        <v>0.91400000000000003</v>
      </c>
      <c r="AE27" s="125">
        <v>142.81299999999999</v>
      </c>
      <c r="AF27" s="125">
        <v>105.10599999999999</v>
      </c>
      <c r="AG27" s="125">
        <v>0</v>
      </c>
      <c r="AH27" s="125">
        <v>0</v>
      </c>
      <c r="AI27" s="121">
        <v>8274111</v>
      </c>
      <c r="AJ27" s="121">
        <v>1471777</v>
      </c>
      <c r="AK27" s="424">
        <v>12</v>
      </c>
      <c r="AL27">
        <v>0</v>
      </c>
      <c r="AM27" s="121">
        <v>292563</v>
      </c>
      <c r="AN27" s="125">
        <v>0</v>
      </c>
      <c r="AO27" s="125">
        <v>0</v>
      </c>
      <c r="AP27" s="121">
        <v>9745888</v>
      </c>
      <c r="AQ27" s="114">
        <v>0</v>
      </c>
      <c r="AR27" s="121">
        <v>505.05375977</v>
      </c>
      <c r="AS27" s="121">
        <v>99244.649781</v>
      </c>
      <c r="AT27" s="121">
        <v>13070.475872999999</v>
      </c>
      <c r="AU27" s="420" t="s">
        <v>2001</v>
      </c>
      <c r="AV27" s="420" t="s">
        <v>2001</v>
      </c>
      <c r="AW27" s="121">
        <v>0</v>
      </c>
      <c r="AX27" s="121">
        <v>1805488</v>
      </c>
      <c r="BI27">
        <v>0</v>
      </c>
      <c r="BJ27" s="121">
        <v>0</v>
      </c>
      <c r="BK27" s="134">
        <v>757702443</v>
      </c>
      <c r="BL27" s="934">
        <v>4968</v>
      </c>
      <c r="BM27" s="934">
        <v>5056</v>
      </c>
      <c r="BN27" s="934">
        <v>5056</v>
      </c>
      <c r="BO27" s="114">
        <v>0</v>
      </c>
      <c r="BP27" s="114">
        <v>0</v>
      </c>
    </row>
    <row r="28" spans="1:68">
      <c r="A28" t="s">
        <v>783</v>
      </c>
      <c r="B28" t="s">
        <v>1369</v>
      </c>
      <c r="C28" s="121">
        <v>4984</v>
      </c>
      <c r="D28" s="72">
        <v>2</v>
      </c>
      <c r="E28">
        <v>689.46100000000001</v>
      </c>
      <c r="F28">
        <v>217</v>
      </c>
      <c r="G28">
        <v>113</v>
      </c>
      <c r="H28">
        <v>15</v>
      </c>
      <c r="I28" s="173">
        <v>0.96</v>
      </c>
      <c r="J28" s="121">
        <v>947127105</v>
      </c>
      <c r="K28" s="125">
        <v>3724.7759999999998</v>
      </c>
      <c r="L28" s="173">
        <v>1.38</v>
      </c>
      <c r="M28">
        <v>0.96</v>
      </c>
      <c r="N28">
        <v>0.92000000459999998</v>
      </c>
      <c r="O28">
        <v>3.9999995399999988</v>
      </c>
      <c r="P28">
        <v>2588.672</v>
      </c>
      <c r="Q28" s="125">
        <v>0.11799999999999999</v>
      </c>
      <c r="R28" s="125">
        <v>0</v>
      </c>
      <c r="S28" s="125">
        <v>2.6619999999999999</v>
      </c>
      <c r="T28" s="125">
        <v>103.185</v>
      </c>
      <c r="U28" s="125">
        <v>18.998999999999999</v>
      </c>
      <c r="V28" s="125">
        <v>4.141</v>
      </c>
      <c r="W28" s="125">
        <v>7.9829999999999997</v>
      </c>
      <c r="X28" s="125">
        <v>0</v>
      </c>
      <c r="Y28" s="125">
        <v>2.4049999999999998</v>
      </c>
      <c r="Z28" s="125">
        <v>0</v>
      </c>
      <c r="AA28" s="125">
        <v>76.741</v>
      </c>
      <c r="AB28" s="125">
        <v>155.57</v>
      </c>
      <c r="AC28" s="125">
        <v>1421</v>
      </c>
      <c r="AD28" s="125">
        <v>2.274</v>
      </c>
      <c r="AE28" s="125">
        <v>250.97200000000001</v>
      </c>
      <c r="AF28" s="125">
        <v>129.43360000000001</v>
      </c>
      <c r="AG28" s="125">
        <v>0</v>
      </c>
      <c r="AH28" s="125">
        <v>0</v>
      </c>
      <c r="AI28" s="121">
        <v>9451571</v>
      </c>
      <c r="AJ28" s="121">
        <v>1833561</v>
      </c>
      <c r="AK28" s="424">
        <v>12</v>
      </c>
      <c r="AL28">
        <v>0</v>
      </c>
      <c r="AM28" s="121">
        <v>257752</v>
      </c>
      <c r="AN28" s="125">
        <v>0</v>
      </c>
      <c r="AO28" s="125">
        <v>0</v>
      </c>
      <c r="AP28" s="121">
        <v>11285132</v>
      </c>
      <c r="AQ28" s="114">
        <v>0</v>
      </c>
      <c r="AR28" s="121">
        <v>631.31656730999998</v>
      </c>
      <c r="AS28" s="121">
        <v>124055.68796</v>
      </c>
      <c r="AT28" s="121">
        <v>16338.078475</v>
      </c>
      <c r="AU28" s="420" t="s">
        <v>2001</v>
      </c>
      <c r="AV28" s="420" t="s">
        <v>2001</v>
      </c>
      <c r="AW28" s="121">
        <v>0</v>
      </c>
      <c r="AX28" s="121">
        <v>2345885</v>
      </c>
      <c r="BI28">
        <v>0</v>
      </c>
      <c r="BJ28" s="121">
        <v>0</v>
      </c>
      <c r="BK28" s="134">
        <v>947127105</v>
      </c>
      <c r="BL28" s="934">
        <v>4800</v>
      </c>
      <c r="BM28" s="934">
        <v>4984</v>
      </c>
      <c r="BN28" s="934">
        <v>4910</v>
      </c>
      <c r="BO28" s="114">
        <v>0</v>
      </c>
      <c r="BP28" s="114">
        <v>0</v>
      </c>
    </row>
    <row r="29" spans="1:68">
      <c r="A29" t="s">
        <v>784</v>
      </c>
      <c r="B29" t="s">
        <v>1370</v>
      </c>
      <c r="C29" s="121">
        <v>5118</v>
      </c>
      <c r="D29" s="72">
        <v>1</v>
      </c>
      <c r="E29">
        <v>263.45100000000002</v>
      </c>
      <c r="F29">
        <v>74</v>
      </c>
      <c r="G29">
        <v>47</v>
      </c>
      <c r="H29">
        <v>0</v>
      </c>
      <c r="I29" s="173">
        <v>1.04</v>
      </c>
      <c r="J29" s="121">
        <v>391216651</v>
      </c>
      <c r="K29" s="125">
        <v>1279.874</v>
      </c>
      <c r="L29" s="173">
        <v>1.5</v>
      </c>
      <c r="M29">
        <v>1.04</v>
      </c>
      <c r="N29">
        <v>1.000000005</v>
      </c>
      <c r="O29">
        <v>3.9999995000000066</v>
      </c>
      <c r="P29">
        <v>788.02599999999995</v>
      </c>
      <c r="Q29" s="125">
        <v>0</v>
      </c>
      <c r="R29" s="125">
        <v>0</v>
      </c>
      <c r="S29" s="125">
        <v>0.86399999999999999</v>
      </c>
      <c r="T29" s="125">
        <v>27.512</v>
      </c>
      <c r="U29" s="125">
        <v>1.6779999999999999</v>
      </c>
      <c r="V29" s="125">
        <v>4.6440000000000001</v>
      </c>
      <c r="W29" s="125">
        <v>0.14399999999999999</v>
      </c>
      <c r="X29" s="125">
        <v>0</v>
      </c>
      <c r="Y29" s="125">
        <v>1.1479999999999999</v>
      </c>
      <c r="Z29" s="125">
        <v>0</v>
      </c>
      <c r="AA29" s="125">
        <v>35.279000000000003</v>
      </c>
      <c r="AB29" s="125">
        <v>35.463000000000001</v>
      </c>
      <c r="AC29" s="125">
        <v>434</v>
      </c>
      <c r="AD29" s="125">
        <v>0</v>
      </c>
      <c r="AE29" s="125">
        <v>66.811999999999998</v>
      </c>
      <c r="AF29" s="125">
        <v>39.401000000000003</v>
      </c>
      <c r="AG29" s="125">
        <v>0</v>
      </c>
      <c r="AH29" s="125">
        <v>0</v>
      </c>
      <c r="AI29" s="121">
        <v>4186644</v>
      </c>
      <c r="AJ29" s="121">
        <v>561053</v>
      </c>
      <c r="AK29" s="424">
        <v>12</v>
      </c>
      <c r="AL29">
        <v>0</v>
      </c>
      <c r="AM29" s="121">
        <v>130479</v>
      </c>
      <c r="AN29" s="125">
        <v>0</v>
      </c>
      <c r="AO29" s="125">
        <v>0</v>
      </c>
      <c r="AP29" s="121">
        <v>4747697</v>
      </c>
      <c r="AQ29" s="114">
        <v>0</v>
      </c>
      <c r="AR29" s="121">
        <v>260.76917436000002</v>
      </c>
      <c r="AS29" s="121">
        <v>51241.961638000001</v>
      </c>
      <c r="AT29" s="121">
        <v>6748.5433696</v>
      </c>
      <c r="AU29" s="420" t="s">
        <v>2001</v>
      </c>
      <c r="AV29" s="420" t="s">
        <v>2001</v>
      </c>
      <c r="AW29" s="121">
        <v>0</v>
      </c>
      <c r="AX29" s="121">
        <v>693785</v>
      </c>
      <c r="BI29">
        <v>0</v>
      </c>
      <c r="BJ29" s="121">
        <v>0</v>
      </c>
      <c r="BK29" s="134">
        <v>391216651</v>
      </c>
      <c r="BL29" s="934">
        <v>5118</v>
      </c>
      <c r="BM29" s="934">
        <v>4693</v>
      </c>
      <c r="BN29" s="934">
        <v>4693</v>
      </c>
      <c r="BO29" s="114">
        <v>0</v>
      </c>
      <c r="BP29" s="114">
        <v>0</v>
      </c>
    </row>
    <row r="30" spans="1:68">
      <c r="A30" t="s">
        <v>785</v>
      </c>
      <c r="B30" t="s">
        <v>1371</v>
      </c>
      <c r="C30" s="121">
        <v>4721</v>
      </c>
      <c r="D30" s="72">
        <v>2</v>
      </c>
      <c r="E30">
        <v>334.70600000000002</v>
      </c>
      <c r="F30">
        <v>129</v>
      </c>
      <c r="G30">
        <v>83</v>
      </c>
      <c r="H30">
        <v>0</v>
      </c>
      <c r="I30" s="173">
        <v>1.04</v>
      </c>
      <c r="J30" s="121">
        <v>226973481</v>
      </c>
      <c r="K30" s="125">
        <v>2166.4380000000001</v>
      </c>
      <c r="L30" s="173">
        <v>1.5</v>
      </c>
      <c r="M30">
        <v>1.04</v>
      </c>
      <c r="N30">
        <v>1.000000005</v>
      </c>
      <c r="O30">
        <v>3.9999995000000066</v>
      </c>
      <c r="P30">
        <v>1451.23</v>
      </c>
      <c r="Q30" s="125">
        <v>0.23</v>
      </c>
      <c r="R30" s="125">
        <v>0</v>
      </c>
      <c r="S30" s="125">
        <v>5.2560000000000002</v>
      </c>
      <c r="T30" s="125">
        <v>28.62</v>
      </c>
      <c r="U30" s="125">
        <v>8.5939999999999994</v>
      </c>
      <c r="V30" s="125">
        <v>0</v>
      </c>
      <c r="W30" s="125">
        <v>0</v>
      </c>
      <c r="X30" s="125">
        <v>0</v>
      </c>
      <c r="Y30" s="125">
        <v>0</v>
      </c>
      <c r="Z30" s="125">
        <v>1.2070000000000001</v>
      </c>
      <c r="AA30" s="125">
        <v>58.03</v>
      </c>
      <c r="AB30" s="125">
        <v>53.634</v>
      </c>
      <c r="AC30" s="125">
        <v>1318.6</v>
      </c>
      <c r="AD30" s="125">
        <v>0.95099999999999996</v>
      </c>
      <c r="AE30" s="125">
        <v>222.85</v>
      </c>
      <c r="AF30" s="125">
        <v>72.561499999999995</v>
      </c>
      <c r="AG30" s="125">
        <v>0</v>
      </c>
      <c r="AH30" s="125">
        <v>0</v>
      </c>
      <c r="AI30" s="121">
        <v>2453765</v>
      </c>
      <c r="AJ30" s="121">
        <v>615668</v>
      </c>
      <c r="AK30" s="424">
        <v>12</v>
      </c>
      <c r="AL30">
        <v>0</v>
      </c>
      <c r="AM30" s="121">
        <v>101393</v>
      </c>
      <c r="AN30" s="125">
        <v>0</v>
      </c>
      <c r="AO30" s="125">
        <v>0</v>
      </c>
      <c r="AP30" s="121">
        <v>3069433</v>
      </c>
      <c r="AQ30" s="114">
        <v>0</v>
      </c>
      <c r="AR30" s="121">
        <v>151.29132946999999</v>
      </c>
      <c r="AS30" s="121">
        <v>29729.221332000001</v>
      </c>
      <c r="AT30" s="121">
        <v>3915.3251181000001</v>
      </c>
      <c r="AU30" s="420" t="s">
        <v>2001</v>
      </c>
      <c r="AV30" s="420" t="s">
        <v>2001</v>
      </c>
      <c r="AW30" s="121">
        <v>0</v>
      </c>
      <c r="AX30" s="121">
        <v>1397550</v>
      </c>
      <c r="BI30">
        <v>0</v>
      </c>
      <c r="BJ30" s="121">
        <v>0</v>
      </c>
      <c r="BK30" s="134">
        <v>226973481</v>
      </c>
      <c r="BL30" s="934">
        <v>4665</v>
      </c>
      <c r="BM30" s="934">
        <v>4721</v>
      </c>
      <c r="BN30" s="934">
        <v>4678</v>
      </c>
      <c r="BO30" s="114">
        <v>0</v>
      </c>
      <c r="BP30" s="114">
        <v>0</v>
      </c>
    </row>
    <row r="31" spans="1:68">
      <c r="A31" t="s">
        <v>216</v>
      </c>
      <c r="B31" t="s">
        <v>1372</v>
      </c>
      <c r="C31" s="121">
        <v>4755</v>
      </c>
      <c r="D31" s="72">
        <v>2</v>
      </c>
      <c r="E31">
        <v>110.551</v>
      </c>
      <c r="F31">
        <v>43</v>
      </c>
      <c r="G31">
        <v>31</v>
      </c>
      <c r="H31">
        <v>0</v>
      </c>
      <c r="I31" s="173">
        <v>0.96</v>
      </c>
      <c r="J31" s="121">
        <v>161784150</v>
      </c>
      <c r="K31" s="125">
        <v>744.11</v>
      </c>
      <c r="L31" s="173">
        <v>1.38</v>
      </c>
      <c r="M31">
        <v>0.96</v>
      </c>
      <c r="N31">
        <v>0.92000000459999998</v>
      </c>
      <c r="O31">
        <v>3.9999995399999988</v>
      </c>
      <c r="P31">
        <v>319.089</v>
      </c>
      <c r="Q31" s="125">
        <v>3.2000000000000001E-2</v>
      </c>
      <c r="R31" s="125">
        <v>0</v>
      </c>
      <c r="S31" s="125">
        <v>0.89700000000000002</v>
      </c>
      <c r="T31" s="125">
        <v>22.831</v>
      </c>
      <c r="U31" s="125">
        <v>0.159</v>
      </c>
      <c r="V31" s="125">
        <v>0</v>
      </c>
      <c r="W31" s="125">
        <v>2.1970000000000001</v>
      </c>
      <c r="X31" s="125">
        <v>0</v>
      </c>
      <c r="Y31" s="125">
        <v>0</v>
      </c>
      <c r="Z31" s="125">
        <v>14.750999999999999</v>
      </c>
      <c r="AA31" s="125">
        <v>10.284000000000001</v>
      </c>
      <c r="AB31" s="125">
        <v>15.882</v>
      </c>
      <c r="AC31" s="125">
        <v>186.3</v>
      </c>
      <c r="AD31" s="125">
        <v>0</v>
      </c>
      <c r="AE31" s="125">
        <v>11.04</v>
      </c>
      <c r="AF31" s="125">
        <v>15.954000000000001</v>
      </c>
      <c r="AG31" s="125">
        <v>0</v>
      </c>
      <c r="AH31" s="125">
        <v>0</v>
      </c>
      <c r="AI31" s="121">
        <v>1598169</v>
      </c>
      <c r="AJ31" s="121">
        <v>0</v>
      </c>
      <c r="AK31" s="424">
        <v>12</v>
      </c>
      <c r="AL31">
        <v>0</v>
      </c>
      <c r="AM31" s="121">
        <v>61380</v>
      </c>
      <c r="AN31" s="125">
        <v>0</v>
      </c>
      <c r="AO31" s="125">
        <v>0</v>
      </c>
      <c r="AP31" s="121">
        <v>1598169</v>
      </c>
      <c r="AQ31" s="114">
        <v>0</v>
      </c>
      <c r="AR31" s="121">
        <v>107.83876175</v>
      </c>
      <c r="AS31" s="121">
        <v>21190.655322999999</v>
      </c>
      <c r="AT31" s="121">
        <v>2790.7998035999999</v>
      </c>
      <c r="AU31" s="420" t="s">
        <v>2001</v>
      </c>
      <c r="AV31" s="420" t="s">
        <v>2001</v>
      </c>
      <c r="AW31" s="121">
        <v>0</v>
      </c>
      <c r="AX31" s="121">
        <v>0</v>
      </c>
      <c r="BI31">
        <v>0</v>
      </c>
      <c r="BJ31" s="121">
        <v>0</v>
      </c>
      <c r="BK31" s="134">
        <v>161784150</v>
      </c>
      <c r="BL31" s="934">
        <v>4506</v>
      </c>
      <c r="BM31" s="934">
        <v>4755</v>
      </c>
      <c r="BN31" s="934">
        <v>4636</v>
      </c>
      <c r="BO31" s="114">
        <v>0</v>
      </c>
      <c r="BP31" s="114">
        <v>0</v>
      </c>
    </row>
    <row r="32" spans="1:68">
      <c r="A32" t="s">
        <v>2220</v>
      </c>
      <c r="B32" t="s">
        <v>2431</v>
      </c>
      <c r="C32" s="121">
        <v>5144</v>
      </c>
      <c r="D32" s="72">
        <v>3</v>
      </c>
      <c r="E32">
        <v>763.88300000000004</v>
      </c>
      <c r="F32">
        <v>192</v>
      </c>
      <c r="G32">
        <v>112</v>
      </c>
      <c r="H32">
        <v>28</v>
      </c>
      <c r="I32" s="173">
        <v>1.04</v>
      </c>
      <c r="J32" s="121">
        <v>976713163</v>
      </c>
      <c r="K32" s="125">
        <v>3348.8919999999998</v>
      </c>
      <c r="L32" s="173">
        <v>1.44</v>
      </c>
      <c r="M32">
        <v>1.04</v>
      </c>
      <c r="N32">
        <v>0.96000000480000003</v>
      </c>
      <c r="O32">
        <v>7.9999995200000011</v>
      </c>
      <c r="P32">
        <v>2450</v>
      </c>
      <c r="Q32" s="125">
        <v>0.2</v>
      </c>
      <c r="R32" s="125">
        <v>0</v>
      </c>
      <c r="S32" s="125">
        <v>4.9000000000000004</v>
      </c>
      <c r="T32" s="125">
        <v>50</v>
      </c>
      <c r="U32" s="125">
        <v>15</v>
      </c>
      <c r="V32" s="125">
        <v>0</v>
      </c>
      <c r="W32" s="125">
        <v>17</v>
      </c>
      <c r="X32" s="125">
        <v>0</v>
      </c>
      <c r="Y32" s="125">
        <v>0</v>
      </c>
      <c r="Z32" s="125">
        <v>4.9000000000000004</v>
      </c>
      <c r="AA32" s="125">
        <v>82.463999999999999</v>
      </c>
      <c r="AB32" s="125">
        <v>150</v>
      </c>
      <c r="AC32" s="125">
        <v>1250</v>
      </c>
      <c r="AD32" s="125">
        <v>0.4</v>
      </c>
      <c r="AE32" s="125">
        <v>85.5</v>
      </c>
      <c r="AF32" s="125">
        <v>121</v>
      </c>
      <c r="AG32" s="125">
        <v>0</v>
      </c>
      <c r="AH32" s="125">
        <v>0</v>
      </c>
      <c r="AI32" s="121">
        <v>10049168</v>
      </c>
      <c r="AJ32" s="121">
        <v>1623924</v>
      </c>
      <c r="AK32" s="424">
        <v>12</v>
      </c>
      <c r="AL32">
        <v>0</v>
      </c>
      <c r="AM32" s="121">
        <v>406562</v>
      </c>
      <c r="AN32" s="125">
        <v>0</v>
      </c>
      <c r="AO32" s="125">
        <v>0</v>
      </c>
      <c r="AP32" s="121">
        <v>11673092</v>
      </c>
      <c r="AQ32" s="114">
        <v>0</v>
      </c>
      <c r="AR32" s="121">
        <v>651.03743526999995</v>
      </c>
      <c r="AS32" s="121">
        <v>127930.90044</v>
      </c>
      <c r="AT32" s="121">
        <v>16848.442221000001</v>
      </c>
      <c r="AU32" s="420" t="s">
        <v>2001</v>
      </c>
      <c r="AV32" s="420" t="s">
        <v>2001</v>
      </c>
      <c r="AW32" s="121">
        <v>0</v>
      </c>
      <c r="AX32" s="121">
        <v>1916381</v>
      </c>
      <c r="BI32">
        <v>0</v>
      </c>
      <c r="BJ32" s="121">
        <v>0</v>
      </c>
      <c r="BK32" s="134">
        <v>976713163</v>
      </c>
      <c r="BL32" s="934">
        <v>4635</v>
      </c>
      <c r="BM32" s="934">
        <v>4984</v>
      </c>
      <c r="BN32" s="934">
        <v>5144</v>
      </c>
      <c r="BO32" s="114">
        <v>0</v>
      </c>
      <c r="BP32" s="114">
        <v>0</v>
      </c>
    </row>
    <row r="33" spans="1:68">
      <c r="A33" t="s">
        <v>1896</v>
      </c>
      <c r="B33" t="s">
        <v>2433</v>
      </c>
      <c r="C33" s="121">
        <v>4776</v>
      </c>
      <c r="D33" s="72">
        <v>2</v>
      </c>
      <c r="E33">
        <v>2161.692</v>
      </c>
      <c r="F33">
        <v>621</v>
      </c>
      <c r="G33">
        <v>463</v>
      </c>
      <c r="H33">
        <v>15</v>
      </c>
      <c r="I33" s="173">
        <v>1.04</v>
      </c>
      <c r="J33" s="121">
        <v>2276376636</v>
      </c>
      <c r="K33" s="125">
        <v>10579.871999999999</v>
      </c>
      <c r="L33" s="173">
        <v>1.5</v>
      </c>
      <c r="M33">
        <v>1.04</v>
      </c>
      <c r="N33">
        <v>1.000000005</v>
      </c>
      <c r="O33">
        <v>3.9999995000000066</v>
      </c>
      <c r="P33">
        <v>7975</v>
      </c>
      <c r="Q33" s="125">
        <v>0.59899999999999998</v>
      </c>
      <c r="R33" s="125">
        <v>0</v>
      </c>
      <c r="S33" s="125">
        <v>14.965</v>
      </c>
      <c r="T33" s="125">
        <v>183.3</v>
      </c>
      <c r="U33" s="125">
        <v>74.61</v>
      </c>
      <c r="V33" s="125">
        <v>0</v>
      </c>
      <c r="W33" s="125">
        <v>10.071999999999999</v>
      </c>
      <c r="X33" s="125">
        <v>0</v>
      </c>
      <c r="Y33" s="125">
        <v>0</v>
      </c>
      <c r="Z33" s="125">
        <v>15.363</v>
      </c>
      <c r="AA33" s="125">
        <v>330.69</v>
      </c>
      <c r="AB33" s="125">
        <v>357.55</v>
      </c>
      <c r="AC33" s="125">
        <v>5000</v>
      </c>
      <c r="AD33" s="125">
        <v>2.2320000000000002</v>
      </c>
      <c r="AE33" s="125">
        <v>639.22</v>
      </c>
      <c r="AF33" s="125">
        <v>398.75</v>
      </c>
      <c r="AG33" s="125">
        <v>0</v>
      </c>
      <c r="AH33" s="125">
        <v>0</v>
      </c>
      <c r="AI33" s="121">
        <v>24858033</v>
      </c>
      <c r="AJ33" s="121">
        <v>5274019</v>
      </c>
      <c r="AK33" s="424">
        <v>12</v>
      </c>
      <c r="AL33">
        <v>0</v>
      </c>
      <c r="AM33" s="121">
        <v>1485710</v>
      </c>
      <c r="AN33" s="125">
        <v>9.2509999999999994</v>
      </c>
      <c r="AO33" s="125">
        <v>2</v>
      </c>
      <c r="AP33" s="121">
        <v>30132052</v>
      </c>
      <c r="AQ33" s="114">
        <v>0</v>
      </c>
      <c r="AR33" s="121">
        <v>1517.3404668999999</v>
      </c>
      <c r="AS33" s="121">
        <v>298162.16655999998</v>
      </c>
      <c r="AT33" s="121">
        <v>39267.823632</v>
      </c>
      <c r="AU33" s="420" t="s">
        <v>2001</v>
      </c>
      <c r="AV33" s="420" t="s">
        <v>2001</v>
      </c>
      <c r="AW33" s="121">
        <v>0</v>
      </c>
      <c r="AX33" s="121">
        <v>11197139</v>
      </c>
      <c r="BI33">
        <v>0</v>
      </c>
      <c r="BJ33" s="121">
        <v>0</v>
      </c>
      <c r="BK33" s="134">
        <v>2276376636</v>
      </c>
      <c r="BL33" s="934">
        <v>4683</v>
      </c>
      <c r="BM33" s="934">
        <v>4776</v>
      </c>
      <c r="BN33" s="934">
        <v>4776</v>
      </c>
      <c r="BO33" s="114">
        <v>0</v>
      </c>
      <c r="BP33" s="114">
        <v>0</v>
      </c>
    </row>
    <row r="34" spans="1:68">
      <c r="A34" t="s">
        <v>876</v>
      </c>
      <c r="B34" t="s">
        <v>1002</v>
      </c>
      <c r="C34" s="121">
        <v>4724</v>
      </c>
      <c r="D34" s="72">
        <v>1</v>
      </c>
      <c r="E34">
        <v>976.71799999999996</v>
      </c>
      <c r="F34">
        <v>234</v>
      </c>
      <c r="G34">
        <v>164</v>
      </c>
      <c r="H34">
        <v>36</v>
      </c>
      <c r="I34" s="173">
        <v>1.04</v>
      </c>
      <c r="J34" s="121">
        <v>759804360</v>
      </c>
      <c r="K34" s="125">
        <v>5038.7020000000002</v>
      </c>
      <c r="L34" s="173">
        <v>1.5</v>
      </c>
      <c r="M34">
        <v>1.04</v>
      </c>
      <c r="N34">
        <v>1.000000005</v>
      </c>
      <c r="O34">
        <v>3.9999995000000066</v>
      </c>
      <c r="P34">
        <v>3780.3620000000001</v>
      </c>
      <c r="Q34" s="125">
        <v>0.112</v>
      </c>
      <c r="R34" s="125">
        <v>0</v>
      </c>
      <c r="S34" s="125">
        <v>5.3620000000000001</v>
      </c>
      <c r="T34" s="125">
        <v>76.873999999999995</v>
      </c>
      <c r="U34" s="125">
        <v>39.54</v>
      </c>
      <c r="V34" s="125">
        <v>0</v>
      </c>
      <c r="W34" s="125">
        <v>1.669</v>
      </c>
      <c r="X34" s="125">
        <v>0</v>
      </c>
      <c r="Y34" s="125">
        <v>0</v>
      </c>
      <c r="Z34" s="125">
        <v>6.3369999999999997</v>
      </c>
      <c r="AA34" s="125">
        <v>94.144000000000005</v>
      </c>
      <c r="AB34" s="125">
        <v>110.699</v>
      </c>
      <c r="AC34" s="125">
        <v>2173.6</v>
      </c>
      <c r="AD34" s="125">
        <v>0.86099999999999999</v>
      </c>
      <c r="AE34" s="125">
        <v>525.50800000000004</v>
      </c>
      <c r="AF34" s="125">
        <v>189.018</v>
      </c>
      <c r="AG34" s="125">
        <v>0</v>
      </c>
      <c r="AH34" s="125">
        <v>0</v>
      </c>
      <c r="AI34" s="121">
        <v>8048152</v>
      </c>
      <c r="AJ34" s="121">
        <v>1983854</v>
      </c>
      <c r="AK34" s="424">
        <v>12</v>
      </c>
      <c r="AL34">
        <v>0</v>
      </c>
      <c r="AM34" s="121">
        <v>401296</v>
      </c>
      <c r="AN34" s="125">
        <v>0</v>
      </c>
      <c r="AO34" s="125">
        <v>2</v>
      </c>
      <c r="AP34" s="121">
        <v>10032006</v>
      </c>
      <c r="AQ34" s="114">
        <v>0</v>
      </c>
      <c r="AR34" s="121">
        <v>506.45481251000001</v>
      </c>
      <c r="AS34" s="121">
        <v>99519.961043999996</v>
      </c>
      <c r="AT34" s="121">
        <v>13106.734242</v>
      </c>
      <c r="AU34" s="420" t="s">
        <v>2001</v>
      </c>
      <c r="AV34" s="420" t="s">
        <v>2001</v>
      </c>
      <c r="AW34" s="121">
        <v>0</v>
      </c>
      <c r="AX34" s="121">
        <v>4837923</v>
      </c>
      <c r="BI34">
        <v>0</v>
      </c>
      <c r="BJ34" s="121">
        <v>0</v>
      </c>
      <c r="BK34" s="134">
        <v>759804360</v>
      </c>
      <c r="BL34" s="934">
        <v>4724</v>
      </c>
      <c r="BM34" s="934">
        <v>4691</v>
      </c>
      <c r="BN34" s="934">
        <v>4691</v>
      </c>
      <c r="BO34" s="114">
        <v>0</v>
      </c>
      <c r="BP34" s="114">
        <v>0</v>
      </c>
    </row>
    <row r="35" spans="1:68">
      <c r="A35" t="s">
        <v>2710</v>
      </c>
      <c r="B35" t="s">
        <v>2202</v>
      </c>
      <c r="C35" s="121">
        <v>4770</v>
      </c>
      <c r="D35" s="72">
        <v>2</v>
      </c>
      <c r="E35">
        <v>491.33300000000003</v>
      </c>
      <c r="F35">
        <v>146</v>
      </c>
      <c r="G35">
        <v>95</v>
      </c>
      <c r="H35">
        <v>18</v>
      </c>
      <c r="I35" s="173">
        <v>1.04</v>
      </c>
      <c r="J35" s="121">
        <v>472596293</v>
      </c>
      <c r="K35" s="125">
        <v>2452.8440000000001</v>
      </c>
      <c r="L35" s="173">
        <v>1.5</v>
      </c>
      <c r="M35">
        <v>1.04</v>
      </c>
      <c r="N35">
        <v>1.000000005</v>
      </c>
      <c r="O35">
        <v>3.9999995000000066</v>
      </c>
      <c r="P35">
        <v>1704.604</v>
      </c>
      <c r="Q35" s="125">
        <v>0.105</v>
      </c>
      <c r="R35" s="125">
        <v>0</v>
      </c>
      <c r="S35" s="125">
        <v>2.86</v>
      </c>
      <c r="T35" s="125">
        <v>47.57</v>
      </c>
      <c r="U35" s="125">
        <v>11.458</v>
      </c>
      <c r="V35" s="125">
        <v>7.2789999999999999</v>
      </c>
      <c r="W35" s="125">
        <v>3.048</v>
      </c>
      <c r="X35" s="125">
        <v>0</v>
      </c>
      <c r="Y35" s="125">
        <v>0</v>
      </c>
      <c r="Z35" s="125">
        <v>1.01</v>
      </c>
      <c r="AA35" s="125">
        <v>67.564999999999998</v>
      </c>
      <c r="AB35" s="125">
        <v>101.97</v>
      </c>
      <c r="AC35" s="125">
        <v>1074.8</v>
      </c>
      <c r="AD35" s="125">
        <v>4.5999999999999999E-2</v>
      </c>
      <c r="AE35" s="125">
        <v>55.494999999999997</v>
      </c>
      <c r="AF35" s="125">
        <v>85.23</v>
      </c>
      <c r="AG35" s="125">
        <v>0</v>
      </c>
      <c r="AH35" s="125">
        <v>0</v>
      </c>
      <c r="AI35" s="121">
        <v>4743444</v>
      </c>
      <c r="AJ35" s="121">
        <v>1142711</v>
      </c>
      <c r="AK35" s="424">
        <v>12</v>
      </c>
      <c r="AL35">
        <v>0</v>
      </c>
      <c r="AM35" s="121">
        <v>291785</v>
      </c>
      <c r="AN35" s="125">
        <v>2</v>
      </c>
      <c r="AO35" s="125">
        <v>0</v>
      </c>
      <c r="AP35" s="121">
        <v>5886155</v>
      </c>
      <c r="AQ35" s="114">
        <v>0</v>
      </c>
      <c r="AR35" s="121">
        <v>315.01354750000002</v>
      </c>
      <c r="AS35" s="121">
        <v>61901.151299999998</v>
      </c>
      <c r="AT35" s="121">
        <v>8152.3538681999999</v>
      </c>
      <c r="AU35" s="420" t="s">
        <v>2001</v>
      </c>
      <c r="AV35" s="420" t="s">
        <v>2001</v>
      </c>
      <c r="AW35" s="121">
        <v>0</v>
      </c>
      <c r="AX35" s="121">
        <v>1427309</v>
      </c>
      <c r="BI35">
        <v>0</v>
      </c>
      <c r="BJ35" s="121">
        <v>0</v>
      </c>
      <c r="BK35" s="134">
        <v>467076732</v>
      </c>
      <c r="BL35" s="934">
        <v>4718</v>
      </c>
      <c r="BM35" s="934">
        <v>4770</v>
      </c>
      <c r="BN35" s="934">
        <v>4770</v>
      </c>
      <c r="BO35" s="114">
        <v>0</v>
      </c>
      <c r="BP35" s="114">
        <v>0</v>
      </c>
    </row>
    <row r="36" spans="1:68">
      <c r="A36" t="s">
        <v>2448</v>
      </c>
      <c r="B36" t="s">
        <v>926</v>
      </c>
      <c r="C36" s="121">
        <v>4944</v>
      </c>
      <c r="D36" s="72">
        <v>1</v>
      </c>
      <c r="E36">
        <v>0</v>
      </c>
      <c r="F36">
        <v>15</v>
      </c>
      <c r="G36">
        <v>15</v>
      </c>
      <c r="H36">
        <v>0</v>
      </c>
      <c r="I36" s="173">
        <v>1.04</v>
      </c>
      <c r="J36" s="121">
        <v>58316011</v>
      </c>
      <c r="K36" s="125">
        <v>368.18299999999999</v>
      </c>
      <c r="L36" s="173">
        <v>1.5</v>
      </c>
      <c r="M36">
        <v>1.04</v>
      </c>
      <c r="N36">
        <v>1.000000005</v>
      </c>
      <c r="O36">
        <v>3.9999995000000066</v>
      </c>
      <c r="P36">
        <v>218.50399999999999</v>
      </c>
      <c r="Q36" s="125">
        <v>0</v>
      </c>
      <c r="R36" s="125">
        <v>0</v>
      </c>
      <c r="S36" s="125">
        <v>0.45800000000000002</v>
      </c>
      <c r="T36" s="125">
        <v>4.609</v>
      </c>
      <c r="U36" s="125">
        <v>0</v>
      </c>
      <c r="V36" s="125">
        <v>0</v>
      </c>
      <c r="W36" s="125">
        <v>0</v>
      </c>
      <c r="X36" s="125">
        <v>0</v>
      </c>
      <c r="Y36" s="125">
        <v>0</v>
      </c>
      <c r="Z36" s="125">
        <v>0</v>
      </c>
      <c r="AA36" s="125">
        <v>6.8559999999999999</v>
      </c>
      <c r="AB36" s="125">
        <v>0</v>
      </c>
      <c r="AC36" s="125">
        <v>122</v>
      </c>
      <c r="AD36" s="125">
        <v>0</v>
      </c>
      <c r="AE36" s="125">
        <v>30.463999999999999</v>
      </c>
      <c r="AF36" s="125">
        <v>10.925000000000001</v>
      </c>
      <c r="AG36" s="125">
        <v>0</v>
      </c>
      <c r="AH36" s="125">
        <v>0</v>
      </c>
      <c r="AI36" s="121">
        <v>592234</v>
      </c>
      <c r="AJ36" s="121">
        <v>41690</v>
      </c>
      <c r="AK36" s="424">
        <v>6</v>
      </c>
      <c r="AL36">
        <v>0</v>
      </c>
      <c r="AM36" s="121">
        <v>24235</v>
      </c>
      <c r="AN36" s="125">
        <v>0</v>
      </c>
      <c r="AO36" s="125">
        <v>0</v>
      </c>
      <c r="AP36" s="121">
        <v>633924</v>
      </c>
      <c r="AQ36" s="114">
        <v>0</v>
      </c>
      <c r="AR36" s="121">
        <v>38.871090997000003</v>
      </c>
      <c r="AS36" s="121">
        <v>7638.2914450999997</v>
      </c>
      <c r="AT36" s="121">
        <v>1005.9595581</v>
      </c>
      <c r="AU36" s="420" t="s">
        <v>2001</v>
      </c>
      <c r="AV36" s="420" t="s">
        <v>2001</v>
      </c>
      <c r="AW36" s="121">
        <v>0</v>
      </c>
      <c r="AX36" s="121">
        <v>103230</v>
      </c>
      <c r="BI36">
        <v>0</v>
      </c>
      <c r="BJ36" s="121">
        <v>0</v>
      </c>
      <c r="BK36" s="134">
        <v>58316011</v>
      </c>
      <c r="BL36" s="934">
        <v>4944</v>
      </c>
      <c r="BM36" s="934">
        <v>4903</v>
      </c>
      <c r="BN36" s="934">
        <v>4903</v>
      </c>
      <c r="BO36" s="134">
        <v>99233</v>
      </c>
      <c r="BP36" s="134">
        <v>73954</v>
      </c>
    </row>
    <row r="37" spans="1:68">
      <c r="A37" t="s">
        <v>492</v>
      </c>
      <c r="B37" t="s">
        <v>1373</v>
      </c>
      <c r="C37" s="121">
        <v>4825</v>
      </c>
      <c r="D37" s="72">
        <v>1</v>
      </c>
      <c r="E37">
        <v>173.41900000000001</v>
      </c>
      <c r="F37">
        <v>60</v>
      </c>
      <c r="G37">
        <v>30</v>
      </c>
      <c r="H37">
        <v>0</v>
      </c>
      <c r="I37" s="173">
        <v>1.04</v>
      </c>
      <c r="J37" s="121">
        <v>137662625</v>
      </c>
      <c r="K37" s="125">
        <v>1002.146</v>
      </c>
      <c r="L37" s="173">
        <v>1.5</v>
      </c>
      <c r="M37">
        <v>1.04</v>
      </c>
      <c r="N37">
        <v>1.000000005</v>
      </c>
      <c r="O37">
        <v>3.9999995000000066</v>
      </c>
      <c r="P37">
        <v>518.85</v>
      </c>
      <c r="Q37" s="125">
        <v>8.6999999999999994E-2</v>
      </c>
      <c r="R37" s="125">
        <v>0</v>
      </c>
      <c r="S37" s="125">
        <v>1.1259999999999999</v>
      </c>
      <c r="T37" s="125">
        <v>15.573</v>
      </c>
      <c r="U37" s="125">
        <v>2.9209999999999998</v>
      </c>
      <c r="V37" s="125">
        <v>0</v>
      </c>
      <c r="W37" s="125">
        <v>0.624</v>
      </c>
      <c r="X37" s="125">
        <v>0</v>
      </c>
      <c r="Y37" s="125">
        <v>0</v>
      </c>
      <c r="Z37" s="125">
        <v>0</v>
      </c>
      <c r="AA37" s="125">
        <v>10.035</v>
      </c>
      <c r="AB37" s="125">
        <v>57.546999999999997</v>
      </c>
      <c r="AC37" s="125">
        <v>354.2</v>
      </c>
      <c r="AD37" s="125">
        <v>0</v>
      </c>
      <c r="AE37" s="125">
        <v>14.926</v>
      </c>
      <c r="AF37" s="125">
        <v>25.942</v>
      </c>
      <c r="AG37" s="125">
        <v>0</v>
      </c>
      <c r="AH37" s="125">
        <v>0</v>
      </c>
      <c r="AI37" s="121">
        <v>1425826</v>
      </c>
      <c r="AJ37" s="121">
        <v>239808</v>
      </c>
      <c r="AK37" s="424">
        <v>12</v>
      </c>
      <c r="AL37">
        <v>0</v>
      </c>
      <c r="AM37" s="121">
        <v>43988</v>
      </c>
      <c r="AN37" s="125">
        <v>0</v>
      </c>
      <c r="AO37" s="125">
        <v>0</v>
      </c>
      <c r="AP37" s="121">
        <v>1665634</v>
      </c>
      <c r="AQ37" s="114">
        <v>0</v>
      </c>
      <c r="AR37" s="121">
        <v>91.760330205000002</v>
      </c>
      <c r="AS37" s="121">
        <v>18031.193034</v>
      </c>
      <c r="AT37" s="121">
        <v>2374.7000370000001</v>
      </c>
      <c r="AU37" s="420" t="s">
        <v>2001</v>
      </c>
      <c r="AV37" s="420" t="s">
        <v>2001</v>
      </c>
      <c r="AW37" s="121">
        <v>0</v>
      </c>
      <c r="AX37" s="121">
        <v>320000</v>
      </c>
      <c r="BI37">
        <v>0</v>
      </c>
      <c r="BJ37" s="121">
        <v>0</v>
      </c>
      <c r="BK37" s="134">
        <v>137442260</v>
      </c>
      <c r="BL37" s="934">
        <v>4825</v>
      </c>
      <c r="BM37" s="934">
        <v>4814</v>
      </c>
      <c r="BN37" s="934">
        <v>4814</v>
      </c>
      <c r="BO37" s="114">
        <v>0</v>
      </c>
      <c r="BP37" s="114">
        <v>0</v>
      </c>
    </row>
    <row r="38" spans="1:68">
      <c r="A38" t="s">
        <v>2711</v>
      </c>
      <c r="B38" t="s">
        <v>2434</v>
      </c>
      <c r="C38" s="121">
        <v>4483</v>
      </c>
      <c r="D38" s="72">
        <v>1</v>
      </c>
      <c r="E38">
        <v>952.69299999999998</v>
      </c>
      <c r="F38">
        <v>284</v>
      </c>
      <c r="G38">
        <v>174</v>
      </c>
      <c r="H38">
        <v>0</v>
      </c>
      <c r="I38" s="173">
        <v>1.04</v>
      </c>
      <c r="J38" s="121">
        <v>510262347</v>
      </c>
      <c r="K38" s="125">
        <v>4579.9179999999997</v>
      </c>
      <c r="L38" s="173">
        <v>1.5</v>
      </c>
      <c r="M38">
        <v>1.04</v>
      </c>
      <c r="N38">
        <v>1.000000005</v>
      </c>
      <c r="O38">
        <v>3.9999995000000066</v>
      </c>
      <c r="P38">
        <v>3206.585</v>
      </c>
      <c r="Q38" s="125">
        <v>9.4E-2</v>
      </c>
      <c r="R38" s="125">
        <v>0</v>
      </c>
      <c r="S38" s="125">
        <v>4.3609999999999998</v>
      </c>
      <c r="T38" s="125">
        <v>53.789000000000001</v>
      </c>
      <c r="U38" s="125">
        <v>13.879</v>
      </c>
      <c r="V38" s="125">
        <v>0</v>
      </c>
      <c r="W38" s="125">
        <v>2.153</v>
      </c>
      <c r="X38" s="125">
        <v>0</v>
      </c>
      <c r="Y38" s="125">
        <v>0</v>
      </c>
      <c r="Z38" s="125">
        <v>0</v>
      </c>
      <c r="AA38" s="125">
        <v>122.029</v>
      </c>
      <c r="AB38" s="125">
        <v>164.02699999999999</v>
      </c>
      <c r="AC38" s="125">
        <v>3163.5</v>
      </c>
      <c r="AD38" s="125">
        <v>3.9409999999999998</v>
      </c>
      <c r="AE38" s="125">
        <v>77.266999999999996</v>
      </c>
      <c r="AF38" s="125">
        <v>160.32900000000001</v>
      </c>
      <c r="AG38" s="125">
        <v>0</v>
      </c>
      <c r="AH38" s="125">
        <v>0</v>
      </c>
      <c r="AI38" s="121">
        <v>5349182</v>
      </c>
      <c r="AJ38" s="121">
        <v>620126</v>
      </c>
      <c r="AK38" s="424">
        <v>12</v>
      </c>
      <c r="AL38">
        <v>0</v>
      </c>
      <c r="AM38" s="121">
        <v>157908</v>
      </c>
      <c r="AN38" s="125">
        <v>0</v>
      </c>
      <c r="AO38" s="125">
        <v>0</v>
      </c>
      <c r="AP38" s="121">
        <v>5969308</v>
      </c>
      <c r="AQ38" s="114">
        <v>0</v>
      </c>
      <c r="AR38" s="121">
        <v>340.12021368000001</v>
      </c>
      <c r="AS38" s="121">
        <v>66834.690044999996</v>
      </c>
      <c r="AT38" s="121">
        <v>8802.0987086999994</v>
      </c>
      <c r="AU38" s="420" t="s">
        <v>2001</v>
      </c>
      <c r="AV38" s="420" t="s">
        <v>2001</v>
      </c>
      <c r="AW38" s="121">
        <v>0</v>
      </c>
      <c r="AX38" s="121">
        <v>1833087</v>
      </c>
      <c r="BI38">
        <v>0</v>
      </c>
      <c r="BJ38" s="121">
        <v>0</v>
      </c>
      <c r="BK38" s="134">
        <v>510262347</v>
      </c>
      <c r="BL38" s="934">
        <v>4483</v>
      </c>
      <c r="BM38" s="934">
        <v>4481</v>
      </c>
      <c r="BN38" s="934">
        <v>4481</v>
      </c>
      <c r="BO38" s="114">
        <v>0</v>
      </c>
      <c r="BP38" s="114">
        <v>0</v>
      </c>
    </row>
    <row r="39" spans="1:68">
      <c r="A39" t="s">
        <v>3048</v>
      </c>
      <c r="B39" t="s">
        <v>1374</v>
      </c>
      <c r="C39" s="121">
        <v>6068</v>
      </c>
      <c r="D39" s="72">
        <v>3</v>
      </c>
      <c r="E39">
        <v>0</v>
      </c>
      <c r="F39">
        <v>13</v>
      </c>
      <c r="G39">
        <v>8</v>
      </c>
      <c r="H39">
        <v>3</v>
      </c>
      <c r="I39" s="173">
        <v>0.91100000000000003</v>
      </c>
      <c r="J39" s="121">
        <v>201615789</v>
      </c>
      <c r="K39" s="125">
        <v>215.50399999999999</v>
      </c>
      <c r="L39" s="173">
        <v>1.3035000000000001</v>
      </c>
      <c r="M39">
        <v>0.91100000000000003</v>
      </c>
      <c r="N39">
        <v>0.86900000434500013</v>
      </c>
      <c r="O39">
        <v>4.19999956549999</v>
      </c>
      <c r="P39">
        <v>130</v>
      </c>
      <c r="Q39" s="125">
        <v>0</v>
      </c>
      <c r="R39" s="125">
        <v>0</v>
      </c>
      <c r="S39" s="125">
        <v>0.15</v>
      </c>
      <c r="T39" s="125">
        <v>0.45</v>
      </c>
      <c r="U39" s="125">
        <v>0</v>
      </c>
      <c r="V39" s="125">
        <v>0</v>
      </c>
      <c r="W39" s="125">
        <v>0</v>
      </c>
      <c r="X39" s="125">
        <v>0</v>
      </c>
      <c r="Y39" s="125">
        <v>0</v>
      </c>
      <c r="Z39" s="125">
        <v>0</v>
      </c>
      <c r="AA39" s="125">
        <v>2</v>
      </c>
      <c r="AB39" s="125">
        <v>0</v>
      </c>
      <c r="AC39" s="125">
        <v>90</v>
      </c>
      <c r="AD39" s="125">
        <v>0</v>
      </c>
      <c r="AE39" s="125">
        <v>2</v>
      </c>
      <c r="AF39" s="125">
        <v>6.5</v>
      </c>
      <c r="AG39" s="125">
        <v>0</v>
      </c>
      <c r="AH39" s="125">
        <v>0</v>
      </c>
      <c r="AI39" s="121">
        <v>1600323</v>
      </c>
      <c r="AJ39" s="121">
        <v>0</v>
      </c>
      <c r="AK39" s="424">
        <v>8</v>
      </c>
      <c r="AL39">
        <v>0</v>
      </c>
      <c r="AM39" s="121">
        <v>39005</v>
      </c>
      <c r="AN39" s="125">
        <v>0</v>
      </c>
      <c r="AO39" s="125">
        <v>0</v>
      </c>
      <c r="AP39" s="121">
        <v>1600323</v>
      </c>
      <c r="AQ39" s="114">
        <v>0</v>
      </c>
      <c r="AR39" s="121">
        <v>0</v>
      </c>
      <c r="AS39" s="121">
        <v>0</v>
      </c>
      <c r="AT39" s="121">
        <v>0</v>
      </c>
      <c r="AU39" s="420" t="s">
        <v>798</v>
      </c>
      <c r="AV39" s="420" t="s">
        <v>2001</v>
      </c>
      <c r="AW39" s="121">
        <v>0</v>
      </c>
      <c r="AX39" s="121">
        <v>0</v>
      </c>
      <c r="AY39" s="134">
        <v>210040</v>
      </c>
      <c r="AZ39" s="134">
        <v>561877</v>
      </c>
      <c r="BA39" s="114">
        <v>226</v>
      </c>
      <c r="BB39" s="134">
        <v>51967132</v>
      </c>
      <c r="BC39" s="114">
        <v>0</v>
      </c>
      <c r="BD39" s="114">
        <v>0</v>
      </c>
      <c r="BE39" s="114">
        <v>0</v>
      </c>
      <c r="BF39" s="114">
        <v>139</v>
      </c>
      <c r="BG39" s="114">
        <v>0</v>
      </c>
      <c r="BH39" s="114">
        <v>0</v>
      </c>
      <c r="BI39">
        <v>0</v>
      </c>
      <c r="BJ39" s="121">
        <v>34</v>
      </c>
      <c r="BK39" s="134">
        <v>170715901</v>
      </c>
      <c r="BL39" s="934">
        <v>5874</v>
      </c>
      <c r="BM39" s="934">
        <v>5304</v>
      </c>
      <c r="BN39" s="934">
        <v>6068</v>
      </c>
      <c r="BO39" s="114">
        <v>0</v>
      </c>
      <c r="BP39" s="114">
        <v>0</v>
      </c>
    </row>
    <row r="40" spans="1:68">
      <c r="A40" t="s">
        <v>3049</v>
      </c>
      <c r="B40" t="s">
        <v>1375</v>
      </c>
      <c r="C40" s="121">
        <v>4660</v>
      </c>
      <c r="D40" s="72">
        <v>1</v>
      </c>
      <c r="E40">
        <v>126.72199999999999</v>
      </c>
      <c r="F40">
        <v>40</v>
      </c>
      <c r="G40">
        <v>34</v>
      </c>
      <c r="H40">
        <v>1</v>
      </c>
      <c r="I40" s="173">
        <v>1.04</v>
      </c>
      <c r="J40" s="121">
        <v>155688753</v>
      </c>
      <c r="K40" s="125">
        <v>622.88599999999997</v>
      </c>
      <c r="L40" s="173">
        <v>1.5</v>
      </c>
      <c r="M40">
        <v>1.04</v>
      </c>
      <c r="N40">
        <v>1.000000005</v>
      </c>
      <c r="O40">
        <v>3.9999995000000066</v>
      </c>
      <c r="P40">
        <v>323.12599999999998</v>
      </c>
      <c r="Q40" s="125">
        <v>0</v>
      </c>
      <c r="R40" s="125">
        <v>0</v>
      </c>
      <c r="S40" s="125">
        <v>0.497</v>
      </c>
      <c r="T40" s="125">
        <v>12.967000000000001</v>
      </c>
      <c r="U40" s="125">
        <v>1.2689999999999999</v>
      </c>
      <c r="V40" s="125">
        <v>0</v>
      </c>
      <c r="W40" s="125">
        <v>0</v>
      </c>
      <c r="X40" s="125">
        <v>0</v>
      </c>
      <c r="Y40" s="125">
        <v>0</v>
      </c>
      <c r="Z40" s="125">
        <v>7.3330000000000002</v>
      </c>
      <c r="AA40" s="125">
        <v>11.724</v>
      </c>
      <c r="AB40" s="125">
        <v>20.234999999999999</v>
      </c>
      <c r="AC40" s="125">
        <v>299.8</v>
      </c>
      <c r="AD40" s="125">
        <v>0.33300000000000002</v>
      </c>
      <c r="AE40" s="125">
        <v>4.4889999999999999</v>
      </c>
      <c r="AF40" s="125">
        <v>16.155999999999999</v>
      </c>
      <c r="AG40" s="125">
        <v>0</v>
      </c>
      <c r="AH40" s="125">
        <v>0</v>
      </c>
      <c r="AI40" s="121">
        <v>1500058</v>
      </c>
      <c r="AJ40" s="121">
        <v>0</v>
      </c>
      <c r="AK40" s="424">
        <v>12</v>
      </c>
      <c r="AL40">
        <v>0</v>
      </c>
      <c r="AM40" s="121">
        <v>56697</v>
      </c>
      <c r="AN40" s="125">
        <v>0</v>
      </c>
      <c r="AO40" s="125">
        <v>0</v>
      </c>
      <c r="AP40" s="121">
        <v>1500058</v>
      </c>
      <c r="AQ40" s="114">
        <v>0</v>
      </c>
      <c r="AR40" s="121">
        <v>103.77581684</v>
      </c>
      <c r="AS40" s="121">
        <v>20392.27389</v>
      </c>
      <c r="AT40" s="121">
        <v>2685.6533269000001</v>
      </c>
      <c r="AU40" s="420" t="s">
        <v>2001</v>
      </c>
      <c r="AV40" s="420" t="s">
        <v>2001</v>
      </c>
      <c r="AW40" s="121">
        <v>0</v>
      </c>
      <c r="AX40" s="121">
        <v>0</v>
      </c>
      <c r="BI40">
        <v>0</v>
      </c>
      <c r="BJ40" s="121">
        <v>0</v>
      </c>
      <c r="BK40" s="134">
        <v>138755508</v>
      </c>
      <c r="BL40" s="934">
        <v>4660</v>
      </c>
      <c r="BM40" s="934">
        <v>4549</v>
      </c>
      <c r="BN40" s="934">
        <v>4549</v>
      </c>
      <c r="BO40" s="114">
        <v>0</v>
      </c>
      <c r="BP40" s="114">
        <v>0</v>
      </c>
    </row>
    <row r="41" spans="1:68">
      <c r="A41" t="s">
        <v>1313</v>
      </c>
      <c r="B41" t="s">
        <v>2089</v>
      </c>
      <c r="C41" s="121">
        <v>4650</v>
      </c>
      <c r="D41" s="72">
        <v>1</v>
      </c>
      <c r="E41">
        <v>222.982</v>
      </c>
      <c r="F41">
        <v>65</v>
      </c>
      <c r="G41">
        <v>42</v>
      </c>
      <c r="H41">
        <v>2</v>
      </c>
      <c r="I41" s="173">
        <v>1.04</v>
      </c>
      <c r="J41" s="121">
        <v>109767862</v>
      </c>
      <c r="K41" s="125">
        <v>1167.75</v>
      </c>
      <c r="L41" s="173">
        <v>1.5</v>
      </c>
      <c r="M41">
        <v>1.04</v>
      </c>
      <c r="N41">
        <v>1.000000005</v>
      </c>
      <c r="O41">
        <v>3.9999995000000066</v>
      </c>
      <c r="P41">
        <v>730</v>
      </c>
      <c r="Q41" s="125">
        <v>0.16</v>
      </c>
      <c r="R41" s="125">
        <v>0</v>
      </c>
      <c r="S41" s="125">
        <v>1.3</v>
      </c>
      <c r="T41" s="125">
        <v>27</v>
      </c>
      <c r="U41" s="125">
        <v>2.25</v>
      </c>
      <c r="V41" s="125">
        <v>0</v>
      </c>
      <c r="W41" s="125">
        <v>0</v>
      </c>
      <c r="X41" s="125">
        <v>0</v>
      </c>
      <c r="Y41" s="125">
        <v>0</v>
      </c>
      <c r="Z41" s="125">
        <v>0</v>
      </c>
      <c r="AA41" s="125">
        <v>4.9000000000000004</v>
      </c>
      <c r="AB41" s="125">
        <v>38</v>
      </c>
      <c r="AC41" s="125">
        <v>515</v>
      </c>
      <c r="AD41" s="125">
        <v>0</v>
      </c>
      <c r="AE41" s="125">
        <v>27</v>
      </c>
      <c r="AF41" s="125">
        <v>34</v>
      </c>
      <c r="AG41" s="125">
        <v>0</v>
      </c>
      <c r="AH41" s="125">
        <v>0</v>
      </c>
      <c r="AI41" s="121">
        <v>1150718</v>
      </c>
      <c r="AJ41" s="121">
        <v>71619</v>
      </c>
      <c r="AK41" s="424">
        <v>12</v>
      </c>
      <c r="AL41">
        <v>0</v>
      </c>
      <c r="AM41" s="121">
        <v>66789</v>
      </c>
      <c r="AN41" s="125">
        <v>0</v>
      </c>
      <c r="AO41" s="125">
        <v>0</v>
      </c>
      <c r="AP41" s="121">
        <v>1222337</v>
      </c>
      <c r="AQ41" s="114">
        <v>0</v>
      </c>
      <c r="AR41" s="121">
        <v>73.166810952000006</v>
      </c>
      <c r="AS41" s="121">
        <v>14377.508113</v>
      </c>
      <c r="AT41" s="121">
        <v>1893.5113713000001</v>
      </c>
      <c r="AU41" s="420" t="s">
        <v>2001</v>
      </c>
      <c r="AV41" s="420" t="s">
        <v>2001</v>
      </c>
      <c r="AW41" s="121">
        <v>0</v>
      </c>
      <c r="AX41" s="121">
        <v>169390</v>
      </c>
      <c r="BI41">
        <v>0</v>
      </c>
      <c r="BJ41" s="121">
        <v>0</v>
      </c>
      <c r="BK41" s="134">
        <v>109767862</v>
      </c>
      <c r="BL41" s="934">
        <v>4650</v>
      </c>
      <c r="BM41" s="934">
        <v>4505</v>
      </c>
      <c r="BN41" s="934">
        <v>4505</v>
      </c>
      <c r="BO41" s="114">
        <v>0</v>
      </c>
      <c r="BP41" s="114">
        <v>0</v>
      </c>
    </row>
    <row r="42" spans="1:68">
      <c r="A42" t="s">
        <v>2449</v>
      </c>
      <c r="B42" t="s">
        <v>1376</v>
      </c>
      <c r="C42" s="121">
        <v>4632</v>
      </c>
      <c r="D42" s="72">
        <v>3</v>
      </c>
      <c r="E42">
        <v>315.72399999999999</v>
      </c>
      <c r="F42">
        <v>88</v>
      </c>
      <c r="G42">
        <v>59</v>
      </c>
      <c r="H42">
        <v>1</v>
      </c>
      <c r="I42" s="173">
        <v>1.0394000000000001</v>
      </c>
      <c r="J42" s="121">
        <v>168834172</v>
      </c>
      <c r="K42" s="125">
        <v>1333.9870000000001</v>
      </c>
      <c r="L42" s="173">
        <v>1.4993000000000001</v>
      </c>
      <c r="M42">
        <v>1.0394000000000001</v>
      </c>
      <c r="N42">
        <v>0.99953333833100011</v>
      </c>
      <c r="O42">
        <v>3.9866661668999992</v>
      </c>
      <c r="P42">
        <v>896.42200000000003</v>
      </c>
      <c r="Q42" s="125">
        <v>5.1999999999999998E-2</v>
      </c>
      <c r="R42" s="125">
        <v>0</v>
      </c>
      <c r="S42" s="125">
        <v>1.931</v>
      </c>
      <c r="T42" s="125">
        <v>19.538</v>
      </c>
      <c r="U42" s="125">
        <v>4.0789999999999997</v>
      </c>
      <c r="V42" s="125">
        <v>1.7490000000000001</v>
      </c>
      <c r="W42" s="125">
        <v>2.4060000000000001</v>
      </c>
      <c r="X42" s="125">
        <v>0</v>
      </c>
      <c r="Y42" s="125">
        <v>0</v>
      </c>
      <c r="Z42" s="125">
        <v>7.4999999999999997E-2</v>
      </c>
      <c r="AA42" s="125">
        <v>40.613</v>
      </c>
      <c r="AB42" s="125">
        <v>50.91</v>
      </c>
      <c r="AC42" s="125">
        <v>366.4</v>
      </c>
      <c r="AD42" s="125">
        <v>0</v>
      </c>
      <c r="AE42" s="125">
        <v>6.6340000000000003</v>
      </c>
      <c r="AF42" s="125">
        <v>44.820999999999998</v>
      </c>
      <c r="AG42" s="125">
        <v>0</v>
      </c>
      <c r="AH42" s="125">
        <v>0</v>
      </c>
      <c r="AI42" s="121">
        <v>1824179</v>
      </c>
      <c r="AJ42" s="121">
        <v>190774</v>
      </c>
      <c r="AK42" s="424">
        <v>12</v>
      </c>
      <c r="AL42">
        <v>0</v>
      </c>
      <c r="AM42" s="121">
        <v>67475</v>
      </c>
      <c r="AN42" s="125">
        <v>0</v>
      </c>
      <c r="AO42" s="125">
        <v>0</v>
      </c>
      <c r="AP42" s="121">
        <v>2014953</v>
      </c>
      <c r="AQ42" s="114">
        <v>0</v>
      </c>
      <c r="AR42" s="121">
        <v>112.53802087</v>
      </c>
      <c r="AS42" s="121">
        <v>22114.074497000001</v>
      </c>
      <c r="AT42" s="121">
        <v>2912.4136948</v>
      </c>
      <c r="AU42" s="420" t="s">
        <v>2001</v>
      </c>
      <c r="AV42" s="420" t="s">
        <v>2001</v>
      </c>
      <c r="AW42" s="121">
        <v>0</v>
      </c>
      <c r="AX42" s="121">
        <v>434870</v>
      </c>
      <c r="BI42">
        <v>0</v>
      </c>
      <c r="BJ42" s="121">
        <v>0</v>
      </c>
      <c r="BK42" s="134">
        <v>168834172</v>
      </c>
      <c r="BL42" s="934">
        <v>4547</v>
      </c>
      <c r="BM42" s="934">
        <v>4631</v>
      </c>
      <c r="BN42" s="934">
        <v>4632</v>
      </c>
      <c r="BO42" s="114">
        <v>0</v>
      </c>
      <c r="BP42" s="114">
        <v>0</v>
      </c>
    </row>
    <row r="43" spans="1:68">
      <c r="A43" t="s">
        <v>1895</v>
      </c>
      <c r="B43" t="s">
        <v>2432</v>
      </c>
      <c r="C43" s="121">
        <v>4565</v>
      </c>
      <c r="D43" s="72">
        <v>2</v>
      </c>
      <c r="E43">
        <v>107.351</v>
      </c>
      <c r="F43">
        <v>36</v>
      </c>
      <c r="G43">
        <v>26</v>
      </c>
      <c r="H43">
        <v>1</v>
      </c>
      <c r="I43" s="173">
        <v>1.04</v>
      </c>
      <c r="J43" s="121">
        <v>73520988</v>
      </c>
      <c r="K43" s="125">
        <v>601.66200000000003</v>
      </c>
      <c r="L43" s="173">
        <v>1.5</v>
      </c>
      <c r="M43">
        <v>1.04</v>
      </c>
      <c r="N43">
        <v>1.000000005</v>
      </c>
      <c r="O43">
        <v>3.9999995000000066</v>
      </c>
      <c r="P43">
        <v>327.40899999999999</v>
      </c>
      <c r="Q43" s="125">
        <v>0</v>
      </c>
      <c r="R43" s="125">
        <v>0</v>
      </c>
      <c r="S43" s="125">
        <v>0.371</v>
      </c>
      <c r="T43" s="125">
        <v>6.8070000000000004</v>
      </c>
      <c r="U43" s="125">
        <v>0.10199999999999999</v>
      </c>
      <c r="V43" s="125">
        <v>3.2170000000000001</v>
      </c>
      <c r="W43" s="125">
        <v>0.64500000000000002</v>
      </c>
      <c r="X43" s="125">
        <v>0</v>
      </c>
      <c r="Y43" s="125">
        <v>0</v>
      </c>
      <c r="Z43" s="125">
        <v>0.624</v>
      </c>
      <c r="AA43" s="125">
        <v>16.887</v>
      </c>
      <c r="AB43" s="125">
        <v>20.62</v>
      </c>
      <c r="AC43" s="125">
        <v>324.10000000000002</v>
      </c>
      <c r="AD43" s="125">
        <v>0</v>
      </c>
      <c r="AE43" s="125">
        <v>38.293999999999997</v>
      </c>
      <c r="AF43" s="125">
        <v>16.37</v>
      </c>
      <c r="AG43" s="125">
        <v>0</v>
      </c>
      <c r="AH43" s="125">
        <v>0</v>
      </c>
      <c r="AI43" s="121">
        <v>736853</v>
      </c>
      <c r="AJ43" s="121">
        <v>63240</v>
      </c>
      <c r="AK43" s="424">
        <v>12</v>
      </c>
      <c r="AL43">
        <v>0</v>
      </c>
      <c r="AM43" s="121">
        <v>52879</v>
      </c>
      <c r="AN43" s="125">
        <v>0</v>
      </c>
      <c r="AO43" s="125">
        <v>0</v>
      </c>
      <c r="AP43" s="121">
        <v>800093</v>
      </c>
      <c r="AQ43" s="114">
        <v>0</v>
      </c>
      <c r="AR43" s="121">
        <v>49.006112942000001</v>
      </c>
      <c r="AS43" s="121">
        <v>9629.8550837999992</v>
      </c>
      <c r="AT43" s="121">
        <v>1268.2475962999999</v>
      </c>
      <c r="AU43" s="420" t="s">
        <v>2001</v>
      </c>
      <c r="AV43" s="420" t="s">
        <v>2001</v>
      </c>
      <c r="AW43" s="121">
        <v>0</v>
      </c>
      <c r="AX43" s="121">
        <v>172500</v>
      </c>
      <c r="BI43">
        <v>0</v>
      </c>
      <c r="BJ43" s="121">
        <v>0</v>
      </c>
      <c r="BK43" s="134">
        <v>70288921</v>
      </c>
      <c r="BL43" s="934">
        <v>4456</v>
      </c>
      <c r="BM43" s="934">
        <v>4565</v>
      </c>
      <c r="BN43" s="934">
        <v>4565</v>
      </c>
      <c r="BO43" s="114">
        <v>0</v>
      </c>
      <c r="BP43" s="114">
        <v>0</v>
      </c>
    </row>
    <row r="44" spans="1:68">
      <c r="A44" t="s">
        <v>1898</v>
      </c>
      <c r="B44" t="s">
        <v>3079</v>
      </c>
      <c r="C44" s="121">
        <v>4804</v>
      </c>
      <c r="D44" s="72">
        <v>2</v>
      </c>
      <c r="E44">
        <v>2219.1860000000001</v>
      </c>
      <c r="F44">
        <v>548</v>
      </c>
      <c r="G44">
        <v>443</v>
      </c>
      <c r="H44">
        <v>92</v>
      </c>
      <c r="I44" s="173">
        <v>1.04</v>
      </c>
      <c r="J44" s="121">
        <v>1605561970</v>
      </c>
      <c r="K44" s="125">
        <v>9956.9480000000003</v>
      </c>
      <c r="L44" s="173">
        <v>1.5</v>
      </c>
      <c r="M44">
        <v>1.04</v>
      </c>
      <c r="N44">
        <v>1.000000005</v>
      </c>
      <c r="O44">
        <v>3.9999995000000066</v>
      </c>
      <c r="P44">
        <v>7870</v>
      </c>
      <c r="Q44" s="125">
        <v>0.63</v>
      </c>
      <c r="R44" s="125">
        <v>0</v>
      </c>
      <c r="S44" s="125">
        <v>13.895</v>
      </c>
      <c r="T44" s="125">
        <v>180</v>
      </c>
      <c r="U44" s="125">
        <v>60</v>
      </c>
      <c r="V44" s="125">
        <v>0</v>
      </c>
      <c r="W44" s="125">
        <v>18.925000000000001</v>
      </c>
      <c r="X44" s="125">
        <v>0</v>
      </c>
      <c r="Y44" s="125">
        <v>0</v>
      </c>
      <c r="Z44" s="125">
        <v>3.3559999999999999</v>
      </c>
      <c r="AA44" s="125">
        <v>280</v>
      </c>
      <c r="AB44" s="125">
        <v>250</v>
      </c>
      <c r="AC44" s="125">
        <v>3700</v>
      </c>
      <c r="AD44" s="125">
        <v>4</v>
      </c>
      <c r="AE44" s="125">
        <v>496</v>
      </c>
      <c r="AF44" s="125">
        <v>370.399</v>
      </c>
      <c r="AG44" s="125">
        <v>0</v>
      </c>
      <c r="AH44" s="125">
        <v>0</v>
      </c>
      <c r="AI44" s="121">
        <v>17357409</v>
      </c>
      <c r="AJ44" s="121">
        <v>4186991</v>
      </c>
      <c r="AK44" s="424">
        <v>12</v>
      </c>
      <c r="AL44">
        <v>0</v>
      </c>
      <c r="AM44" s="121">
        <v>676466</v>
      </c>
      <c r="AN44" s="125">
        <v>0</v>
      </c>
      <c r="AO44" s="125">
        <v>0</v>
      </c>
      <c r="AP44" s="121">
        <v>21544400</v>
      </c>
      <c r="AQ44" s="114">
        <v>0</v>
      </c>
      <c r="AR44" s="121">
        <v>1070.2025802000001</v>
      </c>
      <c r="AS44" s="121">
        <v>210298.16769</v>
      </c>
      <c r="AT44" s="121">
        <v>27696.174382000001</v>
      </c>
      <c r="AU44" s="420" t="s">
        <v>2001</v>
      </c>
      <c r="AV44" s="420" t="s">
        <v>2001</v>
      </c>
      <c r="AW44" s="121">
        <v>0</v>
      </c>
      <c r="AX44" s="121">
        <v>7155681</v>
      </c>
      <c r="BI44">
        <v>0</v>
      </c>
      <c r="BJ44" s="121">
        <v>0</v>
      </c>
      <c r="BK44" s="134">
        <v>1605561970</v>
      </c>
      <c r="BL44" s="934">
        <v>4758</v>
      </c>
      <c r="BM44" s="934">
        <v>4804</v>
      </c>
      <c r="BN44" s="934">
        <v>4804</v>
      </c>
      <c r="BO44" s="114">
        <v>0</v>
      </c>
      <c r="BP44" s="114">
        <v>0</v>
      </c>
    </row>
    <row r="45" spans="1:68">
      <c r="A45" t="s">
        <v>198</v>
      </c>
      <c r="B45" t="s">
        <v>2728</v>
      </c>
      <c r="C45" s="121">
        <v>4564</v>
      </c>
      <c r="D45" s="72">
        <v>3</v>
      </c>
      <c r="E45">
        <v>138.256</v>
      </c>
      <c r="F45">
        <v>46</v>
      </c>
      <c r="G45">
        <v>42</v>
      </c>
      <c r="H45">
        <v>3</v>
      </c>
      <c r="I45" s="173">
        <v>1.04</v>
      </c>
      <c r="J45" s="121">
        <v>78190474</v>
      </c>
      <c r="K45" s="125">
        <v>857.63</v>
      </c>
      <c r="L45" s="173">
        <v>1.42</v>
      </c>
      <c r="M45">
        <v>1.04</v>
      </c>
      <c r="N45">
        <v>0.94666667139999994</v>
      </c>
      <c r="O45">
        <v>9.3333328600000094</v>
      </c>
      <c r="P45">
        <v>549</v>
      </c>
      <c r="Q45" s="125">
        <v>0</v>
      </c>
      <c r="R45" s="125">
        <v>0</v>
      </c>
      <c r="S45" s="125">
        <v>0.66700000000000004</v>
      </c>
      <c r="T45" s="125">
        <v>11</v>
      </c>
      <c r="U45" s="125">
        <v>1.42</v>
      </c>
      <c r="V45" s="125">
        <v>2.5</v>
      </c>
      <c r="W45" s="125">
        <v>0</v>
      </c>
      <c r="X45" s="125">
        <v>0</v>
      </c>
      <c r="Y45" s="125">
        <v>0</v>
      </c>
      <c r="Z45" s="125">
        <v>0</v>
      </c>
      <c r="AA45" s="125">
        <v>8.59</v>
      </c>
      <c r="AB45" s="125">
        <v>27</v>
      </c>
      <c r="AC45" s="125">
        <v>291</v>
      </c>
      <c r="AD45" s="125">
        <v>0.26500000000000001</v>
      </c>
      <c r="AE45" s="125">
        <v>23.32</v>
      </c>
      <c r="AF45" s="125">
        <v>27</v>
      </c>
      <c r="AG45" s="125">
        <v>0</v>
      </c>
      <c r="AH45" s="125">
        <v>0</v>
      </c>
      <c r="AI45" s="121">
        <v>800256</v>
      </c>
      <c r="AJ45" s="121">
        <v>110814</v>
      </c>
      <c r="AK45" s="424">
        <v>12</v>
      </c>
      <c r="AL45">
        <v>0</v>
      </c>
      <c r="AM45" s="121">
        <v>44361</v>
      </c>
      <c r="AN45" s="125">
        <v>0</v>
      </c>
      <c r="AO45" s="125">
        <v>0</v>
      </c>
      <c r="AP45" s="121">
        <v>911070</v>
      </c>
      <c r="AQ45" s="114">
        <v>0</v>
      </c>
      <c r="AR45" s="121">
        <v>52.118603161000003</v>
      </c>
      <c r="AS45" s="121">
        <v>10241.469186</v>
      </c>
      <c r="AT45" s="121">
        <v>1348.7968992000001</v>
      </c>
      <c r="AU45" s="420" t="s">
        <v>2001</v>
      </c>
      <c r="AV45" s="420" t="s">
        <v>2001</v>
      </c>
      <c r="AW45" s="121">
        <v>0</v>
      </c>
      <c r="AX45" s="121">
        <v>270595</v>
      </c>
      <c r="BI45">
        <v>0</v>
      </c>
      <c r="BJ45" s="121">
        <v>0</v>
      </c>
      <c r="BK45" s="134">
        <v>74779060</v>
      </c>
      <c r="BL45" s="934">
        <v>4478</v>
      </c>
      <c r="BM45" s="934">
        <v>4492</v>
      </c>
      <c r="BN45" s="934">
        <v>4564</v>
      </c>
      <c r="BO45" s="114">
        <v>0</v>
      </c>
      <c r="BP45" s="114">
        <v>0</v>
      </c>
    </row>
    <row r="46" spans="1:68">
      <c r="A46" t="s">
        <v>60</v>
      </c>
      <c r="B46" t="s">
        <v>2878</v>
      </c>
      <c r="C46" s="121">
        <v>4667</v>
      </c>
      <c r="D46" s="72">
        <v>3</v>
      </c>
      <c r="E46">
        <v>8205.59</v>
      </c>
      <c r="F46">
        <v>2943</v>
      </c>
      <c r="G46">
        <v>2341</v>
      </c>
      <c r="H46">
        <v>325</v>
      </c>
      <c r="I46" s="173">
        <v>1.0310999999999999</v>
      </c>
      <c r="J46" s="121">
        <v>5202837903</v>
      </c>
      <c r="K46" s="125">
        <v>44799.072999999997</v>
      </c>
      <c r="L46" s="173">
        <v>1.42</v>
      </c>
      <c r="M46">
        <v>1.0310999999999999</v>
      </c>
      <c r="N46">
        <v>0.94666667139999994</v>
      </c>
      <c r="O46">
        <v>8.4433328599999964</v>
      </c>
      <c r="P46">
        <v>33768.357000000004</v>
      </c>
      <c r="Q46" s="125">
        <v>1.871</v>
      </c>
      <c r="R46" s="125">
        <v>0</v>
      </c>
      <c r="S46" s="125">
        <v>61.607999999999997</v>
      </c>
      <c r="T46" s="125">
        <v>1275.335</v>
      </c>
      <c r="U46" s="125">
        <v>426.66300000000001</v>
      </c>
      <c r="V46" s="125">
        <v>0.63200000000000001</v>
      </c>
      <c r="W46" s="125">
        <v>18.355</v>
      </c>
      <c r="X46" s="125">
        <v>0</v>
      </c>
      <c r="Y46" s="125">
        <v>0</v>
      </c>
      <c r="Z46" s="125">
        <v>62.033999999999999</v>
      </c>
      <c r="AA46" s="125">
        <v>629.75300000000004</v>
      </c>
      <c r="AB46" s="125">
        <v>1143.0350000000001</v>
      </c>
      <c r="AC46" s="125">
        <v>20817.7</v>
      </c>
      <c r="AD46" s="125">
        <v>4.1440000000000001</v>
      </c>
      <c r="AE46" s="125">
        <v>1610.4670000000001</v>
      </c>
      <c r="AF46" s="125">
        <v>1688.41785</v>
      </c>
      <c r="AG46" s="125">
        <v>0</v>
      </c>
      <c r="AH46" s="125">
        <v>0</v>
      </c>
      <c r="AI46" s="121">
        <v>54638921</v>
      </c>
      <c r="AJ46" s="121">
        <v>5663302</v>
      </c>
      <c r="AK46" s="424">
        <v>12</v>
      </c>
      <c r="AL46">
        <v>0</v>
      </c>
      <c r="AM46" s="121">
        <v>1778157</v>
      </c>
      <c r="AN46" s="125">
        <v>2</v>
      </c>
      <c r="AO46" s="125">
        <v>6</v>
      </c>
      <c r="AP46" s="121">
        <v>60302223</v>
      </c>
      <c r="AQ46" s="114">
        <v>0</v>
      </c>
      <c r="AR46" s="121">
        <v>3468.0010189</v>
      </c>
      <c r="AS46" s="121">
        <v>681473.09054999996</v>
      </c>
      <c r="AT46" s="121">
        <v>89749.700437000007</v>
      </c>
      <c r="AU46" s="420" t="s">
        <v>2001</v>
      </c>
      <c r="AV46" s="420" t="s">
        <v>2001</v>
      </c>
      <c r="AW46" s="121">
        <v>0</v>
      </c>
      <c r="AX46" s="121">
        <v>14262317</v>
      </c>
      <c r="BI46">
        <v>0</v>
      </c>
      <c r="BJ46" s="121">
        <v>0</v>
      </c>
      <c r="BK46" s="134">
        <v>5202837903</v>
      </c>
      <c r="BL46" s="934">
        <v>4592</v>
      </c>
      <c r="BM46" s="934">
        <v>4650</v>
      </c>
      <c r="BN46" s="934">
        <v>4667</v>
      </c>
      <c r="BO46" s="114">
        <v>0</v>
      </c>
      <c r="BP46" s="114">
        <v>0</v>
      </c>
    </row>
    <row r="47" spans="1:68">
      <c r="A47" t="s">
        <v>192</v>
      </c>
      <c r="B47" t="s">
        <v>1582</v>
      </c>
      <c r="C47" s="121">
        <v>4634</v>
      </c>
      <c r="D47" s="72">
        <v>2</v>
      </c>
      <c r="E47">
        <v>247.68100000000001</v>
      </c>
      <c r="F47">
        <v>75</v>
      </c>
      <c r="G47">
        <v>43</v>
      </c>
      <c r="H47">
        <v>7</v>
      </c>
      <c r="I47" s="173">
        <v>1.038</v>
      </c>
      <c r="J47" s="121">
        <v>128985393</v>
      </c>
      <c r="K47" s="125">
        <v>1203.769</v>
      </c>
      <c r="L47" s="173">
        <v>1.4750000000000001</v>
      </c>
      <c r="M47">
        <v>1.038</v>
      </c>
      <c r="N47">
        <v>0.98333333825000013</v>
      </c>
      <c r="O47">
        <v>5.4666661749999896</v>
      </c>
      <c r="P47">
        <v>769.52499999999998</v>
      </c>
      <c r="Q47" s="125">
        <v>0</v>
      </c>
      <c r="R47" s="125">
        <v>0</v>
      </c>
      <c r="S47" s="125">
        <v>1.4019999999999999</v>
      </c>
      <c r="T47" s="125">
        <v>22.687000000000001</v>
      </c>
      <c r="U47" s="125">
        <v>1.5549999999999999</v>
      </c>
      <c r="V47" s="125">
        <v>4.6589999999999998</v>
      </c>
      <c r="W47" s="125">
        <v>0.53600000000000003</v>
      </c>
      <c r="X47" s="125">
        <v>0</v>
      </c>
      <c r="Y47" s="125">
        <v>0</v>
      </c>
      <c r="Z47" s="125">
        <v>0</v>
      </c>
      <c r="AA47" s="125">
        <v>17.78</v>
      </c>
      <c r="AB47" s="125">
        <v>49.042999999999999</v>
      </c>
      <c r="AC47" s="125">
        <v>434.1</v>
      </c>
      <c r="AD47" s="125">
        <v>0</v>
      </c>
      <c r="AE47" s="125">
        <v>32.317999999999998</v>
      </c>
      <c r="AF47" s="125">
        <v>38.475999999999999</v>
      </c>
      <c r="AG47" s="125">
        <v>0</v>
      </c>
      <c r="AH47" s="125">
        <v>0</v>
      </c>
      <c r="AI47" s="121">
        <v>1391754</v>
      </c>
      <c r="AJ47" s="121">
        <v>94067</v>
      </c>
      <c r="AK47" s="424">
        <v>12</v>
      </c>
      <c r="AL47">
        <v>0</v>
      </c>
      <c r="AM47" s="121">
        <v>99066</v>
      </c>
      <c r="AN47" s="125">
        <v>0</v>
      </c>
      <c r="AO47" s="125">
        <v>0</v>
      </c>
      <c r="AP47" s="121">
        <v>1485821</v>
      </c>
      <c r="AQ47" s="114">
        <v>0</v>
      </c>
      <c r="AR47" s="121">
        <v>85.976438760999997</v>
      </c>
      <c r="AS47" s="121">
        <v>16894.640202999999</v>
      </c>
      <c r="AT47" s="121">
        <v>2225.0165387000002</v>
      </c>
      <c r="AU47" s="420" t="s">
        <v>2001</v>
      </c>
      <c r="AV47" s="420" t="s">
        <v>2001</v>
      </c>
      <c r="AW47" s="121">
        <v>0</v>
      </c>
      <c r="AX47" s="121">
        <v>218698</v>
      </c>
      <c r="BI47">
        <v>0</v>
      </c>
      <c r="BJ47" s="121">
        <v>0</v>
      </c>
      <c r="BK47" s="134">
        <v>128985393</v>
      </c>
      <c r="BL47" s="934">
        <v>4518</v>
      </c>
      <c r="BM47" s="934">
        <v>4634</v>
      </c>
      <c r="BN47" s="934">
        <v>4627</v>
      </c>
      <c r="BO47" s="114">
        <v>0</v>
      </c>
      <c r="BP47" s="114">
        <v>0</v>
      </c>
    </row>
    <row r="48" spans="1:68">
      <c r="A48" t="s">
        <v>1487</v>
      </c>
      <c r="B48" t="s">
        <v>2305</v>
      </c>
      <c r="C48" s="121">
        <v>5091</v>
      </c>
      <c r="D48" s="72">
        <v>3</v>
      </c>
      <c r="E48">
        <v>382.44600000000003</v>
      </c>
      <c r="F48">
        <v>0</v>
      </c>
      <c r="G48">
        <v>0</v>
      </c>
      <c r="H48">
        <v>0</v>
      </c>
      <c r="I48" s="173">
        <v>1.04</v>
      </c>
      <c r="J48" s="121">
        <v>517882757</v>
      </c>
      <c r="K48" s="125">
        <v>1749.623</v>
      </c>
      <c r="L48" s="173">
        <v>1.4219999999999999</v>
      </c>
      <c r="M48">
        <v>1.04</v>
      </c>
      <c r="N48">
        <v>0.94800000474000001</v>
      </c>
      <c r="O48">
        <v>9.1999995260000027</v>
      </c>
      <c r="P48">
        <v>1328.386</v>
      </c>
      <c r="Q48" s="125">
        <v>2.7E-2</v>
      </c>
      <c r="R48" s="125">
        <v>0</v>
      </c>
      <c r="S48" s="125">
        <v>0.81899999999999995</v>
      </c>
      <c r="T48" s="125">
        <v>41.767000000000003</v>
      </c>
      <c r="U48" s="125">
        <v>1.8280000000000001</v>
      </c>
      <c r="V48" s="125">
        <v>9.3230000000000004</v>
      </c>
      <c r="W48" s="125">
        <v>0</v>
      </c>
      <c r="X48" s="125">
        <v>0</v>
      </c>
      <c r="Y48" s="125">
        <v>0</v>
      </c>
      <c r="Z48" s="125">
        <v>0</v>
      </c>
      <c r="AA48" s="125">
        <v>23.477</v>
      </c>
      <c r="AB48" s="125">
        <v>66.61</v>
      </c>
      <c r="AC48" s="125">
        <v>336.4</v>
      </c>
      <c r="AD48" s="125">
        <v>0</v>
      </c>
      <c r="AE48" s="125">
        <v>64.224999999999994</v>
      </c>
      <c r="AF48" s="125">
        <v>66.418999999999997</v>
      </c>
      <c r="AG48" s="125">
        <v>0</v>
      </c>
      <c r="AH48" s="125">
        <v>0</v>
      </c>
      <c r="AI48" s="121">
        <v>5542174</v>
      </c>
      <c r="AJ48" s="121">
        <v>1386089</v>
      </c>
      <c r="AK48" s="424">
        <v>12</v>
      </c>
      <c r="AL48">
        <v>0</v>
      </c>
      <c r="AM48" s="121">
        <v>150068</v>
      </c>
      <c r="AN48" s="125">
        <v>0</v>
      </c>
      <c r="AO48" s="125">
        <v>0</v>
      </c>
      <c r="AP48" s="121">
        <v>6928263</v>
      </c>
      <c r="AQ48" s="114">
        <v>0</v>
      </c>
      <c r="AR48" s="121">
        <v>345.19967034000001</v>
      </c>
      <c r="AS48" s="121">
        <v>67832.819229999994</v>
      </c>
      <c r="AT48" s="121">
        <v>8933.5518747000006</v>
      </c>
      <c r="AU48" s="420" t="s">
        <v>2001</v>
      </c>
      <c r="AV48" s="420" t="s">
        <v>2001</v>
      </c>
      <c r="AW48" s="121">
        <v>0</v>
      </c>
      <c r="AX48" s="121">
        <v>1480473</v>
      </c>
      <c r="BI48">
        <v>0</v>
      </c>
      <c r="BJ48" s="121">
        <v>0</v>
      </c>
      <c r="BK48" s="134">
        <v>517882757</v>
      </c>
      <c r="BL48" s="934">
        <v>4574</v>
      </c>
      <c r="BM48" s="934">
        <v>4862</v>
      </c>
      <c r="BN48" s="934">
        <v>5091</v>
      </c>
      <c r="BO48" s="114">
        <v>0</v>
      </c>
      <c r="BP48" s="114">
        <v>0</v>
      </c>
    </row>
    <row r="49" spans="1:68">
      <c r="A49" t="s">
        <v>1707</v>
      </c>
      <c r="B49" t="s">
        <v>658</v>
      </c>
      <c r="C49" s="121">
        <v>4681</v>
      </c>
      <c r="D49" s="72">
        <v>1</v>
      </c>
      <c r="E49">
        <v>1907.5070000000001</v>
      </c>
      <c r="F49">
        <v>664</v>
      </c>
      <c r="G49">
        <v>493</v>
      </c>
      <c r="H49">
        <v>81</v>
      </c>
      <c r="I49" s="173">
        <v>1.04</v>
      </c>
      <c r="J49" s="121">
        <v>2468191161</v>
      </c>
      <c r="K49" s="125">
        <v>10209.593999999999</v>
      </c>
      <c r="L49" s="173">
        <v>1.5</v>
      </c>
      <c r="M49">
        <v>1.04</v>
      </c>
      <c r="N49">
        <v>1.000000005</v>
      </c>
      <c r="O49">
        <v>3.9999995000000066</v>
      </c>
      <c r="P49">
        <v>7456.9110000000001</v>
      </c>
      <c r="Q49" s="125">
        <v>2.2210000000000001</v>
      </c>
      <c r="R49" s="125">
        <v>0.64900000000000002</v>
      </c>
      <c r="S49" s="125">
        <v>11.867000000000001</v>
      </c>
      <c r="T49" s="125">
        <v>423.13</v>
      </c>
      <c r="U49" s="125">
        <v>78.012</v>
      </c>
      <c r="V49" s="125">
        <v>7.4999999999999997E-2</v>
      </c>
      <c r="W49" s="125">
        <v>21.503</v>
      </c>
      <c r="X49" s="125">
        <v>0</v>
      </c>
      <c r="Y49" s="125">
        <v>0</v>
      </c>
      <c r="Z49" s="125">
        <v>0.10199999999999999</v>
      </c>
      <c r="AA49" s="125">
        <v>28.068000000000001</v>
      </c>
      <c r="AB49" s="125">
        <v>333.62700000000001</v>
      </c>
      <c r="AC49" s="125">
        <v>5503.1</v>
      </c>
      <c r="AD49" s="125">
        <v>0</v>
      </c>
      <c r="AE49" s="125">
        <v>551.62</v>
      </c>
      <c r="AF49" s="125">
        <v>372.84555</v>
      </c>
      <c r="AG49" s="125">
        <v>0</v>
      </c>
      <c r="AH49" s="125">
        <v>0</v>
      </c>
      <c r="AI49" s="121">
        <v>26487665</v>
      </c>
      <c r="AJ49" s="121">
        <v>2957744</v>
      </c>
      <c r="AK49" s="424">
        <v>12</v>
      </c>
      <c r="AL49">
        <v>0</v>
      </c>
      <c r="AM49" s="121">
        <v>694212</v>
      </c>
      <c r="AN49" s="125">
        <v>1.36</v>
      </c>
      <c r="AO49" s="125">
        <v>2</v>
      </c>
      <c r="AP49" s="121">
        <v>29445409</v>
      </c>
      <c r="AQ49" s="114">
        <v>0</v>
      </c>
      <c r="AR49" s="121">
        <v>1645.1962599999999</v>
      </c>
      <c r="AS49" s="121">
        <v>323286.23139999999</v>
      </c>
      <c r="AT49" s="121">
        <v>42576.651705999997</v>
      </c>
      <c r="AU49" s="420" t="s">
        <v>2001</v>
      </c>
      <c r="AV49" s="420" t="s">
        <v>2001</v>
      </c>
      <c r="AW49" s="121">
        <v>0</v>
      </c>
      <c r="AX49" s="121">
        <v>8633618</v>
      </c>
      <c r="BI49">
        <v>0</v>
      </c>
      <c r="BJ49" s="121">
        <v>0</v>
      </c>
      <c r="BK49" s="134">
        <v>2450111506</v>
      </c>
      <c r="BL49" s="934">
        <v>4681</v>
      </c>
      <c r="BM49" s="934">
        <v>4675</v>
      </c>
      <c r="BN49" s="934">
        <v>4675</v>
      </c>
      <c r="BO49" s="114">
        <v>0</v>
      </c>
      <c r="BP49" s="114">
        <v>0</v>
      </c>
    </row>
    <row r="50" spans="1:68">
      <c r="A50" t="s">
        <v>1712</v>
      </c>
      <c r="B50" t="s">
        <v>2640</v>
      </c>
      <c r="C50" s="121">
        <v>4569</v>
      </c>
      <c r="D50" s="72">
        <v>3</v>
      </c>
      <c r="E50">
        <v>366.09199999999998</v>
      </c>
      <c r="F50">
        <v>99</v>
      </c>
      <c r="G50">
        <v>65</v>
      </c>
      <c r="H50">
        <v>2</v>
      </c>
      <c r="I50" s="173">
        <v>1.0333000000000001</v>
      </c>
      <c r="J50" s="121">
        <v>210409829</v>
      </c>
      <c r="K50" s="125">
        <v>1713.99</v>
      </c>
      <c r="L50" s="173">
        <v>1.49</v>
      </c>
      <c r="M50">
        <v>1.0333000000000001</v>
      </c>
      <c r="N50">
        <v>0.99333333830000003</v>
      </c>
      <c r="O50">
        <v>3.9966661700000072</v>
      </c>
      <c r="P50">
        <v>1136.9090000000001</v>
      </c>
      <c r="Q50" s="125">
        <v>2.3E-2</v>
      </c>
      <c r="R50" s="125">
        <v>0</v>
      </c>
      <c r="S50" s="125">
        <v>1.143</v>
      </c>
      <c r="T50" s="125">
        <v>47.621000000000002</v>
      </c>
      <c r="U50" s="125">
        <v>7.899</v>
      </c>
      <c r="V50" s="125">
        <v>0.623</v>
      </c>
      <c r="W50" s="125">
        <v>3.9359999999999999</v>
      </c>
      <c r="X50" s="125">
        <v>0</v>
      </c>
      <c r="Y50" s="125">
        <v>0</v>
      </c>
      <c r="Z50" s="125">
        <v>0</v>
      </c>
      <c r="AA50" s="125">
        <v>67.507000000000005</v>
      </c>
      <c r="AB50" s="125">
        <v>63.640999999999998</v>
      </c>
      <c r="AC50" s="125">
        <v>549.6</v>
      </c>
      <c r="AD50" s="125">
        <v>0</v>
      </c>
      <c r="AE50" s="125">
        <v>16.274999999999999</v>
      </c>
      <c r="AF50" s="125">
        <v>56.844999999999999</v>
      </c>
      <c r="AG50" s="125">
        <v>0</v>
      </c>
      <c r="AH50" s="125">
        <v>0</v>
      </c>
      <c r="AI50" s="121">
        <v>2260044</v>
      </c>
      <c r="AJ50" s="121">
        <v>346364</v>
      </c>
      <c r="AK50" s="424">
        <v>12</v>
      </c>
      <c r="AL50">
        <v>0</v>
      </c>
      <c r="AM50" s="121">
        <v>123970</v>
      </c>
      <c r="AN50" s="125">
        <v>0</v>
      </c>
      <c r="AO50" s="125">
        <v>0</v>
      </c>
      <c r="AP50" s="121">
        <v>2606408</v>
      </c>
      <c r="AQ50" s="114">
        <v>0</v>
      </c>
      <c r="AR50" s="121">
        <v>140.25066992000001</v>
      </c>
      <c r="AS50" s="121">
        <v>27559.697058999998</v>
      </c>
      <c r="AT50" s="121">
        <v>3629.5997441999998</v>
      </c>
      <c r="AU50" s="420" t="s">
        <v>2001</v>
      </c>
      <c r="AV50" s="420" t="s">
        <v>2001</v>
      </c>
      <c r="AW50" s="121">
        <v>0</v>
      </c>
      <c r="AX50" s="121">
        <v>584812</v>
      </c>
      <c r="BI50">
        <v>0</v>
      </c>
      <c r="BJ50" s="121">
        <v>0</v>
      </c>
      <c r="BK50" s="134">
        <v>210409829</v>
      </c>
      <c r="BL50" s="934">
        <v>4444</v>
      </c>
      <c r="BM50" s="934">
        <v>4567</v>
      </c>
      <c r="BN50" s="934">
        <v>4569</v>
      </c>
      <c r="BO50" s="114">
        <v>0</v>
      </c>
      <c r="BP50" s="114">
        <v>0</v>
      </c>
    </row>
    <row r="51" spans="1:68">
      <c r="A51" t="s">
        <v>463</v>
      </c>
      <c r="B51" t="s">
        <v>2603</v>
      </c>
      <c r="C51" s="121">
        <v>5849</v>
      </c>
      <c r="D51" s="72">
        <v>2</v>
      </c>
      <c r="E51">
        <v>1403.1289999999999</v>
      </c>
      <c r="F51">
        <v>346</v>
      </c>
      <c r="G51">
        <v>200</v>
      </c>
      <c r="H51">
        <v>32</v>
      </c>
      <c r="I51" s="173">
        <v>1.02</v>
      </c>
      <c r="J51" s="121">
        <v>4414736091</v>
      </c>
      <c r="K51" s="125">
        <v>4958.5680000000002</v>
      </c>
      <c r="L51" s="173">
        <v>1.5</v>
      </c>
      <c r="M51">
        <v>1.02</v>
      </c>
      <c r="N51">
        <v>1.000000005</v>
      </c>
      <c r="O51">
        <v>1.9999995000000048</v>
      </c>
      <c r="P51">
        <v>4275.9560000000001</v>
      </c>
      <c r="Q51" s="125">
        <v>0.58199999999999996</v>
      </c>
      <c r="R51" s="125">
        <v>0</v>
      </c>
      <c r="S51" s="125">
        <v>7.4509999999999996</v>
      </c>
      <c r="T51" s="125">
        <v>53.948</v>
      </c>
      <c r="U51" s="125">
        <v>20.846</v>
      </c>
      <c r="V51" s="125">
        <v>4.1150000000000002</v>
      </c>
      <c r="W51" s="125">
        <v>7.6</v>
      </c>
      <c r="X51" s="125">
        <v>0</v>
      </c>
      <c r="Y51" s="125">
        <v>0.98799999999999999</v>
      </c>
      <c r="Z51" s="125">
        <v>0.85</v>
      </c>
      <c r="AA51" s="125">
        <v>83.948999999999998</v>
      </c>
      <c r="AB51" s="125">
        <v>32.393000000000001</v>
      </c>
      <c r="AC51" s="125">
        <v>957.4</v>
      </c>
      <c r="AD51" s="125">
        <v>8.8999999999999996E-2</v>
      </c>
      <c r="AE51" s="125">
        <v>216.624</v>
      </c>
      <c r="AF51" s="125">
        <v>213.7978</v>
      </c>
      <c r="AG51" s="125">
        <v>0</v>
      </c>
      <c r="AH51" s="125">
        <v>0</v>
      </c>
      <c r="AI51" s="121">
        <v>48700278</v>
      </c>
      <c r="AJ51" s="121">
        <v>5796529</v>
      </c>
      <c r="AK51" s="424">
        <v>12</v>
      </c>
      <c r="AL51">
        <v>0</v>
      </c>
      <c r="AM51" s="121">
        <v>115765</v>
      </c>
      <c r="AN51" s="125">
        <v>0</v>
      </c>
      <c r="AO51" s="125">
        <v>0</v>
      </c>
      <c r="AP51" s="121">
        <v>54496807</v>
      </c>
      <c r="AQ51" s="114">
        <v>0</v>
      </c>
      <c r="AR51" s="121">
        <v>0</v>
      </c>
      <c r="AS51" s="121">
        <v>0</v>
      </c>
      <c r="AT51" s="121">
        <v>0</v>
      </c>
      <c r="AU51" s="420" t="s">
        <v>798</v>
      </c>
      <c r="AV51" s="420" t="s">
        <v>2001</v>
      </c>
      <c r="AW51" s="121">
        <v>0</v>
      </c>
      <c r="AX51" s="121">
        <v>6207009</v>
      </c>
      <c r="AY51" s="134">
        <v>5987479</v>
      </c>
      <c r="AZ51" s="134">
        <v>9825807</v>
      </c>
      <c r="BA51" s="134">
        <v>4117</v>
      </c>
      <c r="BB51" s="134">
        <v>1467461958</v>
      </c>
      <c r="BC51" s="114">
        <v>0</v>
      </c>
      <c r="BD51" s="114">
        <v>0</v>
      </c>
      <c r="BE51" s="114">
        <v>0</v>
      </c>
      <c r="BF51" s="134">
        <v>4572</v>
      </c>
      <c r="BG51" s="114">
        <v>0</v>
      </c>
      <c r="BH51" s="114">
        <v>0</v>
      </c>
      <c r="BI51">
        <v>0</v>
      </c>
      <c r="BJ51" s="121">
        <v>22511</v>
      </c>
      <c r="BK51" s="134">
        <v>4414736091</v>
      </c>
      <c r="BL51" s="934">
        <v>5484</v>
      </c>
      <c r="BM51" s="934">
        <v>5849</v>
      </c>
      <c r="BN51" s="934">
        <v>5817</v>
      </c>
      <c r="BO51" s="114">
        <v>0</v>
      </c>
      <c r="BP51" s="114">
        <v>0</v>
      </c>
    </row>
    <row r="52" spans="1:68">
      <c r="A52" t="s">
        <v>2125</v>
      </c>
      <c r="B52" t="s">
        <v>822</v>
      </c>
      <c r="C52" s="121">
        <v>4566</v>
      </c>
      <c r="D52" s="72">
        <v>2</v>
      </c>
      <c r="E52">
        <v>3437.5039999999999</v>
      </c>
      <c r="F52">
        <v>1078</v>
      </c>
      <c r="G52">
        <v>867</v>
      </c>
      <c r="H52">
        <v>75</v>
      </c>
      <c r="I52" s="173">
        <v>1.04</v>
      </c>
      <c r="J52" s="121">
        <v>1197178769</v>
      </c>
      <c r="K52" s="125">
        <v>19465.82</v>
      </c>
      <c r="L52" s="173">
        <v>1.5</v>
      </c>
      <c r="M52">
        <v>1.04</v>
      </c>
      <c r="N52">
        <v>1.000000005</v>
      </c>
      <c r="O52">
        <v>3.9999995000000066</v>
      </c>
      <c r="P52">
        <v>13939.343000000001</v>
      </c>
      <c r="Q52" s="125">
        <v>0.871</v>
      </c>
      <c r="R52" s="125">
        <v>0</v>
      </c>
      <c r="S52" s="125">
        <v>24.369</v>
      </c>
      <c r="T52" s="125">
        <v>304.71600000000001</v>
      </c>
      <c r="U52" s="125">
        <v>131.31200000000001</v>
      </c>
      <c r="V52" s="125">
        <v>20.574999999999999</v>
      </c>
      <c r="W52" s="125">
        <v>8.1989999999999998</v>
      </c>
      <c r="X52" s="125">
        <v>0</v>
      </c>
      <c r="Y52" s="125">
        <v>0</v>
      </c>
      <c r="Z52" s="125">
        <v>42.585000000000001</v>
      </c>
      <c r="AA52" s="125">
        <v>495.39600000000002</v>
      </c>
      <c r="AB52" s="125">
        <v>497.37400000000002</v>
      </c>
      <c r="AC52" s="125">
        <v>12913.6</v>
      </c>
      <c r="AD52" s="125">
        <v>10.481</v>
      </c>
      <c r="AE52" s="125">
        <v>1747.751</v>
      </c>
      <c r="AF52" s="125">
        <v>696.96600000000001</v>
      </c>
      <c r="AG52" s="125">
        <v>0</v>
      </c>
      <c r="AH52" s="125">
        <v>0</v>
      </c>
      <c r="AI52" s="121">
        <v>12942460</v>
      </c>
      <c r="AJ52" s="121">
        <v>3391443</v>
      </c>
      <c r="AK52" s="424">
        <v>12</v>
      </c>
      <c r="AL52">
        <v>0</v>
      </c>
      <c r="AM52" s="121">
        <v>355122</v>
      </c>
      <c r="AN52" s="125">
        <v>1</v>
      </c>
      <c r="AO52" s="125">
        <v>0</v>
      </c>
      <c r="AP52" s="121">
        <v>16333903</v>
      </c>
      <c r="AQ52" s="114">
        <v>0</v>
      </c>
      <c r="AR52" s="121">
        <v>797.99087884999994</v>
      </c>
      <c r="AS52" s="121">
        <v>156807.71356999999</v>
      </c>
      <c r="AT52" s="121">
        <v>20651.505561000002</v>
      </c>
      <c r="AU52" s="420" t="s">
        <v>2001</v>
      </c>
      <c r="AV52" s="420" t="s">
        <v>2001</v>
      </c>
      <c r="AW52" s="121">
        <v>0</v>
      </c>
      <c r="AX52" s="121">
        <v>14994983</v>
      </c>
      <c r="BI52">
        <v>0</v>
      </c>
      <c r="BJ52" s="121">
        <v>0</v>
      </c>
      <c r="BK52" s="134">
        <v>1197178769</v>
      </c>
      <c r="BL52" s="934">
        <v>4551</v>
      </c>
      <c r="BM52" s="934">
        <v>4566</v>
      </c>
      <c r="BN52" s="934">
        <v>4566</v>
      </c>
      <c r="BO52" s="114">
        <v>0</v>
      </c>
      <c r="BP52" s="114">
        <v>0</v>
      </c>
    </row>
    <row r="53" spans="1:68">
      <c r="A53" t="s">
        <v>874</v>
      </c>
      <c r="B53" t="s">
        <v>1000</v>
      </c>
      <c r="C53" s="121">
        <v>4589</v>
      </c>
      <c r="D53" s="72">
        <v>1</v>
      </c>
      <c r="E53">
        <v>2553.7150000000001</v>
      </c>
      <c r="F53">
        <v>844</v>
      </c>
      <c r="G53">
        <v>728</v>
      </c>
      <c r="H53">
        <v>25</v>
      </c>
      <c r="I53" s="173">
        <v>1.17</v>
      </c>
      <c r="J53" s="121">
        <v>882209569</v>
      </c>
      <c r="K53" s="125">
        <v>14647.532999999999</v>
      </c>
      <c r="L53" s="173">
        <v>1.5</v>
      </c>
      <c r="M53">
        <v>1.17</v>
      </c>
      <c r="N53">
        <v>1.000000005</v>
      </c>
      <c r="O53">
        <v>16.999999499999994</v>
      </c>
      <c r="P53">
        <v>10106.868</v>
      </c>
      <c r="Q53" s="125">
        <v>1.4159999999999999</v>
      </c>
      <c r="R53" s="125">
        <v>0</v>
      </c>
      <c r="S53" s="125">
        <v>20.789000000000001</v>
      </c>
      <c r="T53" s="125">
        <v>272.72399999999999</v>
      </c>
      <c r="U53" s="125">
        <v>67.364000000000004</v>
      </c>
      <c r="V53" s="125">
        <v>0</v>
      </c>
      <c r="W53" s="125">
        <v>0.93</v>
      </c>
      <c r="X53" s="125">
        <v>0</v>
      </c>
      <c r="Y53" s="125">
        <v>0</v>
      </c>
      <c r="Z53" s="125">
        <v>0</v>
      </c>
      <c r="AA53" s="125">
        <v>531.40499999999997</v>
      </c>
      <c r="AB53" s="125">
        <v>370.32400000000001</v>
      </c>
      <c r="AC53" s="125">
        <v>10005.799999999999</v>
      </c>
      <c r="AD53" s="125">
        <v>11.618</v>
      </c>
      <c r="AE53" s="125">
        <v>2255.2860000000001</v>
      </c>
      <c r="AF53" s="125">
        <v>505.34300000000002</v>
      </c>
      <c r="AG53" s="125">
        <v>0</v>
      </c>
      <c r="AH53" s="125">
        <v>0</v>
      </c>
      <c r="AI53" s="121">
        <v>10512806</v>
      </c>
      <c r="AJ53" s="121">
        <v>1903941</v>
      </c>
      <c r="AK53" s="424">
        <v>12</v>
      </c>
      <c r="AL53">
        <v>0</v>
      </c>
      <c r="AM53" s="121">
        <v>186894</v>
      </c>
      <c r="AN53" s="125">
        <v>0</v>
      </c>
      <c r="AO53" s="125">
        <v>0</v>
      </c>
      <c r="AP53" s="121">
        <v>12416747</v>
      </c>
      <c r="AQ53" s="114">
        <v>0</v>
      </c>
      <c r="AR53" s="121">
        <v>588.04516712999998</v>
      </c>
      <c r="AS53" s="121">
        <v>115552.72194</v>
      </c>
      <c r="AT53" s="121">
        <v>15218.241663000001</v>
      </c>
      <c r="AU53" s="420" t="s">
        <v>2001</v>
      </c>
      <c r="AV53" s="420" t="s">
        <v>2001</v>
      </c>
      <c r="AW53" s="121">
        <v>0</v>
      </c>
      <c r="AX53" s="121">
        <v>9111634</v>
      </c>
      <c r="BI53">
        <v>0</v>
      </c>
      <c r="BJ53" s="121">
        <v>0</v>
      </c>
      <c r="BK53" s="134">
        <v>882209569</v>
      </c>
      <c r="BL53" s="934">
        <v>4589</v>
      </c>
      <c r="BM53" s="934">
        <v>4575</v>
      </c>
      <c r="BN53" s="934">
        <v>4575</v>
      </c>
      <c r="BO53" s="114">
        <v>0</v>
      </c>
      <c r="BP53" s="114">
        <v>0</v>
      </c>
    </row>
    <row r="54" spans="1:68">
      <c r="A54" t="s">
        <v>2682</v>
      </c>
      <c r="B54" t="s">
        <v>1174</v>
      </c>
      <c r="C54" s="121">
        <v>3504</v>
      </c>
      <c r="E54">
        <v>288.54199999999997</v>
      </c>
      <c r="F54">
        <v>102</v>
      </c>
      <c r="G54">
        <v>54</v>
      </c>
      <c r="H54">
        <v>9</v>
      </c>
      <c r="I54" s="173">
        <v>0</v>
      </c>
      <c r="J54" s="121">
        <v>0</v>
      </c>
      <c r="K54" s="125">
        <v>1352.835</v>
      </c>
      <c r="M54">
        <v>0</v>
      </c>
      <c r="N54">
        <v>0</v>
      </c>
      <c r="O54">
        <v>0</v>
      </c>
      <c r="P54">
        <v>997.23299999999995</v>
      </c>
      <c r="Q54" s="125">
        <v>0</v>
      </c>
      <c r="R54" s="125">
        <v>0</v>
      </c>
      <c r="S54" s="125">
        <v>2.448</v>
      </c>
      <c r="T54" s="125">
        <v>31.52</v>
      </c>
      <c r="U54" s="125">
        <v>1.081</v>
      </c>
      <c r="V54" s="125">
        <v>3.8929999999999998</v>
      </c>
      <c r="W54" s="125">
        <v>0</v>
      </c>
      <c r="X54" s="125">
        <v>0</v>
      </c>
      <c r="Y54" s="125">
        <v>0.96599999999999997</v>
      </c>
      <c r="Z54" s="125">
        <v>0</v>
      </c>
      <c r="AA54" s="125">
        <v>18.710999999999999</v>
      </c>
      <c r="AB54" s="125">
        <v>10.452</v>
      </c>
      <c r="AC54" s="125">
        <v>140</v>
      </c>
      <c r="AD54" s="125">
        <v>0</v>
      </c>
      <c r="AE54" s="125">
        <v>2.3319999999999999</v>
      </c>
      <c r="AF54" s="125">
        <v>49.861649999999997</v>
      </c>
      <c r="AG54" s="125">
        <v>0</v>
      </c>
      <c r="AH54" s="125">
        <v>0</v>
      </c>
      <c r="AI54" s="121">
        <v>0</v>
      </c>
      <c r="AJ54" s="121">
        <v>0</v>
      </c>
      <c r="AK54" s="424">
        <v>12</v>
      </c>
      <c r="AL54">
        <v>0</v>
      </c>
      <c r="AM54" s="121">
        <v>34940</v>
      </c>
      <c r="AN54" s="125">
        <v>0</v>
      </c>
      <c r="AO54" s="125">
        <v>0</v>
      </c>
      <c r="AP54" s="121">
        <v>0</v>
      </c>
      <c r="AQ54" s="114">
        <v>0</v>
      </c>
      <c r="AR54" s="121">
        <v>0</v>
      </c>
      <c r="AS54" s="121">
        <v>0</v>
      </c>
      <c r="AT54" s="121">
        <v>0</v>
      </c>
      <c r="AU54" s="420" t="s">
        <v>2001</v>
      </c>
      <c r="AV54" s="420" t="s">
        <v>2001</v>
      </c>
      <c r="AW54" s="121">
        <v>0</v>
      </c>
      <c r="AX54" s="121">
        <v>0</v>
      </c>
      <c r="BI54">
        <v>0</v>
      </c>
      <c r="BJ54" s="121">
        <v>0</v>
      </c>
      <c r="BK54" s="134"/>
    </row>
    <row r="55" spans="1:68">
      <c r="A55" t="s">
        <v>1489</v>
      </c>
      <c r="B55" t="s">
        <v>2308</v>
      </c>
      <c r="C55" s="121">
        <v>4701</v>
      </c>
      <c r="D55" s="72">
        <v>2</v>
      </c>
      <c r="E55">
        <v>11998.155000000001</v>
      </c>
      <c r="F55">
        <v>3686</v>
      </c>
      <c r="G55">
        <v>3582</v>
      </c>
      <c r="H55">
        <v>0</v>
      </c>
      <c r="I55" s="173">
        <v>1.04</v>
      </c>
      <c r="J55" s="121">
        <v>10692743033</v>
      </c>
      <c r="K55" s="125">
        <v>71183.752999999997</v>
      </c>
      <c r="L55" s="173">
        <v>1.5</v>
      </c>
      <c r="M55">
        <v>1.04</v>
      </c>
      <c r="N55">
        <v>1.000000005</v>
      </c>
      <c r="O55">
        <v>3.9999995000000066</v>
      </c>
      <c r="P55">
        <v>50160.819000000003</v>
      </c>
      <c r="Q55" s="125">
        <v>3.3889999999999998</v>
      </c>
      <c r="R55" s="125">
        <v>12.875</v>
      </c>
      <c r="S55" s="125">
        <v>99.191999999999993</v>
      </c>
      <c r="T55" s="125">
        <v>1009.962</v>
      </c>
      <c r="U55" s="125">
        <v>436.55599999999998</v>
      </c>
      <c r="V55" s="125">
        <v>30.567</v>
      </c>
      <c r="W55" s="125">
        <v>70.129000000000005</v>
      </c>
      <c r="X55" s="125">
        <v>0</v>
      </c>
      <c r="Y55" s="125">
        <v>0</v>
      </c>
      <c r="Z55" s="125">
        <v>82.275000000000006</v>
      </c>
      <c r="AA55" s="125">
        <v>1946.8579999999999</v>
      </c>
      <c r="AB55" s="125">
        <v>1874.9960000000001</v>
      </c>
      <c r="AC55" s="125">
        <v>49336.6</v>
      </c>
      <c r="AD55" s="125">
        <v>48.691000000000003</v>
      </c>
      <c r="AE55" s="125">
        <v>8526.6290000000008</v>
      </c>
      <c r="AF55" s="125">
        <v>2491.7489999999998</v>
      </c>
      <c r="AG55" s="125">
        <v>0</v>
      </c>
      <c r="AH55" s="125">
        <v>0</v>
      </c>
      <c r="AI55" s="121">
        <v>115597106</v>
      </c>
      <c r="AJ55" s="121">
        <v>19783641</v>
      </c>
      <c r="AK55" s="424">
        <v>12</v>
      </c>
      <c r="AL55">
        <v>0</v>
      </c>
      <c r="AM55" s="121">
        <v>1658250</v>
      </c>
      <c r="AN55" s="125">
        <v>0.4</v>
      </c>
      <c r="AO55" s="125">
        <v>0</v>
      </c>
      <c r="AP55" s="121">
        <v>135380747</v>
      </c>
      <c r="AQ55" s="114">
        <v>0</v>
      </c>
      <c r="AR55" s="121">
        <v>7127.3494245000002</v>
      </c>
      <c r="AS55" s="121">
        <v>1400546.5434999999</v>
      </c>
      <c r="AT55" s="121">
        <v>184451.35172999999</v>
      </c>
      <c r="AU55" s="420" t="s">
        <v>2001</v>
      </c>
      <c r="AV55" s="420" t="s">
        <v>2001</v>
      </c>
      <c r="AW55" s="121">
        <v>0</v>
      </c>
      <c r="AX55" s="121">
        <v>38756305</v>
      </c>
      <c r="BI55">
        <v>0</v>
      </c>
      <c r="BJ55" s="121">
        <v>0</v>
      </c>
      <c r="BK55" s="134">
        <v>10692743033</v>
      </c>
      <c r="BL55" s="934">
        <v>4554</v>
      </c>
      <c r="BM55" s="934">
        <v>4701</v>
      </c>
      <c r="BN55" s="934">
        <v>4664</v>
      </c>
      <c r="BO55" s="114">
        <v>0</v>
      </c>
      <c r="BP55" s="114">
        <v>0</v>
      </c>
    </row>
    <row r="56" spans="1:68">
      <c r="A56" t="s">
        <v>1699</v>
      </c>
      <c r="B56" t="s">
        <v>2206</v>
      </c>
      <c r="C56" s="121">
        <v>4624</v>
      </c>
      <c r="D56" s="72">
        <v>2</v>
      </c>
      <c r="E56">
        <v>2143.7779999999998</v>
      </c>
      <c r="F56">
        <v>720</v>
      </c>
      <c r="G56">
        <v>559</v>
      </c>
      <c r="H56">
        <v>35</v>
      </c>
      <c r="I56" s="173">
        <v>1.04</v>
      </c>
      <c r="J56" s="121">
        <v>1097187360</v>
      </c>
      <c r="K56" s="125">
        <v>11921.762000000001</v>
      </c>
      <c r="L56" s="173">
        <v>1.5</v>
      </c>
      <c r="M56">
        <v>1.04</v>
      </c>
      <c r="N56">
        <v>1.000000005</v>
      </c>
      <c r="O56">
        <v>3.9999995000000066</v>
      </c>
      <c r="P56">
        <v>8560.1149999999998</v>
      </c>
      <c r="Q56" s="125">
        <v>0.28299999999999997</v>
      </c>
      <c r="R56" s="125">
        <v>0</v>
      </c>
      <c r="S56" s="125">
        <v>13.367000000000001</v>
      </c>
      <c r="T56" s="125">
        <v>207.685</v>
      </c>
      <c r="U56" s="125">
        <v>54.28</v>
      </c>
      <c r="V56" s="125">
        <v>0</v>
      </c>
      <c r="W56" s="125">
        <v>36.07</v>
      </c>
      <c r="X56" s="125">
        <v>0</v>
      </c>
      <c r="Y56" s="125">
        <v>0</v>
      </c>
      <c r="Z56" s="125">
        <v>0</v>
      </c>
      <c r="AA56" s="125">
        <v>136.97999999999999</v>
      </c>
      <c r="AB56" s="125">
        <v>290.84399999999999</v>
      </c>
      <c r="AC56" s="125">
        <v>8474.5</v>
      </c>
      <c r="AD56" s="125">
        <v>4.3559999999999999</v>
      </c>
      <c r="AE56" s="125">
        <v>1625.117</v>
      </c>
      <c r="AF56" s="125">
        <v>428.00574999999998</v>
      </c>
      <c r="AG56" s="125">
        <v>0</v>
      </c>
      <c r="AH56" s="125">
        <v>0</v>
      </c>
      <c r="AI56" s="121">
        <v>11861473</v>
      </c>
      <c r="AJ56" s="121">
        <v>3215089</v>
      </c>
      <c r="AK56" s="424">
        <v>12</v>
      </c>
      <c r="AL56">
        <v>0</v>
      </c>
      <c r="AM56" s="121">
        <v>141811</v>
      </c>
      <c r="AN56" s="125">
        <v>1</v>
      </c>
      <c r="AO56" s="125">
        <v>0</v>
      </c>
      <c r="AP56" s="121">
        <v>15076562</v>
      </c>
      <c r="AQ56" s="114">
        <v>0</v>
      </c>
      <c r="AR56" s="121">
        <v>731.34065550000003</v>
      </c>
      <c r="AS56" s="121">
        <v>143710.73538999999</v>
      </c>
      <c r="AT56" s="121">
        <v>18926.639406999999</v>
      </c>
      <c r="AU56" s="420" t="s">
        <v>2001</v>
      </c>
      <c r="AV56" s="420" t="s">
        <v>2001</v>
      </c>
      <c r="AW56" s="121">
        <v>0</v>
      </c>
      <c r="AX56" s="121">
        <v>12138562</v>
      </c>
      <c r="BI56">
        <v>0</v>
      </c>
      <c r="BJ56" s="121">
        <v>0</v>
      </c>
      <c r="BK56" s="134">
        <v>1097187360</v>
      </c>
      <c r="BL56" s="934">
        <v>4603</v>
      </c>
      <c r="BM56" s="934">
        <v>4624</v>
      </c>
      <c r="BN56" s="934">
        <v>4624</v>
      </c>
      <c r="BO56" s="114">
        <v>0</v>
      </c>
      <c r="BP56" s="114">
        <v>0</v>
      </c>
    </row>
    <row r="57" spans="1:68">
      <c r="A57" t="s">
        <v>1316</v>
      </c>
      <c r="B57" t="s">
        <v>2205</v>
      </c>
      <c r="C57" s="121">
        <v>4751</v>
      </c>
      <c r="D57" s="72">
        <v>2</v>
      </c>
      <c r="E57">
        <v>793.63</v>
      </c>
      <c r="F57">
        <v>261</v>
      </c>
      <c r="G57">
        <v>232</v>
      </c>
      <c r="H57">
        <v>52</v>
      </c>
      <c r="I57" s="173">
        <v>1.04</v>
      </c>
      <c r="J57" s="121">
        <v>317294529</v>
      </c>
      <c r="K57" s="125">
        <v>4742.1379999999999</v>
      </c>
      <c r="L57" s="173">
        <v>1.5</v>
      </c>
      <c r="M57">
        <v>1.04</v>
      </c>
      <c r="N57">
        <v>1.000000005</v>
      </c>
      <c r="O57">
        <v>3.9999995000000066</v>
      </c>
      <c r="P57">
        <v>3290.8159999999998</v>
      </c>
      <c r="Q57" s="125">
        <v>0.159</v>
      </c>
      <c r="R57" s="125">
        <v>0</v>
      </c>
      <c r="S57" s="125">
        <v>4.8710000000000004</v>
      </c>
      <c r="T57" s="125">
        <v>53.741999999999997</v>
      </c>
      <c r="U57" s="125">
        <v>24.687000000000001</v>
      </c>
      <c r="V57" s="125">
        <v>0</v>
      </c>
      <c r="W57" s="125">
        <v>14.175000000000001</v>
      </c>
      <c r="X57" s="125">
        <v>0</v>
      </c>
      <c r="Y57" s="125">
        <v>0</v>
      </c>
      <c r="Z57" s="125">
        <v>0</v>
      </c>
      <c r="AA57" s="125">
        <v>144.49799999999999</v>
      </c>
      <c r="AB57" s="125">
        <v>158.58199999999999</v>
      </c>
      <c r="AC57" s="125">
        <v>3221</v>
      </c>
      <c r="AD57" s="125">
        <v>1.044</v>
      </c>
      <c r="AE57" s="125">
        <v>281.32</v>
      </c>
      <c r="AF57" s="125">
        <v>164.54079999999999</v>
      </c>
      <c r="AG57" s="125">
        <v>0</v>
      </c>
      <c r="AH57" s="125">
        <v>0</v>
      </c>
      <c r="AI57" s="121">
        <v>3360911</v>
      </c>
      <c r="AJ57" s="121">
        <v>136481</v>
      </c>
      <c r="AK57" s="424">
        <v>12</v>
      </c>
      <c r="AL57">
        <v>0</v>
      </c>
      <c r="AM57" s="121">
        <v>590893</v>
      </c>
      <c r="AN57" s="125">
        <v>0</v>
      </c>
      <c r="AO57" s="125">
        <v>0</v>
      </c>
      <c r="AP57" s="121">
        <v>3497392</v>
      </c>
      <c r="AQ57" s="114">
        <v>0</v>
      </c>
      <c r="AR57" s="121">
        <v>211.49568185999999</v>
      </c>
      <c r="AS57" s="121">
        <v>41559.565629999997</v>
      </c>
      <c r="AT57" s="121">
        <v>5473.3761572000003</v>
      </c>
      <c r="AU57" s="420" t="s">
        <v>2001</v>
      </c>
      <c r="AV57" s="420" t="s">
        <v>2001</v>
      </c>
      <c r="AW57" s="121">
        <v>0</v>
      </c>
      <c r="AX57" s="121">
        <v>1903698</v>
      </c>
      <c r="BI57">
        <v>0</v>
      </c>
      <c r="BJ57" s="121">
        <v>0</v>
      </c>
      <c r="BK57" s="134">
        <v>317294529</v>
      </c>
      <c r="BL57" s="934">
        <v>4599</v>
      </c>
      <c r="BM57" s="934">
        <v>4751</v>
      </c>
      <c r="BN57" s="934">
        <v>4751</v>
      </c>
      <c r="BO57" s="114">
        <v>0</v>
      </c>
      <c r="BP57" s="114">
        <v>0</v>
      </c>
    </row>
    <row r="58" spans="1:68">
      <c r="A58" t="s">
        <v>1587</v>
      </c>
      <c r="B58" t="s">
        <v>2610</v>
      </c>
      <c r="C58" s="121">
        <v>5350</v>
      </c>
      <c r="D58" s="72">
        <v>2</v>
      </c>
      <c r="E58">
        <v>16618.618999999999</v>
      </c>
      <c r="F58">
        <v>4495</v>
      </c>
      <c r="G58">
        <v>3259</v>
      </c>
      <c r="H58">
        <v>650</v>
      </c>
      <c r="I58" s="173">
        <v>1.04</v>
      </c>
      <c r="J58" s="121">
        <v>25058748432</v>
      </c>
      <c r="K58" s="125">
        <v>76295.163</v>
      </c>
      <c r="L58" s="173">
        <v>1.5</v>
      </c>
      <c r="M58">
        <v>1.04</v>
      </c>
      <c r="N58">
        <v>1.000000005</v>
      </c>
      <c r="O58">
        <v>3.9999995000000066</v>
      </c>
      <c r="P58">
        <v>59288.582999999999</v>
      </c>
      <c r="Q58" s="125">
        <v>4.3899999999999997</v>
      </c>
      <c r="R58" s="125">
        <v>3.33</v>
      </c>
      <c r="S58" s="125">
        <v>131.583</v>
      </c>
      <c r="T58" s="125">
        <v>1522.607</v>
      </c>
      <c r="U58" s="125">
        <v>429.28399999999999</v>
      </c>
      <c r="V58" s="125">
        <v>14.304</v>
      </c>
      <c r="W58" s="125">
        <v>293.12599999999998</v>
      </c>
      <c r="X58" s="125">
        <v>0</v>
      </c>
      <c r="Y58" s="125">
        <v>2.94</v>
      </c>
      <c r="Z58" s="125">
        <v>15.497999999999999</v>
      </c>
      <c r="AA58" s="125">
        <v>1730.847</v>
      </c>
      <c r="AB58" s="125">
        <v>2692.8679999999999</v>
      </c>
      <c r="AC58" s="125">
        <v>28545.8</v>
      </c>
      <c r="AD58" s="125">
        <v>10.756</v>
      </c>
      <c r="AE58" s="125">
        <v>2988.9389999999999</v>
      </c>
      <c r="AF58" s="125">
        <v>2964.4290000000001</v>
      </c>
      <c r="AG58" s="125">
        <v>0</v>
      </c>
      <c r="AH58" s="125">
        <v>0</v>
      </c>
      <c r="AI58" s="121">
        <v>273641533</v>
      </c>
      <c r="AJ58" s="121">
        <v>67556732</v>
      </c>
      <c r="AK58" s="424">
        <v>12</v>
      </c>
      <c r="AL58">
        <v>0</v>
      </c>
      <c r="AM58" s="121">
        <v>3284746</v>
      </c>
      <c r="AN58" s="125">
        <v>1</v>
      </c>
      <c r="AO58" s="125">
        <v>2</v>
      </c>
      <c r="AP58" s="121">
        <v>341198265</v>
      </c>
      <c r="AQ58" s="114">
        <v>0</v>
      </c>
      <c r="AR58" s="121">
        <v>16703.146766000002</v>
      </c>
      <c r="AS58" s="121">
        <v>3282220.7914</v>
      </c>
      <c r="AT58" s="121">
        <v>432267.00640000001</v>
      </c>
      <c r="AU58" s="420" t="s">
        <v>798</v>
      </c>
      <c r="AV58" s="420" t="s">
        <v>2001</v>
      </c>
      <c r="AW58" s="121">
        <v>0</v>
      </c>
      <c r="AX58" s="121">
        <v>66353772</v>
      </c>
      <c r="AY58" s="134">
        <v>36017353</v>
      </c>
      <c r="AZ58" s="134">
        <v>116008487</v>
      </c>
      <c r="BA58" s="134">
        <v>49293</v>
      </c>
      <c r="BB58" s="134">
        <v>8925745764</v>
      </c>
      <c r="BC58" s="114">
        <v>0</v>
      </c>
      <c r="BD58" s="114">
        <v>0</v>
      </c>
      <c r="BE58" s="114">
        <v>0</v>
      </c>
      <c r="BF58" s="134">
        <v>61910</v>
      </c>
      <c r="BG58" s="114">
        <v>0</v>
      </c>
      <c r="BH58" s="114">
        <v>0</v>
      </c>
      <c r="BI58">
        <v>0</v>
      </c>
      <c r="BJ58" s="121">
        <v>0</v>
      </c>
      <c r="BK58" s="134">
        <v>25058748432</v>
      </c>
      <c r="BL58" s="934">
        <v>4893</v>
      </c>
      <c r="BM58" s="934">
        <v>5350</v>
      </c>
      <c r="BN58" s="934">
        <v>5190</v>
      </c>
      <c r="BO58" s="114">
        <v>0</v>
      </c>
      <c r="BP58" s="114">
        <v>0</v>
      </c>
    </row>
    <row r="59" spans="1:68">
      <c r="A59" t="s">
        <v>871</v>
      </c>
      <c r="B59" t="s">
        <v>1215</v>
      </c>
      <c r="C59" s="121">
        <v>4877</v>
      </c>
      <c r="D59" s="72">
        <v>2</v>
      </c>
      <c r="E59">
        <v>2326.8000000000002</v>
      </c>
      <c r="F59">
        <v>625</v>
      </c>
      <c r="G59">
        <v>459</v>
      </c>
      <c r="H59">
        <v>105</v>
      </c>
      <c r="I59" s="173">
        <v>1.04</v>
      </c>
      <c r="J59" s="121">
        <v>1623894030</v>
      </c>
      <c r="K59" s="125">
        <v>10863.044</v>
      </c>
      <c r="L59" s="173">
        <v>1.5</v>
      </c>
      <c r="M59">
        <v>1.04</v>
      </c>
      <c r="N59">
        <v>1.000000005</v>
      </c>
      <c r="O59">
        <v>3.9999995000000066</v>
      </c>
      <c r="P59">
        <v>8385</v>
      </c>
      <c r="Q59" s="125">
        <v>1.3009999999999999</v>
      </c>
      <c r="R59" s="125">
        <v>0.11799999999999999</v>
      </c>
      <c r="S59" s="125">
        <v>14.885999999999999</v>
      </c>
      <c r="T59" s="125">
        <v>157.43700000000001</v>
      </c>
      <c r="U59" s="125">
        <v>67.135000000000005</v>
      </c>
      <c r="V59" s="125">
        <v>0</v>
      </c>
      <c r="W59" s="125">
        <v>10.927</v>
      </c>
      <c r="X59" s="125">
        <v>0</v>
      </c>
      <c r="Y59" s="125">
        <v>0</v>
      </c>
      <c r="Z59" s="125">
        <v>41.430999999999997</v>
      </c>
      <c r="AA59" s="125">
        <v>243.87799999999999</v>
      </c>
      <c r="AB59" s="125">
        <v>243.09399999999999</v>
      </c>
      <c r="AC59" s="125">
        <v>5014.8</v>
      </c>
      <c r="AD59" s="125">
        <v>3.3809999999999998</v>
      </c>
      <c r="AE59" s="125">
        <v>392.83</v>
      </c>
      <c r="AF59" s="125">
        <v>419.25</v>
      </c>
      <c r="AG59" s="125">
        <v>0</v>
      </c>
      <c r="AH59" s="125">
        <v>0</v>
      </c>
      <c r="AI59" s="121">
        <v>18087581</v>
      </c>
      <c r="AJ59" s="121">
        <v>2121361</v>
      </c>
      <c r="AK59" s="424">
        <v>12</v>
      </c>
      <c r="AL59">
        <v>0</v>
      </c>
      <c r="AM59" s="121">
        <v>1039176</v>
      </c>
      <c r="AN59" s="125">
        <v>0</v>
      </c>
      <c r="AO59" s="125">
        <v>0</v>
      </c>
      <c r="AP59" s="121">
        <v>20208942</v>
      </c>
      <c r="AQ59" s="114">
        <v>0</v>
      </c>
      <c r="AR59" s="121">
        <v>1082.4219889000001</v>
      </c>
      <c r="AS59" s="121">
        <v>212699.31987000001</v>
      </c>
      <c r="AT59" s="121">
        <v>28012.405047</v>
      </c>
      <c r="AU59" s="420" t="s">
        <v>2001</v>
      </c>
      <c r="AV59" s="420" t="s">
        <v>2001</v>
      </c>
      <c r="AW59" s="121">
        <v>0</v>
      </c>
      <c r="AX59" s="121">
        <v>4794362</v>
      </c>
      <c r="BI59">
        <v>0</v>
      </c>
      <c r="BJ59" s="121">
        <v>0</v>
      </c>
      <c r="BK59" s="134">
        <v>1623894030</v>
      </c>
      <c r="BL59" s="934">
        <v>4691</v>
      </c>
      <c r="BM59" s="934">
        <v>4877</v>
      </c>
      <c r="BN59" s="934">
        <v>4784</v>
      </c>
      <c r="BO59" s="114">
        <v>0</v>
      </c>
      <c r="BP59" s="114">
        <v>0</v>
      </c>
    </row>
    <row r="60" spans="1:68">
      <c r="A60" t="s">
        <v>807</v>
      </c>
      <c r="B60" t="s">
        <v>2208</v>
      </c>
      <c r="C60" s="121">
        <v>5015</v>
      </c>
      <c r="D60" s="72">
        <v>2</v>
      </c>
      <c r="E60">
        <v>2569.2800000000002</v>
      </c>
      <c r="F60">
        <v>725</v>
      </c>
      <c r="G60">
        <v>497</v>
      </c>
      <c r="H60">
        <v>0</v>
      </c>
      <c r="I60" s="173">
        <v>1.04</v>
      </c>
      <c r="J60" s="121">
        <v>1400604118</v>
      </c>
      <c r="K60" s="125">
        <v>13980.137000000001</v>
      </c>
      <c r="L60" s="173">
        <v>1.5</v>
      </c>
      <c r="M60">
        <v>1.04</v>
      </c>
      <c r="N60">
        <v>1.000000005</v>
      </c>
      <c r="O60">
        <v>3.9999995000000066</v>
      </c>
      <c r="P60">
        <v>10050</v>
      </c>
      <c r="Q60" s="125">
        <v>0.1</v>
      </c>
      <c r="R60" s="125">
        <v>0</v>
      </c>
      <c r="S60" s="125">
        <v>15</v>
      </c>
      <c r="T60" s="125">
        <v>259</v>
      </c>
      <c r="U60" s="125">
        <v>91</v>
      </c>
      <c r="V60" s="125">
        <v>1</v>
      </c>
      <c r="W60" s="125">
        <v>15</v>
      </c>
      <c r="X60" s="125">
        <v>0</v>
      </c>
      <c r="Y60" s="125">
        <v>0</v>
      </c>
      <c r="Z60" s="125">
        <v>12</v>
      </c>
      <c r="AA60" s="125">
        <v>367</v>
      </c>
      <c r="AB60" s="125">
        <v>504</v>
      </c>
      <c r="AC60" s="125">
        <v>9008</v>
      </c>
      <c r="AD60" s="125">
        <v>4</v>
      </c>
      <c r="AE60" s="125">
        <v>1364</v>
      </c>
      <c r="AF60" s="125">
        <v>502.5</v>
      </c>
      <c r="AG60" s="125">
        <v>0</v>
      </c>
      <c r="AH60" s="125">
        <v>0</v>
      </c>
      <c r="AI60" s="121">
        <v>15141651</v>
      </c>
      <c r="AJ60" s="121">
        <v>1380972</v>
      </c>
      <c r="AK60" s="424">
        <v>12</v>
      </c>
      <c r="AL60">
        <v>0</v>
      </c>
      <c r="AM60" s="121">
        <v>1210132</v>
      </c>
      <c r="AN60" s="125">
        <v>0</v>
      </c>
      <c r="AO60" s="125">
        <v>0</v>
      </c>
      <c r="AP60" s="121">
        <v>16522623</v>
      </c>
      <c r="AQ60" s="114">
        <v>0</v>
      </c>
      <c r="AR60" s="121">
        <v>933.58597728999996</v>
      </c>
      <c r="AS60" s="121">
        <v>183452.57621999999</v>
      </c>
      <c r="AT60" s="121">
        <v>24160.622023</v>
      </c>
      <c r="AU60" s="420" t="s">
        <v>2001</v>
      </c>
      <c r="AV60" s="420" t="s">
        <v>2001</v>
      </c>
      <c r="AW60" s="121">
        <v>0</v>
      </c>
      <c r="AX60" s="121">
        <v>7499760</v>
      </c>
      <c r="BI60">
        <v>0</v>
      </c>
      <c r="BJ60" s="121">
        <v>0</v>
      </c>
      <c r="BK60" s="134">
        <v>1400604118</v>
      </c>
      <c r="BL60" s="934">
        <v>4660</v>
      </c>
      <c r="BM60" s="934">
        <v>5015</v>
      </c>
      <c r="BN60" s="934">
        <v>4691</v>
      </c>
      <c r="BO60" s="114">
        <v>0</v>
      </c>
      <c r="BP60" s="114">
        <v>0</v>
      </c>
    </row>
    <row r="61" spans="1:68">
      <c r="A61" t="s">
        <v>2683</v>
      </c>
      <c r="B61" t="s">
        <v>1175</v>
      </c>
      <c r="C61" s="121">
        <v>3581</v>
      </c>
      <c r="E61">
        <v>135.42099999999999</v>
      </c>
      <c r="F61">
        <v>89</v>
      </c>
      <c r="G61">
        <v>66</v>
      </c>
      <c r="H61">
        <v>11</v>
      </c>
      <c r="I61" s="173">
        <v>0</v>
      </c>
      <c r="J61" s="121">
        <v>0</v>
      </c>
      <c r="K61" s="125">
        <v>1146.548</v>
      </c>
      <c r="M61">
        <v>0</v>
      </c>
      <c r="N61">
        <v>0</v>
      </c>
      <c r="O61">
        <v>0</v>
      </c>
      <c r="P61">
        <v>723.06700000000001</v>
      </c>
      <c r="Q61" s="125">
        <v>4.0000000000000001E-3</v>
      </c>
      <c r="R61" s="125">
        <v>0</v>
      </c>
      <c r="S61" s="125">
        <v>1.6659999999999999</v>
      </c>
      <c r="T61" s="125">
        <v>14.538</v>
      </c>
      <c r="U61" s="125">
        <v>4.2130000000000001</v>
      </c>
      <c r="V61" s="125">
        <v>0.497</v>
      </c>
      <c r="W61" s="125">
        <v>0.46300000000000002</v>
      </c>
      <c r="X61" s="125">
        <v>0</v>
      </c>
      <c r="Y61" s="125">
        <v>0</v>
      </c>
      <c r="Z61" s="125">
        <v>0</v>
      </c>
      <c r="AA61" s="125">
        <v>35.396000000000001</v>
      </c>
      <c r="AB61" s="125">
        <v>9.9600000000000009</v>
      </c>
      <c r="AC61" s="125">
        <v>500.8</v>
      </c>
      <c r="AD61" s="125">
        <v>0</v>
      </c>
      <c r="AE61" s="125">
        <v>24.094999999999999</v>
      </c>
      <c r="AF61" s="125">
        <v>36.152999999999999</v>
      </c>
      <c r="AG61" s="125">
        <v>0</v>
      </c>
      <c r="AH61" s="125">
        <v>0</v>
      </c>
      <c r="AI61" s="121">
        <v>0</v>
      </c>
      <c r="AJ61" s="121">
        <v>0</v>
      </c>
      <c r="AK61" s="424">
        <v>12</v>
      </c>
      <c r="AL61">
        <v>0</v>
      </c>
      <c r="AM61" s="121">
        <v>79780</v>
      </c>
      <c r="AN61" s="125">
        <v>0</v>
      </c>
      <c r="AO61" s="125">
        <v>0</v>
      </c>
      <c r="AP61" s="121">
        <v>0</v>
      </c>
      <c r="AQ61" s="114">
        <v>0</v>
      </c>
      <c r="AR61" s="121">
        <v>0</v>
      </c>
      <c r="AS61" s="121">
        <v>0</v>
      </c>
      <c r="AT61" s="121">
        <v>0</v>
      </c>
      <c r="AU61" s="420" t="s">
        <v>2001</v>
      </c>
      <c r="AV61" s="420" t="s">
        <v>2001</v>
      </c>
      <c r="AW61" s="121">
        <v>0</v>
      </c>
      <c r="AX61" s="121">
        <v>0</v>
      </c>
      <c r="BI61">
        <v>0</v>
      </c>
      <c r="BJ61" s="121">
        <v>0</v>
      </c>
      <c r="BK61" s="134"/>
    </row>
    <row r="62" spans="1:68">
      <c r="A62" t="s">
        <v>2684</v>
      </c>
      <c r="B62" t="s">
        <v>1176</v>
      </c>
      <c r="C62" s="121">
        <v>3538</v>
      </c>
      <c r="E62">
        <v>315.346</v>
      </c>
      <c r="F62">
        <v>116</v>
      </c>
      <c r="G62">
        <v>82</v>
      </c>
      <c r="H62">
        <v>6</v>
      </c>
      <c r="I62" s="173">
        <v>0</v>
      </c>
      <c r="J62" s="121">
        <v>0</v>
      </c>
      <c r="K62" s="125">
        <v>1618.0350000000001</v>
      </c>
      <c r="M62">
        <v>0</v>
      </c>
      <c r="N62">
        <v>0</v>
      </c>
      <c r="O62">
        <v>0</v>
      </c>
      <c r="P62">
        <v>1130.2560000000001</v>
      </c>
      <c r="Q62" s="125">
        <v>0.26200000000000001</v>
      </c>
      <c r="R62" s="125">
        <v>0</v>
      </c>
      <c r="S62" s="125">
        <v>2.351</v>
      </c>
      <c r="T62" s="125">
        <v>28.914000000000001</v>
      </c>
      <c r="U62" s="125">
        <v>16.247</v>
      </c>
      <c r="V62" s="125">
        <v>0.80700000000000005</v>
      </c>
      <c r="W62" s="125">
        <v>2.0640000000000001</v>
      </c>
      <c r="X62" s="125">
        <v>0</v>
      </c>
      <c r="Y62" s="125">
        <v>0.98299999999999998</v>
      </c>
      <c r="Z62" s="125">
        <v>0</v>
      </c>
      <c r="AA62" s="125">
        <v>37.637</v>
      </c>
      <c r="AB62" s="125">
        <v>9.5350000000000001</v>
      </c>
      <c r="AC62" s="125">
        <v>525.9</v>
      </c>
      <c r="AD62" s="125">
        <v>0</v>
      </c>
      <c r="AE62" s="125">
        <v>56.918999999999997</v>
      </c>
      <c r="AF62" s="125">
        <v>56.512799999999999</v>
      </c>
      <c r="AG62" s="125">
        <v>0</v>
      </c>
      <c r="AH62" s="125">
        <v>0</v>
      </c>
      <c r="AI62" s="121">
        <v>0</v>
      </c>
      <c r="AJ62" s="121">
        <v>0</v>
      </c>
      <c r="AK62" s="424">
        <v>12</v>
      </c>
      <c r="AL62">
        <v>0</v>
      </c>
      <c r="AM62" s="121">
        <v>50422</v>
      </c>
      <c r="AN62" s="125">
        <v>0</v>
      </c>
      <c r="AO62" s="125">
        <v>0</v>
      </c>
      <c r="AP62" s="121">
        <v>0</v>
      </c>
      <c r="AQ62" s="114">
        <v>0</v>
      </c>
      <c r="AR62" s="121">
        <v>0</v>
      </c>
      <c r="AS62" s="121">
        <v>0</v>
      </c>
      <c r="AT62" s="121">
        <v>0</v>
      </c>
      <c r="AU62" s="420" t="s">
        <v>2001</v>
      </c>
      <c r="AV62" s="420" t="s">
        <v>2001</v>
      </c>
      <c r="AW62" s="121">
        <v>0</v>
      </c>
      <c r="AX62" s="121">
        <v>0</v>
      </c>
      <c r="BI62">
        <v>0</v>
      </c>
      <c r="BJ62" s="121">
        <v>0</v>
      </c>
      <c r="BK62" s="134"/>
    </row>
    <row r="63" spans="1:68">
      <c r="A63" t="s">
        <v>1589</v>
      </c>
      <c r="B63" t="s">
        <v>2612</v>
      </c>
      <c r="C63" s="121">
        <v>5057</v>
      </c>
      <c r="D63" s="72">
        <v>2</v>
      </c>
      <c r="E63">
        <v>21737.885999999999</v>
      </c>
      <c r="F63">
        <v>5976</v>
      </c>
      <c r="G63">
        <v>5226</v>
      </c>
      <c r="H63">
        <v>313</v>
      </c>
      <c r="I63" s="173">
        <v>1</v>
      </c>
      <c r="J63" s="121">
        <v>27251725350</v>
      </c>
      <c r="K63" s="125">
        <v>108079.594</v>
      </c>
      <c r="L63" s="173">
        <v>1.5</v>
      </c>
      <c r="M63">
        <v>1</v>
      </c>
      <c r="N63">
        <v>1.000000005</v>
      </c>
      <c r="O63">
        <v>-4.9999999696126451E-7</v>
      </c>
      <c r="P63">
        <v>84000.18</v>
      </c>
      <c r="Q63" s="125">
        <v>7.3920000000000003</v>
      </c>
      <c r="R63" s="125">
        <v>3.6960000000000002</v>
      </c>
      <c r="S63" s="125">
        <v>172.47300000000001</v>
      </c>
      <c r="T63" s="125">
        <v>1183.904</v>
      </c>
      <c r="U63" s="125">
        <v>813.08699999999999</v>
      </c>
      <c r="V63" s="125">
        <v>110.876</v>
      </c>
      <c r="W63" s="125">
        <v>123.19499999999999</v>
      </c>
      <c r="X63" s="125">
        <v>0</v>
      </c>
      <c r="Y63" s="125">
        <v>0</v>
      </c>
      <c r="Z63" s="125">
        <v>49.277999999999999</v>
      </c>
      <c r="AA63" s="125">
        <v>3871.86</v>
      </c>
      <c r="AB63" s="125">
        <v>3034.69</v>
      </c>
      <c r="AC63" s="125">
        <v>42266</v>
      </c>
      <c r="AD63" s="125">
        <v>24</v>
      </c>
      <c r="AE63" s="125">
        <v>4739.97</v>
      </c>
      <c r="AF63" s="125">
        <v>4200.009</v>
      </c>
      <c r="AG63" s="125">
        <v>0</v>
      </c>
      <c r="AH63" s="125">
        <v>0</v>
      </c>
      <c r="AI63" s="121">
        <v>286797575</v>
      </c>
      <c r="AJ63" s="121">
        <v>59547365</v>
      </c>
      <c r="AK63" s="424">
        <v>12</v>
      </c>
      <c r="AL63">
        <v>0</v>
      </c>
      <c r="AM63" s="121">
        <v>5861473</v>
      </c>
      <c r="AN63" s="125">
        <v>9</v>
      </c>
      <c r="AO63" s="125">
        <v>2</v>
      </c>
      <c r="AP63" s="121">
        <v>346344940</v>
      </c>
      <c r="AQ63" s="114">
        <v>0</v>
      </c>
      <c r="AR63" s="121">
        <v>18164.896358999998</v>
      </c>
      <c r="AS63" s="121">
        <v>3569459.1765999999</v>
      </c>
      <c r="AT63" s="121">
        <v>470096.17293</v>
      </c>
      <c r="AU63" s="420" t="s">
        <v>2001</v>
      </c>
      <c r="AV63" s="420" t="s">
        <v>2001</v>
      </c>
      <c r="AW63" s="121">
        <v>0</v>
      </c>
      <c r="AX63" s="121">
        <v>95451548</v>
      </c>
      <c r="BI63">
        <v>0</v>
      </c>
      <c r="BJ63" s="121">
        <v>0</v>
      </c>
      <c r="BK63" s="134">
        <v>27251725350</v>
      </c>
      <c r="BL63" s="934">
        <v>4820</v>
      </c>
      <c r="BM63" s="934">
        <v>5057</v>
      </c>
      <c r="BN63" s="934">
        <v>4990</v>
      </c>
      <c r="BO63" s="114">
        <v>0</v>
      </c>
      <c r="BP63" s="114">
        <v>0</v>
      </c>
    </row>
    <row r="64" spans="1:68">
      <c r="A64" t="s">
        <v>53</v>
      </c>
      <c r="B64" t="s">
        <v>448</v>
      </c>
      <c r="C64" s="121">
        <v>4856</v>
      </c>
      <c r="D64" s="72">
        <v>2</v>
      </c>
      <c r="E64">
        <v>5223.6760000000004</v>
      </c>
      <c r="F64">
        <v>1578</v>
      </c>
      <c r="G64">
        <v>1161</v>
      </c>
      <c r="H64">
        <v>89</v>
      </c>
      <c r="I64" s="173">
        <v>1.04</v>
      </c>
      <c r="J64" s="121">
        <v>5290848265</v>
      </c>
      <c r="K64" s="125">
        <v>25037.633999999998</v>
      </c>
      <c r="L64" s="173">
        <v>1.5</v>
      </c>
      <c r="M64">
        <v>1.04</v>
      </c>
      <c r="N64">
        <v>1.000000005</v>
      </c>
      <c r="O64">
        <v>3.9999995000000066</v>
      </c>
      <c r="P64">
        <v>19196.641</v>
      </c>
      <c r="Q64" s="125">
        <v>3.222</v>
      </c>
      <c r="R64" s="125">
        <v>0</v>
      </c>
      <c r="S64" s="125">
        <v>25.843</v>
      </c>
      <c r="T64" s="125">
        <v>296</v>
      </c>
      <c r="U64" s="125">
        <v>204.864</v>
      </c>
      <c r="V64" s="125">
        <v>1.29</v>
      </c>
      <c r="W64" s="125">
        <v>32.542999999999999</v>
      </c>
      <c r="X64" s="125">
        <v>0</v>
      </c>
      <c r="Y64" s="125">
        <v>0</v>
      </c>
      <c r="Z64" s="125">
        <v>28.266999999999999</v>
      </c>
      <c r="AA64" s="125">
        <v>641.47799999999995</v>
      </c>
      <c r="AB64" s="125">
        <v>835.73</v>
      </c>
      <c r="AC64" s="125">
        <v>12166.4</v>
      </c>
      <c r="AD64" s="125">
        <v>6.431</v>
      </c>
      <c r="AE64" s="125">
        <v>927.74599999999998</v>
      </c>
      <c r="AF64" s="125">
        <v>959.83199999999999</v>
      </c>
      <c r="AG64" s="125">
        <v>0</v>
      </c>
      <c r="AH64" s="125">
        <v>0</v>
      </c>
      <c r="AI64" s="121">
        <v>57776063</v>
      </c>
      <c r="AJ64" s="121">
        <v>12185612</v>
      </c>
      <c r="AK64" s="424">
        <v>12</v>
      </c>
      <c r="AL64">
        <v>0</v>
      </c>
      <c r="AM64" s="121">
        <v>1263311</v>
      </c>
      <c r="AN64" s="125">
        <v>2</v>
      </c>
      <c r="AO64" s="125">
        <v>1</v>
      </c>
      <c r="AP64" s="121">
        <v>69961675</v>
      </c>
      <c r="AQ64" s="114">
        <v>0</v>
      </c>
      <c r="AR64" s="121">
        <v>3526.6651615999999</v>
      </c>
      <c r="AS64" s="121">
        <v>693000.77881000005</v>
      </c>
      <c r="AT64" s="121">
        <v>91267.891810999994</v>
      </c>
      <c r="AU64" s="420" t="s">
        <v>2001</v>
      </c>
      <c r="AV64" s="420" t="s">
        <v>2001</v>
      </c>
      <c r="AW64" s="121">
        <v>0</v>
      </c>
      <c r="AX64" s="121">
        <v>25187416</v>
      </c>
      <c r="BI64">
        <v>0</v>
      </c>
      <c r="BJ64" s="121">
        <v>0</v>
      </c>
      <c r="BK64" s="134">
        <v>5290848265</v>
      </c>
      <c r="BL64" s="934">
        <v>4722</v>
      </c>
      <c r="BM64" s="934">
        <v>4856</v>
      </c>
      <c r="BN64" s="934">
        <v>4784</v>
      </c>
      <c r="BO64" s="114">
        <v>0</v>
      </c>
      <c r="BP64" s="114">
        <v>0</v>
      </c>
    </row>
    <row r="65" spans="1:68">
      <c r="A65" t="s">
        <v>1700</v>
      </c>
      <c r="B65" t="s">
        <v>2207</v>
      </c>
      <c r="C65" s="121">
        <v>4597</v>
      </c>
      <c r="D65" s="72">
        <v>1</v>
      </c>
      <c r="E65">
        <v>1285.9760000000001</v>
      </c>
      <c r="F65">
        <v>335</v>
      </c>
      <c r="G65">
        <v>210</v>
      </c>
      <c r="H65">
        <v>41</v>
      </c>
      <c r="I65" s="173">
        <v>1.04</v>
      </c>
      <c r="J65" s="121">
        <v>470606887</v>
      </c>
      <c r="K65" s="125">
        <v>6657.4189999999999</v>
      </c>
      <c r="L65" s="173">
        <v>1.5</v>
      </c>
      <c r="M65">
        <v>1.04</v>
      </c>
      <c r="N65">
        <v>1.000000005</v>
      </c>
      <c r="O65">
        <v>3.9999995000000066</v>
      </c>
      <c r="P65">
        <v>4697.8580000000002</v>
      </c>
      <c r="Q65" s="125">
        <v>0.69099999999999995</v>
      </c>
      <c r="R65" s="125">
        <v>0.106</v>
      </c>
      <c r="S65" s="125">
        <v>8.7799999999999994</v>
      </c>
      <c r="T65" s="125">
        <v>95.195999999999998</v>
      </c>
      <c r="U65" s="125">
        <v>44.006999999999998</v>
      </c>
      <c r="V65" s="125">
        <v>0</v>
      </c>
      <c r="W65" s="125">
        <v>8.782</v>
      </c>
      <c r="X65" s="125">
        <v>0</v>
      </c>
      <c r="Y65" s="125">
        <v>1.1970000000000001</v>
      </c>
      <c r="Z65" s="125">
        <v>0</v>
      </c>
      <c r="AA65" s="125">
        <v>229.91900000000001</v>
      </c>
      <c r="AB65" s="125">
        <v>200.47300000000001</v>
      </c>
      <c r="AC65" s="125">
        <v>4406</v>
      </c>
      <c r="AD65" s="125">
        <v>2.41</v>
      </c>
      <c r="AE65" s="125">
        <v>590.23299999999995</v>
      </c>
      <c r="AF65" s="125">
        <v>234.8929</v>
      </c>
      <c r="AG65" s="125">
        <v>0</v>
      </c>
      <c r="AH65" s="125">
        <v>0</v>
      </c>
      <c r="AI65" s="121">
        <v>4522344</v>
      </c>
      <c r="AJ65" s="121">
        <v>1130000</v>
      </c>
      <c r="AK65" s="424">
        <v>12</v>
      </c>
      <c r="AL65">
        <v>0</v>
      </c>
      <c r="AM65" s="121">
        <v>624865</v>
      </c>
      <c r="AN65" s="125">
        <v>0</v>
      </c>
      <c r="AO65" s="125">
        <v>0</v>
      </c>
      <c r="AP65" s="121">
        <v>5652344</v>
      </c>
      <c r="AQ65" s="114">
        <v>0</v>
      </c>
      <c r="AR65" s="121">
        <v>313.68749019000001</v>
      </c>
      <c r="AS65" s="121">
        <v>61640.576872999998</v>
      </c>
      <c r="AT65" s="121">
        <v>8118.0363330999999</v>
      </c>
      <c r="AU65" s="420" t="s">
        <v>2001</v>
      </c>
      <c r="AV65" s="420" t="s">
        <v>2001</v>
      </c>
      <c r="AW65" s="121">
        <v>0</v>
      </c>
      <c r="AX65" s="121">
        <v>5362705</v>
      </c>
      <c r="BI65">
        <v>0</v>
      </c>
      <c r="BJ65" s="121">
        <v>0</v>
      </c>
      <c r="BK65" s="134">
        <v>470606887</v>
      </c>
      <c r="BL65" s="934">
        <v>4560</v>
      </c>
      <c r="BM65" s="934">
        <v>4597</v>
      </c>
      <c r="BN65" s="934">
        <v>4559</v>
      </c>
      <c r="BO65" s="114">
        <v>0</v>
      </c>
      <c r="BP65" s="114">
        <v>0</v>
      </c>
    </row>
    <row r="66" spans="1:68">
      <c r="A66" t="s">
        <v>1377</v>
      </c>
      <c r="B66" t="s">
        <v>2604</v>
      </c>
      <c r="C66" s="121">
        <v>5516</v>
      </c>
      <c r="D66" s="72">
        <v>2</v>
      </c>
      <c r="E66">
        <v>193.75800000000001</v>
      </c>
      <c r="F66">
        <v>60</v>
      </c>
      <c r="G66">
        <v>37</v>
      </c>
      <c r="H66">
        <v>7</v>
      </c>
      <c r="I66" s="173">
        <v>1.0149999999999999</v>
      </c>
      <c r="J66" s="121">
        <v>482196279</v>
      </c>
      <c r="K66" s="125">
        <v>1188.307</v>
      </c>
      <c r="L66" s="173">
        <v>1.3701000000000001</v>
      </c>
      <c r="M66">
        <v>1.0149999999999999</v>
      </c>
      <c r="N66">
        <v>0.9134000045670001</v>
      </c>
      <c r="O66">
        <v>10.15999954329998</v>
      </c>
      <c r="P66">
        <v>655.92200000000003</v>
      </c>
      <c r="Q66" s="125">
        <v>1.7999999999999999E-2</v>
      </c>
      <c r="R66" s="125">
        <v>0</v>
      </c>
      <c r="S66" s="125">
        <v>1.0780000000000001</v>
      </c>
      <c r="T66" s="125">
        <v>26.422000000000001</v>
      </c>
      <c r="U66" s="125">
        <v>5.6150000000000002</v>
      </c>
      <c r="V66" s="125">
        <v>0</v>
      </c>
      <c r="W66" s="125">
        <v>3.9609999999999999</v>
      </c>
      <c r="X66" s="125">
        <v>0</v>
      </c>
      <c r="Y66" s="125">
        <v>0</v>
      </c>
      <c r="Z66" s="125">
        <v>4.915</v>
      </c>
      <c r="AA66" s="125">
        <v>11.974</v>
      </c>
      <c r="AB66" s="125">
        <v>32.250999999999998</v>
      </c>
      <c r="AC66" s="125">
        <v>217.5</v>
      </c>
      <c r="AD66" s="125">
        <v>0</v>
      </c>
      <c r="AE66" s="125">
        <v>49.128</v>
      </c>
      <c r="AF66" s="125">
        <v>32.795999999999999</v>
      </c>
      <c r="AG66" s="125">
        <v>0</v>
      </c>
      <c r="AH66" s="125">
        <v>0</v>
      </c>
      <c r="AI66" s="121">
        <v>5087617</v>
      </c>
      <c r="AJ66" s="121">
        <v>753551</v>
      </c>
      <c r="AK66" s="424">
        <v>12</v>
      </c>
      <c r="AL66">
        <v>0</v>
      </c>
      <c r="AM66" s="121">
        <v>90129</v>
      </c>
      <c r="AN66" s="125">
        <v>0</v>
      </c>
      <c r="AO66" s="125">
        <v>0</v>
      </c>
      <c r="AP66" s="121">
        <v>5841168</v>
      </c>
      <c r="AQ66" s="114">
        <v>0</v>
      </c>
      <c r="AR66" s="121">
        <v>0</v>
      </c>
      <c r="AS66" s="121">
        <v>0</v>
      </c>
      <c r="AT66" s="121">
        <v>0</v>
      </c>
      <c r="AU66" s="420" t="s">
        <v>798</v>
      </c>
      <c r="AV66" s="72" t="s">
        <v>798</v>
      </c>
      <c r="AW66" s="121">
        <v>0</v>
      </c>
      <c r="AX66" s="121">
        <v>738591</v>
      </c>
      <c r="AY66" s="134">
        <v>95640</v>
      </c>
      <c r="AZ66" s="134">
        <v>2133267</v>
      </c>
      <c r="BA66" s="114">
        <v>880</v>
      </c>
      <c r="BB66" s="134">
        <v>111448582</v>
      </c>
      <c r="BC66" s="114">
        <v>0</v>
      </c>
      <c r="BD66" s="114">
        <v>0</v>
      </c>
      <c r="BE66" s="114">
        <v>0</v>
      </c>
      <c r="BF66" s="114">
        <v>678</v>
      </c>
      <c r="BG66" s="114">
        <v>0</v>
      </c>
      <c r="BH66" s="114">
        <v>0</v>
      </c>
      <c r="BI66">
        <v>0</v>
      </c>
      <c r="BJ66" s="121">
        <v>0</v>
      </c>
      <c r="BK66" s="134">
        <v>482196279</v>
      </c>
      <c r="BL66" s="934">
        <v>4799</v>
      </c>
      <c r="BM66" s="934">
        <v>5516</v>
      </c>
      <c r="BN66" s="934">
        <v>4915</v>
      </c>
      <c r="BO66" s="114">
        <v>0</v>
      </c>
      <c r="BP66" s="114">
        <v>0</v>
      </c>
    </row>
    <row r="67" spans="1:68">
      <c r="A67" t="s">
        <v>986</v>
      </c>
      <c r="B67" t="s">
        <v>902</v>
      </c>
      <c r="C67" s="121">
        <v>5175</v>
      </c>
      <c r="D67" s="72">
        <v>3</v>
      </c>
      <c r="E67">
        <v>300.911</v>
      </c>
      <c r="F67">
        <v>97</v>
      </c>
      <c r="G67">
        <v>54</v>
      </c>
      <c r="H67">
        <v>0</v>
      </c>
      <c r="I67" s="173">
        <v>0.9738</v>
      </c>
      <c r="J67" s="121">
        <v>554781328</v>
      </c>
      <c r="K67" s="125">
        <v>1610.864</v>
      </c>
      <c r="L67" s="173">
        <v>1.2542</v>
      </c>
      <c r="M67">
        <v>0.9738</v>
      </c>
      <c r="N67">
        <v>0.83613333751399999</v>
      </c>
      <c r="O67">
        <v>13.766666248600002</v>
      </c>
      <c r="P67">
        <v>994.04499999999996</v>
      </c>
      <c r="Q67" s="125">
        <v>0.1</v>
      </c>
      <c r="R67" s="125">
        <v>0</v>
      </c>
      <c r="S67" s="125">
        <v>1.296</v>
      </c>
      <c r="T67" s="125">
        <v>21.677</v>
      </c>
      <c r="U67" s="125">
        <v>2.9830000000000001</v>
      </c>
      <c r="V67" s="125">
        <v>0</v>
      </c>
      <c r="W67" s="125">
        <v>1.9770000000000001</v>
      </c>
      <c r="X67" s="125">
        <v>0</v>
      </c>
      <c r="Y67" s="125">
        <v>0</v>
      </c>
      <c r="Z67" s="125">
        <v>0.91</v>
      </c>
      <c r="AA67" s="125">
        <v>41.018999999999998</v>
      </c>
      <c r="AB67" s="125">
        <v>38.856000000000002</v>
      </c>
      <c r="AC67" s="125">
        <v>545.70000000000005</v>
      </c>
      <c r="AD67" s="125">
        <v>0.36099999999999999</v>
      </c>
      <c r="AE67" s="125">
        <v>48.28</v>
      </c>
      <c r="AF67" s="125">
        <v>49.701999999999998</v>
      </c>
      <c r="AG67" s="125">
        <v>0</v>
      </c>
      <c r="AH67" s="125">
        <v>0</v>
      </c>
      <c r="AI67" s="121">
        <v>5502406</v>
      </c>
      <c r="AJ67" s="121">
        <v>696820</v>
      </c>
      <c r="AK67" s="424">
        <v>12</v>
      </c>
      <c r="AL67">
        <v>0</v>
      </c>
      <c r="AM67" s="121">
        <v>96756</v>
      </c>
      <c r="AN67" s="125">
        <v>0</v>
      </c>
      <c r="AO67" s="125">
        <v>0</v>
      </c>
      <c r="AP67" s="121">
        <v>6199226</v>
      </c>
      <c r="AQ67" s="114">
        <v>0</v>
      </c>
      <c r="AR67" s="121">
        <v>369.79476328999999</v>
      </c>
      <c r="AS67" s="121">
        <v>72665.832229000007</v>
      </c>
      <c r="AT67" s="121">
        <v>9570.0575195000001</v>
      </c>
      <c r="AU67" s="420" t="s">
        <v>798</v>
      </c>
      <c r="AV67" s="420" t="s">
        <v>2001</v>
      </c>
      <c r="AW67" s="121">
        <v>0</v>
      </c>
      <c r="AX67" s="121">
        <v>629030</v>
      </c>
      <c r="AY67" s="134">
        <v>4335</v>
      </c>
      <c r="AZ67" s="134">
        <v>2769597</v>
      </c>
      <c r="BA67" s="134">
        <v>1143</v>
      </c>
      <c r="BB67" s="134">
        <v>109479320</v>
      </c>
      <c r="BC67" s="114">
        <v>0</v>
      </c>
      <c r="BD67" s="114">
        <v>0</v>
      </c>
      <c r="BE67" s="114">
        <v>0</v>
      </c>
      <c r="BF67" s="114">
        <v>983</v>
      </c>
      <c r="BG67" s="114">
        <v>0</v>
      </c>
      <c r="BH67" s="114">
        <v>0</v>
      </c>
      <c r="BI67">
        <v>0</v>
      </c>
      <c r="BJ67" s="121">
        <v>0</v>
      </c>
      <c r="BK67" s="134">
        <v>554781328</v>
      </c>
      <c r="BL67" s="934">
        <v>4767</v>
      </c>
      <c r="BM67" s="934">
        <v>4971</v>
      </c>
      <c r="BN67" s="934">
        <v>5175</v>
      </c>
      <c r="BO67" s="114">
        <v>0</v>
      </c>
      <c r="BP67" s="114">
        <v>0</v>
      </c>
    </row>
    <row r="68" spans="1:68">
      <c r="A68" t="s">
        <v>1378</v>
      </c>
      <c r="B68" t="s">
        <v>2605</v>
      </c>
      <c r="C68" s="121">
        <v>12149</v>
      </c>
      <c r="D68" s="72">
        <v>3</v>
      </c>
      <c r="E68">
        <v>55.338999999999999</v>
      </c>
      <c r="F68">
        <v>21</v>
      </c>
      <c r="G68">
        <v>23</v>
      </c>
      <c r="H68">
        <v>0</v>
      </c>
      <c r="I68" s="173">
        <v>1.0336000000000001</v>
      </c>
      <c r="J68" s="121">
        <v>685635890</v>
      </c>
      <c r="K68" s="125">
        <v>303.036</v>
      </c>
      <c r="L68" s="173">
        <v>1.44</v>
      </c>
      <c r="M68">
        <v>1.0336000000000001</v>
      </c>
      <c r="N68">
        <v>0.96000000480000003</v>
      </c>
      <c r="O68">
        <v>7.3599995200000041</v>
      </c>
      <c r="P68">
        <v>152.267</v>
      </c>
      <c r="Q68" s="125">
        <v>0</v>
      </c>
      <c r="R68" s="125">
        <v>0</v>
      </c>
      <c r="S68" s="125">
        <v>0.312</v>
      </c>
      <c r="T68" s="125">
        <v>2.2170000000000001</v>
      </c>
      <c r="U68" s="125">
        <v>0.45</v>
      </c>
      <c r="V68" s="125">
        <v>0</v>
      </c>
      <c r="W68" s="125">
        <v>0</v>
      </c>
      <c r="X68" s="125">
        <v>0</v>
      </c>
      <c r="Y68" s="125">
        <v>0</v>
      </c>
      <c r="Z68" s="125">
        <v>0</v>
      </c>
      <c r="AA68" s="125">
        <v>8.766</v>
      </c>
      <c r="AB68" s="125">
        <v>9.9830000000000005</v>
      </c>
      <c r="AC68" s="125">
        <v>72</v>
      </c>
      <c r="AD68" s="125">
        <v>0</v>
      </c>
      <c r="AE68" s="125">
        <v>0</v>
      </c>
      <c r="AF68" s="125">
        <v>7.6130000000000004</v>
      </c>
      <c r="AG68" s="125">
        <v>0</v>
      </c>
      <c r="AH68" s="125">
        <v>0</v>
      </c>
      <c r="AI68" s="121">
        <v>7292248</v>
      </c>
      <c r="AJ68" s="121">
        <v>0</v>
      </c>
      <c r="AK68" s="424">
        <v>12</v>
      </c>
      <c r="AL68">
        <v>31</v>
      </c>
      <c r="AM68" s="121">
        <v>51189</v>
      </c>
      <c r="AN68" s="125">
        <v>0</v>
      </c>
      <c r="AO68" s="125">
        <v>0</v>
      </c>
      <c r="AP68" s="121">
        <v>7292248</v>
      </c>
      <c r="AQ68" s="114">
        <v>0</v>
      </c>
      <c r="AR68" s="121">
        <v>0</v>
      </c>
      <c r="AS68" s="121">
        <v>0</v>
      </c>
      <c r="AT68" s="121">
        <v>0</v>
      </c>
      <c r="AU68" s="420" t="s">
        <v>798</v>
      </c>
      <c r="AV68" s="420" t="s">
        <v>2001</v>
      </c>
      <c r="AW68" s="121">
        <v>0</v>
      </c>
      <c r="AX68" s="121">
        <v>0</v>
      </c>
      <c r="AY68" s="134">
        <v>1586291</v>
      </c>
      <c r="AZ68" s="134">
        <v>818087</v>
      </c>
      <c r="BA68" s="114">
        <v>278</v>
      </c>
      <c r="BB68" s="134">
        <v>348343768</v>
      </c>
      <c r="BC68" s="114">
        <v>0</v>
      </c>
      <c r="BD68" s="114">
        <v>0</v>
      </c>
      <c r="BE68" s="114">
        <v>0</v>
      </c>
      <c r="BF68" s="114">
        <v>166</v>
      </c>
      <c r="BG68" s="114">
        <v>0</v>
      </c>
      <c r="BH68" s="114">
        <v>0</v>
      </c>
      <c r="BI68">
        <v>0</v>
      </c>
      <c r="BJ68" s="121">
        <v>0</v>
      </c>
      <c r="BK68" s="134">
        <v>685635890</v>
      </c>
      <c r="BL68" s="934">
        <v>11895</v>
      </c>
      <c r="BM68" s="934">
        <v>11746</v>
      </c>
      <c r="BN68" s="934">
        <v>12149</v>
      </c>
      <c r="BO68" s="114">
        <v>0</v>
      </c>
      <c r="BP68" s="114">
        <v>0</v>
      </c>
    </row>
    <row r="69" spans="1:68">
      <c r="A69" t="s">
        <v>628</v>
      </c>
      <c r="B69" t="s">
        <v>1330</v>
      </c>
      <c r="C69" s="121">
        <v>4558</v>
      </c>
      <c r="D69" s="72">
        <v>3</v>
      </c>
      <c r="E69">
        <v>338.36599999999999</v>
      </c>
      <c r="F69">
        <v>101</v>
      </c>
      <c r="G69">
        <v>60</v>
      </c>
      <c r="H69">
        <v>3</v>
      </c>
      <c r="I69" s="173">
        <v>1.03</v>
      </c>
      <c r="J69" s="121">
        <v>412056112</v>
      </c>
      <c r="K69" s="125">
        <v>1638.403</v>
      </c>
      <c r="L69" s="173">
        <v>1.4261999999999999</v>
      </c>
      <c r="M69">
        <v>1.03</v>
      </c>
      <c r="N69">
        <v>0.95080000475399995</v>
      </c>
      <c r="O69">
        <v>7.9199995246000077</v>
      </c>
      <c r="P69">
        <v>1122.9159999999999</v>
      </c>
      <c r="Q69" s="125">
        <v>0</v>
      </c>
      <c r="R69" s="125">
        <v>0</v>
      </c>
      <c r="S69" s="125">
        <v>2.2610000000000001</v>
      </c>
      <c r="T69" s="125">
        <v>48.182000000000002</v>
      </c>
      <c r="U69" s="125">
        <v>6.2489999999999997</v>
      </c>
      <c r="V69" s="125">
        <v>0</v>
      </c>
      <c r="W69" s="125">
        <v>0</v>
      </c>
      <c r="X69" s="125">
        <v>0</v>
      </c>
      <c r="Y69" s="125">
        <v>0</v>
      </c>
      <c r="Z69" s="125">
        <v>0.873</v>
      </c>
      <c r="AA69" s="125">
        <v>1.8380000000000001</v>
      </c>
      <c r="AB69" s="125">
        <v>53.813000000000002</v>
      </c>
      <c r="AC69" s="125">
        <v>645</v>
      </c>
      <c r="AD69" s="125">
        <v>1.9E-2</v>
      </c>
      <c r="AE69" s="125">
        <v>82.828999999999994</v>
      </c>
      <c r="AF69" s="125">
        <v>56.145800000000001</v>
      </c>
      <c r="AG69" s="125">
        <v>0</v>
      </c>
      <c r="AH69" s="125">
        <v>0</v>
      </c>
      <c r="AI69" s="121">
        <v>4322695</v>
      </c>
      <c r="AJ69" s="121">
        <v>582530</v>
      </c>
      <c r="AK69" s="424">
        <v>12</v>
      </c>
      <c r="AL69">
        <v>0</v>
      </c>
      <c r="AM69" s="121">
        <v>98228</v>
      </c>
      <c r="AN69" s="125">
        <v>0</v>
      </c>
      <c r="AO69" s="125">
        <v>1</v>
      </c>
      <c r="AP69" s="121">
        <v>4905225</v>
      </c>
      <c r="AQ69" s="114">
        <v>0</v>
      </c>
      <c r="AR69" s="121">
        <v>274.65991502000003</v>
      </c>
      <c r="AS69" s="121">
        <v>53971.535796999997</v>
      </c>
      <c r="AT69" s="121">
        <v>7108.0270622999997</v>
      </c>
      <c r="AU69" s="420" t="s">
        <v>2001</v>
      </c>
      <c r="AV69" s="420" t="s">
        <v>2001</v>
      </c>
      <c r="AW69" s="121">
        <v>0</v>
      </c>
      <c r="AX69" s="121">
        <v>568438</v>
      </c>
      <c r="BI69">
        <v>0</v>
      </c>
      <c r="BJ69" s="121">
        <v>0</v>
      </c>
      <c r="BK69" s="134">
        <v>412056112</v>
      </c>
      <c r="BL69" s="934">
        <v>4225</v>
      </c>
      <c r="BM69" s="934">
        <v>4405</v>
      </c>
      <c r="BN69" s="934">
        <v>4558</v>
      </c>
      <c r="BO69" s="114">
        <v>0</v>
      </c>
      <c r="BP69" s="114">
        <v>0</v>
      </c>
    </row>
    <row r="70" spans="1:68">
      <c r="A70" t="s">
        <v>1379</v>
      </c>
      <c r="B70" t="s">
        <v>3081</v>
      </c>
      <c r="C70" s="121">
        <v>5096</v>
      </c>
      <c r="D70" s="72">
        <v>3</v>
      </c>
      <c r="E70">
        <v>156.21700000000001</v>
      </c>
      <c r="F70">
        <v>59</v>
      </c>
      <c r="G70">
        <v>41</v>
      </c>
      <c r="H70">
        <v>4</v>
      </c>
      <c r="I70" s="173">
        <v>0.98550000000000004</v>
      </c>
      <c r="J70" s="121">
        <v>128680347</v>
      </c>
      <c r="K70" s="125">
        <v>858.89499999999998</v>
      </c>
      <c r="L70" s="173">
        <v>1.2291000000000001</v>
      </c>
      <c r="M70">
        <v>0.98550000000000004</v>
      </c>
      <c r="N70">
        <v>0.81940000409700009</v>
      </c>
      <c r="O70">
        <v>16.609999590299996</v>
      </c>
      <c r="P70">
        <v>502.82900000000001</v>
      </c>
      <c r="Q70" s="125">
        <v>0.16700000000000001</v>
      </c>
      <c r="R70" s="125">
        <v>0</v>
      </c>
      <c r="S70" s="125">
        <v>0.88500000000000001</v>
      </c>
      <c r="T70" s="125">
        <v>19.681999999999999</v>
      </c>
      <c r="U70" s="125">
        <v>1.002</v>
      </c>
      <c r="V70" s="125">
        <v>12.417999999999999</v>
      </c>
      <c r="W70" s="125">
        <v>0.57499999999999996</v>
      </c>
      <c r="X70" s="125">
        <v>0</v>
      </c>
      <c r="Y70" s="125">
        <v>0</v>
      </c>
      <c r="Z70" s="125">
        <v>0</v>
      </c>
      <c r="AA70" s="125">
        <v>0.71799999999999997</v>
      </c>
      <c r="AB70" s="125">
        <v>31.507999999999999</v>
      </c>
      <c r="AC70" s="125">
        <v>336.6</v>
      </c>
      <c r="AD70" s="125">
        <v>0</v>
      </c>
      <c r="AE70" s="125">
        <v>37.616999999999997</v>
      </c>
      <c r="AF70" s="125">
        <v>25.140999999999998</v>
      </c>
      <c r="AG70" s="125">
        <v>0</v>
      </c>
      <c r="AH70" s="125">
        <v>0</v>
      </c>
      <c r="AI70" s="121">
        <v>1298761</v>
      </c>
      <c r="AJ70" s="121">
        <v>447192</v>
      </c>
      <c r="AK70" s="424">
        <v>12</v>
      </c>
      <c r="AL70">
        <v>0</v>
      </c>
      <c r="AM70" s="121">
        <v>29774</v>
      </c>
      <c r="AN70" s="125">
        <v>0</v>
      </c>
      <c r="AO70" s="125">
        <v>0</v>
      </c>
      <c r="AP70" s="121">
        <v>1745953</v>
      </c>
      <c r="AQ70" s="114">
        <v>0</v>
      </c>
      <c r="AR70" s="121">
        <v>85.773107741999993</v>
      </c>
      <c r="AS70" s="121">
        <v>16854.685019</v>
      </c>
      <c r="AT70" s="121">
        <v>2219.7544588999999</v>
      </c>
      <c r="AU70" s="420" t="s">
        <v>2001</v>
      </c>
      <c r="AV70" s="420" t="s">
        <v>2001</v>
      </c>
      <c r="AW70" s="121">
        <v>0</v>
      </c>
      <c r="AX70" s="121">
        <v>555151</v>
      </c>
      <c r="BI70">
        <v>0</v>
      </c>
      <c r="BJ70" s="121">
        <v>0</v>
      </c>
      <c r="BK70" s="134">
        <v>128072868</v>
      </c>
      <c r="BL70" s="934">
        <v>4708</v>
      </c>
      <c r="BM70" s="934">
        <v>4587</v>
      </c>
      <c r="BN70" s="934">
        <v>5096</v>
      </c>
      <c r="BO70" s="114">
        <v>0</v>
      </c>
      <c r="BP70" s="114">
        <v>0</v>
      </c>
    </row>
    <row r="71" spans="1:68">
      <c r="A71" t="s">
        <v>1273</v>
      </c>
      <c r="B71" t="s">
        <v>3082</v>
      </c>
      <c r="C71" s="121">
        <v>4617</v>
      </c>
      <c r="D71" s="72">
        <v>3</v>
      </c>
      <c r="E71">
        <v>36.402999999999999</v>
      </c>
      <c r="F71">
        <v>15</v>
      </c>
      <c r="G71">
        <v>11</v>
      </c>
      <c r="H71">
        <v>2</v>
      </c>
      <c r="I71" s="173">
        <v>1.04</v>
      </c>
      <c r="J71" s="121">
        <v>51312702</v>
      </c>
      <c r="K71" s="125">
        <v>316.37200000000001</v>
      </c>
      <c r="L71" s="173">
        <v>1.47</v>
      </c>
      <c r="M71">
        <v>1.04</v>
      </c>
      <c r="N71">
        <v>0.98000000490000005</v>
      </c>
      <c r="O71">
        <v>5.9999995099999985</v>
      </c>
      <c r="P71">
        <v>155.02000000000001</v>
      </c>
      <c r="Q71" s="125">
        <v>0</v>
      </c>
      <c r="R71" s="125">
        <v>0</v>
      </c>
      <c r="S71" s="125">
        <v>0.32600000000000001</v>
      </c>
      <c r="T71" s="125">
        <v>7.1779999999999999</v>
      </c>
      <c r="U71" s="125">
        <v>0.39300000000000002</v>
      </c>
      <c r="V71" s="125">
        <v>3.9590000000000001</v>
      </c>
      <c r="W71" s="125">
        <v>1.794</v>
      </c>
      <c r="X71" s="125">
        <v>0</v>
      </c>
      <c r="Y71" s="125">
        <v>0</v>
      </c>
      <c r="Z71" s="125">
        <v>0</v>
      </c>
      <c r="AA71" s="125">
        <v>8.7230000000000008</v>
      </c>
      <c r="AB71" s="125">
        <v>4.7220000000000004</v>
      </c>
      <c r="AC71" s="125">
        <v>153.5</v>
      </c>
      <c r="AD71" s="125">
        <v>0</v>
      </c>
      <c r="AE71" s="125">
        <v>26.04</v>
      </c>
      <c r="AF71" s="125">
        <v>7.7510000000000003</v>
      </c>
      <c r="AG71" s="125">
        <v>0</v>
      </c>
      <c r="AH71" s="125">
        <v>0</v>
      </c>
      <c r="AI71" s="121">
        <v>549128</v>
      </c>
      <c r="AJ71" s="121">
        <v>0</v>
      </c>
      <c r="AK71" s="424">
        <v>12</v>
      </c>
      <c r="AL71">
        <v>0</v>
      </c>
      <c r="AM71" s="121">
        <v>17820</v>
      </c>
      <c r="AN71" s="125">
        <v>0</v>
      </c>
      <c r="AO71" s="125">
        <v>0</v>
      </c>
      <c r="AP71" s="121">
        <v>549128</v>
      </c>
      <c r="AQ71" s="114">
        <v>0</v>
      </c>
      <c r="AR71" s="121">
        <v>34.202968867999999</v>
      </c>
      <c r="AS71" s="121">
        <v>6720.9907878000004</v>
      </c>
      <c r="AT71" s="121">
        <v>885.15147290000004</v>
      </c>
      <c r="AU71" s="420" t="s">
        <v>2001</v>
      </c>
      <c r="AV71" s="420" t="s">
        <v>2001</v>
      </c>
      <c r="AW71" s="121">
        <v>0</v>
      </c>
      <c r="AX71" s="121">
        <v>0</v>
      </c>
      <c r="BI71">
        <v>0</v>
      </c>
      <c r="BJ71" s="121">
        <v>0</v>
      </c>
      <c r="BK71" s="134">
        <v>51312702</v>
      </c>
      <c r="BL71" s="934">
        <v>4589</v>
      </c>
      <c r="BM71" s="934">
        <v>4569</v>
      </c>
      <c r="BN71" s="934">
        <v>4617</v>
      </c>
      <c r="BO71" s="114">
        <v>0</v>
      </c>
      <c r="BP71" s="114">
        <v>0</v>
      </c>
    </row>
    <row r="72" spans="1:68">
      <c r="A72" t="s">
        <v>1274</v>
      </c>
      <c r="B72" t="s">
        <v>3083</v>
      </c>
      <c r="C72" s="121">
        <v>4674</v>
      </c>
      <c r="D72" s="72">
        <v>1</v>
      </c>
      <c r="E72">
        <v>158.13399999999999</v>
      </c>
      <c r="F72">
        <v>48</v>
      </c>
      <c r="G72">
        <v>32</v>
      </c>
      <c r="H72">
        <v>3</v>
      </c>
      <c r="I72" s="173">
        <v>1.04</v>
      </c>
      <c r="J72" s="121">
        <v>168437674</v>
      </c>
      <c r="K72" s="125">
        <v>951.80700000000002</v>
      </c>
      <c r="L72" s="173">
        <v>1.5</v>
      </c>
      <c r="M72">
        <v>1.04</v>
      </c>
      <c r="N72">
        <v>1.000000005</v>
      </c>
      <c r="O72">
        <v>3.9999995000000066</v>
      </c>
      <c r="P72">
        <v>543</v>
      </c>
      <c r="Q72" s="125">
        <v>0</v>
      </c>
      <c r="R72" s="125">
        <v>0</v>
      </c>
      <c r="S72" s="125">
        <v>1.1459999999999999</v>
      </c>
      <c r="T72" s="125">
        <v>37.207000000000001</v>
      </c>
      <c r="U72" s="125">
        <v>0.46200000000000002</v>
      </c>
      <c r="V72" s="125">
        <v>7.0229999999999997</v>
      </c>
      <c r="W72" s="125">
        <v>6.4139999999999997</v>
      </c>
      <c r="X72" s="125">
        <v>0</v>
      </c>
      <c r="Y72" s="125">
        <v>0</v>
      </c>
      <c r="Z72" s="125">
        <v>0</v>
      </c>
      <c r="AA72" s="125">
        <v>3.6459999999999999</v>
      </c>
      <c r="AB72" s="125">
        <v>31.297000000000001</v>
      </c>
      <c r="AC72" s="125">
        <v>324.5</v>
      </c>
      <c r="AD72" s="125">
        <v>0</v>
      </c>
      <c r="AE72" s="125">
        <v>39.212000000000003</v>
      </c>
      <c r="AF72" s="125">
        <v>27.15</v>
      </c>
      <c r="AG72" s="125">
        <v>0</v>
      </c>
      <c r="AH72" s="125">
        <v>0</v>
      </c>
      <c r="AI72" s="121">
        <v>1820946</v>
      </c>
      <c r="AJ72" s="121">
        <v>234623</v>
      </c>
      <c r="AK72" s="424">
        <v>12</v>
      </c>
      <c r="AL72">
        <v>0</v>
      </c>
      <c r="AM72" s="121">
        <v>55837</v>
      </c>
      <c r="AN72" s="125">
        <v>0</v>
      </c>
      <c r="AO72" s="125">
        <v>0</v>
      </c>
      <c r="AP72" s="121">
        <v>2055569</v>
      </c>
      <c r="AQ72" s="114">
        <v>0</v>
      </c>
      <c r="AR72" s="121">
        <v>112.27373136999999</v>
      </c>
      <c r="AS72" s="121">
        <v>22062.140779000001</v>
      </c>
      <c r="AT72" s="121">
        <v>2905.5740473999999</v>
      </c>
      <c r="AU72" s="420" t="s">
        <v>2001</v>
      </c>
      <c r="AV72" s="420" t="s">
        <v>2001</v>
      </c>
      <c r="AW72" s="121">
        <v>0</v>
      </c>
      <c r="AX72" s="121">
        <v>488704</v>
      </c>
      <c r="BI72">
        <v>0</v>
      </c>
      <c r="BJ72" s="121">
        <v>0</v>
      </c>
      <c r="BK72" s="134">
        <v>168437674</v>
      </c>
      <c r="BL72" s="934">
        <v>4674</v>
      </c>
      <c r="BM72" s="934">
        <v>4586</v>
      </c>
      <c r="BN72" s="934">
        <v>4586</v>
      </c>
      <c r="BO72" s="114">
        <v>0</v>
      </c>
      <c r="BP72" s="114">
        <v>0</v>
      </c>
    </row>
    <row r="73" spans="1:68">
      <c r="A73" t="s">
        <v>2174</v>
      </c>
      <c r="B73" t="s">
        <v>2304</v>
      </c>
      <c r="C73" s="121">
        <v>4269</v>
      </c>
      <c r="D73" s="72">
        <v>2</v>
      </c>
      <c r="E73">
        <v>59.540999999999997</v>
      </c>
      <c r="F73">
        <v>21</v>
      </c>
      <c r="G73">
        <v>19</v>
      </c>
      <c r="H73">
        <v>0</v>
      </c>
      <c r="I73" s="173">
        <v>0.89990000000000003</v>
      </c>
      <c r="J73" s="121">
        <v>62002668</v>
      </c>
      <c r="K73" s="125">
        <v>406.03699999999998</v>
      </c>
      <c r="L73" s="173">
        <v>1.1499999999999999</v>
      </c>
      <c r="M73">
        <v>0.89990000000000003</v>
      </c>
      <c r="N73">
        <v>0.76666667049999992</v>
      </c>
      <c r="O73">
        <v>13.323332950000012</v>
      </c>
      <c r="P73">
        <v>231.31</v>
      </c>
      <c r="Q73" s="125">
        <v>0</v>
      </c>
      <c r="R73" s="125">
        <v>0</v>
      </c>
      <c r="S73" s="125">
        <v>0.129</v>
      </c>
      <c r="T73" s="125">
        <v>2.46</v>
      </c>
      <c r="U73" s="125">
        <v>0.59299999999999997</v>
      </c>
      <c r="V73" s="125">
        <v>2.3570000000000002</v>
      </c>
      <c r="W73" s="125">
        <v>0.20899999999999999</v>
      </c>
      <c r="X73" s="125">
        <v>0</v>
      </c>
      <c r="Y73" s="125">
        <v>0</v>
      </c>
      <c r="Z73" s="125">
        <v>0</v>
      </c>
      <c r="AA73" s="125">
        <v>1.002</v>
      </c>
      <c r="AB73" s="125">
        <v>13.004</v>
      </c>
      <c r="AC73" s="125">
        <v>222.5</v>
      </c>
      <c r="AD73" s="125">
        <v>0</v>
      </c>
      <c r="AE73" s="125">
        <v>35.066000000000003</v>
      </c>
      <c r="AF73" s="125">
        <v>11.5655</v>
      </c>
      <c r="AG73" s="125">
        <v>0</v>
      </c>
      <c r="AH73" s="125">
        <v>0</v>
      </c>
      <c r="AI73" s="121">
        <v>550709</v>
      </c>
      <c r="AJ73" s="121">
        <v>0</v>
      </c>
      <c r="AK73" s="424">
        <v>12</v>
      </c>
      <c r="AL73">
        <v>0</v>
      </c>
      <c r="AM73" s="121">
        <v>20403</v>
      </c>
      <c r="AN73" s="125">
        <v>0</v>
      </c>
      <c r="AO73" s="125">
        <v>0</v>
      </c>
      <c r="AP73" s="121">
        <v>550709</v>
      </c>
      <c r="AQ73" s="114">
        <v>0</v>
      </c>
      <c r="AR73" s="121">
        <v>41.328467234999998</v>
      </c>
      <c r="AS73" s="121">
        <v>8121.1735926000001</v>
      </c>
      <c r="AT73" s="121">
        <v>1069.5549203999999</v>
      </c>
      <c r="AU73" s="420" t="s">
        <v>2001</v>
      </c>
      <c r="AV73" s="420" t="s">
        <v>2001</v>
      </c>
      <c r="AW73" s="121">
        <v>0</v>
      </c>
      <c r="AX73" s="121">
        <v>0</v>
      </c>
      <c r="BI73">
        <v>0</v>
      </c>
      <c r="BJ73" s="121">
        <v>0</v>
      </c>
      <c r="BK73" s="134">
        <v>62002668</v>
      </c>
      <c r="BL73" s="934">
        <v>4121</v>
      </c>
      <c r="BM73" s="934">
        <v>4269</v>
      </c>
      <c r="BN73" s="934">
        <v>4213</v>
      </c>
      <c r="BO73" s="114">
        <v>0</v>
      </c>
      <c r="BP73" s="114">
        <v>0</v>
      </c>
    </row>
    <row r="74" spans="1:68">
      <c r="A74" t="s">
        <v>1846</v>
      </c>
      <c r="B74" t="s">
        <v>3084</v>
      </c>
      <c r="C74" s="121">
        <v>4639</v>
      </c>
      <c r="D74" s="72">
        <v>3</v>
      </c>
      <c r="E74">
        <v>42.253999999999998</v>
      </c>
      <c r="F74">
        <v>15</v>
      </c>
      <c r="G74">
        <v>10</v>
      </c>
      <c r="H74">
        <v>0</v>
      </c>
      <c r="I74" s="173">
        <v>1.04</v>
      </c>
      <c r="J74" s="121">
        <v>64067431</v>
      </c>
      <c r="K74" s="125">
        <v>280.202</v>
      </c>
      <c r="L74" s="173">
        <v>1.4291</v>
      </c>
      <c r="M74">
        <v>1.04</v>
      </c>
      <c r="N74">
        <v>0.952733338097</v>
      </c>
      <c r="O74">
        <v>8.7266661903000031</v>
      </c>
      <c r="P74">
        <v>137.70500000000001</v>
      </c>
      <c r="Q74" s="125">
        <v>1.7999999999999999E-2</v>
      </c>
      <c r="R74" s="125">
        <v>0</v>
      </c>
      <c r="S74" s="125">
        <v>0.14299999999999999</v>
      </c>
      <c r="T74" s="125">
        <v>6.2320000000000002</v>
      </c>
      <c r="U74" s="125">
        <v>0</v>
      </c>
      <c r="V74" s="125">
        <v>2.7559999999999998</v>
      </c>
      <c r="W74" s="125">
        <v>1.97</v>
      </c>
      <c r="X74" s="125">
        <v>0</v>
      </c>
      <c r="Y74" s="125">
        <v>0</v>
      </c>
      <c r="Z74" s="125">
        <v>0</v>
      </c>
      <c r="AA74" s="125">
        <v>4.4969999999999999</v>
      </c>
      <c r="AB74" s="125">
        <v>9.4779999999999998</v>
      </c>
      <c r="AC74" s="125">
        <v>101.4</v>
      </c>
      <c r="AD74" s="125">
        <v>0.23100000000000001</v>
      </c>
      <c r="AE74" s="125">
        <v>4.4370000000000003</v>
      </c>
      <c r="AF74" s="125">
        <v>6.8849999999999998</v>
      </c>
      <c r="AG74" s="125">
        <v>0</v>
      </c>
      <c r="AH74" s="125">
        <v>0</v>
      </c>
      <c r="AI74" s="121">
        <v>678628</v>
      </c>
      <c r="AJ74" s="121">
        <v>69399</v>
      </c>
      <c r="AK74" s="424">
        <v>12</v>
      </c>
      <c r="AL74">
        <v>0</v>
      </c>
      <c r="AM74" s="121">
        <v>41668</v>
      </c>
      <c r="AN74" s="125">
        <v>0</v>
      </c>
      <c r="AO74" s="125">
        <v>0</v>
      </c>
      <c r="AP74" s="121">
        <v>748027</v>
      </c>
      <c r="AQ74" s="114">
        <v>0</v>
      </c>
      <c r="AR74" s="121">
        <v>42.704754622999999</v>
      </c>
      <c r="AS74" s="121">
        <v>8391.6183861999998</v>
      </c>
      <c r="AT74" s="121">
        <v>1105.1723784999999</v>
      </c>
      <c r="AU74" s="420" t="s">
        <v>2001</v>
      </c>
      <c r="AV74" s="420" t="s">
        <v>2001</v>
      </c>
      <c r="AW74" s="121">
        <v>0</v>
      </c>
      <c r="AX74" s="121">
        <v>66726</v>
      </c>
      <c r="BI74">
        <v>0</v>
      </c>
      <c r="BJ74" s="121">
        <v>0</v>
      </c>
      <c r="BK74" s="134">
        <v>64067431</v>
      </c>
      <c r="BL74" s="934">
        <v>4575</v>
      </c>
      <c r="BM74" s="934">
        <v>4612</v>
      </c>
      <c r="BN74" s="934">
        <v>4639</v>
      </c>
      <c r="BO74" s="114">
        <v>0</v>
      </c>
      <c r="BP74" s="114">
        <v>0</v>
      </c>
    </row>
    <row r="75" spans="1:68">
      <c r="A75" t="s">
        <v>1847</v>
      </c>
      <c r="B75" t="s">
        <v>3085</v>
      </c>
      <c r="C75" s="121">
        <v>4768</v>
      </c>
      <c r="D75" s="72">
        <v>1</v>
      </c>
      <c r="E75">
        <v>82.784999999999997</v>
      </c>
      <c r="F75">
        <v>27</v>
      </c>
      <c r="G75">
        <v>22</v>
      </c>
      <c r="H75">
        <v>1</v>
      </c>
      <c r="I75" s="173">
        <v>1.0266999999999999</v>
      </c>
      <c r="J75" s="121">
        <v>95289484</v>
      </c>
      <c r="K75" s="125">
        <v>453.05799999999999</v>
      </c>
      <c r="L75" s="173">
        <v>1.48</v>
      </c>
      <c r="M75">
        <v>1.0266999999999999</v>
      </c>
      <c r="N75">
        <v>0.98666667159999999</v>
      </c>
      <c r="O75">
        <v>4.0033328399999952</v>
      </c>
      <c r="P75">
        <v>256.428</v>
      </c>
      <c r="Q75" s="125">
        <v>0</v>
      </c>
      <c r="R75" s="125">
        <v>0</v>
      </c>
      <c r="S75" s="125">
        <v>0.32200000000000001</v>
      </c>
      <c r="T75" s="125">
        <v>12.095000000000001</v>
      </c>
      <c r="U75" s="125">
        <v>0.78600000000000003</v>
      </c>
      <c r="V75" s="125">
        <v>3.3860000000000001</v>
      </c>
      <c r="W75" s="125">
        <v>0</v>
      </c>
      <c r="X75" s="125">
        <v>0</v>
      </c>
      <c r="Y75" s="125">
        <v>0</v>
      </c>
      <c r="Z75" s="125">
        <v>0</v>
      </c>
      <c r="AA75" s="125">
        <v>1.7769999999999999</v>
      </c>
      <c r="AB75" s="125">
        <v>12.151999999999999</v>
      </c>
      <c r="AC75" s="125">
        <v>170</v>
      </c>
      <c r="AD75" s="125">
        <v>0</v>
      </c>
      <c r="AE75" s="125">
        <v>5</v>
      </c>
      <c r="AF75" s="125">
        <v>12.821</v>
      </c>
      <c r="AG75" s="125">
        <v>0</v>
      </c>
      <c r="AH75" s="125">
        <v>0</v>
      </c>
      <c r="AI75" s="121">
        <v>986164</v>
      </c>
      <c r="AJ75" s="121">
        <v>18131</v>
      </c>
      <c r="AK75" s="424">
        <v>12</v>
      </c>
      <c r="AL75">
        <v>0</v>
      </c>
      <c r="AM75" s="121">
        <v>53628</v>
      </c>
      <c r="AN75" s="125">
        <v>0</v>
      </c>
      <c r="AO75" s="125">
        <v>0</v>
      </c>
      <c r="AP75" s="121">
        <v>1004295</v>
      </c>
      <c r="AQ75" s="114">
        <v>0</v>
      </c>
      <c r="AR75" s="121">
        <v>63.516110586000003</v>
      </c>
      <c r="AS75" s="121">
        <v>12481.115186000001</v>
      </c>
      <c r="AT75" s="121">
        <v>1643.7572731</v>
      </c>
      <c r="AU75" s="420" t="s">
        <v>2001</v>
      </c>
      <c r="AV75" s="420" t="s">
        <v>2001</v>
      </c>
      <c r="AW75" s="121">
        <v>0</v>
      </c>
      <c r="AX75" s="121">
        <v>20222</v>
      </c>
      <c r="BI75">
        <v>0</v>
      </c>
      <c r="BJ75" s="121">
        <v>0</v>
      </c>
      <c r="BK75" s="134">
        <v>95289484</v>
      </c>
      <c r="BL75" s="934">
        <v>4768</v>
      </c>
      <c r="BM75" s="934">
        <v>4672</v>
      </c>
      <c r="BN75" s="934">
        <v>4709</v>
      </c>
      <c r="BO75" s="114">
        <v>0</v>
      </c>
      <c r="BP75" s="114">
        <v>0</v>
      </c>
    </row>
    <row r="76" spans="1:68">
      <c r="A76" t="s">
        <v>1848</v>
      </c>
      <c r="B76" t="s">
        <v>3086</v>
      </c>
      <c r="C76" s="121">
        <v>4724</v>
      </c>
      <c r="D76" s="72">
        <v>3</v>
      </c>
      <c r="E76">
        <v>33.014000000000003</v>
      </c>
      <c r="F76">
        <v>17</v>
      </c>
      <c r="G76">
        <v>8</v>
      </c>
      <c r="H76">
        <v>0</v>
      </c>
      <c r="I76" s="173">
        <v>1.04</v>
      </c>
      <c r="J76" s="121">
        <v>57189465</v>
      </c>
      <c r="K76" s="125">
        <v>246.233</v>
      </c>
      <c r="L76" s="173">
        <v>1.46</v>
      </c>
      <c r="M76">
        <v>1.04</v>
      </c>
      <c r="N76">
        <v>0.97333333820000001</v>
      </c>
      <c r="O76">
        <v>6.6666661800000027</v>
      </c>
      <c r="P76">
        <v>81.569000000000003</v>
      </c>
      <c r="Q76" s="125">
        <v>0</v>
      </c>
      <c r="R76" s="125">
        <v>0</v>
      </c>
      <c r="S76" s="125">
        <v>0.125</v>
      </c>
      <c r="T76" s="125">
        <v>2.2599999999999998</v>
      </c>
      <c r="U76" s="125">
        <v>0</v>
      </c>
      <c r="V76" s="125">
        <v>0.57399999999999995</v>
      </c>
      <c r="W76" s="125">
        <v>0.14199999999999999</v>
      </c>
      <c r="X76" s="125">
        <v>0</v>
      </c>
      <c r="Y76" s="125">
        <v>0</v>
      </c>
      <c r="Z76" s="125">
        <v>0</v>
      </c>
      <c r="AA76" s="125">
        <v>5.4509999999999996</v>
      </c>
      <c r="AB76" s="125">
        <v>11.324999999999999</v>
      </c>
      <c r="AC76" s="125">
        <v>79.3</v>
      </c>
      <c r="AD76" s="125">
        <v>0</v>
      </c>
      <c r="AE76" s="125">
        <v>0</v>
      </c>
      <c r="AF76" s="125">
        <v>4.0780000000000003</v>
      </c>
      <c r="AG76" s="125">
        <v>0</v>
      </c>
      <c r="AH76" s="125">
        <v>0</v>
      </c>
      <c r="AI76" s="121">
        <v>587038</v>
      </c>
      <c r="AJ76" s="121">
        <v>0</v>
      </c>
      <c r="AK76" s="424">
        <v>12</v>
      </c>
      <c r="AL76">
        <v>0</v>
      </c>
      <c r="AM76" s="121">
        <v>22989</v>
      </c>
      <c r="AN76" s="125">
        <v>0</v>
      </c>
      <c r="AO76" s="125">
        <v>0</v>
      </c>
      <c r="AP76" s="121">
        <v>587038</v>
      </c>
      <c r="AQ76" s="114">
        <v>0</v>
      </c>
      <c r="AR76" s="121">
        <v>38.120181060999997</v>
      </c>
      <c r="AS76" s="121">
        <v>7490.7352847000002</v>
      </c>
      <c r="AT76" s="121">
        <v>986.52647796999997</v>
      </c>
      <c r="AU76" s="420" t="s">
        <v>798</v>
      </c>
      <c r="AV76" s="420" t="s">
        <v>2001</v>
      </c>
      <c r="AW76" s="121">
        <v>0</v>
      </c>
      <c r="AX76" s="121">
        <v>0</v>
      </c>
      <c r="AY76" s="134">
        <v>93448</v>
      </c>
      <c r="AZ76" s="134">
        <v>595885</v>
      </c>
      <c r="BA76" s="114">
        <v>242</v>
      </c>
      <c r="BB76" s="134">
        <v>24779171</v>
      </c>
      <c r="BC76" s="114">
        <v>0</v>
      </c>
      <c r="BD76" s="114">
        <v>0</v>
      </c>
      <c r="BE76" s="114">
        <v>0</v>
      </c>
      <c r="BF76" s="114">
        <v>91</v>
      </c>
      <c r="BG76" s="114">
        <v>0</v>
      </c>
      <c r="BH76" s="114">
        <v>0</v>
      </c>
      <c r="BI76">
        <v>0</v>
      </c>
      <c r="BJ76" s="121">
        <v>0</v>
      </c>
      <c r="BK76" s="134">
        <v>57189465</v>
      </c>
      <c r="BL76" s="934">
        <v>4536</v>
      </c>
      <c r="BM76" s="934">
        <v>4640</v>
      </c>
      <c r="BN76" s="934">
        <v>4724</v>
      </c>
      <c r="BO76" s="114">
        <v>0</v>
      </c>
      <c r="BP76" s="114">
        <v>0</v>
      </c>
    </row>
    <row r="77" spans="1:68">
      <c r="A77" t="s">
        <v>997</v>
      </c>
      <c r="B77" t="s">
        <v>3063</v>
      </c>
      <c r="C77" s="121">
        <v>4459</v>
      </c>
      <c r="D77" s="72">
        <v>1</v>
      </c>
      <c r="E77">
        <v>266.45100000000002</v>
      </c>
      <c r="F77">
        <v>74</v>
      </c>
      <c r="G77">
        <v>44</v>
      </c>
      <c r="H77">
        <v>0</v>
      </c>
      <c r="I77" s="173">
        <v>1.17</v>
      </c>
      <c r="J77" s="121">
        <v>139031460</v>
      </c>
      <c r="K77" s="125">
        <v>1257.1389999999999</v>
      </c>
      <c r="L77" s="173">
        <v>1.5</v>
      </c>
      <c r="M77">
        <v>1.17</v>
      </c>
      <c r="N77">
        <v>1.000000005</v>
      </c>
      <c r="O77">
        <v>16.999999499999994</v>
      </c>
      <c r="P77">
        <v>750.69500000000005</v>
      </c>
      <c r="Q77" s="125">
        <v>3.3000000000000002E-2</v>
      </c>
      <c r="R77" s="125">
        <v>0</v>
      </c>
      <c r="S77" s="125">
        <v>1.6459999999999999</v>
      </c>
      <c r="T77" s="125">
        <v>14.15</v>
      </c>
      <c r="U77" s="125">
        <v>10.125</v>
      </c>
      <c r="V77" s="125">
        <v>3.794</v>
      </c>
      <c r="W77" s="125">
        <v>4.367</v>
      </c>
      <c r="X77" s="125">
        <v>0</v>
      </c>
      <c r="Y77" s="125">
        <v>0</v>
      </c>
      <c r="Z77" s="125">
        <v>1.08</v>
      </c>
      <c r="AA77" s="125">
        <v>43.604999999999997</v>
      </c>
      <c r="AB77" s="125">
        <v>59.786999999999999</v>
      </c>
      <c r="AC77" s="125">
        <v>532</v>
      </c>
      <c r="AD77" s="125">
        <v>1.125</v>
      </c>
      <c r="AE77" s="125">
        <v>24.346</v>
      </c>
      <c r="AF77" s="125">
        <v>37.534750000000003</v>
      </c>
      <c r="AG77" s="125">
        <v>0</v>
      </c>
      <c r="AH77" s="125">
        <v>0</v>
      </c>
      <c r="AI77" s="121">
        <v>1690921</v>
      </c>
      <c r="AJ77" s="121">
        <v>27571</v>
      </c>
      <c r="AK77" s="424">
        <v>12</v>
      </c>
      <c r="AL77">
        <v>0</v>
      </c>
      <c r="AM77" s="121">
        <v>0</v>
      </c>
      <c r="AN77" s="125">
        <v>0</v>
      </c>
      <c r="AO77" s="125">
        <v>0</v>
      </c>
      <c r="AP77" s="121">
        <v>1718492</v>
      </c>
      <c r="AQ77" s="114">
        <v>0</v>
      </c>
      <c r="AR77" s="121">
        <v>92.672740133999994</v>
      </c>
      <c r="AS77" s="121">
        <v>18210.48445</v>
      </c>
      <c r="AT77" s="121">
        <v>2398.3126361</v>
      </c>
      <c r="AU77" s="420" t="s">
        <v>2001</v>
      </c>
      <c r="AV77" s="420" t="s">
        <v>2001</v>
      </c>
      <c r="AW77" s="121">
        <v>0</v>
      </c>
      <c r="AX77" s="121">
        <v>140518</v>
      </c>
      <c r="BI77">
        <v>0</v>
      </c>
      <c r="BJ77" s="121">
        <v>0</v>
      </c>
      <c r="BK77" s="134">
        <v>139031460</v>
      </c>
      <c r="BL77" s="934">
        <v>4459</v>
      </c>
      <c r="BM77" s="934">
        <v>4366</v>
      </c>
      <c r="BN77" s="934">
        <v>4366</v>
      </c>
      <c r="BO77" s="114">
        <v>0</v>
      </c>
      <c r="BP77" s="114">
        <v>0</v>
      </c>
    </row>
    <row r="78" spans="1:68">
      <c r="A78" t="s">
        <v>808</v>
      </c>
      <c r="B78" t="s">
        <v>2730</v>
      </c>
      <c r="C78" s="121">
        <v>5098</v>
      </c>
      <c r="D78" s="72">
        <v>2</v>
      </c>
      <c r="E78">
        <v>341.30700000000002</v>
      </c>
      <c r="F78">
        <v>98</v>
      </c>
      <c r="G78">
        <v>59</v>
      </c>
      <c r="H78">
        <v>0</v>
      </c>
      <c r="I78" s="173">
        <v>1.04</v>
      </c>
      <c r="J78" s="121">
        <v>119392762</v>
      </c>
      <c r="K78" s="125">
        <v>1575.184</v>
      </c>
      <c r="L78" s="173">
        <v>1.41</v>
      </c>
      <c r="M78">
        <v>1.04</v>
      </c>
      <c r="N78">
        <v>0.9400000047</v>
      </c>
      <c r="O78">
        <v>9.9999995300000037</v>
      </c>
      <c r="P78">
        <v>981.94500000000005</v>
      </c>
      <c r="Q78" s="125">
        <v>0</v>
      </c>
      <c r="R78" s="125">
        <v>0</v>
      </c>
      <c r="S78" s="125">
        <v>1.82</v>
      </c>
      <c r="T78" s="125">
        <v>36.5</v>
      </c>
      <c r="U78" s="125">
        <v>4.5</v>
      </c>
      <c r="V78" s="125">
        <v>8.1</v>
      </c>
      <c r="W78" s="125">
        <v>3.74</v>
      </c>
      <c r="X78" s="125">
        <v>0</v>
      </c>
      <c r="Y78" s="125">
        <v>0</v>
      </c>
      <c r="Z78" s="125">
        <v>0</v>
      </c>
      <c r="AA78" s="125">
        <v>58.18</v>
      </c>
      <c r="AB78" s="125">
        <v>74.89</v>
      </c>
      <c r="AC78" s="125">
        <v>590.70000000000005</v>
      </c>
      <c r="AD78" s="125">
        <v>1</v>
      </c>
      <c r="AE78" s="125">
        <v>23</v>
      </c>
      <c r="AF78" s="125">
        <v>49.097000000000001</v>
      </c>
      <c r="AG78" s="125">
        <v>0</v>
      </c>
      <c r="AH78" s="125">
        <v>0</v>
      </c>
      <c r="AI78" s="121">
        <v>1277694</v>
      </c>
      <c r="AJ78" s="121">
        <v>162904</v>
      </c>
      <c r="AK78" s="424">
        <v>12</v>
      </c>
      <c r="AL78">
        <v>0</v>
      </c>
      <c r="AM78" s="121">
        <v>0</v>
      </c>
      <c r="AN78" s="125">
        <v>0</v>
      </c>
      <c r="AO78" s="125">
        <v>0</v>
      </c>
      <c r="AP78" s="121">
        <v>1440598</v>
      </c>
      <c r="AQ78" s="114">
        <v>0</v>
      </c>
      <c r="AR78" s="121">
        <v>79.582379461000002</v>
      </c>
      <c r="AS78" s="121">
        <v>15638.187470999999</v>
      </c>
      <c r="AT78" s="121">
        <v>2059.5422773999999</v>
      </c>
      <c r="AU78" s="420" t="s">
        <v>2001</v>
      </c>
      <c r="AV78" s="420" t="s">
        <v>2001</v>
      </c>
      <c r="AW78" s="121">
        <v>0</v>
      </c>
      <c r="AX78" s="121">
        <v>524886</v>
      </c>
      <c r="BI78">
        <v>0</v>
      </c>
      <c r="BJ78" s="121">
        <v>0</v>
      </c>
      <c r="BK78" s="134">
        <v>119392762</v>
      </c>
      <c r="BL78" s="934">
        <v>4530</v>
      </c>
      <c r="BM78" s="934">
        <v>5098</v>
      </c>
      <c r="BN78" s="934">
        <v>4995</v>
      </c>
      <c r="BO78" s="114">
        <v>0</v>
      </c>
      <c r="BP78" s="114">
        <v>0</v>
      </c>
    </row>
    <row r="79" spans="1:68">
      <c r="A79" t="s">
        <v>2450</v>
      </c>
      <c r="B79" t="s">
        <v>2361</v>
      </c>
      <c r="C79" s="121">
        <v>4400</v>
      </c>
      <c r="D79" s="72">
        <v>2</v>
      </c>
      <c r="E79">
        <v>138.83099999999999</v>
      </c>
      <c r="F79">
        <v>45</v>
      </c>
      <c r="G79">
        <v>26</v>
      </c>
      <c r="H79">
        <v>3</v>
      </c>
      <c r="I79" s="173">
        <v>1.17</v>
      </c>
      <c r="J79" s="121">
        <v>48014404</v>
      </c>
      <c r="K79" s="125">
        <v>773.47199999999998</v>
      </c>
      <c r="L79" s="173">
        <v>1.3545</v>
      </c>
      <c r="M79">
        <v>1.17</v>
      </c>
      <c r="N79">
        <v>0.90300000451500007</v>
      </c>
      <c r="O79">
        <v>26.699999548499985</v>
      </c>
      <c r="P79">
        <v>454.16</v>
      </c>
      <c r="Q79" s="125">
        <v>0</v>
      </c>
      <c r="R79" s="125">
        <v>0</v>
      </c>
      <c r="S79" s="125">
        <v>1.391</v>
      </c>
      <c r="T79" s="125">
        <v>14.33</v>
      </c>
      <c r="U79" s="125">
        <v>4.1130000000000004</v>
      </c>
      <c r="V79" s="125">
        <v>4.0259999999999998</v>
      </c>
      <c r="W79" s="125">
        <v>0.39900000000000002</v>
      </c>
      <c r="X79" s="125">
        <v>0</v>
      </c>
      <c r="Y79" s="125">
        <v>0</v>
      </c>
      <c r="Z79" s="125">
        <v>0</v>
      </c>
      <c r="AA79" s="125">
        <v>18.794</v>
      </c>
      <c r="AB79" s="125">
        <v>23.167000000000002</v>
      </c>
      <c r="AC79" s="125">
        <v>268.10000000000002</v>
      </c>
      <c r="AD79" s="125">
        <v>6.9000000000000006E-2</v>
      </c>
      <c r="AE79" s="125">
        <v>1.117</v>
      </c>
      <c r="AF79" s="125">
        <v>22.707999999999998</v>
      </c>
      <c r="AG79" s="125">
        <v>0</v>
      </c>
      <c r="AH79" s="125">
        <v>0</v>
      </c>
      <c r="AI79" s="121">
        <v>584530</v>
      </c>
      <c r="AJ79" s="121">
        <v>24175</v>
      </c>
      <c r="AK79" s="424">
        <v>12</v>
      </c>
      <c r="AL79">
        <v>0</v>
      </c>
      <c r="AM79" s="121">
        <v>27033</v>
      </c>
      <c r="AN79" s="125">
        <v>0</v>
      </c>
      <c r="AO79" s="125">
        <v>0</v>
      </c>
      <c r="AP79" s="121">
        <v>608705</v>
      </c>
      <c r="AQ79" s="114">
        <v>0</v>
      </c>
      <c r="AR79" s="121">
        <v>32.004457287999998</v>
      </c>
      <c r="AS79" s="121">
        <v>6288.9763585000001</v>
      </c>
      <c r="AT79" s="121">
        <v>828.25536627999998</v>
      </c>
      <c r="AU79" s="420" t="s">
        <v>2001</v>
      </c>
      <c r="AV79" s="420" t="s">
        <v>2001</v>
      </c>
      <c r="AW79" s="121">
        <v>0</v>
      </c>
      <c r="AX79" s="121">
        <v>68712</v>
      </c>
      <c r="BI79">
        <v>0</v>
      </c>
      <c r="BJ79" s="121">
        <v>0</v>
      </c>
      <c r="BK79" s="134">
        <v>47580818</v>
      </c>
      <c r="BL79" s="934">
        <v>4290</v>
      </c>
      <c r="BM79" s="934">
        <v>4400</v>
      </c>
      <c r="BN79" s="934">
        <v>4366</v>
      </c>
      <c r="BO79" s="114">
        <v>0</v>
      </c>
      <c r="BP79" s="114">
        <v>0</v>
      </c>
    </row>
    <row r="80" spans="1:68">
      <c r="A80" t="s">
        <v>3034</v>
      </c>
      <c r="B80" t="s">
        <v>1578</v>
      </c>
      <c r="C80" s="121">
        <v>4636</v>
      </c>
      <c r="D80" s="72">
        <v>3</v>
      </c>
      <c r="E80">
        <v>412.11900000000003</v>
      </c>
      <c r="F80">
        <v>138</v>
      </c>
      <c r="G80">
        <v>88</v>
      </c>
      <c r="H80">
        <v>1</v>
      </c>
      <c r="I80" s="173">
        <v>1.04</v>
      </c>
      <c r="J80" s="121">
        <v>278001813</v>
      </c>
      <c r="K80" s="125">
        <v>1919.97</v>
      </c>
      <c r="L80" s="173">
        <v>1.4567000000000001</v>
      </c>
      <c r="M80">
        <v>1.04</v>
      </c>
      <c r="N80">
        <v>0.97113333818900005</v>
      </c>
      <c r="O80">
        <v>6.886666181099999</v>
      </c>
      <c r="P80">
        <v>1293.3820000000001</v>
      </c>
      <c r="Q80" s="125">
        <v>8.6999999999999994E-2</v>
      </c>
      <c r="R80" s="125">
        <v>0.186</v>
      </c>
      <c r="S80" s="125">
        <v>2.4649999999999999</v>
      </c>
      <c r="T80" s="125">
        <v>50.857999999999997</v>
      </c>
      <c r="U80" s="125">
        <v>20.981000000000002</v>
      </c>
      <c r="V80" s="125">
        <v>0</v>
      </c>
      <c r="W80" s="125">
        <v>3.1139999999999999</v>
      </c>
      <c r="X80" s="125">
        <v>0</v>
      </c>
      <c r="Y80" s="125">
        <v>0</v>
      </c>
      <c r="Z80" s="125">
        <v>0</v>
      </c>
      <c r="AA80" s="125">
        <v>53.445</v>
      </c>
      <c r="AB80" s="125">
        <v>70.69</v>
      </c>
      <c r="AC80" s="125">
        <v>739.9</v>
      </c>
      <c r="AD80" s="125">
        <v>1.0860000000000001</v>
      </c>
      <c r="AE80" s="125">
        <v>3.5270000000000001</v>
      </c>
      <c r="AF80" s="125">
        <v>64.668999999999997</v>
      </c>
      <c r="AG80" s="125">
        <v>0</v>
      </c>
      <c r="AH80" s="125">
        <v>0</v>
      </c>
      <c r="AI80" s="121">
        <v>2975064</v>
      </c>
      <c r="AJ80" s="121">
        <v>182063</v>
      </c>
      <c r="AK80" s="424">
        <v>12</v>
      </c>
      <c r="AL80">
        <v>0</v>
      </c>
      <c r="AM80" s="121">
        <v>117826</v>
      </c>
      <c r="AN80" s="125">
        <v>0</v>
      </c>
      <c r="AO80" s="125">
        <v>0</v>
      </c>
      <c r="AP80" s="121">
        <v>3157127</v>
      </c>
      <c r="AQ80" s="114">
        <v>0</v>
      </c>
      <c r="AR80" s="121">
        <v>185.30474881999999</v>
      </c>
      <c r="AS80" s="121">
        <v>36412.965042999997</v>
      </c>
      <c r="AT80" s="121">
        <v>4795.5711676999999</v>
      </c>
      <c r="AU80" s="420" t="s">
        <v>2001</v>
      </c>
      <c r="AV80" s="420" t="s">
        <v>2001</v>
      </c>
      <c r="AW80" s="121">
        <v>0</v>
      </c>
      <c r="AX80" s="121">
        <v>338720</v>
      </c>
      <c r="BI80">
        <v>0</v>
      </c>
      <c r="BJ80" s="121">
        <v>0</v>
      </c>
      <c r="BK80" s="134">
        <v>278001813</v>
      </c>
      <c r="BL80" s="934">
        <v>4532</v>
      </c>
      <c r="BM80" s="934">
        <v>4578</v>
      </c>
      <c r="BN80" s="934">
        <v>4636</v>
      </c>
      <c r="BO80" s="114">
        <v>0</v>
      </c>
      <c r="BP80" s="114">
        <v>0</v>
      </c>
    </row>
    <row r="81" spans="1:68">
      <c r="A81" t="s">
        <v>1252</v>
      </c>
      <c r="B81" t="s">
        <v>1579</v>
      </c>
      <c r="C81" s="121">
        <v>4526</v>
      </c>
      <c r="D81" s="72">
        <v>3</v>
      </c>
      <c r="E81">
        <v>340.81799999999998</v>
      </c>
      <c r="F81">
        <v>101</v>
      </c>
      <c r="G81">
        <v>46</v>
      </c>
      <c r="H81">
        <v>1</v>
      </c>
      <c r="I81" s="173">
        <v>1.17</v>
      </c>
      <c r="J81" s="121">
        <v>169501573</v>
      </c>
      <c r="K81" s="125">
        <v>1537.3219999999999</v>
      </c>
      <c r="L81" s="173">
        <v>1.3714999999999999</v>
      </c>
      <c r="M81">
        <v>1.17</v>
      </c>
      <c r="N81">
        <v>0.91433333790499993</v>
      </c>
      <c r="O81">
        <v>25.566666209499999</v>
      </c>
      <c r="P81">
        <v>1060.3699999999999</v>
      </c>
      <c r="Q81" s="125">
        <v>0</v>
      </c>
      <c r="R81" s="125">
        <v>0</v>
      </c>
      <c r="S81" s="125">
        <v>1.5960000000000001</v>
      </c>
      <c r="T81" s="125">
        <v>35.384999999999998</v>
      </c>
      <c r="U81" s="125">
        <v>7.1139999999999999</v>
      </c>
      <c r="V81" s="125">
        <v>1.3560000000000001</v>
      </c>
      <c r="W81" s="125">
        <v>4.6319999999999997</v>
      </c>
      <c r="X81" s="125">
        <v>0</v>
      </c>
      <c r="Y81" s="125">
        <v>0</v>
      </c>
      <c r="Z81" s="125">
        <v>5.8000000000000003E-2</v>
      </c>
      <c r="AA81" s="125">
        <v>30.760999999999999</v>
      </c>
      <c r="AB81" s="125">
        <v>63.360999999999997</v>
      </c>
      <c r="AC81" s="125">
        <v>420.5</v>
      </c>
      <c r="AD81" s="125">
        <v>0.20499999999999999</v>
      </c>
      <c r="AE81" s="125">
        <v>2.2639999999999998</v>
      </c>
      <c r="AF81" s="125">
        <v>53.018000000000001</v>
      </c>
      <c r="AG81" s="125">
        <v>0</v>
      </c>
      <c r="AH81" s="125">
        <v>0</v>
      </c>
      <c r="AI81" s="121">
        <v>2082327</v>
      </c>
      <c r="AJ81" s="121">
        <v>152821</v>
      </c>
      <c r="AK81" s="424">
        <v>12</v>
      </c>
      <c r="AL81">
        <v>0</v>
      </c>
      <c r="AM81" s="121">
        <v>8773</v>
      </c>
      <c r="AN81" s="125">
        <v>0</v>
      </c>
      <c r="AO81" s="125">
        <v>0</v>
      </c>
      <c r="AP81" s="121">
        <v>2235148</v>
      </c>
      <c r="AQ81" s="114">
        <v>0</v>
      </c>
      <c r="AR81" s="121">
        <v>112.98288334999999</v>
      </c>
      <c r="AS81" s="121">
        <v>22201.491371</v>
      </c>
      <c r="AT81" s="121">
        <v>2923.9264578000002</v>
      </c>
      <c r="AU81" s="420" t="s">
        <v>2001</v>
      </c>
      <c r="AV81" s="420" t="s">
        <v>2001</v>
      </c>
      <c r="AW81" s="121">
        <v>0</v>
      </c>
      <c r="AX81" s="121">
        <v>397619</v>
      </c>
      <c r="BI81">
        <v>0</v>
      </c>
      <c r="BJ81" s="121">
        <v>0</v>
      </c>
      <c r="BK81" s="134">
        <v>169501573</v>
      </c>
      <c r="BL81" s="934">
        <v>4419</v>
      </c>
      <c r="BM81" s="934">
        <v>4492</v>
      </c>
      <c r="BN81" s="934">
        <v>4526</v>
      </c>
      <c r="BO81" s="114">
        <v>0</v>
      </c>
      <c r="BP81" s="114">
        <v>0</v>
      </c>
    </row>
    <row r="82" spans="1:68">
      <c r="A82" t="s">
        <v>1253</v>
      </c>
      <c r="B82" t="s">
        <v>1580</v>
      </c>
      <c r="C82" s="121">
        <v>4757</v>
      </c>
      <c r="D82" s="72">
        <v>2</v>
      </c>
      <c r="E82">
        <v>1631.309</v>
      </c>
      <c r="F82">
        <v>472</v>
      </c>
      <c r="G82">
        <v>386</v>
      </c>
      <c r="H82">
        <v>76</v>
      </c>
      <c r="I82" s="173">
        <v>1.1299999999999999</v>
      </c>
      <c r="J82" s="121">
        <v>1730906443</v>
      </c>
      <c r="K82" s="125">
        <v>7567.3789999999999</v>
      </c>
      <c r="L82" s="173">
        <v>1.5</v>
      </c>
      <c r="M82">
        <v>1.1299999999999999</v>
      </c>
      <c r="N82">
        <v>1.000000005</v>
      </c>
      <c r="O82">
        <v>12.999999499999992</v>
      </c>
      <c r="P82">
        <v>5660</v>
      </c>
      <c r="Q82" s="125">
        <v>1</v>
      </c>
      <c r="R82" s="125">
        <v>11.61</v>
      </c>
      <c r="S82" s="125">
        <v>11.5</v>
      </c>
      <c r="T82" s="125">
        <v>147</v>
      </c>
      <c r="U82" s="125">
        <v>66</v>
      </c>
      <c r="V82" s="125">
        <v>0</v>
      </c>
      <c r="W82" s="125">
        <v>4.2130000000000001</v>
      </c>
      <c r="X82" s="125">
        <v>0</v>
      </c>
      <c r="Y82" s="125">
        <v>0.33</v>
      </c>
      <c r="Z82" s="125">
        <v>5</v>
      </c>
      <c r="AA82" s="125">
        <v>251</v>
      </c>
      <c r="AB82" s="125">
        <v>380</v>
      </c>
      <c r="AC82" s="125">
        <v>3843</v>
      </c>
      <c r="AD82" s="125">
        <v>4</v>
      </c>
      <c r="AE82" s="125">
        <v>95</v>
      </c>
      <c r="AF82" s="125">
        <v>274</v>
      </c>
      <c r="AG82" s="125">
        <v>0</v>
      </c>
      <c r="AH82" s="125">
        <v>0</v>
      </c>
      <c r="AI82" s="121">
        <v>20537205</v>
      </c>
      <c r="AJ82" s="121">
        <v>1763847</v>
      </c>
      <c r="AK82" s="424">
        <v>12</v>
      </c>
      <c r="AL82">
        <v>0</v>
      </c>
      <c r="AM82" s="121">
        <v>46287</v>
      </c>
      <c r="AN82" s="125">
        <v>0</v>
      </c>
      <c r="AO82" s="125">
        <v>1</v>
      </c>
      <c r="AP82" s="121">
        <v>22301052</v>
      </c>
      <c r="AQ82" s="114">
        <v>0</v>
      </c>
      <c r="AR82" s="121">
        <v>1153.7521291</v>
      </c>
      <c r="AS82" s="121">
        <v>226715.91641999999</v>
      </c>
      <c r="AT82" s="121">
        <v>29858.384527999999</v>
      </c>
      <c r="AU82" s="420" t="s">
        <v>2001</v>
      </c>
      <c r="AV82" s="420" t="s">
        <v>2001</v>
      </c>
      <c r="AW82" s="121">
        <v>0</v>
      </c>
      <c r="AX82" s="121">
        <v>2084925</v>
      </c>
      <c r="BI82">
        <v>0</v>
      </c>
      <c r="BJ82" s="121">
        <v>0</v>
      </c>
      <c r="BK82" s="134">
        <v>1730906443</v>
      </c>
      <c r="BL82" s="934">
        <v>4561</v>
      </c>
      <c r="BM82" s="934">
        <v>4757</v>
      </c>
      <c r="BN82" s="934">
        <v>4668</v>
      </c>
      <c r="BO82" s="114">
        <v>0</v>
      </c>
      <c r="BP82" s="114">
        <v>0</v>
      </c>
    </row>
    <row r="83" spans="1:68">
      <c r="A83" t="s">
        <v>1285</v>
      </c>
      <c r="B83" t="s">
        <v>2846</v>
      </c>
      <c r="C83" s="121">
        <v>4478</v>
      </c>
      <c r="D83" s="72">
        <v>3</v>
      </c>
      <c r="E83">
        <v>733.84199999999998</v>
      </c>
      <c r="F83">
        <v>231</v>
      </c>
      <c r="G83">
        <v>148</v>
      </c>
      <c r="H83">
        <v>6</v>
      </c>
      <c r="I83" s="173">
        <v>1.04</v>
      </c>
      <c r="J83" s="121">
        <v>455147264</v>
      </c>
      <c r="K83" s="125">
        <v>3913.2860000000001</v>
      </c>
      <c r="L83" s="173">
        <v>1.4644999999999999</v>
      </c>
      <c r="M83">
        <v>1.04</v>
      </c>
      <c r="N83">
        <v>0.97633333821500001</v>
      </c>
      <c r="O83">
        <v>6.3666661785000027</v>
      </c>
      <c r="P83">
        <v>2633.451</v>
      </c>
      <c r="Q83" s="125">
        <v>0.74299999999999999</v>
      </c>
      <c r="R83" s="125">
        <v>0</v>
      </c>
      <c r="S83" s="125">
        <v>3.242</v>
      </c>
      <c r="T83" s="125">
        <v>111.065</v>
      </c>
      <c r="U83" s="125">
        <v>28.821999999999999</v>
      </c>
      <c r="V83" s="125">
        <v>0</v>
      </c>
      <c r="W83" s="125">
        <v>2.0529999999999999</v>
      </c>
      <c r="X83" s="125">
        <v>0</v>
      </c>
      <c r="Y83" s="125">
        <v>0</v>
      </c>
      <c r="Z83" s="125">
        <v>12.047000000000001</v>
      </c>
      <c r="AA83" s="125">
        <v>62.451000000000001</v>
      </c>
      <c r="AB83" s="125">
        <v>255.36</v>
      </c>
      <c r="AC83" s="125">
        <v>2168.1</v>
      </c>
      <c r="AD83" s="125">
        <v>2.673</v>
      </c>
      <c r="AE83" s="125">
        <v>10.648999999999999</v>
      </c>
      <c r="AF83" s="125">
        <v>131.67255</v>
      </c>
      <c r="AG83" s="125">
        <v>0</v>
      </c>
      <c r="AH83" s="125">
        <v>0</v>
      </c>
      <c r="AI83" s="121">
        <v>4970208</v>
      </c>
      <c r="AJ83" s="121">
        <v>406359</v>
      </c>
      <c r="AK83" s="424">
        <v>12</v>
      </c>
      <c r="AL83">
        <v>0</v>
      </c>
      <c r="AM83" s="121">
        <v>32724</v>
      </c>
      <c r="AN83" s="125">
        <v>0</v>
      </c>
      <c r="AO83" s="125">
        <v>0</v>
      </c>
      <c r="AP83" s="121">
        <v>5376567</v>
      </c>
      <c r="AQ83" s="114">
        <v>0</v>
      </c>
      <c r="AR83" s="121">
        <v>303.38273164999998</v>
      </c>
      <c r="AS83" s="121">
        <v>59615.659461000003</v>
      </c>
      <c r="AT83" s="121">
        <v>7851.3556178999997</v>
      </c>
      <c r="AU83" s="420" t="s">
        <v>2001</v>
      </c>
      <c r="AV83" s="420" t="s">
        <v>2001</v>
      </c>
      <c r="AW83" s="121">
        <v>0</v>
      </c>
      <c r="AX83" s="121">
        <v>489729</v>
      </c>
      <c r="BI83">
        <v>0</v>
      </c>
      <c r="BJ83" s="121">
        <v>0</v>
      </c>
      <c r="BK83" s="134">
        <v>455147264</v>
      </c>
      <c r="BL83" s="934">
        <v>4422</v>
      </c>
      <c r="BM83" s="934">
        <v>4458</v>
      </c>
      <c r="BN83" s="934">
        <v>4478</v>
      </c>
      <c r="BO83" s="114">
        <v>0</v>
      </c>
      <c r="BP83" s="114">
        <v>0</v>
      </c>
    </row>
    <row r="84" spans="1:68">
      <c r="A84" t="s">
        <v>2451</v>
      </c>
      <c r="B84" t="s">
        <v>295</v>
      </c>
      <c r="C84" s="121">
        <v>4859</v>
      </c>
      <c r="D84" s="72">
        <v>2</v>
      </c>
      <c r="E84">
        <v>182.25</v>
      </c>
      <c r="F84">
        <v>51</v>
      </c>
      <c r="G84">
        <v>35</v>
      </c>
      <c r="H84">
        <v>1</v>
      </c>
      <c r="I84" s="173">
        <v>0.98150000000000004</v>
      </c>
      <c r="J84" s="121">
        <v>77200999</v>
      </c>
      <c r="K84" s="125">
        <v>1010.364</v>
      </c>
      <c r="L84" s="173">
        <v>1.3229</v>
      </c>
      <c r="M84">
        <v>0.98150000000000004</v>
      </c>
      <c r="N84">
        <v>0.88193333774299998</v>
      </c>
      <c r="O84">
        <v>9.9566662257000065</v>
      </c>
      <c r="P84">
        <v>580</v>
      </c>
      <c r="Q84" s="125">
        <v>5.2999999999999999E-2</v>
      </c>
      <c r="R84" s="125">
        <v>0</v>
      </c>
      <c r="S84" s="125">
        <v>1.0129999999999999</v>
      </c>
      <c r="T84" s="125">
        <v>24</v>
      </c>
      <c r="U84" s="125">
        <v>0.12</v>
      </c>
      <c r="V84" s="125">
        <v>5.4</v>
      </c>
      <c r="W84" s="125">
        <v>0</v>
      </c>
      <c r="X84" s="125">
        <v>0</v>
      </c>
      <c r="Y84" s="125">
        <v>0</v>
      </c>
      <c r="Z84" s="125">
        <v>4.1779999999999999</v>
      </c>
      <c r="AA84" s="125">
        <v>43.68</v>
      </c>
      <c r="AB84" s="125">
        <v>36.125999999999998</v>
      </c>
      <c r="AC84" s="125">
        <v>332.2</v>
      </c>
      <c r="AD84" s="125">
        <v>0.33400000000000002</v>
      </c>
      <c r="AE84" s="125">
        <v>0</v>
      </c>
      <c r="AF84" s="125">
        <v>28.157</v>
      </c>
      <c r="AG84" s="125">
        <v>0</v>
      </c>
      <c r="AH84" s="125">
        <v>0</v>
      </c>
      <c r="AI84" s="121">
        <v>747877</v>
      </c>
      <c r="AJ84" s="121">
        <v>36982</v>
      </c>
      <c r="AK84" s="424">
        <v>12</v>
      </c>
      <c r="AL84">
        <v>0</v>
      </c>
      <c r="AM84" s="121">
        <v>0</v>
      </c>
      <c r="AN84" s="125">
        <v>0</v>
      </c>
      <c r="AO84" s="125">
        <v>0</v>
      </c>
      <c r="AP84" s="121">
        <v>784859</v>
      </c>
      <c r="AQ84" s="114">
        <v>0</v>
      </c>
      <c r="AR84" s="121">
        <v>51.459059111000002</v>
      </c>
      <c r="AS84" s="121">
        <v>10111.866709</v>
      </c>
      <c r="AT84" s="121">
        <v>1331.7283110999999</v>
      </c>
      <c r="AU84" s="420" t="s">
        <v>2001</v>
      </c>
      <c r="AV84" s="420" t="s">
        <v>2001</v>
      </c>
      <c r="AW84" s="121">
        <v>0</v>
      </c>
      <c r="AX84" s="121">
        <v>126498</v>
      </c>
      <c r="BI84">
        <v>0</v>
      </c>
      <c r="BJ84" s="121">
        <v>0</v>
      </c>
      <c r="BK84" s="134">
        <v>77200999</v>
      </c>
      <c r="BL84" s="934">
        <v>4478</v>
      </c>
      <c r="BM84" s="934">
        <v>4859</v>
      </c>
      <c r="BN84" s="934">
        <v>4656</v>
      </c>
      <c r="BO84" s="114">
        <v>0</v>
      </c>
      <c r="BP84" s="114">
        <v>0</v>
      </c>
    </row>
    <row r="85" spans="1:68">
      <c r="A85" t="s">
        <v>1110</v>
      </c>
      <c r="B85" t="s">
        <v>320</v>
      </c>
      <c r="C85" s="121">
        <v>4445</v>
      </c>
      <c r="D85" s="72">
        <v>1</v>
      </c>
      <c r="E85">
        <v>0</v>
      </c>
      <c r="F85">
        <v>10</v>
      </c>
      <c r="G85">
        <v>8</v>
      </c>
      <c r="H85">
        <v>0</v>
      </c>
      <c r="I85" s="173">
        <v>1.04</v>
      </c>
      <c r="J85" s="121">
        <v>14776100</v>
      </c>
      <c r="K85" s="125">
        <v>243.935</v>
      </c>
      <c r="L85" s="173">
        <v>1.43</v>
      </c>
      <c r="M85">
        <v>1.04</v>
      </c>
      <c r="N85">
        <v>0.95333333809999998</v>
      </c>
      <c r="O85">
        <v>8.6666661900000044</v>
      </c>
      <c r="P85">
        <v>125.917</v>
      </c>
      <c r="Q85" s="125">
        <v>7.1999999999999995E-2</v>
      </c>
      <c r="R85" s="125">
        <v>0</v>
      </c>
      <c r="S85" s="125">
        <v>0.48699999999999999</v>
      </c>
      <c r="T85" s="125">
        <v>7.1070000000000002</v>
      </c>
      <c r="U85" s="125">
        <v>0</v>
      </c>
      <c r="V85" s="125">
        <v>0.747</v>
      </c>
      <c r="W85" s="125">
        <v>0</v>
      </c>
      <c r="X85" s="125">
        <v>0</v>
      </c>
      <c r="Y85" s="125">
        <v>0</v>
      </c>
      <c r="Z85" s="125">
        <v>0</v>
      </c>
      <c r="AA85" s="125">
        <v>11.252000000000001</v>
      </c>
      <c r="AB85" s="125">
        <v>0</v>
      </c>
      <c r="AC85" s="125">
        <v>93.7</v>
      </c>
      <c r="AD85" s="125">
        <v>0</v>
      </c>
      <c r="AE85" s="125">
        <v>0</v>
      </c>
      <c r="AF85" s="125">
        <v>6.2949999999999999</v>
      </c>
      <c r="AG85" s="125">
        <v>0</v>
      </c>
      <c r="AH85" s="125">
        <v>0</v>
      </c>
      <c r="AI85" s="121">
        <v>161355</v>
      </c>
      <c r="AJ85" s="121">
        <v>6813</v>
      </c>
      <c r="AK85" s="424">
        <v>8</v>
      </c>
      <c r="AL85">
        <v>0</v>
      </c>
      <c r="AM85" s="121">
        <v>0</v>
      </c>
      <c r="AN85" s="125">
        <v>0</v>
      </c>
      <c r="AO85" s="125">
        <v>0</v>
      </c>
      <c r="AP85" s="121">
        <v>168168</v>
      </c>
      <c r="AQ85" s="114">
        <v>0</v>
      </c>
      <c r="AR85" s="121">
        <v>9.8491497931000005</v>
      </c>
      <c r="AS85" s="121">
        <v>1935.3888629999999</v>
      </c>
      <c r="AT85" s="121">
        <v>254.88984538</v>
      </c>
      <c r="AU85" s="420" t="s">
        <v>2001</v>
      </c>
      <c r="AV85" s="420" t="s">
        <v>2001</v>
      </c>
      <c r="AW85" s="121">
        <v>0</v>
      </c>
      <c r="AX85" s="121">
        <v>80242</v>
      </c>
      <c r="BI85">
        <v>0</v>
      </c>
      <c r="BJ85" s="121">
        <v>0</v>
      </c>
      <c r="BK85" s="134">
        <v>14776100</v>
      </c>
      <c r="BL85" s="934">
        <v>4445</v>
      </c>
      <c r="BM85" s="934">
        <v>4391</v>
      </c>
      <c r="BN85" s="934">
        <v>4445</v>
      </c>
      <c r="BO85" s="114">
        <v>0</v>
      </c>
      <c r="BP85" s="114">
        <v>0</v>
      </c>
    </row>
    <row r="86" spans="1:68">
      <c r="A86" t="s">
        <v>953</v>
      </c>
      <c r="B86" t="s">
        <v>2847</v>
      </c>
      <c r="C86" s="121">
        <v>3657</v>
      </c>
      <c r="D86" s="72">
        <v>3</v>
      </c>
      <c r="E86">
        <v>0</v>
      </c>
      <c r="F86">
        <v>24</v>
      </c>
      <c r="G86">
        <v>8</v>
      </c>
      <c r="H86">
        <v>0</v>
      </c>
      <c r="I86" s="173">
        <v>0.9</v>
      </c>
      <c r="J86" s="121">
        <v>138448574</v>
      </c>
      <c r="K86" s="125">
        <v>591.58299999999997</v>
      </c>
      <c r="L86" s="173">
        <v>0.96640000000000004</v>
      </c>
      <c r="M86">
        <v>0.9</v>
      </c>
      <c r="N86">
        <v>0.64426666988800008</v>
      </c>
      <c r="O86">
        <v>25.573333011199995</v>
      </c>
      <c r="P86">
        <v>390</v>
      </c>
      <c r="Q86" s="125">
        <v>0</v>
      </c>
      <c r="R86" s="125">
        <v>0</v>
      </c>
      <c r="S86" s="125">
        <v>0.94899999999999995</v>
      </c>
      <c r="T86" s="125">
        <v>5.93</v>
      </c>
      <c r="U86" s="125">
        <v>0</v>
      </c>
      <c r="V86" s="125">
        <v>2.6629999999999998</v>
      </c>
      <c r="W86" s="125">
        <v>0</v>
      </c>
      <c r="X86" s="125">
        <v>0</v>
      </c>
      <c r="Y86" s="125">
        <v>0</v>
      </c>
      <c r="Z86" s="125">
        <v>0</v>
      </c>
      <c r="AA86" s="125">
        <v>18.641999999999999</v>
      </c>
      <c r="AB86" s="125">
        <v>0</v>
      </c>
      <c r="AC86" s="125">
        <v>77.2</v>
      </c>
      <c r="AD86" s="125">
        <v>0</v>
      </c>
      <c r="AE86" s="125">
        <v>1.1919999999999999</v>
      </c>
      <c r="AF86" s="125">
        <v>19.5</v>
      </c>
      <c r="AG86" s="125">
        <v>0</v>
      </c>
      <c r="AH86" s="125">
        <v>0</v>
      </c>
      <c r="AI86" s="121">
        <v>1269089</v>
      </c>
      <c r="AJ86" s="121">
        <v>364262</v>
      </c>
      <c r="AK86" s="424">
        <v>8</v>
      </c>
      <c r="AL86">
        <v>0</v>
      </c>
      <c r="AM86" s="121">
        <v>0</v>
      </c>
      <c r="AN86" s="125">
        <v>0</v>
      </c>
      <c r="AO86" s="125">
        <v>0</v>
      </c>
      <c r="AP86" s="121">
        <v>1633351</v>
      </c>
      <c r="AQ86" s="114">
        <v>0</v>
      </c>
      <c r="AR86" s="121">
        <v>92.284211935000002</v>
      </c>
      <c r="AS86" s="121">
        <v>18134.137438999998</v>
      </c>
      <c r="AT86" s="121">
        <v>2388.2577689999998</v>
      </c>
      <c r="AU86" s="420" t="s">
        <v>2001</v>
      </c>
      <c r="AV86" s="420" t="s">
        <v>2001</v>
      </c>
      <c r="AW86" s="121">
        <v>0</v>
      </c>
      <c r="AX86" s="121">
        <v>383406</v>
      </c>
      <c r="BI86">
        <v>0</v>
      </c>
      <c r="BJ86" s="121">
        <v>0</v>
      </c>
      <c r="BK86" s="134">
        <v>138448574</v>
      </c>
      <c r="BL86" s="934">
        <v>3394</v>
      </c>
      <c r="BM86" s="934">
        <v>3525</v>
      </c>
      <c r="BN86" s="934">
        <v>3657</v>
      </c>
      <c r="BO86" s="114">
        <v>0</v>
      </c>
      <c r="BP86" s="114">
        <v>0</v>
      </c>
    </row>
    <row r="87" spans="1:68">
      <c r="A87" t="s">
        <v>1286</v>
      </c>
      <c r="B87" t="s">
        <v>2848</v>
      </c>
      <c r="C87" s="121">
        <v>4998</v>
      </c>
      <c r="D87" s="72">
        <v>2</v>
      </c>
      <c r="E87">
        <v>581.827</v>
      </c>
      <c r="F87">
        <v>157</v>
      </c>
      <c r="G87">
        <v>92</v>
      </c>
      <c r="H87">
        <v>6</v>
      </c>
      <c r="I87" s="173">
        <v>1.04</v>
      </c>
      <c r="J87" s="121">
        <v>726090903</v>
      </c>
      <c r="K87" s="125">
        <v>2476.9650000000001</v>
      </c>
      <c r="L87" s="173">
        <v>1.4694</v>
      </c>
      <c r="M87">
        <v>1.04</v>
      </c>
      <c r="N87">
        <v>0.97960000489800003</v>
      </c>
      <c r="O87">
        <v>6.0399995102000004</v>
      </c>
      <c r="P87">
        <v>1940.539</v>
      </c>
      <c r="Q87" s="125">
        <v>7.1999999999999995E-2</v>
      </c>
      <c r="R87" s="125">
        <v>0</v>
      </c>
      <c r="S87" s="125">
        <v>1.8320000000000001</v>
      </c>
      <c r="T87" s="125">
        <v>40.866</v>
      </c>
      <c r="U87" s="125">
        <v>10.92</v>
      </c>
      <c r="V87" s="125">
        <v>0</v>
      </c>
      <c r="W87" s="125">
        <v>0.80300000000000005</v>
      </c>
      <c r="X87" s="125">
        <v>0</v>
      </c>
      <c r="Y87" s="125">
        <v>0</v>
      </c>
      <c r="Z87" s="125">
        <v>2.9089999999999998</v>
      </c>
      <c r="AA87" s="125">
        <v>44.755000000000003</v>
      </c>
      <c r="AB87" s="125">
        <v>79.918000000000006</v>
      </c>
      <c r="AC87" s="125">
        <v>459</v>
      </c>
      <c r="AD87" s="125">
        <v>3.3000000000000002E-2</v>
      </c>
      <c r="AE87" s="125">
        <v>47.116</v>
      </c>
      <c r="AF87" s="125">
        <v>97.026949999999999</v>
      </c>
      <c r="AG87" s="125">
        <v>0</v>
      </c>
      <c r="AH87" s="125">
        <v>0</v>
      </c>
      <c r="AI87" s="121">
        <v>7750409</v>
      </c>
      <c r="AJ87" s="121">
        <v>1269872</v>
      </c>
      <c r="AK87" s="424">
        <v>12</v>
      </c>
      <c r="AL87">
        <v>0</v>
      </c>
      <c r="AM87" s="121">
        <v>23710</v>
      </c>
      <c r="AN87" s="125">
        <v>0</v>
      </c>
      <c r="AO87" s="125">
        <v>0</v>
      </c>
      <c r="AP87" s="121">
        <v>9020281</v>
      </c>
      <c r="AQ87" s="114">
        <v>0</v>
      </c>
      <c r="AR87" s="121">
        <v>483.98278730999999</v>
      </c>
      <c r="AS87" s="121">
        <v>95104.137524999998</v>
      </c>
      <c r="AT87" s="121">
        <v>12525.172264999999</v>
      </c>
      <c r="AU87" s="420" t="s">
        <v>2001</v>
      </c>
      <c r="AV87" s="420" t="s">
        <v>2001</v>
      </c>
      <c r="AW87" s="121">
        <v>0</v>
      </c>
      <c r="AX87" s="121">
        <v>2540253</v>
      </c>
      <c r="BI87">
        <v>0</v>
      </c>
      <c r="BJ87" s="121">
        <v>0</v>
      </c>
      <c r="BK87" s="134">
        <v>724228976</v>
      </c>
      <c r="BL87" s="934">
        <v>4589</v>
      </c>
      <c r="BM87" s="934">
        <v>4998</v>
      </c>
      <c r="BN87" s="934">
        <v>4872</v>
      </c>
      <c r="BO87" s="114">
        <v>0</v>
      </c>
      <c r="BP87" s="114">
        <v>0</v>
      </c>
    </row>
    <row r="88" spans="1:68">
      <c r="A88" t="s">
        <v>1287</v>
      </c>
      <c r="B88" t="s">
        <v>2732</v>
      </c>
      <c r="C88" s="121">
        <v>4510</v>
      </c>
      <c r="D88" s="72">
        <v>1</v>
      </c>
      <c r="E88">
        <v>0</v>
      </c>
      <c r="F88">
        <v>12</v>
      </c>
      <c r="G88">
        <v>3</v>
      </c>
      <c r="H88">
        <v>1</v>
      </c>
      <c r="I88" s="173">
        <v>1.04</v>
      </c>
      <c r="J88" s="121">
        <v>16095435</v>
      </c>
      <c r="K88" s="125">
        <v>154.416</v>
      </c>
      <c r="L88" s="173">
        <v>1.46</v>
      </c>
      <c r="M88">
        <v>1.04</v>
      </c>
      <c r="N88">
        <v>0.97333333820000001</v>
      </c>
      <c r="O88">
        <v>6.6666661800000027</v>
      </c>
      <c r="P88">
        <v>88.552000000000007</v>
      </c>
      <c r="Q88" s="125">
        <v>0</v>
      </c>
      <c r="R88" s="125">
        <v>0</v>
      </c>
      <c r="S88" s="125">
        <v>0.29699999999999999</v>
      </c>
      <c r="T88" s="125">
        <v>0.623</v>
      </c>
      <c r="U88" s="125">
        <v>0</v>
      </c>
      <c r="V88" s="125">
        <v>0</v>
      </c>
      <c r="W88" s="125">
        <v>0</v>
      </c>
      <c r="X88" s="125">
        <v>0</v>
      </c>
      <c r="Y88" s="125">
        <v>0</v>
      </c>
      <c r="Z88" s="125">
        <v>0</v>
      </c>
      <c r="AA88" s="125">
        <v>5.4139999999999997</v>
      </c>
      <c r="AB88" s="125">
        <v>0</v>
      </c>
      <c r="AC88" s="125">
        <v>63.4</v>
      </c>
      <c r="AD88" s="125">
        <v>0</v>
      </c>
      <c r="AE88" s="125">
        <v>3.4020000000000001</v>
      </c>
      <c r="AF88" s="125">
        <v>4.4276</v>
      </c>
      <c r="AG88" s="125">
        <v>0</v>
      </c>
      <c r="AH88" s="125">
        <v>0</v>
      </c>
      <c r="AI88" s="121">
        <v>175762</v>
      </c>
      <c r="AJ88" s="121">
        <v>0</v>
      </c>
      <c r="AK88" s="424">
        <v>8</v>
      </c>
      <c r="AL88">
        <v>0</v>
      </c>
      <c r="AM88" s="121">
        <v>0</v>
      </c>
      <c r="AN88" s="125">
        <v>0</v>
      </c>
      <c r="AO88" s="125">
        <v>0</v>
      </c>
      <c r="AP88" s="121">
        <v>175762</v>
      </c>
      <c r="AQ88" s="114">
        <v>0</v>
      </c>
      <c r="AR88" s="121">
        <v>10.728565068</v>
      </c>
      <c r="AS88" s="121">
        <v>2108.1967260000001</v>
      </c>
      <c r="AT88" s="121">
        <v>277.64856344999998</v>
      </c>
      <c r="AU88" s="420" t="s">
        <v>2001</v>
      </c>
      <c r="AV88" s="420" t="s">
        <v>2001</v>
      </c>
      <c r="AW88" s="121">
        <v>0</v>
      </c>
      <c r="AX88" s="121">
        <v>0</v>
      </c>
      <c r="BI88">
        <v>0</v>
      </c>
      <c r="BJ88" s="121">
        <v>0</v>
      </c>
      <c r="BK88" s="134">
        <v>16095435</v>
      </c>
      <c r="BL88" s="934">
        <v>4510</v>
      </c>
      <c r="BM88" s="934">
        <v>4464</v>
      </c>
      <c r="BN88" s="934">
        <v>4499</v>
      </c>
      <c r="BO88" s="114">
        <v>0</v>
      </c>
      <c r="BP88" s="114">
        <v>0</v>
      </c>
    </row>
    <row r="89" spans="1:68">
      <c r="A89" t="s">
        <v>954</v>
      </c>
      <c r="B89" t="s">
        <v>2849</v>
      </c>
      <c r="C89" s="121">
        <v>4493</v>
      </c>
      <c r="D89" s="72">
        <v>1</v>
      </c>
      <c r="E89">
        <v>0</v>
      </c>
      <c r="F89">
        <v>14</v>
      </c>
      <c r="G89">
        <v>3</v>
      </c>
      <c r="H89">
        <v>0</v>
      </c>
      <c r="I89" s="173">
        <v>1.04</v>
      </c>
      <c r="J89" s="121">
        <v>25227571</v>
      </c>
      <c r="K89" s="125">
        <v>176.761</v>
      </c>
      <c r="L89" s="173">
        <v>1.41</v>
      </c>
      <c r="M89">
        <v>1.04</v>
      </c>
      <c r="N89">
        <v>0.9400000047</v>
      </c>
      <c r="O89">
        <v>9.9999995300000037</v>
      </c>
      <c r="P89">
        <v>100.675</v>
      </c>
      <c r="Q89" s="125">
        <v>0</v>
      </c>
      <c r="R89" s="125">
        <v>0</v>
      </c>
      <c r="S89" s="125">
        <v>0.32500000000000001</v>
      </c>
      <c r="T89" s="125">
        <v>2.2799999999999998</v>
      </c>
      <c r="U89" s="125">
        <v>0.46300000000000002</v>
      </c>
      <c r="V89" s="125">
        <v>1.4079999999999999</v>
      </c>
      <c r="W89" s="125">
        <v>0</v>
      </c>
      <c r="X89" s="125">
        <v>0</v>
      </c>
      <c r="Y89" s="125">
        <v>0</v>
      </c>
      <c r="Z89" s="125">
        <v>0</v>
      </c>
      <c r="AA89" s="125">
        <v>1.8720000000000001</v>
      </c>
      <c r="AB89" s="125">
        <v>0</v>
      </c>
      <c r="AC89" s="125">
        <v>70.8</v>
      </c>
      <c r="AD89" s="125">
        <v>0</v>
      </c>
      <c r="AE89" s="125">
        <v>0</v>
      </c>
      <c r="AF89" s="125">
        <v>5.0337500000000004</v>
      </c>
      <c r="AG89" s="125">
        <v>0</v>
      </c>
      <c r="AH89" s="125">
        <v>0</v>
      </c>
      <c r="AI89" s="121">
        <v>272730</v>
      </c>
      <c r="AJ89" s="121">
        <v>0</v>
      </c>
      <c r="AK89" s="424">
        <v>8</v>
      </c>
      <c r="AL89">
        <v>0</v>
      </c>
      <c r="AM89" s="121">
        <v>0</v>
      </c>
      <c r="AN89" s="125">
        <v>0</v>
      </c>
      <c r="AO89" s="125">
        <v>0</v>
      </c>
      <c r="AP89" s="121">
        <v>272730</v>
      </c>
      <c r="AQ89" s="114">
        <v>0</v>
      </c>
      <c r="AR89" s="121">
        <v>16.815677053000002</v>
      </c>
      <c r="AS89" s="121">
        <v>3304.3333459999999</v>
      </c>
      <c r="AT89" s="121">
        <v>435.17921991999998</v>
      </c>
      <c r="AU89" s="420" t="s">
        <v>2001</v>
      </c>
      <c r="AV89" s="420" t="s">
        <v>2001</v>
      </c>
      <c r="AW89" s="121">
        <v>0</v>
      </c>
      <c r="AX89" s="121">
        <v>0</v>
      </c>
      <c r="BI89">
        <v>0</v>
      </c>
      <c r="BJ89" s="121">
        <v>0</v>
      </c>
      <c r="BK89" s="134">
        <v>25227571</v>
      </c>
      <c r="BL89" s="934">
        <v>4493</v>
      </c>
      <c r="BM89" s="934">
        <v>4275</v>
      </c>
      <c r="BN89" s="934">
        <v>4478</v>
      </c>
      <c r="BO89" s="114">
        <v>0</v>
      </c>
      <c r="BP89" s="114">
        <v>0</v>
      </c>
    </row>
    <row r="90" spans="1:68">
      <c r="A90" t="s">
        <v>207</v>
      </c>
      <c r="B90" t="s">
        <v>1202</v>
      </c>
      <c r="C90" s="121">
        <v>4706</v>
      </c>
      <c r="D90" s="72">
        <v>3</v>
      </c>
      <c r="E90">
        <v>3767.1669999999999</v>
      </c>
      <c r="F90">
        <v>1075</v>
      </c>
      <c r="G90">
        <v>864</v>
      </c>
      <c r="H90">
        <v>95</v>
      </c>
      <c r="I90" s="173">
        <v>1.04</v>
      </c>
      <c r="J90" s="121">
        <v>3302989147</v>
      </c>
      <c r="K90" s="125">
        <v>17764.297999999999</v>
      </c>
      <c r="L90" s="173">
        <v>1.4410000000000001</v>
      </c>
      <c r="M90">
        <v>1.04</v>
      </c>
      <c r="N90">
        <v>0.96066667147000007</v>
      </c>
      <c r="O90">
        <v>7.9333328529999969</v>
      </c>
      <c r="P90">
        <v>13388.48</v>
      </c>
      <c r="Q90" s="125">
        <v>1.042</v>
      </c>
      <c r="R90" s="125">
        <v>0</v>
      </c>
      <c r="S90" s="125">
        <v>21.036000000000001</v>
      </c>
      <c r="T90" s="125">
        <v>189.24700000000001</v>
      </c>
      <c r="U90" s="125">
        <v>51.747999999999998</v>
      </c>
      <c r="V90" s="125">
        <v>4.34</v>
      </c>
      <c r="W90" s="125">
        <v>15.712</v>
      </c>
      <c r="X90" s="125">
        <v>0</v>
      </c>
      <c r="Y90" s="125">
        <v>0</v>
      </c>
      <c r="Z90" s="125">
        <v>95.290999999999997</v>
      </c>
      <c r="AA90" s="125">
        <v>698.04600000000005</v>
      </c>
      <c r="AB90" s="125">
        <v>379.19499999999999</v>
      </c>
      <c r="AC90" s="125">
        <v>7341</v>
      </c>
      <c r="AD90" s="125">
        <v>4.5599999999999996</v>
      </c>
      <c r="AE90" s="125">
        <v>1341.703</v>
      </c>
      <c r="AF90" s="125">
        <v>663.89200000000005</v>
      </c>
      <c r="AG90" s="125">
        <v>0</v>
      </c>
      <c r="AH90" s="125">
        <v>0</v>
      </c>
      <c r="AI90" s="121">
        <v>29527171</v>
      </c>
      <c r="AJ90" s="121">
        <v>7459819</v>
      </c>
      <c r="AK90" s="424">
        <v>12</v>
      </c>
      <c r="AL90">
        <v>0</v>
      </c>
      <c r="AM90" s="121">
        <v>1532389</v>
      </c>
      <c r="AN90" s="125">
        <v>1</v>
      </c>
      <c r="AO90" s="125">
        <v>2</v>
      </c>
      <c r="AP90" s="121">
        <v>36986990</v>
      </c>
      <c r="AQ90" s="114">
        <v>0</v>
      </c>
      <c r="AR90" s="121">
        <v>2201.6387863999998</v>
      </c>
      <c r="AS90" s="121">
        <v>432628.93518999999</v>
      </c>
      <c r="AT90" s="121">
        <v>56977.036762999996</v>
      </c>
      <c r="AU90" s="420" t="s">
        <v>2001</v>
      </c>
      <c r="AV90" s="420" t="s">
        <v>2001</v>
      </c>
      <c r="AW90" s="121">
        <v>0</v>
      </c>
      <c r="AX90" s="121">
        <v>18207690</v>
      </c>
      <c r="BI90">
        <v>0</v>
      </c>
      <c r="BJ90" s="121">
        <v>0</v>
      </c>
      <c r="BK90" s="134">
        <v>2789084980</v>
      </c>
      <c r="BL90" s="934">
        <v>4702</v>
      </c>
      <c r="BM90" s="934">
        <v>4595</v>
      </c>
      <c r="BN90" s="934">
        <v>4706</v>
      </c>
      <c r="BO90" s="114">
        <v>0</v>
      </c>
      <c r="BP90" s="114">
        <v>0</v>
      </c>
    </row>
    <row r="91" spans="1:68">
      <c r="A91" t="s">
        <v>1035</v>
      </c>
      <c r="B91" t="s">
        <v>2850</v>
      </c>
      <c r="C91" s="121">
        <v>4908</v>
      </c>
      <c r="D91" s="72">
        <v>2</v>
      </c>
      <c r="E91">
        <v>1774.569</v>
      </c>
      <c r="F91">
        <v>429</v>
      </c>
      <c r="G91">
        <v>759</v>
      </c>
      <c r="H91">
        <v>45</v>
      </c>
      <c r="I91" s="173">
        <v>1.04</v>
      </c>
      <c r="J91" s="121">
        <v>2559147656</v>
      </c>
      <c r="K91" s="125">
        <v>7936.7759999999998</v>
      </c>
      <c r="L91" s="173">
        <v>1.4151</v>
      </c>
      <c r="M91">
        <v>1.04</v>
      </c>
      <c r="N91">
        <v>0.94340000471700003</v>
      </c>
      <c r="O91">
        <v>9.6599995283000002</v>
      </c>
      <c r="P91">
        <v>5968.0990000000002</v>
      </c>
      <c r="Q91" s="125">
        <v>1.421</v>
      </c>
      <c r="R91" s="125">
        <v>0</v>
      </c>
      <c r="S91" s="125">
        <v>12.49</v>
      </c>
      <c r="T91" s="125">
        <v>195.14599999999999</v>
      </c>
      <c r="U91" s="125">
        <v>60.735999999999997</v>
      </c>
      <c r="V91" s="125">
        <v>0</v>
      </c>
      <c r="W91" s="125">
        <v>0</v>
      </c>
      <c r="X91" s="125">
        <v>0</v>
      </c>
      <c r="Y91" s="125">
        <v>0</v>
      </c>
      <c r="Z91" s="125">
        <v>5.4809999999999999</v>
      </c>
      <c r="AA91" s="125">
        <v>47.174999999999997</v>
      </c>
      <c r="AB91" s="125">
        <v>241.434</v>
      </c>
      <c r="AC91" s="125">
        <v>3822.6</v>
      </c>
      <c r="AD91" s="125">
        <v>1.9279999999999999</v>
      </c>
      <c r="AE91" s="125">
        <v>423.28699999999998</v>
      </c>
      <c r="AF91" s="125">
        <v>298.40494999999999</v>
      </c>
      <c r="AG91" s="125">
        <v>0</v>
      </c>
      <c r="AH91" s="125">
        <v>0</v>
      </c>
      <c r="AI91" s="121">
        <v>26881134</v>
      </c>
      <c r="AJ91" s="121">
        <v>3822876</v>
      </c>
      <c r="AK91" s="424">
        <v>12</v>
      </c>
      <c r="AL91">
        <v>0</v>
      </c>
      <c r="AM91" s="121">
        <v>609496</v>
      </c>
      <c r="AN91" s="125">
        <v>1</v>
      </c>
      <c r="AO91" s="125">
        <v>0</v>
      </c>
      <c r="AP91" s="121">
        <v>30704010</v>
      </c>
      <c r="AQ91" s="114">
        <v>0</v>
      </c>
      <c r="AR91" s="121">
        <v>1705.8241757999999</v>
      </c>
      <c r="AS91" s="121">
        <v>335199.80723999999</v>
      </c>
      <c r="AT91" s="121">
        <v>44145.664301999997</v>
      </c>
      <c r="AU91" s="420" t="s">
        <v>798</v>
      </c>
      <c r="AV91" s="420" t="s">
        <v>2001</v>
      </c>
      <c r="AW91" s="121">
        <v>0</v>
      </c>
      <c r="AX91" s="121">
        <v>3135847</v>
      </c>
      <c r="AY91" s="134">
        <v>3667716</v>
      </c>
      <c r="AZ91" s="134">
        <v>16562385</v>
      </c>
      <c r="BA91" s="134">
        <v>6878</v>
      </c>
      <c r="BB91" s="134">
        <v>1545666972</v>
      </c>
      <c r="BC91" s="114">
        <v>0</v>
      </c>
      <c r="BD91" s="114">
        <v>0</v>
      </c>
      <c r="BE91" s="114">
        <v>0</v>
      </c>
      <c r="BF91" s="134">
        <v>6349</v>
      </c>
      <c r="BG91" s="114">
        <v>0</v>
      </c>
      <c r="BH91" s="114">
        <v>0</v>
      </c>
      <c r="BI91">
        <v>0</v>
      </c>
      <c r="BJ91" s="121">
        <v>0</v>
      </c>
      <c r="BK91" s="134">
        <v>2511879939</v>
      </c>
      <c r="BL91" s="934">
        <v>4422</v>
      </c>
      <c r="BM91" s="934">
        <v>4908</v>
      </c>
      <c r="BN91" s="934">
        <v>4574</v>
      </c>
      <c r="BO91" s="114">
        <v>0</v>
      </c>
      <c r="BP91" s="114">
        <v>0</v>
      </c>
    </row>
    <row r="92" spans="1:68">
      <c r="A92" t="s">
        <v>809</v>
      </c>
      <c r="B92" t="s">
        <v>3059</v>
      </c>
      <c r="C92" s="121">
        <v>4763</v>
      </c>
      <c r="D92" s="72">
        <v>2</v>
      </c>
      <c r="E92">
        <v>230.96199999999999</v>
      </c>
      <c r="F92">
        <v>61</v>
      </c>
      <c r="G92">
        <v>35</v>
      </c>
      <c r="H92">
        <v>5</v>
      </c>
      <c r="I92" s="173">
        <v>1.04</v>
      </c>
      <c r="J92" s="121">
        <v>158894603</v>
      </c>
      <c r="K92" s="125">
        <v>1119.0070000000001</v>
      </c>
      <c r="L92" s="173">
        <v>1.4582999999999999</v>
      </c>
      <c r="M92">
        <v>1.04</v>
      </c>
      <c r="N92">
        <v>0.972200004861</v>
      </c>
      <c r="O92">
        <v>6.7799995139000035</v>
      </c>
      <c r="P92">
        <v>724.40200000000004</v>
      </c>
      <c r="Q92" s="125">
        <v>0</v>
      </c>
      <c r="R92" s="125">
        <v>0</v>
      </c>
      <c r="S92" s="125">
        <v>1.248</v>
      </c>
      <c r="T92" s="125">
        <v>17.960999999999999</v>
      </c>
      <c r="U92" s="125">
        <v>3.9060000000000001</v>
      </c>
      <c r="V92" s="125">
        <v>0</v>
      </c>
      <c r="W92" s="125">
        <v>0</v>
      </c>
      <c r="X92" s="125">
        <v>0</v>
      </c>
      <c r="Y92" s="125">
        <v>1.0569999999999999</v>
      </c>
      <c r="Z92" s="125">
        <v>0</v>
      </c>
      <c r="AA92" s="125">
        <v>26.11</v>
      </c>
      <c r="AB92" s="125">
        <v>36.625</v>
      </c>
      <c r="AC92" s="125">
        <v>245.2</v>
      </c>
      <c r="AD92" s="125">
        <v>0</v>
      </c>
      <c r="AE92" s="125">
        <v>30.997</v>
      </c>
      <c r="AF92" s="125">
        <v>36.22</v>
      </c>
      <c r="AG92" s="125">
        <v>0</v>
      </c>
      <c r="AH92" s="125">
        <v>0</v>
      </c>
      <c r="AI92" s="121">
        <v>1717778</v>
      </c>
      <c r="AJ92" s="121">
        <v>122988</v>
      </c>
      <c r="AK92" s="424">
        <v>12</v>
      </c>
      <c r="AL92">
        <v>0</v>
      </c>
      <c r="AM92" s="121">
        <v>37158</v>
      </c>
      <c r="AN92" s="125">
        <v>0</v>
      </c>
      <c r="AO92" s="125">
        <v>0</v>
      </c>
      <c r="AP92" s="121">
        <v>1840766</v>
      </c>
      <c r="AQ92" s="114">
        <v>0</v>
      </c>
      <c r="AR92" s="121">
        <v>105.91270675</v>
      </c>
      <c r="AS92" s="121">
        <v>20812.179467999998</v>
      </c>
      <c r="AT92" s="121">
        <v>2740.9547032</v>
      </c>
      <c r="AU92" s="420" t="s">
        <v>2001</v>
      </c>
      <c r="AV92" s="420" t="s">
        <v>2001</v>
      </c>
      <c r="AW92" s="121">
        <v>0</v>
      </c>
      <c r="AX92" s="121">
        <v>252849</v>
      </c>
      <c r="BI92">
        <v>0</v>
      </c>
      <c r="BJ92" s="121">
        <v>0</v>
      </c>
      <c r="BK92" s="134">
        <v>158894603</v>
      </c>
      <c r="BL92" s="934">
        <v>4523</v>
      </c>
      <c r="BM92" s="934">
        <v>4763</v>
      </c>
      <c r="BN92" s="934">
        <v>4619</v>
      </c>
      <c r="BO92" s="114">
        <v>0</v>
      </c>
      <c r="BP92" s="114">
        <v>0</v>
      </c>
    </row>
    <row r="93" spans="1:68">
      <c r="A93" t="s">
        <v>1321</v>
      </c>
      <c r="B93" t="s">
        <v>2851</v>
      </c>
      <c r="C93" s="121">
        <v>4786</v>
      </c>
      <c r="D93" s="72">
        <v>2</v>
      </c>
      <c r="E93">
        <v>3541.627</v>
      </c>
      <c r="F93">
        <v>888</v>
      </c>
      <c r="G93">
        <v>602</v>
      </c>
      <c r="H93">
        <v>52</v>
      </c>
      <c r="I93" s="173">
        <v>0.94840000000000002</v>
      </c>
      <c r="J93" s="121">
        <v>7179064283</v>
      </c>
      <c r="K93" s="125">
        <v>16501.638999999999</v>
      </c>
      <c r="L93" s="173">
        <v>1.3626</v>
      </c>
      <c r="M93">
        <v>0.94840000000000002</v>
      </c>
      <c r="N93">
        <v>0.90840000454200009</v>
      </c>
      <c r="O93">
        <v>3.9999995457999926</v>
      </c>
      <c r="P93">
        <v>12238.188</v>
      </c>
      <c r="Q93" s="125">
        <v>1.121</v>
      </c>
      <c r="R93" s="125">
        <v>0</v>
      </c>
      <c r="S93" s="125">
        <v>22.306000000000001</v>
      </c>
      <c r="T93" s="125">
        <v>345.43599999999998</v>
      </c>
      <c r="U93" s="125">
        <v>169.72300000000001</v>
      </c>
      <c r="V93" s="125">
        <v>0</v>
      </c>
      <c r="W93" s="125">
        <v>39.561</v>
      </c>
      <c r="X93" s="125">
        <v>0</v>
      </c>
      <c r="Y93" s="125">
        <v>0</v>
      </c>
      <c r="Z93" s="125">
        <v>4.2869999999999999</v>
      </c>
      <c r="AA93" s="125">
        <v>283.53800000000001</v>
      </c>
      <c r="AB93" s="125">
        <v>406.40100000000001</v>
      </c>
      <c r="AC93" s="125">
        <v>7687.1</v>
      </c>
      <c r="AD93" s="125">
        <v>7.4359999999999999</v>
      </c>
      <c r="AE93" s="125">
        <v>1043.175</v>
      </c>
      <c r="AF93" s="125">
        <v>611.90899999999999</v>
      </c>
      <c r="AG93" s="125">
        <v>0</v>
      </c>
      <c r="AH93" s="125">
        <v>0</v>
      </c>
      <c r="AI93" s="121">
        <v>70223037</v>
      </c>
      <c r="AJ93" s="121">
        <v>12679479</v>
      </c>
      <c r="AK93" s="424">
        <v>12</v>
      </c>
      <c r="AL93">
        <v>0</v>
      </c>
      <c r="AM93" s="121">
        <v>493533</v>
      </c>
      <c r="AN93" s="125">
        <v>0</v>
      </c>
      <c r="AO93" s="125">
        <v>0</v>
      </c>
      <c r="AP93" s="121">
        <v>82902516</v>
      </c>
      <c r="AQ93" s="114">
        <v>0</v>
      </c>
      <c r="AR93" s="121">
        <v>0</v>
      </c>
      <c r="AS93" s="121">
        <v>0</v>
      </c>
      <c r="AT93" s="121">
        <v>0</v>
      </c>
      <c r="AU93" s="420" t="s">
        <v>798</v>
      </c>
      <c r="AV93" s="420" t="s">
        <v>2001</v>
      </c>
      <c r="AW93" s="121">
        <v>0</v>
      </c>
      <c r="AX93" s="121">
        <v>12091637</v>
      </c>
      <c r="AY93" s="134">
        <v>11737735</v>
      </c>
      <c r="AZ93" s="134">
        <v>33274683</v>
      </c>
      <c r="BA93" s="134">
        <v>13936</v>
      </c>
      <c r="BB93" s="134">
        <v>4161293319</v>
      </c>
      <c r="BC93" s="114">
        <v>0</v>
      </c>
      <c r="BD93" s="114">
        <v>0</v>
      </c>
      <c r="BE93" s="114">
        <v>0</v>
      </c>
      <c r="BF93" s="134">
        <v>13025</v>
      </c>
      <c r="BG93" s="114">
        <v>0</v>
      </c>
      <c r="BH93" s="114">
        <v>0</v>
      </c>
      <c r="BI93">
        <v>0</v>
      </c>
      <c r="BJ93" s="121">
        <v>0</v>
      </c>
      <c r="BK93" s="134">
        <v>7028634730</v>
      </c>
      <c r="BL93" s="934">
        <v>4581</v>
      </c>
      <c r="BM93" s="934">
        <v>4786</v>
      </c>
      <c r="BN93" s="934">
        <v>4607</v>
      </c>
      <c r="BO93" s="114">
        <v>0</v>
      </c>
      <c r="BP93" s="114">
        <v>0</v>
      </c>
    </row>
    <row r="94" spans="1:68">
      <c r="A94" t="s">
        <v>1322</v>
      </c>
      <c r="B94" t="s">
        <v>2852</v>
      </c>
      <c r="C94" s="121">
        <v>5433</v>
      </c>
      <c r="D94" s="72">
        <v>2</v>
      </c>
      <c r="E94">
        <v>554.11099999999999</v>
      </c>
      <c r="F94">
        <v>140</v>
      </c>
      <c r="G94">
        <v>124</v>
      </c>
      <c r="H94">
        <v>0</v>
      </c>
      <c r="I94" s="173">
        <v>1.04</v>
      </c>
      <c r="J94" s="121">
        <v>1672291600</v>
      </c>
      <c r="K94" s="125">
        <v>2444.9769999999999</v>
      </c>
      <c r="L94" s="173">
        <v>1.5</v>
      </c>
      <c r="M94">
        <v>1.04</v>
      </c>
      <c r="N94">
        <v>1.000000005</v>
      </c>
      <c r="O94">
        <v>3.9999995000000066</v>
      </c>
      <c r="P94">
        <v>1942.845</v>
      </c>
      <c r="Q94" s="125">
        <v>3.9E-2</v>
      </c>
      <c r="R94" s="125">
        <v>0</v>
      </c>
      <c r="S94" s="125">
        <v>2.6030000000000002</v>
      </c>
      <c r="T94" s="125">
        <v>48.533999999999999</v>
      </c>
      <c r="U94" s="125">
        <v>15.725</v>
      </c>
      <c r="V94" s="125">
        <v>0</v>
      </c>
      <c r="W94" s="125">
        <v>2.4169999999999998</v>
      </c>
      <c r="X94" s="125">
        <v>0</v>
      </c>
      <c r="Y94" s="125">
        <v>0</v>
      </c>
      <c r="Z94" s="125">
        <v>0</v>
      </c>
      <c r="AA94" s="125">
        <v>32.545000000000002</v>
      </c>
      <c r="AB94" s="125">
        <v>79.688000000000002</v>
      </c>
      <c r="AC94" s="125">
        <v>862</v>
      </c>
      <c r="AD94" s="125">
        <v>0</v>
      </c>
      <c r="AE94" s="125">
        <v>50.417999999999999</v>
      </c>
      <c r="AF94" s="125">
        <v>96.795000000000002</v>
      </c>
      <c r="AG94" s="125">
        <v>0</v>
      </c>
      <c r="AH94" s="125">
        <v>0</v>
      </c>
      <c r="AI94" s="121">
        <v>17061963</v>
      </c>
      <c r="AJ94" s="121">
        <v>2627257</v>
      </c>
      <c r="AK94" s="424">
        <v>12</v>
      </c>
      <c r="AL94">
        <v>0</v>
      </c>
      <c r="AM94" s="121">
        <v>199310</v>
      </c>
      <c r="AN94" s="125">
        <v>0</v>
      </c>
      <c r="AO94" s="125">
        <v>0</v>
      </c>
      <c r="AP94" s="121">
        <v>19689220</v>
      </c>
      <c r="AQ94" s="114">
        <v>0</v>
      </c>
      <c r="AR94" s="121">
        <v>0</v>
      </c>
      <c r="AS94" s="121">
        <v>0</v>
      </c>
      <c r="AT94" s="121">
        <v>0</v>
      </c>
      <c r="AU94" s="420" t="s">
        <v>798</v>
      </c>
      <c r="AV94" s="420" t="s">
        <v>2001</v>
      </c>
      <c r="AW94" s="121">
        <v>0</v>
      </c>
      <c r="AX94" s="121">
        <v>1982911</v>
      </c>
      <c r="AY94" s="134">
        <v>3179151</v>
      </c>
      <c r="AZ94" s="134">
        <v>5835681</v>
      </c>
      <c r="BA94" s="134">
        <v>2393</v>
      </c>
      <c r="BB94" s="134">
        <v>852560200</v>
      </c>
      <c r="BC94" s="114">
        <v>0</v>
      </c>
      <c r="BD94" s="114">
        <v>0</v>
      </c>
      <c r="BE94" s="114">
        <v>0</v>
      </c>
      <c r="BF94" s="134">
        <v>1972</v>
      </c>
      <c r="BG94" s="114">
        <v>0</v>
      </c>
      <c r="BH94" s="114">
        <v>0</v>
      </c>
      <c r="BI94">
        <v>0</v>
      </c>
      <c r="BJ94" s="121">
        <v>2086</v>
      </c>
      <c r="BK94" s="134">
        <v>1562450863</v>
      </c>
      <c r="BL94" s="934">
        <v>5062</v>
      </c>
      <c r="BM94" s="934">
        <v>5433</v>
      </c>
      <c r="BN94" s="934">
        <v>5131</v>
      </c>
      <c r="BO94" s="114">
        <v>0</v>
      </c>
      <c r="BP94" s="114">
        <v>0</v>
      </c>
    </row>
    <row r="95" spans="1:68">
      <c r="A95" t="s">
        <v>1616</v>
      </c>
      <c r="B95" t="s">
        <v>1741</v>
      </c>
      <c r="C95" s="121">
        <v>4618</v>
      </c>
      <c r="D95" s="72">
        <v>2</v>
      </c>
      <c r="E95">
        <v>811.41700000000003</v>
      </c>
      <c r="F95">
        <v>221</v>
      </c>
      <c r="G95">
        <v>161</v>
      </c>
      <c r="H95">
        <v>45</v>
      </c>
      <c r="I95" s="173">
        <v>1.04</v>
      </c>
      <c r="J95" s="121">
        <v>733960501</v>
      </c>
      <c r="K95" s="125">
        <v>3975.5329999999999</v>
      </c>
      <c r="L95" s="173">
        <v>1.5</v>
      </c>
      <c r="M95">
        <v>1.04</v>
      </c>
      <c r="N95">
        <v>1.000000005</v>
      </c>
      <c r="O95">
        <v>3.9999995000000066</v>
      </c>
      <c r="P95">
        <v>2938</v>
      </c>
      <c r="Q95" s="125">
        <v>0.246</v>
      </c>
      <c r="R95" s="125">
        <v>0</v>
      </c>
      <c r="S95" s="125">
        <v>5.9560000000000004</v>
      </c>
      <c r="T95" s="125">
        <v>83.171000000000006</v>
      </c>
      <c r="U95" s="125">
        <v>17.62</v>
      </c>
      <c r="V95" s="125">
        <v>0.36</v>
      </c>
      <c r="W95" s="125">
        <v>10.768000000000001</v>
      </c>
      <c r="X95" s="125">
        <v>0</v>
      </c>
      <c r="Y95" s="125">
        <v>0</v>
      </c>
      <c r="Z95" s="125">
        <v>0</v>
      </c>
      <c r="AA95" s="125">
        <v>65</v>
      </c>
      <c r="AB95" s="125">
        <v>108.449</v>
      </c>
      <c r="AC95" s="125">
        <v>1406</v>
      </c>
      <c r="AD95" s="125">
        <v>0.29599999999999999</v>
      </c>
      <c r="AE95" s="125">
        <v>81.688000000000002</v>
      </c>
      <c r="AF95" s="125">
        <v>135</v>
      </c>
      <c r="AG95" s="125">
        <v>0</v>
      </c>
      <c r="AH95" s="125">
        <v>0</v>
      </c>
      <c r="AI95" s="121">
        <v>8342175</v>
      </c>
      <c r="AJ95" s="121">
        <v>1676488</v>
      </c>
      <c r="AK95" s="424">
        <v>12</v>
      </c>
      <c r="AL95">
        <v>0</v>
      </c>
      <c r="AM95" s="121">
        <v>311843</v>
      </c>
      <c r="AN95" s="125">
        <v>0</v>
      </c>
      <c r="AO95" s="125">
        <v>0</v>
      </c>
      <c r="AP95" s="121">
        <v>10018663</v>
      </c>
      <c r="AQ95" s="114">
        <v>0</v>
      </c>
      <c r="AR95" s="121">
        <v>489.22834283999998</v>
      </c>
      <c r="AS95" s="121">
        <v>96134.905658999996</v>
      </c>
      <c r="AT95" s="121">
        <v>12660.923966</v>
      </c>
      <c r="AU95" s="420" t="s">
        <v>2001</v>
      </c>
      <c r="AV95" s="420" t="s">
        <v>2001</v>
      </c>
      <c r="AW95" s="121">
        <v>0</v>
      </c>
      <c r="AX95" s="121">
        <v>2651461</v>
      </c>
      <c r="BI95">
        <v>0</v>
      </c>
      <c r="BJ95" s="121">
        <v>0</v>
      </c>
      <c r="BK95" s="134">
        <v>733960501</v>
      </c>
      <c r="BL95" s="934">
        <v>4576</v>
      </c>
      <c r="BM95" s="934">
        <v>4618</v>
      </c>
      <c r="BN95" s="934">
        <v>4618</v>
      </c>
      <c r="BO95" s="114">
        <v>0</v>
      </c>
      <c r="BP95" s="114">
        <v>0</v>
      </c>
    </row>
    <row r="96" spans="1:68">
      <c r="A96" t="s">
        <v>235</v>
      </c>
      <c r="B96" t="s">
        <v>303</v>
      </c>
      <c r="C96" s="121">
        <v>4891</v>
      </c>
      <c r="D96" s="72">
        <v>2</v>
      </c>
      <c r="E96">
        <v>4342.0600000000004</v>
      </c>
      <c r="F96">
        <v>1119</v>
      </c>
      <c r="G96">
        <v>683</v>
      </c>
      <c r="H96">
        <v>126</v>
      </c>
      <c r="I96" s="173">
        <v>1.04</v>
      </c>
      <c r="J96" s="121">
        <v>5286267824</v>
      </c>
      <c r="K96" s="125">
        <v>22043.945</v>
      </c>
      <c r="L96" s="173">
        <v>1.5</v>
      </c>
      <c r="M96">
        <v>1.04</v>
      </c>
      <c r="N96">
        <v>1.000000005</v>
      </c>
      <c r="O96">
        <v>3.9999995000000066</v>
      </c>
      <c r="P96">
        <v>18281.517</v>
      </c>
      <c r="Q96" s="125">
        <v>0.68799999999999994</v>
      </c>
      <c r="R96" s="125">
        <v>0</v>
      </c>
      <c r="S96" s="125">
        <v>25.280999999999999</v>
      </c>
      <c r="T96" s="125">
        <v>352.38799999999998</v>
      </c>
      <c r="U96" s="125">
        <v>136.017</v>
      </c>
      <c r="V96" s="125">
        <v>1.7190000000000001</v>
      </c>
      <c r="W96" s="125">
        <v>10.566000000000001</v>
      </c>
      <c r="X96" s="125">
        <v>0</v>
      </c>
      <c r="Y96" s="125">
        <v>9.3409999999999993</v>
      </c>
      <c r="Z96" s="125">
        <v>11.648</v>
      </c>
      <c r="AA96" s="125">
        <v>382.16800000000001</v>
      </c>
      <c r="AB96" s="125">
        <v>570.4</v>
      </c>
      <c r="AC96" s="125">
        <v>3310.7</v>
      </c>
      <c r="AD96" s="125">
        <v>2.552</v>
      </c>
      <c r="AE96" s="125">
        <v>1018.2380000000001</v>
      </c>
      <c r="AF96" s="125">
        <v>914.07584999999995</v>
      </c>
      <c r="AG96" s="125">
        <v>0</v>
      </c>
      <c r="AH96" s="125">
        <v>0</v>
      </c>
      <c r="AI96" s="121">
        <v>57726045</v>
      </c>
      <c r="AJ96" s="121">
        <v>14078590</v>
      </c>
      <c r="AK96" s="424">
        <v>12</v>
      </c>
      <c r="AL96">
        <v>0</v>
      </c>
      <c r="AM96" s="121">
        <v>1272256</v>
      </c>
      <c r="AN96" s="125">
        <v>1</v>
      </c>
      <c r="AO96" s="125">
        <v>0</v>
      </c>
      <c r="AP96" s="121">
        <v>71804635</v>
      </c>
      <c r="AQ96" s="114">
        <v>0</v>
      </c>
      <c r="AR96" s="121">
        <v>3523.6120252000001</v>
      </c>
      <c r="AS96" s="121">
        <v>692400.82790999999</v>
      </c>
      <c r="AT96" s="121">
        <v>91188.878547</v>
      </c>
      <c r="AU96" s="420" t="s">
        <v>2001</v>
      </c>
      <c r="AV96" s="420" t="s">
        <v>2001</v>
      </c>
      <c r="AW96" s="121">
        <v>0</v>
      </c>
      <c r="AX96" s="121">
        <v>22758779</v>
      </c>
      <c r="BI96">
        <v>0</v>
      </c>
      <c r="BJ96" s="121">
        <v>0</v>
      </c>
      <c r="BK96" s="134">
        <v>5286267824</v>
      </c>
      <c r="BL96" s="934">
        <v>4854</v>
      </c>
      <c r="BM96" s="934">
        <v>4891</v>
      </c>
      <c r="BN96" s="934">
        <v>4891</v>
      </c>
      <c r="BO96" s="114">
        <v>0</v>
      </c>
      <c r="BP96" s="114">
        <v>0</v>
      </c>
    </row>
    <row r="97" spans="1:68">
      <c r="A97" t="s">
        <v>1323</v>
      </c>
      <c r="B97" t="s">
        <v>2853</v>
      </c>
      <c r="C97" s="121">
        <v>4781</v>
      </c>
      <c r="D97" s="72">
        <v>3</v>
      </c>
      <c r="E97">
        <v>0</v>
      </c>
      <c r="F97">
        <v>14</v>
      </c>
      <c r="G97">
        <v>11</v>
      </c>
      <c r="H97">
        <v>2</v>
      </c>
      <c r="I97" s="173">
        <v>1.04</v>
      </c>
      <c r="J97" s="121">
        <v>41268967</v>
      </c>
      <c r="K97" s="125">
        <v>277.767</v>
      </c>
      <c r="L97" s="173">
        <v>1.42</v>
      </c>
      <c r="M97">
        <v>1.04</v>
      </c>
      <c r="N97">
        <v>0.94666667139999994</v>
      </c>
      <c r="O97">
        <v>9.3333328600000094</v>
      </c>
      <c r="P97">
        <v>149.72300000000001</v>
      </c>
      <c r="Q97" s="125">
        <v>0</v>
      </c>
      <c r="R97" s="125">
        <v>0</v>
      </c>
      <c r="S97" s="125">
        <v>0.45600000000000002</v>
      </c>
      <c r="T97" s="125">
        <v>4.9450000000000003</v>
      </c>
      <c r="U97" s="125">
        <v>0.70099999999999996</v>
      </c>
      <c r="V97" s="125">
        <v>0</v>
      </c>
      <c r="W97" s="125">
        <v>0</v>
      </c>
      <c r="X97" s="125">
        <v>0</v>
      </c>
      <c r="Y97" s="125">
        <v>0</v>
      </c>
      <c r="Z97" s="125">
        <v>0</v>
      </c>
      <c r="AA97" s="125">
        <v>3.52</v>
      </c>
      <c r="AB97" s="125">
        <v>0</v>
      </c>
      <c r="AC97" s="125">
        <v>140.80000000000001</v>
      </c>
      <c r="AD97" s="125">
        <v>0</v>
      </c>
      <c r="AE97" s="125">
        <v>2.2240000000000002</v>
      </c>
      <c r="AF97" s="125">
        <v>7.4859999999999998</v>
      </c>
      <c r="AG97" s="125">
        <v>0</v>
      </c>
      <c r="AH97" s="125">
        <v>0</v>
      </c>
      <c r="AI97" s="121">
        <v>432631</v>
      </c>
      <c r="AJ97" s="121">
        <v>0</v>
      </c>
      <c r="AK97" s="424">
        <v>8</v>
      </c>
      <c r="AL97">
        <v>0</v>
      </c>
      <c r="AM97" s="121">
        <v>25564</v>
      </c>
      <c r="AN97" s="125">
        <v>0</v>
      </c>
      <c r="AO97" s="125">
        <v>0</v>
      </c>
      <c r="AP97" s="121">
        <v>432631</v>
      </c>
      <c r="AQ97" s="114">
        <v>0</v>
      </c>
      <c r="AR97" s="121">
        <v>27.508221912</v>
      </c>
      <c r="AS97" s="121">
        <v>5405.4519878999999</v>
      </c>
      <c r="AT97" s="121">
        <v>711.89560286999995</v>
      </c>
      <c r="AU97" s="420" t="s">
        <v>2001</v>
      </c>
      <c r="AV97" s="420" t="s">
        <v>2001</v>
      </c>
      <c r="AW97" s="121">
        <v>0</v>
      </c>
      <c r="AX97" s="121">
        <v>0</v>
      </c>
      <c r="BI97">
        <v>0</v>
      </c>
      <c r="BJ97" s="121">
        <v>0</v>
      </c>
      <c r="BK97" s="134">
        <v>41268967</v>
      </c>
      <c r="BL97" s="934">
        <v>4689</v>
      </c>
      <c r="BM97" s="934">
        <v>4666</v>
      </c>
      <c r="BN97" s="934">
        <v>4781</v>
      </c>
      <c r="BO97" s="134">
        <v>31067</v>
      </c>
      <c r="BP97" s="114">
        <v>0</v>
      </c>
    </row>
    <row r="98" spans="1:68">
      <c r="A98" t="s">
        <v>631</v>
      </c>
      <c r="B98" t="s">
        <v>1334</v>
      </c>
      <c r="C98" s="121">
        <v>5609</v>
      </c>
      <c r="D98" s="72">
        <v>2</v>
      </c>
      <c r="E98">
        <v>2436.5929999999998</v>
      </c>
      <c r="F98">
        <v>651</v>
      </c>
      <c r="G98">
        <v>462</v>
      </c>
      <c r="H98">
        <v>64</v>
      </c>
      <c r="I98" s="173">
        <v>1</v>
      </c>
      <c r="J98" s="121">
        <v>4898584003</v>
      </c>
      <c r="K98" s="125">
        <v>10728.322</v>
      </c>
      <c r="L98" s="173">
        <v>1.5</v>
      </c>
      <c r="M98">
        <v>1</v>
      </c>
      <c r="N98">
        <v>1.000000005</v>
      </c>
      <c r="O98">
        <v>-4.9999999696126451E-7</v>
      </c>
      <c r="P98">
        <v>8941.0930000000008</v>
      </c>
      <c r="Q98" s="125">
        <v>0.59799999999999998</v>
      </c>
      <c r="R98" s="125">
        <v>0</v>
      </c>
      <c r="S98" s="125">
        <v>11.081</v>
      </c>
      <c r="T98" s="125">
        <v>166.86699999999999</v>
      </c>
      <c r="U98" s="125">
        <v>66.031999999999996</v>
      </c>
      <c r="V98" s="125">
        <v>0</v>
      </c>
      <c r="W98" s="125">
        <v>7.6180000000000003</v>
      </c>
      <c r="X98" s="125">
        <v>0</v>
      </c>
      <c r="Y98" s="125">
        <v>0</v>
      </c>
      <c r="Z98" s="125">
        <v>0</v>
      </c>
      <c r="AA98" s="125">
        <v>177.636</v>
      </c>
      <c r="AB98" s="125">
        <v>270.61200000000002</v>
      </c>
      <c r="AC98" s="125">
        <v>2685.7</v>
      </c>
      <c r="AD98" s="125">
        <v>2.6970000000000001</v>
      </c>
      <c r="AE98" s="125">
        <v>446.74799999999999</v>
      </c>
      <c r="AF98" s="125">
        <v>447.05464999999998</v>
      </c>
      <c r="AG98" s="125">
        <v>0</v>
      </c>
      <c r="AH98" s="125">
        <v>0</v>
      </c>
      <c r="AI98" s="121">
        <v>51435132</v>
      </c>
      <c r="AJ98" s="121">
        <v>6663113</v>
      </c>
      <c r="AK98" s="424">
        <v>12</v>
      </c>
      <c r="AL98">
        <v>0</v>
      </c>
      <c r="AM98" s="121">
        <v>452728</v>
      </c>
      <c r="AN98" s="125">
        <v>0</v>
      </c>
      <c r="AO98" s="125">
        <v>1</v>
      </c>
      <c r="AP98" s="121">
        <v>58098245</v>
      </c>
      <c r="AQ98" s="114">
        <v>0</v>
      </c>
      <c r="AR98" s="121">
        <v>0</v>
      </c>
      <c r="AS98" s="121">
        <v>0</v>
      </c>
      <c r="AT98" s="121">
        <v>0</v>
      </c>
      <c r="AU98" s="420" t="s">
        <v>798</v>
      </c>
      <c r="AV98" s="420" t="s">
        <v>2001</v>
      </c>
      <c r="AW98" s="121">
        <v>0</v>
      </c>
      <c r="AX98" s="121">
        <v>6702240</v>
      </c>
      <c r="AY98" s="134">
        <v>5654772</v>
      </c>
      <c r="AZ98" s="134">
        <v>14515795</v>
      </c>
      <c r="BA98" s="134">
        <v>6236</v>
      </c>
      <c r="BB98" s="134">
        <v>1256466289</v>
      </c>
      <c r="BC98" s="114">
        <v>0</v>
      </c>
      <c r="BD98" s="114">
        <v>0</v>
      </c>
      <c r="BE98" s="114">
        <v>0</v>
      </c>
      <c r="BF98" s="134">
        <v>9172</v>
      </c>
      <c r="BG98" s="114">
        <v>0</v>
      </c>
      <c r="BH98" s="114">
        <v>0</v>
      </c>
      <c r="BI98">
        <v>0</v>
      </c>
      <c r="BJ98" s="121">
        <v>0</v>
      </c>
      <c r="BK98" s="134">
        <v>4898584003</v>
      </c>
      <c r="BL98" s="934">
        <v>5501</v>
      </c>
      <c r="BM98" s="934">
        <v>5609</v>
      </c>
      <c r="BN98" s="934">
        <v>5609</v>
      </c>
      <c r="BO98" s="114">
        <v>0</v>
      </c>
      <c r="BP98" s="114">
        <v>0</v>
      </c>
    </row>
    <row r="99" spans="1:68">
      <c r="A99" t="s">
        <v>994</v>
      </c>
      <c r="B99" t="s">
        <v>3032</v>
      </c>
      <c r="C99" s="121">
        <v>4842</v>
      </c>
      <c r="D99" s="72">
        <v>2</v>
      </c>
      <c r="E99">
        <v>3422.1460000000002</v>
      </c>
      <c r="F99">
        <v>1172</v>
      </c>
      <c r="G99">
        <v>943</v>
      </c>
      <c r="H99">
        <v>24</v>
      </c>
      <c r="I99" s="173">
        <v>1.04</v>
      </c>
      <c r="J99" s="121">
        <v>3946604312</v>
      </c>
      <c r="K99" s="125">
        <v>18237.188999999998</v>
      </c>
      <c r="L99" s="173">
        <v>1.5</v>
      </c>
      <c r="M99">
        <v>1.04</v>
      </c>
      <c r="N99">
        <v>1.000000005</v>
      </c>
      <c r="O99">
        <v>3.9999995000000066</v>
      </c>
      <c r="P99">
        <v>13900</v>
      </c>
      <c r="Q99" s="125">
        <v>1.089</v>
      </c>
      <c r="R99" s="125">
        <v>0</v>
      </c>
      <c r="S99" s="125">
        <v>17.555</v>
      </c>
      <c r="T99" s="125">
        <v>228.61199999999999</v>
      </c>
      <c r="U99" s="125">
        <v>111.982</v>
      </c>
      <c r="V99" s="125">
        <v>7.3739999999999997</v>
      </c>
      <c r="W99" s="125">
        <v>5.3120000000000003</v>
      </c>
      <c r="X99" s="125">
        <v>0</v>
      </c>
      <c r="Y99" s="125">
        <v>0</v>
      </c>
      <c r="Z99" s="125">
        <v>20.704000000000001</v>
      </c>
      <c r="AA99" s="125">
        <v>212.82300000000001</v>
      </c>
      <c r="AB99" s="125">
        <v>570.95600000000002</v>
      </c>
      <c r="AC99" s="125">
        <v>10426.1</v>
      </c>
      <c r="AD99" s="125">
        <v>6.7510000000000003</v>
      </c>
      <c r="AE99" s="125">
        <v>1972.1569999999999</v>
      </c>
      <c r="AF99" s="125">
        <v>695</v>
      </c>
      <c r="AG99" s="125">
        <v>0</v>
      </c>
      <c r="AH99" s="125">
        <v>0</v>
      </c>
      <c r="AI99" s="121">
        <v>42234981</v>
      </c>
      <c r="AJ99" s="121">
        <v>9427085</v>
      </c>
      <c r="AK99" s="424">
        <v>12</v>
      </c>
      <c r="AL99">
        <v>0</v>
      </c>
      <c r="AM99" s="121">
        <v>1088625</v>
      </c>
      <c r="AN99" s="125">
        <v>0</v>
      </c>
      <c r="AO99" s="125">
        <v>0</v>
      </c>
      <c r="AP99" s="121">
        <v>51662066</v>
      </c>
      <c r="AQ99" s="114">
        <v>0</v>
      </c>
      <c r="AR99" s="121">
        <v>2630.6465876000002</v>
      </c>
      <c r="AS99" s="121">
        <v>516930.31530999998</v>
      </c>
      <c r="AT99" s="121">
        <v>68079.490722000002</v>
      </c>
      <c r="AU99" s="420" t="s">
        <v>2001</v>
      </c>
      <c r="AV99" s="420" t="s">
        <v>2001</v>
      </c>
      <c r="AW99" s="121">
        <v>0</v>
      </c>
      <c r="AX99" s="121">
        <v>11502789</v>
      </c>
      <c r="BI99">
        <v>0</v>
      </c>
      <c r="BJ99" s="121">
        <v>0</v>
      </c>
      <c r="BK99" s="134">
        <v>3946604312</v>
      </c>
      <c r="BL99" s="934">
        <v>4703</v>
      </c>
      <c r="BM99" s="934">
        <v>4842</v>
      </c>
      <c r="BN99" s="934">
        <v>4842</v>
      </c>
      <c r="BO99" s="114">
        <v>0</v>
      </c>
      <c r="BP99" s="114">
        <v>0</v>
      </c>
    </row>
    <row r="100" spans="1:68">
      <c r="A100" t="s">
        <v>2918</v>
      </c>
      <c r="B100" t="s">
        <v>2854</v>
      </c>
      <c r="C100" s="121">
        <v>4728</v>
      </c>
      <c r="D100" s="72">
        <v>2</v>
      </c>
      <c r="E100">
        <v>43.435000000000002</v>
      </c>
      <c r="F100">
        <v>19</v>
      </c>
      <c r="G100">
        <v>9</v>
      </c>
      <c r="H100">
        <v>1</v>
      </c>
      <c r="I100" s="173">
        <v>1.04</v>
      </c>
      <c r="J100" s="121">
        <v>62643649</v>
      </c>
      <c r="K100" s="125">
        <v>374.94799999999998</v>
      </c>
      <c r="L100" s="173">
        <v>1.3</v>
      </c>
      <c r="M100">
        <v>1.04</v>
      </c>
      <c r="N100">
        <v>0.86666667100000006</v>
      </c>
      <c r="O100">
        <v>17.333332899999998</v>
      </c>
      <c r="P100">
        <v>170.238</v>
      </c>
      <c r="Q100" s="125">
        <v>0</v>
      </c>
      <c r="R100" s="125">
        <v>0</v>
      </c>
      <c r="S100" s="125">
        <v>0.19400000000000001</v>
      </c>
      <c r="T100" s="125">
        <v>4.0579999999999998</v>
      </c>
      <c r="U100" s="125">
        <v>0</v>
      </c>
      <c r="V100" s="125">
        <v>0</v>
      </c>
      <c r="W100" s="125">
        <v>0.57899999999999996</v>
      </c>
      <c r="X100" s="125">
        <v>0</v>
      </c>
      <c r="Y100" s="125">
        <v>0</v>
      </c>
      <c r="Z100" s="125">
        <v>0</v>
      </c>
      <c r="AA100" s="125">
        <v>5.94</v>
      </c>
      <c r="AB100" s="125">
        <v>0</v>
      </c>
      <c r="AC100" s="125">
        <v>168.5</v>
      </c>
      <c r="AD100" s="125">
        <v>0</v>
      </c>
      <c r="AE100" s="125">
        <v>89.748999999999995</v>
      </c>
      <c r="AF100" s="125">
        <v>8.5119000000000007</v>
      </c>
      <c r="AG100" s="125">
        <v>0</v>
      </c>
      <c r="AH100" s="125">
        <v>0</v>
      </c>
      <c r="AI100" s="121">
        <v>694557</v>
      </c>
      <c r="AJ100" s="121">
        <v>0</v>
      </c>
      <c r="AK100" s="424">
        <v>12</v>
      </c>
      <c r="AL100">
        <v>31</v>
      </c>
      <c r="AM100" s="121">
        <v>94596</v>
      </c>
      <c r="AN100" s="125">
        <v>0</v>
      </c>
      <c r="AO100" s="125">
        <v>0</v>
      </c>
      <c r="AP100" s="121">
        <v>694557</v>
      </c>
      <c r="AQ100" s="114">
        <v>0</v>
      </c>
      <c r="AR100" s="121">
        <v>41.755719286000001</v>
      </c>
      <c r="AS100" s="121">
        <v>8205.1299624999992</v>
      </c>
      <c r="AT100" s="121">
        <v>1080.6119366999999</v>
      </c>
      <c r="AU100" s="420" t="s">
        <v>2001</v>
      </c>
      <c r="AV100" s="420" t="s">
        <v>2001</v>
      </c>
      <c r="AW100" s="121">
        <v>0</v>
      </c>
      <c r="AX100" s="121">
        <v>0</v>
      </c>
      <c r="BI100">
        <v>0</v>
      </c>
      <c r="BJ100" s="121">
        <v>0</v>
      </c>
      <c r="BK100" s="134">
        <v>62356963</v>
      </c>
      <c r="BL100" s="934">
        <v>4630</v>
      </c>
      <c r="BM100" s="934">
        <v>4728</v>
      </c>
      <c r="BN100" s="934">
        <v>4582</v>
      </c>
      <c r="BO100" s="114">
        <v>0</v>
      </c>
      <c r="BP100" s="114">
        <v>0</v>
      </c>
    </row>
    <row r="101" spans="1:68">
      <c r="A101" t="s">
        <v>440</v>
      </c>
      <c r="B101" t="s">
        <v>2855</v>
      </c>
      <c r="C101" s="121">
        <v>4897</v>
      </c>
      <c r="D101" s="72">
        <v>2</v>
      </c>
      <c r="E101">
        <v>281.46600000000001</v>
      </c>
      <c r="F101">
        <v>100</v>
      </c>
      <c r="G101">
        <v>54</v>
      </c>
      <c r="H101">
        <v>11</v>
      </c>
      <c r="I101" s="173">
        <v>1.04</v>
      </c>
      <c r="J101" s="121">
        <v>318631926</v>
      </c>
      <c r="K101" s="125">
        <v>1614.7850000000001</v>
      </c>
      <c r="L101" s="173">
        <v>1.5</v>
      </c>
      <c r="M101">
        <v>1.04</v>
      </c>
      <c r="N101">
        <v>1.000000005</v>
      </c>
      <c r="O101">
        <v>3.9999995000000066</v>
      </c>
      <c r="P101">
        <v>924.61099999999999</v>
      </c>
      <c r="Q101" s="125">
        <v>0.35099999999999998</v>
      </c>
      <c r="R101" s="125">
        <v>0</v>
      </c>
      <c r="S101" s="125">
        <v>1.607</v>
      </c>
      <c r="T101" s="125">
        <v>36.520000000000003</v>
      </c>
      <c r="U101" s="125">
        <v>5.9180000000000001</v>
      </c>
      <c r="V101" s="125">
        <v>0</v>
      </c>
      <c r="W101" s="125">
        <v>0</v>
      </c>
      <c r="X101" s="125">
        <v>0</v>
      </c>
      <c r="Y101" s="125">
        <v>0</v>
      </c>
      <c r="Z101" s="125">
        <v>0</v>
      </c>
      <c r="AA101" s="125">
        <v>18.236999999999998</v>
      </c>
      <c r="AB101" s="125">
        <v>57.956000000000003</v>
      </c>
      <c r="AC101" s="125">
        <v>598.20000000000005</v>
      </c>
      <c r="AD101" s="125">
        <v>0.42799999999999999</v>
      </c>
      <c r="AE101" s="125">
        <v>56.628999999999998</v>
      </c>
      <c r="AF101" s="125">
        <v>46.220999999999997</v>
      </c>
      <c r="AG101" s="125">
        <v>0</v>
      </c>
      <c r="AH101" s="125">
        <v>0</v>
      </c>
      <c r="AI101" s="121">
        <v>3201104</v>
      </c>
      <c r="AJ101" s="121">
        <v>316200</v>
      </c>
      <c r="AK101" s="424">
        <v>12</v>
      </c>
      <c r="AL101">
        <v>0</v>
      </c>
      <c r="AM101" s="121">
        <v>0</v>
      </c>
      <c r="AN101" s="125">
        <v>0</v>
      </c>
      <c r="AO101" s="125">
        <v>0</v>
      </c>
      <c r="AP101" s="121">
        <v>3517304</v>
      </c>
      <c r="AQ101" s="114">
        <v>0</v>
      </c>
      <c r="AR101" s="121">
        <v>212.38713652999999</v>
      </c>
      <c r="AS101" s="121">
        <v>41734.739272999999</v>
      </c>
      <c r="AT101" s="121">
        <v>5496.4464473999997</v>
      </c>
      <c r="AU101" s="420" t="s">
        <v>2001</v>
      </c>
      <c r="AV101" s="420" t="s">
        <v>2001</v>
      </c>
      <c r="AW101" s="121">
        <v>0</v>
      </c>
      <c r="AX101" s="121">
        <v>344900</v>
      </c>
      <c r="BI101">
        <v>0</v>
      </c>
      <c r="BJ101" s="121">
        <v>0</v>
      </c>
      <c r="BK101" s="134">
        <v>318631926</v>
      </c>
      <c r="BL101" s="934">
        <v>4523</v>
      </c>
      <c r="BM101" s="934">
        <v>4897</v>
      </c>
      <c r="BN101" s="934">
        <v>4782</v>
      </c>
      <c r="BO101" s="114">
        <v>0</v>
      </c>
      <c r="BP101" s="114">
        <v>0</v>
      </c>
    </row>
    <row r="102" spans="1:68">
      <c r="A102" t="s">
        <v>441</v>
      </c>
      <c r="B102" t="s">
        <v>1786</v>
      </c>
      <c r="C102" s="121">
        <v>4676</v>
      </c>
      <c r="D102" s="72">
        <v>2</v>
      </c>
      <c r="E102">
        <v>16.036000000000001</v>
      </c>
      <c r="F102">
        <v>11</v>
      </c>
      <c r="G102">
        <v>7</v>
      </c>
      <c r="H102">
        <v>0</v>
      </c>
      <c r="I102" s="173">
        <v>1.04</v>
      </c>
      <c r="J102" s="121">
        <v>53403280</v>
      </c>
      <c r="K102" s="125">
        <v>250.322</v>
      </c>
      <c r="L102" s="173">
        <v>1.5</v>
      </c>
      <c r="M102">
        <v>1.04</v>
      </c>
      <c r="N102">
        <v>1.000000005</v>
      </c>
      <c r="O102">
        <v>3.9999995000000066</v>
      </c>
      <c r="P102">
        <v>46.213999999999999</v>
      </c>
      <c r="Q102" s="125">
        <v>0</v>
      </c>
      <c r="R102" s="125">
        <v>0</v>
      </c>
      <c r="S102" s="125">
        <v>6.8000000000000005E-2</v>
      </c>
      <c r="T102" s="125">
        <v>0.73099999999999998</v>
      </c>
      <c r="U102" s="125">
        <v>0</v>
      </c>
      <c r="V102" s="125">
        <v>0</v>
      </c>
      <c r="W102" s="125">
        <v>0</v>
      </c>
      <c r="X102" s="125">
        <v>0</v>
      </c>
      <c r="Y102" s="125">
        <v>0</v>
      </c>
      <c r="Z102" s="125">
        <v>0</v>
      </c>
      <c r="AA102" s="125">
        <v>8.2430000000000003</v>
      </c>
      <c r="AB102" s="125">
        <v>0.91900000000000004</v>
      </c>
      <c r="AC102" s="125">
        <v>45.8</v>
      </c>
      <c r="AD102" s="125">
        <v>0</v>
      </c>
      <c r="AE102" s="125">
        <v>4.8090000000000002</v>
      </c>
      <c r="AF102" s="125">
        <v>2.3107000000000002</v>
      </c>
      <c r="AG102" s="125">
        <v>0</v>
      </c>
      <c r="AH102" s="125">
        <v>0</v>
      </c>
      <c r="AI102" s="121">
        <v>555711</v>
      </c>
      <c r="AJ102" s="121">
        <v>0</v>
      </c>
      <c r="AK102" s="424">
        <v>12</v>
      </c>
      <c r="AL102">
        <v>31</v>
      </c>
      <c r="AM102" s="121">
        <v>0</v>
      </c>
      <c r="AN102" s="125">
        <v>0</v>
      </c>
      <c r="AO102" s="125">
        <v>0</v>
      </c>
      <c r="AP102" s="121">
        <v>555711</v>
      </c>
      <c r="AQ102" s="114">
        <v>0</v>
      </c>
      <c r="AR102" s="121">
        <v>35.596463694000001</v>
      </c>
      <c r="AS102" s="121">
        <v>6994.8168969999997</v>
      </c>
      <c r="AT102" s="121">
        <v>921.21424868999998</v>
      </c>
      <c r="AU102" s="420" t="s">
        <v>2001</v>
      </c>
      <c r="AV102" s="420" t="s">
        <v>2001</v>
      </c>
      <c r="AW102" s="121">
        <v>0</v>
      </c>
      <c r="AX102" s="121">
        <v>0</v>
      </c>
      <c r="BI102">
        <v>0</v>
      </c>
      <c r="BJ102" s="121">
        <v>0</v>
      </c>
      <c r="BK102" s="134">
        <v>52463150</v>
      </c>
      <c r="BL102" s="934">
        <v>4608</v>
      </c>
      <c r="BM102" s="934">
        <v>4676</v>
      </c>
      <c r="BN102" s="934">
        <v>4671</v>
      </c>
      <c r="BO102" s="114">
        <v>0</v>
      </c>
      <c r="BP102" s="114">
        <v>0</v>
      </c>
    </row>
    <row r="103" spans="1:68">
      <c r="A103" t="s">
        <v>442</v>
      </c>
      <c r="B103" t="s">
        <v>1787</v>
      </c>
      <c r="C103" s="121">
        <v>4353</v>
      </c>
      <c r="D103" s="72">
        <v>2</v>
      </c>
      <c r="E103">
        <v>0</v>
      </c>
      <c r="F103">
        <v>4</v>
      </c>
      <c r="G103">
        <v>1</v>
      </c>
      <c r="H103">
        <v>1</v>
      </c>
      <c r="I103" s="173">
        <v>1.04</v>
      </c>
      <c r="J103" s="121">
        <v>7017120</v>
      </c>
      <c r="K103" s="125">
        <v>130.208</v>
      </c>
      <c r="L103" s="173">
        <v>1.23</v>
      </c>
      <c r="M103">
        <v>1.04</v>
      </c>
      <c r="N103">
        <v>0.82000000409999996</v>
      </c>
      <c r="O103">
        <v>21.999999590000009</v>
      </c>
      <c r="P103">
        <v>15.175000000000001</v>
      </c>
      <c r="Q103" s="125">
        <v>0</v>
      </c>
      <c r="R103" s="125">
        <v>0</v>
      </c>
      <c r="S103" s="125">
        <v>2.1999999999999999E-2</v>
      </c>
      <c r="T103" s="125">
        <v>0.80700000000000005</v>
      </c>
      <c r="U103" s="125">
        <v>0</v>
      </c>
      <c r="V103" s="125">
        <v>0</v>
      </c>
      <c r="W103" s="125">
        <v>0</v>
      </c>
      <c r="X103" s="125">
        <v>0</v>
      </c>
      <c r="Y103" s="125">
        <v>0</v>
      </c>
      <c r="Z103" s="125">
        <v>0</v>
      </c>
      <c r="AA103" s="125">
        <v>0</v>
      </c>
      <c r="AB103" s="125">
        <v>0</v>
      </c>
      <c r="AC103" s="125">
        <v>3.7</v>
      </c>
      <c r="AD103" s="125">
        <v>0</v>
      </c>
      <c r="AE103" s="125">
        <v>0</v>
      </c>
      <c r="AF103" s="125">
        <v>0.75875000000000004</v>
      </c>
      <c r="AG103" s="125">
        <v>0</v>
      </c>
      <c r="AH103" s="125">
        <v>0</v>
      </c>
      <c r="AI103" s="121">
        <v>66573</v>
      </c>
      <c r="AJ103" s="121">
        <v>0</v>
      </c>
      <c r="AK103" s="424">
        <v>8</v>
      </c>
      <c r="AL103">
        <v>31</v>
      </c>
      <c r="AM103" s="121">
        <v>7344</v>
      </c>
      <c r="AN103" s="125">
        <v>0</v>
      </c>
      <c r="AO103" s="125">
        <v>0</v>
      </c>
      <c r="AP103" s="121">
        <v>66573</v>
      </c>
      <c r="AQ103" s="114">
        <v>0</v>
      </c>
      <c r="AR103" s="121">
        <v>4.6773282756999999</v>
      </c>
      <c r="AS103" s="121">
        <v>919.10969408000005</v>
      </c>
      <c r="AT103" s="121">
        <v>121.04633456000001</v>
      </c>
      <c r="AU103" s="420" t="s">
        <v>2001</v>
      </c>
      <c r="AV103" s="420" t="s">
        <v>2001</v>
      </c>
      <c r="AW103" s="121">
        <v>0</v>
      </c>
      <c r="AX103" s="121">
        <v>0</v>
      </c>
      <c r="BI103">
        <v>0</v>
      </c>
      <c r="BJ103" s="121">
        <v>0</v>
      </c>
      <c r="BK103" s="134">
        <v>6285013</v>
      </c>
      <c r="BL103" s="934">
        <v>3753</v>
      </c>
      <c r="BM103" s="934">
        <v>4353</v>
      </c>
      <c r="BN103" s="934">
        <v>4153</v>
      </c>
      <c r="BO103" s="114">
        <v>0</v>
      </c>
      <c r="BP103" s="114">
        <v>0</v>
      </c>
    </row>
    <row r="104" spans="1:68">
      <c r="A104" t="s">
        <v>443</v>
      </c>
      <c r="B104" t="s">
        <v>1788</v>
      </c>
      <c r="C104" s="121">
        <v>4781</v>
      </c>
      <c r="D104" s="72">
        <v>3</v>
      </c>
      <c r="E104">
        <v>55.338000000000001</v>
      </c>
      <c r="F104">
        <v>24</v>
      </c>
      <c r="G104">
        <v>12</v>
      </c>
      <c r="H104">
        <v>0</v>
      </c>
      <c r="I104" s="173">
        <v>1.04</v>
      </c>
      <c r="J104" s="121">
        <v>52776874</v>
      </c>
      <c r="K104" s="125">
        <v>368.14299999999997</v>
      </c>
      <c r="L104" s="173">
        <v>1.36</v>
      </c>
      <c r="M104">
        <v>1.04</v>
      </c>
      <c r="N104">
        <v>0.90666667120000011</v>
      </c>
      <c r="O104">
        <v>13.333332879999993</v>
      </c>
      <c r="P104">
        <v>180.65899999999999</v>
      </c>
      <c r="Q104" s="125">
        <v>0</v>
      </c>
      <c r="R104" s="125">
        <v>0</v>
      </c>
      <c r="S104" s="125">
        <v>0.42</v>
      </c>
      <c r="T104" s="125">
        <v>6.1050000000000004</v>
      </c>
      <c r="U104" s="125">
        <v>0</v>
      </c>
      <c r="V104" s="125">
        <v>0</v>
      </c>
      <c r="W104" s="125">
        <v>0</v>
      </c>
      <c r="X104" s="125">
        <v>0</v>
      </c>
      <c r="Y104" s="125">
        <v>0</v>
      </c>
      <c r="Z104" s="125">
        <v>0</v>
      </c>
      <c r="AA104" s="125">
        <v>1.1599999999999999</v>
      </c>
      <c r="AB104" s="125">
        <v>16.425999999999998</v>
      </c>
      <c r="AC104" s="125">
        <v>127.2</v>
      </c>
      <c r="AD104" s="125">
        <v>0</v>
      </c>
      <c r="AE104" s="125">
        <v>21.122</v>
      </c>
      <c r="AF104" s="125">
        <v>9.0329499999999996</v>
      </c>
      <c r="AG104" s="125">
        <v>0</v>
      </c>
      <c r="AH104" s="125">
        <v>0</v>
      </c>
      <c r="AI104" s="121">
        <v>529200</v>
      </c>
      <c r="AJ104" s="121">
        <v>0</v>
      </c>
      <c r="AK104" s="424">
        <v>12</v>
      </c>
      <c r="AL104">
        <v>0</v>
      </c>
      <c r="AM104" s="121">
        <v>40404</v>
      </c>
      <c r="AN104" s="125">
        <v>0</v>
      </c>
      <c r="AO104" s="125">
        <v>0</v>
      </c>
      <c r="AP104" s="121">
        <v>529200</v>
      </c>
      <c r="AQ104" s="114">
        <v>0</v>
      </c>
      <c r="AR104" s="121">
        <v>35.178926945000001</v>
      </c>
      <c r="AS104" s="121">
        <v>6912.7696146999997</v>
      </c>
      <c r="AT104" s="121">
        <v>910.40865840000004</v>
      </c>
      <c r="AU104" s="420" t="s">
        <v>2001</v>
      </c>
      <c r="AV104" s="420" t="s">
        <v>2001</v>
      </c>
      <c r="AW104" s="121">
        <v>0</v>
      </c>
      <c r="AX104" s="121">
        <v>0</v>
      </c>
      <c r="BI104">
        <v>0</v>
      </c>
      <c r="BJ104" s="121">
        <v>0</v>
      </c>
      <c r="BK104" s="134">
        <v>49960366</v>
      </c>
      <c r="BL104" s="934">
        <v>4699</v>
      </c>
      <c r="BM104" s="934">
        <v>4602</v>
      </c>
      <c r="BN104" s="934">
        <v>4781</v>
      </c>
      <c r="BO104" s="114">
        <v>0</v>
      </c>
      <c r="BP104" s="114">
        <v>0</v>
      </c>
    </row>
    <row r="105" spans="1:68">
      <c r="A105" t="s">
        <v>745</v>
      </c>
      <c r="B105" t="s">
        <v>1789</v>
      </c>
      <c r="C105" s="121">
        <v>6050</v>
      </c>
      <c r="D105" s="72">
        <v>2</v>
      </c>
      <c r="E105">
        <v>421.86799999999999</v>
      </c>
      <c r="F105">
        <v>151</v>
      </c>
      <c r="G105">
        <v>110</v>
      </c>
      <c r="H105">
        <v>0</v>
      </c>
      <c r="I105" s="173">
        <v>1.0139</v>
      </c>
      <c r="J105" s="121">
        <v>1161917388</v>
      </c>
      <c r="K105" s="125">
        <v>2279.3539999999998</v>
      </c>
      <c r="L105" s="173">
        <v>1.3937999999999999</v>
      </c>
      <c r="M105">
        <v>1.0139</v>
      </c>
      <c r="N105">
        <v>0.92920000464599994</v>
      </c>
      <c r="O105">
        <v>8.4699995354000084</v>
      </c>
      <c r="P105">
        <v>1405.653</v>
      </c>
      <c r="Q105" s="125">
        <v>0.55500000000000005</v>
      </c>
      <c r="R105" s="125">
        <v>0</v>
      </c>
      <c r="S105" s="125">
        <v>3.4409999999999998</v>
      </c>
      <c r="T105" s="125">
        <v>56.173000000000002</v>
      </c>
      <c r="U105" s="125">
        <v>15.584</v>
      </c>
      <c r="V105" s="125">
        <v>0</v>
      </c>
      <c r="W105" s="125">
        <v>0</v>
      </c>
      <c r="X105" s="125">
        <v>0</v>
      </c>
      <c r="Y105" s="125">
        <v>0</v>
      </c>
      <c r="Z105" s="125">
        <v>0</v>
      </c>
      <c r="AA105" s="125">
        <v>26.948</v>
      </c>
      <c r="AB105" s="125">
        <v>61.781999999999996</v>
      </c>
      <c r="AC105" s="125">
        <v>1391.6</v>
      </c>
      <c r="AD105" s="125">
        <v>0.59399999999999997</v>
      </c>
      <c r="AE105" s="125">
        <v>56.826000000000001</v>
      </c>
      <c r="AF105" s="125">
        <v>70.282650000000004</v>
      </c>
      <c r="AG105" s="125">
        <v>0</v>
      </c>
      <c r="AH105" s="125">
        <v>0</v>
      </c>
      <c r="AI105" s="121">
        <v>9439851</v>
      </c>
      <c r="AJ105" s="121">
        <v>286373</v>
      </c>
      <c r="AK105" s="424">
        <v>12</v>
      </c>
      <c r="AL105">
        <v>0</v>
      </c>
      <c r="AM105" s="121">
        <v>116180</v>
      </c>
      <c r="AN105" s="125">
        <v>0</v>
      </c>
      <c r="AO105" s="125">
        <v>0</v>
      </c>
      <c r="AP105" s="121">
        <v>9726224</v>
      </c>
      <c r="AQ105" s="114">
        <v>0</v>
      </c>
      <c r="AR105" s="121">
        <v>0</v>
      </c>
      <c r="AS105" s="121">
        <v>0</v>
      </c>
      <c r="AT105" s="121">
        <v>0</v>
      </c>
      <c r="AU105" s="420" t="s">
        <v>798</v>
      </c>
      <c r="AV105" s="72" t="s">
        <v>798</v>
      </c>
      <c r="AW105" s="121">
        <v>0</v>
      </c>
      <c r="AX105" s="121">
        <v>287363</v>
      </c>
      <c r="AY105" s="134">
        <v>1017233</v>
      </c>
      <c r="AZ105" s="134">
        <v>5897214</v>
      </c>
      <c r="BA105" s="134">
        <v>2426</v>
      </c>
      <c r="BB105" s="134">
        <v>354681739</v>
      </c>
      <c r="BC105" s="114">
        <v>0</v>
      </c>
      <c r="BD105" s="114">
        <v>0</v>
      </c>
      <c r="BE105" s="114">
        <v>0</v>
      </c>
      <c r="BF105" s="134">
        <v>1529</v>
      </c>
      <c r="BG105" s="114">
        <v>0</v>
      </c>
      <c r="BH105" s="114">
        <v>0</v>
      </c>
      <c r="BI105">
        <v>0</v>
      </c>
      <c r="BJ105" s="121">
        <v>0</v>
      </c>
      <c r="BK105" s="134">
        <v>914132169</v>
      </c>
      <c r="BL105" s="934">
        <v>5422</v>
      </c>
      <c r="BM105" s="934">
        <v>6050</v>
      </c>
      <c r="BN105" s="934">
        <v>5598</v>
      </c>
      <c r="BO105" s="114">
        <v>0</v>
      </c>
      <c r="BP105" s="114">
        <v>0</v>
      </c>
    </row>
    <row r="106" spans="1:68">
      <c r="A106" t="s">
        <v>746</v>
      </c>
      <c r="B106" t="s">
        <v>1790</v>
      </c>
      <c r="C106" s="121">
        <v>4583</v>
      </c>
      <c r="D106" s="72">
        <v>3</v>
      </c>
      <c r="E106">
        <v>302.23700000000002</v>
      </c>
      <c r="F106">
        <v>95</v>
      </c>
      <c r="G106">
        <v>65</v>
      </c>
      <c r="H106">
        <v>2</v>
      </c>
      <c r="I106" s="173">
        <v>1.1200000000000001</v>
      </c>
      <c r="J106" s="121">
        <v>212189743</v>
      </c>
      <c r="K106" s="125">
        <v>1709.4490000000001</v>
      </c>
      <c r="L106" s="173">
        <v>1.4265000000000001</v>
      </c>
      <c r="M106">
        <v>1.1200000000000001</v>
      </c>
      <c r="N106">
        <v>0.95100000475500013</v>
      </c>
      <c r="O106">
        <v>16.899999524499997</v>
      </c>
      <c r="P106">
        <v>1090.6559999999999</v>
      </c>
      <c r="Q106" s="125">
        <v>7.5999999999999998E-2</v>
      </c>
      <c r="R106" s="125">
        <v>0</v>
      </c>
      <c r="S106" s="125">
        <v>2.4380000000000002</v>
      </c>
      <c r="T106" s="125">
        <v>49.735999999999997</v>
      </c>
      <c r="U106" s="125">
        <v>5.4969999999999999</v>
      </c>
      <c r="V106" s="125">
        <v>5.149</v>
      </c>
      <c r="W106" s="125">
        <v>0.6</v>
      </c>
      <c r="X106" s="125">
        <v>0</v>
      </c>
      <c r="Y106" s="125">
        <v>0</v>
      </c>
      <c r="Z106" s="125">
        <v>14.301</v>
      </c>
      <c r="AA106" s="125">
        <v>24.617999999999999</v>
      </c>
      <c r="AB106" s="125">
        <v>57.83</v>
      </c>
      <c r="AC106" s="125">
        <v>685.4</v>
      </c>
      <c r="AD106" s="125">
        <v>0</v>
      </c>
      <c r="AE106" s="125">
        <v>19.495000000000001</v>
      </c>
      <c r="AF106" s="125">
        <v>54.532800000000002</v>
      </c>
      <c r="AG106" s="125">
        <v>0</v>
      </c>
      <c r="AH106" s="125">
        <v>0</v>
      </c>
      <c r="AI106" s="121">
        <v>2420491</v>
      </c>
      <c r="AJ106" s="121">
        <v>227845</v>
      </c>
      <c r="AK106" s="424">
        <v>12</v>
      </c>
      <c r="AL106">
        <v>0</v>
      </c>
      <c r="AM106" s="121">
        <v>127433</v>
      </c>
      <c r="AN106" s="125">
        <v>0</v>
      </c>
      <c r="AO106" s="125">
        <v>0</v>
      </c>
      <c r="AP106" s="121">
        <v>2648336</v>
      </c>
      <c r="AQ106" s="114">
        <v>0</v>
      </c>
      <c r="AR106" s="121">
        <v>141.43708849999999</v>
      </c>
      <c r="AS106" s="121">
        <v>27792.832036</v>
      </c>
      <c r="AT106" s="121">
        <v>3660.3035160999998</v>
      </c>
      <c r="AU106" s="420" t="s">
        <v>2001</v>
      </c>
      <c r="AV106" s="420" t="s">
        <v>2001</v>
      </c>
      <c r="AW106" s="121">
        <v>0</v>
      </c>
      <c r="AX106" s="121">
        <v>622219</v>
      </c>
      <c r="BI106">
        <v>0</v>
      </c>
      <c r="BJ106" s="121">
        <v>0</v>
      </c>
      <c r="BK106" s="134">
        <v>212189743</v>
      </c>
      <c r="BL106" s="934">
        <v>4478</v>
      </c>
      <c r="BM106" s="934">
        <v>4500</v>
      </c>
      <c r="BN106" s="934">
        <v>4583</v>
      </c>
      <c r="BO106" s="114">
        <v>0</v>
      </c>
      <c r="BP106" s="114">
        <v>0</v>
      </c>
    </row>
    <row r="107" spans="1:68">
      <c r="A107" t="s">
        <v>747</v>
      </c>
      <c r="B107" t="s">
        <v>1791</v>
      </c>
      <c r="C107" s="121">
        <v>4735</v>
      </c>
      <c r="D107" s="72">
        <v>3</v>
      </c>
      <c r="E107">
        <v>829.84400000000005</v>
      </c>
      <c r="F107">
        <v>260</v>
      </c>
      <c r="G107">
        <v>220</v>
      </c>
      <c r="H107">
        <v>0</v>
      </c>
      <c r="I107" s="173">
        <v>1.04</v>
      </c>
      <c r="J107" s="121">
        <v>982634181</v>
      </c>
      <c r="K107" s="125">
        <v>4403.28</v>
      </c>
      <c r="L107" s="173">
        <v>1.46</v>
      </c>
      <c r="M107">
        <v>1.04</v>
      </c>
      <c r="N107">
        <v>0.97333333820000001</v>
      </c>
      <c r="O107">
        <v>6.6666661800000027</v>
      </c>
      <c r="P107">
        <v>3049.2779999999998</v>
      </c>
      <c r="Q107" s="125">
        <v>0.29599999999999999</v>
      </c>
      <c r="R107" s="125">
        <v>0</v>
      </c>
      <c r="S107" s="125">
        <v>5.3940000000000001</v>
      </c>
      <c r="T107" s="125">
        <v>68.808999999999997</v>
      </c>
      <c r="U107" s="125">
        <v>26.331</v>
      </c>
      <c r="V107" s="125">
        <v>0</v>
      </c>
      <c r="W107" s="125">
        <v>5.3259999999999996</v>
      </c>
      <c r="X107" s="125">
        <v>0</v>
      </c>
      <c r="Y107" s="125">
        <v>0</v>
      </c>
      <c r="Z107" s="125">
        <v>45.037999999999997</v>
      </c>
      <c r="AA107" s="125">
        <v>96.162000000000006</v>
      </c>
      <c r="AB107" s="125">
        <v>137.803</v>
      </c>
      <c r="AC107" s="125">
        <v>2493.1</v>
      </c>
      <c r="AD107" s="125">
        <v>0.76100000000000001</v>
      </c>
      <c r="AE107" s="125">
        <v>57.834000000000003</v>
      </c>
      <c r="AF107" s="125">
        <v>152.4639</v>
      </c>
      <c r="AG107" s="125">
        <v>0</v>
      </c>
      <c r="AH107" s="125">
        <v>0</v>
      </c>
      <c r="AI107" s="121">
        <v>10483551</v>
      </c>
      <c r="AJ107" s="121">
        <v>2443302</v>
      </c>
      <c r="AK107" s="424">
        <v>12</v>
      </c>
      <c r="AL107">
        <v>0</v>
      </c>
      <c r="AM107" s="121">
        <v>117123</v>
      </c>
      <c r="AN107" s="125">
        <v>0</v>
      </c>
      <c r="AO107" s="125">
        <v>0</v>
      </c>
      <c r="AP107" s="121">
        <v>12926853</v>
      </c>
      <c r="AQ107" s="114">
        <v>0</v>
      </c>
      <c r="AR107" s="121">
        <v>654.98414578999996</v>
      </c>
      <c r="AS107" s="121">
        <v>128706.44145</v>
      </c>
      <c r="AT107" s="121">
        <v>16950.580623999998</v>
      </c>
      <c r="AU107" s="420" t="s">
        <v>2001</v>
      </c>
      <c r="AV107" s="420" t="s">
        <v>2001</v>
      </c>
      <c r="AW107" s="121">
        <v>0</v>
      </c>
      <c r="AX107" s="121">
        <v>2942537</v>
      </c>
      <c r="BI107">
        <v>0</v>
      </c>
      <c r="BJ107" s="121">
        <v>0</v>
      </c>
      <c r="BK107" s="134">
        <v>978222708</v>
      </c>
      <c r="BL107" s="934">
        <v>4517</v>
      </c>
      <c r="BM107" s="934">
        <v>4714</v>
      </c>
      <c r="BN107" s="934">
        <v>4735</v>
      </c>
      <c r="BO107" s="114">
        <v>0</v>
      </c>
      <c r="BP107" s="114">
        <v>0</v>
      </c>
    </row>
    <row r="108" spans="1:68">
      <c r="A108" t="s">
        <v>988</v>
      </c>
      <c r="B108" t="s">
        <v>1519</v>
      </c>
      <c r="C108" s="121">
        <v>5009</v>
      </c>
      <c r="D108" s="72">
        <v>2</v>
      </c>
      <c r="E108">
        <v>64.063999999999993</v>
      </c>
      <c r="F108">
        <v>23</v>
      </c>
      <c r="G108">
        <v>14</v>
      </c>
      <c r="H108">
        <v>3</v>
      </c>
      <c r="I108" s="173">
        <v>1.0900000000000001</v>
      </c>
      <c r="J108" s="121">
        <v>33357878</v>
      </c>
      <c r="K108" s="125">
        <v>466.10899999999998</v>
      </c>
      <c r="L108" s="173">
        <v>1.5</v>
      </c>
      <c r="M108">
        <v>1.0900000000000001</v>
      </c>
      <c r="N108">
        <v>1.000000005</v>
      </c>
      <c r="O108">
        <v>8.9999995000000119</v>
      </c>
      <c r="P108">
        <v>222.001</v>
      </c>
      <c r="Q108" s="125">
        <v>0.14699999999999999</v>
      </c>
      <c r="R108" s="125">
        <v>0</v>
      </c>
      <c r="S108" s="125">
        <v>0.45700000000000002</v>
      </c>
      <c r="T108" s="125">
        <v>11.237</v>
      </c>
      <c r="U108" s="125">
        <v>0.18</v>
      </c>
      <c r="V108" s="125">
        <v>3.1829999999999998</v>
      </c>
      <c r="W108" s="125">
        <v>0</v>
      </c>
      <c r="X108" s="125">
        <v>0</v>
      </c>
      <c r="Y108" s="125">
        <v>0</v>
      </c>
      <c r="Z108" s="125">
        <v>12.496</v>
      </c>
      <c r="AA108" s="125">
        <v>3.7570000000000001</v>
      </c>
      <c r="AB108" s="125">
        <v>7.91</v>
      </c>
      <c r="AC108" s="125">
        <v>193.1</v>
      </c>
      <c r="AD108" s="125">
        <v>0</v>
      </c>
      <c r="AE108" s="125">
        <v>13.704000000000001</v>
      </c>
      <c r="AF108" s="125">
        <v>11.1</v>
      </c>
      <c r="AG108" s="125">
        <v>0</v>
      </c>
      <c r="AH108" s="125">
        <v>0</v>
      </c>
      <c r="AI108" s="121">
        <v>378357</v>
      </c>
      <c r="AJ108" s="121">
        <v>20999</v>
      </c>
      <c r="AK108" s="424">
        <v>12</v>
      </c>
      <c r="AL108">
        <v>0</v>
      </c>
      <c r="AM108" s="121">
        <v>30803</v>
      </c>
      <c r="AN108" s="125">
        <v>0</v>
      </c>
      <c r="AO108" s="125">
        <v>0</v>
      </c>
      <c r="AP108" s="121">
        <v>399356</v>
      </c>
      <c r="AQ108" s="114">
        <v>0</v>
      </c>
      <c r="AR108" s="121">
        <v>22.235010402</v>
      </c>
      <c r="AS108" s="121">
        <v>4369.2493671000002</v>
      </c>
      <c r="AT108" s="121">
        <v>575.42818237999995</v>
      </c>
      <c r="AU108" s="420" t="s">
        <v>2001</v>
      </c>
      <c r="AV108" s="420" t="s">
        <v>2001</v>
      </c>
      <c r="AW108" s="121">
        <v>0</v>
      </c>
      <c r="AX108" s="121">
        <v>101520</v>
      </c>
      <c r="BI108">
        <v>0</v>
      </c>
      <c r="BJ108" s="121">
        <v>0</v>
      </c>
      <c r="BK108" s="134">
        <v>33357878</v>
      </c>
      <c r="BL108" s="934">
        <v>4851</v>
      </c>
      <c r="BM108" s="934">
        <v>5009</v>
      </c>
      <c r="BN108" s="934">
        <v>4992</v>
      </c>
      <c r="BO108" s="114">
        <v>0</v>
      </c>
      <c r="BP108" s="114">
        <v>0</v>
      </c>
    </row>
    <row r="109" spans="1:68">
      <c r="A109" t="s">
        <v>2893</v>
      </c>
      <c r="B109" t="s">
        <v>2362</v>
      </c>
      <c r="C109" s="121">
        <v>4751</v>
      </c>
      <c r="D109" s="72">
        <v>2</v>
      </c>
      <c r="E109">
        <v>78.010999999999996</v>
      </c>
      <c r="F109">
        <v>28</v>
      </c>
      <c r="G109">
        <v>19</v>
      </c>
      <c r="H109">
        <v>2</v>
      </c>
      <c r="I109" s="173">
        <v>1.04</v>
      </c>
      <c r="J109" s="121">
        <v>113195354</v>
      </c>
      <c r="K109" s="125">
        <v>438.12599999999998</v>
      </c>
      <c r="L109" s="173">
        <v>1.325</v>
      </c>
      <c r="M109">
        <v>1.04</v>
      </c>
      <c r="N109">
        <v>0.88333333775</v>
      </c>
      <c r="O109">
        <v>15.666666225000004</v>
      </c>
      <c r="P109">
        <v>239.27799999999999</v>
      </c>
      <c r="Q109" s="125">
        <v>0</v>
      </c>
      <c r="R109" s="125">
        <v>0</v>
      </c>
      <c r="S109" s="125">
        <v>0.38100000000000001</v>
      </c>
      <c r="T109" s="125">
        <v>10.358000000000001</v>
      </c>
      <c r="U109" s="125">
        <v>1.7769999999999999</v>
      </c>
      <c r="V109" s="125">
        <v>0</v>
      </c>
      <c r="W109" s="125">
        <v>0</v>
      </c>
      <c r="X109" s="125">
        <v>0</v>
      </c>
      <c r="Y109" s="125">
        <v>0</v>
      </c>
      <c r="Z109" s="125">
        <v>2.4980000000000002</v>
      </c>
      <c r="AA109" s="125">
        <v>5.899</v>
      </c>
      <c r="AB109" s="125">
        <v>15.250999999999999</v>
      </c>
      <c r="AC109" s="125">
        <v>176.3</v>
      </c>
      <c r="AD109" s="125">
        <v>0</v>
      </c>
      <c r="AE109" s="125">
        <v>5.6280000000000001</v>
      </c>
      <c r="AF109" s="125">
        <v>11.963900000000001</v>
      </c>
      <c r="AG109" s="125">
        <v>0</v>
      </c>
      <c r="AH109" s="125">
        <v>0</v>
      </c>
      <c r="AI109" s="121">
        <v>1058655</v>
      </c>
      <c r="AJ109" s="121">
        <v>127486</v>
      </c>
      <c r="AK109" s="424">
        <v>12</v>
      </c>
      <c r="AL109">
        <v>0</v>
      </c>
      <c r="AM109" s="121">
        <v>47995</v>
      </c>
      <c r="AN109" s="125">
        <v>0</v>
      </c>
      <c r="AO109" s="125">
        <v>0</v>
      </c>
      <c r="AP109" s="121">
        <v>1186141</v>
      </c>
      <c r="AQ109" s="114">
        <v>0</v>
      </c>
      <c r="AR109" s="121">
        <v>75.451438323999994</v>
      </c>
      <c r="AS109" s="121">
        <v>14826.444566</v>
      </c>
      <c r="AT109" s="121">
        <v>1952.6361007999999</v>
      </c>
      <c r="AU109" s="420" t="s">
        <v>2001</v>
      </c>
      <c r="AV109" s="420" t="s">
        <v>2001</v>
      </c>
      <c r="AW109" s="121">
        <v>0</v>
      </c>
      <c r="AX109" s="121">
        <v>158892</v>
      </c>
      <c r="BI109">
        <v>0</v>
      </c>
      <c r="BJ109" s="121">
        <v>0</v>
      </c>
      <c r="BK109" s="134">
        <v>108928577</v>
      </c>
      <c r="BL109" s="934">
        <v>4392</v>
      </c>
      <c r="BM109" s="934">
        <v>4751</v>
      </c>
      <c r="BN109" s="934">
        <v>4655</v>
      </c>
      <c r="BO109" s="114">
        <v>0</v>
      </c>
      <c r="BP109" s="114">
        <v>0</v>
      </c>
    </row>
    <row r="110" spans="1:68">
      <c r="A110" t="s">
        <v>1354</v>
      </c>
      <c r="B110" t="s">
        <v>3074</v>
      </c>
      <c r="C110" s="121">
        <v>4228</v>
      </c>
      <c r="D110" s="72">
        <v>3</v>
      </c>
      <c r="E110">
        <v>49.045000000000002</v>
      </c>
      <c r="F110">
        <v>20</v>
      </c>
      <c r="G110">
        <v>10</v>
      </c>
      <c r="H110">
        <v>1</v>
      </c>
      <c r="I110" s="173">
        <v>1.04</v>
      </c>
      <c r="J110" s="121">
        <v>29318640</v>
      </c>
      <c r="K110" s="125">
        <v>334.73399999999998</v>
      </c>
      <c r="L110" s="173">
        <v>1.375</v>
      </c>
      <c r="M110">
        <v>1.04</v>
      </c>
      <c r="N110">
        <v>0.91666667125000001</v>
      </c>
      <c r="O110">
        <v>12.333332875000004</v>
      </c>
      <c r="P110">
        <v>192</v>
      </c>
      <c r="Q110" s="125">
        <v>0</v>
      </c>
      <c r="R110" s="125">
        <v>0</v>
      </c>
      <c r="S110" s="125">
        <v>0.3</v>
      </c>
      <c r="T110" s="125">
        <v>9.1</v>
      </c>
      <c r="U110" s="125">
        <v>0</v>
      </c>
      <c r="V110" s="125">
        <v>1.2</v>
      </c>
      <c r="W110" s="125">
        <v>0</v>
      </c>
      <c r="X110" s="125">
        <v>0</v>
      </c>
      <c r="Y110" s="125">
        <v>0</v>
      </c>
      <c r="Z110" s="125">
        <v>0</v>
      </c>
      <c r="AA110" s="125">
        <v>0.6</v>
      </c>
      <c r="AB110" s="125">
        <v>10</v>
      </c>
      <c r="AC110" s="125">
        <v>122</v>
      </c>
      <c r="AD110" s="125">
        <v>0</v>
      </c>
      <c r="AE110" s="125">
        <v>1.2</v>
      </c>
      <c r="AF110" s="125">
        <v>9</v>
      </c>
      <c r="AG110" s="125">
        <v>0</v>
      </c>
      <c r="AH110" s="125">
        <v>0</v>
      </c>
      <c r="AI110" s="121">
        <v>316958</v>
      </c>
      <c r="AJ110" s="121">
        <v>9970</v>
      </c>
      <c r="AK110" s="424">
        <v>12</v>
      </c>
      <c r="AL110">
        <v>0</v>
      </c>
      <c r="AM110" s="121">
        <v>17475</v>
      </c>
      <c r="AN110" s="125">
        <v>0</v>
      </c>
      <c r="AO110" s="125">
        <v>0</v>
      </c>
      <c r="AP110" s="121">
        <v>326928</v>
      </c>
      <c r="AQ110" s="114">
        <v>0</v>
      </c>
      <c r="AR110" s="121">
        <v>19.54261795</v>
      </c>
      <c r="AS110" s="121">
        <v>3840.1857955999999</v>
      </c>
      <c r="AT110" s="121">
        <v>505.75074724000001</v>
      </c>
      <c r="AU110" s="420" t="s">
        <v>2001</v>
      </c>
      <c r="AV110" s="420" t="s">
        <v>2001</v>
      </c>
      <c r="AW110" s="121">
        <v>0</v>
      </c>
      <c r="AX110" s="121">
        <v>41738</v>
      </c>
      <c r="BI110">
        <v>0</v>
      </c>
      <c r="BJ110" s="121">
        <v>0</v>
      </c>
      <c r="BK110" s="134">
        <v>29318640</v>
      </c>
      <c r="BL110" s="934">
        <v>4169</v>
      </c>
      <c r="BM110" s="934">
        <v>4223</v>
      </c>
      <c r="BN110" s="934">
        <v>4228</v>
      </c>
      <c r="BO110" s="114">
        <v>0</v>
      </c>
      <c r="BP110" s="114">
        <v>0</v>
      </c>
    </row>
    <row r="111" spans="1:68">
      <c r="A111" t="s">
        <v>810</v>
      </c>
      <c r="B111" t="s">
        <v>2770</v>
      </c>
      <c r="C111" s="121">
        <v>4677</v>
      </c>
      <c r="D111" s="72">
        <v>1</v>
      </c>
      <c r="E111">
        <v>50.026000000000003</v>
      </c>
      <c r="F111">
        <v>18</v>
      </c>
      <c r="G111">
        <v>12</v>
      </c>
      <c r="H111">
        <v>0</v>
      </c>
      <c r="I111" s="173">
        <v>1.04</v>
      </c>
      <c r="J111" s="121">
        <v>41339883</v>
      </c>
      <c r="K111" s="125">
        <v>395.38400000000001</v>
      </c>
      <c r="L111" s="173">
        <v>1.5</v>
      </c>
      <c r="M111">
        <v>1.04</v>
      </c>
      <c r="N111">
        <v>1.000000005</v>
      </c>
      <c r="O111">
        <v>3.9999995000000066</v>
      </c>
      <c r="P111">
        <v>208</v>
      </c>
      <c r="Q111" s="125">
        <v>0</v>
      </c>
      <c r="R111" s="125">
        <v>0</v>
      </c>
      <c r="S111" s="125">
        <v>1</v>
      </c>
      <c r="T111" s="125">
        <v>5.9459999999999997</v>
      </c>
      <c r="U111" s="125">
        <v>3</v>
      </c>
      <c r="V111" s="125">
        <v>0</v>
      </c>
      <c r="W111" s="125">
        <v>0</v>
      </c>
      <c r="X111" s="125">
        <v>0</v>
      </c>
      <c r="Y111" s="125">
        <v>0</v>
      </c>
      <c r="Z111" s="125">
        <v>4.944</v>
      </c>
      <c r="AA111" s="125">
        <v>13</v>
      </c>
      <c r="AB111" s="125">
        <v>5.407</v>
      </c>
      <c r="AC111" s="125">
        <v>130</v>
      </c>
      <c r="AD111" s="125">
        <v>0</v>
      </c>
      <c r="AE111" s="125">
        <v>0</v>
      </c>
      <c r="AF111" s="125">
        <v>10.4</v>
      </c>
      <c r="AG111" s="125">
        <v>0</v>
      </c>
      <c r="AH111" s="125">
        <v>0</v>
      </c>
      <c r="AI111" s="121">
        <v>442403</v>
      </c>
      <c r="AJ111" s="121">
        <v>45785</v>
      </c>
      <c r="AK111" s="424">
        <v>12</v>
      </c>
      <c r="AL111">
        <v>0</v>
      </c>
      <c r="AM111" s="121">
        <v>19450</v>
      </c>
      <c r="AN111" s="125">
        <v>0</v>
      </c>
      <c r="AO111" s="125">
        <v>0</v>
      </c>
      <c r="AP111" s="121">
        <v>488188</v>
      </c>
      <c r="AQ111" s="114">
        <v>0</v>
      </c>
      <c r="AR111" s="121">
        <v>27.555491645</v>
      </c>
      <c r="AS111" s="121">
        <v>5414.7406388999998</v>
      </c>
      <c r="AT111" s="121">
        <v>713.11891404999994</v>
      </c>
      <c r="AU111" s="420" t="s">
        <v>2001</v>
      </c>
      <c r="AV111" s="420" t="s">
        <v>2001</v>
      </c>
      <c r="AW111" s="121">
        <v>0</v>
      </c>
      <c r="AX111" s="121">
        <v>136665</v>
      </c>
      <c r="BI111">
        <v>0</v>
      </c>
      <c r="BJ111" s="121">
        <v>0</v>
      </c>
      <c r="BK111" s="134">
        <v>41339883</v>
      </c>
      <c r="BL111" s="934">
        <v>4677</v>
      </c>
      <c r="BM111" s="934">
        <v>4673</v>
      </c>
      <c r="BN111" s="934">
        <v>4669</v>
      </c>
      <c r="BO111" s="114">
        <v>0</v>
      </c>
      <c r="BP111" s="114">
        <v>0</v>
      </c>
    </row>
    <row r="112" spans="1:68">
      <c r="A112" t="s">
        <v>872</v>
      </c>
      <c r="B112" t="s">
        <v>1214</v>
      </c>
      <c r="C112" s="121">
        <v>4786</v>
      </c>
      <c r="D112" s="72">
        <v>3</v>
      </c>
      <c r="E112">
        <v>382.07400000000001</v>
      </c>
      <c r="F112">
        <v>127</v>
      </c>
      <c r="G112">
        <v>79</v>
      </c>
      <c r="H112">
        <v>1</v>
      </c>
      <c r="I112" s="173">
        <v>1.04</v>
      </c>
      <c r="J112" s="121">
        <v>200420889</v>
      </c>
      <c r="K112" s="125">
        <v>1876.5419999999999</v>
      </c>
      <c r="L112" s="173">
        <v>1.4530000000000001</v>
      </c>
      <c r="M112">
        <v>1.04</v>
      </c>
      <c r="N112">
        <v>0.96866667151000008</v>
      </c>
      <c r="O112">
        <v>7.1333328489999959</v>
      </c>
      <c r="P112">
        <v>1294.8140000000001</v>
      </c>
      <c r="Q112" s="125">
        <v>0</v>
      </c>
      <c r="R112" s="125">
        <v>0</v>
      </c>
      <c r="S112" s="125">
        <v>2.758</v>
      </c>
      <c r="T112" s="125">
        <v>36.384</v>
      </c>
      <c r="U112" s="125">
        <v>16.167000000000002</v>
      </c>
      <c r="V112" s="125">
        <v>0</v>
      </c>
      <c r="W112" s="125">
        <v>2.843</v>
      </c>
      <c r="X112" s="125">
        <v>0</v>
      </c>
      <c r="Y112" s="125">
        <v>0</v>
      </c>
      <c r="Z112" s="125">
        <v>22.864000000000001</v>
      </c>
      <c r="AA112" s="125">
        <v>30.449000000000002</v>
      </c>
      <c r="AB112" s="125">
        <v>57.38</v>
      </c>
      <c r="AC112" s="125">
        <v>593.20000000000005</v>
      </c>
      <c r="AD112" s="125">
        <v>0.34300000000000003</v>
      </c>
      <c r="AE112" s="125">
        <v>16.286999999999999</v>
      </c>
      <c r="AF112" s="125">
        <v>64.740700000000004</v>
      </c>
      <c r="AG112" s="125">
        <v>0</v>
      </c>
      <c r="AH112" s="125">
        <v>0</v>
      </c>
      <c r="AI112" s="121">
        <v>2129251</v>
      </c>
      <c r="AJ112" s="121">
        <v>52974</v>
      </c>
      <c r="AK112" s="424">
        <v>12</v>
      </c>
      <c r="AL112">
        <v>0</v>
      </c>
      <c r="AM112" s="121">
        <v>62793</v>
      </c>
      <c r="AN112" s="125">
        <v>0</v>
      </c>
      <c r="AO112" s="125">
        <v>0</v>
      </c>
      <c r="AP112" s="121">
        <v>2182225</v>
      </c>
      <c r="AQ112" s="114">
        <v>0</v>
      </c>
      <c r="AR112" s="121">
        <v>133.59244709000001</v>
      </c>
      <c r="AS112" s="121">
        <v>26251.335363999999</v>
      </c>
      <c r="AT112" s="121">
        <v>3457.2890957999998</v>
      </c>
      <c r="AU112" s="420" t="s">
        <v>2001</v>
      </c>
      <c r="AV112" s="420" t="s">
        <v>2001</v>
      </c>
      <c r="AW112" s="121">
        <v>0</v>
      </c>
      <c r="AX112" s="121">
        <v>1174240</v>
      </c>
      <c r="BI112">
        <v>0</v>
      </c>
      <c r="BJ112" s="121">
        <v>0</v>
      </c>
      <c r="BK112" s="134">
        <v>200420889</v>
      </c>
      <c r="BL112" s="934">
        <v>4608</v>
      </c>
      <c r="BM112" s="934">
        <v>4780</v>
      </c>
      <c r="BN112" s="934">
        <v>4786</v>
      </c>
      <c r="BO112" s="114">
        <v>0</v>
      </c>
      <c r="BP112" s="114">
        <v>0</v>
      </c>
    </row>
    <row r="113" spans="1:68">
      <c r="A113" t="s">
        <v>748</v>
      </c>
      <c r="B113" t="s">
        <v>1792</v>
      </c>
      <c r="C113" s="121">
        <v>5187</v>
      </c>
      <c r="D113" s="72">
        <v>2</v>
      </c>
      <c r="E113">
        <v>510.233</v>
      </c>
      <c r="F113">
        <v>149</v>
      </c>
      <c r="G113">
        <v>141</v>
      </c>
      <c r="H113">
        <v>4</v>
      </c>
      <c r="I113" s="173">
        <v>1.04</v>
      </c>
      <c r="J113" s="121">
        <v>649220539</v>
      </c>
      <c r="K113" s="125">
        <v>2488.2379999999998</v>
      </c>
      <c r="L113" s="173">
        <v>1.5</v>
      </c>
      <c r="M113">
        <v>1.04</v>
      </c>
      <c r="N113">
        <v>1.000000005</v>
      </c>
      <c r="O113">
        <v>3.9999995000000066</v>
      </c>
      <c r="P113">
        <v>1760</v>
      </c>
      <c r="Q113" s="125">
        <v>0</v>
      </c>
      <c r="R113" s="125">
        <v>0</v>
      </c>
      <c r="S113" s="125">
        <v>3.5</v>
      </c>
      <c r="T113" s="125">
        <v>43.5</v>
      </c>
      <c r="U113" s="125">
        <v>19</v>
      </c>
      <c r="V113" s="125">
        <v>0</v>
      </c>
      <c r="W113" s="125">
        <v>7.5</v>
      </c>
      <c r="X113" s="125">
        <v>0</v>
      </c>
      <c r="Y113" s="125">
        <v>0</v>
      </c>
      <c r="Z113" s="125">
        <v>0</v>
      </c>
      <c r="AA113" s="125">
        <v>60</v>
      </c>
      <c r="AB113" s="125">
        <v>97</v>
      </c>
      <c r="AC113" s="125">
        <v>980</v>
      </c>
      <c r="AD113" s="125">
        <v>0</v>
      </c>
      <c r="AE113" s="125">
        <v>142</v>
      </c>
      <c r="AF113" s="125">
        <v>88</v>
      </c>
      <c r="AG113" s="125">
        <v>0</v>
      </c>
      <c r="AH113" s="125">
        <v>0</v>
      </c>
      <c r="AI113" s="121">
        <v>6704432</v>
      </c>
      <c r="AJ113" s="121">
        <v>564626</v>
      </c>
      <c r="AK113" s="424">
        <v>12</v>
      </c>
      <c r="AL113">
        <v>0</v>
      </c>
      <c r="AM113" s="121">
        <v>242150</v>
      </c>
      <c r="AN113" s="125">
        <v>0</v>
      </c>
      <c r="AO113" s="125">
        <v>0</v>
      </c>
      <c r="AP113" s="121">
        <v>7269058</v>
      </c>
      <c r="AQ113" s="114">
        <v>0</v>
      </c>
      <c r="AR113" s="121">
        <v>432.74411614000002</v>
      </c>
      <c r="AS113" s="121">
        <v>85035.577739999993</v>
      </c>
      <c r="AT113" s="121">
        <v>11199.147456000001</v>
      </c>
      <c r="AU113" s="420" t="s">
        <v>2001</v>
      </c>
      <c r="AV113" s="420" t="s">
        <v>2001</v>
      </c>
      <c r="AW113" s="121">
        <v>0</v>
      </c>
      <c r="AX113" s="121">
        <v>707959</v>
      </c>
      <c r="BI113">
        <v>0</v>
      </c>
      <c r="BJ113" s="121">
        <v>0</v>
      </c>
      <c r="BK113" s="134">
        <v>613958980</v>
      </c>
      <c r="BL113" s="934">
        <v>5081</v>
      </c>
      <c r="BM113" s="934">
        <v>5187</v>
      </c>
      <c r="BN113" s="934">
        <v>5137</v>
      </c>
      <c r="BO113" s="114">
        <v>0</v>
      </c>
      <c r="BP113" s="114">
        <v>0</v>
      </c>
    </row>
    <row r="114" spans="1:68">
      <c r="A114" t="s">
        <v>749</v>
      </c>
      <c r="B114" t="s">
        <v>1793</v>
      </c>
      <c r="C114" s="121">
        <v>4831</v>
      </c>
      <c r="D114" s="72">
        <v>1</v>
      </c>
      <c r="E114">
        <v>165.876</v>
      </c>
      <c r="F114">
        <v>47</v>
      </c>
      <c r="G114">
        <v>39</v>
      </c>
      <c r="H114">
        <v>0</v>
      </c>
      <c r="I114" s="173">
        <v>1.04</v>
      </c>
      <c r="J114" s="121">
        <v>189234169</v>
      </c>
      <c r="K114" s="125">
        <v>850.13</v>
      </c>
      <c r="L114" s="173">
        <v>1.5</v>
      </c>
      <c r="M114">
        <v>1.04</v>
      </c>
      <c r="N114">
        <v>1.000000005</v>
      </c>
      <c r="O114">
        <v>3.9999995000000066</v>
      </c>
      <c r="P114">
        <v>480</v>
      </c>
      <c r="Q114" s="125">
        <v>0</v>
      </c>
      <c r="R114" s="125">
        <v>0</v>
      </c>
      <c r="S114" s="125">
        <v>0.53300000000000003</v>
      </c>
      <c r="T114" s="125">
        <v>26.081</v>
      </c>
      <c r="U114" s="125">
        <v>1.4410000000000001</v>
      </c>
      <c r="V114" s="125">
        <v>0</v>
      </c>
      <c r="W114" s="125">
        <v>0.78700000000000003</v>
      </c>
      <c r="X114" s="125">
        <v>0</v>
      </c>
      <c r="Y114" s="125">
        <v>0</v>
      </c>
      <c r="Z114" s="125">
        <v>0</v>
      </c>
      <c r="AA114" s="125">
        <v>13.6</v>
      </c>
      <c r="AB114" s="125">
        <v>31.428000000000001</v>
      </c>
      <c r="AC114" s="125">
        <v>341</v>
      </c>
      <c r="AD114" s="125">
        <v>0</v>
      </c>
      <c r="AE114" s="125">
        <v>9.1</v>
      </c>
      <c r="AF114" s="125">
        <v>24</v>
      </c>
      <c r="AG114" s="125">
        <v>0</v>
      </c>
      <c r="AH114" s="125">
        <v>0</v>
      </c>
      <c r="AI114" s="121">
        <v>1922442</v>
      </c>
      <c r="AJ114" s="121">
        <v>165948</v>
      </c>
      <c r="AK114" s="424">
        <v>12</v>
      </c>
      <c r="AL114">
        <v>0</v>
      </c>
      <c r="AM114" s="121">
        <v>64064</v>
      </c>
      <c r="AN114" s="125">
        <v>0</v>
      </c>
      <c r="AO114" s="125">
        <v>0</v>
      </c>
      <c r="AP114" s="121">
        <v>2088390</v>
      </c>
      <c r="AQ114" s="114">
        <v>0</v>
      </c>
      <c r="AR114" s="121">
        <v>126.13583294</v>
      </c>
      <c r="AS114" s="121">
        <v>24786.087267999999</v>
      </c>
      <c r="AT114" s="121">
        <v>3264.3165786</v>
      </c>
      <c r="AU114" s="420" t="s">
        <v>2001</v>
      </c>
      <c r="AV114" s="420" t="s">
        <v>2001</v>
      </c>
      <c r="AW114" s="121">
        <v>0</v>
      </c>
      <c r="AX114" s="121">
        <v>198185</v>
      </c>
      <c r="BI114">
        <v>0</v>
      </c>
      <c r="BJ114" s="121">
        <v>0</v>
      </c>
      <c r="BK114" s="134">
        <v>187284883</v>
      </c>
      <c r="BL114" s="934">
        <v>4831</v>
      </c>
      <c r="BM114" s="934">
        <v>4828</v>
      </c>
      <c r="BN114" s="934">
        <v>4828</v>
      </c>
      <c r="BO114" s="114">
        <v>0</v>
      </c>
      <c r="BP114" s="114">
        <v>0</v>
      </c>
    </row>
    <row r="115" spans="1:68">
      <c r="A115" t="s">
        <v>750</v>
      </c>
      <c r="B115" t="s">
        <v>1794</v>
      </c>
      <c r="C115" s="121">
        <v>4972</v>
      </c>
      <c r="D115" s="72">
        <v>2</v>
      </c>
      <c r="E115">
        <v>116.905</v>
      </c>
      <c r="F115">
        <v>52</v>
      </c>
      <c r="G115">
        <v>40</v>
      </c>
      <c r="H115">
        <v>1</v>
      </c>
      <c r="I115" s="173">
        <v>1.04</v>
      </c>
      <c r="J115" s="121">
        <v>143681554</v>
      </c>
      <c r="K115" s="125">
        <v>774.73400000000004</v>
      </c>
      <c r="L115" s="173">
        <v>1.5</v>
      </c>
      <c r="M115">
        <v>1.04</v>
      </c>
      <c r="N115">
        <v>1.000000005</v>
      </c>
      <c r="O115">
        <v>3.9999995000000066</v>
      </c>
      <c r="P115">
        <v>441.459</v>
      </c>
      <c r="Q115" s="125">
        <v>7.0000000000000001E-3</v>
      </c>
      <c r="R115" s="125">
        <v>0</v>
      </c>
      <c r="S115" s="125">
        <v>0.77700000000000002</v>
      </c>
      <c r="T115" s="125">
        <v>20.074999999999999</v>
      </c>
      <c r="U115" s="125">
        <v>1.8049999999999999</v>
      </c>
      <c r="V115" s="125">
        <v>6.3E-2</v>
      </c>
      <c r="W115" s="125">
        <v>4.649</v>
      </c>
      <c r="X115" s="125">
        <v>0</v>
      </c>
      <c r="Y115" s="125">
        <v>0</v>
      </c>
      <c r="Z115" s="125">
        <v>0</v>
      </c>
      <c r="AA115" s="125">
        <v>6.4459999999999997</v>
      </c>
      <c r="AB115" s="125">
        <v>21.225999999999999</v>
      </c>
      <c r="AC115" s="125">
        <v>315</v>
      </c>
      <c r="AD115" s="125">
        <v>0.12</v>
      </c>
      <c r="AE115" s="125">
        <v>17.713000000000001</v>
      </c>
      <c r="AF115" s="125">
        <v>22.072949999999999</v>
      </c>
      <c r="AG115" s="125">
        <v>0</v>
      </c>
      <c r="AH115" s="125">
        <v>0</v>
      </c>
      <c r="AI115" s="121">
        <v>1553313</v>
      </c>
      <c r="AJ115" s="121">
        <v>0</v>
      </c>
      <c r="AK115" s="424">
        <v>12</v>
      </c>
      <c r="AL115">
        <v>0</v>
      </c>
      <c r="AM115" s="121">
        <v>63071</v>
      </c>
      <c r="AN115" s="125">
        <v>0</v>
      </c>
      <c r="AO115" s="125">
        <v>0</v>
      </c>
      <c r="AP115" s="121">
        <v>1553313</v>
      </c>
      <c r="AQ115" s="114">
        <v>0</v>
      </c>
      <c r="AR115" s="121">
        <v>95.772304454999997</v>
      </c>
      <c r="AS115" s="121">
        <v>18819.558572999998</v>
      </c>
      <c r="AT115" s="121">
        <v>2478.5274248999999</v>
      </c>
      <c r="AU115" s="420" t="s">
        <v>2001</v>
      </c>
      <c r="AV115" s="420" t="s">
        <v>2001</v>
      </c>
      <c r="AW115" s="121">
        <v>0</v>
      </c>
      <c r="AX115" s="121">
        <v>0</v>
      </c>
      <c r="BI115">
        <v>0</v>
      </c>
      <c r="BJ115" s="121">
        <v>0</v>
      </c>
      <c r="BK115" s="134">
        <v>143681554</v>
      </c>
      <c r="BL115" s="934">
        <v>4699</v>
      </c>
      <c r="BM115" s="934">
        <v>4972</v>
      </c>
      <c r="BN115" s="934">
        <v>4924</v>
      </c>
      <c r="BO115" s="114">
        <v>0</v>
      </c>
      <c r="BP115" s="114">
        <v>0</v>
      </c>
    </row>
    <row r="116" spans="1:68">
      <c r="A116" t="s">
        <v>2154</v>
      </c>
      <c r="B116" t="s">
        <v>154</v>
      </c>
      <c r="C116" s="121">
        <v>5121</v>
      </c>
      <c r="D116" s="72">
        <v>3</v>
      </c>
      <c r="E116">
        <v>916.41800000000001</v>
      </c>
      <c r="F116">
        <v>238</v>
      </c>
      <c r="G116">
        <v>201</v>
      </c>
      <c r="H116">
        <v>44</v>
      </c>
      <c r="I116" s="173">
        <v>1.04</v>
      </c>
      <c r="J116" s="121">
        <v>1357894705</v>
      </c>
      <c r="K116" s="125">
        <v>4574.5200000000004</v>
      </c>
      <c r="L116" s="173">
        <v>1.4750000000000001</v>
      </c>
      <c r="M116">
        <v>1.04</v>
      </c>
      <c r="N116">
        <v>0.98333333825000013</v>
      </c>
      <c r="O116">
        <v>5.6666661749999907</v>
      </c>
      <c r="P116">
        <v>3280</v>
      </c>
      <c r="Q116" s="125">
        <v>0</v>
      </c>
      <c r="R116" s="125">
        <v>0</v>
      </c>
      <c r="S116" s="125">
        <v>6</v>
      </c>
      <c r="T116" s="125">
        <v>77</v>
      </c>
      <c r="U116" s="125">
        <v>20</v>
      </c>
      <c r="V116" s="125">
        <v>0</v>
      </c>
      <c r="W116" s="125">
        <v>16</v>
      </c>
      <c r="X116" s="125">
        <v>0</v>
      </c>
      <c r="Y116" s="125">
        <v>0</v>
      </c>
      <c r="Z116" s="125">
        <v>10</v>
      </c>
      <c r="AA116" s="125">
        <v>195</v>
      </c>
      <c r="AB116" s="125">
        <v>183</v>
      </c>
      <c r="AC116" s="125">
        <v>1752</v>
      </c>
      <c r="AD116" s="125">
        <v>0.7</v>
      </c>
      <c r="AE116" s="125">
        <v>194</v>
      </c>
      <c r="AF116" s="125">
        <v>164</v>
      </c>
      <c r="AG116" s="125">
        <v>0</v>
      </c>
      <c r="AH116" s="125">
        <v>0</v>
      </c>
      <c r="AI116" s="121">
        <v>14679928</v>
      </c>
      <c r="AJ116" s="121">
        <v>3017579</v>
      </c>
      <c r="AK116" s="424">
        <v>12</v>
      </c>
      <c r="AL116">
        <v>0</v>
      </c>
      <c r="AM116" s="121">
        <v>673247</v>
      </c>
      <c r="AN116" s="125">
        <v>1</v>
      </c>
      <c r="AO116" s="125">
        <v>0</v>
      </c>
      <c r="AP116" s="121">
        <v>17697507</v>
      </c>
      <c r="AQ116" s="114">
        <v>0</v>
      </c>
      <c r="AR116" s="121">
        <v>905.11761242</v>
      </c>
      <c r="AS116" s="121">
        <v>177858.45311999999</v>
      </c>
      <c r="AT116" s="121">
        <v>23423.878519999998</v>
      </c>
      <c r="AU116" s="420" t="s">
        <v>2001</v>
      </c>
      <c r="AV116" s="420" t="s">
        <v>2001</v>
      </c>
      <c r="AW116" s="121">
        <v>0</v>
      </c>
      <c r="AX116" s="121">
        <v>3247098</v>
      </c>
      <c r="BI116">
        <v>0</v>
      </c>
      <c r="BJ116" s="121">
        <v>0</v>
      </c>
      <c r="BK116" s="134">
        <v>1357894705</v>
      </c>
      <c r="BL116" s="934">
        <v>4954</v>
      </c>
      <c r="BM116" s="934">
        <v>5050</v>
      </c>
      <c r="BN116" s="934">
        <v>5121</v>
      </c>
      <c r="BO116" s="114">
        <v>0</v>
      </c>
      <c r="BP116" s="114">
        <v>0</v>
      </c>
    </row>
    <row r="117" spans="1:68">
      <c r="A117" t="s">
        <v>380</v>
      </c>
      <c r="B117" t="s">
        <v>322</v>
      </c>
      <c r="C117" s="121">
        <v>5624</v>
      </c>
      <c r="D117" s="72">
        <v>3</v>
      </c>
      <c r="E117">
        <v>1061.2370000000001</v>
      </c>
      <c r="F117">
        <v>315</v>
      </c>
      <c r="G117">
        <v>227</v>
      </c>
      <c r="H117">
        <v>56</v>
      </c>
      <c r="I117" s="173">
        <v>1.04</v>
      </c>
      <c r="J117" s="121">
        <v>2234831615</v>
      </c>
      <c r="K117" s="125">
        <v>4939.0020000000004</v>
      </c>
      <c r="L117" s="173">
        <v>1.49</v>
      </c>
      <c r="M117">
        <v>1.04</v>
      </c>
      <c r="N117">
        <v>0.99333333830000003</v>
      </c>
      <c r="O117">
        <v>4.6666661700000001</v>
      </c>
      <c r="P117">
        <v>3767.8539999999998</v>
      </c>
      <c r="Q117" s="125">
        <v>0.59199999999999997</v>
      </c>
      <c r="R117" s="125">
        <v>0</v>
      </c>
      <c r="S117" s="125">
        <v>7.5869999999999997</v>
      </c>
      <c r="T117" s="125">
        <v>87.7</v>
      </c>
      <c r="U117" s="125">
        <v>34.082000000000001</v>
      </c>
      <c r="V117" s="125">
        <v>0</v>
      </c>
      <c r="W117" s="125">
        <v>12.042999999999999</v>
      </c>
      <c r="X117" s="125">
        <v>0</v>
      </c>
      <c r="Y117" s="125">
        <v>0</v>
      </c>
      <c r="Z117" s="125">
        <v>1.2010000000000001</v>
      </c>
      <c r="AA117" s="125">
        <v>115.661</v>
      </c>
      <c r="AB117" s="125">
        <v>188.67500000000001</v>
      </c>
      <c r="AC117" s="125">
        <v>2300.8000000000002</v>
      </c>
      <c r="AD117" s="125">
        <v>1.569</v>
      </c>
      <c r="AE117" s="125">
        <v>426.15100000000001</v>
      </c>
      <c r="AF117" s="125">
        <v>188.39269999999999</v>
      </c>
      <c r="AG117" s="125">
        <v>0</v>
      </c>
      <c r="AH117" s="125">
        <v>0</v>
      </c>
      <c r="AI117" s="121">
        <v>24404361</v>
      </c>
      <c r="AJ117" s="121">
        <v>2631507</v>
      </c>
      <c r="AK117" s="424">
        <v>12</v>
      </c>
      <c r="AL117">
        <v>0</v>
      </c>
      <c r="AM117" s="121">
        <v>432530</v>
      </c>
      <c r="AN117" s="125">
        <v>1</v>
      </c>
      <c r="AO117" s="125">
        <v>0</v>
      </c>
      <c r="AP117" s="121">
        <v>27035868</v>
      </c>
      <c r="AQ117" s="114">
        <v>0</v>
      </c>
      <c r="AR117" s="121">
        <v>0</v>
      </c>
      <c r="AS117" s="121">
        <v>0</v>
      </c>
      <c r="AT117" s="121">
        <v>0</v>
      </c>
      <c r="AU117" s="420" t="s">
        <v>798</v>
      </c>
      <c r="AV117" s="420" t="s">
        <v>2001</v>
      </c>
      <c r="AW117" s="121">
        <v>0</v>
      </c>
      <c r="AX117" s="121">
        <v>2712957</v>
      </c>
      <c r="AY117" s="134">
        <v>1434573</v>
      </c>
      <c r="AZ117" s="134">
        <v>6994048</v>
      </c>
      <c r="BA117" s="134">
        <v>2870</v>
      </c>
      <c r="BB117" s="134">
        <v>523865020</v>
      </c>
      <c r="BC117" s="114">
        <v>0</v>
      </c>
      <c r="BD117" s="114">
        <v>0</v>
      </c>
      <c r="BE117" s="114">
        <v>0</v>
      </c>
      <c r="BF117" s="134">
        <v>3969</v>
      </c>
      <c r="BG117" s="114">
        <v>0</v>
      </c>
      <c r="BH117" s="114">
        <v>0</v>
      </c>
      <c r="BI117">
        <v>0</v>
      </c>
      <c r="BJ117" s="121">
        <v>0</v>
      </c>
      <c r="BK117" s="134">
        <v>2234831615</v>
      </c>
      <c r="BL117" s="934">
        <v>5358</v>
      </c>
      <c r="BM117" s="934">
        <v>5589</v>
      </c>
      <c r="BN117" s="934">
        <v>5624</v>
      </c>
      <c r="BO117" s="114">
        <v>0</v>
      </c>
      <c r="BP117" s="114">
        <v>0</v>
      </c>
    </row>
    <row r="118" spans="1:68">
      <c r="A118" t="s">
        <v>497</v>
      </c>
      <c r="B118" t="s">
        <v>2546</v>
      </c>
      <c r="C118" s="121">
        <v>4862</v>
      </c>
      <c r="D118" s="72">
        <v>2</v>
      </c>
      <c r="E118">
        <v>1191.8409999999999</v>
      </c>
      <c r="F118">
        <v>341</v>
      </c>
      <c r="G118">
        <v>304</v>
      </c>
      <c r="H118">
        <v>0</v>
      </c>
      <c r="I118" s="173">
        <v>1.04</v>
      </c>
      <c r="J118" s="121">
        <v>785132619</v>
      </c>
      <c r="K118" s="125">
        <v>5734.4989999999998</v>
      </c>
      <c r="L118" s="173">
        <v>1.5</v>
      </c>
      <c r="M118">
        <v>1.04</v>
      </c>
      <c r="N118">
        <v>1.000000005</v>
      </c>
      <c r="O118">
        <v>3.9999995000000066</v>
      </c>
      <c r="P118">
        <v>4120</v>
      </c>
      <c r="Q118" s="125">
        <v>0.46800000000000003</v>
      </c>
      <c r="R118" s="125">
        <v>0</v>
      </c>
      <c r="S118" s="125">
        <v>8.6999999999999993</v>
      </c>
      <c r="T118" s="125">
        <v>180</v>
      </c>
      <c r="U118" s="125">
        <v>38</v>
      </c>
      <c r="V118" s="125">
        <v>0</v>
      </c>
      <c r="W118" s="125">
        <v>3.7530000000000001</v>
      </c>
      <c r="X118" s="125">
        <v>0</v>
      </c>
      <c r="Y118" s="125">
        <v>0</v>
      </c>
      <c r="Z118" s="125">
        <v>29</v>
      </c>
      <c r="AA118" s="125">
        <v>22</v>
      </c>
      <c r="AB118" s="125">
        <v>175</v>
      </c>
      <c r="AC118" s="125">
        <v>2770</v>
      </c>
      <c r="AD118" s="125">
        <v>4</v>
      </c>
      <c r="AE118" s="125">
        <v>209</v>
      </c>
      <c r="AF118" s="125">
        <v>206</v>
      </c>
      <c r="AG118" s="125">
        <v>0</v>
      </c>
      <c r="AH118" s="125">
        <v>0</v>
      </c>
      <c r="AI118" s="121">
        <v>8342020</v>
      </c>
      <c r="AJ118" s="121">
        <v>1278021</v>
      </c>
      <c r="AK118" s="424">
        <v>12</v>
      </c>
      <c r="AL118">
        <v>0</v>
      </c>
      <c r="AM118" s="121">
        <v>438081</v>
      </c>
      <c r="AN118" s="125">
        <v>4</v>
      </c>
      <c r="AO118" s="125">
        <v>0</v>
      </c>
      <c r="AP118" s="121">
        <v>9620041</v>
      </c>
      <c r="AQ118" s="114">
        <v>0</v>
      </c>
      <c r="AR118" s="121">
        <v>523.33760426000003</v>
      </c>
      <c r="AS118" s="121">
        <v>102837.48264</v>
      </c>
      <c r="AT118" s="121">
        <v>13543.650349</v>
      </c>
      <c r="AU118" s="420" t="s">
        <v>2001</v>
      </c>
      <c r="AV118" s="420" t="s">
        <v>2001</v>
      </c>
      <c r="AW118" s="121">
        <v>0</v>
      </c>
      <c r="AX118" s="121">
        <v>2789873</v>
      </c>
      <c r="BI118">
        <v>0</v>
      </c>
      <c r="BJ118" s="121">
        <v>0</v>
      </c>
      <c r="BK118" s="134">
        <v>761543927</v>
      </c>
      <c r="BL118" s="934">
        <v>4636</v>
      </c>
      <c r="BM118" s="934">
        <v>4862</v>
      </c>
      <c r="BN118" s="934">
        <v>4816</v>
      </c>
      <c r="BO118" s="114">
        <v>0</v>
      </c>
      <c r="BP118" s="114">
        <v>0</v>
      </c>
    </row>
    <row r="119" spans="1:68">
      <c r="A119" t="s">
        <v>1318</v>
      </c>
      <c r="B119" t="s">
        <v>948</v>
      </c>
      <c r="C119" s="121">
        <v>4595</v>
      </c>
      <c r="D119" s="72">
        <v>2</v>
      </c>
      <c r="E119">
        <v>400.36399999999998</v>
      </c>
      <c r="F119">
        <v>124</v>
      </c>
      <c r="G119">
        <v>81</v>
      </c>
      <c r="H119">
        <v>5</v>
      </c>
      <c r="I119" s="173">
        <v>0.9</v>
      </c>
      <c r="J119" s="121">
        <v>283392555</v>
      </c>
      <c r="K119" s="125">
        <v>2114.3789999999999</v>
      </c>
      <c r="L119" s="173">
        <v>1.2849999999999999</v>
      </c>
      <c r="M119">
        <v>0.9</v>
      </c>
      <c r="N119">
        <v>0.85666667094999993</v>
      </c>
      <c r="O119">
        <v>4.3333329050000096</v>
      </c>
      <c r="P119">
        <v>1438.444</v>
      </c>
      <c r="Q119" s="125">
        <v>0.19400000000000001</v>
      </c>
      <c r="R119" s="125">
        <v>0</v>
      </c>
      <c r="S119" s="125">
        <v>1.712</v>
      </c>
      <c r="T119" s="125">
        <v>45.335999999999999</v>
      </c>
      <c r="U119" s="125">
        <v>4.1539999999999999</v>
      </c>
      <c r="V119" s="125">
        <v>0</v>
      </c>
      <c r="W119" s="125">
        <v>2.8540000000000001</v>
      </c>
      <c r="X119" s="125">
        <v>0</v>
      </c>
      <c r="Y119" s="125">
        <v>0</v>
      </c>
      <c r="Z119" s="125">
        <v>5.9580000000000002</v>
      </c>
      <c r="AA119" s="125">
        <v>25.286999999999999</v>
      </c>
      <c r="AB119" s="125">
        <v>68.510999999999996</v>
      </c>
      <c r="AC119" s="125">
        <v>1156.0999999999999</v>
      </c>
      <c r="AD119" s="125">
        <v>0.95299999999999996</v>
      </c>
      <c r="AE119" s="125">
        <v>151.67699999999999</v>
      </c>
      <c r="AF119" s="125">
        <v>71.921999999999997</v>
      </c>
      <c r="AG119" s="125">
        <v>0</v>
      </c>
      <c r="AH119" s="125">
        <v>0</v>
      </c>
      <c r="AI119" s="121">
        <v>2678060</v>
      </c>
      <c r="AJ119" s="121">
        <v>155979</v>
      </c>
      <c r="AK119" s="424">
        <v>12</v>
      </c>
      <c r="AL119">
        <v>0</v>
      </c>
      <c r="AM119" s="121">
        <v>87619</v>
      </c>
      <c r="AN119" s="125">
        <v>1</v>
      </c>
      <c r="AO119" s="125">
        <v>0</v>
      </c>
      <c r="AP119" s="121">
        <v>2834039</v>
      </c>
      <c r="AQ119" s="114">
        <v>0</v>
      </c>
      <c r="AR119" s="121">
        <v>188.89799909999999</v>
      </c>
      <c r="AS119" s="121">
        <v>37119.050005999998</v>
      </c>
      <c r="AT119" s="121">
        <v>4888.5622407999999</v>
      </c>
      <c r="AU119" s="420" t="s">
        <v>2001</v>
      </c>
      <c r="AV119" s="420" t="s">
        <v>2001</v>
      </c>
      <c r="AW119" s="121">
        <v>0</v>
      </c>
      <c r="AX119" s="121">
        <v>364260</v>
      </c>
      <c r="BI119">
        <v>0</v>
      </c>
      <c r="BJ119" s="121">
        <v>0</v>
      </c>
      <c r="BK119" s="134">
        <v>283392555</v>
      </c>
      <c r="BL119" s="934">
        <v>4301</v>
      </c>
      <c r="BM119" s="934">
        <v>4595</v>
      </c>
      <c r="BN119" s="934">
        <v>4473</v>
      </c>
      <c r="BO119" s="114">
        <v>0</v>
      </c>
      <c r="BP119" s="114">
        <v>0</v>
      </c>
    </row>
    <row r="120" spans="1:68">
      <c r="A120" t="s">
        <v>2631</v>
      </c>
      <c r="B120" t="s">
        <v>1795</v>
      </c>
      <c r="C120" s="121">
        <v>4831</v>
      </c>
      <c r="D120" s="72">
        <v>3</v>
      </c>
      <c r="E120">
        <v>63.8</v>
      </c>
      <c r="F120">
        <v>23</v>
      </c>
      <c r="G120">
        <v>12</v>
      </c>
      <c r="H120">
        <v>0</v>
      </c>
      <c r="I120" s="173">
        <v>0.9</v>
      </c>
      <c r="J120" s="121">
        <v>93076404</v>
      </c>
      <c r="K120" s="125">
        <v>326.37599999999998</v>
      </c>
      <c r="L120" s="173">
        <v>1.2</v>
      </c>
      <c r="M120">
        <v>0.9</v>
      </c>
      <c r="N120">
        <v>0.80000000400000004</v>
      </c>
      <c r="O120">
        <v>9.9999995999999989</v>
      </c>
      <c r="P120">
        <v>190</v>
      </c>
      <c r="Q120" s="125">
        <v>0</v>
      </c>
      <c r="R120" s="125">
        <v>0</v>
      </c>
      <c r="S120" s="125">
        <v>0.45</v>
      </c>
      <c r="T120" s="125">
        <v>3.33</v>
      </c>
      <c r="U120" s="125">
        <v>0</v>
      </c>
      <c r="V120" s="125">
        <v>0</v>
      </c>
      <c r="W120" s="125">
        <v>0</v>
      </c>
      <c r="X120" s="125">
        <v>0</v>
      </c>
      <c r="Y120" s="125">
        <v>0</v>
      </c>
      <c r="Z120" s="125">
        <v>0</v>
      </c>
      <c r="AA120" s="125">
        <v>1.3</v>
      </c>
      <c r="AB120" s="125">
        <v>5</v>
      </c>
      <c r="AC120" s="125">
        <v>155</v>
      </c>
      <c r="AD120" s="125">
        <v>0.17</v>
      </c>
      <c r="AE120" s="125">
        <v>1</v>
      </c>
      <c r="AF120" s="125">
        <v>9.5</v>
      </c>
      <c r="AG120" s="125">
        <v>0</v>
      </c>
      <c r="AH120" s="125">
        <v>0</v>
      </c>
      <c r="AI120" s="121">
        <v>826798</v>
      </c>
      <c r="AJ120" s="121">
        <v>0</v>
      </c>
      <c r="AK120" s="424">
        <v>12</v>
      </c>
      <c r="AL120">
        <v>0</v>
      </c>
      <c r="AM120" s="121">
        <v>16378</v>
      </c>
      <c r="AN120" s="125">
        <v>0</v>
      </c>
      <c r="AO120" s="125">
        <v>0</v>
      </c>
      <c r="AP120" s="121">
        <v>826798</v>
      </c>
      <c r="AQ120" s="114">
        <v>0</v>
      </c>
      <c r="AR120" s="121">
        <v>62.040961093</v>
      </c>
      <c r="AS120" s="121">
        <v>12191.243678000001</v>
      </c>
      <c r="AT120" s="121">
        <v>1605.5813255</v>
      </c>
      <c r="AU120" s="420" t="s">
        <v>2001</v>
      </c>
      <c r="AV120" s="420" t="s">
        <v>2001</v>
      </c>
      <c r="AW120" s="121">
        <v>0</v>
      </c>
      <c r="AX120" s="121">
        <v>0</v>
      </c>
      <c r="BI120">
        <v>0</v>
      </c>
      <c r="BJ120" s="121">
        <v>0</v>
      </c>
      <c r="BK120" s="134">
        <v>93076404</v>
      </c>
      <c r="BL120" s="934">
        <v>4604</v>
      </c>
      <c r="BM120" s="934">
        <v>4310</v>
      </c>
      <c r="BN120" s="934">
        <v>4831</v>
      </c>
      <c r="BO120" s="114">
        <v>0</v>
      </c>
      <c r="BP120" s="114">
        <v>0</v>
      </c>
    </row>
    <row r="121" spans="1:68">
      <c r="A121" t="s">
        <v>1535</v>
      </c>
      <c r="B121" t="s">
        <v>1177</v>
      </c>
      <c r="C121" s="121">
        <v>5049</v>
      </c>
      <c r="D121" s="72">
        <v>2</v>
      </c>
      <c r="E121">
        <v>1202.1669999999999</v>
      </c>
      <c r="F121">
        <v>316</v>
      </c>
      <c r="G121">
        <v>270</v>
      </c>
      <c r="H121">
        <v>14</v>
      </c>
      <c r="I121" s="173">
        <v>1.0266999999999999</v>
      </c>
      <c r="J121" s="121">
        <v>4044741198</v>
      </c>
      <c r="K121" s="125">
        <v>5437.0439999999999</v>
      </c>
      <c r="L121" s="173">
        <v>1.4176</v>
      </c>
      <c r="M121">
        <v>1.0266999999999999</v>
      </c>
      <c r="N121">
        <v>0.94506667139199996</v>
      </c>
      <c r="O121">
        <v>8.1633328607999989</v>
      </c>
      <c r="P121">
        <v>4063.674</v>
      </c>
      <c r="Q121" s="125">
        <v>0.33800000000000002</v>
      </c>
      <c r="R121" s="125">
        <v>0</v>
      </c>
      <c r="S121" s="125">
        <v>5.6859999999999999</v>
      </c>
      <c r="T121" s="125">
        <v>121.408</v>
      </c>
      <c r="U121" s="125">
        <v>38.585999999999999</v>
      </c>
      <c r="V121" s="125">
        <v>0</v>
      </c>
      <c r="W121" s="125">
        <v>5.9509999999999996</v>
      </c>
      <c r="X121" s="125">
        <v>0</v>
      </c>
      <c r="Y121" s="125">
        <v>0</v>
      </c>
      <c r="Z121" s="125">
        <v>4.5030000000000001</v>
      </c>
      <c r="AA121" s="125">
        <v>121.754</v>
      </c>
      <c r="AB121" s="125">
        <v>132.56800000000001</v>
      </c>
      <c r="AC121" s="125">
        <v>2822.1</v>
      </c>
      <c r="AD121" s="125">
        <v>2.7749999999999999</v>
      </c>
      <c r="AE121" s="125">
        <v>281.40800000000002</v>
      </c>
      <c r="AF121" s="125">
        <v>203.18369999999999</v>
      </c>
      <c r="AG121" s="125">
        <v>0</v>
      </c>
      <c r="AH121" s="125">
        <v>0</v>
      </c>
      <c r="AI121" s="121">
        <v>43212254</v>
      </c>
      <c r="AJ121" s="121">
        <v>3181</v>
      </c>
      <c r="AK121" s="424">
        <v>12</v>
      </c>
      <c r="AL121">
        <v>0</v>
      </c>
      <c r="AM121" s="121">
        <v>384230</v>
      </c>
      <c r="AN121" s="125">
        <v>0</v>
      </c>
      <c r="AO121" s="125">
        <v>0</v>
      </c>
      <c r="AP121" s="121">
        <v>43215435</v>
      </c>
      <c r="AQ121" s="114">
        <v>0</v>
      </c>
      <c r="AR121" s="121">
        <v>0</v>
      </c>
      <c r="AS121" s="121">
        <v>0</v>
      </c>
      <c r="AT121" s="121">
        <v>0</v>
      </c>
      <c r="AU121" s="420" t="s">
        <v>798</v>
      </c>
      <c r="AV121" s="420" t="s">
        <v>2001</v>
      </c>
      <c r="AW121" s="121">
        <v>0</v>
      </c>
      <c r="AX121" s="121">
        <v>0</v>
      </c>
      <c r="AY121" s="134">
        <v>6328074</v>
      </c>
      <c r="AZ121" s="134">
        <v>11649071</v>
      </c>
      <c r="BA121" s="134">
        <v>4897</v>
      </c>
      <c r="BB121" s="134">
        <v>1641078677</v>
      </c>
      <c r="BC121" s="114">
        <v>0</v>
      </c>
      <c r="BD121" s="114">
        <v>0</v>
      </c>
      <c r="BE121" s="114">
        <v>0</v>
      </c>
      <c r="BF121" s="134">
        <v>4260</v>
      </c>
      <c r="BG121" s="114">
        <v>0</v>
      </c>
      <c r="BH121" s="114">
        <v>0</v>
      </c>
      <c r="BI121">
        <v>0</v>
      </c>
      <c r="BJ121" s="121">
        <v>0</v>
      </c>
      <c r="BK121" s="134">
        <v>4008427761</v>
      </c>
      <c r="BL121" s="934">
        <v>4834</v>
      </c>
      <c r="BM121" s="934">
        <v>5049</v>
      </c>
      <c r="BN121" s="934">
        <v>4906</v>
      </c>
      <c r="BO121" s="114">
        <v>0</v>
      </c>
      <c r="BP121" s="114">
        <v>0</v>
      </c>
    </row>
    <row r="122" spans="1:68">
      <c r="A122" t="s">
        <v>2671</v>
      </c>
      <c r="B122" t="s">
        <v>1797</v>
      </c>
      <c r="C122" s="121">
        <v>4469</v>
      </c>
      <c r="D122" s="72">
        <v>3</v>
      </c>
      <c r="E122">
        <v>108.327</v>
      </c>
      <c r="F122">
        <v>36</v>
      </c>
      <c r="G122">
        <v>25</v>
      </c>
      <c r="H122">
        <v>0</v>
      </c>
      <c r="I122" s="173">
        <v>0.9</v>
      </c>
      <c r="J122" s="121">
        <v>80765141</v>
      </c>
      <c r="K122" s="125">
        <v>665.62300000000005</v>
      </c>
      <c r="L122" s="173">
        <v>1.2273000000000001</v>
      </c>
      <c r="M122">
        <v>0.9</v>
      </c>
      <c r="N122">
        <v>0.81820000409100002</v>
      </c>
      <c r="O122">
        <v>8.1799995908999996</v>
      </c>
      <c r="P122">
        <v>345</v>
      </c>
      <c r="Q122" s="125">
        <v>0.158</v>
      </c>
      <c r="R122" s="125">
        <v>0</v>
      </c>
      <c r="S122" s="125">
        <v>0.748</v>
      </c>
      <c r="T122" s="125">
        <v>8.952</v>
      </c>
      <c r="U122" s="125">
        <v>0.66800000000000004</v>
      </c>
      <c r="V122" s="125">
        <v>0.64900000000000002</v>
      </c>
      <c r="W122" s="125">
        <v>0</v>
      </c>
      <c r="X122" s="125">
        <v>0</v>
      </c>
      <c r="Y122" s="125">
        <v>0</v>
      </c>
      <c r="Z122" s="125">
        <v>0</v>
      </c>
      <c r="AA122" s="125">
        <v>6.7329999999999997</v>
      </c>
      <c r="AB122" s="125">
        <v>34.015000000000001</v>
      </c>
      <c r="AC122" s="125">
        <v>206</v>
      </c>
      <c r="AD122" s="125">
        <v>0</v>
      </c>
      <c r="AE122" s="125">
        <v>2.39</v>
      </c>
      <c r="AF122" s="125">
        <v>17.245000000000001</v>
      </c>
      <c r="AG122" s="125">
        <v>0</v>
      </c>
      <c r="AH122" s="125">
        <v>0</v>
      </c>
      <c r="AI122" s="121">
        <v>755598</v>
      </c>
      <c r="AJ122" s="121">
        <v>57813</v>
      </c>
      <c r="AK122" s="424">
        <v>12</v>
      </c>
      <c r="AL122">
        <v>0</v>
      </c>
      <c r="AM122" s="121">
        <v>58662</v>
      </c>
      <c r="AN122" s="125">
        <v>0</v>
      </c>
      <c r="AO122" s="125">
        <v>0</v>
      </c>
      <c r="AP122" s="121">
        <v>813411</v>
      </c>
      <c r="AQ122" s="114">
        <v>0</v>
      </c>
      <c r="AR122" s="121">
        <v>53.834771812</v>
      </c>
      <c r="AS122" s="121">
        <v>10578.701714999999</v>
      </c>
      <c r="AT122" s="121">
        <v>1393.2102721000001</v>
      </c>
      <c r="AU122" s="420" t="s">
        <v>2001</v>
      </c>
      <c r="AV122" s="420" t="s">
        <v>2001</v>
      </c>
      <c r="AW122" s="121">
        <v>0</v>
      </c>
      <c r="AX122" s="121">
        <v>85439</v>
      </c>
      <c r="BI122">
        <v>0</v>
      </c>
      <c r="BJ122" s="121">
        <v>0</v>
      </c>
      <c r="BK122" s="134">
        <v>80765141</v>
      </c>
      <c r="BL122" s="934">
        <v>4290</v>
      </c>
      <c r="BM122" s="934">
        <v>4211</v>
      </c>
      <c r="BN122" s="934">
        <v>4469</v>
      </c>
      <c r="BO122" s="114">
        <v>0</v>
      </c>
      <c r="BP122" s="114">
        <v>0</v>
      </c>
    </row>
    <row r="123" spans="1:68">
      <c r="A123" t="s">
        <v>811</v>
      </c>
      <c r="B123" t="s">
        <v>38</v>
      </c>
      <c r="C123" s="121">
        <v>4598</v>
      </c>
      <c r="D123" s="72">
        <v>2</v>
      </c>
      <c r="E123">
        <v>391.62400000000002</v>
      </c>
      <c r="F123">
        <v>135</v>
      </c>
      <c r="G123">
        <v>86</v>
      </c>
      <c r="H123">
        <v>0</v>
      </c>
      <c r="I123" s="173">
        <v>1.04</v>
      </c>
      <c r="J123" s="121">
        <v>305249807</v>
      </c>
      <c r="K123" s="125">
        <v>2097.58</v>
      </c>
      <c r="L123" s="173">
        <v>1.5</v>
      </c>
      <c r="M123">
        <v>1.04</v>
      </c>
      <c r="N123">
        <v>1.000000005</v>
      </c>
      <c r="O123">
        <v>3.9999995000000066</v>
      </c>
      <c r="P123">
        <v>1369.11</v>
      </c>
      <c r="Q123" s="125">
        <v>0.30199999999999999</v>
      </c>
      <c r="R123" s="125">
        <v>0</v>
      </c>
      <c r="S123" s="125">
        <v>1.78</v>
      </c>
      <c r="T123" s="125">
        <v>47.183</v>
      </c>
      <c r="U123" s="125">
        <v>6.9180000000000001</v>
      </c>
      <c r="V123" s="125">
        <v>3.6880000000000002</v>
      </c>
      <c r="W123" s="125">
        <v>1.806</v>
      </c>
      <c r="X123" s="125">
        <v>0</v>
      </c>
      <c r="Y123" s="125">
        <v>0</v>
      </c>
      <c r="Z123" s="125">
        <v>11.909000000000001</v>
      </c>
      <c r="AA123" s="125">
        <v>56.713999999999999</v>
      </c>
      <c r="AB123" s="125">
        <v>82.423000000000002</v>
      </c>
      <c r="AC123" s="125">
        <v>764.7</v>
      </c>
      <c r="AD123" s="125">
        <v>0.52900000000000003</v>
      </c>
      <c r="AE123" s="125">
        <v>10.945</v>
      </c>
      <c r="AF123" s="125">
        <v>68.455500000000001</v>
      </c>
      <c r="AG123" s="125">
        <v>0</v>
      </c>
      <c r="AH123" s="125">
        <v>0</v>
      </c>
      <c r="AI123" s="121">
        <v>3266661</v>
      </c>
      <c r="AJ123" s="121">
        <v>226026</v>
      </c>
      <c r="AK123" s="424">
        <v>12</v>
      </c>
      <c r="AL123">
        <v>0</v>
      </c>
      <c r="AM123" s="121">
        <v>147970</v>
      </c>
      <c r="AN123" s="125">
        <v>0</v>
      </c>
      <c r="AO123" s="125">
        <v>0</v>
      </c>
      <c r="AP123" s="121">
        <v>3492687</v>
      </c>
      <c r="AQ123" s="114">
        <v>0</v>
      </c>
      <c r="AR123" s="121">
        <v>203.46715800999999</v>
      </c>
      <c r="AS123" s="121">
        <v>39981.935483000001</v>
      </c>
      <c r="AT123" s="121">
        <v>5265.6029742999999</v>
      </c>
      <c r="AU123" s="420" t="s">
        <v>2001</v>
      </c>
      <c r="AV123" s="420" t="s">
        <v>2001</v>
      </c>
      <c r="AW123" s="121">
        <v>0</v>
      </c>
      <c r="AX123" s="121">
        <v>609388</v>
      </c>
      <c r="BI123">
        <v>0</v>
      </c>
      <c r="BJ123" s="121">
        <v>0</v>
      </c>
      <c r="BK123" s="134">
        <v>305249807</v>
      </c>
      <c r="BL123" s="934">
        <v>4537</v>
      </c>
      <c r="BM123" s="934">
        <v>4598</v>
      </c>
      <c r="BN123" s="934">
        <v>4598</v>
      </c>
      <c r="BO123" s="114">
        <v>0</v>
      </c>
      <c r="BP123" s="114">
        <v>0</v>
      </c>
    </row>
    <row r="124" spans="1:68">
      <c r="A124" t="s">
        <v>171</v>
      </c>
      <c r="B124" t="s">
        <v>1798</v>
      </c>
      <c r="C124" s="121">
        <v>4455</v>
      </c>
      <c r="D124" s="72">
        <v>3</v>
      </c>
      <c r="E124">
        <v>104.68899999999999</v>
      </c>
      <c r="F124">
        <v>33</v>
      </c>
      <c r="G124">
        <v>18</v>
      </c>
      <c r="H124">
        <v>0</v>
      </c>
      <c r="I124" s="173">
        <v>1.17</v>
      </c>
      <c r="J124" s="121">
        <v>89632172</v>
      </c>
      <c r="K124" s="125">
        <v>598.14599999999996</v>
      </c>
      <c r="L124" s="173">
        <v>1.3620000000000001</v>
      </c>
      <c r="M124">
        <v>1.17</v>
      </c>
      <c r="N124">
        <v>0.90800000454000007</v>
      </c>
      <c r="O124">
        <v>26.199999545999987</v>
      </c>
      <c r="P124">
        <v>275.82400000000001</v>
      </c>
      <c r="Q124" s="125">
        <v>1.6E-2</v>
      </c>
      <c r="R124" s="125">
        <v>0</v>
      </c>
      <c r="S124" s="125">
        <v>0.497</v>
      </c>
      <c r="T124" s="125">
        <v>11.377000000000001</v>
      </c>
      <c r="U124" s="125">
        <v>1.6870000000000001</v>
      </c>
      <c r="V124" s="125">
        <v>0</v>
      </c>
      <c r="W124" s="125">
        <v>1.617</v>
      </c>
      <c r="X124" s="125">
        <v>0</v>
      </c>
      <c r="Y124" s="125">
        <v>0</v>
      </c>
      <c r="Z124" s="125">
        <v>0</v>
      </c>
      <c r="AA124" s="125">
        <v>22.335999999999999</v>
      </c>
      <c r="AB124" s="125">
        <v>28.849</v>
      </c>
      <c r="AC124" s="125">
        <v>189.4</v>
      </c>
      <c r="AD124" s="125">
        <v>0.253</v>
      </c>
      <c r="AE124" s="125">
        <v>2.7930000000000001</v>
      </c>
      <c r="AF124" s="125">
        <v>13.791</v>
      </c>
      <c r="AG124" s="125">
        <v>0</v>
      </c>
      <c r="AH124" s="125">
        <v>0</v>
      </c>
      <c r="AI124" s="121">
        <v>1057086</v>
      </c>
      <c r="AJ124" s="121">
        <v>0</v>
      </c>
      <c r="AK124" s="424">
        <v>12</v>
      </c>
      <c r="AL124">
        <v>0</v>
      </c>
      <c r="AM124" s="121">
        <v>30246</v>
      </c>
      <c r="AN124" s="125">
        <v>0</v>
      </c>
      <c r="AO124" s="125">
        <v>0</v>
      </c>
      <c r="AP124" s="121">
        <v>1057086</v>
      </c>
      <c r="AQ124" s="114">
        <v>0</v>
      </c>
      <c r="AR124" s="121">
        <v>59.745175541000002</v>
      </c>
      <c r="AS124" s="121">
        <v>11740.114608</v>
      </c>
      <c r="AT124" s="121">
        <v>1546.1678293</v>
      </c>
      <c r="AU124" s="420" t="s">
        <v>2001</v>
      </c>
      <c r="AV124" s="420" t="s">
        <v>2001</v>
      </c>
      <c r="AW124" s="121">
        <v>0</v>
      </c>
      <c r="AX124" s="121">
        <v>0</v>
      </c>
      <c r="BI124">
        <v>0</v>
      </c>
      <c r="BJ124" s="121">
        <v>0</v>
      </c>
      <c r="BK124" s="134">
        <v>89632172</v>
      </c>
      <c r="BL124" s="934">
        <v>4397</v>
      </c>
      <c r="BM124" s="934">
        <v>4369</v>
      </c>
      <c r="BN124" s="934">
        <v>4455</v>
      </c>
      <c r="BO124" s="114">
        <v>0</v>
      </c>
      <c r="BP124" s="114">
        <v>0</v>
      </c>
    </row>
    <row r="125" spans="1:68">
      <c r="A125" t="s">
        <v>2090</v>
      </c>
      <c r="B125" t="s">
        <v>1799</v>
      </c>
      <c r="C125" s="121">
        <v>4720</v>
      </c>
      <c r="D125" s="72">
        <v>2</v>
      </c>
      <c r="E125">
        <v>136.36699999999999</v>
      </c>
      <c r="F125">
        <v>43</v>
      </c>
      <c r="G125">
        <v>29</v>
      </c>
      <c r="H125">
        <v>0</v>
      </c>
      <c r="I125" s="173">
        <v>1.17</v>
      </c>
      <c r="J125" s="121">
        <v>166451915</v>
      </c>
      <c r="K125" s="125">
        <v>678.51400000000001</v>
      </c>
      <c r="L125" s="173">
        <v>1.5</v>
      </c>
      <c r="M125">
        <v>1.17</v>
      </c>
      <c r="N125">
        <v>1.000000005</v>
      </c>
      <c r="O125">
        <v>16.999999499999994</v>
      </c>
      <c r="P125">
        <v>387.8</v>
      </c>
      <c r="Q125" s="125">
        <v>0</v>
      </c>
      <c r="R125" s="125">
        <v>0</v>
      </c>
      <c r="S125" s="125">
        <v>0.90800000000000003</v>
      </c>
      <c r="T125" s="125">
        <v>9.1199999999999992</v>
      </c>
      <c r="U125" s="125">
        <v>3.46</v>
      </c>
      <c r="V125" s="125">
        <v>0</v>
      </c>
      <c r="W125" s="125">
        <v>2.98</v>
      </c>
      <c r="X125" s="125">
        <v>0</v>
      </c>
      <c r="Y125" s="125">
        <v>0</v>
      </c>
      <c r="Z125" s="125">
        <v>0</v>
      </c>
      <c r="AA125" s="125">
        <v>25.5</v>
      </c>
      <c r="AB125" s="125">
        <v>35.840000000000003</v>
      </c>
      <c r="AC125" s="125">
        <v>231.1</v>
      </c>
      <c r="AD125" s="125">
        <v>0</v>
      </c>
      <c r="AE125" s="125">
        <v>5</v>
      </c>
      <c r="AF125" s="125">
        <v>19.39</v>
      </c>
      <c r="AG125" s="125">
        <v>0</v>
      </c>
      <c r="AH125" s="125">
        <v>0</v>
      </c>
      <c r="AI125" s="121">
        <v>1963067</v>
      </c>
      <c r="AJ125" s="121">
        <v>305006</v>
      </c>
      <c r="AK125" s="424">
        <v>12</v>
      </c>
      <c r="AL125">
        <v>0</v>
      </c>
      <c r="AM125" s="121">
        <v>42634</v>
      </c>
      <c r="AN125" s="125">
        <v>0</v>
      </c>
      <c r="AO125" s="125">
        <v>0</v>
      </c>
      <c r="AP125" s="121">
        <v>2268073</v>
      </c>
      <c r="AQ125" s="114">
        <v>0</v>
      </c>
      <c r="AR125" s="121">
        <v>110.95010483999999</v>
      </c>
      <c r="AS125" s="121">
        <v>21802.044011000002</v>
      </c>
      <c r="AT125" s="121">
        <v>2871.3194196999998</v>
      </c>
      <c r="AU125" s="420" t="s">
        <v>2001</v>
      </c>
      <c r="AV125" s="420" t="s">
        <v>2001</v>
      </c>
      <c r="AW125" s="121">
        <v>0</v>
      </c>
      <c r="AX125" s="121">
        <v>358713</v>
      </c>
      <c r="BI125">
        <v>0</v>
      </c>
      <c r="BJ125" s="121">
        <v>0</v>
      </c>
      <c r="BK125" s="134">
        <v>166451915</v>
      </c>
      <c r="BL125" s="934">
        <v>4552</v>
      </c>
      <c r="BM125" s="934">
        <v>4720</v>
      </c>
      <c r="BN125" s="934">
        <v>4720</v>
      </c>
      <c r="BO125" s="114">
        <v>0</v>
      </c>
      <c r="BP125" s="114">
        <v>0</v>
      </c>
    </row>
    <row r="126" spans="1:68">
      <c r="A126" t="s">
        <v>993</v>
      </c>
      <c r="B126" t="s">
        <v>3031</v>
      </c>
      <c r="C126" s="121">
        <v>4622</v>
      </c>
      <c r="D126" s="72">
        <v>2</v>
      </c>
      <c r="E126">
        <v>11419.213</v>
      </c>
      <c r="F126">
        <v>3418</v>
      </c>
      <c r="G126">
        <v>3656</v>
      </c>
      <c r="H126">
        <v>0</v>
      </c>
      <c r="I126" s="173">
        <v>1.0190999999999999</v>
      </c>
      <c r="J126" s="121">
        <v>4678026242</v>
      </c>
      <c r="K126" s="125">
        <v>70291.843999999997</v>
      </c>
      <c r="L126" s="173">
        <v>1.4387000000000001</v>
      </c>
      <c r="M126">
        <v>1.0190999999999999</v>
      </c>
      <c r="N126">
        <v>0.95913333812900003</v>
      </c>
      <c r="O126">
        <v>5.9966661870999864</v>
      </c>
      <c r="P126">
        <v>47721.048000000003</v>
      </c>
      <c r="Q126" s="125">
        <v>5.2809999999999997</v>
      </c>
      <c r="R126" s="125">
        <v>0</v>
      </c>
      <c r="S126" s="125">
        <v>61.698999999999998</v>
      </c>
      <c r="T126" s="125">
        <v>1981.4159999999999</v>
      </c>
      <c r="U126" s="125">
        <v>427.63</v>
      </c>
      <c r="V126" s="125">
        <v>0</v>
      </c>
      <c r="W126" s="125">
        <v>40.462000000000003</v>
      </c>
      <c r="X126" s="125">
        <v>0</v>
      </c>
      <c r="Y126" s="125">
        <v>0</v>
      </c>
      <c r="Z126" s="125">
        <v>4.6580000000000004</v>
      </c>
      <c r="AA126" s="125">
        <v>302.01</v>
      </c>
      <c r="AB126" s="125">
        <v>1979.856</v>
      </c>
      <c r="AC126" s="125">
        <v>47243.8</v>
      </c>
      <c r="AD126" s="125">
        <v>14.824999999999999</v>
      </c>
      <c r="AE126" s="125">
        <v>21824.79</v>
      </c>
      <c r="AF126" s="125">
        <v>2386.0520000000001</v>
      </c>
      <c r="AG126" s="125">
        <v>0</v>
      </c>
      <c r="AH126" s="125">
        <v>0</v>
      </c>
      <c r="AI126" s="121">
        <v>48925643</v>
      </c>
      <c r="AJ126" s="121">
        <v>3685228</v>
      </c>
      <c r="AK126" s="424">
        <v>12</v>
      </c>
      <c r="AL126">
        <v>0</v>
      </c>
      <c r="AM126" s="121">
        <v>2111485</v>
      </c>
      <c r="AN126" s="125">
        <v>0</v>
      </c>
      <c r="AO126" s="125">
        <v>1</v>
      </c>
      <c r="AP126" s="121">
        <v>52610871</v>
      </c>
      <c r="AQ126" s="114">
        <v>0</v>
      </c>
      <c r="AR126" s="121">
        <v>3118.1828217000002</v>
      </c>
      <c r="AS126" s="121">
        <v>612732.71628000005</v>
      </c>
      <c r="AT126" s="121">
        <v>80696.623970000001</v>
      </c>
      <c r="AU126" s="420" t="s">
        <v>2001</v>
      </c>
      <c r="AV126" s="420" t="s">
        <v>2001</v>
      </c>
      <c r="AW126" s="121">
        <v>0</v>
      </c>
      <c r="AX126" s="121">
        <v>16614487</v>
      </c>
      <c r="BI126">
        <v>0</v>
      </c>
      <c r="BJ126" s="121">
        <v>0</v>
      </c>
      <c r="BK126" s="134">
        <v>4665566263</v>
      </c>
      <c r="BL126" s="934">
        <v>4570</v>
      </c>
      <c r="BM126" s="934">
        <v>4622</v>
      </c>
      <c r="BN126" s="934">
        <v>4598</v>
      </c>
      <c r="BO126" s="114">
        <v>0</v>
      </c>
      <c r="BP126" s="114">
        <v>0</v>
      </c>
    </row>
    <row r="127" spans="1:68">
      <c r="A127" t="s">
        <v>2126</v>
      </c>
      <c r="B127" t="s">
        <v>41</v>
      </c>
      <c r="C127" s="121">
        <v>4702</v>
      </c>
      <c r="D127" s="72">
        <v>3</v>
      </c>
      <c r="E127">
        <v>4464.0339999999997</v>
      </c>
      <c r="F127">
        <v>1220</v>
      </c>
      <c r="G127">
        <v>1137</v>
      </c>
      <c r="H127">
        <v>4</v>
      </c>
      <c r="I127" s="173">
        <v>1.04</v>
      </c>
      <c r="J127" s="121">
        <v>2841215687</v>
      </c>
      <c r="K127" s="125">
        <v>22746.859</v>
      </c>
      <c r="L127" s="173">
        <v>1.4650000000000001</v>
      </c>
      <c r="M127">
        <v>1.04</v>
      </c>
      <c r="N127">
        <v>0.97666667155000009</v>
      </c>
      <c r="O127">
        <v>6.3333328449999948</v>
      </c>
      <c r="P127">
        <v>16485.516</v>
      </c>
      <c r="Q127" s="125">
        <v>0.85199999999999998</v>
      </c>
      <c r="R127" s="125">
        <v>2.504</v>
      </c>
      <c r="S127" s="125">
        <v>20.773</v>
      </c>
      <c r="T127" s="125">
        <v>309.87200000000001</v>
      </c>
      <c r="U127" s="125">
        <v>194.678</v>
      </c>
      <c r="V127" s="125">
        <v>0.70199999999999996</v>
      </c>
      <c r="W127" s="125">
        <v>12.928000000000001</v>
      </c>
      <c r="X127" s="125">
        <v>0</v>
      </c>
      <c r="Y127" s="125">
        <v>0</v>
      </c>
      <c r="Z127" s="125">
        <v>11.92</v>
      </c>
      <c r="AA127" s="125">
        <v>269.642</v>
      </c>
      <c r="AB127" s="125">
        <v>810.29899999999998</v>
      </c>
      <c r="AC127" s="125">
        <v>14507.6</v>
      </c>
      <c r="AD127" s="125">
        <v>9.2469999999999999</v>
      </c>
      <c r="AE127" s="125">
        <v>2111.9760000000001</v>
      </c>
      <c r="AF127" s="125">
        <v>824.2758</v>
      </c>
      <c r="AG127" s="125">
        <v>0</v>
      </c>
      <c r="AH127" s="125">
        <v>0</v>
      </c>
      <c r="AI127" s="121">
        <v>30373731</v>
      </c>
      <c r="AJ127" s="121">
        <v>2258146</v>
      </c>
      <c r="AK127" s="424">
        <v>12</v>
      </c>
      <c r="AL127">
        <v>0</v>
      </c>
      <c r="AM127" s="121">
        <v>974912</v>
      </c>
      <c r="AN127" s="125">
        <v>0</v>
      </c>
      <c r="AO127" s="125">
        <v>0</v>
      </c>
      <c r="AP127" s="121">
        <v>32631877</v>
      </c>
      <c r="AQ127" s="114">
        <v>0</v>
      </c>
      <c r="AR127" s="121">
        <v>1893.8393013</v>
      </c>
      <c r="AS127" s="121">
        <v>372145.36981</v>
      </c>
      <c r="AT127" s="121">
        <v>49011.378324999998</v>
      </c>
      <c r="AU127" s="420" t="s">
        <v>2001</v>
      </c>
      <c r="AV127" s="420" t="s">
        <v>2001</v>
      </c>
      <c r="AW127" s="121">
        <v>0</v>
      </c>
      <c r="AX127" s="121">
        <v>5259561</v>
      </c>
      <c r="BI127">
        <v>0</v>
      </c>
      <c r="BJ127" s="121">
        <v>0</v>
      </c>
      <c r="BK127" s="134">
        <v>2838242010</v>
      </c>
      <c r="BL127" s="934">
        <v>4599</v>
      </c>
      <c r="BM127" s="934">
        <v>4676</v>
      </c>
      <c r="BN127" s="934">
        <v>4702</v>
      </c>
      <c r="BO127" s="114">
        <v>0</v>
      </c>
      <c r="BP127" s="114">
        <v>0</v>
      </c>
    </row>
    <row r="128" spans="1:68">
      <c r="A128" t="s">
        <v>64</v>
      </c>
      <c r="B128" t="s">
        <v>2148</v>
      </c>
      <c r="C128" s="121">
        <v>4568</v>
      </c>
      <c r="D128" s="72">
        <v>2</v>
      </c>
      <c r="E128">
        <v>810.48900000000003</v>
      </c>
      <c r="F128">
        <v>248</v>
      </c>
      <c r="G128">
        <v>265</v>
      </c>
      <c r="H128">
        <v>3</v>
      </c>
      <c r="I128" s="173">
        <v>1.04</v>
      </c>
      <c r="J128" s="121">
        <v>312294033</v>
      </c>
      <c r="K128" s="125">
        <v>4526.607</v>
      </c>
      <c r="L128" s="173">
        <v>1.3640000000000001</v>
      </c>
      <c r="M128">
        <v>1.04</v>
      </c>
      <c r="N128">
        <v>0.90933333788000004</v>
      </c>
      <c r="O128">
        <v>13.066666211999999</v>
      </c>
      <c r="P128">
        <v>3162</v>
      </c>
      <c r="Q128" s="125">
        <v>0.318</v>
      </c>
      <c r="R128" s="125">
        <v>0</v>
      </c>
      <c r="S128" s="125">
        <v>4.2489999999999997</v>
      </c>
      <c r="T128" s="125">
        <v>68.093000000000004</v>
      </c>
      <c r="U128" s="125">
        <v>18.248999999999999</v>
      </c>
      <c r="V128" s="125">
        <v>0</v>
      </c>
      <c r="W128" s="125">
        <v>0</v>
      </c>
      <c r="X128" s="125">
        <v>0</v>
      </c>
      <c r="Y128" s="125">
        <v>0</v>
      </c>
      <c r="Z128" s="125">
        <v>0</v>
      </c>
      <c r="AA128" s="125">
        <v>51.645000000000003</v>
      </c>
      <c r="AB128" s="125">
        <v>124.959</v>
      </c>
      <c r="AC128" s="125">
        <v>2934.7</v>
      </c>
      <c r="AD128" s="125">
        <v>0.38600000000000001</v>
      </c>
      <c r="AE128" s="125">
        <v>417.18799999999999</v>
      </c>
      <c r="AF128" s="125">
        <v>151.63300000000001</v>
      </c>
      <c r="AG128" s="125">
        <v>0</v>
      </c>
      <c r="AH128" s="125">
        <v>0</v>
      </c>
      <c r="AI128" s="121">
        <v>3376148</v>
      </c>
      <c r="AJ128" s="121">
        <v>639680</v>
      </c>
      <c r="AK128" s="424">
        <v>12</v>
      </c>
      <c r="AL128">
        <v>0</v>
      </c>
      <c r="AM128" s="121">
        <v>169471</v>
      </c>
      <c r="AN128" s="125">
        <v>0</v>
      </c>
      <c r="AO128" s="125">
        <v>0</v>
      </c>
      <c r="AP128" s="121">
        <v>4015828</v>
      </c>
      <c r="AQ128" s="114">
        <v>0</v>
      </c>
      <c r="AR128" s="121">
        <v>208.16255375</v>
      </c>
      <c r="AS128" s="121">
        <v>40904.595492</v>
      </c>
      <c r="AT128" s="121">
        <v>5387.1168835999997</v>
      </c>
      <c r="AU128" s="420" t="s">
        <v>2001</v>
      </c>
      <c r="AV128" s="420" t="s">
        <v>2001</v>
      </c>
      <c r="AW128" s="121">
        <v>0</v>
      </c>
      <c r="AX128" s="121">
        <v>2468795</v>
      </c>
      <c r="BI128">
        <v>0</v>
      </c>
      <c r="BJ128" s="121">
        <v>0</v>
      </c>
      <c r="BK128" s="134">
        <v>312294033</v>
      </c>
      <c r="BL128" s="934">
        <v>4477</v>
      </c>
      <c r="BM128" s="934">
        <v>4568</v>
      </c>
      <c r="BN128" s="934">
        <v>4565</v>
      </c>
      <c r="BO128" s="114">
        <v>0</v>
      </c>
      <c r="BP128" s="114">
        <v>0</v>
      </c>
    </row>
    <row r="129" spans="1:68">
      <c r="A129" t="s">
        <v>2606</v>
      </c>
      <c r="B129" t="s">
        <v>43</v>
      </c>
      <c r="C129" s="121">
        <v>4761</v>
      </c>
      <c r="D129" s="72">
        <v>2</v>
      </c>
      <c r="E129">
        <v>2216.5169999999998</v>
      </c>
      <c r="F129">
        <v>583</v>
      </c>
      <c r="G129">
        <v>674</v>
      </c>
      <c r="H129">
        <v>0</v>
      </c>
      <c r="I129" s="173">
        <v>1.04</v>
      </c>
      <c r="J129" s="121">
        <v>1066565485</v>
      </c>
      <c r="K129" s="125">
        <v>12962.380999999999</v>
      </c>
      <c r="L129" s="173">
        <v>1.454</v>
      </c>
      <c r="M129">
        <v>1.04</v>
      </c>
      <c r="N129">
        <v>0.96933333818</v>
      </c>
      <c r="O129">
        <v>7.0666661820000032</v>
      </c>
      <c r="P129">
        <v>9500</v>
      </c>
      <c r="Q129" s="125">
        <v>0.9</v>
      </c>
      <c r="R129" s="125">
        <v>0</v>
      </c>
      <c r="S129" s="125">
        <v>9.4</v>
      </c>
      <c r="T129" s="125">
        <v>252</v>
      </c>
      <c r="U129" s="125">
        <v>54</v>
      </c>
      <c r="V129" s="125">
        <v>0</v>
      </c>
      <c r="W129" s="125">
        <v>0</v>
      </c>
      <c r="X129" s="125">
        <v>0</v>
      </c>
      <c r="Y129" s="125">
        <v>0</v>
      </c>
      <c r="Z129" s="125">
        <v>0</v>
      </c>
      <c r="AA129" s="125">
        <v>45</v>
      </c>
      <c r="AB129" s="125">
        <v>580</v>
      </c>
      <c r="AC129" s="125">
        <v>7800</v>
      </c>
      <c r="AD129" s="125">
        <v>5</v>
      </c>
      <c r="AE129" s="125">
        <v>1950</v>
      </c>
      <c r="AF129" s="125">
        <v>440</v>
      </c>
      <c r="AG129" s="125">
        <v>0</v>
      </c>
      <c r="AH129" s="125">
        <v>0</v>
      </c>
      <c r="AI129" s="121">
        <v>11413957</v>
      </c>
      <c r="AJ129" s="121">
        <v>1112133</v>
      </c>
      <c r="AK129" s="424">
        <v>12</v>
      </c>
      <c r="AL129">
        <v>0</v>
      </c>
      <c r="AM129" s="121">
        <v>1199850</v>
      </c>
      <c r="AN129" s="125">
        <v>0</v>
      </c>
      <c r="AO129" s="125">
        <v>0</v>
      </c>
      <c r="AP129" s="121">
        <v>12526090</v>
      </c>
      <c r="AQ129" s="114">
        <v>0</v>
      </c>
      <c r="AR129" s="121">
        <v>710.92935389000002</v>
      </c>
      <c r="AS129" s="121">
        <v>139699.85052000001</v>
      </c>
      <c r="AT129" s="121">
        <v>18398.407669</v>
      </c>
      <c r="AU129" s="420" t="s">
        <v>2001</v>
      </c>
      <c r="AV129" s="420" t="s">
        <v>2001</v>
      </c>
      <c r="AW129" s="121">
        <v>0</v>
      </c>
      <c r="AX129" s="121">
        <v>5507770</v>
      </c>
      <c r="BI129">
        <v>0</v>
      </c>
      <c r="BJ129" s="121">
        <v>0</v>
      </c>
      <c r="BK129" s="134">
        <v>1066565485</v>
      </c>
      <c r="BL129" s="934">
        <v>4675</v>
      </c>
      <c r="BM129" s="934">
        <v>4761</v>
      </c>
      <c r="BN129" s="934">
        <v>4725</v>
      </c>
      <c r="BO129" s="114">
        <v>0</v>
      </c>
      <c r="BP129" s="114">
        <v>0</v>
      </c>
    </row>
    <row r="130" spans="1:68">
      <c r="A130" t="s">
        <v>1892</v>
      </c>
      <c r="B130" t="s">
        <v>1800</v>
      </c>
      <c r="C130" s="121">
        <v>5069</v>
      </c>
      <c r="D130" s="72">
        <v>3</v>
      </c>
      <c r="E130">
        <v>633.33299999999997</v>
      </c>
      <c r="F130">
        <v>185</v>
      </c>
      <c r="G130">
        <v>164</v>
      </c>
      <c r="H130">
        <v>9</v>
      </c>
      <c r="I130" s="173">
        <v>0.95179999999999998</v>
      </c>
      <c r="J130" s="121">
        <v>3092027239</v>
      </c>
      <c r="K130" s="125">
        <v>3436.9549999999999</v>
      </c>
      <c r="L130" s="173">
        <v>1.2875000000000001</v>
      </c>
      <c r="M130">
        <v>0.95179999999999998</v>
      </c>
      <c r="N130">
        <v>0.85833333762500008</v>
      </c>
      <c r="O130">
        <v>9.3466662374999903</v>
      </c>
      <c r="P130">
        <v>2472.183</v>
      </c>
      <c r="Q130" s="125">
        <v>9.8000000000000004E-2</v>
      </c>
      <c r="R130" s="125">
        <v>0</v>
      </c>
      <c r="S130" s="125">
        <v>3.2349999999999999</v>
      </c>
      <c r="T130" s="125">
        <v>58.494999999999997</v>
      </c>
      <c r="U130" s="125">
        <v>18.468</v>
      </c>
      <c r="V130" s="125">
        <v>0</v>
      </c>
      <c r="W130" s="125">
        <v>2.1720000000000002</v>
      </c>
      <c r="X130" s="125">
        <v>0</v>
      </c>
      <c r="Y130" s="125">
        <v>0</v>
      </c>
      <c r="Z130" s="125">
        <v>0</v>
      </c>
      <c r="AA130" s="125">
        <v>79.682000000000002</v>
      </c>
      <c r="AB130" s="125">
        <v>87.488</v>
      </c>
      <c r="AC130" s="125">
        <v>2180</v>
      </c>
      <c r="AD130" s="125">
        <v>1.0089999999999999</v>
      </c>
      <c r="AE130" s="125">
        <v>603.62699999999995</v>
      </c>
      <c r="AF130" s="125">
        <v>123.60899999999999</v>
      </c>
      <c r="AG130" s="125">
        <v>0</v>
      </c>
      <c r="AH130" s="125">
        <v>0</v>
      </c>
      <c r="AI130" s="121">
        <v>31210425</v>
      </c>
      <c r="AJ130" s="121">
        <v>2945281</v>
      </c>
      <c r="AK130" s="424">
        <v>12</v>
      </c>
      <c r="AL130">
        <v>0</v>
      </c>
      <c r="AM130" s="121">
        <v>162906</v>
      </c>
      <c r="AN130" s="125">
        <v>0</v>
      </c>
      <c r="AO130" s="125">
        <v>0</v>
      </c>
      <c r="AP130" s="121">
        <v>34155706</v>
      </c>
      <c r="AQ130" s="114">
        <v>0</v>
      </c>
      <c r="AR130" s="121">
        <v>0</v>
      </c>
      <c r="AS130" s="121">
        <v>0</v>
      </c>
      <c r="AT130" s="121">
        <v>0</v>
      </c>
      <c r="AU130" s="420" t="s">
        <v>798</v>
      </c>
      <c r="AV130" s="420" t="s">
        <v>2001</v>
      </c>
      <c r="AW130" s="121">
        <v>0</v>
      </c>
      <c r="AX130" s="121">
        <v>3629750</v>
      </c>
      <c r="AY130" s="134">
        <v>496644</v>
      </c>
      <c r="AZ130" s="134">
        <v>6420495</v>
      </c>
      <c r="BA130" s="134">
        <v>2732</v>
      </c>
      <c r="BB130" s="134">
        <v>849419677</v>
      </c>
      <c r="BC130" s="114">
        <v>0</v>
      </c>
      <c r="BD130" s="114">
        <v>0</v>
      </c>
      <c r="BE130" s="114">
        <v>0</v>
      </c>
      <c r="BF130" s="134">
        <v>2603</v>
      </c>
      <c r="BG130" s="114">
        <v>0</v>
      </c>
      <c r="BH130" s="114">
        <v>0</v>
      </c>
      <c r="BI130">
        <v>0</v>
      </c>
      <c r="BJ130" s="121">
        <v>10227</v>
      </c>
      <c r="BK130" s="134">
        <v>3092027239</v>
      </c>
      <c r="BL130" s="934">
        <v>4842</v>
      </c>
      <c r="BM130" s="934">
        <v>4918</v>
      </c>
      <c r="BN130" s="934">
        <v>5069</v>
      </c>
      <c r="BO130" s="114">
        <v>0</v>
      </c>
      <c r="BP130" s="114">
        <v>0</v>
      </c>
    </row>
    <row r="131" spans="1:68">
      <c r="A131" t="s">
        <v>812</v>
      </c>
      <c r="B131" t="s">
        <v>3093</v>
      </c>
      <c r="C131" s="121">
        <v>4634</v>
      </c>
      <c r="D131" s="72">
        <v>3</v>
      </c>
      <c r="E131">
        <v>586.21100000000001</v>
      </c>
      <c r="F131">
        <v>150</v>
      </c>
      <c r="G131">
        <v>196</v>
      </c>
      <c r="H131">
        <v>1</v>
      </c>
      <c r="I131" s="173">
        <v>1.04</v>
      </c>
      <c r="J131" s="121">
        <v>183178036</v>
      </c>
      <c r="K131" s="125">
        <v>3344.3389999999999</v>
      </c>
      <c r="L131" s="173">
        <v>1.47</v>
      </c>
      <c r="M131">
        <v>1.04</v>
      </c>
      <c r="N131">
        <v>0.98000000490000005</v>
      </c>
      <c r="O131">
        <v>5.9999995099999985</v>
      </c>
      <c r="P131">
        <v>2195.6309999999999</v>
      </c>
      <c r="Q131" s="125">
        <v>9.6000000000000002E-2</v>
      </c>
      <c r="R131" s="125">
        <v>0</v>
      </c>
      <c r="S131" s="125">
        <v>3.8359999999999999</v>
      </c>
      <c r="T131" s="125">
        <v>110.645</v>
      </c>
      <c r="U131" s="125">
        <v>12.211</v>
      </c>
      <c r="V131" s="125">
        <v>3.4079999999999999</v>
      </c>
      <c r="W131" s="125">
        <v>0</v>
      </c>
      <c r="X131" s="125">
        <v>0</v>
      </c>
      <c r="Y131" s="125">
        <v>1.075</v>
      </c>
      <c r="Z131" s="125">
        <v>0</v>
      </c>
      <c r="AA131" s="125">
        <v>12.515000000000001</v>
      </c>
      <c r="AB131" s="125">
        <v>85.03</v>
      </c>
      <c r="AC131" s="125">
        <v>2044.3</v>
      </c>
      <c r="AD131" s="125">
        <v>5.1999999999999998E-2</v>
      </c>
      <c r="AE131" s="125">
        <v>320.25299999999999</v>
      </c>
      <c r="AF131" s="125">
        <v>109.78155</v>
      </c>
      <c r="AG131" s="125">
        <v>0</v>
      </c>
      <c r="AH131" s="125">
        <v>0</v>
      </c>
      <c r="AI131" s="121">
        <v>1980301</v>
      </c>
      <c r="AJ131" s="121">
        <v>419123</v>
      </c>
      <c r="AK131" s="424">
        <v>12</v>
      </c>
      <c r="AL131">
        <v>0</v>
      </c>
      <c r="AM131" s="121">
        <v>245684</v>
      </c>
      <c r="AN131" s="125">
        <v>0</v>
      </c>
      <c r="AO131" s="125">
        <v>0</v>
      </c>
      <c r="AP131" s="121">
        <v>2399424</v>
      </c>
      <c r="AQ131" s="114">
        <v>0</v>
      </c>
      <c r="AR131" s="121">
        <v>122.09905965999999</v>
      </c>
      <c r="AS131" s="121">
        <v>23992.848642000001</v>
      </c>
      <c r="AT131" s="121">
        <v>3159.8474071999999</v>
      </c>
      <c r="AU131" s="420" t="s">
        <v>2001</v>
      </c>
      <c r="AV131" s="420" t="s">
        <v>2001</v>
      </c>
      <c r="AW131" s="121">
        <v>0</v>
      </c>
      <c r="AX131" s="121">
        <v>1950485</v>
      </c>
      <c r="BI131">
        <v>0</v>
      </c>
      <c r="BJ131" s="121">
        <v>0</v>
      </c>
      <c r="BK131" s="134">
        <v>183178036</v>
      </c>
      <c r="BL131" s="934">
        <v>4579</v>
      </c>
      <c r="BM131" s="934">
        <v>4630</v>
      </c>
      <c r="BN131" s="934">
        <v>4634</v>
      </c>
      <c r="BO131" s="114">
        <v>0</v>
      </c>
      <c r="BP131" s="114">
        <v>0</v>
      </c>
    </row>
    <row r="132" spans="1:68">
      <c r="A132" t="s">
        <v>1490</v>
      </c>
      <c r="B132" t="s">
        <v>46</v>
      </c>
      <c r="C132" s="121">
        <v>4579</v>
      </c>
      <c r="D132" s="72">
        <v>3</v>
      </c>
      <c r="E132">
        <v>2584.3980000000001</v>
      </c>
      <c r="F132">
        <v>710</v>
      </c>
      <c r="G132">
        <v>1621</v>
      </c>
      <c r="H132">
        <v>1</v>
      </c>
      <c r="I132" s="173">
        <v>1.04</v>
      </c>
      <c r="J132" s="121">
        <v>731633437</v>
      </c>
      <c r="K132" s="125">
        <v>14950.686</v>
      </c>
      <c r="L132" s="173">
        <v>1.4450000000000001</v>
      </c>
      <c r="M132">
        <v>1.04</v>
      </c>
      <c r="N132">
        <v>0.96333333815000011</v>
      </c>
      <c r="O132">
        <v>7.6666661849999933</v>
      </c>
      <c r="P132">
        <v>10441.48</v>
      </c>
      <c r="Q132" s="125">
        <v>2.6949999999999998</v>
      </c>
      <c r="R132" s="125">
        <v>15.023</v>
      </c>
      <c r="S132" s="125">
        <v>10.066000000000001</v>
      </c>
      <c r="T132" s="125">
        <v>225.06899999999999</v>
      </c>
      <c r="U132" s="125">
        <v>75.415999999999997</v>
      </c>
      <c r="V132" s="125">
        <v>0</v>
      </c>
      <c r="W132" s="125">
        <v>0.83599999999999997</v>
      </c>
      <c r="X132" s="125">
        <v>0</v>
      </c>
      <c r="Y132" s="125">
        <v>0</v>
      </c>
      <c r="Z132" s="125">
        <v>2.0409999999999999</v>
      </c>
      <c r="AA132" s="125">
        <v>284.98500000000001</v>
      </c>
      <c r="AB132" s="125">
        <v>702.77</v>
      </c>
      <c r="AC132" s="125">
        <v>10337.1</v>
      </c>
      <c r="AD132" s="125">
        <v>2.04</v>
      </c>
      <c r="AE132" s="125">
        <v>2281.8989999999999</v>
      </c>
      <c r="AF132" s="125">
        <v>522.07399999999996</v>
      </c>
      <c r="AG132" s="125">
        <v>0</v>
      </c>
      <c r="AH132" s="125">
        <v>0</v>
      </c>
      <c r="AI132" s="121">
        <v>7568439</v>
      </c>
      <c r="AJ132" s="121">
        <v>968471</v>
      </c>
      <c r="AK132" s="424">
        <v>12</v>
      </c>
      <c r="AL132">
        <v>0</v>
      </c>
      <c r="AM132" s="121">
        <v>964127</v>
      </c>
      <c r="AN132" s="125">
        <v>1</v>
      </c>
      <c r="AO132" s="125">
        <v>1</v>
      </c>
      <c r="AP132" s="121">
        <v>8536910</v>
      </c>
      <c r="AQ132" s="114">
        <v>0</v>
      </c>
      <c r="AR132" s="121">
        <v>487.67721597000002</v>
      </c>
      <c r="AS132" s="121">
        <v>95830.104357999997</v>
      </c>
      <c r="AT132" s="121">
        <v>12620.781771</v>
      </c>
      <c r="AU132" s="420" t="s">
        <v>2001</v>
      </c>
      <c r="AV132" s="420" t="s">
        <v>2001</v>
      </c>
      <c r="AW132" s="121">
        <v>0</v>
      </c>
      <c r="AX132" s="121">
        <v>7211540</v>
      </c>
      <c r="BI132">
        <v>0</v>
      </c>
      <c r="BJ132" s="121">
        <v>0</v>
      </c>
      <c r="BK132" s="134">
        <v>721958873</v>
      </c>
      <c r="BL132" s="934">
        <v>4539</v>
      </c>
      <c r="BM132" s="934">
        <v>4573</v>
      </c>
      <c r="BN132" s="934">
        <v>4579</v>
      </c>
      <c r="BO132" s="114">
        <v>0</v>
      </c>
      <c r="BP132" s="114">
        <v>0</v>
      </c>
    </row>
    <row r="133" spans="1:68">
      <c r="A133" t="s">
        <v>813</v>
      </c>
      <c r="B133" t="s">
        <v>99</v>
      </c>
      <c r="C133" s="121">
        <v>4317</v>
      </c>
      <c r="D133" s="72">
        <v>2</v>
      </c>
      <c r="E133">
        <v>141.10599999999999</v>
      </c>
      <c r="F133">
        <v>59</v>
      </c>
      <c r="G133">
        <v>58</v>
      </c>
      <c r="H133">
        <v>0</v>
      </c>
      <c r="I133" s="173">
        <v>1.04</v>
      </c>
      <c r="J133" s="121">
        <v>37398581</v>
      </c>
      <c r="K133" s="125">
        <v>1059.7529999999999</v>
      </c>
      <c r="L133" s="173">
        <v>1.5</v>
      </c>
      <c r="M133">
        <v>1.04</v>
      </c>
      <c r="N133">
        <v>1.000000005</v>
      </c>
      <c r="O133">
        <v>3.9999995000000066</v>
      </c>
      <c r="P133">
        <v>605.601</v>
      </c>
      <c r="Q133" s="125">
        <v>4.3999999999999997E-2</v>
      </c>
      <c r="R133" s="125">
        <v>0</v>
      </c>
      <c r="S133" s="125">
        <v>1.002</v>
      </c>
      <c r="T133" s="125">
        <v>11.831</v>
      </c>
      <c r="U133" s="125">
        <v>2.0630000000000002</v>
      </c>
      <c r="V133" s="125">
        <v>0</v>
      </c>
      <c r="W133" s="125">
        <v>0</v>
      </c>
      <c r="X133" s="125">
        <v>0</v>
      </c>
      <c r="Y133" s="125">
        <v>0</v>
      </c>
      <c r="Z133" s="125">
        <v>0</v>
      </c>
      <c r="AA133" s="125">
        <v>3.28</v>
      </c>
      <c r="AB133" s="125">
        <v>30.664999999999999</v>
      </c>
      <c r="AC133" s="125">
        <v>599.5</v>
      </c>
      <c r="AD133" s="125">
        <v>0</v>
      </c>
      <c r="AE133" s="125">
        <v>230.505</v>
      </c>
      <c r="AF133" s="125">
        <v>30.28</v>
      </c>
      <c r="AG133" s="125">
        <v>0</v>
      </c>
      <c r="AH133" s="125">
        <v>0</v>
      </c>
      <c r="AI133" s="121">
        <v>392057</v>
      </c>
      <c r="AJ133" s="121">
        <v>64088</v>
      </c>
      <c r="AK133" s="424">
        <v>8</v>
      </c>
      <c r="AL133">
        <v>0</v>
      </c>
      <c r="AM133" s="121">
        <v>0</v>
      </c>
      <c r="AN133" s="125">
        <v>0</v>
      </c>
      <c r="AO133" s="125">
        <v>0</v>
      </c>
      <c r="AP133" s="121">
        <v>456145</v>
      </c>
      <c r="AQ133" s="114">
        <v>0</v>
      </c>
      <c r="AR133" s="121">
        <v>24.928379364000001</v>
      </c>
      <c r="AS133" s="121">
        <v>4898.5048258999996</v>
      </c>
      <c r="AT133" s="121">
        <v>645.13088897</v>
      </c>
      <c r="AU133" s="420" t="s">
        <v>2001</v>
      </c>
      <c r="AV133" s="420" t="s">
        <v>2001</v>
      </c>
      <c r="AW133" s="121">
        <v>0</v>
      </c>
      <c r="AX133" s="121">
        <v>425276</v>
      </c>
      <c r="BI133">
        <v>0</v>
      </c>
      <c r="BJ133" s="121">
        <v>0</v>
      </c>
      <c r="BK133" s="134">
        <v>37398581</v>
      </c>
      <c r="BL133" s="934">
        <v>4282</v>
      </c>
      <c r="BM133" s="934">
        <v>4317</v>
      </c>
      <c r="BN133" s="934">
        <v>4301</v>
      </c>
      <c r="BO133" s="114">
        <v>0</v>
      </c>
      <c r="BP133" s="114">
        <v>0</v>
      </c>
    </row>
    <row r="134" spans="1:68">
      <c r="A134" t="s">
        <v>534</v>
      </c>
      <c r="B134" t="s">
        <v>100</v>
      </c>
      <c r="C134" s="121">
        <v>4492</v>
      </c>
      <c r="D134" s="72">
        <v>2</v>
      </c>
      <c r="E134">
        <v>329.279</v>
      </c>
      <c r="F134">
        <v>100</v>
      </c>
      <c r="G134">
        <v>84</v>
      </c>
      <c r="H134">
        <v>2</v>
      </c>
      <c r="I134" s="173">
        <v>1.04</v>
      </c>
      <c r="J134" s="121">
        <v>60317948</v>
      </c>
      <c r="K134" s="125">
        <v>1857.876</v>
      </c>
      <c r="L134" s="173">
        <v>1.46</v>
      </c>
      <c r="M134">
        <v>1.04</v>
      </c>
      <c r="N134">
        <v>0.97333333820000001</v>
      </c>
      <c r="O134">
        <v>6.6666661800000027</v>
      </c>
      <c r="P134">
        <v>1139.5060000000001</v>
      </c>
      <c r="Q134" s="125">
        <v>0</v>
      </c>
      <c r="R134" s="125">
        <v>0</v>
      </c>
      <c r="S134" s="125">
        <v>1.5529999999999999</v>
      </c>
      <c r="T134" s="125">
        <v>43.197000000000003</v>
      </c>
      <c r="U134" s="125">
        <v>6.2140000000000004</v>
      </c>
      <c r="V134" s="125">
        <v>8.1000000000000003E-2</v>
      </c>
      <c r="W134" s="125">
        <v>0</v>
      </c>
      <c r="X134" s="125">
        <v>0</v>
      </c>
      <c r="Y134" s="125">
        <v>0</v>
      </c>
      <c r="Z134" s="125">
        <v>0</v>
      </c>
      <c r="AA134" s="125">
        <v>32.726999999999997</v>
      </c>
      <c r="AB134" s="125">
        <v>43.087000000000003</v>
      </c>
      <c r="AC134" s="125">
        <v>1128.0999999999999</v>
      </c>
      <c r="AD134" s="125">
        <v>0</v>
      </c>
      <c r="AE134" s="125">
        <v>207.83199999999999</v>
      </c>
      <c r="AF134" s="125">
        <v>56.975000000000001</v>
      </c>
      <c r="AG134" s="125">
        <v>0</v>
      </c>
      <c r="AH134" s="125">
        <v>0</v>
      </c>
      <c r="AI134" s="121">
        <v>638912</v>
      </c>
      <c r="AJ134" s="121">
        <v>84399</v>
      </c>
      <c r="AK134" s="424">
        <v>12</v>
      </c>
      <c r="AL134">
        <v>0</v>
      </c>
      <c r="AM134" s="121">
        <v>84970</v>
      </c>
      <c r="AN134" s="125">
        <v>0</v>
      </c>
      <c r="AO134" s="125">
        <v>0</v>
      </c>
      <c r="AP134" s="121">
        <v>723311</v>
      </c>
      <c r="AQ134" s="114">
        <v>0</v>
      </c>
      <c r="AR134" s="121">
        <v>40.205501118000001</v>
      </c>
      <c r="AS134" s="121">
        <v>7900.5072243000004</v>
      </c>
      <c r="AT134" s="121">
        <v>1040.4932587000001</v>
      </c>
      <c r="AU134" s="420" t="s">
        <v>2001</v>
      </c>
      <c r="AV134" s="420" t="s">
        <v>2001</v>
      </c>
      <c r="AW134" s="121">
        <v>0</v>
      </c>
      <c r="AX134" s="121">
        <v>845350</v>
      </c>
      <c r="BI134">
        <v>0</v>
      </c>
      <c r="BJ134" s="121">
        <v>0</v>
      </c>
      <c r="BK134" s="134">
        <v>60317948</v>
      </c>
      <c r="BL134" s="934">
        <v>4446</v>
      </c>
      <c r="BM134" s="934">
        <v>4492</v>
      </c>
      <c r="BN134" s="934">
        <v>4468</v>
      </c>
      <c r="BO134" s="114">
        <v>0</v>
      </c>
      <c r="BP134" s="114">
        <v>0</v>
      </c>
    </row>
    <row r="135" spans="1:68">
      <c r="A135" t="s">
        <v>1050</v>
      </c>
      <c r="B135" t="s">
        <v>1801</v>
      </c>
      <c r="C135" s="121">
        <v>4659</v>
      </c>
      <c r="D135" s="72">
        <v>3</v>
      </c>
      <c r="E135">
        <v>620.755</v>
      </c>
      <c r="F135">
        <v>220</v>
      </c>
      <c r="G135">
        <v>168</v>
      </c>
      <c r="H135">
        <v>26</v>
      </c>
      <c r="I135" s="173">
        <v>1.04</v>
      </c>
      <c r="J135" s="121">
        <v>651812606</v>
      </c>
      <c r="K135" s="125">
        <v>3463.75</v>
      </c>
      <c r="L135" s="173">
        <v>1.379</v>
      </c>
      <c r="M135">
        <v>1.04</v>
      </c>
      <c r="N135">
        <v>0.91933333793000005</v>
      </c>
      <c r="O135">
        <v>12.066666206999999</v>
      </c>
      <c r="P135">
        <v>2368.4</v>
      </c>
      <c r="Q135" s="125">
        <v>0.378</v>
      </c>
      <c r="R135" s="125">
        <v>0</v>
      </c>
      <c r="S135" s="125">
        <v>4.7370000000000001</v>
      </c>
      <c r="T135" s="125">
        <v>80.201999999999998</v>
      </c>
      <c r="U135" s="125">
        <v>19.202999999999999</v>
      </c>
      <c r="V135" s="125">
        <v>0.73399999999999999</v>
      </c>
      <c r="W135" s="125">
        <v>4.5750000000000002</v>
      </c>
      <c r="X135" s="125">
        <v>0</v>
      </c>
      <c r="Y135" s="125">
        <v>0</v>
      </c>
      <c r="Z135" s="125">
        <v>2.3439999999999999</v>
      </c>
      <c r="AA135" s="125">
        <v>106.874</v>
      </c>
      <c r="AB135" s="125">
        <v>98.001999999999995</v>
      </c>
      <c r="AC135" s="125">
        <v>1791.2</v>
      </c>
      <c r="AD135" s="125">
        <v>3.0840000000000001</v>
      </c>
      <c r="AE135" s="125">
        <v>333.71499999999997</v>
      </c>
      <c r="AF135" s="125">
        <v>118.42</v>
      </c>
      <c r="AG135" s="125">
        <v>0</v>
      </c>
      <c r="AH135" s="125">
        <v>0</v>
      </c>
      <c r="AI135" s="121">
        <v>6594741</v>
      </c>
      <c r="AJ135" s="121">
        <v>399726</v>
      </c>
      <c r="AK135" s="424">
        <v>12</v>
      </c>
      <c r="AL135">
        <v>0</v>
      </c>
      <c r="AM135" s="121">
        <v>249366</v>
      </c>
      <c r="AN135" s="125">
        <v>0</v>
      </c>
      <c r="AO135" s="125">
        <v>0</v>
      </c>
      <c r="AP135" s="121">
        <v>6994467</v>
      </c>
      <c r="AQ135" s="114">
        <v>0</v>
      </c>
      <c r="AR135" s="121">
        <v>434.47188328999999</v>
      </c>
      <c r="AS135" s="121">
        <v>85375.089408999993</v>
      </c>
      <c r="AT135" s="121">
        <v>11243.860991</v>
      </c>
      <c r="AU135" s="420" t="s">
        <v>2001</v>
      </c>
      <c r="AV135" s="420" t="s">
        <v>2001</v>
      </c>
      <c r="AW135" s="121">
        <v>0</v>
      </c>
      <c r="AX135" s="121">
        <v>513915</v>
      </c>
      <c r="BI135">
        <v>0</v>
      </c>
      <c r="BJ135" s="121">
        <v>0</v>
      </c>
      <c r="BK135" s="134">
        <v>603914033</v>
      </c>
      <c r="BL135" s="934">
        <v>4522</v>
      </c>
      <c r="BM135" s="934">
        <v>4554</v>
      </c>
      <c r="BN135" s="934">
        <v>4659</v>
      </c>
      <c r="BO135" s="114">
        <v>0</v>
      </c>
      <c r="BP135" s="114">
        <v>0</v>
      </c>
    </row>
    <row r="136" spans="1:68">
      <c r="A136" t="s">
        <v>1051</v>
      </c>
      <c r="B136" t="s">
        <v>1802</v>
      </c>
      <c r="C136" s="121">
        <v>5308</v>
      </c>
      <c r="D136" s="72">
        <v>2</v>
      </c>
      <c r="E136">
        <v>37.610999999999997</v>
      </c>
      <c r="F136">
        <v>16</v>
      </c>
      <c r="G136">
        <v>13</v>
      </c>
      <c r="H136">
        <v>0</v>
      </c>
      <c r="I136" s="173">
        <v>1.04</v>
      </c>
      <c r="J136" s="121">
        <v>71873375</v>
      </c>
      <c r="K136" s="125">
        <v>232.59399999999999</v>
      </c>
      <c r="L136" s="173">
        <v>1.5</v>
      </c>
      <c r="M136">
        <v>1.04</v>
      </c>
      <c r="N136">
        <v>1.000000005</v>
      </c>
      <c r="O136">
        <v>3.9999995000000066</v>
      </c>
      <c r="P136">
        <v>114.396</v>
      </c>
      <c r="Q136" s="125">
        <v>0</v>
      </c>
      <c r="R136" s="125">
        <v>0</v>
      </c>
      <c r="S136" s="125">
        <v>0.151</v>
      </c>
      <c r="T136" s="125">
        <v>1.897</v>
      </c>
      <c r="U136" s="125">
        <v>6.9000000000000006E-2</v>
      </c>
      <c r="V136" s="125">
        <v>0</v>
      </c>
      <c r="W136" s="125">
        <v>1.294</v>
      </c>
      <c r="X136" s="125">
        <v>0</v>
      </c>
      <c r="Y136" s="125">
        <v>0</v>
      </c>
      <c r="Z136" s="125">
        <v>0</v>
      </c>
      <c r="AA136" s="125">
        <v>4.8600000000000003</v>
      </c>
      <c r="AB136" s="125">
        <v>5.1050000000000004</v>
      </c>
      <c r="AC136" s="125">
        <v>68.900000000000006</v>
      </c>
      <c r="AD136" s="125">
        <v>0</v>
      </c>
      <c r="AE136" s="125">
        <v>2.1720000000000002</v>
      </c>
      <c r="AF136" s="125">
        <v>5.7198000000000002</v>
      </c>
      <c r="AG136" s="125">
        <v>0</v>
      </c>
      <c r="AH136" s="125">
        <v>0</v>
      </c>
      <c r="AI136" s="121">
        <v>704833</v>
      </c>
      <c r="AJ136" s="121">
        <v>59891</v>
      </c>
      <c r="AK136" s="424">
        <v>12</v>
      </c>
      <c r="AL136">
        <v>0</v>
      </c>
      <c r="AM136" s="121">
        <v>26275</v>
      </c>
      <c r="AN136" s="125">
        <v>0</v>
      </c>
      <c r="AO136" s="125">
        <v>0</v>
      </c>
      <c r="AP136" s="121">
        <v>764724</v>
      </c>
      <c r="AQ136" s="114">
        <v>0</v>
      </c>
      <c r="AR136" s="121">
        <v>47.907880949999999</v>
      </c>
      <c r="AS136" s="121">
        <v>9414.0490485999999</v>
      </c>
      <c r="AT136" s="121">
        <v>1239.8260382000001</v>
      </c>
      <c r="AU136" s="420" t="s">
        <v>2001</v>
      </c>
      <c r="AV136" s="420" t="s">
        <v>2001</v>
      </c>
      <c r="AW136" s="121">
        <v>0</v>
      </c>
      <c r="AX136" s="121">
        <v>57282</v>
      </c>
      <c r="BI136">
        <v>0</v>
      </c>
      <c r="BJ136" s="121">
        <v>0</v>
      </c>
      <c r="BK136" s="134">
        <v>65197100</v>
      </c>
      <c r="BL136" s="934">
        <v>5264</v>
      </c>
      <c r="BM136" s="934">
        <v>5308</v>
      </c>
      <c r="BN136" s="934">
        <v>5308</v>
      </c>
      <c r="BO136" s="114">
        <v>0</v>
      </c>
      <c r="BP136" s="114">
        <v>0</v>
      </c>
    </row>
    <row r="137" spans="1:68">
      <c r="A137" t="s">
        <v>879</v>
      </c>
      <c r="B137" t="s">
        <v>2484</v>
      </c>
      <c r="C137" s="121">
        <v>5481</v>
      </c>
      <c r="D137" s="72">
        <v>2</v>
      </c>
      <c r="E137">
        <v>233.04900000000001</v>
      </c>
      <c r="F137">
        <v>67</v>
      </c>
      <c r="G137">
        <v>42</v>
      </c>
      <c r="H137">
        <v>2</v>
      </c>
      <c r="I137" s="173">
        <v>1.04</v>
      </c>
      <c r="J137" s="121">
        <v>419813889</v>
      </c>
      <c r="K137" s="125">
        <v>1174.3119999999999</v>
      </c>
      <c r="L137" s="173">
        <v>1.5</v>
      </c>
      <c r="M137">
        <v>1.04</v>
      </c>
      <c r="N137">
        <v>1.000000005</v>
      </c>
      <c r="O137">
        <v>3.9999995000000066</v>
      </c>
      <c r="P137">
        <v>660.298</v>
      </c>
      <c r="Q137" s="125">
        <v>4.8000000000000001E-2</v>
      </c>
      <c r="R137" s="125">
        <v>0</v>
      </c>
      <c r="S137" s="125">
        <v>1.002</v>
      </c>
      <c r="T137" s="125">
        <v>29.396000000000001</v>
      </c>
      <c r="U137" s="125">
        <v>4.38</v>
      </c>
      <c r="V137" s="125">
        <v>0</v>
      </c>
      <c r="W137" s="125">
        <v>1.841</v>
      </c>
      <c r="X137" s="125">
        <v>0</v>
      </c>
      <c r="Y137" s="125">
        <v>0</v>
      </c>
      <c r="Z137" s="125">
        <v>0.18</v>
      </c>
      <c r="AA137" s="125">
        <v>12.534000000000001</v>
      </c>
      <c r="AB137" s="125">
        <v>42.274999999999999</v>
      </c>
      <c r="AC137" s="125">
        <v>229.7</v>
      </c>
      <c r="AD137" s="125">
        <v>0</v>
      </c>
      <c r="AE137" s="125">
        <v>5.9370000000000003</v>
      </c>
      <c r="AF137" s="125">
        <v>33.014899999999997</v>
      </c>
      <c r="AG137" s="125">
        <v>0</v>
      </c>
      <c r="AH137" s="125">
        <v>0</v>
      </c>
      <c r="AI137" s="121">
        <v>4100426</v>
      </c>
      <c r="AJ137" s="121">
        <v>0</v>
      </c>
      <c r="AK137" s="424">
        <v>12</v>
      </c>
      <c r="AL137">
        <v>0</v>
      </c>
      <c r="AM137" s="121">
        <v>72749</v>
      </c>
      <c r="AN137" s="125">
        <v>0</v>
      </c>
      <c r="AO137" s="125">
        <v>0</v>
      </c>
      <c r="AP137" s="121">
        <v>4100426</v>
      </c>
      <c r="AQ137" s="114">
        <v>0</v>
      </c>
      <c r="AR137" s="121">
        <v>279.83093510999998</v>
      </c>
      <c r="AS137" s="121">
        <v>54987.657484000003</v>
      </c>
      <c r="AT137" s="121">
        <v>7241.8498327999996</v>
      </c>
      <c r="AU137" s="420" t="s">
        <v>798</v>
      </c>
      <c r="AV137" s="420" t="s">
        <v>2001</v>
      </c>
      <c r="AW137" s="121">
        <v>0</v>
      </c>
      <c r="AX137" s="121">
        <v>0</v>
      </c>
      <c r="AY137" s="134">
        <v>967104</v>
      </c>
      <c r="AZ137" s="134">
        <v>2855860</v>
      </c>
      <c r="BA137" s="134">
        <v>1207</v>
      </c>
      <c r="BB137" s="134">
        <v>280499416</v>
      </c>
      <c r="BC137" s="114">
        <v>0</v>
      </c>
      <c r="BD137" s="114">
        <v>0</v>
      </c>
      <c r="BE137" s="114">
        <v>0</v>
      </c>
      <c r="BF137" s="114">
        <v>725</v>
      </c>
      <c r="BG137" s="114">
        <v>0</v>
      </c>
      <c r="BH137" s="114">
        <v>0</v>
      </c>
      <c r="BI137">
        <v>0</v>
      </c>
      <c r="BJ137" s="121">
        <v>9</v>
      </c>
      <c r="BK137" s="134">
        <v>375496903</v>
      </c>
      <c r="BL137" s="934">
        <v>4905</v>
      </c>
      <c r="BM137" s="934">
        <v>5481</v>
      </c>
      <c r="BN137" s="934">
        <v>4950</v>
      </c>
      <c r="BO137" s="114">
        <v>0</v>
      </c>
      <c r="BP137" s="114">
        <v>0</v>
      </c>
    </row>
    <row r="138" spans="1:68">
      <c r="A138" t="s">
        <v>2050</v>
      </c>
      <c r="B138" t="s">
        <v>2485</v>
      </c>
      <c r="C138" s="121">
        <v>5721</v>
      </c>
      <c r="D138" s="72">
        <v>1</v>
      </c>
      <c r="E138">
        <v>116.09099999999999</v>
      </c>
      <c r="F138">
        <v>39</v>
      </c>
      <c r="G138">
        <v>24</v>
      </c>
      <c r="H138">
        <v>7</v>
      </c>
      <c r="I138" s="173">
        <v>1.04</v>
      </c>
      <c r="J138" s="121">
        <v>412051310</v>
      </c>
      <c r="K138" s="125">
        <v>645.41899999999998</v>
      </c>
      <c r="L138" s="173">
        <v>1.49</v>
      </c>
      <c r="M138">
        <v>1.04</v>
      </c>
      <c r="N138">
        <v>0.99333333830000003</v>
      </c>
      <c r="O138">
        <v>4.6666661700000001</v>
      </c>
      <c r="P138">
        <v>387.90800000000002</v>
      </c>
      <c r="Q138" s="125">
        <v>0</v>
      </c>
      <c r="R138" s="125">
        <v>0</v>
      </c>
      <c r="S138" s="125">
        <v>0.40799999999999997</v>
      </c>
      <c r="T138" s="125">
        <v>13.579000000000001</v>
      </c>
      <c r="U138" s="125">
        <v>0</v>
      </c>
      <c r="V138" s="125">
        <v>0</v>
      </c>
      <c r="W138" s="125">
        <v>1.17</v>
      </c>
      <c r="X138" s="125">
        <v>0</v>
      </c>
      <c r="Y138" s="125">
        <v>0</v>
      </c>
      <c r="Z138" s="125">
        <v>0</v>
      </c>
      <c r="AA138" s="125">
        <v>14.586</v>
      </c>
      <c r="AB138" s="125">
        <v>25.564</v>
      </c>
      <c r="AC138" s="125">
        <v>178.4</v>
      </c>
      <c r="AD138" s="125">
        <v>0</v>
      </c>
      <c r="AE138" s="125">
        <v>0</v>
      </c>
      <c r="AF138" s="125">
        <v>19.395</v>
      </c>
      <c r="AG138" s="125">
        <v>0</v>
      </c>
      <c r="AH138" s="125">
        <v>0</v>
      </c>
      <c r="AI138" s="121">
        <v>4043509</v>
      </c>
      <c r="AJ138" s="121">
        <v>518</v>
      </c>
      <c r="AK138" s="424">
        <v>12</v>
      </c>
      <c r="AL138">
        <v>0</v>
      </c>
      <c r="AM138" s="121">
        <v>38580</v>
      </c>
      <c r="AN138" s="125">
        <v>0</v>
      </c>
      <c r="AO138" s="125">
        <v>0</v>
      </c>
      <c r="AP138" s="121">
        <v>4044027</v>
      </c>
      <c r="AQ138" s="114">
        <v>0</v>
      </c>
      <c r="AR138" s="121">
        <v>0</v>
      </c>
      <c r="AS138" s="121">
        <v>0</v>
      </c>
      <c r="AT138" s="121">
        <v>0</v>
      </c>
      <c r="AU138" s="420" t="s">
        <v>798</v>
      </c>
      <c r="AV138" s="420" t="s">
        <v>2001</v>
      </c>
      <c r="AW138" s="121">
        <v>0</v>
      </c>
      <c r="AX138" s="121">
        <v>0</v>
      </c>
      <c r="AY138" s="134">
        <v>834333</v>
      </c>
      <c r="AZ138" s="134">
        <v>1579005</v>
      </c>
      <c r="BA138" s="114">
        <v>682</v>
      </c>
      <c r="BB138" s="134">
        <v>202446540</v>
      </c>
      <c r="BC138" s="114">
        <v>0</v>
      </c>
      <c r="BD138" s="114">
        <v>0</v>
      </c>
      <c r="BE138" s="114">
        <v>0</v>
      </c>
      <c r="BF138" s="114">
        <v>393</v>
      </c>
      <c r="BG138" s="114">
        <v>0</v>
      </c>
      <c r="BH138" s="114">
        <v>0</v>
      </c>
      <c r="BI138">
        <v>0</v>
      </c>
      <c r="BJ138" s="121">
        <v>0</v>
      </c>
      <c r="BK138" s="134">
        <v>374024986</v>
      </c>
      <c r="BL138" s="934">
        <v>5721</v>
      </c>
      <c r="BM138" s="934">
        <v>5458</v>
      </c>
      <c r="BN138" s="934">
        <v>5491</v>
      </c>
      <c r="BO138" s="114">
        <v>0</v>
      </c>
      <c r="BP138" s="114">
        <v>0</v>
      </c>
    </row>
    <row r="139" spans="1:68">
      <c r="A139" t="s">
        <v>1941</v>
      </c>
      <c r="B139" t="s">
        <v>2486</v>
      </c>
      <c r="C139" s="121">
        <v>4850</v>
      </c>
      <c r="D139" s="72">
        <v>3</v>
      </c>
      <c r="E139">
        <v>500.35500000000002</v>
      </c>
      <c r="F139">
        <v>167</v>
      </c>
      <c r="G139">
        <v>139</v>
      </c>
      <c r="H139">
        <v>2</v>
      </c>
      <c r="I139" s="173">
        <v>1.04</v>
      </c>
      <c r="J139" s="121">
        <v>389674582</v>
      </c>
      <c r="K139" s="125">
        <v>2651.114</v>
      </c>
      <c r="L139" s="173">
        <v>1.476</v>
      </c>
      <c r="M139">
        <v>1.04</v>
      </c>
      <c r="N139">
        <v>0.98400000492000006</v>
      </c>
      <c r="O139">
        <v>5.599999507999998</v>
      </c>
      <c r="P139">
        <v>1830.914</v>
      </c>
      <c r="Q139" s="125">
        <v>0.25700000000000001</v>
      </c>
      <c r="R139" s="125">
        <v>0</v>
      </c>
      <c r="S139" s="125">
        <v>3.407</v>
      </c>
      <c r="T139" s="125">
        <v>69.314999999999998</v>
      </c>
      <c r="U139" s="125">
        <v>24.151</v>
      </c>
      <c r="V139" s="125">
        <v>0</v>
      </c>
      <c r="W139" s="125">
        <v>11.573</v>
      </c>
      <c r="X139" s="125">
        <v>0</v>
      </c>
      <c r="Y139" s="125">
        <v>0</v>
      </c>
      <c r="Z139" s="125">
        <v>0.114</v>
      </c>
      <c r="AA139" s="125">
        <v>21.05</v>
      </c>
      <c r="AB139" s="125">
        <v>91.284000000000006</v>
      </c>
      <c r="AC139" s="125">
        <v>1314.3</v>
      </c>
      <c r="AD139" s="125">
        <v>1.226</v>
      </c>
      <c r="AE139" s="125">
        <v>24.427</v>
      </c>
      <c r="AF139" s="125">
        <v>91.545699999999997</v>
      </c>
      <c r="AG139" s="125">
        <v>0</v>
      </c>
      <c r="AH139" s="125">
        <v>0</v>
      </c>
      <c r="AI139" s="121">
        <v>3892125</v>
      </c>
      <c r="AJ139" s="121">
        <v>194985</v>
      </c>
      <c r="AK139" s="424">
        <v>12</v>
      </c>
      <c r="AL139">
        <v>0</v>
      </c>
      <c r="AM139" s="121">
        <v>241733</v>
      </c>
      <c r="AN139" s="125">
        <v>0</v>
      </c>
      <c r="AO139" s="125">
        <v>0</v>
      </c>
      <c r="AP139" s="121">
        <v>4087110</v>
      </c>
      <c r="AQ139" s="114">
        <v>0</v>
      </c>
      <c r="AR139" s="121">
        <v>259.74129391999998</v>
      </c>
      <c r="AS139" s="121">
        <v>51039.979902999999</v>
      </c>
      <c r="AT139" s="121">
        <v>6721.9424656000001</v>
      </c>
      <c r="AU139" s="420" t="s">
        <v>2001</v>
      </c>
      <c r="AV139" s="420" t="s">
        <v>2001</v>
      </c>
      <c r="AW139" s="121">
        <v>0</v>
      </c>
      <c r="AX139" s="121">
        <v>354272</v>
      </c>
      <c r="BI139">
        <v>0</v>
      </c>
      <c r="BJ139" s="121">
        <v>0</v>
      </c>
      <c r="BK139" s="134">
        <v>379172062</v>
      </c>
      <c r="BL139" s="934">
        <v>4658</v>
      </c>
      <c r="BM139" s="934">
        <v>4816</v>
      </c>
      <c r="BN139" s="934">
        <v>4850</v>
      </c>
      <c r="BO139" s="114">
        <v>0</v>
      </c>
      <c r="BP139" s="114">
        <v>0</v>
      </c>
    </row>
    <row r="140" spans="1:68">
      <c r="A140" t="s">
        <v>1942</v>
      </c>
      <c r="B140" t="s">
        <v>2487</v>
      </c>
      <c r="C140" s="121">
        <v>4802</v>
      </c>
      <c r="D140" s="72">
        <v>1</v>
      </c>
      <c r="E140">
        <v>36.777999999999999</v>
      </c>
      <c r="F140">
        <v>20</v>
      </c>
      <c r="G140">
        <v>11</v>
      </c>
      <c r="H140">
        <v>0</v>
      </c>
      <c r="I140" s="173">
        <v>1.04</v>
      </c>
      <c r="J140" s="121">
        <v>48137978</v>
      </c>
      <c r="K140" s="125">
        <v>267.572</v>
      </c>
      <c r="L140" s="173">
        <v>1.5</v>
      </c>
      <c r="M140">
        <v>1.04</v>
      </c>
      <c r="N140">
        <v>1.000000005</v>
      </c>
      <c r="O140">
        <v>3.9999995000000066</v>
      </c>
      <c r="P140">
        <v>133.624</v>
      </c>
      <c r="Q140" s="125">
        <v>0</v>
      </c>
      <c r="R140" s="125">
        <v>0</v>
      </c>
      <c r="S140" s="125">
        <v>0.32400000000000001</v>
      </c>
      <c r="T140" s="125">
        <v>5.774</v>
      </c>
      <c r="U140" s="125">
        <v>0.252</v>
      </c>
      <c r="V140" s="125">
        <v>0</v>
      </c>
      <c r="W140" s="125">
        <v>0</v>
      </c>
      <c r="X140" s="125">
        <v>0</v>
      </c>
      <c r="Y140" s="125">
        <v>0</v>
      </c>
      <c r="Z140" s="125">
        <v>0</v>
      </c>
      <c r="AA140" s="125">
        <v>8.1649999999999991</v>
      </c>
      <c r="AB140" s="125">
        <v>5.1890000000000001</v>
      </c>
      <c r="AC140" s="125">
        <v>132.30000000000001</v>
      </c>
      <c r="AD140" s="125">
        <v>0</v>
      </c>
      <c r="AE140" s="125">
        <v>0</v>
      </c>
      <c r="AF140" s="125">
        <v>6.681</v>
      </c>
      <c r="AG140" s="125">
        <v>0</v>
      </c>
      <c r="AH140" s="125">
        <v>0</v>
      </c>
      <c r="AI140" s="121">
        <v>480344</v>
      </c>
      <c r="AJ140" s="121">
        <v>150</v>
      </c>
      <c r="AK140" s="424">
        <v>12</v>
      </c>
      <c r="AL140">
        <v>0</v>
      </c>
      <c r="AM140" s="121">
        <v>14334</v>
      </c>
      <c r="AN140" s="125">
        <v>0</v>
      </c>
      <c r="AO140" s="125">
        <v>0</v>
      </c>
      <c r="AP140" s="121">
        <v>480494</v>
      </c>
      <c r="AQ140" s="114">
        <v>0</v>
      </c>
      <c r="AR140" s="121">
        <v>32.086826432999999</v>
      </c>
      <c r="AS140" s="121">
        <v>6305.1621543000001</v>
      </c>
      <c r="AT140" s="121">
        <v>830.38702833000002</v>
      </c>
      <c r="AU140" s="420" t="s">
        <v>2001</v>
      </c>
      <c r="AV140" s="420" t="s">
        <v>2001</v>
      </c>
      <c r="AW140" s="121">
        <v>0</v>
      </c>
      <c r="AX140" s="121">
        <v>0</v>
      </c>
      <c r="BI140">
        <v>0</v>
      </c>
      <c r="BJ140" s="121">
        <v>0</v>
      </c>
      <c r="BK140" s="134">
        <v>48137978</v>
      </c>
      <c r="BL140" s="934">
        <v>4802</v>
      </c>
      <c r="BM140" s="934">
        <v>4460</v>
      </c>
      <c r="BN140" s="934">
        <v>4460</v>
      </c>
      <c r="BO140" s="114">
        <v>0</v>
      </c>
      <c r="BP140" s="114">
        <v>0</v>
      </c>
    </row>
    <row r="141" spans="1:68">
      <c r="A141" t="s">
        <v>842</v>
      </c>
      <c r="B141" t="s">
        <v>2488</v>
      </c>
      <c r="C141" s="121">
        <v>5458</v>
      </c>
      <c r="D141" s="72">
        <v>2</v>
      </c>
      <c r="E141">
        <v>300.59399999999999</v>
      </c>
      <c r="F141">
        <v>85</v>
      </c>
      <c r="G141">
        <v>66</v>
      </c>
      <c r="H141">
        <v>7</v>
      </c>
      <c r="I141" s="173">
        <v>1.17</v>
      </c>
      <c r="J141" s="121">
        <v>337747797</v>
      </c>
      <c r="K141" s="125">
        <v>1415.5260000000001</v>
      </c>
      <c r="L141" s="173">
        <v>1.47</v>
      </c>
      <c r="M141">
        <v>1.17</v>
      </c>
      <c r="N141">
        <v>0.98000000490000005</v>
      </c>
      <c r="O141">
        <v>18.999999509999988</v>
      </c>
      <c r="P141">
        <v>920</v>
      </c>
      <c r="Q141" s="125">
        <v>5.8000000000000003E-2</v>
      </c>
      <c r="R141" s="125">
        <v>0</v>
      </c>
      <c r="S141" s="125">
        <v>1.5009999999999999</v>
      </c>
      <c r="T141" s="125">
        <v>24.2</v>
      </c>
      <c r="U141" s="125">
        <v>3.153</v>
      </c>
      <c r="V141" s="125">
        <v>0</v>
      </c>
      <c r="W141" s="125">
        <v>3</v>
      </c>
      <c r="X141" s="125">
        <v>0</v>
      </c>
      <c r="Y141" s="125">
        <v>0</v>
      </c>
      <c r="Z141" s="125">
        <v>0</v>
      </c>
      <c r="AA141" s="125">
        <v>13.204000000000001</v>
      </c>
      <c r="AB141" s="125">
        <v>73.323999999999998</v>
      </c>
      <c r="AC141" s="125">
        <v>664.5</v>
      </c>
      <c r="AD141" s="125">
        <v>0.42799999999999999</v>
      </c>
      <c r="AE141" s="125">
        <v>23.978000000000002</v>
      </c>
      <c r="AF141" s="125">
        <v>44.335999999999999</v>
      </c>
      <c r="AG141" s="125">
        <v>0</v>
      </c>
      <c r="AH141" s="125">
        <v>0</v>
      </c>
      <c r="AI141" s="121">
        <v>4107739</v>
      </c>
      <c r="AJ141" s="121">
        <v>143937</v>
      </c>
      <c r="AK141" s="424">
        <v>12</v>
      </c>
      <c r="AL141">
        <v>0</v>
      </c>
      <c r="AM141" s="121">
        <v>77926</v>
      </c>
      <c r="AN141" s="125">
        <v>0</v>
      </c>
      <c r="AO141" s="125">
        <v>0</v>
      </c>
      <c r="AP141" s="121">
        <v>4251676</v>
      </c>
      <c r="AQ141" s="114">
        <v>0</v>
      </c>
      <c r="AR141" s="121">
        <v>225.12900189999999</v>
      </c>
      <c r="AS141" s="121">
        <v>44238.555830999998</v>
      </c>
      <c r="AT141" s="121">
        <v>5826.1979652999999</v>
      </c>
      <c r="AU141" s="420" t="s">
        <v>2001</v>
      </c>
      <c r="AV141" s="420" t="s">
        <v>2001</v>
      </c>
      <c r="AW141" s="121">
        <v>0</v>
      </c>
      <c r="AX141" s="121">
        <v>235675</v>
      </c>
      <c r="BI141">
        <v>0</v>
      </c>
      <c r="BJ141" s="121">
        <v>0</v>
      </c>
      <c r="BK141" s="134">
        <v>337747797</v>
      </c>
      <c r="BL141" s="934">
        <v>4733</v>
      </c>
      <c r="BM141" s="934">
        <v>5458</v>
      </c>
      <c r="BN141" s="934">
        <v>4831</v>
      </c>
      <c r="BO141" s="114">
        <v>0</v>
      </c>
      <c r="BP141" s="114">
        <v>0</v>
      </c>
    </row>
    <row r="142" spans="1:68">
      <c r="A142" t="s">
        <v>843</v>
      </c>
      <c r="B142" t="s">
        <v>1178</v>
      </c>
      <c r="C142" s="121">
        <v>4450</v>
      </c>
      <c r="D142" s="72">
        <v>2</v>
      </c>
      <c r="E142">
        <v>234.28399999999999</v>
      </c>
      <c r="F142">
        <v>77</v>
      </c>
      <c r="G142">
        <v>48</v>
      </c>
      <c r="H142">
        <v>7</v>
      </c>
      <c r="I142" s="173">
        <v>1.17</v>
      </c>
      <c r="J142" s="121">
        <v>177420800</v>
      </c>
      <c r="K142" s="125">
        <v>1266.69</v>
      </c>
      <c r="L142" s="173">
        <v>1.48</v>
      </c>
      <c r="M142">
        <v>1.17</v>
      </c>
      <c r="N142">
        <v>0.98666667159999999</v>
      </c>
      <c r="O142">
        <v>18.333332839999994</v>
      </c>
      <c r="P142">
        <v>759</v>
      </c>
      <c r="Q142" s="125">
        <v>1.6E-2</v>
      </c>
      <c r="R142" s="125">
        <v>0</v>
      </c>
      <c r="S142" s="125">
        <v>1.4410000000000001</v>
      </c>
      <c r="T142" s="125">
        <v>29.318000000000001</v>
      </c>
      <c r="U142" s="125">
        <v>6.3879999999999999</v>
      </c>
      <c r="V142" s="125">
        <v>0.13500000000000001</v>
      </c>
      <c r="W142" s="125">
        <v>3</v>
      </c>
      <c r="X142" s="125">
        <v>0</v>
      </c>
      <c r="Y142" s="125">
        <v>0</v>
      </c>
      <c r="Z142" s="125">
        <v>0</v>
      </c>
      <c r="AA142" s="125">
        <v>38</v>
      </c>
      <c r="AB142" s="125">
        <v>46</v>
      </c>
      <c r="AC142" s="125">
        <v>525</v>
      </c>
      <c r="AD142" s="125">
        <v>0.438</v>
      </c>
      <c r="AE142" s="125">
        <v>16.63</v>
      </c>
      <c r="AF142" s="125">
        <v>37.950000000000003</v>
      </c>
      <c r="AG142" s="125">
        <v>0</v>
      </c>
      <c r="AH142" s="125">
        <v>0</v>
      </c>
      <c r="AI142" s="121">
        <v>2153223</v>
      </c>
      <c r="AJ142" s="121">
        <v>0</v>
      </c>
      <c r="AK142" s="424">
        <v>12</v>
      </c>
      <c r="AL142">
        <v>0</v>
      </c>
      <c r="AM142" s="121">
        <v>168653</v>
      </c>
      <c r="AN142" s="125">
        <v>0</v>
      </c>
      <c r="AO142" s="125">
        <v>0</v>
      </c>
      <c r="AP142" s="121">
        <v>2153223</v>
      </c>
      <c r="AQ142" s="114">
        <v>0</v>
      </c>
      <c r="AR142" s="121">
        <v>118.26151903</v>
      </c>
      <c r="AS142" s="121">
        <v>23238.759858000001</v>
      </c>
      <c r="AT142" s="121">
        <v>3060.5342523999998</v>
      </c>
      <c r="AU142" s="420" t="s">
        <v>2001</v>
      </c>
      <c r="AV142" s="420" t="s">
        <v>2001</v>
      </c>
      <c r="AW142" s="121">
        <v>0</v>
      </c>
      <c r="AX142" s="121">
        <v>0</v>
      </c>
      <c r="BI142">
        <v>0</v>
      </c>
      <c r="BJ142" s="121">
        <v>0</v>
      </c>
      <c r="BK142" s="134">
        <v>177042949</v>
      </c>
      <c r="BL142" s="934">
        <v>4276</v>
      </c>
      <c r="BM142" s="934">
        <v>4450</v>
      </c>
      <c r="BN142" s="934">
        <v>4341</v>
      </c>
      <c r="BO142" s="114">
        <v>0</v>
      </c>
      <c r="BP142" s="114">
        <v>0</v>
      </c>
    </row>
    <row r="143" spans="1:68">
      <c r="A143" t="s">
        <v>2142</v>
      </c>
      <c r="B143" t="s">
        <v>929</v>
      </c>
      <c r="C143" s="121">
        <v>4910</v>
      </c>
      <c r="D143" s="72">
        <v>2</v>
      </c>
      <c r="E143">
        <v>132.12899999999999</v>
      </c>
      <c r="F143">
        <v>38</v>
      </c>
      <c r="G143">
        <v>31</v>
      </c>
      <c r="H143">
        <v>1</v>
      </c>
      <c r="I143" s="173">
        <v>1.04</v>
      </c>
      <c r="J143" s="121">
        <v>27778367</v>
      </c>
      <c r="K143" s="125">
        <v>636.32000000000005</v>
      </c>
      <c r="L143" s="173">
        <v>1.3955</v>
      </c>
      <c r="M143">
        <v>1.04</v>
      </c>
      <c r="N143">
        <v>0.93033333798499995</v>
      </c>
      <c r="O143">
        <v>10.966666201500008</v>
      </c>
      <c r="P143">
        <v>349.64100000000002</v>
      </c>
      <c r="Q143" s="125">
        <v>0.11799999999999999</v>
      </c>
      <c r="R143" s="125">
        <v>0</v>
      </c>
      <c r="S143" s="125">
        <v>0.57099999999999995</v>
      </c>
      <c r="T143" s="125">
        <v>7.1079999999999997</v>
      </c>
      <c r="U143" s="125">
        <v>0.40200000000000002</v>
      </c>
      <c r="V143" s="125">
        <v>0.23300000000000001</v>
      </c>
      <c r="W143" s="125">
        <v>7.2080000000000002</v>
      </c>
      <c r="X143" s="125">
        <v>0</v>
      </c>
      <c r="Y143" s="125">
        <v>0</v>
      </c>
      <c r="Z143" s="125">
        <v>0</v>
      </c>
      <c r="AA143" s="125">
        <v>53.363999999999997</v>
      </c>
      <c r="AB143" s="125">
        <v>14.478999999999999</v>
      </c>
      <c r="AC143" s="125">
        <v>158.9</v>
      </c>
      <c r="AD143" s="125">
        <v>0.20799999999999999</v>
      </c>
      <c r="AE143" s="125">
        <v>0</v>
      </c>
      <c r="AF143" s="125">
        <v>17.481999999999999</v>
      </c>
      <c r="AG143" s="125">
        <v>0</v>
      </c>
      <c r="AH143" s="125">
        <v>0</v>
      </c>
      <c r="AI143" s="121">
        <v>287480</v>
      </c>
      <c r="AJ143" s="121">
        <v>0</v>
      </c>
      <c r="AK143" s="424">
        <v>12</v>
      </c>
      <c r="AL143">
        <v>0</v>
      </c>
      <c r="AM143" s="121">
        <v>17316</v>
      </c>
      <c r="AN143" s="125">
        <v>0</v>
      </c>
      <c r="AO143" s="125">
        <v>0</v>
      </c>
      <c r="AP143" s="121">
        <v>287480</v>
      </c>
      <c r="AQ143" s="114">
        <v>0</v>
      </c>
      <c r="AR143" s="121">
        <v>18.515934656999999</v>
      </c>
      <c r="AS143" s="121">
        <v>3638.4393043999999</v>
      </c>
      <c r="AT143" s="121">
        <v>479.18082482</v>
      </c>
      <c r="AU143" s="420" t="s">
        <v>2001</v>
      </c>
      <c r="AV143" s="420" t="s">
        <v>2001</v>
      </c>
      <c r="AW143" s="121">
        <v>0</v>
      </c>
      <c r="AX143" s="121">
        <v>0</v>
      </c>
      <c r="BI143">
        <v>0</v>
      </c>
      <c r="BJ143" s="121">
        <v>0</v>
      </c>
      <c r="BK143" s="134">
        <v>26863313</v>
      </c>
      <c r="BL143" s="934">
        <v>4420</v>
      </c>
      <c r="BM143" s="934">
        <v>4910</v>
      </c>
      <c r="BN143" s="934">
        <v>4433</v>
      </c>
      <c r="BO143" s="114">
        <v>0</v>
      </c>
      <c r="BP143" s="114">
        <v>0</v>
      </c>
    </row>
    <row r="144" spans="1:68">
      <c r="A144" t="s">
        <v>844</v>
      </c>
      <c r="B144" t="s">
        <v>1921</v>
      </c>
      <c r="C144" s="121">
        <v>4463</v>
      </c>
      <c r="D144" s="72">
        <v>2</v>
      </c>
      <c r="E144">
        <v>315.87299999999999</v>
      </c>
      <c r="F144">
        <v>92</v>
      </c>
      <c r="G144">
        <v>77</v>
      </c>
      <c r="H144">
        <v>9</v>
      </c>
      <c r="I144" s="173">
        <v>1.04</v>
      </c>
      <c r="J144" s="121">
        <v>343824945</v>
      </c>
      <c r="K144" s="125">
        <v>1561.9849999999999</v>
      </c>
      <c r="L144" s="173">
        <v>1.5</v>
      </c>
      <c r="M144">
        <v>1.04</v>
      </c>
      <c r="N144">
        <v>1.000000005</v>
      </c>
      <c r="O144">
        <v>3.9999995000000066</v>
      </c>
      <c r="P144">
        <v>951.41399999999999</v>
      </c>
      <c r="Q144" s="125">
        <v>0.41899999999999998</v>
      </c>
      <c r="R144" s="125">
        <v>0</v>
      </c>
      <c r="S144" s="125">
        <v>1.677</v>
      </c>
      <c r="T144" s="125">
        <v>27.698</v>
      </c>
      <c r="U144" s="125">
        <v>5.5979999999999999</v>
      </c>
      <c r="V144" s="125">
        <v>0</v>
      </c>
      <c r="W144" s="125">
        <v>13.965</v>
      </c>
      <c r="X144" s="125">
        <v>0</v>
      </c>
      <c r="Y144" s="125">
        <v>0</v>
      </c>
      <c r="Z144" s="125">
        <v>1.895</v>
      </c>
      <c r="AA144" s="125">
        <v>56.968000000000004</v>
      </c>
      <c r="AB144" s="125">
        <v>69.418000000000006</v>
      </c>
      <c r="AC144" s="125">
        <v>704.1</v>
      </c>
      <c r="AD144" s="125">
        <v>1.3420000000000001</v>
      </c>
      <c r="AE144" s="125">
        <v>2.7709999999999999</v>
      </c>
      <c r="AF144" s="125">
        <v>47.570700000000002</v>
      </c>
      <c r="AG144" s="125">
        <v>0</v>
      </c>
      <c r="AH144" s="125">
        <v>0</v>
      </c>
      <c r="AI144" s="121">
        <v>3622359</v>
      </c>
      <c r="AJ144" s="121">
        <v>332011</v>
      </c>
      <c r="AK144" s="424">
        <v>12</v>
      </c>
      <c r="AL144">
        <v>0</v>
      </c>
      <c r="AM144" s="121">
        <v>113737</v>
      </c>
      <c r="AN144" s="125">
        <v>0</v>
      </c>
      <c r="AO144" s="125">
        <v>0</v>
      </c>
      <c r="AP144" s="121">
        <v>3954370</v>
      </c>
      <c r="AQ144" s="114">
        <v>0</v>
      </c>
      <c r="AR144" s="121">
        <v>229.17978231000001</v>
      </c>
      <c r="AS144" s="121">
        <v>45034.546902000002</v>
      </c>
      <c r="AT144" s="121">
        <v>5931.0296324999999</v>
      </c>
      <c r="AU144" s="420" t="s">
        <v>2001</v>
      </c>
      <c r="AV144" s="420" t="s">
        <v>2001</v>
      </c>
      <c r="AW144" s="121">
        <v>0</v>
      </c>
      <c r="AX144" s="121">
        <v>687057</v>
      </c>
      <c r="BI144">
        <v>0</v>
      </c>
      <c r="BJ144" s="121">
        <v>0</v>
      </c>
      <c r="BK144" s="134">
        <v>338487571</v>
      </c>
      <c r="BL144" s="934">
        <v>4262</v>
      </c>
      <c r="BM144" s="934">
        <v>4463</v>
      </c>
      <c r="BN144" s="934">
        <v>4361</v>
      </c>
      <c r="BO144" s="114">
        <v>0</v>
      </c>
      <c r="BP144" s="114">
        <v>0</v>
      </c>
    </row>
    <row r="145" spans="1:68">
      <c r="A145" t="s">
        <v>2226</v>
      </c>
      <c r="B145" t="s">
        <v>1923</v>
      </c>
      <c r="C145" s="121">
        <v>4536</v>
      </c>
      <c r="D145" s="72">
        <v>2</v>
      </c>
      <c r="E145">
        <v>79.587999999999994</v>
      </c>
      <c r="F145">
        <v>26</v>
      </c>
      <c r="G145">
        <v>15</v>
      </c>
      <c r="H145">
        <v>0</v>
      </c>
      <c r="I145" s="173">
        <v>1.17</v>
      </c>
      <c r="J145" s="121">
        <v>30756931</v>
      </c>
      <c r="K145" s="125">
        <v>439.48700000000002</v>
      </c>
      <c r="L145" s="173">
        <v>1.5</v>
      </c>
      <c r="M145">
        <v>1.17</v>
      </c>
      <c r="N145">
        <v>1.000000005</v>
      </c>
      <c r="O145">
        <v>16.999999499999994</v>
      </c>
      <c r="P145">
        <v>236.22300000000001</v>
      </c>
      <c r="Q145" s="125">
        <v>3.2000000000000001E-2</v>
      </c>
      <c r="R145" s="125">
        <v>0</v>
      </c>
      <c r="S145" s="125">
        <v>0.38300000000000001</v>
      </c>
      <c r="T145" s="125">
        <v>9.8510000000000009</v>
      </c>
      <c r="U145" s="125">
        <v>3.3490000000000002</v>
      </c>
      <c r="V145" s="125">
        <v>0.65100000000000002</v>
      </c>
      <c r="W145" s="125">
        <v>3.2029999999999998</v>
      </c>
      <c r="X145" s="125">
        <v>0</v>
      </c>
      <c r="Y145" s="125">
        <v>0</v>
      </c>
      <c r="Z145" s="125">
        <v>0</v>
      </c>
      <c r="AA145" s="125">
        <v>15.036</v>
      </c>
      <c r="AB145" s="125">
        <v>16.867999999999999</v>
      </c>
      <c r="AC145" s="125">
        <v>138.4</v>
      </c>
      <c r="AD145" s="125">
        <v>0</v>
      </c>
      <c r="AE145" s="125">
        <v>0</v>
      </c>
      <c r="AF145" s="125">
        <v>11.811</v>
      </c>
      <c r="AG145" s="125">
        <v>0</v>
      </c>
      <c r="AH145" s="125">
        <v>0</v>
      </c>
      <c r="AI145" s="121">
        <v>374070</v>
      </c>
      <c r="AJ145" s="121">
        <v>0</v>
      </c>
      <c r="AK145" s="424">
        <v>12</v>
      </c>
      <c r="AL145">
        <v>0</v>
      </c>
      <c r="AM145" s="121">
        <v>12894</v>
      </c>
      <c r="AN145" s="125">
        <v>0</v>
      </c>
      <c r="AO145" s="125">
        <v>0</v>
      </c>
      <c r="AP145" s="121">
        <v>374070</v>
      </c>
      <c r="AQ145" s="114">
        <v>0</v>
      </c>
      <c r="AR145" s="121">
        <v>20.501324476000001</v>
      </c>
      <c r="AS145" s="121">
        <v>4028.5746386000001</v>
      </c>
      <c r="AT145" s="121">
        <v>530.56147338999995</v>
      </c>
      <c r="AU145" s="420" t="s">
        <v>2001</v>
      </c>
      <c r="AV145" s="420" t="s">
        <v>2001</v>
      </c>
      <c r="AW145" s="121">
        <v>0</v>
      </c>
      <c r="AX145" s="121">
        <v>0</v>
      </c>
      <c r="BI145">
        <v>0</v>
      </c>
      <c r="BJ145" s="121">
        <v>0</v>
      </c>
      <c r="BK145" s="134">
        <v>30756931</v>
      </c>
      <c r="BL145" s="934">
        <v>4448</v>
      </c>
      <c r="BM145" s="934">
        <v>4536</v>
      </c>
      <c r="BN145" s="934">
        <v>4503</v>
      </c>
      <c r="BO145" s="114">
        <v>0</v>
      </c>
      <c r="BP145" s="114">
        <v>0</v>
      </c>
    </row>
    <row r="146" spans="1:68">
      <c r="A146" t="s">
        <v>2227</v>
      </c>
      <c r="B146" t="s">
        <v>1924</v>
      </c>
      <c r="C146" s="121">
        <v>4551</v>
      </c>
      <c r="D146" s="72">
        <v>2</v>
      </c>
      <c r="E146">
        <v>270.65100000000001</v>
      </c>
      <c r="F146">
        <v>106</v>
      </c>
      <c r="G146">
        <v>84</v>
      </c>
      <c r="H146">
        <v>3</v>
      </c>
      <c r="I146" s="173">
        <v>1.04</v>
      </c>
      <c r="J146" s="121">
        <v>185229542</v>
      </c>
      <c r="K146" s="125">
        <v>1669.798</v>
      </c>
      <c r="L146" s="173">
        <v>1.5</v>
      </c>
      <c r="M146">
        <v>1.04</v>
      </c>
      <c r="N146">
        <v>1.000000005</v>
      </c>
      <c r="O146">
        <v>3.9999995000000066</v>
      </c>
      <c r="P146">
        <v>949.79899999999998</v>
      </c>
      <c r="Q146" s="125">
        <v>3.7999999999999999E-2</v>
      </c>
      <c r="R146" s="125">
        <v>0</v>
      </c>
      <c r="S146" s="125">
        <v>1.5249999999999999</v>
      </c>
      <c r="T146" s="125">
        <v>20.289000000000001</v>
      </c>
      <c r="U146" s="125">
        <v>2.5070000000000001</v>
      </c>
      <c r="V146" s="125">
        <v>0</v>
      </c>
      <c r="W146" s="125">
        <v>0</v>
      </c>
      <c r="X146" s="125">
        <v>0</v>
      </c>
      <c r="Y146" s="125">
        <v>0</v>
      </c>
      <c r="Z146" s="125">
        <v>0</v>
      </c>
      <c r="AA146" s="125">
        <v>18.268999999999998</v>
      </c>
      <c r="AB146" s="125">
        <v>61.286000000000001</v>
      </c>
      <c r="AC146" s="125">
        <v>940.3</v>
      </c>
      <c r="AD146" s="125">
        <v>0.83299999999999996</v>
      </c>
      <c r="AE146" s="125">
        <v>154.946</v>
      </c>
      <c r="AF146" s="125">
        <v>47.48995</v>
      </c>
      <c r="AG146" s="125">
        <v>0</v>
      </c>
      <c r="AH146" s="125">
        <v>0</v>
      </c>
      <c r="AI146" s="121">
        <v>1945602</v>
      </c>
      <c r="AJ146" s="121">
        <v>0</v>
      </c>
      <c r="AK146" s="424">
        <v>12</v>
      </c>
      <c r="AL146">
        <v>0</v>
      </c>
      <c r="AM146" s="121">
        <v>76593</v>
      </c>
      <c r="AN146" s="125">
        <v>0</v>
      </c>
      <c r="AO146" s="125">
        <v>0</v>
      </c>
      <c r="AP146" s="121">
        <v>1945602</v>
      </c>
      <c r="AQ146" s="114">
        <v>0</v>
      </c>
      <c r="AR146" s="121">
        <v>123.46651055</v>
      </c>
      <c r="AS146" s="121">
        <v>24261.557036999999</v>
      </c>
      <c r="AT146" s="121">
        <v>3195.2361823000001</v>
      </c>
      <c r="AU146" s="420" t="s">
        <v>2001</v>
      </c>
      <c r="AV146" s="420" t="s">
        <v>2001</v>
      </c>
      <c r="AW146" s="121">
        <v>0</v>
      </c>
      <c r="AX146" s="121">
        <v>737181</v>
      </c>
      <c r="BI146">
        <v>0</v>
      </c>
      <c r="BJ146" s="121">
        <v>0</v>
      </c>
      <c r="BK146" s="134">
        <v>183679020</v>
      </c>
      <c r="BL146" s="934">
        <v>4044</v>
      </c>
      <c r="BM146" s="934">
        <v>4551</v>
      </c>
      <c r="BN146" s="934">
        <v>4520</v>
      </c>
      <c r="BO146" s="114">
        <v>0</v>
      </c>
      <c r="BP146" s="114">
        <v>0</v>
      </c>
    </row>
    <row r="147" spans="1:68">
      <c r="A147" t="s">
        <v>2788</v>
      </c>
      <c r="B147" t="s">
        <v>1925</v>
      </c>
      <c r="C147" s="121">
        <v>4547</v>
      </c>
      <c r="D147" s="72">
        <v>1</v>
      </c>
      <c r="E147">
        <v>79.221999999999994</v>
      </c>
      <c r="F147">
        <v>32</v>
      </c>
      <c r="G147">
        <v>26</v>
      </c>
      <c r="H147">
        <v>2</v>
      </c>
      <c r="I147" s="173">
        <v>1.04</v>
      </c>
      <c r="J147" s="121">
        <v>57535050</v>
      </c>
      <c r="K147" s="125">
        <v>532.11900000000003</v>
      </c>
      <c r="L147" s="173">
        <v>1.45</v>
      </c>
      <c r="M147">
        <v>1.04</v>
      </c>
      <c r="N147">
        <v>0.96666667149999996</v>
      </c>
      <c r="O147">
        <v>7.3333328500000068</v>
      </c>
      <c r="P147">
        <v>305.50400000000002</v>
      </c>
      <c r="Q147" s="125">
        <v>0</v>
      </c>
      <c r="R147" s="125">
        <v>0</v>
      </c>
      <c r="S147" s="125">
        <v>0.53300000000000003</v>
      </c>
      <c r="T147" s="125">
        <v>6.3250000000000002</v>
      </c>
      <c r="U147" s="125">
        <v>0.86499999999999999</v>
      </c>
      <c r="V147" s="125">
        <v>0</v>
      </c>
      <c r="W147" s="125">
        <v>0</v>
      </c>
      <c r="X147" s="125">
        <v>0</v>
      </c>
      <c r="Y147" s="125">
        <v>0</v>
      </c>
      <c r="Z147" s="125">
        <v>0</v>
      </c>
      <c r="AA147" s="125">
        <v>0.97899999999999998</v>
      </c>
      <c r="AB147" s="125">
        <v>12.847</v>
      </c>
      <c r="AC147" s="125">
        <v>277</v>
      </c>
      <c r="AD147" s="125">
        <v>0</v>
      </c>
      <c r="AE147" s="125">
        <v>32</v>
      </c>
      <c r="AF147" s="125">
        <v>15.275</v>
      </c>
      <c r="AG147" s="125">
        <v>0</v>
      </c>
      <c r="AH147" s="125">
        <v>0</v>
      </c>
      <c r="AI147" s="121">
        <v>615717</v>
      </c>
      <c r="AJ147" s="121">
        <v>0</v>
      </c>
      <c r="AK147" s="424">
        <v>12</v>
      </c>
      <c r="AL147">
        <v>0</v>
      </c>
      <c r="AM147" s="121">
        <v>12757</v>
      </c>
      <c r="AN147" s="125">
        <v>0</v>
      </c>
      <c r="AO147" s="125">
        <v>0</v>
      </c>
      <c r="AP147" s="121">
        <v>615717</v>
      </c>
      <c r="AQ147" s="114">
        <v>0</v>
      </c>
      <c r="AR147" s="121">
        <v>38.350534025000002</v>
      </c>
      <c r="AS147" s="121">
        <v>7536.0003655</v>
      </c>
      <c r="AT147" s="121">
        <v>992.48786881000001</v>
      </c>
      <c r="AU147" s="420" t="s">
        <v>2001</v>
      </c>
      <c r="AV147" s="420" t="s">
        <v>2001</v>
      </c>
      <c r="AW147" s="121">
        <v>0</v>
      </c>
      <c r="AX147" s="121">
        <v>0</v>
      </c>
      <c r="BI147">
        <v>0</v>
      </c>
      <c r="BJ147" s="121">
        <v>0</v>
      </c>
      <c r="BK147" s="134">
        <v>57535050</v>
      </c>
      <c r="BL147" s="934">
        <v>4547</v>
      </c>
      <c r="BM147" s="934">
        <v>4352</v>
      </c>
      <c r="BN147" s="934">
        <v>4452</v>
      </c>
      <c r="BO147" s="114">
        <v>0</v>
      </c>
      <c r="BP147" s="114">
        <v>0</v>
      </c>
    </row>
    <row r="148" spans="1:68">
      <c r="A148" t="s">
        <v>2904</v>
      </c>
      <c r="B148" t="s">
        <v>425</v>
      </c>
      <c r="C148" s="121">
        <v>4588</v>
      </c>
      <c r="D148" s="72">
        <v>3</v>
      </c>
      <c r="E148">
        <v>71.623999999999995</v>
      </c>
      <c r="F148">
        <v>21</v>
      </c>
      <c r="G148">
        <v>10</v>
      </c>
      <c r="H148">
        <v>0</v>
      </c>
      <c r="I148" s="173">
        <v>1.17</v>
      </c>
      <c r="J148" s="121">
        <v>25632408</v>
      </c>
      <c r="K148" s="125">
        <v>322.38600000000002</v>
      </c>
      <c r="L148" s="173">
        <v>1.48</v>
      </c>
      <c r="M148">
        <v>1.17</v>
      </c>
      <c r="N148">
        <v>0.98666667159999999</v>
      </c>
      <c r="O148">
        <v>18.333332839999994</v>
      </c>
      <c r="P148">
        <v>212</v>
      </c>
      <c r="Q148" s="125">
        <v>0</v>
      </c>
      <c r="R148" s="125">
        <v>0</v>
      </c>
      <c r="S148" s="125">
        <v>0.38300000000000001</v>
      </c>
      <c r="T148" s="125">
        <v>1.5740000000000001</v>
      </c>
      <c r="U148" s="125">
        <v>0</v>
      </c>
      <c r="V148" s="125">
        <v>0</v>
      </c>
      <c r="W148" s="125">
        <v>0</v>
      </c>
      <c r="X148" s="125">
        <v>0</v>
      </c>
      <c r="Y148" s="125">
        <v>0</v>
      </c>
      <c r="Z148" s="125">
        <v>0</v>
      </c>
      <c r="AA148" s="125">
        <v>2.1680000000000001</v>
      </c>
      <c r="AB148" s="125">
        <v>16.45</v>
      </c>
      <c r="AC148" s="125">
        <v>39.6</v>
      </c>
      <c r="AD148" s="125">
        <v>0</v>
      </c>
      <c r="AE148" s="125">
        <v>3.355</v>
      </c>
      <c r="AF148" s="125">
        <v>10.6</v>
      </c>
      <c r="AG148" s="125">
        <v>0</v>
      </c>
      <c r="AH148" s="125">
        <v>0</v>
      </c>
      <c r="AI148" s="121">
        <v>305447</v>
      </c>
      <c r="AJ148" s="121">
        <v>38133</v>
      </c>
      <c r="AK148" s="424">
        <v>12</v>
      </c>
      <c r="AL148">
        <v>0</v>
      </c>
      <c r="AM148" s="121">
        <v>14610</v>
      </c>
      <c r="AN148" s="125">
        <v>0</v>
      </c>
      <c r="AO148" s="125">
        <v>0</v>
      </c>
      <c r="AP148" s="121">
        <v>343580</v>
      </c>
      <c r="AQ148" s="114">
        <v>0</v>
      </c>
      <c r="AR148" s="121">
        <v>17.085525000000001</v>
      </c>
      <c r="AS148" s="121">
        <v>3357.3593150000002</v>
      </c>
      <c r="AT148" s="121">
        <v>442.16271626999998</v>
      </c>
      <c r="AU148" s="420" t="s">
        <v>2001</v>
      </c>
      <c r="AV148" s="420" t="s">
        <v>2001</v>
      </c>
      <c r="AW148" s="121">
        <v>0</v>
      </c>
      <c r="AX148" s="121">
        <v>170490</v>
      </c>
      <c r="BI148">
        <v>0</v>
      </c>
      <c r="BJ148" s="121">
        <v>0</v>
      </c>
      <c r="BK148" s="134">
        <v>25632408</v>
      </c>
      <c r="BL148" s="934">
        <v>4568</v>
      </c>
      <c r="BM148" s="934">
        <v>4584</v>
      </c>
      <c r="BN148" s="934">
        <v>4588</v>
      </c>
      <c r="BO148" s="114">
        <v>0</v>
      </c>
      <c r="BP148" s="114">
        <v>0</v>
      </c>
    </row>
    <row r="149" spans="1:68">
      <c r="A149" t="s">
        <v>1840</v>
      </c>
      <c r="B149" t="s">
        <v>1205</v>
      </c>
      <c r="C149" s="121">
        <v>4769</v>
      </c>
      <c r="D149" s="72">
        <v>1</v>
      </c>
      <c r="E149">
        <v>386.66</v>
      </c>
      <c r="F149">
        <v>106</v>
      </c>
      <c r="G149">
        <v>72</v>
      </c>
      <c r="H149">
        <v>8</v>
      </c>
      <c r="I149" s="173">
        <v>1.04</v>
      </c>
      <c r="J149" s="121">
        <v>311550650</v>
      </c>
      <c r="K149" s="125">
        <v>1996.527</v>
      </c>
      <c r="L149" s="173">
        <v>1.5</v>
      </c>
      <c r="M149">
        <v>1.04</v>
      </c>
      <c r="N149">
        <v>1.000000005</v>
      </c>
      <c r="O149">
        <v>3.9999995000000066</v>
      </c>
      <c r="P149">
        <v>1371.9639999999999</v>
      </c>
      <c r="Q149" s="125">
        <v>5.1999999999999998E-2</v>
      </c>
      <c r="R149" s="125">
        <v>0</v>
      </c>
      <c r="S149" s="125">
        <v>2.35</v>
      </c>
      <c r="T149" s="125">
        <v>35.131999999999998</v>
      </c>
      <c r="U149" s="125">
        <v>7.0510000000000002</v>
      </c>
      <c r="V149" s="125">
        <v>0.8</v>
      </c>
      <c r="W149" s="125">
        <v>5.641</v>
      </c>
      <c r="X149" s="125">
        <v>0</v>
      </c>
      <c r="Y149" s="125">
        <v>0</v>
      </c>
      <c r="Z149" s="125">
        <v>0</v>
      </c>
      <c r="AA149" s="125">
        <v>9.1950000000000003</v>
      </c>
      <c r="AB149" s="125">
        <v>53.97</v>
      </c>
      <c r="AC149" s="125">
        <v>823.7</v>
      </c>
      <c r="AD149" s="125">
        <v>0</v>
      </c>
      <c r="AE149" s="125">
        <v>134.04300000000001</v>
      </c>
      <c r="AF149" s="125">
        <v>68.597999999999999</v>
      </c>
      <c r="AG149" s="125">
        <v>0</v>
      </c>
      <c r="AH149" s="125">
        <v>0</v>
      </c>
      <c r="AI149" s="121">
        <v>2843553</v>
      </c>
      <c r="AJ149" s="121">
        <v>303328</v>
      </c>
      <c r="AK149" s="424">
        <v>12</v>
      </c>
      <c r="AL149">
        <v>0</v>
      </c>
      <c r="AM149" s="121">
        <v>155035</v>
      </c>
      <c r="AN149" s="125">
        <v>1</v>
      </c>
      <c r="AO149" s="125">
        <v>0</v>
      </c>
      <c r="AP149" s="121">
        <v>3146881</v>
      </c>
      <c r="AQ149" s="114">
        <v>0</v>
      </c>
      <c r="AR149" s="121">
        <v>207.66704458999999</v>
      </c>
      <c r="AS149" s="121">
        <v>40807.226384000001</v>
      </c>
      <c r="AT149" s="121">
        <v>5374.2934157999998</v>
      </c>
      <c r="AU149" s="420" t="s">
        <v>2001</v>
      </c>
      <c r="AV149" s="420" t="s">
        <v>2001</v>
      </c>
      <c r="AW149" s="121">
        <v>0</v>
      </c>
      <c r="AX149" s="121">
        <v>552246</v>
      </c>
      <c r="BI149">
        <v>0</v>
      </c>
      <c r="BJ149" s="121">
        <v>0</v>
      </c>
      <c r="BK149" s="134">
        <v>289331836</v>
      </c>
      <c r="BL149" s="934">
        <v>4769</v>
      </c>
      <c r="BM149" s="934">
        <v>4651</v>
      </c>
      <c r="BN149" s="934">
        <v>4651</v>
      </c>
      <c r="BO149" s="114">
        <v>0</v>
      </c>
      <c r="BP149" s="114">
        <v>0</v>
      </c>
    </row>
    <row r="150" spans="1:68">
      <c r="A150" t="s">
        <v>2789</v>
      </c>
      <c r="B150" t="s">
        <v>1926</v>
      </c>
      <c r="C150" s="121">
        <v>6862</v>
      </c>
      <c r="D150" s="72">
        <v>2</v>
      </c>
      <c r="E150">
        <v>995.26199999999994</v>
      </c>
      <c r="F150">
        <v>275</v>
      </c>
      <c r="G150">
        <v>232</v>
      </c>
      <c r="H150">
        <v>21</v>
      </c>
      <c r="I150" s="173">
        <v>1.04</v>
      </c>
      <c r="J150" s="121">
        <v>3081214052</v>
      </c>
      <c r="K150" s="125">
        <v>4328.7790000000005</v>
      </c>
      <c r="L150" s="173">
        <v>1.5</v>
      </c>
      <c r="M150">
        <v>1.04</v>
      </c>
      <c r="N150">
        <v>1.000000005</v>
      </c>
      <c r="O150">
        <v>3.9999995000000066</v>
      </c>
      <c r="P150">
        <v>3774.549</v>
      </c>
      <c r="Q150" s="125">
        <v>0.503</v>
      </c>
      <c r="R150" s="125">
        <v>0</v>
      </c>
      <c r="S150" s="125">
        <v>5.6050000000000004</v>
      </c>
      <c r="T150" s="125">
        <v>25.582000000000001</v>
      </c>
      <c r="U150" s="125">
        <v>27.533999999999999</v>
      </c>
      <c r="V150" s="125">
        <v>0.80300000000000005</v>
      </c>
      <c r="W150" s="125">
        <v>1.5960000000000001</v>
      </c>
      <c r="X150" s="125">
        <v>0</v>
      </c>
      <c r="Y150" s="125">
        <v>0</v>
      </c>
      <c r="Z150" s="125">
        <v>0</v>
      </c>
      <c r="AA150" s="125">
        <v>62.899000000000001</v>
      </c>
      <c r="AB150" s="125">
        <v>108.45</v>
      </c>
      <c r="AC150" s="125">
        <v>527</v>
      </c>
      <c r="AD150" s="125">
        <v>0.39</v>
      </c>
      <c r="AE150" s="125">
        <v>72.286000000000001</v>
      </c>
      <c r="AF150" s="125">
        <v>188.727</v>
      </c>
      <c r="AG150" s="125">
        <v>0</v>
      </c>
      <c r="AH150" s="125">
        <v>0</v>
      </c>
      <c r="AI150" s="121">
        <v>32676304</v>
      </c>
      <c r="AJ150" s="121">
        <v>6991493</v>
      </c>
      <c r="AK150" s="424">
        <v>12</v>
      </c>
      <c r="AL150">
        <v>0</v>
      </c>
      <c r="AM150" s="121">
        <v>410984</v>
      </c>
      <c r="AN150" s="125">
        <v>0</v>
      </c>
      <c r="AO150" s="125">
        <v>0</v>
      </c>
      <c r="AP150" s="121">
        <v>39667797</v>
      </c>
      <c r="AQ150" s="114">
        <v>0</v>
      </c>
      <c r="AR150" s="121">
        <v>0</v>
      </c>
      <c r="AS150" s="121">
        <v>0</v>
      </c>
      <c r="AT150" s="121">
        <v>0</v>
      </c>
      <c r="AU150" s="420" t="s">
        <v>798</v>
      </c>
      <c r="AV150" s="420" t="s">
        <v>2001</v>
      </c>
      <c r="AW150" s="121">
        <v>0</v>
      </c>
      <c r="AX150" s="121">
        <v>7022149</v>
      </c>
      <c r="AY150" s="134">
        <v>5182564</v>
      </c>
      <c r="AZ150" s="134">
        <v>5097093</v>
      </c>
      <c r="BA150" s="134">
        <v>2011</v>
      </c>
      <c r="BB150" s="134">
        <v>1541436839</v>
      </c>
      <c r="BC150" s="114">
        <v>0</v>
      </c>
      <c r="BD150" s="114">
        <v>0</v>
      </c>
      <c r="BE150" s="114">
        <v>0</v>
      </c>
      <c r="BF150" s="134">
        <v>3701</v>
      </c>
      <c r="BG150" s="114">
        <v>0</v>
      </c>
      <c r="BH150" s="114">
        <v>0</v>
      </c>
      <c r="BI150">
        <v>0</v>
      </c>
      <c r="BJ150" s="121">
        <v>0</v>
      </c>
      <c r="BK150" s="134">
        <v>3002648603</v>
      </c>
      <c r="BL150" s="934">
        <v>6536</v>
      </c>
      <c r="BM150" s="934">
        <v>6862</v>
      </c>
      <c r="BN150" s="934">
        <v>6812</v>
      </c>
      <c r="BO150" s="114">
        <v>0</v>
      </c>
      <c r="BP150" s="114">
        <v>0</v>
      </c>
    </row>
    <row r="151" spans="1:68">
      <c r="A151" t="s">
        <v>316</v>
      </c>
      <c r="B151" t="s">
        <v>2716</v>
      </c>
      <c r="C151" s="121">
        <v>4695</v>
      </c>
      <c r="D151" s="72">
        <v>1</v>
      </c>
      <c r="E151">
        <v>355.17200000000003</v>
      </c>
      <c r="F151">
        <v>97</v>
      </c>
      <c r="G151">
        <v>54</v>
      </c>
      <c r="H151">
        <v>7</v>
      </c>
      <c r="I151" s="173">
        <v>1.04</v>
      </c>
      <c r="J151" s="121">
        <v>252755490</v>
      </c>
      <c r="K151" s="125">
        <v>1772.511</v>
      </c>
      <c r="L151" s="173">
        <v>1.41</v>
      </c>
      <c r="M151">
        <v>1.04</v>
      </c>
      <c r="N151">
        <v>0.9400000047</v>
      </c>
      <c r="O151">
        <v>9.9999995300000037</v>
      </c>
      <c r="P151">
        <v>1200</v>
      </c>
      <c r="Q151" s="125">
        <v>4.2999999999999997E-2</v>
      </c>
      <c r="R151" s="125">
        <v>0</v>
      </c>
      <c r="S151" s="125">
        <v>2.6</v>
      </c>
      <c r="T151" s="125">
        <v>50</v>
      </c>
      <c r="U151" s="125">
        <v>8</v>
      </c>
      <c r="V151" s="125">
        <v>0.93</v>
      </c>
      <c r="W151" s="125">
        <v>0.5</v>
      </c>
      <c r="X151" s="125">
        <v>0</v>
      </c>
      <c r="Y151" s="125">
        <v>0</v>
      </c>
      <c r="Z151" s="125">
        <v>0</v>
      </c>
      <c r="AA151" s="125">
        <v>4</v>
      </c>
      <c r="AB151" s="125">
        <v>70</v>
      </c>
      <c r="AC151" s="125">
        <v>640</v>
      </c>
      <c r="AD151" s="125">
        <v>0</v>
      </c>
      <c r="AE151" s="125">
        <v>130</v>
      </c>
      <c r="AF151" s="125">
        <v>60</v>
      </c>
      <c r="AG151" s="125">
        <v>0</v>
      </c>
      <c r="AH151" s="125">
        <v>0</v>
      </c>
      <c r="AI151" s="121">
        <v>2594485</v>
      </c>
      <c r="AJ151" s="121">
        <v>0</v>
      </c>
      <c r="AK151" s="424">
        <v>12</v>
      </c>
      <c r="AL151">
        <v>0</v>
      </c>
      <c r="AM151" s="121">
        <v>78872</v>
      </c>
      <c r="AN151" s="125">
        <v>0</v>
      </c>
      <c r="AO151" s="125">
        <v>0</v>
      </c>
      <c r="AP151" s="121">
        <v>2594485</v>
      </c>
      <c r="AQ151" s="114">
        <v>0</v>
      </c>
      <c r="AR151" s="121">
        <v>168.47657244000001</v>
      </c>
      <c r="AS151" s="121">
        <v>33106.175539999997</v>
      </c>
      <c r="AT151" s="121">
        <v>4360.0684731000001</v>
      </c>
      <c r="AU151" s="420" t="s">
        <v>2001</v>
      </c>
      <c r="AV151" s="420" t="s">
        <v>2001</v>
      </c>
      <c r="AW151" s="121">
        <v>0</v>
      </c>
      <c r="AX151" s="121">
        <v>0</v>
      </c>
      <c r="BI151">
        <v>0</v>
      </c>
      <c r="BJ151" s="121">
        <v>0</v>
      </c>
      <c r="BK151" s="134">
        <v>252755490</v>
      </c>
      <c r="BL151" s="934">
        <v>4695</v>
      </c>
      <c r="BM151" s="934">
        <v>3575</v>
      </c>
      <c r="BN151" s="934">
        <v>3731</v>
      </c>
      <c r="BO151" s="114">
        <v>0</v>
      </c>
      <c r="BP151" s="114">
        <v>0</v>
      </c>
    </row>
    <row r="152" spans="1:68">
      <c r="A152" t="s">
        <v>1658</v>
      </c>
      <c r="B152" t="s">
        <v>1691</v>
      </c>
      <c r="C152" s="121">
        <v>4581</v>
      </c>
      <c r="D152" s="72">
        <v>2</v>
      </c>
      <c r="E152">
        <v>161.51300000000001</v>
      </c>
      <c r="F152">
        <v>67</v>
      </c>
      <c r="G152">
        <v>39</v>
      </c>
      <c r="H152">
        <v>3</v>
      </c>
      <c r="I152" s="173">
        <v>1.04</v>
      </c>
      <c r="J152" s="121">
        <v>130786128</v>
      </c>
      <c r="K152" s="125">
        <v>1036.1420000000001</v>
      </c>
      <c r="L152" s="173">
        <v>1.464</v>
      </c>
      <c r="M152">
        <v>1.04</v>
      </c>
      <c r="N152">
        <v>0.97600000488000005</v>
      </c>
      <c r="O152">
        <v>6.3999995119999991</v>
      </c>
      <c r="P152">
        <v>604.51700000000005</v>
      </c>
      <c r="Q152" s="125">
        <v>0</v>
      </c>
      <c r="R152" s="125">
        <v>0</v>
      </c>
      <c r="S152" s="125">
        <v>0.83599999999999997</v>
      </c>
      <c r="T152" s="125">
        <v>17.655000000000001</v>
      </c>
      <c r="U152" s="125">
        <v>0</v>
      </c>
      <c r="V152" s="125">
        <v>0.152</v>
      </c>
      <c r="W152" s="125">
        <v>4.4939999999999998</v>
      </c>
      <c r="X152" s="125">
        <v>0</v>
      </c>
      <c r="Y152" s="125">
        <v>0</v>
      </c>
      <c r="Z152" s="125">
        <v>0</v>
      </c>
      <c r="AA152" s="125">
        <v>14.617000000000001</v>
      </c>
      <c r="AB152" s="125">
        <v>22.981999999999999</v>
      </c>
      <c r="AC152" s="125">
        <v>598.5</v>
      </c>
      <c r="AD152" s="125">
        <v>0</v>
      </c>
      <c r="AE152" s="125">
        <v>109.976</v>
      </c>
      <c r="AF152" s="125">
        <v>30.225850000000001</v>
      </c>
      <c r="AG152" s="125">
        <v>0</v>
      </c>
      <c r="AH152" s="125">
        <v>0</v>
      </c>
      <c r="AI152" s="121">
        <v>1379133</v>
      </c>
      <c r="AJ152" s="121">
        <v>61995</v>
      </c>
      <c r="AK152" s="424">
        <v>12</v>
      </c>
      <c r="AL152">
        <v>0</v>
      </c>
      <c r="AM152" s="121">
        <v>53867</v>
      </c>
      <c r="AN152" s="125">
        <v>0</v>
      </c>
      <c r="AO152" s="125">
        <v>0</v>
      </c>
      <c r="AP152" s="121">
        <v>1441128</v>
      </c>
      <c r="AQ152" s="114">
        <v>0</v>
      </c>
      <c r="AR152" s="121">
        <v>87.176735586000007</v>
      </c>
      <c r="AS152" s="121">
        <v>17130.502297999999</v>
      </c>
      <c r="AT152" s="121">
        <v>2256.0794709000002</v>
      </c>
      <c r="AU152" s="420" t="s">
        <v>2001</v>
      </c>
      <c r="AV152" s="420" t="s">
        <v>2001</v>
      </c>
      <c r="AW152" s="121">
        <v>0</v>
      </c>
      <c r="AX152" s="121">
        <v>114588</v>
      </c>
      <c r="BI152">
        <v>0</v>
      </c>
      <c r="BJ152" s="121">
        <v>0</v>
      </c>
      <c r="BK152" s="134">
        <v>126294248</v>
      </c>
      <c r="BL152" s="934">
        <v>4444</v>
      </c>
      <c r="BM152" s="934">
        <v>4581</v>
      </c>
      <c r="BN152" s="934">
        <v>4531</v>
      </c>
      <c r="BO152" s="114">
        <v>0</v>
      </c>
      <c r="BP152" s="114">
        <v>0</v>
      </c>
    </row>
    <row r="153" spans="1:68">
      <c r="A153" t="s">
        <v>50</v>
      </c>
      <c r="B153" t="s">
        <v>445</v>
      </c>
      <c r="C153" s="121">
        <v>4559</v>
      </c>
      <c r="D153" s="72">
        <v>3</v>
      </c>
      <c r="E153">
        <v>1054.0229999999999</v>
      </c>
      <c r="F153">
        <v>399</v>
      </c>
      <c r="G153">
        <v>330</v>
      </c>
      <c r="H153">
        <v>84</v>
      </c>
      <c r="I153" s="173">
        <v>1.04</v>
      </c>
      <c r="J153" s="121">
        <v>839330771</v>
      </c>
      <c r="K153" s="125">
        <v>6394.23</v>
      </c>
      <c r="L153" s="173">
        <v>1.4550000000000001</v>
      </c>
      <c r="M153">
        <v>1.04</v>
      </c>
      <c r="N153">
        <v>0.97000000485000004</v>
      </c>
      <c r="O153">
        <v>6.999999514999999</v>
      </c>
      <c r="P153">
        <v>4631.6279999999997</v>
      </c>
      <c r="Q153" s="125">
        <v>0.72</v>
      </c>
      <c r="R153" s="125">
        <v>0</v>
      </c>
      <c r="S153" s="125">
        <v>5.944</v>
      </c>
      <c r="T153" s="125">
        <v>126.965</v>
      </c>
      <c r="U153" s="125">
        <v>47.024999999999999</v>
      </c>
      <c r="V153" s="125">
        <v>0</v>
      </c>
      <c r="W153" s="125">
        <v>13.46</v>
      </c>
      <c r="X153" s="125">
        <v>0</v>
      </c>
      <c r="Y153" s="125">
        <v>0</v>
      </c>
      <c r="Z153" s="125">
        <v>4.7990000000000004</v>
      </c>
      <c r="AA153" s="125">
        <v>117.813</v>
      </c>
      <c r="AB153" s="125">
        <v>155.41</v>
      </c>
      <c r="AC153" s="125">
        <v>3995.9</v>
      </c>
      <c r="AD153" s="125">
        <v>2.141</v>
      </c>
      <c r="AE153" s="125">
        <v>950.31200000000001</v>
      </c>
      <c r="AF153" s="125">
        <v>231.58099999999999</v>
      </c>
      <c r="AG153" s="125">
        <v>0</v>
      </c>
      <c r="AH153" s="125">
        <v>0</v>
      </c>
      <c r="AI153" s="121">
        <v>9165492</v>
      </c>
      <c r="AJ153" s="121">
        <v>605183</v>
      </c>
      <c r="AK153" s="424">
        <v>12</v>
      </c>
      <c r="AL153">
        <v>0</v>
      </c>
      <c r="AM153" s="121">
        <v>403679</v>
      </c>
      <c r="AN153" s="125">
        <v>0</v>
      </c>
      <c r="AO153" s="125">
        <v>0</v>
      </c>
      <c r="AP153" s="121">
        <v>9770675</v>
      </c>
      <c r="AQ153" s="114">
        <v>0</v>
      </c>
      <c r="AR153" s="121">
        <v>559.46389707000003</v>
      </c>
      <c r="AS153" s="121">
        <v>109936.41262</v>
      </c>
      <c r="AT153" s="121">
        <v>14478.576244</v>
      </c>
      <c r="AU153" s="420" t="s">
        <v>2001</v>
      </c>
      <c r="AV153" s="420" t="s">
        <v>2001</v>
      </c>
      <c r="AW153" s="121">
        <v>0</v>
      </c>
      <c r="AX153" s="121">
        <v>1395840</v>
      </c>
      <c r="BI153">
        <v>0</v>
      </c>
      <c r="BJ153" s="121">
        <v>0</v>
      </c>
      <c r="BK153" s="134">
        <v>839330771</v>
      </c>
      <c r="BL153" s="934">
        <v>4476</v>
      </c>
      <c r="BM153" s="934">
        <v>4509</v>
      </c>
      <c r="BN153" s="934">
        <v>4559</v>
      </c>
      <c r="BO153" s="114">
        <v>0</v>
      </c>
      <c r="BP153" s="114">
        <v>0</v>
      </c>
    </row>
    <row r="154" spans="1:68">
      <c r="A154" t="s">
        <v>1486</v>
      </c>
      <c r="B154" t="s">
        <v>669</v>
      </c>
      <c r="C154" s="121">
        <v>4605</v>
      </c>
      <c r="D154" s="72">
        <v>1</v>
      </c>
      <c r="E154">
        <v>522.88199999999995</v>
      </c>
      <c r="F154">
        <v>165</v>
      </c>
      <c r="G154">
        <v>111</v>
      </c>
      <c r="H154">
        <v>20</v>
      </c>
      <c r="I154" s="173">
        <v>1.04</v>
      </c>
      <c r="J154" s="121">
        <v>322884658</v>
      </c>
      <c r="K154" s="125">
        <v>2604.442</v>
      </c>
      <c r="L154" s="173">
        <v>1.5</v>
      </c>
      <c r="M154">
        <v>1.04</v>
      </c>
      <c r="N154">
        <v>1.000000005</v>
      </c>
      <c r="O154">
        <v>3.9999995000000066</v>
      </c>
      <c r="P154">
        <v>1870.35</v>
      </c>
      <c r="Q154" s="125">
        <v>8.5999999999999993E-2</v>
      </c>
      <c r="R154" s="125">
        <v>0</v>
      </c>
      <c r="S154" s="125">
        <v>4.181</v>
      </c>
      <c r="T154" s="125">
        <v>57.692999999999998</v>
      </c>
      <c r="U154" s="125">
        <v>18.779</v>
      </c>
      <c r="V154" s="125">
        <v>0</v>
      </c>
      <c r="W154" s="125">
        <v>14.609</v>
      </c>
      <c r="X154" s="125">
        <v>0</v>
      </c>
      <c r="Y154" s="125">
        <v>0</v>
      </c>
      <c r="Z154" s="125">
        <v>1.7689999999999999</v>
      </c>
      <c r="AA154" s="125">
        <v>14.509</v>
      </c>
      <c r="AB154" s="125">
        <v>79.036000000000001</v>
      </c>
      <c r="AC154" s="125">
        <v>1096.5</v>
      </c>
      <c r="AD154" s="125">
        <v>0.66100000000000003</v>
      </c>
      <c r="AE154" s="125">
        <v>76.507000000000005</v>
      </c>
      <c r="AF154" s="125">
        <v>93.516999999999996</v>
      </c>
      <c r="AG154" s="125">
        <v>0</v>
      </c>
      <c r="AH154" s="125">
        <v>0</v>
      </c>
      <c r="AI154" s="121">
        <v>3525900</v>
      </c>
      <c r="AJ154" s="121">
        <v>206290</v>
      </c>
      <c r="AK154" s="424">
        <v>12</v>
      </c>
      <c r="AL154">
        <v>0</v>
      </c>
      <c r="AM154" s="121">
        <v>256832</v>
      </c>
      <c r="AN154" s="125">
        <v>0.26900000000000002</v>
      </c>
      <c r="AO154" s="125">
        <v>0</v>
      </c>
      <c r="AP154" s="121">
        <v>3732190</v>
      </c>
      <c r="AQ154" s="114">
        <v>0</v>
      </c>
      <c r="AR154" s="121">
        <v>215.22183543</v>
      </c>
      <c r="AS154" s="121">
        <v>42291.766509000001</v>
      </c>
      <c r="AT154" s="121">
        <v>5569.8066846000002</v>
      </c>
      <c r="AU154" s="420" t="s">
        <v>2001</v>
      </c>
      <c r="AV154" s="420" t="s">
        <v>2001</v>
      </c>
      <c r="AW154" s="121">
        <v>0</v>
      </c>
      <c r="AX154" s="121">
        <v>838589</v>
      </c>
      <c r="BI154">
        <v>0</v>
      </c>
      <c r="BJ154" s="121">
        <v>0</v>
      </c>
      <c r="BK154" s="134">
        <v>322884658</v>
      </c>
      <c r="BL154" s="934">
        <v>4605</v>
      </c>
      <c r="BM154" s="934">
        <v>4540</v>
      </c>
      <c r="BN154" s="934">
        <v>4540</v>
      </c>
      <c r="BO154" s="114">
        <v>0</v>
      </c>
      <c r="BP154" s="114">
        <v>0</v>
      </c>
    </row>
    <row r="155" spans="1:68">
      <c r="A155" t="s">
        <v>2907</v>
      </c>
      <c r="B155" t="s">
        <v>1306</v>
      </c>
      <c r="C155" s="121">
        <v>5817</v>
      </c>
      <c r="D155" s="72">
        <v>2</v>
      </c>
      <c r="E155">
        <v>111.027</v>
      </c>
      <c r="F155">
        <v>48</v>
      </c>
      <c r="G155">
        <v>29</v>
      </c>
      <c r="H155">
        <v>0</v>
      </c>
      <c r="I155" s="173">
        <v>1.04</v>
      </c>
      <c r="J155" s="121">
        <v>35934385</v>
      </c>
      <c r="K155" s="125">
        <v>789.053</v>
      </c>
      <c r="L155" s="173">
        <v>1.5</v>
      </c>
      <c r="M155">
        <v>1.04</v>
      </c>
      <c r="N155">
        <v>1.000000005</v>
      </c>
      <c r="O155">
        <v>3.9999995000000066</v>
      </c>
      <c r="P155">
        <v>448.983</v>
      </c>
      <c r="Q155" s="125">
        <v>5.2999999999999999E-2</v>
      </c>
      <c r="R155" s="125">
        <v>0</v>
      </c>
      <c r="S155" s="125">
        <v>0.82699999999999996</v>
      </c>
      <c r="T155" s="125">
        <v>6.2460000000000004</v>
      </c>
      <c r="U155" s="125">
        <v>0.98399999999999999</v>
      </c>
      <c r="V155" s="125">
        <v>0</v>
      </c>
      <c r="W155" s="125">
        <v>2.802</v>
      </c>
      <c r="X155" s="125">
        <v>0</v>
      </c>
      <c r="Y155" s="125">
        <v>0</v>
      </c>
      <c r="Z155" s="125">
        <v>0</v>
      </c>
      <c r="AA155" s="125">
        <v>8.6519999999999992</v>
      </c>
      <c r="AB155" s="125">
        <v>23.751000000000001</v>
      </c>
      <c r="AC155" s="125">
        <v>444.5</v>
      </c>
      <c r="AD155" s="125">
        <v>5.1999999999999998E-2</v>
      </c>
      <c r="AE155" s="125">
        <v>199.84399999999999</v>
      </c>
      <c r="AF155" s="125">
        <v>22.449000000000002</v>
      </c>
      <c r="AG155" s="125">
        <v>0</v>
      </c>
      <c r="AH155" s="125">
        <v>0</v>
      </c>
      <c r="AI155" s="121">
        <v>383440</v>
      </c>
      <c r="AJ155" s="121">
        <v>0</v>
      </c>
      <c r="AK155" s="424">
        <v>12</v>
      </c>
      <c r="AL155">
        <v>0</v>
      </c>
      <c r="AM155" s="121">
        <v>46262</v>
      </c>
      <c r="AN155" s="125">
        <v>0</v>
      </c>
      <c r="AO155" s="125">
        <v>0</v>
      </c>
      <c r="AP155" s="121">
        <v>383440</v>
      </c>
      <c r="AQ155" s="114">
        <v>0</v>
      </c>
      <c r="AR155" s="121">
        <v>23.952405408000001</v>
      </c>
      <c r="AS155" s="121">
        <v>4706.7228789000001</v>
      </c>
      <c r="AT155" s="121">
        <v>619.87329253999997</v>
      </c>
      <c r="AU155" s="420" t="s">
        <v>2001</v>
      </c>
      <c r="AV155" s="420" t="s">
        <v>2001</v>
      </c>
      <c r="AW155" s="121">
        <v>0</v>
      </c>
      <c r="AX155" s="121">
        <v>0</v>
      </c>
      <c r="BI155">
        <v>0</v>
      </c>
      <c r="BJ155" s="121">
        <v>0</v>
      </c>
      <c r="BK155" s="134">
        <v>35830175</v>
      </c>
      <c r="BL155" s="934">
        <v>5460</v>
      </c>
      <c r="BM155" s="934">
        <v>5817</v>
      </c>
      <c r="BN155" s="934">
        <v>5808</v>
      </c>
      <c r="BO155" s="114">
        <v>0</v>
      </c>
      <c r="BP155" s="114">
        <v>0</v>
      </c>
    </row>
    <row r="156" spans="1:68">
      <c r="A156" t="s">
        <v>1659</v>
      </c>
      <c r="B156" t="s">
        <v>30</v>
      </c>
      <c r="C156" s="121">
        <v>4384</v>
      </c>
      <c r="D156" s="72">
        <v>2</v>
      </c>
      <c r="E156">
        <v>90.704999999999998</v>
      </c>
      <c r="F156">
        <v>0</v>
      </c>
      <c r="G156">
        <v>0</v>
      </c>
      <c r="H156">
        <v>0</v>
      </c>
      <c r="I156" s="173">
        <v>1.04</v>
      </c>
      <c r="J156" s="121">
        <v>44241815</v>
      </c>
      <c r="K156" s="125">
        <v>545.51099999999997</v>
      </c>
      <c r="L156" s="173">
        <v>1.5</v>
      </c>
      <c r="M156">
        <v>1.04</v>
      </c>
      <c r="N156">
        <v>1.000000005</v>
      </c>
      <c r="O156">
        <v>3.9999995000000066</v>
      </c>
      <c r="P156">
        <v>315</v>
      </c>
      <c r="Q156" s="125">
        <v>0</v>
      </c>
      <c r="R156" s="125">
        <v>0</v>
      </c>
      <c r="S156" s="125">
        <v>0.75</v>
      </c>
      <c r="T156" s="125">
        <v>12</v>
      </c>
      <c r="U156" s="125">
        <v>1</v>
      </c>
      <c r="V156" s="125">
        <v>0.25</v>
      </c>
      <c r="W156" s="125">
        <v>3</v>
      </c>
      <c r="X156" s="125">
        <v>0</v>
      </c>
      <c r="Y156" s="125">
        <v>0</v>
      </c>
      <c r="Z156" s="125">
        <v>0</v>
      </c>
      <c r="AA156" s="125">
        <v>9</v>
      </c>
      <c r="AB156" s="125">
        <v>8</v>
      </c>
      <c r="AC156" s="125">
        <v>215</v>
      </c>
      <c r="AD156" s="125">
        <v>0</v>
      </c>
      <c r="AE156" s="125">
        <v>8</v>
      </c>
      <c r="AF156" s="125">
        <v>15</v>
      </c>
      <c r="AG156" s="125">
        <v>0</v>
      </c>
      <c r="AH156" s="125">
        <v>0</v>
      </c>
      <c r="AI156" s="121">
        <v>492783</v>
      </c>
      <c r="AJ156" s="121">
        <v>32</v>
      </c>
      <c r="AK156" s="424">
        <v>12</v>
      </c>
      <c r="AL156">
        <v>0</v>
      </c>
      <c r="AM156" s="121">
        <v>20647</v>
      </c>
      <c r="AN156" s="125">
        <v>0</v>
      </c>
      <c r="AO156" s="125">
        <v>0</v>
      </c>
      <c r="AP156" s="121">
        <v>492815</v>
      </c>
      <c r="AQ156" s="114">
        <v>0</v>
      </c>
      <c r="AR156" s="121">
        <v>29.489801980999999</v>
      </c>
      <c r="AS156" s="121">
        <v>5794.8386941999997</v>
      </c>
      <c r="AT156" s="121">
        <v>763.17765747999999</v>
      </c>
      <c r="AU156" s="420" t="s">
        <v>2001</v>
      </c>
      <c r="AV156" s="420" t="s">
        <v>2001</v>
      </c>
      <c r="AW156" s="121">
        <v>0</v>
      </c>
      <c r="AX156" s="121">
        <v>0</v>
      </c>
      <c r="BI156">
        <v>0</v>
      </c>
      <c r="BJ156" s="121">
        <v>0</v>
      </c>
      <c r="BK156" s="134">
        <v>44241815</v>
      </c>
      <c r="BL156" s="934">
        <v>4304</v>
      </c>
      <c r="BM156" s="934">
        <v>4384</v>
      </c>
      <c r="BN156" s="934">
        <v>4357</v>
      </c>
      <c r="BO156" s="114">
        <v>0</v>
      </c>
      <c r="BP156" s="114">
        <v>0</v>
      </c>
    </row>
    <row r="157" spans="1:68">
      <c r="A157" t="s">
        <v>84</v>
      </c>
      <c r="B157" t="s">
        <v>2500</v>
      </c>
      <c r="C157" s="121">
        <v>4716</v>
      </c>
      <c r="D157" s="72">
        <v>2</v>
      </c>
      <c r="E157">
        <v>293.87799999999999</v>
      </c>
      <c r="F157">
        <v>103</v>
      </c>
      <c r="G157">
        <v>89</v>
      </c>
      <c r="H157">
        <v>9</v>
      </c>
      <c r="I157" s="173">
        <v>1.04</v>
      </c>
      <c r="J157" s="121">
        <v>172395903</v>
      </c>
      <c r="K157" s="125">
        <v>1847.1559999999999</v>
      </c>
      <c r="L157" s="173">
        <v>1.5</v>
      </c>
      <c r="M157">
        <v>1.04</v>
      </c>
      <c r="N157">
        <v>1.000000005</v>
      </c>
      <c r="O157">
        <v>3.9999995000000066</v>
      </c>
      <c r="P157">
        <v>1109.973</v>
      </c>
      <c r="Q157" s="125">
        <v>0.26100000000000001</v>
      </c>
      <c r="R157" s="125">
        <v>0</v>
      </c>
      <c r="S157" s="125">
        <v>1.9730000000000001</v>
      </c>
      <c r="T157" s="125">
        <v>46.499000000000002</v>
      </c>
      <c r="U157" s="125">
        <v>8.7910000000000004</v>
      </c>
      <c r="V157" s="125">
        <v>0</v>
      </c>
      <c r="W157" s="125">
        <v>5.1859999999999999</v>
      </c>
      <c r="X157" s="125">
        <v>0</v>
      </c>
      <c r="Y157" s="125">
        <v>0</v>
      </c>
      <c r="Z157" s="125">
        <v>0.93600000000000005</v>
      </c>
      <c r="AA157" s="125">
        <v>17.303999999999998</v>
      </c>
      <c r="AB157" s="125">
        <v>102.252</v>
      </c>
      <c r="AC157" s="125">
        <v>688</v>
      </c>
      <c r="AD157" s="125">
        <v>0.45500000000000002</v>
      </c>
      <c r="AE157" s="125">
        <v>37.149000000000001</v>
      </c>
      <c r="AF157" s="125">
        <v>55.498649999999998</v>
      </c>
      <c r="AG157" s="125">
        <v>0</v>
      </c>
      <c r="AH157" s="125">
        <v>0</v>
      </c>
      <c r="AI157" s="121">
        <v>1819796</v>
      </c>
      <c r="AJ157" s="121">
        <v>137340</v>
      </c>
      <c r="AK157" s="424">
        <v>12</v>
      </c>
      <c r="AL157">
        <v>0</v>
      </c>
      <c r="AM157" s="121">
        <v>52302</v>
      </c>
      <c r="AN157" s="125">
        <v>0</v>
      </c>
      <c r="AO157" s="125">
        <v>0</v>
      </c>
      <c r="AP157" s="121">
        <v>1957136</v>
      </c>
      <c r="AQ157" s="114">
        <v>0</v>
      </c>
      <c r="AR157" s="121">
        <v>114.9121267</v>
      </c>
      <c r="AS157" s="121">
        <v>22580.593747999999</v>
      </c>
      <c r="AT157" s="121">
        <v>2973.8540708999999</v>
      </c>
      <c r="AU157" s="420" t="s">
        <v>2001</v>
      </c>
      <c r="AV157" s="420" t="s">
        <v>2001</v>
      </c>
      <c r="AW157" s="121">
        <v>0</v>
      </c>
      <c r="AX157" s="121">
        <v>338322</v>
      </c>
      <c r="BI157">
        <v>0</v>
      </c>
      <c r="BJ157" s="121">
        <v>0</v>
      </c>
      <c r="BK157" s="134">
        <v>168331310</v>
      </c>
      <c r="BL157" s="934">
        <v>4612</v>
      </c>
      <c r="BM157" s="934">
        <v>4716</v>
      </c>
      <c r="BN157" s="934">
        <v>4716</v>
      </c>
      <c r="BO157" s="114">
        <v>0</v>
      </c>
      <c r="BP157" s="114">
        <v>0</v>
      </c>
    </row>
    <row r="158" spans="1:68">
      <c r="A158" t="s">
        <v>1270</v>
      </c>
      <c r="B158" t="s">
        <v>31</v>
      </c>
      <c r="C158" s="121">
        <v>4532</v>
      </c>
      <c r="D158" s="72">
        <v>2</v>
      </c>
      <c r="E158">
        <v>34.627000000000002</v>
      </c>
      <c r="F158">
        <v>13</v>
      </c>
      <c r="G158">
        <v>8</v>
      </c>
      <c r="H158">
        <v>0</v>
      </c>
      <c r="I158" s="173">
        <v>1.17</v>
      </c>
      <c r="J158" s="121">
        <v>20587958</v>
      </c>
      <c r="K158" s="125">
        <v>235.64</v>
      </c>
      <c r="L158" s="173">
        <v>1.5</v>
      </c>
      <c r="M158">
        <v>1.17</v>
      </c>
      <c r="N158">
        <v>1.000000005</v>
      </c>
      <c r="O158">
        <v>16.999999499999994</v>
      </c>
      <c r="P158">
        <v>96.39</v>
      </c>
      <c r="Q158" s="125">
        <v>0</v>
      </c>
      <c r="R158" s="125">
        <v>0</v>
      </c>
      <c r="S158" s="125">
        <v>0.09</v>
      </c>
      <c r="T158" s="125">
        <v>2.3759999999999999</v>
      </c>
      <c r="U158" s="125">
        <v>7.3999999999999996E-2</v>
      </c>
      <c r="V158" s="125">
        <v>0</v>
      </c>
      <c r="W158" s="125">
        <v>0</v>
      </c>
      <c r="X158" s="125">
        <v>0</v>
      </c>
      <c r="Y158" s="125">
        <v>0</v>
      </c>
      <c r="Z158" s="125">
        <v>0</v>
      </c>
      <c r="AA158" s="125">
        <v>5.5759999999999996</v>
      </c>
      <c r="AB158" s="125">
        <v>6.407</v>
      </c>
      <c r="AC158" s="125">
        <v>75.7</v>
      </c>
      <c r="AD158" s="125">
        <v>0</v>
      </c>
      <c r="AE158" s="125">
        <v>4.2329999999999997</v>
      </c>
      <c r="AF158" s="125">
        <v>4.819</v>
      </c>
      <c r="AG158" s="125">
        <v>0</v>
      </c>
      <c r="AH158" s="125">
        <v>0</v>
      </c>
      <c r="AI158" s="121">
        <v>250394</v>
      </c>
      <c r="AJ158" s="121">
        <v>17748</v>
      </c>
      <c r="AK158" s="424">
        <v>12</v>
      </c>
      <c r="AL158">
        <v>0</v>
      </c>
      <c r="AM158" s="121">
        <v>1933</v>
      </c>
      <c r="AN158" s="125">
        <v>0</v>
      </c>
      <c r="AO158" s="125">
        <v>0</v>
      </c>
      <c r="AP158" s="121">
        <v>268142</v>
      </c>
      <c r="AQ158" s="114">
        <v>0</v>
      </c>
      <c r="AR158" s="121">
        <v>13.723098942</v>
      </c>
      <c r="AS158" s="121">
        <v>2696.6320357999998</v>
      </c>
      <c r="AT158" s="121">
        <v>355.14522987999999</v>
      </c>
      <c r="AU158" s="420" t="s">
        <v>2001</v>
      </c>
      <c r="AV158" s="420" t="s">
        <v>2001</v>
      </c>
      <c r="AW158" s="121">
        <v>0</v>
      </c>
      <c r="AX158" s="121">
        <v>24832</v>
      </c>
      <c r="BI158">
        <v>0</v>
      </c>
      <c r="BJ158" s="121">
        <v>0</v>
      </c>
      <c r="BK158" s="134">
        <v>20587958</v>
      </c>
      <c r="BL158" s="934">
        <v>4520</v>
      </c>
      <c r="BM158" s="934">
        <v>4532</v>
      </c>
      <c r="BN158" s="934">
        <v>4532</v>
      </c>
      <c r="BO158" s="114">
        <v>0</v>
      </c>
      <c r="BP158" s="114">
        <v>0</v>
      </c>
    </row>
    <row r="159" spans="1:68">
      <c r="A159" t="s">
        <v>2482</v>
      </c>
      <c r="B159" t="s">
        <v>2193</v>
      </c>
      <c r="C159" s="121">
        <v>4664</v>
      </c>
      <c r="D159" s="72">
        <v>3</v>
      </c>
      <c r="E159">
        <v>261.029</v>
      </c>
      <c r="F159">
        <v>90</v>
      </c>
      <c r="G159">
        <v>65</v>
      </c>
      <c r="H159">
        <v>8</v>
      </c>
      <c r="I159" s="173">
        <v>1.04</v>
      </c>
      <c r="J159" s="121">
        <v>298622522</v>
      </c>
      <c r="K159" s="125">
        <v>1535.683</v>
      </c>
      <c r="L159" s="173">
        <v>1.47</v>
      </c>
      <c r="M159">
        <v>1.04</v>
      </c>
      <c r="N159">
        <v>0.98000000490000005</v>
      </c>
      <c r="O159">
        <v>5.9999995099999985</v>
      </c>
      <c r="P159">
        <v>949</v>
      </c>
      <c r="Q159" s="125">
        <v>0.06</v>
      </c>
      <c r="R159" s="125">
        <v>0</v>
      </c>
      <c r="S159" s="125">
        <v>1.75</v>
      </c>
      <c r="T159" s="125">
        <v>32</v>
      </c>
      <c r="U159" s="125">
        <v>11.5</v>
      </c>
      <c r="V159" s="125">
        <v>0</v>
      </c>
      <c r="W159" s="125">
        <v>3.75</v>
      </c>
      <c r="X159" s="125">
        <v>0</v>
      </c>
      <c r="Y159" s="125">
        <v>0</v>
      </c>
      <c r="Z159" s="125">
        <v>1.3</v>
      </c>
      <c r="AA159" s="125">
        <v>12.5</v>
      </c>
      <c r="AB159" s="125">
        <v>54</v>
      </c>
      <c r="AC159" s="125">
        <v>340</v>
      </c>
      <c r="AD159" s="125">
        <v>0.12</v>
      </c>
      <c r="AE159" s="125">
        <v>1.5</v>
      </c>
      <c r="AF159" s="125">
        <v>47.45</v>
      </c>
      <c r="AG159" s="125">
        <v>0</v>
      </c>
      <c r="AH159" s="125">
        <v>0</v>
      </c>
      <c r="AI159" s="121">
        <v>3163129</v>
      </c>
      <c r="AJ159" s="121">
        <v>746090</v>
      </c>
      <c r="AK159" s="424">
        <v>12</v>
      </c>
      <c r="AL159">
        <v>0</v>
      </c>
      <c r="AM159" s="121">
        <v>118479</v>
      </c>
      <c r="AN159" s="125">
        <v>0</v>
      </c>
      <c r="AO159" s="125">
        <v>1</v>
      </c>
      <c r="AP159" s="121">
        <v>3909219</v>
      </c>
      <c r="AQ159" s="114">
        <v>0</v>
      </c>
      <c r="AR159" s="121">
        <v>199.04967825</v>
      </c>
      <c r="AS159" s="121">
        <v>39113.886837999999</v>
      </c>
      <c r="AT159" s="121">
        <v>5151.2813569999998</v>
      </c>
      <c r="AU159" s="420" t="s">
        <v>2001</v>
      </c>
      <c r="AV159" s="420" t="s">
        <v>2001</v>
      </c>
      <c r="AW159" s="121">
        <v>0</v>
      </c>
      <c r="AX159" s="121">
        <v>778788</v>
      </c>
      <c r="BI159">
        <v>0</v>
      </c>
      <c r="BJ159" s="121">
        <v>0</v>
      </c>
      <c r="BK159" s="134">
        <v>298622522</v>
      </c>
      <c r="BL159" s="934">
        <v>4587</v>
      </c>
      <c r="BM159" s="934">
        <v>4609</v>
      </c>
      <c r="BN159" s="934">
        <v>4664</v>
      </c>
      <c r="BO159" s="114">
        <v>0</v>
      </c>
      <c r="BP159" s="114">
        <v>0</v>
      </c>
    </row>
    <row r="160" spans="1:68">
      <c r="A160" t="s">
        <v>814</v>
      </c>
      <c r="B160" t="s">
        <v>1124</v>
      </c>
      <c r="C160" s="121">
        <v>4647</v>
      </c>
      <c r="D160" s="72">
        <v>2</v>
      </c>
      <c r="E160">
        <v>159.96100000000001</v>
      </c>
      <c r="F160">
        <v>38</v>
      </c>
      <c r="G160">
        <v>29</v>
      </c>
      <c r="H160">
        <v>5</v>
      </c>
      <c r="I160" s="173">
        <v>1.04</v>
      </c>
      <c r="J160" s="121">
        <v>79735528</v>
      </c>
      <c r="K160" s="125">
        <v>760.97299999999996</v>
      </c>
      <c r="L160" s="173">
        <v>1.5</v>
      </c>
      <c r="M160">
        <v>1.04</v>
      </c>
      <c r="N160">
        <v>1.000000005</v>
      </c>
      <c r="O160">
        <v>3.9999995000000066</v>
      </c>
      <c r="P160">
        <v>454.16399999999999</v>
      </c>
      <c r="Q160" s="125">
        <v>2.5999999999999999E-2</v>
      </c>
      <c r="R160" s="125">
        <v>0</v>
      </c>
      <c r="S160" s="125">
        <v>0.92100000000000004</v>
      </c>
      <c r="T160" s="125">
        <v>19.004999999999999</v>
      </c>
      <c r="U160" s="125">
        <v>0.93200000000000005</v>
      </c>
      <c r="V160" s="125">
        <v>0</v>
      </c>
      <c r="W160" s="125">
        <v>0.63400000000000001</v>
      </c>
      <c r="X160" s="125">
        <v>0</v>
      </c>
      <c r="Y160" s="125">
        <v>0</v>
      </c>
      <c r="Z160" s="125">
        <v>0.105</v>
      </c>
      <c r="AA160" s="125">
        <v>4.8280000000000003</v>
      </c>
      <c r="AB160" s="125">
        <v>33.679000000000002</v>
      </c>
      <c r="AC160" s="125">
        <v>279.39999999999998</v>
      </c>
      <c r="AD160" s="125">
        <v>0</v>
      </c>
      <c r="AE160" s="125">
        <v>3.3319999999999999</v>
      </c>
      <c r="AF160" s="125">
        <v>22.707999999999998</v>
      </c>
      <c r="AG160" s="125">
        <v>0</v>
      </c>
      <c r="AH160" s="125">
        <v>0</v>
      </c>
      <c r="AI160" s="121">
        <v>862005</v>
      </c>
      <c r="AJ160" s="121">
        <v>152961</v>
      </c>
      <c r="AK160" s="424">
        <v>12</v>
      </c>
      <c r="AL160">
        <v>0</v>
      </c>
      <c r="AM160" s="121">
        <v>54841</v>
      </c>
      <c r="AN160" s="125">
        <v>0</v>
      </c>
      <c r="AO160" s="125">
        <v>0</v>
      </c>
      <c r="AP160" s="121">
        <v>1014966</v>
      </c>
      <c r="AQ160" s="114">
        <v>0</v>
      </c>
      <c r="AR160" s="121">
        <v>53.148473488</v>
      </c>
      <c r="AS160" s="121">
        <v>10443.841939</v>
      </c>
      <c r="AT160" s="121">
        <v>1375.4493001000001</v>
      </c>
      <c r="AU160" s="420" t="s">
        <v>2001</v>
      </c>
      <c r="AV160" s="420" t="s">
        <v>2001</v>
      </c>
      <c r="AW160" s="121">
        <v>0</v>
      </c>
      <c r="AX160" s="121">
        <v>333414</v>
      </c>
      <c r="BI160">
        <v>0</v>
      </c>
      <c r="BJ160" s="121">
        <v>0</v>
      </c>
      <c r="BK160" s="134">
        <v>79735528</v>
      </c>
      <c r="BL160" s="934">
        <v>4590</v>
      </c>
      <c r="BM160" s="934">
        <v>4647</v>
      </c>
      <c r="BN160" s="934">
        <v>4647</v>
      </c>
      <c r="BO160" s="114">
        <v>0</v>
      </c>
      <c r="BP160" s="114">
        <v>0</v>
      </c>
    </row>
    <row r="161" spans="1:68">
      <c r="A161" t="s">
        <v>2483</v>
      </c>
      <c r="B161" t="s">
        <v>2194</v>
      </c>
      <c r="C161" s="121">
        <v>4640</v>
      </c>
      <c r="D161" s="72">
        <v>1</v>
      </c>
      <c r="E161">
        <v>56.122999999999998</v>
      </c>
      <c r="F161">
        <v>19</v>
      </c>
      <c r="G161">
        <v>10</v>
      </c>
      <c r="H161">
        <v>0</v>
      </c>
      <c r="I161" s="173">
        <v>1.04</v>
      </c>
      <c r="J161" s="121">
        <v>39533682</v>
      </c>
      <c r="K161" s="125">
        <v>282.65199999999999</v>
      </c>
      <c r="L161" s="173">
        <v>1.5</v>
      </c>
      <c r="M161">
        <v>1.04</v>
      </c>
      <c r="N161">
        <v>1.000000005</v>
      </c>
      <c r="O161">
        <v>3.9999995000000066</v>
      </c>
      <c r="P161">
        <v>168.47900000000001</v>
      </c>
      <c r="Q161" s="125">
        <v>0</v>
      </c>
      <c r="R161" s="125">
        <v>0</v>
      </c>
      <c r="S161" s="125">
        <v>0.15</v>
      </c>
      <c r="T161" s="125">
        <v>4.7430000000000003</v>
      </c>
      <c r="U161" s="125">
        <v>0.61299999999999999</v>
      </c>
      <c r="V161" s="125">
        <v>0.66600000000000004</v>
      </c>
      <c r="W161" s="125">
        <v>1.093</v>
      </c>
      <c r="X161" s="125">
        <v>0</v>
      </c>
      <c r="Y161" s="125">
        <v>0</v>
      </c>
      <c r="Z161" s="125">
        <v>0</v>
      </c>
      <c r="AA161" s="125">
        <v>3.8849999999999998</v>
      </c>
      <c r="AB161" s="125">
        <v>9.6470000000000002</v>
      </c>
      <c r="AC161" s="125">
        <v>60.9</v>
      </c>
      <c r="AD161" s="125">
        <v>0</v>
      </c>
      <c r="AE161" s="125">
        <v>0</v>
      </c>
      <c r="AF161" s="125">
        <v>8.4239499999999996</v>
      </c>
      <c r="AG161" s="125">
        <v>0</v>
      </c>
      <c r="AH161" s="125">
        <v>0</v>
      </c>
      <c r="AI161" s="121">
        <v>418910</v>
      </c>
      <c r="AJ161" s="121">
        <v>0</v>
      </c>
      <c r="AK161" s="424">
        <v>12</v>
      </c>
      <c r="AL161">
        <v>0</v>
      </c>
      <c r="AM161" s="121">
        <v>17727</v>
      </c>
      <c r="AN161" s="125">
        <v>0</v>
      </c>
      <c r="AO161" s="125">
        <v>0</v>
      </c>
      <c r="AP161" s="121">
        <v>418910</v>
      </c>
      <c r="AQ161" s="114">
        <v>0</v>
      </c>
      <c r="AR161" s="121">
        <v>26.351551036</v>
      </c>
      <c r="AS161" s="121">
        <v>5178.1625285999999</v>
      </c>
      <c r="AT161" s="121">
        <v>681.96168301</v>
      </c>
      <c r="AU161" s="420" t="s">
        <v>2001</v>
      </c>
      <c r="AV161" s="420" t="s">
        <v>2001</v>
      </c>
      <c r="AW161" s="121">
        <v>0</v>
      </c>
      <c r="AX161" s="121">
        <v>0</v>
      </c>
      <c r="BI161">
        <v>0</v>
      </c>
      <c r="BJ161" s="121">
        <v>0</v>
      </c>
      <c r="BK161" s="134">
        <v>39144629</v>
      </c>
      <c r="BL161" s="934">
        <v>4640</v>
      </c>
      <c r="BM161" s="934">
        <v>4614</v>
      </c>
      <c r="BN161" s="934">
        <v>4614</v>
      </c>
      <c r="BO161" s="114">
        <v>0</v>
      </c>
      <c r="BP161" s="114">
        <v>0</v>
      </c>
    </row>
    <row r="162" spans="1:68">
      <c r="A162" t="s">
        <v>1883</v>
      </c>
      <c r="B162" t="s">
        <v>2195</v>
      </c>
      <c r="C162" s="121">
        <v>5223</v>
      </c>
      <c r="D162" s="72">
        <v>2</v>
      </c>
      <c r="E162">
        <v>36.25</v>
      </c>
      <c r="F162">
        <v>17</v>
      </c>
      <c r="G162">
        <v>9</v>
      </c>
      <c r="H162">
        <v>0</v>
      </c>
      <c r="I162" s="173">
        <v>1.04</v>
      </c>
      <c r="J162" s="121">
        <v>71412018</v>
      </c>
      <c r="K162" s="125">
        <v>251.483</v>
      </c>
      <c r="L162" s="173">
        <v>1.5</v>
      </c>
      <c r="M162">
        <v>1.04</v>
      </c>
      <c r="N162">
        <v>1.000000005</v>
      </c>
      <c r="O162">
        <v>3.9999995000000066</v>
      </c>
      <c r="P162">
        <v>117.271</v>
      </c>
      <c r="Q162" s="125">
        <v>0</v>
      </c>
      <c r="R162" s="125">
        <v>0</v>
      </c>
      <c r="S162" s="125">
        <v>0.19900000000000001</v>
      </c>
      <c r="T162" s="125">
        <v>1.58</v>
      </c>
      <c r="U162" s="125">
        <v>3.6999999999999998E-2</v>
      </c>
      <c r="V162" s="125">
        <v>0</v>
      </c>
      <c r="W162" s="125">
        <v>0.34699999999999998</v>
      </c>
      <c r="X162" s="125">
        <v>0</v>
      </c>
      <c r="Y162" s="125">
        <v>0</v>
      </c>
      <c r="Z162" s="125">
        <v>0</v>
      </c>
      <c r="AA162" s="125">
        <v>13.755000000000001</v>
      </c>
      <c r="AB162" s="125">
        <v>11.760999999999999</v>
      </c>
      <c r="AC162" s="125">
        <v>58.6</v>
      </c>
      <c r="AD162" s="125">
        <v>0</v>
      </c>
      <c r="AE162" s="125">
        <v>0</v>
      </c>
      <c r="AF162" s="125">
        <v>5.86355</v>
      </c>
      <c r="AG162" s="125">
        <v>0</v>
      </c>
      <c r="AH162" s="125">
        <v>0</v>
      </c>
      <c r="AI162" s="121">
        <v>764823</v>
      </c>
      <c r="AJ162" s="121">
        <v>0</v>
      </c>
      <c r="AK162" s="424">
        <v>12</v>
      </c>
      <c r="AL162">
        <v>0</v>
      </c>
      <c r="AM162" s="121">
        <v>42322</v>
      </c>
      <c r="AN162" s="125">
        <v>1</v>
      </c>
      <c r="AO162" s="125">
        <v>0</v>
      </c>
      <c r="AP162" s="121">
        <v>764823</v>
      </c>
      <c r="AQ162" s="114">
        <v>0</v>
      </c>
      <c r="AR162" s="121">
        <v>47.600358632000003</v>
      </c>
      <c r="AS162" s="121">
        <v>9353.6199474999994</v>
      </c>
      <c r="AT162" s="121">
        <v>1231.8675527</v>
      </c>
      <c r="AU162" s="420" t="s">
        <v>2001</v>
      </c>
      <c r="AV162" s="420" t="s">
        <v>2001</v>
      </c>
      <c r="AW162" s="121">
        <v>0</v>
      </c>
      <c r="AX162" s="121">
        <v>0</v>
      </c>
      <c r="BI162">
        <v>0</v>
      </c>
      <c r="BJ162" s="121">
        <v>0</v>
      </c>
      <c r="BK162" s="134">
        <v>70038739</v>
      </c>
      <c r="BL162" s="934">
        <v>5156</v>
      </c>
      <c r="BM162" s="934">
        <v>5223</v>
      </c>
      <c r="BN162" s="934">
        <v>5223</v>
      </c>
      <c r="BO162" s="114">
        <v>0</v>
      </c>
      <c r="BP162" s="114">
        <v>0</v>
      </c>
    </row>
    <row r="163" spans="1:68">
      <c r="A163" t="s">
        <v>1884</v>
      </c>
      <c r="B163" t="s">
        <v>2468</v>
      </c>
      <c r="C163" s="121">
        <v>4809</v>
      </c>
      <c r="D163" s="72">
        <v>1</v>
      </c>
      <c r="E163">
        <v>139.595</v>
      </c>
      <c r="F163">
        <v>56</v>
      </c>
      <c r="G163">
        <v>47</v>
      </c>
      <c r="H163">
        <v>0</v>
      </c>
      <c r="I163" s="173">
        <v>1.04</v>
      </c>
      <c r="J163" s="121">
        <v>58738084</v>
      </c>
      <c r="K163" s="125">
        <v>845.79600000000005</v>
      </c>
      <c r="L163" s="173">
        <v>1.5</v>
      </c>
      <c r="M163">
        <v>1.04</v>
      </c>
      <c r="N163">
        <v>1.000000005</v>
      </c>
      <c r="O163">
        <v>3.9999995000000066</v>
      </c>
      <c r="P163">
        <v>464.25200000000001</v>
      </c>
      <c r="Q163" s="125">
        <v>0</v>
      </c>
      <c r="R163" s="125">
        <v>0</v>
      </c>
      <c r="S163" s="125">
        <v>0.73199999999999998</v>
      </c>
      <c r="T163" s="125">
        <v>24.305</v>
      </c>
      <c r="U163" s="125">
        <v>0</v>
      </c>
      <c r="V163" s="125">
        <v>0</v>
      </c>
      <c r="W163" s="125">
        <v>0</v>
      </c>
      <c r="X163" s="125">
        <v>0</v>
      </c>
      <c r="Y163" s="125">
        <v>0</v>
      </c>
      <c r="Z163" s="125">
        <v>0</v>
      </c>
      <c r="AA163" s="125">
        <v>2.1509999999999998</v>
      </c>
      <c r="AB163" s="125">
        <v>31.664999999999999</v>
      </c>
      <c r="AC163" s="125">
        <v>459.6</v>
      </c>
      <c r="AD163" s="125">
        <v>0.40899999999999997</v>
      </c>
      <c r="AE163" s="125">
        <v>63.917000000000002</v>
      </c>
      <c r="AF163" s="125">
        <v>23.212599999999998</v>
      </c>
      <c r="AG163" s="125">
        <v>0</v>
      </c>
      <c r="AH163" s="125">
        <v>0</v>
      </c>
      <c r="AI163" s="121">
        <v>615763</v>
      </c>
      <c r="AJ163" s="121">
        <v>0</v>
      </c>
      <c r="AK163" s="424">
        <v>12</v>
      </c>
      <c r="AL163">
        <v>0</v>
      </c>
      <c r="AM163" s="121">
        <v>26889</v>
      </c>
      <c r="AN163" s="125">
        <v>0</v>
      </c>
      <c r="AO163" s="125">
        <v>0</v>
      </c>
      <c r="AP163" s="121">
        <v>615763</v>
      </c>
      <c r="AQ163" s="114">
        <v>0</v>
      </c>
      <c r="AR163" s="121">
        <v>39.152427764000002</v>
      </c>
      <c r="AS163" s="121">
        <v>7693.5750033000004</v>
      </c>
      <c r="AT163" s="121">
        <v>1013.240378</v>
      </c>
      <c r="AU163" s="420" t="s">
        <v>2001</v>
      </c>
      <c r="AV163" s="420" t="s">
        <v>2001</v>
      </c>
      <c r="AW163" s="121">
        <v>0</v>
      </c>
      <c r="AX163" s="121">
        <v>0</v>
      </c>
      <c r="BI163">
        <v>0</v>
      </c>
      <c r="BJ163" s="121">
        <v>0</v>
      </c>
      <c r="BK163" s="134">
        <v>58738084</v>
      </c>
      <c r="BL163" s="934">
        <v>4809</v>
      </c>
      <c r="BM163" s="934">
        <v>4528</v>
      </c>
      <c r="BN163" s="934">
        <v>4528</v>
      </c>
      <c r="BO163" s="114">
        <v>0</v>
      </c>
      <c r="BP163" s="114">
        <v>0</v>
      </c>
    </row>
    <row r="164" spans="1:68">
      <c r="A164" t="s">
        <v>899</v>
      </c>
      <c r="B164" t="s">
        <v>1179</v>
      </c>
      <c r="C164" s="121">
        <v>9182</v>
      </c>
      <c r="D164" s="72">
        <v>2</v>
      </c>
      <c r="E164">
        <v>119.25700000000001</v>
      </c>
      <c r="F164">
        <v>47</v>
      </c>
      <c r="G164">
        <v>23</v>
      </c>
      <c r="H164">
        <v>0</v>
      </c>
      <c r="I164" s="173">
        <v>1.04</v>
      </c>
      <c r="J164" s="121">
        <v>664796300</v>
      </c>
      <c r="K164" s="125">
        <v>600.25699999999995</v>
      </c>
      <c r="L164" s="173">
        <v>1.5</v>
      </c>
      <c r="M164">
        <v>1.04</v>
      </c>
      <c r="N164">
        <v>1.000000005</v>
      </c>
      <c r="O164">
        <v>3.9999995000000066</v>
      </c>
      <c r="P164">
        <v>293.21699999999998</v>
      </c>
      <c r="Q164" s="125">
        <v>0</v>
      </c>
      <c r="R164" s="125">
        <v>2.524</v>
      </c>
      <c r="S164" s="125">
        <v>0.73399999999999999</v>
      </c>
      <c r="T164" s="125">
        <v>5.7880000000000003</v>
      </c>
      <c r="U164" s="125">
        <v>0.73499999999999999</v>
      </c>
      <c r="V164" s="125">
        <v>0</v>
      </c>
      <c r="W164" s="125">
        <v>0</v>
      </c>
      <c r="X164" s="125">
        <v>0</v>
      </c>
      <c r="Y164" s="125">
        <v>0</v>
      </c>
      <c r="Z164" s="125">
        <v>4.6319999999999997</v>
      </c>
      <c r="AA164" s="125">
        <v>1.27</v>
      </c>
      <c r="AB164" s="125">
        <v>26.151</v>
      </c>
      <c r="AC164" s="125">
        <v>183.7</v>
      </c>
      <c r="AD164" s="125">
        <v>8.2000000000000003E-2</v>
      </c>
      <c r="AE164" s="125">
        <v>18.673999999999999</v>
      </c>
      <c r="AF164" s="125">
        <v>14.66085</v>
      </c>
      <c r="AG164" s="125">
        <v>0</v>
      </c>
      <c r="AH164" s="125">
        <v>0</v>
      </c>
      <c r="AI164" s="121">
        <v>7186980</v>
      </c>
      <c r="AJ164" s="121">
        <v>0</v>
      </c>
      <c r="AK164" s="424">
        <v>12</v>
      </c>
      <c r="AL164">
        <v>0</v>
      </c>
      <c r="AM164" s="121">
        <v>54139</v>
      </c>
      <c r="AN164" s="125">
        <v>0</v>
      </c>
      <c r="AO164" s="125">
        <v>0</v>
      </c>
      <c r="AP164" s="121">
        <v>7186980</v>
      </c>
      <c r="AQ164" s="114">
        <v>0</v>
      </c>
      <c r="AR164" s="121">
        <v>0</v>
      </c>
      <c r="AS164" s="121">
        <v>0</v>
      </c>
      <c r="AT164" s="121">
        <v>0</v>
      </c>
      <c r="AU164" s="420" t="s">
        <v>798</v>
      </c>
      <c r="AV164" s="420" t="s">
        <v>2001</v>
      </c>
      <c r="AW164" s="121">
        <v>0</v>
      </c>
      <c r="AX164" s="121">
        <v>0</v>
      </c>
      <c r="AY164" s="134">
        <v>1893247</v>
      </c>
      <c r="AZ164" s="134">
        <v>1695740</v>
      </c>
      <c r="BA164" s="114">
        <v>596</v>
      </c>
      <c r="BB164" s="134">
        <v>684649946</v>
      </c>
      <c r="BC164" s="114">
        <v>0</v>
      </c>
      <c r="BD164" s="114">
        <v>0</v>
      </c>
      <c r="BE164" s="114">
        <v>0</v>
      </c>
      <c r="BF164" s="114">
        <v>342</v>
      </c>
      <c r="BG164" s="114">
        <v>0</v>
      </c>
      <c r="BH164" s="114">
        <v>0</v>
      </c>
      <c r="BI164">
        <v>0</v>
      </c>
      <c r="BJ164" s="121">
        <v>0</v>
      </c>
      <c r="BK164" s="134">
        <v>664796300</v>
      </c>
      <c r="BL164" s="934">
        <v>8086</v>
      </c>
      <c r="BM164" s="934">
        <v>9182</v>
      </c>
      <c r="BN164" s="934">
        <v>8240</v>
      </c>
      <c r="BO164" s="114">
        <v>0</v>
      </c>
      <c r="BP164" s="114">
        <v>0</v>
      </c>
    </row>
    <row r="165" spans="1:68">
      <c r="A165" t="s">
        <v>900</v>
      </c>
      <c r="B165" t="s">
        <v>2470</v>
      </c>
      <c r="C165" s="121">
        <v>4705</v>
      </c>
      <c r="D165" s="72">
        <v>2</v>
      </c>
      <c r="E165">
        <v>124.244</v>
      </c>
      <c r="F165">
        <v>45</v>
      </c>
      <c r="G165">
        <v>24</v>
      </c>
      <c r="H165">
        <v>0</v>
      </c>
      <c r="I165" s="173">
        <v>1.04</v>
      </c>
      <c r="J165" s="121">
        <v>80815027</v>
      </c>
      <c r="K165" s="125">
        <v>1240.317</v>
      </c>
      <c r="L165" s="173">
        <v>1.45</v>
      </c>
      <c r="M165">
        <v>1.04</v>
      </c>
      <c r="N165">
        <v>0.96666667149999996</v>
      </c>
      <c r="O165">
        <v>7.3333328500000068</v>
      </c>
      <c r="P165">
        <v>525</v>
      </c>
      <c r="Q165" s="125">
        <v>0</v>
      </c>
      <c r="R165" s="125">
        <v>0</v>
      </c>
      <c r="S165" s="125">
        <v>0.99</v>
      </c>
      <c r="T165" s="125">
        <v>13.471</v>
      </c>
      <c r="U165" s="125">
        <v>4.4000000000000004</v>
      </c>
      <c r="V165" s="125">
        <v>0</v>
      </c>
      <c r="W165" s="125">
        <v>1.077</v>
      </c>
      <c r="X165" s="125">
        <v>0</v>
      </c>
      <c r="Y165" s="125">
        <v>0</v>
      </c>
      <c r="Z165" s="125">
        <v>57.055999999999997</v>
      </c>
      <c r="AA165" s="125">
        <v>2.2999999999999998</v>
      </c>
      <c r="AB165" s="125">
        <v>11.2</v>
      </c>
      <c r="AC165" s="125">
        <v>406</v>
      </c>
      <c r="AD165" s="125">
        <v>5.5E-2</v>
      </c>
      <c r="AE165" s="125">
        <v>36</v>
      </c>
      <c r="AF165" s="125">
        <v>26.25</v>
      </c>
      <c r="AG165" s="125">
        <v>0</v>
      </c>
      <c r="AH165" s="125">
        <v>0</v>
      </c>
      <c r="AI165" s="121">
        <v>848308</v>
      </c>
      <c r="AJ165" s="121">
        <v>0</v>
      </c>
      <c r="AK165" s="424">
        <v>12</v>
      </c>
      <c r="AL165">
        <v>0</v>
      </c>
      <c r="AM165" s="121">
        <v>37840</v>
      </c>
      <c r="AN165" s="125">
        <v>0</v>
      </c>
      <c r="AO165" s="125">
        <v>0</v>
      </c>
      <c r="AP165" s="121">
        <v>848308</v>
      </c>
      <c r="AQ165" s="114">
        <v>0</v>
      </c>
      <c r="AR165" s="121">
        <v>53.868023991999998</v>
      </c>
      <c r="AS165" s="121">
        <v>10585.235873</v>
      </c>
      <c r="AT165" s="121">
        <v>1394.0708176999999</v>
      </c>
      <c r="AU165" s="420" t="s">
        <v>2001</v>
      </c>
      <c r="AV165" s="420" t="s">
        <v>2001</v>
      </c>
      <c r="AW165" s="121">
        <v>0</v>
      </c>
      <c r="AX165" s="121">
        <v>0</v>
      </c>
      <c r="BI165">
        <v>0</v>
      </c>
      <c r="BJ165" s="121">
        <v>0</v>
      </c>
      <c r="BK165" s="134">
        <v>76914700</v>
      </c>
      <c r="BL165" s="934">
        <v>4622</v>
      </c>
      <c r="BM165" s="934">
        <v>4705</v>
      </c>
      <c r="BN165" s="934">
        <v>4636</v>
      </c>
      <c r="BO165" s="114">
        <v>0</v>
      </c>
      <c r="BP165" s="114">
        <v>0</v>
      </c>
    </row>
    <row r="166" spans="1:68">
      <c r="A166" t="s">
        <v>922</v>
      </c>
      <c r="B166" t="s">
        <v>2471</v>
      </c>
      <c r="C166" s="121">
        <v>5241</v>
      </c>
      <c r="D166" s="72">
        <v>2</v>
      </c>
      <c r="E166">
        <v>78.914000000000001</v>
      </c>
      <c r="F166">
        <v>24</v>
      </c>
      <c r="G166">
        <v>15</v>
      </c>
      <c r="H166">
        <v>0</v>
      </c>
      <c r="I166" s="173">
        <v>1.04</v>
      </c>
      <c r="J166" s="121">
        <v>160932591</v>
      </c>
      <c r="K166" s="125">
        <v>489.76299999999998</v>
      </c>
      <c r="L166" s="173">
        <v>1.5</v>
      </c>
      <c r="M166">
        <v>1.04</v>
      </c>
      <c r="N166">
        <v>1.000000005</v>
      </c>
      <c r="O166">
        <v>3.9999995000000066</v>
      </c>
      <c r="P166">
        <v>240</v>
      </c>
      <c r="Q166" s="125">
        <v>0</v>
      </c>
      <c r="R166" s="125">
        <v>0</v>
      </c>
      <c r="S166" s="125">
        <v>0.45500000000000002</v>
      </c>
      <c r="T166" s="125">
        <v>7.4</v>
      </c>
      <c r="U166" s="125">
        <v>0.438</v>
      </c>
      <c r="V166" s="125">
        <v>4.8319999999999999</v>
      </c>
      <c r="W166" s="125">
        <v>0.78700000000000003</v>
      </c>
      <c r="X166" s="125">
        <v>0</v>
      </c>
      <c r="Y166" s="125">
        <v>0</v>
      </c>
      <c r="Z166" s="125">
        <v>0</v>
      </c>
      <c r="AA166" s="125">
        <v>4.6500000000000004</v>
      </c>
      <c r="AB166" s="125">
        <v>13.276</v>
      </c>
      <c r="AC166" s="125">
        <v>152</v>
      </c>
      <c r="AD166" s="125">
        <v>0</v>
      </c>
      <c r="AE166" s="125">
        <v>11.782999999999999</v>
      </c>
      <c r="AF166" s="125">
        <v>12</v>
      </c>
      <c r="AG166" s="125">
        <v>0</v>
      </c>
      <c r="AH166" s="125">
        <v>0</v>
      </c>
      <c r="AI166" s="121">
        <v>1707690</v>
      </c>
      <c r="AJ166" s="121">
        <v>0</v>
      </c>
      <c r="AK166" s="424">
        <v>12</v>
      </c>
      <c r="AL166">
        <v>0</v>
      </c>
      <c r="AM166" s="121">
        <v>40426</v>
      </c>
      <c r="AN166" s="125">
        <v>0</v>
      </c>
      <c r="AO166" s="125">
        <v>0</v>
      </c>
      <c r="AP166" s="121">
        <v>1707690</v>
      </c>
      <c r="AQ166" s="114">
        <v>0</v>
      </c>
      <c r="AR166" s="121">
        <v>107.27114723</v>
      </c>
      <c r="AS166" s="121">
        <v>21079.117287000001</v>
      </c>
      <c r="AT166" s="121">
        <v>2776.1102943999999</v>
      </c>
      <c r="AU166" s="420" t="s">
        <v>798</v>
      </c>
      <c r="AV166" s="420" t="s">
        <v>2001</v>
      </c>
      <c r="AW166" s="121">
        <v>0</v>
      </c>
      <c r="AX166" s="121">
        <v>0</v>
      </c>
      <c r="AY166" s="134">
        <v>354245</v>
      </c>
      <c r="AZ166" s="134">
        <v>1493630</v>
      </c>
      <c r="BA166" s="114">
        <v>599</v>
      </c>
      <c r="BB166" s="134">
        <v>132487225</v>
      </c>
      <c r="BC166" s="114">
        <v>0</v>
      </c>
      <c r="BD166" s="114">
        <v>0</v>
      </c>
      <c r="BE166" s="114">
        <v>0</v>
      </c>
      <c r="BF166" s="114">
        <v>254</v>
      </c>
      <c r="BG166" s="114">
        <v>0</v>
      </c>
      <c r="BH166" s="114">
        <v>0</v>
      </c>
      <c r="BI166">
        <v>0</v>
      </c>
      <c r="BJ166" s="121">
        <v>0</v>
      </c>
      <c r="BK166" s="134">
        <v>156381899</v>
      </c>
      <c r="BL166" s="934">
        <v>5013</v>
      </c>
      <c r="BM166" s="934">
        <v>5241</v>
      </c>
      <c r="BN166" s="934">
        <v>5089</v>
      </c>
      <c r="BO166" s="114">
        <v>0</v>
      </c>
      <c r="BP166" s="114">
        <v>0</v>
      </c>
    </row>
    <row r="167" spans="1:68">
      <c r="A167" t="s">
        <v>630</v>
      </c>
      <c r="B167" t="s">
        <v>1333</v>
      </c>
      <c r="C167" s="121">
        <v>4689</v>
      </c>
      <c r="D167" s="72">
        <v>2</v>
      </c>
      <c r="E167">
        <v>301.12</v>
      </c>
      <c r="F167">
        <v>92</v>
      </c>
      <c r="G167">
        <v>68</v>
      </c>
      <c r="H167">
        <v>7</v>
      </c>
      <c r="I167" s="173">
        <v>1.04</v>
      </c>
      <c r="J167" s="121">
        <v>101461334</v>
      </c>
      <c r="K167" s="125">
        <v>1445.61</v>
      </c>
      <c r="L167" s="173">
        <v>1.46</v>
      </c>
      <c r="M167">
        <v>1.04</v>
      </c>
      <c r="N167">
        <v>0.97333333820000001</v>
      </c>
      <c r="O167">
        <v>6.6666661800000027</v>
      </c>
      <c r="P167">
        <v>953.48800000000006</v>
      </c>
      <c r="Q167" s="125">
        <v>0</v>
      </c>
      <c r="R167" s="125">
        <v>0</v>
      </c>
      <c r="S167" s="125">
        <v>1.877</v>
      </c>
      <c r="T167" s="125">
        <v>27.486000000000001</v>
      </c>
      <c r="U167" s="125">
        <v>5.71</v>
      </c>
      <c r="V167" s="125">
        <v>0</v>
      </c>
      <c r="W167" s="125">
        <v>0</v>
      </c>
      <c r="X167" s="125">
        <v>0</v>
      </c>
      <c r="Y167" s="125">
        <v>0.97699999999999998</v>
      </c>
      <c r="Z167" s="125">
        <v>0.44500000000000001</v>
      </c>
      <c r="AA167" s="125">
        <v>13.276999999999999</v>
      </c>
      <c r="AB167" s="125">
        <v>41.712000000000003</v>
      </c>
      <c r="AC167" s="125">
        <v>713.3</v>
      </c>
      <c r="AD167" s="125">
        <v>0.42599999999999999</v>
      </c>
      <c r="AE167" s="125">
        <v>20.773</v>
      </c>
      <c r="AF167" s="125">
        <v>47.673999999999999</v>
      </c>
      <c r="AG167" s="125">
        <v>0</v>
      </c>
      <c r="AH167" s="125">
        <v>0</v>
      </c>
      <c r="AI167" s="121">
        <v>1096878</v>
      </c>
      <c r="AJ167" s="121">
        <v>188314</v>
      </c>
      <c r="AK167" s="424">
        <v>12</v>
      </c>
      <c r="AL167">
        <v>0</v>
      </c>
      <c r="AM167" s="121">
        <v>51034</v>
      </c>
      <c r="AN167" s="125">
        <v>0</v>
      </c>
      <c r="AO167" s="125">
        <v>0</v>
      </c>
      <c r="AP167" s="121">
        <v>1285192</v>
      </c>
      <c r="AQ167" s="114">
        <v>0</v>
      </c>
      <c r="AR167" s="121">
        <v>67.630015821000001</v>
      </c>
      <c r="AS167" s="121">
        <v>13289.510483</v>
      </c>
      <c r="AT167" s="121">
        <v>1750.2225713</v>
      </c>
      <c r="AU167" s="420" t="s">
        <v>2001</v>
      </c>
      <c r="AV167" s="420" t="s">
        <v>2001</v>
      </c>
      <c r="AW167" s="121">
        <v>0</v>
      </c>
      <c r="AX167" s="121">
        <v>681993</v>
      </c>
      <c r="BI167">
        <v>0</v>
      </c>
      <c r="BJ167" s="121">
        <v>0</v>
      </c>
      <c r="BK167" s="134">
        <v>101461334</v>
      </c>
      <c r="BL167" s="934">
        <v>4424</v>
      </c>
      <c r="BM167" s="934">
        <v>4689</v>
      </c>
      <c r="BN167" s="934">
        <v>4577</v>
      </c>
      <c r="BO167" s="114">
        <v>0</v>
      </c>
      <c r="BP167" s="114">
        <v>0</v>
      </c>
    </row>
    <row r="168" spans="1:68">
      <c r="A168" t="s">
        <v>2712</v>
      </c>
      <c r="B168" t="s">
        <v>97</v>
      </c>
      <c r="C168" s="121">
        <v>4711</v>
      </c>
      <c r="D168" s="72">
        <v>2</v>
      </c>
      <c r="E168">
        <v>92.094999999999999</v>
      </c>
      <c r="F168">
        <v>25</v>
      </c>
      <c r="G168">
        <v>24</v>
      </c>
      <c r="H168">
        <v>0</v>
      </c>
      <c r="I168" s="173">
        <v>1.04</v>
      </c>
      <c r="J168" s="121">
        <v>51888883</v>
      </c>
      <c r="K168" s="125">
        <v>561.34699999999998</v>
      </c>
      <c r="L168" s="173">
        <v>1.5</v>
      </c>
      <c r="M168">
        <v>1.04</v>
      </c>
      <c r="N168">
        <v>1.000000005</v>
      </c>
      <c r="O168">
        <v>3.9999995000000066</v>
      </c>
      <c r="P168">
        <v>261.95400000000001</v>
      </c>
      <c r="Q168" s="125">
        <v>0</v>
      </c>
      <c r="R168" s="125">
        <v>0</v>
      </c>
      <c r="S168" s="125">
        <v>0.52800000000000002</v>
      </c>
      <c r="T168" s="125">
        <v>10.938000000000001</v>
      </c>
      <c r="U168" s="125">
        <v>0.374</v>
      </c>
      <c r="V168" s="125">
        <v>3.5979999999999999</v>
      </c>
      <c r="W168" s="125">
        <v>0.747</v>
      </c>
      <c r="X168" s="125">
        <v>0</v>
      </c>
      <c r="Y168" s="125">
        <v>0</v>
      </c>
      <c r="Z168" s="125">
        <v>1.8340000000000001</v>
      </c>
      <c r="AA168" s="125">
        <v>7.4409999999999998</v>
      </c>
      <c r="AB168" s="125">
        <v>17.725999999999999</v>
      </c>
      <c r="AC168" s="125">
        <v>209.5</v>
      </c>
      <c r="AD168" s="125">
        <v>0.38100000000000001</v>
      </c>
      <c r="AE168" s="125">
        <v>3.9590000000000001</v>
      </c>
      <c r="AF168" s="125">
        <v>13.097</v>
      </c>
      <c r="AG168" s="125">
        <v>0</v>
      </c>
      <c r="AH168" s="125">
        <v>0</v>
      </c>
      <c r="AI168" s="121">
        <v>544333</v>
      </c>
      <c r="AJ168" s="121">
        <v>29224</v>
      </c>
      <c r="AK168" s="424">
        <v>12</v>
      </c>
      <c r="AL168">
        <v>0</v>
      </c>
      <c r="AM168" s="121">
        <v>62112</v>
      </c>
      <c r="AN168" s="125">
        <v>0</v>
      </c>
      <c r="AO168" s="125">
        <v>0</v>
      </c>
      <c r="AP168" s="121">
        <v>573557</v>
      </c>
      <c r="AQ168" s="114">
        <v>0</v>
      </c>
      <c r="AR168" s="121">
        <v>34.587027876000001</v>
      </c>
      <c r="AS168" s="121">
        <v>6796.4595889000002</v>
      </c>
      <c r="AT168" s="121">
        <v>895.09068017000004</v>
      </c>
      <c r="AU168" s="420" t="s">
        <v>2001</v>
      </c>
      <c r="AV168" s="420" t="s">
        <v>2001</v>
      </c>
      <c r="AW168" s="121">
        <v>0</v>
      </c>
      <c r="AX168" s="121">
        <v>98035</v>
      </c>
      <c r="BI168">
        <v>0</v>
      </c>
      <c r="BJ168" s="121">
        <v>0</v>
      </c>
      <c r="BK168" s="134">
        <v>50864621</v>
      </c>
      <c r="BL168" s="934">
        <v>4674</v>
      </c>
      <c r="BM168" s="934">
        <v>4711</v>
      </c>
      <c r="BN168" s="934">
        <v>4692</v>
      </c>
      <c r="BO168" s="114">
        <v>0</v>
      </c>
      <c r="BP168" s="114">
        <v>0</v>
      </c>
    </row>
    <row r="169" spans="1:68">
      <c r="A169" t="s">
        <v>923</v>
      </c>
      <c r="B169" t="s">
        <v>1180</v>
      </c>
      <c r="C169" s="121">
        <v>4799</v>
      </c>
      <c r="D169" s="72">
        <v>1</v>
      </c>
      <c r="E169">
        <v>47.17</v>
      </c>
      <c r="F169">
        <v>19</v>
      </c>
      <c r="G169">
        <v>13</v>
      </c>
      <c r="H169">
        <v>0</v>
      </c>
      <c r="I169" s="173">
        <v>1.17</v>
      </c>
      <c r="J169" s="121">
        <v>67287793</v>
      </c>
      <c r="K169" s="125">
        <v>340.59500000000003</v>
      </c>
      <c r="L169" s="173">
        <v>1.5</v>
      </c>
      <c r="M169">
        <v>1.17</v>
      </c>
      <c r="N169">
        <v>1.000000005</v>
      </c>
      <c r="O169">
        <v>16.999999499999994</v>
      </c>
      <c r="P169">
        <v>153.035</v>
      </c>
      <c r="Q169" s="125">
        <v>0</v>
      </c>
      <c r="R169" s="125">
        <v>0</v>
      </c>
      <c r="S169" s="125">
        <v>0.182</v>
      </c>
      <c r="T169" s="125">
        <v>8.64</v>
      </c>
      <c r="U169" s="125">
        <v>0.46400000000000002</v>
      </c>
      <c r="V169" s="125">
        <v>0</v>
      </c>
      <c r="W169" s="125">
        <v>0</v>
      </c>
      <c r="X169" s="125">
        <v>0</v>
      </c>
      <c r="Y169" s="125">
        <v>0</v>
      </c>
      <c r="Z169" s="125">
        <v>0</v>
      </c>
      <c r="AA169" s="125">
        <v>7.0250000000000004</v>
      </c>
      <c r="AB169" s="125">
        <v>8.7319999999999993</v>
      </c>
      <c r="AC169" s="125">
        <v>139.9</v>
      </c>
      <c r="AD169" s="125">
        <v>0</v>
      </c>
      <c r="AE169" s="125">
        <v>8.3559999999999999</v>
      </c>
      <c r="AF169" s="125">
        <v>7.6517499999999998</v>
      </c>
      <c r="AG169" s="125">
        <v>0</v>
      </c>
      <c r="AH169" s="125">
        <v>0</v>
      </c>
      <c r="AI169" s="121">
        <v>803341</v>
      </c>
      <c r="AJ169" s="121">
        <v>239</v>
      </c>
      <c r="AK169" s="424">
        <v>12</v>
      </c>
      <c r="AL169">
        <v>0</v>
      </c>
      <c r="AM169" s="121">
        <v>66692</v>
      </c>
      <c r="AN169" s="125">
        <v>0</v>
      </c>
      <c r="AO169" s="125">
        <v>0</v>
      </c>
      <c r="AP169" s="121">
        <v>803580</v>
      </c>
      <c r="AQ169" s="114">
        <v>0</v>
      </c>
      <c r="AR169" s="121">
        <v>44.851317702000003</v>
      </c>
      <c r="AS169" s="121">
        <v>8813.4247720999992</v>
      </c>
      <c r="AT169" s="121">
        <v>1160.7240902999999</v>
      </c>
      <c r="AU169" s="420" t="s">
        <v>2001</v>
      </c>
      <c r="AV169" s="420" t="s">
        <v>2001</v>
      </c>
      <c r="AW169" s="121">
        <v>0</v>
      </c>
      <c r="AX169" s="121">
        <v>0</v>
      </c>
      <c r="BI169">
        <v>0</v>
      </c>
      <c r="BJ169" s="121">
        <v>0</v>
      </c>
      <c r="BK169" s="134">
        <v>64744601</v>
      </c>
      <c r="BL169" s="934">
        <v>4799</v>
      </c>
      <c r="BM169" s="934">
        <v>4726</v>
      </c>
      <c r="BN169" s="934">
        <v>4726</v>
      </c>
      <c r="BO169" s="114">
        <v>0</v>
      </c>
      <c r="BP169" s="114">
        <v>0</v>
      </c>
    </row>
    <row r="170" spans="1:68">
      <c r="A170" t="s">
        <v>1954</v>
      </c>
      <c r="B170" t="s">
        <v>2473</v>
      </c>
      <c r="C170" s="121">
        <v>5053</v>
      </c>
      <c r="D170" s="72">
        <v>1</v>
      </c>
      <c r="E170">
        <v>37.283999999999999</v>
      </c>
      <c r="F170">
        <v>14</v>
      </c>
      <c r="G170">
        <v>12</v>
      </c>
      <c r="H170">
        <v>0</v>
      </c>
      <c r="I170" s="173">
        <v>1.17</v>
      </c>
      <c r="J170" s="121">
        <v>39198504</v>
      </c>
      <c r="K170" s="125">
        <v>240.31399999999999</v>
      </c>
      <c r="L170" s="173">
        <v>1.5</v>
      </c>
      <c r="M170">
        <v>1.17</v>
      </c>
      <c r="N170">
        <v>1.000000005</v>
      </c>
      <c r="O170">
        <v>16.999999499999994</v>
      </c>
      <c r="P170">
        <v>82.075000000000003</v>
      </c>
      <c r="Q170" s="125">
        <v>0</v>
      </c>
      <c r="R170" s="125">
        <v>0</v>
      </c>
      <c r="S170" s="125">
        <v>3.4000000000000002E-2</v>
      </c>
      <c r="T170" s="125">
        <v>3.1320000000000001</v>
      </c>
      <c r="U170" s="125">
        <v>0.41299999999999998</v>
      </c>
      <c r="V170" s="125">
        <v>0.52</v>
      </c>
      <c r="W170" s="125">
        <v>0</v>
      </c>
      <c r="X170" s="125">
        <v>0</v>
      </c>
      <c r="Y170" s="125">
        <v>0</v>
      </c>
      <c r="Z170" s="125">
        <v>0</v>
      </c>
      <c r="AA170" s="125">
        <v>3.931</v>
      </c>
      <c r="AB170" s="125">
        <v>6.3339999999999996</v>
      </c>
      <c r="AC170" s="125">
        <v>81.3</v>
      </c>
      <c r="AD170" s="125">
        <v>0.34200000000000003</v>
      </c>
      <c r="AE170" s="125">
        <v>0</v>
      </c>
      <c r="AF170" s="125">
        <v>4.1037499999999998</v>
      </c>
      <c r="AG170" s="125">
        <v>0</v>
      </c>
      <c r="AH170" s="125">
        <v>0</v>
      </c>
      <c r="AI170" s="121">
        <v>478969</v>
      </c>
      <c r="AJ170" s="121">
        <v>0</v>
      </c>
      <c r="AK170" s="424">
        <v>12</v>
      </c>
      <c r="AL170">
        <v>0</v>
      </c>
      <c r="AM170" s="121">
        <v>0</v>
      </c>
      <c r="AN170" s="125">
        <v>0</v>
      </c>
      <c r="AO170" s="125">
        <v>0</v>
      </c>
      <c r="AP170" s="121">
        <v>478969</v>
      </c>
      <c r="AQ170" s="114">
        <v>0</v>
      </c>
      <c r="AR170" s="121">
        <v>26.128135104999998</v>
      </c>
      <c r="AS170" s="121">
        <v>5134.2605965000002</v>
      </c>
      <c r="AT170" s="121">
        <v>676.17981824000003</v>
      </c>
      <c r="AU170" s="420" t="s">
        <v>2001</v>
      </c>
      <c r="AV170" s="420" t="s">
        <v>2001</v>
      </c>
      <c r="AW170" s="121">
        <v>0</v>
      </c>
      <c r="AX170" s="121">
        <v>0</v>
      </c>
      <c r="BI170">
        <v>0</v>
      </c>
      <c r="BJ170" s="121">
        <v>0</v>
      </c>
      <c r="BK170" s="134">
        <v>38602063</v>
      </c>
      <c r="BL170" s="934">
        <v>5053</v>
      </c>
      <c r="BM170" s="934">
        <v>4836</v>
      </c>
      <c r="BN170" s="934">
        <v>4836</v>
      </c>
      <c r="BO170" s="114">
        <v>0</v>
      </c>
      <c r="BP170" s="114">
        <v>0</v>
      </c>
    </row>
    <row r="171" spans="1:68">
      <c r="A171" t="s">
        <v>638</v>
      </c>
      <c r="B171" t="s">
        <v>2234</v>
      </c>
      <c r="C171" s="121">
        <v>5171</v>
      </c>
      <c r="D171" s="72">
        <v>2</v>
      </c>
      <c r="E171">
        <v>4567.232</v>
      </c>
      <c r="F171">
        <v>1168</v>
      </c>
      <c r="G171">
        <v>591</v>
      </c>
      <c r="H171">
        <v>167</v>
      </c>
      <c r="I171" s="173">
        <v>1.04</v>
      </c>
      <c r="J171" s="121">
        <v>6132400919</v>
      </c>
      <c r="K171" s="125">
        <v>20452.696</v>
      </c>
      <c r="L171" s="173">
        <v>1.5</v>
      </c>
      <c r="M171">
        <v>1.04</v>
      </c>
      <c r="N171">
        <v>1.000000005</v>
      </c>
      <c r="O171">
        <v>3.9999995000000066</v>
      </c>
      <c r="P171">
        <v>17350</v>
      </c>
      <c r="Q171" s="125">
        <v>1.23</v>
      </c>
      <c r="R171" s="125">
        <v>0</v>
      </c>
      <c r="S171" s="125">
        <v>31.6</v>
      </c>
      <c r="T171" s="125">
        <v>385</v>
      </c>
      <c r="U171" s="125">
        <v>121</v>
      </c>
      <c r="V171" s="125">
        <v>0</v>
      </c>
      <c r="W171" s="125">
        <v>0.61899999999999999</v>
      </c>
      <c r="X171" s="125">
        <v>0</v>
      </c>
      <c r="Y171" s="125">
        <v>0</v>
      </c>
      <c r="Z171" s="125">
        <v>2</v>
      </c>
      <c r="AA171" s="125">
        <v>379</v>
      </c>
      <c r="AB171" s="125">
        <v>550</v>
      </c>
      <c r="AC171" s="125">
        <v>1571.1</v>
      </c>
      <c r="AD171" s="125">
        <v>0.307</v>
      </c>
      <c r="AE171" s="125">
        <v>949</v>
      </c>
      <c r="AF171" s="125">
        <v>827</v>
      </c>
      <c r="AG171" s="125">
        <v>0</v>
      </c>
      <c r="AH171" s="125">
        <v>0</v>
      </c>
      <c r="AI171" s="121">
        <v>66296160</v>
      </c>
      <c r="AJ171" s="121">
        <v>22425319</v>
      </c>
      <c r="AK171" s="424">
        <v>12</v>
      </c>
      <c r="AL171">
        <v>0</v>
      </c>
      <c r="AM171" s="121">
        <v>583349</v>
      </c>
      <c r="AN171" s="125">
        <v>1</v>
      </c>
      <c r="AO171" s="125">
        <v>0</v>
      </c>
      <c r="AP171" s="121">
        <v>88721479</v>
      </c>
      <c r="AQ171" s="114">
        <v>0</v>
      </c>
      <c r="AR171" s="121">
        <v>4087.6100759000001</v>
      </c>
      <c r="AS171" s="121">
        <v>803228.21597000002</v>
      </c>
      <c r="AT171" s="121">
        <v>105784.79586</v>
      </c>
      <c r="AU171" s="420" t="s">
        <v>2001</v>
      </c>
      <c r="AV171" s="420" t="s">
        <v>2001</v>
      </c>
      <c r="AW171" s="121">
        <v>0</v>
      </c>
      <c r="AX171" s="121">
        <v>24130825</v>
      </c>
      <c r="BI171">
        <v>0</v>
      </c>
      <c r="BJ171" s="121">
        <v>0</v>
      </c>
      <c r="BK171" s="134">
        <v>6132400919</v>
      </c>
      <c r="BL171" s="934">
        <v>4908</v>
      </c>
      <c r="BM171" s="934">
        <v>5171</v>
      </c>
      <c r="BN171" s="934">
        <v>5171</v>
      </c>
      <c r="BO171" s="114">
        <v>0</v>
      </c>
      <c r="BP171" s="114">
        <v>0</v>
      </c>
    </row>
    <row r="172" spans="1:68">
      <c r="A172" t="s">
        <v>1841</v>
      </c>
      <c r="B172" t="s">
        <v>1206</v>
      </c>
      <c r="C172" s="121">
        <v>5209</v>
      </c>
      <c r="D172" s="72">
        <v>1</v>
      </c>
      <c r="E172">
        <v>476.48899999999998</v>
      </c>
      <c r="F172">
        <v>170</v>
      </c>
      <c r="G172">
        <v>91</v>
      </c>
      <c r="H172">
        <v>1</v>
      </c>
      <c r="I172" s="173">
        <v>1.01</v>
      </c>
      <c r="J172" s="121">
        <v>483177652</v>
      </c>
      <c r="K172" s="125">
        <v>3269.97</v>
      </c>
      <c r="L172" s="173">
        <v>1.4552</v>
      </c>
      <c r="M172">
        <v>1.01</v>
      </c>
      <c r="N172">
        <v>0.97013333818400005</v>
      </c>
      <c r="O172">
        <v>3.986666181599996</v>
      </c>
      <c r="P172">
        <v>2538.7649999999999</v>
      </c>
      <c r="Q172" s="125">
        <v>0.14099999999999999</v>
      </c>
      <c r="R172" s="125">
        <v>0</v>
      </c>
      <c r="S172" s="125">
        <v>3.0619999999999998</v>
      </c>
      <c r="T172" s="125">
        <v>82.206000000000003</v>
      </c>
      <c r="U172" s="125">
        <v>1.677</v>
      </c>
      <c r="V172" s="125">
        <v>5.8440000000000003</v>
      </c>
      <c r="W172" s="125">
        <v>0.5</v>
      </c>
      <c r="X172" s="125">
        <v>0</v>
      </c>
      <c r="Y172" s="125">
        <v>0</v>
      </c>
      <c r="Z172" s="125">
        <v>0</v>
      </c>
      <c r="AA172" s="125">
        <v>34.898000000000003</v>
      </c>
      <c r="AB172" s="125">
        <v>80.266000000000005</v>
      </c>
      <c r="AC172" s="125">
        <v>735.9</v>
      </c>
      <c r="AD172" s="125">
        <v>0</v>
      </c>
      <c r="AE172" s="125">
        <v>172.8</v>
      </c>
      <c r="AF172" s="125">
        <v>96.48</v>
      </c>
      <c r="AG172" s="125">
        <v>0</v>
      </c>
      <c r="AH172" s="125">
        <v>0</v>
      </c>
      <c r="AI172" s="121">
        <v>5124099</v>
      </c>
      <c r="AJ172" s="121">
        <v>1816537</v>
      </c>
      <c r="AK172" s="424">
        <v>12</v>
      </c>
      <c r="AL172">
        <v>0</v>
      </c>
      <c r="AM172" s="121">
        <v>138771</v>
      </c>
      <c r="AN172" s="125">
        <v>0</v>
      </c>
      <c r="AO172" s="125">
        <v>0</v>
      </c>
      <c r="AP172" s="121">
        <v>6940636</v>
      </c>
      <c r="AQ172" s="114">
        <v>0</v>
      </c>
      <c r="AR172" s="121">
        <v>322.06665299000002</v>
      </c>
      <c r="AS172" s="121">
        <v>63287.108676999997</v>
      </c>
      <c r="AT172" s="121">
        <v>8334.8838333000003</v>
      </c>
      <c r="AU172" s="420" t="s">
        <v>2001</v>
      </c>
      <c r="AV172" s="420" t="s">
        <v>2001</v>
      </c>
      <c r="AW172" s="121">
        <v>0</v>
      </c>
      <c r="AX172" s="121">
        <v>2287615</v>
      </c>
      <c r="BI172">
        <v>0</v>
      </c>
      <c r="BJ172" s="121">
        <v>0</v>
      </c>
      <c r="BK172" s="134">
        <v>483177652</v>
      </c>
      <c r="BL172" s="934">
        <v>5209</v>
      </c>
      <c r="BM172" s="934">
        <v>5021</v>
      </c>
      <c r="BN172" s="934">
        <v>5100</v>
      </c>
      <c r="BO172" s="114">
        <v>0</v>
      </c>
      <c r="BP172" s="114">
        <v>0</v>
      </c>
    </row>
    <row r="173" spans="1:68">
      <c r="A173" t="s">
        <v>2862</v>
      </c>
      <c r="B173" t="s">
        <v>733</v>
      </c>
      <c r="C173" s="121">
        <v>5092</v>
      </c>
      <c r="D173" s="72">
        <v>2</v>
      </c>
      <c r="E173">
        <v>465.55900000000003</v>
      </c>
      <c r="F173">
        <v>116</v>
      </c>
      <c r="G173">
        <v>85</v>
      </c>
      <c r="H173">
        <v>2</v>
      </c>
      <c r="I173" s="173">
        <v>1.04</v>
      </c>
      <c r="J173" s="121">
        <v>574113307</v>
      </c>
      <c r="K173" s="125">
        <v>2113.1179999999999</v>
      </c>
      <c r="L173" s="173">
        <v>1.5</v>
      </c>
      <c r="M173">
        <v>1.04</v>
      </c>
      <c r="N173">
        <v>1.000000005</v>
      </c>
      <c r="O173">
        <v>3.9999995000000066</v>
      </c>
      <c r="P173">
        <v>1582.94</v>
      </c>
      <c r="Q173" s="125">
        <v>2.4E-2</v>
      </c>
      <c r="R173" s="125">
        <v>0</v>
      </c>
      <c r="S173" s="125">
        <v>2.9670000000000001</v>
      </c>
      <c r="T173" s="125">
        <v>60.603999999999999</v>
      </c>
      <c r="U173" s="125">
        <v>5.9029999999999996</v>
      </c>
      <c r="V173" s="125">
        <v>8.1850000000000005</v>
      </c>
      <c r="W173" s="125">
        <v>3.7509999999999999</v>
      </c>
      <c r="X173" s="125">
        <v>0</v>
      </c>
      <c r="Y173" s="125">
        <v>0</v>
      </c>
      <c r="Z173" s="125">
        <v>0</v>
      </c>
      <c r="AA173" s="125">
        <v>13.243</v>
      </c>
      <c r="AB173" s="125">
        <v>41.843000000000004</v>
      </c>
      <c r="AC173" s="125">
        <v>430.7</v>
      </c>
      <c r="AD173" s="125">
        <v>9.9000000000000005E-2</v>
      </c>
      <c r="AE173" s="125">
        <v>94.144999999999996</v>
      </c>
      <c r="AF173" s="125">
        <v>79.147000000000006</v>
      </c>
      <c r="AG173" s="125">
        <v>0</v>
      </c>
      <c r="AH173" s="125">
        <v>0</v>
      </c>
      <c r="AI173" s="121">
        <v>6143931</v>
      </c>
      <c r="AJ173" s="121">
        <v>1843279</v>
      </c>
      <c r="AK173" s="424">
        <v>12</v>
      </c>
      <c r="AL173">
        <v>0</v>
      </c>
      <c r="AM173" s="121">
        <v>158531</v>
      </c>
      <c r="AN173" s="125">
        <v>0</v>
      </c>
      <c r="AO173" s="125">
        <v>0</v>
      </c>
      <c r="AP173" s="121">
        <v>7987210</v>
      </c>
      <c r="AQ173" s="114">
        <v>0</v>
      </c>
      <c r="AR173" s="121">
        <v>382.6806775</v>
      </c>
      <c r="AS173" s="121">
        <v>75197.954836000004</v>
      </c>
      <c r="AT173" s="121">
        <v>9903.5369314</v>
      </c>
      <c r="AU173" s="420" t="s">
        <v>2001</v>
      </c>
      <c r="AV173" s="420" t="s">
        <v>2001</v>
      </c>
      <c r="AW173" s="121">
        <v>0</v>
      </c>
      <c r="AX173" s="121">
        <v>3018486</v>
      </c>
      <c r="BI173">
        <v>0</v>
      </c>
      <c r="BJ173" s="121">
        <v>0</v>
      </c>
      <c r="BK173" s="134">
        <v>574113307</v>
      </c>
      <c r="BL173" s="934">
        <v>4799</v>
      </c>
      <c r="BM173" s="934">
        <v>5092</v>
      </c>
      <c r="BN173" s="934">
        <v>5052</v>
      </c>
      <c r="BO173" s="114">
        <v>0</v>
      </c>
      <c r="BP173" s="114">
        <v>0</v>
      </c>
    </row>
    <row r="174" spans="1:68">
      <c r="A174" t="s">
        <v>1900</v>
      </c>
      <c r="B174" t="s">
        <v>129</v>
      </c>
      <c r="C174" s="121">
        <v>4696</v>
      </c>
      <c r="D174" s="72">
        <v>2</v>
      </c>
      <c r="E174">
        <v>431.815</v>
      </c>
      <c r="F174">
        <v>112</v>
      </c>
      <c r="G174">
        <v>53</v>
      </c>
      <c r="H174">
        <v>11</v>
      </c>
      <c r="I174" s="173">
        <v>1.04</v>
      </c>
      <c r="J174" s="121">
        <v>305719104</v>
      </c>
      <c r="K174" s="125">
        <v>1909.404</v>
      </c>
      <c r="L174" s="173">
        <v>1.44</v>
      </c>
      <c r="M174">
        <v>1.04</v>
      </c>
      <c r="N174">
        <v>0.96000000480000003</v>
      </c>
      <c r="O174">
        <v>7.9999995200000011</v>
      </c>
      <c r="P174">
        <v>1419.604</v>
      </c>
      <c r="Q174" s="125">
        <v>6.6000000000000003E-2</v>
      </c>
      <c r="R174" s="125">
        <v>0</v>
      </c>
      <c r="S174" s="125">
        <v>1.843</v>
      </c>
      <c r="T174" s="125">
        <v>46.322000000000003</v>
      </c>
      <c r="U174" s="125">
        <v>4.4669999999999996</v>
      </c>
      <c r="V174" s="125">
        <v>2</v>
      </c>
      <c r="W174" s="125">
        <v>0</v>
      </c>
      <c r="X174" s="125">
        <v>0</v>
      </c>
      <c r="Y174" s="125">
        <v>0</v>
      </c>
      <c r="Z174" s="125">
        <v>0</v>
      </c>
      <c r="AA174" s="125">
        <v>13.359</v>
      </c>
      <c r="AB174" s="125">
        <v>38.947000000000003</v>
      </c>
      <c r="AC174" s="125">
        <v>602</v>
      </c>
      <c r="AD174" s="125">
        <v>0.121</v>
      </c>
      <c r="AE174" s="125">
        <v>109.026</v>
      </c>
      <c r="AF174" s="125">
        <v>70.98</v>
      </c>
      <c r="AG174" s="125">
        <v>0</v>
      </c>
      <c r="AH174" s="125">
        <v>0</v>
      </c>
      <c r="AI174" s="121">
        <v>3250382</v>
      </c>
      <c r="AJ174" s="121">
        <v>852915</v>
      </c>
      <c r="AK174" s="424">
        <v>12</v>
      </c>
      <c r="AL174">
        <v>0</v>
      </c>
      <c r="AM174" s="121">
        <v>109343</v>
      </c>
      <c r="AN174" s="125">
        <v>0</v>
      </c>
      <c r="AO174" s="125">
        <v>0</v>
      </c>
      <c r="AP174" s="121">
        <v>4103297</v>
      </c>
      <c r="AQ174" s="114">
        <v>0</v>
      </c>
      <c r="AR174" s="121">
        <v>203.77997271000001</v>
      </c>
      <c r="AS174" s="121">
        <v>40043.404554000001</v>
      </c>
      <c r="AT174" s="121">
        <v>5273.6984233000003</v>
      </c>
      <c r="AU174" s="420" t="s">
        <v>2001</v>
      </c>
      <c r="AV174" s="420" t="s">
        <v>2001</v>
      </c>
      <c r="AW174" s="121">
        <v>0</v>
      </c>
      <c r="AX174" s="121">
        <v>1261542</v>
      </c>
      <c r="BI174">
        <v>0</v>
      </c>
      <c r="BJ174" s="121">
        <v>0</v>
      </c>
      <c r="BK174" s="134">
        <v>300660670</v>
      </c>
      <c r="BL174" s="934">
        <v>4547</v>
      </c>
      <c r="BM174" s="934">
        <v>4696</v>
      </c>
      <c r="BN174" s="934">
        <v>4661</v>
      </c>
      <c r="BO174" s="114">
        <v>0</v>
      </c>
      <c r="BP174" s="114">
        <v>0</v>
      </c>
    </row>
    <row r="175" spans="1:68">
      <c r="A175" t="s">
        <v>1605</v>
      </c>
      <c r="B175" t="s">
        <v>1667</v>
      </c>
      <c r="C175" s="121">
        <v>5454</v>
      </c>
      <c r="D175" s="72">
        <v>2</v>
      </c>
      <c r="E175">
        <v>5442.7520000000004</v>
      </c>
      <c r="F175">
        <v>2214</v>
      </c>
      <c r="G175">
        <v>1305</v>
      </c>
      <c r="H175">
        <v>17</v>
      </c>
      <c r="I175" s="173">
        <v>0.96</v>
      </c>
      <c r="J175" s="121">
        <v>13838064635</v>
      </c>
      <c r="K175" s="125">
        <v>35971.042999999998</v>
      </c>
      <c r="L175" s="173">
        <v>1.32</v>
      </c>
      <c r="M175">
        <v>0.96</v>
      </c>
      <c r="N175">
        <v>0.88000000440000004</v>
      </c>
      <c r="O175">
        <v>7.9999995599999929</v>
      </c>
      <c r="P175">
        <v>31968</v>
      </c>
      <c r="Q175" s="125">
        <v>0.75</v>
      </c>
      <c r="R175" s="125">
        <v>0</v>
      </c>
      <c r="S175" s="125">
        <v>48</v>
      </c>
      <c r="T175" s="125">
        <v>452</v>
      </c>
      <c r="U175" s="125">
        <v>200</v>
      </c>
      <c r="V175" s="125">
        <v>0</v>
      </c>
      <c r="W175" s="125">
        <v>7</v>
      </c>
      <c r="X175" s="125">
        <v>0</v>
      </c>
      <c r="Y175" s="125">
        <v>0</v>
      </c>
      <c r="Z175" s="125">
        <v>1.5</v>
      </c>
      <c r="AA175" s="125">
        <v>58</v>
      </c>
      <c r="AB175" s="125">
        <v>847</v>
      </c>
      <c r="AC175" s="125">
        <v>3536</v>
      </c>
      <c r="AD175" s="125">
        <v>2</v>
      </c>
      <c r="AE175" s="125">
        <v>1343</v>
      </c>
      <c r="AF175" s="125">
        <v>1402</v>
      </c>
      <c r="AG175" s="125">
        <v>0</v>
      </c>
      <c r="AH175" s="125">
        <v>0</v>
      </c>
      <c r="AI175" s="121">
        <v>138092815</v>
      </c>
      <c r="AJ175" s="121">
        <v>42326080</v>
      </c>
      <c r="AK175" s="424">
        <v>12</v>
      </c>
      <c r="AL175">
        <v>0</v>
      </c>
      <c r="AM175" s="121">
        <v>953510</v>
      </c>
      <c r="AN175" s="125">
        <v>0</v>
      </c>
      <c r="AO175" s="125">
        <v>0</v>
      </c>
      <c r="AP175" s="121">
        <v>180418895</v>
      </c>
      <c r="AQ175" s="114">
        <v>0</v>
      </c>
      <c r="AR175" s="121">
        <v>0</v>
      </c>
      <c r="AS175" s="121">
        <v>0</v>
      </c>
      <c r="AT175" s="121">
        <v>0</v>
      </c>
      <c r="AU175" s="420" t="s">
        <v>798</v>
      </c>
      <c r="AV175" s="420" t="s">
        <v>2001</v>
      </c>
      <c r="AW175" s="121">
        <v>0</v>
      </c>
      <c r="AX175" s="121">
        <v>51365458</v>
      </c>
      <c r="AY175" s="134">
        <v>1080423</v>
      </c>
      <c r="AZ175" s="134">
        <v>4510547</v>
      </c>
      <c r="BA175" s="134">
        <v>1923</v>
      </c>
      <c r="BB175" s="134">
        <v>353788610</v>
      </c>
      <c r="BC175" s="114">
        <v>0</v>
      </c>
      <c r="BD175" s="114">
        <v>0</v>
      </c>
      <c r="BE175" s="114">
        <v>0</v>
      </c>
      <c r="BF175" s="134">
        <v>27256</v>
      </c>
      <c r="BG175" s="114">
        <v>0</v>
      </c>
      <c r="BH175" s="114">
        <v>0</v>
      </c>
      <c r="BI175">
        <v>0</v>
      </c>
      <c r="BJ175" s="121">
        <v>0</v>
      </c>
      <c r="BK175" s="134">
        <v>13838064635</v>
      </c>
      <c r="BL175" s="934">
        <v>5230</v>
      </c>
      <c r="BM175" s="934">
        <v>5454</v>
      </c>
      <c r="BN175" s="934">
        <v>5386</v>
      </c>
      <c r="BO175" s="114">
        <v>0</v>
      </c>
      <c r="BP175" s="114">
        <v>0</v>
      </c>
    </row>
    <row r="176" spans="1:68">
      <c r="A176" t="s">
        <v>2895</v>
      </c>
      <c r="B176" t="s">
        <v>928</v>
      </c>
      <c r="C176" s="121">
        <v>5469</v>
      </c>
      <c r="D176" s="72">
        <v>2</v>
      </c>
      <c r="E176">
        <v>5327.5060000000003</v>
      </c>
      <c r="F176">
        <v>1717</v>
      </c>
      <c r="G176">
        <v>500</v>
      </c>
      <c r="H176">
        <v>25</v>
      </c>
      <c r="I176" s="173">
        <v>1.04</v>
      </c>
      <c r="J176" s="121">
        <v>8349721097</v>
      </c>
      <c r="K176" s="125">
        <v>28032.399000000001</v>
      </c>
      <c r="L176" s="173">
        <v>1.5</v>
      </c>
      <c r="M176">
        <v>1.04</v>
      </c>
      <c r="N176">
        <v>1.000000005</v>
      </c>
      <c r="O176">
        <v>3.9999995000000066</v>
      </c>
      <c r="P176">
        <v>23234.787</v>
      </c>
      <c r="Q176" s="125">
        <v>1.6259999999999999</v>
      </c>
      <c r="R176" s="125">
        <v>0</v>
      </c>
      <c r="S176" s="125">
        <v>41.823</v>
      </c>
      <c r="T176" s="125">
        <v>511.16500000000002</v>
      </c>
      <c r="U176" s="125">
        <v>139.40899999999999</v>
      </c>
      <c r="V176" s="125">
        <v>0</v>
      </c>
      <c r="W176" s="125">
        <v>13.941000000000001</v>
      </c>
      <c r="X176" s="125">
        <v>0</v>
      </c>
      <c r="Y176" s="125">
        <v>0</v>
      </c>
      <c r="Z176" s="125">
        <v>0</v>
      </c>
      <c r="AA176" s="125">
        <v>418.226</v>
      </c>
      <c r="AB176" s="125">
        <v>697.04399999999998</v>
      </c>
      <c r="AC176" s="125">
        <v>5576.3</v>
      </c>
      <c r="AD176" s="125">
        <v>6.97</v>
      </c>
      <c r="AE176" s="125">
        <v>1858.7829999999999</v>
      </c>
      <c r="AF176" s="125">
        <v>1161.739</v>
      </c>
      <c r="AG176" s="125">
        <v>0</v>
      </c>
      <c r="AH176" s="125">
        <v>0</v>
      </c>
      <c r="AI176" s="121">
        <v>91178954</v>
      </c>
      <c r="AJ176" s="121">
        <v>35201970</v>
      </c>
      <c r="AK176" s="424">
        <v>12</v>
      </c>
      <c r="AL176">
        <v>0</v>
      </c>
      <c r="AM176" s="121">
        <v>1465797</v>
      </c>
      <c r="AN176" s="125">
        <v>0</v>
      </c>
      <c r="AO176" s="125">
        <v>2</v>
      </c>
      <c r="AP176" s="121">
        <v>126380924</v>
      </c>
      <c r="AQ176" s="114">
        <v>0</v>
      </c>
      <c r="AR176" s="121">
        <v>5565.5858999000002</v>
      </c>
      <c r="AS176" s="121">
        <v>1093655.1066000001</v>
      </c>
      <c r="AT176" s="121">
        <v>144033.88711000001</v>
      </c>
      <c r="AU176" s="420" t="s">
        <v>2001</v>
      </c>
      <c r="AV176" s="420" t="s">
        <v>2001</v>
      </c>
      <c r="AW176" s="121">
        <v>0</v>
      </c>
      <c r="AX176" s="121">
        <v>37313643</v>
      </c>
      <c r="BI176">
        <v>0</v>
      </c>
      <c r="BJ176" s="121">
        <v>0</v>
      </c>
      <c r="BK176" s="134">
        <v>8349721097</v>
      </c>
      <c r="BL176" s="934">
        <v>5095</v>
      </c>
      <c r="BM176" s="934">
        <v>5469</v>
      </c>
      <c r="BN176" s="934">
        <v>5315</v>
      </c>
      <c r="BO176" s="114">
        <v>0</v>
      </c>
      <c r="BP176" s="114">
        <v>0</v>
      </c>
    </row>
    <row r="177" spans="1:68">
      <c r="A177" t="s">
        <v>724</v>
      </c>
      <c r="B177" t="s">
        <v>2518</v>
      </c>
      <c r="C177" s="121">
        <v>5230</v>
      </c>
      <c r="D177" s="72">
        <v>1</v>
      </c>
      <c r="E177">
        <v>270.10300000000001</v>
      </c>
      <c r="F177">
        <v>123</v>
      </c>
      <c r="G177">
        <v>41</v>
      </c>
      <c r="H177">
        <v>2</v>
      </c>
      <c r="I177" s="173">
        <v>1.04</v>
      </c>
      <c r="J177" s="121">
        <v>386539791</v>
      </c>
      <c r="K177" s="125">
        <v>1651.5989999999999</v>
      </c>
      <c r="L177" s="173">
        <v>1.5</v>
      </c>
      <c r="M177">
        <v>1.04</v>
      </c>
      <c r="N177">
        <v>1.000000005</v>
      </c>
      <c r="O177">
        <v>3.9999995000000066</v>
      </c>
      <c r="P177">
        <v>1338.028</v>
      </c>
      <c r="Q177" s="125">
        <v>0</v>
      </c>
      <c r="R177" s="125">
        <v>0</v>
      </c>
      <c r="S177" s="125">
        <v>1.651</v>
      </c>
      <c r="T177" s="125">
        <v>22.056000000000001</v>
      </c>
      <c r="U177" s="125">
        <v>4.4400000000000004</v>
      </c>
      <c r="V177" s="125">
        <v>5.0999999999999997E-2</v>
      </c>
      <c r="W177" s="125">
        <v>0.499</v>
      </c>
      <c r="X177" s="125">
        <v>0</v>
      </c>
      <c r="Y177" s="125">
        <v>0</v>
      </c>
      <c r="Z177" s="125">
        <v>0</v>
      </c>
      <c r="AA177" s="125">
        <v>21.116</v>
      </c>
      <c r="AB177" s="125">
        <v>13.685</v>
      </c>
      <c r="AC177" s="125">
        <v>271</v>
      </c>
      <c r="AD177" s="125">
        <v>0</v>
      </c>
      <c r="AE177" s="125">
        <v>37.536999999999999</v>
      </c>
      <c r="AF177" s="125">
        <v>66.900999999999996</v>
      </c>
      <c r="AG177" s="125">
        <v>0</v>
      </c>
      <c r="AH177" s="125">
        <v>0</v>
      </c>
      <c r="AI177" s="121">
        <v>4178804</v>
      </c>
      <c r="AJ177" s="121">
        <v>1318191</v>
      </c>
      <c r="AK177" s="424">
        <v>8</v>
      </c>
      <c r="AL177">
        <v>0</v>
      </c>
      <c r="AM177" s="121">
        <v>64141</v>
      </c>
      <c r="AN177" s="125">
        <v>0</v>
      </c>
      <c r="AO177" s="125">
        <v>0</v>
      </c>
      <c r="AP177" s="121">
        <v>5496995</v>
      </c>
      <c r="AQ177" s="114">
        <v>0</v>
      </c>
      <c r="AR177" s="121">
        <v>257.65176890999999</v>
      </c>
      <c r="AS177" s="121">
        <v>50629.381676999998</v>
      </c>
      <c r="AT177" s="121">
        <v>6667.8668633999996</v>
      </c>
      <c r="AU177" s="420" t="s">
        <v>2001</v>
      </c>
      <c r="AV177" s="420" t="s">
        <v>2001</v>
      </c>
      <c r="AW177" s="121">
        <v>0</v>
      </c>
      <c r="AX177" s="121">
        <v>2257365</v>
      </c>
      <c r="BI177">
        <v>0</v>
      </c>
      <c r="BJ177" s="121">
        <v>0</v>
      </c>
      <c r="BK177" s="134">
        <v>386539791</v>
      </c>
      <c r="BL177" s="934">
        <v>5230</v>
      </c>
      <c r="BM177" s="934">
        <v>5025</v>
      </c>
      <c r="BN177" s="934">
        <v>5025</v>
      </c>
      <c r="BO177" s="114">
        <v>0</v>
      </c>
      <c r="BP177" s="114">
        <v>0</v>
      </c>
    </row>
    <row r="178" spans="1:68">
      <c r="A178" t="s">
        <v>725</v>
      </c>
      <c r="B178" t="s">
        <v>2519</v>
      </c>
      <c r="C178" s="121">
        <v>5414</v>
      </c>
      <c r="D178" s="72">
        <v>2</v>
      </c>
      <c r="E178">
        <v>14380.659</v>
      </c>
      <c r="F178">
        <v>4687</v>
      </c>
      <c r="G178">
        <v>2247</v>
      </c>
      <c r="H178">
        <v>210</v>
      </c>
      <c r="I178" s="173">
        <v>1.02</v>
      </c>
      <c r="J178" s="121">
        <v>32371182588</v>
      </c>
      <c r="K178" s="125">
        <v>64293.582000000002</v>
      </c>
      <c r="L178" s="173">
        <v>1.5</v>
      </c>
      <c r="M178">
        <v>1.02</v>
      </c>
      <c r="N178">
        <v>1.000000005</v>
      </c>
      <c r="O178">
        <v>1.9999995000000048</v>
      </c>
      <c r="P178">
        <v>52072.406999999999</v>
      </c>
      <c r="Q178" s="125">
        <v>2.0110000000000001</v>
      </c>
      <c r="R178" s="125">
        <v>0</v>
      </c>
      <c r="S178" s="125">
        <v>120.01600000000001</v>
      </c>
      <c r="T178" s="125">
        <v>1241.059</v>
      </c>
      <c r="U178" s="125">
        <v>433.57400000000001</v>
      </c>
      <c r="V178" s="125">
        <v>9.8989999999999991</v>
      </c>
      <c r="W178" s="125">
        <v>41.786000000000001</v>
      </c>
      <c r="X178" s="125">
        <v>0</v>
      </c>
      <c r="Y178" s="125">
        <v>0</v>
      </c>
      <c r="Z178" s="125">
        <v>0</v>
      </c>
      <c r="AA178" s="125">
        <v>1565.896</v>
      </c>
      <c r="AB178" s="125">
        <v>1497.501</v>
      </c>
      <c r="AC178" s="125">
        <v>11427.4</v>
      </c>
      <c r="AD178" s="125">
        <v>6.9009999999999998</v>
      </c>
      <c r="AE178" s="125">
        <v>6154.335</v>
      </c>
      <c r="AF178" s="125">
        <v>2603.62</v>
      </c>
      <c r="AG178" s="125">
        <v>0</v>
      </c>
      <c r="AH178" s="125">
        <v>0</v>
      </c>
      <c r="AI178" s="121">
        <v>343739106</v>
      </c>
      <c r="AJ178" s="121">
        <v>76974208</v>
      </c>
      <c r="AK178" s="424">
        <v>12</v>
      </c>
      <c r="AL178">
        <v>0</v>
      </c>
      <c r="AM178" s="121">
        <v>1767637</v>
      </c>
      <c r="AN178" s="125">
        <v>0</v>
      </c>
      <c r="AO178" s="125">
        <v>0</v>
      </c>
      <c r="AP178" s="121">
        <v>420713314</v>
      </c>
      <c r="AQ178" s="114">
        <v>0</v>
      </c>
      <c r="AR178" s="121">
        <v>0</v>
      </c>
      <c r="AS178" s="121">
        <v>0</v>
      </c>
      <c r="AT178" s="121">
        <v>0</v>
      </c>
      <c r="AU178" s="420" t="s">
        <v>798</v>
      </c>
      <c r="AV178" s="420" t="s">
        <v>2001</v>
      </c>
      <c r="AW178" s="121">
        <v>0</v>
      </c>
      <c r="AX178" s="121">
        <v>79352625</v>
      </c>
      <c r="AY178" s="134">
        <v>46048437</v>
      </c>
      <c r="AZ178" s="134">
        <v>83008623</v>
      </c>
      <c r="BA178" s="134">
        <v>35265</v>
      </c>
      <c r="BB178" s="134">
        <v>10954270318</v>
      </c>
      <c r="BC178" s="114">
        <v>0</v>
      </c>
      <c r="BD178" s="114">
        <v>0</v>
      </c>
      <c r="BE178" s="114">
        <v>0</v>
      </c>
      <c r="BF178" s="134">
        <v>53439</v>
      </c>
      <c r="BG178" s="114">
        <v>0</v>
      </c>
      <c r="BH178" s="114">
        <v>0</v>
      </c>
      <c r="BI178">
        <v>0</v>
      </c>
      <c r="BJ178" s="121">
        <v>2991</v>
      </c>
      <c r="BK178" s="134">
        <v>32145126921</v>
      </c>
      <c r="BL178" s="934">
        <v>5226</v>
      </c>
      <c r="BM178" s="934">
        <v>5414</v>
      </c>
      <c r="BN178" s="934">
        <v>5414</v>
      </c>
      <c r="BO178" s="114">
        <v>0</v>
      </c>
      <c r="BP178" s="114">
        <v>0</v>
      </c>
    </row>
    <row r="179" spans="1:68">
      <c r="A179" t="s">
        <v>246</v>
      </c>
      <c r="B179" t="s">
        <v>87</v>
      </c>
      <c r="C179" s="121">
        <v>4697</v>
      </c>
      <c r="D179" s="72">
        <v>3</v>
      </c>
      <c r="E179">
        <v>722.51099999999997</v>
      </c>
      <c r="F179">
        <v>200</v>
      </c>
      <c r="G179">
        <v>137</v>
      </c>
      <c r="H179">
        <v>27</v>
      </c>
      <c r="I179" s="173">
        <v>1.04</v>
      </c>
      <c r="J179" s="121">
        <v>473273525</v>
      </c>
      <c r="K179" s="125">
        <v>3838.37</v>
      </c>
      <c r="L179" s="173">
        <v>1.42</v>
      </c>
      <c r="M179">
        <v>1.04</v>
      </c>
      <c r="N179">
        <v>0.94666667139999994</v>
      </c>
      <c r="O179">
        <v>9.3333328600000094</v>
      </c>
      <c r="P179">
        <v>2850</v>
      </c>
      <c r="Q179" s="125">
        <v>0.3</v>
      </c>
      <c r="R179" s="125">
        <v>0</v>
      </c>
      <c r="S179" s="125">
        <v>6</v>
      </c>
      <c r="T179" s="125">
        <v>100</v>
      </c>
      <c r="U179" s="125">
        <v>20</v>
      </c>
      <c r="V179" s="125">
        <v>4</v>
      </c>
      <c r="W179" s="125">
        <v>5</v>
      </c>
      <c r="X179" s="125">
        <v>0</v>
      </c>
      <c r="Y179" s="125">
        <v>0</v>
      </c>
      <c r="Z179" s="125">
        <v>0</v>
      </c>
      <c r="AA179" s="125">
        <v>30</v>
      </c>
      <c r="AB179" s="125">
        <v>150</v>
      </c>
      <c r="AC179" s="125">
        <v>1200</v>
      </c>
      <c r="AD179" s="125">
        <v>0.5</v>
      </c>
      <c r="AE179" s="125">
        <v>350</v>
      </c>
      <c r="AF179" s="125">
        <v>135</v>
      </c>
      <c r="AG179" s="125">
        <v>0</v>
      </c>
      <c r="AH179" s="125">
        <v>0</v>
      </c>
      <c r="AI179" s="121">
        <v>5116465</v>
      </c>
      <c r="AJ179" s="121">
        <v>1240046</v>
      </c>
      <c r="AK179" s="424">
        <v>12</v>
      </c>
      <c r="AL179">
        <v>0</v>
      </c>
      <c r="AM179" s="121">
        <v>188621</v>
      </c>
      <c r="AN179" s="125">
        <v>0</v>
      </c>
      <c r="AO179" s="125">
        <v>0</v>
      </c>
      <c r="AP179" s="121">
        <v>6356511</v>
      </c>
      <c r="AQ179" s="114">
        <v>0</v>
      </c>
      <c r="AR179" s="121">
        <v>315.46496307000001</v>
      </c>
      <c r="AS179" s="121">
        <v>61989.855877000002</v>
      </c>
      <c r="AT179" s="121">
        <v>8164.0362212999999</v>
      </c>
      <c r="AU179" s="420" t="s">
        <v>2001</v>
      </c>
      <c r="AV179" s="420" t="s">
        <v>2001</v>
      </c>
      <c r="AW179" s="121">
        <v>0</v>
      </c>
      <c r="AX179" s="121">
        <v>3231436</v>
      </c>
      <c r="BI179">
        <v>0</v>
      </c>
      <c r="BJ179" s="121">
        <v>0</v>
      </c>
      <c r="BK179" s="134">
        <v>473273525</v>
      </c>
      <c r="BL179" s="934">
        <v>4607</v>
      </c>
      <c r="BM179" s="934">
        <v>4668</v>
      </c>
      <c r="BN179" s="934">
        <v>4697</v>
      </c>
      <c r="BO179" s="114">
        <v>0</v>
      </c>
      <c r="BP179" s="114">
        <v>0</v>
      </c>
    </row>
    <row r="180" spans="1:68">
      <c r="A180" t="s">
        <v>1780</v>
      </c>
      <c r="B180" t="s">
        <v>89</v>
      </c>
      <c r="C180" s="121">
        <v>7194</v>
      </c>
      <c r="D180" s="72">
        <v>2</v>
      </c>
      <c r="E180">
        <v>628.50599999999997</v>
      </c>
      <c r="F180">
        <v>225</v>
      </c>
      <c r="G180">
        <v>73</v>
      </c>
      <c r="H180">
        <v>0</v>
      </c>
      <c r="I180" s="173">
        <v>1.17</v>
      </c>
      <c r="J180" s="121">
        <v>1360309165</v>
      </c>
      <c r="K180" s="125">
        <v>2913.6550000000002</v>
      </c>
      <c r="L180" s="173">
        <v>1.5</v>
      </c>
      <c r="M180">
        <v>1.17</v>
      </c>
      <c r="N180">
        <v>1.000000005</v>
      </c>
      <c r="O180">
        <v>16.999999499999994</v>
      </c>
      <c r="P180">
        <v>2535.7170000000001</v>
      </c>
      <c r="Q180" s="125">
        <v>0.28399999999999997</v>
      </c>
      <c r="R180" s="125">
        <v>0</v>
      </c>
      <c r="S180" s="125">
        <v>3.5840000000000001</v>
      </c>
      <c r="T180" s="125">
        <v>84.536000000000001</v>
      </c>
      <c r="U180" s="125">
        <v>5.5819999999999999</v>
      </c>
      <c r="V180" s="125">
        <v>1.252</v>
      </c>
      <c r="W180" s="125">
        <v>2.7480000000000002</v>
      </c>
      <c r="X180" s="125">
        <v>0</v>
      </c>
      <c r="Y180" s="125">
        <v>0</v>
      </c>
      <c r="Z180" s="125">
        <v>0</v>
      </c>
      <c r="AA180" s="125">
        <v>4.1840000000000002</v>
      </c>
      <c r="AB180" s="125">
        <v>50.317999999999998</v>
      </c>
      <c r="AC180" s="125">
        <v>250.1</v>
      </c>
      <c r="AD180" s="125">
        <v>0</v>
      </c>
      <c r="AE180" s="125">
        <v>184.04400000000001</v>
      </c>
      <c r="AF180" s="125">
        <v>126.78585</v>
      </c>
      <c r="AG180" s="125">
        <v>0</v>
      </c>
      <c r="AH180" s="125">
        <v>0</v>
      </c>
      <c r="AI180" s="121">
        <v>16711398</v>
      </c>
      <c r="AJ180" s="121">
        <v>4598272</v>
      </c>
      <c r="AK180" s="424">
        <v>12</v>
      </c>
      <c r="AL180">
        <v>0</v>
      </c>
      <c r="AM180" s="121">
        <v>173078</v>
      </c>
      <c r="AN180" s="125">
        <v>0</v>
      </c>
      <c r="AO180" s="125">
        <v>0</v>
      </c>
      <c r="AP180" s="121">
        <v>21309670</v>
      </c>
      <c r="AQ180" s="114">
        <v>0</v>
      </c>
      <c r="AR180" s="121">
        <v>0</v>
      </c>
      <c r="AS180" s="121">
        <v>0</v>
      </c>
      <c r="AT180" s="121">
        <v>0</v>
      </c>
      <c r="AU180" s="420" t="s">
        <v>798</v>
      </c>
      <c r="AV180" s="420" t="s">
        <v>2001</v>
      </c>
      <c r="AW180" s="121">
        <v>0</v>
      </c>
      <c r="AX180" s="121">
        <v>4967033</v>
      </c>
      <c r="AY180" s="134">
        <v>131400</v>
      </c>
      <c r="AZ180" s="134">
        <v>2038513</v>
      </c>
      <c r="BA180" s="114">
        <v>866</v>
      </c>
      <c r="BB180" s="134">
        <v>102770793</v>
      </c>
      <c r="BC180" s="114">
        <v>0</v>
      </c>
      <c r="BD180" s="114">
        <v>0</v>
      </c>
      <c r="BE180" s="114">
        <v>0</v>
      </c>
      <c r="BF180" s="134">
        <v>2665</v>
      </c>
      <c r="BG180" s="114">
        <v>0</v>
      </c>
      <c r="BH180" s="114">
        <v>0</v>
      </c>
      <c r="BI180">
        <v>0</v>
      </c>
      <c r="BJ180" s="121">
        <v>0</v>
      </c>
      <c r="BK180" s="134">
        <v>1360309165</v>
      </c>
      <c r="BL180" s="934">
        <v>5936</v>
      </c>
      <c r="BM180" s="934">
        <v>7194</v>
      </c>
      <c r="BN180" s="934">
        <v>6678</v>
      </c>
      <c r="BO180" s="114">
        <v>0</v>
      </c>
      <c r="BP180" s="114">
        <v>0</v>
      </c>
    </row>
    <row r="181" spans="1:68">
      <c r="A181" t="s">
        <v>1351</v>
      </c>
      <c r="B181" t="s">
        <v>1293</v>
      </c>
      <c r="C181" s="121">
        <v>4984</v>
      </c>
      <c r="D181" s="72">
        <v>2</v>
      </c>
      <c r="E181">
        <v>2607.7280000000001</v>
      </c>
      <c r="F181">
        <v>751</v>
      </c>
      <c r="G181">
        <v>640</v>
      </c>
      <c r="H181">
        <v>1</v>
      </c>
      <c r="I181" s="173">
        <v>1.04</v>
      </c>
      <c r="J181" s="121">
        <v>2794355919</v>
      </c>
      <c r="K181" s="125">
        <v>14966.116</v>
      </c>
      <c r="L181" s="173">
        <v>1.5</v>
      </c>
      <c r="M181">
        <v>1.04</v>
      </c>
      <c r="N181">
        <v>1.000000005</v>
      </c>
      <c r="O181">
        <v>3.9999995000000066</v>
      </c>
      <c r="P181">
        <v>12822.796</v>
      </c>
      <c r="Q181" s="125">
        <v>0.187</v>
      </c>
      <c r="R181" s="125">
        <v>6.0000000000000001E-3</v>
      </c>
      <c r="S181" s="125">
        <v>17.443999999999999</v>
      </c>
      <c r="T181" s="125">
        <v>243.155</v>
      </c>
      <c r="U181" s="125">
        <v>62.923999999999999</v>
      </c>
      <c r="V181" s="125">
        <v>13.988</v>
      </c>
      <c r="W181" s="125">
        <v>0</v>
      </c>
      <c r="X181" s="125">
        <v>0</v>
      </c>
      <c r="Y181" s="125">
        <v>0</v>
      </c>
      <c r="Z181" s="125">
        <v>0</v>
      </c>
      <c r="AA181" s="125">
        <v>228.042</v>
      </c>
      <c r="AB181" s="125">
        <v>332.28500000000003</v>
      </c>
      <c r="AC181" s="125">
        <v>2061.5</v>
      </c>
      <c r="AD181" s="125">
        <v>0.93899999999999995</v>
      </c>
      <c r="AE181" s="125">
        <v>666.65700000000004</v>
      </c>
      <c r="AF181" s="125">
        <v>641.13980000000004</v>
      </c>
      <c r="AG181" s="125">
        <v>0</v>
      </c>
      <c r="AH181" s="125">
        <v>0</v>
      </c>
      <c r="AI181" s="121">
        <v>30514367</v>
      </c>
      <c r="AJ181" s="121">
        <v>8120264</v>
      </c>
      <c r="AK181" s="424">
        <v>12</v>
      </c>
      <c r="AL181">
        <v>0</v>
      </c>
      <c r="AM181" s="121">
        <v>556638</v>
      </c>
      <c r="AN181" s="125">
        <v>1</v>
      </c>
      <c r="AO181" s="125">
        <v>1</v>
      </c>
      <c r="AP181" s="121">
        <v>38634631</v>
      </c>
      <c r="AQ181" s="114">
        <v>0</v>
      </c>
      <c r="AR181" s="121">
        <v>1862.6044776000001</v>
      </c>
      <c r="AS181" s="121">
        <v>366007.62886</v>
      </c>
      <c r="AT181" s="121">
        <v>48203.040593999998</v>
      </c>
      <c r="AU181" s="420" t="s">
        <v>2001</v>
      </c>
      <c r="AV181" s="420" t="s">
        <v>2001</v>
      </c>
      <c r="AW181" s="121">
        <v>0</v>
      </c>
      <c r="AX181" s="121">
        <v>15020274</v>
      </c>
      <c r="BI181">
        <v>0</v>
      </c>
      <c r="BJ181" s="121">
        <v>0</v>
      </c>
      <c r="BK181" s="134">
        <v>2794355919</v>
      </c>
      <c r="BL181" s="934">
        <v>4937</v>
      </c>
      <c r="BM181" s="934">
        <v>4984</v>
      </c>
      <c r="BN181" s="934">
        <v>4984</v>
      </c>
      <c r="BO181" s="114">
        <v>0</v>
      </c>
      <c r="BP181" s="114">
        <v>0</v>
      </c>
    </row>
    <row r="182" spans="1:68">
      <c r="A182" t="s">
        <v>990</v>
      </c>
      <c r="B182" t="s">
        <v>1521</v>
      </c>
      <c r="C182" s="121">
        <v>4565</v>
      </c>
      <c r="D182" s="72">
        <v>2</v>
      </c>
      <c r="E182">
        <v>170.76300000000001</v>
      </c>
      <c r="F182">
        <v>60</v>
      </c>
      <c r="G182">
        <v>31</v>
      </c>
      <c r="H182">
        <v>0</v>
      </c>
      <c r="I182" s="173">
        <v>1.17</v>
      </c>
      <c r="J182" s="121">
        <v>116619474</v>
      </c>
      <c r="K182" s="125">
        <v>921.51900000000001</v>
      </c>
      <c r="L182" s="173">
        <v>1.5</v>
      </c>
      <c r="M182">
        <v>1.17</v>
      </c>
      <c r="N182">
        <v>1.000000005</v>
      </c>
      <c r="O182">
        <v>16.999999499999994</v>
      </c>
      <c r="P182">
        <v>575.26400000000001</v>
      </c>
      <c r="Q182" s="125">
        <v>1.6E-2</v>
      </c>
      <c r="R182" s="125">
        <v>0</v>
      </c>
      <c r="S182" s="125">
        <v>0.56000000000000005</v>
      </c>
      <c r="T182" s="125">
        <v>23.771000000000001</v>
      </c>
      <c r="U182" s="125">
        <v>0.876</v>
      </c>
      <c r="V182" s="125">
        <v>1.401</v>
      </c>
      <c r="W182" s="125">
        <v>0</v>
      </c>
      <c r="X182" s="125">
        <v>0</v>
      </c>
      <c r="Y182" s="125">
        <v>0</v>
      </c>
      <c r="Z182" s="125">
        <v>0</v>
      </c>
      <c r="AA182" s="125">
        <v>12.718999999999999</v>
      </c>
      <c r="AB182" s="125">
        <v>32.722999999999999</v>
      </c>
      <c r="AC182" s="125">
        <v>218.9</v>
      </c>
      <c r="AD182" s="125">
        <v>0</v>
      </c>
      <c r="AE182" s="125">
        <v>30.334</v>
      </c>
      <c r="AF182" s="125">
        <v>28.763000000000002</v>
      </c>
      <c r="AG182" s="125">
        <v>0</v>
      </c>
      <c r="AH182" s="125">
        <v>0</v>
      </c>
      <c r="AI182" s="121">
        <v>1404017</v>
      </c>
      <c r="AJ182" s="121">
        <v>434243</v>
      </c>
      <c r="AK182" s="424">
        <v>12</v>
      </c>
      <c r="AL182">
        <v>0</v>
      </c>
      <c r="AM182" s="121">
        <v>51740</v>
      </c>
      <c r="AN182" s="125">
        <v>0</v>
      </c>
      <c r="AO182" s="125">
        <v>0</v>
      </c>
      <c r="AP182" s="121">
        <v>1838260</v>
      </c>
      <c r="AQ182" s="114">
        <v>0</v>
      </c>
      <c r="AR182" s="121">
        <v>77.733818005000003</v>
      </c>
      <c r="AS182" s="121">
        <v>15274.939340000001</v>
      </c>
      <c r="AT182" s="121">
        <v>2011.7026615</v>
      </c>
      <c r="AU182" s="420" t="s">
        <v>2001</v>
      </c>
      <c r="AV182" s="420" t="s">
        <v>2001</v>
      </c>
      <c r="AW182" s="121">
        <v>0</v>
      </c>
      <c r="AX182" s="121">
        <v>669316</v>
      </c>
      <c r="BI182">
        <v>0</v>
      </c>
      <c r="BJ182" s="121">
        <v>0</v>
      </c>
      <c r="BK182" s="134">
        <v>116619474</v>
      </c>
      <c r="BL182" s="934">
        <v>4495</v>
      </c>
      <c r="BM182" s="934">
        <v>4565</v>
      </c>
      <c r="BN182" s="934">
        <v>4565</v>
      </c>
      <c r="BO182" s="114">
        <v>0</v>
      </c>
      <c r="BP182" s="114">
        <v>0</v>
      </c>
    </row>
    <row r="183" spans="1:68">
      <c r="A183" t="s">
        <v>1619</v>
      </c>
      <c r="B183" t="s">
        <v>1744</v>
      </c>
      <c r="C183" s="121">
        <v>4855</v>
      </c>
      <c r="D183" s="72">
        <v>2</v>
      </c>
      <c r="E183">
        <v>450.12599999999998</v>
      </c>
      <c r="F183">
        <v>105</v>
      </c>
      <c r="G183">
        <v>68</v>
      </c>
      <c r="H183">
        <v>7</v>
      </c>
      <c r="I183" s="173">
        <v>1.04</v>
      </c>
      <c r="J183" s="121">
        <v>409340030</v>
      </c>
      <c r="K183" s="125">
        <v>1896.3579999999999</v>
      </c>
      <c r="L183" s="173">
        <v>1.5</v>
      </c>
      <c r="M183">
        <v>1.04</v>
      </c>
      <c r="N183">
        <v>1.000000005</v>
      </c>
      <c r="O183">
        <v>3.9999995000000066</v>
      </c>
      <c r="P183">
        <v>1391.873</v>
      </c>
      <c r="Q183" s="125">
        <v>0.33800000000000002</v>
      </c>
      <c r="R183" s="125">
        <v>0</v>
      </c>
      <c r="S183" s="125">
        <v>1.7629999999999999</v>
      </c>
      <c r="T183" s="125">
        <v>38.750999999999998</v>
      </c>
      <c r="U183" s="125">
        <v>7.577</v>
      </c>
      <c r="V183" s="125">
        <v>1.9470000000000001</v>
      </c>
      <c r="W183" s="125">
        <v>0</v>
      </c>
      <c r="X183" s="125">
        <v>0</v>
      </c>
      <c r="Y183" s="125">
        <v>0</v>
      </c>
      <c r="Z183" s="125">
        <v>0</v>
      </c>
      <c r="AA183" s="125">
        <v>47.006999999999998</v>
      </c>
      <c r="AB183" s="125">
        <v>62.994</v>
      </c>
      <c r="AC183" s="125">
        <v>528.9</v>
      </c>
      <c r="AD183" s="125">
        <v>0</v>
      </c>
      <c r="AE183" s="125">
        <v>31.059000000000001</v>
      </c>
      <c r="AF183" s="125">
        <v>69.593649999999997</v>
      </c>
      <c r="AG183" s="125">
        <v>0</v>
      </c>
      <c r="AH183" s="125">
        <v>0</v>
      </c>
      <c r="AI183" s="121">
        <v>4291193</v>
      </c>
      <c r="AJ183" s="121">
        <v>575361</v>
      </c>
      <c r="AK183" s="424">
        <v>12</v>
      </c>
      <c r="AL183">
        <v>0</v>
      </c>
      <c r="AM183" s="121">
        <v>133428</v>
      </c>
      <c r="AN183" s="125">
        <v>0.45700000000000002</v>
      </c>
      <c r="AO183" s="125">
        <v>1</v>
      </c>
      <c r="AP183" s="121">
        <v>4866554</v>
      </c>
      <c r="AQ183" s="114">
        <v>0</v>
      </c>
      <c r="AR183" s="121">
        <v>272.84948476</v>
      </c>
      <c r="AS183" s="121">
        <v>53615.780567000002</v>
      </c>
      <c r="AT183" s="121">
        <v>7061.174258</v>
      </c>
      <c r="AU183" s="420" t="s">
        <v>2001</v>
      </c>
      <c r="AV183" s="420" t="s">
        <v>2001</v>
      </c>
      <c r="AW183" s="121">
        <v>0</v>
      </c>
      <c r="AX183" s="121">
        <v>2098171</v>
      </c>
      <c r="BI183">
        <v>0</v>
      </c>
      <c r="BJ183" s="121">
        <v>0</v>
      </c>
      <c r="BK183" s="134">
        <v>409340030</v>
      </c>
      <c r="BL183" s="934">
        <v>4799</v>
      </c>
      <c r="BM183" s="934">
        <v>4855</v>
      </c>
      <c r="BN183" s="934">
        <v>4855</v>
      </c>
      <c r="BO183" s="114">
        <v>0</v>
      </c>
      <c r="BP183" s="114">
        <v>0</v>
      </c>
    </row>
    <row r="184" spans="1:68">
      <c r="A184" t="s">
        <v>281</v>
      </c>
      <c r="B184" t="s">
        <v>2520</v>
      </c>
      <c r="C184" s="121">
        <v>7170</v>
      </c>
      <c r="D184" s="72">
        <v>1</v>
      </c>
      <c r="E184">
        <v>409.30700000000002</v>
      </c>
      <c r="F184">
        <v>193</v>
      </c>
      <c r="G184">
        <v>117</v>
      </c>
      <c r="H184">
        <v>12</v>
      </c>
      <c r="I184" s="173">
        <v>1.04</v>
      </c>
      <c r="J184" s="121">
        <v>1319661918</v>
      </c>
      <c r="K184" s="125">
        <v>2816.5929999999998</v>
      </c>
      <c r="L184" s="173">
        <v>1.5</v>
      </c>
      <c r="M184">
        <v>1.04</v>
      </c>
      <c r="N184">
        <v>1.000000005</v>
      </c>
      <c r="O184">
        <v>3.9999995000000066</v>
      </c>
      <c r="P184">
        <v>2550</v>
      </c>
      <c r="Q184" s="125">
        <v>0.5</v>
      </c>
      <c r="R184" s="125">
        <v>0</v>
      </c>
      <c r="S184" s="125">
        <v>6</v>
      </c>
      <c r="T184" s="125">
        <v>56</v>
      </c>
      <c r="U184" s="125">
        <v>4.5</v>
      </c>
      <c r="V184" s="125">
        <v>1</v>
      </c>
      <c r="W184" s="125">
        <v>0</v>
      </c>
      <c r="X184" s="125">
        <v>0</v>
      </c>
      <c r="Y184" s="125">
        <v>0</v>
      </c>
      <c r="Z184" s="125">
        <v>0</v>
      </c>
      <c r="AA184" s="125">
        <v>2</v>
      </c>
      <c r="AB184" s="125">
        <v>45</v>
      </c>
      <c r="AC184" s="125">
        <v>70</v>
      </c>
      <c r="AD184" s="125">
        <v>0</v>
      </c>
      <c r="AE184" s="125">
        <v>26.2</v>
      </c>
      <c r="AF184" s="125">
        <v>125</v>
      </c>
      <c r="AG184" s="125">
        <v>0</v>
      </c>
      <c r="AH184" s="125">
        <v>0</v>
      </c>
      <c r="AI184" s="121">
        <v>14410708</v>
      </c>
      <c r="AJ184" s="121">
        <v>3825005</v>
      </c>
      <c r="AK184" s="424">
        <v>12</v>
      </c>
      <c r="AL184">
        <v>0</v>
      </c>
      <c r="AM184" s="121">
        <v>106277</v>
      </c>
      <c r="AN184" s="125">
        <v>0</v>
      </c>
      <c r="AO184" s="125">
        <v>0</v>
      </c>
      <c r="AP184" s="121">
        <v>18235713</v>
      </c>
      <c r="AQ184" s="114">
        <v>0</v>
      </c>
      <c r="AR184" s="121">
        <v>0</v>
      </c>
      <c r="AS184" s="121">
        <v>0</v>
      </c>
      <c r="AT184" s="121">
        <v>0</v>
      </c>
      <c r="AU184" s="420" t="s">
        <v>798</v>
      </c>
      <c r="AV184" s="420" t="s">
        <v>2001</v>
      </c>
      <c r="AW184" s="121">
        <v>0</v>
      </c>
      <c r="AX184" s="121">
        <v>5240095</v>
      </c>
      <c r="AY184" s="134">
        <v>851612</v>
      </c>
      <c r="AZ184" s="134">
        <v>1490540</v>
      </c>
      <c r="BA184" s="134">
        <v>1204</v>
      </c>
      <c r="BB184" s="134">
        <v>186182509</v>
      </c>
      <c r="BC184" s="114">
        <v>294</v>
      </c>
      <c r="BD184" s="134">
        <v>1399</v>
      </c>
      <c r="BE184" s="114">
        <v>0</v>
      </c>
      <c r="BF184" s="134">
        <v>2490</v>
      </c>
      <c r="BG184" s="114">
        <v>0</v>
      </c>
      <c r="BH184" s="114">
        <v>0</v>
      </c>
      <c r="BI184">
        <v>0</v>
      </c>
      <c r="BJ184" s="121">
        <v>0</v>
      </c>
      <c r="BK184" s="134">
        <v>1319661918</v>
      </c>
      <c r="BL184" s="934">
        <v>7170</v>
      </c>
      <c r="BM184" s="934">
        <v>6262</v>
      </c>
      <c r="BN184" s="934">
        <v>6262</v>
      </c>
      <c r="BO184" s="114">
        <v>0</v>
      </c>
      <c r="BP184" s="114">
        <v>0</v>
      </c>
    </row>
    <row r="185" spans="1:68">
      <c r="A185" t="s">
        <v>282</v>
      </c>
      <c r="B185" t="s">
        <v>2521</v>
      </c>
      <c r="C185" s="121">
        <v>4435</v>
      </c>
      <c r="D185" s="72">
        <v>3</v>
      </c>
      <c r="E185">
        <v>165.25</v>
      </c>
      <c r="F185">
        <v>53</v>
      </c>
      <c r="G185">
        <v>38</v>
      </c>
      <c r="H185">
        <v>0</v>
      </c>
      <c r="I185" s="173">
        <v>1.02</v>
      </c>
      <c r="J185" s="121">
        <v>79695410</v>
      </c>
      <c r="K185" s="125">
        <v>921.82</v>
      </c>
      <c r="L185" s="173">
        <v>1.36</v>
      </c>
      <c r="M185">
        <v>1.02</v>
      </c>
      <c r="N185">
        <v>0.90666667120000011</v>
      </c>
      <c r="O185">
        <v>11.333332879999992</v>
      </c>
      <c r="P185">
        <v>446.45800000000003</v>
      </c>
      <c r="Q185" s="125">
        <v>3.6999999999999998E-2</v>
      </c>
      <c r="R185" s="125">
        <v>0</v>
      </c>
      <c r="S185" s="125">
        <v>0.77</v>
      </c>
      <c r="T185" s="125">
        <v>10.159000000000001</v>
      </c>
      <c r="U185" s="125">
        <v>2.649</v>
      </c>
      <c r="V185" s="125">
        <v>0</v>
      </c>
      <c r="W185" s="125">
        <v>0.76200000000000001</v>
      </c>
      <c r="X185" s="125">
        <v>0</v>
      </c>
      <c r="Y185" s="125">
        <v>0</v>
      </c>
      <c r="Z185" s="125">
        <v>0</v>
      </c>
      <c r="AA185" s="125">
        <v>30.228000000000002</v>
      </c>
      <c r="AB185" s="125">
        <v>31.823</v>
      </c>
      <c r="AC185" s="125">
        <v>389.4</v>
      </c>
      <c r="AD185" s="125">
        <v>0</v>
      </c>
      <c r="AE185" s="125">
        <v>44.585000000000001</v>
      </c>
      <c r="AF185" s="125">
        <v>22.322900000000001</v>
      </c>
      <c r="AG185" s="125">
        <v>0</v>
      </c>
      <c r="AH185" s="125">
        <v>0</v>
      </c>
      <c r="AI185" s="121">
        <v>819396</v>
      </c>
      <c r="AJ185" s="121">
        <v>0</v>
      </c>
      <c r="AK185" s="424">
        <v>12</v>
      </c>
      <c r="AL185">
        <v>0</v>
      </c>
      <c r="AM185" s="121">
        <v>8883</v>
      </c>
      <c r="AN185" s="125">
        <v>0</v>
      </c>
      <c r="AO185" s="125">
        <v>0</v>
      </c>
      <c r="AP185" s="121">
        <v>819396</v>
      </c>
      <c r="AQ185" s="114">
        <v>0</v>
      </c>
      <c r="AR185" s="121">
        <v>53.121732454000004</v>
      </c>
      <c r="AS185" s="121">
        <v>10438.587242</v>
      </c>
      <c r="AT185" s="121">
        <v>1374.7572588</v>
      </c>
      <c r="AU185" s="420" t="s">
        <v>2001</v>
      </c>
      <c r="AV185" s="420" t="s">
        <v>2001</v>
      </c>
      <c r="AW185" s="121">
        <v>0</v>
      </c>
      <c r="AX185" s="121">
        <v>0</v>
      </c>
      <c r="BI185">
        <v>0</v>
      </c>
      <c r="BJ185" s="121">
        <v>0</v>
      </c>
      <c r="BK185" s="134">
        <v>79695410</v>
      </c>
      <c r="BL185" s="934">
        <v>4359</v>
      </c>
      <c r="BM185" s="934">
        <v>4369</v>
      </c>
      <c r="BN185" s="934">
        <v>4435</v>
      </c>
      <c r="BO185" s="114">
        <v>0</v>
      </c>
      <c r="BP185" s="114">
        <v>0</v>
      </c>
    </row>
    <row r="186" spans="1:68">
      <c r="A186" t="s">
        <v>642</v>
      </c>
      <c r="B186" t="s">
        <v>2522</v>
      </c>
      <c r="C186" s="121">
        <v>4612</v>
      </c>
      <c r="D186" s="72">
        <v>2</v>
      </c>
      <c r="E186">
        <v>31.446999999999999</v>
      </c>
      <c r="F186">
        <v>15</v>
      </c>
      <c r="G186">
        <v>8</v>
      </c>
      <c r="H186">
        <v>3</v>
      </c>
      <c r="I186" s="173">
        <v>1.03</v>
      </c>
      <c r="J186" s="121">
        <v>46639016</v>
      </c>
      <c r="K186" s="125">
        <v>296.97500000000002</v>
      </c>
      <c r="L186" s="173">
        <v>1.335</v>
      </c>
      <c r="M186">
        <v>1.03</v>
      </c>
      <c r="N186">
        <v>0.89000000445000005</v>
      </c>
      <c r="O186">
        <v>13.999999554999999</v>
      </c>
      <c r="P186">
        <v>115</v>
      </c>
      <c r="Q186" s="125">
        <v>0</v>
      </c>
      <c r="R186" s="125">
        <v>0</v>
      </c>
      <c r="S186" s="125">
        <v>1</v>
      </c>
      <c r="T186" s="125">
        <v>3</v>
      </c>
      <c r="U186" s="125">
        <v>0</v>
      </c>
      <c r="V186" s="125">
        <v>0</v>
      </c>
      <c r="W186" s="125">
        <v>0</v>
      </c>
      <c r="X186" s="125">
        <v>0</v>
      </c>
      <c r="Y186" s="125">
        <v>0</v>
      </c>
      <c r="Z186" s="125">
        <v>0</v>
      </c>
      <c r="AA186" s="125">
        <v>6</v>
      </c>
      <c r="AB186" s="125">
        <v>12</v>
      </c>
      <c r="AC186" s="125">
        <v>75</v>
      </c>
      <c r="AD186" s="125">
        <v>0</v>
      </c>
      <c r="AE186" s="125">
        <v>0</v>
      </c>
      <c r="AF186" s="125">
        <v>5.75</v>
      </c>
      <c r="AG186" s="125">
        <v>0</v>
      </c>
      <c r="AH186" s="125">
        <v>0</v>
      </c>
      <c r="AI186" s="121">
        <v>386179</v>
      </c>
      <c r="AJ186" s="121">
        <v>0</v>
      </c>
      <c r="AK186" s="424">
        <v>12</v>
      </c>
      <c r="AL186">
        <v>0</v>
      </c>
      <c r="AM186" s="121">
        <v>35199</v>
      </c>
      <c r="AN186" s="125">
        <v>0</v>
      </c>
      <c r="AO186" s="125">
        <v>0</v>
      </c>
      <c r="AP186" s="121">
        <v>386179</v>
      </c>
      <c r="AQ186" s="114">
        <v>0</v>
      </c>
      <c r="AR186" s="121">
        <v>31.087679402999999</v>
      </c>
      <c r="AS186" s="121">
        <v>6108.8266252000003</v>
      </c>
      <c r="AT186" s="121">
        <v>804.52972719000002</v>
      </c>
      <c r="AU186" s="420" t="s">
        <v>2001</v>
      </c>
      <c r="AV186" s="420" t="s">
        <v>2001</v>
      </c>
      <c r="AW186" s="121">
        <v>0</v>
      </c>
      <c r="AX186" s="121">
        <v>0</v>
      </c>
      <c r="BI186">
        <v>0</v>
      </c>
      <c r="BJ186" s="121">
        <v>3</v>
      </c>
      <c r="BK186" s="134">
        <v>36436407</v>
      </c>
      <c r="BL186" s="934">
        <v>4486</v>
      </c>
      <c r="BM186" s="934">
        <v>4612</v>
      </c>
      <c r="BN186" s="934">
        <v>4538</v>
      </c>
      <c r="BO186" s="114">
        <v>0</v>
      </c>
      <c r="BP186" s="114">
        <v>0</v>
      </c>
    </row>
    <row r="187" spans="1:68">
      <c r="A187" t="s">
        <v>1617</v>
      </c>
      <c r="B187" t="s">
        <v>1742</v>
      </c>
      <c r="C187" s="121">
        <v>4715</v>
      </c>
      <c r="D187" s="72">
        <v>3</v>
      </c>
      <c r="E187">
        <v>495.06</v>
      </c>
      <c r="F187">
        <v>128</v>
      </c>
      <c r="G187">
        <v>59</v>
      </c>
      <c r="H187">
        <v>9</v>
      </c>
      <c r="I187" s="173">
        <v>0.99</v>
      </c>
      <c r="J187" s="121">
        <v>629550902</v>
      </c>
      <c r="K187" s="125">
        <v>2103.1999999999998</v>
      </c>
      <c r="L187" s="173">
        <v>1.39</v>
      </c>
      <c r="M187">
        <v>0.99</v>
      </c>
      <c r="N187">
        <v>0.92666667129999991</v>
      </c>
      <c r="O187">
        <v>6.3333328700000084</v>
      </c>
      <c r="P187">
        <v>1455</v>
      </c>
      <c r="Q187" s="125">
        <v>0.191</v>
      </c>
      <c r="R187" s="125">
        <v>0</v>
      </c>
      <c r="S187" s="125">
        <v>1.2769999999999999</v>
      </c>
      <c r="T187" s="125">
        <v>36.597000000000001</v>
      </c>
      <c r="U187" s="125">
        <v>14.516</v>
      </c>
      <c r="V187" s="125">
        <v>0</v>
      </c>
      <c r="W187" s="125">
        <v>4.42</v>
      </c>
      <c r="X187" s="125">
        <v>0</v>
      </c>
      <c r="Y187" s="125">
        <v>0.95</v>
      </c>
      <c r="Z187" s="125">
        <v>0</v>
      </c>
      <c r="AA187" s="125">
        <v>55.8</v>
      </c>
      <c r="AB187" s="125">
        <v>85.39</v>
      </c>
      <c r="AC187" s="125">
        <v>795.9</v>
      </c>
      <c r="AD187" s="125">
        <v>0.64</v>
      </c>
      <c r="AE187" s="125">
        <v>99.421000000000006</v>
      </c>
      <c r="AF187" s="125">
        <v>70.563999999999993</v>
      </c>
      <c r="AG187" s="125">
        <v>0</v>
      </c>
      <c r="AH187" s="125">
        <v>0</v>
      </c>
      <c r="AI187" s="121">
        <v>6413298</v>
      </c>
      <c r="AJ187" s="121">
        <v>1272829</v>
      </c>
      <c r="AK187" s="424">
        <v>12</v>
      </c>
      <c r="AL187">
        <v>0</v>
      </c>
      <c r="AM187" s="121">
        <v>146690</v>
      </c>
      <c r="AN187" s="125">
        <v>0</v>
      </c>
      <c r="AO187" s="125">
        <v>0</v>
      </c>
      <c r="AP187" s="121">
        <v>7686127</v>
      </c>
      <c r="AQ187" s="114">
        <v>0</v>
      </c>
      <c r="AR187" s="121">
        <v>419.63313298000003</v>
      </c>
      <c r="AS187" s="121">
        <v>82459.228375999999</v>
      </c>
      <c r="AT187" s="121">
        <v>10859.8434</v>
      </c>
      <c r="AU187" s="420" t="s">
        <v>2001</v>
      </c>
      <c r="AV187" s="420" t="s">
        <v>2001</v>
      </c>
      <c r="AW187" s="121">
        <v>0</v>
      </c>
      <c r="AX187" s="121">
        <v>1181585</v>
      </c>
      <c r="BI187">
        <v>0</v>
      </c>
      <c r="BJ187" s="121">
        <v>0</v>
      </c>
      <c r="BK187" s="134">
        <v>629550902</v>
      </c>
      <c r="BL187" s="934">
        <v>4425</v>
      </c>
      <c r="BM187" s="934">
        <v>4468</v>
      </c>
      <c r="BN187" s="934">
        <v>4715</v>
      </c>
      <c r="BO187" s="114">
        <v>0</v>
      </c>
      <c r="BP187" s="114">
        <v>0</v>
      </c>
    </row>
    <row r="188" spans="1:68">
      <c r="A188" t="s">
        <v>643</v>
      </c>
      <c r="B188" t="s">
        <v>1181</v>
      </c>
      <c r="C188" s="121">
        <v>5019</v>
      </c>
      <c r="D188" s="72">
        <v>2</v>
      </c>
      <c r="E188">
        <v>322.83300000000003</v>
      </c>
      <c r="F188">
        <v>124</v>
      </c>
      <c r="G188">
        <v>92</v>
      </c>
      <c r="H188">
        <v>1</v>
      </c>
      <c r="I188" s="173">
        <v>1.04</v>
      </c>
      <c r="J188" s="121">
        <v>605498299</v>
      </c>
      <c r="K188" s="125">
        <v>2030.6590000000001</v>
      </c>
      <c r="L188" s="173">
        <v>1.4214</v>
      </c>
      <c r="M188">
        <v>1.04</v>
      </c>
      <c r="N188">
        <v>0.94760000473799999</v>
      </c>
      <c r="O188">
        <v>9.2399995262000054</v>
      </c>
      <c r="P188">
        <v>1229</v>
      </c>
      <c r="Q188" s="125">
        <v>3.2000000000000001E-2</v>
      </c>
      <c r="R188" s="125">
        <v>7.2999999999999995E-2</v>
      </c>
      <c r="S188" s="125">
        <v>1.2290000000000001</v>
      </c>
      <c r="T188" s="125">
        <v>43.277000000000001</v>
      </c>
      <c r="U188" s="125">
        <v>6.6820000000000004</v>
      </c>
      <c r="V188" s="125">
        <v>0</v>
      </c>
      <c r="W188" s="125">
        <v>3.0139999999999998</v>
      </c>
      <c r="X188" s="125">
        <v>0</v>
      </c>
      <c r="Y188" s="125">
        <v>0</v>
      </c>
      <c r="Z188" s="125">
        <v>3.4169999999999998</v>
      </c>
      <c r="AA188" s="125">
        <v>55.83</v>
      </c>
      <c r="AB188" s="125">
        <v>54.844999999999999</v>
      </c>
      <c r="AC188" s="125">
        <v>1044.2</v>
      </c>
      <c r="AD188" s="125">
        <v>0.49299999999999999</v>
      </c>
      <c r="AE188" s="125">
        <v>85.084999999999994</v>
      </c>
      <c r="AF188" s="125">
        <v>59.177999999999997</v>
      </c>
      <c r="AG188" s="125">
        <v>0</v>
      </c>
      <c r="AH188" s="125">
        <v>0</v>
      </c>
      <c r="AI188" s="121">
        <v>6463513</v>
      </c>
      <c r="AJ188" s="121">
        <v>402176</v>
      </c>
      <c r="AK188" s="424">
        <v>12</v>
      </c>
      <c r="AL188">
        <v>0</v>
      </c>
      <c r="AM188" s="121">
        <v>168564</v>
      </c>
      <c r="AN188" s="125">
        <v>0</v>
      </c>
      <c r="AO188" s="125">
        <v>1</v>
      </c>
      <c r="AP188" s="121">
        <v>6865689</v>
      </c>
      <c r="AQ188" s="114">
        <v>0</v>
      </c>
      <c r="AR188" s="121">
        <v>403.60064224000001</v>
      </c>
      <c r="AS188" s="121">
        <v>79308.793600999998</v>
      </c>
      <c r="AT188" s="121">
        <v>10444.932553000001</v>
      </c>
      <c r="AU188" s="420" t="s">
        <v>2001</v>
      </c>
      <c r="AV188" s="420" t="s">
        <v>2001</v>
      </c>
      <c r="AW188" s="121">
        <v>0</v>
      </c>
      <c r="AX188" s="121">
        <v>361744</v>
      </c>
      <c r="BI188">
        <v>0</v>
      </c>
      <c r="BJ188" s="121">
        <v>0</v>
      </c>
      <c r="BK188" s="134">
        <v>603976342</v>
      </c>
      <c r="BL188" s="934">
        <v>4676</v>
      </c>
      <c r="BM188" s="934">
        <v>5019</v>
      </c>
      <c r="BN188" s="934">
        <v>4885</v>
      </c>
      <c r="BO188" s="114">
        <v>0</v>
      </c>
      <c r="BP188" s="114">
        <v>0</v>
      </c>
    </row>
    <row r="189" spans="1:68">
      <c r="A189" t="s">
        <v>34</v>
      </c>
      <c r="B189" t="s">
        <v>2524</v>
      </c>
      <c r="C189" s="121">
        <v>4891</v>
      </c>
      <c r="D189" s="72">
        <v>3</v>
      </c>
      <c r="E189">
        <v>202.89</v>
      </c>
      <c r="F189">
        <v>51</v>
      </c>
      <c r="G189">
        <v>37</v>
      </c>
      <c r="H189">
        <v>5</v>
      </c>
      <c r="I189" s="173">
        <v>1.04</v>
      </c>
      <c r="J189" s="121">
        <v>233044246</v>
      </c>
      <c r="K189" s="125">
        <v>882.44</v>
      </c>
      <c r="L189" s="173">
        <v>1.3471</v>
      </c>
      <c r="M189">
        <v>1.04</v>
      </c>
      <c r="N189">
        <v>0.89806667115700001</v>
      </c>
      <c r="O189">
        <v>14.193332884300002</v>
      </c>
      <c r="P189">
        <v>509.173</v>
      </c>
      <c r="Q189" s="125">
        <v>0</v>
      </c>
      <c r="R189" s="125">
        <v>0</v>
      </c>
      <c r="S189" s="125">
        <v>0.57399999999999995</v>
      </c>
      <c r="T189" s="125">
        <v>16.734000000000002</v>
      </c>
      <c r="U189" s="125">
        <v>3.05</v>
      </c>
      <c r="V189" s="125">
        <v>0</v>
      </c>
      <c r="W189" s="125">
        <v>4.9390000000000001</v>
      </c>
      <c r="X189" s="125">
        <v>0</v>
      </c>
      <c r="Y189" s="125">
        <v>0</v>
      </c>
      <c r="Z189" s="125">
        <v>0</v>
      </c>
      <c r="AA189" s="125">
        <v>22.341999999999999</v>
      </c>
      <c r="AB189" s="125">
        <v>38.527000000000001</v>
      </c>
      <c r="AC189" s="125">
        <v>319.39999999999998</v>
      </c>
      <c r="AD189" s="125">
        <v>0</v>
      </c>
      <c r="AE189" s="125">
        <v>57.573999999999998</v>
      </c>
      <c r="AF189" s="125">
        <v>25.458649999999999</v>
      </c>
      <c r="AG189" s="125">
        <v>0</v>
      </c>
      <c r="AH189" s="125">
        <v>0</v>
      </c>
      <c r="AI189" s="121">
        <v>2519395</v>
      </c>
      <c r="AJ189" s="121">
        <v>507949</v>
      </c>
      <c r="AK189" s="424">
        <v>12</v>
      </c>
      <c r="AL189">
        <v>0</v>
      </c>
      <c r="AM189" s="121">
        <v>51675</v>
      </c>
      <c r="AN189" s="125">
        <v>0</v>
      </c>
      <c r="AO189" s="125">
        <v>0</v>
      </c>
      <c r="AP189" s="121">
        <v>3027344</v>
      </c>
      <c r="AQ189" s="114">
        <v>0</v>
      </c>
      <c r="AR189" s="121">
        <v>155.33785553999999</v>
      </c>
      <c r="AS189" s="121">
        <v>30524.376411000001</v>
      </c>
      <c r="AT189" s="121">
        <v>4020.0466855</v>
      </c>
      <c r="AU189" s="420" t="s">
        <v>2001</v>
      </c>
      <c r="AV189" s="420" t="s">
        <v>2001</v>
      </c>
      <c r="AW189" s="121">
        <v>0</v>
      </c>
      <c r="AX189" s="121">
        <v>463586</v>
      </c>
      <c r="BI189">
        <v>0</v>
      </c>
      <c r="BJ189" s="121">
        <v>0</v>
      </c>
      <c r="BK189" s="134">
        <v>233044246</v>
      </c>
      <c r="BL189" s="934">
        <v>4586</v>
      </c>
      <c r="BM189" s="934">
        <v>4528</v>
      </c>
      <c r="BN189" s="934">
        <v>4891</v>
      </c>
      <c r="BO189" s="114">
        <v>0</v>
      </c>
      <c r="BP189" s="114">
        <v>0</v>
      </c>
    </row>
    <row r="190" spans="1:68">
      <c r="A190" t="s">
        <v>35</v>
      </c>
      <c r="B190" t="s">
        <v>2525</v>
      </c>
      <c r="C190" s="121">
        <v>5014</v>
      </c>
      <c r="D190" s="72">
        <v>3</v>
      </c>
      <c r="E190">
        <v>1964.38</v>
      </c>
      <c r="F190">
        <v>488</v>
      </c>
      <c r="G190">
        <v>381</v>
      </c>
      <c r="H190">
        <v>15</v>
      </c>
      <c r="I190" s="173">
        <v>1.0193000000000001</v>
      </c>
      <c r="J190" s="121">
        <v>2478933089</v>
      </c>
      <c r="K190" s="125">
        <v>8793.3919999999998</v>
      </c>
      <c r="L190" s="173">
        <v>1.46</v>
      </c>
      <c r="M190">
        <v>1.0193000000000001</v>
      </c>
      <c r="N190">
        <v>0.97333333820000001</v>
      </c>
      <c r="O190">
        <v>4.5966661800000086</v>
      </c>
      <c r="P190">
        <v>7200</v>
      </c>
      <c r="Q190" s="125">
        <v>0.32500000000000001</v>
      </c>
      <c r="R190" s="125">
        <v>0</v>
      </c>
      <c r="S190" s="125">
        <v>10.324999999999999</v>
      </c>
      <c r="T190" s="125">
        <v>195.91200000000001</v>
      </c>
      <c r="U190" s="125">
        <v>48.155000000000001</v>
      </c>
      <c r="V190" s="125">
        <v>2.2189999999999999</v>
      </c>
      <c r="W190" s="125">
        <v>5.5E-2</v>
      </c>
      <c r="X190" s="125">
        <v>0</v>
      </c>
      <c r="Y190" s="125">
        <v>0</v>
      </c>
      <c r="Z190" s="125">
        <v>0.24399999999999999</v>
      </c>
      <c r="AA190" s="125">
        <v>49.633000000000003</v>
      </c>
      <c r="AB190" s="125">
        <v>235</v>
      </c>
      <c r="AC190" s="125">
        <v>2880</v>
      </c>
      <c r="AD190" s="125">
        <v>2.9369999999999998</v>
      </c>
      <c r="AE190" s="125">
        <v>523</v>
      </c>
      <c r="AF190" s="125">
        <v>360</v>
      </c>
      <c r="AG190" s="125">
        <v>0</v>
      </c>
      <c r="AH190" s="125">
        <v>0</v>
      </c>
      <c r="AI190" s="121">
        <v>26265842</v>
      </c>
      <c r="AJ190" s="121">
        <v>6839775</v>
      </c>
      <c r="AK190" s="424">
        <v>12</v>
      </c>
      <c r="AL190">
        <v>0</v>
      </c>
      <c r="AM190" s="121">
        <v>500510</v>
      </c>
      <c r="AN190" s="125">
        <v>0</v>
      </c>
      <c r="AO190" s="125">
        <v>0</v>
      </c>
      <c r="AP190" s="121">
        <v>33105617</v>
      </c>
      <c r="AQ190" s="114">
        <v>0</v>
      </c>
      <c r="AR190" s="121">
        <v>1652.3563945000001</v>
      </c>
      <c r="AS190" s="121">
        <v>324693.22029999999</v>
      </c>
      <c r="AT190" s="121">
        <v>42761.951514</v>
      </c>
      <c r="AU190" s="420" t="s">
        <v>2001</v>
      </c>
      <c r="AV190" s="420" t="s">
        <v>2001</v>
      </c>
      <c r="AW190" s="121">
        <v>0</v>
      </c>
      <c r="AX190" s="121">
        <v>9044555</v>
      </c>
      <c r="BI190">
        <v>0</v>
      </c>
      <c r="BJ190" s="121">
        <v>0</v>
      </c>
      <c r="BK190" s="134">
        <v>2478933089</v>
      </c>
      <c r="BL190" s="934">
        <v>4684</v>
      </c>
      <c r="BM190" s="934">
        <v>4905</v>
      </c>
      <c r="BN190" s="934">
        <v>5014</v>
      </c>
      <c r="BO190" s="114">
        <v>0</v>
      </c>
      <c r="BP190" s="114">
        <v>0</v>
      </c>
    </row>
    <row r="191" spans="1:68">
      <c r="A191" t="s">
        <v>1437</v>
      </c>
      <c r="B191" t="s">
        <v>2526</v>
      </c>
      <c r="C191" s="121">
        <v>5461</v>
      </c>
      <c r="D191" s="72">
        <v>2</v>
      </c>
      <c r="E191">
        <v>4235.2139999999999</v>
      </c>
      <c r="F191">
        <v>1062</v>
      </c>
      <c r="G191">
        <v>881</v>
      </c>
      <c r="H191">
        <v>80</v>
      </c>
      <c r="I191" s="173">
        <v>1.04</v>
      </c>
      <c r="J191" s="121">
        <v>8314388556</v>
      </c>
      <c r="K191" s="125">
        <v>18635.259999999998</v>
      </c>
      <c r="L191" s="173">
        <v>1.5</v>
      </c>
      <c r="M191">
        <v>1.04</v>
      </c>
      <c r="N191">
        <v>1.000000005</v>
      </c>
      <c r="O191">
        <v>3.9999995000000066</v>
      </c>
      <c r="P191">
        <v>15340</v>
      </c>
      <c r="Q191" s="125">
        <v>3.5</v>
      </c>
      <c r="R191" s="125">
        <v>0</v>
      </c>
      <c r="S191" s="125">
        <v>12.2</v>
      </c>
      <c r="T191" s="125">
        <v>297</v>
      </c>
      <c r="U191" s="125">
        <v>79</v>
      </c>
      <c r="V191" s="125">
        <v>8.5</v>
      </c>
      <c r="W191" s="125">
        <v>32.6</v>
      </c>
      <c r="X191" s="125">
        <v>0</v>
      </c>
      <c r="Y191" s="125">
        <v>0</v>
      </c>
      <c r="Z191" s="125">
        <v>14</v>
      </c>
      <c r="AA191" s="125">
        <v>380</v>
      </c>
      <c r="AB191" s="125">
        <v>698</v>
      </c>
      <c r="AC191" s="125">
        <v>4926</v>
      </c>
      <c r="AD191" s="125">
        <v>4.2</v>
      </c>
      <c r="AE191" s="125">
        <v>540</v>
      </c>
      <c r="AF191" s="125">
        <v>767</v>
      </c>
      <c r="AG191" s="125">
        <v>0</v>
      </c>
      <c r="AH191" s="125">
        <v>0</v>
      </c>
      <c r="AI191" s="121">
        <v>90793123</v>
      </c>
      <c r="AJ191" s="121">
        <v>27796637</v>
      </c>
      <c r="AK191" s="424">
        <v>12</v>
      </c>
      <c r="AL191">
        <v>0</v>
      </c>
      <c r="AM191" s="121">
        <v>2009421</v>
      </c>
      <c r="AN191" s="125">
        <v>2.851</v>
      </c>
      <c r="AO191" s="125">
        <v>1</v>
      </c>
      <c r="AP191" s="121">
        <v>118589760</v>
      </c>
      <c r="AQ191" s="114">
        <v>0</v>
      </c>
      <c r="AR191" s="121">
        <v>0</v>
      </c>
      <c r="AS191" s="121">
        <v>0</v>
      </c>
      <c r="AT191" s="121">
        <v>0</v>
      </c>
      <c r="AU191" s="420" t="s">
        <v>798</v>
      </c>
      <c r="AV191" s="420" t="s">
        <v>2001</v>
      </c>
      <c r="AW191" s="121">
        <v>0</v>
      </c>
      <c r="AX191" s="121">
        <v>23202114</v>
      </c>
      <c r="AY191" s="134">
        <v>6364680</v>
      </c>
      <c r="AZ191" s="134">
        <v>18512358</v>
      </c>
      <c r="BA191" s="134">
        <v>7655</v>
      </c>
      <c r="BB191" s="134">
        <v>1656586283</v>
      </c>
      <c r="BC191" s="114">
        <v>0</v>
      </c>
      <c r="BD191" s="114">
        <v>0</v>
      </c>
      <c r="BE191" s="114">
        <v>0</v>
      </c>
      <c r="BF191" s="134">
        <v>15138</v>
      </c>
      <c r="BG191" s="114">
        <v>0</v>
      </c>
      <c r="BH191" s="114">
        <v>0</v>
      </c>
      <c r="BI191">
        <v>0</v>
      </c>
      <c r="BJ191" s="121">
        <v>0</v>
      </c>
      <c r="BK191" s="134">
        <v>8314388556</v>
      </c>
      <c r="BL191" s="934">
        <v>5148</v>
      </c>
      <c r="BM191" s="934">
        <v>5461</v>
      </c>
      <c r="BN191" s="934">
        <v>5461</v>
      </c>
      <c r="BO191" s="114">
        <v>0</v>
      </c>
      <c r="BP191" s="114">
        <v>0</v>
      </c>
    </row>
    <row r="192" spans="1:68">
      <c r="A192" t="s">
        <v>2644</v>
      </c>
      <c r="B192" t="s">
        <v>2527</v>
      </c>
      <c r="C192" s="121">
        <v>4580</v>
      </c>
      <c r="D192" s="72">
        <v>2</v>
      </c>
      <c r="E192">
        <v>326.40499999999997</v>
      </c>
      <c r="F192">
        <v>120</v>
      </c>
      <c r="G192">
        <v>73</v>
      </c>
      <c r="H192">
        <v>9</v>
      </c>
      <c r="I192" s="173">
        <v>0.88</v>
      </c>
      <c r="J192" s="121">
        <v>245302346</v>
      </c>
      <c r="K192" s="125">
        <v>1954.701</v>
      </c>
      <c r="L192" s="173">
        <v>1.23</v>
      </c>
      <c r="M192">
        <v>0.88</v>
      </c>
      <c r="N192">
        <v>0.82000000409999996</v>
      </c>
      <c r="O192">
        <v>5.9999995900000052</v>
      </c>
      <c r="P192">
        <v>1251.0419999999999</v>
      </c>
      <c r="Q192" s="125">
        <v>0.01</v>
      </c>
      <c r="R192" s="125">
        <v>0</v>
      </c>
      <c r="S192" s="125">
        <v>1.843</v>
      </c>
      <c r="T192" s="125">
        <v>27.009</v>
      </c>
      <c r="U192" s="125">
        <v>7.3949999999999996</v>
      </c>
      <c r="V192" s="125">
        <v>0</v>
      </c>
      <c r="W192" s="125">
        <v>0</v>
      </c>
      <c r="X192" s="125">
        <v>0</v>
      </c>
      <c r="Y192" s="125">
        <v>0</v>
      </c>
      <c r="Z192" s="125">
        <v>7.7060000000000004</v>
      </c>
      <c r="AA192" s="125">
        <v>41.634</v>
      </c>
      <c r="AB192" s="125">
        <v>59.225000000000001</v>
      </c>
      <c r="AC192" s="125">
        <v>960.4</v>
      </c>
      <c r="AD192" s="125">
        <v>0.63400000000000001</v>
      </c>
      <c r="AE192" s="125">
        <v>144.548</v>
      </c>
      <c r="AF192" s="125">
        <v>62.552</v>
      </c>
      <c r="AG192" s="125">
        <v>0</v>
      </c>
      <c r="AH192" s="125">
        <v>0</v>
      </c>
      <c r="AI192" s="121">
        <v>2175930</v>
      </c>
      <c r="AJ192" s="121">
        <v>218</v>
      </c>
      <c r="AK192" s="424">
        <v>12</v>
      </c>
      <c r="AL192">
        <v>0</v>
      </c>
      <c r="AM192" s="121">
        <v>135682</v>
      </c>
      <c r="AN192" s="125">
        <v>0</v>
      </c>
      <c r="AO192" s="125">
        <v>0</v>
      </c>
      <c r="AP192" s="121">
        <v>2176148</v>
      </c>
      <c r="AQ192" s="114">
        <v>0</v>
      </c>
      <c r="AR192" s="121">
        <v>163.50860852</v>
      </c>
      <c r="AS192" s="121">
        <v>32129.955029000001</v>
      </c>
      <c r="AT192" s="121">
        <v>4231.5006695000002</v>
      </c>
      <c r="AU192" s="420" t="s">
        <v>2001</v>
      </c>
      <c r="AV192" s="420" t="s">
        <v>2001</v>
      </c>
      <c r="AW192" s="121">
        <v>0</v>
      </c>
      <c r="AX192" s="121">
        <v>403600</v>
      </c>
      <c r="BI192">
        <v>0</v>
      </c>
      <c r="BJ192" s="121">
        <v>0</v>
      </c>
      <c r="BK192" s="134">
        <v>245302346</v>
      </c>
      <c r="BL192" s="934">
        <v>3998</v>
      </c>
      <c r="BM192" s="934">
        <v>4580</v>
      </c>
      <c r="BN192" s="934">
        <v>4341</v>
      </c>
      <c r="BO192" s="114">
        <v>0</v>
      </c>
      <c r="BP192" s="114">
        <v>0</v>
      </c>
    </row>
    <row r="193" spans="1:68">
      <c r="A193" t="s">
        <v>2763</v>
      </c>
      <c r="B193" t="s">
        <v>3062</v>
      </c>
      <c r="C193" s="121">
        <v>4649</v>
      </c>
      <c r="D193" s="72">
        <v>2</v>
      </c>
      <c r="E193">
        <v>188.50200000000001</v>
      </c>
      <c r="F193">
        <v>71</v>
      </c>
      <c r="G193">
        <v>48</v>
      </c>
      <c r="H193">
        <v>1</v>
      </c>
      <c r="I193" s="173">
        <v>0.96299999999999997</v>
      </c>
      <c r="J193" s="121">
        <v>140491260</v>
      </c>
      <c r="K193" s="125">
        <v>910.01700000000005</v>
      </c>
      <c r="L193" s="173">
        <v>1.3308</v>
      </c>
      <c r="M193">
        <v>0.96299999999999997</v>
      </c>
      <c r="N193">
        <v>0.887200004436</v>
      </c>
      <c r="O193">
        <v>7.5799995563999971</v>
      </c>
      <c r="P193">
        <v>552.24400000000003</v>
      </c>
      <c r="Q193" s="125">
        <v>2E-3</v>
      </c>
      <c r="R193" s="125">
        <v>0</v>
      </c>
      <c r="S193" s="125">
        <v>1.077</v>
      </c>
      <c r="T193" s="125">
        <v>14.098000000000001</v>
      </c>
      <c r="U193" s="125">
        <v>2.93</v>
      </c>
      <c r="V193" s="125">
        <v>0</v>
      </c>
      <c r="W193" s="125">
        <v>0.83499999999999996</v>
      </c>
      <c r="X193" s="125">
        <v>0</v>
      </c>
      <c r="Y193" s="125">
        <v>0</v>
      </c>
      <c r="Z193" s="125">
        <v>0</v>
      </c>
      <c r="AA193" s="125">
        <v>10.954000000000001</v>
      </c>
      <c r="AB193" s="125">
        <v>29.495999999999999</v>
      </c>
      <c r="AC193" s="125">
        <v>411.3</v>
      </c>
      <c r="AD193" s="125">
        <v>0.86099999999999999</v>
      </c>
      <c r="AE193" s="125">
        <v>25.827000000000002</v>
      </c>
      <c r="AF193" s="125">
        <v>27.611999999999998</v>
      </c>
      <c r="AG193" s="125">
        <v>0</v>
      </c>
      <c r="AH193" s="125">
        <v>0</v>
      </c>
      <c r="AI193" s="121">
        <v>1412654</v>
      </c>
      <c r="AJ193" s="121">
        <v>38433</v>
      </c>
      <c r="AK193" s="424">
        <v>12</v>
      </c>
      <c r="AL193">
        <v>0</v>
      </c>
      <c r="AM193" s="121">
        <v>49601</v>
      </c>
      <c r="AN193" s="125">
        <v>0</v>
      </c>
      <c r="AO193" s="125">
        <v>0</v>
      </c>
      <c r="AP193" s="121">
        <v>1451087</v>
      </c>
      <c r="AQ193" s="114">
        <v>0</v>
      </c>
      <c r="AR193" s="121">
        <v>93.645783440000002</v>
      </c>
      <c r="AS193" s="121">
        <v>18401.690515999999</v>
      </c>
      <c r="AT193" s="121">
        <v>2423.4943890999998</v>
      </c>
      <c r="AU193" s="420" t="s">
        <v>2001</v>
      </c>
      <c r="AV193" s="420" t="s">
        <v>2001</v>
      </c>
      <c r="AW193" s="121">
        <v>0</v>
      </c>
      <c r="AX193" s="121">
        <v>59800</v>
      </c>
      <c r="BI193">
        <v>0</v>
      </c>
      <c r="BJ193" s="121">
        <v>0</v>
      </c>
      <c r="BK193" s="134">
        <v>139707697</v>
      </c>
      <c r="BL193" s="934">
        <v>4188</v>
      </c>
      <c r="BM193" s="934">
        <v>4649</v>
      </c>
      <c r="BN193" s="934">
        <v>4408</v>
      </c>
      <c r="BO193" s="114">
        <v>0</v>
      </c>
      <c r="BP193" s="114">
        <v>0</v>
      </c>
    </row>
    <row r="194" spans="1:68">
      <c r="A194" t="s">
        <v>2672</v>
      </c>
      <c r="B194" t="s">
        <v>1949</v>
      </c>
      <c r="C194" s="121">
        <v>4591</v>
      </c>
      <c r="D194" s="72">
        <v>3</v>
      </c>
      <c r="E194">
        <v>62.37</v>
      </c>
      <c r="F194">
        <v>20</v>
      </c>
      <c r="G194">
        <v>12</v>
      </c>
      <c r="H194">
        <v>0</v>
      </c>
      <c r="I194" s="173">
        <v>1.04</v>
      </c>
      <c r="J194" s="121">
        <v>38919427</v>
      </c>
      <c r="K194" s="125">
        <v>338.45100000000002</v>
      </c>
      <c r="L194" s="173">
        <v>1.4592000000000001</v>
      </c>
      <c r="M194">
        <v>1.04</v>
      </c>
      <c r="N194">
        <v>0.97280000486400009</v>
      </c>
      <c r="O194">
        <v>6.7199995135999941</v>
      </c>
      <c r="P194">
        <v>190.16800000000001</v>
      </c>
      <c r="Q194" s="125">
        <v>1.2999999999999999E-2</v>
      </c>
      <c r="R194" s="125">
        <v>0</v>
      </c>
      <c r="S194" s="125">
        <v>0.13100000000000001</v>
      </c>
      <c r="T194" s="125">
        <v>5.476</v>
      </c>
      <c r="U194" s="125">
        <v>0.16400000000000001</v>
      </c>
      <c r="V194" s="125">
        <v>0</v>
      </c>
      <c r="W194" s="125">
        <v>0</v>
      </c>
      <c r="X194" s="125">
        <v>0</v>
      </c>
      <c r="Y194" s="125">
        <v>0</v>
      </c>
      <c r="Z194" s="125">
        <v>0</v>
      </c>
      <c r="AA194" s="125">
        <v>1.3460000000000001</v>
      </c>
      <c r="AB194" s="125">
        <v>7.7549999999999999</v>
      </c>
      <c r="AC194" s="125">
        <v>168.5</v>
      </c>
      <c r="AD194" s="125">
        <v>0.21299999999999999</v>
      </c>
      <c r="AE194" s="125">
        <v>36.939</v>
      </c>
      <c r="AF194" s="125">
        <v>9.5079999999999991</v>
      </c>
      <c r="AG194" s="125">
        <v>0</v>
      </c>
      <c r="AH194" s="125">
        <v>0</v>
      </c>
      <c r="AI194" s="121">
        <v>416500</v>
      </c>
      <c r="AJ194" s="121">
        <v>24069</v>
      </c>
      <c r="AK194" s="424">
        <v>12</v>
      </c>
      <c r="AL194">
        <v>0</v>
      </c>
      <c r="AM194" s="121">
        <v>26918</v>
      </c>
      <c r="AN194" s="125">
        <v>0</v>
      </c>
      <c r="AO194" s="125">
        <v>0</v>
      </c>
      <c r="AP194" s="121">
        <v>440569</v>
      </c>
      <c r="AQ194" s="114">
        <v>0</v>
      </c>
      <c r="AR194" s="121">
        <v>25.942113710000001</v>
      </c>
      <c r="AS194" s="121">
        <v>5097.7068081999996</v>
      </c>
      <c r="AT194" s="121">
        <v>671.36570071000006</v>
      </c>
      <c r="AU194" s="420" t="s">
        <v>2001</v>
      </c>
      <c r="AV194" s="420" t="s">
        <v>2001</v>
      </c>
      <c r="AW194" s="121">
        <v>0</v>
      </c>
      <c r="AX194" s="121">
        <v>105025</v>
      </c>
      <c r="BI194">
        <v>0</v>
      </c>
      <c r="BJ194" s="121">
        <v>0</v>
      </c>
      <c r="BK194" s="134">
        <v>38919427</v>
      </c>
      <c r="BL194" s="934">
        <v>4530</v>
      </c>
      <c r="BM194" s="934">
        <v>4549</v>
      </c>
      <c r="BN194" s="934">
        <v>4591</v>
      </c>
      <c r="BO194" s="114">
        <v>0</v>
      </c>
      <c r="BP194" s="114">
        <v>0</v>
      </c>
    </row>
    <row r="195" spans="1:68">
      <c r="A195" t="s">
        <v>2645</v>
      </c>
      <c r="B195" t="s">
        <v>2528</v>
      </c>
      <c r="C195" s="121">
        <v>4383</v>
      </c>
      <c r="D195" s="72">
        <v>2</v>
      </c>
      <c r="E195">
        <v>49.997999999999998</v>
      </c>
      <c r="F195">
        <v>13</v>
      </c>
      <c r="G195">
        <v>11</v>
      </c>
      <c r="H195">
        <v>1</v>
      </c>
      <c r="I195" s="173">
        <v>1.04</v>
      </c>
      <c r="J195" s="121">
        <v>18596848</v>
      </c>
      <c r="K195" s="125">
        <v>256.459</v>
      </c>
      <c r="L195" s="173">
        <v>1.32</v>
      </c>
      <c r="M195">
        <v>1.04</v>
      </c>
      <c r="N195">
        <v>0.88000000440000004</v>
      </c>
      <c r="O195">
        <v>15.999999559999999</v>
      </c>
      <c r="P195">
        <v>134.78200000000001</v>
      </c>
      <c r="Q195" s="125">
        <v>0</v>
      </c>
      <c r="R195" s="125">
        <v>0</v>
      </c>
      <c r="S195" s="125">
        <v>0.45600000000000002</v>
      </c>
      <c r="T195" s="125">
        <v>6.3360000000000003</v>
      </c>
      <c r="U195" s="125">
        <v>0</v>
      </c>
      <c r="V195" s="125">
        <v>0</v>
      </c>
      <c r="W195" s="125">
        <v>0</v>
      </c>
      <c r="X195" s="125">
        <v>0</v>
      </c>
      <c r="Y195" s="125">
        <v>0</v>
      </c>
      <c r="Z195" s="125">
        <v>0.437</v>
      </c>
      <c r="AA195" s="125">
        <v>2.9159999999999999</v>
      </c>
      <c r="AB195" s="125">
        <v>6.218</v>
      </c>
      <c r="AC195" s="125">
        <v>96.3</v>
      </c>
      <c r="AD195" s="125">
        <v>0</v>
      </c>
      <c r="AE195" s="125">
        <v>2.2210000000000001</v>
      </c>
      <c r="AF195" s="125">
        <v>6.7389999999999999</v>
      </c>
      <c r="AG195" s="125">
        <v>0</v>
      </c>
      <c r="AH195" s="125">
        <v>0</v>
      </c>
      <c r="AI195" s="121">
        <v>203078</v>
      </c>
      <c r="AJ195" s="121">
        <v>0</v>
      </c>
      <c r="AK195" s="424">
        <v>12</v>
      </c>
      <c r="AL195">
        <v>0</v>
      </c>
      <c r="AM195" s="121">
        <v>8399</v>
      </c>
      <c r="AN195" s="125">
        <v>0</v>
      </c>
      <c r="AO195" s="125">
        <v>0</v>
      </c>
      <c r="AP195" s="121">
        <v>203078</v>
      </c>
      <c r="AQ195" s="114">
        <v>0</v>
      </c>
      <c r="AR195" s="121">
        <v>12.395905661</v>
      </c>
      <c r="AS195" s="121">
        <v>2435.8343882999998</v>
      </c>
      <c r="AT195" s="121">
        <v>320.79829666000001</v>
      </c>
      <c r="AU195" s="420" t="s">
        <v>2001</v>
      </c>
      <c r="AV195" s="420" t="s">
        <v>2001</v>
      </c>
      <c r="AW195" s="121">
        <v>0</v>
      </c>
      <c r="AX195" s="121">
        <v>0</v>
      </c>
      <c r="BI195">
        <v>0</v>
      </c>
      <c r="BJ195" s="121">
        <v>0</v>
      </c>
      <c r="BK195" s="134">
        <v>18596848</v>
      </c>
      <c r="BL195" s="934">
        <v>4244</v>
      </c>
      <c r="BM195" s="934">
        <v>4383</v>
      </c>
      <c r="BN195" s="934">
        <v>4358</v>
      </c>
      <c r="BO195" s="114">
        <v>0</v>
      </c>
      <c r="BP195" s="114">
        <v>0</v>
      </c>
    </row>
    <row r="196" spans="1:68">
      <c r="A196" t="s">
        <v>2646</v>
      </c>
      <c r="B196" t="s">
        <v>1182</v>
      </c>
      <c r="C196" s="121">
        <v>5062</v>
      </c>
      <c r="D196" s="72">
        <v>2</v>
      </c>
      <c r="E196">
        <v>81.396000000000001</v>
      </c>
      <c r="F196">
        <v>29</v>
      </c>
      <c r="G196">
        <v>20</v>
      </c>
      <c r="H196">
        <v>2</v>
      </c>
      <c r="I196" s="173">
        <v>1.04</v>
      </c>
      <c r="J196" s="121">
        <v>140196864</v>
      </c>
      <c r="K196" s="125">
        <v>570.88800000000003</v>
      </c>
      <c r="L196" s="173">
        <v>1.4918</v>
      </c>
      <c r="M196">
        <v>1.04</v>
      </c>
      <c r="N196">
        <v>0.99453333830599999</v>
      </c>
      <c r="O196">
        <v>4.5466661694000043</v>
      </c>
      <c r="P196">
        <v>272.12400000000002</v>
      </c>
      <c r="Q196" s="125">
        <v>0</v>
      </c>
      <c r="R196" s="125">
        <v>0</v>
      </c>
      <c r="S196" s="125">
        <v>0.60799999999999998</v>
      </c>
      <c r="T196" s="125">
        <v>10.215</v>
      </c>
      <c r="U196" s="125">
        <v>0.68300000000000005</v>
      </c>
      <c r="V196" s="125">
        <v>1.476</v>
      </c>
      <c r="W196" s="125">
        <v>0.95399999999999996</v>
      </c>
      <c r="X196" s="125">
        <v>0</v>
      </c>
      <c r="Y196" s="125">
        <v>0</v>
      </c>
      <c r="Z196" s="125">
        <v>0.84899999999999998</v>
      </c>
      <c r="AA196" s="125">
        <v>5.2619999999999996</v>
      </c>
      <c r="AB196" s="125">
        <v>32.234000000000002</v>
      </c>
      <c r="AC196" s="125">
        <v>199.9</v>
      </c>
      <c r="AD196" s="125">
        <v>0.27900000000000003</v>
      </c>
      <c r="AE196" s="125">
        <v>11.898999999999999</v>
      </c>
      <c r="AF196" s="125">
        <v>13.606</v>
      </c>
      <c r="AG196" s="125">
        <v>0</v>
      </c>
      <c r="AH196" s="125">
        <v>0</v>
      </c>
      <c r="AI196" s="121">
        <v>1546259</v>
      </c>
      <c r="AJ196" s="121">
        <v>0</v>
      </c>
      <c r="AK196" s="424">
        <v>12</v>
      </c>
      <c r="AL196">
        <v>0</v>
      </c>
      <c r="AM196" s="121">
        <v>24644</v>
      </c>
      <c r="AN196" s="125">
        <v>0</v>
      </c>
      <c r="AO196" s="125">
        <v>0</v>
      </c>
      <c r="AP196" s="121">
        <v>1546259</v>
      </c>
      <c r="AQ196" s="114">
        <v>0</v>
      </c>
      <c r="AR196" s="121">
        <v>93.449551239000002</v>
      </c>
      <c r="AS196" s="121">
        <v>18363.130271999999</v>
      </c>
      <c r="AT196" s="121">
        <v>2418.4160222999999</v>
      </c>
      <c r="AU196" s="420" t="s">
        <v>2001</v>
      </c>
      <c r="AV196" s="420" t="s">
        <v>2001</v>
      </c>
      <c r="AW196" s="121">
        <v>0</v>
      </c>
      <c r="AX196" s="121">
        <v>0</v>
      </c>
      <c r="BI196">
        <v>0</v>
      </c>
      <c r="BJ196" s="121">
        <v>0</v>
      </c>
      <c r="BK196" s="134">
        <v>140196864</v>
      </c>
      <c r="BL196" s="934">
        <v>4813</v>
      </c>
      <c r="BM196" s="934">
        <v>5062</v>
      </c>
      <c r="BN196" s="934">
        <v>4842</v>
      </c>
      <c r="BO196" s="114">
        <v>0</v>
      </c>
      <c r="BP196" s="114">
        <v>0</v>
      </c>
    </row>
    <row r="197" spans="1:68">
      <c r="A197" t="s">
        <v>331</v>
      </c>
      <c r="B197" t="s">
        <v>2530</v>
      </c>
      <c r="C197" s="121">
        <v>4774</v>
      </c>
      <c r="D197" s="72">
        <v>2</v>
      </c>
      <c r="E197">
        <v>49.033000000000001</v>
      </c>
      <c r="F197">
        <v>17</v>
      </c>
      <c r="G197">
        <v>9</v>
      </c>
      <c r="H197">
        <v>1</v>
      </c>
      <c r="I197" s="173">
        <v>1.04</v>
      </c>
      <c r="J197" s="121">
        <v>64124680</v>
      </c>
      <c r="K197" s="125">
        <v>289.18299999999999</v>
      </c>
      <c r="L197" s="173">
        <v>1.5</v>
      </c>
      <c r="M197">
        <v>1.04</v>
      </c>
      <c r="N197">
        <v>1.000000005</v>
      </c>
      <c r="O197">
        <v>3.9999995000000066</v>
      </c>
      <c r="P197">
        <v>120.004</v>
      </c>
      <c r="Q197" s="125">
        <v>0.03</v>
      </c>
      <c r="R197" s="125">
        <v>0</v>
      </c>
      <c r="S197" s="125">
        <v>6.2E-2</v>
      </c>
      <c r="T197" s="125">
        <v>1.855</v>
      </c>
      <c r="U197" s="125">
        <v>0.69</v>
      </c>
      <c r="V197" s="125">
        <v>1.0229999999999999</v>
      </c>
      <c r="W197" s="125">
        <v>0</v>
      </c>
      <c r="X197" s="125">
        <v>0</v>
      </c>
      <c r="Y197" s="125">
        <v>0</v>
      </c>
      <c r="Z197" s="125">
        <v>0.96399999999999997</v>
      </c>
      <c r="AA197" s="125">
        <v>4.1379999999999999</v>
      </c>
      <c r="AB197" s="125">
        <v>6.2370000000000001</v>
      </c>
      <c r="AC197" s="125">
        <v>98.8</v>
      </c>
      <c r="AD197" s="125">
        <v>0</v>
      </c>
      <c r="AE197" s="125">
        <v>1.4370000000000001</v>
      </c>
      <c r="AF197" s="125">
        <v>6</v>
      </c>
      <c r="AG197" s="125">
        <v>0</v>
      </c>
      <c r="AH197" s="125">
        <v>0</v>
      </c>
      <c r="AI197" s="121">
        <v>636900</v>
      </c>
      <c r="AJ197" s="121">
        <v>0</v>
      </c>
      <c r="AK197" s="424">
        <v>12</v>
      </c>
      <c r="AL197">
        <v>0</v>
      </c>
      <c r="AM197" s="121">
        <v>30159</v>
      </c>
      <c r="AN197" s="125">
        <v>0</v>
      </c>
      <c r="AO197" s="125">
        <v>0</v>
      </c>
      <c r="AP197" s="121">
        <v>636900</v>
      </c>
      <c r="AQ197" s="114">
        <v>0</v>
      </c>
      <c r="AR197" s="121">
        <v>42.742914659</v>
      </c>
      <c r="AS197" s="121">
        <v>8399.1169532999993</v>
      </c>
      <c r="AT197" s="121">
        <v>1106.1599364000001</v>
      </c>
      <c r="AU197" s="420" t="s">
        <v>2001</v>
      </c>
      <c r="AV197" s="420" t="s">
        <v>2001</v>
      </c>
      <c r="AW197" s="121">
        <v>0</v>
      </c>
      <c r="AX197" s="121">
        <v>0</v>
      </c>
      <c r="BI197">
        <v>0</v>
      </c>
      <c r="BJ197" s="121">
        <v>0</v>
      </c>
      <c r="BK197" s="134">
        <v>61393889</v>
      </c>
      <c r="BL197" s="934">
        <v>4233</v>
      </c>
      <c r="BM197" s="934">
        <v>4774</v>
      </c>
      <c r="BN197" s="934">
        <v>4499</v>
      </c>
      <c r="BO197" s="114">
        <v>0</v>
      </c>
      <c r="BP197" s="114">
        <v>0</v>
      </c>
    </row>
    <row r="198" spans="1:68">
      <c r="A198" t="s">
        <v>1607</v>
      </c>
      <c r="B198" t="s">
        <v>1669</v>
      </c>
      <c r="C198" s="121">
        <v>4674</v>
      </c>
      <c r="D198" s="72">
        <v>2</v>
      </c>
      <c r="E198">
        <v>651.38699999999994</v>
      </c>
      <c r="F198">
        <v>234</v>
      </c>
      <c r="G198">
        <v>146</v>
      </c>
      <c r="H198">
        <v>32</v>
      </c>
      <c r="I198" s="173">
        <v>1.04</v>
      </c>
      <c r="J198" s="121">
        <v>781580042</v>
      </c>
      <c r="K198" s="125">
        <v>4036.5079999999998</v>
      </c>
      <c r="L198" s="173">
        <v>1.5</v>
      </c>
      <c r="M198">
        <v>1.04</v>
      </c>
      <c r="N198">
        <v>1.000000005</v>
      </c>
      <c r="O198">
        <v>3.9999995000000066</v>
      </c>
      <c r="P198">
        <v>2777.098</v>
      </c>
      <c r="Q198" s="125">
        <v>0</v>
      </c>
      <c r="R198" s="125">
        <v>0</v>
      </c>
      <c r="S198" s="125">
        <v>6.3970000000000002</v>
      </c>
      <c r="T198" s="125">
        <v>117.498</v>
      </c>
      <c r="U198" s="125">
        <v>17.442</v>
      </c>
      <c r="V198" s="125">
        <v>0</v>
      </c>
      <c r="W198" s="125">
        <v>2.8860000000000001</v>
      </c>
      <c r="X198" s="125">
        <v>0</v>
      </c>
      <c r="Y198" s="125">
        <v>0</v>
      </c>
      <c r="Z198" s="125">
        <v>2.1389999999999998</v>
      </c>
      <c r="AA198" s="125">
        <v>59.03</v>
      </c>
      <c r="AB198" s="125">
        <v>124.76</v>
      </c>
      <c r="AC198" s="125">
        <v>2123.1999999999998</v>
      </c>
      <c r="AD198" s="125">
        <v>2.2269999999999999</v>
      </c>
      <c r="AE198" s="125">
        <v>443.83100000000002</v>
      </c>
      <c r="AF198" s="125">
        <v>138.85489999999999</v>
      </c>
      <c r="AG198" s="125">
        <v>0</v>
      </c>
      <c r="AH198" s="125">
        <v>0</v>
      </c>
      <c r="AI198" s="121">
        <v>8534854</v>
      </c>
      <c r="AJ198" s="121">
        <v>2352483</v>
      </c>
      <c r="AK198" s="424">
        <v>12</v>
      </c>
      <c r="AL198">
        <v>0</v>
      </c>
      <c r="AM198" s="121">
        <v>184023</v>
      </c>
      <c r="AN198" s="125">
        <v>0</v>
      </c>
      <c r="AO198" s="125">
        <v>0</v>
      </c>
      <c r="AP198" s="121">
        <v>10887337</v>
      </c>
      <c r="AQ198" s="114">
        <v>0</v>
      </c>
      <c r="AR198" s="121">
        <v>520.96960016000003</v>
      </c>
      <c r="AS198" s="121">
        <v>102372.1624</v>
      </c>
      <c r="AT198" s="121">
        <v>13482.367882</v>
      </c>
      <c r="AU198" s="420" t="s">
        <v>2001</v>
      </c>
      <c r="AV198" s="420" t="s">
        <v>2001</v>
      </c>
      <c r="AW198" s="121">
        <v>0</v>
      </c>
      <c r="AX198" s="121">
        <v>2418897</v>
      </c>
      <c r="BI198">
        <v>0</v>
      </c>
      <c r="BJ198" s="121">
        <v>0</v>
      </c>
      <c r="BK198" s="134">
        <v>781580042</v>
      </c>
      <c r="BL198" s="934">
        <v>4646</v>
      </c>
      <c r="BM198" s="934">
        <v>4674</v>
      </c>
      <c r="BN198" s="934">
        <v>4674</v>
      </c>
      <c r="BO198" s="114">
        <v>0</v>
      </c>
      <c r="BP198" s="114">
        <v>0</v>
      </c>
    </row>
    <row r="199" spans="1:68">
      <c r="A199" t="s">
        <v>332</v>
      </c>
      <c r="B199" t="s">
        <v>2531</v>
      </c>
      <c r="C199" s="121">
        <v>4652</v>
      </c>
      <c r="D199" s="72">
        <v>3</v>
      </c>
      <c r="E199">
        <v>155.471</v>
      </c>
      <c r="F199">
        <v>46</v>
      </c>
      <c r="G199">
        <v>23</v>
      </c>
      <c r="H199">
        <v>0</v>
      </c>
      <c r="I199" s="173">
        <v>1.04</v>
      </c>
      <c r="J199" s="121">
        <v>233055630</v>
      </c>
      <c r="K199" s="125">
        <v>869.13300000000004</v>
      </c>
      <c r="L199" s="173">
        <v>1.41</v>
      </c>
      <c r="M199">
        <v>1.04</v>
      </c>
      <c r="N199">
        <v>0.9400000047</v>
      </c>
      <c r="O199">
        <v>9.9999995300000037</v>
      </c>
      <c r="P199">
        <v>542.28700000000003</v>
      </c>
      <c r="Q199" s="125">
        <v>2.1000000000000001E-2</v>
      </c>
      <c r="R199" s="125">
        <v>0</v>
      </c>
      <c r="S199" s="125">
        <v>0.73299999999999998</v>
      </c>
      <c r="T199" s="125">
        <v>24.24</v>
      </c>
      <c r="U199" s="125">
        <v>7.5309999999999997</v>
      </c>
      <c r="V199" s="125">
        <v>0</v>
      </c>
      <c r="W199" s="125">
        <v>1.05</v>
      </c>
      <c r="X199" s="125">
        <v>0</v>
      </c>
      <c r="Y199" s="125">
        <v>0</v>
      </c>
      <c r="Z199" s="125">
        <v>0</v>
      </c>
      <c r="AA199" s="125">
        <v>7.367</v>
      </c>
      <c r="AB199" s="125">
        <v>39.308</v>
      </c>
      <c r="AC199" s="125">
        <v>127.2</v>
      </c>
      <c r="AD199" s="125">
        <v>0</v>
      </c>
      <c r="AE199" s="125">
        <v>4.07</v>
      </c>
      <c r="AF199" s="125">
        <v>27.114000000000001</v>
      </c>
      <c r="AG199" s="125">
        <v>0</v>
      </c>
      <c r="AH199" s="125">
        <v>0</v>
      </c>
      <c r="AI199" s="121">
        <v>2544967</v>
      </c>
      <c r="AJ199" s="121">
        <v>229752</v>
      </c>
      <c r="AK199" s="424">
        <v>12</v>
      </c>
      <c r="AL199">
        <v>0</v>
      </c>
      <c r="AM199" s="121">
        <v>0</v>
      </c>
      <c r="AN199" s="125">
        <v>0</v>
      </c>
      <c r="AO199" s="125">
        <v>0</v>
      </c>
      <c r="AP199" s="121">
        <v>2774719</v>
      </c>
      <c r="AQ199" s="114">
        <v>0</v>
      </c>
      <c r="AR199" s="121">
        <v>155.34544366</v>
      </c>
      <c r="AS199" s="121">
        <v>30525.867499</v>
      </c>
      <c r="AT199" s="121">
        <v>4020.2430611</v>
      </c>
      <c r="AU199" s="420" t="s">
        <v>2001</v>
      </c>
      <c r="AV199" s="420" t="s">
        <v>2001</v>
      </c>
      <c r="AW199" s="121">
        <v>0</v>
      </c>
      <c r="AX199" s="121">
        <v>363547</v>
      </c>
      <c r="BI199">
        <v>0</v>
      </c>
      <c r="BJ199" s="121">
        <v>0</v>
      </c>
      <c r="BK199" s="134">
        <v>233055630</v>
      </c>
      <c r="BL199" s="934">
        <v>4544</v>
      </c>
      <c r="BM199" s="934">
        <v>4557</v>
      </c>
      <c r="BN199" s="934">
        <v>4652</v>
      </c>
      <c r="BO199" s="114">
        <v>0</v>
      </c>
      <c r="BP199" s="114">
        <v>0</v>
      </c>
    </row>
    <row r="200" spans="1:68">
      <c r="A200" t="s">
        <v>2863</v>
      </c>
      <c r="B200" t="s">
        <v>2705</v>
      </c>
      <c r="C200" s="121">
        <v>4687</v>
      </c>
      <c r="D200" s="72">
        <v>2</v>
      </c>
      <c r="E200">
        <v>208.75399999999999</v>
      </c>
      <c r="F200">
        <v>60</v>
      </c>
      <c r="G200">
        <v>30</v>
      </c>
      <c r="H200">
        <v>3</v>
      </c>
      <c r="I200" s="173">
        <v>1.04</v>
      </c>
      <c r="J200" s="121">
        <v>159509894</v>
      </c>
      <c r="K200" s="125">
        <v>958.97199999999998</v>
      </c>
      <c r="L200" s="173">
        <v>1.5</v>
      </c>
      <c r="M200">
        <v>1.04</v>
      </c>
      <c r="N200">
        <v>1.000000005</v>
      </c>
      <c r="O200">
        <v>3.9999995000000066</v>
      </c>
      <c r="P200">
        <v>584.34199999999998</v>
      </c>
      <c r="Q200" s="125">
        <v>0.105</v>
      </c>
      <c r="R200" s="125">
        <v>0</v>
      </c>
      <c r="S200" s="125">
        <v>0.81899999999999995</v>
      </c>
      <c r="T200" s="125">
        <v>23.05</v>
      </c>
      <c r="U200" s="125">
        <v>3.8759999999999999</v>
      </c>
      <c r="V200" s="125">
        <v>0.30299999999999999</v>
      </c>
      <c r="W200" s="125">
        <v>1.1279999999999999</v>
      </c>
      <c r="X200" s="125">
        <v>0</v>
      </c>
      <c r="Y200" s="125">
        <v>0</v>
      </c>
      <c r="Z200" s="125">
        <v>0</v>
      </c>
      <c r="AA200" s="125">
        <v>20.565000000000001</v>
      </c>
      <c r="AB200" s="125">
        <v>49.073</v>
      </c>
      <c r="AC200" s="125">
        <v>217.8</v>
      </c>
      <c r="AD200" s="125">
        <v>0.65500000000000003</v>
      </c>
      <c r="AE200" s="125">
        <v>24.452000000000002</v>
      </c>
      <c r="AF200" s="125">
        <v>29.216999999999999</v>
      </c>
      <c r="AG200" s="125">
        <v>0</v>
      </c>
      <c r="AH200" s="125">
        <v>0</v>
      </c>
      <c r="AI200" s="121">
        <v>1724430</v>
      </c>
      <c r="AJ200" s="121">
        <v>120916</v>
      </c>
      <c r="AK200" s="424">
        <v>12</v>
      </c>
      <c r="AL200">
        <v>0</v>
      </c>
      <c r="AM200" s="121">
        <v>89185</v>
      </c>
      <c r="AN200" s="125">
        <v>0</v>
      </c>
      <c r="AO200" s="125">
        <v>0</v>
      </c>
      <c r="AP200" s="121">
        <v>1845346</v>
      </c>
      <c r="AQ200" s="114">
        <v>0</v>
      </c>
      <c r="AR200" s="121">
        <v>106.32283481</v>
      </c>
      <c r="AS200" s="121">
        <v>20892.770918999999</v>
      </c>
      <c r="AT200" s="121">
        <v>2751.5685613000001</v>
      </c>
      <c r="AU200" s="420" t="s">
        <v>2001</v>
      </c>
      <c r="AV200" s="420" t="s">
        <v>2001</v>
      </c>
      <c r="AW200" s="121">
        <v>0</v>
      </c>
      <c r="AX200" s="121">
        <v>178693</v>
      </c>
      <c r="BI200">
        <v>0</v>
      </c>
      <c r="BJ200" s="121">
        <v>0</v>
      </c>
      <c r="BK200" s="134">
        <v>159509894</v>
      </c>
      <c r="BL200" s="934">
        <v>4623</v>
      </c>
      <c r="BM200" s="934">
        <v>4687</v>
      </c>
      <c r="BN200" s="934">
        <v>4687</v>
      </c>
      <c r="BO200" s="114">
        <v>0</v>
      </c>
      <c r="BP200" s="114">
        <v>0</v>
      </c>
    </row>
    <row r="201" spans="1:68">
      <c r="A201" t="s">
        <v>333</v>
      </c>
      <c r="B201" t="s">
        <v>2532</v>
      </c>
      <c r="C201" s="121">
        <v>5598</v>
      </c>
      <c r="D201" s="72">
        <v>3</v>
      </c>
      <c r="E201">
        <v>327.80599999999998</v>
      </c>
      <c r="F201">
        <v>98</v>
      </c>
      <c r="G201">
        <v>70</v>
      </c>
      <c r="H201">
        <v>15</v>
      </c>
      <c r="I201" s="173">
        <v>1.04</v>
      </c>
      <c r="J201" s="121">
        <v>495725170</v>
      </c>
      <c r="K201" s="125">
        <v>1473.2170000000001</v>
      </c>
      <c r="L201" s="173">
        <v>1.46</v>
      </c>
      <c r="M201">
        <v>1.04</v>
      </c>
      <c r="N201">
        <v>0.97333333820000001</v>
      </c>
      <c r="O201">
        <v>6.6666661800000027</v>
      </c>
      <c r="P201">
        <v>982.43600000000004</v>
      </c>
      <c r="Q201" s="125">
        <v>0.14000000000000001</v>
      </c>
      <c r="R201" s="125">
        <v>0</v>
      </c>
      <c r="S201" s="125">
        <v>0.81899999999999995</v>
      </c>
      <c r="T201" s="125">
        <v>34.46</v>
      </c>
      <c r="U201" s="125">
        <v>3.032</v>
      </c>
      <c r="V201" s="125">
        <v>0</v>
      </c>
      <c r="W201" s="125">
        <v>3.782</v>
      </c>
      <c r="X201" s="125">
        <v>0</v>
      </c>
      <c r="Y201" s="125">
        <v>0</v>
      </c>
      <c r="Z201" s="125">
        <v>0</v>
      </c>
      <c r="AA201" s="125">
        <v>15.529</v>
      </c>
      <c r="AB201" s="125">
        <v>59.078000000000003</v>
      </c>
      <c r="AC201" s="125">
        <v>535.5</v>
      </c>
      <c r="AD201" s="125">
        <v>3.9E-2</v>
      </c>
      <c r="AE201" s="125">
        <v>15.803000000000001</v>
      </c>
      <c r="AF201" s="125">
        <v>49.1218</v>
      </c>
      <c r="AG201" s="125">
        <v>0</v>
      </c>
      <c r="AH201" s="125">
        <v>0</v>
      </c>
      <c r="AI201" s="121">
        <v>5196786</v>
      </c>
      <c r="AJ201" s="121">
        <v>282286</v>
      </c>
      <c r="AK201" s="424">
        <v>12</v>
      </c>
      <c r="AL201">
        <v>0</v>
      </c>
      <c r="AM201" s="121">
        <v>236818</v>
      </c>
      <c r="AN201" s="125">
        <v>0</v>
      </c>
      <c r="AO201" s="125">
        <v>0</v>
      </c>
      <c r="AP201" s="121">
        <v>5479072</v>
      </c>
      <c r="AQ201" s="114">
        <v>0</v>
      </c>
      <c r="AR201" s="121">
        <v>330.43032027999999</v>
      </c>
      <c r="AS201" s="121">
        <v>64930.595564000003</v>
      </c>
      <c r="AT201" s="121">
        <v>8551.3303194</v>
      </c>
      <c r="AU201" s="420" t="s">
        <v>798</v>
      </c>
      <c r="AV201" s="420" t="s">
        <v>2001</v>
      </c>
      <c r="AW201" s="121">
        <v>0</v>
      </c>
      <c r="AX201" s="121">
        <v>774357</v>
      </c>
      <c r="AY201" s="134">
        <v>630015</v>
      </c>
      <c r="AZ201" s="134">
        <v>2876463</v>
      </c>
      <c r="BA201" s="134">
        <v>1172</v>
      </c>
      <c r="BB201" s="134">
        <v>122356914</v>
      </c>
      <c r="BC201" s="114">
        <v>0</v>
      </c>
      <c r="BD201" s="114">
        <v>0</v>
      </c>
      <c r="BE201" s="114">
        <v>0</v>
      </c>
      <c r="BF201" s="134">
        <v>1115</v>
      </c>
      <c r="BG201" s="114">
        <v>0</v>
      </c>
      <c r="BH201" s="114">
        <v>0</v>
      </c>
      <c r="BI201">
        <v>0</v>
      </c>
      <c r="BJ201" s="121">
        <v>0</v>
      </c>
      <c r="BK201" s="134">
        <v>495725170</v>
      </c>
      <c r="BL201" s="934">
        <v>4912</v>
      </c>
      <c r="BM201" s="934">
        <v>5471</v>
      </c>
      <c r="BN201" s="934">
        <v>5598</v>
      </c>
      <c r="BO201" s="114">
        <v>0</v>
      </c>
      <c r="BP201" s="114">
        <v>0</v>
      </c>
    </row>
    <row r="202" spans="1:68">
      <c r="A202" t="s">
        <v>334</v>
      </c>
      <c r="B202" t="s">
        <v>2533</v>
      </c>
      <c r="C202" s="121">
        <v>4726</v>
      </c>
      <c r="D202" s="72">
        <v>3</v>
      </c>
      <c r="E202">
        <v>126.006</v>
      </c>
      <c r="F202">
        <v>41</v>
      </c>
      <c r="G202">
        <v>16</v>
      </c>
      <c r="H202">
        <v>5</v>
      </c>
      <c r="I202" s="173">
        <v>1.04</v>
      </c>
      <c r="J202" s="121">
        <v>87501438</v>
      </c>
      <c r="K202" s="125">
        <v>616.95699999999999</v>
      </c>
      <c r="L202" s="173">
        <v>1.47</v>
      </c>
      <c r="M202">
        <v>1.04</v>
      </c>
      <c r="N202">
        <v>0.98000000490000005</v>
      </c>
      <c r="O202">
        <v>5.9999995099999985</v>
      </c>
      <c r="P202">
        <v>380</v>
      </c>
      <c r="Q202" s="125">
        <v>0</v>
      </c>
      <c r="R202" s="125">
        <v>0</v>
      </c>
      <c r="S202" s="125">
        <v>0.60399999999999998</v>
      </c>
      <c r="T202" s="125">
        <v>14</v>
      </c>
      <c r="U202" s="125">
        <v>3.85</v>
      </c>
      <c r="V202" s="125">
        <v>0</v>
      </c>
      <c r="W202" s="125">
        <v>1.75</v>
      </c>
      <c r="X202" s="125">
        <v>0</v>
      </c>
      <c r="Y202" s="125">
        <v>0</v>
      </c>
      <c r="Z202" s="125">
        <v>0</v>
      </c>
      <c r="AA202" s="125">
        <v>7</v>
      </c>
      <c r="AB202" s="125">
        <v>16.5</v>
      </c>
      <c r="AC202" s="125">
        <v>116</v>
      </c>
      <c r="AD202" s="125">
        <v>0</v>
      </c>
      <c r="AE202" s="125">
        <v>3.5070000000000001</v>
      </c>
      <c r="AF202" s="125">
        <v>19</v>
      </c>
      <c r="AG202" s="125">
        <v>0</v>
      </c>
      <c r="AH202" s="125">
        <v>0</v>
      </c>
      <c r="AI202" s="121">
        <v>945961</v>
      </c>
      <c r="AJ202" s="121">
        <v>64332</v>
      </c>
      <c r="AK202" s="424">
        <v>12</v>
      </c>
      <c r="AL202">
        <v>0</v>
      </c>
      <c r="AM202" s="121">
        <v>45202</v>
      </c>
      <c r="AN202" s="125">
        <v>0</v>
      </c>
      <c r="AO202" s="125">
        <v>0</v>
      </c>
      <c r="AP202" s="121">
        <v>1010293</v>
      </c>
      <c r="AQ202" s="114">
        <v>0</v>
      </c>
      <c r="AR202" s="121">
        <v>58.324914556000003</v>
      </c>
      <c r="AS202" s="121">
        <v>11461.028864</v>
      </c>
      <c r="AT202" s="121">
        <v>1509.412362</v>
      </c>
      <c r="AU202" s="420" t="s">
        <v>2001</v>
      </c>
      <c r="AV202" s="420" t="s">
        <v>2001</v>
      </c>
      <c r="AW202" s="121">
        <v>0</v>
      </c>
      <c r="AX202" s="121">
        <v>168802</v>
      </c>
      <c r="BI202">
        <v>0</v>
      </c>
      <c r="BJ202" s="121">
        <v>0</v>
      </c>
      <c r="BK202" s="134">
        <v>87501438</v>
      </c>
      <c r="BL202" s="934">
        <v>4675</v>
      </c>
      <c r="BM202" s="934">
        <v>4687</v>
      </c>
      <c r="BN202" s="934">
        <v>4726</v>
      </c>
      <c r="BO202" s="114">
        <v>0</v>
      </c>
      <c r="BP202" s="114">
        <v>0</v>
      </c>
    </row>
    <row r="203" spans="1:68">
      <c r="A203" t="s">
        <v>335</v>
      </c>
      <c r="B203" t="s">
        <v>2534</v>
      </c>
      <c r="C203" s="121">
        <v>5069</v>
      </c>
      <c r="D203" s="72">
        <v>3</v>
      </c>
      <c r="E203">
        <v>166.14500000000001</v>
      </c>
      <c r="F203">
        <v>42</v>
      </c>
      <c r="G203">
        <v>17</v>
      </c>
      <c r="H203">
        <v>1</v>
      </c>
      <c r="I203" s="173">
        <v>0.95669999999999999</v>
      </c>
      <c r="J203" s="121">
        <v>167338060</v>
      </c>
      <c r="K203" s="125">
        <v>718.18700000000001</v>
      </c>
      <c r="L203" s="173">
        <v>1.375</v>
      </c>
      <c r="M203">
        <v>0.95669999999999999</v>
      </c>
      <c r="N203">
        <v>0.91666667125000001</v>
      </c>
      <c r="O203">
        <v>4.0033328749999981</v>
      </c>
      <c r="P203">
        <v>490</v>
      </c>
      <c r="Q203" s="125">
        <v>0</v>
      </c>
      <c r="R203" s="125">
        <v>0</v>
      </c>
      <c r="S203" s="125">
        <v>0.86499999999999999</v>
      </c>
      <c r="T203" s="125">
        <v>10.25</v>
      </c>
      <c r="U203" s="125">
        <v>0.498</v>
      </c>
      <c r="V203" s="125">
        <v>0</v>
      </c>
      <c r="W203" s="125">
        <v>3.23</v>
      </c>
      <c r="X203" s="125">
        <v>0</v>
      </c>
      <c r="Y203" s="125">
        <v>0</v>
      </c>
      <c r="Z203" s="125">
        <v>0</v>
      </c>
      <c r="AA203" s="125">
        <v>8.7170000000000005</v>
      </c>
      <c r="AB203" s="125">
        <v>28.841999999999999</v>
      </c>
      <c r="AC203" s="125">
        <v>20</v>
      </c>
      <c r="AD203" s="125">
        <v>0</v>
      </c>
      <c r="AE203" s="125">
        <v>0</v>
      </c>
      <c r="AF203" s="125">
        <v>24.5</v>
      </c>
      <c r="AG203" s="125">
        <v>0</v>
      </c>
      <c r="AH203" s="125">
        <v>0</v>
      </c>
      <c r="AI203" s="121">
        <v>1664160</v>
      </c>
      <c r="AJ203" s="121">
        <v>92563</v>
      </c>
      <c r="AK203" s="424">
        <v>12</v>
      </c>
      <c r="AL203">
        <v>0</v>
      </c>
      <c r="AM203" s="121">
        <v>15187</v>
      </c>
      <c r="AN203" s="125">
        <v>0</v>
      </c>
      <c r="AO203" s="125">
        <v>0</v>
      </c>
      <c r="AP203" s="121">
        <v>1756723</v>
      </c>
      <c r="AQ203" s="114">
        <v>0</v>
      </c>
      <c r="AR203" s="121">
        <v>111.54077321</v>
      </c>
      <c r="AS203" s="121">
        <v>21918.1122</v>
      </c>
      <c r="AT203" s="121">
        <v>2886.6055480999999</v>
      </c>
      <c r="AU203" s="420" t="s">
        <v>2001</v>
      </c>
      <c r="AV203" s="420" t="s">
        <v>2001</v>
      </c>
      <c r="AW203" s="121">
        <v>0</v>
      </c>
      <c r="AX203" s="121">
        <v>111265</v>
      </c>
      <c r="BI203">
        <v>0</v>
      </c>
      <c r="BJ203" s="121">
        <v>0</v>
      </c>
      <c r="BK203" s="134">
        <v>167338060</v>
      </c>
      <c r="BL203" s="934">
        <v>4797</v>
      </c>
      <c r="BM203" s="934">
        <v>5024</v>
      </c>
      <c r="BN203" s="934">
        <v>5069</v>
      </c>
      <c r="BO203" s="114">
        <v>0</v>
      </c>
      <c r="BP203" s="114">
        <v>0</v>
      </c>
    </row>
    <row r="204" spans="1:68">
      <c r="A204" t="s">
        <v>1962</v>
      </c>
      <c r="B204" t="s">
        <v>2535</v>
      </c>
      <c r="C204" s="121">
        <v>5418</v>
      </c>
      <c r="D204" s="72">
        <v>2</v>
      </c>
      <c r="E204">
        <v>0</v>
      </c>
      <c r="F204">
        <v>6</v>
      </c>
      <c r="G204">
        <v>7</v>
      </c>
      <c r="H204">
        <v>0</v>
      </c>
      <c r="I204" s="173">
        <v>1.04</v>
      </c>
      <c r="J204" s="121">
        <v>21613750</v>
      </c>
      <c r="K204" s="125">
        <v>153.71199999999999</v>
      </c>
      <c r="L204" s="173">
        <v>1.5</v>
      </c>
      <c r="M204">
        <v>1.04</v>
      </c>
      <c r="N204">
        <v>1.000000005</v>
      </c>
      <c r="O204">
        <v>3.9999995000000066</v>
      </c>
      <c r="P204">
        <v>82.078999999999994</v>
      </c>
      <c r="Q204" s="125">
        <v>0</v>
      </c>
      <c r="R204" s="125">
        <v>0</v>
      </c>
      <c r="S204" s="125">
        <v>8.1000000000000003E-2</v>
      </c>
      <c r="T204" s="125">
        <v>6.625</v>
      </c>
      <c r="U204" s="125">
        <v>0</v>
      </c>
      <c r="V204" s="125">
        <v>0</v>
      </c>
      <c r="W204" s="125">
        <v>0</v>
      </c>
      <c r="X204" s="125">
        <v>0</v>
      </c>
      <c r="Y204" s="125">
        <v>0</v>
      </c>
      <c r="Z204" s="125">
        <v>0</v>
      </c>
      <c r="AA204" s="125">
        <v>0</v>
      </c>
      <c r="AB204" s="125">
        <v>0</v>
      </c>
      <c r="AC204" s="125">
        <v>60.4</v>
      </c>
      <c r="AD204" s="125">
        <v>0</v>
      </c>
      <c r="AE204" s="125">
        <v>0</v>
      </c>
      <c r="AF204" s="125">
        <v>4.1039500000000002</v>
      </c>
      <c r="AG204" s="125">
        <v>0</v>
      </c>
      <c r="AH204" s="125">
        <v>0</v>
      </c>
      <c r="AI204" s="121">
        <v>214049</v>
      </c>
      <c r="AJ204" s="121">
        <v>0</v>
      </c>
      <c r="AK204" s="424">
        <v>8</v>
      </c>
      <c r="AL204">
        <v>0</v>
      </c>
      <c r="AM204" s="121">
        <v>12972</v>
      </c>
      <c r="AN204" s="125">
        <v>0</v>
      </c>
      <c r="AO204" s="125">
        <v>0</v>
      </c>
      <c r="AP204" s="121">
        <v>214049</v>
      </c>
      <c r="AQ204" s="114">
        <v>0</v>
      </c>
      <c r="AR204" s="121">
        <v>14.406850216</v>
      </c>
      <c r="AS204" s="121">
        <v>2830.9913084</v>
      </c>
      <c r="AT204" s="121">
        <v>372.84028583000003</v>
      </c>
      <c r="AU204" s="420" t="s">
        <v>2001</v>
      </c>
      <c r="AV204" s="420" t="s">
        <v>2001</v>
      </c>
      <c r="AW204" s="121">
        <v>0</v>
      </c>
      <c r="AX204" s="121">
        <v>0</v>
      </c>
      <c r="BI204">
        <v>0</v>
      </c>
      <c r="BJ204" s="121">
        <v>0</v>
      </c>
      <c r="BK204" s="134">
        <v>19799519</v>
      </c>
      <c r="BL204" s="934">
        <v>4809</v>
      </c>
      <c r="BM204" s="934">
        <v>5418</v>
      </c>
      <c r="BN204" s="934">
        <v>4852</v>
      </c>
      <c r="BO204" s="134">
        <v>6564</v>
      </c>
      <c r="BP204" s="134">
        <v>6126</v>
      </c>
    </row>
    <row r="205" spans="1:68">
      <c r="A205" t="s">
        <v>1963</v>
      </c>
      <c r="B205" t="s">
        <v>2536</v>
      </c>
      <c r="C205" s="121">
        <v>5210</v>
      </c>
      <c r="D205" s="72">
        <v>3</v>
      </c>
      <c r="E205">
        <v>0</v>
      </c>
      <c r="F205">
        <v>7</v>
      </c>
      <c r="G205">
        <v>5</v>
      </c>
      <c r="H205">
        <v>0</v>
      </c>
      <c r="I205" s="173">
        <v>0.88670000000000004</v>
      </c>
      <c r="J205" s="121">
        <v>98817298</v>
      </c>
      <c r="K205" s="125">
        <v>129.68199999999999</v>
      </c>
      <c r="L205" s="173">
        <v>1.27</v>
      </c>
      <c r="M205">
        <v>0.88670000000000004</v>
      </c>
      <c r="N205">
        <v>0.84666667090000003</v>
      </c>
      <c r="O205">
        <v>4.003332910000001</v>
      </c>
      <c r="P205">
        <v>55.1</v>
      </c>
      <c r="Q205" s="125">
        <v>0</v>
      </c>
      <c r="R205" s="125">
        <v>0</v>
      </c>
      <c r="S205" s="125">
        <v>0</v>
      </c>
      <c r="T205" s="125">
        <v>2.1</v>
      </c>
      <c r="U205" s="125">
        <v>0</v>
      </c>
      <c r="V205" s="125">
        <v>0</v>
      </c>
      <c r="W205" s="125">
        <v>0</v>
      </c>
      <c r="X205" s="125">
        <v>0</v>
      </c>
      <c r="Y205" s="125">
        <v>0</v>
      </c>
      <c r="Z205" s="125">
        <v>0</v>
      </c>
      <c r="AA205" s="125">
        <v>1.75</v>
      </c>
      <c r="AB205" s="125">
        <v>0</v>
      </c>
      <c r="AC205" s="125">
        <v>37.200000000000003</v>
      </c>
      <c r="AD205" s="125">
        <v>0</v>
      </c>
      <c r="AE205" s="125">
        <v>3.2</v>
      </c>
      <c r="AF205" s="125">
        <v>2.5</v>
      </c>
      <c r="AG205" s="125">
        <v>0</v>
      </c>
      <c r="AH205" s="125">
        <v>0</v>
      </c>
      <c r="AI205" s="121">
        <v>890440</v>
      </c>
      <c r="AJ205" s="121">
        <v>0</v>
      </c>
      <c r="AK205" s="424">
        <v>8</v>
      </c>
      <c r="AL205">
        <v>0</v>
      </c>
      <c r="AM205" s="121">
        <v>28429</v>
      </c>
      <c r="AN205" s="125">
        <v>0</v>
      </c>
      <c r="AO205" s="125">
        <v>0</v>
      </c>
      <c r="AP205" s="121">
        <v>890440</v>
      </c>
      <c r="AQ205" s="114">
        <v>0</v>
      </c>
      <c r="AR205" s="121">
        <v>0</v>
      </c>
      <c r="AS205" s="121">
        <v>0</v>
      </c>
      <c r="AT205" s="121">
        <v>0</v>
      </c>
      <c r="AU205" s="420" t="s">
        <v>798</v>
      </c>
      <c r="AV205" s="420" t="s">
        <v>2001</v>
      </c>
      <c r="AW205" s="121">
        <v>0</v>
      </c>
      <c r="AX205" s="121">
        <v>0</v>
      </c>
      <c r="AY205" s="134">
        <v>43839</v>
      </c>
      <c r="AZ205" s="134">
        <v>335448</v>
      </c>
      <c r="BA205" s="114">
        <v>224</v>
      </c>
      <c r="BB205" s="134">
        <v>29783777</v>
      </c>
      <c r="BC205" s="114">
        <v>0</v>
      </c>
      <c r="BD205" s="114">
        <v>0</v>
      </c>
      <c r="BE205" s="114">
        <v>0</v>
      </c>
      <c r="BF205" s="114">
        <v>73</v>
      </c>
      <c r="BG205" s="114">
        <v>0</v>
      </c>
      <c r="BH205" s="114">
        <v>0</v>
      </c>
      <c r="BI205">
        <v>0</v>
      </c>
      <c r="BJ205" s="121">
        <v>0</v>
      </c>
      <c r="BK205" s="134">
        <v>93764539</v>
      </c>
      <c r="BL205" s="934">
        <v>5084</v>
      </c>
      <c r="BM205" s="934">
        <v>4771</v>
      </c>
      <c r="BN205" s="934">
        <v>5210</v>
      </c>
      <c r="BO205" s="114">
        <v>0</v>
      </c>
      <c r="BP205" s="114">
        <v>0</v>
      </c>
    </row>
    <row r="206" spans="1:68">
      <c r="A206" t="s">
        <v>1492</v>
      </c>
      <c r="B206" t="s">
        <v>2537</v>
      </c>
      <c r="C206" s="121">
        <v>4906</v>
      </c>
      <c r="D206" s="72">
        <v>3</v>
      </c>
      <c r="E206">
        <v>103.702</v>
      </c>
      <c r="F206">
        <v>27</v>
      </c>
      <c r="G206">
        <v>17</v>
      </c>
      <c r="H206">
        <v>4</v>
      </c>
      <c r="I206" s="173">
        <v>1.01</v>
      </c>
      <c r="J206" s="121">
        <v>69820397</v>
      </c>
      <c r="K206" s="125">
        <v>476.726</v>
      </c>
      <c r="L206" s="173">
        <v>1.4</v>
      </c>
      <c r="M206">
        <v>1.01</v>
      </c>
      <c r="N206">
        <v>0.93333333799999996</v>
      </c>
      <c r="O206">
        <v>7.6666662000000052</v>
      </c>
      <c r="P206">
        <v>280</v>
      </c>
      <c r="Q206" s="125">
        <v>0</v>
      </c>
      <c r="R206" s="125">
        <v>0</v>
      </c>
      <c r="S206" s="125">
        <v>0.2</v>
      </c>
      <c r="T206" s="125">
        <v>11.351000000000001</v>
      </c>
      <c r="U206" s="125">
        <v>0</v>
      </c>
      <c r="V206" s="125">
        <v>0</v>
      </c>
      <c r="W206" s="125">
        <v>0</v>
      </c>
      <c r="X206" s="125">
        <v>0</v>
      </c>
      <c r="Y206" s="125">
        <v>0</v>
      </c>
      <c r="Z206" s="125">
        <v>0</v>
      </c>
      <c r="AA206" s="125">
        <v>6</v>
      </c>
      <c r="AB206" s="125">
        <v>13</v>
      </c>
      <c r="AC206" s="125">
        <v>170</v>
      </c>
      <c r="AD206" s="125">
        <v>0</v>
      </c>
      <c r="AE206" s="125">
        <v>20</v>
      </c>
      <c r="AF206" s="125">
        <v>10</v>
      </c>
      <c r="AG206" s="125">
        <v>0</v>
      </c>
      <c r="AH206" s="125">
        <v>0</v>
      </c>
      <c r="AI206" s="121">
        <v>733041</v>
      </c>
      <c r="AJ206" s="121">
        <v>0</v>
      </c>
      <c r="AK206" s="424">
        <v>12</v>
      </c>
      <c r="AL206">
        <v>0</v>
      </c>
      <c r="AM206" s="121">
        <v>49073</v>
      </c>
      <c r="AN206" s="125">
        <v>0</v>
      </c>
      <c r="AO206" s="125">
        <v>0</v>
      </c>
      <c r="AP206" s="121">
        <v>733041</v>
      </c>
      <c r="AQ206" s="114">
        <v>0</v>
      </c>
      <c r="AR206" s="121">
        <v>46.539448749999998</v>
      </c>
      <c r="AS206" s="121">
        <v>9145.1478239999997</v>
      </c>
      <c r="AT206" s="121">
        <v>1204.4118675</v>
      </c>
      <c r="AU206" s="420" t="s">
        <v>2001</v>
      </c>
      <c r="AV206" s="420" t="s">
        <v>2001</v>
      </c>
      <c r="AW206" s="121">
        <v>0</v>
      </c>
      <c r="AX206" s="121">
        <v>0</v>
      </c>
      <c r="BI206">
        <v>0</v>
      </c>
      <c r="BJ206" s="121">
        <v>0</v>
      </c>
      <c r="BK206" s="134">
        <v>69820397</v>
      </c>
      <c r="BL206" s="934">
        <v>4716</v>
      </c>
      <c r="BM206" s="934">
        <v>4894</v>
      </c>
      <c r="BN206" s="934">
        <v>4906</v>
      </c>
      <c r="BO206" s="114">
        <v>0</v>
      </c>
      <c r="BP206" s="114">
        <v>0</v>
      </c>
    </row>
    <row r="207" spans="1:68">
      <c r="A207" t="s">
        <v>1267</v>
      </c>
      <c r="B207" t="s">
        <v>2538</v>
      </c>
      <c r="C207" s="121">
        <v>4745</v>
      </c>
      <c r="D207" s="72">
        <v>3</v>
      </c>
      <c r="E207">
        <v>725.37099999999998</v>
      </c>
      <c r="F207">
        <v>209</v>
      </c>
      <c r="G207">
        <v>144</v>
      </c>
      <c r="H207">
        <v>19</v>
      </c>
      <c r="I207" s="173">
        <v>1.04</v>
      </c>
      <c r="J207" s="121">
        <v>515905016</v>
      </c>
      <c r="K207" s="125">
        <v>3583.221</v>
      </c>
      <c r="L207" s="173">
        <v>1.419</v>
      </c>
      <c r="M207">
        <v>1.04</v>
      </c>
      <c r="N207">
        <v>0.94600000473000001</v>
      </c>
      <c r="O207">
        <v>9.3999995270000021</v>
      </c>
      <c r="P207">
        <v>2600.1</v>
      </c>
      <c r="Q207" s="125">
        <v>0.14000000000000001</v>
      </c>
      <c r="R207" s="125">
        <v>0</v>
      </c>
      <c r="S207" s="125">
        <v>6.6779999999999999</v>
      </c>
      <c r="T207" s="125">
        <v>139.29</v>
      </c>
      <c r="U207" s="125">
        <v>18.52</v>
      </c>
      <c r="V207" s="125">
        <v>3.81</v>
      </c>
      <c r="W207" s="125">
        <v>11.672000000000001</v>
      </c>
      <c r="X207" s="125">
        <v>0</v>
      </c>
      <c r="Y207" s="125">
        <v>0</v>
      </c>
      <c r="Z207" s="125">
        <v>1.1599999999999999</v>
      </c>
      <c r="AA207" s="125">
        <v>15.22</v>
      </c>
      <c r="AB207" s="125">
        <v>132.68</v>
      </c>
      <c r="AC207" s="125">
        <v>1204.52</v>
      </c>
      <c r="AD207" s="125">
        <v>1.4830000000000001</v>
      </c>
      <c r="AE207" s="125">
        <v>65.968999999999994</v>
      </c>
      <c r="AF207" s="125">
        <v>124.414</v>
      </c>
      <c r="AG207" s="125">
        <v>0</v>
      </c>
      <c r="AH207" s="125">
        <v>0</v>
      </c>
      <c r="AI207" s="121">
        <v>5464672</v>
      </c>
      <c r="AJ207" s="121">
        <v>324927</v>
      </c>
      <c r="AK207" s="424">
        <v>12</v>
      </c>
      <c r="AL207">
        <v>0</v>
      </c>
      <c r="AM207" s="121">
        <v>301246</v>
      </c>
      <c r="AN207" s="125">
        <v>1</v>
      </c>
      <c r="AO207" s="125">
        <v>0</v>
      </c>
      <c r="AP207" s="121">
        <v>5789599</v>
      </c>
      <c r="AQ207" s="114">
        <v>0</v>
      </c>
      <c r="AR207" s="121">
        <v>343.88138830000003</v>
      </c>
      <c r="AS207" s="121">
        <v>67573.772668000005</v>
      </c>
      <c r="AT207" s="121">
        <v>8899.4355586999991</v>
      </c>
      <c r="AU207" s="420" t="s">
        <v>2001</v>
      </c>
      <c r="AV207" s="420" t="s">
        <v>2001</v>
      </c>
      <c r="AW207" s="121">
        <v>0</v>
      </c>
      <c r="AX207" s="121">
        <v>890490</v>
      </c>
      <c r="BI207">
        <v>0</v>
      </c>
      <c r="BJ207" s="121">
        <v>0</v>
      </c>
      <c r="BK207" s="134">
        <v>515905016</v>
      </c>
      <c r="BL207" s="934">
        <v>4615</v>
      </c>
      <c r="BM207" s="934">
        <v>4728</v>
      </c>
      <c r="BN207" s="934">
        <v>4745</v>
      </c>
      <c r="BO207" s="114">
        <v>0</v>
      </c>
      <c r="BP207" s="114">
        <v>0</v>
      </c>
    </row>
    <row r="208" spans="1:68">
      <c r="A208" t="s">
        <v>2462</v>
      </c>
      <c r="B208" t="s">
        <v>290</v>
      </c>
      <c r="C208" s="121">
        <v>5467</v>
      </c>
      <c r="D208" s="72">
        <v>2</v>
      </c>
      <c r="E208">
        <v>55.158999999999999</v>
      </c>
      <c r="F208">
        <v>16</v>
      </c>
      <c r="G208">
        <v>10</v>
      </c>
      <c r="H208">
        <v>2</v>
      </c>
      <c r="I208" s="173">
        <v>1.04</v>
      </c>
      <c r="J208" s="121">
        <v>31998514</v>
      </c>
      <c r="K208" s="125">
        <v>312.88099999999997</v>
      </c>
      <c r="L208" s="173">
        <v>1.35</v>
      </c>
      <c r="M208">
        <v>1.04</v>
      </c>
      <c r="N208">
        <v>0.90000000450000006</v>
      </c>
      <c r="O208">
        <v>13.999999549999998</v>
      </c>
      <c r="P208">
        <v>172.18600000000001</v>
      </c>
      <c r="Q208" s="125">
        <v>2.5999999999999999E-2</v>
      </c>
      <c r="R208" s="125">
        <v>0</v>
      </c>
      <c r="S208" s="125">
        <v>0.38400000000000001</v>
      </c>
      <c r="T208" s="125">
        <v>3.1339999999999999</v>
      </c>
      <c r="U208" s="125">
        <v>0.22700000000000001</v>
      </c>
      <c r="V208" s="125">
        <v>0.10199999999999999</v>
      </c>
      <c r="W208" s="125">
        <v>0.71399999999999997</v>
      </c>
      <c r="X208" s="125">
        <v>0</v>
      </c>
      <c r="Y208" s="125">
        <v>0</v>
      </c>
      <c r="Z208" s="125">
        <v>0</v>
      </c>
      <c r="AA208" s="125">
        <v>23.427</v>
      </c>
      <c r="AB208" s="125">
        <v>6.55</v>
      </c>
      <c r="AC208" s="125">
        <v>74.5</v>
      </c>
      <c r="AD208" s="125">
        <v>0</v>
      </c>
      <c r="AE208" s="125">
        <v>4.407</v>
      </c>
      <c r="AF208" s="125">
        <v>8.609</v>
      </c>
      <c r="AG208" s="125">
        <v>0</v>
      </c>
      <c r="AH208" s="125">
        <v>0</v>
      </c>
      <c r="AI208" s="121">
        <v>338941</v>
      </c>
      <c r="AJ208" s="121">
        <v>20158</v>
      </c>
      <c r="AK208" s="424">
        <v>12</v>
      </c>
      <c r="AL208">
        <v>0</v>
      </c>
      <c r="AM208" s="121">
        <v>13509</v>
      </c>
      <c r="AN208" s="125">
        <v>0</v>
      </c>
      <c r="AO208" s="125">
        <v>0</v>
      </c>
      <c r="AP208" s="121">
        <v>359099</v>
      </c>
      <c r="AQ208" s="114">
        <v>0</v>
      </c>
      <c r="AR208" s="121">
        <v>21.328913416999999</v>
      </c>
      <c r="AS208" s="121">
        <v>4191.1984641999998</v>
      </c>
      <c r="AT208" s="121">
        <v>551.97895831000005</v>
      </c>
      <c r="AU208" s="420" t="s">
        <v>2001</v>
      </c>
      <c r="AV208" s="420" t="s">
        <v>2001</v>
      </c>
      <c r="AW208" s="121">
        <v>0</v>
      </c>
      <c r="AX208" s="121">
        <v>92135</v>
      </c>
      <c r="BI208">
        <v>0</v>
      </c>
      <c r="BJ208" s="121">
        <v>0</v>
      </c>
      <c r="BK208" s="134">
        <v>31998514</v>
      </c>
      <c r="BL208" s="934">
        <v>4852</v>
      </c>
      <c r="BM208" s="934">
        <v>5467</v>
      </c>
      <c r="BN208" s="934">
        <v>5239</v>
      </c>
      <c r="BO208" s="114">
        <v>0</v>
      </c>
      <c r="BP208" s="114">
        <v>0</v>
      </c>
    </row>
    <row r="209" spans="1:68">
      <c r="A209" t="s">
        <v>1268</v>
      </c>
      <c r="B209" t="s">
        <v>2539</v>
      </c>
      <c r="C209" s="121">
        <v>4610</v>
      </c>
      <c r="D209" s="72">
        <v>3</v>
      </c>
      <c r="E209">
        <v>40.573999999999998</v>
      </c>
      <c r="F209">
        <v>18</v>
      </c>
      <c r="G209">
        <v>12</v>
      </c>
      <c r="H209">
        <v>0</v>
      </c>
      <c r="I209" s="173">
        <v>1.0397000000000001</v>
      </c>
      <c r="J209" s="121">
        <v>49769411</v>
      </c>
      <c r="K209" s="125">
        <v>317.375</v>
      </c>
      <c r="L209" s="173">
        <v>1.39</v>
      </c>
      <c r="M209">
        <v>1.0397000000000001</v>
      </c>
      <c r="N209">
        <v>0.92666667129999991</v>
      </c>
      <c r="O209">
        <v>11.303332870000016</v>
      </c>
      <c r="P209">
        <v>193</v>
      </c>
      <c r="Q209" s="125">
        <v>0</v>
      </c>
      <c r="R209" s="125">
        <v>0</v>
      </c>
      <c r="S209" s="125">
        <v>0.4</v>
      </c>
      <c r="T209" s="125">
        <v>5</v>
      </c>
      <c r="U209" s="125">
        <v>0.2</v>
      </c>
      <c r="V209" s="125">
        <v>0</v>
      </c>
      <c r="W209" s="125">
        <v>0</v>
      </c>
      <c r="X209" s="125">
        <v>0</v>
      </c>
      <c r="Y209" s="125">
        <v>0</v>
      </c>
      <c r="Z209" s="125">
        <v>0</v>
      </c>
      <c r="AA209" s="125">
        <v>2.5</v>
      </c>
      <c r="AB209" s="125">
        <v>9</v>
      </c>
      <c r="AC209" s="125">
        <v>92</v>
      </c>
      <c r="AD209" s="125">
        <v>0.1</v>
      </c>
      <c r="AE209" s="125">
        <v>2</v>
      </c>
      <c r="AF209" s="125">
        <v>9.65</v>
      </c>
      <c r="AG209" s="125">
        <v>0</v>
      </c>
      <c r="AH209" s="125">
        <v>0</v>
      </c>
      <c r="AI209" s="121">
        <v>527025</v>
      </c>
      <c r="AJ209" s="121">
        <v>0</v>
      </c>
      <c r="AK209" s="424">
        <v>12</v>
      </c>
      <c r="AL209">
        <v>0</v>
      </c>
      <c r="AM209" s="121">
        <v>36927</v>
      </c>
      <c r="AN209" s="125">
        <v>0</v>
      </c>
      <c r="AO209" s="125">
        <v>0</v>
      </c>
      <c r="AP209" s="121">
        <v>527025</v>
      </c>
      <c r="AQ209" s="114">
        <v>0</v>
      </c>
      <c r="AR209" s="121">
        <v>33.174273593999999</v>
      </c>
      <c r="AS209" s="121">
        <v>6518.8489362</v>
      </c>
      <c r="AT209" s="121">
        <v>858.52948169000001</v>
      </c>
      <c r="AU209" s="420" t="s">
        <v>2001</v>
      </c>
      <c r="AV209" s="420" t="s">
        <v>2001</v>
      </c>
      <c r="AW209" s="121">
        <v>0</v>
      </c>
      <c r="AX209" s="121">
        <v>0</v>
      </c>
      <c r="BI209">
        <v>0</v>
      </c>
      <c r="BJ209" s="121">
        <v>0</v>
      </c>
      <c r="BK209" s="134">
        <v>49769411</v>
      </c>
      <c r="BL209" s="934">
        <v>4453</v>
      </c>
      <c r="BM209" s="934">
        <v>4451</v>
      </c>
      <c r="BN209" s="934">
        <v>4610</v>
      </c>
      <c r="BO209" s="114">
        <v>0</v>
      </c>
      <c r="BP209" s="114">
        <v>0</v>
      </c>
    </row>
    <row r="210" spans="1:68">
      <c r="A210" t="s">
        <v>2752</v>
      </c>
      <c r="B210" t="s">
        <v>2951</v>
      </c>
      <c r="C210" s="121">
        <v>4693</v>
      </c>
      <c r="D210" s="72">
        <v>2</v>
      </c>
      <c r="E210">
        <v>1911.153</v>
      </c>
      <c r="F210">
        <v>589</v>
      </c>
      <c r="G210">
        <v>539</v>
      </c>
      <c r="H210">
        <v>51</v>
      </c>
      <c r="I210" s="173">
        <v>1.04</v>
      </c>
      <c r="J210" s="121">
        <v>1082346607</v>
      </c>
      <c r="K210" s="125">
        <v>8787.9689999999991</v>
      </c>
      <c r="L210" s="173">
        <v>1.4630000000000001</v>
      </c>
      <c r="M210">
        <v>1.04</v>
      </c>
      <c r="N210">
        <v>0.97533333821000012</v>
      </c>
      <c r="O210">
        <v>6.4666661789999917</v>
      </c>
      <c r="P210">
        <v>6944.88</v>
      </c>
      <c r="Q210" s="125">
        <v>0.55000000000000004</v>
      </c>
      <c r="R210" s="125">
        <v>0</v>
      </c>
      <c r="S210" s="125">
        <v>14.1</v>
      </c>
      <c r="T210" s="125">
        <v>120.004</v>
      </c>
      <c r="U210" s="125">
        <v>61.503999999999998</v>
      </c>
      <c r="V210" s="125">
        <v>0</v>
      </c>
      <c r="W210" s="125">
        <v>12.115</v>
      </c>
      <c r="X210" s="125">
        <v>0</v>
      </c>
      <c r="Y210" s="125">
        <v>0</v>
      </c>
      <c r="Z210" s="125">
        <v>27.231000000000002</v>
      </c>
      <c r="AA210" s="125">
        <v>162.20099999999999</v>
      </c>
      <c r="AB210" s="125">
        <v>330.32400000000001</v>
      </c>
      <c r="AC210" s="125">
        <v>3530.4</v>
      </c>
      <c r="AD210" s="125">
        <v>2.488</v>
      </c>
      <c r="AE210" s="125">
        <v>76.25</v>
      </c>
      <c r="AF210" s="125">
        <v>316.14</v>
      </c>
      <c r="AG210" s="125">
        <v>0</v>
      </c>
      <c r="AH210" s="125">
        <v>0</v>
      </c>
      <c r="AI210" s="121">
        <v>11701033</v>
      </c>
      <c r="AJ210" s="121">
        <v>1315336</v>
      </c>
      <c r="AK210" s="424">
        <v>12</v>
      </c>
      <c r="AL210">
        <v>0</v>
      </c>
      <c r="AM210" s="121">
        <v>405556</v>
      </c>
      <c r="AN210" s="125">
        <v>0</v>
      </c>
      <c r="AO210" s="125">
        <v>0</v>
      </c>
      <c r="AP210" s="121">
        <v>13016369</v>
      </c>
      <c r="AQ210" s="114">
        <v>0</v>
      </c>
      <c r="AR210" s="121">
        <v>721.44841064000002</v>
      </c>
      <c r="AS210" s="121">
        <v>141766.87821</v>
      </c>
      <c r="AT210" s="121">
        <v>18670.634288000001</v>
      </c>
      <c r="AU210" s="420" t="s">
        <v>2001</v>
      </c>
      <c r="AV210" s="420" t="s">
        <v>2001</v>
      </c>
      <c r="AW210" s="121">
        <v>0</v>
      </c>
      <c r="AX210" s="121">
        <v>3925650</v>
      </c>
      <c r="BI210">
        <v>0</v>
      </c>
      <c r="BJ210" s="121">
        <v>0</v>
      </c>
      <c r="BK210" s="134">
        <v>1082346607</v>
      </c>
      <c r="BL210" s="934">
        <v>4578</v>
      </c>
      <c r="BM210" s="934">
        <v>4693</v>
      </c>
      <c r="BN210" s="934">
        <v>4638</v>
      </c>
      <c r="BO210" s="114">
        <v>0</v>
      </c>
      <c r="BP210" s="114">
        <v>0</v>
      </c>
    </row>
    <row r="211" spans="1:68">
      <c r="A211" t="s">
        <v>1269</v>
      </c>
      <c r="B211" t="s">
        <v>2540</v>
      </c>
      <c r="C211" s="121">
        <v>5029</v>
      </c>
      <c r="D211" s="72">
        <v>2</v>
      </c>
      <c r="E211">
        <v>72.616</v>
      </c>
      <c r="F211">
        <v>25</v>
      </c>
      <c r="G211">
        <v>18</v>
      </c>
      <c r="H211">
        <v>0</v>
      </c>
      <c r="I211" s="173">
        <v>1.04</v>
      </c>
      <c r="J211" s="121">
        <v>137911995</v>
      </c>
      <c r="K211" s="125">
        <v>446.84399999999999</v>
      </c>
      <c r="L211" s="173">
        <v>1.43</v>
      </c>
      <c r="M211">
        <v>1.04</v>
      </c>
      <c r="N211">
        <v>0.95333333809999998</v>
      </c>
      <c r="O211">
        <v>8.6666661900000044</v>
      </c>
      <c r="P211">
        <v>210.23500000000001</v>
      </c>
      <c r="Q211" s="125">
        <v>0</v>
      </c>
      <c r="R211" s="125">
        <v>0</v>
      </c>
      <c r="S211" s="125">
        <v>0.17299999999999999</v>
      </c>
      <c r="T211" s="125">
        <v>7.3449999999999998</v>
      </c>
      <c r="U211" s="125">
        <v>1.1850000000000001</v>
      </c>
      <c r="V211" s="125">
        <v>0</v>
      </c>
      <c r="W211" s="125">
        <v>1.6970000000000001</v>
      </c>
      <c r="X211" s="125">
        <v>0</v>
      </c>
      <c r="Y211" s="125">
        <v>0</v>
      </c>
      <c r="Z211" s="125">
        <v>0</v>
      </c>
      <c r="AA211" s="125">
        <v>6.1769999999999996</v>
      </c>
      <c r="AB211" s="125">
        <v>11.579000000000001</v>
      </c>
      <c r="AC211" s="125">
        <v>181.4</v>
      </c>
      <c r="AD211" s="125">
        <v>0</v>
      </c>
      <c r="AE211" s="125">
        <v>2.2400000000000002</v>
      </c>
      <c r="AF211" s="125">
        <v>9.1609999999999996</v>
      </c>
      <c r="AG211" s="125">
        <v>0</v>
      </c>
      <c r="AH211" s="125">
        <v>0</v>
      </c>
      <c r="AI211" s="121">
        <v>1318828</v>
      </c>
      <c r="AJ211" s="121">
        <v>0</v>
      </c>
      <c r="AK211" s="424">
        <v>12</v>
      </c>
      <c r="AL211">
        <v>0</v>
      </c>
      <c r="AM211" s="121">
        <v>34076</v>
      </c>
      <c r="AN211" s="125">
        <v>0</v>
      </c>
      <c r="AO211" s="125">
        <v>0</v>
      </c>
      <c r="AP211" s="121">
        <v>1318828</v>
      </c>
      <c r="AQ211" s="114">
        <v>0</v>
      </c>
      <c r="AR211" s="121">
        <v>91.926549996000006</v>
      </c>
      <c r="AS211" s="121">
        <v>18063.855745000001</v>
      </c>
      <c r="AT211" s="121">
        <v>2379.0017014</v>
      </c>
      <c r="AU211" s="420" t="s">
        <v>2001</v>
      </c>
      <c r="AV211" s="420" t="s">
        <v>2001</v>
      </c>
      <c r="AW211" s="121">
        <v>0</v>
      </c>
      <c r="AX211" s="121">
        <v>0</v>
      </c>
      <c r="BI211">
        <v>0</v>
      </c>
      <c r="BJ211" s="121">
        <v>0</v>
      </c>
      <c r="BK211" s="134">
        <v>123236495</v>
      </c>
      <c r="BL211" s="934">
        <v>4713</v>
      </c>
      <c r="BM211" s="934">
        <v>5029</v>
      </c>
      <c r="BN211" s="934">
        <v>4827</v>
      </c>
      <c r="BO211" s="114">
        <v>0</v>
      </c>
      <c r="BP211" s="114">
        <v>0</v>
      </c>
    </row>
    <row r="212" spans="1:68">
      <c r="A212" t="s">
        <v>779</v>
      </c>
      <c r="B212" t="s">
        <v>2541</v>
      </c>
      <c r="C212" s="121">
        <v>9147</v>
      </c>
      <c r="D212" s="72">
        <v>1</v>
      </c>
      <c r="E212">
        <v>267.95299999999997</v>
      </c>
      <c r="F212">
        <v>94</v>
      </c>
      <c r="G212">
        <v>51</v>
      </c>
      <c r="H212">
        <v>1</v>
      </c>
      <c r="I212" s="173">
        <v>1.04</v>
      </c>
      <c r="J212" s="121">
        <v>1870036644</v>
      </c>
      <c r="K212" s="125">
        <v>1406.6130000000001</v>
      </c>
      <c r="L212" s="173">
        <v>1.5</v>
      </c>
      <c r="M212">
        <v>1.04</v>
      </c>
      <c r="N212">
        <v>1.000000005</v>
      </c>
      <c r="O212">
        <v>3.9999995000000066</v>
      </c>
      <c r="P212">
        <v>794.56600000000003</v>
      </c>
      <c r="Q212" s="125">
        <v>0.13500000000000001</v>
      </c>
      <c r="R212" s="125">
        <v>0</v>
      </c>
      <c r="S212" s="125">
        <v>1.472</v>
      </c>
      <c r="T212" s="125">
        <v>16.527000000000001</v>
      </c>
      <c r="U212" s="125">
        <v>1.3080000000000001</v>
      </c>
      <c r="V212" s="125">
        <v>0</v>
      </c>
      <c r="W212" s="125">
        <v>0</v>
      </c>
      <c r="X212" s="125">
        <v>0</v>
      </c>
      <c r="Y212" s="125">
        <v>0</v>
      </c>
      <c r="Z212" s="125">
        <v>0</v>
      </c>
      <c r="AA212" s="125">
        <v>38.692999999999998</v>
      </c>
      <c r="AB212" s="125">
        <v>26.913</v>
      </c>
      <c r="AC212" s="125">
        <v>530</v>
      </c>
      <c r="AD212" s="125">
        <v>0</v>
      </c>
      <c r="AE212" s="125">
        <v>103.446</v>
      </c>
      <c r="AF212" s="125">
        <v>39.728000000000002</v>
      </c>
      <c r="AG212" s="125">
        <v>0</v>
      </c>
      <c r="AH212" s="125">
        <v>0</v>
      </c>
      <c r="AI212" s="121">
        <v>19858444</v>
      </c>
      <c r="AJ212" s="121">
        <v>0</v>
      </c>
      <c r="AK212" s="424">
        <v>12</v>
      </c>
      <c r="AL212">
        <v>0</v>
      </c>
      <c r="AM212" s="121">
        <v>41515</v>
      </c>
      <c r="AN212" s="125">
        <v>0</v>
      </c>
      <c r="AO212" s="125">
        <v>0</v>
      </c>
      <c r="AP212" s="121">
        <v>19858444</v>
      </c>
      <c r="AQ212" s="114">
        <v>0</v>
      </c>
      <c r="AR212" s="121">
        <v>0</v>
      </c>
      <c r="AS212" s="121">
        <v>0</v>
      </c>
      <c r="AT212" s="121">
        <v>0</v>
      </c>
      <c r="AU212" s="420" t="s">
        <v>798</v>
      </c>
      <c r="AV212" s="420" t="s">
        <v>2001</v>
      </c>
      <c r="AW212" s="121">
        <v>0</v>
      </c>
      <c r="AX212" s="121">
        <v>0</v>
      </c>
      <c r="AY212" s="134">
        <v>4915084</v>
      </c>
      <c r="AZ212" s="134">
        <v>3835670</v>
      </c>
      <c r="BA212" s="134">
        <v>1610</v>
      </c>
      <c r="BB212" s="134">
        <v>1165505626</v>
      </c>
      <c r="BC212" s="114">
        <v>0</v>
      </c>
      <c r="BD212" s="114">
        <v>0</v>
      </c>
      <c r="BE212" s="114">
        <v>0</v>
      </c>
      <c r="BF212" s="114">
        <v>980</v>
      </c>
      <c r="BG212" s="114">
        <v>0</v>
      </c>
      <c r="BH212" s="114">
        <v>0</v>
      </c>
      <c r="BI212">
        <v>0</v>
      </c>
      <c r="BJ212" s="121">
        <v>14</v>
      </c>
      <c r="BK212" s="134">
        <v>1836907950</v>
      </c>
      <c r="BL212" s="934">
        <v>9147</v>
      </c>
      <c r="BM212" s="934">
        <v>7986</v>
      </c>
      <c r="BN212" s="934">
        <v>7985</v>
      </c>
      <c r="BO212" s="114">
        <v>0</v>
      </c>
      <c r="BP212" s="114">
        <v>0</v>
      </c>
    </row>
    <row r="213" spans="1:68">
      <c r="A213" t="s">
        <v>780</v>
      </c>
      <c r="B213" t="s">
        <v>1183</v>
      </c>
      <c r="C213" s="121">
        <v>6592</v>
      </c>
      <c r="D213" s="72">
        <v>2</v>
      </c>
      <c r="E213">
        <v>221.06399999999999</v>
      </c>
      <c r="F213">
        <v>82</v>
      </c>
      <c r="G213">
        <v>69</v>
      </c>
      <c r="H213">
        <v>8</v>
      </c>
      <c r="I213" s="173">
        <v>1.04</v>
      </c>
      <c r="J213" s="121">
        <v>2250243853</v>
      </c>
      <c r="K213" s="125">
        <v>1301.451</v>
      </c>
      <c r="L213" s="173">
        <v>1.5</v>
      </c>
      <c r="M213">
        <v>1.04</v>
      </c>
      <c r="N213">
        <v>1.000000005</v>
      </c>
      <c r="O213">
        <v>3.9999995000000066</v>
      </c>
      <c r="P213">
        <v>704.53899999999999</v>
      </c>
      <c r="Q213" s="125">
        <v>1.4E-2</v>
      </c>
      <c r="R213" s="125">
        <v>0</v>
      </c>
      <c r="S213" s="125">
        <v>1.155</v>
      </c>
      <c r="T213" s="125">
        <v>21.975999999999999</v>
      </c>
      <c r="U213" s="125">
        <v>9.766</v>
      </c>
      <c r="V213" s="125">
        <v>0</v>
      </c>
      <c r="W213" s="125">
        <v>1.1339999999999999</v>
      </c>
      <c r="X213" s="125">
        <v>0</v>
      </c>
      <c r="Y213" s="125">
        <v>0</v>
      </c>
      <c r="Z213" s="125">
        <v>0</v>
      </c>
      <c r="AA213" s="125">
        <v>2.6629999999999998</v>
      </c>
      <c r="AB213" s="125">
        <v>35.771999999999998</v>
      </c>
      <c r="AC213" s="125">
        <v>491.2</v>
      </c>
      <c r="AD213" s="125">
        <v>1.0529999999999999</v>
      </c>
      <c r="AE213" s="125">
        <v>91.31</v>
      </c>
      <c r="AF213" s="125">
        <v>35.226950000000002</v>
      </c>
      <c r="AG213" s="125">
        <v>0</v>
      </c>
      <c r="AH213" s="125">
        <v>0</v>
      </c>
      <c r="AI213" s="121">
        <v>21373399</v>
      </c>
      <c r="AJ213" s="121">
        <v>0</v>
      </c>
      <c r="AK213" s="424">
        <v>12</v>
      </c>
      <c r="AL213">
        <v>0</v>
      </c>
      <c r="AM213" s="121">
        <v>85173</v>
      </c>
      <c r="AN213" s="125">
        <v>0</v>
      </c>
      <c r="AO213" s="125">
        <v>0</v>
      </c>
      <c r="AP213" s="121">
        <v>21373399</v>
      </c>
      <c r="AQ213" s="114">
        <v>0</v>
      </c>
      <c r="AR213" s="121">
        <v>0</v>
      </c>
      <c r="AS213" s="121">
        <v>0</v>
      </c>
      <c r="AT213" s="121">
        <v>0</v>
      </c>
      <c r="AU213" s="420" t="s">
        <v>798</v>
      </c>
      <c r="AV213" s="420" t="s">
        <v>2001</v>
      </c>
      <c r="AW213" s="121">
        <v>0</v>
      </c>
      <c r="AX213" s="121">
        <v>0</v>
      </c>
      <c r="AY213" s="134">
        <v>769121</v>
      </c>
      <c r="AZ213" s="134">
        <v>3382916</v>
      </c>
      <c r="BA213" s="134">
        <v>1441</v>
      </c>
      <c r="BB213" s="134">
        <v>544270659</v>
      </c>
      <c r="BC213" s="114">
        <v>0</v>
      </c>
      <c r="BD213" s="114">
        <v>0</v>
      </c>
      <c r="BE213" s="114">
        <v>0</v>
      </c>
      <c r="BF213" s="114">
        <v>770</v>
      </c>
      <c r="BG213" s="114">
        <v>0</v>
      </c>
      <c r="BH213" s="114">
        <v>0</v>
      </c>
      <c r="BI213">
        <v>0</v>
      </c>
      <c r="BJ213" s="121">
        <v>0</v>
      </c>
      <c r="BK213" s="134">
        <v>1997215290</v>
      </c>
      <c r="BL213" s="934">
        <v>6284</v>
      </c>
      <c r="BM213" s="934">
        <v>6592</v>
      </c>
      <c r="BN213" s="934">
        <v>6458</v>
      </c>
      <c r="BO213" s="114">
        <v>0</v>
      </c>
      <c r="BP213" s="114">
        <v>0</v>
      </c>
    </row>
    <row r="214" spans="1:68">
      <c r="A214" t="s">
        <v>781</v>
      </c>
      <c r="B214" t="s">
        <v>1184</v>
      </c>
      <c r="C214" s="121">
        <v>4877</v>
      </c>
      <c r="D214" s="72">
        <v>1</v>
      </c>
      <c r="E214">
        <v>114.47499999999999</v>
      </c>
      <c r="F214">
        <v>52</v>
      </c>
      <c r="G214">
        <v>29</v>
      </c>
      <c r="H214">
        <v>2</v>
      </c>
      <c r="I214" s="173">
        <v>1.04</v>
      </c>
      <c r="J214" s="121">
        <v>64535007</v>
      </c>
      <c r="K214" s="125">
        <v>863.26400000000001</v>
      </c>
      <c r="L214" s="173">
        <v>1.5</v>
      </c>
      <c r="M214">
        <v>1.04</v>
      </c>
      <c r="N214">
        <v>1.000000005</v>
      </c>
      <c r="O214">
        <v>3.9999995000000066</v>
      </c>
      <c r="P214">
        <v>404.137</v>
      </c>
      <c r="Q214" s="125">
        <v>1.4E-2</v>
      </c>
      <c r="R214" s="125">
        <v>0</v>
      </c>
      <c r="S214" s="125">
        <v>0.57099999999999995</v>
      </c>
      <c r="T214" s="125">
        <v>27.288</v>
      </c>
      <c r="U214" s="125">
        <v>0.71199999999999997</v>
      </c>
      <c r="V214" s="125">
        <v>2.7050000000000001</v>
      </c>
      <c r="W214" s="125">
        <v>0</v>
      </c>
      <c r="X214" s="125">
        <v>0</v>
      </c>
      <c r="Y214" s="125">
        <v>0</v>
      </c>
      <c r="Z214" s="125">
        <v>0</v>
      </c>
      <c r="AA214" s="125">
        <v>2.2949999999999999</v>
      </c>
      <c r="AB214" s="125">
        <v>28.004999999999999</v>
      </c>
      <c r="AC214" s="125">
        <v>375.7</v>
      </c>
      <c r="AD214" s="125">
        <v>0.55700000000000005</v>
      </c>
      <c r="AE214" s="125">
        <v>24.739000000000001</v>
      </c>
      <c r="AF214" s="125">
        <v>20.206849999999999</v>
      </c>
      <c r="AG214" s="125">
        <v>0</v>
      </c>
      <c r="AH214" s="125">
        <v>0</v>
      </c>
      <c r="AI214" s="121">
        <v>652245</v>
      </c>
      <c r="AJ214" s="121">
        <v>0</v>
      </c>
      <c r="AK214" s="424">
        <v>12</v>
      </c>
      <c r="AL214">
        <v>0</v>
      </c>
      <c r="AM214" s="121">
        <v>21255</v>
      </c>
      <c r="AN214" s="125">
        <v>0</v>
      </c>
      <c r="AO214" s="125">
        <v>0</v>
      </c>
      <c r="AP214" s="121">
        <v>652245</v>
      </c>
      <c r="AQ214" s="114">
        <v>0</v>
      </c>
      <c r="AR214" s="121">
        <v>43.016422095000003</v>
      </c>
      <c r="AS214" s="121">
        <v>8452.8620231999994</v>
      </c>
      <c r="AT214" s="121">
        <v>1113.2381379999999</v>
      </c>
      <c r="AU214" s="420" t="s">
        <v>2001</v>
      </c>
      <c r="AV214" s="420" t="s">
        <v>2001</v>
      </c>
      <c r="AW214" s="121">
        <v>0</v>
      </c>
      <c r="AX214" s="121">
        <v>0</v>
      </c>
      <c r="BI214">
        <v>0</v>
      </c>
      <c r="BJ214" s="121">
        <v>0</v>
      </c>
      <c r="BK214" s="134">
        <v>61576723</v>
      </c>
      <c r="BL214" s="934">
        <v>4877</v>
      </c>
      <c r="BM214" s="934">
        <v>4795</v>
      </c>
      <c r="BN214" s="934">
        <v>4852</v>
      </c>
      <c r="BO214" s="114">
        <v>0</v>
      </c>
      <c r="BP214" s="114">
        <v>0</v>
      </c>
    </row>
    <row r="215" spans="1:68">
      <c r="A215" t="s">
        <v>782</v>
      </c>
      <c r="B215" t="s">
        <v>739</v>
      </c>
      <c r="C215" s="121">
        <v>5004</v>
      </c>
      <c r="D215" s="72">
        <v>2</v>
      </c>
      <c r="E215">
        <v>90.238</v>
      </c>
      <c r="F215">
        <v>61</v>
      </c>
      <c r="G215">
        <v>54</v>
      </c>
      <c r="H215">
        <v>0</v>
      </c>
      <c r="I215" s="173">
        <v>1.0106999999999999</v>
      </c>
      <c r="J215" s="121">
        <v>90719550</v>
      </c>
      <c r="K215" s="125">
        <v>634.04100000000005</v>
      </c>
      <c r="L215" s="173">
        <v>1.4505999999999999</v>
      </c>
      <c r="M215">
        <v>1.0106999999999999</v>
      </c>
      <c r="N215">
        <v>0.96706667150199999</v>
      </c>
      <c r="O215">
        <v>4.3633328497999946</v>
      </c>
      <c r="P215">
        <v>311.81400000000002</v>
      </c>
      <c r="Q215" s="125">
        <v>6.2E-2</v>
      </c>
      <c r="R215" s="125">
        <v>0</v>
      </c>
      <c r="S215" s="125">
        <v>1.1839999999999999</v>
      </c>
      <c r="T215" s="125">
        <v>23.888000000000002</v>
      </c>
      <c r="U215" s="125">
        <v>1.2130000000000001</v>
      </c>
      <c r="V215" s="125">
        <v>0</v>
      </c>
      <c r="W215" s="125">
        <v>0.54</v>
      </c>
      <c r="X215" s="125">
        <v>0</v>
      </c>
      <c r="Y215" s="125">
        <v>0</v>
      </c>
      <c r="Z215" s="125">
        <v>2.4569999999999999</v>
      </c>
      <c r="AA215" s="125">
        <v>3.028</v>
      </c>
      <c r="AB215" s="125">
        <v>13.375999999999999</v>
      </c>
      <c r="AC215" s="125">
        <v>374.8</v>
      </c>
      <c r="AD215" s="125">
        <v>4.3999999999999997E-2</v>
      </c>
      <c r="AE215" s="125">
        <v>41.926000000000002</v>
      </c>
      <c r="AF215" s="125">
        <v>15.5907</v>
      </c>
      <c r="AG215" s="125">
        <v>0</v>
      </c>
      <c r="AH215" s="125">
        <v>0</v>
      </c>
      <c r="AI215" s="121">
        <v>933865</v>
      </c>
      <c r="AJ215" s="121">
        <v>0</v>
      </c>
      <c r="AK215" s="424">
        <v>12</v>
      </c>
      <c r="AL215">
        <v>0</v>
      </c>
      <c r="AM215" s="121">
        <v>89300</v>
      </c>
      <c r="AN215" s="125">
        <v>0</v>
      </c>
      <c r="AO215" s="125">
        <v>0</v>
      </c>
      <c r="AP215" s="121">
        <v>933865</v>
      </c>
      <c r="AQ215" s="114">
        <v>0</v>
      </c>
      <c r="AR215" s="121">
        <v>60.469977673999999</v>
      </c>
      <c r="AS215" s="121">
        <v>11882.540503</v>
      </c>
      <c r="AT215" s="121">
        <v>1564.9252558000001</v>
      </c>
      <c r="AU215" s="420" t="s">
        <v>2001</v>
      </c>
      <c r="AV215" s="420" t="s">
        <v>2001</v>
      </c>
      <c r="AW215" s="121">
        <v>0</v>
      </c>
      <c r="AX215" s="121">
        <v>0</v>
      </c>
      <c r="BI215">
        <v>0</v>
      </c>
      <c r="BJ215" s="121">
        <v>0</v>
      </c>
      <c r="BK215" s="134">
        <v>90719550</v>
      </c>
      <c r="BL215" s="934">
        <v>4645</v>
      </c>
      <c r="BM215" s="934">
        <v>5004</v>
      </c>
      <c r="BN215" s="934">
        <v>4735</v>
      </c>
      <c r="BO215" s="114">
        <v>0</v>
      </c>
      <c r="BP215" s="114">
        <v>0</v>
      </c>
    </row>
    <row r="216" spans="1:68">
      <c r="A216" t="s">
        <v>428</v>
      </c>
      <c r="B216" t="s">
        <v>740</v>
      </c>
      <c r="C216" s="121">
        <v>4244</v>
      </c>
      <c r="D216" s="72">
        <v>3</v>
      </c>
      <c r="E216">
        <v>149.303</v>
      </c>
      <c r="F216">
        <v>54</v>
      </c>
      <c r="G216">
        <v>43</v>
      </c>
      <c r="H216">
        <v>0</v>
      </c>
      <c r="I216" s="173">
        <v>1.0039</v>
      </c>
      <c r="J216" s="121">
        <v>85802067</v>
      </c>
      <c r="K216" s="125">
        <v>1073.3800000000001</v>
      </c>
      <c r="L216" s="173">
        <v>1.39</v>
      </c>
      <c r="M216">
        <v>1.0039</v>
      </c>
      <c r="N216">
        <v>0.92666667129999991</v>
      </c>
      <c r="O216">
        <v>7.7233328700000108</v>
      </c>
      <c r="P216">
        <v>498.19900000000001</v>
      </c>
      <c r="Q216" s="125">
        <v>0</v>
      </c>
      <c r="R216" s="125">
        <v>0</v>
      </c>
      <c r="S216" s="125">
        <v>1.6359999999999999</v>
      </c>
      <c r="T216" s="125">
        <v>23.815000000000001</v>
      </c>
      <c r="U216" s="125">
        <v>2.298</v>
      </c>
      <c r="V216" s="125">
        <v>3.1749999999999998</v>
      </c>
      <c r="W216" s="125">
        <v>0.65800000000000003</v>
      </c>
      <c r="X216" s="125">
        <v>0</v>
      </c>
      <c r="Y216" s="125">
        <v>0</v>
      </c>
      <c r="Z216" s="125">
        <v>0</v>
      </c>
      <c r="AA216" s="125">
        <v>35.595999999999997</v>
      </c>
      <c r="AB216" s="125">
        <v>24.308</v>
      </c>
      <c r="AC216" s="125">
        <v>493.2</v>
      </c>
      <c r="AD216" s="125">
        <v>0.749</v>
      </c>
      <c r="AE216" s="125">
        <v>15.801</v>
      </c>
      <c r="AF216" s="125">
        <v>24.909949999999998</v>
      </c>
      <c r="AG216" s="125">
        <v>0</v>
      </c>
      <c r="AH216" s="125">
        <v>0</v>
      </c>
      <c r="AI216" s="121">
        <v>868258</v>
      </c>
      <c r="AJ216" s="121">
        <v>0</v>
      </c>
      <c r="AK216" s="424">
        <v>12</v>
      </c>
      <c r="AL216">
        <v>0</v>
      </c>
      <c r="AM216" s="121">
        <v>22191</v>
      </c>
      <c r="AN216" s="125">
        <v>0</v>
      </c>
      <c r="AO216" s="125">
        <v>0</v>
      </c>
      <c r="AP216" s="121">
        <v>868258</v>
      </c>
      <c r="AQ216" s="114">
        <v>0</v>
      </c>
      <c r="AR216" s="121">
        <v>57.192182676000002</v>
      </c>
      <c r="AS216" s="121">
        <v>11238.443493000001</v>
      </c>
      <c r="AT216" s="121">
        <v>1480.0979683999999</v>
      </c>
      <c r="AU216" s="420" t="s">
        <v>2001</v>
      </c>
      <c r="AV216" s="420" t="s">
        <v>2001</v>
      </c>
      <c r="AW216" s="121">
        <v>0</v>
      </c>
      <c r="AX216" s="121">
        <v>0</v>
      </c>
      <c r="BI216">
        <v>0</v>
      </c>
      <c r="BJ216" s="121">
        <v>0</v>
      </c>
      <c r="BK216" s="134">
        <v>85802067</v>
      </c>
      <c r="BL216" s="934">
        <v>4176</v>
      </c>
      <c r="BM216" s="934">
        <v>4222</v>
      </c>
      <c r="BN216" s="934">
        <v>4244</v>
      </c>
      <c r="BO216" s="114">
        <v>0</v>
      </c>
      <c r="BP216" s="114">
        <v>0</v>
      </c>
    </row>
    <row r="217" spans="1:68">
      <c r="A217" t="s">
        <v>2928</v>
      </c>
      <c r="B217" t="s">
        <v>143</v>
      </c>
      <c r="C217" s="121">
        <v>5242</v>
      </c>
      <c r="D217" s="72">
        <v>1</v>
      </c>
      <c r="E217">
        <v>174.244</v>
      </c>
      <c r="F217">
        <v>63</v>
      </c>
      <c r="G217">
        <v>41</v>
      </c>
      <c r="H217">
        <v>0</v>
      </c>
      <c r="I217" s="173">
        <v>1.04</v>
      </c>
      <c r="J217" s="121">
        <v>286144290</v>
      </c>
      <c r="K217" s="125">
        <v>973.72</v>
      </c>
      <c r="L217" s="173">
        <v>1.5</v>
      </c>
      <c r="M217">
        <v>1.04</v>
      </c>
      <c r="N217">
        <v>1.000000005</v>
      </c>
      <c r="O217">
        <v>3.9999995000000066</v>
      </c>
      <c r="P217">
        <v>492.87900000000002</v>
      </c>
      <c r="Q217" s="125">
        <v>8.1000000000000003E-2</v>
      </c>
      <c r="R217" s="125">
        <v>0</v>
      </c>
      <c r="S217" s="125">
        <v>0.41199999999999998</v>
      </c>
      <c r="T217" s="125">
        <v>17.850000000000001</v>
      </c>
      <c r="U217" s="125">
        <v>1.228</v>
      </c>
      <c r="V217" s="125">
        <v>0</v>
      </c>
      <c r="W217" s="125">
        <v>0</v>
      </c>
      <c r="X217" s="125">
        <v>0</v>
      </c>
      <c r="Y217" s="125">
        <v>0</v>
      </c>
      <c r="Z217" s="125">
        <v>0</v>
      </c>
      <c r="AA217" s="125">
        <v>2.3359999999999999</v>
      </c>
      <c r="AB217" s="125">
        <v>14.035</v>
      </c>
      <c r="AC217" s="125">
        <v>488</v>
      </c>
      <c r="AD217" s="125">
        <v>8.5999999999999993E-2</v>
      </c>
      <c r="AE217" s="125">
        <v>67.197000000000003</v>
      </c>
      <c r="AF217" s="125">
        <v>24.64395</v>
      </c>
      <c r="AG217" s="125">
        <v>0</v>
      </c>
      <c r="AH217" s="125">
        <v>0</v>
      </c>
      <c r="AI217" s="121">
        <v>2968461</v>
      </c>
      <c r="AJ217" s="121">
        <v>141141</v>
      </c>
      <c r="AK217" s="424">
        <v>12</v>
      </c>
      <c r="AL217">
        <v>0</v>
      </c>
      <c r="AM217" s="121">
        <v>27503</v>
      </c>
      <c r="AN217" s="125">
        <v>0</v>
      </c>
      <c r="AO217" s="125">
        <v>0</v>
      </c>
      <c r="AP217" s="121">
        <v>3109602</v>
      </c>
      <c r="AQ217" s="114">
        <v>0</v>
      </c>
      <c r="AR217" s="121">
        <v>190.73219420000001</v>
      </c>
      <c r="AS217" s="121">
        <v>37479.475102999997</v>
      </c>
      <c r="AT217" s="121">
        <v>4936.0300643999999</v>
      </c>
      <c r="AU217" s="420" t="s">
        <v>2001</v>
      </c>
      <c r="AV217" s="420" t="s">
        <v>2001</v>
      </c>
      <c r="AW217" s="121">
        <v>0</v>
      </c>
      <c r="AX217" s="121">
        <v>138261</v>
      </c>
      <c r="BI217">
        <v>0</v>
      </c>
      <c r="BJ217" s="121">
        <v>0</v>
      </c>
      <c r="BK217" s="134">
        <v>286144290</v>
      </c>
      <c r="BL217" s="934">
        <v>5242</v>
      </c>
      <c r="BM217" s="934">
        <v>5178</v>
      </c>
      <c r="BN217" s="934">
        <v>5124</v>
      </c>
      <c r="BO217" s="114">
        <v>0</v>
      </c>
      <c r="BP217" s="114">
        <v>0</v>
      </c>
    </row>
    <row r="218" spans="1:68">
      <c r="A218" t="s">
        <v>2929</v>
      </c>
      <c r="B218" t="s">
        <v>144</v>
      </c>
      <c r="C218" s="121">
        <v>4530</v>
      </c>
      <c r="D218" s="72">
        <v>3</v>
      </c>
      <c r="E218">
        <v>413.60599999999999</v>
      </c>
      <c r="F218">
        <v>145</v>
      </c>
      <c r="G218">
        <v>99</v>
      </c>
      <c r="H218">
        <v>0</v>
      </c>
      <c r="I218" s="173">
        <v>1.04</v>
      </c>
      <c r="J218" s="121">
        <v>487824860</v>
      </c>
      <c r="K218" s="125">
        <v>2224.663</v>
      </c>
      <c r="L218" s="173">
        <v>1.42</v>
      </c>
      <c r="M218">
        <v>1.04</v>
      </c>
      <c r="N218">
        <v>0.94666667139999994</v>
      </c>
      <c r="O218">
        <v>9.3333328600000094</v>
      </c>
      <c r="P218">
        <v>1530.2349999999999</v>
      </c>
      <c r="Q218" s="125">
        <v>4.1000000000000002E-2</v>
      </c>
      <c r="R218" s="125">
        <v>0</v>
      </c>
      <c r="S218" s="125">
        <v>3.21</v>
      </c>
      <c r="T218" s="125">
        <v>54.247999999999998</v>
      </c>
      <c r="U218" s="125">
        <v>13.096</v>
      </c>
      <c r="V218" s="125">
        <v>0</v>
      </c>
      <c r="W218" s="125">
        <v>1.5009999999999999</v>
      </c>
      <c r="X218" s="125">
        <v>0</v>
      </c>
      <c r="Y218" s="125">
        <v>0</v>
      </c>
      <c r="Z218" s="125">
        <v>0</v>
      </c>
      <c r="AA218" s="125">
        <v>34.283999999999999</v>
      </c>
      <c r="AB218" s="125">
        <v>74.861000000000004</v>
      </c>
      <c r="AC218" s="125">
        <v>1047.0999999999999</v>
      </c>
      <c r="AD218" s="125">
        <v>1.153</v>
      </c>
      <c r="AE218" s="125">
        <v>116.102</v>
      </c>
      <c r="AF218" s="125">
        <v>76.510999999999996</v>
      </c>
      <c r="AG218" s="125">
        <v>0</v>
      </c>
      <c r="AH218" s="125">
        <v>0</v>
      </c>
      <c r="AI218" s="121">
        <v>5113966</v>
      </c>
      <c r="AJ218" s="121">
        <v>1152540</v>
      </c>
      <c r="AK218" s="424">
        <v>12</v>
      </c>
      <c r="AL218">
        <v>0</v>
      </c>
      <c r="AM218" s="121">
        <v>46997</v>
      </c>
      <c r="AN218" s="125">
        <v>0</v>
      </c>
      <c r="AO218" s="125">
        <v>0</v>
      </c>
      <c r="AP218" s="121">
        <v>6266506</v>
      </c>
      <c r="AQ218" s="114">
        <v>0</v>
      </c>
      <c r="AR218" s="121">
        <v>325.16429362000002</v>
      </c>
      <c r="AS218" s="121">
        <v>63895.804788000001</v>
      </c>
      <c r="AT218" s="121">
        <v>8415.0488382000003</v>
      </c>
      <c r="AU218" s="420" t="s">
        <v>2001</v>
      </c>
      <c r="AV218" s="420" t="s">
        <v>2001</v>
      </c>
      <c r="AW218" s="121">
        <v>0</v>
      </c>
      <c r="AX218" s="121">
        <v>1311200</v>
      </c>
      <c r="BI218">
        <v>0</v>
      </c>
      <c r="BJ218" s="121">
        <v>0</v>
      </c>
      <c r="BK218" s="134">
        <v>487824860</v>
      </c>
      <c r="BL218" s="934">
        <v>4404</v>
      </c>
      <c r="BM218" s="934">
        <v>4376</v>
      </c>
      <c r="BN218" s="934">
        <v>4530</v>
      </c>
      <c r="BO218" s="114">
        <v>0</v>
      </c>
      <c r="BP218" s="114">
        <v>0</v>
      </c>
    </row>
    <row r="219" spans="1:68">
      <c r="A219" t="s">
        <v>2930</v>
      </c>
      <c r="B219" t="s">
        <v>145</v>
      </c>
      <c r="C219" s="121">
        <v>4693</v>
      </c>
      <c r="D219" s="72">
        <v>1</v>
      </c>
      <c r="E219">
        <v>49.734000000000002</v>
      </c>
      <c r="F219">
        <v>16</v>
      </c>
      <c r="G219">
        <v>11</v>
      </c>
      <c r="H219">
        <v>0</v>
      </c>
      <c r="I219" s="173">
        <v>1.17</v>
      </c>
      <c r="J219" s="121">
        <v>81227860</v>
      </c>
      <c r="K219" s="125">
        <v>289.90100000000001</v>
      </c>
      <c r="L219" s="173">
        <v>1.48</v>
      </c>
      <c r="M219">
        <v>1.17</v>
      </c>
      <c r="N219">
        <v>0.98666667159999999</v>
      </c>
      <c r="O219">
        <v>18.333332839999994</v>
      </c>
      <c r="P219">
        <v>145</v>
      </c>
      <c r="Q219" s="125">
        <v>0</v>
      </c>
      <c r="R219" s="125">
        <v>0</v>
      </c>
      <c r="S219" s="125">
        <v>0.5</v>
      </c>
      <c r="T219" s="125">
        <v>3</v>
      </c>
      <c r="U219" s="125">
        <v>0.2</v>
      </c>
      <c r="V219" s="125">
        <v>0</v>
      </c>
      <c r="W219" s="125">
        <v>0</v>
      </c>
      <c r="X219" s="125">
        <v>0</v>
      </c>
      <c r="Y219" s="125">
        <v>0</v>
      </c>
      <c r="Z219" s="125">
        <v>0</v>
      </c>
      <c r="AA219" s="125">
        <v>1</v>
      </c>
      <c r="AB219" s="125">
        <v>7.5</v>
      </c>
      <c r="AC219" s="125">
        <v>87</v>
      </c>
      <c r="AD219" s="125">
        <v>0.2</v>
      </c>
      <c r="AE219" s="125">
        <v>19.5</v>
      </c>
      <c r="AF219" s="125">
        <v>6</v>
      </c>
      <c r="AG219" s="125">
        <v>0</v>
      </c>
      <c r="AH219" s="125">
        <v>0</v>
      </c>
      <c r="AI219" s="121">
        <v>987905</v>
      </c>
      <c r="AJ219" s="121">
        <v>0</v>
      </c>
      <c r="AK219" s="424">
        <v>12</v>
      </c>
      <c r="AL219">
        <v>0</v>
      </c>
      <c r="AM219" s="121">
        <v>52084</v>
      </c>
      <c r="AN219" s="125">
        <v>0</v>
      </c>
      <c r="AO219" s="125">
        <v>0</v>
      </c>
      <c r="AP219" s="121">
        <v>987905</v>
      </c>
      <c r="AQ219" s="114">
        <v>0</v>
      </c>
      <c r="AR219" s="121">
        <v>54.143201556000001</v>
      </c>
      <c r="AS219" s="121">
        <v>10639.309128000001</v>
      </c>
      <c r="AT219" s="121">
        <v>1401.1922411999999</v>
      </c>
      <c r="AU219" s="420" t="s">
        <v>2001</v>
      </c>
      <c r="AV219" s="420" t="s">
        <v>2001</v>
      </c>
      <c r="AW219" s="121">
        <v>0</v>
      </c>
      <c r="AX219" s="121">
        <v>0</v>
      </c>
      <c r="BI219">
        <v>0</v>
      </c>
      <c r="BJ219" s="121">
        <v>0</v>
      </c>
      <c r="BK219" s="134">
        <v>81227860</v>
      </c>
      <c r="BL219" s="934">
        <v>4693</v>
      </c>
      <c r="BM219" s="934">
        <v>4637</v>
      </c>
      <c r="BN219" s="934">
        <v>4689</v>
      </c>
      <c r="BO219" s="114">
        <v>0</v>
      </c>
      <c r="BP219" s="114">
        <v>0</v>
      </c>
    </row>
    <row r="220" spans="1:68">
      <c r="A220" t="s">
        <v>1843</v>
      </c>
      <c r="B220" t="s">
        <v>146</v>
      </c>
      <c r="C220" s="121">
        <v>5317</v>
      </c>
      <c r="D220" s="72">
        <v>2</v>
      </c>
      <c r="E220">
        <v>6821.2479999999996</v>
      </c>
      <c r="F220">
        <v>2008</v>
      </c>
      <c r="G220">
        <v>1194</v>
      </c>
      <c r="H220">
        <v>53</v>
      </c>
      <c r="I220" s="173">
        <v>1.04</v>
      </c>
      <c r="J220" s="121">
        <v>13935492841</v>
      </c>
      <c r="K220" s="125">
        <v>32949.936000000002</v>
      </c>
      <c r="L220" s="173">
        <v>1.5</v>
      </c>
      <c r="M220">
        <v>1.04</v>
      </c>
      <c r="N220">
        <v>1.000000005</v>
      </c>
      <c r="O220">
        <v>3.9999995000000066</v>
      </c>
      <c r="P220">
        <v>25085.107</v>
      </c>
      <c r="Q220" s="125">
        <v>0.77900000000000003</v>
      </c>
      <c r="R220" s="125">
        <v>0.04</v>
      </c>
      <c r="S220" s="125">
        <v>47.496000000000002</v>
      </c>
      <c r="T220" s="125">
        <v>799.10599999999999</v>
      </c>
      <c r="U220" s="125">
        <v>175.86699999999999</v>
      </c>
      <c r="V220" s="125">
        <v>0</v>
      </c>
      <c r="W220" s="125">
        <v>24.757000000000001</v>
      </c>
      <c r="X220" s="125">
        <v>0</v>
      </c>
      <c r="Y220" s="125">
        <v>0</v>
      </c>
      <c r="Z220" s="125">
        <v>3.3159999999999998</v>
      </c>
      <c r="AA220" s="125">
        <v>13.89</v>
      </c>
      <c r="AB220" s="125">
        <v>743.69500000000005</v>
      </c>
      <c r="AC220" s="125">
        <v>15099.7</v>
      </c>
      <c r="AD220" s="125">
        <v>14.391</v>
      </c>
      <c r="AE220" s="125">
        <v>6381.8239999999996</v>
      </c>
      <c r="AF220" s="125">
        <v>1254.2550000000001</v>
      </c>
      <c r="AG220" s="125">
        <v>0</v>
      </c>
      <c r="AH220" s="125">
        <v>0</v>
      </c>
      <c r="AI220" s="121">
        <v>153840306</v>
      </c>
      <c r="AJ220" s="121">
        <v>43885152</v>
      </c>
      <c r="AK220" s="424">
        <v>12</v>
      </c>
      <c r="AL220">
        <v>0</v>
      </c>
      <c r="AM220" s="121">
        <v>0</v>
      </c>
      <c r="AN220" s="125">
        <v>1</v>
      </c>
      <c r="AO220" s="125">
        <v>0</v>
      </c>
      <c r="AP220" s="121">
        <v>197725458</v>
      </c>
      <c r="AQ220" s="114">
        <v>0</v>
      </c>
      <c r="AR220" s="121">
        <v>0</v>
      </c>
      <c r="AS220" s="121">
        <v>0</v>
      </c>
      <c r="AT220" s="121">
        <v>0</v>
      </c>
      <c r="AU220" s="420" t="s">
        <v>798</v>
      </c>
      <c r="AV220" s="420" t="s">
        <v>2001</v>
      </c>
      <c r="AW220" s="121">
        <v>0</v>
      </c>
      <c r="AX220" s="121">
        <v>42969367</v>
      </c>
      <c r="AY220" s="134">
        <v>22563591</v>
      </c>
      <c r="AZ220" s="134">
        <v>46513607</v>
      </c>
      <c r="BA220" s="134">
        <v>19724</v>
      </c>
      <c r="BB220" s="134">
        <v>7462785448</v>
      </c>
      <c r="BC220" s="114">
        <v>0</v>
      </c>
      <c r="BD220" s="114">
        <v>0</v>
      </c>
      <c r="BE220" s="114">
        <v>0</v>
      </c>
      <c r="BF220" s="134">
        <v>26340</v>
      </c>
      <c r="BG220" s="114">
        <v>0</v>
      </c>
      <c r="BH220" s="114">
        <v>0</v>
      </c>
      <c r="BI220">
        <v>0</v>
      </c>
      <c r="BJ220" s="121">
        <v>0</v>
      </c>
      <c r="BK220" s="134">
        <v>13935492841</v>
      </c>
      <c r="BL220" s="934">
        <v>5013</v>
      </c>
      <c r="BM220" s="934">
        <v>5317</v>
      </c>
      <c r="BN220" s="934">
        <v>5149</v>
      </c>
      <c r="BO220" s="114">
        <v>0</v>
      </c>
      <c r="BP220" s="114">
        <v>0</v>
      </c>
    </row>
    <row r="221" spans="1:68">
      <c r="A221" t="s">
        <v>421</v>
      </c>
      <c r="B221" t="s">
        <v>147</v>
      </c>
      <c r="C221" s="121">
        <v>4853</v>
      </c>
      <c r="D221" s="72">
        <v>2</v>
      </c>
      <c r="E221">
        <v>2350.5880000000002</v>
      </c>
      <c r="F221">
        <v>538</v>
      </c>
      <c r="G221">
        <v>332</v>
      </c>
      <c r="H221">
        <v>6</v>
      </c>
      <c r="I221" s="173">
        <v>1.04</v>
      </c>
      <c r="J221" s="121">
        <v>2847610979</v>
      </c>
      <c r="K221" s="125">
        <v>10032.008</v>
      </c>
      <c r="L221" s="173">
        <v>1.5</v>
      </c>
      <c r="M221">
        <v>1.04</v>
      </c>
      <c r="N221">
        <v>1.000000005</v>
      </c>
      <c r="O221">
        <v>3.9999995000000066</v>
      </c>
      <c r="P221">
        <v>7957.8320000000003</v>
      </c>
      <c r="Q221" s="125">
        <v>0.69399999999999995</v>
      </c>
      <c r="R221" s="125">
        <v>0</v>
      </c>
      <c r="S221" s="125">
        <v>10.231</v>
      </c>
      <c r="T221" s="125">
        <v>274.15199999999999</v>
      </c>
      <c r="U221" s="125">
        <v>53.853999999999999</v>
      </c>
      <c r="V221" s="125">
        <v>0.13900000000000001</v>
      </c>
      <c r="W221" s="125">
        <v>0.2</v>
      </c>
      <c r="X221" s="125">
        <v>0</v>
      </c>
      <c r="Y221" s="125">
        <v>0</v>
      </c>
      <c r="Z221" s="125">
        <v>10.053000000000001</v>
      </c>
      <c r="AA221" s="125">
        <v>19.779</v>
      </c>
      <c r="AB221" s="125">
        <v>340.61</v>
      </c>
      <c r="AC221" s="125">
        <v>3533.8</v>
      </c>
      <c r="AD221" s="125">
        <v>2.5609999999999999</v>
      </c>
      <c r="AE221" s="125">
        <v>330.2</v>
      </c>
      <c r="AF221" s="125">
        <v>397.89159999999998</v>
      </c>
      <c r="AG221" s="125">
        <v>0</v>
      </c>
      <c r="AH221" s="125">
        <v>0</v>
      </c>
      <c r="AI221" s="121">
        <v>31040096</v>
      </c>
      <c r="AJ221" s="121">
        <v>9486366</v>
      </c>
      <c r="AK221" s="424">
        <v>12</v>
      </c>
      <c r="AL221">
        <v>0</v>
      </c>
      <c r="AM221" s="121">
        <v>0</v>
      </c>
      <c r="AN221" s="125">
        <v>2</v>
      </c>
      <c r="AO221" s="125">
        <v>0</v>
      </c>
      <c r="AP221" s="121">
        <v>40526462</v>
      </c>
      <c r="AQ221" s="114">
        <v>0</v>
      </c>
      <c r="AR221" s="121">
        <v>1898.1021436000001</v>
      </c>
      <c r="AS221" s="121">
        <v>372983.03171000001</v>
      </c>
      <c r="AT221" s="121">
        <v>49121.698021999997</v>
      </c>
      <c r="AU221" s="420" t="s">
        <v>2001</v>
      </c>
      <c r="AV221" s="420" t="s">
        <v>2001</v>
      </c>
      <c r="AW221" s="121">
        <v>0</v>
      </c>
      <c r="AX221" s="121">
        <v>10431099</v>
      </c>
      <c r="BI221">
        <v>0</v>
      </c>
      <c r="BJ221" s="121">
        <v>0</v>
      </c>
      <c r="BK221" s="134">
        <v>2847610979</v>
      </c>
      <c r="BL221" s="934">
        <v>4782</v>
      </c>
      <c r="BM221" s="934">
        <v>4853</v>
      </c>
      <c r="BN221" s="934">
        <v>4853</v>
      </c>
      <c r="BO221" s="114">
        <v>0</v>
      </c>
      <c r="BP221" s="114">
        <v>0</v>
      </c>
    </row>
    <row r="222" spans="1:68">
      <c r="A222" t="s">
        <v>422</v>
      </c>
      <c r="B222" t="s">
        <v>148</v>
      </c>
      <c r="C222" s="121">
        <v>5249</v>
      </c>
      <c r="D222" s="72">
        <v>2</v>
      </c>
      <c r="E222">
        <v>34587.697</v>
      </c>
      <c r="F222">
        <v>12024</v>
      </c>
      <c r="G222">
        <v>7352</v>
      </c>
      <c r="H222">
        <v>316</v>
      </c>
      <c r="I222" s="173">
        <v>1.04</v>
      </c>
      <c r="J222" s="121">
        <v>77450120650</v>
      </c>
      <c r="K222" s="125">
        <v>199999.32</v>
      </c>
      <c r="L222" s="173">
        <v>1.5</v>
      </c>
      <c r="M222">
        <v>1.04</v>
      </c>
      <c r="N222">
        <v>1.000000005</v>
      </c>
      <c r="O222">
        <v>3.9999995000000066</v>
      </c>
      <c r="P222">
        <v>142791.91</v>
      </c>
      <c r="Q222" s="125">
        <v>7.8120000000000003</v>
      </c>
      <c r="R222" s="125">
        <v>20.282</v>
      </c>
      <c r="S222" s="125">
        <v>136.01300000000001</v>
      </c>
      <c r="T222" s="125">
        <v>2650.4409999999998</v>
      </c>
      <c r="U222" s="125">
        <v>845.06600000000003</v>
      </c>
      <c r="V222" s="125">
        <v>13.879</v>
      </c>
      <c r="W222" s="125">
        <v>37.726999999999997</v>
      </c>
      <c r="X222" s="125">
        <v>0</v>
      </c>
      <c r="Y222" s="125">
        <v>3.8740000000000001</v>
      </c>
      <c r="Z222" s="125">
        <v>4.1520000000000001</v>
      </c>
      <c r="AA222" s="125">
        <v>3176.9589999999998</v>
      </c>
      <c r="AB222" s="125">
        <v>4970.5379999999996</v>
      </c>
      <c r="AC222" s="125">
        <v>141032.70000000001</v>
      </c>
      <c r="AD222" s="125">
        <v>114.077</v>
      </c>
      <c r="AE222" s="125">
        <v>41747.864000000001</v>
      </c>
      <c r="AF222" s="125">
        <v>7139.5950000000003</v>
      </c>
      <c r="AG222" s="125">
        <v>0</v>
      </c>
      <c r="AH222" s="125">
        <v>0</v>
      </c>
      <c r="AI222" s="121">
        <v>846967665</v>
      </c>
      <c r="AJ222" s="121">
        <v>113671580</v>
      </c>
      <c r="AK222" s="424">
        <v>12</v>
      </c>
      <c r="AL222">
        <v>0</v>
      </c>
      <c r="AM222" s="121">
        <v>0</v>
      </c>
      <c r="AN222" s="125">
        <v>9.0570000000000004</v>
      </c>
      <c r="AO222" s="125">
        <v>2</v>
      </c>
      <c r="AP222" s="121">
        <v>960639245</v>
      </c>
      <c r="AQ222" s="114">
        <v>0</v>
      </c>
      <c r="AR222" s="121">
        <v>0</v>
      </c>
      <c r="AS222" s="121">
        <v>0</v>
      </c>
      <c r="AT222" s="121">
        <v>0</v>
      </c>
      <c r="AU222" s="420" t="s">
        <v>798</v>
      </c>
      <c r="AV222" s="420" t="s">
        <v>2001</v>
      </c>
      <c r="AW222" s="121">
        <v>0</v>
      </c>
      <c r="AX222" s="121">
        <v>114323191</v>
      </c>
      <c r="AY222" s="134">
        <v>117664387</v>
      </c>
      <c r="AZ222" s="134">
        <v>386855829</v>
      </c>
      <c r="BA222" s="134">
        <v>163908</v>
      </c>
      <c r="BB222" s="134">
        <v>41330652324</v>
      </c>
      <c r="BC222" s="114">
        <v>0</v>
      </c>
      <c r="BD222" s="114">
        <v>0</v>
      </c>
      <c r="BE222" s="114">
        <v>0</v>
      </c>
      <c r="BF222" s="134">
        <v>157605</v>
      </c>
      <c r="BG222" s="114">
        <v>0</v>
      </c>
      <c r="BH222" s="114">
        <v>0</v>
      </c>
      <c r="BI222">
        <v>0</v>
      </c>
      <c r="BJ222" s="121">
        <v>0</v>
      </c>
      <c r="BK222" s="134">
        <v>77450120650</v>
      </c>
      <c r="BL222" s="934">
        <v>4973</v>
      </c>
      <c r="BM222" s="934">
        <v>5249</v>
      </c>
      <c r="BN222" s="934">
        <v>5088</v>
      </c>
      <c r="BO222" s="114">
        <v>0</v>
      </c>
      <c r="BP222" s="114">
        <v>0</v>
      </c>
    </row>
    <row r="223" spans="1:68">
      <c r="A223" t="s">
        <v>423</v>
      </c>
      <c r="B223" t="s">
        <v>149</v>
      </c>
      <c r="C223" s="121">
        <v>4688</v>
      </c>
      <c r="D223" s="72">
        <v>2</v>
      </c>
      <c r="E223">
        <v>2577.6239999999998</v>
      </c>
      <c r="F223">
        <v>630</v>
      </c>
      <c r="G223">
        <v>342</v>
      </c>
      <c r="H223">
        <v>29</v>
      </c>
      <c r="I223" s="173">
        <v>1.04</v>
      </c>
      <c r="J223" s="121">
        <v>2357468357</v>
      </c>
      <c r="K223" s="125">
        <v>11385.415999999999</v>
      </c>
      <c r="L223" s="173">
        <v>1.5</v>
      </c>
      <c r="M223">
        <v>1.04</v>
      </c>
      <c r="N223">
        <v>1.000000005</v>
      </c>
      <c r="O223">
        <v>3.9999995000000066</v>
      </c>
      <c r="P223">
        <v>8853.5450000000001</v>
      </c>
      <c r="Q223" s="125">
        <v>0.13</v>
      </c>
      <c r="R223" s="125">
        <v>0</v>
      </c>
      <c r="S223" s="125">
        <v>16.024999999999999</v>
      </c>
      <c r="T223" s="125">
        <v>285.02499999999998</v>
      </c>
      <c r="U223" s="125">
        <v>51.024999999999999</v>
      </c>
      <c r="V223" s="125">
        <v>1.75</v>
      </c>
      <c r="W223" s="125">
        <v>3.25</v>
      </c>
      <c r="X223" s="125">
        <v>0</v>
      </c>
      <c r="Y223" s="125">
        <v>0</v>
      </c>
      <c r="Z223" s="125">
        <v>46.4</v>
      </c>
      <c r="AA223" s="125">
        <v>13.7</v>
      </c>
      <c r="AB223" s="125">
        <v>353.78</v>
      </c>
      <c r="AC223" s="125">
        <v>4490.3</v>
      </c>
      <c r="AD223" s="125">
        <v>3.3820000000000001</v>
      </c>
      <c r="AE223" s="125">
        <v>487.25099999999998</v>
      </c>
      <c r="AF223" s="125">
        <v>442.67700000000002</v>
      </c>
      <c r="AG223" s="125">
        <v>0</v>
      </c>
      <c r="AH223" s="125">
        <v>0</v>
      </c>
      <c r="AI223" s="121">
        <v>25909179</v>
      </c>
      <c r="AJ223" s="121">
        <v>8376684</v>
      </c>
      <c r="AK223" s="424">
        <v>12</v>
      </c>
      <c r="AL223">
        <v>0</v>
      </c>
      <c r="AM223" s="121">
        <v>0</v>
      </c>
      <c r="AN223" s="125">
        <v>2</v>
      </c>
      <c r="AO223" s="125">
        <v>0</v>
      </c>
      <c r="AP223" s="121">
        <v>34285863</v>
      </c>
      <c r="AQ223" s="114">
        <v>0</v>
      </c>
      <c r="AR223" s="121">
        <v>1571.3929238000001</v>
      </c>
      <c r="AS223" s="121">
        <v>308783.64406000002</v>
      </c>
      <c r="AT223" s="121">
        <v>40666.667456000003</v>
      </c>
      <c r="AU223" s="420" t="s">
        <v>2001</v>
      </c>
      <c r="AV223" s="420" t="s">
        <v>2001</v>
      </c>
      <c r="AW223" s="121">
        <v>0</v>
      </c>
      <c r="AX223" s="121">
        <v>12933034</v>
      </c>
      <c r="BI223">
        <v>0</v>
      </c>
      <c r="BJ223" s="121">
        <v>0</v>
      </c>
      <c r="BK223" s="134">
        <v>2357468357</v>
      </c>
      <c r="BL223" s="934">
        <v>4651</v>
      </c>
      <c r="BM223" s="934">
        <v>4688</v>
      </c>
      <c r="BN223" s="934">
        <v>4688</v>
      </c>
      <c r="BO223" s="114">
        <v>0</v>
      </c>
      <c r="BP223" s="114">
        <v>0</v>
      </c>
    </row>
    <row r="224" spans="1:68">
      <c r="A224" t="s">
        <v>424</v>
      </c>
      <c r="B224" t="s">
        <v>150</v>
      </c>
      <c r="C224" s="121">
        <v>4689</v>
      </c>
      <c r="D224" s="72">
        <v>2</v>
      </c>
      <c r="E224">
        <v>3419.8150000000001</v>
      </c>
      <c r="F224">
        <v>815</v>
      </c>
      <c r="G224">
        <v>605</v>
      </c>
      <c r="H224">
        <v>111</v>
      </c>
      <c r="I224" s="173">
        <v>1.04</v>
      </c>
      <c r="J224" s="121">
        <v>3495429274</v>
      </c>
      <c r="K224" s="125">
        <v>16700.198</v>
      </c>
      <c r="L224" s="173">
        <v>1.5</v>
      </c>
      <c r="M224">
        <v>1.04</v>
      </c>
      <c r="N224">
        <v>1.000000005</v>
      </c>
      <c r="O224">
        <v>3.9999995000000066</v>
      </c>
      <c r="P224">
        <v>12200</v>
      </c>
      <c r="Q224" s="125">
        <v>3</v>
      </c>
      <c r="R224" s="125">
        <v>0</v>
      </c>
      <c r="S224" s="125">
        <v>20</v>
      </c>
      <c r="T224" s="125">
        <v>500</v>
      </c>
      <c r="U224" s="125">
        <v>140</v>
      </c>
      <c r="V224" s="125">
        <v>0.5</v>
      </c>
      <c r="W224" s="125">
        <v>6</v>
      </c>
      <c r="X224" s="125">
        <v>0</v>
      </c>
      <c r="Y224" s="125">
        <v>0</v>
      </c>
      <c r="Z224" s="125">
        <v>26</v>
      </c>
      <c r="AA224" s="125">
        <v>85</v>
      </c>
      <c r="AB224" s="125">
        <v>1000</v>
      </c>
      <c r="AC224" s="125">
        <v>7800</v>
      </c>
      <c r="AD224" s="125">
        <v>6</v>
      </c>
      <c r="AE224" s="125">
        <v>1600</v>
      </c>
      <c r="AF224" s="125">
        <v>610</v>
      </c>
      <c r="AG224" s="125">
        <v>0</v>
      </c>
      <c r="AH224" s="125">
        <v>0</v>
      </c>
      <c r="AI224" s="121">
        <v>38471897</v>
      </c>
      <c r="AJ224" s="121">
        <v>11636191</v>
      </c>
      <c r="AK224" s="424">
        <v>12</v>
      </c>
      <c r="AL224">
        <v>0</v>
      </c>
      <c r="AM224" s="121">
        <v>373582</v>
      </c>
      <c r="AN224" s="125">
        <v>2</v>
      </c>
      <c r="AO224" s="125">
        <v>1</v>
      </c>
      <c r="AP224" s="121">
        <v>50108088</v>
      </c>
      <c r="AQ224" s="114">
        <v>0</v>
      </c>
      <c r="AR224" s="121">
        <v>2329.9115809</v>
      </c>
      <c r="AS224" s="121">
        <v>457834.94212000002</v>
      </c>
      <c r="AT224" s="121">
        <v>60296.656573</v>
      </c>
      <c r="AU224" s="420" t="s">
        <v>2001</v>
      </c>
      <c r="AV224" s="420" t="s">
        <v>2001</v>
      </c>
      <c r="AW224" s="121">
        <v>0</v>
      </c>
      <c r="AX224" s="121">
        <v>15089801</v>
      </c>
      <c r="BI224">
        <v>0</v>
      </c>
      <c r="BJ224" s="121">
        <v>0</v>
      </c>
      <c r="BK224" s="134">
        <v>3495429274</v>
      </c>
      <c r="BL224" s="934">
        <v>4667</v>
      </c>
      <c r="BM224" s="934">
        <v>4689</v>
      </c>
      <c r="BN224" s="934">
        <v>4689</v>
      </c>
      <c r="BO224" s="114">
        <v>0</v>
      </c>
      <c r="BP224" s="114">
        <v>0</v>
      </c>
    </row>
    <row r="225" spans="1:68">
      <c r="A225" t="s">
        <v>2973</v>
      </c>
      <c r="B225" t="s">
        <v>1672</v>
      </c>
      <c r="C225" s="121">
        <v>4652</v>
      </c>
      <c r="D225" s="72">
        <v>3</v>
      </c>
      <c r="E225">
        <v>15396.675999999999</v>
      </c>
      <c r="F225">
        <v>3981</v>
      </c>
      <c r="G225">
        <v>3069</v>
      </c>
      <c r="H225">
        <v>128</v>
      </c>
      <c r="I225" s="173">
        <v>1.04</v>
      </c>
      <c r="J225" s="121">
        <v>13645081708</v>
      </c>
      <c r="K225" s="125">
        <v>71650.792000000001</v>
      </c>
      <c r="L225" s="173">
        <v>1.4568000000000001</v>
      </c>
      <c r="M225">
        <v>1.04</v>
      </c>
      <c r="N225">
        <v>0.97120000485600011</v>
      </c>
      <c r="O225">
        <v>6.8799995143999926</v>
      </c>
      <c r="P225">
        <v>55204.597999999998</v>
      </c>
      <c r="Q225" s="125">
        <v>1.448</v>
      </c>
      <c r="R225" s="125">
        <v>0</v>
      </c>
      <c r="S225" s="125">
        <v>80.548000000000002</v>
      </c>
      <c r="T225" s="125">
        <v>1338.357</v>
      </c>
      <c r="U225" s="125">
        <v>380.846</v>
      </c>
      <c r="V225" s="125">
        <v>20.707999999999998</v>
      </c>
      <c r="W225" s="125">
        <v>17.454999999999998</v>
      </c>
      <c r="X225" s="125">
        <v>0</v>
      </c>
      <c r="Y225" s="125">
        <v>1.1950000000000001</v>
      </c>
      <c r="Z225" s="125">
        <v>30.89</v>
      </c>
      <c r="AA225" s="125">
        <v>1059.971</v>
      </c>
      <c r="AB225" s="125">
        <v>2398.7739999999999</v>
      </c>
      <c r="AC225" s="125">
        <v>27766.400000000001</v>
      </c>
      <c r="AD225" s="125">
        <v>26.042999999999999</v>
      </c>
      <c r="AE225" s="125">
        <v>11830.636</v>
      </c>
      <c r="AF225" s="125">
        <v>2760.2298999999998</v>
      </c>
      <c r="AG225" s="125">
        <v>0</v>
      </c>
      <c r="AH225" s="125">
        <v>0</v>
      </c>
      <c r="AI225" s="121">
        <v>150784374</v>
      </c>
      <c r="AJ225" s="121">
        <v>27212709</v>
      </c>
      <c r="AK225" s="424">
        <v>12</v>
      </c>
      <c r="AL225">
        <v>0</v>
      </c>
      <c r="AM225" s="121">
        <v>3135793</v>
      </c>
      <c r="AN225" s="125">
        <v>1</v>
      </c>
      <c r="AO225" s="125">
        <v>1</v>
      </c>
      <c r="AP225" s="121">
        <v>177997083</v>
      </c>
      <c r="AQ225" s="114">
        <v>0</v>
      </c>
      <c r="AR225" s="121">
        <v>9095.2588085999996</v>
      </c>
      <c r="AS225" s="121">
        <v>1787246.9171</v>
      </c>
      <c r="AT225" s="121">
        <v>235379.61754000001</v>
      </c>
      <c r="AU225" s="420" t="s">
        <v>2001</v>
      </c>
      <c r="AV225" s="420" t="s">
        <v>2001</v>
      </c>
      <c r="AW225" s="121">
        <v>0</v>
      </c>
      <c r="AX225" s="121">
        <v>36502440</v>
      </c>
      <c r="BI225">
        <v>0</v>
      </c>
      <c r="BJ225" s="121">
        <v>0</v>
      </c>
      <c r="BK225" s="134">
        <v>13645081708</v>
      </c>
      <c r="BL225" s="934">
        <v>4537</v>
      </c>
      <c r="BM225" s="934">
        <v>4572</v>
      </c>
      <c r="BN225" s="934">
        <v>4652</v>
      </c>
      <c r="BO225" s="114">
        <v>0</v>
      </c>
      <c r="BP225" s="114">
        <v>0</v>
      </c>
    </row>
    <row r="226" spans="1:68">
      <c r="A226" t="s">
        <v>741</v>
      </c>
      <c r="B226" t="s">
        <v>975</v>
      </c>
      <c r="C226" s="121">
        <v>4643</v>
      </c>
      <c r="D226" s="72">
        <v>3</v>
      </c>
      <c r="E226">
        <v>6124.5020000000004</v>
      </c>
      <c r="F226">
        <v>1788</v>
      </c>
      <c r="G226">
        <v>1041</v>
      </c>
      <c r="H226">
        <v>130</v>
      </c>
      <c r="I226" s="173">
        <v>1.04</v>
      </c>
      <c r="J226" s="121">
        <v>4531963502</v>
      </c>
      <c r="K226" s="125">
        <v>31253.831999999999</v>
      </c>
      <c r="L226" s="173">
        <v>1.49</v>
      </c>
      <c r="M226">
        <v>1.04</v>
      </c>
      <c r="N226">
        <v>0.99333333830000003</v>
      </c>
      <c r="O226">
        <v>4.6666661700000001</v>
      </c>
      <c r="P226">
        <v>23486.611000000001</v>
      </c>
      <c r="Q226" s="125">
        <v>1.23</v>
      </c>
      <c r="R226" s="125">
        <v>0</v>
      </c>
      <c r="S226" s="125">
        <v>56.832999999999998</v>
      </c>
      <c r="T226" s="125">
        <v>917.52099999999996</v>
      </c>
      <c r="U226" s="125">
        <v>188.43199999999999</v>
      </c>
      <c r="V226" s="125">
        <v>0</v>
      </c>
      <c r="W226" s="125">
        <v>1.2689999999999999</v>
      </c>
      <c r="X226" s="125">
        <v>0</v>
      </c>
      <c r="Y226" s="125">
        <v>0</v>
      </c>
      <c r="Z226" s="125">
        <v>3.7</v>
      </c>
      <c r="AA226" s="125">
        <v>25.536999999999999</v>
      </c>
      <c r="AB226" s="125">
        <v>592.178</v>
      </c>
      <c r="AC226" s="125">
        <v>14936.6</v>
      </c>
      <c r="AD226" s="125">
        <v>15.491</v>
      </c>
      <c r="AE226" s="125">
        <v>4298.4629999999997</v>
      </c>
      <c r="AF226" s="125">
        <v>1174.3305499999999</v>
      </c>
      <c r="AG226" s="125">
        <v>0</v>
      </c>
      <c r="AH226" s="125">
        <v>0</v>
      </c>
      <c r="AI226" s="121">
        <v>51025156</v>
      </c>
      <c r="AJ226" s="121">
        <v>11377619</v>
      </c>
      <c r="AK226" s="424">
        <v>12</v>
      </c>
      <c r="AL226">
        <v>0</v>
      </c>
      <c r="AM226" s="121">
        <v>629766</v>
      </c>
      <c r="AN226" s="125">
        <v>2</v>
      </c>
      <c r="AO226" s="125">
        <v>3</v>
      </c>
      <c r="AP226" s="121">
        <v>62402775</v>
      </c>
      <c r="AQ226" s="114">
        <v>0</v>
      </c>
      <c r="AR226" s="121">
        <v>3020.8233151999998</v>
      </c>
      <c r="AS226" s="121">
        <v>593601.26752999995</v>
      </c>
      <c r="AT226" s="121">
        <v>78177.020749000003</v>
      </c>
      <c r="AU226" s="420" t="s">
        <v>2001</v>
      </c>
      <c r="AV226" s="420" t="s">
        <v>2001</v>
      </c>
      <c r="AW226" s="121">
        <v>0</v>
      </c>
      <c r="AX226" s="121">
        <v>28519949</v>
      </c>
      <c r="BI226">
        <v>0</v>
      </c>
      <c r="BJ226" s="121">
        <v>0</v>
      </c>
      <c r="BK226" s="134">
        <v>4531963502</v>
      </c>
      <c r="BL226" s="934">
        <v>4623</v>
      </c>
      <c r="BM226" s="934">
        <v>4629</v>
      </c>
      <c r="BN226" s="934">
        <v>4643</v>
      </c>
      <c r="BO226" s="114">
        <v>0</v>
      </c>
      <c r="BP226" s="114">
        <v>0</v>
      </c>
    </row>
    <row r="227" spans="1:68">
      <c r="A227" t="s">
        <v>579</v>
      </c>
      <c r="B227" t="s">
        <v>151</v>
      </c>
      <c r="C227" s="121">
        <v>5624</v>
      </c>
      <c r="D227" s="72">
        <v>3</v>
      </c>
      <c r="E227">
        <v>1930.0730000000001</v>
      </c>
      <c r="F227">
        <v>429</v>
      </c>
      <c r="G227">
        <v>227</v>
      </c>
      <c r="H227">
        <v>25</v>
      </c>
      <c r="I227" s="173">
        <v>0.97670000000000001</v>
      </c>
      <c r="J227" s="121">
        <v>11353503104</v>
      </c>
      <c r="K227" s="125">
        <v>7073.4059999999999</v>
      </c>
      <c r="L227" s="173">
        <v>1.45</v>
      </c>
      <c r="M227">
        <v>0.97670000000000001</v>
      </c>
      <c r="N227">
        <v>0.96666667149999996</v>
      </c>
      <c r="O227">
        <v>1.0033328500000049</v>
      </c>
      <c r="P227">
        <v>6252.3590000000004</v>
      </c>
      <c r="Q227" s="125">
        <v>0.33900000000000002</v>
      </c>
      <c r="R227" s="125">
        <v>0</v>
      </c>
      <c r="S227" s="125">
        <v>11.045999999999999</v>
      </c>
      <c r="T227" s="125">
        <v>85.584000000000003</v>
      </c>
      <c r="U227" s="125">
        <v>29.553000000000001</v>
      </c>
      <c r="V227" s="125">
        <v>0</v>
      </c>
      <c r="W227" s="125">
        <v>1.038</v>
      </c>
      <c r="X227" s="125">
        <v>0</v>
      </c>
      <c r="Y227" s="125">
        <v>0</v>
      </c>
      <c r="Z227" s="125">
        <v>0</v>
      </c>
      <c r="AA227" s="125">
        <v>181.93100000000001</v>
      </c>
      <c r="AB227" s="125">
        <v>38.334000000000003</v>
      </c>
      <c r="AC227" s="125">
        <v>0</v>
      </c>
      <c r="AD227" s="125">
        <v>0</v>
      </c>
      <c r="AE227" s="125">
        <v>39.887999999999998</v>
      </c>
      <c r="AF227" s="125">
        <v>312.61795000000001</v>
      </c>
      <c r="AG227" s="125">
        <v>0</v>
      </c>
      <c r="AH227" s="125">
        <v>0</v>
      </c>
      <c r="AI227" s="121">
        <v>115269807</v>
      </c>
      <c r="AJ227" s="121">
        <v>5958579</v>
      </c>
      <c r="AK227" s="424">
        <v>12</v>
      </c>
      <c r="AL227">
        <v>0</v>
      </c>
      <c r="AM227" s="121">
        <v>0</v>
      </c>
      <c r="AN227" s="125">
        <v>0</v>
      </c>
      <c r="AO227" s="125">
        <v>0</v>
      </c>
      <c r="AP227" s="121">
        <v>121228386</v>
      </c>
      <c r="AQ227" s="114">
        <v>0</v>
      </c>
      <c r="AR227" s="121">
        <v>0</v>
      </c>
      <c r="AS227" s="121">
        <v>0</v>
      </c>
      <c r="AT227" s="121">
        <v>0</v>
      </c>
      <c r="AU227" s="420" t="s">
        <v>798</v>
      </c>
      <c r="AV227" s="420" t="s">
        <v>2001</v>
      </c>
      <c r="AW227" s="121">
        <v>0</v>
      </c>
      <c r="AX227" s="121">
        <v>6018762</v>
      </c>
      <c r="AY227" s="134">
        <v>12045245</v>
      </c>
      <c r="AZ227" s="134">
        <v>10678308</v>
      </c>
      <c r="BA227" s="134">
        <v>4630</v>
      </c>
      <c r="BB227" s="134">
        <v>3633130182</v>
      </c>
      <c r="BC227" s="114">
        <v>0</v>
      </c>
      <c r="BD227" s="114">
        <v>0</v>
      </c>
      <c r="BE227" s="114">
        <v>0</v>
      </c>
      <c r="BF227" s="134">
        <v>6297</v>
      </c>
      <c r="BG227" s="114">
        <v>0</v>
      </c>
      <c r="BH227" s="114">
        <v>0</v>
      </c>
      <c r="BI227">
        <v>0</v>
      </c>
      <c r="BJ227" s="121">
        <v>34932</v>
      </c>
      <c r="BK227" s="134">
        <v>11353503104</v>
      </c>
      <c r="BL227" s="934">
        <v>5304</v>
      </c>
      <c r="BM227" s="934">
        <v>5460</v>
      </c>
      <c r="BN227" s="934">
        <v>5624</v>
      </c>
      <c r="BO227" s="114">
        <v>0</v>
      </c>
      <c r="BP227" s="114">
        <v>0</v>
      </c>
    </row>
    <row r="228" spans="1:68">
      <c r="A228" t="s">
        <v>48</v>
      </c>
      <c r="B228" t="s">
        <v>1441</v>
      </c>
      <c r="C228" s="121">
        <v>4707</v>
      </c>
      <c r="D228" s="72">
        <v>2</v>
      </c>
      <c r="E228">
        <v>7812.192</v>
      </c>
      <c r="F228">
        <v>2453</v>
      </c>
      <c r="G228">
        <v>1439</v>
      </c>
      <c r="H228">
        <v>233</v>
      </c>
      <c r="I228" s="173">
        <v>1</v>
      </c>
      <c r="J228" s="121">
        <v>9315564755</v>
      </c>
      <c r="K228" s="125">
        <v>41496.480000000003</v>
      </c>
      <c r="L228" s="173">
        <v>1.5</v>
      </c>
      <c r="M228">
        <v>1</v>
      </c>
      <c r="N228">
        <v>1.000000005</v>
      </c>
      <c r="O228">
        <v>-4.9999999696126451E-7</v>
      </c>
      <c r="P228">
        <v>31000</v>
      </c>
      <c r="Q228" s="125">
        <v>1.133</v>
      </c>
      <c r="R228" s="125">
        <v>0</v>
      </c>
      <c r="S228" s="125">
        <v>51.093000000000004</v>
      </c>
      <c r="T228" s="125">
        <v>532</v>
      </c>
      <c r="U228" s="125">
        <v>208.63</v>
      </c>
      <c r="V228" s="125">
        <v>26.443999999999999</v>
      </c>
      <c r="W228" s="125">
        <v>12.978</v>
      </c>
      <c r="X228" s="125">
        <v>0</v>
      </c>
      <c r="Y228" s="125">
        <v>0</v>
      </c>
      <c r="Z228" s="125">
        <v>13.632</v>
      </c>
      <c r="AA228" s="125">
        <v>657</v>
      </c>
      <c r="AB228" s="125">
        <v>1082</v>
      </c>
      <c r="AC228" s="125">
        <v>22295</v>
      </c>
      <c r="AD228" s="125">
        <v>5.8</v>
      </c>
      <c r="AE228" s="125">
        <v>9855</v>
      </c>
      <c r="AF228" s="125">
        <v>1499</v>
      </c>
      <c r="AG228" s="125">
        <v>0</v>
      </c>
      <c r="AH228" s="125">
        <v>0</v>
      </c>
      <c r="AI228" s="121">
        <v>99529028</v>
      </c>
      <c r="AJ228" s="121">
        <v>26750198</v>
      </c>
      <c r="AK228" s="424">
        <v>12</v>
      </c>
      <c r="AL228">
        <v>0</v>
      </c>
      <c r="AM228" s="121">
        <v>0</v>
      </c>
      <c r="AN228" s="125">
        <v>3</v>
      </c>
      <c r="AO228" s="125">
        <v>0</v>
      </c>
      <c r="AP228" s="121">
        <v>126279226</v>
      </c>
      <c r="AQ228" s="114">
        <v>0</v>
      </c>
      <c r="AR228" s="121">
        <v>6209.3781633999997</v>
      </c>
      <c r="AS228" s="121">
        <v>1220162.308</v>
      </c>
      <c r="AT228" s="121">
        <v>160694.82881000001</v>
      </c>
      <c r="AU228" s="420" t="s">
        <v>2001</v>
      </c>
      <c r="AV228" s="420" t="s">
        <v>2001</v>
      </c>
      <c r="AW228" s="121">
        <v>0</v>
      </c>
      <c r="AX228" s="121">
        <v>33205093</v>
      </c>
      <c r="BI228">
        <v>0</v>
      </c>
      <c r="BJ228" s="121">
        <v>0</v>
      </c>
      <c r="BK228" s="134">
        <v>9315564755</v>
      </c>
      <c r="BL228" s="934">
        <v>4535</v>
      </c>
      <c r="BM228" s="934">
        <v>4707</v>
      </c>
      <c r="BN228" s="934">
        <v>4656</v>
      </c>
      <c r="BO228" s="114">
        <v>0</v>
      </c>
      <c r="BP228" s="114">
        <v>0</v>
      </c>
    </row>
    <row r="229" spans="1:68">
      <c r="A229" t="s">
        <v>2028</v>
      </c>
      <c r="B229" t="s">
        <v>152</v>
      </c>
      <c r="C229" s="121">
        <v>4762</v>
      </c>
      <c r="D229" s="72">
        <v>3</v>
      </c>
      <c r="E229">
        <v>1692.135</v>
      </c>
      <c r="F229">
        <v>430</v>
      </c>
      <c r="G229">
        <v>283</v>
      </c>
      <c r="H229">
        <v>3</v>
      </c>
      <c r="I229" s="173">
        <v>1.0146999999999999</v>
      </c>
      <c r="J229" s="121">
        <v>1661997964</v>
      </c>
      <c r="K229" s="125">
        <v>8682.9159999999993</v>
      </c>
      <c r="L229" s="173">
        <v>1.4616</v>
      </c>
      <c r="M229">
        <v>1.0146999999999999</v>
      </c>
      <c r="N229">
        <v>0.97440000487200007</v>
      </c>
      <c r="O229">
        <v>4.0299995127999866</v>
      </c>
      <c r="P229">
        <v>6845.88</v>
      </c>
      <c r="Q229" s="125">
        <v>1.097</v>
      </c>
      <c r="R229" s="125">
        <v>0.85699999999999998</v>
      </c>
      <c r="S229" s="125">
        <v>9.2249999999999996</v>
      </c>
      <c r="T229" s="125">
        <v>208.11799999999999</v>
      </c>
      <c r="U229" s="125">
        <v>31.64</v>
      </c>
      <c r="V229" s="125">
        <v>0</v>
      </c>
      <c r="W229" s="125">
        <v>6.19</v>
      </c>
      <c r="X229" s="125">
        <v>0</v>
      </c>
      <c r="Y229" s="125">
        <v>0</v>
      </c>
      <c r="Z229" s="125">
        <v>0</v>
      </c>
      <c r="AA229" s="125">
        <v>19.664999999999999</v>
      </c>
      <c r="AB229" s="125">
        <v>257.72899999999998</v>
      </c>
      <c r="AC229" s="125">
        <v>3866.8</v>
      </c>
      <c r="AD229" s="125">
        <v>0.45300000000000001</v>
      </c>
      <c r="AE229" s="125">
        <v>270.12099999999998</v>
      </c>
      <c r="AF229" s="125">
        <v>324.22899999999998</v>
      </c>
      <c r="AG229" s="125">
        <v>0</v>
      </c>
      <c r="AH229" s="125">
        <v>0</v>
      </c>
      <c r="AI229" s="121">
        <v>17974519</v>
      </c>
      <c r="AJ229" s="121">
        <v>5748627</v>
      </c>
      <c r="AK229" s="424">
        <v>12</v>
      </c>
      <c r="AL229">
        <v>0</v>
      </c>
      <c r="AM229" s="121">
        <v>0</v>
      </c>
      <c r="AN229" s="125">
        <v>2</v>
      </c>
      <c r="AO229" s="125">
        <v>1</v>
      </c>
      <c r="AP229" s="121">
        <v>23723146</v>
      </c>
      <c r="AQ229" s="114">
        <v>0</v>
      </c>
      <c r="AR229" s="121">
        <v>1107.820528</v>
      </c>
      <c r="AS229" s="121">
        <v>217690.21256000001</v>
      </c>
      <c r="AT229" s="121">
        <v>28669.703377000002</v>
      </c>
      <c r="AU229" s="420" t="s">
        <v>2001</v>
      </c>
      <c r="AV229" s="420" t="s">
        <v>2001</v>
      </c>
      <c r="AW229" s="121">
        <v>0</v>
      </c>
      <c r="AX229" s="121">
        <v>7325131</v>
      </c>
      <c r="BI229">
        <v>0</v>
      </c>
      <c r="BJ229" s="121">
        <v>0</v>
      </c>
      <c r="BK229" s="134">
        <v>1661997964</v>
      </c>
      <c r="BL229" s="934">
        <v>4541</v>
      </c>
      <c r="BM229" s="934">
        <v>4762</v>
      </c>
      <c r="BN229" s="934">
        <v>4648</v>
      </c>
      <c r="BO229" s="114">
        <v>0</v>
      </c>
      <c r="BP229" s="114">
        <v>0</v>
      </c>
    </row>
    <row r="230" spans="1:68">
      <c r="A230" t="s">
        <v>2898</v>
      </c>
      <c r="B230" t="s">
        <v>2554</v>
      </c>
      <c r="C230" s="121">
        <v>4582</v>
      </c>
      <c r="D230" s="72">
        <v>3</v>
      </c>
      <c r="E230">
        <v>10191.36</v>
      </c>
      <c r="F230">
        <v>2581</v>
      </c>
      <c r="G230">
        <v>1481</v>
      </c>
      <c r="H230">
        <v>263</v>
      </c>
      <c r="I230" s="173">
        <v>1.0066999999999999</v>
      </c>
      <c r="J230" s="121">
        <v>6751072040</v>
      </c>
      <c r="K230" s="125">
        <v>45817.506999999998</v>
      </c>
      <c r="L230" s="173">
        <v>1.45</v>
      </c>
      <c r="M230">
        <v>1.0066999999999999</v>
      </c>
      <c r="N230">
        <v>0.96666667149999996</v>
      </c>
      <c r="O230">
        <v>4.0033328499999961</v>
      </c>
      <c r="P230">
        <v>34400</v>
      </c>
      <c r="Q230" s="125">
        <v>1.319</v>
      </c>
      <c r="R230" s="125">
        <v>0</v>
      </c>
      <c r="S230" s="125">
        <v>61</v>
      </c>
      <c r="T230" s="125">
        <v>1530</v>
      </c>
      <c r="U230" s="125">
        <v>333.73099999999999</v>
      </c>
      <c r="V230" s="125">
        <v>0</v>
      </c>
      <c r="W230" s="125">
        <v>26</v>
      </c>
      <c r="X230" s="125">
        <v>0</v>
      </c>
      <c r="Y230" s="125">
        <v>2.0739999999999998</v>
      </c>
      <c r="Z230" s="125">
        <v>0</v>
      </c>
      <c r="AA230" s="125">
        <v>52</v>
      </c>
      <c r="AB230" s="125">
        <v>1750</v>
      </c>
      <c r="AC230" s="125">
        <v>18656.400000000001</v>
      </c>
      <c r="AD230" s="125">
        <v>11.454000000000001</v>
      </c>
      <c r="AE230" s="125">
        <v>5995</v>
      </c>
      <c r="AF230" s="125">
        <v>1720</v>
      </c>
      <c r="AG230" s="125">
        <v>0</v>
      </c>
      <c r="AH230" s="125">
        <v>0</v>
      </c>
      <c r="AI230" s="121">
        <v>69814170</v>
      </c>
      <c r="AJ230" s="121">
        <v>21817823</v>
      </c>
      <c r="AK230" s="424">
        <v>12</v>
      </c>
      <c r="AL230">
        <v>0</v>
      </c>
      <c r="AM230" s="121">
        <v>1004152</v>
      </c>
      <c r="AN230" s="125">
        <v>5</v>
      </c>
      <c r="AO230" s="125">
        <v>0</v>
      </c>
      <c r="AP230" s="121">
        <v>91631993</v>
      </c>
      <c r="AQ230" s="114">
        <v>0</v>
      </c>
      <c r="AR230" s="121">
        <v>4499.9911879000001</v>
      </c>
      <c r="AS230" s="121">
        <v>884262.39942999999</v>
      </c>
      <c r="AT230" s="121">
        <v>116456.96148</v>
      </c>
      <c r="AU230" s="420" t="s">
        <v>2001</v>
      </c>
      <c r="AV230" s="420" t="s">
        <v>2001</v>
      </c>
      <c r="AW230" s="121">
        <v>0</v>
      </c>
      <c r="AX230" s="121">
        <v>41648803</v>
      </c>
      <c r="BI230">
        <v>0</v>
      </c>
      <c r="BJ230" s="121">
        <v>0</v>
      </c>
      <c r="BK230" s="134">
        <v>6593029177</v>
      </c>
      <c r="BL230" s="934">
        <v>4503</v>
      </c>
      <c r="BM230" s="934">
        <v>4523</v>
      </c>
      <c r="BN230" s="934">
        <v>4582</v>
      </c>
      <c r="BO230" s="114">
        <v>0</v>
      </c>
      <c r="BP230" s="114">
        <v>0</v>
      </c>
    </row>
    <row r="231" spans="1:68">
      <c r="A231" t="s">
        <v>2029</v>
      </c>
      <c r="B231" t="s">
        <v>3006</v>
      </c>
      <c r="C231" s="121">
        <v>5024</v>
      </c>
      <c r="D231" s="72">
        <v>1</v>
      </c>
      <c r="E231">
        <v>8658.5110000000004</v>
      </c>
      <c r="F231">
        <v>2805</v>
      </c>
      <c r="G231">
        <v>1643</v>
      </c>
      <c r="H231">
        <v>46</v>
      </c>
      <c r="I231" s="173">
        <v>1.04</v>
      </c>
      <c r="J231" s="121">
        <v>17605833109</v>
      </c>
      <c r="K231" s="125">
        <v>42405.434000000001</v>
      </c>
      <c r="L231" s="173">
        <v>1.5</v>
      </c>
      <c r="M231">
        <v>1.04</v>
      </c>
      <c r="N231">
        <v>1.000000005</v>
      </c>
      <c r="O231">
        <v>3.9999995000000066</v>
      </c>
      <c r="P231">
        <v>32167.56</v>
      </c>
      <c r="Q231" s="125">
        <v>1.4219999999999999</v>
      </c>
      <c r="R231" s="125">
        <v>0</v>
      </c>
      <c r="S231" s="125">
        <v>90.504999999999995</v>
      </c>
      <c r="T231" s="125">
        <v>901.58900000000006</v>
      </c>
      <c r="U231" s="125">
        <v>236.898</v>
      </c>
      <c r="V231" s="125">
        <v>3.956</v>
      </c>
      <c r="W231" s="125">
        <v>39.511000000000003</v>
      </c>
      <c r="X231" s="125">
        <v>0</v>
      </c>
      <c r="Y231" s="125">
        <v>0</v>
      </c>
      <c r="Z231" s="125">
        <v>0</v>
      </c>
      <c r="AA231" s="125">
        <v>782.16800000000001</v>
      </c>
      <c r="AB231" s="125">
        <v>685.12699999999995</v>
      </c>
      <c r="AC231" s="125">
        <v>17594.099999999999</v>
      </c>
      <c r="AD231" s="125">
        <v>14.523999999999999</v>
      </c>
      <c r="AE231" s="125">
        <v>6795.4920000000002</v>
      </c>
      <c r="AF231" s="125">
        <v>1608.3779999999999</v>
      </c>
      <c r="AG231" s="125">
        <v>0</v>
      </c>
      <c r="AH231" s="125">
        <v>0</v>
      </c>
      <c r="AI231" s="121">
        <v>185514074</v>
      </c>
      <c r="AJ231" s="121">
        <v>47361225</v>
      </c>
      <c r="AK231" s="424">
        <v>12</v>
      </c>
      <c r="AL231">
        <v>0</v>
      </c>
      <c r="AM231" s="121">
        <v>0</v>
      </c>
      <c r="AN231" s="125">
        <v>1</v>
      </c>
      <c r="AO231" s="125">
        <v>0</v>
      </c>
      <c r="AP231" s="121">
        <v>232875299</v>
      </c>
      <c r="AQ231" s="114">
        <v>0</v>
      </c>
      <c r="AR231" s="121">
        <v>0</v>
      </c>
      <c r="AS231" s="121">
        <v>0</v>
      </c>
      <c r="AT231" s="121">
        <v>0</v>
      </c>
      <c r="AU231" s="420" t="s">
        <v>798</v>
      </c>
      <c r="AV231" s="420" t="s">
        <v>2001</v>
      </c>
      <c r="AW231" s="121">
        <v>0</v>
      </c>
      <c r="AX231" s="121">
        <v>38014539</v>
      </c>
      <c r="AY231" s="134">
        <v>42999082</v>
      </c>
      <c r="AZ231" s="134">
        <v>84493156</v>
      </c>
      <c r="BA231" s="134">
        <v>36330</v>
      </c>
      <c r="BB231" s="134">
        <v>11351545374</v>
      </c>
      <c r="BC231" s="114">
        <v>0</v>
      </c>
      <c r="BD231" s="114">
        <v>0</v>
      </c>
      <c r="BE231" s="114">
        <v>0</v>
      </c>
      <c r="BF231" s="134">
        <v>34091</v>
      </c>
      <c r="BG231" s="114">
        <v>0</v>
      </c>
      <c r="BH231" s="114">
        <v>0</v>
      </c>
      <c r="BI231">
        <v>0</v>
      </c>
      <c r="BJ231" s="121">
        <v>0</v>
      </c>
      <c r="BK231" s="134">
        <v>17237801052</v>
      </c>
      <c r="BL231" s="934">
        <v>5012</v>
      </c>
      <c r="BM231" s="934">
        <v>5024</v>
      </c>
      <c r="BN231" s="934">
        <v>5024</v>
      </c>
      <c r="BO231" s="114">
        <v>0</v>
      </c>
      <c r="BP231" s="114">
        <v>0</v>
      </c>
    </row>
    <row r="232" spans="1:68">
      <c r="A232" t="s">
        <v>3087</v>
      </c>
      <c r="B232" t="s">
        <v>3007</v>
      </c>
      <c r="C232" s="121">
        <v>5972</v>
      </c>
      <c r="D232" s="72">
        <v>3</v>
      </c>
      <c r="E232">
        <v>70.438000000000002</v>
      </c>
      <c r="F232">
        <v>53</v>
      </c>
      <c r="G232">
        <v>20</v>
      </c>
      <c r="H232">
        <v>5</v>
      </c>
      <c r="I232" s="173">
        <v>1.004</v>
      </c>
      <c r="J232" s="121">
        <v>562134345</v>
      </c>
      <c r="K232" s="125">
        <v>794.58699999999999</v>
      </c>
      <c r="L232" s="173">
        <v>1.446</v>
      </c>
      <c r="M232">
        <v>1.004</v>
      </c>
      <c r="N232">
        <v>0.96400000482000003</v>
      </c>
      <c r="O232">
        <v>3.999999517999997</v>
      </c>
      <c r="P232">
        <v>570</v>
      </c>
      <c r="Q232" s="125">
        <v>0</v>
      </c>
      <c r="R232" s="125">
        <v>0</v>
      </c>
      <c r="S232" s="125">
        <v>0.45</v>
      </c>
      <c r="T232" s="125">
        <v>11.436</v>
      </c>
      <c r="U232" s="125">
        <v>0.124</v>
      </c>
      <c r="V232" s="125">
        <v>0</v>
      </c>
      <c r="W232" s="125">
        <v>0</v>
      </c>
      <c r="X232" s="125">
        <v>0</v>
      </c>
      <c r="Y232" s="125">
        <v>0</v>
      </c>
      <c r="Z232" s="125">
        <v>0</v>
      </c>
      <c r="AA232" s="125">
        <v>1</v>
      </c>
      <c r="AB232" s="125">
        <v>0</v>
      </c>
      <c r="AC232" s="125">
        <v>58</v>
      </c>
      <c r="AD232" s="125">
        <v>0</v>
      </c>
      <c r="AE232" s="125">
        <v>19</v>
      </c>
      <c r="AF232" s="125">
        <v>28.5</v>
      </c>
      <c r="AG232" s="125">
        <v>0</v>
      </c>
      <c r="AH232" s="125">
        <v>0</v>
      </c>
      <c r="AI232" s="121">
        <v>5896051</v>
      </c>
      <c r="AJ232" s="121">
        <v>1008497</v>
      </c>
      <c r="AK232" s="424">
        <v>8</v>
      </c>
      <c r="AL232">
        <v>0</v>
      </c>
      <c r="AM232" s="121">
        <v>47459</v>
      </c>
      <c r="AN232" s="125">
        <v>0</v>
      </c>
      <c r="AO232" s="125">
        <v>0</v>
      </c>
      <c r="AP232" s="121">
        <v>6904548</v>
      </c>
      <c r="AQ232" s="114">
        <v>0</v>
      </c>
      <c r="AR232" s="121">
        <v>0</v>
      </c>
      <c r="AS232" s="121">
        <v>0</v>
      </c>
      <c r="AT232" s="121">
        <v>0</v>
      </c>
      <c r="AU232" s="420" t="s">
        <v>798</v>
      </c>
      <c r="AV232" s="420" t="s">
        <v>2001</v>
      </c>
      <c r="AW232" s="121">
        <v>0</v>
      </c>
      <c r="AX232" s="121">
        <v>1071125</v>
      </c>
      <c r="AY232" s="134">
        <v>558369</v>
      </c>
      <c r="AZ232" s="134">
        <v>1108739</v>
      </c>
      <c r="BA232" s="114">
        <v>640</v>
      </c>
      <c r="BB232" s="134">
        <v>184959495</v>
      </c>
      <c r="BC232" s="114">
        <v>174</v>
      </c>
      <c r="BD232" s="114">
        <v>565</v>
      </c>
      <c r="BE232" s="114">
        <v>0</v>
      </c>
      <c r="BF232" s="114">
        <v>670</v>
      </c>
      <c r="BG232" s="114">
        <v>0</v>
      </c>
      <c r="BH232" s="114">
        <v>0</v>
      </c>
      <c r="BI232">
        <v>0</v>
      </c>
      <c r="BJ232" s="121">
        <v>2438</v>
      </c>
      <c r="BK232" s="134">
        <v>562134345</v>
      </c>
      <c r="BL232" s="934">
        <v>5492</v>
      </c>
      <c r="BM232" s="934">
        <v>5816</v>
      </c>
      <c r="BN232" s="934">
        <v>5972</v>
      </c>
      <c r="BO232" s="114">
        <v>0</v>
      </c>
      <c r="BP232" s="114">
        <v>0</v>
      </c>
    </row>
    <row r="233" spans="1:68">
      <c r="A233" t="s">
        <v>277</v>
      </c>
      <c r="B233" t="s">
        <v>3008</v>
      </c>
      <c r="C233" s="121">
        <v>5433</v>
      </c>
      <c r="D233" s="72">
        <v>2</v>
      </c>
      <c r="E233">
        <v>2821.3119999999999</v>
      </c>
      <c r="F233">
        <v>766</v>
      </c>
      <c r="G233">
        <v>291</v>
      </c>
      <c r="H233">
        <v>38</v>
      </c>
      <c r="I233" s="173">
        <v>1.04</v>
      </c>
      <c r="J233" s="121">
        <v>7130941583</v>
      </c>
      <c r="K233" s="125">
        <v>11079.02</v>
      </c>
      <c r="L233" s="173">
        <v>1.5</v>
      </c>
      <c r="M233">
        <v>1.04</v>
      </c>
      <c r="N233">
        <v>1.000000005</v>
      </c>
      <c r="O233">
        <v>3.9999995000000066</v>
      </c>
      <c r="P233">
        <v>9650</v>
      </c>
      <c r="Q233" s="125">
        <v>1.077</v>
      </c>
      <c r="R233" s="125">
        <v>0</v>
      </c>
      <c r="S233" s="125">
        <v>20.672999999999998</v>
      </c>
      <c r="T233" s="125">
        <v>211.429</v>
      </c>
      <c r="U233" s="125">
        <v>62.11</v>
      </c>
      <c r="V233" s="125">
        <v>0</v>
      </c>
      <c r="W233" s="125">
        <v>0</v>
      </c>
      <c r="X233" s="125">
        <v>0</v>
      </c>
      <c r="Y233" s="125">
        <v>2.3940000000000001</v>
      </c>
      <c r="Z233" s="125">
        <v>0</v>
      </c>
      <c r="AA233" s="125">
        <v>53.103000000000002</v>
      </c>
      <c r="AB233" s="125">
        <v>219.50800000000001</v>
      </c>
      <c r="AC233" s="125">
        <v>592.9</v>
      </c>
      <c r="AD233" s="125">
        <v>0</v>
      </c>
      <c r="AE233" s="125">
        <v>632.94399999999996</v>
      </c>
      <c r="AF233" s="125">
        <v>482.5</v>
      </c>
      <c r="AG233" s="125">
        <v>0</v>
      </c>
      <c r="AH233" s="125">
        <v>0</v>
      </c>
      <c r="AI233" s="121">
        <v>81090651</v>
      </c>
      <c r="AJ233" s="121">
        <v>14767314</v>
      </c>
      <c r="AK233" s="424">
        <v>12</v>
      </c>
      <c r="AL233">
        <v>0</v>
      </c>
      <c r="AM233" s="121">
        <v>0</v>
      </c>
      <c r="AN233" s="125">
        <v>0</v>
      </c>
      <c r="AO233" s="125">
        <v>0</v>
      </c>
      <c r="AP233" s="121">
        <v>95857965</v>
      </c>
      <c r="AQ233" s="114">
        <v>0</v>
      </c>
      <c r="AR233" s="121">
        <v>0</v>
      </c>
      <c r="AS233" s="121">
        <v>0</v>
      </c>
      <c r="AT233" s="121">
        <v>0</v>
      </c>
      <c r="AU233" s="420" t="s">
        <v>798</v>
      </c>
      <c r="AV233" s="420" t="s">
        <v>2001</v>
      </c>
      <c r="AW233" s="121">
        <v>0</v>
      </c>
      <c r="AX233" s="121">
        <v>15021677</v>
      </c>
      <c r="AY233" s="134">
        <v>6202354</v>
      </c>
      <c r="AZ233" s="134">
        <v>10815351</v>
      </c>
      <c r="BA233" s="134">
        <v>4598</v>
      </c>
      <c r="BB233" s="134">
        <v>1888361123</v>
      </c>
      <c r="BC233" s="114">
        <v>0</v>
      </c>
      <c r="BD233" s="114">
        <v>0</v>
      </c>
      <c r="BE233" s="114">
        <v>0</v>
      </c>
      <c r="BF233" s="134">
        <v>9930</v>
      </c>
      <c r="BG233" s="114">
        <v>0</v>
      </c>
      <c r="BH233" s="114">
        <v>0</v>
      </c>
      <c r="BI233">
        <v>0</v>
      </c>
      <c r="BJ233" s="121">
        <v>8039</v>
      </c>
      <c r="BK233" s="134">
        <v>7130941583</v>
      </c>
      <c r="BL233" s="934">
        <v>5199</v>
      </c>
      <c r="BM233" s="934">
        <v>5433</v>
      </c>
      <c r="BN233" s="934">
        <v>5179</v>
      </c>
      <c r="BO233" s="114">
        <v>0</v>
      </c>
      <c r="BP233" s="114">
        <v>0</v>
      </c>
    </row>
    <row r="234" spans="1:68">
      <c r="A234" t="s">
        <v>278</v>
      </c>
      <c r="B234" t="s">
        <v>3060</v>
      </c>
      <c r="C234" s="121">
        <v>7219</v>
      </c>
      <c r="D234" s="72">
        <v>3</v>
      </c>
      <c r="E234">
        <v>49.642000000000003</v>
      </c>
      <c r="F234">
        <v>18</v>
      </c>
      <c r="G234">
        <v>11</v>
      </c>
      <c r="H234">
        <v>0</v>
      </c>
      <c r="I234" s="173">
        <v>1.04</v>
      </c>
      <c r="J234" s="121">
        <v>237559415</v>
      </c>
      <c r="K234" s="125">
        <v>299.35599999999999</v>
      </c>
      <c r="L234" s="173">
        <v>1.44</v>
      </c>
      <c r="M234">
        <v>1.04</v>
      </c>
      <c r="N234">
        <v>0.96000000480000003</v>
      </c>
      <c r="O234">
        <v>7.9999995200000011</v>
      </c>
      <c r="P234">
        <v>170.71199999999999</v>
      </c>
      <c r="Q234" s="125">
        <v>0</v>
      </c>
      <c r="R234" s="125">
        <v>0</v>
      </c>
      <c r="S234" s="125">
        <v>0.26700000000000002</v>
      </c>
      <c r="T234" s="125">
        <v>3.2160000000000002</v>
      </c>
      <c r="U234" s="125">
        <v>0.44500000000000001</v>
      </c>
      <c r="V234" s="125">
        <v>0</v>
      </c>
      <c r="W234" s="125">
        <v>0</v>
      </c>
      <c r="X234" s="125">
        <v>0</v>
      </c>
      <c r="Y234" s="125">
        <v>0</v>
      </c>
      <c r="Z234" s="125">
        <v>0</v>
      </c>
      <c r="AA234" s="125">
        <v>6.4029999999999996</v>
      </c>
      <c r="AB234" s="125">
        <v>9.5850000000000009</v>
      </c>
      <c r="AC234" s="125">
        <v>98</v>
      </c>
      <c r="AD234" s="125">
        <v>0</v>
      </c>
      <c r="AE234" s="125">
        <v>16.312999999999999</v>
      </c>
      <c r="AF234" s="125">
        <v>8.5356000000000005</v>
      </c>
      <c r="AG234" s="125">
        <v>0</v>
      </c>
      <c r="AH234" s="125">
        <v>0</v>
      </c>
      <c r="AI234" s="121">
        <v>2286184</v>
      </c>
      <c r="AJ234" s="121">
        <v>620</v>
      </c>
      <c r="AK234" s="424">
        <v>12</v>
      </c>
      <c r="AL234">
        <v>0</v>
      </c>
      <c r="AM234" s="121">
        <v>9343</v>
      </c>
      <c r="AN234" s="125">
        <v>1</v>
      </c>
      <c r="AO234" s="125">
        <v>0</v>
      </c>
      <c r="AP234" s="121">
        <v>2286804</v>
      </c>
      <c r="AQ234" s="114">
        <v>0</v>
      </c>
      <c r="AR234" s="121">
        <v>0</v>
      </c>
      <c r="AS234" s="121">
        <v>0</v>
      </c>
      <c r="AT234" s="121">
        <v>0</v>
      </c>
      <c r="AU234" s="420" t="s">
        <v>798</v>
      </c>
      <c r="AV234" s="420" t="s">
        <v>2001</v>
      </c>
      <c r="AW234" s="121">
        <v>0</v>
      </c>
      <c r="AX234" s="121">
        <v>0</v>
      </c>
      <c r="AY234" s="134">
        <v>517588</v>
      </c>
      <c r="AZ234" s="134">
        <v>683603</v>
      </c>
      <c r="BA234" s="114">
        <v>230</v>
      </c>
      <c r="BB234" s="134">
        <v>236018956</v>
      </c>
      <c r="BC234" s="114">
        <v>0</v>
      </c>
      <c r="BD234" s="114">
        <v>0</v>
      </c>
      <c r="BE234" s="114">
        <v>0</v>
      </c>
      <c r="BF234" s="114">
        <v>174</v>
      </c>
      <c r="BG234" s="114">
        <v>0</v>
      </c>
      <c r="BH234" s="114">
        <v>0</v>
      </c>
      <c r="BI234">
        <v>0</v>
      </c>
      <c r="BJ234" s="121">
        <v>0</v>
      </c>
      <c r="BK234" s="134">
        <v>211472257</v>
      </c>
      <c r="BL234" s="934">
        <v>6951</v>
      </c>
      <c r="BM234" s="934">
        <v>7033</v>
      </c>
      <c r="BN234" s="934">
        <v>7219</v>
      </c>
      <c r="BO234" s="114">
        <v>0</v>
      </c>
      <c r="BP234" s="114">
        <v>0</v>
      </c>
    </row>
    <row r="235" spans="1:68">
      <c r="A235" t="s">
        <v>279</v>
      </c>
      <c r="B235" t="s">
        <v>3009</v>
      </c>
      <c r="C235" s="121">
        <v>6954</v>
      </c>
      <c r="D235" s="72">
        <v>2</v>
      </c>
      <c r="E235">
        <v>46.393999999999998</v>
      </c>
      <c r="F235">
        <v>19</v>
      </c>
      <c r="G235">
        <v>15</v>
      </c>
      <c r="H235">
        <v>1</v>
      </c>
      <c r="I235" s="173">
        <v>1.04</v>
      </c>
      <c r="J235" s="121">
        <v>338929823</v>
      </c>
      <c r="K235" s="125">
        <v>335.56099999999998</v>
      </c>
      <c r="L235" s="173">
        <v>1.5</v>
      </c>
      <c r="M235">
        <v>1.04</v>
      </c>
      <c r="N235">
        <v>1.000000005</v>
      </c>
      <c r="O235">
        <v>3.9999995000000066</v>
      </c>
      <c r="P235">
        <v>163</v>
      </c>
      <c r="Q235" s="125">
        <v>0</v>
      </c>
      <c r="R235" s="125">
        <v>0</v>
      </c>
      <c r="S235" s="125">
        <v>0.47499999999999998</v>
      </c>
      <c r="T235" s="125">
        <v>2.5019999999999998</v>
      </c>
      <c r="U235" s="125">
        <v>0.40600000000000003</v>
      </c>
      <c r="V235" s="125">
        <v>1.2929999999999999</v>
      </c>
      <c r="W235" s="125">
        <v>0</v>
      </c>
      <c r="X235" s="125">
        <v>0</v>
      </c>
      <c r="Y235" s="125">
        <v>0</v>
      </c>
      <c r="Z235" s="125">
        <v>0</v>
      </c>
      <c r="AA235" s="125">
        <v>2.9</v>
      </c>
      <c r="AB235" s="125">
        <v>5.8</v>
      </c>
      <c r="AC235" s="125">
        <v>128</v>
      </c>
      <c r="AD235" s="125">
        <v>0</v>
      </c>
      <c r="AE235" s="125">
        <v>19.341000000000001</v>
      </c>
      <c r="AF235" s="125">
        <v>8.15</v>
      </c>
      <c r="AG235" s="125">
        <v>0</v>
      </c>
      <c r="AH235" s="125">
        <v>0</v>
      </c>
      <c r="AI235" s="121">
        <v>3664103</v>
      </c>
      <c r="AJ235" s="121">
        <v>0</v>
      </c>
      <c r="AK235" s="424">
        <v>12</v>
      </c>
      <c r="AL235">
        <v>0</v>
      </c>
      <c r="AM235" s="121">
        <v>37480</v>
      </c>
      <c r="AN235" s="125">
        <v>0</v>
      </c>
      <c r="AO235" s="125">
        <v>1</v>
      </c>
      <c r="AP235" s="121">
        <v>3664103</v>
      </c>
      <c r="AQ235" s="114">
        <v>0</v>
      </c>
      <c r="AR235" s="121">
        <v>0</v>
      </c>
      <c r="AS235" s="121">
        <v>0</v>
      </c>
      <c r="AT235" s="121">
        <v>0</v>
      </c>
      <c r="AU235" s="420" t="s">
        <v>798</v>
      </c>
      <c r="AV235" s="420" t="s">
        <v>2001</v>
      </c>
      <c r="AW235" s="121">
        <v>0</v>
      </c>
      <c r="AX235" s="121">
        <v>0</v>
      </c>
      <c r="AY235" s="134">
        <v>705140</v>
      </c>
      <c r="AZ235" s="134">
        <v>1033305</v>
      </c>
      <c r="BA235" s="114">
        <v>382</v>
      </c>
      <c r="BB235" s="134">
        <v>202734718</v>
      </c>
      <c r="BC235" s="114">
        <v>0</v>
      </c>
      <c r="BD235" s="114">
        <v>0</v>
      </c>
      <c r="BE235" s="114">
        <v>0</v>
      </c>
      <c r="BF235" s="114">
        <v>174</v>
      </c>
      <c r="BG235" s="114">
        <v>0</v>
      </c>
      <c r="BH235" s="114">
        <v>0</v>
      </c>
      <c r="BI235">
        <v>0</v>
      </c>
      <c r="BJ235" s="121">
        <v>139</v>
      </c>
      <c r="BK235" s="134">
        <v>338929823</v>
      </c>
      <c r="BL235" s="934">
        <v>6013</v>
      </c>
      <c r="BM235" s="934">
        <v>6954</v>
      </c>
      <c r="BN235" s="934">
        <v>6590</v>
      </c>
      <c r="BO235" s="114">
        <v>0</v>
      </c>
      <c r="BP235" s="114">
        <v>0</v>
      </c>
    </row>
    <row r="236" spans="1:68">
      <c r="A236" t="s">
        <v>280</v>
      </c>
      <c r="B236" t="s">
        <v>3010</v>
      </c>
      <c r="C236" s="121">
        <v>4665</v>
      </c>
      <c r="D236" s="72">
        <v>2</v>
      </c>
      <c r="E236">
        <v>451.51799999999997</v>
      </c>
      <c r="F236">
        <v>165</v>
      </c>
      <c r="G236">
        <v>136</v>
      </c>
      <c r="H236">
        <v>22</v>
      </c>
      <c r="I236" s="173">
        <v>1.04</v>
      </c>
      <c r="J236" s="121">
        <v>366153424</v>
      </c>
      <c r="K236" s="125">
        <v>2610.9349999999999</v>
      </c>
      <c r="L236" s="173">
        <v>1.5</v>
      </c>
      <c r="M236">
        <v>1.04</v>
      </c>
      <c r="N236">
        <v>1.000000005</v>
      </c>
      <c r="O236">
        <v>3.9999995000000066</v>
      </c>
      <c r="P236">
        <v>1735.0219999999999</v>
      </c>
      <c r="Q236" s="125">
        <v>0.153</v>
      </c>
      <c r="R236" s="125">
        <v>0</v>
      </c>
      <c r="S236" s="125">
        <v>3.5209999999999999</v>
      </c>
      <c r="T236" s="125">
        <v>35.79</v>
      </c>
      <c r="U236" s="125">
        <v>16.513999999999999</v>
      </c>
      <c r="V236" s="125">
        <v>0</v>
      </c>
      <c r="W236" s="125">
        <v>6.4610000000000003</v>
      </c>
      <c r="X236" s="125">
        <v>0</v>
      </c>
      <c r="Y236" s="125">
        <v>0</v>
      </c>
      <c r="Z236" s="125">
        <v>2.7210000000000001</v>
      </c>
      <c r="AA236" s="125">
        <v>50.521000000000001</v>
      </c>
      <c r="AB236" s="125">
        <v>70.947999999999993</v>
      </c>
      <c r="AC236" s="125">
        <v>1594.1</v>
      </c>
      <c r="AD236" s="125">
        <v>3.4430000000000001</v>
      </c>
      <c r="AE236" s="125">
        <v>113.468</v>
      </c>
      <c r="AF236" s="125">
        <v>86.751000000000005</v>
      </c>
      <c r="AG236" s="125">
        <v>0</v>
      </c>
      <c r="AH236" s="125">
        <v>0</v>
      </c>
      <c r="AI236" s="121">
        <v>3886362</v>
      </c>
      <c r="AJ236" s="121">
        <v>0</v>
      </c>
      <c r="AK236" s="424">
        <v>12</v>
      </c>
      <c r="AL236">
        <v>0</v>
      </c>
      <c r="AM236" s="121">
        <v>60677</v>
      </c>
      <c r="AN236" s="125">
        <v>0</v>
      </c>
      <c r="AO236" s="125">
        <v>0</v>
      </c>
      <c r="AP236" s="121">
        <v>3886362</v>
      </c>
      <c r="AQ236" s="114">
        <v>0</v>
      </c>
      <c r="AR236" s="121">
        <v>244.06304218</v>
      </c>
      <c r="AS236" s="121">
        <v>47959.154202999998</v>
      </c>
      <c r="AT236" s="121">
        <v>6316.1991024999998</v>
      </c>
      <c r="AU236" s="420" t="s">
        <v>2001</v>
      </c>
      <c r="AV236" s="420" t="s">
        <v>2001</v>
      </c>
      <c r="AW236" s="121">
        <v>0</v>
      </c>
      <c r="AX236" s="121">
        <v>0</v>
      </c>
      <c r="BI236">
        <v>0</v>
      </c>
      <c r="BJ236" s="121">
        <v>0</v>
      </c>
      <c r="BK236" s="134">
        <v>359488835</v>
      </c>
      <c r="BL236" s="934">
        <v>4567</v>
      </c>
      <c r="BM236" s="934">
        <v>4665</v>
      </c>
      <c r="BN236" s="934">
        <v>4631</v>
      </c>
      <c r="BO236" s="114">
        <v>0</v>
      </c>
      <c r="BP236" s="114">
        <v>0</v>
      </c>
    </row>
    <row r="237" spans="1:68">
      <c r="A237" t="s">
        <v>408</v>
      </c>
      <c r="B237" t="s">
        <v>3011</v>
      </c>
      <c r="C237" s="121">
        <v>6221</v>
      </c>
      <c r="D237" s="72">
        <v>2</v>
      </c>
      <c r="E237">
        <v>56.96</v>
      </c>
      <c r="F237">
        <v>23</v>
      </c>
      <c r="G237">
        <v>15</v>
      </c>
      <c r="H237">
        <v>2</v>
      </c>
      <c r="I237" s="173">
        <v>1.04</v>
      </c>
      <c r="J237" s="121">
        <v>175179448</v>
      </c>
      <c r="K237" s="125">
        <v>387.39100000000002</v>
      </c>
      <c r="L237" s="173">
        <v>1.5</v>
      </c>
      <c r="M237">
        <v>1.04</v>
      </c>
      <c r="N237">
        <v>1.000000005</v>
      </c>
      <c r="O237">
        <v>3.9999995000000066</v>
      </c>
      <c r="P237">
        <v>191.46600000000001</v>
      </c>
      <c r="Q237" s="125">
        <v>0</v>
      </c>
      <c r="R237" s="125">
        <v>0</v>
      </c>
      <c r="S237" s="125">
        <v>0.26900000000000002</v>
      </c>
      <c r="T237" s="125">
        <v>9.9939999999999998</v>
      </c>
      <c r="U237" s="125">
        <v>0</v>
      </c>
      <c r="V237" s="125">
        <v>0</v>
      </c>
      <c r="W237" s="125">
        <v>0</v>
      </c>
      <c r="X237" s="125">
        <v>0</v>
      </c>
      <c r="Y237" s="125">
        <v>0</v>
      </c>
      <c r="Z237" s="125">
        <v>5.9980000000000002</v>
      </c>
      <c r="AA237" s="125">
        <v>4.9989999999999997</v>
      </c>
      <c r="AB237" s="125">
        <v>6.8220000000000001</v>
      </c>
      <c r="AC237" s="125">
        <v>171</v>
      </c>
      <c r="AD237" s="125">
        <v>7.8E-2</v>
      </c>
      <c r="AE237" s="125">
        <v>34.654000000000003</v>
      </c>
      <c r="AF237" s="125">
        <v>9.5730000000000004</v>
      </c>
      <c r="AG237" s="125">
        <v>0</v>
      </c>
      <c r="AH237" s="125">
        <v>0</v>
      </c>
      <c r="AI237" s="121">
        <v>1839825</v>
      </c>
      <c r="AJ237" s="121">
        <v>0</v>
      </c>
      <c r="AK237" s="424">
        <v>12</v>
      </c>
      <c r="AL237">
        <v>0</v>
      </c>
      <c r="AM237" s="121">
        <v>42644</v>
      </c>
      <c r="AN237" s="125">
        <v>0</v>
      </c>
      <c r="AO237" s="125">
        <v>0</v>
      </c>
      <c r="AP237" s="121">
        <v>1839825</v>
      </c>
      <c r="AQ237" s="114">
        <v>0</v>
      </c>
      <c r="AR237" s="121">
        <v>0</v>
      </c>
      <c r="AS237" s="121">
        <v>0</v>
      </c>
      <c r="AT237" s="121">
        <v>0</v>
      </c>
      <c r="AU237" s="420" t="s">
        <v>798</v>
      </c>
      <c r="AV237" s="72" t="s">
        <v>798</v>
      </c>
      <c r="AW237" s="121">
        <v>0</v>
      </c>
      <c r="AX237" s="121">
        <v>0</v>
      </c>
      <c r="AY237" s="134">
        <v>183938</v>
      </c>
      <c r="AZ237" s="134">
        <v>800053</v>
      </c>
      <c r="BA237" s="114">
        <v>286</v>
      </c>
      <c r="BB237" s="134">
        <v>84669572</v>
      </c>
      <c r="BC237" s="114">
        <v>0</v>
      </c>
      <c r="BD237" s="114">
        <v>0</v>
      </c>
      <c r="BE237" s="114">
        <v>0</v>
      </c>
      <c r="BF237" s="114">
        <v>215</v>
      </c>
      <c r="BG237" s="114">
        <v>0</v>
      </c>
      <c r="BH237" s="114">
        <v>0</v>
      </c>
      <c r="BI237">
        <v>0</v>
      </c>
      <c r="BJ237" s="121">
        <v>0</v>
      </c>
      <c r="BK237" s="134">
        <v>168482128</v>
      </c>
      <c r="BL237" s="934">
        <v>5640</v>
      </c>
      <c r="BM237" s="934">
        <v>6221</v>
      </c>
      <c r="BN237" s="934">
        <v>5884</v>
      </c>
      <c r="BO237" s="114">
        <v>0</v>
      </c>
      <c r="BP237" s="114">
        <v>0</v>
      </c>
    </row>
    <row r="238" spans="1:68">
      <c r="A238" t="s">
        <v>2130</v>
      </c>
      <c r="B238" t="s">
        <v>2723</v>
      </c>
      <c r="C238" s="121">
        <v>4531</v>
      </c>
      <c r="D238" s="72">
        <v>2</v>
      </c>
      <c r="E238">
        <v>1137.1279999999999</v>
      </c>
      <c r="F238">
        <v>338</v>
      </c>
      <c r="G238">
        <v>231</v>
      </c>
      <c r="H238">
        <v>21</v>
      </c>
      <c r="I238" s="173">
        <v>1.04</v>
      </c>
      <c r="J238" s="121">
        <v>730880701</v>
      </c>
      <c r="K238" s="125">
        <v>5360.6459999999997</v>
      </c>
      <c r="L238" s="173">
        <v>1.5</v>
      </c>
      <c r="M238">
        <v>1.04</v>
      </c>
      <c r="N238">
        <v>1.000000005</v>
      </c>
      <c r="O238">
        <v>3.9999995000000066</v>
      </c>
      <c r="P238">
        <v>3770.944</v>
      </c>
      <c r="Q238" s="125">
        <v>0.121</v>
      </c>
      <c r="R238" s="125">
        <v>2.3719999999999999</v>
      </c>
      <c r="S238" s="125">
        <v>7.3360000000000003</v>
      </c>
      <c r="T238" s="125">
        <v>125.70699999999999</v>
      </c>
      <c r="U238" s="125">
        <v>23.675999999999998</v>
      </c>
      <c r="V238" s="125">
        <v>0</v>
      </c>
      <c r="W238" s="125">
        <v>10.441000000000001</v>
      </c>
      <c r="X238" s="125">
        <v>0</v>
      </c>
      <c r="Y238" s="125">
        <v>0</v>
      </c>
      <c r="Z238" s="125">
        <v>0</v>
      </c>
      <c r="AA238" s="125">
        <v>56.917000000000002</v>
      </c>
      <c r="AB238" s="125">
        <v>226.529</v>
      </c>
      <c r="AC238" s="125">
        <v>3298</v>
      </c>
      <c r="AD238" s="125">
        <v>1.617</v>
      </c>
      <c r="AE238" s="125">
        <v>460</v>
      </c>
      <c r="AF238" s="125">
        <v>188.547</v>
      </c>
      <c r="AG238" s="125">
        <v>0</v>
      </c>
      <c r="AH238" s="125">
        <v>0</v>
      </c>
      <c r="AI238" s="121">
        <v>7981217</v>
      </c>
      <c r="AJ238" s="121">
        <v>0</v>
      </c>
      <c r="AK238" s="424">
        <v>12</v>
      </c>
      <c r="AL238">
        <v>0</v>
      </c>
      <c r="AM238" s="121">
        <v>207230</v>
      </c>
      <c r="AN238" s="125">
        <v>0</v>
      </c>
      <c r="AO238" s="125">
        <v>0</v>
      </c>
      <c r="AP238" s="121">
        <v>7981217</v>
      </c>
      <c r="AQ238" s="114">
        <v>0</v>
      </c>
      <c r="AR238" s="121">
        <v>487.17547289999999</v>
      </c>
      <c r="AS238" s="121">
        <v>95731.510269000006</v>
      </c>
      <c r="AT238" s="121">
        <v>12607.796974000001</v>
      </c>
      <c r="AU238" s="420" t="s">
        <v>2001</v>
      </c>
      <c r="AV238" s="420" t="s">
        <v>2001</v>
      </c>
      <c r="AW238" s="121">
        <v>0</v>
      </c>
      <c r="AX238" s="121">
        <v>0</v>
      </c>
      <c r="BI238">
        <v>0</v>
      </c>
      <c r="BJ238" s="121">
        <v>0</v>
      </c>
      <c r="BK238" s="134">
        <v>730880701</v>
      </c>
      <c r="BL238" s="934">
        <v>4432</v>
      </c>
      <c r="BM238" s="934">
        <v>4531</v>
      </c>
      <c r="BN238" s="934">
        <v>4434</v>
      </c>
      <c r="BO238" s="114">
        <v>0</v>
      </c>
      <c r="BP238" s="114">
        <v>0</v>
      </c>
    </row>
    <row r="239" spans="1:68">
      <c r="A239" t="s">
        <v>1220</v>
      </c>
      <c r="B239" t="s">
        <v>3012</v>
      </c>
      <c r="C239" s="121">
        <v>4839</v>
      </c>
      <c r="D239" s="72">
        <v>2</v>
      </c>
      <c r="E239">
        <v>0</v>
      </c>
      <c r="F239">
        <v>9</v>
      </c>
      <c r="G239">
        <v>9</v>
      </c>
      <c r="H239">
        <v>3</v>
      </c>
      <c r="I239" s="173">
        <v>0.72499999999999998</v>
      </c>
      <c r="J239" s="121">
        <v>31088639</v>
      </c>
      <c r="K239" s="125">
        <v>326.988</v>
      </c>
      <c r="L239" s="173">
        <v>0.97570000000000001</v>
      </c>
      <c r="M239">
        <v>0.72499999999999998</v>
      </c>
      <c r="N239">
        <v>0.65046666991900004</v>
      </c>
      <c r="O239">
        <v>7.4533330080999942</v>
      </c>
      <c r="P239">
        <v>161.48599999999999</v>
      </c>
      <c r="Q239" s="125">
        <v>0</v>
      </c>
      <c r="R239" s="125">
        <v>0</v>
      </c>
      <c r="S239" s="125">
        <v>0.41</v>
      </c>
      <c r="T239" s="125">
        <v>5.5170000000000003</v>
      </c>
      <c r="U239" s="125">
        <v>0</v>
      </c>
      <c r="V239" s="125">
        <v>0</v>
      </c>
      <c r="W239" s="125">
        <v>0</v>
      </c>
      <c r="X239" s="125">
        <v>0</v>
      </c>
      <c r="Y239" s="125">
        <v>0</v>
      </c>
      <c r="Z239" s="125">
        <v>0</v>
      </c>
      <c r="AA239" s="125">
        <v>0</v>
      </c>
      <c r="AB239" s="125">
        <v>0</v>
      </c>
      <c r="AC239" s="125">
        <v>137.6</v>
      </c>
      <c r="AD239" s="125">
        <v>0</v>
      </c>
      <c r="AE239" s="125">
        <v>9.9979999999999993</v>
      </c>
      <c r="AF239" s="125">
        <v>8.0739999999999998</v>
      </c>
      <c r="AG239" s="125">
        <v>0</v>
      </c>
      <c r="AH239" s="125">
        <v>0</v>
      </c>
      <c r="AI239" s="121">
        <v>231929</v>
      </c>
      <c r="AJ239" s="121">
        <v>0</v>
      </c>
      <c r="AK239" s="424">
        <v>8</v>
      </c>
      <c r="AL239">
        <v>31</v>
      </c>
      <c r="AM239" s="121">
        <v>157874</v>
      </c>
      <c r="AN239" s="125">
        <v>0</v>
      </c>
      <c r="AO239" s="125">
        <v>0</v>
      </c>
      <c r="AP239" s="121">
        <v>231929</v>
      </c>
      <c r="AQ239" s="114">
        <v>0</v>
      </c>
      <c r="AR239" s="121">
        <v>20.722427593999999</v>
      </c>
      <c r="AS239" s="121">
        <v>4072.0220955</v>
      </c>
      <c r="AT239" s="121">
        <v>536.28348399000004</v>
      </c>
      <c r="AU239" s="420" t="s">
        <v>2001</v>
      </c>
      <c r="AV239" s="420" t="s">
        <v>2001</v>
      </c>
      <c r="AW239" s="121">
        <v>0</v>
      </c>
      <c r="AX239" s="121">
        <v>0</v>
      </c>
      <c r="BI239">
        <v>0</v>
      </c>
      <c r="BJ239" s="121">
        <v>0</v>
      </c>
      <c r="BK239" s="134">
        <v>31088639</v>
      </c>
      <c r="BL239" s="934">
        <v>4081</v>
      </c>
      <c r="BM239" s="934">
        <v>4839</v>
      </c>
      <c r="BN239" s="934">
        <v>4365</v>
      </c>
      <c r="BO239" s="114">
        <v>0</v>
      </c>
      <c r="BP239" s="114">
        <v>0</v>
      </c>
    </row>
    <row r="240" spans="1:68">
      <c r="A240" t="s">
        <v>1221</v>
      </c>
      <c r="B240" t="s">
        <v>3013</v>
      </c>
      <c r="C240" s="121">
        <v>4559</v>
      </c>
      <c r="D240" s="72">
        <v>3</v>
      </c>
      <c r="E240">
        <v>265.88299999999998</v>
      </c>
      <c r="F240">
        <v>75</v>
      </c>
      <c r="G240">
        <v>49</v>
      </c>
      <c r="H240">
        <v>7</v>
      </c>
      <c r="I240" s="173">
        <v>1.17</v>
      </c>
      <c r="J240" s="121">
        <v>142319614</v>
      </c>
      <c r="K240" s="125">
        <v>1282.425</v>
      </c>
      <c r="L240" s="173">
        <v>1.49</v>
      </c>
      <c r="M240">
        <v>1.17</v>
      </c>
      <c r="N240">
        <v>0.99333333830000003</v>
      </c>
      <c r="O240">
        <v>17.666666169999989</v>
      </c>
      <c r="P240">
        <v>807.20600000000002</v>
      </c>
      <c r="Q240" s="125">
        <v>0</v>
      </c>
      <c r="R240" s="125">
        <v>0</v>
      </c>
      <c r="S240" s="125">
        <v>1.478</v>
      </c>
      <c r="T240" s="125">
        <v>31.530999999999999</v>
      </c>
      <c r="U240" s="125">
        <v>10.736000000000001</v>
      </c>
      <c r="V240" s="125">
        <v>0.629</v>
      </c>
      <c r="W240" s="125">
        <v>1.5489999999999999</v>
      </c>
      <c r="X240" s="125">
        <v>0</v>
      </c>
      <c r="Y240" s="125">
        <v>0</v>
      </c>
      <c r="Z240" s="125">
        <v>0</v>
      </c>
      <c r="AA240" s="125">
        <v>11.074999999999999</v>
      </c>
      <c r="AB240" s="125">
        <v>65.634</v>
      </c>
      <c r="AC240" s="125">
        <v>468.1</v>
      </c>
      <c r="AD240" s="125">
        <v>0</v>
      </c>
      <c r="AE240" s="125">
        <v>5.6230000000000002</v>
      </c>
      <c r="AF240" s="125">
        <v>40.36</v>
      </c>
      <c r="AG240" s="125">
        <v>0</v>
      </c>
      <c r="AH240" s="125">
        <v>0</v>
      </c>
      <c r="AI240" s="121">
        <v>1748396</v>
      </c>
      <c r="AJ240" s="121">
        <v>160864</v>
      </c>
      <c r="AK240" s="424">
        <v>12</v>
      </c>
      <c r="AL240">
        <v>0</v>
      </c>
      <c r="AM240" s="121">
        <v>123226</v>
      </c>
      <c r="AN240" s="125">
        <v>0</v>
      </c>
      <c r="AO240" s="125">
        <v>0</v>
      </c>
      <c r="AP240" s="121">
        <v>1909260</v>
      </c>
      <c r="AQ240" s="114">
        <v>0</v>
      </c>
      <c r="AR240" s="121">
        <v>94.864490412999999</v>
      </c>
      <c r="AS240" s="121">
        <v>18641.170263</v>
      </c>
      <c r="AT240" s="121">
        <v>2455.0337644000001</v>
      </c>
      <c r="AU240" s="420" t="s">
        <v>2001</v>
      </c>
      <c r="AV240" s="420" t="s">
        <v>2001</v>
      </c>
      <c r="AW240" s="121">
        <v>0</v>
      </c>
      <c r="AX240" s="121">
        <v>513000</v>
      </c>
      <c r="BI240">
        <v>0</v>
      </c>
      <c r="BJ240" s="121">
        <v>0</v>
      </c>
      <c r="BK240" s="134">
        <v>142319614</v>
      </c>
      <c r="BL240" s="934">
        <v>4529</v>
      </c>
      <c r="BM240" s="934">
        <v>4550</v>
      </c>
      <c r="BN240" s="934">
        <v>4559</v>
      </c>
      <c r="BO240" s="114">
        <v>0</v>
      </c>
      <c r="BP240" s="114">
        <v>0</v>
      </c>
    </row>
    <row r="241" spans="1:68">
      <c r="A241" t="s">
        <v>711</v>
      </c>
      <c r="B241" t="s">
        <v>128</v>
      </c>
      <c r="C241" s="121">
        <v>4739</v>
      </c>
      <c r="D241" s="72">
        <v>2</v>
      </c>
      <c r="E241">
        <v>46.593000000000004</v>
      </c>
      <c r="F241">
        <v>19</v>
      </c>
      <c r="G241">
        <v>18</v>
      </c>
      <c r="H241">
        <v>2</v>
      </c>
      <c r="I241" s="173">
        <v>1.04</v>
      </c>
      <c r="J241" s="121">
        <v>45510997</v>
      </c>
      <c r="K241" s="125">
        <v>333.12299999999999</v>
      </c>
      <c r="L241" s="173">
        <v>1.5</v>
      </c>
      <c r="M241">
        <v>1.04</v>
      </c>
      <c r="N241">
        <v>1.000000005</v>
      </c>
      <c r="O241">
        <v>3.9999995000000066</v>
      </c>
      <c r="P241">
        <v>170</v>
      </c>
      <c r="Q241" s="125">
        <v>4.2999999999999997E-2</v>
      </c>
      <c r="R241" s="125">
        <v>0</v>
      </c>
      <c r="S241" s="125">
        <v>0.68600000000000005</v>
      </c>
      <c r="T241" s="125">
        <v>15</v>
      </c>
      <c r="U241" s="125">
        <v>0</v>
      </c>
      <c r="V241" s="125">
        <v>1.3440000000000001</v>
      </c>
      <c r="W241" s="125">
        <v>1.5</v>
      </c>
      <c r="X241" s="125">
        <v>0</v>
      </c>
      <c r="Y241" s="125">
        <v>0</v>
      </c>
      <c r="Z241" s="125">
        <v>0</v>
      </c>
      <c r="AA241" s="125">
        <v>1</v>
      </c>
      <c r="AB241" s="125">
        <v>6.6</v>
      </c>
      <c r="AC241" s="125">
        <v>140</v>
      </c>
      <c r="AD241" s="125">
        <v>8.6999999999999994E-2</v>
      </c>
      <c r="AE241" s="125">
        <v>1.4239999999999999</v>
      </c>
      <c r="AF241" s="125">
        <v>2</v>
      </c>
      <c r="AG241" s="125">
        <v>0</v>
      </c>
      <c r="AH241" s="125">
        <v>0</v>
      </c>
      <c r="AI241" s="121">
        <v>484857</v>
      </c>
      <c r="AJ241" s="121">
        <v>55417</v>
      </c>
      <c r="AK241" s="424">
        <v>12</v>
      </c>
      <c r="AL241">
        <v>0</v>
      </c>
      <c r="AM241" s="121">
        <v>35577</v>
      </c>
      <c r="AN241" s="125">
        <v>0</v>
      </c>
      <c r="AO241" s="125">
        <v>0</v>
      </c>
      <c r="AP241" s="121">
        <v>540274</v>
      </c>
      <c r="AQ241" s="114">
        <v>0</v>
      </c>
      <c r="AR241" s="121">
        <v>30.335787298</v>
      </c>
      <c r="AS241" s="121">
        <v>5961.0774653999997</v>
      </c>
      <c r="AT241" s="121">
        <v>785.07122910999999</v>
      </c>
      <c r="AU241" s="420" t="s">
        <v>2001</v>
      </c>
      <c r="AV241" s="420" t="s">
        <v>2001</v>
      </c>
      <c r="AW241" s="121">
        <v>0</v>
      </c>
      <c r="AX241" s="121">
        <v>178507</v>
      </c>
      <c r="BI241">
        <v>0</v>
      </c>
      <c r="BJ241" s="121">
        <v>0</v>
      </c>
      <c r="BK241" s="134">
        <v>45510997</v>
      </c>
      <c r="BL241" s="934">
        <v>4635</v>
      </c>
      <c r="BM241" s="934">
        <v>4739</v>
      </c>
      <c r="BN241" s="934">
        <v>4739</v>
      </c>
      <c r="BO241" s="114">
        <v>0</v>
      </c>
      <c r="BP241" s="114">
        <v>0</v>
      </c>
    </row>
    <row r="242" spans="1:68">
      <c r="A242" t="s">
        <v>1222</v>
      </c>
      <c r="B242" t="s">
        <v>3014</v>
      </c>
      <c r="C242" s="121">
        <v>5737</v>
      </c>
      <c r="D242" s="72">
        <v>2</v>
      </c>
      <c r="E242">
        <v>5056.8379999999997</v>
      </c>
      <c r="F242">
        <v>1797</v>
      </c>
      <c r="G242">
        <v>953</v>
      </c>
      <c r="H242">
        <v>187</v>
      </c>
      <c r="I242" s="173">
        <v>1.04</v>
      </c>
      <c r="J242" s="121">
        <v>8743771000</v>
      </c>
      <c r="K242" s="125">
        <v>26181.486000000001</v>
      </c>
      <c r="L242" s="173">
        <v>1.5</v>
      </c>
      <c r="M242">
        <v>1.04</v>
      </c>
      <c r="N242">
        <v>1.000000005</v>
      </c>
      <c r="O242">
        <v>3.9999995000000066</v>
      </c>
      <c r="P242">
        <v>20520.835999999999</v>
      </c>
      <c r="Q242" s="125">
        <v>1.5049999999999999</v>
      </c>
      <c r="R242" s="125">
        <v>0</v>
      </c>
      <c r="S242" s="125">
        <v>16.501999999999999</v>
      </c>
      <c r="T242" s="125">
        <v>680.98299999999995</v>
      </c>
      <c r="U242" s="125">
        <v>167.60499999999999</v>
      </c>
      <c r="V242" s="125">
        <v>4.9960000000000004</v>
      </c>
      <c r="W242" s="125">
        <v>9.3140000000000001</v>
      </c>
      <c r="X242" s="125">
        <v>2.7719999999999998</v>
      </c>
      <c r="Y242" s="125">
        <v>0</v>
      </c>
      <c r="Z242" s="125">
        <v>43.420999999999999</v>
      </c>
      <c r="AA242" s="125">
        <v>90.706999999999994</v>
      </c>
      <c r="AB242" s="125">
        <v>798.83</v>
      </c>
      <c r="AC242" s="125">
        <v>8003.1</v>
      </c>
      <c r="AD242" s="125">
        <v>9.7720000000000002</v>
      </c>
      <c r="AE242" s="125">
        <v>3703.8960000000002</v>
      </c>
      <c r="AF242" s="125">
        <v>1026.0409999999999</v>
      </c>
      <c r="AG242" s="125">
        <v>0</v>
      </c>
      <c r="AH242" s="125">
        <v>0</v>
      </c>
      <c r="AI242" s="121">
        <v>92617520</v>
      </c>
      <c r="AJ242" s="121">
        <v>30355045</v>
      </c>
      <c r="AK242" s="424">
        <v>12</v>
      </c>
      <c r="AL242">
        <v>0</v>
      </c>
      <c r="AM242" s="121">
        <v>1640916</v>
      </c>
      <c r="AN242" s="125">
        <v>3</v>
      </c>
      <c r="AO242" s="125">
        <v>0</v>
      </c>
      <c r="AP242" s="121">
        <v>122972565</v>
      </c>
      <c r="AQ242" s="114">
        <v>0</v>
      </c>
      <c r="AR242" s="121">
        <v>5828.2436053000001</v>
      </c>
      <c r="AS242" s="121">
        <v>1145268.1705</v>
      </c>
      <c r="AT242" s="121">
        <v>150831.30449000001</v>
      </c>
      <c r="AU242" s="420" t="s">
        <v>798</v>
      </c>
      <c r="AV242" s="420" t="s">
        <v>2001</v>
      </c>
      <c r="AW242" s="121">
        <v>0</v>
      </c>
      <c r="AX242" s="121">
        <v>33768789</v>
      </c>
      <c r="AY242" s="134">
        <v>7523388</v>
      </c>
      <c r="AZ242" s="134">
        <v>29904013</v>
      </c>
      <c r="BA242" s="134">
        <v>12405</v>
      </c>
      <c r="BB242" s="134">
        <v>2242103646</v>
      </c>
      <c r="BC242" s="114">
        <v>0</v>
      </c>
      <c r="BD242" s="114">
        <v>0</v>
      </c>
      <c r="BE242" s="114">
        <v>0</v>
      </c>
      <c r="BF242" s="134">
        <v>20826</v>
      </c>
      <c r="BG242" s="114">
        <v>0</v>
      </c>
      <c r="BH242" s="114">
        <v>0</v>
      </c>
      <c r="BI242">
        <v>0</v>
      </c>
      <c r="BJ242" s="121">
        <v>0</v>
      </c>
      <c r="BK242" s="134">
        <v>8743771000</v>
      </c>
      <c r="BL242" s="934">
        <v>5252</v>
      </c>
      <c r="BM242" s="934">
        <v>5737</v>
      </c>
      <c r="BN242" s="934">
        <v>5728</v>
      </c>
      <c r="BO242" s="114">
        <v>0</v>
      </c>
      <c r="BP242" s="114">
        <v>0</v>
      </c>
    </row>
    <row r="243" spans="1:68">
      <c r="A243" t="s">
        <v>1989</v>
      </c>
      <c r="B243" t="s">
        <v>2825</v>
      </c>
      <c r="C243" s="121">
        <v>5461</v>
      </c>
      <c r="D243" s="72">
        <v>2</v>
      </c>
      <c r="E243">
        <v>13187.39</v>
      </c>
      <c r="F243">
        <v>3946</v>
      </c>
      <c r="G243">
        <v>1563</v>
      </c>
      <c r="H243">
        <v>290</v>
      </c>
      <c r="I243" s="173">
        <v>1.04</v>
      </c>
      <c r="J243" s="121">
        <v>21575056616</v>
      </c>
      <c r="K243" s="125">
        <v>61355.345999999998</v>
      </c>
      <c r="L243" s="173">
        <v>1.5</v>
      </c>
      <c r="M243">
        <v>1.04</v>
      </c>
      <c r="N243">
        <v>1.000000005</v>
      </c>
      <c r="O243">
        <v>3.9999995000000066</v>
      </c>
      <c r="P243">
        <v>50214.546999999999</v>
      </c>
      <c r="Q243" s="125">
        <v>2.1480000000000001</v>
      </c>
      <c r="R243" s="125">
        <v>0</v>
      </c>
      <c r="S243" s="125">
        <v>93.52</v>
      </c>
      <c r="T243" s="125">
        <v>1515.9659999999999</v>
      </c>
      <c r="U243" s="125">
        <v>479.94099999999997</v>
      </c>
      <c r="V243" s="125">
        <v>0</v>
      </c>
      <c r="W243" s="125">
        <v>36.689</v>
      </c>
      <c r="X243" s="125">
        <v>0</v>
      </c>
      <c r="Y243" s="125">
        <v>0</v>
      </c>
      <c r="Z243" s="125">
        <v>22.809000000000001</v>
      </c>
      <c r="AA243" s="125">
        <v>185.297</v>
      </c>
      <c r="AB243" s="125">
        <v>1483.374</v>
      </c>
      <c r="AC243" s="125">
        <v>11131.7</v>
      </c>
      <c r="AD243" s="125">
        <v>8.3460000000000001</v>
      </c>
      <c r="AE243" s="125">
        <v>4771.6629999999996</v>
      </c>
      <c r="AF243" s="125">
        <v>2510.7269999999999</v>
      </c>
      <c r="AG243" s="125">
        <v>0</v>
      </c>
      <c r="AH243" s="125">
        <v>0</v>
      </c>
      <c r="AI243" s="121">
        <v>235599618</v>
      </c>
      <c r="AJ243" s="121">
        <v>60695025</v>
      </c>
      <c r="AK243" s="424">
        <v>12</v>
      </c>
      <c r="AL243">
        <v>0</v>
      </c>
      <c r="AM243" s="121">
        <v>1948715</v>
      </c>
      <c r="AN243" s="125">
        <v>3</v>
      </c>
      <c r="AO243" s="125">
        <v>0</v>
      </c>
      <c r="AP243" s="121">
        <v>296294643</v>
      </c>
      <c r="AQ243" s="114">
        <v>0</v>
      </c>
      <c r="AR243" s="121">
        <v>14381.0589</v>
      </c>
      <c r="AS243" s="121">
        <v>2825923.2335999999</v>
      </c>
      <c r="AT243" s="121">
        <v>372172.82266000001</v>
      </c>
      <c r="AU243" s="420" t="s">
        <v>798</v>
      </c>
      <c r="AV243" s="420" t="s">
        <v>2001</v>
      </c>
      <c r="AW243" s="121">
        <v>0</v>
      </c>
      <c r="AX243" s="121">
        <v>69634157</v>
      </c>
      <c r="AY243" s="134">
        <v>8302442</v>
      </c>
      <c r="AZ243" s="134">
        <v>59438607</v>
      </c>
      <c r="BA243" s="134">
        <v>25036</v>
      </c>
      <c r="BB243" s="134">
        <v>4347145101</v>
      </c>
      <c r="BC243" s="114">
        <v>0</v>
      </c>
      <c r="BD243" s="114">
        <v>0</v>
      </c>
      <c r="BE243" s="114">
        <v>0</v>
      </c>
      <c r="BF243" s="134">
        <v>49449</v>
      </c>
      <c r="BG243" s="114">
        <v>0</v>
      </c>
      <c r="BH243" s="114">
        <v>0</v>
      </c>
      <c r="BI243">
        <v>0</v>
      </c>
      <c r="BJ243" s="121">
        <v>0</v>
      </c>
      <c r="BK243" s="134">
        <v>21575056616</v>
      </c>
      <c r="BL243" s="934">
        <v>5274</v>
      </c>
      <c r="BM243" s="934">
        <v>5461</v>
      </c>
      <c r="BN243" s="934">
        <v>5458</v>
      </c>
      <c r="BO243" s="114">
        <v>0</v>
      </c>
      <c r="BP243" s="114">
        <v>0</v>
      </c>
    </row>
    <row r="244" spans="1:68">
      <c r="A244" t="s">
        <v>240</v>
      </c>
      <c r="B244" t="s">
        <v>1127</v>
      </c>
      <c r="C244" s="121">
        <v>4754</v>
      </c>
      <c r="D244" s="72">
        <v>1</v>
      </c>
      <c r="E244">
        <v>418.315</v>
      </c>
      <c r="F244">
        <v>118</v>
      </c>
      <c r="G244">
        <v>68</v>
      </c>
      <c r="H244">
        <v>7</v>
      </c>
      <c r="I244" s="173">
        <v>1.04</v>
      </c>
      <c r="J244" s="121">
        <v>470829209</v>
      </c>
      <c r="K244" s="125">
        <v>1971.068</v>
      </c>
      <c r="L244" s="173">
        <v>1.5</v>
      </c>
      <c r="M244">
        <v>1.04</v>
      </c>
      <c r="N244">
        <v>1.000000005</v>
      </c>
      <c r="O244">
        <v>3.9999995000000066</v>
      </c>
      <c r="P244">
        <v>1437</v>
      </c>
      <c r="Q244" s="125">
        <v>0.1</v>
      </c>
      <c r="R244" s="125">
        <v>0</v>
      </c>
      <c r="S244" s="125">
        <v>2.2000000000000002</v>
      </c>
      <c r="T244" s="125">
        <v>47</v>
      </c>
      <c r="U244" s="125">
        <v>4</v>
      </c>
      <c r="V244" s="125">
        <v>3.3</v>
      </c>
      <c r="W244" s="125">
        <v>3</v>
      </c>
      <c r="X244" s="125">
        <v>0</v>
      </c>
      <c r="Y244" s="125">
        <v>0</v>
      </c>
      <c r="Z244" s="125">
        <v>0.15</v>
      </c>
      <c r="AA244" s="125">
        <v>16</v>
      </c>
      <c r="AB244" s="125">
        <v>55</v>
      </c>
      <c r="AC244" s="125">
        <v>675</v>
      </c>
      <c r="AD244" s="125">
        <v>0</v>
      </c>
      <c r="AE244" s="125">
        <v>165</v>
      </c>
      <c r="AF244" s="125">
        <v>71.849999999999994</v>
      </c>
      <c r="AG244" s="125">
        <v>0</v>
      </c>
      <c r="AH244" s="125">
        <v>0</v>
      </c>
      <c r="AI244" s="121">
        <v>5090040</v>
      </c>
      <c r="AJ244" s="121">
        <v>1088090</v>
      </c>
      <c r="AK244" s="424">
        <v>12</v>
      </c>
      <c r="AL244">
        <v>0</v>
      </c>
      <c r="AM244" s="121">
        <v>164580</v>
      </c>
      <c r="AN244" s="125">
        <v>1</v>
      </c>
      <c r="AO244" s="125">
        <v>0</v>
      </c>
      <c r="AP244" s="121">
        <v>6178130</v>
      </c>
      <c r="AQ244" s="114">
        <v>0</v>
      </c>
      <c r="AR244" s="121">
        <v>313.83568102999999</v>
      </c>
      <c r="AS244" s="121">
        <v>61669.696838999997</v>
      </c>
      <c r="AT244" s="121">
        <v>8121.8714195000002</v>
      </c>
      <c r="AU244" s="420" t="s">
        <v>2001</v>
      </c>
      <c r="AV244" s="420" t="s">
        <v>2001</v>
      </c>
      <c r="AW244" s="121">
        <v>0</v>
      </c>
      <c r="AX244" s="121">
        <v>1394572</v>
      </c>
      <c r="BI244">
        <v>0</v>
      </c>
      <c r="BJ244" s="121">
        <v>0</v>
      </c>
      <c r="BK244" s="134">
        <v>470829209</v>
      </c>
      <c r="BL244" s="934">
        <v>4754</v>
      </c>
      <c r="BM244" s="934">
        <v>4687</v>
      </c>
      <c r="BN244" s="934">
        <v>4687</v>
      </c>
      <c r="BO244" s="114">
        <v>0</v>
      </c>
      <c r="BP244" s="114">
        <v>0</v>
      </c>
    </row>
    <row r="245" spans="1:68">
      <c r="A245" t="s">
        <v>815</v>
      </c>
      <c r="B245" t="s">
        <v>1905</v>
      </c>
      <c r="C245" s="121">
        <v>6504</v>
      </c>
      <c r="D245" s="72">
        <v>2</v>
      </c>
      <c r="E245">
        <v>368.17099999999999</v>
      </c>
      <c r="F245">
        <v>114</v>
      </c>
      <c r="G245">
        <v>56</v>
      </c>
      <c r="H245">
        <v>8</v>
      </c>
      <c r="I245" s="173">
        <v>1.04</v>
      </c>
      <c r="J245" s="121">
        <v>733206571</v>
      </c>
      <c r="K245" s="125">
        <v>1943.9369999999999</v>
      </c>
      <c r="L245" s="173">
        <v>1.5</v>
      </c>
      <c r="M245">
        <v>1.04</v>
      </c>
      <c r="N245">
        <v>1.000000005</v>
      </c>
      <c r="O245">
        <v>3.9999995000000066</v>
      </c>
      <c r="P245">
        <v>1476.1790000000001</v>
      </c>
      <c r="Q245" s="125">
        <v>0</v>
      </c>
      <c r="R245" s="125">
        <v>0</v>
      </c>
      <c r="S245" s="125">
        <v>3.2189999999999999</v>
      </c>
      <c r="T245" s="125">
        <v>54.097000000000001</v>
      </c>
      <c r="U245" s="125">
        <v>2.9420000000000002</v>
      </c>
      <c r="V245" s="125">
        <v>5.65</v>
      </c>
      <c r="W245" s="125">
        <v>7.0990000000000002</v>
      </c>
      <c r="X245" s="125">
        <v>0</v>
      </c>
      <c r="Y245" s="125">
        <v>0</v>
      </c>
      <c r="Z245" s="125">
        <v>7.4999999999999997E-2</v>
      </c>
      <c r="AA245" s="125">
        <v>23.725000000000001</v>
      </c>
      <c r="AB245" s="125">
        <v>50.665999999999997</v>
      </c>
      <c r="AC245" s="125">
        <v>485</v>
      </c>
      <c r="AD245" s="125">
        <v>0</v>
      </c>
      <c r="AE245" s="125">
        <v>83.870999999999995</v>
      </c>
      <c r="AF245" s="125">
        <v>73.808949999999996</v>
      </c>
      <c r="AG245" s="125">
        <v>0</v>
      </c>
      <c r="AH245" s="125">
        <v>0</v>
      </c>
      <c r="AI245" s="121">
        <v>7607575</v>
      </c>
      <c r="AJ245" s="121">
        <v>1609157</v>
      </c>
      <c r="AK245" s="424">
        <v>12</v>
      </c>
      <c r="AL245">
        <v>0</v>
      </c>
      <c r="AM245" s="121">
        <v>73317</v>
      </c>
      <c r="AN245" s="125">
        <v>0</v>
      </c>
      <c r="AO245" s="125">
        <v>0</v>
      </c>
      <c r="AP245" s="121">
        <v>9216732</v>
      </c>
      <c r="AQ245" s="114">
        <v>0</v>
      </c>
      <c r="AR245" s="121">
        <v>0</v>
      </c>
      <c r="AS245" s="121">
        <v>0</v>
      </c>
      <c r="AT245" s="121">
        <v>0</v>
      </c>
      <c r="AU245" s="420" t="s">
        <v>798</v>
      </c>
      <c r="AV245" s="420" t="s">
        <v>2001</v>
      </c>
      <c r="AW245" s="121">
        <v>0</v>
      </c>
      <c r="AX245" s="121">
        <v>2430877</v>
      </c>
      <c r="AY245" s="114">
        <v>0</v>
      </c>
      <c r="AZ245" s="134">
        <v>2754878</v>
      </c>
      <c r="BA245" s="134">
        <v>1160</v>
      </c>
      <c r="BB245" s="134">
        <v>78179861</v>
      </c>
      <c r="BC245" s="114">
        <v>0</v>
      </c>
      <c r="BD245" s="114">
        <v>0</v>
      </c>
      <c r="BE245" s="114">
        <v>0</v>
      </c>
      <c r="BF245" s="134">
        <v>1495</v>
      </c>
      <c r="BG245" s="114">
        <v>0</v>
      </c>
      <c r="BH245" s="114">
        <v>0</v>
      </c>
      <c r="BI245">
        <v>0</v>
      </c>
      <c r="BJ245" s="121">
        <v>0</v>
      </c>
      <c r="BK245" s="134">
        <v>718210686</v>
      </c>
      <c r="BL245" s="934">
        <v>5372</v>
      </c>
      <c r="BM245" s="934">
        <v>6504</v>
      </c>
      <c r="BN245" s="934">
        <v>5766</v>
      </c>
      <c r="BO245" s="114">
        <v>0</v>
      </c>
      <c r="BP245" s="114">
        <v>0</v>
      </c>
    </row>
    <row r="246" spans="1:68">
      <c r="A246" t="s">
        <v>242</v>
      </c>
      <c r="B246" t="s">
        <v>1129</v>
      </c>
      <c r="C246" s="121">
        <v>6830</v>
      </c>
      <c r="D246" s="72">
        <v>2</v>
      </c>
      <c r="E246">
        <v>294.245</v>
      </c>
      <c r="F246">
        <v>91</v>
      </c>
      <c r="G246">
        <v>53</v>
      </c>
      <c r="H246">
        <v>4</v>
      </c>
      <c r="I246" s="173">
        <v>1.04</v>
      </c>
      <c r="J246" s="121">
        <v>863278544</v>
      </c>
      <c r="K246" s="125">
        <v>1560.943</v>
      </c>
      <c r="L246" s="173">
        <v>1.5</v>
      </c>
      <c r="M246">
        <v>1.04</v>
      </c>
      <c r="N246">
        <v>1.000000005</v>
      </c>
      <c r="O246">
        <v>3.9999995000000066</v>
      </c>
      <c r="P246">
        <v>1135</v>
      </c>
      <c r="Q246" s="125">
        <v>0</v>
      </c>
      <c r="R246" s="125">
        <v>0</v>
      </c>
      <c r="S246" s="125">
        <v>2.52</v>
      </c>
      <c r="T246" s="125">
        <v>30.1</v>
      </c>
      <c r="U246" s="125">
        <v>3.81</v>
      </c>
      <c r="V246" s="125">
        <v>3.75</v>
      </c>
      <c r="W246" s="125">
        <v>0.91200000000000003</v>
      </c>
      <c r="X246" s="125">
        <v>0</v>
      </c>
      <c r="Y246" s="125">
        <v>0</v>
      </c>
      <c r="Z246" s="125">
        <v>0.8</v>
      </c>
      <c r="AA246" s="125">
        <v>19</v>
      </c>
      <c r="AB246" s="125">
        <v>31.6</v>
      </c>
      <c r="AC246" s="125">
        <v>390</v>
      </c>
      <c r="AD246" s="125">
        <v>0</v>
      </c>
      <c r="AE246" s="125">
        <v>26.8</v>
      </c>
      <c r="AF246" s="125">
        <v>56.5</v>
      </c>
      <c r="AG246" s="125">
        <v>0</v>
      </c>
      <c r="AH246" s="125">
        <v>0</v>
      </c>
      <c r="AI246" s="121">
        <v>8774079</v>
      </c>
      <c r="AJ246" s="121">
        <v>1594906</v>
      </c>
      <c r="AK246" s="424">
        <v>12</v>
      </c>
      <c r="AL246">
        <v>0</v>
      </c>
      <c r="AM246" s="121">
        <v>67544</v>
      </c>
      <c r="AN246" s="125">
        <v>0</v>
      </c>
      <c r="AO246" s="125">
        <v>0</v>
      </c>
      <c r="AP246" s="121">
        <v>10368985</v>
      </c>
      <c r="AQ246" s="114">
        <v>0</v>
      </c>
      <c r="AR246" s="121">
        <v>0</v>
      </c>
      <c r="AS246" s="121">
        <v>0</v>
      </c>
      <c r="AT246" s="121">
        <v>0</v>
      </c>
      <c r="AU246" s="420" t="s">
        <v>798</v>
      </c>
      <c r="AV246" s="420" t="s">
        <v>2001</v>
      </c>
      <c r="AW246" s="121">
        <v>0</v>
      </c>
      <c r="AX246" s="121">
        <v>1585450</v>
      </c>
      <c r="AY246" s="134">
        <v>13529</v>
      </c>
      <c r="AZ246" s="134">
        <v>1389534</v>
      </c>
      <c r="BA246" s="114">
        <v>573</v>
      </c>
      <c r="BB246" s="134">
        <v>48614520</v>
      </c>
      <c r="BC246" s="114">
        <v>0</v>
      </c>
      <c r="BD246" s="114">
        <v>0</v>
      </c>
      <c r="BE246" s="114">
        <v>0</v>
      </c>
      <c r="BF246" s="134">
        <v>1109</v>
      </c>
      <c r="BG246" s="114">
        <v>0</v>
      </c>
      <c r="BH246" s="114">
        <v>0</v>
      </c>
      <c r="BI246">
        <v>0</v>
      </c>
      <c r="BJ246" s="121">
        <v>568</v>
      </c>
      <c r="BK246" s="134">
        <v>819884828</v>
      </c>
      <c r="BL246" s="934">
        <v>6301</v>
      </c>
      <c r="BM246" s="934">
        <v>6830</v>
      </c>
      <c r="BN246" s="934">
        <v>6830</v>
      </c>
      <c r="BO246" s="114">
        <v>0</v>
      </c>
      <c r="BP246" s="114">
        <v>0</v>
      </c>
    </row>
    <row r="247" spans="1:68">
      <c r="A247" t="s">
        <v>1893</v>
      </c>
      <c r="B247" t="s">
        <v>2426</v>
      </c>
      <c r="C247" s="121">
        <v>5134</v>
      </c>
      <c r="D247" s="72">
        <v>2</v>
      </c>
      <c r="E247">
        <v>416.42500000000001</v>
      </c>
      <c r="F247">
        <v>117</v>
      </c>
      <c r="G247">
        <v>59</v>
      </c>
      <c r="H247">
        <v>2</v>
      </c>
      <c r="I247" s="173">
        <v>1.04</v>
      </c>
      <c r="J247" s="121">
        <v>498515820</v>
      </c>
      <c r="K247" s="125">
        <v>2286.9740000000002</v>
      </c>
      <c r="L247" s="173">
        <v>1.5</v>
      </c>
      <c r="M247">
        <v>1.04</v>
      </c>
      <c r="N247">
        <v>1.000000005</v>
      </c>
      <c r="O247">
        <v>3.9999995000000066</v>
      </c>
      <c r="P247">
        <v>1716.694</v>
      </c>
      <c r="Q247" s="125">
        <v>0.20599999999999999</v>
      </c>
      <c r="R247" s="125">
        <v>0</v>
      </c>
      <c r="S247" s="125">
        <v>3.5609999999999999</v>
      </c>
      <c r="T247" s="125">
        <v>34.216000000000001</v>
      </c>
      <c r="U247" s="125">
        <v>0.68100000000000005</v>
      </c>
      <c r="V247" s="125">
        <v>8.6240000000000006</v>
      </c>
      <c r="W247" s="125">
        <v>17.861000000000001</v>
      </c>
      <c r="X247" s="125">
        <v>0</v>
      </c>
      <c r="Y247" s="125">
        <v>0</v>
      </c>
      <c r="Z247" s="125">
        <v>6.1029999999999998</v>
      </c>
      <c r="AA247" s="125">
        <v>44.529000000000003</v>
      </c>
      <c r="AB247" s="125">
        <v>94.429000000000002</v>
      </c>
      <c r="AC247" s="125">
        <v>435.8</v>
      </c>
      <c r="AD247" s="125">
        <v>0</v>
      </c>
      <c r="AE247" s="125">
        <v>102.095</v>
      </c>
      <c r="AF247" s="125">
        <v>85.834699999999998</v>
      </c>
      <c r="AG247" s="125">
        <v>0</v>
      </c>
      <c r="AH247" s="125">
        <v>0</v>
      </c>
      <c r="AI247" s="121">
        <v>5443793</v>
      </c>
      <c r="AJ247" s="121">
        <v>1261513</v>
      </c>
      <c r="AK247" s="424">
        <v>12</v>
      </c>
      <c r="AL247">
        <v>0</v>
      </c>
      <c r="AM247" s="121">
        <v>122724</v>
      </c>
      <c r="AN247" s="125">
        <v>0</v>
      </c>
      <c r="AO247" s="125">
        <v>0</v>
      </c>
      <c r="AP247" s="121">
        <v>6705306</v>
      </c>
      <c r="AQ247" s="114">
        <v>0</v>
      </c>
      <c r="AR247" s="121">
        <v>332.29045454999999</v>
      </c>
      <c r="AS247" s="121">
        <v>65296.117788000003</v>
      </c>
      <c r="AT247" s="121">
        <v>8599.4694323000003</v>
      </c>
      <c r="AU247" s="420" t="s">
        <v>2001</v>
      </c>
      <c r="AV247" s="420" t="s">
        <v>2001</v>
      </c>
      <c r="AW247" s="121">
        <v>0</v>
      </c>
      <c r="AX247" s="121">
        <v>2891975</v>
      </c>
      <c r="BI247">
        <v>0</v>
      </c>
      <c r="BJ247" s="121">
        <v>0</v>
      </c>
      <c r="BK247" s="134">
        <v>498515820</v>
      </c>
      <c r="BL247" s="934">
        <v>5014</v>
      </c>
      <c r="BM247" s="934">
        <v>5134</v>
      </c>
      <c r="BN247" s="934">
        <v>5134</v>
      </c>
      <c r="BO247" s="114">
        <v>0</v>
      </c>
      <c r="BP247" s="114">
        <v>0</v>
      </c>
    </row>
    <row r="248" spans="1:68">
      <c r="A248" t="s">
        <v>532</v>
      </c>
      <c r="B248" t="s">
        <v>2353</v>
      </c>
      <c r="C248" s="121">
        <v>4946</v>
      </c>
      <c r="D248" s="72">
        <v>1</v>
      </c>
      <c r="E248">
        <v>709.79</v>
      </c>
      <c r="F248">
        <v>216</v>
      </c>
      <c r="G248">
        <v>193</v>
      </c>
      <c r="H248">
        <v>8</v>
      </c>
      <c r="I248" s="173">
        <v>1.04</v>
      </c>
      <c r="J248" s="121">
        <v>662945619</v>
      </c>
      <c r="K248" s="125">
        <v>3316.9549999999999</v>
      </c>
      <c r="L248" s="173">
        <v>1.5</v>
      </c>
      <c r="M248">
        <v>1.04</v>
      </c>
      <c r="N248">
        <v>1.000000005</v>
      </c>
      <c r="O248">
        <v>3.9999995000000066</v>
      </c>
      <c r="P248">
        <v>2430</v>
      </c>
      <c r="Q248" s="125">
        <v>0.23200000000000001</v>
      </c>
      <c r="R248" s="125">
        <v>0</v>
      </c>
      <c r="S248" s="125">
        <v>5.38</v>
      </c>
      <c r="T248" s="125">
        <v>83</v>
      </c>
      <c r="U248" s="125">
        <v>20</v>
      </c>
      <c r="V248" s="125">
        <v>0</v>
      </c>
      <c r="W248" s="125">
        <v>1.425</v>
      </c>
      <c r="X248" s="125">
        <v>0</v>
      </c>
      <c r="Y248" s="125">
        <v>0</v>
      </c>
      <c r="Z248" s="125">
        <v>0</v>
      </c>
      <c r="AA248" s="125">
        <v>57</v>
      </c>
      <c r="AB248" s="125">
        <v>125</v>
      </c>
      <c r="AC248" s="125">
        <v>1050</v>
      </c>
      <c r="AD248" s="125">
        <v>1.5</v>
      </c>
      <c r="AE248" s="125">
        <v>95</v>
      </c>
      <c r="AF248" s="125">
        <v>115</v>
      </c>
      <c r="AG248" s="125">
        <v>0</v>
      </c>
      <c r="AH248" s="125">
        <v>0</v>
      </c>
      <c r="AI248" s="121">
        <v>6948629</v>
      </c>
      <c r="AJ248" s="121">
        <v>1759073</v>
      </c>
      <c r="AK248" s="424">
        <v>12</v>
      </c>
      <c r="AL248">
        <v>0</v>
      </c>
      <c r="AM248" s="121">
        <v>130343</v>
      </c>
      <c r="AN248" s="125">
        <v>0</v>
      </c>
      <c r="AO248" s="125">
        <v>0</v>
      </c>
      <c r="AP248" s="121">
        <v>8707702</v>
      </c>
      <c r="AQ248" s="114">
        <v>0</v>
      </c>
      <c r="AR248" s="121">
        <v>441.89269898999999</v>
      </c>
      <c r="AS248" s="121">
        <v>86833.302997000006</v>
      </c>
      <c r="AT248" s="121">
        <v>11435.907067</v>
      </c>
      <c r="AU248" s="420" t="s">
        <v>2001</v>
      </c>
      <c r="AV248" s="420" t="s">
        <v>2001</v>
      </c>
      <c r="AW248" s="121">
        <v>0</v>
      </c>
      <c r="AX248" s="121">
        <v>2796512</v>
      </c>
      <c r="BI248">
        <v>0</v>
      </c>
      <c r="BJ248" s="121">
        <v>0</v>
      </c>
      <c r="BK248" s="134">
        <v>656001419</v>
      </c>
      <c r="BL248" s="934">
        <v>4946</v>
      </c>
      <c r="BM248" s="934">
        <v>4739</v>
      </c>
      <c r="BN248" s="934">
        <v>4739</v>
      </c>
      <c r="BO248" s="114">
        <v>0</v>
      </c>
      <c r="BP248" s="114">
        <v>0</v>
      </c>
    </row>
    <row r="249" spans="1:68">
      <c r="A249" t="s">
        <v>2099</v>
      </c>
      <c r="B249" t="s">
        <v>3015</v>
      </c>
      <c r="C249" s="121">
        <v>5945</v>
      </c>
      <c r="D249" s="72">
        <v>2</v>
      </c>
      <c r="E249">
        <v>529.01099999999997</v>
      </c>
      <c r="F249">
        <v>127</v>
      </c>
      <c r="G249">
        <v>58</v>
      </c>
      <c r="H249">
        <v>8</v>
      </c>
      <c r="I249" s="173">
        <v>1.04</v>
      </c>
      <c r="J249" s="121">
        <v>878984723</v>
      </c>
      <c r="K249" s="125">
        <v>2303.36</v>
      </c>
      <c r="L249" s="173">
        <v>1.5</v>
      </c>
      <c r="M249">
        <v>1.04</v>
      </c>
      <c r="N249">
        <v>1.000000005</v>
      </c>
      <c r="O249">
        <v>3.9999995000000066</v>
      </c>
      <c r="P249">
        <v>2008.4929999999999</v>
      </c>
      <c r="Q249" s="125">
        <v>2.4E-2</v>
      </c>
      <c r="R249" s="125">
        <v>0</v>
      </c>
      <c r="S249" s="125">
        <v>5.1050000000000004</v>
      </c>
      <c r="T249" s="125">
        <v>40.011000000000003</v>
      </c>
      <c r="U249" s="125">
        <v>10.125999999999999</v>
      </c>
      <c r="V249" s="125">
        <v>0.61699999999999999</v>
      </c>
      <c r="W249" s="125">
        <v>0.66400000000000003</v>
      </c>
      <c r="X249" s="125">
        <v>0</v>
      </c>
      <c r="Y249" s="125">
        <v>0</v>
      </c>
      <c r="Z249" s="125">
        <v>0.252</v>
      </c>
      <c r="AA249" s="125">
        <v>46.033000000000001</v>
      </c>
      <c r="AB249" s="125">
        <v>38.451000000000001</v>
      </c>
      <c r="AC249" s="125">
        <v>139.6</v>
      </c>
      <c r="AD249" s="125">
        <v>0</v>
      </c>
      <c r="AE249" s="125">
        <v>36.613999999999997</v>
      </c>
      <c r="AF249" s="125">
        <v>100.42465</v>
      </c>
      <c r="AG249" s="125">
        <v>0</v>
      </c>
      <c r="AH249" s="125">
        <v>0</v>
      </c>
      <c r="AI249" s="121">
        <v>9790483</v>
      </c>
      <c r="AJ249" s="121">
        <v>3188824</v>
      </c>
      <c r="AK249" s="424">
        <v>9</v>
      </c>
      <c r="AL249">
        <v>0</v>
      </c>
      <c r="AM249" s="121">
        <v>61965</v>
      </c>
      <c r="AN249" s="125">
        <v>0</v>
      </c>
      <c r="AO249" s="125">
        <v>0</v>
      </c>
      <c r="AP249" s="121">
        <v>12979307</v>
      </c>
      <c r="AQ249" s="114">
        <v>0</v>
      </c>
      <c r="AR249" s="121">
        <v>0</v>
      </c>
      <c r="AS249" s="121">
        <v>0</v>
      </c>
      <c r="AT249" s="121">
        <v>0</v>
      </c>
      <c r="AU249" s="420" t="s">
        <v>798</v>
      </c>
      <c r="AV249" s="420" t="s">
        <v>2001</v>
      </c>
      <c r="AW249" s="121">
        <v>0</v>
      </c>
      <c r="AX249" s="121">
        <v>3096939</v>
      </c>
      <c r="AY249" s="134">
        <v>760096</v>
      </c>
      <c r="AZ249" s="134">
        <v>1830649</v>
      </c>
      <c r="BA249" s="114">
        <v>859</v>
      </c>
      <c r="BB249" s="134">
        <v>158522582</v>
      </c>
      <c r="BC249" s="114">
        <v>0</v>
      </c>
      <c r="BD249" s="114">
        <v>0</v>
      </c>
      <c r="BE249" s="114">
        <v>0</v>
      </c>
      <c r="BF249" s="134">
        <v>1737</v>
      </c>
      <c r="BG249" s="114">
        <v>0</v>
      </c>
      <c r="BH249" s="114">
        <v>0</v>
      </c>
      <c r="BI249">
        <v>0</v>
      </c>
      <c r="BJ249" s="121">
        <v>0</v>
      </c>
      <c r="BK249" s="134">
        <v>878984723</v>
      </c>
      <c r="BL249" s="934">
        <v>5666</v>
      </c>
      <c r="BM249" s="934">
        <v>5945</v>
      </c>
      <c r="BN249" s="934">
        <v>5925</v>
      </c>
      <c r="BO249" s="114">
        <v>0</v>
      </c>
      <c r="BP249" s="114">
        <v>0</v>
      </c>
    </row>
    <row r="250" spans="1:68">
      <c r="A250" t="s">
        <v>1590</v>
      </c>
      <c r="B250" t="s">
        <v>1425</v>
      </c>
      <c r="C250" s="121">
        <v>6460</v>
      </c>
      <c r="D250" s="72">
        <v>2</v>
      </c>
      <c r="E250">
        <v>2778.1390000000001</v>
      </c>
      <c r="F250">
        <v>814</v>
      </c>
      <c r="G250">
        <v>245</v>
      </c>
      <c r="H250">
        <v>1</v>
      </c>
      <c r="I250" s="173">
        <v>1</v>
      </c>
      <c r="J250" s="121">
        <v>8316129498</v>
      </c>
      <c r="K250" s="125">
        <v>15087.174999999999</v>
      </c>
      <c r="L250" s="173">
        <v>1.5</v>
      </c>
      <c r="M250">
        <v>1</v>
      </c>
      <c r="N250">
        <v>1.000000005</v>
      </c>
      <c r="O250">
        <v>-4.9999999696126451E-7</v>
      </c>
      <c r="P250">
        <v>12466.85</v>
      </c>
      <c r="Q250" s="125">
        <v>0.18099999999999999</v>
      </c>
      <c r="R250" s="125">
        <v>0</v>
      </c>
      <c r="S250" s="125">
        <v>19.452000000000002</v>
      </c>
      <c r="T250" s="125">
        <v>423.71</v>
      </c>
      <c r="U250" s="125">
        <v>68.415000000000006</v>
      </c>
      <c r="V250" s="125">
        <v>0</v>
      </c>
      <c r="W250" s="125">
        <v>1.0589999999999999</v>
      </c>
      <c r="X250" s="125">
        <v>0</v>
      </c>
      <c r="Y250" s="125">
        <v>0</v>
      </c>
      <c r="Z250" s="125">
        <v>22.765000000000001</v>
      </c>
      <c r="AA250" s="125">
        <v>85.942999999999998</v>
      </c>
      <c r="AB250" s="125">
        <v>591.39099999999996</v>
      </c>
      <c r="AC250" s="125">
        <v>2448.1</v>
      </c>
      <c r="AD250" s="125">
        <v>1.4890000000000001</v>
      </c>
      <c r="AE250" s="125">
        <v>520.33199999999999</v>
      </c>
      <c r="AF250" s="125">
        <v>623.34249999999997</v>
      </c>
      <c r="AG250" s="125">
        <v>0</v>
      </c>
      <c r="AH250" s="125">
        <v>0</v>
      </c>
      <c r="AI250" s="121">
        <v>86446166</v>
      </c>
      <c r="AJ250" s="121">
        <v>25585545</v>
      </c>
      <c r="AK250" s="424">
        <v>12</v>
      </c>
      <c r="AL250">
        <v>0</v>
      </c>
      <c r="AM250" s="121">
        <v>1189607</v>
      </c>
      <c r="AN250" s="125">
        <v>0</v>
      </c>
      <c r="AO250" s="125">
        <v>0</v>
      </c>
      <c r="AP250" s="121">
        <v>112031711</v>
      </c>
      <c r="AQ250" s="114">
        <v>0</v>
      </c>
      <c r="AR250" s="121">
        <v>0</v>
      </c>
      <c r="AS250" s="121">
        <v>0</v>
      </c>
      <c r="AT250" s="121">
        <v>0</v>
      </c>
      <c r="AU250" s="420" t="s">
        <v>798</v>
      </c>
      <c r="AV250" s="420" t="s">
        <v>2001</v>
      </c>
      <c r="AW250" s="121">
        <v>0</v>
      </c>
      <c r="AX250" s="121">
        <v>22619702</v>
      </c>
      <c r="AY250" s="134">
        <v>2643176</v>
      </c>
      <c r="AZ250" s="134">
        <v>10020125</v>
      </c>
      <c r="BA250" s="134">
        <v>4119</v>
      </c>
      <c r="BB250" s="134">
        <v>604993424</v>
      </c>
      <c r="BC250" s="114">
        <v>0</v>
      </c>
      <c r="BD250" s="114">
        <v>0</v>
      </c>
      <c r="BE250" s="114">
        <v>0</v>
      </c>
      <c r="BF250" s="134">
        <v>11824</v>
      </c>
      <c r="BG250" s="114">
        <v>0</v>
      </c>
      <c r="BH250" s="114">
        <v>0</v>
      </c>
      <c r="BI250">
        <v>0</v>
      </c>
      <c r="BJ250" s="121">
        <v>0</v>
      </c>
      <c r="BK250" s="134">
        <v>8316129498</v>
      </c>
      <c r="BL250" s="934">
        <v>5991</v>
      </c>
      <c r="BM250" s="934">
        <v>6460</v>
      </c>
      <c r="BN250" s="934">
        <v>6434</v>
      </c>
      <c r="BO250" s="114">
        <v>0</v>
      </c>
      <c r="BP250" s="114">
        <v>0</v>
      </c>
    </row>
    <row r="251" spans="1:68">
      <c r="A251" t="s">
        <v>68</v>
      </c>
      <c r="B251" t="s">
        <v>2623</v>
      </c>
      <c r="C251" s="121">
        <v>4813</v>
      </c>
      <c r="D251" s="72">
        <v>2</v>
      </c>
      <c r="E251">
        <v>1054.325</v>
      </c>
      <c r="F251">
        <v>315</v>
      </c>
      <c r="G251">
        <v>300</v>
      </c>
      <c r="H251">
        <v>6</v>
      </c>
      <c r="I251" s="173">
        <v>1.04</v>
      </c>
      <c r="J251" s="121">
        <v>1197135531</v>
      </c>
      <c r="K251" s="125">
        <v>4988.8810000000003</v>
      </c>
      <c r="L251" s="173">
        <v>1.5</v>
      </c>
      <c r="M251">
        <v>1.04</v>
      </c>
      <c r="N251">
        <v>1.000000005</v>
      </c>
      <c r="O251">
        <v>3.9999995000000066</v>
      </c>
      <c r="P251">
        <v>3990</v>
      </c>
      <c r="Q251" s="125">
        <v>0.26300000000000001</v>
      </c>
      <c r="R251" s="125">
        <v>0</v>
      </c>
      <c r="S251" s="125">
        <v>8.9</v>
      </c>
      <c r="T251" s="125">
        <v>115</v>
      </c>
      <c r="U251" s="125">
        <v>34.68</v>
      </c>
      <c r="V251" s="125">
        <v>0.1</v>
      </c>
      <c r="W251" s="125">
        <v>3</v>
      </c>
      <c r="X251" s="125">
        <v>0</v>
      </c>
      <c r="Y251" s="125">
        <v>0</v>
      </c>
      <c r="Z251" s="125">
        <v>0</v>
      </c>
      <c r="AA251" s="125">
        <v>73</v>
      </c>
      <c r="AB251" s="125">
        <v>119</v>
      </c>
      <c r="AC251" s="125">
        <v>938</v>
      </c>
      <c r="AD251" s="125">
        <v>0</v>
      </c>
      <c r="AE251" s="125">
        <v>190</v>
      </c>
      <c r="AF251" s="125">
        <v>199.5</v>
      </c>
      <c r="AG251" s="125">
        <v>0</v>
      </c>
      <c r="AH251" s="125">
        <v>0</v>
      </c>
      <c r="AI251" s="121">
        <v>13464902</v>
      </c>
      <c r="AJ251" s="121">
        <v>4791570</v>
      </c>
      <c r="AK251" s="424">
        <v>12</v>
      </c>
      <c r="AL251">
        <v>0</v>
      </c>
      <c r="AM251" s="121">
        <v>180390</v>
      </c>
      <c r="AN251" s="125">
        <v>0</v>
      </c>
      <c r="AO251" s="125">
        <v>0</v>
      </c>
      <c r="AP251" s="121">
        <v>18256472</v>
      </c>
      <c r="AQ251" s="114">
        <v>0</v>
      </c>
      <c r="AR251" s="121">
        <v>797.96205814999996</v>
      </c>
      <c r="AS251" s="121">
        <v>156802.05020999999</v>
      </c>
      <c r="AT251" s="121">
        <v>20650.759698999998</v>
      </c>
      <c r="AU251" s="420" t="s">
        <v>2001</v>
      </c>
      <c r="AV251" s="420" t="s">
        <v>2001</v>
      </c>
      <c r="AW251" s="121">
        <v>0</v>
      </c>
      <c r="AX251" s="121">
        <v>6543119</v>
      </c>
      <c r="BI251">
        <v>0</v>
      </c>
      <c r="BJ251" s="121">
        <v>0</v>
      </c>
      <c r="BK251" s="134">
        <v>1197135531</v>
      </c>
      <c r="BL251" s="934">
        <v>4640</v>
      </c>
      <c r="BM251" s="934">
        <v>4813</v>
      </c>
      <c r="BN251" s="934">
        <v>4724</v>
      </c>
      <c r="BO251" s="114">
        <v>0</v>
      </c>
      <c r="BP251" s="114">
        <v>0</v>
      </c>
    </row>
    <row r="252" spans="1:68">
      <c r="A252" t="s">
        <v>712</v>
      </c>
      <c r="B252" t="s">
        <v>1764</v>
      </c>
      <c r="C252" s="121">
        <v>5049</v>
      </c>
      <c r="D252" s="72">
        <v>3</v>
      </c>
      <c r="E252">
        <v>1236.135</v>
      </c>
      <c r="F252">
        <v>399</v>
      </c>
      <c r="G252">
        <v>318</v>
      </c>
      <c r="H252">
        <v>12</v>
      </c>
      <c r="I252" s="173">
        <v>1.03</v>
      </c>
      <c r="J252" s="121">
        <v>1439673984</v>
      </c>
      <c r="K252" s="125">
        <v>7197.5240000000003</v>
      </c>
      <c r="L252" s="173">
        <v>1.49</v>
      </c>
      <c r="M252">
        <v>1.03</v>
      </c>
      <c r="N252">
        <v>0.99333333830000003</v>
      </c>
      <c r="O252">
        <v>3.6666661699999992</v>
      </c>
      <c r="P252">
        <v>5820</v>
      </c>
      <c r="Q252" s="125">
        <v>0</v>
      </c>
      <c r="R252" s="125">
        <v>0</v>
      </c>
      <c r="S252" s="125">
        <v>12</v>
      </c>
      <c r="T252" s="125">
        <v>182</v>
      </c>
      <c r="U252" s="125">
        <v>29</v>
      </c>
      <c r="V252" s="125">
        <v>0</v>
      </c>
      <c r="W252" s="125">
        <v>9.6999999999999993</v>
      </c>
      <c r="X252" s="125">
        <v>0</v>
      </c>
      <c r="Y252" s="125">
        <v>0</v>
      </c>
      <c r="Z252" s="125">
        <v>1</v>
      </c>
      <c r="AA252" s="125">
        <v>60</v>
      </c>
      <c r="AB252" s="125">
        <v>140</v>
      </c>
      <c r="AC252" s="125">
        <v>2300</v>
      </c>
      <c r="AD252" s="125">
        <v>0.16</v>
      </c>
      <c r="AE252" s="125">
        <v>830</v>
      </c>
      <c r="AF252" s="125">
        <v>290</v>
      </c>
      <c r="AG252" s="125">
        <v>0</v>
      </c>
      <c r="AH252" s="125">
        <v>0</v>
      </c>
      <c r="AI252" s="121">
        <v>15102972</v>
      </c>
      <c r="AJ252" s="121">
        <v>4870724</v>
      </c>
      <c r="AK252" s="424">
        <v>12</v>
      </c>
      <c r="AL252">
        <v>0</v>
      </c>
      <c r="AM252" s="121">
        <v>359403</v>
      </c>
      <c r="AN252" s="125">
        <v>0</v>
      </c>
      <c r="AO252" s="125">
        <v>0</v>
      </c>
      <c r="AP252" s="121">
        <v>19973696</v>
      </c>
      <c r="AQ252" s="114">
        <v>0</v>
      </c>
      <c r="AR252" s="121">
        <v>959.62836755000001</v>
      </c>
      <c r="AS252" s="121">
        <v>188569.98767999999</v>
      </c>
      <c r="AT252" s="121">
        <v>24834.582817999999</v>
      </c>
      <c r="AU252" s="420" t="s">
        <v>2001</v>
      </c>
      <c r="AV252" s="420" t="s">
        <v>2001</v>
      </c>
      <c r="AW252" s="121">
        <v>0</v>
      </c>
      <c r="AX252" s="121">
        <v>8303114</v>
      </c>
      <c r="BI252">
        <v>0</v>
      </c>
      <c r="BJ252" s="121">
        <v>0</v>
      </c>
      <c r="BK252" s="134">
        <v>1439673984</v>
      </c>
      <c r="BL252" s="934">
        <v>5045</v>
      </c>
      <c r="BM252" s="934">
        <v>5028</v>
      </c>
      <c r="BN252" s="934">
        <v>5049</v>
      </c>
      <c r="BO252" s="114">
        <v>0</v>
      </c>
      <c r="BP252" s="114">
        <v>0</v>
      </c>
    </row>
    <row r="253" spans="1:68">
      <c r="A253" t="s">
        <v>2864</v>
      </c>
      <c r="B253" t="s">
        <v>461</v>
      </c>
      <c r="C253" s="121">
        <v>4958</v>
      </c>
      <c r="D253" s="72">
        <v>3</v>
      </c>
      <c r="E253">
        <v>587.53200000000004</v>
      </c>
      <c r="F253">
        <v>191</v>
      </c>
      <c r="G253">
        <v>197</v>
      </c>
      <c r="H253">
        <v>13</v>
      </c>
      <c r="I253" s="173">
        <v>1.1122000000000001</v>
      </c>
      <c r="J253" s="121">
        <v>416023206</v>
      </c>
      <c r="K253" s="125">
        <v>2563.8530000000001</v>
      </c>
      <c r="L253" s="173">
        <v>1.35</v>
      </c>
      <c r="M253">
        <v>1.1122000000000001</v>
      </c>
      <c r="N253">
        <v>0.90000000450000006</v>
      </c>
      <c r="O253">
        <v>21.219999550000001</v>
      </c>
      <c r="P253">
        <v>1800</v>
      </c>
      <c r="Q253" s="125">
        <v>0.33600000000000002</v>
      </c>
      <c r="R253" s="125">
        <v>0</v>
      </c>
      <c r="S253" s="125">
        <v>3.06</v>
      </c>
      <c r="T253" s="125">
        <v>49.5</v>
      </c>
      <c r="U253" s="125">
        <v>14.228999999999999</v>
      </c>
      <c r="V253" s="125">
        <v>3.58</v>
      </c>
      <c r="W253" s="125">
        <v>4.7619999999999996</v>
      </c>
      <c r="X253" s="125">
        <v>0</v>
      </c>
      <c r="Y253" s="125">
        <v>0</v>
      </c>
      <c r="Z253" s="125">
        <v>0</v>
      </c>
      <c r="AA253" s="125">
        <v>52</v>
      </c>
      <c r="AB253" s="125">
        <v>95</v>
      </c>
      <c r="AC253" s="125">
        <v>1088</v>
      </c>
      <c r="AD253" s="125">
        <v>0.6</v>
      </c>
      <c r="AE253" s="125">
        <v>22</v>
      </c>
      <c r="AF253" s="125">
        <v>90</v>
      </c>
      <c r="AG253" s="125">
        <v>0</v>
      </c>
      <c r="AH253" s="125">
        <v>0</v>
      </c>
      <c r="AI253" s="121">
        <v>4389991</v>
      </c>
      <c r="AJ253" s="121">
        <v>541772</v>
      </c>
      <c r="AK253" s="424">
        <v>12</v>
      </c>
      <c r="AL253">
        <v>0</v>
      </c>
      <c r="AM253" s="121">
        <v>163296</v>
      </c>
      <c r="AN253" s="125">
        <v>0</v>
      </c>
      <c r="AO253" s="125">
        <v>0</v>
      </c>
      <c r="AP253" s="121">
        <v>4931763</v>
      </c>
      <c r="AQ253" s="114">
        <v>0</v>
      </c>
      <c r="AR253" s="121">
        <v>277.30421940000002</v>
      </c>
      <c r="AS253" s="121">
        <v>54491.149912000001</v>
      </c>
      <c r="AT253" s="121">
        <v>7176.4600081999997</v>
      </c>
      <c r="AU253" s="420" t="s">
        <v>2001</v>
      </c>
      <c r="AV253" s="420" t="s">
        <v>2001</v>
      </c>
      <c r="AW253" s="121">
        <v>0</v>
      </c>
      <c r="AX253" s="121">
        <v>1019571</v>
      </c>
      <c r="BI253">
        <v>0</v>
      </c>
      <c r="BJ253" s="121">
        <v>0</v>
      </c>
      <c r="BK253" s="134">
        <v>375916586</v>
      </c>
      <c r="BL253" s="934">
        <v>4884</v>
      </c>
      <c r="BM253" s="934">
        <v>4727</v>
      </c>
      <c r="BN253" s="934">
        <v>4958</v>
      </c>
      <c r="BO253" s="114">
        <v>0</v>
      </c>
      <c r="BP253" s="114">
        <v>0</v>
      </c>
    </row>
    <row r="254" spans="1:68">
      <c r="A254" t="s">
        <v>2100</v>
      </c>
      <c r="B254" t="s">
        <v>3016</v>
      </c>
      <c r="C254" s="121">
        <v>5049</v>
      </c>
      <c r="D254" s="72">
        <v>1</v>
      </c>
      <c r="E254">
        <v>28.472999999999999</v>
      </c>
      <c r="F254">
        <v>15</v>
      </c>
      <c r="G254">
        <v>9</v>
      </c>
      <c r="H254">
        <v>0</v>
      </c>
      <c r="I254" s="173">
        <v>1.0720000000000001</v>
      </c>
      <c r="J254" s="121">
        <v>70874001</v>
      </c>
      <c r="K254" s="125">
        <v>160.14599999999999</v>
      </c>
      <c r="L254" s="173">
        <v>1.282</v>
      </c>
      <c r="M254">
        <v>1.0720000000000001</v>
      </c>
      <c r="N254">
        <v>0.85466667094000004</v>
      </c>
      <c r="O254">
        <v>21.733332906000001</v>
      </c>
      <c r="P254">
        <v>56.771000000000001</v>
      </c>
      <c r="Q254" s="125">
        <v>0</v>
      </c>
      <c r="R254" s="125">
        <v>0</v>
      </c>
      <c r="S254" s="125">
        <v>0.123</v>
      </c>
      <c r="T254" s="125">
        <v>4.0119999999999996</v>
      </c>
      <c r="U254" s="125">
        <v>0</v>
      </c>
      <c r="V254" s="125">
        <v>0.26700000000000002</v>
      </c>
      <c r="W254" s="125">
        <v>0</v>
      </c>
      <c r="X254" s="125">
        <v>0</v>
      </c>
      <c r="Y254" s="125">
        <v>0</v>
      </c>
      <c r="Z254" s="125">
        <v>0</v>
      </c>
      <c r="AA254" s="125">
        <v>2.4009999999999998</v>
      </c>
      <c r="AB254" s="125">
        <v>8.891</v>
      </c>
      <c r="AC254" s="125">
        <v>45</v>
      </c>
      <c r="AD254" s="125">
        <v>0</v>
      </c>
      <c r="AE254" s="125">
        <v>0</v>
      </c>
      <c r="AF254" s="125">
        <v>2.8385500000000001</v>
      </c>
      <c r="AG254" s="125">
        <v>0</v>
      </c>
      <c r="AH254" s="125">
        <v>0</v>
      </c>
      <c r="AI254" s="121">
        <v>797758</v>
      </c>
      <c r="AJ254" s="121">
        <v>83633</v>
      </c>
      <c r="AK254" s="424">
        <v>12</v>
      </c>
      <c r="AL254">
        <v>0</v>
      </c>
      <c r="AM254" s="121">
        <v>17223</v>
      </c>
      <c r="AN254" s="125">
        <v>0</v>
      </c>
      <c r="AO254" s="125">
        <v>0</v>
      </c>
      <c r="AP254" s="121">
        <v>881391</v>
      </c>
      <c r="AQ254" s="114">
        <v>0</v>
      </c>
      <c r="AR254" s="121">
        <v>0</v>
      </c>
      <c r="AS254" s="121">
        <v>0</v>
      </c>
      <c r="AT254" s="121">
        <v>0</v>
      </c>
      <c r="AU254" s="420" t="s">
        <v>798</v>
      </c>
      <c r="AV254" s="420" t="s">
        <v>2001</v>
      </c>
      <c r="AW254" s="121">
        <v>0</v>
      </c>
      <c r="AX254" s="121">
        <v>83485</v>
      </c>
      <c r="AY254" s="134">
        <v>190340</v>
      </c>
      <c r="AZ254" s="134">
        <v>498001</v>
      </c>
      <c r="BA254" s="114">
        <v>231</v>
      </c>
      <c r="BB254" s="134">
        <v>35157098</v>
      </c>
      <c r="BC254" s="114">
        <v>0</v>
      </c>
      <c r="BD254" s="114">
        <v>0</v>
      </c>
      <c r="BE254" s="114">
        <v>0</v>
      </c>
      <c r="BF254" s="114">
        <v>81</v>
      </c>
      <c r="BG254" s="114">
        <v>0</v>
      </c>
      <c r="BH254" s="114">
        <v>0</v>
      </c>
      <c r="BI254">
        <v>0</v>
      </c>
      <c r="BJ254" s="121">
        <v>32</v>
      </c>
      <c r="BK254" s="134">
        <v>70874001</v>
      </c>
      <c r="BL254" s="934">
        <v>5049</v>
      </c>
      <c r="BM254" s="934">
        <v>4091</v>
      </c>
      <c r="BN254" s="934">
        <v>4677</v>
      </c>
      <c r="BO254" s="114">
        <v>0</v>
      </c>
      <c r="BP254" s="114">
        <v>0</v>
      </c>
    </row>
    <row r="255" spans="1:68">
      <c r="A255" t="s">
        <v>1352</v>
      </c>
      <c r="B255" t="s">
        <v>2511</v>
      </c>
      <c r="C255" s="121">
        <v>4718</v>
      </c>
      <c r="D255" s="72">
        <v>2</v>
      </c>
      <c r="E255">
        <v>423.74900000000002</v>
      </c>
      <c r="F255">
        <v>129</v>
      </c>
      <c r="G255">
        <v>107</v>
      </c>
      <c r="H255">
        <v>1</v>
      </c>
      <c r="I255" s="173">
        <v>1.04</v>
      </c>
      <c r="J255" s="121">
        <v>332258250</v>
      </c>
      <c r="K255" s="125">
        <v>2165.4810000000002</v>
      </c>
      <c r="L255" s="173">
        <v>1.5</v>
      </c>
      <c r="M255">
        <v>1.04</v>
      </c>
      <c r="N255">
        <v>1.000000005</v>
      </c>
      <c r="O255">
        <v>3.9999995000000066</v>
      </c>
      <c r="P255">
        <v>1475</v>
      </c>
      <c r="Q255" s="125">
        <v>5.0000000000000001E-3</v>
      </c>
      <c r="R255" s="125">
        <v>0</v>
      </c>
      <c r="S255" s="125">
        <v>2.839</v>
      </c>
      <c r="T255" s="125">
        <v>52.732999999999997</v>
      </c>
      <c r="U255" s="125">
        <v>11.611000000000001</v>
      </c>
      <c r="V255" s="125">
        <v>11.186999999999999</v>
      </c>
      <c r="W255" s="125">
        <v>2.5369999999999999</v>
      </c>
      <c r="X255" s="125">
        <v>0</v>
      </c>
      <c r="Y255" s="125">
        <v>0</v>
      </c>
      <c r="Z255" s="125">
        <v>5.5149999999999997</v>
      </c>
      <c r="AA255" s="125">
        <v>38.125</v>
      </c>
      <c r="AB255" s="125">
        <v>71.369</v>
      </c>
      <c r="AC255" s="125">
        <v>967.1</v>
      </c>
      <c r="AD255" s="125">
        <v>0.17799999999999999</v>
      </c>
      <c r="AE255" s="125">
        <v>113.366</v>
      </c>
      <c r="AF255" s="125">
        <v>73.75</v>
      </c>
      <c r="AG255" s="125">
        <v>0</v>
      </c>
      <c r="AH255" s="125">
        <v>0</v>
      </c>
      <c r="AI255" s="121">
        <v>3519412</v>
      </c>
      <c r="AJ255" s="121">
        <v>483244</v>
      </c>
      <c r="AK255" s="424">
        <v>12</v>
      </c>
      <c r="AL255">
        <v>0</v>
      </c>
      <c r="AM255" s="121">
        <v>133841</v>
      </c>
      <c r="AN255" s="125">
        <v>0</v>
      </c>
      <c r="AO255" s="125">
        <v>0</v>
      </c>
      <c r="AP255" s="121">
        <v>4002656</v>
      </c>
      <c r="AQ255" s="114">
        <v>0</v>
      </c>
      <c r="AR255" s="121">
        <v>221.46989221000001</v>
      </c>
      <c r="AS255" s="121">
        <v>43519.529285999997</v>
      </c>
      <c r="AT255" s="121">
        <v>5731.5024917999999</v>
      </c>
      <c r="AU255" s="420" t="s">
        <v>2001</v>
      </c>
      <c r="AV255" s="420" t="s">
        <v>2001</v>
      </c>
      <c r="AW255" s="121">
        <v>0</v>
      </c>
      <c r="AX255" s="121">
        <v>818796</v>
      </c>
      <c r="BI255">
        <v>0</v>
      </c>
      <c r="BJ255" s="121">
        <v>0</v>
      </c>
      <c r="BK255" s="134">
        <v>332258250</v>
      </c>
      <c r="BL255" s="934">
        <v>4671</v>
      </c>
      <c r="BM255" s="934">
        <v>4718</v>
      </c>
      <c r="BN255" s="934">
        <v>4718</v>
      </c>
      <c r="BO255" s="114">
        <v>0</v>
      </c>
      <c r="BP255" s="114">
        <v>0</v>
      </c>
    </row>
    <row r="256" spans="1:68">
      <c r="A256" t="s">
        <v>2101</v>
      </c>
      <c r="B256" t="s">
        <v>3017</v>
      </c>
      <c r="C256" s="121">
        <v>4518</v>
      </c>
      <c r="D256" s="72">
        <v>3</v>
      </c>
      <c r="E256">
        <v>190.011</v>
      </c>
      <c r="F256">
        <v>53</v>
      </c>
      <c r="G256">
        <v>37</v>
      </c>
      <c r="H256">
        <v>0</v>
      </c>
      <c r="I256" s="173">
        <v>1.04</v>
      </c>
      <c r="J256" s="121">
        <v>118720697</v>
      </c>
      <c r="K256" s="125">
        <v>1027.252</v>
      </c>
      <c r="L256" s="173">
        <v>1.38</v>
      </c>
      <c r="M256">
        <v>1.04</v>
      </c>
      <c r="N256">
        <v>0.92000000459999998</v>
      </c>
      <c r="O256">
        <v>11.999999540000006</v>
      </c>
      <c r="P256">
        <v>615</v>
      </c>
      <c r="Q256" s="125">
        <v>0</v>
      </c>
      <c r="R256" s="125">
        <v>0</v>
      </c>
      <c r="S256" s="125">
        <v>1.2010000000000001</v>
      </c>
      <c r="T256" s="125">
        <v>24.568999999999999</v>
      </c>
      <c r="U256" s="125">
        <v>0.156</v>
      </c>
      <c r="V256" s="125">
        <v>5.2750000000000004</v>
      </c>
      <c r="W256" s="125">
        <v>6</v>
      </c>
      <c r="X256" s="125">
        <v>0</v>
      </c>
      <c r="Y256" s="125">
        <v>0</v>
      </c>
      <c r="Z256" s="125">
        <v>0</v>
      </c>
      <c r="AA256" s="125">
        <v>23.55</v>
      </c>
      <c r="AB256" s="125">
        <v>29</v>
      </c>
      <c r="AC256" s="125">
        <v>360</v>
      </c>
      <c r="AD256" s="125">
        <v>0</v>
      </c>
      <c r="AE256" s="125">
        <v>6</v>
      </c>
      <c r="AF256" s="125">
        <v>15</v>
      </c>
      <c r="AG256" s="125">
        <v>0</v>
      </c>
      <c r="AH256" s="125">
        <v>0</v>
      </c>
      <c r="AI256" s="121">
        <v>1288063</v>
      </c>
      <c r="AJ256" s="121">
        <v>0</v>
      </c>
      <c r="AK256" s="424">
        <v>12</v>
      </c>
      <c r="AL256">
        <v>0</v>
      </c>
      <c r="AM256" s="121">
        <v>46007</v>
      </c>
      <c r="AN256" s="125">
        <v>0</v>
      </c>
      <c r="AO256" s="125">
        <v>0</v>
      </c>
      <c r="AP256" s="121">
        <v>1288063</v>
      </c>
      <c r="AQ256" s="114">
        <v>0</v>
      </c>
      <c r="AR256" s="121">
        <v>79.134408057000002</v>
      </c>
      <c r="AS256" s="121">
        <v>15550.159684</v>
      </c>
      <c r="AT256" s="121">
        <v>2047.9490573</v>
      </c>
      <c r="AU256" s="420" t="s">
        <v>2001</v>
      </c>
      <c r="AV256" s="420" t="s">
        <v>2001</v>
      </c>
      <c r="AW256" s="121">
        <v>0</v>
      </c>
      <c r="AX256" s="121">
        <v>0</v>
      </c>
      <c r="BI256">
        <v>0</v>
      </c>
      <c r="BJ256" s="121">
        <v>0</v>
      </c>
      <c r="BK256" s="134">
        <v>117954507</v>
      </c>
      <c r="BL256" s="934">
        <v>4481</v>
      </c>
      <c r="BM256" s="934">
        <v>4280</v>
      </c>
      <c r="BN256" s="934">
        <v>4518</v>
      </c>
      <c r="BO256" s="114">
        <v>0</v>
      </c>
      <c r="BP256" s="114">
        <v>0</v>
      </c>
    </row>
    <row r="257" spans="1:68">
      <c r="A257" t="s">
        <v>796</v>
      </c>
      <c r="B257" t="s">
        <v>3018</v>
      </c>
      <c r="C257" s="121">
        <v>4780</v>
      </c>
      <c r="D257" s="72">
        <v>2</v>
      </c>
      <c r="E257">
        <v>0</v>
      </c>
      <c r="F257">
        <v>5</v>
      </c>
      <c r="G257">
        <v>5</v>
      </c>
      <c r="H257">
        <v>1</v>
      </c>
      <c r="I257" s="173">
        <v>0.95130000000000003</v>
      </c>
      <c r="J257" s="121">
        <v>20158562</v>
      </c>
      <c r="K257" s="125">
        <v>102.592</v>
      </c>
      <c r="L257" s="173">
        <v>1.3695999999999999</v>
      </c>
      <c r="M257">
        <v>0.95130000000000003</v>
      </c>
      <c r="N257">
        <v>0.91306667123200003</v>
      </c>
      <c r="O257">
        <v>3.8233328768000008</v>
      </c>
      <c r="P257">
        <v>40.942999999999998</v>
      </c>
      <c r="Q257" s="125">
        <v>0</v>
      </c>
      <c r="R257" s="125">
        <v>0</v>
      </c>
      <c r="S257" s="125">
        <v>3.5000000000000003E-2</v>
      </c>
      <c r="T257" s="125">
        <v>0.40100000000000002</v>
      </c>
      <c r="U257" s="125">
        <v>0</v>
      </c>
      <c r="V257" s="125">
        <v>0</v>
      </c>
      <c r="W257" s="125">
        <v>0</v>
      </c>
      <c r="X257" s="125">
        <v>0</v>
      </c>
      <c r="Y257" s="125">
        <v>0</v>
      </c>
      <c r="Z257" s="125">
        <v>0</v>
      </c>
      <c r="AA257" s="125">
        <v>2.2000000000000002</v>
      </c>
      <c r="AB257" s="125">
        <v>0</v>
      </c>
      <c r="AC257" s="125">
        <v>37</v>
      </c>
      <c r="AD257" s="125">
        <v>0</v>
      </c>
      <c r="AE257" s="125">
        <v>3.3879999999999999</v>
      </c>
      <c r="AF257" s="125">
        <v>2.0470000000000002</v>
      </c>
      <c r="AG257" s="125">
        <v>0</v>
      </c>
      <c r="AH257" s="125">
        <v>0</v>
      </c>
      <c r="AI257" s="121">
        <v>193303</v>
      </c>
      <c r="AJ257" s="121">
        <v>23738</v>
      </c>
      <c r="AK257" s="424">
        <v>8</v>
      </c>
      <c r="AL257">
        <v>0</v>
      </c>
      <c r="AM257" s="121">
        <v>7511</v>
      </c>
      <c r="AN257" s="125">
        <v>0</v>
      </c>
      <c r="AO257" s="125">
        <v>0</v>
      </c>
      <c r="AP257" s="121">
        <v>217041</v>
      </c>
      <c r="AQ257" s="114">
        <v>0</v>
      </c>
      <c r="AR257" s="121">
        <v>13.43688096</v>
      </c>
      <c r="AS257" s="121">
        <v>2640.3893035999999</v>
      </c>
      <c r="AT257" s="121">
        <v>347.73808726999999</v>
      </c>
      <c r="AU257" s="420" t="s">
        <v>2001</v>
      </c>
      <c r="AV257" s="420" t="s">
        <v>2001</v>
      </c>
      <c r="AW257" s="121">
        <v>0</v>
      </c>
      <c r="AX257" s="121">
        <v>25575</v>
      </c>
      <c r="BI257">
        <v>0</v>
      </c>
      <c r="BJ257" s="121">
        <v>0</v>
      </c>
      <c r="BK257" s="134">
        <v>20158562</v>
      </c>
      <c r="BL257" s="934">
        <v>4559</v>
      </c>
      <c r="BM257" s="934">
        <v>4780</v>
      </c>
      <c r="BN257" s="934">
        <v>4742</v>
      </c>
      <c r="BO257" s="134">
        <v>22103</v>
      </c>
      <c r="BP257" s="134">
        <v>24984</v>
      </c>
    </row>
    <row r="258" spans="1:68">
      <c r="A258" t="s">
        <v>330</v>
      </c>
      <c r="B258" t="s">
        <v>3019</v>
      </c>
      <c r="C258" s="121">
        <v>6160</v>
      </c>
      <c r="D258" s="72">
        <v>2</v>
      </c>
      <c r="E258">
        <v>0</v>
      </c>
      <c r="F258">
        <v>10</v>
      </c>
      <c r="G258">
        <v>8</v>
      </c>
      <c r="H258">
        <v>0</v>
      </c>
      <c r="I258" s="173">
        <v>1.04</v>
      </c>
      <c r="J258" s="121">
        <v>79117485</v>
      </c>
      <c r="K258" s="125">
        <v>218.512</v>
      </c>
      <c r="L258" s="173">
        <v>1.5</v>
      </c>
      <c r="M258">
        <v>1.04</v>
      </c>
      <c r="N258">
        <v>1.000000005</v>
      </c>
      <c r="O258">
        <v>3.9999995000000066</v>
      </c>
      <c r="P258">
        <v>130</v>
      </c>
      <c r="Q258" s="125">
        <v>0</v>
      </c>
      <c r="R258" s="125">
        <v>0</v>
      </c>
      <c r="S258" s="125">
        <v>0.34499999999999997</v>
      </c>
      <c r="T258" s="125">
        <v>1.6240000000000001</v>
      </c>
      <c r="U258" s="125">
        <v>1.4530000000000001</v>
      </c>
      <c r="V258" s="125">
        <v>0.224</v>
      </c>
      <c r="W258" s="125">
        <v>0</v>
      </c>
      <c r="X258" s="125">
        <v>0</v>
      </c>
      <c r="Y258" s="125">
        <v>0</v>
      </c>
      <c r="Z258" s="125">
        <v>0</v>
      </c>
      <c r="AA258" s="125">
        <v>8.6929999999999996</v>
      </c>
      <c r="AB258" s="125">
        <v>0</v>
      </c>
      <c r="AC258" s="125">
        <v>40</v>
      </c>
      <c r="AD258" s="125">
        <v>0</v>
      </c>
      <c r="AE258" s="125">
        <v>0</v>
      </c>
      <c r="AF258" s="125">
        <v>3</v>
      </c>
      <c r="AG258" s="125">
        <v>0</v>
      </c>
      <c r="AH258" s="125">
        <v>0</v>
      </c>
      <c r="AI258" s="121">
        <v>778872</v>
      </c>
      <c r="AJ258" s="121">
        <v>0</v>
      </c>
      <c r="AK258" s="424">
        <v>8</v>
      </c>
      <c r="AL258">
        <v>0</v>
      </c>
      <c r="AM258" s="121">
        <v>27701</v>
      </c>
      <c r="AN258" s="125">
        <v>0</v>
      </c>
      <c r="AO258" s="125">
        <v>0</v>
      </c>
      <c r="AP258" s="121">
        <v>778872</v>
      </c>
      <c r="AQ258" s="114">
        <v>0</v>
      </c>
      <c r="AR258" s="121">
        <v>52.736510922999997</v>
      </c>
      <c r="AS258" s="121">
        <v>10362.890001</v>
      </c>
      <c r="AT258" s="121">
        <v>1364.7879662</v>
      </c>
      <c r="AU258" s="420" t="s">
        <v>798</v>
      </c>
      <c r="AV258" s="420" t="s">
        <v>2001</v>
      </c>
      <c r="AW258" s="121">
        <v>0</v>
      </c>
      <c r="AX258" s="121">
        <v>0</v>
      </c>
      <c r="AY258" s="134">
        <v>228291</v>
      </c>
      <c r="AZ258" s="134">
        <v>572430</v>
      </c>
      <c r="BA258" s="114">
        <v>314</v>
      </c>
      <c r="BB258" s="134">
        <v>53590410</v>
      </c>
      <c r="BC258" s="114">
        <v>0</v>
      </c>
      <c r="BD258" s="114">
        <v>0</v>
      </c>
      <c r="BE258" s="114">
        <v>0</v>
      </c>
      <c r="BF258" s="114">
        <v>124</v>
      </c>
      <c r="BG258" s="114">
        <v>0</v>
      </c>
      <c r="BH258" s="114">
        <v>0</v>
      </c>
      <c r="BI258">
        <v>0</v>
      </c>
      <c r="BJ258" s="121">
        <v>0</v>
      </c>
      <c r="BK258" s="134">
        <v>71325270</v>
      </c>
      <c r="BL258" s="934">
        <v>4929</v>
      </c>
      <c r="BM258" s="934">
        <v>6160</v>
      </c>
      <c r="BN258" s="934">
        <v>5435</v>
      </c>
      <c r="BO258" s="114">
        <v>0</v>
      </c>
      <c r="BP258" s="114">
        <v>0</v>
      </c>
    </row>
    <row r="259" spans="1:68">
      <c r="A259" t="s">
        <v>203</v>
      </c>
      <c r="B259" t="s">
        <v>3020</v>
      </c>
      <c r="C259" s="121">
        <v>6234</v>
      </c>
      <c r="D259" s="72">
        <v>2</v>
      </c>
      <c r="E259">
        <v>75.353999999999999</v>
      </c>
      <c r="F259">
        <v>32</v>
      </c>
      <c r="G259">
        <v>27</v>
      </c>
      <c r="H259">
        <v>1</v>
      </c>
      <c r="I259" s="173">
        <v>1.04</v>
      </c>
      <c r="J259" s="121">
        <v>239386322</v>
      </c>
      <c r="K259" s="125">
        <v>495.637</v>
      </c>
      <c r="L259" s="173">
        <v>1.5</v>
      </c>
      <c r="M259">
        <v>1.04</v>
      </c>
      <c r="N259">
        <v>1.000000005</v>
      </c>
      <c r="O259">
        <v>3.9999995000000066</v>
      </c>
      <c r="P259">
        <v>252.1</v>
      </c>
      <c r="Q259" s="125">
        <v>0</v>
      </c>
      <c r="R259" s="125">
        <v>0</v>
      </c>
      <c r="S259" s="125">
        <v>0.501</v>
      </c>
      <c r="T259" s="125">
        <v>1.65</v>
      </c>
      <c r="U259" s="125">
        <v>1</v>
      </c>
      <c r="V259" s="125">
        <v>0</v>
      </c>
      <c r="W259" s="125">
        <v>1.0049999999999999</v>
      </c>
      <c r="X259" s="125">
        <v>0</v>
      </c>
      <c r="Y259" s="125">
        <v>0</v>
      </c>
      <c r="Z259" s="125">
        <v>0</v>
      </c>
      <c r="AA259" s="125">
        <v>12.5</v>
      </c>
      <c r="AB259" s="125">
        <v>17.5</v>
      </c>
      <c r="AC259" s="125">
        <v>154.69999999999999</v>
      </c>
      <c r="AD259" s="125">
        <v>0.25</v>
      </c>
      <c r="AE259" s="125">
        <v>0</v>
      </c>
      <c r="AF259" s="125">
        <v>11.75</v>
      </c>
      <c r="AG259" s="125">
        <v>0</v>
      </c>
      <c r="AH259" s="125">
        <v>0</v>
      </c>
      <c r="AI259" s="121">
        <v>2587958</v>
      </c>
      <c r="AJ259" s="121">
        <v>0</v>
      </c>
      <c r="AK259" s="424">
        <v>12</v>
      </c>
      <c r="AL259">
        <v>0</v>
      </c>
      <c r="AM259" s="121">
        <v>20570</v>
      </c>
      <c r="AN259" s="125">
        <v>0</v>
      </c>
      <c r="AO259" s="125">
        <v>0</v>
      </c>
      <c r="AP259" s="121">
        <v>2587958</v>
      </c>
      <c r="AQ259" s="114">
        <v>0</v>
      </c>
      <c r="AR259" s="121">
        <v>0</v>
      </c>
      <c r="AS259" s="121">
        <v>0</v>
      </c>
      <c r="AT259" s="121">
        <v>0</v>
      </c>
      <c r="AU259" s="420" t="s">
        <v>798</v>
      </c>
      <c r="AV259" s="72" t="s">
        <v>798</v>
      </c>
      <c r="AW259" s="121">
        <v>0</v>
      </c>
      <c r="AX259" s="121">
        <v>270908</v>
      </c>
      <c r="AY259" s="134">
        <v>203594</v>
      </c>
      <c r="AZ259" s="134">
        <v>1730495</v>
      </c>
      <c r="BA259" s="114">
        <v>737</v>
      </c>
      <c r="BB259" s="134">
        <v>63577611</v>
      </c>
      <c r="BC259" s="114">
        <v>0</v>
      </c>
      <c r="BD259" s="114">
        <v>0</v>
      </c>
      <c r="BE259" s="114">
        <v>0</v>
      </c>
      <c r="BF259" s="114">
        <v>291</v>
      </c>
      <c r="BG259" s="114">
        <v>0</v>
      </c>
      <c r="BH259" s="114">
        <v>0</v>
      </c>
      <c r="BI259">
        <v>0</v>
      </c>
      <c r="BJ259" s="121">
        <v>0</v>
      </c>
      <c r="BK259" s="134">
        <v>239386322</v>
      </c>
      <c r="BL259" s="934">
        <v>5524</v>
      </c>
      <c r="BM259" s="934">
        <v>6234</v>
      </c>
      <c r="BN259" s="934">
        <v>5504</v>
      </c>
      <c r="BO259" s="114">
        <v>0</v>
      </c>
      <c r="BP259" s="114">
        <v>0</v>
      </c>
    </row>
    <row r="260" spans="1:68">
      <c r="A260" t="s">
        <v>204</v>
      </c>
      <c r="B260" t="s">
        <v>3021</v>
      </c>
      <c r="C260" s="121">
        <v>4602</v>
      </c>
      <c r="D260" s="72">
        <v>2</v>
      </c>
      <c r="E260">
        <v>34.024999999999999</v>
      </c>
      <c r="F260">
        <v>14</v>
      </c>
      <c r="G260">
        <v>12</v>
      </c>
      <c r="H260">
        <v>0</v>
      </c>
      <c r="I260" s="173">
        <v>1.04</v>
      </c>
      <c r="J260" s="121">
        <v>22840894</v>
      </c>
      <c r="K260" s="125">
        <v>313.70499999999998</v>
      </c>
      <c r="L260" s="173">
        <v>1.5</v>
      </c>
      <c r="M260">
        <v>1.04</v>
      </c>
      <c r="N260">
        <v>1.000000005</v>
      </c>
      <c r="O260">
        <v>3.9999995000000066</v>
      </c>
      <c r="P260">
        <v>130</v>
      </c>
      <c r="Q260" s="125">
        <v>0</v>
      </c>
      <c r="R260" s="125">
        <v>0</v>
      </c>
      <c r="S260" s="125">
        <v>0.125</v>
      </c>
      <c r="T260" s="125">
        <v>0</v>
      </c>
      <c r="U260" s="125">
        <v>0</v>
      </c>
      <c r="V260" s="125">
        <v>0</v>
      </c>
      <c r="W260" s="125">
        <v>0.67600000000000005</v>
      </c>
      <c r="X260" s="125">
        <v>0</v>
      </c>
      <c r="Y260" s="125">
        <v>0</v>
      </c>
      <c r="Z260" s="125">
        <v>0</v>
      </c>
      <c r="AA260" s="125">
        <v>13.271000000000001</v>
      </c>
      <c r="AB260" s="125">
        <v>16.96</v>
      </c>
      <c r="AC260" s="125">
        <v>105.6</v>
      </c>
      <c r="AD260" s="125">
        <v>0</v>
      </c>
      <c r="AE260" s="125">
        <v>0</v>
      </c>
      <c r="AF260" s="125">
        <v>5.3330000000000002</v>
      </c>
      <c r="AG260" s="125">
        <v>0</v>
      </c>
      <c r="AH260" s="125">
        <v>0</v>
      </c>
      <c r="AI260" s="121">
        <v>245678</v>
      </c>
      <c r="AJ260" s="121">
        <v>0</v>
      </c>
      <c r="AK260" s="424">
        <v>12</v>
      </c>
      <c r="AL260">
        <v>0</v>
      </c>
      <c r="AM260" s="121">
        <v>41732</v>
      </c>
      <c r="AN260" s="125">
        <v>0</v>
      </c>
      <c r="AO260" s="125">
        <v>0</v>
      </c>
      <c r="AP260" s="121">
        <v>245678</v>
      </c>
      <c r="AQ260" s="114">
        <v>0</v>
      </c>
      <c r="AR260" s="121">
        <v>15.224814910999999</v>
      </c>
      <c r="AS260" s="121">
        <v>2991.7239395000001</v>
      </c>
      <c r="AT260" s="121">
        <v>394.00870127000002</v>
      </c>
      <c r="AU260" s="420" t="s">
        <v>2001</v>
      </c>
      <c r="AV260" s="420" t="s">
        <v>2001</v>
      </c>
      <c r="AW260" s="121">
        <v>0</v>
      </c>
      <c r="AX260" s="121">
        <v>0</v>
      </c>
      <c r="BI260">
        <v>0</v>
      </c>
      <c r="BJ260" s="121">
        <v>0</v>
      </c>
      <c r="BK260" s="134">
        <v>22497998</v>
      </c>
      <c r="BL260" s="934">
        <v>4444</v>
      </c>
      <c r="BM260" s="934">
        <v>4602</v>
      </c>
      <c r="BN260" s="934">
        <v>4559</v>
      </c>
      <c r="BO260" s="114">
        <v>0</v>
      </c>
      <c r="BP260" s="114">
        <v>0</v>
      </c>
    </row>
    <row r="261" spans="1:68">
      <c r="A261" t="s">
        <v>816</v>
      </c>
      <c r="B261" t="s">
        <v>37</v>
      </c>
      <c r="C261" s="121">
        <v>4701</v>
      </c>
      <c r="D261" s="72">
        <v>1</v>
      </c>
      <c r="E261">
        <v>630.19600000000003</v>
      </c>
      <c r="F261">
        <v>176</v>
      </c>
      <c r="G261">
        <v>177</v>
      </c>
      <c r="H261">
        <v>4</v>
      </c>
      <c r="I261" s="173">
        <v>1.17</v>
      </c>
      <c r="J261" s="121">
        <v>451189803</v>
      </c>
      <c r="K261" s="125">
        <v>3201.5680000000002</v>
      </c>
      <c r="L261" s="173">
        <v>1.5</v>
      </c>
      <c r="M261">
        <v>1.17</v>
      </c>
      <c r="N261">
        <v>1.000000005</v>
      </c>
      <c r="O261">
        <v>16.999999499999994</v>
      </c>
      <c r="P261">
        <v>2162.7539999999999</v>
      </c>
      <c r="Q261" s="125">
        <v>0</v>
      </c>
      <c r="R261" s="125">
        <v>0</v>
      </c>
      <c r="S261" s="125">
        <v>2.681</v>
      </c>
      <c r="T261" s="125">
        <v>44.234999999999999</v>
      </c>
      <c r="U261" s="125">
        <v>7.6150000000000002</v>
      </c>
      <c r="V261" s="125">
        <v>2.5670000000000002</v>
      </c>
      <c r="W261" s="125">
        <v>3.4809999999999999</v>
      </c>
      <c r="X261" s="125">
        <v>0</v>
      </c>
      <c r="Y261" s="125">
        <v>0</v>
      </c>
      <c r="Z261" s="125">
        <v>0</v>
      </c>
      <c r="AA261" s="125">
        <v>60.134999999999998</v>
      </c>
      <c r="AB261" s="125">
        <v>109.004</v>
      </c>
      <c r="AC261" s="125">
        <v>2141.1</v>
      </c>
      <c r="AD261" s="125">
        <v>1.9450000000000001</v>
      </c>
      <c r="AE261" s="125">
        <v>203.375</v>
      </c>
      <c r="AF261" s="125">
        <v>108.1377</v>
      </c>
      <c r="AG261" s="125">
        <v>0</v>
      </c>
      <c r="AH261" s="125">
        <v>0</v>
      </c>
      <c r="AI261" s="121">
        <v>5265723</v>
      </c>
      <c r="AJ261" s="121">
        <v>244902</v>
      </c>
      <c r="AK261" s="424">
        <v>12</v>
      </c>
      <c r="AL261">
        <v>0</v>
      </c>
      <c r="AM261" s="121">
        <v>265553</v>
      </c>
      <c r="AN261" s="125">
        <v>0</v>
      </c>
      <c r="AO261" s="125">
        <v>0</v>
      </c>
      <c r="AP261" s="121">
        <v>5510625</v>
      </c>
      <c r="AQ261" s="114">
        <v>0</v>
      </c>
      <c r="AR261" s="121">
        <v>300.74484842999999</v>
      </c>
      <c r="AS261" s="121">
        <v>59097.307124999999</v>
      </c>
      <c r="AT261" s="121">
        <v>7783.0888477999997</v>
      </c>
      <c r="AU261" s="420" t="s">
        <v>2001</v>
      </c>
      <c r="AV261" s="420" t="s">
        <v>2001</v>
      </c>
      <c r="AW261" s="121">
        <v>0</v>
      </c>
      <c r="AX261" s="121">
        <v>518585</v>
      </c>
      <c r="BI261">
        <v>0</v>
      </c>
      <c r="BJ261" s="121">
        <v>0</v>
      </c>
      <c r="BK261" s="134">
        <v>451189803</v>
      </c>
      <c r="BL261" s="934">
        <v>4701</v>
      </c>
      <c r="BM261" s="934">
        <v>4668</v>
      </c>
      <c r="BN261" s="934">
        <v>4668</v>
      </c>
      <c r="BO261" s="114">
        <v>0</v>
      </c>
      <c r="BP261" s="114">
        <v>0</v>
      </c>
    </row>
    <row r="262" spans="1:68">
      <c r="A262" t="s">
        <v>3025</v>
      </c>
      <c r="B262" t="s">
        <v>2235</v>
      </c>
      <c r="C262" s="121">
        <v>4723</v>
      </c>
      <c r="D262" s="72">
        <v>3</v>
      </c>
      <c r="E262">
        <v>146.709</v>
      </c>
      <c r="F262">
        <v>54</v>
      </c>
      <c r="G262">
        <v>35</v>
      </c>
      <c r="H262">
        <v>2</v>
      </c>
      <c r="I262" s="173">
        <v>1.04</v>
      </c>
      <c r="J262" s="121">
        <v>121556606</v>
      </c>
      <c r="K262" s="125">
        <v>927.52700000000004</v>
      </c>
      <c r="L262" s="173">
        <v>1.3740000000000001</v>
      </c>
      <c r="M262">
        <v>1.04</v>
      </c>
      <c r="N262">
        <v>0.91600000458000008</v>
      </c>
      <c r="O262">
        <v>12.399999541999996</v>
      </c>
      <c r="P262">
        <v>470</v>
      </c>
      <c r="Q262" s="125">
        <v>0</v>
      </c>
      <c r="R262" s="125">
        <v>0</v>
      </c>
      <c r="S262" s="125">
        <v>0.4</v>
      </c>
      <c r="T262" s="125">
        <v>18</v>
      </c>
      <c r="U262" s="125">
        <v>4</v>
      </c>
      <c r="V262" s="125">
        <v>0</v>
      </c>
      <c r="W262" s="125">
        <v>0.26</v>
      </c>
      <c r="X262" s="125">
        <v>0</v>
      </c>
      <c r="Y262" s="125">
        <v>0</v>
      </c>
      <c r="Z262" s="125">
        <v>0</v>
      </c>
      <c r="AA262" s="125">
        <v>23</v>
      </c>
      <c r="AB262" s="125">
        <v>33</v>
      </c>
      <c r="AC262" s="125">
        <v>290</v>
      </c>
      <c r="AD262" s="125">
        <v>0</v>
      </c>
      <c r="AE262" s="125">
        <v>3</v>
      </c>
      <c r="AF262" s="125">
        <v>23.5</v>
      </c>
      <c r="AG262" s="125">
        <v>0</v>
      </c>
      <c r="AH262" s="125">
        <v>0</v>
      </c>
      <c r="AI262" s="121">
        <v>1187154</v>
      </c>
      <c r="AJ262" s="121">
        <v>0</v>
      </c>
      <c r="AK262" s="424">
        <v>12</v>
      </c>
      <c r="AL262">
        <v>0</v>
      </c>
      <c r="AM262" s="121">
        <v>54945</v>
      </c>
      <c r="AN262" s="125">
        <v>0</v>
      </c>
      <c r="AO262" s="125">
        <v>0</v>
      </c>
      <c r="AP262" s="121">
        <v>1187154</v>
      </c>
      <c r="AQ262" s="114">
        <v>0</v>
      </c>
      <c r="AR262" s="121">
        <v>81.024710261999999</v>
      </c>
      <c r="AS262" s="121">
        <v>15921.610003</v>
      </c>
      <c r="AT262" s="121">
        <v>2096.8688978</v>
      </c>
      <c r="AU262" s="420" t="s">
        <v>2001</v>
      </c>
      <c r="AV262" s="420" t="s">
        <v>2001</v>
      </c>
      <c r="AW262" s="121">
        <v>0</v>
      </c>
      <c r="AX262" s="121">
        <v>0</v>
      </c>
      <c r="BI262">
        <v>0</v>
      </c>
      <c r="BJ262" s="121">
        <v>0</v>
      </c>
      <c r="BK262" s="134">
        <v>113243436</v>
      </c>
      <c r="BL262" s="934">
        <v>4586</v>
      </c>
      <c r="BM262" s="934">
        <v>4551</v>
      </c>
      <c r="BN262" s="934">
        <v>4723</v>
      </c>
      <c r="BO262" s="114">
        <v>0</v>
      </c>
      <c r="BP262" s="114">
        <v>0</v>
      </c>
    </row>
    <row r="263" spans="1:68">
      <c r="A263" t="s">
        <v>1753</v>
      </c>
      <c r="B263" t="s">
        <v>2721</v>
      </c>
      <c r="C263" s="121">
        <v>4606</v>
      </c>
      <c r="D263" s="72">
        <v>1</v>
      </c>
      <c r="E263">
        <v>55.777999999999999</v>
      </c>
      <c r="F263">
        <v>25</v>
      </c>
      <c r="G263">
        <v>11</v>
      </c>
      <c r="H263">
        <v>0</v>
      </c>
      <c r="I263" s="173">
        <v>1</v>
      </c>
      <c r="J263" s="121">
        <v>36142413</v>
      </c>
      <c r="K263" s="125">
        <v>388.01</v>
      </c>
      <c r="L263" s="173">
        <v>1.36</v>
      </c>
      <c r="M263">
        <v>1</v>
      </c>
      <c r="N263">
        <v>0.90666667120000011</v>
      </c>
      <c r="O263">
        <v>9.3333328799999897</v>
      </c>
      <c r="P263">
        <v>177.876</v>
      </c>
      <c r="Q263" s="125">
        <v>0</v>
      </c>
      <c r="R263" s="125">
        <v>0</v>
      </c>
      <c r="S263" s="125">
        <v>9.2999999999999999E-2</v>
      </c>
      <c r="T263" s="125">
        <v>8.8339999999999996</v>
      </c>
      <c r="U263" s="125">
        <v>2.5379999999999998</v>
      </c>
      <c r="V263" s="125">
        <v>0</v>
      </c>
      <c r="W263" s="125">
        <v>0</v>
      </c>
      <c r="X263" s="125">
        <v>0</v>
      </c>
      <c r="Y263" s="125">
        <v>0</v>
      </c>
      <c r="Z263" s="125">
        <v>0</v>
      </c>
      <c r="AA263" s="125">
        <v>2.2330000000000001</v>
      </c>
      <c r="AB263" s="125">
        <v>15.388999999999999</v>
      </c>
      <c r="AC263" s="125">
        <v>145.30000000000001</v>
      </c>
      <c r="AD263" s="125">
        <v>0</v>
      </c>
      <c r="AE263" s="125">
        <v>7.1740000000000004</v>
      </c>
      <c r="AF263" s="125">
        <v>8.8938000000000006</v>
      </c>
      <c r="AG263" s="125">
        <v>0</v>
      </c>
      <c r="AH263" s="125">
        <v>0</v>
      </c>
      <c r="AI263" s="121">
        <v>374500</v>
      </c>
      <c r="AJ263" s="121">
        <v>20771</v>
      </c>
      <c r="AK263" s="424">
        <v>12</v>
      </c>
      <c r="AL263">
        <v>0</v>
      </c>
      <c r="AM263" s="121">
        <v>31956</v>
      </c>
      <c r="AN263" s="125">
        <v>0</v>
      </c>
      <c r="AO263" s="125">
        <v>0</v>
      </c>
      <c r="AP263" s="121">
        <v>395271</v>
      </c>
      <c r="AQ263" s="114">
        <v>0</v>
      </c>
      <c r="AR263" s="121">
        <v>24.091068948</v>
      </c>
      <c r="AS263" s="121">
        <v>4733.9706998000001</v>
      </c>
      <c r="AT263" s="121">
        <v>623.46181833000003</v>
      </c>
      <c r="AU263" s="420" t="s">
        <v>2001</v>
      </c>
      <c r="AV263" s="420" t="s">
        <v>2001</v>
      </c>
      <c r="AW263" s="121">
        <v>0</v>
      </c>
      <c r="AX263" s="121">
        <v>91460</v>
      </c>
      <c r="BI263">
        <v>0</v>
      </c>
      <c r="BJ263" s="121">
        <v>0</v>
      </c>
      <c r="BK263" s="134">
        <v>36026956</v>
      </c>
      <c r="BL263" s="934">
        <v>4606</v>
      </c>
      <c r="BM263" s="934">
        <v>4512</v>
      </c>
      <c r="BN263" s="934">
        <v>4594</v>
      </c>
      <c r="BO263" s="114">
        <v>0</v>
      </c>
      <c r="BP263" s="114">
        <v>0</v>
      </c>
    </row>
    <row r="264" spans="1:68">
      <c r="A264" t="s">
        <v>3026</v>
      </c>
      <c r="B264" t="s">
        <v>2236</v>
      </c>
      <c r="C264" s="121">
        <v>4790</v>
      </c>
      <c r="D264" s="72">
        <v>2</v>
      </c>
      <c r="E264">
        <v>0</v>
      </c>
      <c r="F264">
        <v>6</v>
      </c>
      <c r="G264">
        <v>10</v>
      </c>
      <c r="H264">
        <v>1</v>
      </c>
      <c r="I264" s="173">
        <v>1.04</v>
      </c>
      <c r="J264" s="121">
        <v>29428613</v>
      </c>
      <c r="K264" s="125">
        <v>121.22</v>
      </c>
      <c r="L264" s="173">
        <v>1.5</v>
      </c>
      <c r="M264">
        <v>1.04</v>
      </c>
      <c r="N264">
        <v>1.000000005</v>
      </c>
      <c r="O264">
        <v>3.9999995000000066</v>
      </c>
      <c r="P264">
        <v>68.525000000000006</v>
      </c>
      <c r="Q264" s="125">
        <v>0</v>
      </c>
      <c r="R264" s="125">
        <v>0</v>
      </c>
      <c r="S264" s="125">
        <v>0.20100000000000001</v>
      </c>
      <c r="T264" s="125">
        <v>0.877</v>
      </c>
      <c r="U264" s="125">
        <v>0</v>
      </c>
      <c r="V264" s="125">
        <v>0</v>
      </c>
      <c r="W264" s="125">
        <v>0</v>
      </c>
      <c r="X264" s="125">
        <v>0</v>
      </c>
      <c r="Y264" s="125">
        <v>0</v>
      </c>
      <c r="Z264" s="125">
        <v>0</v>
      </c>
      <c r="AA264" s="125">
        <v>0</v>
      </c>
      <c r="AB264" s="125">
        <v>0</v>
      </c>
      <c r="AC264" s="125">
        <v>54.7</v>
      </c>
      <c r="AD264" s="125">
        <v>0</v>
      </c>
      <c r="AE264" s="125">
        <v>16.311</v>
      </c>
      <c r="AF264" s="125">
        <v>3.4260000000000002</v>
      </c>
      <c r="AG264" s="125">
        <v>0</v>
      </c>
      <c r="AH264" s="125">
        <v>0</v>
      </c>
      <c r="AI264" s="121">
        <v>271494</v>
      </c>
      <c r="AJ264" s="121">
        <v>0</v>
      </c>
      <c r="AK264" s="424">
        <v>6</v>
      </c>
      <c r="AL264">
        <v>31</v>
      </c>
      <c r="AM264" s="121">
        <v>29058</v>
      </c>
      <c r="AN264" s="125">
        <v>0</v>
      </c>
      <c r="AO264" s="125">
        <v>0</v>
      </c>
      <c r="AP264" s="121">
        <v>271494</v>
      </c>
      <c r="AQ264" s="114">
        <v>0</v>
      </c>
      <c r="AR264" s="121">
        <v>19.615921215</v>
      </c>
      <c r="AS264" s="121">
        <v>3854.5901173000002</v>
      </c>
      <c r="AT264" s="121">
        <v>507.64778996000001</v>
      </c>
      <c r="AU264" s="420" t="s">
        <v>2001</v>
      </c>
      <c r="AV264" s="420" t="s">
        <v>2001</v>
      </c>
      <c r="AW264" s="121">
        <v>0</v>
      </c>
      <c r="AX264" s="121">
        <v>0</v>
      </c>
      <c r="BI264">
        <v>0</v>
      </c>
      <c r="BJ264" s="121">
        <v>0</v>
      </c>
      <c r="BK264" s="134">
        <v>25898038</v>
      </c>
      <c r="BL264" s="934">
        <v>4501</v>
      </c>
      <c r="BM264" s="934">
        <v>4790</v>
      </c>
      <c r="BN264" s="934">
        <v>4547</v>
      </c>
      <c r="BO264" s="114">
        <v>0</v>
      </c>
      <c r="BP264" s="114">
        <v>0</v>
      </c>
    </row>
    <row r="265" spans="1:68">
      <c r="A265" t="s">
        <v>3027</v>
      </c>
      <c r="B265" t="s">
        <v>2237</v>
      </c>
      <c r="C265" s="121">
        <v>5515</v>
      </c>
      <c r="D265" s="72">
        <v>2</v>
      </c>
      <c r="E265">
        <v>111.596</v>
      </c>
      <c r="F265">
        <v>40</v>
      </c>
      <c r="G265">
        <v>50</v>
      </c>
      <c r="H265">
        <v>0</v>
      </c>
      <c r="I265" s="173">
        <v>1.04</v>
      </c>
      <c r="J265" s="121">
        <v>296533489</v>
      </c>
      <c r="K265" s="125">
        <v>774.83399999999995</v>
      </c>
      <c r="L265" s="173">
        <v>1.5</v>
      </c>
      <c r="M265">
        <v>1.04</v>
      </c>
      <c r="N265">
        <v>1.000000005</v>
      </c>
      <c r="O265">
        <v>3.9999995000000066</v>
      </c>
      <c r="P265">
        <v>368.57100000000003</v>
      </c>
      <c r="Q265" s="125">
        <v>1.2E-2</v>
      </c>
      <c r="R265" s="125">
        <v>0</v>
      </c>
      <c r="S265" s="125">
        <v>0.38900000000000001</v>
      </c>
      <c r="T265" s="125">
        <v>8.8770000000000007</v>
      </c>
      <c r="U265" s="125">
        <v>0.40200000000000002</v>
      </c>
      <c r="V265" s="125">
        <v>0</v>
      </c>
      <c r="W265" s="125">
        <v>0</v>
      </c>
      <c r="X265" s="125">
        <v>0</v>
      </c>
      <c r="Y265" s="125">
        <v>0</v>
      </c>
      <c r="Z265" s="125">
        <v>0</v>
      </c>
      <c r="AA265" s="125">
        <v>18.622</v>
      </c>
      <c r="AB265" s="125">
        <v>19.805</v>
      </c>
      <c r="AC265" s="125">
        <v>364.9</v>
      </c>
      <c r="AD265" s="125">
        <v>4.4999999999999998E-2</v>
      </c>
      <c r="AE265" s="125">
        <v>42.417000000000002</v>
      </c>
      <c r="AF265" s="125">
        <v>18.428550000000001</v>
      </c>
      <c r="AG265" s="125">
        <v>0</v>
      </c>
      <c r="AH265" s="125">
        <v>0</v>
      </c>
      <c r="AI265" s="121">
        <v>3173383</v>
      </c>
      <c r="AJ265" s="121">
        <v>597519</v>
      </c>
      <c r="AK265" s="424">
        <v>12</v>
      </c>
      <c r="AL265">
        <v>0</v>
      </c>
      <c r="AM265" s="121">
        <v>32889</v>
      </c>
      <c r="AN265" s="125">
        <v>0</v>
      </c>
      <c r="AO265" s="125">
        <v>0</v>
      </c>
      <c r="AP265" s="121">
        <v>3770902</v>
      </c>
      <c r="AQ265" s="114">
        <v>0</v>
      </c>
      <c r="AR265" s="121">
        <v>0</v>
      </c>
      <c r="AS265" s="121">
        <v>0</v>
      </c>
      <c r="AT265" s="121">
        <v>0</v>
      </c>
      <c r="AU265" s="420" t="s">
        <v>798</v>
      </c>
      <c r="AV265" s="420" t="s">
        <v>2001</v>
      </c>
      <c r="AW265" s="121">
        <v>0</v>
      </c>
      <c r="AX265" s="121">
        <v>588559</v>
      </c>
      <c r="AY265" s="134">
        <v>1483000</v>
      </c>
      <c r="AZ265" s="134">
        <v>2646508</v>
      </c>
      <c r="BA265" s="134">
        <v>1023</v>
      </c>
      <c r="BB265" s="134">
        <v>184230219</v>
      </c>
      <c r="BC265" s="114">
        <v>0</v>
      </c>
      <c r="BD265" s="114">
        <v>0</v>
      </c>
      <c r="BE265" s="114">
        <v>0</v>
      </c>
      <c r="BF265" s="114">
        <v>448</v>
      </c>
      <c r="BG265" s="114">
        <v>0</v>
      </c>
      <c r="BH265" s="114">
        <v>0</v>
      </c>
      <c r="BI265">
        <v>0</v>
      </c>
      <c r="BJ265" s="121">
        <v>0</v>
      </c>
      <c r="BK265" s="134">
        <v>296533489</v>
      </c>
      <c r="BL265" s="934">
        <v>4495</v>
      </c>
      <c r="BM265" s="934">
        <v>5515</v>
      </c>
      <c r="BN265" s="934">
        <v>4593</v>
      </c>
      <c r="BO265" s="114">
        <v>0</v>
      </c>
      <c r="BP265" s="114">
        <v>0</v>
      </c>
    </row>
    <row r="266" spans="1:68">
      <c r="A266" t="s">
        <v>817</v>
      </c>
      <c r="B266" t="s">
        <v>2310</v>
      </c>
      <c r="C266" s="121">
        <v>4737</v>
      </c>
      <c r="D266" s="72">
        <v>1</v>
      </c>
      <c r="E266">
        <v>384.80200000000002</v>
      </c>
      <c r="F266">
        <v>51</v>
      </c>
      <c r="G266">
        <v>45</v>
      </c>
      <c r="H266">
        <v>1</v>
      </c>
      <c r="I266" s="173">
        <v>1.04</v>
      </c>
      <c r="J266" s="121">
        <v>159416436</v>
      </c>
      <c r="K266" s="125">
        <v>2034.9929999999999</v>
      </c>
      <c r="L266" s="173">
        <v>1.5</v>
      </c>
      <c r="M266">
        <v>1.04</v>
      </c>
      <c r="N266">
        <v>1.000000005</v>
      </c>
      <c r="O266">
        <v>3.9999995000000066</v>
      </c>
      <c r="P266">
        <v>1257.943</v>
      </c>
      <c r="Q266" s="125">
        <v>3.4000000000000002E-2</v>
      </c>
      <c r="R266" s="125">
        <v>0</v>
      </c>
      <c r="S266" s="125">
        <v>1.345</v>
      </c>
      <c r="T266" s="125">
        <v>39.470999999999997</v>
      </c>
      <c r="U266" s="125">
        <v>2.8620000000000001</v>
      </c>
      <c r="V266" s="125">
        <v>0</v>
      </c>
      <c r="W266" s="125">
        <v>0</v>
      </c>
      <c r="X266" s="125">
        <v>0</v>
      </c>
      <c r="Y266" s="125">
        <v>0</v>
      </c>
      <c r="Z266" s="125">
        <v>0</v>
      </c>
      <c r="AA266" s="125">
        <v>24.762</v>
      </c>
      <c r="AB266" s="125">
        <v>50.247</v>
      </c>
      <c r="AC266" s="125">
        <v>1245.4000000000001</v>
      </c>
      <c r="AD266" s="125">
        <v>0</v>
      </c>
      <c r="AE266" s="125">
        <v>124.852</v>
      </c>
      <c r="AF266" s="125">
        <v>62.896999999999998</v>
      </c>
      <c r="AG266" s="125">
        <v>0</v>
      </c>
      <c r="AH266" s="125">
        <v>0</v>
      </c>
      <c r="AI266" s="121">
        <v>1334544</v>
      </c>
      <c r="AJ266" s="121">
        <v>477566</v>
      </c>
      <c r="AK266" s="424">
        <v>12</v>
      </c>
      <c r="AL266">
        <v>0</v>
      </c>
      <c r="AM266" s="121">
        <v>66964</v>
      </c>
      <c r="AN266" s="125">
        <v>0</v>
      </c>
      <c r="AO266" s="125">
        <v>0</v>
      </c>
      <c r="AP266" s="121">
        <v>1812110</v>
      </c>
      <c r="AQ266" s="114">
        <v>0</v>
      </c>
      <c r="AR266" s="121">
        <v>106.26053932000001</v>
      </c>
      <c r="AS266" s="121">
        <v>20880.52966</v>
      </c>
      <c r="AT266" s="121">
        <v>2749.9563929000001</v>
      </c>
      <c r="AU266" s="420" t="s">
        <v>2001</v>
      </c>
      <c r="AV266" s="420" t="s">
        <v>2001</v>
      </c>
      <c r="AW266" s="121">
        <v>0</v>
      </c>
      <c r="AX266" s="121">
        <v>1088320</v>
      </c>
      <c r="BI266">
        <v>0</v>
      </c>
      <c r="BJ266" s="121">
        <v>0</v>
      </c>
      <c r="BK266" s="134">
        <v>122210962</v>
      </c>
      <c r="BL266" s="934">
        <v>4737</v>
      </c>
      <c r="BM266" s="934">
        <v>4308</v>
      </c>
      <c r="BN266" s="934">
        <v>4308</v>
      </c>
      <c r="BO266" s="114">
        <v>0</v>
      </c>
      <c r="BP266" s="114">
        <v>0</v>
      </c>
    </row>
    <row r="267" spans="1:68">
      <c r="A267" t="s">
        <v>776</v>
      </c>
      <c r="B267" t="s">
        <v>2238</v>
      </c>
      <c r="C267" s="121">
        <v>5164</v>
      </c>
      <c r="D267" s="72">
        <v>2</v>
      </c>
      <c r="E267">
        <v>205.26599999999999</v>
      </c>
      <c r="F267">
        <v>86</v>
      </c>
      <c r="G267">
        <v>60</v>
      </c>
      <c r="H267">
        <v>2</v>
      </c>
      <c r="I267" s="173">
        <v>1.04</v>
      </c>
      <c r="J267" s="121">
        <v>372977943</v>
      </c>
      <c r="K267" s="125">
        <v>1394.3720000000001</v>
      </c>
      <c r="L267" s="173">
        <v>1.5</v>
      </c>
      <c r="M267">
        <v>1.04</v>
      </c>
      <c r="N267">
        <v>1.000000005</v>
      </c>
      <c r="O267">
        <v>3.9999995000000066</v>
      </c>
      <c r="P267">
        <v>752.1</v>
      </c>
      <c r="Q267" s="125">
        <v>3.2000000000000001E-2</v>
      </c>
      <c r="R267" s="125">
        <v>0</v>
      </c>
      <c r="S267" s="125">
        <v>1.163</v>
      </c>
      <c r="T267" s="125">
        <v>16.443000000000001</v>
      </c>
      <c r="U267" s="125">
        <v>1.8740000000000001</v>
      </c>
      <c r="V267" s="125">
        <v>0</v>
      </c>
      <c r="W267" s="125">
        <v>0</v>
      </c>
      <c r="X267" s="125">
        <v>0</v>
      </c>
      <c r="Y267" s="125">
        <v>0</v>
      </c>
      <c r="Z267" s="125">
        <v>0</v>
      </c>
      <c r="AA267" s="125">
        <v>24.870999999999999</v>
      </c>
      <c r="AB267" s="125">
        <v>55.125999999999998</v>
      </c>
      <c r="AC267" s="125">
        <v>714.1</v>
      </c>
      <c r="AD267" s="125">
        <v>0.24399999999999999</v>
      </c>
      <c r="AE267" s="125">
        <v>23.302</v>
      </c>
      <c r="AF267" s="125">
        <v>37.604999999999997</v>
      </c>
      <c r="AG267" s="125">
        <v>0</v>
      </c>
      <c r="AH267" s="125">
        <v>0</v>
      </c>
      <c r="AI267" s="121">
        <v>3541356</v>
      </c>
      <c r="AJ267" s="121">
        <v>0</v>
      </c>
      <c r="AK267" s="424">
        <v>12</v>
      </c>
      <c r="AL267">
        <v>0</v>
      </c>
      <c r="AM267" s="121">
        <v>58501</v>
      </c>
      <c r="AN267" s="125">
        <v>0</v>
      </c>
      <c r="AO267" s="125">
        <v>0</v>
      </c>
      <c r="AP267" s="121">
        <v>3541356</v>
      </c>
      <c r="AQ267" s="114">
        <v>0</v>
      </c>
      <c r="AR267" s="121">
        <v>248.61199019</v>
      </c>
      <c r="AS267" s="121">
        <v>48853.036770999999</v>
      </c>
      <c r="AT267" s="121">
        <v>6433.9230359000003</v>
      </c>
      <c r="AU267" s="420" t="s">
        <v>2001</v>
      </c>
      <c r="AV267" s="420" t="s">
        <v>2001</v>
      </c>
      <c r="AW267" s="121">
        <v>0</v>
      </c>
      <c r="AX267" s="121">
        <v>1482588</v>
      </c>
      <c r="BI267">
        <v>0</v>
      </c>
      <c r="BJ267" s="121">
        <v>0</v>
      </c>
      <c r="BK267" s="134">
        <v>337812510</v>
      </c>
      <c r="BL267" s="934">
        <v>4526</v>
      </c>
      <c r="BM267" s="934">
        <v>5164</v>
      </c>
      <c r="BN267" s="934">
        <v>4531</v>
      </c>
      <c r="BO267" s="114">
        <v>0</v>
      </c>
      <c r="BP267" s="114">
        <v>0</v>
      </c>
    </row>
    <row r="268" spans="1:68">
      <c r="A268" t="s">
        <v>2463</v>
      </c>
      <c r="B268" t="s">
        <v>2465</v>
      </c>
      <c r="C268" s="121">
        <v>5379</v>
      </c>
      <c r="D268" s="72">
        <v>2</v>
      </c>
      <c r="E268">
        <v>292.33100000000002</v>
      </c>
      <c r="F268">
        <v>90</v>
      </c>
      <c r="G268">
        <v>56</v>
      </c>
      <c r="H268">
        <v>2</v>
      </c>
      <c r="I268" s="173">
        <v>1.0337000000000001</v>
      </c>
      <c r="J268" s="121">
        <v>385252830</v>
      </c>
      <c r="K268" s="125">
        <v>1354.451</v>
      </c>
      <c r="L268" s="173">
        <v>1.44</v>
      </c>
      <c r="M268">
        <v>1.0337000000000001</v>
      </c>
      <c r="N268">
        <v>0.96000000480000003</v>
      </c>
      <c r="O268">
        <v>7.3699995200000039</v>
      </c>
      <c r="P268">
        <v>800.67899999999997</v>
      </c>
      <c r="Q268" s="125">
        <v>4.4999999999999998E-2</v>
      </c>
      <c r="R268" s="125">
        <v>0</v>
      </c>
      <c r="S268" s="125">
        <v>1.647</v>
      </c>
      <c r="T268" s="125">
        <v>32.453000000000003</v>
      </c>
      <c r="U268" s="125">
        <v>3.173</v>
      </c>
      <c r="V268" s="125">
        <v>0.71399999999999997</v>
      </c>
      <c r="W268" s="125">
        <v>0</v>
      </c>
      <c r="X268" s="125">
        <v>0</v>
      </c>
      <c r="Y268" s="125">
        <v>0</v>
      </c>
      <c r="Z268" s="125">
        <v>10.023999999999999</v>
      </c>
      <c r="AA268" s="125">
        <v>28.422999999999998</v>
      </c>
      <c r="AB268" s="125">
        <v>62.348999999999997</v>
      </c>
      <c r="AC268" s="125">
        <v>580.70000000000005</v>
      </c>
      <c r="AD268" s="125">
        <v>0.81200000000000006</v>
      </c>
      <c r="AE268" s="125">
        <v>20.702999999999999</v>
      </c>
      <c r="AF268" s="125">
        <v>40.033949999999997</v>
      </c>
      <c r="AG268" s="125">
        <v>0</v>
      </c>
      <c r="AH268" s="125">
        <v>0</v>
      </c>
      <c r="AI268" s="121">
        <v>4181476</v>
      </c>
      <c r="AJ268" s="121">
        <v>0</v>
      </c>
      <c r="AK268" s="424">
        <v>12</v>
      </c>
      <c r="AL268">
        <v>0</v>
      </c>
      <c r="AM268" s="121">
        <v>56579</v>
      </c>
      <c r="AN268" s="125">
        <v>1</v>
      </c>
      <c r="AO268" s="125">
        <v>0</v>
      </c>
      <c r="AP268" s="121">
        <v>4181476</v>
      </c>
      <c r="AQ268" s="114">
        <v>0</v>
      </c>
      <c r="AR268" s="121">
        <v>256.79393283000002</v>
      </c>
      <c r="AS268" s="121">
        <v>50460.814193999999</v>
      </c>
      <c r="AT268" s="121">
        <v>6645.6666015000001</v>
      </c>
      <c r="AU268" s="420" t="s">
        <v>2001</v>
      </c>
      <c r="AV268" s="420" t="s">
        <v>2001</v>
      </c>
      <c r="AW268" s="121">
        <v>0</v>
      </c>
      <c r="AX268" s="121">
        <v>0</v>
      </c>
      <c r="BI268">
        <v>0</v>
      </c>
      <c r="BJ268" s="121">
        <v>0</v>
      </c>
      <c r="BK268" s="134">
        <v>385252830</v>
      </c>
      <c r="BL268" s="934">
        <v>4368</v>
      </c>
      <c r="BM268" s="934">
        <v>5379</v>
      </c>
      <c r="BN268" s="934">
        <v>4601</v>
      </c>
      <c r="BO268" s="114">
        <v>0</v>
      </c>
      <c r="BP268" s="114">
        <v>0</v>
      </c>
    </row>
    <row r="269" spans="1:68">
      <c r="A269" t="s">
        <v>2620</v>
      </c>
      <c r="B269" t="s">
        <v>2239</v>
      </c>
      <c r="C269" s="121">
        <v>4634</v>
      </c>
      <c r="D269" s="72">
        <v>3</v>
      </c>
      <c r="E269">
        <v>305.86700000000002</v>
      </c>
      <c r="F269">
        <v>102</v>
      </c>
      <c r="G269">
        <v>75</v>
      </c>
      <c r="H269">
        <v>1</v>
      </c>
      <c r="I269" s="173">
        <v>1.0166999999999999</v>
      </c>
      <c r="J269" s="121">
        <v>303655327</v>
      </c>
      <c r="K269" s="125">
        <v>1596.7739999999999</v>
      </c>
      <c r="L269" s="173">
        <v>1.4650000000000001</v>
      </c>
      <c r="M269">
        <v>1.0166999999999999</v>
      </c>
      <c r="N269">
        <v>0.97666667155000009</v>
      </c>
      <c r="O269">
        <v>4.003332844999985</v>
      </c>
      <c r="P269">
        <v>1050.751</v>
      </c>
      <c r="Q269" s="125">
        <v>0.20200000000000001</v>
      </c>
      <c r="R269" s="125">
        <v>0</v>
      </c>
      <c r="S269" s="125">
        <v>1.8959999999999999</v>
      </c>
      <c r="T269" s="125">
        <v>39.274999999999999</v>
      </c>
      <c r="U269" s="125">
        <v>3.92</v>
      </c>
      <c r="V269" s="125">
        <v>1.2070000000000001</v>
      </c>
      <c r="W269" s="125">
        <v>4.5810000000000004</v>
      </c>
      <c r="X269" s="125">
        <v>0</v>
      </c>
      <c r="Y269" s="125">
        <v>0</v>
      </c>
      <c r="Z269" s="125">
        <v>3.7989999999999999</v>
      </c>
      <c r="AA269" s="125">
        <v>28.41</v>
      </c>
      <c r="AB269" s="125">
        <v>35.686999999999998</v>
      </c>
      <c r="AC269" s="125">
        <v>657.5</v>
      </c>
      <c r="AD269" s="125">
        <v>0.60399999999999998</v>
      </c>
      <c r="AE269" s="125">
        <v>47.237000000000002</v>
      </c>
      <c r="AF269" s="125">
        <v>52.537550000000003</v>
      </c>
      <c r="AG269" s="125">
        <v>0</v>
      </c>
      <c r="AH269" s="125">
        <v>0</v>
      </c>
      <c r="AI269" s="121">
        <v>3079546</v>
      </c>
      <c r="AJ269" s="121">
        <v>0</v>
      </c>
      <c r="AK269" s="424">
        <v>12</v>
      </c>
      <c r="AL269">
        <v>0</v>
      </c>
      <c r="AM269" s="121">
        <v>70717</v>
      </c>
      <c r="AN269" s="125">
        <v>0</v>
      </c>
      <c r="AO269" s="125">
        <v>1</v>
      </c>
      <c r="AP269" s="121">
        <v>3079546</v>
      </c>
      <c r="AQ269" s="114">
        <v>0</v>
      </c>
      <c r="AR269" s="121">
        <v>202.40434221999999</v>
      </c>
      <c r="AS269" s="121">
        <v>39773.088842999998</v>
      </c>
      <c r="AT269" s="121">
        <v>5238.0979655000001</v>
      </c>
      <c r="AU269" s="420" t="s">
        <v>2001</v>
      </c>
      <c r="AV269" s="420" t="s">
        <v>2001</v>
      </c>
      <c r="AW269" s="121">
        <v>0</v>
      </c>
      <c r="AX269" s="121">
        <v>0</v>
      </c>
      <c r="BI269">
        <v>0</v>
      </c>
      <c r="BJ269" s="121">
        <v>0</v>
      </c>
      <c r="BK269" s="134">
        <v>303655327</v>
      </c>
      <c r="BL269" s="934">
        <v>4586</v>
      </c>
      <c r="BM269" s="934">
        <v>4575</v>
      </c>
      <c r="BN269" s="934">
        <v>4634</v>
      </c>
      <c r="BO269" s="114">
        <v>0</v>
      </c>
      <c r="BP269" s="114">
        <v>0</v>
      </c>
    </row>
    <row r="270" spans="1:68">
      <c r="A270" t="s">
        <v>2007</v>
      </c>
      <c r="B270" t="s">
        <v>2240</v>
      </c>
      <c r="C270" s="121">
        <v>4479</v>
      </c>
      <c r="D270" s="72">
        <v>3</v>
      </c>
      <c r="E270">
        <v>103.553</v>
      </c>
      <c r="F270">
        <v>41</v>
      </c>
      <c r="G270">
        <v>50</v>
      </c>
      <c r="H270">
        <v>2</v>
      </c>
      <c r="I270" s="173">
        <v>1.04</v>
      </c>
      <c r="J270" s="121">
        <v>50901789</v>
      </c>
      <c r="K270" s="125">
        <v>627.10900000000004</v>
      </c>
      <c r="L270" s="173">
        <v>1.45</v>
      </c>
      <c r="M270">
        <v>1.04</v>
      </c>
      <c r="N270">
        <v>0.96666667149999996</v>
      </c>
      <c r="O270">
        <v>7.3333328500000068</v>
      </c>
      <c r="P270">
        <v>345</v>
      </c>
      <c r="Q270" s="125">
        <v>1.7000000000000001E-2</v>
      </c>
      <c r="R270" s="125">
        <v>0</v>
      </c>
      <c r="S270" s="125">
        <v>0.83199999999999996</v>
      </c>
      <c r="T270" s="125">
        <v>9.8000000000000007</v>
      </c>
      <c r="U270" s="125">
        <v>2</v>
      </c>
      <c r="V270" s="125">
        <v>0</v>
      </c>
      <c r="W270" s="125">
        <v>2</v>
      </c>
      <c r="X270" s="125">
        <v>0</v>
      </c>
      <c r="Y270" s="125">
        <v>0</v>
      </c>
      <c r="Z270" s="125">
        <v>0</v>
      </c>
      <c r="AA270" s="125">
        <v>17</v>
      </c>
      <c r="AB270" s="125">
        <v>24</v>
      </c>
      <c r="AC270" s="125">
        <v>305</v>
      </c>
      <c r="AD270" s="125">
        <v>0.1</v>
      </c>
      <c r="AE270" s="125">
        <v>23</v>
      </c>
      <c r="AF270" s="125">
        <v>17</v>
      </c>
      <c r="AG270" s="125">
        <v>0</v>
      </c>
      <c r="AH270" s="125">
        <v>0</v>
      </c>
      <c r="AI270" s="121">
        <v>514488</v>
      </c>
      <c r="AJ270" s="121">
        <v>0</v>
      </c>
      <c r="AK270" s="424">
        <v>12</v>
      </c>
      <c r="AL270">
        <v>0</v>
      </c>
      <c r="AM270" s="121">
        <v>17323</v>
      </c>
      <c r="AN270" s="125">
        <v>0</v>
      </c>
      <c r="AO270" s="125">
        <v>0</v>
      </c>
      <c r="AP270" s="121">
        <v>514488</v>
      </c>
      <c r="AQ270" s="114">
        <v>0</v>
      </c>
      <c r="AR270" s="121">
        <v>33.929070609</v>
      </c>
      <c r="AS270" s="121">
        <v>6667.1689199000002</v>
      </c>
      <c r="AT270" s="121">
        <v>878.06315703999996</v>
      </c>
      <c r="AU270" s="420" t="s">
        <v>2001</v>
      </c>
      <c r="AV270" s="420" t="s">
        <v>2001</v>
      </c>
      <c r="AW270" s="121">
        <v>0</v>
      </c>
      <c r="AX270" s="121">
        <v>134325</v>
      </c>
      <c r="BI270">
        <v>0</v>
      </c>
      <c r="BJ270" s="121">
        <v>0</v>
      </c>
      <c r="BK270" s="134">
        <v>48571470</v>
      </c>
      <c r="BL270" s="934">
        <v>4442</v>
      </c>
      <c r="BM270" s="934">
        <v>4440</v>
      </c>
      <c r="BN270" s="934">
        <v>4479</v>
      </c>
      <c r="BO270" s="114">
        <v>0</v>
      </c>
      <c r="BP270" s="114">
        <v>0</v>
      </c>
    </row>
    <row r="271" spans="1:68">
      <c r="A271" t="s">
        <v>672</v>
      </c>
      <c r="B271" t="s">
        <v>2241</v>
      </c>
      <c r="C271" s="121">
        <v>4732</v>
      </c>
      <c r="D271" s="72">
        <v>2</v>
      </c>
      <c r="E271">
        <v>115.623</v>
      </c>
      <c r="F271">
        <v>45</v>
      </c>
      <c r="G271">
        <v>36</v>
      </c>
      <c r="H271">
        <v>2</v>
      </c>
      <c r="I271" s="173">
        <v>1.04</v>
      </c>
      <c r="J271" s="121">
        <v>76107365</v>
      </c>
      <c r="K271" s="125">
        <v>761.50599999999997</v>
      </c>
      <c r="L271" s="173">
        <v>1.5</v>
      </c>
      <c r="M271">
        <v>1.04</v>
      </c>
      <c r="N271">
        <v>1.000000005</v>
      </c>
      <c r="O271">
        <v>3.9999995000000066</v>
      </c>
      <c r="P271">
        <v>405.48500000000001</v>
      </c>
      <c r="Q271" s="125">
        <v>5.6000000000000001E-2</v>
      </c>
      <c r="R271" s="125">
        <v>0</v>
      </c>
      <c r="S271" s="125">
        <v>0.96399999999999997</v>
      </c>
      <c r="T271" s="125">
        <v>20.786000000000001</v>
      </c>
      <c r="U271" s="125">
        <v>2.6030000000000002</v>
      </c>
      <c r="V271" s="125">
        <v>0</v>
      </c>
      <c r="W271" s="125">
        <v>5.5789999999999997</v>
      </c>
      <c r="X271" s="125">
        <v>0</v>
      </c>
      <c r="Y271" s="125">
        <v>0</v>
      </c>
      <c r="Z271" s="125">
        <v>0</v>
      </c>
      <c r="AA271" s="125">
        <v>16.408999999999999</v>
      </c>
      <c r="AB271" s="125">
        <v>17.888999999999999</v>
      </c>
      <c r="AC271" s="125">
        <v>395.5</v>
      </c>
      <c r="AD271" s="125">
        <v>0.26600000000000001</v>
      </c>
      <c r="AE271" s="125">
        <v>8.4260000000000002</v>
      </c>
      <c r="AF271" s="125">
        <v>20.274000000000001</v>
      </c>
      <c r="AG271" s="125">
        <v>0</v>
      </c>
      <c r="AH271" s="125">
        <v>0</v>
      </c>
      <c r="AI271" s="121">
        <v>789538</v>
      </c>
      <c r="AJ271" s="121">
        <v>0</v>
      </c>
      <c r="AK271" s="424">
        <v>12</v>
      </c>
      <c r="AL271">
        <v>0</v>
      </c>
      <c r="AM271" s="121">
        <v>34454</v>
      </c>
      <c r="AN271" s="125">
        <v>0</v>
      </c>
      <c r="AO271" s="125">
        <v>0</v>
      </c>
      <c r="AP271" s="121">
        <v>789538</v>
      </c>
      <c r="AQ271" s="114">
        <v>0</v>
      </c>
      <c r="AR271" s="121">
        <v>50.730086980999999</v>
      </c>
      <c r="AS271" s="121">
        <v>9968.6213960999994</v>
      </c>
      <c r="AT271" s="121">
        <v>1312.8629676999999</v>
      </c>
      <c r="AU271" s="420" t="s">
        <v>2001</v>
      </c>
      <c r="AV271" s="420" t="s">
        <v>2001</v>
      </c>
      <c r="AW271" s="121">
        <v>0</v>
      </c>
      <c r="AX271" s="121">
        <v>0</v>
      </c>
      <c r="BI271">
        <v>0</v>
      </c>
      <c r="BJ271" s="121">
        <v>0</v>
      </c>
      <c r="BK271" s="134">
        <v>76107365</v>
      </c>
      <c r="BL271" s="934">
        <v>4623</v>
      </c>
      <c r="BM271" s="934">
        <v>4732</v>
      </c>
      <c r="BN271" s="934">
        <v>4732</v>
      </c>
      <c r="BO271" s="114">
        <v>0</v>
      </c>
      <c r="BP271" s="114">
        <v>0</v>
      </c>
    </row>
    <row r="272" spans="1:68">
      <c r="A272" t="s">
        <v>1034</v>
      </c>
      <c r="B272" t="s">
        <v>2242</v>
      </c>
      <c r="C272" s="121">
        <v>4500</v>
      </c>
      <c r="D272" s="72">
        <v>3</v>
      </c>
      <c r="E272">
        <v>70.152000000000001</v>
      </c>
      <c r="F272">
        <v>23</v>
      </c>
      <c r="G272">
        <v>17</v>
      </c>
      <c r="H272">
        <v>2</v>
      </c>
      <c r="I272" s="173">
        <v>1.17</v>
      </c>
      <c r="J272" s="121">
        <v>34714401</v>
      </c>
      <c r="K272" s="125">
        <v>469.91300000000001</v>
      </c>
      <c r="L272" s="173">
        <v>1.4390000000000001</v>
      </c>
      <c r="M272">
        <v>1.17</v>
      </c>
      <c r="N272">
        <v>0.9593333381300001</v>
      </c>
      <c r="O272">
        <v>21.066666186999981</v>
      </c>
      <c r="P272">
        <v>243.47200000000001</v>
      </c>
      <c r="Q272" s="125">
        <v>0</v>
      </c>
      <c r="R272" s="125">
        <v>0</v>
      </c>
      <c r="S272" s="125">
        <v>0.66300000000000003</v>
      </c>
      <c r="T272" s="125">
        <v>10.382</v>
      </c>
      <c r="U272" s="125">
        <v>0.84099999999999997</v>
      </c>
      <c r="V272" s="125">
        <v>0</v>
      </c>
      <c r="W272" s="125">
        <v>0.93300000000000005</v>
      </c>
      <c r="X272" s="125">
        <v>0</v>
      </c>
      <c r="Y272" s="125">
        <v>0</v>
      </c>
      <c r="Z272" s="125">
        <v>5.2039999999999997</v>
      </c>
      <c r="AA272" s="125">
        <v>7.4740000000000002</v>
      </c>
      <c r="AB272" s="125">
        <v>14.984999999999999</v>
      </c>
      <c r="AC272" s="125">
        <v>207.8</v>
      </c>
      <c r="AD272" s="125">
        <v>0</v>
      </c>
      <c r="AE272" s="125">
        <v>8.4949999999999992</v>
      </c>
      <c r="AF272" s="125">
        <v>12.1736</v>
      </c>
      <c r="AG272" s="125">
        <v>0</v>
      </c>
      <c r="AH272" s="125">
        <v>0</v>
      </c>
      <c r="AI272" s="121">
        <v>379640</v>
      </c>
      <c r="AJ272" s="121">
        <v>0</v>
      </c>
      <c r="AK272" s="424">
        <v>12</v>
      </c>
      <c r="AL272">
        <v>0</v>
      </c>
      <c r="AM272" s="121">
        <v>24644</v>
      </c>
      <c r="AN272" s="125">
        <v>0</v>
      </c>
      <c r="AO272" s="125">
        <v>0</v>
      </c>
      <c r="AP272" s="121">
        <v>379640</v>
      </c>
      <c r="AQ272" s="114">
        <v>0</v>
      </c>
      <c r="AR272" s="121">
        <v>23.139214018000001</v>
      </c>
      <c r="AS272" s="121">
        <v>4546.9282171000004</v>
      </c>
      <c r="AT272" s="121">
        <v>598.82840724000005</v>
      </c>
      <c r="AU272" s="420" t="s">
        <v>2001</v>
      </c>
      <c r="AV272" s="420" t="s">
        <v>2001</v>
      </c>
      <c r="AW272" s="121">
        <v>0</v>
      </c>
      <c r="AX272" s="121">
        <v>0</v>
      </c>
      <c r="BI272">
        <v>0</v>
      </c>
      <c r="BJ272" s="121">
        <v>0</v>
      </c>
      <c r="BK272" s="134">
        <v>32190330</v>
      </c>
      <c r="BL272" s="934">
        <v>4142</v>
      </c>
      <c r="BM272" s="934">
        <v>4410</v>
      </c>
      <c r="BN272" s="934">
        <v>4500</v>
      </c>
      <c r="BO272" s="114">
        <v>0</v>
      </c>
      <c r="BP272" s="114">
        <v>0</v>
      </c>
    </row>
    <row r="273" spans="1:68">
      <c r="A273" t="s">
        <v>2442</v>
      </c>
      <c r="B273" t="s">
        <v>2243</v>
      </c>
      <c r="C273" s="121">
        <v>4647</v>
      </c>
      <c r="D273" s="72">
        <v>2</v>
      </c>
      <c r="E273">
        <v>6403.5609999999997</v>
      </c>
      <c r="F273">
        <v>1863</v>
      </c>
      <c r="G273">
        <v>1396</v>
      </c>
      <c r="H273">
        <v>62</v>
      </c>
      <c r="I273" s="173">
        <v>1.03</v>
      </c>
      <c r="J273" s="121">
        <v>7838453735</v>
      </c>
      <c r="K273" s="125">
        <v>31904.162</v>
      </c>
      <c r="L273" s="173">
        <v>1.4</v>
      </c>
      <c r="M273">
        <v>1.03</v>
      </c>
      <c r="N273">
        <v>0.93333333799999996</v>
      </c>
      <c r="O273">
        <v>9.666666200000007</v>
      </c>
      <c r="P273">
        <v>24350</v>
      </c>
      <c r="Q273" s="125">
        <v>3.3109999999999999</v>
      </c>
      <c r="R273" s="125">
        <v>0</v>
      </c>
      <c r="S273" s="125">
        <v>32.228999999999999</v>
      </c>
      <c r="T273" s="125">
        <v>715</v>
      </c>
      <c r="U273" s="125">
        <v>212</v>
      </c>
      <c r="V273" s="125">
        <v>0</v>
      </c>
      <c r="W273" s="125">
        <v>18.239999999999998</v>
      </c>
      <c r="X273" s="125">
        <v>0</v>
      </c>
      <c r="Y273" s="125">
        <v>0</v>
      </c>
      <c r="Z273" s="125">
        <v>0</v>
      </c>
      <c r="AA273" s="125">
        <v>130</v>
      </c>
      <c r="AB273" s="125">
        <v>985.57500000000005</v>
      </c>
      <c r="AC273" s="125">
        <v>15500</v>
      </c>
      <c r="AD273" s="125">
        <v>11.558999999999999</v>
      </c>
      <c r="AE273" s="125">
        <v>2657</v>
      </c>
      <c r="AF273" s="125">
        <v>1191.8789999999999</v>
      </c>
      <c r="AG273" s="125">
        <v>0</v>
      </c>
      <c r="AH273" s="125">
        <v>0</v>
      </c>
      <c r="AI273" s="121">
        <v>84772877</v>
      </c>
      <c r="AJ273" s="121">
        <v>5129362</v>
      </c>
      <c r="AK273" s="424">
        <v>12</v>
      </c>
      <c r="AL273">
        <v>0</v>
      </c>
      <c r="AM273" s="121">
        <v>1971956</v>
      </c>
      <c r="AN273" s="125">
        <v>1</v>
      </c>
      <c r="AO273" s="125">
        <v>2</v>
      </c>
      <c r="AP273" s="121">
        <v>89902239</v>
      </c>
      <c r="AQ273" s="114">
        <v>0</v>
      </c>
      <c r="AR273" s="121">
        <v>5224.7957839000001</v>
      </c>
      <c r="AS273" s="121">
        <v>1026688.7786</v>
      </c>
      <c r="AT273" s="121">
        <v>135214.45175000001</v>
      </c>
      <c r="AU273" s="420" t="s">
        <v>2001</v>
      </c>
      <c r="AV273" s="420" t="s">
        <v>2001</v>
      </c>
      <c r="AW273" s="121">
        <v>0</v>
      </c>
      <c r="AX273" s="121">
        <v>9250065</v>
      </c>
      <c r="BI273">
        <v>0</v>
      </c>
      <c r="BJ273" s="121">
        <v>0</v>
      </c>
      <c r="BK273" s="134">
        <v>7838453735</v>
      </c>
      <c r="BL273" s="934">
        <v>4576</v>
      </c>
      <c r="BM273" s="934">
        <v>4647</v>
      </c>
      <c r="BN273" s="934">
        <v>4575</v>
      </c>
      <c r="BO273" s="114">
        <v>0</v>
      </c>
      <c r="BP273" s="114">
        <v>0</v>
      </c>
    </row>
    <row r="274" spans="1:68">
      <c r="A274" t="s">
        <v>2976</v>
      </c>
      <c r="B274" t="s">
        <v>2244</v>
      </c>
      <c r="C274" s="121">
        <v>6249</v>
      </c>
      <c r="D274" s="72">
        <v>2</v>
      </c>
      <c r="E274">
        <v>117.994</v>
      </c>
      <c r="F274">
        <v>39</v>
      </c>
      <c r="G274">
        <v>29</v>
      </c>
      <c r="H274">
        <v>1</v>
      </c>
      <c r="I274" s="173">
        <v>1.04</v>
      </c>
      <c r="J274" s="121">
        <v>319173809</v>
      </c>
      <c r="K274" s="125">
        <v>634.31399999999996</v>
      </c>
      <c r="L274" s="173">
        <v>1.5</v>
      </c>
      <c r="M274">
        <v>1.04</v>
      </c>
      <c r="N274">
        <v>1.000000005</v>
      </c>
      <c r="O274">
        <v>3.9999995000000066</v>
      </c>
      <c r="P274">
        <v>304.54399999999998</v>
      </c>
      <c r="Q274" s="125">
        <v>0</v>
      </c>
      <c r="R274" s="125">
        <v>0</v>
      </c>
      <c r="S274" s="125">
        <v>1</v>
      </c>
      <c r="T274" s="125">
        <v>7</v>
      </c>
      <c r="U274" s="125">
        <v>1.5</v>
      </c>
      <c r="V274" s="125">
        <v>0</v>
      </c>
      <c r="W274" s="125">
        <v>1.5</v>
      </c>
      <c r="X274" s="125">
        <v>0</v>
      </c>
      <c r="Y274" s="125">
        <v>0</v>
      </c>
      <c r="Z274" s="125">
        <v>0</v>
      </c>
      <c r="AA274" s="125">
        <v>15</v>
      </c>
      <c r="AB274" s="125">
        <v>12.85</v>
      </c>
      <c r="AC274" s="125">
        <v>236</v>
      </c>
      <c r="AD274" s="125">
        <v>0</v>
      </c>
      <c r="AE274" s="125">
        <v>48</v>
      </c>
      <c r="AF274" s="125">
        <v>15.227</v>
      </c>
      <c r="AG274" s="125">
        <v>0</v>
      </c>
      <c r="AH274" s="125">
        <v>0</v>
      </c>
      <c r="AI274" s="121">
        <v>3252049</v>
      </c>
      <c r="AJ274" s="121">
        <v>0</v>
      </c>
      <c r="AK274" s="424">
        <v>12</v>
      </c>
      <c r="AL274">
        <v>0</v>
      </c>
      <c r="AM274" s="121">
        <v>62353</v>
      </c>
      <c r="AN274" s="125">
        <v>0</v>
      </c>
      <c r="AO274" s="125">
        <v>0</v>
      </c>
      <c r="AP274" s="121">
        <v>3252049</v>
      </c>
      <c r="AQ274" s="114">
        <v>0</v>
      </c>
      <c r="AR274" s="121">
        <v>0</v>
      </c>
      <c r="AS274" s="121">
        <v>0</v>
      </c>
      <c r="AT274" s="121">
        <v>0</v>
      </c>
      <c r="AU274" s="420" t="s">
        <v>798</v>
      </c>
      <c r="AV274" s="72" t="s">
        <v>798</v>
      </c>
      <c r="AW274" s="121">
        <v>0</v>
      </c>
      <c r="AX274" s="121">
        <v>0</v>
      </c>
      <c r="AY274" s="134">
        <v>11353</v>
      </c>
      <c r="AZ274" s="134">
        <v>2111238</v>
      </c>
      <c r="BA274" s="114">
        <v>862</v>
      </c>
      <c r="BB274" s="134">
        <v>102729157</v>
      </c>
      <c r="BC274" s="114">
        <v>0</v>
      </c>
      <c r="BD274" s="114">
        <v>0</v>
      </c>
      <c r="BE274" s="114">
        <v>0</v>
      </c>
      <c r="BF274" s="114">
        <v>341</v>
      </c>
      <c r="BG274" s="114">
        <v>0</v>
      </c>
      <c r="BH274" s="114">
        <v>0</v>
      </c>
      <c r="BI274">
        <v>0</v>
      </c>
      <c r="BJ274" s="121">
        <v>3</v>
      </c>
      <c r="BK274" s="134">
        <v>294858094</v>
      </c>
      <c r="BL274" s="934">
        <v>5451</v>
      </c>
      <c r="BM274" s="934">
        <v>6249</v>
      </c>
      <c r="BN274" s="934">
        <v>5314</v>
      </c>
      <c r="BO274" s="114">
        <v>0</v>
      </c>
      <c r="BP274" s="114">
        <v>0</v>
      </c>
    </row>
    <row r="275" spans="1:68">
      <c r="A275" t="s">
        <v>2745</v>
      </c>
      <c r="B275" t="s">
        <v>2245</v>
      </c>
      <c r="C275" s="121">
        <v>4927</v>
      </c>
      <c r="D275" s="72">
        <v>2</v>
      </c>
      <c r="E275">
        <v>97.338999999999999</v>
      </c>
      <c r="F275">
        <v>34</v>
      </c>
      <c r="G275">
        <v>25</v>
      </c>
      <c r="H275">
        <v>0</v>
      </c>
      <c r="I275" s="173">
        <v>1.04</v>
      </c>
      <c r="J275" s="121">
        <v>153268182</v>
      </c>
      <c r="K275" s="125">
        <v>642.98099999999999</v>
      </c>
      <c r="L275" s="173">
        <v>1.5</v>
      </c>
      <c r="M275">
        <v>1.04</v>
      </c>
      <c r="N275">
        <v>1.000000005</v>
      </c>
      <c r="O275">
        <v>3.9999995000000066</v>
      </c>
      <c r="P275">
        <v>285.29599999999999</v>
      </c>
      <c r="Q275" s="125">
        <v>0</v>
      </c>
      <c r="R275" s="125">
        <v>0</v>
      </c>
      <c r="S275" s="125">
        <v>0.63400000000000001</v>
      </c>
      <c r="T275" s="125">
        <v>8.9410000000000007</v>
      </c>
      <c r="U275" s="125">
        <v>0.78100000000000003</v>
      </c>
      <c r="V275" s="125">
        <v>0</v>
      </c>
      <c r="W275" s="125">
        <v>1.881</v>
      </c>
      <c r="X275" s="125">
        <v>0</v>
      </c>
      <c r="Y275" s="125">
        <v>0</v>
      </c>
      <c r="Z275" s="125">
        <v>0</v>
      </c>
      <c r="AA275" s="125">
        <v>27.456</v>
      </c>
      <c r="AB275" s="125">
        <v>22.635000000000002</v>
      </c>
      <c r="AC275" s="125">
        <v>282.39999999999998</v>
      </c>
      <c r="AD275" s="125">
        <v>0</v>
      </c>
      <c r="AE275" s="125">
        <v>0</v>
      </c>
      <c r="AF275" s="125">
        <v>14.264799999999999</v>
      </c>
      <c r="AG275" s="125">
        <v>0</v>
      </c>
      <c r="AH275" s="125">
        <v>0</v>
      </c>
      <c r="AI275" s="121">
        <v>1644293</v>
      </c>
      <c r="AJ275" s="121">
        <v>9146</v>
      </c>
      <c r="AK275" s="424">
        <v>12</v>
      </c>
      <c r="AL275">
        <v>0</v>
      </c>
      <c r="AM275" s="121">
        <v>31498</v>
      </c>
      <c r="AN275" s="125">
        <v>1</v>
      </c>
      <c r="AO275" s="125">
        <v>0</v>
      </c>
      <c r="AP275" s="121">
        <v>1653439</v>
      </c>
      <c r="AQ275" s="114">
        <v>0</v>
      </c>
      <c r="AR275" s="121">
        <v>102.16236240000001</v>
      </c>
      <c r="AS275" s="121">
        <v>20075.225025</v>
      </c>
      <c r="AT275" s="121">
        <v>2643.8981336000002</v>
      </c>
      <c r="AU275" s="420" t="s">
        <v>2001</v>
      </c>
      <c r="AV275" s="420" t="s">
        <v>2001</v>
      </c>
      <c r="AW275" s="121">
        <v>0</v>
      </c>
      <c r="AX275" s="121">
        <v>0</v>
      </c>
      <c r="BI275">
        <v>0</v>
      </c>
      <c r="BJ275" s="121">
        <v>0</v>
      </c>
      <c r="BK275" s="134">
        <v>153268182</v>
      </c>
      <c r="BL275" s="934">
        <v>4717</v>
      </c>
      <c r="BM275" s="934">
        <v>4927</v>
      </c>
      <c r="BN275" s="934">
        <v>4924</v>
      </c>
      <c r="BO275" s="114">
        <v>0</v>
      </c>
      <c r="BP275" s="114">
        <v>0</v>
      </c>
    </row>
    <row r="276" spans="1:68">
      <c r="A276" t="s">
        <v>274</v>
      </c>
      <c r="B276" t="s">
        <v>2427</v>
      </c>
      <c r="C276" s="121">
        <v>4356</v>
      </c>
      <c r="D276" s="72">
        <v>3</v>
      </c>
      <c r="E276">
        <v>73.533000000000001</v>
      </c>
      <c r="F276">
        <v>21</v>
      </c>
      <c r="G276">
        <v>16</v>
      </c>
      <c r="H276">
        <v>0</v>
      </c>
      <c r="I276" s="173">
        <v>1.04</v>
      </c>
      <c r="J276" s="121">
        <v>32016057</v>
      </c>
      <c r="K276" s="125">
        <v>436.81299999999999</v>
      </c>
      <c r="L276" s="173">
        <v>1.43</v>
      </c>
      <c r="M276">
        <v>1.04</v>
      </c>
      <c r="N276">
        <v>0.95333333809999998</v>
      </c>
      <c r="O276">
        <v>8.6666661900000044</v>
      </c>
      <c r="P276">
        <v>240</v>
      </c>
      <c r="Q276" s="125">
        <v>0</v>
      </c>
      <c r="R276" s="125">
        <v>0</v>
      </c>
      <c r="S276" s="125">
        <v>0.09</v>
      </c>
      <c r="T276" s="125">
        <v>8.6999999999999993</v>
      </c>
      <c r="U276" s="125">
        <v>2.129</v>
      </c>
      <c r="V276" s="125">
        <v>1.1399999999999999</v>
      </c>
      <c r="W276" s="125">
        <v>0.85499999999999998</v>
      </c>
      <c r="X276" s="125">
        <v>0</v>
      </c>
      <c r="Y276" s="125">
        <v>0</v>
      </c>
      <c r="Z276" s="125">
        <v>0</v>
      </c>
      <c r="AA276" s="125">
        <v>6</v>
      </c>
      <c r="AB276" s="125">
        <v>11</v>
      </c>
      <c r="AC276" s="125">
        <v>175</v>
      </c>
      <c r="AD276" s="125">
        <v>0.41</v>
      </c>
      <c r="AE276" s="125">
        <v>15</v>
      </c>
      <c r="AF276" s="125">
        <v>12</v>
      </c>
      <c r="AG276" s="125">
        <v>0</v>
      </c>
      <c r="AH276" s="125">
        <v>0</v>
      </c>
      <c r="AI276" s="121">
        <v>331287</v>
      </c>
      <c r="AJ276" s="121">
        <v>20332</v>
      </c>
      <c r="AK276" s="424">
        <v>12</v>
      </c>
      <c r="AL276">
        <v>0</v>
      </c>
      <c r="AM276" s="121">
        <v>15701</v>
      </c>
      <c r="AN276" s="125">
        <v>0</v>
      </c>
      <c r="AO276" s="125">
        <v>0</v>
      </c>
      <c r="AP276" s="121">
        <v>351619</v>
      </c>
      <c r="AQ276" s="114">
        <v>0</v>
      </c>
      <c r="AR276" s="121">
        <v>21.340606805</v>
      </c>
      <c r="AS276" s="121">
        <v>4193.4962517000004</v>
      </c>
      <c r="AT276" s="121">
        <v>552.28157587999999</v>
      </c>
      <c r="AU276" s="420" t="s">
        <v>2001</v>
      </c>
      <c r="AV276" s="420" t="s">
        <v>2001</v>
      </c>
      <c r="AW276" s="121">
        <v>0</v>
      </c>
      <c r="AX276" s="121">
        <v>95515</v>
      </c>
      <c r="BI276">
        <v>0</v>
      </c>
      <c r="BJ276" s="121">
        <v>0</v>
      </c>
      <c r="BK276" s="134">
        <v>31249784</v>
      </c>
      <c r="BL276" s="934">
        <v>4241</v>
      </c>
      <c r="BM276" s="934">
        <v>4315</v>
      </c>
      <c r="BN276" s="934">
        <v>4356</v>
      </c>
      <c r="BO276" s="114">
        <v>0</v>
      </c>
      <c r="BP276" s="114">
        <v>0</v>
      </c>
    </row>
    <row r="277" spans="1:68">
      <c r="A277" t="s">
        <v>1585</v>
      </c>
      <c r="B277" t="s">
        <v>2246</v>
      </c>
      <c r="C277" s="121">
        <v>4744</v>
      </c>
      <c r="D277" s="72">
        <v>3</v>
      </c>
      <c r="E277">
        <v>1385.4690000000001</v>
      </c>
      <c r="F277">
        <v>402</v>
      </c>
      <c r="G277">
        <v>310</v>
      </c>
      <c r="H277">
        <v>15</v>
      </c>
      <c r="I277" s="173">
        <v>1.03</v>
      </c>
      <c r="J277" s="121">
        <v>1589193331</v>
      </c>
      <c r="K277" s="125">
        <v>7553.5510000000004</v>
      </c>
      <c r="L277" s="173">
        <v>1.4709000000000001</v>
      </c>
      <c r="M277">
        <v>1.03</v>
      </c>
      <c r="N277">
        <v>0.98060000490300014</v>
      </c>
      <c r="O277">
        <v>4.9399995096999882</v>
      </c>
      <c r="P277">
        <v>5470.25</v>
      </c>
      <c r="Q277" s="125">
        <v>0.308</v>
      </c>
      <c r="R277" s="125">
        <v>0</v>
      </c>
      <c r="S277" s="125">
        <v>10.262</v>
      </c>
      <c r="T277" s="125">
        <v>291.46199999999999</v>
      </c>
      <c r="U277" s="125">
        <v>45.494999999999997</v>
      </c>
      <c r="V277" s="125">
        <v>0</v>
      </c>
      <c r="W277" s="125">
        <v>0</v>
      </c>
      <c r="X277" s="125">
        <v>0</v>
      </c>
      <c r="Y277" s="125">
        <v>0</v>
      </c>
      <c r="Z277" s="125">
        <v>0</v>
      </c>
      <c r="AA277" s="125">
        <v>58.213999999999999</v>
      </c>
      <c r="AB277" s="125">
        <v>342.399</v>
      </c>
      <c r="AC277" s="125">
        <v>3737.1</v>
      </c>
      <c r="AD277" s="125">
        <v>2.6669999999999998</v>
      </c>
      <c r="AE277" s="125">
        <v>737.21900000000005</v>
      </c>
      <c r="AF277" s="125">
        <v>273.51249999999999</v>
      </c>
      <c r="AG277" s="125">
        <v>0</v>
      </c>
      <c r="AH277" s="125">
        <v>0</v>
      </c>
      <c r="AI277" s="121">
        <v>16789399</v>
      </c>
      <c r="AJ277" s="121">
        <v>3337060</v>
      </c>
      <c r="AK277" s="424">
        <v>12</v>
      </c>
      <c r="AL277">
        <v>0</v>
      </c>
      <c r="AM277" s="121">
        <v>394979</v>
      </c>
      <c r="AN277" s="125">
        <v>0</v>
      </c>
      <c r="AO277" s="125">
        <v>0</v>
      </c>
      <c r="AP277" s="121">
        <v>20126459</v>
      </c>
      <c r="AQ277" s="114">
        <v>0</v>
      </c>
      <c r="AR277" s="121">
        <v>1059.2919081</v>
      </c>
      <c r="AS277" s="121">
        <v>208154.18637000001</v>
      </c>
      <c r="AT277" s="121">
        <v>27413.813004</v>
      </c>
      <c r="AU277" s="420" t="s">
        <v>2001</v>
      </c>
      <c r="AV277" s="420" t="s">
        <v>2001</v>
      </c>
      <c r="AW277" s="121">
        <v>0</v>
      </c>
      <c r="AX277" s="121">
        <v>4594892</v>
      </c>
      <c r="BI277">
        <v>0</v>
      </c>
      <c r="BJ277" s="121">
        <v>0</v>
      </c>
      <c r="BK277" s="134">
        <v>1564068220</v>
      </c>
      <c r="BL277" s="934">
        <v>4694</v>
      </c>
      <c r="BM277" s="934">
        <v>4683</v>
      </c>
      <c r="BN277" s="934">
        <v>4744</v>
      </c>
      <c r="BO277" s="114">
        <v>0</v>
      </c>
      <c r="BP277" s="114">
        <v>0</v>
      </c>
    </row>
    <row r="278" spans="1:68">
      <c r="A278" t="s">
        <v>1586</v>
      </c>
      <c r="B278" t="s">
        <v>2247</v>
      </c>
      <c r="C278" s="121">
        <v>4641</v>
      </c>
      <c r="D278" s="72">
        <v>3</v>
      </c>
      <c r="E278">
        <v>581.50699999999995</v>
      </c>
      <c r="F278">
        <v>172</v>
      </c>
      <c r="G278">
        <v>156</v>
      </c>
      <c r="H278">
        <v>8</v>
      </c>
      <c r="I278" s="173">
        <v>1.04</v>
      </c>
      <c r="J278" s="121">
        <v>297085422</v>
      </c>
      <c r="K278" s="125">
        <v>3052.5830000000001</v>
      </c>
      <c r="L278" s="173">
        <v>1.4750000000000001</v>
      </c>
      <c r="M278">
        <v>1.04</v>
      </c>
      <c r="N278">
        <v>0.98333333825000013</v>
      </c>
      <c r="O278">
        <v>5.6666661749999907</v>
      </c>
      <c r="P278">
        <v>2056.3690000000001</v>
      </c>
      <c r="Q278" s="125">
        <v>0.41699999999999998</v>
      </c>
      <c r="R278" s="125">
        <v>0</v>
      </c>
      <c r="S278" s="125">
        <v>4.76</v>
      </c>
      <c r="T278" s="125">
        <v>103.351</v>
      </c>
      <c r="U278" s="125">
        <v>8.9469999999999992</v>
      </c>
      <c r="V278" s="125">
        <v>12.808</v>
      </c>
      <c r="W278" s="125">
        <v>0</v>
      </c>
      <c r="X278" s="125">
        <v>0</v>
      </c>
      <c r="Y278" s="125">
        <v>0</v>
      </c>
      <c r="Z278" s="125">
        <v>0</v>
      </c>
      <c r="AA278" s="125">
        <v>19.495999999999999</v>
      </c>
      <c r="AB278" s="125">
        <v>85.066000000000003</v>
      </c>
      <c r="AC278" s="125">
        <v>1617.9</v>
      </c>
      <c r="AD278" s="125">
        <v>1.1830000000000001</v>
      </c>
      <c r="AE278" s="125">
        <v>283.25900000000001</v>
      </c>
      <c r="AF278" s="125">
        <v>102.818</v>
      </c>
      <c r="AG278" s="125">
        <v>0</v>
      </c>
      <c r="AH278" s="125">
        <v>0</v>
      </c>
      <c r="AI278" s="121">
        <v>3029020</v>
      </c>
      <c r="AJ278" s="121">
        <v>620508</v>
      </c>
      <c r="AK278" s="424">
        <v>12</v>
      </c>
      <c r="AL278">
        <v>0</v>
      </c>
      <c r="AM278" s="121">
        <v>320148</v>
      </c>
      <c r="AN278" s="125">
        <v>1</v>
      </c>
      <c r="AO278" s="125">
        <v>0</v>
      </c>
      <c r="AP278" s="121">
        <v>3649528</v>
      </c>
      <c r="AQ278" s="114">
        <v>0</v>
      </c>
      <c r="AR278" s="121">
        <v>198.02510964999999</v>
      </c>
      <c r="AS278" s="121">
        <v>38912.555890000003</v>
      </c>
      <c r="AT278" s="121">
        <v>5124.7661613999999</v>
      </c>
      <c r="AU278" s="420" t="s">
        <v>2001</v>
      </c>
      <c r="AV278" s="420" t="s">
        <v>2001</v>
      </c>
      <c r="AW278" s="121">
        <v>0</v>
      </c>
      <c r="AX278" s="121">
        <v>1700743</v>
      </c>
      <c r="BI278">
        <v>0</v>
      </c>
      <c r="BJ278" s="121">
        <v>0</v>
      </c>
      <c r="BK278" s="134">
        <v>297085422</v>
      </c>
      <c r="BL278" s="934">
        <v>4593</v>
      </c>
      <c r="BM278" s="934">
        <v>4619</v>
      </c>
      <c r="BN278" s="934">
        <v>4641</v>
      </c>
      <c r="BO278" s="114">
        <v>0</v>
      </c>
      <c r="BP278" s="114">
        <v>0</v>
      </c>
    </row>
    <row r="279" spans="1:68">
      <c r="A279" t="s">
        <v>818</v>
      </c>
      <c r="B279" t="s">
        <v>1442</v>
      </c>
      <c r="C279" s="121">
        <v>4556</v>
      </c>
      <c r="D279" s="72">
        <v>1</v>
      </c>
      <c r="E279">
        <v>163.352</v>
      </c>
      <c r="F279">
        <v>57</v>
      </c>
      <c r="G279">
        <v>41</v>
      </c>
      <c r="H279">
        <v>0</v>
      </c>
      <c r="I279" s="173">
        <v>1.04</v>
      </c>
      <c r="J279" s="121">
        <v>93650836</v>
      </c>
      <c r="K279" s="125">
        <v>1076.635</v>
      </c>
      <c r="L279" s="173">
        <v>1.5</v>
      </c>
      <c r="M279">
        <v>1.04</v>
      </c>
      <c r="N279">
        <v>1.000000005</v>
      </c>
      <c r="O279">
        <v>3.9999995000000066</v>
      </c>
      <c r="P279">
        <v>630</v>
      </c>
      <c r="Q279" s="125">
        <v>0</v>
      </c>
      <c r="R279" s="125">
        <v>0</v>
      </c>
      <c r="S279" s="125">
        <v>1.39</v>
      </c>
      <c r="T279" s="125">
        <v>18</v>
      </c>
      <c r="U279" s="125">
        <v>1.3109999999999999</v>
      </c>
      <c r="V279" s="125">
        <v>3</v>
      </c>
      <c r="W279" s="125">
        <v>3</v>
      </c>
      <c r="X279" s="125">
        <v>0</v>
      </c>
      <c r="Y279" s="125">
        <v>0</v>
      </c>
      <c r="Z279" s="125">
        <v>0</v>
      </c>
      <c r="AA279" s="125">
        <v>42</v>
      </c>
      <c r="AB279" s="125">
        <v>37</v>
      </c>
      <c r="AC279" s="125">
        <v>385</v>
      </c>
      <c r="AD279" s="125">
        <v>0.33400000000000002</v>
      </c>
      <c r="AE279" s="125">
        <v>50.744999999999997</v>
      </c>
      <c r="AF279" s="125">
        <v>31.5</v>
      </c>
      <c r="AG279" s="125">
        <v>0</v>
      </c>
      <c r="AH279" s="125">
        <v>0</v>
      </c>
      <c r="AI279" s="121">
        <v>974899</v>
      </c>
      <c r="AJ279" s="121">
        <v>54326</v>
      </c>
      <c r="AK279" s="424">
        <v>12</v>
      </c>
      <c r="AL279">
        <v>0</v>
      </c>
      <c r="AM279" s="121">
        <v>16268</v>
      </c>
      <c r="AN279" s="125">
        <v>0</v>
      </c>
      <c r="AO279" s="125">
        <v>0</v>
      </c>
      <c r="AP279" s="121">
        <v>1029225</v>
      </c>
      <c r="AQ279" s="114">
        <v>0</v>
      </c>
      <c r="AR279" s="121">
        <v>62.423854198000001</v>
      </c>
      <c r="AS279" s="121">
        <v>12266.483375</v>
      </c>
      <c r="AT279" s="121">
        <v>1615.49036</v>
      </c>
      <c r="AU279" s="420" t="s">
        <v>2001</v>
      </c>
      <c r="AV279" s="420" t="s">
        <v>2001</v>
      </c>
      <c r="AW279" s="121">
        <v>0</v>
      </c>
      <c r="AX279" s="121">
        <v>148362</v>
      </c>
      <c r="BI279">
        <v>0</v>
      </c>
      <c r="BJ279" s="121">
        <v>0</v>
      </c>
      <c r="BK279" s="134">
        <v>93650836</v>
      </c>
      <c r="BL279" s="934">
        <v>4556</v>
      </c>
      <c r="BM279" s="934">
        <v>4524</v>
      </c>
      <c r="BN279" s="934">
        <v>4524</v>
      </c>
      <c r="BO279" s="114">
        <v>0</v>
      </c>
      <c r="BP279" s="114">
        <v>0</v>
      </c>
    </row>
    <row r="280" spans="1:68">
      <c r="A280" t="s">
        <v>1581</v>
      </c>
      <c r="B280" t="s">
        <v>2248</v>
      </c>
      <c r="C280" s="121">
        <v>5260</v>
      </c>
      <c r="D280" s="72">
        <v>2</v>
      </c>
      <c r="E280">
        <v>1976.674</v>
      </c>
      <c r="F280">
        <v>488</v>
      </c>
      <c r="G280">
        <v>285</v>
      </c>
      <c r="H280">
        <v>46</v>
      </c>
      <c r="I280" s="173">
        <v>1.04</v>
      </c>
      <c r="J280" s="121">
        <v>2443800387</v>
      </c>
      <c r="K280" s="125">
        <v>8564.7260000000006</v>
      </c>
      <c r="L280" s="173">
        <v>1.5</v>
      </c>
      <c r="M280">
        <v>1.04</v>
      </c>
      <c r="N280">
        <v>1.000000005</v>
      </c>
      <c r="O280">
        <v>3.9999995000000066</v>
      </c>
      <c r="P280">
        <v>7063.18</v>
      </c>
      <c r="Q280" s="125">
        <v>0.49099999999999999</v>
      </c>
      <c r="R280" s="125">
        <v>0</v>
      </c>
      <c r="S280" s="125">
        <v>11.885</v>
      </c>
      <c r="T280" s="125">
        <v>321.65899999999999</v>
      </c>
      <c r="U280" s="125">
        <v>43.604999999999997</v>
      </c>
      <c r="V280" s="125">
        <v>0</v>
      </c>
      <c r="W280" s="125">
        <v>8.8279999999999994</v>
      </c>
      <c r="X280" s="125">
        <v>0</v>
      </c>
      <c r="Y280" s="125">
        <v>0</v>
      </c>
      <c r="Z280" s="125">
        <v>4.2709999999999999</v>
      </c>
      <c r="AA280" s="125">
        <v>22.515999999999998</v>
      </c>
      <c r="AB280" s="125">
        <v>190.35400000000001</v>
      </c>
      <c r="AC280" s="125">
        <v>1080</v>
      </c>
      <c r="AD280" s="125">
        <v>2.3719999999999999</v>
      </c>
      <c r="AE280" s="125">
        <v>207</v>
      </c>
      <c r="AF280" s="125">
        <v>353.15899999999999</v>
      </c>
      <c r="AG280" s="125">
        <v>0</v>
      </c>
      <c r="AH280" s="125">
        <v>0</v>
      </c>
      <c r="AI280" s="121">
        <v>25017730</v>
      </c>
      <c r="AJ280" s="121">
        <v>8774296</v>
      </c>
      <c r="AK280" s="424">
        <v>12</v>
      </c>
      <c r="AL280">
        <v>0</v>
      </c>
      <c r="AM280" s="121">
        <v>544068</v>
      </c>
      <c r="AN280" s="125">
        <v>0</v>
      </c>
      <c r="AO280" s="125">
        <v>0</v>
      </c>
      <c r="AP280" s="121">
        <v>33792026</v>
      </c>
      <c r="AQ280" s="114">
        <v>0</v>
      </c>
      <c r="AR280" s="121">
        <v>1628.9383584</v>
      </c>
      <c r="AS280" s="121">
        <v>320091.50267000002</v>
      </c>
      <c r="AT280" s="121">
        <v>42155.907363999999</v>
      </c>
      <c r="AU280" s="420" t="s">
        <v>2001</v>
      </c>
      <c r="AV280" s="420" t="s">
        <v>2001</v>
      </c>
      <c r="AW280" s="121">
        <v>0</v>
      </c>
      <c r="AX280" s="121">
        <v>11819059</v>
      </c>
      <c r="BI280">
        <v>0</v>
      </c>
      <c r="BJ280" s="121">
        <v>0</v>
      </c>
      <c r="BK280" s="134">
        <v>2288032311</v>
      </c>
      <c r="BL280" s="934">
        <v>4820</v>
      </c>
      <c r="BM280" s="934">
        <v>5260</v>
      </c>
      <c r="BN280" s="934">
        <v>5067</v>
      </c>
      <c r="BO280" s="114">
        <v>0</v>
      </c>
      <c r="BP280" s="114">
        <v>0</v>
      </c>
    </row>
    <row r="281" spans="1:68">
      <c r="A281" t="s">
        <v>1049</v>
      </c>
      <c r="B281" t="s">
        <v>2249</v>
      </c>
      <c r="C281" s="121">
        <v>4859</v>
      </c>
      <c r="D281" s="72">
        <v>2</v>
      </c>
      <c r="E281">
        <v>58.468000000000004</v>
      </c>
      <c r="F281">
        <v>23</v>
      </c>
      <c r="G281">
        <v>15</v>
      </c>
      <c r="H281">
        <v>1</v>
      </c>
      <c r="I281" s="173">
        <v>1.04</v>
      </c>
      <c r="J281" s="121">
        <v>50829364</v>
      </c>
      <c r="K281" s="125">
        <v>418.18700000000001</v>
      </c>
      <c r="L281" s="173">
        <v>1.5</v>
      </c>
      <c r="M281">
        <v>1.04</v>
      </c>
      <c r="N281">
        <v>1.000000005</v>
      </c>
      <c r="O281">
        <v>3.9999995000000066</v>
      </c>
      <c r="P281">
        <v>217.553</v>
      </c>
      <c r="Q281" s="125">
        <v>0</v>
      </c>
      <c r="R281" s="125">
        <v>0</v>
      </c>
      <c r="S281" s="125">
        <v>0.505</v>
      </c>
      <c r="T281" s="125">
        <v>8.3989999999999991</v>
      </c>
      <c r="U281" s="125">
        <v>0</v>
      </c>
      <c r="V281" s="125">
        <v>3.3119999999999998</v>
      </c>
      <c r="W281" s="125">
        <v>0.39900000000000002</v>
      </c>
      <c r="X281" s="125">
        <v>0</v>
      </c>
      <c r="Y281" s="125">
        <v>0</v>
      </c>
      <c r="Z281" s="125">
        <v>0</v>
      </c>
      <c r="AA281" s="125">
        <v>13.042999999999999</v>
      </c>
      <c r="AB281" s="125">
        <v>8.1340000000000003</v>
      </c>
      <c r="AC281" s="125">
        <v>182.9</v>
      </c>
      <c r="AD281" s="125">
        <v>0.22900000000000001</v>
      </c>
      <c r="AE281" s="125">
        <v>8.3859999999999992</v>
      </c>
      <c r="AF281" s="125">
        <v>10.877649999999999</v>
      </c>
      <c r="AG281" s="125">
        <v>0</v>
      </c>
      <c r="AH281" s="125">
        <v>0</v>
      </c>
      <c r="AI281" s="121">
        <v>559626</v>
      </c>
      <c r="AJ281" s="121">
        <v>56299</v>
      </c>
      <c r="AK281" s="424">
        <v>12</v>
      </c>
      <c r="AL281">
        <v>0</v>
      </c>
      <c r="AM281" s="121">
        <v>13850</v>
      </c>
      <c r="AN281" s="125">
        <v>0</v>
      </c>
      <c r="AO281" s="125">
        <v>0</v>
      </c>
      <c r="AP281" s="121">
        <v>615925</v>
      </c>
      <c r="AQ281" s="114">
        <v>0</v>
      </c>
      <c r="AR281" s="121">
        <v>33.880795333000002</v>
      </c>
      <c r="AS281" s="121">
        <v>6657.6826766000004</v>
      </c>
      <c r="AT281" s="121">
        <v>876.81382303999999</v>
      </c>
      <c r="AU281" s="420" t="s">
        <v>2001</v>
      </c>
      <c r="AV281" s="420" t="s">
        <v>2001</v>
      </c>
      <c r="AW281" s="121">
        <v>0</v>
      </c>
      <c r="AX281" s="121">
        <v>104040</v>
      </c>
      <c r="BI281">
        <v>0</v>
      </c>
      <c r="BJ281" s="121">
        <v>0</v>
      </c>
      <c r="BK281" s="134">
        <v>50829364</v>
      </c>
      <c r="BL281" s="934">
        <v>4599</v>
      </c>
      <c r="BM281" s="934">
        <v>4859</v>
      </c>
      <c r="BN281" s="934">
        <v>4647</v>
      </c>
      <c r="BO281" s="114">
        <v>0</v>
      </c>
      <c r="BP281" s="114">
        <v>0</v>
      </c>
    </row>
    <row r="282" spans="1:68">
      <c r="A282" t="s">
        <v>275</v>
      </c>
      <c r="B282" t="s">
        <v>1539</v>
      </c>
      <c r="C282" s="121">
        <v>4617</v>
      </c>
      <c r="D282" s="72">
        <v>1</v>
      </c>
      <c r="E282">
        <v>305.59199999999998</v>
      </c>
      <c r="F282">
        <v>93</v>
      </c>
      <c r="G282">
        <v>72</v>
      </c>
      <c r="H282">
        <v>2</v>
      </c>
      <c r="I282" s="173">
        <v>1.04</v>
      </c>
      <c r="J282" s="121">
        <v>210375235</v>
      </c>
      <c r="K282" s="125">
        <v>1652.761</v>
      </c>
      <c r="L282" s="173">
        <v>1.5</v>
      </c>
      <c r="M282">
        <v>1.04</v>
      </c>
      <c r="N282">
        <v>1.000000005</v>
      </c>
      <c r="O282">
        <v>3.9999995000000066</v>
      </c>
      <c r="P282">
        <v>1078</v>
      </c>
      <c r="Q282" s="125">
        <v>0</v>
      </c>
      <c r="R282" s="125">
        <v>0</v>
      </c>
      <c r="S282" s="125">
        <v>2.2440000000000002</v>
      </c>
      <c r="T282" s="125">
        <v>39.218000000000004</v>
      </c>
      <c r="U282" s="125">
        <v>0</v>
      </c>
      <c r="V282" s="125">
        <v>3.1669999999999998</v>
      </c>
      <c r="W282" s="125">
        <v>3.722</v>
      </c>
      <c r="X282" s="125">
        <v>0</v>
      </c>
      <c r="Y282" s="125">
        <v>0</v>
      </c>
      <c r="Z282" s="125">
        <v>0</v>
      </c>
      <c r="AA282" s="125">
        <v>73.165000000000006</v>
      </c>
      <c r="AB282" s="125">
        <v>59.186</v>
      </c>
      <c r="AC282" s="125">
        <v>484.6</v>
      </c>
      <c r="AD282" s="125">
        <v>0.97499999999999998</v>
      </c>
      <c r="AE282" s="125">
        <v>60.91</v>
      </c>
      <c r="AF282" s="125">
        <v>53.9</v>
      </c>
      <c r="AG282" s="125">
        <v>0</v>
      </c>
      <c r="AH282" s="125">
        <v>0</v>
      </c>
      <c r="AI282" s="121">
        <v>2279684</v>
      </c>
      <c r="AJ282" s="121">
        <v>213889</v>
      </c>
      <c r="AK282" s="424">
        <v>12</v>
      </c>
      <c r="AL282">
        <v>0</v>
      </c>
      <c r="AM282" s="121">
        <v>59227</v>
      </c>
      <c r="AN282" s="125">
        <v>0</v>
      </c>
      <c r="AO282" s="125">
        <v>0</v>
      </c>
      <c r="AP282" s="121">
        <v>2493573</v>
      </c>
      <c r="AQ282" s="114">
        <v>0</v>
      </c>
      <c r="AR282" s="121">
        <v>140.22761095999999</v>
      </c>
      <c r="AS282" s="121">
        <v>27555.165901</v>
      </c>
      <c r="AT282" s="121">
        <v>3629.0029927</v>
      </c>
      <c r="AU282" s="420" t="s">
        <v>2001</v>
      </c>
      <c r="AV282" s="420" t="s">
        <v>2001</v>
      </c>
      <c r="AW282" s="121">
        <v>0</v>
      </c>
      <c r="AX282" s="121">
        <v>362242</v>
      </c>
      <c r="BI282">
        <v>0</v>
      </c>
      <c r="BJ282" s="121">
        <v>0</v>
      </c>
      <c r="BK282" s="134">
        <v>210375235</v>
      </c>
      <c r="BL282" s="934">
        <v>4617</v>
      </c>
      <c r="BM282" s="934">
        <v>4573</v>
      </c>
      <c r="BN282" s="934">
        <v>4573</v>
      </c>
      <c r="BO282" s="114">
        <v>0</v>
      </c>
      <c r="BP282" s="114">
        <v>0</v>
      </c>
    </row>
    <row r="283" spans="1:68">
      <c r="A283" t="s">
        <v>2382</v>
      </c>
      <c r="B283" t="s">
        <v>92</v>
      </c>
      <c r="C283" s="121">
        <v>4761</v>
      </c>
      <c r="D283" s="72">
        <v>2</v>
      </c>
      <c r="E283">
        <v>1584.1210000000001</v>
      </c>
      <c r="F283">
        <v>390</v>
      </c>
      <c r="G283">
        <v>254</v>
      </c>
      <c r="H283">
        <v>1</v>
      </c>
      <c r="I283" s="173">
        <v>1.04</v>
      </c>
      <c r="J283" s="121">
        <v>1125695479</v>
      </c>
      <c r="K283" s="125">
        <v>6540.7809999999999</v>
      </c>
      <c r="L283" s="173">
        <v>1.5</v>
      </c>
      <c r="M283">
        <v>1.04</v>
      </c>
      <c r="N283">
        <v>1.000000005</v>
      </c>
      <c r="O283">
        <v>3.9999995000000066</v>
      </c>
      <c r="P283">
        <v>5076.1319999999996</v>
      </c>
      <c r="Q283" s="125">
        <v>0.67500000000000004</v>
      </c>
      <c r="R283" s="125">
        <v>0</v>
      </c>
      <c r="S283" s="125">
        <v>8.5640000000000001</v>
      </c>
      <c r="T283" s="125">
        <v>262.86500000000001</v>
      </c>
      <c r="U283" s="125">
        <v>45.225999999999999</v>
      </c>
      <c r="V283" s="125">
        <v>0.36699999999999999</v>
      </c>
      <c r="W283" s="125">
        <v>8.6259999999999994</v>
      </c>
      <c r="X283" s="125">
        <v>0</v>
      </c>
      <c r="Y283" s="125">
        <v>0</v>
      </c>
      <c r="Z283" s="125">
        <v>15.271000000000001</v>
      </c>
      <c r="AA283" s="125">
        <v>10.381</v>
      </c>
      <c r="AB283" s="125">
        <v>243.39599999999999</v>
      </c>
      <c r="AC283" s="125">
        <v>1406.4</v>
      </c>
      <c r="AD283" s="125">
        <v>0</v>
      </c>
      <c r="AE283" s="125">
        <v>213.577</v>
      </c>
      <c r="AF283" s="125">
        <v>253.8066</v>
      </c>
      <c r="AG283" s="125">
        <v>0</v>
      </c>
      <c r="AH283" s="125">
        <v>0</v>
      </c>
      <c r="AI283" s="121">
        <v>12232349</v>
      </c>
      <c r="AJ283" s="121">
        <v>1400216</v>
      </c>
      <c r="AK283" s="424">
        <v>12</v>
      </c>
      <c r="AL283">
        <v>0</v>
      </c>
      <c r="AM283" s="121">
        <v>439236</v>
      </c>
      <c r="AN283" s="125">
        <v>0</v>
      </c>
      <c r="AO283" s="125">
        <v>1</v>
      </c>
      <c r="AP283" s="121">
        <v>13632565</v>
      </c>
      <c r="AQ283" s="114">
        <v>0</v>
      </c>
      <c r="AR283" s="121">
        <v>750.34301298000003</v>
      </c>
      <c r="AS283" s="121">
        <v>147444.75829999999</v>
      </c>
      <c r="AT283" s="121">
        <v>19418.408551</v>
      </c>
      <c r="AU283" s="420" t="s">
        <v>2001</v>
      </c>
      <c r="AV283" s="420" t="s">
        <v>2001</v>
      </c>
      <c r="AW283" s="121">
        <v>0</v>
      </c>
      <c r="AX283" s="121">
        <v>4032206</v>
      </c>
      <c r="BI283">
        <v>0</v>
      </c>
      <c r="BJ283" s="121">
        <v>0</v>
      </c>
      <c r="BK283" s="134">
        <v>1125695479</v>
      </c>
      <c r="BL283" s="934">
        <v>4678</v>
      </c>
      <c r="BM283" s="934">
        <v>4761</v>
      </c>
      <c r="BN283" s="934">
        <v>4761</v>
      </c>
      <c r="BO283" s="114">
        <v>0</v>
      </c>
      <c r="BP283" s="114">
        <v>0</v>
      </c>
    </row>
    <row r="284" spans="1:68">
      <c r="A284" t="s">
        <v>375</v>
      </c>
      <c r="B284" t="s">
        <v>160</v>
      </c>
      <c r="C284" s="121">
        <v>5201</v>
      </c>
      <c r="D284" s="72">
        <v>2</v>
      </c>
      <c r="E284">
        <v>1778.3230000000001</v>
      </c>
      <c r="F284">
        <v>464</v>
      </c>
      <c r="G284">
        <v>358</v>
      </c>
      <c r="H284">
        <v>45</v>
      </c>
      <c r="I284" s="173">
        <v>1.04</v>
      </c>
      <c r="J284" s="121">
        <v>2481970094</v>
      </c>
      <c r="K284" s="125">
        <v>7953.9430000000002</v>
      </c>
      <c r="L284" s="173">
        <v>1.4858</v>
      </c>
      <c r="M284">
        <v>1.04</v>
      </c>
      <c r="N284">
        <v>0.99053333828599999</v>
      </c>
      <c r="O284">
        <v>4.9466661714000049</v>
      </c>
      <c r="P284">
        <v>6131.0609999999997</v>
      </c>
      <c r="Q284" s="125">
        <v>0.42799999999999999</v>
      </c>
      <c r="R284" s="125">
        <v>0</v>
      </c>
      <c r="S284" s="125">
        <v>12.9</v>
      </c>
      <c r="T284" s="125">
        <v>167.96299999999999</v>
      </c>
      <c r="U284" s="125">
        <v>41.378999999999998</v>
      </c>
      <c r="V284" s="125">
        <v>0</v>
      </c>
      <c r="W284" s="125">
        <v>12.507</v>
      </c>
      <c r="X284" s="125">
        <v>0</v>
      </c>
      <c r="Y284" s="125">
        <v>0</v>
      </c>
      <c r="Z284" s="125">
        <v>21.494</v>
      </c>
      <c r="AA284" s="125">
        <v>141.685</v>
      </c>
      <c r="AB284" s="125">
        <v>398.24799999999999</v>
      </c>
      <c r="AC284" s="125">
        <v>2962.8</v>
      </c>
      <c r="AD284" s="125">
        <v>3.2549999999999999</v>
      </c>
      <c r="AE284" s="125">
        <v>396.08100000000002</v>
      </c>
      <c r="AF284" s="125">
        <v>306.553</v>
      </c>
      <c r="AG284" s="125">
        <v>0</v>
      </c>
      <c r="AH284" s="125">
        <v>0</v>
      </c>
      <c r="AI284" s="121">
        <v>26347547</v>
      </c>
      <c r="AJ284" s="121">
        <v>5433256</v>
      </c>
      <c r="AK284" s="424">
        <v>12</v>
      </c>
      <c r="AL284">
        <v>0</v>
      </c>
      <c r="AM284" s="121">
        <v>545943</v>
      </c>
      <c r="AN284" s="125">
        <v>0</v>
      </c>
      <c r="AO284" s="125">
        <v>0</v>
      </c>
      <c r="AP284" s="121">
        <v>31780803</v>
      </c>
      <c r="AQ284" s="114">
        <v>0</v>
      </c>
      <c r="AR284" s="121">
        <v>1654.3807389999999</v>
      </c>
      <c r="AS284" s="121">
        <v>325091.01036000001</v>
      </c>
      <c r="AT284" s="121">
        <v>42814.340285999999</v>
      </c>
      <c r="AU284" s="420" t="s">
        <v>2001</v>
      </c>
      <c r="AV284" s="420" t="s">
        <v>2001</v>
      </c>
      <c r="AW284" s="121">
        <v>0</v>
      </c>
      <c r="AX284" s="121">
        <v>8483226</v>
      </c>
      <c r="BI284">
        <v>0</v>
      </c>
      <c r="BJ284" s="121">
        <v>0</v>
      </c>
      <c r="BK284" s="134">
        <v>2481970094</v>
      </c>
      <c r="BL284" s="934">
        <v>4771</v>
      </c>
      <c r="BM284" s="934">
        <v>5201</v>
      </c>
      <c r="BN284" s="934">
        <v>5156</v>
      </c>
      <c r="BO284" s="114">
        <v>0</v>
      </c>
      <c r="BP284" s="114">
        <v>0</v>
      </c>
    </row>
    <row r="285" spans="1:68">
      <c r="A285" t="s">
        <v>819</v>
      </c>
      <c r="B285" t="s">
        <v>2269</v>
      </c>
      <c r="C285" s="121">
        <v>4706</v>
      </c>
      <c r="D285" s="72">
        <v>3</v>
      </c>
      <c r="E285">
        <v>271.27100000000002</v>
      </c>
      <c r="F285">
        <v>80</v>
      </c>
      <c r="G285">
        <v>49</v>
      </c>
      <c r="H285">
        <v>7</v>
      </c>
      <c r="I285" s="173">
        <v>1.04</v>
      </c>
      <c r="J285" s="121">
        <v>185479257</v>
      </c>
      <c r="K285" s="125">
        <v>1493.662</v>
      </c>
      <c r="L285" s="173">
        <v>1.4570000000000001</v>
      </c>
      <c r="M285">
        <v>1.04</v>
      </c>
      <c r="N285">
        <v>0.97133333819000012</v>
      </c>
      <c r="O285">
        <v>6.8666661809999923</v>
      </c>
      <c r="P285">
        <v>962.68600000000004</v>
      </c>
      <c r="Q285" s="125">
        <v>4.2000000000000003E-2</v>
      </c>
      <c r="R285" s="125">
        <v>0</v>
      </c>
      <c r="S285" s="125">
        <v>1.198</v>
      </c>
      <c r="T285" s="125">
        <v>48.204999999999998</v>
      </c>
      <c r="U285" s="125">
        <v>0.41</v>
      </c>
      <c r="V285" s="125">
        <v>2.157</v>
      </c>
      <c r="W285" s="125">
        <v>1.0640000000000001</v>
      </c>
      <c r="X285" s="125">
        <v>0</v>
      </c>
      <c r="Y285" s="125">
        <v>0</v>
      </c>
      <c r="Z285" s="125">
        <v>0</v>
      </c>
      <c r="AA285" s="125">
        <v>45.777000000000001</v>
      </c>
      <c r="AB285" s="125">
        <v>43.027999999999999</v>
      </c>
      <c r="AC285" s="125">
        <v>396.1</v>
      </c>
      <c r="AD285" s="125">
        <v>0.27100000000000002</v>
      </c>
      <c r="AE285" s="125">
        <v>62.423999999999999</v>
      </c>
      <c r="AF285" s="125">
        <v>48.134</v>
      </c>
      <c r="AG285" s="125">
        <v>0</v>
      </c>
      <c r="AH285" s="125">
        <v>0</v>
      </c>
      <c r="AI285" s="121">
        <v>2010648</v>
      </c>
      <c r="AJ285" s="121">
        <v>494183</v>
      </c>
      <c r="AK285" s="424">
        <v>12</v>
      </c>
      <c r="AL285">
        <v>0</v>
      </c>
      <c r="AM285" s="121">
        <v>92097</v>
      </c>
      <c r="AN285" s="125">
        <v>0</v>
      </c>
      <c r="AO285" s="125">
        <v>0</v>
      </c>
      <c r="AP285" s="121">
        <v>2504831</v>
      </c>
      <c r="AQ285" s="114">
        <v>0</v>
      </c>
      <c r="AR285" s="121">
        <v>123.63296037000001</v>
      </c>
      <c r="AS285" s="121">
        <v>24294.264949</v>
      </c>
      <c r="AT285" s="121">
        <v>3199.5437996000001</v>
      </c>
      <c r="AU285" s="420" t="s">
        <v>2001</v>
      </c>
      <c r="AV285" s="420" t="s">
        <v>2001</v>
      </c>
      <c r="AW285" s="121">
        <v>0</v>
      </c>
      <c r="AX285" s="121">
        <v>1073043</v>
      </c>
      <c r="BI285">
        <v>0</v>
      </c>
      <c r="BJ285" s="121">
        <v>0</v>
      </c>
      <c r="BK285" s="134">
        <v>185479257</v>
      </c>
      <c r="BL285" s="934">
        <v>4610</v>
      </c>
      <c r="BM285" s="934">
        <v>4659</v>
      </c>
      <c r="BN285" s="934">
        <v>4706</v>
      </c>
      <c r="BO285" s="114">
        <v>0</v>
      </c>
      <c r="BP285" s="114">
        <v>0</v>
      </c>
    </row>
    <row r="286" spans="1:68">
      <c r="A286" t="s">
        <v>629</v>
      </c>
      <c r="B286" t="s">
        <v>1331</v>
      </c>
      <c r="C286" s="121">
        <v>4679</v>
      </c>
      <c r="D286" s="72">
        <v>2</v>
      </c>
      <c r="E286">
        <v>2694.44</v>
      </c>
      <c r="F286">
        <v>681</v>
      </c>
      <c r="G286">
        <v>627</v>
      </c>
      <c r="H286">
        <v>31</v>
      </c>
      <c r="I286" s="173">
        <v>1.04</v>
      </c>
      <c r="J286" s="121">
        <v>792354413</v>
      </c>
      <c r="K286" s="125">
        <v>14009.508</v>
      </c>
      <c r="L286" s="173">
        <v>1.5</v>
      </c>
      <c r="M286">
        <v>1.04</v>
      </c>
      <c r="N286">
        <v>1.000000005</v>
      </c>
      <c r="O286">
        <v>3.9999995000000066</v>
      </c>
      <c r="P286">
        <v>10271.879999999999</v>
      </c>
      <c r="Q286" s="125">
        <v>1.4419999999999999</v>
      </c>
      <c r="R286" s="125">
        <v>0</v>
      </c>
      <c r="S286" s="125">
        <v>16.977</v>
      </c>
      <c r="T286" s="125">
        <v>214.86099999999999</v>
      </c>
      <c r="U286" s="125">
        <v>55.963999999999999</v>
      </c>
      <c r="V286" s="125">
        <v>0.498</v>
      </c>
      <c r="W286" s="125">
        <v>0.12</v>
      </c>
      <c r="X286" s="125">
        <v>0</v>
      </c>
      <c r="Y286" s="125">
        <v>0</v>
      </c>
      <c r="Z286" s="125">
        <v>0</v>
      </c>
      <c r="AA286" s="125">
        <v>71.06</v>
      </c>
      <c r="AB286" s="125">
        <v>420.1</v>
      </c>
      <c r="AC286" s="125">
        <v>9659.2000000000007</v>
      </c>
      <c r="AD286" s="125">
        <v>4.048</v>
      </c>
      <c r="AE286" s="125">
        <v>3209.42</v>
      </c>
      <c r="AF286" s="125">
        <v>513.59400000000005</v>
      </c>
      <c r="AG286" s="125">
        <v>0</v>
      </c>
      <c r="AH286" s="125">
        <v>0</v>
      </c>
      <c r="AI286" s="121">
        <v>8685571</v>
      </c>
      <c r="AJ286" s="121">
        <v>1954653</v>
      </c>
      <c r="AK286" s="424">
        <v>12</v>
      </c>
      <c r="AL286">
        <v>0</v>
      </c>
      <c r="AM286" s="121">
        <v>962979</v>
      </c>
      <c r="AN286" s="125">
        <v>0</v>
      </c>
      <c r="AO286" s="125">
        <v>0</v>
      </c>
      <c r="AP286" s="121">
        <v>10640224</v>
      </c>
      <c r="AQ286" s="114">
        <v>0</v>
      </c>
      <c r="AR286" s="121">
        <v>528.15135948</v>
      </c>
      <c r="AS286" s="121">
        <v>103783.40066</v>
      </c>
      <c r="AT286" s="121">
        <v>13668.227328000001</v>
      </c>
      <c r="AU286" s="420" t="s">
        <v>2001</v>
      </c>
      <c r="AV286" s="420" t="s">
        <v>2001</v>
      </c>
      <c r="AW286" s="121">
        <v>0</v>
      </c>
      <c r="AX286" s="121">
        <v>10033714</v>
      </c>
      <c r="BI286">
        <v>0</v>
      </c>
      <c r="BJ286" s="121">
        <v>0</v>
      </c>
      <c r="BK286" s="134">
        <v>792354413</v>
      </c>
      <c r="BL286" s="934">
        <v>4628</v>
      </c>
      <c r="BM286" s="934">
        <v>4679</v>
      </c>
      <c r="BN286" s="934">
        <v>4625</v>
      </c>
      <c r="BO286" s="114">
        <v>0</v>
      </c>
      <c r="BP286" s="114">
        <v>0</v>
      </c>
    </row>
    <row r="287" spans="1:68">
      <c r="A287" t="s">
        <v>2767</v>
      </c>
      <c r="B287" t="s">
        <v>2250</v>
      </c>
      <c r="C287" s="121">
        <v>4838</v>
      </c>
      <c r="D287" s="72">
        <v>2</v>
      </c>
      <c r="E287">
        <v>16896.135999999999</v>
      </c>
      <c r="F287">
        <v>4955</v>
      </c>
      <c r="G287">
        <v>3260</v>
      </c>
      <c r="H287">
        <v>419</v>
      </c>
      <c r="I287" s="173">
        <v>1.04</v>
      </c>
      <c r="J287" s="121">
        <v>13240270839</v>
      </c>
      <c r="K287" s="125">
        <v>80176.087</v>
      </c>
      <c r="L287" s="173">
        <v>1.5</v>
      </c>
      <c r="M287">
        <v>1.04</v>
      </c>
      <c r="N287">
        <v>1.000000005</v>
      </c>
      <c r="O287">
        <v>3.9999995000000066</v>
      </c>
      <c r="P287">
        <v>59258.946000000004</v>
      </c>
      <c r="Q287" s="125">
        <v>5.8520000000000003</v>
      </c>
      <c r="R287" s="125">
        <v>0.11799999999999999</v>
      </c>
      <c r="S287" s="125">
        <v>112.45</v>
      </c>
      <c r="T287" s="125">
        <v>706.77599999999995</v>
      </c>
      <c r="U287" s="125">
        <v>446.46300000000002</v>
      </c>
      <c r="V287" s="125">
        <v>0.65600000000000003</v>
      </c>
      <c r="W287" s="125">
        <v>121.104</v>
      </c>
      <c r="X287" s="125">
        <v>0</v>
      </c>
      <c r="Y287" s="125">
        <v>0</v>
      </c>
      <c r="Z287" s="125">
        <v>45.835999999999999</v>
      </c>
      <c r="AA287" s="125">
        <v>1111.43</v>
      </c>
      <c r="AB287" s="125">
        <v>2458.19</v>
      </c>
      <c r="AC287" s="125">
        <v>50434.9</v>
      </c>
      <c r="AD287" s="125">
        <v>35.713999999999999</v>
      </c>
      <c r="AE287" s="125">
        <v>14344.078</v>
      </c>
      <c r="AF287" s="125">
        <v>2962.9470000000001</v>
      </c>
      <c r="AG287" s="125">
        <v>0</v>
      </c>
      <c r="AH287" s="125">
        <v>0</v>
      </c>
      <c r="AI287" s="121">
        <v>142188316</v>
      </c>
      <c r="AJ287" s="121">
        <v>18032948</v>
      </c>
      <c r="AK287" s="424">
        <v>12</v>
      </c>
      <c r="AL287">
        <v>0</v>
      </c>
      <c r="AM287" s="121">
        <v>2503092</v>
      </c>
      <c r="AN287" s="125">
        <v>4</v>
      </c>
      <c r="AO287" s="125">
        <v>1</v>
      </c>
      <c r="AP287" s="121">
        <v>160221264</v>
      </c>
      <c r="AQ287" s="114">
        <v>0</v>
      </c>
      <c r="AR287" s="121">
        <v>8825.4282791000005</v>
      </c>
      <c r="AS287" s="121">
        <v>1734224.3707000001</v>
      </c>
      <c r="AT287" s="121">
        <v>228396.57196</v>
      </c>
      <c r="AU287" s="420" t="s">
        <v>2001</v>
      </c>
      <c r="AV287" s="420" t="s">
        <v>2001</v>
      </c>
      <c r="AW287" s="121">
        <v>0</v>
      </c>
      <c r="AX287" s="121">
        <v>40726585</v>
      </c>
      <c r="BI287">
        <v>0</v>
      </c>
      <c r="BJ287" s="121">
        <v>0</v>
      </c>
      <c r="BK287" s="134">
        <v>13240270839</v>
      </c>
      <c r="BL287" s="934">
        <v>4606</v>
      </c>
      <c r="BM287" s="934">
        <v>4838</v>
      </c>
      <c r="BN287" s="934">
        <v>4789</v>
      </c>
      <c r="BO287" s="114">
        <v>0</v>
      </c>
      <c r="BP287" s="114">
        <v>0</v>
      </c>
    </row>
    <row r="288" spans="1:68">
      <c r="A288" t="s">
        <v>878</v>
      </c>
      <c r="B288" t="s">
        <v>1004</v>
      </c>
      <c r="C288" s="121">
        <v>4544</v>
      </c>
      <c r="D288" s="72">
        <v>2</v>
      </c>
      <c r="E288">
        <v>695.64300000000003</v>
      </c>
      <c r="F288">
        <v>185</v>
      </c>
      <c r="G288">
        <v>172</v>
      </c>
      <c r="H288">
        <v>5</v>
      </c>
      <c r="I288" s="173">
        <v>1.04</v>
      </c>
      <c r="J288" s="121">
        <v>123861146</v>
      </c>
      <c r="K288" s="125">
        <v>3568.7930000000001</v>
      </c>
      <c r="L288" s="173">
        <v>1.5</v>
      </c>
      <c r="M288">
        <v>1.04</v>
      </c>
      <c r="N288">
        <v>1.000000005</v>
      </c>
      <c r="O288">
        <v>3.9999995000000066</v>
      </c>
      <c r="P288">
        <v>2363.2280000000001</v>
      </c>
      <c r="Q288" s="125">
        <v>0</v>
      </c>
      <c r="R288" s="125">
        <v>0</v>
      </c>
      <c r="S288" s="125">
        <v>2.0190000000000001</v>
      </c>
      <c r="T288" s="125">
        <v>50.673999999999999</v>
      </c>
      <c r="U288" s="125">
        <v>21.817</v>
      </c>
      <c r="V288" s="125">
        <v>0</v>
      </c>
      <c r="W288" s="125">
        <v>0</v>
      </c>
      <c r="X288" s="125">
        <v>0</v>
      </c>
      <c r="Y288" s="125">
        <v>0</v>
      </c>
      <c r="Z288" s="125">
        <v>1.069</v>
      </c>
      <c r="AA288" s="125">
        <v>49.991999999999997</v>
      </c>
      <c r="AB288" s="125">
        <v>110.304</v>
      </c>
      <c r="AC288" s="125">
        <v>2339.6</v>
      </c>
      <c r="AD288" s="125">
        <v>2.956</v>
      </c>
      <c r="AE288" s="125">
        <v>842.50800000000004</v>
      </c>
      <c r="AF288" s="125">
        <v>118.161</v>
      </c>
      <c r="AG288" s="125">
        <v>0</v>
      </c>
      <c r="AH288" s="125">
        <v>0</v>
      </c>
      <c r="AI288" s="121">
        <v>1331927</v>
      </c>
      <c r="AJ288" s="121">
        <v>163553</v>
      </c>
      <c r="AK288" s="424">
        <v>12</v>
      </c>
      <c r="AL288">
        <v>0</v>
      </c>
      <c r="AM288" s="121">
        <v>109201</v>
      </c>
      <c r="AN288" s="125">
        <v>0</v>
      </c>
      <c r="AO288" s="125">
        <v>0</v>
      </c>
      <c r="AP288" s="121">
        <v>1495480</v>
      </c>
      <c r="AQ288" s="114">
        <v>0</v>
      </c>
      <c r="AR288" s="121">
        <v>82.560823545999995</v>
      </c>
      <c r="AS288" s="121">
        <v>16223.461087</v>
      </c>
      <c r="AT288" s="121">
        <v>2136.6225502000002</v>
      </c>
      <c r="AU288" s="420" t="s">
        <v>2001</v>
      </c>
      <c r="AV288" s="420" t="s">
        <v>2001</v>
      </c>
      <c r="AW288" s="121">
        <v>0</v>
      </c>
      <c r="AX288" s="121">
        <v>1193603</v>
      </c>
      <c r="BI288">
        <v>0</v>
      </c>
      <c r="BJ288" s="121">
        <v>0</v>
      </c>
      <c r="BK288" s="134">
        <v>123203348</v>
      </c>
      <c r="BL288" s="934">
        <v>4505</v>
      </c>
      <c r="BM288" s="934">
        <v>4544</v>
      </c>
      <c r="BN288" s="934">
        <v>4539</v>
      </c>
      <c r="BO288" s="114">
        <v>0</v>
      </c>
      <c r="BP288" s="114">
        <v>0</v>
      </c>
    </row>
    <row r="289" spans="1:68">
      <c r="A289" t="s">
        <v>212</v>
      </c>
      <c r="B289" t="s">
        <v>2311</v>
      </c>
      <c r="C289" s="121">
        <v>4451</v>
      </c>
      <c r="D289" s="72">
        <v>1</v>
      </c>
      <c r="E289">
        <v>956.89300000000003</v>
      </c>
      <c r="F289">
        <v>280</v>
      </c>
      <c r="G289">
        <v>250</v>
      </c>
      <c r="H289">
        <v>53</v>
      </c>
      <c r="I289" s="173">
        <v>1.04</v>
      </c>
      <c r="J289" s="121">
        <v>127477179</v>
      </c>
      <c r="K289" s="125">
        <v>5597.7470000000003</v>
      </c>
      <c r="L289" s="173">
        <v>1.5</v>
      </c>
      <c r="M289">
        <v>1.04</v>
      </c>
      <c r="N289">
        <v>1.000000005</v>
      </c>
      <c r="O289">
        <v>3.9999995000000066</v>
      </c>
      <c r="P289">
        <v>3822</v>
      </c>
      <c r="Q289" s="125">
        <v>0.33500000000000002</v>
      </c>
      <c r="R289" s="125">
        <v>0</v>
      </c>
      <c r="S289" s="125">
        <v>8.0069999999999997</v>
      </c>
      <c r="T289" s="125">
        <v>96.878</v>
      </c>
      <c r="U289" s="125">
        <v>23.41</v>
      </c>
      <c r="V289" s="125">
        <v>0</v>
      </c>
      <c r="W289" s="125">
        <v>0</v>
      </c>
      <c r="X289" s="125">
        <v>0</v>
      </c>
      <c r="Y289" s="125">
        <v>0</v>
      </c>
      <c r="Z289" s="125">
        <v>0</v>
      </c>
      <c r="AA289" s="125">
        <v>61.462000000000003</v>
      </c>
      <c r="AB289" s="125">
        <v>148.04400000000001</v>
      </c>
      <c r="AC289" s="125">
        <v>3581.4</v>
      </c>
      <c r="AD289" s="125">
        <v>3.145</v>
      </c>
      <c r="AE289" s="125">
        <v>1841.0419999999999</v>
      </c>
      <c r="AF289" s="125">
        <v>180.88</v>
      </c>
      <c r="AG289" s="125">
        <v>0</v>
      </c>
      <c r="AH289" s="125">
        <v>0</v>
      </c>
      <c r="AI289" s="121">
        <v>1350289</v>
      </c>
      <c r="AJ289" s="121">
        <v>89801</v>
      </c>
      <c r="AK289" s="424">
        <v>12</v>
      </c>
      <c r="AL289">
        <v>0</v>
      </c>
      <c r="AM289" s="121">
        <v>235488</v>
      </c>
      <c r="AN289" s="125">
        <v>0</v>
      </c>
      <c r="AO289" s="125">
        <v>0</v>
      </c>
      <c r="AP289" s="121">
        <v>1440090</v>
      </c>
      <c r="AQ289" s="114">
        <v>0</v>
      </c>
      <c r="AR289" s="121">
        <v>84.971124395000004</v>
      </c>
      <c r="AS289" s="121">
        <v>16697.092773</v>
      </c>
      <c r="AT289" s="121">
        <v>2198.9996308</v>
      </c>
      <c r="AU289" s="420" t="s">
        <v>2001</v>
      </c>
      <c r="AV289" s="420" t="s">
        <v>2001</v>
      </c>
      <c r="AW289" s="121">
        <v>0</v>
      </c>
      <c r="AX289" s="121">
        <v>1005109</v>
      </c>
      <c r="BI289">
        <v>0</v>
      </c>
      <c r="BJ289" s="121">
        <v>0</v>
      </c>
      <c r="BK289" s="134">
        <v>127477179</v>
      </c>
      <c r="BL289" s="934">
        <v>4451</v>
      </c>
      <c r="BM289" s="934">
        <v>4354</v>
      </c>
      <c r="BN289" s="934">
        <v>4354</v>
      </c>
      <c r="BO289" s="114">
        <v>0</v>
      </c>
      <c r="BP289" s="114">
        <v>0</v>
      </c>
    </row>
    <row r="290" spans="1:68">
      <c r="A290" t="s">
        <v>1353</v>
      </c>
      <c r="B290" t="s">
        <v>861</v>
      </c>
      <c r="C290" s="121">
        <v>4410</v>
      </c>
      <c r="D290" s="72">
        <v>2</v>
      </c>
      <c r="E290">
        <v>12670.026</v>
      </c>
      <c r="F290">
        <v>0</v>
      </c>
      <c r="G290">
        <v>0</v>
      </c>
      <c r="H290">
        <v>0</v>
      </c>
      <c r="I290" s="173">
        <v>1.17</v>
      </c>
      <c r="J290" s="121">
        <v>5825488264</v>
      </c>
      <c r="K290" s="125">
        <v>59879.364000000001</v>
      </c>
      <c r="L290" s="173">
        <v>1.5</v>
      </c>
      <c r="M290">
        <v>1.17</v>
      </c>
      <c r="N290">
        <v>1.000000005</v>
      </c>
      <c r="O290">
        <v>16.999999499999994</v>
      </c>
      <c r="P290">
        <v>42338.023999999998</v>
      </c>
      <c r="Q290" s="125">
        <v>6.7229999999999999</v>
      </c>
      <c r="R290" s="125">
        <v>0</v>
      </c>
      <c r="S290" s="125">
        <v>85.674000000000007</v>
      </c>
      <c r="T290" s="125">
        <v>1178.6210000000001</v>
      </c>
      <c r="U290" s="125">
        <v>376.07799999999997</v>
      </c>
      <c r="V290" s="125">
        <v>0</v>
      </c>
      <c r="W290" s="125">
        <v>59.697000000000003</v>
      </c>
      <c r="X290" s="125">
        <v>3.5999999999999997E-2</v>
      </c>
      <c r="Y290" s="125">
        <v>0</v>
      </c>
      <c r="Z290" s="125">
        <v>14.351000000000001</v>
      </c>
      <c r="AA290" s="125">
        <v>529.53499999999997</v>
      </c>
      <c r="AB290" s="125">
        <v>1749.644</v>
      </c>
      <c r="AC290" s="125">
        <v>41914.6</v>
      </c>
      <c r="AD290" s="125">
        <v>26.506</v>
      </c>
      <c r="AE290" s="125">
        <v>12107.713</v>
      </c>
      <c r="AF290" s="125">
        <v>2116.9009999999998</v>
      </c>
      <c r="AG290" s="125">
        <v>0</v>
      </c>
      <c r="AH290" s="125">
        <v>0</v>
      </c>
      <c r="AI290" s="121">
        <v>70850462</v>
      </c>
      <c r="AJ290" s="121">
        <v>10135714</v>
      </c>
      <c r="AK290" s="424">
        <v>12</v>
      </c>
      <c r="AL290">
        <v>0</v>
      </c>
      <c r="AM290" s="121">
        <v>1749768</v>
      </c>
      <c r="AN290" s="125">
        <v>1</v>
      </c>
      <c r="AO290" s="125">
        <v>0</v>
      </c>
      <c r="AP290" s="121">
        <v>80986176</v>
      </c>
      <c r="AQ290" s="114">
        <v>0</v>
      </c>
      <c r="AR290" s="121">
        <v>3883.0345308000001</v>
      </c>
      <c r="AS290" s="121">
        <v>763028.47892999998</v>
      </c>
      <c r="AT290" s="121">
        <v>100490.50852</v>
      </c>
      <c r="AU290" s="420" t="s">
        <v>2001</v>
      </c>
      <c r="AV290" s="420" t="s">
        <v>2001</v>
      </c>
      <c r="AW290" s="121">
        <v>0</v>
      </c>
      <c r="AX290" s="121">
        <v>23956636</v>
      </c>
      <c r="BI290">
        <v>0</v>
      </c>
      <c r="BJ290" s="121">
        <v>0</v>
      </c>
      <c r="BK290" s="134">
        <v>5825488264</v>
      </c>
      <c r="BL290" s="934">
        <v>4272</v>
      </c>
      <c r="BM290" s="934">
        <v>4410</v>
      </c>
      <c r="BN290" s="934">
        <v>4388</v>
      </c>
      <c r="BO290" s="114">
        <v>0</v>
      </c>
      <c r="BP290" s="114">
        <v>0</v>
      </c>
    </row>
    <row r="291" spans="1:68">
      <c r="A291" t="s">
        <v>2401</v>
      </c>
      <c r="B291" t="s">
        <v>153</v>
      </c>
      <c r="C291" s="121">
        <v>4683</v>
      </c>
      <c r="D291" s="72">
        <v>2</v>
      </c>
      <c r="E291">
        <v>204.126</v>
      </c>
      <c r="F291">
        <v>59</v>
      </c>
      <c r="G291">
        <v>46</v>
      </c>
      <c r="H291">
        <v>4</v>
      </c>
      <c r="I291" s="173">
        <v>1.04</v>
      </c>
      <c r="J291" s="121">
        <v>118068533</v>
      </c>
      <c r="K291" s="125">
        <v>1264.221</v>
      </c>
      <c r="L291" s="173">
        <v>1.5</v>
      </c>
      <c r="M291">
        <v>1.04</v>
      </c>
      <c r="N291">
        <v>1.000000005</v>
      </c>
      <c r="O291">
        <v>3.9999995000000066</v>
      </c>
      <c r="P291">
        <v>742.17700000000002</v>
      </c>
      <c r="Q291" s="125">
        <v>1.2999999999999999E-2</v>
      </c>
      <c r="R291" s="125">
        <v>0</v>
      </c>
      <c r="S291" s="125">
        <v>1.6559999999999999</v>
      </c>
      <c r="T291" s="125">
        <v>18.294</v>
      </c>
      <c r="U291" s="125">
        <v>2.589</v>
      </c>
      <c r="V291" s="125">
        <v>0</v>
      </c>
      <c r="W291" s="125">
        <v>0</v>
      </c>
      <c r="X291" s="125">
        <v>0</v>
      </c>
      <c r="Y291" s="125">
        <v>0</v>
      </c>
      <c r="Z291" s="125">
        <v>0</v>
      </c>
      <c r="AA291" s="125">
        <v>27.187999999999999</v>
      </c>
      <c r="AB291" s="125">
        <v>17.206</v>
      </c>
      <c r="AC291" s="125">
        <v>734.8</v>
      </c>
      <c r="AD291" s="125">
        <v>0.42699999999999999</v>
      </c>
      <c r="AE291" s="125">
        <v>182.90899999999999</v>
      </c>
      <c r="AF291" s="125">
        <v>37.108849999999997</v>
      </c>
      <c r="AG291" s="125">
        <v>0</v>
      </c>
      <c r="AH291" s="125">
        <v>0</v>
      </c>
      <c r="AI291" s="121">
        <v>1302201</v>
      </c>
      <c r="AJ291" s="121">
        <v>182958</v>
      </c>
      <c r="AK291" s="424">
        <v>12</v>
      </c>
      <c r="AL291">
        <v>0</v>
      </c>
      <c r="AM291" s="121">
        <v>62166</v>
      </c>
      <c r="AN291" s="125">
        <v>0</v>
      </c>
      <c r="AO291" s="125">
        <v>0</v>
      </c>
      <c r="AP291" s="121">
        <v>1485159</v>
      </c>
      <c r="AQ291" s="114">
        <v>0</v>
      </c>
      <c r="AR291" s="121">
        <v>78.699702044000006</v>
      </c>
      <c r="AS291" s="121">
        <v>15464.738587</v>
      </c>
      <c r="AT291" s="121">
        <v>2036.6991372</v>
      </c>
      <c r="AU291" s="420" t="s">
        <v>2001</v>
      </c>
      <c r="AV291" s="420" t="s">
        <v>2001</v>
      </c>
      <c r="AW291" s="121">
        <v>0</v>
      </c>
      <c r="AX291" s="121">
        <v>390758</v>
      </c>
      <c r="BI291">
        <v>0</v>
      </c>
      <c r="BJ291" s="121">
        <v>0</v>
      </c>
      <c r="BK291" s="134">
        <v>118068533</v>
      </c>
      <c r="BL291" s="934">
        <v>4562</v>
      </c>
      <c r="BM291" s="934">
        <v>4683</v>
      </c>
      <c r="BN291" s="934">
        <v>4588</v>
      </c>
      <c r="BO291" s="114">
        <v>0</v>
      </c>
      <c r="BP291" s="114">
        <v>0</v>
      </c>
    </row>
    <row r="292" spans="1:68">
      <c r="A292" t="s">
        <v>2157</v>
      </c>
      <c r="B292" t="s">
        <v>728</v>
      </c>
      <c r="C292" s="121">
        <v>4903</v>
      </c>
      <c r="D292" s="72">
        <v>2</v>
      </c>
      <c r="E292">
        <v>1503.5160000000001</v>
      </c>
      <c r="F292">
        <v>415</v>
      </c>
      <c r="G292">
        <v>351</v>
      </c>
      <c r="H292">
        <v>33</v>
      </c>
      <c r="I292" s="173">
        <v>1.04</v>
      </c>
      <c r="J292" s="121">
        <v>1028898152</v>
      </c>
      <c r="K292" s="125">
        <v>7918.518</v>
      </c>
      <c r="L292" s="173">
        <v>1.5</v>
      </c>
      <c r="M292">
        <v>1.04</v>
      </c>
      <c r="N292">
        <v>1.000000005</v>
      </c>
      <c r="O292">
        <v>3.9999995000000066</v>
      </c>
      <c r="P292">
        <v>5753.32</v>
      </c>
      <c r="Q292" s="125">
        <v>1.637</v>
      </c>
      <c r="R292" s="125">
        <v>0</v>
      </c>
      <c r="S292" s="125">
        <v>6.6449999999999996</v>
      </c>
      <c r="T292" s="125">
        <v>120.136</v>
      </c>
      <c r="U292" s="125">
        <v>60.152000000000001</v>
      </c>
      <c r="V292" s="125">
        <v>0</v>
      </c>
      <c r="W292" s="125">
        <v>0.308</v>
      </c>
      <c r="X292" s="125">
        <v>0</v>
      </c>
      <c r="Y292" s="125">
        <v>0</v>
      </c>
      <c r="Z292" s="125">
        <v>0</v>
      </c>
      <c r="AA292" s="125">
        <v>27.466999999999999</v>
      </c>
      <c r="AB292" s="125">
        <v>290.75099999999998</v>
      </c>
      <c r="AC292" s="125">
        <v>5293.1</v>
      </c>
      <c r="AD292" s="125">
        <v>3.9390000000000001</v>
      </c>
      <c r="AE292" s="125">
        <v>1873.7550000000001</v>
      </c>
      <c r="AF292" s="125">
        <v>287.64999999999998</v>
      </c>
      <c r="AG292" s="125">
        <v>0</v>
      </c>
      <c r="AH292" s="125">
        <v>0</v>
      </c>
      <c r="AI292" s="121">
        <v>10898501</v>
      </c>
      <c r="AJ292" s="121">
        <v>2623434</v>
      </c>
      <c r="AK292" s="424">
        <v>12</v>
      </c>
      <c r="AL292">
        <v>0</v>
      </c>
      <c r="AM292" s="121">
        <v>343987</v>
      </c>
      <c r="AN292" s="125">
        <v>0</v>
      </c>
      <c r="AO292" s="125">
        <v>0</v>
      </c>
      <c r="AP292" s="121">
        <v>13521935</v>
      </c>
      <c r="AQ292" s="114">
        <v>0</v>
      </c>
      <c r="AR292" s="121">
        <v>685.82183531999999</v>
      </c>
      <c r="AS292" s="121">
        <v>134766.14428000001</v>
      </c>
      <c r="AT292" s="121">
        <v>17748.640769000001</v>
      </c>
      <c r="AU292" s="420" t="s">
        <v>2001</v>
      </c>
      <c r="AV292" s="420" t="s">
        <v>2001</v>
      </c>
      <c r="AW292" s="121">
        <v>0</v>
      </c>
      <c r="AX292" s="121">
        <v>5245139</v>
      </c>
      <c r="BI292">
        <v>0</v>
      </c>
      <c r="BJ292" s="121">
        <v>0</v>
      </c>
      <c r="BK292" s="134">
        <v>1028898152</v>
      </c>
      <c r="BL292" s="934">
        <v>4737</v>
      </c>
      <c r="BM292" s="934">
        <v>4903</v>
      </c>
      <c r="BN292" s="934">
        <v>4848</v>
      </c>
      <c r="BO292" s="114">
        <v>0</v>
      </c>
      <c r="BP292" s="114">
        <v>0</v>
      </c>
    </row>
    <row r="293" spans="1:68">
      <c r="A293" t="s">
        <v>1710</v>
      </c>
      <c r="B293" t="s">
        <v>661</v>
      </c>
      <c r="C293" s="121">
        <v>4728</v>
      </c>
      <c r="D293" s="72">
        <v>2</v>
      </c>
      <c r="E293">
        <v>283.97500000000002</v>
      </c>
      <c r="F293">
        <v>90</v>
      </c>
      <c r="G293">
        <v>62</v>
      </c>
      <c r="H293">
        <v>11</v>
      </c>
      <c r="I293" s="173">
        <v>1.0900000000000001</v>
      </c>
      <c r="J293" s="121">
        <v>47239246</v>
      </c>
      <c r="K293" s="125">
        <v>1829.5619999999999</v>
      </c>
      <c r="L293" s="173">
        <v>1.5</v>
      </c>
      <c r="M293">
        <v>1.0900000000000001</v>
      </c>
      <c r="N293">
        <v>1.000000005</v>
      </c>
      <c r="O293">
        <v>8.9999995000000119</v>
      </c>
      <c r="P293">
        <v>1209.502</v>
      </c>
      <c r="Q293" s="125">
        <v>0</v>
      </c>
      <c r="R293" s="125">
        <v>0</v>
      </c>
      <c r="S293" s="125">
        <v>1.3680000000000001</v>
      </c>
      <c r="T293" s="125">
        <v>26.975000000000001</v>
      </c>
      <c r="U293" s="125">
        <v>1.9670000000000001</v>
      </c>
      <c r="V293" s="125">
        <v>0</v>
      </c>
      <c r="W293" s="125">
        <v>0</v>
      </c>
      <c r="X293" s="125">
        <v>0</v>
      </c>
      <c r="Y293" s="125">
        <v>0</v>
      </c>
      <c r="Z293" s="125">
        <v>0</v>
      </c>
      <c r="AA293" s="125">
        <v>2.976</v>
      </c>
      <c r="AB293" s="125">
        <v>31.286000000000001</v>
      </c>
      <c r="AC293" s="125">
        <v>1197.4000000000001</v>
      </c>
      <c r="AD293" s="125">
        <v>0</v>
      </c>
      <c r="AE293" s="125">
        <v>375.68700000000001</v>
      </c>
      <c r="AF293" s="125">
        <v>60.475000000000001</v>
      </c>
      <c r="AG293" s="125">
        <v>0</v>
      </c>
      <c r="AH293" s="125">
        <v>0</v>
      </c>
      <c r="AI293" s="121">
        <v>491994</v>
      </c>
      <c r="AJ293" s="121">
        <v>114719</v>
      </c>
      <c r="AK293" s="424">
        <v>12</v>
      </c>
      <c r="AL293">
        <v>0</v>
      </c>
      <c r="AM293" s="121">
        <v>124961</v>
      </c>
      <c r="AN293" s="125">
        <v>0</v>
      </c>
      <c r="AO293" s="125">
        <v>0</v>
      </c>
      <c r="AP293" s="121">
        <v>606713</v>
      </c>
      <c r="AQ293" s="114">
        <v>0</v>
      </c>
      <c r="AR293" s="121">
        <v>31.487768082999999</v>
      </c>
      <c r="AS293" s="121">
        <v>6187.4453071999997</v>
      </c>
      <c r="AT293" s="121">
        <v>814.88377235999997</v>
      </c>
      <c r="AU293" s="420" t="s">
        <v>2001</v>
      </c>
      <c r="AV293" s="420" t="s">
        <v>2001</v>
      </c>
      <c r="AW293" s="121">
        <v>0</v>
      </c>
      <c r="AX293" s="121">
        <v>1052340</v>
      </c>
      <c r="BI293">
        <v>0</v>
      </c>
      <c r="BJ293" s="121">
        <v>0</v>
      </c>
      <c r="BK293" s="134">
        <v>47239246</v>
      </c>
      <c r="BL293" s="934">
        <v>4562</v>
      </c>
      <c r="BM293" s="934">
        <v>4728</v>
      </c>
      <c r="BN293" s="934">
        <v>4728</v>
      </c>
      <c r="BO293" s="114">
        <v>0</v>
      </c>
      <c r="BP293" s="114">
        <v>0</v>
      </c>
    </row>
    <row r="294" spans="1:68">
      <c r="A294" t="s">
        <v>1315</v>
      </c>
      <c r="B294" t="s">
        <v>2204</v>
      </c>
      <c r="C294" s="121">
        <v>4623</v>
      </c>
      <c r="D294" s="72">
        <v>3</v>
      </c>
      <c r="E294">
        <v>10686.422</v>
      </c>
      <c r="F294">
        <v>2630</v>
      </c>
      <c r="G294">
        <v>1995</v>
      </c>
      <c r="H294">
        <v>110</v>
      </c>
      <c r="I294" s="173">
        <v>0.94550000000000001</v>
      </c>
      <c r="J294" s="121">
        <v>5852365910</v>
      </c>
      <c r="K294" s="125">
        <v>55842.207999999999</v>
      </c>
      <c r="L294" s="173">
        <v>1.3583000000000001</v>
      </c>
      <c r="M294">
        <v>0.94550000000000001</v>
      </c>
      <c r="N294">
        <v>0.9055333378610001</v>
      </c>
      <c r="O294">
        <v>3.9966662138999909</v>
      </c>
      <c r="P294">
        <v>42015.764000000003</v>
      </c>
      <c r="Q294" s="125">
        <v>8.218</v>
      </c>
      <c r="R294" s="125">
        <v>0</v>
      </c>
      <c r="S294" s="125">
        <v>80.043999999999997</v>
      </c>
      <c r="T294" s="125">
        <v>972.49099999999999</v>
      </c>
      <c r="U294" s="125">
        <v>304.065</v>
      </c>
      <c r="V294" s="125">
        <v>0</v>
      </c>
      <c r="W294" s="125">
        <v>29.99</v>
      </c>
      <c r="X294" s="125">
        <v>0</v>
      </c>
      <c r="Y294" s="125">
        <v>0</v>
      </c>
      <c r="Z294" s="125">
        <v>19.257999999999999</v>
      </c>
      <c r="AA294" s="125">
        <v>309.745</v>
      </c>
      <c r="AB294" s="125">
        <v>1488.2650000000001</v>
      </c>
      <c r="AC294" s="125">
        <v>29854.3</v>
      </c>
      <c r="AD294" s="125">
        <v>15.342000000000001</v>
      </c>
      <c r="AE294" s="125">
        <v>8775.4459999999999</v>
      </c>
      <c r="AF294" s="125">
        <v>2100.788</v>
      </c>
      <c r="AG294" s="125">
        <v>0</v>
      </c>
      <c r="AH294" s="125">
        <v>0</v>
      </c>
      <c r="AI294" s="121">
        <v>57755569</v>
      </c>
      <c r="AJ294" s="121">
        <v>12068779</v>
      </c>
      <c r="AK294" s="424">
        <v>12</v>
      </c>
      <c r="AL294">
        <v>0</v>
      </c>
      <c r="AM294" s="121">
        <v>1310161</v>
      </c>
      <c r="AN294" s="125">
        <v>0</v>
      </c>
      <c r="AO294" s="125">
        <v>1</v>
      </c>
      <c r="AP294" s="121">
        <v>69824348</v>
      </c>
      <c r="AQ294" s="114">
        <v>0</v>
      </c>
      <c r="AR294" s="121">
        <v>3900.950081</v>
      </c>
      <c r="AS294" s="121">
        <v>766548.94080999994</v>
      </c>
      <c r="AT294" s="121">
        <v>100954.15177</v>
      </c>
      <c r="AU294" s="420" t="s">
        <v>2001</v>
      </c>
      <c r="AV294" s="420" t="s">
        <v>2001</v>
      </c>
      <c r="AW294" s="121">
        <v>0</v>
      </c>
      <c r="AX294" s="121">
        <v>31830908</v>
      </c>
      <c r="BI294">
        <v>0</v>
      </c>
      <c r="BJ294" s="121">
        <v>0</v>
      </c>
      <c r="BK294" s="134">
        <v>5852365910</v>
      </c>
      <c r="BL294" s="934">
        <v>4579</v>
      </c>
      <c r="BM294" s="934">
        <v>4595</v>
      </c>
      <c r="BN294" s="934">
        <v>4623</v>
      </c>
      <c r="BO294" s="114">
        <v>0</v>
      </c>
      <c r="BP294" s="114">
        <v>0</v>
      </c>
    </row>
    <row r="295" spans="1:68">
      <c r="A295" t="s">
        <v>2768</v>
      </c>
      <c r="B295" t="s">
        <v>2251</v>
      </c>
      <c r="C295" s="121">
        <v>4720</v>
      </c>
      <c r="D295" s="72">
        <v>3</v>
      </c>
      <c r="E295">
        <v>0</v>
      </c>
      <c r="F295">
        <v>8</v>
      </c>
      <c r="G295">
        <v>4</v>
      </c>
      <c r="H295">
        <v>0</v>
      </c>
      <c r="I295" s="173">
        <v>1.04</v>
      </c>
      <c r="J295" s="121">
        <v>33868390</v>
      </c>
      <c r="K295" s="125">
        <v>107.398</v>
      </c>
      <c r="L295" s="173">
        <v>1.26</v>
      </c>
      <c r="M295">
        <v>1.04</v>
      </c>
      <c r="N295">
        <v>0.84000000419999998</v>
      </c>
      <c r="O295">
        <v>19.999999580000004</v>
      </c>
      <c r="P295">
        <v>60</v>
      </c>
      <c r="Q295" s="125">
        <v>0</v>
      </c>
      <c r="R295" s="125">
        <v>0</v>
      </c>
      <c r="S295" s="125">
        <v>0.06</v>
      </c>
      <c r="T295" s="125">
        <v>1.3</v>
      </c>
      <c r="U295" s="125">
        <v>0</v>
      </c>
      <c r="V295" s="125">
        <v>0</v>
      </c>
      <c r="W295" s="125">
        <v>0</v>
      </c>
      <c r="X295" s="125">
        <v>0</v>
      </c>
      <c r="Y295" s="125">
        <v>0</v>
      </c>
      <c r="Z295" s="125">
        <v>0</v>
      </c>
      <c r="AA295" s="125">
        <v>0</v>
      </c>
      <c r="AB295" s="125">
        <v>0</v>
      </c>
      <c r="AC295" s="125">
        <v>50</v>
      </c>
      <c r="AD295" s="125">
        <v>0</v>
      </c>
      <c r="AE295" s="125">
        <v>11</v>
      </c>
      <c r="AF295" s="125">
        <v>3</v>
      </c>
      <c r="AG295" s="125">
        <v>0</v>
      </c>
      <c r="AH295" s="125">
        <v>0</v>
      </c>
      <c r="AI295" s="121">
        <v>369843</v>
      </c>
      <c r="AJ295" s="121">
        <v>0</v>
      </c>
      <c r="AK295" s="424">
        <v>8</v>
      </c>
      <c r="AL295">
        <v>0</v>
      </c>
      <c r="AM295" s="121">
        <v>14989</v>
      </c>
      <c r="AN295" s="125">
        <v>0</v>
      </c>
      <c r="AO295" s="125">
        <v>0</v>
      </c>
      <c r="AP295" s="121">
        <v>369843</v>
      </c>
      <c r="AQ295" s="114">
        <v>0</v>
      </c>
      <c r="AR295" s="121">
        <v>22.575297024000001</v>
      </c>
      <c r="AS295" s="121">
        <v>4436.1167569999998</v>
      </c>
      <c r="AT295" s="121">
        <v>584.23458762999996</v>
      </c>
      <c r="AU295" s="420" t="s">
        <v>2001</v>
      </c>
      <c r="AV295" s="420" t="s">
        <v>2001</v>
      </c>
      <c r="AW295" s="121">
        <v>0</v>
      </c>
      <c r="AX295" s="121">
        <v>0</v>
      </c>
      <c r="BI295">
        <v>0</v>
      </c>
      <c r="BJ295" s="121">
        <v>0</v>
      </c>
      <c r="BK295" s="134">
        <v>33868390</v>
      </c>
      <c r="BL295" s="934">
        <v>4501</v>
      </c>
      <c r="BM295" s="934">
        <v>4332</v>
      </c>
      <c r="BN295" s="934">
        <v>4720</v>
      </c>
      <c r="BO295" s="114">
        <v>0</v>
      </c>
      <c r="BP295" s="114">
        <v>0</v>
      </c>
    </row>
    <row r="296" spans="1:68">
      <c r="A296" t="s">
        <v>2769</v>
      </c>
      <c r="B296" t="s">
        <v>2252</v>
      </c>
      <c r="C296" s="121">
        <v>4625</v>
      </c>
      <c r="D296" s="72">
        <v>3</v>
      </c>
      <c r="E296">
        <v>305.32299999999998</v>
      </c>
      <c r="F296">
        <v>104</v>
      </c>
      <c r="G296">
        <v>84</v>
      </c>
      <c r="H296">
        <v>4</v>
      </c>
      <c r="I296" s="173">
        <v>1.03</v>
      </c>
      <c r="J296" s="121">
        <v>255092689</v>
      </c>
      <c r="K296" s="125">
        <v>1851.626</v>
      </c>
      <c r="L296" s="173">
        <v>1.3420000000000001</v>
      </c>
      <c r="M296">
        <v>1.03</v>
      </c>
      <c r="N296">
        <v>0.89466667114000009</v>
      </c>
      <c r="O296">
        <v>13.533332885999993</v>
      </c>
      <c r="P296">
        <v>1252.367</v>
      </c>
      <c r="Q296" s="125">
        <v>0</v>
      </c>
      <c r="R296" s="125">
        <v>0</v>
      </c>
      <c r="S296" s="125">
        <v>1.9330000000000001</v>
      </c>
      <c r="T296" s="125">
        <v>30.946999999999999</v>
      </c>
      <c r="U296" s="125">
        <v>6.6260000000000003</v>
      </c>
      <c r="V296" s="125">
        <v>0</v>
      </c>
      <c r="W296" s="125">
        <v>0</v>
      </c>
      <c r="X296" s="125">
        <v>0</v>
      </c>
      <c r="Y296" s="125">
        <v>0</v>
      </c>
      <c r="Z296" s="125">
        <v>0</v>
      </c>
      <c r="AA296" s="125">
        <v>38.046999999999997</v>
      </c>
      <c r="AB296" s="125">
        <v>49.537999999999997</v>
      </c>
      <c r="AC296" s="125">
        <v>1079.7</v>
      </c>
      <c r="AD296" s="125">
        <v>6.0000000000000001E-3</v>
      </c>
      <c r="AE296" s="125">
        <v>223.56299999999999</v>
      </c>
      <c r="AF296" s="125">
        <v>62.618000000000002</v>
      </c>
      <c r="AG296" s="125">
        <v>0</v>
      </c>
      <c r="AH296" s="125">
        <v>0</v>
      </c>
      <c r="AI296" s="121">
        <v>2731239</v>
      </c>
      <c r="AJ296" s="121">
        <v>227024</v>
      </c>
      <c r="AK296" s="424">
        <v>12</v>
      </c>
      <c r="AL296">
        <v>0</v>
      </c>
      <c r="AM296" s="121">
        <v>78618</v>
      </c>
      <c r="AN296" s="125">
        <v>0</v>
      </c>
      <c r="AO296" s="125">
        <v>0</v>
      </c>
      <c r="AP296" s="121">
        <v>2958263</v>
      </c>
      <c r="AQ296" s="114">
        <v>0</v>
      </c>
      <c r="AR296" s="121">
        <v>170.03445463</v>
      </c>
      <c r="AS296" s="121">
        <v>33412.304282999998</v>
      </c>
      <c r="AT296" s="121">
        <v>4400.3854911999997</v>
      </c>
      <c r="AU296" s="420" t="s">
        <v>2001</v>
      </c>
      <c r="AV296" s="420" t="s">
        <v>2001</v>
      </c>
      <c r="AW296" s="121">
        <v>0</v>
      </c>
      <c r="AX296" s="121">
        <v>724208</v>
      </c>
      <c r="BI296">
        <v>0</v>
      </c>
      <c r="BJ296" s="121">
        <v>0</v>
      </c>
      <c r="BK296" s="134">
        <v>255092689</v>
      </c>
      <c r="BL296" s="934">
        <v>4434</v>
      </c>
      <c r="BM296" s="934">
        <v>4454</v>
      </c>
      <c r="BN296" s="934">
        <v>4625</v>
      </c>
      <c r="BO296" s="114">
        <v>0</v>
      </c>
      <c r="BP296" s="114">
        <v>0</v>
      </c>
    </row>
    <row r="297" spans="1:68">
      <c r="A297" t="s">
        <v>1704</v>
      </c>
      <c r="B297" t="s">
        <v>2214</v>
      </c>
      <c r="C297" s="121">
        <v>4871</v>
      </c>
      <c r="D297" s="72">
        <v>2</v>
      </c>
      <c r="E297">
        <v>1016.593</v>
      </c>
      <c r="F297">
        <v>251</v>
      </c>
      <c r="G297">
        <v>145</v>
      </c>
      <c r="H297">
        <v>16</v>
      </c>
      <c r="I297" s="173">
        <v>1.04</v>
      </c>
      <c r="J297" s="121">
        <v>1154074431</v>
      </c>
      <c r="K297" s="125">
        <v>4444.7510000000002</v>
      </c>
      <c r="L297" s="173">
        <v>1.5</v>
      </c>
      <c r="M297">
        <v>1.04</v>
      </c>
      <c r="N297">
        <v>1.000000005</v>
      </c>
      <c r="O297">
        <v>3.9999995000000066</v>
      </c>
      <c r="P297">
        <v>3396.3609999999999</v>
      </c>
      <c r="Q297" s="125">
        <v>0.115</v>
      </c>
      <c r="R297" s="125">
        <v>0</v>
      </c>
      <c r="S297" s="125">
        <v>5.2809999999999997</v>
      </c>
      <c r="T297" s="125">
        <v>76.614000000000004</v>
      </c>
      <c r="U297" s="125">
        <v>16.96</v>
      </c>
      <c r="V297" s="125">
        <v>0</v>
      </c>
      <c r="W297" s="125">
        <v>0</v>
      </c>
      <c r="X297" s="125">
        <v>0</v>
      </c>
      <c r="Y297" s="125">
        <v>0</v>
      </c>
      <c r="Z297" s="125">
        <v>7.4020000000000001</v>
      </c>
      <c r="AA297" s="125">
        <v>57.418999999999997</v>
      </c>
      <c r="AB297" s="125">
        <v>197.9</v>
      </c>
      <c r="AC297" s="125">
        <v>1622.7</v>
      </c>
      <c r="AD297" s="125">
        <v>1.1870000000000001</v>
      </c>
      <c r="AE297" s="125">
        <v>180.61199999999999</v>
      </c>
      <c r="AF297" s="125">
        <v>169.81800000000001</v>
      </c>
      <c r="AG297" s="125">
        <v>0</v>
      </c>
      <c r="AH297" s="125">
        <v>0</v>
      </c>
      <c r="AI297" s="121">
        <v>12476468</v>
      </c>
      <c r="AJ297" s="121">
        <v>1502302</v>
      </c>
      <c r="AK297" s="424">
        <v>12</v>
      </c>
      <c r="AL297">
        <v>0</v>
      </c>
      <c r="AM297" s="121">
        <v>198153</v>
      </c>
      <c r="AN297" s="125">
        <v>0</v>
      </c>
      <c r="AO297" s="125">
        <v>0</v>
      </c>
      <c r="AP297" s="121">
        <v>13978770</v>
      </c>
      <c r="AQ297" s="114">
        <v>0</v>
      </c>
      <c r="AR297" s="121">
        <v>769.25927296999998</v>
      </c>
      <c r="AS297" s="121">
        <v>151161.86279000001</v>
      </c>
      <c r="AT297" s="121">
        <v>19907.949544999999</v>
      </c>
      <c r="AU297" s="420" t="s">
        <v>2001</v>
      </c>
      <c r="AV297" s="420" t="s">
        <v>2001</v>
      </c>
      <c r="AW297" s="121">
        <v>0</v>
      </c>
      <c r="AX297" s="121">
        <v>1803252</v>
      </c>
      <c r="BI297">
        <v>0</v>
      </c>
      <c r="BJ297" s="121">
        <v>0</v>
      </c>
      <c r="BK297" s="134">
        <v>1154074431</v>
      </c>
      <c r="BL297" s="934">
        <v>4756</v>
      </c>
      <c r="BM297" s="934">
        <v>4871</v>
      </c>
      <c r="BN297" s="934">
        <v>4871</v>
      </c>
      <c r="BO297" s="114">
        <v>0</v>
      </c>
      <c r="BP297" s="114">
        <v>0</v>
      </c>
    </row>
    <row r="298" spans="1:68">
      <c r="A298" t="s">
        <v>2091</v>
      </c>
      <c r="B298" t="s">
        <v>2253</v>
      </c>
      <c r="C298" s="121">
        <v>5879</v>
      </c>
      <c r="D298" s="72">
        <v>1</v>
      </c>
      <c r="E298">
        <v>0</v>
      </c>
      <c r="F298">
        <v>9</v>
      </c>
      <c r="G298">
        <v>3</v>
      </c>
      <c r="H298">
        <v>3</v>
      </c>
      <c r="I298" s="173">
        <v>1.04</v>
      </c>
      <c r="J298" s="121">
        <v>112673424</v>
      </c>
      <c r="K298" s="125">
        <v>139.52799999999999</v>
      </c>
      <c r="L298" s="173">
        <v>1.4307000000000001</v>
      </c>
      <c r="M298">
        <v>1.04</v>
      </c>
      <c r="N298">
        <v>0.95380000476900006</v>
      </c>
      <c r="O298">
        <v>8.6199995230999971</v>
      </c>
      <c r="P298">
        <v>90.58</v>
      </c>
      <c r="Q298" s="125">
        <v>0</v>
      </c>
      <c r="R298" s="125">
        <v>0</v>
      </c>
      <c r="S298" s="125">
        <v>0.106</v>
      </c>
      <c r="T298" s="125">
        <v>1.0940000000000001</v>
      </c>
      <c r="U298" s="125">
        <v>0</v>
      </c>
      <c r="V298" s="125">
        <v>0</v>
      </c>
      <c r="W298" s="125">
        <v>0</v>
      </c>
      <c r="X298" s="125">
        <v>0</v>
      </c>
      <c r="Y298" s="125">
        <v>0</v>
      </c>
      <c r="Z298" s="125">
        <v>0</v>
      </c>
      <c r="AA298" s="125">
        <v>1.091</v>
      </c>
      <c r="AB298" s="125">
        <v>0</v>
      </c>
      <c r="AC298" s="125">
        <v>20.6</v>
      </c>
      <c r="AD298" s="125">
        <v>0</v>
      </c>
      <c r="AE298" s="125">
        <v>1.1339999999999999</v>
      </c>
      <c r="AF298" s="125">
        <v>4.5289999999999999</v>
      </c>
      <c r="AG298" s="125">
        <v>0</v>
      </c>
      <c r="AH298" s="125">
        <v>0</v>
      </c>
      <c r="AI298" s="121">
        <v>1168874</v>
      </c>
      <c r="AJ298" s="121">
        <v>64705</v>
      </c>
      <c r="AK298" s="424">
        <v>8</v>
      </c>
      <c r="AL298">
        <v>0</v>
      </c>
      <c r="AM298" s="121">
        <v>0</v>
      </c>
      <c r="AN298" s="125">
        <v>0</v>
      </c>
      <c r="AO298" s="125">
        <v>0</v>
      </c>
      <c r="AP298" s="121">
        <v>1233579</v>
      </c>
      <c r="AQ298" s="114">
        <v>0</v>
      </c>
      <c r="AR298" s="121">
        <v>0</v>
      </c>
      <c r="AS298" s="121">
        <v>0</v>
      </c>
      <c r="AT298" s="121">
        <v>0</v>
      </c>
      <c r="AU298" s="420" t="s">
        <v>798</v>
      </c>
      <c r="AV298" s="420" t="s">
        <v>2001</v>
      </c>
      <c r="AW298" s="121">
        <v>0</v>
      </c>
      <c r="AX298" s="121">
        <v>62318</v>
      </c>
      <c r="AY298" s="134">
        <v>16052</v>
      </c>
      <c r="AZ298" s="134">
        <v>289796</v>
      </c>
      <c r="BA298" s="114">
        <v>191</v>
      </c>
      <c r="BB298" s="134">
        <v>16831293</v>
      </c>
      <c r="BC298" s="114">
        <v>0</v>
      </c>
      <c r="BD298" s="114">
        <v>0</v>
      </c>
      <c r="BE298" s="114">
        <v>0</v>
      </c>
      <c r="BF298" s="114">
        <v>90</v>
      </c>
      <c r="BG298" s="114">
        <v>0</v>
      </c>
      <c r="BH298" s="114">
        <v>0</v>
      </c>
      <c r="BI298">
        <v>0</v>
      </c>
      <c r="BJ298" s="121">
        <v>0</v>
      </c>
      <c r="BK298" s="134">
        <v>112673424</v>
      </c>
      <c r="BL298" s="934">
        <v>5879</v>
      </c>
      <c r="BM298" s="934">
        <v>5406</v>
      </c>
      <c r="BN298" s="934">
        <v>5637</v>
      </c>
      <c r="BO298" s="114">
        <v>0</v>
      </c>
      <c r="BP298" s="114">
        <v>0</v>
      </c>
    </row>
    <row r="299" spans="1:68">
      <c r="A299" t="s">
        <v>2092</v>
      </c>
      <c r="B299" t="s">
        <v>2254</v>
      </c>
      <c r="C299" s="121">
        <v>5219</v>
      </c>
      <c r="D299" s="72">
        <v>1</v>
      </c>
      <c r="E299">
        <v>60.305999999999997</v>
      </c>
      <c r="F299">
        <v>21</v>
      </c>
      <c r="G299">
        <v>14</v>
      </c>
      <c r="H299">
        <v>0</v>
      </c>
      <c r="I299" s="173">
        <v>1.04</v>
      </c>
      <c r="J299" s="121">
        <v>97596012</v>
      </c>
      <c r="K299" s="125">
        <v>356.41800000000001</v>
      </c>
      <c r="L299" s="173">
        <v>1.5</v>
      </c>
      <c r="M299">
        <v>1.04</v>
      </c>
      <c r="N299">
        <v>1.000000005</v>
      </c>
      <c r="O299">
        <v>3.9999995000000066</v>
      </c>
      <c r="P299">
        <v>205</v>
      </c>
      <c r="Q299" s="125">
        <v>0</v>
      </c>
      <c r="R299" s="125">
        <v>0</v>
      </c>
      <c r="S299" s="125">
        <v>0.3</v>
      </c>
      <c r="T299" s="125">
        <v>7.19</v>
      </c>
      <c r="U299" s="125">
        <v>1.32</v>
      </c>
      <c r="V299" s="125">
        <v>0.112</v>
      </c>
      <c r="W299" s="125">
        <v>0.62</v>
      </c>
      <c r="X299" s="125">
        <v>0</v>
      </c>
      <c r="Y299" s="125">
        <v>0</v>
      </c>
      <c r="Z299" s="125">
        <v>0</v>
      </c>
      <c r="AA299" s="125">
        <v>5.3120000000000003</v>
      </c>
      <c r="AB299" s="125">
        <v>12.16</v>
      </c>
      <c r="AC299" s="125">
        <v>98</v>
      </c>
      <c r="AD299" s="125">
        <v>0</v>
      </c>
      <c r="AE299" s="125">
        <v>26.321000000000002</v>
      </c>
      <c r="AF299" s="125">
        <v>9.9499999999999993</v>
      </c>
      <c r="AG299" s="125">
        <v>0</v>
      </c>
      <c r="AH299" s="125">
        <v>0</v>
      </c>
      <c r="AI299" s="121">
        <v>1033776</v>
      </c>
      <c r="AJ299" s="121">
        <v>0</v>
      </c>
      <c r="AK299" s="424">
        <v>12</v>
      </c>
      <c r="AL299">
        <v>0</v>
      </c>
      <c r="AM299" s="121">
        <v>28364</v>
      </c>
      <c r="AN299" s="125">
        <v>0</v>
      </c>
      <c r="AO299" s="125">
        <v>0</v>
      </c>
      <c r="AP299" s="121">
        <v>1033776</v>
      </c>
      <c r="AQ299" s="114">
        <v>0</v>
      </c>
      <c r="AR299" s="121">
        <v>65.053548731000006</v>
      </c>
      <c r="AS299" s="121">
        <v>12783.226608999999</v>
      </c>
      <c r="AT299" s="121">
        <v>1683.5452121000001</v>
      </c>
      <c r="AU299" s="420" t="s">
        <v>2001</v>
      </c>
      <c r="AV299" s="420" t="s">
        <v>2001</v>
      </c>
      <c r="AW299" s="121">
        <v>0</v>
      </c>
      <c r="AX299" s="121">
        <v>0</v>
      </c>
      <c r="BI299">
        <v>0</v>
      </c>
      <c r="BJ299" s="121">
        <v>0</v>
      </c>
      <c r="BK299" s="134">
        <v>97596012</v>
      </c>
      <c r="BL299" s="934">
        <v>5219</v>
      </c>
      <c r="BM299" s="934">
        <v>4973</v>
      </c>
      <c r="BN299" s="934">
        <v>5056</v>
      </c>
      <c r="BO299" s="114">
        <v>0</v>
      </c>
      <c r="BP299" s="114">
        <v>0</v>
      </c>
    </row>
    <row r="300" spans="1:68">
      <c r="A300" t="s">
        <v>1400</v>
      </c>
      <c r="B300" t="s">
        <v>2827</v>
      </c>
      <c r="C300" s="121">
        <v>4834</v>
      </c>
      <c r="D300" s="72">
        <v>3</v>
      </c>
      <c r="E300">
        <v>50.194000000000003</v>
      </c>
      <c r="F300">
        <v>24</v>
      </c>
      <c r="G300">
        <v>16</v>
      </c>
      <c r="H300">
        <v>1</v>
      </c>
      <c r="I300" s="173">
        <v>1.04</v>
      </c>
      <c r="J300" s="121">
        <v>64294101</v>
      </c>
      <c r="K300" s="125">
        <v>344.08</v>
      </c>
      <c r="L300" s="173">
        <v>1.42</v>
      </c>
      <c r="M300">
        <v>1.04</v>
      </c>
      <c r="N300">
        <v>0.94666667139999994</v>
      </c>
      <c r="O300">
        <v>9.3333328600000094</v>
      </c>
      <c r="P300">
        <v>200</v>
      </c>
      <c r="Q300" s="125">
        <v>0</v>
      </c>
      <c r="R300" s="125">
        <v>0</v>
      </c>
      <c r="S300" s="125">
        <v>0.189</v>
      </c>
      <c r="T300" s="125">
        <v>7.8310000000000004</v>
      </c>
      <c r="U300" s="125">
        <v>0</v>
      </c>
      <c r="V300" s="125">
        <v>0</v>
      </c>
      <c r="W300" s="125">
        <v>0</v>
      </c>
      <c r="X300" s="125">
        <v>0</v>
      </c>
      <c r="Y300" s="125">
        <v>0</v>
      </c>
      <c r="Z300" s="125">
        <v>0</v>
      </c>
      <c r="AA300" s="125">
        <v>0.20499999999999999</v>
      </c>
      <c r="AB300" s="125">
        <v>6.5179999999999998</v>
      </c>
      <c r="AC300" s="125">
        <v>125</v>
      </c>
      <c r="AD300" s="125">
        <v>0</v>
      </c>
      <c r="AE300" s="125">
        <v>38</v>
      </c>
      <c r="AF300" s="125">
        <v>10</v>
      </c>
      <c r="AG300" s="125">
        <v>0</v>
      </c>
      <c r="AH300" s="125">
        <v>0</v>
      </c>
      <c r="AI300" s="121">
        <v>695071</v>
      </c>
      <c r="AJ300" s="121">
        <v>36674</v>
      </c>
      <c r="AK300" s="424">
        <v>12</v>
      </c>
      <c r="AL300">
        <v>0</v>
      </c>
      <c r="AM300" s="121">
        <v>28279</v>
      </c>
      <c r="AN300" s="125">
        <v>0</v>
      </c>
      <c r="AO300" s="125">
        <v>0</v>
      </c>
      <c r="AP300" s="121">
        <v>731745</v>
      </c>
      <c r="AQ300" s="114">
        <v>0</v>
      </c>
      <c r="AR300" s="121">
        <v>42.855843663999998</v>
      </c>
      <c r="AS300" s="121">
        <v>8421.3078573000003</v>
      </c>
      <c r="AT300" s="121">
        <v>1109.0824685</v>
      </c>
      <c r="AU300" s="420" t="s">
        <v>2001</v>
      </c>
      <c r="AV300" s="420" t="s">
        <v>2001</v>
      </c>
      <c r="AW300" s="121">
        <v>0</v>
      </c>
      <c r="AX300" s="121">
        <v>94748</v>
      </c>
      <c r="BI300">
        <v>0</v>
      </c>
      <c r="BJ300" s="121">
        <v>0</v>
      </c>
      <c r="BK300" s="134">
        <v>64294101</v>
      </c>
      <c r="BL300" s="934">
        <v>4625</v>
      </c>
      <c r="BM300" s="934">
        <v>4753</v>
      </c>
      <c r="BN300" s="934">
        <v>4834</v>
      </c>
      <c r="BO300" s="114">
        <v>0</v>
      </c>
      <c r="BP300" s="114">
        <v>0</v>
      </c>
    </row>
    <row r="301" spans="1:68">
      <c r="A301" t="s">
        <v>2093</v>
      </c>
      <c r="B301" t="s">
        <v>2255</v>
      </c>
      <c r="C301" s="121">
        <v>5016</v>
      </c>
      <c r="D301" s="72">
        <v>3</v>
      </c>
      <c r="E301">
        <v>0</v>
      </c>
      <c r="F301">
        <v>9</v>
      </c>
      <c r="G301">
        <v>3</v>
      </c>
      <c r="H301">
        <v>2</v>
      </c>
      <c r="I301" s="173">
        <v>1.04</v>
      </c>
      <c r="J301" s="121">
        <v>56436946</v>
      </c>
      <c r="K301" s="125">
        <v>155.62</v>
      </c>
      <c r="L301" s="173">
        <v>1.37</v>
      </c>
      <c r="M301">
        <v>1.04</v>
      </c>
      <c r="N301">
        <v>0.91333333790000004</v>
      </c>
      <c r="O301">
        <v>12.666666209999999</v>
      </c>
      <c r="P301">
        <v>94.908000000000001</v>
      </c>
      <c r="Q301" s="125">
        <v>0</v>
      </c>
      <c r="R301" s="125">
        <v>0</v>
      </c>
      <c r="S301" s="125">
        <v>0.14299999999999999</v>
      </c>
      <c r="T301" s="125">
        <v>1.538</v>
      </c>
      <c r="U301" s="125">
        <v>0</v>
      </c>
      <c r="V301" s="125">
        <v>0</v>
      </c>
      <c r="W301" s="125">
        <v>0</v>
      </c>
      <c r="X301" s="125">
        <v>0</v>
      </c>
      <c r="Y301" s="125">
        <v>0</v>
      </c>
      <c r="Z301" s="125">
        <v>0</v>
      </c>
      <c r="AA301" s="125">
        <v>0</v>
      </c>
      <c r="AB301" s="125">
        <v>0</v>
      </c>
      <c r="AC301" s="125">
        <v>57.8</v>
      </c>
      <c r="AD301" s="125">
        <v>0</v>
      </c>
      <c r="AE301" s="125">
        <v>0</v>
      </c>
      <c r="AF301" s="125">
        <v>4.7450000000000001</v>
      </c>
      <c r="AG301" s="125">
        <v>0</v>
      </c>
      <c r="AH301" s="125">
        <v>0</v>
      </c>
      <c r="AI301" s="121">
        <v>591640</v>
      </c>
      <c r="AJ301" s="121">
        <v>0</v>
      </c>
      <c r="AK301" s="424">
        <v>8</v>
      </c>
      <c r="AL301">
        <v>0</v>
      </c>
      <c r="AM301" s="121">
        <v>13562</v>
      </c>
      <c r="AN301" s="125">
        <v>0</v>
      </c>
      <c r="AO301" s="125">
        <v>0</v>
      </c>
      <c r="AP301" s="121">
        <v>591640</v>
      </c>
      <c r="AQ301" s="114">
        <v>0</v>
      </c>
      <c r="AR301" s="121">
        <v>37.618582373999999</v>
      </c>
      <c r="AS301" s="121">
        <v>7392.1695676999998</v>
      </c>
      <c r="AT301" s="121">
        <v>973.54541724000001</v>
      </c>
      <c r="AU301" s="420" t="s">
        <v>798</v>
      </c>
      <c r="AV301" s="420" t="s">
        <v>2001</v>
      </c>
      <c r="AW301" s="121">
        <v>0</v>
      </c>
      <c r="AX301" s="121">
        <v>0</v>
      </c>
      <c r="AY301" s="134">
        <v>6518</v>
      </c>
      <c r="AZ301" s="134">
        <v>301130</v>
      </c>
      <c r="BA301" s="114">
        <v>194</v>
      </c>
      <c r="BB301" s="134">
        <v>24975013</v>
      </c>
      <c r="BC301" s="114">
        <v>0</v>
      </c>
      <c r="BD301" s="114">
        <v>0</v>
      </c>
      <c r="BE301" s="114">
        <v>0</v>
      </c>
      <c r="BF301" s="114">
        <v>100</v>
      </c>
      <c r="BG301" s="114">
        <v>0</v>
      </c>
      <c r="BH301" s="114">
        <v>0</v>
      </c>
      <c r="BI301">
        <v>0</v>
      </c>
      <c r="BJ301" s="121">
        <v>0</v>
      </c>
      <c r="BK301" s="134">
        <v>56436946</v>
      </c>
      <c r="BL301" s="934">
        <v>4550</v>
      </c>
      <c r="BM301" s="934">
        <v>4966</v>
      </c>
      <c r="BN301" s="934">
        <v>5016</v>
      </c>
      <c r="BO301" s="114">
        <v>0</v>
      </c>
      <c r="BP301" s="114">
        <v>0</v>
      </c>
    </row>
    <row r="302" spans="1:68">
      <c r="A302" t="s">
        <v>229</v>
      </c>
      <c r="B302" t="s">
        <v>1185</v>
      </c>
      <c r="C302" s="121">
        <v>4259</v>
      </c>
      <c r="D302" s="72">
        <v>3</v>
      </c>
      <c r="E302">
        <v>109.75700000000001</v>
      </c>
      <c r="F302">
        <v>41</v>
      </c>
      <c r="G302">
        <v>31</v>
      </c>
      <c r="H302">
        <v>8</v>
      </c>
      <c r="I302" s="173">
        <v>1.0333000000000001</v>
      </c>
      <c r="J302" s="121">
        <v>48552810</v>
      </c>
      <c r="K302" s="125">
        <v>823.43499999999995</v>
      </c>
      <c r="L302" s="173">
        <v>1.49</v>
      </c>
      <c r="M302">
        <v>1.0333000000000001</v>
      </c>
      <c r="N302">
        <v>0.99333333830000003</v>
      </c>
      <c r="O302">
        <v>3.9966661700000072</v>
      </c>
      <c r="P302">
        <v>447.69600000000003</v>
      </c>
      <c r="Q302" s="125">
        <v>0.04</v>
      </c>
      <c r="R302" s="125">
        <v>0</v>
      </c>
      <c r="S302" s="125">
        <v>0.749</v>
      </c>
      <c r="T302" s="125">
        <v>17.213000000000001</v>
      </c>
      <c r="U302" s="125">
        <v>0</v>
      </c>
      <c r="V302" s="125">
        <v>0.309</v>
      </c>
      <c r="W302" s="125">
        <v>2.5379999999999998</v>
      </c>
      <c r="X302" s="125">
        <v>0</v>
      </c>
      <c r="Y302" s="125">
        <v>0</v>
      </c>
      <c r="Z302" s="125">
        <v>0</v>
      </c>
      <c r="AA302" s="125">
        <v>15.922000000000001</v>
      </c>
      <c r="AB302" s="125">
        <v>36.451000000000001</v>
      </c>
      <c r="AC302" s="125">
        <v>416.8</v>
      </c>
      <c r="AD302" s="125">
        <v>0</v>
      </c>
      <c r="AE302" s="125">
        <v>114.248</v>
      </c>
      <c r="AF302" s="125">
        <v>22.384799999999998</v>
      </c>
      <c r="AG302" s="125">
        <v>0</v>
      </c>
      <c r="AH302" s="125">
        <v>0</v>
      </c>
      <c r="AI302" s="121">
        <v>467111</v>
      </c>
      <c r="AJ302" s="121">
        <v>36960</v>
      </c>
      <c r="AK302" s="424">
        <v>12</v>
      </c>
      <c r="AL302">
        <v>0</v>
      </c>
      <c r="AM302" s="121">
        <v>20830</v>
      </c>
      <c r="AN302" s="125">
        <v>0</v>
      </c>
      <c r="AO302" s="125">
        <v>0</v>
      </c>
      <c r="AP302" s="121">
        <v>504071</v>
      </c>
      <c r="AQ302" s="114">
        <v>0</v>
      </c>
      <c r="AR302" s="121">
        <v>32.363336642999997</v>
      </c>
      <c r="AS302" s="121">
        <v>6359.4972786999997</v>
      </c>
      <c r="AT302" s="121">
        <v>837.54293986000005</v>
      </c>
      <c r="AU302" s="420" t="s">
        <v>2001</v>
      </c>
      <c r="AV302" s="420" t="s">
        <v>2001</v>
      </c>
      <c r="AW302" s="121">
        <v>0</v>
      </c>
      <c r="AX302" s="121">
        <v>724232</v>
      </c>
      <c r="BI302">
        <v>0</v>
      </c>
      <c r="BJ302" s="121">
        <v>0</v>
      </c>
      <c r="BK302" s="134">
        <v>48552810</v>
      </c>
      <c r="BL302" s="934">
        <v>4209</v>
      </c>
      <c r="BM302" s="934">
        <v>4254</v>
      </c>
      <c r="BN302" s="934">
        <v>4259</v>
      </c>
      <c r="BO302" s="114">
        <v>0</v>
      </c>
      <c r="BP302" s="114">
        <v>0</v>
      </c>
    </row>
    <row r="303" spans="1:68">
      <c r="A303" t="s">
        <v>2095</v>
      </c>
      <c r="B303" t="s">
        <v>2357</v>
      </c>
      <c r="C303" s="121">
        <v>4381</v>
      </c>
      <c r="D303" s="72">
        <v>3</v>
      </c>
      <c r="E303">
        <v>342.20600000000002</v>
      </c>
      <c r="F303">
        <v>106</v>
      </c>
      <c r="G303">
        <v>116</v>
      </c>
      <c r="H303">
        <v>0</v>
      </c>
      <c r="I303" s="173">
        <v>1.04</v>
      </c>
      <c r="J303" s="121">
        <v>176786706</v>
      </c>
      <c r="K303" s="125">
        <v>1951.953</v>
      </c>
      <c r="L303" s="173">
        <v>1.4076</v>
      </c>
      <c r="M303">
        <v>1.04</v>
      </c>
      <c r="N303">
        <v>0.93840000469200002</v>
      </c>
      <c r="O303">
        <v>10.1599995308</v>
      </c>
      <c r="P303">
        <v>1100</v>
      </c>
      <c r="Q303" s="125">
        <v>0</v>
      </c>
      <c r="R303" s="125">
        <v>0</v>
      </c>
      <c r="S303" s="125">
        <v>3</v>
      </c>
      <c r="T303" s="125">
        <v>30.5</v>
      </c>
      <c r="U303" s="125">
        <v>10.851000000000001</v>
      </c>
      <c r="V303" s="125">
        <v>2.1</v>
      </c>
      <c r="W303" s="125">
        <v>8.1</v>
      </c>
      <c r="X303" s="125">
        <v>0</v>
      </c>
      <c r="Y303" s="125">
        <v>0</v>
      </c>
      <c r="Z303" s="125">
        <v>0</v>
      </c>
      <c r="AA303" s="125">
        <v>54.121000000000002</v>
      </c>
      <c r="AB303" s="125">
        <v>78.144000000000005</v>
      </c>
      <c r="AC303" s="125">
        <v>1040</v>
      </c>
      <c r="AD303" s="125">
        <v>0</v>
      </c>
      <c r="AE303" s="125">
        <v>85</v>
      </c>
      <c r="AF303" s="125">
        <v>20</v>
      </c>
      <c r="AG303" s="125">
        <v>0</v>
      </c>
      <c r="AH303" s="125">
        <v>0</v>
      </c>
      <c r="AI303" s="121">
        <v>1815199</v>
      </c>
      <c r="AJ303" s="121">
        <v>184337</v>
      </c>
      <c r="AK303" s="424">
        <v>12</v>
      </c>
      <c r="AL303">
        <v>0</v>
      </c>
      <c r="AM303" s="121">
        <v>178213</v>
      </c>
      <c r="AN303" s="125">
        <v>0</v>
      </c>
      <c r="AO303" s="125">
        <v>0</v>
      </c>
      <c r="AP303" s="121">
        <v>1999536</v>
      </c>
      <c r="AQ303" s="114">
        <v>0</v>
      </c>
      <c r="AR303" s="121">
        <v>117.83885777</v>
      </c>
      <c r="AS303" s="121">
        <v>23155.705593999999</v>
      </c>
      <c r="AT303" s="121">
        <v>3049.5960432000002</v>
      </c>
      <c r="AU303" s="420" t="s">
        <v>2001</v>
      </c>
      <c r="AV303" s="420" t="s">
        <v>2001</v>
      </c>
      <c r="AW303" s="121">
        <v>0</v>
      </c>
      <c r="AX303" s="121">
        <v>379565</v>
      </c>
      <c r="BI303">
        <v>0</v>
      </c>
      <c r="BJ303" s="121">
        <v>0</v>
      </c>
      <c r="BK303" s="134">
        <v>173153116</v>
      </c>
      <c r="BL303" s="934">
        <v>4324</v>
      </c>
      <c r="BM303" s="934">
        <v>4205</v>
      </c>
      <c r="BN303" s="934">
        <v>4381</v>
      </c>
      <c r="BO303" s="114">
        <v>0</v>
      </c>
      <c r="BP303" s="114">
        <v>0</v>
      </c>
    </row>
    <row r="304" spans="1:68">
      <c r="A304" t="s">
        <v>2103</v>
      </c>
      <c r="B304" t="s">
        <v>1508</v>
      </c>
      <c r="C304" s="121">
        <v>3990</v>
      </c>
      <c r="D304" s="72">
        <v>2</v>
      </c>
      <c r="E304">
        <v>0</v>
      </c>
      <c r="F304">
        <v>12</v>
      </c>
      <c r="G304">
        <v>7</v>
      </c>
      <c r="H304">
        <v>0</v>
      </c>
      <c r="I304" s="173">
        <v>0.9</v>
      </c>
      <c r="J304" s="121">
        <v>16886869</v>
      </c>
      <c r="K304" s="125">
        <v>204.74700000000001</v>
      </c>
      <c r="L304" s="173">
        <v>1.23</v>
      </c>
      <c r="M304">
        <v>0.9</v>
      </c>
      <c r="N304">
        <v>0.82000000409999996</v>
      </c>
      <c r="O304">
        <v>7.9999995900000069</v>
      </c>
      <c r="P304">
        <v>136</v>
      </c>
      <c r="Q304" s="125">
        <v>0</v>
      </c>
      <c r="R304" s="125">
        <v>0</v>
      </c>
      <c r="S304" s="125">
        <v>0.18</v>
      </c>
      <c r="T304" s="125">
        <v>0.59799999999999998</v>
      </c>
      <c r="U304" s="125">
        <v>0</v>
      </c>
      <c r="V304" s="125">
        <v>0</v>
      </c>
      <c r="W304" s="125">
        <v>0</v>
      </c>
      <c r="X304" s="125">
        <v>0</v>
      </c>
      <c r="Y304" s="125">
        <v>0</v>
      </c>
      <c r="Z304" s="125">
        <v>0</v>
      </c>
      <c r="AA304" s="125">
        <v>3</v>
      </c>
      <c r="AB304" s="125">
        <v>0</v>
      </c>
      <c r="AC304" s="125">
        <v>22</v>
      </c>
      <c r="AD304" s="125">
        <v>0</v>
      </c>
      <c r="AE304" s="125">
        <v>3</v>
      </c>
      <c r="AF304" s="125">
        <v>6.8</v>
      </c>
      <c r="AG304" s="125">
        <v>0</v>
      </c>
      <c r="AH304" s="125">
        <v>0</v>
      </c>
      <c r="AI304" s="121">
        <v>123488</v>
      </c>
      <c r="AJ304" s="121">
        <v>0</v>
      </c>
      <c r="AK304" s="424">
        <v>8</v>
      </c>
      <c r="AL304">
        <v>0</v>
      </c>
      <c r="AM304" s="121">
        <v>0</v>
      </c>
      <c r="AN304" s="125">
        <v>0</v>
      </c>
      <c r="AO304" s="125">
        <v>0</v>
      </c>
      <c r="AP304" s="121">
        <v>123488</v>
      </c>
      <c r="AQ304" s="114">
        <v>0</v>
      </c>
      <c r="AR304" s="121">
        <v>11.256102917</v>
      </c>
      <c r="AS304" s="121">
        <v>2211.8595700999999</v>
      </c>
      <c r="AT304" s="121">
        <v>291.30091353</v>
      </c>
      <c r="AU304" s="420" t="s">
        <v>2001</v>
      </c>
      <c r="AV304" s="420" t="s">
        <v>2001</v>
      </c>
      <c r="AW304" s="121">
        <v>0</v>
      </c>
      <c r="AX304" s="121">
        <v>0</v>
      </c>
      <c r="BI304">
        <v>0</v>
      </c>
      <c r="BJ304" s="121">
        <v>0</v>
      </c>
      <c r="BK304" s="134">
        <v>16886869</v>
      </c>
      <c r="BL304" s="934">
        <v>3932</v>
      </c>
      <c r="BM304" s="934">
        <v>3990</v>
      </c>
      <c r="BN304" s="934">
        <v>3937</v>
      </c>
      <c r="BO304" s="134">
        <v>10800</v>
      </c>
      <c r="BP304" s="134">
        <v>13200</v>
      </c>
    </row>
    <row r="305" spans="1:68">
      <c r="A305" t="s">
        <v>230</v>
      </c>
      <c r="B305" t="s">
        <v>2257</v>
      </c>
      <c r="C305" s="121">
        <v>4321</v>
      </c>
      <c r="D305" s="72">
        <v>2</v>
      </c>
      <c r="E305">
        <v>279.84899999999999</v>
      </c>
      <c r="F305">
        <v>73</v>
      </c>
      <c r="G305">
        <v>65</v>
      </c>
      <c r="H305">
        <v>9</v>
      </c>
      <c r="I305" s="173">
        <v>0.74060000000000004</v>
      </c>
      <c r="J305" s="121">
        <v>112099075</v>
      </c>
      <c r="K305" s="125">
        <v>1426.011</v>
      </c>
      <c r="L305" s="173">
        <v>1.0054000000000001</v>
      </c>
      <c r="M305">
        <v>0.74060000000000004</v>
      </c>
      <c r="N305">
        <v>0.67026667001800011</v>
      </c>
      <c r="O305">
        <v>7.0333329981999926</v>
      </c>
      <c r="P305">
        <v>754.36500000000001</v>
      </c>
      <c r="Q305" s="125">
        <v>0</v>
      </c>
      <c r="R305" s="125">
        <v>0</v>
      </c>
      <c r="S305" s="125">
        <v>2.5430000000000001</v>
      </c>
      <c r="T305" s="125">
        <v>21.338999999999999</v>
      </c>
      <c r="U305" s="125">
        <v>7.2169999999999996</v>
      </c>
      <c r="V305" s="125">
        <v>0.67</v>
      </c>
      <c r="W305" s="125">
        <v>6.8630000000000004</v>
      </c>
      <c r="X305" s="125">
        <v>0</v>
      </c>
      <c r="Y305" s="125">
        <v>0</v>
      </c>
      <c r="Z305" s="125">
        <v>0</v>
      </c>
      <c r="AA305" s="125">
        <v>46.234000000000002</v>
      </c>
      <c r="AB305" s="125">
        <v>60.253</v>
      </c>
      <c r="AC305" s="125">
        <v>523.79999999999995</v>
      </c>
      <c r="AD305" s="125">
        <v>0.52900000000000003</v>
      </c>
      <c r="AE305" s="125">
        <v>27.385999999999999</v>
      </c>
      <c r="AF305" s="125">
        <v>37.718000000000004</v>
      </c>
      <c r="AG305" s="125">
        <v>0</v>
      </c>
      <c r="AH305" s="125">
        <v>0</v>
      </c>
      <c r="AI305" s="121">
        <v>828130</v>
      </c>
      <c r="AJ305" s="121">
        <v>0</v>
      </c>
      <c r="AK305" s="424">
        <v>12</v>
      </c>
      <c r="AL305">
        <v>0</v>
      </c>
      <c r="AM305" s="121">
        <v>117818</v>
      </c>
      <c r="AN305" s="125">
        <v>0</v>
      </c>
      <c r="AO305" s="125">
        <v>0</v>
      </c>
      <c r="AP305" s="121">
        <v>828130</v>
      </c>
      <c r="AQ305" s="114">
        <v>0</v>
      </c>
      <c r="AR305" s="121">
        <v>74.720703118000003</v>
      </c>
      <c r="AS305" s="121">
        <v>14682.852803</v>
      </c>
      <c r="AT305" s="121">
        <v>1933.72513</v>
      </c>
      <c r="AU305" s="420" t="s">
        <v>2001</v>
      </c>
      <c r="AV305" s="420" t="s">
        <v>2001</v>
      </c>
      <c r="AW305" s="121">
        <v>0</v>
      </c>
      <c r="AX305" s="121">
        <v>0</v>
      </c>
      <c r="BI305">
        <v>0</v>
      </c>
      <c r="BJ305" s="121">
        <v>0</v>
      </c>
      <c r="BK305" s="134">
        <v>112099075</v>
      </c>
      <c r="BL305" s="934">
        <v>4251</v>
      </c>
      <c r="BM305" s="934">
        <v>4321</v>
      </c>
      <c r="BN305" s="934">
        <v>4317</v>
      </c>
      <c r="BO305" s="114">
        <v>0</v>
      </c>
      <c r="BP305" s="114">
        <v>0</v>
      </c>
    </row>
    <row r="306" spans="1:68">
      <c r="A306" t="s">
        <v>231</v>
      </c>
      <c r="B306" t="s">
        <v>1</v>
      </c>
      <c r="C306" s="121">
        <v>4627</v>
      </c>
      <c r="D306" s="72">
        <v>2</v>
      </c>
      <c r="E306">
        <v>579.90300000000002</v>
      </c>
      <c r="F306">
        <v>156</v>
      </c>
      <c r="G306">
        <v>123</v>
      </c>
      <c r="H306">
        <v>17</v>
      </c>
      <c r="I306" s="173">
        <v>1.04</v>
      </c>
      <c r="J306" s="121">
        <v>460106719</v>
      </c>
      <c r="K306" s="125">
        <v>2767.2049999999999</v>
      </c>
      <c r="L306" s="173">
        <v>1.5</v>
      </c>
      <c r="M306">
        <v>1.04</v>
      </c>
      <c r="N306">
        <v>1.000000005</v>
      </c>
      <c r="O306">
        <v>3.9999995000000066</v>
      </c>
      <c r="P306">
        <v>1894.6780000000001</v>
      </c>
      <c r="Q306" s="125">
        <v>0.30199999999999999</v>
      </c>
      <c r="R306" s="125">
        <v>0</v>
      </c>
      <c r="S306" s="125">
        <v>4.8440000000000003</v>
      </c>
      <c r="T306" s="125">
        <v>89.272000000000006</v>
      </c>
      <c r="U306" s="125">
        <v>9.5739999999999998</v>
      </c>
      <c r="V306" s="125">
        <v>9.6669999999999998</v>
      </c>
      <c r="W306" s="125">
        <v>8.7330000000000005</v>
      </c>
      <c r="X306" s="125">
        <v>0</v>
      </c>
      <c r="Y306" s="125">
        <v>0</v>
      </c>
      <c r="Z306" s="125">
        <v>0</v>
      </c>
      <c r="AA306" s="125">
        <v>3.8730000000000002</v>
      </c>
      <c r="AB306" s="125">
        <v>117.497</v>
      </c>
      <c r="AC306" s="125">
        <v>1300</v>
      </c>
      <c r="AD306" s="125">
        <v>0.47</v>
      </c>
      <c r="AE306" s="125">
        <v>113.512</v>
      </c>
      <c r="AF306" s="125">
        <v>94.733900000000006</v>
      </c>
      <c r="AG306" s="125">
        <v>0</v>
      </c>
      <c r="AH306" s="125">
        <v>0</v>
      </c>
      <c r="AI306" s="121">
        <v>4591240</v>
      </c>
      <c r="AJ306" s="121">
        <v>348414</v>
      </c>
      <c r="AK306" s="424">
        <v>12</v>
      </c>
      <c r="AL306">
        <v>0</v>
      </c>
      <c r="AM306" s="121">
        <v>198452</v>
      </c>
      <c r="AN306" s="125">
        <v>0</v>
      </c>
      <c r="AO306" s="125">
        <v>0</v>
      </c>
      <c r="AP306" s="121">
        <v>4939654</v>
      </c>
      <c r="AQ306" s="114">
        <v>0</v>
      </c>
      <c r="AR306" s="121">
        <v>306.68850356000002</v>
      </c>
      <c r="AS306" s="121">
        <v>60265.254024000002</v>
      </c>
      <c r="AT306" s="121">
        <v>7936.9069305000003</v>
      </c>
      <c r="AU306" s="420" t="s">
        <v>2001</v>
      </c>
      <c r="AV306" s="420" t="s">
        <v>2001</v>
      </c>
      <c r="AW306" s="121">
        <v>0</v>
      </c>
      <c r="AX306" s="121">
        <v>535200</v>
      </c>
      <c r="BI306">
        <v>0</v>
      </c>
      <c r="BJ306" s="121">
        <v>0</v>
      </c>
      <c r="BK306" s="134">
        <v>447280068</v>
      </c>
      <c r="BL306" s="934">
        <v>4571</v>
      </c>
      <c r="BM306" s="934">
        <v>4627</v>
      </c>
      <c r="BN306" s="934">
        <v>4627</v>
      </c>
      <c r="BO306" s="114">
        <v>0</v>
      </c>
      <c r="BP306" s="114">
        <v>0</v>
      </c>
    </row>
    <row r="307" spans="1:68">
      <c r="A307" t="s">
        <v>1401</v>
      </c>
      <c r="B307" t="s">
        <v>2495</v>
      </c>
      <c r="C307" s="121">
        <v>4536</v>
      </c>
      <c r="D307" s="72">
        <v>2</v>
      </c>
      <c r="E307">
        <v>65.427999999999997</v>
      </c>
      <c r="F307">
        <v>27</v>
      </c>
      <c r="G307">
        <v>12</v>
      </c>
      <c r="H307">
        <v>0</v>
      </c>
      <c r="I307" s="173">
        <v>1.04</v>
      </c>
      <c r="J307" s="121">
        <v>31111667</v>
      </c>
      <c r="K307" s="125">
        <v>492.84399999999999</v>
      </c>
      <c r="L307" s="173">
        <v>1.5</v>
      </c>
      <c r="M307">
        <v>1.04</v>
      </c>
      <c r="N307">
        <v>1.000000005</v>
      </c>
      <c r="O307">
        <v>3.9999995000000066</v>
      </c>
      <c r="P307">
        <v>291.07600000000002</v>
      </c>
      <c r="Q307" s="125">
        <v>0</v>
      </c>
      <c r="R307" s="125">
        <v>0</v>
      </c>
      <c r="S307" s="125">
        <v>0.65600000000000003</v>
      </c>
      <c r="T307" s="125">
        <v>12.247999999999999</v>
      </c>
      <c r="U307" s="125">
        <v>1.083</v>
      </c>
      <c r="V307" s="125">
        <v>0</v>
      </c>
      <c r="W307" s="125">
        <v>0.35299999999999998</v>
      </c>
      <c r="X307" s="125">
        <v>0</v>
      </c>
      <c r="Y307" s="125">
        <v>0</v>
      </c>
      <c r="Z307" s="125">
        <v>0</v>
      </c>
      <c r="AA307" s="125">
        <v>0</v>
      </c>
      <c r="AB307" s="125">
        <v>18.783999999999999</v>
      </c>
      <c r="AC307" s="125">
        <v>148.1</v>
      </c>
      <c r="AD307" s="125">
        <v>0</v>
      </c>
      <c r="AE307" s="125">
        <v>0.75700000000000001</v>
      </c>
      <c r="AF307" s="125">
        <v>14.553800000000001</v>
      </c>
      <c r="AG307" s="125">
        <v>0</v>
      </c>
      <c r="AH307" s="125">
        <v>0</v>
      </c>
      <c r="AI307" s="121">
        <v>329547</v>
      </c>
      <c r="AJ307" s="121">
        <v>20040</v>
      </c>
      <c r="AK307" s="424">
        <v>12</v>
      </c>
      <c r="AL307">
        <v>0</v>
      </c>
      <c r="AM307" s="121">
        <v>21022</v>
      </c>
      <c r="AN307" s="125">
        <v>0</v>
      </c>
      <c r="AO307" s="125">
        <v>0</v>
      </c>
      <c r="AP307" s="121">
        <v>349587</v>
      </c>
      <c r="AQ307" s="114">
        <v>0</v>
      </c>
      <c r="AR307" s="121">
        <v>20.737777126000001</v>
      </c>
      <c r="AS307" s="121">
        <v>4075.0383268</v>
      </c>
      <c r="AT307" s="121">
        <v>536.68072028999995</v>
      </c>
      <c r="AU307" s="420" t="s">
        <v>2001</v>
      </c>
      <c r="AV307" s="420" t="s">
        <v>2001</v>
      </c>
      <c r="AW307" s="121">
        <v>0</v>
      </c>
      <c r="AX307" s="121">
        <v>101888</v>
      </c>
      <c r="BI307">
        <v>0</v>
      </c>
      <c r="BJ307" s="121">
        <v>0</v>
      </c>
      <c r="BK307" s="134">
        <v>31111667</v>
      </c>
      <c r="BL307" s="934">
        <v>4299</v>
      </c>
      <c r="BM307" s="934">
        <v>4536</v>
      </c>
      <c r="BN307" s="934">
        <v>4454</v>
      </c>
      <c r="BO307" s="114">
        <v>0</v>
      </c>
      <c r="BP307" s="114">
        <v>0</v>
      </c>
    </row>
    <row r="308" spans="1:68">
      <c r="A308" t="s">
        <v>820</v>
      </c>
      <c r="B308" t="s">
        <v>1216</v>
      </c>
      <c r="C308" s="121">
        <v>4602</v>
      </c>
      <c r="D308" s="72">
        <v>2</v>
      </c>
      <c r="E308">
        <v>81.825000000000003</v>
      </c>
      <c r="F308">
        <v>26</v>
      </c>
      <c r="G308">
        <v>18</v>
      </c>
      <c r="H308">
        <v>1</v>
      </c>
      <c r="I308" s="173">
        <v>1.04</v>
      </c>
      <c r="J308" s="121">
        <v>29715898</v>
      </c>
      <c r="K308" s="125">
        <v>478.62700000000001</v>
      </c>
      <c r="L308" s="173">
        <v>1.5</v>
      </c>
      <c r="M308">
        <v>1.04</v>
      </c>
      <c r="N308">
        <v>1.000000005</v>
      </c>
      <c r="O308">
        <v>3.9999995000000066</v>
      </c>
      <c r="P308">
        <v>277.03899999999999</v>
      </c>
      <c r="Q308" s="125">
        <v>0</v>
      </c>
      <c r="R308" s="125">
        <v>0</v>
      </c>
      <c r="S308" s="125">
        <v>0.69699999999999995</v>
      </c>
      <c r="T308" s="125">
        <v>13.785</v>
      </c>
      <c r="U308" s="125">
        <v>2.5529999999999999</v>
      </c>
      <c r="V308" s="125">
        <v>0</v>
      </c>
      <c r="W308" s="125">
        <v>0</v>
      </c>
      <c r="X308" s="125">
        <v>0</v>
      </c>
      <c r="Y308" s="125">
        <v>0</v>
      </c>
      <c r="Z308" s="125">
        <v>0</v>
      </c>
      <c r="AA308" s="125">
        <v>2.5270000000000001</v>
      </c>
      <c r="AB308" s="125">
        <v>14.042999999999999</v>
      </c>
      <c r="AC308" s="125">
        <v>127.6</v>
      </c>
      <c r="AD308" s="125">
        <v>0.38800000000000001</v>
      </c>
      <c r="AE308" s="125">
        <v>6.35</v>
      </c>
      <c r="AF308" s="125">
        <v>13.85195</v>
      </c>
      <c r="AG308" s="125">
        <v>0</v>
      </c>
      <c r="AH308" s="125">
        <v>0</v>
      </c>
      <c r="AI308" s="121">
        <v>305069</v>
      </c>
      <c r="AJ308" s="121">
        <v>35878</v>
      </c>
      <c r="AK308" s="424">
        <v>12</v>
      </c>
      <c r="AL308">
        <v>0</v>
      </c>
      <c r="AM308" s="121">
        <v>11598</v>
      </c>
      <c r="AN308" s="125">
        <v>0</v>
      </c>
      <c r="AO308" s="125">
        <v>0</v>
      </c>
      <c r="AP308" s="121">
        <v>340947</v>
      </c>
      <c r="AQ308" s="114">
        <v>0</v>
      </c>
      <c r="AR308" s="121">
        <v>19.807413751999999</v>
      </c>
      <c r="AS308" s="121">
        <v>3892.2190022999998</v>
      </c>
      <c r="AT308" s="121">
        <v>512.60349723000002</v>
      </c>
      <c r="AU308" s="420" t="s">
        <v>2001</v>
      </c>
      <c r="AV308" s="420" t="s">
        <v>2001</v>
      </c>
      <c r="AW308" s="121">
        <v>0</v>
      </c>
      <c r="AX308" s="121">
        <v>190034</v>
      </c>
      <c r="BI308">
        <v>0</v>
      </c>
      <c r="BJ308" s="121">
        <v>0</v>
      </c>
      <c r="BK308" s="134">
        <v>28800760</v>
      </c>
      <c r="BL308" s="934">
        <v>4528</v>
      </c>
      <c r="BM308" s="934">
        <v>4602</v>
      </c>
      <c r="BN308" s="934">
        <v>4580</v>
      </c>
      <c r="BO308" s="114">
        <v>0</v>
      </c>
      <c r="BP308" s="114">
        <v>0</v>
      </c>
    </row>
    <row r="309" spans="1:68">
      <c r="A309" t="s">
        <v>232</v>
      </c>
      <c r="B309" t="s">
        <v>2</v>
      </c>
      <c r="C309" s="121">
        <v>4533</v>
      </c>
      <c r="D309" s="72">
        <v>2</v>
      </c>
      <c r="E309">
        <v>195.77099999999999</v>
      </c>
      <c r="F309">
        <v>68</v>
      </c>
      <c r="G309">
        <v>55</v>
      </c>
      <c r="H309">
        <v>5</v>
      </c>
      <c r="I309" s="173">
        <v>0.98699999999999999</v>
      </c>
      <c r="J309" s="121">
        <v>118141561</v>
      </c>
      <c r="K309" s="125">
        <v>1077.6279999999999</v>
      </c>
      <c r="L309" s="173">
        <v>1.421</v>
      </c>
      <c r="M309">
        <v>0.98699999999999999</v>
      </c>
      <c r="N309">
        <v>0.94733333807000009</v>
      </c>
      <c r="O309">
        <v>3.9666661929999902</v>
      </c>
      <c r="P309">
        <v>650</v>
      </c>
      <c r="Q309" s="125">
        <v>0.16700000000000001</v>
      </c>
      <c r="R309" s="125">
        <v>0</v>
      </c>
      <c r="S309" s="125">
        <v>1.4</v>
      </c>
      <c r="T309" s="125">
        <v>25.1</v>
      </c>
      <c r="U309" s="125">
        <v>1.835</v>
      </c>
      <c r="V309" s="125">
        <v>3.7</v>
      </c>
      <c r="W309" s="125">
        <v>8</v>
      </c>
      <c r="X309" s="125">
        <v>0</v>
      </c>
      <c r="Y309" s="125">
        <v>0</v>
      </c>
      <c r="Z309" s="125">
        <v>0</v>
      </c>
      <c r="AA309" s="125">
        <v>3.65</v>
      </c>
      <c r="AB309" s="125">
        <v>31.5</v>
      </c>
      <c r="AC309" s="125">
        <v>425</v>
      </c>
      <c r="AD309" s="125">
        <v>2</v>
      </c>
      <c r="AE309" s="125">
        <v>19.5</v>
      </c>
      <c r="AF309" s="125">
        <v>32.5</v>
      </c>
      <c r="AG309" s="125">
        <v>0</v>
      </c>
      <c r="AH309" s="125">
        <v>0</v>
      </c>
      <c r="AI309" s="121">
        <v>1142706</v>
      </c>
      <c r="AJ309" s="121">
        <v>106058</v>
      </c>
      <c r="AK309" s="424">
        <v>12</v>
      </c>
      <c r="AL309">
        <v>0</v>
      </c>
      <c r="AM309" s="121">
        <v>67219</v>
      </c>
      <c r="AN309" s="125">
        <v>0</v>
      </c>
      <c r="AO309" s="125">
        <v>0</v>
      </c>
      <c r="AP309" s="121">
        <v>1248764</v>
      </c>
      <c r="AQ309" s="114">
        <v>0</v>
      </c>
      <c r="AR309" s="121">
        <v>78.748379259999993</v>
      </c>
      <c r="AS309" s="121">
        <v>15474.303813</v>
      </c>
      <c r="AT309" s="121">
        <v>2037.9588730999999</v>
      </c>
      <c r="AU309" s="420" t="s">
        <v>2001</v>
      </c>
      <c r="AV309" s="420" t="s">
        <v>2001</v>
      </c>
      <c r="AW309" s="121">
        <v>0</v>
      </c>
      <c r="AX309" s="121">
        <v>622617</v>
      </c>
      <c r="BI309">
        <v>0</v>
      </c>
      <c r="BJ309" s="121">
        <v>0</v>
      </c>
      <c r="BK309" s="134">
        <v>112171330</v>
      </c>
      <c r="BL309" s="934">
        <v>4346</v>
      </c>
      <c r="BM309" s="934">
        <v>4533</v>
      </c>
      <c r="BN309" s="934">
        <v>4456</v>
      </c>
      <c r="BO309" s="114">
        <v>0</v>
      </c>
      <c r="BP309" s="114">
        <v>0</v>
      </c>
    </row>
    <row r="310" spans="1:68">
      <c r="A310" t="s">
        <v>233</v>
      </c>
      <c r="B310" t="s">
        <v>3</v>
      </c>
      <c r="C310" s="121">
        <v>4558</v>
      </c>
      <c r="D310" s="72">
        <v>3</v>
      </c>
      <c r="E310">
        <v>270.40699999999998</v>
      </c>
      <c r="F310">
        <v>66</v>
      </c>
      <c r="G310">
        <v>43</v>
      </c>
      <c r="H310">
        <v>2</v>
      </c>
      <c r="I310" s="173">
        <v>1.17</v>
      </c>
      <c r="J310" s="121">
        <v>111478423</v>
      </c>
      <c r="K310" s="125">
        <v>1248.046</v>
      </c>
      <c r="L310" s="173">
        <v>1.4141999999999999</v>
      </c>
      <c r="M310">
        <v>1.17</v>
      </c>
      <c r="N310">
        <v>0.94280000471399994</v>
      </c>
      <c r="O310">
        <v>22.719999528599999</v>
      </c>
      <c r="P310">
        <v>774.00599999999997</v>
      </c>
      <c r="Q310" s="125">
        <v>0</v>
      </c>
      <c r="R310" s="125">
        <v>0</v>
      </c>
      <c r="S310" s="125">
        <v>1.974</v>
      </c>
      <c r="T310" s="125">
        <v>38.070999999999998</v>
      </c>
      <c r="U310" s="125">
        <v>1.8180000000000001</v>
      </c>
      <c r="V310" s="125">
        <v>1.798</v>
      </c>
      <c r="W310" s="125">
        <v>15.834</v>
      </c>
      <c r="X310" s="125">
        <v>0</v>
      </c>
      <c r="Y310" s="125">
        <v>0</v>
      </c>
      <c r="Z310" s="125">
        <v>0</v>
      </c>
      <c r="AA310" s="125">
        <v>4.45</v>
      </c>
      <c r="AB310" s="125">
        <v>23.195</v>
      </c>
      <c r="AC310" s="125">
        <v>426.1</v>
      </c>
      <c r="AD310" s="125">
        <v>0.56599999999999995</v>
      </c>
      <c r="AE310" s="125">
        <v>28.878</v>
      </c>
      <c r="AF310" s="125">
        <v>38.700000000000003</v>
      </c>
      <c r="AG310" s="125">
        <v>0</v>
      </c>
      <c r="AH310" s="125">
        <v>0</v>
      </c>
      <c r="AI310" s="121">
        <v>1367896</v>
      </c>
      <c r="AJ310" s="121">
        <v>104426</v>
      </c>
      <c r="AK310" s="424">
        <v>12</v>
      </c>
      <c r="AL310">
        <v>0</v>
      </c>
      <c r="AM310" s="121">
        <v>45990</v>
      </c>
      <c r="AN310" s="125">
        <v>0</v>
      </c>
      <c r="AO310" s="125">
        <v>0</v>
      </c>
      <c r="AP310" s="121">
        <v>1472322</v>
      </c>
      <c r="AQ310" s="114">
        <v>0</v>
      </c>
      <c r="AR310" s="121">
        <v>74.307001568999993</v>
      </c>
      <c r="AS310" s="121">
        <v>14601.559149999999</v>
      </c>
      <c r="AT310" s="121">
        <v>1923.0187923000001</v>
      </c>
      <c r="AU310" s="420" t="s">
        <v>2001</v>
      </c>
      <c r="AV310" s="420" t="s">
        <v>2001</v>
      </c>
      <c r="AW310" s="121">
        <v>0</v>
      </c>
      <c r="AX310" s="121">
        <v>293919</v>
      </c>
      <c r="BI310">
        <v>0</v>
      </c>
      <c r="BJ310" s="121">
        <v>0</v>
      </c>
      <c r="BK310" s="134">
        <v>111346876</v>
      </c>
      <c r="BL310" s="934">
        <v>4490</v>
      </c>
      <c r="BM310" s="934">
        <v>4520</v>
      </c>
      <c r="BN310" s="934">
        <v>4558</v>
      </c>
      <c r="BO310" s="114">
        <v>0</v>
      </c>
      <c r="BP310" s="114">
        <v>0</v>
      </c>
    </row>
    <row r="311" spans="1:68">
      <c r="A311" t="s">
        <v>1960</v>
      </c>
      <c r="B311" t="s">
        <v>4</v>
      </c>
      <c r="C311" s="121">
        <v>4554</v>
      </c>
      <c r="D311" s="72">
        <v>2</v>
      </c>
      <c r="E311">
        <v>99.793999999999997</v>
      </c>
      <c r="F311">
        <v>28</v>
      </c>
      <c r="G311">
        <v>22</v>
      </c>
      <c r="H311">
        <v>1</v>
      </c>
      <c r="I311" s="173">
        <v>1.04</v>
      </c>
      <c r="J311" s="121">
        <v>81127783</v>
      </c>
      <c r="K311" s="125">
        <v>491.66199999999998</v>
      </c>
      <c r="L311" s="173">
        <v>1.5</v>
      </c>
      <c r="M311">
        <v>1.04</v>
      </c>
      <c r="N311">
        <v>1.000000005</v>
      </c>
      <c r="O311">
        <v>3.9999995000000066</v>
      </c>
      <c r="P311">
        <v>270.38799999999998</v>
      </c>
      <c r="Q311" s="125">
        <v>0</v>
      </c>
      <c r="R311" s="125">
        <v>0</v>
      </c>
      <c r="S311" s="125">
        <v>0.66700000000000004</v>
      </c>
      <c r="T311" s="125">
        <v>20.033000000000001</v>
      </c>
      <c r="U311" s="125">
        <v>0.34100000000000003</v>
      </c>
      <c r="V311" s="125">
        <v>5.7000000000000002E-2</v>
      </c>
      <c r="W311" s="125">
        <v>3.714</v>
      </c>
      <c r="X311" s="125">
        <v>0</v>
      </c>
      <c r="Y311" s="125">
        <v>0</v>
      </c>
      <c r="Z311" s="125">
        <v>0</v>
      </c>
      <c r="AA311" s="125">
        <v>0.222</v>
      </c>
      <c r="AB311" s="125">
        <v>11.134</v>
      </c>
      <c r="AC311" s="125">
        <v>172.2</v>
      </c>
      <c r="AD311" s="125">
        <v>0</v>
      </c>
      <c r="AE311" s="125">
        <v>0</v>
      </c>
      <c r="AF311" s="125">
        <v>13.519</v>
      </c>
      <c r="AG311" s="125">
        <v>0</v>
      </c>
      <c r="AH311" s="125">
        <v>0</v>
      </c>
      <c r="AI311" s="121">
        <v>859338</v>
      </c>
      <c r="AJ311" s="121">
        <v>164015</v>
      </c>
      <c r="AK311" s="424">
        <v>12</v>
      </c>
      <c r="AL311">
        <v>0</v>
      </c>
      <c r="AM311" s="121">
        <v>19618</v>
      </c>
      <c r="AN311" s="125">
        <v>0</v>
      </c>
      <c r="AO311" s="125">
        <v>0</v>
      </c>
      <c r="AP311" s="121">
        <v>1023353</v>
      </c>
      <c r="AQ311" s="114">
        <v>0</v>
      </c>
      <c r="AR311" s="121">
        <v>54.076494281000002</v>
      </c>
      <c r="AS311" s="121">
        <v>10626.200939</v>
      </c>
      <c r="AT311" s="121">
        <v>1399.4658985999999</v>
      </c>
      <c r="AU311" s="420" t="s">
        <v>2001</v>
      </c>
      <c r="AV311" s="420" t="s">
        <v>2001</v>
      </c>
      <c r="AW311" s="121">
        <v>0</v>
      </c>
      <c r="AX311" s="121">
        <v>258148</v>
      </c>
      <c r="BI311">
        <v>0</v>
      </c>
      <c r="BJ311" s="121">
        <v>0</v>
      </c>
      <c r="BK311" s="134">
        <v>81127783</v>
      </c>
      <c r="BL311" s="934">
        <v>3840</v>
      </c>
      <c r="BM311" s="934">
        <v>4554</v>
      </c>
      <c r="BN311" s="934">
        <v>4375</v>
      </c>
      <c r="BO311" s="114">
        <v>0</v>
      </c>
      <c r="BP311" s="114">
        <v>0</v>
      </c>
    </row>
    <row r="312" spans="1:68">
      <c r="A312" t="s">
        <v>1961</v>
      </c>
      <c r="B312" t="s">
        <v>5</v>
      </c>
      <c r="C312" s="121">
        <v>4625</v>
      </c>
      <c r="D312" s="72">
        <v>2</v>
      </c>
      <c r="E312">
        <v>168.38499999999999</v>
      </c>
      <c r="F312">
        <v>52</v>
      </c>
      <c r="G312">
        <v>32</v>
      </c>
      <c r="H312">
        <v>2</v>
      </c>
      <c r="I312" s="173">
        <v>1.04</v>
      </c>
      <c r="J312" s="121">
        <v>116704900</v>
      </c>
      <c r="K312" s="125">
        <v>897.37599999999998</v>
      </c>
      <c r="L312" s="173">
        <v>1.39</v>
      </c>
      <c r="M312">
        <v>1.04</v>
      </c>
      <c r="N312">
        <v>0.92666667129999991</v>
      </c>
      <c r="O312">
        <v>11.333332870000012</v>
      </c>
      <c r="P312">
        <v>551.25099999999998</v>
      </c>
      <c r="Q312" s="125">
        <v>0</v>
      </c>
      <c r="R312" s="125">
        <v>0</v>
      </c>
      <c r="S312" s="125">
        <v>1.0960000000000001</v>
      </c>
      <c r="T312" s="125">
        <v>30.29</v>
      </c>
      <c r="U312" s="125">
        <v>1.456</v>
      </c>
      <c r="V312" s="125">
        <v>0.748</v>
      </c>
      <c r="W312" s="125">
        <v>1.8140000000000001</v>
      </c>
      <c r="X312" s="125">
        <v>0</v>
      </c>
      <c r="Y312" s="125">
        <v>0</v>
      </c>
      <c r="Z312" s="125">
        <v>0</v>
      </c>
      <c r="AA312" s="125">
        <v>1.748</v>
      </c>
      <c r="AB312" s="125">
        <v>23.154</v>
      </c>
      <c r="AC312" s="125">
        <v>253.1</v>
      </c>
      <c r="AD312" s="125">
        <v>4.9000000000000002E-2</v>
      </c>
      <c r="AE312" s="125">
        <v>13.173</v>
      </c>
      <c r="AF312" s="125">
        <v>27.562550000000002</v>
      </c>
      <c r="AG312" s="125">
        <v>0</v>
      </c>
      <c r="AH312" s="125">
        <v>0</v>
      </c>
      <c r="AI312" s="121">
        <v>1274418</v>
      </c>
      <c r="AJ312" s="121">
        <v>159458</v>
      </c>
      <c r="AK312" s="424">
        <v>12</v>
      </c>
      <c r="AL312">
        <v>0</v>
      </c>
      <c r="AM312" s="121">
        <v>47489</v>
      </c>
      <c r="AN312" s="125">
        <v>0</v>
      </c>
      <c r="AO312" s="125">
        <v>0</v>
      </c>
      <c r="AP312" s="121">
        <v>1433876</v>
      </c>
      <c r="AQ312" s="114">
        <v>0</v>
      </c>
      <c r="AR312" s="121">
        <v>77.790759516999998</v>
      </c>
      <c r="AS312" s="121">
        <v>15286.128526</v>
      </c>
      <c r="AT312" s="121">
        <v>2013.1762722000001</v>
      </c>
      <c r="AU312" s="420" t="s">
        <v>2001</v>
      </c>
      <c r="AV312" s="420" t="s">
        <v>2001</v>
      </c>
      <c r="AW312" s="121">
        <v>0</v>
      </c>
      <c r="AX312" s="121">
        <v>293444</v>
      </c>
      <c r="BI312">
        <v>0</v>
      </c>
      <c r="BJ312" s="121">
        <v>0</v>
      </c>
      <c r="BK312" s="134">
        <v>116704900</v>
      </c>
      <c r="BL312" s="934">
        <v>4496</v>
      </c>
      <c r="BM312" s="934">
        <v>4625</v>
      </c>
      <c r="BN312" s="934">
        <v>4571</v>
      </c>
      <c r="BO312" s="114">
        <v>0</v>
      </c>
      <c r="BP312" s="114">
        <v>0</v>
      </c>
    </row>
    <row r="313" spans="1:68">
      <c r="A313" t="s">
        <v>1402</v>
      </c>
      <c r="B313" t="s">
        <v>2306</v>
      </c>
      <c r="C313" s="121">
        <v>4569</v>
      </c>
      <c r="D313" s="72">
        <v>2</v>
      </c>
      <c r="E313">
        <v>134.08799999999999</v>
      </c>
      <c r="F313">
        <v>40</v>
      </c>
      <c r="G313">
        <v>15</v>
      </c>
      <c r="H313">
        <v>2</v>
      </c>
      <c r="I313" s="173">
        <v>1.17</v>
      </c>
      <c r="J313" s="121">
        <v>76585692</v>
      </c>
      <c r="K313" s="125">
        <v>737.48400000000004</v>
      </c>
      <c r="L313" s="173">
        <v>1.4179999999999999</v>
      </c>
      <c r="M313">
        <v>1.17</v>
      </c>
      <c r="N313">
        <v>0.94533333805999997</v>
      </c>
      <c r="O313">
        <v>22.466666193999995</v>
      </c>
      <c r="P313">
        <v>445.08300000000003</v>
      </c>
      <c r="Q313" s="125">
        <v>0</v>
      </c>
      <c r="R313" s="125">
        <v>0</v>
      </c>
      <c r="S313" s="125">
        <v>0.71799999999999997</v>
      </c>
      <c r="T313" s="125">
        <v>21.641999999999999</v>
      </c>
      <c r="U313" s="125">
        <v>0</v>
      </c>
      <c r="V313" s="125">
        <v>3.0019999999999998</v>
      </c>
      <c r="W313" s="125">
        <v>0.69</v>
      </c>
      <c r="X313" s="125">
        <v>0</v>
      </c>
      <c r="Y313" s="125">
        <v>0</v>
      </c>
      <c r="Z313" s="125">
        <v>0</v>
      </c>
      <c r="AA313" s="125">
        <v>0.53700000000000003</v>
      </c>
      <c r="AB313" s="125">
        <v>28.521000000000001</v>
      </c>
      <c r="AC313" s="125">
        <v>218.4</v>
      </c>
      <c r="AD313" s="125">
        <v>0</v>
      </c>
      <c r="AE313" s="125">
        <v>4.16</v>
      </c>
      <c r="AF313" s="125">
        <v>21.84</v>
      </c>
      <c r="AG313" s="125">
        <v>0</v>
      </c>
      <c r="AH313" s="125">
        <v>0</v>
      </c>
      <c r="AI313" s="121">
        <v>864796</v>
      </c>
      <c r="AJ313" s="121">
        <v>51744</v>
      </c>
      <c r="AK313" s="424">
        <v>12</v>
      </c>
      <c r="AL313">
        <v>0</v>
      </c>
      <c r="AM313" s="121">
        <v>73873</v>
      </c>
      <c r="AN313" s="125">
        <v>0</v>
      </c>
      <c r="AO313" s="125">
        <v>0</v>
      </c>
      <c r="AP313" s="121">
        <v>916540</v>
      </c>
      <c r="AQ313" s="114">
        <v>0</v>
      </c>
      <c r="AR313" s="121">
        <v>51.048920342000002</v>
      </c>
      <c r="AS313" s="121">
        <v>10031.273153</v>
      </c>
      <c r="AT313" s="121">
        <v>1321.114176</v>
      </c>
      <c r="AU313" s="420" t="s">
        <v>2001</v>
      </c>
      <c r="AV313" s="420" t="s">
        <v>2001</v>
      </c>
      <c r="AW313" s="121">
        <v>0</v>
      </c>
      <c r="AX313" s="121">
        <v>46975</v>
      </c>
      <c r="BI313">
        <v>0</v>
      </c>
      <c r="BJ313" s="121">
        <v>0</v>
      </c>
      <c r="BK313" s="134">
        <v>70196481</v>
      </c>
      <c r="BL313" s="934">
        <v>4381</v>
      </c>
      <c r="BM313" s="934">
        <v>4569</v>
      </c>
      <c r="BN313" s="934">
        <v>4451</v>
      </c>
      <c r="BO313" s="114">
        <v>0</v>
      </c>
      <c r="BP313" s="114">
        <v>0</v>
      </c>
    </row>
    <row r="314" spans="1:68">
      <c r="A314" t="s">
        <v>2948</v>
      </c>
      <c r="B314" t="s">
        <v>502</v>
      </c>
      <c r="C314" s="121">
        <v>4725</v>
      </c>
      <c r="D314" s="72">
        <v>3</v>
      </c>
      <c r="E314">
        <v>159.167</v>
      </c>
      <c r="F314">
        <v>55</v>
      </c>
      <c r="G314">
        <v>39</v>
      </c>
      <c r="H314">
        <v>1</v>
      </c>
      <c r="I314" s="173">
        <v>1.17</v>
      </c>
      <c r="J314" s="121">
        <v>210608636</v>
      </c>
      <c r="K314" s="125">
        <v>843.05100000000004</v>
      </c>
      <c r="L314" s="173">
        <v>1.4224000000000001</v>
      </c>
      <c r="M314">
        <v>1.17</v>
      </c>
      <c r="N314">
        <v>0.94826667140800014</v>
      </c>
      <c r="O314">
        <v>22.173332859199981</v>
      </c>
      <c r="P314">
        <v>525</v>
      </c>
      <c r="Q314" s="125">
        <v>0</v>
      </c>
      <c r="R314" s="125">
        <v>0</v>
      </c>
      <c r="S314" s="125">
        <v>0.68200000000000005</v>
      </c>
      <c r="T314" s="125">
        <v>6.84</v>
      </c>
      <c r="U314" s="125">
        <v>3.2109999999999999</v>
      </c>
      <c r="V314" s="125">
        <v>0</v>
      </c>
      <c r="W314" s="125">
        <v>0</v>
      </c>
      <c r="X314" s="125">
        <v>0</v>
      </c>
      <c r="Y314" s="125">
        <v>0</v>
      </c>
      <c r="Z314" s="125">
        <v>0</v>
      </c>
      <c r="AA314" s="125">
        <v>22.22</v>
      </c>
      <c r="AB314" s="125">
        <v>15.326000000000001</v>
      </c>
      <c r="AC314" s="125">
        <v>304.89999999999998</v>
      </c>
      <c r="AD314" s="125">
        <v>0.14499999999999999</v>
      </c>
      <c r="AE314" s="125">
        <v>75.17</v>
      </c>
      <c r="AF314" s="125">
        <v>26.25</v>
      </c>
      <c r="AG314" s="125">
        <v>0</v>
      </c>
      <c r="AH314" s="125">
        <v>0</v>
      </c>
      <c r="AI314" s="121">
        <v>2509707</v>
      </c>
      <c r="AJ314" s="121">
        <v>180145</v>
      </c>
      <c r="AK314" s="424">
        <v>12</v>
      </c>
      <c r="AL314">
        <v>0</v>
      </c>
      <c r="AM314" s="121">
        <v>93914</v>
      </c>
      <c r="AN314" s="125">
        <v>0.66300000000000003</v>
      </c>
      <c r="AO314" s="125">
        <v>0</v>
      </c>
      <c r="AP314" s="121">
        <v>2689852</v>
      </c>
      <c r="AQ314" s="114">
        <v>0</v>
      </c>
      <c r="AR314" s="121">
        <v>140.38318661</v>
      </c>
      <c r="AS314" s="121">
        <v>27585.737004999999</v>
      </c>
      <c r="AT314" s="121">
        <v>3633.0291935</v>
      </c>
      <c r="AU314" s="420" t="s">
        <v>2001</v>
      </c>
      <c r="AV314" s="420" t="s">
        <v>2001</v>
      </c>
      <c r="AW314" s="121">
        <v>0</v>
      </c>
      <c r="AX314" s="121">
        <v>172222</v>
      </c>
      <c r="BI314">
        <v>0</v>
      </c>
      <c r="BJ314" s="121">
        <v>0</v>
      </c>
      <c r="BK314" s="134">
        <v>210608636</v>
      </c>
      <c r="BL314" s="934">
        <v>4534</v>
      </c>
      <c r="BM314" s="934">
        <v>4645</v>
      </c>
      <c r="BN314" s="934">
        <v>4725</v>
      </c>
      <c r="BO314" s="114">
        <v>0</v>
      </c>
      <c r="BP314" s="114">
        <v>0</v>
      </c>
    </row>
    <row r="315" spans="1:68">
      <c r="A315" t="s">
        <v>1911</v>
      </c>
      <c r="B315" t="s">
        <v>503</v>
      </c>
      <c r="C315" s="121">
        <v>5690</v>
      </c>
      <c r="D315" s="72">
        <v>2</v>
      </c>
      <c r="E315">
        <v>545.32500000000005</v>
      </c>
      <c r="F315">
        <v>153</v>
      </c>
      <c r="G315">
        <v>129</v>
      </c>
      <c r="H315">
        <v>3</v>
      </c>
      <c r="I315" s="173">
        <v>1.04</v>
      </c>
      <c r="J315" s="121">
        <v>875157286</v>
      </c>
      <c r="K315" s="125">
        <v>2294.0369999999998</v>
      </c>
      <c r="L315" s="173">
        <v>1.5</v>
      </c>
      <c r="M315">
        <v>1.04</v>
      </c>
      <c r="N315">
        <v>1.000000005</v>
      </c>
      <c r="O315">
        <v>3.9999995000000066</v>
      </c>
      <c r="P315">
        <v>1784.96</v>
      </c>
      <c r="Q315" s="125">
        <v>0.42</v>
      </c>
      <c r="R315" s="125">
        <v>0</v>
      </c>
      <c r="S315" s="125">
        <v>2.8</v>
      </c>
      <c r="T315" s="125">
        <v>77.55</v>
      </c>
      <c r="U315" s="125">
        <v>13.39</v>
      </c>
      <c r="V315" s="125">
        <v>1</v>
      </c>
      <c r="W315" s="125">
        <v>0</v>
      </c>
      <c r="X315" s="125">
        <v>0</v>
      </c>
      <c r="Y315" s="125">
        <v>0</v>
      </c>
      <c r="Z315" s="125">
        <v>0</v>
      </c>
      <c r="AA315" s="125">
        <v>6</v>
      </c>
      <c r="AB315" s="125">
        <v>79.739999999999995</v>
      </c>
      <c r="AC315" s="125">
        <v>875</v>
      </c>
      <c r="AD315" s="125">
        <v>0</v>
      </c>
      <c r="AE315" s="125">
        <v>119.18</v>
      </c>
      <c r="AF315" s="125">
        <v>89.248000000000005</v>
      </c>
      <c r="AG315" s="125">
        <v>0</v>
      </c>
      <c r="AH315" s="125">
        <v>0</v>
      </c>
      <c r="AI315" s="121">
        <v>9340626</v>
      </c>
      <c r="AJ315" s="121">
        <v>272050</v>
      </c>
      <c r="AK315" s="424">
        <v>12</v>
      </c>
      <c r="AL315">
        <v>0</v>
      </c>
      <c r="AM315" s="121">
        <v>198474</v>
      </c>
      <c r="AN315" s="125">
        <v>0</v>
      </c>
      <c r="AO315" s="125">
        <v>0</v>
      </c>
      <c r="AP315" s="121">
        <v>9612676</v>
      </c>
      <c r="AQ315" s="114">
        <v>0</v>
      </c>
      <c r="AR315" s="121">
        <v>0</v>
      </c>
      <c r="AS315" s="121">
        <v>0</v>
      </c>
      <c r="AT315" s="121">
        <v>0</v>
      </c>
      <c r="AU315" s="420" t="s">
        <v>798</v>
      </c>
      <c r="AV315" s="72" t="s">
        <v>798</v>
      </c>
      <c r="AW315" s="121">
        <v>0</v>
      </c>
      <c r="AX315" s="121">
        <v>544825</v>
      </c>
      <c r="AY315" s="134">
        <v>1616039</v>
      </c>
      <c r="AZ315" s="134">
        <v>5245316</v>
      </c>
      <c r="BA315" s="134">
        <v>2215</v>
      </c>
      <c r="BB315" s="134">
        <v>408542329</v>
      </c>
      <c r="BC315" s="114">
        <v>0</v>
      </c>
      <c r="BD315" s="114">
        <v>0</v>
      </c>
      <c r="BE315" s="114">
        <v>0</v>
      </c>
      <c r="BF315" s="134">
        <v>1904</v>
      </c>
      <c r="BG315" s="114">
        <v>0</v>
      </c>
      <c r="BH315" s="114">
        <v>0</v>
      </c>
      <c r="BI315">
        <v>0</v>
      </c>
      <c r="BJ315" s="121">
        <v>0</v>
      </c>
      <c r="BK315" s="134">
        <v>872825224</v>
      </c>
      <c r="BL315" s="934">
        <v>5292</v>
      </c>
      <c r="BM315" s="934">
        <v>5690</v>
      </c>
      <c r="BN315" s="934">
        <v>5614</v>
      </c>
      <c r="BO315" s="114">
        <v>0</v>
      </c>
      <c r="BP315" s="114">
        <v>0</v>
      </c>
    </row>
    <row r="316" spans="1:68">
      <c r="A316" t="s">
        <v>1912</v>
      </c>
      <c r="B316" t="s">
        <v>504</v>
      </c>
      <c r="C316" s="121">
        <v>4760</v>
      </c>
      <c r="D316" s="72">
        <v>3</v>
      </c>
      <c r="E316">
        <v>220.51400000000001</v>
      </c>
      <c r="F316">
        <v>67</v>
      </c>
      <c r="G316">
        <v>45</v>
      </c>
      <c r="H316">
        <v>3</v>
      </c>
      <c r="I316" s="173">
        <v>1.04</v>
      </c>
      <c r="J316" s="121">
        <v>295620679</v>
      </c>
      <c r="K316" s="125">
        <v>1151.5219999999999</v>
      </c>
      <c r="L316" s="173">
        <v>1.415</v>
      </c>
      <c r="M316">
        <v>1.04</v>
      </c>
      <c r="N316">
        <v>0.94333333805000008</v>
      </c>
      <c r="O316">
        <v>9.6666661949999959</v>
      </c>
      <c r="P316">
        <v>725</v>
      </c>
      <c r="Q316" s="125">
        <v>3.0000000000000001E-3</v>
      </c>
      <c r="R316" s="125">
        <v>0</v>
      </c>
      <c r="S316" s="125">
        <v>0.9</v>
      </c>
      <c r="T316" s="125">
        <v>24</v>
      </c>
      <c r="U316" s="125">
        <v>1.5</v>
      </c>
      <c r="V316" s="125">
        <v>0</v>
      </c>
      <c r="W316" s="125">
        <v>2.5</v>
      </c>
      <c r="X316" s="125">
        <v>0</v>
      </c>
      <c r="Y316" s="125">
        <v>0</v>
      </c>
      <c r="Z316" s="125">
        <v>3</v>
      </c>
      <c r="AA316" s="125">
        <v>14</v>
      </c>
      <c r="AB316" s="125">
        <v>42</v>
      </c>
      <c r="AC316" s="125">
        <v>400</v>
      </c>
      <c r="AD316" s="125">
        <v>0.12</v>
      </c>
      <c r="AE316" s="125">
        <v>49</v>
      </c>
      <c r="AF316" s="125">
        <v>35</v>
      </c>
      <c r="AG316" s="125">
        <v>0</v>
      </c>
      <c r="AH316" s="125">
        <v>0</v>
      </c>
      <c r="AI316" s="121">
        <v>3163614</v>
      </c>
      <c r="AJ316" s="121">
        <v>530049</v>
      </c>
      <c r="AK316" s="424">
        <v>12</v>
      </c>
      <c r="AL316">
        <v>0</v>
      </c>
      <c r="AM316" s="121">
        <v>79136</v>
      </c>
      <c r="AN316" s="125">
        <v>0</v>
      </c>
      <c r="AO316" s="125">
        <v>0</v>
      </c>
      <c r="AP316" s="121">
        <v>3693663</v>
      </c>
      <c r="AQ316" s="114">
        <v>0</v>
      </c>
      <c r="AR316" s="121">
        <v>197.04877128999999</v>
      </c>
      <c r="AS316" s="121">
        <v>38720.702337000002</v>
      </c>
      <c r="AT316" s="121">
        <v>5099.4991344999999</v>
      </c>
      <c r="AU316" s="420" t="s">
        <v>2001</v>
      </c>
      <c r="AV316" s="420" t="s">
        <v>2001</v>
      </c>
      <c r="AW316" s="121">
        <v>0</v>
      </c>
      <c r="AX316" s="121">
        <v>457788</v>
      </c>
      <c r="BI316">
        <v>0</v>
      </c>
      <c r="BJ316" s="121">
        <v>0</v>
      </c>
      <c r="BK316" s="134">
        <v>295620679</v>
      </c>
      <c r="BL316" s="934">
        <v>4568</v>
      </c>
      <c r="BM316" s="934">
        <v>4558</v>
      </c>
      <c r="BN316" s="934">
        <v>4760</v>
      </c>
      <c r="BO316" s="114">
        <v>0</v>
      </c>
      <c r="BP316" s="114">
        <v>0</v>
      </c>
    </row>
    <row r="317" spans="1:68">
      <c r="A317" t="s">
        <v>1037</v>
      </c>
      <c r="B317" t="s">
        <v>505</v>
      </c>
      <c r="C317" s="121">
        <v>5579</v>
      </c>
      <c r="D317" s="72">
        <v>1</v>
      </c>
      <c r="E317">
        <v>76.403000000000006</v>
      </c>
      <c r="F317">
        <v>20</v>
      </c>
      <c r="G317">
        <v>11</v>
      </c>
      <c r="H317">
        <v>3</v>
      </c>
      <c r="I317" s="173">
        <v>1.04</v>
      </c>
      <c r="J317" s="121">
        <v>161414388</v>
      </c>
      <c r="K317" s="125">
        <v>296.08</v>
      </c>
      <c r="L317" s="173">
        <v>1.5</v>
      </c>
      <c r="M317">
        <v>1.04</v>
      </c>
      <c r="N317">
        <v>1.000000005</v>
      </c>
      <c r="O317">
        <v>3.9999995000000066</v>
      </c>
      <c r="P317">
        <v>183.61500000000001</v>
      </c>
      <c r="Q317" s="125">
        <v>0</v>
      </c>
      <c r="R317" s="125">
        <v>0</v>
      </c>
      <c r="S317" s="125">
        <v>0.105</v>
      </c>
      <c r="T317" s="125">
        <v>5.617</v>
      </c>
      <c r="U317" s="125">
        <v>0.32100000000000001</v>
      </c>
      <c r="V317" s="125">
        <v>0</v>
      </c>
      <c r="W317" s="125">
        <v>2.1709999999999998</v>
      </c>
      <c r="X317" s="125">
        <v>0</v>
      </c>
      <c r="Y317" s="125">
        <v>0</v>
      </c>
      <c r="Z317" s="125">
        <v>0</v>
      </c>
      <c r="AA317" s="125">
        <v>2.6739999999999999</v>
      </c>
      <c r="AB317" s="125">
        <v>7.6890000000000001</v>
      </c>
      <c r="AC317" s="125">
        <v>38.5</v>
      </c>
      <c r="AD317" s="125">
        <v>0</v>
      </c>
      <c r="AE317" s="125">
        <v>3.1909999999999998</v>
      </c>
      <c r="AF317" s="125">
        <v>9.1807499999999997</v>
      </c>
      <c r="AG317" s="125">
        <v>0</v>
      </c>
      <c r="AH317" s="125">
        <v>0</v>
      </c>
      <c r="AI317" s="121">
        <v>1727392</v>
      </c>
      <c r="AJ317" s="121">
        <v>0</v>
      </c>
      <c r="AK317" s="424">
        <v>12</v>
      </c>
      <c r="AL317">
        <v>0</v>
      </c>
      <c r="AM317" s="121">
        <v>0</v>
      </c>
      <c r="AN317" s="125">
        <v>0</v>
      </c>
      <c r="AO317" s="125">
        <v>0</v>
      </c>
      <c r="AP317" s="121">
        <v>1727392</v>
      </c>
      <c r="AQ317" s="114">
        <v>0</v>
      </c>
      <c r="AR317" s="121">
        <v>0</v>
      </c>
      <c r="AS317" s="121">
        <v>0</v>
      </c>
      <c r="AT317" s="121">
        <v>0</v>
      </c>
      <c r="AU317" s="420" t="s">
        <v>798</v>
      </c>
      <c r="AV317" s="420" t="s">
        <v>2001</v>
      </c>
      <c r="AW317" s="121">
        <v>0</v>
      </c>
      <c r="AX317" s="121">
        <v>0</v>
      </c>
      <c r="AY317" s="134">
        <v>176308</v>
      </c>
      <c r="AZ317" s="134">
        <v>772119</v>
      </c>
      <c r="BA317" s="114">
        <v>305</v>
      </c>
      <c r="BB317" s="134">
        <v>44368711</v>
      </c>
      <c r="BC317" s="114">
        <v>0</v>
      </c>
      <c r="BD317" s="114">
        <v>0</v>
      </c>
      <c r="BE317" s="114">
        <v>0</v>
      </c>
      <c r="BF317" s="114">
        <v>205</v>
      </c>
      <c r="BG317" s="114">
        <v>0</v>
      </c>
      <c r="BH317" s="114">
        <v>0</v>
      </c>
      <c r="BI317">
        <v>0</v>
      </c>
      <c r="BJ317" s="121">
        <v>1147</v>
      </c>
      <c r="BK317" s="134">
        <v>161414388</v>
      </c>
      <c r="BL317" s="934">
        <v>5579</v>
      </c>
      <c r="BM317" s="934">
        <v>5469</v>
      </c>
      <c r="BN317" s="934">
        <v>5469</v>
      </c>
      <c r="BO317" s="114">
        <v>0</v>
      </c>
      <c r="BP317" s="114">
        <v>0</v>
      </c>
    </row>
    <row r="318" spans="1:68">
      <c r="A318" t="s">
        <v>73</v>
      </c>
      <c r="B318" t="s">
        <v>205</v>
      </c>
      <c r="C318" s="121">
        <v>5838</v>
      </c>
      <c r="D318" s="72">
        <v>3</v>
      </c>
      <c r="E318">
        <v>58.168999999999997</v>
      </c>
      <c r="F318">
        <v>25</v>
      </c>
      <c r="G318">
        <v>17</v>
      </c>
      <c r="H318">
        <v>2</v>
      </c>
      <c r="I318" s="173">
        <v>1.04</v>
      </c>
      <c r="J318" s="121">
        <v>319076461</v>
      </c>
      <c r="K318" s="125">
        <v>354.79300000000001</v>
      </c>
      <c r="L318" s="173">
        <v>1.5</v>
      </c>
      <c r="M318">
        <v>1.04</v>
      </c>
      <c r="N318">
        <v>1.000000005</v>
      </c>
      <c r="O318">
        <v>3.9999995000000066</v>
      </c>
      <c r="P318">
        <v>220.29900000000001</v>
      </c>
      <c r="Q318" s="125">
        <v>7.0000000000000001E-3</v>
      </c>
      <c r="R318" s="125">
        <v>0</v>
      </c>
      <c r="S318" s="125">
        <v>0.40799999999999997</v>
      </c>
      <c r="T318" s="125">
        <v>3.0790000000000002</v>
      </c>
      <c r="U318" s="125">
        <v>1.5629999999999999</v>
      </c>
      <c r="V318" s="125">
        <v>0</v>
      </c>
      <c r="W318" s="125">
        <v>0</v>
      </c>
      <c r="X318" s="125">
        <v>0</v>
      </c>
      <c r="Y318" s="125">
        <v>0</v>
      </c>
      <c r="Z318" s="125">
        <v>0</v>
      </c>
      <c r="AA318" s="125">
        <v>3.73</v>
      </c>
      <c r="AB318" s="125">
        <v>12.103999999999999</v>
      </c>
      <c r="AC318" s="125">
        <v>81.2</v>
      </c>
      <c r="AD318" s="125">
        <v>0</v>
      </c>
      <c r="AE318" s="125">
        <v>12.182</v>
      </c>
      <c r="AF318" s="125">
        <v>11.014950000000001</v>
      </c>
      <c r="AG318" s="125">
        <v>0</v>
      </c>
      <c r="AH318" s="125">
        <v>0</v>
      </c>
      <c r="AI318" s="121">
        <v>3429312</v>
      </c>
      <c r="AJ318" s="121">
        <v>143155</v>
      </c>
      <c r="AK318" s="424">
        <v>12</v>
      </c>
      <c r="AL318">
        <v>0</v>
      </c>
      <c r="AM318" s="121">
        <v>37271</v>
      </c>
      <c r="AN318" s="125">
        <v>0</v>
      </c>
      <c r="AO318" s="125">
        <v>0</v>
      </c>
      <c r="AP318" s="121">
        <v>3572467</v>
      </c>
      <c r="AQ318" s="114">
        <v>0</v>
      </c>
      <c r="AR318" s="121">
        <v>0</v>
      </c>
      <c r="AS318" s="121">
        <v>0</v>
      </c>
      <c r="AT318" s="121">
        <v>0</v>
      </c>
      <c r="AU318" s="420" t="s">
        <v>798</v>
      </c>
      <c r="AV318" s="420" t="s">
        <v>2001</v>
      </c>
      <c r="AW318" s="121">
        <v>0</v>
      </c>
      <c r="AX318" s="121">
        <v>174609</v>
      </c>
      <c r="AY318" s="134">
        <v>346771</v>
      </c>
      <c r="AZ318" s="134">
        <v>818739</v>
      </c>
      <c r="BA318" s="114">
        <v>331</v>
      </c>
      <c r="BB318" s="134">
        <v>144888134</v>
      </c>
      <c r="BC318" s="114">
        <v>0</v>
      </c>
      <c r="BD318" s="114">
        <v>0</v>
      </c>
      <c r="BE318" s="114">
        <v>0</v>
      </c>
      <c r="BF318" s="114">
        <v>217</v>
      </c>
      <c r="BG318" s="114">
        <v>0</v>
      </c>
      <c r="BH318" s="114">
        <v>0</v>
      </c>
      <c r="BI318">
        <v>0</v>
      </c>
      <c r="BJ318" s="121">
        <v>1219</v>
      </c>
      <c r="BK318" s="134">
        <v>317211712</v>
      </c>
      <c r="BL318" s="934">
        <v>5566</v>
      </c>
      <c r="BM318" s="934">
        <v>5742</v>
      </c>
      <c r="BN318" s="934">
        <v>5838</v>
      </c>
      <c r="BO318" s="114">
        <v>0</v>
      </c>
      <c r="BP318" s="114">
        <v>0</v>
      </c>
    </row>
    <row r="319" spans="1:68">
      <c r="A319" t="s">
        <v>853</v>
      </c>
      <c r="B319" t="s">
        <v>1186</v>
      </c>
      <c r="C319" s="121">
        <v>4582</v>
      </c>
      <c r="D319" s="72">
        <v>1</v>
      </c>
      <c r="E319">
        <v>89.331999999999994</v>
      </c>
      <c r="F319">
        <v>30</v>
      </c>
      <c r="G319">
        <v>19</v>
      </c>
      <c r="H319">
        <v>1</v>
      </c>
      <c r="I319" s="173">
        <v>1.04</v>
      </c>
      <c r="J319" s="121">
        <v>59660867</v>
      </c>
      <c r="K319" s="125">
        <v>546.05600000000004</v>
      </c>
      <c r="L319" s="173">
        <v>1.5</v>
      </c>
      <c r="M319">
        <v>1.04</v>
      </c>
      <c r="N319">
        <v>1.000000005</v>
      </c>
      <c r="O319">
        <v>3.9999995000000066</v>
      </c>
      <c r="P319">
        <v>274</v>
      </c>
      <c r="Q319" s="125">
        <v>0</v>
      </c>
      <c r="R319" s="125">
        <v>0</v>
      </c>
      <c r="S319" s="125">
        <v>0.5</v>
      </c>
      <c r="T319" s="125">
        <v>4</v>
      </c>
      <c r="U319" s="125">
        <v>0.746</v>
      </c>
      <c r="V319" s="125">
        <v>0</v>
      </c>
      <c r="W319" s="125">
        <v>0</v>
      </c>
      <c r="X319" s="125">
        <v>0</v>
      </c>
      <c r="Y319" s="125">
        <v>0</v>
      </c>
      <c r="Z319" s="125">
        <v>0</v>
      </c>
      <c r="AA319" s="125">
        <v>14</v>
      </c>
      <c r="AB319" s="125">
        <v>12</v>
      </c>
      <c r="AC319" s="125">
        <v>206</v>
      </c>
      <c r="AD319" s="125">
        <v>0.20899999999999999</v>
      </c>
      <c r="AE319" s="125">
        <v>6.0910000000000002</v>
      </c>
      <c r="AF319" s="125">
        <v>13.7</v>
      </c>
      <c r="AG319" s="125">
        <v>0</v>
      </c>
      <c r="AH319" s="125">
        <v>0</v>
      </c>
      <c r="AI319" s="121">
        <v>647215</v>
      </c>
      <c r="AJ319" s="121">
        <v>44789</v>
      </c>
      <c r="AK319" s="424">
        <v>12</v>
      </c>
      <c r="AL319">
        <v>0</v>
      </c>
      <c r="AM319" s="121">
        <v>42887</v>
      </c>
      <c r="AN319" s="125">
        <v>0</v>
      </c>
      <c r="AO319" s="125">
        <v>0</v>
      </c>
      <c r="AP319" s="121">
        <v>692004</v>
      </c>
      <c r="AQ319" s="114">
        <v>0</v>
      </c>
      <c r="AR319" s="121">
        <v>39.767517579</v>
      </c>
      <c r="AS319" s="121">
        <v>7814.4420835999999</v>
      </c>
      <c r="AT319" s="121">
        <v>1029.1585181999999</v>
      </c>
      <c r="AU319" s="420" t="s">
        <v>2001</v>
      </c>
      <c r="AV319" s="420" t="s">
        <v>2001</v>
      </c>
      <c r="AW319" s="121">
        <v>0</v>
      </c>
      <c r="AX319" s="121">
        <v>76992</v>
      </c>
      <c r="BI319">
        <v>0</v>
      </c>
      <c r="BJ319" s="121">
        <v>0</v>
      </c>
      <c r="BK319" s="134">
        <v>59268799</v>
      </c>
      <c r="BL319" s="934">
        <v>4582</v>
      </c>
      <c r="BM319" s="934">
        <v>4563</v>
      </c>
      <c r="BN319" s="934">
        <v>4563</v>
      </c>
      <c r="BO319" s="114">
        <v>0</v>
      </c>
      <c r="BP319" s="114">
        <v>0</v>
      </c>
    </row>
    <row r="320" spans="1:68">
      <c r="A320" t="s">
        <v>2865</v>
      </c>
      <c r="B320" t="s">
        <v>665</v>
      </c>
      <c r="C320" s="121">
        <v>4497</v>
      </c>
      <c r="D320" s="72">
        <v>2</v>
      </c>
      <c r="E320">
        <v>101.55200000000001</v>
      </c>
      <c r="F320">
        <v>37</v>
      </c>
      <c r="G320">
        <v>31</v>
      </c>
      <c r="H320">
        <v>0</v>
      </c>
      <c r="I320" s="173">
        <v>1.04</v>
      </c>
      <c r="J320" s="121">
        <v>60579685</v>
      </c>
      <c r="K320" s="125">
        <v>762.79300000000001</v>
      </c>
      <c r="L320" s="173">
        <v>1.5</v>
      </c>
      <c r="M320">
        <v>1.04</v>
      </c>
      <c r="N320">
        <v>1.000000005</v>
      </c>
      <c r="O320">
        <v>3.9999995000000066</v>
      </c>
      <c r="P320">
        <v>346.95100000000002</v>
      </c>
      <c r="Q320" s="125">
        <v>0</v>
      </c>
      <c r="R320" s="125">
        <v>0</v>
      </c>
      <c r="S320" s="125">
        <v>0.82099999999999995</v>
      </c>
      <c r="T320" s="125">
        <v>2.8959999999999999</v>
      </c>
      <c r="U320" s="125">
        <v>1.296</v>
      </c>
      <c r="V320" s="125">
        <v>0</v>
      </c>
      <c r="W320" s="125">
        <v>0</v>
      </c>
      <c r="X320" s="125">
        <v>0</v>
      </c>
      <c r="Y320" s="125">
        <v>0</v>
      </c>
      <c r="Z320" s="125">
        <v>0.63</v>
      </c>
      <c r="AA320" s="125">
        <v>58.646999999999998</v>
      </c>
      <c r="AB320" s="125">
        <v>26.885000000000002</v>
      </c>
      <c r="AC320" s="125">
        <v>276.7</v>
      </c>
      <c r="AD320" s="125">
        <v>0.21</v>
      </c>
      <c r="AE320" s="125">
        <v>9.23</v>
      </c>
      <c r="AF320" s="125">
        <v>17.347549999999998</v>
      </c>
      <c r="AG320" s="125">
        <v>0</v>
      </c>
      <c r="AH320" s="125">
        <v>0</v>
      </c>
      <c r="AI320" s="121">
        <v>654915</v>
      </c>
      <c r="AJ320" s="121">
        <v>22949</v>
      </c>
      <c r="AK320" s="424">
        <v>12</v>
      </c>
      <c r="AL320">
        <v>0</v>
      </c>
      <c r="AM320" s="121">
        <v>20923</v>
      </c>
      <c r="AN320" s="125">
        <v>0</v>
      </c>
      <c r="AO320" s="125">
        <v>0</v>
      </c>
      <c r="AP320" s="121">
        <v>677864</v>
      </c>
      <c r="AQ320" s="114">
        <v>0</v>
      </c>
      <c r="AR320" s="121">
        <v>40.379964401000002</v>
      </c>
      <c r="AS320" s="121">
        <v>7934.7898072999997</v>
      </c>
      <c r="AT320" s="121">
        <v>1045.0082594999999</v>
      </c>
      <c r="AU320" s="420" t="s">
        <v>2001</v>
      </c>
      <c r="AV320" s="420" t="s">
        <v>2001</v>
      </c>
      <c r="AW320" s="121">
        <v>0</v>
      </c>
      <c r="AX320" s="121">
        <v>57845</v>
      </c>
      <c r="BI320">
        <v>0</v>
      </c>
      <c r="BJ320" s="121">
        <v>0</v>
      </c>
      <c r="BK320" s="134">
        <v>60579685</v>
      </c>
      <c r="BL320" s="934">
        <v>4485</v>
      </c>
      <c r="BM320" s="934">
        <v>4497</v>
      </c>
      <c r="BN320" s="934">
        <v>4497</v>
      </c>
      <c r="BO320" s="114">
        <v>0</v>
      </c>
      <c r="BP320" s="114">
        <v>0</v>
      </c>
    </row>
    <row r="321" spans="1:68">
      <c r="A321" t="s">
        <v>697</v>
      </c>
      <c r="B321" t="s">
        <v>958</v>
      </c>
      <c r="C321" s="121">
        <v>4633</v>
      </c>
      <c r="D321" s="72">
        <v>1</v>
      </c>
      <c r="E321">
        <v>260.58100000000002</v>
      </c>
      <c r="F321">
        <v>89</v>
      </c>
      <c r="G321">
        <v>81</v>
      </c>
      <c r="H321">
        <v>0</v>
      </c>
      <c r="I321" s="173">
        <v>1.04</v>
      </c>
      <c r="J321" s="121">
        <v>138208145</v>
      </c>
      <c r="K321" s="125">
        <v>1642.152</v>
      </c>
      <c r="L321" s="173">
        <v>1.5</v>
      </c>
      <c r="M321">
        <v>1.04</v>
      </c>
      <c r="N321">
        <v>1.000000005</v>
      </c>
      <c r="O321">
        <v>3.9999995000000066</v>
      </c>
      <c r="P321">
        <v>898.44200000000001</v>
      </c>
      <c r="Q321" s="125">
        <v>0</v>
      </c>
      <c r="R321" s="125">
        <v>0</v>
      </c>
      <c r="S321" s="125">
        <v>2.327</v>
      </c>
      <c r="T321" s="125">
        <v>26.966000000000001</v>
      </c>
      <c r="U321" s="125">
        <v>6.3570000000000002</v>
      </c>
      <c r="V321" s="125">
        <v>0</v>
      </c>
      <c r="W321" s="125">
        <v>2.0299999999999998</v>
      </c>
      <c r="X321" s="125">
        <v>0</v>
      </c>
      <c r="Y321" s="125">
        <v>0</v>
      </c>
      <c r="Z321" s="125">
        <v>5.43</v>
      </c>
      <c r="AA321" s="125">
        <v>7.4610000000000003</v>
      </c>
      <c r="AB321" s="125">
        <v>78.435000000000002</v>
      </c>
      <c r="AC321" s="125">
        <v>789.1</v>
      </c>
      <c r="AD321" s="125">
        <v>0.67</v>
      </c>
      <c r="AE321" s="125">
        <v>116.949</v>
      </c>
      <c r="AF321" s="125">
        <v>44.921999999999997</v>
      </c>
      <c r="AG321" s="125">
        <v>0</v>
      </c>
      <c r="AH321" s="125">
        <v>0</v>
      </c>
      <c r="AI321" s="121">
        <v>1418510</v>
      </c>
      <c r="AJ321" s="121">
        <v>0</v>
      </c>
      <c r="AK321" s="424">
        <v>12</v>
      </c>
      <c r="AL321">
        <v>0</v>
      </c>
      <c r="AM321" s="121">
        <v>89199</v>
      </c>
      <c r="AN321" s="125">
        <v>0</v>
      </c>
      <c r="AO321" s="125">
        <v>0</v>
      </c>
      <c r="AP321" s="121">
        <v>1418510</v>
      </c>
      <c r="AQ321" s="114">
        <v>0</v>
      </c>
      <c r="AR321" s="121">
        <v>92.123951524000006</v>
      </c>
      <c r="AS321" s="121">
        <v>18102.645765000001</v>
      </c>
      <c r="AT321" s="121">
        <v>2384.1103296000001</v>
      </c>
      <c r="AU321" s="420" t="s">
        <v>2001</v>
      </c>
      <c r="AV321" s="420" t="s">
        <v>2001</v>
      </c>
      <c r="AW321" s="121">
        <v>0</v>
      </c>
      <c r="AX321" s="121">
        <v>240039</v>
      </c>
      <c r="BI321">
        <v>0</v>
      </c>
      <c r="BJ321" s="121">
        <v>0</v>
      </c>
      <c r="BK321" s="134">
        <v>129900203</v>
      </c>
      <c r="BL321" s="934">
        <v>4633</v>
      </c>
      <c r="BM321" s="934">
        <v>4627</v>
      </c>
      <c r="BN321" s="934">
        <v>4627</v>
      </c>
      <c r="BO321" s="114">
        <v>0</v>
      </c>
      <c r="BP321" s="114">
        <v>0</v>
      </c>
    </row>
    <row r="322" spans="1:68">
      <c r="A322" t="s">
        <v>698</v>
      </c>
      <c r="B322" t="s">
        <v>959</v>
      </c>
      <c r="C322" s="121">
        <v>4590</v>
      </c>
      <c r="D322" s="72">
        <v>1</v>
      </c>
      <c r="E322">
        <v>177.80600000000001</v>
      </c>
      <c r="F322">
        <v>59</v>
      </c>
      <c r="G322">
        <v>37</v>
      </c>
      <c r="H322">
        <v>3</v>
      </c>
      <c r="I322" s="173">
        <v>1.1399999999999999</v>
      </c>
      <c r="J322" s="121">
        <v>82030081</v>
      </c>
      <c r="K322" s="125">
        <v>917.25400000000002</v>
      </c>
      <c r="L322" s="173">
        <v>1.5</v>
      </c>
      <c r="M322">
        <v>1.1399999999999999</v>
      </c>
      <c r="N322">
        <v>1.000000005</v>
      </c>
      <c r="O322">
        <v>13.999999499999994</v>
      </c>
      <c r="P322">
        <v>534.82100000000003</v>
      </c>
      <c r="Q322" s="125">
        <v>2.3E-2</v>
      </c>
      <c r="R322" s="125">
        <v>0</v>
      </c>
      <c r="S322" s="125">
        <v>1.59</v>
      </c>
      <c r="T322" s="125">
        <v>21.968</v>
      </c>
      <c r="U322" s="125">
        <v>1.115</v>
      </c>
      <c r="V322" s="125">
        <v>1.5669999999999999</v>
      </c>
      <c r="W322" s="125">
        <v>1.5489999999999999</v>
      </c>
      <c r="X322" s="125">
        <v>0</v>
      </c>
      <c r="Y322" s="125">
        <v>0</v>
      </c>
      <c r="Z322" s="125">
        <v>0</v>
      </c>
      <c r="AA322" s="125">
        <v>3.597</v>
      </c>
      <c r="AB322" s="125">
        <v>22.861000000000001</v>
      </c>
      <c r="AC322" s="125">
        <v>452.1</v>
      </c>
      <c r="AD322" s="125">
        <v>0.60299999999999998</v>
      </c>
      <c r="AE322" s="125">
        <v>30.795999999999999</v>
      </c>
      <c r="AF322" s="125">
        <v>26.741</v>
      </c>
      <c r="AG322" s="125">
        <v>0</v>
      </c>
      <c r="AH322" s="125">
        <v>0</v>
      </c>
      <c r="AI322" s="121">
        <v>958889</v>
      </c>
      <c r="AJ322" s="121">
        <v>0</v>
      </c>
      <c r="AK322" s="424">
        <v>12</v>
      </c>
      <c r="AL322">
        <v>0</v>
      </c>
      <c r="AM322" s="121">
        <v>36145</v>
      </c>
      <c r="AN322" s="125">
        <v>0</v>
      </c>
      <c r="AO322" s="125">
        <v>0</v>
      </c>
      <c r="AP322" s="121">
        <v>958889</v>
      </c>
      <c r="AQ322" s="114">
        <v>0</v>
      </c>
      <c r="AR322" s="121">
        <v>54.677929675000001</v>
      </c>
      <c r="AS322" s="121">
        <v>10744.384883000001</v>
      </c>
      <c r="AT322" s="121">
        <v>1415.030671</v>
      </c>
      <c r="AU322" s="420" t="s">
        <v>2001</v>
      </c>
      <c r="AV322" s="420" t="s">
        <v>2001</v>
      </c>
      <c r="AW322" s="121">
        <v>0</v>
      </c>
      <c r="AX322" s="121">
        <v>0</v>
      </c>
      <c r="BI322">
        <v>0</v>
      </c>
      <c r="BJ322" s="121">
        <v>0</v>
      </c>
      <c r="BK322" s="134">
        <v>80107712</v>
      </c>
      <c r="BL322" s="934">
        <v>4590</v>
      </c>
      <c r="BM322" s="934">
        <v>4475</v>
      </c>
      <c r="BN322" s="934">
        <v>4475</v>
      </c>
      <c r="BO322" s="114">
        <v>0</v>
      </c>
      <c r="BP322" s="114">
        <v>0</v>
      </c>
    </row>
    <row r="323" spans="1:68">
      <c r="A323" t="s">
        <v>699</v>
      </c>
      <c r="B323" t="s">
        <v>960</v>
      </c>
      <c r="C323" s="121">
        <v>4464</v>
      </c>
      <c r="D323" s="72">
        <v>2</v>
      </c>
      <c r="E323">
        <v>90.335999999999999</v>
      </c>
      <c r="F323">
        <v>27</v>
      </c>
      <c r="G323">
        <v>19</v>
      </c>
      <c r="H323">
        <v>0</v>
      </c>
      <c r="I323" s="173">
        <v>1.17</v>
      </c>
      <c r="J323" s="121">
        <v>80037671</v>
      </c>
      <c r="K323" s="125">
        <v>518.26</v>
      </c>
      <c r="L323" s="173">
        <v>1.36</v>
      </c>
      <c r="M323">
        <v>1.17</v>
      </c>
      <c r="N323">
        <v>0.90666667120000011</v>
      </c>
      <c r="O323">
        <v>26.333332879999983</v>
      </c>
      <c r="P323">
        <v>233.84200000000001</v>
      </c>
      <c r="Q323" s="125">
        <v>0</v>
      </c>
      <c r="R323" s="125">
        <v>0</v>
      </c>
      <c r="S323" s="125">
        <v>0.44500000000000001</v>
      </c>
      <c r="T323" s="125">
        <v>11.507999999999999</v>
      </c>
      <c r="U323" s="125">
        <v>3.472</v>
      </c>
      <c r="V323" s="125">
        <v>0</v>
      </c>
      <c r="W323" s="125">
        <v>0</v>
      </c>
      <c r="X323" s="125">
        <v>0</v>
      </c>
      <c r="Y323" s="125">
        <v>0</v>
      </c>
      <c r="Z323" s="125">
        <v>0.14299999999999999</v>
      </c>
      <c r="AA323" s="125">
        <v>8.0589999999999993</v>
      </c>
      <c r="AB323" s="125">
        <v>13.471</v>
      </c>
      <c r="AC323" s="125">
        <v>231.5</v>
      </c>
      <c r="AD323" s="125">
        <v>5.2999999999999999E-2</v>
      </c>
      <c r="AE323" s="125">
        <v>5.58</v>
      </c>
      <c r="AF323" s="125">
        <v>11.692</v>
      </c>
      <c r="AG323" s="125">
        <v>0</v>
      </c>
      <c r="AH323" s="125">
        <v>0</v>
      </c>
      <c r="AI323" s="121">
        <v>819830</v>
      </c>
      <c r="AJ323" s="121">
        <v>0</v>
      </c>
      <c r="AK323" s="424">
        <v>12</v>
      </c>
      <c r="AL323">
        <v>0</v>
      </c>
      <c r="AM323" s="121">
        <v>28137</v>
      </c>
      <c r="AN323" s="125">
        <v>0</v>
      </c>
      <c r="AO323" s="125">
        <v>0</v>
      </c>
      <c r="AP323" s="121">
        <v>819830</v>
      </c>
      <c r="AQ323" s="114">
        <v>0</v>
      </c>
      <c r="AR323" s="121">
        <v>53.349869519000002</v>
      </c>
      <c r="AS323" s="121">
        <v>10483.416891999999</v>
      </c>
      <c r="AT323" s="121">
        <v>1380.6613036000001</v>
      </c>
      <c r="AU323" s="420" t="s">
        <v>2001</v>
      </c>
      <c r="AV323" s="420" t="s">
        <v>2001</v>
      </c>
      <c r="AW323" s="121">
        <v>0</v>
      </c>
      <c r="AX323" s="121">
        <v>0</v>
      </c>
      <c r="BI323">
        <v>0</v>
      </c>
      <c r="BJ323" s="121">
        <v>0</v>
      </c>
      <c r="BK323" s="134">
        <v>70993879</v>
      </c>
      <c r="BL323" s="934">
        <v>4248</v>
      </c>
      <c r="BM323" s="934">
        <v>4464</v>
      </c>
      <c r="BN323" s="934">
        <v>4458</v>
      </c>
      <c r="BO323" s="114">
        <v>0</v>
      </c>
      <c r="BP323" s="114">
        <v>0</v>
      </c>
    </row>
    <row r="324" spans="1:68">
      <c r="A324" t="s">
        <v>700</v>
      </c>
      <c r="B324" t="s">
        <v>1187</v>
      </c>
      <c r="C324" s="121">
        <v>5333</v>
      </c>
      <c r="D324" s="72">
        <v>2</v>
      </c>
      <c r="E324">
        <v>5447.2219999999998</v>
      </c>
      <c r="F324">
        <v>1560</v>
      </c>
      <c r="G324">
        <v>991</v>
      </c>
      <c r="H324">
        <v>124</v>
      </c>
      <c r="I324" s="173">
        <v>1</v>
      </c>
      <c r="J324" s="121">
        <v>8455104561</v>
      </c>
      <c r="K324" s="125">
        <v>26783.685000000001</v>
      </c>
      <c r="L324" s="173">
        <v>1.5</v>
      </c>
      <c r="M324">
        <v>1</v>
      </c>
      <c r="N324">
        <v>1.000000005</v>
      </c>
      <c r="O324">
        <v>-4.9999999696126451E-7</v>
      </c>
      <c r="P324">
        <v>20686.685000000001</v>
      </c>
      <c r="Q324" s="125">
        <v>4.3390000000000004</v>
      </c>
      <c r="R324" s="125">
        <v>7.6890000000000001</v>
      </c>
      <c r="S324" s="125">
        <v>48.459000000000003</v>
      </c>
      <c r="T324" s="125">
        <v>677.03899999999999</v>
      </c>
      <c r="U324" s="125">
        <v>136.01</v>
      </c>
      <c r="V324" s="125">
        <v>5.665</v>
      </c>
      <c r="W324" s="125">
        <v>16.654</v>
      </c>
      <c r="X324" s="125">
        <v>0</v>
      </c>
      <c r="Y324" s="125">
        <v>0</v>
      </c>
      <c r="Z324" s="125">
        <v>8.6270000000000007</v>
      </c>
      <c r="AA324" s="125">
        <v>111.489</v>
      </c>
      <c r="AB324" s="125">
        <v>614.59299999999996</v>
      </c>
      <c r="AC324" s="125">
        <v>10158.9</v>
      </c>
      <c r="AD324" s="125">
        <v>10.15</v>
      </c>
      <c r="AE324" s="125">
        <v>2293.8000000000002</v>
      </c>
      <c r="AF324" s="125">
        <v>1034.3340000000001</v>
      </c>
      <c r="AG324" s="125">
        <v>0</v>
      </c>
      <c r="AH324" s="125">
        <v>0</v>
      </c>
      <c r="AI324" s="121">
        <v>89666384</v>
      </c>
      <c r="AJ324" s="121">
        <v>15095421</v>
      </c>
      <c r="AK324" s="424">
        <v>12</v>
      </c>
      <c r="AL324">
        <v>0</v>
      </c>
      <c r="AM324" s="121">
        <v>1645068</v>
      </c>
      <c r="AN324" s="125">
        <v>1</v>
      </c>
      <c r="AO324" s="125">
        <v>0</v>
      </c>
      <c r="AP324" s="121">
        <v>104761805</v>
      </c>
      <c r="AQ324" s="114">
        <v>0</v>
      </c>
      <c r="AR324" s="121">
        <v>5635.8302487000001</v>
      </c>
      <c r="AS324" s="121">
        <v>1107458.3417</v>
      </c>
      <c r="AT324" s="121">
        <v>145851.76699</v>
      </c>
      <c r="AU324" s="420" t="s">
        <v>2001</v>
      </c>
      <c r="AV324" s="420" t="s">
        <v>2001</v>
      </c>
      <c r="AW324" s="121">
        <v>0</v>
      </c>
      <c r="AX324" s="121">
        <v>28115576</v>
      </c>
      <c r="BI324">
        <v>0</v>
      </c>
      <c r="BJ324" s="121">
        <v>0</v>
      </c>
      <c r="BK324" s="134">
        <v>8455104561</v>
      </c>
      <c r="BL324" s="934">
        <v>5109</v>
      </c>
      <c r="BM324" s="934">
        <v>5333</v>
      </c>
      <c r="BN324" s="934">
        <v>5317</v>
      </c>
      <c r="BO324" s="114">
        <v>0</v>
      </c>
      <c r="BP324" s="114">
        <v>0</v>
      </c>
    </row>
    <row r="325" spans="1:68">
      <c r="A325" t="s">
        <v>2906</v>
      </c>
      <c r="B325" t="s">
        <v>1006</v>
      </c>
      <c r="C325" s="121">
        <v>4826</v>
      </c>
      <c r="D325" s="72">
        <v>2</v>
      </c>
      <c r="E325">
        <v>790.85</v>
      </c>
      <c r="F325">
        <v>182</v>
      </c>
      <c r="G325">
        <v>106</v>
      </c>
      <c r="H325">
        <v>20</v>
      </c>
      <c r="I325" s="173">
        <v>1.04</v>
      </c>
      <c r="J325" s="121">
        <v>518239172</v>
      </c>
      <c r="K325" s="125">
        <v>3475.13</v>
      </c>
      <c r="L325" s="173">
        <v>1.5</v>
      </c>
      <c r="M325">
        <v>1.04</v>
      </c>
      <c r="N325">
        <v>1.000000005</v>
      </c>
      <c r="O325">
        <v>3.9999995000000066</v>
      </c>
      <c r="P325">
        <v>2566.0880000000002</v>
      </c>
      <c r="Q325" s="125">
        <v>0.17599999999999999</v>
      </c>
      <c r="R325" s="125">
        <v>0</v>
      </c>
      <c r="S325" s="125">
        <v>3.7229999999999999</v>
      </c>
      <c r="T325" s="125">
        <v>65.885000000000005</v>
      </c>
      <c r="U325" s="125">
        <v>27.600999999999999</v>
      </c>
      <c r="V325" s="125">
        <v>0</v>
      </c>
      <c r="W325" s="125">
        <v>5.2190000000000003</v>
      </c>
      <c r="X325" s="125">
        <v>0</v>
      </c>
      <c r="Y325" s="125">
        <v>0</v>
      </c>
      <c r="Z325" s="125">
        <v>0</v>
      </c>
      <c r="AA325" s="125">
        <v>95.703999999999994</v>
      </c>
      <c r="AB325" s="125">
        <v>117.041</v>
      </c>
      <c r="AC325" s="125">
        <v>868.1</v>
      </c>
      <c r="AD325" s="125">
        <v>0</v>
      </c>
      <c r="AE325" s="125">
        <v>149.60499999999999</v>
      </c>
      <c r="AF325" s="125">
        <v>128.304</v>
      </c>
      <c r="AG325" s="125">
        <v>0</v>
      </c>
      <c r="AH325" s="125">
        <v>0</v>
      </c>
      <c r="AI325" s="121">
        <v>5659172</v>
      </c>
      <c r="AJ325" s="121">
        <v>701444</v>
      </c>
      <c r="AK325" s="424">
        <v>12</v>
      </c>
      <c r="AL325">
        <v>0</v>
      </c>
      <c r="AM325" s="121">
        <v>252892</v>
      </c>
      <c r="AN325" s="125">
        <v>2</v>
      </c>
      <c r="AO325" s="125">
        <v>0</v>
      </c>
      <c r="AP325" s="121">
        <v>6360616</v>
      </c>
      <c r="AQ325" s="114">
        <v>0</v>
      </c>
      <c r="AR325" s="121">
        <v>345.43724214999997</v>
      </c>
      <c r="AS325" s="121">
        <v>67879.502835000007</v>
      </c>
      <c r="AT325" s="121">
        <v>8939.7000845999992</v>
      </c>
      <c r="AU325" s="420" t="s">
        <v>2001</v>
      </c>
      <c r="AV325" s="420" t="s">
        <v>2001</v>
      </c>
      <c r="AW325" s="121">
        <v>0</v>
      </c>
      <c r="AX325" s="121">
        <v>1881901</v>
      </c>
      <c r="BI325">
        <v>0</v>
      </c>
      <c r="BJ325" s="121">
        <v>0</v>
      </c>
      <c r="BK325" s="134">
        <v>518239172</v>
      </c>
      <c r="BL325" s="934">
        <v>4734</v>
      </c>
      <c r="BM325" s="934">
        <v>4826</v>
      </c>
      <c r="BN325" s="934">
        <v>4826</v>
      </c>
      <c r="BO325" s="114">
        <v>0</v>
      </c>
      <c r="BP325" s="114">
        <v>0</v>
      </c>
    </row>
    <row r="326" spans="1:68">
      <c r="A326" t="s">
        <v>1602</v>
      </c>
      <c r="B326" t="s">
        <v>133</v>
      </c>
      <c r="C326" s="121">
        <v>4871</v>
      </c>
      <c r="D326" s="72">
        <v>2</v>
      </c>
      <c r="E326">
        <v>20408.377</v>
      </c>
      <c r="F326">
        <v>4489</v>
      </c>
      <c r="G326">
        <v>3947</v>
      </c>
      <c r="H326">
        <v>52</v>
      </c>
      <c r="I326" s="173">
        <v>1.04</v>
      </c>
      <c r="J326" s="121">
        <v>20042067120</v>
      </c>
      <c r="K326" s="125">
        <v>85524.650999999998</v>
      </c>
      <c r="L326" s="173">
        <v>1.5</v>
      </c>
      <c r="M326">
        <v>1.04</v>
      </c>
      <c r="N326">
        <v>1.000000005</v>
      </c>
      <c r="O326">
        <v>3.9999995000000066</v>
      </c>
      <c r="P326">
        <v>68540</v>
      </c>
      <c r="Q326" s="125">
        <v>3.2</v>
      </c>
      <c r="R326" s="125">
        <v>0</v>
      </c>
      <c r="S326" s="125">
        <v>92.03</v>
      </c>
      <c r="T326" s="125">
        <v>1470.55</v>
      </c>
      <c r="U326" s="125">
        <v>621.20000000000005</v>
      </c>
      <c r="V326" s="125">
        <v>13.69</v>
      </c>
      <c r="W326" s="125">
        <v>20.28</v>
      </c>
      <c r="X326" s="125">
        <v>0</v>
      </c>
      <c r="Y326" s="125">
        <v>0</v>
      </c>
      <c r="Z326" s="125">
        <v>65.739999999999995</v>
      </c>
      <c r="AA326" s="125">
        <v>381.29</v>
      </c>
      <c r="AB326" s="125">
        <v>2735</v>
      </c>
      <c r="AC326" s="125">
        <v>24856</v>
      </c>
      <c r="AD326" s="125">
        <v>20</v>
      </c>
      <c r="AE326" s="125">
        <v>7677</v>
      </c>
      <c r="AF326" s="125">
        <v>3427</v>
      </c>
      <c r="AG326" s="125">
        <v>0</v>
      </c>
      <c r="AH326" s="125">
        <v>0</v>
      </c>
      <c r="AI326" s="121">
        <v>214482185</v>
      </c>
      <c r="AJ326" s="121">
        <v>38580861</v>
      </c>
      <c r="AK326" s="424">
        <v>12</v>
      </c>
      <c r="AL326">
        <v>0</v>
      </c>
      <c r="AM326" s="121">
        <v>4735120</v>
      </c>
      <c r="AN326" s="125">
        <v>4</v>
      </c>
      <c r="AO326" s="125">
        <v>3</v>
      </c>
      <c r="AP326" s="121">
        <v>253063046</v>
      </c>
      <c r="AQ326" s="114">
        <v>0</v>
      </c>
      <c r="AR326" s="121">
        <v>13359.230191000001</v>
      </c>
      <c r="AS326" s="121">
        <v>2625130.6836999999</v>
      </c>
      <c r="AT326" s="121">
        <v>345728.53386999998</v>
      </c>
      <c r="AU326" s="420" t="s">
        <v>2001</v>
      </c>
      <c r="AV326" s="420" t="s">
        <v>2001</v>
      </c>
      <c r="AW326" s="121">
        <v>0</v>
      </c>
      <c r="AX326" s="121">
        <v>55351580</v>
      </c>
      <c r="BI326">
        <v>0</v>
      </c>
      <c r="BJ326" s="121">
        <v>0</v>
      </c>
      <c r="BK326" s="134">
        <v>20042067120</v>
      </c>
      <c r="BL326" s="934">
        <v>4826</v>
      </c>
      <c r="BM326" s="934">
        <v>4871</v>
      </c>
      <c r="BN326" s="934">
        <v>4871</v>
      </c>
      <c r="BO326" s="114">
        <v>0</v>
      </c>
      <c r="BP326" s="114">
        <v>0</v>
      </c>
    </row>
    <row r="327" spans="1:68">
      <c r="A327" t="s">
        <v>701</v>
      </c>
      <c r="B327" t="s">
        <v>962</v>
      </c>
      <c r="C327" s="121">
        <v>5507</v>
      </c>
      <c r="D327" s="72">
        <v>2</v>
      </c>
      <c r="E327">
        <v>0</v>
      </c>
      <c r="F327">
        <v>8</v>
      </c>
      <c r="G327">
        <v>13</v>
      </c>
      <c r="H327">
        <v>0</v>
      </c>
      <c r="I327" s="173">
        <v>1.04</v>
      </c>
      <c r="J327" s="121">
        <v>42114436</v>
      </c>
      <c r="K327" s="125">
        <v>154.27199999999999</v>
      </c>
      <c r="L327" s="173">
        <v>1.5</v>
      </c>
      <c r="M327">
        <v>1.04</v>
      </c>
      <c r="N327">
        <v>1.000000005</v>
      </c>
      <c r="O327">
        <v>3.9999995000000066</v>
      </c>
      <c r="P327">
        <v>74</v>
      </c>
      <c r="Q327" s="125">
        <v>0</v>
      </c>
      <c r="R327" s="125">
        <v>0</v>
      </c>
      <c r="S327" s="125">
        <v>0.373</v>
      </c>
      <c r="T327" s="125">
        <v>3</v>
      </c>
      <c r="U327" s="125">
        <v>0.38</v>
      </c>
      <c r="V327" s="125">
        <v>0</v>
      </c>
      <c r="W327" s="125">
        <v>0</v>
      </c>
      <c r="X327" s="125">
        <v>0</v>
      </c>
      <c r="Y327" s="125">
        <v>0</v>
      </c>
      <c r="Z327" s="125">
        <v>0</v>
      </c>
      <c r="AA327" s="125">
        <v>2.085</v>
      </c>
      <c r="AB327" s="125">
        <v>0</v>
      </c>
      <c r="AC327" s="125">
        <v>100</v>
      </c>
      <c r="AD327" s="125">
        <v>0</v>
      </c>
      <c r="AE327" s="125">
        <v>16.939</v>
      </c>
      <c r="AF327" s="125">
        <v>3.7</v>
      </c>
      <c r="AG327" s="125">
        <v>0</v>
      </c>
      <c r="AH327" s="125">
        <v>0</v>
      </c>
      <c r="AI327" s="121">
        <v>464489</v>
      </c>
      <c r="AJ327" s="121">
        <v>76667</v>
      </c>
      <c r="AK327" s="424">
        <v>6</v>
      </c>
      <c r="AL327">
        <v>0</v>
      </c>
      <c r="AM327" s="121">
        <v>37827</v>
      </c>
      <c r="AN327" s="125">
        <v>0</v>
      </c>
      <c r="AO327" s="125">
        <v>0</v>
      </c>
      <c r="AP327" s="121">
        <v>541156</v>
      </c>
      <c r="AQ327" s="114">
        <v>0</v>
      </c>
      <c r="AR327" s="121">
        <v>28.071777304000001</v>
      </c>
      <c r="AS327" s="121">
        <v>5516.1923920999998</v>
      </c>
      <c r="AT327" s="121">
        <v>726.48006444999999</v>
      </c>
      <c r="AU327" s="420" t="s">
        <v>2001</v>
      </c>
      <c r="AV327" s="420" t="s">
        <v>2001</v>
      </c>
      <c r="AW327" s="121">
        <v>0</v>
      </c>
      <c r="AX327" s="121">
        <v>80561</v>
      </c>
      <c r="BI327">
        <v>0</v>
      </c>
      <c r="BJ327" s="121">
        <v>0</v>
      </c>
      <c r="BK327" s="134">
        <v>42114436</v>
      </c>
      <c r="BL327" s="934">
        <v>5058</v>
      </c>
      <c r="BM327" s="934">
        <v>5507</v>
      </c>
      <c r="BN327" s="934">
        <v>5177</v>
      </c>
      <c r="BO327" s="134">
        <v>42030</v>
      </c>
      <c r="BP327" s="134">
        <v>47625</v>
      </c>
    </row>
    <row r="328" spans="1:68">
      <c r="A328" t="s">
        <v>2647</v>
      </c>
      <c r="B328" t="s">
        <v>1188</v>
      </c>
      <c r="C328" s="121">
        <v>5083</v>
      </c>
      <c r="D328" s="72">
        <v>3</v>
      </c>
      <c r="E328">
        <v>794.52099999999996</v>
      </c>
      <c r="F328">
        <v>228</v>
      </c>
      <c r="G328">
        <v>120</v>
      </c>
      <c r="H328">
        <v>24</v>
      </c>
      <c r="I328" s="173">
        <v>1.0338000000000001</v>
      </c>
      <c r="J328" s="121">
        <v>1862676273</v>
      </c>
      <c r="K328" s="125">
        <v>3759.8609999999999</v>
      </c>
      <c r="L328" s="173">
        <v>1.49</v>
      </c>
      <c r="M328">
        <v>1.0338000000000001</v>
      </c>
      <c r="N328">
        <v>0.99333333830000003</v>
      </c>
      <c r="O328">
        <v>4.0466661700000017</v>
      </c>
      <c r="P328">
        <v>2964.038</v>
      </c>
      <c r="Q328" s="125">
        <v>0.28299999999999997</v>
      </c>
      <c r="R328" s="125">
        <v>0</v>
      </c>
      <c r="S328" s="125">
        <v>3.8660000000000001</v>
      </c>
      <c r="T328" s="125">
        <v>51.28</v>
      </c>
      <c r="U328" s="125">
        <v>18.234999999999999</v>
      </c>
      <c r="V328" s="125">
        <v>0.39700000000000002</v>
      </c>
      <c r="W328" s="125">
        <v>6.0000000000000001E-3</v>
      </c>
      <c r="X328" s="125">
        <v>0</v>
      </c>
      <c r="Y328" s="125">
        <v>0</v>
      </c>
      <c r="Z328" s="125">
        <v>0</v>
      </c>
      <c r="AA328" s="125">
        <v>88.322000000000003</v>
      </c>
      <c r="AB328" s="125">
        <v>122.67700000000001</v>
      </c>
      <c r="AC328" s="125">
        <v>1520.5</v>
      </c>
      <c r="AD328" s="125">
        <v>0.156</v>
      </c>
      <c r="AE328" s="125">
        <v>360.35300000000001</v>
      </c>
      <c r="AF328" s="125">
        <v>148.20189999999999</v>
      </c>
      <c r="AG328" s="125">
        <v>0</v>
      </c>
      <c r="AH328" s="125">
        <v>0</v>
      </c>
      <c r="AI328" s="121">
        <v>20421356</v>
      </c>
      <c r="AJ328" s="121">
        <v>2967334</v>
      </c>
      <c r="AK328" s="424">
        <v>12</v>
      </c>
      <c r="AL328">
        <v>0</v>
      </c>
      <c r="AM328" s="121">
        <v>0</v>
      </c>
      <c r="AN328" s="125">
        <v>0</v>
      </c>
      <c r="AO328" s="125">
        <v>0</v>
      </c>
      <c r="AP328" s="121">
        <v>23388690</v>
      </c>
      <c r="AQ328" s="114">
        <v>0</v>
      </c>
      <c r="AR328" s="121">
        <v>0</v>
      </c>
      <c r="AS328" s="121">
        <v>0</v>
      </c>
      <c r="AT328" s="121">
        <v>0</v>
      </c>
      <c r="AU328" s="420" t="s">
        <v>798</v>
      </c>
      <c r="AV328" s="420" t="s">
        <v>2001</v>
      </c>
      <c r="AW328" s="121">
        <v>0</v>
      </c>
      <c r="AX328" s="121">
        <v>3466850</v>
      </c>
      <c r="AY328" s="134">
        <v>1475284</v>
      </c>
      <c r="AZ328" s="134">
        <v>4824891</v>
      </c>
      <c r="BA328" s="134">
        <v>1990</v>
      </c>
      <c r="BB328" s="134">
        <v>655145179</v>
      </c>
      <c r="BC328" s="114">
        <v>0</v>
      </c>
      <c r="BD328" s="114">
        <v>0</v>
      </c>
      <c r="BE328" s="114">
        <v>0</v>
      </c>
      <c r="BF328" s="134">
        <v>2908</v>
      </c>
      <c r="BG328" s="114">
        <v>0</v>
      </c>
      <c r="BH328" s="114">
        <v>0</v>
      </c>
      <c r="BI328">
        <v>0</v>
      </c>
      <c r="BJ328" s="121">
        <v>0</v>
      </c>
      <c r="BK328" s="134">
        <v>1862676273</v>
      </c>
      <c r="BL328" s="934">
        <v>5078</v>
      </c>
      <c r="BM328" s="934">
        <v>5053</v>
      </c>
      <c r="BN328" s="934">
        <v>5083</v>
      </c>
      <c r="BO328" s="114">
        <v>0</v>
      </c>
      <c r="BP328" s="114">
        <v>0</v>
      </c>
    </row>
    <row r="329" spans="1:68">
      <c r="A329" t="s">
        <v>2290</v>
      </c>
      <c r="B329" t="s">
        <v>964</v>
      </c>
      <c r="C329" s="121">
        <v>5155</v>
      </c>
      <c r="D329" s="72">
        <v>2</v>
      </c>
      <c r="E329">
        <v>446.649</v>
      </c>
      <c r="F329">
        <v>124</v>
      </c>
      <c r="G329">
        <v>82</v>
      </c>
      <c r="H329">
        <v>1</v>
      </c>
      <c r="I329" s="173">
        <v>0.99019999999999997</v>
      </c>
      <c r="J329" s="121">
        <v>798703788</v>
      </c>
      <c r="K329" s="125">
        <v>2043.796</v>
      </c>
      <c r="L329" s="173">
        <v>1.36</v>
      </c>
      <c r="M329">
        <v>0.99019999999999997</v>
      </c>
      <c r="N329">
        <v>0.90666667120000011</v>
      </c>
      <c r="O329">
        <v>8.3533328799999857</v>
      </c>
      <c r="P329">
        <v>1515.7570000000001</v>
      </c>
      <c r="Q329" s="125">
        <v>0.10299999999999999</v>
      </c>
      <c r="R329" s="125">
        <v>0</v>
      </c>
      <c r="S329" s="125">
        <v>3.24</v>
      </c>
      <c r="T329" s="125">
        <v>45.999000000000002</v>
      </c>
      <c r="U329" s="125">
        <v>7.4509999999999996</v>
      </c>
      <c r="V329" s="125">
        <v>0.222</v>
      </c>
      <c r="W329" s="125">
        <v>0.91600000000000004</v>
      </c>
      <c r="X329" s="125">
        <v>0</v>
      </c>
      <c r="Y329" s="125">
        <v>0</v>
      </c>
      <c r="Z329" s="125">
        <v>4.1500000000000004</v>
      </c>
      <c r="AA329" s="125">
        <v>62</v>
      </c>
      <c r="AB329" s="125">
        <v>70.879000000000005</v>
      </c>
      <c r="AC329" s="125">
        <v>724.2</v>
      </c>
      <c r="AD329" s="125">
        <v>0.81100000000000005</v>
      </c>
      <c r="AE329" s="125">
        <v>123.866</v>
      </c>
      <c r="AF329" s="125">
        <v>75.787850000000006</v>
      </c>
      <c r="AG329" s="125">
        <v>0</v>
      </c>
      <c r="AH329" s="125">
        <v>0</v>
      </c>
      <c r="AI329" s="121">
        <v>8221161</v>
      </c>
      <c r="AJ329" s="121">
        <v>769</v>
      </c>
      <c r="AK329" s="424">
        <v>12</v>
      </c>
      <c r="AL329">
        <v>0</v>
      </c>
      <c r="AM329" s="121">
        <v>138850</v>
      </c>
      <c r="AN329" s="125">
        <v>1</v>
      </c>
      <c r="AO329" s="125">
        <v>0</v>
      </c>
      <c r="AP329" s="121">
        <v>8221930</v>
      </c>
      <c r="AQ329" s="114">
        <v>0</v>
      </c>
      <c r="AR329" s="121">
        <v>0</v>
      </c>
      <c r="AS329" s="121">
        <v>0</v>
      </c>
      <c r="AT329" s="121">
        <v>0</v>
      </c>
      <c r="AU329" s="420" t="s">
        <v>798</v>
      </c>
      <c r="AV329" s="72" t="s">
        <v>798</v>
      </c>
      <c r="AW329" s="121">
        <v>0</v>
      </c>
      <c r="AX329" s="121">
        <v>0</v>
      </c>
      <c r="AY329" s="134">
        <v>410094</v>
      </c>
      <c r="AZ329" s="134">
        <v>3833481</v>
      </c>
      <c r="BA329" s="134">
        <v>1657</v>
      </c>
      <c r="BB329" s="134">
        <v>290351874</v>
      </c>
      <c r="BC329" s="114">
        <v>0</v>
      </c>
      <c r="BD329" s="114">
        <v>0</v>
      </c>
      <c r="BE329" s="114">
        <v>0</v>
      </c>
      <c r="BF329" s="134">
        <v>1522</v>
      </c>
      <c r="BG329" s="114">
        <v>0</v>
      </c>
      <c r="BH329" s="114">
        <v>0</v>
      </c>
      <c r="BI329">
        <v>0</v>
      </c>
      <c r="BJ329" s="121">
        <v>0</v>
      </c>
      <c r="BK329" s="134">
        <v>798703788</v>
      </c>
      <c r="BL329" s="934">
        <v>4815</v>
      </c>
      <c r="BM329" s="934">
        <v>5155</v>
      </c>
      <c r="BN329" s="934">
        <v>5105</v>
      </c>
      <c r="BO329" s="114">
        <v>0</v>
      </c>
      <c r="BP329" s="114">
        <v>0</v>
      </c>
    </row>
    <row r="330" spans="1:68">
      <c r="A330" t="s">
        <v>1478</v>
      </c>
      <c r="B330" t="s">
        <v>965</v>
      </c>
      <c r="C330" s="121">
        <v>5906</v>
      </c>
      <c r="D330" s="72">
        <v>3</v>
      </c>
      <c r="E330">
        <v>508.58100000000002</v>
      </c>
      <c r="F330">
        <v>150</v>
      </c>
      <c r="G330">
        <v>104</v>
      </c>
      <c r="H330">
        <v>15</v>
      </c>
      <c r="I330" s="173">
        <v>1.04</v>
      </c>
      <c r="J330" s="121">
        <v>2242437475</v>
      </c>
      <c r="K330" s="125">
        <v>2288.4250000000002</v>
      </c>
      <c r="L330" s="173">
        <v>1.45</v>
      </c>
      <c r="M330">
        <v>1.04</v>
      </c>
      <c r="N330">
        <v>0.96666667149999996</v>
      </c>
      <c r="O330">
        <v>7.3333328500000068</v>
      </c>
      <c r="P330">
        <v>1727.6189999999999</v>
      </c>
      <c r="Q330" s="125">
        <v>0.13500000000000001</v>
      </c>
      <c r="R330" s="125">
        <v>0</v>
      </c>
      <c r="S330" s="125">
        <v>2.589</v>
      </c>
      <c r="T330" s="125">
        <v>73.804000000000002</v>
      </c>
      <c r="U330" s="125">
        <v>11.087</v>
      </c>
      <c r="V330" s="125">
        <v>0</v>
      </c>
      <c r="W330" s="125">
        <v>11.362</v>
      </c>
      <c r="X330" s="125">
        <v>0</v>
      </c>
      <c r="Y330" s="125">
        <v>0</v>
      </c>
      <c r="Z330" s="125">
        <v>5.0019999999999998</v>
      </c>
      <c r="AA330" s="125">
        <v>35.851999999999997</v>
      </c>
      <c r="AB330" s="125">
        <v>67.629000000000005</v>
      </c>
      <c r="AC330" s="125">
        <v>904.7</v>
      </c>
      <c r="AD330" s="125">
        <v>0</v>
      </c>
      <c r="AE330" s="125">
        <v>95.167000000000002</v>
      </c>
      <c r="AF330" s="125">
        <v>86.380949999999999</v>
      </c>
      <c r="AG330" s="125">
        <v>0</v>
      </c>
      <c r="AH330" s="125">
        <v>0</v>
      </c>
      <c r="AI330" s="121">
        <v>24622292</v>
      </c>
      <c r="AJ330" s="121">
        <v>2020314</v>
      </c>
      <c r="AK330" s="424">
        <v>12</v>
      </c>
      <c r="AL330">
        <v>0</v>
      </c>
      <c r="AM330" s="121">
        <v>187925</v>
      </c>
      <c r="AN330" s="125">
        <v>0</v>
      </c>
      <c r="AO330" s="125">
        <v>0</v>
      </c>
      <c r="AP330" s="121">
        <v>26642606</v>
      </c>
      <c r="AQ330" s="114">
        <v>0</v>
      </c>
      <c r="AR330" s="121">
        <v>0</v>
      </c>
      <c r="AS330" s="121">
        <v>0</v>
      </c>
      <c r="AT330" s="121">
        <v>0</v>
      </c>
      <c r="AU330" s="420" t="s">
        <v>798</v>
      </c>
      <c r="AV330" s="420" t="s">
        <v>2001</v>
      </c>
      <c r="AW330" s="121">
        <v>0</v>
      </c>
      <c r="AX330" s="121">
        <v>2320093</v>
      </c>
      <c r="AY330" s="134">
        <v>919201</v>
      </c>
      <c r="AZ330" s="134">
        <v>4549718</v>
      </c>
      <c r="BA330" s="134">
        <v>1902</v>
      </c>
      <c r="BB330" s="134">
        <v>536298051</v>
      </c>
      <c r="BC330" s="114">
        <v>0</v>
      </c>
      <c r="BD330" s="114">
        <v>0</v>
      </c>
      <c r="BE330" s="114">
        <v>0</v>
      </c>
      <c r="BF330" s="134">
        <v>1817</v>
      </c>
      <c r="BG330" s="114">
        <v>0</v>
      </c>
      <c r="BH330" s="114">
        <v>0</v>
      </c>
      <c r="BI330">
        <v>0</v>
      </c>
      <c r="BJ330" s="121">
        <v>4767</v>
      </c>
      <c r="BK330" s="134">
        <v>2210577117</v>
      </c>
      <c r="BL330" s="934">
        <v>5587</v>
      </c>
      <c r="BM330" s="934">
        <v>5767</v>
      </c>
      <c r="BN330" s="934">
        <v>5906</v>
      </c>
      <c r="BO330" s="114">
        <v>0</v>
      </c>
      <c r="BP330" s="114">
        <v>0</v>
      </c>
    </row>
    <row r="331" spans="1:68">
      <c r="A331" t="s">
        <v>2192</v>
      </c>
      <c r="B331" t="s">
        <v>966</v>
      </c>
      <c r="C331" s="121">
        <v>6604</v>
      </c>
      <c r="D331" s="72">
        <v>2</v>
      </c>
      <c r="E331">
        <v>349.40600000000001</v>
      </c>
      <c r="F331">
        <v>100</v>
      </c>
      <c r="G331">
        <v>82</v>
      </c>
      <c r="H331">
        <v>21</v>
      </c>
      <c r="I331" s="173">
        <v>1.04</v>
      </c>
      <c r="J331" s="121">
        <v>1844500007</v>
      </c>
      <c r="K331" s="125">
        <v>1635.0060000000001</v>
      </c>
      <c r="L331" s="173">
        <v>1.5</v>
      </c>
      <c r="M331">
        <v>1.04</v>
      </c>
      <c r="N331">
        <v>1.000000005</v>
      </c>
      <c r="O331">
        <v>3.9999995000000066</v>
      </c>
      <c r="P331">
        <v>1138.3119999999999</v>
      </c>
      <c r="Q331" s="125">
        <v>0.21199999999999999</v>
      </c>
      <c r="R331" s="125">
        <v>0</v>
      </c>
      <c r="S331" s="125">
        <v>1.1990000000000001</v>
      </c>
      <c r="T331" s="125">
        <v>35.673000000000002</v>
      </c>
      <c r="U331" s="125">
        <v>8.6969999999999992</v>
      </c>
      <c r="V331" s="125">
        <v>0</v>
      </c>
      <c r="W331" s="125">
        <v>5.202</v>
      </c>
      <c r="X331" s="125">
        <v>0</v>
      </c>
      <c r="Y331" s="125">
        <v>0</v>
      </c>
      <c r="Z331" s="125">
        <v>0</v>
      </c>
      <c r="AA331" s="125">
        <v>31.234000000000002</v>
      </c>
      <c r="AB331" s="125">
        <v>42.216000000000001</v>
      </c>
      <c r="AC331" s="125">
        <v>531.70000000000005</v>
      </c>
      <c r="AD331" s="125">
        <v>0</v>
      </c>
      <c r="AE331" s="125">
        <v>91.563000000000002</v>
      </c>
      <c r="AF331" s="125">
        <v>56.915599999999998</v>
      </c>
      <c r="AG331" s="125">
        <v>0</v>
      </c>
      <c r="AH331" s="125">
        <v>0</v>
      </c>
      <c r="AI331" s="121">
        <v>16117414</v>
      </c>
      <c r="AJ331" s="121">
        <v>197653</v>
      </c>
      <c r="AK331" s="424">
        <v>12</v>
      </c>
      <c r="AL331">
        <v>0</v>
      </c>
      <c r="AM331" s="121">
        <v>73965</v>
      </c>
      <c r="AN331" s="125">
        <v>0</v>
      </c>
      <c r="AO331" s="125">
        <v>0</v>
      </c>
      <c r="AP331" s="121">
        <v>16315067</v>
      </c>
      <c r="AQ331" s="114">
        <v>0</v>
      </c>
      <c r="AR331" s="121">
        <v>0</v>
      </c>
      <c r="AS331" s="121">
        <v>0</v>
      </c>
      <c r="AT331" s="121">
        <v>0</v>
      </c>
      <c r="AU331" s="420" t="s">
        <v>798</v>
      </c>
      <c r="AV331" s="420" t="s">
        <v>2001</v>
      </c>
      <c r="AW331" s="121">
        <v>0</v>
      </c>
      <c r="AX331" s="121">
        <v>566156</v>
      </c>
      <c r="AY331" s="134">
        <v>829371</v>
      </c>
      <c r="AZ331" s="134">
        <v>3235404</v>
      </c>
      <c r="BA331" s="134">
        <v>1350</v>
      </c>
      <c r="BB331" s="134">
        <v>380294864</v>
      </c>
      <c r="BC331" s="114">
        <v>0</v>
      </c>
      <c r="BD331" s="114">
        <v>0</v>
      </c>
      <c r="BE331" s="114">
        <v>0</v>
      </c>
      <c r="BF331" s="134">
        <v>1203</v>
      </c>
      <c r="BG331" s="114">
        <v>0</v>
      </c>
      <c r="BH331" s="114">
        <v>0</v>
      </c>
      <c r="BI331">
        <v>0</v>
      </c>
      <c r="BJ331" s="121">
        <v>1220</v>
      </c>
      <c r="BK331" s="134">
        <v>1587046935</v>
      </c>
      <c r="BL331" s="934">
        <v>6492</v>
      </c>
      <c r="BM331" s="934">
        <v>6604</v>
      </c>
      <c r="BN331" s="934">
        <v>6604</v>
      </c>
      <c r="BO331" s="114">
        <v>0</v>
      </c>
      <c r="BP331" s="114">
        <v>0</v>
      </c>
    </row>
    <row r="332" spans="1:68">
      <c r="A332" t="s">
        <v>2198</v>
      </c>
      <c r="B332" t="s">
        <v>967</v>
      </c>
      <c r="C332" s="121">
        <v>5047</v>
      </c>
      <c r="D332" s="72">
        <v>2</v>
      </c>
      <c r="E332">
        <v>117.401</v>
      </c>
      <c r="F332">
        <v>44</v>
      </c>
      <c r="G332">
        <v>29</v>
      </c>
      <c r="H332">
        <v>0</v>
      </c>
      <c r="I332" s="173">
        <v>1.04</v>
      </c>
      <c r="J332" s="121">
        <v>121885891</v>
      </c>
      <c r="K332" s="125">
        <v>740.83799999999997</v>
      </c>
      <c r="L332" s="173">
        <v>1.5</v>
      </c>
      <c r="M332">
        <v>1.04</v>
      </c>
      <c r="N332">
        <v>1.000000005</v>
      </c>
      <c r="O332">
        <v>3.9999995000000066</v>
      </c>
      <c r="P332">
        <v>446.15600000000001</v>
      </c>
      <c r="Q332" s="125">
        <v>0.16800000000000001</v>
      </c>
      <c r="R332" s="125">
        <v>0</v>
      </c>
      <c r="S332" s="125">
        <v>0.59499999999999997</v>
      </c>
      <c r="T332" s="125">
        <v>13.997</v>
      </c>
      <c r="U332" s="125">
        <v>2.8330000000000002</v>
      </c>
      <c r="V332" s="125">
        <v>0</v>
      </c>
      <c r="W332" s="125">
        <v>3.169</v>
      </c>
      <c r="X332" s="125">
        <v>0</v>
      </c>
      <c r="Y332" s="125">
        <v>0</v>
      </c>
      <c r="Z332" s="125">
        <v>0</v>
      </c>
      <c r="AA332" s="125">
        <v>20.875</v>
      </c>
      <c r="AB332" s="125">
        <v>24.44</v>
      </c>
      <c r="AC332" s="125">
        <v>189.7</v>
      </c>
      <c r="AD332" s="125">
        <v>0</v>
      </c>
      <c r="AE332" s="125">
        <v>9.3119999999999994</v>
      </c>
      <c r="AF332" s="125">
        <v>22.3078</v>
      </c>
      <c r="AG332" s="125">
        <v>0</v>
      </c>
      <c r="AH332" s="125">
        <v>0</v>
      </c>
      <c r="AI332" s="121">
        <v>1291064</v>
      </c>
      <c r="AJ332" s="121">
        <v>58904</v>
      </c>
      <c r="AK332" s="424">
        <v>12</v>
      </c>
      <c r="AL332">
        <v>0</v>
      </c>
      <c r="AM332" s="121">
        <v>43751</v>
      </c>
      <c r="AN332" s="125">
        <v>0</v>
      </c>
      <c r="AO332" s="125">
        <v>0</v>
      </c>
      <c r="AP332" s="121">
        <v>1349968</v>
      </c>
      <c r="AQ332" s="114">
        <v>0</v>
      </c>
      <c r="AR332" s="121">
        <v>81.244198275000002</v>
      </c>
      <c r="AS332" s="121">
        <v>15964.740087</v>
      </c>
      <c r="AT332" s="121">
        <v>2102.5491103999998</v>
      </c>
      <c r="AU332" s="420" t="s">
        <v>2001</v>
      </c>
      <c r="AV332" s="420" t="s">
        <v>2001</v>
      </c>
      <c r="AW332" s="121">
        <v>0</v>
      </c>
      <c r="AX332" s="121">
        <v>110134</v>
      </c>
      <c r="BI332">
        <v>0</v>
      </c>
      <c r="BJ332" s="121">
        <v>0</v>
      </c>
      <c r="BK332" s="134">
        <v>121885891</v>
      </c>
      <c r="BL332" s="934">
        <v>4722</v>
      </c>
      <c r="BM332" s="934">
        <v>5047</v>
      </c>
      <c r="BN332" s="934">
        <v>5044</v>
      </c>
      <c r="BO332" s="114">
        <v>0</v>
      </c>
      <c r="BP332" s="114">
        <v>0</v>
      </c>
    </row>
    <row r="333" spans="1:68">
      <c r="A333" t="s">
        <v>2199</v>
      </c>
      <c r="B333" t="s">
        <v>968</v>
      </c>
      <c r="C333" s="121">
        <v>6566</v>
      </c>
      <c r="D333" s="72">
        <v>3</v>
      </c>
      <c r="E333">
        <v>0</v>
      </c>
      <c r="F333">
        <v>16</v>
      </c>
      <c r="G333">
        <v>13</v>
      </c>
      <c r="H333">
        <v>0</v>
      </c>
      <c r="I333" s="173">
        <v>0.90669999999999995</v>
      </c>
      <c r="J333" s="121">
        <v>567189394</v>
      </c>
      <c r="K333" s="125">
        <v>362.36399999999998</v>
      </c>
      <c r="L333" s="173">
        <v>1.3</v>
      </c>
      <c r="M333">
        <v>0.90669999999999995</v>
      </c>
      <c r="N333">
        <v>0.86666667100000006</v>
      </c>
      <c r="O333">
        <v>4.0033328999999895</v>
      </c>
      <c r="P333">
        <v>230.31100000000001</v>
      </c>
      <c r="Q333" s="125">
        <v>0</v>
      </c>
      <c r="R333" s="125">
        <v>0</v>
      </c>
      <c r="S333" s="125">
        <v>0.28799999999999998</v>
      </c>
      <c r="T333" s="125">
        <v>1.091</v>
      </c>
      <c r="U333" s="125">
        <v>0</v>
      </c>
      <c r="V333" s="125">
        <v>0</v>
      </c>
      <c r="W333" s="125">
        <v>0</v>
      </c>
      <c r="X333" s="125">
        <v>0</v>
      </c>
      <c r="Y333" s="125">
        <v>0</v>
      </c>
      <c r="Z333" s="125">
        <v>0</v>
      </c>
      <c r="AA333" s="125">
        <v>10.571</v>
      </c>
      <c r="AB333" s="125">
        <v>0</v>
      </c>
      <c r="AC333" s="125">
        <v>87.4</v>
      </c>
      <c r="AD333" s="125">
        <v>0</v>
      </c>
      <c r="AE333" s="125">
        <v>1.0309999999999999</v>
      </c>
      <c r="AF333" s="125">
        <v>11.515549999999999</v>
      </c>
      <c r="AG333" s="125">
        <v>0</v>
      </c>
      <c r="AH333" s="125">
        <v>0</v>
      </c>
      <c r="AI333" s="121">
        <v>4378398</v>
      </c>
      <c r="AJ333" s="121">
        <v>0</v>
      </c>
      <c r="AK333" s="424">
        <v>6</v>
      </c>
      <c r="AL333">
        <v>0</v>
      </c>
      <c r="AM333" s="121">
        <v>0</v>
      </c>
      <c r="AN333" s="125">
        <v>0</v>
      </c>
      <c r="AO333" s="125">
        <v>0</v>
      </c>
      <c r="AP333" s="121">
        <v>4378398</v>
      </c>
      <c r="AQ333" s="114">
        <v>0</v>
      </c>
      <c r="AR333" s="121">
        <v>0</v>
      </c>
      <c r="AS333" s="121">
        <v>0</v>
      </c>
      <c r="AT333" s="121">
        <v>0</v>
      </c>
      <c r="AU333" s="420" t="s">
        <v>798</v>
      </c>
      <c r="AV333" s="420" t="s">
        <v>2001</v>
      </c>
      <c r="AW333" s="121">
        <v>0</v>
      </c>
      <c r="AX333" s="121">
        <v>0</v>
      </c>
      <c r="AY333" s="134">
        <v>109899</v>
      </c>
      <c r="AZ333" s="134">
        <v>242631</v>
      </c>
      <c r="BA333" s="114">
        <v>172</v>
      </c>
      <c r="BB333" s="134">
        <v>27975404</v>
      </c>
      <c r="BC333" s="114">
        <v>0</v>
      </c>
      <c r="BD333" s="114">
        <v>0</v>
      </c>
      <c r="BE333" s="114">
        <v>0</v>
      </c>
      <c r="BF333" s="114">
        <v>160</v>
      </c>
      <c r="BG333" s="114">
        <v>0</v>
      </c>
      <c r="BH333" s="114">
        <v>0</v>
      </c>
      <c r="BI333">
        <v>0</v>
      </c>
      <c r="BJ333" s="121">
        <v>145</v>
      </c>
      <c r="BK333" s="134">
        <v>474122478</v>
      </c>
      <c r="BL333" s="934">
        <v>5789</v>
      </c>
      <c r="BM333" s="934">
        <v>6149</v>
      </c>
      <c r="BN333" s="934">
        <v>6566</v>
      </c>
      <c r="BO333" s="114">
        <v>0</v>
      </c>
      <c r="BP333" s="114">
        <v>0</v>
      </c>
    </row>
    <row r="334" spans="1:68">
      <c r="A334" t="s">
        <v>1403</v>
      </c>
      <c r="B334" t="s">
        <v>2494</v>
      </c>
      <c r="C334" s="121">
        <v>4430</v>
      </c>
      <c r="D334" s="72">
        <v>1</v>
      </c>
      <c r="E334">
        <v>211.79300000000001</v>
      </c>
      <c r="F334">
        <v>77</v>
      </c>
      <c r="G334">
        <v>79</v>
      </c>
      <c r="H334">
        <v>0</v>
      </c>
      <c r="I334" s="173">
        <v>1.17</v>
      </c>
      <c r="J334" s="121">
        <v>111245159</v>
      </c>
      <c r="K334" s="125">
        <v>1438.559</v>
      </c>
      <c r="L334" s="173">
        <v>1.5</v>
      </c>
      <c r="M334">
        <v>1.17</v>
      </c>
      <c r="N334">
        <v>1.000000005</v>
      </c>
      <c r="O334">
        <v>16.999999499999994</v>
      </c>
      <c r="P334">
        <v>735.23099999999999</v>
      </c>
      <c r="Q334" s="125">
        <v>0</v>
      </c>
      <c r="R334" s="125">
        <v>0</v>
      </c>
      <c r="S334" s="125">
        <v>1.194</v>
      </c>
      <c r="T334" s="125">
        <v>26.215</v>
      </c>
      <c r="U334" s="125">
        <v>8.7530000000000001</v>
      </c>
      <c r="V334" s="125">
        <v>0</v>
      </c>
      <c r="W334" s="125">
        <v>1.901</v>
      </c>
      <c r="X334" s="125">
        <v>0</v>
      </c>
      <c r="Y334" s="125">
        <v>0</v>
      </c>
      <c r="Z334" s="125">
        <v>6.609</v>
      </c>
      <c r="AA334" s="125">
        <v>17.795000000000002</v>
      </c>
      <c r="AB334" s="125">
        <v>33.720999999999997</v>
      </c>
      <c r="AC334" s="125">
        <v>699.6</v>
      </c>
      <c r="AD334" s="125">
        <v>0.92</v>
      </c>
      <c r="AE334" s="125">
        <v>54.911999999999999</v>
      </c>
      <c r="AF334" s="125">
        <v>36.76155</v>
      </c>
      <c r="AG334" s="125">
        <v>0</v>
      </c>
      <c r="AH334" s="125">
        <v>0</v>
      </c>
      <c r="AI334" s="121">
        <v>1187146</v>
      </c>
      <c r="AJ334" s="121">
        <v>81261</v>
      </c>
      <c r="AK334" s="424">
        <v>12</v>
      </c>
      <c r="AL334">
        <v>0</v>
      </c>
      <c r="AM334" s="121">
        <v>45268</v>
      </c>
      <c r="AN334" s="125">
        <v>0</v>
      </c>
      <c r="AO334" s="125">
        <v>0</v>
      </c>
      <c r="AP334" s="121">
        <v>1268407</v>
      </c>
      <c r="AQ334" s="114">
        <v>0</v>
      </c>
      <c r="AR334" s="121">
        <v>74.151517608999995</v>
      </c>
      <c r="AS334" s="121">
        <v>14571.006063000001</v>
      </c>
      <c r="AT334" s="121">
        <v>1918.9949644999999</v>
      </c>
      <c r="AU334" s="420" t="s">
        <v>2001</v>
      </c>
      <c r="AV334" s="420" t="s">
        <v>2001</v>
      </c>
      <c r="AW334" s="121">
        <v>0</v>
      </c>
      <c r="AX334" s="121">
        <v>190688</v>
      </c>
      <c r="BI334">
        <v>0</v>
      </c>
      <c r="BJ334" s="121">
        <v>0</v>
      </c>
      <c r="BK334" s="134">
        <v>108577292</v>
      </c>
      <c r="BL334" s="934">
        <v>4430</v>
      </c>
      <c r="BM334" s="934">
        <v>4419</v>
      </c>
      <c r="BN334" s="934">
        <v>4419</v>
      </c>
      <c r="BO334" s="114">
        <v>0</v>
      </c>
      <c r="BP334" s="114">
        <v>0</v>
      </c>
    </row>
    <row r="335" spans="1:68">
      <c r="A335" t="s">
        <v>2866</v>
      </c>
      <c r="B335" t="s">
        <v>2987</v>
      </c>
      <c r="C335" s="121">
        <v>4567</v>
      </c>
      <c r="D335" s="72">
        <v>2</v>
      </c>
      <c r="E335">
        <v>602.54300000000001</v>
      </c>
      <c r="F335">
        <v>182</v>
      </c>
      <c r="G335">
        <v>135</v>
      </c>
      <c r="H335">
        <v>7</v>
      </c>
      <c r="I335" s="173">
        <v>1.17</v>
      </c>
      <c r="J335" s="121">
        <v>324587403</v>
      </c>
      <c r="K335" s="125">
        <v>3294.6280000000002</v>
      </c>
      <c r="L335" s="173">
        <v>1.425</v>
      </c>
      <c r="M335">
        <v>1.17</v>
      </c>
      <c r="N335">
        <v>0.95000000475000002</v>
      </c>
      <c r="O335">
        <v>21.999999524999993</v>
      </c>
      <c r="P335">
        <v>2288.5050000000001</v>
      </c>
      <c r="Q335" s="125">
        <v>1.0999999999999999E-2</v>
      </c>
      <c r="R335" s="125">
        <v>0</v>
      </c>
      <c r="S335" s="125">
        <v>3.3290000000000002</v>
      </c>
      <c r="T335" s="125">
        <v>57.354999999999997</v>
      </c>
      <c r="U335" s="125">
        <v>19.161999999999999</v>
      </c>
      <c r="V335" s="125">
        <v>0</v>
      </c>
      <c r="W335" s="125">
        <v>4.0460000000000003</v>
      </c>
      <c r="X335" s="125">
        <v>0</v>
      </c>
      <c r="Y335" s="125">
        <v>0</v>
      </c>
      <c r="Z335" s="125">
        <v>2.8370000000000002</v>
      </c>
      <c r="AA335" s="125">
        <v>10.44</v>
      </c>
      <c r="AB335" s="125">
        <v>91.698999999999998</v>
      </c>
      <c r="AC335" s="125">
        <v>2160.5</v>
      </c>
      <c r="AD335" s="125">
        <v>2.738</v>
      </c>
      <c r="AE335" s="125">
        <v>130.22499999999999</v>
      </c>
      <c r="AF335" s="125">
        <v>114.425</v>
      </c>
      <c r="AG335" s="125">
        <v>0</v>
      </c>
      <c r="AH335" s="125">
        <v>0</v>
      </c>
      <c r="AI335" s="121">
        <v>4352235</v>
      </c>
      <c r="AJ335" s="121">
        <v>413369</v>
      </c>
      <c r="AK335" s="424">
        <v>12</v>
      </c>
      <c r="AL335">
        <v>0</v>
      </c>
      <c r="AM335" s="121">
        <v>128979</v>
      </c>
      <c r="AN335" s="125">
        <v>0</v>
      </c>
      <c r="AO335" s="125">
        <v>0</v>
      </c>
      <c r="AP335" s="121">
        <v>4765604</v>
      </c>
      <c r="AQ335" s="114">
        <v>0</v>
      </c>
      <c r="AR335" s="121">
        <v>216.35681625999999</v>
      </c>
      <c r="AS335" s="121">
        <v>42514.793806000001</v>
      </c>
      <c r="AT335" s="121">
        <v>5599.1792796</v>
      </c>
      <c r="AU335" s="420" t="s">
        <v>2001</v>
      </c>
      <c r="AV335" s="420" t="s">
        <v>2001</v>
      </c>
      <c r="AW335" s="121">
        <v>0</v>
      </c>
      <c r="AX335" s="121">
        <v>1497132</v>
      </c>
      <c r="BI335">
        <v>0</v>
      </c>
      <c r="BJ335" s="121">
        <v>0</v>
      </c>
      <c r="BK335" s="134">
        <v>310210175</v>
      </c>
      <c r="BL335" s="934">
        <v>4540</v>
      </c>
      <c r="BM335" s="934">
        <v>4567</v>
      </c>
      <c r="BN335" s="934">
        <v>4516</v>
      </c>
      <c r="BO335" s="114">
        <v>0</v>
      </c>
      <c r="BP335" s="114">
        <v>0</v>
      </c>
    </row>
    <row r="336" spans="1:68">
      <c r="A336" t="s">
        <v>2200</v>
      </c>
      <c r="B336" t="s">
        <v>969</v>
      </c>
      <c r="C336" s="121">
        <v>6348</v>
      </c>
      <c r="D336" s="72">
        <v>3</v>
      </c>
      <c r="E336">
        <v>173.30099999999999</v>
      </c>
      <c r="F336">
        <v>72</v>
      </c>
      <c r="G336">
        <v>51</v>
      </c>
      <c r="H336">
        <v>0</v>
      </c>
      <c r="I336" s="173">
        <v>0.95650000000000002</v>
      </c>
      <c r="J336" s="121">
        <v>198937753</v>
      </c>
      <c r="K336" s="125">
        <v>966.82500000000005</v>
      </c>
      <c r="L336" s="173">
        <v>1.28</v>
      </c>
      <c r="M336">
        <v>0.95650000000000002</v>
      </c>
      <c r="N336">
        <v>0.85333333760000007</v>
      </c>
      <c r="O336">
        <v>10.316666239999995</v>
      </c>
      <c r="P336">
        <v>511.09500000000003</v>
      </c>
      <c r="Q336" s="125">
        <v>0.316</v>
      </c>
      <c r="R336" s="125">
        <v>0</v>
      </c>
      <c r="S336" s="125">
        <v>0.81799999999999995</v>
      </c>
      <c r="T336" s="125">
        <v>19.501000000000001</v>
      </c>
      <c r="U336" s="125">
        <v>2.411</v>
      </c>
      <c r="V336" s="125">
        <v>1.1910000000000001</v>
      </c>
      <c r="W336" s="125">
        <v>0</v>
      </c>
      <c r="X336" s="125">
        <v>0</v>
      </c>
      <c r="Y336" s="125">
        <v>0</v>
      </c>
      <c r="Z336" s="125">
        <v>0</v>
      </c>
      <c r="AA336" s="125">
        <v>36.036999999999999</v>
      </c>
      <c r="AB336" s="125">
        <v>43.886000000000003</v>
      </c>
      <c r="AC336" s="125">
        <v>476.5</v>
      </c>
      <c r="AD336" s="125">
        <v>2.5999999999999999E-2</v>
      </c>
      <c r="AE336" s="125">
        <v>44.18</v>
      </c>
      <c r="AF336" s="125">
        <v>25.554749999999999</v>
      </c>
      <c r="AG336" s="125">
        <v>0</v>
      </c>
      <c r="AH336" s="125">
        <v>0</v>
      </c>
      <c r="AI336" s="121">
        <v>1997982</v>
      </c>
      <c r="AJ336" s="121">
        <v>0</v>
      </c>
      <c r="AK336" s="424">
        <v>12</v>
      </c>
      <c r="AL336">
        <v>0</v>
      </c>
      <c r="AM336" s="121">
        <v>67420</v>
      </c>
      <c r="AN336" s="125">
        <v>0</v>
      </c>
      <c r="AO336" s="125">
        <v>0</v>
      </c>
      <c r="AP336" s="121">
        <v>1997982</v>
      </c>
      <c r="AQ336" s="114">
        <v>0</v>
      </c>
      <c r="AR336" s="121">
        <v>132.60384869999999</v>
      </c>
      <c r="AS336" s="121">
        <v>26057.072677</v>
      </c>
      <c r="AT336" s="121">
        <v>3431.7047868999998</v>
      </c>
      <c r="AU336" s="420" t="s">
        <v>2001</v>
      </c>
      <c r="AV336" s="420" t="s">
        <v>2001</v>
      </c>
      <c r="AW336" s="121">
        <v>0</v>
      </c>
      <c r="AX336" s="121">
        <v>0</v>
      </c>
      <c r="BI336">
        <v>0</v>
      </c>
      <c r="BJ336" s="121">
        <v>0</v>
      </c>
      <c r="BK336" s="134">
        <v>198937753</v>
      </c>
      <c r="BL336" s="934">
        <v>4857</v>
      </c>
      <c r="BM336" s="934">
        <v>5764</v>
      </c>
      <c r="BN336" s="934">
        <v>6348</v>
      </c>
      <c r="BO336" s="114">
        <v>0</v>
      </c>
      <c r="BP336" s="114">
        <v>0</v>
      </c>
    </row>
    <row r="337" spans="1:68">
      <c r="A337" t="s">
        <v>2420</v>
      </c>
      <c r="B337" t="s">
        <v>577</v>
      </c>
      <c r="C337" s="121">
        <v>6977</v>
      </c>
      <c r="D337" s="72">
        <v>2</v>
      </c>
      <c r="E337">
        <v>43.603999999999999</v>
      </c>
      <c r="F337">
        <v>22</v>
      </c>
      <c r="G337">
        <v>11</v>
      </c>
      <c r="H337">
        <v>1</v>
      </c>
      <c r="I337" s="173">
        <v>0.84</v>
      </c>
      <c r="J337" s="121">
        <v>427085562</v>
      </c>
      <c r="K337" s="125">
        <v>279.60300000000001</v>
      </c>
      <c r="L337" s="173">
        <v>1.18</v>
      </c>
      <c r="M337">
        <v>0.84</v>
      </c>
      <c r="N337">
        <v>0.78666667059999995</v>
      </c>
      <c r="O337">
        <v>5.3333329400000018</v>
      </c>
      <c r="P337">
        <v>124.13500000000001</v>
      </c>
      <c r="Q337" s="125">
        <v>0</v>
      </c>
      <c r="R337" s="125">
        <v>0</v>
      </c>
      <c r="S337" s="125">
        <v>0.13500000000000001</v>
      </c>
      <c r="T337" s="125">
        <v>4.133</v>
      </c>
      <c r="U337" s="125">
        <v>0</v>
      </c>
      <c r="V337" s="125">
        <v>0</v>
      </c>
      <c r="W337" s="125">
        <v>0</v>
      </c>
      <c r="X337" s="125">
        <v>0</v>
      </c>
      <c r="Y337" s="125">
        <v>0</v>
      </c>
      <c r="Z337" s="125">
        <v>0</v>
      </c>
      <c r="AA337" s="125">
        <v>6.9729999999999999</v>
      </c>
      <c r="AB337" s="125">
        <v>16.559000000000001</v>
      </c>
      <c r="AC337" s="125">
        <v>102.7</v>
      </c>
      <c r="AD337" s="125">
        <v>0</v>
      </c>
      <c r="AE337" s="125">
        <v>10.506</v>
      </c>
      <c r="AF337" s="125">
        <v>6.2067500000000004</v>
      </c>
      <c r="AG337" s="125">
        <v>0</v>
      </c>
      <c r="AH337" s="125">
        <v>0</v>
      </c>
      <c r="AI337" s="121">
        <v>3729226</v>
      </c>
      <c r="AJ337" s="121">
        <v>367999</v>
      </c>
      <c r="AK337" s="424">
        <v>12</v>
      </c>
      <c r="AL337">
        <v>0</v>
      </c>
      <c r="AM337" s="121">
        <v>11573</v>
      </c>
      <c r="AN337" s="125">
        <v>0</v>
      </c>
      <c r="AO337" s="125">
        <v>0</v>
      </c>
      <c r="AP337" s="121">
        <v>4097225</v>
      </c>
      <c r="AQ337" s="114">
        <v>0</v>
      </c>
      <c r="AR337" s="121">
        <v>0</v>
      </c>
      <c r="AS337" s="121">
        <v>0</v>
      </c>
      <c r="AT337" s="121">
        <v>0</v>
      </c>
      <c r="AU337" s="420" t="s">
        <v>798</v>
      </c>
      <c r="AV337" s="420" t="s">
        <v>2001</v>
      </c>
      <c r="AW337" s="121">
        <v>0</v>
      </c>
      <c r="AX337" s="121">
        <v>356825</v>
      </c>
      <c r="AY337" s="134">
        <v>910830</v>
      </c>
      <c r="AZ337" s="134">
        <v>565575</v>
      </c>
      <c r="BA337" s="114">
        <v>243</v>
      </c>
      <c r="BB337" s="134">
        <v>302151921</v>
      </c>
      <c r="BC337" s="114">
        <v>0</v>
      </c>
      <c r="BD337" s="114">
        <v>0</v>
      </c>
      <c r="BE337" s="114">
        <v>0</v>
      </c>
      <c r="BF337" s="114">
        <v>129</v>
      </c>
      <c r="BG337" s="114">
        <v>0</v>
      </c>
      <c r="BH337" s="114">
        <v>0</v>
      </c>
      <c r="BI337">
        <v>0</v>
      </c>
      <c r="BJ337" s="121">
        <v>0</v>
      </c>
      <c r="BK337" s="134">
        <v>427085562</v>
      </c>
      <c r="BL337" s="934">
        <v>6710</v>
      </c>
      <c r="BM337" s="934">
        <v>6977</v>
      </c>
      <c r="BN337" s="934">
        <v>6915</v>
      </c>
      <c r="BO337" s="114">
        <v>0</v>
      </c>
      <c r="BP337" s="114">
        <v>0</v>
      </c>
    </row>
    <row r="338" spans="1:68">
      <c r="A338" t="s">
        <v>2490</v>
      </c>
      <c r="B338" t="s">
        <v>578</v>
      </c>
      <c r="C338" s="121">
        <v>5446</v>
      </c>
      <c r="D338" s="72">
        <v>2</v>
      </c>
      <c r="E338">
        <v>590.827</v>
      </c>
      <c r="F338">
        <v>218</v>
      </c>
      <c r="G338">
        <v>403</v>
      </c>
      <c r="H338">
        <v>12</v>
      </c>
      <c r="I338" s="173">
        <v>0.72</v>
      </c>
      <c r="J338" s="121">
        <v>3954652182</v>
      </c>
      <c r="K338" s="125">
        <v>2816.569</v>
      </c>
      <c r="L338" s="173">
        <v>1.01</v>
      </c>
      <c r="M338">
        <v>0.72</v>
      </c>
      <c r="N338">
        <v>0.67333333670000006</v>
      </c>
      <c r="O338">
        <v>4.6666663299999911</v>
      </c>
      <c r="P338">
        <v>2104.35</v>
      </c>
      <c r="Q338" s="125">
        <v>0.35199999999999998</v>
      </c>
      <c r="R338" s="125">
        <v>0</v>
      </c>
      <c r="S338" s="125">
        <v>4.5049999999999999</v>
      </c>
      <c r="T338" s="125">
        <v>78.227000000000004</v>
      </c>
      <c r="U338" s="125">
        <v>25.53</v>
      </c>
      <c r="V338" s="125">
        <v>0</v>
      </c>
      <c r="W338" s="125">
        <v>0</v>
      </c>
      <c r="X338" s="125">
        <v>0</v>
      </c>
      <c r="Y338" s="125">
        <v>0</v>
      </c>
      <c r="Z338" s="125">
        <v>0</v>
      </c>
      <c r="AA338" s="125">
        <v>27.7</v>
      </c>
      <c r="AB338" s="125">
        <v>72.796999999999997</v>
      </c>
      <c r="AC338" s="125">
        <v>1455.3</v>
      </c>
      <c r="AD338" s="125">
        <v>2.0009999999999999</v>
      </c>
      <c r="AE338" s="125">
        <v>244.53899999999999</v>
      </c>
      <c r="AF338" s="125">
        <v>105.2175</v>
      </c>
      <c r="AG338" s="125">
        <v>0</v>
      </c>
      <c r="AH338" s="125">
        <v>0</v>
      </c>
      <c r="AI338" s="121">
        <v>29897170</v>
      </c>
      <c r="AJ338" s="121">
        <v>1313757</v>
      </c>
      <c r="AK338" s="424">
        <v>12</v>
      </c>
      <c r="AL338">
        <v>0</v>
      </c>
      <c r="AM338" s="121">
        <v>251841</v>
      </c>
      <c r="AN338" s="125">
        <v>0</v>
      </c>
      <c r="AO338" s="125">
        <v>0</v>
      </c>
      <c r="AP338" s="121">
        <v>31210927</v>
      </c>
      <c r="AQ338" s="114">
        <v>0</v>
      </c>
      <c r="AR338" s="121">
        <v>0</v>
      </c>
      <c r="AS338" s="121">
        <v>0</v>
      </c>
      <c r="AT338" s="121">
        <v>0</v>
      </c>
      <c r="AU338" s="420" t="s">
        <v>798</v>
      </c>
      <c r="AV338" s="420" t="s">
        <v>2001</v>
      </c>
      <c r="AW338" s="121">
        <v>0</v>
      </c>
      <c r="AX338" s="121">
        <v>0</v>
      </c>
      <c r="AY338" s="134">
        <v>6590227</v>
      </c>
      <c r="AZ338" s="134">
        <v>6438445</v>
      </c>
      <c r="BA338" s="134">
        <v>2494</v>
      </c>
      <c r="BB338" s="134">
        <v>3513141454</v>
      </c>
      <c r="BC338" s="114">
        <v>0</v>
      </c>
      <c r="BD338" s="114">
        <v>0</v>
      </c>
      <c r="BE338" s="114">
        <v>0</v>
      </c>
      <c r="BF338" s="134">
        <v>2296</v>
      </c>
      <c r="BG338" s="114">
        <v>0</v>
      </c>
      <c r="BH338" s="114">
        <v>0</v>
      </c>
      <c r="BI338">
        <v>0</v>
      </c>
      <c r="BJ338" s="121">
        <v>0</v>
      </c>
      <c r="BK338" s="134">
        <v>3954652182</v>
      </c>
      <c r="BL338" s="934">
        <v>4994</v>
      </c>
      <c r="BM338" s="934">
        <v>5446</v>
      </c>
      <c r="BN338" s="934">
        <v>5156</v>
      </c>
      <c r="BO338" s="114">
        <v>0</v>
      </c>
      <c r="BP338" s="114">
        <v>0</v>
      </c>
    </row>
    <row r="339" spans="1:68">
      <c r="A339" t="s">
        <v>2270</v>
      </c>
      <c r="B339" t="s">
        <v>397</v>
      </c>
      <c r="C339" s="121">
        <v>4961</v>
      </c>
      <c r="D339" s="72">
        <v>2</v>
      </c>
      <c r="E339">
        <v>1957.9960000000001</v>
      </c>
      <c r="F339">
        <v>586</v>
      </c>
      <c r="G339">
        <v>343</v>
      </c>
      <c r="H339">
        <v>42</v>
      </c>
      <c r="I339" s="173">
        <v>1.04</v>
      </c>
      <c r="J339" s="121">
        <v>2159806022</v>
      </c>
      <c r="K339" s="125">
        <v>10432.848</v>
      </c>
      <c r="L339" s="173">
        <v>1.5</v>
      </c>
      <c r="M339">
        <v>1.04</v>
      </c>
      <c r="N339">
        <v>1.000000005</v>
      </c>
      <c r="O339">
        <v>3.9999995000000066</v>
      </c>
      <c r="P339">
        <v>7900</v>
      </c>
      <c r="Q339" s="125">
        <v>0.9</v>
      </c>
      <c r="R339" s="125">
        <v>0</v>
      </c>
      <c r="S339" s="125">
        <v>11</v>
      </c>
      <c r="T339" s="125">
        <v>124</v>
      </c>
      <c r="U339" s="125">
        <v>70</v>
      </c>
      <c r="V339" s="125">
        <v>0</v>
      </c>
      <c r="W339" s="125">
        <v>4.4000000000000004</v>
      </c>
      <c r="X339" s="125">
        <v>0</v>
      </c>
      <c r="Y339" s="125">
        <v>4.5</v>
      </c>
      <c r="Z339" s="125">
        <v>0</v>
      </c>
      <c r="AA339" s="125">
        <v>285</v>
      </c>
      <c r="AB339" s="125">
        <v>270</v>
      </c>
      <c r="AC339" s="125">
        <v>5200</v>
      </c>
      <c r="AD339" s="125">
        <v>2.7</v>
      </c>
      <c r="AE339" s="125">
        <v>960</v>
      </c>
      <c r="AF339" s="125">
        <v>330</v>
      </c>
      <c r="AG339" s="125">
        <v>0</v>
      </c>
      <c r="AH339" s="125">
        <v>0</v>
      </c>
      <c r="AI339" s="121">
        <v>22641678</v>
      </c>
      <c r="AJ339" s="121">
        <v>6933015</v>
      </c>
      <c r="AK339" s="424">
        <v>12</v>
      </c>
      <c r="AL339">
        <v>0</v>
      </c>
      <c r="AM339" s="121">
        <v>806751</v>
      </c>
      <c r="AN339" s="125">
        <v>1</v>
      </c>
      <c r="AO339" s="125">
        <v>0</v>
      </c>
      <c r="AP339" s="121">
        <v>29574693</v>
      </c>
      <c r="AQ339" s="114">
        <v>0</v>
      </c>
      <c r="AR339" s="121">
        <v>1439.6392169999999</v>
      </c>
      <c r="AS339" s="121">
        <v>282893.62695000001</v>
      </c>
      <c r="AT339" s="121">
        <v>37256.963813000002</v>
      </c>
      <c r="AU339" s="420" t="s">
        <v>2001</v>
      </c>
      <c r="AV339" s="420" t="s">
        <v>2001</v>
      </c>
      <c r="AW339" s="121">
        <v>0</v>
      </c>
      <c r="AX339" s="121">
        <v>8613431</v>
      </c>
      <c r="BI339">
        <v>0</v>
      </c>
      <c r="BJ339" s="121">
        <v>0</v>
      </c>
      <c r="BK339" s="134">
        <v>2159806022</v>
      </c>
      <c r="BL339" s="934">
        <v>4766</v>
      </c>
      <c r="BM339" s="934">
        <v>4961</v>
      </c>
      <c r="BN339" s="934">
        <v>4961</v>
      </c>
      <c r="BO339" s="114">
        <v>0</v>
      </c>
      <c r="BP339" s="114">
        <v>0</v>
      </c>
    </row>
    <row r="340" spans="1:68">
      <c r="A340" t="s">
        <v>2550</v>
      </c>
      <c r="B340" t="s">
        <v>398</v>
      </c>
      <c r="C340" s="121">
        <v>5659</v>
      </c>
      <c r="D340" s="72">
        <v>2</v>
      </c>
      <c r="E340">
        <v>2114.2350000000001</v>
      </c>
      <c r="F340">
        <v>552</v>
      </c>
      <c r="G340">
        <v>473</v>
      </c>
      <c r="H340">
        <v>43</v>
      </c>
      <c r="I340" s="173">
        <v>1.04</v>
      </c>
      <c r="J340" s="121">
        <v>4644788842</v>
      </c>
      <c r="K340" s="125">
        <v>10612.674999999999</v>
      </c>
      <c r="L340" s="173">
        <v>1.5</v>
      </c>
      <c r="M340">
        <v>1.04</v>
      </c>
      <c r="N340">
        <v>1.000000005</v>
      </c>
      <c r="O340">
        <v>3.9999995000000066</v>
      </c>
      <c r="P340">
        <v>7599.357</v>
      </c>
      <c r="Q340" s="125">
        <v>3.8540000000000001</v>
      </c>
      <c r="R340" s="125">
        <v>0.38300000000000001</v>
      </c>
      <c r="S340" s="125">
        <v>9.7639999999999993</v>
      </c>
      <c r="T340" s="125">
        <v>144.57</v>
      </c>
      <c r="U340" s="125">
        <v>83.804000000000002</v>
      </c>
      <c r="V340" s="125">
        <v>0</v>
      </c>
      <c r="W340" s="125">
        <v>17.571000000000002</v>
      </c>
      <c r="X340" s="125">
        <v>0</v>
      </c>
      <c r="Y340" s="125">
        <v>0</v>
      </c>
      <c r="Z340" s="125">
        <v>0</v>
      </c>
      <c r="AA340" s="125">
        <v>221.89599999999999</v>
      </c>
      <c r="AB340" s="125">
        <v>297.35599999999999</v>
      </c>
      <c r="AC340" s="125">
        <v>6979.8</v>
      </c>
      <c r="AD340" s="125">
        <v>4.6630000000000003</v>
      </c>
      <c r="AE340" s="125">
        <v>1064.9190000000001</v>
      </c>
      <c r="AF340" s="125">
        <v>379.96785</v>
      </c>
      <c r="AG340" s="125">
        <v>0</v>
      </c>
      <c r="AH340" s="125">
        <v>0</v>
      </c>
      <c r="AI340" s="121">
        <v>50721094</v>
      </c>
      <c r="AJ340" s="121">
        <v>6380979</v>
      </c>
      <c r="AK340" s="424">
        <v>12</v>
      </c>
      <c r="AL340">
        <v>0</v>
      </c>
      <c r="AM340" s="121">
        <v>380478</v>
      </c>
      <c r="AN340" s="125">
        <v>0</v>
      </c>
      <c r="AO340" s="125">
        <v>1</v>
      </c>
      <c r="AP340" s="121">
        <v>57102073</v>
      </c>
      <c r="AQ340" s="114">
        <v>0</v>
      </c>
      <c r="AR340" s="121">
        <v>0</v>
      </c>
      <c r="AS340" s="121">
        <v>0</v>
      </c>
      <c r="AT340" s="121">
        <v>0</v>
      </c>
      <c r="AU340" s="420" t="s">
        <v>798</v>
      </c>
      <c r="AV340" s="72" t="s">
        <v>798</v>
      </c>
      <c r="AW340" s="121">
        <v>0</v>
      </c>
      <c r="AX340" s="121">
        <v>6224895</v>
      </c>
      <c r="AY340" s="134">
        <v>10790350</v>
      </c>
      <c r="AZ340" s="134">
        <v>29443627</v>
      </c>
      <c r="BA340" s="134">
        <v>12360</v>
      </c>
      <c r="BB340" s="134">
        <v>2200339956</v>
      </c>
      <c r="BC340" s="114">
        <v>0</v>
      </c>
      <c r="BD340" s="114">
        <v>0</v>
      </c>
      <c r="BE340" s="114">
        <v>0</v>
      </c>
      <c r="BF340" s="134">
        <v>7891</v>
      </c>
      <c r="BG340" s="114">
        <v>0</v>
      </c>
      <c r="BH340" s="114">
        <v>0</v>
      </c>
      <c r="BI340">
        <v>0</v>
      </c>
      <c r="BJ340" s="121">
        <v>0</v>
      </c>
      <c r="BK340" s="134">
        <v>4644788842</v>
      </c>
      <c r="BL340" s="934">
        <v>5341</v>
      </c>
      <c r="BM340" s="934">
        <v>5659</v>
      </c>
      <c r="BN340" s="934">
        <v>5617</v>
      </c>
      <c r="BO340" s="114">
        <v>0</v>
      </c>
      <c r="BP340" s="114">
        <v>0</v>
      </c>
    </row>
    <row r="341" spans="1:68">
      <c r="A341" t="s">
        <v>2132</v>
      </c>
      <c r="B341" t="s">
        <v>2726</v>
      </c>
      <c r="C341" s="121">
        <v>5591</v>
      </c>
      <c r="D341" s="72">
        <v>2</v>
      </c>
      <c r="E341">
        <v>99.798000000000002</v>
      </c>
      <c r="F341">
        <v>23</v>
      </c>
      <c r="G341">
        <v>15</v>
      </c>
      <c r="H341">
        <v>2</v>
      </c>
      <c r="I341" s="173">
        <v>1.17</v>
      </c>
      <c r="J341" s="121">
        <v>130814936</v>
      </c>
      <c r="K341" s="125">
        <v>405.37299999999999</v>
      </c>
      <c r="L341" s="173">
        <v>1.5</v>
      </c>
      <c r="M341">
        <v>1.17</v>
      </c>
      <c r="N341">
        <v>1.000000005</v>
      </c>
      <c r="O341">
        <v>16.999999499999994</v>
      </c>
      <c r="P341">
        <v>225</v>
      </c>
      <c r="Q341" s="125">
        <v>0</v>
      </c>
      <c r="R341" s="125">
        <v>0</v>
      </c>
      <c r="S341" s="125">
        <v>0.32400000000000001</v>
      </c>
      <c r="T341" s="125">
        <v>11.444000000000001</v>
      </c>
      <c r="U341" s="125">
        <v>6.7000000000000004E-2</v>
      </c>
      <c r="V341" s="125">
        <v>0</v>
      </c>
      <c r="W341" s="125">
        <v>3.5009999999999999</v>
      </c>
      <c r="X341" s="125">
        <v>0</v>
      </c>
      <c r="Y341" s="125">
        <v>0</v>
      </c>
      <c r="Z341" s="125">
        <v>0</v>
      </c>
      <c r="AA341" s="125">
        <v>2.7330000000000001</v>
      </c>
      <c r="AB341" s="125">
        <v>8.9610000000000003</v>
      </c>
      <c r="AC341" s="125">
        <v>142.5</v>
      </c>
      <c r="AD341" s="125">
        <v>0</v>
      </c>
      <c r="AE341" s="125">
        <v>3.738</v>
      </c>
      <c r="AF341" s="125">
        <v>10.026999999999999</v>
      </c>
      <c r="AG341" s="125">
        <v>0</v>
      </c>
      <c r="AH341" s="125">
        <v>0</v>
      </c>
      <c r="AI341" s="121">
        <v>1506135</v>
      </c>
      <c r="AJ341" s="121">
        <v>157082</v>
      </c>
      <c r="AK341" s="424">
        <v>12</v>
      </c>
      <c r="AL341">
        <v>0</v>
      </c>
      <c r="AM341" s="121">
        <v>15745</v>
      </c>
      <c r="AN341" s="125">
        <v>0</v>
      </c>
      <c r="AO341" s="125">
        <v>0</v>
      </c>
      <c r="AP341" s="121">
        <v>1663217</v>
      </c>
      <c r="AQ341" s="114">
        <v>0</v>
      </c>
      <c r="AR341" s="121">
        <v>87.19593802</v>
      </c>
      <c r="AS341" s="121">
        <v>17134.275635999998</v>
      </c>
      <c r="AT341" s="121">
        <v>2256.5764178999998</v>
      </c>
      <c r="AU341" s="420" t="s">
        <v>798</v>
      </c>
      <c r="AV341" s="420" t="s">
        <v>2001</v>
      </c>
      <c r="AW341" s="121">
        <v>0</v>
      </c>
      <c r="AX341" s="121">
        <v>169420</v>
      </c>
      <c r="AY341" s="134">
        <v>356061</v>
      </c>
      <c r="AZ341" s="134">
        <v>1151091</v>
      </c>
      <c r="BA341" s="114">
        <v>269</v>
      </c>
      <c r="BB341" s="134">
        <v>69178176</v>
      </c>
      <c r="BC341" s="114">
        <v>0</v>
      </c>
      <c r="BD341" s="114">
        <v>0</v>
      </c>
      <c r="BE341" s="114">
        <v>0</v>
      </c>
      <c r="BF341" s="114">
        <v>220</v>
      </c>
      <c r="BG341" s="114">
        <v>0</v>
      </c>
      <c r="BH341" s="114">
        <v>0</v>
      </c>
      <c r="BI341">
        <v>0</v>
      </c>
      <c r="BJ341" s="121">
        <v>215</v>
      </c>
      <c r="BK341" s="134">
        <v>122599491</v>
      </c>
      <c r="BL341" s="934">
        <v>5065</v>
      </c>
      <c r="BM341" s="934">
        <v>5591</v>
      </c>
      <c r="BN341" s="934">
        <v>5123</v>
      </c>
      <c r="BO341" s="114">
        <v>0</v>
      </c>
      <c r="BP341" s="114">
        <v>0</v>
      </c>
    </row>
    <row r="342" spans="1:68">
      <c r="A342" t="s">
        <v>862</v>
      </c>
      <c r="B342" t="s">
        <v>399</v>
      </c>
      <c r="C342" s="121">
        <v>5044</v>
      </c>
      <c r="D342" s="72">
        <v>3</v>
      </c>
      <c r="E342">
        <v>927</v>
      </c>
      <c r="F342">
        <v>0</v>
      </c>
      <c r="G342">
        <v>0</v>
      </c>
      <c r="H342">
        <v>0</v>
      </c>
      <c r="I342" s="173">
        <v>1.04</v>
      </c>
      <c r="J342" s="121">
        <v>1494722274</v>
      </c>
      <c r="K342" s="125">
        <v>4900.6930000000002</v>
      </c>
      <c r="L342" s="173">
        <v>1.5</v>
      </c>
      <c r="M342">
        <v>1.04</v>
      </c>
      <c r="N342">
        <v>1.000000005</v>
      </c>
      <c r="O342">
        <v>3.9999995000000066</v>
      </c>
      <c r="P342">
        <v>3381.078</v>
      </c>
      <c r="Q342" s="125">
        <v>0.253</v>
      </c>
      <c r="R342" s="125">
        <v>0</v>
      </c>
      <c r="S342" s="125">
        <v>5.7389999999999999</v>
      </c>
      <c r="T342" s="125">
        <v>70.094999999999999</v>
      </c>
      <c r="U342" s="125">
        <v>28.96</v>
      </c>
      <c r="V342" s="125">
        <v>0</v>
      </c>
      <c r="W342" s="125">
        <v>3.101</v>
      </c>
      <c r="X342" s="125">
        <v>0</v>
      </c>
      <c r="Y342" s="125">
        <v>0</v>
      </c>
      <c r="Z342" s="125">
        <v>0</v>
      </c>
      <c r="AA342" s="125">
        <v>147.14599999999999</v>
      </c>
      <c r="AB342" s="125">
        <v>130.88</v>
      </c>
      <c r="AC342" s="125">
        <v>3035.6</v>
      </c>
      <c r="AD342" s="125">
        <v>3.4950000000000001</v>
      </c>
      <c r="AE342" s="125">
        <v>113.19199999999999</v>
      </c>
      <c r="AF342" s="125">
        <v>169.0539</v>
      </c>
      <c r="AG342" s="125">
        <v>0</v>
      </c>
      <c r="AH342" s="125">
        <v>0</v>
      </c>
      <c r="AI342" s="121">
        <v>15854450</v>
      </c>
      <c r="AJ342" s="121">
        <v>2785771</v>
      </c>
      <c r="AK342" s="424">
        <v>12</v>
      </c>
      <c r="AL342">
        <v>0</v>
      </c>
      <c r="AM342" s="121">
        <v>250189</v>
      </c>
      <c r="AN342" s="125">
        <v>1</v>
      </c>
      <c r="AO342" s="125">
        <v>0</v>
      </c>
      <c r="AP342" s="121">
        <v>18640221</v>
      </c>
      <c r="AQ342" s="114">
        <v>0</v>
      </c>
      <c r="AR342" s="121">
        <v>996.32132831000001</v>
      </c>
      <c r="AS342" s="121">
        <v>195780.26968999999</v>
      </c>
      <c r="AT342" s="121">
        <v>25784.173726000001</v>
      </c>
      <c r="AU342" s="420" t="s">
        <v>2001</v>
      </c>
      <c r="AV342" s="420" t="s">
        <v>2001</v>
      </c>
      <c r="AW342" s="121">
        <v>0</v>
      </c>
      <c r="AX342" s="121">
        <v>2811124</v>
      </c>
      <c r="BI342">
        <v>0</v>
      </c>
      <c r="BJ342" s="121">
        <v>0</v>
      </c>
      <c r="BK342" s="134">
        <v>1466538126</v>
      </c>
      <c r="BL342" s="934">
        <v>4746</v>
      </c>
      <c r="BM342" s="934">
        <v>5044</v>
      </c>
      <c r="BN342" s="934">
        <v>5044</v>
      </c>
      <c r="BO342" s="114">
        <v>0</v>
      </c>
      <c r="BP342" s="114">
        <v>0</v>
      </c>
    </row>
    <row r="343" spans="1:68">
      <c r="A343" t="s">
        <v>863</v>
      </c>
      <c r="B343" t="s">
        <v>400</v>
      </c>
      <c r="C343" s="121">
        <v>5762</v>
      </c>
      <c r="D343" s="72">
        <v>2</v>
      </c>
      <c r="E343">
        <v>1568.7280000000001</v>
      </c>
      <c r="F343">
        <v>445</v>
      </c>
      <c r="G343">
        <v>326</v>
      </c>
      <c r="H343">
        <v>36</v>
      </c>
      <c r="I343" s="173">
        <v>1.04</v>
      </c>
      <c r="J343" s="121">
        <v>4184197438</v>
      </c>
      <c r="K343" s="125">
        <v>7174.51</v>
      </c>
      <c r="L343" s="173">
        <v>1.5</v>
      </c>
      <c r="M343">
        <v>1.04</v>
      </c>
      <c r="N343">
        <v>1.000000005</v>
      </c>
      <c r="O343">
        <v>3.9999995000000066</v>
      </c>
      <c r="P343">
        <v>5389.1610000000001</v>
      </c>
      <c r="Q343" s="125">
        <v>0.313</v>
      </c>
      <c r="R343" s="125">
        <v>0</v>
      </c>
      <c r="S343" s="125">
        <v>7.8739999999999997</v>
      </c>
      <c r="T343" s="125">
        <v>76.844999999999999</v>
      </c>
      <c r="U343" s="125">
        <v>81.385999999999996</v>
      </c>
      <c r="V343" s="125">
        <v>0.38300000000000001</v>
      </c>
      <c r="W343" s="125">
        <v>5.5110000000000001</v>
      </c>
      <c r="X343" s="125">
        <v>0</v>
      </c>
      <c r="Y343" s="125">
        <v>0</v>
      </c>
      <c r="Z343" s="125">
        <v>0</v>
      </c>
      <c r="AA343" s="125">
        <v>108.49</v>
      </c>
      <c r="AB343" s="125">
        <v>221.316</v>
      </c>
      <c r="AC343" s="125">
        <v>3928.7</v>
      </c>
      <c r="AD343" s="125">
        <v>5.2309999999999999</v>
      </c>
      <c r="AE343" s="125">
        <v>378.31200000000001</v>
      </c>
      <c r="AF343" s="125">
        <v>269.45800000000003</v>
      </c>
      <c r="AG343" s="125">
        <v>0</v>
      </c>
      <c r="AH343" s="125">
        <v>0</v>
      </c>
      <c r="AI343" s="121">
        <v>44320693</v>
      </c>
      <c r="AJ343" s="121">
        <v>2896555</v>
      </c>
      <c r="AK343" s="424">
        <v>12</v>
      </c>
      <c r="AL343">
        <v>0</v>
      </c>
      <c r="AM343" s="121">
        <v>198451</v>
      </c>
      <c r="AN343" s="125">
        <v>0</v>
      </c>
      <c r="AO343" s="125">
        <v>0</v>
      </c>
      <c r="AP343" s="121">
        <v>47217248</v>
      </c>
      <c r="AQ343" s="114">
        <v>0</v>
      </c>
      <c r="AR343" s="121">
        <v>0</v>
      </c>
      <c r="AS343" s="121">
        <v>0</v>
      </c>
      <c r="AT343" s="121">
        <v>0</v>
      </c>
      <c r="AU343" s="420" t="s">
        <v>798</v>
      </c>
      <c r="AV343" s="420" t="s">
        <v>2001</v>
      </c>
      <c r="AW343" s="121">
        <v>0</v>
      </c>
      <c r="AX343" s="121">
        <v>2732489</v>
      </c>
      <c r="AY343" s="134">
        <v>9366681</v>
      </c>
      <c r="AZ343" s="134">
        <v>15881944</v>
      </c>
      <c r="BA343" s="134">
        <v>6710</v>
      </c>
      <c r="BB343" s="134">
        <v>2818421929</v>
      </c>
      <c r="BC343" s="114">
        <v>0</v>
      </c>
      <c r="BD343" s="114">
        <v>0</v>
      </c>
      <c r="BE343" s="114">
        <v>0</v>
      </c>
      <c r="BF343" s="134">
        <v>5752</v>
      </c>
      <c r="BG343" s="114">
        <v>0</v>
      </c>
      <c r="BH343" s="114">
        <v>0</v>
      </c>
      <c r="BI343">
        <v>0</v>
      </c>
      <c r="BJ343" s="121">
        <v>4019</v>
      </c>
      <c r="BK343" s="134">
        <v>4184197438</v>
      </c>
      <c r="BL343" s="934">
        <v>5762</v>
      </c>
      <c r="BM343" s="934">
        <v>5708</v>
      </c>
      <c r="BN343" s="934">
        <v>5694</v>
      </c>
      <c r="BO343" s="114">
        <v>0</v>
      </c>
      <c r="BP343" s="114">
        <v>0</v>
      </c>
    </row>
    <row r="344" spans="1:68">
      <c r="A344" t="s">
        <v>2817</v>
      </c>
      <c r="B344" t="s">
        <v>401</v>
      </c>
      <c r="C344" s="121">
        <v>5142</v>
      </c>
      <c r="D344" s="72">
        <v>2</v>
      </c>
      <c r="E344">
        <v>314.19600000000003</v>
      </c>
      <c r="F344">
        <v>93</v>
      </c>
      <c r="G344">
        <v>100</v>
      </c>
      <c r="H344">
        <v>2</v>
      </c>
      <c r="I344" s="173">
        <v>1.04</v>
      </c>
      <c r="J344" s="121">
        <v>487548512</v>
      </c>
      <c r="K344" s="125">
        <v>1826.905</v>
      </c>
      <c r="L344" s="173">
        <v>1.5</v>
      </c>
      <c r="M344">
        <v>1.04</v>
      </c>
      <c r="N344">
        <v>1.000000005</v>
      </c>
      <c r="O344">
        <v>3.9999995000000066</v>
      </c>
      <c r="P344">
        <v>1121.683</v>
      </c>
      <c r="Q344" s="125">
        <v>0.107</v>
      </c>
      <c r="R344" s="125">
        <v>0</v>
      </c>
      <c r="S344" s="125">
        <v>1.927</v>
      </c>
      <c r="T344" s="125">
        <v>11.382999999999999</v>
      </c>
      <c r="U344" s="125">
        <v>4.83</v>
      </c>
      <c r="V344" s="125">
        <v>0</v>
      </c>
      <c r="W344" s="125">
        <v>6.6000000000000003E-2</v>
      </c>
      <c r="X344" s="125">
        <v>0</v>
      </c>
      <c r="Y344" s="125">
        <v>0.99299999999999999</v>
      </c>
      <c r="Z344" s="125">
        <v>0</v>
      </c>
      <c r="AA344" s="125">
        <v>111.562</v>
      </c>
      <c r="AB344" s="125">
        <v>46.871000000000002</v>
      </c>
      <c r="AC344" s="125">
        <v>1110.5</v>
      </c>
      <c r="AD344" s="125">
        <v>1.23</v>
      </c>
      <c r="AE344" s="125">
        <v>80.17</v>
      </c>
      <c r="AF344" s="125">
        <v>56.084000000000003</v>
      </c>
      <c r="AG344" s="125">
        <v>0</v>
      </c>
      <c r="AH344" s="125">
        <v>0</v>
      </c>
      <c r="AI344" s="121">
        <v>5324030</v>
      </c>
      <c r="AJ344" s="121">
        <v>818366</v>
      </c>
      <c r="AK344" s="424">
        <v>12</v>
      </c>
      <c r="AL344">
        <v>0</v>
      </c>
      <c r="AM344" s="121">
        <v>122016</v>
      </c>
      <c r="AN344" s="125">
        <v>0</v>
      </c>
      <c r="AO344" s="125">
        <v>0</v>
      </c>
      <c r="AP344" s="121">
        <v>6142396</v>
      </c>
      <c r="AQ344" s="114">
        <v>0</v>
      </c>
      <c r="AR344" s="121">
        <v>324.98009123999998</v>
      </c>
      <c r="AS344" s="121">
        <v>63859.608440999997</v>
      </c>
      <c r="AT344" s="121">
        <v>8410.2817954999991</v>
      </c>
      <c r="AU344" s="420" t="s">
        <v>2001</v>
      </c>
      <c r="AV344" s="420" t="s">
        <v>2001</v>
      </c>
      <c r="AW344" s="121">
        <v>0</v>
      </c>
      <c r="AX344" s="121">
        <v>906337</v>
      </c>
      <c r="BI344">
        <v>0</v>
      </c>
      <c r="BJ344" s="121">
        <v>0</v>
      </c>
      <c r="BK344" s="134">
        <v>487548512</v>
      </c>
      <c r="BL344" s="934">
        <v>4920</v>
      </c>
      <c r="BM344" s="934">
        <v>5142</v>
      </c>
      <c r="BN344" s="934">
        <v>5129</v>
      </c>
      <c r="BO344" s="114">
        <v>0</v>
      </c>
      <c r="BP344" s="114">
        <v>0</v>
      </c>
    </row>
    <row r="345" spans="1:68">
      <c r="A345" t="s">
        <v>533</v>
      </c>
      <c r="B345" t="s">
        <v>98</v>
      </c>
      <c r="C345" s="121">
        <v>4645</v>
      </c>
      <c r="D345" s="72">
        <v>3</v>
      </c>
      <c r="E345">
        <v>1286.9690000000001</v>
      </c>
      <c r="F345">
        <v>317</v>
      </c>
      <c r="G345">
        <v>245</v>
      </c>
      <c r="H345">
        <v>1</v>
      </c>
      <c r="I345" s="173">
        <v>1.04</v>
      </c>
      <c r="J345" s="121">
        <v>892691152</v>
      </c>
      <c r="K345" s="125">
        <v>5350.3549999999996</v>
      </c>
      <c r="L345" s="173">
        <v>1.45</v>
      </c>
      <c r="M345">
        <v>1.04</v>
      </c>
      <c r="N345">
        <v>0.96666667149999996</v>
      </c>
      <c r="O345">
        <v>7.3333328500000068</v>
      </c>
      <c r="P345">
        <v>4280</v>
      </c>
      <c r="Q345" s="125">
        <v>0.42199999999999999</v>
      </c>
      <c r="R345" s="125">
        <v>0</v>
      </c>
      <c r="S345" s="125">
        <v>10.457000000000001</v>
      </c>
      <c r="T345" s="125">
        <v>93.073999999999998</v>
      </c>
      <c r="U345" s="125">
        <v>29.553000000000001</v>
      </c>
      <c r="V345" s="125">
        <v>6.8000000000000005E-2</v>
      </c>
      <c r="W345" s="125">
        <v>2.6150000000000002</v>
      </c>
      <c r="X345" s="125">
        <v>0</v>
      </c>
      <c r="Y345" s="125">
        <v>1.077</v>
      </c>
      <c r="Z345" s="125">
        <v>0</v>
      </c>
      <c r="AA345" s="125">
        <v>38.743000000000002</v>
      </c>
      <c r="AB345" s="125">
        <v>200.04</v>
      </c>
      <c r="AC345" s="125">
        <v>1300</v>
      </c>
      <c r="AD345" s="125">
        <v>0.53400000000000003</v>
      </c>
      <c r="AE345" s="125">
        <v>89.59</v>
      </c>
      <c r="AF345" s="125">
        <v>214</v>
      </c>
      <c r="AG345" s="125">
        <v>0</v>
      </c>
      <c r="AH345" s="125">
        <v>0</v>
      </c>
      <c r="AI345" s="121">
        <v>9748187</v>
      </c>
      <c r="AJ345" s="121">
        <v>1012089</v>
      </c>
      <c r="AK345" s="424">
        <v>12</v>
      </c>
      <c r="AL345">
        <v>0</v>
      </c>
      <c r="AM345" s="121">
        <v>369607</v>
      </c>
      <c r="AN345" s="125">
        <v>0</v>
      </c>
      <c r="AO345" s="125">
        <v>0</v>
      </c>
      <c r="AP345" s="121">
        <v>10760276</v>
      </c>
      <c r="AQ345" s="114">
        <v>0</v>
      </c>
      <c r="AR345" s="121">
        <v>595.03176583000004</v>
      </c>
      <c r="AS345" s="121">
        <v>116925.61052</v>
      </c>
      <c r="AT345" s="121">
        <v>15399.050474</v>
      </c>
      <c r="AU345" s="420" t="s">
        <v>2001</v>
      </c>
      <c r="AV345" s="420" t="s">
        <v>2001</v>
      </c>
      <c r="AW345" s="121">
        <v>0</v>
      </c>
      <c r="AX345" s="121">
        <v>1972825</v>
      </c>
      <c r="BI345">
        <v>0</v>
      </c>
      <c r="BJ345" s="121">
        <v>0</v>
      </c>
      <c r="BK345" s="134">
        <v>892691152</v>
      </c>
      <c r="BL345" s="934">
        <v>4608</v>
      </c>
      <c r="BM345" s="934">
        <v>4566</v>
      </c>
      <c r="BN345" s="934">
        <v>4645</v>
      </c>
      <c r="BO345" s="114">
        <v>0</v>
      </c>
      <c r="BP345" s="114">
        <v>0</v>
      </c>
    </row>
    <row r="346" spans="1:68">
      <c r="A346" t="s">
        <v>2818</v>
      </c>
      <c r="B346" t="s">
        <v>402</v>
      </c>
      <c r="C346" s="121">
        <v>5340</v>
      </c>
      <c r="D346" s="72">
        <v>2</v>
      </c>
      <c r="E346">
        <v>9988.3979999999992</v>
      </c>
      <c r="F346">
        <v>2699</v>
      </c>
      <c r="G346">
        <v>1592</v>
      </c>
      <c r="H346">
        <v>54</v>
      </c>
      <c r="I346" s="173">
        <v>1</v>
      </c>
      <c r="J346" s="121">
        <v>13831443953</v>
      </c>
      <c r="K346" s="125">
        <v>42466.292000000001</v>
      </c>
      <c r="L346" s="173">
        <v>1.5</v>
      </c>
      <c r="M346">
        <v>1</v>
      </c>
      <c r="N346">
        <v>1.000000005</v>
      </c>
      <c r="O346">
        <v>-4.9999999696126451E-7</v>
      </c>
      <c r="P346">
        <v>35200</v>
      </c>
      <c r="Q346" s="125">
        <v>1.482</v>
      </c>
      <c r="R346" s="125">
        <v>0</v>
      </c>
      <c r="S346" s="125">
        <v>66.638000000000005</v>
      </c>
      <c r="T346" s="125">
        <v>745</v>
      </c>
      <c r="U346" s="125">
        <v>270</v>
      </c>
      <c r="V346" s="125">
        <v>9.2200000000000006</v>
      </c>
      <c r="W346" s="125">
        <v>2.9060000000000001</v>
      </c>
      <c r="X346" s="125">
        <v>0</v>
      </c>
      <c r="Y346" s="125">
        <v>0</v>
      </c>
      <c r="Z346" s="125">
        <v>10.092000000000001</v>
      </c>
      <c r="AA346" s="125">
        <v>406</v>
      </c>
      <c r="AB346" s="125">
        <v>1100</v>
      </c>
      <c r="AC346" s="125">
        <v>6958.5</v>
      </c>
      <c r="AD346" s="125">
        <v>0</v>
      </c>
      <c r="AE346" s="125">
        <v>1970</v>
      </c>
      <c r="AF346" s="125">
        <v>1760</v>
      </c>
      <c r="AG346" s="125">
        <v>0</v>
      </c>
      <c r="AH346" s="125">
        <v>0</v>
      </c>
      <c r="AI346" s="121">
        <v>145230162</v>
      </c>
      <c r="AJ346" s="121">
        <v>37819292</v>
      </c>
      <c r="AK346" s="424">
        <v>12</v>
      </c>
      <c r="AL346">
        <v>0</v>
      </c>
      <c r="AM346" s="121">
        <v>1989951</v>
      </c>
      <c r="AN346" s="125">
        <v>4</v>
      </c>
      <c r="AO346" s="125">
        <v>3</v>
      </c>
      <c r="AP346" s="121">
        <v>183049454</v>
      </c>
      <c r="AQ346" s="114">
        <v>0</v>
      </c>
      <c r="AR346" s="121">
        <v>9219.4803329999995</v>
      </c>
      <c r="AS346" s="121">
        <v>1811656.8367999999</v>
      </c>
      <c r="AT346" s="121">
        <v>238594.39301</v>
      </c>
      <c r="AU346" s="420" t="s">
        <v>798</v>
      </c>
      <c r="AV346" s="420" t="s">
        <v>2001</v>
      </c>
      <c r="AW346" s="121">
        <v>0</v>
      </c>
      <c r="AX346" s="121">
        <v>40316811</v>
      </c>
      <c r="AY346" s="134">
        <v>22938534</v>
      </c>
      <c r="AZ346" s="134">
        <v>60035110</v>
      </c>
      <c r="BA346" s="134">
        <v>25162</v>
      </c>
      <c r="BB346" s="134">
        <v>6435702225</v>
      </c>
      <c r="BC346" s="114">
        <v>0</v>
      </c>
      <c r="BD346" s="114">
        <v>0</v>
      </c>
      <c r="BE346" s="114">
        <v>0</v>
      </c>
      <c r="BF346" s="134">
        <v>36153</v>
      </c>
      <c r="BG346" s="114">
        <v>0</v>
      </c>
      <c r="BH346" s="114">
        <v>0</v>
      </c>
      <c r="BI346">
        <v>0</v>
      </c>
      <c r="BJ346" s="121">
        <v>0</v>
      </c>
      <c r="BK346" s="134">
        <v>13831443953</v>
      </c>
      <c r="BL346" s="934">
        <v>5115</v>
      </c>
      <c r="BM346" s="934">
        <v>5340</v>
      </c>
      <c r="BN346" s="934">
        <v>5340</v>
      </c>
      <c r="BO346" s="114">
        <v>0</v>
      </c>
      <c r="BP346" s="114">
        <v>0</v>
      </c>
    </row>
    <row r="347" spans="1:68">
      <c r="A347" t="s">
        <v>1604</v>
      </c>
      <c r="B347" t="s">
        <v>1666</v>
      </c>
      <c r="C347" s="121">
        <v>4930</v>
      </c>
      <c r="D347" s="72">
        <v>2</v>
      </c>
      <c r="E347">
        <v>1854.6569999999999</v>
      </c>
      <c r="F347">
        <v>394</v>
      </c>
      <c r="G347">
        <v>238</v>
      </c>
      <c r="H347">
        <v>18</v>
      </c>
      <c r="I347" s="173">
        <v>1.04</v>
      </c>
      <c r="J347" s="121">
        <v>1915729430</v>
      </c>
      <c r="K347" s="125">
        <v>6752.1729999999998</v>
      </c>
      <c r="L347" s="173">
        <v>1.5</v>
      </c>
      <c r="M347">
        <v>1.04</v>
      </c>
      <c r="N347">
        <v>1.000000005</v>
      </c>
      <c r="O347">
        <v>3.9999995000000066</v>
      </c>
      <c r="P347">
        <v>5829.8879999999999</v>
      </c>
      <c r="Q347" s="125">
        <v>0.85</v>
      </c>
      <c r="R347" s="125">
        <v>0</v>
      </c>
      <c r="S347" s="125">
        <v>10.682</v>
      </c>
      <c r="T347" s="125">
        <v>169.86799999999999</v>
      </c>
      <c r="U347" s="125">
        <v>26.702000000000002</v>
      </c>
      <c r="V347" s="125">
        <v>0.97099999999999997</v>
      </c>
      <c r="W347" s="125">
        <v>6.4139999999999997</v>
      </c>
      <c r="X347" s="125">
        <v>0</v>
      </c>
      <c r="Y347" s="125">
        <v>4.4960000000000004</v>
      </c>
      <c r="Z347" s="125">
        <v>0</v>
      </c>
      <c r="AA347" s="125">
        <v>4.9390000000000001</v>
      </c>
      <c r="AB347" s="125">
        <v>224.15199999999999</v>
      </c>
      <c r="AC347" s="125">
        <v>209.2</v>
      </c>
      <c r="AD347" s="125">
        <v>0</v>
      </c>
      <c r="AE347" s="125">
        <v>71.772000000000006</v>
      </c>
      <c r="AF347" s="125">
        <v>291.49400000000003</v>
      </c>
      <c r="AG347" s="125">
        <v>0</v>
      </c>
      <c r="AH347" s="125">
        <v>0</v>
      </c>
      <c r="AI347" s="121">
        <v>20919765</v>
      </c>
      <c r="AJ347" s="121">
        <v>2446382</v>
      </c>
      <c r="AK347" s="424">
        <v>12</v>
      </c>
      <c r="AL347">
        <v>0</v>
      </c>
      <c r="AM347" s="121">
        <v>287533</v>
      </c>
      <c r="AN347" s="125">
        <v>0</v>
      </c>
      <c r="AO347" s="125">
        <v>1</v>
      </c>
      <c r="AP347" s="121">
        <v>23366147</v>
      </c>
      <c r="AQ347" s="114">
        <v>0</v>
      </c>
      <c r="AR347" s="121">
        <v>1276.9476465</v>
      </c>
      <c r="AS347" s="121">
        <v>250924.22245</v>
      </c>
      <c r="AT347" s="121">
        <v>33046.607576000002</v>
      </c>
      <c r="AU347" s="420" t="s">
        <v>2001</v>
      </c>
      <c r="AV347" s="420" t="s">
        <v>2001</v>
      </c>
      <c r="AW347" s="121">
        <v>0</v>
      </c>
      <c r="AX347" s="121">
        <v>3152958</v>
      </c>
      <c r="BI347">
        <v>0</v>
      </c>
      <c r="BJ347" s="121">
        <v>0</v>
      </c>
      <c r="BK347" s="134">
        <v>1915729430</v>
      </c>
      <c r="BL347" s="934">
        <v>4742</v>
      </c>
      <c r="BM347" s="934">
        <v>4930</v>
      </c>
      <c r="BN347" s="934">
        <v>4930</v>
      </c>
      <c r="BO347" s="114">
        <v>0</v>
      </c>
      <c r="BP347" s="114">
        <v>0</v>
      </c>
    </row>
    <row r="348" spans="1:68">
      <c r="A348" t="s">
        <v>1872</v>
      </c>
      <c r="B348" t="s">
        <v>403</v>
      </c>
      <c r="C348" s="121">
        <v>5460</v>
      </c>
      <c r="D348" s="72">
        <v>2</v>
      </c>
      <c r="E348">
        <v>285.86200000000002</v>
      </c>
      <c r="F348">
        <v>95</v>
      </c>
      <c r="G348">
        <v>53</v>
      </c>
      <c r="H348">
        <v>1</v>
      </c>
      <c r="I348" s="173">
        <v>0.98240000000000005</v>
      </c>
      <c r="J348" s="121">
        <v>632426270</v>
      </c>
      <c r="K348" s="125">
        <v>1512.3979999999999</v>
      </c>
      <c r="L348" s="173">
        <v>1.3615999999999999</v>
      </c>
      <c r="M348">
        <v>0.98240000000000005</v>
      </c>
      <c r="N348">
        <v>0.90773333787199995</v>
      </c>
      <c r="O348">
        <v>7.4666662128000105</v>
      </c>
      <c r="P348">
        <v>852</v>
      </c>
      <c r="Q348" s="125">
        <v>0.15</v>
      </c>
      <c r="R348" s="125">
        <v>0</v>
      </c>
      <c r="S348" s="125">
        <v>1</v>
      </c>
      <c r="T348" s="125">
        <v>36</v>
      </c>
      <c r="U348" s="125">
        <v>1</v>
      </c>
      <c r="V348" s="125">
        <v>1</v>
      </c>
      <c r="W348" s="125">
        <v>0.5</v>
      </c>
      <c r="X348" s="125">
        <v>0</v>
      </c>
      <c r="Y348" s="125">
        <v>0</v>
      </c>
      <c r="Z348" s="125">
        <v>12</v>
      </c>
      <c r="AA348" s="125">
        <v>2</v>
      </c>
      <c r="AB348" s="125">
        <v>28</v>
      </c>
      <c r="AC348" s="125">
        <v>600</v>
      </c>
      <c r="AD348" s="125">
        <v>1</v>
      </c>
      <c r="AE348" s="125">
        <v>42</v>
      </c>
      <c r="AF348" s="125">
        <v>41</v>
      </c>
      <c r="AG348" s="125">
        <v>0</v>
      </c>
      <c r="AH348" s="125">
        <v>0</v>
      </c>
      <c r="AI348" s="121">
        <v>6458367</v>
      </c>
      <c r="AJ348" s="121">
        <v>0</v>
      </c>
      <c r="AK348" s="424">
        <v>12</v>
      </c>
      <c r="AL348">
        <v>0</v>
      </c>
      <c r="AM348" s="121">
        <v>125635</v>
      </c>
      <c r="AN348" s="125">
        <v>1</v>
      </c>
      <c r="AO348" s="125">
        <v>0</v>
      </c>
      <c r="AP348" s="121">
        <v>6458367</v>
      </c>
      <c r="AQ348" s="114">
        <v>0</v>
      </c>
      <c r="AR348" s="121">
        <v>0</v>
      </c>
      <c r="AS348" s="121">
        <v>0</v>
      </c>
      <c r="AT348" s="121">
        <v>0</v>
      </c>
      <c r="AU348" s="420" t="s">
        <v>798</v>
      </c>
      <c r="AV348" s="420" t="s">
        <v>2001</v>
      </c>
      <c r="AW348" s="121">
        <v>0</v>
      </c>
      <c r="AX348" s="121">
        <v>0</v>
      </c>
      <c r="AY348" s="134">
        <v>1861894</v>
      </c>
      <c r="AZ348" s="134">
        <v>3605449</v>
      </c>
      <c r="BA348" s="134">
        <v>1552</v>
      </c>
      <c r="BB348" s="134">
        <v>403106664</v>
      </c>
      <c r="BC348" s="114">
        <v>0</v>
      </c>
      <c r="BD348" s="114">
        <v>0</v>
      </c>
      <c r="BE348" s="114">
        <v>0</v>
      </c>
      <c r="BF348" s="114">
        <v>910</v>
      </c>
      <c r="BG348" s="114">
        <v>0</v>
      </c>
      <c r="BH348" s="114">
        <v>0</v>
      </c>
      <c r="BI348">
        <v>0</v>
      </c>
      <c r="BJ348" s="121">
        <v>0</v>
      </c>
      <c r="BK348" s="134">
        <v>632426270</v>
      </c>
      <c r="BL348" s="934">
        <v>4682</v>
      </c>
      <c r="BM348" s="934">
        <v>5460</v>
      </c>
      <c r="BN348" s="934">
        <v>4871</v>
      </c>
      <c r="BO348" s="114">
        <v>0</v>
      </c>
      <c r="BP348" s="114">
        <v>0</v>
      </c>
    </row>
    <row r="349" spans="1:68">
      <c r="A349" t="s">
        <v>1873</v>
      </c>
      <c r="B349" t="s">
        <v>404</v>
      </c>
      <c r="C349" s="121">
        <v>4829</v>
      </c>
      <c r="D349" s="72">
        <v>1</v>
      </c>
      <c r="E349">
        <v>50.241</v>
      </c>
      <c r="F349">
        <v>19</v>
      </c>
      <c r="G349">
        <v>14</v>
      </c>
      <c r="H349">
        <v>1</v>
      </c>
      <c r="I349" s="173">
        <v>1.04</v>
      </c>
      <c r="J349" s="121">
        <v>57412980</v>
      </c>
      <c r="K349" s="125">
        <v>284.64800000000002</v>
      </c>
      <c r="L349" s="173">
        <v>1.5</v>
      </c>
      <c r="M349">
        <v>1.04</v>
      </c>
      <c r="N349">
        <v>1.000000005</v>
      </c>
      <c r="O349">
        <v>3.9999995000000066</v>
      </c>
      <c r="P349">
        <v>126.502</v>
      </c>
      <c r="Q349" s="125">
        <v>0</v>
      </c>
      <c r="R349" s="125">
        <v>0</v>
      </c>
      <c r="S349" s="125">
        <v>9.6000000000000002E-2</v>
      </c>
      <c r="T349" s="125">
        <v>5.6429999999999998</v>
      </c>
      <c r="U349" s="125">
        <v>0.129</v>
      </c>
      <c r="V349" s="125">
        <v>0</v>
      </c>
      <c r="W349" s="125">
        <v>1.252</v>
      </c>
      <c r="X349" s="125">
        <v>0</v>
      </c>
      <c r="Y349" s="125">
        <v>0</v>
      </c>
      <c r="Z349" s="125">
        <v>0</v>
      </c>
      <c r="AA349" s="125">
        <v>4.0910000000000002</v>
      </c>
      <c r="AB349" s="125">
        <v>15.87</v>
      </c>
      <c r="AC349" s="125">
        <v>125.2</v>
      </c>
      <c r="AD349" s="125">
        <v>0</v>
      </c>
      <c r="AE349" s="125">
        <v>0</v>
      </c>
      <c r="AF349" s="125">
        <v>6.3250000000000002</v>
      </c>
      <c r="AG349" s="125">
        <v>0</v>
      </c>
      <c r="AH349" s="125">
        <v>0</v>
      </c>
      <c r="AI349" s="121">
        <v>626950</v>
      </c>
      <c r="AJ349" s="121">
        <v>0</v>
      </c>
      <c r="AK349" s="424">
        <v>12</v>
      </c>
      <c r="AL349">
        <v>0</v>
      </c>
      <c r="AM349" s="121">
        <v>14071</v>
      </c>
      <c r="AN349" s="125">
        <v>0</v>
      </c>
      <c r="AO349" s="125">
        <v>0</v>
      </c>
      <c r="AP349" s="121">
        <v>626950</v>
      </c>
      <c r="AQ349" s="114">
        <v>0</v>
      </c>
      <c r="AR349" s="121">
        <v>38.269167107000001</v>
      </c>
      <c r="AS349" s="121">
        <v>7520.0115106000003</v>
      </c>
      <c r="AT349" s="121">
        <v>990.38214379999999</v>
      </c>
      <c r="AU349" s="420" t="s">
        <v>2001</v>
      </c>
      <c r="AV349" s="420" t="s">
        <v>2001</v>
      </c>
      <c r="AW349" s="121">
        <v>0</v>
      </c>
      <c r="AX349" s="121">
        <v>0</v>
      </c>
      <c r="BI349">
        <v>0</v>
      </c>
      <c r="BJ349" s="121">
        <v>0</v>
      </c>
      <c r="BK349" s="134">
        <v>57412980</v>
      </c>
      <c r="BL349" s="934">
        <v>4829</v>
      </c>
      <c r="BM349" s="934">
        <v>4688</v>
      </c>
      <c r="BN349" s="934">
        <v>4688</v>
      </c>
      <c r="BO349" s="114">
        <v>0</v>
      </c>
      <c r="BP349" s="114">
        <v>0</v>
      </c>
    </row>
    <row r="350" spans="1:68">
      <c r="A350" t="s">
        <v>2139</v>
      </c>
      <c r="B350" t="s">
        <v>1189</v>
      </c>
      <c r="C350" s="121">
        <v>4469</v>
      </c>
      <c r="D350" s="72">
        <v>3</v>
      </c>
      <c r="E350">
        <v>0</v>
      </c>
      <c r="F350">
        <v>0</v>
      </c>
      <c r="G350">
        <v>0</v>
      </c>
      <c r="H350">
        <v>0</v>
      </c>
      <c r="I350" s="173">
        <v>0.92669999999999997</v>
      </c>
      <c r="J350" s="121">
        <v>26047450</v>
      </c>
      <c r="K350" s="125">
        <v>107.69799999999999</v>
      </c>
      <c r="L350" s="173">
        <v>1.39</v>
      </c>
      <c r="M350">
        <v>0.92669999999999997</v>
      </c>
      <c r="N350">
        <v>0.92666667129999991</v>
      </c>
      <c r="O350">
        <v>3.3328700000057054E-3</v>
      </c>
      <c r="P350">
        <v>29.544</v>
      </c>
      <c r="Q350" s="125">
        <v>0</v>
      </c>
      <c r="R350" s="125">
        <v>0</v>
      </c>
      <c r="S350" s="125">
        <v>0</v>
      </c>
      <c r="T350" s="125">
        <v>0</v>
      </c>
      <c r="U350" s="125">
        <v>0.48199999999999998</v>
      </c>
      <c r="V350" s="125">
        <v>0</v>
      </c>
      <c r="W350" s="125">
        <v>0</v>
      </c>
      <c r="X350" s="125">
        <v>0</v>
      </c>
      <c r="Y350" s="125">
        <v>0</v>
      </c>
      <c r="Z350" s="125">
        <v>0</v>
      </c>
      <c r="AA350" s="125">
        <v>0</v>
      </c>
      <c r="AB350" s="125">
        <v>0</v>
      </c>
      <c r="AC350" s="125">
        <v>0</v>
      </c>
      <c r="AD350" s="125">
        <v>0</v>
      </c>
      <c r="AE350" s="125">
        <v>0</v>
      </c>
      <c r="AF350" s="125">
        <v>1.4770000000000001</v>
      </c>
      <c r="AG350" s="125">
        <v>0</v>
      </c>
      <c r="AH350" s="125">
        <v>0</v>
      </c>
      <c r="AI350" s="121">
        <v>253451</v>
      </c>
      <c r="AJ350" s="121">
        <v>0</v>
      </c>
      <c r="AK350" s="424">
        <v>8</v>
      </c>
      <c r="AL350">
        <v>31</v>
      </c>
      <c r="AM350" s="121">
        <v>0</v>
      </c>
      <c r="AN350" s="125">
        <v>0</v>
      </c>
      <c r="AO350" s="125">
        <v>0</v>
      </c>
      <c r="AP350" s="121">
        <v>253451</v>
      </c>
      <c r="AQ350" s="114">
        <v>0</v>
      </c>
      <c r="AR350" s="121">
        <v>17.362175186999998</v>
      </c>
      <c r="AS350" s="121">
        <v>3411.7219454999999</v>
      </c>
      <c r="AT350" s="121">
        <v>449.32225032000002</v>
      </c>
      <c r="AU350" s="420" t="s">
        <v>2001</v>
      </c>
      <c r="AV350" s="420" t="s">
        <v>2001</v>
      </c>
      <c r="AW350" s="121">
        <v>0</v>
      </c>
      <c r="AX350" s="121">
        <v>0</v>
      </c>
      <c r="BI350">
        <v>0</v>
      </c>
      <c r="BJ350" s="121">
        <v>0</v>
      </c>
      <c r="BK350" s="134">
        <v>26047450</v>
      </c>
      <c r="BL350" s="934">
        <v>4366</v>
      </c>
      <c r="BM350" s="934">
        <v>4406</v>
      </c>
      <c r="BN350" s="934">
        <v>4469</v>
      </c>
      <c r="BO350" s="114">
        <v>0</v>
      </c>
      <c r="BP350" s="114">
        <v>0</v>
      </c>
    </row>
    <row r="351" spans="1:68">
      <c r="A351" t="s">
        <v>1636</v>
      </c>
      <c r="B351" t="s">
        <v>406</v>
      </c>
      <c r="C351" s="121">
        <v>5806</v>
      </c>
      <c r="D351" s="72">
        <v>3</v>
      </c>
      <c r="E351">
        <v>894.93799999999999</v>
      </c>
      <c r="F351">
        <v>232</v>
      </c>
      <c r="G351">
        <v>171</v>
      </c>
      <c r="H351">
        <v>32</v>
      </c>
      <c r="I351" s="173">
        <v>1.04</v>
      </c>
      <c r="J351" s="121">
        <v>1951190625</v>
      </c>
      <c r="K351" s="125">
        <v>3325.741</v>
      </c>
      <c r="L351" s="173">
        <v>1.4517</v>
      </c>
      <c r="M351">
        <v>1.04</v>
      </c>
      <c r="N351">
        <v>0.96780000483899997</v>
      </c>
      <c r="O351">
        <v>7.2199995161000068</v>
      </c>
      <c r="P351">
        <v>2675</v>
      </c>
      <c r="Q351" s="125">
        <v>0.01</v>
      </c>
      <c r="R351" s="125">
        <v>0</v>
      </c>
      <c r="S351" s="125">
        <v>2.4500000000000002</v>
      </c>
      <c r="T351" s="125">
        <v>77.382000000000005</v>
      </c>
      <c r="U351" s="125">
        <v>24.858000000000001</v>
      </c>
      <c r="V351" s="125">
        <v>0.88200000000000001</v>
      </c>
      <c r="W351" s="125">
        <v>7.4180000000000001</v>
      </c>
      <c r="X351" s="125">
        <v>0</v>
      </c>
      <c r="Y351" s="125">
        <v>0</v>
      </c>
      <c r="Z351" s="125">
        <v>0</v>
      </c>
      <c r="AA351" s="125">
        <v>4.5</v>
      </c>
      <c r="AB351" s="125">
        <v>163</v>
      </c>
      <c r="AC351" s="125">
        <v>1275</v>
      </c>
      <c r="AD351" s="125">
        <v>1</v>
      </c>
      <c r="AE351" s="125">
        <v>205</v>
      </c>
      <c r="AF351" s="125">
        <v>133.75</v>
      </c>
      <c r="AG351" s="125">
        <v>0</v>
      </c>
      <c r="AH351" s="125">
        <v>0</v>
      </c>
      <c r="AI351" s="121">
        <v>21733142</v>
      </c>
      <c r="AJ351" s="121">
        <v>2057958</v>
      </c>
      <c r="AK351" s="424">
        <v>12</v>
      </c>
      <c r="AL351">
        <v>0</v>
      </c>
      <c r="AM351" s="121">
        <v>270566</v>
      </c>
      <c r="AN351" s="125">
        <v>0</v>
      </c>
      <c r="AO351" s="125">
        <v>1</v>
      </c>
      <c r="AP351" s="121">
        <v>23791100</v>
      </c>
      <c r="AQ351" s="114">
        <v>0</v>
      </c>
      <c r="AR351" s="121">
        <v>0</v>
      </c>
      <c r="AS351" s="121">
        <v>0</v>
      </c>
      <c r="AT351" s="121">
        <v>0</v>
      </c>
      <c r="AU351" s="420" t="s">
        <v>798</v>
      </c>
      <c r="AV351" s="420" t="s">
        <v>2001</v>
      </c>
      <c r="AW351" s="121">
        <v>0</v>
      </c>
      <c r="AX351" s="121">
        <v>2056409</v>
      </c>
      <c r="AY351" s="134">
        <v>2250097</v>
      </c>
      <c r="AZ351" s="134">
        <v>6906197</v>
      </c>
      <c r="BA351" s="134">
        <v>2931</v>
      </c>
      <c r="BB351" s="134">
        <v>471731276</v>
      </c>
      <c r="BC351" s="114">
        <v>0</v>
      </c>
      <c r="BD351" s="114">
        <v>0</v>
      </c>
      <c r="BE351" s="114">
        <v>0</v>
      </c>
      <c r="BF351" s="134">
        <v>2804</v>
      </c>
      <c r="BG351" s="114">
        <v>0</v>
      </c>
      <c r="BH351" s="114">
        <v>0</v>
      </c>
      <c r="BI351">
        <v>0</v>
      </c>
      <c r="BJ351" s="121">
        <v>21235</v>
      </c>
      <c r="BK351" s="134">
        <v>1951190625</v>
      </c>
      <c r="BL351" s="934">
        <v>5451</v>
      </c>
      <c r="BM351" s="934">
        <v>5636</v>
      </c>
      <c r="BN351" s="934">
        <v>5806</v>
      </c>
      <c r="BO351" s="114">
        <v>0</v>
      </c>
      <c r="BP351" s="114">
        <v>0</v>
      </c>
    </row>
    <row r="352" spans="1:68">
      <c r="A352" t="s">
        <v>2474</v>
      </c>
      <c r="B352" t="s">
        <v>2004</v>
      </c>
      <c r="C352" s="121">
        <v>4870</v>
      </c>
      <c r="D352" s="72">
        <v>3</v>
      </c>
      <c r="E352">
        <v>202.41399999999999</v>
      </c>
      <c r="F352">
        <v>46</v>
      </c>
      <c r="G352">
        <v>35</v>
      </c>
      <c r="H352">
        <v>1</v>
      </c>
      <c r="I352" s="173">
        <v>1.04</v>
      </c>
      <c r="J352" s="121">
        <v>266026899</v>
      </c>
      <c r="K352" s="125">
        <v>992.69500000000005</v>
      </c>
      <c r="L352" s="173">
        <v>1.3756999999999999</v>
      </c>
      <c r="M352">
        <v>1.04</v>
      </c>
      <c r="N352">
        <v>0.91713333791899998</v>
      </c>
      <c r="O352">
        <v>12.286666208100005</v>
      </c>
      <c r="P352">
        <v>544</v>
      </c>
      <c r="Q352" s="125">
        <v>0</v>
      </c>
      <c r="R352" s="125">
        <v>0</v>
      </c>
      <c r="S352" s="125">
        <v>0.4</v>
      </c>
      <c r="T352" s="125">
        <v>26</v>
      </c>
      <c r="U352" s="125">
        <v>2.41</v>
      </c>
      <c r="V352" s="125">
        <v>5</v>
      </c>
      <c r="W352" s="125">
        <v>5.4539999999999997</v>
      </c>
      <c r="X352" s="125">
        <v>0</v>
      </c>
      <c r="Y352" s="125">
        <v>0</v>
      </c>
      <c r="Z352" s="125">
        <v>0</v>
      </c>
      <c r="AA352" s="125">
        <v>3.2</v>
      </c>
      <c r="AB352" s="125">
        <v>26.75</v>
      </c>
      <c r="AC352" s="125">
        <v>202.2</v>
      </c>
      <c r="AD352" s="125">
        <v>0</v>
      </c>
      <c r="AE352" s="125">
        <v>12.01</v>
      </c>
      <c r="AF352" s="125">
        <v>26.2</v>
      </c>
      <c r="AG352" s="125">
        <v>0</v>
      </c>
      <c r="AH352" s="125">
        <v>0</v>
      </c>
      <c r="AI352" s="121">
        <v>2905014</v>
      </c>
      <c r="AJ352" s="121">
        <v>0</v>
      </c>
      <c r="AK352" s="424">
        <v>12</v>
      </c>
      <c r="AL352">
        <v>0</v>
      </c>
      <c r="AM352" s="121">
        <v>130871</v>
      </c>
      <c r="AN352" s="125">
        <v>0</v>
      </c>
      <c r="AO352" s="125">
        <v>0</v>
      </c>
      <c r="AP352" s="121">
        <v>2905014</v>
      </c>
      <c r="AQ352" s="114">
        <v>0</v>
      </c>
      <c r="AR352" s="121">
        <v>177.32275616000001</v>
      </c>
      <c r="AS352" s="121">
        <v>34844.478419999999</v>
      </c>
      <c r="AT352" s="121">
        <v>4589.0021827999999</v>
      </c>
      <c r="AU352" s="420" t="s">
        <v>2001</v>
      </c>
      <c r="AV352" s="420" t="s">
        <v>2001</v>
      </c>
      <c r="AW352" s="121">
        <v>0</v>
      </c>
      <c r="AX352" s="121">
        <v>0</v>
      </c>
      <c r="BI352">
        <v>0</v>
      </c>
      <c r="BJ352" s="121">
        <v>0</v>
      </c>
      <c r="BK352" s="134">
        <v>266026899</v>
      </c>
      <c r="BL352" s="934">
        <v>4573</v>
      </c>
      <c r="BM352" s="934">
        <v>4570</v>
      </c>
      <c r="BN352" s="934">
        <v>4870</v>
      </c>
      <c r="BO352" s="114">
        <v>0</v>
      </c>
      <c r="BP352" s="114">
        <v>0</v>
      </c>
    </row>
    <row r="353" spans="1:68">
      <c r="A353" t="s">
        <v>2475</v>
      </c>
      <c r="B353" t="s">
        <v>2005</v>
      </c>
      <c r="C353" s="121">
        <v>6128</v>
      </c>
      <c r="D353" s="72">
        <v>3</v>
      </c>
      <c r="E353">
        <v>79.766999999999996</v>
      </c>
      <c r="F353">
        <v>33</v>
      </c>
      <c r="G353">
        <v>23</v>
      </c>
      <c r="H353">
        <v>1</v>
      </c>
      <c r="I353" s="173">
        <v>1.0173000000000001</v>
      </c>
      <c r="J353" s="121">
        <v>787841595</v>
      </c>
      <c r="K353" s="125">
        <v>523.13</v>
      </c>
      <c r="L353" s="173">
        <v>1.4657</v>
      </c>
      <c r="M353">
        <v>1.0173000000000001</v>
      </c>
      <c r="N353">
        <v>0.97713333821900006</v>
      </c>
      <c r="O353">
        <v>4.016666178100003</v>
      </c>
      <c r="P353">
        <v>252.89599999999999</v>
      </c>
      <c r="Q353" s="125">
        <v>0</v>
      </c>
      <c r="R353" s="125">
        <v>0</v>
      </c>
      <c r="S353" s="125">
        <v>0.62</v>
      </c>
      <c r="T353" s="125">
        <v>0.90300000000000002</v>
      </c>
      <c r="U353" s="125">
        <v>0</v>
      </c>
      <c r="V353" s="125">
        <v>0.46</v>
      </c>
      <c r="W353" s="125">
        <v>0</v>
      </c>
      <c r="X353" s="125">
        <v>0</v>
      </c>
      <c r="Y353" s="125">
        <v>0</v>
      </c>
      <c r="Z353" s="125">
        <v>0</v>
      </c>
      <c r="AA353" s="125">
        <v>21.756</v>
      </c>
      <c r="AB353" s="125">
        <v>15.272</v>
      </c>
      <c r="AC353" s="125">
        <v>181.6</v>
      </c>
      <c r="AD353" s="125">
        <v>0</v>
      </c>
      <c r="AE353" s="125">
        <v>28.346</v>
      </c>
      <c r="AF353" s="125">
        <v>12.6448</v>
      </c>
      <c r="AG353" s="125">
        <v>0</v>
      </c>
      <c r="AH353" s="125">
        <v>0</v>
      </c>
      <c r="AI353" s="121">
        <v>8247139</v>
      </c>
      <c r="AJ353" s="121">
        <v>666084</v>
      </c>
      <c r="AK353" s="424">
        <v>12</v>
      </c>
      <c r="AL353">
        <v>0</v>
      </c>
      <c r="AM353" s="121">
        <v>46556</v>
      </c>
      <c r="AN353" s="125">
        <v>0</v>
      </c>
      <c r="AO353" s="125">
        <v>0</v>
      </c>
      <c r="AP353" s="121">
        <v>8913223</v>
      </c>
      <c r="AQ353" s="114">
        <v>0</v>
      </c>
      <c r="AR353" s="121">
        <v>0</v>
      </c>
      <c r="AS353" s="121">
        <v>0</v>
      </c>
      <c r="AT353" s="121">
        <v>0</v>
      </c>
      <c r="AU353" s="420" t="s">
        <v>798</v>
      </c>
      <c r="AV353" s="420" t="s">
        <v>2001</v>
      </c>
      <c r="AW353" s="121">
        <v>0</v>
      </c>
      <c r="AX353" s="121">
        <v>535350</v>
      </c>
      <c r="AY353" s="134">
        <v>931941</v>
      </c>
      <c r="AZ353" s="134">
        <v>1794100</v>
      </c>
      <c r="BA353" s="114">
        <v>672</v>
      </c>
      <c r="BB353" s="134">
        <v>336225484</v>
      </c>
      <c r="BC353" s="114">
        <v>0</v>
      </c>
      <c r="BD353" s="114">
        <v>0</v>
      </c>
      <c r="BE353" s="114">
        <v>0</v>
      </c>
      <c r="BF353" s="114">
        <v>276</v>
      </c>
      <c r="BG353" s="114">
        <v>0</v>
      </c>
      <c r="BH353" s="114">
        <v>0</v>
      </c>
      <c r="BI353">
        <v>0</v>
      </c>
      <c r="BJ353" s="121">
        <v>187</v>
      </c>
      <c r="BK353" s="134">
        <v>787841595</v>
      </c>
      <c r="BL353" s="934">
        <v>6103</v>
      </c>
      <c r="BM353" s="934">
        <v>5999</v>
      </c>
      <c r="BN353" s="934">
        <v>6128</v>
      </c>
      <c r="BO353" s="114">
        <v>0</v>
      </c>
      <c r="BP353" s="114">
        <v>0</v>
      </c>
    </row>
    <row r="354" spans="1:68">
      <c r="A354" t="s">
        <v>2794</v>
      </c>
      <c r="B354" t="s">
        <v>2006</v>
      </c>
      <c r="C354" s="121">
        <v>6470</v>
      </c>
      <c r="D354" s="72">
        <v>2</v>
      </c>
      <c r="E354">
        <v>398.99700000000001</v>
      </c>
      <c r="F354">
        <v>115</v>
      </c>
      <c r="G354">
        <v>106</v>
      </c>
      <c r="H354">
        <v>16</v>
      </c>
      <c r="I354" s="173">
        <v>1.0149999999999999</v>
      </c>
      <c r="J354" s="121">
        <v>1098476740</v>
      </c>
      <c r="K354" s="125">
        <v>1881.1969999999999</v>
      </c>
      <c r="L354" s="173">
        <v>1.39</v>
      </c>
      <c r="M354">
        <v>1.0149999999999999</v>
      </c>
      <c r="N354">
        <v>0.92666667129999991</v>
      </c>
      <c r="O354">
        <v>8.8333328699999996</v>
      </c>
      <c r="P354">
        <v>1160.8699999999999</v>
      </c>
      <c r="Q354" s="125">
        <v>6.7000000000000004E-2</v>
      </c>
      <c r="R354" s="125">
        <v>0</v>
      </c>
      <c r="S354" s="125">
        <v>1.8640000000000001</v>
      </c>
      <c r="T354" s="125">
        <v>36.1</v>
      </c>
      <c r="U354" s="125">
        <v>1.8620000000000001</v>
      </c>
      <c r="V354" s="125">
        <v>0</v>
      </c>
      <c r="W354" s="125">
        <v>6.9480000000000004</v>
      </c>
      <c r="X354" s="125">
        <v>0</v>
      </c>
      <c r="Y354" s="125">
        <v>0</v>
      </c>
      <c r="Z354" s="125">
        <v>7.125</v>
      </c>
      <c r="AA354" s="125">
        <v>46.381</v>
      </c>
      <c r="AB354" s="125">
        <v>60.92</v>
      </c>
      <c r="AC354" s="125">
        <v>698.5</v>
      </c>
      <c r="AD354" s="125">
        <v>0.13100000000000001</v>
      </c>
      <c r="AE354" s="125">
        <v>29.995999999999999</v>
      </c>
      <c r="AF354" s="125">
        <v>58.042999999999999</v>
      </c>
      <c r="AG354" s="125">
        <v>0</v>
      </c>
      <c r="AH354" s="125">
        <v>0</v>
      </c>
      <c r="AI354" s="121">
        <v>11707016</v>
      </c>
      <c r="AJ354" s="121">
        <v>1101251</v>
      </c>
      <c r="AK354" s="424">
        <v>12</v>
      </c>
      <c r="AL354">
        <v>0</v>
      </c>
      <c r="AM354" s="121">
        <v>165216</v>
      </c>
      <c r="AN354" s="125">
        <v>0</v>
      </c>
      <c r="AO354" s="125">
        <v>0</v>
      </c>
      <c r="AP354" s="121">
        <v>12808267</v>
      </c>
      <c r="AQ354" s="114">
        <v>0</v>
      </c>
      <c r="AR354" s="121">
        <v>0</v>
      </c>
      <c r="AS354" s="121">
        <v>0</v>
      </c>
      <c r="AT354" s="121">
        <v>0</v>
      </c>
      <c r="AU354" s="420" t="s">
        <v>798</v>
      </c>
      <c r="AV354" s="420" t="s">
        <v>2001</v>
      </c>
      <c r="AW354" s="121">
        <v>0</v>
      </c>
      <c r="AX354" s="121">
        <v>773356</v>
      </c>
      <c r="AY354" s="134">
        <v>945546</v>
      </c>
      <c r="AZ354" s="134">
        <v>4400587</v>
      </c>
      <c r="BA354" s="134">
        <v>1760</v>
      </c>
      <c r="BB354" s="134">
        <v>401520956</v>
      </c>
      <c r="BC354" s="114">
        <v>0</v>
      </c>
      <c r="BD354" s="114">
        <v>0</v>
      </c>
      <c r="BE354" s="114">
        <v>0</v>
      </c>
      <c r="BF354" s="134">
        <v>1315</v>
      </c>
      <c r="BG354" s="114">
        <v>0</v>
      </c>
      <c r="BH354" s="114">
        <v>0</v>
      </c>
      <c r="BI354">
        <v>0</v>
      </c>
      <c r="BJ354" s="121">
        <v>0</v>
      </c>
      <c r="BK354" s="134">
        <v>1098476740</v>
      </c>
      <c r="BL354" s="934">
        <v>5227</v>
      </c>
      <c r="BM354" s="934">
        <v>6470</v>
      </c>
      <c r="BN354" s="934">
        <v>5333</v>
      </c>
      <c r="BO354" s="114">
        <v>0</v>
      </c>
      <c r="BP354" s="114">
        <v>0</v>
      </c>
    </row>
    <row r="355" spans="1:68">
      <c r="A355" t="s">
        <v>1019</v>
      </c>
      <c r="B355" t="s">
        <v>973</v>
      </c>
      <c r="C355" s="121">
        <v>4803</v>
      </c>
      <c r="D355" s="72">
        <v>3</v>
      </c>
      <c r="E355">
        <v>656.34799999999996</v>
      </c>
      <c r="F355">
        <v>200</v>
      </c>
      <c r="G355">
        <v>163</v>
      </c>
      <c r="H355">
        <v>15</v>
      </c>
      <c r="I355" s="173">
        <v>0.93569999999999998</v>
      </c>
      <c r="J355" s="121">
        <v>501318054</v>
      </c>
      <c r="K355" s="125">
        <v>3300.16</v>
      </c>
      <c r="L355" s="173">
        <v>1.3434999999999999</v>
      </c>
      <c r="M355">
        <v>0.93569999999999998</v>
      </c>
      <c r="N355">
        <v>0.89566667114499998</v>
      </c>
      <c r="O355">
        <v>4.003332885499999</v>
      </c>
      <c r="P355">
        <v>2308</v>
      </c>
      <c r="Q355" s="125">
        <v>0.23499999999999999</v>
      </c>
      <c r="R355" s="125">
        <v>0</v>
      </c>
      <c r="S355" s="125">
        <v>1.744</v>
      </c>
      <c r="T355" s="125">
        <v>40.115000000000002</v>
      </c>
      <c r="U355" s="125">
        <v>15.677</v>
      </c>
      <c r="V355" s="125">
        <v>0</v>
      </c>
      <c r="W355" s="125">
        <v>3.4489999999999998</v>
      </c>
      <c r="X355" s="125">
        <v>0</v>
      </c>
      <c r="Y355" s="125">
        <v>0</v>
      </c>
      <c r="Z355" s="125">
        <v>0.67600000000000005</v>
      </c>
      <c r="AA355" s="125">
        <v>97.950999999999993</v>
      </c>
      <c r="AB355" s="125">
        <v>130.30099999999999</v>
      </c>
      <c r="AC355" s="125">
        <v>1867.8</v>
      </c>
      <c r="AD355" s="125">
        <v>2.702</v>
      </c>
      <c r="AE355" s="125">
        <v>226.346</v>
      </c>
      <c r="AF355" s="125">
        <v>109.991</v>
      </c>
      <c r="AG355" s="125">
        <v>0</v>
      </c>
      <c r="AH355" s="125">
        <v>0</v>
      </c>
      <c r="AI355" s="121">
        <v>4728360</v>
      </c>
      <c r="AJ355" s="121">
        <v>291296</v>
      </c>
      <c r="AK355" s="424">
        <v>12</v>
      </c>
      <c r="AL355">
        <v>0</v>
      </c>
      <c r="AM355" s="121">
        <v>204793</v>
      </c>
      <c r="AN355" s="125">
        <v>0</v>
      </c>
      <c r="AO355" s="125">
        <v>1</v>
      </c>
      <c r="AP355" s="121">
        <v>5019656</v>
      </c>
      <c r="AQ355" s="114">
        <v>0</v>
      </c>
      <c r="AR355" s="121">
        <v>334.15831022999998</v>
      </c>
      <c r="AS355" s="121">
        <v>65663.157296000005</v>
      </c>
      <c r="AT355" s="121">
        <v>8647.8083709000002</v>
      </c>
      <c r="AU355" s="420" t="s">
        <v>2001</v>
      </c>
      <c r="AV355" s="420" t="s">
        <v>2001</v>
      </c>
      <c r="AW355" s="121">
        <v>0</v>
      </c>
      <c r="AX355" s="121">
        <v>565008</v>
      </c>
      <c r="BI355">
        <v>0</v>
      </c>
      <c r="BJ355" s="121">
        <v>0</v>
      </c>
      <c r="BK355" s="134">
        <v>501318054</v>
      </c>
      <c r="BL355" s="934">
        <v>4537</v>
      </c>
      <c r="BM355" s="934">
        <v>4621</v>
      </c>
      <c r="BN355" s="934">
        <v>4803</v>
      </c>
      <c r="BO355" s="114">
        <v>0</v>
      </c>
      <c r="BP355" s="114">
        <v>0</v>
      </c>
    </row>
    <row r="356" spans="1:68">
      <c r="A356" t="s">
        <v>2795</v>
      </c>
      <c r="B356" t="s">
        <v>1190</v>
      </c>
      <c r="C356" s="121">
        <v>4571</v>
      </c>
      <c r="D356" s="72">
        <v>3</v>
      </c>
      <c r="E356">
        <v>261.60300000000001</v>
      </c>
      <c r="F356">
        <v>82</v>
      </c>
      <c r="G356">
        <v>82</v>
      </c>
      <c r="H356">
        <v>0</v>
      </c>
      <c r="I356" s="173">
        <v>0.995</v>
      </c>
      <c r="J356" s="121">
        <v>156288281</v>
      </c>
      <c r="K356" s="125">
        <v>1632.8330000000001</v>
      </c>
      <c r="L356" s="173">
        <v>1.3331999999999999</v>
      </c>
      <c r="M356">
        <v>0.995</v>
      </c>
      <c r="N356">
        <v>0.88880000444399998</v>
      </c>
      <c r="O356">
        <v>10.619999555600002</v>
      </c>
      <c r="P356">
        <v>954.24199999999996</v>
      </c>
      <c r="Q356" s="125">
        <v>0.04</v>
      </c>
      <c r="R356" s="125">
        <v>0</v>
      </c>
      <c r="S356" s="125">
        <v>1.627</v>
      </c>
      <c r="T356" s="125">
        <v>21.254000000000001</v>
      </c>
      <c r="U356" s="125">
        <v>4.3280000000000003</v>
      </c>
      <c r="V356" s="125">
        <v>6.5000000000000002E-2</v>
      </c>
      <c r="W356" s="125">
        <v>0.128</v>
      </c>
      <c r="X356" s="125">
        <v>0</v>
      </c>
      <c r="Y356" s="125">
        <v>0</v>
      </c>
      <c r="Z356" s="125">
        <v>3.3380000000000001</v>
      </c>
      <c r="AA356" s="125">
        <v>5.4160000000000004</v>
      </c>
      <c r="AB356" s="125">
        <v>38.82</v>
      </c>
      <c r="AC356" s="125">
        <v>908.5</v>
      </c>
      <c r="AD356" s="125">
        <v>1.363</v>
      </c>
      <c r="AE356" s="125">
        <v>105.02500000000001</v>
      </c>
      <c r="AF356" s="125">
        <v>47.712000000000003</v>
      </c>
      <c r="AG356" s="125">
        <v>0</v>
      </c>
      <c r="AH356" s="125">
        <v>0</v>
      </c>
      <c r="AI356" s="121">
        <v>1600165</v>
      </c>
      <c r="AJ356" s="121">
        <v>44827</v>
      </c>
      <c r="AK356" s="424">
        <v>12</v>
      </c>
      <c r="AL356">
        <v>0</v>
      </c>
      <c r="AM356" s="121">
        <v>141271</v>
      </c>
      <c r="AN356" s="125">
        <v>1</v>
      </c>
      <c r="AO356" s="125">
        <v>0</v>
      </c>
      <c r="AP356" s="121">
        <v>1644992</v>
      </c>
      <c r="AQ356" s="114">
        <v>0</v>
      </c>
      <c r="AR356" s="121">
        <v>104.17543807</v>
      </c>
      <c r="AS356" s="121">
        <v>20470.800716000002</v>
      </c>
      <c r="AT356" s="121">
        <v>2695.9952747000002</v>
      </c>
      <c r="AU356" s="420" t="s">
        <v>2001</v>
      </c>
      <c r="AV356" s="420" t="s">
        <v>2001</v>
      </c>
      <c r="AW356" s="121">
        <v>0</v>
      </c>
      <c r="AX356" s="121">
        <v>113270</v>
      </c>
      <c r="BI356">
        <v>0</v>
      </c>
      <c r="BJ356" s="121">
        <v>0</v>
      </c>
      <c r="BK356" s="134">
        <v>156288281</v>
      </c>
      <c r="BL356" s="934">
        <v>4415</v>
      </c>
      <c r="BM356" s="934">
        <v>4561</v>
      </c>
      <c r="BN356" s="934">
        <v>4571</v>
      </c>
      <c r="BO356" s="114">
        <v>0</v>
      </c>
      <c r="BP356" s="114">
        <v>0</v>
      </c>
    </row>
    <row r="357" spans="1:68">
      <c r="A357" t="s">
        <v>2796</v>
      </c>
      <c r="B357" t="s">
        <v>1626</v>
      </c>
      <c r="C357" s="121">
        <v>4804</v>
      </c>
      <c r="D357" s="72">
        <v>3</v>
      </c>
      <c r="E357">
        <v>66.781000000000006</v>
      </c>
      <c r="F357">
        <v>22</v>
      </c>
      <c r="G357">
        <v>14</v>
      </c>
      <c r="H357">
        <v>2</v>
      </c>
      <c r="I357" s="173">
        <v>1.0133000000000001</v>
      </c>
      <c r="J357" s="121">
        <v>109075138</v>
      </c>
      <c r="K357" s="125">
        <v>378.63299999999998</v>
      </c>
      <c r="L357" s="173">
        <v>1.46</v>
      </c>
      <c r="M357">
        <v>1.0133000000000001</v>
      </c>
      <c r="N357">
        <v>0.97333333820000001</v>
      </c>
      <c r="O357">
        <v>3.9966661800000081</v>
      </c>
      <c r="P357">
        <v>205</v>
      </c>
      <c r="Q357" s="125">
        <v>0</v>
      </c>
      <c r="R357" s="125">
        <v>0</v>
      </c>
      <c r="S357" s="125">
        <v>0.125</v>
      </c>
      <c r="T357" s="125">
        <v>2</v>
      </c>
      <c r="U357" s="125">
        <v>3.5</v>
      </c>
      <c r="V357" s="125">
        <v>0</v>
      </c>
      <c r="W357" s="125">
        <v>0</v>
      </c>
      <c r="X357" s="125">
        <v>0</v>
      </c>
      <c r="Y357" s="125">
        <v>0</v>
      </c>
      <c r="Z357" s="125">
        <v>0</v>
      </c>
      <c r="AA357" s="125">
        <v>11</v>
      </c>
      <c r="AB357" s="125">
        <v>12</v>
      </c>
      <c r="AC357" s="125">
        <v>190</v>
      </c>
      <c r="AD357" s="125">
        <v>0</v>
      </c>
      <c r="AE357" s="125">
        <v>14</v>
      </c>
      <c r="AF357" s="125">
        <v>7</v>
      </c>
      <c r="AG357" s="125">
        <v>0</v>
      </c>
      <c r="AH357" s="125">
        <v>0</v>
      </c>
      <c r="AI357" s="121">
        <v>1068891</v>
      </c>
      <c r="AJ357" s="121">
        <v>0</v>
      </c>
      <c r="AK357" s="424">
        <v>12</v>
      </c>
      <c r="AL357">
        <v>0</v>
      </c>
      <c r="AM357" s="121">
        <v>29775</v>
      </c>
      <c r="AN357" s="125">
        <v>0</v>
      </c>
      <c r="AO357" s="125">
        <v>0</v>
      </c>
      <c r="AP357" s="121">
        <v>1068891</v>
      </c>
      <c r="AQ357" s="114">
        <v>0</v>
      </c>
      <c r="AR357" s="121">
        <v>72.705069217000002</v>
      </c>
      <c r="AS357" s="121">
        <v>14286.774412000001</v>
      </c>
      <c r="AT357" s="121">
        <v>1881.5617835</v>
      </c>
      <c r="AU357" s="420" t="s">
        <v>2001</v>
      </c>
      <c r="AV357" s="420" t="s">
        <v>2001</v>
      </c>
      <c r="AW357" s="121">
        <v>0</v>
      </c>
      <c r="AX357" s="121">
        <v>239016</v>
      </c>
      <c r="BI357">
        <v>0</v>
      </c>
      <c r="BJ357" s="121">
        <v>0</v>
      </c>
      <c r="BK357" s="134">
        <v>104648944</v>
      </c>
      <c r="BL357" s="934">
        <v>4671</v>
      </c>
      <c r="BM357" s="934">
        <v>4698</v>
      </c>
      <c r="BN357" s="934">
        <v>4804</v>
      </c>
      <c r="BO357" s="114">
        <v>0</v>
      </c>
      <c r="BP357" s="114">
        <v>0</v>
      </c>
    </row>
    <row r="358" spans="1:68">
      <c r="A358" t="s">
        <v>2118</v>
      </c>
      <c r="B358" t="s">
        <v>1627</v>
      </c>
      <c r="C358" s="121">
        <v>7795</v>
      </c>
      <c r="D358" s="72">
        <v>2</v>
      </c>
      <c r="E358">
        <v>54.106999999999999</v>
      </c>
      <c r="F358">
        <v>15</v>
      </c>
      <c r="G358">
        <v>13</v>
      </c>
      <c r="H358">
        <v>0</v>
      </c>
      <c r="I358" s="173">
        <v>1.04</v>
      </c>
      <c r="J358" s="121">
        <v>133312778</v>
      </c>
      <c r="K358" s="125">
        <v>258.11200000000002</v>
      </c>
      <c r="L358" s="173">
        <v>1.5</v>
      </c>
      <c r="M358">
        <v>1.04</v>
      </c>
      <c r="N358">
        <v>1.000000005</v>
      </c>
      <c r="O358">
        <v>3.9999995000000066</v>
      </c>
      <c r="P358">
        <v>147.262</v>
      </c>
      <c r="Q358" s="125">
        <v>0.16200000000000001</v>
      </c>
      <c r="R358" s="125">
        <v>0</v>
      </c>
      <c r="S358" s="125">
        <v>0.107</v>
      </c>
      <c r="T358" s="125">
        <v>5.0309999999999997</v>
      </c>
      <c r="U358" s="125">
        <v>0</v>
      </c>
      <c r="V358" s="125">
        <v>0.60299999999999998</v>
      </c>
      <c r="W358" s="125">
        <v>0</v>
      </c>
      <c r="X358" s="125">
        <v>0</v>
      </c>
      <c r="Y358" s="125">
        <v>0</v>
      </c>
      <c r="Z358" s="125">
        <v>0</v>
      </c>
      <c r="AA358" s="125">
        <v>5.2569999999999997</v>
      </c>
      <c r="AB358" s="125">
        <v>4.0839999999999996</v>
      </c>
      <c r="AC358" s="125">
        <v>81.2</v>
      </c>
      <c r="AD358" s="125">
        <v>0</v>
      </c>
      <c r="AE358" s="125">
        <v>0</v>
      </c>
      <c r="AF358" s="125">
        <v>7.3630000000000004</v>
      </c>
      <c r="AG358" s="125">
        <v>0</v>
      </c>
      <c r="AH358" s="125">
        <v>0</v>
      </c>
      <c r="AI358" s="121">
        <v>1367173</v>
      </c>
      <c r="AJ358" s="121">
        <v>0</v>
      </c>
      <c r="AK358" s="424">
        <v>12</v>
      </c>
      <c r="AL358">
        <v>0</v>
      </c>
      <c r="AM358" s="121">
        <v>20661</v>
      </c>
      <c r="AN358" s="125">
        <v>0</v>
      </c>
      <c r="AO358" s="125">
        <v>0</v>
      </c>
      <c r="AP358" s="121">
        <v>1367173</v>
      </c>
      <c r="AQ358" s="114">
        <v>0</v>
      </c>
      <c r="AR358" s="121">
        <v>0</v>
      </c>
      <c r="AS358" s="121">
        <v>0</v>
      </c>
      <c r="AT358" s="121">
        <v>0</v>
      </c>
      <c r="AU358" s="420" t="s">
        <v>798</v>
      </c>
      <c r="AV358" s="420" t="s">
        <v>2001</v>
      </c>
      <c r="AW358" s="121">
        <v>0</v>
      </c>
      <c r="AX358" s="121">
        <v>0</v>
      </c>
      <c r="AY358" s="134">
        <v>526166</v>
      </c>
      <c r="AZ358" s="134">
        <v>566242</v>
      </c>
      <c r="BA358" s="114">
        <v>236</v>
      </c>
      <c r="BB358" s="134">
        <v>124593922</v>
      </c>
      <c r="BC358" s="114">
        <v>0</v>
      </c>
      <c r="BD358" s="114">
        <v>0</v>
      </c>
      <c r="BE358" s="114">
        <v>0</v>
      </c>
      <c r="BF358" s="114">
        <v>152</v>
      </c>
      <c r="BG358" s="114">
        <v>0</v>
      </c>
      <c r="BH358" s="114">
        <v>0</v>
      </c>
      <c r="BI358">
        <v>0</v>
      </c>
      <c r="BJ358" s="121">
        <v>0</v>
      </c>
      <c r="BK358" s="134">
        <v>125199008</v>
      </c>
      <c r="BL358" s="934">
        <v>5088</v>
      </c>
      <c r="BM358" s="934">
        <v>7795</v>
      </c>
      <c r="BN358" s="934">
        <v>5035</v>
      </c>
      <c r="BO358" s="114">
        <v>0</v>
      </c>
      <c r="BP358" s="114">
        <v>0</v>
      </c>
    </row>
    <row r="359" spans="1:68">
      <c r="A359" t="s">
        <v>2119</v>
      </c>
      <c r="B359" t="s">
        <v>1628</v>
      </c>
      <c r="C359" s="121">
        <v>6016</v>
      </c>
      <c r="D359" s="72">
        <v>2</v>
      </c>
      <c r="E359">
        <v>64.191999999999993</v>
      </c>
      <c r="F359">
        <v>23</v>
      </c>
      <c r="G359">
        <v>12</v>
      </c>
      <c r="H359">
        <v>1</v>
      </c>
      <c r="I359" s="173">
        <v>1.04</v>
      </c>
      <c r="J359" s="121">
        <v>170342561</v>
      </c>
      <c r="K359" s="125">
        <v>397.59199999999998</v>
      </c>
      <c r="L359" s="173">
        <v>1.5</v>
      </c>
      <c r="M359">
        <v>1.04</v>
      </c>
      <c r="N359">
        <v>1.000000005</v>
      </c>
      <c r="O359">
        <v>3.9999995000000066</v>
      </c>
      <c r="P359">
        <v>201.32300000000001</v>
      </c>
      <c r="Q359" s="125">
        <v>0</v>
      </c>
      <c r="R359" s="125">
        <v>0</v>
      </c>
      <c r="S359" s="125">
        <v>0.28899999999999998</v>
      </c>
      <c r="T359" s="125">
        <v>4.2190000000000003</v>
      </c>
      <c r="U359" s="125">
        <v>0.38</v>
      </c>
      <c r="V359" s="125">
        <v>0</v>
      </c>
      <c r="W359" s="125">
        <v>0</v>
      </c>
      <c r="X359" s="125">
        <v>0</v>
      </c>
      <c r="Y359" s="125">
        <v>0</v>
      </c>
      <c r="Z359" s="125">
        <v>0</v>
      </c>
      <c r="AA359" s="125">
        <v>3.1139999999999999</v>
      </c>
      <c r="AB359" s="125">
        <v>9.4030000000000005</v>
      </c>
      <c r="AC359" s="125">
        <v>144.5</v>
      </c>
      <c r="AD359" s="125">
        <v>0</v>
      </c>
      <c r="AE359" s="125">
        <v>0.96499999999999997</v>
      </c>
      <c r="AF359" s="125">
        <v>4</v>
      </c>
      <c r="AG359" s="125">
        <v>0</v>
      </c>
      <c r="AH359" s="125">
        <v>0</v>
      </c>
      <c r="AI359" s="121">
        <v>1518261</v>
      </c>
      <c r="AJ359" s="121">
        <v>0</v>
      </c>
      <c r="AK359" s="424">
        <v>12</v>
      </c>
      <c r="AL359">
        <v>0</v>
      </c>
      <c r="AM359" s="121">
        <v>35068</v>
      </c>
      <c r="AN359" s="125">
        <v>0</v>
      </c>
      <c r="AO359" s="125">
        <v>0</v>
      </c>
      <c r="AP359" s="121">
        <v>1518261</v>
      </c>
      <c r="AQ359" s="114">
        <v>0</v>
      </c>
      <c r="AR359" s="121">
        <v>0</v>
      </c>
      <c r="AS359" s="121">
        <v>0</v>
      </c>
      <c r="AT359" s="121">
        <v>0</v>
      </c>
      <c r="AU359" s="420" t="s">
        <v>798</v>
      </c>
      <c r="AV359" s="420" t="s">
        <v>2001</v>
      </c>
      <c r="AW359" s="121">
        <v>0</v>
      </c>
      <c r="AX359" s="121">
        <v>0</v>
      </c>
      <c r="AY359" s="134">
        <v>254644</v>
      </c>
      <c r="AZ359" s="134">
        <v>788352</v>
      </c>
      <c r="BA359" s="114">
        <v>301</v>
      </c>
      <c r="BB359" s="134">
        <v>55660682</v>
      </c>
      <c r="BC359" s="114">
        <v>0</v>
      </c>
      <c r="BD359" s="114">
        <v>0</v>
      </c>
      <c r="BE359" s="114">
        <v>0</v>
      </c>
      <c r="BF359" s="114">
        <v>221</v>
      </c>
      <c r="BG359" s="114">
        <v>0</v>
      </c>
      <c r="BH359" s="114">
        <v>0</v>
      </c>
      <c r="BI359">
        <v>0</v>
      </c>
      <c r="BJ359" s="121">
        <v>0</v>
      </c>
      <c r="BK359" s="134">
        <v>141872335</v>
      </c>
      <c r="BL359" s="934">
        <v>4883</v>
      </c>
      <c r="BM359" s="934">
        <v>6016</v>
      </c>
      <c r="BN359" s="934">
        <v>4932</v>
      </c>
      <c r="BO359" s="114">
        <v>0</v>
      </c>
      <c r="BP359" s="114">
        <v>0</v>
      </c>
    </row>
    <row r="360" spans="1:68">
      <c r="A360" t="s">
        <v>2301</v>
      </c>
      <c r="B360" t="s">
        <v>1540</v>
      </c>
      <c r="C360" s="121">
        <v>4800</v>
      </c>
      <c r="D360" s="72">
        <v>2</v>
      </c>
      <c r="E360">
        <v>930.79</v>
      </c>
      <c r="F360">
        <v>268</v>
      </c>
      <c r="G360">
        <v>206</v>
      </c>
      <c r="H360">
        <v>7</v>
      </c>
      <c r="I360" s="173">
        <v>1.04</v>
      </c>
      <c r="J360" s="121">
        <v>992195628</v>
      </c>
      <c r="K360" s="125">
        <v>4056.1930000000002</v>
      </c>
      <c r="L360" s="173">
        <v>1.5</v>
      </c>
      <c r="M360">
        <v>1.04</v>
      </c>
      <c r="N360">
        <v>1.000000005</v>
      </c>
      <c r="O360">
        <v>3.9999995000000066</v>
      </c>
      <c r="P360">
        <v>2920.9090000000001</v>
      </c>
      <c r="Q360" s="125">
        <v>0.22</v>
      </c>
      <c r="R360" s="125">
        <v>0</v>
      </c>
      <c r="S360" s="125">
        <v>4.234</v>
      </c>
      <c r="T360" s="125">
        <v>70.150999999999996</v>
      </c>
      <c r="U360" s="125">
        <v>19.413</v>
      </c>
      <c r="V360" s="125">
        <v>0.502</v>
      </c>
      <c r="W360" s="125">
        <v>12.91</v>
      </c>
      <c r="X360" s="125">
        <v>0</v>
      </c>
      <c r="Y360" s="125">
        <v>0</v>
      </c>
      <c r="Z360" s="125">
        <v>0</v>
      </c>
      <c r="AA360" s="125">
        <v>99.052999999999997</v>
      </c>
      <c r="AB360" s="125">
        <v>100.69</v>
      </c>
      <c r="AC360" s="125">
        <v>1947.8</v>
      </c>
      <c r="AD360" s="125">
        <v>2.7010000000000001</v>
      </c>
      <c r="AE360" s="125">
        <v>244.744</v>
      </c>
      <c r="AF360" s="125">
        <v>146.04499999999999</v>
      </c>
      <c r="AG360" s="125">
        <v>0</v>
      </c>
      <c r="AH360" s="125">
        <v>0</v>
      </c>
      <c r="AI360" s="121">
        <v>10726428</v>
      </c>
      <c r="AJ360" s="121">
        <v>590834</v>
      </c>
      <c r="AK360" s="424">
        <v>12</v>
      </c>
      <c r="AL360">
        <v>0</v>
      </c>
      <c r="AM360" s="121">
        <v>148397</v>
      </c>
      <c r="AN360" s="125">
        <v>0</v>
      </c>
      <c r="AO360" s="125">
        <v>0</v>
      </c>
      <c r="AP360" s="121">
        <v>11317262</v>
      </c>
      <c r="AQ360" s="114">
        <v>0</v>
      </c>
      <c r="AR360" s="121">
        <v>661.35741935999999</v>
      </c>
      <c r="AS360" s="121">
        <v>129958.80972</v>
      </c>
      <c r="AT360" s="121">
        <v>17115.516963999999</v>
      </c>
      <c r="AU360" s="420" t="s">
        <v>2001</v>
      </c>
      <c r="AV360" s="420" t="s">
        <v>2001</v>
      </c>
      <c r="AW360" s="121">
        <v>0</v>
      </c>
      <c r="AX360" s="121">
        <v>3037766</v>
      </c>
      <c r="BI360">
        <v>0</v>
      </c>
      <c r="BJ360" s="121">
        <v>0</v>
      </c>
      <c r="BK360" s="134">
        <v>992195628</v>
      </c>
      <c r="BL360" s="934">
        <v>4590</v>
      </c>
      <c r="BM360" s="934">
        <v>4800</v>
      </c>
      <c r="BN360" s="934">
        <v>4751</v>
      </c>
      <c r="BO360" s="114">
        <v>0</v>
      </c>
      <c r="BP360" s="114">
        <v>0</v>
      </c>
    </row>
    <row r="361" spans="1:68">
      <c r="A361" t="s">
        <v>2313</v>
      </c>
      <c r="B361" t="s">
        <v>1629</v>
      </c>
      <c r="C361" s="121">
        <v>9291</v>
      </c>
      <c r="D361" s="72">
        <v>2</v>
      </c>
      <c r="E361">
        <v>0</v>
      </c>
      <c r="F361">
        <v>3</v>
      </c>
      <c r="G361">
        <v>5</v>
      </c>
      <c r="H361">
        <v>0</v>
      </c>
      <c r="I361" s="173">
        <v>1.04</v>
      </c>
      <c r="J361" s="121">
        <v>122996816</v>
      </c>
      <c r="K361" s="125">
        <v>46.710999999999999</v>
      </c>
      <c r="L361" s="173">
        <v>1.32</v>
      </c>
      <c r="M361">
        <v>1.04</v>
      </c>
      <c r="N361">
        <v>0.88000000440000004</v>
      </c>
      <c r="O361">
        <v>15.999999559999999</v>
      </c>
      <c r="P361">
        <v>30.898</v>
      </c>
      <c r="Q361" s="125">
        <v>0</v>
      </c>
      <c r="R361" s="125">
        <v>0</v>
      </c>
      <c r="S361" s="125">
        <v>3.5000000000000003E-2</v>
      </c>
      <c r="T361" s="125">
        <v>0</v>
      </c>
      <c r="U361" s="125">
        <v>0</v>
      </c>
      <c r="V361" s="125">
        <v>0</v>
      </c>
      <c r="W361" s="125">
        <v>0</v>
      </c>
      <c r="X361" s="125">
        <v>0</v>
      </c>
      <c r="Y361" s="125">
        <v>0</v>
      </c>
      <c r="Z361" s="125">
        <v>0</v>
      </c>
      <c r="AA361" s="125">
        <v>0</v>
      </c>
      <c r="AB361" s="125">
        <v>0</v>
      </c>
      <c r="AC361" s="125">
        <v>7</v>
      </c>
      <c r="AD361" s="125">
        <v>0</v>
      </c>
      <c r="AE361" s="125">
        <v>0</v>
      </c>
      <c r="AF361" s="125">
        <v>1.5448999999999999</v>
      </c>
      <c r="AG361" s="125">
        <v>0</v>
      </c>
      <c r="AH361" s="125">
        <v>0</v>
      </c>
      <c r="AI361" s="121">
        <v>1177394</v>
      </c>
      <c r="AJ361" s="121">
        <v>0</v>
      </c>
      <c r="AK361" s="424">
        <v>6</v>
      </c>
      <c r="AL361">
        <v>0</v>
      </c>
      <c r="AM361" s="121">
        <v>9629</v>
      </c>
      <c r="AN361" s="125">
        <v>0</v>
      </c>
      <c r="AO361" s="125">
        <v>0</v>
      </c>
      <c r="AP361" s="121">
        <v>1177394</v>
      </c>
      <c r="AQ361" s="114">
        <v>0</v>
      </c>
      <c r="AR361" s="121">
        <v>0</v>
      </c>
      <c r="AS361" s="121">
        <v>0</v>
      </c>
      <c r="AT361" s="121">
        <v>0</v>
      </c>
      <c r="AU361" s="420" t="s">
        <v>798</v>
      </c>
      <c r="AV361" s="420" t="s">
        <v>2001</v>
      </c>
      <c r="AW361" s="121">
        <v>0</v>
      </c>
      <c r="AX361" s="121">
        <v>0</v>
      </c>
      <c r="AY361" s="134">
        <v>326633</v>
      </c>
      <c r="AZ361" s="134">
        <v>119831</v>
      </c>
      <c r="BA361" s="114">
        <v>62</v>
      </c>
      <c r="BB361" s="134">
        <v>80544098</v>
      </c>
      <c r="BC361" s="114">
        <v>0</v>
      </c>
      <c r="BD361" s="114">
        <v>0</v>
      </c>
      <c r="BE361" s="114">
        <v>0</v>
      </c>
      <c r="BF361" s="114">
        <v>19</v>
      </c>
      <c r="BG361" s="114">
        <v>0</v>
      </c>
      <c r="BH361" s="114">
        <v>0</v>
      </c>
      <c r="BI361">
        <v>0</v>
      </c>
      <c r="BJ361" s="121">
        <v>0</v>
      </c>
      <c r="BK361" s="134">
        <v>107819976</v>
      </c>
      <c r="BL361" s="934">
        <v>7845</v>
      </c>
      <c r="BM361" s="934">
        <v>9291</v>
      </c>
      <c r="BN361" s="934">
        <v>7888</v>
      </c>
      <c r="BO361" s="114">
        <v>0</v>
      </c>
      <c r="BP361" s="114">
        <v>0</v>
      </c>
    </row>
    <row r="362" spans="1:68">
      <c r="A362" t="s">
        <v>1897</v>
      </c>
      <c r="B362" t="s">
        <v>1757</v>
      </c>
      <c r="C362" s="121">
        <v>4709</v>
      </c>
      <c r="D362" s="72">
        <v>3</v>
      </c>
      <c r="E362">
        <v>226.15100000000001</v>
      </c>
      <c r="F362">
        <v>68</v>
      </c>
      <c r="G362">
        <v>41</v>
      </c>
      <c r="H362">
        <v>2</v>
      </c>
      <c r="I362" s="173">
        <v>1.17</v>
      </c>
      <c r="J362" s="121">
        <v>126857056</v>
      </c>
      <c r="K362" s="125">
        <v>1157.5909999999999</v>
      </c>
      <c r="L362" s="173">
        <v>1.43</v>
      </c>
      <c r="M362">
        <v>1.17</v>
      </c>
      <c r="N362">
        <v>0.95333333809999998</v>
      </c>
      <c r="O362">
        <v>21.666666189999994</v>
      </c>
      <c r="P362">
        <v>721.85400000000004</v>
      </c>
      <c r="Q362" s="125">
        <v>0.121</v>
      </c>
      <c r="R362" s="125">
        <v>0</v>
      </c>
      <c r="S362" s="125">
        <v>2.0910000000000002</v>
      </c>
      <c r="T362" s="125">
        <v>35.984000000000002</v>
      </c>
      <c r="U362" s="125">
        <v>7.6020000000000003</v>
      </c>
      <c r="V362" s="125">
        <v>0</v>
      </c>
      <c r="W362" s="125">
        <v>5.7489999999999997</v>
      </c>
      <c r="X362" s="125">
        <v>0</v>
      </c>
      <c r="Y362" s="125">
        <v>0</v>
      </c>
      <c r="Z362" s="125">
        <v>0</v>
      </c>
      <c r="AA362" s="125">
        <v>9.9510000000000005</v>
      </c>
      <c r="AB362" s="125">
        <v>33.744999999999997</v>
      </c>
      <c r="AC362" s="125">
        <v>272.2</v>
      </c>
      <c r="AD362" s="125">
        <v>0</v>
      </c>
      <c r="AE362" s="125">
        <v>2.8029999999999999</v>
      </c>
      <c r="AF362" s="125">
        <v>36.092700000000001</v>
      </c>
      <c r="AG362" s="125">
        <v>0</v>
      </c>
      <c r="AH362" s="125">
        <v>0</v>
      </c>
      <c r="AI362" s="121">
        <v>1511686</v>
      </c>
      <c r="AJ362" s="121">
        <v>151800</v>
      </c>
      <c r="AK362" s="424">
        <v>12</v>
      </c>
      <c r="AL362">
        <v>0</v>
      </c>
      <c r="AM362" s="121">
        <v>63986</v>
      </c>
      <c r="AN362" s="125">
        <v>0</v>
      </c>
      <c r="AO362" s="125">
        <v>0</v>
      </c>
      <c r="AP362" s="121">
        <v>1663486</v>
      </c>
      <c r="AQ362" s="114">
        <v>0</v>
      </c>
      <c r="AR362" s="121">
        <v>84.557775520000007</v>
      </c>
      <c r="AS362" s="121">
        <v>16615.868420999999</v>
      </c>
      <c r="AT362" s="121">
        <v>2188.3024200999998</v>
      </c>
      <c r="AU362" s="420" t="s">
        <v>2001</v>
      </c>
      <c r="AV362" s="420" t="s">
        <v>2001</v>
      </c>
      <c r="AW362" s="121">
        <v>0</v>
      </c>
      <c r="AX362" s="121">
        <v>310296</v>
      </c>
      <c r="BI362">
        <v>0</v>
      </c>
      <c r="BJ362" s="121">
        <v>0</v>
      </c>
      <c r="BK362" s="134">
        <v>126857056</v>
      </c>
      <c r="BL362" s="934">
        <v>4538</v>
      </c>
      <c r="BM362" s="934">
        <v>4635</v>
      </c>
      <c r="BN362" s="934">
        <v>4709</v>
      </c>
      <c r="BO362" s="114">
        <v>0</v>
      </c>
      <c r="BP362" s="114">
        <v>0</v>
      </c>
    </row>
    <row r="363" spans="1:68">
      <c r="A363" t="s">
        <v>1107</v>
      </c>
      <c r="B363" t="s">
        <v>1630</v>
      </c>
      <c r="C363" s="121">
        <v>4714</v>
      </c>
      <c r="D363" s="72">
        <v>3</v>
      </c>
      <c r="E363">
        <v>167.042</v>
      </c>
      <c r="F363">
        <v>53</v>
      </c>
      <c r="G363">
        <v>32</v>
      </c>
      <c r="H363">
        <v>4</v>
      </c>
      <c r="I363" s="173">
        <v>1.04</v>
      </c>
      <c r="J363" s="121">
        <v>113861260</v>
      </c>
      <c r="K363" s="125">
        <v>901.55499999999995</v>
      </c>
      <c r="L363" s="173">
        <v>1.4523999999999999</v>
      </c>
      <c r="M363">
        <v>1.04</v>
      </c>
      <c r="N363">
        <v>0.96826667150799994</v>
      </c>
      <c r="O363">
        <v>7.1733328492000092</v>
      </c>
      <c r="P363">
        <v>590.03800000000001</v>
      </c>
      <c r="Q363" s="125">
        <v>9.9000000000000005E-2</v>
      </c>
      <c r="R363" s="125">
        <v>0</v>
      </c>
      <c r="S363" s="125">
        <v>0.434</v>
      </c>
      <c r="T363" s="125">
        <v>18.917999999999999</v>
      </c>
      <c r="U363" s="125">
        <v>1</v>
      </c>
      <c r="V363" s="125">
        <v>4.7750000000000004</v>
      </c>
      <c r="W363" s="125">
        <v>1.577</v>
      </c>
      <c r="X363" s="125">
        <v>0</v>
      </c>
      <c r="Y363" s="125">
        <v>0</v>
      </c>
      <c r="Z363" s="125">
        <v>0</v>
      </c>
      <c r="AA363" s="125">
        <v>0.42199999999999999</v>
      </c>
      <c r="AB363" s="125">
        <v>29.364000000000001</v>
      </c>
      <c r="AC363" s="125">
        <v>190</v>
      </c>
      <c r="AD363" s="125">
        <v>0</v>
      </c>
      <c r="AE363" s="125">
        <v>12</v>
      </c>
      <c r="AF363" s="125">
        <v>21</v>
      </c>
      <c r="AG363" s="125">
        <v>0</v>
      </c>
      <c r="AH363" s="125">
        <v>0</v>
      </c>
      <c r="AI363" s="121">
        <v>1198280</v>
      </c>
      <c r="AJ363" s="121">
        <v>78123</v>
      </c>
      <c r="AK363" s="424">
        <v>12</v>
      </c>
      <c r="AL363">
        <v>0</v>
      </c>
      <c r="AM363" s="121">
        <v>18137</v>
      </c>
      <c r="AN363" s="125">
        <v>0</v>
      </c>
      <c r="AO363" s="125">
        <v>0</v>
      </c>
      <c r="AP363" s="121">
        <v>1276403</v>
      </c>
      <c r="AQ363" s="114">
        <v>0</v>
      </c>
      <c r="AR363" s="121">
        <v>75.895304267</v>
      </c>
      <c r="AS363" s="121">
        <v>14913.665617000001</v>
      </c>
      <c r="AT363" s="121">
        <v>1964.1230742</v>
      </c>
      <c r="AU363" s="420" t="s">
        <v>2001</v>
      </c>
      <c r="AV363" s="420" t="s">
        <v>2001</v>
      </c>
      <c r="AW363" s="121">
        <v>0</v>
      </c>
      <c r="AX363" s="121">
        <v>154640</v>
      </c>
      <c r="BI363">
        <v>0</v>
      </c>
      <c r="BJ363" s="121">
        <v>0</v>
      </c>
      <c r="BK363" s="134">
        <v>113861260</v>
      </c>
      <c r="BL363" s="934">
        <v>4667</v>
      </c>
      <c r="BM363" s="934">
        <v>4655</v>
      </c>
      <c r="BN363" s="934">
        <v>4714</v>
      </c>
      <c r="BO363" s="114">
        <v>0</v>
      </c>
      <c r="BP363" s="114">
        <v>0</v>
      </c>
    </row>
    <row r="364" spans="1:68">
      <c r="A364" t="s">
        <v>1108</v>
      </c>
      <c r="B364" t="s">
        <v>1631</v>
      </c>
      <c r="C364" s="121">
        <v>4680</v>
      </c>
      <c r="D364" s="72">
        <v>3</v>
      </c>
      <c r="E364">
        <v>1290.6410000000001</v>
      </c>
      <c r="F364">
        <v>345</v>
      </c>
      <c r="G364">
        <v>216</v>
      </c>
      <c r="H364">
        <v>30</v>
      </c>
      <c r="I364" s="173">
        <v>1.04</v>
      </c>
      <c r="J364" s="121">
        <v>1094564705</v>
      </c>
      <c r="K364" s="125">
        <v>6013.8810000000003</v>
      </c>
      <c r="L364" s="173">
        <v>1.49</v>
      </c>
      <c r="M364">
        <v>1.04</v>
      </c>
      <c r="N364">
        <v>0.99333333830000003</v>
      </c>
      <c r="O364">
        <v>4.6666661700000001</v>
      </c>
      <c r="P364">
        <v>4240</v>
      </c>
      <c r="Q364" s="125">
        <v>1.8</v>
      </c>
      <c r="R364" s="125">
        <v>0</v>
      </c>
      <c r="S364" s="125">
        <v>12.75</v>
      </c>
      <c r="T364" s="125">
        <v>232</v>
      </c>
      <c r="U364" s="125">
        <v>71</v>
      </c>
      <c r="V364" s="125">
        <v>0</v>
      </c>
      <c r="W364" s="125">
        <v>21</v>
      </c>
      <c r="X364" s="125">
        <v>0</v>
      </c>
      <c r="Y364" s="125">
        <v>0</v>
      </c>
      <c r="Z364" s="125">
        <v>0</v>
      </c>
      <c r="AA364" s="125">
        <v>33</v>
      </c>
      <c r="AB364" s="125">
        <v>250</v>
      </c>
      <c r="AC364" s="125">
        <v>2600</v>
      </c>
      <c r="AD364" s="125">
        <v>1</v>
      </c>
      <c r="AE364" s="125">
        <v>165</v>
      </c>
      <c r="AF364" s="125">
        <v>208</v>
      </c>
      <c r="AG364" s="125">
        <v>0</v>
      </c>
      <c r="AH364" s="125">
        <v>0</v>
      </c>
      <c r="AI364" s="121">
        <v>11898915</v>
      </c>
      <c r="AJ364" s="121">
        <v>1075912</v>
      </c>
      <c r="AK364" s="424">
        <v>12</v>
      </c>
      <c r="AL364">
        <v>0</v>
      </c>
      <c r="AM364" s="121">
        <v>239996</v>
      </c>
      <c r="AN364" s="125">
        <v>0</v>
      </c>
      <c r="AO364" s="125">
        <v>0</v>
      </c>
      <c r="AP364" s="121">
        <v>12974827</v>
      </c>
      <c r="AQ364" s="114">
        <v>0</v>
      </c>
      <c r="AR364" s="121">
        <v>729.59249990000001</v>
      </c>
      <c r="AS364" s="121">
        <v>143367.21732</v>
      </c>
      <c r="AT364" s="121">
        <v>18881.398232</v>
      </c>
      <c r="AU364" s="420" t="s">
        <v>2001</v>
      </c>
      <c r="AV364" s="420" t="s">
        <v>2001</v>
      </c>
      <c r="AW364" s="121">
        <v>0</v>
      </c>
      <c r="AX364" s="121">
        <v>1630000</v>
      </c>
      <c r="BI364">
        <v>0</v>
      </c>
      <c r="BJ364" s="121">
        <v>0</v>
      </c>
      <c r="BK364" s="134">
        <v>1094564705</v>
      </c>
      <c r="BL364" s="934">
        <v>4527</v>
      </c>
      <c r="BM364" s="934">
        <v>4663</v>
      </c>
      <c r="BN364" s="934">
        <v>4680</v>
      </c>
      <c r="BO364" s="114">
        <v>0</v>
      </c>
      <c r="BP364" s="114">
        <v>0</v>
      </c>
    </row>
    <row r="365" spans="1:68">
      <c r="A365" t="s">
        <v>1276</v>
      </c>
      <c r="B365" t="s">
        <v>2731</v>
      </c>
      <c r="C365" s="121">
        <v>4576</v>
      </c>
      <c r="D365" s="72">
        <v>1</v>
      </c>
      <c r="E365">
        <v>273.78399999999999</v>
      </c>
      <c r="F365">
        <v>80</v>
      </c>
      <c r="G365">
        <v>56</v>
      </c>
      <c r="H365">
        <v>5</v>
      </c>
      <c r="I365" s="173">
        <v>1.04</v>
      </c>
      <c r="J365" s="121">
        <v>176807734</v>
      </c>
      <c r="K365" s="125">
        <v>1478.5650000000001</v>
      </c>
      <c r="L365" s="173">
        <v>1.5</v>
      </c>
      <c r="M365">
        <v>1.04</v>
      </c>
      <c r="N365">
        <v>1.000000005</v>
      </c>
      <c r="O365">
        <v>3.9999995000000066</v>
      </c>
      <c r="P365">
        <v>1010</v>
      </c>
      <c r="Q365" s="125">
        <v>0.33300000000000002</v>
      </c>
      <c r="R365" s="125">
        <v>0</v>
      </c>
      <c r="S365" s="125">
        <v>2.52</v>
      </c>
      <c r="T365" s="125">
        <v>35.53</v>
      </c>
      <c r="U365" s="125">
        <v>2.2200000000000002</v>
      </c>
      <c r="V365" s="125">
        <v>7.4089999999999998</v>
      </c>
      <c r="W365" s="125">
        <v>8.5</v>
      </c>
      <c r="X365" s="125">
        <v>0</v>
      </c>
      <c r="Y365" s="125">
        <v>0</v>
      </c>
      <c r="Z365" s="125">
        <v>0</v>
      </c>
      <c r="AA365" s="125">
        <v>13.183999999999999</v>
      </c>
      <c r="AB365" s="125">
        <v>48.064</v>
      </c>
      <c r="AC365" s="125">
        <v>340</v>
      </c>
      <c r="AD365" s="125">
        <v>0</v>
      </c>
      <c r="AE365" s="125">
        <v>32</v>
      </c>
      <c r="AF365" s="125">
        <v>50.5</v>
      </c>
      <c r="AG365" s="125">
        <v>0</v>
      </c>
      <c r="AH365" s="125">
        <v>0</v>
      </c>
      <c r="AI365" s="121">
        <v>1918845</v>
      </c>
      <c r="AJ365" s="121">
        <v>475598</v>
      </c>
      <c r="AK365" s="424">
        <v>12</v>
      </c>
      <c r="AL365">
        <v>0</v>
      </c>
      <c r="AM365" s="121">
        <v>57341</v>
      </c>
      <c r="AN365" s="125">
        <v>0</v>
      </c>
      <c r="AO365" s="125">
        <v>0</v>
      </c>
      <c r="AP365" s="121">
        <v>2394443</v>
      </c>
      <c r="AQ365" s="114">
        <v>0</v>
      </c>
      <c r="AR365" s="121">
        <v>117.85287434999999</v>
      </c>
      <c r="AS365" s="121">
        <v>23158.459896</v>
      </c>
      <c r="AT365" s="121">
        <v>3049.9587835000002</v>
      </c>
      <c r="AU365" s="420" t="s">
        <v>2001</v>
      </c>
      <c r="AV365" s="420" t="s">
        <v>2001</v>
      </c>
      <c r="AW365" s="121">
        <v>0</v>
      </c>
      <c r="AX365" s="121">
        <v>993574</v>
      </c>
      <c r="BI365">
        <v>0</v>
      </c>
      <c r="BJ365" s="121">
        <v>0</v>
      </c>
      <c r="BK365" s="134">
        <v>176807734</v>
      </c>
      <c r="BL365" s="934">
        <v>4576</v>
      </c>
      <c r="BM365" s="934">
        <v>4567</v>
      </c>
      <c r="BN365" s="934">
        <v>4567</v>
      </c>
      <c r="BO365" s="114">
        <v>0</v>
      </c>
      <c r="BP365" s="114">
        <v>0</v>
      </c>
    </row>
    <row r="366" spans="1:68">
      <c r="A366" t="s">
        <v>897</v>
      </c>
      <c r="B366" t="s">
        <v>1849</v>
      </c>
      <c r="C366" s="121">
        <v>4788</v>
      </c>
      <c r="D366" s="72">
        <v>2</v>
      </c>
      <c r="E366">
        <v>1657.633</v>
      </c>
      <c r="F366">
        <v>536</v>
      </c>
      <c r="G366">
        <v>332</v>
      </c>
      <c r="H366">
        <v>46</v>
      </c>
      <c r="I366" s="173">
        <v>1.04</v>
      </c>
      <c r="J366" s="121">
        <v>2046522874</v>
      </c>
      <c r="K366" s="125">
        <v>7989.6859999999997</v>
      </c>
      <c r="L366" s="173">
        <v>1.5</v>
      </c>
      <c r="M366">
        <v>1.04</v>
      </c>
      <c r="N366">
        <v>1.000000005</v>
      </c>
      <c r="O366">
        <v>3.9999995000000066</v>
      </c>
      <c r="P366">
        <v>6050</v>
      </c>
      <c r="Q366" s="125">
        <v>1</v>
      </c>
      <c r="R366" s="125">
        <v>0</v>
      </c>
      <c r="S366" s="125">
        <v>10</v>
      </c>
      <c r="T366" s="125">
        <v>260</v>
      </c>
      <c r="U366" s="125">
        <v>68</v>
      </c>
      <c r="V366" s="125">
        <v>0</v>
      </c>
      <c r="W366" s="125">
        <v>4</v>
      </c>
      <c r="X366" s="125">
        <v>0</v>
      </c>
      <c r="Y366" s="125">
        <v>0</v>
      </c>
      <c r="Z366" s="125">
        <v>1</v>
      </c>
      <c r="AA366" s="125">
        <v>31</v>
      </c>
      <c r="AB366" s="125">
        <v>220</v>
      </c>
      <c r="AC366" s="125">
        <v>3509</v>
      </c>
      <c r="AD366" s="125">
        <v>2</v>
      </c>
      <c r="AE366" s="125">
        <v>780</v>
      </c>
      <c r="AF366" s="125">
        <v>302</v>
      </c>
      <c r="AG366" s="125">
        <v>0</v>
      </c>
      <c r="AH366" s="125">
        <v>0</v>
      </c>
      <c r="AI366" s="121">
        <v>21594828</v>
      </c>
      <c r="AJ366" s="121">
        <v>4814977</v>
      </c>
      <c r="AK366" s="424">
        <v>12</v>
      </c>
      <c r="AL366">
        <v>0</v>
      </c>
      <c r="AM366" s="121">
        <v>327618</v>
      </c>
      <c r="AN366" s="125">
        <v>1</v>
      </c>
      <c r="AO366" s="125">
        <v>0</v>
      </c>
      <c r="AP366" s="121">
        <v>26409805</v>
      </c>
      <c r="AQ366" s="114">
        <v>0</v>
      </c>
      <c r="AR366" s="121">
        <v>1364.1292587999999</v>
      </c>
      <c r="AS366" s="121">
        <v>268055.68303999997</v>
      </c>
      <c r="AT366" s="121">
        <v>35302.813254000001</v>
      </c>
      <c r="AU366" s="420" t="s">
        <v>2001</v>
      </c>
      <c r="AV366" s="420" t="s">
        <v>2001</v>
      </c>
      <c r="AW366" s="121">
        <v>0</v>
      </c>
      <c r="AX366" s="121">
        <v>7400542</v>
      </c>
      <c r="BI366">
        <v>0</v>
      </c>
      <c r="BJ366" s="121">
        <v>0</v>
      </c>
      <c r="BK366" s="134">
        <v>2046522874</v>
      </c>
      <c r="BL366" s="934">
        <v>4713</v>
      </c>
      <c r="BM366" s="934">
        <v>4788</v>
      </c>
      <c r="BN366" s="934">
        <v>4788</v>
      </c>
      <c r="BO366" s="114">
        <v>0</v>
      </c>
      <c r="BP366" s="114">
        <v>0</v>
      </c>
    </row>
    <row r="367" spans="1:68">
      <c r="A367" t="s">
        <v>898</v>
      </c>
      <c r="B367" t="s">
        <v>1850</v>
      </c>
      <c r="C367" s="121">
        <v>5278</v>
      </c>
      <c r="D367" s="72">
        <v>3</v>
      </c>
      <c r="E367">
        <v>0</v>
      </c>
      <c r="F367">
        <v>15</v>
      </c>
      <c r="G367">
        <v>10</v>
      </c>
      <c r="H367">
        <v>0</v>
      </c>
      <c r="I367" s="173">
        <v>1.04</v>
      </c>
      <c r="J367" s="121">
        <v>64434088</v>
      </c>
      <c r="K367" s="125">
        <v>311.29199999999997</v>
      </c>
      <c r="L367" s="173">
        <v>1.45</v>
      </c>
      <c r="M367">
        <v>1.04</v>
      </c>
      <c r="N367">
        <v>0.96666667149999996</v>
      </c>
      <c r="O367">
        <v>7.3333328500000068</v>
      </c>
      <c r="P367">
        <v>181.393</v>
      </c>
      <c r="Q367" s="125">
        <v>0</v>
      </c>
      <c r="R367" s="125">
        <v>0</v>
      </c>
      <c r="S367" s="125">
        <v>0.186</v>
      </c>
      <c r="T367" s="125">
        <v>7.3879999999999999</v>
      </c>
      <c r="U367" s="125">
        <v>0</v>
      </c>
      <c r="V367" s="125">
        <v>1.9350000000000001</v>
      </c>
      <c r="W367" s="125">
        <v>0</v>
      </c>
      <c r="X367" s="125">
        <v>0</v>
      </c>
      <c r="Y367" s="125">
        <v>0</v>
      </c>
      <c r="Z367" s="125">
        <v>0</v>
      </c>
      <c r="AA367" s="125">
        <v>0</v>
      </c>
      <c r="AB367" s="125">
        <v>0</v>
      </c>
      <c r="AC367" s="125">
        <v>99.7</v>
      </c>
      <c r="AD367" s="125">
        <v>0</v>
      </c>
      <c r="AE367" s="125">
        <v>18.401</v>
      </c>
      <c r="AF367" s="125">
        <v>9.0696499999999993</v>
      </c>
      <c r="AG367" s="125">
        <v>0</v>
      </c>
      <c r="AH367" s="125">
        <v>0</v>
      </c>
      <c r="AI367" s="121">
        <v>672684</v>
      </c>
      <c r="AJ367" s="121">
        <v>212766</v>
      </c>
      <c r="AK367" s="424">
        <v>8</v>
      </c>
      <c r="AL367">
        <v>0</v>
      </c>
      <c r="AM367" s="121">
        <v>19666</v>
      </c>
      <c r="AN367" s="125">
        <v>0</v>
      </c>
      <c r="AO367" s="125">
        <v>0</v>
      </c>
      <c r="AP367" s="121">
        <v>885450</v>
      </c>
      <c r="AQ367" s="114">
        <v>0</v>
      </c>
      <c r="AR367" s="121">
        <v>42.949153328000001</v>
      </c>
      <c r="AS367" s="121">
        <v>8439.6434993999992</v>
      </c>
      <c r="AT367" s="121">
        <v>1111.4972643000001</v>
      </c>
      <c r="AU367" s="420" t="s">
        <v>2001</v>
      </c>
      <c r="AV367" s="420" t="s">
        <v>2001</v>
      </c>
      <c r="AW367" s="121">
        <v>0</v>
      </c>
      <c r="AX367" s="121">
        <v>257455</v>
      </c>
      <c r="BI367">
        <v>0</v>
      </c>
      <c r="BJ367" s="121">
        <v>0</v>
      </c>
      <c r="BK367" s="134">
        <v>64434088</v>
      </c>
      <c r="BL367" s="934">
        <v>4897</v>
      </c>
      <c r="BM367" s="934">
        <v>5250</v>
      </c>
      <c r="BN367" s="934">
        <v>5278</v>
      </c>
      <c r="BO367" s="134">
        <v>108876</v>
      </c>
      <c r="BP367" s="134">
        <v>72336</v>
      </c>
    </row>
    <row r="368" spans="1:68">
      <c r="A368" t="s">
        <v>1404</v>
      </c>
      <c r="B368" t="s">
        <v>2706</v>
      </c>
      <c r="C368" s="121">
        <v>4696</v>
      </c>
      <c r="D368" s="72">
        <v>1</v>
      </c>
      <c r="E368">
        <v>428.35</v>
      </c>
      <c r="F368">
        <v>119</v>
      </c>
      <c r="G368">
        <v>69</v>
      </c>
      <c r="H368">
        <v>1</v>
      </c>
      <c r="I368" s="173">
        <v>1.04</v>
      </c>
      <c r="J368" s="121">
        <v>349569638</v>
      </c>
      <c r="K368" s="125">
        <v>1818.2049999999999</v>
      </c>
      <c r="L368" s="173">
        <v>1.5</v>
      </c>
      <c r="M368">
        <v>1.04</v>
      </c>
      <c r="N368">
        <v>1.000000005</v>
      </c>
      <c r="O368">
        <v>3.9999995000000066</v>
      </c>
      <c r="P368">
        <v>1378.347</v>
      </c>
      <c r="Q368" s="125">
        <v>0</v>
      </c>
      <c r="R368" s="125">
        <v>0</v>
      </c>
      <c r="S368" s="125">
        <v>2.5270000000000001</v>
      </c>
      <c r="T368" s="125">
        <v>54.246000000000002</v>
      </c>
      <c r="U368" s="125">
        <v>0.67100000000000004</v>
      </c>
      <c r="V368" s="125">
        <v>4.6260000000000003</v>
      </c>
      <c r="W368" s="125">
        <v>4.649</v>
      </c>
      <c r="X368" s="125">
        <v>0</v>
      </c>
      <c r="Y368" s="125">
        <v>0</v>
      </c>
      <c r="Z368" s="125">
        <v>0</v>
      </c>
      <c r="AA368" s="125">
        <v>5.867</v>
      </c>
      <c r="AB368" s="125">
        <v>54.945</v>
      </c>
      <c r="AC368" s="125">
        <v>359.3</v>
      </c>
      <c r="AD368" s="125">
        <v>0</v>
      </c>
      <c r="AE368" s="125">
        <v>43.844999999999999</v>
      </c>
      <c r="AF368" s="125">
        <v>68.917000000000002</v>
      </c>
      <c r="AG368" s="125">
        <v>0</v>
      </c>
      <c r="AH368" s="125">
        <v>0</v>
      </c>
      <c r="AI368" s="121">
        <v>3690191</v>
      </c>
      <c r="AJ368" s="121">
        <v>1025198</v>
      </c>
      <c r="AK368" s="424">
        <v>12</v>
      </c>
      <c r="AL368">
        <v>0</v>
      </c>
      <c r="AM368" s="121">
        <v>50545</v>
      </c>
      <c r="AN368" s="125">
        <v>0</v>
      </c>
      <c r="AO368" s="125">
        <v>0</v>
      </c>
      <c r="AP368" s="121">
        <v>4715389</v>
      </c>
      <c r="AQ368" s="114">
        <v>0</v>
      </c>
      <c r="AR368" s="121">
        <v>233.00896230000001</v>
      </c>
      <c r="AS368" s="121">
        <v>45786.992793999998</v>
      </c>
      <c r="AT368" s="121">
        <v>6030.1264190000002</v>
      </c>
      <c r="AU368" s="420" t="s">
        <v>2001</v>
      </c>
      <c r="AV368" s="420" t="s">
        <v>2001</v>
      </c>
      <c r="AW368" s="121">
        <v>0</v>
      </c>
      <c r="AX368" s="121">
        <v>1566020</v>
      </c>
      <c r="BI368">
        <v>0</v>
      </c>
      <c r="BJ368" s="121">
        <v>0</v>
      </c>
      <c r="BK368" s="134">
        <v>349569638</v>
      </c>
      <c r="BL368" s="934">
        <v>4696</v>
      </c>
      <c r="BM368" s="934">
        <v>4670</v>
      </c>
      <c r="BN368" s="934">
        <v>4670</v>
      </c>
      <c r="BO368" s="114">
        <v>0</v>
      </c>
      <c r="BP368" s="114">
        <v>0</v>
      </c>
    </row>
    <row r="369" spans="1:68">
      <c r="A369" t="s">
        <v>1405</v>
      </c>
      <c r="B369" t="s">
        <v>1511</v>
      </c>
      <c r="C369" s="121">
        <v>4776</v>
      </c>
      <c r="D369" s="72">
        <v>2</v>
      </c>
      <c r="E369">
        <v>503.87599999999998</v>
      </c>
      <c r="F369">
        <v>124</v>
      </c>
      <c r="G369">
        <v>85</v>
      </c>
      <c r="H369">
        <v>2</v>
      </c>
      <c r="I369" s="173">
        <v>1.17</v>
      </c>
      <c r="J369" s="121">
        <v>366731900</v>
      </c>
      <c r="K369" s="125">
        <v>2300.8519999999999</v>
      </c>
      <c r="L369" s="173">
        <v>1.5</v>
      </c>
      <c r="M369">
        <v>1.17</v>
      </c>
      <c r="N369">
        <v>1.000000005</v>
      </c>
      <c r="O369">
        <v>16.999999499999994</v>
      </c>
      <c r="P369">
        <v>1628.67</v>
      </c>
      <c r="Q369" s="125">
        <v>0.188</v>
      </c>
      <c r="R369" s="125">
        <v>0</v>
      </c>
      <c r="S369" s="125">
        <v>3.4809999999999999</v>
      </c>
      <c r="T369" s="125">
        <v>79.884</v>
      </c>
      <c r="U369" s="125">
        <v>8.0589999999999993</v>
      </c>
      <c r="V369" s="125">
        <v>2.87</v>
      </c>
      <c r="W369" s="125">
        <v>8.3480000000000008</v>
      </c>
      <c r="X369" s="125">
        <v>0</v>
      </c>
      <c r="Y369" s="125">
        <v>0</v>
      </c>
      <c r="Z369" s="125">
        <v>7.6999999999999999E-2</v>
      </c>
      <c r="AA369" s="125">
        <v>13.79</v>
      </c>
      <c r="AB369" s="125">
        <v>88.730999999999995</v>
      </c>
      <c r="AC369" s="125">
        <v>794.2</v>
      </c>
      <c r="AD369" s="125">
        <v>0.24</v>
      </c>
      <c r="AE369" s="125">
        <v>36.779000000000003</v>
      </c>
      <c r="AF369" s="125">
        <v>81.433000000000007</v>
      </c>
      <c r="AG369" s="125">
        <v>0</v>
      </c>
      <c r="AH369" s="125">
        <v>0</v>
      </c>
      <c r="AI369" s="121">
        <v>4440083</v>
      </c>
      <c r="AJ369" s="121">
        <v>564289</v>
      </c>
      <c r="AK369" s="424">
        <v>12</v>
      </c>
      <c r="AL369">
        <v>0</v>
      </c>
      <c r="AM369" s="121">
        <v>130076</v>
      </c>
      <c r="AN369" s="125">
        <v>0</v>
      </c>
      <c r="AO369" s="125">
        <v>0</v>
      </c>
      <c r="AP369" s="121">
        <v>5004372</v>
      </c>
      <c r="AQ369" s="114">
        <v>0</v>
      </c>
      <c r="AR369" s="121">
        <v>244.44863103</v>
      </c>
      <c r="AS369" s="121">
        <v>48034.923624000003</v>
      </c>
      <c r="AT369" s="121">
        <v>6326.1779011999997</v>
      </c>
      <c r="AU369" s="420" t="s">
        <v>2001</v>
      </c>
      <c r="AV369" s="420" t="s">
        <v>2001</v>
      </c>
      <c r="AW369" s="121">
        <v>0</v>
      </c>
      <c r="AX369" s="121">
        <v>1253577</v>
      </c>
      <c r="BI369">
        <v>0</v>
      </c>
      <c r="BJ369" s="121">
        <v>0</v>
      </c>
      <c r="BK369" s="134">
        <v>366731900</v>
      </c>
      <c r="BL369" s="934">
        <v>4651</v>
      </c>
      <c r="BM369" s="934">
        <v>4776</v>
      </c>
      <c r="BN369" s="934">
        <v>4776</v>
      </c>
      <c r="BO369" s="114">
        <v>0</v>
      </c>
      <c r="BP369" s="114">
        <v>0</v>
      </c>
    </row>
    <row r="370" spans="1:68">
      <c r="A370" t="s">
        <v>1650</v>
      </c>
      <c r="B370" t="s">
        <v>1851</v>
      </c>
      <c r="C370" s="121">
        <v>4552</v>
      </c>
      <c r="D370" s="72">
        <v>3</v>
      </c>
      <c r="E370">
        <v>229.874</v>
      </c>
      <c r="F370">
        <v>66</v>
      </c>
      <c r="G370">
        <v>37</v>
      </c>
      <c r="H370">
        <v>0</v>
      </c>
      <c r="I370" s="173">
        <v>1.1399999999999999</v>
      </c>
      <c r="J370" s="121">
        <v>132737780</v>
      </c>
      <c r="K370" s="125">
        <v>1272.9259999999999</v>
      </c>
      <c r="L370" s="173">
        <v>1.46</v>
      </c>
      <c r="M370">
        <v>1.1399999999999999</v>
      </c>
      <c r="N370">
        <v>0.97333333820000001</v>
      </c>
      <c r="O370">
        <v>16.666666179999989</v>
      </c>
      <c r="P370">
        <v>776</v>
      </c>
      <c r="Q370" s="125">
        <v>2.5999999999999999E-2</v>
      </c>
      <c r="R370" s="125">
        <v>0</v>
      </c>
      <c r="S370" s="125">
        <v>1.1679999999999999</v>
      </c>
      <c r="T370" s="125">
        <v>52.713000000000001</v>
      </c>
      <c r="U370" s="125">
        <v>3.0750000000000002</v>
      </c>
      <c r="V370" s="125">
        <v>6.194</v>
      </c>
      <c r="W370" s="125">
        <v>6.1879999999999997</v>
      </c>
      <c r="X370" s="125">
        <v>0</v>
      </c>
      <c r="Y370" s="125">
        <v>0</v>
      </c>
      <c r="Z370" s="125">
        <v>2.3730000000000002</v>
      </c>
      <c r="AA370" s="125">
        <v>0.81100000000000005</v>
      </c>
      <c r="AB370" s="125">
        <v>39.177</v>
      </c>
      <c r="AC370" s="125">
        <v>342</v>
      </c>
      <c r="AD370" s="125">
        <v>0.108</v>
      </c>
      <c r="AE370" s="125">
        <v>6.8559999999999999</v>
      </c>
      <c r="AF370" s="125">
        <v>38.799999999999997</v>
      </c>
      <c r="AG370" s="125">
        <v>0</v>
      </c>
      <c r="AH370" s="125">
        <v>0</v>
      </c>
      <c r="AI370" s="121">
        <v>1544119</v>
      </c>
      <c r="AJ370" s="121">
        <v>290048</v>
      </c>
      <c r="AK370" s="424">
        <v>12</v>
      </c>
      <c r="AL370">
        <v>0</v>
      </c>
      <c r="AM370" s="121">
        <v>40684</v>
      </c>
      <c r="AN370" s="125">
        <v>0</v>
      </c>
      <c r="AO370" s="125">
        <v>0</v>
      </c>
      <c r="AP370" s="121">
        <v>1834167</v>
      </c>
      <c r="AQ370" s="114">
        <v>0</v>
      </c>
      <c r="AR370" s="121">
        <v>88.477627955000003</v>
      </c>
      <c r="AS370" s="121">
        <v>17386.131733999999</v>
      </c>
      <c r="AT370" s="121">
        <v>2289.7457530000001</v>
      </c>
      <c r="AU370" s="420" t="s">
        <v>2001</v>
      </c>
      <c r="AV370" s="420" t="s">
        <v>2001</v>
      </c>
      <c r="AW370" s="121">
        <v>0</v>
      </c>
      <c r="AX370" s="121">
        <v>634993</v>
      </c>
      <c r="BI370">
        <v>0</v>
      </c>
      <c r="BJ370" s="121">
        <v>0</v>
      </c>
      <c r="BK370" s="134">
        <v>132737780</v>
      </c>
      <c r="BL370" s="934">
        <v>4517</v>
      </c>
      <c r="BM370" s="934">
        <v>4511</v>
      </c>
      <c r="BN370" s="934">
        <v>4552</v>
      </c>
      <c r="BO370" s="114">
        <v>0</v>
      </c>
      <c r="BP370" s="114">
        <v>0</v>
      </c>
    </row>
    <row r="371" spans="1:68">
      <c r="A371" t="s">
        <v>243</v>
      </c>
      <c r="B371" t="s">
        <v>2410</v>
      </c>
      <c r="C371" s="121">
        <v>5374</v>
      </c>
      <c r="D371" s="72">
        <v>2</v>
      </c>
      <c r="E371">
        <v>370.89699999999999</v>
      </c>
      <c r="F371">
        <v>105</v>
      </c>
      <c r="G371">
        <v>77</v>
      </c>
      <c r="H371">
        <v>2</v>
      </c>
      <c r="I371" s="173">
        <v>1.04</v>
      </c>
      <c r="J371" s="121">
        <v>583291201</v>
      </c>
      <c r="K371" s="125">
        <v>1736.7190000000001</v>
      </c>
      <c r="L371" s="173">
        <v>1.44</v>
      </c>
      <c r="M371">
        <v>1.04</v>
      </c>
      <c r="N371">
        <v>0.96000000480000003</v>
      </c>
      <c r="O371">
        <v>7.9999995200000011</v>
      </c>
      <c r="P371">
        <v>1226.662</v>
      </c>
      <c r="Q371" s="125">
        <v>0</v>
      </c>
      <c r="R371" s="125">
        <v>0</v>
      </c>
      <c r="S371" s="125">
        <v>2.61</v>
      </c>
      <c r="T371" s="125">
        <v>58.947000000000003</v>
      </c>
      <c r="U371" s="125">
        <v>5.5549999999999997</v>
      </c>
      <c r="V371" s="125">
        <v>1.196</v>
      </c>
      <c r="W371" s="125">
        <v>5.1210000000000004</v>
      </c>
      <c r="X371" s="125">
        <v>0</v>
      </c>
      <c r="Y371" s="125">
        <v>0</v>
      </c>
      <c r="Z371" s="125">
        <v>0</v>
      </c>
      <c r="AA371" s="125">
        <v>7.8019999999999996</v>
      </c>
      <c r="AB371" s="125">
        <v>59.862000000000002</v>
      </c>
      <c r="AC371" s="125">
        <v>447.1</v>
      </c>
      <c r="AD371" s="125">
        <v>0.74099999999999999</v>
      </c>
      <c r="AE371" s="125">
        <v>12.273999999999999</v>
      </c>
      <c r="AF371" s="125">
        <v>61.332999999999998</v>
      </c>
      <c r="AG371" s="125">
        <v>0</v>
      </c>
      <c r="AH371" s="125">
        <v>0</v>
      </c>
      <c r="AI371" s="121">
        <v>6177630</v>
      </c>
      <c r="AJ371" s="121">
        <v>1100541</v>
      </c>
      <c r="AK371" s="424">
        <v>12</v>
      </c>
      <c r="AL371">
        <v>0</v>
      </c>
      <c r="AM371" s="121">
        <v>91324</v>
      </c>
      <c r="AN371" s="125">
        <v>0</v>
      </c>
      <c r="AO371" s="125">
        <v>0</v>
      </c>
      <c r="AP371" s="121">
        <v>7278171</v>
      </c>
      <c r="AQ371" s="114">
        <v>0</v>
      </c>
      <c r="AR371" s="121">
        <v>388.79829014000001</v>
      </c>
      <c r="AS371" s="121">
        <v>76400.084929999997</v>
      </c>
      <c r="AT371" s="121">
        <v>10061.856926</v>
      </c>
      <c r="AU371" s="420" t="s">
        <v>798</v>
      </c>
      <c r="AV371" s="420" t="s">
        <v>2001</v>
      </c>
      <c r="AW371" s="121">
        <v>0</v>
      </c>
      <c r="AX371" s="121">
        <v>1136012</v>
      </c>
      <c r="AY371" s="134">
        <v>304077</v>
      </c>
      <c r="AZ371" s="134">
        <v>3390093</v>
      </c>
      <c r="BA371" s="134">
        <v>1408</v>
      </c>
      <c r="BB371" s="134">
        <v>223170818</v>
      </c>
      <c r="BC371" s="114">
        <v>0</v>
      </c>
      <c r="BD371" s="114">
        <v>0</v>
      </c>
      <c r="BE371" s="114">
        <v>0</v>
      </c>
      <c r="BF371" s="134">
        <v>1303</v>
      </c>
      <c r="BG371" s="114">
        <v>0</v>
      </c>
      <c r="BH371" s="114">
        <v>0</v>
      </c>
      <c r="BI371">
        <v>0</v>
      </c>
      <c r="BJ371" s="121">
        <v>0</v>
      </c>
      <c r="BK371" s="134">
        <v>583213479</v>
      </c>
      <c r="BL371" s="934">
        <v>4612</v>
      </c>
      <c r="BM371" s="934">
        <v>5374</v>
      </c>
      <c r="BN371" s="934">
        <v>5098</v>
      </c>
      <c r="BO371" s="114">
        <v>0</v>
      </c>
      <c r="BP371" s="114">
        <v>0</v>
      </c>
    </row>
    <row r="372" spans="1:68">
      <c r="A372" t="s">
        <v>2977</v>
      </c>
      <c r="B372" t="s">
        <v>1191</v>
      </c>
      <c r="C372" s="121">
        <v>4970</v>
      </c>
      <c r="D372" s="72">
        <v>1</v>
      </c>
      <c r="E372">
        <v>261.02800000000002</v>
      </c>
      <c r="F372">
        <v>69</v>
      </c>
      <c r="G372">
        <v>44</v>
      </c>
      <c r="H372">
        <v>9</v>
      </c>
      <c r="I372" s="173">
        <v>1.0347</v>
      </c>
      <c r="J372" s="121">
        <v>317729821</v>
      </c>
      <c r="K372" s="125">
        <v>1268.8789999999999</v>
      </c>
      <c r="L372" s="173">
        <v>1.4954000000000001</v>
      </c>
      <c r="M372">
        <v>1.0347</v>
      </c>
      <c r="N372">
        <v>0.99693333831800002</v>
      </c>
      <c r="O372">
        <v>3.7766661681999936</v>
      </c>
      <c r="P372">
        <v>828.08</v>
      </c>
      <c r="Q372" s="125">
        <v>0</v>
      </c>
      <c r="R372" s="125">
        <v>0</v>
      </c>
      <c r="S372" s="125">
        <v>1.65</v>
      </c>
      <c r="T372" s="125">
        <v>38.729999999999997</v>
      </c>
      <c r="U372" s="125">
        <v>0.35</v>
      </c>
      <c r="V372" s="125">
        <v>5.31</v>
      </c>
      <c r="W372" s="125">
        <v>3.73</v>
      </c>
      <c r="X372" s="125">
        <v>0</v>
      </c>
      <c r="Y372" s="125">
        <v>0</v>
      </c>
      <c r="Z372" s="125">
        <v>0</v>
      </c>
      <c r="AA372" s="125">
        <v>8.6999999999999993</v>
      </c>
      <c r="AB372" s="125">
        <v>51.38</v>
      </c>
      <c r="AC372" s="125">
        <v>284.5</v>
      </c>
      <c r="AD372" s="125">
        <v>0</v>
      </c>
      <c r="AE372" s="125">
        <v>2.66</v>
      </c>
      <c r="AF372" s="125">
        <v>41.404000000000003</v>
      </c>
      <c r="AG372" s="125">
        <v>0</v>
      </c>
      <c r="AH372" s="125">
        <v>0</v>
      </c>
      <c r="AI372" s="121">
        <v>3348370</v>
      </c>
      <c r="AJ372" s="121">
        <v>617969</v>
      </c>
      <c r="AK372" s="424">
        <v>12</v>
      </c>
      <c r="AL372">
        <v>0</v>
      </c>
      <c r="AM372" s="121">
        <v>107694</v>
      </c>
      <c r="AN372" s="125">
        <v>0</v>
      </c>
      <c r="AO372" s="125">
        <v>0</v>
      </c>
      <c r="AP372" s="121">
        <v>3966339</v>
      </c>
      <c r="AQ372" s="114">
        <v>0</v>
      </c>
      <c r="AR372" s="121">
        <v>211.78582986999999</v>
      </c>
      <c r="AS372" s="121">
        <v>41616.580627000003</v>
      </c>
      <c r="AT372" s="121">
        <v>5480.8850067000003</v>
      </c>
      <c r="AU372" s="420" t="s">
        <v>2001</v>
      </c>
      <c r="AV372" s="420" t="s">
        <v>2001</v>
      </c>
      <c r="AW372" s="121">
        <v>0</v>
      </c>
      <c r="AX372" s="121">
        <v>614075</v>
      </c>
      <c r="BI372">
        <v>0</v>
      </c>
      <c r="BJ372" s="121">
        <v>0</v>
      </c>
      <c r="BK372" s="134">
        <v>317729821</v>
      </c>
      <c r="BL372" s="934">
        <v>4970</v>
      </c>
      <c r="BM372" s="934">
        <v>4847</v>
      </c>
      <c r="BN372" s="934">
        <v>4857</v>
      </c>
      <c r="BO372" s="114">
        <v>0</v>
      </c>
      <c r="BP372" s="114">
        <v>0</v>
      </c>
    </row>
    <row r="373" spans="1:68">
      <c r="A373" t="s">
        <v>1483</v>
      </c>
      <c r="B373" t="s">
        <v>1948</v>
      </c>
      <c r="C373" s="121">
        <v>4856</v>
      </c>
      <c r="D373" s="72">
        <v>3</v>
      </c>
      <c r="E373">
        <v>294.33600000000001</v>
      </c>
      <c r="F373">
        <v>129</v>
      </c>
      <c r="G373">
        <v>77</v>
      </c>
      <c r="H373">
        <v>2</v>
      </c>
      <c r="I373" s="173">
        <v>1.04</v>
      </c>
      <c r="J373" s="121">
        <v>158702357</v>
      </c>
      <c r="K373" s="125">
        <v>1365.99</v>
      </c>
      <c r="L373" s="173">
        <v>1.44</v>
      </c>
      <c r="M373">
        <v>1.04</v>
      </c>
      <c r="N373">
        <v>0.96000000480000003</v>
      </c>
      <c r="O373">
        <v>7.9999995200000011</v>
      </c>
      <c r="P373">
        <v>901.072</v>
      </c>
      <c r="Q373" s="125">
        <v>0.189</v>
      </c>
      <c r="R373" s="125">
        <v>0</v>
      </c>
      <c r="S373" s="125">
        <v>1.5660000000000001</v>
      </c>
      <c r="T373" s="125">
        <v>52.112000000000002</v>
      </c>
      <c r="U373" s="125">
        <v>0.92</v>
      </c>
      <c r="V373" s="125">
        <v>3.3170000000000002</v>
      </c>
      <c r="W373" s="125">
        <v>5.3070000000000004</v>
      </c>
      <c r="X373" s="125">
        <v>0</v>
      </c>
      <c r="Y373" s="125">
        <v>0</v>
      </c>
      <c r="Z373" s="125">
        <v>0</v>
      </c>
      <c r="AA373" s="125">
        <v>9.9169999999999998</v>
      </c>
      <c r="AB373" s="125">
        <v>38.957999999999998</v>
      </c>
      <c r="AC373" s="125">
        <v>255.2</v>
      </c>
      <c r="AD373" s="125">
        <v>0</v>
      </c>
      <c r="AE373" s="125">
        <v>66.626999999999995</v>
      </c>
      <c r="AF373" s="125">
        <v>45.053600000000003</v>
      </c>
      <c r="AG373" s="125">
        <v>0</v>
      </c>
      <c r="AH373" s="125">
        <v>0</v>
      </c>
      <c r="AI373" s="121">
        <v>1716232</v>
      </c>
      <c r="AJ373" s="121">
        <v>585847</v>
      </c>
      <c r="AK373" s="424">
        <v>12</v>
      </c>
      <c r="AL373">
        <v>0</v>
      </c>
      <c r="AM373" s="121">
        <v>280873</v>
      </c>
      <c r="AN373" s="125">
        <v>0</v>
      </c>
      <c r="AO373" s="125">
        <v>0</v>
      </c>
      <c r="AP373" s="121">
        <v>2302079</v>
      </c>
      <c r="AQ373" s="114">
        <v>0</v>
      </c>
      <c r="AR373" s="121">
        <v>105.78456336000001</v>
      </c>
      <c r="AS373" s="121">
        <v>20786.998887999998</v>
      </c>
      <c r="AT373" s="121">
        <v>2737.6384321</v>
      </c>
      <c r="AU373" s="420" t="s">
        <v>2001</v>
      </c>
      <c r="AV373" s="420" t="s">
        <v>2001</v>
      </c>
      <c r="AW373" s="121">
        <v>0</v>
      </c>
      <c r="AX373" s="121">
        <v>948226</v>
      </c>
      <c r="BI373">
        <v>0</v>
      </c>
      <c r="BJ373" s="121">
        <v>0</v>
      </c>
      <c r="BK373" s="134">
        <v>158702357</v>
      </c>
      <c r="BL373" s="934">
        <v>4779</v>
      </c>
      <c r="BM373" s="934">
        <v>4786</v>
      </c>
      <c r="BN373" s="934">
        <v>4856</v>
      </c>
      <c r="BO373" s="114">
        <v>0</v>
      </c>
      <c r="BP373" s="114">
        <v>0</v>
      </c>
    </row>
    <row r="374" spans="1:68">
      <c r="A374" t="s">
        <v>1461</v>
      </c>
      <c r="B374" t="s">
        <v>250</v>
      </c>
      <c r="C374" s="121">
        <v>4661</v>
      </c>
      <c r="D374" s="72">
        <v>3</v>
      </c>
      <c r="E374">
        <v>267.935</v>
      </c>
      <c r="F374">
        <v>72</v>
      </c>
      <c r="G374">
        <v>46</v>
      </c>
      <c r="H374">
        <v>0</v>
      </c>
      <c r="I374" s="173">
        <v>1.04</v>
      </c>
      <c r="J374" s="121">
        <v>133083110</v>
      </c>
      <c r="K374" s="125">
        <v>1303.518</v>
      </c>
      <c r="L374" s="173">
        <v>1.4095</v>
      </c>
      <c r="M374">
        <v>1.04</v>
      </c>
      <c r="N374">
        <v>0.93966667136500004</v>
      </c>
      <c r="O374">
        <v>10.0333328635</v>
      </c>
      <c r="P374">
        <v>851.47500000000002</v>
      </c>
      <c r="Q374" s="125">
        <v>0</v>
      </c>
      <c r="R374" s="125">
        <v>0</v>
      </c>
      <c r="S374" s="125">
        <v>1.399</v>
      </c>
      <c r="T374" s="125">
        <v>42.969000000000001</v>
      </c>
      <c r="U374" s="125">
        <v>1.0660000000000001</v>
      </c>
      <c r="V374" s="125">
        <v>3.5630000000000002</v>
      </c>
      <c r="W374" s="125">
        <v>0.80700000000000005</v>
      </c>
      <c r="X374" s="125">
        <v>0</v>
      </c>
      <c r="Y374" s="125">
        <v>0</v>
      </c>
      <c r="Z374" s="125">
        <v>2.3140000000000001</v>
      </c>
      <c r="AA374" s="125">
        <v>10.048999999999999</v>
      </c>
      <c r="AB374" s="125">
        <v>37.011000000000003</v>
      </c>
      <c r="AC374" s="125">
        <v>297</v>
      </c>
      <c r="AD374" s="125">
        <v>0</v>
      </c>
      <c r="AE374" s="125">
        <v>3.802</v>
      </c>
      <c r="AF374" s="125">
        <v>42.573749999999997</v>
      </c>
      <c r="AG374" s="125">
        <v>0</v>
      </c>
      <c r="AH374" s="125">
        <v>0</v>
      </c>
      <c r="AI374" s="121">
        <v>1423217</v>
      </c>
      <c r="AJ374" s="121">
        <v>160119</v>
      </c>
      <c r="AK374" s="424">
        <v>12</v>
      </c>
      <c r="AL374">
        <v>0</v>
      </c>
      <c r="AM374" s="121">
        <v>98689</v>
      </c>
      <c r="AN374" s="125">
        <v>0</v>
      </c>
      <c r="AO374" s="125">
        <v>0</v>
      </c>
      <c r="AP374" s="121">
        <v>1583336</v>
      </c>
      <c r="AQ374" s="114">
        <v>0</v>
      </c>
      <c r="AR374" s="121">
        <v>88.707810738999996</v>
      </c>
      <c r="AS374" s="121">
        <v>17431.363373</v>
      </c>
      <c r="AT374" s="121">
        <v>2295.7027395999999</v>
      </c>
      <c r="AU374" s="420" t="s">
        <v>2001</v>
      </c>
      <c r="AV374" s="420" t="s">
        <v>2001</v>
      </c>
      <c r="AW374" s="121">
        <v>0</v>
      </c>
      <c r="AX374" s="121">
        <v>365625</v>
      </c>
      <c r="BI374">
        <v>0</v>
      </c>
      <c r="BJ374" s="121">
        <v>0</v>
      </c>
      <c r="BK374" s="134">
        <v>130313608</v>
      </c>
      <c r="BL374" s="934">
        <v>4540</v>
      </c>
      <c r="BM374" s="934">
        <v>4567</v>
      </c>
      <c r="BN374" s="934">
        <v>4661</v>
      </c>
      <c r="BO374" s="114">
        <v>0</v>
      </c>
      <c r="BP374" s="114">
        <v>0</v>
      </c>
    </row>
    <row r="375" spans="1:68">
      <c r="A375" t="s">
        <v>1462</v>
      </c>
      <c r="B375" t="s">
        <v>251</v>
      </c>
      <c r="C375" s="121">
        <v>4591</v>
      </c>
      <c r="D375" s="72">
        <v>3</v>
      </c>
      <c r="E375">
        <v>542.22699999999998</v>
      </c>
      <c r="F375">
        <v>191</v>
      </c>
      <c r="G375">
        <v>159</v>
      </c>
      <c r="H375">
        <v>6</v>
      </c>
      <c r="I375" s="173">
        <v>1.04</v>
      </c>
      <c r="J375" s="121">
        <v>542488753</v>
      </c>
      <c r="K375" s="125">
        <v>3066.4319999999998</v>
      </c>
      <c r="L375" s="173">
        <v>1.4258</v>
      </c>
      <c r="M375">
        <v>1.04</v>
      </c>
      <c r="N375">
        <v>0.95053333808600005</v>
      </c>
      <c r="O375">
        <v>8.9466661913999985</v>
      </c>
      <c r="P375">
        <v>2050.06</v>
      </c>
      <c r="Q375" s="125">
        <v>0.20699999999999999</v>
      </c>
      <c r="R375" s="125">
        <v>23.4</v>
      </c>
      <c r="S375" s="125">
        <v>4.4189999999999996</v>
      </c>
      <c r="T375" s="125">
        <v>60.546999999999997</v>
      </c>
      <c r="U375" s="125">
        <v>23.306999999999999</v>
      </c>
      <c r="V375" s="125">
        <v>5.141</v>
      </c>
      <c r="W375" s="125">
        <v>7.9059999999999997</v>
      </c>
      <c r="X375" s="125">
        <v>0</v>
      </c>
      <c r="Y375" s="125">
        <v>0</v>
      </c>
      <c r="Z375" s="125">
        <v>30.908000000000001</v>
      </c>
      <c r="AA375" s="125">
        <v>19.757999999999999</v>
      </c>
      <c r="AB375" s="125">
        <v>130.38399999999999</v>
      </c>
      <c r="AC375" s="125">
        <v>1477.8</v>
      </c>
      <c r="AD375" s="125">
        <v>1.486</v>
      </c>
      <c r="AE375" s="125">
        <v>45.87</v>
      </c>
      <c r="AF375" s="125">
        <v>102.503</v>
      </c>
      <c r="AG375" s="125">
        <v>0</v>
      </c>
      <c r="AH375" s="125">
        <v>0</v>
      </c>
      <c r="AI375" s="121">
        <v>5376117</v>
      </c>
      <c r="AJ375" s="121">
        <v>156154</v>
      </c>
      <c r="AK375" s="424">
        <v>12</v>
      </c>
      <c r="AL375">
        <v>0</v>
      </c>
      <c r="AM375" s="121">
        <v>240041</v>
      </c>
      <c r="AN375" s="125">
        <v>0</v>
      </c>
      <c r="AO375" s="125">
        <v>0</v>
      </c>
      <c r="AP375" s="121">
        <v>5532271</v>
      </c>
      <c r="AQ375" s="114">
        <v>0</v>
      </c>
      <c r="AR375" s="121">
        <v>361.60103041999997</v>
      </c>
      <c r="AS375" s="121">
        <v>71055.737989999994</v>
      </c>
      <c r="AT375" s="121">
        <v>9358.0088302000004</v>
      </c>
      <c r="AU375" s="420" t="s">
        <v>2001</v>
      </c>
      <c r="AV375" s="420" t="s">
        <v>2001</v>
      </c>
      <c r="AW375" s="121">
        <v>0</v>
      </c>
      <c r="AX375" s="121">
        <v>419876</v>
      </c>
      <c r="BI375">
        <v>0</v>
      </c>
      <c r="BJ375" s="121">
        <v>0</v>
      </c>
      <c r="BK375" s="134">
        <v>507544714</v>
      </c>
      <c r="BL375" s="934">
        <v>4482</v>
      </c>
      <c r="BM375" s="934">
        <v>4522</v>
      </c>
      <c r="BN375" s="934">
        <v>4591</v>
      </c>
      <c r="BO375" s="114">
        <v>0</v>
      </c>
      <c r="BP375" s="114">
        <v>0</v>
      </c>
    </row>
    <row r="376" spans="1:68">
      <c r="A376" t="s">
        <v>1463</v>
      </c>
      <c r="B376" t="s">
        <v>252</v>
      </c>
      <c r="C376" s="121">
        <v>4859</v>
      </c>
      <c r="D376" s="72">
        <v>2</v>
      </c>
      <c r="E376">
        <v>985.43100000000004</v>
      </c>
      <c r="F376">
        <v>305</v>
      </c>
      <c r="G376">
        <v>223</v>
      </c>
      <c r="H376">
        <v>30</v>
      </c>
      <c r="I376" s="173">
        <v>1.04</v>
      </c>
      <c r="J376" s="121">
        <v>1285983345</v>
      </c>
      <c r="K376" s="125">
        <v>4710.1099999999997</v>
      </c>
      <c r="L376" s="173">
        <v>1.5</v>
      </c>
      <c r="M376">
        <v>1.04</v>
      </c>
      <c r="N376">
        <v>1.000000005</v>
      </c>
      <c r="O376">
        <v>3.9999995000000066</v>
      </c>
      <c r="P376">
        <v>3465.0990000000002</v>
      </c>
      <c r="Q376" s="125">
        <v>0.311</v>
      </c>
      <c r="R376" s="125">
        <v>0</v>
      </c>
      <c r="S376" s="125">
        <v>5.2809999999999997</v>
      </c>
      <c r="T376" s="125">
        <v>101.52</v>
      </c>
      <c r="U376" s="125">
        <v>23.626000000000001</v>
      </c>
      <c r="V376" s="125">
        <v>0</v>
      </c>
      <c r="W376" s="125">
        <v>0</v>
      </c>
      <c r="X376" s="125">
        <v>0</v>
      </c>
      <c r="Y376" s="125">
        <v>0</v>
      </c>
      <c r="Z376" s="125">
        <v>4.62</v>
      </c>
      <c r="AA376" s="125">
        <v>40.904000000000003</v>
      </c>
      <c r="AB376" s="125">
        <v>176.036</v>
      </c>
      <c r="AC376" s="125">
        <v>2364.5</v>
      </c>
      <c r="AD376" s="125">
        <v>2.1709999999999998</v>
      </c>
      <c r="AE376" s="125">
        <v>360.63600000000002</v>
      </c>
      <c r="AF376" s="125">
        <v>173.25495000000001</v>
      </c>
      <c r="AG376" s="125">
        <v>0</v>
      </c>
      <c r="AH376" s="125">
        <v>0</v>
      </c>
      <c r="AI376" s="121">
        <v>14042938</v>
      </c>
      <c r="AJ376" s="121">
        <v>1053912</v>
      </c>
      <c r="AK376" s="424">
        <v>12</v>
      </c>
      <c r="AL376">
        <v>0</v>
      </c>
      <c r="AM376" s="121">
        <v>242702</v>
      </c>
      <c r="AN376" s="125">
        <v>0</v>
      </c>
      <c r="AO376" s="125">
        <v>0</v>
      </c>
      <c r="AP376" s="121">
        <v>15096850</v>
      </c>
      <c r="AQ376" s="114">
        <v>0</v>
      </c>
      <c r="AR376" s="121">
        <v>857.18441241999994</v>
      </c>
      <c r="AS376" s="121">
        <v>168439.42879999999</v>
      </c>
      <c r="AT376" s="121">
        <v>22183.397240999999</v>
      </c>
      <c r="AU376" s="420" t="s">
        <v>2001</v>
      </c>
      <c r="AV376" s="420" t="s">
        <v>2001</v>
      </c>
      <c r="AW376" s="121">
        <v>0</v>
      </c>
      <c r="AX376" s="121">
        <v>1295391</v>
      </c>
      <c r="BI376">
        <v>0</v>
      </c>
      <c r="BJ376" s="121">
        <v>0</v>
      </c>
      <c r="BK376" s="134">
        <v>1285983345</v>
      </c>
      <c r="BL376" s="934">
        <v>4711</v>
      </c>
      <c r="BM376" s="934">
        <v>4859</v>
      </c>
      <c r="BN376" s="934">
        <v>4834</v>
      </c>
      <c r="BO376" s="114">
        <v>0</v>
      </c>
      <c r="BP376" s="114">
        <v>0</v>
      </c>
    </row>
    <row r="377" spans="1:68">
      <c r="A377" t="s">
        <v>498</v>
      </c>
      <c r="B377" t="s">
        <v>2436</v>
      </c>
      <c r="C377" s="121">
        <v>5371</v>
      </c>
      <c r="D377" s="72">
        <v>2</v>
      </c>
      <c r="E377">
        <v>1810.152</v>
      </c>
      <c r="F377">
        <v>613</v>
      </c>
      <c r="G377">
        <v>520</v>
      </c>
      <c r="H377">
        <v>35</v>
      </c>
      <c r="I377" s="173">
        <v>1.04</v>
      </c>
      <c r="J377" s="121">
        <v>3317976580</v>
      </c>
      <c r="K377" s="125">
        <v>10235.592000000001</v>
      </c>
      <c r="L377" s="173">
        <v>1.5</v>
      </c>
      <c r="M377">
        <v>1.04</v>
      </c>
      <c r="N377">
        <v>1.000000005</v>
      </c>
      <c r="O377">
        <v>3.9999995000000066</v>
      </c>
      <c r="P377">
        <v>7432.76</v>
      </c>
      <c r="Q377" s="125">
        <v>0.187</v>
      </c>
      <c r="R377" s="125">
        <v>13.723000000000001</v>
      </c>
      <c r="S377" s="125">
        <v>11.753</v>
      </c>
      <c r="T377" s="125">
        <v>201.642</v>
      </c>
      <c r="U377" s="125">
        <v>66.796000000000006</v>
      </c>
      <c r="V377" s="125">
        <v>5.0259999999999998</v>
      </c>
      <c r="W377" s="125">
        <v>1.427</v>
      </c>
      <c r="X377" s="125">
        <v>0</v>
      </c>
      <c r="Y377" s="125">
        <v>0</v>
      </c>
      <c r="Z377" s="125">
        <v>3.7</v>
      </c>
      <c r="AA377" s="125">
        <v>312.40800000000002</v>
      </c>
      <c r="AB377" s="125">
        <v>293.47500000000002</v>
      </c>
      <c r="AC377" s="125">
        <v>6257.8</v>
      </c>
      <c r="AD377" s="125">
        <v>3.294</v>
      </c>
      <c r="AE377" s="125">
        <v>1019.465</v>
      </c>
      <c r="AF377" s="125">
        <v>371.63799999999998</v>
      </c>
      <c r="AG377" s="125">
        <v>0</v>
      </c>
      <c r="AH377" s="125">
        <v>0</v>
      </c>
      <c r="AI377" s="121">
        <v>36232304</v>
      </c>
      <c r="AJ377" s="121">
        <v>2989590</v>
      </c>
      <c r="AK377" s="424">
        <v>12</v>
      </c>
      <c r="AL377">
        <v>0</v>
      </c>
      <c r="AM377" s="121">
        <v>513967</v>
      </c>
      <c r="AN377" s="125">
        <v>1</v>
      </c>
      <c r="AO377" s="125">
        <v>0</v>
      </c>
      <c r="AP377" s="121">
        <v>39221894</v>
      </c>
      <c r="AQ377" s="114">
        <v>0</v>
      </c>
      <c r="AR377" s="121">
        <v>2211.6288024</v>
      </c>
      <c r="AS377" s="121">
        <v>434592.00468999997</v>
      </c>
      <c r="AT377" s="121">
        <v>57235.572137000003</v>
      </c>
      <c r="AU377" s="420" t="s">
        <v>798</v>
      </c>
      <c r="AV377" s="420" t="s">
        <v>2001</v>
      </c>
      <c r="AW377" s="121">
        <v>0</v>
      </c>
      <c r="AX377" s="121">
        <v>3055128</v>
      </c>
      <c r="AY377" s="134">
        <v>3883372</v>
      </c>
      <c r="AZ377" s="134">
        <v>22991400</v>
      </c>
      <c r="BA377" s="134">
        <v>9816</v>
      </c>
      <c r="BB377" s="134">
        <v>1557044786</v>
      </c>
      <c r="BC377" s="114">
        <v>0</v>
      </c>
      <c r="BD377" s="114">
        <v>0</v>
      </c>
      <c r="BE377" s="114">
        <v>0</v>
      </c>
      <c r="BF377" s="134">
        <v>8105</v>
      </c>
      <c r="BG377" s="114">
        <v>0</v>
      </c>
      <c r="BH377" s="114">
        <v>0</v>
      </c>
      <c r="BI377">
        <v>0</v>
      </c>
      <c r="BJ377" s="121">
        <v>0</v>
      </c>
      <c r="BK377" s="134">
        <v>3317976580</v>
      </c>
      <c r="BL377" s="934">
        <v>4828</v>
      </c>
      <c r="BM377" s="934">
        <v>5371</v>
      </c>
      <c r="BN377" s="934">
        <v>5178</v>
      </c>
      <c r="BO377" s="114">
        <v>0</v>
      </c>
      <c r="BP377" s="114">
        <v>0</v>
      </c>
    </row>
    <row r="378" spans="1:68">
      <c r="A378" t="s">
        <v>2504</v>
      </c>
      <c r="B378" t="s">
        <v>253</v>
      </c>
      <c r="C378" s="121">
        <v>4546</v>
      </c>
      <c r="D378" s="72">
        <v>2</v>
      </c>
      <c r="E378">
        <v>1304.2180000000001</v>
      </c>
      <c r="F378">
        <v>344</v>
      </c>
      <c r="G378">
        <v>247</v>
      </c>
      <c r="H378">
        <v>49</v>
      </c>
      <c r="I378" s="173">
        <v>1.04</v>
      </c>
      <c r="J378" s="121">
        <v>1522913941</v>
      </c>
      <c r="K378" s="125">
        <v>5566.3149999999996</v>
      </c>
      <c r="L378" s="173">
        <v>1.5</v>
      </c>
      <c r="M378">
        <v>1.04</v>
      </c>
      <c r="N378">
        <v>1.000000005</v>
      </c>
      <c r="O378">
        <v>3.9999995000000066</v>
      </c>
      <c r="P378">
        <v>4270.8779999999997</v>
      </c>
      <c r="Q378" s="125">
        <v>0.58799999999999997</v>
      </c>
      <c r="R378" s="125">
        <v>0</v>
      </c>
      <c r="S378" s="125">
        <v>8.9960000000000004</v>
      </c>
      <c r="T378" s="125">
        <v>88.825999999999993</v>
      </c>
      <c r="U378" s="125">
        <v>32.500999999999998</v>
      </c>
      <c r="V378" s="125">
        <v>0</v>
      </c>
      <c r="W378" s="125">
        <v>9.8930000000000007</v>
      </c>
      <c r="X378" s="125">
        <v>0</v>
      </c>
      <c r="Y378" s="125">
        <v>0</v>
      </c>
      <c r="Z378" s="125">
        <v>5.3330000000000002</v>
      </c>
      <c r="AA378" s="125">
        <v>110.267</v>
      </c>
      <c r="AB378" s="125">
        <v>206.17500000000001</v>
      </c>
      <c r="AC378" s="125">
        <v>2172.8000000000002</v>
      </c>
      <c r="AD378" s="125">
        <v>1.907</v>
      </c>
      <c r="AE378" s="125">
        <v>311.74900000000002</v>
      </c>
      <c r="AF378" s="125">
        <v>213.54300000000001</v>
      </c>
      <c r="AG378" s="125">
        <v>0</v>
      </c>
      <c r="AH378" s="125">
        <v>0</v>
      </c>
      <c r="AI378" s="121">
        <v>16297616</v>
      </c>
      <c r="AJ378" s="121">
        <v>3213276</v>
      </c>
      <c r="AK378" s="424">
        <v>12</v>
      </c>
      <c r="AL378">
        <v>0</v>
      </c>
      <c r="AM378" s="121">
        <v>274798</v>
      </c>
      <c r="AN378" s="125">
        <v>0</v>
      </c>
      <c r="AO378" s="125">
        <v>0</v>
      </c>
      <c r="AP378" s="121">
        <v>19510892</v>
      </c>
      <c r="AQ378" s="114">
        <v>0</v>
      </c>
      <c r="AR378" s="121">
        <v>1015.1127514999999</v>
      </c>
      <c r="AS378" s="121">
        <v>199472.84335000001</v>
      </c>
      <c r="AT378" s="121">
        <v>26270.484021</v>
      </c>
      <c r="AU378" s="420" t="s">
        <v>2001</v>
      </c>
      <c r="AV378" s="420" t="s">
        <v>2001</v>
      </c>
      <c r="AW378" s="121">
        <v>0</v>
      </c>
      <c r="AX378" s="121">
        <v>4544044</v>
      </c>
      <c r="BI378">
        <v>0</v>
      </c>
      <c r="BJ378" s="121">
        <v>0</v>
      </c>
      <c r="BK378" s="134">
        <v>1522913941</v>
      </c>
      <c r="BL378" s="934">
        <v>4428</v>
      </c>
      <c r="BM378" s="934">
        <v>4546</v>
      </c>
      <c r="BN378" s="934">
        <v>4546</v>
      </c>
      <c r="BO378" s="114">
        <v>0</v>
      </c>
      <c r="BP378" s="114">
        <v>0</v>
      </c>
    </row>
    <row r="379" spans="1:68">
      <c r="A379" t="s">
        <v>3035</v>
      </c>
      <c r="B379" t="s">
        <v>254</v>
      </c>
      <c r="C379" s="121">
        <v>5175</v>
      </c>
      <c r="D379" s="72">
        <v>3</v>
      </c>
      <c r="E379">
        <v>366.91500000000002</v>
      </c>
      <c r="F379">
        <v>111</v>
      </c>
      <c r="G379">
        <v>103</v>
      </c>
      <c r="H379">
        <v>3</v>
      </c>
      <c r="I379" s="173">
        <v>1.04</v>
      </c>
      <c r="J379" s="121">
        <v>296834542</v>
      </c>
      <c r="K379" s="125">
        <v>1682.277</v>
      </c>
      <c r="L379" s="173">
        <v>1.5</v>
      </c>
      <c r="M379">
        <v>1.04</v>
      </c>
      <c r="N379">
        <v>1.000000005</v>
      </c>
      <c r="O379">
        <v>3.9999995000000066</v>
      </c>
      <c r="P379">
        <v>1180</v>
      </c>
      <c r="Q379" s="125">
        <v>8.1000000000000003E-2</v>
      </c>
      <c r="R379" s="125">
        <v>0</v>
      </c>
      <c r="S379" s="125">
        <v>1.9990000000000001</v>
      </c>
      <c r="T379" s="125">
        <v>27.587</v>
      </c>
      <c r="U379" s="125">
        <v>10.538</v>
      </c>
      <c r="V379" s="125">
        <v>2.3210000000000002</v>
      </c>
      <c r="W379" s="125">
        <v>7.7649999999999997</v>
      </c>
      <c r="X379" s="125">
        <v>0</v>
      </c>
      <c r="Y379" s="125">
        <v>0</v>
      </c>
      <c r="Z379" s="125">
        <v>0</v>
      </c>
      <c r="AA379" s="125">
        <v>30.481000000000002</v>
      </c>
      <c r="AB379" s="125">
        <v>58.662999999999997</v>
      </c>
      <c r="AC379" s="125">
        <v>576.1</v>
      </c>
      <c r="AD379" s="125">
        <v>0</v>
      </c>
      <c r="AE379" s="125">
        <v>48.68</v>
      </c>
      <c r="AF379" s="125">
        <v>59</v>
      </c>
      <c r="AG379" s="125">
        <v>0</v>
      </c>
      <c r="AH379" s="125">
        <v>0</v>
      </c>
      <c r="AI379" s="121">
        <v>3241433</v>
      </c>
      <c r="AJ379" s="121">
        <v>0</v>
      </c>
      <c r="AK379" s="424">
        <v>12</v>
      </c>
      <c r="AL379">
        <v>0</v>
      </c>
      <c r="AM379" s="121">
        <v>96383</v>
      </c>
      <c r="AN379" s="125">
        <v>0</v>
      </c>
      <c r="AO379" s="125">
        <v>1</v>
      </c>
      <c r="AP379" s="121">
        <v>3241433</v>
      </c>
      <c r="AQ379" s="114">
        <v>0</v>
      </c>
      <c r="AR379" s="121">
        <v>197.8578832</v>
      </c>
      <c r="AS379" s="121">
        <v>38879.695368000001</v>
      </c>
      <c r="AT379" s="121">
        <v>5120.4384454000001</v>
      </c>
      <c r="AU379" s="420" t="s">
        <v>2001</v>
      </c>
      <c r="AV379" s="420" t="s">
        <v>2001</v>
      </c>
      <c r="AW379" s="121">
        <v>0</v>
      </c>
      <c r="AX379" s="121">
        <v>0</v>
      </c>
      <c r="BI379">
        <v>0</v>
      </c>
      <c r="BJ379" s="121">
        <v>0</v>
      </c>
      <c r="BK379" s="134">
        <v>296834542</v>
      </c>
      <c r="BL379" s="934">
        <v>4977</v>
      </c>
      <c r="BM379" s="934">
        <v>5131</v>
      </c>
      <c r="BN379" s="934">
        <v>5175</v>
      </c>
      <c r="BO379" s="114">
        <v>0</v>
      </c>
      <c r="BP379" s="114">
        <v>0</v>
      </c>
    </row>
    <row r="380" spans="1:68">
      <c r="A380" t="s">
        <v>1702</v>
      </c>
      <c r="B380" t="s">
        <v>2210</v>
      </c>
      <c r="C380" s="121">
        <v>4390</v>
      </c>
      <c r="D380" s="72">
        <v>2</v>
      </c>
      <c r="E380">
        <v>493.39600000000002</v>
      </c>
      <c r="F380">
        <v>137</v>
      </c>
      <c r="G380">
        <v>70</v>
      </c>
      <c r="H380">
        <v>12</v>
      </c>
      <c r="I380" s="173">
        <v>1.04</v>
      </c>
      <c r="J380" s="121">
        <v>379805799</v>
      </c>
      <c r="K380" s="125">
        <v>2243.511</v>
      </c>
      <c r="L380" s="173">
        <v>1.5</v>
      </c>
      <c r="M380">
        <v>1.04</v>
      </c>
      <c r="N380">
        <v>1.000000005</v>
      </c>
      <c r="O380">
        <v>3.9999995000000066</v>
      </c>
      <c r="P380">
        <v>1750</v>
      </c>
      <c r="Q380" s="125">
        <v>0.25</v>
      </c>
      <c r="R380" s="125">
        <v>0</v>
      </c>
      <c r="S380" s="125">
        <v>2.5</v>
      </c>
      <c r="T380" s="125">
        <v>29</v>
      </c>
      <c r="U380" s="125">
        <v>5</v>
      </c>
      <c r="V380" s="125">
        <v>2</v>
      </c>
      <c r="W380" s="125">
        <v>2.6</v>
      </c>
      <c r="X380" s="125">
        <v>0</v>
      </c>
      <c r="Y380" s="125">
        <v>0</v>
      </c>
      <c r="Z380" s="125">
        <v>0.05</v>
      </c>
      <c r="AA380" s="125">
        <v>21.5</v>
      </c>
      <c r="AB380" s="125">
        <v>86</v>
      </c>
      <c r="AC380" s="125">
        <v>510</v>
      </c>
      <c r="AD380" s="125">
        <v>0</v>
      </c>
      <c r="AE380" s="125">
        <v>52</v>
      </c>
      <c r="AF380" s="125">
        <v>87.5</v>
      </c>
      <c r="AG380" s="125">
        <v>0</v>
      </c>
      <c r="AH380" s="125">
        <v>0</v>
      </c>
      <c r="AI380" s="121">
        <v>4064530</v>
      </c>
      <c r="AJ380" s="121">
        <v>449031</v>
      </c>
      <c r="AK380" s="424">
        <v>12</v>
      </c>
      <c r="AL380">
        <v>0</v>
      </c>
      <c r="AM380" s="121">
        <v>42420</v>
      </c>
      <c r="AN380" s="125">
        <v>0</v>
      </c>
      <c r="AO380" s="125">
        <v>0</v>
      </c>
      <c r="AP380" s="121">
        <v>4513561</v>
      </c>
      <c r="AQ380" s="114">
        <v>0</v>
      </c>
      <c r="AR380" s="121">
        <v>253.16316258000001</v>
      </c>
      <c r="AS380" s="121">
        <v>49747.356439000003</v>
      </c>
      <c r="AT380" s="121">
        <v>6551.7045350999997</v>
      </c>
      <c r="AU380" s="420" t="s">
        <v>2001</v>
      </c>
      <c r="AV380" s="420" t="s">
        <v>2001</v>
      </c>
      <c r="AW380" s="121">
        <v>0</v>
      </c>
      <c r="AX380" s="121">
        <v>750050</v>
      </c>
      <c r="BI380">
        <v>0</v>
      </c>
      <c r="BJ380" s="121">
        <v>0</v>
      </c>
      <c r="BK380" s="134">
        <v>379805799</v>
      </c>
      <c r="BL380" s="934">
        <v>4329</v>
      </c>
      <c r="BM380" s="934">
        <v>4390</v>
      </c>
      <c r="BN380" s="934">
        <v>4390</v>
      </c>
      <c r="BO380" s="114">
        <v>0</v>
      </c>
      <c r="BP380" s="114">
        <v>0</v>
      </c>
    </row>
    <row r="381" spans="1:68">
      <c r="A381" t="s">
        <v>3036</v>
      </c>
      <c r="B381" t="s">
        <v>255</v>
      </c>
      <c r="C381" s="121">
        <v>4591</v>
      </c>
      <c r="D381" s="72">
        <v>2</v>
      </c>
      <c r="E381">
        <v>390.37599999999998</v>
      </c>
      <c r="F381">
        <v>103</v>
      </c>
      <c r="G381">
        <v>40</v>
      </c>
      <c r="H381">
        <v>16</v>
      </c>
      <c r="I381" s="173">
        <v>1.04</v>
      </c>
      <c r="J381" s="121">
        <v>335121089</v>
      </c>
      <c r="K381" s="125">
        <v>1658.9780000000001</v>
      </c>
      <c r="L381" s="173">
        <v>1.5</v>
      </c>
      <c r="M381">
        <v>1.04</v>
      </c>
      <c r="N381">
        <v>1.000000005</v>
      </c>
      <c r="O381">
        <v>3.9999995000000066</v>
      </c>
      <c r="P381">
        <v>1290</v>
      </c>
      <c r="Q381" s="125">
        <v>3.2000000000000001E-2</v>
      </c>
      <c r="R381" s="125">
        <v>0</v>
      </c>
      <c r="S381" s="125">
        <v>2.2000000000000002</v>
      </c>
      <c r="T381" s="125">
        <v>21.5</v>
      </c>
      <c r="U381" s="125">
        <v>4</v>
      </c>
      <c r="V381" s="125">
        <v>1.6</v>
      </c>
      <c r="W381" s="125">
        <v>0.63300000000000001</v>
      </c>
      <c r="X381" s="125">
        <v>0</v>
      </c>
      <c r="Y381" s="125">
        <v>0</v>
      </c>
      <c r="Z381" s="125">
        <v>0.44</v>
      </c>
      <c r="AA381" s="125">
        <v>25</v>
      </c>
      <c r="AB381" s="125">
        <v>52</v>
      </c>
      <c r="AC381" s="125">
        <v>377.5</v>
      </c>
      <c r="AD381" s="125">
        <v>0</v>
      </c>
      <c r="AE381" s="125">
        <v>7.5</v>
      </c>
      <c r="AF381" s="125">
        <v>64.5</v>
      </c>
      <c r="AG381" s="125">
        <v>0</v>
      </c>
      <c r="AH381" s="125">
        <v>0</v>
      </c>
      <c r="AI381" s="121">
        <v>3477357</v>
      </c>
      <c r="AJ381" s="121">
        <v>212964</v>
      </c>
      <c r="AK381" s="424">
        <v>12</v>
      </c>
      <c r="AL381">
        <v>0</v>
      </c>
      <c r="AM381" s="121">
        <v>29299</v>
      </c>
      <c r="AN381" s="125">
        <v>0</v>
      </c>
      <c r="AO381" s="125">
        <v>1</v>
      </c>
      <c r="AP381" s="121">
        <v>3690321</v>
      </c>
      <c r="AQ381" s="114">
        <v>0</v>
      </c>
      <c r="AR381" s="121">
        <v>223.37814483</v>
      </c>
      <c r="AS381" s="121">
        <v>43894.506917999999</v>
      </c>
      <c r="AT381" s="121">
        <v>5780.8868776999998</v>
      </c>
      <c r="AU381" s="420" t="s">
        <v>2001</v>
      </c>
      <c r="AV381" s="420" t="s">
        <v>2001</v>
      </c>
      <c r="AW381" s="121">
        <v>0</v>
      </c>
      <c r="AX381" s="121">
        <v>327575</v>
      </c>
      <c r="BI381">
        <v>0</v>
      </c>
      <c r="BJ381" s="121">
        <v>0</v>
      </c>
      <c r="BK381" s="134">
        <v>321655842</v>
      </c>
      <c r="BL381" s="934">
        <v>4585</v>
      </c>
      <c r="BM381" s="934">
        <v>4591</v>
      </c>
      <c r="BN381" s="934">
        <v>4591</v>
      </c>
      <c r="BO381" s="114">
        <v>0</v>
      </c>
      <c r="BP381" s="114">
        <v>0</v>
      </c>
    </row>
    <row r="382" spans="1:68">
      <c r="A382" t="s">
        <v>3037</v>
      </c>
      <c r="B382" t="s">
        <v>1192</v>
      </c>
      <c r="C382" s="121">
        <v>5152</v>
      </c>
      <c r="D382" s="72">
        <v>1</v>
      </c>
      <c r="E382">
        <v>198.827</v>
      </c>
      <c r="F382">
        <v>55</v>
      </c>
      <c r="G382">
        <v>41</v>
      </c>
      <c r="H382">
        <v>8</v>
      </c>
      <c r="I382" s="173">
        <v>1.04</v>
      </c>
      <c r="J382" s="121">
        <v>397689564</v>
      </c>
      <c r="K382" s="125">
        <v>909.51400000000001</v>
      </c>
      <c r="L382" s="173">
        <v>1.5</v>
      </c>
      <c r="M382">
        <v>1.04</v>
      </c>
      <c r="N382">
        <v>1.000000005</v>
      </c>
      <c r="O382">
        <v>3.9999995000000066</v>
      </c>
      <c r="P382">
        <v>577</v>
      </c>
      <c r="Q382" s="125">
        <v>0</v>
      </c>
      <c r="R382" s="125">
        <v>0</v>
      </c>
      <c r="S382" s="125">
        <v>0.35</v>
      </c>
      <c r="T382" s="125">
        <v>12</v>
      </c>
      <c r="U382" s="125">
        <v>1.4</v>
      </c>
      <c r="V382" s="125">
        <v>0</v>
      </c>
      <c r="W382" s="125">
        <v>0.20399999999999999</v>
      </c>
      <c r="X382" s="125">
        <v>0</v>
      </c>
      <c r="Y382" s="125">
        <v>0</v>
      </c>
      <c r="Z382" s="125">
        <v>0</v>
      </c>
      <c r="AA382" s="125">
        <v>16</v>
      </c>
      <c r="AB382" s="125">
        <v>35</v>
      </c>
      <c r="AC382" s="125">
        <v>290</v>
      </c>
      <c r="AD382" s="125">
        <v>0</v>
      </c>
      <c r="AE382" s="125">
        <v>7.5</v>
      </c>
      <c r="AF382" s="125">
        <v>28.85</v>
      </c>
      <c r="AG382" s="125">
        <v>0</v>
      </c>
      <c r="AH382" s="125">
        <v>0</v>
      </c>
      <c r="AI382" s="121">
        <v>4175475</v>
      </c>
      <c r="AJ382" s="121">
        <v>279438</v>
      </c>
      <c r="AK382" s="424">
        <v>12</v>
      </c>
      <c r="AL382">
        <v>0</v>
      </c>
      <c r="AM382" s="121">
        <v>114904</v>
      </c>
      <c r="AN382" s="125">
        <v>0</v>
      </c>
      <c r="AO382" s="125">
        <v>0</v>
      </c>
      <c r="AP382" s="121">
        <v>4454913</v>
      </c>
      <c r="AQ382" s="114">
        <v>0</v>
      </c>
      <c r="AR382" s="121">
        <v>0</v>
      </c>
      <c r="AS382" s="121">
        <v>0</v>
      </c>
      <c r="AT382" s="121">
        <v>0</v>
      </c>
      <c r="AU382" s="420" t="s">
        <v>798</v>
      </c>
      <c r="AV382" s="420" t="s">
        <v>2001</v>
      </c>
      <c r="AW382" s="121">
        <v>0</v>
      </c>
      <c r="AX382" s="121">
        <v>284570</v>
      </c>
      <c r="AY382" s="134">
        <v>184885</v>
      </c>
      <c r="AZ382" s="134">
        <v>1665169</v>
      </c>
      <c r="BA382" s="114">
        <v>654</v>
      </c>
      <c r="BB382" s="134">
        <v>115502904</v>
      </c>
      <c r="BC382" s="114">
        <v>0</v>
      </c>
      <c r="BD382" s="114">
        <v>0</v>
      </c>
      <c r="BE382" s="114">
        <v>0</v>
      </c>
      <c r="BF382" s="114">
        <v>617</v>
      </c>
      <c r="BG382" s="114">
        <v>0</v>
      </c>
      <c r="BH382" s="114">
        <v>0</v>
      </c>
      <c r="BI382">
        <v>0</v>
      </c>
      <c r="BJ382" s="121">
        <v>0</v>
      </c>
      <c r="BK382" s="134">
        <v>382369483</v>
      </c>
      <c r="BL382" s="934">
        <v>5152</v>
      </c>
      <c r="BM382" s="934">
        <v>5082</v>
      </c>
      <c r="BN382" s="934">
        <v>5082</v>
      </c>
      <c r="BO382" s="114">
        <v>0</v>
      </c>
      <c r="BP382" s="114">
        <v>0</v>
      </c>
    </row>
    <row r="383" spans="1:68">
      <c r="A383" t="s">
        <v>3038</v>
      </c>
      <c r="B383" t="s">
        <v>257</v>
      </c>
      <c r="C383" s="121">
        <v>4767</v>
      </c>
      <c r="D383" s="72">
        <v>3</v>
      </c>
      <c r="E383">
        <v>139.542</v>
      </c>
      <c r="F383">
        <v>43</v>
      </c>
      <c r="G383">
        <v>34</v>
      </c>
      <c r="H383">
        <v>0</v>
      </c>
      <c r="I383" s="173">
        <v>1.04</v>
      </c>
      <c r="J383" s="121">
        <v>109260984</v>
      </c>
      <c r="K383" s="125">
        <v>811.56299999999999</v>
      </c>
      <c r="L383" s="173">
        <v>1.42</v>
      </c>
      <c r="M383">
        <v>1.04</v>
      </c>
      <c r="N383">
        <v>0.94666667139999994</v>
      </c>
      <c r="O383">
        <v>9.3333328600000094</v>
      </c>
      <c r="P383">
        <v>493.59399999999999</v>
      </c>
      <c r="Q383" s="125">
        <v>0</v>
      </c>
      <c r="R383" s="125">
        <v>0</v>
      </c>
      <c r="S383" s="125">
        <v>0.72499999999999998</v>
      </c>
      <c r="T383" s="125">
        <v>14.766999999999999</v>
      </c>
      <c r="U383" s="125">
        <v>2.0529999999999999</v>
      </c>
      <c r="V383" s="125">
        <v>0</v>
      </c>
      <c r="W383" s="125">
        <v>0.95799999999999996</v>
      </c>
      <c r="X383" s="125">
        <v>0</v>
      </c>
      <c r="Y383" s="125">
        <v>0</v>
      </c>
      <c r="Z383" s="125">
        <v>0</v>
      </c>
      <c r="AA383" s="125">
        <v>11.877000000000001</v>
      </c>
      <c r="AB383" s="125">
        <v>25.443000000000001</v>
      </c>
      <c r="AC383" s="125">
        <v>293.89999999999998</v>
      </c>
      <c r="AD383" s="125">
        <v>0</v>
      </c>
      <c r="AE383" s="125">
        <v>0</v>
      </c>
      <c r="AF383" s="125">
        <v>24.6797</v>
      </c>
      <c r="AG383" s="125">
        <v>0</v>
      </c>
      <c r="AH383" s="125">
        <v>0</v>
      </c>
      <c r="AI383" s="121">
        <v>1169267</v>
      </c>
      <c r="AJ383" s="121">
        <v>0</v>
      </c>
      <c r="AK383" s="424">
        <v>12</v>
      </c>
      <c r="AL383">
        <v>0</v>
      </c>
      <c r="AM383" s="121">
        <v>72468</v>
      </c>
      <c r="AN383" s="125">
        <v>0</v>
      </c>
      <c r="AO383" s="125">
        <v>0</v>
      </c>
      <c r="AP383" s="121">
        <v>1169267</v>
      </c>
      <c r="AQ383" s="114">
        <v>0</v>
      </c>
      <c r="AR383" s="121">
        <v>72.828946607000006</v>
      </c>
      <c r="AS383" s="121">
        <v>14311.116708</v>
      </c>
      <c r="AT383" s="121">
        <v>1884.7676530000001</v>
      </c>
      <c r="AU383" s="420" t="s">
        <v>2001</v>
      </c>
      <c r="AV383" s="420" t="s">
        <v>2001</v>
      </c>
      <c r="AW383" s="121">
        <v>0</v>
      </c>
      <c r="AX383" s="121">
        <v>0</v>
      </c>
      <c r="BI383">
        <v>0</v>
      </c>
      <c r="BJ383" s="121">
        <v>0</v>
      </c>
      <c r="BK383" s="134">
        <v>109260984</v>
      </c>
      <c r="BL383" s="934">
        <v>4628</v>
      </c>
      <c r="BM383" s="934">
        <v>4664</v>
      </c>
      <c r="BN383" s="934">
        <v>4767</v>
      </c>
      <c r="BO383" s="114">
        <v>0</v>
      </c>
      <c r="BP383" s="114">
        <v>0</v>
      </c>
    </row>
    <row r="384" spans="1:68">
      <c r="A384" t="s">
        <v>3039</v>
      </c>
      <c r="B384" t="s">
        <v>258</v>
      </c>
      <c r="C384" s="121">
        <v>4800</v>
      </c>
      <c r="D384" s="72">
        <v>2</v>
      </c>
      <c r="E384">
        <v>780.49</v>
      </c>
      <c r="F384">
        <v>231</v>
      </c>
      <c r="G384">
        <v>167</v>
      </c>
      <c r="H384">
        <v>10</v>
      </c>
      <c r="I384" s="173">
        <v>1.04</v>
      </c>
      <c r="J384" s="121">
        <v>993228569</v>
      </c>
      <c r="K384" s="125">
        <v>3919.5520000000001</v>
      </c>
      <c r="L384" s="173">
        <v>1.5</v>
      </c>
      <c r="M384">
        <v>1.04</v>
      </c>
      <c r="N384">
        <v>1.000000005</v>
      </c>
      <c r="O384">
        <v>3.9999995000000066</v>
      </c>
      <c r="P384">
        <v>2800</v>
      </c>
      <c r="Q384" s="125">
        <v>0.188</v>
      </c>
      <c r="R384" s="125">
        <v>0</v>
      </c>
      <c r="S384" s="125">
        <v>2.7320000000000002</v>
      </c>
      <c r="T384" s="125">
        <v>81.655000000000001</v>
      </c>
      <c r="U384" s="125">
        <v>14.976000000000001</v>
      </c>
      <c r="V384" s="125">
        <v>0</v>
      </c>
      <c r="W384" s="125">
        <v>11.122</v>
      </c>
      <c r="X384" s="125">
        <v>0</v>
      </c>
      <c r="Y384" s="125">
        <v>0</v>
      </c>
      <c r="Z384" s="125">
        <v>0</v>
      </c>
      <c r="AA384" s="125">
        <v>3.5150000000000001</v>
      </c>
      <c r="AB384" s="125">
        <v>140.44999999999999</v>
      </c>
      <c r="AC384" s="125">
        <v>2216.4</v>
      </c>
      <c r="AD384" s="125">
        <v>0</v>
      </c>
      <c r="AE384" s="125">
        <v>230.52600000000001</v>
      </c>
      <c r="AF384" s="125">
        <v>130.08699999999999</v>
      </c>
      <c r="AG384" s="125">
        <v>0</v>
      </c>
      <c r="AH384" s="125">
        <v>0</v>
      </c>
      <c r="AI384" s="121">
        <v>10412214</v>
      </c>
      <c r="AJ384" s="121">
        <v>1860012</v>
      </c>
      <c r="AK384" s="424">
        <v>12</v>
      </c>
      <c r="AL384">
        <v>0</v>
      </c>
      <c r="AM384" s="121">
        <v>343410</v>
      </c>
      <c r="AN384" s="125">
        <v>0</v>
      </c>
      <c r="AO384" s="125">
        <v>0</v>
      </c>
      <c r="AP384" s="121">
        <v>12272226</v>
      </c>
      <c r="AQ384" s="114">
        <v>0</v>
      </c>
      <c r="AR384" s="121">
        <v>662.04593599999998</v>
      </c>
      <c r="AS384" s="121">
        <v>130094.1054</v>
      </c>
      <c r="AT384" s="121">
        <v>17133.335343999999</v>
      </c>
      <c r="AU384" s="420" t="s">
        <v>2001</v>
      </c>
      <c r="AV384" s="420" t="s">
        <v>2001</v>
      </c>
      <c r="AW384" s="121">
        <v>0</v>
      </c>
      <c r="AX384" s="121">
        <v>2177918</v>
      </c>
      <c r="BI384">
        <v>0</v>
      </c>
      <c r="BJ384" s="121">
        <v>0</v>
      </c>
      <c r="BK384" s="134">
        <v>993228569</v>
      </c>
      <c r="BL384" s="934">
        <v>4547</v>
      </c>
      <c r="BM384" s="934">
        <v>4800</v>
      </c>
      <c r="BN384" s="934">
        <v>4748</v>
      </c>
      <c r="BO384" s="114">
        <v>0</v>
      </c>
      <c r="BP384" s="114">
        <v>0</v>
      </c>
    </row>
    <row r="385" spans="1:68">
      <c r="A385" t="s">
        <v>2456</v>
      </c>
      <c r="B385" t="s">
        <v>259</v>
      </c>
      <c r="C385" s="121">
        <v>6328</v>
      </c>
      <c r="D385" s="72">
        <v>2</v>
      </c>
      <c r="E385">
        <v>38.323</v>
      </c>
      <c r="F385">
        <v>17</v>
      </c>
      <c r="G385">
        <v>10</v>
      </c>
      <c r="H385">
        <v>3</v>
      </c>
      <c r="I385" s="173">
        <v>1.04</v>
      </c>
      <c r="J385" s="121">
        <v>100363483</v>
      </c>
      <c r="K385" s="125">
        <v>271.38400000000001</v>
      </c>
      <c r="L385" s="173">
        <v>1.5</v>
      </c>
      <c r="M385">
        <v>1.04</v>
      </c>
      <c r="N385">
        <v>1.000000005</v>
      </c>
      <c r="O385">
        <v>3.9999995000000066</v>
      </c>
      <c r="P385">
        <v>141.85499999999999</v>
      </c>
      <c r="Q385" s="125">
        <v>0</v>
      </c>
      <c r="R385" s="125">
        <v>0</v>
      </c>
      <c r="S385" s="125">
        <v>0.22</v>
      </c>
      <c r="T385" s="125">
        <v>6.4119999999999999</v>
      </c>
      <c r="U385" s="125">
        <v>0.441</v>
      </c>
      <c r="V385" s="125">
        <v>0</v>
      </c>
      <c r="W385" s="125">
        <v>1.7490000000000001</v>
      </c>
      <c r="X385" s="125">
        <v>0</v>
      </c>
      <c r="Y385" s="125">
        <v>0</v>
      </c>
      <c r="Z385" s="125">
        <v>0</v>
      </c>
      <c r="AA385" s="125">
        <v>1.0589999999999999</v>
      </c>
      <c r="AB385" s="125">
        <v>7.359</v>
      </c>
      <c r="AC385" s="125">
        <v>120.3</v>
      </c>
      <c r="AD385" s="125">
        <v>0</v>
      </c>
      <c r="AE385" s="125">
        <v>0</v>
      </c>
      <c r="AF385" s="125">
        <v>7.0927499999999997</v>
      </c>
      <c r="AG385" s="125">
        <v>0</v>
      </c>
      <c r="AH385" s="125">
        <v>0</v>
      </c>
      <c r="AI385" s="121">
        <v>1095969</v>
      </c>
      <c r="AJ385" s="121">
        <v>0</v>
      </c>
      <c r="AK385" s="424">
        <v>12</v>
      </c>
      <c r="AL385">
        <v>0</v>
      </c>
      <c r="AM385" s="121">
        <v>0</v>
      </c>
      <c r="AN385" s="125">
        <v>0</v>
      </c>
      <c r="AO385" s="125">
        <v>0</v>
      </c>
      <c r="AP385" s="121">
        <v>1095969</v>
      </c>
      <c r="AQ385" s="114">
        <v>0</v>
      </c>
      <c r="AR385" s="121">
        <v>40.526896082999997</v>
      </c>
      <c r="AS385" s="121">
        <v>7963.6623442999999</v>
      </c>
      <c r="AT385" s="121">
        <v>1048.8107596</v>
      </c>
      <c r="AU385" s="420" t="s">
        <v>798</v>
      </c>
      <c r="AV385" s="420" t="s">
        <v>2001</v>
      </c>
      <c r="AW385" s="121">
        <v>0</v>
      </c>
      <c r="AX385" s="121">
        <v>0</v>
      </c>
      <c r="AY385" s="134">
        <v>91250</v>
      </c>
      <c r="AZ385" s="134">
        <v>569086</v>
      </c>
      <c r="BA385" s="114">
        <v>271</v>
      </c>
      <c r="BB385" s="134">
        <v>26479877</v>
      </c>
      <c r="BC385" s="114">
        <v>0</v>
      </c>
      <c r="BD385" s="114">
        <v>0</v>
      </c>
      <c r="BE385" s="114">
        <v>0</v>
      </c>
      <c r="BF385" s="114">
        <v>120</v>
      </c>
      <c r="BG385" s="114">
        <v>0</v>
      </c>
      <c r="BH385" s="114">
        <v>0</v>
      </c>
      <c r="BI385">
        <v>0</v>
      </c>
      <c r="BJ385" s="121">
        <v>0</v>
      </c>
      <c r="BK385" s="134">
        <v>100363483</v>
      </c>
      <c r="BL385" s="934">
        <v>5137</v>
      </c>
      <c r="BM385" s="934">
        <v>6328</v>
      </c>
      <c r="BN385" s="934">
        <v>5436</v>
      </c>
      <c r="BO385" s="114">
        <v>0</v>
      </c>
      <c r="BP385" s="114">
        <v>0</v>
      </c>
    </row>
    <row r="386" spans="1:68">
      <c r="A386" t="s">
        <v>537</v>
      </c>
      <c r="B386" t="s">
        <v>1416</v>
      </c>
      <c r="C386" s="121">
        <v>4811</v>
      </c>
      <c r="D386" s="72">
        <v>2</v>
      </c>
      <c r="E386">
        <v>1880.692</v>
      </c>
      <c r="F386">
        <v>523</v>
      </c>
      <c r="G386">
        <v>479</v>
      </c>
      <c r="H386">
        <v>1</v>
      </c>
      <c r="I386" s="173">
        <v>1.04</v>
      </c>
      <c r="J386" s="121">
        <v>2190641419</v>
      </c>
      <c r="K386" s="125">
        <v>9545.5740000000005</v>
      </c>
      <c r="L386" s="173">
        <v>1.5</v>
      </c>
      <c r="M386">
        <v>1.04</v>
      </c>
      <c r="N386">
        <v>1.000000005</v>
      </c>
      <c r="O386">
        <v>3.9999995000000066</v>
      </c>
      <c r="P386">
        <v>7080</v>
      </c>
      <c r="Q386" s="125">
        <v>1.087</v>
      </c>
      <c r="R386" s="125">
        <v>3.8410000000000002</v>
      </c>
      <c r="S386" s="125">
        <v>12.646000000000001</v>
      </c>
      <c r="T386" s="125">
        <v>191.90100000000001</v>
      </c>
      <c r="U386" s="125">
        <v>35.209000000000003</v>
      </c>
      <c r="V386" s="125">
        <v>14.965999999999999</v>
      </c>
      <c r="W386" s="125">
        <v>19.411000000000001</v>
      </c>
      <c r="X386" s="125">
        <v>0</v>
      </c>
      <c r="Y386" s="125">
        <v>0</v>
      </c>
      <c r="Z386" s="125">
        <v>9.24</v>
      </c>
      <c r="AA386" s="125">
        <v>226.898</v>
      </c>
      <c r="AB386" s="125">
        <v>288.16399999999999</v>
      </c>
      <c r="AC386" s="125">
        <v>5500</v>
      </c>
      <c r="AD386" s="125">
        <v>9.8049999999999997</v>
      </c>
      <c r="AE386" s="125">
        <v>590</v>
      </c>
      <c r="AF386" s="125">
        <v>346.81400000000002</v>
      </c>
      <c r="AG386" s="125">
        <v>0</v>
      </c>
      <c r="AH386" s="125">
        <v>0</v>
      </c>
      <c r="AI386" s="121">
        <v>23921804</v>
      </c>
      <c r="AJ386" s="121">
        <v>3184175</v>
      </c>
      <c r="AK386" s="424">
        <v>12</v>
      </c>
      <c r="AL386">
        <v>0</v>
      </c>
      <c r="AM386" s="121">
        <v>885437</v>
      </c>
      <c r="AN386" s="125">
        <v>1</v>
      </c>
      <c r="AO386" s="125">
        <v>0</v>
      </c>
      <c r="AP386" s="121">
        <v>27105979</v>
      </c>
      <c r="AQ386" s="114">
        <v>0</v>
      </c>
      <c r="AR386" s="121">
        <v>1460.1928438</v>
      </c>
      <c r="AS386" s="121">
        <v>286932.47915000003</v>
      </c>
      <c r="AT386" s="121">
        <v>37788.878836000004</v>
      </c>
      <c r="AU386" s="420" t="s">
        <v>2001</v>
      </c>
      <c r="AV386" s="420" t="s">
        <v>2001</v>
      </c>
      <c r="AW386" s="121">
        <v>0</v>
      </c>
      <c r="AX386" s="121">
        <v>3387707</v>
      </c>
      <c r="BI386">
        <v>0</v>
      </c>
      <c r="BJ386" s="121">
        <v>0</v>
      </c>
      <c r="BK386" s="134">
        <v>2190641419</v>
      </c>
      <c r="BL386" s="934">
        <v>4684</v>
      </c>
      <c r="BM386" s="934">
        <v>4811</v>
      </c>
      <c r="BN386" s="934">
        <v>4811</v>
      </c>
      <c r="BO386" s="114">
        <v>0</v>
      </c>
      <c r="BP386" s="114">
        <v>0</v>
      </c>
    </row>
    <row r="387" spans="1:68">
      <c r="A387" t="s">
        <v>535</v>
      </c>
      <c r="B387" t="s">
        <v>1414</v>
      </c>
      <c r="C387" s="121">
        <v>5121</v>
      </c>
      <c r="D387" s="72">
        <v>2</v>
      </c>
      <c r="E387">
        <v>3082.7759999999998</v>
      </c>
      <c r="F387">
        <v>740</v>
      </c>
      <c r="G387">
        <v>482</v>
      </c>
      <c r="H387">
        <v>95</v>
      </c>
      <c r="I387" s="173">
        <v>1.04</v>
      </c>
      <c r="J387" s="121">
        <v>2864729675</v>
      </c>
      <c r="K387" s="125">
        <v>12978.11</v>
      </c>
      <c r="L387" s="173">
        <v>1.5</v>
      </c>
      <c r="M387">
        <v>1.04</v>
      </c>
      <c r="N387">
        <v>1.000000005</v>
      </c>
      <c r="O387">
        <v>3.9999995000000066</v>
      </c>
      <c r="P387">
        <v>10497.5</v>
      </c>
      <c r="Q387" s="125">
        <v>2.1459999999999999</v>
      </c>
      <c r="R387" s="125">
        <v>0</v>
      </c>
      <c r="S387" s="125">
        <v>27.861999999999998</v>
      </c>
      <c r="T387" s="125">
        <v>300.47800000000001</v>
      </c>
      <c r="U387" s="125">
        <v>79.799000000000007</v>
      </c>
      <c r="V387" s="125">
        <v>7.0049999999999999</v>
      </c>
      <c r="W387" s="125">
        <v>14.526999999999999</v>
      </c>
      <c r="X387" s="125">
        <v>0</v>
      </c>
      <c r="Y387" s="125">
        <v>0</v>
      </c>
      <c r="Z387" s="125">
        <v>9.9499999999999993</v>
      </c>
      <c r="AA387" s="125">
        <v>245.24299999999999</v>
      </c>
      <c r="AB387" s="125">
        <v>487.90600000000001</v>
      </c>
      <c r="AC387" s="125">
        <v>3010</v>
      </c>
      <c r="AD387" s="125">
        <v>2.6459999999999999</v>
      </c>
      <c r="AE387" s="125">
        <v>254.982</v>
      </c>
      <c r="AF387" s="125">
        <v>524.875</v>
      </c>
      <c r="AG387" s="125">
        <v>0</v>
      </c>
      <c r="AH387" s="125">
        <v>0</v>
      </c>
      <c r="AI387" s="121">
        <v>30970020</v>
      </c>
      <c r="AJ387" s="121">
        <v>5676481</v>
      </c>
      <c r="AK387" s="424">
        <v>12</v>
      </c>
      <c r="AL387">
        <v>0</v>
      </c>
      <c r="AM387" s="121">
        <v>870438</v>
      </c>
      <c r="AN387" s="125">
        <v>0</v>
      </c>
      <c r="AO387" s="125">
        <v>0</v>
      </c>
      <c r="AP387" s="121">
        <v>36646501</v>
      </c>
      <c r="AQ387" s="114">
        <v>0</v>
      </c>
      <c r="AR387" s="121">
        <v>1909.5127731</v>
      </c>
      <c r="AS387" s="121">
        <v>375225.25621999998</v>
      </c>
      <c r="AT387" s="121">
        <v>49416.997984000001</v>
      </c>
      <c r="AU387" s="420" t="s">
        <v>2001</v>
      </c>
      <c r="AV387" s="420" t="s">
        <v>2001</v>
      </c>
      <c r="AW387" s="121">
        <v>0</v>
      </c>
      <c r="AX387" s="121">
        <v>10431621</v>
      </c>
      <c r="BI387">
        <v>0</v>
      </c>
      <c r="BJ387" s="121">
        <v>0</v>
      </c>
      <c r="BK387" s="134">
        <v>2864729675</v>
      </c>
      <c r="BL387" s="934">
        <v>4922</v>
      </c>
      <c r="BM387" s="934">
        <v>5121</v>
      </c>
      <c r="BN387" s="934">
        <v>5121</v>
      </c>
      <c r="BO387" s="114">
        <v>0</v>
      </c>
      <c r="BP387" s="114">
        <v>0</v>
      </c>
    </row>
    <row r="388" spans="1:68">
      <c r="A388" t="s">
        <v>2457</v>
      </c>
      <c r="B388" t="s">
        <v>260</v>
      </c>
      <c r="C388" s="121">
        <v>4253</v>
      </c>
      <c r="D388" s="72">
        <v>2</v>
      </c>
      <c r="E388">
        <v>403.56</v>
      </c>
      <c r="F388">
        <v>102</v>
      </c>
      <c r="G388">
        <v>54</v>
      </c>
      <c r="H388">
        <v>22</v>
      </c>
      <c r="I388" s="173">
        <v>1.1200000000000001</v>
      </c>
      <c r="J388" s="121">
        <v>461370613</v>
      </c>
      <c r="K388" s="125">
        <v>2058.5830000000001</v>
      </c>
      <c r="L388" s="173">
        <v>1.5</v>
      </c>
      <c r="M388">
        <v>1.1200000000000001</v>
      </c>
      <c r="N388">
        <v>1.000000005</v>
      </c>
      <c r="O388">
        <v>11.999999500000014</v>
      </c>
      <c r="P388">
        <v>1555.06</v>
      </c>
      <c r="Q388" s="125">
        <v>2.5999999999999999E-2</v>
      </c>
      <c r="R388" s="125">
        <v>0</v>
      </c>
      <c r="S388" s="125">
        <v>2.831</v>
      </c>
      <c r="T388" s="125">
        <v>44.09</v>
      </c>
      <c r="U388" s="125">
        <v>2.5099999999999998</v>
      </c>
      <c r="V388" s="125">
        <v>0</v>
      </c>
      <c r="W388" s="125">
        <v>0</v>
      </c>
      <c r="X388" s="125">
        <v>0</v>
      </c>
      <c r="Y388" s="125">
        <v>0</v>
      </c>
      <c r="Z388" s="125">
        <v>0</v>
      </c>
      <c r="AA388" s="125">
        <v>31.18</v>
      </c>
      <c r="AB388" s="125">
        <v>55.353999999999999</v>
      </c>
      <c r="AC388" s="125">
        <v>632</v>
      </c>
      <c r="AD388" s="125">
        <v>7.6999999999999999E-2</v>
      </c>
      <c r="AE388" s="125">
        <v>20.47</v>
      </c>
      <c r="AF388" s="125">
        <v>77.753</v>
      </c>
      <c r="AG388" s="125">
        <v>0</v>
      </c>
      <c r="AH388" s="125">
        <v>0</v>
      </c>
      <c r="AI388" s="121">
        <v>5317204</v>
      </c>
      <c r="AJ388" s="121">
        <v>1277637</v>
      </c>
      <c r="AK388" s="424">
        <v>12</v>
      </c>
      <c r="AL388">
        <v>0</v>
      </c>
      <c r="AM388" s="121">
        <v>163567</v>
      </c>
      <c r="AN388" s="125">
        <v>0</v>
      </c>
      <c r="AO388" s="125">
        <v>0</v>
      </c>
      <c r="AP388" s="121">
        <v>6594841</v>
      </c>
      <c r="AQ388" s="114">
        <v>0</v>
      </c>
      <c r="AR388" s="121">
        <v>307.53096403000001</v>
      </c>
      <c r="AS388" s="121">
        <v>60430.800151000003</v>
      </c>
      <c r="AT388" s="121">
        <v>7958.7092812000001</v>
      </c>
      <c r="AU388" s="420" t="s">
        <v>2001</v>
      </c>
      <c r="AV388" s="420" t="s">
        <v>2001</v>
      </c>
      <c r="AW388" s="121">
        <v>0</v>
      </c>
      <c r="AX388" s="121">
        <v>1785272</v>
      </c>
      <c r="BI388">
        <v>0</v>
      </c>
      <c r="BJ388" s="121">
        <v>0</v>
      </c>
      <c r="BK388" s="134">
        <v>461370613</v>
      </c>
      <c r="BL388" s="934">
        <v>4136</v>
      </c>
      <c r="BM388" s="934">
        <v>4253</v>
      </c>
      <c r="BN388" s="934">
        <v>4253</v>
      </c>
      <c r="BO388" s="114">
        <v>0</v>
      </c>
      <c r="BP388" s="114">
        <v>0</v>
      </c>
    </row>
    <row r="389" spans="1:68">
      <c r="A389" t="s">
        <v>381</v>
      </c>
      <c r="B389" t="s">
        <v>324</v>
      </c>
      <c r="C389" s="121">
        <v>4566</v>
      </c>
      <c r="D389" s="72">
        <v>2</v>
      </c>
      <c r="E389">
        <v>434.37</v>
      </c>
      <c r="F389">
        <v>109</v>
      </c>
      <c r="G389">
        <v>98</v>
      </c>
      <c r="H389">
        <v>4</v>
      </c>
      <c r="I389" s="173">
        <v>1.04</v>
      </c>
      <c r="J389" s="121">
        <v>414379815</v>
      </c>
      <c r="K389" s="125">
        <v>1872.1969999999999</v>
      </c>
      <c r="L389" s="173">
        <v>1.5</v>
      </c>
      <c r="M389">
        <v>1.04</v>
      </c>
      <c r="N389">
        <v>1.000000005</v>
      </c>
      <c r="O389">
        <v>3.9999995000000066</v>
      </c>
      <c r="P389">
        <v>1397.7270000000001</v>
      </c>
      <c r="Q389" s="125">
        <v>1.2E-2</v>
      </c>
      <c r="R389" s="125">
        <v>0</v>
      </c>
      <c r="S389" s="125">
        <v>2.097</v>
      </c>
      <c r="T389" s="125">
        <v>40.139000000000003</v>
      </c>
      <c r="U389" s="125">
        <v>5.3959999999999999</v>
      </c>
      <c r="V389" s="125">
        <v>0</v>
      </c>
      <c r="W389" s="125">
        <v>0</v>
      </c>
      <c r="X389" s="125">
        <v>0</v>
      </c>
      <c r="Y389" s="125">
        <v>0</v>
      </c>
      <c r="Z389" s="125">
        <v>0</v>
      </c>
      <c r="AA389" s="125">
        <v>25.015999999999998</v>
      </c>
      <c r="AB389" s="125">
        <v>49.478000000000002</v>
      </c>
      <c r="AC389" s="125">
        <v>641.4</v>
      </c>
      <c r="AD389" s="125">
        <v>0.156</v>
      </c>
      <c r="AE389" s="125">
        <v>49.148000000000003</v>
      </c>
      <c r="AF389" s="125">
        <v>69.885999999999996</v>
      </c>
      <c r="AG389" s="125">
        <v>0</v>
      </c>
      <c r="AH389" s="125">
        <v>0</v>
      </c>
      <c r="AI389" s="121">
        <v>4389277</v>
      </c>
      <c r="AJ389" s="121">
        <v>608080</v>
      </c>
      <c r="AK389" s="424">
        <v>12</v>
      </c>
      <c r="AL389">
        <v>0</v>
      </c>
      <c r="AM389" s="121">
        <v>148683</v>
      </c>
      <c r="AN389" s="125">
        <v>0</v>
      </c>
      <c r="AO389" s="125">
        <v>0</v>
      </c>
      <c r="AP389" s="121">
        <v>4997357</v>
      </c>
      <c r="AQ389" s="114">
        <v>0</v>
      </c>
      <c r="AR389" s="121">
        <v>276.20880132000002</v>
      </c>
      <c r="AS389" s="121">
        <v>54275.896819000001</v>
      </c>
      <c r="AT389" s="121">
        <v>7148.1112725000003</v>
      </c>
      <c r="AU389" s="420" t="s">
        <v>2001</v>
      </c>
      <c r="AV389" s="420" t="s">
        <v>2001</v>
      </c>
      <c r="AW389" s="121">
        <v>0</v>
      </c>
      <c r="AX389" s="121">
        <v>851890</v>
      </c>
      <c r="BI389">
        <v>0</v>
      </c>
      <c r="BJ389" s="121">
        <v>0</v>
      </c>
      <c r="BK389" s="134">
        <v>414379815</v>
      </c>
      <c r="BL389" s="934">
        <v>4444</v>
      </c>
      <c r="BM389" s="934">
        <v>4566</v>
      </c>
      <c r="BN389" s="934">
        <v>4566</v>
      </c>
      <c r="BO389" s="114">
        <v>0</v>
      </c>
      <c r="BP389" s="114">
        <v>0</v>
      </c>
    </row>
    <row r="390" spans="1:68">
      <c r="A390" t="s">
        <v>2458</v>
      </c>
      <c r="B390" t="s">
        <v>261</v>
      </c>
      <c r="C390" s="121">
        <v>5548</v>
      </c>
      <c r="D390" s="72">
        <v>2</v>
      </c>
      <c r="E390">
        <v>217.173</v>
      </c>
      <c r="F390">
        <v>73</v>
      </c>
      <c r="G390">
        <v>51</v>
      </c>
      <c r="H390">
        <v>0</v>
      </c>
      <c r="I390" s="173">
        <v>1.17</v>
      </c>
      <c r="J390" s="121">
        <v>368095974</v>
      </c>
      <c r="K390" s="125">
        <v>1183.251</v>
      </c>
      <c r="L390" s="173">
        <v>1.5</v>
      </c>
      <c r="M390">
        <v>1.17</v>
      </c>
      <c r="N390">
        <v>1.000000005</v>
      </c>
      <c r="O390">
        <v>16.999999499999994</v>
      </c>
      <c r="P390">
        <v>719.72500000000002</v>
      </c>
      <c r="Q390" s="125">
        <v>1.4999999999999999E-2</v>
      </c>
      <c r="R390" s="125">
        <v>0</v>
      </c>
      <c r="S390" s="125">
        <v>1.669</v>
      </c>
      <c r="T390" s="125">
        <v>35.350999999999999</v>
      </c>
      <c r="U390" s="125">
        <v>1.391</v>
      </c>
      <c r="V390" s="125">
        <v>0</v>
      </c>
      <c r="W390" s="125">
        <v>2.8220000000000001</v>
      </c>
      <c r="X390" s="125">
        <v>0</v>
      </c>
      <c r="Y390" s="125">
        <v>0</v>
      </c>
      <c r="Z390" s="125">
        <v>0</v>
      </c>
      <c r="AA390" s="125">
        <v>8.6440000000000001</v>
      </c>
      <c r="AB390" s="125">
        <v>28.803999999999998</v>
      </c>
      <c r="AC390" s="125">
        <v>532.29999999999995</v>
      </c>
      <c r="AD390" s="125">
        <v>0.57399999999999995</v>
      </c>
      <c r="AE390" s="125">
        <v>8.8179999999999996</v>
      </c>
      <c r="AF390" s="125">
        <v>35.985999999999997</v>
      </c>
      <c r="AG390" s="125">
        <v>0</v>
      </c>
      <c r="AH390" s="125">
        <v>0</v>
      </c>
      <c r="AI390" s="121">
        <v>4422652</v>
      </c>
      <c r="AJ390" s="121">
        <v>0</v>
      </c>
      <c r="AK390" s="424">
        <v>12</v>
      </c>
      <c r="AL390">
        <v>0</v>
      </c>
      <c r="AM390" s="121">
        <v>24739</v>
      </c>
      <c r="AN390" s="125">
        <v>0</v>
      </c>
      <c r="AO390" s="125">
        <v>0</v>
      </c>
      <c r="AP390" s="121">
        <v>4422652</v>
      </c>
      <c r="AQ390" s="114">
        <v>0</v>
      </c>
      <c r="AR390" s="121">
        <v>245.35786766000001</v>
      </c>
      <c r="AS390" s="121">
        <v>48213.591475000001</v>
      </c>
      <c r="AT390" s="121">
        <v>6349.7083771999996</v>
      </c>
      <c r="AU390" s="420" t="s">
        <v>2001</v>
      </c>
      <c r="AV390" s="420" t="s">
        <v>2001</v>
      </c>
      <c r="AW390" s="121">
        <v>0</v>
      </c>
      <c r="AX390" s="121">
        <v>0</v>
      </c>
      <c r="BI390">
        <v>0</v>
      </c>
      <c r="BJ390" s="121">
        <v>0</v>
      </c>
      <c r="BK390" s="134">
        <v>360004208</v>
      </c>
      <c r="BL390" s="934">
        <v>5036</v>
      </c>
      <c r="BM390" s="934">
        <v>5548</v>
      </c>
      <c r="BN390" s="934">
        <v>5084</v>
      </c>
      <c r="BO390" s="114">
        <v>0</v>
      </c>
      <c r="BP390" s="114">
        <v>0</v>
      </c>
    </row>
    <row r="391" spans="1:68">
      <c r="A391" t="s">
        <v>2459</v>
      </c>
      <c r="B391" t="s">
        <v>262</v>
      </c>
      <c r="C391" s="121">
        <v>4619</v>
      </c>
      <c r="D391" s="72">
        <v>2</v>
      </c>
      <c r="E391">
        <v>43.552</v>
      </c>
      <c r="F391">
        <v>17</v>
      </c>
      <c r="G391">
        <v>11</v>
      </c>
      <c r="H391">
        <v>2</v>
      </c>
      <c r="I391" s="173">
        <v>1.17</v>
      </c>
      <c r="J391" s="121">
        <v>29573152</v>
      </c>
      <c r="K391" s="125">
        <v>274.64999999999998</v>
      </c>
      <c r="L391" s="173">
        <v>1.5</v>
      </c>
      <c r="M391">
        <v>1.17</v>
      </c>
      <c r="N391">
        <v>1.000000005</v>
      </c>
      <c r="O391">
        <v>16.999999499999994</v>
      </c>
      <c r="P391">
        <v>121.64400000000001</v>
      </c>
      <c r="Q391" s="125">
        <v>0</v>
      </c>
      <c r="R391" s="125">
        <v>0</v>
      </c>
      <c r="S391" s="125">
        <v>0.26400000000000001</v>
      </c>
      <c r="T391" s="125">
        <v>4.8280000000000003</v>
      </c>
      <c r="U391" s="125">
        <v>0.36399999999999999</v>
      </c>
      <c r="V391" s="125">
        <v>0</v>
      </c>
      <c r="W391" s="125">
        <v>0</v>
      </c>
      <c r="X391" s="125">
        <v>0</v>
      </c>
      <c r="Y391" s="125">
        <v>0</v>
      </c>
      <c r="Z391" s="125">
        <v>0</v>
      </c>
      <c r="AA391" s="125">
        <v>3.2189999999999999</v>
      </c>
      <c r="AB391" s="125">
        <v>15.218999999999999</v>
      </c>
      <c r="AC391" s="125">
        <v>111</v>
      </c>
      <c r="AD391" s="125">
        <v>0</v>
      </c>
      <c r="AE391" s="125">
        <v>7.173</v>
      </c>
      <c r="AF391" s="125">
        <v>6.0819999999999999</v>
      </c>
      <c r="AG391" s="125">
        <v>0</v>
      </c>
      <c r="AH391" s="125">
        <v>0</v>
      </c>
      <c r="AI391" s="121">
        <v>351071</v>
      </c>
      <c r="AJ391" s="121">
        <v>0</v>
      </c>
      <c r="AK391" s="424">
        <v>12</v>
      </c>
      <c r="AL391">
        <v>0</v>
      </c>
      <c r="AM391" s="121">
        <v>28050</v>
      </c>
      <c r="AN391" s="125">
        <v>0</v>
      </c>
      <c r="AO391" s="125">
        <v>0</v>
      </c>
      <c r="AP391" s="121">
        <v>351071</v>
      </c>
      <c r="AQ391" s="114">
        <v>0</v>
      </c>
      <c r="AR391" s="121">
        <v>19.712265306999999</v>
      </c>
      <c r="AS391" s="121">
        <v>3873.5220339000002</v>
      </c>
      <c r="AT391" s="121">
        <v>510.14111487999998</v>
      </c>
      <c r="AU391" s="420" t="s">
        <v>2001</v>
      </c>
      <c r="AV391" s="420" t="s">
        <v>2001</v>
      </c>
      <c r="AW391" s="121">
        <v>0</v>
      </c>
      <c r="AX391" s="121">
        <v>0</v>
      </c>
      <c r="BI391">
        <v>0</v>
      </c>
      <c r="BJ391" s="121">
        <v>0</v>
      </c>
      <c r="BK391" s="134">
        <v>28865849</v>
      </c>
      <c r="BL391" s="934">
        <v>4578</v>
      </c>
      <c r="BM391" s="934">
        <v>4619</v>
      </c>
      <c r="BN391" s="934">
        <v>4616</v>
      </c>
      <c r="BO391" s="114">
        <v>0</v>
      </c>
      <c r="BP391" s="114">
        <v>0</v>
      </c>
    </row>
    <row r="392" spans="1:68">
      <c r="A392" t="s">
        <v>547</v>
      </c>
      <c r="B392" t="s">
        <v>263</v>
      </c>
      <c r="C392" s="121">
        <v>4445</v>
      </c>
      <c r="D392" s="72">
        <v>2</v>
      </c>
      <c r="E392">
        <v>135.95099999999999</v>
      </c>
      <c r="F392">
        <v>60</v>
      </c>
      <c r="G392">
        <v>37</v>
      </c>
      <c r="H392">
        <v>0</v>
      </c>
      <c r="I392" s="173">
        <v>1.04</v>
      </c>
      <c r="J392" s="121">
        <v>69617175</v>
      </c>
      <c r="K392" s="125">
        <v>964.65</v>
      </c>
      <c r="L392" s="173">
        <v>1.5</v>
      </c>
      <c r="M392">
        <v>1.04</v>
      </c>
      <c r="N392">
        <v>1.000000005</v>
      </c>
      <c r="O392">
        <v>3.9999995000000066</v>
      </c>
      <c r="P392">
        <v>528.19299999999998</v>
      </c>
      <c r="Q392" s="125">
        <v>0</v>
      </c>
      <c r="R392" s="125">
        <v>0</v>
      </c>
      <c r="S392" s="125">
        <v>1.708</v>
      </c>
      <c r="T392" s="125">
        <v>22.783000000000001</v>
      </c>
      <c r="U392" s="125">
        <v>0</v>
      </c>
      <c r="V392" s="125">
        <v>3.9870000000000001</v>
      </c>
      <c r="W392" s="125">
        <v>7.4880000000000004</v>
      </c>
      <c r="X392" s="125">
        <v>0</v>
      </c>
      <c r="Y392" s="125">
        <v>0</v>
      </c>
      <c r="Z392" s="125">
        <v>0</v>
      </c>
      <c r="AA392" s="125">
        <v>6.2619999999999996</v>
      </c>
      <c r="AB392" s="125">
        <v>41.031999999999996</v>
      </c>
      <c r="AC392" s="125">
        <v>522.9</v>
      </c>
      <c r="AD392" s="125">
        <v>1.038</v>
      </c>
      <c r="AE392" s="125">
        <v>26.725000000000001</v>
      </c>
      <c r="AF392" s="125">
        <v>26.409649999999999</v>
      </c>
      <c r="AG392" s="125">
        <v>0</v>
      </c>
      <c r="AH392" s="125">
        <v>0</v>
      </c>
      <c r="AI392" s="121">
        <v>666179</v>
      </c>
      <c r="AJ392" s="121">
        <v>0</v>
      </c>
      <c r="AK392" s="424">
        <v>12</v>
      </c>
      <c r="AL392">
        <v>0</v>
      </c>
      <c r="AM392" s="121">
        <v>33600</v>
      </c>
      <c r="AN392" s="125">
        <v>0</v>
      </c>
      <c r="AO392" s="125">
        <v>0</v>
      </c>
      <c r="AP392" s="121">
        <v>666179</v>
      </c>
      <c r="AQ392" s="114">
        <v>0</v>
      </c>
      <c r="AR392" s="121">
        <v>46.403989436000003</v>
      </c>
      <c r="AS392" s="121">
        <v>9118.5296435</v>
      </c>
      <c r="AT392" s="121">
        <v>1200.9062650999999</v>
      </c>
      <c r="AU392" s="420" t="s">
        <v>2001</v>
      </c>
      <c r="AV392" s="420" t="s">
        <v>2001</v>
      </c>
      <c r="AW392" s="121">
        <v>0</v>
      </c>
      <c r="AX392" s="121">
        <v>181035</v>
      </c>
      <c r="BI392">
        <v>0</v>
      </c>
      <c r="BJ392" s="121">
        <v>0</v>
      </c>
      <c r="BK392" s="134">
        <v>64899351</v>
      </c>
      <c r="BL392" s="934">
        <v>4393</v>
      </c>
      <c r="BM392" s="934">
        <v>4445</v>
      </c>
      <c r="BN392" s="934">
        <v>4445</v>
      </c>
      <c r="BO392" s="114">
        <v>0</v>
      </c>
      <c r="BP392" s="114">
        <v>0</v>
      </c>
    </row>
    <row r="393" spans="1:68">
      <c r="A393" t="s">
        <v>2232</v>
      </c>
      <c r="B393" t="s">
        <v>264</v>
      </c>
      <c r="C393" s="121">
        <v>4505</v>
      </c>
      <c r="D393" s="72">
        <v>1</v>
      </c>
      <c r="E393">
        <v>87.667000000000002</v>
      </c>
      <c r="F393">
        <v>30</v>
      </c>
      <c r="G393">
        <v>19</v>
      </c>
      <c r="H393">
        <v>0</v>
      </c>
      <c r="I393" s="173">
        <v>1.17</v>
      </c>
      <c r="J393" s="121">
        <v>47367178</v>
      </c>
      <c r="K393" s="125">
        <v>510.99</v>
      </c>
      <c r="L393" s="173">
        <v>1.5</v>
      </c>
      <c r="M393">
        <v>1.17</v>
      </c>
      <c r="N393">
        <v>1.000000005</v>
      </c>
      <c r="O393">
        <v>16.999999499999994</v>
      </c>
      <c r="P393">
        <v>285</v>
      </c>
      <c r="Q393" s="125">
        <v>5.0000000000000001E-3</v>
      </c>
      <c r="R393" s="125">
        <v>0</v>
      </c>
      <c r="S393" s="125">
        <v>1</v>
      </c>
      <c r="T393" s="125">
        <v>6.5</v>
      </c>
      <c r="U393" s="125">
        <v>0.8</v>
      </c>
      <c r="V393" s="125">
        <v>1.5</v>
      </c>
      <c r="W393" s="125">
        <v>3</v>
      </c>
      <c r="X393" s="125">
        <v>0</v>
      </c>
      <c r="Y393" s="125">
        <v>0</v>
      </c>
      <c r="Z393" s="125">
        <v>0</v>
      </c>
      <c r="AA393" s="125">
        <v>3</v>
      </c>
      <c r="AB393" s="125">
        <v>26</v>
      </c>
      <c r="AC393" s="125">
        <v>235</v>
      </c>
      <c r="AD393" s="125">
        <v>0.5</v>
      </c>
      <c r="AE393" s="125">
        <v>14</v>
      </c>
      <c r="AF393" s="125">
        <v>14.25</v>
      </c>
      <c r="AG393" s="125">
        <v>0</v>
      </c>
      <c r="AH393" s="125">
        <v>0</v>
      </c>
      <c r="AI393" s="121">
        <v>561650</v>
      </c>
      <c r="AJ393" s="121">
        <v>29024</v>
      </c>
      <c r="AK393" s="424">
        <v>12</v>
      </c>
      <c r="AL393">
        <v>0</v>
      </c>
      <c r="AM393" s="121">
        <v>48639</v>
      </c>
      <c r="AN393" s="125">
        <v>0</v>
      </c>
      <c r="AO393" s="125">
        <v>0</v>
      </c>
      <c r="AP393" s="121">
        <v>590674</v>
      </c>
      <c r="AQ393" s="114">
        <v>0</v>
      </c>
      <c r="AR393" s="121">
        <v>31.573042478000001</v>
      </c>
      <c r="AS393" s="121">
        <v>6204.2019935999997</v>
      </c>
      <c r="AT393" s="121">
        <v>817.09062044999996</v>
      </c>
      <c r="AU393" s="420" t="s">
        <v>2001</v>
      </c>
      <c r="AV393" s="420" t="s">
        <v>2001</v>
      </c>
      <c r="AW393" s="121">
        <v>0</v>
      </c>
      <c r="AX393" s="121">
        <v>64598</v>
      </c>
      <c r="BI393">
        <v>0</v>
      </c>
      <c r="BJ393" s="121">
        <v>0</v>
      </c>
      <c r="BK393" s="134">
        <v>46310974</v>
      </c>
      <c r="BL393" s="934">
        <v>4505</v>
      </c>
      <c r="BM393" s="934">
        <v>4492</v>
      </c>
      <c r="BN393" s="934">
        <v>4492</v>
      </c>
      <c r="BO393" s="114">
        <v>0</v>
      </c>
      <c r="BP393" s="114">
        <v>0</v>
      </c>
    </row>
    <row r="394" spans="1:68">
      <c r="A394" t="s">
        <v>2366</v>
      </c>
      <c r="B394" t="s">
        <v>265</v>
      </c>
      <c r="C394" s="121">
        <v>4573</v>
      </c>
      <c r="D394" s="72">
        <v>1</v>
      </c>
      <c r="E394">
        <v>1403.212</v>
      </c>
      <c r="F394">
        <v>452</v>
      </c>
      <c r="G394">
        <v>240</v>
      </c>
      <c r="H394">
        <v>5</v>
      </c>
      <c r="I394" s="173">
        <v>1.04</v>
      </c>
      <c r="J394" s="121">
        <v>1014007482</v>
      </c>
      <c r="K394" s="125">
        <v>7789.2489999999998</v>
      </c>
      <c r="L394" s="173">
        <v>1.5</v>
      </c>
      <c r="M394">
        <v>1.04</v>
      </c>
      <c r="N394">
        <v>1.000000005</v>
      </c>
      <c r="O394">
        <v>3.9999995000000066</v>
      </c>
      <c r="P394">
        <v>5677.5810000000001</v>
      </c>
      <c r="Q394" s="125">
        <v>0.51200000000000001</v>
      </c>
      <c r="R394" s="125">
        <v>0</v>
      </c>
      <c r="S394" s="125">
        <v>12.222</v>
      </c>
      <c r="T394" s="125">
        <v>215.113</v>
      </c>
      <c r="U394" s="125">
        <v>45.011000000000003</v>
      </c>
      <c r="V394" s="125">
        <v>0</v>
      </c>
      <c r="W394" s="125">
        <v>26.364999999999998</v>
      </c>
      <c r="X394" s="125">
        <v>0</v>
      </c>
      <c r="Y394" s="125">
        <v>0</v>
      </c>
      <c r="Z394" s="125">
        <v>2.7090000000000001</v>
      </c>
      <c r="AA394" s="125">
        <v>124.95099999999999</v>
      </c>
      <c r="AB394" s="125">
        <v>291.42899999999997</v>
      </c>
      <c r="AC394" s="125">
        <v>4687.1000000000004</v>
      </c>
      <c r="AD394" s="125">
        <v>1.093</v>
      </c>
      <c r="AE394" s="125">
        <v>431.22399999999999</v>
      </c>
      <c r="AF394" s="125">
        <v>283.87900000000002</v>
      </c>
      <c r="AG394" s="125">
        <v>0</v>
      </c>
      <c r="AH394" s="125">
        <v>0</v>
      </c>
      <c r="AI394" s="121">
        <v>10619496</v>
      </c>
      <c r="AJ394" s="121">
        <v>0</v>
      </c>
      <c r="AK394" s="424">
        <v>12</v>
      </c>
      <c r="AL394">
        <v>0</v>
      </c>
      <c r="AM394" s="121">
        <v>378301</v>
      </c>
      <c r="AN394" s="125">
        <v>1</v>
      </c>
      <c r="AO394" s="125">
        <v>0</v>
      </c>
      <c r="AP394" s="121">
        <v>10619496</v>
      </c>
      <c r="AQ394" s="114">
        <v>0</v>
      </c>
      <c r="AR394" s="121">
        <v>675.89631798000005</v>
      </c>
      <c r="AS394" s="121">
        <v>132815.74896</v>
      </c>
      <c r="AT394" s="121">
        <v>17491.774580000001</v>
      </c>
      <c r="AU394" s="420" t="s">
        <v>2001</v>
      </c>
      <c r="AV394" s="420" t="s">
        <v>2001</v>
      </c>
      <c r="AW394" s="121">
        <v>0</v>
      </c>
      <c r="AX394" s="121">
        <v>0</v>
      </c>
      <c r="BI394">
        <v>0</v>
      </c>
      <c r="BJ394" s="121">
        <v>0</v>
      </c>
      <c r="BK394" s="134">
        <v>992327876</v>
      </c>
      <c r="BL394" s="934">
        <v>4573</v>
      </c>
      <c r="BM394" s="934">
        <v>4554</v>
      </c>
      <c r="BN394" s="934">
        <v>4554</v>
      </c>
      <c r="BO394" s="114">
        <v>0</v>
      </c>
      <c r="BP394" s="114">
        <v>0</v>
      </c>
    </row>
    <row r="395" spans="1:68">
      <c r="A395" t="s">
        <v>2367</v>
      </c>
      <c r="B395" t="s">
        <v>266</v>
      </c>
      <c r="C395" s="121">
        <v>4935</v>
      </c>
      <c r="D395" s="72">
        <v>2</v>
      </c>
      <c r="E395">
        <v>153.97499999999999</v>
      </c>
      <c r="F395">
        <v>0</v>
      </c>
      <c r="G395">
        <v>0</v>
      </c>
      <c r="H395">
        <v>0</v>
      </c>
      <c r="I395" s="173">
        <v>1.04</v>
      </c>
      <c r="J395" s="121">
        <v>115820079</v>
      </c>
      <c r="K395" s="125">
        <v>981.68299999999999</v>
      </c>
      <c r="L395" s="173">
        <v>1.5</v>
      </c>
      <c r="M395">
        <v>1.04</v>
      </c>
      <c r="N395">
        <v>1.000000005</v>
      </c>
      <c r="O395">
        <v>3.9999995000000066</v>
      </c>
      <c r="P395">
        <v>495</v>
      </c>
      <c r="Q395" s="125">
        <v>0</v>
      </c>
      <c r="R395" s="125">
        <v>0</v>
      </c>
      <c r="S395" s="125">
        <v>0.9</v>
      </c>
      <c r="T395" s="125">
        <v>9</v>
      </c>
      <c r="U395" s="125">
        <v>2</v>
      </c>
      <c r="V395" s="125">
        <v>0</v>
      </c>
      <c r="W395" s="125">
        <v>2</v>
      </c>
      <c r="X395" s="125">
        <v>0</v>
      </c>
      <c r="Y395" s="125">
        <v>0</v>
      </c>
      <c r="Z395" s="125">
        <v>0</v>
      </c>
      <c r="AA395" s="125">
        <v>40</v>
      </c>
      <c r="AB395" s="125">
        <v>31</v>
      </c>
      <c r="AC395" s="125">
        <v>419.8</v>
      </c>
      <c r="AD395" s="125">
        <v>0.1</v>
      </c>
      <c r="AE395" s="125">
        <v>40</v>
      </c>
      <c r="AF395" s="125">
        <v>12</v>
      </c>
      <c r="AG395" s="125">
        <v>0</v>
      </c>
      <c r="AH395" s="125">
        <v>0</v>
      </c>
      <c r="AI395" s="121">
        <v>1130082</v>
      </c>
      <c r="AJ395" s="121">
        <v>0</v>
      </c>
      <c r="AK395" s="424">
        <v>12</v>
      </c>
      <c r="AL395">
        <v>0</v>
      </c>
      <c r="AM395" s="121">
        <v>32528</v>
      </c>
      <c r="AN395" s="125">
        <v>0</v>
      </c>
      <c r="AO395" s="125">
        <v>0</v>
      </c>
      <c r="AP395" s="121">
        <v>1130082</v>
      </c>
      <c r="AQ395" s="114">
        <v>0</v>
      </c>
      <c r="AR395" s="121">
        <v>77.200973365999999</v>
      </c>
      <c r="AS395" s="121">
        <v>15170.233695000001</v>
      </c>
      <c r="AT395" s="121">
        <v>1997.912975</v>
      </c>
      <c r="AU395" s="420" t="s">
        <v>2001</v>
      </c>
      <c r="AV395" s="420" t="s">
        <v>2001</v>
      </c>
      <c r="AW395" s="121">
        <v>0</v>
      </c>
      <c r="AX395" s="121">
        <v>0</v>
      </c>
      <c r="BI395">
        <v>0</v>
      </c>
      <c r="BJ395" s="121">
        <v>0</v>
      </c>
      <c r="BK395" s="134">
        <v>110092931</v>
      </c>
      <c r="BL395" s="934">
        <v>4873</v>
      </c>
      <c r="BM395" s="934">
        <v>4935</v>
      </c>
      <c r="BN395" s="934">
        <v>4915</v>
      </c>
      <c r="BO395" s="114">
        <v>0</v>
      </c>
      <c r="BP395" s="114">
        <v>0</v>
      </c>
    </row>
    <row r="396" spans="1:68">
      <c r="A396" t="s">
        <v>169</v>
      </c>
      <c r="B396" t="s">
        <v>267</v>
      </c>
      <c r="C396" s="121">
        <v>4273</v>
      </c>
      <c r="D396" s="72">
        <v>2</v>
      </c>
      <c r="E396">
        <v>69.186000000000007</v>
      </c>
      <c r="F396">
        <v>26</v>
      </c>
      <c r="G396">
        <v>20</v>
      </c>
      <c r="H396">
        <v>2</v>
      </c>
      <c r="I396" s="173">
        <v>1.04</v>
      </c>
      <c r="J396" s="121">
        <v>40340440</v>
      </c>
      <c r="K396" s="125">
        <v>440.596</v>
      </c>
      <c r="L396" s="173">
        <v>1.4</v>
      </c>
      <c r="M396">
        <v>1.04</v>
      </c>
      <c r="N396">
        <v>0.93333333799999996</v>
      </c>
      <c r="O396">
        <v>10.666666200000009</v>
      </c>
      <c r="P396">
        <v>216</v>
      </c>
      <c r="Q396" s="125">
        <v>2.5999999999999999E-2</v>
      </c>
      <c r="R396" s="125">
        <v>0</v>
      </c>
      <c r="S396" s="125">
        <v>0.1</v>
      </c>
      <c r="T396" s="125">
        <v>0.89</v>
      </c>
      <c r="U396" s="125">
        <v>0</v>
      </c>
      <c r="V396" s="125">
        <v>0</v>
      </c>
      <c r="W396" s="125">
        <v>0</v>
      </c>
      <c r="X396" s="125">
        <v>0</v>
      </c>
      <c r="Y396" s="125">
        <v>0</v>
      </c>
      <c r="Z396" s="125">
        <v>0</v>
      </c>
      <c r="AA396" s="125">
        <v>14.9</v>
      </c>
      <c r="AB396" s="125">
        <v>20.443999999999999</v>
      </c>
      <c r="AC396" s="125">
        <v>161</v>
      </c>
      <c r="AD396" s="125">
        <v>0</v>
      </c>
      <c r="AE396" s="125">
        <v>28</v>
      </c>
      <c r="AF396" s="125">
        <v>10.8</v>
      </c>
      <c r="AG396" s="125">
        <v>0</v>
      </c>
      <c r="AH396" s="125">
        <v>0</v>
      </c>
      <c r="AI396" s="121">
        <v>426158</v>
      </c>
      <c r="AJ396" s="121">
        <v>0</v>
      </c>
      <c r="AK396" s="424">
        <v>12</v>
      </c>
      <c r="AL396">
        <v>0</v>
      </c>
      <c r="AM396" s="121">
        <v>44452</v>
      </c>
      <c r="AN396" s="125">
        <v>0</v>
      </c>
      <c r="AO396" s="125">
        <v>0</v>
      </c>
      <c r="AP396" s="121">
        <v>426158</v>
      </c>
      <c r="AQ396" s="114">
        <v>0</v>
      </c>
      <c r="AR396" s="121">
        <v>26.889303397999999</v>
      </c>
      <c r="AS396" s="121">
        <v>5283.8325562999999</v>
      </c>
      <c r="AT396" s="121">
        <v>695.87837826999998</v>
      </c>
      <c r="AU396" s="420" t="s">
        <v>2001</v>
      </c>
      <c r="AV396" s="420" t="s">
        <v>2001</v>
      </c>
      <c r="AW396" s="121">
        <v>0</v>
      </c>
      <c r="AX396" s="121">
        <v>0</v>
      </c>
      <c r="BI396">
        <v>0</v>
      </c>
      <c r="BJ396" s="121">
        <v>0</v>
      </c>
      <c r="BK396" s="134">
        <v>39025460</v>
      </c>
      <c r="BL396" s="934">
        <v>4273</v>
      </c>
      <c r="BM396" s="934">
        <v>4270</v>
      </c>
      <c r="BN396" s="934">
        <v>4272</v>
      </c>
      <c r="BO396" s="114">
        <v>0</v>
      </c>
      <c r="BP396" s="114">
        <v>0</v>
      </c>
    </row>
    <row r="397" spans="1:68">
      <c r="A397" t="s">
        <v>170</v>
      </c>
      <c r="B397" t="s">
        <v>1193</v>
      </c>
      <c r="C397" s="121">
        <v>4580</v>
      </c>
      <c r="D397" s="72">
        <v>2</v>
      </c>
      <c r="E397">
        <v>247.91300000000001</v>
      </c>
      <c r="F397">
        <v>80</v>
      </c>
      <c r="G397">
        <v>43</v>
      </c>
      <c r="H397">
        <v>3</v>
      </c>
      <c r="I397" s="173">
        <v>1.04</v>
      </c>
      <c r="J397" s="121">
        <v>236722207</v>
      </c>
      <c r="K397" s="125">
        <v>1453.61</v>
      </c>
      <c r="L397" s="173">
        <v>1.43</v>
      </c>
      <c r="M397">
        <v>1.04</v>
      </c>
      <c r="N397">
        <v>0.95333333809999998</v>
      </c>
      <c r="O397">
        <v>8.6666661900000044</v>
      </c>
      <c r="P397">
        <v>850</v>
      </c>
      <c r="Q397" s="125">
        <v>8.9999999999999993E-3</v>
      </c>
      <c r="R397" s="125">
        <v>0</v>
      </c>
      <c r="S397" s="125">
        <v>1.556</v>
      </c>
      <c r="T397" s="125">
        <v>27.164000000000001</v>
      </c>
      <c r="U397" s="125">
        <v>7.19</v>
      </c>
      <c r="V397" s="125">
        <v>0</v>
      </c>
      <c r="W397" s="125">
        <v>2.5670000000000002</v>
      </c>
      <c r="X397" s="125">
        <v>0</v>
      </c>
      <c r="Y397" s="125">
        <v>0</v>
      </c>
      <c r="Z397" s="125">
        <v>0.82</v>
      </c>
      <c r="AA397" s="125">
        <v>16.617000000000001</v>
      </c>
      <c r="AB397" s="125">
        <v>60.305999999999997</v>
      </c>
      <c r="AC397" s="125">
        <v>453.8</v>
      </c>
      <c r="AD397" s="125">
        <v>0.379</v>
      </c>
      <c r="AE397" s="125">
        <v>29.617000000000001</v>
      </c>
      <c r="AF397" s="125">
        <v>41.011000000000003</v>
      </c>
      <c r="AG397" s="125">
        <v>0</v>
      </c>
      <c r="AH397" s="125">
        <v>0</v>
      </c>
      <c r="AI397" s="121">
        <v>2552175</v>
      </c>
      <c r="AJ397" s="121">
        <v>285656</v>
      </c>
      <c r="AK397" s="424">
        <v>12</v>
      </c>
      <c r="AL397">
        <v>0</v>
      </c>
      <c r="AM397" s="121">
        <v>57607</v>
      </c>
      <c r="AN397" s="125">
        <v>0</v>
      </c>
      <c r="AO397" s="125">
        <v>0</v>
      </c>
      <c r="AP397" s="121">
        <v>2837831</v>
      </c>
      <c r="AQ397" s="114">
        <v>0</v>
      </c>
      <c r="AR397" s="121">
        <v>157.78943555000001</v>
      </c>
      <c r="AS397" s="121">
        <v>31006.119581999999</v>
      </c>
      <c r="AT397" s="121">
        <v>4083.492045</v>
      </c>
      <c r="AU397" s="420" t="s">
        <v>2001</v>
      </c>
      <c r="AV397" s="420" t="s">
        <v>2001</v>
      </c>
      <c r="AW397" s="121">
        <v>0</v>
      </c>
      <c r="AX397" s="121">
        <v>434038</v>
      </c>
      <c r="BI397">
        <v>0</v>
      </c>
      <c r="BJ397" s="121">
        <v>0</v>
      </c>
      <c r="BK397" s="134">
        <v>233715655</v>
      </c>
      <c r="BL397" s="934">
        <v>4479</v>
      </c>
      <c r="BM397" s="934">
        <v>4580</v>
      </c>
      <c r="BN397" s="934">
        <v>4546</v>
      </c>
      <c r="BO397" s="114">
        <v>0</v>
      </c>
      <c r="BP397" s="114">
        <v>0</v>
      </c>
    </row>
    <row r="398" spans="1:68">
      <c r="A398" t="s">
        <v>2867</v>
      </c>
      <c r="B398" t="s">
        <v>2724</v>
      </c>
      <c r="C398" s="121">
        <v>4929</v>
      </c>
      <c r="D398" s="72">
        <v>2</v>
      </c>
      <c r="E398">
        <v>232.94499999999999</v>
      </c>
      <c r="F398">
        <v>66</v>
      </c>
      <c r="G398">
        <v>38</v>
      </c>
      <c r="H398">
        <v>2</v>
      </c>
      <c r="I398" s="173">
        <v>1.04</v>
      </c>
      <c r="J398" s="121">
        <v>130667091</v>
      </c>
      <c r="K398" s="125">
        <v>1136.636</v>
      </c>
      <c r="L398" s="173">
        <v>1.41</v>
      </c>
      <c r="M398">
        <v>1.04</v>
      </c>
      <c r="N398">
        <v>0.9400000047</v>
      </c>
      <c r="O398">
        <v>9.9999995300000037</v>
      </c>
      <c r="P398">
        <v>700</v>
      </c>
      <c r="Q398" s="125">
        <v>0</v>
      </c>
      <c r="R398" s="125">
        <v>0</v>
      </c>
      <c r="S398" s="125">
        <v>1.0429999999999999</v>
      </c>
      <c r="T398" s="125">
        <v>25.933</v>
      </c>
      <c r="U398" s="125">
        <v>3.6349999999999998</v>
      </c>
      <c r="V398" s="125">
        <v>0</v>
      </c>
      <c r="W398" s="125">
        <v>0</v>
      </c>
      <c r="X398" s="125">
        <v>0</v>
      </c>
      <c r="Y398" s="125">
        <v>0</v>
      </c>
      <c r="Z398" s="125">
        <v>4.8120000000000003</v>
      </c>
      <c r="AA398" s="125">
        <v>3.1</v>
      </c>
      <c r="AB398" s="125">
        <v>45</v>
      </c>
      <c r="AC398" s="125">
        <v>485</v>
      </c>
      <c r="AD398" s="125">
        <v>0</v>
      </c>
      <c r="AE398" s="125">
        <v>51.216000000000001</v>
      </c>
      <c r="AF398" s="125">
        <v>34.332999999999998</v>
      </c>
      <c r="AG398" s="125">
        <v>0</v>
      </c>
      <c r="AH398" s="125">
        <v>0</v>
      </c>
      <c r="AI398" s="121">
        <v>1431233</v>
      </c>
      <c r="AJ398" s="121">
        <v>146212</v>
      </c>
      <c r="AK398" s="424">
        <v>12</v>
      </c>
      <c r="AL398">
        <v>0</v>
      </c>
      <c r="AM398" s="121">
        <v>63852</v>
      </c>
      <c r="AN398" s="125">
        <v>0</v>
      </c>
      <c r="AO398" s="125">
        <v>0</v>
      </c>
      <c r="AP398" s="121">
        <v>1577445</v>
      </c>
      <c r="AQ398" s="114">
        <v>0</v>
      </c>
      <c r="AR398" s="121">
        <v>87.097390536000006</v>
      </c>
      <c r="AS398" s="121">
        <v>17114.910746000001</v>
      </c>
      <c r="AT398" s="121">
        <v>2254.0260705999999</v>
      </c>
      <c r="AU398" s="420" t="s">
        <v>2001</v>
      </c>
      <c r="AV398" s="420" t="s">
        <v>2001</v>
      </c>
      <c r="AW398" s="121">
        <v>0</v>
      </c>
      <c r="AX398" s="121">
        <v>309457</v>
      </c>
      <c r="BI398">
        <v>0</v>
      </c>
      <c r="BJ398" s="121">
        <v>0</v>
      </c>
      <c r="BK398" s="134">
        <v>130667091</v>
      </c>
      <c r="BL398" s="934">
        <v>4737</v>
      </c>
      <c r="BM398" s="934">
        <v>4929</v>
      </c>
      <c r="BN398" s="934">
        <v>4861</v>
      </c>
      <c r="BO398" s="114">
        <v>0</v>
      </c>
      <c r="BP398" s="114">
        <v>0</v>
      </c>
    </row>
    <row r="399" spans="1:68">
      <c r="A399" t="s">
        <v>2674</v>
      </c>
      <c r="B399" t="s">
        <v>269</v>
      </c>
      <c r="C399" s="121">
        <v>6981</v>
      </c>
      <c r="D399" s="72">
        <v>2</v>
      </c>
      <c r="E399">
        <v>128.29499999999999</v>
      </c>
      <c r="F399">
        <v>42</v>
      </c>
      <c r="G399">
        <v>24</v>
      </c>
      <c r="H399">
        <v>1</v>
      </c>
      <c r="I399" s="173">
        <v>1.04</v>
      </c>
      <c r="J399" s="121">
        <v>435571265</v>
      </c>
      <c r="K399" s="125">
        <v>738.44100000000003</v>
      </c>
      <c r="L399" s="173">
        <v>1.5</v>
      </c>
      <c r="M399">
        <v>1.04</v>
      </c>
      <c r="N399">
        <v>1.000000005</v>
      </c>
      <c r="O399">
        <v>3.9999995000000066</v>
      </c>
      <c r="P399">
        <v>370</v>
      </c>
      <c r="Q399" s="125">
        <v>0</v>
      </c>
      <c r="R399" s="125">
        <v>0</v>
      </c>
      <c r="S399" s="125">
        <v>0.46600000000000003</v>
      </c>
      <c r="T399" s="125">
        <v>7.766</v>
      </c>
      <c r="U399" s="125">
        <v>0.38700000000000001</v>
      </c>
      <c r="V399" s="125">
        <v>0</v>
      </c>
      <c r="W399" s="125">
        <v>0</v>
      </c>
      <c r="X399" s="125">
        <v>0</v>
      </c>
      <c r="Y399" s="125">
        <v>0</v>
      </c>
      <c r="Z399" s="125">
        <v>0</v>
      </c>
      <c r="AA399" s="125">
        <v>6.96</v>
      </c>
      <c r="AB399" s="125">
        <v>33.332999999999998</v>
      </c>
      <c r="AC399" s="125">
        <v>286.2</v>
      </c>
      <c r="AD399" s="125">
        <v>0</v>
      </c>
      <c r="AE399" s="125">
        <v>73.025000000000006</v>
      </c>
      <c r="AF399" s="125">
        <v>18.5</v>
      </c>
      <c r="AG399" s="125">
        <v>0</v>
      </c>
      <c r="AH399" s="125">
        <v>0</v>
      </c>
      <c r="AI399" s="121">
        <v>4899131</v>
      </c>
      <c r="AJ399" s="121">
        <v>0</v>
      </c>
      <c r="AK399" s="424">
        <v>12</v>
      </c>
      <c r="AL399">
        <v>0</v>
      </c>
      <c r="AM399" s="121">
        <v>66354</v>
      </c>
      <c r="AN399" s="125">
        <v>0</v>
      </c>
      <c r="AO399" s="125">
        <v>0</v>
      </c>
      <c r="AP399" s="121">
        <v>4899131</v>
      </c>
      <c r="AQ399" s="114">
        <v>0</v>
      </c>
      <c r="AR399" s="121">
        <v>0</v>
      </c>
      <c r="AS399" s="121">
        <v>0</v>
      </c>
      <c r="AT399" s="121">
        <v>0</v>
      </c>
      <c r="AU399" s="420" t="s">
        <v>798</v>
      </c>
      <c r="AV399" s="420" t="s">
        <v>2001</v>
      </c>
      <c r="AW399" s="121">
        <v>0</v>
      </c>
      <c r="AX399" s="121">
        <v>0</v>
      </c>
      <c r="AY399" s="134">
        <v>495562</v>
      </c>
      <c r="AZ399" s="134">
        <v>2059144</v>
      </c>
      <c r="BA399" s="114">
        <v>843</v>
      </c>
      <c r="BB399" s="134">
        <v>232163856</v>
      </c>
      <c r="BC399" s="114">
        <v>0</v>
      </c>
      <c r="BD399" s="114">
        <v>0</v>
      </c>
      <c r="BE399" s="114">
        <v>0</v>
      </c>
      <c r="BF399" s="114">
        <v>389</v>
      </c>
      <c r="BG399" s="114">
        <v>0</v>
      </c>
      <c r="BH399" s="114">
        <v>0</v>
      </c>
      <c r="BI399">
        <v>0</v>
      </c>
      <c r="BJ399" s="121">
        <v>195</v>
      </c>
      <c r="BK399" s="134">
        <v>435571265</v>
      </c>
      <c r="BL399" s="934">
        <v>4876</v>
      </c>
      <c r="BM399" s="934">
        <v>6981</v>
      </c>
      <c r="BN399" s="934">
        <v>4739</v>
      </c>
      <c r="BO399" s="114">
        <v>0</v>
      </c>
      <c r="BP399" s="114">
        <v>0</v>
      </c>
    </row>
    <row r="400" spans="1:68">
      <c r="A400" t="s">
        <v>1281</v>
      </c>
      <c r="B400" t="s">
        <v>1194</v>
      </c>
      <c r="C400" s="121">
        <v>6723</v>
      </c>
      <c r="D400" s="72">
        <v>3</v>
      </c>
      <c r="E400">
        <v>0</v>
      </c>
      <c r="F400">
        <v>14</v>
      </c>
      <c r="G400">
        <v>9</v>
      </c>
      <c r="H400">
        <v>3</v>
      </c>
      <c r="I400" s="173">
        <v>1.04</v>
      </c>
      <c r="J400" s="121">
        <v>194442553</v>
      </c>
      <c r="K400" s="125">
        <v>185.02699999999999</v>
      </c>
      <c r="L400" s="173">
        <v>1.425</v>
      </c>
      <c r="M400">
        <v>1.04</v>
      </c>
      <c r="N400">
        <v>0.95000000475000002</v>
      </c>
      <c r="O400">
        <v>8.9999995250000016</v>
      </c>
      <c r="P400">
        <v>84.626000000000005</v>
      </c>
      <c r="Q400" s="125">
        <v>0</v>
      </c>
      <c r="R400" s="125">
        <v>0</v>
      </c>
      <c r="S400" s="125">
        <v>7.6999999999999999E-2</v>
      </c>
      <c r="T400" s="125">
        <v>3.855</v>
      </c>
      <c r="U400" s="125">
        <v>0.36399999999999999</v>
      </c>
      <c r="V400" s="125">
        <v>0</v>
      </c>
      <c r="W400" s="125">
        <v>0</v>
      </c>
      <c r="X400" s="125">
        <v>0</v>
      </c>
      <c r="Y400" s="125">
        <v>0</v>
      </c>
      <c r="Z400" s="125">
        <v>0</v>
      </c>
      <c r="AA400" s="125">
        <v>1.054</v>
      </c>
      <c r="AB400" s="125">
        <v>0</v>
      </c>
      <c r="AC400" s="125">
        <v>72.8</v>
      </c>
      <c r="AD400" s="125">
        <v>0</v>
      </c>
      <c r="AE400" s="125">
        <v>19.148</v>
      </c>
      <c r="AF400" s="125">
        <v>4.2309999999999999</v>
      </c>
      <c r="AG400" s="125">
        <v>0</v>
      </c>
      <c r="AH400" s="125">
        <v>0</v>
      </c>
      <c r="AI400" s="121">
        <v>1916186</v>
      </c>
      <c r="AJ400" s="121">
        <v>0</v>
      </c>
      <c r="AK400" s="424">
        <v>8</v>
      </c>
      <c r="AL400">
        <v>0</v>
      </c>
      <c r="AM400" s="121">
        <v>96065</v>
      </c>
      <c r="AN400" s="125">
        <v>0</v>
      </c>
      <c r="AO400" s="125">
        <v>0</v>
      </c>
      <c r="AP400" s="121">
        <v>1916186</v>
      </c>
      <c r="AQ400" s="114">
        <v>0</v>
      </c>
      <c r="AR400" s="121">
        <v>0</v>
      </c>
      <c r="AS400" s="121">
        <v>0</v>
      </c>
      <c r="AT400" s="121">
        <v>0</v>
      </c>
      <c r="AU400" s="420" t="s">
        <v>798</v>
      </c>
      <c r="AV400" s="420" t="s">
        <v>2001</v>
      </c>
      <c r="AW400" s="121">
        <v>0</v>
      </c>
      <c r="AX400" s="121">
        <v>0</v>
      </c>
      <c r="AY400" s="134">
        <v>335359</v>
      </c>
      <c r="AZ400" s="134">
        <v>412336</v>
      </c>
      <c r="BA400" s="114">
        <v>147</v>
      </c>
      <c r="BB400" s="134">
        <v>98099866</v>
      </c>
      <c r="BC400" s="114">
        <v>0</v>
      </c>
      <c r="BD400" s="114">
        <v>0</v>
      </c>
      <c r="BE400" s="114">
        <v>0</v>
      </c>
      <c r="BF400" s="114">
        <v>109</v>
      </c>
      <c r="BG400" s="114">
        <v>0</v>
      </c>
      <c r="BH400" s="114">
        <v>0</v>
      </c>
      <c r="BI400">
        <v>0</v>
      </c>
      <c r="BJ400" s="121">
        <v>0</v>
      </c>
      <c r="BK400" s="134">
        <v>179055996</v>
      </c>
      <c r="BL400" s="934">
        <v>6546</v>
      </c>
      <c r="BM400" s="934">
        <v>6602</v>
      </c>
      <c r="BN400" s="934">
        <v>6723</v>
      </c>
      <c r="BO400" s="114">
        <v>0</v>
      </c>
      <c r="BP400" s="114">
        <v>0</v>
      </c>
    </row>
    <row r="401" spans="1:68">
      <c r="A401" t="s">
        <v>1282</v>
      </c>
      <c r="B401" t="s">
        <v>2991</v>
      </c>
      <c r="C401" s="121">
        <v>5541</v>
      </c>
      <c r="D401" s="72">
        <v>2</v>
      </c>
      <c r="E401">
        <v>215.27799999999999</v>
      </c>
      <c r="F401">
        <v>74</v>
      </c>
      <c r="G401">
        <v>44</v>
      </c>
      <c r="H401">
        <v>4</v>
      </c>
      <c r="I401" s="173">
        <v>1.04</v>
      </c>
      <c r="J401" s="121">
        <v>404849858</v>
      </c>
      <c r="K401" s="125">
        <v>1245.675</v>
      </c>
      <c r="L401" s="173">
        <v>1.5</v>
      </c>
      <c r="M401">
        <v>1.04</v>
      </c>
      <c r="N401">
        <v>1.000000005</v>
      </c>
      <c r="O401">
        <v>3.9999995000000066</v>
      </c>
      <c r="P401">
        <v>685.11900000000003</v>
      </c>
      <c r="Q401" s="125">
        <v>0</v>
      </c>
      <c r="R401" s="125">
        <v>0</v>
      </c>
      <c r="S401" s="125">
        <v>0.47899999999999998</v>
      </c>
      <c r="T401" s="125">
        <v>11.651999999999999</v>
      </c>
      <c r="U401" s="125">
        <v>3.125</v>
      </c>
      <c r="V401" s="125">
        <v>0</v>
      </c>
      <c r="W401" s="125">
        <v>1.204</v>
      </c>
      <c r="X401" s="125">
        <v>0</v>
      </c>
      <c r="Y401" s="125">
        <v>0</v>
      </c>
      <c r="Z401" s="125">
        <v>0</v>
      </c>
      <c r="AA401" s="125">
        <v>27.065999999999999</v>
      </c>
      <c r="AB401" s="125">
        <v>39.771999999999998</v>
      </c>
      <c r="AC401" s="125">
        <v>450.5</v>
      </c>
      <c r="AD401" s="125">
        <v>0</v>
      </c>
      <c r="AE401" s="125">
        <v>163.83099999999999</v>
      </c>
      <c r="AF401" s="125">
        <v>34.255949999999999</v>
      </c>
      <c r="AG401" s="125">
        <v>0</v>
      </c>
      <c r="AH401" s="125">
        <v>0</v>
      </c>
      <c r="AI401" s="121">
        <v>3947594</v>
      </c>
      <c r="AJ401" s="121">
        <v>781296</v>
      </c>
      <c r="AK401" s="424">
        <v>12</v>
      </c>
      <c r="AL401">
        <v>0</v>
      </c>
      <c r="AM401" s="121">
        <v>52265</v>
      </c>
      <c r="AN401" s="125">
        <v>0</v>
      </c>
      <c r="AO401" s="125">
        <v>0</v>
      </c>
      <c r="AP401" s="121">
        <v>4728890</v>
      </c>
      <c r="AQ401" s="114">
        <v>0</v>
      </c>
      <c r="AR401" s="121">
        <v>269.85651772</v>
      </c>
      <c r="AS401" s="121">
        <v>53027.653144999997</v>
      </c>
      <c r="AT401" s="121">
        <v>6983.7181404000003</v>
      </c>
      <c r="AU401" s="420" t="s">
        <v>798</v>
      </c>
      <c r="AV401" s="420" t="s">
        <v>2001</v>
      </c>
      <c r="AW401" s="121">
        <v>0</v>
      </c>
      <c r="AX401" s="121">
        <v>802825</v>
      </c>
      <c r="AY401" s="134">
        <v>534136</v>
      </c>
      <c r="AZ401" s="134">
        <v>2792885</v>
      </c>
      <c r="BA401" s="134">
        <v>1166</v>
      </c>
      <c r="BB401" s="134">
        <v>259968190</v>
      </c>
      <c r="BC401" s="114">
        <v>0</v>
      </c>
      <c r="BD401" s="114">
        <v>0</v>
      </c>
      <c r="BE401" s="114">
        <v>0</v>
      </c>
      <c r="BF401" s="114">
        <v>785</v>
      </c>
      <c r="BG401" s="114">
        <v>0</v>
      </c>
      <c r="BH401" s="114">
        <v>0</v>
      </c>
      <c r="BI401">
        <v>0</v>
      </c>
      <c r="BJ401" s="121">
        <v>0</v>
      </c>
      <c r="BK401" s="134">
        <v>365152792</v>
      </c>
      <c r="BL401" s="934">
        <v>4588</v>
      </c>
      <c r="BM401" s="934">
        <v>5541</v>
      </c>
      <c r="BN401" s="934">
        <v>4644</v>
      </c>
      <c r="BO401" s="114">
        <v>0</v>
      </c>
      <c r="BP401" s="114">
        <v>0</v>
      </c>
    </row>
    <row r="402" spans="1:68">
      <c r="A402" t="s">
        <v>2416</v>
      </c>
      <c r="B402" t="s">
        <v>518</v>
      </c>
      <c r="C402" s="121">
        <v>5280</v>
      </c>
      <c r="D402" s="72">
        <v>2</v>
      </c>
      <c r="E402">
        <v>53.942</v>
      </c>
      <c r="F402">
        <v>24</v>
      </c>
      <c r="G402">
        <v>18</v>
      </c>
      <c r="H402">
        <v>0</v>
      </c>
      <c r="I402" s="173">
        <v>1.04</v>
      </c>
      <c r="J402" s="121">
        <v>109612526</v>
      </c>
      <c r="K402" s="125">
        <v>324.108</v>
      </c>
      <c r="L402" s="173">
        <v>1.45</v>
      </c>
      <c r="M402">
        <v>1.04</v>
      </c>
      <c r="N402">
        <v>0.96666667149999996</v>
      </c>
      <c r="O402">
        <v>7.3333328500000068</v>
      </c>
      <c r="P402">
        <v>176</v>
      </c>
      <c r="Q402" s="125">
        <v>0</v>
      </c>
      <c r="R402" s="125">
        <v>0</v>
      </c>
      <c r="S402" s="125">
        <v>0.16200000000000001</v>
      </c>
      <c r="T402" s="125">
        <v>5.3520000000000003</v>
      </c>
      <c r="U402" s="125">
        <v>0.82799999999999996</v>
      </c>
      <c r="V402" s="125">
        <v>0</v>
      </c>
      <c r="W402" s="125">
        <v>0</v>
      </c>
      <c r="X402" s="125">
        <v>0</v>
      </c>
      <c r="Y402" s="125">
        <v>0</v>
      </c>
      <c r="Z402" s="125">
        <v>0</v>
      </c>
      <c r="AA402" s="125">
        <v>4.78</v>
      </c>
      <c r="AB402" s="125">
        <v>13.387</v>
      </c>
      <c r="AC402" s="125">
        <v>170.8</v>
      </c>
      <c r="AD402" s="125">
        <v>5.2999999999999999E-2</v>
      </c>
      <c r="AE402" s="125">
        <v>5.6829999999999998</v>
      </c>
      <c r="AF402" s="125">
        <v>8.8000000000000007</v>
      </c>
      <c r="AG402" s="125">
        <v>0</v>
      </c>
      <c r="AH402" s="125">
        <v>0</v>
      </c>
      <c r="AI402" s="121">
        <v>1123303</v>
      </c>
      <c r="AJ402" s="121">
        <v>0</v>
      </c>
      <c r="AK402" s="424">
        <v>12</v>
      </c>
      <c r="AL402">
        <v>0</v>
      </c>
      <c r="AM402" s="121">
        <v>29715</v>
      </c>
      <c r="AN402" s="125">
        <v>0</v>
      </c>
      <c r="AO402" s="125">
        <v>0</v>
      </c>
      <c r="AP402" s="121">
        <v>1123303</v>
      </c>
      <c r="AQ402" s="114">
        <v>0</v>
      </c>
      <c r="AR402" s="121">
        <v>73.063270510999999</v>
      </c>
      <c r="AS402" s="121">
        <v>14357.162091</v>
      </c>
      <c r="AT402" s="121">
        <v>1890.8318093</v>
      </c>
      <c r="AU402" s="420" t="s">
        <v>798</v>
      </c>
      <c r="AV402" s="420" t="s">
        <v>2001</v>
      </c>
      <c r="AW402" s="121">
        <v>0</v>
      </c>
      <c r="AX402" s="121">
        <v>0</v>
      </c>
      <c r="AY402" s="134">
        <v>210319</v>
      </c>
      <c r="AZ402" s="134">
        <v>982685</v>
      </c>
      <c r="BA402" s="114">
        <v>447</v>
      </c>
      <c r="BB402" s="134">
        <v>97979770</v>
      </c>
      <c r="BC402" s="114">
        <v>0</v>
      </c>
      <c r="BD402" s="114">
        <v>0</v>
      </c>
      <c r="BE402" s="114">
        <v>0</v>
      </c>
      <c r="BF402" s="114">
        <v>186</v>
      </c>
      <c r="BG402" s="114">
        <v>0</v>
      </c>
      <c r="BH402" s="114">
        <v>0</v>
      </c>
      <c r="BI402">
        <v>0</v>
      </c>
      <c r="BJ402" s="121">
        <v>0</v>
      </c>
      <c r="BK402" s="134">
        <v>104965880</v>
      </c>
      <c r="BL402" s="934">
        <v>4720</v>
      </c>
      <c r="BM402" s="934">
        <v>5280</v>
      </c>
      <c r="BN402" s="934">
        <v>4931</v>
      </c>
      <c r="BO402" s="114">
        <v>0</v>
      </c>
      <c r="BP402" s="114">
        <v>0</v>
      </c>
    </row>
    <row r="403" spans="1:68">
      <c r="A403" t="s">
        <v>2417</v>
      </c>
      <c r="B403" t="s">
        <v>519</v>
      </c>
      <c r="C403" s="121">
        <v>4777</v>
      </c>
      <c r="D403" s="72">
        <v>1</v>
      </c>
      <c r="E403">
        <v>144.102</v>
      </c>
      <c r="F403">
        <v>57</v>
      </c>
      <c r="G403">
        <v>55</v>
      </c>
      <c r="H403">
        <v>5</v>
      </c>
      <c r="I403" s="173">
        <v>1.04</v>
      </c>
      <c r="J403" s="121">
        <v>227386222</v>
      </c>
      <c r="K403" s="125">
        <v>1066.4880000000001</v>
      </c>
      <c r="L403" s="173">
        <v>1.44</v>
      </c>
      <c r="M403">
        <v>1.04</v>
      </c>
      <c r="N403">
        <v>0.96000000480000003</v>
      </c>
      <c r="O403">
        <v>7.9999995200000011</v>
      </c>
      <c r="P403">
        <v>553.39099999999996</v>
      </c>
      <c r="Q403" s="125">
        <v>0.36</v>
      </c>
      <c r="R403" s="125">
        <v>0</v>
      </c>
      <c r="S403" s="125">
        <v>1</v>
      </c>
      <c r="T403" s="125">
        <v>26</v>
      </c>
      <c r="U403" s="125">
        <v>2</v>
      </c>
      <c r="V403" s="125">
        <v>0</v>
      </c>
      <c r="W403" s="125">
        <v>7.0590000000000002</v>
      </c>
      <c r="X403" s="125">
        <v>0</v>
      </c>
      <c r="Y403" s="125">
        <v>0</v>
      </c>
      <c r="Z403" s="125">
        <v>0.86</v>
      </c>
      <c r="AA403" s="125">
        <v>0.84</v>
      </c>
      <c r="AB403" s="125">
        <v>50.933</v>
      </c>
      <c r="AC403" s="125">
        <v>365</v>
      </c>
      <c r="AD403" s="125">
        <v>1.3</v>
      </c>
      <c r="AE403" s="125">
        <v>9.8870000000000005</v>
      </c>
      <c r="AF403" s="125">
        <v>27.669550000000001</v>
      </c>
      <c r="AG403" s="125">
        <v>0</v>
      </c>
      <c r="AH403" s="125">
        <v>0</v>
      </c>
      <c r="AI403" s="121">
        <v>2167086</v>
      </c>
      <c r="AJ403" s="121">
        <v>0</v>
      </c>
      <c r="AK403" s="424">
        <v>12</v>
      </c>
      <c r="AL403">
        <v>0</v>
      </c>
      <c r="AM403" s="121">
        <v>28105</v>
      </c>
      <c r="AN403" s="125">
        <v>0</v>
      </c>
      <c r="AO403" s="125">
        <v>0</v>
      </c>
      <c r="AP403" s="121">
        <v>2167086</v>
      </c>
      <c r="AQ403" s="114">
        <v>0</v>
      </c>
      <c r="AR403" s="121">
        <v>151.56644596000001</v>
      </c>
      <c r="AS403" s="121">
        <v>29783.282584</v>
      </c>
      <c r="AT403" s="121">
        <v>3922.4449608</v>
      </c>
      <c r="AU403" s="420" t="s">
        <v>2001</v>
      </c>
      <c r="AV403" s="420" t="s">
        <v>2001</v>
      </c>
      <c r="AW403" s="121">
        <v>0</v>
      </c>
      <c r="AX403" s="121">
        <v>0</v>
      </c>
      <c r="BI403">
        <v>0</v>
      </c>
      <c r="BJ403" s="121">
        <v>0</v>
      </c>
      <c r="BK403" s="134">
        <v>204588800</v>
      </c>
      <c r="BL403" s="934">
        <v>4777</v>
      </c>
      <c r="BM403" s="934">
        <v>4376</v>
      </c>
      <c r="BN403" s="934">
        <v>4498</v>
      </c>
      <c r="BO403" s="114">
        <v>0</v>
      </c>
      <c r="BP403" s="114">
        <v>0</v>
      </c>
    </row>
    <row r="404" spans="1:68">
      <c r="A404" t="s">
        <v>1158</v>
      </c>
      <c r="B404" t="s">
        <v>520</v>
      </c>
      <c r="C404" s="121">
        <v>4484</v>
      </c>
      <c r="D404" s="72">
        <v>2</v>
      </c>
      <c r="E404">
        <v>375.709</v>
      </c>
      <c r="F404">
        <v>110</v>
      </c>
      <c r="G404">
        <v>80</v>
      </c>
      <c r="H404">
        <v>12</v>
      </c>
      <c r="I404" s="173">
        <v>1.04</v>
      </c>
      <c r="J404" s="121">
        <v>249579983</v>
      </c>
      <c r="K404" s="125">
        <v>1885.924</v>
      </c>
      <c r="L404" s="173">
        <v>1.4650000000000001</v>
      </c>
      <c r="M404">
        <v>1.04</v>
      </c>
      <c r="N404">
        <v>0.97666667155000009</v>
      </c>
      <c r="O404">
        <v>6.3333328449999948</v>
      </c>
      <c r="P404">
        <v>1321.6780000000001</v>
      </c>
      <c r="Q404" s="125">
        <v>0.41799999999999998</v>
      </c>
      <c r="R404" s="125">
        <v>0</v>
      </c>
      <c r="S404" s="125">
        <v>2.0750000000000002</v>
      </c>
      <c r="T404" s="125">
        <v>54.645000000000003</v>
      </c>
      <c r="U404" s="125">
        <v>6.9749999999999996</v>
      </c>
      <c r="V404" s="125">
        <v>1.4910000000000001</v>
      </c>
      <c r="W404" s="125">
        <v>0</v>
      </c>
      <c r="X404" s="125">
        <v>0</v>
      </c>
      <c r="Y404" s="125">
        <v>0</v>
      </c>
      <c r="Z404" s="125">
        <v>0</v>
      </c>
      <c r="AA404" s="125">
        <v>7.899</v>
      </c>
      <c r="AB404" s="125">
        <v>98.744</v>
      </c>
      <c r="AC404" s="125">
        <v>705.3</v>
      </c>
      <c r="AD404" s="125">
        <v>0.27300000000000002</v>
      </c>
      <c r="AE404" s="125">
        <v>9.4920000000000009</v>
      </c>
      <c r="AF404" s="125">
        <v>66.0839</v>
      </c>
      <c r="AG404" s="125">
        <v>0</v>
      </c>
      <c r="AH404" s="125">
        <v>0</v>
      </c>
      <c r="AI404" s="121">
        <v>2589143</v>
      </c>
      <c r="AJ404" s="121">
        <v>776915</v>
      </c>
      <c r="AK404" s="424">
        <v>12</v>
      </c>
      <c r="AL404">
        <v>0</v>
      </c>
      <c r="AM404" s="121">
        <v>174320</v>
      </c>
      <c r="AN404" s="125">
        <v>0</v>
      </c>
      <c r="AO404" s="125">
        <v>0</v>
      </c>
      <c r="AP404" s="121">
        <v>3366058</v>
      </c>
      <c r="AQ404" s="114">
        <v>0</v>
      </c>
      <c r="AR404" s="121">
        <v>166.35990809</v>
      </c>
      <c r="AS404" s="121">
        <v>32690.244349000001</v>
      </c>
      <c r="AT404" s="121">
        <v>4305.2905215999999</v>
      </c>
      <c r="AU404" s="420" t="s">
        <v>2001</v>
      </c>
      <c r="AV404" s="420" t="s">
        <v>2001</v>
      </c>
      <c r="AW404" s="121">
        <v>0</v>
      </c>
      <c r="AX404" s="121">
        <v>800369</v>
      </c>
      <c r="BI404">
        <v>0</v>
      </c>
      <c r="BJ404" s="121">
        <v>0</v>
      </c>
      <c r="BK404" s="134">
        <v>249579983</v>
      </c>
      <c r="BL404" s="934">
        <v>4375</v>
      </c>
      <c r="BM404" s="934">
        <v>4484</v>
      </c>
      <c r="BN404" s="934">
        <v>4453</v>
      </c>
      <c r="BO404" s="114">
        <v>0</v>
      </c>
      <c r="BP404" s="114">
        <v>0</v>
      </c>
    </row>
    <row r="405" spans="1:68">
      <c r="A405" t="s">
        <v>1312</v>
      </c>
      <c r="B405" t="s">
        <v>1684</v>
      </c>
      <c r="C405" s="121">
        <v>4733</v>
      </c>
      <c r="D405" s="72">
        <v>1</v>
      </c>
      <c r="E405">
        <v>803.95500000000004</v>
      </c>
      <c r="F405">
        <v>233</v>
      </c>
      <c r="G405">
        <v>228</v>
      </c>
      <c r="H405">
        <v>4</v>
      </c>
      <c r="I405" s="173">
        <v>1.17</v>
      </c>
      <c r="J405" s="121">
        <v>574670636</v>
      </c>
      <c r="K405" s="125">
        <v>3730.2739999999999</v>
      </c>
      <c r="L405" s="173">
        <v>1.5</v>
      </c>
      <c r="M405">
        <v>1.17</v>
      </c>
      <c r="N405">
        <v>1.000000005</v>
      </c>
      <c r="O405">
        <v>16.999999499999994</v>
      </c>
      <c r="P405">
        <v>2614.8510000000001</v>
      </c>
      <c r="Q405" s="125">
        <v>1.196</v>
      </c>
      <c r="R405" s="125">
        <v>0</v>
      </c>
      <c r="S405" s="125">
        <v>4.181</v>
      </c>
      <c r="T405" s="125">
        <v>63.712000000000003</v>
      </c>
      <c r="U405" s="125">
        <v>46.826999999999998</v>
      </c>
      <c r="V405" s="125">
        <v>0</v>
      </c>
      <c r="W405" s="125">
        <v>11.029</v>
      </c>
      <c r="X405" s="125">
        <v>0</v>
      </c>
      <c r="Y405" s="125">
        <v>0</v>
      </c>
      <c r="Z405" s="125">
        <v>0</v>
      </c>
      <c r="AA405" s="125">
        <v>100.839</v>
      </c>
      <c r="AB405" s="125">
        <v>191.52699999999999</v>
      </c>
      <c r="AC405" s="125">
        <v>1577.7</v>
      </c>
      <c r="AD405" s="125">
        <v>1.073</v>
      </c>
      <c r="AE405" s="125">
        <v>26.864999999999998</v>
      </c>
      <c r="AF405" s="125">
        <v>130.74254999999999</v>
      </c>
      <c r="AG405" s="125">
        <v>0</v>
      </c>
      <c r="AH405" s="125">
        <v>0</v>
      </c>
      <c r="AI405" s="121">
        <v>7059829</v>
      </c>
      <c r="AJ405" s="121">
        <v>927570</v>
      </c>
      <c r="AK405" s="424">
        <v>12</v>
      </c>
      <c r="AL405">
        <v>0</v>
      </c>
      <c r="AM405" s="121">
        <v>280778</v>
      </c>
      <c r="AN405" s="125">
        <v>0</v>
      </c>
      <c r="AO405" s="125">
        <v>0</v>
      </c>
      <c r="AP405" s="121">
        <v>7987399</v>
      </c>
      <c r="AQ405" s="114">
        <v>0</v>
      </c>
      <c r="AR405" s="121">
        <v>383.05217044</v>
      </c>
      <c r="AS405" s="121">
        <v>75270.954364999998</v>
      </c>
      <c r="AT405" s="121">
        <v>9913.1509365999991</v>
      </c>
      <c r="AU405" s="420" t="s">
        <v>2001</v>
      </c>
      <c r="AV405" s="420" t="s">
        <v>2001</v>
      </c>
      <c r="AW405" s="121">
        <v>0</v>
      </c>
      <c r="AX405" s="121">
        <v>1631628</v>
      </c>
      <c r="BI405">
        <v>0</v>
      </c>
      <c r="BJ405" s="121">
        <v>0</v>
      </c>
      <c r="BK405" s="134">
        <v>574670636</v>
      </c>
      <c r="BL405" s="934">
        <v>4733</v>
      </c>
      <c r="BM405" s="934">
        <v>4550</v>
      </c>
      <c r="BN405" s="934">
        <v>4550</v>
      </c>
      <c r="BO405" s="114">
        <v>0</v>
      </c>
      <c r="BP405" s="114">
        <v>0</v>
      </c>
    </row>
    <row r="406" spans="1:68">
      <c r="A406" t="s">
        <v>416</v>
      </c>
      <c r="B406" t="s">
        <v>521</v>
      </c>
      <c r="C406" s="121">
        <v>5375</v>
      </c>
      <c r="D406" s="72">
        <v>2</v>
      </c>
      <c r="E406">
        <v>619.24199999999996</v>
      </c>
      <c r="F406">
        <v>165</v>
      </c>
      <c r="G406">
        <v>109</v>
      </c>
      <c r="H406">
        <v>18</v>
      </c>
      <c r="I406" s="173">
        <v>1.04</v>
      </c>
      <c r="J406" s="121">
        <v>864729718</v>
      </c>
      <c r="K406" s="125">
        <v>2465.4859999999999</v>
      </c>
      <c r="L406" s="173">
        <v>1.5</v>
      </c>
      <c r="M406">
        <v>1.04</v>
      </c>
      <c r="N406">
        <v>1.000000005</v>
      </c>
      <c r="O406">
        <v>3.9999995000000066</v>
      </c>
      <c r="P406">
        <v>1935.126</v>
      </c>
      <c r="Q406" s="125">
        <v>0.53</v>
      </c>
      <c r="R406" s="125">
        <v>0</v>
      </c>
      <c r="S406" s="125">
        <v>4.1900000000000004</v>
      </c>
      <c r="T406" s="125">
        <v>74.956000000000003</v>
      </c>
      <c r="U406" s="125">
        <v>12.56</v>
      </c>
      <c r="V406" s="125">
        <v>0</v>
      </c>
      <c r="W406" s="125">
        <v>4.6950000000000003</v>
      </c>
      <c r="X406" s="125">
        <v>0</v>
      </c>
      <c r="Y406" s="125">
        <v>0</v>
      </c>
      <c r="Z406" s="125">
        <v>0</v>
      </c>
      <c r="AA406" s="125">
        <v>19.838000000000001</v>
      </c>
      <c r="AB406" s="125">
        <v>109.649</v>
      </c>
      <c r="AC406" s="125">
        <v>853.4</v>
      </c>
      <c r="AD406" s="125">
        <v>5.5E-2</v>
      </c>
      <c r="AE406" s="125">
        <v>35.270000000000003</v>
      </c>
      <c r="AF406" s="125">
        <v>96.756</v>
      </c>
      <c r="AG406" s="125">
        <v>0</v>
      </c>
      <c r="AH406" s="125">
        <v>0</v>
      </c>
      <c r="AI406" s="121">
        <v>9159563</v>
      </c>
      <c r="AJ406" s="121">
        <v>442215</v>
      </c>
      <c r="AK406" s="424">
        <v>12</v>
      </c>
      <c r="AL406">
        <v>0</v>
      </c>
      <c r="AM406" s="121">
        <v>306672</v>
      </c>
      <c r="AN406" s="125">
        <v>0</v>
      </c>
      <c r="AO406" s="125">
        <v>0</v>
      </c>
      <c r="AP406" s="121">
        <v>9601778</v>
      </c>
      <c r="AQ406" s="114">
        <v>0</v>
      </c>
      <c r="AR406" s="121">
        <v>576.39380643000004</v>
      </c>
      <c r="AS406" s="121">
        <v>113263.19297</v>
      </c>
      <c r="AT406" s="121">
        <v>14916.711724999999</v>
      </c>
      <c r="AU406" s="420" t="s">
        <v>798</v>
      </c>
      <c r="AV406" s="420" t="s">
        <v>2001</v>
      </c>
      <c r="AW406" s="121">
        <v>0</v>
      </c>
      <c r="AX406" s="121">
        <v>945968</v>
      </c>
      <c r="AY406" s="134">
        <v>923877</v>
      </c>
      <c r="AZ406" s="134">
        <v>5953970</v>
      </c>
      <c r="BA406" s="134">
        <v>2430</v>
      </c>
      <c r="BB406" s="134">
        <v>279820206</v>
      </c>
      <c r="BC406" s="114">
        <v>0</v>
      </c>
      <c r="BD406" s="114">
        <v>0</v>
      </c>
      <c r="BE406" s="114">
        <v>0</v>
      </c>
      <c r="BF406" s="134">
        <v>2042</v>
      </c>
      <c r="BG406" s="114">
        <v>0</v>
      </c>
      <c r="BH406" s="114">
        <v>0</v>
      </c>
      <c r="BI406">
        <v>0</v>
      </c>
      <c r="BJ406" s="121">
        <v>0</v>
      </c>
      <c r="BK406" s="134">
        <v>864729718</v>
      </c>
      <c r="BL406" s="934">
        <v>4556</v>
      </c>
      <c r="BM406" s="934">
        <v>5375</v>
      </c>
      <c r="BN406" s="934">
        <v>4785</v>
      </c>
      <c r="BO406" s="114">
        <v>0</v>
      </c>
      <c r="BP406" s="114">
        <v>0</v>
      </c>
    </row>
    <row r="407" spans="1:68">
      <c r="A407" t="s">
        <v>2608</v>
      </c>
      <c r="B407" t="s">
        <v>949</v>
      </c>
      <c r="C407" s="121">
        <v>4781</v>
      </c>
      <c r="D407" s="72">
        <v>3</v>
      </c>
      <c r="E407">
        <v>990.77700000000004</v>
      </c>
      <c r="F407">
        <v>283</v>
      </c>
      <c r="G407">
        <v>215</v>
      </c>
      <c r="H407">
        <v>50</v>
      </c>
      <c r="I407" s="173">
        <v>1.04</v>
      </c>
      <c r="J407" s="121">
        <v>684698706</v>
      </c>
      <c r="K407" s="125">
        <v>4627.7539999999999</v>
      </c>
      <c r="L407" s="173">
        <v>1.43</v>
      </c>
      <c r="M407">
        <v>1.04</v>
      </c>
      <c r="N407">
        <v>0.95333333809999998</v>
      </c>
      <c r="O407">
        <v>8.6666661900000044</v>
      </c>
      <c r="P407">
        <v>3624</v>
      </c>
      <c r="Q407" s="125">
        <v>1.252</v>
      </c>
      <c r="R407" s="125">
        <v>0</v>
      </c>
      <c r="S407" s="125">
        <v>5.3070000000000004</v>
      </c>
      <c r="T407" s="125">
        <v>112.209</v>
      </c>
      <c r="U407" s="125">
        <v>27.170999999999999</v>
      </c>
      <c r="V407" s="125">
        <v>1.506</v>
      </c>
      <c r="W407" s="125">
        <v>0.57999999999999996</v>
      </c>
      <c r="X407" s="125">
        <v>0</v>
      </c>
      <c r="Y407" s="125">
        <v>0</v>
      </c>
      <c r="Z407" s="125">
        <v>0</v>
      </c>
      <c r="AA407" s="125">
        <v>4.641</v>
      </c>
      <c r="AB407" s="125">
        <v>264</v>
      </c>
      <c r="AC407" s="125">
        <v>1194.5</v>
      </c>
      <c r="AD407" s="125">
        <v>0.61</v>
      </c>
      <c r="AE407" s="125">
        <v>12.757999999999999</v>
      </c>
      <c r="AF407" s="125">
        <v>175.66300000000001</v>
      </c>
      <c r="AG407" s="125">
        <v>0</v>
      </c>
      <c r="AH407" s="125">
        <v>0</v>
      </c>
      <c r="AI407" s="121">
        <v>7252603</v>
      </c>
      <c r="AJ407" s="121">
        <v>680850</v>
      </c>
      <c r="AK407" s="424">
        <v>12</v>
      </c>
      <c r="AL407">
        <v>0</v>
      </c>
      <c r="AM407" s="121">
        <v>326266</v>
      </c>
      <c r="AN407" s="125">
        <v>0</v>
      </c>
      <c r="AO407" s="125">
        <v>0</v>
      </c>
      <c r="AP407" s="121">
        <v>7933453</v>
      </c>
      <c r="AQ407" s="114">
        <v>0</v>
      </c>
      <c r="AR407" s="121">
        <v>456.39242551000001</v>
      </c>
      <c r="AS407" s="121">
        <v>89682.544790999993</v>
      </c>
      <c r="AT407" s="121">
        <v>11811.150933000001</v>
      </c>
      <c r="AU407" s="420" t="s">
        <v>2001</v>
      </c>
      <c r="AV407" s="420" t="s">
        <v>2001</v>
      </c>
      <c r="AW407" s="121">
        <v>0</v>
      </c>
      <c r="AX407" s="121">
        <v>1559379</v>
      </c>
      <c r="BI407">
        <v>0</v>
      </c>
      <c r="BJ407" s="121">
        <v>0</v>
      </c>
      <c r="BK407" s="134">
        <v>684698706</v>
      </c>
      <c r="BL407" s="934">
        <v>4642</v>
      </c>
      <c r="BM407" s="934">
        <v>4683</v>
      </c>
      <c r="BN407" s="934">
        <v>4781</v>
      </c>
      <c r="BO407" s="114">
        <v>0</v>
      </c>
      <c r="BP407" s="114">
        <v>0</v>
      </c>
    </row>
    <row r="408" spans="1:68">
      <c r="A408" t="s">
        <v>1346</v>
      </c>
      <c r="B408" t="s">
        <v>328</v>
      </c>
      <c r="C408" s="121">
        <v>4667</v>
      </c>
      <c r="D408" s="72">
        <v>1</v>
      </c>
      <c r="E408">
        <v>153.66300000000001</v>
      </c>
      <c r="F408">
        <v>58</v>
      </c>
      <c r="G408">
        <v>40</v>
      </c>
      <c r="H408">
        <v>0</v>
      </c>
      <c r="I408" s="173">
        <v>1.04</v>
      </c>
      <c r="J408" s="121">
        <v>132283295</v>
      </c>
      <c r="K408" s="125">
        <v>870.81799999999998</v>
      </c>
      <c r="L408" s="173">
        <v>1.5</v>
      </c>
      <c r="M408">
        <v>1.04</v>
      </c>
      <c r="N408">
        <v>1.000000005</v>
      </c>
      <c r="O408">
        <v>3.9999995000000066</v>
      </c>
      <c r="P408">
        <v>509.41899999999998</v>
      </c>
      <c r="Q408" s="125">
        <v>1.2999999999999999E-2</v>
      </c>
      <c r="R408" s="125">
        <v>0</v>
      </c>
      <c r="S408" s="125">
        <v>1.0920000000000001</v>
      </c>
      <c r="T408" s="125">
        <v>27.097000000000001</v>
      </c>
      <c r="U408" s="125">
        <v>7.8E-2</v>
      </c>
      <c r="V408" s="125">
        <v>0.18</v>
      </c>
      <c r="W408" s="125">
        <v>0</v>
      </c>
      <c r="X408" s="125">
        <v>0</v>
      </c>
      <c r="Y408" s="125">
        <v>0</v>
      </c>
      <c r="Z408" s="125">
        <v>0</v>
      </c>
      <c r="AA408" s="125">
        <v>1.639</v>
      </c>
      <c r="AB408" s="125">
        <v>30.518000000000001</v>
      </c>
      <c r="AC408" s="125">
        <v>367.5</v>
      </c>
      <c r="AD408" s="125">
        <v>0.11</v>
      </c>
      <c r="AE408" s="125">
        <v>0</v>
      </c>
      <c r="AF408" s="125">
        <v>25.470949999999998</v>
      </c>
      <c r="AG408" s="125">
        <v>0</v>
      </c>
      <c r="AH408" s="125">
        <v>0</v>
      </c>
      <c r="AI408" s="121">
        <v>1357862</v>
      </c>
      <c r="AJ408" s="121">
        <v>190649</v>
      </c>
      <c r="AK408" s="424">
        <v>12</v>
      </c>
      <c r="AL408">
        <v>0</v>
      </c>
      <c r="AM408" s="121">
        <v>90289</v>
      </c>
      <c r="AN408" s="125">
        <v>0</v>
      </c>
      <c r="AO408" s="125">
        <v>0</v>
      </c>
      <c r="AP408" s="121">
        <v>1548511</v>
      </c>
      <c r="AQ408" s="114">
        <v>0</v>
      </c>
      <c r="AR408" s="121">
        <v>88.174686661999999</v>
      </c>
      <c r="AS408" s="121">
        <v>17326.602817999999</v>
      </c>
      <c r="AT408" s="121">
        <v>2281.9058215</v>
      </c>
      <c r="AU408" s="420" t="s">
        <v>2001</v>
      </c>
      <c r="AV408" s="420" t="s">
        <v>2001</v>
      </c>
      <c r="AW408" s="121">
        <v>0</v>
      </c>
      <c r="AX408" s="121">
        <v>255600</v>
      </c>
      <c r="BI408">
        <v>0</v>
      </c>
      <c r="BJ408" s="121">
        <v>0</v>
      </c>
      <c r="BK408" s="134">
        <v>132283295</v>
      </c>
      <c r="BL408" s="934">
        <v>4667</v>
      </c>
      <c r="BM408" s="934">
        <v>4571</v>
      </c>
      <c r="BN408" s="934">
        <v>4571</v>
      </c>
      <c r="BO408" s="114">
        <v>0</v>
      </c>
      <c r="BP408" s="114">
        <v>0</v>
      </c>
    </row>
    <row r="409" spans="1:68">
      <c r="A409" t="s">
        <v>639</v>
      </c>
      <c r="B409" t="s">
        <v>797</v>
      </c>
      <c r="C409" s="121">
        <v>4935</v>
      </c>
      <c r="D409" s="72">
        <v>3</v>
      </c>
      <c r="E409">
        <v>13451.402</v>
      </c>
      <c r="F409">
        <v>4045</v>
      </c>
      <c r="G409">
        <v>2996</v>
      </c>
      <c r="H409">
        <v>167</v>
      </c>
      <c r="I409" s="173">
        <v>1.1333</v>
      </c>
      <c r="J409" s="121">
        <v>12226722033</v>
      </c>
      <c r="K409" s="125">
        <v>77844.248999999996</v>
      </c>
      <c r="L409" s="173">
        <v>1.64</v>
      </c>
      <c r="M409">
        <v>1.1333</v>
      </c>
      <c r="N409">
        <v>1.0933333387999999</v>
      </c>
      <c r="O409">
        <v>3.9966661200000031</v>
      </c>
      <c r="P409">
        <v>56139.288</v>
      </c>
      <c r="Q409" s="125">
        <v>3.0710000000000002</v>
      </c>
      <c r="R409" s="125">
        <v>0</v>
      </c>
      <c r="S409" s="125">
        <v>55.868000000000002</v>
      </c>
      <c r="T409" s="125">
        <v>968.43600000000004</v>
      </c>
      <c r="U409" s="125">
        <v>366.88099999999997</v>
      </c>
      <c r="V409" s="125">
        <v>53.798999999999999</v>
      </c>
      <c r="W409" s="125">
        <v>38.695</v>
      </c>
      <c r="X409" s="125">
        <v>0</v>
      </c>
      <c r="Y409" s="125">
        <v>1.752</v>
      </c>
      <c r="Z409" s="125">
        <v>63.924999999999997</v>
      </c>
      <c r="AA409" s="125">
        <v>1323.3019999999999</v>
      </c>
      <c r="AB409" s="125">
        <v>1838.838</v>
      </c>
      <c r="AC409" s="125">
        <v>51409.8</v>
      </c>
      <c r="AD409" s="125">
        <v>20.478999999999999</v>
      </c>
      <c r="AE409" s="125">
        <v>15082.069</v>
      </c>
      <c r="AF409" s="125">
        <v>2806.9639999999999</v>
      </c>
      <c r="AG409" s="125">
        <v>0</v>
      </c>
      <c r="AH409" s="125">
        <v>0</v>
      </c>
      <c r="AI409" s="121">
        <v>144038776</v>
      </c>
      <c r="AJ409" s="121">
        <v>11345528</v>
      </c>
      <c r="AK409" s="424">
        <v>12</v>
      </c>
      <c r="AL409">
        <v>0</v>
      </c>
      <c r="AM409" s="121">
        <v>5465719</v>
      </c>
      <c r="AN409" s="125">
        <v>1</v>
      </c>
      <c r="AO409" s="125">
        <v>0</v>
      </c>
      <c r="AP409" s="121">
        <v>155384304</v>
      </c>
      <c r="AQ409" s="114">
        <v>0</v>
      </c>
      <c r="AR409" s="121">
        <v>8149.8376961000004</v>
      </c>
      <c r="AS409" s="121">
        <v>1601468.6997</v>
      </c>
      <c r="AT409" s="121">
        <v>210912.70960999999</v>
      </c>
      <c r="AU409" s="420" t="s">
        <v>2001</v>
      </c>
      <c r="AV409" s="420" t="s">
        <v>2001</v>
      </c>
      <c r="AW409" s="121">
        <v>0</v>
      </c>
      <c r="AX409" s="121">
        <v>27784182</v>
      </c>
      <c r="BI409">
        <v>0</v>
      </c>
      <c r="BJ409" s="121">
        <v>0</v>
      </c>
      <c r="BK409" s="134">
        <v>12226722033</v>
      </c>
      <c r="BL409" s="934">
        <v>4882</v>
      </c>
      <c r="BM409" s="934">
        <v>4931</v>
      </c>
      <c r="BN409" s="934">
        <v>4935</v>
      </c>
      <c r="BO409" s="114">
        <v>0</v>
      </c>
      <c r="BP409" s="114">
        <v>0</v>
      </c>
    </row>
    <row r="410" spans="1:68">
      <c r="A410" t="s">
        <v>222</v>
      </c>
      <c r="B410" t="s">
        <v>2264</v>
      </c>
      <c r="C410" s="121">
        <v>4700</v>
      </c>
      <c r="D410" s="72">
        <v>1</v>
      </c>
      <c r="E410">
        <v>10704.960999999999</v>
      </c>
      <c r="F410">
        <v>3073</v>
      </c>
      <c r="G410">
        <v>2739</v>
      </c>
      <c r="H410">
        <v>12</v>
      </c>
      <c r="I410" s="173">
        <v>1.04</v>
      </c>
      <c r="J410" s="121">
        <v>11011148289</v>
      </c>
      <c r="K410" s="125">
        <v>56533.262000000002</v>
      </c>
      <c r="L410" s="173">
        <v>1.5</v>
      </c>
      <c r="M410">
        <v>1.04</v>
      </c>
      <c r="N410">
        <v>1.000000005</v>
      </c>
      <c r="O410">
        <v>3.9999995000000066</v>
      </c>
      <c r="P410">
        <v>40934</v>
      </c>
      <c r="Q410" s="125">
        <v>5.0209999999999999</v>
      </c>
      <c r="R410" s="125">
        <v>1.9179999999999999</v>
      </c>
      <c r="S410" s="125">
        <v>74.135999999999996</v>
      </c>
      <c r="T410" s="125">
        <v>862.19500000000005</v>
      </c>
      <c r="U410" s="125">
        <v>481.12400000000002</v>
      </c>
      <c r="V410" s="125">
        <v>0.121</v>
      </c>
      <c r="W410" s="125">
        <v>95.575999999999993</v>
      </c>
      <c r="X410" s="125">
        <v>0</v>
      </c>
      <c r="Y410" s="125">
        <v>20.135000000000002</v>
      </c>
      <c r="Z410" s="125">
        <v>24.835000000000001</v>
      </c>
      <c r="AA410" s="125">
        <v>1048</v>
      </c>
      <c r="AB410" s="125">
        <v>558</v>
      </c>
      <c r="AC410" s="125">
        <v>32333</v>
      </c>
      <c r="AD410" s="125">
        <v>18</v>
      </c>
      <c r="AE410" s="125">
        <v>12269</v>
      </c>
      <c r="AF410" s="125">
        <v>1950</v>
      </c>
      <c r="AG410" s="125">
        <v>0</v>
      </c>
      <c r="AH410" s="125">
        <v>0</v>
      </c>
      <c r="AI410" s="121">
        <v>124124899</v>
      </c>
      <c r="AJ410" s="121">
        <v>21463319</v>
      </c>
      <c r="AK410" s="424">
        <v>12</v>
      </c>
      <c r="AL410">
        <v>0</v>
      </c>
      <c r="AM410" s="121">
        <v>2222983</v>
      </c>
      <c r="AN410" s="125">
        <v>2</v>
      </c>
      <c r="AO410" s="125">
        <v>2</v>
      </c>
      <c r="AP410" s="121">
        <v>145588218</v>
      </c>
      <c r="AQ410" s="114">
        <v>0</v>
      </c>
      <c r="AR410" s="121">
        <v>7339.5854719999998</v>
      </c>
      <c r="AS410" s="121">
        <v>1442251.5933000001</v>
      </c>
      <c r="AT410" s="121">
        <v>189943.88808999999</v>
      </c>
      <c r="AU410" s="420" t="s">
        <v>2001</v>
      </c>
      <c r="AV410" s="420" t="s">
        <v>2001</v>
      </c>
      <c r="AW410" s="121">
        <v>0</v>
      </c>
      <c r="AX410" s="121">
        <v>33406468</v>
      </c>
      <c r="BI410">
        <v>0</v>
      </c>
      <c r="BJ410" s="121">
        <v>0</v>
      </c>
      <c r="BK410" s="134">
        <v>11011148289</v>
      </c>
      <c r="BL410" s="934">
        <v>4688</v>
      </c>
      <c r="BM410" s="934">
        <v>4700</v>
      </c>
      <c r="BN410" s="934">
        <v>4700</v>
      </c>
      <c r="BO410" s="114">
        <v>0</v>
      </c>
      <c r="BP410" s="114">
        <v>0</v>
      </c>
    </row>
    <row r="411" spans="1:68">
      <c r="A411" t="s">
        <v>2641</v>
      </c>
      <c r="B411" t="s">
        <v>522</v>
      </c>
      <c r="C411" s="121">
        <v>4694</v>
      </c>
      <c r="D411" s="72">
        <v>3</v>
      </c>
      <c r="E411">
        <v>2037.123</v>
      </c>
      <c r="F411">
        <v>582</v>
      </c>
      <c r="G411">
        <v>429</v>
      </c>
      <c r="H411">
        <v>29</v>
      </c>
      <c r="I411" s="173">
        <v>1.0219</v>
      </c>
      <c r="J411" s="121">
        <v>2275742387</v>
      </c>
      <c r="K411" s="125">
        <v>10939.041999999999</v>
      </c>
      <c r="L411" s="173">
        <v>1.4729000000000001</v>
      </c>
      <c r="M411">
        <v>1.0219</v>
      </c>
      <c r="N411">
        <v>0.98193333824300011</v>
      </c>
      <c r="O411">
        <v>3.9966661756999922</v>
      </c>
      <c r="P411">
        <v>8034.1660000000002</v>
      </c>
      <c r="Q411" s="125">
        <v>1.143</v>
      </c>
      <c r="R411" s="125">
        <v>0</v>
      </c>
      <c r="S411" s="125">
        <v>8.16</v>
      </c>
      <c r="T411" s="125">
        <v>282.97300000000001</v>
      </c>
      <c r="U411" s="125">
        <v>67.078000000000003</v>
      </c>
      <c r="V411" s="125">
        <v>9.3140000000000001</v>
      </c>
      <c r="W411" s="125">
        <v>3.0129999999999999</v>
      </c>
      <c r="X411" s="125">
        <v>0</v>
      </c>
      <c r="Y411" s="125">
        <v>17.417999999999999</v>
      </c>
      <c r="Z411" s="125">
        <v>8.0690000000000008</v>
      </c>
      <c r="AA411" s="125">
        <v>49.323999999999998</v>
      </c>
      <c r="AB411" s="125">
        <v>323.25400000000002</v>
      </c>
      <c r="AC411" s="125">
        <v>5907.5</v>
      </c>
      <c r="AD411" s="125">
        <v>4.2279999999999998</v>
      </c>
      <c r="AE411" s="125">
        <v>1689.7860000000001</v>
      </c>
      <c r="AF411" s="125">
        <v>401.70800000000003</v>
      </c>
      <c r="AG411" s="125">
        <v>0</v>
      </c>
      <c r="AH411" s="125">
        <v>0</v>
      </c>
      <c r="AI411" s="121">
        <v>23807603</v>
      </c>
      <c r="AJ411" s="121">
        <v>5938716</v>
      </c>
      <c r="AK411" s="424">
        <v>12</v>
      </c>
      <c r="AL411">
        <v>0</v>
      </c>
      <c r="AM411" s="121">
        <v>433468</v>
      </c>
      <c r="AN411" s="125">
        <v>1</v>
      </c>
      <c r="AO411" s="125">
        <v>0</v>
      </c>
      <c r="AP411" s="121">
        <v>29746319</v>
      </c>
      <c r="AQ411" s="114">
        <v>0</v>
      </c>
      <c r="AR411" s="121">
        <v>1516.9177021999999</v>
      </c>
      <c r="AS411" s="121">
        <v>298079.09197000001</v>
      </c>
      <c r="AT411" s="121">
        <v>39256.882746000003</v>
      </c>
      <c r="AU411" s="420" t="s">
        <v>2001</v>
      </c>
      <c r="AV411" s="420" t="s">
        <v>2001</v>
      </c>
      <c r="AW411" s="121">
        <v>0</v>
      </c>
      <c r="AX411" s="121">
        <v>6025268</v>
      </c>
      <c r="BI411">
        <v>0</v>
      </c>
      <c r="BJ411" s="121">
        <v>0</v>
      </c>
      <c r="BK411" s="134">
        <v>2275742387</v>
      </c>
      <c r="BL411" s="934">
        <v>4634</v>
      </c>
      <c r="BM411" s="934">
        <v>4690</v>
      </c>
      <c r="BN411" s="934">
        <v>4694</v>
      </c>
      <c r="BO411" s="114">
        <v>0</v>
      </c>
      <c r="BP411" s="114">
        <v>0</v>
      </c>
    </row>
    <row r="412" spans="1:68">
      <c r="A412" t="s">
        <v>2758</v>
      </c>
      <c r="B412" t="s">
        <v>458</v>
      </c>
      <c r="C412" s="121">
        <v>4975</v>
      </c>
      <c r="D412" s="72">
        <v>2</v>
      </c>
      <c r="E412">
        <v>1348.4390000000001</v>
      </c>
      <c r="F412">
        <v>294</v>
      </c>
      <c r="G412">
        <v>249</v>
      </c>
      <c r="H412">
        <v>70</v>
      </c>
      <c r="I412" s="173">
        <v>1.04</v>
      </c>
      <c r="J412" s="121">
        <v>1084497168</v>
      </c>
      <c r="K412" s="125">
        <v>6009.8130000000001</v>
      </c>
      <c r="L412" s="173">
        <v>1.5</v>
      </c>
      <c r="M412">
        <v>1.04</v>
      </c>
      <c r="N412">
        <v>1.000000005</v>
      </c>
      <c r="O412">
        <v>3.9999995000000066</v>
      </c>
      <c r="P412">
        <v>4679.72</v>
      </c>
      <c r="Q412" s="125">
        <v>0.89100000000000001</v>
      </c>
      <c r="R412" s="125">
        <v>0</v>
      </c>
      <c r="S412" s="125">
        <v>9.35</v>
      </c>
      <c r="T412" s="125">
        <v>83.748000000000005</v>
      </c>
      <c r="U412" s="125">
        <v>33.948999999999998</v>
      </c>
      <c r="V412" s="125">
        <v>7.6820000000000004</v>
      </c>
      <c r="W412" s="125">
        <v>11.77</v>
      </c>
      <c r="X412" s="125">
        <v>0</v>
      </c>
      <c r="Y412" s="125">
        <v>0</v>
      </c>
      <c r="Z412" s="125">
        <v>0</v>
      </c>
      <c r="AA412" s="125">
        <v>135.20699999999999</v>
      </c>
      <c r="AB412" s="125">
        <v>113.779</v>
      </c>
      <c r="AC412" s="125">
        <v>2226.9</v>
      </c>
      <c r="AD412" s="125">
        <v>3.4000000000000002E-2</v>
      </c>
      <c r="AE412" s="125">
        <v>167.845</v>
      </c>
      <c r="AF412" s="125">
        <v>229.256</v>
      </c>
      <c r="AG412" s="125">
        <v>0</v>
      </c>
      <c r="AH412" s="125">
        <v>0</v>
      </c>
      <c r="AI412" s="121">
        <v>11499640</v>
      </c>
      <c r="AJ412" s="121">
        <v>3020397</v>
      </c>
      <c r="AK412" s="424">
        <v>12</v>
      </c>
      <c r="AL412">
        <v>0</v>
      </c>
      <c r="AM412" s="121">
        <v>820370</v>
      </c>
      <c r="AN412" s="125">
        <v>0</v>
      </c>
      <c r="AO412" s="125">
        <v>1</v>
      </c>
      <c r="AP412" s="121">
        <v>14520037</v>
      </c>
      <c r="AQ412" s="114">
        <v>0</v>
      </c>
      <c r="AR412" s="121">
        <v>722.88188749999995</v>
      </c>
      <c r="AS412" s="121">
        <v>142048.56091</v>
      </c>
      <c r="AT412" s="121">
        <v>18707.731774</v>
      </c>
      <c r="AU412" s="420" t="s">
        <v>2001</v>
      </c>
      <c r="AV412" s="420" t="s">
        <v>2001</v>
      </c>
      <c r="AW412" s="121">
        <v>0</v>
      </c>
      <c r="AX412" s="121">
        <v>5107786</v>
      </c>
      <c r="BI412">
        <v>0</v>
      </c>
      <c r="BJ412" s="121">
        <v>0</v>
      </c>
      <c r="BK412" s="134">
        <v>1084497168</v>
      </c>
      <c r="BL412" s="934">
        <v>4894</v>
      </c>
      <c r="BM412" s="934">
        <v>4975</v>
      </c>
      <c r="BN412" s="934">
        <v>4975</v>
      </c>
      <c r="BO412" s="114">
        <v>0</v>
      </c>
      <c r="BP412" s="114">
        <v>0</v>
      </c>
    </row>
    <row r="413" spans="1:68">
      <c r="A413" t="s">
        <v>2642</v>
      </c>
      <c r="B413" t="s">
        <v>523</v>
      </c>
      <c r="C413" s="121">
        <v>4560</v>
      </c>
      <c r="D413" s="72">
        <v>1</v>
      </c>
      <c r="E413">
        <v>25208.325000000001</v>
      </c>
      <c r="F413">
        <v>6872</v>
      </c>
      <c r="G413">
        <v>4089</v>
      </c>
      <c r="H413">
        <v>1219</v>
      </c>
      <c r="I413" s="173">
        <v>1.024</v>
      </c>
      <c r="J413" s="121">
        <v>31015872693</v>
      </c>
      <c r="K413" s="125">
        <v>118759.303</v>
      </c>
      <c r="L413" s="173">
        <v>1.5</v>
      </c>
      <c r="M413">
        <v>1.024</v>
      </c>
      <c r="N413">
        <v>1.000000005</v>
      </c>
      <c r="O413">
        <v>2.3999995000000052</v>
      </c>
      <c r="P413">
        <v>96380</v>
      </c>
      <c r="Q413" s="125">
        <v>7.2</v>
      </c>
      <c r="R413" s="125">
        <v>0</v>
      </c>
      <c r="S413" s="125">
        <v>154.5</v>
      </c>
      <c r="T413" s="125">
        <v>719</v>
      </c>
      <c r="U413" s="125">
        <v>713.6</v>
      </c>
      <c r="V413" s="125">
        <v>31.7</v>
      </c>
      <c r="W413" s="125">
        <v>104.4</v>
      </c>
      <c r="X413" s="125">
        <v>0</v>
      </c>
      <c r="Y413" s="125">
        <v>0</v>
      </c>
      <c r="Z413" s="125">
        <v>54</v>
      </c>
      <c r="AA413" s="125">
        <v>2769</v>
      </c>
      <c r="AB413" s="125">
        <v>1744</v>
      </c>
      <c r="AC413" s="125">
        <v>33220</v>
      </c>
      <c r="AD413" s="125">
        <v>21.6</v>
      </c>
      <c r="AE413" s="125">
        <v>12007</v>
      </c>
      <c r="AF413" s="125">
        <v>4816</v>
      </c>
      <c r="AG413" s="125">
        <v>0</v>
      </c>
      <c r="AH413" s="125">
        <v>0</v>
      </c>
      <c r="AI413" s="121">
        <v>330897674</v>
      </c>
      <c r="AJ413" s="121">
        <v>73470557</v>
      </c>
      <c r="AK413" s="424">
        <v>12</v>
      </c>
      <c r="AL413">
        <v>0</v>
      </c>
      <c r="AM413" s="121">
        <v>6434201</v>
      </c>
      <c r="AN413" s="125">
        <v>10</v>
      </c>
      <c r="AO413" s="125">
        <v>2</v>
      </c>
      <c r="AP413" s="121">
        <v>404368231</v>
      </c>
      <c r="AQ413" s="114">
        <v>0</v>
      </c>
      <c r="AR413" s="121">
        <v>20673.924521000001</v>
      </c>
      <c r="AS413" s="121">
        <v>4062491.0893999999</v>
      </c>
      <c r="AT413" s="121">
        <v>535028.25474999996</v>
      </c>
      <c r="AU413" s="420" t="s">
        <v>2001</v>
      </c>
      <c r="AV413" s="420" t="s">
        <v>2001</v>
      </c>
      <c r="AW413" s="121">
        <v>0</v>
      </c>
      <c r="AX413" s="121">
        <v>100675081</v>
      </c>
      <c r="BI413">
        <v>0</v>
      </c>
      <c r="BJ413" s="121">
        <v>0</v>
      </c>
      <c r="BK413" s="134">
        <v>31015872693</v>
      </c>
      <c r="BL413" s="934">
        <v>4505</v>
      </c>
      <c r="BM413" s="934">
        <v>4560</v>
      </c>
      <c r="BN413" s="934">
        <v>4560</v>
      </c>
      <c r="BO413" s="114">
        <v>0</v>
      </c>
      <c r="BP413" s="114">
        <v>0</v>
      </c>
    </row>
    <row r="414" spans="1:68">
      <c r="A414" t="s">
        <v>2481</v>
      </c>
      <c r="B414" t="s">
        <v>524</v>
      </c>
      <c r="C414" s="121">
        <v>5651</v>
      </c>
      <c r="D414" s="72">
        <v>2</v>
      </c>
      <c r="E414">
        <v>3458.3150000000001</v>
      </c>
      <c r="F414">
        <v>812</v>
      </c>
      <c r="G414">
        <v>626</v>
      </c>
      <c r="H414">
        <v>92</v>
      </c>
      <c r="I414" s="173">
        <v>1.1067</v>
      </c>
      <c r="J414" s="121">
        <v>8047970487</v>
      </c>
      <c r="K414" s="125">
        <v>15218.236000000001</v>
      </c>
      <c r="L414" s="173">
        <v>1.6</v>
      </c>
      <c r="M414">
        <v>1.1067</v>
      </c>
      <c r="N414">
        <v>1.066666672</v>
      </c>
      <c r="O414">
        <v>4.0033328000000035</v>
      </c>
      <c r="P414">
        <v>11936.050999999999</v>
      </c>
      <c r="Q414" s="125">
        <v>0.876</v>
      </c>
      <c r="R414" s="125">
        <v>0</v>
      </c>
      <c r="S414" s="125">
        <v>21.428000000000001</v>
      </c>
      <c r="T414" s="125">
        <v>194.05500000000001</v>
      </c>
      <c r="U414" s="125">
        <v>73.02</v>
      </c>
      <c r="V414" s="125">
        <v>3.202</v>
      </c>
      <c r="W414" s="125">
        <v>2.782</v>
      </c>
      <c r="X414" s="125">
        <v>0</v>
      </c>
      <c r="Y414" s="125">
        <v>0</v>
      </c>
      <c r="Z414" s="125">
        <v>0</v>
      </c>
      <c r="AA414" s="125">
        <v>569.41099999999994</v>
      </c>
      <c r="AB414" s="125">
        <v>311.60199999999998</v>
      </c>
      <c r="AC414" s="125">
        <v>4499.8999999999996</v>
      </c>
      <c r="AD414" s="125">
        <v>3.2229999999999999</v>
      </c>
      <c r="AE414" s="125">
        <v>1161.241</v>
      </c>
      <c r="AF414" s="125">
        <v>596.80255</v>
      </c>
      <c r="AG414" s="125">
        <v>0</v>
      </c>
      <c r="AH414" s="125">
        <v>0</v>
      </c>
      <c r="AI414" s="121">
        <v>92821853</v>
      </c>
      <c r="AJ414" s="121">
        <v>14336537</v>
      </c>
      <c r="AK414" s="424">
        <v>12</v>
      </c>
      <c r="AL414">
        <v>0</v>
      </c>
      <c r="AM414" s="121">
        <v>639513</v>
      </c>
      <c r="AN414" s="125">
        <v>2.3140000000000001</v>
      </c>
      <c r="AO414" s="125">
        <v>1</v>
      </c>
      <c r="AP414" s="121">
        <v>107158390</v>
      </c>
      <c r="AQ414" s="114">
        <v>0</v>
      </c>
      <c r="AR414" s="121">
        <v>0</v>
      </c>
      <c r="AS414" s="121">
        <v>0</v>
      </c>
      <c r="AT414" s="121">
        <v>0</v>
      </c>
      <c r="AU414" s="420" t="s">
        <v>798</v>
      </c>
      <c r="AV414" s="420" t="s">
        <v>2001</v>
      </c>
      <c r="AW414" s="121">
        <v>0</v>
      </c>
      <c r="AX414" s="121">
        <v>12758644</v>
      </c>
      <c r="AY414" s="134">
        <v>17733284</v>
      </c>
      <c r="AZ414" s="134">
        <v>27169337</v>
      </c>
      <c r="BA414" s="134">
        <v>11427</v>
      </c>
      <c r="BB414" s="134">
        <v>5671945194</v>
      </c>
      <c r="BC414" s="114">
        <v>0</v>
      </c>
      <c r="BD414" s="114">
        <v>0</v>
      </c>
      <c r="BE414" s="114">
        <v>0</v>
      </c>
      <c r="BF414" s="134">
        <v>12314</v>
      </c>
      <c r="BG414" s="114">
        <v>0</v>
      </c>
      <c r="BH414" s="114">
        <v>0</v>
      </c>
      <c r="BI414">
        <v>0</v>
      </c>
      <c r="BJ414" s="121">
        <v>7925</v>
      </c>
      <c r="BK414" s="134">
        <v>8047970487</v>
      </c>
      <c r="BL414" s="934">
        <v>5277</v>
      </c>
      <c r="BM414" s="934">
        <v>5651</v>
      </c>
      <c r="BN414" s="934">
        <v>5348</v>
      </c>
      <c r="BO414" s="114">
        <v>0</v>
      </c>
      <c r="BP414" s="114">
        <v>0</v>
      </c>
    </row>
    <row r="415" spans="1:68">
      <c r="A415" t="s">
        <v>1588</v>
      </c>
      <c r="B415" t="s">
        <v>2611</v>
      </c>
      <c r="C415" s="121">
        <v>4713</v>
      </c>
      <c r="D415" s="72">
        <v>1</v>
      </c>
      <c r="E415">
        <v>1747.165</v>
      </c>
      <c r="F415">
        <v>633</v>
      </c>
      <c r="G415">
        <v>659</v>
      </c>
      <c r="H415">
        <v>0</v>
      </c>
      <c r="I415" s="173">
        <v>1.04</v>
      </c>
      <c r="J415" s="121">
        <v>1566122762</v>
      </c>
      <c r="K415" s="125">
        <v>10015.963</v>
      </c>
      <c r="L415" s="173">
        <v>1.4843999999999999</v>
      </c>
      <c r="M415">
        <v>1.04</v>
      </c>
      <c r="N415">
        <v>0.98960000494799993</v>
      </c>
      <c r="O415">
        <v>5.0399995052000097</v>
      </c>
      <c r="P415">
        <v>7044.9049999999997</v>
      </c>
      <c r="Q415" s="125">
        <v>1.1739999999999999</v>
      </c>
      <c r="R415" s="125">
        <v>0</v>
      </c>
      <c r="S415" s="125">
        <v>8.702</v>
      </c>
      <c r="T415" s="125">
        <v>233.99199999999999</v>
      </c>
      <c r="U415" s="125">
        <v>1.7809999999999999</v>
      </c>
      <c r="V415" s="125">
        <v>8.3209999999999997</v>
      </c>
      <c r="W415" s="125">
        <v>0</v>
      </c>
      <c r="X415" s="125">
        <v>0</v>
      </c>
      <c r="Y415" s="125">
        <v>16.289000000000001</v>
      </c>
      <c r="Z415" s="125">
        <v>0</v>
      </c>
      <c r="AA415" s="125">
        <v>92.305000000000007</v>
      </c>
      <c r="AB415" s="125">
        <v>392.77699999999999</v>
      </c>
      <c r="AC415" s="125">
        <v>6974.5</v>
      </c>
      <c r="AD415" s="125">
        <v>5.4390000000000001</v>
      </c>
      <c r="AE415" s="125">
        <v>1279.373</v>
      </c>
      <c r="AF415" s="125">
        <v>352.245</v>
      </c>
      <c r="AG415" s="125">
        <v>0</v>
      </c>
      <c r="AH415" s="125">
        <v>0</v>
      </c>
      <c r="AI415" s="121">
        <v>17102061</v>
      </c>
      <c r="AJ415" s="121">
        <v>2273281</v>
      </c>
      <c r="AK415" s="424">
        <v>12</v>
      </c>
      <c r="AL415">
        <v>0</v>
      </c>
      <c r="AM415" s="121">
        <v>533112</v>
      </c>
      <c r="AN415" s="125">
        <v>0</v>
      </c>
      <c r="AO415" s="125">
        <v>0</v>
      </c>
      <c r="AP415" s="121">
        <v>19375342</v>
      </c>
      <c r="AQ415" s="114">
        <v>0</v>
      </c>
      <c r="AR415" s="121">
        <v>1043.9140015</v>
      </c>
      <c r="AS415" s="121">
        <v>205132.37943</v>
      </c>
      <c r="AT415" s="121">
        <v>27015.842384</v>
      </c>
      <c r="AU415" s="420" t="s">
        <v>2001</v>
      </c>
      <c r="AV415" s="420" t="s">
        <v>2001</v>
      </c>
      <c r="AW415" s="121">
        <v>0</v>
      </c>
      <c r="AX415" s="121">
        <v>6449753</v>
      </c>
      <c r="BI415">
        <v>0</v>
      </c>
      <c r="BJ415" s="121">
        <v>0</v>
      </c>
      <c r="BK415" s="134">
        <v>1566122762</v>
      </c>
      <c r="BL415" s="934">
        <v>4713</v>
      </c>
      <c r="BM415" s="934">
        <v>4645</v>
      </c>
      <c r="BN415" s="934">
        <v>4662</v>
      </c>
      <c r="BO415" s="114">
        <v>0</v>
      </c>
      <c r="BP415" s="114">
        <v>0</v>
      </c>
    </row>
    <row r="416" spans="1:68">
      <c r="A416" t="s">
        <v>1608</v>
      </c>
      <c r="B416" t="s">
        <v>1670</v>
      </c>
      <c r="C416" s="121">
        <v>4821</v>
      </c>
      <c r="D416" s="72">
        <v>2</v>
      </c>
      <c r="E416">
        <v>5475.4750000000004</v>
      </c>
      <c r="F416">
        <v>0</v>
      </c>
      <c r="G416">
        <v>0</v>
      </c>
      <c r="H416">
        <v>0</v>
      </c>
      <c r="I416" s="173">
        <v>1.1834</v>
      </c>
      <c r="J416" s="121">
        <v>5031903668</v>
      </c>
      <c r="K416" s="125">
        <v>28947.366999999998</v>
      </c>
      <c r="L416" s="173">
        <v>1.61</v>
      </c>
      <c r="M416">
        <v>1.1834</v>
      </c>
      <c r="N416">
        <v>1.0733333387000001</v>
      </c>
      <c r="O416">
        <v>11.006666129999987</v>
      </c>
      <c r="P416">
        <v>20653.328000000001</v>
      </c>
      <c r="Q416" s="125">
        <v>2.3370000000000002</v>
      </c>
      <c r="R416" s="125">
        <v>0.78700000000000003</v>
      </c>
      <c r="S416" s="125">
        <v>31.667000000000002</v>
      </c>
      <c r="T416" s="125">
        <v>526.51199999999994</v>
      </c>
      <c r="U416" s="125">
        <v>109.068</v>
      </c>
      <c r="V416" s="125">
        <v>3.8879999999999999</v>
      </c>
      <c r="W416" s="125">
        <v>66.013999999999996</v>
      </c>
      <c r="X416" s="125">
        <v>0</v>
      </c>
      <c r="Y416" s="125">
        <v>9.81</v>
      </c>
      <c r="Z416" s="125">
        <v>0</v>
      </c>
      <c r="AA416" s="125">
        <v>496.245</v>
      </c>
      <c r="AB416" s="125">
        <v>1048.989</v>
      </c>
      <c r="AC416" s="125">
        <v>18108.400000000001</v>
      </c>
      <c r="AD416" s="125">
        <v>18.914000000000001</v>
      </c>
      <c r="AE416" s="125">
        <v>5152.7830000000004</v>
      </c>
      <c r="AF416" s="125">
        <v>1032.6659999999999</v>
      </c>
      <c r="AG416" s="125">
        <v>0</v>
      </c>
      <c r="AH416" s="125">
        <v>0</v>
      </c>
      <c r="AI416" s="121">
        <v>63150175</v>
      </c>
      <c r="AJ416" s="121">
        <v>10382148</v>
      </c>
      <c r="AK416" s="424">
        <v>12</v>
      </c>
      <c r="AL416">
        <v>0</v>
      </c>
      <c r="AM416" s="121">
        <v>988124</v>
      </c>
      <c r="AN416" s="125">
        <v>1</v>
      </c>
      <c r="AO416" s="125">
        <v>1</v>
      </c>
      <c r="AP416" s="121">
        <v>73532323</v>
      </c>
      <c r="AQ416" s="114">
        <v>0</v>
      </c>
      <c r="AR416" s="121">
        <v>3354.0631810999998</v>
      </c>
      <c r="AS416" s="121">
        <v>659083.94762999995</v>
      </c>
      <c r="AT416" s="121">
        <v>86801.060354000001</v>
      </c>
      <c r="AU416" s="420" t="s">
        <v>2001</v>
      </c>
      <c r="AV416" s="420" t="s">
        <v>2001</v>
      </c>
      <c r="AW416" s="121">
        <v>0</v>
      </c>
      <c r="AX416" s="121">
        <v>18297142</v>
      </c>
      <c r="BI416">
        <v>0</v>
      </c>
      <c r="BJ416" s="121">
        <v>0</v>
      </c>
      <c r="BK416" s="134">
        <v>5031903668</v>
      </c>
      <c r="BL416" s="934">
        <v>4736</v>
      </c>
      <c r="BM416" s="934">
        <v>4821</v>
      </c>
      <c r="BN416" s="934">
        <v>4736</v>
      </c>
      <c r="BO416" s="114">
        <v>0</v>
      </c>
      <c r="BP416" s="114">
        <v>0</v>
      </c>
    </row>
    <row r="417" spans="1:68">
      <c r="A417" t="s">
        <v>2300</v>
      </c>
      <c r="B417" t="s">
        <v>525</v>
      </c>
      <c r="C417" s="121">
        <v>5446</v>
      </c>
      <c r="D417" s="72">
        <v>2</v>
      </c>
      <c r="E417">
        <v>5056.6030000000001</v>
      </c>
      <c r="F417">
        <v>1429</v>
      </c>
      <c r="G417">
        <v>976</v>
      </c>
      <c r="H417">
        <v>143</v>
      </c>
      <c r="I417" s="173">
        <v>1</v>
      </c>
      <c r="J417" s="121">
        <v>9388434518</v>
      </c>
      <c r="K417" s="125">
        <v>25639.039000000001</v>
      </c>
      <c r="L417" s="173">
        <v>1.5</v>
      </c>
      <c r="M417">
        <v>1</v>
      </c>
      <c r="N417">
        <v>1.000000005</v>
      </c>
      <c r="O417">
        <v>-4.9999999696126451E-7</v>
      </c>
      <c r="P417">
        <v>19224.582999999999</v>
      </c>
      <c r="Q417" s="125">
        <v>2.0099999999999998</v>
      </c>
      <c r="R417" s="125">
        <v>0</v>
      </c>
      <c r="S417" s="125">
        <v>34</v>
      </c>
      <c r="T417" s="125">
        <v>393.97</v>
      </c>
      <c r="U417" s="125">
        <v>167.63499999999999</v>
      </c>
      <c r="V417" s="125">
        <v>4.7350000000000003</v>
      </c>
      <c r="W417" s="125">
        <v>7.2009999999999996</v>
      </c>
      <c r="X417" s="125">
        <v>0</v>
      </c>
      <c r="Y417" s="125">
        <v>7.82</v>
      </c>
      <c r="Z417" s="125">
        <v>3.3140000000000001</v>
      </c>
      <c r="AA417" s="125">
        <v>258</v>
      </c>
      <c r="AB417" s="125">
        <v>684.96100000000001</v>
      </c>
      <c r="AC417" s="125">
        <v>14182.9</v>
      </c>
      <c r="AD417" s="125">
        <v>10.191000000000001</v>
      </c>
      <c r="AE417" s="125">
        <v>2286.0630000000001</v>
      </c>
      <c r="AF417" s="125">
        <v>961.22900000000004</v>
      </c>
      <c r="AG417" s="125">
        <v>0</v>
      </c>
      <c r="AH417" s="125">
        <v>0</v>
      </c>
      <c r="AI417" s="121">
        <v>96335761</v>
      </c>
      <c r="AJ417" s="121">
        <v>22651917</v>
      </c>
      <c r="AK417" s="424">
        <v>12</v>
      </c>
      <c r="AL417">
        <v>0</v>
      </c>
      <c r="AM417" s="121">
        <v>1857244</v>
      </c>
      <c r="AN417" s="125">
        <v>2</v>
      </c>
      <c r="AO417" s="125">
        <v>2</v>
      </c>
      <c r="AP417" s="121">
        <v>118987678</v>
      </c>
      <c r="AQ417" s="114">
        <v>0</v>
      </c>
      <c r="AR417" s="121">
        <v>6257.9501962000004</v>
      </c>
      <c r="AS417" s="121">
        <v>1229706.865</v>
      </c>
      <c r="AT417" s="121">
        <v>161951.84268999999</v>
      </c>
      <c r="AU417" s="420" t="s">
        <v>798</v>
      </c>
      <c r="AV417" s="420" t="s">
        <v>2001</v>
      </c>
      <c r="AW417" s="121">
        <v>0</v>
      </c>
      <c r="AX417" s="121">
        <v>21181750</v>
      </c>
      <c r="AY417" s="134">
        <v>23350869</v>
      </c>
      <c r="AZ417" s="134">
        <v>47491873</v>
      </c>
      <c r="BA417" s="134">
        <v>19706</v>
      </c>
      <c r="BB417" s="134">
        <v>4816764713</v>
      </c>
      <c r="BC417" s="114">
        <v>0</v>
      </c>
      <c r="BD417" s="114">
        <v>0</v>
      </c>
      <c r="BE417" s="114">
        <v>0</v>
      </c>
      <c r="BF417" s="134">
        <v>20235</v>
      </c>
      <c r="BG417" s="114">
        <v>0</v>
      </c>
      <c r="BH417" s="114">
        <v>0</v>
      </c>
      <c r="BI417">
        <v>0</v>
      </c>
      <c r="BJ417" s="121">
        <v>0</v>
      </c>
      <c r="BK417" s="134">
        <v>9267509475</v>
      </c>
      <c r="BL417" s="934">
        <v>5065</v>
      </c>
      <c r="BM417" s="934">
        <v>5446</v>
      </c>
      <c r="BN417" s="934">
        <v>4926</v>
      </c>
      <c r="BO417" s="114">
        <v>0</v>
      </c>
      <c r="BP417" s="114">
        <v>0</v>
      </c>
    </row>
    <row r="418" spans="1:68">
      <c r="A418" t="s">
        <v>2921</v>
      </c>
      <c r="B418" t="s">
        <v>526</v>
      </c>
      <c r="C418" s="121">
        <v>5103</v>
      </c>
      <c r="D418" s="72">
        <v>2</v>
      </c>
      <c r="E418">
        <v>41961.432999999997</v>
      </c>
      <c r="F418">
        <v>13127</v>
      </c>
      <c r="G418">
        <v>9628</v>
      </c>
      <c r="H418">
        <v>146</v>
      </c>
      <c r="I418" s="173">
        <v>1.0066999999999999</v>
      </c>
      <c r="J418" s="121">
        <v>96222302871</v>
      </c>
      <c r="K418" s="125">
        <v>254585.13500000001</v>
      </c>
      <c r="L418" s="173">
        <v>1.45</v>
      </c>
      <c r="M418">
        <v>1.0066999999999999</v>
      </c>
      <c r="N418">
        <v>0.96666667149999996</v>
      </c>
      <c r="O418">
        <v>4.0033328499999961</v>
      </c>
      <c r="P418">
        <v>181750</v>
      </c>
      <c r="Q418" s="125">
        <v>6.92</v>
      </c>
      <c r="R418" s="125">
        <v>33.9</v>
      </c>
      <c r="S418" s="125">
        <v>319.67</v>
      </c>
      <c r="T418" s="125">
        <v>4007.06</v>
      </c>
      <c r="U418" s="125">
        <v>1524.91</v>
      </c>
      <c r="V418" s="125">
        <v>34.340000000000003</v>
      </c>
      <c r="W418" s="125">
        <v>140</v>
      </c>
      <c r="X418" s="125">
        <v>0</v>
      </c>
      <c r="Y418" s="125">
        <v>117.85</v>
      </c>
      <c r="Z418" s="125">
        <v>11.46</v>
      </c>
      <c r="AA418" s="125">
        <v>3153.4</v>
      </c>
      <c r="AB418" s="125">
        <v>6264.87</v>
      </c>
      <c r="AC418" s="125">
        <v>169377</v>
      </c>
      <c r="AD418" s="125">
        <v>39.78</v>
      </c>
      <c r="AE418" s="125">
        <v>47402.78</v>
      </c>
      <c r="AF418" s="125">
        <v>9087.5</v>
      </c>
      <c r="AG418" s="125">
        <v>0</v>
      </c>
      <c r="AH418" s="125">
        <v>0</v>
      </c>
      <c r="AI418" s="121">
        <v>0</v>
      </c>
      <c r="AJ418" s="121">
        <v>124102516</v>
      </c>
      <c r="AK418" s="424">
        <v>12</v>
      </c>
      <c r="AL418">
        <v>0</v>
      </c>
      <c r="AM418" s="121">
        <v>14688499</v>
      </c>
      <c r="AN418" s="125">
        <v>15.417</v>
      </c>
      <c r="AO418" s="125">
        <v>5</v>
      </c>
      <c r="AP418" s="121">
        <v>0</v>
      </c>
      <c r="AQ418" s="114">
        <v>0</v>
      </c>
      <c r="AR418" s="121">
        <v>30471.171743999999</v>
      </c>
      <c r="AS418" s="121">
        <v>5987680.9342</v>
      </c>
      <c r="AT418" s="121">
        <v>788574.89402000001</v>
      </c>
      <c r="AU418" s="420" t="s">
        <v>798</v>
      </c>
      <c r="AV418" s="420" t="s">
        <v>2001</v>
      </c>
      <c r="AW418" s="121">
        <v>0</v>
      </c>
      <c r="AX418" s="121">
        <v>125942357</v>
      </c>
      <c r="AY418" s="134">
        <v>159980884</v>
      </c>
      <c r="AZ418" s="134">
        <v>578617240</v>
      </c>
      <c r="BA418" s="134">
        <v>238950</v>
      </c>
      <c r="BB418" s="134">
        <v>47350142901</v>
      </c>
      <c r="BC418" s="114">
        <v>0</v>
      </c>
      <c r="BD418" s="114">
        <v>0</v>
      </c>
      <c r="BE418" s="114">
        <v>0</v>
      </c>
      <c r="BF418" s="134">
        <v>198769</v>
      </c>
      <c r="BG418" s="114">
        <v>0</v>
      </c>
      <c r="BH418" s="114">
        <v>0</v>
      </c>
      <c r="BI418">
        <v>0</v>
      </c>
      <c r="BJ418" s="121">
        <v>0</v>
      </c>
      <c r="BK418" s="134">
        <v>96222302871</v>
      </c>
      <c r="BL418" s="934">
        <v>4698</v>
      </c>
      <c r="BM418" s="934">
        <v>5103</v>
      </c>
      <c r="BN418" s="934">
        <v>4926</v>
      </c>
      <c r="BO418" s="114">
        <v>0</v>
      </c>
      <c r="BP418" s="114">
        <v>0</v>
      </c>
    </row>
    <row r="419" spans="1:68">
      <c r="A419" t="s">
        <v>1278</v>
      </c>
      <c r="B419" t="s">
        <v>2736</v>
      </c>
      <c r="C419" s="121">
        <v>4819</v>
      </c>
      <c r="D419" s="72">
        <v>1</v>
      </c>
      <c r="E419">
        <v>9017.3469999999998</v>
      </c>
      <c r="F419">
        <v>2535</v>
      </c>
      <c r="G419">
        <v>1278</v>
      </c>
      <c r="H419">
        <v>266</v>
      </c>
      <c r="I419" s="173">
        <v>1.04</v>
      </c>
      <c r="J419" s="121">
        <v>8868746218</v>
      </c>
      <c r="K419" s="125">
        <v>38626.347000000002</v>
      </c>
      <c r="L419" s="173">
        <v>1.5</v>
      </c>
      <c r="M419">
        <v>1.04</v>
      </c>
      <c r="N419">
        <v>1.000000005</v>
      </c>
      <c r="O419">
        <v>3.9999995000000066</v>
      </c>
      <c r="P419">
        <v>31830</v>
      </c>
      <c r="Q419" s="125">
        <v>0.85</v>
      </c>
      <c r="R419" s="125">
        <v>0</v>
      </c>
      <c r="S419" s="125">
        <v>56.57</v>
      </c>
      <c r="T419" s="125">
        <v>372</v>
      </c>
      <c r="U419" s="125">
        <v>276</v>
      </c>
      <c r="V419" s="125">
        <v>8</v>
      </c>
      <c r="W419" s="125">
        <v>40</v>
      </c>
      <c r="X419" s="125">
        <v>0</v>
      </c>
      <c r="Y419" s="125">
        <v>1</v>
      </c>
      <c r="Z419" s="125">
        <v>12.81</v>
      </c>
      <c r="AA419" s="125">
        <v>786</v>
      </c>
      <c r="AB419" s="125">
        <v>704</v>
      </c>
      <c r="AC419" s="125">
        <v>7999</v>
      </c>
      <c r="AD419" s="125">
        <v>4</v>
      </c>
      <c r="AE419" s="125">
        <v>1873</v>
      </c>
      <c r="AF419" s="125">
        <v>1503</v>
      </c>
      <c r="AG419" s="125">
        <v>0</v>
      </c>
      <c r="AH419" s="125">
        <v>0</v>
      </c>
      <c r="AI419" s="121">
        <v>96846709</v>
      </c>
      <c r="AJ419" s="121">
        <v>22152127</v>
      </c>
      <c r="AK419" s="424">
        <v>12</v>
      </c>
      <c r="AL419">
        <v>0</v>
      </c>
      <c r="AM419" s="121">
        <v>2223100</v>
      </c>
      <c r="AN419" s="125">
        <v>4</v>
      </c>
      <c r="AO419" s="125">
        <v>0</v>
      </c>
      <c r="AP419" s="121">
        <v>118998836</v>
      </c>
      <c r="AQ419" s="114">
        <v>0</v>
      </c>
      <c r="AR419" s="121">
        <v>5911.5470237999998</v>
      </c>
      <c r="AS419" s="121">
        <v>1161637.5538000001</v>
      </c>
      <c r="AT419" s="121">
        <v>152987.14493000001</v>
      </c>
      <c r="AU419" s="420" t="s">
        <v>2001</v>
      </c>
      <c r="AV419" s="420" t="s">
        <v>2001</v>
      </c>
      <c r="AW419" s="121">
        <v>0</v>
      </c>
      <c r="AX419" s="121">
        <v>43082394</v>
      </c>
      <c r="BI419">
        <v>0</v>
      </c>
      <c r="BJ419" s="121">
        <v>0</v>
      </c>
      <c r="BK419" s="134">
        <v>8868746218</v>
      </c>
      <c r="BL419" s="934">
        <v>4793</v>
      </c>
      <c r="BM419" s="934">
        <v>4819</v>
      </c>
      <c r="BN419" s="934">
        <v>4819</v>
      </c>
      <c r="BO419" s="114">
        <v>0</v>
      </c>
      <c r="BP419" s="114">
        <v>0</v>
      </c>
    </row>
    <row r="420" spans="1:68">
      <c r="A420" t="s">
        <v>55</v>
      </c>
      <c r="B420" t="s">
        <v>450</v>
      </c>
      <c r="C420" s="121">
        <v>5240</v>
      </c>
      <c r="D420" s="72">
        <v>3</v>
      </c>
      <c r="E420">
        <v>15077.966</v>
      </c>
      <c r="F420">
        <v>3793</v>
      </c>
      <c r="G420">
        <v>2417</v>
      </c>
      <c r="H420">
        <v>585</v>
      </c>
      <c r="I420" s="173">
        <v>1.1266</v>
      </c>
      <c r="J420" s="121">
        <v>15654942784</v>
      </c>
      <c r="K420" s="125">
        <v>66997.534</v>
      </c>
      <c r="L420" s="173">
        <v>1.63</v>
      </c>
      <c r="M420">
        <v>1.1266</v>
      </c>
      <c r="N420">
        <v>1.0866666721</v>
      </c>
      <c r="O420">
        <v>3.9933327900000037</v>
      </c>
      <c r="P420">
        <v>54420.112000000001</v>
      </c>
      <c r="Q420" s="125">
        <v>2.7210000000000001</v>
      </c>
      <c r="R420" s="125">
        <v>0</v>
      </c>
      <c r="S420" s="125">
        <v>94.138000000000005</v>
      </c>
      <c r="T420" s="125">
        <v>858.47699999999998</v>
      </c>
      <c r="U420" s="125">
        <v>421.49799999999999</v>
      </c>
      <c r="V420" s="125">
        <v>0</v>
      </c>
      <c r="W420" s="125">
        <v>17.414000000000001</v>
      </c>
      <c r="X420" s="125">
        <v>0</v>
      </c>
      <c r="Y420" s="125">
        <v>0</v>
      </c>
      <c r="Z420" s="125">
        <v>6.53</v>
      </c>
      <c r="AA420" s="125">
        <v>897.93200000000002</v>
      </c>
      <c r="AB420" s="125">
        <v>1433.85</v>
      </c>
      <c r="AC420" s="125">
        <v>17130.2</v>
      </c>
      <c r="AD420" s="125">
        <v>8.782</v>
      </c>
      <c r="AE420" s="125">
        <v>7222.7629999999999</v>
      </c>
      <c r="AF420" s="125">
        <v>2721.0056</v>
      </c>
      <c r="AG420" s="125">
        <v>0</v>
      </c>
      <c r="AH420" s="125">
        <v>0</v>
      </c>
      <c r="AI420" s="121">
        <v>186205669</v>
      </c>
      <c r="AJ420" s="121">
        <v>45519321</v>
      </c>
      <c r="AK420" s="424">
        <v>12</v>
      </c>
      <c r="AL420">
        <v>0</v>
      </c>
      <c r="AM420" s="121">
        <v>2335362</v>
      </c>
      <c r="AN420" s="125">
        <v>3</v>
      </c>
      <c r="AO420" s="125">
        <v>1</v>
      </c>
      <c r="AP420" s="121">
        <v>231724990</v>
      </c>
      <c r="AQ420" s="114">
        <v>0</v>
      </c>
      <c r="AR420" s="121">
        <v>10434.950798</v>
      </c>
      <c r="AS420" s="121">
        <v>2050500.5999</v>
      </c>
      <c r="AT420" s="121">
        <v>270050.00952000002</v>
      </c>
      <c r="AU420" s="420" t="s">
        <v>2001</v>
      </c>
      <c r="AV420" s="420" t="s">
        <v>2001</v>
      </c>
      <c r="AW420" s="121">
        <v>0</v>
      </c>
      <c r="AX420" s="121">
        <v>67758215</v>
      </c>
      <c r="BI420">
        <v>0</v>
      </c>
      <c r="BJ420" s="121">
        <v>0</v>
      </c>
      <c r="BK420" s="134">
        <v>15654942784</v>
      </c>
      <c r="BL420" s="934">
        <v>5077</v>
      </c>
      <c r="BM420" s="934">
        <v>5181</v>
      </c>
      <c r="BN420" s="934">
        <v>5240</v>
      </c>
      <c r="BO420" s="114">
        <v>0</v>
      </c>
      <c r="BP420" s="114">
        <v>0</v>
      </c>
    </row>
    <row r="421" spans="1:68">
      <c r="A421" t="s">
        <v>62</v>
      </c>
      <c r="B421" t="s">
        <v>2980</v>
      </c>
      <c r="C421" s="121">
        <v>4806</v>
      </c>
      <c r="D421" s="72">
        <v>2</v>
      </c>
      <c r="E421">
        <v>12252.272999999999</v>
      </c>
      <c r="F421">
        <v>3011</v>
      </c>
      <c r="G421">
        <v>2069</v>
      </c>
      <c r="H421">
        <v>126</v>
      </c>
      <c r="I421" s="173">
        <v>1.04</v>
      </c>
      <c r="J421" s="121">
        <v>11552402677</v>
      </c>
      <c r="K421" s="125">
        <v>51631.735999999997</v>
      </c>
      <c r="L421" s="173">
        <v>1.5</v>
      </c>
      <c r="M421">
        <v>1.04</v>
      </c>
      <c r="N421">
        <v>1.000000005</v>
      </c>
      <c r="O421">
        <v>3.9999995000000066</v>
      </c>
      <c r="P421">
        <v>40968.203999999998</v>
      </c>
      <c r="Q421" s="125">
        <v>4.2069999999999999</v>
      </c>
      <c r="R421" s="125">
        <v>0</v>
      </c>
      <c r="S421" s="125">
        <v>43.859000000000002</v>
      </c>
      <c r="T421" s="125">
        <v>660.101</v>
      </c>
      <c r="U421" s="125">
        <v>284.13099999999997</v>
      </c>
      <c r="V421" s="125">
        <v>11.609</v>
      </c>
      <c r="W421" s="125">
        <v>101.07899999999999</v>
      </c>
      <c r="X421" s="125">
        <v>0</v>
      </c>
      <c r="Y421" s="125">
        <v>0</v>
      </c>
      <c r="Z421" s="125">
        <v>131.477</v>
      </c>
      <c r="AA421" s="125">
        <v>979.41600000000005</v>
      </c>
      <c r="AB421" s="125">
        <v>1720</v>
      </c>
      <c r="AC421" s="125">
        <v>14363.7</v>
      </c>
      <c r="AD421" s="125">
        <v>9.7750000000000004</v>
      </c>
      <c r="AE421" s="125">
        <v>4396.1419999999998</v>
      </c>
      <c r="AF421" s="125">
        <v>2048.41</v>
      </c>
      <c r="AG421" s="125">
        <v>0</v>
      </c>
      <c r="AH421" s="125">
        <v>0</v>
      </c>
      <c r="AI421" s="121">
        <v>126152237</v>
      </c>
      <c r="AJ421" s="121">
        <v>21213439</v>
      </c>
      <c r="AK421" s="424">
        <v>12</v>
      </c>
      <c r="AL421">
        <v>0</v>
      </c>
      <c r="AM421" s="121">
        <v>1945703</v>
      </c>
      <c r="AN421" s="125">
        <v>1</v>
      </c>
      <c r="AO421" s="125">
        <v>1</v>
      </c>
      <c r="AP421" s="121">
        <v>147365676</v>
      </c>
      <c r="AQ421" s="114">
        <v>0</v>
      </c>
      <c r="AR421" s="121">
        <v>7700.3637250000002</v>
      </c>
      <c r="AS421" s="121">
        <v>1513145.6529000001</v>
      </c>
      <c r="AT421" s="121">
        <v>199280.60394999999</v>
      </c>
      <c r="AU421" s="420" t="s">
        <v>2001</v>
      </c>
      <c r="AV421" s="420" t="s">
        <v>2001</v>
      </c>
      <c r="AW421" s="121">
        <v>0</v>
      </c>
      <c r="AX421" s="121">
        <v>30301385</v>
      </c>
      <c r="BI421">
        <v>0</v>
      </c>
      <c r="BJ421" s="121">
        <v>0</v>
      </c>
      <c r="BK421" s="134">
        <v>11552402677</v>
      </c>
      <c r="BL421" s="934">
        <v>4787</v>
      </c>
      <c r="BM421" s="934">
        <v>4806</v>
      </c>
      <c r="BN421" s="934">
        <v>4806</v>
      </c>
      <c r="BO421" s="114">
        <v>0</v>
      </c>
      <c r="BP421" s="114">
        <v>0</v>
      </c>
    </row>
    <row r="422" spans="1:68">
      <c r="A422" t="s">
        <v>2922</v>
      </c>
      <c r="B422" t="s">
        <v>527</v>
      </c>
      <c r="C422" s="121">
        <v>5306</v>
      </c>
      <c r="D422" s="72">
        <v>2</v>
      </c>
      <c r="E422">
        <v>2162.297</v>
      </c>
      <c r="F422">
        <v>531</v>
      </c>
      <c r="G422">
        <v>432</v>
      </c>
      <c r="H422">
        <v>131</v>
      </c>
      <c r="I422" s="173">
        <v>1.04</v>
      </c>
      <c r="J422" s="121">
        <v>5701956302</v>
      </c>
      <c r="K422" s="125">
        <v>9300.2960000000003</v>
      </c>
      <c r="L422" s="173">
        <v>1.5</v>
      </c>
      <c r="M422">
        <v>1.04</v>
      </c>
      <c r="N422">
        <v>1.000000005</v>
      </c>
      <c r="O422">
        <v>3.9999995000000066</v>
      </c>
      <c r="P422">
        <v>7287.2820000000002</v>
      </c>
      <c r="Q422" s="125">
        <v>0.6</v>
      </c>
      <c r="R422" s="125">
        <v>0</v>
      </c>
      <c r="S422" s="125">
        <v>11.564</v>
      </c>
      <c r="T422" s="125">
        <v>93.817999999999998</v>
      </c>
      <c r="U422" s="125">
        <v>42.847999999999999</v>
      </c>
      <c r="V422" s="125">
        <v>3.6760000000000002</v>
      </c>
      <c r="W422" s="125">
        <v>2.637</v>
      </c>
      <c r="X422" s="125">
        <v>0</v>
      </c>
      <c r="Y422" s="125">
        <v>1.9930000000000001</v>
      </c>
      <c r="Z422" s="125">
        <v>3.7719999999999998</v>
      </c>
      <c r="AA422" s="125">
        <v>332.67399999999998</v>
      </c>
      <c r="AB422" s="125">
        <v>228.21199999999999</v>
      </c>
      <c r="AC422" s="125">
        <v>3265.2</v>
      </c>
      <c r="AD422" s="125">
        <v>3.758</v>
      </c>
      <c r="AE422" s="125">
        <v>444.37400000000002</v>
      </c>
      <c r="AF422" s="125">
        <v>364.36399999999998</v>
      </c>
      <c r="AG422" s="125">
        <v>0</v>
      </c>
      <c r="AH422" s="125">
        <v>0</v>
      </c>
      <c r="AI422" s="121">
        <v>61187242</v>
      </c>
      <c r="AJ422" s="121">
        <v>12983705</v>
      </c>
      <c r="AK422" s="424">
        <v>12</v>
      </c>
      <c r="AL422">
        <v>0</v>
      </c>
      <c r="AM422" s="121">
        <v>504045</v>
      </c>
      <c r="AN422" s="125">
        <v>0.94299999999999995</v>
      </c>
      <c r="AO422" s="125">
        <v>1</v>
      </c>
      <c r="AP422" s="121">
        <v>74170947</v>
      </c>
      <c r="AQ422" s="114">
        <v>0</v>
      </c>
      <c r="AR422" s="121">
        <v>0</v>
      </c>
      <c r="AS422" s="121">
        <v>0</v>
      </c>
      <c r="AT422" s="121">
        <v>0</v>
      </c>
      <c r="AU422" s="420" t="s">
        <v>798</v>
      </c>
      <c r="AV422" s="420" t="s">
        <v>2001</v>
      </c>
      <c r="AW422" s="121">
        <v>0</v>
      </c>
      <c r="AX422" s="121">
        <v>10622441</v>
      </c>
      <c r="AY422" s="134">
        <v>14927545</v>
      </c>
      <c r="AZ422" s="134">
        <v>19417505</v>
      </c>
      <c r="BA422" s="134">
        <v>8212</v>
      </c>
      <c r="BB422" s="134">
        <v>2950398018</v>
      </c>
      <c r="BC422" s="114">
        <v>0</v>
      </c>
      <c r="BD422" s="114">
        <v>0</v>
      </c>
      <c r="BE422" s="114">
        <v>0</v>
      </c>
      <c r="BF422" s="134">
        <v>7905</v>
      </c>
      <c r="BG422" s="114">
        <v>0</v>
      </c>
      <c r="BH422" s="114">
        <v>0</v>
      </c>
      <c r="BI422">
        <v>0</v>
      </c>
      <c r="BJ422" s="121">
        <v>6615</v>
      </c>
      <c r="BK422" s="134">
        <v>5701956302</v>
      </c>
      <c r="BL422" s="934">
        <v>4942</v>
      </c>
      <c r="BM422" s="934">
        <v>5306</v>
      </c>
      <c r="BN422" s="934">
        <v>5187</v>
      </c>
      <c r="BO422" s="114">
        <v>0</v>
      </c>
      <c r="BP422" s="114">
        <v>0</v>
      </c>
    </row>
    <row r="423" spans="1:68">
      <c r="A423" t="s">
        <v>234</v>
      </c>
      <c r="B423" t="s">
        <v>302</v>
      </c>
      <c r="C423" s="121">
        <v>4720</v>
      </c>
      <c r="D423" s="72">
        <v>2</v>
      </c>
      <c r="E423">
        <v>12030.348</v>
      </c>
      <c r="F423">
        <v>3746</v>
      </c>
      <c r="G423">
        <v>2676</v>
      </c>
      <c r="H423">
        <v>314</v>
      </c>
      <c r="I423" s="173">
        <v>1.07</v>
      </c>
      <c r="J423" s="121">
        <v>9922013194</v>
      </c>
      <c r="K423" s="125">
        <v>64516.031999999999</v>
      </c>
      <c r="L423" s="173">
        <v>1.5449999999999999</v>
      </c>
      <c r="M423">
        <v>1.07</v>
      </c>
      <c r="N423">
        <v>1.03000000515</v>
      </c>
      <c r="O423">
        <v>3.9999994850000054</v>
      </c>
      <c r="P423">
        <v>48055.764999999999</v>
      </c>
      <c r="Q423" s="125">
        <v>2.8660000000000001</v>
      </c>
      <c r="R423" s="125">
        <v>0</v>
      </c>
      <c r="S423" s="125">
        <v>83.518000000000001</v>
      </c>
      <c r="T423" s="125">
        <v>798.18700000000001</v>
      </c>
      <c r="U423" s="125">
        <v>363.03800000000001</v>
      </c>
      <c r="V423" s="125">
        <v>7.6740000000000004</v>
      </c>
      <c r="W423" s="125">
        <v>5.5780000000000003</v>
      </c>
      <c r="X423" s="125">
        <v>0</v>
      </c>
      <c r="Y423" s="125">
        <v>4.1260000000000003</v>
      </c>
      <c r="Z423" s="125">
        <v>0.94</v>
      </c>
      <c r="AA423" s="125">
        <v>514.33199999999999</v>
      </c>
      <c r="AB423" s="125">
        <v>1548.7059999999999</v>
      </c>
      <c r="AC423" s="125">
        <v>38223.4</v>
      </c>
      <c r="AD423" s="125">
        <v>22.408999999999999</v>
      </c>
      <c r="AE423" s="125">
        <v>11976.004000000001</v>
      </c>
      <c r="AF423" s="125">
        <v>2402.788</v>
      </c>
      <c r="AG423" s="125">
        <v>0</v>
      </c>
      <c r="AH423" s="125">
        <v>0</v>
      </c>
      <c r="AI423" s="121">
        <v>111473818</v>
      </c>
      <c r="AJ423" s="121">
        <v>23558495</v>
      </c>
      <c r="AK423" s="424">
        <v>12</v>
      </c>
      <c r="AL423">
        <v>0</v>
      </c>
      <c r="AM423" s="121">
        <v>1476409</v>
      </c>
      <c r="AN423" s="125">
        <v>1</v>
      </c>
      <c r="AO423" s="125">
        <v>0</v>
      </c>
      <c r="AP423" s="121">
        <v>135032313</v>
      </c>
      <c r="AQ423" s="114">
        <v>0</v>
      </c>
      <c r="AR423" s="121">
        <v>6613.6121302000001</v>
      </c>
      <c r="AS423" s="121">
        <v>1299595.5519000001</v>
      </c>
      <c r="AT423" s="121">
        <v>171156.15140999999</v>
      </c>
      <c r="AU423" s="420" t="s">
        <v>2001</v>
      </c>
      <c r="AV423" s="420" t="s">
        <v>2001</v>
      </c>
      <c r="AW423" s="121">
        <v>0</v>
      </c>
      <c r="AX423" s="121">
        <v>35686593</v>
      </c>
      <c r="BI423">
        <v>0</v>
      </c>
      <c r="BJ423" s="121">
        <v>0</v>
      </c>
      <c r="BK423" s="134">
        <v>9922013194</v>
      </c>
      <c r="BL423" s="934">
        <v>4587</v>
      </c>
      <c r="BM423" s="934">
        <v>4720</v>
      </c>
      <c r="BN423" s="934">
        <v>4615</v>
      </c>
      <c r="BO423" s="114">
        <v>0</v>
      </c>
      <c r="BP423" s="114">
        <v>0</v>
      </c>
    </row>
    <row r="424" spans="1:68">
      <c r="A424" t="s">
        <v>743</v>
      </c>
      <c r="B424" t="s">
        <v>528</v>
      </c>
      <c r="C424" s="121">
        <v>4851</v>
      </c>
      <c r="D424" s="72">
        <v>2</v>
      </c>
      <c r="E424">
        <v>8198.7669999999998</v>
      </c>
      <c r="F424">
        <v>1776</v>
      </c>
      <c r="G424">
        <v>1478</v>
      </c>
      <c r="H424">
        <v>50</v>
      </c>
      <c r="I424" s="173">
        <v>1.04</v>
      </c>
      <c r="J424" s="121">
        <v>7685407632</v>
      </c>
      <c r="K424" s="125">
        <v>46154.235999999997</v>
      </c>
      <c r="L424" s="173">
        <v>1.5</v>
      </c>
      <c r="M424">
        <v>1.04</v>
      </c>
      <c r="N424">
        <v>1.000000005</v>
      </c>
      <c r="O424">
        <v>3.9999995000000066</v>
      </c>
      <c r="P424">
        <v>34216</v>
      </c>
      <c r="Q424" s="125">
        <v>8.0299999999999994</v>
      </c>
      <c r="R424" s="125">
        <v>0</v>
      </c>
      <c r="S424" s="125">
        <v>78.010000000000005</v>
      </c>
      <c r="T424" s="125">
        <v>856.95</v>
      </c>
      <c r="U424" s="125">
        <v>410.7</v>
      </c>
      <c r="V424" s="125">
        <v>0</v>
      </c>
      <c r="W424" s="125">
        <v>30.97</v>
      </c>
      <c r="X424" s="125">
        <v>0</v>
      </c>
      <c r="Y424" s="125">
        <v>0</v>
      </c>
      <c r="Z424" s="125">
        <v>136.52000000000001</v>
      </c>
      <c r="AA424" s="125">
        <v>127.29</v>
      </c>
      <c r="AB424" s="125">
        <v>1385</v>
      </c>
      <c r="AC424" s="125">
        <v>23835</v>
      </c>
      <c r="AD424" s="125">
        <v>11.737</v>
      </c>
      <c r="AE424" s="125">
        <v>5015</v>
      </c>
      <c r="AF424" s="125">
        <v>1710.8</v>
      </c>
      <c r="AG424" s="125">
        <v>0</v>
      </c>
      <c r="AH424" s="125">
        <v>0</v>
      </c>
      <c r="AI424" s="121">
        <v>84763898</v>
      </c>
      <c r="AJ424" s="121">
        <v>28882704</v>
      </c>
      <c r="AK424" s="424">
        <v>12</v>
      </c>
      <c r="AL424">
        <v>0</v>
      </c>
      <c r="AM424" s="121">
        <v>2342289</v>
      </c>
      <c r="AN424" s="125">
        <v>1</v>
      </c>
      <c r="AO424" s="125">
        <v>0</v>
      </c>
      <c r="AP424" s="121">
        <v>113646602</v>
      </c>
      <c r="AQ424" s="114">
        <v>0</v>
      </c>
      <c r="AR424" s="121">
        <v>5122.7814503999998</v>
      </c>
      <c r="AS424" s="121">
        <v>1006642.6417</v>
      </c>
      <c r="AT424" s="121">
        <v>132574.38451</v>
      </c>
      <c r="AU424" s="420" t="s">
        <v>2001</v>
      </c>
      <c r="AV424" s="420" t="s">
        <v>2001</v>
      </c>
      <c r="AW424" s="121">
        <v>0</v>
      </c>
      <c r="AX424" s="121">
        <v>44119341</v>
      </c>
      <c r="BI424">
        <v>0</v>
      </c>
      <c r="BJ424" s="121">
        <v>0</v>
      </c>
      <c r="BK424" s="134">
        <v>7685407632</v>
      </c>
      <c r="BL424" s="934">
        <v>4732</v>
      </c>
      <c r="BM424" s="934">
        <v>4851</v>
      </c>
      <c r="BN424" s="934">
        <v>4804</v>
      </c>
      <c r="BO424" s="114">
        <v>0</v>
      </c>
      <c r="BP424" s="114">
        <v>0</v>
      </c>
    </row>
    <row r="425" spans="1:68">
      <c r="A425" t="s">
        <v>918</v>
      </c>
      <c r="B425" t="s">
        <v>2505</v>
      </c>
      <c r="C425" s="121">
        <v>5268</v>
      </c>
      <c r="D425" s="72">
        <v>3</v>
      </c>
      <c r="E425">
        <v>8050.3059999999996</v>
      </c>
      <c r="F425">
        <v>2397</v>
      </c>
      <c r="G425">
        <v>1385</v>
      </c>
      <c r="H425">
        <v>225</v>
      </c>
      <c r="I425" s="173">
        <v>1.0900000000000001</v>
      </c>
      <c r="J425" s="121">
        <v>16894509877</v>
      </c>
      <c r="K425" s="125">
        <v>40669.85</v>
      </c>
      <c r="L425" s="173">
        <v>1.575</v>
      </c>
      <c r="M425">
        <v>1.0900000000000001</v>
      </c>
      <c r="N425">
        <v>1.05000000525</v>
      </c>
      <c r="O425">
        <v>3.9999994750000045</v>
      </c>
      <c r="P425">
        <v>29372.266</v>
      </c>
      <c r="Q425" s="125">
        <v>2.6059999999999999</v>
      </c>
      <c r="R425" s="125">
        <v>16.271999999999998</v>
      </c>
      <c r="S425" s="125">
        <v>60.506999999999998</v>
      </c>
      <c r="T425" s="125">
        <v>676.16300000000001</v>
      </c>
      <c r="U425" s="125">
        <v>214.70099999999999</v>
      </c>
      <c r="V425" s="125">
        <v>4.4530000000000003</v>
      </c>
      <c r="W425" s="125">
        <v>31.350999999999999</v>
      </c>
      <c r="X425" s="125">
        <v>0</v>
      </c>
      <c r="Y425" s="125">
        <v>0</v>
      </c>
      <c r="Z425" s="125">
        <v>8.3740000000000006</v>
      </c>
      <c r="AA425" s="125">
        <v>1154.0940000000001</v>
      </c>
      <c r="AB425" s="125">
        <v>1358.4639999999999</v>
      </c>
      <c r="AC425" s="125">
        <v>20228.400000000001</v>
      </c>
      <c r="AD425" s="125">
        <v>14.039</v>
      </c>
      <c r="AE425" s="125">
        <v>9683.4660000000003</v>
      </c>
      <c r="AF425" s="125">
        <v>1468.6130000000001</v>
      </c>
      <c r="AG425" s="125">
        <v>0</v>
      </c>
      <c r="AH425" s="125">
        <v>0</v>
      </c>
      <c r="AI425" s="121">
        <v>191424089</v>
      </c>
      <c r="AJ425" s="121">
        <v>26881641</v>
      </c>
      <c r="AK425" s="424">
        <v>12</v>
      </c>
      <c r="AL425">
        <v>0</v>
      </c>
      <c r="AM425" s="121">
        <v>1030558</v>
      </c>
      <c r="AN425" s="125">
        <v>1</v>
      </c>
      <c r="AO425" s="125">
        <v>1</v>
      </c>
      <c r="AP425" s="121">
        <v>218305730</v>
      </c>
      <c r="AQ425" s="114">
        <v>0</v>
      </c>
      <c r="AR425" s="121">
        <v>0</v>
      </c>
      <c r="AS425" s="121">
        <v>0</v>
      </c>
      <c r="AT425" s="121">
        <v>0</v>
      </c>
      <c r="AU425" s="420" t="s">
        <v>798</v>
      </c>
      <c r="AV425" s="420" t="s">
        <v>2001</v>
      </c>
      <c r="AW425" s="121">
        <v>0</v>
      </c>
      <c r="AX425" s="121">
        <v>34863312</v>
      </c>
      <c r="AY425" s="134">
        <v>42721088</v>
      </c>
      <c r="AZ425" s="134">
        <v>73982388</v>
      </c>
      <c r="BA425" s="134">
        <v>30862</v>
      </c>
      <c r="BB425" s="134">
        <v>8425709245</v>
      </c>
      <c r="BC425" s="114">
        <v>0</v>
      </c>
      <c r="BD425" s="114">
        <v>0</v>
      </c>
      <c r="BE425" s="114">
        <v>0</v>
      </c>
      <c r="BF425" s="134">
        <v>31955</v>
      </c>
      <c r="BG425" s="114">
        <v>0</v>
      </c>
      <c r="BH425" s="114">
        <v>0</v>
      </c>
      <c r="BI425">
        <v>0</v>
      </c>
      <c r="BJ425" s="121">
        <v>0</v>
      </c>
      <c r="BK425" s="134">
        <v>16894509877</v>
      </c>
      <c r="BL425" s="934">
        <v>4826</v>
      </c>
      <c r="BM425" s="934">
        <v>5112</v>
      </c>
      <c r="BN425" s="934">
        <v>5268</v>
      </c>
      <c r="BO425" s="114">
        <v>0</v>
      </c>
      <c r="BP425" s="114">
        <v>0</v>
      </c>
    </row>
    <row r="426" spans="1:68">
      <c r="A426" t="s">
        <v>2221</v>
      </c>
      <c r="B426" t="s">
        <v>2506</v>
      </c>
      <c r="C426" s="121">
        <v>5783</v>
      </c>
      <c r="D426" s="72">
        <v>2</v>
      </c>
      <c r="E426">
        <v>2525.9540000000002</v>
      </c>
      <c r="F426">
        <v>628</v>
      </c>
      <c r="G426">
        <v>517</v>
      </c>
      <c r="H426">
        <v>52</v>
      </c>
      <c r="I426" s="173">
        <v>1</v>
      </c>
      <c r="J426" s="121">
        <v>4147331659</v>
      </c>
      <c r="K426" s="125">
        <v>11105.561</v>
      </c>
      <c r="L426" s="173">
        <v>1.44</v>
      </c>
      <c r="M426">
        <v>1</v>
      </c>
      <c r="N426">
        <v>0.96000000480000003</v>
      </c>
      <c r="O426">
        <v>3.9999995199999971</v>
      </c>
      <c r="P426">
        <v>9270.6749999999993</v>
      </c>
      <c r="Q426" s="125">
        <v>0.56000000000000005</v>
      </c>
      <c r="R426" s="125">
        <v>0.19700000000000001</v>
      </c>
      <c r="S426" s="125">
        <v>8.6229999999999993</v>
      </c>
      <c r="T426" s="125">
        <v>111.211</v>
      </c>
      <c r="U426" s="125">
        <v>59.237000000000002</v>
      </c>
      <c r="V426" s="125">
        <v>0.26500000000000001</v>
      </c>
      <c r="W426" s="125">
        <v>5.8890000000000002</v>
      </c>
      <c r="X426" s="125">
        <v>0</v>
      </c>
      <c r="Y426" s="125">
        <v>0</v>
      </c>
      <c r="Z426" s="125">
        <v>9.4819999999999993</v>
      </c>
      <c r="AA426" s="125">
        <v>222.22800000000001</v>
      </c>
      <c r="AB426" s="125">
        <v>316.904</v>
      </c>
      <c r="AC426" s="125">
        <v>2080.3000000000002</v>
      </c>
      <c r="AD426" s="125">
        <v>0.81499999999999995</v>
      </c>
      <c r="AE426" s="125">
        <v>660.15800000000002</v>
      </c>
      <c r="AF426" s="125">
        <v>463.53375</v>
      </c>
      <c r="AG426" s="125">
        <v>0</v>
      </c>
      <c r="AH426" s="125">
        <v>0</v>
      </c>
      <c r="AI426" s="121">
        <v>43730888</v>
      </c>
      <c r="AJ426" s="121">
        <v>10704612</v>
      </c>
      <c r="AK426" s="424">
        <v>12</v>
      </c>
      <c r="AL426">
        <v>0</v>
      </c>
      <c r="AM426" s="121">
        <v>782999</v>
      </c>
      <c r="AN426" s="125">
        <v>0</v>
      </c>
      <c r="AO426" s="125">
        <v>0</v>
      </c>
      <c r="AP426" s="121">
        <v>54435500</v>
      </c>
      <c r="AQ426" s="114">
        <v>0</v>
      </c>
      <c r="AR426" s="121">
        <v>1250.9797338000001</v>
      </c>
      <c r="AS426" s="121">
        <v>245821.44605</v>
      </c>
      <c r="AT426" s="121">
        <v>32374.574213</v>
      </c>
      <c r="AU426" s="420" t="s">
        <v>798</v>
      </c>
      <c r="AV426" s="420" t="s">
        <v>2001</v>
      </c>
      <c r="AW426" s="121">
        <v>0</v>
      </c>
      <c r="AX426" s="121">
        <v>11044979</v>
      </c>
      <c r="AY426" s="134">
        <v>6173947</v>
      </c>
      <c r="AZ426" s="134">
        <v>13780497</v>
      </c>
      <c r="BA426" s="134">
        <v>5597</v>
      </c>
      <c r="BB426" s="134">
        <v>1528041262</v>
      </c>
      <c r="BC426" s="114">
        <v>0</v>
      </c>
      <c r="BD426" s="114">
        <v>0</v>
      </c>
      <c r="BE426" s="114">
        <v>0</v>
      </c>
      <c r="BF426" s="134">
        <v>9336</v>
      </c>
      <c r="BG426" s="114">
        <v>0</v>
      </c>
      <c r="BH426" s="114">
        <v>0</v>
      </c>
      <c r="BI426">
        <v>0</v>
      </c>
      <c r="BJ426" s="121">
        <v>0</v>
      </c>
      <c r="BK426" s="134">
        <v>4147331659</v>
      </c>
      <c r="BL426" s="934">
        <v>5157</v>
      </c>
      <c r="BM426" s="934">
        <v>5783</v>
      </c>
      <c r="BN426" s="934">
        <v>5605</v>
      </c>
      <c r="BO426" s="114">
        <v>0</v>
      </c>
      <c r="BP426" s="114">
        <v>0</v>
      </c>
    </row>
    <row r="427" spans="1:68">
      <c r="A427" t="s">
        <v>2222</v>
      </c>
      <c r="B427" t="s">
        <v>2507</v>
      </c>
      <c r="C427" s="121">
        <v>6197</v>
      </c>
      <c r="D427" s="72">
        <v>2</v>
      </c>
      <c r="E427">
        <v>1376.2270000000001</v>
      </c>
      <c r="F427">
        <v>433</v>
      </c>
      <c r="G427">
        <v>311</v>
      </c>
      <c r="H427">
        <v>0</v>
      </c>
      <c r="I427" s="173">
        <v>1.04</v>
      </c>
      <c r="J427" s="121">
        <v>3329910645</v>
      </c>
      <c r="K427" s="125">
        <v>7596.9</v>
      </c>
      <c r="L427" s="173">
        <v>1.5</v>
      </c>
      <c r="M427">
        <v>1.04</v>
      </c>
      <c r="N427">
        <v>1.000000005</v>
      </c>
      <c r="O427">
        <v>3.9999995000000066</v>
      </c>
      <c r="P427">
        <v>5692.518</v>
      </c>
      <c r="Q427" s="125">
        <v>0.35199999999999998</v>
      </c>
      <c r="R427" s="125">
        <v>0</v>
      </c>
      <c r="S427" s="125">
        <v>6.62</v>
      </c>
      <c r="T427" s="125">
        <v>112.452</v>
      </c>
      <c r="U427" s="125">
        <v>32.040999999999997</v>
      </c>
      <c r="V427" s="125">
        <v>11.105</v>
      </c>
      <c r="W427" s="125">
        <v>0.96199999999999997</v>
      </c>
      <c r="X427" s="125">
        <v>0</v>
      </c>
      <c r="Y427" s="125">
        <v>0</v>
      </c>
      <c r="Z427" s="125">
        <v>0</v>
      </c>
      <c r="AA427" s="125">
        <v>128.35400000000001</v>
      </c>
      <c r="AB427" s="125">
        <v>208.214</v>
      </c>
      <c r="AC427" s="125">
        <v>4204.8999999999996</v>
      </c>
      <c r="AD427" s="125">
        <v>2.2690000000000001</v>
      </c>
      <c r="AE427" s="125">
        <v>1128.8140000000001</v>
      </c>
      <c r="AF427" s="125">
        <v>284.6259</v>
      </c>
      <c r="AG427" s="125">
        <v>0</v>
      </c>
      <c r="AH427" s="125">
        <v>0</v>
      </c>
      <c r="AI427" s="121">
        <v>37049481</v>
      </c>
      <c r="AJ427" s="121">
        <v>6854595</v>
      </c>
      <c r="AK427" s="424">
        <v>12</v>
      </c>
      <c r="AL427">
        <v>0</v>
      </c>
      <c r="AM427" s="121">
        <v>582029</v>
      </c>
      <c r="AN427" s="125">
        <v>0</v>
      </c>
      <c r="AO427" s="125">
        <v>0</v>
      </c>
      <c r="AP427" s="121">
        <v>43904076</v>
      </c>
      <c r="AQ427" s="114">
        <v>0</v>
      </c>
      <c r="AR427" s="121">
        <v>0</v>
      </c>
      <c r="AS427" s="121">
        <v>0</v>
      </c>
      <c r="AT427" s="121">
        <v>0</v>
      </c>
      <c r="AU427" s="420" t="s">
        <v>798</v>
      </c>
      <c r="AV427" s="420" t="s">
        <v>2001</v>
      </c>
      <c r="AW427" s="121">
        <v>0</v>
      </c>
      <c r="AX427" s="121">
        <v>8464123</v>
      </c>
      <c r="AY427" s="134">
        <v>4844480</v>
      </c>
      <c r="AZ427" s="134">
        <v>11225403</v>
      </c>
      <c r="BA427" s="134">
        <v>4633</v>
      </c>
      <c r="BB427" s="134">
        <v>1503188464</v>
      </c>
      <c r="BC427" s="114">
        <v>0</v>
      </c>
      <c r="BD427" s="114">
        <v>0</v>
      </c>
      <c r="BE427" s="114">
        <v>0</v>
      </c>
      <c r="BF427" s="134">
        <v>5774</v>
      </c>
      <c r="BG427" s="114">
        <v>0</v>
      </c>
      <c r="BH427" s="114">
        <v>0</v>
      </c>
      <c r="BI427">
        <v>0</v>
      </c>
      <c r="BJ427" s="121">
        <v>0</v>
      </c>
      <c r="BK427" s="134">
        <v>3329910645</v>
      </c>
      <c r="BL427" s="934">
        <v>5175</v>
      </c>
      <c r="BM427" s="934">
        <v>6197</v>
      </c>
      <c r="BN427" s="934">
        <v>5226</v>
      </c>
      <c r="BO427" s="114">
        <v>0</v>
      </c>
      <c r="BP427" s="114">
        <v>0</v>
      </c>
    </row>
    <row r="428" spans="1:68">
      <c r="A428" t="s">
        <v>979</v>
      </c>
      <c r="B428" t="s">
        <v>2734</v>
      </c>
      <c r="C428" s="121">
        <v>4831</v>
      </c>
      <c r="D428" s="72">
        <v>1</v>
      </c>
      <c r="E428">
        <v>867.37300000000005</v>
      </c>
      <c r="F428">
        <v>202</v>
      </c>
      <c r="G428">
        <v>161</v>
      </c>
      <c r="H428">
        <v>19</v>
      </c>
      <c r="I428" s="173">
        <v>1.04</v>
      </c>
      <c r="J428" s="121">
        <v>723143714</v>
      </c>
      <c r="K428" s="125">
        <v>3901.02</v>
      </c>
      <c r="L428" s="173">
        <v>1.5</v>
      </c>
      <c r="M428">
        <v>1.04</v>
      </c>
      <c r="N428">
        <v>1.000000005</v>
      </c>
      <c r="O428">
        <v>3.9999995000000066</v>
      </c>
      <c r="P428">
        <v>3033.0680000000002</v>
      </c>
      <c r="Q428" s="125">
        <v>0.19500000000000001</v>
      </c>
      <c r="R428" s="125">
        <v>0</v>
      </c>
      <c r="S428" s="125">
        <v>5.0949999999999998</v>
      </c>
      <c r="T428" s="125">
        <v>74.873999999999995</v>
      </c>
      <c r="U428" s="125">
        <v>15.51</v>
      </c>
      <c r="V428" s="125">
        <v>0.67100000000000004</v>
      </c>
      <c r="W428" s="125">
        <v>2.8380000000000001</v>
      </c>
      <c r="X428" s="125">
        <v>0</v>
      </c>
      <c r="Y428" s="125">
        <v>0</v>
      </c>
      <c r="Z428" s="125">
        <v>0.124</v>
      </c>
      <c r="AA428" s="125">
        <v>46.817</v>
      </c>
      <c r="AB428" s="125">
        <v>132.42699999999999</v>
      </c>
      <c r="AC428" s="125">
        <v>905.7</v>
      </c>
      <c r="AD428" s="125">
        <v>0.503</v>
      </c>
      <c r="AE428" s="125">
        <v>82.423000000000002</v>
      </c>
      <c r="AF428" s="125">
        <v>151.65299999999999</v>
      </c>
      <c r="AG428" s="125">
        <v>0</v>
      </c>
      <c r="AH428" s="125">
        <v>0</v>
      </c>
      <c r="AI428" s="121">
        <v>7896729</v>
      </c>
      <c r="AJ428" s="121">
        <v>1448518</v>
      </c>
      <c r="AK428" s="424">
        <v>12</v>
      </c>
      <c r="AL428">
        <v>0</v>
      </c>
      <c r="AM428" s="121">
        <v>355551</v>
      </c>
      <c r="AN428" s="125">
        <v>0</v>
      </c>
      <c r="AO428" s="125">
        <v>0</v>
      </c>
      <c r="AP428" s="121">
        <v>9345247</v>
      </c>
      <c r="AQ428" s="114">
        <v>0</v>
      </c>
      <c r="AR428" s="121">
        <v>482.01831073</v>
      </c>
      <c r="AS428" s="121">
        <v>94718.111707999997</v>
      </c>
      <c r="AT428" s="121">
        <v>12474.332838</v>
      </c>
      <c r="AU428" s="420" t="s">
        <v>2001</v>
      </c>
      <c r="AV428" s="420" t="s">
        <v>2001</v>
      </c>
      <c r="AW428" s="121">
        <v>0</v>
      </c>
      <c r="AX428" s="121">
        <v>3706024</v>
      </c>
      <c r="BI428">
        <v>0</v>
      </c>
      <c r="BJ428" s="121">
        <v>0</v>
      </c>
      <c r="BK428" s="134">
        <v>723143714</v>
      </c>
      <c r="BL428" s="934">
        <v>4820</v>
      </c>
      <c r="BM428" s="934">
        <v>4831</v>
      </c>
      <c r="BN428" s="934">
        <v>4792</v>
      </c>
      <c r="BO428" s="114">
        <v>0</v>
      </c>
      <c r="BP428" s="114">
        <v>0</v>
      </c>
    </row>
    <row r="429" spans="1:68">
      <c r="A429" t="s">
        <v>2223</v>
      </c>
      <c r="B429" t="s">
        <v>2508</v>
      </c>
      <c r="C429" s="121">
        <v>5537</v>
      </c>
      <c r="D429" s="72">
        <v>2</v>
      </c>
      <c r="E429">
        <v>53.863</v>
      </c>
      <c r="F429">
        <v>26</v>
      </c>
      <c r="G429">
        <v>19</v>
      </c>
      <c r="H429">
        <v>2</v>
      </c>
      <c r="I429" s="173">
        <v>1.04</v>
      </c>
      <c r="J429" s="121">
        <v>158435945</v>
      </c>
      <c r="K429" s="125">
        <v>368.57799999999997</v>
      </c>
      <c r="L429" s="173">
        <v>1.5</v>
      </c>
      <c r="M429">
        <v>1.04</v>
      </c>
      <c r="N429">
        <v>1.000000005</v>
      </c>
      <c r="O429">
        <v>3.9999995000000066</v>
      </c>
      <c r="P429">
        <v>193.93</v>
      </c>
      <c r="Q429" s="125">
        <v>0</v>
      </c>
      <c r="R429" s="125">
        <v>0</v>
      </c>
      <c r="S429" s="125">
        <v>0.14899999999999999</v>
      </c>
      <c r="T429" s="125">
        <v>9.4969999999999999</v>
      </c>
      <c r="U429" s="125">
        <v>1.359</v>
      </c>
      <c r="V429" s="125">
        <v>0</v>
      </c>
      <c r="W429" s="125">
        <v>0</v>
      </c>
      <c r="X429" s="125">
        <v>0</v>
      </c>
      <c r="Y429" s="125">
        <v>0</v>
      </c>
      <c r="Z429" s="125">
        <v>0</v>
      </c>
      <c r="AA429" s="125">
        <v>6.8330000000000002</v>
      </c>
      <c r="AB429" s="125">
        <v>13.25</v>
      </c>
      <c r="AC429" s="125">
        <v>180</v>
      </c>
      <c r="AD429" s="125">
        <v>0</v>
      </c>
      <c r="AE429" s="125">
        <v>2.63</v>
      </c>
      <c r="AF429" s="125">
        <v>9.6959999999999997</v>
      </c>
      <c r="AG429" s="125">
        <v>0</v>
      </c>
      <c r="AH429" s="125">
        <v>0</v>
      </c>
      <c r="AI429" s="121">
        <v>1678217</v>
      </c>
      <c r="AJ429" s="121">
        <v>0</v>
      </c>
      <c r="AK429" s="424">
        <v>12</v>
      </c>
      <c r="AL429">
        <v>0</v>
      </c>
      <c r="AM429" s="121">
        <v>51842</v>
      </c>
      <c r="AN429" s="125">
        <v>0</v>
      </c>
      <c r="AO429" s="125">
        <v>0</v>
      </c>
      <c r="AP429" s="121">
        <v>1678217</v>
      </c>
      <c r="AQ429" s="114">
        <v>0</v>
      </c>
      <c r="AR429" s="121">
        <v>0</v>
      </c>
      <c r="AS429" s="121">
        <v>0</v>
      </c>
      <c r="AT429" s="121">
        <v>0</v>
      </c>
      <c r="AU429" s="420" t="s">
        <v>798</v>
      </c>
      <c r="AV429" s="420" t="s">
        <v>2001</v>
      </c>
      <c r="AW429" s="121">
        <v>0</v>
      </c>
      <c r="AX429" s="121">
        <v>0</v>
      </c>
      <c r="AY429" s="134">
        <v>107193</v>
      </c>
      <c r="AZ429" s="134">
        <v>1737567</v>
      </c>
      <c r="BA429" s="114">
        <v>751</v>
      </c>
      <c r="BB429" s="134">
        <v>73630928</v>
      </c>
      <c r="BC429" s="114">
        <v>0</v>
      </c>
      <c r="BD429" s="114">
        <v>0</v>
      </c>
      <c r="BE429" s="114">
        <v>0</v>
      </c>
      <c r="BF429" s="114">
        <v>204</v>
      </c>
      <c r="BG429" s="114">
        <v>0</v>
      </c>
      <c r="BH429" s="114">
        <v>0</v>
      </c>
      <c r="BI429">
        <v>0</v>
      </c>
      <c r="BJ429" s="121">
        <v>0</v>
      </c>
      <c r="BK429" s="134">
        <v>158435945</v>
      </c>
      <c r="BL429" s="934">
        <v>4748</v>
      </c>
      <c r="BM429" s="934">
        <v>5537</v>
      </c>
      <c r="BN429" s="934">
        <v>5346</v>
      </c>
      <c r="BO429" s="114">
        <v>0</v>
      </c>
      <c r="BP429" s="114">
        <v>0</v>
      </c>
    </row>
    <row r="430" spans="1:68">
      <c r="A430" t="s">
        <v>1692</v>
      </c>
      <c r="B430" t="s">
        <v>2509</v>
      </c>
      <c r="C430" s="121">
        <v>4702</v>
      </c>
      <c r="D430" s="72">
        <v>2</v>
      </c>
      <c r="E430">
        <v>1527.827</v>
      </c>
      <c r="F430">
        <v>447</v>
      </c>
      <c r="G430">
        <v>456</v>
      </c>
      <c r="H430">
        <v>10</v>
      </c>
      <c r="I430" s="173">
        <v>1.04</v>
      </c>
      <c r="J430" s="121">
        <v>2565430343</v>
      </c>
      <c r="K430" s="125">
        <v>7002.1559999999999</v>
      </c>
      <c r="L430" s="173">
        <v>1.5</v>
      </c>
      <c r="M430">
        <v>1.04</v>
      </c>
      <c r="N430">
        <v>1.000000005</v>
      </c>
      <c r="O430">
        <v>3.9999995000000066</v>
      </c>
      <c r="P430">
        <v>5200</v>
      </c>
      <c r="Q430" s="125">
        <v>0.71599999999999997</v>
      </c>
      <c r="R430" s="125">
        <v>0</v>
      </c>
      <c r="S430" s="125">
        <v>8.8369999999999997</v>
      </c>
      <c r="T430" s="125">
        <v>156.30799999999999</v>
      </c>
      <c r="U430" s="125">
        <v>40.779000000000003</v>
      </c>
      <c r="V430" s="125">
        <v>8.8089999999999993</v>
      </c>
      <c r="W430" s="125">
        <v>7.5439999999999996</v>
      </c>
      <c r="X430" s="125">
        <v>0</v>
      </c>
      <c r="Y430" s="125">
        <v>0</v>
      </c>
      <c r="Z430" s="125">
        <v>3.2189999999999999</v>
      </c>
      <c r="AA430" s="125">
        <v>171.40600000000001</v>
      </c>
      <c r="AB430" s="125">
        <v>285</v>
      </c>
      <c r="AC430" s="125">
        <v>3800</v>
      </c>
      <c r="AD430" s="125">
        <v>3.4409999999999998</v>
      </c>
      <c r="AE430" s="125">
        <v>544.22500000000002</v>
      </c>
      <c r="AF430" s="125">
        <v>260</v>
      </c>
      <c r="AG430" s="125">
        <v>0</v>
      </c>
      <c r="AH430" s="125">
        <v>0</v>
      </c>
      <c r="AI430" s="121">
        <v>27734354</v>
      </c>
      <c r="AJ430" s="121">
        <v>0</v>
      </c>
      <c r="AK430" s="424">
        <v>12</v>
      </c>
      <c r="AL430">
        <v>0</v>
      </c>
      <c r="AM430" s="121">
        <v>674747</v>
      </c>
      <c r="AN430" s="125">
        <v>0</v>
      </c>
      <c r="AO430" s="125">
        <v>0</v>
      </c>
      <c r="AP430" s="121">
        <v>27734354</v>
      </c>
      <c r="AQ430" s="114">
        <v>0</v>
      </c>
      <c r="AR430" s="121">
        <v>1710.0119606999999</v>
      </c>
      <c r="AS430" s="121">
        <v>336022.72010999999</v>
      </c>
      <c r="AT430" s="121">
        <v>44254.041557999997</v>
      </c>
      <c r="AU430" s="420" t="s">
        <v>798</v>
      </c>
      <c r="AV430" s="420" t="s">
        <v>2001</v>
      </c>
      <c r="AW430" s="121">
        <v>0</v>
      </c>
      <c r="AX430" s="121">
        <v>0</v>
      </c>
      <c r="AY430" s="134">
        <v>1664664</v>
      </c>
      <c r="AZ430" s="134">
        <v>17407803</v>
      </c>
      <c r="BA430" s="134">
        <v>7427</v>
      </c>
      <c r="BB430" s="134">
        <v>1048587247</v>
      </c>
      <c r="BC430" s="114">
        <v>0</v>
      </c>
      <c r="BD430" s="114">
        <v>0</v>
      </c>
      <c r="BE430" s="114">
        <v>0</v>
      </c>
      <c r="BF430" s="134">
        <v>5743</v>
      </c>
      <c r="BG430" s="114">
        <v>0</v>
      </c>
      <c r="BH430" s="114">
        <v>0</v>
      </c>
      <c r="BI430">
        <v>0</v>
      </c>
      <c r="BJ430" s="121">
        <v>0</v>
      </c>
      <c r="BK430" s="134">
        <v>2565430343</v>
      </c>
      <c r="BL430" s="934">
        <v>4203</v>
      </c>
      <c r="BM430" s="934">
        <v>4702</v>
      </c>
      <c r="BN430" s="934">
        <v>4420</v>
      </c>
      <c r="BO430" s="114">
        <v>0</v>
      </c>
      <c r="BP430" s="114">
        <v>0</v>
      </c>
    </row>
    <row r="431" spans="1:68">
      <c r="A431" t="s">
        <v>1693</v>
      </c>
      <c r="B431" t="s">
        <v>2510</v>
      </c>
      <c r="C431" s="121">
        <v>5099</v>
      </c>
      <c r="D431" s="72">
        <v>2</v>
      </c>
      <c r="E431">
        <v>195.44900000000001</v>
      </c>
      <c r="F431">
        <v>75</v>
      </c>
      <c r="G431">
        <v>50</v>
      </c>
      <c r="H431">
        <v>1</v>
      </c>
      <c r="I431" s="173">
        <v>1.04</v>
      </c>
      <c r="J431" s="121">
        <v>371824587</v>
      </c>
      <c r="K431" s="125">
        <v>1150.4280000000001</v>
      </c>
      <c r="L431" s="173">
        <v>1.5</v>
      </c>
      <c r="M431">
        <v>1.04</v>
      </c>
      <c r="N431">
        <v>1.000000005</v>
      </c>
      <c r="O431">
        <v>3.9999995000000066</v>
      </c>
      <c r="P431">
        <v>673.56200000000001</v>
      </c>
      <c r="Q431" s="125">
        <v>4.1000000000000002E-2</v>
      </c>
      <c r="R431" s="125">
        <v>0</v>
      </c>
      <c r="S431" s="125">
        <v>1.379</v>
      </c>
      <c r="T431" s="125">
        <v>21.995000000000001</v>
      </c>
      <c r="U431" s="125">
        <v>4.0659999999999998</v>
      </c>
      <c r="V431" s="125">
        <v>0</v>
      </c>
      <c r="W431" s="125">
        <v>1.2190000000000001</v>
      </c>
      <c r="X431" s="125">
        <v>0</v>
      </c>
      <c r="Y431" s="125">
        <v>0</v>
      </c>
      <c r="Z431" s="125">
        <v>0</v>
      </c>
      <c r="AA431" s="125">
        <v>51.808999999999997</v>
      </c>
      <c r="AB431" s="125">
        <v>26.622</v>
      </c>
      <c r="AC431" s="125">
        <v>513.79999999999995</v>
      </c>
      <c r="AD431" s="125">
        <v>0</v>
      </c>
      <c r="AE431" s="125">
        <v>48.686999999999998</v>
      </c>
      <c r="AF431" s="125">
        <v>33.677999999999997</v>
      </c>
      <c r="AG431" s="125">
        <v>0</v>
      </c>
      <c r="AH431" s="125">
        <v>0</v>
      </c>
      <c r="AI431" s="121">
        <v>4019721</v>
      </c>
      <c r="AJ431" s="121">
        <v>572673</v>
      </c>
      <c r="AK431" s="424">
        <v>12</v>
      </c>
      <c r="AL431">
        <v>0</v>
      </c>
      <c r="AM431" s="121">
        <v>53762</v>
      </c>
      <c r="AN431" s="125">
        <v>0</v>
      </c>
      <c r="AO431" s="125">
        <v>0</v>
      </c>
      <c r="AP431" s="121">
        <v>4592394</v>
      </c>
      <c r="AQ431" s="114">
        <v>0</v>
      </c>
      <c r="AR431" s="121">
        <v>247.84320991999999</v>
      </c>
      <c r="AS431" s="121">
        <v>48701.969035000002</v>
      </c>
      <c r="AT431" s="121">
        <v>6414.0274828000001</v>
      </c>
      <c r="AU431" s="420" t="s">
        <v>798</v>
      </c>
      <c r="AV431" s="420" t="s">
        <v>2001</v>
      </c>
      <c r="AW431" s="121">
        <v>0</v>
      </c>
      <c r="AX431" s="121">
        <v>576825</v>
      </c>
      <c r="AY431" s="134">
        <v>414545</v>
      </c>
      <c r="AZ431" s="134">
        <v>2611214</v>
      </c>
      <c r="BA431" s="134">
        <v>1089</v>
      </c>
      <c r="BB431" s="134">
        <v>157005199</v>
      </c>
      <c r="BC431" s="114">
        <v>0</v>
      </c>
      <c r="BD431" s="114">
        <v>0</v>
      </c>
      <c r="BE431" s="114">
        <v>0</v>
      </c>
      <c r="BF431" s="114">
        <v>719</v>
      </c>
      <c r="BG431" s="114">
        <v>0</v>
      </c>
      <c r="BH431" s="114">
        <v>0</v>
      </c>
      <c r="BI431">
        <v>0</v>
      </c>
      <c r="BJ431" s="121">
        <v>0</v>
      </c>
      <c r="BK431" s="134">
        <v>371824587</v>
      </c>
      <c r="BL431" s="934">
        <v>4691</v>
      </c>
      <c r="BM431" s="934">
        <v>5099</v>
      </c>
      <c r="BN431" s="934">
        <v>4840</v>
      </c>
      <c r="BO431" s="114">
        <v>0</v>
      </c>
      <c r="BP431" s="114">
        <v>0</v>
      </c>
    </row>
    <row r="432" spans="1:68">
      <c r="A432" t="s">
        <v>1694</v>
      </c>
      <c r="B432" t="s">
        <v>2368</v>
      </c>
      <c r="C432" s="121">
        <v>5761</v>
      </c>
      <c r="D432" s="72">
        <v>1</v>
      </c>
      <c r="E432">
        <v>1190.6780000000001</v>
      </c>
      <c r="F432">
        <v>319</v>
      </c>
      <c r="G432">
        <v>261</v>
      </c>
      <c r="H432">
        <v>21</v>
      </c>
      <c r="I432" s="173">
        <v>1.02</v>
      </c>
      <c r="J432" s="121">
        <v>2537643180</v>
      </c>
      <c r="K432" s="125">
        <v>4469.5259999999998</v>
      </c>
      <c r="L432" s="173">
        <v>1.4730000000000001</v>
      </c>
      <c r="M432">
        <v>1.02</v>
      </c>
      <c r="N432">
        <v>0.98200000491000006</v>
      </c>
      <c r="O432">
        <v>3.7999995089999961</v>
      </c>
      <c r="P432">
        <v>3569.8330000000001</v>
      </c>
      <c r="Q432" s="125">
        <v>0.40200000000000002</v>
      </c>
      <c r="R432" s="125">
        <v>0</v>
      </c>
      <c r="S432" s="125">
        <v>5.9320000000000004</v>
      </c>
      <c r="T432" s="125">
        <v>93.972999999999999</v>
      </c>
      <c r="U432" s="125">
        <v>25.239000000000001</v>
      </c>
      <c r="V432" s="125">
        <v>0.48799999999999999</v>
      </c>
      <c r="W432" s="125">
        <v>8.0969999999999995</v>
      </c>
      <c r="X432" s="125">
        <v>0</v>
      </c>
      <c r="Y432" s="125">
        <v>0</v>
      </c>
      <c r="Z432" s="125">
        <v>0</v>
      </c>
      <c r="AA432" s="125">
        <v>85.84</v>
      </c>
      <c r="AB432" s="125">
        <v>285.81700000000001</v>
      </c>
      <c r="AC432" s="125">
        <v>1464.4</v>
      </c>
      <c r="AD432" s="125">
        <v>0.106</v>
      </c>
      <c r="AE432" s="125">
        <v>71.454999999999998</v>
      </c>
      <c r="AF432" s="125">
        <v>178.49164999999999</v>
      </c>
      <c r="AG432" s="125">
        <v>0</v>
      </c>
      <c r="AH432" s="125">
        <v>0</v>
      </c>
      <c r="AI432" s="121">
        <v>26362814</v>
      </c>
      <c r="AJ432" s="121">
        <v>2076388</v>
      </c>
      <c r="AK432" s="424">
        <v>12</v>
      </c>
      <c r="AL432">
        <v>0</v>
      </c>
      <c r="AM432" s="121">
        <v>492268</v>
      </c>
      <c r="AN432" s="125">
        <v>0</v>
      </c>
      <c r="AO432" s="125">
        <v>0</v>
      </c>
      <c r="AP432" s="121">
        <v>28439202</v>
      </c>
      <c r="AQ432" s="114">
        <v>0</v>
      </c>
      <c r="AR432" s="121">
        <v>0</v>
      </c>
      <c r="AS432" s="121">
        <v>0</v>
      </c>
      <c r="AT432" s="121">
        <v>0</v>
      </c>
      <c r="AU432" s="420" t="s">
        <v>798</v>
      </c>
      <c r="AV432" s="420" t="s">
        <v>2001</v>
      </c>
      <c r="AW432" s="121">
        <v>0</v>
      </c>
      <c r="AX432" s="121">
        <v>1464026</v>
      </c>
      <c r="AY432" s="134">
        <v>3644685</v>
      </c>
      <c r="AZ432" s="134">
        <v>8421511</v>
      </c>
      <c r="BA432" s="134">
        <v>3536</v>
      </c>
      <c r="BB432" s="134">
        <v>1022448393</v>
      </c>
      <c r="BC432" s="114">
        <v>0</v>
      </c>
      <c r="BD432" s="114">
        <v>0</v>
      </c>
      <c r="BE432" s="114">
        <v>0</v>
      </c>
      <c r="BF432" s="134">
        <v>4019</v>
      </c>
      <c r="BG432" s="114">
        <v>0</v>
      </c>
      <c r="BH432" s="114">
        <v>0</v>
      </c>
      <c r="BI432">
        <v>0</v>
      </c>
      <c r="BJ432" s="121">
        <v>0</v>
      </c>
      <c r="BK432" s="134">
        <v>2537643180</v>
      </c>
      <c r="BL432" s="934">
        <v>5761</v>
      </c>
      <c r="BM432" s="934">
        <v>5586</v>
      </c>
      <c r="BN432" s="934">
        <v>5679</v>
      </c>
      <c r="BO432" s="114">
        <v>0</v>
      </c>
      <c r="BP432" s="114">
        <v>0</v>
      </c>
    </row>
    <row r="433" spans="1:68">
      <c r="A433" t="s">
        <v>1765</v>
      </c>
      <c r="B433" t="s">
        <v>2369</v>
      </c>
      <c r="C433" s="121">
        <v>4591</v>
      </c>
      <c r="D433" s="72">
        <v>2</v>
      </c>
      <c r="E433">
        <v>200.584</v>
      </c>
      <c r="F433">
        <v>63</v>
      </c>
      <c r="G433">
        <v>45</v>
      </c>
      <c r="H433">
        <v>4</v>
      </c>
      <c r="I433" s="173">
        <v>1.17</v>
      </c>
      <c r="J433" s="121">
        <v>158945094</v>
      </c>
      <c r="K433" s="125">
        <v>1043.7270000000001</v>
      </c>
      <c r="L433" s="173">
        <v>1.44</v>
      </c>
      <c r="M433">
        <v>1.17</v>
      </c>
      <c r="N433">
        <v>0.96000000480000003</v>
      </c>
      <c r="O433">
        <v>20.999999519999989</v>
      </c>
      <c r="P433">
        <v>676.36300000000006</v>
      </c>
      <c r="Q433" s="125">
        <v>0.106</v>
      </c>
      <c r="R433" s="125">
        <v>0</v>
      </c>
      <c r="S433" s="125">
        <v>1.0269999999999999</v>
      </c>
      <c r="T433" s="125">
        <v>23.661999999999999</v>
      </c>
      <c r="U433" s="125">
        <v>1.6970000000000001</v>
      </c>
      <c r="V433" s="125">
        <v>0</v>
      </c>
      <c r="W433" s="125">
        <v>0.434</v>
      </c>
      <c r="X433" s="125">
        <v>0</v>
      </c>
      <c r="Y433" s="125">
        <v>0</v>
      </c>
      <c r="Z433" s="125">
        <v>0</v>
      </c>
      <c r="AA433" s="125">
        <v>9.3710000000000004</v>
      </c>
      <c r="AB433" s="125">
        <v>45.585000000000001</v>
      </c>
      <c r="AC433" s="125">
        <v>297.3</v>
      </c>
      <c r="AD433" s="125">
        <v>0.57299999999999995</v>
      </c>
      <c r="AE433" s="125">
        <v>6.734</v>
      </c>
      <c r="AF433" s="125">
        <v>33.817999999999998</v>
      </c>
      <c r="AG433" s="125">
        <v>0</v>
      </c>
      <c r="AH433" s="125">
        <v>0</v>
      </c>
      <c r="AI433" s="121">
        <v>1809681</v>
      </c>
      <c r="AJ433" s="121">
        <v>97194</v>
      </c>
      <c r="AK433" s="424">
        <v>12</v>
      </c>
      <c r="AL433">
        <v>0</v>
      </c>
      <c r="AM433" s="121">
        <v>67019</v>
      </c>
      <c r="AN433" s="125">
        <v>0</v>
      </c>
      <c r="AO433" s="125">
        <v>0</v>
      </c>
      <c r="AP433" s="121">
        <v>1906875</v>
      </c>
      <c r="AQ433" s="114">
        <v>0</v>
      </c>
      <c r="AR433" s="121">
        <v>105.94636208</v>
      </c>
      <c r="AS433" s="121">
        <v>20818.792844</v>
      </c>
      <c r="AT433" s="121">
        <v>2741.8256818999998</v>
      </c>
      <c r="AU433" s="420" t="s">
        <v>2001</v>
      </c>
      <c r="AV433" s="420" t="s">
        <v>2001</v>
      </c>
      <c r="AW433" s="121">
        <v>0</v>
      </c>
      <c r="AX433" s="121">
        <v>167400</v>
      </c>
      <c r="BI433">
        <v>0</v>
      </c>
      <c r="BJ433" s="121">
        <v>0</v>
      </c>
      <c r="BK433" s="134">
        <v>155061270</v>
      </c>
      <c r="BL433" s="934">
        <v>4324</v>
      </c>
      <c r="BM433" s="934">
        <v>4591</v>
      </c>
      <c r="BN433" s="934">
        <v>4554</v>
      </c>
      <c r="BO433" s="114">
        <v>0</v>
      </c>
      <c r="BP433" s="114">
        <v>0</v>
      </c>
    </row>
    <row r="434" spans="1:68">
      <c r="A434" t="s">
        <v>1766</v>
      </c>
      <c r="B434" t="s">
        <v>182</v>
      </c>
      <c r="C434" s="121">
        <v>5368</v>
      </c>
      <c r="D434" s="72">
        <v>2</v>
      </c>
      <c r="E434">
        <v>274.78699999999998</v>
      </c>
      <c r="F434">
        <v>90</v>
      </c>
      <c r="G434">
        <v>51</v>
      </c>
      <c r="H434">
        <v>9</v>
      </c>
      <c r="I434" s="173">
        <v>1.03</v>
      </c>
      <c r="J434" s="121">
        <v>495695443</v>
      </c>
      <c r="K434" s="125">
        <v>1419.5139999999999</v>
      </c>
      <c r="L434" s="173">
        <v>1.4359999999999999</v>
      </c>
      <c r="M434">
        <v>1.03</v>
      </c>
      <c r="N434">
        <v>0.95733333811999999</v>
      </c>
      <c r="O434">
        <v>7.2666661880000039</v>
      </c>
      <c r="P434">
        <v>919.721</v>
      </c>
      <c r="Q434" s="125">
        <v>2.9000000000000001E-2</v>
      </c>
      <c r="R434" s="125">
        <v>0</v>
      </c>
      <c r="S434" s="125">
        <v>1.629</v>
      </c>
      <c r="T434" s="125">
        <v>39.472000000000001</v>
      </c>
      <c r="U434" s="125">
        <v>4.9059999999999997</v>
      </c>
      <c r="V434" s="125">
        <v>0</v>
      </c>
      <c r="W434" s="125">
        <v>5.8369999999999997</v>
      </c>
      <c r="X434" s="125">
        <v>0</v>
      </c>
      <c r="Y434" s="125">
        <v>0</v>
      </c>
      <c r="Z434" s="125">
        <v>1.337</v>
      </c>
      <c r="AA434" s="125">
        <v>7.1840000000000002</v>
      </c>
      <c r="AB434" s="125">
        <v>69.471000000000004</v>
      </c>
      <c r="AC434" s="125">
        <v>502.9</v>
      </c>
      <c r="AD434" s="125">
        <v>0</v>
      </c>
      <c r="AE434" s="125">
        <v>8.4469999999999992</v>
      </c>
      <c r="AF434" s="125">
        <v>45.985999999999997</v>
      </c>
      <c r="AG434" s="125">
        <v>0</v>
      </c>
      <c r="AH434" s="125">
        <v>0</v>
      </c>
      <c r="AI434" s="121">
        <v>3867519</v>
      </c>
      <c r="AJ434" s="121">
        <v>432565</v>
      </c>
      <c r="AK434" s="424">
        <v>12</v>
      </c>
      <c r="AL434">
        <v>0</v>
      </c>
      <c r="AM434" s="121">
        <v>142323</v>
      </c>
      <c r="AN434" s="125">
        <v>0</v>
      </c>
      <c r="AO434" s="125">
        <v>0</v>
      </c>
      <c r="AP434" s="121">
        <v>4300084</v>
      </c>
      <c r="AQ434" s="114">
        <v>0</v>
      </c>
      <c r="AR434" s="121">
        <v>330.41050546999998</v>
      </c>
      <c r="AS434" s="121">
        <v>64926.701890999997</v>
      </c>
      <c r="AT434" s="121">
        <v>8550.8175243000005</v>
      </c>
      <c r="AU434" s="420" t="s">
        <v>798</v>
      </c>
      <c r="AV434" s="420" t="s">
        <v>2001</v>
      </c>
      <c r="AW434" s="121">
        <v>0</v>
      </c>
      <c r="AX434" s="121">
        <v>958869</v>
      </c>
      <c r="AY434" s="134">
        <v>131022</v>
      </c>
      <c r="AZ434" s="134">
        <v>3105117</v>
      </c>
      <c r="BA434" s="134">
        <v>1309</v>
      </c>
      <c r="BB434" s="134">
        <v>194309125</v>
      </c>
      <c r="BC434" s="114">
        <v>0</v>
      </c>
      <c r="BD434" s="114">
        <v>0</v>
      </c>
      <c r="BE434" s="114">
        <v>0</v>
      </c>
      <c r="BF434" s="114">
        <v>975</v>
      </c>
      <c r="BG434" s="114">
        <v>0</v>
      </c>
      <c r="BH434" s="114">
        <v>0</v>
      </c>
      <c r="BI434">
        <v>0</v>
      </c>
      <c r="BJ434" s="121">
        <v>0</v>
      </c>
      <c r="BK434" s="134">
        <v>445177979</v>
      </c>
      <c r="BL434" s="934">
        <v>4511</v>
      </c>
      <c r="BM434" s="934">
        <v>5368</v>
      </c>
      <c r="BN434" s="934">
        <v>4719</v>
      </c>
      <c r="BO434" s="114">
        <v>0</v>
      </c>
      <c r="BP434" s="114">
        <v>0</v>
      </c>
    </row>
    <row r="435" spans="1:68">
      <c r="A435" t="s">
        <v>539</v>
      </c>
      <c r="B435" t="s">
        <v>183</v>
      </c>
      <c r="C435" s="121">
        <v>5465</v>
      </c>
      <c r="D435" s="72">
        <v>1</v>
      </c>
      <c r="E435">
        <v>35.04</v>
      </c>
      <c r="F435">
        <v>15</v>
      </c>
      <c r="G435">
        <v>8</v>
      </c>
      <c r="H435">
        <v>1</v>
      </c>
      <c r="I435" s="173">
        <v>1.04</v>
      </c>
      <c r="J435" s="121">
        <v>131130354</v>
      </c>
      <c r="K435" s="125">
        <v>301.93799999999999</v>
      </c>
      <c r="L435" s="173">
        <v>1.4815</v>
      </c>
      <c r="M435">
        <v>1.04</v>
      </c>
      <c r="N435">
        <v>0.9876666716050001</v>
      </c>
      <c r="O435">
        <v>5.2333328394999938</v>
      </c>
      <c r="P435">
        <v>125.883</v>
      </c>
      <c r="Q435" s="125">
        <v>0</v>
      </c>
      <c r="R435" s="125">
        <v>0</v>
      </c>
      <c r="S435" s="125">
        <v>0.11799999999999999</v>
      </c>
      <c r="T435" s="125">
        <v>1.821</v>
      </c>
      <c r="U435" s="125">
        <v>6.5000000000000002E-2</v>
      </c>
      <c r="V435" s="125">
        <v>0</v>
      </c>
      <c r="W435" s="125">
        <v>0.63300000000000001</v>
      </c>
      <c r="X435" s="125">
        <v>0</v>
      </c>
      <c r="Y435" s="125">
        <v>0</v>
      </c>
      <c r="Z435" s="125">
        <v>5.4409999999999998</v>
      </c>
      <c r="AA435" s="125">
        <v>3.073</v>
      </c>
      <c r="AB435" s="125">
        <v>8.5980000000000008</v>
      </c>
      <c r="AC435" s="125">
        <v>57</v>
      </c>
      <c r="AD435" s="125">
        <v>0</v>
      </c>
      <c r="AE435" s="125">
        <v>2.25</v>
      </c>
      <c r="AF435" s="125">
        <v>6.2939999999999996</v>
      </c>
      <c r="AG435" s="125">
        <v>0</v>
      </c>
      <c r="AH435" s="125">
        <v>0</v>
      </c>
      <c r="AI435" s="121">
        <v>1395683</v>
      </c>
      <c r="AJ435" s="121">
        <v>0</v>
      </c>
      <c r="AK435" s="424">
        <v>12</v>
      </c>
      <c r="AL435">
        <v>0</v>
      </c>
      <c r="AM435" s="121">
        <v>46021</v>
      </c>
      <c r="AN435" s="125">
        <v>0</v>
      </c>
      <c r="AO435" s="125">
        <v>0</v>
      </c>
      <c r="AP435" s="121">
        <v>1395683</v>
      </c>
      <c r="AQ435" s="114">
        <v>0</v>
      </c>
      <c r="AR435" s="121">
        <v>0</v>
      </c>
      <c r="AS435" s="121">
        <v>0</v>
      </c>
      <c r="AT435" s="121">
        <v>0</v>
      </c>
      <c r="AU435" s="420" t="s">
        <v>798</v>
      </c>
      <c r="AV435" s="420" t="s">
        <v>2001</v>
      </c>
      <c r="AW435" s="121">
        <v>0</v>
      </c>
      <c r="AX435" s="121">
        <v>0</v>
      </c>
      <c r="AY435" s="134">
        <v>159966</v>
      </c>
      <c r="AZ435" s="134">
        <v>680283</v>
      </c>
      <c r="BA435" s="114">
        <v>274</v>
      </c>
      <c r="BB435" s="134">
        <v>75441711</v>
      </c>
      <c r="BC435" s="114">
        <v>0</v>
      </c>
      <c r="BD435" s="114">
        <v>0</v>
      </c>
      <c r="BE435" s="114">
        <v>0</v>
      </c>
      <c r="BF435" s="114">
        <v>128</v>
      </c>
      <c r="BG435" s="114">
        <v>0</v>
      </c>
      <c r="BH435" s="114">
        <v>0</v>
      </c>
      <c r="BI435">
        <v>0</v>
      </c>
      <c r="BJ435" s="121">
        <v>0</v>
      </c>
      <c r="BK435" s="134">
        <v>130418154</v>
      </c>
      <c r="BL435" s="934">
        <v>5465</v>
      </c>
      <c r="BM435" s="934">
        <v>5371</v>
      </c>
      <c r="BN435" s="934">
        <v>5434</v>
      </c>
      <c r="BO435" s="114">
        <v>0</v>
      </c>
      <c r="BP435" s="114">
        <v>0</v>
      </c>
    </row>
    <row r="436" spans="1:68">
      <c r="A436" t="s">
        <v>506</v>
      </c>
      <c r="B436" t="s">
        <v>184</v>
      </c>
      <c r="C436" s="121">
        <v>4944</v>
      </c>
      <c r="D436" s="72">
        <v>2</v>
      </c>
      <c r="E436">
        <v>38.737000000000002</v>
      </c>
      <c r="F436">
        <v>20</v>
      </c>
      <c r="G436">
        <v>11</v>
      </c>
      <c r="H436">
        <v>0</v>
      </c>
      <c r="I436" s="173">
        <v>1.04</v>
      </c>
      <c r="J436" s="121">
        <v>96178650</v>
      </c>
      <c r="K436" s="125">
        <v>383.18400000000003</v>
      </c>
      <c r="L436" s="173">
        <v>1.4810000000000001</v>
      </c>
      <c r="M436">
        <v>1.04</v>
      </c>
      <c r="N436">
        <v>0.98733333827000014</v>
      </c>
      <c r="O436">
        <v>5.2666661729999902</v>
      </c>
      <c r="P436">
        <v>188</v>
      </c>
      <c r="Q436" s="125">
        <v>0</v>
      </c>
      <c r="R436" s="125">
        <v>0</v>
      </c>
      <c r="S436" s="125">
        <v>0.31</v>
      </c>
      <c r="T436" s="125">
        <v>3.5</v>
      </c>
      <c r="U436" s="125">
        <v>1.2</v>
      </c>
      <c r="V436" s="125">
        <v>0</v>
      </c>
      <c r="W436" s="125">
        <v>0</v>
      </c>
      <c r="X436" s="125">
        <v>0</v>
      </c>
      <c r="Y436" s="125">
        <v>0</v>
      </c>
      <c r="Z436" s="125">
        <v>0</v>
      </c>
      <c r="AA436" s="125">
        <v>9</v>
      </c>
      <c r="AB436" s="125">
        <v>8.5</v>
      </c>
      <c r="AC436" s="125">
        <v>118</v>
      </c>
      <c r="AD436" s="125">
        <v>0</v>
      </c>
      <c r="AE436" s="125">
        <v>36</v>
      </c>
      <c r="AF436" s="125">
        <v>9</v>
      </c>
      <c r="AG436" s="125">
        <v>0</v>
      </c>
      <c r="AH436" s="125">
        <v>0</v>
      </c>
      <c r="AI436" s="121">
        <v>999149</v>
      </c>
      <c r="AJ436" s="121">
        <v>76159</v>
      </c>
      <c r="AK436" s="424">
        <v>12</v>
      </c>
      <c r="AL436">
        <v>0</v>
      </c>
      <c r="AM436" s="121">
        <v>29007</v>
      </c>
      <c r="AN436" s="125">
        <v>0</v>
      </c>
      <c r="AO436" s="125">
        <v>0</v>
      </c>
      <c r="AP436" s="121">
        <v>1075308</v>
      </c>
      <c r="AQ436" s="114">
        <v>0</v>
      </c>
      <c r="AR436" s="121">
        <v>64.108792782999998</v>
      </c>
      <c r="AS436" s="121">
        <v>12597.579098</v>
      </c>
      <c r="AT436" s="121">
        <v>1659.0955182</v>
      </c>
      <c r="AU436" s="420" t="s">
        <v>2001</v>
      </c>
      <c r="AV436" s="420" t="s">
        <v>2001</v>
      </c>
      <c r="AW436" s="121">
        <v>0</v>
      </c>
      <c r="AX436" s="121">
        <v>67050</v>
      </c>
      <c r="BI436">
        <v>0</v>
      </c>
      <c r="BJ436" s="121">
        <v>0</v>
      </c>
      <c r="BK436" s="134">
        <v>93364477</v>
      </c>
      <c r="BL436" s="934">
        <v>4708</v>
      </c>
      <c r="BM436" s="934">
        <v>4944</v>
      </c>
      <c r="BN436" s="934">
        <v>4781</v>
      </c>
      <c r="BO436" s="114">
        <v>0</v>
      </c>
      <c r="BP436" s="114">
        <v>0</v>
      </c>
    </row>
    <row r="437" spans="1:68">
      <c r="A437" t="s">
        <v>507</v>
      </c>
      <c r="B437" t="s">
        <v>936</v>
      </c>
      <c r="C437" s="121">
        <v>4554</v>
      </c>
      <c r="D437" s="72">
        <v>2</v>
      </c>
      <c r="E437">
        <v>165.858</v>
      </c>
      <c r="F437">
        <v>52</v>
      </c>
      <c r="G437">
        <v>70</v>
      </c>
      <c r="H437">
        <v>0</v>
      </c>
      <c r="I437" s="173">
        <v>1.17</v>
      </c>
      <c r="J437" s="121">
        <v>119695747</v>
      </c>
      <c r="K437" s="125">
        <v>1099.1199999999999</v>
      </c>
      <c r="L437" s="173">
        <v>1.5</v>
      </c>
      <c r="M437">
        <v>1.17</v>
      </c>
      <c r="N437">
        <v>1.000000005</v>
      </c>
      <c r="O437">
        <v>16.999999499999994</v>
      </c>
      <c r="P437">
        <v>525.62199999999996</v>
      </c>
      <c r="Q437" s="125">
        <v>8.3000000000000004E-2</v>
      </c>
      <c r="R437" s="125">
        <v>0</v>
      </c>
      <c r="S437" s="125">
        <v>1.6759999999999999</v>
      </c>
      <c r="T437" s="125">
        <v>15.128</v>
      </c>
      <c r="U437" s="125">
        <v>2.823</v>
      </c>
      <c r="V437" s="125">
        <v>0</v>
      </c>
      <c r="W437" s="125">
        <v>0.42399999999999999</v>
      </c>
      <c r="X437" s="125">
        <v>0</v>
      </c>
      <c r="Y437" s="125">
        <v>0</v>
      </c>
      <c r="Z437" s="125">
        <v>0</v>
      </c>
      <c r="AA437" s="125">
        <v>47.82</v>
      </c>
      <c r="AB437" s="125">
        <v>34.207999999999998</v>
      </c>
      <c r="AC437" s="125">
        <v>518.5</v>
      </c>
      <c r="AD437" s="125">
        <v>0.53600000000000003</v>
      </c>
      <c r="AE437" s="125">
        <v>22.969000000000001</v>
      </c>
      <c r="AF437" s="125">
        <v>26.280999999999999</v>
      </c>
      <c r="AG437" s="125">
        <v>0</v>
      </c>
      <c r="AH437" s="125">
        <v>0</v>
      </c>
      <c r="AI437" s="121">
        <v>1374573</v>
      </c>
      <c r="AJ437" s="121">
        <v>0</v>
      </c>
      <c r="AK437" s="424" t="s">
        <v>81</v>
      </c>
      <c r="AL437">
        <v>0</v>
      </c>
      <c r="AM437" s="121">
        <v>38956</v>
      </c>
      <c r="AN437" s="125">
        <v>0</v>
      </c>
      <c r="AO437" s="125">
        <v>0</v>
      </c>
      <c r="AP437" s="121">
        <v>1374573</v>
      </c>
      <c r="AQ437" s="114">
        <v>0</v>
      </c>
      <c r="AR437" s="121">
        <v>79.784337006000001</v>
      </c>
      <c r="AS437" s="121">
        <v>15677.872762999999</v>
      </c>
      <c r="AT437" s="121">
        <v>2064.7688125999998</v>
      </c>
      <c r="AU437" s="420" t="s">
        <v>2001</v>
      </c>
      <c r="AV437" s="420" t="s">
        <v>2001</v>
      </c>
      <c r="AW437" s="121">
        <v>0</v>
      </c>
      <c r="AX437" s="121">
        <v>89298</v>
      </c>
      <c r="BI437">
        <v>0</v>
      </c>
      <c r="BJ437" s="121">
        <v>0</v>
      </c>
      <c r="BK437" s="134">
        <v>119032305</v>
      </c>
      <c r="BL437" s="934">
        <v>4495</v>
      </c>
      <c r="BM437" s="934">
        <v>4554</v>
      </c>
      <c r="BN437" s="934">
        <v>4554</v>
      </c>
      <c r="BO437" s="114">
        <v>0</v>
      </c>
      <c r="BP437" s="114">
        <v>0</v>
      </c>
    </row>
    <row r="438" spans="1:68">
      <c r="A438" t="s">
        <v>508</v>
      </c>
      <c r="B438" t="s">
        <v>185</v>
      </c>
      <c r="C438" s="121">
        <v>4489</v>
      </c>
      <c r="D438" s="72">
        <v>1</v>
      </c>
      <c r="E438">
        <v>51.56</v>
      </c>
      <c r="F438">
        <v>18</v>
      </c>
      <c r="G438">
        <v>10</v>
      </c>
      <c r="H438">
        <v>2</v>
      </c>
      <c r="I438" s="173">
        <v>1.17</v>
      </c>
      <c r="J438" s="121">
        <v>31174302</v>
      </c>
      <c r="K438" s="125">
        <v>289.34500000000003</v>
      </c>
      <c r="L438" s="173">
        <v>1.5</v>
      </c>
      <c r="M438">
        <v>1.17</v>
      </c>
      <c r="N438">
        <v>1.000000005</v>
      </c>
      <c r="O438">
        <v>16.999999499999994</v>
      </c>
      <c r="P438">
        <v>160.33799999999999</v>
      </c>
      <c r="Q438" s="125">
        <v>0</v>
      </c>
      <c r="R438" s="125">
        <v>0</v>
      </c>
      <c r="S438" s="125">
        <v>0.221</v>
      </c>
      <c r="T438" s="125">
        <v>4.5</v>
      </c>
      <c r="U438" s="125">
        <v>0.57399999999999995</v>
      </c>
      <c r="V438" s="125">
        <v>0</v>
      </c>
      <c r="W438" s="125">
        <v>0</v>
      </c>
      <c r="X438" s="125">
        <v>0</v>
      </c>
      <c r="Y438" s="125">
        <v>0</v>
      </c>
      <c r="Z438" s="125">
        <v>0</v>
      </c>
      <c r="AA438" s="125">
        <v>4.7210000000000001</v>
      </c>
      <c r="AB438" s="125">
        <v>15.212999999999999</v>
      </c>
      <c r="AC438" s="125">
        <v>124.8</v>
      </c>
      <c r="AD438" s="125">
        <v>0</v>
      </c>
      <c r="AE438" s="125">
        <v>4.8819999999999997</v>
      </c>
      <c r="AF438" s="125">
        <v>8.0168999999999997</v>
      </c>
      <c r="AG438" s="125">
        <v>0</v>
      </c>
      <c r="AH438" s="125">
        <v>0</v>
      </c>
      <c r="AI438" s="121">
        <v>336224</v>
      </c>
      <c r="AJ438" s="121">
        <v>0</v>
      </c>
      <c r="AK438" s="424">
        <v>12</v>
      </c>
      <c r="AL438">
        <v>0</v>
      </c>
      <c r="AM438" s="121">
        <v>22093</v>
      </c>
      <c r="AN438" s="125">
        <v>0</v>
      </c>
      <c r="AO438" s="125">
        <v>0</v>
      </c>
      <c r="AP438" s="121">
        <v>336224</v>
      </c>
      <c r="AQ438" s="114">
        <v>0</v>
      </c>
      <c r="AR438" s="121">
        <v>20.779526853</v>
      </c>
      <c r="AS438" s="121">
        <v>4083.2422790999999</v>
      </c>
      <c r="AT438" s="121">
        <v>537.76117713999997</v>
      </c>
      <c r="AU438" s="420" t="s">
        <v>2001</v>
      </c>
      <c r="AV438" s="420" t="s">
        <v>2001</v>
      </c>
      <c r="AW438" s="121">
        <v>0</v>
      </c>
      <c r="AX438" s="121">
        <v>0</v>
      </c>
      <c r="BI438">
        <v>0</v>
      </c>
      <c r="BJ438" s="121">
        <v>0</v>
      </c>
      <c r="BK438" s="134">
        <v>27927224</v>
      </c>
      <c r="BL438" s="934">
        <v>4489</v>
      </c>
      <c r="BM438" s="934">
        <v>4430</v>
      </c>
      <c r="BN438" s="934">
        <v>4430</v>
      </c>
      <c r="BO438" s="114">
        <v>0</v>
      </c>
      <c r="BP438" s="114">
        <v>0</v>
      </c>
    </row>
    <row r="439" spans="1:68">
      <c r="A439" t="s">
        <v>509</v>
      </c>
      <c r="B439" t="s">
        <v>186</v>
      </c>
      <c r="C439" s="121">
        <v>4568</v>
      </c>
      <c r="D439" s="72">
        <v>2</v>
      </c>
      <c r="E439">
        <v>38.390999999999998</v>
      </c>
      <c r="F439">
        <v>17</v>
      </c>
      <c r="G439">
        <v>11</v>
      </c>
      <c r="H439">
        <v>1</v>
      </c>
      <c r="I439" s="173">
        <v>1.17</v>
      </c>
      <c r="J439" s="121">
        <v>41661680</v>
      </c>
      <c r="K439" s="125">
        <v>250.226</v>
      </c>
      <c r="L439" s="173">
        <v>1.5</v>
      </c>
      <c r="M439">
        <v>1.17</v>
      </c>
      <c r="N439">
        <v>1.000000005</v>
      </c>
      <c r="O439">
        <v>16.999999499999994</v>
      </c>
      <c r="P439">
        <v>105.25</v>
      </c>
      <c r="Q439" s="125">
        <v>0</v>
      </c>
      <c r="R439" s="125">
        <v>0</v>
      </c>
      <c r="S439" s="125">
        <v>0.219</v>
      </c>
      <c r="T439" s="125">
        <v>0.60199999999999998</v>
      </c>
      <c r="U439" s="125">
        <v>0.88500000000000001</v>
      </c>
      <c r="V439" s="125">
        <v>0</v>
      </c>
      <c r="W439" s="125">
        <v>0</v>
      </c>
      <c r="X439" s="125">
        <v>0</v>
      </c>
      <c r="Y439" s="125">
        <v>0</v>
      </c>
      <c r="Z439" s="125">
        <v>0</v>
      </c>
      <c r="AA439" s="125">
        <v>8.2010000000000005</v>
      </c>
      <c r="AB439" s="125">
        <v>12.372</v>
      </c>
      <c r="AC439" s="125">
        <v>86.3</v>
      </c>
      <c r="AD439" s="125">
        <v>0</v>
      </c>
      <c r="AE439" s="125">
        <v>0</v>
      </c>
      <c r="AF439" s="125">
        <v>5.2625000000000002</v>
      </c>
      <c r="AG439" s="125">
        <v>0</v>
      </c>
      <c r="AH439" s="125">
        <v>0</v>
      </c>
      <c r="AI439" s="121">
        <v>435522</v>
      </c>
      <c r="AJ439" s="121">
        <v>0</v>
      </c>
      <c r="AK439" s="424">
        <v>12</v>
      </c>
      <c r="AL439">
        <v>0</v>
      </c>
      <c r="AM439" s="121">
        <v>20832</v>
      </c>
      <c r="AN439" s="125">
        <v>0</v>
      </c>
      <c r="AO439" s="125">
        <v>0</v>
      </c>
      <c r="AP439" s="121">
        <v>435522</v>
      </c>
      <c r="AQ439" s="114">
        <v>0</v>
      </c>
      <c r="AR439" s="121">
        <v>27.769988475000002</v>
      </c>
      <c r="AS439" s="121">
        <v>5456.8899394999999</v>
      </c>
      <c r="AT439" s="121">
        <v>718.66995802999998</v>
      </c>
      <c r="AU439" s="420" t="s">
        <v>2001</v>
      </c>
      <c r="AV439" s="420" t="s">
        <v>2001</v>
      </c>
      <c r="AW439" s="121">
        <v>0</v>
      </c>
      <c r="AX439" s="121">
        <v>0</v>
      </c>
      <c r="BI439">
        <v>0</v>
      </c>
      <c r="BJ439" s="121">
        <v>3</v>
      </c>
      <c r="BK439" s="134">
        <v>36175054</v>
      </c>
      <c r="BL439" s="934">
        <v>4333</v>
      </c>
      <c r="BM439" s="934">
        <v>4568</v>
      </c>
      <c r="BN439" s="934">
        <v>4464</v>
      </c>
      <c r="BO439" s="114">
        <v>0</v>
      </c>
      <c r="BP439" s="114">
        <v>0</v>
      </c>
    </row>
    <row r="440" spans="1:68">
      <c r="A440" t="s">
        <v>1304</v>
      </c>
      <c r="B440" t="s">
        <v>1195</v>
      </c>
      <c r="C440" s="121">
        <v>5435</v>
      </c>
      <c r="D440" s="72">
        <v>2</v>
      </c>
      <c r="E440">
        <v>1778.0619999999999</v>
      </c>
      <c r="F440">
        <v>534</v>
      </c>
      <c r="G440">
        <v>445</v>
      </c>
      <c r="H440">
        <v>19</v>
      </c>
      <c r="I440" s="173">
        <v>1.04</v>
      </c>
      <c r="J440" s="121">
        <v>2988192900</v>
      </c>
      <c r="K440" s="125">
        <v>8742.4349999999995</v>
      </c>
      <c r="L440" s="173">
        <v>1.5</v>
      </c>
      <c r="M440">
        <v>1.04</v>
      </c>
      <c r="N440">
        <v>1.000000005</v>
      </c>
      <c r="O440">
        <v>3.9999995000000066</v>
      </c>
      <c r="P440">
        <v>6750</v>
      </c>
      <c r="Q440" s="125">
        <v>0</v>
      </c>
      <c r="R440" s="125">
        <v>0</v>
      </c>
      <c r="S440" s="125">
        <v>14</v>
      </c>
      <c r="T440" s="125">
        <v>85</v>
      </c>
      <c r="U440" s="125">
        <v>40</v>
      </c>
      <c r="V440" s="125">
        <v>0</v>
      </c>
      <c r="W440" s="125">
        <v>3</v>
      </c>
      <c r="X440" s="125">
        <v>0</v>
      </c>
      <c r="Y440" s="125">
        <v>0</v>
      </c>
      <c r="Z440" s="125">
        <v>0</v>
      </c>
      <c r="AA440" s="125">
        <v>250</v>
      </c>
      <c r="AB440" s="125">
        <v>250</v>
      </c>
      <c r="AC440" s="125">
        <v>4625</v>
      </c>
      <c r="AD440" s="125">
        <v>7</v>
      </c>
      <c r="AE440" s="125">
        <v>400</v>
      </c>
      <c r="AF440" s="125">
        <v>330</v>
      </c>
      <c r="AG440" s="125">
        <v>0</v>
      </c>
      <c r="AH440" s="125">
        <v>0</v>
      </c>
      <c r="AI440" s="121">
        <v>32631066</v>
      </c>
      <c r="AJ440" s="121">
        <v>9046178</v>
      </c>
      <c r="AK440" s="424">
        <v>12</v>
      </c>
      <c r="AL440">
        <v>0</v>
      </c>
      <c r="AM440" s="121">
        <v>945822</v>
      </c>
      <c r="AN440" s="125">
        <v>2</v>
      </c>
      <c r="AO440" s="125">
        <v>1</v>
      </c>
      <c r="AP440" s="121">
        <v>41677244</v>
      </c>
      <c r="AQ440" s="114">
        <v>0</v>
      </c>
      <c r="AR440" s="121">
        <v>1991.8083583</v>
      </c>
      <c r="AS440" s="121">
        <v>391396.59714999999</v>
      </c>
      <c r="AT440" s="121">
        <v>51546.756331999997</v>
      </c>
      <c r="AU440" s="420" t="s">
        <v>798</v>
      </c>
      <c r="AV440" s="420" t="s">
        <v>2001</v>
      </c>
      <c r="AW440" s="121">
        <v>0</v>
      </c>
      <c r="AX440" s="121">
        <v>9902846</v>
      </c>
      <c r="AY440" s="134">
        <v>2420777</v>
      </c>
      <c r="AZ440" s="134">
        <v>17750187</v>
      </c>
      <c r="BA440" s="134">
        <v>7499</v>
      </c>
      <c r="BB440" s="134">
        <v>822227254</v>
      </c>
      <c r="BC440" s="114">
        <v>0</v>
      </c>
      <c r="BD440" s="114">
        <v>0</v>
      </c>
      <c r="BE440" s="114">
        <v>0</v>
      </c>
      <c r="BF440" s="134">
        <v>7333</v>
      </c>
      <c r="BG440" s="114">
        <v>0</v>
      </c>
      <c r="BH440" s="114">
        <v>0</v>
      </c>
      <c r="BI440">
        <v>0</v>
      </c>
      <c r="BJ440" s="121">
        <v>0</v>
      </c>
      <c r="BK440" s="134">
        <v>2988192900</v>
      </c>
      <c r="BL440" s="934">
        <v>5090</v>
      </c>
      <c r="BM440" s="934">
        <v>5435</v>
      </c>
      <c r="BN440" s="934">
        <v>5229</v>
      </c>
      <c r="BO440" s="114">
        <v>0</v>
      </c>
      <c r="BP440" s="114">
        <v>0</v>
      </c>
    </row>
    <row r="441" spans="1:68">
      <c r="A441" t="s">
        <v>1678</v>
      </c>
      <c r="B441" t="s">
        <v>1212</v>
      </c>
      <c r="C441" s="121">
        <v>5669</v>
      </c>
      <c r="D441" s="72">
        <v>2</v>
      </c>
      <c r="E441">
        <v>1138.857</v>
      </c>
      <c r="F441">
        <v>270</v>
      </c>
      <c r="G441">
        <v>231</v>
      </c>
      <c r="H441">
        <v>55</v>
      </c>
      <c r="I441" s="173">
        <v>1.04</v>
      </c>
      <c r="J441" s="121">
        <v>2072454083</v>
      </c>
      <c r="K441" s="125">
        <v>4662.098</v>
      </c>
      <c r="L441" s="173">
        <v>1.5</v>
      </c>
      <c r="M441">
        <v>1.04</v>
      </c>
      <c r="N441">
        <v>1.000000005</v>
      </c>
      <c r="O441">
        <v>3.9999995000000066</v>
      </c>
      <c r="P441">
        <v>4007.6590000000001</v>
      </c>
      <c r="Q441" s="125">
        <v>0.17499999999999999</v>
      </c>
      <c r="R441" s="125">
        <v>0</v>
      </c>
      <c r="S441" s="125">
        <v>5.3019999999999996</v>
      </c>
      <c r="T441" s="125">
        <v>99.5</v>
      </c>
      <c r="U441" s="125">
        <v>24.78</v>
      </c>
      <c r="V441" s="125">
        <v>0</v>
      </c>
      <c r="W441" s="125">
        <v>2.64</v>
      </c>
      <c r="X441" s="125">
        <v>0</v>
      </c>
      <c r="Y441" s="125">
        <v>0</v>
      </c>
      <c r="Z441" s="125">
        <v>1.7749999999999999</v>
      </c>
      <c r="AA441" s="125">
        <v>101.136</v>
      </c>
      <c r="AB441" s="125">
        <v>99.608000000000004</v>
      </c>
      <c r="AC441" s="125">
        <v>404.7</v>
      </c>
      <c r="AD441" s="125">
        <v>0</v>
      </c>
      <c r="AE441" s="125">
        <v>110.27</v>
      </c>
      <c r="AF441" s="125">
        <v>200.38200000000001</v>
      </c>
      <c r="AG441" s="125">
        <v>0</v>
      </c>
      <c r="AH441" s="125">
        <v>0</v>
      </c>
      <c r="AI441" s="121">
        <v>22631199</v>
      </c>
      <c r="AJ441" s="121">
        <v>5411037</v>
      </c>
      <c r="AK441" s="424">
        <v>12</v>
      </c>
      <c r="AL441">
        <v>0</v>
      </c>
      <c r="AM441" s="121">
        <v>485788</v>
      </c>
      <c r="AN441" s="125">
        <v>4</v>
      </c>
      <c r="AO441" s="125">
        <v>0</v>
      </c>
      <c r="AP441" s="121">
        <v>28042236</v>
      </c>
      <c r="AQ441" s="114">
        <v>0</v>
      </c>
      <c r="AR441" s="121">
        <v>0</v>
      </c>
      <c r="AS441" s="121">
        <v>0</v>
      </c>
      <c r="AT441" s="121">
        <v>0</v>
      </c>
      <c r="AU441" s="420" t="s">
        <v>798</v>
      </c>
      <c r="AV441" s="420" t="s">
        <v>2001</v>
      </c>
      <c r="AW441" s="121">
        <v>0</v>
      </c>
      <c r="AX441" s="121">
        <v>3884971</v>
      </c>
      <c r="AY441" s="134">
        <v>706015</v>
      </c>
      <c r="AZ441" s="134">
        <v>5411708</v>
      </c>
      <c r="BA441" s="134">
        <v>2182</v>
      </c>
      <c r="BB441" s="134">
        <v>281890545</v>
      </c>
      <c r="BC441" s="114">
        <v>0</v>
      </c>
      <c r="BD441" s="114">
        <v>0</v>
      </c>
      <c r="BE441" s="114">
        <v>0</v>
      </c>
      <c r="BF441" s="134">
        <v>4010</v>
      </c>
      <c r="BG441" s="114">
        <v>0</v>
      </c>
      <c r="BH441" s="114">
        <v>0</v>
      </c>
      <c r="BI441">
        <v>0</v>
      </c>
      <c r="BJ441" s="121">
        <v>0</v>
      </c>
      <c r="BK441" s="134">
        <v>2072454083</v>
      </c>
      <c r="BL441" s="934">
        <v>5393</v>
      </c>
      <c r="BM441" s="934">
        <v>5669</v>
      </c>
      <c r="BN441" s="934">
        <v>5669</v>
      </c>
      <c r="BO441" s="114">
        <v>0</v>
      </c>
      <c r="BP441" s="114">
        <v>0</v>
      </c>
    </row>
    <row r="442" spans="1:68">
      <c r="A442" t="s">
        <v>1467</v>
      </c>
      <c r="B442" t="s">
        <v>188</v>
      </c>
      <c r="C442" s="121">
        <v>5614</v>
      </c>
      <c r="D442" s="72">
        <v>2</v>
      </c>
      <c r="E442">
        <v>621.70799999999997</v>
      </c>
      <c r="F442">
        <v>165</v>
      </c>
      <c r="G442">
        <v>98</v>
      </c>
      <c r="H442">
        <v>1</v>
      </c>
      <c r="I442" s="173">
        <v>1.04</v>
      </c>
      <c r="J442" s="121">
        <v>1241574730</v>
      </c>
      <c r="K442" s="125">
        <v>2463.1750000000002</v>
      </c>
      <c r="L442" s="173">
        <v>1.5</v>
      </c>
      <c r="M442">
        <v>1.04</v>
      </c>
      <c r="N442">
        <v>1.000000005</v>
      </c>
      <c r="O442">
        <v>3.9999995000000066</v>
      </c>
      <c r="P442">
        <v>2002.8889999999999</v>
      </c>
      <c r="Q442" s="125">
        <v>0.436</v>
      </c>
      <c r="R442" s="125">
        <v>0</v>
      </c>
      <c r="S442" s="125">
        <v>2.9809999999999999</v>
      </c>
      <c r="T442" s="125">
        <v>70.989999999999995</v>
      </c>
      <c r="U442" s="125">
        <v>19.634</v>
      </c>
      <c r="V442" s="125">
        <v>0</v>
      </c>
      <c r="W442" s="125">
        <v>9.51</v>
      </c>
      <c r="X442" s="125">
        <v>0</v>
      </c>
      <c r="Y442" s="125">
        <v>0</v>
      </c>
      <c r="Z442" s="125">
        <v>2.032</v>
      </c>
      <c r="AA442" s="125">
        <v>25.710999999999999</v>
      </c>
      <c r="AB442" s="125">
        <v>117.072</v>
      </c>
      <c r="AC442" s="125">
        <v>535.9</v>
      </c>
      <c r="AD442" s="125">
        <v>0</v>
      </c>
      <c r="AE442" s="125">
        <v>71.171999999999997</v>
      </c>
      <c r="AF442" s="125">
        <v>100.14400000000001</v>
      </c>
      <c r="AG442" s="125">
        <v>0</v>
      </c>
      <c r="AH442" s="125">
        <v>0</v>
      </c>
      <c r="AI442" s="121">
        <v>13151256</v>
      </c>
      <c r="AJ442" s="121">
        <v>1890834</v>
      </c>
      <c r="AK442" s="424">
        <v>12</v>
      </c>
      <c r="AL442">
        <v>0</v>
      </c>
      <c r="AM442" s="121">
        <v>0</v>
      </c>
      <c r="AN442" s="125">
        <v>0</v>
      </c>
      <c r="AO442" s="125">
        <v>0</v>
      </c>
      <c r="AP442" s="121">
        <v>15042090</v>
      </c>
      <c r="AQ442" s="114">
        <v>0</v>
      </c>
      <c r="AR442" s="121">
        <v>0</v>
      </c>
      <c r="AS442" s="121">
        <v>0</v>
      </c>
      <c r="AT442" s="121">
        <v>0</v>
      </c>
      <c r="AU442" s="420" t="s">
        <v>798</v>
      </c>
      <c r="AV442" s="420" t="s">
        <v>2001</v>
      </c>
      <c r="AW442" s="121">
        <v>0</v>
      </c>
      <c r="AX442" s="121">
        <v>572429</v>
      </c>
      <c r="AY442" s="134">
        <v>1046947</v>
      </c>
      <c r="AZ442" s="134">
        <v>3488602</v>
      </c>
      <c r="BA442" s="134">
        <v>1446</v>
      </c>
      <c r="BB442" s="134">
        <v>279022770</v>
      </c>
      <c r="BC442" s="114">
        <v>0</v>
      </c>
      <c r="BD442" s="114">
        <v>0</v>
      </c>
      <c r="BE442" s="114">
        <v>0</v>
      </c>
      <c r="BF442" s="134">
        <v>1930</v>
      </c>
      <c r="BG442" s="114">
        <v>0</v>
      </c>
      <c r="BH442" s="114">
        <v>0</v>
      </c>
      <c r="BI442">
        <v>0</v>
      </c>
      <c r="BJ442" s="121">
        <v>0</v>
      </c>
      <c r="BK442" s="134">
        <v>1241574730</v>
      </c>
      <c r="BL442" s="934">
        <v>5427</v>
      </c>
      <c r="BM442" s="934">
        <v>5614</v>
      </c>
      <c r="BN442" s="934">
        <v>5614</v>
      </c>
      <c r="BO442" s="114">
        <v>0</v>
      </c>
      <c r="BP442" s="114">
        <v>0</v>
      </c>
    </row>
    <row r="443" spans="1:68">
      <c r="A443" t="s">
        <v>2129</v>
      </c>
      <c r="B443" t="s">
        <v>42</v>
      </c>
      <c r="C443" s="121">
        <v>5438</v>
      </c>
      <c r="D443" s="72">
        <v>3</v>
      </c>
      <c r="E443">
        <v>3195.8150000000001</v>
      </c>
      <c r="F443">
        <v>979</v>
      </c>
      <c r="G443">
        <v>755</v>
      </c>
      <c r="H443">
        <v>84</v>
      </c>
      <c r="I443" s="173">
        <v>1.04</v>
      </c>
      <c r="J443" s="121">
        <v>3062984314</v>
      </c>
      <c r="K443" s="125">
        <v>17714.103999999999</v>
      </c>
      <c r="L443" s="173">
        <v>1.4850000000000001</v>
      </c>
      <c r="M443">
        <v>1.04</v>
      </c>
      <c r="N443">
        <v>0.99000000495000007</v>
      </c>
      <c r="O443">
        <v>4.9999995049999963</v>
      </c>
      <c r="P443">
        <v>13869</v>
      </c>
      <c r="Q443" s="125">
        <v>0.35299999999999998</v>
      </c>
      <c r="R443" s="125">
        <v>0</v>
      </c>
      <c r="S443" s="125">
        <v>24</v>
      </c>
      <c r="T443" s="125">
        <v>323</v>
      </c>
      <c r="U443" s="125">
        <v>102</v>
      </c>
      <c r="V443" s="125">
        <v>0.127</v>
      </c>
      <c r="W443" s="125">
        <v>22.42</v>
      </c>
      <c r="X443" s="125">
        <v>0</v>
      </c>
      <c r="Y443" s="125">
        <v>0</v>
      </c>
      <c r="Z443" s="125">
        <v>7.2709999999999999</v>
      </c>
      <c r="AA443" s="125">
        <v>462</v>
      </c>
      <c r="AB443" s="125">
        <v>489</v>
      </c>
      <c r="AC443" s="125">
        <v>6733</v>
      </c>
      <c r="AD443" s="125">
        <v>4.51</v>
      </c>
      <c r="AE443" s="125">
        <v>1321</v>
      </c>
      <c r="AF443" s="125">
        <v>600.77200000000005</v>
      </c>
      <c r="AG443" s="125">
        <v>0</v>
      </c>
      <c r="AH443" s="125">
        <v>0</v>
      </c>
      <c r="AI443" s="121">
        <v>33447789</v>
      </c>
      <c r="AJ443" s="121">
        <v>10920921</v>
      </c>
      <c r="AK443" s="424">
        <v>12</v>
      </c>
      <c r="AL443">
        <v>0</v>
      </c>
      <c r="AM443" s="121">
        <v>1617059</v>
      </c>
      <c r="AN443" s="125">
        <v>7</v>
      </c>
      <c r="AO443" s="125">
        <v>0</v>
      </c>
      <c r="AP443" s="121">
        <v>44368710</v>
      </c>
      <c r="AQ443" s="114">
        <v>0</v>
      </c>
      <c r="AR443" s="121">
        <v>2041.6612855999999</v>
      </c>
      <c r="AS443" s="121">
        <v>401192.85392000002</v>
      </c>
      <c r="AT443" s="121">
        <v>52836.918957000002</v>
      </c>
      <c r="AU443" s="420" t="s">
        <v>2001</v>
      </c>
      <c r="AV443" s="420" t="s">
        <v>2001</v>
      </c>
      <c r="AW443" s="121">
        <v>0</v>
      </c>
      <c r="AX443" s="121">
        <v>17972939</v>
      </c>
      <c r="BI443">
        <v>0</v>
      </c>
      <c r="BJ443" s="121">
        <v>0</v>
      </c>
      <c r="BK443" s="134">
        <v>3062984314</v>
      </c>
      <c r="BL443" s="934">
        <v>5199</v>
      </c>
      <c r="BM443" s="934">
        <v>5435</v>
      </c>
      <c r="BN443" s="934">
        <v>5438</v>
      </c>
      <c r="BO443" s="114">
        <v>0</v>
      </c>
      <c r="BP443" s="114">
        <v>0</v>
      </c>
    </row>
    <row r="444" spans="1:68">
      <c r="A444" t="s">
        <v>1918</v>
      </c>
      <c r="B444" t="s">
        <v>189</v>
      </c>
      <c r="C444" s="121">
        <v>6233</v>
      </c>
      <c r="D444" s="72">
        <v>3</v>
      </c>
      <c r="E444">
        <v>187.88</v>
      </c>
      <c r="F444">
        <v>73</v>
      </c>
      <c r="G444">
        <v>45</v>
      </c>
      <c r="H444">
        <v>3</v>
      </c>
      <c r="I444" s="173">
        <v>0.92</v>
      </c>
      <c r="J444" s="121">
        <v>1453784418</v>
      </c>
      <c r="K444" s="125">
        <v>1027.6310000000001</v>
      </c>
      <c r="L444" s="173">
        <v>1.3197000000000001</v>
      </c>
      <c r="M444">
        <v>0.92</v>
      </c>
      <c r="N444">
        <v>0.87980000439900008</v>
      </c>
      <c r="O444">
        <v>4.019999560099996</v>
      </c>
      <c r="P444">
        <v>554.41099999999994</v>
      </c>
      <c r="Q444" s="125">
        <v>1.7999999999999999E-2</v>
      </c>
      <c r="R444" s="125">
        <v>0</v>
      </c>
      <c r="S444" s="125">
        <v>0.67500000000000004</v>
      </c>
      <c r="T444" s="125">
        <v>14.618</v>
      </c>
      <c r="U444" s="125">
        <v>3.3180000000000001</v>
      </c>
      <c r="V444" s="125">
        <v>0</v>
      </c>
      <c r="W444" s="125">
        <v>0</v>
      </c>
      <c r="X444" s="125">
        <v>0</v>
      </c>
      <c r="Y444" s="125">
        <v>0</v>
      </c>
      <c r="Z444" s="125">
        <v>0.49099999999999999</v>
      </c>
      <c r="AA444" s="125">
        <v>23.637</v>
      </c>
      <c r="AB444" s="125">
        <v>21.837</v>
      </c>
      <c r="AC444" s="125">
        <v>290.8</v>
      </c>
      <c r="AD444" s="125">
        <v>0</v>
      </c>
      <c r="AE444" s="125">
        <v>92.963999999999999</v>
      </c>
      <c r="AF444" s="125">
        <v>27.720549999999999</v>
      </c>
      <c r="AG444" s="125">
        <v>0</v>
      </c>
      <c r="AH444" s="125">
        <v>0</v>
      </c>
      <c r="AI444" s="121">
        <v>12246532</v>
      </c>
      <c r="AJ444" s="121">
        <v>1925884</v>
      </c>
      <c r="AK444" s="424">
        <v>12</v>
      </c>
      <c r="AL444">
        <v>0</v>
      </c>
      <c r="AM444" s="121">
        <v>70404</v>
      </c>
      <c r="AN444" s="125">
        <v>0</v>
      </c>
      <c r="AO444" s="125">
        <v>0</v>
      </c>
      <c r="AP444" s="121">
        <v>14172416</v>
      </c>
      <c r="AQ444" s="114">
        <v>0</v>
      </c>
      <c r="AR444" s="121">
        <v>0</v>
      </c>
      <c r="AS444" s="121">
        <v>0</v>
      </c>
      <c r="AT444" s="121">
        <v>0</v>
      </c>
      <c r="AU444" s="420" t="s">
        <v>798</v>
      </c>
      <c r="AV444" s="420" t="s">
        <v>2001</v>
      </c>
      <c r="AW444" s="121">
        <v>0</v>
      </c>
      <c r="AX444" s="121">
        <v>0</v>
      </c>
      <c r="AY444" s="134">
        <v>2310311</v>
      </c>
      <c r="AZ444" s="134">
        <v>2911127</v>
      </c>
      <c r="BA444" s="134">
        <v>1189</v>
      </c>
      <c r="BB444" s="134">
        <v>578777790</v>
      </c>
      <c r="BC444" s="114">
        <v>0</v>
      </c>
      <c r="BD444" s="114">
        <v>0</v>
      </c>
      <c r="BE444" s="114">
        <v>0</v>
      </c>
      <c r="BF444" s="114">
        <v>718</v>
      </c>
      <c r="BG444" s="114">
        <v>0</v>
      </c>
      <c r="BH444" s="114">
        <v>0</v>
      </c>
      <c r="BI444">
        <v>0</v>
      </c>
      <c r="BJ444" s="121">
        <v>177</v>
      </c>
      <c r="BK444" s="134">
        <v>1267756981</v>
      </c>
      <c r="BL444" s="934">
        <v>5975</v>
      </c>
      <c r="BM444" s="934">
        <v>6174</v>
      </c>
      <c r="BN444" s="934">
        <v>6233</v>
      </c>
      <c r="BO444" s="114">
        <v>0</v>
      </c>
      <c r="BP444" s="114">
        <v>0</v>
      </c>
    </row>
    <row r="445" spans="1:68">
      <c r="A445" t="s">
        <v>1919</v>
      </c>
      <c r="B445" t="s">
        <v>1525</v>
      </c>
      <c r="C445" s="121">
        <v>4618</v>
      </c>
      <c r="D445" s="72">
        <v>3</v>
      </c>
      <c r="E445">
        <v>819.803</v>
      </c>
      <c r="F445">
        <v>265</v>
      </c>
      <c r="G445">
        <v>207</v>
      </c>
      <c r="H445">
        <v>35</v>
      </c>
      <c r="I445" s="173">
        <v>1.0373000000000001</v>
      </c>
      <c r="J445" s="121">
        <v>994917012</v>
      </c>
      <c r="K445" s="125">
        <v>4620.299</v>
      </c>
      <c r="L445" s="173">
        <v>1.454</v>
      </c>
      <c r="M445">
        <v>1.0373000000000001</v>
      </c>
      <c r="N445">
        <v>0.96933333818</v>
      </c>
      <c r="O445">
        <v>6.7966661820000107</v>
      </c>
      <c r="P445">
        <v>3330.5990000000002</v>
      </c>
      <c r="Q445" s="125">
        <v>3.1E-2</v>
      </c>
      <c r="R445" s="125">
        <v>0</v>
      </c>
      <c r="S445" s="125">
        <v>6.0119999999999996</v>
      </c>
      <c r="T445" s="125">
        <v>101.26</v>
      </c>
      <c r="U445" s="125">
        <v>22.013999999999999</v>
      </c>
      <c r="V445" s="125">
        <v>0</v>
      </c>
      <c r="W445" s="125">
        <v>12.731999999999999</v>
      </c>
      <c r="X445" s="125">
        <v>0</v>
      </c>
      <c r="Y445" s="125">
        <v>0</v>
      </c>
      <c r="Z445" s="125">
        <v>0</v>
      </c>
      <c r="AA445" s="125">
        <v>30.776</v>
      </c>
      <c r="AB445" s="125">
        <v>190.84700000000001</v>
      </c>
      <c r="AC445" s="125">
        <v>2446.3000000000002</v>
      </c>
      <c r="AD445" s="125">
        <v>0</v>
      </c>
      <c r="AE445" s="125">
        <v>806.77800000000002</v>
      </c>
      <c r="AF445" s="125">
        <v>166.52995000000001</v>
      </c>
      <c r="AG445" s="125">
        <v>0</v>
      </c>
      <c r="AH445" s="125">
        <v>0</v>
      </c>
      <c r="AI445" s="121">
        <v>10836288</v>
      </c>
      <c r="AJ445" s="121">
        <v>1071106</v>
      </c>
      <c r="AK445" s="424">
        <v>12</v>
      </c>
      <c r="AL445">
        <v>0</v>
      </c>
      <c r="AM445" s="121">
        <v>0</v>
      </c>
      <c r="AN445" s="125">
        <v>0</v>
      </c>
      <c r="AO445" s="125">
        <v>1</v>
      </c>
      <c r="AP445" s="121">
        <v>11907394</v>
      </c>
      <c r="AQ445" s="114">
        <v>0</v>
      </c>
      <c r="AR445" s="121">
        <v>663.17138371999999</v>
      </c>
      <c r="AS445" s="121">
        <v>130315.25941</v>
      </c>
      <c r="AT445" s="121">
        <v>17162.461228</v>
      </c>
      <c r="AU445" s="420" t="s">
        <v>2001</v>
      </c>
      <c r="AV445" s="420" t="s">
        <v>2001</v>
      </c>
      <c r="AW445" s="121">
        <v>0</v>
      </c>
      <c r="AX445" s="121">
        <v>1378888</v>
      </c>
      <c r="BI445">
        <v>0</v>
      </c>
      <c r="BJ445" s="121">
        <v>0</v>
      </c>
      <c r="BK445" s="134">
        <v>994917012</v>
      </c>
      <c r="BL445" s="934">
        <v>4390</v>
      </c>
      <c r="BM445" s="934">
        <v>4592</v>
      </c>
      <c r="BN445" s="934">
        <v>4618</v>
      </c>
      <c r="BO445" s="114">
        <v>0</v>
      </c>
      <c r="BP445" s="114">
        <v>0</v>
      </c>
    </row>
    <row r="446" spans="1:68">
      <c r="A446" t="s">
        <v>2912</v>
      </c>
      <c r="B446" t="s">
        <v>1526</v>
      </c>
      <c r="C446" s="121">
        <v>4703</v>
      </c>
      <c r="D446" s="72">
        <v>2</v>
      </c>
      <c r="E446">
        <v>762.34799999999996</v>
      </c>
      <c r="F446">
        <v>198</v>
      </c>
      <c r="G446">
        <v>163</v>
      </c>
      <c r="H446">
        <v>20</v>
      </c>
      <c r="I446" s="173">
        <v>1.04</v>
      </c>
      <c r="J446" s="121">
        <v>610749904</v>
      </c>
      <c r="K446" s="125">
        <v>3588.0189999999998</v>
      </c>
      <c r="L446" s="173">
        <v>1.5</v>
      </c>
      <c r="M446">
        <v>1.04</v>
      </c>
      <c r="N446">
        <v>1.000000005</v>
      </c>
      <c r="O446">
        <v>3.9999995000000066</v>
      </c>
      <c r="P446">
        <v>2625</v>
      </c>
      <c r="Q446" s="125">
        <v>0.63900000000000001</v>
      </c>
      <c r="R446" s="125">
        <v>0.33800000000000002</v>
      </c>
      <c r="S446" s="125">
        <v>5.1070000000000002</v>
      </c>
      <c r="T446" s="125">
        <v>94</v>
      </c>
      <c r="U446" s="125">
        <v>13.476000000000001</v>
      </c>
      <c r="V446" s="125">
        <v>0</v>
      </c>
      <c r="W446" s="125">
        <v>9.6300000000000008</v>
      </c>
      <c r="X446" s="125">
        <v>0</v>
      </c>
      <c r="Y446" s="125">
        <v>0</v>
      </c>
      <c r="Z446" s="125">
        <v>0</v>
      </c>
      <c r="AA446" s="125">
        <v>24</v>
      </c>
      <c r="AB446" s="125">
        <v>200.64500000000001</v>
      </c>
      <c r="AC446" s="125">
        <v>1530</v>
      </c>
      <c r="AD446" s="125">
        <v>0.108</v>
      </c>
      <c r="AE446" s="125">
        <v>79</v>
      </c>
      <c r="AF446" s="125">
        <v>131.25</v>
      </c>
      <c r="AG446" s="125">
        <v>0</v>
      </c>
      <c r="AH446" s="125">
        <v>0</v>
      </c>
      <c r="AI446" s="121">
        <v>6285429</v>
      </c>
      <c r="AJ446" s="121">
        <v>503805</v>
      </c>
      <c r="AK446" s="424">
        <v>12</v>
      </c>
      <c r="AL446">
        <v>0</v>
      </c>
      <c r="AM446" s="121">
        <v>357006</v>
      </c>
      <c r="AN446" s="125">
        <v>0</v>
      </c>
      <c r="AO446" s="125">
        <v>0</v>
      </c>
      <c r="AP446" s="121">
        <v>6789234</v>
      </c>
      <c r="AQ446" s="114">
        <v>0</v>
      </c>
      <c r="AR446" s="121">
        <v>407.10114923999998</v>
      </c>
      <c r="AS446" s="121">
        <v>79996.654219000004</v>
      </c>
      <c r="AT446" s="121">
        <v>10535.523488000001</v>
      </c>
      <c r="AU446" s="420" t="s">
        <v>2001</v>
      </c>
      <c r="AV446" s="420" t="s">
        <v>2001</v>
      </c>
      <c r="AW446" s="121">
        <v>0</v>
      </c>
      <c r="AX446" s="121">
        <v>937716</v>
      </c>
      <c r="BI446">
        <v>0</v>
      </c>
      <c r="BJ446" s="121">
        <v>0</v>
      </c>
      <c r="BK446" s="134">
        <v>593390424</v>
      </c>
      <c r="BL446" s="934">
        <v>4317</v>
      </c>
      <c r="BM446" s="934">
        <v>4703</v>
      </c>
      <c r="BN446" s="934">
        <v>4649</v>
      </c>
      <c r="BO446" s="114">
        <v>0</v>
      </c>
      <c r="BP446" s="114">
        <v>0</v>
      </c>
    </row>
    <row r="447" spans="1:68">
      <c r="A447" t="s">
        <v>2879</v>
      </c>
      <c r="B447" t="s">
        <v>1527</v>
      </c>
      <c r="C447" s="121">
        <v>4756</v>
      </c>
      <c r="D447" s="72">
        <v>3</v>
      </c>
      <c r="E447">
        <v>178.66800000000001</v>
      </c>
      <c r="F447">
        <v>47</v>
      </c>
      <c r="G447">
        <v>29</v>
      </c>
      <c r="H447">
        <v>3</v>
      </c>
      <c r="I447" s="173">
        <v>1.0249999999999999</v>
      </c>
      <c r="J447" s="121">
        <v>259015301</v>
      </c>
      <c r="K447" s="125">
        <v>970.245</v>
      </c>
      <c r="L447" s="173">
        <v>1.421</v>
      </c>
      <c r="M447">
        <v>1.0249999999999999</v>
      </c>
      <c r="N447">
        <v>0.94733333807000009</v>
      </c>
      <c r="O447">
        <v>7.766666192999983</v>
      </c>
      <c r="P447">
        <v>587</v>
      </c>
      <c r="Q447" s="125">
        <v>0.5</v>
      </c>
      <c r="R447" s="125">
        <v>0</v>
      </c>
      <c r="S447" s="125">
        <v>1.5</v>
      </c>
      <c r="T447" s="125">
        <v>19</v>
      </c>
      <c r="U447" s="125">
        <v>2.5</v>
      </c>
      <c r="V447" s="125">
        <v>4</v>
      </c>
      <c r="W447" s="125">
        <v>1</v>
      </c>
      <c r="X447" s="125">
        <v>0</v>
      </c>
      <c r="Y447" s="125">
        <v>0</v>
      </c>
      <c r="Z447" s="125">
        <v>0</v>
      </c>
      <c r="AA447" s="125">
        <v>16</v>
      </c>
      <c r="AB447" s="125">
        <v>29</v>
      </c>
      <c r="AC447" s="125">
        <v>365</v>
      </c>
      <c r="AD447" s="125">
        <v>0</v>
      </c>
      <c r="AE447" s="125">
        <v>17</v>
      </c>
      <c r="AF447" s="125">
        <v>29.35</v>
      </c>
      <c r="AG447" s="125">
        <v>0</v>
      </c>
      <c r="AH447" s="125">
        <v>0</v>
      </c>
      <c r="AI447" s="121">
        <v>2731899</v>
      </c>
      <c r="AJ447" s="121">
        <v>410045</v>
      </c>
      <c r="AK447" s="424">
        <v>12</v>
      </c>
      <c r="AL447">
        <v>0</v>
      </c>
      <c r="AM447" s="121">
        <v>61914</v>
      </c>
      <c r="AN447" s="125">
        <v>0</v>
      </c>
      <c r="AO447" s="125">
        <v>0</v>
      </c>
      <c r="AP447" s="121">
        <v>3141944</v>
      </c>
      <c r="AQ447" s="114">
        <v>0</v>
      </c>
      <c r="AR447" s="121">
        <v>172.64910892</v>
      </c>
      <c r="AS447" s="121">
        <v>33926.092061000003</v>
      </c>
      <c r="AT447" s="121">
        <v>4468.0511110999996</v>
      </c>
      <c r="AU447" s="420" t="s">
        <v>2001</v>
      </c>
      <c r="AV447" s="420" t="s">
        <v>2001</v>
      </c>
      <c r="AW447" s="121">
        <v>0</v>
      </c>
      <c r="AX447" s="121">
        <v>295106</v>
      </c>
      <c r="BI447">
        <v>0</v>
      </c>
      <c r="BJ447" s="121">
        <v>0</v>
      </c>
      <c r="BK447" s="134">
        <v>259015301</v>
      </c>
      <c r="BL447" s="934">
        <v>4667</v>
      </c>
      <c r="BM447" s="934">
        <v>4558</v>
      </c>
      <c r="BN447" s="934">
        <v>4756</v>
      </c>
      <c r="BO447" s="114">
        <v>0</v>
      </c>
      <c r="BP447" s="114">
        <v>0</v>
      </c>
    </row>
    <row r="448" spans="1:68">
      <c r="A448" t="s">
        <v>2284</v>
      </c>
      <c r="B448" t="s">
        <v>1528</v>
      </c>
      <c r="C448" s="121">
        <v>4396</v>
      </c>
      <c r="D448" s="72">
        <v>3</v>
      </c>
      <c r="E448">
        <v>418.77600000000001</v>
      </c>
      <c r="F448">
        <v>133</v>
      </c>
      <c r="G448">
        <v>105</v>
      </c>
      <c r="H448">
        <v>8</v>
      </c>
      <c r="I448" s="173">
        <v>1.04</v>
      </c>
      <c r="J448" s="121">
        <v>437968189</v>
      </c>
      <c r="K448" s="125">
        <v>2268.0120000000002</v>
      </c>
      <c r="L448" s="173">
        <v>1.45</v>
      </c>
      <c r="M448">
        <v>1.04</v>
      </c>
      <c r="N448">
        <v>0.96666667149999996</v>
      </c>
      <c r="O448">
        <v>7.3333328500000068</v>
      </c>
      <c r="P448">
        <v>1540.944</v>
      </c>
      <c r="Q448" s="125">
        <v>1.7000000000000001E-2</v>
      </c>
      <c r="R448" s="125">
        <v>0</v>
      </c>
      <c r="S448" s="125">
        <v>4.8789999999999996</v>
      </c>
      <c r="T448" s="125">
        <v>73.38</v>
      </c>
      <c r="U448" s="125">
        <v>8.58</v>
      </c>
      <c r="V448" s="125">
        <v>2.7909999999999999</v>
      </c>
      <c r="W448" s="125">
        <v>6.1929999999999996</v>
      </c>
      <c r="X448" s="125">
        <v>0</v>
      </c>
      <c r="Y448" s="125">
        <v>0</v>
      </c>
      <c r="Z448" s="125">
        <v>0</v>
      </c>
      <c r="AA448" s="125">
        <v>42</v>
      </c>
      <c r="AB448" s="125">
        <v>66.697000000000003</v>
      </c>
      <c r="AC448" s="125">
        <v>1162.8</v>
      </c>
      <c r="AD448" s="125">
        <v>0</v>
      </c>
      <c r="AE448" s="125">
        <v>19.731000000000002</v>
      </c>
      <c r="AF448" s="125">
        <v>77.046999999999997</v>
      </c>
      <c r="AG448" s="125">
        <v>0</v>
      </c>
      <c r="AH448" s="125">
        <v>0</v>
      </c>
      <c r="AI448" s="121">
        <v>4591308</v>
      </c>
      <c r="AJ448" s="121">
        <v>752037</v>
      </c>
      <c r="AK448" s="424">
        <v>12</v>
      </c>
      <c r="AL448">
        <v>0</v>
      </c>
      <c r="AM448" s="121">
        <v>150705</v>
      </c>
      <c r="AN448" s="125">
        <v>0</v>
      </c>
      <c r="AO448" s="125">
        <v>0</v>
      </c>
      <c r="AP448" s="121">
        <v>5343345</v>
      </c>
      <c r="AQ448" s="114">
        <v>0</v>
      </c>
      <c r="AR448" s="121">
        <v>291.93185604000001</v>
      </c>
      <c r="AS448" s="121">
        <v>57365.526446999997</v>
      </c>
      <c r="AT448" s="121">
        <v>7555.0141088999999</v>
      </c>
      <c r="AU448" s="420" t="s">
        <v>2001</v>
      </c>
      <c r="AV448" s="420" t="s">
        <v>2001</v>
      </c>
      <c r="AW448" s="121">
        <v>0</v>
      </c>
      <c r="AX448" s="121">
        <v>1071682</v>
      </c>
      <c r="BI448">
        <v>0</v>
      </c>
      <c r="BJ448" s="121">
        <v>0</v>
      </c>
      <c r="BK448" s="134">
        <v>437968189</v>
      </c>
      <c r="BL448" s="934">
        <v>4209</v>
      </c>
      <c r="BM448" s="934">
        <v>4369</v>
      </c>
      <c r="BN448" s="934">
        <v>4396</v>
      </c>
      <c r="BO448" s="114">
        <v>0</v>
      </c>
      <c r="BP448" s="114">
        <v>0</v>
      </c>
    </row>
    <row r="449" spans="1:68">
      <c r="A449" t="s">
        <v>71</v>
      </c>
      <c r="B449" t="s">
        <v>2995</v>
      </c>
      <c r="C449" s="121">
        <v>5442</v>
      </c>
      <c r="D449" s="72">
        <v>3</v>
      </c>
      <c r="E449">
        <v>321.45100000000002</v>
      </c>
      <c r="F449">
        <v>111</v>
      </c>
      <c r="G449">
        <v>94</v>
      </c>
      <c r="H449">
        <v>10</v>
      </c>
      <c r="I449" s="173">
        <v>1.03</v>
      </c>
      <c r="J449" s="121">
        <v>834321509</v>
      </c>
      <c r="K449" s="125">
        <v>1705.942</v>
      </c>
      <c r="L449" s="173">
        <v>1.357</v>
      </c>
      <c r="M449">
        <v>1.03</v>
      </c>
      <c r="N449">
        <v>0.90466667118999999</v>
      </c>
      <c r="O449">
        <v>12.533332881000003</v>
      </c>
      <c r="P449">
        <v>1107.6210000000001</v>
      </c>
      <c r="Q449" s="125">
        <v>0</v>
      </c>
      <c r="R449" s="125">
        <v>0</v>
      </c>
      <c r="S449" s="125">
        <v>1.887</v>
      </c>
      <c r="T449" s="125">
        <v>47.204000000000001</v>
      </c>
      <c r="U449" s="125">
        <v>4.7930000000000001</v>
      </c>
      <c r="V449" s="125">
        <v>0</v>
      </c>
      <c r="W449" s="125">
        <v>7.94</v>
      </c>
      <c r="X449" s="125">
        <v>0</v>
      </c>
      <c r="Y449" s="125">
        <v>0</v>
      </c>
      <c r="Z449" s="125">
        <v>0</v>
      </c>
      <c r="AA449" s="125">
        <v>25.896999999999998</v>
      </c>
      <c r="AB449" s="125">
        <v>56.951999999999998</v>
      </c>
      <c r="AC449" s="125">
        <v>841.5</v>
      </c>
      <c r="AD449" s="125">
        <v>0</v>
      </c>
      <c r="AE449" s="125">
        <v>61.945</v>
      </c>
      <c r="AF449" s="125">
        <v>55.381</v>
      </c>
      <c r="AG449" s="125">
        <v>0</v>
      </c>
      <c r="AH449" s="125">
        <v>0</v>
      </c>
      <c r="AI449" s="121">
        <v>8662260</v>
      </c>
      <c r="AJ449" s="121">
        <v>1030390</v>
      </c>
      <c r="AK449" s="424">
        <v>12</v>
      </c>
      <c r="AL449">
        <v>0</v>
      </c>
      <c r="AM449" s="121">
        <v>121717</v>
      </c>
      <c r="AN449" s="125">
        <v>0</v>
      </c>
      <c r="AO449" s="125">
        <v>0</v>
      </c>
      <c r="AP449" s="121">
        <v>9692650</v>
      </c>
      <c r="AQ449" s="114">
        <v>0</v>
      </c>
      <c r="AR449" s="121">
        <v>0</v>
      </c>
      <c r="AS449" s="121">
        <v>0</v>
      </c>
      <c r="AT449" s="121">
        <v>0</v>
      </c>
      <c r="AU449" s="420" t="s">
        <v>798</v>
      </c>
      <c r="AV449" s="420" t="s">
        <v>2001</v>
      </c>
      <c r="AW449" s="121">
        <v>0</v>
      </c>
      <c r="AX449" s="121">
        <v>1026574</v>
      </c>
      <c r="AY449" s="134">
        <v>430200</v>
      </c>
      <c r="AZ449" s="134">
        <v>3524413</v>
      </c>
      <c r="BA449" s="134">
        <v>1586</v>
      </c>
      <c r="BB449" s="134">
        <v>279022964</v>
      </c>
      <c r="BC449" s="114">
        <v>0</v>
      </c>
      <c r="BD449" s="114">
        <v>0</v>
      </c>
      <c r="BE449" s="114">
        <v>0</v>
      </c>
      <c r="BF449" s="134">
        <v>1143</v>
      </c>
      <c r="BG449" s="114">
        <v>0</v>
      </c>
      <c r="BH449" s="114">
        <v>0</v>
      </c>
      <c r="BI449">
        <v>0</v>
      </c>
      <c r="BJ449" s="121">
        <v>3660</v>
      </c>
      <c r="BK449" s="134">
        <v>834321509</v>
      </c>
      <c r="BL449" s="934">
        <v>4567</v>
      </c>
      <c r="BM449" s="934">
        <v>5015</v>
      </c>
      <c r="BN449" s="934">
        <v>5442</v>
      </c>
      <c r="BO449" s="114">
        <v>0</v>
      </c>
      <c r="BP449" s="114">
        <v>0</v>
      </c>
    </row>
    <row r="450" spans="1:68">
      <c r="A450" t="s">
        <v>1711</v>
      </c>
      <c r="B450" t="s">
        <v>662</v>
      </c>
      <c r="C450" s="121">
        <v>4716</v>
      </c>
      <c r="D450" s="72">
        <v>1</v>
      </c>
      <c r="E450">
        <v>68.260000000000005</v>
      </c>
      <c r="F450">
        <v>23</v>
      </c>
      <c r="G450">
        <v>19</v>
      </c>
      <c r="H450">
        <v>1</v>
      </c>
      <c r="I450" s="173">
        <v>1.04</v>
      </c>
      <c r="J450" s="121">
        <v>40301929</v>
      </c>
      <c r="K450" s="125">
        <v>413.32299999999998</v>
      </c>
      <c r="L450" s="173">
        <v>1.5</v>
      </c>
      <c r="M450">
        <v>1.04</v>
      </c>
      <c r="N450">
        <v>1.000000005</v>
      </c>
      <c r="O450">
        <v>3.9999995000000066</v>
      </c>
      <c r="P450">
        <v>235</v>
      </c>
      <c r="Q450" s="125">
        <v>0</v>
      </c>
      <c r="R450" s="125">
        <v>0</v>
      </c>
      <c r="S450" s="125">
        <v>0.3</v>
      </c>
      <c r="T450" s="125">
        <v>4.7</v>
      </c>
      <c r="U450" s="125">
        <v>1.5</v>
      </c>
      <c r="V450" s="125">
        <v>0</v>
      </c>
      <c r="W450" s="125">
        <v>0.4</v>
      </c>
      <c r="X450" s="125">
        <v>0</v>
      </c>
      <c r="Y450" s="125">
        <v>0</v>
      </c>
      <c r="Z450" s="125">
        <v>0</v>
      </c>
      <c r="AA450" s="125">
        <v>17</v>
      </c>
      <c r="AB450" s="125">
        <v>10</v>
      </c>
      <c r="AC450" s="125">
        <v>150</v>
      </c>
      <c r="AD450" s="125">
        <v>0</v>
      </c>
      <c r="AE450" s="125">
        <v>2</v>
      </c>
      <c r="AF450" s="125">
        <v>11.75</v>
      </c>
      <c r="AG450" s="125">
        <v>0</v>
      </c>
      <c r="AH450" s="125">
        <v>0</v>
      </c>
      <c r="AI450" s="121">
        <v>384255</v>
      </c>
      <c r="AJ450" s="121">
        <v>79514</v>
      </c>
      <c r="AK450" s="424">
        <v>12</v>
      </c>
      <c r="AL450">
        <v>0</v>
      </c>
      <c r="AM450" s="121">
        <v>7073</v>
      </c>
      <c r="AN450" s="125">
        <v>0</v>
      </c>
      <c r="AO450" s="125">
        <v>0</v>
      </c>
      <c r="AP450" s="121">
        <v>463769</v>
      </c>
      <c r="AQ450" s="114">
        <v>0</v>
      </c>
      <c r="AR450" s="121">
        <v>26.863633768</v>
      </c>
      <c r="AS450" s="121">
        <v>5278.7883935</v>
      </c>
      <c r="AT450" s="121">
        <v>695.21406429000001</v>
      </c>
      <c r="AU450" s="420" t="s">
        <v>2001</v>
      </c>
      <c r="AV450" s="420" t="s">
        <v>2001</v>
      </c>
      <c r="AW450" s="121">
        <v>0</v>
      </c>
      <c r="AX450" s="121">
        <v>164458</v>
      </c>
      <c r="BI450">
        <v>0</v>
      </c>
      <c r="BJ450" s="121">
        <v>0</v>
      </c>
      <c r="BK450" s="134">
        <v>36276528</v>
      </c>
      <c r="BL450" s="934">
        <v>4716</v>
      </c>
      <c r="BM450" s="934">
        <v>3547</v>
      </c>
      <c r="BN450" s="934">
        <v>3547</v>
      </c>
      <c r="BO450" s="114">
        <v>0</v>
      </c>
      <c r="BP450" s="114">
        <v>0</v>
      </c>
    </row>
    <row r="451" spans="1:68">
      <c r="A451" t="s">
        <v>980</v>
      </c>
      <c r="B451" t="s">
        <v>2415</v>
      </c>
      <c r="C451" s="121">
        <v>4650</v>
      </c>
      <c r="D451" s="72">
        <v>2</v>
      </c>
      <c r="E451">
        <v>0</v>
      </c>
      <c r="F451">
        <v>15</v>
      </c>
      <c r="G451">
        <v>11</v>
      </c>
      <c r="H451">
        <v>2</v>
      </c>
      <c r="I451" s="173">
        <v>1.04</v>
      </c>
      <c r="J451" s="121">
        <v>40265717</v>
      </c>
      <c r="K451" s="125">
        <v>259.565</v>
      </c>
      <c r="L451" s="173">
        <v>1.456</v>
      </c>
      <c r="M451">
        <v>1.04</v>
      </c>
      <c r="N451">
        <v>0.97066667151999997</v>
      </c>
      <c r="O451">
        <v>6.9333328480000063</v>
      </c>
      <c r="P451">
        <v>142.21100000000001</v>
      </c>
      <c r="Q451" s="125">
        <v>0.16400000000000001</v>
      </c>
      <c r="R451" s="125">
        <v>0</v>
      </c>
      <c r="S451" s="125">
        <v>0.61499999999999999</v>
      </c>
      <c r="T451" s="125">
        <v>6.4459999999999997</v>
      </c>
      <c r="U451" s="125">
        <v>0.80300000000000005</v>
      </c>
      <c r="V451" s="125">
        <v>0</v>
      </c>
      <c r="W451" s="125">
        <v>0</v>
      </c>
      <c r="X451" s="125">
        <v>0</v>
      </c>
      <c r="Y451" s="125">
        <v>0</v>
      </c>
      <c r="Z451" s="125">
        <v>0</v>
      </c>
      <c r="AA451" s="125">
        <v>1.1319999999999999</v>
      </c>
      <c r="AB451" s="125">
        <v>0</v>
      </c>
      <c r="AC451" s="125">
        <v>118.7</v>
      </c>
      <c r="AD451" s="125">
        <v>0</v>
      </c>
      <c r="AE451" s="125">
        <v>9.92</v>
      </c>
      <c r="AF451" s="125">
        <v>7.1105499999999999</v>
      </c>
      <c r="AG451" s="125">
        <v>0</v>
      </c>
      <c r="AH451" s="125">
        <v>0</v>
      </c>
      <c r="AI451" s="121">
        <v>394991</v>
      </c>
      <c r="AJ451" s="121">
        <v>0</v>
      </c>
      <c r="AK451" s="424">
        <v>8</v>
      </c>
      <c r="AL451">
        <v>0</v>
      </c>
      <c r="AM451" s="121">
        <v>3496</v>
      </c>
      <c r="AN451" s="125">
        <v>0</v>
      </c>
      <c r="AO451" s="125">
        <v>0</v>
      </c>
      <c r="AP451" s="121">
        <v>394991</v>
      </c>
      <c r="AQ451" s="114">
        <v>0</v>
      </c>
      <c r="AR451" s="121">
        <v>26.839495993</v>
      </c>
      <c r="AS451" s="121">
        <v>5274.0452450000003</v>
      </c>
      <c r="AT451" s="121">
        <v>694.58939376000001</v>
      </c>
      <c r="AU451" s="420" t="s">
        <v>2001</v>
      </c>
      <c r="AV451" s="420" t="s">
        <v>2001</v>
      </c>
      <c r="AW451" s="121">
        <v>0</v>
      </c>
      <c r="AX451" s="121">
        <v>0</v>
      </c>
      <c r="BI451">
        <v>0</v>
      </c>
      <c r="BJ451" s="121">
        <v>0</v>
      </c>
      <c r="BK451" s="134">
        <v>38480163</v>
      </c>
      <c r="BL451" s="934">
        <v>4464</v>
      </c>
      <c r="BM451" s="934">
        <v>4650</v>
      </c>
      <c r="BN451" s="934">
        <v>4589</v>
      </c>
      <c r="BO451" s="114">
        <v>0</v>
      </c>
      <c r="BP451" s="114">
        <v>0</v>
      </c>
    </row>
    <row r="452" spans="1:68">
      <c r="A452" t="s">
        <v>72</v>
      </c>
      <c r="B452" t="s">
        <v>2996</v>
      </c>
      <c r="C452" s="121">
        <v>5601</v>
      </c>
      <c r="D452" s="72">
        <v>1</v>
      </c>
      <c r="E452">
        <v>131.19399999999999</v>
      </c>
      <c r="F452">
        <v>44</v>
      </c>
      <c r="G452">
        <v>32</v>
      </c>
      <c r="H452">
        <v>2</v>
      </c>
      <c r="I452" s="173">
        <v>1.04</v>
      </c>
      <c r="J452" s="121">
        <v>411063348</v>
      </c>
      <c r="K452" s="125">
        <v>780.13400000000001</v>
      </c>
      <c r="L452" s="173">
        <v>1.5</v>
      </c>
      <c r="M452">
        <v>1.04</v>
      </c>
      <c r="N452">
        <v>1.000000005</v>
      </c>
      <c r="O452">
        <v>3.9999995000000066</v>
      </c>
      <c r="P452">
        <v>483.33600000000001</v>
      </c>
      <c r="Q452" s="125">
        <v>9.7000000000000003E-2</v>
      </c>
      <c r="R452" s="125">
        <v>0</v>
      </c>
      <c r="S452" s="125">
        <v>0.65400000000000003</v>
      </c>
      <c r="T452" s="125">
        <v>17.25</v>
      </c>
      <c r="U452" s="125">
        <v>1.8049999999999999</v>
      </c>
      <c r="V452" s="125">
        <v>0.43099999999999999</v>
      </c>
      <c r="W452" s="125">
        <v>1.798</v>
      </c>
      <c r="X452" s="125">
        <v>0</v>
      </c>
      <c r="Y452" s="125">
        <v>0</v>
      </c>
      <c r="Z452" s="125">
        <v>0</v>
      </c>
      <c r="AA452" s="125">
        <v>3.8660000000000001</v>
      </c>
      <c r="AB452" s="125">
        <v>16.986999999999998</v>
      </c>
      <c r="AC452" s="125">
        <v>279</v>
      </c>
      <c r="AD452" s="125">
        <v>0</v>
      </c>
      <c r="AE452" s="125">
        <v>4.1029999999999998</v>
      </c>
      <c r="AF452" s="125">
        <v>24.166799999999999</v>
      </c>
      <c r="AG452" s="125">
        <v>0</v>
      </c>
      <c r="AH452" s="125">
        <v>0</v>
      </c>
      <c r="AI452" s="121">
        <v>4354147</v>
      </c>
      <c r="AJ452" s="121">
        <v>200039</v>
      </c>
      <c r="AK452" s="424">
        <v>12</v>
      </c>
      <c r="AL452">
        <v>0</v>
      </c>
      <c r="AM452" s="121">
        <v>78502</v>
      </c>
      <c r="AN452" s="125">
        <v>0</v>
      </c>
      <c r="AO452" s="125">
        <v>0</v>
      </c>
      <c r="AP452" s="121">
        <v>4554186</v>
      </c>
      <c r="AQ452" s="114">
        <v>0</v>
      </c>
      <c r="AR452" s="121">
        <v>0</v>
      </c>
      <c r="AS452" s="121">
        <v>0</v>
      </c>
      <c r="AT452" s="121">
        <v>0</v>
      </c>
      <c r="AU452" s="420" t="s">
        <v>798</v>
      </c>
      <c r="AV452" s="420" t="s">
        <v>2001</v>
      </c>
      <c r="AW452" s="121">
        <v>0</v>
      </c>
      <c r="AX452" s="121">
        <v>186139</v>
      </c>
      <c r="AY452" s="134">
        <v>524288</v>
      </c>
      <c r="AZ452" s="134">
        <v>1600662</v>
      </c>
      <c r="BA452" s="114">
        <v>629</v>
      </c>
      <c r="BB452" s="134">
        <v>175539061</v>
      </c>
      <c r="BC452" s="114">
        <v>0</v>
      </c>
      <c r="BD452" s="114">
        <v>0</v>
      </c>
      <c r="BE452" s="114">
        <v>0</v>
      </c>
      <c r="BF452" s="114">
        <v>470</v>
      </c>
      <c r="BG452" s="114">
        <v>0</v>
      </c>
      <c r="BH452" s="114">
        <v>0</v>
      </c>
      <c r="BI452">
        <v>0</v>
      </c>
      <c r="BJ452" s="121">
        <v>0</v>
      </c>
      <c r="BK452" s="134">
        <v>411063348</v>
      </c>
      <c r="BL452" s="934">
        <v>5601</v>
      </c>
      <c r="BM452" s="934">
        <v>5161</v>
      </c>
      <c r="BN452" s="934">
        <v>5161</v>
      </c>
      <c r="BO452" s="114">
        <v>0</v>
      </c>
      <c r="BP452" s="114">
        <v>0</v>
      </c>
    </row>
    <row r="453" spans="1:68">
      <c r="A453" t="s">
        <v>2437</v>
      </c>
      <c r="B453" t="s">
        <v>39</v>
      </c>
      <c r="C453" s="121">
        <v>4647</v>
      </c>
      <c r="D453" s="72">
        <v>2</v>
      </c>
      <c r="E453">
        <v>2740.1930000000002</v>
      </c>
      <c r="F453">
        <v>990</v>
      </c>
      <c r="G453">
        <v>1150</v>
      </c>
      <c r="H453">
        <v>77</v>
      </c>
      <c r="I453" s="173">
        <v>1.04</v>
      </c>
      <c r="J453" s="121">
        <v>790299727</v>
      </c>
      <c r="K453" s="125">
        <v>18974.791000000001</v>
      </c>
      <c r="L453" s="173">
        <v>1.5</v>
      </c>
      <c r="M453">
        <v>1.04</v>
      </c>
      <c r="N453">
        <v>1.000000005</v>
      </c>
      <c r="O453">
        <v>3.9999995000000066</v>
      </c>
      <c r="P453">
        <v>13246.18</v>
      </c>
      <c r="Q453" s="125">
        <v>2.6</v>
      </c>
      <c r="R453" s="125">
        <v>0</v>
      </c>
      <c r="S453" s="125">
        <v>12.33</v>
      </c>
      <c r="T453" s="125">
        <v>152.51</v>
      </c>
      <c r="U453" s="125">
        <v>120.54</v>
      </c>
      <c r="V453" s="125">
        <v>0</v>
      </c>
      <c r="W453" s="125">
        <v>0</v>
      </c>
      <c r="X453" s="125">
        <v>0</v>
      </c>
      <c r="Y453" s="125">
        <v>0</v>
      </c>
      <c r="Z453" s="125">
        <v>0.45400000000000001</v>
      </c>
      <c r="AA453" s="125">
        <v>551.04999999999995</v>
      </c>
      <c r="AB453" s="125">
        <v>315</v>
      </c>
      <c r="AC453" s="125">
        <v>12648.2</v>
      </c>
      <c r="AD453" s="125">
        <v>6.64</v>
      </c>
      <c r="AE453" s="125">
        <v>6410.56</v>
      </c>
      <c r="AF453" s="125">
        <v>662.30899999999997</v>
      </c>
      <c r="AG453" s="125">
        <v>0</v>
      </c>
      <c r="AH453" s="125">
        <v>0</v>
      </c>
      <c r="AI453" s="121">
        <v>7335562</v>
      </c>
      <c r="AJ453" s="121">
        <v>1131706</v>
      </c>
      <c r="AK453" s="424">
        <v>12</v>
      </c>
      <c r="AL453">
        <v>0</v>
      </c>
      <c r="AM453" s="121">
        <v>937739</v>
      </c>
      <c r="AN453" s="125">
        <v>0</v>
      </c>
      <c r="AO453" s="125">
        <v>1</v>
      </c>
      <c r="AP453" s="121">
        <v>8467268</v>
      </c>
      <c r="AQ453" s="114">
        <v>0</v>
      </c>
      <c r="AR453" s="121">
        <v>526.78178902000002</v>
      </c>
      <c r="AS453" s="121">
        <v>103514.27576</v>
      </c>
      <c r="AT453" s="121">
        <v>13632.783699</v>
      </c>
      <c r="AU453" s="420" t="s">
        <v>2001</v>
      </c>
      <c r="AV453" s="420" t="s">
        <v>2001</v>
      </c>
      <c r="AW453" s="121">
        <v>0</v>
      </c>
      <c r="AX453" s="121">
        <v>6330013</v>
      </c>
      <c r="BI453">
        <v>0</v>
      </c>
      <c r="BJ453" s="121">
        <v>0</v>
      </c>
      <c r="BK453" s="134">
        <v>790299727</v>
      </c>
      <c r="BL453" s="934">
        <v>4593</v>
      </c>
      <c r="BM453" s="934">
        <v>4647</v>
      </c>
      <c r="BN453" s="934">
        <v>4647</v>
      </c>
      <c r="BO453" s="114">
        <v>0</v>
      </c>
      <c r="BP453" s="114">
        <v>0</v>
      </c>
    </row>
    <row r="454" spans="1:68">
      <c r="A454" t="s">
        <v>873</v>
      </c>
      <c r="B454" t="s">
        <v>1217</v>
      </c>
      <c r="C454" s="121">
        <v>4592</v>
      </c>
      <c r="D454" s="72">
        <v>3</v>
      </c>
      <c r="E454">
        <v>1480.9190000000001</v>
      </c>
      <c r="F454">
        <v>416</v>
      </c>
      <c r="G454">
        <v>589</v>
      </c>
      <c r="H454">
        <v>2</v>
      </c>
      <c r="I454" s="173">
        <v>1.04</v>
      </c>
      <c r="J454" s="121">
        <v>210875854</v>
      </c>
      <c r="K454" s="125">
        <v>7745.7820000000002</v>
      </c>
      <c r="L454" s="173">
        <v>1.4722999999999999</v>
      </c>
      <c r="M454">
        <v>1.04</v>
      </c>
      <c r="N454">
        <v>0.98153333824099998</v>
      </c>
      <c r="O454">
        <v>5.8466661759000065</v>
      </c>
      <c r="P454">
        <v>5388.1120000000001</v>
      </c>
      <c r="Q454" s="125">
        <v>0.51600000000000001</v>
      </c>
      <c r="R454" s="125">
        <v>0</v>
      </c>
      <c r="S454" s="125">
        <v>5.6769999999999996</v>
      </c>
      <c r="T454" s="125">
        <v>146.863</v>
      </c>
      <c r="U454" s="125">
        <v>43.222000000000001</v>
      </c>
      <c r="V454" s="125">
        <v>0.75900000000000001</v>
      </c>
      <c r="W454" s="125">
        <v>0.69399999999999995</v>
      </c>
      <c r="X454" s="125">
        <v>0</v>
      </c>
      <c r="Y454" s="125">
        <v>0</v>
      </c>
      <c r="Z454" s="125">
        <v>6.12</v>
      </c>
      <c r="AA454" s="125">
        <v>25.695</v>
      </c>
      <c r="AB454" s="125">
        <v>198.459</v>
      </c>
      <c r="AC454" s="125">
        <v>5334.2</v>
      </c>
      <c r="AD454" s="125">
        <v>4.968</v>
      </c>
      <c r="AE454" s="125">
        <v>2563.8960000000002</v>
      </c>
      <c r="AF454" s="125">
        <v>269.40559999999999</v>
      </c>
      <c r="AG454" s="125">
        <v>0</v>
      </c>
      <c r="AH454" s="125">
        <v>0</v>
      </c>
      <c r="AI454" s="121">
        <v>1773129</v>
      </c>
      <c r="AJ454" s="121">
        <v>360047</v>
      </c>
      <c r="AK454" s="424">
        <v>12</v>
      </c>
      <c r="AL454">
        <v>0</v>
      </c>
      <c r="AM454" s="121">
        <v>303779</v>
      </c>
      <c r="AN454" s="125">
        <v>0</v>
      </c>
      <c r="AO454" s="125">
        <v>0</v>
      </c>
      <c r="AP454" s="121">
        <v>2133176</v>
      </c>
      <c r="AQ454" s="114">
        <v>0</v>
      </c>
      <c r="AR454" s="121">
        <v>140.56130331</v>
      </c>
      <c r="AS454" s="121">
        <v>27620.737495000001</v>
      </c>
      <c r="AT454" s="121">
        <v>3637.6387423000001</v>
      </c>
      <c r="AU454" s="420" t="s">
        <v>2001</v>
      </c>
      <c r="AV454" s="420" t="s">
        <v>2001</v>
      </c>
      <c r="AW454" s="121">
        <v>0</v>
      </c>
      <c r="AX454" s="121">
        <v>3627951</v>
      </c>
      <c r="BI454">
        <v>0</v>
      </c>
      <c r="BJ454" s="121">
        <v>0</v>
      </c>
      <c r="BK454" s="134">
        <v>210875854</v>
      </c>
      <c r="BL454" s="934">
        <v>4572</v>
      </c>
      <c r="BM454" s="934">
        <v>4585</v>
      </c>
      <c r="BN454" s="934">
        <v>4592</v>
      </c>
      <c r="BO454" s="114">
        <v>0</v>
      </c>
      <c r="BP454" s="114">
        <v>0</v>
      </c>
    </row>
    <row r="455" spans="1:68">
      <c r="A455" t="s">
        <v>875</v>
      </c>
      <c r="B455" t="s">
        <v>40</v>
      </c>
      <c r="C455" s="121">
        <v>4813</v>
      </c>
      <c r="D455" s="72">
        <v>2</v>
      </c>
      <c r="E455">
        <v>6998.0249999999996</v>
      </c>
      <c r="F455">
        <v>2051</v>
      </c>
      <c r="G455">
        <v>1705</v>
      </c>
      <c r="H455">
        <v>189</v>
      </c>
      <c r="I455" s="173">
        <v>1.04</v>
      </c>
      <c r="J455" s="121">
        <v>4885084197</v>
      </c>
      <c r="K455" s="125">
        <v>40042.987999999998</v>
      </c>
      <c r="L455" s="173">
        <v>1.5</v>
      </c>
      <c r="M455">
        <v>1.04</v>
      </c>
      <c r="N455">
        <v>1.000000005</v>
      </c>
      <c r="O455">
        <v>3.9999995000000066</v>
      </c>
      <c r="P455">
        <v>28778.274000000001</v>
      </c>
      <c r="Q455" s="125">
        <v>8.84</v>
      </c>
      <c r="R455" s="125">
        <v>0</v>
      </c>
      <c r="S455" s="125">
        <v>32.878999999999998</v>
      </c>
      <c r="T455" s="125">
        <v>693.21100000000001</v>
      </c>
      <c r="U455" s="125">
        <v>196.07400000000001</v>
      </c>
      <c r="V455" s="125">
        <v>0</v>
      </c>
      <c r="W455" s="125">
        <v>14.04</v>
      </c>
      <c r="X455" s="125">
        <v>0</v>
      </c>
      <c r="Y455" s="125">
        <v>0</v>
      </c>
      <c r="Z455" s="125">
        <v>8.5000000000000006E-2</v>
      </c>
      <c r="AA455" s="125">
        <v>318.12599999999998</v>
      </c>
      <c r="AB455" s="125">
        <v>1122.279</v>
      </c>
      <c r="AC455" s="125">
        <v>25470</v>
      </c>
      <c r="AD455" s="125">
        <v>13.856</v>
      </c>
      <c r="AE455" s="125">
        <v>8551.7710000000006</v>
      </c>
      <c r="AF455" s="125">
        <v>1438.9137000000001</v>
      </c>
      <c r="AG455" s="125">
        <v>0</v>
      </c>
      <c r="AH455" s="125">
        <v>0</v>
      </c>
      <c r="AI455" s="121">
        <v>52811668</v>
      </c>
      <c r="AJ455" s="121">
        <v>3240710</v>
      </c>
      <c r="AK455" s="424">
        <v>12</v>
      </c>
      <c r="AL455">
        <v>0</v>
      </c>
      <c r="AM455" s="121">
        <v>2544824</v>
      </c>
      <c r="AN455" s="125">
        <v>3</v>
      </c>
      <c r="AO455" s="125">
        <v>2</v>
      </c>
      <c r="AP455" s="121">
        <v>56052378</v>
      </c>
      <c r="AQ455" s="114">
        <v>0</v>
      </c>
      <c r="AR455" s="121">
        <v>3256.1992682999999</v>
      </c>
      <c r="AS455" s="121">
        <v>639853.38144999999</v>
      </c>
      <c r="AT455" s="121">
        <v>84268.403411000007</v>
      </c>
      <c r="AU455" s="420" t="s">
        <v>2001</v>
      </c>
      <c r="AV455" s="420" t="s">
        <v>2001</v>
      </c>
      <c r="AW455" s="121">
        <v>0</v>
      </c>
      <c r="AX455" s="121">
        <v>8190567</v>
      </c>
      <c r="BI455">
        <v>0</v>
      </c>
      <c r="BJ455" s="121">
        <v>0</v>
      </c>
      <c r="BK455" s="134">
        <v>4885084197</v>
      </c>
      <c r="BL455" s="934">
        <v>4653</v>
      </c>
      <c r="BM455" s="934">
        <v>4813</v>
      </c>
      <c r="BN455" s="934">
        <v>4722</v>
      </c>
      <c r="BO455" s="114">
        <v>0</v>
      </c>
      <c r="BP455" s="114">
        <v>0</v>
      </c>
    </row>
    <row r="456" spans="1:68">
      <c r="A456" t="s">
        <v>2131</v>
      </c>
      <c r="B456" t="s">
        <v>2725</v>
      </c>
      <c r="C456" s="121">
        <v>4638</v>
      </c>
      <c r="D456" s="72">
        <v>2</v>
      </c>
      <c r="E456">
        <v>857.99900000000002</v>
      </c>
      <c r="F456">
        <v>286</v>
      </c>
      <c r="G456">
        <v>229</v>
      </c>
      <c r="H456">
        <v>7</v>
      </c>
      <c r="I456" s="173">
        <v>1.04</v>
      </c>
      <c r="J456" s="121">
        <v>372147094</v>
      </c>
      <c r="K456" s="125">
        <v>4519.3549999999996</v>
      </c>
      <c r="L456" s="173">
        <v>1.46</v>
      </c>
      <c r="M456">
        <v>1.04</v>
      </c>
      <c r="N456">
        <v>0.97333333820000001</v>
      </c>
      <c r="O456">
        <v>6.6666661800000027</v>
      </c>
      <c r="P456">
        <v>3038.3040000000001</v>
      </c>
      <c r="Q456" s="125">
        <v>0.156</v>
      </c>
      <c r="R456" s="125">
        <v>0</v>
      </c>
      <c r="S456" s="125">
        <v>3.2679999999999998</v>
      </c>
      <c r="T456" s="125">
        <v>48.904000000000003</v>
      </c>
      <c r="U456" s="125">
        <v>14.771000000000001</v>
      </c>
      <c r="V456" s="125">
        <v>0</v>
      </c>
      <c r="W456" s="125">
        <v>0</v>
      </c>
      <c r="X456" s="125">
        <v>0</v>
      </c>
      <c r="Y456" s="125">
        <v>0</v>
      </c>
      <c r="Z456" s="125">
        <v>0</v>
      </c>
      <c r="AA456" s="125">
        <v>5.9409999999999998</v>
      </c>
      <c r="AB456" s="125">
        <v>162.15299999999999</v>
      </c>
      <c r="AC456" s="125">
        <v>3007.9</v>
      </c>
      <c r="AD456" s="125">
        <v>2.0710000000000002</v>
      </c>
      <c r="AE456" s="125">
        <v>1731.5519999999999</v>
      </c>
      <c r="AF456" s="125">
        <v>151.91499999999999</v>
      </c>
      <c r="AG456" s="125">
        <v>0</v>
      </c>
      <c r="AH456" s="125">
        <v>0</v>
      </c>
      <c r="AI456" s="121">
        <v>4145123</v>
      </c>
      <c r="AJ456" s="121">
        <v>579805</v>
      </c>
      <c r="AK456" s="424">
        <v>12</v>
      </c>
      <c r="AL456">
        <v>0</v>
      </c>
      <c r="AM456" s="121">
        <v>148476</v>
      </c>
      <c r="AN456" s="125">
        <v>0</v>
      </c>
      <c r="AO456" s="125">
        <v>0</v>
      </c>
      <c r="AP456" s="121">
        <v>4724928</v>
      </c>
      <c r="AQ456" s="114">
        <v>0</v>
      </c>
      <c r="AR456" s="121">
        <v>248.05818002999999</v>
      </c>
      <c r="AS456" s="121">
        <v>48744.211336</v>
      </c>
      <c r="AT456" s="121">
        <v>6419.5907748</v>
      </c>
      <c r="AU456" s="420" t="s">
        <v>2001</v>
      </c>
      <c r="AV456" s="420" t="s">
        <v>2001</v>
      </c>
      <c r="AW456" s="121">
        <v>0</v>
      </c>
      <c r="AX456" s="121">
        <v>3484815</v>
      </c>
      <c r="BI456">
        <v>0</v>
      </c>
      <c r="BJ456" s="121">
        <v>0</v>
      </c>
      <c r="BK456" s="134">
        <v>372147094</v>
      </c>
      <c r="BL456" s="934">
        <v>4608</v>
      </c>
      <c r="BM456" s="934">
        <v>4638</v>
      </c>
      <c r="BN456" s="934">
        <v>4589</v>
      </c>
      <c r="BO456" s="114">
        <v>0</v>
      </c>
      <c r="BP456" s="114">
        <v>0</v>
      </c>
    </row>
    <row r="457" spans="1:68">
      <c r="A457" t="s">
        <v>2894</v>
      </c>
      <c r="B457" t="s">
        <v>925</v>
      </c>
      <c r="C457" s="121">
        <v>4692</v>
      </c>
      <c r="D457" s="72">
        <v>2</v>
      </c>
      <c r="E457">
        <v>6088.2340000000004</v>
      </c>
      <c r="F457">
        <v>1910</v>
      </c>
      <c r="G457">
        <v>1440</v>
      </c>
      <c r="H457">
        <v>34</v>
      </c>
      <c r="I457" s="173">
        <v>1.04</v>
      </c>
      <c r="J457" s="121">
        <v>5762475693</v>
      </c>
      <c r="K457" s="125">
        <v>31219.008000000002</v>
      </c>
      <c r="L457" s="173">
        <v>1.5</v>
      </c>
      <c r="M457">
        <v>1.04</v>
      </c>
      <c r="N457">
        <v>1.000000005</v>
      </c>
      <c r="O457">
        <v>3.9999995000000066</v>
      </c>
      <c r="P457">
        <v>23507.798999999999</v>
      </c>
      <c r="Q457" s="125">
        <v>3.5369999999999999</v>
      </c>
      <c r="R457" s="125">
        <v>0</v>
      </c>
      <c r="S457" s="125">
        <v>26.539000000000001</v>
      </c>
      <c r="T457" s="125">
        <v>145</v>
      </c>
      <c r="U457" s="125">
        <v>66.343999999999994</v>
      </c>
      <c r="V457" s="125">
        <v>0</v>
      </c>
      <c r="W457" s="125">
        <v>9.0920000000000005</v>
      </c>
      <c r="X457" s="125">
        <v>0</v>
      </c>
      <c r="Y457" s="125">
        <v>0</v>
      </c>
      <c r="Z457" s="125">
        <v>14.108000000000001</v>
      </c>
      <c r="AA457" s="125">
        <v>725</v>
      </c>
      <c r="AB457" s="125">
        <v>940.12199999999996</v>
      </c>
      <c r="AC457" s="125">
        <v>16317.6</v>
      </c>
      <c r="AD457" s="125">
        <v>10.747999999999999</v>
      </c>
      <c r="AE457" s="125">
        <v>7830.116</v>
      </c>
      <c r="AF457" s="125">
        <v>1175.38995</v>
      </c>
      <c r="AG457" s="125">
        <v>0</v>
      </c>
      <c r="AH457" s="125">
        <v>0</v>
      </c>
      <c r="AI457" s="121">
        <v>62926235</v>
      </c>
      <c r="AJ457" s="121">
        <v>5295164</v>
      </c>
      <c r="AK457" s="424">
        <v>12</v>
      </c>
      <c r="AL457">
        <v>0</v>
      </c>
      <c r="AM457" s="121">
        <v>482421</v>
      </c>
      <c r="AN457" s="125">
        <v>3</v>
      </c>
      <c r="AO457" s="125">
        <v>0</v>
      </c>
      <c r="AP457" s="121">
        <v>68221399</v>
      </c>
      <c r="AQ457" s="114">
        <v>0</v>
      </c>
      <c r="AR457" s="121">
        <v>3841.0329031000001</v>
      </c>
      <c r="AS457" s="121">
        <v>754775.02720000001</v>
      </c>
      <c r="AT457" s="121">
        <v>99403.532623000006</v>
      </c>
      <c r="AU457" s="420" t="s">
        <v>2001</v>
      </c>
      <c r="AV457" s="420" t="s">
        <v>2001</v>
      </c>
      <c r="AW457" s="121">
        <v>0</v>
      </c>
      <c r="AX457" s="121">
        <v>9790550</v>
      </c>
      <c r="BI457">
        <v>0</v>
      </c>
      <c r="BJ457" s="121">
        <v>0</v>
      </c>
      <c r="BK457" s="134">
        <v>5762475693</v>
      </c>
      <c r="BL457" s="934">
        <v>4645</v>
      </c>
      <c r="BM457" s="934">
        <v>4692</v>
      </c>
      <c r="BN457" s="934">
        <v>4692</v>
      </c>
      <c r="BO457" s="114">
        <v>0</v>
      </c>
      <c r="BP457" s="114">
        <v>0</v>
      </c>
    </row>
    <row r="458" spans="1:68">
      <c r="A458" t="s">
        <v>2897</v>
      </c>
      <c r="B458" t="s">
        <v>2553</v>
      </c>
      <c r="C458" s="121">
        <v>4623</v>
      </c>
      <c r="D458" s="72">
        <v>2</v>
      </c>
      <c r="E458">
        <v>1292.0029999999999</v>
      </c>
      <c r="F458">
        <v>396</v>
      </c>
      <c r="G458">
        <v>399</v>
      </c>
      <c r="H458">
        <v>0</v>
      </c>
      <c r="I458" s="173">
        <v>1.04</v>
      </c>
      <c r="J458" s="121">
        <v>325051436</v>
      </c>
      <c r="K458" s="125">
        <v>7094.165</v>
      </c>
      <c r="L458" s="173">
        <v>1.5</v>
      </c>
      <c r="M458">
        <v>1.04</v>
      </c>
      <c r="N458">
        <v>1.000000005</v>
      </c>
      <c r="O458">
        <v>3.9999995000000066</v>
      </c>
      <c r="P458">
        <v>5015.5349999999999</v>
      </c>
      <c r="Q458" s="125">
        <v>0.44400000000000001</v>
      </c>
      <c r="R458" s="125">
        <v>0</v>
      </c>
      <c r="S458" s="125">
        <v>6.032</v>
      </c>
      <c r="T458" s="125">
        <v>112.383</v>
      </c>
      <c r="U458" s="125">
        <v>32.197000000000003</v>
      </c>
      <c r="V458" s="125">
        <v>0.46899999999999997</v>
      </c>
      <c r="W458" s="125">
        <v>8.0860000000000003</v>
      </c>
      <c r="X458" s="125">
        <v>0</v>
      </c>
      <c r="Y458" s="125">
        <v>0</v>
      </c>
      <c r="Z458" s="125">
        <v>0</v>
      </c>
      <c r="AA458" s="125">
        <v>14.621</v>
      </c>
      <c r="AB458" s="125">
        <v>207.78700000000001</v>
      </c>
      <c r="AC458" s="125">
        <v>4965.3999999999996</v>
      </c>
      <c r="AD458" s="125">
        <v>7.2510000000000003</v>
      </c>
      <c r="AE458" s="125">
        <v>1606.433</v>
      </c>
      <c r="AF458" s="125">
        <v>250.77674999999999</v>
      </c>
      <c r="AG458" s="125">
        <v>0</v>
      </c>
      <c r="AH458" s="125">
        <v>0</v>
      </c>
      <c r="AI458" s="121">
        <v>3443075</v>
      </c>
      <c r="AJ458" s="121">
        <v>449730</v>
      </c>
      <c r="AK458" s="424">
        <v>12</v>
      </c>
      <c r="AL458">
        <v>0</v>
      </c>
      <c r="AM458" s="121">
        <v>430143</v>
      </c>
      <c r="AN458" s="125">
        <v>1</v>
      </c>
      <c r="AO458" s="125">
        <v>0</v>
      </c>
      <c r="AP458" s="121">
        <v>3892805</v>
      </c>
      <c r="AQ458" s="114">
        <v>0</v>
      </c>
      <c r="AR458" s="121">
        <v>216.66612189</v>
      </c>
      <c r="AS458" s="121">
        <v>42575.573333</v>
      </c>
      <c r="AT458" s="121">
        <v>5607.1839160999998</v>
      </c>
      <c r="AU458" s="420" t="s">
        <v>2001</v>
      </c>
      <c r="AV458" s="420" t="s">
        <v>2001</v>
      </c>
      <c r="AW458" s="121">
        <v>0</v>
      </c>
      <c r="AX458" s="121">
        <v>4060086</v>
      </c>
      <c r="BI458">
        <v>0</v>
      </c>
      <c r="BJ458" s="121">
        <v>0</v>
      </c>
      <c r="BK458" s="134">
        <v>325051436</v>
      </c>
      <c r="BL458" s="934">
        <v>4608</v>
      </c>
      <c r="BM458" s="934">
        <v>4623</v>
      </c>
      <c r="BN458" s="934">
        <v>4623</v>
      </c>
      <c r="BO458" s="114">
        <v>0</v>
      </c>
      <c r="BP458" s="114">
        <v>0</v>
      </c>
    </row>
    <row r="459" spans="1:68">
      <c r="A459" t="s">
        <v>2903</v>
      </c>
      <c r="B459" t="s">
        <v>45</v>
      </c>
      <c r="C459" s="121">
        <v>4668</v>
      </c>
      <c r="D459" s="72">
        <v>3</v>
      </c>
      <c r="E459">
        <v>3615.7919999999999</v>
      </c>
      <c r="F459">
        <v>1094</v>
      </c>
      <c r="G459">
        <v>989</v>
      </c>
      <c r="H459">
        <v>0</v>
      </c>
      <c r="I459" s="173">
        <v>1.04</v>
      </c>
      <c r="J459" s="121">
        <v>1479849416</v>
      </c>
      <c r="K459" s="125">
        <v>21105.453000000001</v>
      </c>
      <c r="L459" s="173">
        <v>1.46</v>
      </c>
      <c r="M459">
        <v>1.04</v>
      </c>
      <c r="N459">
        <v>0.97333333820000001</v>
      </c>
      <c r="O459">
        <v>6.6666661800000027</v>
      </c>
      <c r="P459">
        <v>15344.123</v>
      </c>
      <c r="Q459" s="125">
        <v>1.7949999999999999</v>
      </c>
      <c r="R459" s="125">
        <v>0</v>
      </c>
      <c r="S459" s="125">
        <v>12.146000000000001</v>
      </c>
      <c r="T459" s="125">
        <v>338.565</v>
      </c>
      <c r="U459" s="125">
        <v>86.896000000000001</v>
      </c>
      <c r="V459" s="125">
        <v>0</v>
      </c>
      <c r="W459" s="125">
        <v>1.579</v>
      </c>
      <c r="X459" s="125">
        <v>0</v>
      </c>
      <c r="Y459" s="125">
        <v>0</v>
      </c>
      <c r="Z459" s="125">
        <v>0</v>
      </c>
      <c r="AA459" s="125">
        <v>57.941000000000003</v>
      </c>
      <c r="AB459" s="125">
        <v>546.9</v>
      </c>
      <c r="AC459" s="125">
        <v>13498.6</v>
      </c>
      <c r="AD459" s="125">
        <v>6.7759999999999998</v>
      </c>
      <c r="AE459" s="125">
        <v>4562.8249999999998</v>
      </c>
      <c r="AF459" s="125">
        <v>767.20600000000002</v>
      </c>
      <c r="AG459" s="125">
        <v>0</v>
      </c>
      <c r="AH459" s="125">
        <v>0</v>
      </c>
      <c r="AI459" s="121">
        <v>15836757</v>
      </c>
      <c r="AJ459" s="121">
        <v>1491587</v>
      </c>
      <c r="AK459" s="424">
        <v>12</v>
      </c>
      <c r="AL459">
        <v>0</v>
      </c>
      <c r="AM459" s="121">
        <v>554088</v>
      </c>
      <c r="AN459" s="125">
        <v>3.7709999999999999</v>
      </c>
      <c r="AO459" s="125">
        <v>0</v>
      </c>
      <c r="AP459" s="121">
        <v>17328344</v>
      </c>
      <c r="AQ459" s="114">
        <v>0</v>
      </c>
      <c r="AR459" s="121">
        <v>986.40768332000005</v>
      </c>
      <c r="AS459" s="121">
        <v>193832.20731999999</v>
      </c>
      <c r="AT459" s="121">
        <v>25527.614785000002</v>
      </c>
      <c r="AU459" s="420" t="s">
        <v>2001</v>
      </c>
      <c r="AV459" s="420" t="s">
        <v>2001</v>
      </c>
      <c r="AW459" s="121">
        <v>0</v>
      </c>
      <c r="AX459" s="121">
        <v>8593906</v>
      </c>
      <c r="BI459">
        <v>0</v>
      </c>
      <c r="BJ459" s="121">
        <v>0</v>
      </c>
      <c r="BK459" s="134">
        <v>1479849416</v>
      </c>
      <c r="BL459" s="934">
        <v>4653</v>
      </c>
      <c r="BM459" s="934">
        <v>4642</v>
      </c>
      <c r="BN459" s="934">
        <v>4668</v>
      </c>
      <c r="BO459" s="114">
        <v>0</v>
      </c>
      <c r="BP459" s="114">
        <v>0</v>
      </c>
    </row>
    <row r="460" spans="1:68">
      <c r="A460" t="s">
        <v>239</v>
      </c>
      <c r="B460" t="s">
        <v>1126</v>
      </c>
      <c r="C460" s="121">
        <v>4691</v>
      </c>
      <c r="D460" s="72">
        <v>2</v>
      </c>
      <c r="E460">
        <v>6688.01</v>
      </c>
      <c r="F460">
        <v>2050</v>
      </c>
      <c r="G460">
        <v>1780</v>
      </c>
      <c r="H460">
        <v>99</v>
      </c>
      <c r="I460" s="173">
        <v>1.04</v>
      </c>
      <c r="J460" s="121">
        <v>2857158740</v>
      </c>
      <c r="K460" s="125">
        <v>39738.057999999997</v>
      </c>
      <c r="L460" s="173">
        <v>1.5</v>
      </c>
      <c r="M460">
        <v>1.04</v>
      </c>
      <c r="N460">
        <v>1.000000005</v>
      </c>
      <c r="O460">
        <v>3.9999995000000066</v>
      </c>
      <c r="P460">
        <v>28291</v>
      </c>
      <c r="Q460" s="125">
        <v>4</v>
      </c>
      <c r="R460" s="125">
        <v>0.78200000000000003</v>
      </c>
      <c r="S460" s="125">
        <v>35</v>
      </c>
      <c r="T460" s="125">
        <v>578</v>
      </c>
      <c r="U460" s="125">
        <v>146</v>
      </c>
      <c r="V460" s="125">
        <v>0</v>
      </c>
      <c r="W460" s="125">
        <v>0</v>
      </c>
      <c r="X460" s="125">
        <v>0</v>
      </c>
      <c r="Y460" s="125">
        <v>0</v>
      </c>
      <c r="Z460" s="125">
        <v>6.9</v>
      </c>
      <c r="AA460" s="125">
        <v>370</v>
      </c>
      <c r="AB460" s="125">
        <v>851</v>
      </c>
      <c r="AC460" s="125">
        <v>26800.799999999999</v>
      </c>
      <c r="AD460" s="125">
        <v>15</v>
      </c>
      <c r="AE460" s="125">
        <v>10400</v>
      </c>
      <c r="AF460" s="125">
        <v>1414.55</v>
      </c>
      <c r="AG460" s="125">
        <v>0</v>
      </c>
      <c r="AH460" s="125">
        <v>0</v>
      </c>
      <c r="AI460" s="121">
        <v>30888172</v>
      </c>
      <c r="AJ460" s="121">
        <v>3863235</v>
      </c>
      <c r="AK460" s="424">
        <v>12</v>
      </c>
      <c r="AL460">
        <v>0</v>
      </c>
      <c r="AM460" s="121">
        <v>887365</v>
      </c>
      <c r="AN460" s="125">
        <v>0</v>
      </c>
      <c r="AO460" s="125">
        <v>0</v>
      </c>
      <c r="AP460" s="121">
        <v>34751407</v>
      </c>
      <c r="AQ460" s="114">
        <v>0</v>
      </c>
      <c r="AR460" s="121">
        <v>1904.4662943999999</v>
      </c>
      <c r="AS460" s="121">
        <v>374233.60732000001</v>
      </c>
      <c r="AT460" s="121">
        <v>49286.398268999998</v>
      </c>
      <c r="AU460" s="420" t="s">
        <v>2001</v>
      </c>
      <c r="AV460" s="420" t="s">
        <v>2001</v>
      </c>
      <c r="AW460" s="121">
        <v>0</v>
      </c>
      <c r="AX460" s="121">
        <v>14055836</v>
      </c>
      <c r="BI460">
        <v>0</v>
      </c>
      <c r="BJ460" s="121">
        <v>0</v>
      </c>
      <c r="BK460" s="134">
        <v>2857158740</v>
      </c>
      <c r="BL460" s="934">
        <v>4644</v>
      </c>
      <c r="BM460" s="934">
        <v>4691</v>
      </c>
      <c r="BN460" s="934">
        <v>4691</v>
      </c>
      <c r="BO460" s="114">
        <v>0</v>
      </c>
      <c r="BP460" s="114">
        <v>0</v>
      </c>
    </row>
    <row r="461" spans="1:68">
      <c r="A461" t="s">
        <v>1218</v>
      </c>
      <c r="B461" t="s">
        <v>88</v>
      </c>
      <c r="C461" s="121">
        <v>4620</v>
      </c>
      <c r="D461" s="72">
        <v>2</v>
      </c>
      <c r="E461">
        <v>478.05</v>
      </c>
      <c r="F461">
        <v>141</v>
      </c>
      <c r="G461">
        <v>166</v>
      </c>
      <c r="H461">
        <v>0</v>
      </c>
      <c r="I461" s="173">
        <v>1.04</v>
      </c>
      <c r="J461" s="121">
        <v>95836815</v>
      </c>
      <c r="K461" s="125">
        <v>2627.3339999999998</v>
      </c>
      <c r="L461" s="173">
        <v>1.5</v>
      </c>
      <c r="M461">
        <v>1.04</v>
      </c>
      <c r="N461">
        <v>1.000000005</v>
      </c>
      <c r="O461">
        <v>3.9999995000000066</v>
      </c>
      <c r="P461">
        <v>1734.144</v>
      </c>
      <c r="Q461" s="125">
        <v>0</v>
      </c>
      <c r="R461" s="125">
        <v>0</v>
      </c>
      <c r="S461" s="125">
        <v>0.55000000000000004</v>
      </c>
      <c r="T461" s="125">
        <v>20.611999999999998</v>
      </c>
      <c r="U461" s="125">
        <v>6.0529999999999999</v>
      </c>
      <c r="V461" s="125">
        <v>1</v>
      </c>
      <c r="W461" s="125">
        <v>7.7539999999999996</v>
      </c>
      <c r="X461" s="125">
        <v>0</v>
      </c>
      <c r="Y461" s="125">
        <v>0</v>
      </c>
      <c r="Z461" s="125">
        <v>0</v>
      </c>
      <c r="AA461" s="125">
        <v>14.468999999999999</v>
      </c>
      <c r="AB461" s="125">
        <v>3.552</v>
      </c>
      <c r="AC461" s="125">
        <v>1716.8</v>
      </c>
      <c r="AD461" s="125">
        <v>1.92</v>
      </c>
      <c r="AE461" s="125">
        <v>867.60900000000004</v>
      </c>
      <c r="AF461" s="125">
        <v>86.706999999999994</v>
      </c>
      <c r="AG461" s="125">
        <v>0</v>
      </c>
      <c r="AH461" s="125">
        <v>0</v>
      </c>
      <c r="AI461" s="121">
        <v>1036073</v>
      </c>
      <c r="AJ461" s="121">
        <v>201493</v>
      </c>
      <c r="AK461" s="424">
        <v>12</v>
      </c>
      <c r="AL461">
        <v>0</v>
      </c>
      <c r="AM461" s="121">
        <v>37500</v>
      </c>
      <c r="AN461" s="125">
        <v>0</v>
      </c>
      <c r="AO461" s="125">
        <v>0</v>
      </c>
      <c r="AP461" s="121">
        <v>1237566</v>
      </c>
      <c r="AQ461" s="114">
        <v>0</v>
      </c>
      <c r="AR461" s="121">
        <v>63.880939261999998</v>
      </c>
      <c r="AS461" s="121">
        <v>12552.805166</v>
      </c>
      <c r="AT461" s="121">
        <v>1653.1988114000001</v>
      </c>
      <c r="AU461" s="420" t="s">
        <v>2001</v>
      </c>
      <c r="AV461" s="420" t="s">
        <v>2001</v>
      </c>
      <c r="AW461" s="121">
        <v>0</v>
      </c>
      <c r="AX461" s="121">
        <v>1824756</v>
      </c>
      <c r="BI461">
        <v>0</v>
      </c>
      <c r="BJ461" s="121">
        <v>0</v>
      </c>
      <c r="BK461" s="134">
        <v>95836815</v>
      </c>
      <c r="BL461" s="934">
        <v>4583</v>
      </c>
      <c r="BM461" s="934">
        <v>4620</v>
      </c>
      <c r="BN461" s="934">
        <v>4607</v>
      </c>
      <c r="BO461" s="114">
        <v>0</v>
      </c>
      <c r="BP461" s="114">
        <v>0</v>
      </c>
    </row>
    <row r="462" spans="1:68">
      <c r="A462" t="s">
        <v>1759</v>
      </c>
      <c r="B462" t="s">
        <v>2998</v>
      </c>
      <c r="C462" s="121">
        <v>4969</v>
      </c>
      <c r="D462" s="72">
        <v>3</v>
      </c>
      <c r="E462">
        <v>2446.587</v>
      </c>
      <c r="F462">
        <v>584</v>
      </c>
      <c r="G462">
        <v>526</v>
      </c>
      <c r="H462">
        <v>15</v>
      </c>
      <c r="I462" s="173">
        <v>1.04</v>
      </c>
      <c r="J462" s="121">
        <v>2308935960</v>
      </c>
      <c r="K462" s="125">
        <v>11059.305</v>
      </c>
      <c r="L462" s="173">
        <v>1.4750000000000001</v>
      </c>
      <c r="M462">
        <v>1.04</v>
      </c>
      <c r="N462">
        <v>0.98333333825000013</v>
      </c>
      <c r="O462">
        <v>5.6666661749999907</v>
      </c>
      <c r="P462">
        <v>8654.5849999999991</v>
      </c>
      <c r="Q462" s="125">
        <v>0.80200000000000005</v>
      </c>
      <c r="R462" s="125">
        <v>1.7</v>
      </c>
      <c r="S462" s="125">
        <v>6.9770000000000003</v>
      </c>
      <c r="T462" s="125">
        <v>114.863</v>
      </c>
      <c r="U462" s="125">
        <v>59.286000000000001</v>
      </c>
      <c r="V462" s="125">
        <v>0</v>
      </c>
      <c r="W462" s="125">
        <v>0</v>
      </c>
      <c r="X462" s="125">
        <v>0</v>
      </c>
      <c r="Y462" s="125">
        <v>0</v>
      </c>
      <c r="Z462" s="125">
        <v>0</v>
      </c>
      <c r="AA462" s="125">
        <v>84.82</v>
      </c>
      <c r="AB462" s="125">
        <v>434.22300000000001</v>
      </c>
      <c r="AC462" s="125">
        <v>5231.1000000000004</v>
      </c>
      <c r="AD462" s="125">
        <v>1.7869999999999999</v>
      </c>
      <c r="AE462" s="125">
        <v>1507.556</v>
      </c>
      <c r="AF462" s="125">
        <v>432.72899999999998</v>
      </c>
      <c r="AG462" s="125">
        <v>0</v>
      </c>
      <c r="AH462" s="125">
        <v>0</v>
      </c>
      <c r="AI462" s="121">
        <v>24961445</v>
      </c>
      <c r="AJ462" s="121">
        <v>3273783</v>
      </c>
      <c r="AK462" s="424">
        <v>12</v>
      </c>
      <c r="AL462">
        <v>0</v>
      </c>
      <c r="AM462" s="121">
        <v>446829</v>
      </c>
      <c r="AN462" s="125">
        <v>0</v>
      </c>
      <c r="AO462" s="125">
        <v>1</v>
      </c>
      <c r="AP462" s="121">
        <v>28235228</v>
      </c>
      <c r="AQ462" s="114">
        <v>0</v>
      </c>
      <c r="AR462" s="121">
        <v>1539.0431936</v>
      </c>
      <c r="AS462" s="121">
        <v>302426.82049000001</v>
      </c>
      <c r="AT462" s="121">
        <v>39829.476644000002</v>
      </c>
      <c r="AU462" s="420" t="s">
        <v>2001</v>
      </c>
      <c r="AV462" s="420" t="s">
        <v>2001</v>
      </c>
      <c r="AW462" s="121">
        <v>0</v>
      </c>
      <c r="AX462" s="121">
        <v>5032853</v>
      </c>
      <c r="BI462">
        <v>0</v>
      </c>
      <c r="BJ462" s="121">
        <v>0</v>
      </c>
      <c r="BK462" s="134">
        <v>2308935960</v>
      </c>
      <c r="BL462" s="934">
        <v>4870</v>
      </c>
      <c r="BM462" s="934">
        <v>4926</v>
      </c>
      <c r="BN462" s="934">
        <v>4969</v>
      </c>
      <c r="BO462" s="114">
        <v>0</v>
      </c>
      <c r="BP462" s="114">
        <v>0</v>
      </c>
    </row>
    <row r="463" spans="1:68">
      <c r="A463" t="s">
        <v>65</v>
      </c>
      <c r="B463" t="s">
        <v>2170</v>
      </c>
      <c r="C463" s="121">
        <v>4742</v>
      </c>
      <c r="D463" s="72">
        <v>2</v>
      </c>
      <c r="E463">
        <v>5417.799</v>
      </c>
      <c r="F463">
        <v>1963</v>
      </c>
      <c r="G463">
        <v>1699</v>
      </c>
      <c r="H463">
        <v>20</v>
      </c>
      <c r="I463" s="173">
        <v>1.04</v>
      </c>
      <c r="J463" s="121">
        <v>1826220308</v>
      </c>
      <c r="K463" s="125">
        <v>36836.476999999999</v>
      </c>
      <c r="L463" s="173">
        <v>1.5</v>
      </c>
      <c r="M463">
        <v>1.04</v>
      </c>
      <c r="N463">
        <v>1.000000005</v>
      </c>
      <c r="O463">
        <v>3.9999995000000066</v>
      </c>
      <c r="P463">
        <v>25942.858</v>
      </c>
      <c r="Q463" s="125">
        <v>7.19</v>
      </c>
      <c r="R463" s="125">
        <v>0</v>
      </c>
      <c r="S463" s="125">
        <v>31.991</v>
      </c>
      <c r="T463" s="125">
        <v>722.60299999999995</v>
      </c>
      <c r="U463" s="125">
        <v>158.69900000000001</v>
      </c>
      <c r="V463" s="125">
        <v>0</v>
      </c>
      <c r="W463" s="125">
        <v>0</v>
      </c>
      <c r="X463" s="125">
        <v>0</v>
      </c>
      <c r="Y463" s="125">
        <v>0</v>
      </c>
      <c r="Z463" s="125">
        <v>0</v>
      </c>
      <c r="AA463" s="125">
        <v>62.298999999999999</v>
      </c>
      <c r="AB463" s="125">
        <v>634.32399999999996</v>
      </c>
      <c r="AC463" s="125">
        <v>24631.200000000001</v>
      </c>
      <c r="AD463" s="125">
        <v>16.120999999999999</v>
      </c>
      <c r="AE463" s="125">
        <v>11210.857</v>
      </c>
      <c r="AF463" s="125">
        <v>1297.1429000000001</v>
      </c>
      <c r="AG463" s="125">
        <v>0</v>
      </c>
      <c r="AH463" s="125">
        <v>0</v>
      </c>
      <c r="AI463" s="121">
        <v>19344056</v>
      </c>
      <c r="AJ463" s="121">
        <v>3528234</v>
      </c>
      <c r="AK463" s="424">
        <v>12</v>
      </c>
      <c r="AL463">
        <v>0</v>
      </c>
      <c r="AM463" s="121">
        <v>2781631</v>
      </c>
      <c r="AN463" s="125">
        <v>1</v>
      </c>
      <c r="AO463" s="125">
        <v>0</v>
      </c>
      <c r="AP463" s="121">
        <v>22872290</v>
      </c>
      <c r="AQ463" s="114">
        <v>0</v>
      </c>
      <c r="AR463" s="121">
        <v>1217.2844911</v>
      </c>
      <c r="AS463" s="121">
        <v>239200.22506</v>
      </c>
      <c r="AT463" s="121">
        <v>31502.562376999998</v>
      </c>
      <c r="AU463" s="420" t="s">
        <v>2001</v>
      </c>
      <c r="AV463" s="420" t="s">
        <v>2001</v>
      </c>
      <c r="AW463" s="121">
        <v>0</v>
      </c>
      <c r="AX463" s="121">
        <v>19227376</v>
      </c>
      <c r="BI463">
        <v>0</v>
      </c>
      <c r="BJ463" s="121">
        <v>0</v>
      </c>
      <c r="BK463" s="134">
        <v>1826220308</v>
      </c>
      <c r="BL463" s="934">
        <v>4657</v>
      </c>
      <c r="BM463" s="934">
        <v>4742</v>
      </c>
      <c r="BN463" s="934">
        <v>4742</v>
      </c>
      <c r="BO463" s="114">
        <v>0</v>
      </c>
      <c r="BP463" s="114">
        <v>0</v>
      </c>
    </row>
    <row r="464" spans="1:68">
      <c r="A464" t="s">
        <v>821</v>
      </c>
      <c r="B464" t="s">
        <v>162</v>
      </c>
      <c r="C464" s="121">
        <v>4556</v>
      </c>
      <c r="D464" s="72">
        <v>3</v>
      </c>
      <c r="E464">
        <v>4040.5509999999999</v>
      </c>
      <c r="F464">
        <v>1156</v>
      </c>
      <c r="G464">
        <v>1135</v>
      </c>
      <c r="H464">
        <v>11</v>
      </c>
      <c r="I464" s="173">
        <v>1.0106999999999999</v>
      </c>
      <c r="J464" s="121">
        <v>1473976199</v>
      </c>
      <c r="K464" s="125">
        <v>22091.868999999999</v>
      </c>
      <c r="L464" s="173">
        <v>1.3959999999999999</v>
      </c>
      <c r="M464">
        <v>1.0106999999999999</v>
      </c>
      <c r="N464">
        <v>0.93066667131999992</v>
      </c>
      <c r="O464">
        <v>8.0033328680000011</v>
      </c>
      <c r="P464">
        <v>15520.441999999999</v>
      </c>
      <c r="Q464" s="125">
        <v>3.6150000000000002</v>
      </c>
      <c r="R464" s="125">
        <v>3.8650000000000002</v>
      </c>
      <c r="S464" s="125">
        <v>24.696000000000002</v>
      </c>
      <c r="T464" s="125">
        <v>382.91500000000002</v>
      </c>
      <c r="U464" s="125">
        <v>145.745</v>
      </c>
      <c r="V464" s="125">
        <v>0</v>
      </c>
      <c r="W464" s="125">
        <v>13.944000000000001</v>
      </c>
      <c r="X464" s="125">
        <v>0</v>
      </c>
      <c r="Y464" s="125">
        <v>0</v>
      </c>
      <c r="Z464" s="125">
        <v>2.4950000000000001</v>
      </c>
      <c r="AA464" s="125">
        <v>150.59800000000001</v>
      </c>
      <c r="AB464" s="125">
        <v>628.96100000000001</v>
      </c>
      <c r="AC464" s="125">
        <v>15365.2</v>
      </c>
      <c r="AD464" s="125">
        <v>11.638999999999999</v>
      </c>
      <c r="AE464" s="125">
        <v>3921.5320000000002</v>
      </c>
      <c r="AF464" s="125">
        <v>776.02200000000005</v>
      </c>
      <c r="AG464" s="125">
        <v>0</v>
      </c>
      <c r="AH464" s="125">
        <v>0</v>
      </c>
      <c r="AI464" s="121">
        <v>15355010</v>
      </c>
      <c r="AJ464" s="121">
        <v>841068</v>
      </c>
      <c r="AK464" s="424">
        <v>12</v>
      </c>
      <c r="AL464">
        <v>0</v>
      </c>
      <c r="AM464" s="121">
        <v>590480</v>
      </c>
      <c r="AN464" s="125">
        <v>0</v>
      </c>
      <c r="AO464" s="125">
        <v>0</v>
      </c>
      <c r="AP464" s="121">
        <v>16196078</v>
      </c>
      <c r="AQ464" s="114">
        <v>0</v>
      </c>
      <c r="AR464" s="121">
        <v>982.49283460000004</v>
      </c>
      <c r="AS464" s="121">
        <v>193062.92726</v>
      </c>
      <c r="AT464" s="121">
        <v>25426.300944999999</v>
      </c>
      <c r="AU464" s="420" t="s">
        <v>2001</v>
      </c>
      <c r="AV464" s="420" t="s">
        <v>2001</v>
      </c>
      <c r="AW464" s="121">
        <v>0</v>
      </c>
      <c r="AX464" s="121">
        <v>4712130</v>
      </c>
      <c r="BI464">
        <v>0</v>
      </c>
      <c r="BJ464" s="121">
        <v>0</v>
      </c>
      <c r="BK464" s="134">
        <v>1461515234</v>
      </c>
      <c r="BL464" s="934">
        <v>4524</v>
      </c>
      <c r="BM464" s="934">
        <v>4549</v>
      </c>
      <c r="BN464" s="934">
        <v>4556</v>
      </c>
      <c r="BO464" s="114">
        <v>0</v>
      </c>
      <c r="BP464" s="114">
        <v>0</v>
      </c>
    </row>
    <row r="465" spans="1:68">
      <c r="A465" t="s">
        <v>67</v>
      </c>
      <c r="B465" t="s">
        <v>2622</v>
      </c>
      <c r="C465" s="121">
        <v>4654</v>
      </c>
      <c r="D465" s="72">
        <v>3</v>
      </c>
      <c r="E465">
        <v>169.36099999999999</v>
      </c>
      <c r="F465">
        <v>51</v>
      </c>
      <c r="G465">
        <v>49</v>
      </c>
      <c r="H465">
        <v>2</v>
      </c>
      <c r="I465" s="173">
        <v>1.0338000000000001</v>
      </c>
      <c r="J465" s="121">
        <v>71029045</v>
      </c>
      <c r="K465" s="125">
        <v>1030.8489999999999</v>
      </c>
      <c r="L465" s="173">
        <v>1.4705999999999999</v>
      </c>
      <c r="M465">
        <v>1.0338000000000001</v>
      </c>
      <c r="N465">
        <v>0.98040000490199997</v>
      </c>
      <c r="O465">
        <v>5.339999509800009</v>
      </c>
      <c r="P465">
        <v>583.47</v>
      </c>
      <c r="Q465" s="125">
        <v>0</v>
      </c>
      <c r="R465" s="125">
        <v>0</v>
      </c>
      <c r="S465" s="125">
        <v>0.68</v>
      </c>
      <c r="T465" s="125">
        <v>15.97</v>
      </c>
      <c r="U465" s="125">
        <v>0.99</v>
      </c>
      <c r="V465" s="125">
        <v>0</v>
      </c>
      <c r="W465" s="125">
        <v>0</v>
      </c>
      <c r="X465" s="125">
        <v>0</v>
      </c>
      <c r="Y465" s="125">
        <v>0</v>
      </c>
      <c r="Z465" s="125">
        <v>0</v>
      </c>
      <c r="AA465" s="125">
        <v>1.74</v>
      </c>
      <c r="AB465" s="125">
        <v>35.11</v>
      </c>
      <c r="AC465" s="125">
        <v>587.9</v>
      </c>
      <c r="AD465" s="125">
        <v>0</v>
      </c>
      <c r="AE465" s="125">
        <v>168.56</v>
      </c>
      <c r="AF465" s="125">
        <v>29.172999999999998</v>
      </c>
      <c r="AG465" s="125">
        <v>0</v>
      </c>
      <c r="AH465" s="125">
        <v>0</v>
      </c>
      <c r="AI465" s="121">
        <v>763303</v>
      </c>
      <c r="AJ465" s="121">
        <v>98881</v>
      </c>
      <c r="AK465" s="424">
        <v>12</v>
      </c>
      <c r="AL465">
        <v>0</v>
      </c>
      <c r="AM465" s="121">
        <v>26532</v>
      </c>
      <c r="AN465" s="125">
        <v>0</v>
      </c>
      <c r="AO465" s="125">
        <v>0</v>
      </c>
      <c r="AP465" s="121">
        <v>862184</v>
      </c>
      <c r="AQ465" s="114">
        <v>0</v>
      </c>
      <c r="AR465" s="121">
        <v>47.345084553</v>
      </c>
      <c r="AS465" s="121">
        <v>9303.4577893000005</v>
      </c>
      <c r="AT465" s="121">
        <v>1225.261219</v>
      </c>
      <c r="AU465" s="420" t="s">
        <v>2001</v>
      </c>
      <c r="AV465" s="420" t="s">
        <v>2001</v>
      </c>
      <c r="AW465" s="121">
        <v>0</v>
      </c>
      <c r="AX465" s="121">
        <v>340810</v>
      </c>
      <c r="BI465">
        <v>0</v>
      </c>
      <c r="BJ465" s="121">
        <v>0</v>
      </c>
      <c r="BK465" s="134">
        <v>71029045</v>
      </c>
      <c r="BL465" s="934">
        <v>4565</v>
      </c>
      <c r="BM465" s="934">
        <v>4637</v>
      </c>
      <c r="BN465" s="934">
        <v>4654</v>
      </c>
      <c r="BO465" s="114">
        <v>0</v>
      </c>
      <c r="BP465" s="114">
        <v>0</v>
      </c>
    </row>
    <row r="466" spans="1:68">
      <c r="A466" t="s">
        <v>554</v>
      </c>
      <c r="B466" t="s">
        <v>2561</v>
      </c>
      <c r="C466" s="121">
        <v>4697</v>
      </c>
      <c r="D466" s="72">
        <v>1</v>
      </c>
      <c r="E466">
        <v>0</v>
      </c>
      <c r="F466">
        <v>50</v>
      </c>
      <c r="G466">
        <v>51</v>
      </c>
      <c r="H466">
        <v>7</v>
      </c>
      <c r="I466" s="173">
        <v>1.04</v>
      </c>
      <c r="J466" s="121">
        <v>54363678</v>
      </c>
      <c r="K466" s="125">
        <v>1055.4880000000001</v>
      </c>
      <c r="L466" s="173">
        <v>1.4</v>
      </c>
      <c r="M466">
        <v>1.04</v>
      </c>
      <c r="N466">
        <v>0.93333333799999996</v>
      </c>
      <c r="O466">
        <v>10.666666200000009</v>
      </c>
      <c r="P466">
        <v>610.42399999999998</v>
      </c>
      <c r="Q466" s="125">
        <v>5.8999999999999997E-2</v>
      </c>
      <c r="R466" s="125">
        <v>0</v>
      </c>
      <c r="S466" s="125">
        <v>0.749</v>
      </c>
      <c r="T466" s="125">
        <v>16.751999999999999</v>
      </c>
      <c r="U466" s="125">
        <v>3.04</v>
      </c>
      <c r="V466" s="125">
        <v>0</v>
      </c>
      <c r="W466" s="125">
        <v>0</v>
      </c>
      <c r="X466" s="125">
        <v>0</v>
      </c>
      <c r="Y466" s="125">
        <v>0</v>
      </c>
      <c r="Z466" s="125">
        <v>0</v>
      </c>
      <c r="AA466" s="125">
        <v>4.0069999999999997</v>
      </c>
      <c r="AB466" s="125">
        <v>0</v>
      </c>
      <c r="AC466" s="125">
        <v>586.9</v>
      </c>
      <c r="AD466" s="125">
        <v>0</v>
      </c>
      <c r="AE466" s="125">
        <v>239.88800000000001</v>
      </c>
      <c r="AF466" s="125">
        <v>30.521000000000001</v>
      </c>
      <c r="AG466" s="125">
        <v>0</v>
      </c>
      <c r="AH466" s="125">
        <v>0</v>
      </c>
      <c r="AI466" s="121">
        <v>495454</v>
      </c>
      <c r="AJ466" s="121">
        <v>62924</v>
      </c>
      <c r="AK466" s="424">
        <v>8</v>
      </c>
      <c r="AL466">
        <v>0</v>
      </c>
      <c r="AM466" s="121">
        <v>44659</v>
      </c>
      <c r="AN466" s="125">
        <v>0</v>
      </c>
      <c r="AO466" s="125">
        <v>0</v>
      </c>
      <c r="AP466" s="121">
        <v>558378</v>
      </c>
      <c r="AQ466" s="114">
        <v>0</v>
      </c>
      <c r="AR466" s="121">
        <v>36.236626176999998</v>
      </c>
      <c r="AS466" s="121">
        <v>7120.6108353</v>
      </c>
      <c r="AT466" s="121">
        <v>937.78125394999995</v>
      </c>
      <c r="AU466" s="420" t="s">
        <v>2001</v>
      </c>
      <c r="AV466" s="420" t="s">
        <v>2001</v>
      </c>
      <c r="AW466" s="121">
        <v>0</v>
      </c>
      <c r="AX466" s="121">
        <v>278087</v>
      </c>
      <c r="BI466">
        <v>0</v>
      </c>
      <c r="BJ466" s="121">
        <v>0</v>
      </c>
      <c r="BK466" s="134">
        <v>46297225</v>
      </c>
      <c r="BL466" s="934">
        <v>4697</v>
      </c>
      <c r="BM466" s="934">
        <v>4588</v>
      </c>
      <c r="BN466" s="934">
        <v>4634</v>
      </c>
      <c r="BO466" s="134">
        <v>94818</v>
      </c>
      <c r="BP466" s="134">
        <v>107907</v>
      </c>
    </row>
    <row r="467" spans="1:68">
      <c r="A467" t="s">
        <v>1715</v>
      </c>
      <c r="B467" t="s">
        <v>2705</v>
      </c>
      <c r="C467" s="121">
        <v>4697</v>
      </c>
      <c r="D467" s="72">
        <v>3</v>
      </c>
      <c r="E467">
        <v>1046.662</v>
      </c>
      <c r="F467">
        <v>328</v>
      </c>
      <c r="G467">
        <v>323</v>
      </c>
      <c r="H467">
        <v>13</v>
      </c>
      <c r="I467" s="173">
        <v>1.04</v>
      </c>
      <c r="J467" s="121">
        <v>357339442</v>
      </c>
      <c r="K467" s="125">
        <v>6473.2560000000003</v>
      </c>
      <c r="L467" s="173">
        <v>1.4251</v>
      </c>
      <c r="M467">
        <v>1.04</v>
      </c>
      <c r="N467">
        <v>0.95006667141700007</v>
      </c>
      <c r="O467">
        <v>8.993332858299997</v>
      </c>
      <c r="P467">
        <v>4607.3410000000003</v>
      </c>
      <c r="Q467" s="125">
        <v>0.16400000000000001</v>
      </c>
      <c r="R467" s="125">
        <v>0</v>
      </c>
      <c r="S467" s="125">
        <v>6</v>
      </c>
      <c r="T467" s="125">
        <v>86.061999999999998</v>
      </c>
      <c r="U467" s="125">
        <v>40.040999999999997</v>
      </c>
      <c r="V467" s="125">
        <v>0</v>
      </c>
      <c r="W467" s="125">
        <v>7.1</v>
      </c>
      <c r="X467" s="125">
        <v>0</v>
      </c>
      <c r="Y467" s="125">
        <v>0</v>
      </c>
      <c r="Z467" s="125">
        <v>0</v>
      </c>
      <c r="AA467" s="125">
        <v>56.442</v>
      </c>
      <c r="AB467" s="125">
        <v>89.146000000000001</v>
      </c>
      <c r="AC467" s="125">
        <v>3900</v>
      </c>
      <c r="AD467" s="125">
        <v>1.0940000000000001</v>
      </c>
      <c r="AE467" s="125">
        <v>2339.4</v>
      </c>
      <c r="AF467" s="125">
        <v>229</v>
      </c>
      <c r="AG467" s="125">
        <v>0</v>
      </c>
      <c r="AH467" s="125">
        <v>0</v>
      </c>
      <c r="AI467" s="121">
        <v>3472911</v>
      </c>
      <c r="AJ467" s="121">
        <v>631132</v>
      </c>
      <c r="AK467" s="424">
        <v>12</v>
      </c>
      <c r="AL467">
        <v>0</v>
      </c>
      <c r="AM467" s="121">
        <v>251535</v>
      </c>
      <c r="AN467" s="125">
        <v>0</v>
      </c>
      <c r="AO467" s="125">
        <v>0</v>
      </c>
      <c r="AP467" s="121">
        <v>4104043</v>
      </c>
      <c r="AQ467" s="114">
        <v>0</v>
      </c>
      <c r="AR467" s="121">
        <v>238.18799895000001</v>
      </c>
      <c r="AS467" s="121">
        <v>46804.689759000001</v>
      </c>
      <c r="AT467" s="121">
        <v>6164.1566529000002</v>
      </c>
      <c r="AU467" s="420" t="s">
        <v>2001</v>
      </c>
      <c r="AV467" s="420" t="s">
        <v>2001</v>
      </c>
      <c r="AW467" s="121">
        <v>0</v>
      </c>
      <c r="AX467" s="121">
        <v>2806131</v>
      </c>
      <c r="BI467">
        <v>0</v>
      </c>
      <c r="BJ467" s="121">
        <v>0</v>
      </c>
      <c r="BK467" s="134">
        <v>357339442</v>
      </c>
      <c r="BL467" s="934">
        <v>4611</v>
      </c>
      <c r="BM467" s="934">
        <v>4660</v>
      </c>
      <c r="BN467" s="934">
        <v>4697</v>
      </c>
      <c r="BO467" s="114">
        <v>0</v>
      </c>
      <c r="BP467" s="114">
        <v>0</v>
      </c>
    </row>
    <row r="468" spans="1:68">
      <c r="A468" t="s">
        <v>172</v>
      </c>
      <c r="B468" t="s">
        <v>2464</v>
      </c>
      <c r="C468" s="121">
        <v>4560</v>
      </c>
      <c r="D468" s="72">
        <v>1</v>
      </c>
      <c r="E468">
        <v>83.432000000000002</v>
      </c>
      <c r="F468">
        <v>31</v>
      </c>
      <c r="G468">
        <v>16</v>
      </c>
      <c r="H468">
        <v>1</v>
      </c>
      <c r="I468" s="173">
        <v>1.1114999999999999</v>
      </c>
      <c r="J468" s="121">
        <v>45214207</v>
      </c>
      <c r="K468" s="125">
        <v>490.24</v>
      </c>
      <c r="L468" s="173">
        <v>1.5</v>
      </c>
      <c r="M468">
        <v>1.1114999999999999</v>
      </c>
      <c r="N468">
        <v>1.000000005</v>
      </c>
      <c r="O468">
        <v>11.149999499999996</v>
      </c>
      <c r="P468">
        <v>303.45800000000003</v>
      </c>
      <c r="Q468" s="125">
        <v>0</v>
      </c>
      <c r="R468" s="125">
        <v>0</v>
      </c>
      <c r="S468" s="125">
        <v>0.58099999999999996</v>
      </c>
      <c r="T468" s="125">
        <v>9.8089999999999993</v>
      </c>
      <c r="U468" s="125">
        <v>0.36699999999999999</v>
      </c>
      <c r="V468" s="125">
        <v>0</v>
      </c>
      <c r="W468" s="125">
        <v>2.1920000000000002</v>
      </c>
      <c r="X468" s="125">
        <v>0</v>
      </c>
      <c r="Y468" s="125">
        <v>0</v>
      </c>
      <c r="Z468" s="125">
        <v>0</v>
      </c>
      <c r="AA468" s="125">
        <v>1.956</v>
      </c>
      <c r="AB468" s="125">
        <v>14.835000000000001</v>
      </c>
      <c r="AC468" s="125">
        <v>110.1</v>
      </c>
      <c r="AD468" s="125">
        <v>0</v>
      </c>
      <c r="AE468" s="125">
        <v>4.4580000000000002</v>
      </c>
      <c r="AF468" s="125">
        <v>15.1729</v>
      </c>
      <c r="AG468" s="125">
        <v>0</v>
      </c>
      <c r="AH468" s="125">
        <v>0</v>
      </c>
      <c r="AI468" s="121">
        <v>527684</v>
      </c>
      <c r="AJ468" s="121">
        <v>16108</v>
      </c>
      <c r="AK468" s="424">
        <v>12</v>
      </c>
      <c r="AL468">
        <v>0</v>
      </c>
      <c r="AM468" s="121">
        <v>32831</v>
      </c>
      <c r="AN468" s="125">
        <v>0</v>
      </c>
      <c r="AO468" s="125">
        <v>0</v>
      </c>
      <c r="AP468" s="121">
        <v>543792</v>
      </c>
      <c r="AQ468" s="114">
        <v>0</v>
      </c>
      <c r="AR468" s="121">
        <v>30.137959104</v>
      </c>
      <c r="AS468" s="121">
        <v>5922.2036042</v>
      </c>
      <c r="AT468" s="121">
        <v>779.95155901999999</v>
      </c>
      <c r="AU468" s="420" t="s">
        <v>2001</v>
      </c>
      <c r="AV468" s="420" t="s">
        <v>2001</v>
      </c>
      <c r="AW468" s="121">
        <v>0</v>
      </c>
      <c r="AX468" s="121">
        <v>279628</v>
      </c>
      <c r="BI468">
        <v>0</v>
      </c>
      <c r="BJ468" s="121">
        <v>0</v>
      </c>
      <c r="BK468" s="134">
        <v>45214207</v>
      </c>
      <c r="BL468" s="934">
        <v>4560</v>
      </c>
      <c r="BM468" s="934">
        <v>4547</v>
      </c>
      <c r="BN468" s="934">
        <v>4547</v>
      </c>
      <c r="BO468" s="114">
        <v>0</v>
      </c>
      <c r="BP468" s="114">
        <v>0</v>
      </c>
    </row>
    <row r="469" spans="1:68">
      <c r="A469" t="s">
        <v>2869</v>
      </c>
      <c r="B469" t="s">
        <v>1010</v>
      </c>
      <c r="C469" s="121">
        <v>4560</v>
      </c>
      <c r="D469" s="72">
        <v>1</v>
      </c>
      <c r="E469">
        <v>61.832000000000001</v>
      </c>
      <c r="F469">
        <v>22</v>
      </c>
      <c r="G469">
        <v>18</v>
      </c>
      <c r="H469">
        <v>0</v>
      </c>
      <c r="I469" s="173">
        <v>1.04</v>
      </c>
      <c r="J469" s="121">
        <v>35730475</v>
      </c>
      <c r="K469" s="125">
        <v>447.55</v>
      </c>
      <c r="L469" s="173">
        <v>1.5</v>
      </c>
      <c r="M469">
        <v>1.04</v>
      </c>
      <c r="N469">
        <v>1.000000005</v>
      </c>
      <c r="O469">
        <v>3.9999995000000066</v>
      </c>
      <c r="P469">
        <v>260</v>
      </c>
      <c r="Q469" s="125">
        <v>0</v>
      </c>
      <c r="R469" s="125">
        <v>0</v>
      </c>
      <c r="S469" s="125">
        <v>0.83199999999999996</v>
      </c>
      <c r="T469" s="125">
        <v>5</v>
      </c>
      <c r="U469" s="125">
        <v>3.7</v>
      </c>
      <c r="V469" s="125">
        <v>0</v>
      </c>
      <c r="W469" s="125">
        <v>0.89900000000000002</v>
      </c>
      <c r="X469" s="125">
        <v>0</v>
      </c>
      <c r="Y469" s="125">
        <v>0</v>
      </c>
      <c r="Z469" s="125">
        <v>0</v>
      </c>
      <c r="AA469" s="125">
        <v>10.095000000000001</v>
      </c>
      <c r="AB469" s="125">
        <v>15</v>
      </c>
      <c r="AC469" s="125">
        <v>130</v>
      </c>
      <c r="AD469" s="125">
        <v>0.25</v>
      </c>
      <c r="AE469" s="125">
        <v>5.5</v>
      </c>
      <c r="AF469" s="125">
        <v>11</v>
      </c>
      <c r="AG469" s="125">
        <v>0</v>
      </c>
      <c r="AH469" s="125">
        <v>0</v>
      </c>
      <c r="AI469" s="121">
        <v>386275</v>
      </c>
      <c r="AJ469" s="121">
        <v>20074</v>
      </c>
      <c r="AK469" s="424">
        <v>12</v>
      </c>
      <c r="AL469">
        <v>0</v>
      </c>
      <c r="AM469" s="121">
        <v>25278</v>
      </c>
      <c r="AN469" s="125">
        <v>0</v>
      </c>
      <c r="AO469" s="125">
        <v>0</v>
      </c>
      <c r="AP469" s="121">
        <v>406349</v>
      </c>
      <c r="AQ469" s="114">
        <v>0</v>
      </c>
      <c r="AR469" s="121">
        <v>23.816487467000002</v>
      </c>
      <c r="AS469" s="121">
        <v>4680.0145764999997</v>
      </c>
      <c r="AT469" s="121">
        <v>616.35582108999995</v>
      </c>
      <c r="AU469" s="420" t="s">
        <v>2001</v>
      </c>
      <c r="AV469" s="420" t="s">
        <v>2001</v>
      </c>
      <c r="AW469" s="121">
        <v>0</v>
      </c>
      <c r="AX469" s="121">
        <v>96281</v>
      </c>
      <c r="BI469">
        <v>0</v>
      </c>
      <c r="BJ469" s="121">
        <v>0</v>
      </c>
      <c r="BK469" s="134">
        <v>35730475</v>
      </c>
      <c r="BL469" s="934">
        <v>4560</v>
      </c>
      <c r="BM469" s="934">
        <v>4554</v>
      </c>
      <c r="BN469" s="934">
        <v>4554</v>
      </c>
      <c r="BO469" s="114">
        <v>0</v>
      </c>
      <c r="BP469" s="114">
        <v>0</v>
      </c>
    </row>
    <row r="470" spans="1:68">
      <c r="A470" t="s">
        <v>2756</v>
      </c>
      <c r="B470" t="s">
        <v>742</v>
      </c>
      <c r="C470" s="121">
        <v>4650</v>
      </c>
      <c r="D470" s="72">
        <v>3</v>
      </c>
      <c r="E470">
        <v>76.561999999999998</v>
      </c>
      <c r="F470">
        <v>25</v>
      </c>
      <c r="G470">
        <v>19</v>
      </c>
      <c r="H470">
        <v>1</v>
      </c>
      <c r="I470" s="173">
        <v>1.04</v>
      </c>
      <c r="J470" s="121">
        <v>47806311</v>
      </c>
      <c r="K470" s="125">
        <v>421.89100000000002</v>
      </c>
      <c r="L470" s="173">
        <v>1.46</v>
      </c>
      <c r="M470">
        <v>1.04</v>
      </c>
      <c r="N470">
        <v>0.97333333820000001</v>
      </c>
      <c r="O470">
        <v>6.6666661800000027</v>
      </c>
      <c r="P470">
        <v>250</v>
      </c>
      <c r="Q470" s="125">
        <v>0.151</v>
      </c>
      <c r="R470" s="125">
        <v>0</v>
      </c>
      <c r="S470" s="125">
        <v>0.33800000000000002</v>
      </c>
      <c r="T470" s="125">
        <v>6</v>
      </c>
      <c r="U470" s="125">
        <v>1.454</v>
      </c>
      <c r="V470" s="125">
        <v>0</v>
      </c>
      <c r="W470" s="125">
        <v>0.86199999999999999</v>
      </c>
      <c r="X470" s="125">
        <v>0</v>
      </c>
      <c r="Y470" s="125">
        <v>0</v>
      </c>
      <c r="Z470" s="125">
        <v>0</v>
      </c>
      <c r="AA470" s="125">
        <v>5.5330000000000004</v>
      </c>
      <c r="AB470" s="125">
        <v>15.445</v>
      </c>
      <c r="AC470" s="125">
        <v>135</v>
      </c>
      <c r="AD470" s="125">
        <v>0</v>
      </c>
      <c r="AE470" s="125">
        <v>5.5659999999999998</v>
      </c>
      <c r="AF470" s="125">
        <v>12.5</v>
      </c>
      <c r="AG470" s="125">
        <v>0</v>
      </c>
      <c r="AH470" s="125">
        <v>0</v>
      </c>
      <c r="AI470" s="121">
        <v>495943</v>
      </c>
      <c r="AJ470" s="121">
        <v>81735</v>
      </c>
      <c r="AK470" s="424">
        <v>12</v>
      </c>
      <c r="AL470">
        <v>0</v>
      </c>
      <c r="AM470" s="121">
        <v>61131</v>
      </c>
      <c r="AN470" s="125">
        <v>0</v>
      </c>
      <c r="AO470" s="125">
        <v>0</v>
      </c>
      <c r="AP470" s="121">
        <v>577678</v>
      </c>
      <c r="AQ470" s="114">
        <v>0</v>
      </c>
      <c r="AR470" s="121">
        <v>31.865750643999998</v>
      </c>
      <c r="AS470" s="121">
        <v>6261.7200675000004</v>
      </c>
      <c r="AT470" s="121">
        <v>824.66572498000005</v>
      </c>
      <c r="AU470" s="420" t="s">
        <v>2001</v>
      </c>
      <c r="AV470" s="420" t="s">
        <v>2001</v>
      </c>
      <c r="AW470" s="121">
        <v>0</v>
      </c>
      <c r="AX470" s="121">
        <v>270442</v>
      </c>
      <c r="BI470">
        <v>0</v>
      </c>
      <c r="BJ470" s="121">
        <v>0</v>
      </c>
      <c r="BK470" s="134">
        <v>47806311</v>
      </c>
      <c r="BL470" s="934">
        <v>4642</v>
      </c>
      <c r="BM470" s="934">
        <v>4610</v>
      </c>
      <c r="BN470" s="934">
        <v>4650</v>
      </c>
      <c r="BO470" s="114">
        <v>0</v>
      </c>
      <c r="BP470" s="114">
        <v>0</v>
      </c>
    </row>
    <row r="471" spans="1:68">
      <c r="A471" t="s">
        <v>2133</v>
      </c>
      <c r="B471" t="s">
        <v>2727</v>
      </c>
      <c r="C471" s="121">
        <v>4569</v>
      </c>
      <c r="D471" s="72">
        <v>2</v>
      </c>
      <c r="E471">
        <v>434.44</v>
      </c>
      <c r="F471">
        <v>152</v>
      </c>
      <c r="G471">
        <v>152</v>
      </c>
      <c r="H471">
        <v>0</v>
      </c>
      <c r="I471" s="173">
        <v>1.1499999999999999</v>
      </c>
      <c r="J471" s="121">
        <v>438339940</v>
      </c>
      <c r="K471" s="125">
        <v>2412.8580000000002</v>
      </c>
      <c r="L471" s="173">
        <v>1.5</v>
      </c>
      <c r="M471">
        <v>1.1499999999999999</v>
      </c>
      <c r="N471">
        <v>1.000000005</v>
      </c>
      <c r="O471">
        <v>14.999999499999994</v>
      </c>
      <c r="P471">
        <v>1588.2470000000001</v>
      </c>
      <c r="Q471" s="125">
        <v>0</v>
      </c>
      <c r="R471" s="125">
        <v>0.09</v>
      </c>
      <c r="S471" s="125">
        <v>2.492</v>
      </c>
      <c r="T471" s="125">
        <v>68.760999999999996</v>
      </c>
      <c r="U471" s="125">
        <v>10.939</v>
      </c>
      <c r="V471" s="125">
        <v>0</v>
      </c>
      <c r="W471" s="125">
        <v>0</v>
      </c>
      <c r="X471" s="125">
        <v>0</v>
      </c>
      <c r="Y471" s="125">
        <v>0</v>
      </c>
      <c r="Z471" s="125">
        <v>0</v>
      </c>
      <c r="AA471" s="125">
        <v>50.228999999999999</v>
      </c>
      <c r="AB471" s="125">
        <v>92.668999999999997</v>
      </c>
      <c r="AC471" s="125">
        <v>1440.3</v>
      </c>
      <c r="AD471" s="125">
        <v>1.208</v>
      </c>
      <c r="AE471" s="125">
        <v>297.24599999999998</v>
      </c>
      <c r="AF471" s="125">
        <v>79.412000000000006</v>
      </c>
      <c r="AG471" s="125">
        <v>0</v>
      </c>
      <c r="AH471" s="125">
        <v>0</v>
      </c>
      <c r="AI471" s="121">
        <v>5187096</v>
      </c>
      <c r="AJ471" s="121">
        <v>1172453</v>
      </c>
      <c r="AK471" s="424">
        <v>12</v>
      </c>
      <c r="AL471">
        <v>0</v>
      </c>
      <c r="AM471" s="121">
        <v>115294</v>
      </c>
      <c r="AN471" s="125">
        <v>0</v>
      </c>
      <c r="AO471" s="125">
        <v>0</v>
      </c>
      <c r="AP471" s="121">
        <v>6359549</v>
      </c>
      <c r="AQ471" s="114">
        <v>0</v>
      </c>
      <c r="AR471" s="121">
        <v>292.17965020000003</v>
      </c>
      <c r="AS471" s="121">
        <v>57414.218777000002</v>
      </c>
      <c r="AT471" s="121">
        <v>7561.4268670000001</v>
      </c>
      <c r="AU471" s="420" t="s">
        <v>2001</v>
      </c>
      <c r="AV471" s="420" t="s">
        <v>2001</v>
      </c>
      <c r="AW471" s="121">
        <v>0</v>
      </c>
      <c r="AX471" s="121">
        <v>1635982</v>
      </c>
      <c r="BI471">
        <v>0</v>
      </c>
      <c r="BJ471" s="121">
        <v>0</v>
      </c>
      <c r="BK471" s="134">
        <v>438339940</v>
      </c>
      <c r="BL471" s="934">
        <v>4550</v>
      </c>
      <c r="BM471" s="934">
        <v>4569</v>
      </c>
      <c r="BN471" s="934">
        <v>4569</v>
      </c>
      <c r="BO471" s="114">
        <v>0</v>
      </c>
      <c r="BP471" s="114">
        <v>0</v>
      </c>
    </row>
    <row r="472" spans="1:68">
      <c r="A472" t="s">
        <v>555</v>
      </c>
      <c r="B472" t="s">
        <v>2732</v>
      </c>
      <c r="C472" s="121">
        <v>5609</v>
      </c>
      <c r="D472" s="72">
        <v>2</v>
      </c>
      <c r="E472">
        <v>137.304</v>
      </c>
      <c r="F472">
        <v>34</v>
      </c>
      <c r="G472">
        <v>30</v>
      </c>
      <c r="H472">
        <v>1</v>
      </c>
      <c r="I472" s="173">
        <v>1.04</v>
      </c>
      <c r="J472" s="121">
        <v>57985064</v>
      </c>
      <c r="K472" s="125">
        <v>712.96500000000003</v>
      </c>
      <c r="L472" s="173">
        <v>1.5</v>
      </c>
      <c r="M472">
        <v>1.04</v>
      </c>
      <c r="N472">
        <v>1.000000005</v>
      </c>
      <c r="O472">
        <v>3.9999995000000066</v>
      </c>
      <c r="P472">
        <v>409.702</v>
      </c>
      <c r="Q472" s="125">
        <v>0.32</v>
      </c>
      <c r="R472" s="125">
        <v>0</v>
      </c>
      <c r="S472" s="125">
        <v>0.97899999999999998</v>
      </c>
      <c r="T472" s="125">
        <v>8.7149999999999999</v>
      </c>
      <c r="U472" s="125">
        <v>3.3050000000000002</v>
      </c>
      <c r="V472" s="125">
        <v>0</v>
      </c>
      <c r="W472" s="125">
        <v>1.2330000000000001</v>
      </c>
      <c r="X472" s="125">
        <v>0</v>
      </c>
      <c r="Y472" s="125">
        <v>0</v>
      </c>
      <c r="Z472" s="125">
        <v>0.152</v>
      </c>
      <c r="AA472" s="125">
        <v>13.407</v>
      </c>
      <c r="AB472" s="125">
        <v>27.667000000000002</v>
      </c>
      <c r="AC472" s="125">
        <v>336</v>
      </c>
      <c r="AD472" s="125">
        <v>0</v>
      </c>
      <c r="AE472" s="125">
        <v>4.242</v>
      </c>
      <c r="AF472" s="125">
        <v>20.484999999999999</v>
      </c>
      <c r="AG472" s="125">
        <v>0</v>
      </c>
      <c r="AH472" s="125">
        <v>0</v>
      </c>
      <c r="AI472" s="121">
        <v>658525</v>
      </c>
      <c r="AJ472" s="121">
        <v>94189</v>
      </c>
      <c r="AK472" s="424">
        <v>12</v>
      </c>
      <c r="AL472">
        <v>0</v>
      </c>
      <c r="AM472" s="121">
        <v>35601</v>
      </c>
      <c r="AN472" s="125">
        <v>0</v>
      </c>
      <c r="AO472" s="125">
        <v>0</v>
      </c>
      <c r="AP472" s="121">
        <v>752714</v>
      </c>
      <c r="AQ472" s="114">
        <v>0</v>
      </c>
      <c r="AR472" s="121">
        <v>38.650495131</v>
      </c>
      <c r="AS472" s="121">
        <v>7594.9436647000002</v>
      </c>
      <c r="AT472" s="121">
        <v>1000.2506749</v>
      </c>
      <c r="AU472" s="420" t="s">
        <v>2001</v>
      </c>
      <c r="AV472" s="420" t="s">
        <v>2001</v>
      </c>
      <c r="AW472" s="121">
        <v>0</v>
      </c>
      <c r="AX472" s="121">
        <v>276387</v>
      </c>
      <c r="BI472">
        <v>0</v>
      </c>
      <c r="BJ472" s="121">
        <v>0</v>
      </c>
      <c r="BK472" s="134">
        <v>57985064</v>
      </c>
      <c r="BL472" s="934">
        <v>4916</v>
      </c>
      <c r="BM472" s="934">
        <v>5609</v>
      </c>
      <c r="BN472" s="934">
        <v>5208</v>
      </c>
      <c r="BO472" s="114">
        <v>0</v>
      </c>
      <c r="BP472" s="114">
        <v>0</v>
      </c>
    </row>
    <row r="473" spans="1:68">
      <c r="A473" t="s">
        <v>49</v>
      </c>
      <c r="B473" t="s">
        <v>444</v>
      </c>
      <c r="C473" s="121">
        <v>4594</v>
      </c>
      <c r="D473" s="72">
        <v>1</v>
      </c>
      <c r="E473">
        <v>168.99100000000001</v>
      </c>
      <c r="F473">
        <v>52</v>
      </c>
      <c r="G473">
        <v>35</v>
      </c>
      <c r="H473">
        <v>0</v>
      </c>
      <c r="I473" s="173">
        <v>1.1422000000000001</v>
      </c>
      <c r="J473" s="121">
        <v>136833672</v>
      </c>
      <c r="K473" s="125">
        <v>1188.471</v>
      </c>
      <c r="L473" s="173">
        <v>1.5</v>
      </c>
      <c r="M473">
        <v>1.1422000000000001</v>
      </c>
      <c r="N473">
        <v>1.000000005</v>
      </c>
      <c r="O473">
        <v>14.219999500000014</v>
      </c>
      <c r="P473">
        <v>683.60699999999997</v>
      </c>
      <c r="Q473" s="125">
        <v>0</v>
      </c>
      <c r="R473" s="125">
        <v>0</v>
      </c>
      <c r="S473" s="125">
        <v>1.298</v>
      </c>
      <c r="T473" s="125">
        <v>39.116</v>
      </c>
      <c r="U473" s="125">
        <v>0.96399999999999997</v>
      </c>
      <c r="V473" s="125">
        <v>1.335</v>
      </c>
      <c r="W473" s="125">
        <v>0</v>
      </c>
      <c r="X473" s="125">
        <v>0</v>
      </c>
      <c r="Y473" s="125">
        <v>0</v>
      </c>
      <c r="Z473" s="125">
        <v>11.398999999999999</v>
      </c>
      <c r="AA473" s="125">
        <v>1.0960000000000001</v>
      </c>
      <c r="AB473" s="125">
        <v>39.463999999999999</v>
      </c>
      <c r="AC473" s="125">
        <v>503.4</v>
      </c>
      <c r="AD473" s="125">
        <v>0</v>
      </c>
      <c r="AE473" s="125">
        <v>39.277000000000001</v>
      </c>
      <c r="AF473" s="125">
        <v>34.18</v>
      </c>
      <c r="AG473" s="125">
        <v>0</v>
      </c>
      <c r="AH473" s="125">
        <v>0</v>
      </c>
      <c r="AI473" s="121">
        <v>1641060</v>
      </c>
      <c r="AJ473" s="121">
        <v>96196</v>
      </c>
      <c r="AK473" s="424">
        <v>12</v>
      </c>
      <c r="AL473">
        <v>0</v>
      </c>
      <c r="AM473" s="121">
        <v>43419</v>
      </c>
      <c r="AN473" s="125">
        <v>0</v>
      </c>
      <c r="AO473" s="125">
        <v>0</v>
      </c>
      <c r="AP473" s="121">
        <v>1737256</v>
      </c>
      <c r="AQ473" s="114">
        <v>0</v>
      </c>
      <c r="AR473" s="121">
        <v>91.207783668999994</v>
      </c>
      <c r="AS473" s="121">
        <v>17922.615904999999</v>
      </c>
      <c r="AT473" s="121">
        <v>2360.4004777</v>
      </c>
      <c r="AU473" s="420" t="s">
        <v>2001</v>
      </c>
      <c r="AV473" s="420" t="s">
        <v>2001</v>
      </c>
      <c r="AW473" s="121">
        <v>0</v>
      </c>
      <c r="AX473" s="121">
        <v>255090</v>
      </c>
      <c r="BI473">
        <v>0</v>
      </c>
      <c r="BJ473" s="121">
        <v>0</v>
      </c>
      <c r="BK473" s="134">
        <v>136833672</v>
      </c>
      <c r="BL473" s="934">
        <v>4594</v>
      </c>
      <c r="BM473" s="934">
        <v>4584</v>
      </c>
      <c r="BN473" s="934">
        <v>4584</v>
      </c>
      <c r="BO473" s="114">
        <v>0</v>
      </c>
      <c r="BP473" s="114">
        <v>0</v>
      </c>
    </row>
    <row r="474" spans="1:68">
      <c r="A474" t="s">
        <v>173</v>
      </c>
      <c r="B474" t="s">
        <v>2466</v>
      </c>
      <c r="C474" s="121">
        <v>4663</v>
      </c>
      <c r="D474" s="72">
        <v>3</v>
      </c>
      <c r="E474">
        <v>0</v>
      </c>
      <c r="F474">
        <v>11</v>
      </c>
      <c r="G474">
        <v>6</v>
      </c>
      <c r="H474">
        <v>0</v>
      </c>
      <c r="I474" s="173">
        <v>1.04</v>
      </c>
      <c r="J474" s="121">
        <v>21380405</v>
      </c>
      <c r="K474" s="125">
        <v>147.422</v>
      </c>
      <c r="L474" s="173">
        <v>1.45</v>
      </c>
      <c r="M474">
        <v>1.04</v>
      </c>
      <c r="N474">
        <v>0.96666667149999996</v>
      </c>
      <c r="O474">
        <v>7.3333328500000068</v>
      </c>
      <c r="P474">
        <v>67.784999999999997</v>
      </c>
      <c r="Q474" s="125">
        <v>0</v>
      </c>
      <c r="R474" s="125">
        <v>0</v>
      </c>
      <c r="S474" s="125">
        <v>0.13700000000000001</v>
      </c>
      <c r="T474" s="125">
        <v>3.3359999999999999</v>
      </c>
      <c r="U474" s="125">
        <v>0</v>
      </c>
      <c r="V474" s="125">
        <v>0</v>
      </c>
      <c r="W474" s="125">
        <v>0</v>
      </c>
      <c r="X474" s="125">
        <v>0</v>
      </c>
      <c r="Y474" s="125">
        <v>0</v>
      </c>
      <c r="Z474" s="125">
        <v>0</v>
      </c>
      <c r="AA474" s="125">
        <v>3.1120000000000001</v>
      </c>
      <c r="AB474" s="125">
        <v>0</v>
      </c>
      <c r="AC474" s="125">
        <v>67.099999999999994</v>
      </c>
      <c r="AD474" s="125">
        <v>0</v>
      </c>
      <c r="AE474" s="125">
        <v>11.986000000000001</v>
      </c>
      <c r="AF474" s="125">
        <v>3.3889999999999998</v>
      </c>
      <c r="AG474" s="125">
        <v>0</v>
      </c>
      <c r="AH474" s="125">
        <v>0</v>
      </c>
      <c r="AI474" s="121">
        <v>230336</v>
      </c>
      <c r="AJ474" s="121">
        <v>0</v>
      </c>
      <c r="AK474" s="424">
        <v>8</v>
      </c>
      <c r="AL474">
        <v>0</v>
      </c>
      <c r="AM474" s="121">
        <v>11679</v>
      </c>
      <c r="AN474" s="125">
        <v>0</v>
      </c>
      <c r="AO474" s="125">
        <v>0</v>
      </c>
      <c r="AP474" s="121">
        <v>230336</v>
      </c>
      <c r="AQ474" s="114">
        <v>0</v>
      </c>
      <c r="AR474" s="121">
        <v>14.251312005999999</v>
      </c>
      <c r="AS474" s="121">
        <v>2800.4275616</v>
      </c>
      <c r="AT474" s="121">
        <v>368.81505408999999</v>
      </c>
      <c r="AU474" s="420" t="s">
        <v>2001</v>
      </c>
      <c r="AV474" s="420" t="s">
        <v>2001</v>
      </c>
      <c r="AW474" s="121">
        <v>0</v>
      </c>
      <c r="AX474" s="121">
        <v>0</v>
      </c>
      <c r="BI474">
        <v>0</v>
      </c>
      <c r="BJ474" s="121">
        <v>0</v>
      </c>
      <c r="BK474" s="134">
        <v>21306126</v>
      </c>
      <c r="BL474" s="934">
        <v>4322</v>
      </c>
      <c r="BM474" s="934">
        <v>4639</v>
      </c>
      <c r="BN474" s="934">
        <v>4663</v>
      </c>
      <c r="BO474" s="114">
        <v>0</v>
      </c>
      <c r="BP474" s="114">
        <v>0</v>
      </c>
    </row>
    <row r="475" spans="1:68">
      <c r="A475" t="s">
        <v>567</v>
      </c>
      <c r="B475" t="s">
        <v>2562</v>
      </c>
      <c r="C475" s="121">
        <v>4779</v>
      </c>
      <c r="D475" s="72">
        <v>3</v>
      </c>
      <c r="E475">
        <v>0</v>
      </c>
      <c r="F475">
        <v>14</v>
      </c>
      <c r="G475">
        <v>10</v>
      </c>
      <c r="H475">
        <v>2</v>
      </c>
      <c r="I475" s="173">
        <v>1.17</v>
      </c>
      <c r="J475" s="121">
        <v>22222018</v>
      </c>
      <c r="K475" s="125">
        <v>211.392</v>
      </c>
      <c r="L475" s="173">
        <v>1.5</v>
      </c>
      <c r="M475">
        <v>1.17</v>
      </c>
      <c r="N475">
        <v>1.000000005</v>
      </c>
      <c r="O475">
        <v>16.999999499999994</v>
      </c>
      <c r="P475">
        <v>117.209</v>
      </c>
      <c r="Q475" s="125">
        <v>0</v>
      </c>
      <c r="R475" s="125">
        <v>0</v>
      </c>
      <c r="S475" s="125">
        <v>0.439</v>
      </c>
      <c r="T475" s="125">
        <v>3.0070000000000001</v>
      </c>
      <c r="U475" s="125">
        <v>0.29399999999999998</v>
      </c>
      <c r="V475" s="125">
        <v>0</v>
      </c>
      <c r="W475" s="125">
        <v>0</v>
      </c>
      <c r="X475" s="125">
        <v>0</v>
      </c>
      <c r="Y475" s="125">
        <v>0</v>
      </c>
      <c r="Z475" s="125">
        <v>0</v>
      </c>
      <c r="AA475" s="125">
        <v>5.1020000000000003</v>
      </c>
      <c r="AB475" s="125">
        <v>0</v>
      </c>
      <c r="AC475" s="125">
        <v>95.1</v>
      </c>
      <c r="AD475" s="125">
        <v>0</v>
      </c>
      <c r="AE475" s="125">
        <v>0</v>
      </c>
      <c r="AF475" s="125">
        <v>5.86</v>
      </c>
      <c r="AG475" s="125">
        <v>0</v>
      </c>
      <c r="AH475" s="125">
        <v>0</v>
      </c>
      <c r="AI475" s="121">
        <v>242536</v>
      </c>
      <c r="AJ475" s="121">
        <v>0</v>
      </c>
      <c r="AK475" s="424">
        <v>8</v>
      </c>
      <c r="AL475">
        <v>0</v>
      </c>
      <c r="AM475" s="121">
        <v>60926</v>
      </c>
      <c r="AN475" s="125">
        <v>0</v>
      </c>
      <c r="AO475" s="125">
        <v>0</v>
      </c>
      <c r="AP475" s="121">
        <v>242536</v>
      </c>
      <c r="AQ475" s="114">
        <v>0</v>
      </c>
      <c r="AR475" s="121">
        <v>14.812297020000001</v>
      </c>
      <c r="AS475" s="121">
        <v>2910.6628784999998</v>
      </c>
      <c r="AT475" s="121">
        <v>383.33299589000001</v>
      </c>
      <c r="AU475" s="420" t="s">
        <v>2001</v>
      </c>
      <c r="AV475" s="420" t="s">
        <v>2001</v>
      </c>
      <c r="AW475" s="121">
        <v>0</v>
      </c>
      <c r="AX475" s="121">
        <v>0</v>
      </c>
      <c r="BI475">
        <v>0</v>
      </c>
      <c r="BJ475" s="121">
        <v>0</v>
      </c>
      <c r="BK475" s="134">
        <v>20565047</v>
      </c>
      <c r="BL475" s="934">
        <v>4526</v>
      </c>
      <c r="BM475" s="934">
        <v>4773</v>
      </c>
      <c r="BN475" s="934">
        <v>4779</v>
      </c>
      <c r="BO475" s="114">
        <v>0</v>
      </c>
      <c r="BP475" s="114">
        <v>0</v>
      </c>
    </row>
    <row r="476" spans="1:68">
      <c r="A476" t="s">
        <v>1760</v>
      </c>
      <c r="B476" t="s">
        <v>2999</v>
      </c>
      <c r="C476" s="121">
        <v>4674</v>
      </c>
      <c r="D476" s="72">
        <v>2</v>
      </c>
      <c r="E476">
        <v>412.702</v>
      </c>
      <c r="F476">
        <v>138</v>
      </c>
      <c r="G476">
        <v>102</v>
      </c>
      <c r="H476">
        <v>11</v>
      </c>
      <c r="I476" s="173">
        <v>1.04</v>
      </c>
      <c r="J476" s="121">
        <v>479156869</v>
      </c>
      <c r="K476" s="125">
        <v>2063.951</v>
      </c>
      <c r="L476" s="173">
        <v>1.5</v>
      </c>
      <c r="M476">
        <v>1.04</v>
      </c>
      <c r="N476">
        <v>1.000000005</v>
      </c>
      <c r="O476">
        <v>3.9999995000000066</v>
      </c>
      <c r="P476">
        <v>1476.9670000000001</v>
      </c>
      <c r="Q476" s="125">
        <v>0</v>
      </c>
      <c r="R476" s="125">
        <v>0</v>
      </c>
      <c r="S476" s="125">
        <v>2.0499999999999998</v>
      </c>
      <c r="T476" s="125">
        <v>36.945999999999998</v>
      </c>
      <c r="U476" s="125">
        <v>9.8469999999999995</v>
      </c>
      <c r="V476" s="125">
        <v>0</v>
      </c>
      <c r="W476" s="125">
        <v>1.079</v>
      </c>
      <c r="X476" s="125">
        <v>0</v>
      </c>
      <c r="Y476" s="125">
        <v>0</v>
      </c>
      <c r="Z476" s="125">
        <v>1.8069999999999999</v>
      </c>
      <c r="AA476" s="125">
        <v>31.027999999999999</v>
      </c>
      <c r="AB476" s="125">
        <v>89.885000000000005</v>
      </c>
      <c r="AC476" s="125">
        <v>929.6</v>
      </c>
      <c r="AD476" s="125">
        <v>0.3</v>
      </c>
      <c r="AE476" s="125">
        <v>49.195999999999998</v>
      </c>
      <c r="AF476" s="125">
        <v>73.847999999999999</v>
      </c>
      <c r="AG476" s="125">
        <v>0</v>
      </c>
      <c r="AH476" s="125">
        <v>0</v>
      </c>
      <c r="AI476" s="121">
        <v>5127745</v>
      </c>
      <c r="AJ476" s="121">
        <v>571362</v>
      </c>
      <c r="AK476" s="424">
        <v>12</v>
      </c>
      <c r="AL476">
        <v>0</v>
      </c>
      <c r="AM476" s="121">
        <v>135137</v>
      </c>
      <c r="AN476" s="125">
        <v>0</v>
      </c>
      <c r="AO476" s="125">
        <v>0</v>
      </c>
      <c r="AP476" s="121">
        <v>5699107</v>
      </c>
      <c r="AQ476" s="114">
        <v>0</v>
      </c>
      <c r="AR476" s="121">
        <v>319.38656189</v>
      </c>
      <c r="AS476" s="121">
        <v>62760.462359999998</v>
      </c>
      <c r="AT476" s="121">
        <v>8265.5247495000003</v>
      </c>
      <c r="AU476" s="420" t="s">
        <v>2001</v>
      </c>
      <c r="AV476" s="420" t="s">
        <v>2001</v>
      </c>
      <c r="AW476" s="121">
        <v>0</v>
      </c>
      <c r="AX476" s="121">
        <v>709000</v>
      </c>
      <c r="BI476">
        <v>0</v>
      </c>
      <c r="BJ476" s="121">
        <v>0</v>
      </c>
      <c r="BK476" s="134">
        <v>479156869</v>
      </c>
      <c r="BL476" s="934">
        <v>4571</v>
      </c>
      <c r="BM476" s="934">
        <v>4674</v>
      </c>
      <c r="BN476" s="934">
        <v>4674</v>
      </c>
      <c r="BO476" s="114">
        <v>0</v>
      </c>
      <c r="BP476" s="114">
        <v>0</v>
      </c>
    </row>
    <row r="477" spans="1:68">
      <c r="A477" t="s">
        <v>568</v>
      </c>
      <c r="B477" t="s">
        <v>2773</v>
      </c>
      <c r="C477" s="121">
        <v>4734</v>
      </c>
      <c r="D477" s="72">
        <v>2</v>
      </c>
      <c r="E477">
        <v>61.427</v>
      </c>
      <c r="F477">
        <v>17</v>
      </c>
      <c r="G477">
        <v>13</v>
      </c>
      <c r="H477">
        <v>5</v>
      </c>
      <c r="I477" s="173">
        <v>1.17</v>
      </c>
      <c r="J477" s="121">
        <v>46931387</v>
      </c>
      <c r="K477" s="125">
        <v>349.51</v>
      </c>
      <c r="L477" s="173">
        <v>1.5</v>
      </c>
      <c r="M477">
        <v>1.17</v>
      </c>
      <c r="N477">
        <v>1.000000005</v>
      </c>
      <c r="O477">
        <v>16.999999499999994</v>
      </c>
      <c r="P477">
        <v>207</v>
      </c>
      <c r="Q477" s="125">
        <v>0</v>
      </c>
      <c r="R477" s="125">
        <v>0</v>
      </c>
      <c r="S477" s="125">
        <v>0.26</v>
      </c>
      <c r="T477" s="125">
        <v>6.1289999999999996</v>
      </c>
      <c r="U477" s="125">
        <v>0.47499999999999998</v>
      </c>
      <c r="V477" s="125">
        <v>0</v>
      </c>
      <c r="W477" s="125">
        <v>0</v>
      </c>
      <c r="X477" s="125">
        <v>0</v>
      </c>
      <c r="Y477" s="125">
        <v>0</v>
      </c>
      <c r="Z477" s="125">
        <v>0</v>
      </c>
      <c r="AA477" s="125">
        <v>4.125</v>
      </c>
      <c r="AB477" s="125">
        <v>8.5760000000000005</v>
      </c>
      <c r="AC477" s="125">
        <v>115</v>
      </c>
      <c r="AD477" s="125">
        <v>0</v>
      </c>
      <c r="AE477" s="125">
        <v>1</v>
      </c>
      <c r="AF477" s="125">
        <v>10.35</v>
      </c>
      <c r="AG477" s="125">
        <v>0</v>
      </c>
      <c r="AH477" s="125">
        <v>0</v>
      </c>
      <c r="AI477" s="121">
        <v>547724</v>
      </c>
      <c r="AJ477" s="121">
        <v>25277</v>
      </c>
      <c r="AK477" s="424">
        <v>12</v>
      </c>
      <c r="AL477">
        <v>0</v>
      </c>
      <c r="AM477" s="121">
        <v>37167</v>
      </c>
      <c r="AN477" s="125">
        <v>0</v>
      </c>
      <c r="AO477" s="125">
        <v>0</v>
      </c>
      <c r="AP477" s="121">
        <v>573001</v>
      </c>
      <c r="AQ477" s="114">
        <v>0</v>
      </c>
      <c r="AR477" s="121">
        <v>31.282561741999999</v>
      </c>
      <c r="AS477" s="121">
        <v>6147.1216168999999</v>
      </c>
      <c r="AT477" s="121">
        <v>809.57316043000003</v>
      </c>
      <c r="AU477" s="420" t="s">
        <v>2001</v>
      </c>
      <c r="AV477" s="420" t="s">
        <v>2001</v>
      </c>
      <c r="AW477" s="121">
        <v>0</v>
      </c>
      <c r="AX477" s="121">
        <v>90755</v>
      </c>
      <c r="BI477">
        <v>0</v>
      </c>
      <c r="BJ477" s="121">
        <v>0</v>
      </c>
      <c r="BK477" s="134">
        <v>46931387</v>
      </c>
      <c r="BL477" s="934">
        <v>4610</v>
      </c>
      <c r="BM477" s="934">
        <v>4734</v>
      </c>
      <c r="BN477" s="934">
        <v>4734</v>
      </c>
      <c r="BO477" s="114">
        <v>0</v>
      </c>
      <c r="BP477" s="114">
        <v>0</v>
      </c>
    </row>
    <row r="478" spans="1:68">
      <c r="A478" t="s">
        <v>1733</v>
      </c>
      <c r="B478" t="s">
        <v>1522</v>
      </c>
      <c r="C478" s="121">
        <v>4870</v>
      </c>
      <c r="D478" s="72">
        <v>2</v>
      </c>
      <c r="E478">
        <v>93.430999999999997</v>
      </c>
      <c r="F478">
        <v>33</v>
      </c>
      <c r="G478">
        <v>23</v>
      </c>
      <c r="H478">
        <v>3</v>
      </c>
      <c r="I478" s="173">
        <v>1.17</v>
      </c>
      <c r="J478" s="121">
        <v>74996439</v>
      </c>
      <c r="K478" s="125">
        <v>566.90899999999999</v>
      </c>
      <c r="L478" s="173">
        <v>1.5</v>
      </c>
      <c r="M478">
        <v>1.17</v>
      </c>
      <c r="N478">
        <v>1.000000005</v>
      </c>
      <c r="O478">
        <v>16.999999499999994</v>
      </c>
      <c r="P478">
        <v>332.62</v>
      </c>
      <c r="Q478" s="125">
        <v>0</v>
      </c>
      <c r="R478" s="125">
        <v>0</v>
      </c>
      <c r="S478" s="125">
        <v>0.47399999999999998</v>
      </c>
      <c r="T478" s="125">
        <v>11.106</v>
      </c>
      <c r="U478" s="125">
        <v>0.154</v>
      </c>
      <c r="V478" s="125">
        <v>0</v>
      </c>
      <c r="W478" s="125">
        <v>0.89100000000000001</v>
      </c>
      <c r="X478" s="125">
        <v>0</v>
      </c>
      <c r="Y478" s="125">
        <v>0</v>
      </c>
      <c r="Z478" s="125">
        <v>0</v>
      </c>
      <c r="AA478" s="125">
        <v>10.84</v>
      </c>
      <c r="AB478" s="125">
        <v>11.487</v>
      </c>
      <c r="AC478" s="125">
        <v>218.4</v>
      </c>
      <c r="AD478" s="125">
        <v>0.25</v>
      </c>
      <c r="AE478" s="125">
        <v>6.6109999999999998</v>
      </c>
      <c r="AF478" s="125">
        <v>16.631</v>
      </c>
      <c r="AG478" s="125">
        <v>0</v>
      </c>
      <c r="AH478" s="125">
        <v>0</v>
      </c>
      <c r="AI478" s="121">
        <v>902905</v>
      </c>
      <c r="AJ478" s="121">
        <v>109944</v>
      </c>
      <c r="AK478" s="424">
        <v>12</v>
      </c>
      <c r="AL478">
        <v>0</v>
      </c>
      <c r="AM478" s="121">
        <v>56212</v>
      </c>
      <c r="AN478" s="125">
        <v>0</v>
      </c>
      <c r="AO478" s="125">
        <v>0</v>
      </c>
      <c r="AP478" s="121">
        <v>1012849</v>
      </c>
      <c r="AQ478" s="114">
        <v>0</v>
      </c>
      <c r="AR478" s="121">
        <v>49.989588705000003</v>
      </c>
      <c r="AS478" s="121">
        <v>9823.1111595000002</v>
      </c>
      <c r="AT478" s="121">
        <v>1293.6993348000001</v>
      </c>
      <c r="AU478" s="420" t="s">
        <v>2001</v>
      </c>
      <c r="AV478" s="420" t="s">
        <v>2001</v>
      </c>
      <c r="AW478" s="121">
        <v>0</v>
      </c>
      <c r="AX478" s="121">
        <v>281573</v>
      </c>
      <c r="BI478">
        <v>0</v>
      </c>
      <c r="BJ478" s="121">
        <v>0</v>
      </c>
      <c r="BK478" s="134">
        <v>74996439</v>
      </c>
      <c r="BL478" s="934">
        <v>4759</v>
      </c>
      <c r="BM478" s="934">
        <v>4870</v>
      </c>
      <c r="BN478" s="934">
        <v>4870</v>
      </c>
      <c r="BO478" s="114">
        <v>0</v>
      </c>
      <c r="BP478" s="114">
        <v>0</v>
      </c>
    </row>
    <row r="479" spans="1:68">
      <c r="A479" t="s">
        <v>569</v>
      </c>
      <c r="B479" t="s">
        <v>2989</v>
      </c>
      <c r="C479" s="121">
        <v>4603</v>
      </c>
      <c r="D479" s="72">
        <v>1</v>
      </c>
      <c r="E479">
        <v>71.966999999999999</v>
      </c>
      <c r="F479">
        <v>19</v>
      </c>
      <c r="G479">
        <v>17</v>
      </c>
      <c r="H479">
        <v>3</v>
      </c>
      <c r="I479" s="173">
        <v>1.17</v>
      </c>
      <c r="J479" s="121">
        <v>20049888</v>
      </c>
      <c r="K479" s="125">
        <v>342.00299999999999</v>
      </c>
      <c r="L479" s="173">
        <v>1.5</v>
      </c>
      <c r="M479">
        <v>1.17</v>
      </c>
      <c r="N479">
        <v>1.000000005</v>
      </c>
      <c r="O479">
        <v>16.999999499999994</v>
      </c>
      <c r="P479">
        <v>190</v>
      </c>
      <c r="Q479" s="125">
        <v>0</v>
      </c>
      <c r="R479" s="125">
        <v>0</v>
      </c>
      <c r="S479" s="125">
        <v>0.24</v>
      </c>
      <c r="T479" s="125">
        <v>5.7</v>
      </c>
      <c r="U479" s="125">
        <v>0.82</v>
      </c>
      <c r="V479" s="125">
        <v>0</v>
      </c>
      <c r="W479" s="125">
        <v>1.77</v>
      </c>
      <c r="X479" s="125">
        <v>0</v>
      </c>
      <c r="Y479" s="125">
        <v>0</v>
      </c>
      <c r="Z479" s="125">
        <v>0</v>
      </c>
      <c r="AA479" s="125">
        <v>5.2</v>
      </c>
      <c r="AB479" s="125">
        <v>12.1</v>
      </c>
      <c r="AC479" s="125">
        <v>140</v>
      </c>
      <c r="AD479" s="125">
        <v>0</v>
      </c>
      <c r="AE479" s="125">
        <v>12.6</v>
      </c>
      <c r="AF479" s="125">
        <v>9.5</v>
      </c>
      <c r="AG479" s="125">
        <v>0</v>
      </c>
      <c r="AH479" s="125">
        <v>0</v>
      </c>
      <c r="AI479" s="121">
        <v>238202</v>
      </c>
      <c r="AJ479" s="121">
        <v>0</v>
      </c>
      <c r="AK479" s="424">
        <v>12</v>
      </c>
      <c r="AL479">
        <v>0</v>
      </c>
      <c r="AM479" s="121">
        <v>31176</v>
      </c>
      <c r="AN479" s="125">
        <v>0</v>
      </c>
      <c r="AO479" s="125">
        <v>0</v>
      </c>
      <c r="AP479" s="121">
        <v>238202</v>
      </c>
      <c r="AQ479" s="114">
        <v>0</v>
      </c>
      <c r="AR479" s="121">
        <v>13.364443119000001</v>
      </c>
      <c r="AS479" s="121">
        <v>2626.1550403000001</v>
      </c>
      <c r="AT479" s="121">
        <v>345.86344118</v>
      </c>
      <c r="AU479" s="420" t="s">
        <v>2001</v>
      </c>
      <c r="AV479" s="420" t="s">
        <v>2001</v>
      </c>
      <c r="AW479" s="121">
        <v>0</v>
      </c>
      <c r="AX479" s="121">
        <v>0</v>
      </c>
      <c r="BI479">
        <v>0</v>
      </c>
      <c r="BJ479" s="121">
        <v>0</v>
      </c>
      <c r="BK479" s="134">
        <v>19389699</v>
      </c>
      <c r="BL479" s="934">
        <v>4603</v>
      </c>
      <c r="BM479" s="934">
        <v>4506</v>
      </c>
      <c r="BN479" s="934">
        <v>4506</v>
      </c>
      <c r="BO479" s="114">
        <v>0</v>
      </c>
      <c r="BP479" s="114">
        <v>0</v>
      </c>
    </row>
    <row r="480" spans="1:68">
      <c r="A480" t="s">
        <v>1761</v>
      </c>
      <c r="B480" t="s">
        <v>3000</v>
      </c>
      <c r="C480" s="121">
        <v>4192</v>
      </c>
      <c r="D480" s="72">
        <v>3</v>
      </c>
      <c r="E480">
        <v>103.43</v>
      </c>
      <c r="F480">
        <v>35</v>
      </c>
      <c r="G480">
        <v>18</v>
      </c>
      <c r="H480">
        <v>2</v>
      </c>
      <c r="I480" s="173">
        <v>1.04</v>
      </c>
      <c r="J480" s="121">
        <v>97091286</v>
      </c>
      <c r="K480" s="125">
        <v>580.23900000000003</v>
      </c>
      <c r="L480" s="173">
        <v>1.42</v>
      </c>
      <c r="M480">
        <v>1.04</v>
      </c>
      <c r="N480">
        <v>0.94666667139999994</v>
      </c>
      <c r="O480">
        <v>9.3333328600000094</v>
      </c>
      <c r="P480">
        <v>320</v>
      </c>
      <c r="Q480" s="125">
        <v>0</v>
      </c>
      <c r="R480" s="125">
        <v>0</v>
      </c>
      <c r="S480" s="125">
        <v>0.53400000000000003</v>
      </c>
      <c r="T480" s="125">
        <v>18</v>
      </c>
      <c r="U480" s="125">
        <v>5.3999999999999999E-2</v>
      </c>
      <c r="V480" s="125">
        <v>0</v>
      </c>
      <c r="W480" s="125">
        <v>3.5999999999999997E-2</v>
      </c>
      <c r="X480" s="125">
        <v>0</v>
      </c>
      <c r="Y480" s="125">
        <v>0</v>
      </c>
      <c r="Z480" s="125">
        <v>0</v>
      </c>
      <c r="AA480" s="125">
        <v>3.75</v>
      </c>
      <c r="AB480" s="125">
        <v>30</v>
      </c>
      <c r="AC480" s="125">
        <v>255</v>
      </c>
      <c r="AD480" s="125">
        <v>0</v>
      </c>
      <c r="AE480" s="125">
        <v>7</v>
      </c>
      <c r="AF480" s="125">
        <v>16</v>
      </c>
      <c r="AG480" s="125">
        <v>0</v>
      </c>
      <c r="AH480" s="125">
        <v>0</v>
      </c>
      <c r="AI480" s="121">
        <v>1002131</v>
      </c>
      <c r="AJ480" s="121">
        <v>0</v>
      </c>
      <c r="AK480" s="424">
        <v>12</v>
      </c>
      <c r="AL480">
        <v>0</v>
      </c>
      <c r="AM480" s="121">
        <v>26825</v>
      </c>
      <c r="AN480" s="125">
        <v>0</v>
      </c>
      <c r="AO480" s="125">
        <v>0</v>
      </c>
      <c r="AP480" s="121">
        <v>1002131</v>
      </c>
      <c r="AQ480" s="114">
        <v>0</v>
      </c>
      <c r="AR480" s="121">
        <v>64.717118958</v>
      </c>
      <c r="AS480" s="121">
        <v>12717.117102</v>
      </c>
      <c r="AT480" s="121">
        <v>1674.8386197</v>
      </c>
      <c r="AU480" s="420" t="s">
        <v>2001</v>
      </c>
      <c r="AV480" s="420" t="s">
        <v>2001</v>
      </c>
      <c r="AW480" s="121">
        <v>0</v>
      </c>
      <c r="AX480" s="121">
        <v>0</v>
      </c>
      <c r="BI480">
        <v>0</v>
      </c>
      <c r="BJ480" s="121">
        <v>0</v>
      </c>
      <c r="BK480" s="134">
        <v>94608502</v>
      </c>
      <c r="BL480" s="934">
        <v>4161</v>
      </c>
      <c r="BM480" s="934">
        <v>4072</v>
      </c>
      <c r="BN480" s="934">
        <v>4192</v>
      </c>
      <c r="BO480" s="114">
        <v>0</v>
      </c>
      <c r="BP480" s="114">
        <v>0</v>
      </c>
    </row>
    <row r="481" spans="1:68">
      <c r="A481" t="s">
        <v>1762</v>
      </c>
      <c r="B481" t="s">
        <v>3001</v>
      </c>
      <c r="C481" s="121">
        <v>5477</v>
      </c>
      <c r="D481" s="72">
        <v>2</v>
      </c>
      <c r="E481">
        <v>765.048</v>
      </c>
      <c r="F481">
        <v>262</v>
      </c>
      <c r="G481">
        <v>169</v>
      </c>
      <c r="H481">
        <v>0</v>
      </c>
      <c r="I481" s="173">
        <v>1.04</v>
      </c>
      <c r="J481" s="121">
        <v>1319577414</v>
      </c>
      <c r="K481" s="125">
        <v>3582.2820000000002</v>
      </c>
      <c r="L481" s="173">
        <v>1.48</v>
      </c>
      <c r="M481">
        <v>1.04</v>
      </c>
      <c r="N481">
        <v>0.98666667159999999</v>
      </c>
      <c r="O481">
        <v>5.3333328400000042</v>
      </c>
      <c r="P481">
        <v>2594.9630000000002</v>
      </c>
      <c r="Q481" s="125">
        <v>0.155</v>
      </c>
      <c r="R481" s="125">
        <v>11.904</v>
      </c>
      <c r="S481" s="125">
        <v>4.1689999999999996</v>
      </c>
      <c r="T481" s="125">
        <v>109.58799999999999</v>
      </c>
      <c r="U481" s="125">
        <v>20.902000000000001</v>
      </c>
      <c r="V481" s="125">
        <v>0</v>
      </c>
      <c r="W481" s="125">
        <v>18.228999999999999</v>
      </c>
      <c r="X481" s="125">
        <v>0</v>
      </c>
      <c r="Y481" s="125">
        <v>0</v>
      </c>
      <c r="Z481" s="125">
        <v>4.3129999999999997</v>
      </c>
      <c r="AA481" s="125">
        <v>15.23</v>
      </c>
      <c r="AB481" s="125">
        <v>157.58799999999999</v>
      </c>
      <c r="AC481" s="125">
        <v>2179.9</v>
      </c>
      <c r="AD481" s="125">
        <v>2.0009999999999999</v>
      </c>
      <c r="AE481" s="125">
        <v>94.561999999999998</v>
      </c>
      <c r="AF481" s="125">
        <v>129.74799999999999</v>
      </c>
      <c r="AG481" s="125">
        <v>0</v>
      </c>
      <c r="AH481" s="125">
        <v>0</v>
      </c>
      <c r="AI481" s="121">
        <v>13968284</v>
      </c>
      <c r="AJ481" s="121">
        <v>1562505</v>
      </c>
      <c r="AK481" s="424">
        <v>12</v>
      </c>
      <c r="AL481">
        <v>0</v>
      </c>
      <c r="AM481" s="121">
        <v>254159</v>
      </c>
      <c r="AN481" s="125">
        <v>1</v>
      </c>
      <c r="AO481" s="125">
        <v>0</v>
      </c>
      <c r="AP481" s="121">
        <v>15530789</v>
      </c>
      <c r="AQ481" s="114">
        <v>0</v>
      </c>
      <c r="AR481" s="121">
        <v>429.9620304</v>
      </c>
      <c r="AS481" s="121">
        <v>84488.889154999997</v>
      </c>
      <c r="AT481" s="121">
        <v>11127.148815</v>
      </c>
      <c r="AU481" s="420" t="s">
        <v>798</v>
      </c>
      <c r="AV481" s="72" t="s">
        <v>798</v>
      </c>
      <c r="AW481" s="121">
        <v>0</v>
      </c>
      <c r="AX481" s="121">
        <v>1420056</v>
      </c>
      <c r="AY481" s="134">
        <v>3880822</v>
      </c>
      <c r="AZ481" s="134">
        <v>10672166</v>
      </c>
      <c r="BA481" s="134">
        <v>4638</v>
      </c>
      <c r="BB481" s="134">
        <v>1136684238</v>
      </c>
      <c r="BC481" s="114">
        <v>0</v>
      </c>
      <c r="BD481" s="114">
        <v>0</v>
      </c>
      <c r="BE481" s="114">
        <v>0</v>
      </c>
      <c r="BF481" s="134">
        <v>2985</v>
      </c>
      <c r="BG481" s="114">
        <v>0</v>
      </c>
      <c r="BH481" s="114">
        <v>0</v>
      </c>
      <c r="BI481">
        <v>0</v>
      </c>
      <c r="BJ481" s="121">
        <v>0</v>
      </c>
      <c r="BK481" s="134">
        <v>1292067556</v>
      </c>
      <c r="BL481" s="934">
        <v>5208</v>
      </c>
      <c r="BM481" s="934">
        <v>5477</v>
      </c>
      <c r="BN481" s="934">
        <v>5317</v>
      </c>
      <c r="BO481" s="114">
        <v>0</v>
      </c>
      <c r="BP481" s="114">
        <v>0</v>
      </c>
    </row>
    <row r="482" spans="1:68">
      <c r="A482" t="s">
        <v>1410</v>
      </c>
      <c r="B482" t="s">
        <v>3002</v>
      </c>
      <c r="C482" s="121">
        <v>4788</v>
      </c>
      <c r="D482" s="72">
        <v>2</v>
      </c>
      <c r="E482">
        <v>96.218000000000004</v>
      </c>
      <c r="F482">
        <v>39</v>
      </c>
      <c r="G482">
        <v>20</v>
      </c>
      <c r="H482">
        <v>0</v>
      </c>
      <c r="I482" s="173">
        <v>1.04</v>
      </c>
      <c r="J482" s="121">
        <v>63384531</v>
      </c>
      <c r="K482" s="125">
        <v>555.31899999999996</v>
      </c>
      <c r="L482" s="173">
        <v>1.5</v>
      </c>
      <c r="M482">
        <v>1.04</v>
      </c>
      <c r="N482">
        <v>1.000000005</v>
      </c>
      <c r="O482">
        <v>3.9999995000000066</v>
      </c>
      <c r="P482">
        <v>335</v>
      </c>
      <c r="Q482" s="125">
        <v>0</v>
      </c>
      <c r="R482" s="125">
        <v>0</v>
      </c>
      <c r="S482" s="125">
        <v>0.43099999999999999</v>
      </c>
      <c r="T482" s="125">
        <v>11.391</v>
      </c>
      <c r="U482" s="125">
        <v>0</v>
      </c>
      <c r="V482" s="125">
        <v>0</v>
      </c>
      <c r="W482" s="125">
        <v>0</v>
      </c>
      <c r="X482" s="125">
        <v>0</v>
      </c>
      <c r="Y482" s="125">
        <v>0</v>
      </c>
      <c r="Z482" s="125">
        <v>0</v>
      </c>
      <c r="AA482" s="125">
        <v>0.69199999999999995</v>
      </c>
      <c r="AB482" s="125">
        <v>24</v>
      </c>
      <c r="AC482" s="125">
        <v>181</v>
      </c>
      <c r="AD482" s="125">
        <v>0</v>
      </c>
      <c r="AE482" s="125">
        <v>20</v>
      </c>
      <c r="AF482" s="125">
        <v>16.494</v>
      </c>
      <c r="AG482" s="125">
        <v>0</v>
      </c>
      <c r="AH482" s="125">
        <v>0</v>
      </c>
      <c r="AI482" s="121">
        <v>685237</v>
      </c>
      <c r="AJ482" s="121">
        <v>0</v>
      </c>
      <c r="AK482" s="424">
        <v>12</v>
      </c>
      <c r="AL482">
        <v>0</v>
      </c>
      <c r="AM482" s="121">
        <v>29192</v>
      </c>
      <c r="AN482" s="125">
        <v>0</v>
      </c>
      <c r="AO482" s="125">
        <v>0</v>
      </c>
      <c r="AP482" s="121">
        <v>685237</v>
      </c>
      <c r="AQ482" s="114">
        <v>0</v>
      </c>
      <c r="AR482" s="121">
        <v>42.249561141999997</v>
      </c>
      <c r="AS482" s="121">
        <v>8302.1714377999997</v>
      </c>
      <c r="AT482" s="121">
        <v>1093.3922554999999</v>
      </c>
      <c r="AU482" s="420" t="s">
        <v>2001</v>
      </c>
      <c r="AV482" s="420" t="s">
        <v>2001</v>
      </c>
      <c r="AW482" s="121">
        <v>0</v>
      </c>
      <c r="AX482" s="121">
        <v>0</v>
      </c>
      <c r="BI482">
        <v>0</v>
      </c>
      <c r="BJ482" s="121">
        <v>0</v>
      </c>
      <c r="BK482" s="134">
        <v>63384531</v>
      </c>
      <c r="BL482" s="934">
        <v>4541</v>
      </c>
      <c r="BM482" s="934">
        <v>4788</v>
      </c>
      <c r="BN482" s="934">
        <v>4621</v>
      </c>
      <c r="BO482" s="114">
        <v>0</v>
      </c>
      <c r="BP482" s="114">
        <v>0</v>
      </c>
    </row>
    <row r="483" spans="1:68">
      <c r="A483" t="s">
        <v>2104</v>
      </c>
      <c r="B483" t="s">
        <v>2203</v>
      </c>
      <c r="C483" s="121">
        <v>4768</v>
      </c>
      <c r="D483" s="72">
        <v>2</v>
      </c>
      <c r="E483">
        <v>100.114</v>
      </c>
      <c r="F483">
        <v>34</v>
      </c>
      <c r="G483">
        <v>15</v>
      </c>
      <c r="H483">
        <v>0</v>
      </c>
      <c r="I483" s="173">
        <v>1.17</v>
      </c>
      <c r="J483" s="121">
        <v>85841604</v>
      </c>
      <c r="K483" s="125">
        <v>634.91099999999994</v>
      </c>
      <c r="L483" s="173">
        <v>1.5</v>
      </c>
      <c r="M483">
        <v>1.17</v>
      </c>
      <c r="N483">
        <v>1.000000005</v>
      </c>
      <c r="O483">
        <v>16.999999499999994</v>
      </c>
      <c r="P483">
        <v>363.41399999999999</v>
      </c>
      <c r="Q483" s="125">
        <v>0</v>
      </c>
      <c r="R483" s="125">
        <v>0</v>
      </c>
      <c r="S483" s="125">
        <v>0.39</v>
      </c>
      <c r="T483" s="125">
        <v>18.709</v>
      </c>
      <c r="U483" s="125">
        <v>0</v>
      </c>
      <c r="V483" s="125">
        <v>0</v>
      </c>
      <c r="W483" s="125">
        <v>0</v>
      </c>
      <c r="X483" s="125">
        <v>0</v>
      </c>
      <c r="Y483" s="125">
        <v>0</v>
      </c>
      <c r="Z483" s="125">
        <v>0</v>
      </c>
      <c r="AA483" s="125">
        <v>9.2569999999999997</v>
      </c>
      <c r="AB483" s="125">
        <v>25.64</v>
      </c>
      <c r="AC483" s="125">
        <v>248.9</v>
      </c>
      <c r="AD483" s="125">
        <v>0</v>
      </c>
      <c r="AE483" s="125">
        <v>6.6859999999999999</v>
      </c>
      <c r="AF483" s="125">
        <v>18.1707</v>
      </c>
      <c r="AG483" s="125">
        <v>0</v>
      </c>
      <c r="AH483" s="125">
        <v>0</v>
      </c>
      <c r="AI483" s="121">
        <v>1044018</v>
      </c>
      <c r="AJ483" s="121">
        <v>0</v>
      </c>
      <c r="AK483" s="424">
        <v>12</v>
      </c>
      <c r="AL483">
        <v>0</v>
      </c>
      <c r="AM483" s="121">
        <v>39516</v>
      </c>
      <c r="AN483" s="125">
        <v>0</v>
      </c>
      <c r="AO483" s="125">
        <v>0</v>
      </c>
      <c r="AP483" s="121">
        <v>1044018</v>
      </c>
      <c r="AQ483" s="114">
        <v>0</v>
      </c>
      <c r="AR483" s="121">
        <v>57.218536438999998</v>
      </c>
      <c r="AS483" s="121">
        <v>11243.622090000001</v>
      </c>
      <c r="AT483" s="121">
        <v>1480.7799872999999</v>
      </c>
      <c r="AU483" s="420" t="s">
        <v>2001</v>
      </c>
      <c r="AV483" s="420" t="s">
        <v>2001</v>
      </c>
      <c r="AW483" s="121">
        <v>0</v>
      </c>
      <c r="AX483" s="121">
        <v>0</v>
      </c>
      <c r="BI483">
        <v>0</v>
      </c>
      <c r="BJ483" s="121">
        <v>0</v>
      </c>
      <c r="BK483" s="134">
        <v>85841604</v>
      </c>
      <c r="BL483" s="934">
        <v>4729</v>
      </c>
      <c r="BM483" s="934">
        <v>4768</v>
      </c>
      <c r="BN483" s="934">
        <v>4676</v>
      </c>
      <c r="BO483" s="114">
        <v>0</v>
      </c>
      <c r="BP483" s="114">
        <v>0</v>
      </c>
    </row>
    <row r="484" spans="1:68">
      <c r="A484" t="s">
        <v>1411</v>
      </c>
      <c r="B484" t="s">
        <v>3003</v>
      </c>
      <c r="C484" s="121">
        <v>12149</v>
      </c>
      <c r="D484" s="72">
        <v>1</v>
      </c>
      <c r="E484">
        <v>154.00700000000001</v>
      </c>
      <c r="F484">
        <v>64</v>
      </c>
      <c r="G484">
        <v>36</v>
      </c>
      <c r="H484">
        <v>0</v>
      </c>
      <c r="I484" s="173">
        <v>1.04</v>
      </c>
      <c r="J484" s="121">
        <v>1375269075</v>
      </c>
      <c r="K484" s="125">
        <v>812.02499999999998</v>
      </c>
      <c r="L484" s="173">
        <v>1.5</v>
      </c>
      <c r="M484">
        <v>1.04</v>
      </c>
      <c r="N484">
        <v>1.000000005</v>
      </c>
      <c r="O484">
        <v>3.9999995000000066</v>
      </c>
      <c r="P484">
        <v>528.83699999999999</v>
      </c>
      <c r="Q484" s="125">
        <v>0</v>
      </c>
      <c r="R484" s="125">
        <v>0</v>
      </c>
      <c r="S484" s="125">
        <v>0.70299999999999996</v>
      </c>
      <c r="T484" s="125">
        <v>10.912000000000001</v>
      </c>
      <c r="U484" s="125">
        <v>1.4730000000000001</v>
      </c>
      <c r="V484" s="125">
        <v>0</v>
      </c>
      <c r="W484" s="125">
        <v>0</v>
      </c>
      <c r="X484" s="125">
        <v>0</v>
      </c>
      <c r="Y484" s="125">
        <v>0</v>
      </c>
      <c r="Z484" s="125">
        <v>0</v>
      </c>
      <c r="AA484" s="125">
        <v>2.9239999999999999</v>
      </c>
      <c r="AB484" s="125">
        <v>20.841999999999999</v>
      </c>
      <c r="AC484" s="125">
        <v>259.89999999999998</v>
      </c>
      <c r="AD484" s="125">
        <v>0.19900000000000001</v>
      </c>
      <c r="AE484" s="125">
        <v>4.08</v>
      </c>
      <c r="AF484" s="125">
        <v>26.441849999999999</v>
      </c>
      <c r="AG484" s="125">
        <v>0</v>
      </c>
      <c r="AH484" s="125">
        <v>0</v>
      </c>
      <c r="AI484" s="121">
        <v>13820361</v>
      </c>
      <c r="AJ484" s="121">
        <v>0</v>
      </c>
      <c r="AK484" s="424">
        <v>12</v>
      </c>
      <c r="AL484">
        <v>0</v>
      </c>
      <c r="AM484" s="121">
        <v>19159</v>
      </c>
      <c r="AN484" s="125">
        <v>0</v>
      </c>
      <c r="AO484" s="125">
        <v>0</v>
      </c>
      <c r="AP484" s="121">
        <v>13820361</v>
      </c>
      <c r="AQ484" s="114">
        <v>0</v>
      </c>
      <c r="AR484" s="121">
        <v>0</v>
      </c>
      <c r="AS484" s="121">
        <v>0</v>
      </c>
      <c r="AT484" s="121">
        <v>0</v>
      </c>
      <c r="AU484" s="420" t="s">
        <v>798</v>
      </c>
      <c r="AV484" s="420" t="s">
        <v>2001</v>
      </c>
      <c r="AW484" s="121">
        <v>0</v>
      </c>
      <c r="AX484" s="121">
        <v>0</v>
      </c>
      <c r="AY484" s="134">
        <v>4111717</v>
      </c>
      <c r="AZ484" s="134">
        <v>2003770</v>
      </c>
      <c r="BA484" s="114">
        <v>819</v>
      </c>
      <c r="BB484" s="134">
        <v>859622353</v>
      </c>
      <c r="BC484" s="114">
        <v>0</v>
      </c>
      <c r="BD484" s="114">
        <v>0</v>
      </c>
      <c r="BE484" s="114">
        <v>0</v>
      </c>
      <c r="BF484" s="114">
        <v>630</v>
      </c>
      <c r="BG484" s="114">
        <v>0</v>
      </c>
      <c r="BH484" s="114">
        <v>0</v>
      </c>
      <c r="BI484">
        <v>0</v>
      </c>
      <c r="BJ484" s="121">
        <v>73</v>
      </c>
      <c r="BK484" s="134">
        <v>1278384675</v>
      </c>
      <c r="BL484" s="934">
        <v>12149</v>
      </c>
      <c r="BM484" s="934">
        <v>11093</v>
      </c>
      <c r="BN484" s="934">
        <v>11180</v>
      </c>
      <c r="BO484" s="114">
        <v>0</v>
      </c>
      <c r="BP484" s="114">
        <v>0</v>
      </c>
    </row>
    <row r="485" spans="1:68">
      <c r="A485" t="s">
        <v>1412</v>
      </c>
      <c r="B485" t="s">
        <v>3004</v>
      </c>
      <c r="C485" s="121">
        <v>5457</v>
      </c>
      <c r="D485" s="72">
        <v>2</v>
      </c>
      <c r="E485">
        <v>60.02</v>
      </c>
      <c r="F485">
        <v>18</v>
      </c>
      <c r="G485">
        <v>12</v>
      </c>
      <c r="H485">
        <v>2</v>
      </c>
      <c r="I485" s="173">
        <v>1.04</v>
      </c>
      <c r="J485" s="121">
        <v>66583302</v>
      </c>
      <c r="K485" s="125">
        <v>300.202</v>
      </c>
      <c r="L485" s="173">
        <v>1.5</v>
      </c>
      <c r="M485">
        <v>1.04</v>
      </c>
      <c r="N485">
        <v>1.000000005</v>
      </c>
      <c r="O485">
        <v>3.9999995000000066</v>
      </c>
      <c r="P485">
        <v>180</v>
      </c>
      <c r="Q485" s="125">
        <v>0</v>
      </c>
      <c r="R485" s="125">
        <v>0</v>
      </c>
      <c r="S485" s="125">
        <v>0.39200000000000002</v>
      </c>
      <c r="T485" s="125">
        <v>6.7</v>
      </c>
      <c r="U485" s="125">
        <v>0</v>
      </c>
      <c r="V485" s="125">
        <v>0</v>
      </c>
      <c r="W485" s="125">
        <v>0</v>
      </c>
      <c r="X485" s="125">
        <v>0</v>
      </c>
      <c r="Y485" s="125">
        <v>0</v>
      </c>
      <c r="Z485" s="125">
        <v>0</v>
      </c>
      <c r="AA485" s="125">
        <v>0</v>
      </c>
      <c r="AB485" s="125">
        <v>14</v>
      </c>
      <c r="AC485" s="125">
        <v>71</v>
      </c>
      <c r="AD485" s="125">
        <v>0</v>
      </c>
      <c r="AE485" s="125">
        <v>2</v>
      </c>
      <c r="AF485" s="125">
        <v>9</v>
      </c>
      <c r="AG485" s="125">
        <v>0</v>
      </c>
      <c r="AH485" s="125">
        <v>0</v>
      </c>
      <c r="AI485" s="121">
        <v>719819</v>
      </c>
      <c r="AJ485" s="121">
        <v>0</v>
      </c>
      <c r="AK485" s="424">
        <v>12</v>
      </c>
      <c r="AL485">
        <v>0</v>
      </c>
      <c r="AM485" s="121">
        <v>5845</v>
      </c>
      <c r="AN485" s="125">
        <v>0</v>
      </c>
      <c r="AO485" s="125">
        <v>0</v>
      </c>
      <c r="AP485" s="121">
        <v>719819</v>
      </c>
      <c r="AQ485" s="114">
        <v>0</v>
      </c>
      <c r="AR485" s="121">
        <v>44.381732333000002</v>
      </c>
      <c r="AS485" s="121">
        <v>8721.1497722999993</v>
      </c>
      <c r="AT485" s="121">
        <v>1148.5715141999999</v>
      </c>
      <c r="AU485" s="420" t="s">
        <v>2001</v>
      </c>
      <c r="AV485" s="420" t="s">
        <v>2001</v>
      </c>
      <c r="AW485" s="121">
        <v>0</v>
      </c>
      <c r="AX485" s="121">
        <v>0</v>
      </c>
      <c r="BI485">
        <v>0</v>
      </c>
      <c r="BJ485" s="121">
        <v>0</v>
      </c>
      <c r="BK485" s="134">
        <v>66583302</v>
      </c>
      <c r="BL485" s="934">
        <v>5178</v>
      </c>
      <c r="BM485" s="934">
        <v>5457</v>
      </c>
      <c r="BN485" s="934">
        <v>5261</v>
      </c>
      <c r="BO485" s="114">
        <v>0</v>
      </c>
      <c r="BP485" s="114">
        <v>0</v>
      </c>
    </row>
    <row r="486" spans="1:68">
      <c r="A486" t="s">
        <v>1413</v>
      </c>
      <c r="B486" t="s">
        <v>247</v>
      </c>
      <c r="C486" s="121">
        <v>5824</v>
      </c>
      <c r="D486" s="72">
        <v>3</v>
      </c>
      <c r="E486">
        <v>1875.296</v>
      </c>
      <c r="F486">
        <v>526</v>
      </c>
      <c r="G486">
        <v>369</v>
      </c>
      <c r="H486">
        <v>38</v>
      </c>
      <c r="I486" s="173">
        <v>1.0061</v>
      </c>
      <c r="J486" s="121">
        <v>3473213274</v>
      </c>
      <c r="K486" s="125">
        <v>8450.8610000000008</v>
      </c>
      <c r="L486" s="173">
        <v>1.45</v>
      </c>
      <c r="M486">
        <v>1.0061</v>
      </c>
      <c r="N486">
        <v>0.96666667149999996</v>
      </c>
      <c r="O486">
        <v>3.9433328500000031</v>
      </c>
      <c r="P486">
        <v>6720</v>
      </c>
      <c r="Q486" s="125">
        <v>0.49099999999999999</v>
      </c>
      <c r="R486" s="125">
        <v>0</v>
      </c>
      <c r="S486" s="125">
        <v>14.51</v>
      </c>
      <c r="T486" s="125">
        <v>278.22000000000003</v>
      </c>
      <c r="U486" s="125">
        <v>59.212000000000003</v>
      </c>
      <c r="V486" s="125">
        <v>0</v>
      </c>
      <c r="W486" s="125">
        <v>6.4130000000000003</v>
      </c>
      <c r="X486" s="125">
        <v>0</v>
      </c>
      <c r="Y486" s="125">
        <v>0</v>
      </c>
      <c r="Z486" s="125">
        <v>13.903</v>
      </c>
      <c r="AA486" s="125">
        <v>12.36</v>
      </c>
      <c r="AB486" s="125">
        <v>186</v>
      </c>
      <c r="AC486" s="125">
        <v>2729</v>
      </c>
      <c r="AD486" s="125">
        <v>2.7320000000000002</v>
      </c>
      <c r="AE486" s="125">
        <v>409</v>
      </c>
      <c r="AF486" s="125">
        <v>336</v>
      </c>
      <c r="AG486" s="125">
        <v>0</v>
      </c>
      <c r="AH486" s="125">
        <v>0</v>
      </c>
      <c r="AI486" s="121">
        <v>36324287</v>
      </c>
      <c r="AJ486" s="121">
        <v>4720465</v>
      </c>
      <c r="AK486" s="424">
        <v>12</v>
      </c>
      <c r="AL486">
        <v>0</v>
      </c>
      <c r="AM486" s="121">
        <v>810942</v>
      </c>
      <c r="AN486" s="125">
        <v>0</v>
      </c>
      <c r="AO486" s="125">
        <v>0</v>
      </c>
      <c r="AP486" s="121">
        <v>41044752</v>
      </c>
      <c r="AQ486" s="114">
        <v>0</v>
      </c>
      <c r="AR486" s="121">
        <v>0</v>
      </c>
      <c r="AS486" s="121">
        <v>0</v>
      </c>
      <c r="AT486" s="121">
        <v>0</v>
      </c>
      <c r="AU486" s="420" t="s">
        <v>798</v>
      </c>
      <c r="AV486" s="72" t="s">
        <v>798</v>
      </c>
      <c r="AW486" s="121">
        <v>0</v>
      </c>
      <c r="AX486" s="121">
        <v>5783646</v>
      </c>
      <c r="AY486" s="134">
        <v>1185383</v>
      </c>
      <c r="AZ486" s="134">
        <v>14139043</v>
      </c>
      <c r="BA486" s="134">
        <v>5887</v>
      </c>
      <c r="BB486" s="134">
        <v>937864049</v>
      </c>
      <c r="BC486" s="114">
        <v>0</v>
      </c>
      <c r="BD486" s="114">
        <v>0</v>
      </c>
      <c r="BE486" s="114">
        <v>0</v>
      </c>
      <c r="BF486" s="134">
        <v>6814</v>
      </c>
      <c r="BG486" s="114">
        <v>0</v>
      </c>
      <c r="BH486" s="114">
        <v>0</v>
      </c>
      <c r="BI486">
        <v>0</v>
      </c>
      <c r="BJ486" s="121">
        <v>0</v>
      </c>
      <c r="BK486" s="134">
        <v>3473213274</v>
      </c>
      <c r="BL486" s="934">
        <v>5324</v>
      </c>
      <c r="BM486" s="934">
        <v>5636</v>
      </c>
      <c r="BN486" s="934">
        <v>5824</v>
      </c>
      <c r="BO486" s="114">
        <v>0</v>
      </c>
      <c r="BP486" s="114">
        <v>0</v>
      </c>
    </row>
    <row r="487" spans="1:68">
      <c r="A487" t="s">
        <v>1991</v>
      </c>
      <c r="B487" t="s">
        <v>1763</v>
      </c>
      <c r="C487" s="121">
        <v>4817</v>
      </c>
      <c r="D487" s="72">
        <v>2</v>
      </c>
      <c r="E487">
        <v>81.254999999999995</v>
      </c>
      <c r="F487">
        <v>27</v>
      </c>
      <c r="G487">
        <v>15</v>
      </c>
      <c r="H487">
        <v>1</v>
      </c>
      <c r="I487" s="173">
        <v>1.04</v>
      </c>
      <c r="J487" s="121">
        <v>92836700</v>
      </c>
      <c r="K487" s="125">
        <v>429.15899999999999</v>
      </c>
      <c r="L487" s="173">
        <v>1.5</v>
      </c>
      <c r="M487">
        <v>1.04</v>
      </c>
      <c r="N487">
        <v>1.000000005</v>
      </c>
      <c r="O487">
        <v>3.9999995000000066</v>
      </c>
      <c r="P487">
        <v>260</v>
      </c>
      <c r="Q487" s="125">
        <v>0</v>
      </c>
      <c r="R487" s="125">
        <v>0</v>
      </c>
      <c r="S487" s="125">
        <v>0.51500000000000001</v>
      </c>
      <c r="T487" s="125">
        <v>2.92</v>
      </c>
      <c r="U487" s="125">
        <v>1.228</v>
      </c>
      <c r="V487" s="125">
        <v>0.48</v>
      </c>
      <c r="W487" s="125">
        <v>0</v>
      </c>
      <c r="X487" s="125">
        <v>0</v>
      </c>
      <c r="Y487" s="125">
        <v>0</v>
      </c>
      <c r="Z487" s="125">
        <v>0</v>
      </c>
      <c r="AA487" s="125">
        <v>14</v>
      </c>
      <c r="AB487" s="125">
        <v>14.039</v>
      </c>
      <c r="AC487" s="125">
        <v>110</v>
      </c>
      <c r="AD487" s="125">
        <v>0.41599999999999998</v>
      </c>
      <c r="AE487" s="125">
        <v>0.21199999999999999</v>
      </c>
      <c r="AF487" s="125">
        <v>11.522</v>
      </c>
      <c r="AG487" s="125">
        <v>0</v>
      </c>
      <c r="AH487" s="125">
        <v>0</v>
      </c>
      <c r="AI487" s="121">
        <v>993501</v>
      </c>
      <c r="AJ487" s="121">
        <v>179039</v>
      </c>
      <c r="AK487" s="424">
        <v>12</v>
      </c>
      <c r="AL487">
        <v>0</v>
      </c>
      <c r="AM487" s="121">
        <v>33014</v>
      </c>
      <c r="AN487" s="125">
        <v>0</v>
      </c>
      <c r="AO487" s="125">
        <v>0</v>
      </c>
      <c r="AP487" s="121">
        <v>1172540</v>
      </c>
      <c r="AQ487" s="114">
        <v>0</v>
      </c>
      <c r="AR487" s="121">
        <v>61.881184115000003</v>
      </c>
      <c r="AS487" s="121">
        <v>12159.847</v>
      </c>
      <c r="AT487" s="121">
        <v>1601.4463971</v>
      </c>
      <c r="AU487" s="420" t="s">
        <v>2001</v>
      </c>
      <c r="AV487" s="420" t="s">
        <v>2001</v>
      </c>
      <c r="AW487" s="121">
        <v>0</v>
      </c>
      <c r="AX487" s="121">
        <v>306067</v>
      </c>
      <c r="BI487">
        <v>0</v>
      </c>
      <c r="BJ487" s="121">
        <v>0</v>
      </c>
      <c r="BK487" s="134">
        <v>92836700</v>
      </c>
      <c r="BL487" s="934">
        <v>4789</v>
      </c>
      <c r="BM487" s="934">
        <v>4817</v>
      </c>
      <c r="BN487" s="934">
        <v>4817</v>
      </c>
      <c r="BO487" s="114">
        <v>0</v>
      </c>
      <c r="BP487" s="114">
        <v>0</v>
      </c>
    </row>
    <row r="488" spans="1:68">
      <c r="A488" t="s">
        <v>1709</v>
      </c>
      <c r="B488" t="s">
        <v>660</v>
      </c>
      <c r="C488" s="121">
        <v>5035</v>
      </c>
      <c r="D488" s="72">
        <v>2</v>
      </c>
      <c r="E488">
        <v>185.339</v>
      </c>
      <c r="F488">
        <v>50</v>
      </c>
      <c r="G488">
        <v>32</v>
      </c>
      <c r="H488">
        <v>3</v>
      </c>
      <c r="I488" s="173">
        <v>1.04</v>
      </c>
      <c r="J488" s="121">
        <v>141295272</v>
      </c>
      <c r="K488" s="125">
        <v>951.59400000000005</v>
      </c>
      <c r="L488" s="173">
        <v>1.5</v>
      </c>
      <c r="M488">
        <v>1.04</v>
      </c>
      <c r="N488">
        <v>1.000000005</v>
      </c>
      <c r="O488">
        <v>3.9999995000000066</v>
      </c>
      <c r="P488">
        <v>618.24599999999998</v>
      </c>
      <c r="Q488" s="125">
        <v>0</v>
      </c>
      <c r="R488" s="125">
        <v>0</v>
      </c>
      <c r="S488" s="125">
        <v>1.0389999999999999</v>
      </c>
      <c r="T488" s="125">
        <v>22.771999999999998</v>
      </c>
      <c r="U488" s="125">
        <v>2.5579999999999998</v>
      </c>
      <c r="V488" s="125">
        <v>1.492</v>
      </c>
      <c r="W488" s="125">
        <v>0</v>
      </c>
      <c r="X488" s="125">
        <v>0</v>
      </c>
      <c r="Y488" s="125">
        <v>0</v>
      </c>
      <c r="Z488" s="125">
        <v>0.152</v>
      </c>
      <c r="AA488" s="125">
        <v>15.19</v>
      </c>
      <c r="AB488" s="125">
        <v>41.411999999999999</v>
      </c>
      <c r="AC488" s="125">
        <v>153.80000000000001</v>
      </c>
      <c r="AD488" s="125">
        <v>0</v>
      </c>
      <c r="AE488" s="125">
        <v>12.765000000000001</v>
      </c>
      <c r="AF488" s="125">
        <v>30.911999999999999</v>
      </c>
      <c r="AG488" s="125">
        <v>0</v>
      </c>
      <c r="AH488" s="125">
        <v>0</v>
      </c>
      <c r="AI488" s="121">
        <v>1481227</v>
      </c>
      <c r="AJ488" s="121">
        <v>223728</v>
      </c>
      <c r="AK488" s="424">
        <v>12</v>
      </c>
      <c r="AL488">
        <v>0</v>
      </c>
      <c r="AM488" s="121">
        <v>56669</v>
      </c>
      <c r="AN488" s="125">
        <v>0</v>
      </c>
      <c r="AO488" s="125">
        <v>0</v>
      </c>
      <c r="AP488" s="121">
        <v>1704955</v>
      </c>
      <c r="AQ488" s="114">
        <v>0</v>
      </c>
      <c r="AR488" s="121">
        <v>94.181705523999995</v>
      </c>
      <c r="AS488" s="121">
        <v>18507.000887999999</v>
      </c>
      <c r="AT488" s="121">
        <v>2437.3637180000001</v>
      </c>
      <c r="AU488" s="420" t="s">
        <v>2001</v>
      </c>
      <c r="AV488" s="420" t="s">
        <v>2001</v>
      </c>
      <c r="AW488" s="121">
        <v>0</v>
      </c>
      <c r="AX488" s="121">
        <v>476488</v>
      </c>
      <c r="BI488">
        <v>0</v>
      </c>
      <c r="BJ488" s="121">
        <v>0</v>
      </c>
      <c r="BK488" s="134">
        <v>141295272</v>
      </c>
      <c r="BL488" s="934">
        <v>4607</v>
      </c>
      <c r="BM488" s="934">
        <v>5035</v>
      </c>
      <c r="BN488" s="934">
        <v>4784</v>
      </c>
      <c r="BO488" s="114">
        <v>0</v>
      </c>
      <c r="BP488" s="114">
        <v>0</v>
      </c>
    </row>
    <row r="489" spans="1:68">
      <c r="A489" t="s">
        <v>208</v>
      </c>
      <c r="B489" t="s">
        <v>248</v>
      </c>
      <c r="C489" s="121">
        <v>4680</v>
      </c>
      <c r="D489" s="72">
        <v>3</v>
      </c>
      <c r="E489">
        <v>1029.5619999999999</v>
      </c>
      <c r="F489">
        <v>326</v>
      </c>
      <c r="G489">
        <v>236</v>
      </c>
      <c r="H489">
        <v>19</v>
      </c>
      <c r="I489" s="173">
        <v>1.04</v>
      </c>
      <c r="J489" s="121">
        <v>1021481508</v>
      </c>
      <c r="K489" s="125">
        <v>5421.8410000000003</v>
      </c>
      <c r="L489" s="173">
        <v>1.4256</v>
      </c>
      <c r="M489">
        <v>1.04</v>
      </c>
      <c r="N489">
        <v>0.95040000475200004</v>
      </c>
      <c r="O489">
        <v>8.9599995248000006</v>
      </c>
      <c r="P489">
        <v>4014.1190000000001</v>
      </c>
      <c r="Q489" s="125">
        <v>0.51</v>
      </c>
      <c r="R489" s="125">
        <v>0</v>
      </c>
      <c r="S489" s="125">
        <v>5.0259999999999998</v>
      </c>
      <c r="T489" s="125">
        <v>112.617</v>
      </c>
      <c r="U489" s="125">
        <v>47.057000000000002</v>
      </c>
      <c r="V489" s="125">
        <v>0.35499999999999998</v>
      </c>
      <c r="W489" s="125">
        <v>4.6740000000000004</v>
      </c>
      <c r="X489" s="125">
        <v>0</v>
      </c>
      <c r="Y489" s="125">
        <v>0</v>
      </c>
      <c r="Z489" s="125">
        <v>0.58799999999999997</v>
      </c>
      <c r="AA489" s="125">
        <v>137.732</v>
      </c>
      <c r="AB489" s="125">
        <v>223.13399999999999</v>
      </c>
      <c r="AC489" s="125">
        <v>2390.3000000000002</v>
      </c>
      <c r="AD489" s="125">
        <v>1.603</v>
      </c>
      <c r="AE489" s="125">
        <v>319.35500000000002</v>
      </c>
      <c r="AF489" s="125">
        <v>200.70595</v>
      </c>
      <c r="AG489" s="125">
        <v>0</v>
      </c>
      <c r="AH489" s="125">
        <v>0</v>
      </c>
      <c r="AI489" s="121">
        <v>10803163</v>
      </c>
      <c r="AJ489" s="121">
        <v>1030058</v>
      </c>
      <c r="AK489" s="424">
        <v>12</v>
      </c>
      <c r="AL489">
        <v>0</v>
      </c>
      <c r="AM489" s="121">
        <v>278188</v>
      </c>
      <c r="AN489" s="125">
        <v>0</v>
      </c>
      <c r="AO489" s="125">
        <v>1</v>
      </c>
      <c r="AP489" s="121">
        <v>11833221</v>
      </c>
      <c r="AQ489" s="114">
        <v>0</v>
      </c>
      <c r="AR489" s="121">
        <v>680.87820051999995</v>
      </c>
      <c r="AS489" s="121">
        <v>133794.70452</v>
      </c>
      <c r="AT489" s="121">
        <v>17620.702588</v>
      </c>
      <c r="AU489" s="420" t="s">
        <v>2001</v>
      </c>
      <c r="AV489" s="420" t="s">
        <v>2001</v>
      </c>
      <c r="AW489" s="121">
        <v>0</v>
      </c>
      <c r="AX489" s="121">
        <v>1197969</v>
      </c>
      <c r="BI489">
        <v>0</v>
      </c>
      <c r="BJ489" s="121">
        <v>0</v>
      </c>
      <c r="BK489" s="134">
        <v>1019897576</v>
      </c>
      <c r="BL489" s="934">
        <v>4490</v>
      </c>
      <c r="BM489" s="934">
        <v>4540</v>
      </c>
      <c r="BN489" s="934">
        <v>4680</v>
      </c>
      <c r="BO489" s="114">
        <v>0</v>
      </c>
      <c r="BP489" s="114">
        <v>0</v>
      </c>
    </row>
    <row r="490" spans="1:68">
      <c r="A490" t="s">
        <v>1687</v>
      </c>
      <c r="B490" t="s">
        <v>462</v>
      </c>
      <c r="C490" s="121">
        <v>4605</v>
      </c>
      <c r="D490" s="72">
        <v>3</v>
      </c>
      <c r="E490">
        <v>119.01300000000001</v>
      </c>
      <c r="F490">
        <v>42</v>
      </c>
      <c r="G490">
        <v>32</v>
      </c>
      <c r="H490">
        <v>0</v>
      </c>
      <c r="I490" s="173">
        <v>1.04</v>
      </c>
      <c r="J490" s="121">
        <v>55687420</v>
      </c>
      <c r="K490" s="125">
        <v>683.88599999999997</v>
      </c>
      <c r="L490" s="173">
        <v>1.4112</v>
      </c>
      <c r="M490">
        <v>1.04</v>
      </c>
      <c r="N490">
        <v>0.94080000470400005</v>
      </c>
      <c r="O490">
        <v>9.9199995295999983</v>
      </c>
      <c r="P490">
        <v>403.31799999999998</v>
      </c>
      <c r="Q490" s="125">
        <v>0</v>
      </c>
      <c r="R490" s="125">
        <v>0</v>
      </c>
      <c r="S490" s="125">
        <v>0.57899999999999996</v>
      </c>
      <c r="T490" s="125">
        <v>23.981000000000002</v>
      </c>
      <c r="U490" s="125">
        <v>1.32</v>
      </c>
      <c r="V490" s="125">
        <v>0.12</v>
      </c>
      <c r="W490" s="125">
        <v>1.722</v>
      </c>
      <c r="X490" s="125">
        <v>0</v>
      </c>
      <c r="Y490" s="125">
        <v>0</v>
      </c>
      <c r="Z490" s="125">
        <v>0</v>
      </c>
      <c r="AA490" s="125">
        <v>5.9</v>
      </c>
      <c r="AB490" s="125">
        <v>18.21</v>
      </c>
      <c r="AC490" s="125">
        <v>195</v>
      </c>
      <c r="AD490" s="125">
        <v>0.77</v>
      </c>
      <c r="AE490" s="125">
        <v>14.6</v>
      </c>
      <c r="AF490" s="125">
        <v>20.165900000000001</v>
      </c>
      <c r="AG490" s="125">
        <v>0</v>
      </c>
      <c r="AH490" s="125">
        <v>0</v>
      </c>
      <c r="AI490" s="121">
        <v>577701</v>
      </c>
      <c r="AJ490" s="121">
        <v>71078</v>
      </c>
      <c r="AK490" s="424">
        <v>12</v>
      </c>
      <c r="AL490">
        <v>0</v>
      </c>
      <c r="AM490" s="121">
        <v>43953</v>
      </c>
      <c r="AN490" s="125">
        <v>0</v>
      </c>
      <c r="AO490" s="125">
        <v>0</v>
      </c>
      <c r="AP490" s="121">
        <v>648779</v>
      </c>
      <c r="AQ490" s="114">
        <v>0</v>
      </c>
      <c r="AR490" s="121">
        <v>37.1189787</v>
      </c>
      <c r="AS490" s="121">
        <v>7293.9958769000004</v>
      </c>
      <c r="AT490" s="121">
        <v>960.61598618000005</v>
      </c>
      <c r="AU490" s="420" t="s">
        <v>2001</v>
      </c>
      <c r="AV490" s="420" t="s">
        <v>2001</v>
      </c>
      <c r="AW490" s="121">
        <v>0</v>
      </c>
      <c r="AX490" s="121">
        <v>160654</v>
      </c>
      <c r="BI490">
        <v>0</v>
      </c>
      <c r="BJ490" s="121">
        <v>0</v>
      </c>
      <c r="BK490" s="134">
        <v>55687420</v>
      </c>
      <c r="BL490" s="934">
        <v>4356</v>
      </c>
      <c r="BM490" s="934">
        <v>4536</v>
      </c>
      <c r="BN490" s="934">
        <v>4605</v>
      </c>
      <c r="BO490" s="114">
        <v>0</v>
      </c>
      <c r="BP490" s="114">
        <v>0</v>
      </c>
    </row>
    <row r="491" spans="1:68">
      <c r="A491" t="s">
        <v>209</v>
      </c>
      <c r="B491" t="s">
        <v>249</v>
      </c>
      <c r="C491" s="121">
        <v>4429</v>
      </c>
      <c r="D491" s="72">
        <v>2</v>
      </c>
      <c r="E491">
        <v>127.378</v>
      </c>
      <c r="F491">
        <v>40</v>
      </c>
      <c r="G491">
        <v>23</v>
      </c>
      <c r="H491">
        <v>0</v>
      </c>
      <c r="I491" s="173">
        <v>0.97460000000000002</v>
      </c>
      <c r="J491" s="121">
        <v>75422622</v>
      </c>
      <c r="K491" s="125">
        <v>760.56899999999996</v>
      </c>
      <c r="L491" s="173">
        <v>1.4011</v>
      </c>
      <c r="M491">
        <v>0.97460000000000002</v>
      </c>
      <c r="N491">
        <v>0.93406667133700005</v>
      </c>
      <c r="O491">
        <v>4.0533328662999963</v>
      </c>
      <c r="P491">
        <v>438.74799999999999</v>
      </c>
      <c r="Q491" s="125">
        <v>0.182</v>
      </c>
      <c r="R491" s="125">
        <v>0</v>
      </c>
      <c r="S491" s="125">
        <v>0.81799999999999995</v>
      </c>
      <c r="T491" s="125">
        <v>16.058</v>
      </c>
      <c r="U491" s="125">
        <v>3.0230000000000001</v>
      </c>
      <c r="V491" s="125">
        <v>0.193</v>
      </c>
      <c r="W491" s="125">
        <v>3.524</v>
      </c>
      <c r="X491" s="125">
        <v>0</v>
      </c>
      <c r="Y491" s="125">
        <v>0</v>
      </c>
      <c r="Z491" s="125">
        <v>0</v>
      </c>
      <c r="AA491" s="125">
        <v>19.204000000000001</v>
      </c>
      <c r="AB491" s="125">
        <v>9.3610000000000007</v>
      </c>
      <c r="AC491" s="125">
        <v>321.60000000000002</v>
      </c>
      <c r="AD491" s="125">
        <v>0</v>
      </c>
      <c r="AE491" s="125">
        <v>43.158000000000001</v>
      </c>
      <c r="AF491" s="125">
        <v>21.937000000000001</v>
      </c>
      <c r="AG491" s="125">
        <v>0</v>
      </c>
      <c r="AH491" s="125">
        <v>0</v>
      </c>
      <c r="AI491" s="121">
        <v>756110</v>
      </c>
      <c r="AJ491" s="121">
        <v>54355</v>
      </c>
      <c r="AK491" s="424">
        <v>12</v>
      </c>
      <c r="AL491">
        <v>0</v>
      </c>
      <c r="AM491" s="121">
        <v>0</v>
      </c>
      <c r="AN491" s="125">
        <v>0</v>
      </c>
      <c r="AO491" s="125">
        <v>0</v>
      </c>
      <c r="AP491" s="121">
        <v>810465</v>
      </c>
      <c r="AQ491" s="114">
        <v>0</v>
      </c>
      <c r="AR491" s="121">
        <v>50.273664840000002</v>
      </c>
      <c r="AS491" s="121">
        <v>9878.9330121000003</v>
      </c>
      <c r="AT491" s="121">
        <v>1301.0510477</v>
      </c>
      <c r="AU491" s="420" t="s">
        <v>2001</v>
      </c>
      <c r="AV491" s="420" t="s">
        <v>2001</v>
      </c>
      <c r="AW491" s="121">
        <v>0</v>
      </c>
      <c r="AX491" s="121">
        <v>120355</v>
      </c>
      <c r="BI491">
        <v>0</v>
      </c>
      <c r="BJ491" s="121">
        <v>0</v>
      </c>
      <c r="BK491" s="134">
        <v>74633542</v>
      </c>
      <c r="BL491" s="934">
        <v>4375</v>
      </c>
      <c r="BM491" s="934">
        <v>4429</v>
      </c>
      <c r="BN491" s="934">
        <v>4415</v>
      </c>
      <c r="BO491" s="114">
        <v>0</v>
      </c>
      <c r="BP491" s="114">
        <v>0</v>
      </c>
    </row>
    <row r="492" spans="1:68">
      <c r="A492" t="s">
        <v>2217</v>
      </c>
      <c r="B492" t="s">
        <v>2557</v>
      </c>
      <c r="C492" s="121">
        <v>4246</v>
      </c>
      <c r="D492" s="72">
        <v>3</v>
      </c>
      <c r="E492">
        <v>72.034999999999997</v>
      </c>
      <c r="F492">
        <v>24</v>
      </c>
      <c r="G492">
        <v>10</v>
      </c>
      <c r="H492">
        <v>1</v>
      </c>
      <c r="I492" s="173">
        <v>1.04</v>
      </c>
      <c r="J492" s="121">
        <v>42979510</v>
      </c>
      <c r="K492" s="125">
        <v>368.24900000000002</v>
      </c>
      <c r="L492" s="173">
        <v>1.41</v>
      </c>
      <c r="M492">
        <v>1.04</v>
      </c>
      <c r="N492">
        <v>0.9400000047</v>
      </c>
      <c r="O492">
        <v>9.9999995300000037</v>
      </c>
      <c r="P492">
        <v>203.66900000000001</v>
      </c>
      <c r="Q492" s="125">
        <v>0</v>
      </c>
      <c r="R492" s="125">
        <v>0</v>
      </c>
      <c r="S492" s="125">
        <v>0.23200000000000001</v>
      </c>
      <c r="T492" s="125">
        <v>8.4179999999999993</v>
      </c>
      <c r="U492" s="125">
        <v>0.122</v>
      </c>
      <c r="V492" s="125">
        <v>0.41299999999999998</v>
      </c>
      <c r="W492" s="125">
        <v>2.2989999999999999</v>
      </c>
      <c r="X492" s="125">
        <v>0</v>
      </c>
      <c r="Y492" s="125">
        <v>0</v>
      </c>
      <c r="Z492" s="125">
        <v>0</v>
      </c>
      <c r="AA492" s="125">
        <v>13.021000000000001</v>
      </c>
      <c r="AB492" s="125">
        <v>18.79</v>
      </c>
      <c r="AC492" s="125">
        <v>89.1</v>
      </c>
      <c r="AD492" s="125">
        <v>0</v>
      </c>
      <c r="AE492" s="125">
        <v>23.613</v>
      </c>
      <c r="AF492" s="125">
        <v>10.183</v>
      </c>
      <c r="AG492" s="125">
        <v>0</v>
      </c>
      <c r="AH492" s="125">
        <v>0</v>
      </c>
      <c r="AI492" s="121">
        <v>431789</v>
      </c>
      <c r="AJ492" s="121">
        <v>56665</v>
      </c>
      <c r="AK492" s="424">
        <v>12</v>
      </c>
      <c r="AL492">
        <v>0</v>
      </c>
      <c r="AM492" s="121">
        <v>23491</v>
      </c>
      <c r="AN492" s="125">
        <v>0</v>
      </c>
      <c r="AO492" s="125">
        <v>0</v>
      </c>
      <c r="AP492" s="121">
        <v>488454</v>
      </c>
      <c r="AQ492" s="114">
        <v>0</v>
      </c>
      <c r="AR492" s="121">
        <v>28.648400594999998</v>
      </c>
      <c r="AS492" s="121">
        <v>5629.5006794999999</v>
      </c>
      <c r="AT492" s="121">
        <v>741.40271509000002</v>
      </c>
      <c r="AU492" s="420" t="s">
        <v>2001</v>
      </c>
      <c r="AV492" s="420" t="s">
        <v>2001</v>
      </c>
      <c r="AW492" s="121">
        <v>0</v>
      </c>
      <c r="AX492" s="121">
        <v>188510</v>
      </c>
      <c r="BI492">
        <v>0</v>
      </c>
      <c r="BJ492" s="121">
        <v>0</v>
      </c>
      <c r="BK492" s="134">
        <v>42979510</v>
      </c>
      <c r="BL492" s="934">
        <v>4168</v>
      </c>
      <c r="BM492" s="934">
        <v>4150</v>
      </c>
      <c r="BN492" s="934">
        <v>4246</v>
      </c>
      <c r="BO492" s="114">
        <v>0</v>
      </c>
      <c r="BP492" s="114">
        <v>0</v>
      </c>
    </row>
    <row r="493" spans="1:68">
      <c r="A493" t="s">
        <v>210</v>
      </c>
      <c r="B493" t="s">
        <v>702</v>
      </c>
      <c r="C493" s="121">
        <v>4291</v>
      </c>
      <c r="D493" s="72">
        <v>2</v>
      </c>
      <c r="E493">
        <v>239.21</v>
      </c>
      <c r="F493">
        <v>66</v>
      </c>
      <c r="G493">
        <v>52</v>
      </c>
      <c r="H493">
        <v>0</v>
      </c>
      <c r="I493" s="173">
        <v>1.0317000000000001</v>
      </c>
      <c r="J493" s="121">
        <v>126717373</v>
      </c>
      <c r="K493" s="125">
        <v>1336.6020000000001</v>
      </c>
      <c r="L493" s="173">
        <v>1.2150000000000001</v>
      </c>
      <c r="M493">
        <v>1.0317000000000001</v>
      </c>
      <c r="N493">
        <v>0.81000000405000006</v>
      </c>
      <c r="O493">
        <v>22.169999595</v>
      </c>
      <c r="P493">
        <v>850</v>
      </c>
      <c r="Q493" s="125">
        <v>0</v>
      </c>
      <c r="R493" s="125">
        <v>0</v>
      </c>
      <c r="S493" s="125">
        <v>1.1000000000000001</v>
      </c>
      <c r="T493" s="125">
        <v>22.28</v>
      </c>
      <c r="U493" s="125">
        <v>9</v>
      </c>
      <c r="V493" s="125">
        <v>0</v>
      </c>
      <c r="W493" s="125">
        <v>0.03</v>
      </c>
      <c r="X493" s="125">
        <v>0</v>
      </c>
      <c r="Y493" s="125">
        <v>0</v>
      </c>
      <c r="Z493" s="125">
        <v>0</v>
      </c>
      <c r="AA493" s="125">
        <v>28</v>
      </c>
      <c r="AB493" s="125">
        <v>52</v>
      </c>
      <c r="AC493" s="125">
        <v>540</v>
      </c>
      <c r="AD493" s="125">
        <v>0.2</v>
      </c>
      <c r="AE493" s="125">
        <v>110</v>
      </c>
      <c r="AF493" s="125">
        <v>42.5</v>
      </c>
      <c r="AG493" s="125">
        <v>0</v>
      </c>
      <c r="AH493" s="125">
        <v>0</v>
      </c>
      <c r="AI493" s="121">
        <v>1317802</v>
      </c>
      <c r="AJ493" s="121">
        <v>0</v>
      </c>
      <c r="AK493" s="424">
        <v>12</v>
      </c>
      <c r="AL493">
        <v>0</v>
      </c>
      <c r="AM493" s="121">
        <v>96593</v>
      </c>
      <c r="AN493" s="125">
        <v>0</v>
      </c>
      <c r="AO493" s="125">
        <v>0</v>
      </c>
      <c r="AP493" s="121">
        <v>1317802</v>
      </c>
      <c r="AQ493" s="114">
        <v>0</v>
      </c>
      <c r="AR493" s="121">
        <v>84.464668489999994</v>
      </c>
      <c r="AS493" s="121">
        <v>16597.572596999998</v>
      </c>
      <c r="AT493" s="121">
        <v>2185.8928682999999</v>
      </c>
      <c r="AU493" s="420" t="s">
        <v>2001</v>
      </c>
      <c r="AV493" s="420" t="s">
        <v>2001</v>
      </c>
      <c r="AW493" s="121">
        <v>0</v>
      </c>
      <c r="AX493" s="121">
        <v>0</v>
      </c>
      <c r="BI493">
        <v>0</v>
      </c>
      <c r="BJ493" s="121">
        <v>0</v>
      </c>
      <c r="BK493" s="134">
        <v>126717373</v>
      </c>
      <c r="BL493" s="934">
        <v>4116</v>
      </c>
      <c r="BM493" s="934">
        <v>4291</v>
      </c>
      <c r="BN493" s="934">
        <v>4273</v>
      </c>
      <c r="BO493" s="114">
        <v>0</v>
      </c>
      <c r="BP493" s="114">
        <v>0</v>
      </c>
    </row>
    <row r="494" spans="1:68">
      <c r="A494" t="s">
        <v>211</v>
      </c>
      <c r="B494" t="s">
        <v>703</v>
      </c>
      <c r="C494" s="121">
        <v>4496</v>
      </c>
      <c r="D494" s="72">
        <v>3</v>
      </c>
      <c r="E494">
        <v>81.494</v>
      </c>
      <c r="F494">
        <v>29</v>
      </c>
      <c r="G494">
        <v>12</v>
      </c>
      <c r="H494">
        <v>4</v>
      </c>
      <c r="I494" s="173">
        <v>1.04</v>
      </c>
      <c r="J494" s="121">
        <v>40481273</v>
      </c>
      <c r="K494" s="125">
        <v>464.238</v>
      </c>
      <c r="L494" s="173">
        <v>1.29</v>
      </c>
      <c r="M494">
        <v>1.04</v>
      </c>
      <c r="N494">
        <v>0.86000000430000001</v>
      </c>
      <c r="O494">
        <v>17.999999570000004</v>
      </c>
      <c r="P494">
        <v>250.78800000000001</v>
      </c>
      <c r="Q494" s="125">
        <v>0</v>
      </c>
      <c r="R494" s="125">
        <v>0</v>
      </c>
      <c r="S494" s="125">
        <v>0.28999999999999998</v>
      </c>
      <c r="T494" s="125">
        <v>18.109000000000002</v>
      </c>
      <c r="U494" s="125">
        <v>0.53</v>
      </c>
      <c r="V494" s="125">
        <v>0.753</v>
      </c>
      <c r="W494" s="125">
        <v>3.2240000000000002</v>
      </c>
      <c r="X494" s="125">
        <v>0</v>
      </c>
      <c r="Y494" s="125">
        <v>0</v>
      </c>
      <c r="Z494" s="125">
        <v>0</v>
      </c>
      <c r="AA494" s="125">
        <v>2.746</v>
      </c>
      <c r="AB494" s="125">
        <v>12.744999999999999</v>
      </c>
      <c r="AC494" s="125">
        <v>172.5</v>
      </c>
      <c r="AD494" s="125">
        <v>0</v>
      </c>
      <c r="AE494" s="125">
        <v>18.331</v>
      </c>
      <c r="AF494" s="125">
        <v>12.539</v>
      </c>
      <c r="AG494" s="125">
        <v>0</v>
      </c>
      <c r="AH494" s="125">
        <v>0</v>
      </c>
      <c r="AI494" s="121">
        <v>358180</v>
      </c>
      <c r="AJ494" s="121">
        <v>0</v>
      </c>
      <c r="AK494" s="424">
        <v>12</v>
      </c>
      <c r="AL494">
        <v>0</v>
      </c>
      <c r="AM494" s="121">
        <v>44481</v>
      </c>
      <c r="AN494" s="125">
        <v>0</v>
      </c>
      <c r="AO494" s="125">
        <v>0</v>
      </c>
      <c r="AP494" s="121">
        <v>358180</v>
      </c>
      <c r="AQ494" s="114">
        <v>0</v>
      </c>
      <c r="AR494" s="121">
        <v>26.983176995000001</v>
      </c>
      <c r="AS494" s="121">
        <v>5302.2790130000003</v>
      </c>
      <c r="AT494" s="121">
        <v>698.30776834000005</v>
      </c>
      <c r="AU494" s="420" t="s">
        <v>2001</v>
      </c>
      <c r="AV494" s="420" t="s">
        <v>2001</v>
      </c>
      <c r="AW494" s="121">
        <v>0</v>
      </c>
      <c r="AX494" s="121">
        <v>0</v>
      </c>
      <c r="BI494">
        <v>0</v>
      </c>
      <c r="BJ494" s="121">
        <v>0</v>
      </c>
      <c r="BK494" s="134">
        <v>40481273</v>
      </c>
      <c r="BL494" s="934">
        <v>4399</v>
      </c>
      <c r="BM494" s="934">
        <v>4463</v>
      </c>
      <c r="BN494" s="934">
        <v>4496</v>
      </c>
      <c r="BO494" s="114">
        <v>0</v>
      </c>
      <c r="BP494" s="114">
        <v>0</v>
      </c>
    </row>
    <row r="495" spans="1:68">
      <c r="A495" t="s">
        <v>1688</v>
      </c>
      <c r="B495" t="s">
        <v>2216</v>
      </c>
      <c r="C495" s="121">
        <v>4357</v>
      </c>
      <c r="D495" s="72">
        <v>2</v>
      </c>
      <c r="E495">
        <v>73.241</v>
      </c>
      <c r="F495">
        <v>22</v>
      </c>
      <c r="G495">
        <v>17</v>
      </c>
      <c r="H495">
        <v>0</v>
      </c>
      <c r="I495" s="173">
        <v>1.04</v>
      </c>
      <c r="J495" s="121">
        <v>52287174</v>
      </c>
      <c r="K495" s="125">
        <v>358.86500000000001</v>
      </c>
      <c r="L495" s="173">
        <v>1.3562000000000001</v>
      </c>
      <c r="M495">
        <v>1.04</v>
      </c>
      <c r="N495">
        <v>0.90413333785400007</v>
      </c>
      <c r="O495">
        <v>13.586666214599996</v>
      </c>
      <c r="P495">
        <v>197.488</v>
      </c>
      <c r="Q495" s="125">
        <v>6.3E-2</v>
      </c>
      <c r="R495" s="125">
        <v>0</v>
      </c>
      <c r="S495" s="125">
        <v>0.107</v>
      </c>
      <c r="T495" s="125">
        <v>5.258</v>
      </c>
      <c r="U495" s="125">
        <v>0.55200000000000005</v>
      </c>
      <c r="V495" s="125">
        <v>0.11799999999999999</v>
      </c>
      <c r="W495" s="125">
        <v>0</v>
      </c>
      <c r="X495" s="125">
        <v>0</v>
      </c>
      <c r="Y495" s="125">
        <v>0</v>
      </c>
      <c r="Z495" s="125">
        <v>0</v>
      </c>
      <c r="AA495" s="125">
        <v>17.436</v>
      </c>
      <c r="AB495" s="125">
        <v>13.512</v>
      </c>
      <c r="AC495" s="125">
        <v>124.9</v>
      </c>
      <c r="AD495" s="125">
        <v>0</v>
      </c>
      <c r="AE495" s="125">
        <v>18.562999999999999</v>
      </c>
      <c r="AF495" s="125">
        <v>9.8740000000000006</v>
      </c>
      <c r="AG495" s="125">
        <v>0</v>
      </c>
      <c r="AH495" s="125">
        <v>0</v>
      </c>
      <c r="AI495" s="121">
        <v>521790</v>
      </c>
      <c r="AJ495" s="121">
        <v>82898</v>
      </c>
      <c r="AK495" s="424">
        <v>12</v>
      </c>
      <c r="AL495">
        <v>0</v>
      </c>
      <c r="AM495" s="121">
        <v>40157</v>
      </c>
      <c r="AN495" s="125">
        <v>0</v>
      </c>
      <c r="AO495" s="125">
        <v>0</v>
      </c>
      <c r="AP495" s="121">
        <v>604688</v>
      </c>
      <c r="AQ495" s="114">
        <v>0</v>
      </c>
      <c r="AR495" s="121">
        <v>34.852512705000002</v>
      </c>
      <c r="AS495" s="121">
        <v>6848.6281915</v>
      </c>
      <c r="AT495" s="121">
        <v>901.96126173000005</v>
      </c>
      <c r="AU495" s="420" t="s">
        <v>2001</v>
      </c>
      <c r="AV495" s="420" t="s">
        <v>2001</v>
      </c>
      <c r="AW495" s="121">
        <v>0</v>
      </c>
      <c r="AX495" s="121">
        <v>192953</v>
      </c>
      <c r="BI495">
        <v>0</v>
      </c>
      <c r="BJ495" s="121">
        <v>0</v>
      </c>
      <c r="BK495" s="134">
        <v>50297835</v>
      </c>
      <c r="BL495" s="934">
        <v>4243</v>
      </c>
      <c r="BM495" s="934">
        <v>4357</v>
      </c>
      <c r="BN495" s="934">
        <v>4254</v>
      </c>
      <c r="BO495" s="114">
        <v>0</v>
      </c>
      <c r="BP495" s="114">
        <v>0</v>
      </c>
    </row>
    <row r="496" spans="1:68">
      <c r="A496" t="s">
        <v>1601</v>
      </c>
      <c r="B496" t="s">
        <v>704</v>
      </c>
      <c r="C496" s="121">
        <v>4597</v>
      </c>
      <c r="D496" s="72">
        <v>1</v>
      </c>
      <c r="E496">
        <v>403.95800000000003</v>
      </c>
      <c r="F496">
        <v>123</v>
      </c>
      <c r="G496">
        <v>74</v>
      </c>
      <c r="H496">
        <v>10</v>
      </c>
      <c r="I496" s="173">
        <v>1.04</v>
      </c>
      <c r="J496" s="121">
        <v>325163500</v>
      </c>
      <c r="K496" s="125">
        <v>2013.9960000000001</v>
      </c>
      <c r="L496" s="173">
        <v>1.47</v>
      </c>
      <c r="M496">
        <v>1.04</v>
      </c>
      <c r="N496">
        <v>0.98000000490000005</v>
      </c>
      <c r="O496">
        <v>5.9999995099999985</v>
      </c>
      <c r="P496">
        <v>1346.7850000000001</v>
      </c>
      <c r="Q496" s="125">
        <v>0.156</v>
      </c>
      <c r="R496" s="125">
        <v>0</v>
      </c>
      <c r="S496" s="125">
        <v>0.90500000000000003</v>
      </c>
      <c r="T496" s="125">
        <v>48.768000000000001</v>
      </c>
      <c r="U496" s="125">
        <v>8.3309999999999995</v>
      </c>
      <c r="V496" s="125">
        <v>0</v>
      </c>
      <c r="W496" s="125">
        <v>3.032</v>
      </c>
      <c r="X496" s="125">
        <v>0</v>
      </c>
      <c r="Y496" s="125">
        <v>0</v>
      </c>
      <c r="Z496" s="125">
        <v>0</v>
      </c>
      <c r="AA496" s="125">
        <v>10.926</v>
      </c>
      <c r="AB496" s="125">
        <v>76.668000000000006</v>
      </c>
      <c r="AC496" s="125">
        <v>1319.7</v>
      </c>
      <c r="AD496" s="125">
        <v>0.94799999999999995</v>
      </c>
      <c r="AE496" s="125">
        <v>79.795000000000002</v>
      </c>
      <c r="AF496" s="125">
        <v>67.338999999999999</v>
      </c>
      <c r="AG496" s="125">
        <v>0</v>
      </c>
      <c r="AH496" s="125">
        <v>0</v>
      </c>
      <c r="AI496" s="121">
        <v>3515278</v>
      </c>
      <c r="AJ496" s="121">
        <v>471101</v>
      </c>
      <c r="AK496" s="424">
        <v>12</v>
      </c>
      <c r="AL496">
        <v>0</v>
      </c>
      <c r="AM496" s="121">
        <v>0</v>
      </c>
      <c r="AN496" s="125">
        <v>0</v>
      </c>
      <c r="AO496" s="125">
        <v>0</v>
      </c>
      <c r="AP496" s="121">
        <v>3986379</v>
      </c>
      <c r="AQ496" s="114">
        <v>0</v>
      </c>
      <c r="AR496" s="121">
        <v>216.74081921000001</v>
      </c>
      <c r="AS496" s="121">
        <v>42590.251592000001</v>
      </c>
      <c r="AT496" s="121">
        <v>5609.1170362000003</v>
      </c>
      <c r="AU496" s="420" t="s">
        <v>2001</v>
      </c>
      <c r="AV496" s="420" t="s">
        <v>2001</v>
      </c>
      <c r="AW496" s="121">
        <v>0</v>
      </c>
      <c r="AX496" s="121">
        <v>936412</v>
      </c>
      <c r="BI496">
        <v>0</v>
      </c>
      <c r="BJ496" s="121">
        <v>0</v>
      </c>
      <c r="BK496" s="134">
        <v>325163500</v>
      </c>
      <c r="BL496" s="934">
        <v>4597</v>
      </c>
      <c r="BM496" s="934">
        <v>4541</v>
      </c>
      <c r="BN496" s="934">
        <v>4583</v>
      </c>
      <c r="BO496" s="114">
        <v>0</v>
      </c>
      <c r="BP496" s="114">
        <v>0</v>
      </c>
    </row>
    <row r="497" spans="1:68">
      <c r="A497" t="s">
        <v>1432</v>
      </c>
      <c r="B497" t="s">
        <v>2480</v>
      </c>
      <c r="C497" s="121">
        <v>5041</v>
      </c>
      <c r="D497" s="72">
        <v>1</v>
      </c>
      <c r="E497">
        <v>150.327</v>
      </c>
      <c r="F497">
        <v>51</v>
      </c>
      <c r="G497">
        <v>41</v>
      </c>
      <c r="H497">
        <v>3</v>
      </c>
      <c r="I497" s="173">
        <v>1.04</v>
      </c>
      <c r="J497" s="121">
        <v>235820501</v>
      </c>
      <c r="K497" s="125">
        <v>782.125</v>
      </c>
      <c r="L497" s="173">
        <v>1.4</v>
      </c>
      <c r="M497">
        <v>1.04</v>
      </c>
      <c r="N497">
        <v>0.93333333799999996</v>
      </c>
      <c r="O497">
        <v>10.666666200000009</v>
      </c>
      <c r="P497">
        <v>450.661</v>
      </c>
      <c r="Q497" s="125">
        <v>0</v>
      </c>
      <c r="R497" s="125">
        <v>0</v>
      </c>
      <c r="S497" s="125">
        <v>0.76500000000000001</v>
      </c>
      <c r="T497" s="125">
        <v>23.768000000000001</v>
      </c>
      <c r="U497" s="125">
        <v>1.6919999999999999</v>
      </c>
      <c r="V497" s="125">
        <v>0</v>
      </c>
      <c r="W497" s="125">
        <v>0.52600000000000002</v>
      </c>
      <c r="X497" s="125">
        <v>0</v>
      </c>
      <c r="Y497" s="125">
        <v>0</v>
      </c>
      <c r="Z497" s="125">
        <v>0</v>
      </c>
      <c r="AA497" s="125">
        <v>5.2130000000000001</v>
      </c>
      <c r="AB497" s="125">
        <v>33.985999999999997</v>
      </c>
      <c r="AC497" s="125">
        <v>332.4</v>
      </c>
      <c r="AD497" s="125">
        <v>0</v>
      </c>
      <c r="AE497" s="125">
        <v>0</v>
      </c>
      <c r="AF497" s="125">
        <v>22.533000000000001</v>
      </c>
      <c r="AG497" s="125">
        <v>0</v>
      </c>
      <c r="AH497" s="125">
        <v>0</v>
      </c>
      <c r="AI497" s="121">
        <v>2575160</v>
      </c>
      <c r="AJ497" s="121">
        <v>386731</v>
      </c>
      <c r="AK497" s="424">
        <v>12</v>
      </c>
      <c r="AL497">
        <v>0</v>
      </c>
      <c r="AM497" s="121">
        <v>58643</v>
      </c>
      <c r="AN497" s="125">
        <v>0</v>
      </c>
      <c r="AO497" s="125">
        <v>0</v>
      </c>
      <c r="AP497" s="121">
        <v>2961891</v>
      </c>
      <c r="AQ497" s="114">
        <v>0</v>
      </c>
      <c r="AR497" s="121">
        <v>157.18839467999999</v>
      </c>
      <c r="AS497" s="121">
        <v>30888.013163</v>
      </c>
      <c r="AT497" s="121">
        <v>4067.9374825999998</v>
      </c>
      <c r="AU497" s="420" t="s">
        <v>2001</v>
      </c>
      <c r="AV497" s="420" t="s">
        <v>2001</v>
      </c>
      <c r="AW497" s="121">
        <v>0</v>
      </c>
      <c r="AX497" s="121">
        <v>295176</v>
      </c>
      <c r="BI497">
        <v>0</v>
      </c>
      <c r="BJ497" s="121">
        <v>0</v>
      </c>
      <c r="BK497" s="134">
        <v>235820501</v>
      </c>
      <c r="BL497" s="934">
        <v>5041</v>
      </c>
      <c r="BM497" s="934">
        <v>4693</v>
      </c>
      <c r="BN497" s="934">
        <v>4968</v>
      </c>
      <c r="BO497" s="114">
        <v>0</v>
      </c>
      <c r="BP497" s="114">
        <v>0</v>
      </c>
    </row>
    <row r="498" spans="1:68">
      <c r="A498" t="s">
        <v>1104</v>
      </c>
      <c r="B498" t="s">
        <v>2880</v>
      </c>
      <c r="C498" s="121">
        <v>4819</v>
      </c>
      <c r="D498" s="72">
        <v>3</v>
      </c>
      <c r="E498">
        <v>176.28800000000001</v>
      </c>
      <c r="F498">
        <v>49</v>
      </c>
      <c r="G498">
        <v>34</v>
      </c>
      <c r="H498">
        <v>1</v>
      </c>
      <c r="I498" s="173">
        <v>1.04</v>
      </c>
      <c r="J498" s="121">
        <v>185420616</v>
      </c>
      <c r="K498" s="125">
        <v>941.29100000000005</v>
      </c>
      <c r="L498" s="173">
        <v>1.415</v>
      </c>
      <c r="M498">
        <v>1.04</v>
      </c>
      <c r="N498">
        <v>0.94333333805000008</v>
      </c>
      <c r="O498">
        <v>9.6666661949999959</v>
      </c>
      <c r="P498">
        <v>523.24099999999999</v>
      </c>
      <c r="Q498" s="125">
        <v>0</v>
      </c>
      <c r="R498" s="125">
        <v>0</v>
      </c>
      <c r="S498" s="125">
        <v>0.71099999999999997</v>
      </c>
      <c r="T498" s="125">
        <v>13.066000000000001</v>
      </c>
      <c r="U498" s="125">
        <v>4.0380000000000003</v>
      </c>
      <c r="V498" s="125">
        <v>0</v>
      </c>
      <c r="W498" s="125">
        <v>0.879</v>
      </c>
      <c r="X498" s="125">
        <v>0</v>
      </c>
      <c r="Y498" s="125">
        <v>0</v>
      </c>
      <c r="Z498" s="125">
        <v>0</v>
      </c>
      <c r="AA498" s="125">
        <v>8.1780000000000008</v>
      </c>
      <c r="AB498" s="125">
        <v>44.070999999999998</v>
      </c>
      <c r="AC498" s="125">
        <v>240.1</v>
      </c>
      <c r="AD498" s="125">
        <v>2.4E-2</v>
      </c>
      <c r="AE498" s="125">
        <v>5.4770000000000003</v>
      </c>
      <c r="AF498" s="125">
        <v>26.161999999999999</v>
      </c>
      <c r="AG498" s="125">
        <v>0</v>
      </c>
      <c r="AH498" s="125">
        <v>0</v>
      </c>
      <c r="AI498" s="121">
        <v>1949357</v>
      </c>
      <c r="AJ498" s="121">
        <v>0</v>
      </c>
      <c r="AK498" s="424">
        <v>12</v>
      </c>
      <c r="AL498">
        <v>0</v>
      </c>
      <c r="AM498" s="121">
        <v>104545</v>
      </c>
      <c r="AN498" s="125">
        <v>0</v>
      </c>
      <c r="AO498" s="125">
        <v>0</v>
      </c>
      <c r="AP498" s="121">
        <v>1949357</v>
      </c>
      <c r="AQ498" s="114">
        <v>0</v>
      </c>
      <c r="AR498" s="121">
        <v>123.59387292</v>
      </c>
      <c r="AS498" s="121">
        <v>24286.584142</v>
      </c>
      <c r="AT498" s="121">
        <v>3198.5322408000002</v>
      </c>
      <c r="AU498" s="420" t="s">
        <v>2001</v>
      </c>
      <c r="AV498" s="420" t="s">
        <v>2001</v>
      </c>
      <c r="AW498" s="121">
        <v>0</v>
      </c>
      <c r="AX498" s="121">
        <v>0</v>
      </c>
      <c r="BI498">
        <v>0</v>
      </c>
      <c r="BJ498" s="121">
        <v>0</v>
      </c>
      <c r="BK498" s="134">
        <v>182155658</v>
      </c>
      <c r="BL498" s="934">
        <v>4586</v>
      </c>
      <c r="BM498" s="934">
        <v>4784</v>
      </c>
      <c r="BN498" s="934">
        <v>4819</v>
      </c>
      <c r="BO498" s="114">
        <v>0</v>
      </c>
      <c r="BP498" s="114">
        <v>0</v>
      </c>
    </row>
    <row r="499" spans="1:68">
      <c r="A499" t="s">
        <v>1105</v>
      </c>
      <c r="B499" t="s">
        <v>1767</v>
      </c>
      <c r="C499" s="121">
        <v>4737</v>
      </c>
      <c r="D499" s="72">
        <v>3</v>
      </c>
      <c r="E499">
        <v>123.682</v>
      </c>
      <c r="F499">
        <v>42</v>
      </c>
      <c r="G499">
        <v>30</v>
      </c>
      <c r="H499">
        <v>0</v>
      </c>
      <c r="I499" s="173">
        <v>1.04</v>
      </c>
      <c r="J499" s="121">
        <v>117910397</v>
      </c>
      <c r="K499" s="125">
        <v>718.78300000000002</v>
      </c>
      <c r="L499" s="173">
        <v>1.4703999999999999</v>
      </c>
      <c r="M499">
        <v>1.04</v>
      </c>
      <c r="N499">
        <v>0.98026667156799996</v>
      </c>
      <c r="O499">
        <v>5.9733328432000077</v>
      </c>
      <c r="P499">
        <v>435</v>
      </c>
      <c r="Q499" s="125">
        <v>0</v>
      </c>
      <c r="R499" s="125">
        <v>0</v>
      </c>
      <c r="S499" s="125">
        <v>0.69299999999999995</v>
      </c>
      <c r="T499" s="125">
        <v>16.611000000000001</v>
      </c>
      <c r="U499" s="125">
        <v>5.6289999999999996</v>
      </c>
      <c r="V499" s="125">
        <v>0</v>
      </c>
      <c r="W499" s="125">
        <v>0</v>
      </c>
      <c r="X499" s="125">
        <v>0</v>
      </c>
      <c r="Y499" s="125">
        <v>0</v>
      </c>
      <c r="Z499" s="125">
        <v>0</v>
      </c>
      <c r="AA499" s="125">
        <v>7.5</v>
      </c>
      <c r="AB499" s="125">
        <v>27.75</v>
      </c>
      <c r="AC499" s="125">
        <v>205.1</v>
      </c>
      <c r="AD499" s="125">
        <v>0</v>
      </c>
      <c r="AE499" s="125">
        <v>19.010999999999999</v>
      </c>
      <c r="AF499" s="125">
        <v>19</v>
      </c>
      <c r="AG499" s="125">
        <v>0</v>
      </c>
      <c r="AH499" s="125">
        <v>0</v>
      </c>
      <c r="AI499" s="121">
        <v>1287582</v>
      </c>
      <c r="AJ499" s="121">
        <v>142698</v>
      </c>
      <c r="AK499" s="424">
        <v>12</v>
      </c>
      <c r="AL499">
        <v>0</v>
      </c>
      <c r="AM499" s="121">
        <v>37934</v>
      </c>
      <c r="AN499" s="125">
        <v>0</v>
      </c>
      <c r="AO499" s="125">
        <v>0</v>
      </c>
      <c r="AP499" s="121">
        <v>1430280</v>
      </c>
      <c r="AQ499" s="114">
        <v>0</v>
      </c>
      <c r="AR499" s="121">
        <v>78.594294990999998</v>
      </c>
      <c r="AS499" s="121">
        <v>15444.02577</v>
      </c>
      <c r="AT499" s="121">
        <v>2033.9712685</v>
      </c>
      <c r="AU499" s="420" t="s">
        <v>2001</v>
      </c>
      <c r="AV499" s="420" t="s">
        <v>2001</v>
      </c>
      <c r="AW499" s="121">
        <v>0</v>
      </c>
      <c r="AX499" s="121">
        <v>262706</v>
      </c>
      <c r="BI499">
        <v>0</v>
      </c>
      <c r="BJ499" s="121">
        <v>0</v>
      </c>
      <c r="BK499" s="134">
        <v>117910397</v>
      </c>
      <c r="BL499" s="934">
        <v>4500</v>
      </c>
      <c r="BM499" s="934">
        <v>4691</v>
      </c>
      <c r="BN499" s="934">
        <v>4737</v>
      </c>
      <c r="BO499" s="114">
        <v>0</v>
      </c>
      <c r="BP499" s="114">
        <v>0</v>
      </c>
    </row>
    <row r="500" spans="1:68">
      <c r="A500" t="s">
        <v>1011</v>
      </c>
      <c r="B500" t="s">
        <v>1768</v>
      </c>
      <c r="C500" s="121">
        <v>5400</v>
      </c>
      <c r="D500" s="72">
        <v>2</v>
      </c>
      <c r="E500">
        <v>79.852000000000004</v>
      </c>
      <c r="F500">
        <v>41</v>
      </c>
      <c r="G500">
        <v>20</v>
      </c>
      <c r="H500">
        <v>4</v>
      </c>
      <c r="I500" s="173">
        <v>1.04</v>
      </c>
      <c r="J500" s="121">
        <v>155862282</v>
      </c>
      <c r="K500" s="125">
        <v>659.678</v>
      </c>
      <c r="L500" s="173">
        <v>1.35</v>
      </c>
      <c r="M500">
        <v>1.04</v>
      </c>
      <c r="N500">
        <v>0.90000000450000006</v>
      </c>
      <c r="O500">
        <v>13.999999549999998</v>
      </c>
      <c r="P500">
        <v>325.01900000000001</v>
      </c>
      <c r="Q500" s="125">
        <v>2.5000000000000001E-2</v>
      </c>
      <c r="R500" s="125">
        <v>0</v>
      </c>
      <c r="S500" s="125">
        <v>0.69699999999999995</v>
      </c>
      <c r="T500" s="125">
        <v>11.973000000000001</v>
      </c>
      <c r="U500" s="125">
        <v>2.3460000000000001</v>
      </c>
      <c r="V500" s="125">
        <v>0</v>
      </c>
      <c r="W500" s="125">
        <v>0.29699999999999999</v>
      </c>
      <c r="X500" s="125">
        <v>0</v>
      </c>
      <c r="Y500" s="125">
        <v>0</v>
      </c>
      <c r="Z500" s="125">
        <v>0</v>
      </c>
      <c r="AA500" s="125">
        <v>5.875</v>
      </c>
      <c r="AB500" s="125">
        <v>15.78</v>
      </c>
      <c r="AC500" s="125">
        <v>266.39999999999998</v>
      </c>
      <c r="AD500" s="125">
        <v>0</v>
      </c>
      <c r="AE500" s="125">
        <v>1.2649999999999999</v>
      </c>
      <c r="AF500" s="125">
        <v>16.25095</v>
      </c>
      <c r="AG500" s="125">
        <v>0</v>
      </c>
      <c r="AH500" s="125">
        <v>0</v>
      </c>
      <c r="AI500" s="121">
        <v>1534916</v>
      </c>
      <c r="AJ500" s="121">
        <v>53765</v>
      </c>
      <c r="AK500" s="424">
        <v>12</v>
      </c>
      <c r="AL500">
        <v>0</v>
      </c>
      <c r="AM500" s="121">
        <v>66599</v>
      </c>
      <c r="AN500" s="125">
        <v>0</v>
      </c>
      <c r="AO500" s="125">
        <v>0</v>
      </c>
      <c r="AP500" s="121">
        <v>1588681</v>
      </c>
      <c r="AQ500" s="114">
        <v>0</v>
      </c>
      <c r="AR500" s="121">
        <v>103.89148471999999</v>
      </c>
      <c r="AS500" s="121">
        <v>20415.002990000001</v>
      </c>
      <c r="AT500" s="121">
        <v>2688.6467392999998</v>
      </c>
      <c r="AU500" s="420" t="s">
        <v>2001</v>
      </c>
      <c r="AV500" s="420" t="s">
        <v>2001</v>
      </c>
      <c r="AW500" s="121">
        <v>0</v>
      </c>
      <c r="AX500" s="121">
        <v>20950</v>
      </c>
      <c r="BI500">
        <v>0</v>
      </c>
      <c r="BJ500" s="121">
        <v>0</v>
      </c>
      <c r="BK500" s="134">
        <v>147957954</v>
      </c>
      <c r="BL500" s="934">
        <v>4431</v>
      </c>
      <c r="BM500" s="934">
        <v>5400</v>
      </c>
      <c r="BN500" s="934">
        <v>4552</v>
      </c>
      <c r="BO500" s="114">
        <v>0</v>
      </c>
      <c r="BP500" s="114">
        <v>0</v>
      </c>
    </row>
    <row r="501" spans="1:68">
      <c r="A501" t="s">
        <v>2036</v>
      </c>
      <c r="B501" t="s">
        <v>1769</v>
      </c>
      <c r="C501" s="121">
        <v>4752</v>
      </c>
      <c r="D501" s="72">
        <v>2</v>
      </c>
      <c r="E501">
        <v>971.41600000000005</v>
      </c>
      <c r="F501">
        <v>284</v>
      </c>
      <c r="G501">
        <v>231</v>
      </c>
      <c r="H501">
        <v>50</v>
      </c>
      <c r="I501" s="173">
        <v>1.04</v>
      </c>
      <c r="J501" s="121">
        <v>1104545202</v>
      </c>
      <c r="K501" s="125">
        <v>4733.5730000000003</v>
      </c>
      <c r="L501" s="173">
        <v>1.5</v>
      </c>
      <c r="M501">
        <v>1.04</v>
      </c>
      <c r="N501">
        <v>1.000000005</v>
      </c>
      <c r="O501">
        <v>3.9999995000000066</v>
      </c>
      <c r="P501">
        <v>3433.0859999999998</v>
      </c>
      <c r="Q501" s="125">
        <v>0.39100000000000001</v>
      </c>
      <c r="R501" s="125">
        <v>0</v>
      </c>
      <c r="S501" s="125">
        <v>7.0309999999999997</v>
      </c>
      <c r="T501" s="125">
        <v>96.099000000000004</v>
      </c>
      <c r="U501" s="125">
        <v>27.738</v>
      </c>
      <c r="V501" s="125">
        <v>0</v>
      </c>
      <c r="W501" s="125">
        <v>5.6440000000000001</v>
      </c>
      <c r="X501" s="125">
        <v>0</v>
      </c>
      <c r="Y501" s="125">
        <v>0</v>
      </c>
      <c r="Z501" s="125">
        <v>0.14199999999999999</v>
      </c>
      <c r="AA501" s="125">
        <v>51.34</v>
      </c>
      <c r="AB501" s="125">
        <v>149.63200000000001</v>
      </c>
      <c r="AC501" s="125">
        <v>2692.9</v>
      </c>
      <c r="AD501" s="125">
        <v>2.4929999999999999</v>
      </c>
      <c r="AE501" s="125">
        <v>63.185000000000002</v>
      </c>
      <c r="AF501" s="125">
        <v>171.654</v>
      </c>
      <c r="AG501" s="125">
        <v>0</v>
      </c>
      <c r="AH501" s="125">
        <v>0</v>
      </c>
      <c r="AI501" s="121">
        <v>11941017</v>
      </c>
      <c r="AJ501" s="121">
        <v>457762</v>
      </c>
      <c r="AK501" s="424">
        <v>12</v>
      </c>
      <c r="AL501">
        <v>0</v>
      </c>
      <c r="AM501" s="121">
        <v>207351</v>
      </c>
      <c r="AN501" s="125">
        <v>1</v>
      </c>
      <c r="AO501" s="125">
        <v>0</v>
      </c>
      <c r="AP501" s="121">
        <v>12398779</v>
      </c>
      <c r="AQ501" s="114">
        <v>0</v>
      </c>
      <c r="AR501" s="121">
        <v>736.24509496999997</v>
      </c>
      <c r="AS501" s="121">
        <v>144674.47313999999</v>
      </c>
      <c r="AT501" s="121">
        <v>19053.563236999998</v>
      </c>
      <c r="AU501" s="420" t="s">
        <v>2001</v>
      </c>
      <c r="AV501" s="420" t="s">
        <v>2001</v>
      </c>
      <c r="AW501" s="121">
        <v>0</v>
      </c>
      <c r="AX501" s="121">
        <v>883202</v>
      </c>
      <c r="BI501">
        <v>0</v>
      </c>
      <c r="BJ501" s="121">
        <v>0</v>
      </c>
      <c r="BK501" s="134">
        <v>1104545202</v>
      </c>
      <c r="BL501" s="934">
        <v>4350</v>
      </c>
      <c r="BM501" s="934">
        <v>4752</v>
      </c>
      <c r="BN501" s="934">
        <v>4396</v>
      </c>
      <c r="BO501" s="114">
        <v>0</v>
      </c>
      <c r="BP501" s="114">
        <v>0</v>
      </c>
    </row>
    <row r="502" spans="1:68">
      <c r="A502" t="s">
        <v>3076</v>
      </c>
      <c r="B502" t="s">
        <v>1770</v>
      </c>
      <c r="C502" s="121">
        <v>4899</v>
      </c>
      <c r="D502" s="72">
        <v>2</v>
      </c>
      <c r="E502">
        <v>233.703</v>
      </c>
      <c r="F502">
        <v>68</v>
      </c>
      <c r="G502">
        <v>44</v>
      </c>
      <c r="H502">
        <v>5</v>
      </c>
      <c r="I502" s="173">
        <v>1.04</v>
      </c>
      <c r="J502" s="121">
        <v>306630251</v>
      </c>
      <c r="K502" s="125">
        <v>1201.2639999999999</v>
      </c>
      <c r="L502" s="173">
        <v>1.5</v>
      </c>
      <c r="M502">
        <v>1.04</v>
      </c>
      <c r="N502">
        <v>1.000000005</v>
      </c>
      <c r="O502">
        <v>3.9999995000000066</v>
      </c>
      <c r="P502">
        <v>669.43200000000002</v>
      </c>
      <c r="Q502" s="125">
        <v>0.113</v>
      </c>
      <c r="R502" s="125">
        <v>0</v>
      </c>
      <c r="S502" s="125">
        <v>1.2270000000000001</v>
      </c>
      <c r="T502" s="125">
        <v>12.387</v>
      </c>
      <c r="U502" s="125">
        <v>1.7</v>
      </c>
      <c r="V502" s="125">
        <v>1.4179999999999999</v>
      </c>
      <c r="W502" s="125">
        <v>1.2929999999999999</v>
      </c>
      <c r="X502" s="125">
        <v>0</v>
      </c>
      <c r="Y502" s="125">
        <v>0</v>
      </c>
      <c r="Z502" s="125">
        <v>0</v>
      </c>
      <c r="AA502" s="125">
        <v>38.917999999999999</v>
      </c>
      <c r="AB502" s="125">
        <v>41.01</v>
      </c>
      <c r="AC502" s="125">
        <v>381.1</v>
      </c>
      <c r="AD502" s="125">
        <v>0</v>
      </c>
      <c r="AE502" s="125">
        <v>11.973000000000001</v>
      </c>
      <c r="AF502" s="125">
        <v>33.471600000000002</v>
      </c>
      <c r="AG502" s="125">
        <v>0</v>
      </c>
      <c r="AH502" s="125">
        <v>0</v>
      </c>
      <c r="AI502" s="121">
        <v>3281434</v>
      </c>
      <c r="AJ502" s="121">
        <v>0</v>
      </c>
      <c r="AK502" s="424">
        <v>12</v>
      </c>
      <c r="AL502">
        <v>0</v>
      </c>
      <c r="AM502" s="121">
        <v>98391</v>
      </c>
      <c r="AN502" s="125">
        <v>0</v>
      </c>
      <c r="AO502" s="125">
        <v>0</v>
      </c>
      <c r="AP502" s="121">
        <v>3281434</v>
      </c>
      <c r="AQ502" s="114">
        <v>0</v>
      </c>
      <c r="AR502" s="121">
        <v>204.38730606999999</v>
      </c>
      <c r="AS502" s="121">
        <v>40162.747466000001</v>
      </c>
      <c r="AT502" s="121">
        <v>5289.4158313999997</v>
      </c>
      <c r="AU502" s="420" t="s">
        <v>2001</v>
      </c>
      <c r="AV502" s="420" t="s">
        <v>2001</v>
      </c>
      <c r="AW502" s="121">
        <v>0</v>
      </c>
      <c r="AX502" s="121">
        <v>646000</v>
      </c>
      <c r="BI502">
        <v>0</v>
      </c>
      <c r="BJ502" s="121">
        <v>0</v>
      </c>
      <c r="BK502" s="134">
        <v>306630251</v>
      </c>
      <c r="BL502" s="934">
        <v>4589</v>
      </c>
      <c r="BM502" s="934">
        <v>4899</v>
      </c>
      <c r="BN502" s="934">
        <v>4666</v>
      </c>
      <c r="BO502" s="114">
        <v>0</v>
      </c>
      <c r="BP502" s="114">
        <v>0</v>
      </c>
    </row>
    <row r="503" spans="1:68">
      <c r="A503" t="s">
        <v>3077</v>
      </c>
      <c r="B503" t="s">
        <v>1771</v>
      </c>
      <c r="C503" s="121">
        <v>5812</v>
      </c>
      <c r="D503" s="72">
        <v>2</v>
      </c>
      <c r="E503">
        <v>187.476</v>
      </c>
      <c r="F503">
        <v>52</v>
      </c>
      <c r="G503">
        <v>36</v>
      </c>
      <c r="H503">
        <v>1</v>
      </c>
      <c r="I503" s="173">
        <v>1.04</v>
      </c>
      <c r="J503" s="121">
        <v>395798180</v>
      </c>
      <c r="K503" s="125">
        <v>987.22</v>
      </c>
      <c r="L503" s="173">
        <v>1.5</v>
      </c>
      <c r="M503">
        <v>1.04</v>
      </c>
      <c r="N503">
        <v>1.000000005</v>
      </c>
      <c r="O503">
        <v>3.9999995000000066</v>
      </c>
      <c r="P503">
        <v>662.03800000000001</v>
      </c>
      <c r="Q503" s="125">
        <v>0.151</v>
      </c>
      <c r="R503" s="125">
        <v>0</v>
      </c>
      <c r="S503" s="125">
        <v>1.097</v>
      </c>
      <c r="T503" s="125">
        <v>7.7960000000000003</v>
      </c>
      <c r="U503" s="125">
        <v>0.46300000000000002</v>
      </c>
      <c r="V503" s="125">
        <v>2.3639999999999999</v>
      </c>
      <c r="W503" s="125">
        <v>0</v>
      </c>
      <c r="X503" s="125">
        <v>0</v>
      </c>
      <c r="Y503" s="125">
        <v>0</v>
      </c>
      <c r="Z503" s="125">
        <v>0</v>
      </c>
      <c r="AA503" s="125">
        <v>23.812999999999999</v>
      </c>
      <c r="AB503" s="125">
        <v>29.968</v>
      </c>
      <c r="AC503" s="125">
        <v>238</v>
      </c>
      <c r="AD503" s="125">
        <v>7.2999999999999995E-2</v>
      </c>
      <c r="AE503" s="125">
        <v>4.1790000000000003</v>
      </c>
      <c r="AF503" s="125">
        <v>33.100999999999999</v>
      </c>
      <c r="AG503" s="125">
        <v>0</v>
      </c>
      <c r="AH503" s="125">
        <v>0</v>
      </c>
      <c r="AI503" s="121">
        <v>4235674</v>
      </c>
      <c r="AJ503" s="121">
        <v>442075</v>
      </c>
      <c r="AK503" s="424">
        <v>12</v>
      </c>
      <c r="AL503">
        <v>0</v>
      </c>
      <c r="AM503" s="121">
        <v>82698</v>
      </c>
      <c r="AN503" s="125">
        <v>0</v>
      </c>
      <c r="AO503" s="125">
        <v>0</v>
      </c>
      <c r="AP503" s="121">
        <v>4677749</v>
      </c>
      <c r="AQ503" s="114">
        <v>0</v>
      </c>
      <c r="AR503" s="121">
        <v>0</v>
      </c>
      <c r="AS503" s="121">
        <v>0</v>
      </c>
      <c r="AT503" s="121">
        <v>0</v>
      </c>
      <c r="AU503" s="420" t="s">
        <v>798</v>
      </c>
      <c r="AV503" s="420" t="s">
        <v>2001</v>
      </c>
      <c r="AW503" s="121">
        <v>0</v>
      </c>
      <c r="AX503" s="121">
        <v>447960</v>
      </c>
      <c r="AY503" s="134">
        <v>794800</v>
      </c>
      <c r="AZ503" s="134">
        <v>1980716</v>
      </c>
      <c r="BA503" s="114">
        <v>698</v>
      </c>
      <c r="BB503" s="134">
        <v>340360555</v>
      </c>
      <c r="BC503" s="114">
        <v>0</v>
      </c>
      <c r="BD503" s="114">
        <v>0</v>
      </c>
      <c r="BE503" s="114">
        <v>0</v>
      </c>
      <c r="BF503" s="114">
        <v>682</v>
      </c>
      <c r="BG503" s="114">
        <v>0</v>
      </c>
      <c r="BH503" s="114">
        <v>0</v>
      </c>
      <c r="BI503">
        <v>0</v>
      </c>
      <c r="BJ503" s="121">
        <v>0</v>
      </c>
      <c r="BK503" s="134">
        <v>395798180</v>
      </c>
      <c r="BL503" s="934">
        <v>5089</v>
      </c>
      <c r="BM503" s="934">
        <v>5812</v>
      </c>
      <c r="BN503" s="934">
        <v>5129</v>
      </c>
      <c r="BO503" s="114">
        <v>0</v>
      </c>
      <c r="BP503" s="114">
        <v>0</v>
      </c>
    </row>
    <row r="504" spans="1:68">
      <c r="A504" t="s">
        <v>1507</v>
      </c>
      <c r="B504" t="s">
        <v>1772</v>
      </c>
      <c r="C504" s="121">
        <v>4455</v>
      </c>
      <c r="D504" s="72">
        <v>3</v>
      </c>
      <c r="E504">
        <v>119.64400000000001</v>
      </c>
      <c r="F504">
        <v>43</v>
      </c>
      <c r="G504">
        <v>37</v>
      </c>
      <c r="H504">
        <v>1</v>
      </c>
      <c r="I504" s="173">
        <v>0.9</v>
      </c>
      <c r="J504" s="121">
        <v>142447766</v>
      </c>
      <c r="K504" s="125">
        <v>1040.57</v>
      </c>
      <c r="L504" s="173">
        <v>1.2</v>
      </c>
      <c r="M504">
        <v>0.9</v>
      </c>
      <c r="N504">
        <v>0.80000000400000004</v>
      </c>
      <c r="O504">
        <v>9.9999995999999989</v>
      </c>
      <c r="P504">
        <v>522.14</v>
      </c>
      <c r="Q504" s="125">
        <v>0.14699999999999999</v>
      </c>
      <c r="R504" s="125">
        <v>0</v>
      </c>
      <c r="S504" s="125">
        <v>0.63500000000000001</v>
      </c>
      <c r="T504" s="125">
        <v>11.617000000000001</v>
      </c>
      <c r="U504" s="125">
        <v>2.1579999999999999</v>
      </c>
      <c r="V504" s="125">
        <v>0</v>
      </c>
      <c r="W504" s="125">
        <v>0</v>
      </c>
      <c r="X504" s="125">
        <v>0</v>
      </c>
      <c r="Y504" s="125">
        <v>0</v>
      </c>
      <c r="Z504" s="125">
        <v>0</v>
      </c>
      <c r="AA504" s="125">
        <v>1.159</v>
      </c>
      <c r="AB504" s="125">
        <v>14.026</v>
      </c>
      <c r="AC504" s="125">
        <v>516.9</v>
      </c>
      <c r="AD504" s="125">
        <v>0.13300000000000001</v>
      </c>
      <c r="AE504" s="125">
        <v>284.75700000000001</v>
      </c>
      <c r="AF504" s="125">
        <v>26.106999999999999</v>
      </c>
      <c r="AG504" s="125">
        <v>0</v>
      </c>
      <c r="AH504" s="125">
        <v>0</v>
      </c>
      <c r="AI504" s="121">
        <v>1224980</v>
      </c>
      <c r="AJ504" s="121">
        <v>81099</v>
      </c>
      <c r="AK504" s="424">
        <v>12</v>
      </c>
      <c r="AL504">
        <v>0</v>
      </c>
      <c r="AM504" s="121">
        <v>115747</v>
      </c>
      <c r="AN504" s="125">
        <v>0</v>
      </c>
      <c r="AO504" s="125">
        <v>0</v>
      </c>
      <c r="AP504" s="121">
        <v>1306079</v>
      </c>
      <c r="AQ504" s="114">
        <v>0</v>
      </c>
      <c r="AR504" s="121">
        <v>94.949911345000004</v>
      </c>
      <c r="AS504" s="121">
        <v>18657.955743999999</v>
      </c>
      <c r="AT504" s="121">
        <v>2457.2444048000002</v>
      </c>
      <c r="AU504" s="420" t="s">
        <v>2001</v>
      </c>
      <c r="AV504" s="420" t="s">
        <v>2001</v>
      </c>
      <c r="AW504" s="121">
        <v>0</v>
      </c>
      <c r="AX504" s="121">
        <v>125820</v>
      </c>
      <c r="BI504">
        <v>0</v>
      </c>
      <c r="BJ504" s="121">
        <v>5</v>
      </c>
      <c r="BK504" s="134">
        <v>142447766</v>
      </c>
      <c r="BL504" s="934">
        <v>4357</v>
      </c>
      <c r="BM504" s="934">
        <v>4308</v>
      </c>
      <c r="BN504" s="934">
        <v>4455</v>
      </c>
      <c r="BO504" s="114">
        <v>0</v>
      </c>
      <c r="BP504" s="114">
        <v>0</v>
      </c>
    </row>
    <row r="505" spans="1:68">
      <c r="A505" t="s">
        <v>2492</v>
      </c>
      <c r="B505" t="s">
        <v>1773</v>
      </c>
      <c r="C505" s="121">
        <v>4654</v>
      </c>
      <c r="D505" s="72">
        <v>2</v>
      </c>
      <c r="E505">
        <v>44.982999999999997</v>
      </c>
      <c r="F505">
        <v>16</v>
      </c>
      <c r="G505">
        <v>13</v>
      </c>
      <c r="H505">
        <v>0</v>
      </c>
      <c r="I505" s="173">
        <v>1.04</v>
      </c>
      <c r="J505" s="121">
        <v>64219710</v>
      </c>
      <c r="K505" s="125">
        <v>347.35899999999998</v>
      </c>
      <c r="L505" s="173">
        <v>1.5</v>
      </c>
      <c r="M505">
        <v>1.04</v>
      </c>
      <c r="N505">
        <v>1.000000005</v>
      </c>
      <c r="O505">
        <v>3.9999995000000066</v>
      </c>
      <c r="P505">
        <v>157.96600000000001</v>
      </c>
      <c r="Q505" s="125">
        <v>0</v>
      </c>
      <c r="R505" s="125">
        <v>0</v>
      </c>
      <c r="S505" s="125">
        <v>0.45</v>
      </c>
      <c r="T505" s="125">
        <v>0</v>
      </c>
      <c r="U505" s="125">
        <v>0.09</v>
      </c>
      <c r="V505" s="125">
        <v>0</v>
      </c>
      <c r="W505" s="125">
        <v>0.94599999999999995</v>
      </c>
      <c r="X505" s="125">
        <v>0</v>
      </c>
      <c r="Y505" s="125">
        <v>0</v>
      </c>
      <c r="Z505" s="125">
        <v>0</v>
      </c>
      <c r="AA505" s="125">
        <v>17.943999999999999</v>
      </c>
      <c r="AB505" s="125">
        <v>1.56</v>
      </c>
      <c r="AC505" s="125">
        <v>146.69999999999999</v>
      </c>
      <c r="AD505" s="125">
        <v>0</v>
      </c>
      <c r="AE505" s="125">
        <v>8.4589999999999996</v>
      </c>
      <c r="AF505" s="125">
        <v>7.8979999999999997</v>
      </c>
      <c r="AG505" s="125">
        <v>0</v>
      </c>
      <c r="AH505" s="125">
        <v>0</v>
      </c>
      <c r="AI505" s="121">
        <v>701279</v>
      </c>
      <c r="AJ505" s="121">
        <v>0</v>
      </c>
      <c r="AK505" s="424">
        <v>12</v>
      </c>
      <c r="AL505">
        <v>0</v>
      </c>
      <c r="AM505" s="121">
        <v>0</v>
      </c>
      <c r="AN505" s="125">
        <v>0</v>
      </c>
      <c r="AO505" s="125">
        <v>0</v>
      </c>
      <c r="AP505" s="121">
        <v>701279</v>
      </c>
      <c r="AQ505" s="114">
        <v>0</v>
      </c>
      <c r="AR505" s="121">
        <v>42.806257635999998</v>
      </c>
      <c r="AS505" s="121">
        <v>8411.5640471999995</v>
      </c>
      <c r="AT505" s="121">
        <v>1107.7992131000001</v>
      </c>
      <c r="AU505" s="420" t="s">
        <v>2001</v>
      </c>
      <c r="AV505" s="420" t="s">
        <v>2001</v>
      </c>
      <c r="AW505" s="121">
        <v>0</v>
      </c>
      <c r="AX505" s="121">
        <v>0</v>
      </c>
      <c r="BI505">
        <v>0</v>
      </c>
      <c r="BJ505" s="121">
        <v>0</v>
      </c>
      <c r="BK505" s="134">
        <v>64219710</v>
      </c>
      <c r="BL505" s="934">
        <v>4596</v>
      </c>
      <c r="BM505" s="934">
        <v>4654</v>
      </c>
      <c r="BN505" s="934">
        <v>4654</v>
      </c>
      <c r="BO505" s="114">
        <v>0</v>
      </c>
      <c r="BP505" s="114">
        <v>0</v>
      </c>
    </row>
    <row r="506" spans="1:68">
      <c r="A506" t="s">
        <v>1271</v>
      </c>
      <c r="B506" t="s">
        <v>1774</v>
      </c>
      <c r="C506" s="121">
        <v>4459</v>
      </c>
      <c r="D506" s="72">
        <v>1</v>
      </c>
      <c r="E506">
        <v>29.815000000000001</v>
      </c>
      <c r="F506">
        <v>14</v>
      </c>
      <c r="G506">
        <v>8</v>
      </c>
      <c r="H506">
        <v>1</v>
      </c>
      <c r="I506" s="173">
        <v>1.0266999999999999</v>
      </c>
      <c r="J506" s="121">
        <v>53618917</v>
      </c>
      <c r="K506" s="125">
        <v>174.02</v>
      </c>
      <c r="L506" s="173">
        <v>1.48</v>
      </c>
      <c r="M506">
        <v>1.0266999999999999</v>
      </c>
      <c r="N506">
        <v>0.98666667159999999</v>
      </c>
      <c r="O506">
        <v>4.0033328399999952</v>
      </c>
      <c r="P506">
        <v>81.546000000000006</v>
      </c>
      <c r="Q506" s="125">
        <v>0</v>
      </c>
      <c r="R506" s="125">
        <v>0</v>
      </c>
      <c r="S506" s="125">
        <v>0.08</v>
      </c>
      <c r="T506" s="125">
        <v>1.8</v>
      </c>
      <c r="U506" s="125">
        <v>0</v>
      </c>
      <c r="V506" s="125">
        <v>0</v>
      </c>
      <c r="W506" s="125">
        <v>0</v>
      </c>
      <c r="X506" s="125">
        <v>0</v>
      </c>
      <c r="Y506" s="125">
        <v>0</v>
      </c>
      <c r="Z506" s="125">
        <v>0</v>
      </c>
      <c r="AA506" s="125">
        <v>1.107</v>
      </c>
      <c r="AB506" s="125">
        <v>1.1379999999999999</v>
      </c>
      <c r="AC506" s="125">
        <v>75.8</v>
      </c>
      <c r="AD506" s="125">
        <v>0</v>
      </c>
      <c r="AE506" s="125">
        <v>17.585999999999999</v>
      </c>
      <c r="AF506" s="125">
        <v>4.077</v>
      </c>
      <c r="AG506" s="125">
        <v>0</v>
      </c>
      <c r="AH506" s="125">
        <v>0</v>
      </c>
      <c r="AI506" s="121">
        <v>560690</v>
      </c>
      <c r="AJ506" s="121">
        <v>0</v>
      </c>
      <c r="AK506" s="424">
        <v>12</v>
      </c>
      <c r="AL506">
        <v>31</v>
      </c>
      <c r="AM506" s="121">
        <v>27003</v>
      </c>
      <c r="AN506" s="125">
        <v>0</v>
      </c>
      <c r="AO506" s="125">
        <v>0</v>
      </c>
      <c r="AP506" s="121">
        <v>560690</v>
      </c>
      <c r="AQ506" s="114">
        <v>0</v>
      </c>
      <c r="AR506" s="121">
        <v>35.740198380000002</v>
      </c>
      <c r="AS506" s="121">
        <v>7023.0612142</v>
      </c>
      <c r="AT506" s="121">
        <v>924.93401259999996</v>
      </c>
      <c r="AU506" s="420" t="s">
        <v>2001</v>
      </c>
      <c r="AV506" s="420" t="s">
        <v>2001</v>
      </c>
      <c r="AW506" s="121">
        <v>0</v>
      </c>
      <c r="AX506" s="121">
        <v>0</v>
      </c>
      <c r="BI506">
        <v>0</v>
      </c>
      <c r="BJ506" s="121">
        <v>0</v>
      </c>
      <c r="BK506" s="134">
        <v>53618917</v>
      </c>
      <c r="BL506" s="934">
        <v>4459</v>
      </c>
      <c r="BM506" s="934">
        <v>4300</v>
      </c>
      <c r="BN506" s="934">
        <v>4332</v>
      </c>
      <c r="BO506" s="114">
        <v>0</v>
      </c>
      <c r="BP506" s="114">
        <v>0</v>
      </c>
    </row>
    <row r="507" spans="1:68">
      <c r="A507" t="s">
        <v>2155</v>
      </c>
      <c r="B507" t="s">
        <v>726</v>
      </c>
      <c r="C507" s="121">
        <v>4739</v>
      </c>
      <c r="D507" s="72">
        <v>3</v>
      </c>
      <c r="E507">
        <v>374.78699999999998</v>
      </c>
      <c r="F507">
        <v>112</v>
      </c>
      <c r="G507">
        <v>64</v>
      </c>
      <c r="H507">
        <v>13</v>
      </c>
      <c r="I507" s="173">
        <v>1.04</v>
      </c>
      <c r="J507" s="121">
        <v>289142332</v>
      </c>
      <c r="K507" s="125">
        <v>1920.54</v>
      </c>
      <c r="L507" s="173">
        <v>1.4710000000000001</v>
      </c>
      <c r="M507">
        <v>1.04</v>
      </c>
      <c r="N507">
        <v>0.98066667157000009</v>
      </c>
      <c r="O507">
        <v>5.9333328429999943</v>
      </c>
      <c r="P507">
        <v>1422.79</v>
      </c>
      <c r="Q507" s="125">
        <v>0.04</v>
      </c>
      <c r="R507" s="125">
        <v>0</v>
      </c>
      <c r="S507" s="125">
        <v>2.2599999999999998</v>
      </c>
      <c r="T507" s="125">
        <v>66.48</v>
      </c>
      <c r="U507" s="125">
        <v>4.79</v>
      </c>
      <c r="V507" s="125">
        <v>0.91</v>
      </c>
      <c r="W507" s="125">
        <v>3.72</v>
      </c>
      <c r="X507" s="125">
        <v>0</v>
      </c>
      <c r="Y507" s="125">
        <v>0</v>
      </c>
      <c r="Z507" s="125">
        <v>0</v>
      </c>
      <c r="AA507" s="125">
        <v>1.96</v>
      </c>
      <c r="AB507" s="125">
        <v>106.21</v>
      </c>
      <c r="AC507" s="125">
        <v>427.8</v>
      </c>
      <c r="AD507" s="125">
        <v>0.54</v>
      </c>
      <c r="AE507" s="125">
        <v>30.45</v>
      </c>
      <c r="AF507" s="125">
        <v>71.139499999999998</v>
      </c>
      <c r="AG507" s="125">
        <v>0</v>
      </c>
      <c r="AH507" s="125">
        <v>0</v>
      </c>
      <c r="AI507" s="121">
        <v>3090935</v>
      </c>
      <c r="AJ507" s="121">
        <v>686173</v>
      </c>
      <c r="AK507" s="424">
        <v>12</v>
      </c>
      <c r="AL507">
        <v>0</v>
      </c>
      <c r="AM507" s="121">
        <v>100053</v>
      </c>
      <c r="AN507" s="125">
        <v>0</v>
      </c>
      <c r="AO507" s="125">
        <v>0</v>
      </c>
      <c r="AP507" s="121">
        <v>3777108</v>
      </c>
      <c r="AQ507" s="114">
        <v>0</v>
      </c>
      <c r="AR507" s="121">
        <v>192.73056757000001</v>
      </c>
      <c r="AS507" s="121">
        <v>37872.161745999998</v>
      </c>
      <c r="AT507" s="121">
        <v>4987.7467190999996</v>
      </c>
      <c r="AU507" s="420" t="s">
        <v>2001</v>
      </c>
      <c r="AV507" s="420" t="s">
        <v>2001</v>
      </c>
      <c r="AW507" s="121">
        <v>0</v>
      </c>
      <c r="AX507" s="121">
        <v>2153651</v>
      </c>
      <c r="BI507">
        <v>0</v>
      </c>
      <c r="BJ507" s="121">
        <v>0</v>
      </c>
      <c r="BK507" s="134">
        <v>289142332</v>
      </c>
      <c r="BL507" s="934">
        <v>4597</v>
      </c>
      <c r="BM507" s="934">
        <v>4700</v>
      </c>
      <c r="BN507" s="934">
        <v>4739</v>
      </c>
      <c r="BO507" s="114">
        <v>0</v>
      </c>
      <c r="BP507" s="114">
        <v>0</v>
      </c>
    </row>
    <row r="508" spans="1:68">
      <c r="A508" t="s">
        <v>1272</v>
      </c>
      <c r="B508" t="s">
        <v>1775</v>
      </c>
      <c r="C508" s="121">
        <v>4634</v>
      </c>
      <c r="D508" s="72">
        <v>2</v>
      </c>
      <c r="E508">
        <v>155.096</v>
      </c>
      <c r="F508">
        <v>44</v>
      </c>
      <c r="G508">
        <v>30</v>
      </c>
      <c r="H508">
        <v>1</v>
      </c>
      <c r="I508" s="173">
        <v>1.04</v>
      </c>
      <c r="J508" s="121">
        <v>67370273</v>
      </c>
      <c r="K508" s="125">
        <v>813.52700000000004</v>
      </c>
      <c r="L508" s="173">
        <v>1.5</v>
      </c>
      <c r="M508">
        <v>1.04</v>
      </c>
      <c r="N508">
        <v>1.000000005</v>
      </c>
      <c r="O508">
        <v>3.9999995000000066</v>
      </c>
      <c r="P508">
        <v>494</v>
      </c>
      <c r="Q508" s="125">
        <v>0.15</v>
      </c>
      <c r="R508" s="125">
        <v>0</v>
      </c>
      <c r="S508" s="125">
        <v>0.9</v>
      </c>
      <c r="T508" s="125">
        <v>26</v>
      </c>
      <c r="U508" s="125">
        <v>2.1</v>
      </c>
      <c r="V508" s="125">
        <v>0.7</v>
      </c>
      <c r="W508" s="125">
        <v>1.25</v>
      </c>
      <c r="X508" s="125">
        <v>0</v>
      </c>
      <c r="Y508" s="125">
        <v>0</v>
      </c>
      <c r="Z508" s="125">
        <v>0</v>
      </c>
      <c r="AA508" s="125">
        <v>2.5</v>
      </c>
      <c r="AB508" s="125">
        <v>30</v>
      </c>
      <c r="AC508" s="125">
        <v>220</v>
      </c>
      <c r="AD508" s="125">
        <v>0.25</v>
      </c>
      <c r="AE508" s="125">
        <v>8.1999999999999993</v>
      </c>
      <c r="AF508" s="125">
        <v>24.7</v>
      </c>
      <c r="AG508" s="125">
        <v>0</v>
      </c>
      <c r="AH508" s="125">
        <v>0</v>
      </c>
      <c r="AI508" s="121">
        <v>735683</v>
      </c>
      <c r="AJ508" s="121">
        <v>39361</v>
      </c>
      <c r="AK508" s="424">
        <v>12</v>
      </c>
      <c r="AL508">
        <v>0</v>
      </c>
      <c r="AM508" s="121">
        <v>58266</v>
      </c>
      <c r="AN508" s="125">
        <v>0</v>
      </c>
      <c r="AO508" s="125">
        <v>0</v>
      </c>
      <c r="AP508" s="121">
        <v>775044</v>
      </c>
      <c r="AQ508" s="114">
        <v>0</v>
      </c>
      <c r="AR508" s="121">
        <v>44.906295327000002</v>
      </c>
      <c r="AS508" s="121">
        <v>8824.2280480000009</v>
      </c>
      <c r="AT508" s="121">
        <v>1162.1468769000001</v>
      </c>
      <c r="AU508" s="420" t="s">
        <v>2001</v>
      </c>
      <c r="AV508" s="420" t="s">
        <v>2001</v>
      </c>
      <c r="AW508" s="121">
        <v>0</v>
      </c>
      <c r="AX508" s="121">
        <v>474332</v>
      </c>
      <c r="BI508">
        <v>0</v>
      </c>
      <c r="BJ508" s="121">
        <v>0</v>
      </c>
      <c r="BK508" s="134">
        <v>67370273</v>
      </c>
      <c r="BL508" s="934">
        <v>4545</v>
      </c>
      <c r="BM508" s="934">
        <v>4634</v>
      </c>
      <c r="BN508" s="934">
        <v>4634</v>
      </c>
      <c r="BO508" s="114">
        <v>0</v>
      </c>
      <c r="BP508" s="114">
        <v>0</v>
      </c>
    </row>
    <row r="509" spans="1:68">
      <c r="A509" t="s">
        <v>1618</v>
      </c>
      <c r="B509" t="s">
        <v>1743</v>
      </c>
      <c r="C509" s="121">
        <v>4509</v>
      </c>
      <c r="D509" s="72">
        <v>2</v>
      </c>
      <c r="E509">
        <v>422.637</v>
      </c>
      <c r="F509">
        <v>137</v>
      </c>
      <c r="G509">
        <v>124</v>
      </c>
      <c r="H509">
        <v>21</v>
      </c>
      <c r="I509" s="173">
        <v>1.04</v>
      </c>
      <c r="J509" s="121">
        <v>430601610</v>
      </c>
      <c r="K509" s="125">
        <v>2303.4409999999998</v>
      </c>
      <c r="L509" s="173">
        <v>1.5</v>
      </c>
      <c r="M509">
        <v>1.04</v>
      </c>
      <c r="N509">
        <v>1.000000005</v>
      </c>
      <c r="O509">
        <v>3.9999995000000066</v>
      </c>
      <c r="P509">
        <v>1591</v>
      </c>
      <c r="Q509" s="125">
        <v>0.5</v>
      </c>
      <c r="R509" s="125">
        <v>0</v>
      </c>
      <c r="S509" s="125">
        <v>3</v>
      </c>
      <c r="T509" s="125">
        <v>65</v>
      </c>
      <c r="U509" s="125">
        <v>12</v>
      </c>
      <c r="V509" s="125">
        <v>1.5</v>
      </c>
      <c r="W509" s="125">
        <v>5.5</v>
      </c>
      <c r="X509" s="125">
        <v>0</v>
      </c>
      <c r="Y509" s="125">
        <v>0</v>
      </c>
      <c r="Z509" s="125">
        <v>0</v>
      </c>
      <c r="AA509" s="125">
        <v>33.799999999999997</v>
      </c>
      <c r="AB509" s="125">
        <v>70.5</v>
      </c>
      <c r="AC509" s="125">
        <v>1100</v>
      </c>
      <c r="AD509" s="125">
        <v>0.6</v>
      </c>
      <c r="AE509" s="125">
        <v>94</v>
      </c>
      <c r="AF509" s="125">
        <v>79.55</v>
      </c>
      <c r="AG509" s="125">
        <v>0</v>
      </c>
      <c r="AH509" s="125">
        <v>0</v>
      </c>
      <c r="AI509" s="121">
        <v>4584718</v>
      </c>
      <c r="AJ509" s="121">
        <v>850833</v>
      </c>
      <c r="AK509" s="424">
        <v>12</v>
      </c>
      <c r="AL509">
        <v>0</v>
      </c>
      <c r="AM509" s="121">
        <v>115350</v>
      </c>
      <c r="AN509" s="125">
        <v>0</v>
      </c>
      <c r="AO509" s="125">
        <v>0</v>
      </c>
      <c r="AP509" s="121">
        <v>5435551</v>
      </c>
      <c r="AQ509" s="114">
        <v>0</v>
      </c>
      <c r="AR509" s="121">
        <v>287.02159286</v>
      </c>
      <c r="AS509" s="121">
        <v>56400.644311999997</v>
      </c>
      <c r="AT509" s="121">
        <v>7427.9395645000004</v>
      </c>
      <c r="AU509" s="420" t="s">
        <v>2001</v>
      </c>
      <c r="AV509" s="420" t="s">
        <v>2001</v>
      </c>
      <c r="AW509" s="121">
        <v>0</v>
      </c>
      <c r="AX509" s="121">
        <v>1086035</v>
      </c>
      <c r="BI509">
        <v>0</v>
      </c>
      <c r="BJ509" s="121">
        <v>0</v>
      </c>
      <c r="BK509" s="134">
        <v>427129301</v>
      </c>
      <c r="BL509" s="934">
        <v>4504</v>
      </c>
      <c r="BM509" s="934">
        <v>4509</v>
      </c>
      <c r="BN509" s="934">
        <v>4509</v>
      </c>
      <c r="BO509" s="114">
        <v>0</v>
      </c>
      <c r="BP509" s="114">
        <v>0</v>
      </c>
    </row>
    <row r="510" spans="1:68">
      <c r="A510" t="s">
        <v>1209</v>
      </c>
      <c r="B510" t="s">
        <v>1776</v>
      </c>
      <c r="C510" s="121">
        <v>4656</v>
      </c>
      <c r="D510" s="72">
        <v>2</v>
      </c>
      <c r="E510">
        <v>1168.951</v>
      </c>
      <c r="F510">
        <v>379</v>
      </c>
      <c r="G510">
        <v>270</v>
      </c>
      <c r="H510">
        <v>4</v>
      </c>
      <c r="I510" s="173">
        <v>1.04</v>
      </c>
      <c r="J510" s="121">
        <v>1320060565</v>
      </c>
      <c r="K510" s="125">
        <v>6173.7979999999998</v>
      </c>
      <c r="L510" s="173">
        <v>1.5</v>
      </c>
      <c r="M510">
        <v>1.04</v>
      </c>
      <c r="N510">
        <v>1.000000005</v>
      </c>
      <c r="O510">
        <v>3.9999995000000066</v>
      </c>
      <c r="P510">
        <v>4656.4409999999998</v>
      </c>
      <c r="Q510" s="125">
        <v>0.26300000000000001</v>
      </c>
      <c r="R510" s="125">
        <v>0</v>
      </c>
      <c r="S510" s="125">
        <v>8.109</v>
      </c>
      <c r="T510" s="125">
        <v>127.386</v>
      </c>
      <c r="U510" s="125">
        <v>54.62</v>
      </c>
      <c r="V510" s="125">
        <v>0</v>
      </c>
      <c r="W510" s="125">
        <v>3.375</v>
      </c>
      <c r="X510" s="125">
        <v>0</v>
      </c>
      <c r="Y510" s="125">
        <v>0</v>
      </c>
      <c r="Z510" s="125">
        <v>0.98899999999999999</v>
      </c>
      <c r="AA510" s="125">
        <v>19.63</v>
      </c>
      <c r="AB510" s="125">
        <v>167.08699999999999</v>
      </c>
      <c r="AC510" s="125">
        <v>3354.9</v>
      </c>
      <c r="AD510" s="125">
        <v>4.2670000000000003</v>
      </c>
      <c r="AE510" s="125">
        <v>487.06</v>
      </c>
      <c r="AF510" s="125">
        <v>232.822</v>
      </c>
      <c r="AG510" s="125">
        <v>0</v>
      </c>
      <c r="AH510" s="125">
        <v>0</v>
      </c>
      <c r="AI510" s="121">
        <v>13307673</v>
      </c>
      <c r="AJ510" s="121">
        <v>1697501</v>
      </c>
      <c r="AK510" s="424">
        <v>12</v>
      </c>
      <c r="AL510">
        <v>0</v>
      </c>
      <c r="AM510" s="121">
        <v>0</v>
      </c>
      <c r="AN510" s="125">
        <v>1</v>
      </c>
      <c r="AO510" s="125">
        <v>1</v>
      </c>
      <c r="AP510" s="121">
        <v>15005174</v>
      </c>
      <c r="AQ510" s="114">
        <v>0</v>
      </c>
      <c r="AR510" s="121">
        <v>879.89890706999995</v>
      </c>
      <c r="AS510" s="121">
        <v>172902.89833</v>
      </c>
      <c r="AT510" s="121">
        <v>22771.234176000002</v>
      </c>
      <c r="AU510" s="420" t="s">
        <v>2001</v>
      </c>
      <c r="AV510" s="420" t="s">
        <v>2001</v>
      </c>
      <c r="AW510" s="121">
        <v>0</v>
      </c>
      <c r="AX510" s="121">
        <v>2380320</v>
      </c>
      <c r="BI510">
        <v>0</v>
      </c>
      <c r="BJ510" s="121">
        <v>0</v>
      </c>
      <c r="BK510" s="134">
        <v>1320060565</v>
      </c>
      <c r="BL510" s="934">
        <v>4551</v>
      </c>
      <c r="BM510" s="934">
        <v>4656</v>
      </c>
      <c r="BN510" s="934">
        <v>4656</v>
      </c>
      <c r="BO510" s="114">
        <v>0</v>
      </c>
      <c r="BP510" s="114">
        <v>0</v>
      </c>
    </row>
    <row r="511" spans="1:68">
      <c r="A511" t="s">
        <v>2218</v>
      </c>
      <c r="B511" t="s">
        <v>2435</v>
      </c>
      <c r="C511" s="121">
        <v>4788</v>
      </c>
      <c r="D511" s="72">
        <v>3</v>
      </c>
      <c r="E511">
        <v>267.33300000000003</v>
      </c>
      <c r="F511">
        <v>84</v>
      </c>
      <c r="G511">
        <v>56</v>
      </c>
      <c r="H511">
        <v>9</v>
      </c>
      <c r="I511" s="173">
        <v>1.0389999999999999</v>
      </c>
      <c r="J511" s="121">
        <v>196298287</v>
      </c>
      <c r="K511" s="125">
        <v>1343.1569999999999</v>
      </c>
      <c r="L511" s="173">
        <v>1.43</v>
      </c>
      <c r="M511">
        <v>1.0389999999999999</v>
      </c>
      <c r="N511">
        <v>0.95333333809999998</v>
      </c>
      <c r="O511">
        <v>8.5666661899999941</v>
      </c>
      <c r="P511">
        <v>865</v>
      </c>
      <c r="Q511" s="125">
        <v>1.2E-2</v>
      </c>
      <c r="R511" s="125">
        <v>0</v>
      </c>
      <c r="S511" s="125">
        <v>0.91500000000000004</v>
      </c>
      <c r="T511" s="125">
        <v>45.283000000000001</v>
      </c>
      <c r="U511" s="125">
        <v>4.8150000000000004</v>
      </c>
      <c r="V511" s="125">
        <v>5.5E-2</v>
      </c>
      <c r="W511" s="125">
        <v>11.327999999999999</v>
      </c>
      <c r="X511" s="125">
        <v>0</v>
      </c>
      <c r="Y511" s="125">
        <v>0</v>
      </c>
      <c r="Z511" s="125">
        <v>0</v>
      </c>
      <c r="AA511" s="125">
        <v>7.66</v>
      </c>
      <c r="AB511" s="125">
        <v>64.507000000000005</v>
      </c>
      <c r="AC511" s="125">
        <v>348.8</v>
      </c>
      <c r="AD511" s="125">
        <v>0</v>
      </c>
      <c r="AE511" s="125">
        <v>1.3480000000000001</v>
      </c>
      <c r="AF511" s="125">
        <v>42.09</v>
      </c>
      <c r="AG511" s="125">
        <v>0</v>
      </c>
      <c r="AH511" s="125">
        <v>0</v>
      </c>
      <c r="AI511" s="121">
        <v>2055856</v>
      </c>
      <c r="AJ511" s="121">
        <v>376964</v>
      </c>
      <c r="AK511" s="424">
        <v>12</v>
      </c>
      <c r="AL511">
        <v>0</v>
      </c>
      <c r="AM511" s="121">
        <v>68051</v>
      </c>
      <c r="AN511" s="125">
        <v>0</v>
      </c>
      <c r="AO511" s="125">
        <v>0</v>
      </c>
      <c r="AP511" s="121">
        <v>2432820</v>
      </c>
      <c r="AQ511" s="114">
        <v>0</v>
      </c>
      <c r="AR511" s="121">
        <v>130.84448757000001</v>
      </c>
      <c r="AS511" s="121">
        <v>25711.35269</v>
      </c>
      <c r="AT511" s="121">
        <v>3386.1736197</v>
      </c>
      <c r="AU511" s="420" t="s">
        <v>2001</v>
      </c>
      <c r="AV511" s="420" t="s">
        <v>2001</v>
      </c>
      <c r="AW511" s="121">
        <v>0</v>
      </c>
      <c r="AX511" s="121">
        <v>670996</v>
      </c>
      <c r="BI511">
        <v>0</v>
      </c>
      <c r="BJ511" s="121">
        <v>0</v>
      </c>
      <c r="BK511" s="134">
        <v>196298287</v>
      </c>
      <c r="BL511" s="934">
        <v>4605</v>
      </c>
      <c r="BM511" s="934">
        <v>4723</v>
      </c>
      <c r="BN511" s="934">
        <v>4788</v>
      </c>
      <c r="BO511" s="114">
        <v>0</v>
      </c>
      <c r="BP511" s="114">
        <v>0</v>
      </c>
    </row>
    <row r="512" spans="1:68">
      <c r="A512" t="s">
        <v>1781</v>
      </c>
      <c r="B512" t="s">
        <v>90</v>
      </c>
      <c r="C512" s="121">
        <v>4538</v>
      </c>
      <c r="D512" s="72">
        <v>3</v>
      </c>
      <c r="E512">
        <v>718.44899999999996</v>
      </c>
      <c r="F512">
        <v>192</v>
      </c>
      <c r="G512">
        <v>151</v>
      </c>
      <c r="H512">
        <v>4</v>
      </c>
      <c r="I512" s="173">
        <v>1.04</v>
      </c>
      <c r="J512" s="121">
        <v>557456826</v>
      </c>
      <c r="K512" s="125">
        <v>3343.7559999999999</v>
      </c>
      <c r="L512" s="173">
        <v>1.4219999999999999</v>
      </c>
      <c r="M512">
        <v>1.04</v>
      </c>
      <c r="N512">
        <v>0.94800000474000001</v>
      </c>
      <c r="O512">
        <v>9.1999995260000027</v>
      </c>
      <c r="P512">
        <v>2328.328</v>
      </c>
      <c r="Q512" s="125">
        <v>0.25900000000000001</v>
      </c>
      <c r="R512" s="125">
        <v>0</v>
      </c>
      <c r="S512" s="125">
        <v>5.7069999999999999</v>
      </c>
      <c r="T512" s="125">
        <v>120.922</v>
      </c>
      <c r="U512" s="125">
        <v>18.36</v>
      </c>
      <c r="V512" s="125">
        <v>0</v>
      </c>
      <c r="W512" s="125">
        <v>11.763999999999999</v>
      </c>
      <c r="X512" s="125">
        <v>0</v>
      </c>
      <c r="Y512" s="125">
        <v>0</v>
      </c>
      <c r="Z512" s="125">
        <v>0.80500000000000005</v>
      </c>
      <c r="AA512" s="125">
        <v>3.7450000000000001</v>
      </c>
      <c r="AB512" s="125">
        <v>78.596999999999994</v>
      </c>
      <c r="AC512" s="125">
        <v>1700.3</v>
      </c>
      <c r="AD512" s="125">
        <v>3.4000000000000002E-2</v>
      </c>
      <c r="AE512" s="125">
        <v>70.679000000000002</v>
      </c>
      <c r="AF512" s="125">
        <v>116.416</v>
      </c>
      <c r="AG512" s="125">
        <v>0</v>
      </c>
      <c r="AH512" s="125">
        <v>0</v>
      </c>
      <c r="AI512" s="121">
        <v>5904806</v>
      </c>
      <c r="AJ512" s="121">
        <v>1020456</v>
      </c>
      <c r="AK512" s="424">
        <v>12</v>
      </c>
      <c r="AL512">
        <v>0</v>
      </c>
      <c r="AM512" s="121">
        <v>287590</v>
      </c>
      <c r="AN512" s="125">
        <v>0</v>
      </c>
      <c r="AO512" s="125">
        <v>0</v>
      </c>
      <c r="AP512" s="121">
        <v>6925262</v>
      </c>
      <c r="AQ512" s="114">
        <v>0</v>
      </c>
      <c r="AR512" s="121">
        <v>371.57814189999999</v>
      </c>
      <c r="AS512" s="121">
        <v>73016.271724999999</v>
      </c>
      <c r="AT512" s="121">
        <v>9616.2102438999991</v>
      </c>
      <c r="AU512" s="420" t="s">
        <v>2001</v>
      </c>
      <c r="AV512" s="420" t="s">
        <v>2001</v>
      </c>
      <c r="AW512" s="121">
        <v>0</v>
      </c>
      <c r="AX512" s="121">
        <v>1766729</v>
      </c>
      <c r="BI512">
        <v>0</v>
      </c>
      <c r="BJ512" s="121">
        <v>0</v>
      </c>
      <c r="BK512" s="134">
        <v>557456826</v>
      </c>
      <c r="BL512" s="934">
        <v>4413</v>
      </c>
      <c r="BM512" s="934">
        <v>4420</v>
      </c>
      <c r="BN512" s="934">
        <v>4538</v>
      </c>
      <c r="BO512" s="114">
        <v>0</v>
      </c>
      <c r="BP512" s="114">
        <v>0</v>
      </c>
    </row>
    <row r="513" spans="1:68">
      <c r="A513" t="s">
        <v>273</v>
      </c>
      <c r="B513" t="s">
        <v>1292</v>
      </c>
      <c r="C513" s="121">
        <v>4510</v>
      </c>
      <c r="D513" s="72">
        <v>3</v>
      </c>
      <c r="E513">
        <v>159.69399999999999</v>
      </c>
      <c r="F513">
        <v>52</v>
      </c>
      <c r="G513">
        <v>35</v>
      </c>
      <c r="H513">
        <v>0</v>
      </c>
      <c r="I513" s="173">
        <v>1.1259999999999999</v>
      </c>
      <c r="J513" s="121">
        <v>77253057</v>
      </c>
      <c r="K513" s="125">
        <v>1010.8440000000001</v>
      </c>
      <c r="L513" s="173">
        <v>1.4343999999999999</v>
      </c>
      <c r="M513">
        <v>1.1259999999999999</v>
      </c>
      <c r="N513">
        <v>0.95626667144799993</v>
      </c>
      <c r="O513">
        <v>16.973332855199995</v>
      </c>
      <c r="P513">
        <v>607.05799999999999</v>
      </c>
      <c r="Q513" s="125">
        <v>9.0999999999999998E-2</v>
      </c>
      <c r="R513" s="125">
        <v>0</v>
      </c>
      <c r="S513" s="125">
        <v>0.79600000000000004</v>
      </c>
      <c r="T513" s="125">
        <v>31.117999999999999</v>
      </c>
      <c r="U513" s="125">
        <v>3.431</v>
      </c>
      <c r="V513" s="125">
        <v>0.309</v>
      </c>
      <c r="W513" s="125">
        <v>6.173</v>
      </c>
      <c r="X513" s="125">
        <v>0</v>
      </c>
      <c r="Y513" s="125">
        <v>0</v>
      </c>
      <c r="Z513" s="125">
        <v>0</v>
      </c>
      <c r="AA513" s="125">
        <v>1.2949999999999999</v>
      </c>
      <c r="AB513" s="125">
        <v>25.1</v>
      </c>
      <c r="AC513" s="125">
        <v>394.9</v>
      </c>
      <c r="AD513" s="125">
        <v>3.9E-2</v>
      </c>
      <c r="AE513" s="125">
        <v>12.76</v>
      </c>
      <c r="AF513" s="125">
        <v>30.352900000000002</v>
      </c>
      <c r="AG513" s="125">
        <v>0</v>
      </c>
      <c r="AH513" s="125">
        <v>0</v>
      </c>
      <c r="AI513" s="121">
        <v>893247</v>
      </c>
      <c r="AJ513" s="121">
        <v>138631</v>
      </c>
      <c r="AK513" s="424">
        <v>12</v>
      </c>
      <c r="AL513">
        <v>0</v>
      </c>
      <c r="AM513" s="121">
        <v>72019</v>
      </c>
      <c r="AN513" s="125">
        <v>0</v>
      </c>
      <c r="AO513" s="125">
        <v>1</v>
      </c>
      <c r="AP513" s="121">
        <v>1031878</v>
      </c>
      <c r="AQ513" s="114">
        <v>0</v>
      </c>
      <c r="AR513" s="121">
        <v>51.493758864999997</v>
      </c>
      <c r="AS513" s="121">
        <v>10118.685319</v>
      </c>
      <c r="AT513" s="121">
        <v>1332.6263191</v>
      </c>
      <c r="AU513" s="420" t="s">
        <v>2001</v>
      </c>
      <c r="AV513" s="420" t="s">
        <v>2001</v>
      </c>
      <c r="AW513" s="121">
        <v>0</v>
      </c>
      <c r="AX513" s="121">
        <v>426504</v>
      </c>
      <c r="BI513">
        <v>0</v>
      </c>
      <c r="BJ513" s="121">
        <v>0</v>
      </c>
      <c r="BK513" s="134">
        <v>77253057</v>
      </c>
      <c r="BL513" s="934">
        <v>4446</v>
      </c>
      <c r="BM513" s="934">
        <v>4460</v>
      </c>
      <c r="BN513" s="934">
        <v>4510</v>
      </c>
      <c r="BO513" s="114">
        <v>0</v>
      </c>
      <c r="BP513" s="114">
        <v>0</v>
      </c>
    </row>
    <row r="514" spans="1:68">
      <c r="A514" t="s">
        <v>1210</v>
      </c>
      <c r="B514" t="s">
        <v>1777</v>
      </c>
      <c r="C514" s="121">
        <v>4569</v>
      </c>
      <c r="D514" s="72">
        <v>3</v>
      </c>
      <c r="E514">
        <v>95.174000000000007</v>
      </c>
      <c r="F514">
        <v>34</v>
      </c>
      <c r="G514">
        <v>23</v>
      </c>
      <c r="H514">
        <v>1</v>
      </c>
      <c r="I514" s="173">
        <v>1.04</v>
      </c>
      <c r="J514" s="121">
        <v>60505884</v>
      </c>
      <c r="K514" s="125">
        <v>588.71799999999996</v>
      </c>
      <c r="L514" s="173">
        <v>1.4257</v>
      </c>
      <c r="M514">
        <v>1.04</v>
      </c>
      <c r="N514">
        <v>0.95046667141899999</v>
      </c>
      <c r="O514">
        <v>8.9533328581000049</v>
      </c>
      <c r="P514">
        <v>337.06099999999998</v>
      </c>
      <c r="Q514" s="125">
        <v>0</v>
      </c>
      <c r="R514" s="125">
        <v>0</v>
      </c>
      <c r="S514" s="125">
        <v>0.33300000000000002</v>
      </c>
      <c r="T514" s="125">
        <v>15.135</v>
      </c>
      <c r="U514" s="125">
        <v>0.29899999999999999</v>
      </c>
      <c r="V514" s="125">
        <v>0.27</v>
      </c>
      <c r="W514" s="125">
        <v>2.4609999999999999</v>
      </c>
      <c r="X514" s="125">
        <v>0</v>
      </c>
      <c r="Y514" s="125">
        <v>0</v>
      </c>
      <c r="Z514" s="125">
        <v>4.319</v>
      </c>
      <c r="AA514" s="125">
        <v>5.6520000000000001</v>
      </c>
      <c r="AB514" s="125">
        <v>21.613</v>
      </c>
      <c r="AC514" s="125">
        <v>167.3</v>
      </c>
      <c r="AD514" s="125">
        <v>0</v>
      </c>
      <c r="AE514" s="125">
        <v>8.4809999999999999</v>
      </c>
      <c r="AF514" s="125">
        <v>16.853000000000002</v>
      </c>
      <c r="AG514" s="125">
        <v>0</v>
      </c>
      <c r="AH514" s="125">
        <v>0</v>
      </c>
      <c r="AI514" s="121">
        <v>647510</v>
      </c>
      <c r="AJ514" s="121">
        <v>53960</v>
      </c>
      <c r="AK514" s="424">
        <v>12</v>
      </c>
      <c r="AL514">
        <v>0</v>
      </c>
      <c r="AM514" s="121">
        <v>33064</v>
      </c>
      <c r="AN514" s="125">
        <v>0</v>
      </c>
      <c r="AO514" s="125">
        <v>0</v>
      </c>
      <c r="AP514" s="121">
        <v>701470</v>
      </c>
      <c r="AQ514" s="114">
        <v>0</v>
      </c>
      <c r="AR514" s="121">
        <v>40.330771644000002</v>
      </c>
      <c r="AS514" s="121">
        <v>7925.1232760000003</v>
      </c>
      <c r="AT514" s="121">
        <v>1043.7351816</v>
      </c>
      <c r="AU514" s="420" t="s">
        <v>2001</v>
      </c>
      <c r="AV514" s="420" t="s">
        <v>2001</v>
      </c>
      <c r="AW514" s="121">
        <v>0</v>
      </c>
      <c r="AX514" s="121">
        <v>55153</v>
      </c>
      <c r="BI514">
        <v>0</v>
      </c>
      <c r="BJ514" s="121">
        <v>0</v>
      </c>
      <c r="BK514" s="134">
        <v>60505884</v>
      </c>
      <c r="BL514" s="934">
        <v>4500</v>
      </c>
      <c r="BM514" s="934">
        <v>4495</v>
      </c>
      <c r="BN514" s="934">
        <v>4569</v>
      </c>
      <c r="BO514" s="114">
        <v>0</v>
      </c>
      <c r="BP514" s="114">
        <v>0</v>
      </c>
    </row>
    <row r="515" spans="1:68">
      <c r="A515" t="s">
        <v>987</v>
      </c>
      <c r="B515" t="s">
        <v>903</v>
      </c>
      <c r="C515" s="121">
        <v>4566</v>
      </c>
      <c r="D515" s="72">
        <v>2</v>
      </c>
      <c r="E515">
        <v>168.42400000000001</v>
      </c>
      <c r="F515">
        <v>48</v>
      </c>
      <c r="G515">
        <v>33</v>
      </c>
      <c r="H515">
        <v>0</v>
      </c>
      <c r="I515" s="173">
        <v>1.04</v>
      </c>
      <c r="J515" s="121">
        <v>104864407</v>
      </c>
      <c r="K515" s="125">
        <v>880.27800000000002</v>
      </c>
      <c r="L515" s="173">
        <v>1.4607000000000001</v>
      </c>
      <c r="M515">
        <v>1.04</v>
      </c>
      <c r="N515">
        <v>0.97380000486900009</v>
      </c>
      <c r="O515">
        <v>6.6199995130999945</v>
      </c>
      <c r="P515">
        <v>546.71100000000001</v>
      </c>
      <c r="Q515" s="125">
        <v>0</v>
      </c>
      <c r="R515" s="125">
        <v>0</v>
      </c>
      <c r="S515" s="125">
        <v>0.75900000000000001</v>
      </c>
      <c r="T515" s="125">
        <v>28.152000000000001</v>
      </c>
      <c r="U515" s="125">
        <v>3.7370000000000001</v>
      </c>
      <c r="V515" s="125">
        <v>0.17100000000000001</v>
      </c>
      <c r="W515" s="125">
        <v>0</v>
      </c>
      <c r="X515" s="125">
        <v>0</v>
      </c>
      <c r="Y515" s="125">
        <v>0</v>
      </c>
      <c r="Z515" s="125">
        <v>0</v>
      </c>
      <c r="AA515" s="125">
        <v>1.6779999999999999</v>
      </c>
      <c r="AB515" s="125">
        <v>20.454999999999998</v>
      </c>
      <c r="AC515" s="125">
        <v>244.1</v>
      </c>
      <c r="AD515" s="125">
        <v>0.26900000000000002</v>
      </c>
      <c r="AE515" s="125">
        <v>44.244999999999997</v>
      </c>
      <c r="AF515" s="125">
        <v>27.335550000000001</v>
      </c>
      <c r="AG515" s="125">
        <v>0</v>
      </c>
      <c r="AH515" s="125">
        <v>0</v>
      </c>
      <c r="AI515" s="121">
        <v>1028214</v>
      </c>
      <c r="AJ515" s="121">
        <v>40670</v>
      </c>
      <c r="AK515" s="424">
        <v>12</v>
      </c>
      <c r="AL515">
        <v>0</v>
      </c>
      <c r="AM515" s="121">
        <v>67674</v>
      </c>
      <c r="AN515" s="125">
        <v>0</v>
      </c>
      <c r="AO515" s="125">
        <v>0</v>
      </c>
      <c r="AP515" s="121">
        <v>1068884</v>
      </c>
      <c r="AQ515" s="114">
        <v>0</v>
      </c>
      <c r="AR515" s="121">
        <v>69.898366451000001</v>
      </c>
      <c r="AS515" s="121">
        <v>13735.248505</v>
      </c>
      <c r="AT515" s="121">
        <v>1808.9260689</v>
      </c>
      <c r="AU515" s="420" t="s">
        <v>2001</v>
      </c>
      <c r="AV515" s="420" t="s">
        <v>2001</v>
      </c>
      <c r="AW515" s="121">
        <v>0</v>
      </c>
      <c r="AX515" s="121">
        <v>82500</v>
      </c>
      <c r="BI515">
        <v>0</v>
      </c>
      <c r="BJ515" s="121">
        <v>0</v>
      </c>
      <c r="BK515" s="134">
        <v>104864407</v>
      </c>
      <c r="BL515" s="934">
        <v>4412</v>
      </c>
      <c r="BM515" s="934">
        <v>4566</v>
      </c>
      <c r="BN515" s="934">
        <v>4506</v>
      </c>
      <c r="BO515" s="114">
        <v>0</v>
      </c>
      <c r="BP515" s="114">
        <v>0</v>
      </c>
    </row>
    <row r="516" spans="1:68">
      <c r="A516" t="s">
        <v>2105</v>
      </c>
      <c r="B516" t="s">
        <v>1523</v>
      </c>
      <c r="C516" s="121">
        <v>4488</v>
      </c>
      <c r="D516" s="72">
        <v>1</v>
      </c>
      <c r="E516">
        <v>160.03899999999999</v>
      </c>
      <c r="F516">
        <v>50</v>
      </c>
      <c r="G516">
        <v>39</v>
      </c>
      <c r="H516">
        <v>0</v>
      </c>
      <c r="I516" s="173">
        <v>1.17</v>
      </c>
      <c r="J516" s="121">
        <v>14799636</v>
      </c>
      <c r="K516" s="125">
        <v>745.58299999999997</v>
      </c>
      <c r="L516" s="173">
        <v>1.5</v>
      </c>
      <c r="M516">
        <v>1.17</v>
      </c>
      <c r="N516">
        <v>1.000000005</v>
      </c>
      <c r="O516">
        <v>16.999999499999994</v>
      </c>
      <c r="P516">
        <v>415.82100000000003</v>
      </c>
      <c r="Q516" s="125">
        <v>5.2999999999999999E-2</v>
      </c>
      <c r="R516" s="125">
        <v>0</v>
      </c>
      <c r="S516" s="125">
        <v>0.61299999999999999</v>
      </c>
      <c r="T516" s="125">
        <v>18.123999999999999</v>
      </c>
      <c r="U516" s="125">
        <v>1.5109999999999999</v>
      </c>
      <c r="V516" s="125">
        <v>0.20899999999999999</v>
      </c>
      <c r="W516" s="125">
        <v>3.335</v>
      </c>
      <c r="X516" s="125">
        <v>0</v>
      </c>
      <c r="Y516" s="125">
        <v>0</v>
      </c>
      <c r="Z516" s="125">
        <v>8.5990000000000002</v>
      </c>
      <c r="AA516" s="125">
        <v>1.464</v>
      </c>
      <c r="AB516" s="125">
        <v>24.835999999999999</v>
      </c>
      <c r="AC516" s="125">
        <v>271</v>
      </c>
      <c r="AD516" s="125">
        <v>0</v>
      </c>
      <c r="AE516" s="125">
        <v>0</v>
      </c>
      <c r="AF516" s="125">
        <v>20.791</v>
      </c>
      <c r="AG516" s="125">
        <v>0</v>
      </c>
      <c r="AH516" s="125">
        <v>0</v>
      </c>
      <c r="AI516" s="121">
        <v>176359</v>
      </c>
      <c r="AJ516" s="121">
        <v>12207</v>
      </c>
      <c r="AK516" s="424">
        <v>12</v>
      </c>
      <c r="AL516">
        <v>0</v>
      </c>
      <c r="AM516" s="121">
        <v>5495</v>
      </c>
      <c r="AN516" s="125">
        <v>0</v>
      </c>
      <c r="AO516" s="125">
        <v>0</v>
      </c>
      <c r="AP516" s="121">
        <v>188566</v>
      </c>
      <c r="AQ516" s="114">
        <v>0</v>
      </c>
      <c r="AR516" s="121">
        <v>9.8648379375000008</v>
      </c>
      <c r="AS516" s="121">
        <v>1938.4716326</v>
      </c>
      <c r="AT516" s="121">
        <v>255.29584475999999</v>
      </c>
      <c r="AU516" s="420" t="s">
        <v>2001</v>
      </c>
      <c r="AV516" s="420" t="s">
        <v>2001</v>
      </c>
      <c r="AW516" s="121">
        <v>0</v>
      </c>
      <c r="AX516" s="121">
        <v>554577</v>
      </c>
      <c r="BI516">
        <v>0</v>
      </c>
      <c r="BJ516" s="121">
        <v>0</v>
      </c>
      <c r="BK516" s="134">
        <v>14799636</v>
      </c>
      <c r="BL516" s="934">
        <v>4488</v>
      </c>
      <c r="BM516" s="934">
        <v>4469</v>
      </c>
      <c r="BN516" s="934">
        <v>4469</v>
      </c>
      <c r="BO516" s="114">
        <v>0</v>
      </c>
      <c r="BP516" s="114">
        <v>0</v>
      </c>
    </row>
    <row r="517" spans="1:68">
      <c r="A517" t="s">
        <v>1211</v>
      </c>
      <c r="B517" t="s">
        <v>1778</v>
      </c>
      <c r="C517" s="121">
        <v>4409</v>
      </c>
      <c r="D517" s="72">
        <v>2</v>
      </c>
      <c r="E517">
        <v>713.06399999999996</v>
      </c>
      <c r="F517">
        <v>221</v>
      </c>
      <c r="G517">
        <v>234</v>
      </c>
      <c r="H517">
        <v>10</v>
      </c>
      <c r="I517" s="173">
        <v>1.04</v>
      </c>
      <c r="J517" s="121">
        <v>485718022</v>
      </c>
      <c r="K517" s="125">
        <v>3619.9929999999999</v>
      </c>
      <c r="L517" s="173">
        <v>1.5</v>
      </c>
      <c r="M517">
        <v>1.04</v>
      </c>
      <c r="N517">
        <v>1.000000005</v>
      </c>
      <c r="O517">
        <v>3.9999995000000066</v>
      </c>
      <c r="P517">
        <v>2600</v>
      </c>
      <c r="Q517" s="125">
        <v>0.39500000000000002</v>
      </c>
      <c r="R517" s="125">
        <v>0</v>
      </c>
      <c r="S517" s="125">
        <v>3.5059999999999998</v>
      </c>
      <c r="T517" s="125">
        <v>88.5</v>
      </c>
      <c r="U517" s="125">
        <v>21.081</v>
      </c>
      <c r="V517" s="125">
        <v>0</v>
      </c>
      <c r="W517" s="125">
        <v>9.141</v>
      </c>
      <c r="X517" s="125">
        <v>0</v>
      </c>
      <c r="Y517" s="125">
        <v>0</v>
      </c>
      <c r="Z517" s="125">
        <v>0</v>
      </c>
      <c r="AA517" s="125">
        <v>83.363</v>
      </c>
      <c r="AB517" s="125">
        <v>133.25</v>
      </c>
      <c r="AC517" s="125">
        <v>1395</v>
      </c>
      <c r="AD517" s="125">
        <v>1.2569999999999999</v>
      </c>
      <c r="AE517" s="125">
        <v>180.5</v>
      </c>
      <c r="AF517" s="125">
        <v>130</v>
      </c>
      <c r="AG517" s="125">
        <v>0</v>
      </c>
      <c r="AH517" s="125">
        <v>0</v>
      </c>
      <c r="AI517" s="121">
        <v>5240883</v>
      </c>
      <c r="AJ517" s="121">
        <v>1292421</v>
      </c>
      <c r="AK517" s="424">
        <v>12</v>
      </c>
      <c r="AL517">
        <v>0</v>
      </c>
      <c r="AM517" s="121">
        <v>117257</v>
      </c>
      <c r="AN517" s="125">
        <v>0</v>
      </c>
      <c r="AO517" s="125">
        <v>0</v>
      </c>
      <c r="AP517" s="121">
        <v>6533304</v>
      </c>
      <c r="AQ517" s="114">
        <v>0</v>
      </c>
      <c r="AR517" s="121">
        <v>323.75996068000001</v>
      </c>
      <c r="AS517" s="121">
        <v>63619.848955000001</v>
      </c>
      <c r="AT517" s="121">
        <v>8378.7055787999998</v>
      </c>
      <c r="AU517" s="420" t="s">
        <v>2001</v>
      </c>
      <c r="AV517" s="420" t="s">
        <v>2001</v>
      </c>
      <c r="AW517" s="121">
        <v>0</v>
      </c>
      <c r="AX517" s="121">
        <v>2432461</v>
      </c>
      <c r="BI517">
        <v>0</v>
      </c>
      <c r="BJ517" s="121">
        <v>0</v>
      </c>
      <c r="BK517" s="134">
        <v>484782173</v>
      </c>
      <c r="BL517" s="934">
        <v>4351</v>
      </c>
      <c r="BM517" s="934">
        <v>4409</v>
      </c>
      <c r="BN517" s="934">
        <v>4409</v>
      </c>
      <c r="BO517" s="114">
        <v>0</v>
      </c>
      <c r="BP517" s="114">
        <v>0</v>
      </c>
    </row>
    <row r="518" spans="1:68">
      <c r="A518" t="s">
        <v>2454</v>
      </c>
      <c r="B518" t="s">
        <v>1196</v>
      </c>
      <c r="C518" s="121">
        <v>4394</v>
      </c>
      <c r="D518" s="72">
        <v>3</v>
      </c>
      <c r="E518">
        <v>234.06</v>
      </c>
      <c r="F518">
        <v>82</v>
      </c>
      <c r="G518">
        <v>59</v>
      </c>
      <c r="H518">
        <v>9</v>
      </c>
      <c r="I518" s="173">
        <v>1.0071000000000001</v>
      </c>
      <c r="J518" s="121">
        <v>155595499</v>
      </c>
      <c r="K518" s="125">
        <v>1286.6869999999999</v>
      </c>
      <c r="L518" s="173">
        <v>1.39</v>
      </c>
      <c r="M518">
        <v>1.0071000000000001</v>
      </c>
      <c r="N518">
        <v>0.92666667129999991</v>
      </c>
      <c r="O518">
        <v>8.04333287000002</v>
      </c>
      <c r="P518">
        <v>825</v>
      </c>
      <c r="Q518" s="125">
        <v>0</v>
      </c>
      <c r="R518" s="125">
        <v>0</v>
      </c>
      <c r="S518" s="125">
        <v>1.27</v>
      </c>
      <c r="T518" s="125">
        <v>18.5</v>
      </c>
      <c r="U518" s="125">
        <v>10</v>
      </c>
      <c r="V518" s="125">
        <v>0</v>
      </c>
      <c r="W518" s="125">
        <v>0</v>
      </c>
      <c r="X518" s="125">
        <v>0</v>
      </c>
      <c r="Y518" s="125">
        <v>0</v>
      </c>
      <c r="Z518" s="125">
        <v>4.3479999999999999</v>
      </c>
      <c r="AA518" s="125">
        <v>29</v>
      </c>
      <c r="AB518" s="125">
        <v>26</v>
      </c>
      <c r="AC518" s="125">
        <v>456</v>
      </c>
      <c r="AD518" s="125">
        <v>0.6</v>
      </c>
      <c r="AE518" s="125">
        <v>0</v>
      </c>
      <c r="AF518" s="125">
        <v>41.25</v>
      </c>
      <c r="AG518" s="125">
        <v>0</v>
      </c>
      <c r="AH518" s="125">
        <v>0</v>
      </c>
      <c r="AI518" s="121">
        <v>1577530</v>
      </c>
      <c r="AJ518" s="121">
        <v>213424</v>
      </c>
      <c r="AK518" s="424">
        <v>12</v>
      </c>
      <c r="AL518">
        <v>0</v>
      </c>
      <c r="AM518" s="121">
        <v>57181</v>
      </c>
      <c r="AN518" s="125">
        <v>0</v>
      </c>
      <c r="AO518" s="125">
        <v>0</v>
      </c>
      <c r="AP518" s="121">
        <v>1790954</v>
      </c>
      <c r="AQ518" s="114">
        <v>0</v>
      </c>
      <c r="AR518" s="121">
        <v>103.71365752</v>
      </c>
      <c r="AS518" s="121">
        <v>20380.059388000001</v>
      </c>
      <c r="AT518" s="121">
        <v>2684.0446824999999</v>
      </c>
      <c r="AU518" s="420" t="s">
        <v>2001</v>
      </c>
      <c r="AV518" s="420" t="s">
        <v>2001</v>
      </c>
      <c r="AW518" s="121">
        <v>0</v>
      </c>
      <c r="AX518" s="121">
        <v>394574</v>
      </c>
      <c r="BI518">
        <v>0</v>
      </c>
      <c r="BJ518" s="121">
        <v>0</v>
      </c>
      <c r="BK518" s="134">
        <v>152226326</v>
      </c>
      <c r="BL518" s="934">
        <v>4337</v>
      </c>
      <c r="BM518" s="934">
        <v>4256</v>
      </c>
      <c r="BN518" s="934">
        <v>4394</v>
      </c>
      <c r="BO518" s="114">
        <v>0</v>
      </c>
      <c r="BP518" s="114">
        <v>0</v>
      </c>
    </row>
    <row r="519" spans="1:68">
      <c r="A519" t="s">
        <v>2455</v>
      </c>
      <c r="B519" t="s">
        <v>1197</v>
      </c>
      <c r="C519" s="121">
        <v>5746</v>
      </c>
      <c r="D519" s="72">
        <v>2</v>
      </c>
      <c r="E519">
        <v>170.92699999999999</v>
      </c>
      <c r="F519">
        <v>76</v>
      </c>
      <c r="G519">
        <v>55</v>
      </c>
      <c r="H519">
        <v>2</v>
      </c>
      <c r="I519" s="173">
        <v>1.0035000000000001</v>
      </c>
      <c r="J519" s="121">
        <v>1496827872</v>
      </c>
      <c r="K519" s="125">
        <v>991.87599999999998</v>
      </c>
      <c r="L519" s="173">
        <v>1.4036</v>
      </c>
      <c r="M519">
        <v>1.0035000000000001</v>
      </c>
      <c r="N519">
        <v>0.93573333801199998</v>
      </c>
      <c r="O519">
        <v>6.7766661988000081</v>
      </c>
      <c r="P519">
        <v>510</v>
      </c>
      <c r="Q519" s="125">
        <v>0</v>
      </c>
      <c r="R519" s="125">
        <v>0</v>
      </c>
      <c r="S519" s="125">
        <v>1</v>
      </c>
      <c r="T519" s="125">
        <v>11</v>
      </c>
      <c r="U519" s="125">
        <v>3</v>
      </c>
      <c r="V519" s="125">
        <v>0</v>
      </c>
      <c r="W519" s="125">
        <v>3</v>
      </c>
      <c r="X519" s="125">
        <v>0</v>
      </c>
      <c r="Y519" s="125">
        <v>0</v>
      </c>
      <c r="Z519" s="125">
        <v>0</v>
      </c>
      <c r="AA519" s="125">
        <v>35</v>
      </c>
      <c r="AB519" s="125">
        <v>20</v>
      </c>
      <c r="AC519" s="125">
        <v>360</v>
      </c>
      <c r="AD519" s="125">
        <v>1</v>
      </c>
      <c r="AE519" s="125">
        <v>10</v>
      </c>
      <c r="AF519" s="125">
        <v>20</v>
      </c>
      <c r="AG519" s="125">
        <v>0</v>
      </c>
      <c r="AH519" s="125">
        <v>0</v>
      </c>
      <c r="AI519" s="121">
        <v>15456267</v>
      </c>
      <c r="AJ519" s="121">
        <v>879120</v>
      </c>
      <c r="AK519" s="424">
        <v>12</v>
      </c>
      <c r="AL519">
        <v>0</v>
      </c>
      <c r="AM519" s="121">
        <v>69589</v>
      </c>
      <c r="AN519" s="125">
        <v>0</v>
      </c>
      <c r="AO519" s="125">
        <v>0</v>
      </c>
      <c r="AP519" s="121">
        <v>16335387</v>
      </c>
      <c r="AQ519" s="114">
        <v>0</v>
      </c>
      <c r="AR519" s="121">
        <v>0</v>
      </c>
      <c r="AS519" s="121">
        <v>0</v>
      </c>
      <c r="AT519" s="121">
        <v>0</v>
      </c>
      <c r="AU519" s="420" t="s">
        <v>798</v>
      </c>
      <c r="AV519" s="420" t="s">
        <v>2001</v>
      </c>
      <c r="AW519" s="121">
        <v>0</v>
      </c>
      <c r="AX519" s="121">
        <v>886168</v>
      </c>
      <c r="AY519" s="134">
        <v>2262833</v>
      </c>
      <c r="AZ519" s="134">
        <v>3141160</v>
      </c>
      <c r="BA519" s="134">
        <v>1250</v>
      </c>
      <c r="BB519" s="134">
        <v>690635754</v>
      </c>
      <c r="BC519" s="114">
        <v>0</v>
      </c>
      <c r="BD519" s="114">
        <v>0</v>
      </c>
      <c r="BE519" s="114">
        <v>0</v>
      </c>
      <c r="BF519" s="114">
        <v>592</v>
      </c>
      <c r="BG519" s="114">
        <v>0</v>
      </c>
      <c r="BH519" s="114">
        <v>0</v>
      </c>
      <c r="BI519">
        <v>0</v>
      </c>
      <c r="BJ519" s="121">
        <v>464</v>
      </c>
      <c r="BK519" s="134">
        <v>1496827872</v>
      </c>
      <c r="BL519" s="934">
        <v>4993</v>
      </c>
      <c r="BM519" s="934">
        <v>5746</v>
      </c>
      <c r="BN519" s="934">
        <v>5052</v>
      </c>
      <c r="BO519" s="114">
        <v>0</v>
      </c>
      <c r="BP519" s="114">
        <v>0</v>
      </c>
    </row>
    <row r="520" spans="1:68">
      <c r="A520" t="s">
        <v>1428</v>
      </c>
      <c r="B520" t="s">
        <v>2890</v>
      </c>
      <c r="C520" s="121">
        <v>4321</v>
      </c>
      <c r="D520" s="72">
        <v>2</v>
      </c>
      <c r="E520">
        <v>0</v>
      </c>
      <c r="F520">
        <v>8</v>
      </c>
      <c r="G520">
        <v>6</v>
      </c>
      <c r="H520">
        <v>3</v>
      </c>
      <c r="I520" s="173">
        <v>0.9103</v>
      </c>
      <c r="J520" s="121">
        <v>36852246</v>
      </c>
      <c r="K520" s="125">
        <v>147.976</v>
      </c>
      <c r="L520" s="173">
        <v>1.1859999999999999</v>
      </c>
      <c r="M520">
        <v>0.9103</v>
      </c>
      <c r="N520">
        <v>0.79066667061999996</v>
      </c>
      <c r="O520">
        <v>11.963332938000004</v>
      </c>
      <c r="P520">
        <v>83.465000000000003</v>
      </c>
      <c r="Q520" s="125">
        <v>0</v>
      </c>
      <c r="R520" s="125">
        <v>0</v>
      </c>
      <c r="S520" s="125">
        <v>0.188</v>
      </c>
      <c r="T520" s="125">
        <v>1.052</v>
      </c>
      <c r="U520" s="125">
        <v>0</v>
      </c>
      <c r="V520" s="125">
        <v>0</v>
      </c>
      <c r="W520" s="125">
        <v>0</v>
      </c>
      <c r="X520" s="125">
        <v>0</v>
      </c>
      <c r="Y520" s="125">
        <v>0</v>
      </c>
      <c r="Z520" s="125">
        <v>0</v>
      </c>
      <c r="AA520" s="125">
        <v>3.9990000000000001</v>
      </c>
      <c r="AB520" s="125">
        <v>0</v>
      </c>
      <c r="AC520" s="125">
        <v>62.9</v>
      </c>
      <c r="AD520" s="125">
        <v>0</v>
      </c>
      <c r="AE520" s="125">
        <v>8.6920000000000002</v>
      </c>
      <c r="AF520" s="125">
        <v>4.173</v>
      </c>
      <c r="AG520" s="125">
        <v>0</v>
      </c>
      <c r="AH520" s="125">
        <v>0</v>
      </c>
      <c r="AI520" s="121">
        <v>302958</v>
      </c>
      <c r="AJ520" s="121">
        <v>0</v>
      </c>
      <c r="AK520" s="424">
        <v>6</v>
      </c>
      <c r="AL520">
        <v>0</v>
      </c>
      <c r="AM520" s="121">
        <v>9547</v>
      </c>
      <c r="AN520" s="125">
        <v>0</v>
      </c>
      <c r="AO520" s="125">
        <v>0</v>
      </c>
      <c r="AP520" s="121">
        <v>302958</v>
      </c>
      <c r="AQ520" s="114">
        <v>0</v>
      </c>
      <c r="AR520" s="121">
        <v>24.564214304</v>
      </c>
      <c r="AS520" s="121">
        <v>4826.9452481999997</v>
      </c>
      <c r="AT520" s="121">
        <v>635.70652467000002</v>
      </c>
      <c r="AU520" s="420" t="s">
        <v>2001</v>
      </c>
      <c r="AV520" s="420" t="s">
        <v>2001</v>
      </c>
      <c r="AW520" s="121">
        <v>0</v>
      </c>
      <c r="AX520" s="121">
        <v>0</v>
      </c>
      <c r="BI520">
        <v>0</v>
      </c>
      <c r="BJ520" s="121">
        <v>0</v>
      </c>
      <c r="BK520" s="134">
        <v>33016966</v>
      </c>
      <c r="BL520" s="934">
        <v>3946</v>
      </c>
      <c r="BM520" s="934">
        <v>4321</v>
      </c>
      <c r="BN520" s="934">
        <v>4155</v>
      </c>
      <c r="BO520" s="114">
        <v>0</v>
      </c>
      <c r="BP520" s="114">
        <v>0</v>
      </c>
    </row>
    <row r="521" spans="1:68">
      <c r="A521" t="s">
        <v>1429</v>
      </c>
      <c r="B521" t="s">
        <v>1198</v>
      </c>
      <c r="C521" s="121">
        <v>6435</v>
      </c>
      <c r="D521" s="72">
        <v>2</v>
      </c>
      <c r="E521">
        <v>129.70699999999999</v>
      </c>
      <c r="F521">
        <v>32</v>
      </c>
      <c r="G521">
        <v>22</v>
      </c>
      <c r="H521">
        <v>0</v>
      </c>
      <c r="I521" s="173">
        <v>1.04</v>
      </c>
      <c r="J521" s="121">
        <v>483815978</v>
      </c>
      <c r="K521" s="125">
        <v>684.28</v>
      </c>
      <c r="L521" s="173">
        <v>1.5</v>
      </c>
      <c r="M521">
        <v>1.04</v>
      </c>
      <c r="N521">
        <v>1.000000005</v>
      </c>
      <c r="O521">
        <v>3.9999995000000066</v>
      </c>
      <c r="P521">
        <v>361.39800000000002</v>
      </c>
      <c r="Q521" s="125">
        <v>0</v>
      </c>
      <c r="R521" s="125">
        <v>0</v>
      </c>
      <c r="S521" s="125">
        <v>0.53600000000000003</v>
      </c>
      <c r="T521" s="125">
        <v>7.9420000000000002</v>
      </c>
      <c r="U521" s="125">
        <v>1.0149999999999999</v>
      </c>
      <c r="V521" s="125">
        <v>0</v>
      </c>
      <c r="W521" s="125">
        <v>0.78600000000000003</v>
      </c>
      <c r="X521" s="125">
        <v>0</v>
      </c>
      <c r="Y521" s="125">
        <v>0</v>
      </c>
      <c r="Z521" s="125">
        <v>6.7050000000000001</v>
      </c>
      <c r="AA521" s="125">
        <v>2.8519999999999999</v>
      </c>
      <c r="AB521" s="125">
        <v>5.59</v>
      </c>
      <c r="AC521" s="125">
        <v>170.7</v>
      </c>
      <c r="AD521" s="125">
        <v>0.29799999999999999</v>
      </c>
      <c r="AE521" s="125">
        <v>6.819</v>
      </c>
      <c r="AF521" s="125">
        <v>18.069900000000001</v>
      </c>
      <c r="AG521" s="125">
        <v>0</v>
      </c>
      <c r="AH521" s="125">
        <v>0</v>
      </c>
      <c r="AI521" s="121">
        <v>5283270</v>
      </c>
      <c r="AJ521" s="121">
        <v>0</v>
      </c>
      <c r="AK521" s="424">
        <v>12</v>
      </c>
      <c r="AL521">
        <v>0</v>
      </c>
      <c r="AM521" s="121">
        <v>23726</v>
      </c>
      <c r="AN521" s="125">
        <v>0</v>
      </c>
      <c r="AO521" s="125">
        <v>0</v>
      </c>
      <c r="AP521" s="121">
        <v>5283270</v>
      </c>
      <c r="AQ521" s="114">
        <v>0</v>
      </c>
      <c r="AR521" s="121">
        <v>0</v>
      </c>
      <c r="AS521" s="121">
        <v>0</v>
      </c>
      <c r="AT521" s="121">
        <v>0</v>
      </c>
      <c r="AU521" s="420" t="s">
        <v>798</v>
      </c>
      <c r="AV521" s="420" t="s">
        <v>2001</v>
      </c>
      <c r="AW521" s="121">
        <v>0</v>
      </c>
      <c r="AX521" s="121">
        <v>0</v>
      </c>
      <c r="AY521" s="134">
        <v>918246</v>
      </c>
      <c r="AZ521" s="134">
        <v>1442987</v>
      </c>
      <c r="BA521" s="114">
        <v>604</v>
      </c>
      <c r="BB521" s="134">
        <v>255942255</v>
      </c>
      <c r="BC521" s="114">
        <v>0</v>
      </c>
      <c r="BD521" s="114">
        <v>0</v>
      </c>
      <c r="BE521" s="114">
        <v>0</v>
      </c>
      <c r="BF521" s="114">
        <v>351</v>
      </c>
      <c r="BG521" s="114">
        <v>0</v>
      </c>
      <c r="BH521" s="114">
        <v>0</v>
      </c>
      <c r="BI521">
        <v>0</v>
      </c>
      <c r="BJ521" s="121">
        <v>0</v>
      </c>
      <c r="BK521" s="134">
        <v>483815978</v>
      </c>
      <c r="BL521" s="934">
        <v>6003</v>
      </c>
      <c r="BM521" s="934">
        <v>6435</v>
      </c>
      <c r="BN521" s="934">
        <v>6108</v>
      </c>
      <c r="BO521" s="114">
        <v>0</v>
      </c>
      <c r="BP521" s="114">
        <v>0</v>
      </c>
    </row>
    <row r="522" spans="1:68">
      <c r="A522" t="s">
        <v>1039</v>
      </c>
      <c r="B522" t="s">
        <v>2821</v>
      </c>
      <c r="C522" s="121">
        <v>4919</v>
      </c>
      <c r="D522" s="72">
        <v>1</v>
      </c>
      <c r="E522">
        <v>56.018000000000001</v>
      </c>
      <c r="F522">
        <v>21</v>
      </c>
      <c r="G522">
        <v>18</v>
      </c>
      <c r="H522">
        <v>2</v>
      </c>
      <c r="I522" s="173">
        <v>1.04</v>
      </c>
      <c r="J522" s="121">
        <v>110267837</v>
      </c>
      <c r="K522" s="125">
        <v>455.12900000000002</v>
      </c>
      <c r="L522" s="173">
        <v>1.5</v>
      </c>
      <c r="M522">
        <v>1.04</v>
      </c>
      <c r="N522">
        <v>1.000000005</v>
      </c>
      <c r="O522">
        <v>3.9999995000000066</v>
      </c>
      <c r="P522">
        <v>268.43200000000002</v>
      </c>
      <c r="Q522" s="125">
        <v>0</v>
      </c>
      <c r="R522" s="125">
        <v>0</v>
      </c>
      <c r="S522" s="125">
        <v>0.77400000000000002</v>
      </c>
      <c r="T522" s="125">
        <v>7.28</v>
      </c>
      <c r="U522" s="125">
        <v>2.04</v>
      </c>
      <c r="V522" s="125">
        <v>0</v>
      </c>
      <c r="W522" s="125">
        <v>0</v>
      </c>
      <c r="X522" s="125">
        <v>0</v>
      </c>
      <c r="Y522" s="125">
        <v>0</v>
      </c>
      <c r="Z522" s="125">
        <v>0</v>
      </c>
      <c r="AA522" s="125">
        <v>2.4910000000000001</v>
      </c>
      <c r="AB522" s="125">
        <v>19.513999999999999</v>
      </c>
      <c r="AC522" s="125">
        <v>161.6</v>
      </c>
      <c r="AD522" s="125">
        <v>0</v>
      </c>
      <c r="AE522" s="125">
        <v>0</v>
      </c>
      <c r="AF522" s="125">
        <v>13.4216</v>
      </c>
      <c r="AG522" s="125">
        <v>0</v>
      </c>
      <c r="AH522" s="125">
        <v>0</v>
      </c>
      <c r="AI522" s="121">
        <v>1143240</v>
      </c>
      <c r="AJ522" s="121">
        <v>65531</v>
      </c>
      <c r="AK522" s="424">
        <v>12</v>
      </c>
      <c r="AL522">
        <v>0</v>
      </c>
      <c r="AM522" s="121">
        <v>16591</v>
      </c>
      <c r="AN522" s="125">
        <v>0</v>
      </c>
      <c r="AO522" s="125">
        <v>0</v>
      </c>
      <c r="AP522" s="121">
        <v>1208771</v>
      </c>
      <c r="AQ522" s="114">
        <v>0</v>
      </c>
      <c r="AR522" s="121">
        <v>73.500073936999996</v>
      </c>
      <c r="AS522" s="121">
        <v>14442.995336</v>
      </c>
      <c r="AT522" s="121">
        <v>1902.1360092</v>
      </c>
      <c r="AU522" s="420" t="s">
        <v>2001</v>
      </c>
      <c r="AV522" s="420" t="s">
        <v>2001</v>
      </c>
      <c r="AW522" s="121">
        <v>0</v>
      </c>
      <c r="AX522" s="121">
        <v>60625</v>
      </c>
      <c r="BI522">
        <v>0</v>
      </c>
      <c r="BJ522" s="121">
        <v>0</v>
      </c>
      <c r="BK522" s="134">
        <v>106828859</v>
      </c>
      <c r="BL522" s="934">
        <v>4919</v>
      </c>
      <c r="BM522" s="934">
        <v>4817</v>
      </c>
      <c r="BN522" s="934">
        <v>4817</v>
      </c>
      <c r="BO522" s="114">
        <v>0</v>
      </c>
      <c r="BP522" s="114">
        <v>0</v>
      </c>
    </row>
    <row r="523" spans="1:68">
      <c r="A523" t="s">
        <v>1040</v>
      </c>
      <c r="B523" t="s">
        <v>2822</v>
      </c>
      <c r="C523" s="121">
        <v>6323</v>
      </c>
      <c r="D523" s="72">
        <v>2</v>
      </c>
      <c r="E523">
        <v>274.15600000000001</v>
      </c>
      <c r="F523">
        <v>94</v>
      </c>
      <c r="G523">
        <v>155</v>
      </c>
      <c r="H523">
        <v>2</v>
      </c>
      <c r="I523" s="173">
        <v>1.04</v>
      </c>
      <c r="J523" s="121">
        <v>613915599</v>
      </c>
      <c r="K523" s="125">
        <v>1521.9849999999999</v>
      </c>
      <c r="L523" s="173">
        <v>1.5</v>
      </c>
      <c r="M523">
        <v>1.04</v>
      </c>
      <c r="N523">
        <v>1.000000005</v>
      </c>
      <c r="O523">
        <v>3.9999995000000066</v>
      </c>
      <c r="P523">
        <v>905</v>
      </c>
      <c r="Q523" s="125">
        <v>6.9000000000000006E-2</v>
      </c>
      <c r="R523" s="125">
        <v>0</v>
      </c>
      <c r="S523" s="125">
        <v>1.722</v>
      </c>
      <c r="T523" s="125">
        <v>26.312000000000001</v>
      </c>
      <c r="U523" s="125">
        <v>9.6809999999999992</v>
      </c>
      <c r="V523" s="125">
        <v>0</v>
      </c>
      <c r="W523" s="125">
        <v>1.913</v>
      </c>
      <c r="X523" s="125">
        <v>0</v>
      </c>
      <c r="Y523" s="125">
        <v>0</v>
      </c>
      <c r="Z523" s="125">
        <v>0</v>
      </c>
      <c r="AA523" s="125">
        <v>12.927</v>
      </c>
      <c r="AB523" s="125">
        <v>68</v>
      </c>
      <c r="AC523" s="125">
        <v>481.9</v>
      </c>
      <c r="AD523" s="125">
        <v>6.4000000000000001E-2</v>
      </c>
      <c r="AE523" s="125">
        <v>55.258000000000003</v>
      </c>
      <c r="AF523" s="125">
        <v>43.89</v>
      </c>
      <c r="AG523" s="125">
        <v>0</v>
      </c>
      <c r="AH523" s="125">
        <v>0</v>
      </c>
      <c r="AI523" s="121">
        <v>6274449</v>
      </c>
      <c r="AJ523" s="121">
        <v>1580222</v>
      </c>
      <c r="AK523" s="424">
        <v>12</v>
      </c>
      <c r="AL523">
        <v>0</v>
      </c>
      <c r="AM523" s="121">
        <v>86603</v>
      </c>
      <c r="AN523" s="125">
        <v>0</v>
      </c>
      <c r="AO523" s="125">
        <v>0</v>
      </c>
      <c r="AP523" s="121">
        <v>7854671</v>
      </c>
      <c r="AQ523" s="114">
        <v>0</v>
      </c>
      <c r="AR523" s="121">
        <v>0</v>
      </c>
      <c r="AS523" s="121">
        <v>0</v>
      </c>
      <c r="AT523" s="121">
        <v>0</v>
      </c>
      <c r="AU523" s="420" t="s">
        <v>798</v>
      </c>
      <c r="AV523" s="72" t="s">
        <v>798</v>
      </c>
      <c r="AW523" s="121">
        <v>0</v>
      </c>
      <c r="AX523" s="121">
        <v>1596371</v>
      </c>
      <c r="AY523" s="134">
        <v>776083</v>
      </c>
      <c r="AZ523" s="134">
        <v>3560131</v>
      </c>
      <c r="BA523" s="134">
        <v>1444</v>
      </c>
      <c r="BB523" s="134">
        <v>225598839</v>
      </c>
      <c r="BC523" s="114">
        <v>0</v>
      </c>
      <c r="BD523" s="114">
        <v>0</v>
      </c>
      <c r="BE523" s="114">
        <v>0</v>
      </c>
      <c r="BF523" s="114">
        <v>994</v>
      </c>
      <c r="BG523" s="114">
        <v>0</v>
      </c>
      <c r="BH523" s="114">
        <v>0</v>
      </c>
      <c r="BI523">
        <v>0</v>
      </c>
      <c r="BJ523" s="121">
        <v>0</v>
      </c>
      <c r="BK523" s="134">
        <v>598524211</v>
      </c>
      <c r="BL523" s="934">
        <v>5680</v>
      </c>
      <c r="BM523" s="934">
        <v>6323</v>
      </c>
      <c r="BN523" s="934">
        <v>5860</v>
      </c>
      <c r="BO523" s="114">
        <v>0</v>
      </c>
      <c r="BP523" s="114">
        <v>0</v>
      </c>
    </row>
    <row r="524" spans="1:68">
      <c r="A524" t="s">
        <v>1041</v>
      </c>
      <c r="B524" t="s">
        <v>1199</v>
      </c>
      <c r="C524" s="121">
        <v>4947</v>
      </c>
      <c r="D524" s="72">
        <v>2</v>
      </c>
      <c r="E524">
        <v>109.529</v>
      </c>
      <c r="F524">
        <v>38</v>
      </c>
      <c r="G524">
        <v>19</v>
      </c>
      <c r="H524">
        <v>4</v>
      </c>
      <c r="I524" s="173">
        <v>1.04</v>
      </c>
      <c r="J524" s="121">
        <v>143876334</v>
      </c>
      <c r="K524" s="125">
        <v>593.44000000000005</v>
      </c>
      <c r="L524" s="173">
        <v>1.5</v>
      </c>
      <c r="M524">
        <v>1.04</v>
      </c>
      <c r="N524">
        <v>1.000000005</v>
      </c>
      <c r="O524">
        <v>3.9999995000000066</v>
      </c>
      <c r="P524">
        <v>374</v>
      </c>
      <c r="Q524" s="125">
        <v>0</v>
      </c>
      <c r="R524" s="125">
        <v>0</v>
      </c>
      <c r="S524" s="125">
        <v>0.36299999999999999</v>
      </c>
      <c r="T524" s="125">
        <v>7</v>
      </c>
      <c r="U524" s="125">
        <v>1.4</v>
      </c>
      <c r="V524" s="125">
        <v>0</v>
      </c>
      <c r="W524" s="125">
        <v>0</v>
      </c>
      <c r="X524" s="125">
        <v>0</v>
      </c>
      <c r="Y524" s="125">
        <v>0</v>
      </c>
      <c r="Z524" s="125">
        <v>0</v>
      </c>
      <c r="AA524" s="125">
        <v>5</v>
      </c>
      <c r="AB524" s="125">
        <v>11</v>
      </c>
      <c r="AC524" s="125">
        <v>199.9</v>
      </c>
      <c r="AD524" s="125">
        <v>0</v>
      </c>
      <c r="AE524" s="125">
        <v>8</v>
      </c>
      <c r="AF524" s="125">
        <v>18.7</v>
      </c>
      <c r="AG524" s="125">
        <v>0</v>
      </c>
      <c r="AH524" s="125">
        <v>0</v>
      </c>
      <c r="AI524" s="121">
        <v>1539707</v>
      </c>
      <c r="AJ524" s="121">
        <v>176675</v>
      </c>
      <c r="AK524" s="424">
        <v>12</v>
      </c>
      <c r="AL524">
        <v>0</v>
      </c>
      <c r="AM524" s="121">
        <v>52064</v>
      </c>
      <c r="AN524" s="125">
        <v>0</v>
      </c>
      <c r="AO524" s="125">
        <v>1</v>
      </c>
      <c r="AP524" s="121">
        <v>1716382</v>
      </c>
      <c r="AQ524" s="114">
        <v>0</v>
      </c>
      <c r="AR524" s="121">
        <v>95.902136913999996</v>
      </c>
      <c r="AS524" s="121">
        <v>18845.071059000002</v>
      </c>
      <c r="AT524" s="121">
        <v>2481.8874077999999</v>
      </c>
      <c r="AU524" s="420" t="s">
        <v>2001</v>
      </c>
      <c r="AV524" s="420" t="s">
        <v>2001</v>
      </c>
      <c r="AW524" s="121">
        <v>0</v>
      </c>
      <c r="AX524" s="121">
        <v>250320</v>
      </c>
      <c r="BI524">
        <v>0</v>
      </c>
      <c r="BJ524" s="121">
        <v>0</v>
      </c>
      <c r="BK524" s="134">
        <v>143876334</v>
      </c>
      <c r="BL524" s="934">
        <v>4895</v>
      </c>
      <c r="BM524" s="934">
        <v>4947</v>
      </c>
      <c r="BN524" s="934">
        <v>4947</v>
      </c>
      <c r="BO524" s="114">
        <v>0</v>
      </c>
      <c r="BP524" s="114">
        <v>0</v>
      </c>
    </row>
    <row r="525" spans="1:68">
      <c r="A525" t="s">
        <v>1042</v>
      </c>
      <c r="B525" t="s">
        <v>685</v>
      </c>
      <c r="C525" s="121">
        <v>5585</v>
      </c>
      <c r="D525" s="72">
        <v>2</v>
      </c>
      <c r="E525">
        <v>424.846</v>
      </c>
      <c r="F525">
        <v>109</v>
      </c>
      <c r="G525">
        <v>84</v>
      </c>
      <c r="H525">
        <v>0</v>
      </c>
      <c r="I525" s="173">
        <v>1.04</v>
      </c>
      <c r="J525" s="121">
        <v>462509809</v>
      </c>
      <c r="K525" s="125">
        <v>1995.855</v>
      </c>
      <c r="L525" s="173">
        <v>1.5</v>
      </c>
      <c r="M525">
        <v>1.04</v>
      </c>
      <c r="N525">
        <v>1.000000005</v>
      </c>
      <c r="O525">
        <v>3.9999995000000066</v>
      </c>
      <c r="P525">
        <v>1370</v>
      </c>
      <c r="Q525" s="125">
        <v>8.8999999999999996E-2</v>
      </c>
      <c r="R525" s="125">
        <v>0</v>
      </c>
      <c r="S525" s="125">
        <v>3.7</v>
      </c>
      <c r="T525" s="125">
        <v>30</v>
      </c>
      <c r="U525" s="125">
        <v>4</v>
      </c>
      <c r="V525" s="125">
        <v>1.5</v>
      </c>
      <c r="W525" s="125">
        <v>2</v>
      </c>
      <c r="X525" s="125">
        <v>0</v>
      </c>
      <c r="Y525" s="125">
        <v>0.89900000000000002</v>
      </c>
      <c r="Z525" s="125">
        <v>0</v>
      </c>
      <c r="AA525" s="125">
        <v>50</v>
      </c>
      <c r="AB525" s="125">
        <v>45</v>
      </c>
      <c r="AC525" s="125">
        <v>845</v>
      </c>
      <c r="AD525" s="125">
        <v>1.6</v>
      </c>
      <c r="AE525" s="125">
        <v>112.64100000000001</v>
      </c>
      <c r="AF525" s="125">
        <v>68.5</v>
      </c>
      <c r="AG525" s="125">
        <v>0</v>
      </c>
      <c r="AH525" s="125">
        <v>0</v>
      </c>
      <c r="AI525" s="121">
        <v>4475100</v>
      </c>
      <c r="AJ525" s="121">
        <v>1052671</v>
      </c>
      <c r="AK525" s="424">
        <v>12</v>
      </c>
      <c r="AL525">
        <v>0</v>
      </c>
      <c r="AM525" s="121">
        <v>88064</v>
      </c>
      <c r="AN525" s="125">
        <v>0</v>
      </c>
      <c r="AO525" s="125">
        <v>0</v>
      </c>
      <c r="AP525" s="121">
        <v>5527771</v>
      </c>
      <c r="AQ525" s="114">
        <v>0</v>
      </c>
      <c r="AR525" s="121">
        <v>308.29030599999999</v>
      </c>
      <c r="AS525" s="121">
        <v>60580.013232999998</v>
      </c>
      <c r="AT525" s="121">
        <v>7978.3605772000001</v>
      </c>
      <c r="AU525" s="420" t="s">
        <v>2001</v>
      </c>
      <c r="AV525" s="420" t="s">
        <v>2001</v>
      </c>
      <c r="AW525" s="121">
        <v>0</v>
      </c>
      <c r="AX525" s="121">
        <v>965116</v>
      </c>
      <c r="BI525">
        <v>0</v>
      </c>
      <c r="BJ525" s="121">
        <v>0</v>
      </c>
      <c r="BK525" s="134">
        <v>422482110</v>
      </c>
      <c r="BL525" s="934">
        <v>4796</v>
      </c>
      <c r="BM525" s="934">
        <v>5585</v>
      </c>
      <c r="BN525" s="934">
        <v>5022</v>
      </c>
      <c r="BO525" s="114">
        <v>0</v>
      </c>
      <c r="BP525" s="114">
        <v>0</v>
      </c>
    </row>
    <row r="526" spans="1:68">
      <c r="A526" t="s">
        <v>2972</v>
      </c>
      <c r="B526" t="s">
        <v>1671</v>
      </c>
      <c r="C526" s="121">
        <v>4692</v>
      </c>
      <c r="D526" s="72">
        <v>1</v>
      </c>
      <c r="E526">
        <v>183.08</v>
      </c>
      <c r="F526">
        <v>58</v>
      </c>
      <c r="G526">
        <v>45</v>
      </c>
      <c r="H526">
        <v>1</v>
      </c>
      <c r="I526" s="173">
        <v>1.04</v>
      </c>
      <c r="J526" s="121">
        <v>139145386</v>
      </c>
      <c r="K526" s="125">
        <v>967.95699999999999</v>
      </c>
      <c r="L526" s="173">
        <v>1.5</v>
      </c>
      <c r="M526">
        <v>1.04</v>
      </c>
      <c r="N526">
        <v>1.000000005</v>
      </c>
      <c r="O526">
        <v>3.9999995000000066</v>
      </c>
      <c r="P526">
        <v>610</v>
      </c>
      <c r="Q526" s="125">
        <v>0</v>
      </c>
      <c r="R526" s="125">
        <v>0</v>
      </c>
      <c r="S526" s="125">
        <v>1</v>
      </c>
      <c r="T526" s="125">
        <v>13</v>
      </c>
      <c r="U526" s="125">
        <v>0.5</v>
      </c>
      <c r="V526" s="125">
        <v>0.5</v>
      </c>
      <c r="W526" s="125">
        <v>1.2</v>
      </c>
      <c r="X526" s="125">
        <v>0</v>
      </c>
      <c r="Y526" s="125">
        <v>0</v>
      </c>
      <c r="Z526" s="125">
        <v>0</v>
      </c>
      <c r="AA526" s="125">
        <v>15</v>
      </c>
      <c r="AB526" s="125">
        <v>36</v>
      </c>
      <c r="AC526" s="125">
        <v>320</v>
      </c>
      <c r="AD526" s="125">
        <v>0</v>
      </c>
      <c r="AE526" s="125">
        <v>40</v>
      </c>
      <c r="AF526" s="125">
        <v>30</v>
      </c>
      <c r="AG526" s="125">
        <v>0</v>
      </c>
      <c r="AH526" s="125">
        <v>0</v>
      </c>
      <c r="AI526" s="121">
        <v>1489078</v>
      </c>
      <c r="AJ526" s="121">
        <v>70624</v>
      </c>
      <c r="AK526" s="424">
        <v>12</v>
      </c>
      <c r="AL526">
        <v>0</v>
      </c>
      <c r="AM526" s="121">
        <v>42490</v>
      </c>
      <c r="AN526" s="125">
        <v>0</v>
      </c>
      <c r="AO526" s="125">
        <v>0</v>
      </c>
      <c r="AP526" s="121">
        <v>1559702</v>
      </c>
      <c r="AQ526" s="114">
        <v>0</v>
      </c>
      <c r="AR526" s="121">
        <v>92.748678592000005</v>
      </c>
      <c r="AS526" s="121">
        <v>18225.406596000001</v>
      </c>
      <c r="AT526" s="121">
        <v>2400.2778758999998</v>
      </c>
      <c r="AU526" s="420" t="s">
        <v>2001</v>
      </c>
      <c r="AV526" s="420" t="s">
        <v>2001</v>
      </c>
      <c r="AW526" s="121">
        <v>0</v>
      </c>
      <c r="AX526" s="121">
        <v>320855</v>
      </c>
      <c r="BI526">
        <v>0</v>
      </c>
      <c r="BJ526" s="121">
        <v>0</v>
      </c>
      <c r="BK526" s="134">
        <v>139145386</v>
      </c>
      <c r="BL526" s="934">
        <v>4692</v>
      </c>
      <c r="BM526" s="934">
        <v>4594</v>
      </c>
      <c r="BN526" s="934">
        <v>4594</v>
      </c>
      <c r="BO526" s="114">
        <v>0</v>
      </c>
      <c r="BP526" s="114">
        <v>0</v>
      </c>
    </row>
    <row r="527" spans="1:68">
      <c r="A527" t="s">
        <v>544</v>
      </c>
      <c r="B527" t="s">
        <v>686</v>
      </c>
      <c r="C527" s="121">
        <v>5176</v>
      </c>
      <c r="D527" s="72">
        <v>2</v>
      </c>
      <c r="E527">
        <v>310.93400000000003</v>
      </c>
      <c r="F527">
        <v>84</v>
      </c>
      <c r="G527">
        <v>68</v>
      </c>
      <c r="H527">
        <v>7</v>
      </c>
      <c r="I527" s="173">
        <v>1.04</v>
      </c>
      <c r="J527" s="121">
        <v>563210652</v>
      </c>
      <c r="K527" s="125">
        <v>1517.7139999999999</v>
      </c>
      <c r="L527" s="173">
        <v>1.4961</v>
      </c>
      <c r="M527">
        <v>1.04</v>
      </c>
      <c r="N527">
        <v>0.99740000498699999</v>
      </c>
      <c r="O527">
        <v>4.2599995013000047</v>
      </c>
      <c r="P527">
        <v>994.55100000000004</v>
      </c>
      <c r="Q527" s="125">
        <v>1.7999999999999999E-2</v>
      </c>
      <c r="R527" s="125">
        <v>0</v>
      </c>
      <c r="S527" s="125">
        <v>2.5089999999999999</v>
      </c>
      <c r="T527" s="125">
        <v>19.071000000000002</v>
      </c>
      <c r="U527" s="125">
        <v>4.4749999999999996</v>
      </c>
      <c r="V527" s="125">
        <v>3.7890000000000001</v>
      </c>
      <c r="W527" s="125">
        <v>0</v>
      </c>
      <c r="X527" s="125">
        <v>0</v>
      </c>
      <c r="Y527" s="125">
        <v>1.0129999999999999</v>
      </c>
      <c r="Z527" s="125">
        <v>0</v>
      </c>
      <c r="AA527" s="125">
        <v>14.58</v>
      </c>
      <c r="AB527" s="125">
        <v>40.503</v>
      </c>
      <c r="AC527" s="125">
        <v>334.9</v>
      </c>
      <c r="AD527" s="125">
        <v>0</v>
      </c>
      <c r="AE527" s="125">
        <v>28.734999999999999</v>
      </c>
      <c r="AF527" s="125">
        <v>49.225999999999999</v>
      </c>
      <c r="AG527" s="125">
        <v>0</v>
      </c>
      <c r="AH527" s="125">
        <v>0</v>
      </c>
      <c r="AI527" s="121">
        <v>5985993</v>
      </c>
      <c r="AJ527" s="121">
        <v>1143968</v>
      </c>
      <c r="AK527" s="424">
        <v>12</v>
      </c>
      <c r="AL527">
        <v>0</v>
      </c>
      <c r="AM527" s="121">
        <v>154871</v>
      </c>
      <c r="AN527" s="125">
        <v>0</v>
      </c>
      <c r="AO527" s="125">
        <v>0</v>
      </c>
      <c r="AP527" s="121">
        <v>7129961</v>
      </c>
      <c r="AQ527" s="114">
        <v>0</v>
      </c>
      <c r="AR527" s="121">
        <v>262.54964414</v>
      </c>
      <c r="AS527" s="121">
        <v>51591.829539999999</v>
      </c>
      <c r="AT527" s="121">
        <v>6794.6208155000004</v>
      </c>
      <c r="AU527" s="420" t="s">
        <v>798</v>
      </c>
      <c r="AV527" s="420" t="s">
        <v>2001</v>
      </c>
      <c r="AW527" s="121">
        <v>0</v>
      </c>
      <c r="AX527" s="121">
        <v>1132194</v>
      </c>
      <c r="AY527" s="134">
        <v>448396</v>
      </c>
      <c r="AZ527" s="134">
        <v>3109433</v>
      </c>
      <c r="BA527" s="134">
        <v>1259</v>
      </c>
      <c r="BB527" s="134">
        <v>186984128</v>
      </c>
      <c r="BC527" s="114">
        <v>0</v>
      </c>
      <c r="BD527" s="114">
        <v>0</v>
      </c>
      <c r="BE527" s="114">
        <v>0</v>
      </c>
      <c r="BF527" s="134">
        <v>1037</v>
      </c>
      <c r="BG527" s="114">
        <v>0</v>
      </c>
      <c r="BH527" s="114">
        <v>0</v>
      </c>
      <c r="BI527">
        <v>0</v>
      </c>
      <c r="BJ527" s="121">
        <v>0</v>
      </c>
      <c r="BK527" s="134">
        <v>553704904</v>
      </c>
      <c r="BL527" s="934">
        <v>4842</v>
      </c>
      <c r="BM527" s="934">
        <v>5176</v>
      </c>
      <c r="BN527" s="934">
        <v>4892</v>
      </c>
      <c r="BO527" s="114">
        <v>0</v>
      </c>
      <c r="BP527" s="114">
        <v>0</v>
      </c>
    </row>
    <row r="528" spans="1:68">
      <c r="A528" t="s">
        <v>3042</v>
      </c>
      <c r="B528" t="s">
        <v>2859</v>
      </c>
      <c r="C528" s="121">
        <v>4374</v>
      </c>
      <c r="D528" s="72">
        <v>2</v>
      </c>
      <c r="E528">
        <v>87.756</v>
      </c>
      <c r="F528">
        <v>36</v>
      </c>
      <c r="G528">
        <v>22</v>
      </c>
      <c r="H528">
        <v>2</v>
      </c>
      <c r="I528" s="173">
        <v>1.04</v>
      </c>
      <c r="J528" s="121">
        <v>146199838</v>
      </c>
      <c r="K528" s="125">
        <v>558.66600000000005</v>
      </c>
      <c r="L528" s="173">
        <v>1.5</v>
      </c>
      <c r="M528">
        <v>1.04</v>
      </c>
      <c r="N528">
        <v>1.000000005</v>
      </c>
      <c r="O528">
        <v>3.9999995000000066</v>
      </c>
      <c r="P528">
        <v>292.75200000000001</v>
      </c>
      <c r="Q528" s="125">
        <v>1.7000000000000001E-2</v>
      </c>
      <c r="R528" s="125">
        <v>0</v>
      </c>
      <c r="S528" s="125">
        <v>0.45500000000000002</v>
      </c>
      <c r="T528" s="125">
        <v>15.212999999999999</v>
      </c>
      <c r="U528" s="125">
        <v>0.17199999999999999</v>
      </c>
      <c r="V528" s="125">
        <v>0</v>
      </c>
      <c r="W528" s="125">
        <v>3.6160000000000001</v>
      </c>
      <c r="X528" s="125">
        <v>0</v>
      </c>
      <c r="Y528" s="125">
        <v>0</v>
      </c>
      <c r="Z528" s="125">
        <v>0.20100000000000001</v>
      </c>
      <c r="AA528" s="125">
        <v>22.324999999999999</v>
      </c>
      <c r="AB528" s="125">
        <v>11.446</v>
      </c>
      <c r="AC528" s="125">
        <v>233.9</v>
      </c>
      <c r="AD528" s="125">
        <v>0.28199999999999997</v>
      </c>
      <c r="AE528" s="125">
        <v>0</v>
      </c>
      <c r="AF528" s="125">
        <v>14.637600000000001</v>
      </c>
      <c r="AG528" s="125">
        <v>0</v>
      </c>
      <c r="AH528" s="125">
        <v>0</v>
      </c>
      <c r="AI528" s="121">
        <v>1371981</v>
      </c>
      <c r="AJ528" s="121">
        <v>0</v>
      </c>
      <c r="AK528" s="424">
        <v>12</v>
      </c>
      <c r="AL528">
        <v>0</v>
      </c>
      <c r="AM528" s="121">
        <v>48977</v>
      </c>
      <c r="AN528" s="125">
        <v>0</v>
      </c>
      <c r="AO528" s="125">
        <v>0</v>
      </c>
      <c r="AP528" s="121">
        <v>1371981</v>
      </c>
      <c r="AQ528" s="114">
        <v>0</v>
      </c>
      <c r="AR528" s="121">
        <v>97.450890572999995</v>
      </c>
      <c r="AS528" s="121">
        <v>19149.406016000001</v>
      </c>
      <c r="AT528" s="121">
        <v>2521.9681853000002</v>
      </c>
      <c r="AU528" s="420" t="s">
        <v>2001</v>
      </c>
      <c r="AV528" s="420" t="s">
        <v>2001</v>
      </c>
      <c r="AW528" s="121">
        <v>0</v>
      </c>
      <c r="AX528" s="121">
        <v>0</v>
      </c>
      <c r="BI528">
        <v>0</v>
      </c>
      <c r="BJ528" s="121">
        <v>0</v>
      </c>
      <c r="BK528" s="134">
        <v>146199838</v>
      </c>
      <c r="BL528" s="934">
        <v>4246</v>
      </c>
      <c r="BM528" s="934">
        <v>4374</v>
      </c>
      <c r="BN528" s="934">
        <v>4374</v>
      </c>
      <c r="BO528" s="114">
        <v>0</v>
      </c>
      <c r="BP528" s="114">
        <v>0</v>
      </c>
    </row>
    <row r="529" spans="1:68">
      <c r="A529" t="s">
        <v>995</v>
      </c>
      <c r="B529" t="s">
        <v>1632</v>
      </c>
      <c r="C529" s="121">
        <v>4629</v>
      </c>
      <c r="D529" s="72">
        <v>1</v>
      </c>
      <c r="E529">
        <v>367.93299999999999</v>
      </c>
      <c r="F529">
        <v>122</v>
      </c>
      <c r="G529">
        <v>106</v>
      </c>
      <c r="H529">
        <v>13</v>
      </c>
      <c r="I529" s="173">
        <v>1.04</v>
      </c>
      <c r="J529" s="121">
        <v>212191561</v>
      </c>
      <c r="K529" s="125">
        <v>1863.154</v>
      </c>
      <c r="L529" s="173">
        <v>1.5</v>
      </c>
      <c r="M529">
        <v>1.04</v>
      </c>
      <c r="N529">
        <v>1.000000005</v>
      </c>
      <c r="O529">
        <v>3.9999995000000066</v>
      </c>
      <c r="P529">
        <v>1352.9860000000001</v>
      </c>
      <c r="Q529" s="125">
        <v>0.11899999999999999</v>
      </c>
      <c r="R529" s="125">
        <v>0</v>
      </c>
      <c r="S529" s="125">
        <v>3.1680000000000001</v>
      </c>
      <c r="T529" s="125">
        <v>49.241999999999997</v>
      </c>
      <c r="U529" s="125">
        <v>0.503</v>
      </c>
      <c r="V529" s="125">
        <v>7.77</v>
      </c>
      <c r="W529" s="125">
        <v>4.476</v>
      </c>
      <c r="X529" s="125">
        <v>0</v>
      </c>
      <c r="Y529" s="125">
        <v>0</v>
      </c>
      <c r="Z529" s="125">
        <v>0</v>
      </c>
      <c r="AA529" s="125">
        <v>1.609</v>
      </c>
      <c r="AB529" s="125">
        <v>68.995000000000005</v>
      </c>
      <c r="AC529" s="125">
        <v>731.4</v>
      </c>
      <c r="AD529" s="125">
        <v>0.13</v>
      </c>
      <c r="AE529" s="125">
        <v>2.238</v>
      </c>
      <c r="AF529" s="125">
        <v>67.649000000000001</v>
      </c>
      <c r="AG529" s="125">
        <v>0</v>
      </c>
      <c r="AH529" s="125">
        <v>0</v>
      </c>
      <c r="AI529" s="121">
        <v>2270789</v>
      </c>
      <c r="AJ529" s="121">
        <v>382927</v>
      </c>
      <c r="AK529" s="424">
        <v>12</v>
      </c>
      <c r="AL529">
        <v>0</v>
      </c>
      <c r="AM529" s="121">
        <v>180250</v>
      </c>
      <c r="AN529" s="125">
        <v>0</v>
      </c>
      <c r="AO529" s="125">
        <v>0</v>
      </c>
      <c r="AP529" s="121">
        <v>2653716</v>
      </c>
      <c r="AQ529" s="114">
        <v>0</v>
      </c>
      <c r="AR529" s="121">
        <v>141.43830030000001</v>
      </c>
      <c r="AS529" s="121">
        <v>27793.070158999999</v>
      </c>
      <c r="AT529" s="121">
        <v>3660.3348768999999</v>
      </c>
      <c r="AU529" s="420" t="s">
        <v>2001</v>
      </c>
      <c r="AV529" s="420" t="s">
        <v>2001</v>
      </c>
      <c r="AW529" s="121">
        <v>0</v>
      </c>
      <c r="AX529" s="121">
        <v>905750</v>
      </c>
      <c r="BI529">
        <v>0</v>
      </c>
      <c r="BJ529" s="121">
        <v>0</v>
      </c>
      <c r="BK529" s="134">
        <v>212191561</v>
      </c>
      <c r="BL529" s="934">
        <v>4629</v>
      </c>
      <c r="BM529" s="934">
        <v>4471</v>
      </c>
      <c r="BN529" s="934">
        <v>4471</v>
      </c>
      <c r="BO529" s="114">
        <v>0</v>
      </c>
      <c r="BP529" s="114">
        <v>0</v>
      </c>
    </row>
    <row r="530" spans="1:68">
      <c r="A530" t="s">
        <v>51</v>
      </c>
      <c r="B530" t="s">
        <v>446</v>
      </c>
      <c r="C530" s="121">
        <v>4563</v>
      </c>
      <c r="D530" s="72">
        <v>3</v>
      </c>
      <c r="E530">
        <v>760.14499999999998</v>
      </c>
      <c r="F530">
        <v>235</v>
      </c>
      <c r="G530">
        <v>220</v>
      </c>
      <c r="H530">
        <v>5</v>
      </c>
      <c r="I530" s="173">
        <v>1.17</v>
      </c>
      <c r="J530" s="121">
        <v>584685528</v>
      </c>
      <c r="K530" s="125">
        <v>3814.2060000000001</v>
      </c>
      <c r="L530" s="173">
        <v>1.5</v>
      </c>
      <c r="M530">
        <v>1.17</v>
      </c>
      <c r="N530">
        <v>1.000000005</v>
      </c>
      <c r="O530">
        <v>16.999999499999994</v>
      </c>
      <c r="P530">
        <v>2608.7060000000001</v>
      </c>
      <c r="Q530" s="125">
        <v>0.48199999999999998</v>
      </c>
      <c r="R530" s="125">
        <v>0</v>
      </c>
      <c r="S530" s="125">
        <v>4.3840000000000003</v>
      </c>
      <c r="T530" s="125">
        <v>103.50700000000001</v>
      </c>
      <c r="U530" s="125">
        <v>19.027999999999999</v>
      </c>
      <c r="V530" s="125">
        <v>0</v>
      </c>
      <c r="W530" s="125">
        <v>14.321</v>
      </c>
      <c r="X530" s="125">
        <v>0</v>
      </c>
      <c r="Y530" s="125">
        <v>0</v>
      </c>
      <c r="Z530" s="125">
        <v>0</v>
      </c>
      <c r="AA530" s="125">
        <v>21.192</v>
      </c>
      <c r="AB530" s="125">
        <v>178.02</v>
      </c>
      <c r="AC530" s="125">
        <v>2328.9</v>
      </c>
      <c r="AD530" s="125">
        <v>1.33</v>
      </c>
      <c r="AE530" s="125">
        <v>108.586</v>
      </c>
      <c r="AF530" s="125">
        <v>130.435</v>
      </c>
      <c r="AG530" s="125">
        <v>0</v>
      </c>
      <c r="AH530" s="125">
        <v>0</v>
      </c>
      <c r="AI530" s="121">
        <v>6402980</v>
      </c>
      <c r="AJ530" s="121">
        <v>773162</v>
      </c>
      <c r="AK530" s="424">
        <v>12</v>
      </c>
      <c r="AL530">
        <v>0</v>
      </c>
      <c r="AM530" s="121">
        <v>282038</v>
      </c>
      <c r="AN530" s="125">
        <v>0</v>
      </c>
      <c r="AO530" s="125">
        <v>0</v>
      </c>
      <c r="AP530" s="121">
        <v>7176142</v>
      </c>
      <c r="AQ530" s="114">
        <v>0</v>
      </c>
      <c r="AR530" s="121">
        <v>389.72769182000002</v>
      </c>
      <c r="AS530" s="121">
        <v>76582.715278999996</v>
      </c>
      <c r="AT530" s="121">
        <v>10085.909261000001</v>
      </c>
      <c r="AU530" s="420" t="s">
        <v>2001</v>
      </c>
      <c r="AV530" s="420" t="s">
        <v>2001</v>
      </c>
      <c r="AW530" s="121">
        <v>0</v>
      </c>
      <c r="AX530" s="121">
        <v>1467535</v>
      </c>
      <c r="BI530">
        <v>0</v>
      </c>
      <c r="BJ530" s="121">
        <v>0</v>
      </c>
      <c r="BK530" s="134">
        <v>584685528</v>
      </c>
      <c r="BL530" s="934">
        <v>4189</v>
      </c>
      <c r="BM530" s="934">
        <v>4558</v>
      </c>
      <c r="BN530" s="934">
        <v>4563</v>
      </c>
      <c r="BO530" s="114">
        <v>0</v>
      </c>
      <c r="BP530" s="114">
        <v>0</v>
      </c>
    </row>
    <row r="531" spans="1:68">
      <c r="A531" t="s">
        <v>61</v>
      </c>
      <c r="B531" t="s">
        <v>2296</v>
      </c>
      <c r="C531" s="121">
        <v>4289</v>
      </c>
      <c r="D531" s="72">
        <v>1</v>
      </c>
      <c r="E531">
        <v>398.61500000000001</v>
      </c>
      <c r="F531">
        <v>114</v>
      </c>
      <c r="G531">
        <v>74</v>
      </c>
      <c r="H531">
        <v>12</v>
      </c>
      <c r="I531" s="173">
        <v>1.04</v>
      </c>
      <c r="J531" s="121">
        <v>150734636</v>
      </c>
      <c r="K531" s="125">
        <v>2057.096</v>
      </c>
      <c r="L531" s="173">
        <v>1.5</v>
      </c>
      <c r="M531">
        <v>1.04</v>
      </c>
      <c r="N531">
        <v>1.000000005</v>
      </c>
      <c r="O531">
        <v>3.9999995000000066</v>
      </c>
      <c r="P531">
        <v>1442.0360000000001</v>
      </c>
      <c r="Q531" s="125">
        <v>0.22800000000000001</v>
      </c>
      <c r="R531" s="125">
        <v>0</v>
      </c>
      <c r="S531" s="125">
        <v>3.4580000000000002</v>
      </c>
      <c r="T531" s="125">
        <v>39.302</v>
      </c>
      <c r="U531" s="125">
        <v>10.94</v>
      </c>
      <c r="V531" s="125">
        <v>0.50900000000000001</v>
      </c>
      <c r="W531" s="125">
        <v>0.88200000000000001</v>
      </c>
      <c r="X531" s="125">
        <v>0</v>
      </c>
      <c r="Y531" s="125">
        <v>0</v>
      </c>
      <c r="Z531" s="125">
        <v>0</v>
      </c>
      <c r="AA531" s="125">
        <v>47.911000000000001</v>
      </c>
      <c r="AB531" s="125">
        <v>69.188999999999993</v>
      </c>
      <c r="AC531" s="125">
        <v>986.2</v>
      </c>
      <c r="AD531" s="125">
        <v>8.4000000000000005E-2</v>
      </c>
      <c r="AE531" s="125">
        <v>20.898</v>
      </c>
      <c r="AF531" s="125">
        <v>72.101799999999997</v>
      </c>
      <c r="AG531" s="125">
        <v>0</v>
      </c>
      <c r="AH531" s="125">
        <v>0</v>
      </c>
      <c r="AI531" s="121">
        <v>1547261</v>
      </c>
      <c r="AJ531" s="121">
        <v>157518</v>
      </c>
      <c r="AK531" s="424">
        <v>12</v>
      </c>
      <c r="AL531">
        <v>0</v>
      </c>
      <c r="AM531" s="121">
        <v>157634</v>
      </c>
      <c r="AN531" s="125">
        <v>0</v>
      </c>
      <c r="AO531" s="125">
        <v>0</v>
      </c>
      <c r="AP531" s="121">
        <v>1704779</v>
      </c>
      <c r="AQ531" s="114">
        <v>0</v>
      </c>
      <c r="AR531" s="121">
        <v>100.47360325</v>
      </c>
      <c r="AS531" s="121">
        <v>19743.378549000001</v>
      </c>
      <c r="AT531" s="121">
        <v>2600.1941015000002</v>
      </c>
      <c r="AU531" s="420" t="s">
        <v>2001</v>
      </c>
      <c r="AV531" s="420" t="s">
        <v>2001</v>
      </c>
      <c r="AW531" s="121">
        <v>0</v>
      </c>
      <c r="AX531" s="121">
        <v>477204</v>
      </c>
      <c r="BI531">
        <v>0</v>
      </c>
      <c r="BJ531" s="121">
        <v>0</v>
      </c>
      <c r="BK531" s="134">
        <v>150734636</v>
      </c>
      <c r="BL531" s="934">
        <v>4289</v>
      </c>
      <c r="BM531" s="934">
        <v>4228</v>
      </c>
      <c r="BN531" s="934">
        <v>4228</v>
      </c>
      <c r="BO531" s="114">
        <v>0</v>
      </c>
      <c r="BP531" s="114">
        <v>0</v>
      </c>
    </row>
    <row r="532" spans="1:68">
      <c r="A532" t="s">
        <v>3043</v>
      </c>
      <c r="B532" t="s">
        <v>2860</v>
      </c>
      <c r="C532" s="121">
        <v>5377</v>
      </c>
      <c r="D532" s="72">
        <v>2</v>
      </c>
      <c r="E532">
        <v>133.614</v>
      </c>
      <c r="F532">
        <v>43</v>
      </c>
      <c r="G532">
        <v>24</v>
      </c>
      <c r="H532">
        <v>0</v>
      </c>
      <c r="I532" s="173">
        <v>1.04</v>
      </c>
      <c r="J532" s="121">
        <v>417716546</v>
      </c>
      <c r="K532" s="125">
        <v>647.39</v>
      </c>
      <c r="L532" s="173">
        <v>1.5</v>
      </c>
      <c r="M532">
        <v>1.04</v>
      </c>
      <c r="N532">
        <v>1.000000005</v>
      </c>
      <c r="O532">
        <v>3.9999995000000066</v>
      </c>
      <c r="P532">
        <v>395.22300000000001</v>
      </c>
      <c r="Q532" s="125">
        <v>0</v>
      </c>
      <c r="R532" s="125">
        <v>0</v>
      </c>
      <c r="S532" s="125">
        <v>0.88500000000000001</v>
      </c>
      <c r="T532" s="125">
        <v>13.634</v>
      </c>
      <c r="U532" s="125">
        <v>1.998</v>
      </c>
      <c r="V532" s="125">
        <v>0</v>
      </c>
      <c r="W532" s="125">
        <v>0</v>
      </c>
      <c r="X532" s="125">
        <v>0</v>
      </c>
      <c r="Y532" s="125">
        <v>0</v>
      </c>
      <c r="Z532" s="125">
        <v>0</v>
      </c>
      <c r="AA532" s="125">
        <v>9.9870000000000001</v>
      </c>
      <c r="AB532" s="125">
        <v>26.448</v>
      </c>
      <c r="AC532" s="125">
        <v>159.5</v>
      </c>
      <c r="AD532" s="125">
        <v>0.155</v>
      </c>
      <c r="AE532" s="125">
        <v>0</v>
      </c>
      <c r="AF532" s="125">
        <v>19.760999999999999</v>
      </c>
      <c r="AG532" s="125">
        <v>0</v>
      </c>
      <c r="AH532" s="125">
        <v>0</v>
      </c>
      <c r="AI532" s="121">
        <v>4180603</v>
      </c>
      <c r="AJ532" s="121">
        <v>296063</v>
      </c>
      <c r="AK532" s="424">
        <v>12</v>
      </c>
      <c r="AL532">
        <v>0</v>
      </c>
      <c r="AM532" s="121">
        <v>17760</v>
      </c>
      <c r="AN532" s="125">
        <v>0</v>
      </c>
      <c r="AO532" s="125">
        <v>0</v>
      </c>
      <c r="AP532" s="121">
        <v>4476666</v>
      </c>
      <c r="AQ532" s="114">
        <v>0</v>
      </c>
      <c r="AR532" s="121">
        <v>0</v>
      </c>
      <c r="AS532" s="121">
        <v>0</v>
      </c>
      <c r="AT532" s="121">
        <v>0</v>
      </c>
      <c r="AU532" s="420" t="s">
        <v>798</v>
      </c>
      <c r="AV532" s="420" t="s">
        <v>2001</v>
      </c>
      <c r="AW532" s="121">
        <v>0</v>
      </c>
      <c r="AX532" s="121">
        <v>0</v>
      </c>
      <c r="AY532" s="134">
        <v>1312063</v>
      </c>
      <c r="AZ532" s="134">
        <v>1390398</v>
      </c>
      <c r="BA532" s="114">
        <v>524</v>
      </c>
      <c r="BB532" s="134">
        <v>339344792</v>
      </c>
      <c r="BC532" s="114">
        <v>0</v>
      </c>
      <c r="BD532" s="114">
        <v>0</v>
      </c>
      <c r="BE532" s="114">
        <v>0</v>
      </c>
      <c r="BF532" s="114">
        <v>449</v>
      </c>
      <c r="BG532" s="114">
        <v>0</v>
      </c>
      <c r="BH532" s="114">
        <v>0</v>
      </c>
      <c r="BI532">
        <v>0</v>
      </c>
      <c r="BJ532" s="121">
        <v>0</v>
      </c>
      <c r="BK532" s="134">
        <v>390652187</v>
      </c>
      <c r="BL532" s="934">
        <v>5377</v>
      </c>
      <c r="BM532" s="934">
        <v>5192</v>
      </c>
      <c r="BN532" s="934">
        <v>5181</v>
      </c>
      <c r="BO532" s="114">
        <v>0</v>
      </c>
      <c r="BP532" s="114">
        <v>0</v>
      </c>
    </row>
    <row r="533" spans="1:68">
      <c r="A533" t="s">
        <v>3044</v>
      </c>
      <c r="B533" t="s">
        <v>2861</v>
      </c>
      <c r="C533" s="121">
        <v>5585</v>
      </c>
      <c r="D533" s="72">
        <v>2</v>
      </c>
      <c r="E533">
        <v>167.75399999999999</v>
      </c>
      <c r="F533">
        <v>47</v>
      </c>
      <c r="G533">
        <v>25</v>
      </c>
      <c r="H533">
        <v>0</v>
      </c>
      <c r="I533" s="173">
        <v>1.02</v>
      </c>
      <c r="J533" s="121">
        <v>149103691</v>
      </c>
      <c r="K533" s="125">
        <v>1019.672</v>
      </c>
      <c r="L533" s="173">
        <v>1.47</v>
      </c>
      <c r="M533">
        <v>1.02</v>
      </c>
      <c r="N533">
        <v>0.98000000490000005</v>
      </c>
      <c r="O533">
        <v>3.9999995099999963</v>
      </c>
      <c r="P533">
        <v>354.745</v>
      </c>
      <c r="Q533" s="125">
        <v>2.1999999999999999E-2</v>
      </c>
      <c r="R533" s="125">
        <v>0</v>
      </c>
      <c r="S533" s="125">
        <v>0.56200000000000006</v>
      </c>
      <c r="T533" s="125">
        <v>7.0739999999999998</v>
      </c>
      <c r="U533" s="125">
        <v>0.85099999999999998</v>
      </c>
      <c r="V533" s="125">
        <v>0</v>
      </c>
      <c r="W533" s="125">
        <v>0</v>
      </c>
      <c r="X533" s="125">
        <v>0</v>
      </c>
      <c r="Y533" s="125">
        <v>0</v>
      </c>
      <c r="Z533" s="125">
        <v>66.393000000000001</v>
      </c>
      <c r="AA533" s="125">
        <v>18.956</v>
      </c>
      <c r="AB533" s="125">
        <v>8.9039999999999999</v>
      </c>
      <c r="AC533" s="125">
        <v>235.3</v>
      </c>
      <c r="AD533" s="125">
        <v>0</v>
      </c>
      <c r="AE533" s="125">
        <v>20.977</v>
      </c>
      <c r="AF533" s="125">
        <v>17.736999999999998</v>
      </c>
      <c r="AG533" s="125">
        <v>0</v>
      </c>
      <c r="AH533" s="125">
        <v>0</v>
      </c>
      <c r="AI533" s="121">
        <v>1514820</v>
      </c>
      <c r="AJ533" s="121">
        <v>0</v>
      </c>
      <c r="AK533" s="424">
        <v>12</v>
      </c>
      <c r="AL533">
        <v>0</v>
      </c>
      <c r="AM533" s="121">
        <v>25506</v>
      </c>
      <c r="AN533" s="125">
        <v>0</v>
      </c>
      <c r="AO533" s="125">
        <v>0</v>
      </c>
      <c r="AP533" s="121">
        <v>1514820</v>
      </c>
      <c r="AQ533" s="114">
        <v>0</v>
      </c>
      <c r="AR533" s="121">
        <v>99.386481523</v>
      </c>
      <c r="AS533" s="121">
        <v>19529.755716</v>
      </c>
      <c r="AT533" s="121">
        <v>2572.0600702000002</v>
      </c>
      <c r="AU533" s="420" t="s">
        <v>2001</v>
      </c>
      <c r="AV533" s="420" t="s">
        <v>2001</v>
      </c>
      <c r="AW533" s="121">
        <v>0</v>
      </c>
      <c r="AX533" s="121">
        <v>0</v>
      </c>
      <c r="BI533">
        <v>0</v>
      </c>
      <c r="BJ533" s="121">
        <v>0</v>
      </c>
      <c r="BK533" s="134">
        <v>145814229</v>
      </c>
      <c r="BL533" s="934">
        <v>4836</v>
      </c>
      <c r="BM533" s="934">
        <v>5585</v>
      </c>
      <c r="BN533" s="934">
        <v>5018</v>
      </c>
      <c r="BO533" s="114">
        <v>0</v>
      </c>
      <c r="BP533" s="114">
        <v>0</v>
      </c>
    </row>
    <row r="534" spans="1:68">
      <c r="A534" t="s">
        <v>3045</v>
      </c>
      <c r="B534" t="s">
        <v>2618</v>
      </c>
      <c r="C534" s="121">
        <v>4720</v>
      </c>
      <c r="D534" s="72">
        <v>2</v>
      </c>
      <c r="E534">
        <v>13.504</v>
      </c>
      <c r="F534">
        <v>8</v>
      </c>
      <c r="G534">
        <v>7</v>
      </c>
      <c r="H534">
        <v>0</v>
      </c>
      <c r="I534" s="173">
        <v>0.9133</v>
      </c>
      <c r="J534" s="121">
        <v>34852786</v>
      </c>
      <c r="K534" s="125">
        <v>230.41300000000001</v>
      </c>
      <c r="L534" s="173">
        <v>1.31</v>
      </c>
      <c r="M534">
        <v>0.9133</v>
      </c>
      <c r="N534">
        <v>0.8733333377000001</v>
      </c>
      <c r="O534">
        <v>3.99666622999999</v>
      </c>
      <c r="P534">
        <v>34.503</v>
      </c>
      <c r="Q534" s="125">
        <v>0</v>
      </c>
      <c r="R534" s="125">
        <v>0</v>
      </c>
      <c r="S534" s="125">
        <v>2.9000000000000001E-2</v>
      </c>
      <c r="T534" s="125">
        <v>0.24299999999999999</v>
      </c>
      <c r="U534" s="125">
        <v>0</v>
      </c>
      <c r="V534" s="125">
        <v>0</v>
      </c>
      <c r="W534" s="125">
        <v>0</v>
      </c>
      <c r="X534" s="125">
        <v>0</v>
      </c>
      <c r="Y534" s="125">
        <v>0</v>
      </c>
      <c r="Z534" s="125">
        <v>0</v>
      </c>
      <c r="AA534" s="125">
        <v>2.1339999999999999</v>
      </c>
      <c r="AB534" s="125">
        <v>0</v>
      </c>
      <c r="AC534" s="125">
        <v>34.200000000000003</v>
      </c>
      <c r="AD534" s="125">
        <v>0</v>
      </c>
      <c r="AE534" s="125">
        <v>3.4009999999999998</v>
      </c>
      <c r="AF534" s="125">
        <v>1.7250000000000001</v>
      </c>
      <c r="AG534" s="125">
        <v>0</v>
      </c>
      <c r="AH534" s="125">
        <v>0</v>
      </c>
      <c r="AI534" s="121">
        <v>299202</v>
      </c>
      <c r="AJ534" s="121">
        <v>0</v>
      </c>
      <c r="AK534" s="424">
        <v>12</v>
      </c>
      <c r="AL534">
        <v>31</v>
      </c>
      <c r="AM534" s="121">
        <v>23085</v>
      </c>
      <c r="AN534" s="125">
        <v>0</v>
      </c>
      <c r="AO534" s="125">
        <v>0</v>
      </c>
      <c r="AP534" s="121">
        <v>299202</v>
      </c>
      <c r="AQ534" s="114">
        <v>0</v>
      </c>
      <c r="AR534" s="121">
        <v>23.231455794999999</v>
      </c>
      <c r="AS534" s="121">
        <v>4565.0540159000002</v>
      </c>
      <c r="AT534" s="121">
        <v>601.21556681000004</v>
      </c>
      <c r="AU534" s="420" t="s">
        <v>2001</v>
      </c>
      <c r="AV534" s="420" t="s">
        <v>2001</v>
      </c>
      <c r="AW534" s="121">
        <v>0</v>
      </c>
      <c r="AX534" s="121">
        <v>0</v>
      </c>
      <c r="BI534">
        <v>0</v>
      </c>
      <c r="BJ534" s="121">
        <v>0</v>
      </c>
      <c r="BK534" s="134">
        <v>32842700</v>
      </c>
      <c r="BL534" s="934">
        <v>4572</v>
      </c>
      <c r="BM534" s="934">
        <v>4720</v>
      </c>
      <c r="BN534" s="934">
        <v>4653</v>
      </c>
      <c r="BO534" s="114">
        <v>0</v>
      </c>
      <c r="BP534" s="114">
        <v>0</v>
      </c>
    </row>
    <row r="535" spans="1:68">
      <c r="A535" t="s">
        <v>2905</v>
      </c>
      <c r="B535" t="s">
        <v>426</v>
      </c>
      <c r="C535" s="121">
        <v>4615</v>
      </c>
      <c r="D535" s="72">
        <v>3</v>
      </c>
      <c r="E535">
        <v>1424.442</v>
      </c>
      <c r="F535">
        <v>365</v>
      </c>
      <c r="G535">
        <v>205</v>
      </c>
      <c r="H535">
        <v>38</v>
      </c>
      <c r="I535" s="173">
        <v>1.04</v>
      </c>
      <c r="J535" s="121">
        <v>1542435179</v>
      </c>
      <c r="K535" s="125">
        <v>6221.9520000000002</v>
      </c>
      <c r="L535" s="173">
        <v>1.47</v>
      </c>
      <c r="M535">
        <v>1.04</v>
      </c>
      <c r="N535">
        <v>0.98000000490000005</v>
      </c>
      <c r="O535">
        <v>5.9999995099999985</v>
      </c>
      <c r="P535">
        <v>4860</v>
      </c>
      <c r="Q535" s="125">
        <v>0.755</v>
      </c>
      <c r="R535" s="125">
        <v>0</v>
      </c>
      <c r="S535" s="125">
        <v>8.5180000000000007</v>
      </c>
      <c r="T535" s="125">
        <v>175.524</v>
      </c>
      <c r="U535" s="125">
        <v>64.186999999999998</v>
      </c>
      <c r="V535" s="125">
        <v>0</v>
      </c>
      <c r="W535" s="125">
        <v>16.690999999999999</v>
      </c>
      <c r="X535" s="125">
        <v>0</v>
      </c>
      <c r="Y535" s="125">
        <v>0</v>
      </c>
      <c r="Z535" s="125">
        <v>0</v>
      </c>
      <c r="AA535" s="125">
        <v>7.0190000000000001</v>
      </c>
      <c r="AB535" s="125">
        <v>235.01400000000001</v>
      </c>
      <c r="AC535" s="125">
        <v>1725.1</v>
      </c>
      <c r="AD535" s="125">
        <v>0.29499999999999998</v>
      </c>
      <c r="AE535" s="125">
        <v>122.821</v>
      </c>
      <c r="AF535" s="125">
        <v>231.333</v>
      </c>
      <c r="AG535" s="125">
        <v>0</v>
      </c>
      <c r="AH535" s="125">
        <v>0</v>
      </c>
      <c r="AI535" s="121">
        <v>16674958</v>
      </c>
      <c r="AJ535" s="121">
        <v>1047444</v>
      </c>
      <c r="AK535" s="424">
        <v>12</v>
      </c>
      <c r="AL535">
        <v>0</v>
      </c>
      <c r="AM535" s="121">
        <v>99362</v>
      </c>
      <c r="AN535" s="125">
        <v>0</v>
      </c>
      <c r="AO535" s="125">
        <v>1</v>
      </c>
      <c r="AP535" s="121">
        <v>17722402</v>
      </c>
      <c r="AQ535" s="114">
        <v>0</v>
      </c>
      <c r="AR535" s="121">
        <v>1028.1248181000001</v>
      </c>
      <c r="AS535" s="121">
        <v>202029.75529999999</v>
      </c>
      <c r="AT535" s="121">
        <v>26607.228178000001</v>
      </c>
      <c r="AU535" s="420" t="s">
        <v>2001</v>
      </c>
      <c r="AV535" s="420" t="s">
        <v>2001</v>
      </c>
      <c r="AW535" s="121">
        <v>0</v>
      </c>
      <c r="AX535" s="121">
        <v>1468210</v>
      </c>
      <c r="BI535">
        <v>0</v>
      </c>
      <c r="BJ535" s="121">
        <v>0</v>
      </c>
      <c r="BK535" s="134">
        <v>1542435179</v>
      </c>
      <c r="BL535" s="934">
        <v>4593</v>
      </c>
      <c r="BM535" s="934">
        <v>4549</v>
      </c>
      <c r="BN535" s="934">
        <v>4615</v>
      </c>
      <c r="BO535" s="114">
        <v>0</v>
      </c>
      <c r="BP535" s="114">
        <v>0</v>
      </c>
    </row>
    <row r="536" spans="1:68">
      <c r="A536" t="s">
        <v>2615</v>
      </c>
      <c r="B536" t="s">
        <v>2619</v>
      </c>
      <c r="C536" s="121">
        <v>5405</v>
      </c>
      <c r="D536" s="72">
        <v>2</v>
      </c>
      <c r="E536">
        <v>2151.9479999999999</v>
      </c>
      <c r="F536">
        <v>615</v>
      </c>
      <c r="G536">
        <v>459</v>
      </c>
      <c r="H536">
        <v>22</v>
      </c>
      <c r="I536" s="173">
        <v>1.04</v>
      </c>
      <c r="J536" s="121">
        <v>4215765371</v>
      </c>
      <c r="K536" s="125">
        <v>10908.808000000001</v>
      </c>
      <c r="L536" s="173">
        <v>1.5</v>
      </c>
      <c r="M536">
        <v>1.04</v>
      </c>
      <c r="N536">
        <v>1.000000005</v>
      </c>
      <c r="O536">
        <v>3.9999995000000066</v>
      </c>
      <c r="P536">
        <v>7909.3249999999998</v>
      </c>
      <c r="Q536" s="125">
        <v>2.2269999999999999</v>
      </c>
      <c r="R536" s="125">
        <v>3.988</v>
      </c>
      <c r="S536" s="125">
        <v>12.385999999999999</v>
      </c>
      <c r="T536" s="125">
        <v>144.839</v>
      </c>
      <c r="U536" s="125">
        <v>53.65</v>
      </c>
      <c r="V536" s="125">
        <v>3.782</v>
      </c>
      <c r="W536" s="125">
        <v>17.736999999999998</v>
      </c>
      <c r="X536" s="125">
        <v>0</v>
      </c>
      <c r="Y536" s="125">
        <v>0</v>
      </c>
      <c r="Z536" s="125">
        <v>9.9689999999999994</v>
      </c>
      <c r="AA536" s="125">
        <v>163.679</v>
      </c>
      <c r="AB536" s="125">
        <v>376.20600000000002</v>
      </c>
      <c r="AC536" s="125">
        <v>7830.2</v>
      </c>
      <c r="AD536" s="125">
        <v>0.80500000000000005</v>
      </c>
      <c r="AE536" s="125">
        <v>328.286</v>
      </c>
      <c r="AF536" s="125">
        <v>395.46600000000001</v>
      </c>
      <c r="AG536" s="125">
        <v>0</v>
      </c>
      <c r="AH536" s="125">
        <v>0</v>
      </c>
      <c r="AI536" s="121">
        <v>46237045</v>
      </c>
      <c r="AJ536" s="121">
        <v>4049898</v>
      </c>
      <c r="AK536" s="424">
        <v>12</v>
      </c>
      <c r="AL536">
        <v>0</v>
      </c>
      <c r="AM536" s="121">
        <v>342302</v>
      </c>
      <c r="AN536" s="125">
        <v>1</v>
      </c>
      <c r="AO536" s="125">
        <v>1</v>
      </c>
      <c r="AP536" s="121">
        <v>50286943</v>
      </c>
      <c r="AQ536" s="114">
        <v>0</v>
      </c>
      <c r="AR536" s="121">
        <v>0</v>
      </c>
      <c r="AS536" s="121">
        <v>0</v>
      </c>
      <c r="AT536" s="121">
        <v>0</v>
      </c>
      <c r="AU536" s="420" t="s">
        <v>798</v>
      </c>
      <c r="AV536" s="420" t="s">
        <v>2001</v>
      </c>
      <c r="AW536" s="121">
        <v>0</v>
      </c>
      <c r="AX536" s="121">
        <v>5668844</v>
      </c>
      <c r="AY536" s="134">
        <v>13044858</v>
      </c>
      <c r="AZ536" s="134">
        <v>33615751</v>
      </c>
      <c r="BA536" s="134">
        <v>14149</v>
      </c>
      <c r="BB536" s="134">
        <v>2721854092</v>
      </c>
      <c r="BC536" s="114">
        <v>0</v>
      </c>
      <c r="BD536" s="114">
        <v>0</v>
      </c>
      <c r="BE536" s="114">
        <v>0</v>
      </c>
      <c r="BF536" s="134">
        <v>9097</v>
      </c>
      <c r="BG536" s="114">
        <v>0</v>
      </c>
      <c r="BH536" s="114">
        <v>0</v>
      </c>
      <c r="BI536">
        <v>0</v>
      </c>
      <c r="BJ536" s="121">
        <v>0</v>
      </c>
      <c r="BK536" s="134">
        <v>4215765371</v>
      </c>
      <c r="BL536" s="934">
        <v>4708</v>
      </c>
      <c r="BM536" s="934">
        <v>5405</v>
      </c>
      <c r="BN536" s="934">
        <v>4598</v>
      </c>
      <c r="BO536" s="114">
        <v>0</v>
      </c>
      <c r="BP536" s="114">
        <v>0</v>
      </c>
    </row>
    <row r="537" spans="1:68">
      <c r="A537" t="s">
        <v>2616</v>
      </c>
      <c r="B537" t="s">
        <v>3089</v>
      </c>
      <c r="C537" s="121">
        <v>5026</v>
      </c>
      <c r="D537" s="72">
        <v>2</v>
      </c>
      <c r="E537">
        <v>1310.309</v>
      </c>
      <c r="F537">
        <v>372</v>
      </c>
      <c r="G537">
        <v>207</v>
      </c>
      <c r="H537">
        <v>10</v>
      </c>
      <c r="I537" s="173">
        <v>1.04</v>
      </c>
      <c r="J537" s="121">
        <v>3082350313</v>
      </c>
      <c r="K537" s="125">
        <v>5318.558</v>
      </c>
      <c r="L537" s="173">
        <v>1.5</v>
      </c>
      <c r="M537">
        <v>1.04</v>
      </c>
      <c r="N537">
        <v>1.000000005</v>
      </c>
      <c r="O537">
        <v>3.9999995000000066</v>
      </c>
      <c r="P537">
        <v>4271.1030000000001</v>
      </c>
      <c r="Q537" s="125">
        <v>0.432</v>
      </c>
      <c r="R537" s="125">
        <v>0</v>
      </c>
      <c r="S537" s="125">
        <v>7.0860000000000003</v>
      </c>
      <c r="T537" s="125">
        <v>97.536000000000001</v>
      </c>
      <c r="U537" s="125">
        <v>57.805999999999997</v>
      </c>
      <c r="V537" s="125">
        <v>0</v>
      </c>
      <c r="W537" s="125">
        <v>0</v>
      </c>
      <c r="X537" s="125">
        <v>0</v>
      </c>
      <c r="Y537" s="125">
        <v>0.95499999999999996</v>
      </c>
      <c r="Z537" s="125">
        <v>0</v>
      </c>
      <c r="AA537" s="125">
        <v>59.363999999999997</v>
      </c>
      <c r="AB537" s="125">
        <v>279.66300000000001</v>
      </c>
      <c r="AC537" s="125">
        <v>1455.6</v>
      </c>
      <c r="AD537" s="125">
        <v>0</v>
      </c>
      <c r="AE537" s="125">
        <v>79.658000000000001</v>
      </c>
      <c r="AF537" s="125">
        <v>213.55500000000001</v>
      </c>
      <c r="AG537" s="125">
        <v>0</v>
      </c>
      <c r="AH537" s="125">
        <v>0</v>
      </c>
      <c r="AI537" s="121">
        <v>33322673</v>
      </c>
      <c r="AJ537" s="121">
        <v>3008044</v>
      </c>
      <c r="AK537" s="424">
        <v>12</v>
      </c>
      <c r="AL537">
        <v>0</v>
      </c>
      <c r="AM537" s="121">
        <v>138226</v>
      </c>
      <c r="AN537" s="125">
        <v>0</v>
      </c>
      <c r="AO537" s="125">
        <v>0</v>
      </c>
      <c r="AP537" s="121">
        <v>36330717</v>
      </c>
      <c r="AQ537" s="114">
        <v>0</v>
      </c>
      <c r="AR537" s="121">
        <v>0</v>
      </c>
      <c r="AS537" s="121">
        <v>0</v>
      </c>
      <c r="AT537" s="121">
        <v>0</v>
      </c>
      <c r="AU537" s="420" t="s">
        <v>798</v>
      </c>
      <c r="AV537" s="420" t="s">
        <v>2001</v>
      </c>
      <c r="AW537" s="121">
        <v>0</v>
      </c>
      <c r="AX537" s="121">
        <v>3044361</v>
      </c>
      <c r="AY537" s="134">
        <v>5347619</v>
      </c>
      <c r="AZ537" s="134">
        <v>13614738</v>
      </c>
      <c r="BA537" s="134">
        <v>5825</v>
      </c>
      <c r="BB537" s="134">
        <v>1187183072</v>
      </c>
      <c r="BC537" s="114">
        <v>0</v>
      </c>
      <c r="BD537" s="114">
        <v>0</v>
      </c>
      <c r="BE537" s="114">
        <v>0</v>
      </c>
      <c r="BF537" s="134">
        <v>4625</v>
      </c>
      <c r="BG537" s="114">
        <v>0</v>
      </c>
      <c r="BH537" s="114">
        <v>0</v>
      </c>
      <c r="BI537">
        <v>0</v>
      </c>
      <c r="BJ537" s="121">
        <v>7376</v>
      </c>
      <c r="BK537" s="134">
        <v>3082350313</v>
      </c>
      <c r="BL537" s="934">
        <v>4874</v>
      </c>
      <c r="BM537" s="934">
        <v>5026</v>
      </c>
      <c r="BN537" s="934">
        <v>4745</v>
      </c>
      <c r="BO537" s="114">
        <v>0</v>
      </c>
      <c r="BP537" s="114">
        <v>0</v>
      </c>
    </row>
    <row r="538" spans="1:68">
      <c r="A538" t="s">
        <v>1501</v>
      </c>
      <c r="B538" t="s">
        <v>3090</v>
      </c>
      <c r="C538" s="121">
        <v>5286</v>
      </c>
      <c r="D538" s="72">
        <v>3</v>
      </c>
      <c r="E538">
        <v>5027.5309999999999</v>
      </c>
      <c r="F538">
        <v>1534</v>
      </c>
      <c r="G538">
        <v>1145</v>
      </c>
      <c r="H538">
        <v>48</v>
      </c>
      <c r="I538" s="173">
        <v>1.04</v>
      </c>
      <c r="J538" s="121">
        <v>8300301778</v>
      </c>
      <c r="K538" s="125">
        <v>23425.827000000001</v>
      </c>
      <c r="L538" s="173">
        <v>1.4750000000000001</v>
      </c>
      <c r="M538">
        <v>1.04</v>
      </c>
      <c r="N538">
        <v>0.98333333825000013</v>
      </c>
      <c r="O538">
        <v>5.6666661749999907</v>
      </c>
      <c r="P538">
        <v>17181.719000000001</v>
      </c>
      <c r="Q538" s="125">
        <v>4.9560000000000004</v>
      </c>
      <c r="R538" s="125">
        <v>17.073</v>
      </c>
      <c r="S538" s="125">
        <v>26.88</v>
      </c>
      <c r="T538" s="125">
        <v>251.048</v>
      </c>
      <c r="U538" s="125">
        <v>183.834</v>
      </c>
      <c r="V538" s="125">
        <v>0.20699999999999999</v>
      </c>
      <c r="W538" s="125">
        <v>18.027000000000001</v>
      </c>
      <c r="X538" s="125">
        <v>0</v>
      </c>
      <c r="Y538" s="125">
        <v>2.508</v>
      </c>
      <c r="Z538" s="125">
        <v>8.0890000000000004</v>
      </c>
      <c r="AA538" s="125">
        <v>554.14599999999996</v>
      </c>
      <c r="AB538" s="125">
        <v>563.86400000000003</v>
      </c>
      <c r="AC538" s="125">
        <v>15031.1</v>
      </c>
      <c r="AD538" s="125">
        <v>6.7560000000000002</v>
      </c>
      <c r="AE538" s="125">
        <v>1199.3610000000001</v>
      </c>
      <c r="AF538" s="125">
        <v>859.08595000000003</v>
      </c>
      <c r="AG538" s="125">
        <v>0</v>
      </c>
      <c r="AH538" s="125">
        <v>0</v>
      </c>
      <c r="AI538" s="121">
        <v>88826510</v>
      </c>
      <c r="AJ538" s="121">
        <v>4168675</v>
      </c>
      <c r="AK538" s="424">
        <v>12</v>
      </c>
      <c r="AL538">
        <v>0</v>
      </c>
      <c r="AM538" s="121">
        <v>1977030</v>
      </c>
      <c r="AN538" s="125">
        <v>3</v>
      </c>
      <c r="AO538" s="125">
        <v>0</v>
      </c>
      <c r="AP538" s="121">
        <v>92995185</v>
      </c>
      <c r="AQ538" s="114">
        <v>0</v>
      </c>
      <c r="AR538" s="121">
        <v>5532.6449833999995</v>
      </c>
      <c r="AS538" s="121">
        <v>1087182.1129999999</v>
      </c>
      <c r="AT538" s="121">
        <v>143181.39676999999</v>
      </c>
      <c r="AU538" s="420" t="s">
        <v>798</v>
      </c>
      <c r="AV538" s="420" t="s">
        <v>2001</v>
      </c>
      <c r="AW538" s="121">
        <v>0</v>
      </c>
      <c r="AX538" s="121">
        <v>5005710</v>
      </c>
      <c r="AY538" s="134">
        <v>20503088</v>
      </c>
      <c r="AZ538" s="134">
        <v>57848344</v>
      </c>
      <c r="BA538" s="134">
        <v>24102</v>
      </c>
      <c r="BB538" s="134">
        <v>4816460704</v>
      </c>
      <c r="BC538" s="114">
        <v>0</v>
      </c>
      <c r="BD538" s="114">
        <v>0</v>
      </c>
      <c r="BE538" s="114">
        <v>0</v>
      </c>
      <c r="BF538" s="134">
        <v>19277</v>
      </c>
      <c r="BG538" s="114">
        <v>0</v>
      </c>
      <c r="BH538" s="114">
        <v>0</v>
      </c>
      <c r="BI538">
        <v>0</v>
      </c>
      <c r="BJ538" s="121">
        <v>0</v>
      </c>
      <c r="BK538" s="134">
        <v>8300301778</v>
      </c>
      <c r="BL538" s="934">
        <v>5137</v>
      </c>
      <c r="BM538" s="934">
        <v>5275</v>
      </c>
      <c r="BN538" s="934">
        <v>5286</v>
      </c>
      <c r="BO538" s="114">
        <v>0</v>
      </c>
      <c r="BP538" s="114">
        <v>0</v>
      </c>
    </row>
    <row r="539" spans="1:68">
      <c r="A539" t="s">
        <v>1502</v>
      </c>
      <c r="B539" t="s">
        <v>3091</v>
      </c>
      <c r="C539" s="121">
        <v>6620</v>
      </c>
      <c r="D539" s="72">
        <v>1</v>
      </c>
      <c r="E539">
        <v>100.253</v>
      </c>
      <c r="F539">
        <v>30</v>
      </c>
      <c r="G539">
        <v>16</v>
      </c>
      <c r="H539">
        <v>3</v>
      </c>
      <c r="I539" s="173">
        <v>1.04</v>
      </c>
      <c r="J539" s="121">
        <v>515016589</v>
      </c>
      <c r="K539" s="125">
        <v>624.00300000000004</v>
      </c>
      <c r="L539" s="173">
        <v>1.5</v>
      </c>
      <c r="M539">
        <v>1.04</v>
      </c>
      <c r="N539">
        <v>1.000000005</v>
      </c>
      <c r="O539">
        <v>3.9999995000000066</v>
      </c>
      <c r="P539">
        <v>344.767</v>
      </c>
      <c r="Q539" s="125">
        <v>0</v>
      </c>
      <c r="R539" s="125">
        <v>0</v>
      </c>
      <c r="S539" s="125">
        <v>0.318</v>
      </c>
      <c r="T539" s="125">
        <v>9.8030000000000008</v>
      </c>
      <c r="U539" s="125">
        <v>0.23899999999999999</v>
      </c>
      <c r="V539" s="125">
        <v>0</v>
      </c>
      <c r="W539" s="125">
        <v>1.2030000000000001</v>
      </c>
      <c r="X539" s="125">
        <v>0</v>
      </c>
      <c r="Y539" s="125">
        <v>0</v>
      </c>
      <c r="Z539" s="125">
        <v>0</v>
      </c>
      <c r="AA539" s="125">
        <v>0.97099999999999997</v>
      </c>
      <c r="AB539" s="125">
        <v>9.7739999999999991</v>
      </c>
      <c r="AC539" s="125">
        <v>129.30000000000001</v>
      </c>
      <c r="AD539" s="125">
        <v>0</v>
      </c>
      <c r="AE539" s="125">
        <v>1.8939999999999999</v>
      </c>
      <c r="AF539" s="125">
        <v>17.238</v>
      </c>
      <c r="AG539" s="125">
        <v>0</v>
      </c>
      <c r="AH539" s="125">
        <v>0</v>
      </c>
      <c r="AI539" s="121">
        <v>5511502</v>
      </c>
      <c r="AJ539" s="121">
        <v>760362</v>
      </c>
      <c r="AK539" s="424">
        <v>12</v>
      </c>
      <c r="AL539">
        <v>0</v>
      </c>
      <c r="AM539" s="121">
        <v>45450</v>
      </c>
      <c r="AN539" s="125">
        <v>0</v>
      </c>
      <c r="AO539" s="125">
        <v>0</v>
      </c>
      <c r="AP539" s="121">
        <v>6271864</v>
      </c>
      <c r="AQ539" s="114">
        <v>0</v>
      </c>
      <c r="AR539" s="121">
        <v>0</v>
      </c>
      <c r="AS539" s="121">
        <v>0</v>
      </c>
      <c r="AT539" s="121">
        <v>0</v>
      </c>
      <c r="AU539" s="420" t="s">
        <v>798</v>
      </c>
      <c r="AV539" s="420" t="s">
        <v>2001</v>
      </c>
      <c r="AW539" s="121">
        <v>0</v>
      </c>
      <c r="AX539" s="121">
        <v>716328</v>
      </c>
      <c r="AY539" s="134">
        <v>1031146</v>
      </c>
      <c r="AZ539" s="134">
        <v>860193</v>
      </c>
      <c r="BA539" s="114">
        <v>350</v>
      </c>
      <c r="BB539" s="134">
        <v>311364499</v>
      </c>
      <c r="BC539" s="114">
        <v>0</v>
      </c>
      <c r="BD539" s="114">
        <v>0</v>
      </c>
      <c r="BE539" s="114">
        <v>0</v>
      </c>
      <c r="BF539" s="114">
        <v>278</v>
      </c>
      <c r="BG539" s="114">
        <v>0</v>
      </c>
      <c r="BH539" s="114">
        <v>0</v>
      </c>
      <c r="BI539">
        <v>0</v>
      </c>
      <c r="BJ539" s="121">
        <v>60</v>
      </c>
      <c r="BK539" s="134">
        <v>515016589</v>
      </c>
      <c r="BL539" s="934">
        <v>6620</v>
      </c>
      <c r="BM539" s="934">
        <v>6252</v>
      </c>
      <c r="BN539" s="934">
        <v>6251</v>
      </c>
      <c r="BO539" s="114">
        <v>0</v>
      </c>
      <c r="BP539" s="114">
        <v>0</v>
      </c>
    </row>
    <row r="540" spans="1:68">
      <c r="A540" t="s">
        <v>1484</v>
      </c>
      <c r="B540" t="s">
        <v>1950</v>
      </c>
      <c r="C540" s="121">
        <v>4903</v>
      </c>
      <c r="D540" s="72">
        <v>1</v>
      </c>
      <c r="E540">
        <v>541.51</v>
      </c>
      <c r="F540">
        <v>139</v>
      </c>
      <c r="G540">
        <v>82</v>
      </c>
      <c r="H540">
        <v>2</v>
      </c>
      <c r="I540" s="173">
        <v>1.17</v>
      </c>
      <c r="J540" s="121">
        <v>575860910</v>
      </c>
      <c r="K540" s="125">
        <v>2296.835</v>
      </c>
      <c r="L540" s="173">
        <v>1.5</v>
      </c>
      <c r="M540">
        <v>1.17</v>
      </c>
      <c r="N540">
        <v>1.000000005</v>
      </c>
      <c r="O540">
        <v>16.999999499999994</v>
      </c>
      <c r="P540">
        <v>1704.64</v>
      </c>
      <c r="Q540" s="125">
        <v>1.1659999999999999</v>
      </c>
      <c r="R540" s="125">
        <v>0</v>
      </c>
      <c r="S540" s="125">
        <v>3.0840000000000001</v>
      </c>
      <c r="T540" s="125">
        <v>45.646000000000001</v>
      </c>
      <c r="U540" s="125">
        <v>15.648999999999999</v>
      </c>
      <c r="V540" s="125">
        <v>0</v>
      </c>
      <c r="W540" s="125">
        <v>7.0970000000000004</v>
      </c>
      <c r="X540" s="125">
        <v>0</v>
      </c>
      <c r="Y540" s="125">
        <v>0</v>
      </c>
      <c r="Z540" s="125">
        <v>0</v>
      </c>
      <c r="AA540" s="125">
        <v>30.428000000000001</v>
      </c>
      <c r="AB540" s="125">
        <v>120.852</v>
      </c>
      <c r="AC540" s="125">
        <v>515</v>
      </c>
      <c r="AD540" s="125">
        <v>0.13100000000000001</v>
      </c>
      <c r="AE540" s="125">
        <v>41.862000000000002</v>
      </c>
      <c r="AF540" s="125">
        <v>85.231999999999999</v>
      </c>
      <c r="AG540" s="125">
        <v>0</v>
      </c>
      <c r="AH540" s="125">
        <v>0</v>
      </c>
      <c r="AI540" s="121">
        <v>7145196</v>
      </c>
      <c r="AJ540" s="121">
        <v>1054358</v>
      </c>
      <c r="AK540" s="424">
        <v>12</v>
      </c>
      <c r="AL540">
        <v>0</v>
      </c>
      <c r="AM540" s="121">
        <v>220973</v>
      </c>
      <c r="AN540" s="125">
        <v>0</v>
      </c>
      <c r="AO540" s="125">
        <v>0</v>
      </c>
      <c r="AP540" s="121">
        <v>8199554</v>
      </c>
      <c r="AQ540" s="114">
        <v>0</v>
      </c>
      <c r="AR540" s="121">
        <v>383.84555888</v>
      </c>
      <c r="AS540" s="121">
        <v>75426.857684999995</v>
      </c>
      <c r="AT540" s="121">
        <v>9933.6833339000004</v>
      </c>
      <c r="AU540" s="420" t="s">
        <v>2001</v>
      </c>
      <c r="AV540" s="420" t="s">
        <v>2001</v>
      </c>
      <c r="AW540" s="121">
        <v>0</v>
      </c>
      <c r="AX540" s="121">
        <v>1209951</v>
      </c>
      <c r="BI540">
        <v>0</v>
      </c>
      <c r="BJ540" s="121">
        <v>0</v>
      </c>
      <c r="BK540" s="134">
        <v>575860910</v>
      </c>
      <c r="BL540" s="934">
        <v>4903</v>
      </c>
      <c r="BM540" s="934">
        <v>4890</v>
      </c>
      <c r="BN540" s="934">
        <v>4890</v>
      </c>
      <c r="BO540" s="114">
        <v>0</v>
      </c>
      <c r="BP540" s="114">
        <v>0</v>
      </c>
    </row>
    <row r="541" spans="1:68">
      <c r="A541" t="s">
        <v>1503</v>
      </c>
      <c r="B541" t="s">
        <v>1956</v>
      </c>
      <c r="C541" s="121">
        <v>5008</v>
      </c>
      <c r="D541" s="72">
        <v>2</v>
      </c>
      <c r="E541">
        <v>285.02</v>
      </c>
      <c r="F541">
        <v>94</v>
      </c>
      <c r="G541">
        <v>79</v>
      </c>
      <c r="H541">
        <v>0</v>
      </c>
      <c r="I541" s="173">
        <v>1.04</v>
      </c>
      <c r="J541" s="121">
        <v>535084127</v>
      </c>
      <c r="K541" s="125">
        <v>1746.6220000000001</v>
      </c>
      <c r="L541" s="173">
        <v>1.5</v>
      </c>
      <c r="M541">
        <v>1.04</v>
      </c>
      <c r="N541">
        <v>1.000000005</v>
      </c>
      <c r="O541">
        <v>3.9999995000000066</v>
      </c>
      <c r="P541">
        <v>935.077</v>
      </c>
      <c r="Q541" s="125">
        <v>3.5000000000000003E-2</v>
      </c>
      <c r="R541" s="125">
        <v>0</v>
      </c>
      <c r="S541" s="125">
        <v>1.36</v>
      </c>
      <c r="T541" s="125">
        <v>34.406999999999996</v>
      </c>
      <c r="U541" s="125">
        <v>5.016</v>
      </c>
      <c r="V541" s="125">
        <v>0</v>
      </c>
      <c r="W541" s="125">
        <v>0</v>
      </c>
      <c r="X541" s="125">
        <v>0</v>
      </c>
      <c r="Y541" s="125">
        <v>0</v>
      </c>
      <c r="Z541" s="125">
        <v>0</v>
      </c>
      <c r="AA541" s="125">
        <v>16.827999999999999</v>
      </c>
      <c r="AB541" s="125">
        <v>88.144000000000005</v>
      </c>
      <c r="AC541" s="125">
        <v>925.7</v>
      </c>
      <c r="AD541" s="125">
        <v>8.6999999999999994E-2</v>
      </c>
      <c r="AE541" s="125">
        <v>206.316</v>
      </c>
      <c r="AF541" s="125">
        <v>46.75385</v>
      </c>
      <c r="AG541" s="125">
        <v>0</v>
      </c>
      <c r="AH541" s="125">
        <v>0</v>
      </c>
      <c r="AI541" s="121">
        <v>4735391</v>
      </c>
      <c r="AJ541" s="121">
        <v>417336</v>
      </c>
      <c r="AK541" s="424">
        <v>12</v>
      </c>
      <c r="AL541">
        <v>0</v>
      </c>
      <c r="AM541" s="121">
        <v>47439</v>
      </c>
      <c r="AN541" s="125">
        <v>0</v>
      </c>
      <c r="AO541" s="125">
        <v>0</v>
      </c>
      <c r="AP541" s="121">
        <v>5152727</v>
      </c>
      <c r="AQ541" s="114">
        <v>0</v>
      </c>
      <c r="AR541" s="121">
        <v>356.66540689999999</v>
      </c>
      <c r="AS541" s="121">
        <v>70085.872468000001</v>
      </c>
      <c r="AT541" s="121">
        <v>9230.2779759000005</v>
      </c>
      <c r="AU541" s="420" t="s">
        <v>2001</v>
      </c>
      <c r="AV541" s="420" t="s">
        <v>2001</v>
      </c>
      <c r="AW541" s="121">
        <v>0</v>
      </c>
      <c r="AX541" s="121">
        <v>453988</v>
      </c>
      <c r="BI541">
        <v>0</v>
      </c>
      <c r="BJ541" s="121">
        <v>0</v>
      </c>
      <c r="BK541" s="134">
        <v>460821722</v>
      </c>
      <c r="BL541" s="934">
        <v>4641</v>
      </c>
      <c r="BM541" s="934">
        <v>5008</v>
      </c>
      <c r="BN541" s="934">
        <v>4636</v>
      </c>
      <c r="BO541" s="114">
        <v>0</v>
      </c>
      <c r="BP541" s="114">
        <v>0</v>
      </c>
    </row>
    <row r="542" spans="1:68">
      <c r="A542" t="s">
        <v>2299</v>
      </c>
      <c r="B542" t="s">
        <v>799</v>
      </c>
      <c r="C542" s="121">
        <v>4675</v>
      </c>
      <c r="D542" s="72">
        <v>3</v>
      </c>
      <c r="E542">
        <v>1292.932</v>
      </c>
      <c r="F542">
        <v>409</v>
      </c>
      <c r="G542">
        <v>338</v>
      </c>
      <c r="H542">
        <v>20</v>
      </c>
      <c r="I542" s="173">
        <v>1.04</v>
      </c>
      <c r="J542" s="121">
        <v>941739378</v>
      </c>
      <c r="K542" s="125">
        <v>6814.5770000000002</v>
      </c>
      <c r="L542" s="173">
        <v>1.4734</v>
      </c>
      <c r="M542">
        <v>1.04</v>
      </c>
      <c r="N542">
        <v>0.98226667157800007</v>
      </c>
      <c r="O542">
        <v>5.7733328421999968</v>
      </c>
      <c r="P542">
        <v>4961.8580000000002</v>
      </c>
      <c r="Q542" s="125">
        <v>0.625</v>
      </c>
      <c r="R542" s="125">
        <v>0</v>
      </c>
      <c r="S542" s="125">
        <v>9.0830000000000002</v>
      </c>
      <c r="T542" s="125">
        <v>127.791</v>
      </c>
      <c r="U542" s="125">
        <v>36.438000000000002</v>
      </c>
      <c r="V542" s="125">
        <v>0</v>
      </c>
      <c r="W542" s="125">
        <v>0</v>
      </c>
      <c r="X542" s="125">
        <v>0</v>
      </c>
      <c r="Y542" s="125">
        <v>0</v>
      </c>
      <c r="Z542" s="125">
        <v>0</v>
      </c>
      <c r="AA542" s="125">
        <v>62.045999999999999</v>
      </c>
      <c r="AB542" s="125">
        <v>232.702</v>
      </c>
      <c r="AC542" s="125">
        <v>4576.3999999999996</v>
      </c>
      <c r="AD542" s="125">
        <v>5.5250000000000004</v>
      </c>
      <c r="AE542" s="125">
        <v>270.70100000000002</v>
      </c>
      <c r="AF542" s="125">
        <v>248.09289999999999</v>
      </c>
      <c r="AG542" s="125">
        <v>0</v>
      </c>
      <c r="AH542" s="125">
        <v>0</v>
      </c>
      <c r="AI542" s="121">
        <v>10180956</v>
      </c>
      <c r="AJ542" s="121">
        <v>1403023</v>
      </c>
      <c r="AK542" s="424">
        <v>12</v>
      </c>
      <c r="AL542">
        <v>0</v>
      </c>
      <c r="AM542" s="121">
        <v>203152</v>
      </c>
      <c r="AN542" s="125">
        <v>0</v>
      </c>
      <c r="AO542" s="125">
        <v>0</v>
      </c>
      <c r="AP542" s="121">
        <v>11583979</v>
      </c>
      <c r="AQ542" s="114">
        <v>0</v>
      </c>
      <c r="AR542" s="121">
        <v>627.72532670999999</v>
      </c>
      <c r="AS542" s="121">
        <v>123349.9979</v>
      </c>
      <c r="AT542" s="121">
        <v>16245.139411</v>
      </c>
      <c r="AU542" s="420" t="s">
        <v>2001</v>
      </c>
      <c r="AV542" s="420" t="s">
        <v>2001</v>
      </c>
      <c r="AW542" s="121">
        <v>0</v>
      </c>
      <c r="AX542" s="121">
        <v>3146178</v>
      </c>
      <c r="BI542">
        <v>0</v>
      </c>
      <c r="BJ542" s="121">
        <v>0</v>
      </c>
      <c r="BK542" s="134">
        <v>941739378</v>
      </c>
      <c r="BL542" s="934">
        <v>4598</v>
      </c>
      <c r="BM542" s="934">
        <v>4644</v>
      </c>
      <c r="BN542" s="934">
        <v>4675</v>
      </c>
      <c r="BO542" s="114">
        <v>0</v>
      </c>
      <c r="BP542" s="114">
        <v>0</v>
      </c>
    </row>
    <row r="543" spans="1:68">
      <c r="A543" t="s">
        <v>2652</v>
      </c>
      <c r="B543" t="s">
        <v>3080</v>
      </c>
      <c r="C543" s="121">
        <v>4734</v>
      </c>
      <c r="D543" s="72">
        <v>3</v>
      </c>
      <c r="E543">
        <v>185.14599999999999</v>
      </c>
      <c r="F543">
        <v>50</v>
      </c>
      <c r="G543">
        <v>51</v>
      </c>
      <c r="H543">
        <v>1</v>
      </c>
      <c r="I543" s="173">
        <v>1.04</v>
      </c>
      <c r="J543" s="121">
        <v>64078358</v>
      </c>
      <c r="K543" s="125">
        <v>985.25800000000004</v>
      </c>
      <c r="L543" s="173">
        <v>1.3774999999999999</v>
      </c>
      <c r="M543">
        <v>1.04</v>
      </c>
      <c r="N543">
        <v>0.91833333792499994</v>
      </c>
      <c r="O543">
        <v>12.166666207500009</v>
      </c>
      <c r="P543">
        <v>563.36900000000003</v>
      </c>
      <c r="Q543" s="125">
        <v>0</v>
      </c>
      <c r="R543" s="125">
        <v>0</v>
      </c>
      <c r="S543" s="125">
        <v>0.79500000000000004</v>
      </c>
      <c r="T543" s="125">
        <v>16.489000000000001</v>
      </c>
      <c r="U543" s="125">
        <v>4.33</v>
      </c>
      <c r="V543" s="125">
        <v>0</v>
      </c>
      <c r="W543" s="125">
        <v>0</v>
      </c>
      <c r="X543" s="125">
        <v>0</v>
      </c>
      <c r="Y543" s="125">
        <v>0</v>
      </c>
      <c r="Z543" s="125">
        <v>0</v>
      </c>
      <c r="AA543" s="125">
        <v>12.486000000000001</v>
      </c>
      <c r="AB543" s="125">
        <v>28.091000000000001</v>
      </c>
      <c r="AC543" s="125">
        <v>534.29999999999995</v>
      </c>
      <c r="AD543" s="125">
        <v>0</v>
      </c>
      <c r="AE543" s="125">
        <v>63.122999999999998</v>
      </c>
      <c r="AF543" s="125">
        <v>28.167999999999999</v>
      </c>
      <c r="AG543" s="125">
        <v>0</v>
      </c>
      <c r="AH543" s="125">
        <v>0</v>
      </c>
      <c r="AI543" s="121">
        <v>538693</v>
      </c>
      <c r="AJ543" s="121">
        <v>73640</v>
      </c>
      <c r="AK543" s="424">
        <v>12</v>
      </c>
      <c r="AL543">
        <v>0</v>
      </c>
      <c r="AM543" s="121">
        <v>90016</v>
      </c>
      <c r="AN543" s="125">
        <v>0</v>
      </c>
      <c r="AO543" s="125">
        <v>0</v>
      </c>
      <c r="AP543" s="121">
        <v>612333</v>
      </c>
      <c r="AQ543" s="114">
        <v>0</v>
      </c>
      <c r="AR543" s="121">
        <v>42.712038436999997</v>
      </c>
      <c r="AS543" s="121">
        <v>8393.0496786999993</v>
      </c>
      <c r="AT543" s="121">
        <v>1105.3608790000001</v>
      </c>
      <c r="AU543" s="420" t="s">
        <v>2001</v>
      </c>
      <c r="AV543" s="420" t="s">
        <v>2001</v>
      </c>
      <c r="AW543" s="121">
        <v>0</v>
      </c>
      <c r="AX543" s="121">
        <v>275951</v>
      </c>
      <c r="BI543">
        <v>0</v>
      </c>
      <c r="BJ543" s="121">
        <v>0</v>
      </c>
      <c r="BK543" s="134">
        <v>53620464</v>
      </c>
      <c r="BL543" s="934">
        <v>4582</v>
      </c>
      <c r="BM543" s="934">
        <v>4705</v>
      </c>
      <c r="BN543" s="934">
        <v>4734</v>
      </c>
      <c r="BO543" s="114">
        <v>0</v>
      </c>
      <c r="BP543" s="114">
        <v>0</v>
      </c>
    </row>
    <row r="544" spans="1:68">
      <c r="A544" t="s">
        <v>1593</v>
      </c>
      <c r="B544" t="s">
        <v>1151</v>
      </c>
      <c r="C544" s="121">
        <v>4570</v>
      </c>
      <c r="D544" s="72">
        <v>3</v>
      </c>
      <c r="E544">
        <v>463.09500000000003</v>
      </c>
      <c r="F544">
        <v>130</v>
      </c>
      <c r="G544">
        <v>96</v>
      </c>
      <c r="H544">
        <v>11</v>
      </c>
      <c r="I544" s="173">
        <v>1.04</v>
      </c>
      <c r="J544" s="121">
        <v>146357182</v>
      </c>
      <c r="K544" s="125">
        <v>2327.248</v>
      </c>
      <c r="L544" s="173">
        <v>1.4429000000000001</v>
      </c>
      <c r="M544">
        <v>1.04</v>
      </c>
      <c r="N544">
        <v>0.96193333814300008</v>
      </c>
      <c r="O544">
        <v>7.8066661856999957</v>
      </c>
      <c r="P544">
        <v>1632.4570000000001</v>
      </c>
      <c r="Q544" s="125">
        <v>0</v>
      </c>
      <c r="R544" s="125">
        <v>0</v>
      </c>
      <c r="S544" s="125">
        <v>2.69</v>
      </c>
      <c r="T544" s="125">
        <v>63.969000000000001</v>
      </c>
      <c r="U544" s="125">
        <v>3.2040000000000002</v>
      </c>
      <c r="V544" s="125">
        <v>0</v>
      </c>
      <c r="W544" s="125">
        <v>0</v>
      </c>
      <c r="X544" s="125">
        <v>0</v>
      </c>
      <c r="Y544" s="125">
        <v>0</v>
      </c>
      <c r="Z544" s="125">
        <v>0</v>
      </c>
      <c r="AA544" s="125">
        <v>18.715</v>
      </c>
      <c r="AB544" s="125">
        <v>75.832999999999998</v>
      </c>
      <c r="AC544" s="125">
        <v>1168.5</v>
      </c>
      <c r="AD544" s="125">
        <v>0</v>
      </c>
      <c r="AE544" s="125">
        <v>46.857999999999997</v>
      </c>
      <c r="AF544" s="125">
        <v>81.62285</v>
      </c>
      <c r="AG544" s="125">
        <v>0</v>
      </c>
      <c r="AH544" s="125">
        <v>0</v>
      </c>
      <c r="AI544" s="121">
        <v>1454381</v>
      </c>
      <c r="AJ544" s="121">
        <v>184185</v>
      </c>
      <c r="AK544" s="424">
        <v>12</v>
      </c>
      <c r="AL544">
        <v>0</v>
      </c>
      <c r="AM544" s="121">
        <v>161130</v>
      </c>
      <c r="AN544" s="125">
        <v>0</v>
      </c>
      <c r="AO544" s="125">
        <v>0</v>
      </c>
      <c r="AP544" s="121">
        <v>1638566</v>
      </c>
      <c r="AQ544" s="114">
        <v>0</v>
      </c>
      <c r="AR544" s="121">
        <v>97.555769710000007</v>
      </c>
      <c r="AS544" s="121">
        <v>19170.015095999999</v>
      </c>
      <c r="AT544" s="121">
        <v>2524.6823918</v>
      </c>
      <c r="AU544" s="420" t="s">
        <v>2001</v>
      </c>
      <c r="AV544" s="420" t="s">
        <v>2001</v>
      </c>
      <c r="AW544" s="121">
        <v>0</v>
      </c>
      <c r="AX544" s="121">
        <v>888600</v>
      </c>
      <c r="BI544">
        <v>0</v>
      </c>
      <c r="BJ544" s="121">
        <v>0</v>
      </c>
      <c r="BK544" s="134">
        <v>146357182</v>
      </c>
      <c r="BL544" s="934">
        <v>4515</v>
      </c>
      <c r="BM544" s="934">
        <v>4537</v>
      </c>
      <c r="BN544" s="934">
        <v>4570</v>
      </c>
      <c r="BO544" s="114">
        <v>0</v>
      </c>
      <c r="BP544" s="114">
        <v>0</v>
      </c>
    </row>
    <row r="545" spans="1:68">
      <c r="A545" t="s">
        <v>244</v>
      </c>
      <c r="B545" t="s">
        <v>2412</v>
      </c>
      <c r="C545" s="121">
        <v>4582</v>
      </c>
      <c r="D545" s="72">
        <v>2</v>
      </c>
      <c r="E545">
        <v>209.46199999999999</v>
      </c>
      <c r="F545">
        <v>74</v>
      </c>
      <c r="G545">
        <v>38</v>
      </c>
      <c r="H545">
        <v>0</v>
      </c>
      <c r="I545" s="173">
        <v>1.04</v>
      </c>
      <c r="J545" s="121">
        <v>138862395</v>
      </c>
      <c r="K545" s="125">
        <v>1269.961</v>
      </c>
      <c r="L545" s="173">
        <v>1.5</v>
      </c>
      <c r="M545">
        <v>1.04</v>
      </c>
      <c r="N545">
        <v>1.000000005</v>
      </c>
      <c r="O545">
        <v>3.9999995000000066</v>
      </c>
      <c r="P545">
        <v>721.476</v>
      </c>
      <c r="Q545" s="125">
        <v>0.221</v>
      </c>
      <c r="R545" s="125">
        <v>0</v>
      </c>
      <c r="S545" s="125">
        <v>1.1879999999999999</v>
      </c>
      <c r="T545" s="125">
        <v>27.273</v>
      </c>
      <c r="U545" s="125">
        <v>4.774</v>
      </c>
      <c r="V545" s="125">
        <v>0</v>
      </c>
      <c r="W545" s="125">
        <v>0</v>
      </c>
      <c r="X545" s="125">
        <v>0</v>
      </c>
      <c r="Y545" s="125">
        <v>0</v>
      </c>
      <c r="Z545" s="125">
        <v>0</v>
      </c>
      <c r="AA545" s="125">
        <v>33.417999999999999</v>
      </c>
      <c r="AB545" s="125">
        <v>35.506</v>
      </c>
      <c r="AC545" s="125">
        <v>714.3</v>
      </c>
      <c r="AD545" s="125">
        <v>0</v>
      </c>
      <c r="AE545" s="125">
        <v>107.09399999999999</v>
      </c>
      <c r="AF545" s="125">
        <v>36.073799999999999</v>
      </c>
      <c r="AG545" s="125">
        <v>0</v>
      </c>
      <c r="AH545" s="125">
        <v>0</v>
      </c>
      <c r="AI545" s="121">
        <v>1298452</v>
      </c>
      <c r="AJ545" s="121">
        <v>173349</v>
      </c>
      <c r="AK545" s="424">
        <v>12</v>
      </c>
      <c r="AL545">
        <v>0</v>
      </c>
      <c r="AM545" s="121">
        <v>28238</v>
      </c>
      <c r="AN545" s="125">
        <v>0</v>
      </c>
      <c r="AO545" s="125">
        <v>0</v>
      </c>
      <c r="AP545" s="121">
        <v>1471801</v>
      </c>
      <c r="AQ545" s="114">
        <v>0</v>
      </c>
      <c r="AR545" s="121">
        <v>92.560048269000006</v>
      </c>
      <c r="AS545" s="121">
        <v>18188.340144999998</v>
      </c>
      <c r="AT545" s="121">
        <v>2395.3962409999999</v>
      </c>
      <c r="AU545" s="420" t="s">
        <v>2001</v>
      </c>
      <c r="AV545" s="420" t="s">
        <v>2001</v>
      </c>
      <c r="AW545" s="121">
        <v>0</v>
      </c>
      <c r="AX545" s="121">
        <v>235826</v>
      </c>
      <c r="BI545">
        <v>0</v>
      </c>
      <c r="BJ545" s="121">
        <v>0</v>
      </c>
      <c r="BK545" s="134">
        <v>123860250</v>
      </c>
      <c r="BL545" s="934">
        <v>4575</v>
      </c>
      <c r="BM545" s="934">
        <v>4582</v>
      </c>
      <c r="BN545" s="934">
        <v>4582</v>
      </c>
      <c r="BO545" s="114">
        <v>0</v>
      </c>
      <c r="BP545" s="114">
        <v>0</v>
      </c>
    </row>
    <row r="546" spans="1:68">
      <c r="A546" t="s">
        <v>1504</v>
      </c>
      <c r="B546" t="s">
        <v>1957</v>
      </c>
      <c r="C546" s="121">
        <v>4911</v>
      </c>
      <c r="D546" s="72">
        <v>2</v>
      </c>
      <c r="E546">
        <v>0</v>
      </c>
      <c r="F546">
        <v>8</v>
      </c>
      <c r="G546">
        <v>6</v>
      </c>
      <c r="H546">
        <v>0</v>
      </c>
      <c r="I546" s="173">
        <v>1.04</v>
      </c>
      <c r="J546" s="121">
        <v>32839560</v>
      </c>
      <c r="K546" s="125">
        <v>109.43300000000001</v>
      </c>
      <c r="L546" s="173">
        <v>1.5</v>
      </c>
      <c r="M546">
        <v>1.04</v>
      </c>
      <c r="N546">
        <v>1.000000005</v>
      </c>
      <c r="O546">
        <v>3.9999995000000066</v>
      </c>
      <c r="P546">
        <v>62.35</v>
      </c>
      <c r="Q546" s="125">
        <v>0</v>
      </c>
      <c r="R546" s="125">
        <v>0</v>
      </c>
      <c r="S546" s="125">
        <v>0.2</v>
      </c>
      <c r="T546" s="125">
        <v>0.38700000000000001</v>
      </c>
      <c r="U546" s="125">
        <v>0</v>
      </c>
      <c r="V546" s="125">
        <v>0</v>
      </c>
      <c r="W546" s="125">
        <v>0</v>
      </c>
      <c r="X546" s="125">
        <v>0</v>
      </c>
      <c r="Y546" s="125">
        <v>0</v>
      </c>
      <c r="Z546" s="125">
        <v>0</v>
      </c>
      <c r="AA546" s="125">
        <v>0</v>
      </c>
      <c r="AB546" s="125">
        <v>0</v>
      </c>
      <c r="AC546" s="125">
        <v>53.6</v>
      </c>
      <c r="AD546" s="125">
        <v>0</v>
      </c>
      <c r="AE546" s="125">
        <v>5.3369999999999997</v>
      </c>
      <c r="AF546" s="125">
        <v>3.117</v>
      </c>
      <c r="AG546" s="125">
        <v>0</v>
      </c>
      <c r="AH546" s="125">
        <v>0</v>
      </c>
      <c r="AI546" s="121">
        <v>344264</v>
      </c>
      <c r="AJ546" s="121">
        <v>0</v>
      </c>
      <c r="AK546" s="424">
        <v>6</v>
      </c>
      <c r="AL546">
        <v>0</v>
      </c>
      <c r="AM546" s="121">
        <v>8390</v>
      </c>
      <c r="AN546" s="125">
        <v>0</v>
      </c>
      <c r="AO546" s="125">
        <v>0</v>
      </c>
      <c r="AP546" s="121">
        <v>344264</v>
      </c>
      <c r="AQ546" s="114">
        <v>0</v>
      </c>
      <c r="AR546" s="121">
        <v>21.889520615999999</v>
      </c>
      <c r="AS546" s="121">
        <v>4301.3595392999996</v>
      </c>
      <c r="AT546" s="121">
        <v>566.48712250000005</v>
      </c>
      <c r="AU546" s="420" t="s">
        <v>2001</v>
      </c>
      <c r="AV546" s="420" t="s">
        <v>2001</v>
      </c>
      <c r="AW546" s="121">
        <v>0</v>
      </c>
      <c r="AX546" s="121">
        <v>0</v>
      </c>
      <c r="BI546">
        <v>0</v>
      </c>
      <c r="BJ546" s="121">
        <v>0</v>
      </c>
      <c r="BK546" s="134">
        <v>32839560</v>
      </c>
      <c r="BL546" s="934">
        <v>4132</v>
      </c>
      <c r="BM546" s="934">
        <v>4911</v>
      </c>
      <c r="BN546" s="934">
        <v>4390</v>
      </c>
      <c r="BO546" s="114">
        <v>0</v>
      </c>
      <c r="BP546" s="114">
        <v>0</v>
      </c>
    </row>
    <row r="547" spans="1:68">
      <c r="A547" t="s">
        <v>223</v>
      </c>
      <c r="B547" t="s">
        <v>1201</v>
      </c>
      <c r="C547" s="121">
        <v>4875</v>
      </c>
      <c r="D547" s="72">
        <v>3</v>
      </c>
      <c r="E547">
        <v>898.94899999999996</v>
      </c>
      <c r="F547">
        <v>216</v>
      </c>
      <c r="G547">
        <v>183</v>
      </c>
      <c r="H547">
        <v>44</v>
      </c>
      <c r="I547" s="173">
        <v>1.04</v>
      </c>
      <c r="J547" s="121">
        <v>858059294</v>
      </c>
      <c r="K547" s="125">
        <v>4232.68</v>
      </c>
      <c r="L547" s="173">
        <v>1.4750000000000001</v>
      </c>
      <c r="M547">
        <v>1.04</v>
      </c>
      <c r="N547">
        <v>0.98333333825000013</v>
      </c>
      <c r="O547">
        <v>5.6666661749999907</v>
      </c>
      <c r="P547">
        <v>3042.2570000000001</v>
      </c>
      <c r="Q547" s="125">
        <v>0</v>
      </c>
      <c r="R547" s="125">
        <v>0</v>
      </c>
      <c r="S547" s="125">
        <v>4.9550000000000001</v>
      </c>
      <c r="T547" s="125">
        <v>71.521000000000001</v>
      </c>
      <c r="U547" s="125">
        <v>7.2439999999999998</v>
      </c>
      <c r="V547" s="125">
        <v>0</v>
      </c>
      <c r="W547" s="125">
        <v>0</v>
      </c>
      <c r="X547" s="125">
        <v>0</v>
      </c>
      <c r="Y547" s="125">
        <v>0</v>
      </c>
      <c r="Z547" s="125">
        <v>8.9619999999999997</v>
      </c>
      <c r="AA547" s="125">
        <v>121.879</v>
      </c>
      <c r="AB547" s="125">
        <v>121.88</v>
      </c>
      <c r="AC547" s="125">
        <v>2059</v>
      </c>
      <c r="AD547" s="125">
        <v>1.42</v>
      </c>
      <c r="AE547" s="125">
        <v>209.066</v>
      </c>
      <c r="AF547" s="125">
        <v>152.11285000000001</v>
      </c>
      <c r="AG547" s="125">
        <v>0</v>
      </c>
      <c r="AH547" s="125">
        <v>0</v>
      </c>
      <c r="AI547" s="121">
        <v>9088907</v>
      </c>
      <c r="AJ547" s="121">
        <v>1742202</v>
      </c>
      <c r="AK547" s="424">
        <v>12</v>
      </c>
      <c r="AL547">
        <v>0</v>
      </c>
      <c r="AM547" s="121">
        <v>290015</v>
      </c>
      <c r="AN547" s="125">
        <v>0.503</v>
      </c>
      <c r="AO547" s="125">
        <v>0</v>
      </c>
      <c r="AP547" s="121">
        <v>10831109</v>
      </c>
      <c r="AQ547" s="114">
        <v>0</v>
      </c>
      <c r="AR547" s="121">
        <v>571.94757196</v>
      </c>
      <c r="AS547" s="121">
        <v>112389.49394</v>
      </c>
      <c r="AT547" s="121">
        <v>14801.645954</v>
      </c>
      <c r="AU547" s="420" t="s">
        <v>2001</v>
      </c>
      <c r="AV547" s="420" t="s">
        <v>2001</v>
      </c>
      <c r="AW547" s="121">
        <v>0</v>
      </c>
      <c r="AX547" s="121">
        <v>4418674</v>
      </c>
      <c r="BI547">
        <v>0</v>
      </c>
      <c r="BJ547" s="121">
        <v>0</v>
      </c>
      <c r="BK547" s="134">
        <v>858059294</v>
      </c>
      <c r="BL547" s="934">
        <v>4647</v>
      </c>
      <c r="BM547" s="934">
        <v>4834</v>
      </c>
      <c r="BN547" s="934">
        <v>4875</v>
      </c>
      <c r="BO547" s="114">
        <v>0</v>
      </c>
      <c r="BP547" s="114">
        <v>0</v>
      </c>
    </row>
    <row r="548" spans="1:68">
      <c r="A548" t="s">
        <v>2153</v>
      </c>
      <c r="B548" t="s">
        <v>1634</v>
      </c>
      <c r="C548" s="121">
        <v>4814</v>
      </c>
      <c r="D548" s="72">
        <v>2</v>
      </c>
      <c r="E548">
        <v>2381.6979999999999</v>
      </c>
      <c r="F548">
        <v>560</v>
      </c>
      <c r="G548">
        <v>475</v>
      </c>
      <c r="H548">
        <v>72</v>
      </c>
      <c r="I548" s="173">
        <v>1.04</v>
      </c>
      <c r="J548" s="121">
        <v>2424060618</v>
      </c>
      <c r="K548" s="125">
        <v>10399.333000000001</v>
      </c>
      <c r="L548" s="173">
        <v>1.5</v>
      </c>
      <c r="M548">
        <v>1.04</v>
      </c>
      <c r="N548">
        <v>1.000000005</v>
      </c>
      <c r="O548">
        <v>3.9999995000000066</v>
      </c>
      <c r="P548">
        <v>8627</v>
      </c>
      <c r="Q548" s="125">
        <v>0.28100000000000003</v>
      </c>
      <c r="R548" s="125">
        <v>0</v>
      </c>
      <c r="S548" s="125">
        <v>10.656000000000001</v>
      </c>
      <c r="T548" s="125">
        <v>151.298</v>
      </c>
      <c r="U548" s="125">
        <v>42.499000000000002</v>
      </c>
      <c r="V548" s="125">
        <v>0</v>
      </c>
      <c r="W548" s="125">
        <v>0</v>
      </c>
      <c r="X548" s="125">
        <v>0</v>
      </c>
      <c r="Y548" s="125">
        <v>0</v>
      </c>
      <c r="Z548" s="125">
        <v>12.006</v>
      </c>
      <c r="AA548" s="125">
        <v>263.08999999999997</v>
      </c>
      <c r="AB548" s="125">
        <v>410.173</v>
      </c>
      <c r="AC548" s="125">
        <v>2085.1</v>
      </c>
      <c r="AD548" s="125">
        <v>0.82499999999999996</v>
      </c>
      <c r="AE548" s="125">
        <v>113.392</v>
      </c>
      <c r="AF548" s="125">
        <v>431.35</v>
      </c>
      <c r="AG548" s="125">
        <v>0</v>
      </c>
      <c r="AH548" s="125">
        <v>0</v>
      </c>
      <c r="AI548" s="121">
        <v>25941327</v>
      </c>
      <c r="AJ548" s="121">
        <v>4722642</v>
      </c>
      <c r="AK548" s="424">
        <v>12</v>
      </c>
      <c r="AL548">
        <v>0</v>
      </c>
      <c r="AM548" s="121">
        <v>430756</v>
      </c>
      <c r="AN548" s="125">
        <v>0</v>
      </c>
      <c r="AO548" s="125">
        <v>0</v>
      </c>
      <c r="AP548" s="121">
        <v>30663969</v>
      </c>
      <c r="AQ548" s="114">
        <v>0</v>
      </c>
      <c r="AR548" s="121">
        <v>1615.7806278</v>
      </c>
      <c r="AS548" s="121">
        <v>317505.96729</v>
      </c>
      <c r="AT548" s="121">
        <v>41815.393515000003</v>
      </c>
      <c r="AU548" s="420" t="s">
        <v>2001</v>
      </c>
      <c r="AV548" s="420" t="s">
        <v>2001</v>
      </c>
      <c r="AW548" s="121">
        <v>0</v>
      </c>
      <c r="AX548" s="121">
        <v>10461952</v>
      </c>
      <c r="BI548">
        <v>0</v>
      </c>
      <c r="BJ548" s="121">
        <v>0</v>
      </c>
      <c r="BK548" s="134">
        <v>2424060618</v>
      </c>
      <c r="BL548" s="934">
        <v>4807</v>
      </c>
      <c r="BM548" s="934">
        <v>4814</v>
      </c>
      <c r="BN548" s="934">
        <v>4814</v>
      </c>
      <c r="BO548" s="114">
        <v>0</v>
      </c>
      <c r="BP548" s="114">
        <v>0</v>
      </c>
    </row>
    <row r="549" spans="1:68">
      <c r="A549" t="s">
        <v>627</v>
      </c>
      <c r="B549" t="s">
        <v>1328</v>
      </c>
      <c r="C549" s="121">
        <v>5224</v>
      </c>
      <c r="D549" s="72">
        <v>2</v>
      </c>
      <c r="E549">
        <v>1524.625</v>
      </c>
      <c r="F549">
        <v>505</v>
      </c>
      <c r="G549">
        <v>450</v>
      </c>
      <c r="H549">
        <v>14</v>
      </c>
      <c r="I549" s="173">
        <v>1.04</v>
      </c>
      <c r="J549" s="121">
        <v>2352389073</v>
      </c>
      <c r="K549" s="125">
        <v>8077.8819999999996</v>
      </c>
      <c r="L549" s="173">
        <v>1.5</v>
      </c>
      <c r="M549">
        <v>1.04</v>
      </c>
      <c r="N549">
        <v>1.000000005</v>
      </c>
      <c r="O549">
        <v>3.9999995000000066</v>
      </c>
      <c r="P549">
        <v>6079.3239999999996</v>
      </c>
      <c r="Q549" s="125">
        <v>8.4000000000000005E-2</v>
      </c>
      <c r="R549" s="125">
        <v>0</v>
      </c>
      <c r="S549" s="125">
        <v>11.486000000000001</v>
      </c>
      <c r="T549" s="125">
        <v>153.20699999999999</v>
      </c>
      <c r="U549" s="125">
        <v>57.195999999999998</v>
      </c>
      <c r="V549" s="125">
        <v>0</v>
      </c>
      <c r="W549" s="125">
        <v>1.2330000000000001</v>
      </c>
      <c r="X549" s="125">
        <v>0</v>
      </c>
      <c r="Y549" s="125">
        <v>0</v>
      </c>
      <c r="Z549" s="125">
        <v>2.1549999999999998</v>
      </c>
      <c r="AA549" s="125">
        <v>171.58099999999999</v>
      </c>
      <c r="AB549" s="125">
        <v>274.28800000000001</v>
      </c>
      <c r="AC549" s="125">
        <v>3967</v>
      </c>
      <c r="AD549" s="125">
        <v>4.0190000000000001</v>
      </c>
      <c r="AE549" s="125">
        <v>963.21799999999996</v>
      </c>
      <c r="AF549" s="125">
        <v>303.96600000000001</v>
      </c>
      <c r="AG549" s="125">
        <v>0</v>
      </c>
      <c r="AH549" s="125">
        <v>0</v>
      </c>
      <c r="AI549" s="121">
        <v>25174327</v>
      </c>
      <c r="AJ549" s="121">
        <v>3943604</v>
      </c>
      <c r="AK549" s="424">
        <v>12</v>
      </c>
      <c r="AL549">
        <v>0</v>
      </c>
      <c r="AM549" s="121">
        <v>346901</v>
      </c>
      <c r="AN549" s="125">
        <v>0</v>
      </c>
      <c r="AO549" s="125">
        <v>1</v>
      </c>
      <c r="AP549" s="121">
        <v>29117931</v>
      </c>
      <c r="AQ549" s="114">
        <v>0</v>
      </c>
      <c r="AR549" s="121">
        <v>1568.0072788</v>
      </c>
      <c r="AS549" s="121">
        <v>308118.35418999998</v>
      </c>
      <c r="AT549" s="121">
        <v>40579.049077999996</v>
      </c>
      <c r="AU549" s="420" t="s">
        <v>2001</v>
      </c>
      <c r="AV549" s="420" t="s">
        <v>2001</v>
      </c>
      <c r="AW549" s="121">
        <v>0</v>
      </c>
      <c r="AX549" s="121">
        <v>4719139</v>
      </c>
      <c r="BI549">
        <v>0</v>
      </c>
      <c r="BJ549" s="121">
        <v>0</v>
      </c>
      <c r="BK549" s="134">
        <v>2352389073</v>
      </c>
      <c r="BL549" s="934">
        <v>4691</v>
      </c>
      <c r="BM549" s="934">
        <v>5224</v>
      </c>
      <c r="BN549" s="934">
        <v>5157</v>
      </c>
      <c r="BO549" s="114">
        <v>0</v>
      </c>
      <c r="BP549" s="114">
        <v>0</v>
      </c>
    </row>
    <row r="550" spans="1:68">
      <c r="A550" t="s">
        <v>2037</v>
      </c>
      <c r="B550" t="s">
        <v>977</v>
      </c>
      <c r="C550" s="121">
        <v>5196</v>
      </c>
      <c r="D550" s="72">
        <v>2</v>
      </c>
      <c r="E550">
        <v>320.536</v>
      </c>
      <c r="F550">
        <v>94</v>
      </c>
      <c r="G550">
        <v>47</v>
      </c>
      <c r="H550">
        <v>1</v>
      </c>
      <c r="I550" s="173">
        <v>1.04</v>
      </c>
      <c r="J550" s="121">
        <v>261908892</v>
      </c>
      <c r="K550" s="125">
        <v>1658.3140000000001</v>
      </c>
      <c r="L550" s="173">
        <v>1.5</v>
      </c>
      <c r="M550">
        <v>1.04</v>
      </c>
      <c r="N550">
        <v>1.000000005</v>
      </c>
      <c r="O550">
        <v>3.9999995000000066</v>
      </c>
      <c r="P550">
        <v>1149</v>
      </c>
      <c r="Q550" s="125">
        <v>0</v>
      </c>
      <c r="R550" s="125">
        <v>0</v>
      </c>
      <c r="S550" s="125">
        <v>3.5</v>
      </c>
      <c r="T550" s="125">
        <v>33.247999999999998</v>
      </c>
      <c r="U550" s="125">
        <v>8.1120000000000001</v>
      </c>
      <c r="V550" s="125">
        <v>0</v>
      </c>
      <c r="W550" s="125">
        <v>1.5</v>
      </c>
      <c r="X550" s="125">
        <v>0</v>
      </c>
      <c r="Y550" s="125">
        <v>0</v>
      </c>
      <c r="Z550" s="125">
        <v>0</v>
      </c>
      <c r="AA550" s="125">
        <v>30.350999999999999</v>
      </c>
      <c r="AB550" s="125">
        <v>52.374000000000002</v>
      </c>
      <c r="AC550" s="125">
        <v>512</v>
      </c>
      <c r="AD550" s="125">
        <v>0</v>
      </c>
      <c r="AE550" s="125">
        <v>50.655999999999999</v>
      </c>
      <c r="AF550" s="125">
        <v>48</v>
      </c>
      <c r="AG550" s="125">
        <v>0</v>
      </c>
      <c r="AH550" s="125">
        <v>0</v>
      </c>
      <c r="AI550" s="121">
        <v>2631241</v>
      </c>
      <c r="AJ550" s="121">
        <v>183411</v>
      </c>
      <c r="AK550" s="424">
        <v>12</v>
      </c>
      <c r="AL550">
        <v>0</v>
      </c>
      <c r="AM550" s="121">
        <v>47296</v>
      </c>
      <c r="AN550" s="125">
        <v>0</v>
      </c>
      <c r="AO550" s="125">
        <v>0</v>
      </c>
      <c r="AP550" s="121">
        <v>2814652</v>
      </c>
      <c r="AQ550" s="114">
        <v>0</v>
      </c>
      <c r="AR550" s="121">
        <v>174.57785948</v>
      </c>
      <c r="AS550" s="121">
        <v>34305.097603000002</v>
      </c>
      <c r="AT550" s="121">
        <v>4517.9659711000004</v>
      </c>
      <c r="AU550" s="420" t="s">
        <v>2001</v>
      </c>
      <c r="AV550" s="420" t="s">
        <v>2001</v>
      </c>
      <c r="AW550" s="121">
        <v>0</v>
      </c>
      <c r="AX550" s="121">
        <v>344930</v>
      </c>
      <c r="BI550">
        <v>0</v>
      </c>
      <c r="BJ550" s="121">
        <v>0</v>
      </c>
      <c r="BK550" s="134">
        <v>261908892</v>
      </c>
      <c r="BL550" s="934">
        <v>4663</v>
      </c>
      <c r="BM550" s="934">
        <v>5196</v>
      </c>
      <c r="BN550" s="934">
        <v>4863</v>
      </c>
      <c r="BO550" s="114">
        <v>0</v>
      </c>
      <c r="BP550" s="114">
        <v>0</v>
      </c>
    </row>
    <row r="551" spans="1:68">
      <c r="A551" t="s">
        <v>52</v>
      </c>
      <c r="B551" t="s">
        <v>447</v>
      </c>
      <c r="C551" s="121">
        <v>4834</v>
      </c>
      <c r="D551" s="72">
        <v>3</v>
      </c>
      <c r="E551">
        <v>1224.8440000000001</v>
      </c>
      <c r="F551">
        <v>364</v>
      </c>
      <c r="G551">
        <v>221</v>
      </c>
      <c r="H551">
        <v>25</v>
      </c>
      <c r="I551" s="173">
        <v>1.04</v>
      </c>
      <c r="J551" s="121">
        <v>995074066</v>
      </c>
      <c r="K551" s="125">
        <v>5779.8519999999999</v>
      </c>
      <c r="L551" s="173">
        <v>1.5</v>
      </c>
      <c r="M551">
        <v>1.04</v>
      </c>
      <c r="N551">
        <v>1.000000005</v>
      </c>
      <c r="O551">
        <v>3.9999995000000066</v>
      </c>
      <c r="P551">
        <v>4418.3339999999998</v>
      </c>
      <c r="Q551" s="125">
        <v>0.35799999999999998</v>
      </c>
      <c r="R551" s="125">
        <v>0</v>
      </c>
      <c r="S551" s="125">
        <v>7.3</v>
      </c>
      <c r="T551" s="125">
        <v>120.19</v>
      </c>
      <c r="U551" s="125">
        <v>18.001000000000001</v>
      </c>
      <c r="V551" s="125">
        <v>0</v>
      </c>
      <c r="W551" s="125">
        <v>3.53</v>
      </c>
      <c r="X551" s="125">
        <v>0</v>
      </c>
      <c r="Y551" s="125">
        <v>0</v>
      </c>
      <c r="Z551" s="125">
        <v>9.0060000000000002</v>
      </c>
      <c r="AA551" s="125">
        <v>102.164</v>
      </c>
      <c r="AB551" s="125">
        <v>157.23400000000001</v>
      </c>
      <c r="AC551" s="125">
        <v>2221.1999999999998</v>
      </c>
      <c r="AD551" s="125">
        <v>3.3730000000000002</v>
      </c>
      <c r="AE551" s="125">
        <v>196.369</v>
      </c>
      <c r="AF551" s="125">
        <v>220.91669999999999</v>
      </c>
      <c r="AG551" s="125">
        <v>0</v>
      </c>
      <c r="AH551" s="125">
        <v>0</v>
      </c>
      <c r="AI551" s="121">
        <v>10648885</v>
      </c>
      <c r="AJ551" s="121">
        <v>1594167</v>
      </c>
      <c r="AK551" s="424">
        <v>12</v>
      </c>
      <c r="AL551">
        <v>0</v>
      </c>
      <c r="AM551" s="121">
        <v>361951</v>
      </c>
      <c r="AN551" s="125">
        <v>0</v>
      </c>
      <c r="AO551" s="125">
        <v>0</v>
      </c>
      <c r="AP551" s="121">
        <v>12243052</v>
      </c>
      <c r="AQ551" s="114">
        <v>0</v>
      </c>
      <c r="AR551" s="121">
        <v>663.27606954999999</v>
      </c>
      <c r="AS551" s="121">
        <v>130335.83051</v>
      </c>
      <c r="AT551" s="121">
        <v>17165.170431999999</v>
      </c>
      <c r="AU551" s="420" t="s">
        <v>2001</v>
      </c>
      <c r="AV551" s="420" t="s">
        <v>2001</v>
      </c>
      <c r="AW551" s="121">
        <v>0</v>
      </c>
      <c r="AX551" s="121">
        <v>5166615</v>
      </c>
      <c r="BI551">
        <v>0</v>
      </c>
      <c r="BJ551" s="121">
        <v>0</v>
      </c>
      <c r="BK551" s="134">
        <v>995074066</v>
      </c>
      <c r="BL551" s="934">
        <v>4800</v>
      </c>
      <c r="BM551" s="934">
        <v>4819</v>
      </c>
      <c r="BN551" s="934">
        <v>4834</v>
      </c>
      <c r="BO551" s="114">
        <v>0</v>
      </c>
      <c r="BP551" s="114">
        <v>0</v>
      </c>
    </row>
    <row r="552" spans="1:68">
      <c r="A552" t="s">
        <v>1505</v>
      </c>
      <c r="B552" t="s">
        <v>2314</v>
      </c>
      <c r="C552" s="121">
        <v>4564</v>
      </c>
      <c r="D552" s="72">
        <v>2</v>
      </c>
      <c r="E552">
        <v>204.506</v>
      </c>
      <c r="F552">
        <v>74</v>
      </c>
      <c r="G552">
        <v>54</v>
      </c>
      <c r="H552">
        <v>1</v>
      </c>
      <c r="I552" s="173">
        <v>1.04</v>
      </c>
      <c r="J552" s="121">
        <v>134206167</v>
      </c>
      <c r="K552" s="125">
        <v>1403.136</v>
      </c>
      <c r="L552" s="173">
        <v>1.5</v>
      </c>
      <c r="M552">
        <v>1.04</v>
      </c>
      <c r="N552">
        <v>1.000000005</v>
      </c>
      <c r="O552">
        <v>3.9999995000000066</v>
      </c>
      <c r="P552">
        <v>784.19500000000005</v>
      </c>
      <c r="Q552" s="125">
        <v>0</v>
      </c>
      <c r="R552" s="125">
        <v>0</v>
      </c>
      <c r="S552" s="125">
        <v>2.2109999999999999</v>
      </c>
      <c r="T552" s="125">
        <v>24.786999999999999</v>
      </c>
      <c r="U552" s="125">
        <v>3.2410000000000001</v>
      </c>
      <c r="V552" s="125">
        <v>0</v>
      </c>
      <c r="W552" s="125">
        <v>1.8080000000000001</v>
      </c>
      <c r="X552" s="125">
        <v>0</v>
      </c>
      <c r="Y552" s="125">
        <v>0</v>
      </c>
      <c r="Z552" s="125">
        <v>6.5720000000000001</v>
      </c>
      <c r="AA552" s="125">
        <v>58.393000000000001</v>
      </c>
      <c r="AB552" s="125">
        <v>34.463000000000001</v>
      </c>
      <c r="AC552" s="125">
        <v>736.5</v>
      </c>
      <c r="AD552" s="125">
        <v>2.1999999999999999E-2</v>
      </c>
      <c r="AE552" s="125">
        <v>167.27199999999999</v>
      </c>
      <c r="AF552" s="125">
        <v>39.20975</v>
      </c>
      <c r="AG552" s="125">
        <v>0</v>
      </c>
      <c r="AH552" s="125">
        <v>0</v>
      </c>
      <c r="AI552" s="121">
        <v>1436221</v>
      </c>
      <c r="AJ552" s="121">
        <v>2204</v>
      </c>
      <c r="AK552" s="424">
        <v>12</v>
      </c>
      <c r="AL552">
        <v>0</v>
      </c>
      <c r="AM552" s="121">
        <v>0</v>
      </c>
      <c r="AN552" s="125">
        <v>0</v>
      </c>
      <c r="AO552" s="125">
        <v>0</v>
      </c>
      <c r="AP552" s="121">
        <v>1438425</v>
      </c>
      <c r="AQ552" s="114">
        <v>0</v>
      </c>
      <c r="AR552" s="121">
        <v>89.456395255999993</v>
      </c>
      <c r="AS552" s="121">
        <v>17578.462582</v>
      </c>
      <c r="AT552" s="121">
        <v>2315.0756394</v>
      </c>
      <c r="AU552" s="420" t="s">
        <v>2001</v>
      </c>
      <c r="AV552" s="420" t="s">
        <v>2001</v>
      </c>
      <c r="AW552" s="121">
        <v>0</v>
      </c>
      <c r="AX552" s="121">
        <v>0</v>
      </c>
      <c r="BI552">
        <v>0</v>
      </c>
      <c r="BJ552" s="121">
        <v>0</v>
      </c>
      <c r="BK552" s="134">
        <v>134206167</v>
      </c>
      <c r="BL552" s="934">
        <v>4393</v>
      </c>
      <c r="BM552" s="934">
        <v>4564</v>
      </c>
      <c r="BN552" s="934">
        <v>4564</v>
      </c>
      <c r="BO552" s="114">
        <v>0</v>
      </c>
      <c r="BP552" s="114">
        <v>0</v>
      </c>
    </row>
    <row r="553" spans="1:68">
      <c r="A553" t="s">
        <v>2653</v>
      </c>
      <c r="B553" t="s">
        <v>3094</v>
      </c>
      <c r="C553" s="121">
        <v>5133</v>
      </c>
      <c r="D553" s="72">
        <v>2</v>
      </c>
      <c r="E553">
        <v>259.85700000000003</v>
      </c>
      <c r="F553">
        <v>94</v>
      </c>
      <c r="G553">
        <v>123</v>
      </c>
      <c r="H553">
        <v>5</v>
      </c>
      <c r="I553" s="173">
        <v>1.04</v>
      </c>
      <c r="J553" s="121">
        <v>188687501</v>
      </c>
      <c r="K553" s="125">
        <v>1338.4690000000001</v>
      </c>
      <c r="L553" s="173">
        <v>1.5</v>
      </c>
      <c r="M553">
        <v>1.04</v>
      </c>
      <c r="N553">
        <v>1.000000005</v>
      </c>
      <c r="O553">
        <v>3.9999995000000066</v>
      </c>
      <c r="P553">
        <v>871.53300000000002</v>
      </c>
      <c r="Q553" s="125">
        <v>0</v>
      </c>
      <c r="R553" s="125">
        <v>0</v>
      </c>
      <c r="S553" s="125">
        <v>2.992</v>
      </c>
      <c r="T553" s="125">
        <v>30.648</v>
      </c>
      <c r="U553" s="125">
        <v>5.7910000000000004</v>
      </c>
      <c r="V553" s="125">
        <v>0</v>
      </c>
      <c r="W553" s="125">
        <v>1.3560000000000001</v>
      </c>
      <c r="X553" s="125">
        <v>0</v>
      </c>
      <c r="Y553" s="125">
        <v>0</v>
      </c>
      <c r="Z553" s="125">
        <v>0.14299999999999999</v>
      </c>
      <c r="AA553" s="125">
        <v>24.949000000000002</v>
      </c>
      <c r="AB553" s="125">
        <v>31.245000000000001</v>
      </c>
      <c r="AC553" s="125">
        <v>401.3</v>
      </c>
      <c r="AD553" s="125">
        <v>0.34899999999999998</v>
      </c>
      <c r="AE553" s="125">
        <v>10.888</v>
      </c>
      <c r="AF553" s="125">
        <v>43.576650000000001</v>
      </c>
      <c r="AG553" s="125">
        <v>0</v>
      </c>
      <c r="AH553" s="125">
        <v>0</v>
      </c>
      <c r="AI553" s="121">
        <v>2019258</v>
      </c>
      <c r="AJ553" s="121">
        <v>202790</v>
      </c>
      <c r="AK553" s="424">
        <v>12</v>
      </c>
      <c r="AL553">
        <v>0</v>
      </c>
      <c r="AM553" s="121">
        <v>231458</v>
      </c>
      <c r="AN553" s="125">
        <v>1</v>
      </c>
      <c r="AO553" s="125">
        <v>0</v>
      </c>
      <c r="AP553" s="121">
        <v>2222048</v>
      </c>
      <c r="AQ553" s="114">
        <v>0</v>
      </c>
      <c r="AR553" s="121">
        <v>125.77144588</v>
      </c>
      <c r="AS553" s="121">
        <v>24714.484067000001</v>
      </c>
      <c r="AT553" s="121">
        <v>3254.886469</v>
      </c>
      <c r="AU553" s="420" t="s">
        <v>2001</v>
      </c>
      <c r="AV553" s="420" t="s">
        <v>2001</v>
      </c>
      <c r="AW553" s="121">
        <v>0</v>
      </c>
      <c r="AX553" s="121">
        <v>441580</v>
      </c>
      <c r="BI553">
        <v>0</v>
      </c>
      <c r="BJ553" s="121">
        <v>0</v>
      </c>
      <c r="BK553" s="134">
        <v>188687501</v>
      </c>
      <c r="BL553" s="934">
        <v>4710</v>
      </c>
      <c r="BM553" s="934">
        <v>5133</v>
      </c>
      <c r="BN553" s="934">
        <v>4839</v>
      </c>
      <c r="BO553" s="114">
        <v>0</v>
      </c>
      <c r="BP553" s="114">
        <v>0</v>
      </c>
    </row>
    <row r="554" spans="1:68">
      <c r="A554" t="s">
        <v>283</v>
      </c>
      <c r="B554" t="s">
        <v>3040</v>
      </c>
      <c r="C554" s="121">
        <v>4892</v>
      </c>
      <c r="D554" s="72">
        <v>2</v>
      </c>
      <c r="E554">
        <v>461.262</v>
      </c>
      <c r="F554">
        <v>138</v>
      </c>
      <c r="G554">
        <v>41</v>
      </c>
      <c r="H554">
        <v>4</v>
      </c>
      <c r="I554" s="173">
        <v>1.04</v>
      </c>
      <c r="J554" s="121">
        <v>253646875</v>
      </c>
      <c r="K554" s="125">
        <v>2314.8220000000001</v>
      </c>
      <c r="L554" s="173">
        <v>1.5</v>
      </c>
      <c r="M554">
        <v>1.04</v>
      </c>
      <c r="N554">
        <v>1.000000005</v>
      </c>
      <c r="O554">
        <v>3.9999995000000066</v>
      </c>
      <c r="P554">
        <v>1493.1089999999999</v>
      </c>
      <c r="Q554" s="125">
        <v>0.46400000000000002</v>
      </c>
      <c r="R554" s="125">
        <v>0</v>
      </c>
      <c r="S554" s="125">
        <v>3.8119999999999998</v>
      </c>
      <c r="T554" s="125">
        <v>72.200999999999993</v>
      </c>
      <c r="U554" s="125">
        <v>9.0489999999999995</v>
      </c>
      <c r="V554" s="125">
        <v>0</v>
      </c>
      <c r="W554" s="125">
        <v>0.23400000000000001</v>
      </c>
      <c r="X554" s="125">
        <v>0</v>
      </c>
      <c r="Y554" s="125">
        <v>0</v>
      </c>
      <c r="Z554" s="125">
        <v>0</v>
      </c>
      <c r="AA554" s="125">
        <v>40.362000000000002</v>
      </c>
      <c r="AB554" s="125">
        <v>80.483999999999995</v>
      </c>
      <c r="AC554" s="125">
        <v>1430.8</v>
      </c>
      <c r="AD554" s="125">
        <v>0.93100000000000005</v>
      </c>
      <c r="AE554" s="125">
        <v>187.83600000000001</v>
      </c>
      <c r="AF554" s="125">
        <v>74.655000000000001</v>
      </c>
      <c r="AG554" s="125">
        <v>0</v>
      </c>
      <c r="AH554" s="125">
        <v>0</v>
      </c>
      <c r="AI554" s="121">
        <v>2714427</v>
      </c>
      <c r="AJ554" s="121">
        <v>208855</v>
      </c>
      <c r="AK554" s="424">
        <v>12</v>
      </c>
      <c r="AL554">
        <v>0</v>
      </c>
      <c r="AM554" s="121">
        <v>317251</v>
      </c>
      <c r="AN554" s="125">
        <v>0.99399999999999999</v>
      </c>
      <c r="AO554" s="125">
        <v>0</v>
      </c>
      <c r="AP554" s="121">
        <v>2923282</v>
      </c>
      <c r="AQ554" s="114">
        <v>0</v>
      </c>
      <c r="AR554" s="121">
        <v>169.07073358</v>
      </c>
      <c r="AS554" s="121">
        <v>33222.930070000002</v>
      </c>
      <c r="AT554" s="121">
        <v>4375.4449922000003</v>
      </c>
      <c r="AU554" s="420" t="s">
        <v>2001</v>
      </c>
      <c r="AV554" s="420" t="s">
        <v>2001</v>
      </c>
      <c r="AW554" s="121">
        <v>0</v>
      </c>
      <c r="AX554" s="121">
        <v>1135997</v>
      </c>
      <c r="BI554">
        <v>0</v>
      </c>
      <c r="BJ554" s="121">
        <v>0</v>
      </c>
      <c r="BK554" s="134">
        <v>253646875</v>
      </c>
      <c r="BL554" s="934">
        <v>4689</v>
      </c>
      <c r="BM554" s="934">
        <v>4892</v>
      </c>
      <c r="BN554" s="934">
        <v>4812</v>
      </c>
      <c r="BO554" s="114">
        <v>0</v>
      </c>
      <c r="BP554" s="114">
        <v>0</v>
      </c>
    </row>
    <row r="555" spans="1:68">
      <c r="A555" t="s">
        <v>1435</v>
      </c>
      <c r="B555" t="s">
        <v>2651</v>
      </c>
      <c r="C555" s="121">
        <v>6648</v>
      </c>
      <c r="D555" s="72">
        <v>2</v>
      </c>
      <c r="E555">
        <v>388.483</v>
      </c>
      <c r="F555">
        <v>130</v>
      </c>
      <c r="G555">
        <v>84</v>
      </c>
      <c r="H555">
        <v>23</v>
      </c>
      <c r="I555" s="173">
        <v>0.92149999999999999</v>
      </c>
      <c r="J555" s="121">
        <v>729790992</v>
      </c>
      <c r="K555" s="125">
        <v>1975.972</v>
      </c>
      <c r="L555" s="173">
        <v>1.3223</v>
      </c>
      <c r="M555">
        <v>0.92149999999999999</v>
      </c>
      <c r="N555">
        <v>0.88153333774100007</v>
      </c>
      <c r="O555">
        <v>3.9966662258999919</v>
      </c>
      <c r="P555">
        <v>1353.1869999999999</v>
      </c>
      <c r="Q555" s="125">
        <v>0.14899999999999999</v>
      </c>
      <c r="R555" s="125">
        <v>0</v>
      </c>
      <c r="S555" s="125">
        <v>3.0129999999999999</v>
      </c>
      <c r="T555" s="125">
        <v>60.688000000000002</v>
      </c>
      <c r="U555" s="125">
        <v>17.577999999999999</v>
      </c>
      <c r="V555" s="125">
        <v>0</v>
      </c>
      <c r="W555" s="125">
        <v>0.40600000000000003</v>
      </c>
      <c r="X555" s="125">
        <v>0</v>
      </c>
      <c r="Y555" s="125">
        <v>0</v>
      </c>
      <c r="Z555" s="125">
        <v>1.655</v>
      </c>
      <c r="AA555" s="125">
        <v>39.981000000000002</v>
      </c>
      <c r="AB555" s="125">
        <v>66.388000000000005</v>
      </c>
      <c r="AC555" s="125">
        <v>689.5</v>
      </c>
      <c r="AD555" s="125">
        <v>0</v>
      </c>
      <c r="AE555" s="125">
        <v>71.513999999999996</v>
      </c>
      <c r="AF555" s="125">
        <v>67.659000000000006</v>
      </c>
      <c r="AG555" s="125">
        <v>0</v>
      </c>
      <c r="AH555" s="125">
        <v>0</v>
      </c>
      <c r="AI555" s="121">
        <v>7131888</v>
      </c>
      <c r="AJ555" s="121">
        <v>580469</v>
      </c>
      <c r="AK555" s="424">
        <v>12</v>
      </c>
      <c r="AL555">
        <v>0</v>
      </c>
      <c r="AM555" s="121">
        <v>123458</v>
      </c>
      <c r="AN555" s="125">
        <v>0</v>
      </c>
      <c r="AO555" s="125">
        <v>0</v>
      </c>
      <c r="AP555" s="121">
        <v>7712357</v>
      </c>
      <c r="AQ555" s="114">
        <v>0</v>
      </c>
      <c r="AR555" s="121">
        <v>83.265245460000003</v>
      </c>
      <c r="AS555" s="121">
        <v>16361.882205</v>
      </c>
      <c r="AT555" s="121">
        <v>2154.8525494</v>
      </c>
      <c r="AU555" s="420" t="s">
        <v>798</v>
      </c>
      <c r="AV555" s="420" t="s">
        <v>2001</v>
      </c>
      <c r="AW555" s="121">
        <v>0</v>
      </c>
      <c r="AX555" s="121">
        <v>762534</v>
      </c>
      <c r="AY555" s="134">
        <v>135114</v>
      </c>
      <c r="AZ555" s="134">
        <v>2375985</v>
      </c>
      <c r="BA555" s="114">
        <v>984</v>
      </c>
      <c r="BB555" s="134">
        <v>55813682</v>
      </c>
      <c r="BC555" s="114">
        <v>0</v>
      </c>
      <c r="BD555" s="114">
        <v>0</v>
      </c>
      <c r="BE555" s="114">
        <v>0</v>
      </c>
      <c r="BF555" s="134">
        <v>1503</v>
      </c>
      <c r="BG555" s="114">
        <v>0</v>
      </c>
      <c r="BH555" s="114">
        <v>0</v>
      </c>
      <c r="BI555">
        <v>0</v>
      </c>
      <c r="BJ555" s="121">
        <v>0</v>
      </c>
      <c r="BK555" s="134">
        <v>729790992</v>
      </c>
      <c r="BL555" s="934">
        <v>5314</v>
      </c>
      <c r="BM555" s="934">
        <v>6648</v>
      </c>
      <c r="BN555" s="934">
        <v>5975</v>
      </c>
      <c r="BO555" s="114">
        <v>0</v>
      </c>
      <c r="BP555" s="114">
        <v>0</v>
      </c>
    </row>
    <row r="556" spans="1:68">
      <c r="A556" t="s">
        <v>2400</v>
      </c>
      <c r="B556" t="s">
        <v>2771</v>
      </c>
      <c r="C556" s="121">
        <v>4492</v>
      </c>
      <c r="D556" s="72">
        <v>1</v>
      </c>
      <c r="E556">
        <v>207.54499999999999</v>
      </c>
      <c r="F556">
        <v>81</v>
      </c>
      <c r="G556">
        <v>46</v>
      </c>
      <c r="H556">
        <v>4</v>
      </c>
      <c r="I556" s="173">
        <v>1.04</v>
      </c>
      <c r="J556" s="121">
        <v>100963479</v>
      </c>
      <c r="K556" s="125">
        <v>1120.9059999999999</v>
      </c>
      <c r="L556" s="173">
        <v>1.5</v>
      </c>
      <c r="M556">
        <v>1.04</v>
      </c>
      <c r="N556">
        <v>1.000000005</v>
      </c>
      <c r="O556">
        <v>3.9999995000000066</v>
      </c>
      <c r="P556">
        <v>626.41</v>
      </c>
      <c r="Q556" s="125">
        <v>0</v>
      </c>
      <c r="R556" s="125">
        <v>0</v>
      </c>
      <c r="S556" s="125">
        <v>1.109</v>
      </c>
      <c r="T556" s="125">
        <v>13.97</v>
      </c>
      <c r="U556" s="125">
        <v>11.824999999999999</v>
      </c>
      <c r="V556" s="125">
        <v>0</v>
      </c>
      <c r="W556" s="125">
        <v>3.5529999999999999</v>
      </c>
      <c r="X556" s="125">
        <v>0</v>
      </c>
      <c r="Y556" s="125">
        <v>0</v>
      </c>
      <c r="Z556" s="125">
        <v>1.1910000000000001</v>
      </c>
      <c r="AA556" s="125">
        <v>48.206000000000003</v>
      </c>
      <c r="AB556" s="125">
        <v>39.158000000000001</v>
      </c>
      <c r="AC556" s="125">
        <v>509.3</v>
      </c>
      <c r="AD556" s="125">
        <v>0.56000000000000005</v>
      </c>
      <c r="AE556" s="125">
        <v>59.911000000000001</v>
      </c>
      <c r="AF556" s="125">
        <v>31.32</v>
      </c>
      <c r="AG556" s="125">
        <v>0</v>
      </c>
      <c r="AH556" s="125">
        <v>0</v>
      </c>
      <c r="AI556" s="121">
        <v>1034554</v>
      </c>
      <c r="AJ556" s="121">
        <v>0</v>
      </c>
      <c r="AK556" s="424">
        <v>12</v>
      </c>
      <c r="AL556">
        <v>0</v>
      </c>
      <c r="AM556" s="121">
        <v>39890</v>
      </c>
      <c r="AN556" s="125">
        <v>0</v>
      </c>
      <c r="AO556" s="125">
        <v>1</v>
      </c>
      <c r="AP556" s="121">
        <v>1034554</v>
      </c>
      <c r="AQ556" s="114">
        <v>0</v>
      </c>
      <c r="AR556" s="121">
        <v>67.298165544</v>
      </c>
      <c r="AS556" s="121">
        <v>13224.300861</v>
      </c>
      <c r="AT556" s="121">
        <v>1741.6344933</v>
      </c>
      <c r="AU556" s="420" t="s">
        <v>2001</v>
      </c>
      <c r="AV556" s="420" t="s">
        <v>2001</v>
      </c>
      <c r="AW556" s="121">
        <v>0</v>
      </c>
      <c r="AX556" s="121">
        <v>319958</v>
      </c>
      <c r="BI556">
        <v>0</v>
      </c>
      <c r="BJ556" s="121">
        <v>0</v>
      </c>
      <c r="BK556" s="134">
        <v>96672828</v>
      </c>
      <c r="BL556" s="934">
        <v>4492</v>
      </c>
      <c r="BM556" s="934">
        <v>4406</v>
      </c>
      <c r="BN556" s="934">
        <v>4406</v>
      </c>
      <c r="BO556" s="114">
        <v>0</v>
      </c>
      <c r="BP556" s="114">
        <v>0</v>
      </c>
    </row>
    <row r="557" spans="1:68">
      <c r="A557" t="s">
        <v>1506</v>
      </c>
      <c r="B557" t="s">
        <v>2315</v>
      </c>
      <c r="C557" s="121">
        <v>4558</v>
      </c>
      <c r="D557" s="72">
        <v>1</v>
      </c>
      <c r="E557">
        <v>133.095</v>
      </c>
      <c r="F557">
        <v>47</v>
      </c>
      <c r="G557">
        <v>38</v>
      </c>
      <c r="H557">
        <v>1</v>
      </c>
      <c r="I557" s="173">
        <v>1.17</v>
      </c>
      <c r="J557" s="121">
        <v>82385906</v>
      </c>
      <c r="K557" s="125">
        <v>795.87300000000005</v>
      </c>
      <c r="L557" s="173">
        <v>1.5</v>
      </c>
      <c r="M557">
        <v>1.17</v>
      </c>
      <c r="N557">
        <v>1.000000005</v>
      </c>
      <c r="O557">
        <v>16.999999499999994</v>
      </c>
      <c r="P557">
        <v>434.66300000000001</v>
      </c>
      <c r="Q557" s="125">
        <v>7.8E-2</v>
      </c>
      <c r="R557" s="125">
        <v>0</v>
      </c>
      <c r="S557" s="125">
        <v>0.91200000000000003</v>
      </c>
      <c r="T557" s="125">
        <v>18.742999999999999</v>
      </c>
      <c r="U557" s="125">
        <v>6.0999999999999999E-2</v>
      </c>
      <c r="V557" s="125">
        <v>0</v>
      </c>
      <c r="W557" s="125">
        <v>3.92</v>
      </c>
      <c r="X557" s="125">
        <v>0</v>
      </c>
      <c r="Y557" s="125">
        <v>0</v>
      </c>
      <c r="Z557" s="125">
        <v>0</v>
      </c>
      <c r="AA557" s="125">
        <v>27.591000000000001</v>
      </c>
      <c r="AB557" s="125">
        <v>22.324999999999999</v>
      </c>
      <c r="AC557" s="125">
        <v>382</v>
      </c>
      <c r="AD557" s="125">
        <v>3.3000000000000002E-2</v>
      </c>
      <c r="AE557" s="125">
        <v>16.863</v>
      </c>
      <c r="AF557" s="125">
        <v>21.733000000000001</v>
      </c>
      <c r="AG557" s="125">
        <v>0</v>
      </c>
      <c r="AH557" s="125">
        <v>0</v>
      </c>
      <c r="AI557" s="121">
        <v>1001990</v>
      </c>
      <c r="AJ557" s="121">
        <v>85290</v>
      </c>
      <c r="AK557" s="424">
        <v>12</v>
      </c>
      <c r="AL557">
        <v>0</v>
      </c>
      <c r="AM557" s="121">
        <v>8391</v>
      </c>
      <c r="AN557" s="125">
        <v>0</v>
      </c>
      <c r="AO557" s="125">
        <v>0</v>
      </c>
      <c r="AP557" s="121">
        <v>1087280</v>
      </c>
      <c r="AQ557" s="114">
        <v>0</v>
      </c>
      <c r="AR557" s="121">
        <v>54.915108115999999</v>
      </c>
      <c r="AS557" s="121">
        <v>10790.991190999999</v>
      </c>
      <c r="AT557" s="121">
        <v>1421.1687009</v>
      </c>
      <c r="AU557" s="420" t="s">
        <v>2001</v>
      </c>
      <c r="AV557" s="420" t="s">
        <v>2001</v>
      </c>
      <c r="AW557" s="121">
        <v>0</v>
      </c>
      <c r="AX557" s="121">
        <v>349842</v>
      </c>
      <c r="BI557">
        <v>0</v>
      </c>
      <c r="BJ557" s="121">
        <v>0</v>
      </c>
      <c r="BK557" s="134">
        <v>82385906</v>
      </c>
      <c r="BL557" s="934">
        <v>4558</v>
      </c>
      <c r="BM557" s="934">
        <v>4495</v>
      </c>
      <c r="BN557" s="934">
        <v>4495</v>
      </c>
      <c r="BO557" s="114">
        <v>0</v>
      </c>
      <c r="BP557" s="114">
        <v>0</v>
      </c>
    </row>
    <row r="558" spans="1:68">
      <c r="A558" t="s">
        <v>2128</v>
      </c>
      <c r="B558" t="s">
        <v>937</v>
      </c>
      <c r="C558" s="121">
        <v>4461</v>
      </c>
      <c r="D558" s="72">
        <v>2</v>
      </c>
      <c r="E558">
        <v>208.59100000000001</v>
      </c>
      <c r="F558">
        <v>70</v>
      </c>
      <c r="G558">
        <v>51</v>
      </c>
      <c r="H558">
        <v>0</v>
      </c>
      <c r="I558" s="173">
        <v>1.04</v>
      </c>
      <c r="J558" s="121">
        <v>67770381</v>
      </c>
      <c r="K558" s="125">
        <v>1159.491</v>
      </c>
      <c r="L558" s="173">
        <v>1.5</v>
      </c>
      <c r="M558">
        <v>1.04</v>
      </c>
      <c r="N558">
        <v>1.000000005</v>
      </c>
      <c r="O558">
        <v>3.9999995000000066</v>
      </c>
      <c r="P558">
        <v>675.39700000000005</v>
      </c>
      <c r="Q558" s="125">
        <v>4.2000000000000003E-2</v>
      </c>
      <c r="R558" s="125">
        <v>0</v>
      </c>
      <c r="S558" s="125">
        <v>1.2669999999999999</v>
      </c>
      <c r="T558" s="125">
        <v>21.186</v>
      </c>
      <c r="U558" s="125">
        <v>4.835</v>
      </c>
      <c r="V558" s="125">
        <v>0</v>
      </c>
      <c r="W558" s="125">
        <v>0</v>
      </c>
      <c r="X558" s="125">
        <v>0</v>
      </c>
      <c r="Y558" s="125">
        <v>0</v>
      </c>
      <c r="Z558" s="125">
        <v>1.74</v>
      </c>
      <c r="AA558" s="125">
        <v>46.161000000000001</v>
      </c>
      <c r="AB558" s="125">
        <v>51.585999999999999</v>
      </c>
      <c r="AC558" s="125">
        <v>478.5</v>
      </c>
      <c r="AD558" s="125">
        <v>0.157</v>
      </c>
      <c r="AE558" s="125">
        <v>4.9219999999999997</v>
      </c>
      <c r="AF558" s="125">
        <v>33.769849999999998</v>
      </c>
      <c r="AG558" s="125">
        <v>0</v>
      </c>
      <c r="AH558" s="125">
        <v>0</v>
      </c>
      <c r="AI558" s="121">
        <v>703050</v>
      </c>
      <c r="AJ558" s="121">
        <v>0</v>
      </c>
      <c r="AK558" s="424">
        <v>12</v>
      </c>
      <c r="AL558">
        <v>0</v>
      </c>
      <c r="AM558" s="121">
        <v>45524</v>
      </c>
      <c r="AN558" s="125">
        <v>0</v>
      </c>
      <c r="AO558" s="125">
        <v>0</v>
      </c>
      <c r="AP558" s="121">
        <v>703050</v>
      </c>
      <c r="AQ558" s="114">
        <v>0</v>
      </c>
      <c r="AR558" s="121">
        <v>45.172991113999998</v>
      </c>
      <c r="AS558" s="121">
        <v>8876.6346076999998</v>
      </c>
      <c r="AT558" s="121">
        <v>1169.0487972999999</v>
      </c>
      <c r="AU558" s="420" t="s">
        <v>2001</v>
      </c>
      <c r="AV558" s="420" t="s">
        <v>2001</v>
      </c>
      <c r="AW558" s="121">
        <v>0</v>
      </c>
      <c r="AX558" s="121">
        <v>330195</v>
      </c>
      <c r="BI558">
        <v>0</v>
      </c>
      <c r="BJ558" s="121">
        <v>0</v>
      </c>
      <c r="BK558" s="134">
        <v>67770381</v>
      </c>
      <c r="BL558" s="934">
        <v>4333</v>
      </c>
      <c r="BM558" s="934">
        <v>4461</v>
      </c>
      <c r="BN558" s="934">
        <v>4461</v>
      </c>
      <c r="BO558" s="114">
        <v>0</v>
      </c>
      <c r="BP558" s="114">
        <v>0</v>
      </c>
    </row>
    <row r="559" spans="1:68">
      <c r="A559" t="s">
        <v>2870</v>
      </c>
      <c r="B559" t="s">
        <v>165</v>
      </c>
      <c r="C559" s="121">
        <v>5101</v>
      </c>
      <c r="D559" s="72">
        <v>2</v>
      </c>
      <c r="E559">
        <v>32.57</v>
      </c>
      <c r="F559">
        <v>18</v>
      </c>
      <c r="G559">
        <v>15</v>
      </c>
      <c r="H559">
        <v>2</v>
      </c>
      <c r="I559" s="173">
        <v>1.17</v>
      </c>
      <c r="J559" s="121">
        <v>49883020</v>
      </c>
      <c r="K559" s="125">
        <v>267.25599999999997</v>
      </c>
      <c r="L559" s="173">
        <v>1.5</v>
      </c>
      <c r="M559">
        <v>1.17</v>
      </c>
      <c r="N559">
        <v>1.000000005</v>
      </c>
      <c r="O559">
        <v>16.999999499999994</v>
      </c>
      <c r="P559">
        <v>102.131</v>
      </c>
      <c r="Q559" s="125">
        <v>0</v>
      </c>
      <c r="R559" s="125">
        <v>0</v>
      </c>
      <c r="S559" s="125">
        <v>0.18099999999999999</v>
      </c>
      <c r="T559" s="125">
        <v>7.4210000000000003</v>
      </c>
      <c r="U559" s="125">
        <v>0.36</v>
      </c>
      <c r="V559" s="125">
        <v>0</v>
      </c>
      <c r="W559" s="125">
        <v>0.59599999999999997</v>
      </c>
      <c r="X559" s="125">
        <v>0</v>
      </c>
      <c r="Y559" s="125">
        <v>0</v>
      </c>
      <c r="Z559" s="125">
        <v>0</v>
      </c>
      <c r="AA559" s="125">
        <v>2.4220000000000002</v>
      </c>
      <c r="AB559" s="125">
        <v>9.5579999999999998</v>
      </c>
      <c r="AC559" s="125">
        <v>101.1</v>
      </c>
      <c r="AD559" s="125">
        <v>0</v>
      </c>
      <c r="AE559" s="125">
        <v>0</v>
      </c>
      <c r="AF559" s="125">
        <v>5.1065500000000004</v>
      </c>
      <c r="AG559" s="125">
        <v>0</v>
      </c>
      <c r="AH559" s="125">
        <v>0</v>
      </c>
      <c r="AI559" s="121">
        <v>557696</v>
      </c>
      <c r="AJ559" s="121">
        <v>27635</v>
      </c>
      <c r="AK559" s="424">
        <v>12</v>
      </c>
      <c r="AL559">
        <v>0</v>
      </c>
      <c r="AM559" s="121">
        <v>24282</v>
      </c>
      <c r="AN559" s="125">
        <v>0</v>
      </c>
      <c r="AO559" s="125">
        <v>0</v>
      </c>
      <c r="AP559" s="121">
        <v>585331</v>
      </c>
      <c r="AQ559" s="114">
        <v>0</v>
      </c>
      <c r="AR559" s="121">
        <v>33.250000731</v>
      </c>
      <c r="AS559" s="121">
        <v>6533.7295563999996</v>
      </c>
      <c r="AT559" s="121">
        <v>860.48925269999995</v>
      </c>
      <c r="AU559" s="420" t="s">
        <v>2001</v>
      </c>
      <c r="AV559" s="420" t="s">
        <v>2001</v>
      </c>
      <c r="AW559" s="121">
        <v>0</v>
      </c>
      <c r="AX559" s="121">
        <v>98035</v>
      </c>
      <c r="BI559">
        <v>0</v>
      </c>
      <c r="BJ559" s="121">
        <v>0</v>
      </c>
      <c r="BK559" s="134">
        <v>46800480</v>
      </c>
      <c r="BL559" s="934">
        <v>4798</v>
      </c>
      <c r="BM559" s="934">
        <v>5101</v>
      </c>
      <c r="BN559" s="934">
        <v>4887</v>
      </c>
      <c r="BO559" s="114">
        <v>0</v>
      </c>
      <c r="BP559" s="114">
        <v>0</v>
      </c>
    </row>
    <row r="560" spans="1:68">
      <c r="A560" t="s">
        <v>288</v>
      </c>
      <c r="B560" t="s">
        <v>2213</v>
      </c>
      <c r="C560" s="121">
        <v>4492</v>
      </c>
      <c r="D560" s="72">
        <v>2</v>
      </c>
      <c r="E560">
        <v>176.059</v>
      </c>
      <c r="F560">
        <v>69</v>
      </c>
      <c r="G560">
        <v>63</v>
      </c>
      <c r="H560">
        <v>1</v>
      </c>
      <c r="I560" s="173">
        <v>1.17</v>
      </c>
      <c r="J560" s="121">
        <v>68009445</v>
      </c>
      <c r="K560" s="125">
        <v>1064.7370000000001</v>
      </c>
      <c r="L560" s="173">
        <v>1.5</v>
      </c>
      <c r="M560">
        <v>1.17</v>
      </c>
      <c r="N560">
        <v>1.000000005</v>
      </c>
      <c r="O560">
        <v>16.999999499999994</v>
      </c>
      <c r="P560">
        <v>620</v>
      </c>
      <c r="Q560" s="125">
        <v>0.15</v>
      </c>
      <c r="R560" s="125">
        <v>0</v>
      </c>
      <c r="S560" s="125">
        <v>0.72099999999999997</v>
      </c>
      <c r="T560" s="125">
        <v>12.355</v>
      </c>
      <c r="U560" s="125">
        <v>1.34</v>
      </c>
      <c r="V560" s="125">
        <v>0</v>
      </c>
      <c r="W560" s="125">
        <v>0.872</v>
      </c>
      <c r="X560" s="125">
        <v>0</v>
      </c>
      <c r="Y560" s="125">
        <v>0</v>
      </c>
      <c r="Z560" s="125">
        <v>0</v>
      </c>
      <c r="AA560" s="125">
        <v>48.704999999999998</v>
      </c>
      <c r="AB560" s="125">
        <v>47.037999999999997</v>
      </c>
      <c r="AC560" s="125">
        <v>519.79999999999995</v>
      </c>
      <c r="AD560" s="125">
        <v>0.623</v>
      </c>
      <c r="AE560" s="125">
        <v>20.844000000000001</v>
      </c>
      <c r="AF560" s="125">
        <v>27.786000000000001</v>
      </c>
      <c r="AG560" s="125">
        <v>0</v>
      </c>
      <c r="AH560" s="125">
        <v>0</v>
      </c>
      <c r="AI560" s="121">
        <v>835496</v>
      </c>
      <c r="AJ560" s="121">
        <v>47130</v>
      </c>
      <c r="AK560" s="424">
        <v>12</v>
      </c>
      <c r="AL560">
        <v>0</v>
      </c>
      <c r="AM560" s="121">
        <v>44539</v>
      </c>
      <c r="AN560" s="125">
        <v>0</v>
      </c>
      <c r="AO560" s="125">
        <v>0</v>
      </c>
      <c r="AP560" s="121">
        <v>882626</v>
      </c>
      <c r="AQ560" s="114">
        <v>0</v>
      </c>
      <c r="AR560" s="121">
        <v>45.332341493999998</v>
      </c>
      <c r="AS560" s="121">
        <v>8907.9474577000001</v>
      </c>
      <c r="AT560" s="121">
        <v>1173.1726856</v>
      </c>
      <c r="AU560" s="420" t="s">
        <v>2001</v>
      </c>
      <c r="AV560" s="420" t="s">
        <v>2001</v>
      </c>
      <c r="AW560" s="121">
        <v>0</v>
      </c>
      <c r="AX560" s="121">
        <v>184048</v>
      </c>
      <c r="BI560">
        <v>0</v>
      </c>
      <c r="BJ560" s="121">
        <v>0</v>
      </c>
      <c r="BK560" s="134">
        <v>68009445</v>
      </c>
      <c r="BL560" s="934">
        <v>4452</v>
      </c>
      <c r="BM560" s="934">
        <v>4492</v>
      </c>
      <c r="BN560" s="934">
        <v>4492</v>
      </c>
      <c r="BO560" s="114">
        <v>0</v>
      </c>
      <c r="BP560" s="114">
        <v>0</v>
      </c>
    </row>
    <row r="561" spans="1:68">
      <c r="A561" t="s">
        <v>54</v>
      </c>
      <c r="B561" t="s">
        <v>449</v>
      </c>
      <c r="C561" s="121">
        <v>4600</v>
      </c>
      <c r="D561" s="72">
        <v>3</v>
      </c>
      <c r="E561">
        <v>263.12599999999998</v>
      </c>
      <c r="F561">
        <v>87</v>
      </c>
      <c r="G561">
        <v>88</v>
      </c>
      <c r="H561">
        <v>7</v>
      </c>
      <c r="I561" s="173">
        <v>1.04</v>
      </c>
      <c r="J561" s="121">
        <v>206679242</v>
      </c>
      <c r="K561" s="125">
        <v>1619.384</v>
      </c>
      <c r="L561" s="173">
        <v>1.4094</v>
      </c>
      <c r="M561">
        <v>1.04</v>
      </c>
      <c r="N561">
        <v>0.93960000469799998</v>
      </c>
      <c r="O561">
        <v>10.039999530200006</v>
      </c>
      <c r="P561">
        <v>934.2</v>
      </c>
      <c r="Q561" s="125">
        <v>8.2000000000000003E-2</v>
      </c>
      <c r="R561" s="125">
        <v>0</v>
      </c>
      <c r="S561" s="125">
        <v>1.1830000000000001</v>
      </c>
      <c r="T561" s="125">
        <v>32.939</v>
      </c>
      <c r="U561" s="125">
        <v>7.6630000000000003</v>
      </c>
      <c r="V561" s="125">
        <v>0</v>
      </c>
      <c r="W561" s="125">
        <v>3.4729999999999999</v>
      </c>
      <c r="X561" s="125">
        <v>0</v>
      </c>
      <c r="Y561" s="125">
        <v>0</v>
      </c>
      <c r="Z561" s="125">
        <v>0</v>
      </c>
      <c r="AA561" s="125">
        <v>13.334</v>
      </c>
      <c r="AB561" s="125">
        <v>60.311</v>
      </c>
      <c r="AC561" s="125">
        <v>706.9</v>
      </c>
      <c r="AD561" s="125">
        <v>0.98599999999999999</v>
      </c>
      <c r="AE561" s="125">
        <v>17.108000000000001</v>
      </c>
      <c r="AF561" s="125">
        <v>46.71</v>
      </c>
      <c r="AG561" s="125">
        <v>0</v>
      </c>
      <c r="AH561" s="125">
        <v>0</v>
      </c>
      <c r="AI561" s="121">
        <v>2154927</v>
      </c>
      <c r="AJ561" s="121">
        <v>56431</v>
      </c>
      <c r="AK561" s="424">
        <v>12</v>
      </c>
      <c r="AL561">
        <v>0</v>
      </c>
      <c r="AM561" s="121">
        <v>78253</v>
      </c>
      <c r="AN561" s="125">
        <v>0</v>
      </c>
      <c r="AO561" s="125">
        <v>0</v>
      </c>
      <c r="AP561" s="121">
        <v>2211358</v>
      </c>
      <c r="AQ561" s="114">
        <v>0</v>
      </c>
      <c r="AR561" s="121">
        <v>137.76401161999999</v>
      </c>
      <c r="AS561" s="121">
        <v>27071.060893999998</v>
      </c>
      <c r="AT561" s="121">
        <v>3565.2465803999999</v>
      </c>
      <c r="AU561" s="420" t="s">
        <v>2001</v>
      </c>
      <c r="AV561" s="420" t="s">
        <v>2001</v>
      </c>
      <c r="AW561" s="121">
        <v>0</v>
      </c>
      <c r="AX561" s="121">
        <v>99746</v>
      </c>
      <c r="BI561">
        <v>0</v>
      </c>
      <c r="BJ561" s="121">
        <v>0</v>
      </c>
      <c r="BK561" s="134">
        <v>201364978</v>
      </c>
      <c r="BL561" s="934">
        <v>4509</v>
      </c>
      <c r="BM561" s="934">
        <v>4576</v>
      </c>
      <c r="BN561" s="934">
        <v>4600</v>
      </c>
      <c r="BO561" s="114">
        <v>0</v>
      </c>
      <c r="BP561" s="114">
        <v>0</v>
      </c>
    </row>
    <row r="562" spans="1:68">
      <c r="A562" t="s">
        <v>2871</v>
      </c>
      <c r="B562" t="s">
        <v>454</v>
      </c>
      <c r="C562" s="121">
        <v>4529</v>
      </c>
      <c r="D562" s="72">
        <v>2</v>
      </c>
      <c r="E562">
        <v>203.215</v>
      </c>
      <c r="F562">
        <v>82</v>
      </c>
      <c r="G562">
        <v>70</v>
      </c>
      <c r="H562">
        <v>6</v>
      </c>
      <c r="I562" s="173">
        <v>1.04</v>
      </c>
      <c r="J562" s="121">
        <v>108360722</v>
      </c>
      <c r="K562" s="125">
        <v>1120.2239999999999</v>
      </c>
      <c r="L562" s="173">
        <v>1.5</v>
      </c>
      <c r="M562">
        <v>1.04</v>
      </c>
      <c r="N562">
        <v>1.000000005</v>
      </c>
      <c r="O562">
        <v>3.9999995000000066</v>
      </c>
      <c r="P562">
        <v>628.86699999999996</v>
      </c>
      <c r="Q562" s="125">
        <v>0.16400000000000001</v>
      </c>
      <c r="R562" s="125">
        <v>0</v>
      </c>
      <c r="S562" s="125">
        <v>1.454</v>
      </c>
      <c r="T562" s="125">
        <v>19.350000000000001</v>
      </c>
      <c r="U562" s="125">
        <v>4.9210000000000003</v>
      </c>
      <c r="V562" s="125">
        <v>0</v>
      </c>
      <c r="W562" s="125">
        <v>0</v>
      </c>
      <c r="X562" s="125">
        <v>0</v>
      </c>
      <c r="Y562" s="125">
        <v>0</v>
      </c>
      <c r="Z562" s="125">
        <v>0</v>
      </c>
      <c r="AA562" s="125">
        <v>29.294</v>
      </c>
      <c r="AB562" s="125">
        <v>47.896999999999998</v>
      </c>
      <c r="AC562" s="125">
        <v>622.6</v>
      </c>
      <c r="AD562" s="125">
        <v>0.63200000000000001</v>
      </c>
      <c r="AE562" s="125">
        <v>10.632999999999999</v>
      </c>
      <c r="AF562" s="125">
        <v>31.443000000000001</v>
      </c>
      <c r="AG562" s="125">
        <v>0</v>
      </c>
      <c r="AH562" s="125">
        <v>0</v>
      </c>
      <c r="AI562" s="121">
        <v>1170723</v>
      </c>
      <c r="AJ562" s="121">
        <v>90084</v>
      </c>
      <c r="AK562" s="424">
        <v>12</v>
      </c>
      <c r="AL562">
        <v>0</v>
      </c>
      <c r="AM562" s="121">
        <v>28593</v>
      </c>
      <c r="AN562" s="125">
        <v>0</v>
      </c>
      <c r="AO562" s="125">
        <v>0</v>
      </c>
      <c r="AP562" s="121">
        <v>1260807</v>
      </c>
      <c r="AQ562" s="114">
        <v>0</v>
      </c>
      <c r="AR562" s="121">
        <v>72.228868715999994</v>
      </c>
      <c r="AS562" s="121">
        <v>14193.199517999999</v>
      </c>
      <c r="AT562" s="121">
        <v>1869.238012</v>
      </c>
      <c r="AU562" s="420" t="s">
        <v>2001</v>
      </c>
      <c r="AV562" s="420" t="s">
        <v>2001</v>
      </c>
      <c r="AW562" s="121">
        <v>0</v>
      </c>
      <c r="AX562" s="121">
        <v>195650</v>
      </c>
      <c r="BI562">
        <v>0</v>
      </c>
      <c r="BJ562" s="121">
        <v>0</v>
      </c>
      <c r="BK562" s="134">
        <v>108291986</v>
      </c>
      <c r="BL562" s="934">
        <v>4500</v>
      </c>
      <c r="BM562" s="934">
        <v>4529</v>
      </c>
      <c r="BN562" s="934">
        <v>4529</v>
      </c>
      <c r="BO562" s="114">
        <v>0</v>
      </c>
      <c r="BP562" s="114">
        <v>0</v>
      </c>
    </row>
    <row r="563" spans="1:68">
      <c r="A563" t="s">
        <v>1317</v>
      </c>
      <c r="B563" t="s">
        <v>2316</v>
      </c>
      <c r="C563" s="121">
        <v>4873</v>
      </c>
      <c r="D563" s="72">
        <v>1</v>
      </c>
      <c r="E563">
        <v>65.007999999999996</v>
      </c>
      <c r="F563">
        <v>29</v>
      </c>
      <c r="G563">
        <v>22</v>
      </c>
      <c r="H563">
        <v>1</v>
      </c>
      <c r="I563" s="173">
        <v>1.04</v>
      </c>
      <c r="J563" s="121">
        <v>71743277</v>
      </c>
      <c r="K563" s="125">
        <v>482.93799999999999</v>
      </c>
      <c r="L563" s="173">
        <v>1.5</v>
      </c>
      <c r="M563">
        <v>1.04</v>
      </c>
      <c r="N563">
        <v>1.000000005</v>
      </c>
      <c r="O563">
        <v>3.9999995000000066</v>
      </c>
      <c r="P563">
        <v>264.32100000000003</v>
      </c>
      <c r="Q563" s="125">
        <v>0</v>
      </c>
      <c r="R563" s="125">
        <v>0</v>
      </c>
      <c r="S563" s="125">
        <v>0.251</v>
      </c>
      <c r="T563" s="125">
        <v>8.4429999999999996</v>
      </c>
      <c r="U563" s="125">
        <v>1.6160000000000001</v>
      </c>
      <c r="V563" s="125">
        <v>0</v>
      </c>
      <c r="W563" s="125">
        <v>0</v>
      </c>
      <c r="X563" s="125">
        <v>0</v>
      </c>
      <c r="Y563" s="125">
        <v>0</v>
      </c>
      <c r="Z563" s="125">
        <v>0</v>
      </c>
      <c r="AA563" s="125">
        <v>9.1509999999999998</v>
      </c>
      <c r="AB563" s="125">
        <v>14.427</v>
      </c>
      <c r="AC563" s="125">
        <v>247.2</v>
      </c>
      <c r="AD563" s="125">
        <v>0.44700000000000001</v>
      </c>
      <c r="AE563" s="125">
        <v>2.1469999999999998</v>
      </c>
      <c r="AF563" s="125">
        <v>13.215999999999999</v>
      </c>
      <c r="AG563" s="125">
        <v>0</v>
      </c>
      <c r="AH563" s="125">
        <v>0</v>
      </c>
      <c r="AI563" s="121">
        <v>590306</v>
      </c>
      <c r="AJ563" s="121">
        <v>0</v>
      </c>
      <c r="AK563" s="424">
        <v>12</v>
      </c>
      <c r="AL563">
        <v>0</v>
      </c>
      <c r="AM563" s="121">
        <v>8323</v>
      </c>
      <c r="AN563" s="125">
        <v>0</v>
      </c>
      <c r="AO563" s="125">
        <v>0</v>
      </c>
      <c r="AP563" s="121">
        <v>590306</v>
      </c>
      <c r="AQ563" s="114">
        <v>0</v>
      </c>
      <c r="AR563" s="121">
        <v>47.821162702000002</v>
      </c>
      <c r="AS563" s="121">
        <v>9397.0086405000002</v>
      </c>
      <c r="AT563" s="121">
        <v>1237.5818240999999</v>
      </c>
      <c r="AU563" s="420" t="s">
        <v>2001</v>
      </c>
      <c r="AV563" s="420" t="s">
        <v>2001</v>
      </c>
      <c r="AW563" s="121">
        <v>0</v>
      </c>
      <c r="AX563" s="121">
        <v>0</v>
      </c>
      <c r="BI563">
        <v>0</v>
      </c>
      <c r="BJ563" s="121">
        <v>0</v>
      </c>
      <c r="BK563" s="134">
        <v>55729241</v>
      </c>
      <c r="BL563" s="934">
        <v>4873</v>
      </c>
      <c r="BM563" s="934">
        <v>4757</v>
      </c>
      <c r="BN563" s="934">
        <v>4650</v>
      </c>
      <c r="BO563" s="114">
        <v>0</v>
      </c>
      <c r="BP563" s="114">
        <v>0</v>
      </c>
    </row>
    <row r="564" spans="1:68">
      <c r="A564" t="s">
        <v>1899</v>
      </c>
      <c r="B564" t="s">
        <v>1005</v>
      </c>
      <c r="C564" s="121">
        <v>4663</v>
      </c>
      <c r="D564" s="72">
        <v>1</v>
      </c>
      <c r="E564">
        <v>110.413</v>
      </c>
      <c r="F564">
        <v>29</v>
      </c>
      <c r="G564">
        <v>21</v>
      </c>
      <c r="H564">
        <v>4</v>
      </c>
      <c r="I564" s="173">
        <v>1.04</v>
      </c>
      <c r="J564" s="121">
        <v>56887137</v>
      </c>
      <c r="K564" s="125">
        <v>512.97</v>
      </c>
      <c r="L564" s="173">
        <v>1.5</v>
      </c>
      <c r="M564">
        <v>1.04</v>
      </c>
      <c r="N564">
        <v>1.000000005</v>
      </c>
      <c r="O564">
        <v>3.9999995000000066</v>
      </c>
      <c r="P564">
        <v>325</v>
      </c>
      <c r="Q564" s="125">
        <v>0</v>
      </c>
      <c r="R564" s="125">
        <v>0</v>
      </c>
      <c r="S564" s="125">
        <v>0.25700000000000001</v>
      </c>
      <c r="T564" s="125">
        <v>3.536</v>
      </c>
      <c r="U564" s="125">
        <v>2</v>
      </c>
      <c r="V564" s="125">
        <v>0</v>
      </c>
      <c r="W564" s="125">
        <v>0</v>
      </c>
      <c r="X564" s="125">
        <v>0</v>
      </c>
      <c r="Y564" s="125">
        <v>0</v>
      </c>
      <c r="Z564" s="125">
        <v>0</v>
      </c>
      <c r="AA564" s="125">
        <v>18.698</v>
      </c>
      <c r="AB564" s="125">
        <v>19.286000000000001</v>
      </c>
      <c r="AC564" s="125">
        <v>76.7</v>
      </c>
      <c r="AD564" s="125">
        <v>0</v>
      </c>
      <c r="AE564" s="125">
        <v>1.141</v>
      </c>
      <c r="AF564" s="125">
        <v>16.021000000000001</v>
      </c>
      <c r="AG564" s="125">
        <v>0</v>
      </c>
      <c r="AH564" s="125">
        <v>0</v>
      </c>
      <c r="AI564" s="121">
        <v>602571</v>
      </c>
      <c r="AJ564" s="121">
        <v>90214</v>
      </c>
      <c r="AK564" s="424">
        <v>12</v>
      </c>
      <c r="AL564">
        <v>0</v>
      </c>
      <c r="AM564" s="121">
        <v>41124</v>
      </c>
      <c r="AN564" s="125">
        <v>0</v>
      </c>
      <c r="AO564" s="125">
        <v>0</v>
      </c>
      <c r="AP564" s="121">
        <v>692785</v>
      </c>
      <c r="AQ564" s="114">
        <v>0</v>
      </c>
      <c r="AR564" s="121">
        <v>37.918661460999999</v>
      </c>
      <c r="AS564" s="121">
        <v>7451.1360505000002</v>
      </c>
      <c r="AT564" s="121">
        <v>981.31127659000003</v>
      </c>
      <c r="AU564" s="420" t="s">
        <v>2001</v>
      </c>
      <c r="AV564" s="420" t="s">
        <v>2001</v>
      </c>
      <c r="AW564" s="121">
        <v>0</v>
      </c>
      <c r="AX564" s="121">
        <v>222190</v>
      </c>
      <c r="BI564">
        <v>0</v>
      </c>
      <c r="BJ564" s="121">
        <v>0</v>
      </c>
      <c r="BK564" s="134">
        <v>56887137</v>
      </c>
      <c r="BL564" s="934">
        <v>4663</v>
      </c>
      <c r="BM564" s="934">
        <v>4611</v>
      </c>
      <c r="BN564" s="934">
        <v>4611</v>
      </c>
      <c r="BO564" s="114">
        <v>0</v>
      </c>
      <c r="BP564" s="114">
        <v>0</v>
      </c>
    </row>
    <row r="565" spans="1:68">
      <c r="A565" t="s">
        <v>2757</v>
      </c>
      <c r="B565" t="s">
        <v>456</v>
      </c>
      <c r="C565" s="121">
        <v>4712</v>
      </c>
      <c r="D565" s="72">
        <v>2</v>
      </c>
      <c r="E565">
        <v>664.68600000000004</v>
      </c>
      <c r="F565">
        <v>163</v>
      </c>
      <c r="G565">
        <v>94</v>
      </c>
      <c r="H565">
        <v>5</v>
      </c>
      <c r="I565" s="173">
        <v>1.04</v>
      </c>
      <c r="J565" s="121">
        <v>459544350</v>
      </c>
      <c r="K565" s="125">
        <v>2778.0149999999999</v>
      </c>
      <c r="L565" s="173">
        <v>1.5</v>
      </c>
      <c r="M565">
        <v>1.04</v>
      </c>
      <c r="N565">
        <v>1.000000005</v>
      </c>
      <c r="O565">
        <v>3.9999995000000066</v>
      </c>
      <c r="P565">
        <v>2153.627</v>
      </c>
      <c r="Q565" s="125">
        <v>5.5E-2</v>
      </c>
      <c r="R565" s="125">
        <v>0</v>
      </c>
      <c r="S565" s="125">
        <v>2.8220000000000001</v>
      </c>
      <c r="T565" s="125">
        <v>49.716000000000001</v>
      </c>
      <c r="U565" s="125">
        <v>16.079999999999998</v>
      </c>
      <c r="V565" s="125">
        <v>0</v>
      </c>
      <c r="W565" s="125">
        <v>1.282</v>
      </c>
      <c r="X565" s="125">
        <v>0</v>
      </c>
      <c r="Y565" s="125">
        <v>0</v>
      </c>
      <c r="Z565" s="125">
        <v>3.4119999999999999</v>
      </c>
      <c r="AA565" s="125">
        <v>30.29</v>
      </c>
      <c r="AB565" s="125">
        <v>124.729</v>
      </c>
      <c r="AC565" s="125">
        <v>522.29999999999995</v>
      </c>
      <c r="AD565" s="125">
        <v>0.60599999999999998</v>
      </c>
      <c r="AE565" s="125">
        <v>64.817999999999998</v>
      </c>
      <c r="AF565" s="125">
        <v>101.093</v>
      </c>
      <c r="AG565" s="125">
        <v>0</v>
      </c>
      <c r="AH565" s="125">
        <v>0</v>
      </c>
      <c r="AI565" s="121">
        <v>4968042</v>
      </c>
      <c r="AJ565" s="121">
        <v>1077094</v>
      </c>
      <c r="AK565" s="424">
        <v>12</v>
      </c>
      <c r="AL565">
        <v>0</v>
      </c>
      <c r="AM565" s="121">
        <v>159899</v>
      </c>
      <c r="AN565" s="125">
        <v>0</v>
      </c>
      <c r="AO565" s="125">
        <v>0</v>
      </c>
      <c r="AP565" s="121">
        <v>6045136</v>
      </c>
      <c r="AQ565" s="114">
        <v>0</v>
      </c>
      <c r="AR565" s="121">
        <v>306.31365108</v>
      </c>
      <c r="AS565" s="121">
        <v>60191.594334000001</v>
      </c>
      <c r="AT565" s="121">
        <v>7927.2059823999998</v>
      </c>
      <c r="AU565" s="420" t="s">
        <v>2001</v>
      </c>
      <c r="AV565" s="420" t="s">
        <v>2001</v>
      </c>
      <c r="AW565" s="121">
        <v>0</v>
      </c>
      <c r="AX565" s="121">
        <v>2329370</v>
      </c>
      <c r="BI565">
        <v>0</v>
      </c>
      <c r="BJ565" s="121">
        <v>0</v>
      </c>
      <c r="BK565" s="134">
        <v>459544350</v>
      </c>
      <c r="BL565" s="934">
        <v>4658</v>
      </c>
      <c r="BM565" s="934">
        <v>4712</v>
      </c>
      <c r="BN565" s="934">
        <v>4712</v>
      </c>
      <c r="BO565" s="114">
        <v>0</v>
      </c>
      <c r="BP565" s="114">
        <v>0</v>
      </c>
    </row>
    <row r="566" spans="1:68">
      <c r="A566" t="s">
        <v>1515</v>
      </c>
      <c r="B566" t="s">
        <v>132</v>
      </c>
      <c r="C566" s="121">
        <v>4995</v>
      </c>
      <c r="D566" s="72">
        <v>2</v>
      </c>
      <c r="E566">
        <v>1613.6410000000001</v>
      </c>
      <c r="F566">
        <v>436</v>
      </c>
      <c r="G566">
        <v>265</v>
      </c>
      <c r="H566">
        <v>37</v>
      </c>
      <c r="I566" s="173">
        <v>1.04</v>
      </c>
      <c r="J566" s="121">
        <v>2197244001</v>
      </c>
      <c r="K566" s="125">
        <v>9115.8230000000003</v>
      </c>
      <c r="L566" s="173">
        <v>1.46</v>
      </c>
      <c r="M566">
        <v>1.04</v>
      </c>
      <c r="N566">
        <v>0.97333333820000001</v>
      </c>
      <c r="O566">
        <v>6.6666661800000027</v>
      </c>
      <c r="P566">
        <v>7819</v>
      </c>
      <c r="Q566" s="125">
        <v>0.16700000000000001</v>
      </c>
      <c r="R566" s="125">
        <v>0</v>
      </c>
      <c r="S566" s="125">
        <v>12.682</v>
      </c>
      <c r="T566" s="125">
        <v>208.059</v>
      </c>
      <c r="U566" s="125">
        <v>49.198999999999998</v>
      </c>
      <c r="V566" s="125">
        <v>0</v>
      </c>
      <c r="W566" s="125">
        <v>7.0279999999999996</v>
      </c>
      <c r="X566" s="125">
        <v>0</v>
      </c>
      <c r="Y566" s="125">
        <v>0</v>
      </c>
      <c r="Z566" s="125">
        <v>0</v>
      </c>
      <c r="AA566" s="125">
        <v>46.192</v>
      </c>
      <c r="AB566" s="125">
        <v>151.74100000000001</v>
      </c>
      <c r="AC566" s="125">
        <v>1458</v>
      </c>
      <c r="AD566" s="125">
        <v>0.83099999999999996</v>
      </c>
      <c r="AE566" s="125">
        <v>264</v>
      </c>
      <c r="AF566" s="125">
        <v>385.22</v>
      </c>
      <c r="AG566" s="125">
        <v>0</v>
      </c>
      <c r="AH566" s="125">
        <v>0</v>
      </c>
      <c r="AI566" s="121">
        <v>24233844</v>
      </c>
      <c r="AJ566" s="121">
        <v>5097898</v>
      </c>
      <c r="AK566" s="424">
        <v>12</v>
      </c>
      <c r="AL566">
        <v>0</v>
      </c>
      <c r="AM566" s="121">
        <v>391126</v>
      </c>
      <c r="AN566" s="125">
        <v>0</v>
      </c>
      <c r="AO566" s="125">
        <v>0</v>
      </c>
      <c r="AP566" s="121">
        <v>29331742</v>
      </c>
      <c r="AQ566" s="114">
        <v>0</v>
      </c>
      <c r="AR566" s="121">
        <v>1464.5938575</v>
      </c>
      <c r="AS566" s="121">
        <v>287797.29216999997</v>
      </c>
      <c r="AT566" s="121">
        <v>37902.774322999998</v>
      </c>
      <c r="AU566" s="420" t="s">
        <v>2001</v>
      </c>
      <c r="AV566" s="420" t="s">
        <v>2001</v>
      </c>
      <c r="AW566" s="121">
        <v>0</v>
      </c>
      <c r="AX566" s="121">
        <v>11358994</v>
      </c>
      <c r="BI566">
        <v>0</v>
      </c>
      <c r="BJ566" s="121">
        <v>0</v>
      </c>
      <c r="BK566" s="134">
        <v>2197244001</v>
      </c>
      <c r="BL566" s="934">
        <v>4808</v>
      </c>
      <c r="BM566" s="934">
        <v>4995</v>
      </c>
      <c r="BN566" s="934">
        <v>4868</v>
      </c>
      <c r="BO566" s="114">
        <v>0</v>
      </c>
      <c r="BP566" s="114">
        <v>0</v>
      </c>
    </row>
    <row r="567" spans="1:68">
      <c r="A567" t="s">
        <v>56</v>
      </c>
      <c r="B567" t="s">
        <v>451</v>
      </c>
      <c r="C567" s="121">
        <v>4628</v>
      </c>
      <c r="D567" s="72">
        <v>1</v>
      </c>
      <c r="E567">
        <v>842.09100000000001</v>
      </c>
      <c r="F567">
        <v>253</v>
      </c>
      <c r="G567">
        <v>205</v>
      </c>
      <c r="H567">
        <v>14</v>
      </c>
      <c r="I567" s="173">
        <v>1.04</v>
      </c>
      <c r="J567" s="121">
        <v>618604563</v>
      </c>
      <c r="K567" s="125">
        <v>4738.3609999999999</v>
      </c>
      <c r="L567" s="173">
        <v>1.5</v>
      </c>
      <c r="M567">
        <v>1.04</v>
      </c>
      <c r="N567">
        <v>1.000000005</v>
      </c>
      <c r="O567">
        <v>3.9999995000000066</v>
      </c>
      <c r="P567">
        <v>3448.788</v>
      </c>
      <c r="Q567" s="125">
        <v>0.52800000000000002</v>
      </c>
      <c r="R567" s="125">
        <v>4.2999999999999997E-2</v>
      </c>
      <c r="S567" s="125">
        <v>5.6970000000000001</v>
      </c>
      <c r="T567" s="125">
        <v>70.379000000000005</v>
      </c>
      <c r="U567" s="125">
        <v>20.587</v>
      </c>
      <c r="V567" s="125">
        <v>0</v>
      </c>
      <c r="W567" s="125">
        <v>7.7779999999999996</v>
      </c>
      <c r="X567" s="125">
        <v>0</v>
      </c>
      <c r="Y567" s="125">
        <v>0</v>
      </c>
      <c r="Z567" s="125">
        <v>3.9729999999999999</v>
      </c>
      <c r="AA567" s="125">
        <v>157.59</v>
      </c>
      <c r="AB567" s="125">
        <v>130.827</v>
      </c>
      <c r="AC567" s="125">
        <v>2031</v>
      </c>
      <c r="AD567" s="125">
        <v>4.2009999999999996</v>
      </c>
      <c r="AE567" s="125">
        <v>466.99099999999999</v>
      </c>
      <c r="AF567" s="125">
        <v>172.43899999999999</v>
      </c>
      <c r="AG567" s="125">
        <v>0</v>
      </c>
      <c r="AH567" s="125">
        <v>0</v>
      </c>
      <c r="AI567" s="121">
        <v>6755162</v>
      </c>
      <c r="AJ567" s="121">
        <v>1214677</v>
      </c>
      <c r="AK567" s="424">
        <v>12</v>
      </c>
      <c r="AL567">
        <v>0</v>
      </c>
      <c r="AM567" s="121">
        <v>355440</v>
      </c>
      <c r="AN567" s="125">
        <v>0</v>
      </c>
      <c r="AO567" s="125">
        <v>0</v>
      </c>
      <c r="AP567" s="121">
        <v>7969839</v>
      </c>
      <c r="AQ567" s="114">
        <v>0</v>
      </c>
      <c r="AR567" s="121">
        <v>412.33674674999997</v>
      </c>
      <c r="AS567" s="121">
        <v>81025.465570999993</v>
      </c>
      <c r="AT567" s="121">
        <v>10671.017481999999</v>
      </c>
      <c r="AU567" s="420" t="s">
        <v>2001</v>
      </c>
      <c r="AV567" s="420" t="s">
        <v>2001</v>
      </c>
      <c r="AW567" s="121">
        <v>0</v>
      </c>
      <c r="AX567" s="121">
        <v>2800970</v>
      </c>
      <c r="BI567">
        <v>0</v>
      </c>
      <c r="BJ567" s="121">
        <v>0</v>
      </c>
      <c r="BK567" s="134">
        <v>618604563</v>
      </c>
      <c r="BL567" s="934">
        <v>4608</v>
      </c>
      <c r="BM567" s="934">
        <v>4628</v>
      </c>
      <c r="BN567" s="934">
        <v>4628</v>
      </c>
      <c r="BO567" s="114">
        <v>0</v>
      </c>
      <c r="BP567" s="114">
        <v>0</v>
      </c>
    </row>
    <row r="568" spans="1:68">
      <c r="A568" t="s">
        <v>58</v>
      </c>
      <c r="B568" t="s">
        <v>453</v>
      </c>
      <c r="C568" s="121">
        <v>4707</v>
      </c>
      <c r="D568" s="72">
        <v>2</v>
      </c>
      <c r="E568">
        <v>433.58199999999999</v>
      </c>
      <c r="F568">
        <v>129</v>
      </c>
      <c r="G568">
        <v>102</v>
      </c>
      <c r="H568">
        <v>16</v>
      </c>
      <c r="I568" s="173">
        <v>1.04</v>
      </c>
      <c r="J568" s="121">
        <v>313524955</v>
      </c>
      <c r="K568" s="125">
        <v>2286.0059999999999</v>
      </c>
      <c r="L568" s="173">
        <v>1.5</v>
      </c>
      <c r="M568">
        <v>1.04</v>
      </c>
      <c r="N568">
        <v>1.000000005</v>
      </c>
      <c r="O568">
        <v>3.9999995000000066</v>
      </c>
      <c r="P568">
        <v>1583.4670000000001</v>
      </c>
      <c r="Q568" s="125">
        <v>0.254</v>
      </c>
      <c r="R568" s="125">
        <v>0</v>
      </c>
      <c r="S568" s="125">
        <v>4.0119999999999996</v>
      </c>
      <c r="T568" s="125">
        <v>91.1</v>
      </c>
      <c r="U568" s="125">
        <v>13.821999999999999</v>
      </c>
      <c r="V568" s="125">
        <v>1.77</v>
      </c>
      <c r="W568" s="125">
        <v>0.76900000000000002</v>
      </c>
      <c r="X568" s="125">
        <v>0</v>
      </c>
      <c r="Y568" s="125">
        <v>0</v>
      </c>
      <c r="Z568" s="125">
        <v>0</v>
      </c>
      <c r="AA568" s="125">
        <v>0.312</v>
      </c>
      <c r="AB568" s="125">
        <v>76.132000000000005</v>
      </c>
      <c r="AC568" s="125">
        <v>920.8</v>
      </c>
      <c r="AD568" s="125">
        <v>0</v>
      </c>
      <c r="AE568" s="125">
        <v>43.381</v>
      </c>
      <c r="AF568" s="125">
        <v>79.173000000000002</v>
      </c>
      <c r="AG568" s="125">
        <v>0</v>
      </c>
      <c r="AH568" s="125">
        <v>0</v>
      </c>
      <c r="AI568" s="121">
        <v>3047086</v>
      </c>
      <c r="AJ568" s="121">
        <v>225726</v>
      </c>
      <c r="AK568" s="424">
        <v>12</v>
      </c>
      <c r="AL568">
        <v>0</v>
      </c>
      <c r="AM568" s="121">
        <v>210495</v>
      </c>
      <c r="AN568" s="125">
        <v>0</v>
      </c>
      <c r="AO568" s="125">
        <v>0</v>
      </c>
      <c r="AP568" s="121">
        <v>3272812</v>
      </c>
      <c r="AQ568" s="114">
        <v>0</v>
      </c>
      <c r="AR568" s="121">
        <v>208.9830365</v>
      </c>
      <c r="AS568" s="121">
        <v>41065.822928000001</v>
      </c>
      <c r="AT568" s="121">
        <v>5408.3504647999998</v>
      </c>
      <c r="AU568" s="420" t="s">
        <v>2001</v>
      </c>
      <c r="AV568" s="420" t="s">
        <v>2001</v>
      </c>
      <c r="AW568" s="121">
        <v>0</v>
      </c>
      <c r="AX568" s="121">
        <v>1917312</v>
      </c>
      <c r="BI568">
        <v>0</v>
      </c>
      <c r="BJ568" s="121">
        <v>16</v>
      </c>
      <c r="BK568" s="134">
        <v>313524955</v>
      </c>
      <c r="BL568" s="934">
        <v>4635</v>
      </c>
      <c r="BM568" s="934">
        <v>4707</v>
      </c>
      <c r="BN568" s="934">
        <v>4707</v>
      </c>
      <c r="BO568" s="114">
        <v>0</v>
      </c>
      <c r="BP568" s="114">
        <v>0</v>
      </c>
    </row>
    <row r="569" spans="1:68">
      <c r="A569" t="s">
        <v>2923</v>
      </c>
      <c r="B569" t="s">
        <v>2317</v>
      </c>
      <c r="C569" s="121">
        <v>4723</v>
      </c>
      <c r="D569" s="72">
        <v>3</v>
      </c>
      <c r="E569">
        <v>907.48699999999997</v>
      </c>
      <c r="F569">
        <v>236</v>
      </c>
      <c r="G569">
        <v>179</v>
      </c>
      <c r="H569">
        <v>57</v>
      </c>
      <c r="I569" s="173">
        <v>1.04</v>
      </c>
      <c r="J569" s="121">
        <v>874735515</v>
      </c>
      <c r="K569" s="125">
        <v>4319.49</v>
      </c>
      <c r="L569" s="173">
        <v>1.46</v>
      </c>
      <c r="M569">
        <v>1.04</v>
      </c>
      <c r="N569">
        <v>0.97333333820000001</v>
      </c>
      <c r="O569">
        <v>6.6666661800000027</v>
      </c>
      <c r="P569">
        <v>3077.893</v>
      </c>
      <c r="Q569" s="125">
        <v>0.31</v>
      </c>
      <c r="R569" s="125">
        <v>0</v>
      </c>
      <c r="S569" s="125">
        <v>6.1020000000000003</v>
      </c>
      <c r="T569" s="125">
        <v>116.01600000000001</v>
      </c>
      <c r="U569" s="125">
        <v>17.361000000000001</v>
      </c>
      <c r="V569" s="125">
        <v>0</v>
      </c>
      <c r="W569" s="125">
        <v>10.436999999999999</v>
      </c>
      <c r="X569" s="125">
        <v>0</v>
      </c>
      <c r="Y569" s="125">
        <v>0.90400000000000003</v>
      </c>
      <c r="Z569" s="125">
        <v>0.46600000000000003</v>
      </c>
      <c r="AA569" s="125">
        <v>85.953000000000003</v>
      </c>
      <c r="AB569" s="125">
        <v>146.82599999999999</v>
      </c>
      <c r="AC569" s="125">
        <v>2035.2</v>
      </c>
      <c r="AD569" s="125">
        <v>1.4319999999999999</v>
      </c>
      <c r="AE569" s="125">
        <v>39.338000000000001</v>
      </c>
      <c r="AF569" s="125">
        <v>153.89465000000001</v>
      </c>
      <c r="AG569" s="125">
        <v>0</v>
      </c>
      <c r="AH569" s="125">
        <v>0</v>
      </c>
      <c r="AI569" s="121">
        <v>9456591</v>
      </c>
      <c r="AJ569" s="121">
        <v>2652556</v>
      </c>
      <c r="AK569" s="424">
        <v>12</v>
      </c>
      <c r="AL569">
        <v>0</v>
      </c>
      <c r="AM569" s="121">
        <v>376395</v>
      </c>
      <c r="AN569" s="125">
        <v>0</v>
      </c>
      <c r="AO569" s="125">
        <v>0</v>
      </c>
      <c r="AP569" s="121">
        <v>12109147</v>
      </c>
      <c r="AQ569" s="114">
        <v>0</v>
      </c>
      <c r="AR569" s="121">
        <v>583.06326545000002</v>
      </c>
      <c r="AS569" s="121">
        <v>114573.76261999999</v>
      </c>
      <c r="AT569" s="121">
        <v>15089.313158999999</v>
      </c>
      <c r="AU569" s="420" t="s">
        <v>2001</v>
      </c>
      <c r="AV569" s="420" t="s">
        <v>2001</v>
      </c>
      <c r="AW569" s="121">
        <v>0</v>
      </c>
      <c r="AX569" s="121">
        <v>2952161</v>
      </c>
      <c r="BI569">
        <v>0</v>
      </c>
      <c r="BJ569" s="121">
        <v>0</v>
      </c>
      <c r="BK569" s="134">
        <v>874735515</v>
      </c>
      <c r="BL569" s="934">
        <v>4543</v>
      </c>
      <c r="BM569" s="934">
        <v>4657</v>
      </c>
      <c r="BN569" s="934">
        <v>4723</v>
      </c>
      <c r="BO569" s="114">
        <v>0</v>
      </c>
      <c r="BP569" s="114">
        <v>0</v>
      </c>
    </row>
    <row r="570" spans="1:68">
      <c r="A570" t="s">
        <v>2924</v>
      </c>
      <c r="B570" t="s">
        <v>2318</v>
      </c>
      <c r="C570" s="121">
        <v>4782</v>
      </c>
      <c r="D570" s="72">
        <v>1</v>
      </c>
      <c r="E570">
        <v>1110.193</v>
      </c>
      <c r="F570">
        <v>341</v>
      </c>
      <c r="G570">
        <v>279</v>
      </c>
      <c r="H570">
        <v>1</v>
      </c>
      <c r="I570" s="173">
        <v>1.04</v>
      </c>
      <c r="J570" s="121">
        <v>1341679877</v>
      </c>
      <c r="K570" s="125">
        <v>5937.7539999999999</v>
      </c>
      <c r="L570" s="173">
        <v>1.5</v>
      </c>
      <c r="M570">
        <v>1.04</v>
      </c>
      <c r="N570">
        <v>1.000000005</v>
      </c>
      <c r="O570">
        <v>3.9999995000000066</v>
      </c>
      <c r="P570">
        <v>4196.5280000000002</v>
      </c>
      <c r="Q570" s="125">
        <v>0.70499999999999996</v>
      </c>
      <c r="R570" s="125">
        <v>0</v>
      </c>
      <c r="S570" s="125">
        <v>8.0329999999999995</v>
      </c>
      <c r="T570" s="125">
        <v>101.89100000000001</v>
      </c>
      <c r="U570" s="125">
        <v>45.942999999999998</v>
      </c>
      <c r="V570" s="125">
        <v>1.911</v>
      </c>
      <c r="W570" s="125">
        <v>5.024</v>
      </c>
      <c r="X570" s="125">
        <v>0</v>
      </c>
      <c r="Y570" s="125">
        <v>0</v>
      </c>
      <c r="Z570" s="125">
        <v>28.268000000000001</v>
      </c>
      <c r="AA570" s="125">
        <v>158.154</v>
      </c>
      <c r="AB570" s="125">
        <v>164.34800000000001</v>
      </c>
      <c r="AC570" s="125">
        <v>3099.3</v>
      </c>
      <c r="AD570" s="125">
        <v>2.2530000000000001</v>
      </c>
      <c r="AE570" s="125">
        <v>694.27599999999995</v>
      </c>
      <c r="AF570" s="125">
        <v>209.82599999999999</v>
      </c>
      <c r="AG570" s="125">
        <v>0</v>
      </c>
      <c r="AH570" s="125">
        <v>0</v>
      </c>
      <c r="AI570" s="121">
        <v>14651144</v>
      </c>
      <c r="AJ570" s="121">
        <v>3281534</v>
      </c>
      <c r="AK570" s="424">
        <v>12</v>
      </c>
      <c r="AL570">
        <v>0</v>
      </c>
      <c r="AM570" s="121">
        <v>481177</v>
      </c>
      <c r="AN570" s="125">
        <v>0.97699999999999998</v>
      </c>
      <c r="AO570" s="125">
        <v>0</v>
      </c>
      <c r="AP570" s="121">
        <v>17932678</v>
      </c>
      <c r="AQ570" s="114">
        <v>0</v>
      </c>
      <c r="AR570" s="121">
        <v>894.30946481000001</v>
      </c>
      <c r="AS570" s="121">
        <v>175734.61817999999</v>
      </c>
      <c r="AT570" s="121">
        <v>23144.170409999999</v>
      </c>
      <c r="AU570" s="420" t="s">
        <v>2001</v>
      </c>
      <c r="AV570" s="420" t="s">
        <v>2001</v>
      </c>
      <c r="AW570" s="121">
        <v>0</v>
      </c>
      <c r="AX570" s="121">
        <v>3966038</v>
      </c>
      <c r="BI570">
        <v>0</v>
      </c>
      <c r="BJ570" s="121">
        <v>0</v>
      </c>
      <c r="BK570" s="134">
        <v>1341679877</v>
      </c>
      <c r="BL570" s="934">
        <v>4782</v>
      </c>
      <c r="BM570" s="934">
        <v>4638</v>
      </c>
      <c r="BN570" s="934">
        <v>4638</v>
      </c>
      <c r="BO570" s="114">
        <v>0</v>
      </c>
      <c r="BP570" s="114">
        <v>0</v>
      </c>
    </row>
    <row r="571" spans="1:68">
      <c r="A571" t="s">
        <v>536</v>
      </c>
      <c r="B571" t="s">
        <v>1415</v>
      </c>
      <c r="C571" s="121">
        <v>4492</v>
      </c>
      <c r="D571" s="72">
        <v>1</v>
      </c>
      <c r="E571">
        <v>251.297</v>
      </c>
      <c r="F571">
        <v>71</v>
      </c>
      <c r="G571">
        <v>49</v>
      </c>
      <c r="H571">
        <v>7</v>
      </c>
      <c r="I571" s="173">
        <v>1.04</v>
      </c>
      <c r="J571" s="121">
        <v>154812131</v>
      </c>
      <c r="K571" s="125">
        <v>1377.0540000000001</v>
      </c>
      <c r="L571" s="173">
        <v>1.5</v>
      </c>
      <c r="M571">
        <v>1.04</v>
      </c>
      <c r="N571">
        <v>1.000000005</v>
      </c>
      <c r="O571">
        <v>3.9999995000000066</v>
      </c>
      <c r="P571">
        <v>895.85400000000004</v>
      </c>
      <c r="Q571" s="125">
        <v>0.13500000000000001</v>
      </c>
      <c r="R571" s="125">
        <v>0</v>
      </c>
      <c r="S571" s="125">
        <v>1.425</v>
      </c>
      <c r="T571" s="125">
        <v>50.533000000000001</v>
      </c>
      <c r="U571" s="125">
        <v>8.3339999999999996</v>
      </c>
      <c r="V571" s="125">
        <v>0.98099999999999998</v>
      </c>
      <c r="W571" s="125">
        <v>0</v>
      </c>
      <c r="X571" s="125">
        <v>0</v>
      </c>
      <c r="Y571" s="125">
        <v>0</v>
      </c>
      <c r="Z571" s="125">
        <v>0</v>
      </c>
      <c r="AA571" s="125">
        <v>5.444</v>
      </c>
      <c r="AB571" s="125">
        <v>57.968000000000004</v>
      </c>
      <c r="AC571" s="125">
        <v>300.7</v>
      </c>
      <c r="AD571" s="125">
        <v>3.3000000000000002E-2</v>
      </c>
      <c r="AE571" s="125">
        <v>10.319000000000001</v>
      </c>
      <c r="AF571" s="125">
        <v>44.792700000000004</v>
      </c>
      <c r="AG571" s="125">
        <v>0</v>
      </c>
      <c r="AH571" s="125">
        <v>0</v>
      </c>
      <c r="AI571" s="121">
        <v>1698167</v>
      </c>
      <c r="AJ571" s="121">
        <v>324436</v>
      </c>
      <c r="AK571" s="424">
        <v>12</v>
      </c>
      <c r="AL571">
        <v>0</v>
      </c>
      <c r="AM571" s="121">
        <v>110414</v>
      </c>
      <c r="AN571" s="125">
        <v>0</v>
      </c>
      <c r="AO571" s="125">
        <v>0</v>
      </c>
      <c r="AP571" s="121">
        <v>2022603</v>
      </c>
      <c r="AQ571" s="114">
        <v>0</v>
      </c>
      <c r="AR571" s="121">
        <v>103.19149639</v>
      </c>
      <c r="AS571" s="121">
        <v>20277.453085000001</v>
      </c>
      <c r="AT571" s="121">
        <v>2670.5314784000002</v>
      </c>
      <c r="AU571" s="420" t="s">
        <v>2001</v>
      </c>
      <c r="AV571" s="420" t="s">
        <v>2001</v>
      </c>
      <c r="AW571" s="121">
        <v>0</v>
      </c>
      <c r="AX571" s="121">
        <v>636895</v>
      </c>
      <c r="BI571">
        <v>0</v>
      </c>
      <c r="BJ571" s="121">
        <v>0</v>
      </c>
      <c r="BK571" s="134">
        <v>153970118</v>
      </c>
      <c r="BL571" s="934">
        <v>4492</v>
      </c>
      <c r="BM571" s="934">
        <v>4488</v>
      </c>
      <c r="BN571" s="934">
        <v>4488</v>
      </c>
      <c r="BO571" s="114">
        <v>0</v>
      </c>
      <c r="BP571" s="114">
        <v>0</v>
      </c>
    </row>
    <row r="572" spans="1:68">
      <c r="A572" t="s">
        <v>2925</v>
      </c>
      <c r="B572" t="s">
        <v>2319</v>
      </c>
      <c r="C572" s="121">
        <v>5686</v>
      </c>
      <c r="D572" s="72">
        <v>3</v>
      </c>
      <c r="E572">
        <v>1915.796</v>
      </c>
      <c r="F572">
        <v>473</v>
      </c>
      <c r="G572">
        <v>396</v>
      </c>
      <c r="H572">
        <v>11</v>
      </c>
      <c r="I572" s="173">
        <v>1.04</v>
      </c>
      <c r="J572" s="121">
        <v>3597251222</v>
      </c>
      <c r="K572" s="125">
        <v>7839.5829999999996</v>
      </c>
      <c r="L572" s="173">
        <v>1.46</v>
      </c>
      <c r="M572">
        <v>1.04</v>
      </c>
      <c r="N572">
        <v>0.97333333820000001</v>
      </c>
      <c r="O572">
        <v>6.6666661800000027</v>
      </c>
      <c r="P572">
        <v>6391.2259999999997</v>
      </c>
      <c r="Q572" s="125">
        <v>0.33</v>
      </c>
      <c r="R572" s="125">
        <v>14.506</v>
      </c>
      <c r="S572" s="125">
        <v>9.8260000000000005</v>
      </c>
      <c r="T572" s="125">
        <v>93.722999999999999</v>
      </c>
      <c r="U572" s="125">
        <v>49.143000000000001</v>
      </c>
      <c r="V572" s="125">
        <v>0</v>
      </c>
      <c r="W572" s="125">
        <v>16.164000000000001</v>
      </c>
      <c r="X572" s="125">
        <v>0</v>
      </c>
      <c r="Y572" s="125">
        <v>0</v>
      </c>
      <c r="Z572" s="125">
        <v>34.381999999999998</v>
      </c>
      <c r="AA572" s="125">
        <v>288.34399999999999</v>
      </c>
      <c r="AB572" s="125">
        <v>309.37799999999999</v>
      </c>
      <c r="AC572" s="125">
        <v>1185</v>
      </c>
      <c r="AD572" s="125">
        <v>0.56699999999999995</v>
      </c>
      <c r="AE572" s="125">
        <v>235.12799999999999</v>
      </c>
      <c r="AF572" s="125">
        <v>319.56099999999998</v>
      </c>
      <c r="AG572" s="125">
        <v>0</v>
      </c>
      <c r="AH572" s="125">
        <v>0</v>
      </c>
      <c r="AI572" s="121">
        <v>39281983</v>
      </c>
      <c r="AJ572" s="121">
        <v>8752107</v>
      </c>
      <c r="AK572" s="424">
        <v>12</v>
      </c>
      <c r="AL572">
        <v>0</v>
      </c>
      <c r="AM572" s="121">
        <v>723313</v>
      </c>
      <c r="AN572" s="125">
        <v>0</v>
      </c>
      <c r="AO572" s="125">
        <v>0</v>
      </c>
      <c r="AP572" s="121">
        <v>48034090</v>
      </c>
      <c r="AQ572" s="114">
        <v>0</v>
      </c>
      <c r="AR572" s="121">
        <v>0</v>
      </c>
      <c r="AS572" s="121">
        <v>0</v>
      </c>
      <c r="AT572" s="121">
        <v>0</v>
      </c>
      <c r="AU572" s="420" t="s">
        <v>798</v>
      </c>
      <c r="AV572" s="420" t="s">
        <v>2001</v>
      </c>
      <c r="AW572" s="121">
        <v>0</v>
      </c>
      <c r="AX572" s="121">
        <v>8408280</v>
      </c>
      <c r="AY572" s="134">
        <v>965795</v>
      </c>
      <c r="AZ572" s="134">
        <v>8964643</v>
      </c>
      <c r="BA572" s="134">
        <v>3722</v>
      </c>
      <c r="BB572" s="134">
        <v>607266090</v>
      </c>
      <c r="BC572" s="114">
        <v>0</v>
      </c>
      <c r="BD572" s="114">
        <v>0</v>
      </c>
      <c r="BE572" s="114">
        <v>0</v>
      </c>
      <c r="BF572" s="134">
        <v>6222</v>
      </c>
      <c r="BG572" s="114">
        <v>0</v>
      </c>
      <c r="BH572" s="114">
        <v>0</v>
      </c>
      <c r="BI572">
        <v>0</v>
      </c>
      <c r="BJ572" s="121">
        <v>0</v>
      </c>
      <c r="BK572" s="134">
        <v>3597251222</v>
      </c>
      <c r="BL572" s="934">
        <v>5207</v>
      </c>
      <c r="BM572" s="934">
        <v>5546</v>
      </c>
      <c r="BN572" s="934">
        <v>5686</v>
      </c>
      <c r="BO572" s="114">
        <v>0</v>
      </c>
      <c r="BP572" s="114">
        <v>0</v>
      </c>
    </row>
    <row r="573" spans="1:68">
      <c r="A573" t="s">
        <v>1732</v>
      </c>
      <c r="B573" t="s">
        <v>2320</v>
      </c>
      <c r="C573" s="121">
        <v>4989</v>
      </c>
      <c r="D573" s="72">
        <v>3</v>
      </c>
      <c r="E573">
        <v>353.2</v>
      </c>
      <c r="F573">
        <v>113</v>
      </c>
      <c r="G573">
        <v>58</v>
      </c>
      <c r="H573">
        <v>3</v>
      </c>
      <c r="I573" s="173">
        <v>0.94499999999999995</v>
      </c>
      <c r="J573" s="121">
        <v>545032402</v>
      </c>
      <c r="K573" s="125">
        <v>1849.433</v>
      </c>
      <c r="L573" s="173">
        <v>1.36</v>
      </c>
      <c r="M573">
        <v>0.94499999999999995</v>
      </c>
      <c r="N573">
        <v>0.90666667120000011</v>
      </c>
      <c r="O573">
        <v>3.8333328799999844</v>
      </c>
      <c r="P573">
        <v>1200</v>
      </c>
      <c r="Q573" s="125">
        <v>8.2000000000000003E-2</v>
      </c>
      <c r="R573" s="125">
        <v>0</v>
      </c>
      <c r="S573" s="125">
        <v>0.83</v>
      </c>
      <c r="T573" s="125">
        <v>46.44</v>
      </c>
      <c r="U573" s="125">
        <v>4.5389999999999997</v>
      </c>
      <c r="V573" s="125">
        <v>0</v>
      </c>
      <c r="W573" s="125">
        <v>3.4449999999999998</v>
      </c>
      <c r="X573" s="125">
        <v>0</v>
      </c>
      <c r="Y573" s="125">
        <v>0</v>
      </c>
      <c r="Z573" s="125">
        <v>0</v>
      </c>
      <c r="AA573" s="125">
        <v>1.5429999999999999</v>
      </c>
      <c r="AB573" s="125">
        <v>42.466000000000001</v>
      </c>
      <c r="AC573" s="125">
        <v>793.9</v>
      </c>
      <c r="AD573" s="125">
        <v>0</v>
      </c>
      <c r="AE573" s="125">
        <v>176.56800000000001</v>
      </c>
      <c r="AF573" s="125">
        <v>60</v>
      </c>
      <c r="AG573" s="125">
        <v>0</v>
      </c>
      <c r="AH573" s="125">
        <v>0</v>
      </c>
      <c r="AI573" s="121">
        <v>5299922</v>
      </c>
      <c r="AJ573" s="121">
        <v>640930</v>
      </c>
      <c r="AK573" s="424">
        <v>12</v>
      </c>
      <c r="AL573">
        <v>0</v>
      </c>
      <c r="AM573" s="121">
        <v>155059</v>
      </c>
      <c r="AN573" s="125">
        <v>0</v>
      </c>
      <c r="AO573" s="125">
        <v>0</v>
      </c>
      <c r="AP573" s="121">
        <v>5940852</v>
      </c>
      <c r="AQ573" s="114">
        <v>0</v>
      </c>
      <c r="AR573" s="121">
        <v>363.29652407999998</v>
      </c>
      <c r="AS573" s="121">
        <v>71388.907816999999</v>
      </c>
      <c r="AT573" s="121">
        <v>9401.8871469999995</v>
      </c>
      <c r="AU573" s="420" t="s">
        <v>2001</v>
      </c>
      <c r="AV573" s="420" t="s">
        <v>2001</v>
      </c>
      <c r="AW573" s="121">
        <v>0</v>
      </c>
      <c r="AX573" s="121">
        <v>1300067</v>
      </c>
      <c r="BI573">
        <v>0</v>
      </c>
      <c r="BJ573" s="121">
        <v>0</v>
      </c>
      <c r="BK573" s="134">
        <v>545032402</v>
      </c>
      <c r="BL573" s="934">
        <v>4596</v>
      </c>
      <c r="BM573" s="934">
        <v>4682</v>
      </c>
      <c r="BN573" s="934">
        <v>4989</v>
      </c>
      <c r="BO573" s="114">
        <v>0</v>
      </c>
      <c r="BP573" s="114">
        <v>0</v>
      </c>
    </row>
    <row r="574" spans="1:68">
      <c r="A574" t="s">
        <v>3088</v>
      </c>
      <c r="B574" t="s">
        <v>2321</v>
      </c>
      <c r="C574" s="121">
        <v>6840</v>
      </c>
      <c r="D574" s="72">
        <v>2</v>
      </c>
      <c r="E574">
        <v>0</v>
      </c>
      <c r="F574">
        <v>0</v>
      </c>
      <c r="G574">
        <v>0</v>
      </c>
      <c r="H574">
        <v>0</v>
      </c>
      <c r="I574" s="173">
        <v>1.04</v>
      </c>
      <c r="J574" s="121">
        <v>502331279</v>
      </c>
      <c r="K574" s="125">
        <v>151.23599999999999</v>
      </c>
      <c r="L574" s="173">
        <v>1.5</v>
      </c>
      <c r="M574">
        <v>1.04</v>
      </c>
      <c r="N574">
        <v>1.000000005</v>
      </c>
      <c r="O574">
        <v>3.9999995000000066</v>
      </c>
      <c r="P574">
        <v>68.933000000000007</v>
      </c>
      <c r="Q574" s="125">
        <v>0</v>
      </c>
      <c r="R574" s="125">
        <v>0</v>
      </c>
      <c r="S574" s="125">
        <v>4.9000000000000002E-2</v>
      </c>
      <c r="T574" s="125">
        <v>1.026</v>
      </c>
      <c r="U574" s="125">
        <v>0</v>
      </c>
      <c r="V574" s="125">
        <v>0</v>
      </c>
      <c r="W574" s="125">
        <v>0</v>
      </c>
      <c r="X574" s="125">
        <v>0</v>
      </c>
      <c r="Y574" s="125">
        <v>0</v>
      </c>
      <c r="Z574" s="125">
        <v>0</v>
      </c>
      <c r="AA574" s="125">
        <v>5.2370000000000001</v>
      </c>
      <c r="AB574" s="125">
        <v>0</v>
      </c>
      <c r="AC574" s="125">
        <v>61.7</v>
      </c>
      <c r="AD574" s="125">
        <v>0</v>
      </c>
      <c r="AE574" s="125">
        <v>2.4620000000000002</v>
      </c>
      <c r="AF574" s="125">
        <v>3.44665</v>
      </c>
      <c r="AG574" s="125">
        <v>0</v>
      </c>
      <c r="AH574" s="125">
        <v>0</v>
      </c>
      <c r="AI574" s="121">
        <v>5174476</v>
      </c>
      <c r="AJ574" s="121">
        <v>324081</v>
      </c>
      <c r="AK574" s="424">
        <v>6</v>
      </c>
      <c r="AL574">
        <v>0</v>
      </c>
      <c r="AM574" s="121">
        <v>0</v>
      </c>
      <c r="AN574" s="125">
        <v>0</v>
      </c>
      <c r="AO574" s="125">
        <v>0</v>
      </c>
      <c r="AP574" s="121">
        <v>5498557</v>
      </c>
      <c r="AQ574" s="114">
        <v>0</v>
      </c>
      <c r="AR574" s="121">
        <v>0</v>
      </c>
      <c r="AS574" s="121">
        <v>0</v>
      </c>
      <c r="AT574" s="121">
        <v>0</v>
      </c>
      <c r="AU574" s="420" t="s">
        <v>798</v>
      </c>
      <c r="AV574" s="420" t="s">
        <v>2001</v>
      </c>
      <c r="AW574" s="121">
        <v>0</v>
      </c>
      <c r="AX574" s="121">
        <v>312775</v>
      </c>
      <c r="AY574" s="134">
        <v>751817</v>
      </c>
      <c r="AZ574" s="134">
        <v>255831</v>
      </c>
      <c r="BA574" s="114">
        <v>311</v>
      </c>
      <c r="BB574" s="134">
        <v>245765979</v>
      </c>
      <c r="BC574" s="114">
        <v>30</v>
      </c>
      <c r="BD574" s="134">
        <v>1800</v>
      </c>
      <c r="BE574" s="114">
        <v>0</v>
      </c>
      <c r="BF574" s="114">
        <v>86</v>
      </c>
      <c r="BG574" s="114">
        <v>0</v>
      </c>
      <c r="BH574" s="114">
        <v>0</v>
      </c>
      <c r="BI574">
        <v>0</v>
      </c>
      <c r="BJ574" s="121">
        <v>0</v>
      </c>
      <c r="BK574" s="134">
        <v>478639475</v>
      </c>
      <c r="BL574" s="934">
        <v>6695</v>
      </c>
      <c r="BM574" s="934">
        <v>6840</v>
      </c>
      <c r="BN574" s="934">
        <v>6840</v>
      </c>
      <c r="BO574" s="114">
        <v>0</v>
      </c>
      <c r="BP574" s="114">
        <v>0</v>
      </c>
    </row>
    <row r="575" spans="1:68">
      <c r="A575" t="s">
        <v>2649</v>
      </c>
      <c r="B575" t="s">
        <v>2322</v>
      </c>
      <c r="C575" s="121">
        <v>9811</v>
      </c>
      <c r="D575" s="72">
        <v>1</v>
      </c>
      <c r="E575">
        <v>47.813000000000002</v>
      </c>
      <c r="F575">
        <v>19</v>
      </c>
      <c r="G575">
        <v>19</v>
      </c>
      <c r="H575">
        <v>1</v>
      </c>
      <c r="I575" s="173">
        <v>1.0066999999999999</v>
      </c>
      <c r="J575" s="121">
        <v>562024291</v>
      </c>
      <c r="K575" s="125">
        <v>280.33699999999999</v>
      </c>
      <c r="L575" s="173">
        <v>1.45</v>
      </c>
      <c r="M575">
        <v>1.0066999999999999</v>
      </c>
      <c r="N575">
        <v>0.96666667149999996</v>
      </c>
      <c r="O575">
        <v>4.0033328499999961</v>
      </c>
      <c r="P575">
        <v>121</v>
      </c>
      <c r="Q575" s="125">
        <v>0</v>
      </c>
      <c r="R575" s="125">
        <v>0</v>
      </c>
      <c r="S575" s="125">
        <v>0.186</v>
      </c>
      <c r="T575" s="125">
        <v>4.0890000000000004</v>
      </c>
      <c r="U575" s="125">
        <v>0.185</v>
      </c>
      <c r="V575" s="125">
        <v>0</v>
      </c>
      <c r="W575" s="125">
        <v>0</v>
      </c>
      <c r="X575" s="125">
        <v>0</v>
      </c>
      <c r="Y575" s="125">
        <v>0</v>
      </c>
      <c r="Z575" s="125">
        <v>0</v>
      </c>
      <c r="AA575" s="125">
        <v>3.5</v>
      </c>
      <c r="AB575" s="125">
        <v>9.8070000000000004</v>
      </c>
      <c r="AC575" s="125">
        <v>53</v>
      </c>
      <c r="AD575" s="125">
        <v>0</v>
      </c>
      <c r="AE575" s="125">
        <v>1</v>
      </c>
      <c r="AF575" s="125">
        <v>6</v>
      </c>
      <c r="AG575" s="125">
        <v>0</v>
      </c>
      <c r="AH575" s="125">
        <v>0</v>
      </c>
      <c r="AI575" s="121">
        <v>5380625</v>
      </c>
      <c r="AJ575" s="121">
        <v>381811</v>
      </c>
      <c r="AK575" s="424">
        <v>12</v>
      </c>
      <c r="AL575">
        <v>0</v>
      </c>
      <c r="AM575" s="121">
        <v>24337</v>
      </c>
      <c r="AN575" s="125">
        <v>0</v>
      </c>
      <c r="AO575" s="125">
        <v>0</v>
      </c>
      <c r="AP575" s="121">
        <v>5762436</v>
      </c>
      <c r="AQ575" s="114">
        <v>0</v>
      </c>
      <c r="AR575" s="121">
        <v>0</v>
      </c>
      <c r="AS575" s="121">
        <v>0</v>
      </c>
      <c r="AT575" s="121">
        <v>0</v>
      </c>
      <c r="AU575" s="420" t="s">
        <v>798</v>
      </c>
      <c r="AV575" s="420" t="s">
        <v>2001</v>
      </c>
      <c r="AW575" s="121">
        <v>0</v>
      </c>
      <c r="AX575" s="121">
        <v>382969</v>
      </c>
      <c r="AY575" s="134">
        <v>1218857</v>
      </c>
      <c r="AZ575" s="134">
        <v>804643</v>
      </c>
      <c r="BA575" s="114">
        <v>306</v>
      </c>
      <c r="BB575" s="134">
        <v>878446646</v>
      </c>
      <c r="BC575" s="114">
        <v>0</v>
      </c>
      <c r="BD575" s="114">
        <v>0</v>
      </c>
      <c r="BE575" s="114">
        <v>0</v>
      </c>
      <c r="BF575" s="114">
        <v>145</v>
      </c>
      <c r="BG575" s="114">
        <v>0</v>
      </c>
      <c r="BH575" s="114">
        <v>0</v>
      </c>
      <c r="BI575">
        <v>0</v>
      </c>
      <c r="BJ575" s="121">
        <v>38</v>
      </c>
      <c r="BK575" s="134">
        <v>524773132</v>
      </c>
      <c r="BL575" s="934">
        <v>9811</v>
      </c>
      <c r="BM575" s="934">
        <v>8453</v>
      </c>
      <c r="BN575" s="934">
        <v>8749</v>
      </c>
      <c r="BO575" s="114">
        <v>0</v>
      </c>
      <c r="BP575" s="114">
        <v>0</v>
      </c>
    </row>
    <row r="576" spans="1:68">
      <c r="A576" t="s">
        <v>1734</v>
      </c>
      <c r="B576" t="s">
        <v>734</v>
      </c>
      <c r="C576" s="121">
        <v>4858</v>
      </c>
      <c r="D576" s="72">
        <v>1</v>
      </c>
      <c r="E576">
        <v>175.00200000000001</v>
      </c>
      <c r="F576">
        <v>56</v>
      </c>
      <c r="G576">
        <v>33</v>
      </c>
      <c r="H576">
        <v>4</v>
      </c>
      <c r="I576" s="173">
        <v>1.04</v>
      </c>
      <c r="J576" s="121">
        <v>177372416</v>
      </c>
      <c r="K576" s="125">
        <v>893.99599999999998</v>
      </c>
      <c r="L576" s="173">
        <v>1.45</v>
      </c>
      <c r="M576">
        <v>1.04</v>
      </c>
      <c r="N576">
        <v>0.96666667149999996</v>
      </c>
      <c r="O576">
        <v>7.3333328500000068</v>
      </c>
      <c r="P576">
        <v>539</v>
      </c>
      <c r="Q576" s="125">
        <v>4.5999999999999999E-2</v>
      </c>
      <c r="R576" s="125">
        <v>0</v>
      </c>
      <c r="S576" s="125">
        <v>0.89800000000000002</v>
      </c>
      <c r="T576" s="125">
        <v>12.977</v>
      </c>
      <c r="U576" s="125">
        <v>3.367</v>
      </c>
      <c r="V576" s="125">
        <v>0</v>
      </c>
      <c r="W576" s="125">
        <v>0</v>
      </c>
      <c r="X576" s="125">
        <v>0</v>
      </c>
      <c r="Y576" s="125">
        <v>0.46200000000000002</v>
      </c>
      <c r="Z576" s="125">
        <v>2.4380000000000002</v>
      </c>
      <c r="AA576" s="125">
        <v>14.343999999999999</v>
      </c>
      <c r="AB576" s="125">
        <v>24.75</v>
      </c>
      <c r="AC576" s="125">
        <v>349</v>
      </c>
      <c r="AD576" s="125">
        <v>0.65200000000000002</v>
      </c>
      <c r="AE576" s="125">
        <v>57.215000000000003</v>
      </c>
      <c r="AF576" s="125">
        <v>26.146999999999998</v>
      </c>
      <c r="AG576" s="125">
        <v>0</v>
      </c>
      <c r="AH576" s="125">
        <v>0</v>
      </c>
      <c r="AI576" s="121">
        <v>1936907</v>
      </c>
      <c r="AJ576" s="121">
        <v>119686</v>
      </c>
      <c r="AK576" s="424">
        <v>12</v>
      </c>
      <c r="AL576">
        <v>0</v>
      </c>
      <c r="AM576" s="121">
        <v>55187</v>
      </c>
      <c r="AN576" s="125">
        <v>0</v>
      </c>
      <c r="AO576" s="125">
        <v>1</v>
      </c>
      <c r="AP576" s="121">
        <v>2056593</v>
      </c>
      <c r="AQ576" s="114">
        <v>0</v>
      </c>
      <c r="AR576" s="121">
        <v>118.2292685</v>
      </c>
      <c r="AS576" s="121">
        <v>23232.422528999999</v>
      </c>
      <c r="AT576" s="121">
        <v>3059.6996290000002</v>
      </c>
      <c r="AU576" s="420" t="s">
        <v>2001</v>
      </c>
      <c r="AV576" s="420" t="s">
        <v>2001</v>
      </c>
      <c r="AW576" s="121">
        <v>0</v>
      </c>
      <c r="AX576" s="121">
        <v>139930</v>
      </c>
      <c r="BI576">
        <v>0</v>
      </c>
      <c r="BJ576" s="121">
        <v>0</v>
      </c>
      <c r="BK576" s="134">
        <v>177372416</v>
      </c>
      <c r="BL576" s="934">
        <v>4858</v>
      </c>
      <c r="BM576" s="934">
        <v>4711</v>
      </c>
      <c r="BN576" s="934">
        <v>4798</v>
      </c>
      <c r="BO576" s="114">
        <v>0</v>
      </c>
      <c r="BP576" s="114">
        <v>0</v>
      </c>
    </row>
    <row r="577" spans="1:68">
      <c r="A577" t="s">
        <v>2913</v>
      </c>
      <c r="B577" t="s">
        <v>2323</v>
      </c>
      <c r="C577" s="121">
        <v>6696</v>
      </c>
      <c r="D577" s="72">
        <v>3</v>
      </c>
      <c r="E577">
        <v>0</v>
      </c>
      <c r="F577">
        <v>21</v>
      </c>
      <c r="G577">
        <v>12</v>
      </c>
      <c r="H577">
        <v>2</v>
      </c>
      <c r="I577" s="173">
        <v>1.04</v>
      </c>
      <c r="J577" s="121">
        <v>246166065</v>
      </c>
      <c r="K577" s="125">
        <v>313.89400000000001</v>
      </c>
      <c r="L577" s="173">
        <v>1.48</v>
      </c>
      <c r="M577">
        <v>1.04</v>
      </c>
      <c r="N577">
        <v>0.98666667159999999</v>
      </c>
      <c r="O577">
        <v>5.3333328400000042</v>
      </c>
      <c r="P577">
        <v>201.10900000000001</v>
      </c>
      <c r="Q577" s="125">
        <v>0</v>
      </c>
      <c r="R577" s="125">
        <v>0</v>
      </c>
      <c r="S577" s="125">
        <v>0.28499999999999998</v>
      </c>
      <c r="T577" s="125">
        <v>2.8769999999999998</v>
      </c>
      <c r="U577" s="125">
        <v>0</v>
      </c>
      <c r="V577" s="125">
        <v>0</v>
      </c>
      <c r="W577" s="125">
        <v>0</v>
      </c>
      <c r="X577" s="125">
        <v>0</v>
      </c>
      <c r="Y577" s="125">
        <v>0</v>
      </c>
      <c r="Z577" s="125">
        <v>0</v>
      </c>
      <c r="AA577" s="125">
        <v>2.2839999999999998</v>
      </c>
      <c r="AB577" s="125">
        <v>0</v>
      </c>
      <c r="AC577" s="125">
        <v>67.400000000000006</v>
      </c>
      <c r="AD577" s="125">
        <v>0</v>
      </c>
      <c r="AE577" s="125">
        <v>31.733000000000001</v>
      </c>
      <c r="AF577" s="125">
        <v>10.055</v>
      </c>
      <c r="AG577" s="125">
        <v>0</v>
      </c>
      <c r="AH577" s="125">
        <v>0</v>
      </c>
      <c r="AI577" s="121">
        <v>2661252</v>
      </c>
      <c r="AJ577" s="121">
        <v>0</v>
      </c>
      <c r="AK577" s="424">
        <v>6</v>
      </c>
      <c r="AL577">
        <v>0</v>
      </c>
      <c r="AM577" s="121">
        <v>22694</v>
      </c>
      <c r="AN577" s="125">
        <v>0</v>
      </c>
      <c r="AO577" s="125">
        <v>0</v>
      </c>
      <c r="AP577" s="121">
        <v>2661252</v>
      </c>
      <c r="AQ577" s="114">
        <v>0</v>
      </c>
      <c r="AR577" s="121">
        <v>0</v>
      </c>
      <c r="AS577" s="121">
        <v>0</v>
      </c>
      <c r="AT577" s="121">
        <v>0</v>
      </c>
      <c r="AU577" s="420" t="s">
        <v>798</v>
      </c>
      <c r="AV577" s="420" t="s">
        <v>2001</v>
      </c>
      <c r="AW577" s="121">
        <v>0</v>
      </c>
      <c r="AX577" s="121">
        <v>0</v>
      </c>
      <c r="AY577" s="134">
        <v>409058</v>
      </c>
      <c r="AZ577" s="134">
        <v>416261</v>
      </c>
      <c r="BA577" s="114">
        <v>317</v>
      </c>
      <c r="BB577" s="134">
        <v>82816199</v>
      </c>
      <c r="BC577" s="114">
        <v>0</v>
      </c>
      <c r="BD577" s="114">
        <v>0</v>
      </c>
      <c r="BE577" s="114">
        <v>0</v>
      </c>
      <c r="BF577" s="114">
        <v>205</v>
      </c>
      <c r="BG577" s="114">
        <v>0</v>
      </c>
      <c r="BH577" s="114">
        <v>0</v>
      </c>
      <c r="BI577">
        <v>0</v>
      </c>
      <c r="BJ577" s="121">
        <v>0</v>
      </c>
      <c r="BK577" s="134">
        <v>246166065</v>
      </c>
      <c r="BL577" s="934">
        <v>5494</v>
      </c>
      <c r="BM577" s="934">
        <v>6628</v>
      </c>
      <c r="BN577" s="934">
        <v>6696</v>
      </c>
      <c r="BO577" s="114">
        <v>0</v>
      </c>
      <c r="BP577" s="114">
        <v>0</v>
      </c>
    </row>
    <row r="578" spans="1:68">
      <c r="A578" t="s">
        <v>2914</v>
      </c>
      <c r="B578" t="s">
        <v>2324</v>
      </c>
      <c r="C578" s="121">
        <v>5487</v>
      </c>
      <c r="D578" s="72">
        <v>3</v>
      </c>
      <c r="E578">
        <v>1298.048</v>
      </c>
      <c r="F578">
        <v>356</v>
      </c>
      <c r="G578">
        <v>281</v>
      </c>
      <c r="H578">
        <v>24</v>
      </c>
      <c r="I578" s="173">
        <v>0.99</v>
      </c>
      <c r="J578" s="121">
        <v>1927453253</v>
      </c>
      <c r="K578" s="125">
        <v>5721.7830000000004</v>
      </c>
      <c r="L578" s="173">
        <v>1.49</v>
      </c>
      <c r="M578">
        <v>0.99</v>
      </c>
      <c r="N578">
        <v>0.99333333830000003</v>
      </c>
      <c r="O578">
        <v>-0.33333383000000438</v>
      </c>
      <c r="P578">
        <v>4500.1040000000003</v>
      </c>
      <c r="Q578" s="125">
        <v>0.42699999999999999</v>
      </c>
      <c r="R578" s="125">
        <v>0</v>
      </c>
      <c r="S578" s="125">
        <v>5.6890000000000001</v>
      </c>
      <c r="T578" s="125">
        <v>157.96299999999999</v>
      </c>
      <c r="U578" s="125">
        <v>33.865000000000002</v>
      </c>
      <c r="V578" s="125">
        <v>0.35399999999999998</v>
      </c>
      <c r="W578" s="125">
        <v>6.1790000000000003</v>
      </c>
      <c r="X578" s="125">
        <v>0</v>
      </c>
      <c r="Y578" s="125">
        <v>0</v>
      </c>
      <c r="Z578" s="125">
        <v>6.1040000000000001</v>
      </c>
      <c r="AA578" s="125">
        <v>13.513999999999999</v>
      </c>
      <c r="AB578" s="125">
        <v>230.80799999999999</v>
      </c>
      <c r="AC578" s="125">
        <v>2592.1</v>
      </c>
      <c r="AD578" s="125">
        <v>4.194</v>
      </c>
      <c r="AE578" s="125">
        <v>165.39500000000001</v>
      </c>
      <c r="AF578" s="125">
        <v>225.005</v>
      </c>
      <c r="AG578" s="125">
        <v>0</v>
      </c>
      <c r="AH578" s="125">
        <v>0</v>
      </c>
      <c r="AI578" s="121">
        <v>19835518</v>
      </c>
      <c r="AJ578" s="121">
        <v>3159314</v>
      </c>
      <c r="AK578" s="424">
        <v>12</v>
      </c>
      <c r="AL578">
        <v>0</v>
      </c>
      <c r="AM578" s="121">
        <v>252730</v>
      </c>
      <c r="AN578" s="125">
        <v>0</v>
      </c>
      <c r="AO578" s="125">
        <v>0</v>
      </c>
      <c r="AP578" s="121">
        <v>22994832</v>
      </c>
      <c r="AQ578" s="114">
        <v>0</v>
      </c>
      <c r="AR578" s="121">
        <v>1284.7622721</v>
      </c>
      <c r="AS578" s="121">
        <v>252459.82091000001</v>
      </c>
      <c r="AT578" s="121">
        <v>33248.845204999998</v>
      </c>
      <c r="AU578" s="420" t="s">
        <v>798</v>
      </c>
      <c r="AV578" s="420" t="s">
        <v>2001</v>
      </c>
      <c r="AW578" s="121">
        <v>0</v>
      </c>
      <c r="AX578" s="121">
        <v>3367613</v>
      </c>
      <c r="AY578" s="134">
        <v>1251808</v>
      </c>
      <c r="AZ578" s="134">
        <v>11378286</v>
      </c>
      <c r="BA578" s="134">
        <v>4929</v>
      </c>
      <c r="BB578" s="134">
        <v>782416129</v>
      </c>
      <c r="BC578" s="114">
        <v>0</v>
      </c>
      <c r="BD578" s="114">
        <v>0</v>
      </c>
      <c r="BE578" s="114">
        <v>0</v>
      </c>
      <c r="BF578" s="134">
        <v>4747</v>
      </c>
      <c r="BG578" s="114">
        <v>0</v>
      </c>
      <c r="BH578" s="114">
        <v>0</v>
      </c>
      <c r="BI578">
        <v>0</v>
      </c>
      <c r="BJ578" s="121">
        <v>0</v>
      </c>
      <c r="BK578" s="134">
        <v>1927453253</v>
      </c>
      <c r="BL578" s="934">
        <v>4875</v>
      </c>
      <c r="BM578" s="934">
        <v>5456</v>
      </c>
      <c r="BN578" s="934">
        <v>5487</v>
      </c>
      <c r="BO578" s="114">
        <v>0</v>
      </c>
      <c r="BP578" s="114">
        <v>0</v>
      </c>
    </row>
    <row r="579" spans="1:68">
      <c r="A579" t="s">
        <v>529</v>
      </c>
      <c r="B579" t="s">
        <v>2325</v>
      </c>
      <c r="C579" s="121">
        <v>4704</v>
      </c>
      <c r="D579" s="72">
        <v>2</v>
      </c>
      <c r="E579">
        <v>476.4</v>
      </c>
      <c r="F579">
        <v>113</v>
      </c>
      <c r="G579">
        <v>92</v>
      </c>
      <c r="H579">
        <v>4</v>
      </c>
      <c r="I579" s="173">
        <v>1.04</v>
      </c>
      <c r="J579" s="121">
        <v>364456017</v>
      </c>
      <c r="K579" s="125">
        <v>1952.01</v>
      </c>
      <c r="L579" s="173">
        <v>1.5</v>
      </c>
      <c r="M579">
        <v>1.04</v>
      </c>
      <c r="N579">
        <v>1.000000005</v>
      </c>
      <c r="O579">
        <v>3.9999995000000066</v>
      </c>
      <c r="P579">
        <v>1315.885</v>
      </c>
      <c r="Q579" s="125">
        <v>0.20200000000000001</v>
      </c>
      <c r="R579" s="125">
        <v>0</v>
      </c>
      <c r="S579" s="125">
        <v>2.048</v>
      </c>
      <c r="T579" s="125">
        <v>16.716999999999999</v>
      </c>
      <c r="U579" s="125">
        <v>7.782</v>
      </c>
      <c r="V579" s="125">
        <v>0</v>
      </c>
      <c r="W579" s="125">
        <v>0.93100000000000005</v>
      </c>
      <c r="X579" s="125">
        <v>0</v>
      </c>
      <c r="Y579" s="125">
        <v>0</v>
      </c>
      <c r="Z579" s="125">
        <v>13.321999999999999</v>
      </c>
      <c r="AA579" s="125">
        <v>21.222999999999999</v>
      </c>
      <c r="AB579" s="125">
        <v>107.97799999999999</v>
      </c>
      <c r="AC579" s="125">
        <v>1158.3</v>
      </c>
      <c r="AD579" s="125">
        <v>0.81599999999999995</v>
      </c>
      <c r="AE579" s="125">
        <v>128.86600000000001</v>
      </c>
      <c r="AF579" s="125">
        <v>65.793999999999997</v>
      </c>
      <c r="AG579" s="125">
        <v>0</v>
      </c>
      <c r="AH579" s="125">
        <v>0</v>
      </c>
      <c r="AI579" s="121">
        <v>3820665</v>
      </c>
      <c r="AJ579" s="121">
        <v>254371</v>
      </c>
      <c r="AK579" s="424">
        <v>12</v>
      </c>
      <c r="AL579">
        <v>0</v>
      </c>
      <c r="AM579" s="121">
        <v>66878</v>
      </c>
      <c r="AN579" s="125">
        <v>0</v>
      </c>
      <c r="AO579" s="125">
        <v>0</v>
      </c>
      <c r="AP579" s="121">
        <v>4075036</v>
      </c>
      <c r="AQ579" s="114">
        <v>0</v>
      </c>
      <c r="AR579" s="121">
        <v>242.9316196</v>
      </c>
      <c r="AS579" s="121">
        <v>47736.826114000003</v>
      </c>
      <c r="AT579" s="121">
        <v>6286.9185928999996</v>
      </c>
      <c r="AU579" s="420" t="s">
        <v>2001</v>
      </c>
      <c r="AV579" s="420" t="s">
        <v>2001</v>
      </c>
      <c r="AW579" s="121">
        <v>0</v>
      </c>
      <c r="AX579" s="121">
        <v>387720</v>
      </c>
      <c r="BI579">
        <v>0</v>
      </c>
      <c r="BJ579" s="121">
        <v>0</v>
      </c>
      <c r="BK579" s="134">
        <v>364456017</v>
      </c>
      <c r="BL579" s="934">
        <v>4699</v>
      </c>
      <c r="BM579" s="934">
        <v>4704</v>
      </c>
      <c r="BN579" s="934">
        <v>4704</v>
      </c>
      <c r="BO579" s="114">
        <v>0</v>
      </c>
      <c r="BP579" s="114">
        <v>0</v>
      </c>
    </row>
    <row r="580" spans="1:68">
      <c r="A580" t="s">
        <v>2601</v>
      </c>
      <c r="B580" t="s">
        <v>2326</v>
      </c>
      <c r="C580" s="121">
        <v>4526</v>
      </c>
      <c r="D580" s="72">
        <v>3</v>
      </c>
      <c r="E580">
        <v>0</v>
      </c>
      <c r="F580">
        <v>0</v>
      </c>
      <c r="G580">
        <v>0</v>
      </c>
      <c r="H580">
        <v>0</v>
      </c>
      <c r="I580" s="173">
        <v>0.74299999999999999</v>
      </c>
      <c r="J580" s="121">
        <v>47338495</v>
      </c>
      <c r="K580" s="125">
        <v>85.042000000000002</v>
      </c>
      <c r="L580" s="173">
        <v>0.90800000000000003</v>
      </c>
      <c r="M580">
        <v>0.74299999999999999</v>
      </c>
      <c r="N580">
        <v>0.60533333636000008</v>
      </c>
      <c r="O580">
        <v>13.766666363999992</v>
      </c>
      <c r="P580">
        <v>18.263000000000002</v>
      </c>
      <c r="Q580" s="125">
        <v>0</v>
      </c>
      <c r="R580" s="125">
        <v>0</v>
      </c>
      <c r="S580" s="125">
        <v>0</v>
      </c>
      <c r="T580" s="125">
        <v>0</v>
      </c>
      <c r="U580" s="125">
        <v>0</v>
      </c>
      <c r="V580" s="125">
        <v>0</v>
      </c>
      <c r="W580" s="125">
        <v>0</v>
      </c>
      <c r="X580" s="125">
        <v>0</v>
      </c>
      <c r="Y580" s="125">
        <v>0</v>
      </c>
      <c r="Z580" s="125">
        <v>0</v>
      </c>
      <c r="AA580" s="125">
        <v>0</v>
      </c>
      <c r="AB580" s="125">
        <v>0</v>
      </c>
      <c r="AC580" s="125">
        <v>0</v>
      </c>
      <c r="AD580" s="125">
        <v>0</v>
      </c>
      <c r="AE580" s="125">
        <v>2.2120000000000002</v>
      </c>
      <c r="AF580" s="125">
        <v>0.91300000000000003</v>
      </c>
      <c r="AG580" s="125">
        <v>0</v>
      </c>
      <c r="AH580" s="125">
        <v>0</v>
      </c>
      <c r="AI580" s="121">
        <v>369311</v>
      </c>
      <c r="AJ580" s="121">
        <v>0</v>
      </c>
      <c r="AK580" s="424">
        <v>6</v>
      </c>
      <c r="AL580">
        <v>31</v>
      </c>
      <c r="AM580" s="121">
        <v>0</v>
      </c>
      <c r="AN580" s="125">
        <v>0</v>
      </c>
      <c r="AO580" s="125">
        <v>0</v>
      </c>
      <c r="AP580" s="121">
        <v>369311</v>
      </c>
      <c r="AQ580" s="114">
        <v>0</v>
      </c>
      <c r="AR580" s="121">
        <v>0</v>
      </c>
      <c r="AS580" s="121">
        <v>0</v>
      </c>
      <c r="AT580" s="121">
        <v>0</v>
      </c>
      <c r="AU580" s="420" t="s">
        <v>798</v>
      </c>
      <c r="AV580" s="420" t="s">
        <v>2001</v>
      </c>
      <c r="AW580" s="121">
        <v>0</v>
      </c>
      <c r="AX580" s="121">
        <v>0</v>
      </c>
      <c r="AY580" s="134">
        <v>75689</v>
      </c>
      <c r="AZ580" s="134">
        <v>47577</v>
      </c>
      <c r="BA580" s="114">
        <v>25</v>
      </c>
      <c r="BB580" s="134">
        <v>16311697</v>
      </c>
      <c r="BC580" s="114">
        <v>0</v>
      </c>
      <c r="BD580" s="114">
        <v>0</v>
      </c>
      <c r="BE580" s="114">
        <v>0</v>
      </c>
      <c r="BF580" s="114">
        <v>15</v>
      </c>
      <c r="BG580" s="114">
        <v>0</v>
      </c>
      <c r="BH580" s="114">
        <v>0</v>
      </c>
      <c r="BI580">
        <v>0</v>
      </c>
      <c r="BJ580" s="121">
        <v>0</v>
      </c>
      <c r="BK580" s="134">
        <v>47338495</v>
      </c>
      <c r="BL580" s="934">
        <v>3960</v>
      </c>
      <c r="BM580" s="934">
        <v>4139</v>
      </c>
      <c r="BN580" s="934">
        <v>4526</v>
      </c>
      <c r="BO580" s="114">
        <v>0</v>
      </c>
      <c r="BP580" s="114">
        <v>0</v>
      </c>
    </row>
    <row r="581" spans="1:68">
      <c r="A581" t="s">
        <v>2602</v>
      </c>
      <c r="B581" t="s">
        <v>2327</v>
      </c>
      <c r="C581" s="121">
        <v>4695</v>
      </c>
      <c r="D581" s="72">
        <v>1</v>
      </c>
      <c r="E581">
        <v>189.655</v>
      </c>
      <c r="F581">
        <v>61</v>
      </c>
      <c r="G581">
        <v>41</v>
      </c>
      <c r="H581">
        <v>0</v>
      </c>
      <c r="I581" s="173">
        <v>0.95</v>
      </c>
      <c r="J581" s="121">
        <v>263706230</v>
      </c>
      <c r="K581" s="125">
        <v>1134.6479999999999</v>
      </c>
      <c r="L581" s="173">
        <v>1.43</v>
      </c>
      <c r="M581">
        <v>0.95</v>
      </c>
      <c r="N581">
        <v>0.95333333809999998</v>
      </c>
      <c r="O581">
        <v>-0.33333381000000273</v>
      </c>
      <c r="P581">
        <v>638.78499999999997</v>
      </c>
      <c r="Q581" s="125">
        <v>0</v>
      </c>
      <c r="R581" s="125">
        <v>0</v>
      </c>
      <c r="S581" s="125">
        <v>1.0009999999999999</v>
      </c>
      <c r="T581" s="125">
        <v>18.2</v>
      </c>
      <c r="U581" s="125">
        <v>2.63</v>
      </c>
      <c r="V581" s="125">
        <v>0</v>
      </c>
      <c r="W581" s="125">
        <v>0</v>
      </c>
      <c r="X581" s="125">
        <v>0</v>
      </c>
      <c r="Y581" s="125">
        <v>0</v>
      </c>
      <c r="Z581" s="125">
        <v>1</v>
      </c>
      <c r="AA581" s="125">
        <v>18</v>
      </c>
      <c r="AB581" s="125">
        <v>28</v>
      </c>
      <c r="AC581" s="125">
        <v>350</v>
      </c>
      <c r="AD581" s="125">
        <v>0.224</v>
      </c>
      <c r="AE581" s="125">
        <v>22.15</v>
      </c>
      <c r="AF581" s="125">
        <v>31.939</v>
      </c>
      <c r="AG581" s="125">
        <v>0</v>
      </c>
      <c r="AH581" s="125">
        <v>0</v>
      </c>
      <c r="AI581" s="121">
        <v>2551556</v>
      </c>
      <c r="AJ581" s="121">
        <v>0</v>
      </c>
      <c r="AK581" s="424">
        <v>12</v>
      </c>
      <c r="AL581">
        <v>0</v>
      </c>
      <c r="AM581" s="121">
        <v>78445</v>
      </c>
      <c r="AN581" s="125">
        <v>0</v>
      </c>
      <c r="AO581" s="125">
        <v>0</v>
      </c>
      <c r="AP581" s="121">
        <v>2551556</v>
      </c>
      <c r="AQ581" s="114">
        <v>0</v>
      </c>
      <c r="AR581" s="121">
        <v>175.77589219000001</v>
      </c>
      <c r="AS581" s="121">
        <v>34540.514793000002</v>
      </c>
      <c r="AT581" s="121">
        <v>4548.9703095000004</v>
      </c>
      <c r="AU581" s="420" t="s">
        <v>2001</v>
      </c>
      <c r="AV581" s="420" t="s">
        <v>2001</v>
      </c>
      <c r="AW581" s="121">
        <v>0</v>
      </c>
      <c r="AX581" s="121">
        <v>0</v>
      </c>
      <c r="BI581">
        <v>0</v>
      </c>
      <c r="BJ581" s="121">
        <v>0</v>
      </c>
      <c r="BK581" s="134">
        <v>263706230</v>
      </c>
      <c r="BL581" s="934">
        <v>4695</v>
      </c>
      <c r="BM581" s="934">
        <v>4546</v>
      </c>
      <c r="BN581" s="934">
        <v>4686</v>
      </c>
      <c r="BO581" s="114">
        <v>0</v>
      </c>
      <c r="BP581" s="114">
        <v>0</v>
      </c>
    </row>
    <row r="582" spans="1:68">
      <c r="A582" t="s">
        <v>1727</v>
      </c>
      <c r="B582" t="s">
        <v>2328</v>
      </c>
      <c r="C582" s="121">
        <v>11539</v>
      </c>
      <c r="D582" s="72">
        <v>2</v>
      </c>
      <c r="E582">
        <v>32.658000000000001</v>
      </c>
      <c r="F582">
        <v>19</v>
      </c>
      <c r="G582">
        <v>13</v>
      </c>
      <c r="H582">
        <v>0</v>
      </c>
      <c r="I582" s="173">
        <v>0.98</v>
      </c>
      <c r="J582" s="121">
        <v>300502752</v>
      </c>
      <c r="K582" s="125">
        <v>265.64499999999998</v>
      </c>
      <c r="L582" s="173">
        <v>1.41</v>
      </c>
      <c r="M582">
        <v>0.98</v>
      </c>
      <c r="N582">
        <v>0.9400000047</v>
      </c>
      <c r="O582">
        <v>3.999999529999998</v>
      </c>
      <c r="P582">
        <v>99.94</v>
      </c>
      <c r="Q582" s="125">
        <v>0</v>
      </c>
      <c r="R582" s="125">
        <v>0</v>
      </c>
      <c r="S582" s="125">
        <v>9.6000000000000002E-2</v>
      </c>
      <c r="T582" s="125">
        <v>2.004</v>
      </c>
      <c r="U582" s="125">
        <v>0</v>
      </c>
      <c r="V582" s="125">
        <v>0</v>
      </c>
      <c r="W582" s="125">
        <v>0</v>
      </c>
      <c r="X582" s="125">
        <v>0</v>
      </c>
      <c r="Y582" s="125">
        <v>0</v>
      </c>
      <c r="Z582" s="125">
        <v>0</v>
      </c>
      <c r="AA582" s="125">
        <v>7.6210000000000004</v>
      </c>
      <c r="AB582" s="125">
        <v>6.97</v>
      </c>
      <c r="AC582" s="125">
        <v>34.9</v>
      </c>
      <c r="AD582" s="125">
        <v>0</v>
      </c>
      <c r="AE582" s="125">
        <v>7.8719999999999999</v>
      </c>
      <c r="AF582" s="125">
        <v>4.9969999999999999</v>
      </c>
      <c r="AG582" s="125">
        <v>0</v>
      </c>
      <c r="AH582" s="125">
        <v>0</v>
      </c>
      <c r="AI582" s="121">
        <v>2807759</v>
      </c>
      <c r="AJ582" s="121">
        <v>0</v>
      </c>
      <c r="AK582" s="424">
        <v>12</v>
      </c>
      <c r="AL582">
        <v>0</v>
      </c>
      <c r="AM582" s="121">
        <v>0</v>
      </c>
      <c r="AN582" s="125">
        <v>0</v>
      </c>
      <c r="AO582" s="125">
        <v>0</v>
      </c>
      <c r="AP582" s="121">
        <v>2807759</v>
      </c>
      <c r="AQ582" s="114">
        <v>0</v>
      </c>
      <c r="AR582" s="121">
        <v>0</v>
      </c>
      <c r="AS582" s="121">
        <v>0</v>
      </c>
      <c r="AT582" s="121">
        <v>0</v>
      </c>
      <c r="AU582" s="420" t="s">
        <v>798</v>
      </c>
      <c r="AV582" s="420" t="s">
        <v>2001</v>
      </c>
      <c r="AW582" s="121">
        <v>0</v>
      </c>
      <c r="AX582" s="121">
        <v>0</v>
      </c>
      <c r="AY582" s="134">
        <v>1021933</v>
      </c>
      <c r="AZ582" s="134">
        <v>658181</v>
      </c>
      <c r="BA582" s="114">
        <v>199</v>
      </c>
      <c r="BB582" s="134">
        <v>492054151</v>
      </c>
      <c r="BC582" s="114">
        <v>0</v>
      </c>
      <c r="BD582" s="114">
        <v>0</v>
      </c>
      <c r="BE582" s="114">
        <v>0</v>
      </c>
      <c r="BF582" s="114">
        <v>92</v>
      </c>
      <c r="BG582" s="114">
        <v>0</v>
      </c>
      <c r="BH582" s="114">
        <v>0</v>
      </c>
      <c r="BI582">
        <v>0</v>
      </c>
      <c r="BJ582" s="121">
        <v>0</v>
      </c>
      <c r="BK582" s="134">
        <v>272862898</v>
      </c>
      <c r="BL582" s="934">
        <v>11369</v>
      </c>
      <c r="BM582" s="934">
        <v>11539</v>
      </c>
      <c r="BN582" s="934">
        <v>11529</v>
      </c>
      <c r="BO582" s="114">
        <v>0</v>
      </c>
      <c r="BP582" s="114">
        <v>0</v>
      </c>
    </row>
    <row r="583" spans="1:68">
      <c r="A583" t="s">
        <v>1728</v>
      </c>
      <c r="B583" t="s">
        <v>2329</v>
      </c>
      <c r="C583" s="121">
        <v>4437</v>
      </c>
      <c r="D583" s="72">
        <v>3</v>
      </c>
      <c r="E583">
        <v>195.215</v>
      </c>
      <c r="F583">
        <v>58</v>
      </c>
      <c r="G583">
        <v>43</v>
      </c>
      <c r="H583">
        <v>2</v>
      </c>
      <c r="I583" s="173">
        <v>0.97</v>
      </c>
      <c r="J583" s="121">
        <v>143577454</v>
      </c>
      <c r="K583" s="125">
        <v>1086.71</v>
      </c>
      <c r="L583" s="173">
        <v>1.2975000000000001</v>
      </c>
      <c r="M583">
        <v>0.97</v>
      </c>
      <c r="N583">
        <v>0.86500000432500013</v>
      </c>
      <c r="O583">
        <v>10.499999567499984</v>
      </c>
      <c r="P583">
        <v>570.42600000000004</v>
      </c>
      <c r="Q583" s="125">
        <v>0.28199999999999997</v>
      </c>
      <c r="R583" s="125">
        <v>0</v>
      </c>
      <c r="S583" s="125">
        <v>1.0640000000000001</v>
      </c>
      <c r="T583" s="125">
        <v>1.5</v>
      </c>
      <c r="U583" s="125">
        <v>1.5</v>
      </c>
      <c r="V583" s="125">
        <v>0</v>
      </c>
      <c r="W583" s="125">
        <v>4.7039999999999997</v>
      </c>
      <c r="X583" s="125">
        <v>0</v>
      </c>
      <c r="Y583" s="125">
        <v>0</v>
      </c>
      <c r="Z583" s="125">
        <v>0</v>
      </c>
      <c r="AA583" s="125">
        <v>48.670999999999999</v>
      </c>
      <c r="AB583" s="125">
        <v>13</v>
      </c>
      <c r="AC583" s="125">
        <v>425</v>
      </c>
      <c r="AD583" s="125">
        <v>0</v>
      </c>
      <c r="AE583" s="125">
        <v>42.829000000000001</v>
      </c>
      <c r="AF583" s="125">
        <v>28.521000000000001</v>
      </c>
      <c r="AG583" s="125">
        <v>0</v>
      </c>
      <c r="AH583" s="125">
        <v>0</v>
      </c>
      <c r="AI583" s="121">
        <v>1369882</v>
      </c>
      <c r="AJ583" s="121">
        <v>0</v>
      </c>
      <c r="AK583" s="424">
        <v>12</v>
      </c>
      <c r="AL583">
        <v>0</v>
      </c>
      <c r="AM583" s="121">
        <v>54097</v>
      </c>
      <c r="AN583" s="125">
        <v>0</v>
      </c>
      <c r="AO583" s="125">
        <v>0</v>
      </c>
      <c r="AP583" s="121">
        <v>1369882</v>
      </c>
      <c r="AQ583" s="114">
        <v>0</v>
      </c>
      <c r="AR583" s="121">
        <v>95.702915751000006</v>
      </c>
      <c r="AS583" s="121">
        <v>18805.923473999999</v>
      </c>
      <c r="AT583" s="121">
        <v>2476.7316885999999</v>
      </c>
      <c r="AU583" s="420" t="s">
        <v>2001</v>
      </c>
      <c r="AV583" s="420" t="s">
        <v>2001</v>
      </c>
      <c r="AW583" s="121">
        <v>0</v>
      </c>
      <c r="AX583" s="121">
        <v>0</v>
      </c>
      <c r="BI583">
        <v>0</v>
      </c>
      <c r="BJ583" s="121">
        <v>0</v>
      </c>
      <c r="BK583" s="134">
        <v>143085069</v>
      </c>
      <c r="BL583" s="934">
        <v>4243</v>
      </c>
      <c r="BM583" s="934">
        <v>4168</v>
      </c>
      <c r="BN583" s="934">
        <v>4437</v>
      </c>
      <c r="BO583" s="114">
        <v>0</v>
      </c>
      <c r="BP583" s="114">
        <v>0</v>
      </c>
    </row>
    <row r="584" spans="1:68">
      <c r="A584" t="s">
        <v>2872</v>
      </c>
      <c r="B584" t="s">
        <v>2295</v>
      </c>
      <c r="C584" s="121">
        <v>4776</v>
      </c>
      <c r="D584" s="72">
        <v>2</v>
      </c>
      <c r="E584">
        <v>1067.873</v>
      </c>
      <c r="F584">
        <v>307</v>
      </c>
      <c r="G584">
        <v>329</v>
      </c>
      <c r="H584">
        <v>0</v>
      </c>
      <c r="I584" s="173">
        <v>1.04</v>
      </c>
      <c r="J584" s="121">
        <v>725611452</v>
      </c>
      <c r="K584" s="125">
        <v>5282.2610000000004</v>
      </c>
      <c r="L584" s="173">
        <v>1.5</v>
      </c>
      <c r="M584">
        <v>1.04</v>
      </c>
      <c r="N584">
        <v>1.000000005</v>
      </c>
      <c r="O584">
        <v>3.9999995000000066</v>
      </c>
      <c r="P584">
        <v>3557.4319999999998</v>
      </c>
      <c r="Q584" s="125">
        <v>4.9000000000000002E-2</v>
      </c>
      <c r="R584" s="125">
        <v>0</v>
      </c>
      <c r="S584" s="125">
        <v>7.5810000000000004</v>
      </c>
      <c r="T584" s="125">
        <v>90.843000000000004</v>
      </c>
      <c r="U584" s="125">
        <v>45.113</v>
      </c>
      <c r="V584" s="125">
        <v>0</v>
      </c>
      <c r="W584" s="125">
        <v>5.6269999999999998</v>
      </c>
      <c r="X584" s="125">
        <v>0</v>
      </c>
      <c r="Y584" s="125">
        <v>0</v>
      </c>
      <c r="Z584" s="125">
        <v>0</v>
      </c>
      <c r="AA584" s="125">
        <v>145.63200000000001</v>
      </c>
      <c r="AB584" s="125">
        <v>177.10400000000001</v>
      </c>
      <c r="AC584" s="125">
        <v>3521.9</v>
      </c>
      <c r="AD584" s="125">
        <v>3.6720000000000002</v>
      </c>
      <c r="AE584" s="125">
        <v>287.51</v>
      </c>
      <c r="AF584" s="125">
        <v>177.8716</v>
      </c>
      <c r="AG584" s="125">
        <v>0</v>
      </c>
      <c r="AH584" s="125">
        <v>0</v>
      </c>
      <c r="AI584" s="121">
        <v>7552077</v>
      </c>
      <c r="AJ584" s="121">
        <v>562540</v>
      </c>
      <c r="AK584" s="424">
        <v>12</v>
      </c>
      <c r="AL584">
        <v>0</v>
      </c>
      <c r="AM584" s="121">
        <v>134470</v>
      </c>
      <c r="AN584" s="125">
        <v>0</v>
      </c>
      <c r="AO584" s="125">
        <v>0</v>
      </c>
      <c r="AP584" s="121">
        <v>8114617</v>
      </c>
      <c r="AQ584" s="114">
        <v>0</v>
      </c>
      <c r="AR584" s="121">
        <v>483.66320502000002</v>
      </c>
      <c r="AS584" s="121">
        <v>95041.338602000003</v>
      </c>
      <c r="AT584" s="121">
        <v>12516.901674999999</v>
      </c>
      <c r="AU584" s="420" t="s">
        <v>2001</v>
      </c>
      <c r="AV584" s="420" t="s">
        <v>2001</v>
      </c>
      <c r="AW584" s="121">
        <v>0</v>
      </c>
      <c r="AX584" s="121">
        <v>2838778</v>
      </c>
      <c r="BI584">
        <v>0</v>
      </c>
      <c r="BJ584" s="121">
        <v>0</v>
      </c>
      <c r="BK584" s="134">
        <v>698692656</v>
      </c>
      <c r="BL584" s="934">
        <v>4582</v>
      </c>
      <c r="BM584" s="934">
        <v>4776</v>
      </c>
      <c r="BN584" s="934">
        <v>4658</v>
      </c>
      <c r="BO584" s="114">
        <v>0</v>
      </c>
      <c r="BP584" s="114">
        <v>0</v>
      </c>
    </row>
    <row r="585" spans="1:68">
      <c r="A585" t="s">
        <v>429</v>
      </c>
      <c r="B585" t="s">
        <v>2330</v>
      </c>
      <c r="C585" s="121">
        <v>4547</v>
      </c>
      <c r="D585" s="72">
        <v>2</v>
      </c>
      <c r="E585">
        <v>0</v>
      </c>
      <c r="F585">
        <v>44</v>
      </c>
      <c r="G585">
        <v>34</v>
      </c>
      <c r="H585">
        <v>4</v>
      </c>
      <c r="I585" s="173">
        <v>1.17</v>
      </c>
      <c r="J585" s="121">
        <v>150239343</v>
      </c>
      <c r="K585" s="125">
        <v>838.24199999999996</v>
      </c>
      <c r="L585" s="173">
        <v>1.4</v>
      </c>
      <c r="M585">
        <v>1.17</v>
      </c>
      <c r="N585">
        <v>0.93333333799999996</v>
      </c>
      <c r="O585">
        <v>23.666666199999998</v>
      </c>
      <c r="P585">
        <v>510</v>
      </c>
      <c r="Q585" s="125">
        <v>0</v>
      </c>
      <c r="R585" s="125">
        <v>0</v>
      </c>
      <c r="S585" s="125">
        <v>0.79200000000000004</v>
      </c>
      <c r="T585" s="125">
        <v>10.92</v>
      </c>
      <c r="U585" s="125">
        <v>1.85</v>
      </c>
      <c r="V585" s="125">
        <v>0</v>
      </c>
      <c r="W585" s="125">
        <v>0</v>
      </c>
      <c r="X585" s="125">
        <v>0</v>
      </c>
      <c r="Y585" s="125">
        <v>0</v>
      </c>
      <c r="Z585" s="125">
        <v>0</v>
      </c>
      <c r="AA585" s="125">
        <v>12.382</v>
      </c>
      <c r="AB585" s="125">
        <v>0</v>
      </c>
      <c r="AC585" s="125">
        <v>405</v>
      </c>
      <c r="AD585" s="125">
        <v>0</v>
      </c>
      <c r="AE585" s="125">
        <v>25</v>
      </c>
      <c r="AF585" s="125">
        <v>25.5</v>
      </c>
      <c r="AG585" s="125">
        <v>0</v>
      </c>
      <c r="AH585" s="125">
        <v>0</v>
      </c>
      <c r="AI585" s="121">
        <v>1515688</v>
      </c>
      <c r="AJ585" s="121">
        <v>0</v>
      </c>
      <c r="AK585" s="424">
        <v>8</v>
      </c>
      <c r="AL585">
        <v>0</v>
      </c>
      <c r="AM585" s="121">
        <v>101090</v>
      </c>
      <c r="AN585" s="125">
        <v>0</v>
      </c>
      <c r="AO585" s="125">
        <v>0</v>
      </c>
      <c r="AP585" s="121">
        <v>1515688</v>
      </c>
      <c r="AQ585" s="114">
        <v>0</v>
      </c>
      <c r="AR585" s="121">
        <v>100.14346113000001</v>
      </c>
      <c r="AS585" s="121">
        <v>19678.504585999999</v>
      </c>
      <c r="AT585" s="121">
        <v>2591.6502295999999</v>
      </c>
      <c r="AU585" s="420" t="s">
        <v>2001</v>
      </c>
      <c r="AV585" s="420" t="s">
        <v>2001</v>
      </c>
      <c r="AW585" s="121">
        <v>0</v>
      </c>
      <c r="AX585" s="121">
        <v>0</v>
      </c>
      <c r="BI585">
        <v>0</v>
      </c>
      <c r="BJ585" s="121">
        <v>0</v>
      </c>
      <c r="BK585" s="134">
        <v>128382542</v>
      </c>
      <c r="BL585" s="934">
        <v>4078</v>
      </c>
      <c r="BM585" s="934">
        <v>4547</v>
      </c>
      <c r="BN585" s="934">
        <v>4295</v>
      </c>
      <c r="BO585" s="134">
        <v>262617</v>
      </c>
      <c r="BP585" s="134">
        <v>304552</v>
      </c>
    </row>
    <row r="586" spans="1:68">
      <c r="A586" t="s">
        <v>430</v>
      </c>
      <c r="B586" t="s">
        <v>2331</v>
      </c>
      <c r="C586" s="121">
        <v>5140</v>
      </c>
      <c r="D586" s="72">
        <v>2</v>
      </c>
      <c r="E586">
        <v>201.48699999999999</v>
      </c>
      <c r="F586">
        <v>54</v>
      </c>
      <c r="G586">
        <v>29</v>
      </c>
      <c r="H586">
        <v>2</v>
      </c>
      <c r="I586" s="173">
        <v>1.04</v>
      </c>
      <c r="J586" s="121">
        <v>249758589</v>
      </c>
      <c r="K586" s="125">
        <v>910.46600000000001</v>
      </c>
      <c r="L586" s="173">
        <v>1.5</v>
      </c>
      <c r="M586">
        <v>1.04</v>
      </c>
      <c r="N586">
        <v>1.000000005</v>
      </c>
      <c r="O586">
        <v>3.9999995000000066</v>
      </c>
      <c r="P586">
        <v>451.60700000000003</v>
      </c>
      <c r="Q586" s="125">
        <v>0</v>
      </c>
      <c r="R586" s="125">
        <v>0</v>
      </c>
      <c r="S586" s="125">
        <v>0.42299999999999999</v>
      </c>
      <c r="T586" s="125">
        <v>11.205</v>
      </c>
      <c r="U586" s="125">
        <v>1.5049999999999999</v>
      </c>
      <c r="V586" s="125">
        <v>0</v>
      </c>
      <c r="W586" s="125">
        <v>0</v>
      </c>
      <c r="X586" s="125">
        <v>0</v>
      </c>
      <c r="Y586" s="125">
        <v>0</v>
      </c>
      <c r="Z586" s="125">
        <v>0</v>
      </c>
      <c r="AA586" s="125">
        <v>30.728999999999999</v>
      </c>
      <c r="AB586" s="125">
        <v>32.594999999999999</v>
      </c>
      <c r="AC586" s="125">
        <v>336.4</v>
      </c>
      <c r="AD586" s="125">
        <v>0</v>
      </c>
      <c r="AE586" s="125">
        <v>32.164999999999999</v>
      </c>
      <c r="AF586" s="125">
        <v>22.58</v>
      </c>
      <c r="AG586" s="125">
        <v>0</v>
      </c>
      <c r="AH586" s="125">
        <v>0</v>
      </c>
      <c r="AI586" s="121">
        <v>2672921</v>
      </c>
      <c r="AJ586" s="121">
        <v>0</v>
      </c>
      <c r="AK586" s="424">
        <v>12</v>
      </c>
      <c r="AL586">
        <v>0</v>
      </c>
      <c r="AM586" s="121">
        <v>29981</v>
      </c>
      <c r="AN586" s="125">
        <v>0</v>
      </c>
      <c r="AO586" s="125">
        <v>0</v>
      </c>
      <c r="AP586" s="121">
        <v>2672921</v>
      </c>
      <c r="AQ586" s="114">
        <v>0</v>
      </c>
      <c r="AR586" s="121">
        <v>166.47895962000001</v>
      </c>
      <c r="AS586" s="121">
        <v>32713.638347</v>
      </c>
      <c r="AT586" s="121">
        <v>4308.3715007999999</v>
      </c>
      <c r="AU586" s="420" t="s">
        <v>2001</v>
      </c>
      <c r="AV586" s="420" t="s">
        <v>2001</v>
      </c>
      <c r="AW586" s="121">
        <v>0</v>
      </c>
      <c r="AX586" s="121">
        <v>0</v>
      </c>
      <c r="BI586">
        <v>0</v>
      </c>
      <c r="BJ586" s="121">
        <v>0</v>
      </c>
      <c r="BK586" s="134">
        <v>249758589</v>
      </c>
      <c r="BL586" s="934">
        <v>4638</v>
      </c>
      <c r="BM586" s="934">
        <v>5140</v>
      </c>
      <c r="BN586" s="934">
        <v>4740</v>
      </c>
      <c r="BO586" s="114">
        <v>0</v>
      </c>
      <c r="BP586" s="114">
        <v>0</v>
      </c>
    </row>
    <row r="587" spans="1:68">
      <c r="A587" t="s">
        <v>431</v>
      </c>
      <c r="B587" t="s">
        <v>2332</v>
      </c>
      <c r="C587" s="121">
        <v>6985</v>
      </c>
      <c r="D587" s="72">
        <v>2</v>
      </c>
      <c r="E587">
        <v>179.76</v>
      </c>
      <c r="F587">
        <v>39</v>
      </c>
      <c r="G587">
        <v>20</v>
      </c>
      <c r="H587">
        <v>3</v>
      </c>
      <c r="I587" s="173">
        <v>1.04</v>
      </c>
      <c r="J587" s="121">
        <v>285991716</v>
      </c>
      <c r="K587" s="125">
        <v>565.6</v>
      </c>
      <c r="L587" s="173">
        <v>1.5</v>
      </c>
      <c r="M587">
        <v>1.04</v>
      </c>
      <c r="N587">
        <v>1.000000005</v>
      </c>
      <c r="O587">
        <v>3.9999995000000066</v>
      </c>
      <c r="P587">
        <v>327.54000000000002</v>
      </c>
      <c r="Q587" s="125">
        <v>0.01</v>
      </c>
      <c r="R587" s="125">
        <v>0</v>
      </c>
      <c r="S587" s="125">
        <v>0.19800000000000001</v>
      </c>
      <c r="T587" s="125">
        <v>0</v>
      </c>
      <c r="U587" s="125">
        <v>0</v>
      </c>
      <c r="V587" s="125">
        <v>0</v>
      </c>
      <c r="W587" s="125">
        <v>0</v>
      </c>
      <c r="X587" s="125">
        <v>0</v>
      </c>
      <c r="Y587" s="125">
        <v>0</v>
      </c>
      <c r="Z587" s="125">
        <v>0</v>
      </c>
      <c r="AA587" s="125">
        <v>33.402999999999999</v>
      </c>
      <c r="AB587" s="125">
        <v>36.012</v>
      </c>
      <c r="AC587" s="125">
        <v>151</v>
      </c>
      <c r="AD587" s="125">
        <v>0.73399999999999999</v>
      </c>
      <c r="AE587" s="125">
        <v>13.196</v>
      </c>
      <c r="AF587" s="125">
        <v>16.376999999999999</v>
      </c>
      <c r="AG587" s="125">
        <v>0</v>
      </c>
      <c r="AH587" s="125">
        <v>0</v>
      </c>
      <c r="AI587" s="121">
        <v>2242195</v>
      </c>
      <c r="AJ587" s="121">
        <v>0</v>
      </c>
      <c r="AK587" s="424">
        <v>12</v>
      </c>
      <c r="AL587">
        <v>0</v>
      </c>
      <c r="AM587" s="121">
        <v>0</v>
      </c>
      <c r="AN587" s="125">
        <v>0</v>
      </c>
      <c r="AO587" s="125">
        <v>0</v>
      </c>
      <c r="AP587" s="121">
        <v>2242195</v>
      </c>
      <c r="AQ587" s="114">
        <v>0</v>
      </c>
      <c r="AR587" s="121">
        <v>0</v>
      </c>
      <c r="AS587" s="121">
        <v>0</v>
      </c>
      <c r="AT587" s="121">
        <v>0</v>
      </c>
      <c r="AU587" s="420" t="s">
        <v>798</v>
      </c>
      <c r="AV587" s="420" t="s">
        <v>2001</v>
      </c>
      <c r="AW587" s="121">
        <v>0</v>
      </c>
      <c r="AX587" s="121">
        <v>0</v>
      </c>
      <c r="AY587" s="134">
        <v>736815</v>
      </c>
      <c r="AZ587" s="134">
        <v>357233</v>
      </c>
      <c r="BA587" s="114">
        <v>144</v>
      </c>
      <c r="BB587" s="134">
        <v>174817600</v>
      </c>
      <c r="BC587" s="114">
        <v>0</v>
      </c>
      <c r="BD587" s="114">
        <v>0</v>
      </c>
      <c r="BE587" s="114">
        <v>0</v>
      </c>
      <c r="BF587" s="114">
        <v>362</v>
      </c>
      <c r="BG587" s="114">
        <v>0</v>
      </c>
      <c r="BH587" s="114">
        <v>0</v>
      </c>
      <c r="BI587">
        <v>0</v>
      </c>
      <c r="BJ587" s="121">
        <v>0</v>
      </c>
      <c r="BK587" s="134">
        <v>205372862</v>
      </c>
      <c r="BL587" s="934">
        <v>6738</v>
      </c>
      <c r="BM587" s="934">
        <v>6985</v>
      </c>
      <c r="BN587" s="934">
        <v>6079</v>
      </c>
      <c r="BO587" s="114">
        <v>0</v>
      </c>
      <c r="BP587" s="114">
        <v>0</v>
      </c>
    </row>
    <row r="588" spans="1:68">
      <c r="A588" t="s">
        <v>2873</v>
      </c>
      <c r="B588" t="s">
        <v>1200</v>
      </c>
      <c r="C588" s="121">
        <v>4635</v>
      </c>
      <c r="D588" s="72">
        <v>2</v>
      </c>
      <c r="E588">
        <v>65.173000000000002</v>
      </c>
      <c r="F588">
        <v>34</v>
      </c>
      <c r="G588">
        <v>26</v>
      </c>
      <c r="H588">
        <v>2</v>
      </c>
      <c r="I588" s="173">
        <v>1.17</v>
      </c>
      <c r="J588" s="121">
        <v>64003348</v>
      </c>
      <c r="K588" s="125">
        <v>485.60599999999999</v>
      </c>
      <c r="L588" s="173">
        <v>1.5</v>
      </c>
      <c r="M588">
        <v>1.17</v>
      </c>
      <c r="N588">
        <v>1.000000005</v>
      </c>
      <c r="O588">
        <v>16.999999499999994</v>
      </c>
      <c r="P588">
        <v>253.43199999999999</v>
      </c>
      <c r="Q588" s="125">
        <v>0.08</v>
      </c>
      <c r="R588" s="125">
        <v>0</v>
      </c>
      <c r="S588" s="125">
        <v>0.83799999999999997</v>
      </c>
      <c r="T588" s="125">
        <v>13.996</v>
      </c>
      <c r="U588" s="125">
        <v>1.796</v>
      </c>
      <c r="V588" s="125">
        <v>0</v>
      </c>
      <c r="W588" s="125">
        <v>0</v>
      </c>
      <c r="X588" s="125">
        <v>0</v>
      </c>
      <c r="Y588" s="125">
        <v>0</v>
      </c>
      <c r="Z588" s="125">
        <v>0</v>
      </c>
      <c r="AA588" s="125">
        <v>8.0540000000000003</v>
      </c>
      <c r="AB588" s="125">
        <v>23.375</v>
      </c>
      <c r="AC588" s="125">
        <v>206.9</v>
      </c>
      <c r="AD588" s="125">
        <v>0.14299999999999999</v>
      </c>
      <c r="AE588" s="125">
        <v>16.648</v>
      </c>
      <c r="AF588" s="125">
        <v>12.6716</v>
      </c>
      <c r="AG588" s="125">
        <v>0</v>
      </c>
      <c r="AH588" s="125">
        <v>0</v>
      </c>
      <c r="AI588" s="121">
        <v>762693</v>
      </c>
      <c r="AJ588" s="121">
        <v>37640</v>
      </c>
      <c r="AK588" s="424">
        <v>12</v>
      </c>
      <c r="AL588">
        <v>0</v>
      </c>
      <c r="AM588" s="121">
        <v>10381</v>
      </c>
      <c r="AN588" s="125">
        <v>0</v>
      </c>
      <c r="AO588" s="125">
        <v>0</v>
      </c>
      <c r="AP588" s="121">
        <v>800333</v>
      </c>
      <c r="AQ588" s="114">
        <v>0</v>
      </c>
      <c r="AR588" s="121">
        <v>42.662039489999998</v>
      </c>
      <c r="AS588" s="121">
        <v>8383.2247286000002</v>
      </c>
      <c r="AT588" s="121">
        <v>1104.0669375</v>
      </c>
      <c r="AU588" s="420" t="s">
        <v>2001</v>
      </c>
      <c r="AV588" s="420" t="s">
        <v>2001</v>
      </c>
      <c r="AW588" s="121">
        <v>0</v>
      </c>
      <c r="AX588" s="121">
        <v>91552</v>
      </c>
      <c r="BI588">
        <v>0</v>
      </c>
      <c r="BJ588" s="121">
        <v>0</v>
      </c>
      <c r="BK588" s="134">
        <v>64003348</v>
      </c>
      <c r="BL588" s="934">
        <v>4551</v>
      </c>
      <c r="BM588" s="934">
        <v>4635</v>
      </c>
      <c r="BN588" s="934">
        <v>4632</v>
      </c>
      <c r="BO588" s="114">
        <v>0</v>
      </c>
      <c r="BP588" s="114">
        <v>0</v>
      </c>
    </row>
    <row r="589" spans="1:68">
      <c r="A589" t="s">
        <v>270</v>
      </c>
      <c r="B589" t="s">
        <v>2333</v>
      </c>
      <c r="C589" s="121">
        <v>4541</v>
      </c>
      <c r="D589" s="72">
        <v>2</v>
      </c>
      <c r="E589">
        <v>121.97799999999999</v>
      </c>
      <c r="F589">
        <v>44</v>
      </c>
      <c r="G589">
        <v>29</v>
      </c>
      <c r="H589">
        <v>2</v>
      </c>
      <c r="I589" s="173">
        <v>1.17</v>
      </c>
      <c r="J589" s="121">
        <v>46896234</v>
      </c>
      <c r="K589" s="125">
        <v>664.91</v>
      </c>
      <c r="L589" s="173">
        <v>1.5</v>
      </c>
      <c r="M589">
        <v>1.17</v>
      </c>
      <c r="N589">
        <v>1.000000005</v>
      </c>
      <c r="O589">
        <v>16.999999499999994</v>
      </c>
      <c r="P589">
        <v>395</v>
      </c>
      <c r="Q589" s="125">
        <v>0.1</v>
      </c>
      <c r="R589" s="125">
        <v>0</v>
      </c>
      <c r="S589" s="125">
        <v>0.6</v>
      </c>
      <c r="T589" s="125">
        <v>7.7</v>
      </c>
      <c r="U589" s="125">
        <v>0.22</v>
      </c>
      <c r="V589" s="125">
        <v>0</v>
      </c>
      <c r="W589" s="125">
        <v>0</v>
      </c>
      <c r="X589" s="125">
        <v>0</v>
      </c>
      <c r="Y589" s="125">
        <v>0</v>
      </c>
      <c r="Z589" s="125">
        <v>0</v>
      </c>
      <c r="AA589" s="125">
        <v>12.3</v>
      </c>
      <c r="AB589" s="125">
        <v>24.5</v>
      </c>
      <c r="AC589" s="125">
        <v>270</v>
      </c>
      <c r="AD589" s="125">
        <v>7.0000000000000007E-2</v>
      </c>
      <c r="AE589" s="125">
        <v>14</v>
      </c>
      <c r="AF589" s="125">
        <v>19.75</v>
      </c>
      <c r="AG589" s="125">
        <v>0</v>
      </c>
      <c r="AH589" s="125">
        <v>0</v>
      </c>
      <c r="AI589" s="121">
        <v>544486</v>
      </c>
      <c r="AJ589" s="121">
        <v>0</v>
      </c>
      <c r="AK589" s="424">
        <v>12</v>
      </c>
      <c r="AL589">
        <v>0</v>
      </c>
      <c r="AM589" s="121">
        <v>57203</v>
      </c>
      <c r="AN589" s="125">
        <v>1</v>
      </c>
      <c r="AO589" s="125">
        <v>0</v>
      </c>
      <c r="AP589" s="121">
        <v>544486</v>
      </c>
      <c r="AQ589" s="114">
        <v>0</v>
      </c>
      <c r="AR589" s="121">
        <v>31.259130056</v>
      </c>
      <c r="AS589" s="121">
        <v>6142.5172169999996</v>
      </c>
      <c r="AT589" s="121">
        <v>808.96676303000004</v>
      </c>
      <c r="AU589" s="420" t="s">
        <v>2001</v>
      </c>
      <c r="AV589" s="420" t="s">
        <v>2001</v>
      </c>
      <c r="AW589" s="121">
        <v>0</v>
      </c>
      <c r="AX589" s="121">
        <v>0</v>
      </c>
      <c r="BI589">
        <v>0</v>
      </c>
      <c r="BJ589" s="121">
        <v>0</v>
      </c>
      <c r="BK589" s="134">
        <v>44768907</v>
      </c>
      <c r="BL589" s="934">
        <v>4480</v>
      </c>
      <c r="BM589" s="934">
        <v>4541</v>
      </c>
      <c r="BN589" s="934">
        <v>4457</v>
      </c>
      <c r="BO589" s="114">
        <v>0</v>
      </c>
      <c r="BP589" s="114">
        <v>0</v>
      </c>
    </row>
    <row r="590" spans="1:68">
      <c r="A590" t="s">
        <v>271</v>
      </c>
      <c r="B590" t="s">
        <v>2334</v>
      </c>
      <c r="C590" s="121">
        <v>4364</v>
      </c>
      <c r="D590" s="72">
        <v>2</v>
      </c>
      <c r="E590">
        <v>36.625999999999998</v>
      </c>
      <c r="F590">
        <v>12</v>
      </c>
      <c r="G590">
        <v>3</v>
      </c>
      <c r="H590">
        <v>0</v>
      </c>
      <c r="I590" s="173">
        <v>1.17</v>
      </c>
      <c r="J590" s="121">
        <v>24942539</v>
      </c>
      <c r="K590" s="125">
        <v>167.68299999999999</v>
      </c>
      <c r="L590" s="173">
        <v>1.5</v>
      </c>
      <c r="M590">
        <v>1.17</v>
      </c>
      <c r="N590">
        <v>1.000000005</v>
      </c>
      <c r="O590">
        <v>16.999999499999994</v>
      </c>
      <c r="P590">
        <v>65.855000000000004</v>
      </c>
      <c r="Q590" s="125">
        <v>0</v>
      </c>
      <c r="R590" s="125">
        <v>0</v>
      </c>
      <c r="S590" s="125">
        <v>9.1999999999999998E-2</v>
      </c>
      <c r="T590" s="125">
        <v>1.341</v>
      </c>
      <c r="U590" s="125">
        <v>0</v>
      </c>
      <c r="V590" s="125">
        <v>0</v>
      </c>
      <c r="W590" s="125">
        <v>0</v>
      </c>
      <c r="X590" s="125">
        <v>0</v>
      </c>
      <c r="Y590" s="125">
        <v>0</v>
      </c>
      <c r="Z590" s="125">
        <v>0</v>
      </c>
      <c r="AA590" s="125">
        <v>6.4489999999999998</v>
      </c>
      <c r="AB590" s="125">
        <v>2.72</v>
      </c>
      <c r="AC590" s="125">
        <v>52.1</v>
      </c>
      <c r="AD590" s="125">
        <v>0</v>
      </c>
      <c r="AE590" s="125">
        <v>2.0310000000000001</v>
      </c>
      <c r="AF590" s="125">
        <v>3.2927499999999998</v>
      </c>
      <c r="AG590" s="125">
        <v>0</v>
      </c>
      <c r="AH590" s="125">
        <v>0</v>
      </c>
      <c r="AI590" s="121">
        <v>289376</v>
      </c>
      <c r="AJ590" s="121">
        <v>0</v>
      </c>
      <c r="AK590" s="424">
        <v>12</v>
      </c>
      <c r="AL590">
        <v>0</v>
      </c>
      <c r="AM590" s="121">
        <v>12425</v>
      </c>
      <c r="AN590" s="125">
        <v>0</v>
      </c>
      <c r="AO590" s="125">
        <v>0</v>
      </c>
      <c r="AP590" s="121">
        <v>289376</v>
      </c>
      <c r="AQ590" s="114">
        <v>0</v>
      </c>
      <c r="AR590" s="121">
        <v>16.625685988000001</v>
      </c>
      <c r="AS590" s="121">
        <v>3266.9995051999999</v>
      </c>
      <c r="AT590" s="121">
        <v>430.26236984000002</v>
      </c>
      <c r="AU590" s="420" t="s">
        <v>2001</v>
      </c>
      <c r="AV590" s="420" t="s">
        <v>2001</v>
      </c>
      <c r="AW590" s="121">
        <v>0</v>
      </c>
      <c r="AX590" s="121">
        <v>0</v>
      </c>
      <c r="BI590">
        <v>0</v>
      </c>
      <c r="BJ590" s="121">
        <v>0</v>
      </c>
      <c r="BK590" s="134">
        <v>24035957</v>
      </c>
      <c r="BL590" s="934">
        <v>4354</v>
      </c>
      <c r="BM590" s="934">
        <v>4364</v>
      </c>
      <c r="BN590" s="934">
        <v>4364</v>
      </c>
      <c r="BO590" s="114">
        <v>0</v>
      </c>
      <c r="BP590" s="114">
        <v>0</v>
      </c>
    </row>
    <row r="591" spans="1:68">
      <c r="A591" t="s">
        <v>272</v>
      </c>
      <c r="B591" t="s">
        <v>2335</v>
      </c>
      <c r="C591" s="121">
        <v>5156</v>
      </c>
      <c r="D591" s="72">
        <v>2</v>
      </c>
      <c r="E591">
        <v>253.721</v>
      </c>
      <c r="F591">
        <v>77</v>
      </c>
      <c r="G591">
        <v>47</v>
      </c>
      <c r="H591">
        <v>5</v>
      </c>
      <c r="I591" s="173">
        <v>1.04</v>
      </c>
      <c r="J591" s="121">
        <v>546332418</v>
      </c>
      <c r="K591" s="125">
        <v>1226.914</v>
      </c>
      <c r="L591" s="173">
        <v>1.5</v>
      </c>
      <c r="M591">
        <v>1.04</v>
      </c>
      <c r="N591">
        <v>1.000000005</v>
      </c>
      <c r="O591">
        <v>3.9999995000000066</v>
      </c>
      <c r="P591">
        <v>825</v>
      </c>
      <c r="Q591" s="125">
        <v>0</v>
      </c>
      <c r="R591" s="125">
        <v>0</v>
      </c>
      <c r="S591" s="125">
        <v>1.4</v>
      </c>
      <c r="T591" s="125">
        <v>28</v>
      </c>
      <c r="U591" s="125">
        <v>0.8</v>
      </c>
      <c r="V591" s="125">
        <v>5</v>
      </c>
      <c r="W591" s="125">
        <v>0</v>
      </c>
      <c r="X591" s="125">
        <v>0</v>
      </c>
      <c r="Y591" s="125">
        <v>0</v>
      </c>
      <c r="Z591" s="125">
        <v>0</v>
      </c>
      <c r="AA591" s="125">
        <v>1.25</v>
      </c>
      <c r="AB591" s="125">
        <v>42</v>
      </c>
      <c r="AC591" s="125">
        <v>400</v>
      </c>
      <c r="AD591" s="125">
        <v>0</v>
      </c>
      <c r="AE591" s="125">
        <v>32</v>
      </c>
      <c r="AF591" s="125">
        <v>40</v>
      </c>
      <c r="AG591" s="125">
        <v>0</v>
      </c>
      <c r="AH591" s="125">
        <v>0</v>
      </c>
      <c r="AI591" s="121">
        <v>5879507</v>
      </c>
      <c r="AJ591" s="121">
        <v>832782</v>
      </c>
      <c r="AK591" s="424">
        <v>12</v>
      </c>
      <c r="AL591">
        <v>0</v>
      </c>
      <c r="AM591" s="121">
        <v>83297</v>
      </c>
      <c r="AN591" s="125">
        <v>0</v>
      </c>
      <c r="AO591" s="125">
        <v>0</v>
      </c>
      <c r="AP591" s="121">
        <v>6712289</v>
      </c>
      <c r="AQ591" s="114">
        <v>0</v>
      </c>
      <c r="AR591" s="121">
        <v>0</v>
      </c>
      <c r="AS591" s="121">
        <v>0</v>
      </c>
      <c r="AT591" s="121">
        <v>0</v>
      </c>
      <c r="AU591" s="420" t="s">
        <v>798</v>
      </c>
      <c r="AV591" s="420" t="s">
        <v>2001</v>
      </c>
      <c r="AW591" s="121">
        <v>0</v>
      </c>
      <c r="AX591" s="121">
        <v>821638</v>
      </c>
      <c r="AY591" s="134">
        <v>93337</v>
      </c>
      <c r="AZ591" s="134">
        <v>2597190</v>
      </c>
      <c r="BA591" s="114">
        <v>819</v>
      </c>
      <c r="BB591" s="134">
        <v>214182194</v>
      </c>
      <c r="BC591" s="114">
        <v>0</v>
      </c>
      <c r="BD591" s="114">
        <v>0</v>
      </c>
      <c r="BE591" s="114">
        <v>0</v>
      </c>
      <c r="BF591" s="114">
        <v>885</v>
      </c>
      <c r="BG591" s="114">
        <v>0</v>
      </c>
      <c r="BH591" s="114">
        <v>0</v>
      </c>
      <c r="BI591">
        <v>0</v>
      </c>
      <c r="BJ591" s="121">
        <v>0</v>
      </c>
      <c r="BK591" s="134">
        <v>543854954</v>
      </c>
      <c r="BL591" s="934">
        <v>4994</v>
      </c>
      <c r="BM591" s="934">
        <v>5156</v>
      </c>
      <c r="BN591" s="934">
        <v>5089</v>
      </c>
      <c r="BO591" s="114">
        <v>0</v>
      </c>
      <c r="BP591" s="114">
        <v>0</v>
      </c>
    </row>
    <row r="592" spans="1:68">
      <c r="A592" t="s">
        <v>2654</v>
      </c>
      <c r="B592" t="s">
        <v>667</v>
      </c>
      <c r="C592" s="121">
        <v>4521</v>
      </c>
      <c r="D592" s="72">
        <v>1</v>
      </c>
      <c r="E592">
        <v>68.286000000000001</v>
      </c>
      <c r="F592">
        <v>24</v>
      </c>
      <c r="G592">
        <v>14</v>
      </c>
      <c r="H592">
        <v>0</v>
      </c>
      <c r="I592" s="173">
        <v>1.04</v>
      </c>
      <c r="J592" s="121">
        <v>30757251</v>
      </c>
      <c r="K592" s="125">
        <v>400.858</v>
      </c>
      <c r="L592" s="173">
        <v>1.5</v>
      </c>
      <c r="M592">
        <v>1.04</v>
      </c>
      <c r="N592">
        <v>1.000000005</v>
      </c>
      <c r="O592">
        <v>3.9999995000000066</v>
      </c>
      <c r="P592">
        <v>234.63800000000001</v>
      </c>
      <c r="Q592" s="125">
        <v>0</v>
      </c>
      <c r="R592" s="125">
        <v>0</v>
      </c>
      <c r="S592" s="125">
        <v>0.32200000000000001</v>
      </c>
      <c r="T592" s="125">
        <v>6.95</v>
      </c>
      <c r="U592" s="125">
        <v>0.23300000000000001</v>
      </c>
      <c r="V592" s="125">
        <v>0.53700000000000003</v>
      </c>
      <c r="W592" s="125">
        <v>0</v>
      </c>
      <c r="X592" s="125">
        <v>0</v>
      </c>
      <c r="Y592" s="125">
        <v>0</v>
      </c>
      <c r="Z592" s="125">
        <v>0</v>
      </c>
      <c r="AA592" s="125">
        <v>6.7590000000000003</v>
      </c>
      <c r="AB592" s="125">
        <v>14.89</v>
      </c>
      <c r="AC592" s="125">
        <v>136.30000000000001</v>
      </c>
      <c r="AD592" s="125">
        <v>0</v>
      </c>
      <c r="AE592" s="125">
        <v>0</v>
      </c>
      <c r="AF592" s="125">
        <v>11</v>
      </c>
      <c r="AG592" s="125">
        <v>0</v>
      </c>
      <c r="AH592" s="125">
        <v>0</v>
      </c>
      <c r="AI592" s="121">
        <v>319372</v>
      </c>
      <c r="AJ592" s="121">
        <v>36445</v>
      </c>
      <c r="AK592" s="424">
        <v>12</v>
      </c>
      <c r="AL592">
        <v>0</v>
      </c>
      <c r="AM592" s="121">
        <v>19439</v>
      </c>
      <c r="AN592" s="125">
        <v>0</v>
      </c>
      <c r="AO592" s="125">
        <v>0</v>
      </c>
      <c r="AP592" s="121">
        <v>355817</v>
      </c>
      <c r="AQ592" s="114">
        <v>0</v>
      </c>
      <c r="AR592" s="121">
        <v>20.501538063999998</v>
      </c>
      <c r="AS592" s="121">
        <v>4028.6166091999999</v>
      </c>
      <c r="AT592" s="121">
        <v>530.56700091000005</v>
      </c>
      <c r="AU592" s="420" t="s">
        <v>2001</v>
      </c>
      <c r="AV592" s="420" t="s">
        <v>2001</v>
      </c>
      <c r="AW592" s="121">
        <v>0</v>
      </c>
      <c r="AX592" s="121">
        <v>137815</v>
      </c>
      <c r="BI592">
        <v>0</v>
      </c>
      <c r="BJ592" s="121">
        <v>0</v>
      </c>
      <c r="BK592" s="134">
        <v>30465152</v>
      </c>
      <c r="BL592" s="934">
        <v>4521</v>
      </c>
      <c r="BM592" s="934">
        <v>4470</v>
      </c>
      <c r="BN592" s="934">
        <v>4470</v>
      </c>
      <c r="BO592" s="114">
        <v>0</v>
      </c>
      <c r="BP592" s="114">
        <v>0</v>
      </c>
    </row>
    <row r="593" spans="1:68">
      <c r="A593" t="s">
        <v>2303</v>
      </c>
      <c r="B593" t="s">
        <v>226</v>
      </c>
      <c r="C593" s="121">
        <v>4486</v>
      </c>
      <c r="D593" s="72">
        <v>2</v>
      </c>
      <c r="E593">
        <v>868.39700000000005</v>
      </c>
      <c r="F593">
        <v>338</v>
      </c>
      <c r="G593">
        <v>225</v>
      </c>
      <c r="H593">
        <v>18</v>
      </c>
      <c r="I593" s="173">
        <v>1.04</v>
      </c>
      <c r="J593" s="121">
        <v>643256293</v>
      </c>
      <c r="K593" s="125">
        <v>5044.3159999999998</v>
      </c>
      <c r="L593" s="173">
        <v>1.5</v>
      </c>
      <c r="M593">
        <v>1.04</v>
      </c>
      <c r="N593">
        <v>1.000000005</v>
      </c>
      <c r="O593">
        <v>3.9999995000000066</v>
      </c>
      <c r="P593">
        <v>3621.7649999999999</v>
      </c>
      <c r="Q593" s="125">
        <v>0.438</v>
      </c>
      <c r="R593" s="125">
        <v>0.14099999999999999</v>
      </c>
      <c r="S593" s="125">
        <v>9.9290000000000003</v>
      </c>
      <c r="T593" s="125">
        <v>130.87200000000001</v>
      </c>
      <c r="U593" s="125">
        <v>23.422999999999998</v>
      </c>
      <c r="V593" s="125">
        <v>0</v>
      </c>
      <c r="W593" s="125">
        <v>5.1580000000000004</v>
      </c>
      <c r="X593" s="125">
        <v>0</v>
      </c>
      <c r="Y593" s="125">
        <v>0</v>
      </c>
      <c r="Z593" s="125">
        <v>3.7879999999999998</v>
      </c>
      <c r="AA593" s="125">
        <v>34.976999999999997</v>
      </c>
      <c r="AB593" s="125">
        <v>174.946</v>
      </c>
      <c r="AC593" s="125">
        <v>3023.2</v>
      </c>
      <c r="AD593" s="125">
        <v>2.294</v>
      </c>
      <c r="AE593" s="125">
        <v>128.917</v>
      </c>
      <c r="AF593" s="125">
        <v>181.08799999999999</v>
      </c>
      <c r="AG593" s="125">
        <v>0</v>
      </c>
      <c r="AH593" s="125">
        <v>0</v>
      </c>
      <c r="AI593" s="121">
        <v>6785225</v>
      </c>
      <c r="AJ593" s="121">
        <v>490286</v>
      </c>
      <c r="AK593" s="424">
        <v>12</v>
      </c>
      <c r="AL593">
        <v>0</v>
      </c>
      <c r="AM593" s="121">
        <v>226906</v>
      </c>
      <c r="AN593" s="125">
        <v>1</v>
      </c>
      <c r="AO593" s="125">
        <v>0</v>
      </c>
      <c r="AP593" s="121">
        <v>7275511</v>
      </c>
      <c r="AQ593" s="114">
        <v>0</v>
      </c>
      <c r="AR593" s="121">
        <v>428.76859144000002</v>
      </c>
      <c r="AS593" s="121">
        <v>84254.374651000006</v>
      </c>
      <c r="AT593" s="121">
        <v>11096.263360000001</v>
      </c>
      <c r="AU593" s="420" t="s">
        <v>2001</v>
      </c>
      <c r="AV593" s="420" t="s">
        <v>2001</v>
      </c>
      <c r="AW593" s="121">
        <v>0</v>
      </c>
      <c r="AX593" s="121">
        <v>1028062</v>
      </c>
      <c r="BI593">
        <v>0</v>
      </c>
      <c r="BJ593" s="121">
        <v>0</v>
      </c>
      <c r="BK593" s="134">
        <v>620345997</v>
      </c>
      <c r="BL593" s="934">
        <v>4439</v>
      </c>
      <c r="BM593" s="934">
        <v>4486</v>
      </c>
      <c r="BN593" s="934">
        <v>4486</v>
      </c>
      <c r="BO593" s="114">
        <v>0</v>
      </c>
      <c r="BP593" s="114">
        <v>0</v>
      </c>
    </row>
    <row r="594" spans="1:68">
      <c r="A594" t="s">
        <v>2370</v>
      </c>
      <c r="B594" t="s">
        <v>2786</v>
      </c>
      <c r="C594" s="121">
        <v>4628</v>
      </c>
      <c r="D594" s="72">
        <v>3</v>
      </c>
      <c r="E594">
        <v>923.65</v>
      </c>
      <c r="F594">
        <v>263</v>
      </c>
      <c r="G594">
        <v>200</v>
      </c>
      <c r="H594">
        <v>7</v>
      </c>
      <c r="I594" s="173">
        <v>1.04</v>
      </c>
      <c r="J594" s="121">
        <v>749466972</v>
      </c>
      <c r="K594" s="125">
        <v>4069.127</v>
      </c>
      <c r="L594" s="173">
        <v>1.4591000000000001</v>
      </c>
      <c r="M594">
        <v>1.04</v>
      </c>
      <c r="N594">
        <v>0.97273333819700003</v>
      </c>
      <c r="O594">
        <v>6.7266661803000005</v>
      </c>
      <c r="P594">
        <v>3031.6640000000002</v>
      </c>
      <c r="Q594" s="125">
        <v>0.107</v>
      </c>
      <c r="R594" s="125">
        <v>0</v>
      </c>
      <c r="S594" s="125">
        <v>7.5810000000000004</v>
      </c>
      <c r="T594" s="125">
        <v>105.5</v>
      </c>
      <c r="U594" s="125">
        <v>23.641999999999999</v>
      </c>
      <c r="V594" s="125">
        <v>0</v>
      </c>
      <c r="W594" s="125">
        <v>13.442</v>
      </c>
      <c r="X594" s="125">
        <v>0</v>
      </c>
      <c r="Y594" s="125">
        <v>0</v>
      </c>
      <c r="Z594" s="125">
        <v>4.6059999999999999</v>
      </c>
      <c r="AA594" s="125">
        <v>58.540999999999997</v>
      </c>
      <c r="AB594" s="125">
        <v>213.45699999999999</v>
      </c>
      <c r="AC594" s="125">
        <v>1253.4000000000001</v>
      </c>
      <c r="AD594" s="125">
        <v>0.48899999999999999</v>
      </c>
      <c r="AE594" s="125">
        <v>33.841999999999999</v>
      </c>
      <c r="AF594" s="125">
        <v>151.583</v>
      </c>
      <c r="AG594" s="125">
        <v>0</v>
      </c>
      <c r="AH594" s="125">
        <v>0</v>
      </c>
      <c r="AI594" s="121">
        <v>8109985</v>
      </c>
      <c r="AJ594" s="121">
        <v>600166</v>
      </c>
      <c r="AK594" s="424">
        <v>12</v>
      </c>
      <c r="AL594">
        <v>0</v>
      </c>
      <c r="AM594" s="121">
        <v>475788</v>
      </c>
      <c r="AN594" s="125">
        <v>0.76</v>
      </c>
      <c r="AO594" s="125">
        <v>0</v>
      </c>
      <c r="AP594" s="121">
        <v>8710151</v>
      </c>
      <c r="AQ594" s="114">
        <v>0</v>
      </c>
      <c r="AR594" s="121">
        <v>499.56432835999999</v>
      </c>
      <c r="AS594" s="121">
        <v>98165.959271</v>
      </c>
      <c r="AT594" s="121">
        <v>12928.412816</v>
      </c>
      <c r="AU594" s="420" t="s">
        <v>2001</v>
      </c>
      <c r="AV594" s="420" t="s">
        <v>2001</v>
      </c>
      <c r="AW594" s="121">
        <v>0</v>
      </c>
      <c r="AX594" s="121">
        <v>1329960</v>
      </c>
      <c r="BI594">
        <v>0</v>
      </c>
      <c r="BJ594" s="121">
        <v>0</v>
      </c>
      <c r="BK594" s="134">
        <v>749466972</v>
      </c>
      <c r="BL594" s="934">
        <v>4368</v>
      </c>
      <c r="BM594" s="934">
        <v>4557</v>
      </c>
      <c r="BN594" s="934">
        <v>4628</v>
      </c>
      <c r="BO594" s="114">
        <v>0</v>
      </c>
      <c r="BP594" s="114">
        <v>0</v>
      </c>
    </row>
    <row r="595" spans="1:68">
      <c r="A595" t="s">
        <v>2874</v>
      </c>
      <c r="B595" t="s">
        <v>2411</v>
      </c>
      <c r="C595" s="121">
        <v>4585</v>
      </c>
      <c r="D595" s="72">
        <v>1</v>
      </c>
      <c r="E595">
        <v>327.32499999999999</v>
      </c>
      <c r="F595">
        <v>82</v>
      </c>
      <c r="G595">
        <v>43</v>
      </c>
      <c r="H595">
        <v>2</v>
      </c>
      <c r="I595" s="173">
        <v>1.04</v>
      </c>
      <c r="J595" s="121">
        <v>119098003</v>
      </c>
      <c r="K595" s="125">
        <v>1670.1179999999999</v>
      </c>
      <c r="L595" s="173">
        <v>1.47</v>
      </c>
      <c r="M595">
        <v>1.04</v>
      </c>
      <c r="N595">
        <v>0.98000000490000005</v>
      </c>
      <c r="O595">
        <v>5.9999995099999985</v>
      </c>
      <c r="P595">
        <v>1074.1179999999999</v>
      </c>
      <c r="Q595" s="125">
        <v>0</v>
      </c>
      <c r="R595" s="125">
        <v>0</v>
      </c>
      <c r="S595" s="125">
        <v>1.8009999999999999</v>
      </c>
      <c r="T595" s="125">
        <v>50.008000000000003</v>
      </c>
      <c r="U595" s="125">
        <v>0.83199999999999996</v>
      </c>
      <c r="V595" s="125">
        <v>6.5289999999999999</v>
      </c>
      <c r="W595" s="125">
        <v>0</v>
      </c>
      <c r="X595" s="125">
        <v>0</v>
      </c>
      <c r="Y595" s="125">
        <v>0</v>
      </c>
      <c r="Z595" s="125">
        <v>0</v>
      </c>
      <c r="AA595" s="125">
        <v>20.231000000000002</v>
      </c>
      <c r="AB595" s="125">
        <v>98.656999999999996</v>
      </c>
      <c r="AC595" s="125">
        <v>725.2</v>
      </c>
      <c r="AD595" s="125">
        <v>0.40200000000000002</v>
      </c>
      <c r="AE595" s="125">
        <v>29.693000000000001</v>
      </c>
      <c r="AF595" s="125">
        <v>53.7059</v>
      </c>
      <c r="AG595" s="125">
        <v>0</v>
      </c>
      <c r="AH595" s="125">
        <v>0</v>
      </c>
      <c r="AI595" s="121">
        <v>1248528</v>
      </c>
      <c r="AJ595" s="121">
        <v>194553</v>
      </c>
      <c r="AK595" s="424">
        <v>12</v>
      </c>
      <c r="AL595">
        <v>0</v>
      </c>
      <c r="AM595" s="121">
        <v>137180</v>
      </c>
      <c r="AN595" s="125">
        <v>0</v>
      </c>
      <c r="AO595" s="125">
        <v>0</v>
      </c>
      <c r="AP595" s="121">
        <v>1443081</v>
      </c>
      <c r="AQ595" s="114">
        <v>0</v>
      </c>
      <c r="AR595" s="121">
        <v>79.385905050000005</v>
      </c>
      <c r="AS595" s="121">
        <v>15599.579632999999</v>
      </c>
      <c r="AT595" s="121">
        <v>2054.4576424000002</v>
      </c>
      <c r="AU595" s="420" t="s">
        <v>2001</v>
      </c>
      <c r="AV595" s="420" t="s">
        <v>2001</v>
      </c>
      <c r="AW595" s="121">
        <v>0</v>
      </c>
      <c r="AX595" s="121">
        <v>583448</v>
      </c>
      <c r="BI595">
        <v>0</v>
      </c>
      <c r="BJ595" s="121">
        <v>0</v>
      </c>
      <c r="BK595" s="134">
        <v>119098003</v>
      </c>
      <c r="BL595" s="934">
        <v>4585</v>
      </c>
      <c r="BM595" s="934">
        <v>4368</v>
      </c>
      <c r="BN595" s="934">
        <v>4441</v>
      </c>
      <c r="BO595" s="114">
        <v>0</v>
      </c>
      <c r="BP595" s="114">
        <v>0</v>
      </c>
    </row>
    <row r="596" spans="1:68">
      <c r="A596" t="s">
        <v>1754</v>
      </c>
      <c r="B596" t="s">
        <v>2787</v>
      </c>
      <c r="C596" s="121">
        <v>4447</v>
      </c>
      <c r="D596" s="72">
        <v>1</v>
      </c>
      <c r="E596">
        <v>55.561999999999998</v>
      </c>
      <c r="F596">
        <v>20</v>
      </c>
      <c r="G596">
        <v>11</v>
      </c>
      <c r="H596">
        <v>0</v>
      </c>
      <c r="I596" s="173">
        <v>1.04</v>
      </c>
      <c r="J596" s="121">
        <v>36130237</v>
      </c>
      <c r="K596" s="125">
        <v>361.40899999999999</v>
      </c>
      <c r="L596" s="173">
        <v>1.5</v>
      </c>
      <c r="M596">
        <v>1.04</v>
      </c>
      <c r="N596">
        <v>1.000000005</v>
      </c>
      <c r="O596">
        <v>3.9999995000000066</v>
      </c>
      <c r="P596">
        <v>198.01900000000001</v>
      </c>
      <c r="Q596" s="125">
        <v>0</v>
      </c>
      <c r="R596" s="125">
        <v>0</v>
      </c>
      <c r="S596" s="125">
        <v>0.33400000000000002</v>
      </c>
      <c r="T596" s="125">
        <v>6.2569999999999997</v>
      </c>
      <c r="U596" s="125">
        <v>0</v>
      </c>
      <c r="V596" s="125">
        <v>0</v>
      </c>
      <c r="W596" s="125">
        <v>0</v>
      </c>
      <c r="X596" s="125">
        <v>0</v>
      </c>
      <c r="Y596" s="125">
        <v>0</v>
      </c>
      <c r="Z596" s="125">
        <v>0</v>
      </c>
      <c r="AA596" s="125">
        <v>5.5460000000000003</v>
      </c>
      <c r="AB596" s="125">
        <v>11.384</v>
      </c>
      <c r="AC596" s="125">
        <v>158</v>
      </c>
      <c r="AD596" s="125">
        <v>0.251</v>
      </c>
      <c r="AE596" s="125">
        <v>58.222000000000001</v>
      </c>
      <c r="AF596" s="125">
        <v>9.9009499999999999</v>
      </c>
      <c r="AG596" s="125">
        <v>0</v>
      </c>
      <c r="AH596" s="125">
        <v>0</v>
      </c>
      <c r="AI596" s="121">
        <v>386651</v>
      </c>
      <c r="AJ596" s="121">
        <v>0</v>
      </c>
      <c r="AK596" s="424">
        <v>12</v>
      </c>
      <c r="AL596">
        <v>0</v>
      </c>
      <c r="AM596" s="121">
        <v>9880</v>
      </c>
      <c r="AN596" s="125">
        <v>0</v>
      </c>
      <c r="AO596" s="125">
        <v>0</v>
      </c>
      <c r="AP596" s="121">
        <v>386651</v>
      </c>
      <c r="AQ596" s="114">
        <v>0</v>
      </c>
      <c r="AR596" s="121">
        <v>24.082952624000001</v>
      </c>
      <c r="AS596" s="121">
        <v>4732.3758168000004</v>
      </c>
      <c r="AT596" s="121">
        <v>623.25177296000004</v>
      </c>
      <c r="AU596" s="420" t="s">
        <v>2001</v>
      </c>
      <c r="AV596" s="420" t="s">
        <v>2001</v>
      </c>
      <c r="AW596" s="121">
        <v>0</v>
      </c>
      <c r="AX596" s="121">
        <v>0</v>
      </c>
      <c r="BI596">
        <v>0</v>
      </c>
      <c r="BJ596" s="121">
        <v>0</v>
      </c>
      <c r="BK596" s="134">
        <v>36130237</v>
      </c>
      <c r="BL596" s="934">
        <v>4447</v>
      </c>
      <c r="BM596" s="934">
        <v>4404</v>
      </c>
      <c r="BN596" s="934">
        <v>4404</v>
      </c>
      <c r="BO596" s="114">
        <v>0</v>
      </c>
      <c r="BP596" s="114">
        <v>0</v>
      </c>
    </row>
    <row r="597" spans="1:68">
      <c r="A597" t="s">
        <v>1755</v>
      </c>
      <c r="B597" t="s">
        <v>1064</v>
      </c>
      <c r="C597" s="121">
        <v>4327</v>
      </c>
      <c r="D597" s="72">
        <v>1</v>
      </c>
      <c r="E597">
        <v>388.18700000000001</v>
      </c>
      <c r="F597">
        <v>105</v>
      </c>
      <c r="G597">
        <v>90</v>
      </c>
      <c r="H597">
        <v>0</v>
      </c>
      <c r="I597" s="173">
        <v>1.04</v>
      </c>
      <c r="J597" s="121">
        <v>192111513</v>
      </c>
      <c r="K597" s="125">
        <v>1960.0730000000001</v>
      </c>
      <c r="L597" s="173">
        <v>1.375</v>
      </c>
      <c r="M597">
        <v>1.04</v>
      </c>
      <c r="N597">
        <v>0.91666667125000001</v>
      </c>
      <c r="O597">
        <v>12.333332875000004</v>
      </c>
      <c r="P597">
        <v>1296.8009999999999</v>
      </c>
      <c r="Q597" s="125">
        <v>0.14899999999999999</v>
      </c>
      <c r="R597" s="125">
        <v>0</v>
      </c>
      <c r="S597" s="125">
        <v>2.6629999999999998</v>
      </c>
      <c r="T597" s="125">
        <v>41.609000000000002</v>
      </c>
      <c r="U597" s="125">
        <v>1.9419999999999999</v>
      </c>
      <c r="V597" s="125">
        <v>0</v>
      </c>
      <c r="W597" s="125">
        <v>0</v>
      </c>
      <c r="X597" s="125">
        <v>0</v>
      </c>
      <c r="Y597" s="125">
        <v>0</v>
      </c>
      <c r="Z597" s="125">
        <v>0</v>
      </c>
      <c r="AA597" s="125">
        <v>64.474999999999994</v>
      </c>
      <c r="AB597" s="125">
        <v>60.902999999999999</v>
      </c>
      <c r="AC597" s="125">
        <v>1146.4000000000001</v>
      </c>
      <c r="AD597" s="125">
        <v>1.0269999999999999</v>
      </c>
      <c r="AE597" s="125">
        <v>74.742000000000004</v>
      </c>
      <c r="AF597" s="125">
        <v>64.84</v>
      </c>
      <c r="AG597" s="125">
        <v>0</v>
      </c>
      <c r="AH597" s="125">
        <v>0</v>
      </c>
      <c r="AI597" s="121">
        <v>2163326</v>
      </c>
      <c r="AJ597" s="121">
        <v>0</v>
      </c>
      <c r="AK597" s="424">
        <v>12</v>
      </c>
      <c r="AL597">
        <v>0</v>
      </c>
      <c r="AM597" s="121">
        <v>64260</v>
      </c>
      <c r="AN597" s="125">
        <v>0</v>
      </c>
      <c r="AO597" s="125">
        <v>0</v>
      </c>
      <c r="AP597" s="121">
        <v>2163326</v>
      </c>
      <c r="AQ597" s="114">
        <v>0</v>
      </c>
      <c r="AR597" s="121">
        <v>128.05375359999999</v>
      </c>
      <c r="AS597" s="121">
        <v>25162.9647</v>
      </c>
      <c r="AT597" s="121">
        <v>3313.9511674</v>
      </c>
      <c r="AU597" s="420" t="s">
        <v>2001</v>
      </c>
      <c r="AV597" s="420" t="s">
        <v>2001</v>
      </c>
      <c r="AW597" s="121">
        <v>0</v>
      </c>
      <c r="AX597" s="121">
        <v>0</v>
      </c>
      <c r="BI597">
        <v>0</v>
      </c>
      <c r="BJ597" s="121">
        <v>0</v>
      </c>
      <c r="BK597" s="134">
        <v>192111513</v>
      </c>
      <c r="BL597" s="934">
        <v>4327</v>
      </c>
      <c r="BM597" s="934">
        <v>4282</v>
      </c>
      <c r="BN597" s="934">
        <v>4313</v>
      </c>
      <c r="BO597" s="114">
        <v>0</v>
      </c>
      <c r="BP597" s="114">
        <v>0</v>
      </c>
    </row>
    <row r="598" spans="1:68">
      <c r="A598" t="s">
        <v>1592</v>
      </c>
      <c r="B598" t="s">
        <v>934</v>
      </c>
      <c r="C598" s="121">
        <v>4476</v>
      </c>
      <c r="D598" s="72">
        <v>2</v>
      </c>
      <c r="E598">
        <v>185.51499999999999</v>
      </c>
      <c r="F598">
        <v>69</v>
      </c>
      <c r="G598">
        <v>61</v>
      </c>
      <c r="H598">
        <v>0</v>
      </c>
      <c r="I598" s="173">
        <v>1.04</v>
      </c>
      <c r="J598" s="121">
        <v>97051243</v>
      </c>
      <c r="K598" s="125">
        <v>1343.0329999999999</v>
      </c>
      <c r="L598" s="173">
        <v>1.5</v>
      </c>
      <c r="M598">
        <v>1.04</v>
      </c>
      <c r="N598">
        <v>1.000000005</v>
      </c>
      <c r="O598">
        <v>3.9999995000000066</v>
      </c>
      <c r="P598">
        <v>688.33199999999999</v>
      </c>
      <c r="Q598" s="125">
        <v>0</v>
      </c>
      <c r="R598" s="125">
        <v>0</v>
      </c>
      <c r="S598" s="125">
        <v>1.5369999999999999</v>
      </c>
      <c r="T598" s="125">
        <v>21.372</v>
      </c>
      <c r="U598" s="125">
        <v>3.8450000000000002</v>
      </c>
      <c r="V598" s="125">
        <v>0</v>
      </c>
      <c r="W598" s="125">
        <v>1.28</v>
      </c>
      <c r="X598" s="125">
        <v>0</v>
      </c>
      <c r="Y598" s="125">
        <v>0</v>
      </c>
      <c r="Z598" s="125">
        <v>0</v>
      </c>
      <c r="AA598" s="125">
        <v>27.66</v>
      </c>
      <c r="AB598" s="125">
        <v>36.039000000000001</v>
      </c>
      <c r="AC598" s="125">
        <v>681.4</v>
      </c>
      <c r="AD598" s="125">
        <v>7.5999999999999998E-2</v>
      </c>
      <c r="AE598" s="125">
        <v>124.592</v>
      </c>
      <c r="AF598" s="125">
        <v>34.416600000000003</v>
      </c>
      <c r="AG598" s="125">
        <v>0</v>
      </c>
      <c r="AH598" s="125">
        <v>0</v>
      </c>
      <c r="AI598" s="121">
        <v>1049595</v>
      </c>
      <c r="AJ598" s="121">
        <v>53295</v>
      </c>
      <c r="AK598" s="424">
        <v>12</v>
      </c>
      <c r="AL598">
        <v>0</v>
      </c>
      <c r="AM598" s="121">
        <v>43122</v>
      </c>
      <c r="AN598" s="125">
        <v>0</v>
      </c>
      <c r="AO598" s="125">
        <v>0</v>
      </c>
      <c r="AP598" s="121">
        <v>1102890</v>
      </c>
      <c r="AQ598" s="114">
        <v>0</v>
      </c>
      <c r="AR598" s="121">
        <v>64.690427779999993</v>
      </c>
      <c r="AS598" s="121">
        <v>12711.872202</v>
      </c>
      <c r="AT598" s="121">
        <v>1674.1478686999999</v>
      </c>
      <c r="AU598" s="420" t="s">
        <v>2001</v>
      </c>
      <c r="AV598" s="420" t="s">
        <v>2001</v>
      </c>
      <c r="AW598" s="121">
        <v>0</v>
      </c>
      <c r="AX598" s="121">
        <v>181262</v>
      </c>
      <c r="BI598">
        <v>0</v>
      </c>
      <c r="BJ598" s="121">
        <v>0</v>
      </c>
      <c r="BK598" s="134">
        <v>97051243</v>
      </c>
      <c r="BL598" s="934">
        <v>4389</v>
      </c>
      <c r="BM598" s="934">
        <v>4476</v>
      </c>
      <c r="BN598" s="934">
        <v>4397</v>
      </c>
      <c r="BO598" s="114">
        <v>0</v>
      </c>
      <c r="BP598" s="114">
        <v>0</v>
      </c>
    </row>
    <row r="599" spans="1:68">
      <c r="A599" t="s">
        <v>2584</v>
      </c>
      <c r="B599" t="s">
        <v>1067</v>
      </c>
      <c r="C599" s="121">
        <v>4705</v>
      </c>
      <c r="D599" s="72">
        <v>1</v>
      </c>
      <c r="E599">
        <v>107.664</v>
      </c>
      <c r="F599">
        <v>37</v>
      </c>
      <c r="G599">
        <v>32</v>
      </c>
      <c r="H599">
        <v>3</v>
      </c>
      <c r="I599" s="173">
        <v>1.0266999999999999</v>
      </c>
      <c r="J599" s="121">
        <v>54287733</v>
      </c>
      <c r="K599" s="125">
        <v>577.74699999999996</v>
      </c>
      <c r="L599" s="173">
        <v>1.48</v>
      </c>
      <c r="M599">
        <v>1.0266999999999999</v>
      </c>
      <c r="N599">
        <v>0.98666667159999999</v>
      </c>
      <c r="O599">
        <v>4.0033328399999952</v>
      </c>
      <c r="P599">
        <v>325</v>
      </c>
      <c r="Q599" s="125">
        <v>0</v>
      </c>
      <c r="R599" s="125">
        <v>0</v>
      </c>
      <c r="S599" s="125">
        <v>0.99199999999999999</v>
      </c>
      <c r="T599" s="125">
        <v>13</v>
      </c>
      <c r="U599" s="125">
        <v>1.5</v>
      </c>
      <c r="V599" s="125">
        <v>0</v>
      </c>
      <c r="W599" s="125">
        <v>0</v>
      </c>
      <c r="X599" s="125">
        <v>0</v>
      </c>
      <c r="Y599" s="125">
        <v>0</v>
      </c>
      <c r="Z599" s="125">
        <v>0</v>
      </c>
      <c r="AA599" s="125">
        <v>11.5</v>
      </c>
      <c r="AB599" s="125">
        <v>26.5</v>
      </c>
      <c r="AC599" s="125">
        <v>196</v>
      </c>
      <c r="AD599" s="125">
        <v>0.2</v>
      </c>
      <c r="AE599" s="125">
        <v>26</v>
      </c>
      <c r="AF599" s="125">
        <v>16.25</v>
      </c>
      <c r="AG599" s="125">
        <v>0</v>
      </c>
      <c r="AH599" s="125">
        <v>0</v>
      </c>
      <c r="AI599" s="121">
        <v>544274</v>
      </c>
      <c r="AJ599" s="121">
        <v>0</v>
      </c>
      <c r="AK599" s="424">
        <v>12</v>
      </c>
      <c r="AL599">
        <v>0</v>
      </c>
      <c r="AM599" s="121">
        <v>57020</v>
      </c>
      <c r="AN599" s="125">
        <v>0</v>
      </c>
      <c r="AO599" s="125">
        <v>0</v>
      </c>
      <c r="AP599" s="121">
        <v>544274</v>
      </c>
      <c r="AQ599" s="114">
        <v>0</v>
      </c>
      <c r="AR599" s="121">
        <v>36.186004036999996</v>
      </c>
      <c r="AS599" s="121">
        <v>7110.6634256999996</v>
      </c>
      <c r="AT599" s="121">
        <v>936.47118456999999</v>
      </c>
      <c r="AU599" s="420" t="s">
        <v>2001</v>
      </c>
      <c r="AV599" s="420" t="s">
        <v>2001</v>
      </c>
      <c r="AW599" s="121">
        <v>0</v>
      </c>
      <c r="AX599" s="121">
        <v>0</v>
      </c>
      <c r="BI599">
        <v>0</v>
      </c>
      <c r="BJ599" s="121">
        <v>0</v>
      </c>
      <c r="BK599" s="134">
        <v>54287733</v>
      </c>
      <c r="BL599" s="934">
        <v>4705</v>
      </c>
      <c r="BM599" s="934">
        <v>4654</v>
      </c>
      <c r="BN599" s="934">
        <v>4671</v>
      </c>
      <c r="BO599" s="114">
        <v>0</v>
      </c>
      <c r="BP599" s="114">
        <v>0</v>
      </c>
    </row>
    <row r="600" spans="1:68">
      <c r="A600" t="s">
        <v>2585</v>
      </c>
      <c r="B600" t="s">
        <v>1068</v>
      </c>
      <c r="C600" s="121">
        <v>5469</v>
      </c>
      <c r="D600" s="72">
        <v>1</v>
      </c>
      <c r="E600">
        <v>120.79900000000001</v>
      </c>
      <c r="F600">
        <v>39</v>
      </c>
      <c r="G600">
        <v>19</v>
      </c>
      <c r="H600">
        <v>2</v>
      </c>
      <c r="I600" s="173">
        <v>0.91</v>
      </c>
      <c r="J600" s="121">
        <v>411166810</v>
      </c>
      <c r="K600" s="125">
        <v>739.14400000000001</v>
      </c>
      <c r="L600" s="173">
        <v>1.2669999999999999</v>
      </c>
      <c r="M600">
        <v>0.91</v>
      </c>
      <c r="N600">
        <v>0.84466667088999992</v>
      </c>
      <c r="O600">
        <v>6.5333329110000111</v>
      </c>
      <c r="P600">
        <v>368.24599999999998</v>
      </c>
      <c r="Q600" s="125">
        <v>0</v>
      </c>
      <c r="R600" s="125">
        <v>0</v>
      </c>
      <c r="S600" s="125">
        <v>0.622</v>
      </c>
      <c r="T600" s="125">
        <v>19.8</v>
      </c>
      <c r="U600" s="125">
        <v>0</v>
      </c>
      <c r="V600" s="125">
        <v>0</v>
      </c>
      <c r="W600" s="125">
        <v>0</v>
      </c>
      <c r="X600" s="125">
        <v>0</v>
      </c>
      <c r="Y600" s="125">
        <v>0</v>
      </c>
      <c r="Z600" s="125">
        <v>0</v>
      </c>
      <c r="AA600" s="125">
        <v>2.56</v>
      </c>
      <c r="AB600" s="125">
        <v>21.07</v>
      </c>
      <c r="AC600" s="125">
        <v>269</v>
      </c>
      <c r="AD600" s="125">
        <v>0.11799999999999999</v>
      </c>
      <c r="AE600" s="125">
        <v>26.722999999999999</v>
      </c>
      <c r="AF600" s="125">
        <v>18.411999999999999</v>
      </c>
      <c r="AG600" s="125">
        <v>0</v>
      </c>
      <c r="AH600" s="125">
        <v>0</v>
      </c>
      <c r="AI600" s="121">
        <v>3508004</v>
      </c>
      <c r="AJ600" s="121">
        <v>326498</v>
      </c>
      <c r="AK600" s="424">
        <v>12</v>
      </c>
      <c r="AL600">
        <v>0</v>
      </c>
      <c r="AM600" s="121">
        <v>51694</v>
      </c>
      <c r="AN600" s="125">
        <v>0</v>
      </c>
      <c r="AO600" s="125">
        <v>0</v>
      </c>
      <c r="AP600" s="121">
        <v>3834502</v>
      </c>
      <c r="AQ600" s="114">
        <v>0</v>
      </c>
      <c r="AR600" s="121">
        <v>0</v>
      </c>
      <c r="AS600" s="121">
        <v>0</v>
      </c>
      <c r="AT600" s="121">
        <v>0</v>
      </c>
      <c r="AU600" s="420" t="s">
        <v>798</v>
      </c>
      <c r="AV600" s="420" t="s">
        <v>2001</v>
      </c>
      <c r="AW600" s="121">
        <v>0</v>
      </c>
      <c r="AX600" s="121">
        <v>326625</v>
      </c>
      <c r="AY600" s="134">
        <v>1836642</v>
      </c>
      <c r="AZ600" s="134">
        <v>2063208</v>
      </c>
      <c r="BA600" s="114">
        <v>794</v>
      </c>
      <c r="BB600" s="134">
        <v>564395797</v>
      </c>
      <c r="BC600" s="114">
        <v>0</v>
      </c>
      <c r="BD600" s="114">
        <v>0</v>
      </c>
      <c r="BE600" s="114">
        <v>0</v>
      </c>
      <c r="BF600" s="114">
        <v>378</v>
      </c>
      <c r="BG600" s="114">
        <v>0</v>
      </c>
      <c r="BH600" s="114">
        <v>0</v>
      </c>
      <c r="BI600">
        <v>0</v>
      </c>
      <c r="BJ600" s="121">
        <v>0</v>
      </c>
      <c r="BK600" s="134">
        <v>367138042</v>
      </c>
      <c r="BL600" s="934">
        <v>5469</v>
      </c>
      <c r="BM600" s="934">
        <v>5184</v>
      </c>
      <c r="BN600" s="934">
        <v>5420</v>
      </c>
      <c r="BO600" s="114">
        <v>0</v>
      </c>
      <c r="BP600" s="114">
        <v>0</v>
      </c>
    </row>
    <row r="601" spans="1:68">
      <c r="A601" t="s">
        <v>2586</v>
      </c>
      <c r="B601" t="s">
        <v>1069</v>
      </c>
      <c r="C601" s="121">
        <v>4852</v>
      </c>
      <c r="D601" s="72">
        <v>3</v>
      </c>
      <c r="E601">
        <v>1022.391</v>
      </c>
      <c r="F601">
        <v>233</v>
      </c>
      <c r="G601">
        <v>214</v>
      </c>
      <c r="H601">
        <v>17</v>
      </c>
      <c r="I601" s="173">
        <v>1.04</v>
      </c>
      <c r="J601" s="121">
        <v>842582792</v>
      </c>
      <c r="K601" s="125">
        <v>4403.8249999999998</v>
      </c>
      <c r="L601" s="173">
        <v>1.45</v>
      </c>
      <c r="M601">
        <v>1.04</v>
      </c>
      <c r="N601">
        <v>0.96666667149999996</v>
      </c>
      <c r="O601">
        <v>7.3333328500000068</v>
      </c>
      <c r="P601">
        <v>3200</v>
      </c>
      <c r="Q601" s="125">
        <v>2.5000000000000001E-2</v>
      </c>
      <c r="R601" s="125">
        <v>0</v>
      </c>
      <c r="S601" s="125">
        <v>5.5</v>
      </c>
      <c r="T601" s="125">
        <v>50</v>
      </c>
      <c r="U601" s="125">
        <v>21</v>
      </c>
      <c r="V601" s="125">
        <v>0.5</v>
      </c>
      <c r="W601" s="125">
        <v>13</v>
      </c>
      <c r="X601" s="125">
        <v>0</v>
      </c>
      <c r="Y601" s="125">
        <v>0</v>
      </c>
      <c r="Z601" s="125">
        <v>15.5</v>
      </c>
      <c r="AA601" s="125">
        <v>240</v>
      </c>
      <c r="AB601" s="125">
        <v>160</v>
      </c>
      <c r="AC601" s="125">
        <v>1550</v>
      </c>
      <c r="AD601" s="125">
        <v>0.5</v>
      </c>
      <c r="AE601" s="125">
        <v>85</v>
      </c>
      <c r="AF601" s="125">
        <v>155</v>
      </c>
      <c r="AG601" s="125">
        <v>0</v>
      </c>
      <c r="AH601" s="125">
        <v>0</v>
      </c>
      <c r="AI601" s="121">
        <v>8924974</v>
      </c>
      <c r="AJ601" s="121">
        <v>375042</v>
      </c>
      <c r="AK601" s="424">
        <v>12</v>
      </c>
      <c r="AL601">
        <v>0</v>
      </c>
      <c r="AM601" s="121">
        <v>425321</v>
      </c>
      <c r="AN601" s="125">
        <v>0</v>
      </c>
      <c r="AO601" s="125">
        <v>0</v>
      </c>
      <c r="AP601" s="121">
        <v>9300016</v>
      </c>
      <c r="AQ601" s="114">
        <v>0</v>
      </c>
      <c r="AR601" s="121">
        <v>561.63156256000002</v>
      </c>
      <c r="AS601" s="121">
        <v>110362.36569999999</v>
      </c>
      <c r="AT601" s="121">
        <v>14534.674073</v>
      </c>
      <c r="AU601" s="420" t="s">
        <v>2001</v>
      </c>
      <c r="AV601" s="420" t="s">
        <v>2001</v>
      </c>
      <c r="AW601" s="121">
        <v>0</v>
      </c>
      <c r="AX601" s="121">
        <v>3932900</v>
      </c>
      <c r="BI601">
        <v>0</v>
      </c>
      <c r="BJ601" s="121">
        <v>0</v>
      </c>
      <c r="BK601" s="134">
        <v>842582792</v>
      </c>
      <c r="BL601" s="934">
        <v>4657</v>
      </c>
      <c r="BM601" s="934">
        <v>4767</v>
      </c>
      <c r="BN601" s="934">
        <v>4852</v>
      </c>
      <c r="BO601" s="114">
        <v>0</v>
      </c>
      <c r="BP601" s="114">
        <v>0</v>
      </c>
    </row>
    <row r="602" spans="1:68">
      <c r="A602" t="s">
        <v>2587</v>
      </c>
      <c r="B602" t="s">
        <v>1070</v>
      </c>
      <c r="C602" s="121">
        <v>4454</v>
      </c>
      <c r="D602" s="72">
        <v>3</v>
      </c>
      <c r="E602">
        <v>97.921000000000006</v>
      </c>
      <c r="F602">
        <v>27</v>
      </c>
      <c r="G602">
        <v>38</v>
      </c>
      <c r="H602">
        <v>1</v>
      </c>
      <c r="I602" s="173">
        <v>1.04</v>
      </c>
      <c r="J602" s="121">
        <v>72120397</v>
      </c>
      <c r="K602" s="125">
        <v>642.38499999999999</v>
      </c>
      <c r="L602" s="173">
        <v>1.45</v>
      </c>
      <c r="M602">
        <v>1.04</v>
      </c>
      <c r="N602">
        <v>0.96666667149999996</v>
      </c>
      <c r="O602">
        <v>7.3333328500000068</v>
      </c>
      <c r="P602">
        <v>312</v>
      </c>
      <c r="Q602" s="125">
        <v>0</v>
      </c>
      <c r="R602" s="125">
        <v>0</v>
      </c>
      <c r="S602" s="125">
        <v>0.5</v>
      </c>
      <c r="T602" s="125">
        <v>17</v>
      </c>
      <c r="U602" s="125">
        <v>1.5</v>
      </c>
      <c r="V602" s="125">
        <v>0</v>
      </c>
      <c r="W602" s="125">
        <v>1</v>
      </c>
      <c r="X602" s="125">
        <v>0</v>
      </c>
      <c r="Y602" s="125">
        <v>0</v>
      </c>
      <c r="Z602" s="125">
        <v>19</v>
      </c>
      <c r="AA602" s="125">
        <v>0.7</v>
      </c>
      <c r="AB602" s="125">
        <v>26</v>
      </c>
      <c r="AC602" s="125">
        <v>225</v>
      </c>
      <c r="AD602" s="125">
        <v>0.4</v>
      </c>
      <c r="AE602" s="125">
        <v>30</v>
      </c>
      <c r="AF602" s="125">
        <v>15.6</v>
      </c>
      <c r="AG602" s="125">
        <v>0</v>
      </c>
      <c r="AH602" s="125">
        <v>0</v>
      </c>
      <c r="AI602" s="121">
        <v>763928</v>
      </c>
      <c r="AJ602" s="121">
        <v>0</v>
      </c>
      <c r="AK602" s="424">
        <v>12</v>
      </c>
      <c r="AL602">
        <v>0</v>
      </c>
      <c r="AM602" s="121">
        <v>17926</v>
      </c>
      <c r="AN602" s="125">
        <v>0</v>
      </c>
      <c r="AO602" s="125">
        <v>0</v>
      </c>
      <c r="AP602" s="121">
        <v>763928</v>
      </c>
      <c r="AQ602" s="114">
        <v>0</v>
      </c>
      <c r="AR602" s="121">
        <v>48.072535594000001</v>
      </c>
      <c r="AS602" s="121">
        <v>9446.4042031999998</v>
      </c>
      <c r="AT602" s="121">
        <v>1244.0871976000001</v>
      </c>
      <c r="AU602" s="420" t="s">
        <v>2001</v>
      </c>
      <c r="AV602" s="420" t="s">
        <v>2001</v>
      </c>
      <c r="AW602" s="121">
        <v>0</v>
      </c>
      <c r="AX602" s="121">
        <v>0</v>
      </c>
      <c r="BI602">
        <v>0</v>
      </c>
      <c r="BJ602" s="121">
        <v>0</v>
      </c>
      <c r="BK602" s="134">
        <v>72120397</v>
      </c>
      <c r="BL602" s="934">
        <v>4334</v>
      </c>
      <c r="BM602" s="934">
        <v>4401</v>
      </c>
      <c r="BN602" s="934">
        <v>4454</v>
      </c>
      <c r="BO602" s="114">
        <v>0</v>
      </c>
      <c r="BP602" s="114">
        <v>0</v>
      </c>
    </row>
    <row r="603" spans="1:68">
      <c r="A603" t="s">
        <v>2755</v>
      </c>
      <c r="B603" t="s">
        <v>1258</v>
      </c>
      <c r="C603" s="121">
        <v>5310</v>
      </c>
      <c r="D603" s="72">
        <v>2</v>
      </c>
      <c r="E603">
        <v>311.59500000000003</v>
      </c>
      <c r="F603">
        <v>111</v>
      </c>
      <c r="G603">
        <v>95</v>
      </c>
      <c r="H603">
        <v>2</v>
      </c>
      <c r="I603" s="173">
        <v>1.17</v>
      </c>
      <c r="J603" s="121">
        <v>469272294</v>
      </c>
      <c r="K603" s="125">
        <v>1884.807</v>
      </c>
      <c r="L603" s="173">
        <v>1.5</v>
      </c>
      <c r="M603">
        <v>1.17</v>
      </c>
      <c r="N603">
        <v>1.000000005</v>
      </c>
      <c r="O603">
        <v>16.999999499999994</v>
      </c>
      <c r="P603">
        <v>1111.5160000000001</v>
      </c>
      <c r="Q603" s="125">
        <v>0.107</v>
      </c>
      <c r="R603" s="125">
        <v>0</v>
      </c>
      <c r="S603" s="125">
        <v>1.929</v>
      </c>
      <c r="T603" s="125">
        <v>29.248000000000001</v>
      </c>
      <c r="U603" s="125">
        <v>8.0809999999999995</v>
      </c>
      <c r="V603" s="125">
        <v>0</v>
      </c>
      <c r="W603" s="125">
        <v>0</v>
      </c>
      <c r="X603" s="125">
        <v>0</v>
      </c>
      <c r="Y603" s="125">
        <v>0</v>
      </c>
      <c r="Z603" s="125">
        <v>0</v>
      </c>
      <c r="AA603" s="125">
        <v>18.489999999999998</v>
      </c>
      <c r="AB603" s="125">
        <v>37.027999999999999</v>
      </c>
      <c r="AC603" s="125">
        <v>1100.4000000000001</v>
      </c>
      <c r="AD603" s="125">
        <v>2.0230000000000001</v>
      </c>
      <c r="AE603" s="125">
        <v>255.208</v>
      </c>
      <c r="AF603" s="125">
        <v>55.575800000000001</v>
      </c>
      <c r="AG603" s="125">
        <v>0</v>
      </c>
      <c r="AH603" s="125">
        <v>0</v>
      </c>
      <c r="AI603" s="121">
        <v>4843939</v>
      </c>
      <c r="AJ603" s="121">
        <v>232833</v>
      </c>
      <c r="AK603" s="424">
        <v>12</v>
      </c>
      <c r="AL603">
        <v>0</v>
      </c>
      <c r="AM603" s="121">
        <v>0</v>
      </c>
      <c r="AN603" s="125">
        <v>0</v>
      </c>
      <c r="AO603" s="125">
        <v>0</v>
      </c>
      <c r="AP603" s="121">
        <v>5076772</v>
      </c>
      <c r="AQ603" s="114">
        <v>0</v>
      </c>
      <c r="AR603" s="121">
        <v>312.79790464000001</v>
      </c>
      <c r="AS603" s="121">
        <v>61465.770519999998</v>
      </c>
      <c r="AT603" s="121">
        <v>8095.0144147999999</v>
      </c>
      <c r="AU603" s="420" t="s">
        <v>2001</v>
      </c>
      <c r="AV603" s="420" t="s">
        <v>2001</v>
      </c>
      <c r="AW603" s="121">
        <v>0</v>
      </c>
      <c r="AX603" s="121">
        <v>1203306</v>
      </c>
      <c r="BI603">
        <v>0</v>
      </c>
      <c r="BJ603" s="121">
        <v>0</v>
      </c>
      <c r="BK603" s="134">
        <v>423975294</v>
      </c>
      <c r="BL603" s="934">
        <v>5067</v>
      </c>
      <c r="BM603" s="934">
        <v>5310</v>
      </c>
      <c r="BN603" s="934">
        <v>5310</v>
      </c>
      <c r="BO603" s="114">
        <v>0</v>
      </c>
      <c r="BP603" s="114">
        <v>0</v>
      </c>
    </row>
    <row r="604" spans="1:68">
      <c r="A604" t="s">
        <v>2588</v>
      </c>
      <c r="B604" t="s">
        <v>1071</v>
      </c>
      <c r="C604" s="121">
        <v>5601</v>
      </c>
      <c r="D604" s="72">
        <v>3</v>
      </c>
      <c r="E604">
        <v>318.65899999999999</v>
      </c>
      <c r="F604">
        <v>83</v>
      </c>
      <c r="G604">
        <v>62</v>
      </c>
      <c r="H604">
        <v>10</v>
      </c>
      <c r="I604" s="173">
        <v>0.98170000000000002</v>
      </c>
      <c r="J604" s="121">
        <v>763264700</v>
      </c>
      <c r="K604" s="125">
        <v>1496.0820000000001</v>
      </c>
      <c r="L604" s="173">
        <v>1.35</v>
      </c>
      <c r="M604">
        <v>0.98170000000000002</v>
      </c>
      <c r="N604">
        <v>0.90000000450000006</v>
      </c>
      <c r="O604">
        <v>8.1699995499999964</v>
      </c>
      <c r="P604">
        <v>855.91800000000001</v>
      </c>
      <c r="Q604" s="125">
        <v>0</v>
      </c>
      <c r="R604" s="125">
        <v>0</v>
      </c>
      <c r="S604" s="125">
        <v>1.407</v>
      </c>
      <c r="T604" s="125">
        <v>23.786999999999999</v>
      </c>
      <c r="U604" s="125">
        <v>2.2789999999999999</v>
      </c>
      <c r="V604" s="125">
        <v>5.4249999999999998</v>
      </c>
      <c r="W604" s="125">
        <v>8.3469999999999995</v>
      </c>
      <c r="X604" s="125">
        <v>0</v>
      </c>
      <c r="Y604" s="125">
        <v>0</v>
      </c>
      <c r="Z604" s="125">
        <v>0</v>
      </c>
      <c r="AA604" s="125">
        <v>43.243000000000002</v>
      </c>
      <c r="AB604" s="125">
        <v>69.034000000000006</v>
      </c>
      <c r="AC604" s="125">
        <v>401.8</v>
      </c>
      <c r="AD604" s="125">
        <v>7.1999999999999995E-2</v>
      </c>
      <c r="AE604" s="125">
        <v>5.2880000000000003</v>
      </c>
      <c r="AF604" s="125">
        <v>42.795900000000003</v>
      </c>
      <c r="AG604" s="125">
        <v>0</v>
      </c>
      <c r="AH604" s="125">
        <v>0</v>
      </c>
      <c r="AI604" s="121">
        <v>7543426</v>
      </c>
      <c r="AJ604" s="121">
        <v>0</v>
      </c>
      <c r="AK604" s="424">
        <v>12</v>
      </c>
      <c r="AL604">
        <v>0</v>
      </c>
      <c r="AM604" s="121">
        <v>177055</v>
      </c>
      <c r="AN604" s="125">
        <v>0</v>
      </c>
      <c r="AO604" s="125">
        <v>0</v>
      </c>
      <c r="AP604" s="121">
        <v>7543426</v>
      </c>
      <c r="AQ604" s="114">
        <v>0</v>
      </c>
      <c r="AR604" s="121">
        <v>0</v>
      </c>
      <c r="AS604" s="121">
        <v>0</v>
      </c>
      <c r="AT604" s="121">
        <v>0</v>
      </c>
      <c r="AU604" s="420" t="s">
        <v>798</v>
      </c>
      <c r="AV604" s="420" t="s">
        <v>2001</v>
      </c>
      <c r="AW604" s="121">
        <v>0</v>
      </c>
      <c r="AX604" s="121">
        <v>0</v>
      </c>
      <c r="AY604" s="134">
        <v>117852</v>
      </c>
      <c r="AZ604" s="134">
        <v>3728490</v>
      </c>
      <c r="BA604" s="134">
        <v>1465</v>
      </c>
      <c r="BB604" s="134">
        <v>247974601</v>
      </c>
      <c r="BC604" s="114">
        <v>0</v>
      </c>
      <c r="BD604" s="114">
        <v>0</v>
      </c>
      <c r="BE604" s="114">
        <v>0</v>
      </c>
      <c r="BF604" s="114">
        <v>874</v>
      </c>
      <c r="BG604" s="114">
        <v>0</v>
      </c>
      <c r="BH604" s="114">
        <v>0</v>
      </c>
      <c r="BI604">
        <v>0</v>
      </c>
      <c r="BJ604" s="121">
        <v>1954</v>
      </c>
      <c r="BK604" s="134">
        <v>746748677</v>
      </c>
      <c r="BL604" s="934">
        <v>4984</v>
      </c>
      <c r="BM604" s="934">
        <v>5187</v>
      </c>
      <c r="BN604" s="934">
        <v>5601</v>
      </c>
      <c r="BO604" s="114">
        <v>0</v>
      </c>
      <c r="BP604" s="114">
        <v>0</v>
      </c>
    </row>
    <row r="605" spans="1:68">
      <c r="A605" t="s">
        <v>2589</v>
      </c>
      <c r="B605" t="s">
        <v>1072</v>
      </c>
      <c r="C605" s="121">
        <v>4665</v>
      </c>
      <c r="D605" s="72">
        <v>3</v>
      </c>
      <c r="E605">
        <v>82.552000000000007</v>
      </c>
      <c r="F605">
        <v>30</v>
      </c>
      <c r="G605">
        <v>18</v>
      </c>
      <c r="H605">
        <v>2</v>
      </c>
      <c r="I605" s="173">
        <v>1.04</v>
      </c>
      <c r="J605" s="121">
        <v>71065306</v>
      </c>
      <c r="K605" s="125">
        <v>477.87099999999998</v>
      </c>
      <c r="L605" s="173">
        <v>1.42</v>
      </c>
      <c r="M605">
        <v>1.04</v>
      </c>
      <c r="N605">
        <v>0.94666667139999994</v>
      </c>
      <c r="O605">
        <v>9.3333328600000094</v>
      </c>
      <c r="P605">
        <v>268.411</v>
      </c>
      <c r="Q605" s="125">
        <v>9.1999999999999998E-2</v>
      </c>
      <c r="R605" s="125">
        <v>0</v>
      </c>
      <c r="S605" s="125">
        <v>0.42</v>
      </c>
      <c r="T605" s="125">
        <v>8.4160000000000004</v>
      </c>
      <c r="U605" s="125">
        <v>2.3E-2</v>
      </c>
      <c r="V605" s="125">
        <v>1.96</v>
      </c>
      <c r="W605" s="125">
        <v>2.0369999999999999</v>
      </c>
      <c r="X605" s="125">
        <v>0</v>
      </c>
      <c r="Y605" s="125">
        <v>0</v>
      </c>
      <c r="Z605" s="125">
        <v>0</v>
      </c>
      <c r="AA605" s="125">
        <v>7.7409999999999997</v>
      </c>
      <c r="AB605" s="125">
        <v>21.332999999999998</v>
      </c>
      <c r="AC605" s="125">
        <v>181.2</v>
      </c>
      <c r="AD605" s="125">
        <v>0</v>
      </c>
      <c r="AE605" s="125">
        <v>16.367999999999999</v>
      </c>
      <c r="AF605" s="125">
        <v>13.42055</v>
      </c>
      <c r="AG605" s="125">
        <v>0</v>
      </c>
      <c r="AH605" s="125">
        <v>0</v>
      </c>
      <c r="AI605" s="121">
        <v>744992</v>
      </c>
      <c r="AJ605" s="121">
        <v>18147</v>
      </c>
      <c r="AK605" s="424">
        <v>12</v>
      </c>
      <c r="AL605">
        <v>0</v>
      </c>
      <c r="AM605" s="121">
        <v>43044</v>
      </c>
      <c r="AN605" s="125">
        <v>0</v>
      </c>
      <c r="AO605" s="125">
        <v>0</v>
      </c>
      <c r="AP605" s="121">
        <v>763139</v>
      </c>
      <c r="AQ605" s="114">
        <v>0</v>
      </c>
      <c r="AR605" s="121">
        <v>47.369254667</v>
      </c>
      <c r="AS605" s="121">
        <v>9308.2072926000001</v>
      </c>
      <c r="AT605" s="121">
        <v>1225.8867264</v>
      </c>
      <c r="AU605" s="420" t="s">
        <v>2001</v>
      </c>
      <c r="AV605" s="420" t="s">
        <v>2001</v>
      </c>
      <c r="AW605" s="121">
        <v>0</v>
      </c>
      <c r="AX605" s="121">
        <v>44295</v>
      </c>
      <c r="BI605">
        <v>0</v>
      </c>
      <c r="BJ605" s="121">
        <v>0</v>
      </c>
      <c r="BK605" s="134">
        <v>71065306</v>
      </c>
      <c r="BL605" s="934">
        <v>4496</v>
      </c>
      <c r="BM605" s="934">
        <v>4543</v>
      </c>
      <c r="BN605" s="934">
        <v>4665</v>
      </c>
      <c r="BO605" s="114">
        <v>0</v>
      </c>
      <c r="BP605" s="114">
        <v>0</v>
      </c>
    </row>
    <row r="606" spans="1:68">
      <c r="A606" t="s">
        <v>2590</v>
      </c>
      <c r="B606" t="s">
        <v>1073</v>
      </c>
      <c r="C606" s="121">
        <v>4792</v>
      </c>
      <c r="D606" s="72">
        <v>1</v>
      </c>
      <c r="E606">
        <v>179.517</v>
      </c>
      <c r="F606">
        <v>41</v>
      </c>
      <c r="G606">
        <v>27</v>
      </c>
      <c r="H606">
        <v>2</v>
      </c>
      <c r="I606" s="173">
        <v>1.04</v>
      </c>
      <c r="J606" s="121">
        <v>179542453</v>
      </c>
      <c r="K606" s="125">
        <v>855.61099999999999</v>
      </c>
      <c r="L606" s="173">
        <v>1.5</v>
      </c>
      <c r="M606">
        <v>1.04</v>
      </c>
      <c r="N606">
        <v>1.000000005</v>
      </c>
      <c r="O606">
        <v>3.9999995000000066</v>
      </c>
      <c r="P606">
        <v>520.32100000000003</v>
      </c>
      <c r="Q606" s="125">
        <v>0</v>
      </c>
      <c r="R606" s="125">
        <v>0</v>
      </c>
      <c r="S606" s="125">
        <v>1.506</v>
      </c>
      <c r="T606" s="125">
        <v>13.507</v>
      </c>
      <c r="U606" s="125">
        <v>5.8090000000000002</v>
      </c>
      <c r="V606" s="125">
        <v>1.841</v>
      </c>
      <c r="W606" s="125">
        <v>0</v>
      </c>
      <c r="X606" s="125">
        <v>0</v>
      </c>
      <c r="Y606" s="125">
        <v>0</v>
      </c>
      <c r="Z606" s="125">
        <v>0</v>
      </c>
      <c r="AA606" s="125">
        <v>15.585000000000001</v>
      </c>
      <c r="AB606" s="125">
        <v>32.957000000000001</v>
      </c>
      <c r="AC606" s="125">
        <v>248</v>
      </c>
      <c r="AD606" s="125">
        <v>0</v>
      </c>
      <c r="AE606" s="125">
        <v>7.7149999999999999</v>
      </c>
      <c r="AF606" s="125">
        <v>26.015999999999998</v>
      </c>
      <c r="AG606" s="125">
        <v>0</v>
      </c>
      <c r="AH606" s="125">
        <v>0</v>
      </c>
      <c r="AI606" s="121">
        <v>1921392</v>
      </c>
      <c r="AJ606" s="121">
        <v>0</v>
      </c>
      <c r="AK606" s="424">
        <v>12</v>
      </c>
      <c r="AL606">
        <v>0</v>
      </c>
      <c r="AM606" s="121">
        <v>54461</v>
      </c>
      <c r="AN606" s="125">
        <v>0</v>
      </c>
      <c r="AO606" s="125">
        <v>0</v>
      </c>
      <c r="AP606" s="121">
        <v>1921392</v>
      </c>
      <c r="AQ606" s="114">
        <v>0</v>
      </c>
      <c r="AR606" s="121">
        <v>119.67572728</v>
      </c>
      <c r="AS606" s="121">
        <v>23516.656220000001</v>
      </c>
      <c r="AT606" s="121">
        <v>3097.1330787000002</v>
      </c>
      <c r="AU606" s="420" t="s">
        <v>2001</v>
      </c>
      <c r="AV606" s="420" t="s">
        <v>2001</v>
      </c>
      <c r="AW606" s="121">
        <v>0</v>
      </c>
      <c r="AX606" s="121">
        <v>0</v>
      </c>
      <c r="BI606">
        <v>0</v>
      </c>
      <c r="BJ606" s="121">
        <v>0</v>
      </c>
      <c r="BK606" s="134">
        <v>179542453</v>
      </c>
      <c r="BL606" s="934">
        <v>4792</v>
      </c>
      <c r="BM606" s="934">
        <v>4755</v>
      </c>
      <c r="BN606" s="934">
        <v>4755</v>
      </c>
      <c r="BO606" s="114">
        <v>0</v>
      </c>
      <c r="BP606" s="114">
        <v>0</v>
      </c>
    </row>
    <row r="607" spans="1:68">
      <c r="A607" t="s">
        <v>2591</v>
      </c>
      <c r="B607" t="s">
        <v>1074</v>
      </c>
      <c r="C607" s="121">
        <v>5577</v>
      </c>
      <c r="D607" s="72">
        <v>2</v>
      </c>
      <c r="E607">
        <v>0</v>
      </c>
      <c r="F607">
        <v>10</v>
      </c>
      <c r="G607">
        <v>6</v>
      </c>
      <c r="H607">
        <v>2</v>
      </c>
      <c r="I607" s="173">
        <v>0.9</v>
      </c>
      <c r="J607" s="121">
        <v>65166978</v>
      </c>
      <c r="K607" s="125">
        <v>172.84399999999999</v>
      </c>
      <c r="L607" s="173">
        <v>1.28</v>
      </c>
      <c r="M607">
        <v>0.9</v>
      </c>
      <c r="N607">
        <v>0.85333333760000007</v>
      </c>
      <c r="O607">
        <v>4.6666662399999943</v>
      </c>
      <c r="P607">
        <v>100</v>
      </c>
      <c r="Q607" s="125">
        <v>0</v>
      </c>
      <c r="R607" s="125">
        <v>0</v>
      </c>
      <c r="S607" s="125">
        <v>0.27</v>
      </c>
      <c r="T607" s="125">
        <v>5.5490000000000004</v>
      </c>
      <c r="U607" s="125">
        <v>0</v>
      </c>
      <c r="V607" s="125">
        <v>0</v>
      </c>
      <c r="W607" s="125">
        <v>0</v>
      </c>
      <c r="X607" s="125">
        <v>0</v>
      </c>
      <c r="Y607" s="125">
        <v>0</v>
      </c>
      <c r="Z607" s="125">
        <v>0</v>
      </c>
      <c r="AA607" s="125">
        <v>1.272</v>
      </c>
      <c r="AB607" s="125">
        <v>0</v>
      </c>
      <c r="AC607" s="125">
        <v>41.7</v>
      </c>
      <c r="AD607" s="125">
        <v>0</v>
      </c>
      <c r="AE607" s="125">
        <v>0</v>
      </c>
      <c r="AF607" s="125">
        <v>5</v>
      </c>
      <c r="AG607" s="125">
        <v>0</v>
      </c>
      <c r="AH607" s="125">
        <v>0</v>
      </c>
      <c r="AI607" s="121">
        <v>581194</v>
      </c>
      <c r="AJ607" s="121">
        <v>0</v>
      </c>
      <c r="AK607" s="424">
        <v>8</v>
      </c>
      <c r="AL607">
        <v>0</v>
      </c>
      <c r="AM607" s="121">
        <v>12428</v>
      </c>
      <c r="AN607" s="125">
        <v>0</v>
      </c>
      <c r="AO607" s="125">
        <v>0</v>
      </c>
      <c r="AP607" s="121">
        <v>581194</v>
      </c>
      <c r="AQ607" s="114">
        <v>0</v>
      </c>
      <c r="AR607" s="121">
        <v>0</v>
      </c>
      <c r="AS607" s="121">
        <v>0</v>
      </c>
      <c r="AT607" s="121">
        <v>0</v>
      </c>
      <c r="AU607" s="420" t="s">
        <v>798</v>
      </c>
      <c r="AV607" s="420" t="s">
        <v>2001</v>
      </c>
      <c r="AW607" s="121">
        <v>0</v>
      </c>
      <c r="AX607" s="121">
        <v>0</v>
      </c>
      <c r="AY607" s="134">
        <v>21250</v>
      </c>
      <c r="AZ607" s="134">
        <v>317939</v>
      </c>
      <c r="BA607" s="114">
        <v>220</v>
      </c>
      <c r="BB607" s="134">
        <v>36063330</v>
      </c>
      <c r="BC607" s="114">
        <v>0</v>
      </c>
      <c r="BD607" s="114">
        <v>0</v>
      </c>
      <c r="BE607" s="114">
        <v>0</v>
      </c>
      <c r="BF607" s="114">
        <v>97</v>
      </c>
      <c r="BG607" s="114">
        <v>0</v>
      </c>
      <c r="BH607" s="114">
        <v>0</v>
      </c>
      <c r="BI607">
        <v>0</v>
      </c>
      <c r="BJ607" s="121">
        <v>0</v>
      </c>
      <c r="BK607" s="134">
        <v>62123208</v>
      </c>
      <c r="BL607" s="934">
        <v>4721</v>
      </c>
      <c r="BM607" s="934">
        <v>5577</v>
      </c>
      <c r="BN607" s="934">
        <v>5092</v>
      </c>
      <c r="BO607" s="114">
        <v>0</v>
      </c>
      <c r="BP607" s="114">
        <v>0</v>
      </c>
    </row>
    <row r="608" spans="1:68">
      <c r="A608" t="s">
        <v>2592</v>
      </c>
      <c r="B608" t="s">
        <v>1075</v>
      </c>
      <c r="C608" s="121">
        <v>5148</v>
      </c>
      <c r="D608" s="72">
        <v>3</v>
      </c>
      <c r="E608">
        <v>0</v>
      </c>
      <c r="F608">
        <v>8</v>
      </c>
      <c r="G608">
        <v>7</v>
      </c>
      <c r="H608">
        <v>3</v>
      </c>
      <c r="I608" s="173">
        <v>1.04</v>
      </c>
      <c r="J608" s="121">
        <v>37106681</v>
      </c>
      <c r="K608" s="125">
        <v>168.89099999999999</v>
      </c>
      <c r="L608" s="173">
        <v>1.48</v>
      </c>
      <c r="M608">
        <v>1.04</v>
      </c>
      <c r="N608">
        <v>0.98666667159999999</v>
      </c>
      <c r="O608">
        <v>5.3333328400000042</v>
      </c>
      <c r="P608">
        <v>103.788</v>
      </c>
      <c r="Q608" s="125">
        <v>0</v>
      </c>
      <c r="R608" s="125">
        <v>0</v>
      </c>
      <c r="S608" s="125">
        <v>0.16900000000000001</v>
      </c>
      <c r="T608" s="125">
        <v>2.0670000000000002</v>
      </c>
      <c r="U608" s="125">
        <v>0</v>
      </c>
      <c r="V608" s="125">
        <v>0.69299999999999995</v>
      </c>
      <c r="W608" s="125">
        <v>0</v>
      </c>
      <c r="X608" s="125">
        <v>0</v>
      </c>
      <c r="Y608" s="125">
        <v>0</v>
      </c>
      <c r="Z608" s="125">
        <v>0</v>
      </c>
      <c r="AA608" s="125">
        <v>2.165</v>
      </c>
      <c r="AB608" s="125">
        <v>0</v>
      </c>
      <c r="AC608" s="125">
        <v>34.9</v>
      </c>
      <c r="AD608" s="125">
        <v>0</v>
      </c>
      <c r="AE608" s="125">
        <v>1.1459999999999999</v>
      </c>
      <c r="AF608" s="125">
        <v>5.1890000000000001</v>
      </c>
      <c r="AG608" s="125">
        <v>0</v>
      </c>
      <c r="AH608" s="125">
        <v>0</v>
      </c>
      <c r="AI608" s="121">
        <v>372789</v>
      </c>
      <c r="AJ608" s="121">
        <v>0</v>
      </c>
      <c r="AK608" s="424">
        <v>8</v>
      </c>
      <c r="AL608">
        <v>0</v>
      </c>
      <c r="AM608" s="121">
        <v>12445</v>
      </c>
      <c r="AN608" s="125">
        <v>0</v>
      </c>
      <c r="AO608" s="125">
        <v>0</v>
      </c>
      <c r="AP608" s="121">
        <v>372789</v>
      </c>
      <c r="AQ608" s="114">
        <v>0</v>
      </c>
      <c r="AR608" s="121">
        <v>24.733810646999999</v>
      </c>
      <c r="AS608" s="121">
        <v>4860.2714619999997</v>
      </c>
      <c r="AT608" s="121">
        <v>640.09557208000001</v>
      </c>
      <c r="AU608" s="420" t="s">
        <v>2001</v>
      </c>
      <c r="AV608" s="420" t="s">
        <v>2001</v>
      </c>
      <c r="AW608" s="121">
        <v>0</v>
      </c>
      <c r="AX608" s="121">
        <v>0</v>
      </c>
      <c r="BI608">
        <v>0</v>
      </c>
      <c r="BJ608" s="121">
        <v>0</v>
      </c>
      <c r="BK608" s="134">
        <v>37106681</v>
      </c>
      <c r="BL608" s="934">
        <v>5134</v>
      </c>
      <c r="BM608" s="934">
        <v>5092</v>
      </c>
      <c r="BN608" s="934">
        <v>5148</v>
      </c>
      <c r="BO608" s="134">
        <v>71708</v>
      </c>
      <c r="BP608" s="114">
        <v>0</v>
      </c>
    </row>
    <row r="609" spans="1:68">
      <c r="A609" t="s">
        <v>2981</v>
      </c>
      <c r="B609" t="s">
        <v>1076</v>
      </c>
      <c r="C609" s="121">
        <v>4762</v>
      </c>
      <c r="D609" s="72">
        <v>2</v>
      </c>
      <c r="E609">
        <v>0</v>
      </c>
      <c r="F609">
        <v>6</v>
      </c>
      <c r="G609">
        <v>10</v>
      </c>
      <c r="H609">
        <v>0</v>
      </c>
      <c r="I609" s="173">
        <v>0.97070000000000001</v>
      </c>
      <c r="J609" s="121">
        <v>166530658</v>
      </c>
      <c r="K609" s="125">
        <v>124.193</v>
      </c>
      <c r="L609" s="173">
        <v>1.35</v>
      </c>
      <c r="M609">
        <v>0.97070000000000001</v>
      </c>
      <c r="N609">
        <v>0.90000000450000006</v>
      </c>
      <c r="O609">
        <v>7.069999549999995</v>
      </c>
      <c r="P609">
        <v>74.754000000000005</v>
      </c>
      <c r="Q609" s="125">
        <v>0</v>
      </c>
      <c r="R609" s="125">
        <v>0</v>
      </c>
      <c r="S609" s="125">
        <v>7.1999999999999995E-2</v>
      </c>
      <c r="T609" s="125">
        <v>2.6269999999999998</v>
      </c>
      <c r="U609" s="125">
        <v>0</v>
      </c>
      <c r="V609" s="125">
        <v>0</v>
      </c>
      <c r="W609" s="125">
        <v>0</v>
      </c>
      <c r="X609" s="125">
        <v>0</v>
      </c>
      <c r="Y609" s="125">
        <v>0</v>
      </c>
      <c r="Z609" s="125">
        <v>0</v>
      </c>
      <c r="AA609" s="125">
        <v>0</v>
      </c>
      <c r="AB609" s="125">
        <v>0</v>
      </c>
      <c r="AC609" s="125">
        <v>20.2</v>
      </c>
      <c r="AD609" s="125">
        <v>0</v>
      </c>
      <c r="AE609" s="125">
        <v>0</v>
      </c>
      <c r="AF609" s="125">
        <v>3.7376999999999998</v>
      </c>
      <c r="AG609" s="125">
        <v>0</v>
      </c>
      <c r="AH609" s="125">
        <v>0</v>
      </c>
      <c r="AI609" s="121">
        <v>1680365</v>
      </c>
      <c r="AJ609" s="121">
        <v>0</v>
      </c>
      <c r="AK609" s="424">
        <v>8</v>
      </c>
      <c r="AL609">
        <v>0</v>
      </c>
      <c r="AM609" s="121">
        <v>29070</v>
      </c>
      <c r="AN609" s="125">
        <v>0</v>
      </c>
      <c r="AO609" s="125">
        <v>0</v>
      </c>
      <c r="AP609" s="121">
        <v>1680365</v>
      </c>
      <c r="AQ609" s="114">
        <v>0</v>
      </c>
      <c r="AR609" s="121">
        <v>0</v>
      </c>
      <c r="AS609" s="121">
        <v>0</v>
      </c>
      <c r="AT609" s="121">
        <v>0</v>
      </c>
      <c r="AU609" s="420" t="s">
        <v>798</v>
      </c>
      <c r="AV609" s="420" t="s">
        <v>2001</v>
      </c>
      <c r="AW609" s="121">
        <v>0</v>
      </c>
      <c r="AX609" s="121">
        <v>0</v>
      </c>
      <c r="AY609" s="134">
        <v>40444</v>
      </c>
      <c r="AZ609" s="134">
        <v>344495</v>
      </c>
      <c r="BA609" s="114">
        <v>189</v>
      </c>
      <c r="BB609" s="134">
        <v>50140654</v>
      </c>
      <c r="BC609" s="114">
        <v>0</v>
      </c>
      <c r="BD609" s="134">
        <v>1499</v>
      </c>
      <c r="BE609" s="114">
        <v>13</v>
      </c>
      <c r="BF609" s="114">
        <v>81</v>
      </c>
      <c r="BG609" s="114">
        <v>0</v>
      </c>
      <c r="BH609" s="114">
        <v>0</v>
      </c>
      <c r="BI609">
        <v>0</v>
      </c>
      <c r="BJ609" s="121">
        <v>318</v>
      </c>
      <c r="BK609" s="134">
        <v>166530658</v>
      </c>
      <c r="BL609" s="934">
        <v>4743</v>
      </c>
      <c r="BM609" s="934">
        <v>4762</v>
      </c>
      <c r="BN609" s="934">
        <v>4717</v>
      </c>
      <c r="BO609" s="114">
        <v>0</v>
      </c>
      <c r="BP609" s="114">
        <v>0</v>
      </c>
    </row>
    <row r="610" spans="1:68">
      <c r="A610" t="s">
        <v>2982</v>
      </c>
      <c r="B610" t="s">
        <v>1077</v>
      </c>
      <c r="C610" s="121">
        <v>4979</v>
      </c>
      <c r="D610" s="72">
        <v>1</v>
      </c>
      <c r="E610">
        <v>531.21</v>
      </c>
      <c r="F610">
        <v>140</v>
      </c>
      <c r="G610">
        <v>123</v>
      </c>
      <c r="H610">
        <v>3</v>
      </c>
      <c r="I610" s="173">
        <v>1.04</v>
      </c>
      <c r="J610" s="121">
        <v>693836573</v>
      </c>
      <c r="K610" s="125">
        <v>2426.116</v>
      </c>
      <c r="L610" s="173">
        <v>1.5</v>
      </c>
      <c r="M610">
        <v>1.04</v>
      </c>
      <c r="N610">
        <v>1.000000005</v>
      </c>
      <c r="O610">
        <v>3.9999995000000066</v>
      </c>
      <c r="P610">
        <v>1730.826</v>
      </c>
      <c r="Q610" s="125">
        <v>0</v>
      </c>
      <c r="R610" s="125">
        <v>0</v>
      </c>
      <c r="S610" s="125">
        <v>2.2149999999999999</v>
      </c>
      <c r="T610" s="125">
        <v>37.031999999999996</v>
      </c>
      <c r="U610" s="125">
        <v>7.1950000000000003</v>
      </c>
      <c r="V610" s="125">
        <v>0.52800000000000002</v>
      </c>
      <c r="W610" s="125">
        <v>4.3520000000000003</v>
      </c>
      <c r="X610" s="125">
        <v>0</v>
      </c>
      <c r="Y610" s="125">
        <v>2.06</v>
      </c>
      <c r="Z610" s="125">
        <v>3.137</v>
      </c>
      <c r="AA610" s="125">
        <v>31.385000000000002</v>
      </c>
      <c r="AB610" s="125">
        <v>79.545000000000002</v>
      </c>
      <c r="AC610" s="125">
        <v>1143.0999999999999</v>
      </c>
      <c r="AD610" s="125">
        <v>1.1879999999999999</v>
      </c>
      <c r="AE610" s="125">
        <v>225.583</v>
      </c>
      <c r="AF610" s="125">
        <v>86.540999999999997</v>
      </c>
      <c r="AG610" s="125">
        <v>0</v>
      </c>
      <c r="AH610" s="125">
        <v>0</v>
      </c>
      <c r="AI610" s="121">
        <v>7652462</v>
      </c>
      <c r="AJ610" s="121">
        <v>602236</v>
      </c>
      <c r="AK610" s="424">
        <v>12</v>
      </c>
      <c r="AL610">
        <v>0</v>
      </c>
      <c r="AM610" s="121">
        <v>116411</v>
      </c>
      <c r="AN610" s="125">
        <v>1</v>
      </c>
      <c r="AO610" s="125">
        <v>0</v>
      </c>
      <c r="AP610" s="121">
        <v>8254698</v>
      </c>
      <c r="AQ610" s="114">
        <v>0</v>
      </c>
      <c r="AR610" s="121">
        <v>462.48335754999999</v>
      </c>
      <c r="AS610" s="121">
        <v>90879.432063</v>
      </c>
      <c r="AT610" s="121">
        <v>11968.78045</v>
      </c>
      <c r="AU610" s="420" t="s">
        <v>2001</v>
      </c>
      <c r="AV610" s="420" t="s">
        <v>2001</v>
      </c>
      <c r="AW610" s="121">
        <v>0</v>
      </c>
      <c r="AX610" s="121">
        <v>904465</v>
      </c>
      <c r="BI610">
        <v>0</v>
      </c>
      <c r="BJ610" s="121">
        <v>0</v>
      </c>
      <c r="BK610" s="134">
        <v>693836573</v>
      </c>
      <c r="BL610" s="934">
        <v>4979</v>
      </c>
      <c r="BM610" s="934">
        <v>4737</v>
      </c>
      <c r="BN610" s="934">
        <v>4737</v>
      </c>
      <c r="BO610" s="114">
        <v>0</v>
      </c>
      <c r="BP610" s="114">
        <v>0</v>
      </c>
    </row>
    <row r="611" spans="1:68">
      <c r="A611" t="s">
        <v>2983</v>
      </c>
      <c r="B611" t="s">
        <v>1078</v>
      </c>
      <c r="C611" s="121">
        <v>4977</v>
      </c>
      <c r="D611" s="72">
        <v>1</v>
      </c>
      <c r="E611">
        <v>276.87700000000001</v>
      </c>
      <c r="F611">
        <v>85</v>
      </c>
      <c r="G611">
        <v>59</v>
      </c>
      <c r="H611">
        <v>9</v>
      </c>
      <c r="I611" s="173">
        <v>1.04</v>
      </c>
      <c r="J611" s="121">
        <v>278936490</v>
      </c>
      <c r="K611" s="125">
        <v>1472.5239999999999</v>
      </c>
      <c r="L611" s="173">
        <v>1.4691000000000001</v>
      </c>
      <c r="M611">
        <v>1.04</v>
      </c>
      <c r="N611">
        <v>0.97940000489700008</v>
      </c>
      <c r="O611">
        <v>6.0599995102999955</v>
      </c>
      <c r="P611">
        <v>997</v>
      </c>
      <c r="Q611" s="125">
        <v>0.08</v>
      </c>
      <c r="R611" s="125">
        <v>0</v>
      </c>
      <c r="S611" s="125">
        <v>1.4650000000000001</v>
      </c>
      <c r="T611" s="125">
        <v>12.170999999999999</v>
      </c>
      <c r="U611" s="125">
        <v>5.9329999999999998</v>
      </c>
      <c r="V611" s="125">
        <v>0</v>
      </c>
      <c r="W611" s="125">
        <v>2.105</v>
      </c>
      <c r="X611" s="125">
        <v>0</v>
      </c>
      <c r="Y611" s="125">
        <v>0</v>
      </c>
      <c r="Z611" s="125">
        <v>12.339</v>
      </c>
      <c r="AA611" s="125">
        <v>6.2160000000000002</v>
      </c>
      <c r="AB611" s="125">
        <v>80.536000000000001</v>
      </c>
      <c r="AC611" s="125">
        <v>476.6</v>
      </c>
      <c r="AD611" s="125">
        <v>0</v>
      </c>
      <c r="AE611" s="125">
        <v>35.570999999999998</v>
      </c>
      <c r="AF611" s="125">
        <v>43.792999999999999</v>
      </c>
      <c r="AG611" s="125">
        <v>0</v>
      </c>
      <c r="AH611" s="125">
        <v>0</v>
      </c>
      <c r="AI611" s="121">
        <v>2924147</v>
      </c>
      <c r="AJ611" s="121">
        <v>186852</v>
      </c>
      <c r="AK611" s="424">
        <v>12</v>
      </c>
      <c r="AL611">
        <v>0</v>
      </c>
      <c r="AM611" s="121">
        <v>143439</v>
      </c>
      <c r="AN611" s="125">
        <v>0.70299999999999996</v>
      </c>
      <c r="AO611" s="125">
        <v>0</v>
      </c>
      <c r="AP611" s="121">
        <v>3110999</v>
      </c>
      <c r="AQ611" s="114">
        <v>0</v>
      </c>
      <c r="AR611" s="121">
        <v>185.92776665</v>
      </c>
      <c r="AS611" s="121">
        <v>36535.390003</v>
      </c>
      <c r="AT611" s="121">
        <v>4811.6944801</v>
      </c>
      <c r="AU611" s="420" t="s">
        <v>2001</v>
      </c>
      <c r="AV611" s="420" t="s">
        <v>2001</v>
      </c>
      <c r="AW611" s="121">
        <v>0</v>
      </c>
      <c r="AX611" s="121">
        <v>239970</v>
      </c>
      <c r="BI611">
        <v>0</v>
      </c>
      <c r="BJ611" s="121">
        <v>0</v>
      </c>
      <c r="BK611" s="134">
        <v>278936490</v>
      </c>
      <c r="BL611" s="934">
        <v>4977</v>
      </c>
      <c r="BM611" s="934">
        <v>4546</v>
      </c>
      <c r="BN611" s="934">
        <v>4601</v>
      </c>
      <c r="BO611" s="114">
        <v>0</v>
      </c>
      <c r="BP611" s="114">
        <v>0</v>
      </c>
    </row>
    <row r="612" spans="1:68">
      <c r="A612" t="s">
        <v>2984</v>
      </c>
      <c r="B612" t="s">
        <v>1079</v>
      </c>
      <c r="C612" s="121">
        <v>5500</v>
      </c>
      <c r="D612" s="72">
        <v>2</v>
      </c>
      <c r="E612">
        <v>49.557000000000002</v>
      </c>
      <c r="F612">
        <v>19</v>
      </c>
      <c r="G612">
        <v>20</v>
      </c>
      <c r="H612">
        <v>1</v>
      </c>
      <c r="I612" s="173">
        <v>1.04</v>
      </c>
      <c r="J612" s="121">
        <v>152322774</v>
      </c>
      <c r="K612" s="125">
        <v>299.553</v>
      </c>
      <c r="L612" s="173">
        <v>1.4842</v>
      </c>
      <c r="M612">
        <v>1.04</v>
      </c>
      <c r="N612">
        <v>0.98946667161400004</v>
      </c>
      <c r="O612">
        <v>5.0533328385999994</v>
      </c>
      <c r="P612">
        <v>147.53800000000001</v>
      </c>
      <c r="Q612" s="125">
        <v>0</v>
      </c>
      <c r="R612" s="125">
        <v>0</v>
      </c>
      <c r="S612" s="125">
        <v>4.8000000000000001E-2</v>
      </c>
      <c r="T612" s="125">
        <v>1.9710000000000001</v>
      </c>
      <c r="U612" s="125">
        <v>0</v>
      </c>
      <c r="V612" s="125">
        <v>0</v>
      </c>
      <c r="W612" s="125">
        <v>2.1000000000000001E-2</v>
      </c>
      <c r="X612" s="125">
        <v>0</v>
      </c>
      <c r="Y612" s="125">
        <v>0</v>
      </c>
      <c r="Z612" s="125">
        <v>7.2359999999999998</v>
      </c>
      <c r="AA612" s="125">
        <v>13.05</v>
      </c>
      <c r="AB612" s="125">
        <v>2.0539999999999998</v>
      </c>
      <c r="AC612" s="125">
        <v>109</v>
      </c>
      <c r="AD612" s="125">
        <v>0</v>
      </c>
      <c r="AE612" s="125">
        <v>13.775</v>
      </c>
      <c r="AF612" s="125">
        <v>7</v>
      </c>
      <c r="AG612" s="125">
        <v>0</v>
      </c>
      <c r="AH612" s="125">
        <v>0</v>
      </c>
      <c r="AI612" s="121">
        <v>1630097</v>
      </c>
      <c r="AJ612" s="121">
        <v>0</v>
      </c>
      <c r="AK612" s="424">
        <v>12</v>
      </c>
      <c r="AL612">
        <v>0</v>
      </c>
      <c r="AM612" s="121">
        <v>22766</v>
      </c>
      <c r="AN612" s="125">
        <v>0</v>
      </c>
      <c r="AO612" s="125">
        <v>0</v>
      </c>
      <c r="AP612" s="121">
        <v>1630097</v>
      </c>
      <c r="AQ612" s="114">
        <v>0</v>
      </c>
      <c r="AR612" s="121">
        <v>0</v>
      </c>
      <c r="AS612" s="121">
        <v>0</v>
      </c>
      <c r="AT612" s="121">
        <v>0</v>
      </c>
      <c r="AU612" s="420" t="s">
        <v>798</v>
      </c>
      <c r="AV612" s="72" t="s">
        <v>798</v>
      </c>
      <c r="AW612" s="121">
        <v>0</v>
      </c>
      <c r="AX612" s="121">
        <v>0</v>
      </c>
      <c r="AY612" s="134">
        <v>98135</v>
      </c>
      <c r="AZ612" s="134">
        <v>827726</v>
      </c>
      <c r="BA612" s="114">
        <v>330</v>
      </c>
      <c r="BB612" s="134">
        <v>72142539</v>
      </c>
      <c r="BC612" s="114">
        <v>0</v>
      </c>
      <c r="BD612" s="114">
        <v>0</v>
      </c>
      <c r="BE612" s="114">
        <v>0</v>
      </c>
      <c r="BF612" s="114">
        <v>160</v>
      </c>
      <c r="BG612" s="114">
        <v>0</v>
      </c>
      <c r="BH612" s="114">
        <v>0</v>
      </c>
      <c r="BI612">
        <v>0</v>
      </c>
      <c r="BJ612" s="121">
        <v>142</v>
      </c>
      <c r="BK612" s="134">
        <v>152322774</v>
      </c>
      <c r="BL612" s="934">
        <v>5331</v>
      </c>
      <c r="BM612" s="934">
        <v>5500</v>
      </c>
      <c r="BN612" s="934">
        <v>5357</v>
      </c>
      <c r="BO612" s="114">
        <v>0</v>
      </c>
      <c r="BP612" s="114">
        <v>0</v>
      </c>
    </row>
    <row r="613" spans="1:68">
      <c r="A613" t="s">
        <v>2985</v>
      </c>
      <c r="B613" t="s">
        <v>1080</v>
      </c>
      <c r="C613" s="121">
        <v>5265</v>
      </c>
      <c r="D613" s="72">
        <v>2</v>
      </c>
      <c r="E613">
        <v>206.375</v>
      </c>
      <c r="F613">
        <v>71</v>
      </c>
      <c r="G613">
        <v>51</v>
      </c>
      <c r="H613">
        <v>5</v>
      </c>
      <c r="I613" s="173">
        <v>1.04</v>
      </c>
      <c r="J613" s="121">
        <v>381237415</v>
      </c>
      <c r="K613" s="125">
        <v>1168.578</v>
      </c>
      <c r="L613" s="173">
        <v>1.4750000000000001</v>
      </c>
      <c r="M613">
        <v>1.04</v>
      </c>
      <c r="N613">
        <v>0.98333333825000013</v>
      </c>
      <c r="O613">
        <v>5.6666661749999907</v>
      </c>
      <c r="P613">
        <v>740</v>
      </c>
      <c r="Q613" s="125">
        <v>0</v>
      </c>
      <c r="R613" s="125">
        <v>0</v>
      </c>
      <c r="S613" s="125">
        <v>1.01</v>
      </c>
      <c r="T613" s="125">
        <v>26.5</v>
      </c>
      <c r="U613" s="125">
        <v>4</v>
      </c>
      <c r="V613" s="125">
        <v>0</v>
      </c>
      <c r="W613" s="125">
        <v>2.8</v>
      </c>
      <c r="X613" s="125">
        <v>0</v>
      </c>
      <c r="Y613" s="125">
        <v>0</v>
      </c>
      <c r="Z613" s="125">
        <v>0</v>
      </c>
      <c r="AA613" s="125">
        <v>5.8</v>
      </c>
      <c r="AB613" s="125">
        <v>39.536000000000001</v>
      </c>
      <c r="AC613" s="125">
        <v>411.7</v>
      </c>
      <c r="AD613" s="125">
        <v>0</v>
      </c>
      <c r="AE613" s="125">
        <v>87.388000000000005</v>
      </c>
      <c r="AF613" s="125">
        <v>36.799999999999997</v>
      </c>
      <c r="AG613" s="125">
        <v>0</v>
      </c>
      <c r="AH613" s="125">
        <v>0</v>
      </c>
      <c r="AI613" s="121">
        <v>4121481</v>
      </c>
      <c r="AJ613" s="121">
        <v>224385</v>
      </c>
      <c r="AK613" s="424">
        <v>12</v>
      </c>
      <c r="AL613">
        <v>0</v>
      </c>
      <c r="AM613" s="121">
        <v>83405</v>
      </c>
      <c r="AN613" s="125">
        <v>0</v>
      </c>
      <c r="AO613" s="125">
        <v>0</v>
      </c>
      <c r="AP613" s="121">
        <v>4345866</v>
      </c>
      <c r="AQ613" s="114">
        <v>0</v>
      </c>
      <c r="AR613" s="121">
        <v>254.11741982999999</v>
      </c>
      <c r="AS613" s="121">
        <v>49934.870984000001</v>
      </c>
      <c r="AT613" s="121">
        <v>6576.4001165</v>
      </c>
      <c r="AU613" s="420" t="s">
        <v>798</v>
      </c>
      <c r="AV613" s="420" t="s">
        <v>2001</v>
      </c>
      <c r="AW613" s="121">
        <v>0</v>
      </c>
      <c r="AX613" s="121">
        <v>747140</v>
      </c>
      <c r="AY613" s="134">
        <v>89864</v>
      </c>
      <c r="AZ613" s="134">
        <v>2511931</v>
      </c>
      <c r="BA613" s="134">
        <v>1068</v>
      </c>
      <c r="BB613" s="134">
        <v>93755244</v>
      </c>
      <c r="BC613" s="114">
        <v>0</v>
      </c>
      <c r="BD613" s="114">
        <v>0</v>
      </c>
      <c r="BE613" s="114">
        <v>0</v>
      </c>
      <c r="BF613" s="114">
        <v>787</v>
      </c>
      <c r="BG613" s="114">
        <v>0</v>
      </c>
      <c r="BH613" s="114">
        <v>0</v>
      </c>
      <c r="BI613">
        <v>0</v>
      </c>
      <c r="BJ613" s="121">
        <v>0</v>
      </c>
      <c r="BK613" s="134">
        <v>381237415</v>
      </c>
      <c r="BL613" s="934">
        <v>5066</v>
      </c>
      <c r="BM613" s="934">
        <v>5265</v>
      </c>
      <c r="BN613" s="934">
        <v>5130</v>
      </c>
      <c r="BO613" s="114">
        <v>0</v>
      </c>
      <c r="BP613" s="114">
        <v>0</v>
      </c>
    </row>
    <row r="614" spans="1:68">
      <c r="A614" t="s">
        <v>1561</v>
      </c>
      <c r="B614" t="s">
        <v>2081</v>
      </c>
      <c r="C614" s="121">
        <v>4612</v>
      </c>
      <c r="D614" s="72">
        <v>1</v>
      </c>
      <c r="E614">
        <v>214.02199999999999</v>
      </c>
      <c r="F614">
        <v>70</v>
      </c>
      <c r="G614">
        <v>44</v>
      </c>
      <c r="H614">
        <v>0</v>
      </c>
      <c r="I614" s="173">
        <v>1.04</v>
      </c>
      <c r="J614" s="121">
        <v>235238232</v>
      </c>
      <c r="K614" s="125">
        <v>1181.72</v>
      </c>
      <c r="L614" s="173">
        <v>1.5</v>
      </c>
      <c r="M614">
        <v>1.04</v>
      </c>
      <c r="N614">
        <v>1.000000005</v>
      </c>
      <c r="O614">
        <v>3.9999995000000066</v>
      </c>
      <c r="P614">
        <v>662.03899999999999</v>
      </c>
      <c r="Q614" s="125">
        <v>0</v>
      </c>
      <c r="R614" s="125">
        <v>0</v>
      </c>
      <c r="S614" s="125">
        <v>0.93500000000000005</v>
      </c>
      <c r="T614" s="125">
        <v>28.163</v>
      </c>
      <c r="U614" s="125">
        <v>5.6079999999999997</v>
      </c>
      <c r="V614" s="125">
        <v>0</v>
      </c>
      <c r="W614" s="125">
        <v>5.5549999999999997</v>
      </c>
      <c r="X614" s="125">
        <v>0</v>
      </c>
      <c r="Y614" s="125">
        <v>0</v>
      </c>
      <c r="Z614" s="125">
        <v>0</v>
      </c>
      <c r="AA614" s="125">
        <v>6.4880000000000004</v>
      </c>
      <c r="AB614" s="125">
        <v>31.131</v>
      </c>
      <c r="AC614" s="125">
        <v>300.5</v>
      </c>
      <c r="AD614" s="125">
        <v>0</v>
      </c>
      <c r="AE614" s="125">
        <v>15.959</v>
      </c>
      <c r="AF614" s="125">
        <v>33.101950000000002</v>
      </c>
      <c r="AG614" s="125">
        <v>0</v>
      </c>
      <c r="AH614" s="125">
        <v>0</v>
      </c>
      <c r="AI614" s="121">
        <v>2543113</v>
      </c>
      <c r="AJ614" s="121">
        <v>125698</v>
      </c>
      <c r="AK614" s="424">
        <v>12</v>
      </c>
      <c r="AL614">
        <v>0</v>
      </c>
      <c r="AM614" s="121">
        <v>164799</v>
      </c>
      <c r="AN614" s="125">
        <v>0</v>
      </c>
      <c r="AO614" s="125">
        <v>0</v>
      </c>
      <c r="AP614" s="121">
        <v>2668811</v>
      </c>
      <c r="AQ614" s="114">
        <v>0</v>
      </c>
      <c r="AR614" s="121">
        <v>156.80027774999999</v>
      </c>
      <c r="AS614" s="121">
        <v>30811.746966999999</v>
      </c>
      <c r="AT614" s="121">
        <v>4057.8932587999998</v>
      </c>
      <c r="AU614" s="420" t="s">
        <v>2001</v>
      </c>
      <c r="AV614" s="420" t="s">
        <v>2001</v>
      </c>
      <c r="AW614" s="121">
        <v>0</v>
      </c>
      <c r="AX614" s="121">
        <v>174250</v>
      </c>
      <c r="BI614">
        <v>0</v>
      </c>
      <c r="BJ614" s="121">
        <v>0</v>
      </c>
      <c r="BK614" s="134">
        <v>235238232</v>
      </c>
      <c r="BL614" s="934">
        <v>4612</v>
      </c>
      <c r="BM614" s="934">
        <v>4471</v>
      </c>
      <c r="BN614" s="934">
        <v>4471</v>
      </c>
      <c r="BO614" s="114">
        <v>0</v>
      </c>
      <c r="BP614" s="114">
        <v>0</v>
      </c>
    </row>
    <row r="615" spans="1:68">
      <c r="A615" t="s">
        <v>1562</v>
      </c>
      <c r="B615" t="s">
        <v>2082</v>
      </c>
      <c r="C615" s="121">
        <v>4660</v>
      </c>
      <c r="D615" s="72">
        <v>1</v>
      </c>
      <c r="E615">
        <v>162.274</v>
      </c>
      <c r="F615">
        <v>46</v>
      </c>
      <c r="G615">
        <v>33</v>
      </c>
      <c r="H615">
        <v>6</v>
      </c>
      <c r="I615" s="173">
        <v>1.04</v>
      </c>
      <c r="J615" s="121">
        <v>182276556</v>
      </c>
      <c r="K615" s="125">
        <v>812.73400000000004</v>
      </c>
      <c r="L615" s="173">
        <v>1.5</v>
      </c>
      <c r="M615">
        <v>1.04</v>
      </c>
      <c r="N615">
        <v>1.000000005</v>
      </c>
      <c r="O615">
        <v>3.9999995000000066</v>
      </c>
      <c r="P615">
        <v>497.82299999999998</v>
      </c>
      <c r="Q615" s="125">
        <v>0</v>
      </c>
      <c r="R615" s="125">
        <v>0</v>
      </c>
      <c r="S615" s="125">
        <v>0.61899999999999999</v>
      </c>
      <c r="T615" s="125">
        <v>13.058999999999999</v>
      </c>
      <c r="U615" s="125">
        <v>3.2349999999999999</v>
      </c>
      <c r="V615" s="125">
        <v>0</v>
      </c>
      <c r="W615" s="125">
        <v>1.177</v>
      </c>
      <c r="X615" s="125">
        <v>0</v>
      </c>
      <c r="Y615" s="125">
        <v>0</v>
      </c>
      <c r="Z615" s="125">
        <v>0</v>
      </c>
      <c r="AA615" s="125">
        <v>13.667</v>
      </c>
      <c r="AB615" s="125">
        <v>37.868000000000002</v>
      </c>
      <c r="AC615" s="125">
        <v>255.4</v>
      </c>
      <c r="AD615" s="125">
        <v>0</v>
      </c>
      <c r="AE615" s="125">
        <v>4.2779999999999996</v>
      </c>
      <c r="AF615" s="125">
        <v>24.890999999999998</v>
      </c>
      <c r="AG615" s="125">
        <v>0</v>
      </c>
      <c r="AH615" s="125">
        <v>0</v>
      </c>
      <c r="AI615" s="121">
        <v>1768674</v>
      </c>
      <c r="AJ615" s="121">
        <v>281846</v>
      </c>
      <c r="AK615" s="424">
        <v>12</v>
      </c>
      <c r="AL615">
        <v>0</v>
      </c>
      <c r="AM615" s="121">
        <v>75587</v>
      </c>
      <c r="AN615" s="125">
        <v>0</v>
      </c>
      <c r="AO615" s="125">
        <v>0</v>
      </c>
      <c r="AP615" s="121">
        <v>2050520</v>
      </c>
      <c r="AQ615" s="114">
        <v>0</v>
      </c>
      <c r="AR615" s="121">
        <v>121.49816942</v>
      </c>
      <c r="AS615" s="121">
        <v>23874.771822999999</v>
      </c>
      <c r="AT615" s="121">
        <v>3144.2967431000002</v>
      </c>
      <c r="AU615" s="420" t="s">
        <v>2001</v>
      </c>
      <c r="AV615" s="420" t="s">
        <v>2001</v>
      </c>
      <c r="AW615" s="121">
        <v>0</v>
      </c>
      <c r="AX615" s="121">
        <v>320886</v>
      </c>
      <c r="BI615">
        <v>0</v>
      </c>
      <c r="BJ615" s="121">
        <v>0</v>
      </c>
      <c r="BK615" s="134">
        <v>176050539</v>
      </c>
      <c r="BL615" s="934">
        <v>4660</v>
      </c>
      <c r="BM615" s="934">
        <v>4485</v>
      </c>
      <c r="BN615" s="934">
        <v>4418</v>
      </c>
      <c r="BO615" s="114">
        <v>0</v>
      </c>
      <c r="BP615" s="114">
        <v>0</v>
      </c>
    </row>
    <row r="616" spans="1:68">
      <c r="A616" t="s">
        <v>2783</v>
      </c>
      <c r="B616" t="s">
        <v>2083</v>
      </c>
      <c r="C616" s="121">
        <v>5490</v>
      </c>
      <c r="D616" s="72">
        <v>2</v>
      </c>
      <c r="E616">
        <v>67.328000000000003</v>
      </c>
      <c r="F616">
        <v>24</v>
      </c>
      <c r="G616">
        <v>14</v>
      </c>
      <c r="H616">
        <v>1</v>
      </c>
      <c r="I616" s="173">
        <v>1.04</v>
      </c>
      <c r="J616" s="121">
        <v>137948430</v>
      </c>
      <c r="K616" s="125">
        <v>390.786</v>
      </c>
      <c r="L616" s="173">
        <v>1.5</v>
      </c>
      <c r="M616">
        <v>1.04</v>
      </c>
      <c r="N616">
        <v>1.000000005</v>
      </c>
      <c r="O616">
        <v>3.9999995000000066</v>
      </c>
      <c r="P616">
        <v>215.54300000000001</v>
      </c>
      <c r="Q616" s="125">
        <v>0.255</v>
      </c>
      <c r="R616" s="125">
        <v>0</v>
      </c>
      <c r="S616" s="125">
        <v>0.29799999999999999</v>
      </c>
      <c r="T616" s="125">
        <v>9.3190000000000008</v>
      </c>
      <c r="U616" s="125">
        <v>2.0409999999999999</v>
      </c>
      <c r="V616" s="125">
        <v>0</v>
      </c>
      <c r="W616" s="125">
        <v>0.60599999999999998</v>
      </c>
      <c r="X616" s="125">
        <v>0</v>
      </c>
      <c r="Y616" s="125">
        <v>0</v>
      </c>
      <c r="Z616" s="125">
        <v>0.36899999999999999</v>
      </c>
      <c r="AA616" s="125">
        <v>2.2250000000000001</v>
      </c>
      <c r="AB616" s="125">
        <v>7.984</v>
      </c>
      <c r="AC616" s="125">
        <v>170.7</v>
      </c>
      <c r="AD616" s="125">
        <v>0</v>
      </c>
      <c r="AE616" s="125">
        <v>1.147</v>
      </c>
      <c r="AF616" s="125">
        <v>10.776999999999999</v>
      </c>
      <c r="AG616" s="125">
        <v>0</v>
      </c>
      <c r="AH616" s="125">
        <v>0</v>
      </c>
      <c r="AI616" s="121">
        <v>1355757</v>
      </c>
      <c r="AJ616" s="121">
        <v>0</v>
      </c>
      <c r="AK616" s="424">
        <v>12</v>
      </c>
      <c r="AL616">
        <v>0</v>
      </c>
      <c r="AM616" s="121">
        <v>51506</v>
      </c>
      <c r="AN616" s="125">
        <v>0</v>
      </c>
      <c r="AO616" s="125">
        <v>0</v>
      </c>
      <c r="AP616" s="121">
        <v>1355757</v>
      </c>
      <c r="AQ616" s="114">
        <v>0</v>
      </c>
      <c r="AR616" s="121">
        <v>91.950836202000005</v>
      </c>
      <c r="AS616" s="121">
        <v>18068.628060999999</v>
      </c>
      <c r="AT616" s="121">
        <v>2379.6302132000001</v>
      </c>
      <c r="AU616" s="420" t="s">
        <v>798</v>
      </c>
      <c r="AV616" s="420" t="s">
        <v>2001</v>
      </c>
      <c r="AW616" s="121">
        <v>0</v>
      </c>
      <c r="AX616" s="121">
        <v>0</v>
      </c>
      <c r="AY616" s="134">
        <v>144558</v>
      </c>
      <c r="AZ616" s="134">
        <v>1232021</v>
      </c>
      <c r="BA616" s="114">
        <v>505</v>
      </c>
      <c r="BB616" s="134">
        <v>80414933</v>
      </c>
      <c r="BC616" s="114">
        <v>0</v>
      </c>
      <c r="BD616" s="114">
        <v>0</v>
      </c>
      <c r="BE616" s="114">
        <v>0</v>
      </c>
      <c r="BF616" s="114">
        <v>236</v>
      </c>
      <c r="BG616" s="114">
        <v>0</v>
      </c>
      <c r="BH616" s="114">
        <v>0</v>
      </c>
      <c r="BI616">
        <v>0</v>
      </c>
      <c r="BJ616" s="121">
        <v>0</v>
      </c>
      <c r="BK616" s="134">
        <v>137948430</v>
      </c>
      <c r="BL616" s="934">
        <v>5046</v>
      </c>
      <c r="BM616" s="934">
        <v>5490</v>
      </c>
      <c r="BN616" s="934">
        <v>5490</v>
      </c>
      <c r="BO616" s="114">
        <v>0</v>
      </c>
      <c r="BP616" s="114">
        <v>0</v>
      </c>
    </row>
    <row r="617" spans="1:68">
      <c r="A617" t="s">
        <v>2421</v>
      </c>
      <c r="B617" t="s">
        <v>2282</v>
      </c>
      <c r="C617" s="121">
        <v>7159</v>
      </c>
      <c r="D617" s="72">
        <v>3</v>
      </c>
      <c r="E617">
        <v>216.91399999999999</v>
      </c>
      <c r="F617">
        <v>72</v>
      </c>
      <c r="G617">
        <v>49</v>
      </c>
      <c r="H617">
        <v>1</v>
      </c>
      <c r="I617" s="173">
        <v>0.85929999999999995</v>
      </c>
      <c r="J617" s="121">
        <v>1029885850</v>
      </c>
      <c r="K617" s="125">
        <v>1199.1669999999999</v>
      </c>
      <c r="L617" s="173">
        <v>1.2291000000000001</v>
      </c>
      <c r="M617">
        <v>0.85929999999999995</v>
      </c>
      <c r="N617">
        <v>0.81940000409700009</v>
      </c>
      <c r="O617">
        <v>3.9899995902999863</v>
      </c>
      <c r="P617">
        <v>658.37099999999998</v>
      </c>
      <c r="Q617" s="125">
        <v>0.104</v>
      </c>
      <c r="R617" s="125">
        <v>0</v>
      </c>
      <c r="S617" s="125">
        <v>0.78900000000000003</v>
      </c>
      <c r="T617" s="125">
        <v>25.128</v>
      </c>
      <c r="U617" s="125">
        <v>2.8149999999999999</v>
      </c>
      <c r="V617" s="125">
        <v>0</v>
      </c>
      <c r="W617" s="125">
        <v>4.4450000000000003</v>
      </c>
      <c r="X617" s="125">
        <v>0</v>
      </c>
      <c r="Y617" s="125">
        <v>0</v>
      </c>
      <c r="Z617" s="125">
        <v>0</v>
      </c>
      <c r="AA617" s="125">
        <v>14.377000000000001</v>
      </c>
      <c r="AB617" s="125">
        <v>26.815000000000001</v>
      </c>
      <c r="AC617" s="125">
        <v>390.5</v>
      </c>
      <c r="AD617" s="125">
        <v>0</v>
      </c>
      <c r="AE617" s="125">
        <v>44.183</v>
      </c>
      <c r="AF617" s="125">
        <v>32.918550000000003</v>
      </c>
      <c r="AG617" s="125">
        <v>0</v>
      </c>
      <c r="AH617" s="125">
        <v>0</v>
      </c>
      <c r="AI617" s="121">
        <v>9106454</v>
      </c>
      <c r="AJ617" s="121">
        <v>324217</v>
      </c>
      <c r="AK617" s="424">
        <v>12</v>
      </c>
      <c r="AL617">
        <v>0</v>
      </c>
      <c r="AM617" s="121">
        <v>147675</v>
      </c>
      <c r="AN617" s="125">
        <v>0</v>
      </c>
      <c r="AO617" s="125">
        <v>0</v>
      </c>
      <c r="AP617" s="121">
        <v>9430671</v>
      </c>
      <c r="AQ617" s="114">
        <v>0</v>
      </c>
      <c r="AR617" s="121">
        <v>0</v>
      </c>
      <c r="AS617" s="121">
        <v>0</v>
      </c>
      <c r="AT617" s="121">
        <v>0</v>
      </c>
      <c r="AU617" s="420" t="s">
        <v>798</v>
      </c>
      <c r="AV617" s="420" t="s">
        <v>2001</v>
      </c>
      <c r="AW617" s="121">
        <v>0</v>
      </c>
      <c r="AX617" s="121">
        <v>331950</v>
      </c>
      <c r="AY617" s="134">
        <v>288850</v>
      </c>
      <c r="AZ617" s="134">
        <v>2391142</v>
      </c>
      <c r="BA617" s="134">
        <v>1010</v>
      </c>
      <c r="BB617" s="134">
        <v>364902994</v>
      </c>
      <c r="BC617" s="114">
        <v>0</v>
      </c>
      <c r="BD617" s="114">
        <v>0</v>
      </c>
      <c r="BE617" s="114">
        <v>0</v>
      </c>
      <c r="BF617" s="114">
        <v>728</v>
      </c>
      <c r="BG617" s="114">
        <v>0</v>
      </c>
      <c r="BH617" s="114">
        <v>0</v>
      </c>
      <c r="BI617">
        <v>0</v>
      </c>
      <c r="BJ617" s="121">
        <v>371</v>
      </c>
      <c r="BK617" s="134">
        <v>1029885850</v>
      </c>
      <c r="BL617" s="934">
        <v>6061</v>
      </c>
      <c r="BM617" s="934">
        <v>6068</v>
      </c>
      <c r="BN617" s="934">
        <v>7159</v>
      </c>
      <c r="BO617" s="114">
        <v>0</v>
      </c>
      <c r="BP617" s="114">
        <v>0</v>
      </c>
    </row>
    <row r="618" spans="1:68">
      <c r="A618" t="s">
        <v>3029</v>
      </c>
      <c r="B618" t="s">
        <v>1329</v>
      </c>
      <c r="C618" s="121">
        <v>4733</v>
      </c>
      <c r="D618" s="72">
        <v>3</v>
      </c>
      <c r="E618">
        <v>762.24</v>
      </c>
      <c r="F618">
        <v>261</v>
      </c>
      <c r="G618">
        <v>184</v>
      </c>
      <c r="H618">
        <v>37</v>
      </c>
      <c r="I618" s="173">
        <v>1.04</v>
      </c>
      <c r="J618" s="121">
        <v>596739896</v>
      </c>
      <c r="K618" s="125">
        <v>4685.1329999999998</v>
      </c>
      <c r="L618" s="173">
        <v>1.44</v>
      </c>
      <c r="M618">
        <v>1.04</v>
      </c>
      <c r="N618">
        <v>0.96000000480000003</v>
      </c>
      <c r="O618">
        <v>7.9999995200000011</v>
      </c>
      <c r="P618">
        <v>3298.0149999999999</v>
      </c>
      <c r="Q618" s="125">
        <v>0.88200000000000001</v>
      </c>
      <c r="R618" s="125">
        <v>0</v>
      </c>
      <c r="S618" s="125">
        <v>7.5549999999999997</v>
      </c>
      <c r="T618" s="125">
        <v>100.514</v>
      </c>
      <c r="U618" s="125">
        <v>26.417000000000002</v>
      </c>
      <c r="V618" s="125">
        <v>0</v>
      </c>
      <c r="W618" s="125">
        <v>3.6219999999999999</v>
      </c>
      <c r="X618" s="125">
        <v>0</v>
      </c>
      <c r="Y618" s="125">
        <v>0</v>
      </c>
      <c r="Z618" s="125">
        <v>0</v>
      </c>
      <c r="AA618" s="125">
        <v>32.814999999999998</v>
      </c>
      <c r="AB618" s="125">
        <v>136.244</v>
      </c>
      <c r="AC618" s="125">
        <v>2592.6999999999998</v>
      </c>
      <c r="AD618" s="125">
        <v>1.7490000000000001</v>
      </c>
      <c r="AE618" s="125">
        <v>506.72899999999998</v>
      </c>
      <c r="AF618" s="125">
        <v>164.9</v>
      </c>
      <c r="AG618" s="125">
        <v>0</v>
      </c>
      <c r="AH618" s="125">
        <v>0</v>
      </c>
      <c r="AI618" s="121">
        <v>6297539</v>
      </c>
      <c r="AJ618" s="121">
        <v>1475319</v>
      </c>
      <c r="AK618" s="424">
        <v>12</v>
      </c>
      <c r="AL618">
        <v>0</v>
      </c>
      <c r="AM618" s="121">
        <v>385107</v>
      </c>
      <c r="AN618" s="125">
        <v>0</v>
      </c>
      <c r="AO618" s="125">
        <v>1</v>
      </c>
      <c r="AP618" s="121">
        <v>7772858</v>
      </c>
      <c r="AQ618" s="114">
        <v>0</v>
      </c>
      <c r="AR618" s="121">
        <v>397.76264529999997</v>
      </c>
      <c r="AS618" s="121">
        <v>78161.608869000003</v>
      </c>
      <c r="AT618" s="121">
        <v>10293.848839</v>
      </c>
      <c r="AU618" s="420" t="s">
        <v>2001</v>
      </c>
      <c r="AV618" s="420" t="s">
        <v>2001</v>
      </c>
      <c r="AW618" s="121">
        <v>0</v>
      </c>
      <c r="AX618" s="121">
        <v>2896565</v>
      </c>
      <c r="BI618">
        <v>0</v>
      </c>
      <c r="BJ618" s="121">
        <v>0</v>
      </c>
      <c r="BK618" s="134">
        <v>596739896</v>
      </c>
      <c r="BL618" s="934">
        <v>4604</v>
      </c>
      <c r="BM618" s="934">
        <v>4660</v>
      </c>
      <c r="BN618" s="934">
        <v>4733</v>
      </c>
      <c r="BO618" s="114">
        <v>0</v>
      </c>
      <c r="BP618" s="114">
        <v>0</v>
      </c>
    </row>
    <row r="619" spans="1:68">
      <c r="A619" t="s">
        <v>2762</v>
      </c>
      <c r="B619" t="s">
        <v>3061</v>
      </c>
      <c r="C619" s="121">
        <v>5014</v>
      </c>
      <c r="D619" s="72">
        <v>1</v>
      </c>
      <c r="E619">
        <v>1225.1079999999999</v>
      </c>
      <c r="F619">
        <v>346</v>
      </c>
      <c r="G619">
        <v>291</v>
      </c>
      <c r="H619">
        <v>19</v>
      </c>
      <c r="I619" s="173">
        <v>1.04</v>
      </c>
      <c r="J619" s="121">
        <v>1213229813</v>
      </c>
      <c r="K619" s="125">
        <v>5830.5780000000004</v>
      </c>
      <c r="L619" s="173">
        <v>1.5</v>
      </c>
      <c r="M619">
        <v>1.04</v>
      </c>
      <c r="N619">
        <v>1.000000005</v>
      </c>
      <c r="O619">
        <v>3.9999995000000066</v>
      </c>
      <c r="P619">
        <v>4449.8890000000001</v>
      </c>
      <c r="Q619" s="125">
        <v>0.70599999999999996</v>
      </c>
      <c r="R619" s="125">
        <v>0</v>
      </c>
      <c r="S619" s="125">
        <v>9.0500000000000007</v>
      </c>
      <c r="T619" s="125">
        <v>117.587</v>
      </c>
      <c r="U619" s="125">
        <v>22.648</v>
      </c>
      <c r="V619" s="125">
        <v>0</v>
      </c>
      <c r="W619" s="125">
        <v>0</v>
      </c>
      <c r="X619" s="125">
        <v>0</v>
      </c>
      <c r="Y619" s="125">
        <v>0</v>
      </c>
      <c r="Z619" s="125">
        <v>0</v>
      </c>
      <c r="AA619" s="125">
        <v>24.861999999999998</v>
      </c>
      <c r="AB619" s="125">
        <v>208.624</v>
      </c>
      <c r="AC619" s="125">
        <v>2716.5</v>
      </c>
      <c r="AD619" s="125">
        <v>2.2530000000000001</v>
      </c>
      <c r="AE619" s="125">
        <v>238.036</v>
      </c>
      <c r="AF619" s="125">
        <v>222.494</v>
      </c>
      <c r="AG619" s="125">
        <v>0</v>
      </c>
      <c r="AH619" s="125">
        <v>0</v>
      </c>
      <c r="AI619" s="121">
        <v>12657260</v>
      </c>
      <c r="AJ619" s="121">
        <v>1791760</v>
      </c>
      <c r="AK619" s="424">
        <v>12</v>
      </c>
      <c r="AL619">
        <v>0</v>
      </c>
      <c r="AM619" s="121">
        <v>766889</v>
      </c>
      <c r="AN619" s="125">
        <v>1</v>
      </c>
      <c r="AO619" s="125">
        <v>0</v>
      </c>
      <c r="AP619" s="121">
        <v>14449020</v>
      </c>
      <c r="AQ619" s="114">
        <v>0</v>
      </c>
      <c r="AR619" s="121">
        <v>808.68985459999999</v>
      </c>
      <c r="AS619" s="121">
        <v>158910.09589999999</v>
      </c>
      <c r="AT619" s="121">
        <v>20928.388371000001</v>
      </c>
      <c r="AU619" s="420" t="s">
        <v>2001</v>
      </c>
      <c r="AV619" s="420" t="s">
        <v>2001</v>
      </c>
      <c r="AW619" s="121">
        <v>0</v>
      </c>
      <c r="AX619" s="121">
        <v>2922229</v>
      </c>
      <c r="BI619">
        <v>0</v>
      </c>
      <c r="BJ619" s="121">
        <v>0</v>
      </c>
      <c r="BK619" s="134">
        <v>1182744614</v>
      </c>
      <c r="BL619" s="934">
        <v>5014</v>
      </c>
      <c r="BM619" s="934">
        <v>4622</v>
      </c>
      <c r="BN619" s="934">
        <v>4622</v>
      </c>
      <c r="BO619" s="114">
        <v>0</v>
      </c>
      <c r="BP619" s="114">
        <v>0</v>
      </c>
    </row>
    <row r="620" spans="1:68">
      <c r="A620" t="s">
        <v>2422</v>
      </c>
      <c r="B620" t="s">
        <v>2283</v>
      </c>
      <c r="C620" s="121">
        <v>6867</v>
      </c>
      <c r="D620" s="72">
        <v>1</v>
      </c>
      <c r="E620">
        <v>0</v>
      </c>
      <c r="F620">
        <v>17</v>
      </c>
      <c r="G620">
        <v>19</v>
      </c>
      <c r="H620">
        <v>1</v>
      </c>
      <c r="I620" s="173">
        <v>0.96</v>
      </c>
      <c r="J620" s="121">
        <v>556570765</v>
      </c>
      <c r="K620" s="125">
        <v>218.94399999999999</v>
      </c>
      <c r="L620" s="173">
        <v>1.38</v>
      </c>
      <c r="M620">
        <v>0.96</v>
      </c>
      <c r="N620">
        <v>0.92000000459999998</v>
      </c>
      <c r="O620">
        <v>3.9999995399999988</v>
      </c>
      <c r="P620">
        <v>121.358</v>
      </c>
      <c r="Q620" s="125">
        <v>0</v>
      </c>
      <c r="R620" s="125">
        <v>0</v>
      </c>
      <c r="S620" s="125">
        <v>0.42599999999999999</v>
      </c>
      <c r="T620" s="125">
        <v>3.79</v>
      </c>
      <c r="U620" s="125">
        <v>0</v>
      </c>
      <c r="V620" s="125">
        <v>0.51</v>
      </c>
      <c r="W620" s="125">
        <v>0</v>
      </c>
      <c r="X620" s="125">
        <v>0</v>
      </c>
      <c r="Y620" s="125">
        <v>0</v>
      </c>
      <c r="Z620" s="125">
        <v>0</v>
      </c>
      <c r="AA620" s="125">
        <v>3.2349999999999999</v>
      </c>
      <c r="AB620" s="125">
        <v>0</v>
      </c>
      <c r="AC620" s="125">
        <v>79.5</v>
      </c>
      <c r="AD620" s="125">
        <v>0</v>
      </c>
      <c r="AE620" s="125">
        <v>20.388999999999999</v>
      </c>
      <c r="AF620" s="125">
        <v>6.0678999999999998</v>
      </c>
      <c r="AG620" s="125">
        <v>0</v>
      </c>
      <c r="AH620" s="125">
        <v>0</v>
      </c>
      <c r="AI620" s="121">
        <v>5329722</v>
      </c>
      <c r="AJ620" s="121">
        <v>156610</v>
      </c>
      <c r="AK620" s="424">
        <v>8</v>
      </c>
      <c r="AL620">
        <v>0</v>
      </c>
      <c r="AM620" s="121">
        <v>21259</v>
      </c>
      <c r="AN620" s="125">
        <v>0</v>
      </c>
      <c r="AO620" s="125">
        <v>0</v>
      </c>
      <c r="AP620" s="121">
        <v>5486332</v>
      </c>
      <c r="AQ620" s="114">
        <v>0</v>
      </c>
      <c r="AR620" s="121">
        <v>0</v>
      </c>
      <c r="AS620" s="121">
        <v>0</v>
      </c>
      <c r="AT620" s="121">
        <v>0</v>
      </c>
      <c r="AU620" s="420" t="s">
        <v>798</v>
      </c>
      <c r="AV620" s="420" t="s">
        <v>2001</v>
      </c>
      <c r="AW620" s="121">
        <v>0</v>
      </c>
      <c r="AX620" s="121">
        <v>157676</v>
      </c>
      <c r="AY620" s="134">
        <v>570682</v>
      </c>
      <c r="AZ620" s="134">
        <v>390571</v>
      </c>
      <c r="BA620" s="114">
        <v>240</v>
      </c>
      <c r="BB620" s="134">
        <v>102834898</v>
      </c>
      <c r="BC620" s="114">
        <v>0</v>
      </c>
      <c r="BD620" s="114">
        <v>0</v>
      </c>
      <c r="BE620" s="114">
        <v>0</v>
      </c>
      <c r="BF620" s="114">
        <v>138</v>
      </c>
      <c r="BG620" s="114">
        <v>0</v>
      </c>
      <c r="BH620" s="114">
        <v>0</v>
      </c>
      <c r="BI620">
        <v>0</v>
      </c>
      <c r="BJ620" s="121">
        <v>126</v>
      </c>
      <c r="BK620" s="134">
        <v>556570765</v>
      </c>
      <c r="BL620" s="934">
        <v>6867</v>
      </c>
      <c r="BM620" s="934">
        <v>4889</v>
      </c>
      <c r="BN620" s="934">
        <v>5157</v>
      </c>
      <c r="BO620" s="114">
        <v>0</v>
      </c>
      <c r="BP620" s="114">
        <v>0</v>
      </c>
    </row>
    <row r="621" spans="1:68">
      <c r="A621" t="s">
        <v>2875</v>
      </c>
      <c r="B621" t="s">
        <v>1951</v>
      </c>
      <c r="C621" s="121">
        <v>5155</v>
      </c>
      <c r="D621" s="72">
        <v>1</v>
      </c>
      <c r="E621">
        <v>320.22399999999999</v>
      </c>
      <c r="F621">
        <v>97</v>
      </c>
      <c r="G621">
        <v>77</v>
      </c>
      <c r="H621">
        <v>1</v>
      </c>
      <c r="I621" s="173">
        <v>1.04</v>
      </c>
      <c r="J621" s="121">
        <v>301643412</v>
      </c>
      <c r="K621" s="125">
        <v>1742.9169999999999</v>
      </c>
      <c r="L621" s="173">
        <v>1.4579</v>
      </c>
      <c r="M621">
        <v>1.04</v>
      </c>
      <c r="N621">
        <v>0.97193333819299998</v>
      </c>
      <c r="O621">
        <v>6.8066661807000051</v>
      </c>
      <c r="P621">
        <v>1197.8800000000001</v>
      </c>
      <c r="Q621" s="125">
        <v>2.1000000000000001E-2</v>
      </c>
      <c r="R621" s="125">
        <v>0</v>
      </c>
      <c r="S621" s="125">
        <v>1.9</v>
      </c>
      <c r="T621" s="125">
        <v>30.484000000000002</v>
      </c>
      <c r="U621" s="125">
        <v>1.1950000000000001</v>
      </c>
      <c r="V621" s="125">
        <v>5.0309999999999997</v>
      </c>
      <c r="W621" s="125">
        <v>1.43</v>
      </c>
      <c r="X621" s="125">
        <v>0</v>
      </c>
      <c r="Y621" s="125">
        <v>0</v>
      </c>
      <c r="Z621" s="125">
        <v>0</v>
      </c>
      <c r="AA621" s="125">
        <v>27.664000000000001</v>
      </c>
      <c r="AB621" s="125">
        <v>57.776000000000003</v>
      </c>
      <c r="AC621" s="125">
        <v>780.9</v>
      </c>
      <c r="AD621" s="125">
        <v>0</v>
      </c>
      <c r="AE621" s="125">
        <v>28.526</v>
      </c>
      <c r="AF621" s="125">
        <v>59.893999999999998</v>
      </c>
      <c r="AG621" s="125">
        <v>0</v>
      </c>
      <c r="AH621" s="125">
        <v>0</v>
      </c>
      <c r="AI621" s="121">
        <v>3015900</v>
      </c>
      <c r="AJ621" s="121">
        <v>0</v>
      </c>
      <c r="AK621" s="424">
        <v>12</v>
      </c>
      <c r="AL621">
        <v>0</v>
      </c>
      <c r="AM621" s="121">
        <v>197918</v>
      </c>
      <c r="AN621" s="125">
        <v>0</v>
      </c>
      <c r="AO621" s="125">
        <v>0</v>
      </c>
      <c r="AP621" s="121">
        <v>3015900</v>
      </c>
      <c r="AQ621" s="114">
        <v>0</v>
      </c>
      <c r="AR621" s="121">
        <v>201.06328131999999</v>
      </c>
      <c r="AS621" s="121">
        <v>39509.566165999997</v>
      </c>
      <c r="AT621" s="121">
        <v>5203.3921469999996</v>
      </c>
      <c r="AU621" s="420" t="s">
        <v>2001</v>
      </c>
      <c r="AV621" s="420" t="s">
        <v>2001</v>
      </c>
      <c r="AW621" s="121">
        <v>0</v>
      </c>
      <c r="AX621" s="121">
        <v>0</v>
      </c>
      <c r="BI621">
        <v>0</v>
      </c>
      <c r="BJ621" s="121">
        <v>0</v>
      </c>
      <c r="BK621" s="134">
        <v>267577552</v>
      </c>
      <c r="BL621" s="934">
        <v>5155</v>
      </c>
      <c r="BM621" s="934">
        <v>4831</v>
      </c>
      <c r="BN621" s="934">
        <v>4900</v>
      </c>
      <c r="BO621" s="114">
        <v>0</v>
      </c>
      <c r="BP621" s="114">
        <v>0</v>
      </c>
    </row>
    <row r="622" spans="1:68">
      <c r="A622" t="s">
        <v>1277</v>
      </c>
      <c r="B622" t="s">
        <v>2735</v>
      </c>
      <c r="C622" s="121">
        <v>5382</v>
      </c>
      <c r="D622" s="72">
        <v>1</v>
      </c>
      <c r="E622">
        <v>176.86099999999999</v>
      </c>
      <c r="F622">
        <v>71</v>
      </c>
      <c r="G622">
        <v>42</v>
      </c>
      <c r="H622">
        <v>0</v>
      </c>
      <c r="I622" s="173">
        <v>1.04</v>
      </c>
      <c r="J622" s="121">
        <v>272779915</v>
      </c>
      <c r="K622" s="125">
        <v>895.16</v>
      </c>
      <c r="L622" s="173">
        <v>1.5</v>
      </c>
      <c r="M622">
        <v>1.04</v>
      </c>
      <c r="N622">
        <v>1.000000005</v>
      </c>
      <c r="O622">
        <v>3.9999995000000066</v>
      </c>
      <c r="P622">
        <v>505.767</v>
      </c>
      <c r="Q622" s="125">
        <v>8.9999999999999993E-3</v>
      </c>
      <c r="R622" s="125">
        <v>0</v>
      </c>
      <c r="S622" s="125">
        <v>1.542</v>
      </c>
      <c r="T622" s="125">
        <v>18.146999999999998</v>
      </c>
      <c r="U622" s="125">
        <v>0.42099999999999999</v>
      </c>
      <c r="V622" s="125">
        <v>1.663</v>
      </c>
      <c r="W622" s="125">
        <v>0</v>
      </c>
      <c r="X622" s="125">
        <v>0</v>
      </c>
      <c r="Y622" s="125">
        <v>0</v>
      </c>
      <c r="Z622" s="125">
        <v>0</v>
      </c>
      <c r="AA622" s="125">
        <v>15.497</v>
      </c>
      <c r="AB622" s="125">
        <v>25.96</v>
      </c>
      <c r="AC622" s="125">
        <v>451.3</v>
      </c>
      <c r="AD622" s="125">
        <v>0.48899999999999999</v>
      </c>
      <c r="AE622" s="125">
        <v>0</v>
      </c>
      <c r="AF622" s="125">
        <v>25.288</v>
      </c>
      <c r="AG622" s="125">
        <v>0</v>
      </c>
      <c r="AH622" s="125">
        <v>0</v>
      </c>
      <c r="AI622" s="121">
        <v>2382555</v>
      </c>
      <c r="AJ622" s="121">
        <v>157858</v>
      </c>
      <c r="AK622" s="424">
        <v>12</v>
      </c>
      <c r="AL622">
        <v>0</v>
      </c>
      <c r="AM622" s="121">
        <v>73431</v>
      </c>
      <c r="AN622" s="125">
        <v>0</v>
      </c>
      <c r="AO622" s="125">
        <v>1</v>
      </c>
      <c r="AP622" s="121">
        <v>2540413</v>
      </c>
      <c r="AQ622" s="114">
        <v>0</v>
      </c>
      <c r="AR622" s="121">
        <v>181.82404288000001</v>
      </c>
      <c r="AS622" s="121">
        <v>35728.995395999998</v>
      </c>
      <c r="AT622" s="121">
        <v>4705.4926718999996</v>
      </c>
      <c r="AU622" s="420" t="s">
        <v>2001</v>
      </c>
      <c r="AV622" s="420" t="s">
        <v>2001</v>
      </c>
      <c r="AW622" s="121">
        <v>0</v>
      </c>
      <c r="AX622" s="121">
        <v>156000</v>
      </c>
      <c r="BI622">
        <v>0</v>
      </c>
      <c r="BJ622" s="121">
        <v>0</v>
      </c>
      <c r="BK622" s="134">
        <v>224930580</v>
      </c>
      <c r="BL622" s="934">
        <v>5382</v>
      </c>
      <c r="BM622" s="934">
        <v>4913</v>
      </c>
      <c r="BN622" s="934">
        <v>4913</v>
      </c>
      <c r="BO622" s="114">
        <v>0</v>
      </c>
      <c r="BP622" s="114">
        <v>0</v>
      </c>
    </row>
    <row r="623" spans="1:68">
      <c r="A623" t="s">
        <v>2423</v>
      </c>
      <c r="B623" t="s">
        <v>590</v>
      </c>
      <c r="C623" s="121">
        <v>4951</v>
      </c>
      <c r="D623" s="72">
        <v>2</v>
      </c>
      <c r="E623">
        <v>605.04499999999996</v>
      </c>
      <c r="F623">
        <v>172</v>
      </c>
      <c r="G623">
        <v>161</v>
      </c>
      <c r="H623">
        <v>22</v>
      </c>
      <c r="I623" s="173">
        <v>1.04</v>
      </c>
      <c r="J623" s="121">
        <v>770482984</v>
      </c>
      <c r="K623" s="125">
        <v>2786.8919999999998</v>
      </c>
      <c r="L623" s="173">
        <v>1.5</v>
      </c>
      <c r="M623">
        <v>1.04</v>
      </c>
      <c r="N623">
        <v>1.000000005</v>
      </c>
      <c r="O623">
        <v>3.9999995000000066</v>
      </c>
      <c r="P623">
        <v>1906.3589999999999</v>
      </c>
      <c r="Q623" s="125">
        <v>0</v>
      </c>
      <c r="R623" s="125">
        <v>0</v>
      </c>
      <c r="S623" s="125">
        <v>7.1779999999999999</v>
      </c>
      <c r="T623" s="125">
        <v>30.815999999999999</v>
      </c>
      <c r="U623" s="125">
        <v>8.5039999999999996</v>
      </c>
      <c r="V623" s="125">
        <v>0</v>
      </c>
      <c r="W623" s="125">
        <v>0</v>
      </c>
      <c r="X623" s="125">
        <v>0</v>
      </c>
      <c r="Y623" s="125">
        <v>0</v>
      </c>
      <c r="Z623" s="125">
        <v>0</v>
      </c>
      <c r="AA623" s="125">
        <v>34.262999999999998</v>
      </c>
      <c r="AB623" s="125">
        <v>91.927999999999997</v>
      </c>
      <c r="AC623" s="125">
        <v>1625</v>
      </c>
      <c r="AD623" s="125">
        <v>5</v>
      </c>
      <c r="AE623" s="125">
        <v>287.82600000000002</v>
      </c>
      <c r="AF623" s="125">
        <v>95.317949999999996</v>
      </c>
      <c r="AG623" s="125">
        <v>0</v>
      </c>
      <c r="AH623" s="125">
        <v>0</v>
      </c>
      <c r="AI623" s="121">
        <v>8461263</v>
      </c>
      <c r="AJ623" s="121">
        <v>1027595</v>
      </c>
      <c r="AK623" s="424">
        <v>12</v>
      </c>
      <c r="AL623">
        <v>0</v>
      </c>
      <c r="AM623" s="121">
        <v>148209</v>
      </c>
      <c r="AN623" s="125">
        <v>0</v>
      </c>
      <c r="AO623" s="125">
        <v>0</v>
      </c>
      <c r="AP623" s="121">
        <v>9488858</v>
      </c>
      <c r="AQ623" s="114">
        <v>0</v>
      </c>
      <c r="AR623" s="121">
        <v>513.57275044000005</v>
      </c>
      <c r="AS623" s="121">
        <v>100918.65820000001</v>
      </c>
      <c r="AT623" s="121">
        <v>13290.942031</v>
      </c>
      <c r="AU623" s="420" t="s">
        <v>2001</v>
      </c>
      <c r="AV623" s="420" t="s">
        <v>2001</v>
      </c>
      <c r="AW623" s="121">
        <v>0</v>
      </c>
      <c r="AX623" s="121">
        <v>1210095</v>
      </c>
      <c r="BI623">
        <v>0</v>
      </c>
      <c r="BJ623" s="121">
        <v>0</v>
      </c>
      <c r="BK623" s="134">
        <v>765039283</v>
      </c>
      <c r="BL623" s="934">
        <v>4480</v>
      </c>
      <c r="BM623" s="934">
        <v>4951</v>
      </c>
      <c r="BN623" s="934">
        <v>4548</v>
      </c>
      <c r="BO623" s="114">
        <v>0</v>
      </c>
      <c r="BP623" s="114">
        <v>0</v>
      </c>
    </row>
    <row r="624" spans="1:68">
      <c r="A624" t="s">
        <v>2424</v>
      </c>
      <c r="B624" t="s">
        <v>591</v>
      </c>
      <c r="C624" s="121">
        <v>4402</v>
      </c>
      <c r="D624" s="72">
        <v>1</v>
      </c>
      <c r="E624">
        <v>557.75599999999997</v>
      </c>
      <c r="F624">
        <v>147</v>
      </c>
      <c r="G624">
        <v>100</v>
      </c>
      <c r="H624">
        <v>20</v>
      </c>
      <c r="I624" s="173">
        <v>1.04</v>
      </c>
      <c r="J624" s="121">
        <v>316603752</v>
      </c>
      <c r="K624" s="125">
        <v>2522.4699999999998</v>
      </c>
      <c r="L624" s="173">
        <v>1.5</v>
      </c>
      <c r="M624">
        <v>1.04</v>
      </c>
      <c r="N624">
        <v>1.000000005</v>
      </c>
      <c r="O624">
        <v>3.9999995000000066</v>
      </c>
      <c r="P624">
        <v>1913.7840000000001</v>
      </c>
      <c r="Q624" s="125">
        <v>0.23499999999999999</v>
      </c>
      <c r="R624" s="125">
        <v>0</v>
      </c>
      <c r="S624" s="125">
        <v>2.9620000000000002</v>
      </c>
      <c r="T624" s="125">
        <v>41.566000000000003</v>
      </c>
      <c r="U624" s="125">
        <v>8.7070000000000007</v>
      </c>
      <c r="V624" s="125">
        <v>0</v>
      </c>
      <c r="W624" s="125">
        <v>0</v>
      </c>
      <c r="X624" s="125">
        <v>0</v>
      </c>
      <c r="Y624" s="125">
        <v>0</v>
      </c>
      <c r="Z624" s="125">
        <v>0</v>
      </c>
      <c r="AA624" s="125">
        <v>16.555</v>
      </c>
      <c r="AB624" s="125">
        <v>91.835999999999999</v>
      </c>
      <c r="AC624" s="125">
        <v>723.4</v>
      </c>
      <c r="AD624" s="125">
        <v>0.55000000000000004</v>
      </c>
      <c r="AE624" s="125">
        <v>8.9760000000000009</v>
      </c>
      <c r="AF624" s="125">
        <v>95.688999999999993</v>
      </c>
      <c r="AG624" s="125">
        <v>0</v>
      </c>
      <c r="AH624" s="125">
        <v>0</v>
      </c>
      <c r="AI624" s="121">
        <v>3068196</v>
      </c>
      <c r="AJ624" s="121">
        <v>400685</v>
      </c>
      <c r="AK624" s="424">
        <v>12</v>
      </c>
      <c r="AL624">
        <v>0</v>
      </c>
      <c r="AM624" s="121">
        <v>221354</v>
      </c>
      <c r="AN624" s="125">
        <v>0</v>
      </c>
      <c r="AO624" s="125">
        <v>0</v>
      </c>
      <c r="AP624" s="121">
        <v>3468881</v>
      </c>
      <c r="AQ624" s="114">
        <v>0</v>
      </c>
      <c r="AR624" s="121">
        <v>211.03523817999999</v>
      </c>
      <c r="AS624" s="121">
        <v>41469.087002</v>
      </c>
      <c r="AT624" s="121">
        <v>5461.4601623999997</v>
      </c>
      <c r="AU624" s="420" t="s">
        <v>2001</v>
      </c>
      <c r="AV624" s="420" t="s">
        <v>2001</v>
      </c>
      <c r="AW624" s="121">
        <v>0</v>
      </c>
      <c r="AX624" s="121">
        <v>825341</v>
      </c>
      <c r="BI624">
        <v>0</v>
      </c>
      <c r="BJ624" s="121">
        <v>0</v>
      </c>
      <c r="BK624" s="134">
        <v>308758569</v>
      </c>
      <c r="BL624" s="934">
        <v>4399</v>
      </c>
      <c r="BM624" s="934">
        <v>4402</v>
      </c>
      <c r="BN624" s="934">
        <v>4402</v>
      </c>
      <c r="BO624" s="114">
        <v>0</v>
      </c>
      <c r="BP624" s="114">
        <v>0</v>
      </c>
    </row>
    <row r="625" spans="1:68">
      <c r="A625" t="s">
        <v>1093</v>
      </c>
      <c r="B625" t="s">
        <v>1747</v>
      </c>
      <c r="C625" s="121">
        <v>4529</v>
      </c>
      <c r="D625" s="72">
        <v>2</v>
      </c>
      <c r="E625">
        <v>59.707999999999998</v>
      </c>
      <c r="F625">
        <v>32</v>
      </c>
      <c r="G625">
        <v>21</v>
      </c>
      <c r="H625">
        <v>0</v>
      </c>
      <c r="I625" s="173">
        <v>1.04</v>
      </c>
      <c r="J625" s="121">
        <v>28560232</v>
      </c>
      <c r="K625" s="125">
        <v>537.94600000000003</v>
      </c>
      <c r="L625" s="173">
        <v>1.5</v>
      </c>
      <c r="M625">
        <v>1.04</v>
      </c>
      <c r="N625">
        <v>1.000000005</v>
      </c>
      <c r="O625">
        <v>3.9999995000000066</v>
      </c>
      <c r="P625">
        <v>291.64999999999998</v>
      </c>
      <c r="Q625" s="125">
        <v>0</v>
      </c>
      <c r="R625" s="125">
        <v>0</v>
      </c>
      <c r="S625" s="125">
        <v>0.53200000000000003</v>
      </c>
      <c r="T625" s="125">
        <v>4.08</v>
      </c>
      <c r="U625" s="125">
        <v>2.2599999999999998</v>
      </c>
      <c r="V625" s="125">
        <v>0</v>
      </c>
      <c r="W625" s="125">
        <v>0.874</v>
      </c>
      <c r="X625" s="125">
        <v>0</v>
      </c>
      <c r="Y625" s="125">
        <v>0</v>
      </c>
      <c r="Z625" s="125">
        <v>0.874</v>
      </c>
      <c r="AA625" s="125">
        <v>24.7</v>
      </c>
      <c r="AB625" s="125">
        <v>7.27</v>
      </c>
      <c r="AC625" s="125">
        <v>248</v>
      </c>
      <c r="AD625" s="125">
        <v>0.55800000000000005</v>
      </c>
      <c r="AE625" s="125">
        <v>52.25</v>
      </c>
      <c r="AF625" s="125">
        <v>8.5500000000000007</v>
      </c>
      <c r="AG625" s="125">
        <v>0</v>
      </c>
      <c r="AH625" s="125">
        <v>0</v>
      </c>
      <c r="AI625" s="121">
        <v>305640</v>
      </c>
      <c r="AJ625" s="121">
        <v>42119</v>
      </c>
      <c r="AK625" s="424">
        <v>12</v>
      </c>
      <c r="AL625">
        <v>0</v>
      </c>
      <c r="AM625" s="121">
        <v>18042</v>
      </c>
      <c r="AN625" s="125">
        <v>0</v>
      </c>
      <c r="AO625" s="125">
        <v>0</v>
      </c>
      <c r="AP625" s="121">
        <v>347759</v>
      </c>
      <c r="AQ625" s="114">
        <v>0</v>
      </c>
      <c r="AR625" s="121">
        <v>19.037093895000002</v>
      </c>
      <c r="AS625" s="121">
        <v>3740.8487312000002</v>
      </c>
      <c r="AT625" s="121">
        <v>492.66810041000002</v>
      </c>
      <c r="AU625" s="420" t="s">
        <v>2001</v>
      </c>
      <c r="AV625" s="420" t="s">
        <v>2001</v>
      </c>
      <c r="AW625" s="121">
        <v>0</v>
      </c>
      <c r="AX625" s="121">
        <v>185838</v>
      </c>
      <c r="BI625">
        <v>0</v>
      </c>
      <c r="BJ625" s="121">
        <v>0</v>
      </c>
      <c r="BK625" s="134">
        <v>28560232</v>
      </c>
      <c r="BL625" s="934">
        <v>4495</v>
      </c>
      <c r="BM625" s="934">
        <v>4529</v>
      </c>
      <c r="BN625" s="934">
        <v>4529</v>
      </c>
      <c r="BO625" s="114">
        <v>0</v>
      </c>
      <c r="BP625" s="114">
        <v>0</v>
      </c>
    </row>
    <row r="626" spans="1:68">
      <c r="A626" t="s">
        <v>1513</v>
      </c>
      <c r="B626" t="s">
        <v>592</v>
      </c>
      <c r="C626" s="121">
        <v>6448</v>
      </c>
      <c r="D626" s="72">
        <v>2</v>
      </c>
      <c r="E626">
        <v>418.714</v>
      </c>
      <c r="F626">
        <v>129</v>
      </c>
      <c r="G626">
        <v>120</v>
      </c>
      <c r="H626">
        <v>0</v>
      </c>
      <c r="I626" s="173">
        <v>0.98499999999999999</v>
      </c>
      <c r="J626" s="121">
        <v>1983061732</v>
      </c>
      <c r="K626" s="125">
        <v>2181.143</v>
      </c>
      <c r="L626" s="173">
        <v>1.375</v>
      </c>
      <c r="M626">
        <v>0.98499999999999999</v>
      </c>
      <c r="N626">
        <v>0.91666667125000001</v>
      </c>
      <c r="O626">
        <v>6.8333328749999982</v>
      </c>
      <c r="P626">
        <v>1449.3409999999999</v>
      </c>
      <c r="Q626" s="125">
        <v>0.39500000000000002</v>
      </c>
      <c r="R626" s="125">
        <v>0</v>
      </c>
      <c r="S626" s="125">
        <v>2.7069999999999999</v>
      </c>
      <c r="T626" s="125">
        <v>57.558</v>
      </c>
      <c r="U626" s="125">
        <v>17.225000000000001</v>
      </c>
      <c r="V626" s="125">
        <v>0</v>
      </c>
      <c r="W626" s="125">
        <v>5.569</v>
      </c>
      <c r="X626" s="125">
        <v>0</v>
      </c>
      <c r="Y626" s="125">
        <v>0</v>
      </c>
      <c r="Z626" s="125">
        <v>0.74199999999999999</v>
      </c>
      <c r="AA626" s="125">
        <v>16.513999999999999</v>
      </c>
      <c r="AB626" s="125">
        <v>86.825999999999993</v>
      </c>
      <c r="AC626" s="125">
        <v>1059.2</v>
      </c>
      <c r="AD626" s="125">
        <v>0.42899999999999999</v>
      </c>
      <c r="AE626" s="125">
        <v>78.129000000000005</v>
      </c>
      <c r="AF626" s="125">
        <v>72.466999999999999</v>
      </c>
      <c r="AG626" s="125">
        <v>0</v>
      </c>
      <c r="AH626" s="125">
        <v>0</v>
      </c>
      <c r="AI626" s="121">
        <v>20509816</v>
      </c>
      <c r="AJ626" s="121">
        <v>0</v>
      </c>
      <c r="AK626" s="424">
        <v>12</v>
      </c>
      <c r="AL626">
        <v>0</v>
      </c>
      <c r="AM626" s="121">
        <v>228513</v>
      </c>
      <c r="AN626" s="125">
        <v>0</v>
      </c>
      <c r="AO626" s="125">
        <v>0</v>
      </c>
      <c r="AP626" s="121">
        <v>20509816</v>
      </c>
      <c r="AQ626" s="114">
        <v>0</v>
      </c>
      <c r="AR626" s="121">
        <v>0</v>
      </c>
      <c r="AS626" s="121">
        <v>0</v>
      </c>
      <c r="AT626" s="121">
        <v>0</v>
      </c>
      <c r="AU626" s="420" t="s">
        <v>798</v>
      </c>
      <c r="AV626" s="420" t="s">
        <v>2001</v>
      </c>
      <c r="AW626" s="121">
        <v>0</v>
      </c>
      <c r="AX626" s="121">
        <v>0</v>
      </c>
      <c r="AY626" s="134">
        <v>4295603</v>
      </c>
      <c r="AZ626" s="134">
        <v>4745688</v>
      </c>
      <c r="BA626" s="134">
        <v>1920</v>
      </c>
      <c r="BB626" s="134">
        <v>1127023221</v>
      </c>
      <c r="BC626" s="114">
        <v>0</v>
      </c>
      <c r="BD626" s="114">
        <v>0</v>
      </c>
      <c r="BE626" s="114">
        <v>0</v>
      </c>
      <c r="BF626" s="134">
        <v>1497</v>
      </c>
      <c r="BG626" s="114">
        <v>0</v>
      </c>
      <c r="BH626" s="114">
        <v>0</v>
      </c>
      <c r="BI626">
        <v>0</v>
      </c>
      <c r="BJ626" s="121">
        <v>0</v>
      </c>
      <c r="BK626" s="134">
        <v>1983061732</v>
      </c>
      <c r="BL626" s="934">
        <v>5843</v>
      </c>
      <c r="BM626" s="934">
        <v>6448</v>
      </c>
      <c r="BN626" s="934">
        <v>5982</v>
      </c>
      <c r="BO626" s="114">
        <v>0</v>
      </c>
      <c r="BP626" s="114">
        <v>0</v>
      </c>
    </row>
    <row r="627" spans="1:68">
      <c r="A627" t="s">
        <v>1902</v>
      </c>
      <c r="B627" t="s">
        <v>593</v>
      </c>
      <c r="C627" s="121">
        <v>4593</v>
      </c>
      <c r="D627" s="72">
        <v>2</v>
      </c>
      <c r="E627">
        <v>606.75</v>
      </c>
      <c r="F627">
        <v>178</v>
      </c>
      <c r="G627">
        <v>165</v>
      </c>
      <c r="H627">
        <v>18</v>
      </c>
      <c r="I627" s="173">
        <v>1.04</v>
      </c>
      <c r="J627" s="121">
        <v>339731258</v>
      </c>
      <c r="K627" s="125">
        <v>3102.884</v>
      </c>
      <c r="L627" s="173">
        <v>1.5</v>
      </c>
      <c r="M627">
        <v>1.04</v>
      </c>
      <c r="N627">
        <v>1.000000005</v>
      </c>
      <c r="O627">
        <v>3.9999995000000066</v>
      </c>
      <c r="P627">
        <v>2050</v>
      </c>
      <c r="Q627" s="125">
        <v>0.1</v>
      </c>
      <c r="R627" s="125">
        <v>0</v>
      </c>
      <c r="S627" s="125">
        <v>2.5</v>
      </c>
      <c r="T627" s="125">
        <v>44</v>
      </c>
      <c r="U627" s="125">
        <v>20</v>
      </c>
      <c r="V627" s="125">
        <v>0</v>
      </c>
      <c r="W627" s="125">
        <v>10</v>
      </c>
      <c r="X627" s="125">
        <v>0</v>
      </c>
      <c r="Y627" s="125">
        <v>0</v>
      </c>
      <c r="Z627" s="125">
        <v>58</v>
      </c>
      <c r="AA627" s="125">
        <v>62</v>
      </c>
      <c r="AB627" s="125">
        <v>81</v>
      </c>
      <c r="AC627" s="125">
        <v>1560</v>
      </c>
      <c r="AD627" s="125">
        <v>1.2</v>
      </c>
      <c r="AE627" s="125">
        <v>160</v>
      </c>
      <c r="AF627" s="125">
        <v>102</v>
      </c>
      <c r="AG627" s="125">
        <v>0</v>
      </c>
      <c r="AH627" s="125">
        <v>0</v>
      </c>
      <c r="AI627" s="121">
        <v>3440922</v>
      </c>
      <c r="AJ627" s="121">
        <v>244848</v>
      </c>
      <c r="AK627" s="424">
        <v>12</v>
      </c>
      <c r="AL627">
        <v>0</v>
      </c>
      <c r="AM627" s="121">
        <v>148099</v>
      </c>
      <c r="AN627" s="125">
        <v>0</v>
      </c>
      <c r="AO627" s="125">
        <v>1</v>
      </c>
      <c r="AP627" s="121">
        <v>3685770</v>
      </c>
      <c r="AQ627" s="114">
        <v>0</v>
      </c>
      <c r="AR627" s="121">
        <v>226.45109663</v>
      </c>
      <c r="AS627" s="121">
        <v>44498.351598000001</v>
      </c>
      <c r="AT627" s="121">
        <v>5860.4129512999998</v>
      </c>
      <c r="AU627" s="420" t="s">
        <v>2001</v>
      </c>
      <c r="AV627" s="420" t="s">
        <v>2001</v>
      </c>
      <c r="AW627" s="121">
        <v>0</v>
      </c>
      <c r="AX627" s="121">
        <v>460052</v>
      </c>
      <c r="BI627">
        <v>0</v>
      </c>
      <c r="BJ627" s="121">
        <v>0</v>
      </c>
      <c r="BK627" s="134">
        <v>331687066</v>
      </c>
      <c r="BL627" s="934">
        <v>4562</v>
      </c>
      <c r="BM627" s="934">
        <v>4593</v>
      </c>
      <c r="BN627" s="934">
        <v>4593</v>
      </c>
      <c r="BO627" s="114">
        <v>0</v>
      </c>
      <c r="BP627" s="114">
        <v>0</v>
      </c>
    </row>
    <row r="628" spans="1:68">
      <c r="A628" t="s">
        <v>1903</v>
      </c>
      <c r="B628" t="s">
        <v>594</v>
      </c>
      <c r="C628" s="121">
        <v>5083</v>
      </c>
      <c r="D628" s="72">
        <v>2</v>
      </c>
      <c r="E628">
        <v>94.435000000000002</v>
      </c>
      <c r="F628">
        <v>36</v>
      </c>
      <c r="G628">
        <v>23</v>
      </c>
      <c r="H628">
        <v>6</v>
      </c>
      <c r="I628" s="173">
        <v>1.04</v>
      </c>
      <c r="J628" s="121">
        <v>208487193</v>
      </c>
      <c r="K628" s="125">
        <v>706.91600000000005</v>
      </c>
      <c r="L628" s="173">
        <v>1.45</v>
      </c>
      <c r="M628">
        <v>1.04</v>
      </c>
      <c r="N628">
        <v>0.96666667149999996</v>
      </c>
      <c r="O628">
        <v>7.3333328500000068</v>
      </c>
      <c r="P628">
        <v>343</v>
      </c>
      <c r="Q628" s="125">
        <v>0</v>
      </c>
      <c r="R628" s="125">
        <v>0</v>
      </c>
      <c r="S628" s="125">
        <v>0.374</v>
      </c>
      <c r="T628" s="125">
        <v>8.9440000000000008</v>
      </c>
      <c r="U628" s="125">
        <v>0.45200000000000001</v>
      </c>
      <c r="V628" s="125">
        <v>0</v>
      </c>
      <c r="W628" s="125">
        <v>8.7999999999999995E-2</v>
      </c>
      <c r="X628" s="125">
        <v>0</v>
      </c>
      <c r="Y628" s="125">
        <v>0</v>
      </c>
      <c r="Z628" s="125">
        <v>0</v>
      </c>
      <c r="AA628" s="125">
        <v>10</v>
      </c>
      <c r="AB628" s="125">
        <v>30.925000000000001</v>
      </c>
      <c r="AC628" s="125">
        <v>289</v>
      </c>
      <c r="AD628" s="125">
        <v>0</v>
      </c>
      <c r="AE628" s="125">
        <v>90</v>
      </c>
      <c r="AF628" s="125">
        <v>16.841000000000001</v>
      </c>
      <c r="AG628" s="125">
        <v>0</v>
      </c>
      <c r="AH628" s="125">
        <v>0</v>
      </c>
      <c r="AI628" s="121">
        <v>2231147</v>
      </c>
      <c r="AJ628" s="121">
        <v>48081</v>
      </c>
      <c r="AK628" s="424">
        <v>12</v>
      </c>
      <c r="AL628">
        <v>0</v>
      </c>
      <c r="AM628" s="121">
        <v>8890</v>
      </c>
      <c r="AN628" s="125">
        <v>0</v>
      </c>
      <c r="AO628" s="125">
        <v>0</v>
      </c>
      <c r="AP628" s="121">
        <v>2279228</v>
      </c>
      <c r="AQ628" s="114">
        <v>0</v>
      </c>
      <c r="AR628" s="121">
        <v>138.96911863</v>
      </c>
      <c r="AS628" s="121">
        <v>27307.868205999999</v>
      </c>
      <c r="AT628" s="121">
        <v>3596.4339973000001</v>
      </c>
      <c r="AU628" s="420" t="s">
        <v>2001</v>
      </c>
      <c r="AV628" s="420" t="s">
        <v>2001</v>
      </c>
      <c r="AW628" s="121">
        <v>0</v>
      </c>
      <c r="AX628" s="121">
        <v>73983</v>
      </c>
      <c r="BI628">
        <v>0</v>
      </c>
      <c r="BJ628" s="121">
        <v>0</v>
      </c>
      <c r="BK628" s="134">
        <v>208487193</v>
      </c>
      <c r="BL628" s="934">
        <v>5009</v>
      </c>
      <c r="BM628" s="934">
        <v>5083</v>
      </c>
      <c r="BN628" s="934">
        <v>5076</v>
      </c>
      <c r="BO628" s="114">
        <v>0</v>
      </c>
      <c r="BP628" s="114">
        <v>0</v>
      </c>
    </row>
    <row r="629" spans="1:68">
      <c r="A629" t="s">
        <v>2926</v>
      </c>
      <c r="B629" t="s">
        <v>595</v>
      </c>
      <c r="C629" s="121">
        <v>7519</v>
      </c>
      <c r="D629" s="72">
        <v>2</v>
      </c>
      <c r="E629">
        <v>63.906999999999996</v>
      </c>
      <c r="F629">
        <v>21</v>
      </c>
      <c r="G629">
        <v>10</v>
      </c>
      <c r="H629">
        <v>1</v>
      </c>
      <c r="I629" s="173">
        <v>1.04</v>
      </c>
      <c r="J629" s="121">
        <v>238291508</v>
      </c>
      <c r="K629" s="125">
        <v>300.58</v>
      </c>
      <c r="L629" s="173">
        <v>1.5</v>
      </c>
      <c r="M629">
        <v>1.04</v>
      </c>
      <c r="N629">
        <v>1.000000005</v>
      </c>
      <c r="O629">
        <v>3.9999995000000066</v>
      </c>
      <c r="P629">
        <v>175</v>
      </c>
      <c r="Q629" s="125">
        <v>0</v>
      </c>
      <c r="R629" s="125">
        <v>0</v>
      </c>
      <c r="S629" s="125">
        <v>0.11600000000000001</v>
      </c>
      <c r="T629" s="125">
        <v>5</v>
      </c>
      <c r="U629" s="125">
        <v>0</v>
      </c>
      <c r="V629" s="125">
        <v>0</v>
      </c>
      <c r="W629" s="125">
        <v>0</v>
      </c>
      <c r="X629" s="125">
        <v>0</v>
      </c>
      <c r="Y629" s="125">
        <v>0</v>
      </c>
      <c r="Z629" s="125">
        <v>0</v>
      </c>
      <c r="AA629" s="125">
        <v>2.5</v>
      </c>
      <c r="AB629" s="125">
        <v>7</v>
      </c>
      <c r="AC629" s="125">
        <v>101</v>
      </c>
      <c r="AD629" s="125">
        <v>0</v>
      </c>
      <c r="AE629" s="125">
        <v>31</v>
      </c>
      <c r="AF629" s="125">
        <v>8.75</v>
      </c>
      <c r="AG629" s="125">
        <v>0</v>
      </c>
      <c r="AH629" s="125">
        <v>0</v>
      </c>
      <c r="AI629" s="121">
        <v>2602143</v>
      </c>
      <c r="AJ629" s="121">
        <v>137042</v>
      </c>
      <c r="AK629" s="424">
        <v>12</v>
      </c>
      <c r="AL629">
        <v>0</v>
      </c>
      <c r="AM629" s="121">
        <v>24003</v>
      </c>
      <c r="AN629" s="125">
        <v>0</v>
      </c>
      <c r="AO629" s="125">
        <v>0</v>
      </c>
      <c r="AP629" s="121">
        <v>2739185</v>
      </c>
      <c r="AQ629" s="114">
        <v>0</v>
      </c>
      <c r="AR629" s="121">
        <v>0</v>
      </c>
      <c r="AS629" s="121">
        <v>0</v>
      </c>
      <c r="AT629" s="121">
        <v>0</v>
      </c>
      <c r="AU629" s="420" t="s">
        <v>798</v>
      </c>
      <c r="AV629" s="420" t="s">
        <v>2001</v>
      </c>
      <c r="AW629" s="121">
        <v>0</v>
      </c>
      <c r="AX629" s="121">
        <v>129178</v>
      </c>
      <c r="AY629" s="134">
        <v>477637</v>
      </c>
      <c r="AZ629" s="134">
        <v>620347</v>
      </c>
      <c r="BA629" s="114">
        <v>221</v>
      </c>
      <c r="BB629" s="134">
        <v>80732630</v>
      </c>
      <c r="BC629" s="114">
        <v>0</v>
      </c>
      <c r="BD629" s="114">
        <v>0</v>
      </c>
      <c r="BE629" s="114">
        <v>0</v>
      </c>
      <c r="BF629" s="114">
        <v>177</v>
      </c>
      <c r="BG629" s="114">
        <v>0</v>
      </c>
      <c r="BH629" s="114">
        <v>0</v>
      </c>
      <c r="BI629">
        <v>0</v>
      </c>
      <c r="BJ629" s="121">
        <v>0</v>
      </c>
      <c r="BK629" s="134">
        <v>238291508</v>
      </c>
      <c r="BL629" s="934">
        <v>6598</v>
      </c>
      <c r="BM629" s="934">
        <v>7519</v>
      </c>
      <c r="BN629" s="934">
        <v>6608</v>
      </c>
      <c r="BO629" s="114">
        <v>0</v>
      </c>
      <c r="BP629" s="114">
        <v>0</v>
      </c>
    </row>
    <row r="630" spans="1:68">
      <c r="A630" t="s">
        <v>2927</v>
      </c>
      <c r="B630" t="s">
        <v>596</v>
      </c>
      <c r="C630" s="121">
        <v>7437</v>
      </c>
      <c r="D630" s="72">
        <v>2</v>
      </c>
      <c r="E630">
        <v>29.791</v>
      </c>
      <c r="F630">
        <v>17</v>
      </c>
      <c r="G630">
        <v>10</v>
      </c>
      <c r="H630">
        <v>1</v>
      </c>
      <c r="I630" s="173">
        <v>1.04</v>
      </c>
      <c r="J630" s="121">
        <v>226283223</v>
      </c>
      <c r="K630" s="125">
        <v>237.40700000000001</v>
      </c>
      <c r="L630" s="173">
        <v>1.5</v>
      </c>
      <c r="M630">
        <v>1.04</v>
      </c>
      <c r="N630">
        <v>1.000000005</v>
      </c>
      <c r="O630">
        <v>3.9999995000000066</v>
      </c>
      <c r="P630">
        <v>102.48099999999999</v>
      </c>
      <c r="Q630" s="125">
        <v>0</v>
      </c>
      <c r="R630" s="125">
        <v>0</v>
      </c>
      <c r="S630" s="125">
        <v>0</v>
      </c>
      <c r="T630" s="125">
        <v>2.0550000000000002</v>
      </c>
      <c r="U630" s="125">
        <v>0</v>
      </c>
      <c r="V630" s="125">
        <v>0</v>
      </c>
      <c r="W630" s="125">
        <v>0</v>
      </c>
      <c r="X630" s="125">
        <v>0</v>
      </c>
      <c r="Y630" s="125">
        <v>0</v>
      </c>
      <c r="Z630" s="125">
        <v>0</v>
      </c>
      <c r="AA630" s="125">
        <v>9.9260000000000002</v>
      </c>
      <c r="AB630" s="125">
        <v>3.1579999999999999</v>
      </c>
      <c r="AC630" s="125">
        <v>84.2</v>
      </c>
      <c r="AD630" s="125">
        <v>0</v>
      </c>
      <c r="AE630" s="125">
        <v>0</v>
      </c>
      <c r="AF630" s="125">
        <v>5.1239999999999997</v>
      </c>
      <c r="AG630" s="125">
        <v>0</v>
      </c>
      <c r="AH630" s="125">
        <v>0</v>
      </c>
      <c r="AI630" s="121">
        <v>2520433</v>
      </c>
      <c r="AJ630" s="121">
        <v>0</v>
      </c>
      <c r="AK630" s="424">
        <v>12</v>
      </c>
      <c r="AL630">
        <v>0</v>
      </c>
      <c r="AM630" s="121">
        <v>20254</v>
      </c>
      <c r="AN630" s="125">
        <v>0</v>
      </c>
      <c r="AO630" s="125">
        <v>0</v>
      </c>
      <c r="AP630" s="121">
        <v>2520433</v>
      </c>
      <c r="AQ630" s="114">
        <v>0</v>
      </c>
      <c r="AR630" s="121">
        <v>0</v>
      </c>
      <c r="AS630" s="121">
        <v>0</v>
      </c>
      <c r="AT630" s="121">
        <v>0</v>
      </c>
      <c r="AU630" s="420" t="s">
        <v>798</v>
      </c>
      <c r="AV630" s="420" t="s">
        <v>2001</v>
      </c>
      <c r="AW630" s="121">
        <v>0</v>
      </c>
      <c r="AX630" s="121">
        <v>0</v>
      </c>
      <c r="AY630" s="134">
        <v>287295</v>
      </c>
      <c r="AZ630" s="134">
        <v>514448</v>
      </c>
      <c r="BA630" s="114">
        <v>216</v>
      </c>
      <c r="BB630" s="134">
        <v>47677328</v>
      </c>
      <c r="BC630" s="114">
        <v>0</v>
      </c>
      <c r="BD630" s="114">
        <v>0</v>
      </c>
      <c r="BE630" s="114">
        <v>0</v>
      </c>
      <c r="BF630" s="114">
        <v>101</v>
      </c>
      <c r="BG630" s="114">
        <v>0</v>
      </c>
      <c r="BH630" s="114">
        <v>0</v>
      </c>
      <c r="BI630">
        <v>0</v>
      </c>
      <c r="BJ630" s="121">
        <v>0</v>
      </c>
      <c r="BK630" s="134">
        <v>226283223</v>
      </c>
      <c r="BL630" s="934">
        <v>6373</v>
      </c>
      <c r="BM630" s="934">
        <v>7437</v>
      </c>
      <c r="BN630" s="934">
        <v>6432</v>
      </c>
      <c r="BO630" s="114">
        <v>0</v>
      </c>
      <c r="BP630" s="114">
        <v>0</v>
      </c>
    </row>
    <row r="631" spans="1:68">
      <c r="A631" t="s">
        <v>3056</v>
      </c>
      <c r="B631" t="s">
        <v>597</v>
      </c>
      <c r="C631" s="121">
        <v>6663</v>
      </c>
      <c r="D631" s="72">
        <v>1</v>
      </c>
      <c r="E631">
        <v>14.702</v>
      </c>
      <c r="F631">
        <v>15</v>
      </c>
      <c r="G631">
        <v>13</v>
      </c>
      <c r="H631">
        <v>0</v>
      </c>
      <c r="I631" s="173">
        <v>1.02</v>
      </c>
      <c r="J631" s="121">
        <v>228494073</v>
      </c>
      <c r="K631" s="125">
        <v>169.21799999999999</v>
      </c>
      <c r="L631" s="173">
        <v>1.4024000000000001</v>
      </c>
      <c r="M631">
        <v>1.02</v>
      </c>
      <c r="N631">
        <v>0.93493333800800005</v>
      </c>
      <c r="O631">
        <v>8.5066661991999979</v>
      </c>
      <c r="P631">
        <v>104</v>
      </c>
      <c r="Q631" s="125">
        <v>0</v>
      </c>
      <c r="R631" s="125">
        <v>0</v>
      </c>
      <c r="S631" s="125">
        <v>0.126</v>
      </c>
      <c r="T631" s="125">
        <v>1.405</v>
      </c>
      <c r="U631" s="125">
        <v>0</v>
      </c>
      <c r="V631" s="125">
        <v>0</v>
      </c>
      <c r="W631" s="125">
        <v>0</v>
      </c>
      <c r="X631" s="125">
        <v>0</v>
      </c>
      <c r="Y631" s="125">
        <v>0</v>
      </c>
      <c r="Z631" s="125">
        <v>0</v>
      </c>
      <c r="AA631" s="125">
        <v>1.637</v>
      </c>
      <c r="AB631" s="125">
        <v>0</v>
      </c>
      <c r="AC631" s="125">
        <v>50</v>
      </c>
      <c r="AD631" s="125">
        <v>0</v>
      </c>
      <c r="AE631" s="125">
        <v>2.2290000000000001</v>
      </c>
      <c r="AF631" s="125">
        <v>3.234</v>
      </c>
      <c r="AG631" s="125">
        <v>0</v>
      </c>
      <c r="AH631" s="125">
        <v>0</v>
      </c>
      <c r="AI631" s="121">
        <v>2075724</v>
      </c>
      <c r="AJ631" s="121">
        <v>175132</v>
      </c>
      <c r="AK631" s="424">
        <v>6</v>
      </c>
      <c r="AL631">
        <v>0</v>
      </c>
      <c r="AM631" s="121">
        <v>2438</v>
      </c>
      <c r="AN631" s="125">
        <v>0</v>
      </c>
      <c r="AO631" s="125">
        <v>0</v>
      </c>
      <c r="AP631" s="121">
        <v>2250856</v>
      </c>
      <c r="AQ631" s="114">
        <v>0</v>
      </c>
      <c r="AR631" s="121">
        <v>0</v>
      </c>
      <c r="AS631" s="121">
        <v>0</v>
      </c>
      <c r="AT631" s="121">
        <v>0</v>
      </c>
      <c r="AU631" s="420" t="s">
        <v>798</v>
      </c>
      <c r="AV631" s="420" t="s">
        <v>2001</v>
      </c>
      <c r="AW631" s="121">
        <v>0</v>
      </c>
      <c r="AX631" s="121">
        <v>168052</v>
      </c>
      <c r="AY631" s="134">
        <v>481715</v>
      </c>
      <c r="AZ631" s="134">
        <v>297759</v>
      </c>
      <c r="BA631" s="114">
        <v>184</v>
      </c>
      <c r="BB631" s="134">
        <v>78930972</v>
      </c>
      <c r="BC631" s="114">
        <v>0</v>
      </c>
      <c r="BD631" s="114">
        <v>0</v>
      </c>
      <c r="BE631" s="114">
        <v>0</v>
      </c>
      <c r="BF631" s="114">
        <v>117</v>
      </c>
      <c r="BG631" s="114">
        <v>0</v>
      </c>
      <c r="BH631" s="114">
        <v>0</v>
      </c>
      <c r="BI631">
        <v>0</v>
      </c>
      <c r="BJ631" s="121">
        <v>0</v>
      </c>
      <c r="BK631" s="134">
        <v>197767108</v>
      </c>
      <c r="BL631" s="934">
        <v>6663</v>
      </c>
      <c r="BM631" s="934">
        <v>6214</v>
      </c>
      <c r="BN631" s="934">
        <v>6500</v>
      </c>
      <c r="BO631" s="114">
        <v>0</v>
      </c>
      <c r="BP631" s="114">
        <v>0</v>
      </c>
    </row>
    <row r="632" spans="1:68">
      <c r="A632" t="s">
        <v>947</v>
      </c>
      <c r="B632" t="s">
        <v>598</v>
      </c>
      <c r="C632" s="121">
        <v>4967</v>
      </c>
      <c r="D632" s="72">
        <v>1</v>
      </c>
      <c r="E632">
        <v>331.86500000000001</v>
      </c>
      <c r="F632">
        <v>98</v>
      </c>
      <c r="G632">
        <v>80</v>
      </c>
      <c r="H632">
        <v>0</v>
      </c>
      <c r="I632" s="173">
        <v>1.04</v>
      </c>
      <c r="J632" s="121">
        <v>478367903</v>
      </c>
      <c r="K632" s="125">
        <v>1700.1179999999999</v>
      </c>
      <c r="L632" s="173">
        <v>1.48</v>
      </c>
      <c r="M632">
        <v>1.04</v>
      </c>
      <c r="N632">
        <v>0.98666667159999999</v>
      </c>
      <c r="O632">
        <v>5.3333328400000042</v>
      </c>
      <c r="P632">
        <v>1087.4110000000001</v>
      </c>
      <c r="Q632" s="125">
        <v>5.7000000000000002E-2</v>
      </c>
      <c r="R632" s="125">
        <v>0</v>
      </c>
      <c r="S632" s="125">
        <v>1.355</v>
      </c>
      <c r="T632" s="125">
        <v>31.117999999999999</v>
      </c>
      <c r="U632" s="125">
        <v>5.891</v>
      </c>
      <c r="V632" s="125">
        <v>0</v>
      </c>
      <c r="W632" s="125">
        <v>4.7910000000000004</v>
      </c>
      <c r="X632" s="125">
        <v>0</v>
      </c>
      <c r="Y632" s="125">
        <v>0</v>
      </c>
      <c r="Z632" s="125">
        <v>0</v>
      </c>
      <c r="AA632" s="125">
        <v>9.8360000000000003</v>
      </c>
      <c r="AB632" s="125">
        <v>42.795000000000002</v>
      </c>
      <c r="AC632" s="125">
        <v>673.1</v>
      </c>
      <c r="AD632" s="125">
        <v>0.186</v>
      </c>
      <c r="AE632" s="125">
        <v>25.728999999999999</v>
      </c>
      <c r="AF632" s="125">
        <v>54.370550000000001</v>
      </c>
      <c r="AG632" s="125">
        <v>0</v>
      </c>
      <c r="AH632" s="125">
        <v>0</v>
      </c>
      <c r="AI632" s="121">
        <v>5076929</v>
      </c>
      <c r="AJ632" s="121">
        <v>0</v>
      </c>
      <c r="AK632" s="424">
        <v>12</v>
      </c>
      <c r="AL632">
        <v>0</v>
      </c>
      <c r="AM632" s="121">
        <v>171050</v>
      </c>
      <c r="AN632" s="125">
        <v>0</v>
      </c>
      <c r="AO632" s="125">
        <v>0</v>
      </c>
      <c r="AP632" s="121">
        <v>5076929</v>
      </c>
      <c r="AQ632" s="114">
        <v>0</v>
      </c>
      <c r="AR632" s="121">
        <v>318.86066908999999</v>
      </c>
      <c r="AS632" s="121">
        <v>62657.122774000003</v>
      </c>
      <c r="AT632" s="121">
        <v>8251.9149722999991</v>
      </c>
      <c r="AU632" s="420" t="s">
        <v>2001</v>
      </c>
      <c r="AV632" s="420" t="s">
        <v>2001</v>
      </c>
      <c r="AW632" s="121">
        <v>0</v>
      </c>
      <c r="AX632" s="121">
        <v>0</v>
      </c>
      <c r="BI632">
        <v>0</v>
      </c>
      <c r="BJ632" s="121">
        <v>0</v>
      </c>
      <c r="BK632" s="134">
        <v>455804128</v>
      </c>
      <c r="BL632" s="934">
        <v>4967</v>
      </c>
      <c r="BM632" s="934">
        <v>4772</v>
      </c>
      <c r="BN632" s="934">
        <v>4825</v>
      </c>
      <c r="BO632" s="114">
        <v>0</v>
      </c>
      <c r="BP632" s="114">
        <v>0</v>
      </c>
    </row>
    <row r="633" spans="1:68">
      <c r="A633" t="s">
        <v>95</v>
      </c>
      <c r="B633" t="s">
        <v>599</v>
      </c>
      <c r="C633" s="121">
        <v>5474</v>
      </c>
      <c r="D633" s="72">
        <v>2</v>
      </c>
      <c r="E633">
        <v>194.786</v>
      </c>
      <c r="F633">
        <v>70</v>
      </c>
      <c r="G633">
        <v>45</v>
      </c>
      <c r="H633">
        <v>0</v>
      </c>
      <c r="I633" s="173">
        <v>1.04</v>
      </c>
      <c r="J633" s="121">
        <v>487701658</v>
      </c>
      <c r="K633" s="125">
        <v>1041.72</v>
      </c>
      <c r="L633" s="173">
        <v>1.4449000000000001</v>
      </c>
      <c r="M633">
        <v>1.04</v>
      </c>
      <c r="N633">
        <v>0.96326667148300005</v>
      </c>
      <c r="O633">
        <v>7.6733328516999988</v>
      </c>
      <c r="P633">
        <v>566</v>
      </c>
      <c r="Q633" s="125">
        <v>2.5000000000000001E-2</v>
      </c>
      <c r="R633" s="125">
        <v>0</v>
      </c>
      <c r="S633" s="125">
        <v>1.591</v>
      </c>
      <c r="T633" s="125">
        <v>13.247</v>
      </c>
      <c r="U633" s="125">
        <v>4.048</v>
      </c>
      <c r="V633" s="125">
        <v>0</v>
      </c>
      <c r="W633" s="125">
        <v>2.6280000000000001</v>
      </c>
      <c r="X633" s="125">
        <v>0</v>
      </c>
      <c r="Y633" s="125">
        <v>0</v>
      </c>
      <c r="Z633" s="125">
        <v>0</v>
      </c>
      <c r="AA633" s="125">
        <v>22.245999999999999</v>
      </c>
      <c r="AB633" s="125">
        <v>31.050999999999998</v>
      </c>
      <c r="AC633" s="125">
        <v>311.7</v>
      </c>
      <c r="AD633" s="125">
        <v>0</v>
      </c>
      <c r="AE633" s="125">
        <v>19.699000000000002</v>
      </c>
      <c r="AF633" s="125">
        <v>28.3</v>
      </c>
      <c r="AG633" s="125">
        <v>0</v>
      </c>
      <c r="AH633" s="125">
        <v>0</v>
      </c>
      <c r="AI633" s="121">
        <v>5219188</v>
      </c>
      <c r="AJ633" s="121">
        <v>223330</v>
      </c>
      <c r="AK633" s="424">
        <v>12</v>
      </c>
      <c r="AL633">
        <v>0</v>
      </c>
      <c r="AM633" s="121">
        <v>87683</v>
      </c>
      <c r="AN633" s="125">
        <v>0</v>
      </c>
      <c r="AO633" s="125">
        <v>0</v>
      </c>
      <c r="AP633" s="121">
        <v>5442518</v>
      </c>
      <c r="AQ633" s="114">
        <v>0</v>
      </c>
      <c r="AR633" s="121">
        <v>0</v>
      </c>
      <c r="AS633" s="121">
        <v>0</v>
      </c>
      <c r="AT633" s="121">
        <v>0</v>
      </c>
      <c r="AU633" s="420" t="s">
        <v>798</v>
      </c>
      <c r="AV633" s="420" t="s">
        <v>2001</v>
      </c>
      <c r="AW633" s="121">
        <v>0</v>
      </c>
      <c r="AX633" s="121">
        <v>217198</v>
      </c>
      <c r="AY633" s="134">
        <v>941572</v>
      </c>
      <c r="AZ633" s="134">
        <v>2988275</v>
      </c>
      <c r="BA633" s="134">
        <v>1222</v>
      </c>
      <c r="BB633" s="134">
        <v>271009440</v>
      </c>
      <c r="BC633" s="114">
        <v>0</v>
      </c>
      <c r="BD633" s="114">
        <v>0</v>
      </c>
      <c r="BE633" s="114">
        <v>0</v>
      </c>
      <c r="BF633" s="114">
        <v>620</v>
      </c>
      <c r="BG633" s="114">
        <v>0</v>
      </c>
      <c r="BH633" s="114">
        <v>0</v>
      </c>
      <c r="BI633">
        <v>0</v>
      </c>
      <c r="BJ633" s="121">
        <v>0</v>
      </c>
      <c r="BK633" s="134">
        <v>487701658</v>
      </c>
      <c r="BL633" s="934">
        <v>4421</v>
      </c>
      <c r="BM633" s="934">
        <v>5474</v>
      </c>
      <c r="BN633" s="934">
        <v>4470</v>
      </c>
      <c r="BO633" s="114">
        <v>0</v>
      </c>
      <c r="BP633" s="114">
        <v>0</v>
      </c>
    </row>
    <row r="634" spans="1:68">
      <c r="A634" t="s">
        <v>96</v>
      </c>
      <c r="B634" t="s">
        <v>600</v>
      </c>
      <c r="C634" s="121">
        <v>5522</v>
      </c>
      <c r="D634" s="72">
        <v>3</v>
      </c>
      <c r="E634">
        <v>482.76</v>
      </c>
      <c r="F634">
        <v>159</v>
      </c>
      <c r="G634">
        <v>124</v>
      </c>
      <c r="H634">
        <v>6</v>
      </c>
      <c r="I634" s="173">
        <v>1.04</v>
      </c>
      <c r="J634" s="121">
        <v>2349796436</v>
      </c>
      <c r="K634" s="125">
        <v>2380.194</v>
      </c>
      <c r="L634" s="173">
        <v>1.4219999999999999</v>
      </c>
      <c r="M634">
        <v>1.04</v>
      </c>
      <c r="N634">
        <v>0.94800000474000001</v>
      </c>
      <c r="O634">
        <v>9.1999995260000027</v>
      </c>
      <c r="P634">
        <v>1883</v>
      </c>
      <c r="Q634" s="125">
        <v>0.10199999999999999</v>
      </c>
      <c r="R634" s="125">
        <v>0</v>
      </c>
      <c r="S634" s="125">
        <v>1.4530000000000001</v>
      </c>
      <c r="T634" s="125">
        <v>53.072000000000003</v>
      </c>
      <c r="U634" s="125">
        <v>7.6639999999999997</v>
      </c>
      <c r="V634" s="125">
        <v>0</v>
      </c>
      <c r="W634" s="125">
        <v>0</v>
      </c>
      <c r="X634" s="125">
        <v>0</v>
      </c>
      <c r="Y634" s="125">
        <v>1.1399999999999999</v>
      </c>
      <c r="Z634" s="125">
        <v>0</v>
      </c>
      <c r="AA634" s="125">
        <v>55.462000000000003</v>
      </c>
      <c r="AB634" s="125">
        <v>104.871</v>
      </c>
      <c r="AC634" s="125">
        <v>993.5</v>
      </c>
      <c r="AD634" s="125">
        <v>0</v>
      </c>
      <c r="AE634" s="125">
        <v>42.3</v>
      </c>
      <c r="AF634" s="125">
        <v>94.15</v>
      </c>
      <c r="AG634" s="125">
        <v>0</v>
      </c>
      <c r="AH634" s="125">
        <v>0</v>
      </c>
      <c r="AI634" s="121">
        <v>25659777</v>
      </c>
      <c r="AJ634" s="121">
        <v>1990715</v>
      </c>
      <c r="AK634" s="424">
        <v>12</v>
      </c>
      <c r="AL634">
        <v>0</v>
      </c>
      <c r="AM634" s="121">
        <v>283071</v>
      </c>
      <c r="AN634" s="125">
        <v>0</v>
      </c>
      <c r="AO634" s="125">
        <v>0</v>
      </c>
      <c r="AP634" s="121">
        <v>27650492</v>
      </c>
      <c r="AQ634" s="114">
        <v>0</v>
      </c>
      <c r="AR634" s="121">
        <v>0</v>
      </c>
      <c r="AS634" s="121">
        <v>0</v>
      </c>
      <c r="AT634" s="121">
        <v>0</v>
      </c>
      <c r="AU634" s="420" t="s">
        <v>798</v>
      </c>
      <c r="AV634" s="420" t="s">
        <v>2001</v>
      </c>
      <c r="AW634" s="121">
        <v>0</v>
      </c>
      <c r="AX634" s="121">
        <v>1965146</v>
      </c>
      <c r="AY634" s="134">
        <v>808796</v>
      </c>
      <c r="AZ634" s="134">
        <v>4279715</v>
      </c>
      <c r="BA634" s="134">
        <v>1817</v>
      </c>
      <c r="BB634" s="134">
        <v>683404510</v>
      </c>
      <c r="BC634" s="114">
        <v>0</v>
      </c>
      <c r="BD634" s="114">
        <v>0</v>
      </c>
      <c r="BE634" s="114">
        <v>0</v>
      </c>
      <c r="BF634" s="134">
        <v>1983</v>
      </c>
      <c r="BG634" s="114">
        <v>0</v>
      </c>
      <c r="BH634" s="114">
        <v>0</v>
      </c>
      <c r="BI634">
        <v>0</v>
      </c>
      <c r="BJ634" s="121">
        <v>32674</v>
      </c>
      <c r="BK634" s="134">
        <v>2349796436</v>
      </c>
      <c r="BL634" s="934">
        <v>5200</v>
      </c>
      <c r="BM634" s="934">
        <v>5263</v>
      </c>
      <c r="BN634" s="934">
        <v>5522</v>
      </c>
      <c r="BO634" s="114">
        <v>0</v>
      </c>
      <c r="BP634" s="114">
        <v>0</v>
      </c>
    </row>
    <row r="635" spans="1:68">
      <c r="A635" t="s">
        <v>2607</v>
      </c>
      <c r="B635" t="s">
        <v>640</v>
      </c>
      <c r="C635" s="121">
        <v>4659</v>
      </c>
      <c r="D635" s="72">
        <v>1</v>
      </c>
      <c r="E635">
        <v>6995.01</v>
      </c>
      <c r="F635">
        <v>2186</v>
      </c>
      <c r="G635">
        <v>1182</v>
      </c>
      <c r="H635">
        <v>62</v>
      </c>
      <c r="I635" s="173">
        <v>1.04</v>
      </c>
      <c r="J635" s="121">
        <v>7953239386</v>
      </c>
      <c r="K635" s="125">
        <v>34440.046999999999</v>
      </c>
      <c r="L635" s="173">
        <v>1.5</v>
      </c>
      <c r="M635">
        <v>1.04</v>
      </c>
      <c r="N635">
        <v>1.000000005</v>
      </c>
      <c r="O635">
        <v>3.9999995000000066</v>
      </c>
      <c r="P635">
        <v>25691.623</v>
      </c>
      <c r="Q635" s="125">
        <v>1.419</v>
      </c>
      <c r="R635" s="125">
        <v>14.912000000000001</v>
      </c>
      <c r="S635" s="125">
        <v>57.234999999999999</v>
      </c>
      <c r="T635" s="125">
        <v>952.35400000000004</v>
      </c>
      <c r="U635" s="125">
        <v>267.64699999999999</v>
      </c>
      <c r="V635" s="125">
        <v>0</v>
      </c>
      <c r="W635" s="125">
        <v>43.994</v>
      </c>
      <c r="X635" s="125">
        <v>3.8180000000000001</v>
      </c>
      <c r="Y635" s="125">
        <v>0</v>
      </c>
      <c r="Z635" s="125">
        <v>31.905000000000001</v>
      </c>
      <c r="AA635" s="125">
        <v>190.79400000000001</v>
      </c>
      <c r="AB635" s="125">
        <v>949.87699999999995</v>
      </c>
      <c r="AC635" s="125">
        <v>19127.900000000001</v>
      </c>
      <c r="AD635" s="125">
        <v>10.233000000000001</v>
      </c>
      <c r="AE635" s="125">
        <v>461.99200000000002</v>
      </c>
      <c r="AF635" s="125">
        <v>1284.5809999999999</v>
      </c>
      <c r="AG635" s="125">
        <v>0</v>
      </c>
      <c r="AH635" s="125">
        <v>0</v>
      </c>
      <c r="AI635" s="121">
        <v>86369180</v>
      </c>
      <c r="AJ635" s="121">
        <v>14293006</v>
      </c>
      <c r="AK635" s="424">
        <v>12</v>
      </c>
      <c r="AL635">
        <v>0</v>
      </c>
      <c r="AM635" s="121">
        <v>977299</v>
      </c>
      <c r="AN635" s="125">
        <v>0</v>
      </c>
      <c r="AO635" s="125">
        <v>0</v>
      </c>
      <c r="AP635" s="121">
        <v>100662186</v>
      </c>
      <c r="AQ635" s="114">
        <v>0</v>
      </c>
      <c r="AR635" s="121">
        <v>5301.3072498000001</v>
      </c>
      <c r="AS635" s="121">
        <v>1041723.5219000001</v>
      </c>
      <c r="AT635" s="121">
        <v>137194.52069999999</v>
      </c>
      <c r="AU635" s="420" t="s">
        <v>2001</v>
      </c>
      <c r="AV635" s="420" t="s">
        <v>2001</v>
      </c>
      <c r="AW635" s="121">
        <v>0</v>
      </c>
      <c r="AX635" s="121">
        <v>15792541</v>
      </c>
      <c r="BI635">
        <v>0</v>
      </c>
      <c r="BJ635" s="121">
        <v>0</v>
      </c>
      <c r="BK635" s="134">
        <v>7953239386</v>
      </c>
      <c r="BL635" s="934">
        <v>4659</v>
      </c>
      <c r="BM635" s="934">
        <v>4618</v>
      </c>
      <c r="BN635" s="934">
        <v>4618</v>
      </c>
      <c r="BO635" s="114">
        <v>0</v>
      </c>
      <c r="BP635" s="114">
        <v>0</v>
      </c>
    </row>
    <row r="636" spans="1:68">
      <c r="A636" t="s">
        <v>2764</v>
      </c>
      <c r="B636" t="s">
        <v>601</v>
      </c>
      <c r="C636" s="121">
        <v>4634</v>
      </c>
      <c r="D636" s="72">
        <v>2</v>
      </c>
      <c r="E636">
        <v>181.63300000000001</v>
      </c>
      <c r="F636">
        <v>64</v>
      </c>
      <c r="G636">
        <v>18</v>
      </c>
      <c r="H636">
        <v>2</v>
      </c>
      <c r="I636" s="173">
        <v>1.17</v>
      </c>
      <c r="J636" s="121">
        <v>160120691</v>
      </c>
      <c r="K636" s="125">
        <v>1205.3019999999999</v>
      </c>
      <c r="L636" s="173">
        <v>1.5</v>
      </c>
      <c r="M636">
        <v>1.17</v>
      </c>
      <c r="N636">
        <v>1.000000005</v>
      </c>
      <c r="O636">
        <v>16.999999499999994</v>
      </c>
      <c r="P636">
        <v>723.80399999999997</v>
      </c>
      <c r="Q636" s="125">
        <v>2.5000000000000001E-2</v>
      </c>
      <c r="R636" s="125">
        <v>0</v>
      </c>
      <c r="S636" s="125">
        <v>2.1</v>
      </c>
      <c r="T636" s="125">
        <v>29.741</v>
      </c>
      <c r="U636" s="125">
        <v>0.65100000000000002</v>
      </c>
      <c r="V636" s="125">
        <v>9.8450000000000006</v>
      </c>
      <c r="W636" s="125">
        <v>2.7789999999999999</v>
      </c>
      <c r="X636" s="125">
        <v>0</v>
      </c>
      <c r="Y636" s="125">
        <v>0</v>
      </c>
      <c r="Z636" s="125">
        <v>0</v>
      </c>
      <c r="AA636" s="125">
        <v>27.015000000000001</v>
      </c>
      <c r="AB636" s="125">
        <v>24.844999999999999</v>
      </c>
      <c r="AC636" s="125">
        <v>509.9</v>
      </c>
      <c r="AD636" s="125">
        <v>0.70499999999999996</v>
      </c>
      <c r="AE636" s="125">
        <v>12.33</v>
      </c>
      <c r="AF636" s="125">
        <v>36.19</v>
      </c>
      <c r="AG636" s="125">
        <v>0</v>
      </c>
      <c r="AH636" s="125">
        <v>0</v>
      </c>
      <c r="AI636" s="121">
        <v>1947412</v>
      </c>
      <c r="AJ636" s="121">
        <v>0</v>
      </c>
      <c r="AK636" s="424">
        <v>12</v>
      </c>
      <c r="AL636">
        <v>0</v>
      </c>
      <c r="AM636" s="121">
        <v>65753</v>
      </c>
      <c r="AN636" s="125">
        <v>0</v>
      </c>
      <c r="AO636" s="125">
        <v>0</v>
      </c>
      <c r="AP636" s="121">
        <v>1947412</v>
      </c>
      <c r="AQ636" s="114">
        <v>0</v>
      </c>
      <c r="AR636" s="121">
        <v>106.72996736</v>
      </c>
      <c r="AS636" s="121">
        <v>20972.773742000001</v>
      </c>
      <c r="AT636" s="121">
        <v>2762.1048971999999</v>
      </c>
      <c r="AU636" s="420" t="s">
        <v>2001</v>
      </c>
      <c r="AV636" s="420" t="s">
        <v>2001</v>
      </c>
      <c r="AW636" s="121">
        <v>0</v>
      </c>
      <c r="AX636" s="121">
        <v>0</v>
      </c>
      <c r="BI636">
        <v>0</v>
      </c>
      <c r="BJ636" s="121">
        <v>0</v>
      </c>
      <c r="BK636" s="134">
        <v>160120691</v>
      </c>
      <c r="BL636" s="934">
        <v>4594</v>
      </c>
      <c r="BM636" s="934">
        <v>4634</v>
      </c>
      <c r="BN636" s="934">
        <v>4634</v>
      </c>
      <c r="BO636" s="114">
        <v>0</v>
      </c>
      <c r="BP636" s="114">
        <v>0</v>
      </c>
    </row>
    <row r="637" spans="1:68">
      <c r="A637" t="s">
        <v>2765</v>
      </c>
      <c r="B637" t="s">
        <v>602</v>
      </c>
      <c r="C637" s="121">
        <v>4584</v>
      </c>
      <c r="D637" s="72">
        <v>2</v>
      </c>
      <c r="E637">
        <v>329.036</v>
      </c>
      <c r="F637">
        <v>115</v>
      </c>
      <c r="G637">
        <v>116</v>
      </c>
      <c r="H637">
        <v>0</v>
      </c>
      <c r="I637" s="173">
        <v>1.04</v>
      </c>
      <c r="J637" s="121">
        <v>245068828</v>
      </c>
      <c r="K637" s="125">
        <v>1946.16</v>
      </c>
      <c r="L637" s="173">
        <v>1.5</v>
      </c>
      <c r="M637">
        <v>1.04</v>
      </c>
      <c r="N637">
        <v>1.000000005</v>
      </c>
      <c r="O637">
        <v>3.9999995000000066</v>
      </c>
      <c r="P637">
        <v>1265.0160000000001</v>
      </c>
      <c r="Q637" s="125">
        <v>0.36</v>
      </c>
      <c r="R637" s="125">
        <v>0</v>
      </c>
      <c r="S637" s="125">
        <v>4.04</v>
      </c>
      <c r="T637" s="125">
        <v>43.073</v>
      </c>
      <c r="U637" s="125">
        <v>11.452999999999999</v>
      </c>
      <c r="V637" s="125">
        <v>0</v>
      </c>
      <c r="W637" s="125">
        <v>5.2960000000000003</v>
      </c>
      <c r="X637" s="125">
        <v>0</v>
      </c>
      <c r="Y637" s="125">
        <v>0</v>
      </c>
      <c r="Z637" s="125">
        <v>1.786</v>
      </c>
      <c r="AA637" s="125">
        <v>20.097000000000001</v>
      </c>
      <c r="AB637" s="125">
        <v>73.040000000000006</v>
      </c>
      <c r="AC637" s="125">
        <v>1128.5999999999999</v>
      </c>
      <c r="AD637" s="125">
        <v>1.6779999999999999</v>
      </c>
      <c r="AE637" s="125">
        <v>90.036000000000001</v>
      </c>
      <c r="AF637" s="125">
        <v>63.250799999999998</v>
      </c>
      <c r="AG637" s="125">
        <v>0</v>
      </c>
      <c r="AH637" s="125">
        <v>0</v>
      </c>
      <c r="AI637" s="121">
        <v>2676152</v>
      </c>
      <c r="AJ637" s="121">
        <v>230533</v>
      </c>
      <c r="AK637" s="424">
        <v>12</v>
      </c>
      <c r="AL637">
        <v>0</v>
      </c>
      <c r="AM637" s="121">
        <v>131314</v>
      </c>
      <c r="AN637" s="125">
        <v>0</v>
      </c>
      <c r="AO637" s="125">
        <v>0</v>
      </c>
      <c r="AP637" s="121">
        <v>2906685</v>
      </c>
      <c r="AQ637" s="114">
        <v>0</v>
      </c>
      <c r="AR637" s="121">
        <v>163.35295488</v>
      </c>
      <c r="AS637" s="121">
        <v>32099.368600000002</v>
      </c>
      <c r="AT637" s="121">
        <v>4227.4724505000004</v>
      </c>
      <c r="AU637" s="420" t="s">
        <v>2001</v>
      </c>
      <c r="AV637" s="420" t="s">
        <v>2001</v>
      </c>
      <c r="AW637" s="121">
        <v>0</v>
      </c>
      <c r="AX637" s="121">
        <v>438854</v>
      </c>
      <c r="BI637">
        <v>0</v>
      </c>
      <c r="BJ637" s="121">
        <v>0</v>
      </c>
      <c r="BK637" s="134">
        <v>245068828</v>
      </c>
      <c r="BL637" s="934">
        <v>4573</v>
      </c>
      <c r="BM637" s="934">
        <v>4584</v>
      </c>
      <c r="BN637" s="934">
        <v>4584</v>
      </c>
      <c r="BO637" s="114">
        <v>0</v>
      </c>
      <c r="BP637" s="114">
        <v>0</v>
      </c>
    </row>
    <row r="638" spans="1:68">
      <c r="A638" t="s">
        <v>2414</v>
      </c>
      <c r="B638" t="s">
        <v>641</v>
      </c>
      <c r="C638" s="121">
        <v>4964</v>
      </c>
      <c r="D638" s="72">
        <v>2</v>
      </c>
      <c r="E638">
        <v>668.00300000000004</v>
      </c>
      <c r="F638">
        <v>256</v>
      </c>
      <c r="G638">
        <v>154</v>
      </c>
      <c r="H638">
        <v>5</v>
      </c>
      <c r="I638" s="173">
        <v>1.04</v>
      </c>
      <c r="J638" s="121">
        <v>1089550944</v>
      </c>
      <c r="K638" s="125">
        <v>4140.4260000000004</v>
      </c>
      <c r="L638" s="173">
        <v>1.397</v>
      </c>
      <c r="M638">
        <v>1.04</v>
      </c>
      <c r="N638">
        <v>0.93133333799000007</v>
      </c>
      <c r="O638">
        <v>10.866666200999997</v>
      </c>
      <c r="P638">
        <v>3021.8119999999999</v>
      </c>
      <c r="Q638" s="125">
        <v>0.17100000000000001</v>
      </c>
      <c r="R638" s="125">
        <v>0</v>
      </c>
      <c r="S638" s="125">
        <v>6.4889999999999999</v>
      </c>
      <c r="T638" s="125">
        <v>186.26400000000001</v>
      </c>
      <c r="U638" s="125">
        <v>25.135999999999999</v>
      </c>
      <c r="V638" s="125">
        <v>0</v>
      </c>
      <c r="W638" s="125">
        <v>22.178000000000001</v>
      </c>
      <c r="X638" s="125">
        <v>0</v>
      </c>
      <c r="Y638" s="125">
        <v>0</v>
      </c>
      <c r="Z638" s="125">
        <v>0</v>
      </c>
      <c r="AA638" s="125">
        <v>2.3620000000000001</v>
      </c>
      <c r="AB638" s="125">
        <v>118.97</v>
      </c>
      <c r="AC638" s="125">
        <v>1354.3</v>
      </c>
      <c r="AD638" s="125">
        <v>1.214</v>
      </c>
      <c r="AE638" s="125">
        <v>73.893000000000001</v>
      </c>
      <c r="AF638" s="125">
        <v>151.09059999999999</v>
      </c>
      <c r="AG638" s="125">
        <v>0</v>
      </c>
      <c r="AH638" s="125">
        <v>0</v>
      </c>
      <c r="AI638" s="121">
        <v>12135854</v>
      </c>
      <c r="AJ638" s="121">
        <v>2592077</v>
      </c>
      <c r="AK638" s="424">
        <v>12</v>
      </c>
      <c r="AL638">
        <v>0</v>
      </c>
      <c r="AM638" s="121">
        <v>240450</v>
      </c>
      <c r="AN638" s="125">
        <v>0</v>
      </c>
      <c r="AO638" s="125">
        <v>0</v>
      </c>
      <c r="AP638" s="121">
        <v>14727931</v>
      </c>
      <c r="AQ638" s="114">
        <v>0</v>
      </c>
      <c r="AR638" s="121">
        <v>726.25052989000005</v>
      </c>
      <c r="AS638" s="121">
        <v>142710.50972</v>
      </c>
      <c r="AT638" s="121">
        <v>18794.910134999998</v>
      </c>
      <c r="AU638" s="420" t="s">
        <v>2001</v>
      </c>
      <c r="AV638" s="420" t="s">
        <v>2001</v>
      </c>
      <c r="AW638" s="121">
        <v>0</v>
      </c>
      <c r="AX638" s="121">
        <v>2920451</v>
      </c>
      <c r="BI638">
        <v>0</v>
      </c>
      <c r="BJ638" s="121">
        <v>0</v>
      </c>
      <c r="BK638" s="134">
        <v>1089550944</v>
      </c>
      <c r="BL638" s="934">
        <v>4811</v>
      </c>
      <c r="BM638" s="934">
        <v>4964</v>
      </c>
      <c r="BN638" s="934">
        <v>4942</v>
      </c>
      <c r="BO638" s="114">
        <v>0</v>
      </c>
      <c r="BP638" s="114">
        <v>0</v>
      </c>
    </row>
    <row r="639" spans="1:68">
      <c r="A639" t="s">
        <v>1603</v>
      </c>
      <c r="B639" t="s">
        <v>2627</v>
      </c>
      <c r="C639" s="121">
        <v>4856</v>
      </c>
      <c r="D639" s="72">
        <v>3</v>
      </c>
      <c r="E639">
        <v>1541.8510000000001</v>
      </c>
      <c r="F639">
        <v>533</v>
      </c>
      <c r="G639">
        <v>253</v>
      </c>
      <c r="H639">
        <v>24</v>
      </c>
      <c r="I639" s="173">
        <v>1.04</v>
      </c>
      <c r="J639" s="121">
        <v>1940985542</v>
      </c>
      <c r="K639" s="125">
        <v>7261.2669999999998</v>
      </c>
      <c r="L639" s="173">
        <v>1.4111</v>
      </c>
      <c r="M639">
        <v>1.04</v>
      </c>
      <c r="N639">
        <v>0.94073333803699999</v>
      </c>
      <c r="O639">
        <v>9.9266661963000047</v>
      </c>
      <c r="P639">
        <v>5930.4070000000002</v>
      </c>
      <c r="Q639" s="125">
        <v>0.36499999999999999</v>
      </c>
      <c r="R639" s="125">
        <v>0</v>
      </c>
      <c r="S639" s="125">
        <v>13.911</v>
      </c>
      <c r="T639" s="125">
        <v>115.791</v>
      </c>
      <c r="U639" s="125">
        <v>45.045999999999999</v>
      </c>
      <c r="V639" s="125">
        <v>0</v>
      </c>
      <c r="W639" s="125">
        <v>4.375</v>
      </c>
      <c r="X639" s="125">
        <v>0</v>
      </c>
      <c r="Y639" s="125">
        <v>0</v>
      </c>
      <c r="Z639" s="125">
        <v>11.856</v>
      </c>
      <c r="AA639" s="125">
        <v>73.241</v>
      </c>
      <c r="AB639" s="125">
        <v>323.40699999999998</v>
      </c>
      <c r="AC639" s="125">
        <v>2320.6</v>
      </c>
      <c r="AD639" s="125">
        <v>1.484</v>
      </c>
      <c r="AE639" s="125">
        <v>133.91999999999999</v>
      </c>
      <c r="AF639" s="125">
        <v>296.52</v>
      </c>
      <c r="AG639" s="125">
        <v>0</v>
      </c>
      <c r="AH639" s="125">
        <v>0</v>
      </c>
      <c r="AI639" s="121">
        <v>21017040</v>
      </c>
      <c r="AJ639" s="121">
        <v>4710216</v>
      </c>
      <c r="AK639" s="424">
        <v>12</v>
      </c>
      <c r="AL639">
        <v>0</v>
      </c>
      <c r="AM639" s="121">
        <v>347997</v>
      </c>
      <c r="AN639" s="125">
        <v>0</v>
      </c>
      <c r="AO639" s="125">
        <v>0</v>
      </c>
      <c r="AP639" s="121">
        <v>25727256</v>
      </c>
      <c r="AQ639" s="114">
        <v>0</v>
      </c>
      <c r="AR639" s="121">
        <v>1293.7823478</v>
      </c>
      <c r="AS639" s="121">
        <v>254232.29412000001</v>
      </c>
      <c r="AT639" s="121">
        <v>33482.279132000003</v>
      </c>
      <c r="AU639" s="420" t="s">
        <v>2001</v>
      </c>
      <c r="AV639" s="420" t="s">
        <v>2001</v>
      </c>
      <c r="AW639" s="121">
        <v>0</v>
      </c>
      <c r="AX639" s="121">
        <v>9897629</v>
      </c>
      <c r="BI639">
        <v>0</v>
      </c>
      <c r="BJ639" s="121">
        <v>0</v>
      </c>
      <c r="BK639" s="134">
        <v>1940985542</v>
      </c>
      <c r="BL639" s="934">
        <v>4696</v>
      </c>
      <c r="BM639" s="934">
        <v>4707</v>
      </c>
      <c r="BN639" s="934">
        <v>4856</v>
      </c>
      <c r="BO639" s="114">
        <v>0</v>
      </c>
      <c r="BP639" s="114">
        <v>0</v>
      </c>
    </row>
    <row r="640" spans="1:68">
      <c r="A640" t="s">
        <v>2766</v>
      </c>
      <c r="B640" t="s">
        <v>603</v>
      </c>
      <c r="C640" s="121">
        <v>4713</v>
      </c>
      <c r="D640" s="72">
        <v>2</v>
      </c>
      <c r="E640">
        <v>310.36900000000003</v>
      </c>
      <c r="F640">
        <v>100</v>
      </c>
      <c r="G640">
        <v>78</v>
      </c>
      <c r="H640">
        <v>9</v>
      </c>
      <c r="I640" s="173">
        <v>1.04</v>
      </c>
      <c r="J640" s="121">
        <v>190150818</v>
      </c>
      <c r="K640" s="125">
        <v>1750.213</v>
      </c>
      <c r="L640" s="173">
        <v>1.5</v>
      </c>
      <c r="M640">
        <v>1.04</v>
      </c>
      <c r="N640">
        <v>1.000000005</v>
      </c>
      <c r="O640">
        <v>3.9999995000000066</v>
      </c>
      <c r="P640">
        <v>1029.606</v>
      </c>
      <c r="Q640" s="125">
        <v>0.183</v>
      </c>
      <c r="R640" s="125">
        <v>0</v>
      </c>
      <c r="S640" s="125">
        <v>3.1179999999999999</v>
      </c>
      <c r="T640" s="125">
        <v>27.370999999999999</v>
      </c>
      <c r="U640" s="125">
        <v>7.6059999999999999</v>
      </c>
      <c r="V640" s="125">
        <v>0</v>
      </c>
      <c r="W640" s="125">
        <v>5.1340000000000003</v>
      </c>
      <c r="X640" s="125">
        <v>0</v>
      </c>
      <c r="Y640" s="125">
        <v>0</v>
      </c>
      <c r="Z640" s="125">
        <v>21.625</v>
      </c>
      <c r="AA640" s="125">
        <v>40.872</v>
      </c>
      <c r="AB640" s="125">
        <v>57.712000000000003</v>
      </c>
      <c r="AC640" s="125">
        <v>1006.5</v>
      </c>
      <c r="AD640" s="125">
        <v>2.2719999999999998</v>
      </c>
      <c r="AE640" s="125">
        <v>35.079000000000001</v>
      </c>
      <c r="AF640" s="125">
        <v>51.48</v>
      </c>
      <c r="AG640" s="125">
        <v>0</v>
      </c>
      <c r="AH640" s="125">
        <v>0</v>
      </c>
      <c r="AI640" s="121">
        <v>1951860</v>
      </c>
      <c r="AJ640" s="121">
        <v>308045</v>
      </c>
      <c r="AK640" s="424">
        <v>12</v>
      </c>
      <c r="AL640">
        <v>0</v>
      </c>
      <c r="AM640" s="121">
        <v>202072</v>
      </c>
      <c r="AN640" s="125">
        <v>0</v>
      </c>
      <c r="AO640" s="125">
        <v>0</v>
      </c>
      <c r="AP640" s="121">
        <v>2259905</v>
      </c>
      <c r="AQ640" s="114">
        <v>0</v>
      </c>
      <c r="AR640" s="121">
        <v>126.74683372</v>
      </c>
      <c r="AS640" s="121">
        <v>24906.150840999999</v>
      </c>
      <c r="AT640" s="121">
        <v>3280.1288973000001</v>
      </c>
      <c r="AU640" s="420" t="s">
        <v>2001</v>
      </c>
      <c r="AV640" s="420" t="s">
        <v>2001</v>
      </c>
      <c r="AW640" s="121">
        <v>0</v>
      </c>
      <c r="AX640" s="121">
        <v>593200</v>
      </c>
      <c r="BI640">
        <v>0</v>
      </c>
      <c r="BJ640" s="121">
        <v>0</v>
      </c>
      <c r="BK640" s="134">
        <v>190150818</v>
      </c>
      <c r="BL640" s="934">
        <v>4632</v>
      </c>
      <c r="BM640" s="934">
        <v>4713</v>
      </c>
      <c r="BN640" s="934">
        <v>4713</v>
      </c>
      <c r="BO640" s="114">
        <v>0</v>
      </c>
      <c r="BP640" s="114">
        <v>0</v>
      </c>
    </row>
    <row r="641" spans="1:68">
      <c r="A641" t="s">
        <v>538</v>
      </c>
      <c r="B641" t="s">
        <v>1417</v>
      </c>
      <c r="C641" s="121">
        <v>4745</v>
      </c>
      <c r="D641" s="72">
        <v>2</v>
      </c>
      <c r="E641">
        <v>392.88</v>
      </c>
      <c r="F641">
        <v>129</v>
      </c>
      <c r="G641">
        <v>60</v>
      </c>
      <c r="H641">
        <v>8</v>
      </c>
      <c r="I641" s="173">
        <v>1.17</v>
      </c>
      <c r="J641" s="121">
        <v>182771925</v>
      </c>
      <c r="K641" s="125">
        <v>1818.5440000000001</v>
      </c>
      <c r="L641" s="173">
        <v>1.5</v>
      </c>
      <c r="M641">
        <v>1.17</v>
      </c>
      <c r="N641">
        <v>1.000000005</v>
      </c>
      <c r="O641">
        <v>16.999999499999994</v>
      </c>
      <c r="P641">
        <v>1303.0060000000001</v>
      </c>
      <c r="Q641" s="125">
        <v>4.4999999999999998E-2</v>
      </c>
      <c r="R641" s="125">
        <v>0</v>
      </c>
      <c r="S641" s="125">
        <v>2.76</v>
      </c>
      <c r="T641" s="125">
        <v>38.238999999999997</v>
      </c>
      <c r="U641" s="125">
        <v>7.4459999999999997</v>
      </c>
      <c r="V641" s="125">
        <v>0</v>
      </c>
      <c r="W641" s="125">
        <v>0.55200000000000005</v>
      </c>
      <c r="X641" s="125">
        <v>0</v>
      </c>
      <c r="Y641" s="125">
        <v>0</v>
      </c>
      <c r="Z641" s="125">
        <v>0</v>
      </c>
      <c r="AA641" s="125">
        <v>33.090000000000003</v>
      </c>
      <c r="AB641" s="125">
        <v>102.438</v>
      </c>
      <c r="AC641" s="125">
        <v>610.1</v>
      </c>
      <c r="AD641" s="125">
        <v>0.59199999999999997</v>
      </c>
      <c r="AE641" s="125">
        <v>26.097999999999999</v>
      </c>
      <c r="AF641" s="125">
        <v>65.150000000000006</v>
      </c>
      <c r="AG641" s="125">
        <v>0</v>
      </c>
      <c r="AH641" s="125">
        <v>0</v>
      </c>
      <c r="AI641" s="121">
        <v>2222900</v>
      </c>
      <c r="AJ641" s="121">
        <v>463206</v>
      </c>
      <c r="AK641" s="424">
        <v>12</v>
      </c>
      <c r="AL641">
        <v>0</v>
      </c>
      <c r="AM641" s="121">
        <v>202960</v>
      </c>
      <c r="AN641" s="125">
        <v>0</v>
      </c>
      <c r="AO641" s="125">
        <v>0</v>
      </c>
      <c r="AP641" s="121">
        <v>2686106</v>
      </c>
      <c r="AQ641" s="114">
        <v>0</v>
      </c>
      <c r="AR641" s="121">
        <v>121.82836251000001</v>
      </c>
      <c r="AS641" s="121">
        <v>23939.655803000001</v>
      </c>
      <c r="AT641" s="121">
        <v>3152.8419340999999</v>
      </c>
      <c r="AU641" s="420" t="s">
        <v>2001</v>
      </c>
      <c r="AV641" s="420" t="s">
        <v>2001</v>
      </c>
      <c r="AW641" s="121">
        <v>0</v>
      </c>
      <c r="AX641" s="121">
        <v>1063457</v>
      </c>
      <c r="BI641">
        <v>0</v>
      </c>
      <c r="BJ641" s="121">
        <v>0</v>
      </c>
      <c r="BK641" s="134">
        <v>182771925</v>
      </c>
      <c r="BL641" s="934">
        <v>4622</v>
      </c>
      <c r="BM641" s="934">
        <v>4745</v>
      </c>
      <c r="BN641" s="934">
        <v>4679</v>
      </c>
      <c r="BO641" s="114">
        <v>0</v>
      </c>
      <c r="BP641" s="114">
        <v>0</v>
      </c>
    </row>
    <row r="642" spans="1:68">
      <c r="A642" t="s">
        <v>775</v>
      </c>
      <c r="B642" t="s">
        <v>604</v>
      </c>
      <c r="C642" s="121">
        <v>4522</v>
      </c>
      <c r="D642" s="72">
        <v>3</v>
      </c>
      <c r="E642">
        <v>251.86500000000001</v>
      </c>
      <c r="F642">
        <v>77</v>
      </c>
      <c r="G642">
        <v>29</v>
      </c>
      <c r="H642">
        <v>4</v>
      </c>
      <c r="I642" s="173">
        <v>1.17</v>
      </c>
      <c r="J642" s="121">
        <v>181651062</v>
      </c>
      <c r="K642" s="125">
        <v>1314.52</v>
      </c>
      <c r="L642" s="173">
        <v>1.44</v>
      </c>
      <c r="M642">
        <v>1.17</v>
      </c>
      <c r="N642">
        <v>0.96000000480000003</v>
      </c>
      <c r="O642">
        <v>20.999999519999989</v>
      </c>
      <c r="P642">
        <v>862.45</v>
      </c>
      <c r="Q642" s="125">
        <v>9.9000000000000005E-2</v>
      </c>
      <c r="R642" s="125">
        <v>0</v>
      </c>
      <c r="S642" s="125">
        <v>1.958</v>
      </c>
      <c r="T642" s="125">
        <v>35.026000000000003</v>
      </c>
      <c r="U642" s="125">
        <v>1.365</v>
      </c>
      <c r="V642" s="125">
        <v>3.9550000000000001</v>
      </c>
      <c r="W642" s="125">
        <v>0</v>
      </c>
      <c r="X642" s="125">
        <v>0</v>
      </c>
      <c r="Y642" s="125">
        <v>0</v>
      </c>
      <c r="Z642" s="125">
        <v>0</v>
      </c>
      <c r="AA642" s="125">
        <v>17.856000000000002</v>
      </c>
      <c r="AB642" s="125">
        <v>46.357999999999997</v>
      </c>
      <c r="AC642" s="125">
        <v>397.7</v>
      </c>
      <c r="AD642" s="125">
        <v>0.8</v>
      </c>
      <c r="AE642" s="125">
        <v>18.652000000000001</v>
      </c>
      <c r="AF642" s="125">
        <v>40</v>
      </c>
      <c r="AG642" s="125">
        <v>0</v>
      </c>
      <c r="AH642" s="125">
        <v>0</v>
      </c>
      <c r="AI642" s="121">
        <v>2148654</v>
      </c>
      <c r="AJ642" s="121">
        <v>161304</v>
      </c>
      <c r="AK642" s="424">
        <v>12</v>
      </c>
      <c r="AL642">
        <v>0</v>
      </c>
      <c r="AM642" s="121">
        <v>43196</v>
      </c>
      <c r="AN642" s="125">
        <v>0</v>
      </c>
      <c r="AO642" s="125">
        <v>0</v>
      </c>
      <c r="AP642" s="121">
        <v>2309958</v>
      </c>
      <c r="AQ642" s="114">
        <v>0</v>
      </c>
      <c r="AR642" s="121">
        <v>121.08124063</v>
      </c>
      <c r="AS642" s="121">
        <v>23792.844008</v>
      </c>
      <c r="AT642" s="121">
        <v>3133.5068864999998</v>
      </c>
      <c r="AU642" s="420" t="s">
        <v>2001</v>
      </c>
      <c r="AV642" s="420" t="s">
        <v>2001</v>
      </c>
      <c r="AW642" s="121">
        <v>0</v>
      </c>
      <c r="AX642" s="121">
        <v>279125</v>
      </c>
      <c r="BI642">
        <v>0</v>
      </c>
      <c r="BJ642" s="121">
        <v>0</v>
      </c>
      <c r="BK642" s="134">
        <v>181651062</v>
      </c>
      <c r="BL642" s="934">
        <v>4401</v>
      </c>
      <c r="BM642" s="934">
        <v>4512</v>
      </c>
      <c r="BN642" s="934">
        <v>4522</v>
      </c>
      <c r="BO642" s="114">
        <v>0</v>
      </c>
      <c r="BP642" s="114">
        <v>0</v>
      </c>
    </row>
    <row r="643" spans="1:68">
      <c r="A643" t="s">
        <v>2679</v>
      </c>
      <c r="B643" t="s">
        <v>3022</v>
      </c>
      <c r="C643" s="121">
        <v>5058</v>
      </c>
      <c r="D643" s="72">
        <v>1</v>
      </c>
      <c r="E643">
        <v>84.01</v>
      </c>
      <c r="F643">
        <v>38</v>
      </c>
      <c r="G643">
        <v>30</v>
      </c>
      <c r="H643">
        <v>5</v>
      </c>
      <c r="I643" s="173">
        <v>1.0129999999999999</v>
      </c>
      <c r="J643" s="121">
        <v>89560930</v>
      </c>
      <c r="K643" s="125">
        <v>714.62</v>
      </c>
      <c r="L643" s="173">
        <v>1.4</v>
      </c>
      <c r="M643">
        <v>1.0129999999999999</v>
      </c>
      <c r="N643">
        <v>0.93333333799999996</v>
      </c>
      <c r="O643">
        <v>7.9666661999999944</v>
      </c>
      <c r="P643">
        <v>347.91500000000002</v>
      </c>
      <c r="Q643" s="125">
        <v>0</v>
      </c>
      <c r="R643" s="125">
        <v>0</v>
      </c>
      <c r="S643" s="125">
        <v>0.69499999999999995</v>
      </c>
      <c r="T643" s="125">
        <v>6.4939999999999998</v>
      </c>
      <c r="U643" s="125">
        <v>0</v>
      </c>
      <c r="V643" s="125">
        <v>0</v>
      </c>
      <c r="W643" s="125">
        <v>0</v>
      </c>
      <c r="X643" s="125">
        <v>0</v>
      </c>
      <c r="Y643" s="125">
        <v>0</v>
      </c>
      <c r="Z643" s="125">
        <v>0</v>
      </c>
      <c r="AA643" s="125">
        <v>21.177</v>
      </c>
      <c r="AB643" s="125">
        <v>17.146000000000001</v>
      </c>
      <c r="AC643" s="125">
        <v>320</v>
      </c>
      <c r="AD643" s="125">
        <v>3.6999999999999998E-2</v>
      </c>
      <c r="AE643" s="125">
        <v>24.326000000000001</v>
      </c>
      <c r="AF643" s="125">
        <v>17.39575</v>
      </c>
      <c r="AG643" s="125">
        <v>0</v>
      </c>
      <c r="AH643" s="125">
        <v>0</v>
      </c>
      <c r="AI643" s="121">
        <v>933563</v>
      </c>
      <c r="AJ643" s="121">
        <v>79050</v>
      </c>
      <c r="AK643" s="424">
        <v>12</v>
      </c>
      <c r="AL643">
        <v>0</v>
      </c>
      <c r="AM643" s="121">
        <v>36622</v>
      </c>
      <c r="AN643" s="125">
        <v>0</v>
      </c>
      <c r="AO643" s="125">
        <v>0</v>
      </c>
      <c r="AP643" s="121">
        <v>1012613</v>
      </c>
      <c r="AQ643" s="114">
        <v>0</v>
      </c>
      <c r="AR643" s="121">
        <v>59.697688509000002</v>
      </c>
      <c r="AS643" s="121">
        <v>11730.783256999999</v>
      </c>
      <c r="AT643" s="121">
        <v>1544.9388945000001</v>
      </c>
      <c r="AU643" s="420" t="s">
        <v>2001</v>
      </c>
      <c r="AV643" s="420" t="s">
        <v>2001</v>
      </c>
      <c r="AW643" s="121">
        <v>0</v>
      </c>
      <c r="AX643" s="121">
        <v>127500</v>
      </c>
      <c r="BI643">
        <v>0</v>
      </c>
      <c r="BJ643" s="121">
        <v>0</v>
      </c>
      <c r="BK643" s="134">
        <v>89560930</v>
      </c>
      <c r="BL643" s="934">
        <v>5058</v>
      </c>
      <c r="BM643" s="934">
        <v>4804</v>
      </c>
      <c r="BN643" s="934">
        <v>4853</v>
      </c>
      <c r="BO643" s="114">
        <v>0</v>
      </c>
      <c r="BP643" s="114">
        <v>0</v>
      </c>
    </row>
    <row r="644" spans="1:68">
      <c r="A644" t="s">
        <v>2680</v>
      </c>
      <c r="B644" t="s">
        <v>606</v>
      </c>
      <c r="C644" s="121">
        <v>4542</v>
      </c>
      <c r="D644" s="72">
        <v>2</v>
      </c>
      <c r="E644">
        <v>179.16</v>
      </c>
      <c r="F644">
        <v>64</v>
      </c>
      <c r="G644">
        <v>48</v>
      </c>
      <c r="H644">
        <v>1</v>
      </c>
      <c r="I644" s="173">
        <v>1.04</v>
      </c>
      <c r="J644" s="121">
        <v>94903716</v>
      </c>
      <c r="K644" s="125">
        <v>1178.29</v>
      </c>
      <c r="L644" s="173">
        <v>1.5</v>
      </c>
      <c r="M644">
        <v>1.04</v>
      </c>
      <c r="N644">
        <v>1.000000005</v>
      </c>
      <c r="O644">
        <v>3.9999995000000066</v>
      </c>
      <c r="P644">
        <v>589.25199999999995</v>
      </c>
      <c r="Q644" s="125">
        <v>0.157</v>
      </c>
      <c r="R644" s="125">
        <v>0</v>
      </c>
      <c r="S644" s="125">
        <v>0.73799999999999999</v>
      </c>
      <c r="T644" s="125">
        <v>25.257999999999999</v>
      </c>
      <c r="U644" s="125">
        <v>4.0270000000000001</v>
      </c>
      <c r="V644" s="125">
        <v>1.2689999999999999</v>
      </c>
      <c r="W644" s="125">
        <v>0</v>
      </c>
      <c r="X644" s="125">
        <v>0</v>
      </c>
      <c r="Y644" s="125">
        <v>0</v>
      </c>
      <c r="Z644" s="125">
        <v>0</v>
      </c>
      <c r="AA644" s="125">
        <v>9.1180000000000003</v>
      </c>
      <c r="AB644" s="125">
        <v>53.19</v>
      </c>
      <c r="AC644" s="125">
        <v>542.79999999999995</v>
      </c>
      <c r="AD644" s="125">
        <v>0.57199999999999995</v>
      </c>
      <c r="AE644" s="125">
        <v>37.795999999999999</v>
      </c>
      <c r="AF644" s="125">
        <v>29.462599999999998</v>
      </c>
      <c r="AG644" s="125">
        <v>0</v>
      </c>
      <c r="AH644" s="125">
        <v>0</v>
      </c>
      <c r="AI644" s="121">
        <v>1005258</v>
      </c>
      <c r="AJ644" s="121">
        <v>0</v>
      </c>
      <c r="AK644" s="424">
        <v>12</v>
      </c>
      <c r="AL644">
        <v>0</v>
      </c>
      <c r="AM644" s="121">
        <v>20441</v>
      </c>
      <c r="AN644" s="125">
        <v>0</v>
      </c>
      <c r="AO644" s="125">
        <v>0</v>
      </c>
      <c r="AP644" s="121">
        <v>1005258</v>
      </c>
      <c r="AQ644" s="114">
        <v>0</v>
      </c>
      <c r="AR644" s="121">
        <v>63.258973261000001</v>
      </c>
      <c r="AS644" s="121">
        <v>12430.586894</v>
      </c>
      <c r="AT644" s="121">
        <v>1637.1027197000001</v>
      </c>
      <c r="AU644" s="420" t="s">
        <v>2001</v>
      </c>
      <c r="AV644" s="420" t="s">
        <v>2001</v>
      </c>
      <c r="AW644" s="121">
        <v>0</v>
      </c>
      <c r="AX644" s="121">
        <v>0</v>
      </c>
      <c r="BI644">
        <v>0</v>
      </c>
      <c r="BJ644" s="121">
        <v>0</v>
      </c>
      <c r="BK644" s="134">
        <v>94903716</v>
      </c>
      <c r="BL644" s="934">
        <v>4479</v>
      </c>
      <c r="BM644" s="934">
        <v>4542</v>
      </c>
      <c r="BN644" s="934">
        <v>4542</v>
      </c>
      <c r="BO644" s="114">
        <v>0</v>
      </c>
      <c r="BP644" s="114">
        <v>0</v>
      </c>
    </row>
    <row r="645" spans="1:68">
      <c r="A645" t="s">
        <v>2681</v>
      </c>
      <c r="B645" t="s">
        <v>607</v>
      </c>
      <c r="C645" s="121">
        <v>4803</v>
      </c>
      <c r="D645" s="72">
        <v>2</v>
      </c>
      <c r="E645">
        <v>62.622999999999998</v>
      </c>
      <c r="F645">
        <v>22</v>
      </c>
      <c r="G645">
        <v>13</v>
      </c>
      <c r="H645">
        <v>0</v>
      </c>
      <c r="I645" s="173">
        <v>1.17</v>
      </c>
      <c r="J645" s="121">
        <v>40916313</v>
      </c>
      <c r="K645" s="125">
        <v>323.108</v>
      </c>
      <c r="L645" s="173">
        <v>1.5</v>
      </c>
      <c r="M645">
        <v>1.17</v>
      </c>
      <c r="N645">
        <v>1.000000005</v>
      </c>
      <c r="O645">
        <v>16.999999499999994</v>
      </c>
      <c r="P645">
        <v>180.39699999999999</v>
      </c>
      <c r="Q645" s="125">
        <v>0.08</v>
      </c>
      <c r="R645" s="125">
        <v>0</v>
      </c>
      <c r="S645" s="125">
        <v>0.629</v>
      </c>
      <c r="T645" s="125">
        <v>6.0339999999999998</v>
      </c>
      <c r="U645" s="125">
        <v>0</v>
      </c>
      <c r="V645" s="125">
        <v>0.64600000000000002</v>
      </c>
      <c r="W645" s="125">
        <v>0</v>
      </c>
      <c r="X645" s="125">
        <v>0</v>
      </c>
      <c r="Y645" s="125">
        <v>0</v>
      </c>
      <c r="Z645" s="125">
        <v>0</v>
      </c>
      <c r="AA645" s="125">
        <v>2.9079999999999999</v>
      </c>
      <c r="AB645" s="125">
        <v>11.641</v>
      </c>
      <c r="AC645" s="125">
        <v>126.3</v>
      </c>
      <c r="AD645" s="125">
        <v>0</v>
      </c>
      <c r="AE645" s="125">
        <v>18.614999999999998</v>
      </c>
      <c r="AF645" s="125">
        <v>9.0198499999999999</v>
      </c>
      <c r="AG645" s="125">
        <v>0</v>
      </c>
      <c r="AH645" s="125">
        <v>0</v>
      </c>
      <c r="AI645" s="121">
        <v>492604</v>
      </c>
      <c r="AJ645" s="121">
        <v>31447</v>
      </c>
      <c r="AK645" s="424">
        <v>12</v>
      </c>
      <c r="AL645">
        <v>0</v>
      </c>
      <c r="AM645" s="121">
        <v>18486</v>
      </c>
      <c r="AN645" s="125">
        <v>0</v>
      </c>
      <c r="AO645" s="125">
        <v>0</v>
      </c>
      <c r="AP645" s="121">
        <v>524051</v>
      </c>
      <c r="AQ645" s="114">
        <v>0</v>
      </c>
      <c r="AR645" s="121">
        <v>27.273157039000001</v>
      </c>
      <c r="AS645" s="121">
        <v>5359.2610021999999</v>
      </c>
      <c r="AT645" s="121">
        <v>705.81227077000005</v>
      </c>
      <c r="AU645" s="420" t="s">
        <v>2001</v>
      </c>
      <c r="AV645" s="420" t="s">
        <v>2001</v>
      </c>
      <c r="AW645" s="121">
        <v>0</v>
      </c>
      <c r="AX645" s="121">
        <v>53448</v>
      </c>
      <c r="BI645">
        <v>0</v>
      </c>
      <c r="BJ645" s="121">
        <v>0</v>
      </c>
      <c r="BK645" s="134">
        <v>40916313</v>
      </c>
      <c r="BL645" s="934">
        <v>4691</v>
      </c>
      <c r="BM645" s="934">
        <v>4803</v>
      </c>
      <c r="BN645" s="934">
        <v>4787</v>
      </c>
      <c r="BO645" s="114">
        <v>0</v>
      </c>
      <c r="BP645" s="114">
        <v>0</v>
      </c>
    </row>
    <row r="646" spans="1:68">
      <c r="A646" t="s">
        <v>1651</v>
      </c>
      <c r="B646" t="s">
        <v>608</v>
      </c>
      <c r="C646" s="121">
        <v>4565</v>
      </c>
      <c r="D646" s="72">
        <v>2</v>
      </c>
      <c r="E646">
        <v>34.127000000000002</v>
      </c>
      <c r="F646">
        <v>18</v>
      </c>
      <c r="G646">
        <v>10</v>
      </c>
      <c r="H646">
        <v>4</v>
      </c>
      <c r="I646" s="173">
        <v>1.04</v>
      </c>
      <c r="J646" s="121">
        <v>37832805</v>
      </c>
      <c r="K646" s="125">
        <v>284.339</v>
      </c>
      <c r="L646" s="173">
        <v>1.5</v>
      </c>
      <c r="M646">
        <v>1.04</v>
      </c>
      <c r="N646">
        <v>1.000000005</v>
      </c>
      <c r="O646">
        <v>3.9999995000000066</v>
      </c>
      <c r="P646">
        <v>150</v>
      </c>
      <c r="Q646" s="125">
        <v>4.0000000000000001E-3</v>
      </c>
      <c r="R646" s="125">
        <v>0</v>
      </c>
      <c r="S646" s="125">
        <v>8.1000000000000003E-2</v>
      </c>
      <c r="T646" s="125">
        <v>4.5999999999999996</v>
      </c>
      <c r="U646" s="125">
        <v>0.86799999999999999</v>
      </c>
      <c r="V646" s="125">
        <v>0</v>
      </c>
      <c r="W646" s="125">
        <v>0</v>
      </c>
      <c r="X646" s="125">
        <v>0</v>
      </c>
      <c r="Y646" s="125">
        <v>0</v>
      </c>
      <c r="Z646" s="125">
        <v>0</v>
      </c>
      <c r="AA646" s="125">
        <v>6</v>
      </c>
      <c r="AB646" s="125">
        <v>11</v>
      </c>
      <c r="AC646" s="125">
        <v>144</v>
      </c>
      <c r="AD646" s="125">
        <v>0.27100000000000002</v>
      </c>
      <c r="AE646" s="125">
        <v>16.5</v>
      </c>
      <c r="AF646" s="125">
        <v>7.5</v>
      </c>
      <c r="AG646" s="125">
        <v>0</v>
      </c>
      <c r="AH646" s="125">
        <v>0</v>
      </c>
      <c r="AI646" s="121">
        <v>396609</v>
      </c>
      <c r="AJ646" s="121">
        <v>21059</v>
      </c>
      <c r="AK646" s="424">
        <v>12</v>
      </c>
      <c r="AL646">
        <v>0</v>
      </c>
      <c r="AM646" s="121">
        <v>22250</v>
      </c>
      <c r="AN646" s="125">
        <v>0</v>
      </c>
      <c r="AO646" s="125">
        <v>0</v>
      </c>
      <c r="AP646" s="121">
        <v>417668</v>
      </c>
      <c r="AQ646" s="114">
        <v>0</v>
      </c>
      <c r="AR646" s="121">
        <v>25.217815495</v>
      </c>
      <c r="AS646" s="121">
        <v>4955.3799345999996</v>
      </c>
      <c r="AT646" s="121">
        <v>652.62131527999998</v>
      </c>
      <c r="AU646" s="420" t="s">
        <v>2001</v>
      </c>
      <c r="AV646" s="420" t="s">
        <v>2001</v>
      </c>
      <c r="AW646" s="121">
        <v>0</v>
      </c>
      <c r="AX646" s="121">
        <v>44772</v>
      </c>
      <c r="BI646">
        <v>0</v>
      </c>
      <c r="BJ646" s="121">
        <v>0</v>
      </c>
      <c r="BK646" s="134">
        <v>37832805</v>
      </c>
      <c r="BL646" s="934">
        <v>4563</v>
      </c>
      <c r="BM646" s="934">
        <v>4565</v>
      </c>
      <c r="BN646" s="934">
        <v>4565</v>
      </c>
      <c r="BO646" s="114">
        <v>0</v>
      </c>
      <c r="BP646" s="114">
        <v>0</v>
      </c>
    </row>
    <row r="647" spans="1:68">
      <c r="A647" t="s">
        <v>2389</v>
      </c>
      <c r="B647" t="s">
        <v>44</v>
      </c>
      <c r="C647" s="121">
        <v>4800</v>
      </c>
      <c r="D647" s="72">
        <v>2</v>
      </c>
      <c r="E647">
        <v>576.28499999999997</v>
      </c>
      <c r="F647">
        <v>164</v>
      </c>
      <c r="G647">
        <v>114</v>
      </c>
      <c r="H647">
        <v>0</v>
      </c>
      <c r="I647" s="173">
        <v>1.04</v>
      </c>
      <c r="J647" s="121">
        <v>415276759</v>
      </c>
      <c r="K647" s="125">
        <v>2933.3719999999998</v>
      </c>
      <c r="L647" s="173">
        <v>1.5</v>
      </c>
      <c r="M647">
        <v>1.04</v>
      </c>
      <c r="N647">
        <v>1.000000005</v>
      </c>
      <c r="O647">
        <v>3.9999995000000066</v>
      </c>
      <c r="P647">
        <v>2064.1480000000001</v>
      </c>
      <c r="Q647" s="125">
        <v>0.17499999999999999</v>
      </c>
      <c r="R647" s="125">
        <v>0</v>
      </c>
      <c r="S647" s="125">
        <v>1.978</v>
      </c>
      <c r="T647" s="125">
        <v>64.274000000000001</v>
      </c>
      <c r="U647" s="125">
        <v>12.077</v>
      </c>
      <c r="V647" s="125">
        <v>0</v>
      </c>
      <c r="W647" s="125">
        <v>0.66600000000000004</v>
      </c>
      <c r="X647" s="125">
        <v>0</v>
      </c>
      <c r="Y647" s="125">
        <v>0</v>
      </c>
      <c r="Z647" s="125">
        <v>0</v>
      </c>
      <c r="AA647" s="125">
        <v>37.987000000000002</v>
      </c>
      <c r="AB647" s="125">
        <v>183.48099999999999</v>
      </c>
      <c r="AC647" s="125">
        <v>1401.7</v>
      </c>
      <c r="AD647" s="125">
        <v>0.8</v>
      </c>
      <c r="AE647" s="125">
        <v>236.274</v>
      </c>
      <c r="AF647" s="125">
        <v>101.83199999999999</v>
      </c>
      <c r="AG647" s="125">
        <v>0</v>
      </c>
      <c r="AH647" s="125">
        <v>0</v>
      </c>
      <c r="AI647" s="121">
        <v>4499068</v>
      </c>
      <c r="AJ647" s="121">
        <v>699400</v>
      </c>
      <c r="AK647" s="424">
        <v>12</v>
      </c>
      <c r="AL647">
        <v>0</v>
      </c>
      <c r="AM647" s="121">
        <v>200846</v>
      </c>
      <c r="AN647" s="125">
        <v>0</v>
      </c>
      <c r="AO647" s="125">
        <v>0</v>
      </c>
      <c r="AP647" s="121">
        <v>5198468</v>
      </c>
      <c r="AQ647" s="114">
        <v>0</v>
      </c>
      <c r="AR647" s="121">
        <v>276.80666786</v>
      </c>
      <c r="AS647" s="121">
        <v>54393.379472000001</v>
      </c>
      <c r="AT647" s="121">
        <v>7163.5836852000002</v>
      </c>
      <c r="AU647" s="420" t="s">
        <v>2001</v>
      </c>
      <c r="AV647" s="420" t="s">
        <v>2001</v>
      </c>
      <c r="AW647" s="121">
        <v>0</v>
      </c>
      <c r="AX647" s="121">
        <v>1397762</v>
      </c>
      <c r="BI647">
        <v>0</v>
      </c>
      <c r="BJ647" s="121">
        <v>0</v>
      </c>
      <c r="BK647" s="134">
        <v>415276759</v>
      </c>
      <c r="BL647" s="934">
        <v>4670</v>
      </c>
      <c r="BM647" s="934">
        <v>4800</v>
      </c>
      <c r="BN647" s="934">
        <v>4800</v>
      </c>
      <c r="BO647" s="114">
        <v>0</v>
      </c>
      <c r="BP647" s="114">
        <v>0</v>
      </c>
    </row>
    <row r="648" spans="1:68">
      <c r="A648" t="s">
        <v>1652</v>
      </c>
      <c r="B648" t="s">
        <v>609</v>
      </c>
      <c r="C648" s="121">
        <v>4687</v>
      </c>
      <c r="D648" s="72">
        <v>1</v>
      </c>
      <c r="E648">
        <v>92.718999999999994</v>
      </c>
      <c r="F648">
        <v>32</v>
      </c>
      <c r="G648">
        <v>20</v>
      </c>
      <c r="H648">
        <v>0</v>
      </c>
      <c r="I648" s="173">
        <v>1.0369999999999999</v>
      </c>
      <c r="J648" s="121">
        <v>113012173</v>
      </c>
      <c r="K648" s="125">
        <v>563.61900000000003</v>
      </c>
      <c r="L648" s="173">
        <v>1.45</v>
      </c>
      <c r="M648">
        <v>1.0369999999999999</v>
      </c>
      <c r="N648">
        <v>0.96666667149999996</v>
      </c>
      <c r="O648">
        <v>7.0333328499999954</v>
      </c>
      <c r="P648">
        <v>329.22500000000002</v>
      </c>
      <c r="Q648" s="125">
        <v>0</v>
      </c>
      <c r="R648" s="125">
        <v>0</v>
      </c>
      <c r="S648" s="125">
        <v>0.30599999999999999</v>
      </c>
      <c r="T648" s="125">
        <v>7.883</v>
      </c>
      <c r="U648" s="125">
        <v>0</v>
      </c>
      <c r="V648" s="125">
        <v>0</v>
      </c>
      <c r="W648" s="125">
        <v>1.8080000000000001</v>
      </c>
      <c r="X648" s="125">
        <v>0</v>
      </c>
      <c r="Y648" s="125">
        <v>0</v>
      </c>
      <c r="Z648" s="125">
        <v>0</v>
      </c>
      <c r="AA648" s="125">
        <v>5.4480000000000004</v>
      </c>
      <c r="AB648" s="125">
        <v>27.12</v>
      </c>
      <c r="AC648" s="125">
        <v>239.8</v>
      </c>
      <c r="AD648" s="125">
        <v>0</v>
      </c>
      <c r="AE648" s="125">
        <v>4.2300000000000004</v>
      </c>
      <c r="AF648" s="125">
        <v>16.460999999999999</v>
      </c>
      <c r="AG648" s="125">
        <v>0</v>
      </c>
      <c r="AH648" s="125">
        <v>0</v>
      </c>
      <c r="AI648" s="121">
        <v>1255144</v>
      </c>
      <c r="AJ648" s="121">
        <v>210616</v>
      </c>
      <c r="AK648" s="424">
        <v>12</v>
      </c>
      <c r="AL648">
        <v>0</v>
      </c>
      <c r="AM648" s="121">
        <v>27271</v>
      </c>
      <c r="AN648" s="125">
        <v>0</v>
      </c>
      <c r="AO648" s="125">
        <v>0</v>
      </c>
      <c r="AP648" s="121">
        <v>1465760</v>
      </c>
      <c r="AQ648" s="114">
        <v>0</v>
      </c>
      <c r="AR648" s="121">
        <v>75.329337261999996</v>
      </c>
      <c r="AS648" s="121">
        <v>14802.451324</v>
      </c>
      <c r="AT648" s="121">
        <v>1949.4762016</v>
      </c>
      <c r="AU648" s="420" t="s">
        <v>2001</v>
      </c>
      <c r="AV648" s="420" t="s">
        <v>2001</v>
      </c>
      <c r="AW648" s="121">
        <v>0</v>
      </c>
      <c r="AX648" s="121">
        <v>380834</v>
      </c>
      <c r="BI648">
        <v>0</v>
      </c>
      <c r="BJ648" s="121">
        <v>0</v>
      </c>
      <c r="BK648" s="134">
        <v>113012173</v>
      </c>
      <c r="BL648" s="934">
        <v>4687</v>
      </c>
      <c r="BM648" s="934">
        <v>4588</v>
      </c>
      <c r="BN648" s="934">
        <v>4686</v>
      </c>
      <c r="BO648" s="114">
        <v>0</v>
      </c>
      <c r="BP648" s="114">
        <v>0</v>
      </c>
    </row>
    <row r="649" spans="1:68">
      <c r="A649" t="s">
        <v>418</v>
      </c>
      <c r="B649" t="s">
        <v>610</v>
      </c>
      <c r="C649" s="121">
        <v>4727</v>
      </c>
      <c r="D649" s="72">
        <v>2</v>
      </c>
      <c r="E649">
        <v>347.2</v>
      </c>
      <c r="F649">
        <v>115</v>
      </c>
      <c r="G649">
        <v>117</v>
      </c>
      <c r="H649">
        <v>0</v>
      </c>
      <c r="I649" s="173">
        <v>0.98</v>
      </c>
      <c r="J649" s="121">
        <v>560957710</v>
      </c>
      <c r="K649" s="125">
        <v>2011.7719999999999</v>
      </c>
      <c r="L649" s="173">
        <v>1.3411999999999999</v>
      </c>
      <c r="M649">
        <v>0.98</v>
      </c>
      <c r="N649">
        <v>0.89413333780399995</v>
      </c>
      <c r="O649">
        <v>8.5866662196000032</v>
      </c>
      <c r="P649">
        <v>1195.546</v>
      </c>
      <c r="Q649" s="125">
        <v>6.0999999999999999E-2</v>
      </c>
      <c r="R649" s="125">
        <v>0</v>
      </c>
      <c r="S649" s="125">
        <v>2.2610000000000001</v>
      </c>
      <c r="T649" s="125">
        <v>49.582999999999998</v>
      </c>
      <c r="U649" s="125">
        <v>11.223000000000001</v>
      </c>
      <c r="V649" s="125">
        <v>1.9350000000000001</v>
      </c>
      <c r="W649" s="125">
        <v>5.1740000000000004</v>
      </c>
      <c r="X649" s="125">
        <v>0</v>
      </c>
      <c r="Y649" s="125">
        <v>0</v>
      </c>
      <c r="Z649" s="125">
        <v>0</v>
      </c>
      <c r="AA649" s="125">
        <v>45.365000000000002</v>
      </c>
      <c r="AB649" s="125">
        <v>42.191000000000003</v>
      </c>
      <c r="AC649" s="125">
        <v>1105.2</v>
      </c>
      <c r="AD649" s="125">
        <v>0.79700000000000004</v>
      </c>
      <c r="AE649" s="125">
        <v>10.33</v>
      </c>
      <c r="AF649" s="125">
        <v>59.777000000000001</v>
      </c>
      <c r="AG649" s="125">
        <v>0</v>
      </c>
      <c r="AH649" s="125">
        <v>0</v>
      </c>
      <c r="AI649" s="121">
        <v>5532810</v>
      </c>
      <c r="AJ649" s="121">
        <v>495324</v>
      </c>
      <c r="AK649" s="424">
        <v>12</v>
      </c>
      <c r="AL649">
        <v>0</v>
      </c>
      <c r="AM649" s="121">
        <v>218671</v>
      </c>
      <c r="AN649" s="125">
        <v>0</v>
      </c>
      <c r="AO649" s="125">
        <v>0</v>
      </c>
      <c r="AP649" s="121">
        <v>6028134</v>
      </c>
      <c r="AQ649" s="114">
        <v>0</v>
      </c>
      <c r="AR649" s="121">
        <v>373.91168961</v>
      </c>
      <c r="AS649" s="121">
        <v>73474.821177000005</v>
      </c>
      <c r="AT649" s="121">
        <v>9676.6010012000006</v>
      </c>
      <c r="AU649" s="420" t="s">
        <v>2001</v>
      </c>
      <c r="AV649" s="420" t="s">
        <v>2001</v>
      </c>
      <c r="AW649" s="121">
        <v>0</v>
      </c>
      <c r="AX649" s="121">
        <v>593630</v>
      </c>
      <c r="BI649">
        <v>0</v>
      </c>
      <c r="BJ649" s="121">
        <v>0</v>
      </c>
      <c r="BK649" s="134">
        <v>554317589</v>
      </c>
      <c r="BL649" s="934">
        <v>4249</v>
      </c>
      <c r="BM649" s="934">
        <v>4727</v>
      </c>
      <c r="BN649" s="934">
        <v>4475</v>
      </c>
      <c r="BO649" s="114">
        <v>0</v>
      </c>
      <c r="BP649" s="114">
        <v>0</v>
      </c>
    </row>
    <row r="650" spans="1:68">
      <c r="A650" t="s">
        <v>419</v>
      </c>
      <c r="B650" t="s">
        <v>611</v>
      </c>
      <c r="C650" s="121">
        <v>5837</v>
      </c>
      <c r="D650" s="72">
        <v>2</v>
      </c>
      <c r="E650">
        <v>186.245</v>
      </c>
      <c r="F650">
        <v>69</v>
      </c>
      <c r="G650">
        <v>56</v>
      </c>
      <c r="H650">
        <v>1</v>
      </c>
      <c r="I650" s="173">
        <v>0.99</v>
      </c>
      <c r="J650" s="121">
        <v>409231548</v>
      </c>
      <c r="K650" s="125">
        <v>1273.847</v>
      </c>
      <c r="L650" s="173">
        <v>1.37</v>
      </c>
      <c r="M650">
        <v>0.99</v>
      </c>
      <c r="N650">
        <v>0.91333333790000004</v>
      </c>
      <c r="O650">
        <v>7.6666662099999954</v>
      </c>
      <c r="P650">
        <v>677.41200000000003</v>
      </c>
      <c r="Q650" s="125">
        <v>3.9E-2</v>
      </c>
      <c r="R650" s="125">
        <v>0</v>
      </c>
      <c r="S650" s="125">
        <v>0.85</v>
      </c>
      <c r="T650" s="125">
        <v>24.54</v>
      </c>
      <c r="U650" s="125">
        <v>2.56</v>
      </c>
      <c r="V650" s="125">
        <v>1.7669999999999999</v>
      </c>
      <c r="W650" s="125">
        <v>0</v>
      </c>
      <c r="X650" s="125">
        <v>0</v>
      </c>
      <c r="Y650" s="125">
        <v>0</v>
      </c>
      <c r="Z650" s="125">
        <v>0</v>
      </c>
      <c r="AA650" s="125">
        <v>17.933</v>
      </c>
      <c r="AB650" s="125">
        <v>46.963999999999999</v>
      </c>
      <c r="AC650" s="125">
        <v>501.5</v>
      </c>
      <c r="AD650" s="125">
        <v>0</v>
      </c>
      <c r="AE650" s="125">
        <v>31.503</v>
      </c>
      <c r="AF650" s="125">
        <v>33.74</v>
      </c>
      <c r="AG650" s="125">
        <v>0</v>
      </c>
      <c r="AH650" s="125">
        <v>0</v>
      </c>
      <c r="AI650" s="121">
        <v>4253962</v>
      </c>
      <c r="AJ650" s="121">
        <v>0</v>
      </c>
      <c r="AK650" s="424">
        <v>12</v>
      </c>
      <c r="AL650">
        <v>0</v>
      </c>
      <c r="AM650" s="121">
        <v>58887</v>
      </c>
      <c r="AN650" s="125">
        <v>0</v>
      </c>
      <c r="AO650" s="125">
        <v>0</v>
      </c>
      <c r="AP650" s="121">
        <v>4253962</v>
      </c>
      <c r="AQ650" s="114">
        <v>0</v>
      </c>
      <c r="AR650" s="121">
        <v>272.77717504999998</v>
      </c>
      <c r="AS650" s="121">
        <v>53601.571481999999</v>
      </c>
      <c r="AT650" s="121">
        <v>7059.3029280000001</v>
      </c>
      <c r="AU650" s="420" t="s">
        <v>798</v>
      </c>
      <c r="AV650" s="420" t="s">
        <v>2001</v>
      </c>
      <c r="AW650" s="121">
        <v>0</v>
      </c>
      <c r="AX650" s="121">
        <v>0</v>
      </c>
      <c r="AY650" s="134">
        <v>704660</v>
      </c>
      <c r="AZ650" s="134">
        <v>3196402</v>
      </c>
      <c r="BA650" s="134">
        <v>1346</v>
      </c>
      <c r="BB650" s="134">
        <v>167935161</v>
      </c>
      <c r="BC650" s="114">
        <v>0</v>
      </c>
      <c r="BD650" s="114">
        <v>0</v>
      </c>
      <c r="BE650" s="114">
        <v>0</v>
      </c>
      <c r="BF650" s="114">
        <v>735</v>
      </c>
      <c r="BG650" s="114">
        <v>0</v>
      </c>
      <c r="BH650" s="114">
        <v>0</v>
      </c>
      <c r="BI650">
        <v>0</v>
      </c>
      <c r="BJ650" s="121">
        <v>0</v>
      </c>
      <c r="BK650" s="134">
        <v>409231548</v>
      </c>
      <c r="BL650" s="934">
        <v>5182</v>
      </c>
      <c r="BM650" s="934">
        <v>5837</v>
      </c>
      <c r="BN650" s="934">
        <v>5374</v>
      </c>
      <c r="BO650" s="114">
        <v>0</v>
      </c>
      <c r="BP650" s="114">
        <v>0</v>
      </c>
    </row>
    <row r="651" spans="1:68">
      <c r="A651" t="s">
        <v>420</v>
      </c>
      <c r="B651" t="s">
        <v>612</v>
      </c>
      <c r="C651" s="121">
        <v>6955</v>
      </c>
      <c r="D651" s="72">
        <v>3</v>
      </c>
      <c r="E651">
        <v>77.635000000000005</v>
      </c>
      <c r="F651">
        <v>19</v>
      </c>
      <c r="G651">
        <v>14</v>
      </c>
      <c r="H651">
        <v>1</v>
      </c>
      <c r="I651" s="173">
        <v>0.9</v>
      </c>
      <c r="J651" s="121">
        <v>405059247</v>
      </c>
      <c r="K651" s="125">
        <v>392.63600000000002</v>
      </c>
      <c r="L651" s="173">
        <v>1.26</v>
      </c>
      <c r="M651">
        <v>0.9</v>
      </c>
      <c r="N651">
        <v>0.84000000419999998</v>
      </c>
      <c r="O651">
        <v>5.9999995800000043</v>
      </c>
      <c r="P651">
        <v>234.13499999999999</v>
      </c>
      <c r="Q651" s="125">
        <v>0</v>
      </c>
      <c r="R651" s="125">
        <v>0</v>
      </c>
      <c r="S651" s="125">
        <v>0.25900000000000001</v>
      </c>
      <c r="T651" s="125">
        <v>5.8449999999999998</v>
      </c>
      <c r="U651" s="125">
        <v>0.48799999999999999</v>
      </c>
      <c r="V651" s="125">
        <v>5.3999999999999999E-2</v>
      </c>
      <c r="W651" s="125">
        <v>0</v>
      </c>
      <c r="X651" s="125">
        <v>0</v>
      </c>
      <c r="Y651" s="125">
        <v>0</v>
      </c>
      <c r="Z651" s="125">
        <v>0</v>
      </c>
      <c r="AA651" s="125">
        <v>5.4450000000000003</v>
      </c>
      <c r="AB651" s="125">
        <v>11.252000000000001</v>
      </c>
      <c r="AC651" s="125">
        <v>108.5</v>
      </c>
      <c r="AD651" s="125">
        <v>0</v>
      </c>
      <c r="AE651" s="125">
        <v>16.792999999999999</v>
      </c>
      <c r="AF651" s="125">
        <v>11.70675</v>
      </c>
      <c r="AG651" s="125">
        <v>0</v>
      </c>
      <c r="AH651" s="125">
        <v>0</v>
      </c>
      <c r="AI651" s="121">
        <v>3866088</v>
      </c>
      <c r="AJ651" s="121">
        <v>0</v>
      </c>
      <c r="AK651" s="424">
        <v>12</v>
      </c>
      <c r="AL651">
        <v>0</v>
      </c>
      <c r="AM651" s="121">
        <v>34270</v>
      </c>
      <c r="AN651" s="125">
        <v>0</v>
      </c>
      <c r="AO651" s="125">
        <v>0</v>
      </c>
      <c r="AP651" s="121">
        <v>3866088</v>
      </c>
      <c r="AQ651" s="114">
        <v>0</v>
      </c>
      <c r="AR651" s="121">
        <v>0</v>
      </c>
      <c r="AS651" s="121">
        <v>0</v>
      </c>
      <c r="AT651" s="121">
        <v>0</v>
      </c>
      <c r="AU651" s="420" t="s">
        <v>798</v>
      </c>
      <c r="AV651" s="420" t="s">
        <v>2001</v>
      </c>
      <c r="AW651" s="121">
        <v>0</v>
      </c>
      <c r="AX651" s="121">
        <v>0</v>
      </c>
      <c r="AY651" s="134">
        <v>674270</v>
      </c>
      <c r="AZ651" s="134">
        <v>868029</v>
      </c>
      <c r="BA651" s="114">
        <v>314</v>
      </c>
      <c r="BB651" s="134">
        <v>211481140</v>
      </c>
      <c r="BC651" s="114">
        <v>0</v>
      </c>
      <c r="BD651" s="114">
        <v>0</v>
      </c>
      <c r="BE651" s="114">
        <v>0</v>
      </c>
      <c r="BF651" s="114">
        <v>215</v>
      </c>
      <c r="BG651" s="114">
        <v>0</v>
      </c>
      <c r="BH651" s="114">
        <v>0</v>
      </c>
      <c r="BI651">
        <v>0</v>
      </c>
      <c r="BJ651" s="121">
        <v>0</v>
      </c>
      <c r="BK651" s="134">
        <v>405059247</v>
      </c>
      <c r="BL651" s="934">
        <v>6606</v>
      </c>
      <c r="BM651" s="934">
        <v>6385</v>
      </c>
      <c r="BN651" s="934">
        <v>6955</v>
      </c>
      <c r="BO651" s="114">
        <v>0</v>
      </c>
      <c r="BP651" s="114">
        <v>0</v>
      </c>
    </row>
    <row r="652" spans="1:68">
      <c r="A652" t="s">
        <v>1856</v>
      </c>
      <c r="B652" t="s">
        <v>613</v>
      </c>
      <c r="C652" s="121">
        <v>4970</v>
      </c>
      <c r="D652" s="72">
        <v>3</v>
      </c>
      <c r="E652">
        <v>169.49299999999999</v>
      </c>
      <c r="F652">
        <v>57</v>
      </c>
      <c r="G652">
        <v>46</v>
      </c>
      <c r="H652">
        <v>4</v>
      </c>
      <c r="I652" s="173">
        <v>1.04</v>
      </c>
      <c r="J652" s="121">
        <v>205310137</v>
      </c>
      <c r="K652" s="125">
        <v>1099.115</v>
      </c>
      <c r="L652" s="173">
        <v>1.5</v>
      </c>
      <c r="M652">
        <v>1.04</v>
      </c>
      <c r="N652">
        <v>1.000000005</v>
      </c>
      <c r="O652">
        <v>3.9999995000000066</v>
      </c>
      <c r="P652">
        <v>576.10299999999995</v>
      </c>
      <c r="Q652" s="125">
        <v>0.01</v>
      </c>
      <c r="R652" s="125">
        <v>0</v>
      </c>
      <c r="S652" s="125">
        <v>0.40899999999999997</v>
      </c>
      <c r="T652" s="125">
        <v>28.451000000000001</v>
      </c>
      <c r="U652" s="125">
        <v>2.698</v>
      </c>
      <c r="V652" s="125">
        <v>0</v>
      </c>
      <c r="W652" s="125">
        <v>0.85599999999999998</v>
      </c>
      <c r="X652" s="125">
        <v>0</v>
      </c>
      <c r="Y652" s="125">
        <v>0</v>
      </c>
      <c r="Z652" s="125">
        <v>0</v>
      </c>
      <c r="AA652" s="125">
        <v>4.1779999999999999</v>
      </c>
      <c r="AB652" s="125">
        <v>50.476999999999997</v>
      </c>
      <c r="AC652" s="125">
        <v>397</v>
      </c>
      <c r="AD652" s="125">
        <v>7.2999999999999995E-2</v>
      </c>
      <c r="AE652" s="125">
        <v>21.4</v>
      </c>
      <c r="AF652" s="125">
        <v>28.805</v>
      </c>
      <c r="AG652" s="125">
        <v>0</v>
      </c>
      <c r="AH652" s="125">
        <v>0</v>
      </c>
      <c r="AI652" s="121">
        <v>2219567</v>
      </c>
      <c r="AJ652" s="121">
        <v>114049</v>
      </c>
      <c r="AK652" s="424">
        <v>12</v>
      </c>
      <c r="AL652">
        <v>0</v>
      </c>
      <c r="AM652" s="121">
        <v>107347</v>
      </c>
      <c r="AN652" s="125">
        <v>0</v>
      </c>
      <c r="AO652" s="125">
        <v>0</v>
      </c>
      <c r="AP652" s="121">
        <v>2333616</v>
      </c>
      <c r="AQ652" s="114">
        <v>0</v>
      </c>
      <c r="AR652" s="121">
        <v>136.85142178000001</v>
      </c>
      <c r="AS652" s="121">
        <v>26891.734124999999</v>
      </c>
      <c r="AT652" s="121">
        <v>3541.6293254000002</v>
      </c>
      <c r="AU652" s="420" t="s">
        <v>2001</v>
      </c>
      <c r="AV652" s="420" t="s">
        <v>2001</v>
      </c>
      <c r="AW652" s="121">
        <v>0</v>
      </c>
      <c r="AX652" s="121">
        <v>219552</v>
      </c>
      <c r="BI652">
        <v>0</v>
      </c>
      <c r="BJ652" s="121">
        <v>0</v>
      </c>
      <c r="BK652" s="134">
        <v>205310137</v>
      </c>
      <c r="BL652" s="934">
        <v>4892</v>
      </c>
      <c r="BM652" s="934">
        <v>4891</v>
      </c>
      <c r="BN652" s="934">
        <v>4970</v>
      </c>
      <c r="BO652" s="114">
        <v>0</v>
      </c>
      <c r="BP652" s="114">
        <v>0</v>
      </c>
    </row>
    <row r="653" spans="1:68">
      <c r="A653" t="s">
        <v>1857</v>
      </c>
      <c r="B653" t="s">
        <v>614</v>
      </c>
      <c r="C653" s="121">
        <v>4938</v>
      </c>
      <c r="D653" s="72">
        <v>2</v>
      </c>
      <c r="E653">
        <v>1074.2739999999999</v>
      </c>
      <c r="F653">
        <v>340</v>
      </c>
      <c r="G653">
        <v>264</v>
      </c>
      <c r="H653">
        <v>24</v>
      </c>
      <c r="I653" s="173">
        <v>1.17</v>
      </c>
      <c r="J653" s="121">
        <v>1020608854</v>
      </c>
      <c r="K653" s="125">
        <v>5287.5439999999999</v>
      </c>
      <c r="L653" s="173">
        <v>1.5</v>
      </c>
      <c r="M653">
        <v>1.17</v>
      </c>
      <c r="N653">
        <v>1.000000005</v>
      </c>
      <c r="O653">
        <v>16.999999499999994</v>
      </c>
      <c r="P653">
        <v>3664.07</v>
      </c>
      <c r="Q653" s="125">
        <v>0.53700000000000003</v>
      </c>
      <c r="R653" s="125">
        <v>0</v>
      </c>
      <c r="S653" s="125">
        <v>6.1189999999999998</v>
      </c>
      <c r="T653" s="125">
        <v>84.486999999999995</v>
      </c>
      <c r="U653" s="125">
        <v>31.335000000000001</v>
      </c>
      <c r="V653" s="125">
        <v>0</v>
      </c>
      <c r="W653" s="125">
        <v>3.0419999999999998</v>
      </c>
      <c r="X653" s="125">
        <v>0</v>
      </c>
      <c r="Y653" s="125">
        <v>0.94899999999999995</v>
      </c>
      <c r="Z653" s="125">
        <v>2.0960000000000001</v>
      </c>
      <c r="AA653" s="125">
        <v>142.113</v>
      </c>
      <c r="AB653" s="125">
        <v>187.08799999999999</v>
      </c>
      <c r="AC653" s="125">
        <v>3204</v>
      </c>
      <c r="AD653" s="125">
        <v>3.5960000000000001</v>
      </c>
      <c r="AE653" s="125">
        <v>267.91300000000001</v>
      </c>
      <c r="AF653" s="125">
        <v>183.20349999999999</v>
      </c>
      <c r="AG653" s="125">
        <v>0</v>
      </c>
      <c r="AH653" s="125">
        <v>0</v>
      </c>
      <c r="AI653" s="121">
        <v>11915437</v>
      </c>
      <c r="AJ653" s="121">
        <v>1427310</v>
      </c>
      <c r="AK653" s="424">
        <v>12</v>
      </c>
      <c r="AL653">
        <v>0</v>
      </c>
      <c r="AM653" s="121">
        <v>171883</v>
      </c>
      <c r="AN653" s="125">
        <v>1</v>
      </c>
      <c r="AO653" s="125">
        <v>0</v>
      </c>
      <c r="AP653" s="121">
        <v>13342747</v>
      </c>
      <c r="AQ653" s="114">
        <v>0</v>
      </c>
      <c r="AR653" s="121">
        <v>680.29652476000001</v>
      </c>
      <c r="AS653" s="121">
        <v>133680.40340000001</v>
      </c>
      <c r="AT653" s="121">
        <v>17605.649183000001</v>
      </c>
      <c r="AU653" s="420" t="s">
        <v>2001</v>
      </c>
      <c r="AV653" s="420" t="s">
        <v>2001</v>
      </c>
      <c r="AW653" s="121">
        <v>0</v>
      </c>
      <c r="AX653" s="121">
        <v>2099949</v>
      </c>
      <c r="BI653">
        <v>0</v>
      </c>
      <c r="BJ653" s="121">
        <v>0</v>
      </c>
      <c r="BK653" s="134">
        <v>979714660</v>
      </c>
      <c r="BL653" s="934">
        <v>4678</v>
      </c>
      <c r="BM653" s="934">
        <v>4938</v>
      </c>
      <c r="BN653" s="934">
        <v>4852</v>
      </c>
      <c r="BO653" s="114">
        <v>0</v>
      </c>
      <c r="BP653" s="114">
        <v>0</v>
      </c>
    </row>
    <row r="654" spans="1:68">
      <c r="A654" t="s">
        <v>201</v>
      </c>
      <c r="B654" t="s">
        <v>1964</v>
      </c>
      <c r="C654" s="121">
        <v>5388</v>
      </c>
      <c r="D654" s="72">
        <v>2</v>
      </c>
      <c r="E654">
        <v>248.10300000000001</v>
      </c>
      <c r="F654">
        <v>79</v>
      </c>
      <c r="G654">
        <v>61</v>
      </c>
      <c r="H654">
        <v>0</v>
      </c>
      <c r="I654" s="173">
        <v>0.93620000000000003</v>
      </c>
      <c r="J654" s="121">
        <v>572156390</v>
      </c>
      <c r="K654" s="125">
        <v>1425.6980000000001</v>
      </c>
      <c r="L654" s="173">
        <v>1.3249</v>
      </c>
      <c r="M654">
        <v>0.93620000000000003</v>
      </c>
      <c r="N654">
        <v>0.88326667108300005</v>
      </c>
      <c r="O654">
        <v>5.2933328916999978</v>
      </c>
      <c r="P654">
        <v>824.67</v>
      </c>
      <c r="Q654" s="125">
        <v>0</v>
      </c>
      <c r="R654" s="125">
        <v>0</v>
      </c>
      <c r="S654" s="125">
        <v>0.92600000000000005</v>
      </c>
      <c r="T654" s="125">
        <v>30.03</v>
      </c>
      <c r="U654" s="125">
        <v>3.98</v>
      </c>
      <c r="V654" s="125">
        <v>0</v>
      </c>
      <c r="W654" s="125">
        <v>0</v>
      </c>
      <c r="X654" s="125">
        <v>0</v>
      </c>
      <c r="Y654" s="125">
        <v>0</v>
      </c>
      <c r="Z654" s="125">
        <v>0</v>
      </c>
      <c r="AA654" s="125">
        <v>1.31</v>
      </c>
      <c r="AB654" s="125">
        <v>41.12</v>
      </c>
      <c r="AC654" s="125">
        <v>541.4</v>
      </c>
      <c r="AD654" s="125">
        <v>2.4E-2</v>
      </c>
      <c r="AE654" s="125">
        <v>50.3</v>
      </c>
      <c r="AF654" s="125">
        <v>41.233499999999999</v>
      </c>
      <c r="AG654" s="125">
        <v>0</v>
      </c>
      <c r="AH654" s="125">
        <v>0</v>
      </c>
      <c r="AI654" s="121">
        <v>5378194</v>
      </c>
      <c r="AJ654" s="121">
        <v>0</v>
      </c>
      <c r="AK654" s="424">
        <v>12</v>
      </c>
      <c r="AL654">
        <v>0</v>
      </c>
      <c r="AM654" s="121">
        <v>138613</v>
      </c>
      <c r="AN654" s="125">
        <v>0</v>
      </c>
      <c r="AO654" s="125">
        <v>0</v>
      </c>
      <c r="AP654" s="121">
        <v>5378194</v>
      </c>
      <c r="AQ654" s="114">
        <v>0</v>
      </c>
      <c r="AR654" s="121">
        <v>0</v>
      </c>
      <c r="AS654" s="121">
        <v>0</v>
      </c>
      <c r="AT654" s="121">
        <v>0</v>
      </c>
      <c r="AU654" s="420" t="s">
        <v>798</v>
      </c>
      <c r="AV654" s="72" t="s">
        <v>798</v>
      </c>
      <c r="AW654" s="121">
        <v>0</v>
      </c>
      <c r="AX654" s="121">
        <v>0</v>
      </c>
      <c r="AY654" s="134">
        <v>297605</v>
      </c>
      <c r="AZ654" s="134">
        <v>3665699</v>
      </c>
      <c r="BA654" s="134">
        <v>1511</v>
      </c>
      <c r="BB654" s="134">
        <v>218702564</v>
      </c>
      <c r="BC654" s="114">
        <v>0</v>
      </c>
      <c r="BD654" s="114">
        <v>0</v>
      </c>
      <c r="BE654" s="114">
        <v>0</v>
      </c>
      <c r="BF654" s="114">
        <v>859</v>
      </c>
      <c r="BG654" s="114">
        <v>0</v>
      </c>
      <c r="BH654" s="114">
        <v>0</v>
      </c>
      <c r="BI654">
        <v>0</v>
      </c>
      <c r="BJ654" s="121">
        <v>0</v>
      </c>
      <c r="BK654" s="134">
        <v>547114901</v>
      </c>
      <c r="BL654" s="934">
        <v>4528</v>
      </c>
      <c r="BM654" s="934">
        <v>5388</v>
      </c>
      <c r="BN654" s="934">
        <v>4677</v>
      </c>
      <c r="BO654" s="114">
        <v>0</v>
      </c>
      <c r="BP654" s="114">
        <v>0</v>
      </c>
    </row>
    <row r="655" spans="1:68">
      <c r="A655" t="s">
        <v>2438</v>
      </c>
      <c r="B655" t="s">
        <v>1965</v>
      </c>
      <c r="C655" s="121">
        <v>5874</v>
      </c>
      <c r="D655" s="72">
        <v>3</v>
      </c>
      <c r="E655">
        <v>0</v>
      </c>
      <c r="F655">
        <v>8</v>
      </c>
      <c r="G655">
        <v>8</v>
      </c>
      <c r="H655">
        <v>0</v>
      </c>
      <c r="I655" s="173">
        <v>0.97330000000000005</v>
      </c>
      <c r="J655" s="121">
        <v>219230823</v>
      </c>
      <c r="K655" s="125">
        <v>116</v>
      </c>
      <c r="L655" s="173">
        <v>1.4</v>
      </c>
      <c r="M655">
        <v>0.97330000000000005</v>
      </c>
      <c r="N655">
        <v>0.93333333799999996</v>
      </c>
      <c r="O655">
        <v>3.9966662000000097</v>
      </c>
      <c r="P655">
        <v>41.066000000000003</v>
      </c>
      <c r="Q655" s="125">
        <v>0</v>
      </c>
      <c r="R655" s="125">
        <v>0</v>
      </c>
      <c r="S655" s="125">
        <v>0.23499999999999999</v>
      </c>
      <c r="T655" s="125">
        <v>2.4060000000000001</v>
      </c>
      <c r="U655" s="125">
        <v>0.59099999999999997</v>
      </c>
      <c r="V655" s="125">
        <v>0</v>
      </c>
      <c r="W655" s="125">
        <v>0</v>
      </c>
      <c r="X655" s="125">
        <v>0</v>
      </c>
      <c r="Y655" s="125">
        <v>0</v>
      </c>
      <c r="Z655" s="125">
        <v>0</v>
      </c>
      <c r="AA655" s="125">
        <v>2.12</v>
      </c>
      <c r="AB655" s="125">
        <v>0</v>
      </c>
      <c r="AC655" s="125">
        <v>40.700000000000003</v>
      </c>
      <c r="AD655" s="125">
        <v>0</v>
      </c>
      <c r="AE655" s="125">
        <v>0</v>
      </c>
      <c r="AF655" s="125">
        <v>2.0529999999999999</v>
      </c>
      <c r="AG655" s="125">
        <v>0</v>
      </c>
      <c r="AH655" s="125">
        <v>0</v>
      </c>
      <c r="AI655" s="121">
        <v>2195653</v>
      </c>
      <c r="AJ655" s="121">
        <v>0</v>
      </c>
      <c r="AK655" s="424">
        <v>6</v>
      </c>
      <c r="AL655">
        <v>0</v>
      </c>
      <c r="AM655" s="121">
        <v>8589</v>
      </c>
      <c r="AN655" s="125">
        <v>0</v>
      </c>
      <c r="AO655" s="125">
        <v>0</v>
      </c>
      <c r="AP655" s="121">
        <v>2195653</v>
      </c>
      <c r="AQ655" s="114">
        <v>0</v>
      </c>
      <c r="AR655" s="121">
        <v>0</v>
      </c>
      <c r="AS655" s="121">
        <v>0</v>
      </c>
      <c r="AT655" s="121">
        <v>0</v>
      </c>
      <c r="AU655" s="420" t="s">
        <v>798</v>
      </c>
      <c r="AV655" s="420" t="s">
        <v>2001</v>
      </c>
      <c r="AW655" s="121">
        <v>0</v>
      </c>
      <c r="AX655" s="121">
        <v>0</v>
      </c>
      <c r="AY655" s="134">
        <v>243419</v>
      </c>
      <c r="AZ655" s="134">
        <v>360495</v>
      </c>
      <c r="BA655" s="114">
        <v>250</v>
      </c>
      <c r="BB655" s="134">
        <v>65997238</v>
      </c>
      <c r="BC655" s="114">
        <v>0</v>
      </c>
      <c r="BD655" s="114">
        <v>0</v>
      </c>
      <c r="BE655" s="114">
        <v>0</v>
      </c>
      <c r="BF655" s="114">
        <v>83</v>
      </c>
      <c r="BG655" s="114">
        <v>0</v>
      </c>
      <c r="BH655" s="114">
        <v>0</v>
      </c>
      <c r="BI655">
        <v>0</v>
      </c>
      <c r="BJ655" s="121">
        <v>434</v>
      </c>
      <c r="BK655" s="134">
        <v>219230823</v>
      </c>
      <c r="BL655" s="934">
        <v>5504</v>
      </c>
      <c r="BM655" s="934">
        <v>5855</v>
      </c>
      <c r="BN655" s="934">
        <v>5874</v>
      </c>
      <c r="BO655" s="114">
        <v>0</v>
      </c>
      <c r="BP655" s="114">
        <v>0</v>
      </c>
    </row>
    <row r="656" spans="1:68">
      <c r="A656" t="s">
        <v>2439</v>
      </c>
      <c r="B656" t="s">
        <v>1966</v>
      </c>
      <c r="C656" s="121">
        <v>6472</v>
      </c>
      <c r="D656" s="72">
        <v>2</v>
      </c>
      <c r="E656">
        <v>423.185</v>
      </c>
      <c r="F656">
        <v>127</v>
      </c>
      <c r="G656">
        <v>99</v>
      </c>
      <c r="H656">
        <v>2</v>
      </c>
      <c r="I656" s="173">
        <v>0.98</v>
      </c>
      <c r="J656" s="121">
        <v>1413096542</v>
      </c>
      <c r="K656" s="125">
        <v>2150.0390000000002</v>
      </c>
      <c r="L656" s="173">
        <v>1.41</v>
      </c>
      <c r="M656">
        <v>0.98</v>
      </c>
      <c r="N656">
        <v>0.9400000047</v>
      </c>
      <c r="O656">
        <v>3.999999529999998</v>
      </c>
      <c r="P656">
        <v>1476.346</v>
      </c>
      <c r="Q656" s="125">
        <v>4.5999999999999999E-2</v>
      </c>
      <c r="R656" s="125">
        <v>0</v>
      </c>
      <c r="S656" s="125">
        <v>1.7190000000000001</v>
      </c>
      <c r="T656" s="125">
        <v>29.643999999999998</v>
      </c>
      <c r="U656" s="125">
        <v>8.7080000000000002</v>
      </c>
      <c r="V656" s="125">
        <v>0</v>
      </c>
      <c r="W656" s="125">
        <v>0</v>
      </c>
      <c r="X656" s="125">
        <v>0</v>
      </c>
      <c r="Y656" s="125">
        <v>0</v>
      </c>
      <c r="Z656" s="125">
        <v>0</v>
      </c>
      <c r="AA656" s="125">
        <v>33.14</v>
      </c>
      <c r="AB656" s="125">
        <v>55.491999999999997</v>
      </c>
      <c r="AC656" s="125">
        <v>1267.7</v>
      </c>
      <c r="AD656" s="125">
        <v>1.024</v>
      </c>
      <c r="AE656" s="125">
        <v>217.53</v>
      </c>
      <c r="AF656" s="125">
        <v>73.816999999999993</v>
      </c>
      <c r="AG656" s="125">
        <v>0</v>
      </c>
      <c r="AH656" s="125">
        <v>0</v>
      </c>
      <c r="AI656" s="121">
        <v>14342860</v>
      </c>
      <c r="AJ656" s="121">
        <v>588199</v>
      </c>
      <c r="AK656" s="424">
        <v>12</v>
      </c>
      <c r="AL656">
        <v>0</v>
      </c>
      <c r="AM656" s="121">
        <v>79732</v>
      </c>
      <c r="AN656" s="125">
        <v>0</v>
      </c>
      <c r="AO656" s="125">
        <v>0</v>
      </c>
      <c r="AP656" s="121">
        <v>14931059</v>
      </c>
      <c r="AQ656" s="114">
        <v>0</v>
      </c>
      <c r="AR656" s="121">
        <v>0</v>
      </c>
      <c r="AS656" s="121">
        <v>0</v>
      </c>
      <c r="AT656" s="121">
        <v>0</v>
      </c>
      <c r="AU656" s="420" t="s">
        <v>798</v>
      </c>
      <c r="AV656" s="420" t="s">
        <v>2001</v>
      </c>
      <c r="AW656" s="121">
        <v>0</v>
      </c>
      <c r="AX656" s="121">
        <v>355175</v>
      </c>
      <c r="AY656" s="134">
        <v>3298140</v>
      </c>
      <c r="AZ656" s="134">
        <v>4761581</v>
      </c>
      <c r="BA656" s="134">
        <v>1961</v>
      </c>
      <c r="BB656" s="134">
        <v>2813259306</v>
      </c>
      <c r="BC656" s="114">
        <v>0</v>
      </c>
      <c r="BD656" s="114">
        <v>0</v>
      </c>
      <c r="BE656" s="114">
        <v>0</v>
      </c>
      <c r="BF656" s="134">
        <v>1524</v>
      </c>
      <c r="BG656" s="114">
        <v>0</v>
      </c>
      <c r="BH656" s="114">
        <v>0</v>
      </c>
      <c r="BI656">
        <v>0</v>
      </c>
      <c r="BJ656" s="121">
        <v>0</v>
      </c>
      <c r="BK656" s="134">
        <v>1407943378</v>
      </c>
      <c r="BL656" s="934">
        <v>4246</v>
      </c>
      <c r="BM656" s="934">
        <v>6472</v>
      </c>
      <c r="BN656" s="934">
        <v>4302</v>
      </c>
      <c r="BO656" s="114">
        <v>0</v>
      </c>
      <c r="BP656" s="114">
        <v>0</v>
      </c>
    </row>
    <row r="657" spans="1:68">
      <c r="A657" t="s">
        <v>2440</v>
      </c>
      <c r="B657" t="s">
        <v>1967</v>
      </c>
      <c r="C657" s="121">
        <v>5037</v>
      </c>
      <c r="D657" s="72">
        <v>3</v>
      </c>
      <c r="E657">
        <v>275.90899999999999</v>
      </c>
      <c r="F657">
        <v>90</v>
      </c>
      <c r="G657">
        <v>61</v>
      </c>
      <c r="H657">
        <v>8</v>
      </c>
      <c r="I657" s="173">
        <v>0.98</v>
      </c>
      <c r="J657" s="121">
        <v>457633238</v>
      </c>
      <c r="K657" s="125">
        <v>1659.5219999999999</v>
      </c>
      <c r="L657" s="173">
        <v>1.4076</v>
      </c>
      <c r="M657">
        <v>0.98</v>
      </c>
      <c r="N657">
        <v>0.93840000469200002</v>
      </c>
      <c r="O657">
        <v>4.159999530799996</v>
      </c>
      <c r="P657">
        <v>928.226</v>
      </c>
      <c r="Q657" s="125">
        <v>0.04</v>
      </c>
      <c r="R657" s="125">
        <v>0</v>
      </c>
      <c r="S657" s="125">
        <v>1.758</v>
      </c>
      <c r="T657" s="125">
        <v>60.152999999999999</v>
      </c>
      <c r="U657" s="125">
        <v>5.5919999999999996</v>
      </c>
      <c r="V657" s="125">
        <v>0</v>
      </c>
      <c r="W657" s="125">
        <v>0.26</v>
      </c>
      <c r="X657" s="125">
        <v>0</v>
      </c>
      <c r="Y657" s="125">
        <v>1.026</v>
      </c>
      <c r="Z657" s="125">
        <v>0.52400000000000002</v>
      </c>
      <c r="AA657" s="125">
        <v>7.9269999999999996</v>
      </c>
      <c r="AB657" s="125">
        <v>27.181000000000001</v>
      </c>
      <c r="AC657" s="125">
        <v>629.70000000000005</v>
      </c>
      <c r="AD657" s="125">
        <v>0.61499999999999999</v>
      </c>
      <c r="AE657" s="125">
        <v>3.32</v>
      </c>
      <c r="AF657" s="125">
        <v>46.411000000000001</v>
      </c>
      <c r="AG657" s="125">
        <v>0</v>
      </c>
      <c r="AH657" s="125">
        <v>0</v>
      </c>
      <c r="AI657" s="121">
        <v>4614865</v>
      </c>
      <c r="AJ657" s="121">
        <v>0</v>
      </c>
      <c r="AK657" s="424">
        <v>12</v>
      </c>
      <c r="AL657">
        <v>0</v>
      </c>
      <c r="AM657" s="121">
        <v>146551</v>
      </c>
      <c r="AN657" s="125">
        <v>1</v>
      </c>
      <c r="AO657" s="125">
        <v>0</v>
      </c>
      <c r="AP657" s="121">
        <v>4614865</v>
      </c>
      <c r="AQ657" s="114">
        <v>0</v>
      </c>
      <c r="AR657" s="121">
        <v>305.03978123000002</v>
      </c>
      <c r="AS657" s="121">
        <v>59941.274906999999</v>
      </c>
      <c r="AT657" s="121">
        <v>7894.2390261</v>
      </c>
      <c r="AU657" s="420" t="s">
        <v>2001</v>
      </c>
      <c r="AV657" s="420" t="s">
        <v>2001</v>
      </c>
      <c r="AW657" s="121">
        <v>0</v>
      </c>
      <c r="AX657" s="121">
        <v>0</v>
      </c>
      <c r="BI657">
        <v>0</v>
      </c>
      <c r="BJ657" s="121">
        <v>0</v>
      </c>
      <c r="BK657" s="134">
        <v>457633238</v>
      </c>
      <c r="BL657" s="934">
        <v>4930</v>
      </c>
      <c r="BM657" s="934">
        <v>5014</v>
      </c>
      <c r="BN657" s="934">
        <v>5037</v>
      </c>
      <c r="BO657" s="114">
        <v>0</v>
      </c>
      <c r="BP657" s="114">
        <v>0</v>
      </c>
    </row>
    <row r="658" spans="1:68">
      <c r="A658" t="s">
        <v>2057</v>
      </c>
      <c r="B658" t="s">
        <v>1213</v>
      </c>
      <c r="C658" s="121">
        <v>4337</v>
      </c>
      <c r="D658" s="72">
        <v>3</v>
      </c>
      <c r="E658">
        <v>3582.3670000000002</v>
      </c>
      <c r="F658">
        <v>835</v>
      </c>
      <c r="G658">
        <v>912</v>
      </c>
      <c r="H658">
        <v>4</v>
      </c>
      <c r="I658" s="173">
        <v>1.17</v>
      </c>
      <c r="J658" s="121">
        <v>1421891984</v>
      </c>
      <c r="K658" s="125">
        <v>18969.085999999999</v>
      </c>
      <c r="L658" s="173">
        <v>1.3519000000000001</v>
      </c>
      <c r="M658">
        <v>1.17</v>
      </c>
      <c r="N658">
        <v>0.90126667117300008</v>
      </c>
      <c r="O658">
        <v>26.873332882699984</v>
      </c>
      <c r="P658">
        <v>13490.412</v>
      </c>
      <c r="Q658" s="125">
        <v>1.7709999999999999</v>
      </c>
      <c r="R658" s="125">
        <v>0</v>
      </c>
      <c r="S658" s="125">
        <v>13.109</v>
      </c>
      <c r="T658" s="125">
        <v>174.71899999999999</v>
      </c>
      <c r="U658" s="125">
        <v>91.483000000000004</v>
      </c>
      <c r="V658" s="125">
        <v>0.114</v>
      </c>
      <c r="W658" s="125">
        <v>15.377000000000001</v>
      </c>
      <c r="X658" s="125">
        <v>0</v>
      </c>
      <c r="Y658" s="125">
        <v>1.1180000000000001</v>
      </c>
      <c r="Z658" s="125">
        <v>0</v>
      </c>
      <c r="AA658" s="125">
        <v>393.06299999999999</v>
      </c>
      <c r="AB658" s="125">
        <v>586.20000000000005</v>
      </c>
      <c r="AC658" s="125">
        <v>13355.5</v>
      </c>
      <c r="AD658" s="125">
        <v>7.6180000000000003</v>
      </c>
      <c r="AE658" s="125">
        <v>4971.8879999999999</v>
      </c>
      <c r="AF658" s="125">
        <v>674.52059999999994</v>
      </c>
      <c r="AG658" s="125">
        <v>0</v>
      </c>
      <c r="AH658" s="125">
        <v>0</v>
      </c>
      <c r="AI658" s="121">
        <v>16943905</v>
      </c>
      <c r="AJ658" s="121">
        <v>923753</v>
      </c>
      <c r="AK658" s="424">
        <v>12</v>
      </c>
      <c r="AL658">
        <v>0</v>
      </c>
      <c r="AM658" s="121">
        <v>916008</v>
      </c>
      <c r="AN658" s="125">
        <v>0</v>
      </c>
      <c r="AO658" s="125">
        <v>1</v>
      </c>
      <c r="AP658" s="121">
        <v>17867658</v>
      </c>
      <c r="AQ658" s="114">
        <v>0</v>
      </c>
      <c r="AR658" s="121">
        <v>947.77560656000003</v>
      </c>
      <c r="AS658" s="121">
        <v>186240.88292999999</v>
      </c>
      <c r="AT658" s="121">
        <v>24527.840766000001</v>
      </c>
      <c r="AU658" s="420" t="s">
        <v>2001</v>
      </c>
      <c r="AV658" s="420" t="s">
        <v>2001</v>
      </c>
      <c r="AW658" s="121">
        <v>0</v>
      </c>
      <c r="AX658" s="121">
        <v>3600825</v>
      </c>
      <c r="BI658">
        <v>0</v>
      </c>
      <c r="BJ658" s="121">
        <v>0</v>
      </c>
      <c r="BK658" s="134">
        <v>1421891984</v>
      </c>
      <c r="BL658" s="934">
        <v>4272</v>
      </c>
      <c r="BM658" s="934">
        <v>4318</v>
      </c>
      <c r="BN658" s="934">
        <v>4337</v>
      </c>
      <c r="BO658" s="114">
        <v>0</v>
      </c>
      <c r="BP658" s="114">
        <v>0</v>
      </c>
    </row>
    <row r="659" spans="1:68">
      <c r="A659" t="s">
        <v>992</v>
      </c>
      <c r="B659" t="s">
        <v>2120</v>
      </c>
      <c r="C659" s="121">
        <v>4881</v>
      </c>
      <c r="D659" s="72">
        <v>3</v>
      </c>
      <c r="E659">
        <v>354.19900000000001</v>
      </c>
      <c r="F659">
        <v>122</v>
      </c>
      <c r="G659">
        <v>107</v>
      </c>
      <c r="H659">
        <v>2</v>
      </c>
      <c r="I659" s="173">
        <v>1.04</v>
      </c>
      <c r="J659" s="121">
        <v>263789085</v>
      </c>
      <c r="K659" s="125">
        <v>2061.1280000000002</v>
      </c>
      <c r="L659" s="173">
        <v>1.5</v>
      </c>
      <c r="M659">
        <v>1.04</v>
      </c>
      <c r="N659">
        <v>1.000000005</v>
      </c>
      <c r="O659">
        <v>3.9999995000000066</v>
      </c>
      <c r="P659">
        <v>1238.489</v>
      </c>
      <c r="Q659" s="125">
        <v>0.06</v>
      </c>
      <c r="R659" s="125">
        <v>0</v>
      </c>
      <c r="S659" s="125">
        <v>2.786</v>
      </c>
      <c r="T659" s="125">
        <v>29.309000000000001</v>
      </c>
      <c r="U659" s="125">
        <v>17.23</v>
      </c>
      <c r="V659" s="125">
        <v>0</v>
      </c>
      <c r="W659" s="125">
        <v>3.8559999999999999</v>
      </c>
      <c r="X659" s="125">
        <v>0</v>
      </c>
      <c r="Y659" s="125">
        <v>0</v>
      </c>
      <c r="Z659" s="125">
        <v>11.127000000000001</v>
      </c>
      <c r="AA659" s="125">
        <v>77.888999999999996</v>
      </c>
      <c r="AB659" s="125">
        <v>76.853999999999999</v>
      </c>
      <c r="AC659" s="125">
        <v>957.9</v>
      </c>
      <c r="AD659" s="125">
        <v>0.95599999999999996</v>
      </c>
      <c r="AE659" s="125">
        <v>26.434000000000001</v>
      </c>
      <c r="AF659" s="125">
        <v>61.923999999999999</v>
      </c>
      <c r="AG659" s="125">
        <v>0</v>
      </c>
      <c r="AH659" s="125">
        <v>0</v>
      </c>
      <c r="AI659" s="121">
        <v>2851771</v>
      </c>
      <c r="AJ659" s="121">
        <v>382935</v>
      </c>
      <c r="AK659" s="424">
        <v>12</v>
      </c>
      <c r="AL659">
        <v>0</v>
      </c>
      <c r="AM659" s="121">
        <v>128868</v>
      </c>
      <c r="AN659" s="125">
        <v>0</v>
      </c>
      <c r="AO659" s="125">
        <v>0</v>
      </c>
      <c r="AP659" s="121">
        <v>3234706</v>
      </c>
      <c r="AQ659" s="114">
        <v>0</v>
      </c>
      <c r="AR659" s="121">
        <v>175.83111998000001</v>
      </c>
      <c r="AS659" s="121">
        <v>34551.367227000002</v>
      </c>
      <c r="AT659" s="121">
        <v>4550.3995701000003</v>
      </c>
      <c r="AU659" s="420" t="s">
        <v>2001</v>
      </c>
      <c r="AV659" s="420" t="s">
        <v>2001</v>
      </c>
      <c r="AW659" s="121">
        <v>0</v>
      </c>
      <c r="AX659" s="121">
        <v>726426</v>
      </c>
      <c r="BI659">
        <v>0</v>
      </c>
      <c r="BJ659" s="121">
        <v>0</v>
      </c>
      <c r="BK659" s="134">
        <v>263789085</v>
      </c>
      <c r="BL659" s="934">
        <v>4652</v>
      </c>
      <c r="BM659" s="934">
        <v>4812</v>
      </c>
      <c r="BN659" s="934">
        <v>4881</v>
      </c>
      <c r="BO659" s="114">
        <v>0</v>
      </c>
      <c r="BP659" s="114">
        <v>0</v>
      </c>
    </row>
    <row r="660" spans="1:68">
      <c r="A660" t="s">
        <v>1583</v>
      </c>
      <c r="B660" t="s">
        <v>1968</v>
      </c>
      <c r="C660" s="121">
        <v>4694</v>
      </c>
      <c r="D660" s="72">
        <v>2</v>
      </c>
      <c r="E660">
        <v>59.063000000000002</v>
      </c>
      <c r="F660">
        <v>20</v>
      </c>
      <c r="G660">
        <v>19</v>
      </c>
      <c r="H660">
        <v>1</v>
      </c>
      <c r="I660" s="173">
        <v>1.04</v>
      </c>
      <c r="J660" s="121">
        <v>37481867</v>
      </c>
      <c r="K660" s="125">
        <v>374.64600000000002</v>
      </c>
      <c r="L660" s="173">
        <v>1.5</v>
      </c>
      <c r="M660">
        <v>1.04</v>
      </c>
      <c r="N660">
        <v>1.000000005</v>
      </c>
      <c r="O660">
        <v>3.9999995000000066</v>
      </c>
      <c r="P660">
        <v>174.57599999999999</v>
      </c>
      <c r="Q660" s="125">
        <v>0</v>
      </c>
      <c r="R660" s="125">
        <v>0</v>
      </c>
      <c r="S660" s="125">
        <v>0.23799999999999999</v>
      </c>
      <c r="T660" s="125">
        <v>6.44</v>
      </c>
      <c r="U660" s="125">
        <v>0</v>
      </c>
      <c r="V660" s="125">
        <v>0</v>
      </c>
      <c r="W660" s="125">
        <v>0</v>
      </c>
      <c r="X660" s="125">
        <v>0</v>
      </c>
      <c r="Y660" s="125">
        <v>0</v>
      </c>
      <c r="Z660" s="125">
        <v>0</v>
      </c>
      <c r="AA660" s="125">
        <v>10.35</v>
      </c>
      <c r="AB660" s="125">
        <v>10.242000000000001</v>
      </c>
      <c r="AC660" s="125">
        <v>141.6</v>
      </c>
      <c r="AD660" s="125">
        <v>0.29799999999999999</v>
      </c>
      <c r="AE660" s="125">
        <v>0</v>
      </c>
      <c r="AF660" s="125">
        <v>8.7287999999999997</v>
      </c>
      <c r="AG660" s="125">
        <v>0</v>
      </c>
      <c r="AH660" s="125">
        <v>0</v>
      </c>
      <c r="AI660" s="121">
        <v>380651</v>
      </c>
      <c r="AJ660" s="121">
        <v>0</v>
      </c>
      <c r="AK660" s="424">
        <v>12</v>
      </c>
      <c r="AL660">
        <v>0</v>
      </c>
      <c r="AM660" s="121">
        <v>31741</v>
      </c>
      <c r="AN660" s="125">
        <v>0</v>
      </c>
      <c r="AO660" s="125">
        <v>0</v>
      </c>
      <c r="AP660" s="121">
        <v>380651</v>
      </c>
      <c r="AQ660" s="114">
        <v>0</v>
      </c>
      <c r="AR660" s="121">
        <v>24.983894438</v>
      </c>
      <c r="AS660" s="121">
        <v>4909.4137123999999</v>
      </c>
      <c r="AT660" s="121">
        <v>646.56758442</v>
      </c>
      <c r="AU660" s="420" t="s">
        <v>2001</v>
      </c>
      <c r="AV660" s="420" t="s">
        <v>2001</v>
      </c>
      <c r="AW660" s="121">
        <v>0</v>
      </c>
      <c r="AX660" s="121">
        <v>0</v>
      </c>
      <c r="BI660">
        <v>0</v>
      </c>
      <c r="BJ660" s="121">
        <v>0</v>
      </c>
      <c r="BK660" s="134">
        <v>37481867</v>
      </c>
      <c r="BL660" s="934">
        <v>4603</v>
      </c>
      <c r="BM660" s="934">
        <v>4694</v>
      </c>
      <c r="BN660" s="934">
        <v>4690</v>
      </c>
      <c r="BO660" s="114">
        <v>0</v>
      </c>
      <c r="BP660" s="114">
        <v>0</v>
      </c>
    </row>
    <row r="661" spans="1:68">
      <c r="A661" t="s">
        <v>2265</v>
      </c>
      <c r="B661" t="s">
        <v>2547</v>
      </c>
      <c r="C661" s="121">
        <v>4609</v>
      </c>
      <c r="D661" s="72">
        <v>2</v>
      </c>
      <c r="E661">
        <v>27.687000000000001</v>
      </c>
      <c r="F661">
        <v>12</v>
      </c>
      <c r="G661">
        <v>11</v>
      </c>
      <c r="H661">
        <v>1</v>
      </c>
      <c r="I661" s="173">
        <v>1.04</v>
      </c>
      <c r="J661" s="121">
        <v>17865806</v>
      </c>
      <c r="K661" s="125">
        <v>263.00099999999998</v>
      </c>
      <c r="L661" s="173">
        <v>1.49</v>
      </c>
      <c r="M661">
        <v>1.04</v>
      </c>
      <c r="N661">
        <v>0.99333333830000003</v>
      </c>
      <c r="O661">
        <v>4.6666661700000001</v>
      </c>
      <c r="P661">
        <v>110.479</v>
      </c>
      <c r="Q661" s="125">
        <v>0</v>
      </c>
      <c r="R661" s="125">
        <v>0</v>
      </c>
      <c r="S661" s="125">
        <v>0.37</v>
      </c>
      <c r="T661" s="125">
        <v>4.7249999999999996</v>
      </c>
      <c r="U661" s="125">
        <v>0.45300000000000001</v>
      </c>
      <c r="V661" s="125">
        <v>0</v>
      </c>
      <c r="W661" s="125">
        <v>0.5</v>
      </c>
      <c r="X661" s="125">
        <v>0</v>
      </c>
      <c r="Y661" s="125">
        <v>0</v>
      </c>
      <c r="Z661" s="125">
        <v>0.9</v>
      </c>
      <c r="AA661" s="125">
        <v>6.6580000000000004</v>
      </c>
      <c r="AB661" s="125">
        <v>10.315</v>
      </c>
      <c r="AC661" s="125">
        <v>78</v>
      </c>
      <c r="AD661" s="125">
        <v>0</v>
      </c>
      <c r="AE661" s="125">
        <v>0</v>
      </c>
      <c r="AF661" s="125">
        <v>5.5239500000000001</v>
      </c>
      <c r="AG661" s="125">
        <v>0</v>
      </c>
      <c r="AH661" s="125">
        <v>0</v>
      </c>
      <c r="AI661" s="121">
        <v>193144</v>
      </c>
      <c r="AJ661" s="121">
        <v>12150</v>
      </c>
      <c r="AK661" s="424">
        <v>12</v>
      </c>
      <c r="AL661">
        <v>0</v>
      </c>
      <c r="AM661" s="121">
        <v>10428</v>
      </c>
      <c r="AN661" s="125">
        <v>0</v>
      </c>
      <c r="AO661" s="125">
        <v>0</v>
      </c>
      <c r="AP661" s="121">
        <v>205294</v>
      </c>
      <c r="AQ661" s="114">
        <v>0</v>
      </c>
      <c r="AR661" s="121">
        <v>11.908622672</v>
      </c>
      <c r="AS661" s="121">
        <v>2340.0817510000002</v>
      </c>
      <c r="AT661" s="121">
        <v>308.18771724999999</v>
      </c>
      <c r="AU661" s="420" t="s">
        <v>2001</v>
      </c>
      <c r="AV661" s="420" t="s">
        <v>2001</v>
      </c>
      <c r="AW661" s="121">
        <v>0</v>
      </c>
      <c r="AX661" s="121">
        <v>92860</v>
      </c>
      <c r="BI661">
        <v>0</v>
      </c>
      <c r="BJ661" s="121">
        <v>0</v>
      </c>
      <c r="BK661" s="134">
        <v>17865806</v>
      </c>
      <c r="BL661" s="934">
        <v>4563</v>
      </c>
      <c r="BM661" s="934">
        <v>4609</v>
      </c>
      <c r="BN661" s="934">
        <v>4606</v>
      </c>
      <c r="BO661" s="114">
        <v>0</v>
      </c>
      <c r="BP661" s="114">
        <v>0</v>
      </c>
    </row>
    <row r="662" spans="1:68">
      <c r="A662" t="s">
        <v>1094</v>
      </c>
      <c r="B662" t="s">
        <v>457</v>
      </c>
      <c r="C662" s="121">
        <v>4608</v>
      </c>
      <c r="D662" s="72">
        <v>1</v>
      </c>
      <c r="E662">
        <v>198.523</v>
      </c>
      <c r="F662">
        <v>54</v>
      </c>
      <c r="G662">
        <v>26</v>
      </c>
      <c r="H662">
        <v>3</v>
      </c>
      <c r="I662" s="173">
        <v>1.04</v>
      </c>
      <c r="J662" s="121">
        <v>123674602</v>
      </c>
      <c r="K662" s="125">
        <v>873.63400000000001</v>
      </c>
      <c r="L662" s="173">
        <v>1.5</v>
      </c>
      <c r="M662">
        <v>1.04</v>
      </c>
      <c r="N662">
        <v>1.000000005</v>
      </c>
      <c r="O662">
        <v>3.9999995000000066</v>
      </c>
      <c r="P662">
        <v>600</v>
      </c>
      <c r="Q662" s="125">
        <v>0</v>
      </c>
      <c r="R662" s="125">
        <v>0</v>
      </c>
      <c r="S662" s="125">
        <v>1</v>
      </c>
      <c r="T662" s="125">
        <v>19</v>
      </c>
      <c r="U662" s="125">
        <v>0</v>
      </c>
      <c r="V662" s="125">
        <v>2</v>
      </c>
      <c r="W662" s="125">
        <v>0.75</v>
      </c>
      <c r="X662" s="125">
        <v>0</v>
      </c>
      <c r="Y662" s="125">
        <v>0</v>
      </c>
      <c r="Z662" s="125">
        <v>0</v>
      </c>
      <c r="AA662" s="125">
        <v>2.1</v>
      </c>
      <c r="AB662" s="125">
        <v>31</v>
      </c>
      <c r="AC662" s="125">
        <v>101</v>
      </c>
      <c r="AD662" s="125">
        <v>0</v>
      </c>
      <c r="AE662" s="125">
        <v>8.1</v>
      </c>
      <c r="AF662" s="125">
        <v>30</v>
      </c>
      <c r="AG662" s="125">
        <v>0</v>
      </c>
      <c r="AH662" s="125">
        <v>0</v>
      </c>
      <c r="AI662" s="121">
        <v>1264141</v>
      </c>
      <c r="AJ662" s="121">
        <v>140543</v>
      </c>
      <c r="AK662" s="424">
        <v>12</v>
      </c>
      <c r="AL662">
        <v>0</v>
      </c>
      <c r="AM662" s="121">
        <v>59972</v>
      </c>
      <c r="AN662" s="125">
        <v>0</v>
      </c>
      <c r="AO662" s="125">
        <v>0</v>
      </c>
      <c r="AP662" s="121">
        <v>1404684</v>
      </c>
      <c r="AQ662" s="114">
        <v>0</v>
      </c>
      <c r="AR662" s="121">
        <v>82.436480634999995</v>
      </c>
      <c r="AS662" s="121">
        <v>16199.027314999999</v>
      </c>
      <c r="AT662" s="121">
        <v>2133.4046333000001</v>
      </c>
      <c r="AU662" s="420" t="s">
        <v>2001</v>
      </c>
      <c r="AV662" s="420" t="s">
        <v>2001</v>
      </c>
      <c r="AW662" s="121">
        <v>0</v>
      </c>
      <c r="AX662" s="121">
        <v>246680</v>
      </c>
      <c r="BI662">
        <v>0</v>
      </c>
      <c r="BJ662" s="121">
        <v>0</v>
      </c>
      <c r="BK662" s="134">
        <v>117448426</v>
      </c>
      <c r="BL662" s="934">
        <v>4608</v>
      </c>
      <c r="BM662" s="934">
        <v>4562</v>
      </c>
      <c r="BN662" s="934">
        <v>4562</v>
      </c>
      <c r="BO662" s="114">
        <v>0</v>
      </c>
      <c r="BP662" s="114">
        <v>0</v>
      </c>
    </row>
    <row r="663" spans="1:68">
      <c r="A663" t="s">
        <v>1012</v>
      </c>
      <c r="B663" t="s">
        <v>2195</v>
      </c>
      <c r="C663" s="121">
        <v>5372</v>
      </c>
      <c r="D663" s="72">
        <v>3</v>
      </c>
      <c r="E663">
        <v>1813.8969999999999</v>
      </c>
      <c r="F663">
        <v>425</v>
      </c>
      <c r="G663">
        <v>366</v>
      </c>
      <c r="H663">
        <v>36</v>
      </c>
      <c r="I663" s="173">
        <v>1.04</v>
      </c>
      <c r="J663" s="121">
        <v>2898459947</v>
      </c>
      <c r="K663" s="125">
        <v>7157.2659999999996</v>
      </c>
      <c r="L663" s="173">
        <v>1.3720000000000001</v>
      </c>
      <c r="M663">
        <v>1.04</v>
      </c>
      <c r="N663">
        <v>0.91466667124000012</v>
      </c>
      <c r="O663">
        <v>12.533332875999992</v>
      </c>
      <c r="P663">
        <v>6021.8119999999999</v>
      </c>
      <c r="Q663" s="125">
        <v>0.35099999999999998</v>
      </c>
      <c r="R663" s="125">
        <v>0</v>
      </c>
      <c r="S663" s="125">
        <v>11.698</v>
      </c>
      <c r="T663" s="125">
        <v>131.923</v>
      </c>
      <c r="U663" s="125">
        <v>44.731000000000002</v>
      </c>
      <c r="V663" s="125">
        <v>0</v>
      </c>
      <c r="W663" s="125">
        <v>5.0090000000000003</v>
      </c>
      <c r="X663" s="125">
        <v>0</v>
      </c>
      <c r="Y663" s="125">
        <v>0</v>
      </c>
      <c r="Z663" s="125">
        <v>0</v>
      </c>
      <c r="AA663" s="125">
        <v>123.057</v>
      </c>
      <c r="AB663" s="125">
        <v>174.876</v>
      </c>
      <c r="AC663" s="125">
        <v>1406.6</v>
      </c>
      <c r="AD663" s="125">
        <v>2.4660000000000002</v>
      </c>
      <c r="AE663" s="125">
        <v>95.929000000000002</v>
      </c>
      <c r="AF663" s="125">
        <v>301.09059999999999</v>
      </c>
      <c r="AG663" s="125">
        <v>0</v>
      </c>
      <c r="AH663" s="125">
        <v>0</v>
      </c>
      <c r="AI663" s="121">
        <v>31334671</v>
      </c>
      <c r="AJ663" s="121">
        <v>6787880</v>
      </c>
      <c r="AK663" s="424">
        <v>12</v>
      </c>
      <c r="AL663">
        <v>0</v>
      </c>
      <c r="AM663" s="121">
        <v>309030</v>
      </c>
      <c r="AN663" s="125">
        <v>0</v>
      </c>
      <c r="AO663" s="125">
        <v>0</v>
      </c>
      <c r="AP663" s="121">
        <v>38122551</v>
      </c>
      <c r="AQ663" s="114">
        <v>0</v>
      </c>
      <c r="AR663" s="121">
        <v>0</v>
      </c>
      <c r="AS663" s="121">
        <v>0</v>
      </c>
      <c r="AT663" s="121">
        <v>0</v>
      </c>
      <c r="AU663" s="420" t="s">
        <v>798</v>
      </c>
      <c r="AV663" s="420" t="s">
        <v>2001</v>
      </c>
      <c r="AW663" s="121">
        <v>0</v>
      </c>
      <c r="AX663" s="121">
        <v>7352896</v>
      </c>
      <c r="AY663" s="134">
        <v>2784647</v>
      </c>
      <c r="AZ663" s="134">
        <v>12985591</v>
      </c>
      <c r="BA663" s="134">
        <v>5763</v>
      </c>
      <c r="BB663" s="134">
        <v>963803773</v>
      </c>
      <c r="BC663" s="114">
        <v>0</v>
      </c>
      <c r="BD663" s="114">
        <v>0</v>
      </c>
      <c r="BE663" s="114">
        <v>0</v>
      </c>
      <c r="BF663" s="134">
        <v>6400</v>
      </c>
      <c r="BG663" s="114">
        <v>0</v>
      </c>
      <c r="BH663" s="114">
        <v>0</v>
      </c>
      <c r="BI663">
        <v>0</v>
      </c>
      <c r="BJ663" s="121">
        <v>0</v>
      </c>
      <c r="BK663" s="134">
        <v>2898459947</v>
      </c>
      <c r="BL663" s="934">
        <v>4786</v>
      </c>
      <c r="BM663" s="934">
        <v>5057</v>
      </c>
      <c r="BN663" s="934">
        <v>5372</v>
      </c>
      <c r="BO663" s="114">
        <v>0</v>
      </c>
      <c r="BP663" s="114">
        <v>0</v>
      </c>
    </row>
    <row r="664" spans="1:68">
      <c r="A664" t="s">
        <v>800</v>
      </c>
      <c r="B664" t="s">
        <v>2172</v>
      </c>
      <c r="C664" s="121">
        <v>4697</v>
      </c>
      <c r="D664" s="72">
        <v>2</v>
      </c>
      <c r="E664">
        <v>587.47900000000004</v>
      </c>
      <c r="F664">
        <v>184</v>
      </c>
      <c r="G664">
        <v>158</v>
      </c>
      <c r="H664">
        <v>5</v>
      </c>
      <c r="I664" s="173">
        <v>1.04</v>
      </c>
      <c r="J664" s="121">
        <v>487688454</v>
      </c>
      <c r="K664" s="125">
        <v>3506.569</v>
      </c>
      <c r="L664" s="173">
        <v>1.5</v>
      </c>
      <c r="M664">
        <v>1.04</v>
      </c>
      <c r="N664">
        <v>1.000000005</v>
      </c>
      <c r="O664">
        <v>3.9999995000000066</v>
      </c>
      <c r="P664">
        <v>2408.6619999999998</v>
      </c>
      <c r="Q664" s="125">
        <v>7.4999999999999997E-2</v>
      </c>
      <c r="R664" s="125">
        <v>0</v>
      </c>
      <c r="S664" s="125">
        <v>4.4459999999999997</v>
      </c>
      <c r="T664" s="125">
        <v>74.593000000000004</v>
      </c>
      <c r="U664" s="125">
        <v>17.516999999999999</v>
      </c>
      <c r="V664" s="125">
        <v>0</v>
      </c>
      <c r="W664" s="125">
        <v>5.0170000000000003</v>
      </c>
      <c r="X664" s="125">
        <v>0</v>
      </c>
      <c r="Y664" s="125">
        <v>0</v>
      </c>
      <c r="Z664" s="125">
        <v>1.34</v>
      </c>
      <c r="AA664" s="125">
        <v>31.396000000000001</v>
      </c>
      <c r="AB664" s="125">
        <v>81.891999999999996</v>
      </c>
      <c r="AC664" s="125">
        <v>2384.6</v>
      </c>
      <c r="AD664" s="125">
        <v>2.722</v>
      </c>
      <c r="AE664" s="125">
        <v>279.64299999999997</v>
      </c>
      <c r="AF664" s="125">
        <v>120.43300000000001</v>
      </c>
      <c r="AG664" s="125">
        <v>0</v>
      </c>
      <c r="AH664" s="125">
        <v>0</v>
      </c>
      <c r="AI664" s="121">
        <v>5286817</v>
      </c>
      <c r="AJ664" s="121">
        <v>737146</v>
      </c>
      <c r="AK664" s="424">
        <v>12</v>
      </c>
      <c r="AL664">
        <v>0</v>
      </c>
      <c r="AM664" s="121">
        <v>217331</v>
      </c>
      <c r="AN664" s="125">
        <v>0</v>
      </c>
      <c r="AO664" s="125">
        <v>0</v>
      </c>
      <c r="AP664" s="121">
        <v>6023963</v>
      </c>
      <c r="AQ664" s="114">
        <v>0</v>
      </c>
      <c r="AR664" s="121">
        <v>325.07337089999999</v>
      </c>
      <c r="AS664" s="121">
        <v>63877.938189</v>
      </c>
      <c r="AT664" s="121">
        <v>8412.6958150999999</v>
      </c>
      <c r="AU664" s="420" t="s">
        <v>2001</v>
      </c>
      <c r="AV664" s="420" t="s">
        <v>2001</v>
      </c>
      <c r="AW664" s="121">
        <v>0</v>
      </c>
      <c r="AX664" s="121">
        <v>1516383</v>
      </c>
      <c r="BI664">
        <v>0</v>
      </c>
      <c r="BJ664" s="121">
        <v>0</v>
      </c>
      <c r="BK664" s="134">
        <v>487688454</v>
      </c>
      <c r="BL664" s="934">
        <v>4469</v>
      </c>
      <c r="BM664" s="934">
        <v>4697</v>
      </c>
      <c r="BN664" s="934">
        <v>4545</v>
      </c>
      <c r="BO664" s="114">
        <v>0</v>
      </c>
      <c r="BP664" s="114">
        <v>0</v>
      </c>
    </row>
    <row r="665" spans="1:68">
      <c r="A665" t="s">
        <v>1095</v>
      </c>
      <c r="B665" t="s">
        <v>1426</v>
      </c>
      <c r="C665" s="121">
        <v>4643</v>
      </c>
      <c r="D665" s="72">
        <v>2</v>
      </c>
      <c r="E665">
        <v>454.02199999999999</v>
      </c>
      <c r="F665">
        <v>120</v>
      </c>
      <c r="G665">
        <v>65</v>
      </c>
      <c r="H665">
        <v>4</v>
      </c>
      <c r="I665" s="173">
        <v>1.04</v>
      </c>
      <c r="J665" s="121">
        <v>316097995</v>
      </c>
      <c r="K665" s="125">
        <v>2105.6619999999998</v>
      </c>
      <c r="L665" s="173">
        <v>1.5</v>
      </c>
      <c r="M665">
        <v>1.04</v>
      </c>
      <c r="N665">
        <v>1.000000005</v>
      </c>
      <c r="O665">
        <v>3.9999995000000066</v>
      </c>
      <c r="P665">
        <v>1544.28</v>
      </c>
      <c r="Q665" s="125">
        <v>3.5999999999999997E-2</v>
      </c>
      <c r="R665" s="125">
        <v>0</v>
      </c>
      <c r="S665" s="125">
        <v>5.0019999999999998</v>
      </c>
      <c r="T665" s="125">
        <v>69.676000000000002</v>
      </c>
      <c r="U665" s="125">
        <v>18.728000000000002</v>
      </c>
      <c r="V665" s="125">
        <v>2.738</v>
      </c>
      <c r="W665" s="125">
        <v>4.2469999999999999</v>
      </c>
      <c r="X665" s="125">
        <v>0</v>
      </c>
      <c r="Y665" s="125">
        <v>0</v>
      </c>
      <c r="Z665" s="125">
        <v>0</v>
      </c>
      <c r="AA665" s="125">
        <v>34.914000000000001</v>
      </c>
      <c r="AB665" s="125">
        <v>92.575000000000003</v>
      </c>
      <c r="AC665" s="125">
        <v>312.5</v>
      </c>
      <c r="AD665" s="125">
        <v>0.15</v>
      </c>
      <c r="AE665" s="125">
        <v>17.321000000000002</v>
      </c>
      <c r="AF665" s="125">
        <v>77.213999999999999</v>
      </c>
      <c r="AG665" s="125">
        <v>0</v>
      </c>
      <c r="AH665" s="125">
        <v>0</v>
      </c>
      <c r="AI665" s="121">
        <v>3355154</v>
      </c>
      <c r="AJ665" s="121">
        <v>616487</v>
      </c>
      <c r="AK665" s="424">
        <v>12</v>
      </c>
      <c r="AL665">
        <v>0</v>
      </c>
      <c r="AM665" s="121">
        <v>0</v>
      </c>
      <c r="AN665" s="125">
        <v>0</v>
      </c>
      <c r="AO665" s="125">
        <v>0</v>
      </c>
      <c r="AP665" s="121">
        <v>3971641</v>
      </c>
      <c r="AQ665" s="114">
        <v>0</v>
      </c>
      <c r="AR665" s="121">
        <v>210.69812074999999</v>
      </c>
      <c r="AS665" s="121">
        <v>41402.842368999998</v>
      </c>
      <c r="AT665" s="121">
        <v>5452.7357739999998</v>
      </c>
      <c r="AU665" s="420" t="s">
        <v>2001</v>
      </c>
      <c r="AV665" s="420" t="s">
        <v>2001</v>
      </c>
      <c r="AW665" s="121">
        <v>0</v>
      </c>
      <c r="AX665" s="121">
        <v>1110264</v>
      </c>
      <c r="BI665">
        <v>0</v>
      </c>
      <c r="BJ665" s="121">
        <v>0</v>
      </c>
      <c r="BK665" s="134">
        <v>316097995</v>
      </c>
      <c r="BL665" s="934">
        <v>4554</v>
      </c>
      <c r="BM665" s="934">
        <v>4643</v>
      </c>
      <c r="BN665" s="934">
        <v>4643</v>
      </c>
      <c r="BO665" s="114">
        <v>0</v>
      </c>
      <c r="BP665" s="114">
        <v>0</v>
      </c>
    </row>
    <row r="666" spans="1:68">
      <c r="A666" t="s">
        <v>2096</v>
      </c>
      <c r="B666" t="s">
        <v>2358</v>
      </c>
      <c r="C666" s="121">
        <v>4796</v>
      </c>
      <c r="D666" s="72">
        <v>3</v>
      </c>
      <c r="E666">
        <v>184.96899999999999</v>
      </c>
      <c r="F666">
        <v>57</v>
      </c>
      <c r="G666">
        <v>31</v>
      </c>
      <c r="H666">
        <v>1</v>
      </c>
      <c r="I666" s="173">
        <v>1.04</v>
      </c>
      <c r="J666" s="121">
        <v>79485553</v>
      </c>
      <c r="K666" s="125">
        <v>959.52599999999995</v>
      </c>
      <c r="L666" s="173">
        <v>1.3882000000000001</v>
      </c>
      <c r="M666">
        <v>1.04</v>
      </c>
      <c r="N666">
        <v>0.92546667129400007</v>
      </c>
      <c r="O666">
        <v>11.453332870599997</v>
      </c>
      <c r="P666">
        <v>555.69200000000001</v>
      </c>
      <c r="Q666" s="125">
        <v>0</v>
      </c>
      <c r="R666" s="125">
        <v>0</v>
      </c>
      <c r="S666" s="125">
        <v>1.3959999999999999</v>
      </c>
      <c r="T666" s="125">
        <v>13.545999999999999</v>
      </c>
      <c r="U666" s="125">
        <v>1.407</v>
      </c>
      <c r="V666" s="125">
        <v>0.49199999999999999</v>
      </c>
      <c r="W666" s="125">
        <v>0.56399999999999995</v>
      </c>
      <c r="X666" s="125">
        <v>0</v>
      </c>
      <c r="Y666" s="125">
        <v>0</v>
      </c>
      <c r="Z666" s="125">
        <v>0</v>
      </c>
      <c r="AA666" s="125">
        <v>37.866999999999997</v>
      </c>
      <c r="AB666" s="125">
        <v>41.14</v>
      </c>
      <c r="AC666" s="125">
        <v>416.2</v>
      </c>
      <c r="AD666" s="125">
        <v>1</v>
      </c>
      <c r="AE666" s="125">
        <v>12.253</v>
      </c>
      <c r="AF666" s="125">
        <v>27.784600000000001</v>
      </c>
      <c r="AG666" s="125">
        <v>0</v>
      </c>
      <c r="AH666" s="125">
        <v>0</v>
      </c>
      <c r="AI666" s="121">
        <v>750329</v>
      </c>
      <c r="AJ666" s="121">
        <v>109301</v>
      </c>
      <c r="AK666" s="424">
        <v>12</v>
      </c>
      <c r="AL666">
        <v>0</v>
      </c>
      <c r="AM666" s="121">
        <v>37565</v>
      </c>
      <c r="AN666" s="125">
        <v>0</v>
      </c>
      <c r="AO666" s="125">
        <v>0</v>
      </c>
      <c r="AP666" s="121">
        <v>859630</v>
      </c>
      <c r="AQ666" s="114">
        <v>0</v>
      </c>
      <c r="AR666" s="121">
        <v>52.981850364000003</v>
      </c>
      <c r="AS666" s="121">
        <v>10411.099972</v>
      </c>
      <c r="AT666" s="121">
        <v>1371.1371976999999</v>
      </c>
      <c r="AU666" s="420" t="s">
        <v>2001</v>
      </c>
      <c r="AV666" s="420" t="s">
        <v>2001</v>
      </c>
      <c r="AW666" s="121">
        <v>0</v>
      </c>
      <c r="AX666" s="121">
        <v>315480</v>
      </c>
      <c r="BI666">
        <v>0</v>
      </c>
      <c r="BJ666" s="121">
        <v>0</v>
      </c>
      <c r="BK666" s="134">
        <v>73601636</v>
      </c>
      <c r="BL666" s="934">
        <v>4463</v>
      </c>
      <c r="BM666" s="934">
        <v>4467</v>
      </c>
      <c r="BN666" s="934">
        <v>4796</v>
      </c>
      <c r="BO666" s="114">
        <v>0</v>
      </c>
      <c r="BP666" s="114">
        <v>0</v>
      </c>
    </row>
    <row r="667" spans="1:68">
      <c r="A667" t="s">
        <v>1735</v>
      </c>
      <c r="B667" t="s">
        <v>927</v>
      </c>
      <c r="C667" s="121">
        <v>5077</v>
      </c>
      <c r="D667" s="72">
        <v>3</v>
      </c>
      <c r="E667">
        <v>309.42700000000002</v>
      </c>
      <c r="F667">
        <v>109</v>
      </c>
      <c r="G667">
        <v>100</v>
      </c>
      <c r="H667">
        <v>6</v>
      </c>
      <c r="I667" s="173">
        <v>1.04</v>
      </c>
      <c r="J667" s="121">
        <v>250951487</v>
      </c>
      <c r="K667" s="125">
        <v>1762.0889999999999</v>
      </c>
      <c r="L667" s="173">
        <v>1.49</v>
      </c>
      <c r="M667">
        <v>1.04</v>
      </c>
      <c r="N667">
        <v>0.99333333830000003</v>
      </c>
      <c r="O667">
        <v>4.6666661700000001</v>
      </c>
      <c r="P667">
        <v>1164.5309999999999</v>
      </c>
      <c r="Q667" s="125">
        <v>0</v>
      </c>
      <c r="R667" s="125">
        <v>0</v>
      </c>
      <c r="S667" s="125">
        <v>2.5430000000000001</v>
      </c>
      <c r="T667" s="125">
        <v>46.356000000000002</v>
      </c>
      <c r="U667" s="125">
        <v>5.7709999999999999</v>
      </c>
      <c r="V667" s="125">
        <v>0</v>
      </c>
      <c r="W667" s="125">
        <v>6.2450000000000001</v>
      </c>
      <c r="X667" s="125">
        <v>0</v>
      </c>
      <c r="Y667" s="125">
        <v>0</v>
      </c>
      <c r="Z667" s="125">
        <v>0.05</v>
      </c>
      <c r="AA667" s="125">
        <v>27.068000000000001</v>
      </c>
      <c r="AB667" s="125">
        <v>37.915999999999997</v>
      </c>
      <c r="AC667" s="125">
        <v>856.6</v>
      </c>
      <c r="AD667" s="125">
        <v>0.72699999999999998</v>
      </c>
      <c r="AE667" s="125">
        <v>171.38499999999999</v>
      </c>
      <c r="AF667" s="125">
        <v>58.226550000000003</v>
      </c>
      <c r="AG667" s="125">
        <v>0</v>
      </c>
      <c r="AH667" s="125">
        <v>0</v>
      </c>
      <c r="AI667" s="121">
        <v>2697396</v>
      </c>
      <c r="AJ667" s="121">
        <v>361802</v>
      </c>
      <c r="AK667" s="424">
        <v>12</v>
      </c>
      <c r="AL667">
        <v>0</v>
      </c>
      <c r="AM667" s="121">
        <v>72473</v>
      </c>
      <c r="AN667" s="125">
        <v>0.33100000000000002</v>
      </c>
      <c r="AO667" s="125">
        <v>0</v>
      </c>
      <c r="AP667" s="121">
        <v>3059198</v>
      </c>
      <c r="AQ667" s="114">
        <v>0</v>
      </c>
      <c r="AR667" s="121">
        <v>167.27409711000001</v>
      </c>
      <c r="AS667" s="121">
        <v>32869.885361000001</v>
      </c>
      <c r="AT667" s="121">
        <v>4328.9491624000002</v>
      </c>
      <c r="AU667" s="420" t="s">
        <v>2001</v>
      </c>
      <c r="AV667" s="420" t="s">
        <v>2001</v>
      </c>
      <c r="AW667" s="121">
        <v>0</v>
      </c>
      <c r="AX667" s="121">
        <v>661966</v>
      </c>
      <c r="BI667">
        <v>0</v>
      </c>
      <c r="BJ667" s="121">
        <v>0</v>
      </c>
      <c r="BK667" s="134">
        <v>250951487</v>
      </c>
      <c r="BL667" s="934">
        <v>4835</v>
      </c>
      <c r="BM667" s="934">
        <v>4991</v>
      </c>
      <c r="BN667" s="934">
        <v>5077</v>
      </c>
      <c r="BO667" s="114">
        <v>0</v>
      </c>
      <c r="BP667" s="114">
        <v>0</v>
      </c>
    </row>
    <row r="668" spans="1:68">
      <c r="A668" t="s">
        <v>134</v>
      </c>
      <c r="B668" t="s">
        <v>1969</v>
      </c>
      <c r="C668" s="121">
        <v>5123</v>
      </c>
      <c r="D668" s="72">
        <v>3</v>
      </c>
      <c r="E668">
        <v>196.43199999999999</v>
      </c>
      <c r="F668">
        <v>69</v>
      </c>
      <c r="G668">
        <v>38</v>
      </c>
      <c r="H668">
        <v>0</v>
      </c>
      <c r="I668" s="173">
        <v>0.98670000000000002</v>
      </c>
      <c r="J668" s="121">
        <v>117314018</v>
      </c>
      <c r="K668" s="125">
        <v>1234.528</v>
      </c>
      <c r="L668" s="173">
        <v>1.42</v>
      </c>
      <c r="M668">
        <v>0.98670000000000002</v>
      </c>
      <c r="N668">
        <v>0.94666667139999994</v>
      </c>
      <c r="O668">
        <v>4.0033328600000084</v>
      </c>
      <c r="P668">
        <v>768.97299999999996</v>
      </c>
      <c r="Q668" s="125">
        <v>0</v>
      </c>
      <c r="R668" s="125">
        <v>0</v>
      </c>
      <c r="S668" s="125">
        <v>1.54</v>
      </c>
      <c r="T668" s="125">
        <v>42.027999999999999</v>
      </c>
      <c r="U668" s="125">
        <v>1.1259999999999999</v>
      </c>
      <c r="V668" s="125">
        <v>6.42</v>
      </c>
      <c r="W668" s="125">
        <v>2.1059999999999999</v>
      </c>
      <c r="X668" s="125">
        <v>0</v>
      </c>
      <c r="Y668" s="125">
        <v>0</v>
      </c>
      <c r="Z668" s="125">
        <v>0</v>
      </c>
      <c r="AA668" s="125">
        <v>8.84</v>
      </c>
      <c r="AB668" s="125">
        <v>21.33</v>
      </c>
      <c r="AC668" s="125">
        <v>456.4</v>
      </c>
      <c r="AD668" s="125">
        <v>0</v>
      </c>
      <c r="AE668" s="125">
        <v>10.384</v>
      </c>
      <c r="AF668" s="125">
        <v>38.448650000000001</v>
      </c>
      <c r="AG668" s="125">
        <v>0</v>
      </c>
      <c r="AH668" s="125">
        <v>0</v>
      </c>
      <c r="AI668" s="121">
        <v>1166798</v>
      </c>
      <c r="AJ668" s="121">
        <v>0</v>
      </c>
      <c r="AK668" s="424">
        <v>12</v>
      </c>
      <c r="AL668">
        <v>0</v>
      </c>
      <c r="AM668" s="121">
        <v>69448</v>
      </c>
      <c r="AN668" s="125">
        <v>0</v>
      </c>
      <c r="AO668" s="125">
        <v>0</v>
      </c>
      <c r="AP668" s="121">
        <v>1166798</v>
      </c>
      <c r="AQ668" s="114">
        <v>0</v>
      </c>
      <c r="AR668" s="121">
        <v>78.196772905000003</v>
      </c>
      <c r="AS668" s="121">
        <v>15365.911432000001</v>
      </c>
      <c r="AT668" s="121">
        <v>2023.6836450999999</v>
      </c>
      <c r="AU668" s="420" t="s">
        <v>2001</v>
      </c>
      <c r="AV668" s="420" t="s">
        <v>2001</v>
      </c>
      <c r="AW668" s="121">
        <v>0</v>
      </c>
      <c r="AX668" s="121">
        <v>0</v>
      </c>
      <c r="BI668">
        <v>0</v>
      </c>
      <c r="BJ668" s="121">
        <v>0</v>
      </c>
      <c r="BK668" s="134">
        <v>117314018</v>
      </c>
      <c r="BL668" s="934">
        <v>4831</v>
      </c>
      <c r="BM668" s="934">
        <v>4990</v>
      </c>
      <c r="BN668" s="934">
        <v>5123</v>
      </c>
      <c r="BO668" s="114">
        <v>0</v>
      </c>
      <c r="BP668" s="114">
        <v>0</v>
      </c>
    </row>
    <row r="669" spans="1:68">
      <c r="A669" t="s">
        <v>2384</v>
      </c>
      <c r="B669" t="s">
        <v>1958</v>
      </c>
      <c r="C669" s="121">
        <v>4435</v>
      </c>
      <c r="D669" s="72">
        <v>2</v>
      </c>
      <c r="E669">
        <v>178.77099999999999</v>
      </c>
      <c r="F669">
        <v>47</v>
      </c>
      <c r="G669">
        <v>28</v>
      </c>
      <c r="H669">
        <v>1</v>
      </c>
      <c r="I669" s="173">
        <v>1.04</v>
      </c>
      <c r="J669" s="121">
        <v>82618102</v>
      </c>
      <c r="K669" s="125">
        <v>913.23800000000006</v>
      </c>
      <c r="L669" s="173">
        <v>1.5</v>
      </c>
      <c r="M669">
        <v>1.04</v>
      </c>
      <c r="N669">
        <v>1.000000005</v>
      </c>
      <c r="O669">
        <v>3.9999995000000066</v>
      </c>
      <c r="P669">
        <v>560</v>
      </c>
      <c r="Q669" s="125">
        <v>7.8E-2</v>
      </c>
      <c r="R669" s="125">
        <v>0</v>
      </c>
      <c r="S669" s="125">
        <v>1.0449999999999999</v>
      </c>
      <c r="T669" s="125">
        <v>21.184999999999999</v>
      </c>
      <c r="U669" s="125">
        <v>4.1310000000000002</v>
      </c>
      <c r="V669" s="125">
        <v>0.20799999999999999</v>
      </c>
      <c r="W669" s="125">
        <v>6.0359999999999996</v>
      </c>
      <c r="X669" s="125">
        <v>0</v>
      </c>
      <c r="Y669" s="125">
        <v>0</v>
      </c>
      <c r="Z669" s="125">
        <v>0</v>
      </c>
      <c r="AA669" s="125">
        <v>23.937000000000001</v>
      </c>
      <c r="AB669" s="125">
        <v>27.177</v>
      </c>
      <c r="AC669" s="125">
        <v>218.6</v>
      </c>
      <c r="AD669" s="125">
        <v>0</v>
      </c>
      <c r="AE669" s="125">
        <v>2</v>
      </c>
      <c r="AF669" s="125">
        <v>26.664000000000001</v>
      </c>
      <c r="AG669" s="125">
        <v>0</v>
      </c>
      <c r="AH669" s="125">
        <v>0</v>
      </c>
      <c r="AI669" s="121">
        <v>882292</v>
      </c>
      <c r="AJ669" s="121">
        <v>96200</v>
      </c>
      <c r="AK669" s="424">
        <v>12</v>
      </c>
      <c r="AL669">
        <v>0</v>
      </c>
      <c r="AM669" s="121">
        <v>35653</v>
      </c>
      <c r="AN669" s="125">
        <v>0</v>
      </c>
      <c r="AO669" s="125">
        <v>0</v>
      </c>
      <c r="AP669" s="121">
        <v>978492</v>
      </c>
      <c r="AQ669" s="114">
        <v>0</v>
      </c>
      <c r="AR669" s="121">
        <v>55.069880564999998</v>
      </c>
      <c r="AS669" s="121">
        <v>10821.404463000001</v>
      </c>
      <c r="AT669" s="121">
        <v>1425.1741152</v>
      </c>
      <c r="AU669" s="420" t="s">
        <v>2001</v>
      </c>
      <c r="AV669" s="420" t="s">
        <v>2001</v>
      </c>
      <c r="AW669" s="121">
        <v>0</v>
      </c>
      <c r="AX669" s="121">
        <v>265599</v>
      </c>
      <c r="BI669">
        <v>0</v>
      </c>
      <c r="BJ669" s="121">
        <v>0</v>
      </c>
      <c r="BK669" s="134">
        <v>82618102</v>
      </c>
      <c r="BL669" s="934">
        <v>3982</v>
      </c>
      <c r="BM669" s="934">
        <v>4435</v>
      </c>
      <c r="BN669" s="934">
        <v>4354</v>
      </c>
      <c r="BO669" s="114">
        <v>0</v>
      </c>
      <c r="BP669" s="114">
        <v>0</v>
      </c>
    </row>
    <row r="670" spans="1:68">
      <c r="A670" t="s">
        <v>373</v>
      </c>
      <c r="B670" t="s">
        <v>157</v>
      </c>
      <c r="C670" s="121">
        <v>4609</v>
      </c>
      <c r="D670" s="72">
        <v>3</v>
      </c>
      <c r="E670">
        <v>3378.72</v>
      </c>
      <c r="F670">
        <v>1075</v>
      </c>
      <c r="G670">
        <v>896</v>
      </c>
      <c r="H670">
        <v>14</v>
      </c>
      <c r="I670" s="173">
        <v>1.04</v>
      </c>
      <c r="J670" s="121">
        <v>3444451349</v>
      </c>
      <c r="K670" s="125">
        <v>19222.313999999998</v>
      </c>
      <c r="L670" s="173">
        <v>1.4456</v>
      </c>
      <c r="M670">
        <v>1.04</v>
      </c>
      <c r="N670">
        <v>0.96373333815200002</v>
      </c>
      <c r="O670">
        <v>7.6266661848000012</v>
      </c>
      <c r="P670">
        <v>13913.57</v>
      </c>
      <c r="Q670" s="125">
        <v>0.74199999999999999</v>
      </c>
      <c r="R670" s="125">
        <v>0</v>
      </c>
      <c r="S670" s="125">
        <v>25</v>
      </c>
      <c r="T670" s="125">
        <v>400</v>
      </c>
      <c r="U670" s="125">
        <v>110</v>
      </c>
      <c r="V670" s="125">
        <v>2</v>
      </c>
      <c r="W670" s="125">
        <v>38</v>
      </c>
      <c r="X670" s="125">
        <v>0</v>
      </c>
      <c r="Y670" s="125">
        <v>0</v>
      </c>
      <c r="Z670" s="125">
        <v>9</v>
      </c>
      <c r="AA670" s="125">
        <v>420</v>
      </c>
      <c r="AB670" s="125">
        <v>480</v>
      </c>
      <c r="AC670" s="125">
        <v>12451.6</v>
      </c>
      <c r="AD670" s="125">
        <v>8</v>
      </c>
      <c r="AE670" s="125">
        <v>1620</v>
      </c>
      <c r="AF670" s="125">
        <v>695.67849999999999</v>
      </c>
      <c r="AG670" s="125">
        <v>0</v>
      </c>
      <c r="AH670" s="125">
        <v>0</v>
      </c>
      <c r="AI670" s="121">
        <v>36003532</v>
      </c>
      <c r="AJ670" s="121">
        <v>3739731</v>
      </c>
      <c r="AK670" s="424">
        <v>12</v>
      </c>
      <c r="AL670">
        <v>0</v>
      </c>
      <c r="AM670" s="121">
        <v>535812</v>
      </c>
      <c r="AN670" s="125">
        <v>2</v>
      </c>
      <c r="AO670" s="125">
        <v>1</v>
      </c>
      <c r="AP670" s="121">
        <v>39743263</v>
      </c>
      <c r="AQ670" s="114">
        <v>0</v>
      </c>
      <c r="AR670" s="121">
        <v>2295.9317606</v>
      </c>
      <c r="AS670" s="121">
        <v>451157.80072</v>
      </c>
      <c r="AT670" s="121">
        <v>59417.280043999999</v>
      </c>
      <c r="AU670" s="420" t="s">
        <v>2001</v>
      </c>
      <c r="AV670" s="420" t="s">
        <v>2001</v>
      </c>
      <c r="AW670" s="121">
        <v>0</v>
      </c>
      <c r="AX670" s="121">
        <v>6015793</v>
      </c>
      <c r="BI670">
        <v>0</v>
      </c>
      <c r="BJ670" s="121">
        <v>0</v>
      </c>
      <c r="BK670" s="134">
        <v>3364313010</v>
      </c>
      <c r="BL670" s="934">
        <v>4485</v>
      </c>
      <c r="BM670" s="934">
        <v>4515</v>
      </c>
      <c r="BN670" s="934">
        <v>4609</v>
      </c>
      <c r="BO670" s="114">
        <v>0</v>
      </c>
      <c r="BP670" s="114">
        <v>0</v>
      </c>
    </row>
    <row r="671" spans="1:68">
      <c r="A671" t="s">
        <v>376</v>
      </c>
      <c r="B671" t="s">
        <v>1610</v>
      </c>
      <c r="C671" s="121">
        <v>4995</v>
      </c>
      <c r="D671" s="72">
        <v>2</v>
      </c>
      <c r="E671">
        <v>494.58199999999999</v>
      </c>
      <c r="F671">
        <v>145</v>
      </c>
      <c r="G671">
        <v>154</v>
      </c>
      <c r="H671">
        <v>24</v>
      </c>
      <c r="I671" s="173">
        <v>1.04</v>
      </c>
      <c r="J671" s="121">
        <v>270163813</v>
      </c>
      <c r="K671" s="125">
        <v>2093.9229999999998</v>
      </c>
      <c r="L671" s="173">
        <v>1.5</v>
      </c>
      <c r="M671">
        <v>1.04</v>
      </c>
      <c r="N671">
        <v>1.000000005</v>
      </c>
      <c r="O671">
        <v>3.9999995000000066</v>
      </c>
      <c r="P671">
        <v>1427.2170000000001</v>
      </c>
      <c r="Q671" s="125">
        <v>0.36399999999999999</v>
      </c>
      <c r="R671" s="125">
        <v>0</v>
      </c>
      <c r="S671" s="125">
        <v>3.3639999999999999</v>
      </c>
      <c r="T671" s="125">
        <v>55.347000000000001</v>
      </c>
      <c r="U671" s="125">
        <v>4.2060000000000004</v>
      </c>
      <c r="V671" s="125">
        <v>2.7719999999999998</v>
      </c>
      <c r="W671" s="125">
        <v>1.6359999999999999</v>
      </c>
      <c r="X671" s="125">
        <v>0</v>
      </c>
      <c r="Y671" s="125">
        <v>0</v>
      </c>
      <c r="Z671" s="125">
        <v>36.095999999999997</v>
      </c>
      <c r="AA671" s="125">
        <v>29.308</v>
      </c>
      <c r="AB671" s="125">
        <v>98.105000000000004</v>
      </c>
      <c r="AC671" s="125">
        <v>627.20000000000005</v>
      </c>
      <c r="AD671" s="125">
        <v>0.16300000000000001</v>
      </c>
      <c r="AE671" s="125">
        <v>29.986000000000001</v>
      </c>
      <c r="AF671" s="125">
        <v>71.360849999999999</v>
      </c>
      <c r="AG671" s="125">
        <v>0</v>
      </c>
      <c r="AH671" s="125">
        <v>0</v>
      </c>
      <c r="AI671" s="121">
        <v>2892327</v>
      </c>
      <c r="AJ671" s="121">
        <v>465526</v>
      </c>
      <c r="AK671" s="424">
        <v>12</v>
      </c>
      <c r="AL671">
        <v>0</v>
      </c>
      <c r="AM671" s="121">
        <v>769433</v>
      </c>
      <c r="AN671" s="125">
        <v>1</v>
      </c>
      <c r="AO671" s="125">
        <v>0</v>
      </c>
      <c r="AP671" s="121">
        <v>3357853</v>
      </c>
      <c r="AQ671" s="114">
        <v>0</v>
      </c>
      <c r="AR671" s="121">
        <v>180.08025549999999</v>
      </c>
      <c r="AS671" s="121">
        <v>35386.335701000004</v>
      </c>
      <c r="AT671" s="121">
        <v>4660.3645436999996</v>
      </c>
      <c r="AU671" s="420" t="s">
        <v>2001</v>
      </c>
      <c r="AV671" s="420" t="s">
        <v>2001</v>
      </c>
      <c r="AW671" s="121">
        <v>0</v>
      </c>
      <c r="AX671" s="121">
        <v>972192</v>
      </c>
      <c r="BI671">
        <v>0</v>
      </c>
      <c r="BJ671" s="121">
        <v>0</v>
      </c>
      <c r="BK671" s="134">
        <v>269162569</v>
      </c>
      <c r="BL671" s="934">
        <v>4524</v>
      </c>
      <c r="BM671" s="934">
        <v>4995</v>
      </c>
      <c r="BN671" s="934">
        <v>4850</v>
      </c>
      <c r="BO671" s="114">
        <v>0</v>
      </c>
      <c r="BP671" s="114">
        <v>0</v>
      </c>
    </row>
    <row r="672" spans="1:68">
      <c r="A672" t="s">
        <v>2819</v>
      </c>
      <c r="B672" t="s">
        <v>1970</v>
      </c>
      <c r="C672" s="121">
        <v>4535</v>
      </c>
      <c r="D672" s="72">
        <v>2</v>
      </c>
      <c r="E672">
        <v>265.07100000000003</v>
      </c>
      <c r="F672">
        <v>83</v>
      </c>
      <c r="G672">
        <v>57</v>
      </c>
      <c r="H672">
        <v>4</v>
      </c>
      <c r="I672" s="173">
        <v>1.17</v>
      </c>
      <c r="J672" s="121">
        <v>83409145</v>
      </c>
      <c r="K672" s="125">
        <v>1631.9269999999999</v>
      </c>
      <c r="L672" s="173">
        <v>1.5</v>
      </c>
      <c r="M672">
        <v>1.17</v>
      </c>
      <c r="N672">
        <v>1.000000005</v>
      </c>
      <c r="O672">
        <v>16.999999499999994</v>
      </c>
      <c r="P672">
        <v>755.298</v>
      </c>
      <c r="Q672" s="125">
        <v>0</v>
      </c>
      <c r="R672" s="125">
        <v>0</v>
      </c>
      <c r="S672" s="125">
        <v>2.6019999999999999</v>
      </c>
      <c r="T672" s="125">
        <v>28.338000000000001</v>
      </c>
      <c r="U672" s="125">
        <v>9.7690000000000001</v>
      </c>
      <c r="V672" s="125">
        <v>0.504</v>
      </c>
      <c r="W672" s="125">
        <v>0</v>
      </c>
      <c r="X672" s="125">
        <v>0</v>
      </c>
      <c r="Y672" s="125">
        <v>0</v>
      </c>
      <c r="Z672" s="125">
        <v>113.392</v>
      </c>
      <c r="AA672" s="125">
        <v>16.16</v>
      </c>
      <c r="AB672" s="125">
        <v>23.779</v>
      </c>
      <c r="AC672" s="125">
        <v>339.8</v>
      </c>
      <c r="AD672" s="125">
        <v>0</v>
      </c>
      <c r="AE672" s="125">
        <v>0</v>
      </c>
      <c r="AF672" s="125">
        <v>37.764899999999997</v>
      </c>
      <c r="AG672" s="125">
        <v>0</v>
      </c>
      <c r="AH672" s="125">
        <v>0</v>
      </c>
      <c r="AI672" s="121">
        <v>981366</v>
      </c>
      <c r="AJ672" s="121">
        <v>0</v>
      </c>
      <c r="AK672" s="424">
        <v>12</v>
      </c>
      <c r="AL672">
        <v>0</v>
      </c>
      <c r="AM672" s="121">
        <v>122708</v>
      </c>
      <c r="AN672" s="125">
        <v>0</v>
      </c>
      <c r="AO672" s="125">
        <v>0</v>
      </c>
      <c r="AP672" s="121">
        <v>981366</v>
      </c>
      <c r="AQ672" s="114">
        <v>0</v>
      </c>
      <c r="AR672" s="121">
        <v>55.597158098999998</v>
      </c>
      <c r="AS672" s="121">
        <v>10925.016154999999</v>
      </c>
      <c r="AT672" s="121">
        <v>1438.8197285000001</v>
      </c>
      <c r="AU672" s="420" t="s">
        <v>2001</v>
      </c>
      <c r="AV672" s="420" t="s">
        <v>2001</v>
      </c>
      <c r="AW672" s="121">
        <v>0</v>
      </c>
      <c r="AX672" s="121">
        <v>0</v>
      </c>
      <c r="BI672">
        <v>0</v>
      </c>
      <c r="BJ672" s="121">
        <v>0</v>
      </c>
      <c r="BK672" s="134">
        <v>81513552</v>
      </c>
      <c r="BL672" s="934">
        <v>4466</v>
      </c>
      <c r="BM672" s="934">
        <v>4535</v>
      </c>
      <c r="BN672" s="934">
        <v>4535</v>
      </c>
      <c r="BO672" s="114">
        <v>0</v>
      </c>
      <c r="BP672" s="114">
        <v>0</v>
      </c>
    </row>
    <row r="673" spans="1:68">
      <c r="A673" t="s">
        <v>2820</v>
      </c>
      <c r="B673" t="s">
        <v>1971</v>
      </c>
      <c r="C673" s="121">
        <v>5398</v>
      </c>
      <c r="D673" s="72">
        <v>1</v>
      </c>
      <c r="E673">
        <v>298.32799999999997</v>
      </c>
      <c r="F673">
        <v>89</v>
      </c>
      <c r="G673">
        <v>70</v>
      </c>
      <c r="H673">
        <v>0</v>
      </c>
      <c r="I673" s="173">
        <v>1.17</v>
      </c>
      <c r="J673" s="121">
        <v>124075525</v>
      </c>
      <c r="K673" s="125">
        <v>1439.905</v>
      </c>
      <c r="L673" s="173">
        <v>1.45</v>
      </c>
      <c r="M673">
        <v>1.17</v>
      </c>
      <c r="N673">
        <v>0.96666667149999996</v>
      </c>
      <c r="O673">
        <v>20.333332849999998</v>
      </c>
      <c r="P673">
        <v>816.73900000000003</v>
      </c>
      <c r="Q673" s="125">
        <v>0</v>
      </c>
      <c r="R673" s="125">
        <v>0</v>
      </c>
      <c r="S673" s="125">
        <v>2.5609999999999999</v>
      </c>
      <c r="T673" s="125">
        <v>41.786000000000001</v>
      </c>
      <c r="U673" s="125">
        <v>1.8109999999999999</v>
      </c>
      <c r="V673" s="125">
        <v>0.85699999999999998</v>
      </c>
      <c r="W673" s="125">
        <v>0.92100000000000004</v>
      </c>
      <c r="X673" s="125">
        <v>0</v>
      </c>
      <c r="Y673" s="125">
        <v>0</v>
      </c>
      <c r="Z673" s="125">
        <v>25.686</v>
      </c>
      <c r="AA673" s="125">
        <v>43.4</v>
      </c>
      <c r="AB673" s="125">
        <v>47.155000000000001</v>
      </c>
      <c r="AC673" s="125">
        <v>461</v>
      </c>
      <c r="AD673" s="125">
        <v>0</v>
      </c>
      <c r="AE673" s="125">
        <v>28.373999999999999</v>
      </c>
      <c r="AF673" s="125">
        <v>40.836950000000002</v>
      </c>
      <c r="AG673" s="125">
        <v>0</v>
      </c>
      <c r="AH673" s="125">
        <v>0</v>
      </c>
      <c r="AI673" s="121">
        <v>1492284</v>
      </c>
      <c r="AJ673" s="121">
        <v>0</v>
      </c>
      <c r="AK673" s="424">
        <v>12</v>
      </c>
      <c r="AL673">
        <v>0</v>
      </c>
      <c r="AM673" s="121">
        <v>101286</v>
      </c>
      <c r="AN673" s="125">
        <v>0</v>
      </c>
      <c r="AO673" s="125">
        <v>0</v>
      </c>
      <c r="AP673" s="121">
        <v>1492284</v>
      </c>
      <c r="AQ673" s="114">
        <v>0</v>
      </c>
      <c r="AR673" s="121">
        <v>82.703719316000004</v>
      </c>
      <c r="AS673" s="121">
        <v>16251.540555</v>
      </c>
      <c r="AT673" s="121">
        <v>2140.3206034</v>
      </c>
      <c r="AU673" s="420" t="s">
        <v>2001</v>
      </c>
      <c r="AV673" s="420" t="s">
        <v>2001</v>
      </c>
      <c r="AW673" s="121">
        <v>0</v>
      </c>
      <c r="AX673" s="121">
        <v>0</v>
      </c>
      <c r="BI673">
        <v>0</v>
      </c>
      <c r="BJ673" s="121">
        <v>0</v>
      </c>
      <c r="BK673" s="134">
        <v>122078282</v>
      </c>
      <c r="BL673" s="934">
        <v>5398</v>
      </c>
      <c r="BM673" s="934">
        <v>4422</v>
      </c>
      <c r="BN673" s="934">
        <v>4491</v>
      </c>
      <c r="BO673" s="114">
        <v>0</v>
      </c>
      <c r="BP673" s="114">
        <v>0</v>
      </c>
    </row>
    <row r="674" spans="1:68">
      <c r="A674" t="s">
        <v>85</v>
      </c>
      <c r="B674" t="s">
        <v>1325</v>
      </c>
      <c r="C674" s="121">
        <v>4707</v>
      </c>
      <c r="D674" s="72">
        <v>3</v>
      </c>
      <c r="E674">
        <v>575.56799999999998</v>
      </c>
      <c r="F674">
        <v>157</v>
      </c>
      <c r="G674">
        <v>84</v>
      </c>
      <c r="H674">
        <v>2</v>
      </c>
      <c r="I674" s="173">
        <v>1</v>
      </c>
      <c r="J674" s="121">
        <v>454257411</v>
      </c>
      <c r="K674" s="125">
        <v>2820.8980000000001</v>
      </c>
      <c r="L674" s="173">
        <v>1.4084000000000001</v>
      </c>
      <c r="M674">
        <v>1</v>
      </c>
      <c r="N674">
        <v>0.93893333802800005</v>
      </c>
      <c r="O674">
        <v>6.1066661971999947</v>
      </c>
      <c r="P674">
        <v>2141</v>
      </c>
      <c r="Q674" s="125">
        <v>0.83599999999999997</v>
      </c>
      <c r="R674" s="125">
        <v>0</v>
      </c>
      <c r="S674" s="125">
        <v>4.883</v>
      </c>
      <c r="T674" s="125">
        <v>109.614</v>
      </c>
      <c r="U674" s="125">
        <v>10.361000000000001</v>
      </c>
      <c r="V674" s="125">
        <v>1.919</v>
      </c>
      <c r="W674" s="125">
        <v>0.629</v>
      </c>
      <c r="X674" s="125">
        <v>0</v>
      </c>
      <c r="Y674" s="125">
        <v>0</v>
      </c>
      <c r="Z674" s="125">
        <v>0.72299999999999998</v>
      </c>
      <c r="AA674" s="125">
        <v>34.133000000000003</v>
      </c>
      <c r="AB674" s="125">
        <v>62</v>
      </c>
      <c r="AC674" s="125">
        <v>503.4</v>
      </c>
      <c r="AD674" s="125">
        <v>0.151</v>
      </c>
      <c r="AE674" s="125">
        <v>15.96</v>
      </c>
      <c r="AF674" s="125">
        <v>107.05</v>
      </c>
      <c r="AG674" s="125">
        <v>0</v>
      </c>
      <c r="AH674" s="125">
        <v>0</v>
      </c>
      <c r="AI674" s="121">
        <v>4631725</v>
      </c>
      <c r="AJ674" s="121">
        <v>708087</v>
      </c>
      <c r="AK674" s="424">
        <v>12</v>
      </c>
      <c r="AL674">
        <v>0</v>
      </c>
      <c r="AM674" s="121">
        <v>0</v>
      </c>
      <c r="AN674" s="125">
        <v>0</v>
      </c>
      <c r="AO674" s="125">
        <v>0</v>
      </c>
      <c r="AP674" s="121">
        <v>5339812</v>
      </c>
      <c r="AQ674" s="114">
        <v>0</v>
      </c>
      <c r="AR674" s="121">
        <v>302.78959168</v>
      </c>
      <c r="AS674" s="121">
        <v>59499.105594000001</v>
      </c>
      <c r="AT674" s="121">
        <v>7836.0055259999999</v>
      </c>
      <c r="AU674" s="420" t="s">
        <v>2001</v>
      </c>
      <c r="AV674" s="420" t="s">
        <v>2001</v>
      </c>
      <c r="AW674" s="121">
        <v>0</v>
      </c>
      <c r="AX674" s="121">
        <v>1297890</v>
      </c>
      <c r="BI674">
        <v>0</v>
      </c>
      <c r="BJ674" s="121">
        <v>0</v>
      </c>
      <c r="BK674" s="134">
        <v>454257411</v>
      </c>
      <c r="BL674" s="934">
        <v>4571</v>
      </c>
      <c r="BM674" s="934">
        <v>4561</v>
      </c>
      <c r="BN674" s="934">
        <v>4707</v>
      </c>
      <c r="BO674" s="114">
        <v>0</v>
      </c>
      <c r="BP674" s="114">
        <v>0</v>
      </c>
    </row>
    <row r="675" spans="1:68">
      <c r="A675" t="s">
        <v>2638</v>
      </c>
      <c r="B675" t="s">
        <v>1745</v>
      </c>
      <c r="C675" s="121">
        <v>4654</v>
      </c>
      <c r="D675" s="72">
        <v>2</v>
      </c>
      <c r="E675">
        <v>667.36199999999997</v>
      </c>
      <c r="F675">
        <v>182</v>
      </c>
      <c r="G675">
        <v>174</v>
      </c>
      <c r="H675">
        <v>18</v>
      </c>
      <c r="I675" s="173">
        <v>1.04</v>
      </c>
      <c r="J675" s="121">
        <v>479057333</v>
      </c>
      <c r="K675" s="125">
        <v>3590.8530000000001</v>
      </c>
      <c r="L675" s="173">
        <v>1.5</v>
      </c>
      <c r="M675">
        <v>1.04</v>
      </c>
      <c r="N675">
        <v>1.000000005</v>
      </c>
      <c r="O675">
        <v>3.9999995000000066</v>
      </c>
      <c r="P675">
        <v>2536</v>
      </c>
      <c r="Q675" s="125">
        <v>0.39800000000000002</v>
      </c>
      <c r="R675" s="125">
        <v>0</v>
      </c>
      <c r="S675" s="125">
        <v>4.1900000000000004</v>
      </c>
      <c r="T675" s="125">
        <v>76.510000000000005</v>
      </c>
      <c r="U675" s="125">
        <v>27.36</v>
      </c>
      <c r="V675" s="125">
        <v>0</v>
      </c>
      <c r="W675" s="125">
        <v>15.87</v>
      </c>
      <c r="X675" s="125">
        <v>0</v>
      </c>
      <c r="Y675" s="125">
        <v>0</v>
      </c>
      <c r="Z675" s="125">
        <v>5</v>
      </c>
      <c r="AA675" s="125">
        <v>59.9</v>
      </c>
      <c r="AB675" s="125">
        <v>77</v>
      </c>
      <c r="AC675" s="125">
        <v>1845</v>
      </c>
      <c r="AD675" s="125">
        <v>0.94299999999999995</v>
      </c>
      <c r="AE675" s="125">
        <v>192</v>
      </c>
      <c r="AF675" s="125">
        <v>125</v>
      </c>
      <c r="AG675" s="125">
        <v>0</v>
      </c>
      <c r="AH675" s="125">
        <v>0</v>
      </c>
      <c r="AI675" s="121">
        <v>5118983</v>
      </c>
      <c r="AJ675" s="121">
        <v>637713</v>
      </c>
      <c r="AK675" s="424">
        <v>12</v>
      </c>
      <c r="AL675">
        <v>0</v>
      </c>
      <c r="AM675" s="121">
        <v>283209</v>
      </c>
      <c r="AN675" s="125">
        <v>0</v>
      </c>
      <c r="AO675" s="125">
        <v>0</v>
      </c>
      <c r="AP675" s="121">
        <v>5756696</v>
      </c>
      <c r="AQ675" s="114">
        <v>0</v>
      </c>
      <c r="AR675" s="121">
        <v>319.32021549000001</v>
      </c>
      <c r="AS675" s="121">
        <v>62747.425084000002</v>
      </c>
      <c r="AT675" s="121">
        <v>8263.8077462000001</v>
      </c>
      <c r="AU675" s="420" t="s">
        <v>2001</v>
      </c>
      <c r="AV675" s="420" t="s">
        <v>2001</v>
      </c>
      <c r="AW675" s="121">
        <v>0</v>
      </c>
      <c r="AX675" s="121">
        <v>1238271</v>
      </c>
      <c r="BI675">
        <v>0</v>
      </c>
      <c r="BJ675" s="121">
        <v>0</v>
      </c>
      <c r="BK675" s="134">
        <v>468295450</v>
      </c>
      <c r="BL675" s="934">
        <v>4608</v>
      </c>
      <c r="BM675" s="934">
        <v>4654</v>
      </c>
      <c r="BN675" s="934">
        <v>4654</v>
      </c>
      <c r="BO675" s="114">
        <v>0</v>
      </c>
      <c r="BP675" s="114">
        <v>0</v>
      </c>
    </row>
    <row r="676" spans="1:68">
      <c r="A676" t="s">
        <v>190</v>
      </c>
      <c r="B676" t="s">
        <v>3097</v>
      </c>
      <c r="C676" s="121">
        <v>4667</v>
      </c>
      <c r="D676" s="72">
        <v>2</v>
      </c>
      <c r="E676">
        <v>695.91800000000001</v>
      </c>
      <c r="F676">
        <v>174</v>
      </c>
      <c r="G676">
        <v>89</v>
      </c>
      <c r="H676">
        <v>6</v>
      </c>
      <c r="I676" s="173">
        <v>1.04</v>
      </c>
      <c r="J676" s="121">
        <v>388937381</v>
      </c>
      <c r="K676" s="125">
        <v>2802.1280000000002</v>
      </c>
      <c r="L676" s="173">
        <v>1.5</v>
      </c>
      <c r="M676">
        <v>1.04</v>
      </c>
      <c r="N676">
        <v>1.000000005</v>
      </c>
      <c r="O676">
        <v>3.9999995000000066</v>
      </c>
      <c r="P676">
        <v>2150</v>
      </c>
      <c r="Q676" s="125">
        <v>2.3E-2</v>
      </c>
      <c r="R676" s="125">
        <v>0</v>
      </c>
      <c r="S676" s="125">
        <v>3.69</v>
      </c>
      <c r="T676" s="125">
        <v>68.3</v>
      </c>
      <c r="U676" s="125">
        <v>18.5</v>
      </c>
      <c r="V676" s="125">
        <v>0</v>
      </c>
      <c r="W676" s="125">
        <v>0</v>
      </c>
      <c r="X676" s="125">
        <v>0</v>
      </c>
      <c r="Y676" s="125">
        <v>0</v>
      </c>
      <c r="Z676" s="125">
        <v>0.52800000000000002</v>
      </c>
      <c r="AA676" s="125">
        <v>55</v>
      </c>
      <c r="AB676" s="125">
        <v>58.094000000000001</v>
      </c>
      <c r="AC676" s="125">
        <v>585</v>
      </c>
      <c r="AD676" s="125">
        <v>0</v>
      </c>
      <c r="AE676" s="125">
        <v>15</v>
      </c>
      <c r="AF676" s="125">
        <v>106.11799999999999</v>
      </c>
      <c r="AG676" s="125">
        <v>0</v>
      </c>
      <c r="AH676" s="125">
        <v>0</v>
      </c>
      <c r="AI676" s="121">
        <v>4225038</v>
      </c>
      <c r="AJ676" s="121">
        <v>498118</v>
      </c>
      <c r="AK676" s="424">
        <v>12</v>
      </c>
      <c r="AL676">
        <v>0</v>
      </c>
      <c r="AM676" s="121">
        <v>99475</v>
      </c>
      <c r="AN676" s="125">
        <v>0</v>
      </c>
      <c r="AO676" s="125">
        <v>0</v>
      </c>
      <c r="AP676" s="121">
        <v>4723156</v>
      </c>
      <c r="AQ676" s="114">
        <v>0</v>
      </c>
      <c r="AR676" s="121">
        <v>259.24990529000002</v>
      </c>
      <c r="AS676" s="121">
        <v>50943.420494999998</v>
      </c>
      <c r="AT676" s="121">
        <v>6709.2256349999998</v>
      </c>
      <c r="AU676" s="420" t="s">
        <v>2001</v>
      </c>
      <c r="AV676" s="420" t="s">
        <v>2001</v>
      </c>
      <c r="AW676" s="121">
        <v>0</v>
      </c>
      <c r="AX676" s="121">
        <v>1078068</v>
      </c>
      <c r="BI676">
        <v>0</v>
      </c>
      <c r="BJ676" s="121">
        <v>0</v>
      </c>
      <c r="BK676" s="134">
        <v>388937381</v>
      </c>
      <c r="BL676" s="934">
        <v>4577</v>
      </c>
      <c r="BM676" s="934">
        <v>4667</v>
      </c>
      <c r="BN676" s="934">
        <v>4667</v>
      </c>
      <c r="BO676" s="114">
        <v>0</v>
      </c>
      <c r="BP676" s="114">
        <v>0</v>
      </c>
    </row>
    <row r="677" spans="1:68">
      <c r="A677" t="s">
        <v>991</v>
      </c>
      <c r="B677" t="s">
        <v>1524</v>
      </c>
      <c r="C677" s="121">
        <v>4523</v>
      </c>
      <c r="D677" s="72">
        <v>3</v>
      </c>
      <c r="E677">
        <v>137.358</v>
      </c>
      <c r="F677">
        <v>49</v>
      </c>
      <c r="G677">
        <v>29</v>
      </c>
      <c r="H677">
        <v>0</v>
      </c>
      <c r="I677" s="173">
        <v>1.1442000000000001</v>
      </c>
      <c r="J677" s="121">
        <v>105625315</v>
      </c>
      <c r="K677" s="125">
        <v>732.20100000000002</v>
      </c>
      <c r="L677" s="173">
        <v>1.46</v>
      </c>
      <c r="M677">
        <v>1.1442000000000001</v>
      </c>
      <c r="N677">
        <v>0.97333333820000001</v>
      </c>
      <c r="O677">
        <v>17.086666180000009</v>
      </c>
      <c r="P677">
        <v>437.34699999999998</v>
      </c>
      <c r="Q677" s="125">
        <v>2.4E-2</v>
      </c>
      <c r="R677" s="125">
        <v>0</v>
      </c>
      <c r="S677" s="125">
        <v>0.68300000000000005</v>
      </c>
      <c r="T677" s="125">
        <v>19.419</v>
      </c>
      <c r="U677" s="125">
        <v>0.88800000000000001</v>
      </c>
      <c r="V677" s="125">
        <v>0</v>
      </c>
      <c r="W677" s="125">
        <v>0</v>
      </c>
      <c r="X677" s="125">
        <v>0</v>
      </c>
      <c r="Y677" s="125">
        <v>0</v>
      </c>
      <c r="Z677" s="125">
        <v>0.83499999999999996</v>
      </c>
      <c r="AA677" s="125">
        <v>16.856000000000002</v>
      </c>
      <c r="AB677" s="125">
        <v>19.161000000000001</v>
      </c>
      <c r="AC677" s="125">
        <v>216</v>
      </c>
      <c r="AD677" s="125">
        <v>0</v>
      </c>
      <c r="AE677" s="125">
        <v>6.0289999999999999</v>
      </c>
      <c r="AF677" s="125">
        <v>21.867000000000001</v>
      </c>
      <c r="AG677" s="125">
        <v>0</v>
      </c>
      <c r="AH677" s="125">
        <v>0</v>
      </c>
      <c r="AI677" s="121">
        <v>1216648</v>
      </c>
      <c r="AJ677" s="121">
        <v>83020</v>
      </c>
      <c r="AK677" s="424">
        <v>12</v>
      </c>
      <c r="AL677">
        <v>0</v>
      </c>
      <c r="AM677" s="121">
        <v>16785</v>
      </c>
      <c r="AN677" s="125">
        <v>0</v>
      </c>
      <c r="AO677" s="125">
        <v>0</v>
      </c>
      <c r="AP677" s="121">
        <v>1299668</v>
      </c>
      <c r="AQ677" s="114">
        <v>0</v>
      </c>
      <c r="AR677" s="121">
        <v>70.405556955999998</v>
      </c>
      <c r="AS677" s="121">
        <v>13834.913032</v>
      </c>
      <c r="AT677" s="121">
        <v>1822.0518423999999</v>
      </c>
      <c r="AU677" s="420" t="s">
        <v>2001</v>
      </c>
      <c r="AV677" s="420" t="s">
        <v>2001</v>
      </c>
      <c r="AW677" s="121">
        <v>0</v>
      </c>
      <c r="AX677" s="121">
        <v>502852</v>
      </c>
      <c r="BI677">
        <v>0</v>
      </c>
      <c r="BJ677" s="121">
        <v>0</v>
      </c>
      <c r="BK677" s="134">
        <v>103103002</v>
      </c>
      <c r="BL677" s="934">
        <v>4211</v>
      </c>
      <c r="BM677" s="934">
        <v>4501</v>
      </c>
      <c r="BN677" s="934">
        <v>4523</v>
      </c>
      <c r="BO677" s="114">
        <v>0</v>
      </c>
      <c r="BP677" s="114">
        <v>0</v>
      </c>
    </row>
    <row r="678" spans="1:68">
      <c r="A678" t="s">
        <v>2098</v>
      </c>
      <c r="B678" t="s">
        <v>1972</v>
      </c>
      <c r="C678" s="121">
        <v>5371</v>
      </c>
      <c r="D678" s="72">
        <v>2</v>
      </c>
      <c r="E678">
        <v>0</v>
      </c>
      <c r="F678">
        <v>12</v>
      </c>
      <c r="G678">
        <v>9</v>
      </c>
      <c r="H678">
        <v>1</v>
      </c>
      <c r="I678" s="173">
        <v>1.04</v>
      </c>
      <c r="J678" s="121">
        <v>68830514</v>
      </c>
      <c r="K678" s="125">
        <v>196.15899999999999</v>
      </c>
      <c r="L678" s="173">
        <v>1.5</v>
      </c>
      <c r="M678">
        <v>1.04</v>
      </c>
      <c r="N678">
        <v>1.000000005</v>
      </c>
      <c r="O678">
        <v>3.9999995000000066</v>
      </c>
      <c r="P678">
        <v>114.331</v>
      </c>
      <c r="Q678" s="125">
        <v>0</v>
      </c>
      <c r="R678" s="125">
        <v>0</v>
      </c>
      <c r="S678" s="125">
        <v>0.25900000000000001</v>
      </c>
      <c r="T678" s="125">
        <v>3.8370000000000002</v>
      </c>
      <c r="U678" s="125">
        <v>0.27900000000000003</v>
      </c>
      <c r="V678" s="125">
        <v>0</v>
      </c>
      <c r="W678" s="125">
        <v>0</v>
      </c>
      <c r="X678" s="125">
        <v>0</v>
      </c>
      <c r="Y678" s="125">
        <v>0</v>
      </c>
      <c r="Z678" s="125">
        <v>0</v>
      </c>
      <c r="AA678" s="125">
        <v>1.0920000000000001</v>
      </c>
      <c r="AB678" s="125">
        <v>0</v>
      </c>
      <c r="AC678" s="125">
        <v>74</v>
      </c>
      <c r="AD678" s="125">
        <v>0</v>
      </c>
      <c r="AE678" s="125">
        <v>1.625</v>
      </c>
      <c r="AF678" s="125">
        <v>5.7165499999999998</v>
      </c>
      <c r="AG678" s="125">
        <v>0</v>
      </c>
      <c r="AH678" s="125">
        <v>0</v>
      </c>
      <c r="AI678" s="121">
        <v>743510</v>
      </c>
      <c r="AJ678" s="121">
        <v>0</v>
      </c>
      <c r="AK678" s="424">
        <v>6</v>
      </c>
      <c r="AL678">
        <v>0</v>
      </c>
      <c r="AM678" s="121">
        <v>0</v>
      </c>
      <c r="AN678" s="125">
        <v>0</v>
      </c>
      <c r="AO678" s="125">
        <v>0</v>
      </c>
      <c r="AP678" s="121">
        <v>743510</v>
      </c>
      <c r="AQ678" s="114">
        <v>0</v>
      </c>
      <c r="AR678" s="121">
        <v>45.879632594</v>
      </c>
      <c r="AS678" s="121">
        <v>9015.4918773999998</v>
      </c>
      <c r="AT678" s="121">
        <v>1187.3362374999999</v>
      </c>
      <c r="AU678" s="420" t="s">
        <v>798</v>
      </c>
      <c r="AV678" s="420" t="s">
        <v>2001</v>
      </c>
      <c r="AW678" s="121">
        <v>0</v>
      </c>
      <c r="AX678" s="121">
        <v>0</v>
      </c>
      <c r="AY678" s="134">
        <v>217248</v>
      </c>
      <c r="AZ678" s="134">
        <v>439721</v>
      </c>
      <c r="BA678" s="114">
        <v>323</v>
      </c>
      <c r="BB678" s="134">
        <v>83081627</v>
      </c>
      <c r="BC678" s="114">
        <v>0</v>
      </c>
      <c r="BD678" s="114">
        <v>0</v>
      </c>
      <c r="BE678" s="114">
        <v>0</v>
      </c>
      <c r="BF678" s="114">
        <v>102</v>
      </c>
      <c r="BG678" s="114">
        <v>0</v>
      </c>
      <c r="BH678" s="114">
        <v>0</v>
      </c>
      <c r="BI678">
        <v>0</v>
      </c>
      <c r="BJ678" s="121">
        <v>0</v>
      </c>
      <c r="BK678" s="134">
        <v>68511163</v>
      </c>
      <c r="BL678" s="934">
        <v>5101</v>
      </c>
      <c r="BM678" s="934">
        <v>5371</v>
      </c>
      <c r="BN678" s="934">
        <v>5371</v>
      </c>
      <c r="BO678" s="114">
        <v>0</v>
      </c>
      <c r="BP678" s="114">
        <v>0</v>
      </c>
    </row>
    <row r="679" spans="1:68">
      <c r="A679" t="s">
        <v>287</v>
      </c>
      <c r="B679" t="s">
        <v>1973</v>
      </c>
      <c r="C679" s="121">
        <v>5007</v>
      </c>
      <c r="D679" s="72">
        <v>1</v>
      </c>
      <c r="E679">
        <v>0</v>
      </c>
      <c r="F679">
        <v>11</v>
      </c>
      <c r="G679">
        <v>12</v>
      </c>
      <c r="H679">
        <v>2</v>
      </c>
      <c r="I679" s="173">
        <v>1.04</v>
      </c>
      <c r="J679" s="121">
        <v>30907446</v>
      </c>
      <c r="K679" s="125">
        <v>249.47</v>
      </c>
      <c r="L679" s="173">
        <v>1.4523999999999999</v>
      </c>
      <c r="M679">
        <v>1.04</v>
      </c>
      <c r="N679">
        <v>0.96826667150799994</v>
      </c>
      <c r="O679">
        <v>7.1733328492000092</v>
      </c>
      <c r="P679">
        <v>138.25899999999999</v>
      </c>
      <c r="Q679" s="125">
        <v>0</v>
      </c>
      <c r="R679" s="125">
        <v>0</v>
      </c>
      <c r="S679" s="125">
        <v>0.27700000000000002</v>
      </c>
      <c r="T679" s="125">
        <v>5.9649999999999999</v>
      </c>
      <c r="U679" s="125">
        <v>0.46400000000000002</v>
      </c>
      <c r="V679" s="125">
        <v>0.496</v>
      </c>
      <c r="W679" s="125">
        <v>0</v>
      </c>
      <c r="X679" s="125">
        <v>0</v>
      </c>
      <c r="Y679" s="125">
        <v>0</v>
      </c>
      <c r="Z679" s="125">
        <v>0</v>
      </c>
      <c r="AA679" s="125">
        <v>1.103</v>
      </c>
      <c r="AB679" s="125">
        <v>0</v>
      </c>
      <c r="AC679" s="125">
        <v>119.7</v>
      </c>
      <c r="AD679" s="125">
        <v>0</v>
      </c>
      <c r="AE679" s="125">
        <v>2.2509999999999999</v>
      </c>
      <c r="AF679" s="125">
        <v>6.9129500000000004</v>
      </c>
      <c r="AG679" s="125">
        <v>0</v>
      </c>
      <c r="AH679" s="125">
        <v>0</v>
      </c>
      <c r="AI679" s="121">
        <v>325389</v>
      </c>
      <c r="AJ679" s="121">
        <v>0</v>
      </c>
      <c r="AK679" s="424">
        <v>8</v>
      </c>
      <c r="AL679">
        <v>0</v>
      </c>
      <c r="AM679" s="121">
        <v>21653</v>
      </c>
      <c r="AN679" s="125">
        <v>1</v>
      </c>
      <c r="AO679" s="125">
        <v>0</v>
      </c>
      <c r="AP679" s="121">
        <v>325389</v>
      </c>
      <c r="AQ679" s="114">
        <v>0</v>
      </c>
      <c r="AR679" s="121">
        <v>17.779883292000001</v>
      </c>
      <c r="AS679" s="121">
        <v>3493.8028998</v>
      </c>
      <c r="AT679" s="121">
        <v>460.13227519999998</v>
      </c>
      <c r="AU679" s="420" t="s">
        <v>2001</v>
      </c>
      <c r="AV679" s="420" t="s">
        <v>2001</v>
      </c>
      <c r="AW679" s="121">
        <v>63500</v>
      </c>
      <c r="AX679" s="121">
        <v>0</v>
      </c>
      <c r="BI679">
        <v>0</v>
      </c>
      <c r="BJ679" s="121">
        <v>0</v>
      </c>
      <c r="BK679" s="134">
        <v>30055630</v>
      </c>
      <c r="BL679" s="934">
        <v>5007</v>
      </c>
      <c r="BM679" s="934">
        <v>4939</v>
      </c>
      <c r="BN679" s="934">
        <v>4998</v>
      </c>
      <c r="BO679" s="134">
        <v>70659</v>
      </c>
      <c r="BP679" s="134">
        <v>67750</v>
      </c>
    </row>
    <row r="680" spans="1:68">
      <c r="A680" t="s">
        <v>1782</v>
      </c>
      <c r="B680" t="s">
        <v>1974</v>
      </c>
      <c r="C680" s="121">
        <v>9495</v>
      </c>
      <c r="D680" s="72">
        <v>1</v>
      </c>
      <c r="E680">
        <v>54.972999999999999</v>
      </c>
      <c r="F680">
        <v>21</v>
      </c>
      <c r="G680">
        <v>17</v>
      </c>
      <c r="H680">
        <v>1</v>
      </c>
      <c r="I680" s="173">
        <v>0.97</v>
      </c>
      <c r="J680" s="121">
        <v>488315455</v>
      </c>
      <c r="K680" s="125">
        <v>318.767</v>
      </c>
      <c r="L680" s="173">
        <v>1.4</v>
      </c>
      <c r="M680">
        <v>0.97</v>
      </c>
      <c r="N680">
        <v>0.93333333799999996</v>
      </c>
      <c r="O680">
        <v>3.6666662000000017</v>
      </c>
      <c r="P680">
        <v>164.536</v>
      </c>
      <c r="Q680" s="125">
        <v>0</v>
      </c>
      <c r="R680" s="125">
        <v>0</v>
      </c>
      <c r="S680" s="125">
        <v>0.21299999999999999</v>
      </c>
      <c r="T680" s="125">
        <v>3.2290000000000001</v>
      </c>
      <c r="U680" s="125">
        <v>0</v>
      </c>
      <c r="V680" s="125">
        <v>0</v>
      </c>
      <c r="W680" s="125">
        <v>0.67</v>
      </c>
      <c r="X680" s="125">
        <v>0</v>
      </c>
      <c r="Y680" s="125">
        <v>0</v>
      </c>
      <c r="Z680" s="125">
        <v>0</v>
      </c>
      <c r="AA680" s="125">
        <v>0</v>
      </c>
      <c r="AB680" s="125">
        <v>7.4219999999999997</v>
      </c>
      <c r="AC680" s="125">
        <v>99.7</v>
      </c>
      <c r="AD680" s="125">
        <v>0</v>
      </c>
      <c r="AE680" s="125">
        <v>7.72</v>
      </c>
      <c r="AF680" s="125">
        <v>8.2268000000000008</v>
      </c>
      <c r="AG680" s="125">
        <v>0</v>
      </c>
      <c r="AH680" s="125">
        <v>0</v>
      </c>
      <c r="AI680" s="121">
        <v>4407056</v>
      </c>
      <c r="AJ680" s="121">
        <v>370580</v>
      </c>
      <c r="AK680" s="424">
        <v>12</v>
      </c>
      <c r="AL680">
        <v>0</v>
      </c>
      <c r="AM680" s="121">
        <v>80123</v>
      </c>
      <c r="AN680" s="125">
        <v>0</v>
      </c>
      <c r="AO680" s="125">
        <v>0</v>
      </c>
      <c r="AP680" s="121">
        <v>4777636</v>
      </c>
      <c r="AQ680" s="114">
        <v>0</v>
      </c>
      <c r="AR680" s="121">
        <v>0</v>
      </c>
      <c r="AS680" s="121">
        <v>0</v>
      </c>
      <c r="AT680" s="121">
        <v>0</v>
      </c>
      <c r="AU680" s="420" t="s">
        <v>798</v>
      </c>
      <c r="AV680" s="420" t="s">
        <v>2001</v>
      </c>
      <c r="AW680" s="121">
        <v>0</v>
      </c>
      <c r="AX680" s="121">
        <v>376838</v>
      </c>
      <c r="AY680" s="134">
        <v>1073067</v>
      </c>
      <c r="AZ680" s="134">
        <v>804965</v>
      </c>
      <c r="BA680" s="114">
        <v>296</v>
      </c>
      <c r="BB680" s="134">
        <v>373909329</v>
      </c>
      <c r="BC680" s="114">
        <v>0</v>
      </c>
      <c r="BD680" s="114">
        <v>0</v>
      </c>
      <c r="BE680" s="114">
        <v>0</v>
      </c>
      <c r="BF680" s="114">
        <v>162</v>
      </c>
      <c r="BG680" s="114">
        <v>0</v>
      </c>
      <c r="BH680" s="114">
        <v>0</v>
      </c>
      <c r="BI680">
        <v>0</v>
      </c>
      <c r="BJ680" s="121">
        <v>0</v>
      </c>
      <c r="BK680" s="134">
        <v>404393122</v>
      </c>
      <c r="BL680" s="934">
        <v>9495</v>
      </c>
      <c r="BM680" s="934">
        <v>8590</v>
      </c>
      <c r="BN680" s="934">
        <v>9211</v>
      </c>
      <c r="BO680" s="114">
        <v>0</v>
      </c>
      <c r="BP680" s="114">
        <v>0</v>
      </c>
    </row>
    <row r="681" spans="1:68">
      <c r="A681" t="s">
        <v>1296</v>
      </c>
      <c r="B681" t="s">
        <v>3066</v>
      </c>
      <c r="C681" s="121">
        <v>4684</v>
      </c>
      <c r="D681" s="72">
        <v>3</v>
      </c>
      <c r="E681">
        <v>529.601</v>
      </c>
      <c r="F681">
        <v>146</v>
      </c>
      <c r="G681">
        <v>117</v>
      </c>
      <c r="H681">
        <v>19</v>
      </c>
      <c r="I681" s="173">
        <v>1.17</v>
      </c>
      <c r="J681" s="121">
        <v>251646201</v>
      </c>
      <c r="K681" s="125">
        <v>2550.6880000000001</v>
      </c>
      <c r="L681" s="173">
        <v>1.48</v>
      </c>
      <c r="M681">
        <v>1.17</v>
      </c>
      <c r="N681">
        <v>0.98666667159999999</v>
      </c>
      <c r="O681">
        <v>18.333332839999994</v>
      </c>
      <c r="P681">
        <v>1790</v>
      </c>
      <c r="Q681" s="125">
        <v>0.22</v>
      </c>
      <c r="R681" s="125">
        <v>0</v>
      </c>
      <c r="S681" s="125">
        <v>3.7530000000000001</v>
      </c>
      <c r="T681" s="125">
        <v>51.5</v>
      </c>
      <c r="U681" s="125">
        <v>9.125</v>
      </c>
      <c r="V681" s="125">
        <v>2.3479999999999999</v>
      </c>
      <c r="W681" s="125">
        <v>2.35</v>
      </c>
      <c r="X681" s="125">
        <v>0</v>
      </c>
      <c r="Y681" s="125">
        <v>0</v>
      </c>
      <c r="Z681" s="125">
        <v>0</v>
      </c>
      <c r="AA681" s="125">
        <v>45.923000000000002</v>
      </c>
      <c r="AB681" s="125">
        <v>98.465999999999994</v>
      </c>
      <c r="AC681" s="125">
        <v>1174</v>
      </c>
      <c r="AD681" s="125">
        <v>0.216</v>
      </c>
      <c r="AE681" s="125">
        <v>52.5</v>
      </c>
      <c r="AF681" s="125">
        <v>89.5</v>
      </c>
      <c r="AG681" s="125">
        <v>0</v>
      </c>
      <c r="AH681" s="125">
        <v>0</v>
      </c>
      <c r="AI681" s="121">
        <v>3060559</v>
      </c>
      <c r="AJ681" s="121">
        <v>69806</v>
      </c>
      <c r="AK681" s="424">
        <v>12</v>
      </c>
      <c r="AL681">
        <v>0</v>
      </c>
      <c r="AM681" s="121">
        <v>170161</v>
      </c>
      <c r="AN681" s="125">
        <v>0</v>
      </c>
      <c r="AO681" s="125">
        <v>0</v>
      </c>
      <c r="AP681" s="121">
        <v>3130365</v>
      </c>
      <c r="AQ681" s="114">
        <v>0</v>
      </c>
      <c r="AR681" s="121">
        <v>167.73716532</v>
      </c>
      <c r="AS681" s="121">
        <v>32960.879719999997</v>
      </c>
      <c r="AT681" s="121">
        <v>4340.9330786</v>
      </c>
      <c r="AU681" s="420" t="s">
        <v>2001</v>
      </c>
      <c r="AV681" s="420" t="s">
        <v>2001</v>
      </c>
      <c r="AW681" s="121">
        <v>0</v>
      </c>
      <c r="AX681" s="121">
        <v>402875</v>
      </c>
      <c r="BI681">
        <v>0</v>
      </c>
      <c r="BJ681" s="121">
        <v>0</v>
      </c>
      <c r="BK681" s="134">
        <v>251646201</v>
      </c>
      <c r="BL681" s="934">
        <v>4585</v>
      </c>
      <c r="BM681" s="934">
        <v>4665</v>
      </c>
      <c r="BN681" s="934">
        <v>4684</v>
      </c>
      <c r="BO681" s="114">
        <v>0</v>
      </c>
      <c r="BP681" s="114">
        <v>0</v>
      </c>
    </row>
    <row r="682" spans="1:68">
      <c r="A682" t="s">
        <v>2266</v>
      </c>
      <c r="B682" t="s">
        <v>3023</v>
      </c>
      <c r="C682" s="121">
        <v>4473</v>
      </c>
      <c r="D682" s="72">
        <v>3</v>
      </c>
      <c r="E682">
        <v>101.245</v>
      </c>
      <c r="F682">
        <v>33</v>
      </c>
      <c r="G682">
        <v>21</v>
      </c>
      <c r="H682">
        <v>0</v>
      </c>
      <c r="I682" s="173">
        <v>0.98670000000000002</v>
      </c>
      <c r="J682" s="121">
        <v>76377038</v>
      </c>
      <c r="K682" s="125">
        <v>614.96600000000001</v>
      </c>
      <c r="L682" s="173">
        <v>1.42</v>
      </c>
      <c r="M682">
        <v>0.98670000000000002</v>
      </c>
      <c r="N682">
        <v>0.94666667139999994</v>
      </c>
      <c r="O682">
        <v>4.0033328600000084</v>
      </c>
      <c r="P682">
        <v>310.12799999999999</v>
      </c>
      <c r="Q682" s="125">
        <v>0</v>
      </c>
      <c r="R682" s="125">
        <v>0</v>
      </c>
      <c r="S682" s="125">
        <v>0.95799999999999996</v>
      </c>
      <c r="T682" s="125">
        <v>11.238</v>
      </c>
      <c r="U682" s="125">
        <v>0.39800000000000002</v>
      </c>
      <c r="V682" s="125">
        <v>0</v>
      </c>
      <c r="W682" s="125">
        <v>0.77700000000000002</v>
      </c>
      <c r="X682" s="125">
        <v>0</v>
      </c>
      <c r="Y682" s="125">
        <v>0</v>
      </c>
      <c r="Z682" s="125">
        <v>0</v>
      </c>
      <c r="AA682" s="125">
        <v>9.1289999999999996</v>
      </c>
      <c r="AB682" s="125">
        <v>18.629000000000001</v>
      </c>
      <c r="AC682" s="125">
        <v>185.5</v>
      </c>
      <c r="AD682" s="125">
        <v>0</v>
      </c>
      <c r="AE682" s="125">
        <v>1.2370000000000001</v>
      </c>
      <c r="AF682" s="125">
        <v>15.506</v>
      </c>
      <c r="AG682" s="125">
        <v>0</v>
      </c>
      <c r="AH682" s="125">
        <v>0</v>
      </c>
      <c r="AI682" s="121">
        <v>783380</v>
      </c>
      <c r="AJ682" s="121">
        <v>45867</v>
      </c>
      <c r="AK682" s="424">
        <v>12</v>
      </c>
      <c r="AL682">
        <v>0</v>
      </c>
      <c r="AM682" s="121">
        <v>27275</v>
      </c>
      <c r="AN682" s="125">
        <v>0</v>
      </c>
      <c r="AO682" s="125">
        <v>0</v>
      </c>
      <c r="AP682" s="121">
        <v>829247</v>
      </c>
      <c r="AQ682" s="114">
        <v>0</v>
      </c>
      <c r="AR682" s="121">
        <v>50.909840080999999</v>
      </c>
      <c r="AS682" s="121">
        <v>10003.943445000001</v>
      </c>
      <c r="AT682" s="121">
        <v>1317.5148657</v>
      </c>
      <c r="AU682" s="420" t="s">
        <v>2001</v>
      </c>
      <c r="AV682" s="420" t="s">
        <v>2001</v>
      </c>
      <c r="AW682" s="121">
        <v>0</v>
      </c>
      <c r="AX682" s="121">
        <v>251787</v>
      </c>
      <c r="BI682">
        <v>0</v>
      </c>
      <c r="BJ682" s="121">
        <v>0</v>
      </c>
      <c r="BK682" s="134">
        <v>76377038</v>
      </c>
      <c r="BL682" s="934">
        <v>4401</v>
      </c>
      <c r="BM682" s="934">
        <v>4381</v>
      </c>
      <c r="BN682" s="934">
        <v>4473</v>
      </c>
      <c r="BO682" s="114">
        <v>0</v>
      </c>
      <c r="BP682" s="114">
        <v>0</v>
      </c>
    </row>
    <row r="683" spans="1:68">
      <c r="A683" t="s">
        <v>1036</v>
      </c>
      <c r="B683" t="s">
        <v>2563</v>
      </c>
      <c r="C683" s="121">
        <v>4618</v>
      </c>
      <c r="D683" s="72">
        <v>3</v>
      </c>
      <c r="E683">
        <v>280.74200000000002</v>
      </c>
      <c r="F683">
        <v>98</v>
      </c>
      <c r="G683">
        <v>101</v>
      </c>
      <c r="H683">
        <v>13</v>
      </c>
      <c r="I683" s="173">
        <v>1.0189999999999999</v>
      </c>
      <c r="J683" s="121">
        <v>119118782</v>
      </c>
      <c r="K683" s="125">
        <v>1800.46</v>
      </c>
      <c r="L683" s="173">
        <v>1.4693000000000001</v>
      </c>
      <c r="M683">
        <v>1.0189999999999999</v>
      </c>
      <c r="N683">
        <v>0.97953333823100008</v>
      </c>
      <c r="O683">
        <v>3.9466661768999822</v>
      </c>
      <c r="P683">
        <v>1154.258</v>
      </c>
      <c r="Q683" s="125">
        <v>0</v>
      </c>
      <c r="R683" s="125">
        <v>0</v>
      </c>
      <c r="S683" s="125">
        <v>1.68</v>
      </c>
      <c r="T683" s="125">
        <v>25.824000000000002</v>
      </c>
      <c r="U683" s="125">
        <v>8.49</v>
      </c>
      <c r="V683" s="125">
        <v>0</v>
      </c>
      <c r="W683" s="125">
        <v>1.153</v>
      </c>
      <c r="X683" s="125">
        <v>0</v>
      </c>
      <c r="Y683" s="125">
        <v>0</v>
      </c>
      <c r="Z683" s="125">
        <v>0</v>
      </c>
      <c r="AA683" s="125">
        <v>54.155999999999999</v>
      </c>
      <c r="AB683" s="125">
        <v>46.866999999999997</v>
      </c>
      <c r="AC683" s="125">
        <v>1136</v>
      </c>
      <c r="AD683" s="125">
        <v>0.39300000000000002</v>
      </c>
      <c r="AE683" s="125">
        <v>93.507000000000005</v>
      </c>
      <c r="AF683" s="125">
        <v>57.712899999999998</v>
      </c>
      <c r="AG683" s="125">
        <v>0</v>
      </c>
      <c r="AH683" s="125">
        <v>0</v>
      </c>
      <c r="AI683" s="121">
        <v>1274511</v>
      </c>
      <c r="AJ683" s="121">
        <v>171726</v>
      </c>
      <c r="AK683" s="424">
        <v>12</v>
      </c>
      <c r="AL683">
        <v>0</v>
      </c>
      <c r="AM683" s="121">
        <v>144370</v>
      </c>
      <c r="AN683" s="125">
        <v>0</v>
      </c>
      <c r="AO683" s="125">
        <v>0</v>
      </c>
      <c r="AP683" s="121">
        <v>1446237</v>
      </c>
      <c r="AQ683" s="114">
        <v>0</v>
      </c>
      <c r="AR683" s="121">
        <v>79.399755490000004</v>
      </c>
      <c r="AS683" s="121">
        <v>15602.301288000001</v>
      </c>
      <c r="AT683" s="121">
        <v>2054.8160831</v>
      </c>
      <c r="AU683" s="420" t="s">
        <v>2001</v>
      </c>
      <c r="AV683" s="420" t="s">
        <v>2001</v>
      </c>
      <c r="AW683" s="121">
        <v>0</v>
      </c>
      <c r="AX683" s="121">
        <v>816372</v>
      </c>
      <c r="BI683">
        <v>0</v>
      </c>
      <c r="BJ683" s="121">
        <v>0</v>
      </c>
      <c r="BK683" s="134">
        <v>119118782</v>
      </c>
      <c r="BL683" s="934">
        <v>4608</v>
      </c>
      <c r="BM683" s="934">
        <v>4598</v>
      </c>
      <c r="BN683" s="934">
        <v>4618</v>
      </c>
      <c r="BO683" s="114">
        <v>0</v>
      </c>
      <c r="BP683" s="114">
        <v>0</v>
      </c>
    </row>
    <row r="684" spans="1:68">
      <c r="A684" t="s">
        <v>199</v>
      </c>
      <c r="B684" t="s">
        <v>2729</v>
      </c>
      <c r="C684" s="121">
        <v>4632</v>
      </c>
      <c r="D684" s="72">
        <v>2</v>
      </c>
      <c r="E684">
        <v>583.68200000000002</v>
      </c>
      <c r="F684">
        <v>191</v>
      </c>
      <c r="G684">
        <v>138</v>
      </c>
      <c r="H684">
        <v>16</v>
      </c>
      <c r="I684" s="173">
        <v>1.04</v>
      </c>
      <c r="J684" s="121">
        <v>363391617</v>
      </c>
      <c r="K684" s="125">
        <v>2789.1030000000001</v>
      </c>
      <c r="L684" s="173">
        <v>1.5</v>
      </c>
      <c r="M684">
        <v>1.04</v>
      </c>
      <c r="N684">
        <v>1.000000005</v>
      </c>
      <c r="O684">
        <v>3.9999995000000066</v>
      </c>
      <c r="P684">
        <v>2031.7909999999999</v>
      </c>
      <c r="Q684" s="125">
        <v>0</v>
      </c>
      <c r="R684" s="125">
        <v>0.23100000000000001</v>
      </c>
      <c r="S684" s="125">
        <v>3.4580000000000002</v>
      </c>
      <c r="T684" s="125">
        <v>30.677</v>
      </c>
      <c r="U684" s="125">
        <v>12.029</v>
      </c>
      <c r="V684" s="125">
        <v>0</v>
      </c>
      <c r="W684" s="125">
        <v>3.734</v>
      </c>
      <c r="X684" s="125">
        <v>0</v>
      </c>
      <c r="Y684" s="125">
        <v>0</v>
      </c>
      <c r="Z684" s="125">
        <v>3.6999999999999998E-2</v>
      </c>
      <c r="AA684" s="125">
        <v>56.238999999999997</v>
      </c>
      <c r="AB684" s="125">
        <v>82.739000000000004</v>
      </c>
      <c r="AC684" s="125">
        <v>1351.7</v>
      </c>
      <c r="AD684" s="125">
        <v>0</v>
      </c>
      <c r="AE684" s="125">
        <v>68.870999999999995</v>
      </c>
      <c r="AF684" s="125">
        <v>101.58955</v>
      </c>
      <c r="AG684" s="125">
        <v>0</v>
      </c>
      <c r="AH684" s="125">
        <v>0</v>
      </c>
      <c r="AI684" s="121">
        <v>3809507</v>
      </c>
      <c r="AJ684" s="121">
        <v>286078</v>
      </c>
      <c r="AK684" s="424">
        <v>12</v>
      </c>
      <c r="AL684">
        <v>0</v>
      </c>
      <c r="AM684" s="121">
        <v>130253</v>
      </c>
      <c r="AN684" s="125">
        <v>0</v>
      </c>
      <c r="AO684" s="125">
        <v>0</v>
      </c>
      <c r="AP684" s="121">
        <v>4095585</v>
      </c>
      <c r="AQ684" s="114">
        <v>0</v>
      </c>
      <c r="AR684" s="121">
        <v>242.22213368000001</v>
      </c>
      <c r="AS684" s="121">
        <v>47597.409900999999</v>
      </c>
      <c r="AT684" s="121">
        <v>6268.5575402000004</v>
      </c>
      <c r="AU684" s="420" t="s">
        <v>2001</v>
      </c>
      <c r="AV684" s="420" t="s">
        <v>2001</v>
      </c>
      <c r="AW684" s="121">
        <v>0</v>
      </c>
      <c r="AX684" s="121">
        <v>776845</v>
      </c>
      <c r="BI684">
        <v>0</v>
      </c>
      <c r="BJ684" s="121">
        <v>0</v>
      </c>
      <c r="BK684" s="134">
        <v>363391617</v>
      </c>
      <c r="BL684" s="934">
        <v>4618</v>
      </c>
      <c r="BM684" s="934">
        <v>4632</v>
      </c>
      <c r="BN684" s="934">
        <v>4632</v>
      </c>
      <c r="BO684" s="114">
        <v>0</v>
      </c>
      <c r="BP684" s="114">
        <v>0</v>
      </c>
    </row>
    <row r="685" spans="1:68">
      <c r="A685" t="s">
        <v>2896</v>
      </c>
      <c r="B685" t="s">
        <v>931</v>
      </c>
      <c r="C685" s="121">
        <v>4851</v>
      </c>
      <c r="D685" s="72">
        <v>3</v>
      </c>
      <c r="E685">
        <v>963.91399999999999</v>
      </c>
      <c r="F685">
        <v>220</v>
      </c>
      <c r="G685">
        <v>155</v>
      </c>
      <c r="H685">
        <v>57</v>
      </c>
      <c r="I685" s="173">
        <v>1.04</v>
      </c>
      <c r="J685" s="121">
        <v>771815036</v>
      </c>
      <c r="K685" s="125">
        <v>4109.42</v>
      </c>
      <c r="L685" s="173">
        <v>1.4775</v>
      </c>
      <c r="M685">
        <v>1.04</v>
      </c>
      <c r="N685">
        <v>0.98500000492500006</v>
      </c>
      <c r="O685">
        <v>5.4999995074999974</v>
      </c>
      <c r="P685">
        <v>3115</v>
      </c>
      <c r="Q685" s="125">
        <v>0.443</v>
      </c>
      <c r="R685" s="125">
        <v>0</v>
      </c>
      <c r="S685" s="125">
        <v>3.8439999999999999</v>
      </c>
      <c r="T685" s="125">
        <v>29.648</v>
      </c>
      <c r="U685" s="125">
        <v>20.437000000000001</v>
      </c>
      <c r="V685" s="125">
        <v>1.756</v>
      </c>
      <c r="W685" s="125">
        <v>6.9889999999999999</v>
      </c>
      <c r="X685" s="125">
        <v>0</v>
      </c>
      <c r="Y685" s="125">
        <v>1.0309999999999999</v>
      </c>
      <c r="Z685" s="125">
        <v>0</v>
      </c>
      <c r="AA685" s="125">
        <v>115.90600000000001</v>
      </c>
      <c r="AB685" s="125">
        <v>126.84</v>
      </c>
      <c r="AC685" s="125">
        <v>1707</v>
      </c>
      <c r="AD685" s="125">
        <v>1.661</v>
      </c>
      <c r="AE685" s="125">
        <v>192.30199999999999</v>
      </c>
      <c r="AF685" s="125">
        <v>138.898</v>
      </c>
      <c r="AG685" s="125">
        <v>0</v>
      </c>
      <c r="AH685" s="125">
        <v>0</v>
      </c>
      <c r="AI685" s="121">
        <v>8091091</v>
      </c>
      <c r="AJ685" s="121">
        <v>920449</v>
      </c>
      <c r="AK685" s="424">
        <v>12</v>
      </c>
      <c r="AL685">
        <v>0</v>
      </c>
      <c r="AM685" s="121">
        <v>476153</v>
      </c>
      <c r="AN685" s="125">
        <v>0</v>
      </c>
      <c r="AO685" s="125">
        <v>1</v>
      </c>
      <c r="AP685" s="121">
        <v>9011540</v>
      </c>
      <c r="AQ685" s="114">
        <v>0</v>
      </c>
      <c r="AR685" s="121">
        <v>514.46064266999997</v>
      </c>
      <c r="AS685" s="121">
        <v>101093.13181000001</v>
      </c>
      <c r="AT685" s="121">
        <v>13313.920126999999</v>
      </c>
      <c r="AU685" s="420" t="s">
        <v>2001</v>
      </c>
      <c r="AV685" s="420" t="s">
        <v>2001</v>
      </c>
      <c r="AW685" s="121">
        <v>0</v>
      </c>
      <c r="AX685" s="121">
        <v>3172686</v>
      </c>
      <c r="BI685">
        <v>0</v>
      </c>
      <c r="BJ685" s="121">
        <v>0</v>
      </c>
      <c r="BK685" s="134">
        <v>771815036</v>
      </c>
      <c r="BL685" s="934">
        <v>4745</v>
      </c>
      <c r="BM685" s="934">
        <v>4812</v>
      </c>
      <c r="BN685" s="934">
        <v>4851</v>
      </c>
      <c r="BO685" s="114">
        <v>0</v>
      </c>
      <c r="BP685" s="114">
        <v>0</v>
      </c>
    </row>
    <row r="686" spans="1:68">
      <c r="A686" t="s">
        <v>2978</v>
      </c>
      <c r="B686" t="s">
        <v>1975</v>
      </c>
      <c r="C686" s="121">
        <v>4737</v>
      </c>
      <c r="D686" s="72">
        <v>1</v>
      </c>
      <c r="E686">
        <v>101.687</v>
      </c>
      <c r="F686">
        <v>52</v>
      </c>
      <c r="G686">
        <v>29</v>
      </c>
      <c r="H686">
        <v>2</v>
      </c>
      <c r="I686" s="173">
        <v>1.04</v>
      </c>
      <c r="J686" s="121">
        <v>104565851</v>
      </c>
      <c r="K686" s="125">
        <v>629.47500000000002</v>
      </c>
      <c r="L686" s="173">
        <v>1.5</v>
      </c>
      <c r="M686">
        <v>1.04</v>
      </c>
      <c r="N686">
        <v>1.000000005</v>
      </c>
      <c r="O686">
        <v>3.9999995000000066</v>
      </c>
      <c r="P686">
        <v>281.17200000000003</v>
      </c>
      <c r="Q686" s="125">
        <v>0.108</v>
      </c>
      <c r="R686" s="125">
        <v>0</v>
      </c>
      <c r="S686" s="125">
        <v>0.55900000000000005</v>
      </c>
      <c r="T686" s="125">
        <v>17.225000000000001</v>
      </c>
      <c r="U686" s="125">
        <v>1.34</v>
      </c>
      <c r="V686" s="125">
        <v>0</v>
      </c>
      <c r="W686" s="125">
        <v>0</v>
      </c>
      <c r="X686" s="125">
        <v>0</v>
      </c>
      <c r="Y686" s="125">
        <v>0</v>
      </c>
      <c r="Z686" s="125">
        <v>0.74399999999999999</v>
      </c>
      <c r="AA686" s="125">
        <v>10.975</v>
      </c>
      <c r="AB686" s="125">
        <v>13.595000000000001</v>
      </c>
      <c r="AC686" s="125">
        <v>278.39999999999998</v>
      </c>
      <c r="AD686" s="125">
        <v>0.26100000000000001</v>
      </c>
      <c r="AE686" s="125">
        <v>19.588000000000001</v>
      </c>
      <c r="AF686" s="125">
        <v>14.0586</v>
      </c>
      <c r="AG686" s="125">
        <v>0</v>
      </c>
      <c r="AH686" s="125">
        <v>0</v>
      </c>
      <c r="AI686" s="121">
        <v>1135242</v>
      </c>
      <c r="AJ686" s="121">
        <v>0</v>
      </c>
      <c r="AK686" s="424">
        <v>12</v>
      </c>
      <c r="AL686">
        <v>0</v>
      </c>
      <c r="AM686" s="121">
        <v>34118</v>
      </c>
      <c r="AN686" s="125">
        <v>0</v>
      </c>
      <c r="AO686" s="125">
        <v>0</v>
      </c>
      <c r="AP686" s="121">
        <v>1135242</v>
      </c>
      <c r="AQ686" s="114">
        <v>0</v>
      </c>
      <c r="AR686" s="121">
        <v>69.699361259</v>
      </c>
      <c r="AS686" s="121">
        <v>13696.14336</v>
      </c>
      <c r="AT686" s="121">
        <v>1803.7759387999999</v>
      </c>
      <c r="AU686" s="420" t="s">
        <v>2001</v>
      </c>
      <c r="AV686" s="420" t="s">
        <v>2001</v>
      </c>
      <c r="AW686" s="121">
        <v>0</v>
      </c>
      <c r="AX686" s="121">
        <v>0</v>
      </c>
      <c r="BI686">
        <v>0</v>
      </c>
      <c r="BJ686" s="121">
        <v>0</v>
      </c>
      <c r="BK686" s="134">
        <v>102930545</v>
      </c>
      <c r="BL686" s="934">
        <v>4737</v>
      </c>
      <c r="BM686" s="934">
        <v>4713</v>
      </c>
      <c r="BN686" s="934">
        <v>4709</v>
      </c>
      <c r="BO686" s="114">
        <v>0</v>
      </c>
      <c r="BP686" s="114">
        <v>0</v>
      </c>
    </row>
    <row r="687" spans="1:68">
      <c r="A687" t="s">
        <v>2899</v>
      </c>
      <c r="B687" t="s">
        <v>2555</v>
      </c>
      <c r="C687" s="121">
        <v>5111</v>
      </c>
      <c r="D687" s="72">
        <v>2</v>
      </c>
      <c r="E687">
        <v>5248.5720000000001</v>
      </c>
      <c r="F687">
        <v>1635</v>
      </c>
      <c r="G687">
        <v>931</v>
      </c>
      <c r="H687">
        <v>165</v>
      </c>
      <c r="I687" s="173">
        <v>1</v>
      </c>
      <c r="J687" s="121">
        <v>8048998717</v>
      </c>
      <c r="K687" s="125">
        <v>24521.841</v>
      </c>
      <c r="L687" s="173">
        <v>1.5</v>
      </c>
      <c r="M687">
        <v>1</v>
      </c>
      <c r="N687">
        <v>1.000000005</v>
      </c>
      <c r="O687">
        <v>-4.9999999696126451E-7</v>
      </c>
      <c r="P687">
        <v>18820.571</v>
      </c>
      <c r="Q687" s="125">
        <v>1.05</v>
      </c>
      <c r="R687" s="125">
        <v>4.2510000000000003</v>
      </c>
      <c r="S687" s="125">
        <v>28.047999999999998</v>
      </c>
      <c r="T687" s="125">
        <v>394.02800000000002</v>
      </c>
      <c r="U687" s="125">
        <v>114.876</v>
      </c>
      <c r="V687" s="125">
        <v>21.318999999999999</v>
      </c>
      <c r="W687" s="125">
        <v>13.481</v>
      </c>
      <c r="X687" s="125">
        <v>0</v>
      </c>
      <c r="Y687" s="125">
        <v>0</v>
      </c>
      <c r="Z687" s="125">
        <v>3.0169999999999999</v>
      </c>
      <c r="AA687" s="125">
        <v>281.29599999999999</v>
      </c>
      <c r="AB687" s="125">
        <v>703.31700000000001</v>
      </c>
      <c r="AC687" s="125">
        <v>12399.6</v>
      </c>
      <c r="AD687" s="125">
        <v>10.518000000000001</v>
      </c>
      <c r="AE687" s="125">
        <v>1619.1859999999999</v>
      </c>
      <c r="AF687" s="125">
        <v>941.02855</v>
      </c>
      <c r="AG687" s="125">
        <v>0</v>
      </c>
      <c r="AH687" s="125">
        <v>0</v>
      </c>
      <c r="AI687" s="121">
        <v>84514487</v>
      </c>
      <c r="AJ687" s="121">
        <v>8505973</v>
      </c>
      <c r="AK687" s="424">
        <v>12</v>
      </c>
      <c r="AL687">
        <v>0</v>
      </c>
      <c r="AM687" s="121">
        <v>1982204</v>
      </c>
      <c r="AN687" s="125">
        <v>1</v>
      </c>
      <c r="AO687" s="125">
        <v>0</v>
      </c>
      <c r="AP687" s="121">
        <v>93020460</v>
      </c>
      <c r="AQ687" s="114">
        <v>0</v>
      </c>
      <c r="AR687" s="121">
        <v>5365.1365413000003</v>
      </c>
      <c r="AS687" s="121">
        <v>1054266.1782</v>
      </c>
      <c r="AT687" s="121">
        <v>138846.3829</v>
      </c>
      <c r="AU687" s="420" t="s">
        <v>798</v>
      </c>
      <c r="AV687" s="420" t="s">
        <v>2001</v>
      </c>
      <c r="AW687" s="121">
        <v>0</v>
      </c>
      <c r="AX687" s="121">
        <v>11989431</v>
      </c>
      <c r="AY687" s="134">
        <v>11213576</v>
      </c>
      <c r="AZ687" s="134">
        <v>57953599</v>
      </c>
      <c r="BA687" s="134">
        <v>24409</v>
      </c>
      <c r="BB687" s="134">
        <v>3490156662</v>
      </c>
      <c r="BC687" s="114">
        <v>0</v>
      </c>
      <c r="BD687" s="114">
        <v>0</v>
      </c>
      <c r="BE687" s="114">
        <v>0</v>
      </c>
      <c r="BF687" s="134">
        <v>20969</v>
      </c>
      <c r="BG687" s="114">
        <v>0</v>
      </c>
      <c r="BH687" s="114">
        <v>0</v>
      </c>
      <c r="BI687">
        <v>0</v>
      </c>
      <c r="BJ687" s="121">
        <v>0</v>
      </c>
      <c r="BK687" s="134">
        <v>8048998717</v>
      </c>
      <c r="BL687" s="934">
        <v>4902</v>
      </c>
      <c r="BM687" s="934">
        <v>5111</v>
      </c>
      <c r="BN687" s="934">
        <v>5071</v>
      </c>
      <c r="BO687" s="114">
        <v>0</v>
      </c>
      <c r="BP687" s="114">
        <v>0</v>
      </c>
    </row>
    <row r="688" spans="1:68">
      <c r="A688" t="s">
        <v>1475</v>
      </c>
      <c r="B688" t="s">
        <v>1976</v>
      </c>
      <c r="C688" s="121">
        <v>5190</v>
      </c>
      <c r="D688" s="72">
        <v>2</v>
      </c>
      <c r="E688">
        <v>457.803</v>
      </c>
      <c r="F688">
        <v>110</v>
      </c>
      <c r="G688">
        <v>55</v>
      </c>
      <c r="H688">
        <v>0</v>
      </c>
      <c r="I688" s="173">
        <v>1.04</v>
      </c>
      <c r="J688" s="121">
        <v>542583104</v>
      </c>
      <c r="K688" s="125">
        <v>1899.9570000000001</v>
      </c>
      <c r="L688" s="173">
        <v>1.4997</v>
      </c>
      <c r="M688">
        <v>1.04</v>
      </c>
      <c r="N688">
        <v>0.99980000499900001</v>
      </c>
      <c r="O688">
        <v>4.0199995001000026</v>
      </c>
      <c r="P688">
        <v>1452.626</v>
      </c>
      <c r="Q688" s="125">
        <v>0</v>
      </c>
      <c r="R688" s="125">
        <v>0</v>
      </c>
      <c r="S688" s="125">
        <v>1.762</v>
      </c>
      <c r="T688" s="125">
        <v>28.742999999999999</v>
      </c>
      <c r="U688" s="125">
        <v>5.4909999999999997</v>
      </c>
      <c r="V688" s="125">
        <v>0</v>
      </c>
      <c r="W688" s="125">
        <v>0</v>
      </c>
      <c r="X688" s="125">
        <v>0</v>
      </c>
      <c r="Y688" s="125">
        <v>0</v>
      </c>
      <c r="Z688" s="125">
        <v>0</v>
      </c>
      <c r="AA688" s="125">
        <v>24.395</v>
      </c>
      <c r="AB688" s="125">
        <v>59.292999999999999</v>
      </c>
      <c r="AC688" s="125">
        <v>485</v>
      </c>
      <c r="AD688" s="125">
        <v>0</v>
      </c>
      <c r="AE688" s="125">
        <v>59.292999999999999</v>
      </c>
      <c r="AF688" s="125">
        <v>72.631</v>
      </c>
      <c r="AG688" s="125">
        <v>0</v>
      </c>
      <c r="AH688" s="125">
        <v>0</v>
      </c>
      <c r="AI688" s="121">
        <v>5925007</v>
      </c>
      <c r="AJ688" s="121">
        <v>564081</v>
      </c>
      <c r="AK688" s="424">
        <v>12</v>
      </c>
      <c r="AL688">
        <v>0</v>
      </c>
      <c r="AM688" s="121">
        <v>133459</v>
      </c>
      <c r="AN688" s="125">
        <v>0</v>
      </c>
      <c r="AO688" s="125">
        <v>0</v>
      </c>
      <c r="AP688" s="121">
        <v>6489088</v>
      </c>
      <c r="AQ688" s="114">
        <v>0</v>
      </c>
      <c r="AR688" s="121">
        <v>361.66392123000003</v>
      </c>
      <c r="AS688" s="121">
        <v>71068.096231000003</v>
      </c>
      <c r="AT688" s="121">
        <v>9359.6364049999993</v>
      </c>
      <c r="AU688" s="420" t="s">
        <v>2001</v>
      </c>
      <c r="AV688" s="420" t="s">
        <v>2001</v>
      </c>
      <c r="AW688" s="121">
        <v>0</v>
      </c>
      <c r="AX688" s="121">
        <v>718445</v>
      </c>
      <c r="BI688">
        <v>0</v>
      </c>
      <c r="BJ688" s="121">
        <v>0</v>
      </c>
      <c r="BK688" s="134">
        <v>542583104</v>
      </c>
      <c r="BL688" s="934">
        <v>4924</v>
      </c>
      <c r="BM688" s="934">
        <v>5190</v>
      </c>
      <c r="BN688" s="934">
        <v>5086</v>
      </c>
      <c r="BO688" s="114">
        <v>0</v>
      </c>
      <c r="BP688" s="114">
        <v>0</v>
      </c>
    </row>
    <row r="689" spans="1:68">
      <c r="A689" t="s">
        <v>2156</v>
      </c>
      <c r="B689" t="s">
        <v>727</v>
      </c>
      <c r="C689" s="121">
        <v>4501</v>
      </c>
      <c r="D689" s="72">
        <v>3</v>
      </c>
      <c r="E689">
        <v>415.79599999999999</v>
      </c>
      <c r="F689">
        <v>131</v>
      </c>
      <c r="G689">
        <v>93</v>
      </c>
      <c r="H689">
        <v>0</v>
      </c>
      <c r="I689" s="173">
        <v>1.04</v>
      </c>
      <c r="J689" s="121">
        <v>277414804</v>
      </c>
      <c r="K689" s="125">
        <v>2206.951</v>
      </c>
      <c r="L689" s="173">
        <v>1.41</v>
      </c>
      <c r="M689">
        <v>1.04</v>
      </c>
      <c r="N689">
        <v>0.9400000047</v>
      </c>
      <c r="O689">
        <v>9.9999995300000037</v>
      </c>
      <c r="P689">
        <v>1520</v>
      </c>
      <c r="Q689" s="125">
        <v>4.5999999999999999E-2</v>
      </c>
      <c r="R689" s="125">
        <v>0</v>
      </c>
      <c r="S689" s="125">
        <v>3.048</v>
      </c>
      <c r="T689" s="125">
        <v>30</v>
      </c>
      <c r="U689" s="125">
        <v>4.55</v>
      </c>
      <c r="V689" s="125">
        <v>0</v>
      </c>
      <c r="W689" s="125">
        <v>0.67900000000000005</v>
      </c>
      <c r="X689" s="125">
        <v>0</v>
      </c>
      <c r="Y689" s="125">
        <v>0</v>
      </c>
      <c r="Z689" s="125">
        <v>0.64800000000000002</v>
      </c>
      <c r="AA689" s="125">
        <v>55</v>
      </c>
      <c r="AB689" s="125">
        <v>98.703999999999994</v>
      </c>
      <c r="AC689" s="125">
        <v>1259.2</v>
      </c>
      <c r="AD689" s="125">
        <v>0.245</v>
      </c>
      <c r="AE689" s="125">
        <v>82</v>
      </c>
      <c r="AF689" s="125">
        <v>65</v>
      </c>
      <c r="AG689" s="125">
        <v>0</v>
      </c>
      <c r="AH689" s="125">
        <v>0</v>
      </c>
      <c r="AI689" s="121">
        <v>2787162</v>
      </c>
      <c r="AJ689" s="121">
        <v>735521</v>
      </c>
      <c r="AK689" s="424">
        <v>12</v>
      </c>
      <c r="AL689">
        <v>0</v>
      </c>
      <c r="AM689" s="121">
        <v>143870</v>
      </c>
      <c r="AN689" s="125">
        <v>0</v>
      </c>
      <c r="AO689" s="125">
        <v>0</v>
      </c>
      <c r="AP689" s="121">
        <v>3522683</v>
      </c>
      <c r="AQ689" s="114">
        <v>0</v>
      </c>
      <c r="AR689" s="121">
        <v>184.91347248</v>
      </c>
      <c r="AS689" s="121">
        <v>36336.078012999998</v>
      </c>
      <c r="AT689" s="121">
        <v>4785.4451803000002</v>
      </c>
      <c r="AU689" s="420" t="s">
        <v>2001</v>
      </c>
      <c r="AV689" s="420" t="s">
        <v>2001</v>
      </c>
      <c r="AW689" s="121">
        <v>0</v>
      </c>
      <c r="AX689" s="121">
        <v>1526604</v>
      </c>
      <c r="BI689">
        <v>0</v>
      </c>
      <c r="BJ689" s="121">
        <v>0</v>
      </c>
      <c r="BK689" s="134">
        <v>257812747</v>
      </c>
      <c r="BL689" s="934">
        <v>4433</v>
      </c>
      <c r="BM689" s="934">
        <v>4443</v>
      </c>
      <c r="BN689" s="934">
        <v>4501</v>
      </c>
      <c r="BO689" s="114">
        <v>0</v>
      </c>
      <c r="BP689" s="114">
        <v>0</v>
      </c>
    </row>
    <row r="690" spans="1:68">
      <c r="A690" t="s">
        <v>1536</v>
      </c>
      <c r="B690" t="s">
        <v>1977</v>
      </c>
      <c r="C690" s="121">
        <v>5198</v>
      </c>
      <c r="D690" s="72">
        <v>2</v>
      </c>
      <c r="E690">
        <v>0</v>
      </c>
      <c r="F690">
        <v>16</v>
      </c>
      <c r="G690">
        <v>10</v>
      </c>
      <c r="H690">
        <v>1</v>
      </c>
      <c r="I690" s="173">
        <v>1.04</v>
      </c>
      <c r="J690" s="121">
        <v>74473805</v>
      </c>
      <c r="K690" s="125">
        <v>232.262</v>
      </c>
      <c r="L690" s="173">
        <v>1.48</v>
      </c>
      <c r="M690">
        <v>1.04</v>
      </c>
      <c r="N690">
        <v>0.98666667159999999</v>
      </c>
      <c r="O690">
        <v>5.3333328400000042</v>
      </c>
      <c r="P690">
        <v>128.25</v>
      </c>
      <c r="Q690" s="125">
        <v>0</v>
      </c>
      <c r="R690" s="125">
        <v>0</v>
      </c>
      <c r="S690" s="125">
        <v>0.21199999999999999</v>
      </c>
      <c r="T690" s="125">
        <v>6.24</v>
      </c>
      <c r="U690" s="125">
        <v>0</v>
      </c>
      <c r="V690" s="125">
        <v>0</v>
      </c>
      <c r="W690" s="125">
        <v>0</v>
      </c>
      <c r="X690" s="125">
        <v>0</v>
      </c>
      <c r="Y690" s="125">
        <v>0</v>
      </c>
      <c r="Z690" s="125">
        <v>0</v>
      </c>
      <c r="AA690" s="125">
        <v>6.98</v>
      </c>
      <c r="AB690" s="125">
        <v>0</v>
      </c>
      <c r="AC690" s="125">
        <v>74.400000000000006</v>
      </c>
      <c r="AD690" s="125">
        <v>0</v>
      </c>
      <c r="AE690" s="125">
        <v>0</v>
      </c>
      <c r="AF690" s="125">
        <v>6.4124999999999996</v>
      </c>
      <c r="AG690" s="125">
        <v>0</v>
      </c>
      <c r="AH690" s="125">
        <v>0</v>
      </c>
      <c r="AI690" s="121">
        <v>821386</v>
      </c>
      <c r="AJ690" s="121">
        <v>130</v>
      </c>
      <c r="AK690" s="424">
        <v>8</v>
      </c>
      <c r="AL690">
        <v>0</v>
      </c>
      <c r="AM690" s="121">
        <v>18553</v>
      </c>
      <c r="AN690" s="125">
        <v>0</v>
      </c>
      <c r="AO690" s="125">
        <v>0</v>
      </c>
      <c r="AP690" s="121">
        <v>821516</v>
      </c>
      <c r="AQ690" s="114">
        <v>0</v>
      </c>
      <c r="AR690" s="121">
        <v>49.641222048000003</v>
      </c>
      <c r="AS690" s="121">
        <v>9754.6560174999995</v>
      </c>
      <c r="AT690" s="121">
        <v>1284.6838233000001</v>
      </c>
      <c r="AU690" s="420" t="s">
        <v>798</v>
      </c>
      <c r="AV690" s="420" t="s">
        <v>2001</v>
      </c>
      <c r="AW690" s="121">
        <v>0</v>
      </c>
      <c r="AX690" s="121">
        <v>0</v>
      </c>
      <c r="AY690" s="134">
        <v>25114</v>
      </c>
      <c r="AZ690" s="134">
        <v>396319</v>
      </c>
      <c r="BA690" s="114">
        <v>208</v>
      </c>
      <c r="BB690" s="134">
        <v>13407807</v>
      </c>
      <c r="BC690" s="114">
        <v>0</v>
      </c>
      <c r="BD690" s="114">
        <v>0</v>
      </c>
      <c r="BE690" s="114">
        <v>0</v>
      </c>
      <c r="BF690" s="114">
        <v>153</v>
      </c>
      <c r="BG690" s="114">
        <v>0</v>
      </c>
      <c r="BH690" s="114">
        <v>0</v>
      </c>
      <c r="BI690">
        <v>0</v>
      </c>
      <c r="BJ690" s="121">
        <v>0</v>
      </c>
      <c r="BK690" s="134">
        <v>74473805</v>
      </c>
      <c r="BL690" s="934">
        <v>4683</v>
      </c>
      <c r="BM690" s="934">
        <v>5198</v>
      </c>
      <c r="BN690" s="934">
        <v>4716</v>
      </c>
      <c r="BO690" s="114">
        <v>0</v>
      </c>
      <c r="BP690" s="114">
        <v>0</v>
      </c>
    </row>
    <row r="691" spans="1:68">
      <c r="A691" t="s">
        <v>2900</v>
      </c>
      <c r="B691" t="s">
        <v>1978</v>
      </c>
      <c r="C691" s="121">
        <v>4635</v>
      </c>
      <c r="D691" s="72">
        <v>1</v>
      </c>
      <c r="E691">
        <v>147.64500000000001</v>
      </c>
      <c r="F691">
        <v>38</v>
      </c>
      <c r="G691">
        <v>27</v>
      </c>
      <c r="H691">
        <v>0</v>
      </c>
      <c r="I691" s="173">
        <v>1.04</v>
      </c>
      <c r="J691" s="121">
        <v>70071645</v>
      </c>
      <c r="K691" s="125">
        <v>720.27300000000002</v>
      </c>
      <c r="L691" s="173">
        <v>1.5</v>
      </c>
      <c r="M691">
        <v>1.04</v>
      </c>
      <c r="N691">
        <v>1.000000005</v>
      </c>
      <c r="O691">
        <v>3.9999995000000066</v>
      </c>
      <c r="P691">
        <v>420.12</v>
      </c>
      <c r="Q691" s="125">
        <v>0.13600000000000001</v>
      </c>
      <c r="R691" s="125">
        <v>0</v>
      </c>
      <c r="S691" s="125">
        <v>0.67800000000000005</v>
      </c>
      <c r="T691" s="125">
        <v>21.803000000000001</v>
      </c>
      <c r="U691" s="125">
        <v>3.1429999999999998</v>
      </c>
      <c r="V691" s="125">
        <v>0</v>
      </c>
      <c r="W691" s="125">
        <v>0</v>
      </c>
      <c r="X691" s="125">
        <v>0</v>
      </c>
      <c r="Y691" s="125">
        <v>0</v>
      </c>
      <c r="Z691" s="125">
        <v>0</v>
      </c>
      <c r="AA691" s="125">
        <v>7.7160000000000002</v>
      </c>
      <c r="AB691" s="125">
        <v>35</v>
      </c>
      <c r="AC691" s="125">
        <v>203.5</v>
      </c>
      <c r="AD691" s="125">
        <v>0.14199999999999999</v>
      </c>
      <c r="AE691" s="125">
        <v>8.2789999999999999</v>
      </c>
      <c r="AF691" s="125">
        <v>19.872</v>
      </c>
      <c r="AG691" s="125">
        <v>0</v>
      </c>
      <c r="AH691" s="125">
        <v>0</v>
      </c>
      <c r="AI691" s="121">
        <v>765182</v>
      </c>
      <c r="AJ691" s="121">
        <v>196299</v>
      </c>
      <c r="AK691" s="424">
        <v>12</v>
      </c>
      <c r="AL691">
        <v>0</v>
      </c>
      <c r="AM691" s="121">
        <v>44368</v>
      </c>
      <c r="AN691" s="125">
        <v>0</v>
      </c>
      <c r="AO691" s="125">
        <v>0</v>
      </c>
      <c r="AP691" s="121">
        <v>961481</v>
      </c>
      <c r="AQ691" s="114">
        <v>0</v>
      </c>
      <c r="AR691" s="121">
        <v>46.706920490000002</v>
      </c>
      <c r="AS691" s="121">
        <v>9178.0565470000001</v>
      </c>
      <c r="AT691" s="121">
        <v>1208.7459315999999</v>
      </c>
      <c r="AU691" s="420" t="s">
        <v>2001</v>
      </c>
      <c r="AV691" s="420" t="s">
        <v>2001</v>
      </c>
      <c r="AW691" s="121">
        <v>0</v>
      </c>
      <c r="AX691" s="121">
        <v>265975</v>
      </c>
      <c r="BI691">
        <v>0</v>
      </c>
      <c r="BJ691" s="121">
        <v>0</v>
      </c>
      <c r="BK691" s="134">
        <v>70071645</v>
      </c>
      <c r="BL691" s="934">
        <v>4635</v>
      </c>
      <c r="BM691" s="934">
        <v>4612</v>
      </c>
      <c r="BN691" s="934">
        <v>4612</v>
      </c>
      <c r="BO691" s="114">
        <v>0</v>
      </c>
      <c r="BP691" s="114">
        <v>0</v>
      </c>
    </row>
    <row r="692" spans="1:68">
      <c r="A692" t="s">
        <v>2513</v>
      </c>
      <c r="B692" t="s">
        <v>1979</v>
      </c>
      <c r="C692" s="121">
        <v>4749</v>
      </c>
      <c r="D692" s="72">
        <v>2</v>
      </c>
      <c r="E692">
        <v>525.85500000000002</v>
      </c>
      <c r="F692">
        <v>135</v>
      </c>
      <c r="G692">
        <v>88</v>
      </c>
      <c r="H692">
        <v>20</v>
      </c>
      <c r="I692" s="173">
        <v>1.04</v>
      </c>
      <c r="J692" s="121">
        <v>724853160</v>
      </c>
      <c r="K692" s="125">
        <v>2746.93</v>
      </c>
      <c r="L692" s="173">
        <v>1.5</v>
      </c>
      <c r="M692">
        <v>1.04</v>
      </c>
      <c r="N692">
        <v>1.000000005</v>
      </c>
      <c r="O692">
        <v>3.9999995000000066</v>
      </c>
      <c r="P692">
        <v>1856.366</v>
      </c>
      <c r="Q692" s="125">
        <v>0.314</v>
      </c>
      <c r="R692" s="125">
        <v>0</v>
      </c>
      <c r="S692" s="125">
        <v>2.7949999999999999</v>
      </c>
      <c r="T692" s="125">
        <v>64.882000000000005</v>
      </c>
      <c r="U692" s="125">
        <v>11.553000000000001</v>
      </c>
      <c r="V692" s="125">
        <v>0</v>
      </c>
      <c r="W692" s="125">
        <v>3.1459999999999999</v>
      </c>
      <c r="X692" s="125">
        <v>0</v>
      </c>
      <c r="Y692" s="125">
        <v>0</v>
      </c>
      <c r="Z692" s="125">
        <v>29.713000000000001</v>
      </c>
      <c r="AA692" s="125">
        <v>48.878</v>
      </c>
      <c r="AB692" s="125">
        <v>89.712000000000003</v>
      </c>
      <c r="AC692" s="125">
        <v>1125.4000000000001</v>
      </c>
      <c r="AD692" s="125">
        <v>0.52100000000000002</v>
      </c>
      <c r="AE692" s="125">
        <v>90.057000000000002</v>
      </c>
      <c r="AF692" s="125">
        <v>92.817999999999998</v>
      </c>
      <c r="AG692" s="125">
        <v>0</v>
      </c>
      <c r="AH692" s="125">
        <v>0</v>
      </c>
      <c r="AI692" s="121">
        <v>7915397</v>
      </c>
      <c r="AJ692" s="121">
        <v>0</v>
      </c>
      <c r="AK692" s="424">
        <v>12</v>
      </c>
      <c r="AL692">
        <v>0</v>
      </c>
      <c r="AM692" s="121">
        <v>112992</v>
      </c>
      <c r="AN692" s="125">
        <v>0</v>
      </c>
      <c r="AO692" s="125">
        <v>0</v>
      </c>
      <c r="AP692" s="121">
        <v>7915397</v>
      </c>
      <c r="AQ692" s="114">
        <v>0</v>
      </c>
      <c r="AR692" s="121">
        <v>483.15775818999998</v>
      </c>
      <c r="AS692" s="121">
        <v>94942.016713000005</v>
      </c>
      <c r="AT692" s="121">
        <v>12503.821027</v>
      </c>
      <c r="AU692" s="420" t="s">
        <v>2001</v>
      </c>
      <c r="AV692" s="420" t="s">
        <v>2001</v>
      </c>
      <c r="AW692" s="121">
        <v>0</v>
      </c>
      <c r="AX692" s="121">
        <v>1444921</v>
      </c>
      <c r="BI692">
        <v>0</v>
      </c>
      <c r="BJ692" s="121">
        <v>0</v>
      </c>
      <c r="BK692" s="134">
        <v>724853160</v>
      </c>
      <c r="BL692" s="934">
        <v>4466</v>
      </c>
      <c r="BM692" s="934">
        <v>4749</v>
      </c>
      <c r="BN692" s="934">
        <v>4556</v>
      </c>
      <c r="BO692" s="114">
        <v>0</v>
      </c>
      <c r="BP692" s="114">
        <v>0</v>
      </c>
    </row>
    <row r="693" spans="1:68">
      <c r="A693" t="s">
        <v>1046</v>
      </c>
      <c r="B693" t="s">
        <v>1980</v>
      </c>
      <c r="C693" s="121">
        <v>4550</v>
      </c>
      <c r="D693" s="72">
        <v>3</v>
      </c>
      <c r="E693">
        <v>179.80500000000001</v>
      </c>
      <c r="F693">
        <v>47</v>
      </c>
      <c r="G693">
        <v>31</v>
      </c>
      <c r="H693">
        <v>4</v>
      </c>
      <c r="I693" s="173">
        <v>1.17</v>
      </c>
      <c r="J693" s="121">
        <v>99908055</v>
      </c>
      <c r="K693" s="125">
        <v>859.72</v>
      </c>
      <c r="L693" s="173">
        <v>1.44</v>
      </c>
      <c r="M693">
        <v>1.17</v>
      </c>
      <c r="N693">
        <v>0.96000000480000003</v>
      </c>
      <c r="O693">
        <v>20.999999519999989</v>
      </c>
      <c r="P693">
        <v>500.91399999999999</v>
      </c>
      <c r="Q693" s="125">
        <v>0</v>
      </c>
      <c r="R693" s="125">
        <v>0</v>
      </c>
      <c r="S693" s="125">
        <v>0.36499999999999999</v>
      </c>
      <c r="T693" s="125">
        <v>19.559000000000001</v>
      </c>
      <c r="U693" s="125">
        <v>8.1989999999999998</v>
      </c>
      <c r="V693" s="125">
        <v>0</v>
      </c>
      <c r="W693" s="125">
        <v>1.3049999999999999</v>
      </c>
      <c r="X693" s="125">
        <v>0</v>
      </c>
      <c r="Y693" s="125">
        <v>0</v>
      </c>
      <c r="Z693" s="125">
        <v>0</v>
      </c>
      <c r="AA693" s="125">
        <v>17.058</v>
      </c>
      <c r="AB693" s="125">
        <v>39.747999999999998</v>
      </c>
      <c r="AC693" s="125">
        <v>263.7</v>
      </c>
      <c r="AD693" s="125">
        <v>3.1E-2</v>
      </c>
      <c r="AE693" s="125">
        <v>34.295999999999999</v>
      </c>
      <c r="AF693" s="125">
        <v>25.0457</v>
      </c>
      <c r="AG693" s="125">
        <v>0</v>
      </c>
      <c r="AH693" s="125">
        <v>0</v>
      </c>
      <c r="AI693" s="121">
        <v>1215097</v>
      </c>
      <c r="AJ693" s="121">
        <v>143712</v>
      </c>
      <c r="AK693" s="424">
        <v>12</v>
      </c>
      <c r="AL693">
        <v>0</v>
      </c>
      <c r="AM693" s="121">
        <v>40372</v>
      </c>
      <c r="AN693" s="125">
        <v>0</v>
      </c>
      <c r="AO693" s="125">
        <v>0</v>
      </c>
      <c r="AP693" s="121">
        <v>1358809</v>
      </c>
      <c r="AQ693" s="114">
        <v>0</v>
      </c>
      <c r="AR693" s="121">
        <v>66.594662951000004</v>
      </c>
      <c r="AS693" s="121">
        <v>13086.060393</v>
      </c>
      <c r="AT693" s="121">
        <v>1723.4282856</v>
      </c>
      <c r="AU693" s="420" t="s">
        <v>2001</v>
      </c>
      <c r="AV693" s="420" t="s">
        <v>2001</v>
      </c>
      <c r="AW693" s="121">
        <v>0</v>
      </c>
      <c r="AX693" s="121">
        <v>284575</v>
      </c>
      <c r="BI693">
        <v>0</v>
      </c>
      <c r="BJ693" s="121">
        <v>0</v>
      </c>
      <c r="BK693" s="134">
        <v>99908055</v>
      </c>
      <c r="BL693" s="934">
        <v>4372</v>
      </c>
      <c r="BM693" s="934">
        <v>4518</v>
      </c>
      <c r="BN693" s="934">
        <v>4550</v>
      </c>
      <c r="BO693" s="114">
        <v>0</v>
      </c>
      <c r="BP693" s="114">
        <v>0</v>
      </c>
    </row>
    <row r="694" spans="1:68">
      <c r="A694" t="s">
        <v>409</v>
      </c>
      <c r="B694" t="s">
        <v>3033</v>
      </c>
      <c r="C694" s="121">
        <v>4600</v>
      </c>
      <c r="D694" s="72">
        <v>2</v>
      </c>
      <c r="E694">
        <v>63.347000000000001</v>
      </c>
      <c r="F694">
        <v>21</v>
      </c>
      <c r="G694">
        <v>16</v>
      </c>
      <c r="H694">
        <v>5</v>
      </c>
      <c r="I694" s="173">
        <v>1.03</v>
      </c>
      <c r="J694" s="121">
        <v>27233317</v>
      </c>
      <c r="K694" s="125">
        <v>355.22800000000001</v>
      </c>
      <c r="L694" s="173">
        <v>1.4850000000000001</v>
      </c>
      <c r="M694">
        <v>1.03</v>
      </c>
      <c r="N694">
        <v>0.99000000495000007</v>
      </c>
      <c r="O694">
        <v>3.9999995049999959</v>
      </c>
      <c r="P694">
        <v>189</v>
      </c>
      <c r="Q694" s="125">
        <v>0</v>
      </c>
      <c r="R694" s="125">
        <v>0</v>
      </c>
      <c r="S694" s="125">
        <v>0.26</v>
      </c>
      <c r="T694" s="125">
        <v>9</v>
      </c>
      <c r="U694" s="125">
        <v>0.2</v>
      </c>
      <c r="V694" s="125">
        <v>0</v>
      </c>
      <c r="W694" s="125">
        <v>0.3</v>
      </c>
      <c r="X694" s="125">
        <v>0</v>
      </c>
      <c r="Y694" s="125">
        <v>0</v>
      </c>
      <c r="Z694" s="125">
        <v>0</v>
      </c>
      <c r="AA694" s="125">
        <v>8</v>
      </c>
      <c r="AB694" s="125">
        <v>11</v>
      </c>
      <c r="AC694" s="125">
        <v>155</v>
      </c>
      <c r="AD694" s="125">
        <v>0</v>
      </c>
      <c r="AE694" s="125">
        <v>7.7</v>
      </c>
      <c r="AF694" s="125">
        <v>9.4499999999999993</v>
      </c>
      <c r="AG694" s="125">
        <v>0</v>
      </c>
      <c r="AH694" s="125">
        <v>0</v>
      </c>
      <c r="AI694" s="121">
        <v>281072</v>
      </c>
      <c r="AJ694" s="121">
        <v>0</v>
      </c>
      <c r="AK694" s="424">
        <v>12</v>
      </c>
      <c r="AL694">
        <v>0</v>
      </c>
      <c r="AM694" s="121">
        <v>9999</v>
      </c>
      <c r="AN694" s="125">
        <v>0</v>
      </c>
      <c r="AO694" s="125">
        <v>0</v>
      </c>
      <c r="AP694" s="121">
        <v>281072</v>
      </c>
      <c r="AQ694" s="114">
        <v>0</v>
      </c>
      <c r="AR694" s="121">
        <v>18.152625990000001</v>
      </c>
      <c r="AS694" s="121">
        <v>3567.0480105000001</v>
      </c>
      <c r="AT694" s="121">
        <v>469.77862343999999</v>
      </c>
      <c r="AU694" s="420" t="s">
        <v>2001</v>
      </c>
      <c r="AV694" s="420" t="s">
        <v>2001</v>
      </c>
      <c r="AW694" s="121">
        <v>0</v>
      </c>
      <c r="AX694" s="121">
        <v>90560</v>
      </c>
      <c r="BI694">
        <v>0</v>
      </c>
      <c r="BJ694" s="121">
        <v>0</v>
      </c>
      <c r="BK694" s="134">
        <v>26519442</v>
      </c>
      <c r="BL694" s="934">
        <v>4473</v>
      </c>
      <c r="BM694" s="934">
        <v>4600</v>
      </c>
      <c r="BN694" s="934">
        <v>4532</v>
      </c>
      <c r="BO694" s="114">
        <v>0</v>
      </c>
      <c r="BP694" s="114">
        <v>0</v>
      </c>
    </row>
    <row r="695" spans="1:68">
      <c r="A695" t="s">
        <v>1436</v>
      </c>
      <c r="B695" t="s">
        <v>972</v>
      </c>
      <c r="C695" s="121">
        <v>4248</v>
      </c>
      <c r="D695" s="72">
        <v>3</v>
      </c>
      <c r="E695">
        <v>180.71600000000001</v>
      </c>
      <c r="F695">
        <v>63</v>
      </c>
      <c r="G695">
        <v>58</v>
      </c>
      <c r="H695">
        <v>4</v>
      </c>
      <c r="I695" s="173">
        <v>1.04</v>
      </c>
      <c r="J695" s="121">
        <v>129322343</v>
      </c>
      <c r="K695" s="125">
        <v>1138.9590000000001</v>
      </c>
      <c r="L695" s="173">
        <v>1.3032999999999999</v>
      </c>
      <c r="M695">
        <v>1.04</v>
      </c>
      <c r="N695">
        <v>0.8688666710109999</v>
      </c>
      <c r="O695">
        <v>17.113332898900012</v>
      </c>
      <c r="P695">
        <v>578.48099999999999</v>
      </c>
      <c r="Q695" s="125">
        <v>0</v>
      </c>
      <c r="R695" s="125">
        <v>0</v>
      </c>
      <c r="S695" s="125">
        <v>1.169</v>
      </c>
      <c r="T695" s="125">
        <v>18.167999999999999</v>
      </c>
      <c r="U695" s="125">
        <v>2.7109999999999999</v>
      </c>
      <c r="V695" s="125">
        <v>0</v>
      </c>
      <c r="W695" s="125">
        <v>0.308</v>
      </c>
      <c r="X695" s="125">
        <v>0</v>
      </c>
      <c r="Y695" s="125">
        <v>0</v>
      </c>
      <c r="Z695" s="125">
        <v>51.317</v>
      </c>
      <c r="AA695" s="125">
        <v>5.1440000000000001</v>
      </c>
      <c r="AB695" s="125">
        <v>50.173000000000002</v>
      </c>
      <c r="AC695" s="125">
        <v>317.89999999999998</v>
      </c>
      <c r="AD695" s="125">
        <v>0.442</v>
      </c>
      <c r="AE695" s="125">
        <v>23.963000000000001</v>
      </c>
      <c r="AF695" s="125">
        <v>28.923999999999999</v>
      </c>
      <c r="AG695" s="125">
        <v>0</v>
      </c>
      <c r="AH695" s="125">
        <v>0</v>
      </c>
      <c r="AI695" s="121">
        <v>1388372</v>
      </c>
      <c r="AJ695" s="121">
        <v>87968</v>
      </c>
      <c r="AK695" s="424">
        <v>12</v>
      </c>
      <c r="AL695">
        <v>0</v>
      </c>
      <c r="AM695" s="121">
        <v>56752</v>
      </c>
      <c r="AN695" s="125">
        <v>0</v>
      </c>
      <c r="AO695" s="125">
        <v>0</v>
      </c>
      <c r="AP695" s="121">
        <v>1476340</v>
      </c>
      <c r="AQ695" s="114">
        <v>0</v>
      </c>
      <c r="AR695" s="121">
        <v>86.201035984000001</v>
      </c>
      <c r="AS695" s="121">
        <v>16938.774261999999</v>
      </c>
      <c r="AT695" s="121">
        <v>2230.8289746</v>
      </c>
      <c r="AU695" s="420" t="s">
        <v>2001</v>
      </c>
      <c r="AV695" s="420" t="s">
        <v>2001</v>
      </c>
      <c r="AW695" s="121">
        <v>0</v>
      </c>
      <c r="AX695" s="121">
        <v>145802</v>
      </c>
      <c r="BI695">
        <v>0</v>
      </c>
      <c r="BJ695" s="121">
        <v>0</v>
      </c>
      <c r="BK695" s="134">
        <v>129322343</v>
      </c>
      <c r="BL695" s="934">
        <v>4112</v>
      </c>
      <c r="BM695" s="934">
        <v>4117</v>
      </c>
      <c r="BN695" s="934">
        <v>4248</v>
      </c>
      <c r="BO695" s="114">
        <v>0</v>
      </c>
      <c r="BP695" s="114">
        <v>0</v>
      </c>
    </row>
    <row r="696" spans="1:68">
      <c r="A696" t="s">
        <v>3070</v>
      </c>
      <c r="B696" t="s">
        <v>1981</v>
      </c>
      <c r="C696" s="121">
        <v>4613</v>
      </c>
      <c r="D696" s="72">
        <v>3</v>
      </c>
      <c r="E696">
        <v>37.787999999999997</v>
      </c>
      <c r="F696">
        <v>18</v>
      </c>
      <c r="G696">
        <v>12</v>
      </c>
      <c r="H696">
        <v>4</v>
      </c>
      <c r="I696" s="173">
        <v>0.99670000000000003</v>
      </c>
      <c r="J696" s="121">
        <v>47003703</v>
      </c>
      <c r="K696" s="125">
        <v>296.53100000000001</v>
      </c>
      <c r="L696" s="173">
        <v>1.39</v>
      </c>
      <c r="M696">
        <v>0.99670000000000003</v>
      </c>
      <c r="N696">
        <v>0.92666667129999991</v>
      </c>
      <c r="O696">
        <v>7.0033328700000119</v>
      </c>
      <c r="P696">
        <v>92.947999999999993</v>
      </c>
      <c r="Q696" s="125">
        <v>0</v>
      </c>
      <c r="R696" s="125">
        <v>0</v>
      </c>
      <c r="S696" s="125">
        <v>0.22700000000000001</v>
      </c>
      <c r="T696" s="125">
        <v>4.6289999999999996</v>
      </c>
      <c r="U696" s="125">
        <v>0.71699999999999997</v>
      </c>
      <c r="V696" s="125">
        <v>0</v>
      </c>
      <c r="W696" s="125">
        <v>0</v>
      </c>
      <c r="X696" s="125">
        <v>0</v>
      </c>
      <c r="Y696" s="125">
        <v>0</v>
      </c>
      <c r="Z696" s="125">
        <v>7.3419999999999996</v>
      </c>
      <c r="AA696" s="125">
        <v>0</v>
      </c>
      <c r="AB696" s="125">
        <v>12.617000000000001</v>
      </c>
      <c r="AC696" s="125">
        <v>92</v>
      </c>
      <c r="AD696" s="125">
        <v>0</v>
      </c>
      <c r="AE696" s="125">
        <v>5.1950000000000003</v>
      </c>
      <c r="AF696" s="125">
        <v>4.6470000000000002</v>
      </c>
      <c r="AG696" s="125">
        <v>0</v>
      </c>
      <c r="AH696" s="125">
        <v>0</v>
      </c>
      <c r="AI696" s="121">
        <v>486991</v>
      </c>
      <c r="AJ696" s="121">
        <v>0</v>
      </c>
      <c r="AK696" s="424">
        <v>12</v>
      </c>
      <c r="AL696">
        <v>0</v>
      </c>
      <c r="AM696" s="121">
        <v>44224</v>
      </c>
      <c r="AN696" s="125">
        <v>0</v>
      </c>
      <c r="AO696" s="125">
        <v>0</v>
      </c>
      <c r="AP696" s="121">
        <v>486991</v>
      </c>
      <c r="AQ696" s="114">
        <v>0</v>
      </c>
      <c r="AR696" s="121">
        <v>31.330764659</v>
      </c>
      <c r="AS696" s="121">
        <v>6156.5936413999998</v>
      </c>
      <c r="AT696" s="121">
        <v>810.82062181000003</v>
      </c>
      <c r="AU696" s="420" t="s">
        <v>2001</v>
      </c>
      <c r="AV696" s="420" t="s">
        <v>2001</v>
      </c>
      <c r="AW696" s="121">
        <v>0</v>
      </c>
      <c r="AX696" s="121">
        <v>0</v>
      </c>
      <c r="BI696">
        <v>0</v>
      </c>
      <c r="BJ696" s="121">
        <v>0</v>
      </c>
      <c r="BK696" s="134">
        <v>47003703</v>
      </c>
      <c r="BL696" s="934">
        <v>4451</v>
      </c>
      <c r="BM696" s="934">
        <v>4455</v>
      </c>
      <c r="BN696" s="934">
        <v>4613</v>
      </c>
      <c r="BO696" s="114">
        <v>0</v>
      </c>
      <c r="BP696" s="114">
        <v>0</v>
      </c>
    </row>
    <row r="697" spans="1:68">
      <c r="A697" t="s">
        <v>3071</v>
      </c>
      <c r="B697" t="s">
        <v>1982</v>
      </c>
      <c r="C697" s="121">
        <v>3613</v>
      </c>
      <c r="D697" s="72">
        <v>2</v>
      </c>
      <c r="E697">
        <v>26.337</v>
      </c>
      <c r="F697">
        <v>15</v>
      </c>
      <c r="G697">
        <v>9</v>
      </c>
      <c r="H697">
        <v>0</v>
      </c>
      <c r="I697" s="173">
        <v>0.9</v>
      </c>
      <c r="J697" s="121">
        <v>21250307</v>
      </c>
      <c r="K697" s="125">
        <v>161.5</v>
      </c>
      <c r="L697" s="173">
        <v>1.165</v>
      </c>
      <c r="M697">
        <v>0.9</v>
      </c>
      <c r="N697">
        <v>0.77666667055000005</v>
      </c>
      <c r="O697">
        <v>12.333332944999997</v>
      </c>
      <c r="P697">
        <v>75</v>
      </c>
      <c r="Q697" s="125">
        <v>0</v>
      </c>
      <c r="R697" s="125">
        <v>0</v>
      </c>
      <c r="S697" s="125">
        <v>0.09</v>
      </c>
      <c r="T697" s="125">
        <v>2.0259999999999998</v>
      </c>
      <c r="U697" s="125">
        <v>0.129</v>
      </c>
      <c r="V697" s="125">
        <v>0</v>
      </c>
      <c r="W697" s="125">
        <v>0</v>
      </c>
      <c r="X697" s="125">
        <v>0</v>
      </c>
      <c r="Y697" s="125">
        <v>0</v>
      </c>
      <c r="Z697" s="125">
        <v>0</v>
      </c>
      <c r="AA697" s="125">
        <v>0.9</v>
      </c>
      <c r="AB697" s="125">
        <v>13</v>
      </c>
      <c r="AC697" s="125">
        <v>70</v>
      </c>
      <c r="AD697" s="125">
        <v>0</v>
      </c>
      <c r="AE697" s="125">
        <v>8.3000000000000007</v>
      </c>
      <c r="AF697" s="125">
        <v>0</v>
      </c>
      <c r="AG697" s="125">
        <v>0</v>
      </c>
      <c r="AH697" s="125">
        <v>0</v>
      </c>
      <c r="AI697" s="121">
        <v>232946</v>
      </c>
      <c r="AJ697" s="121">
        <v>0</v>
      </c>
      <c r="AK697" s="424">
        <v>12</v>
      </c>
      <c r="AL697">
        <v>0</v>
      </c>
      <c r="AM697" s="121">
        <v>16359</v>
      </c>
      <c r="AN697" s="125">
        <v>0</v>
      </c>
      <c r="AO697" s="125">
        <v>0</v>
      </c>
      <c r="AP697" s="121">
        <v>232946</v>
      </c>
      <c r="AQ697" s="114">
        <v>0</v>
      </c>
      <c r="AR697" s="121">
        <v>14.164593958999999</v>
      </c>
      <c r="AS697" s="121">
        <v>2783.387193</v>
      </c>
      <c r="AT697" s="121">
        <v>366.57084517999999</v>
      </c>
      <c r="AU697" s="420" t="s">
        <v>2001</v>
      </c>
      <c r="AV697" s="420" t="s">
        <v>2001</v>
      </c>
      <c r="AW697" s="121">
        <v>0</v>
      </c>
      <c r="AX697" s="121">
        <v>0</v>
      </c>
      <c r="BI697">
        <v>0</v>
      </c>
      <c r="BJ697" s="121">
        <v>0</v>
      </c>
      <c r="BK697" s="134">
        <v>21250307</v>
      </c>
      <c r="BL697" s="934">
        <v>3606</v>
      </c>
      <c r="BM697" s="934">
        <v>3613</v>
      </c>
      <c r="BN697" s="934">
        <v>3431</v>
      </c>
      <c r="BO697" s="114">
        <v>0</v>
      </c>
      <c r="BP697" s="114">
        <v>0</v>
      </c>
    </row>
    <row r="698" spans="1:68">
      <c r="A698" t="s">
        <v>2267</v>
      </c>
      <c r="B698" t="s">
        <v>86</v>
      </c>
      <c r="C698" s="121">
        <v>4306</v>
      </c>
      <c r="D698" s="72">
        <v>2</v>
      </c>
      <c r="E698">
        <v>31.785</v>
      </c>
      <c r="F698">
        <v>15</v>
      </c>
      <c r="G698">
        <v>9</v>
      </c>
      <c r="H698">
        <v>1</v>
      </c>
      <c r="I698" s="173">
        <v>1.04</v>
      </c>
      <c r="J698" s="121">
        <v>16185710</v>
      </c>
      <c r="K698" s="125">
        <v>247.333</v>
      </c>
      <c r="L698" s="173">
        <v>1.2749999999999999</v>
      </c>
      <c r="M698">
        <v>1.04</v>
      </c>
      <c r="N698">
        <v>0.85000000425</v>
      </c>
      <c r="O698">
        <v>18.999999575000004</v>
      </c>
      <c r="P698">
        <v>103.23099999999999</v>
      </c>
      <c r="Q698" s="125">
        <v>0</v>
      </c>
      <c r="R698" s="125">
        <v>0</v>
      </c>
      <c r="S698" s="125">
        <v>4.4999999999999998E-2</v>
      </c>
      <c r="T698" s="125">
        <v>2.1469999999999998</v>
      </c>
      <c r="U698" s="125">
        <v>0</v>
      </c>
      <c r="V698" s="125">
        <v>0</v>
      </c>
      <c r="W698" s="125">
        <v>0.79300000000000004</v>
      </c>
      <c r="X698" s="125">
        <v>0</v>
      </c>
      <c r="Y698" s="125">
        <v>0</v>
      </c>
      <c r="Z698" s="125">
        <v>1.268</v>
      </c>
      <c r="AA698" s="125">
        <v>1.8129999999999999</v>
      </c>
      <c r="AB698" s="125">
        <v>11.638</v>
      </c>
      <c r="AC698" s="125">
        <v>78.5</v>
      </c>
      <c r="AD698" s="125">
        <v>0</v>
      </c>
      <c r="AE698" s="125">
        <v>1.1359999999999999</v>
      </c>
      <c r="AF698" s="125">
        <v>5.1615500000000001</v>
      </c>
      <c r="AG698" s="125">
        <v>0</v>
      </c>
      <c r="AH698" s="125">
        <v>0</v>
      </c>
      <c r="AI698" s="121">
        <v>194423</v>
      </c>
      <c r="AJ698" s="121">
        <v>7415</v>
      </c>
      <c r="AK698" s="424">
        <v>12</v>
      </c>
      <c r="AL698">
        <v>0</v>
      </c>
      <c r="AM698" s="121">
        <v>8176</v>
      </c>
      <c r="AN698" s="125">
        <v>0</v>
      </c>
      <c r="AO698" s="125">
        <v>0</v>
      </c>
      <c r="AP698" s="121">
        <v>201838</v>
      </c>
      <c r="AQ698" s="114">
        <v>0</v>
      </c>
      <c r="AR698" s="121">
        <v>10.788738727</v>
      </c>
      <c r="AS698" s="121">
        <v>2120.0210388999999</v>
      </c>
      <c r="AT698" s="121">
        <v>279.20582015999997</v>
      </c>
      <c r="AU698" s="420" t="s">
        <v>2001</v>
      </c>
      <c r="AV698" s="420" t="s">
        <v>2001</v>
      </c>
      <c r="AW698" s="121">
        <v>0</v>
      </c>
      <c r="AX698" s="121">
        <v>70992</v>
      </c>
      <c r="BI698">
        <v>0</v>
      </c>
      <c r="BJ698" s="121">
        <v>0</v>
      </c>
      <c r="BK698" s="134">
        <v>16185710</v>
      </c>
      <c r="BL698" s="934">
        <v>4270</v>
      </c>
      <c r="BM698" s="934">
        <v>4306</v>
      </c>
      <c r="BN698" s="934">
        <v>4299</v>
      </c>
      <c r="BO698" s="114">
        <v>0</v>
      </c>
      <c r="BP698" s="114">
        <v>0</v>
      </c>
    </row>
    <row r="699" spans="1:68">
      <c r="A699" t="s">
        <v>3072</v>
      </c>
      <c r="B699" t="s">
        <v>1983</v>
      </c>
      <c r="C699" s="121">
        <v>4635</v>
      </c>
      <c r="D699" s="72">
        <v>2</v>
      </c>
      <c r="E699">
        <v>262.20499999999998</v>
      </c>
      <c r="F699">
        <v>100</v>
      </c>
      <c r="G699">
        <v>100</v>
      </c>
      <c r="H699">
        <v>3</v>
      </c>
      <c r="I699" s="173">
        <v>1.17</v>
      </c>
      <c r="J699" s="121">
        <v>245002184</v>
      </c>
      <c r="K699" s="125">
        <v>1634.096</v>
      </c>
      <c r="L699" s="173">
        <v>1.5</v>
      </c>
      <c r="M699">
        <v>1.17</v>
      </c>
      <c r="N699">
        <v>1.000000005</v>
      </c>
      <c r="O699">
        <v>16.999999499999994</v>
      </c>
      <c r="P699">
        <v>920.00599999999997</v>
      </c>
      <c r="Q699" s="125">
        <v>2.5999999999999999E-2</v>
      </c>
      <c r="R699" s="125">
        <v>0</v>
      </c>
      <c r="S699" s="125">
        <v>1.4550000000000001</v>
      </c>
      <c r="T699" s="125">
        <v>31.097000000000001</v>
      </c>
      <c r="U699" s="125">
        <v>8.1539999999999999</v>
      </c>
      <c r="V699" s="125">
        <v>0</v>
      </c>
      <c r="W699" s="125">
        <v>0.82399999999999995</v>
      </c>
      <c r="X699" s="125">
        <v>0</v>
      </c>
      <c r="Y699" s="125">
        <v>0</v>
      </c>
      <c r="Z699" s="125">
        <v>0</v>
      </c>
      <c r="AA699" s="125">
        <v>19.16</v>
      </c>
      <c r="AB699" s="125">
        <v>66.108999999999995</v>
      </c>
      <c r="AC699" s="125">
        <v>758.6</v>
      </c>
      <c r="AD699" s="125">
        <v>1.288</v>
      </c>
      <c r="AE699" s="125">
        <v>25.074000000000002</v>
      </c>
      <c r="AF699" s="125">
        <v>46</v>
      </c>
      <c r="AG699" s="125">
        <v>0</v>
      </c>
      <c r="AH699" s="125">
        <v>0</v>
      </c>
      <c r="AI699" s="121">
        <v>2897353</v>
      </c>
      <c r="AJ699" s="121">
        <v>0</v>
      </c>
      <c r="AK699" s="424">
        <v>12</v>
      </c>
      <c r="AL699">
        <v>0</v>
      </c>
      <c r="AM699" s="121">
        <v>32914</v>
      </c>
      <c r="AN699" s="125">
        <v>0</v>
      </c>
      <c r="AO699" s="125">
        <v>0</v>
      </c>
      <c r="AP699" s="121">
        <v>2897353</v>
      </c>
      <c r="AQ699" s="114">
        <v>0</v>
      </c>
      <c r="AR699" s="121">
        <v>163.30853293999999</v>
      </c>
      <c r="AS699" s="121">
        <v>32090.63955</v>
      </c>
      <c r="AT699" s="121">
        <v>4226.3228386000001</v>
      </c>
      <c r="AU699" s="420" t="s">
        <v>2001</v>
      </c>
      <c r="AV699" s="420" t="s">
        <v>2001</v>
      </c>
      <c r="AW699" s="121">
        <v>0</v>
      </c>
      <c r="AX699" s="121">
        <v>0</v>
      </c>
      <c r="BI699">
        <v>0</v>
      </c>
      <c r="BJ699" s="121">
        <v>0</v>
      </c>
      <c r="BK699" s="134">
        <v>238227057</v>
      </c>
      <c r="BL699" s="934">
        <v>4495</v>
      </c>
      <c r="BM699" s="934">
        <v>4635</v>
      </c>
      <c r="BN699" s="934">
        <v>4558</v>
      </c>
      <c r="BO699" s="114">
        <v>0</v>
      </c>
      <c r="BP699" s="114">
        <v>0</v>
      </c>
    </row>
    <row r="700" spans="1:68">
      <c r="A700" t="s">
        <v>3073</v>
      </c>
      <c r="B700" t="s">
        <v>1984</v>
      </c>
      <c r="C700" s="121">
        <v>4611</v>
      </c>
      <c r="D700" s="72">
        <v>2</v>
      </c>
      <c r="E700">
        <v>56.064999999999998</v>
      </c>
      <c r="F700">
        <v>21</v>
      </c>
      <c r="G700">
        <v>13</v>
      </c>
      <c r="H700">
        <v>0</v>
      </c>
      <c r="I700" s="173">
        <v>1.17</v>
      </c>
      <c r="J700" s="121">
        <v>28502882</v>
      </c>
      <c r="K700" s="125">
        <v>268.89699999999999</v>
      </c>
      <c r="L700" s="173">
        <v>1.5</v>
      </c>
      <c r="M700">
        <v>1.17</v>
      </c>
      <c r="N700">
        <v>1.000000005</v>
      </c>
      <c r="O700">
        <v>16.999999499999994</v>
      </c>
      <c r="P700">
        <v>145</v>
      </c>
      <c r="Q700" s="125">
        <v>0</v>
      </c>
      <c r="R700" s="125">
        <v>0</v>
      </c>
      <c r="S700" s="125">
        <v>4.2000000000000003E-2</v>
      </c>
      <c r="T700" s="125">
        <v>1.8</v>
      </c>
      <c r="U700" s="125">
        <v>0.25</v>
      </c>
      <c r="V700" s="125">
        <v>0</v>
      </c>
      <c r="W700" s="125">
        <v>0</v>
      </c>
      <c r="X700" s="125">
        <v>0</v>
      </c>
      <c r="Y700" s="125">
        <v>0</v>
      </c>
      <c r="Z700" s="125">
        <v>0</v>
      </c>
      <c r="AA700" s="125">
        <v>15</v>
      </c>
      <c r="AB700" s="125">
        <v>12</v>
      </c>
      <c r="AC700" s="125">
        <v>105</v>
      </c>
      <c r="AD700" s="125">
        <v>0.2</v>
      </c>
      <c r="AE700" s="125">
        <v>3.5</v>
      </c>
      <c r="AF700" s="125">
        <v>6.5</v>
      </c>
      <c r="AG700" s="125">
        <v>0</v>
      </c>
      <c r="AH700" s="125">
        <v>0</v>
      </c>
      <c r="AI700" s="121">
        <v>325614</v>
      </c>
      <c r="AJ700" s="121">
        <v>0</v>
      </c>
      <c r="AK700" s="424">
        <v>12</v>
      </c>
      <c r="AL700">
        <v>0</v>
      </c>
      <c r="AM700" s="121">
        <v>26561</v>
      </c>
      <c r="AN700" s="125">
        <v>0</v>
      </c>
      <c r="AO700" s="125">
        <v>0</v>
      </c>
      <c r="AP700" s="121">
        <v>325614</v>
      </c>
      <c r="AQ700" s="114">
        <v>0</v>
      </c>
      <c r="AR700" s="121">
        <v>18.998866465999999</v>
      </c>
      <c r="AS700" s="121">
        <v>3733.3369213999999</v>
      </c>
      <c r="AT700" s="121">
        <v>491.67879843999998</v>
      </c>
      <c r="AU700" s="420" t="s">
        <v>2001</v>
      </c>
      <c r="AV700" s="420" t="s">
        <v>2001</v>
      </c>
      <c r="AW700" s="121">
        <v>0</v>
      </c>
      <c r="AX700" s="121">
        <v>0</v>
      </c>
      <c r="BI700">
        <v>0</v>
      </c>
      <c r="BJ700" s="121">
        <v>0</v>
      </c>
      <c r="BK700" s="134">
        <v>27899980</v>
      </c>
      <c r="BL700" s="934">
        <v>4535</v>
      </c>
      <c r="BM700" s="934">
        <v>4611</v>
      </c>
      <c r="BN700" s="934">
        <v>4611</v>
      </c>
      <c r="BO700" s="114">
        <v>0</v>
      </c>
      <c r="BP700" s="114">
        <v>0</v>
      </c>
    </row>
    <row r="701" spans="1:68">
      <c r="A701" t="s">
        <v>1676</v>
      </c>
      <c r="B701" t="s">
        <v>1985</v>
      </c>
      <c r="C701" s="121">
        <v>12725</v>
      </c>
      <c r="D701" s="72">
        <v>2</v>
      </c>
      <c r="E701">
        <v>45.005000000000003</v>
      </c>
      <c r="F701">
        <v>23</v>
      </c>
      <c r="G701">
        <v>17</v>
      </c>
      <c r="H701">
        <v>0</v>
      </c>
      <c r="I701" s="173">
        <v>1</v>
      </c>
      <c r="J701" s="121">
        <v>364927541</v>
      </c>
      <c r="K701" s="125">
        <v>329.88099999999997</v>
      </c>
      <c r="L701" s="173">
        <v>1.4</v>
      </c>
      <c r="M701">
        <v>1</v>
      </c>
      <c r="N701">
        <v>0.93333333799999996</v>
      </c>
      <c r="O701">
        <v>6.6666662000000043</v>
      </c>
      <c r="P701">
        <v>197.559</v>
      </c>
      <c r="Q701" s="125">
        <v>0</v>
      </c>
      <c r="R701" s="125">
        <v>0</v>
      </c>
      <c r="S701" s="125">
        <v>0.35099999999999998</v>
      </c>
      <c r="T701" s="125">
        <v>3.53</v>
      </c>
      <c r="U701" s="125">
        <v>0</v>
      </c>
      <c r="V701" s="125">
        <v>0</v>
      </c>
      <c r="W701" s="125">
        <v>0</v>
      </c>
      <c r="X701" s="125">
        <v>0</v>
      </c>
      <c r="Y701" s="125">
        <v>0</v>
      </c>
      <c r="Z701" s="125">
        <v>0</v>
      </c>
      <c r="AA701" s="125">
        <v>5.78</v>
      </c>
      <c r="AB701" s="125">
        <v>9.09</v>
      </c>
      <c r="AC701" s="125">
        <v>101</v>
      </c>
      <c r="AD701" s="125">
        <v>0</v>
      </c>
      <c r="AE701" s="125">
        <v>0</v>
      </c>
      <c r="AF701" s="125">
        <v>9.8779500000000002</v>
      </c>
      <c r="AG701" s="125">
        <v>0</v>
      </c>
      <c r="AH701" s="125">
        <v>0</v>
      </c>
      <c r="AI701" s="121">
        <v>3358021</v>
      </c>
      <c r="AJ701" s="121">
        <v>0</v>
      </c>
      <c r="AK701" s="424">
        <v>12</v>
      </c>
      <c r="AL701">
        <v>0</v>
      </c>
      <c r="AM701" s="121">
        <v>13951</v>
      </c>
      <c r="AN701" s="125">
        <v>0</v>
      </c>
      <c r="AO701" s="125">
        <v>0</v>
      </c>
      <c r="AP701" s="121">
        <v>3358021</v>
      </c>
      <c r="AQ701" s="114">
        <v>0</v>
      </c>
      <c r="AR701" s="121">
        <v>0</v>
      </c>
      <c r="AS701" s="121">
        <v>0</v>
      </c>
      <c r="AT701" s="121">
        <v>0</v>
      </c>
      <c r="AU701" s="420" t="s">
        <v>798</v>
      </c>
      <c r="AV701" s="420" t="s">
        <v>2001</v>
      </c>
      <c r="AW701" s="121">
        <v>0</v>
      </c>
      <c r="AX701" s="121">
        <v>0</v>
      </c>
      <c r="AY701" s="134">
        <v>1008659</v>
      </c>
      <c r="AZ701" s="134">
        <v>546232</v>
      </c>
      <c r="BA701" s="114">
        <v>193</v>
      </c>
      <c r="BB701" s="134">
        <v>177538470</v>
      </c>
      <c r="BC701" s="114">
        <v>0</v>
      </c>
      <c r="BD701" s="114">
        <v>0</v>
      </c>
      <c r="BE701" s="114">
        <v>0</v>
      </c>
      <c r="BF701" s="114">
        <v>212</v>
      </c>
      <c r="BG701" s="114">
        <v>0</v>
      </c>
      <c r="BH701" s="114">
        <v>0</v>
      </c>
      <c r="BI701">
        <v>0</v>
      </c>
      <c r="BJ701" s="121">
        <v>0</v>
      </c>
      <c r="BK701" s="134">
        <v>319811540</v>
      </c>
      <c r="BL701" s="934">
        <v>10135</v>
      </c>
      <c r="BM701" s="934">
        <v>12725</v>
      </c>
      <c r="BN701" s="934">
        <v>10034</v>
      </c>
      <c r="BO701" s="114">
        <v>0</v>
      </c>
      <c r="BP701" s="114">
        <v>0</v>
      </c>
    </row>
    <row r="702" spans="1:68">
      <c r="A702" t="s">
        <v>1494</v>
      </c>
      <c r="B702" t="s">
        <v>1542</v>
      </c>
      <c r="C702" s="121">
        <v>5091</v>
      </c>
      <c r="D702" s="72">
        <v>1</v>
      </c>
      <c r="E702">
        <v>396.92399999999998</v>
      </c>
      <c r="F702">
        <v>136</v>
      </c>
      <c r="G702">
        <v>89</v>
      </c>
      <c r="H702">
        <v>13</v>
      </c>
      <c r="I702" s="173">
        <v>1.02</v>
      </c>
      <c r="J702" s="121">
        <v>471762720</v>
      </c>
      <c r="K702" s="125">
        <v>2044.239</v>
      </c>
      <c r="L702" s="173">
        <v>1.48</v>
      </c>
      <c r="M702">
        <v>1.02</v>
      </c>
      <c r="N702">
        <v>0.98666667159999999</v>
      </c>
      <c r="O702">
        <v>3.3333328400000029</v>
      </c>
      <c r="P702">
        <v>1431.7829999999999</v>
      </c>
      <c r="Q702" s="125">
        <v>0.29199999999999998</v>
      </c>
      <c r="R702" s="125">
        <v>0</v>
      </c>
      <c r="S702" s="125">
        <v>1.78</v>
      </c>
      <c r="T702" s="125">
        <v>33.296999999999997</v>
      </c>
      <c r="U702" s="125">
        <v>15.353</v>
      </c>
      <c r="V702" s="125">
        <v>0</v>
      </c>
      <c r="W702" s="125">
        <v>14.712</v>
      </c>
      <c r="X702" s="125">
        <v>0</v>
      </c>
      <c r="Y702" s="125">
        <v>0</v>
      </c>
      <c r="Z702" s="125">
        <v>0.16800000000000001</v>
      </c>
      <c r="AA702" s="125">
        <v>48.72</v>
      </c>
      <c r="AB702" s="125">
        <v>58.432000000000002</v>
      </c>
      <c r="AC702" s="125">
        <v>890.2</v>
      </c>
      <c r="AD702" s="125">
        <v>1.6419999999999999</v>
      </c>
      <c r="AE702" s="125">
        <v>44.465000000000003</v>
      </c>
      <c r="AF702" s="125">
        <v>71.588999999999999</v>
      </c>
      <c r="AG702" s="125">
        <v>0</v>
      </c>
      <c r="AH702" s="125">
        <v>0</v>
      </c>
      <c r="AI702" s="121">
        <v>5052579</v>
      </c>
      <c r="AJ702" s="121">
        <v>0</v>
      </c>
      <c r="AK702" s="424">
        <v>12</v>
      </c>
      <c r="AL702">
        <v>0</v>
      </c>
      <c r="AM702" s="121">
        <v>129038</v>
      </c>
      <c r="AN702" s="125">
        <v>1</v>
      </c>
      <c r="AO702" s="125">
        <v>0</v>
      </c>
      <c r="AP702" s="121">
        <v>5052579</v>
      </c>
      <c r="AQ702" s="114">
        <v>0</v>
      </c>
      <c r="AR702" s="121">
        <v>314.45792165</v>
      </c>
      <c r="AS702" s="121">
        <v>61791.969075000001</v>
      </c>
      <c r="AT702" s="121">
        <v>8137.9746181999999</v>
      </c>
      <c r="AU702" s="420" t="s">
        <v>2001</v>
      </c>
      <c r="AV702" s="420" t="s">
        <v>2001</v>
      </c>
      <c r="AW702" s="121">
        <v>0</v>
      </c>
      <c r="AX702" s="121">
        <v>593758</v>
      </c>
      <c r="BI702">
        <v>0</v>
      </c>
      <c r="BJ702" s="121">
        <v>0</v>
      </c>
      <c r="BK702" s="134">
        <v>471762720</v>
      </c>
      <c r="BL702" s="934">
        <v>5091</v>
      </c>
      <c r="BM702" s="934">
        <v>4784</v>
      </c>
      <c r="BN702" s="934">
        <v>4829</v>
      </c>
      <c r="BO702" s="114">
        <v>0</v>
      </c>
      <c r="BP702" s="114">
        <v>0</v>
      </c>
    </row>
    <row r="703" spans="1:68">
      <c r="A703" t="s">
        <v>1612</v>
      </c>
      <c r="B703" t="s">
        <v>1543</v>
      </c>
      <c r="C703" s="121">
        <v>4686</v>
      </c>
      <c r="D703" s="72">
        <v>1</v>
      </c>
      <c r="E703">
        <v>239.48500000000001</v>
      </c>
      <c r="F703">
        <v>83</v>
      </c>
      <c r="G703">
        <v>72</v>
      </c>
      <c r="H703">
        <v>17</v>
      </c>
      <c r="I703" s="173">
        <v>1.04</v>
      </c>
      <c r="J703" s="121">
        <v>158059075</v>
      </c>
      <c r="K703" s="125">
        <v>1388.35</v>
      </c>
      <c r="L703" s="173">
        <v>1.5</v>
      </c>
      <c r="M703">
        <v>1.04</v>
      </c>
      <c r="N703">
        <v>1.000000005</v>
      </c>
      <c r="O703">
        <v>3.9999995000000066</v>
      </c>
      <c r="P703">
        <v>854.50199999999995</v>
      </c>
      <c r="Q703" s="125">
        <v>0.109</v>
      </c>
      <c r="R703" s="125">
        <v>0</v>
      </c>
      <c r="S703" s="125">
        <v>1.028</v>
      </c>
      <c r="T703" s="125">
        <v>43.209000000000003</v>
      </c>
      <c r="U703" s="125">
        <v>5.8810000000000002</v>
      </c>
      <c r="V703" s="125">
        <v>0.69499999999999995</v>
      </c>
      <c r="W703" s="125">
        <v>7.9880000000000004</v>
      </c>
      <c r="X703" s="125">
        <v>0</v>
      </c>
      <c r="Y703" s="125">
        <v>0</v>
      </c>
      <c r="Z703" s="125">
        <v>1.4430000000000001</v>
      </c>
      <c r="AA703" s="125">
        <v>18.673999999999999</v>
      </c>
      <c r="AB703" s="125">
        <v>34.686999999999998</v>
      </c>
      <c r="AC703" s="125">
        <v>521.20000000000005</v>
      </c>
      <c r="AD703" s="125">
        <v>6.4000000000000001E-2</v>
      </c>
      <c r="AE703" s="125">
        <v>80.542000000000002</v>
      </c>
      <c r="AF703" s="125">
        <v>42.725000000000001</v>
      </c>
      <c r="AG703" s="125">
        <v>0</v>
      </c>
      <c r="AH703" s="125">
        <v>0</v>
      </c>
      <c r="AI703" s="121">
        <v>1726005</v>
      </c>
      <c r="AJ703" s="121">
        <v>0</v>
      </c>
      <c r="AK703" s="424">
        <v>12</v>
      </c>
      <c r="AL703">
        <v>0</v>
      </c>
      <c r="AM703" s="121">
        <v>64705</v>
      </c>
      <c r="AN703" s="125">
        <v>0</v>
      </c>
      <c r="AO703" s="125">
        <v>0</v>
      </c>
      <c r="AP703" s="121">
        <v>1726005</v>
      </c>
      <c r="AQ703" s="114">
        <v>0</v>
      </c>
      <c r="AR703" s="121">
        <v>105.35577763000001</v>
      </c>
      <c r="AS703" s="121">
        <v>20702.741146</v>
      </c>
      <c r="AT703" s="121">
        <v>2726.5417253000001</v>
      </c>
      <c r="AU703" s="420" t="s">
        <v>2001</v>
      </c>
      <c r="AV703" s="420" t="s">
        <v>2001</v>
      </c>
      <c r="AW703" s="121">
        <v>0</v>
      </c>
      <c r="AX703" s="121">
        <v>0</v>
      </c>
      <c r="BI703">
        <v>0</v>
      </c>
      <c r="BJ703" s="121">
        <v>0</v>
      </c>
      <c r="BK703" s="134">
        <v>158059075</v>
      </c>
      <c r="BL703" s="934">
        <v>4686</v>
      </c>
      <c r="BM703" s="934">
        <v>4658</v>
      </c>
      <c r="BN703" s="934">
        <v>4658</v>
      </c>
      <c r="BO703" s="114">
        <v>0</v>
      </c>
      <c r="BP703" s="114">
        <v>0</v>
      </c>
    </row>
    <row r="704" spans="1:68">
      <c r="A704" t="s">
        <v>910</v>
      </c>
      <c r="B704" t="s">
        <v>1544</v>
      </c>
      <c r="C704" s="121">
        <v>4901</v>
      </c>
      <c r="D704" s="72">
        <v>1</v>
      </c>
      <c r="E704">
        <v>50.473999999999997</v>
      </c>
      <c r="F704">
        <v>15</v>
      </c>
      <c r="G704">
        <v>9</v>
      </c>
      <c r="H704">
        <v>2</v>
      </c>
      <c r="I704" s="173">
        <v>1.04</v>
      </c>
      <c r="J704" s="121">
        <v>59069124</v>
      </c>
      <c r="K704" s="125">
        <v>290.59800000000001</v>
      </c>
      <c r="L704" s="173">
        <v>1.5</v>
      </c>
      <c r="M704">
        <v>1.04</v>
      </c>
      <c r="N704">
        <v>1.000000005</v>
      </c>
      <c r="O704">
        <v>3.9999995000000066</v>
      </c>
      <c r="P704">
        <v>163.17500000000001</v>
      </c>
      <c r="Q704" s="125">
        <v>0</v>
      </c>
      <c r="R704" s="125">
        <v>0</v>
      </c>
      <c r="S704" s="125">
        <v>0.156</v>
      </c>
      <c r="T704" s="125">
        <v>6.6950000000000003</v>
      </c>
      <c r="U704" s="125">
        <v>0</v>
      </c>
      <c r="V704" s="125">
        <v>0.77400000000000002</v>
      </c>
      <c r="W704" s="125">
        <v>1.9279999999999999</v>
      </c>
      <c r="X704" s="125">
        <v>0</v>
      </c>
      <c r="Y704" s="125">
        <v>0</v>
      </c>
      <c r="Z704" s="125">
        <v>0</v>
      </c>
      <c r="AA704" s="125">
        <v>5.1079999999999997</v>
      </c>
      <c r="AB704" s="125">
        <v>15.316000000000001</v>
      </c>
      <c r="AC704" s="125">
        <v>73.599999999999994</v>
      </c>
      <c r="AD704" s="125">
        <v>0</v>
      </c>
      <c r="AE704" s="125">
        <v>0</v>
      </c>
      <c r="AF704" s="125">
        <v>8.1587499999999995</v>
      </c>
      <c r="AG704" s="125">
        <v>0</v>
      </c>
      <c r="AH704" s="125">
        <v>0</v>
      </c>
      <c r="AI704" s="121">
        <v>606998</v>
      </c>
      <c r="AJ704" s="121">
        <v>111091</v>
      </c>
      <c r="AK704" s="424">
        <v>12</v>
      </c>
      <c r="AL704">
        <v>0</v>
      </c>
      <c r="AM704" s="121">
        <v>23542</v>
      </c>
      <c r="AN704" s="125">
        <v>0</v>
      </c>
      <c r="AO704" s="125">
        <v>0</v>
      </c>
      <c r="AP704" s="121">
        <v>718089</v>
      </c>
      <c r="AQ704" s="114">
        <v>0</v>
      </c>
      <c r="AR704" s="121">
        <v>39.373085709000001</v>
      </c>
      <c r="AS704" s="121">
        <v>7736.9349825999998</v>
      </c>
      <c r="AT704" s="121">
        <v>1018.9508678</v>
      </c>
      <c r="AU704" s="420" t="s">
        <v>2001</v>
      </c>
      <c r="AV704" s="420" t="s">
        <v>2001</v>
      </c>
      <c r="AW704" s="121">
        <v>0</v>
      </c>
      <c r="AX704" s="121">
        <v>95715</v>
      </c>
      <c r="BI704">
        <v>0</v>
      </c>
      <c r="BJ704" s="121">
        <v>0</v>
      </c>
      <c r="BK704" s="134">
        <v>55585911</v>
      </c>
      <c r="BL704" s="934">
        <v>4901</v>
      </c>
      <c r="BM704" s="934">
        <v>4875</v>
      </c>
      <c r="BN704" s="934">
        <v>4875</v>
      </c>
      <c r="BO704" s="114">
        <v>0</v>
      </c>
      <c r="BP704" s="114">
        <v>0</v>
      </c>
    </row>
    <row r="705" spans="1:68">
      <c r="A705" t="s">
        <v>1685</v>
      </c>
      <c r="B705" t="s">
        <v>2564</v>
      </c>
      <c r="C705" s="121">
        <v>4606</v>
      </c>
      <c r="D705" s="72">
        <v>3</v>
      </c>
      <c r="E705">
        <v>0</v>
      </c>
      <c r="F705">
        <v>9</v>
      </c>
      <c r="G705">
        <v>4</v>
      </c>
      <c r="H705">
        <v>1</v>
      </c>
      <c r="I705" s="173">
        <v>1.04</v>
      </c>
      <c r="J705" s="121">
        <v>23526774</v>
      </c>
      <c r="K705" s="125">
        <v>160.846</v>
      </c>
      <c r="L705" s="173">
        <v>1.3</v>
      </c>
      <c r="M705">
        <v>1.04</v>
      </c>
      <c r="N705">
        <v>0.86666667100000006</v>
      </c>
      <c r="O705">
        <v>17.333332899999998</v>
      </c>
      <c r="P705">
        <v>94.724999999999994</v>
      </c>
      <c r="Q705" s="125">
        <v>0</v>
      </c>
      <c r="R705" s="125">
        <v>0</v>
      </c>
      <c r="S705" s="125">
        <v>0.1</v>
      </c>
      <c r="T705" s="125">
        <v>2.0939999999999999</v>
      </c>
      <c r="U705" s="125">
        <v>1.07</v>
      </c>
      <c r="V705" s="125">
        <v>0</v>
      </c>
      <c r="W705" s="125">
        <v>0</v>
      </c>
      <c r="X705" s="125">
        <v>0</v>
      </c>
      <c r="Y705" s="125">
        <v>0</v>
      </c>
      <c r="Z705" s="125">
        <v>0</v>
      </c>
      <c r="AA705" s="125">
        <v>1.181</v>
      </c>
      <c r="AB705" s="125">
        <v>0</v>
      </c>
      <c r="AC705" s="125">
        <v>51.2</v>
      </c>
      <c r="AD705" s="125">
        <v>0</v>
      </c>
      <c r="AE705" s="125">
        <v>4.0620000000000003</v>
      </c>
      <c r="AF705" s="125">
        <v>4.7359999999999998</v>
      </c>
      <c r="AG705" s="125">
        <v>0</v>
      </c>
      <c r="AH705" s="125">
        <v>0</v>
      </c>
      <c r="AI705" s="121">
        <v>254343</v>
      </c>
      <c r="AJ705" s="121">
        <v>0</v>
      </c>
      <c r="AK705" s="424">
        <v>8</v>
      </c>
      <c r="AL705">
        <v>0</v>
      </c>
      <c r="AM705" s="121">
        <v>3226</v>
      </c>
      <c r="AN705" s="125">
        <v>0</v>
      </c>
      <c r="AO705" s="125">
        <v>0</v>
      </c>
      <c r="AP705" s="121">
        <v>254343</v>
      </c>
      <c r="AQ705" s="114">
        <v>0</v>
      </c>
      <c r="AR705" s="121">
        <v>15.681994659000001</v>
      </c>
      <c r="AS705" s="121">
        <v>3081.5611954999999</v>
      </c>
      <c r="AT705" s="121">
        <v>405.84022761</v>
      </c>
      <c r="AU705" s="420" t="s">
        <v>2001</v>
      </c>
      <c r="AV705" s="420" t="s">
        <v>2001</v>
      </c>
      <c r="AW705" s="121">
        <v>0</v>
      </c>
      <c r="AX705" s="121">
        <v>0</v>
      </c>
      <c r="BI705">
        <v>0</v>
      </c>
      <c r="BJ705" s="121">
        <v>0</v>
      </c>
      <c r="BK705" s="134">
        <v>23526774</v>
      </c>
      <c r="BL705" s="934">
        <v>4536</v>
      </c>
      <c r="BM705" s="934">
        <v>4255</v>
      </c>
      <c r="BN705" s="934">
        <v>4606</v>
      </c>
      <c r="BO705" s="114">
        <v>0</v>
      </c>
      <c r="BP705" s="114">
        <v>0</v>
      </c>
    </row>
    <row r="706" spans="1:68">
      <c r="A706" t="s">
        <v>1686</v>
      </c>
      <c r="B706" t="s">
        <v>2565</v>
      </c>
      <c r="C706" s="121">
        <v>6287</v>
      </c>
      <c r="D706" s="72">
        <v>2</v>
      </c>
      <c r="E706">
        <v>30.375</v>
      </c>
      <c r="F706">
        <v>16</v>
      </c>
      <c r="G706">
        <v>11</v>
      </c>
      <c r="H706">
        <v>0</v>
      </c>
      <c r="I706" s="173">
        <v>1.04</v>
      </c>
      <c r="J706" s="121">
        <v>104741061</v>
      </c>
      <c r="K706" s="125">
        <v>266.25</v>
      </c>
      <c r="L706" s="173">
        <v>1.5</v>
      </c>
      <c r="M706">
        <v>1.04</v>
      </c>
      <c r="N706">
        <v>1.000000005</v>
      </c>
      <c r="O706">
        <v>3.9999995000000066</v>
      </c>
      <c r="P706">
        <v>128.00299999999999</v>
      </c>
      <c r="Q706" s="125">
        <v>0</v>
      </c>
      <c r="R706" s="125">
        <v>0</v>
      </c>
      <c r="S706" s="125">
        <v>0.14899999999999999</v>
      </c>
      <c r="T706" s="125">
        <v>8.3190000000000008</v>
      </c>
      <c r="U706" s="125">
        <v>0</v>
      </c>
      <c r="V706" s="125">
        <v>0.73399999999999999</v>
      </c>
      <c r="W706" s="125">
        <v>0.53800000000000003</v>
      </c>
      <c r="X706" s="125">
        <v>0</v>
      </c>
      <c r="Y706" s="125">
        <v>0</v>
      </c>
      <c r="Z706" s="125">
        <v>0.46100000000000002</v>
      </c>
      <c r="AA706" s="125">
        <v>7.1749999999999998</v>
      </c>
      <c r="AB706" s="125">
        <v>5.3449999999999998</v>
      </c>
      <c r="AC706" s="125">
        <v>68.3</v>
      </c>
      <c r="AD706" s="125">
        <v>0</v>
      </c>
      <c r="AE706" s="125">
        <v>3.3769999999999998</v>
      </c>
      <c r="AF706" s="125">
        <v>6.4</v>
      </c>
      <c r="AG706" s="125">
        <v>0</v>
      </c>
      <c r="AH706" s="125">
        <v>0</v>
      </c>
      <c r="AI706" s="121">
        <v>1063708</v>
      </c>
      <c r="AJ706" s="121">
        <v>0</v>
      </c>
      <c r="AK706" s="424">
        <v>12</v>
      </c>
      <c r="AL706">
        <v>0</v>
      </c>
      <c r="AM706" s="121">
        <v>27169</v>
      </c>
      <c r="AN706" s="125">
        <v>0</v>
      </c>
      <c r="AO706" s="125">
        <v>0</v>
      </c>
      <c r="AP706" s="121">
        <v>1063708</v>
      </c>
      <c r="AQ706" s="114">
        <v>0</v>
      </c>
      <c r="AR706" s="121">
        <v>0</v>
      </c>
      <c r="AS706" s="121">
        <v>0</v>
      </c>
      <c r="AT706" s="121">
        <v>0</v>
      </c>
      <c r="AU706" s="420" t="s">
        <v>798</v>
      </c>
      <c r="AV706" s="420" t="s">
        <v>2001</v>
      </c>
      <c r="AW706" s="121">
        <v>0</v>
      </c>
      <c r="AX706" s="121">
        <v>0</v>
      </c>
      <c r="AY706" s="134">
        <v>101626</v>
      </c>
      <c r="AZ706" s="134">
        <v>599035</v>
      </c>
      <c r="BA706" s="114">
        <v>186</v>
      </c>
      <c r="BB706" s="134">
        <v>31812935</v>
      </c>
      <c r="BC706" s="114">
        <v>0</v>
      </c>
      <c r="BD706" s="114">
        <v>0</v>
      </c>
      <c r="BE706" s="114">
        <v>0</v>
      </c>
      <c r="BF706" s="114">
        <v>132</v>
      </c>
      <c r="BG706" s="114">
        <v>0</v>
      </c>
      <c r="BH706" s="114">
        <v>0</v>
      </c>
      <c r="BI706">
        <v>0</v>
      </c>
      <c r="BJ706" s="121">
        <v>0</v>
      </c>
      <c r="BK706" s="134">
        <v>104741061</v>
      </c>
      <c r="BL706" s="934">
        <v>5254</v>
      </c>
      <c r="BM706" s="934">
        <v>6287</v>
      </c>
      <c r="BN706" s="934">
        <v>5878</v>
      </c>
      <c r="BO706" s="114">
        <v>0</v>
      </c>
      <c r="BP706" s="114">
        <v>0</v>
      </c>
    </row>
    <row r="707" spans="1:68">
      <c r="A707" t="s">
        <v>1445</v>
      </c>
      <c r="B707" t="s">
        <v>2566</v>
      </c>
      <c r="C707" s="121">
        <v>4931</v>
      </c>
      <c r="D707" s="72">
        <v>2</v>
      </c>
      <c r="E707">
        <v>45.232999999999997</v>
      </c>
      <c r="F707">
        <v>16</v>
      </c>
      <c r="G707">
        <v>9</v>
      </c>
      <c r="H707">
        <v>3</v>
      </c>
      <c r="I707" s="173">
        <v>1.04</v>
      </c>
      <c r="J707" s="121">
        <v>48264216</v>
      </c>
      <c r="K707" s="125">
        <v>305.66399999999999</v>
      </c>
      <c r="L707" s="173">
        <v>1.5</v>
      </c>
      <c r="M707">
        <v>1.04</v>
      </c>
      <c r="N707">
        <v>1.000000005</v>
      </c>
      <c r="O707">
        <v>3.9999995000000066</v>
      </c>
      <c r="P707">
        <v>176</v>
      </c>
      <c r="Q707" s="125">
        <v>0.224</v>
      </c>
      <c r="R707" s="125">
        <v>0</v>
      </c>
      <c r="S707" s="125">
        <v>0.11799999999999999</v>
      </c>
      <c r="T707" s="125">
        <v>1.2</v>
      </c>
      <c r="U707" s="125">
        <v>2.4E-2</v>
      </c>
      <c r="V707" s="125">
        <v>0</v>
      </c>
      <c r="W707" s="125">
        <v>0</v>
      </c>
      <c r="X707" s="125">
        <v>0</v>
      </c>
      <c r="Y707" s="125">
        <v>0</v>
      </c>
      <c r="Z707" s="125">
        <v>0</v>
      </c>
      <c r="AA707" s="125">
        <v>17.8</v>
      </c>
      <c r="AB707" s="125">
        <v>6.8</v>
      </c>
      <c r="AC707" s="125">
        <v>88.1</v>
      </c>
      <c r="AD707" s="125">
        <v>0</v>
      </c>
      <c r="AE707" s="125">
        <v>0</v>
      </c>
      <c r="AF707" s="125">
        <v>8.4</v>
      </c>
      <c r="AG707" s="125">
        <v>0</v>
      </c>
      <c r="AH707" s="125">
        <v>0</v>
      </c>
      <c r="AI707" s="121">
        <v>521775</v>
      </c>
      <c r="AJ707" s="121">
        <v>43239</v>
      </c>
      <c r="AK707" s="424">
        <v>12</v>
      </c>
      <c r="AL707">
        <v>0</v>
      </c>
      <c r="AM707" s="121">
        <v>35210</v>
      </c>
      <c r="AN707" s="125">
        <v>0</v>
      </c>
      <c r="AO707" s="125">
        <v>0</v>
      </c>
      <c r="AP707" s="121">
        <v>565014</v>
      </c>
      <c r="AQ707" s="114">
        <v>0</v>
      </c>
      <c r="AR707" s="121">
        <v>32.170971571000003</v>
      </c>
      <c r="AS707" s="121">
        <v>6321.6969380999999</v>
      </c>
      <c r="AT707" s="121">
        <v>832.56465193999998</v>
      </c>
      <c r="AU707" s="420" t="s">
        <v>2001</v>
      </c>
      <c r="AV707" s="420" t="s">
        <v>2001</v>
      </c>
      <c r="AW707" s="121">
        <v>0</v>
      </c>
      <c r="AX707" s="121">
        <v>53215</v>
      </c>
      <c r="BI707">
        <v>0</v>
      </c>
      <c r="BJ707" s="121">
        <v>0</v>
      </c>
      <c r="BK707" s="134">
        <v>48264216</v>
      </c>
      <c r="BL707" s="934">
        <v>4893</v>
      </c>
      <c r="BM707" s="934">
        <v>4931</v>
      </c>
      <c r="BN707" s="934">
        <v>4931</v>
      </c>
      <c r="BO707" s="114">
        <v>0</v>
      </c>
      <c r="BP707" s="114">
        <v>0</v>
      </c>
    </row>
    <row r="708" spans="1:68">
      <c r="A708" t="s">
        <v>1724</v>
      </c>
      <c r="B708" t="s">
        <v>2567</v>
      </c>
      <c r="C708" s="121">
        <v>5261</v>
      </c>
      <c r="D708" s="72">
        <v>1</v>
      </c>
      <c r="E708">
        <v>89.421000000000006</v>
      </c>
      <c r="F708">
        <v>34</v>
      </c>
      <c r="G708">
        <v>19</v>
      </c>
      <c r="H708">
        <v>0</v>
      </c>
      <c r="I708" s="173">
        <v>1.17</v>
      </c>
      <c r="J708" s="121">
        <v>110034202</v>
      </c>
      <c r="K708" s="125">
        <v>482.65100000000001</v>
      </c>
      <c r="L708" s="173">
        <v>1.5</v>
      </c>
      <c r="M708">
        <v>1.17</v>
      </c>
      <c r="N708">
        <v>1.000000005</v>
      </c>
      <c r="O708">
        <v>16.999999499999994</v>
      </c>
      <c r="P708">
        <v>290</v>
      </c>
      <c r="Q708" s="125">
        <v>0</v>
      </c>
      <c r="R708" s="125">
        <v>0</v>
      </c>
      <c r="S708" s="125">
        <v>0.40100000000000002</v>
      </c>
      <c r="T708" s="125">
        <v>9.5709999999999997</v>
      </c>
      <c r="U708" s="125">
        <v>0.82399999999999995</v>
      </c>
      <c r="V708" s="125">
        <v>1.0820000000000001</v>
      </c>
      <c r="W708" s="125">
        <v>0.53800000000000003</v>
      </c>
      <c r="X708" s="125">
        <v>0</v>
      </c>
      <c r="Y708" s="125">
        <v>0</v>
      </c>
      <c r="Z708" s="125">
        <v>0</v>
      </c>
      <c r="AA708" s="125">
        <v>4.8079999999999998</v>
      </c>
      <c r="AB708" s="125">
        <v>15.076000000000001</v>
      </c>
      <c r="AC708" s="125">
        <v>140</v>
      </c>
      <c r="AD708" s="125">
        <v>2.5999999999999999E-2</v>
      </c>
      <c r="AE708" s="125">
        <v>4.085</v>
      </c>
      <c r="AF708" s="125">
        <v>12.228999999999999</v>
      </c>
      <c r="AG708" s="125">
        <v>0</v>
      </c>
      <c r="AH708" s="125">
        <v>0</v>
      </c>
      <c r="AI708" s="121">
        <v>1297699</v>
      </c>
      <c r="AJ708" s="121">
        <v>141525</v>
      </c>
      <c r="AK708" s="424">
        <v>12</v>
      </c>
      <c r="AL708">
        <v>0</v>
      </c>
      <c r="AM708" s="121">
        <v>0</v>
      </c>
      <c r="AN708" s="125">
        <v>0</v>
      </c>
      <c r="AO708" s="125">
        <v>0</v>
      </c>
      <c r="AP708" s="121">
        <v>1439224</v>
      </c>
      <c r="AQ708" s="114">
        <v>0</v>
      </c>
      <c r="AR708" s="121">
        <v>73.344342409000006</v>
      </c>
      <c r="AS708" s="121">
        <v>14412.393602</v>
      </c>
      <c r="AT708" s="121">
        <v>1898.1057745000001</v>
      </c>
      <c r="AU708" s="420" t="s">
        <v>2001</v>
      </c>
      <c r="AV708" s="420" t="s">
        <v>2001</v>
      </c>
      <c r="AW708" s="121">
        <v>0</v>
      </c>
      <c r="AX708" s="121">
        <v>148125</v>
      </c>
      <c r="BI708">
        <v>0</v>
      </c>
      <c r="BJ708" s="121">
        <v>0</v>
      </c>
      <c r="BK708" s="134">
        <v>110034202</v>
      </c>
      <c r="BL708" s="934">
        <v>5261</v>
      </c>
      <c r="BM708" s="934">
        <v>5073</v>
      </c>
      <c r="BN708" s="934">
        <v>5073</v>
      </c>
      <c r="BO708" s="114">
        <v>0</v>
      </c>
      <c r="BP708" s="114">
        <v>0</v>
      </c>
    </row>
    <row r="709" spans="1:68">
      <c r="A709" t="s">
        <v>2639</v>
      </c>
      <c r="B709" t="s">
        <v>1746</v>
      </c>
      <c r="C709" s="121">
        <v>5103</v>
      </c>
      <c r="D709" s="72">
        <v>3</v>
      </c>
      <c r="E709">
        <v>12258.749</v>
      </c>
      <c r="F709">
        <v>3206</v>
      </c>
      <c r="G709">
        <v>1944</v>
      </c>
      <c r="H709">
        <v>256</v>
      </c>
      <c r="I709" s="173">
        <v>1.03</v>
      </c>
      <c r="J709" s="121">
        <v>16373080274</v>
      </c>
      <c r="K709" s="125">
        <v>51960.13</v>
      </c>
      <c r="L709" s="173">
        <v>1.49</v>
      </c>
      <c r="M709">
        <v>1.03</v>
      </c>
      <c r="N709">
        <v>0.99333333830000003</v>
      </c>
      <c r="O709">
        <v>3.6666661699999992</v>
      </c>
      <c r="P709">
        <v>41568.552000000003</v>
      </c>
      <c r="Q709" s="125">
        <v>2.12</v>
      </c>
      <c r="R709" s="125">
        <v>0</v>
      </c>
      <c r="S709" s="125">
        <v>73.617999999999995</v>
      </c>
      <c r="T709" s="125">
        <v>647.87199999999996</v>
      </c>
      <c r="U709" s="125">
        <v>500.935</v>
      </c>
      <c r="V709" s="125">
        <v>12.156000000000001</v>
      </c>
      <c r="W709" s="125">
        <v>97.347999999999999</v>
      </c>
      <c r="X709" s="125">
        <v>0</v>
      </c>
      <c r="Y709" s="125">
        <v>15.494999999999999</v>
      </c>
      <c r="Z709" s="125">
        <v>1.536</v>
      </c>
      <c r="AA709" s="125">
        <v>752.91600000000005</v>
      </c>
      <c r="AB709" s="125">
        <v>1379.511</v>
      </c>
      <c r="AC709" s="125">
        <v>14325.3</v>
      </c>
      <c r="AD709" s="125">
        <v>11.492000000000001</v>
      </c>
      <c r="AE709" s="125">
        <v>3666.627</v>
      </c>
      <c r="AF709" s="125">
        <v>2078.4276</v>
      </c>
      <c r="AG709" s="125">
        <v>0</v>
      </c>
      <c r="AH709" s="125">
        <v>0</v>
      </c>
      <c r="AI709" s="121">
        <v>178845612</v>
      </c>
      <c r="AJ709" s="121">
        <v>40675630</v>
      </c>
      <c r="AK709" s="424">
        <v>12</v>
      </c>
      <c r="AL709">
        <v>0</v>
      </c>
      <c r="AM709" s="121">
        <v>5219348</v>
      </c>
      <c r="AN709" s="125">
        <v>1.274</v>
      </c>
      <c r="AO709" s="125">
        <v>1</v>
      </c>
      <c r="AP709" s="121">
        <v>219521242</v>
      </c>
      <c r="AQ709" s="114">
        <v>0</v>
      </c>
      <c r="AR709" s="121">
        <v>10913.632162</v>
      </c>
      <c r="AS709" s="121">
        <v>2144562.9912</v>
      </c>
      <c r="AT709" s="121">
        <v>282437.98427000002</v>
      </c>
      <c r="AU709" s="420" t="s">
        <v>2001</v>
      </c>
      <c r="AV709" s="420" t="s">
        <v>2001</v>
      </c>
      <c r="AW709" s="121">
        <v>0</v>
      </c>
      <c r="AX709" s="121">
        <v>48540827</v>
      </c>
      <c r="BI709">
        <v>0</v>
      </c>
      <c r="BJ709" s="121">
        <v>0</v>
      </c>
      <c r="BK709" s="134">
        <v>16373080274</v>
      </c>
      <c r="BL709" s="934">
        <v>4977</v>
      </c>
      <c r="BM709" s="934">
        <v>5074</v>
      </c>
      <c r="BN709" s="934">
        <v>5103</v>
      </c>
      <c r="BO709" s="114">
        <v>0</v>
      </c>
      <c r="BP709" s="114">
        <v>0</v>
      </c>
    </row>
    <row r="710" spans="1:68">
      <c r="A710" t="s">
        <v>1725</v>
      </c>
      <c r="B710" t="s">
        <v>2568</v>
      </c>
      <c r="C710" s="121">
        <v>5558</v>
      </c>
      <c r="D710" s="72">
        <v>3</v>
      </c>
      <c r="E710">
        <v>1554.0989999999999</v>
      </c>
      <c r="F710">
        <v>410</v>
      </c>
      <c r="G710">
        <v>288</v>
      </c>
      <c r="H710">
        <v>6</v>
      </c>
      <c r="I710" s="173">
        <v>1.04</v>
      </c>
      <c r="J710" s="121">
        <v>2847396257</v>
      </c>
      <c r="K710" s="125">
        <v>7528.3459999999995</v>
      </c>
      <c r="L710" s="173">
        <v>1.4570000000000001</v>
      </c>
      <c r="M710">
        <v>1.04</v>
      </c>
      <c r="N710">
        <v>0.97133333819000012</v>
      </c>
      <c r="O710">
        <v>6.8666661809999923</v>
      </c>
      <c r="P710">
        <v>6243.7690000000002</v>
      </c>
      <c r="Q710" s="125">
        <v>0.86499999999999999</v>
      </c>
      <c r="R710" s="125">
        <v>0</v>
      </c>
      <c r="S710" s="125">
        <v>7.7690000000000001</v>
      </c>
      <c r="T710" s="125">
        <v>116.63500000000001</v>
      </c>
      <c r="U710" s="125">
        <v>75.924000000000007</v>
      </c>
      <c r="V710" s="125">
        <v>0</v>
      </c>
      <c r="W710" s="125">
        <v>15.555999999999999</v>
      </c>
      <c r="X710" s="125">
        <v>0</v>
      </c>
      <c r="Y710" s="125">
        <v>3.3860000000000001</v>
      </c>
      <c r="Z710" s="125">
        <v>1.617</v>
      </c>
      <c r="AA710" s="125">
        <v>115.599</v>
      </c>
      <c r="AB710" s="125">
        <v>204.73099999999999</v>
      </c>
      <c r="AC710" s="125">
        <v>1386.3</v>
      </c>
      <c r="AD710" s="125">
        <v>0</v>
      </c>
      <c r="AE710" s="125">
        <v>136.52199999999999</v>
      </c>
      <c r="AF710" s="125">
        <v>312.18799999999999</v>
      </c>
      <c r="AG710" s="125">
        <v>0</v>
      </c>
      <c r="AH710" s="125">
        <v>0</v>
      </c>
      <c r="AI710" s="121">
        <v>31093567</v>
      </c>
      <c r="AJ710" s="121">
        <v>5227443</v>
      </c>
      <c r="AK710" s="424">
        <v>12</v>
      </c>
      <c r="AL710">
        <v>0</v>
      </c>
      <c r="AM710" s="121">
        <v>1007320</v>
      </c>
      <c r="AN710" s="125">
        <v>0</v>
      </c>
      <c r="AO710" s="125">
        <v>0</v>
      </c>
      <c r="AP710" s="121">
        <v>36321010</v>
      </c>
      <c r="AQ710" s="114">
        <v>0</v>
      </c>
      <c r="AR710" s="121">
        <v>1102.7810267</v>
      </c>
      <c r="AS710" s="121">
        <v>216699.93474</v>
      </c>
      <c r="AT710" s="121">
        <v>28539.284232000002</v>
      </c>
      <c r="AU710" s="420" t="s">
        <v>798</v>
      </c>
      <c r="AV710" s="420" t="s">
        <v>2001</v>
      </c>
      <c r="AW710" s="121">
        <v>0</v>
      </c>
      <c r="AX710" s="121">
        <v>5476166</v>
      </c>
      <c r="AY710" s="134">
        <v>3682795</v>
      </c>
      <c r="AZ710" s="134">
        <v>6043017</v>
      </c>
      <c r="BA710" s="134">
        <v>2385</v>
      </c>
      <c r="BB710" s="134">
        <v>609617338</v>
      </c>
      <c r="BC710" s="114">
        <v>0</v>
      </c>
      <c r="BD710" s="114">
        <v>0</v>
      </c>
      <c r="BE710" s="114">
        <v>0</v>
      </c>
      <c r="BF710" s="134">
        <v>6075</v>
      </c>
      <c r="BG710" s="114">
        <v>0</v>
      </c>
      <c r="BH710" s="114">
        <v>0</v>
      </c>
      <c r="BI710">
        <v>0</v>
      </c>
      <c r="BJ710" s="121">
        <v>0</v>
      </c>
      <c r="BK710" s="134">
        <v>2847396257</v>
      </c>
      <c r="BL710" s="934">
        <v>5249</v>
      </c>
      <c r="BM710" s="934">
        <v>5402</v>
      </c>
      <c r="BN710" s="934">
        <v>5558</v>
      </c>
      <c r="BO710" s="114">
        <v>0</v>
      </c>
      <c r="BP710" s="114">
        <v>0</v>
      </c>
    </row>
    <row r="711" spans="1:68">
      <c r="A711" t="s">
        <v>1349</v>
      </c>
      <c r="B711" t="s">
        <v>1288</v>
      </c>
      <c r="C711" s="121">
        <v>5020</v>
      </c>
      <c r="D711" s="72">
        <v>3</v>
      </c>
      <c r="E711">
        <v>1492.421</v>
      </c>
      <c r="F711">
        <v>428</v>
      </c>
      <c r="G711">
        <v>310</v>
      </c>
      <c r="H711">
        <v>0</v>
      </c>
      <c r="I711" s="173">
        <v>1.026</v>
      </c>
      <c r="J711" s="121">
        <v>1680060319</v>
      </c>
      <c r="K711" s="125">
        <v>7391.8729999999996</v>
      </c>
      <c r="L711" s="173">
        <v>1.48</v>
      </c>
      <c r="M711">
        <v>1.026</v>
      </c>
      <c r="N711">
        <v>0.98666667159999999</v>
      </c>
      <c r="O711">
        <v>3.9333328400000034</v>
      </c>
      <c r="P711">
        <v>5736</v>
      </c>
      <c r="Q711" s="125">
        <v>0.499</v>
      </c>
      <c r="R711" s="125">
        <v>0</v>
      </c>
      <c r="S711" s="125">
        <v>6.1680000000000001</v>
      </c>
      <c r="T711" s="125">
        <v>94.844999999999999</v>
      </c>
      <c r="U711" s="125">
        <v>46.302</v>
      </c>
      <c r="V711" s="125">
        <v>0</v>
      </c>
      <c r="W711" s="125">
        <v>18.559999999999999</v>
      </c>
      <c r="X711" s="125">
        <v>0</v>
      </c>
      <c r="Y711" s="125">
        <v>0</v>
      </c>
      <c r="Z711" s="125">
        <v>4.25</v>
      </c>
      <c r="AA711" s="125">
        <v>160</v>
      </c>
      <c r="AB711" s="125">
        <v>215</v>
      </c>
      <c r="AC711" s="125">
        <v>3155</v>
      </c>
      <c r="AD711" s="125">
        <v>0</v>
      </c>
      <c r="AE711" s="125">
        <v>677</v>
      </c>
      <c r="AF711" s="125">
        <v>286</v>
      </c>
      <c r="AG711" s="125">
        <v>0</v>
      </c>
      <c r="AH711" s="125">
        <v>0</v>
      </c>
      <c r="AI711" s="121">
        <v>18099290</v>
      </c>
      <c r="AJ711" s="121">
        <v>3695561</v>
      </c>
      <c r="AK711" s="424">
        <v>12</v>
      </c>
      <c r="AL711">
        <v>0</v>
      </c>
      <c r="AM711" s="121">
        <v>618373</v>
      </c>
      <c r="AN711" s="125">
        <v>1</v>
      </c>
      <c r="AO711" s="125">
        <v>0</v>
      </c>
      <c r="AP711" s="121">
        <v>21794851</v>
      </c>
      <c r="AQ711" s="114">
        <v>0</v>
      </c>
      <c r="AR711" s="121">
        <v>1119.8601622000001</v>
      </c>
      <c r="AS711" s="121">
        <v>220056.0385</v>
      </c>
      <c r="AT711" s="121">
        <v>28981.281591999999</v>
      </c>
      <c r="AU711" s="420" t="s">
        <v>2001</v>
      </c>
      <c r="AV711" s="420" t="s">
        <v>2001</v>
      </c>
      <c r="AW711" s="121">
        <v>0</v>
      </c>
      <c r="AX711" s="121">
        <v>6256286</v>
      </c>
      <c r="BI711">
        <v>0</v>
      </c>
      <c r="BJ711" s="121">
        <v>0</v>
      </c>
      <c r="BK711" s="134">
        <v>1680060319</v>
      </c>
      <c r="BL711" s="934">
        <v>4787</v>
      </c>
      <c r="BM711" s="934">
        <v>4976</v>
      </c>
      <c r="BN711" s="934">
        <v>5020</v>
      </c>
      <c r="BO711" s="114">
        <v>0</v>
      </c>
      <c r="BP711" s="114">
        <v>0</v>
      </c>
    </row>
    <row r="712" spans="1:68">
      <c r="A712" t="s">
        <v>378</v>
      </c>
      <c r="B712" t="s">
        <v>319</v>
      </c>
      <c r="C712" s="121">
        <v>4994</v>
      </c>
      <c r="D712" s="72">
        <v>3</v>
      </c>
      <c r="E712">
        <v>2903.1889999999999</v>
      </c>
      <c r="F712">
        <v>846</v>
      </c>
      <c r="G712">
        <v>539</v>
      </c>
      <c r="H712">
        <v>38</v>
      </c>
      <c r="I712" s="173">
        <v>1.04</v>
      </c>
      <c r="J712" s="121">
        <v>2672954570</v>
      </c>
      <c r="K712" s="125">
        <v>14126.612999999999</v>
      </c>
      <c r="L712" s="173">
        <v>1.46</v>
      </c>
      <c r="M712">
        <v>1.04</v>
      </c>
      <c r="N712">
        <v>0.97333333820000001</v>
      </c>
      <c r="O712">
        <v>6.6666661800000027</v>
      </c>
      <c r="P712">
        <v>11111.367</v>
      </c>
      <c r="Q712" s="125">
        <v>1.625</v>
      </c>
      <c r="R712" s="125">
        <v>0</v>
      </c>
      <c r="S712" s="125">
        <v>18.489000000000001</v>
      </c>
      <c r="T712" s="125">
        <v>271.09500000000003</v>
      </c>
      <c r="U712" s="125">
        <v>145.37899999999999</v>
      </c>
      <c r="V712" s="125">
        <v>0</v>
      </c>
      <c r="W712" s="125">
        <v>19.884</v>
      </c>
      <c r="X712" s="125">
        <v>0</v>
      </c>
      <c r="Y712" s="125">
        <v>3.1389999999999998</v>
      </c>
      <c r="Z712" s="125">
        <v>0</v>
      </c>
      <c r="AA712" s="125">
        <v>281.85599999999999</v>
      </c>
      <c r="AB712" s="125">
        <v>419.65100000000001</v>
      </c>
      <c r="AC712" s="125">
        <v>4167.6000000000004</v>
      </c>
      <c r="AD712" s="125">
        <v>0</v>
      </c>
      <c r="AE712" s="125">
        <v>908.86900000000003</v>
      </c>
      <c r="AF712" s="125">
        <v>555.56799999999998</v>
      </c>
      <c r="AG712" s="125">
        <v>0</v>
      </c>
      <c r="AH712" s="125">
        <v>0</v>
      </c>
      <c r="AI712" s="121">
        <v>29480551</v>
      </c>
      <c r="AJ712" s="121">
        <v>7667704</v>
      </c>
      <c r="AK712" s="424">
        <v>12</v>
      </c>
      <c r="AL712">
        <v>0</v>
      </c>
      <c r="AM712" s="121">
        <v>1461427</v>
      </c>
      <c r="AN712" s="125">
        <v>0.53700000000000003</v>
      </c>
      <c r="AO712" s="125">
        <v>2</v>
      </c>
      <c r="AP712" s="121">
        <v>37148255</v>
      </c>
      <c r="AQ712" s="114">
        <v>0</v>
      </c>
      <c r="AR712" s="121">
        <v>1781.6832554</v>
      </c>
      <c r="AS712" s="121">
        <v>350106.35459</v>
      </c>
      <c r="AT712" s="121">
        <v>46108.849903000002</v>
      </c>
      <c r="AU712" s="420" t="s">
        <v>2001</v>
      </c>
      <c r="AV712" s="420" t="s">
        <v>2001</v>
      </c>
      <c r="AW712" s="121">
        <v>0</v>
      </c>
      <c r="AX712" s="121">
        <v>13392684</v>
      </c>
      <c r="BI712">
        <v>0</v>
      </c>
      <c r="BJ712" s="121">
        <v>0</v>
      </c>
      <c r="BK712" s="134">
        <v>2672954570</v>
      </c>
      <c r="BL712" s="934">
        <v>4818</v>
      </c>
      <c r="BM712" s="934">
        <v>4935</v>
      </c>
      <c r="BN712" s="934">
        <v>4994</v>
      </c>
      <c r="BO712" s="114">
        <v>0</v>
      </c>
      <c r="BP712" s="114">
        <v>0</v>
      </c>
    </row>
    <row r="713" spans="1:68">
      <c r="A713" t="s">
        <v>1701</v>
      </c>
      <c r="B713" t="s">
        <v>2209</v>
      </c>
      <c r="C713" s="121">
        <v>4657</v>
      </c>
      <c r="D713" s="72">
        <v>1</v>
      </c>
      <c r="E713">
        <v>822.91899999999998</v>
      </c>
      <c r="F713">
        <v>243</v>
      </c>
      <c r="G713">
        <v>204</v>
      </c>
      <c r="H713">
        <v>29</v>
      </c>
      <c r="I713" s="173">
        <v>1.04</v>
      </c>
      <c r="J713" s="121">
        <v>299070603</v>
      </c>
      <c r="K713" s="125">
        <v>4200.009</v>
      </c>
      <c r="L713" s="173">
        <v>1.5</v>
      </c>
      <c r="M713">
        <v>1.04</v>
      </c>
      <c r="N713">
        <v>1.000000005</v>
      </c>
      <c r="O713">
        <v>3.9999995000000066</v>
      </c>
      <c r="P713">
        <v>3098.0659999999998</v>
      </c>
      <c r="Q713" s="125">
        <v>0.30099999999999999</v>
      </c>
      <c r="R713" s="125">
        <v>0</v>
      </c>
      <c r="S713" s="125">
        <v>3.6059999999999999</v>
      </c>
      <c r="T713" s="125">
        <v>35.331000000000003</v>
      </c>
      <c r="U713" s="125">
        <v>11.355</v>
      </c>
      <c r="V713" s="125">
        <v>5.2999999999999999E-2</v>
      </c>
      <c r="W713" s="125">
        <v>3.9670000000000001</v>
      </c>
      <c r="X713" s="125">
        <v>0</v>
      </c>
      <c r="Y713" s="125">
        <v>2.3330000000000002</v>
      </c>
      <c r="Z713" s="125">
        <v>0</v>
      </c>
      <c r="AA713" s="125">
        <v>77.456999999999994</v>
      </c>
      <c r="AB713" s="125">
        <v>122.283</v>
      </c>
      <c r="AC713" s="125">
        <v>2218.9</v>
      </c>
      <c r="AD713" s="125">
        <v>1.4339999999999999</v>
      </c>
      <c r="AE713" s="125">
        <v>199.309</v>
      </c>
      <c r="AF713" s="125">
        <v>154.90299999999999</v>
      </c>
      <c r="AG713" s="125">
        <v>0</v>
      </c>
      <c r="AH713" s="125">
        <v>0</v>
      </c>
      <c r="AI713" s="121">
        <v>3298509</v>
      </c>
      <c r="AJ713" s="121">
        <v>466053</v>
      </c>
      <c r="AK713" s="424">
        <v>12</v>
      </c>
      <c r="AL713">
        <v>0</v>
      </c>
      <c r="AM713" s="121">
        <v>392197</v>
      </c>
      <c r="AN713" s="125">
        <v>0</v>
      </c>
      <c r="AO713" s="125">
        <v>0</v>
      </c>
      <c r="AP713" s="121">
        <v>3764562</v>
      </c>
      <c r="AQ713" s="114">
        <v>0</v>
      </c>
      <c r="AR713" s="121">
        <v>199.34835090000001</v>
      </c>
      <c r="AS713" s="121">
        <v>39172.576951000003</v>
      </c>
      <c r="AT713" s="121">
        <v>5159.0108185999998</v>
      </c>
      <c r="AU713" s="420" t="s">
        <v>2001</v>
      </c>
      <c r="AV713" s="420" t="s">
        <v>2001</v>
      </c>
      <c r="AW713" s="121">
        <v>0</v>
      </c>
      <c r="AX713" s="121">
        <v>2329217</v>
      </c>
      <c r="BI713">
        <v>0</v>
      </c>
      <c r="BJ713" s="121">
        <v>0</v>
      </c>
      <c r="BK713" s="134">
        <v>299070603</v>
      </c>
      <c r="BL713" s="934">
        <v>4645</v>
      </c>
      <c r="BM713" s="934">
        <v>4657</v>
      </c>
      <c r="BN713" s="934">
        <v>4657</v>
      </c>
      <c r="BO713" s="114">
        <v>0</v>
      </c>
      <c r="BP713" s="114">
        <v>0</v>
      </c>
    </row>
    <row r="714" spans="1:68">
      <c r="A714" t="s">
        <v>801</v>
      </c>
      <c r="B714" t="s">
        <v>1305</v>
      </c>
      <c r="C714" s="121">
        <v>4861</v>
      </c>
      <c r="D714" s="72">
        <v>2</v>
      </c>
      <c r="E714">
        <v>1920.6690000000001</v>
      </c>
      <c r="F714">
        <v>635</v>
      </c>
      <c r="G714">
        <v>605</v>
      </c>
      <c r="H714">
        <v>6</v>
      </c>
      <c r="I714" s="173">
        <v>1.04</v>
      </c>
      <c r="J714" s="121">
        <v>1600307303</v>
      </c>
      <c r="K714" s="125">
        <v>10948.319</v>
      </c>
      <c r="L714" s="173">
        <v>1.5</v>
      </c>
      <c r="M714">
        <v>1.04</v>
      </c>
      <c r="N714">
        <v>1.000000005</v>
      </c>
      <c r="O714">
        <v>3.9999995000000066</v>
      </c>
      <c r="P714">
        <v>8407.6679999999997</v>
      </c>
      <c r="Q714" s="125">
        <v>0.93600000000000005</v>
      </c>
      <c r="R714" s="125">
        <v>0</v>
      </c>
      <c r="S714" s="125">
        <v>14.198</v>
      </c>
      <c r="T714" s="125">
        <v>280</v>
      </c>
      <c r="U714" s="125">
        <v>53.771999999999998</v>
      </c>
      <c r="V714" s="125">
        <v>13.654</v>
      </c>
      <c r="W714" s="125">
        <v>0</v>
      </c>
      <c r="X714" s="125">
        <v>0</v>
      </c>
      <c r="Y714" s="125">
        <v>0</v>
      </c>
      <c r="Z714" s="125">
        <v>8.0920000000000005</v>
      </c>
      <c r="AA714" s="125">
        <v>20.803999999999998</v>
      </c>
      <c r="AB714" s="125">
        <v>380</v>
      </c>
      <c r="AC714" s="125">
        <v>4663.8999999999996</v>
      </c>
      <c r="AD714" s="125">
        <v>0.7</v>
      </c>
      <c r="AE714" s="125">
        <v>1060</v>
      </c>
      <c r="AF714" s="125">
        <v>420.38299999999998</v>
      </c>
      <c r="AG714" s="125">
        <v>0</v>
      </c>
      <c r="AH714" s="125">
        <v>0</v>
      </c>
      <c r="AI714" s="121">
        <v>17650109</v>
      </c>
      <c r="AJ714" s="121">
        <v>3791711</v>
      </c>
      <c r="AK714" s="424">
        <v>12</v>
      </c>
      <c r="AL714">
        <v>0</v>
      </c>
      <c r="AM714" s="121">
        <v>1063414</v>
      </c>
      <c r="AN714" s="125">
        <v>2</v>
      </c>
      <c r="AO714" s="125">
        <v>1</v>
      </c>
      <c r="AP714" s="121">
        <v>21441820</v>
      </c>
      <c r="AQ714" s="114">
        <v>0</v>
      </c>
      <c r="AR714" s="121">
        <v>1066.700032</v>
      </c>
      <c r="AS714" s="121">
        <v>209609.90596999999</v>
      </c>
      <c r="AT714" s="121">
        <v>27605.530621999998</v>
      </c>
      <c r="AU714" s="420" t="s">
        <v>2001</v>
      </c>
      <c r="AV714" s="420" t="s">
        <v>2001</v>
      </c>
      <c r="AW714" s="121">
        <v>0</v>
      </c>
      <c r="AX714" s="121">
        <v>10573362</v>
      </c>
      <c r="BI714">
        <v>0</v>
      </c>
      <c r="BJ714" s="121">
        <v>0</v>
      </c>
      <c r="BK714" s="134">
        <v>1600307303</v>
      </c>
      <c r="BL714" s="934">
        <v>4822</v>
      </c>
      <c r="BM714" s="934">
        <v>4861</v>
      </c>
      <c r="BN714" s="934">
        <v>4861</v>
      </c>
      <c r="BO714" s="114">
        <v>0</v>
      </c>
      <c r="BP714" s="114">
        <v>0</v>
      </c>
    </row>
    <row r="715" spans="1:68">
      <c r="A715" t="s">
        <v>2134</v>
      </c>
      <c r="B715" t="s">
        <v>2569</v>
      </c>
      <c r="C715" s="121">
        <v>5453</v>
      </c>
      <c r="D715" s="72">
        <v>1</v>
      </c>
      <c r="E715">
        <v>994.05499999999995</v>
      </c>
      <c r="F715">
        <v>310</v>
      </c>
      <c r="G715">
        <v>231</v>
      </c>
      <c r="H715">
        <v>34</v>
      </c>
      <c r="I715" s="173">
        <v>1.04</v>
      </c>
      <c r="J715" s="121">
        <v>1924196149</v>
      </c>
      <c r="K715" s="125">
        <v>5080.88</v>
      </c>
      <c r="L715" s="173">
        <v>1.4841</v>
      </c>
      <c r="M715">
        <v>1.04</v>
      </c>
      <c r="N715">
        <v>0.98940000494699998</v>
      </c>
      <c r="O715">
        <v>5.0599995053000058</v>
      </c>
      <c r="P715">
        <v>3841.8420000000001</v>
      </c>
      <c r="Q715" s="125">
        <v>0.30499999999999999</v>
      </c>
      <c r="R715" s="125">
        <v>0</v>
      </c>
      <c r="S715" s="125">
        <v>4.4770000000000003</v>
      </c>
      <c r="T715" s="125">
        <v>121.92100000000001</v>
      </c>
      <c r="U715" s="125">
        <v>18.471</v>
      </c>
      <c r="V715" s="125">
        <v>0</v>
      </c>
      <c r="W715" s="125">
        <v>8.1010000000000009</v>
      </c>
      <c r="X715" s="125">
        <v>0</v>
      </c>
      <c r="Y715" s="125">
        <v>0</v>
      </c>
      <c r="Z715" s="125">
        <v>0.82299999999999995</v>
      </c>
      <c r="AA715" s="125">
        <v>6.7930000000000001</v>
      </c>
      <c r="AB715" s="125">
        <v>176.785</v>
      </c>
      <c r="AC715" s="125">
        <v>2925.2</v>
      </c>
      <c r="AD715" s="125">
        <v>2.746</v>
      </c>
      <c r="AE715" s="125">
        <v>1015.947</v>
      </c>
      <c r="AF715" s="125">
        <v>192.09200000000001</v>
      </c>
      <c r="AG715" s="125">
        <v>0</v>
      </c>
      <c r="AH715" s="125">
        <v>0</v>
      </c>
      <c r="AI715" s="121">
        <v>19260804</v>
      </c>
      <c r="AJ715" s="121">
        <v>546288</v>
      </c>
      <c r="AK715" s="424">
        <v>12</v>
      </c>
      <c r="AL715">
        <v>0</v>
      </c>
      <c r="AM715" s="121">
        <v>149043</v>
      </c>
      <c r="AN715" s="125">
        <v>0</v>
      </c>
      <c r="AO715" s="125">
        <v>0</v>
      </c>
      <c r="AP715" s="121">
        <v>19807092</v>
      </c>
      <c r="AQ715" s="114">
        <v>0</v>
      </c>
      <c r="AR715" s="121">
        <v>0</v>
      </c>
      <c r="AS715" s="121">
        <v>0</v>
      </c>
      <c r="AT715" s="121">
        <v>0</v>
      </c>
      <c r="AU715" s="420" t="s">
        <v>798</v>
      </c>
      <c r="AV715" s="72" t="s">
        <v>798</v>
      </c>
      <c r="AW715" s="121">
        <v>0</v>
      </c>
      <c r="AX715" s="121">
        <v>641831</v>
      </c>
      <c r="AY715" s="134">
        <v>3224913</v>
      </c>
      <c r="AZ715" s="134">
        <v>9714972</v>
      </c>
      <c r="BA715" s="134">
        <v>4193</v>
      </c>
      <c r="BB715" s="134">
        <v>1157095395</v>
      </c>
      <c r="BC715" s="114">
        <v>0</v>
      </c>
      <c r="BD715" s="114">
        <v>0</v>
      </c>
      <c r="BE715" s="114">
        <v>0</v>
      </c>
      <c r="BF715" s="134">
        <v>4022</v>
      </c>
      <c r="BG715" s="114">
        <v>0</v>
      </c>
      <c r="BH715" s="114">
        <v>0</v>
      </c>
      <c r="BI715">
        <v>0</v>
      </c>
      <c r="BJ715" s="121">
        <v>0</v>
      </c>
      <c r="BK715" s="134">
        <v>1876393541</v>
      </c>
      <c r="BL715" s="934">
        <v>5453</v>
      </c>
      <c r="BM715" s="934">
        <v>5328</v>
      </c>
      <c r="BN715" s="934">
        <v>5407</v>
      </c>
      <c r="BO715" s="114">
        <v>0</v>
      </c>
      <c r="BP715" s="114">
        <v>0</v>
      </c>
    </row>
    <row r="716" spans="1:68">
      <c r="A716" t="s">
        <v>2135</v>
      </c>
      <c r="B716" t="s">
        <v>2570</v>
      </c>
      <c r="C716" s="121">
        <v>5636</v>
      </c>
      <c r="D716" s="72">
        <v>3</v>
      </c>
      <c r="E716">
        <v>162.19800000000001</v>
      </c>
      <c r="F716">
        <v>54</v>
      </c>
      <c r="G716">
        <v>35</v>
      </c>
      <c r="H716">
        <v>1</v>
      </c>
      <c r="I716" s="173">
        <v>1.04</v>
      </c>
      <c r="J716" s="121">
        <v>362278369</v>
      </c>
      <c r="K716" s="125">
        <v>831.73</v>
      </c>
      <c r="L716" s="173">
        <v>1.4659</v>
      </c>
      <c r="M716">
        <v>1.04</v>
      </c>
      <c r="N716">
        <v>0.97726667155300007</v>
      </c>
      <c r="O716">
        <v>6.273332844699997</v>
      </c>
      <c r="P716">
        <v>506.72800000000001</v>
      </c>
      <c r="Q716" s="125">
        <v>7.0000000000000001E-3</v>
      </c>
      <c r="R716" s="125">
        <v>0</v>
      </c>
      <c r="S716" s="125">
        <v>0.61899999999999999</v>
      </c>
      <c r="T716" s="125">
        <v>15.983000000000001</v>
      </c>
      <c r="U716" s="125">
        <v>0.44600000000000001</v>
      </c>
      <c r="V716" s="125">
        <v>0</v>
      </c>
      <c r="W716" s="125">
        <v>0</v>
      </c>
      <c r="X716" s="125">
        <v>0</v>
      </c>
      <c r="Y716" s="125">
        <v>0</v>
      </c>
      <c r="Z716" s="125">
        <v>0</v>
      </c>
      <c r="AA716" s="125">
        <v>8.4000000000000005E-2</v>
      </c>
      <c r="AB716" s="125">
        <v>38.81</v>
      </c>
      <c r="AC716" s="125">
        <v>334.7</v>
      </c>
      <c r="AD716" s="125">
        <v>0.23</v>
      </c>
      <c r="AE716" s="125">
        <v>86.004999999999995</v>
      </c>
      <c r="AF716" s="125">
        <v>25.335999999999999</v>
      </c>
      <c r="AG716" s="125">
        <v>0</v>
      </c>
      <c r="AH716" s="125">
        <v>0</v>
      </c>
      <c r="AI716" s="121">
        <v>3531321</v>
      </c>
      <c r="AJ716" s="121">
        <v>358482</v>
      </c>
      <c r="AK716" s="424">
        <v>12</v>
      </c>
      <c r="AL716">
        <v>0</v>
      </c>
      <c r="AM716" s="121">
        <v>32023</v>
      </c>
      <c r="AN716" s="125">
        <v>0</v>
      </c>
      <c r="AO716" s="125">
        <v>0</v>
      </c>
      <c r="AP716" s="121">
        <v>3889803</v>
      </c>
      <c r="AQ716" s="114">
        <v>0</v>
      </c>
      <c r="AR716" s="121">
        <v>0</v>
      </c>
      <c r="AS716" s="121">
        <v>0</v>
      </c>
      <c r="AT716" s="121">
        <v>0</v>
      </c>
      <c r="AU716" s="420" t="s">
        <v>798</v>
      </c>
      <c r="AV716" s="420" t="s">
        <v>2001</v>
      </c>
      <c r="AW716" s="121">
        <v>0</v>
      </c>
      <c r="AX716" s="121">
        <v>248292</v>
      </c>
      <c r="AY716" s="134">
        <v>845268</v>
      </c>
      <c r="AZ716" s="134">
        <v>1868922</v>
      </c>
      <c r="BA716" s="114">
        <v>804</v>
      </c>
      <c r="BB716" s="134">
        <v>184924650</v>
      </c>
      <c r="BC716" s="114">
        <v>0</v>
      </c>
      <c r="BD716" s="114">
        <v>0</v>
      </c>
      <c r="BE716" s="114">
        <v>0</v>
      </c>
      <c r="BF716" s="114">
        <v>534</v>
      </c>
      <c r="BG716" s="114">
        <v>0</v>
      </c>
      <c r="BH716" s="114">
        <v>0</v>
      </c>
      <c r="BI716">
        <v>0</v>
      </c>
      <c r="BJ716" s="121">
        <v>0</v>
      </c>
      <c r="BK716" s="134">
        <v>323381068</v>
      </c>
      <c r="BL716" s="934">
        <v>5572</v>
      </c>
      <c r="BM716" s="934">
        <v>5515</v>
      </c>
      <c r="BN716" s="934">
        <v>5636</v>
      </c>
      <c r="BO716" s="114">
        <v>0</v>
      </c>
      <c r="BP716" s="114">
        <v>0</v>
      </c>
    </row>
    <row r="717" spans="1:68">
      <c r="A717" t="s">
        <v>2136</v>
      </c>
      <c r="B717" t="s">
        <v>2571</v>
      </c>
      <c r="C717" s="121">
        <v>5206</v>
      </c>
      <c r="D717" s="72">
        <v>2</v>
      </c>
      <c r="E717">
        <v>356.697</v>
      </c>
      <c r="F717">
        <v>139</v>
      </c>
      <c r="G717">
        <v>114</v>
      </c>
      <c r="H717">
        <v>2</v>
      </c>
      <c r="I717" s="173">
        <v>1.04</v>
      </c>
      <c r="J717" s="121">
        <v>805687053</v>
      </c>
      <c r="K717" s="125">
        <v>1894.7449999999999</v>
      </c>
      <c r="L717" s="173">
        <v>1.5</v>
      </c>
      <c r="M717">
        <v>1.04</v>
      </c>
      <c r="N717">
        <v>1.000000005</v>
      </c>
      <c r="O717">
        <v>3.9999995000000066</v>
      </c>
      <c r="P717">
        <v>1278.6669999999999</v>
      </c>
      <c r="Q717" s="125">
        <v>2.1000000000000001E-2</v>
      </c>
      <c r="R717" s="125">
        <v>0</v>
      </c>
      <c r="S717" s="125">
        <v>2.8660000000000001</v>
      </c>
      <c r="T717" s="125">
        <v>28.257999999999999</v>
      </c>
      <c r="U717" s="125">
        <v>11.092000000000001</v>
      </c>
      <c r="V717" s="125">
        <v>1.2989999999999999</v>
      </c>
      <c r="W717" s="125">
        <v>0</v>
      </c>
      <c r="X717" s="125">
        <v>0</v>
      </c>
      <c r="Y717" s="125">
        <v>0</v>
      </c>
      <c r="Z717" s="125">
        <v>0</v>
      </c>
      <c r="AA717" s="125">
        <v>48.951000000000001</v>
      </c>
      <c r="AB717" s="125">
        <v>53.286999999999999</v>
      </c>
      <c r="AC717" s="125">
        <v>1099.5</v>
      </c>
      <c r="AD717" s="125">
        <v>1.091</v>
      </c>
      <c r="AE717" s="125">
        <v>57.185000000000002</v>
      </c>
      <c r="AF717" s="125">
        <v>63.933</v>
      </c>
      <c r="AG717" s="125">
        <v>0</v>
      </c>
      <c r="AH717" s="125">
        <v>0</v>
      </c>
      <c r="AI717" s="121">
        <v>8622141</v>
      </c>
      <c r="AJ717" s="121">
        <v>850349</v>
      </c>
      <c r="AK717" s="424">
        <v>12</v>
      </c>
      <c r="AL717">
        <v>0</v>
      </c>
      <c r="AM717" s="121">
        <v>170887</v>
      </c>
      <c r="AN717" s="125">
        <v>0</v>
      </c>
      <c r="AO717" s="125">
        <v>1</v>
      </c>
      <c r="AP717" s="121">
        <v>9472490</v>
      </c>
      <c r="AQ717" s="114">
        <v>0</v>
      </c>
      <c r="AR717" s="121">
        <v>0</v>
      </c>
      <c r="AS717" s="121">
        <v>0</v>
      </c>
      <c r="AT717" s="121">
        <v>0</v>
      </c>
      <c r="AU717" s="420" t="s">
        <v>798</v>
      </c>
      <c r="AV717" s="420" t="s">
        <v>2001</v>
      </c>
      <c r="AW717" s="121">
        <v>0</v>
      </c>
      <c r="AX717" s="121">
        <v>791320</v>
      </c>
      <c r="AY717" s="134">
        <v>3186454</v>
      </c>
      <c r="AZ717" s="134">
        <v>5386091</v>
      </c>
      <c r="BA717" s="134">
        <v>2280</v>
      </c>
      <c r="BB717" s="134">
        <v>665015929</v>
      </c>
      <c r="BC717" s="114">
        <v>0</v>
      </c>
      <c r="BD717" s="114">
        <v>0</v>
      </c>
      <c r="BE717" s="114">
        <v>0</v>
      </c>
      <c r="BF717" s="134">
        <v>1312</v>
      </c>
      <c r="BG717" s="114">
        <v>0</v>
      </c>
      <c r="BH717" s="114">
        <v>0</v>
      </c>
      <c r="BI717">
        <v>0</v>
      </c>
      <c r="BJ717" s="121">
        <v>0</v>
      </c>
      <c r="BK717" s="134">
        <v>805687053</v>
      </c>
      <c r="BL717" s="934">
        <v>4786</v>
      </c>
      <c r="BM717" s="934">
        <v>5206</v>
      </c>
      <c r="BN717" s="934">
        <v>4824</v>
      </c>
      <c r="BO717" s="114">
        <v>0</v>
      </c>
      <c r="BP717" s="114">
        <v>0</v>
      </c>
    </row>
    <row r="718" spans="1:68">
      <c r="A718" t="s">
        <v>2137</v>
      </c>
      <c r="B718" t="s">
        <v>3024</v>
      </c>
      <c r="C718" s="121">
        <v>4436</v>
      </c>
      <c r="D718" s="72">
        <v>3</v>
      </c>
      <c r="E718">
        <v>264.51299999999998</v>
      </c>
      <c r="F718">
        <v>84</v>
      </c>
      <c r="G718">
        <v>55</v>
      </c>
      <c r="H718">
        <v>4</v>
      </c>
      <c r="I718" s="173">
        <v>1.04</v>
      </c>
      <c r="J718" s="121">
        <v>173155471</v>
      </c>
      <c r="K718" s="125">
        <v>1434.499</v>
      </c>
      <c r="L718" s="173">
        <v>1.4</v>
      </c>
      <c r="M718">
        <v>1.04</v>
      </c>
      <c r="N718">
        <v>0.93333333799999996</v>
      </c>
      <c r="O718">
        <v>10.666666200000009</v>
      </c>
      <c r="P718">
        <v>956.02800000000002</v>
      </c>
      <c r="Q718" s="125">
        <v>0.14699999999999999</v>
      </c>
      <c r="R718" s="125">
        <v>0</v>
      </c>
      <c r="S718" s="125">
        <v>2.15</v>
      </c>
      <c r="T718" s="125">
        <v>17.79</v>
      </c>
      <c r="U718" s="125">
        <v>5.2370000000000001</v>
      </c>
      <c r="V718" s="125">
        <v>0</v>
      </c>
      <c r="W718" s="125">
        <v>0.88700000000000001</v>
      </c>
      <c r="X718" s="125">
        <v>0</v>
      </c>
      <c r="Y718" s="125">
        <v>0</v>
      </c>
      <c r="Z718" s="125">
        <v>0.61099999999999999</v>
      </c>
      <c r="AA718" s="125">
        <v>45.369</v>
      </c>
      <c r="AB718" s="125">
        <v>29.352</v>
      </c>
      <c r="AC718" s="125">
        <v>602.1</v>
      </c>
      <c r="AD718" s="125">
        <v>0.84399999999999997</v>
      </c>
      <c r="AE718" s="125">
        <v>12.547000000000001</v>
      </c>
      <c r="AF718" s="125">
        <v>47.801000000000002</v>
      </c>
      <c r="AG718" s="125">
        <v>0</v>
      </c>
      <c r="AH718" s="125">
        <v>0</v>
      </c>
      <c r="AI718" s="121">
        <v>1834132</v>
      </c>
      <c r="AJ718" s="121">
        <v>215605</v>
      </c>
      <c r="AK718" s="424">
        <v>12</v>
      </c>
      <c r="AL718">
        <v>0</v>
      </c>
      <c r="AM718" s="121">
        <v>141230</v>
      </c>
      <c r="AN718" s="125">
        <v>0</v>
      </c>
      <c r="AO718" s="125">
        <v>0</v>
      </c>
      <c r="AP718" s="121">
        <v>2049737</v>
      </c>
      <c r="AQ718" s="114">
        <v>0</v>
      </c>
      <c r="AR718" s="121">
        <v>115.41842376</v>
      </c>
      <c r="AS718" s="121">
        <v>22680.082709999999</v>
      </c>
      <c r="AT718" s="121">
        <v>2986.9567226999998</v>
      </c>
      <c r="AU718" s="420" t="s">
        <v>2001</v>
      </c>
      <c r="AV718" s="420" t="s">
        <v>2001</v>
      </c>
      <c r="AW718" s="121">
        <v>0</v>
      </c>
      <c r="AX718" s="121">
        <v>194662</v>
      </c>
      <c r="BI718">
        <v>0</v>
      </c>
      <c r="BJ718" s="121">
        <v>0</v>
      </c>
      <c r="BK718" s="134">
        <v>173155471</v>
      </c>
      <c r="BL718" s="934">
        <v>4365</v>
      </c>
      <c r="BM718" s="934">
        <v>4329</v>
      </c>
      <c r="BN718" s="934">
        <v>4436</v>
      </c>
      <c r="BO718" s="114">
        <v>0</v>
      </c>
      <c r="BP718" s="114">
        <v>0</v>
      </c>
    </row>
    <row r="719" spans="1:68">
      <c r="A719" t="s">
        <v>2685</v>
      </c>
      <c r="B719" t="s">
        <v>2573</v>
      </c>
      <c r="C719" s="121">
        <v>4710</v>
      </c>
      <c r="D719" s="72">
        <v>1</v>
      </c>
      <c r="E719">
        <v>38.283999999999999</v>
      </c>
      <c r="F719">
        <v>21</v>
      </c>
      <c r="G719">
        <v>13</v>
      </c>
      <c r="H719">
        <v>0</v>
      </c>
      <c r="I719" s="173">
        <v>1.17</v>
      </c>
      <c r="J719" s="121">
        <v>81940348</v>
      </c>
      <c r="K719" s="125">
        <v>308.65199999999999</v>
      </c>
      <c r="L719" s="173">
        <v>1.5</v>
      </c>
      <c r="M719">
        <v>1.17</v>
      </c>
      <c r="N719">
        <v>1.000000005</v>
      </c>
      <c r="O719">
        <v>16.999999499999994</v>
      </c>
      <c r="P719">
        <v>146.351</v>
      </c>
      <c r="Q719" s="125">
        <v>0</v>
      </c>
      <c r="R719" s="125">
        <v>0</v>
      </c>
      <c r="S719" s="125">
        <v>0.33800000000000002</v>
      </c>
      <c r="T719" s="125">
        <v>4.3419999999999996</v>
      </c>
      <c r="U719" s="125">
        <v>0.377</v>
      </c>
      <c r="V719" s="125">
        <v>0</v>
      </c>
      <c r="W719" s="125">
        <v>0.66800000000000004</v>
      </c>
      <c r="X719" s="125">
        <v>0</v>
      </c>
      <c r="Y719" s="125">
        <v>0</v>
      </c>
      <c r="Z719" s="125">
        <v>0</v>
      </c>
      <c r="AA719" s="125">
        <v>2.1680000000000001</v>
      </c>
      <c r="AB719" s="125">
        <v>8.266</v>
      </c>
      <c r="AC719" s="125">
        <v>132.5</v>
      </c>
      <c r="AD719" s="125">
        <v>9.6000000000000002E-2</v>
      </c>
      <c r="AE719" s="125">
        <v>9.4139999999999997</v>
      </c>
      <c r="AF719" s="125">
        <v>6.6929999999999996</v>
      </c>
      <c r="AG719" s="125">
        <v>0</v>
      </c>
      <c r="AH719" s="125">
        <v>0</v>
      </c>
      <c r="AI719" s="121">
        <v>838300</v>
      </c>
      <c r="AJ719" s="121">
        <v>0</v>
      </c>
      <c r="AK719" s="424">
        <v>12</v>
      </c>
      <c r="AL719">
        <v>0</v>
      </c>
      <c r="AM719" s="121">
        <v>48220</v>
      </c>
      <c r="AN719" s="125">
        <v>0</v>
      </c>
      <c r="AO719" s="125">
        <v>0</v>
      </c>
      <c r="AP719" s="121">
        <v>838300</v>
      </c>
      <c r="AQ719" s="114">
        <v>0</v>
      </c>
      <c r="AR719" s="121">
        <v>54.618117390000002</v>
      </c>
      <c r="AS719" s="121">
        <v>10732.631581</v>
      </c>
      <c r="AT719" s="121">
        <v>1413.4827663999999</v>
      </c>
      <c r="AU719" s="420" t="s">
        <v>2001</v>
      </c>
      <c r="AV719" s="420" t="s">
        <v>2001</v>
      </c>
      <c r="AW719" s="121">
        <v>0</v>
      </c>
      <c r="AX719" s="121">
        <v>0</v>
      </c>
      <c r="BI719">
        <v>0</v>
      </c>
      <c r="BJ719" s="121">
        <v>0</v>
      </c>
      <c r="BK719" s="134">
        <v>70348106</v>
      </c>
      <c r="BL719" s="934">
        <v>4710</v>
      </c>
      <c r="BM719" s="934">
        <v>4687</v>
      </c>
      <c r="BN719" s="934">
        <v>4121</v>
      </c>
      <c r="BO719" s="114">
        <v>0</v>
      </c>
      <c r="BP719" s="114">
        <v>0</v>
      </c>
    </row>
    <row r="720" spans="1:68">
      <c r="A720" t="s">
        <v>802</v>
      </c>
      <c r="B720" t="s">
        <v>1326</v>
      </c>
      <c r="C720" s="121">
        <v>4694</v>
      </c>
      <c r="D720" s="72">
        <v>1</v>
      </c>
      <c r="E720">
        <v>95.025000000000006</v>
      </c>
      <c r="F720">
        <v>31</v>
      </c>
      <c r="G720">
        <v>13</v>
      </c>
      <c r="H720">
        <v>1</v>
      </c>
      <c r="I720" s="173">
        <v>1.04</v>
      </c>
      <c r="J720" s="121">
        <v>43353099</v>
      </c>
      <c r="K720" s="125">
        <v>517.56700000000001</v>
      </c>
      <c r="L720" s="173">
        <v>1.5</v>
      </c>
      <c r="M720">
        <v>1.04</v>
      </c>
      <c r="N720">
        <v>1.000000005</v>
      </c>
      <c r="O720">
        <v>3.9999995000000066</v>
      </c>
      <c r="P720">
        <v>294</v>
      </c>
      <c r="Q720" s="125">
        <v>0.16700000000000001</v>
      </c>
      <c r="R720" s="125">
        <v>0</v>
      </c>
      <c r="S720" s="125">
        <v>0.51100000000000001</v>
      </c>
      <c r="T720" s="125">
        <v>10.225</v>
      </c>
      <c r="U720" s="125">
        <v>0</v>
      </c>
      <c r="V720" s="125">
        <v>0.69599999999999995</v>
      </c>
      <c r="W720" s="125">
        <v>2.206</v>
      </c>
      <c r="X720" s="125">
        <v>0</v>
      </c>
      <c r="Y720" s="125">
        <v>0</v>
      </c>
      <c r="Z720" s="125">
        <v>0</v>
      </c>
      <c r="AA720" s="125">
        <v>6.1189999999999998</v>
      </c>
      <c r="AB720" s="125">
        <v>18.186</v>
      </c>
      <c r="AC720" s="125">
        <v>229.8</v>
      </c>
      <c r="AD720" s="125">
        <v>0</v>
      </c>
      <c r="AE720" s="125">
        <v>17.39</v>
      </c>
      <c r="AF720" s="125">
        <v>14.7</v>
      </c>
      <c r="AG720" s="125">
        <v>0</v>
      </c>
      <c r="AH720" s="125">
        <v>0</v>
      </c>
      <c r="AI720" s="121">
        <v>436327</v>
      </c>
      <c r="AJ720" s="121">
        <v>23155</v>
      </c>
      <c r="AK720" s="424">
        <v>12</v>
      </c>
      <c r="AL720">
        <v>0</v>
      </c>
      <c r="AM720" s="121">
        <v>20688</v>
      </c>
      <c r="AN720" s="125">
        <v>0</v>
      </c>
      <c r="AO720" s="125">
        <v>0</v>
      </c>
      <c r="AP720" s="121">
        <v>459482</v>
      </c>
      <c r="AQ720" s="114">
        <v>0</v>
      </c>
      <c r="AR720" s="121">
        <v>28.897419929000002</v>
      </c>
      <c r="AS720" s="121">
        <v>5678.4337606999998</v>
      </c>
      <c r="AT720" s="121">
        <v>747.84717994000005</v>
      </c>
      <c r="AU720" s="420" t="s">
        <v>2001</v>
      </c>
      <c r="AV720" s="420" t="s">
        <v>2001</v>
      </c>
      <c r="AW720" s="121">
        <v>0</v>
      </c>
      <c r="AX720" s="121">
        <v>87242</v>
      </c>
      <c r="BI720">
        <v>0</v>
      </c>
      <c r="BJ720" s="121">
        <v>0</v>
      </c>
      <c r="BK720" s="134">
        <v>42059710</v>
      </c>
      <c r="BL720" s="934">
        <v>4694</v>
      </c>
      <c r="BM720" s="934">
        <v>4129</v>
      </c>
      <c r="BN720" s="934">
        <v>4129</v>
      </c>
      <c r="BO720" s="114">
        <v>0</v>
      </c>
      <c r="BP720" s="114">
        <v>0</v>
      </c>
    </row>
    <row r="721" spans="1:68">
      <c r="A721" t="s">
        <v>570</v>
      </c>
      <c r="B721" t="s">
        <v>2574</v>
      </c>
      <c r="C721" s="121">
        <v>7012</v>
      </c>
      <c r="D721" s="72">
        <v>2</v>
      </c>
      <c r="E721">
        <v>147.76599999999999</v>
      </c>
      <c r="F721">
        <v>49</v>
      </c>
      <c r="G721">
        <v>32</v>
      </c>
      <c r="H721">
        <v>3</v>
      </c>
      <c r="I721" s="173">
        <v>1.04</v>
      </c>
      <c r="J721" s="121">
        <v>405546970</v>
      </c>
      <c r="K721" s="125">
        <v>791.36699999999996</v>
      </c>
      <c r="L721" s="173">
        <v>1.5</v>
      </c>
      <c r="M721">
        <v>1.04</v>
      </c>
      <c r="N721">
        <v>1.000000005</v>
      </c>
      <c r="O721">
        <v>3.9999995000000066</v>
      </c>
      <c r="P721">
        <v>448.56799999999998</v>
      </c>
      <c r="Q721" s="125">
        <v>1.0999999999999999E-2</v>
      </c>
      <c r="R721" s="125">
        <v>0</v>
      </c>
      <c r="S721" s="125">
        <v>0.80400000000000005</v>
      </c>
      <c r="T721" s="125">
        <v>19.457999999999998</v>
      </c>
      <c r="U721" s="125">
        <v>4.7969999999999997</v>
      </c>
      <c r="V721" s="125">
        <v>0</v>
      </c>
      <c r="W721" s="125">
        <v>9.6150000000000002</v>
      </c>
      <c r="X721" s="125">
        <v>0</v>
      </c>
      <c r="Y721" s="125">
        <v>0</v>
      </c>
      <c r="Z721" s="125">
        <v>0</v>
      </c>
      <c r="AA721" s="125">
        <v>14.323</v>
      </c>
      <c r="AB721" s="125">
        <v>29.905000000000001</v>
      </c>
      <c r="AC721" s="125">
        <v>286.2</v>
      </c>
      <c r="AD721" s="125">
        <v>0.184</v>
      </c>
      <c r="AE721" s="125">
        <v>10.396000000000001</v>
      </c>
      <c r="AF721" s="125">
        <v>22.428000000000001</v>
      </c>
      <c r="AG721" s="125">
        <v>0</v>
      </c>
      <c r="AH721" s="125">
        <v>0</v>
      </c>
      <c r="AI721" s="121">
        <v>4340001</v>
      </c>
      <c r="AJ721" s="121">
        <v>0</v>
      </c>
      <c r="AK721" s="424">
        <v>12</v>
      </c>
      <c r="AL721">
        <v>0</v>
      </c>
      <c r="AM721" s="121">
        <v>51619</v>
      </c>
      <c r="AN721" s="125">
        <v>0</v>
      </c>
      <c r="AO721" s="125">
        <v>0</v>
      </c>
      <c r="AP721" s="121">
        <v>4340001</v>
      </c>
      <c r="AQ721" s="114">
        <v>0</v>
      </c>
      <c r="AR721" s="121">
        <v>0</v>
      </c>
      <c r="AS721" s="121">
        <v>0</v>
      </c>
      <c r="AT721" s="121">
        <v>0</v>
      </c>
      <c r="AU721" s="420" t="s">
        <v>798</v>
      </c>
      <c r="AV721" s="72" t="s">
        <v>798</v>
      </c>
      <c r="AW721" s="121">
        <v>0</v>
      </c>
      <c r="AX721" s="121">
        <v>0</v>
      </c>
      <c r="AY721" s="134">
        <v>597062</v>
      </c>
      <c r="AZ721" s="134">
        <v>1621229</v>
      </c>
      <c r="BA721" s="114">
        <v>688</v>
      </c>
      <c r="BB721" s="134">
        <v>159652072</v>
      </c>
      <c r="BC721" s="114">
        <v>0</v>
      </c>
      <c r="BD721" s="114">
        <v>0</v>
      </c>
      <c r="BE721" s="114">
        <v>0</v>
      </c>
      <c r="BF721" s="114">
        <v>500</v>
      </c>
      <c r="BG721" s="114">
        <v>0</v>
      </c>
      <c r="BH721" s="114">
        <v>0</v>
      </c>
      <c r="BI721">
        <v>0</v>
      </c>
      <c r="BJ721" s="121">
        <v>297</v>
      </c>
      <c r="BK721" s="134">
        <v>405546970</v>
      </c>
      <c r="BL721" s="934">
        <v>5484</v>
      </c>
      <c r="BM721" s="934">
        <v>7012</v>
      </c>
      <c r="BN721" s="934">
        <v>6012</v>
      </c>
      <c r="BO721" s="114">
        <v>0</v>
      </c>
      <c r="BP721" s="114">
        <v>0</v>
      </c>
    </row>
    <row r="722" spans="1:68">
      <c r="A722" t="s">
        <v>803</v>
      </c>
      <c r="B722" t="s">
        <v>493</v>
      </c>
      <c r="C722" s="121">
        <v>5557</v>
      </c>
      <c r="D722" s="72">
        <v>3</v>
      </c>
      <c r="E722">
        <v>199.816</v>
      </c>
      <c r="F722">
        <v>68</v>
      </c>
      <c r="G722">
        <v>28</v>
      </c>
      <c r="H722">
        <v>7</v>
      </c>
      <c r="I722" s="173">
        <v>0.99329999999999996</v>
      </c>
      <c r="J722" s="121">
        <v>250672199</v>
      </c>
      <c r="K722" s="125">
        <v>1079.9649999999999</v>
      </c>
      <c r="L722" s="173">
        <v>1.37</v>
      </c>
      <c r="M722">
        <v>0.99329999999999996</v>
      </c>
      <c r="N722">
        <v>0.91333333790000004</v>
      </c>
      <c r="O722">
        <v>7.9966662099999919</v>
      </c>
      <c r="P722">
        <v>644.95799999999997</v>
      </c>
      <c r="Q722" s="125">
        <v>0.28199999999999997</v>
      </c>
      <c r="R722" s="125">
        <v>0</v>
      </c>
      <c r="S722" s="125">
        <v>1.24</v>
      </c>
      <c r="T722" s="125">
        <v>14.785</v>
      </c>
      <c r="U722" s="125">
        <v>5.9550000000000001</v>
      </c>
      <c r="V722" s="125">
        <v>4.0780000000000003</v>
      </c>
      <c r="W722" s="125">
        <v>4.5890000000000004</v>
      </c>
      <c r="X722" s="125">
        <v>0</v>
      </c>
      <c r="Y722" s="125">
        <v>0</v>
      </c>
      <c r="Z722" s="125">
        <v>4.7850000000000001</v>
      </c>
      <c r="AA722" s="125">
        <v>15.679</v>
      </c>
      <c r="AB722" s="125">
        <v>56.798000000000002</v>
      </c>
      <c r="AC722" s="125">
        <v>406</v>
      </c>
      <c r="AD722" s="125">
        <v>0</v>
      </c>
      <c r="AE722" s="125">
        <v>18.797999999999998</v>
      </c>
      <c r="AF722" s="125">
        <v>32.247900000000001</v>
      </c>
      <c r="AG722" s="125">
        <v>0</v>
      </c>
      <c r="AH722" s="125">
        <v>0</v>
      </c>
      <c r="AI722" s="121">
        <v>2438535</v>
      </c>
      <c r="AJ722" s="121">
        <v>141653</v>
      </c>
      <c r="AK722" s="424">
        <v>12</v>
      </c>
      <c r="AL722">
        <v>0</v>
      </c>
      <c r="AM722" s="121">
        <v>55826</v>
      </c>
      <c r="AN722" s="125">
        <v>0</v>
      </c>
      <c r="AO722" s="125">
        <v>0</v>
      </c>
      <c r="AP722" s="121">
        <v>2580188</v>
      </c>
      <c r="AQ722" s="114">
        <v>0</v>
      </c>
      <c r="AR722" s="121">
        <v>167.08793528000001</v>
      </c>
      <c r="AS722" s="121">
        <v>32833.303978000004</v>
      </c>
      <c r="AT722" s="121">
        <v>4324.1314106999998</v>
      </c>
      <c r="AU722" s="420" t="s">
        <v>2001</v>
      </c>
      <c r="AV722" s="420" t="s">
        <v>2001</v>
      </c>
      <c r="AW722" s="121">
        <v>0</v>
      </c>
      <c r="AX722" s="121">
        <v>146551</v>
      </c>
      <c r="BI722">
        <v>0</v>
      </c>
      <c r="BJ722" s="121">
        <v>0</v>
      </c>
      <c r="BK722" s="134">
        <v>243549985</v>
      </c>
      <c r="BL722" s="934">
        <v>4928</v>
      </c>
      <c r="BM722" s="934">
        <v>5468</v>
      </c>
      <c r="BN722" s="934">
        <v>5557</v>
      </c>
      <c r="BO722" s="114">
        <v>0</v>
      </c>
      <c r="BP722" s="114">
        <v>0</v>
      </c>
    </row>
    <row r="723" spans="1:68">
      <c r="A723" t="s">
        <v>571</v>
      </c>
      <c r="B723" t="s">
        <v>2575</v>
      </c>
      <c r="C723" s="121">
        <v>4442</v>
      </c>
      <c r="D723" s="72">
        <v>1</v>
      </c>
      <c r="E723">
        <v>1686.905</v>
      </c>
      <c r="F723">
        <v>470</v>
      </c>
      <c r="G723">
        <v>408</v>
      </c>
      <c r="H723">
        <v>17</v>
      </c>
      <c r="I723" s="173">
        <v>1.17</v>
      </c>
      <c r="J723" s="121">
        <v>1645675458</v>
      </c>
      <c r="K723" s="125">
        <v>8129.3370000000004</v>
      </c>
      <c r="L723" s="173">
        <v>1.5</v>
      </c>
      <c r="M723">
        <v>1.17</v>
      </c>
      <c r="N723">
        <v>1.000000005</v>
      </c>
      <c r="O723">
        <v>16.999999499999994</v>
      </c>
      <c r="P723">
        <v>6210</v>
      </c>
      <c r="Q723" s="125">
        <v>0.17499999999999999</v>
      </c>
      <c r="R723" s="125">
        <v>0</v>
      </c>
      <c r="S723" s="125">
        <v>5.8559999999999999</v>
      </c>
      <c r="T723" s="125">
        <v>137.99600000000001</v>
      </c>
      <c r="U723" s="125">
        <v>23.364000000000001</v>
      </c>
      <c r="V723" s="125">
        <v>8.33</v>
      </c>
      <c r="W723" s="125">
        <v>1.1639999999999999</v>
      </c>
      <c r="X723" s="125">
        <v>0</v>
      </c>
      <c r="Y723" s="125">
        <v>0</v>
      </c>
      <c r="Z723" s="125">
        <v>1.8440000000000001</v>
      </c>
      <c r="AA723" s="125">
        <v>59</v>
      </c>
      <c r="AB723" s="125">
        <v>374</v>
      </c>
      <c r="AC723" s="125">
        <v>5200</v>
      </c>
      <c r="AD723" s="125">
        <v>5.8739999999999997</v>
      </c>
      <c r="AE723" s="125">
        <v>950</v>
      </c>
      <c r="AF723" s="125">
        <v>310</v>
      </c>
      <c r="AG723" s="125">
        <v>0</v>
      </c>
      <c r="AH723" s="125">
        <v>0</v>
      </c>
      <c r="AI723" s="121">
        <v>19461747</v>
      </c>
      <c r="AJ723" s="121">
        <v>3118246</v>
      </c>
      <c r="AK723" s="424">
        <v>12</v>
      </c>
      <c r="AL723">
        <v>0</v>
      </c>
      <c r="AM723" s="121">
        <v>573819</v>
      </c>
      <c r="AN723" s="125">
        <v>0</v>
      </c>
      <c r="AO723" s="125">
        <v>0</v>
      </c>
      <c r="AP723" s="121">
        <v>22579993</v>
      </c>
      <c r="AQ723" s="114">
        <v>0</v>
      </c>
      <c r="AR723" s="121">
        <v>1096.9406065999999</v>
      </c>
      <c r="AS723" s="121">
        <v>215552.27385</v>
      </c>
      <c r="AT723" s="121">
        <v>28388.137806999999</v>
      </c>
      <c r="AU723" s="420" t="s">
        <v>2001</v>
      </c>
      <c r="AV723" s="420" t="s">
        <v>2001</v>
      </c>
      <c r="AW723" s="121">
        <v>0</v>
      </c>
      <c r="AX723" s="121">
        <v>3901405</v>
      </c>
      <c r="BI723">
        <v>0</v>
      </c>
      <c r="BJ723" s="121">
        <v>0</v>
      </c>
      <c r="BK723" s="134">
        <v>1633183290</v>
      </c>
      <c r="BL723" s="934">
        <v>4442</v>
      </c>
      <c r="BM723" s="934">
        <v>4426</v>
      </c>
      <c r="BN723" s="934">
        <v>4426</v>
      </c>
      <c r="BO723" s="114">
        <v>0</v>
      </c>
      <c r="BP723" s="114">
        <v>0</v>
      </c>
    </row>
    <row r="724" spans="1:68">
      <c r="A724" t="s">
        <v>410</v>
      </c>
      <c r="B724" t="s">
        <v>1291</v>
      </c>
      <c r="C724" s="121">
        <v>4777</v>
      </c>
      <c r="D724" s="72">
        <v>2</v>
      </c>
      <c r="E724">
        <v>262.56200000000001</v>
      </c>
      <c r="F724">
        <v>80</v>
      </c>
      <c r="G724">
        <v>57</v>
      </c>
      <c r="H724">
        <v>5</v>
      </c>
      <c r="I724" s="173">
        <v>1.04</v>
      </c>
      <c r="J724" s="121">
        <v>110743897</v>
      </c>
      <c r="K724" s="125">
        <v>1341.499</v>
      </c>
      <c r="L724" s="173">
        <v>1.4870000000000001</v>
      </c>
      <c r="M724">
        <v>1.04</v>
      </c>
      <c r="N724">
        <v>0.99133333829000014</v>
      </c>
      <c r="O724">
        <v>4.8666661709999897</v>
      </c>
      <c r="P724">
        <v>820.98500000000001</v>
      </c>
      <c r="Q724" s="125">
        <v>0.17199999999999999</v>
      </c>
      <c r="R724" s="125">
        <v>19.585000000000001</v>
      </c>
      <c r="S724" s="125">
        <v>1.7450000000000001</v>
      </c>
      <c r="T724" s="125">
        <v>23.062999999999999</v>
      </c>
      <c r="U724" s="125">
        <v>2.419</v>
      </c>
      <c r="V724" s="125">
        <v>1.1719999999999999</v>
      </c>
      <c r="W724" s="125">
        <v>8.0299999999999994</v>
      </c>
      <c r="X724" s="125">
        <v>0</v>
      </c>
      <c r="Y724" s="125">
        <v>0</v>
      </c>
      <c r="Z724" s="125">
        <v>0</v>
      </c>
      <c r="AA724" s="125">
        <v>24.661000000000001</v>
      </c>
      <c r="AB724" s="125">
        <v>48.033000000000001</v>
      </c>
      <c r="AC724" s="125">
        <v>533.4</v>
      </c>
      <c r="AD724" s="125">
        <v>5.2999999999999999E-2</v>
      </c>
      <c r="AE724" s="125">
        <v>2.7669999999999999</v>
      </c>
      <c r="AF724" s="125">
        <v>41.048999999999999</v>
      </c>
      <c r="AG724" s="125">
        <v>0</v>
      </c>
      <c r="AH724" s="125">
        <v>0</v>
      </c>
      <c r="AI724" s="121">
        <v>1148857</v>
      </c>
      <c r="AJ724" s="121">
        <v>26036</v>
      </c>
      <c r="AK724" s="424">
        <v>12</v>
      </c>
      <c r="AL724">
        <v>0</v>
      </c>
      <c r="AM724" s="121">
        <v>228748</v>
      </c>
      <c r="AN724" s="125">
        <v>0</v>
      </c>
      <c r="AO724" s="125">
        <v>0</v>
      </c>
      <c r="AP724" s="121">
        <v>1174893</v>
      </c>
      <c r="AQ724" s="114">
        <v>0</v>
      </c>
      <c r="AR724" s="121">
        <v>73.817396350999999</v>
      </c>
      <c r="AS724" s="121">
        <v>14505.350187</v>
      </c>
      <c r="AT724" s="121">
        <v>1910.3481151000001</v>
      </c>
      <c r="AU724" s="420" t="s">
        <v>2001</v>
      </c>
      <c r="AV724" s="420" t="s">
        <v>2001</v>
      </c>
      <c r="AW724" s="121">
        <v>0</v>
      </c>
      <c r="AX724" s="121">
        <v>185434</v>
      </c>
      <c r="BI724">
        <v>0</v>
      </c>
      <c r="BJ724" s="121">
        <v>0</v>
      </c>
      <c r="BK724" s="134">
        <v>110743897</v>
      </c>
      <c r="BL724" s="934">
        <v>4597</v>
      </c>
      <c r="BM724" s="934">
        <v>4772</v>
      </c>
      <c r="BN724" s="934">
        <v>4777</v>
      </c>
      <c r="BO724" s="114">
        <v>0</v>
      </c>
      <c r="BP724" s="114">
        <v>0</v>
      </c>
    </row>
    <row r="725" spans="1:68">
      <c r="A725" t="s">
        <v>572</v>
      </c>
      <c r="B725" t="s">
        <v>2576</v>
      </c>
      <c r="C725" s="121">
        <v>4613</v>
      </c>
      <c r="D725" s="72">
        <v>1</v>
      </c>
      <c r="E725">
        <v>196.476</v>
      </c>
      <c r="F725">
        <v>63</v>
      </c>
      <c r="G725">
        <v>36</v>
      </c>
      <c r="H725">
        <v>6</v>
      </c>
      <c r="I725" s="173">
        <v>1.04</v>
      </c>
      <c r="J725" s="121">
        <v>98124202</v>
      </c>
      <c r="K725" s="125">
        <v>1123.395</v>
      </c>
      <c r="L725" s="173">
        <v>1.5</v>
      </c>
      <c r="M725">
        <v>1.04</v>
      </c>
      <c r="N725">
        <v>1.000000005</v>
      </c>
      <c r="O725">
        <v>3.9999995000000066</v>
      </c>
      <c r="P725">
        <v>714.64300000000003</v>
      </c>
      <c r="Q725" s="125">
        <v>0.105</v>
      </c>
      <c r="R725" s="125">
        <v>0</v>
      </c>
      <c r="S725" s="125">
        <v>1.7969999999999999</v>
      </c>
      <c r="T725" s="125">
        <v>17.349</v>
      </c>
      <c r="U725" s="125">
        <v>8.4290000000000003</v>
      </c>
      <c r="V725" s="125">
        <v>3.2429999999999999</v>
      </c>
      <c r="W725" s="125">
        <v>1.3939999999999999</v>
      </c>
      <c r="X725" s="125">
        <v>0</v>
      </c>
      <c r="Y725" s="125">
        <v>0</v>
      </c>
      <c r="Z725" s="125">
        <v>0</v>
      </c>
      <c r="AA725" s="125">
        <v>11.808</v>
      </c>
      <c r="AB725" s="125">
        <v>47.850999999999999</v>
      </c>
      <c r="AC725" s="125">
        <v>381.9</v>
      </c>
      <c r="AD725" s="125">
        <v>0.73</v>
      </c>
      <c r="AE725" s="125">
        <v>22.373999999999999</v>
      </c>
      <c r="AF725" s="125">
        <v>35.152999999999999</v>
      </c>
      <c r="AG725" s="125">
        <v>0</v>
      </c>
      <c r="AH725" s="125">
        <v>0</v>
      </c>
      <c r="AI725" s="121">
        <v>1007225</v>
      </c>
      <c r="AJ725" s="121">
        <v>0</v>
      </c>
      <c r="AK725" s="424">
        <v>12</v>
      </c>
      <c r="AL725">
        <v>0</v>
      </c>
      <c r="AM725" s="121">
        <v>56058</v>
      </c>
      <c r="AN725" s="125">
        <v>0</v>
      </c>
      <c r="AO725" s="125">
        <v>0</v>
      </c>
      <c r="AP725" s="121">
        <v>1007225</v>
      </c>
      <c r="AQ725" s="114">
        <v>0</v>
      </c>
      <c r="AR725" s="121">
        <v>65.405618791999999</v>
      </c>
      <c r="AS725" s="121">
        <v>12852.409481000001</v>
      </c>
      <c r="AT725" s="121">
        <v>1692.6565654000001</v>
      </c>
      <c r="AU725" s="420" t="s">
        <v>2001</v>
      </c>
      <c r="AV725" s="420" t="s">
        <v>2001</v>
      </c>
      <c r="AW725" s="121">
        <v>0</v>
      </c>
      <c r="AX725" s="121">
        <v>0</v>
      </c>
      <c r="BI725">
        <v>0</v>
      </c>
      <c r="BJ725" s="121">
        <v>0</v>
      </c>
      <c r="BK725" s="134">
        <v>98124202</v>
      </c>
      <c r="BL725" s="934">
        <v>4613</v>
      </c>
      <c r="BM725" s="934">
        <v>4489</v>
      </c>
      <c r="BN725" s="934">
        <v>4489</v>
      </c>
      <c r="BO725" s="114">
        <v>0</v>
      </c>
      <c r="BP725" s="114">
        <v>0</v>
      </c>
    </row>
    <row r="726" spans="1:68">
      <c r="A726" t="s">
        <v>573</v>
      </c>
      <c r="B726" t="s">
        <v>2577</v>
      </c>
      <c r="C726" s="121">
        <v>4608</v>
      </c>
      <c r="D726" s="72">
        <v>2</v>
      </c>
      <c r="E726">
        <v>99.753</v>
      </c>
      <c r="F726">
        <v>33</v>
      </c>
      <c r="G726">
        <v>13</v>
      </c>
      <c r="H726">
        <v>0</v>
      </c>
      <c r="I726" s="173">
        <v>1.04</v>
      </c>
      <c r="J726" s="121">
        <v>50717776</v>
      </c>
      <c r="K726" s="125">
        <v>538.45500000000004</v>
      </c>
      <c r="L726" s="173">
        <v>1.5</v>
      </c>
      <c r="M726">
        <v>1.04</v>
      </c>
      <c r="N726">
        <v>1.000000005</v>
      </c>
      <c r="O726">
        <v>3.9999995000000066</v>
      </c>
      <c r="P726">
        <v>306</v>
      </c>
      <c r="Q726" s="125">
        <v>0</v>
      </c>
      <c r="R726" s="125">
        <v>0.27800000000000002</v>
      </c>
      <c r="S726" s="125">
        <v>0.42699999999999999</v>
      </c>
      <c r="T726" s="125">
        <v>13.169</v>
      </c>
      <c r="U726" s="125">
        <v>0</v>
      </c>
      <c r="V726" s="125">
        <v>0</v>
      </c>
      <c r="W726" s="125">
        <v>3.4889999999999999</v>
      </c>
      <c r="X726" s="125">
        <v>0</v>
      </c>
      <c r="Y726" s="125">
        <v>0</v>
      </c>
      <c r="Z726" s="125">
        <v>1.46</v>
      </c>
      <c r="AA726" s="125">
        <v>4</v>
      </c>
      <c r="AB726" s="125">
        <v>20</v>
      </c>
      <c r="AC726" s="125">
        <v>200</v>
      </c>
      <c r="AD726" s="125">
        <v>0</v>
      </c>
      <c r="AE726" s="125">
        <v>15</v>
      </c>
      <c r="AF726" s="125">
        <v>15</v>
      </c>
      <c r="AG726" s="125">
        <v>0</v>
      </c>
      <c r="AH726" s="125">
        <v>0</v>
      </c>
      <c r="AI726" s="121">
        <v>531685</v>
      </c>
      <c r="AJ726" s="121">
        <v>33797</v>
      </c>
      <c r="AK726" s="424">
        <v>12</v>
      </c>
      <c r="AL726">
        <v>0</v>
      </c>
      <c r="AM726" s="121">
        <v>28547</v>
      </c>
      <c r="AN726" s="125">
        <v>0</v>
      </c>
      <c r="AO726" s="125">
        <v>1</v>
      </c>
      <c r="AP726" s="121">
        <v>565482</v>
      </c>
      <c r="AQ726" s="114">
        <v>0</v>
      </c>
      <c r="AR726" s="121">
        <v>33.806415291999997</v>
      </c>
      <c r="AS726" s="121">
        <v>6643.0667648999997</v>
      </c>
      <c r="AT726" s="121">
        <v>874.88891403000002</v>
      </c>
      <c r="AU726" s="420" t="s">
        <v>2001</v>
      </c>
      <c r="AV726" s="420" t="s">
        <v>2001</v>
      </c>
      <c r="AW726" s="121">
        <v>0</v>
      </c>
      <c r="AX726" s="121">
        <v>123852</v>
      </c>
      <c r="BI726">
        <v>0</v>
      </c>
      <c r="BJ726" s="121">
        <v>0</v>
      </c>
      <c r="BK726" s="134">
        <v>50717776</v>
      </c>
      <c r="BL726" s="934">
        <v>4525</v>
      </c>
      <c r="BM726" s="934">
        <v>4608</v>
      </c>
      <c r="BN726" s="934">
        <v>4608</v>
      </c>
      <c r="BO726" s="114">
        <v>0</v>
      </c>
      <c r="BP726" s="114">
        <v>0</v>
      </c>
    </row>
    <row r="727" spans="1:68">
      <c r="A727" t="s">
        <v>877</v>
      </c>
      <c r="B727" t="s">
        <v>1003</v>
      </c>
      <c r="C727" s="121">
        <v>3925</v>
      </c>
      <c r="D727" s="72">
        <v>1</v>
      </c>
      <c r="E727">
        <v>0</v>
      </c>
      <c r="F727">
        <v>12</v>
      </c>
      <c r="G727">
        <v>12</v>
      </c>
      <c r="H727">
        <v>2</v>
      </c>
      <c r="I727" s="173">
        <v>1.04</v>
      </c>
      <c r="J727" s="121">
        <v>40199461</v>
      </c>
      <c r="K727" s="125">
        <v>215.74199999999999</v>
      </c>
      <c r="L727" s="173">
        <v>1.45</v>
      </c>
      <c r="M727">
        <v>1.04</v>
      </c>
      <c r="N727">
        <v>0.96666667149999996</v>
      </c>
      <c r="O727">
        <v>7.3333328500000068</v>
      </c>
      <c r="P727">
        <v>130</v>
      </c>
      <c r="Q727" s="125">
        <v>0</v>
      </c>
      <c r="R727" s="125">
        <v>0</v>
      </c>
      <c r="S727" s="125">
        <v>0.49199999999999999</v>
      </c>
      <c r="T727" s="125">
        <v>1.498</v>
      </c>
      <c r="U727" s="125">
        <v>0</v>
      </c>
      <c r="V727" s="125">
        <v>1.288</v>
      </c>
      <c r="W727" s="125">
        <v>0</v>
      </c>
      <c r="X727" s="125">
        <v>0</v>
      </c>
      <c r="Y727" s="125">
        <v>0</v>
      </c>
      <c r="Z727" s="125">
        <v>0</v>
      </c>
      <c r="AA727" s="125">
        <v>3.214</v>
      </c>
      <c r="AB727" s="125">
        <v>0</v>
      </c>
      <c r="AC727" s="125">
        <v>70</v>
      </c>
      <c r="AD727" s="125">
        <v>0</v>
      </c>
      <c r="AE727" s="125">
        <v>0</v>
      </c>
      <c r="AF727" s="125">
        <v>6.5</v>
      </c>
      <c r="AG727" s="125">
        <v>0</v>
      </c>
      <c r="AH727" s="125">
        <v>0</v>
      </c>
      <c r="AI727" s="121">
        <v>402097</v>
      </c>
      <c r="AJ727" s="121">
        <v>0</v>
      </c>
      <c r="AK727" s="424">
        <v>8</v>
      </c>
      <c r="AL727">
        <v>0</v>
      </c>
      <c r="AM727" s="121">
        <v>28719</v>
      </c>
      <c r="AN727" s="125">
        <v>0</v>
      </c>
      <c r="AO727" s="125">
        <v>0</v>
      </c>
      <c r="AP727" s="121">
        <v>402097</v>
      </c>
      <c r="AQ727" s="114">
        <v>0</v>
      </c>
      <c r="AR727" s="121">
        <v>26.795332753</v>
      </c>
      <c r="AS727" s="121">
        <v>5265.3670295000002</v>
      </c>
      <c r="AT727" s="121">
        <v>693.44647667000004</v>
      </c>
      <c r="AU727" s="420" t="s">
        <v>2001</v>
      </c>
      <c r="AV727" s="420" t="s">
        <v>2001</v>
      </c>
      <c r="AW727" s="121">
        <v>0</v>
      </c>
      <c r="AX727" s="121">
        <v>0</v>
      </c>
      <c r="BI727">
        <v>0</v>
      </c>
      <c r="BJ727" s="121">
        <v>0</v>
      </c>
      <c r="BK727" s="134">
        <v>40023944</v>
      </c>
      <c r="BL727" s="934">
        <v>3925</v>
      </c>
      <c r="BM727" s="934">
        <v>3800</v>
      </c>
      <c r="BN727" s="934">
        <v>3914</v>
      </c>
      <c r="BO727" s="114">
        <v>0</v>
      </c>
      <c r="BP727" s="114">
        <v>0</v>
      </c>
    </row>
    <row r="728" spans="1:68">
      <c r="A728" t="s">
        <v>574</v>
      </c>
      <c r="B728" t="s">
        <v>2578</v>
      </c>
      <c r="C728" s="121">
        <v>5820</v>
      </c>
      <c r="D728" s="72">
        <v>2</v>
      </c>
      <c r="E728">
        <v>92.018000000000001</v>
      </c>
      <c r="F728">
        <v>32</v>
      </c>
      <c r="G728">
        <v>12</v>
      </c>
      <c r="H728">
        <v>0</v>
      </c>
      <c r="I728" s="173">
        <v>1.04</v>
      </c>
      <c r="J728" s="121">
        <v>179784831</v>
      </c>
      <c r="K728" s="125">
        <v>524.95600000000002</v>
      </c>
      <c r="L728" s="173">
        <v>1.5</v>
      </c>
      <c r="M728">
        <v>1.04</v>
      </c>
      <c r="N728">
        <v>1.000000005</v>
      </c>
      <c r="O728">
        <v>3.9999995000000066</v>
      </c>
      <c r="P728">
        <v>334.05099999999999</v>
      </c>
      <c r="Q728" s="125">
        <v>0</v>
      </c>
      <c r="R728" s="125">
        <v>0</v>
      </c>
      <c r="S728" s="125">
        <v>0.61299999999999999</v>
      </c>
      <c r="T728" s="125">
        <v>6.2</v>
      </c>
      <c r="U728" s="125">
        <v>0.46</v>
      </c>
      <c r="V728" s="125">
        <v>0.68200000000000005</v>
      </c>
      <c r="W728" s="125">
        <v>0.57699999999999996</v>
      </c>
      <c r="X728" s="125">
        <v>0</v>
      </c>
      <c r="Y728" s="125">
        <v>0</v>
      </c>
      <c r="Z728" s="125">
        <v>0</v>
      </c>
      <c r="AA728" s="125">
        <v>6.2960000000000003</v>
      </c>
      <c r="AB728" s="125">
        <v>14.904999999999999</v>
      </c>
      <c r="AC728" s="125">
        <v>129</v>
      </c>
      <c r="AD728" s="125">
        <v>0</v>
      </c>
      <c r="AE728" s="125">
        <v>10.839</v>
      </c>
      <c r="AF728" s="125">
        <v>16.702549999999999</v>
      </c>
      <c r="AG728" s="125">
        <v>0</v>
      </c>
      <c r="AH728" s="125">
        <v>0</v>
      </c>
      <c r="AI728" s="121">
        <v>1904353</v>
      </c>
      <c r="AJ728" s="121">
        <v>0</v>
      </c>
      <c r="AK728" s="424">
        <v>12</v>
      </c>
      <c r="AL728">
        <v>0</v>
      </c>
      <c r="AM728" s="121">
        <v>37227</v>
      </c>
      <c r="AN728" s="125">
        <v>0</v>
      </c>
      <c r="AO728" s="125">
        <v>0</v>
      </c>
      <c r="AP728" s="121">
        <v>1904353</v>
      </c>
      <c r="AQ728" s="114">
        <v>0</v>
      </c>
      <c r="AR728" s="121">
        <v>119.83728664</v>
      </c>
      <c r="AS728" s="121">
        <v>23548.403140999999</v>
      </c>
      <c r="AT728" s="121">
        <v>3101.3141340000002</v>
      </c>
      <c r="AU728" s="420" t="s">
        <v>798</v>
      </c>
      <c r="AV728" s="420" t="s">
        <v>2001</v>
      </c>
      <c r="AW728" s="121">
        <v>0</v>
      </c>
      <c r="AX728" s="121">
        <v>0</v>
      </c>
      <c r="AY728" s="114">
        <v>0</v>
      </c>
      <c r="AZ728" s="134">
        <v>961029</v>
      </c>
      <c r="BA728" s="114">
        <v>355</v>
      </c>
      <c r="BB728" s="134">
        <v>34374367</v>
      </c>
      <c r="BC728" s="114">
        <v>0</v>
      </c>
      <c r="BD728" s="114">
        <v>0</v>
      </c>
      <c r="BE728" s="114">
        <v>0</v>
      </c>
      <c r="BF728" s="114">
        <v>362</v>
      </c>
      <c r="BG728" s="114">
        <v>0</v>
      </c>
      <c r="BH728" s="114">
        <v>0</v>
      </c>
      <c r="BI728">
        <v>0</v>
      </c>
      <c r="BJ728" s="121">
        <v>0</v>
      </c>
      <c r="BK728" s="134">
        <v>179784831</v>
      </c>
      <c r="BL728" s="934">
        <v>5281</v>
      </c>
      <c r="BM728" s="934">
        <v>5820</v>
      </c>
      <c r="BN728" s="934">
        <v>5820</v>
      </c>
      <c r="BO728" s="114">
        <v>0</v>
      </c>
      <c r="BP728" s="114">
        <v>0</v>
      </c>
    </row>
    <row r="729" spans="1:68">
      <c r="A729" t="s">
        <v>575</v>
      </c>
      <c r="B729" t="s">
        <v>339</v>
      </c>
      <c r="C729" s="121">
        <v>4553</v>
      </c>
      <c r="D729" s="72">
        <v>1</v>
      </c>
      <c r="E729">
        <v>304.64800000000002</v>
      </c>
      <c r="F729">
        <v>72</v>
      </c>
      <c r="G729">
        <v>50</v>
      </c>
      <c r="H729">
        <v>2</v>
      </c>
      <c r="I729" s="173">
        <v>1.04</v>
      </c>
      <c r="J729" s="121">
        <v>108502870</v>
      </c>
      <c r="K729" s="125">
        <v>1409.827</v>
      </c>
      <c r="L729" s="173">
        <v>1.5</v>
      </c>
      <c r="M729">
        <v>1.04</v>
      </c>
      <c r="N729">
        <v>1.000000005</v>
      </c>
      <c r="O729">
        <v>3.9999995000000066</v>
      </c>
      <c r="P729">
        <v>869.28599999999994</v>
      </c>
      <c r="Q729" s="125">
        <v>1.2E-2</v>
      </c>
      <c r="R729" s="125">
        <v>0</v>
      </c>
      <c r="S729" s="125">
        <v>0.46800000000000003</v>
      </c>
      <c r="T729" s="125">
        <v>29.948</v>
      </c>
      <c r="U729" s="125">
        <v>3.5870000000000002</v>
      </c>
      <c r="V729" s="125">
        <v>0</v>
      </c>
      <c r="W729" s="125">
        <v>5.7489999999999997</v>
      </c>
      <c r="X729" s="125">
        <v>0</v>
      </c>
      <c r="Y729" s="125">
        <v>0</v>
      </c>
      <c r="Z729" s="125">
        <v>6.4420000000000002</v>
      </c>
      <c r="AA729" s="125">
        <v>32.497999999999998</v>
      </c>
      <c r="AB729" s="125">
        <v>66.582999999999998</v>
      </c>
      <c r="AC729" s="125">
        <v>563.20000000000005</v>
      </c>
      <c r="AD729" s="125">
        <v>0</v>
      </c>
      <c r="AE729" s="125">
        <v>19.709</v>
      </c>
      <c r="AF729" s="125">
        <v>43.463999999999999</v>
      </c>
      <c r="AG729" s="125">
        <v>0</v>
      </c>
      <c r="AH729" s="125">
        <v>0</v>
      </c>
      <c r="AI729" s="121">
        <v>1161154</v>
      </c>
      <c r="AJ729" s="121">
        <v>80205</v>
      </c>
      <c r="AK729" s="424">
        <v>12</v>
      </c>
      <c r="AL729">
        <v>0</v>
      </c>
      <c r="AM729" s="121">
        <v>107733</v>
      </c>
      <c r="AN729" s="125">
        <v>0</v>
      </c>
      <c r="AO729" s="125">
        <v>0</v>
      </c>
      <c r="AP729" s="121">
        <v>1241359</v>
      </c>
      <c r="AQ729" s="114">
        <v>0</v>
      </c>
      <c r="AR729" s="121">
        <v>72.323618519999997</v>
      </c>
      <c r="AS729" s="121">
        <v>14211.818152</v>
      </c>
      <c r="AT729" s="121">
        <v>1871.6900777000001</v>
      </c>
      <c r="AU729" s="420" t="s">
        <v>2001</v>
      </c>
      <c r="AV729" s="420" t="s">
        <v>2001</v>
      </c>
      <c r="AW729" s="121">
        <v>0</v>
      </c>
      <c r="AX729" s="121">
        <v>242430</v>
      </c>
      <c r="BI729">
        <v>0</v>
      </c>
      <c r="BJ729" s="121">
        <v>0</v>
      </c>
      <c r="BK729" s="134">
        <v>108502870</v>
      </c>
      <c r="BL729" s="934">
        <v>4553</v>
      </c>
      <c r="BM729" s="934">
        <v>4542</v>
      </c>
      <c r="BN729" s="934">
        <v>4542</v>
      </c>
      <c r="BO729" s="114">
        <v>0</v>
      </c>
      <c r="BP729" s="114">
        <v>0</v>
      </c>
    </row>
    <row r="730" spans="1:68">
      <c r="A730" t="s">
        <v>2754</v>
      </c>
      <c r="B730" t="s">
        <v>1257</v>
      </c>
      <c r="C730" s="121">
        <v>4457</v>
      </c>
      <c r="D730" s="72">
        <v>2</v>
      </c>
      <c r="E730">
        <v>1367.9839999999999</v>
      </c>
      <c r="F730">
        <v>409</v>
      </c>
      <c r="G730">
        <v>328</v>
      </c>
      <c r="H730">
        <v>9</v>
      </c>
      <c r="I730" s="173">
        <v>1.04</v>
      </c>
      <c r="J730" s="121">
        <v>1248049486</v>
      </c>
      <c r="K730" s="125">
        <v>7300.8239999999996</v>
      </c>
      <c r="L730" s="173">
        <v>1.4108000000000001</v>
      </c>
      <c r="M730">
        <v>1.04</v>
      </c>
      <c r="N730">
        <v>0.94053333803600003</v>
      </c>
      <c r="O730">
        <v>9.9466661964000007</v>
      </c>
      <c r="P730">
        <v>5381</v>
      </c>
      <c r="Q730" s="125">
        <v>0.379</v>
      </c>
      <c r="R730" s="125">
        <v>0</v>
      </c>
      <c r="S730" s="125">
        <v>8.6129999999999995</v>
      </c>
      <c r="T730" s="125">
        <v>100.989</v>
      </c>
      <c r="U730" s="125">
        <v>44.959000000000003</v>
      </c>
      <c r="V730" s="125">
        <v>0</v>
      </c>
      <c r="W730" s="125">
        <v>9.27</v>
      </c>
      <c r="X730" s="125">
        <v>0</v>
      </c>
      <c r="Y730" s="125">
        <v>0</v>
      </c>
      <c r="Z730" s="125">
        <v>57.125</v>
      </c>
      <c r="AA730" s="125">
        <v>116.259</v>
      </c>
      <c r="AB730" s="125">
        <v>388.68</v>
      </c>
      <c r="AC730" s="125">
        <v>4079.5</v>
      </c>
      <c r="AD730" s="125">
        <v>3.1459999999999999</v>
      </c>
      <c r="AE730" s="125">
        <v>724.27099999999996</v>
      </c>
      <c r="AF730" s="125">
        <v>266.60300000000001</v>
      </c>
      <c r="AG730" s="125">
        <v>0</v>
      </c>
      <c r="AH730" s="125">
        <v>0</v>
      </c>
      <c r="AI730" s="121">
        <v>13628700</v>
      </c>
      <c r="AJ730" s="121">
        <v>2344944</v>
      </c>
      <c r="AK730" s="424">
        <v>12</v>
      </c>
      <c r="AL730">
        <v>0</v>
      </c>
      <c r="AM730" s="121">
        <v>349437</v>
      </c>
      <c r="AN730" s="125">
        <v>1</v>
      </c>
      <c r="AO730" s="125">
        <v>1</v>
      </c>
      <c r="AP730" s="121">
        <v>15973644</v>
      </c>
      <c r="AQ730" s="114">
        <v>0</v>
      </c>
      <c r="AR730" s="121">
        <v>831.89923841999996</v>
      </c>
      <c r="AS730" s="121">
        <v>163470.81271</v>
      </c>
      <c r="AT730" s="121">
        <v>21529.032728999999</v>
      </c>
      <c r="AU730" s="420" t="s">
        <v>2001</v>
      </c>
      <c r="AV730" s="420" t="s">
        <v>2001</v>
      </c>
      <c r="AW730" s="121">
        <v>0</v>
      </c>
      <c r="AX730" s="121">
        <v>4743444</v>
      </c>
      <c r="BI730">
        <v>0</v>
      </c>
      <c r="BJ730" s="121">
        <v>0</v>
      </c>
      <c r="BK730" s="134">
        <v>1248049486</v>
      </c>
      <c r="BL730" s="934">
        <v>4351</v>
      </c>
      <c r="BM730" s="934">
        <v>4457</v>
      </c>
      <c r="BN730" s="934">
        <v>4447</v>
      </c>
      <c r="BO730" s="114">
        <v>0</v>
      </c>
      <c r="BP730" s="114">
        <v>0</v>
      </c>
    </row>
    <row r="731" spans="1:68">
      <c r="A731" t="s">
        <v>2761</v>
      </c>
      <c r="B731" t="s">
        <v>3060</v>
      </c>
      <c r="C731" s="121">
        <v>4468</v>
      </c>
      <c r="D731" s="72">
        <v>2</v>
      </c>
      <c r="E731">
        <v>122.42400000000001</v>
      </c>
      <c r="F731">
        <v>39</v>
      </c>
      <c r="G731">
        <v>28</v>
      </c>
      <c r="H731">
        <v>2</v>
      </c>
      <c r="I731" s="173">
        <v>1.04</v>
      </c>
      <c r="J731" s="121">
        <v>80165639</v>
      </c>
      <c r="K731" s="125">
        <v>696.68600000000004</v>
      </c>
      <c r="L731" s="173">
        <v>1.5</v>
      </c>
      <c r="M731">
        <v>1.04</v>
      </c>
      <c r="N731">
        <v>1.000000005</v>
      </c>
      <c r="O731">
        <v>3.9999995000000066</v>
      </c>
      <c r="P731">
        <v>415</v>
      </c>
      <c r="Q731" s="125">
        <v>9.1999999999999998E-2</v>
      </c>
      <c r="R731" s="125">
        <v>0</v>
      </c>
      <c r="S731" s="125">
        <v>5.7000000000000002E-2</v>
      </c>
      <c r="T731" s="125">
        <v>16.707999999999998</v>
      </c>
      <c r="U731" s="125">
        <v>0.84299999999999997</v>
      </c>
      <c r="V731" s="125">
        <v>0</v>
      </c>
      <c r="W731" s="125">
        <v>1.3620000000000001</v>
      </c>
      <c r="X731" s="125">
        <v>0</v>
      </c>
      <c r="Y731" s="125">
        <v>0</v>
      </c>
      <c r="Z731" s="125">
        <v>0</v>
      </c>
      <c r="AA731" s="125">
        <v>1.897</v>
      </c>
      <c r="AB731" s="125">
        <v>27.806999999999999</v>
      </c>
      <c r="AC731" s="125">
        <v>285.10000000000002</v>
      </c>
      <c r="AD731" s="125">
        <v>0</v>
      </c>
      <c r="AE731" s="125">
        <v>14.430999999999999</v>
      </c>
      <c r="AF731" s="125">
        <v>20.75</v>
      </c>
      <c r="AG731" s="125">
        <v>0</v>
      </c>
      <c r="AH731" s="125">
        <v>0</v>
      </c>
      <c r="AI731" s="121">
        <v>822884</v>
      </c>
      <c r="AJ731" s="121">
        <v>188110</v>
      </c>
      <c r="AK731" s="424">
        <v>12</v>
      </c>
      <c r="AL731">
        <v>0</v>
      </c>
      <c r="AM731" s="121">
        <v>73944</v>
      </c>
      <c r="AN731" s="125">
        <v>0</v>
      </c>
      <c r="AO731" s="125">
        <v>0</v>
      </c>
      <c r="AP731" s="121">
        <v>1010994</v>
      </c>
      <c r="AQ731" s="114">
        <v>0</v>
      </c>
      <c r="AR731" s="121">
        <v>53.435168060000002</v>
      </c>
      <c r="AS731" s="121">
        <v>10500.178323</v>
      </c>
      <c r="AT731" s="121">
        <v>1382.8687766</v>
      </c>
      <c r="AU731" s="420" t="s">
        <v>2001</v>
      </c>
      <c r="AV731" s="420" t="s">
        <v>2001</v>
      </c>
      <c r="AW731" s="121">
        <v>0</v>
      </c>
      <c r="AX731" s="121">
        <v>254324</v>
      </c>
      <c r="BI731">
        <v>0</v>
      </c>
      <c r="BJ731" s="121">
        <v>0</v>
      </c>
      <c r="BK731" s="134">
        <v>80165639</v>
      </c>
      <c r="BL731" s="934">
        <v>4431</v>
      </c>
      <c r="BM731" s="934">
        <v>4468</v>
      </c>
      <c r="BN731" s="934">
        <v>4468</v>
      </c>
      <c r="BO731" s="114">
        <v>0</v>
      </c>
      <c r="BP731" s="114">
        <v>0</v>
      </c>
    </row>
    <row r="732" spans="1:68">
      <c r="A732" t="s">
        <v>20</v>
      </c>
      <c r="B732" t="s">
        <v>340</v>
      </c>
      <c r="C732" s="121">
        <v>4700</v>
      </c>
      <c r="D732" s="72">
        <v>2</v>
      </c>
      <c r="E732">
        <v>81.950999999999993</v>
      </c>
      <c r="F732">
        <v>38</v>
      </c>
      <c r="G732">
        <v>17</v>
      </c>
      <c r="H732">
        <v>0</v>
      </c>
      <c r="I732" s="173">
        <v>1.04</v>
      </c>
      <c r="J732" s="121">
        <v>58048196</v>
      </c>
      <c r="K732" s="125">
        <v>606.85900000000004</v>
      </c>
      <c r="L732" s="173">
        <v>1.5</v>
      </c>
      <c r="M732">
        <v>1.04</v>
      </c>
      <c r="N732">
        <v>1.000000005</v>
      </c>
      <c r="O732">
        <v>3.9999995000000066</v>
      </c>
      <c r="P732">
        <v>348</v>
      </c>
      <c r="Q732" s="125">
        <v>9.4E-2</v>
      </c>
      <c r="R732" s="125">
        <v>0</v>
      </c>
      <c r="S732" s="125">
        <v>0.62</v>
      </c>
      <c r="T732" s="125">
        <v>8.89</v>
      </c>
      <c r="U732" s="125">
        <v>7.8E-2</v>
      </c>
      <c r="V732" s="125">
        <v>0</v>
      </c>
      <c r="W732" s="125">
        <v>2.86</v>
      </c>
      <c r="X732" s="125">
        <v>0</v>
      </c>
      <c r="Y732" s="125">
        <v>0</v>
      </c>
      <c r="Z732" s="125">
        <v>0</v>
      </c>
      <c r="AA732" s="125">
        <v>16</v>
      </c>
      <c r="AB732" s="125">
        <v>21.94</v>
      </c>
      <c r="AC732" s="125">
        <v>253.1</v>
      </c>
      <c r="AD732" s="125">
        <v>0</v>
      </c>
      <c r="AE732" s="125">
        <v>23.38</v>
      </c>
      <c r="AF732" s="125">
        <v>17.190000000000001</v>
      </c>
      <c r="AG732" s="125">
        <v>0</v>
      </c>
      <c r="AH732" s="125">
        <v>0</v>
      </c>
      <c r="AI732" s="121">
        <v>608531</v>
      </c>
      <c r="AJ732" s="121">
        <v>45911</v>
      </c>
      <c r="AK732" s="424">
        <v>12</v>
      </c>
      <c r="AL732">
        <v>0</v>
      </c>
      <c r="AM732" s="121">
        <v>49821</v>
      </c>
      <c r="AN732" s="125">
        <v>0</v>
      </c>
      <c r="AO732" s="125">
        <v>0</v>
      </c>
      <c r="AP732" s="121">
        <v>654442</v>
      </c>
      <c r="AQ732" s="114">
        <v>0</v>
      </c>
      <c r="AR732" s="121">
        <v>38.692576365000001</v>
      </c>
      <c r="AS732" s="121">
        <v>7603.2127594000003</v>
      </c>
      <c r="AT732" s="121">
        <v>1001.339711</v>
      </c>
      <c r="AU732" s="420" t="s">
        <v>2001</v>
      </c>
      <c r="AV732" s="420" t="s">
        <v>2001</v>
      </c>
      <c r="AW732" s="121">
        <v>0</v>
      </c>
      <c r="AX732" s="121">
        <v>100266</v>
      </c>
      <c r="BI732">
        <v>0</v>
      </c>
      <c r="BJ732" s="121">
        <v>0</v>
      </c>
      <c r="BK732" s="134">
        <v>58048196</v>
      </c>
      <c r="BL732" s="934">
        <v>4519</v>
      </c>
      <c r="BM732" s="934">
        <v>4700</v>
      </c>
      <c r="BN732" s="934">
        <v>4619</v>
      </c>
      <c r="BO732" s="114">
        <v>0</v>
      </c>
      <c r="BP732" s="114">
        <v>0</v>
      </c>
    </row>
    <row r="733" spans="1:68">
      <c r="A733" t="s">
        <v>804</v>
      </c>
      <c r="B733" t="s">
        <v>2877</v>
      </c>
      <c r="C733" s="121">
        <v>4592</v>
      </c>
      <c r="D733" s="72">
        <v>3</v>
      </c>
      <c r="E733">
        <v>205.33</v>
      </c>
      <c r="F733">
        <v>64</v>
      </c>
      <c r="G733">
        <v>44</v>
      </c>
      <c r="H733">
        <v>2</v>
      </c>
      <c r="I733" s="173">
        <v>1.03</v>
      </c>
      <c r="J733" s="121">
        <v>179368043</v>
      </c>
      <c r="K733" s="125">
        <v>1092.7619999999999</v>
      </c>
      <c r="L733" s="173">
        <v>1.36</v>
      </c>
      <c r="M733">
        <v>1.03</v>
      </c>
      <c r="N733">
        <v>0.90666667120000011</v>
      </c>
      <c r="O733">
        <v>12.333332879999992</v>
      </c>
      <c r="P733">
        <v>637.59699999999998</v>
      </c>
      <c r="Q733" s="125">
        <v>0</v>
      </c>
      <c r="R733" s="125">
        <v>0</v>
      </c>
      <c r="S733" s="125">
        <v>0.75800000000000001</v>
      </c>
      <c r="T733" s="125">
        <v>23.452000000000002</v>
      </c>
      <c r="U733" s="125">
        <v>6.173</v>
      </c>
      <c r="V733" s="125">
        <v>8.5000000000000006E-2</v>
      </c>
      <c r="W733" s="125">
        <v>0.39500000000000002</v>
      </c>
      <c r="X733" s="125">
        <v>0</v>
      </c>
      <c r="Y733" s="125">
        <v>0</v>
      </c>
      <c r="Z733" s="125">
        <v>0</v>
      </c>
      <c r="AA733" s="125">
        <v>29.007000000000001</v>
      </c>
      <c r="AB733" s="125">
        <v>35.052999999999997</v>
      </c>
      <c r="AC733" s="125">
        <v>495.2</v>
      </c>
      <c r="AD733" s="125">
        <v>0.57899999999999996</v>
      </c>
      <c r="AE733" s="125">
        <v>21.196999999999999</v>
      </c>
      <c r="AF733" s="125">
        <v>31.879850000000001</v>
      </c>
      <c r="AG733" s="125">
        <v>0</v>
      </c>
      <c r="AH733" s="125">
        <v>0</v>
      </c>
      <c r="AI733" s="121">
        <v>1706692</v>
      </c>
      <c r="AJ733" s="121">
        <v>92073</v>
      </c>
      <c r="AK733" s="424">
        <v>12</v>
      </c>
      <c r="AL733">
        <v>0</v>
      </c>
      <c r="AM733" s="121">
        <v>54565</v>
      </c>
      <c r="AN733" s="125">
        <v>0</v>
      </c>
      <c r="AO733" s="125">
        <v>0</v>
      </c>
      <c r="AP733" s="121">
        <v>1798765</v>
      </c>
      <c r="AQ733" s="114">
        <v>0</v>
      </c>
      <c r="AR733" s="121">
        <v>119.55947264</v>
      </c>
      <c r="AS733" s="121">
        <v>23493.811817000002</v>
      </c>
      <c r="AT733" s="121">
        <v>3094.1244812</v>
      </c>
      <c r="AU733" s="420" t="s">
        <v>2001</v>
      </c>
      <c r="AV733" s="420" t="s">
        <v>2001</v>
      </c>
      <c r="AW733" s="121">
        <v>0</v>
      </c>
      <c r="AX733" s="121">
        <v>169050</v>
      </c>
      <c r="BI733">
        <v>0</v>
      </c>
      <c r="BJ733" s="121">
        <v>0</v>
      </c>
      <c r="BK733" s="134">
        <v>179368043</v>
      </c>
      <c r="BL733" s="934">
        <v>4276</v>
      </c>
      <c r="BM733" s="934">
        <v>4379</v>
      </c>
      <c r="BN733" s="934">
        <v>4592</v>
      </c>
      <c r="BO733" s="114">
        <v>0</v>
      </c>
      <c r="BP733" s="114">
        <v>0</v>
      </c>
    </row>
    <row r="734" spans="1:68">
      <c r="A734" t="s">
        <v>21</v>
      </c>
      <c r="B734" t="s">
        <v>341</v>
      </c>
      <c r="C734" s="121">
        <v>5186</v>
      </c>
      <c r="D734" s="72">
        <v>2</v>
      </c>
      <c r="E734">
        <v>208.268</v>
      </c>
      <c r="F734">
        <v>62</v>
      </c>
      <c r="G734">
        <v>35</v>
      </c>
      <c r="H734">
        <v>4</v>
      </c>
      <c r="I734" s="173">
        <v>0.92469999999999997</v>
      </c>
      <c r="J734" s="121">
        <v>301191818</v>
      </c>
      <c r="K734" s="125">
        <v>1097.9970000000001</v>
      </c>
      <c r="L734" s="173">
        <v>1.327</v>
      </c>
      <c r="M734">
        <v>0.92469999999999997</v>
      </c>
      <c r="N734">
        <v>0.88466667108999997</v>
      </c>
      <c r="O734">
        <v>4.0033328909999994</v>
      </c>
      <c r="P734">
        <v>711.24300000000005</v>
      </c>
      <c r="Q734" s="125">
        <v>0</v>
      </c>
      <c r="R734" s="125">
        <v>0</v>
      </c>
      <c r="S734" s="125">
        <v>0.89400000000000002</v>
      </c>
      <c r="T734" s="125">
        <v>19.187999999999999</v>
      </c>
      <c r="U734" s="125">
        <v>3.5659999999999998</v>
      </c>
      <c r="V734" s="125">
        <v>0</v>
      </c>
      <c r="W734" s="125">
        <v>1.377</v>
      </c>
      <c r="X734" s="125">
        <v>0</v>
      </c>
      <c r="Y734" s="125">
        <v>0</v>
      </c>
      <c r="Z734" s="125">
        <v>9.3209999999999997</v>
      </c>
      <c r="AA734" s="125">
        <v>15.784000000000001</v>
      </c>
      <c r="AB734" s="125">
        <v>24.800999999999998</v>
      </c>
      <c r="AC734" s="125">
        <v>268.39999999999998</v>
      </c>
      <c r="AD734" s="125">
        <v>0</v>
      </c>
      <c r="AE734" s="125">
        <v>12.798</v>
      </c>
      <c r="AF734" s="125">
        <v>35.561999999999998</v>
      </c>
      <c r="AG734" s="125">
        <v>0</v>
      </c>
      <c r="AH734" s="125">
        <v>0</v>
      </c>
      <c r="AI734" s="121">
        <v>2924377</v>
      </c>
      <c r="AJ734" s="121">
        <v>225290</v>
      </c>
      <c r="AK734" s="424">
        <v>12</v>
      </c>
      <c r="AL734">
        <v>0</v>
      </c>
      <c r="AM734" s="121">
        <v>66552</v>
      </c>
      <c r="AN734" s="125">
        <v>0</v>
      </c>
      <c r="AO734" s="125">
        <v>0</v>
      </c>
      <c r="AP734" s="121">
        <v>3149667</v>
      </c>
      <c r="AQ734" s="114">
        <v>0</v>
      </c>
      <c r="AR734" s="121">
        <v>200.76226689999999</v>
      </c>
      <c r="AS734" s="121">
        <v>39450.415886000003</v>
      </c>
      <c r="AT734" s="121">
        <v>5195.6020816999999</v>
      </c>
      <c r="AU734" s="420" t="s">
        <v>2001</v>
      </c>
      <c r="AV734" s="420" t="s">
        <v>2001</v>
      </c>
      <c r="AW734" s="121">
        <v>0</v>
      </c>
      <c r="AX734" s="121">
        <v>917315</v>
      </c>
      <c r="BI734">
        <v>0</v>
      </c>
      <c r="BJ734" s="121">
        <v>0</v>
      </c>
      <c r="BK734" s="134">
        <v>301191818</v>
      </c>
      <c r="BL734" s="934">
        <v>4582</v>
      </c>
      <c r="BM734" s="934">
        <v>5186</v>
      </c>
      <c r="BN734" s="934">
        <v>4911</v>
      </c>
      <c r="BO734" s="114">
        <v>0</v>
      </c>
      <c r="BP734" s="114">
        <v>0</v>
      </c>
    </row>
    <row r="735" spans="1:68">
      <c r="A735" t="s">
        <v>2383</v>
      </c>
      <c r="B735" t="s">
        <v>93</v>
      </c>
      <c r="C735" s="121">
        <v>4509</v>
      </c>
      <c r="D735" s="72">
        <v>1</v>
      </c>
      <c r="E735">
        <v>197.63200000000001</v>
      </c>
      <c r="F735">
        <v>57</v>
      </c>
      <c r="G735">
        <v>43</v>
      </c>
      <c r="H735">
        <v>1</v>
      </c>
      <c r="I735" s="173">
        <v>1.04</v>
      </c>
      <c r="J735" s="121">
        <v>72292156</v>
      </c>
      <c r="K735" s="125">
        <v>1132.7080000000001</v>
      </c>
      <c r="L735" s="173">
        <v>1.4419999999999999</v>
      </c>
      <c r="M735">
        <v>1.04</v>
      </c>
      <c r="N735">
        <v>0.96133333813999999</v>
      </c>
      <c r="O735">
        <v>7.8666661860000042</v>
      </c>
      <c r="P735">
        <v>695.35</v>
      </c>
      <c r="Q735" s="125">
        <v>0</v>
      </c>
      <c r="R735" s="125">
        <v>0</v>
      </c>
      <c r="S735" s="125">
        <v>0.61499999999999999</v>
      </c>
      <c r="T735" s="125">
        <v>25.094999999999999</v>
      </c>
      <c r="U735" s="125">
        <v>0.82</v>
      </c>
      <c r="V735" s="125">
        <v>0</v>
      </c>
      <c r="W735" s="125">
        <v>6.5819999999999999</v>
      </c>
      <c r="X735" s="125">
        <v>0</v>
      </c>
      <c r="Y735" s="125">
        <v>0</v>
      </c>
      <c r="Z735" s="125">
        <v>0</v>
      </c>
      <c r="AA735" s="125">
        <v>22.908999999999999</v>
      </c>
      <c r="AB735" s="125">
        <v>36.119999999999997</v>
      </c>
      <c r="AC735" s="125">
        <v>455</v>
      </c>
      <c r="AD735" s="125">
        <v>0</v>
      </c>
      <c r="AE735" s="125">
        <v>70.28</v>
      </c>
      <c r="AF735" s="125">
        <v>34.090000000000003</v>
      </c>
      <c r="AG735" s="125">
        <v>0</v>
      </c>
      <c r="AH735" s="125">
        <v>0</v>
      </c>
      <c r="AI735" s="121">
        <v>726276</v>
      </c>
      <c r="AJ735" s="121">
        <v>105897</v>
      </c>
      <c r="AK735" s="424">
        <v>12</v>
      </c>
      <c r="AL735">
        <v>0</v>
      </c>
      <c r="AM735" s="121">
        <v>34338</v>
      </c>
      <c r="AN735" s="125">
        <v>1</v>
      </c>
      <c r="AO735" s="125">
        <v>0</v>
      </c>
      <c r="AP735" s="121">
        <v>832173</v>
      </c>
      <c r="AQ735" s="114">
        <v>0</v>
      </c>
      <c r="AR735" s="121">
        <v>48.187023187000001</v>
      </c>
      <c r="AS735" s="121">
        <v>9468.9013747000008</v>
      </c>
      <c r="AT735" s="121">
        <v>1247.0500649999999</v>
      </c>
      <c r="AU735" s="420" t="s">
        <v>2001</v>
      </c>
      <c r="AV735" s="420" t="s">
        <v>2001</v>
      </c>
      <c r="AW735" s="121">
        <v>0</v>
      </c>
      <c r="AX735" s="121">
        <v>319862</v>
      </c>
      <c r="BI735">
        <v>0</v>
      </c>
      <c r="BJ735" s="121">
        <v>0</v>
      </c>
      <c r="BK735" s="134">
        <v>72292156</v>
      </c>
      <c r="BL735" s="934">
        <v>4509</v>
      </c>
      <c r="BM735" s="934">
        <v>4444</v>
      </c>
      <c r="BN735" s="934">
        <v>4477</v>
      </c>
      <c r="BO735" s="114">
        <v>0</v>
      </c>
      <c r="BP735" s="114">
        <v>0</v>
      </c>
    </row>
    <row r="736" spans="1:68">
      <c r="A736" t="s">
        <v>22</v>
      </c>
      <c r="B736" t="s">
        <v>342</v>
      </c>
      <c r="C736" s="121">
        <v>4582</v>
      </c>
      <c r="D736" s="72">
        <v>3</v>
      </c>
      <c r="E736">
        <v>98.111999999999995</v>
      </c>
      <c r="F736">
        <v>27</v>
      </c>
      <c r="G736">
        <v>34</v>
      </c>
      <c r="H736">
        <v>1</v>
      </c>
      <c r="I736" s="173">
        <v>1.04</v>
      </c>
      <c r="J736" s="121">
        <v>147495289</v>
      </c>
      <c r="K736" s="125">
        <v>709.90899999999999</v>
      </c>
      <c r="L736" s="173">
        <v>1.41</v>
      </c>
      <c r="M736">
        <v>1.04</v>
      </c>
      <c r="N736">
        <v>0.9400000047</v>
      </c>
      <c r="O736">
        <v>9.9999995300000037</v>
      </c>
      <c r="P736">
        <v>324.31700000000001</v>
      </c>
      <c r="Q736" s="125">
        <v>0</v>
      </c>
      <c r="R736" s="125">
        <v>0</v>
      </c>
      <c r="S736" s="125">
        <v>0.71299999999999997</v>
      </c>
      <c r="T736" s="125">
        <v>17.358000000000001</v>
      </c>
      <c r="U736" s="125">
        <v>3.0720000000000001</v>
      </c>
      <c r="V736" s="125">
        <v>0</v>
      </c>
      <c r="W736" s="125">
        <v>0</v>
      </c>
      <c r="X736" s="125">
        <v>0</v>
      </c>
      <c r="Y736" s="125">
        <v>0</v>
      </c>
      <c r="Z736" s="125">
        <v>0</v>
      </c>
      <c r="AA736" s="125">
        <v>4.9850000000000003</v>
      </c>
      <c r="AB736" s="125">
        <v>31.763000000000002</v>
      </c>
      <c r="AC736" s="125">
        <v>321.10000000000002</v>
      </c>
      <c r="AD736" s="125">
        <v>0</v>
      </c>
      <c r="AE736" s="125">
        <v>0</v>
      </c>
      <c r="AF736" s="125">
        <v>16.21585</v>
      </c>
      <c r="AG736" s="125">
        <v>0</v>
      </c>
      <c r="AH736" s="125">
        <v>0</v>
      </c>
      <c r="AI736" s="121">
        <v>1489715</v>
      </c>
      <c r="AJ736" s="121">
        <v>247328</v>
      </c>
      <c r="AK736" s="424">
        <v>12</v>
      </c>
      <c r="AL736">
        <v>0</v>
      </c>
      <c r="AM736" s="121">
        <v>113307</v>
      </c>
      <c r="AN736" s="125">
        <v>0</v>
      </c>
      <c r="AO736" s="125">
        <v>0</v>
      </c>
      <c r="AP736" s="121">
        <v>1737043</v>
      </c>
      <c r="AQ736" s="114">
        <v>0</v>
      </c>
      <c r="AR736" s="121">
        <v>98.314385997000002</v>
      </c>
      <c r="AS736" s="121">
        <v>19319.085578999999</v>
      </c>
      <c r="AT736" s="121">
        <v>2544.3149076</v>
      </c>
      <c r="AU736" s="420" t="s">
        <v>2001</v>
      </c>
      <c r="AV736" s="420" t="s">
        <v>2001</v>
      </c>
      <c r="AW736" s="121">
        <v>0</v>
      </c>
      <c r="AX736" s="121">
        <v>232652</v>
      </c>
      <c r="BI736">
        <v>0</v>
      </c>
      <c r="BJ736" s="121">
        <v>0</v>
      </c>
      <c r="BK736" s="134">
        <v>139204889</v>
      </c>
      <c r="BL736" s="934">
        <v>4500</v>
      </c>
      <c r="BM736" s="934">
        <v>4408</v>
      </c>
      <c r="BN736" s="934">
        <v>4582</v>
      </c>
      <c r="BO736" s="114">
        <v>0</v>
      </c>
      <c r="BP736" s="114">
        <v>0</v>
      </c>
    </row>
    <row r="737" spans="1:68">
      <c r="A737" t="s">
        <v>1159</v>
      </c>
      <c r="B737" t="s">
        <v>2609</v>
      </c>
      <c r="C737" s="121">
        <v>4557</v>
      </c>
      <c r="D737" s="72">
        <v>3</v>
      </c>
      <c r="E737">
        <v>347.07400000000001</v>
      </c>
      <c r="F737">
        <v>102</v>
      </c>
      <c r="G737">
        <v>95</v>
      </c>
      <c r="H737">
        <v>1</v>
      </c>
      <c r="I737" s="173">
        <v>0.99119999999999997</v>
      </c>
      <c r="J737" s="121">
        <v>210961142</v>
      </c>
      <c r="K737" s="125">
        <v>1912.81</v>
      </c>
      <c r="L737" s="173">
        <v>1.4265000000000001</v>
      </c>
      <c r="M737">
        <v>0.99119999999999997</v>
      </c>
      <c r="N737">
        <v>0.95100000475500013</v>
      </c>
      <c r="O737">
        <v>4.0199995244999842</v>
      </c>
      <c r="P737">
        <v>1074.663</v>
      </c>
      <c r="Q737" s="125">
        <v>0.435</v>
      </c>
      <c r="R737" s="125">
        <v>0</v>
      </c>
      <c r="S737" s="125">
        <v>2.4849999999999999</v>
      </c>
      <c r="T737" s="125">
        <v>40.520000000000003</v>
      </c>
      <c r="U737" s="125">
        <v>14.093999999999999</v>
      </c>
      <c r="V737" s="125">
        <v>0</v>
      </c>
      <c r="W737" s="125">
        <v>1.7270000000000001</v>
      </c>
      <c r="X737" s="125">
        <v>0</v>
      </c>
      <c r="Y737" s="125">
        <v>0</v>
      </c>
      <c r="Z737" s="125">
        <v>0</v>
      </c>
      <c r="AA737" s="125">
        <v>44.555</v>
      </c>
      <c r="AB737" s="125">
        <v>68.260000000000005</v>
      </c>
      <c r="AC737" s="125">
        <v>1007.6</v>
      </c>
      <c r="AD737" s="125">
        <v>0.47699999999999998</v>
      </c>
      <c r="AE737" s="125">
        <v>1.8069999999999999</v>
      </c>
      <c r="AF737" s="125">
        <v>53.732999999999997</v>
      </c>
      <c r="AG737" s="125">
        <v>0</v>
      </c>
      <c r="AH737" s="125">
        <v>0</v>
      </c>
      <c r="AI737" s="121">
        <v>2151687</v>
      </c>
      <c r="AJ737" s="121">
        <v>331363</v>
      </c>
      <c r="AK737" s="424">
        <v>12</v>
      </c>
      <c r="AL737">
        <v>0</v>
      </c>
      <c r="AM737" s="121">
        <v>308483</v>
      </c>
      <c r="AN737" s="125">
        <v>0</v>
      </c>
      <c r="AO737" s="125">
        <v>0</v>
      </c>
      <c r="AP737" s="121">
        <v>2483050</v>
      </c>
      <c r="AQ737" s="114">
        <v>0</v>
      </c>
      <c r="AR737" s="121">
        <v>140.61815283000001</v>
      </c>
      <c r="AS737" s="121">
        <v>27631.908606000001</v>
      </c>
      <c r="AT737" s="121">
        <v>3639.1099724999999</v>
      </c>
      <c r="AU737" s="420" t="s">
        <v>2001</v>
      </c>
      <c r="AV737" s="420" t="s">
        <v>2001</v>
      </c>
      <c r="AW737" s="121">
        <v>0</v>
      </c>
      <c r="AX737" s="121">
        <v>775455</v>
      </c>
      <c r="BI737">
        <v>0</v>
      </c>
      <c r="BJ737" s="121">
        <v>0</v>
      </c>
      <c r="BK737" s="134">
        <v>210961142</v>
      </c>
      <c r="BL737" s="934">
        <v>4483</v>
      </c>
      <c r="BM737" s="934">
        <v>4557</v>
      </c>
      <c r="BN737" s="934">
        <v>4550</v>
      </c>
      <c r="BO737" s="114">
        <v>0</v>
      </c>
      <c r="BP737" s="114">
        <v>0</v>
      </c>
    </row>
    <row r="738" spans="1:68">
      <c r="A738" t="s">
        <v>2268</v>
      </c>
      <c r="B738" t="s">
        <v>3067</v>
      </c>
      <c r="C738" s="121">
        <v>5148</v>
      </c>
      <c r="D738" s="72">
        <v>2</v>
      </c>
      <c r="E738">
        <v>231.185</v>
      </c>
      <c r="F738">
        <v>69</v>
      </c>
      <c r="G738">
        <v>43</v>
      </c>
      <c r="H738">
        <v>4</v>
      </c>
      <c r="I738" s="173">
        <v>1.04</v>
      </c>
      <c r="J738" s="121">
        <v>389886899</v>
      </c>
      <c r="K738" s="125">
        <v>1119.4929999999999</v>
      </c>
      <c r="L738" s="173">
        <v>1.48</v>
      </c>
      <c r="M738">
        <v>1.04</v>
      </c>
      <c r="N738">
        <v>0.98666667159999999</v>
      </c>
      <c r="O738">
        <v>5.3333328400000042</v>
      </c>
      <c r="P738">
        <v>692.697</v>
      </c>
      <c r="Q738" s="125">
        <v>0</v>
      </c>
      <c r="R738" s="125">
        <v>0</v>
      </c>
      <c r="S738" s="125">
        <v>0.94899999999999995</v>
      </c>
      <c r="T738" s="125">
        <v>18.16</v>
      </c>
      <c r="U738" s="125">
        <v>2.9940000000000002</v>
      </c>
      <c r="V738" s="125">
        <v>0</v>
      </c>
      <c r="W738" s="125">
        <v>1.4359999999999999</v>
      </c>
      <c r="X738" s="125">
        <v>0</v>
      </c>
      <c r="Y738" s="125">
        <v>0</v>
      </c>
      <c r="Z738" s="125">
        <v>0</v>
      </c>
      <c r="AA738" s="125">
        <v>16.814</v>
      </c>
      <c r="AB738" s="125">
        <v>45.877000000000002</v>
      </c>
      <c r="AC738" s="125">
        <v>488.9</v>
      </c>
      <c r="AD738" s="125">
        <v>0.309</v>
      </c>
      <c r="AE738" s="125">
        <v>0.81699999999999995</v>
      </c>
      <c r="AF738" s="125">
        <v>34.63485</v>
      </c>
      <c r="AG738" s="125">
        <v>0</v>
      </c>
      <c r="AH738" s="125">
        <v>0</v>
      </c>
      <c r="AI738" s="121">
        <v>3989523</v>
      </c>
      <c r="AJ738" s="121">
        <v>660876</v>
      </c>
      <c r="AK738" s="424">
        <v>12</v>
      </c>
      <c r="AL738">
        <v>0</v>
      </c>
      <c r="AM738" s="121">
        <v>68812</v>
      </c>
      <c r="AN738" s="125">
        <v>0</v>
      </c>
      <c r="AO738" s="125">
        <v>0</v>
      </c>
      <c r="AP738" s="121">
        <v>4650399</v>
      </c>
      <c r="AQ738" s="114">
        <v>0</v>
      </c>
      <c r="AR738" s="121">
        <v>259.88281558</v>
      </c>
      <c r="AS738" s="121">
        <v>51067.789355000001</v>
      </c>
      <c r="AT738" s="121">
        <v>6725.6049579999999</v>
      </c>
      <c r="AU738" s="420" t="s">
        <v>798</v>
      </c>
      <c r="AV738" s="420" t="s">
        <v>2001</v>
      </c>
      <c r="AW738" s="121">
        <v>0</v>
      </c>
      <c r="AX738" s="121">
        <v>973445</v>
      </c>
      <c r="AY738" s="134">
        <v>533218</v>
      </c>
      <c r="AZ738" s="134">
        <v>2390303</v>
      </c>
      <c r="BA738" s="134">
        <v>1069</v>
      </c>
      <c r="BB738" s="134">
        <v>105825093</v>
      </c>
      <c r="BC738" s="114">
        <v>0</v>
      </c>
      <c r="BD738" s="114">
        <v>0</v>
      </c>
      <c r="BE738" s="114">
        <v>0</v>
      </c>
      <c r="BF738" s="114">
        <v>731</v>
      </c>
      <c r="BG738" s="114">
        <v>0</v>
      </c>
      <c r="BH738" s="114">
        <v>0</v>
      </c>
      <c r="BI738">
        <v>0</v>
      </c>
      <c r="BJ738" s="121">
        <v>0</v>
      </c>
      <c r="BK738" s="134">
        <v>380563429</v>
      </c>
      <c r="BL738" s="934">
        <v>4150</v>
      </c>
      <c r="BM738" s="934">
        <v>5148</v>
      </c>
      <c r="BN738" s="934">
        <v>5042</v>
      </c>
      <c r="BO738" s="114">
        <v>0</v>
      </c>
      <c r="BP738" s="114">
        <v>0</v>
      </c>
    </row>
    <row r="739" spans="1:68">
      <c r="A739" t="s">
        <v>1736</v>
      </c>
      <c r="B739" t="s">
        <v>664</v>
      </c>
      <c r="C739" s="121">
        <v>4872</v>
      </c>
      <c r="D739" s="72">
        <v>2</v>
      </c>
      <c r="E739">
        <v>103.648</v>
      </c>
      <c r="F739">
        <v>26</v>
      </c>
      <c r="G739">
        <v>17</v>
      </c>
      <c r="H739">
        <v>1</v>
      </c>
      <c r="I739" s="173">
        <v>1.17</v>
      </c>
      <c r="J739" s="121">
        <v>65991324</v>
      </c>
      <c r="K739" s="125">
        <v>477.03399999999999</v>
      </c>
      <c r="L739" s="173">
        <v>1.5</v>
      </c>
      <c r="M739">
        <v>1.17</v>
      </c>
      <c r="N739">
        <v>1.000000005</v>
      </c>
      <c r="O739">
        <v>16.999999499999994</v>
      </c>
      <c r="P739">
        <v>267.04399999999998</v>
      </c>
      <c r="Q739" s="125">
        <v>0</v>
      </c>
      <c r="R739" s="125">
        <v>0</v>
      </c>
      <c r="S739" s="125">
        <v>0.29899999999999999</v>
      </c>
      <c r="T739" s="125">
        <v>4.8239999999999998</v>
      </c>
      <c r="U739" s="125">
        <v>0</v>
      </c>
      <c r="V739" s="125">
        <v>0.61099999999999999</v>
      </c>
      <c r="W739" s="125">
        <v>0</v>
      </c>
      <c r="X739" s="125">
        <v>0</v>
      </c>
      <c r="Y739" s="125">
        <v>0</v>
      </c>
      <c r="Z739" s="125">
        <v>0</v>
      </c>
      <c r="AA739" s="125">
        <v>21.696000000000002</v>
      </c>
      <c r="AB739" s="125">
        <v>25.634</v>
      </c>
      <c r="AC739" s="125">
        <v>174</v>
      </c>
      <c r="AD739" s="125">
        <v>6.3E-2</v>
      </c>
      <c r="AE739" s="125">
        <v>12.464</v>
      </c>
      <c r="AF739" s="125">
        <v>13.352</v>
      </c>
      <c r="AG739" s="125">
        <v>0</v>
      </c>
      <c r="AH739" s="125">
        <v>0</v>
      </c>
      <c r="AI739" s="121">
        <v>762061</v>
      </c>
      <c r="AJ739" s="121">
        <v>52877</v>
      </c>
      <c r="AK739" s="424">
        <v>12</v>
      </c>
      <c r="AL739">
        <v>0</v>
      </c>
      <c r="AM739" s="121">
        <v>8038</v>
      </c>
      <c r="AN739" s="125">
        <v>0</v>
      </c>
      <c r="AO739" s="125">
        <v>0</v>
      </c>
      <c r="AP739" s="121">
        <v>814938</v>
      </c>
      <c r="AQ739" s="114">
        <v>0</v>
      </c>
      <c r="AR739" s="121">
        <v>43.987143774000003</v>
      </c>
      <c r="AS739" s="121">
        <v>8643.6118815000009</v>
      </c>
      <c r="AT739" s="121">
        <v>1138.3598088000001</v>
      </c>
      <c r="AU739" s="420" t="s">
        <v>2001</v>
      </c>
      <c r="AV739" s="420" t="s">
        <v>2001</v>
      </c>
      <c r="AW739" s="121">
        <v>0</v>
      </c>
      <c r="AX739" s="121">
        <v>106118</v>
      </c>
      <c r="BI739">
        <v>0</v>
      </c>
      <c r="BJ739" s="121">
        <v>0</v>
      </c>
      <c r="BK739" s="134">
        <v>65991324</v>
      </c>
      <c r="BL739" s="934">
        <v>4757</v>
      </c>
      <c r="BM739" s="934">
        <v>4872</v>
      </c>
      <c r="BN739" s="934">
        <v>4740</v>
      </c>
      <c r="BO739" s="114">
        <v>0</v>
      </c>
      <c r="BP739" s="114">
        <v>0</v>
      </c>
    </row>
    <row r="740" spans="1:68">
      <c r="A740" t="s">
        <v>2145</v>
      </c>
      <c r="B740" t="s">
        <v>343</v>
      </c>
      <c r="C740" s="121">
        <v>4760</v>
      </c>
      <c r="D740" s="72">
        <v>2</v>
      </c>
      <c r="E740">
        <v>565.39400000000001</v>
      </c>
      <c r="F740">
        <v>194</v>
      </c>
      <c r="G740">
        <v>241</v>
      </c>
      <c r="H740">
        <v>2</v>
      </c>
      <c r="I740" s="173">
        <v>1.04</v>
      </c>
      <c r="J740" s="121">
        <v>506150019</v>
      </c>
      <c r="K740" s="125">
        <v>2936.9569999999999</v>
      </c>
      <c r="L740" s="173">
        <v>1.5</v>
      </c>
      <c r="M740">
        <v>1.04</v>
      </c>
      <c r="N740">
        <v>1.000000005</v>
      </c>
      <c r="O740">
        <v>3.9999995000000066</v>
      </c>
      <c r="P740">
        <v>1976.759</v>
      </c>
      <c r="Q740" s="125">
        <v>0.378</v>
      </c>
      <c r="R740" s="125">
        <v>0</v>
      </c>
      <c r="S740" s="125">
        <v>4.5069999999999997</v>
      </c>
      <c r="T740" s="125">
        <v>71.718999999999994</v>
      </c>
      <c r="U740" s="125">
        <v>7.7709999999999999</v>
      </c>
      <c r="V740" s="125">
        <v>0</v>
      </c>
      <c r="W740" s="125">
        <v>1.3129999999999999</v>
      </c>
      <c r="X740" s="125">
        <v>0</v>
      </c>
      <c r="Y740" s="125">
        <v>0</v>
      </c>
      <c r="Z740" s="125">
        <v>0.81499999999999995</v>
      </c>
      <c r="AA740" s="125">
        <v>97.582999999999998</v>
      </c>
      <c r="AB740" s="125">
        <v>69.125</v>
      </c>
      <c r="AC740" s="125">
        <v>1711</v>
      </c>
      <c r="AD740" s="125">
        <v>1.8169999999999999</v>
      </c>
      <c r="AE740" s="125">
        <v>22.704999999999998</v>
      </c>
      <c r="AF740" s="125">
        <v>98.837950000000006</v>
      </c>
      <c r="AG740" s="125">
        <v>0</v>
      </c>
      <c r="AH740" s="125">
        <v>0</v>
      </c>
      <c r="AI740" s="121">
        <v>4675528</v>
      </c>
      <c r="AJ740" s="121">
        <v>397763</v>
      </c>
      <c r="AK740" s="424">
        <v>12</v>
      </c>
      <c r="AL740">
        <v>0</v>
      </c>
      <c r="AM740" s="121">
        <v>75835</v>
      </c>
      <c r="AN740" s="125">
        <v>1</v>
      </c>
      <c r="AO740" s="125">
        <v>0</v>
      </c>
      <c r="AP740" s="121">
        <v>5073291</v>
      </c>
      <c r="AQ740" s="114">
        <v>0</v>
      </c>
      <c r="AR740" s="121">
        <v>337.37910212000003</v>
      </c>
      <c r="AS740" s="121">
        <v>66296.053014999998</v>
      </c>
      <c r="AT740" s="121">
        <v>8731.1604533000009</v>
      </c>
      <c r="AU740" s="420" t="s">
        <v>2001</v>
      </c>
      <c r="AV740" s="420" t="s">
        <v>2001</v>
      </c>
      <c r="AW740" s="121">
        <v>0</v>
      </c>
      <c r="AX740" s="121">
        <v>630360</v>
      </c>
      <c r="BI740">
        <v>0</v>
      </c>
      <c r="BJ740" s="121">
        <v>0</v>
      </c>
      <c r="BK740" s="134">
        <v>436899892</v>
      </c>
      <c r="BL740" s="934">
        <v>4561</v>
      </c>
      <c r="BM740" s="934">
        <v>4760</v>
      </c>
      <c r="BN740" s="934">
        <v>4684</v>
      </c>
      <c r="BO740" s="114">
        <v>0</v>
      </c>
      <c r="BP740" s="114">
        <v>0</v>
      </c>
    </row>
    <row r="741" spans="1:68">
      <c r="A741" t="s">
        <v>2637</v>
      </c>
      <c r="B741" t="s">
        <v>2657</v>
      </c>
      <c r="C741" s="121">
        <v>7419</v>
      </c>
      <c r="D741" s="72">
        <v>2</v>
      </c>
      <c r="E741">
        <v>43.265999999999998</v>
      </c>
      <c r="F741">
        <v>20</v>
      </c>
      <c r="G741">
        <v>18</v>
      </c>
      <c r="H741">
        <v>1</v>
      </c>
      <c r="I741" s="173">
        <v>1.04</v>
      </c>
      <c r="J741" s="121">
        <v>843549532</v>
      </c>
      <c r="K741" s="125">
        <v>292.23899999999998</v>
      </c>
      <c r="L741" s="173">
        <v>1.5</v>
      </c>
      <c r="M741">
        <v>1.04</v>
      </c>
      <c r="N741">
        <v>1.000000005</v>
      </c>
      <c r="O741">
        <v>3.9999995000000066</v>
      </c>
      <c r="P741">
        <v>136</v>
      </c>
      <c r="Q741" s="125">
        <v>0</v>
      </c>
      <c r="R741" s="125">
        <v>0</v>
      </c>
      <c r="S741" s="125">
        <v>0.30499999999999999</v>
      </c>
      <c r="T741" s="125">
        <v>5.7</v>
      </c>
      <c r="U741" s="125">
        <v>2.5000000000000001E-2</v>
      </c>
      <c r="V741" s="125">
        <v>0</v>
      </c>
      <c r="W741" s="125">
        <v>0</v>
      </c>
      <c r="X741" s="125">
        <v>0</v>
      </c>
      <c r="Y741" s="125">
        <v>0</v>
      </c>
      <c r="Z741" s="125">
        <v>0</v>
      </c>
      <c r="AA741" s="125">
        <v>2.2999999999999998</v>
      </c>
      <c r="AB741" s="125">
        <v>9.1</v>
      </c>
      <c r="AC741" s="125">
        <v>70</v>
      </c>
      <c r="AD741" s="125">
        <v>0.13</v>
      </c>
      <c r="AE741" s="125">
        <v>9.3000000000000007</v>
      </c>
      <c r="AF741" s="125">
        <v>6.8</v>
      </c>
      <c r="AG741" s="125">
        <v>0</v>
      </c>
      <c r="AH741" s="125">
        <v>0</v>
      </c>
      <c r="AI741" s="121">
        <v>9119445</v>
      </c>
      <c r="AJ741" s="121">
        <v>327426</v>
      </c>
      <c r="AK741" s="424">
        <v>12</v>
      </c>
      <c r="AL741">
        <v>0</v>
      </c>
      <c r="AM741" s="121">
        <v>53689</v>
      </c>
      <c r="AN741" s="125">
        <v>0</v>
      </c>
      <c r="AO741" s="125">
        <v>0</v>
      </c>
      <c r="AP741" s="121">
        <v>9446871</v>
      </c>
      <c r="AQ741" s="114">
        <v>0</v>
      </c>
      <c r="AR741" s="121">
        <v>0</v>
      </c>
      <c r="AS741" s="121">
        <v>0</v>
      </c>
      <c r="AT741" s="121">
        <v>0</v>
      </c>
      <c r="AU741" s="420" t="s">
        <v>798</v>
      </c>
      <c r="AV741" s="420" t="s">
        <v>2001</v>
      </c>
      <c r="AW741" s="121">
        <v>0</v>
      </c>
      <c r="AX741" s="121">
        <v>872600</v>
      </c>
      <c r="AY741" s="134">
        <v>450262</v>
      </c>
      <c r="AZ741" s="134">
        <v>788366</v>
      </c>
      <c r="BA741" s="114">
        <v>337</v>
      </c>
      <c r="BB741" s="134">
        <v>87310462</v>
      </c>
      <c r="BC741" s="114">
        <v>0</v>
      </c>
      <c r="BD741" s="114">
        <v>0</v>
      </c>
      <c r="BE741" s="114">
        <v>0</v>
      </c>
      <c r="BF741" s="114">
        <v>157</v>
      </c>
      <c r="BG741" s="114">
        <v>0</v>
      </c>
      <c r="BH741" s="114">
        <v>0</v>
      </c>
      <c r="BI741">
        <v>0</v>
      </c>
      <c r="BJ741" s="121">
        <v>60</v>
      </c>
      <c r="BK741" s="134">
        <v>843549532</v>
      </c>
      <c r="BL741" s="934">
        <v>6440</v>
      </c>
      <c r="BM741" s="934">
        <v>7419</v>
      </c>
      <c r="BN741" s="934">
        <v>6727</v>
      </c>
      <c r="BO741" s="114">
        <v>0</v>
      </c>
      <c r="BP741" s="114">
        <v>0</v>
      </c>
    </row>
    <row r="742" spans="1:68">
      <c r="A742" t="s">
        <v>464</v>
      </c>
      <c r="B742" t="s">
        <v>345</v>
      </c>
      <c r="C742" s="121">
        <v>5677</v>
      </c>
      <c r="D742" s="72">
        <v>2</v>
      </c>
      <c r="E742">
        <v>56.115000000000002</v>
      </c>
      <c r="F742">
        <v>22</v>
      </c>
      <c r="G742">
        <v>15</v>
      </c>
      <c r="H742">
        <v>0</v>
      </c>
      <c r="I742" s="173">
        <v>1.1599999999999999</v>
      </c>
      <c r="J742" s="121">
        <v>163707036</v>
      </c>
      <c r="K742" s="125">
        <v>371.92200000000003</v>
      </c>
      <c r="L742" s="173">
        <v>1.4313</v>
      </c>
      <c r="M742">
        <v>1.1599999999999999</v>
      </c>
      <c r="N742">
        <v>0.95420000477100009</v>
      </c>
      <c r="O742">
        <v>20.579999522899982</v>
      </c>
      <c r="P742">
        <v>212.7</v>
      </c>
      <c r="Q742" s="125">
        <v>0</v>
      </c>
      <c r="R742" s="125">
        <v>0</v>
      </c>
      <c r="S742" s="125">
        <v>0.307</v>
      </c>
      <c r="T742" s="125">
        <v>11.728</v>
      </c>
      <c r="U742" s="125">
        <v>1.048</v>
      </c>
      <c r="V742" s="125">
        <v>0</v>
      </c>
      <c r="W742" s="125">
        <v>1.359</v>
      </c>
      <c r="X742" s="125">
        <v>0</v>
      </c>
      <c r="Y742" s="125">
        <v>0</v>
      </c>
      <c r="Z742" s="125">
        <v>0</v>
      </c>
      <c r="AA742" s="125">
        <v>2.9129999999999998</v>
      </c>
      <c r="AB742" s="125">
        <v>14.66</v>
      </c>
      <c r="AC742" s="125">
        <v>88.7</v>
      </c>
      <c r="AD742" s="125">
        <v>0</v>
      </c>
      <c r="AE742" s="125">
        <v>3.4060000000000001</v>
      </c>
      <c r="AF742" s="125">
        <v>10.635</v>
      </c>
      <c r="AG742" s="125">
        <v>0</v>
      </c>
      <c r="AH742" s="125">
        <v>0</v>
      </c>
      <c r="AI742" s="121">
        <v>1954073</v>
      </c>
      <c r="AJ742" s="121">
        <v>97638</v>
      </c>
      <c r="AK742" s="424">
        <v>12</v>
      </c>
      <c r="AL742">
        <v>0</v>
      </c>
      <c r="AM742" s="121">
        <v>16710</v>
      </c>
      <c r="AN742" s="125">
        <v>0</v>
      </c>
      <c r="AO742" s="125">
        <v>0</v>
      </c>
      <c r="AP742" s="121">
        <v>2051711</v>
      </c>
      <c r="AQ742" s="114">
        <v>0</v>
      </c>
      <c r="AR742" s="121">
        <v>0</v>
      </c>
      <c r="AS742" s="121">
        <v>0</v>
      </c>
      <c r="AT742" s="121">
        <v>0</v>
      </c>
      <c r="AU742" s="420" t="s">
        <v>798</v>
      </c>
      <c r="AV742" s="420" t="s">
        <v>2001</v>
      </c>
      <c r="AW742" s="121">
        <v>0</v>
      </c>
      <c r="AX742" s="121">
        <v>91095</v>
      </c>
      <c r="AY742" s="134">
        <v>317533</v>
      </c>
      <c r="AZ742" s="134">
        <v>619584</v>
      </c>
      <c r="BA742" s="114">
        <v>143</v>
      </c>
      <c r="BB742" s="134">
        <v>44286780</v>
      </c>
      <c r="BC742" s="114">
        <v>0</v>
      </c>
      <c r="BD742" s="114">
        <v>0</v>
      </c>
      <c r="BE742" s="114">
        <v>0</v>
      </c>
      <c r="BF742" s="114">
        <v>216</v>
      </c>
      <c r="BG742" s="114">
        <v>0</v>
      </c>
      <c r="BH742" s="114">
        <v>0</v>
      </c>
      <c r="BI742">
        <v>0</v>
      </c>
      <c r="BJ742" s="121">
        <v>87</v>
      </c>
      <c r="BK742" s="134">
        <v>163707036</v>
      </c>
      <c r="BL742" s="934">
        <v>4886</v>
      </c>
      <c r="BM742" s="934">
        <v>5677</v>
      </c>
      <c r="BN742" s="934">
        <v>5207</v>
      </c>
      <c r="BO742" s="114">
        <v>0</v>
      </c>
      <c r="BP742" s="114">
        <v>0</v>
      </c>
    </row>
    <row r="743" spans="1:68">
      <c r="A743" t="s">
        <v>2858</v>
      </c>
      <c r="B743" t="s">
        <v>346</v>
      </c>
      <c r="C743" s="121">
        <v>4632</v>
      </c>
      <c r="D743" s="72">
        <v>1</v>
      </c>
      <c r="E743">
        <v>93.870999999999995</v>
      </c>
      <c r="F743">
        <v>33</v>
      </c>
      <c r="G743">
        <v>22</v>
      </c>
      <c r="H743">
        <v>4</v>
      </c>
      <c r="I743" s="173">
        <v>1.04</v>
      </c>
      <c r="J743" s="121">
        <v>104652241</v>
      </c>
      <c r="K743" s="125">
        <v>574.61</v>
      </c>
      <c r="L743" s="173">
        <v>1.5</v>
      </c>
      <c r="M743">
        <v>1.04</v>
      </c>
      <c r="N743">
        <v>1.000000005</v>
      </c>
      <c r="O743">
        <v>3.9999995000000066</v>
      </c>
      <c r="P743">
        <v>343.47899999999998</v>
      </c>
      <c r="Q743" s="125">
        <v>0</v>
      </c>
      <c r="R743" s="125">
        <v>0</v>
      </c>
      <c r="S743" s="125">
        <v>0.70799999999999996</v>
      </c>
      <c r="T743" s="125">
        <v>8.4329999999999998</v>
      </c>
      <c r="U743" s="125">
        <v>0.95499999999999996</v>
      </c>
      <c r="V743" s="125">
        <v>2.0529999999999999</v>
      </c>
      <c r="W743" s="125">
        <v>0</v>
      </c>
      <c r="X743" s="125">
        <v>0</v>
      </c>
      <c r="Y743" s="125">
        <v>0</v>
      </c>
      <c r="Z743" s="125">
        <v>0</v>
      </c>
      <c r="AA743" s="125">
        <v>6.11</v>
      </c>
      <c r="AB743" s="125">
        <v>14.773</v>
      </c>
      <c r="AC743" s="125">
        <v>201.9</v>
      </c>
      <c r="AD743" s="125">
        <v>0</v>
      </c>
      <c r="AE743" s="125">
        <v>15.666</v>
      </c>
      <c r="AF743" s="125">
        <v>17.173950000000001</v>
      </c>
      <c r="AG743" s="125">
        <v>0</v>
      </c>
      <c r="AH743" s="125">
        <v>0</v>
      </c>
      <c r="AI743" s="121">
        <v>1108518</v>
      </c>
      <c r="AJ743" s="121">
        <v>214529</v>
      </c>
      <c r="AK743" s="424">
        <v>12</v>
      </c>
      <c r="AL743">
        <v>0</v>
      </c>
      <c r="AM743" s="121">
        <v>25583</v>
      </c>
      <c r="AN743" s="125">
        <v>0</v>
      </c>
      <c r="AO743" s="125">
        <v>0</v>
      </c>
      <c r="AP743" s="121">
        <v>1323047</v>
      </c>
      <c r="AQ743" s="114">
        <v>0</v>
      </c>
      <c r="AR743" s="121">
        <v>69.756945188000003</v>
      </c>
      <c r="AS743" s="121">
        <v>13707.458783</v>
      </c>
      <c r="AT743" s="121">
        <v>1805.2661748999999</v>
      </c>
      <c r="AU743" s="420" t="s">
        <v>2001</v>
      </c>
      <c r="AV743" s="420" t="s">
        <v>2001</v>
      </c>
      <c r="AW743" s="121">
        <v>0</v>
      </c>
      <c r="AX743" s="121">
        <v>282092</v>
      </c>
      <c r="BI743">
        <v>0</v>
      </c>
      <c r="BJ743" s="121">
        <v>0</v>
      </c>
      <c r="BK743" s="134">
        <v>104652241</v>
      </c>
      <c r="BL743" s="934">
        <v>4632</v>
      </c>
      <c r="BM743" s="934">
        <v>4597</v>
      </c>
      <c r="BN743" s="934">
        <v>4597</v>
      </c>
      <c r="BO743" s="114">
        <v>0</v>
      </c>
      <c r="BP743" s="114">
        <v>0</v>
      </c>
    </row>
    <row r="744" spans="1:68">
      <c r="A744" t="s">
        <v>1337</v>
      </c>
      <c r="B744" t="s">
        <v>2658</v>
      </c>
      <c r="C744" s="121">
        <v>4763</v>
      </c>
      <c r="D744" s="72">
        <v>2</v>
      </c>
      <c r="E744">
        <v>328.32499999999999</v>
      </c>
      <c r="F744">
        <v>94</v>
      </c>
      <c r="G744">
        <v>63</v>
      </c>
      <c r="H744">
        <v>3</v>
      </c>
      <c r="I744" s="173">
        <v>1.0266999999999999</v>
      </c>
      <c r="J744" s="121">
        <v>502393185</v>
      </c>
      <c r="K744" s="125">
        <v>1737.6410000000001</v>
      </c>
      <c r="L744" s="173">
        <v>1.48</v>
      </c>
      <c r="M744">
        <v>1.0266999999999999</v>
      </c>
      <c r="N744">
        <v>0.98666667159999999</v>
      </c>
      <c r="O744">
        <v>4.0033328399999952</v>
      </c>
      <c r="P744">
        <v>1150.1610000000001</v>
      </c>
      <c r="Q744" s="125">
        <v>0.245</v>
      </c>
      <c r="R744" s="125">
        <v>0</v>
      </c>
      <c r="S744" s="125">
        <v>1.4570000000000001</v>
      </c>
      <c r="T744" s="125">
        <v>26.114999999999998</v>
      </c>
      <c r="U744" s="125">
        <v>8.9120000000000008</v>
      </c>
      <c r="V744" s="125">
        <v>0</v>
      </c>
      <c r="W744" s="125">
        <v>0</v>
      </c>
      <c r="X744" s="125">
        <v>0</v>
      </c>
      <c r="Y744" s="125">
        <v>0</v>
      </c>
      <c r="Z744" s="125">
        <v>0</v>
      </c>
      <c r="AA744" s="125">
        <v>43.741999999999997</v>
      </c>
      <c r="AB744" s="125">
        <v>66.784999999999997</v>
      </c>
      <c r="AC744" s="125">
        <v>850.3</v>
      </c>
      <c r="AD744" s="125">
        <v>0</v>
      </c>
      <c r="AE744" s="125">
        <v>90.617000000000004</v>
      </c>
      <c r="AF744" s="125">
        <v>57.508000000000003</v>
      </c>
      <c r="AG744" s="125">
        <v>0</v>
      </c>
      <c r="AH744" s="125">
        <v>0</v>
      </c>
      <c r="AI744" s="121">
        <v>5073365</v>
      </c>
      <c r="AJ744" s="121">
        <v>741982</v>
      </c>
      <c r="AK744" s="424">
        <v>12</v>
      </c>
      <c r="AL744">
        <v>0</v>
      </c>
      <c r="AM744" s="121">
        <v>97338</v>
      </c>
      <c r="AN744" s="125">
        <v>1</v>
      </c>
      <c r="AO744" s="125">
        <v>0</v>
      </c>
      <c r="AP744" s="121">
        <v>5815347</v>
      </c>
      <c r="AQ744" s="114">
        <v>0</v>
      </c>
      <c r="AR744" s="121">
        <v>334.87494878000001</v>
      </c>
      <c r="AS744" s="121">
        <v>65803.979021000006</v>
      </c>
      <c r="AT744" s="121">
        <v>8666.3545288999994</v>
      </c>
      <c r="AU744" s="420" t="s">
        <v>2001</v>
      </c>
      <c r="AV744" s="420" t="s">
        <v>2001</v>
      </c>
      <c r="AW744" s="121">
        <v>0</v>
      </c>
      <c r="AX744" s="121">
        <v>734220</v>
      </c>
      <c r="BI744">
        <v>0</v>
      </c>
      <c r="BJ744" s="121">
        <v>0</v>
      </c>
      <c r="BK744" s="134">
        <v>470612236</v>
      </c>
      <c r="BL744" s="934">
        <v>4705</v>
      </c>
      <c r="BM744" s="934">
        <v>4763</v>
      </c>
      <c r="BN744" s="934">
        <v>4746</v>
      </c>
      <c r="BO744" s="114">
        <v>0</v>
      </c>
      <c r="BP744" s="114">
        <v>0</v>
      </c>
    </row>
    <row r="745" spans="1:68">
      <c r="A745" t="s">
        <v>1338</v>
      </c>
      <c r="B745" t="s">
        <v>348</v>
      </c>
      <c r="C745" s="121">
        <v>4748</v>
      </c>
      <c r="D745" s="72">
        <v>2</v>
      </c>
      <c r="E745">
        <v>1128.5139999999999</v>
      </c>
      <c r="F745">
        <v>274</v>
      </c>
      <c r="G745">
        <v>225</v>
      </c>
      <c r="H745">
        <v>36</v>
      </c>
      <c r="I745" s="173">
        <v>1.04</v>
      </c>
      <c r="J745" s="121">
        <v>1158307066</v>
      </c>
      <c r="K745" s="125">
        <v>4572.7060000000001</v>
      </c>
      <c r="L745" s="173">
        <v>1.5</v>
      </c>
      <c r="M745">
        <v>1.04</v>
      </c>
      <c r="N745">
        <v>1.000000005</v>
      </c>
      <c r="O745">
        <v>3.9999995000000066</v>
      </c>
      <c r="P745">
        <v>3465.7809999999999</v>
      </c>
      <c r="Q745" s="125">
        <v>0.29099999999999998</v>
      </c>
      <c r="R745" s="125">
        <v>0</v>
      </c>
      <c r="S745" s="125">
        <v>4.8639999999999999</v>
      </c>
      <c r="T745" s="125">
        <v>101.17</v>
      </c>
      <c r="U745" s="125">
        <v>32.505000000000003</v>
      </c>
      <c r="V745" s="125">
        <v>0</v>
      </c>
      <c r="W745" s="125">
        <v>4.5910000000000002</v>
      </c>
      <c r="X745" s="125">
        <v>0</v>
      </c>
      <c r="Y745" s="125">
        <v>0</v>
      </c>
      <c r="Z745" s="125">
        <v>0</v>
      </c>
      <c r="AA745" s="125">
        <v>11.333</v>
      </c>
      <c r="AB745" s="125">
        <v>157.51599999999999</v>
      </c>
      <c r="AC745" s="125">
        <v>1742.1</v>
      </c>
      <c r="AD745" s="125">
        <v>1.3520000000000001</v>
      </c>
      <c r="AE745" s="125">
        <v>85.986999999999995</v>
      </c>
      <c r="AF745" s="125">
        <v>173.28899999999999</v>
      </c>
      <c r="AG745" s="125">
        <v>0</v>
      </c>
      <c r="AH745" s="125">
        <v>0</v>
      </c>
      <c r="AI745" s="121">
        <v>12368543</v>
      </c>
      <c r="AJ745" s="121">
        <v>651961</v>
      </c>
      <c r="AK745" s="424">
        <v>12</v>
      </c>
      <c r="AL745">
        <v>0</v>
      </c>
      <c r="AM745" s="121">
        <v>245243</v>
      </c>
      <c r="AN745" s="125">
        <v>0</v>
      </c>
      <c r="AO745" s="125">
        <v>0</v>
      </c>
      <c r="AP745" s="121">
        <v>13020504</v>
      </c>
      <c r="AQ745" s="114">
        <v>0</v>
      </c>
      <c r="AR745" s="121">
        <v>772.08057586999996</v>
      </c>
      <c r="AS745" s="121">
        <v>151716.25766999999</v>
      </c>
      <c r="AT745" s="121">
        <v>19980.963102000002</v>
      </c>
      <c r="AU745" s="420" t="s">
        <v>2001</v>
      </c>
      <c r="AV745" s="420" t="s">
        <v>2001</v>
      </c>
      <c r="AW745" s="121">
        <v>0</v>
      </c>
      <c r="AX745" s="121">
        <v>780185</v>
      </c>
      <c r="BI745">
        <v>0</v>
      </c>
      <c r="BJ745" s="121">
        <v>0</v>
      </c>
      <c r="BK745" s="134">
        <v>1155765747</v>
      </c>
      <c r="BL745" s="934">
        <v>4612</v>
      </c>
      <c r="BM745" s="934">
        <v>4748</v>
      </c>
      <c r="BN745" s="934">
        <v>4746</v>
      </c>
      <c r="BO745" s="114">
        <v>0</v>
      </c>
      <c r="BP745" s="114">
        <v>0</v>
      </c>
    </row>
    <row r="746" spans="1:68">
      <c r="A746" t="s">
        <v>2753</v>
      </c>
      <c r="B746" t="s">
        <v>1256</v>
      </c>
      <c r="C746" s="121">
        <v>4689</v>
      </c>
      <c r="D746" s="72">
        <v>2</v>
      </c>
      <c r="E746">
        <v>9254.8379999999997</v>
      </c>
      <c r="F746">
        <v>2571</v>
      </c>
      <c r="G746">
        <v>1943</v>
      </c>
      <c r="H746">
        <v>317</v>
      </c>
      <c r="I746" s="173">
        <v>1.04</v>
      </c>
      <c r="J746" s="121">
        <v>9707188759</v>
      </c>
      <c r="K746" s="125">
        <v>49012.620999999999</v>
      </c>
      <c r="L746" s="173">
        <v>1.5</v>
      </c>
      <c r="M746">
        <v>1.04</v>
      </c>
      <c r="N746">
        <v>1.000000005</v>
      </c>
      <c r="O746">
        <v>3.9999995000000066</v>
      </c>
      <c r="P746">
        <v>35958.055</v>
      </c>
      <c r="Q746" s="125">
        <v>4.9610000000000003</v>
      </c>
      <c r="R746" s="125">
        <v>1.8140000000000001</v>
      </c>
      <c r="S746" s="125">
        <v>65.802000000000007</v>
      </c>
      <c r="T746" s="125">
        <v>1521.326</v>
      </c>
      <c r="U746" s="125">
        <v>330.20100000000002</v>
      </c>
      <c r="V746" s="125">
        <v>29.92</v>
      </c>
      <c r="W746" s="125">
        <v>116.318</v>
      </c>
      <c r="X746" s="125">
        <v>0</v>
      </c>
      <c r="Y746" s="125">
        <v>0</v>
      </c>
      <c r="Z746" s="125">
        <v>50.54</v>
      </c>
      <c r="AA746" s="125">
        <v>234.39699999999999</v>
      </c>
      <c r="AB746" s="125">
        <v>1348.5940000000001</v>
      </c>
      <c r="AC746" s="125">
        <v>27952.1</v>
      </c>
      <c r="AD746" s="125">
        <v>12.295</v>
      </c>
      <c r="AE746" s="125">
        <v>3075.3789999999999</v>
      </c>
      <c r="AF746" s="125">
        <v>1797.90275</v>
      </c>
      <c r="AG746" s="125">
        <v>0</v>
      </c>
      <c r="AH746" s="125">
        <v>0</v>
      </c>
      <c r="AI746" s="121">
        <v>106002501</v>
      </c>
      <c r="AJ746" s="121">
        <v>10004755</v>
      </c>
      <c r="AK746" s="424">
        <v>12</v>
      </c>
      <c r="AL746">
        <v>0</v>
      </c>
      <c r="AM746" s="121">
        <v>1737021</v>
      </c>
      <c r="AN746" s="125">
        <v>0</v>
      </c>
      <c r="AO746" s="125">
        <v>0</v>
      </c>
      <c r="AP746" s="121">
        <v>116007256</v>
      </c>
      <c r="AQ746" s="114">
        <v>0</v>
      </c>
      <c r="AR746" s="121">
        <v>6470.4188627000003</v>
      </c>
      <c r="AS746" s="121">
        <v>1271457.6251999999</v>
      </c>
      <c r="AT746" s="121">
        <v>167450.39908</v>
      </c>
      <c r="AU746" s="420" t="s">
        <v>2001</v>
      </c>
      <c r="AV746" s="420" t="s">
        <v>2001</v>
      </c>
      <c r="AW746" s="121">
        <v>0</v>
      </c>
      <c r="AX746" s="121">
        <v>11502893</v>
      </c>
      <c r="BI746">
        <v>0</v>
      </c>
      <c r="BJ746" s="121">
        <v>0</v>
      </c>
      <c r="BK746" s="134">
        <v>9707188759</v>
      </c>
      <c r="BL746" s="934">
        <v>4668</v>
      </c>
      <c r="BM746" s="934">
        <v>4689</v>
      </c>
      <c r="BN746" s="934">
        <v>4689</v>
      </c>
      <c r="BO746" s="114">
        <v>0</v>
      </c>
      <c r="BP746" s="114">
        <v>0</v>
      </c>
    </row>
    <row r="747" spans="1:68">
      <c r="A747" t="s">
        <v>619</v>
      </c>
      <c r="B747" t="s">
        <v>349</v>
      </c>
      <c r="C747" s="121">
        <v>9385</v>
      </c>
      <c r="D747" s="72">
        <v>2</v>
      </c>
      <c r="E747">
        <v>0</v>
      </c>
      <c r="F747">
        <v>28</v>
      </c>
      <c r="G747">
        <v>22</v>
      </c>
      <c r="H747">
        <v>3</v>
      </c>
      <c r="I747" s="173">
        <v>1.04</v>
      </c>
      <c r="J747" s="121">
        <v>132098893</v>
      </c>
      <c r="K747" s="125">
        <v>423.16899999999998</v>
      </c>
      <c r="L747" s="173">
        <v>1.5</v>
      </c>
      <c r="M747">
        <v>1.04</v>
      </c>
      <c r="N747">
        <v>1.000000005</v>
      </c>
      <c r="O747">
        <v>3.9999995000000066</v>
      </c>
      <c r="P747">
        <v>233.458</v>
      </c>
      <c r="Q747" s="125">
        <v>0</v>
      </c>
      <c r="R747" s="125">
        <v>0</v>
      </c>
      <c r="S747" s="125">
        <v>0.32300000000000001</v>
      </c>
      <c r="T747" s="125">
        <v>6.9050000000000002</v>
      </c>
      <c r="U747" s="125">
        <v>0.46100000000000002</v>
      </c>
      <c r="V747" s="125">
        <v>0</v>
      </c>
      <c r="W747" s="125">
        <v>0</v>
      </c>
      <c r="X747" s="125">
        <v>0</v>
      </c>
      <c r="Y747" s="125">
        <v>0</v>
      </c>
      <c r="Z747" s="125">
        <v>0</v>
      </c>
      <c r="AA747" s="125">
        <v>0</v>
      </c>
      <c r="AB747" s="125">
        <v>0</v>
      </c>
      <c r="AC747" s="125">
        <v>247.2</v>
      </c>
      <c r="AD747" s="125">
        <v>0</v>
      </c>
      <c r="AE747" s="125">
        <v>28.213000000000001</v>
      </c>
      <c r="AF747" s="125">
        <v>11.6729</v>
      </c>
      <c r="AG747" s="125">
        <v>0</v>
      </c>
      <c r="AH747" s="125">
        <v>0</v>
      </c>
      <c r="AI747" s="121">
        <v>1278090</v>
      </c>
      <c r="AJ747" s="121">
        <v>313689</v>
      </c>
      <c r="AK747" s="424">
        <v>8</v>
      </c>
      <c r="AL747">
        <v>0</v>
      </c>
      <c r="AM747" s="121">
        <v>52432</v>
      </c>
      <c r="AN747" s="125">
        <v>0</v>
      </c>
      <c r="AO747" s="125">
        <v>0</v>
      </c>
      <c r="AP747" s="121">
        <v>1591779</v>
      </c>
      <c r="AQ747" s="114">
        <v>0</v>
      </c>
      <c r="AR747" s="121">
        <v>88.051771502999998</v>
      </c>
      <c r="AS747" s="121">
        <v>17302.449603000001</v>
      </c>
      <c r="AT747" s="121">
        <v>2278.7248539000002</v>
      </c>
      <c r="AU747" s="420" t="s">
        <v>2001</v>
      </c>
      <c r="AV747" s="420" t="s">
        <v>2001</v>
      </c>
      <c r="AW747" s="121">
        <v>0</v>
      </c>
      <c r="AX747" s="121">
        <v>277600</v>
      </c>
      <c r="BI747">
        <v>0</v>
      </c>
      <c r="BJ747" s="121">
        <v>0</v>
      </c>
      <c r="BK747" s="134">
        <v>118223476</v>
      </c>
      <c r="BL747" s="934">
        <v>8152</v>
      </c>
      <c r="BM747" s="934">
        <v>9385</v>
      </c>
      <c r="BN747" s="934">
        <v>8282</v>
      </c>
      <c r="BO747" s="134">
        <v>1347840</v>
      </c>
      <c r="BP747" s="134">
        <v>1510000</v>
      </c>
    </row>
    <row r="748" spans="1:68">
      <c r="A748" t="s">
        <v>632</v>
      </c>
      <c r="B748" t="s">
        <v>350</v>
      </c>
      <c r="C748" s="121">
        <v>5979</v>
      </c>
      <c r="D748" s="72">
        <v>2</v>
      </c>
      <c r="E748">
        <v>0</v>
      </c>
      <c r="F748">
        <v>23</v>
      </c>
      <c r="G748">
        <v>21</v>
      </c>
      <c r="H748">
        <v>3</v>
      </c>
      <c r="I748" s="173">
        <v>0.9</v>
      </c>
      <c r="J748" s="121">
        <v>205215027</v>
      </c>
      <c r="K748" s="125">
        <v>448.78300000000002</v>
      </c>
      <c r="L748" s="173">
        <v>1.24</v>
      </c>
      <c r="M748">
        <v>0.9</v>
      </c>
      <c r="N748">
        <v>0.8266666708</v>
      </c>
      <c r="O748">
        <v>7.3333329200000019</v>
      </c>
      <c r="P748">
        <v>305</v>
      </c>
      <c r="Q748" s="125">
        <v>0</v>
      </c>
      <c r="R748" s="125">
        <v>0</v>
      </c>
      <c r="S748" s="125">
        <v>0.48</v>
      </c>
      <c r="T748" s="125">
        <v>5.7</v>
      </c>
      <c r="U748" s="125">
        <v>0</v>
      </c>
      <c r="V748" s="125">
        <v>0</v>
      </c>
      <c r="W748" s="125">
        <v>0</v>
      </c>
      <c r="X748" s="125">
        <v>0</v>
      </c>
      <c r="Y748" s="125">
        <v>0</v>
      </c>
      <c r="Z748" s="125">
        <v>0</v>
      </c>
      <c r="AA748" s="125">
        <v>1.4</v>
      </c>
      <c r="AB748" s="125">
        <v>0</v>
      </c>
      <c r="AC748" s="125">
        <v>36</v>
      </c>
      <c r="AD748" s="125">
        <v>0</v>
      </c>
      <c r="AE748" s="125">
        <v>4</v>
      </c>
      <c r="AF748" s="125">
        <v>15.25</v>
      </c>
      <c r="AG748" s="125">
        <v>0</v>
      </c>
      <c r="AH748" s="125">
        <v>0</v>
      </c>
      <c r="AI748" s="121">
        <v>1919889</v>
      </c>
      <c r="AJ748" s="121">
        <v>229156</v>
      </c>
      <c r="AK748" s="424">
        <v>8</v>
      </c>
      <c r="AL748">
        <v>0</v>
      </c>
      <c r="AM748" s="121">
        <v>36304</v>
      </c>
      <c r="AN748" s="125">
        <v>0</v>
      </c>
      <c r="AO748" s="125">
        <v>0</v>
      </c>
      <c r="AP748" s="121">
        <v>2149045</v>
      </c>
      <c r="AQ748" s="114">
        <v>0</v>
      </c>
      <c r="AR748" s="121">
        <v>0</v>
      </c>
      <c r="AS748" s="121">
        <v>0</v>
      </c>
      <c r="AT748" s="121">
        <v>0</v>
      </c>
      <c r="AU748" s="420" t="s">
        <v>798</v>
      </c>
      <c r="AV748" s="420" t="s">
        <v>2001</v>
      </c>
      <c r="AW748" s="121">
        <v>0</v>
      </c>
      <c r="AX748" s="121">
        <v>238110</v>
      </c>
      <c r="AY748" s="134">
        <v>256431</v>
      </c>
      <c r="AZ748" s="134">
        <v>536081</v>
      </c>
      <c r="BA748" s="114">
        <v>121</v>
      </c>
      <c r="BB748" s="134">
        <v>41075069</v>
      </c>
      <c r="BC748" s="114">
        <v>0</v>
      </c>
      <c r="BD748" s="114">
        <v>0</v>
      </c>
      <c r="BE748" s="114">
        <v>0</v>
      </c>
      <c r="BF748" s="114">
        <v>251</v>
      </c>
      <c r="BG748" s="114">
        <v>0</v>
      </c>
      <c r="BH748" s="114">
        <v>0</v>
      </c>
      <c r="BI748">
        <v>0</v>
      </c>
      <c r="BJ748" s="121">
        <v>0</v>
      </c>
      <c r="BK748" s="134">
        <v>205215027</v>
      </c>
      <c r="BL748" s="934">
        <v>5740</v>
      </c>
      <c r="BM748" s="934">
        <v>5979</v>
      </c>
      <c r="BN748" s="934">
        <v>5441</v>
      </c>
      <c r="BO748" s="114">
        <v>0</v>
      </c>
      <c r="BP748" s="114">
        <v>0</v>
      </c>
    </row>
    <row r="749" spans="1:68">
      <c r="A749" t="s">
        <v>633</v>
      </c>
      <c r="B749" t="s">
        <v>351</v>
      </c>
      <c r="C749" s="121">
        <v>6859</v>
      </c>
      <c r="D749" s="72">
        <v>2</v>
      </c>
      <c r="E749">
        <v>157.88300000000001</v>
      </c>
      <c r="F749">
        <v>57</v>
      </c>
      <c r="G749">
        <v>44</v>
      </c>
      <c r="H749">
        <v>0</v>
      </c>
      <c r="I749" s="173">
        <v>1.0133000000000001</v>
      </c>
      <c r="J749" s="121">
        <v>1693505678</v>
      </c>
      <c r="K749" s="125">
        <v>895.96</v>
      </c>
      <c r="L749" s="173">
        <v>1.46</v>
      </c>
      <c r="M749">
        <v>1.0133000000000001</v>
      </c>
      <c r="N749">
        <v>0.97333333820000001</v>
      </c>
      <c r="O749">
        <v>3.9966661800000081</v>
      </c>
      <c r="P749">
        <v>543.60900000000004</v>
      </c>
      <c r="Q749" s="125">
        <v>3.5000000000000003E-2</v>
      </c>
      <c r="R749" s="125">
        <v>0</v>
      </c>
      <c r="S749" s="125">
        <v>0.42199999999999999</v>
      </c>
      <c r="T749" s="125">
        <v>28.131</v>
      </c>
      <c r="U749" s="125">
        <v>5.5439999999999996</v>
      </c>
      <c r="V749" s="125">
        <v>0</v>
      </c>
      <c r="W749" s="125">
        <v>0</v>
      </c>
      <c r="X749" s="125">
        <v>0</v>
      </c>
      <c r="Y749" s="125">
        <v>0</v>
      </c>
      <c r="Z749" s="125">
        <v>0</v>
      </c>
      <c r="AA749" s="125">
        <v>15.064</v>
      </c>
      <c r="AB749" s="125">
        <v>16.747</v>
      </c>
      <c r="AC749" s="125">
        <v>227.6</v>
      </c>
      <c r="AD749" s="125">
        <v>4.5999999999999999E-2</v>
      </c>
      <c r="AE749" s="125">
        <v>5.9489999999999998</v>
      </c>
      <c r="AF749" s="125">
        <v>27.18</v>
      </c>
      <c r="AG749" s="125">
        <v>0</v>
      </c>
      <c r="AH749" s="125">
        <v>0</v>
      </c>
      <c r="AI749" s="121">
        <v>17477758</v>
      </c>
      <c r="AJ749" s="121">
        <v>800801</v>
      </c>
      <c r="AK749" s="424">
        <v>12</v>
      </c>
      <c r="AL749">
        <v>0</v>
      </c>
      <c r="AM749" s="121">
        <v>7154</v>
      </c>
      <c r="AN749" s="125">
        <v>0</v>
      </c>
      <c r="AO749" s="125">
        <v>0</v>
      </c>
      <c r="AP749" s="121">
        <v>18278559</v>
      </c>
      <c r="AQ749" s="114">
        <v>0</v>
      </c>
      <c r="AR749" s="121">
        <v>0</v>
      </c>
      <c r="AS749" s="121">
        <v>0</v>
      </c>
      <c r="AT749" s="121">
        <v>0</v>
      </c>
      <c r="AU749" s="420" t="s">
        <v>798</v>
      </c>
      <c r="AV749" s="420" t="s">
        <v>2001</v>
      </c>
      <c r="AW749" s="121">
        <v>0</v>
      </c>
      <c r="AX749" s="121">
        <v>783193</v>
      </c>
      <c r="AY749" s="134">
        <v>1072009</v>
      </c>
      <c r="AZ749" s="134">
        <v>1501927</v>
      </c>
      <c r="BA749" s="114">
        <v>647</v>
      </c>
      <c r="BB749" s="134">
        <v>348789017</v>
      </c>
      <c r="BC749" s="114">
        <v>0</v>
      </c>
      <c r="BD749" s="114">
        <v>0</v>
      </c>
      <c r="BE749" s="114">
        <v>0</v>
      </c>
      <c r="BF749" s="114">
        <v>534</v>
      </c>
      <c r="BG749" s="114">
        <v>0</v>
      </c>
      <c r="BH749" s="114">
        <v>0</v>
      </c>
      <c r="BI749">
        <v>0</v>
      </c>
      <c r="BJ749" s="121">
        <v>0</v>
      </c>
      <c r="BK749" s="134">
        <v>1693505678</v>
      </c>
      <c r="BL749" s="934">
        <v>5465</v>
      </c>
      <c r="BM749" s="934">
        <v>6859</v>
      </c>
      <c r="BN749" s="934">
        <v>5756</v>
      </c>
      <c r="BO749" s="114">
        <v>0</v>
      </c>
      <c r="BP749" s="114">
        <v>0</v>
      </c>
    </row>
    <row r="750" spans="1:68">
      <c r="A750" t="s">
        <v>191</v>
      </c>
      <c r="B750" t="s">
        <v>3098</v>
      </c>
      <c r="C750" s="121">
        <v>4572</v>
      </c>
      <c r="D750" s="72">
        <v>2</v>
      </c>
      <c r="E750">
        <v>898.29200000000003</v>
      </c>
      <c r="F750">
        <v>289</v>
      </c>
      <c r="G750">
        <v>309</v>
      </c>
      <c r="H750">
        <v>18</v>
      </c>
      <c r="I750" s="173">
        <v>1.04</v>
      </c>
      <c r="J750" s="121">
        <v>276227370</v>
      </c>
      <c r="K750" s="125">
        <v>5062.6310000000003</v>
      </c>
      <c r="L750" s="173">
        <v>1.5</v>
      </c>
      <c r="M750">
        <v>1.04</v>
      </c>
      <c r="N750">
        <v>1.000000005</v>
      </c>
      <c r="O750">
        <v>3.9999995000000066</v>
      </c>
      <c r="P750">
        <v>3317.598</v>
      </c>
      <c r="Q750" s="125">
        <v>0.53500000000000003</v>
      </c>
      <c r="R750" s="125">
        <v>0</v>
      </c>
      <c r="S750" s="125">
        <v>8.4979999999999993</v>
      </c>
      <c r="T750" s="125">
        <v>190.43</v>
      </c>
      <c r="U750" s="125">
        <v>27.074000000000002</v>
      </c>
      <c r="V750" s="125">
        <v>0</v>
      </c>
      <c r="W750" s="125">
        <v>2.7629999999999999</v>
      </c>
      <c r="X750" s="125">
        <v>0</v>
      </c>
      <c r="Y750" s="125">
        <v>0</v>
      </c>
      <c r="Z750" s="125">
        <v>0</v>
      </c>
      <c r="AA750" s="125">
        <v>7.2430000000000003</v>
      </c>
      <c r="AB750" s="125">
        <v>151.37299999999999</v>
      </c>
      <c r="AC750" s="125">
        <v>3284.4</v>
      </c>
      <c r="AD750" s="125">
        <v>4.1050000000000004</v>
      </c>
      <c r="AE750" s="125">
        <v>151.85599999999999</v>
      </c>
      <c r="AF750" s="125">
        <v>165.87989999999999</v>
      </c>
      <c r="AG750" s="125">
        <v>0</v>
      </c>
      <c r="AH750" s="125">
        <v>0</v>
      </c>
      <c r="AI750" s="121">
        <v>2956075</v>
      </c>
      <c r="AJ750" s="121">
        <v>529957</v>
      </c>
      <c r="AK750" s="424">
        <v>12</v>
      </c>
      <c r="AL750">
        <v>0</v>
      </c>
      <c r="AM750" s="121">
        <v>91689</v>
      </c>
      <c r="AN750" s="125">
        <v>0</v>
      </c>
      <c r="AO750" s="125">
        <v>0</v>
      </c>
      <c r="AP750" s="121">
        <v>3486032</v>
      </c>
      <c r="AQ750" s="114">
        <v>0</v>
      </c>
      <c r="AR750" s="121">
        <v>184.12197698</v>
      </c>
      <c r="AS750" s="121">
        <v>36180.546663000001</v>
      </c>
      <c r="AT750" s="121">
        <v>4764.9617712999998</v>
      </c>
      <c r="AU750" s="420" t="s">
        <v>2001</v>
      </c>
      <c r="AV750" s="420" t="s">
        <v>2001</v>
      </c>
      <c r="AW750" s="121">
        <v>0</v>
      </c>
      <c r="AX750" s="121">
        <v>2851558</v>
      </c>
      <c r="BI750">
        <v>0</v>
      </c>
      <c r="BJ750" s="121">
        <v>0</v>
      </c>
      <c r="BK750" s="134">
        <v>276227370</v>
      </c>
      <c r="BL750" s="934">
        <v>4553</v>
      </c>
      <c r="BM750" s="934">
        <v>4572</v>
      </c>
      <c r="BN750" s="934">
        <v>4572</v>
      </c>
      <c r="BO750" s="114">
        <v>0</v>
      </c>
      <c r="BP750" s="114">
        <v>0</v>
      </c>
    </row>
    <row r="751" spans="1:68">
      <c r="A751" t="s">
        <v>869</v>
      </c>
      <c r="B751" t="s">
        <v>352</v>
      </c>
      <c r="C751" s="121">
        <v>4691</v>
      </c>
      <c r="D751" s="72">
        <v>2</v>
      </c>
      <c r="E751">
        <v>965.66399999999999</v>
      </c>
      <c r="F751">
        <v>246</v>
      </c>
      <c r="G751">
        <v>106</v>
      </c>
      <c r="H751">
        <v>29</v>
      </c>
      <c r="I751" s="173">
        <v>1.04</v>
      </c>
      <c r="J751" s="121">
        <v>1320814899</v>
      </c>
      <c r="K751" s="125">
        <v>4477.3950000000004</v>
      </c>
      <c r="L751" s="173">
        <v>1.5</v>
      </c>
      <c r="M751">
        <v>1.04</v>
      </c>
      <c r="N751">
        <v>1.000000005</v>
      </c>
      <c r="O751">
        <v>3.9999995000000066</v>
      </c>
      <c r="P751">
        <v>3310.3879999999999</v>
      </c>
      <c r="Q751" s="125">
        <v>0.50600000000000001</v>
      </c>
      <c r="R751" s="125">
        <v>0</v>
      </c>
      <c r="S751" s="125">
        <v>6.4580000000000002</v>
      </c>
      <c r="T751" s="125">
        <v>117.47799999999999</v>
      </c>
      <c r="U751" s="125">
        <v>23.312999999999999</v>
      </c>
      <c r="V751" s="125">
        <v>0</v>
      </c>
      <c r="W751" s="125">
        <v>2.597</v>
      </c>
      <c r="X751" s="125">
        <v>0</v>
      </c>
      <c r="Y751" s="125">
        <v>0</v>
      </c>
      <c r="Z751" s="125">
        <v>0</v>
      </c>
      <c r="AA751" s="125">
        <v>7.2290000000000001</v>
      </c>
      <c r="AB751" s="125">
        <v>122.392</v>
      </c>
      <c r="AC751" s="125">
        <v>2072.8000000000002</v>
      </c>
      <c r="AD751" s="125">
        <v>0.247</v>
      </c>
      <c r="AE751" s="125">
        <v>132.72900000000001</v>
      </c>
      <c r="AF751" s="125">
        <v>165.51900000000001</v>
      </c>
      <c r="AG751" s="125">
        <v>0</v>
      </c>
      <c r="AH751" s="125">
        <v>0</v>
      </c>
      <c r="AI751" s="121">
        <v>14423299</v>
      </c>
      <c r="AJ751" s="121">
        <v>2788345</v>
      </c>
      <c r="AK751" s="424">
        <v>12</v>
      </c>
      <c r="AL751">
        <v>0</v>
      </c>
      <c r="AM751" s="121">
        <v>179920</v>
      </c>
      <c r="AN751" s="125">
        <v>0</v>
      </c>
      <c r="AO751" s="125">
        <v>0</v>
      </c>
      <c r="AP751" s="121">
        <v>17211644</v>
      </c>
      <c r="AQ751" s="114">
        <v>0</v>
      </c>
      <c r="AR751" s="121">
        <v>880.40171555999996</v>
      </c>
      <c r="AS751" s="121">
        <v>173001.70177000001</v>
      </c>
      <c r="AT751" s="121">
        <v>22784.246545000002</v>
      </c>
      <c r="AU751" s="420" t="s">
        <v>2001</v>
      </c>
      <c r="AV751" s="420" t="s">
        <v>2001</v>
      </c>
      <c r="AW751" s="121">
        <v>0</v>
      </c>
      <c r="AX751" s="121">
        <v>3104584</v>
      </c>
      <c r="BI751">
        <v>0</v>
      </c>
      <c r="BJ751" s="121">
        <v>0</v>
      </c>
      <c r="BK751" s="134">
        <v>1320814899</v>
      </c>
      <c r="BL751" s="934">
        <v>4483</v>
      </c>
      <c r="BM751" s="934">
        <v>4691</v>
      </c>
      <c r="BN751" s="934">
        <v>4544</v>
      </c>
      <c r="BO751" s="114">
        <v>0</v>
      </c>
      <c r="BP751" s="114">
        <v>0</v>
      </c>
    </row>
    <row r="752" spans="1:68">
      <c r="A752" t="s">
        <v>1087</v>
      </c>
      <c r="B752" t="s">
        <v>353</v>
      </c>
      <c r="C752" s="121">
        <v>4794</v>
      </c>
      <c r="D752" s="72">
        <v>2</v>
      </c>
      <c r="E752">
        <v>240.375</v>
      </c>
      <c r="F752">
        <v>0</v>
      </c>
      <c r="G752">
        <v>0</v>
      </c>
      <c r="H752">
        <v>0</v>
      </c>
      <c r="I752" s="173">
        <v>1.04</v>
      </c>
      <c r="J752" s="121">
        <v>202628856</v>
      </c>
      <c r="K752" s="125">
        <v>1374.5920000000001</v>
      </c>
      <c r="L752" s="173">
        <v>1.5</v>
      </c>
      <c r="M752">
        <v>1.04</v>
      </c>
      <c r="N752">
        <v>1.000000005</v>
      </c>
      <c r="O752">
        <v>3.9999995000000066</v>
      </c>
      <c r="P752">
        <v>845.80399999999997</v>
      </c>
      <c r="Q752" s="125">
        <v>0.48399999999999999</v>
      </c>
      <c r="R752" s="125">
        <v>0</v>
      </c>
      <c r="S752" s="125">
        <v>1.232</v>
      </c>
      <c r="T752" s="125">
        <v>26.591999999999999</v>
      </c>
      <c r="U752" s="125">
        <v>3.206</v>
      </c>
      <c r="V752" s="125">
        <v>0</v>
      </c>
      <c r="W752" s="125">
        <v>0</v>
      </c>
      <c r="X752" s="125">
        <v>0</v>
      </c>
      <c r="Y752" s="125">
        <v>0</v>
      </c>
      <c r="Z752" s="125">
        <v>0</v>
      </c>
      <c r="AA752" s="125">
        <v>6.375</v>
      </c>
      <c r="AB752" s="125">
        <v>37.774999999999999</v>
      </c>
      <c r="AC752" s="125">
        <v>837.3</v>
      </c>
      <c r="AD752" s="125">
        <v>0.21</v>
      </c>
      <c r="AE752" s="125">
        <v>29.378</v>
      </c>
      <c r="AF752" s="125">
        <v>42.29</v>
      </c>
      <c r="AG752" s="125">
        <v>0</v>
      </c>
      <c r="AH752" s="125">
        <v>0</v>
      </c>
      <c r="AI752" s="121">
        <v>2122595</v>
      </c>
      <c r="AJ752" s="121">
        <v>538259</v>
      </c>
      <c r="AK752" s="424">
        <v>12</v>
      </c>
      <c r="AL752">
        <v>0</v>
      </c>
      <c r="AM752" s="121">
        <v>77268</v>
      </c>
      <c r="AN752" s="125">
        <v>0</v>
      </c>
      <c r="AO752" s="125">
        <v>0</v>
      </c>
      <c r="AP752" s="121">
        <v>2660854</v>
      </c>
      <c r="AQ752" s="114">
        <v>0</v>
      </c>
      <c r="AR752" s="121">
        <v>135.06418848000001</v>
      </c>
      <c r="AS752" s="121">
        <v>26540.537168999999</v>
      </c>
      <c r="AT752" s="121">
        <v>3495.3768436999999</v>
      </c>
      <c r="AU752" s="420" t="s">
        <v>2001</v>
      </c>
      <c r="AV752" s="420" t="s">
        <v>2001</v>
      </c>
      <c r="AW752" s="121">
        <v>0</v>
      </c>
      <c r="AX752" s="121">
        <v>1183506</v>
      </c>
      <c r="BI752">
        <v>0</v>
      </c>
      <c r="BJ752" s="121">
        <v>0</v>
      </c>
      <c r="BK752" s="134">
        <v>196340220</v>
      </c>
      <c r="BL752" s="934">
        <v>4414</v>
      </c>
      <c r="BM752" s="934">
        <v>4794</v>
      </c>
      <c r="BN752" s="934">
        <v>4528</v>
      </c>
      <c r="BO752" s="114">
        <v>0</v>
      </c>
      <c r="BP752" s="114">
        <v>0</v>
      </c>
    </row>
    <row r="753" spans="1:68">
      <c r="A753" t="s">
        <v>2452</v>
      </c>
      <c r="B753" t="s">
        <v>354</v>
      </c>
      <c r="C753" s="121">
        <v>5090</v>
      </c>
      <c r="D753" s="72">
        <v>3</v>
      </c>
      <c r="E753">
        <v>1677.415</v>
      </c>
      <c r="F753">
        <v>375</v>
      </c>
      <c r="G753">
        <v>284</v>
      </c>
      <c r="H753">
        <v>60</v>
      </c>
      <c r="I753" s="173">
        <v>1.04</v>
      </c>
      <c r="J753" s="121">
        <v>2006404665</v>
      </c>
      <c r="K753" s="125">
        <v>6530.1229999999996</v>
      </c>
      <c r="L753" s="173">
        <v>1.4841</v>
      </c>
      <c r="M753">
        <v>1.04</v>
      </c>
      <c r="N753">
        <v>0.98940000494699998</v>
      </c>
      <c r="O753">
        <v>5.0599995053000058</v>
      </c>
      <c r="P753">
        <v>5177.5469999999996</v>
      </c>
      <c r="Q753" s="125">
        <v>0.81</v>
      </c>
      <c r="R753" s="125">
        <v>0</v>
      </c>
      <c r="S753" s="125">
        <v>10.294</v>
      </c>
      <c r="T753" s="125">
        <v>124.18300000000001</v>
      </c>
      <c r="U753" s="125">
        <v>39.862000000000002</v>
      </c>
      <c r="V753" s="125">
        <v>0</v>
      </c>
      <c r="W753" s="125">
        <v>0</v>
      </c>
      <c r="X753" s="125">
        <v>0</v>
      </c>
      <c r="Y753" s="125">
        <v>0</v>
      </c>
      <c r="Z753" s="125">
        <v>0</v>
      </c>
      <c r="AA753" s="125">
        <v>130</v>
      </c>
      <c r="AB753" s="125">
        <v>149.815</v>
      </c>
      <c r="AC753" s="125">
        <v>2351</v>
      </c>
      <c r="AD753" s="125">
        <v>0.93600000000000005</v>
      </c>
      <c r="AE753" s="125">
        <v>129</v>
      </c>
      <c r="AF753" s="125">
        <v>258.87700000000001</v>
      </c>
      <c r="AG753" s="125">
        <v>0</v>
      </c>
      <c r="AH753" s="125">
        <v>0</v>
      </c>
      <c r="AI753" s="121">
        <v>21690840</v>
      </c>
      <c r="AJ753" s="121">
        <v>513423</v>
      </c>
      <c r="AK753" s="424">
        <v>12</v>
      </c>
      <c r="AL753">
        <v>0</v>
      </c>
      <c r="AM753" s="121">
        <v>353365</v>
      </c>
      <c r="AN753" s="125">
        <v>0</v>
      </c>
      <c r="AO753" s="125">
        <v>0</v>
      </c>
      <c r="AP753" s="121">
        <v>22204263</v>
      </c>
      <c r="AQ753" s="114">
        <v>0</v>
      </c>
      <c r="AR753" s="121">
        <v>1337.3880856000001</v>
      </c>
      <c r="AS753" s="121">
        <v>262800.95853</v>
      </c>
      <c r="AT753" s="121">
        <v>34610.768391999998</v>
      </c>
      <c r="AU753" s="420" t="s">
        <v>2001</v>
      </c>
      <c r="AV753" s="420" t="s">
        <v>2001</v>
      </c>
      <c r="AW753" s="121">
        <v>0</v>
      </c>
      <c r="AX753" s="121">
        <v>650262</v>
      </c>
      <c r="BI753">
        <v>0</v>
      </c>
      <c r="BJ753" s="121">
        <v>0</v>
      </c>
      <c r="BK753" s="134">
        <v>2006404665</v>
      </c>
      <c r="BL753" s="934">
        <v>4946</v>
      </c>
      <c r="BM753" s="934">
        <v>5048</v>
      </c>
      <c r="BN753" s="934">
        <v>5090</v>
      </c>
      <c r="BO753" s="114">
        <v>0</v>
      </c>
      <c r="BP753" s="114">
        <v>0</v>
      </c>
    </row>
    <row r="754" spans="1:68">
      <c r="A754" t="s">
        <v>2453</v>
      </c>
      <c r="B754" t="s">
        <v>355</v>
      </c>
      <c r="C754" s="121">
        <v>4675</v>
      </c>
      <c r="D754" s="72">
        <v>2</v>
      </c>
      <c r="E754">
        <v>463.28</v>
      </c>
      <c r="F754">
        <v>155</v>
      </c>
      <c r="G754">
        <v>143</v>
      </c>
      <c r="H754">
        <v>7</v>
      </c>
      <c r="I754" s="173">
        <v>1.04</v>
      </c>
      <c r="J754" s="121">
        <v>494205548</v>
      </c>
      <c r="K754" s="125">
        <v>2854.8319999999999</v>
      </c>
      <c r="L754" s="173">
        <v>1.5</v>
      </c>
      <c r="M754">
        <v>1.04</v>
      </c>
      <c r="N754">
        <v>1.000000005</v>
      </c>
      <c r="O754">
        <v>3.9999995000000066</v>
      </c>
      <c r="P754">
        <v>1834.2760000000001</v>
      </c>
      <c r="Q754" s="125">
        <v>0.13900000000000001</v>
      </c>
      <c r="R754" s="125">
        <v>0</v>
      </c>
      <c r="S754" s="125">
        <v>3.6680000000000001</v>
      </c>
      <c r="T754" s="125">
        <v>91.926000000000002</v>
      </c>
      <c r="U754" s="125">
        <v>17.154</v>
      </c>
      <c r="V754" s="125">
        <v>0.224</v>
      </c>
      <c r="W754" s="125">
        <v>13.336</v>
      </c>
      <c r="X754" s="125">
        <v>0</v>
      </c>
      <c r="Y754" s="125">
        <v>0</v>
      </c>
      <c r="Z754" s="125">
        <v>0</v>
      </c>
      <c r="AA754" s="125">
        <v>8.891</v>
      </c>
      <c r="AB754" s="125">
        <v>61.17</v>
      </c>
      <c r="AC754" s="125">
        <v>1815.9</v>
      </c>
      <c r="AD754" s="125">
        <v>1.2729999999999999</v>
      </c>
      <c r="AE754" s="125">
        <v>101.746</v>
      </c>
      <c r="AF754" s="125">
        <v>91.713800000000006</v>
      </c>
      <c r="AG754" s="125">
        <v>0</v>
      </c>
      <c r="AH754" s="125">
        <v>0</v>
      </c>
      <c r="AI754" s="121">
        <v>5234823</v>
      </c>
      <c r="AJ754" s="121">
        <v>1051272</v>
      </c>
      <c r="AK754" s="424">
        <v>12</v>
      </c>
      <c r="AL754">
        <v>0</v>
      </c>
      <c r="AM754" s="121">
        <v>48359</v>
      </c>
      <c r="AN754" s="125">
        <v>0</v>
      </c>
      <c r="AO754" s="125">
        <v>0</v>
      </c>
      <c r="AP754" s="121">
        <v>6286095</v>
      </c>
      <c r="AQ754" s="114">
        <v>0</v>
      </c>
      <c r="AR754" s="121">
        <v>329.41740181</v>
      </c>
      <c r="AS754" s="121">
        <v>64731.553903</v>
      </c>
      <c r="AT754" s="121">
        <v>8525.1166217999998</v>
      </c>
      <c r="AU754" s="420" t="s">
        <v>2001</v>
      </c>
      <c r="AV754" s="420" t="s">
        <v>2001</v>
      </c>
      <c r="AW754" s="121">
        <v>0</v>
      </c>
      <c r="AX754" s="121">
        <v>1699341</v>
      </c>
      <c r="BI754">
        <v>0</v>
      </c>
      <c r="BJ754" s="121">
        <v>0</v>
      </c>
      <c r="BK754" s="134">
        <v>494205548</v>
      </c>
      <c r="BL754" s="934">
        <v>4450</v>
      </c>
      <c r="BM754" s="934">
        <v>4675</v>
      </c>
      <c r="BN754" s="934">
        <v>4579</v>
      </c>
      <c r="BO754" s="114">
        <v>0</v>
      </c>
      <c r="BP754" s="114">
        <v>0</v>
      </c>
    </row>
    <row r="755" spans="1:68">
      <c r="A755" t="s">
        <v>237</v>
      </c>
      <c r="B755" t="s">
        <v>1123</v>
      </c>
      <c r="C755" s="121">
        <v>4819</v>
      </c>
      <c r="D755" s="72">
        <v>2</v>
      </c>
      <c r="E755">
        <v>572.28700000000003</v>
      </c>
      <c r="F755">
        <v>175</v>
      </c>
      <c r="G755">
        <v>119</v>
      </c>
      <c r="H755">
        <v>21</v>
      </c>
      <c r="I755" s="173">
        <v>1.04</v>
      </c>
      <c r="J755" s="121">
        <v>761863644</v>
      </c>
      <c r="K755" s="125">
        <v>2826.1979999999999</v>
      </c>
      <c r="L755" s="173">
        <v>1.5</v>
      </c>
      <c r="M755">
        <v>1.04</v>
      </c>
      <c r="N755">
        <v>1.000000005</v>
      </c>
      <c r="O755">
        <v>3.9999995000000066</v>
      </c>
      <c r="P755">
        <v>1979.5319999999999</v>
      </c>
      <c r="Q755" s="125">
        <v>0</v>
      </c>
      <c r="R755" s="125">
        <v>0</v>
      </c>
      <c r="S755" s="125">
        <v>0.99299999999999999</v>
      </c>
      <c r="T755" s="125">
        <v>43.816000000000003</v>
      </c>
      <c r="U755" s="125">
        <v>15.65</v>
      </c>
      <c r="V755" s="125">
        <v>7.0000000000000007E-2</v>
      </c>
      <c r="W755" s="125">
        <v>0</v>
      </c>
      <c r="X755" s="125">
        <v>0</v>
      </c>
      <c r="Y755" s="125">
        <v>0</v>
      </c>
      <c r="Z755" s="125">
        <v>0</v>
      </c>
      <c r="AA755" s="125">
        <v>49.087000000000003</v>
      </c>
      <c r="AB755" s="125">
        <v>91.081000000000003</v>
      </c>
      <c r="AC755" s="125">
        <v>1393.4</v>
      </c>
      <c r="AD755" s="125">
        <v>1.631</v>
      </c>
      <c r="AE755" s="125">
        <v>430.70600000000002</v>
      </c>
      <c r="AF755" s="125">
        <v>98.976600000000005</v>
      </c>
      <c r="AG755" s="125">
        <v>0</v>
      </c>
      <c r="AH755" s="125">
        <v>0</v>
      </c>
      <c r="AI755" s="121">
        <v>8402747</v>
      </c>
      <c r="AJ755" s="121">
        <v>440550</v>
      </c>
      <c r="AK755" s="424">
        <v>12</v>
      </c>
      <c r="AL755">
        <v>0</v>
      </c>
      <c r="AM755" s="121">
        <v>53588</v>
      </c>
      <c r="AN755" s="125">
        <v>0</v>
      </c>
      <c r="AO755" s="125">
        <v>0</v>
      </c>
      <c r="AP755" s="121">
        <v>8843297</v>
      </c>
      <c r="AQ755" s="114">
        <v>0</v>
      </c>
      <c r="AR755" s="121">
        <v>507.82744781999997</v>
      </c>
      <c r="AS755" s="121">
        <v>99789.688192999994</v>
      </c>
      <c r="AT755" s="121">
        <v>13142.257186999999</v>
      </c>
      <c r="AU755" s="420" t="s">
        <v>2001</v>
      </c>
      <c r="AV755" s="420" t="s">
        <v>2001</v>
      </c>
      <c r="AW755" s="121">
        <v>0</v>
      </c>
      <c r="AX755" s="121">
        <v>605142</v>
      </c>
      <c r="BI755">
        <v>0</v>
      </c>
      <c r="BJ755" s="121">
        <v>0</v>
      </c>
      <c r="BK755" s="134">
        <v>761863644</v>
      </c>
      <c r="BL755" s="934">
        <v>4704</v>
      </c>
      <c r="BM755" s="934">
        <v>4819</v>
      </c>
      <c r="BN755" s="934">
        <v>4751</v>
      </c>
      <c r="BO755" s="114">
        <v>0</v>
      </c>
      <c r="BP755" s="114">
        <v>0</v>
      </c>
    </row>
    <row r="756" spans="1:68">
      <c r="A756" t="s">
        <v>1097</v>
      </c>
      <c r="B756" t="s">
        <v>356</v>
      </c>
      <c r="C756" s="121">
        <v>4695</v>
      </c>
      <c r="D756" s="72">
        <v>3</v>
      </c>
      <c r="E756">
        <v>94.67</v>
      </c>
      <c r="F756">
        <v>33</v>
      </c>
      <c r="G756">
        <v>14</v>
      </c>
      <c r="H756">
        <v>0</v>
      </c>
      <c r="I756" s="173">
        <v>1.04</v>
      </c>
      <c r="J756" s="121">
        <v>102491729</v>
      </c>
      <c r="K756" s="125">
        <v>536.40700000000004</v>
      </c>
      <c r="L756" s="173">
        <v>1.4</v>
      </c>
      <c r="M756">
        <v>1.04</v>
      </c>
      <c r="N756">
        <v>0.93333333799999996</v>
      </c>
      <c r="O756">
        <v>10.666666200000009</v>
      </c>
      <c r="P756">
        <v>325</v>
      </c>
      <c r="Q756" s="125">
        <v>0</v>
      </c>
      <c r="R756" s="125">
        <v>0</v>
      </c>
      <c r="S756" s="125">
        <v>0.30299999999999999</v>
      </c>
      <c r="T756" s="125">
        <v>13.938000000000001</v>
      </c>
      <c r="U756" s="125">
        <v>0.57799999999999996</v>
      </c>
      <c r="V756" s="125">
        <v>0</v>
      </c>
      <c r="W756" s="125">
        <v>0</v>
      </c>
      <c r="X756" s="125">
        <v>0</v>
      </c>
      <c r="Y756" s="125">
        <v>0</v>
      </c>
      <c r="Z756" s="125">
        <v>0</v>
      </c>
      <c r="AA756" s="125">
        <v>5.27</v>
      </c>
      <c r="AB756" s="125">
        <v>33.098999999999997</v>
      </c>
      <c r="AC756" s="125">
        <v>152.30000000000001</v>
      </c>
      <c r="AD756" s="125">
        <v>0</v>
      </c>
      <c r="AE756" s="125">
        <v>5.5880000000000001</v>
      </c>
      <c r="AF756" s="125">
        <v>12.996</v>
      </c>
      <c r="AG756" s="125">
        <v>0</v>
      </c>
      <c r="AH756" s="125">
        <v>0</v>
      </c>
      <c r="AI756" s="121">
        <v>1074441</v>
      </c>
      <c r="AJ756" s="121">
        <v>0</v>
      </c>
      <c r="AK756" s="424">
        <v>12</v>
      </c>
      <c r="AL756">
        <v>0</v>
      </c>
      <c r="AM756" s="121">
        <v>52752</v>
      </c>
      <c r="AN756" s="125">
        <v>0</v>
      </c>
      <c r="AO756" s="125">
        <v>0</v>
      </c>
      <c r="AP756" s="121">
        <v>1074441</v>
      </c>
      <c r="AQ756" s="114">
        <v>0</v>
      </c>
      <c r="AR756" s="121">
        <v>68.316835394999998</v>
      </c>
      <c r="AS756" s="121">
        <v>13424.472685999999</v>
      </c>
      <c r="AT756" s="121">
        <v>1767.9970329</v>
      </c>
      <c r="AU756" s="420" t="s">
        <v>2001</v>
      </c>
      <c r="AV756" s="420" t="s">
        <v>2001</v>
      </c>
      <c r="AW756" s="121">
        <v>0</v>
      </c>
      <c r="AX756" s="121">
        <v>0</v>
      </c>
      <c r="BI756">
        <v>0</v>
      </c>
      <c r="BJ756" s="121">
        <v>0</v>
      </c>
      <c r="BK756" s="134">
        <v>102491729</v>
      </c>
      <c r="BL756" s="934">
        <v>4534</v>
      </c>
      <c r="BM756" s="934">
        <v>4573</v>
      </c>
      <c r="BN756" s="934">
        <v>4695</v>
      </c>
      <c r="BO756" s="114">
        <v>0</v>
      </c>
      <c r="BP756" s="114">
        <v>0</v>
      </c>
    </row>
    <row r="757" spans="1:68">
      <c r="A757" t="s">
        <v>1098</v>
      </c>
      <c r="B757" t="s">
        <v>357</v>
      </c>
      <c r="C757" s="121">
        <v>4577</v>
      </c>
      <c r="D757" s="72">
        <v>2</v>
      </c>
      <c r="E757">
        <v>41.585000000000001</v>
      </c>
      <c r="F757">
        <v>15</v>
      </c>
      <c r="G757">
        <v>11</v>
      </c>
      <c r="H757">
        <v>1</v>
      </c>
      <c r="I757" s="173">
        <v>1.04</v>
      </c>
      <c r="J757" s="121">
        <v>36200633</v>
      </c>
      <c r="K757" s="125">
        <v>294.18799999999999</v>
      </c>
      <c r="L757" s="173">
        <v>1.45</v>
      </c>
      <c r="M757">
        <v>1.04</v>
      </c>
      <c r="N757">
        <v>0.96666667149999996</v>
      </c>
      <c r="O757">
        <v>7.3333328500000068</v>
      </c>
      <c r="P757">
        <v>135.01599999999999</v>
      </c>
      <c r="Q757" s="125">
        <v>0</v>
      </c>
      <c r="R757" s="125">
        <v>0</v>
      </c>
      <c r="S757" s="125">
        <v>0.28299999999999997</v>
      </c>
      <c r="T757" s="125">
        <v>4.9349999999999996</v>
      </c>
      <c r="U757" s="125">
        <v>4.3999999999999997E-2</v>
      </c>
      <c r="V757" s="125">
        <v>0</v>
      </c>
      <c r="W757" s="125">
        <v>0</v>
      </c>
      <c r="X757" s="125">
        <v>0</v>
      </c>
      <c r="Y757" s="125">
        <v>0</v>
      </c>
      <c r="Z757" s="125">
        <v>0</v>
      </c>
      <c r="AA757" s="125">
        <v>1.123</v>
      </c>
      <c r="AB757" s="125">
        <v>9.5589999999999993</v>
      </c>
      <c r="AC757" s="125">
        <v>99.3</v>
      </c>
      <c r="AD757" s="125">
        <v>0</v>
      </c>
      <c r="AE757" s="125">
        <v>2.29</v>
      </c>
      <c r="AF757" s="125">
        <v>6.7507999999999999</v>
      </c>
      <c r="AG757" s="125">
        <v>0</v>
      </c>
      <c r="AH757" s="125">
        <v>0</v>
      </c>
      <c r="AI757" s="121">
        <v>387405</v>
      </c>
      <c r="AJ757" s="121">
        <v>0</v>
      </c>
      <c r="AK757" s="424">
        <v>12</v>
      </c>
      <c r="AL757">
        <v>0</v>
      </c>
      <c r="AM757" s="121">
        <v>65631</v>
      </c>
      <c r="AN757" s="125">
        <v>0</v>
      </c>
      <c r="AO757" s="125">
        <v>0</v>
      </c>
      <c r="AP757" s="121">
        <v>387405</v>
      </c>
      <c r="AQ757" s="114">
        <v>0</v>
      </c>
      <c r="AR757" s="121">
        <v>24.129875747</v>
      </c>
      <c r="AS757" s="121">
        <v>4741.5963577000002</v>
      </c>
      <c r="AT757" s="121">
        <v>624.46611406</v>
      </c>
      <c r="AU757" s="420" t="s">
        <v>2001</v>
      </c>
      <c r="AV757" s="420" t="s">
        <v>2001</v>
      </c>
      <c r="AW757" s="121">
        <v>0</v>
      </c>
      <c r="AX757" s="121">
        <v>0</v>
      </c>
      <c r="BI757">
        <v>0</v>
      </c>
      <c r="BJ757" s="121">
        <v>0</v>
      </c>
      <c r="BK757" s="134">
        <v>36200633</v>
      </c>
      <c r="BL757" s="934">
        <v>4552</v>
      </c>
      <c r="BM757" s="934">
        <v>4577</v>
      </c>
      <c r="BN757" s="934">
        <v>4572</v>
      </c>
      <c r="BO757" s="114">
        <v>0</v>
      </c>
      <c r="BP757" s="114">
        <v>0</v>
      </c>
    </row>
    <row r="758" spans="1:68">
      <c r="A758" t="s">
        <v>1099</v>
      </c>
      <c r="B758" t="s">
        <v>358</v>
      </c>
      <c r="C758" s="121">
        <v>5163</v>
      </c>
      <c r="D758" s="72">
        <v>2</v>
      </c>
      <c r="E758">
        <v>0</v>
      </c>
      <c r="F758">
        <v>9</v>
      </c>
      <c r="G758">
        <v>4</v>
      </c>
      <c r="H758">
        <v>2</v>
      </c>
      <c r="I758" s="173">
        <v>1.04</v>
      </c>
      <c r="J758" s="121">
        <v>34687390</v>
      </c>
      <c r="K758" s="125">
        <v>145.495</v>
      </c>
      <c r="L758" s="173">
        <v>1.5</v>
      </c>
      <c r="M758">
        <v>1.04</v>
      </c>
      <c r="N758">
        <v>1.000000005</v>
      </c>
      <c r="O758">
        <v>3.9999995000000066</v>
      </c>
      <c r="P758">
        <v>86.695999999999998</v>
      </c>
      <c r="Q758" s="125">
        <v>0</v>
      </c>
      <c r="R758" s="125">
        <v>0</v>
      </c>
      <c r="S758" s="125">
        <v>0.308</v>
      </c>
      <c r="T758" s="125">
        <v>1.994</v>
      </c>
      <c r="U758" s="125">
        <v>0</v>
      </c>
      <c r="V758" s="125">
        <v>0</v>
      </c>
      <c r="W758" s="125">
        <v>0</v>
      </c>
      <c r="X758" s="125">
        <v>0</v>
      </c>
      <c r="Y758" s="125">
        <v>0</v>
      </c>
      <c r="Z758" s="125">
        <v>0</v>
      </c>
      <c r="AA758" s="125">
        <v>0</v>
      </c>
      <c r="AB758" s="125">
        <v>0</v>
      </c>
      <c r="AC758" s="125">
        <v>55.2</v>
      </c>
      <c r="AD758" s="125">
        <v>0</v>
      </c>
      <c r="AE758" s="125">
        <v>2.1819999999999999</v>
      </c>
      <c r="AF758" s="125">
        <v>4.3348000000000004</v>
      </c>
      <c r="AG758" s="125">
        <v>0</v>
      </c>
      <c r="AH758" s="125">
        <v>0</v>
      </c>
      <c r="AI758" s="121">
        <v>367423</v>
      </c>
      <c r="AJ758" s="121">
        <v>0</v>
      </c>
      <c r="AK758" s="424">
        <v>6</v>
      </c>
      <c r="AL758">
        <v>0</v>
      </c>
      <c r="AM758" s="121">
        <v>15557</v>
      </c>
      <c r="AN758" s="125">
        <v>0</v>
      </c>
      <c r="AO758" s="125">
        <v>0</v>
      </c>
      <c r="AP758" s="121">
        <v>367423</v>
      </c>
      <c r="AQ758" s="114">
        <v>0</v>
      </c>
      <c r="AR758" s="121">
        <v>23.121209253</v>
      </c>
      <c r="AS758" s="121">
        <v>4543.3902242000004</v>
      </c>
      <c r="AT758" s="121">
        <v>598.36245515999997</v>
      </c>
      <c r="AU758" s="420" t="s">
        <v>2001</v>
      </c>
      <c r="AV758" s="420" t="s">
        <v>2001</v>
      </c>
      <c r="AW758" s="121">
        <v>0</v>
      </c>
      <c r="AX758" s="121">
        <v>0</v>
      </c>
      <c r="BI758">
        <v>0</v>
      </c>
      <c r="BJ758" s="121">
        <v>0</v>
      </c>
      <c r="BK758" s="134">
        <v>34687390</v>
      </c>
      <c r="BL758" s="934">
        <v>5059</v>
      </c>
      <c r="BM758" s="934">
        <v>5163</v>
      </c>
      <c r="BN758" s="934">
        <v>5163</v>
      </c>
      <c r="BO758" s="134">
        <v>51500</v>
      </c>
      <c r="BP758" s="134">
        <v>41200</v>
      </c>
    </row>
    <row r="759" spans="1:68">
      <c r="A759" t="s">
        <v>2225</v>
      </c>
      <c r="B759" t="s">
        <v>2121</v>
      </c>
      <c r="C759" s="121">
        <v>4749</v>
      </c>
      <c r="D759" s="72">
        <v>1</v>
      </c>
      <c r="E759">
        <v>683.77499999999998</v>
      </c>
      <c r="F759">
        <v>190</v>
      </c>
      <c r="G759">
        <v>138</v>
      </c>
      <c r="H759">
        <v>41</v>
      </c>
      <c r="I759" s="173">
        <v>1.04</v>
      </c>
      <c r="J759" s="121">
        <v>694676051</v>
      </c>
      <c r="K759" s="125">
        <v>3059.9070000000002</v>
      </c>
      <c r="L759" s="173">
        <v>1.4985999999999999</v>
      </c>
      <c r="M759">
        <v>1.04</v>
      </c>
      <c r="N759">
        <v>0.99906667166200003</v>
      </c>
      <c r="O759">
        <v>4.0933328338000008</v>
      </c>
      <c r="P759">
        <v>2253.5479999999998</v>
      </c>
      <c r="Q759" s="125">
        <v>6.4000000000000001E-2</v>
      </c>
      <c r="R759" s="125">
        <v>0</v>
      </c>
      <c r="S759" s="125">
        <v>3.7949999999999999</v>
      </c>
      <c r="T759" s="125">
        <v>83.415000000000006</v>
      </c>
      <c r="U759" s="125">
        <v>21.876000000000001</v>
      </c>
      <c r="V759" s="125">
        <v>0</v>
      </c>
      <c r="W759" s="125">
        <v>12.599</v>
      </c>
      <c r="X759" s="125">
        <v>0</v>
      </c>
      <c r="Y759" s="125">
        <v>0</v>
      </c>
      <c r="Z759" s="125">
        <v>0</v>
      </c>
      <c r="AA759" s="125">
        <v>2.8000000000000001E-2</v>
      </c>
      <c r="AB759" s="125">
        <v>117.76</v>
      </c>
      <c r="AC759" s="125">
        <v>965.9</v>
      </c>
      <c r="AD759" s="125">
        <v>3.6999999999999998E-2</v>
      </c>
      <c r="AE759" s="125">
        <v>62.508000000000003</v>
      </c>
      <c r="AF759" s="125">
        <v>112.67700000000001</v>
      </c>
      <c r="AG759" s="125">
        <v>0</v>
      </c>
      <c r="AH759" s="125">
        <v>0</v>
      </c>
      <c r="AI759" s="121">
        <v>7510004</v>
      </c>
      <c r="AJ759" s="121">
        <v>1167158</v>
      </c>
      <c r="AK759" s="424">
        <v>12</v>
      </c>
      <c r="AL759">
        <v>0</v>
      </c>
      <c r="AM759" s="121">
        <v>123362</v>
      </c>
      <c r="AN759" s="125">
        <v>0</v>
      </c>
      <c r="AO759" s="125">
        <v>0</v>
      </c>
      <c r="AP759" s="121">
        <v>8677162</v>
      </c>
      <c r="AQ759" s="114">
        <v>0</v>
      </c>
      <c r="AR759" s="121">
        <v>463.04291957999999</v>
      </c>
      <c r="AS759" s="121">
        <v>90989.387759999998</v>
      </c>
      <c r="AT759" s="121">
        <v>11983.261565999999</v>
      </c>
      <c r="AU759" s="420" t="s">
        <v>2001</v>
      </c>
      <c r="AV759" s="420" t="s">
        <v>2001</v>
      </c>
      <c r="AW759" s="121">
        <v>0</v>
      </c>
      <c r="AX759" s="121">
        <v>1630698</v>
      </c>
      <c r="BI759">
        <v>0</v>
      </c>
      <c r="BJ759" s="121">
        <v>0</v>
      </c>
      <c r="BK759" s="134">
        <v>694676051</v>
      </c>
      <c r="BL759" s="934">
        <v>4749</v>
      </c>
      <c r="BM759" s="934">
        <v>4454</v>
      </c>
      <c r="BN759" s="934">
        <v>4457</v>
      </c>
      <c r="BO759" s="114">
        <v>0</v>
      </c>
      <c r="BP759" s="114">
        <v>0</v>
      </c>
    </row>
    <row r="760" spans="1:68">
      <c r="A760" t="s">
        <v>1100</v>
      </c>
      <c r="B760" t="s">
        <v>359</v>
      </c>
      <c r="C760" s="121">
        <v>4388</v>
      </c>
      <c r="D760" s="72">
        <v>1</v>
      </c>
      <c r="E760">
        <v>482.22500000000002</v>
      </c>
      <c r="F760">
        <v>115</v>
      </c>
      <c r="G760">
        <v>87</v>
      </c>
      <c r="H760">
        <v>16</v>
      </c>
      <c r="I760" s="173">
        <v>1.04</v>
      </c>
      <c r="J760" s="121">
        <v>326851855</v>
      </c>
      <c r="K760" s="125">
        <v>2124.0419999999999</v>
      </c>
      <c r="L760" s="173">
        <v>1.5</v>
      </c>
      <c r="M760">
        <v>1.04</v>
      </c>
      <c r="N760">
        <v>1.000000005</v>
      </c>
      <c r="O760">
        <v>3.9999995000000066</v>
      </c>
      <c r="P760">
        <v>1554.787</v>
      </c>
      <c r="Q760" s="125">
        <v>0.38300000000000001</v>
      </c>
      <c r="R760" s="125">
        <v>0</v>
      </c>
      <c r="S760" s="125">
        <v>2.4249999999999998</v>
      </c>
      <c r="T760" s="125">
        <v>39.305</v>
      </c>
      <c r="U760" s="125">
        <v>18.352</v>
      </c>
      <c r="V760" s="125">
        <v>0</v>
      </c>
      <c r="W760" s="125">
        <v>0.70499999999999996</v>
      </c>
      <c r="X760" s="125">
        <v>0</v>
      </c>
      <c r="Y760" s="125">
        <v>0</v>
      </c>
      <c r="Z760" s="125">
        <v>0</v>
      </c>
      <c r="AA760" s="125">
        <v>44.026000000000003</v>
      </c>
      <c r="AB760" s="125">
        <v>81.881</v>
      </c>
      <c r="AC760" s="125">
        <v>617.6</v>
      </c>
      <c r="AD760" s="125">
        <v>0.5</v>
      </c>
      <c r="AE760" s="125">
        <v>20.091999999999999</v>
      </c>
      <c r="AF760" s="125">
        <v>77.739000000000004</v>
      </c>
      <c r="AG760" s="125">
        <v>0</v>
      </c>
      <c r="AH760" s="125">
        <v>0</v>
      </c>
      <c r="AI760" s="121">
        <v>3462146</v>
      </c>
      <c r="AJ760" s="121">
        <v>346377</v>
      </c>
      <c r="AK760" s="424">
        <v>12</v>
      </c>
      <c r="AL760">
        <v>0</v>
      </c>
      <c r="AM760" s="121">
        <v>153720</v>
      </c>
      <c r="AN760" s="125">
        <v>0</v>
      </c>
      <c r="AO760" s="125">
        <v>0</v>
      </c>
      <c r="AP760" s="121">
        <v>3808523</v>
      </c>
      <c r="AQ760" s="114">
        <v>0</v>
      </c>
      <c r="AR760" s="121">
        <v>217.86620826999999</v>
      </c>
      <c r="AS760" s="121">
        <v>42811.394075999997</v>
      </c>
      <c r="AT760" s="121">
        <v>5638.2414022000003</v>
      </c>
      <c r="AU760" s="420" t="s">
        <v>2001</v>
      </c>
      <c r="AV760" s="420" t="s">
        <v>2001</v>
      </c>
      <c r="AW760" s="121">
        <v>0</v>
      </c>
      <c r="AX760" s="121">
        <v>725573</v>
      </c>
      <c r="BI760">
        <v>0</v>
      </c>
      <c r="BJ760" s="121">
        <v>0</v>
      </c>
      <c r="BK760" s="134">
        <v>326851855</v>
      </c>
      <c r="BL760" s="934">
        <v>4388</v>
      </c>
      <c r="BM760" s="934">
        <v>4250</v>
      </c>
      <c r="BN760" s="934">
        <v>4250</v>
      </c>
      <c r="BO760" s="114">
        <v>0</v>
      </c>
      <c r="BP760" s="114">
        <v>0</v>
      </c>
    </row>
    <row r="761" spans="1:68">
      <c r="A761" t="s">
        <v>1101</v>
      </c>
      <c r="B761" t="s">
        <v>2659</v>
      </c>
      <c r="C761" s="121">
        <v>4828</v>
      </c>
      <c r="D761" s="72">
        <v>3</v>
      </c>
      <c r="E761">
        <v>628.03800000000001</v>
      </c>
      <c r="F761">
        <v>200</v>
      </c>
      <c r="G761">
        <v>167</v>
      </c>
      <c r="H761">
        <v>0</v>
      </c>
      <c r="I761" s="173">
        <v>1.04</v>
      </c>
      <c r="J761" s="121">
        <v>1524669137</v>
      </c>
      <c r="K761" s="125">
        <v>3001.6480000000001</v>
      </c>
      <c r="L761" s="173">
        <v>1.4957</v>
      </c>
      <c r="M761">
        <v>1.04</v>
      </c>
      <c r="N761">
        <v>0.99713333831900008</v>
      </c>
      <c r="O761">
        <v>4.2866661680999947</v>
      </c>
      <c r="P761">
        <v>2130.9679999999998</v>
      </c>
      <c r="Q761" s="125">
        <v>0.53</v>
      </c>
      <c r="R761" s="125">
        <v>0</v>
      </c>
      <c r="S761" s="125">
        <v>4.4329999999999998</v>
      </c>
      <c r="T761" s="125">
        <v>73.39</v>
      </c>
      <c r="U761" s="125">
        <v>35.414000000000001</v>
      </c>
      <c r="V761" s="125">
        <v>0</v>
      </c>
      <c r="W761" s="125">
        <v>9.1</v>
      </c>
      <c r="X761" s="125">
        <v>0</v>
      </c>
      <c r="Y761" s="125">
        <v>0</v>
      </c>
      <c r="Z761" s="125">
        <v>0</v>
      </c>
      <c r="AA761" s="125">
        <v>26.916</v>
      </c>
      <c r="AB761" s="125">
        <v>100.352</v>
      </c>
      <c r="AC761" s="125">
        <v>2109.6999999999998</v>
      </c>
      <c r="AD761" s="125">
        <v>2.7170000000000001</v>
      </c>
      <c r="AE761" s="125">
        <v>27.166</v>
      </c>
      <c r="AF761" s="125">
        <v>106.548</v>
      </c>
      <c r="AG761" s="125">
        <v>0</v>
      </c>
      <c r="AH761" s="125">
        <v>0</v>
      </c>
      <c r="AI761" s="121">
        <v>16218124</v>
      </c>
      <c r="AJ761" s="121">
        <v>1214178</v>
      </c>
      <c r="AK761" s="424">
        <v>12</v>
      </c>
      <c r="AL761">
        <v>0</v>
      </c>
      <c r="AM761" s="121">
        <v>204671</v>
      </c>
      <c r="AN761" s="125">
        <v>0</v>
      </c>
      <c r="AO761" s="125">
        <v>0</v>
      </c>
      <c r="AP761" s="121">
        <v>17432302</v>
      </c>
      <c r="AQ761" s="114">
        <v>0</v>
      </c>
      <c r="AR761" s="121">
        <v>0</v>
      </c>
      <c r="AS761" s="121">
        <v>0</v>
      </c>
      <c r="AT761" s="121">
        <v>0</v>
      </c>
      <c r="AU761" s="420" t="s">
        <v>798</v>
      </c>
      <c r="AV761" s="420" t="s">
        <v>2001</v>
      </c>
      <c r="AW761" s="121">
        <v>0</v>
      </c>
      <c r="AX761" s="121">
        <v>1323502</v>
      </c>
      <c r="AY761" s="134">
        <v>6703706</v>
      </c>
      <c r="AZ761" s="134">
        <v>10197068</v>
      </c>
      <c r="BA761" s="134">
        <v>4379</v>
      </c>
      <c r="BB761" s="134">
        <v>1373978114</v>
      </c>
      <c r="BC761" s="114">
        <v>0</v>
      </c>
      <c r="BD761" s="114">
        <v>0</v>
      </c>
      <c r="BE761" s="114">
        <v>0</v>
      </c>
      <c r="BF761" s="134">
        <v>2687</v>
      </c>
      <c r="BG761" s="114">
        <v>0</v>
      </c>
      <c r="BH761" s="114">
        <v>0</v>
      </c>
      <c r="BI761">
        <v>0</v>
      </c>
      <c r="BJ761" s="121">
        <v>888</v>
      </c>
      <c r="BK761" s="134">
        <v>1500178004</v>
      </c>
      <c r="BL761" s="934">
        <v>4588</v>
      </c>
      <c r="BM761" s="934">
        <v>4816</v>
      </c>
      <c r="BN761" s="934">
        <v>4828</v>
      </c>
      <c r="BO761" s="114">
        <v>0</v>
      </c>
      <c r="BP761" s="114">
        <v>0</v>
      </c>
    </row>
    <row r="762" spans="1:68">
      <c r="A762" t="s">
        <v>1655</v>
      </c>
      <c r="B762" t="s">
        <v>156</v>
      </c>
      <c r="C762" s="121">
        <v>4571</v>
      </c>
      <c r="D762" s="72">
        <v>2</v>
      </c>
      <c r="E762">
        <v>1299.2180000000001</v>
      </c>
      <c r="F762">
        <v>393</v>
      </c>
      <c r="G762">
        <v>323</v>
      </c>
      <c r="H762">
        <v>33</v>
      </c>
      <c r="I762" s="173">
        <v>1.125</v>
      </c>
      <c r="J762" s="121">
        <v>649753846</v>
      </c>
      <c r="K762" s="125">
        <v>6222.2730000000001</v>
      </c>
      <c r="L762" s="173">
        <v>1.5</v>
      </c>
      <c r="M762">
        <v>1.125</v>
      </c>
      <c r="N762">
        <v>1.000000005</v>
      </c>
      <c r="O762">
        <v>12.499999500000003</v>
      </c>
      <c r="P762">
        <v>4351.098</v>
      </c>
      <c r="Q762" s="125">
        <v>1.4490000000000001</v>
      </c>
      <c r="R762" s="125">
        <v>0</v>
      </c>
      <c r="S762" s="125">
        <v>7.2919999999999998</v>
      </c>
      <c r="T762" s="125">
        <v>190.286</v>
      </c>
      <c r="U762" s="125">
        <v>74.012</v>
      </c>
      <c r="V762" s="125">
        <v>0</v>
      </c>
      <c r="W762" s="125">
        <v>8.7880000000000003</v>
      </c>
      <c r="X762" s="125">
        <v>0</v>
      </c>
      <c r="Y762" s="125">
        <v>0</v>
      </c>
      <c r="Z762" s="125">
        <v>0</v>
      </c>
      <c r="AA762" s="125">
        <v>152.815</v>
      </c>
      <c r="AB762" s="125">
        <v>261.286</v>
      </c>
      <c r="AC762" s="125">
        <v>3082.6</v>
      </c>
      <c r="AD762" s="125">
        <v>1.891</v>
      </c>
      <c r="AE762" s="125">
        <v>22.83</v>
      </c>
      <c r="AF762" s="125">
        <v>217.5549</v>
      </c>
      <c r="AG762" s="125">
        <v>0</v>
      </c>
      <c r="AH762" s="125">
        <v>0</v>
      </c>
      <c r="AI762" s="121">
        <v>7598465</v>
      </c>
      <c r="AJ762" s="121">
        <v>593772</v>
      </c>
      <c r="AK762" s="424">
        <v>12</v>
      </c>
      <c r="AL762">
        <v>0</v>
      </c>
      <c r="AM762" s="121">
        <v>408608</v>
      </c>
      <c r="AN762" s="125">
        <v>0</v>
      </c>
      <c r="AO762" s="125">
        <v>0</v>
      </c>
      <c r="AP762" s="121">
        <v>8192237</v>
      </c>
      <c r="AQ762" s="114">
        <v>0</v>
      </c>
      <c r="AR762" s="121">
        <v>433.09959717999999</v>
      </c>
      <c r="AS762" s="121">
        <v>85105.43088</v>
      </c>
      <c r="AT762" s="121">
        <v>11208.347084000001</v>
      </c>
      <c r="AU762" s="420" t="s">
        <v>2001</v>
      </c>
      <c r="AV762" s="420" t="s">
        <v>2001</v>
      </c>
      <c r="AW762" s="121">
        <v>0</v>
      </c>
      <c r="AX762" s="121">
        <v>1548295</v>
      </c>
      <c r="BI762">
        <v>0</v>
      </c>
      <c r="BJ762" s="121">
        <v>0</v>
      </c>
      <c r="BK762" s="134">
        <v>649753846</v>
      </c>
      <c r="BL762" s="934">
        <v>4452</v>
      </c>
      <c r="BM762" s="934">
        <v>4571</v>
      </c>
      <c r="BN762" s="934">
        <v>4456</v>
      </c>
      <c r="BO762" s="114">
        <v>0</v>
      </c>
      <c r="BP762" s="114">
        <v>0</v>
      </c>
    </row>
    <row r="763" spans="1:68">
      <c r="A763" t="s">
        <v>1248</v>
      </c>
      <c r="B763" t="s">
        <v>361</v>
      </c>
      <c r="C763" s="121">
        <v>4600</v>
      </c>
      <c r="D763" s="72">
        <v>1</v>
      </c>
      <c r="E763">
        <v>1099.4760000000001</v>
      </c>
      <c r="F763">
        <v>284</v>
      </c>
      <c r="G763">
        <v>222</v>
      </c>
      <c r="H763">
        <v>41</v>
      </c>
      <c r="I763" s="173">
        <v>1.04</v>
      </c>
      <c r="J763" s="121">
        <v>751884368</v>
      </c>
      <c r="K763" s="125">
        <v>4719.7370000000001</v>
      </c>
      <c r="L763" s="173">
        <v>1.5</v>
      </c>
      <c r="M763">
        <v>1.04</v>
      </c>
      <c r="N763">
        <v>1.000000005</v>
      </c>
      <c r="O763">
        <v>3.9999995000000066</v>
      </c>
      <c r="P763">
        <v>3453.2869999999998</v>
      </c>
      <c r="Q763" s="125">
        <v>0.67900000000000005</v>
      </c>
      <c r="R763" s="125">
        <v>0</v>
      </c>
      <c r="S763" s="125">
        <v>5.4820000000000002</v>
      </c>
      <c r="T763" s="125">
        <v>97.111999999999995</v>
      </c>
      <c r="U763" s="125">
        <v>34.109000000000002</v>
      </c>
      <c r="V763" s="125">
        <v>0</v>
      </c>
      <c r="W763" s="125">
        <v>2.7789999999999999</v>
      </c>
      <c r="X763" s="125">
        <v>0</v>
      </c>
      <c r="Y763" s="125">
        <v>0</v>
      </c>
      <c r="Z763" s="125">
        <v>15.336</v>
      </c>
      <c r="AA763" s="125">
        <v>157.75299999999999</v>
      </c>
      <c r="AB763" s="125">
        <v>223.08699999999999</v>
      </c>
      <c r="AC763" s="125">
        <v>1408</v>
      </c>
      <c r="AD763" s="125">
        <v>0.67700000000000005</v>
      </c>
      <c r="AE763" s="125">
        <v>33.466999999999999</v>
      </c>
      <c r="AF763" s="125">
        <v>172.66399999999999</v>
      </c>
      <c r="AG763" s="125">
        <v>0</v>
      </c>
      <c r="AH763" s="125">
        <v>0</v>
      </c>
      <c r="AI763" s="121">
        <v>8210577</v>
      </c>
      <c r="AJ763" s="121">
        <v>883182</v>
      </c>
      <c r="AK763" s="424">
        <v>12</v>
      </c>
      <c r="AL763">
        <v>0</v>
      </c>
      <c r="AM763" s="121">
        <v>440443</v>
      </c>
      <c r="AN763" s="125">
        <v>1</v>
      </c>
      <c r="AO763" s="125">
        <v>0</v>
      </c>
      <c r="AP763" s="121">
        <v>9093759</v>
      </c>
      <c r="AQ763" s="114">
        <v>0</v>
      </c>
      <c r="AR763" s="121">
        <v>501.17566662000002</v>
      </c>
      <c r="AS763" s="121">
        <v>98482.592298999996</v>
      </c>
      <c r="AT763" s="121">
        <v>12970.113244</v>
      </c>
      <c r="AU763" s="420" t="s">
        <v>2001</v>
      </c>
      <c r="AV763" s="420" t="s">
        <v>2001</v>
      </c>
      <c r="AW763" s="121">
        <v>0</v>
      </c>
      <c r="AX763" s="121">
        <v>1256590</v>
      </c>
      <c r="BI763">
        <v>0</v>
      </c>
      <c r="BJ763" s="121">
        <v>0</v>
      </c>
      <c r="BK763" s="134">
        <v>751884368</v>
      </c>
      <c r="BL763" s="934">
        <v>4600</v>
      </c>
      <c r="BM763" s="934">
        <v>3990</v>
      </c>
      <c r="BN763" s="934">
        <v>3982</v>
      </c>
      <c r="BO763" s="114">
        <v>0</v>
      </c>
      <c r="BP763" s="114">
        <v>0</v>
      </c>
    </row>
    <row r="764" spans="1:68">
      <c r="A764" t="s">
        <v>1249</v>
      </c>
      <c r="B764" t="s">
        <v>362</v>
      </c>
      <c r="C764" s="121">
        <v>5714</v>
      </c>
      <c r="D764" s="72">
        <v>2</v>
      </c>
      <c r="E764">
        <v>68.843999999999994</v>
      </c>
      <c r="F764">
        <v>20</v>
      </c>
      <c r="G764">
        <v>10</v>
      </c>
      <c r="H764">
        <v>0</v>
      </c>
      <c r="I764" s="173">
        <v>1.04</v>
      </c>
      <c r="J764" s="121">
        <v>92276284</v>
      </c>
      <c r="K764" s="125">
        <v>297.995</v>
      </c>
      <c r="L764" s="173">
        <v>1.4870000000000001</v>
      </c>
      <c r="M764">
        <v>1.04</v>
      </c>
      <c r="N764">
        <v>0.99133333829000014</v>
      </c>
      <c r="O764">
        <v>4.8666661709999897</v>
      </c>
      <c r="P764">
        <v>173.83799999999999</v>
      </c>
      <c r="Q764" s="125">
        <v>0</v>
      </c>
      <c r="R764" s="125">
        <v>0</v>
      </c>
      <c r="S764" s="125">
        <v>0.16700000000000001</v>
      </c>
      <c r="T764" s="125">
        <v>6.6289999999999996</v>
      </c>
      <c r="U764" s="125">
        <v>0</v>
      </c>
      <c r="V764" s="125">
        <v>0</v>
      </c>
      <c r="W764" s="125">
        <v>0</v>
      </c>
      <c r="X764" s="125">
        <v>0</v>
      </c>
      <c r="Y764" s="125">
        <v>0</v>
      </c>
      <c r="Z764" s="125">
        <v>0</v>
      </c>
      <c r="AA764" s="125">
        <v>4.1399999999999997</v>
      </c>
      <c r="AB764" s="125">
        <v>15.43</v>
      </c>
      <c r="AC764" s="125">
        <v>76.8</v>
      </c>
      <c r="AD764" s="125">
        <v>0</v>
      </c>
      <c r="AE764" s="125">
        <v>1</v>
      </c>
      <c r="AF764" s="125">
        <v>8.6919000000000004</v>
      </c>
      <c r="AG764" s="125">
        <v>0</v>
      </c>
      <c r="AH764" s="125">
        <v>0</v>
      </c>
      <c r="AI764" s="121">
        <v>967351</v>
      </c>
      <c r="AJ764" s="121">
        <v>71817</v>
      </c>
      <c r="AK764" s="424">
        <v>12</v>
      </c>
      <c r="AL764">
        <v>0</v>
      </c>
      <c r="AM764" s="121">
        <v>22362</v>
      </c>
      <c r="AN764" s="125">
        <v>0</v>
      </c>
      <c r="AO764" s="125">
        <v>0</v>
      </c>
      <c r="AP764" s="121">
        <v>1039168</v>
      </c>
      <c r="AQ764" s="114">
        <v>0</v>
      </c>
      <c r="AR764" s="121">
        <v>61.507633507000001</v>
      </c>
      <c r="AS764" s="121">
        <v>12086.443133000001</v>
      </c>
      <c r="AT764" s="121">
        <v>1591.7791407</v>
      </c>
      <c r="AU764" s="420" t="s">
        <v>2001</v>
      </c>
      <c r="AV764" s="420" t="s">
        <v>2001</v>
      </c>
      <c r="AW764" s="121">
        <v>0</v>
      </c>
      <c r="AX764" s="121">
        <v>76865</v>
      </c>
      <c r="BI764">
        <v>0</v>
      </c>
      <c r="BJ764" s="121">
        <v>0</v>
      </c>
      <c r="BK764" s="134">
        <v>92276284</v>
      </c>
      <c r="BL764" s="934">
        <v>4835</v>
      </c>
      <c r="BM764" s="934">
        <v>5714</v>
      </c>
      <c r="BN764" s="934">
        <v>5221</v>
      </c>
      <c r="BO764" s="114">
        <v>0</v>
      </c>
      <c r="BP764" s="114">
        <v>0</v>
      </c>
    </row>
    <row r="765" spans="1:68">
      <c r="A765" t="s">
        <v>1250</v>
      </c>
      <c r="B765" t="s">
        <v>363</v>
      </c>
      <c r="C765" s="121">
        <v>5715</v>
      </c>
      <c r="D765" s="72">
        <v>2</v>
      </c>
      <c r="E765">
        <v>99.27</v>
      </c>
      <c r="F765">
        <v>34</v>
      </c>
      <c r="G765">
        <v>20</v>
      </c>
      <c r="H765">
        <v>2</v>
      </c>
      <c r="I765" s="173">
        <v>1.04</v>
      </c>
      <c r="J765" s="121">
        <v>498470801</v>
      </c>
      <c r="K765" s="125">
        <v>499.82299999999998</v>
      </c>
      <c r="L765" s="173">
        <v>1.431</v>
      </c>
      <c r="M765">
        <v>1.04</v>
      </c>
      <c r="N765">
        <v>0.95400000477000002</v>
      </c>
      <c r="O765">
        <v>8.599999523000001</v>
      </c>
      <c r="P765">
        <v>281.27699999999999</v>
      </c>
      <c r="Q765" s="125">
        <v>0</v>
      </c>
      <c r="R765" s="125">
        <v>0</v>
      </c>
      <c r="S765" s="125">
        <v>0.318</v>
      </c>
      <c r="T765" s="125">
        <v>12.356</v>
      </c>
      <c r="U765" s="125">
        <v>0</v>
      </c>
      <c r="V765" s="125">
        <v>0</v>
      </c>
      <c r="W765" s="125">
        <v>3.363</v>
      </c>
      <c r="X765" s="125">
        <v>0</v>
      </c>
      <c r="Y765" s="125">
        <v>0</v>
      </c>
      <c r="Z765" s="125">
        <v>0</v>
      </c>
      <c r="AA765" s="125">
        <v>0</v>
      </c>
      <c r="AB765" s="125">
        <v>18.946000000000002</v>
      </c>
      <c r="AC765" s="125">
        <v>233.1</v>
      </c>
      <c r="AD765" s="125">
        <v>0</v>
      </c>
      <c r="AE765" s="125">
        <v>3.3959999999999999</v>
      </c>
      <c r="AF765" s="125">
        <v>14.06385</v>
      </c>
      <c r="AG765" s="125">
        <v>0</v>
      </c>
      <c r="AH765" s="125">
        <v>0</v>
      </c>
      <c r="AI765" s="121">
        <v>5094588</v>
      </c>
      <c r="AJ765" s="121">
        <v>238169</v>
      </c>
      <c r="AK765" s="424">
        <v>12</v>
      </c>
      <c r="AL765">
        <v>0</v>
      </c>
      <c r="AM765" s="121">
        <v>36264</v>
      </c>
      <c r="AN765" s="125">
        <v>0</v>
      </c>
      <c r="AO765" s="125">
        <v>0</v>
      </c>
      <c r="AP765" s="121">
        <v>5332757</v>
      </c>
      <c r="AQ765" s="114">
        <v>0</v>
      </c>
      <c r="AR765" s="121">
        <v>0</v>
      </c>
      <c r="AS765" s="121">
        <v>0</v>
      </c>
      <c r="AT765" s="121">
        <v>0</v>
      </c>
      <c r="AU765" s="420" t="s">
        <v>798</v>
      </c>
      <c r="AV765" s="420" t="s">
        <v>2001</v>
      </c>
      <c r="AW765" s="121">
        <v>0</v>
      </c>
      <c r="AX765" s="121">
        <v>257765</v>
      </c>
      <c r="AY765" s="134">
        <v>591010</v>
      </c>
      <c r="AZ765" s="134">
        <v>1294144</v>
      </c>
      <c r="BA765" s="114">
        <v>492</v>
      </c>
      <c r="BB765" s="134">
        <v>124357588</v>
      </c>
      <c r="BC765" s="114">
        <v>0</v>
      </c>
      <c r="BD765" s="114">
        <v>0</v>
      </c>
      <c r="BE765" s="114">
        <v>0</v>
      </c>
      <c r="BF765" s="114">
        <v>326</v>
      </c>
      <c r="BG765" s="114">
        <v>0</v>
      </c>
      <c r="BH765" s="114">
        <v>0</v>
      </c>
      <c r="BI765">
        <v>0</v>
      </c>
      <c r="BJ765" s="121">
        <v>47</v>
      </c>
      <c r="BK765" s="134">
        <v>476058528</v>
      </c>
      <c r="BL765" s="934">
        <v>5335</v>
      </c>
      <c r="BM765" s="934">
        <v>5715</v>
      </c>
      <c r="BN765" s="934">
        <v>5563</v>
      </c>
      <c r="BO765" s="114">
        <v>0</v>
      </c>
      <c r="BP765" s="114">
        <v>0</v>
      </c>
    </row>
    <row r="766" spans="1:68">
      <c r="A766" t="s">
        <v>2902</v>
      </c>
      <c r="B766" t="s">
        <v>2559</v>
      </c>
      <c r="C766" s="121">
        <v>4777</v>
      </c>
      <c r="D766" s="72">
        <v>2</v>
      </c>
      <c r="E766">
        <v>932.279</v>
      </c>
      <c r="F766">
        <v>282</v>
      </c>
      <c r="G766">
        <v>217</v>
      </c>
      <c r="H766">
        <v>0</v>
      </c>
      <c r="I766" s="173">
        <v>1.04</v>
      </c>
      <c r="J766" s="121">
        <v>609522591</v>
      </c>
      <c r="K766" s="125">
        <v>4851.0640000000003</v>
      </c>
      <c r="L766" s="173">
        <v>1.5</v>
      </c>
      <c r="M766">
        <v>1.04</v>
      </c>
      <c r="N766">
        <v>1.000000005</v>
      </c>
      <c r="O766">
        <v>3.9999995000000066</v>
      </c>
      <c r="P766">
        <v>3445.6770000000001</v>
      </c>
      <c r="Q766" s="125">
        <v>0.41199999999999998</v>
      </c>
      <c r="R766" s="125">
        <v>0</v>
      </c>
      <c r="S766" s="125">
        <v>8.43</v>
      </c>
      <c r="T766" s="125">
        <v>152.02799999999999</v>
      </c>
      <c r="U766" s="125">
        <v>43.557000000000002</v>
      </c>
      <c r="V766" s="125">
        <v>0</v>
      </c>
      <c r="W766" s="125">
        <v>3.9780000000000002</v>
      </c>
      <c r="X766" s="125">
        <v>0</v>
      </c>
      <c r="Y766" s="125">
        <v>0</v>
      </c>
      <c r="Z766" s="125">
        <v>0</v>
      </c>
      <c r="AA766" s="125">
        <v>37.069000000000003</v>
      </c>
      <c r="AB766" s="125">
        <v>197.69900000000001</v>
      </c>
      <c r="AC766" s="125">
        <v>2352</v>
      </c>
      <c r="AD766" s="125">
        <v>2.923</v>
      </c>
      <c r="AE766" s="125">
        <v>263.13600000000002</v>
      </c>
      <c r="AF766" s="125">
        <v>172.28299999999999</v>
      </c>
      <c r="AG766" s="125">
        <v>0</v>
      </c>
      <c r="AH766" s="125">
        <v>0</v>
      </c>
      <c r="AI766" s="121">
        <v>6655987</v>
      </c>
      <c r="AJ766" s="121">
        <v>1336260</v>
      </c>
      <c r="AK766" s="424">
        <v>12</v>
      </c>
      <c r="AL766">
        <v>0</v>
      </c>
      <c r="AM766" s="121">
        <v>321783</v>
      </c>
      <c r="AN766" s="125">
        <v>0</v>
      </c>
      <c r="AO766" s="125">
        <v>0</v>
      </c>
      <c r="AP766" s="121">
        <v>7992247</v>
      </c>
      <c r="AQ766" s="114">
        <v>0</v>
      </c>
      <c r="AR766" s="121">
        <v>406.28307205999999</v>
      </c>
      <c r="AS766" s="121">
        <v>79835.899483000001</v>
      </c>
      <c r="AT766" s="121">
        <v>10514.352161999999</v>
      </c>
      <c r="AU766" s="420" t="s">
        <v>2001</v>
      </c>
      <c r="AV766" s="420" t="s">
        <v>2001</v>
      </c>
      <c r="AW766" s="121">
        <v>0</v>
      </c>
      <c r="AX766" s="121">
        <v>2816866</v>
      </c>
      <c r="BI766">
        <v>0</v>
      </c>
      <c r="BJ766" s="121">
        <v>0</v>
      </c>
      <c r="BK766" s="134">
        <v>609522591</v>
      </c>
      <c r="BL766" s="934">
        <v>4563</v>
      </c>
      <c r="BM766" s="934">
        <v>4777</v>
      </c>
      <c r="BN766" s="934">
        <v>4618</v>
      </c>
      <c r="BO766" s="114">
        <v>0</v>
      </c>
      <c r="BP766" s="114">
        <v>0</v>
      </c>
    </row>
    <row r="767" spans="1:68">
      <c r="A767" t="s">
        <v>1529</v>
      </c>
      <c r="B767" t="s">
        <v>364</v>
      </c>
      <c r="C767" s="121">
        <v>4712</v>
      </c>
      <c r="D767" s="72">
        <v>1</v>
      </c>
      <c r="E767">
        <v>130.934</v>
      </c>
      <c r="F767">
        <v>40</v>
      </c>
      <c r="G767">
        <v>23</v>
      </c>
      <c r="H767">
        <v>9</v>
      </c>
      <c r="I767" s="173">
        <v>1.04</v>
      </c>
      <c r="J767" s="121">
        <v>209509565</v>
      </c>
      <c r="K767" s="125">
        <v>802.57399999999996</v>
      </c>
      <c r="L767" s="173">
        <v>1.5</v>
      </c>
      <c r="M767">
        <v>1.04</v>
      </c>
      <c r="N767">
        <v>1.000000005</v>
      </c>
      <c r="O767">
        <v>3.9999995000000066</v>
      </c>
      <c r="P767">
        <v>505</v>
      </c>
      <c r="Q767" s="125">
        <v>0</v>
      </c>
      <c r="R767" s="125">
        <v>0</v>
      </c>
      <c r="S767" s="125">
        <v>0.54800000000000004</v>
      </c>
      <c r="T767" s="125">
        <v>16.713999999999999</v>
      </c>
      <c r="U767" s="125">
        <v>0</v>
      </c>
      <c r="V767" s="125">
        <v>0</v>
      </c>
      <c r="W767" s="125">
        <v>2.2080000000000002</v>
      </c>
      <c r="X767" s="125">
        <v>0</v>
      </c>
      <c r="Y767" s="125">
        <v>0</v>
      </c>
      <c r="Z767" s="125">
        <v>0</v>
      </c>
      <c r="AA767" s="125">
        <v>2.9340000000000002</v>
      </c>
      <c r="AB767" s="125">
        <v>30.385999999999999</v>
      </c>
      <c r="AC767" s="125">
        <v>255.2</v>
      </c>
      <c r="AD767" s="125">
        <v>0</v>
      </c>
      <c r="AE767" s="125">
        <v>17.922999999999998</v>
      </c>
      <c r="AF767" s="125">
        <v>24.326000000000001</v>
      </c>
      <c r="AG767" s="125">
        <v>0</v>
      </c>
      <c r="AH767" s="125">
        <v>0</v>
      </c>
      <c r="AI767" s="121">
        <v>2196331</v>
      </c>
      <c r="AJ767" s="121">
        <v>328612</v>
      </c>
      <c r="AK767" s="424">
        <v>12</v>
      </c>
      <c r="AL767">
        <v>0</v>
      </c>
      <c r="AM767" s="121">
        <v>69230</v>
      </c>
      <c r="AN767" s="125">
        <v>0</v>
      </c>
      <c r="AO767" s="125">
        <v>0</v>
      </c>
      <c r="AP767" s="121">
        <v>2524943</v>
      </c>
      <c r="AQ767" s="114">
        <v>0</v>
      </c>
      <c r="AR767" s="121">
        <v>139.6505904</v>
      </c>
      <c r="AS767" s="121">
        <v>27441.779548999999</v>
      </c>
      <c r="AT767" s="121">
        <v>3614.0700609999999</v>
      </c>
      <c r="AU767" s="420" t="s">
        <v>2001</v>
      </c>
      <c r="AV767" s="420" t="s">
        <v>2001</v>
      </c>
      <c r="AW767" s="121">
        <v>0</v>
      </c>
      <c r="AX767" s="121">
        <v>342760</v>
      </c>
      <c r="BI767">
        <v>0</v>
      </c>
      <c r="BJ767" s="121">
        <v>0</v>
      </c>
      <c r="BK767" s="134">
        <v>209509565</v>
      </c>
      <c r="BL767" s="934">
        <v>4712</v>
      </c>
      <c r="BM767" s="934">
        <v>4700</v>
      </c>
      <c r="BN767" s="934">
        <v>4700</v>
      </c>
      <c r="BO767" s="114">
        <v>0</v>
      </c>
      <c r="BP767" s="114">
        <v>0</v>
      </c>
    </row>
    <row r="768" spans="1:68">
      <c r="A768" t="s">
        <v>1530</v>
      </c>
      <c r="B768" t="s">
        <v>365</v>
      </c>
      <c r="C768" s="121">
        <v>4703</v>
      </c>
      <c r="D768" s="72">
        <v>3</v>
      </c>
      <c r="E768">
        <v>59.14</v>
      </c>
      <c r="F768">
        <v>18</v>
      </c>
      <c r="G768">
        <v>9</v>
      </c>
      <c r="H768">
        <v>0</v>
      </c>
      <c r="I768" s="173">
        <v>1.04</v>
      </c>
      <c r="J768" s="121">
        <v>78106930</v>
      </c>
      <c r="K768" s="125">
        <v>309.36900000000003</v>
      </c>
      <c r="L768" s="173">
        <v>1.4386000000000001</v>
      </c>
      <c r="M768">
        <v>1.04</v>
      </c>
      <c r="N768">
        <v>0.95906667146200009</v>
      </c>
      <c r="O768">
        <v>8.0933328537999945</v>
      </c>
      <c r="P768">
        <v>175</v>
      </c>
      <c r="Q768" s="125">
        <v>0</v>
      </c>
      <c r="R768" s="125">
        <v>0</v>
      </c>
      <c r="S768" s="125">
        <v>0.28999999999999998</v>
      </c>
      <c r="T768" s="125">
        <v>6.12</v>
      </c>
      <c r="U768" s="125">
        <v>0</v>
      </c>
      <c r="V768" s="125">
        <v>0</v>
      </c>
      <c r="W768" s="125">
        <v>3.0230000000000001</v>
      </c>
      <c r="X768" s="125">
        <v>0</v>
      </c>
      <c r="Y768" s="125">
        <v>0</v>
      </c>
      <c r="Z768" s="125">
        <v>0</v>
      </c>
      <c r="AA768" s="125">
        <v>0.49199999999999999</v>
      </c>
      <c r="AB768" s="125">
        <v>5.6989999999999998</v>
      </c>
      <c r="AC768" s="125">
        <v>126.3</v>
      </c>
      <c r="AD768" s="125">
        <v>0</v>
      </c>
      <c r="AE768" s="125">
        <v>16.346</v>
      </c>
      <c r="AF768" s="125">
        <v>8.1379999999999999</v>
      </c>
      <c r="AG768" s="125">
        <v>0</v>
      </c>
      <c r="AH768" s="125">
        <v>0</v>
      </c>
      <c r="AI768" s="121">
        <v>745825</v>
      </c>
      <c r="AJ768" s="121">
        <v>0</v>
      </c>
      <c r="AK768" s="424">
        <v>12</v>
      </c>
      <c r="AL768">
        <v>0</v>
      </c>
      <c r="AM768" s="121">
        <v>8430</v>
      </c>
      <c r="AN768" s="125">
        <v>0</v>
      </c>
      <c r="AO768" s="125">
        <v>0</v>
      </c>
      <c r="AP768" s="121">
        <v>745825</v>
      </c>
      <c r="AQ768" s="114">
        <v>0</v>
      </c>
      <c r="AR768" s="121">
        <v>52.062916033</v>
      </c>
      <c r="AS768" s="121">
        <v>10230.52649</v>
      </c>
      <c r="AT768" s="121">
        <v>1347.3557510999999</v>
      </c>
      <c r="AU768" s="420" t="s">
        <v>2001</v>
      </c>
      <c r="AV768" s="420" t="s">
        <v>2001</v>
      </c>
      <c r="AW768" s="121">
        <v>0</v>
      </c>
      <c r="AX768" s="121">
        <v>0</v>
      </c>
      <c r="BI768">
        <v>0</v>
      </c>
      <c r="BJ768" s="121">
        <v>0</v>
      </c>
      <c r="BK768" s="134">
        <v>70411377</v>
      </c>
      <c r="BL768" s="934">
        <v>4646</v>
      </c>
      <c r="BM768" s="934">
        <v>4608</v>
      </c>
      <c r="BN768" s="934">
        <v>4703</v>
      </c>
      <c r="BO768" s="114">
        <v>0</v>
      </c>
      <c r="BP768" s="114">
        <v>0</v>
      </c>
    </row>
    <row r="769" spans="1:68">
      <c r="A769" t="s">
        <v>1531</v>
      </c>
      <c r="B769" t="s">
        <v>471</v>
      </c>
      <c r="C769" s="121">
        <v>6715</v>
      </c>
      <c r="D769" s="72">
        <v>2</v>
      </c>
      <c r="E769">
        <v>0</v>
      </c>
      <c r="F769">
        <v>12</v>
      </c>
      <c r="G769">
        <v>7</v>
      </c>
      <c r="H769">
        <v>1</v>
      </c>
      <c r="I769" s="173">
        <v>1.04</v>
      </c>
      <c r="J769" s="121">
        <v>352759940</v>
      </c>
      <c r="K769" s="125">
        <v>157.64599999999999</v>
      </c>
      <c r="L769" s="173">
        <v>1.5</v>
      </c>
      <c r="M769">
        <v>1.04</v>
      </c>
      <c r="N769">
        <v>1.000000005</v>
      </c>
      <c r="O769">
        <v>3.9999995000000066</v>
      </c>
      <c r="P769">
        <v>87.745999999999995</v>
      </c>
      <c r="Q769" s="125">
        <v>0</v>
      </c>
      <c r="R769" s="125">
        <v>0</v>
      </c>
      <c r="S769" s="125">
        <v>0.18099999999999999</v>
      </c>
      <c r="T769" s="125">
        <v>3.504</v>
      </c>
      <c r="U769" s="125">
        <v>0</v>
      </c>
      <c r="V769" s="125">
        <v>0</v>
      </c>
      <c r="W769" s="125">
        <v>0</v>
      </c>
      <c r="X769" s="125">
        <v>0</v>
      </c>
      <c r="Y769" s="125">
        <v>0</v>
      </c>
      <c r="Z769" s="125">
        <v>0</v>
      </c>
      <c r="AA769" s="125">
        <v>0.46400000000000002</v>
      </c>
      <c r="AB769" s="125">
        <v>0</v>
      </c>
      <c r="AC769" s="125">
        <v>73.3</v>
      </c>
      <c r="AD769" s="125">
        <v>0</v>
      </c>
      <c r="AE769" s="125">
        <v>7.7480000000000002</v>
      </c>
      <c r="AF769" s="125">
        <v>4.3869999999999996</v>
      </c>
      <c r="AG769" s="125">
        <v>0</v>
      </c>
      <c r="AH769" s="125">
        <v>0</v>
      </c>
      <c r="AI769" s="121">
        <v>3775096</v>
      </c>
      <c r="AJ769" s="121">
        <v>86052</v>
      </c>
      <c r="AK769" s="424">
        <v>6</v>
      </c>
      <c r="AL769">
        <v>0</v>
      </c>
      <c r="AM769" s="121">
        <v>15545</v>
      </c>
      <c r="AN769" s="125">
        <v>0</v>
      </c>
      <c r="AO769" s="125">
        <v>0</v>
      </c>
      <c r="AP769" s="121">
        <v>3861148</v>
      </c>
      <c r="AQ769" s="114">
        <v>0</v>
      </c>
      <c r="AR769" s="121">
        <v>0</v>
      </c>
      <c r="AS769" s="121">
        <v>0</v>
      </c>
      <c r="AT769" s="121">
        <v>0</v>
      </c>
      <c r="AU769" s="420" t="s">
        <v>798</v>
      </c>
      <c r="AV769" s="420" t="s">
        <v>2001</v>
      </c>
      <c r="AW769" s="121">
        <v>0</v>
      </c>
      <c r="AX769" s="121">
        <v>87470</v>
      </c>
      <c r="AY769" s="134">
        <v>82396</v>
      </c>
      <c r="AZ769" s="134">
        <v>253060</v>
      </c>
      <c r="BA769" s="114">
        <v>153</v>
      </c>
      <c r="BB769" s="134">
        <v>69480117</v>
      </c>
      <c r="BC769" s="114">
        <v>0</v>
      </c>
      <c r="BD769" s="114">
        <v>0</v>
      </c>
      <c r="BE769" s="114">
        <v>0</v>
      </c>
      <c r="BF769" s="114">
        <v>78</v>
      </c>
      <c r="BG769" s="114">
        <v>0</v>
      </c>
      <c r="BH769" s="114">
        <v>0</v>
      </c>
      <c r="BI769">
        <v>0</v>
      </c>
      <c r="BJ769" s="121">
        <v>965</v>
      </c>
      <c r="BK769" s="134">
        <v>352759940</v>
      </c>
      <c r="BL769" s="934">
        <v>6111</v>
      </c>
      <c r="BM769" s="934">
        <v>6715</v>
      </c>
      <c r="BN769" s="934">
        <v>6622</v>
      </c>
      <c r="BO769" s="114">
        <v>0</v>
      </c>
      <c r="BP769" s="114">
        <v>0</v>
      </c>
    </row>
    <row r="770" spans="1:68">
      <c r="A770" t="s">
        <v>1532</v>
      </c>
      <c r="B770" t="s">
        <v>472</v>
      </c>
      <c r="C770" s="121">
        <v>6677</v>
      </c>
      <c r="D770" s="72">
        <v>2</v>
      </c>
      <c r="E770">
        <v>141.02000000000001</v>
      </c>
      <c r="F770">
        <v>48</v>
      </c>
      <c r="G770">
        <v>33</v>
      </c>
      <c r="H770">
        <v>0</v>
      </c>
      <c r="I770" s="173">
        <v>1.04</v>
      </c>
      <c r="J770" s="121">
        <v>749902125</v>
      </c>
      <c r="K770" s="125">
        <v>902.30100000000004</v>
      </c>
      <c r="L770" s="173">
        <v>1.4097</v>
      </c>
      <c r="M770">
        <v>1.04</v>
      </c>
      <c r="N770">
        <v>0.93980000469900005</v>
      </c>
      <c r="O770">
        <v>10.019999530099998</v>
      </c>
      <c r="P770">
        <v>567.77200000000005</v>
      </c>
      <c r="Q770" s="125">
        <v>0.126</v>
      </c>
      <c r="R770" s="125">
        <v>0</v>
      </c>
      <c r="S770" s="125">
        <v>2.0179999999999998</v>
      </c>
      <c r="T770" s="125">
        <v>16.021000000000001</v>
      </c>
      <c r="U770" s="125">
        <v>3.9020000000000001</v>
      </c>
      <c r="V770" s="125">
        <v>0</v>
      </c>
      <c r="W770" s="125">
        <v>1.3660000000000001</v>
      </c>
      <c r="X770" s="125">
        <v>0</v>
      </c>
      <c r="Y770" s="125">
        <v>0</v>
      </c>
      <c r="Z770" s="125">
        <v>0</v>
      </c>
      <c r="AA770" s="125">
        <v>12.742000000000001</v>
      </c>
      <c r="AB770" s="125">
        <v>14.845000000000001</v>
      </c>
      <c r="AC770" s="125">
        <v>288.5</v>
      </c>
      <c r="AD770" s="125">
        <v>0</v>
      </c>
      <c r="AE770" s="125">
        <v>10.824999999999999</v>
      </c>
      <c r="AF770" s="125">
        <v>28.3886</v>
      </c>
      <c r="AG770" s="125">
        <v>0</v>
      </c>
      <c r="AH770" s="125">
        <v>0</v>
      </c>
      <c r="AI770" s="121">
        <v>7707525</v>
      </c>
      <c r="AJ770" s="121">
        <v>587976</v>
      </c>
      <c r="AK770" s="424">
        <v>12</v>
      </c>
      <c r="AL770">
        <v>0</v>
      </c>
      <c r="AM770" s="121">
        <v>29274</v>
      </c>
      <c r="AN770" s="125">
        <v>0</v>
      </c>
      <c r="AO770" s="125">
        <v>0</v>
      </c>
      <c r="AP770" s="121">
        <v>8295501</v>
      </c>
      <c r="AQ770" s="114">
        <v>0</v>
      </c>
      <c r="AR770" s="121">
        <v>0</v>
      </c>
      <c r="AS770" s="121">
        <v>0</v>
      </c>
      <c r="AT770" s="121">
        <v>0</v>
      </c>
      <c r="AU770" s="420" t="s">
        <v>798</v>
      </c>
      <c r="AV770" s="420" t="s">
        <v>2001</v>
      </c>
      <c r="AW770" s="121">
        <v>0</v>
      </c>
      <c r="AX770" s="121">
        <v>505434</v>
      </c>
      <c r="AY770" s="134">
        <v>596267</v>
      </c>
      <c r="AZ770" s="134">
        <v>1683301</v>
      </c>
      <c r="BA770" s="114">
        <v>781</v>
      </c>
      <c r="BB770" s="134">
        <v>255996995</v>
      </c>
      <c r="BC770" s="114">
        <v>0</v>
      </c>
      <c r="BD770" s="114">
        <v>0</v>
      </c>
      <c r="BE770" s="114">
        <v>0</v>
      </c>
      <c r="BF770" s="114">
        <v>585</v>
      </c>
      <c r="BG770" s="114">
        <v>0</v>
      </c>
      <c r="BH770" s="114">
        <v>0</v>
      </c>
      <c r="BI770">
        <v>0</v>
      </c>
      <c r="BJ770" s="121">
        <v>0</v>
      </c>
      <c r="BK770" s="134">
        <v>705817319</v>
      </c>
      <c r="BL770" s="934">
        <v>5618</v>
      </c>
      <c r="BM770" s="934">
        <v>6677</v>
      </c>
      <c r="BN770" s="934">
        <v>6067</v>
      </c>
      <c r="BO770" s="114">
        <v>0</v>
      </c>
      <c r="BP770" s="114">
        <v>0</v>
      </c>
    </row>
    <row r="771" spans="1:68">
      <c r="A771" t="s">
        <v>1533</v>
      </c>
      <c r="B771" t="s">
        <v>473</v>
      </c>
      <c r="C771" s="121">
        <v>6572</v>
      </c>
      <c r="D771" s="72">
        <v>2</v>
      </c>
      <c r="E771">
        <v>706.43700000000001</v>
      </c>
      <c r="F771">
        <v>219</v>
      </c>
      <c r="G771">
        <v>211</v>
      </c>
      <c r="H771">
        <v>0</v>
      </c>
      <c r="I771" s="173">
        <v>1.04</v>
      </c>
      <c r="J771" s="121">
        <v>3227984444</v>
      </c>
      <c r="K771" s="125">
        <v>3140.0990000000002</v>
      </c>
      <c r="L771" s="173">
        <v>1.5</v>
      </c>
      <c r="M771">
        <v>1.04</v>
      </c>
      <c r="N771">
        <v>1.000000005</v>
      </c>
      <c r="O771">
        <v>3.9999995000000066</v>
      </c>
      <c r="P771">
        <v>2451.6309999999999</v>
      </c>
      <c r="Q771" s="125">
        <v>0.46899999999999997</v>
      </c>
      <c r="R771" s="125">
        <v>0</v>
      </c>
      <c r="S771" s="125">
        <v>5.875</v>
      </c>
      <c r="T771" s="125">
        <v>39.628999999999998</v>
      </c>
      <c r="U771" s="125">
        <v>28.074999999999999</v>
      </c>
      <c r="V771" s="125">
        <v>0</v>
      </c>
      <c r="W771" s="125">
        <v>13.500999999999999</v>
      </c>
      <c r="X771" s="125">
        <v>0</v>
      </c>
      <c r="Y771" s="125">
        <v>0</v>
      </c>
      <c r="Z771" s="125">
        <v>0</v>
      </c>
      <c r="AA771" s="125">
        <v>74.897000000000006</v>
      </c>
      <c r="AB771" s="125">
        <v>99.42</v>
      </c>
      <c r="AC771" s="125">
        <v>1456.7</v>
      </c>
      <c r="AD771" s="125">
        <v>0.46300000000000002</v>
      </c>
      <c r="AE771" s="125">
        <v>96.138999999999996</v>
      </c>
      <c r="AF771" s="125">
        <v>122.58154999999999</v>
      </c>
      <c r="AG771" s="125">
        <v>0</v>
      </c>
      <c r="AH771" s="125">
        <v>0</v>
      </c>
      <c r="AI771" s="121">
        <v>33266505</v>
      </c>
      <c r="AJ771" s="121">
        <v>4059817</v>
      </c>
      <c r="AK771" s="424">
        <v>12</v>
      </c>
      <c r="AL771">
        <v>0</v>
      </c>
      <c r="AM771" s="121">
        <v>285171</v>
      </c>
      <c r="AN771" s="125">
        <v>0</v>
      </c>
      <c r="AO771" s="125">
        <v>0</v>
      </c>
      <c r="AP771" s="121">
        <v>37326322</v>
      </c>
      <c r="AQ771" s="114">
        <v>0</v>
      </c>
      <c r="AR771" s="121">
        <v>0</v>
      </c>
      <c r="AS771" s="121">
        <v>0</v>
      </c>
      <c r="AT771" s="121">
        <v>0</v>
      </c>
      <c r="AU771" s="420" t="s">
        <v>798</v>
      </c>
      <c r="AV771" s="420" t="s">
        <v>2001</v>
      </c>
      <c r="AW771" s="121">
        <v>0</v>
      </c>
      <c r="AX771" s="121">
        <v>908879</v>
      </c>
      <c r="AY771" s="134">
        <v>3833612</v>
      </c>
      <c r="AZ771" s="134">
        <v>9112942</v>
      </c>
      <c r="BA771" s="134">
        <v>3731</v>
      </c>
      <c r="BB771" s="134">
        <v>1138295124</v>
      </c>
      <c r="BC771" s="114">
        <v>0</v>
      </c>
      <c r="BD771" s="114">
        <v>0</v>
      </c>
      <c r="BE771" s="114">
        <v>0</v>
      </c>
      <c r="BF771" s="134">
        <v>2795</v>
      </c>
      <c r="BG771" s="114">
        <v>0</v>
      </c>
      <c r="BH771" s="114">
        <v>0</v>
      </c>
      <c r="BI771">
        <v>0</v>
      </c>
      <c r="BJ771" s="121">
        <v>0</v>
      </c>
      <c r="BK771" s="134">
        <v>3108554351</v>
      </c>
      <c r="BL771" s="934">
        <v>6144</v>
      </c>
      <c r="BM771" s="934">
        <v>6572</v>
      </c>
      <c r="BN771" s="934">
        <v>6572</v>
      </c>
      <c r="BO771" s="114">
        <v>0</v>
      </c>
      <c r="BP771" s="114">
        <v>0</v>
      </c>
    </row>
    <row r="772" spans="1:68">
      <c r="A772" t="s">
        <v>2974</v>
      </c>
      <c r="B772" t="s">
        <v>494</v>
      </c>
      <c r="C772" s="121">
        <v>5738</v>
      </c>
      <c r="D772" s="72">
        <v>2</v>
      </c>
      <c r="E772">
        <v>98.664000000000001</v>
      </c>
      <c r="F772">
        <v>28</v>
      </c>
      <c r="G772">
        <v>24</v>
      </c>
      <c r="H772">
        <v>1</v>
      </c>
      <c r="I772" s="173">
        <v>0.95989999999999998</v>
      </c>
      <c r="J772" s="121">
        <v>235254880</v>
      </c>
      <c r="K772" s="125">
        <v>529.29100000000005</v>
      </c>
      <c r="L772" s="173">
        <v>1.1274999999999999</v>
      </c>
      <c r="M772">
        <v>0.95989999999999998</v>
      </c>
      <c r="N772">
        <v>0.75166667042500002</v>
      </c>
      <c r="O772">
        <v>20.823332957499996</v>
      </c>
      <c r="P772">
        <v>303.31</v>
      </c>
      <c r="Q772" s="125">
        <v>0</v>
      </c>
      <c r="R772" s="125">
        <v>0</v>
      </c>
      <c r="S772" s="125">
        <v>0.751</v>
      </c>
      <c r="T772" s="125">
        <v>15.847</v>
      </c>
      <c r="U772" s="125">
        <v>0</v>
      </c>
      <c r="V772" s="125">
        <v>0</v>
      </c>
      <c r="W772" s="125">
        <v>3.67</v>
      </c>
      <c r="X772" s="125">
        <v>0</v>
      </c>
      <c r="Y772" s="125">
        <v>0</v>
      </c>
      <c r="Z772" s="125">
        <v>0</v>
      </c>
      <c r="AA772" s="125">
        <v>9.3879999999999999</v>
      </c>
      <c r="AB772" s="125">
        <v>15.250999999999999</v>
      </c>
      <c r="AC772" s="125">
        <v>154.4</v>
      </c>
      <c r="AD772" s="125">
        <v>0</v>
      </c>
      <c r="AE772" s="125">
        <v>3.7850000000000001</v>
      </c>
      <c r="AF772" s="125">
        <v>15.1655</v>
      </c>
      <c r="AG772" s="125">
        <v>0</v>
      </c>
      <c r="AH772" s="125">
        <v>0</v>
      </c>
      <c r="AI772" s="121">
        <v>2323700</v>
      </c>
      <c r="AJ772" s="121">
        <v>163732</v>
      </c>
      <c r="AK772" s="424">
        <v>12</v>
      </c>
      <c r="AL772">
        <v>0</v>
      </c>
      <c r="AM772" s="121">
        <v>41892</v>
      </c>
      <c r="AN772" s="125">
        <v>0</v>
      </c>
      <c r="AO772" s="125">
        <v>0</v>
      </c>
      <c r="AP772" s="121">
        <v>2487432</v>
      </c>
      <c r="AQ772" s="114">
        <v>0</v>
      </c>
      <c r="AR772" s="121">
        <v>0</v>
      </c>
      <c r="AS772" s="121">
        <v>0</v>
      </c>
      <c r="AT772" s="121">
        <v>0</v>
      </c>
      <c r="AU772" s="420" t="s">
        <v>798</v>
      </c>
      <c r="AV772" s="72" t="s">
        <v>798</v>
      </c>
      <c r="AW772" s="121">
        <v>0</v>
      </c>
      <c r="AX772" s="121">
        <v>483410</v>
      </c>
      <c r="AY772" s="134">
        <v>144580</v>
      </c>
      <c r="AZ772" s="134">
        <v>885476</v>
      </c>
      <c r="BA772" s="114">
        <v>400</v>
      </c>
      <c r="BB772" s="134">
        <v>58002076</v>
      </c>
      <c r="BC772" s="114">
        <v>0</v>
      </c>
      <c r="BD772" s="114">
        <v>0</v>
      </c>
      <c r="BE772" s="114">
        <v>0</v>
      </c>
      <c r="BF772" s="114">
        <v>333</v>
      </c>
      <c r="BG772" s="114">
        <v>0</v>
      </c>
      <c r="BH772" s="114">
        <v>0</v>
      </c>
      <c r="BI772">
        <v>0</v>
      </c>
      <c r="BJ772" s="121">
        <v>0</v>
      </c>
      <c r="BK772" s="134">
        <v>235254880</v>
      </c>
      <c r="BL772" s="934">
        <v>4783</v>
      </c>
      <c r="BM772" s="934">
        <v>5738</v>
      </c>
      <c r="BN772" s="934">
        <v>5410</v>
      </c>
      <c r="BO772" s="114">
        <v>0</v>
      </c>
      <c r="BP772" s="114">
        <v>0</v>
      </c>
    </row>
    <row r="773" spans="1:68">
      <c r="A773" t="s">
        <v>805</v>
      </c>
      <c r="B773" t="s">
        <v>1130</v>
      </c>
      <c r="C773" s="121">
        <v>4788</v>
      </c>
      <c r="D773" s="72">
        <v>3</v>
      </c>
      <c r="E773">
        <v>156.17400000000001</v>
      </c>
      <c r="F773">
        <v>47</v>
      </c>
      <c r="G773">
        <v>33</v>
      </c>
      <c r="H773">
        <v>3</v>
      </c>
      <c r="I773" s="173">
        <v>1.04</v>
      </c>
      <c r="J773" s="121">
        <v>142132741</v>
      </c>
      <c r="K773" s="125">
        <v>847.73</v>
      </c>
      <c r="L773" s="173">
        <v>1.4330000000000001</v>
      </c>
      <c r="M773">
        <v>1.04</v>
      </c>
      <c r="N773">
        <v>0.9553333381100001</v>
      </c>
      <c r="O773">
        <v>8.4666661889999943</v>
      </c>
      <c r="P773">
        <v>497.37299999999999</v>
      </c>
      <c r="Q773" s="125">
        <v>5.5E-2</v>
      </c>
      <c r="R773" s="125">
        <v>0</v>
      </c>
      <c r="S773" s="125">
        <v>0.97499999999999998</v>
      </c>
      <c r="T773" s="125">
        <v>18.311</v>
      </c>
      <c r="U773" s="125">
        <v>1.4019999999999999</v>
      </c>
      <c r="V773" s="125">
        <v>0</v>
      </c>
      <c r="W773" s="125">
        <v>0</v>
      </c>
      <c r="X773" s="125">
        <v>0</v>
      </c>
      <c r="Y773" s="125">
        <v>0</v>
      </c>
      <c r="Z773" s="125">
        <v>0</v>
      </c>
      <c r="AA773" s="125">
        <v>11.250999999999999</v>
      </c>
      <c r="AB773" s="125">
        <v>20.67</v>
      </c>
      <c r="AC773" s="125">
        <v>365.5</v>
      </c>
      <c r="AD773" s="125">
        <v>0.13900000000000001</v>
      </c>
      <c r="AE773" s="125">
        <v>18.638999999999999</v>
      </c>
      <c r="AF773" s="125">
        <v>24.868649999999999</v>
      </c>
      <c r="AG773" s="125">
        <v>0</v>
      </c>
      <c r="AH773" s="125">
        <v>0</v>
      </c>
      <c r="AI773" s="121">
        <v>1412401</v>
      </c>
      <c r="AJ773" s="121">
        <v>267695</v>
      </c>
      <c r="AK773" s="424">
        <v>12</v>
      </c>
      <c r="AL773">
        <v>0</v>
      </c>
      <c r="AM773" s="121">
        <v>59939</v>
      </c>
      <c r="AN773" s="125">
        <v>0</v>
      </c>
      <c r="AO773" s="125">
        <v>0</v>
      </c>
      <c r="AP773" s="121">
        <v>1680096</v>
      </c>
      <c r="AQ773" s="114">
        <v>0</v>
      </c>
      <c r="AR773" s="121">
        <v>94.73992844</v>
      </c>
      <c r="AS773" s="121">
        <v>18616.693444</v>
      </c>
      <c r="AT773" s="121">
        <v>2451.8101784</v>
      </c>
      <c r="AU773" s="420" t="s">
        <v>2001</v>
      </c>
      <c r="AV773" s="420" t="s">
        <v>2001</v>
      </c>
      <c r="AW773" s="121">
        <v>0</v>
      </c>
      <c r="AX773" s="121">
        <v>393187</v>
      </c>
      <c r="BI773">
        <v>0</v>
      </c>
      <c r="BJ773" s="121">
        <v>0</v>
      </c>
      <c r="BK773" s="134">
        <v>142132741</v>
      </c>
      <c r="BL773" s="934">
        <v>4660</v>
      </c>
      <c r="BM773" s="934">
        <v>4691</v>
      </c>
      <c r="BN773" s="934">
        <v>4788</v>
      </c>
      <c r="BO773" s="114">
        <v>0</v>
      </c>
      <c r="BP773" s="114">
        <v>0</v>
      </c>
    </row>
    <row r="774" spans="1:68">
      <c r="A774" t="s">
        <v>1703</v>
      </c>
      <c r="B774" t="s">
        <v>2211</v>
      </c>
      <c r="C774" s="121">
        <v>4794</v>
      </c>
      <c r="D774" s="72">
        <v>2</v>
      </c>
      <c r="E774">
        <v>989.84</v>
      </c>
      <c r="F774">
        <v>272</v>
      </c>
      <c r="G774">
        <v>199</v>
      </c>
      <c r="H774">
        <v>38</v>
      </c>
      <c r="I774" s="173">
        <v>1.04</v>
      </c>
      <c r="J774" s="121">
        <v>744459095</v>
      </c>
      <c r="K774" s="125">
        <v>4470.4160000000002</v>
      </c>
      <c r="L774" s="173">
        <v>1.5</v>
      </c>
      <c r="M774">
        <v>1.04</v>
      </c>
      <c r="N774">
        <v>1.000000005</v>
      </c>
      <c r="O774">
        <v>3.9999995000000066</v>
      </c>
      <c r="P774">
        <v>3296.87</v>
      </c>
      <c r="Q774" s="125">
        <v>0.185</v>
      </c>
      <c r="R774" s="125">
        <v>0</v>
      </c>
      <c r="S774" s="125">
        <v>6.4779999999999998</v>
      </c>
      <c r="T774" s="125">
        <v>105.559</v>
      </c>
      <c r="U774" s="125">
        <v>45.176000000000002</v>
      </c>
      <c r="V774" s="125">
        <v>0</v>
      </c>
      <c r="W774" s="125">
        <v>4.3810000000000002</v>
      </c>
      <c r="X774" s="125">
        <v>0</v>
      </c>
      <c r="Y774" s="125">
        <v>0</v>
      </c>
      <c r="Z774" s="125">
        <v>2.778</v>
      </c>
      <c r="AA774" s="125">
        <v>57.387999999999998</v>
      </c>
      <c r="AB774" s="125">
        <v>169.61099999999999</v>
      </c>
      <c r="AC774" s="125">
        <v>1517.1</v>
      </c>
      <c r="AD774" s="125">
        <v>0.88800000000000001</v>
      </c>
      <c r="AE774" s="125">
        <v>73.572999999999993</v>
      </c>
      <c r="AF774" s="125">
        <v>162</v>
      </c>
      <c r="AG774" s="125">
        <v>0</v>
      </c>
      <c r="AH774" s="125">
        <v>0</v>
      </c>
      <c r="AI774" s="121">
        <v>7397839</v>
      </c>
      <c r="AJ774" s="121">
        <v>1120100</v>
      </c>
      <c r="AK774" s="424">
        <v>12</v>
      </c>
      <c r="AL774">
        <v>0</v>
      </c>
      <c r="AM774" s="121">
        <v>351217</v>
      </c>
      <c r="AN774" s="125">
        <v>0</v>
      </c>
      <c r="AO774" s="125">
        <v>0</v>
      </c>
      <c r="AP774" s="121">
        <v>8517939</v>
      </c>
      <c r="AQ774" s="114">
        <v>0</v>
      </c>
      <c r="AR774" s="121">
        <v>496.22628037999999</v>
      </c>
      <c r="AS774" s="121">
        <v>97510.022360999996</v>
      </c>
      <c r="AT774" s="121">
        <v>12842.026218999999</v>
      </c>
      <c r="AU774" s="420" t="s">
        <v>2001</v>
      </c>
      <c r="AV774" s="420" t="s">
        <v>2001</v>
      </c>
      <c r="AW774" s="121">
        <v>0</v>
      </c>
      <c r="AX774" s="121">
        <v>2499262</v>
      </c>
      <c r="BI774">
        <v>0</v>
      </c>
      <c r="BJ774" s="121">
        <v>0</v>
      </c>
      <c r="BK774" s="134">
        <v>744459095</v>
      </c>
      <c r="BL774" s="934">
        <v>4717</v>
      </c>
      <c r="BM774" s="934">
        <v>4794</v>
      </c>
      <c r="BN774" s="934">
        <v>4794</v>
      </c>
      <c r="BO774" s="114">
        <v>0</v>
      </c>
      <c r="BP774" s="114">
        <v>0</v>
      </c>
    </row>
    <row r="775" spans="1:68">
      <c r="A775" t="s">
        <v>1656</v>
      </c>
      <c r="B775" t="s">
        <v>161</v>
      </c>
      <c r="C775" s="121">
        <v>5080</v>
      </c>
      <c r="D775" s="72">
        <v>2</v>
      </c>
      <c r="E775">
        <v>1976.048</v>
      </c>
      <c r="F775">
        <v>481</v>
      </c>
      <c r="G775">
        <v>353</v>
      </c>
      <c r="H775">
        <v>19</v>
      </c>
      <c r="I775" s="173">
        <v>1.04</v>
      </c>
      <c r="J775" s="121">
        <v>2788389874</v>
      </c>
      <c r="K775" s="125">
        <v>8665.3580000000002</v>
      </c>
      <c r="L775" s="173">
        <v>1.5</v>
      </c>
      <c r="M775">
        <v>1.04</v>
      </c>
      <c r="N775">
        <v>1.000000005</v>
      </c>
      <c r="O775">
        <v>3.9999995000000066</v>
      </c>
      <c r="P775">
        <v>6801.0569999999998</v>
      </c>
      <c r="Q775" s="125">
        <v>0.26500000000000001</v>
      </c>
      <c r="R775" s="125">
        <v>0</v>
      </c>
      <c r="S775" s="125">
        <v>11.426</v>
      </c>
      <c r="T775" s="125">
        <v>240.18899999999999</v>
      </c>
      <c r="U775" s="125">
        <v>68.97</v>
      </c>
      <c r="V775" s="125">
        <v>0</v>
      </c>
      <c r="W775" s="125">
        <v>3.1139999999999999</v>
      </c>
      <c r="X775" s="125">
        <v>0</v>
      </c>
      <c r="Y775" s="125">
        <v>0</v>
      </c>
      <c r="Z775" s="125">
        <v>5.1710000000000003</v>
      </c>
      <c r="AA775" s="125">
        <v>24.51</v>
      </c>
      <c r="AB775" s="125">
        <v>306.779</v>
      </c>
      <c r="AC775" s="125">
        <v>3046.3</v>
      </c>
      <c r="AD775" s="125">
        <v>0.19600000000000001</v>
      </c>
      <c r="AE775" s="125">
        <v>414.41399999999999</v>
      </c>
      <c r="AF775" s="125">
        <v>340.05284999999998</v>
      </c>
      <c r="AG775" s="125">
        <v>0</v>
      </c>
      <c r="AH775" s="125">
        <v>0</v>
      </c>
      <c r="AI775" s="121">
        <v>30144725</v>
      </c>
      <c r="AJ775" s="121">
        <v>7547450</v>
      </c>
      <c r="AK775" s="424">
        <v>12</v>
      </c>
      <c r="AL775">
        <v>0</v>
      </c>
      <c r="AM775" s="121">
        <v>567782</v>
      </c>
      <c r="AN775" s="125">
        <v>2</v>
      </c>
      <c r="AO775" s="125">
        <v>0</v>
      </c>
      <c r="AP775" s="121">
        <v>37692175</v>
      </c>
      <c r="AQ775" s="114">
        <v>0</v>
      </c>
      <c r="AR775" s="121">
        <v>1858.6277536</v>
      </c>
      <c r="AS775" s="121">
        <v>365226.19011999998</v>
      </c>
      <c r="AT775" s="121">
        <v>48100.125462000004</v>
      </c>
      <c r="AU775" s="420" t="s">
        <v>798</v>
      </c>
      <c r="AV775" s="420" t="s">
        <v>2001</v>
      </c>
      <c r="AW775" s="121">
        <v>0</v>
      </c>
      <c r="AX775" s="121">
        <v>7928040</v>
      </c>
      <c r="AY775" s="134">
        <v>419064</v>
      </c>
      <c r="AZ775" s="134">
        <v>14919953</v>
      </c>
      <c r="BA775" s="134">
        <v>6365</v>
      </c>
      <c r="BB775" s="134">
        <v>724573221</v>
      </c>
      <c r="BC775" s="114">
        <v>0</v>
      </c>
      <c r="BD775" s="114">
        <v>0</v>
      </c>
      <c r="BE775" s="114">
        <v>0</v>
      </c>
      <c r="BF775" s="134">
        <v>7237</v>
      </c>
      <c r="BG775" s="114">
        <v>0</v>
      </c>
      <c r="BH775" s="114">
        <v>0</v>
      </c>
      <c r="BI775">
        <v>0</v>
      </c>
      <c r="BJ775" s="121">
        <v>0</v>
      </c>
      <c r="BK775" s="134">
        <v>2788389874</v>
      </c>
      <c r="BL775" s="934">
        <v>4957</v>
      </c>
      <c r="BM775" s="934">
        <v>5080</v>
      </c>
      <c r="BN775" s="934">
        <v>5080</v>
      </c>
      <c r="BO775" s="114">
        <v>0</v>
      </c>
      <c r="BP775" s="114">
        <v>0</v>
      </c>
    </row>
    <row r="776" spans="1:68">
      <c r="A776" t="s">
        <v>2901</v>
      </c>
      <c r="B776" t="s">
        <v>2558</v>
      </c>
      <c r="C776" s="121">
        <v>4715</v>
      </c>
      <c r="D776" s="72">
        <v>1</v>
      </c>
      <c r="E776">
        <v>260.06200000000001</v>
      </c>
      <c r="F776">
        <v>68</v>
      </c>
      <c r="G776">
        <v>48</v>
      </c>
      <c r="H776">
        <v>4</v>
      </c>
      <c r="I776" s="173">
        <v>1.04</v>
      </c>
      <c r="J776" s="121">
        <v>232429839</v>
      </c>
      <c r="K776" s="125">
        <v>1243.009</v>
      </c>
      <c r="L776" s="173">
        <v>1.5</v>
      </c>
      <c r="M776">
        <v>1.04</v>
      </c>
      <c r="N776">
        <v>1.000000005</v>
      </c>
      <c r="O776">
        <v>3.9999995000000066</v>
      </c>
      <c r="P776">
        <v>774.74099999999999</v>
      </c>
      <c r="Q776" s="125">
        <v>2.4E-2</v>
      </c>
      <c r="R776" s="125">
        <v>0</v>
      </c>
      <c r="S776" s="125">
        <v>0.86899999999999999</v>
      </c>
      <c r="T776" s="125">
        <v>47.445999999999998</v>
      </c>
      <c r="U776" s="125">
        <v>2.968</v>
      </c>
      <c r="V776" s="125">
        <v>0</v>
      </c>
      <c r="W776" s="125">
        <v>1.5269999999999999</v>
      </c>
      <c r="X776" s="125">
        <v>0</v>
      </c>
      <c r="Y776" s="125">
        <v>0</v>
      </c>
      <c r="Z776" s="125">
        <v>0</v>
      </c>
      <c r="AA776" s="125">
        <v>5.1280000000000001</v>
      </c>
      <c r="AB776" s="125">
        <v>48.414000000000001</v>
      </c>
      <c r="AC776" s="125">
        <v>317.89999999999998</v>
      </c>
      <c r="AD776" s="125">
        <v>0</v>
      </c>
      <c r="AE776" s="125">
        <v>28.488</v>
      </c>
      <c r="AF776" s="125">
        <v>38.737000000000002</v>
      </c>
      <c r="AG776" s="125">
        <v>0</v>
      </c>
      <c r="AH776" s="125">
        <v>0</v>
      </c>
      <c r="AI776" s="121">
        <v>2461990</v>
      </c>
      <c r="AJ776" s="121">
        <v>467644</v>
      </c>
      <c r="AK776" s="424">
        <v>12</v>
      </c>
      <c r="AL776">
        <v>0</v>
      </c>
      <c r="AM776" s="121">
        <v>61311</v>
      </c>
      <c r="AN776" s="125">
        <v>0</v>
      </c>
      <c r="AO776" s="125">
        <v>0</v>
      </c>
      <c r="AP776" s="121">
        <v>2929634</v>
      </c>
      <c r="AQ776" s="114">
        <v>0</v>
      </c>
      <c r="AR776" s="121">
        <v>154.92831672</v>
      </c>
      <c r="AS776" s="121">
        <v>30443.900747</v>
      </c>
      <c r="AT776" s="121">
        <v>4009.4480766000001</v>
      </c>
      <c r="AU776" s="420" t="s">
        <v>2001</v>
      </c>
      <c r="AV776" s="420" t="s">
        <v>2001</v>
      </c>
      <c r="AW776" s="121">
        <v>0</v>
      </c>
      <c r="AX776" s="121">
        <v>1300127</v>
      </c>
      <c r="BI776">
        <v>0</v>
      </c>
      <c r="BJ776" s="121">
        <v>0</v>
      </c>
      <c r="BK776" s="134">
        <v>232429839</v>
      </c>
      <c r="BL776" s="934">
        <v>4715</v>
      </c>
      <c r="BM776" s="934">
        <v>4660</v>
      </c>
      <c r="BN776" s="934">
        <v>4660</v>
      </c>
      <c r="BO776" s="114">
        <v>0</v>
      </c>
      <c r="BP776" s="114">
        <v>0</v>
      </c>
    </row>
    <row r="777" spans="1:68">
      <c r="A777" t="s">
        <v>1563</v>
      </c>
      <c r="B777" t="s">
        <v>474</v>
      </c>
      <c r="C777" s="121">
        <v>5630</v>
      </c>
      <c r="D777" s="72">
        <v>2</v>
      </c>
      <c r="E777">
        <v>1394.0920000000001</v>
      </c>
      <c r="F777">
        <v>322</v>
      </c>
      <c r="G777">
        <v>152</v>
      </c>
      <c r="H777">
        <v>10</v>
      </c>
      <c r="I777" s="173">
        <v>1.04</v>
      </c>
      <c r="J777" s="121">
        <v>1887808995</v>
      </c>
      <c r="K777" s="125">
        <v>5018.4250000000002</v>
      </c>
      <c r="L777" s="173">
        <v>1.5</v>
      </c>
      <c r="M777">
        <v>1.04</v>
      </c>
      <c r="N777">
        <v>1.000000005</v>
      </c>
      <c r="O777">
        <v>3.9999995000000066</v>
      </c>
      <c r="P777">
        <v>4375</v>
      </c>
      <c r="Q777" s="125">
        <v>0.13600000000000001</v>
      </c>
      <c r="R777" s="125">
        <v>0</v>
      </c>
      <c r="S777" s="125">
        <v>7.359</v>
      </c>
      <c r="T777" s="125">
        <v>106.765</v>
      </c>
      <c r="U777" s="125">
        <v>25.2</v>
      </c>
      <c r="V777" s="125">
        <v>0</v>
      </c>
      <c r="W777" s="125">
        <v>2.5459999999999998</v>
      </c>
      <c r="X777" s="125">
        <v>0</v>
      </c>
      <c r="Y777" s="125">
        <v>0</v>
      </c>
      <c r="Z777" s="125">
        <v>0</v>
      </c>
      <c r="AA777" s="125">
        <v>3.2890000000000001</v>
      </c>
      <c r="AB777" s="125">
        <v>120.136</v>
      </c>
      <c r="AC777" s="125">
        <v>396.2</v>
      </c>
      <c r="AD777" s="125">
        <v>0</v>
      </c>
      <c r="AE777" s="125">
        <v>66.802000000000007</v>
      </c>
      <c r="AF777" s="125">
        <v>218.75</v>
      </c>
      <c r="AG777" s="125">
        <v>0</v>
      </c>
      <c r="AH777" s="125">
        <v>0</v>
      </c>
      <c r="AI777" s="121">
        <v>20614874</v>
      </c>
      <c r="AJ777" s="121">
        <v>4683475</v>
      </c>
      <c r="AK777" s="424">
        <v>12</v>
      </c>
      <c r="AL777">
        <v>0</v>
      </c>
      <c r="AM777" s="121">
        <v>492068</v>
      </c>
      <c r="AN777" s="125">
        <v>0</v>
      </c>
      <c r="AO777" s="125">
        <v>0</v>
      </c>
      <c r="AP777" s="121">
        <v>25298349</v>
      </c>
      <c r="AQ777" s="114">
        <v>0</v>
      </c>
      <c r="AR777" s="121">
        <v>0</v>
      </c>
      <c r="AS777" s="121">
        <v>0</v>
      </c>
      <c r="AT777" s="121">
        <v>0</v>
      </c>
      <c r="AU777" s="420" t="s">
        <v>798</v>
      </c>
      <c r="AV777" s="420" t="s">
        <v>2001</v>
      </c>
      <c r="AW777" s="121">
        <v>0</v>
      </c>
      <c r="AX777" s="121">
        <v>6761639</v>
      </c>
      <c r="AY777" s="134">
        <v>646425</v>
      </c>
      <c r="AZ777" s="134">
        <v>5050101</v>
      </c>
      <c r="BA777" s="134">
        <v>2047</v>
      </c>
      <c r="BB777" s="134">
        <v>266585078</v>
      </c>
      <c r="BC777" s="114">
        <v>0</v>
      </c>
      <c r="BD777" s="114">
        <v>0</v>
      </c>
      <c r="BE777" s="114">
        <v>0</v>
      </c>
      <c r="BF777" s="134">
        <v>4428</v>
      </c>
      <c r="BG777" s="114">
        <v>0</v>
      </c>
      <c r="BH777" s="114">
        <v>0</v>
      </c>
      <c r="BI777">
        <v>0</v>
      </c>
      <c r="BJ777" s="121">
        <v>0</v>
      </c>
      <c r="BK777" s="134">
        <v>1887808995</v>
      </c>
      <c r="BL777" s="934">
        <v>5288</v>
      </c>
      <c r="BM777" s="934">
        <v>5630</v>
      </c>
      <c r="BN777" s="934">
        <v>5565</v>
      </c>
      <c r="BO777" s="114">
        <v>0</v>
      </c>
      <c r="BP777" s="114">
        <v>0</v>
      </c>
    </row>
    <row r="778" spans="1:68">
      <c r="A778" t="s">
        <v>236</v>
      </c>
      <c r="B778" t="s">
        <v>2988</v>
      </c>
      <c r="C778" s="121">
        <v>4838</v>
      </c>
      <c r="D778" s="72">
        <v>1</v>
      </c>
      <c r="E778">
        <v>309.07400000000001</v>
      </c>
      <c r="F778">
        <v>95</v>
      </c>
      <c r="G778">
        <v>69</v>
      </c>
      <c r="H778">
        <v>1</v>
      </c>
      <c r="I778" s="173">
        <v>1.04</v>
      </c>
      <c r="J778" s="121">
        <v>223974799</v>
      </c>
      <c r="K778" s="125">
        <v>1451.71</v>
      </c>
      <c r="L778" s="173">
        <v>1.5</v>
      </c>
      <c r="M778">
        <v>1.04</v>
      </c>
      <c r="N778">
        <v>1.000000005</v>
      </c>
      <c r="O778">
        <v>3.9999995000000066</v>
      </c>
      <c r="P778">
        <v>999.28599999999994</v>
      </c>
      <c r="Q778" s="125">
        <v>6.6000000000000003E-2</v>
      </c>
      <c r="R778" s="125">
        <v>0</v>
      </c>
      <c r="S778" s="125">
        <v>1.577</v>
      </c>
      <c r="T778" s="125">
        <v>40.9</v>
      </c>
      <c r="U778" s="125">
        <v>4.9870000000000001</v>
      </c>
      <c r="V778" s="125">
        <v>0</v>
      </c>
      <c r="W778" s="125">
        <v>1.8919999999999999</v>
      </c>
      <c r="X778" s="125">
        <v>0</v>
      </c>
      <c r="Y778" s="125">
        <v>0</v>
      </c>
      <c r="Z778" s="125">
        <v>0</v>
      </c>
      <c r="AA778" s="125">
        <v>23.702000000000002</v>
      </c>
      <c r="AB778" s="125">
        <v>43.540999999999997</v>
      </c>
      <c r="AC778" s="125">
        <v>249.5</v>
      </c>
      <c r="AD778" s="125">
        <v>0</v>
      </c>
      <c r="AE778" s="125">
        <v>14.654999999999999</v>
      </c>
      <c r="AF778" s="125">
        <v>49.963999999999999</v>
      </c>
      <c r="AG778" s="125">
        <v>0</v>
      </c>
      <c r="AH778" s="125">
        <v>0</v>
      </c>
      <c r="AI778" s="121">
        <v>2568095</v>
      </c>
      <c r="AJ778" s="121">
        <v>435837</v>
      </c>
      <c r="AK778" s="424">
        <v>12</v>
      </c>
      <c r="AL778">
        <v>0</v>
      </c>
      <c r="AM778" s="121">
        <v>58580</v>
      </c>
      <c r="AN778" s="125">
        <v>0</v>
      </c>
      <c r="AO778" s="125">
        <v>0</v>
      </c>
      <c r="AP778" s="121">
        <v>3003932</v>
      </c>
      <c r="AQ778" s="114">
        <v>0</v>
      </c>
      <c r="AR778" s="121">
        <v>149.29252951000001</v>
      </c>
      <c r="AS778" s="121">
        <v>29336.450861000001</v>
      </c>
      <c r="AT778" s="121">
        <v>3863.5974233000002</v>
      </c>
      <c r="AU778" s="420" t="s">
        <v>2001</v>
      </c>
      <c r="AV778" s="420" t="s">
        <v>2001</v>
      </c>
      <c r="AW778" s="121">
        <v>0</v>
      </c>
      <c r="AX778" s="121">
        <v>1125940</v>
      </c>
      <c r="BI778">
        <v>0</v>
      </c>
      <c r="BJ778" s="121">
        <v>0</v>
      </c>
      <c r="BK778" s="134">
        <v>223974799</v>
      </c>
      <c r="BL778" s="934">
        <v>4838</v>
      </c>
      <c r="BM778" s="934">
        <v>4758</v>
      </c>
      <c r="BN778" s="934">
        <v>4758</v>
      </c>
      <c r="BO778" s="114">
        <v>0</v>
      </c>
      <c r="BP778" s="114">
        <v>0</v>
      </c>
    </row>
    <row r="779" spans="1:68">
      <c r="A779" t="s">
        <v>2144</v>
      </c>
      <c r="B779" t="s">
        <v>2122</v>
      </c>
      <c r="C779" s="121">
        <v>5127</v>
      </c>
      <c r="D779" s="72">
        <v>1</v>
      </c>
      <c r="E779">
        <v>244.14400000000001</v>
      </c>
      <c r="F779">
        <v>0</v>
      </c>
      <c r="G779">
        <v>0</v>
      </c>
      <c r="H779">
        <v>0</v>
      </c>
      <c r="I779" s="173">
        <v>1.04</v>
      </c>
      <c r="J779" s="121">
        <v>294009201</v>
      </c>
      <c r="K779" s="125">
        <v>1137.037</v>
      </c>
      <c r="L779" s="173">
        <v>1.5</v>
      </c>
      <c r="M779">
        <v>1.04</v>
      </c>
      <c r="N779">
        <v>1.000000005</v>
      </c>
      <c r="O779">
        <v>3.9999995000000066</v>
      </c>
      <c r="P779">
        <v>787</v>
      </c>
      <c r="Q779" s="125">
        <v>2.5000000000000001E-2</v>
      </c>
      <c r="R779" s="125">
        <v>0</v>
      </c>
      <c r="S779" s="125">
        <v>1.08</v>
      </c>
      <c r="T779" s="125">
        <v>33</v>
      </c>
      <c r="U779" s="125">
        <v>5</v>
      </c>
      <c r="V779" s="125">
        <v>0.65100000000000002</v>
      </c>
      <c r="W779" s="125">
        <v>4.5999999999999999E-2</v>
      </c>
      <c r="X779" s="125">
        <v>0</v>
      </c>
      <c r="Y779" s="125">
        <v>0</v>
      </c>
      <c r="Z779" s="125">
        <v>0</v>
      </c>
      <c r="AA779" s="125">
        <v>2.7</v>
      </c>
      <c r="AB779" s="125">
        <v>36</v>
      </c>
      <c r="AC779" s="125">
        <v>78</v>
      </c>
      <c r="AD779" s="125">
        <v>0</v>
      </c>
      <c r="AE779" s="125">
        <v>1</v>
      </c>
      <c r="AF779" s="125">
        <v>39.35</v>
      </c>
      <c r="AG779" s="125">
        <v>0</v>
      </c>
      <c r="AH779" s="125">
        <v>0</v>
      </c>
      <c r="AI779" s="121">
        <v>3210580</v>
      </c>
      <c r="AJ779" s="121">
        <v>339083</v>
      </c>
      <c r="AK779" s="424">
        <v>12</v>
      </c>
      <c r="AL779">
        <v>0</v>
      </c>
      <c r="AM779" s="121">
        <v>44156</v>
      </c>
      <c r="AN779" s="125">
        <v>0</v>
      </c>
      <c r="AO779" s="125">
        <v>0</v>
      </c>
      <c r="AP779" s="121">
        <v>3549663</v>
      </c>
      <c r="AQ779" s="114">
        <v>0</v>
      </c>
      <c r="AR779" s="121">
        <v>195.97462532</v>
      </c>
      <c r="AS779" s="121">
        <v>38509.629282000002</v>
      </c>
      <c r="AT779" s="121">
        <v>5071.7009077000002</v>
      </c>
      <c r="AU779" s="420" t="s">
        <v>2001</v>
      </c>
      <c r="AV779" s="420" t="s">
        <v>2001</v>
      </c>
      <c r="AW779" s="121">
        <v>0</v>
      </c>
      <c r="AX779" s="121">
        <v>1316754</v>
      </c>
      <c r="BI779">
        <v>0</v>
      </c>
      <c r="BJ779" s="121">
        <v>0</v>
      </c>
      <c r="BK779" s="134">
        <v>294009201</v>
      </c>
      <c r="BL779" s="934">
        <v>5127</v>
      </c>
      <c r="BM779" s="934">
        <v>4998</v>
      </c>
      <c r="BN779" s="934">
        <v>4998</v>
      </c>
      <c r="BO779" s="114">
        <v>0</v>
      </c>
      <c r="BP779" s="114">
        <v>0</v>
      </c>
    </row>
    <row r="780" spans="1:68">
      <c r="A780" t="s">
        <v>1834</v>
      </c>
      <c r="B780" t="s">
        <v>475</v>
      </c>
      <c r="C780" s="121">
        <v>5638</v>
      </c>
      <c r="D780" s="72">
        <v>1</v>
      </c>
      <c r="E780">
        <v>0</v>
      </c>
      <c r="F780">
        <v>18</v>
      </c>
      <c r="G780">
        <v>11</v>
      </c>
      <c r="H780">
        <v>0</v>
      </c>
      <c r="I780" s="173">
        <v>1.04</v>
      </c>
      <c r="J780" s="121">
        <v>184262574</v>
      </c>
      <c r="K780" s="125">
        <v>306.16899999999998</v>
      </c>
      <c r="L780" s="173">
        <v>1.5</v>
      </c>
      <c r="M780">
        <v>1.04</v>
      </c>
      <c r="N780">
        <v>1.000000005</v>
      </c>
      <c r="O780">
        <v>3.9999995000000066</v>
      </c>
      <c r="P780">
        <v>181.63900000000001</v>
      </c>
      <c r="Q780" s="125">
        <v>0</v>
      </c>
      <c r="R780" s="125">
        <v>0</v>
      </c>
      <c r="S780" s="125">
        <v>0.40300000000000002</v>
      </c>
      <c r="T780" s="125">
        <v>6.5979999999999999</v>
      </c>
      <c r="U780" s="125">
        <v>1.383</v>
      </c>
      <c r="V780" s="125">
        <v>0</v>
      </c>
      <c r="W780" s="125">
        <v>0</v>
      </c>
      <c r="X780" s="125">
        <v>0</v>
      </c>
      <c r="Y780" s="125">
        <v>0</v>
      </c>
      <c r="Z780" s="125">
        <v>0</v>
      </c>
      <c r="AA780" s="125">
        <v>0.47599999999999998</v>
      </c>
      <c r="AB780" s="125">
        <v>0</v>
      </c>
      <c r="AC780" s="125">
        <v>84.6</v>
      </c>
      <c r="AD780" s="125">
        <v>0</v>
      </c>
      <c r="AE780" s="125">
        <v>2.129</v>
      </c>
      <c r="AF780" s="125">
        <v>9.0819500000000009</v>
      </c>
      <c r="AG780" s="125">
        <v>0</v>
      </c>
      <c r="AH780" s="125">
        <v>0</v>
      </c>
      <c r="AI780" s="121">
        <v>1911540</v>
      </c>
      <c r="AJ780" s="121">
        <v>107623</v>
      </c>
      <c r="AK780" s="424">
        <v>8</v>
      </c>
      <c r="AL780">
        <v>0</v>
      </c>
      <c r="AM780" s="121">
        <v>22870</v>
      </c>
      <c r="AN780" s="125">
        <v>0</v>
      </c>
      <c r="AO780" s="125">
        <v>0</v>
      </c>
      <c r="AP780" s="121">
        <v>2019163</v>
      </c>
      <c r="AQ780" s="114">
        <v>0</v>
      </c>
      <c r="AR780" s="121">
        <v>0</v>
      </c>
      <c r="AS780" s="121">
        <v>0</v>
      </c>
      <c r="AT780" s="121">
        <v>0</v>
      </c>
      <c r="AU780" s="420" t="s">
        <v>798</v>
      </c>
      <c r="AV780" s="420" t="s">
        <v>2001</v>
      </c>
      <c r="AW780" s="121">
        <v>0</v>
      </c>
      <c r="AX780" s="121">
        <v>86197</v>
      </c>
      <c r="AY780" s="134">
        <v>126925</v>
      </c>
      <c r="AZ780" s="134">
        <v>687638</v>
      </c>
      <c r="BA780" s="114">
        <v>304</v>
      </c>
      <c r="BB780" s="134">
        <v>46935174</v>
      </c>
      <c r="BC780" s="114">
        <v>0</v>
      </c>
      <c r="BD780" s="114">
        <v>0</v>
      </c>
      <c r="BE780" s="114">
        <v>0</v>
      </c>
      <c r="BF780" s="114">
        <v>185</v>
      </c>
      <c r="BG780" s="114">
        <v>0</v>
      </c>
      <c r="BH780" s="114">
        <v>0</v>
      </c>
      <c r="BI780">
        <v>0</v>
      </c>
      <c r="BJ780" s="121">
        <v>528</v>
      </c>
      <c r="BK780" s="134">
        <v>184262574</v>
      </c>
      <c r="BL780" s="934">
        <v>5638</v>
      </c>
      <c r="BM780" s="934">
        <v>5408</v>
      </c>
      <c r="BN780" s="934">
        <v>5408</v>
      </c>
      <c r="BO780" s="114">
        <v>0</v>
      </c>
      <c r="BP780" s="114">
        <v>0</v>
      </c>
    </row>
    <row r="781" spans="1:68">
      <c r="A781" t="s">
        <v>1835</v>
      </c>
      <c r="B781" t="s">
        <v>476</v>
      </c>
      <c r="C781" s="121">
        <v>4229</v>
      </c>
      <c r="D781" s="72">
        <v>3</v>
      </c>
      <c r="E781">
        <v>155.011</v>
      </c>
      <c r="F781">
        <v>47</v>
      </c>
      <c r="G781">
        <v>36</v>
      </c>
      <c r="H781">
        <v>1</v>
      </c>
      <c r="I781" s="173">
        <v>0.97660000000000002</v>
      </c>
      <c r="J781" s="121">
        <v>65409434</v>
      </c>
      <c r="K781" s="125">
        <v>741.27099999999996</v>
      </c>
      <c r="L781" s="173">
        <v>1.3</v>
      </c>
      <c r="M781">
        <v>0.97660000000000002</v>
      </c>
      <c r="N781">
        <v>0.86666667100000006</v>
      </c>
      <c r="O781">
        <v>10.993332899999997</v>
      </c>
      <c r="P781">
        <v>422.899</v>
      </c>
      <c r="Q781" s="125">
        <v>0</v>
      </c>
      <c r="R781" s="125">
        <v>0</v>
      </c>
      <c r="S781" s="125">
        <v>0.82199999999999995</v>
      </c>
      <c r="T781" s="125">
        <v>11.109</v>
      </c>
      <c r="U781" s="125">
        <v>0.65700000000000003</v>
      </c>
      <c r="V781" s="125">
        <v>0</v>
      </c>
      <c r="W781" s="125">
        <v>0</v>
      </c>
      <c r="X781" s="125">
        <v>0</v>
      </c>
      <c r="Y781" s="125">
        <v>0</v>
      </c>
      <c r="Z781" s="125">
        <v>0</v>
      </c>
      <c r="AA781" s="125">
        <v>7.9640000000000004</v>
      </c>
      <c r="AB781" s="125">
        <v>12.497</v>
      </c>
      <c r="AC781" s="125">
        <v>418.7</v>
      </c>
      <c r="AD781" s="125">
        <v>0</v>
      </c>
      <c r="AE781" s="125">
        <v>109.815</v>
      </c>
      <c r="AF781" s="125">
        <v>21.144950000000001</v>
      </c>
      <c r="AG781" s="125">
        <v>0</v>
      </c>
      <c r="AH781" s="125">
        <v>0</v>
      </c>
      <c r="AI781" s="121">
        <v>643899</v>
      </c>
      <c r="AJ781" s="121">
        <v>0</v>
      </c>
      <c r="AK781" s="424">
        <v>12</v>
      </c>
      <c r="AL781">
        <v>0</v>
      </c>
      <c r="AM781" s="121">
        <v>25537</v>
      </c>
      <c r="AN781" s="125">
        <v>0</v>
      </c>
      <c r="AO781" s="125">
        <v>0</v>
      </c>
      <c r="AP781" s="121">
        <v>643899</v>
      </c>
      <c r="AQ781" s="114">
        <v>0</v>
      </c>
      <c r="AR781" s="121">
        <v>43.599279467999999</v>
      </c>
      <c r="AS781" s="121">
        <v>8567.3953273999996</v>
      </c>
      <c r="AT781" s="121">
        <v>1128.3221228</v>
      </c>
      <c r="AU781" s="420" t="s">
        <v>2001</v>
      </c>
      <c r="AV781" s="420" t="s">
        <v>2001</v>
      </c>
      <c r="AW781" s="121">
        <v>0</v>
      </c>
      <c r="AX781" s="121">
        <v>0</v>
      </c>
      <c r="BI781">
        <v>0</v>
      </c>
      <c r="BJ781" s="121">
        <v>0</v>
      </c>
      <c r="BK781" s="134">
        <v>65409434</v>
      </c>
      <c r="BL781" s="934">
        <v>4180</v>
      </c>
      <c r="BM781" s="934">
        <v>4210</v>
      </c>
      <c r="BN781" s="934">
        <v>4229</v>
      </c>
      <c r="BO781" s="114">
        <v>0</v>
      </c>
      <c r="BP781" s="114">
        <v>0</v>
      </c>
    </row>
    <row r="782" spans="1:68">
      <c r="A782" t="s">
        <v>1836</v>
      </c>
      <c r="B782" t="s">
        <v>477</v>
      </c>
      <c r="C782" s="121">
        <v>4468</v>
      </c>
      <c r="D782" s="72">
        <v>3</v>
      </c>
      <c r="E782">
        <v>118.62</v>
      </c>
      <c r="F782">
        <v>48</v>
      </c>
      <c r="G782">
        <v>43</v>
      </c>
      <c r="H782">
        <v>1</v>
      </c>
      <c r="I782" s="173">
        <v>1.04</v>
      </c>
      <c r="J782" s="121">
        <v>103300420</v>
      </c>
      <c r="K782" s="125">
        <v>821.31799999999998</v>
      </c>
      <c r="L782" s="173">
        <v>1.3373999999999999</v>
      </c>
      <c r="M782">
        <v>1.04</v>
      </c>
      <c r="N782">
        <v>0.89160000445799992</v>
      </c>
      <c r="O782">
        <v>14.839999554200013</v>
      </c>
      <c r="P782">
        <v>499.721</v>
      </c>
      <c r="Q782" s="125">
        <v>0</v>
      </c>
      <c r="R782" s="125">
        <v>0</v>
      </c>
      <c r="S782" s="125">
        <v>0.85199999999999998</v>
      </c>
      <c r="T782" s="125">
        <v>18.387</v>
      </c>
      <c r="U782" s="125">
        <v>0.82399999999999995</v>
      </c>
      <c r="V782" s="125">
        <v>0.109</v>
      </c>
      <c r="W782" s="125">
        <v>0</v>
      </c>
      <c r="X782" s="125">
        <v>0</v>
      </c>
      <c r="Y782" s="125">
        <v>0</v>
      </c>
      <c r="Z782" s="125">
        <v>0.89600000000000002</v>
      </c>
      <c r="AA782" s="125">
        <v>4.9119999999999999</v>
      </c>
      <c r="AB782" s="125">
        <v>18.643000000000001</v>
      </c>
      <c r="AC782" s="125">
        <v>313.5</v>
      </c>
      <c r="AD782" s="125">
        <v>0</v>
      </c>
      <c r="AE782" s="125">
        <v>59.421999999999997</v>
      </c>
      <c r="AF782" s="125">
        <v>24.986000000000001</v>
      </c>
      <c r="AG782" s="125">
        <v>0</v>
      </c>
      <c r="AH782" s="125">
        <v>0</v>
      </c>
      <c r="AI782" s="121">
        <v>1116760</v>
      </c>
      <c r="AJ782" s="121">
        <v>67375</v>
      </c>
      <c r="AK782" s="424">
        <v>12</v>
      </c>
      <c r="AL782">
        <v>0</v>
      </c>
      <c r="AM782" s="121">
        <v>38434</v>
      </c>
      <c r="AN782" s="125">
        <v>0</v>
      </c>
      <c r="AO782" s="125">
        <v>0</v>
      </c>
      <c r="AP782" s="121">
        <v>1184135</v>
      </c>
      <c r="AQ782" s="114">
        <v>0</v>
      </c>
      <c r="AR782" s="121">
        <v>68.855876061999993</v>
      </c>
      <c r="AS782" s="121">
        <v>13530.39587</v>
      </c>
      <c r="AT782" s="121">
        <v>1781.9470687</v>
      </c>
      <c r="AU782" s="420" t="s">
        <v>2001</v>
      </c>
      <c r="AV782" s="420" t="s">
        <v>2001</v>
      </c>
      <c r="AW782" s="121">
        <v>0</v>
      </c>
      <c r="AX782" s="121">
        <v>124226</v>
      </c>
      <c r="BI782">
        <v>0</v>
      </c>
      <c r="BJ782" s="121">
        <v>0</v>
      </c>
      <c r="BK782" s="134">
        <v>103300420</v>
      </c>
      <c r="BL782" s="934">
        <v>4280</v>
      </c>
      <c r="BM782" s="934">
        <v>4432</v>
      </c>
      <c r="BN782" s="934">
        <v>4468</v>
      </c>
      <c r="BO782" s="114">
        <v>0</v>
      </c>
      <c r="BP782" s="114">
        <v>0</v>
      </c>
    </row>
    <row r="783" spans="1:68">
      <c r="A783" t="s">
        <v>1837</v>
      </c>
      <c r="B783" t="s">
        <v>478</v>
      </c>
      <c r="C783" s="121">
        <v>4742</v>
      </c>
      <c r="D783" s="72">
        <v>2</v>
      </c>
      <c r="E783">
        <v>317.57900000000001</v>
      </c>
      <c r="F783">
        <v>121</v>
      </c>
      <c r="G783">
        <v>107</v>
      </c>
      <c r="H783">
        <v>0</v>
      </c>
      <c r="I783" s="173">
        <v>0.85</v>
      </c>
      <c r="J783" s="121">
        <v>274718484</v>
      </c>
      <c r="K783" s="125">
        <v>1959.357</v>
      </c>
      <c r="L783" s="173">
        <v>1.17</v>
      </c>
      <c r="M783">
        <v>0.85</v>
      </c>
      <c r="N783">
        <v>0.78000000390000002</v>
      </c>
      <c r="O783">
        <v>6.9999996099999962</v>
      </c>
      <c r="P783">
        <v>1182.558</v>
      </c>
      <c r="Q783" s="125">
        <v>0</v>
      </c>
      <c r="R783" s="125">
        <v>0</v>
      </c>
      <c r="S783" s="125">
        <v>1.581</v>
      </c>
      <c r="T783" s="125">
        <v>28.405000000000001</v>
      </c>
      <c r="U783" s="125">
        <v>5.7960000000000003</v>
      </c>
      <c r="V783" s="125">
        <v>0</v>
      </c>
      <c r="W783" s="125">
        <v>0</v>
      </c>
      <c r="X783" s="125">
        <v>0</v>
      </c>
      <c r="Y783" s="125">
        <v>0</v>
      </c>
      <c r="Z783" s="125">
        <v>0</v>
      </c>
      <c r="AA783" s="125">
        <v>34.125</v>
      </c>
      <c r="AB783" s="125">
        <v>86.494</v>
      </c>
      <c r="AC783" s="125">
        <v>1122.5999999999999</v>
      </c>
      <c r="AD783" s="125">
        <v>2.9000000000000001E-2</v>
      </c>
      <c r="AE783" s="125">
        <v>212.547</v>
      </c>
      <c r="AF783" s="125">
        <v>59.127899999999997</v>
      </c>
      <c r="AG783" s="125">
        <v>0</v>
      </c>
      <c r="AH783" s="125">
        <v>0</v>
      </c>
      <c r="AI783" s="121">
        <v>2402825</v>
      </c>
      <c r="AJ783" s="121">
        <v>0</v>
      </c>
      <c r="AK783" s="424">
        <v>12</v>
      </c>
      <c r="AL783">
        <v>0</v>
      </c>
      <c r="AM783" s="121">
        <v>47254</v>
      </c>
      <c r="AN783" s="125">
        <v>0</v>
      </c>
      <c r="AO783" s="125">
        <v>0</v>
      </c>
      <c r="AP783" s="121">
        <v>2402825</v>
      </c>
      <c r="AQ783" s="114">
        <v>0</v>
      </c>
      <c r="AR783" s="121">
        <v>183.11621468999999</v>
      </c>
      <c r="AS783" s="121">
        <v>35982.911214</v>
      </c>
      <c r="AT783" s="121">
        <v>4738.9332713000003</v>
      </c>
      <c r="AU783" s="420" t="s">
        <v>2001</v>
      </c>
      <c r="AV783" s="420" t="s">
        <v>2001</v>
      </c>
      <c r="AW783" s="121">
        <v>0</v>
      </c>
      <c r="AX783" s="121">
        <v>0</v>
      </c>
      <c r="BI783">
        <v>0</v>
      </c>
      <c r="BJ783" s="121">
        <v>0</v>
      </c>
      <c r="BK783" s="134">
        <v>274718484</v>
      </c>
      <c r="BL783" s="934">
        <v>4286</v>
      </c>
      <c r="BM783" s="934">
        <v>4742</v>
      </c>
      <c r="BN783" s="934">
        <v>4495</v>
      </c>
      <c r="BO783" s="114">
        <v>0</v>
      </c>
      <c r="BP783" s="114">
        <v>0</v>
      </c>
    </row>
    <row r="784" spans="1:68">
      <c r="A784" t="s">
        <v>1838</v>
      </c>
      <c r="B784" t="s">
        <v>479</v>
      </c>
      <c r="C784" s="121">
        <v>5171</v>
      </c>
      <c r="D784" s="72">
        <v>1</v>
      </c>
      <c r="E784">
        <v>48.363</v>
      </c>
      <c r="F784">
        <v>20</v>
      </c>
      <c r="G784">
        <v>15</v>
      </c>
      <c r="H784">
        <v>0</v>
      </c>
      <c r="I784" s="173">
        <v>1.17</v>
      </c>
      <c r="J784" s="121">
        <v>51397748</v>
      </c>
      <c r="K784" s="125">
        <v>237.24299999999999</v>
      </c>
      <c r="L784" s="173">
        <v>1.5</v>
      </c>
      <c r="M784">
        <v>1.17</v>
      </c>
      <c r="N784">
        <v>1.000000005</v>
      </c>
      <c r="O784">
        <v>16.999999499999994</v>
      </c>
      <c r="P784">
        <v>86.647999999999996</v>
      </c>
      <c r="Q784" s="125">
        <v>0</v>
      </c>
      <c r="R784" s="125">
        <v>0</v>
      </c>
      <c r="S784" s="125">
        <v>7.5999999999999998E-2</v>
      </c>
      <c r="T784" s="125">
        <v>2.6419999999999999</v>
      </c>
      <c r="U784" s="125">
        <v>0</v>
      </c>
      <c r="V784" s="125">
        <v>0</v>
      </c>
      <c r="W784" s="125">
        <v>0</v>
      </c>
      <c r="X784" s="125">
        <v>0</v>
      </c>
      <c r="Y784" s="125">
        <v>0</v>
      </c>
      <c r="Z784" s="125">
        <v>0</v>
      </c>
      <c r="AA784" s="125">
        <v>1.0549999999999999</v>
      </c>
      <c r="AB784" s="125">
        <v>8.3859999999999992</v>
      </c>
      <c r="AC784" s="125">
        <v>85.8</v>
      </c>
      <c r="AD784" s="125">
        <v>0</v>
      </c>
      <c r="AE784" s="125">
        <v>19.885999999999999</v>
      </c>
      <c r="AF784" s="125">
        <v>4.3319999999999999</v>
      </c>
      <c r="AG784" s="125">
        <v>0</v>
      </c>
      <c r="AH784" s="125">
        <v>0</v>
      </c>
      <c r="AI784" s="121">
        <v>621505</v>
      </c>
      <c r="AJ784" s="121">
        <v>746</v>
      </c>
      <c r="AK784" s="424">
        <v>12</v>
      </c>
      <c r="AL784">
        <v>0</v>
      </c>
      <c r="AM784" s="121">
        <v>35493</v>
      </c>
      <c r="AN784" s="125">
        <v>0</v>
      </c>
      <c r="AO784" s="125">
        <v>0</v>
      </c>
      <c r="AP784" s="121">
        <v>622251</v>
      </c>
      <c r="AQ784" s="114">
        <v>0</v>
      </c>
      <c r="AR784" s="121">
        <v>34.259657119000003</v>
      </c>
      <c r="AS784" s="121">
        <v>6732.1302071999999</v>
      </c>
      <c r="AT784" s="121">
        <v>886.61852943999997</v>
      </c>
      <c r="AU784" s="420" t="s">
        <v>2001</v>
      </c>
      <c r="AV784" s="420" t="s">
        <v>2001</v>
      </c>
      <c r="AW784" s="121">
        <v>0</v>
      </c>
      <c r="AX784" s="121">
        <v>0</v>
      </c>
      <c r="BI784">
        <v>0</v>
      </c>
      <c r="BJ784" s="121">
        <v>0</v>
      </c>
      <c r="BK784" s="134">
        <v>51101537</v>
      </c>
      <c r="BL784" s="934">
        <v>5171</v>
      </c>
      <c r="BM784" s="934">
        <v>5066</v>
      </c>
      <c r="BN784" s="934">
        <v>5039</v>
      </c>
      <c r="BO784" s="114">
        <v>0</v>
      </c>
      <c r="BP784" s="114">
        <v>0</v>
      </c>
    </row>
    <row r="785" spans="1:68">
      <c r="A785" t="s">
        <v>2140</v>
      </c>
      <c r="B785" t="s">
        <v>480</v>
      </c>
      <c r="C785" s="121">
        <v>6329</v>
      </c>
      <c r="D785" s="72">
        <v>2</v>
      </c>
      <c r="E785">
        <v>48.99</v>
      </c>
      <c r="F785">
        <v>19</v>
      </c>
      <c r="G785">
        <v>16</v>
      </c>
      <c r="H785">
        <v>0</v>
      </c>
      <c r="I785" s="173">
        <v>1.04</v>
      </c>
      <c r="J785" s="121">
        <v>273150521</v>
      </c>
      <c r="K785" s="125">
        <v>287.21899999999999</v>
      </c>
      <c r="L785" s="173">
        <v>1.5</v>
      </c>
      <c r="M785">
        <v>1.04</v>
      </c>
      <c r="N785">
        <v>1.000000005</v>
      </c>
      <c r="O785">
        <v>3.9999995000000066</v>
      </c>
      <c r="P785">
        <v>116.986</v>
      </c>
      <c r="Q785" s="125">
        <v>0</v>
      </c>
      <c r="R785" s="125">
        <v>0</v>
      </c>
      <c r="S785" s="125">
        <v>0.20300000000000001</v>
      </c>
      <c r="T785" s="125">
        <v>3.5089999999999999</v>
      </c>
      <c r="U785" s="125">
        <v>8.7999999999999995E-2</v>
      </c>
      <c r="V785" s="125">
        <v>0</v>
      </c>
      <c r="W785" s="125">
        <v>0</v>
      </c>
      <c r="X785" s="125">
        <v>0</v>
      </c>
      <c r="Y785" s="125">
        <v>0</v>
      </c>
      <c r="Z785" s="125">
        <v>0</v>
      </c>
      <c r="AA785" s="125">
        <v>1.8360000000000001</v>
      </c>
      <c r="AB785" s="125">
        <v>6.46</v>
      </c>
      <c r="AC785" s="125">
        <v>94.8</v>
      </c>
      <c r="AD785" s="125">
        <v>0</v>
      </c>
      <c r="AE785" s="125">
        <v>18.637</v>
      </c>
      <c r="AF785" s="125">
        <v>5.8490000000000002</v>
      </c>
      <c r="AG785" s="125">
        <v>0</v>
      </c>
      <c r="AH785" s="125">
        <v>0</v>
      </c>
      <c r="AI785" s="121">
        <v>2577112</v>
      </c>
      <c r="AJ785" s="121">
        <v>0</v>
      </c>
      <c r="AK785" s="424">
        <v>12</v>
      </c>
      <c r="AL785">
        <v>0</v>
      </c>
      <c r="AM785" s="121">
        <v>15178</v>
      </c>
      <c r="AN785" s="125">
        <v>0</v>
      </c>
      <c r="AO785" s="125">
        <v>0</v>
      </c>
      <c r="AP785" s="121">
        <v>2577112</v>
      </c>
      <c r="AQ785" s="114">
        <v>0</v>
      </c>
      <c r="AR785" s="121">
        <v>0</v>
      </c>
      <c r="AS785" s="121">
        <v>0</v>
      </c>
      <c r="AT785" s="121">
        <v>0</v>
      </c>
      <c r="AU785" s="420" t="s">
        <v>798</v>
      </c>
      <c r="AV785" s="420" t="s">
        <v>2001</v>
      </c>
      <c r="AW785" s="121">
        <v>0</v>
      </c>
      <c r="AX785" s="121">
        <v>0</v>
      </c>
      <c r="AY785" s="134">
        <v>509308</v>
      </c>
      <c r="AZ785" s="134">
        <v>726409</v>
      </c>
      <c r="BA785" s="114">
        <v>251</v>
      </c>
      <c r="BB785" s="134">
        <v>141218190</v>
      </c>
      <c r="BC785" s="114">
        <v>0</v>
      </c>
      <c r="BD785" s="114">
        <v>0</v>
      </c>
      <c r="BE785" s="114">
        <v>0</v>
      </c>
      <c r="BF785" s="114">
        <v>150</v>
      </c>
      <c r="BG785" s="114">
        <v>0</v>
      </c>
      <c r="BH785" s="114">
        <v>0</v>
      </c>
      <c r="BI785">
        <v>0</v>
      </c>
      <c r="BJ785" s="121">
        <v>8</v>
      </c>
      <c r="BK785" s="134">
        <v>240815533</v>
      </c>
      <c r="BL785" s="934">
        <v>5853</v>
      </c>
      <c r="BM785" s="934">
        <v>6329</v>
      </c>
      <c r="BN785" s="934">
        <v>5836</v>
      </c>
      <c r="BO785" s="114">
        <v>0</v>
      </c>
      <c r="BP785" s="114">
        <v>0</v>
      </c>
    </row>
    <row r="786" spans="1:68">
      <c r="A786" t="s">
        <v>2625</v>
      </c>
      <c r="B786" t="s">
        <v>2660</v>
      </c>
      <c r="C786" s="121">
        <v>6356</v>
      </c>
      <c r="D786" s="72">
        <v>2</v>
      </c>
      <c r="E786">
        <v>582.32399999999996</v>
      </c>
      <c r="F786">
        <v>196</v>
      </c>
      <c r="G786">
        <v>141</v>
      </c>
      <c r="H786">
        <v>22</v>
      </c>
      <c r="I786" s="173">
        <v>1.04</v>
      </c>
      <c r="J786" s="121">
        <v>2098622611</v>
      </c>
      <c r="K786" s="125">
        <v>2666.3989999999999</v>
      </c>
      <c r="L786" s="173">
        <v>1.5</v>
      </c>
      <c r="M786">
        <v>1.04</v>
      </c>
      <c r="N786">
        <v>1.000000005</v>
      </c>
      <c r="O786">
        <v>3.9999995000000066</v>
      </c>
      <c r="P786">
        <v>2027</v>
      </c>
      <c r="Q786" s="125">
        <v>8.1000000000000003E-2</v>
      </c>
      <c r="R786" s="125">
        <v>0</v>
      </c>
      <c r="S786" s="125">
        <v>1.9730000000000001</v>
      </c>
      <c r="T786" s="125">
        <v>41</v>
      </c>
      <c r="U786" s="125">
        <v>9.6999999999999993</v>
      </c>
      <c r="V786" s="125">
        <v>0</v>
      </c>
      <c r="W786" s="125">
        <v>9</v>
      </c>
      <c r="X786" s="125">
        <v>0</v>
      </c>
      <c r="Y786" s="125">
        <v>0</v>
      </c>
      <c r="Z786" s="125">
        <v>0</v>
      </c>
      <c r="AA786" s="125">
        <v>39</v>
      </c>
      <c r="AB786" s="125">
        <v>77</v>
      </c>
      <c r="AC786" s="125">
        <v>1477</v>
      </c>
      <c r="AD786" s="125">
        <v>1.1839999999999999</v>
      </c>
      <c r="AE786" s="125">
        <v>202</v>
      </c>
      <c r="AF786" s="125">
        <v>101.35</v>
      </c>
      <c r="AG786" s="125">
        <v>0</v>
      </c>
      <c r="AH786" s="125">
        <v>0</v>
      </c>
      <c r="AI786" s="121">
        <v>18192599</v>
      </c>
      <c r="AJ786" s="121">
        <v>1303393</v>
      </c>
      <c r="AK786" s="424">
        <v>12</v>
      </c>
      <c r="AL786">
        <v>0</v>
      </c>
      <c r="AM786" s="121">
        <v>176797</v>
      </c>
      <c r="AN786" s="125">
        <v>0</v>
      </c>
      <c r="AO786" s="125">
        <v>0</v>
      </c>
      <c r="AP786" s="121">
        <v>19495992</v>
      </c>
      <c r="AQ786" s="114">
        <v>0</v>
      </c>
      <c r="AR786" s="121">
        <v>0</v>
      </c>
      <c r="AS786" s="121">
        <v>0</v>
      </c>
      <c r="AT786" s="121">
        <v>0</v>
      </c>
      <c r="AU786" s="420" t="s">
        <v>798</v>
      </c>
      <c r="AV786" s="420" t="s">
        <v>2001</v>
      </c>
      <c r="AW786" s="121">
        <v>0</v>
      </c>
      <c r="AX786" s="121">
        <v>1315428</v>
      </c>
      <c r="AY786" s="134">
        <v>5945093</v>
      </c>
      <c r="AZ786" s="134">
        <v>8721840</v>
      </c>
      <c r="BA786" s="134">
        <v>3635</v>
      </c>
      <c r="BB786" s="134">
        <v>1425250759</v>
      </c>
      <c r="BC786" s="114">
        <v>0</v>
      </c>
      <c r="BD786" s="114">
        <v>0</v>
      </c>
      <c r="BE786" s="114">
        <v>0</v>
      </c>
      <c r="BF786" s="134">
        <v>2233</v>
      </c>
      <c r="BG786" s="114">
        <v>0</v>
      </c>
      <c r="BH786" s="114">
        <v>0</v>
      </c>
      <c r="BI786">
        <v>0</v>
      </c>
      <c r="BJ786" s="121">
        <v>957</v>
      </c>
      <c r="BK786" s="134">
        <v>1665988879</v>
      </c>
      <c r="BL786" s="934">
        <v>5305</v>
      </c>
      <c r="BM786" s="934">
        <v>6356</v>
      </c>
      <c r="BN786" s="934">
        <v>5326</v>
      </c>
      <c r="BO786" s="114">
        <v>0</v>
      </c>
      <c r="BP786" s="114">
        <v>0</v>
      </c>
    </row>
    <row r="787" spans="1:68">
      <c r="A787" t="s">
        <v>2614</v>
      </c>
      <c r="B787" t="s">
        <v>482</v>
      </c>
      <c r="C787" s="121">
        <v>7079</v>
      </c>
      <c r="D787" s="72">
        <v>1</v>
      </c>
      <c r="E787">
        <v>166.36</v>
      </c>
      <c r="F787">
        <v>53</v>
      </c>
      <c r="G787">
        <v>37</v>
      </c>
      <c r="H787">
        <v>0</v>
      </c>
      <c r="I787" s="173">
        <v>1.04</v>
      </c>
      <c r="J787" s="121">
        <v>1327722435</v>
      </c>
      <c r="K787" s="125">
        <v>1142.3030000000001</v>
      </c>
      <c r="L787" s="173">
        <v>1.5</v>
      </c>
      <c r="M787">
        <v>1.04</v>
      </c>
      <c r="N787">
        <v>1.000000005</v>
      </c>
      <c r="O787">
        <v>3.9999995000000066</v>
      </c>
      <c r="P787">
        <v>549.40300000000002</v>
      </c>
      <c r="Q787" s="125">
        <v>0.157</v>
      </c>
      <c r="R787" s="125">
        <v>0</v>
      </c>
      <c r="S787" s="125">
        <v>0.749</v>
      </c>
      <c r="T787" s="125">
        <v>9.5139999999999993</v>
      </c>
      <c r="U787" s="125">
        <v>1.083</v>
      </c>
      <c r="V787" s="125">
        <v>0</v>
      </c>
      <c r="W787" s="125">
        <v>0</v>
      </c>
      <c r="X787" s="125">
        <v>0</v>
      </c>
      <c r="Y787" s="125">
        <v>0</v>
      </c>
      <c r="Z787" s="125">
        <v>33.728999999999999</v>
      </c>
      <c r="AA787" s="125">
        <v>27.86</v>
      </c>
      <c r="AB787" s="125">
        <v>32.231999999999999</v>
      </c>
      <c r="AC787" s="125">
        <v>182.6</v>
      </c>
      <c r="AD787" s="125">
        <v>0</v>
      </c>
      <c r="AE787" s="125">
        <v>30.355</v>
      </c>
      <c r="AF787" s="125">
        <v>27.47</v>
      </c>
      <c r="AG787" s="125">
        <v>0</v>
      </c>
      <c r="AH787" s="125">
        <v>0</v>
      </c>
      <c r="AI787" s="121">
        <v>14063767</v>
      </c>
      <c r="AJ787" s="121">
        <v>498</v>
      </c>
      <c r="AK787" s="424">
        <v>12</v>
      </c>
      <c r="AL787">
        <v>0</v>
      </c>
      <c r="AM787" s="121">
        <v>53760</v>
      </c>
      <c r="AN787" s="125">
        <v>0</v>
      </c>
      <c r="AO787" s="125">
        <v>0</v>
      </c>
      <c r="AP787" s="121">
        <v>14064265</v>
      </c>
      <c r="AQ787" s="114">
        <v>0</v>
      </c>
      <c r="AR787" s="121">
        <v>0</v>
      </c>
      <c r="AS787" s="121">
        <v>0</v>
      </c>
      <c r="AT787" s="121">
        <v>0</v>
      </c>
      <c r="AU787" s="420" t="s">
        <v>798</v>
      </c>
      <c r="AV787" s="420" t="s">
        <v>2001</v>
      </c>
      <c r="AW787" s="121">
        <v>0</v>
      </c>
      <c r="AX787" s="121">
        <v>0</v>
      </c>
      <c r="AY787" s="134">
        <v>2166598</v>
      </c>
      <c r="AZ787" s="134">
        <v>2166717</v>
      </c>
      <c r="BA787" s="114">
        <v>881</v>
      </c>
      <c r="BB787" s="134">
        <v>1635508501</v>
      </c>
      <c r="BC787" s="114">
        <v>0</v>
      </c>
      <c r="BD787" s="114">
        <v>0</v>
      </c>
      <c r="BE787" s="114">
        <v>0</v>
      </c>
      <c r="BF787" s="114">
        <v>504</v>
      </c>
      <c r="BG787" s="114">
        <v>0</v>
      </c>
      <c r="BH787" s="114">
        <v>0</v>
      </c>
      <c r="BI787">
        <v>0</v>
      </c>
      <c r="BJ787" s="121">
        <v>92</v>
      </c>
      <c r="BK787" s="134">
        <v>1327722435</v>
      </c>
      <c r="BL787" s="934">
        <v>7079</v>
      </c>
      <c r="BM787" s="934">
        <v>6575</v>
      </c>
      <c r="BN787" s="934">
        <v>6575</v>
      </c>
      <c r="BO787" s="114">
        <v>0</v>
      </c>
      <c r="BP787" s="114">
        <v>0</v>
      </c>
    </row>
    <row r="788" spans="1:68">
      <c r="A788" t="s">
        <v>1477</v>
      </c>
      <c r="B788" t="s">
        <v>483</v>
      </c>
      <c r="C788" s="121">
        <v>4914</v>
      </c>
      <c r="D788" s="72">
        <v>1</v>
      </c>
      <c r="E788">
        <v>141.13999999999999</v>
      </c>
      <c r="F788">
        <v>41</v>
      </c>
      <c r="G788">
        <v>22</v>
      </c>
      <c r="H788">
        <v>5</v>
      </c>
      <c r="I788" s="173">
        <v>1.04</v>
      </c>
      <c r="J788" s="121">
        <v>295499481</v>
      </c>
      <c r="K788" s="125">
        <v>801.95799999999997</v>
      </c>
      <c r="L788" s="173">
        <v>1.5</v>
      </c>
      <c r="M788">
        <v>1.04</v>
      </c>
      <c r="N788">
        <v>1.000000005</v>
      </c>
      <c r="O788">
        <v>3.9999995000000066</v>
      </c>
      <c r="P788">
        <v>452.30399999999997</v>
      </c>
      <c r="Q788" s="125">
        <v>0</v>
      </c>
      <c r="R788" s="125">
        <v>0</v>
      </c>
      <c r="S788" s="125">
        <v>0.59099999999999997</v>
      </c>
      <c r="T788" s="125">
        <v>26.890999999999998</v>
      </c>
      <c r="U788" s="125">
        <v>3.2269999999999999</v>
      </c>
      <c r="V788" s="125">
        <v>0</v>
      </c>
      <c r="W788" s="125">
        <v>1.6339999999999999</v>
      </c>
      <c r="X788" s="125">
        <v>0</v>
      </c>
      <c r="Y788" s="125">
        <v>0</v>
      </c>
      <c r="Z788" s="125">
        <v>0.95599999999999996</v>
      </c>
      <c r="AA788" s="125">
        <v>17.626999999999999</v>
      </c>
      <c r="AB788" s="125">
        <v>17.995999999999999</v>
      </c>
      <c r="AC788" s="125">
        <v>289.7</v>
      </c>
      <c r="AD788" s="125">
        <v>0</v>
      </c>
      <c r="AE788" s="125">
        <v>0</v>
      </c>
      <c r="AF788" s="125">
        <v>22.614999999999998</v>
      </c>
      <c r="AG788" s="125">
        <v>0</v>
      </c>
      <c r="AH788" s="125">
        <v>0</v>
      </c>
      <c r="AI788" s="121">
        <v>3130049</v>
      </c>
      <c r="AJ788" s="121">
        <v>227643</v>
      </c>
      <c r="AK788" s="424">
        <v>12</v>
      </c>
      <c r="AL788">
        <v>0</v>
      </c>
      <c r="AM788" s="121">
        <v>107985</v>
      </c>
      <c r="AN788" s="125">
        <v>0</v>
      </c>
      <c r="AO788" s="125">
        <v>0</v>
      </c>
      <c r="AP788" s="121">
        <v>3357692</v>
      </c>
      <c r="AQ788" s="114">
        <v>0</v>
      </c>
      <c r="AR788" s="121">
        <v>196.96798561</v>
      </c>
      <c r="AS788" s="121">
        <v>38704.827698000001</v>
      </c>
      <c r="AT788" s="121">
        <v>5097.4084516000003</v>
      </c>
      <c r="AU788" s="420" t="s">
        <v>798</v>
      </c>
      <c r="AV788" s="420" t="s">
        <v>2001</v>
      </c>
      <c r="AW788" s="121">
        <v>0</v>
      </c>
      <c r="AX788" s="121">
        <v>214700</v>
      </c>
      <c r="AY788" s="134">
        <v>3619</v>
      </c>
      <c r="AZ788" s="134">
        <v>1464673</v>
      </c>
      <c r="BA788" s="114">
        <v>626</v>
      </c>
      <c r="BB788" s="134">
        <v>62115640</v>
      </c>
      <c r="BC788" s="114">
        <v>0</v>
      </c>
      <c r="BD788" s="114">
        <v>0</v>
      </c>
      <c r="BE788" s="114">
        <v>0</v>
      </c>
      <c r="BF788" s="114">
        <v>525</v>
      </c>
      <c r="BG788" s="114">
        <v>0</v>
      </c>
      <c r="BH788" s="114">
        <v>0</v>
      </c>
      <c r="BI788">
        <v>0</v>
      </c>
      <c r="BJ788" s="121">
        <v>0</v>
      </c>
      <c r="BK788" s="134">
        <v>295499481</v>
      </c>
      <c r="BL788" s="934">
        <v>4914</v>
      </c>
      <c r="BM788" s="934">
        <v>4670</v>
      </c>
      <c r="BN788" s="934">
        <v>4670</v>
      </c>
      <c r="BO788" s="114">
        <v>0</v>
      </c>
      <c r="BP788" s="114">
        <v>0</v>
      </c>
    </row>
    <row r="789" spans="1:68">
      <c r="A789" t="s">
        <v>790</v>
      </c>
      <c r="B789" t="s">
        <v>484</v>
      </c>
      <c r="C789" s="121">
        <v>4765</v>
      </c>
      <c r="D789" s="72">
        <v>2</v>
      </c>
      <c r="E789">
        <v>71.87</v>
      </c>
      <c r="F789">
        <v>25</v>
      </c>
      <c r="G789">
        <v>18</v>
      </c>
      <c r="H789">
        <v>1</v>
      </c>
      <c r="I789" s="173">
        <v>1.04</v>
      </c>
      <c r="J789" s="121">
        <v>86180733</v>
      </c>
      <c r="K789" s="125">
        <v>499.04399999999998</v>
      </c>
      <c r="L789" s="173">
        <v>1.5</v>
      </c>
      <c r="M789">
        <v>1.04</v>
      </c>
      <c r="N789">
        <v>1.000000005</v>
      </c>
      <c r="O789">
        <v>3.9999995000000066</v>
      </c>
      <c r="P789">
        <v>260</v>
      </c>
      <c r="Q789" s="125">
        <v>0</v>
      </c>
      <c r="R789" s="125">
        <v>0</v>
      </c>
      <c r="S789" s="125">
        <v>0.53</v>
      </c>
      <c r="T789" s="125">
        <v>4.4770000000000003</v>
      </c>
      <c r="U789" s="125">
        <v>0.98199999999999998</v>
      </c>
      <c r="V789" s="125">
        <v>0</v>
      </c>
      <c r="W789" s="125">
        <v>2.883</v>
      </c>
      <c r="X789" s="125">
        <v>0</v>
      </c>
      <c r="Y789" s="125">
        <v>0</v>
      </c>
      <c r="Z789" s="125">
        <v>0</v>
      </c>
      <c r="AA789" s="125">
        <v>31.742000000000001</v>
      </c>
      <c r="AB789" s="125">
        <v>9.391</v>
      </c>
      <c r="AC789" s="125">
        <v>235.5</v>
      </c>
      <c r="AD789" s="125">
        <v>0</v>
      </c>
      <c r="AE789" s="125">
        <v>20</v>
      </c>
      <c r="AF789" s="125">
        <v>6</v>
      </c>
      <c r="AG789" s="125">
        <v>0</v>
      </c>
      <c r="AH789" s="125">
        <v>0</v>
      </c>
      <c r="AI789" s="121">
        <v>865230</v>
      </c>
      <c r="AJ789" s="121">
        <v>0</v>
      </c>
      <c r="AK789" s="424">
        <v>12</v>
      </c>
      <c r="AL789">
        <v>0</v>
      </c>
      <c r="AM789" s="121">
        <v>21930</v>
      </c>
      <c r="AN789" s="125">
        <v>0</v>
      </c>
      <c r="AO789" s="125">
        <v>0</v>
      </c>
      <c r="AP789" s="121">
        <v>865230</v>
      </c>
      <c r="AQ789" s="114">
        <v>0</v>
      </c>
      <c r="AR789" s="121">
        <v>57.444586219999998</v>
      </c>
      <c r="AS789" s="121">
        <v>11288.041582</v>
      </c>
      <c r="AT789" s="121">
        <v>1486.6300145</v>
      </c>
      <c r="AU789" s="420" t="s">
        <v>2001</v>
      </c>
      <c r="AV789" s="420" t="s">
        <v>2001</v>
      </c>
      <c r="AW789" s="121">
        <v>0</v>
      </c>
      <c r="AX789" s="121">
        <v>0</v>
      </c>
      <c r="BI789">
        <v>0</v>
      </c>
      <c r="BJ789" s="121">
        <v>0</v>
      </c>
      <c r="BK789" s="134">
        <v>85197359</v>
      </c>
      <c r="BL789" s="934">
        <v>4622</v>
      </c>
      <c r="BM789" s="934">
        <v>4765</v>
      </c>
      <c r="BN789" s="934">
        <v>4765</v>
      </c>
      <c r="BO789" s="114">
        <v>0</v>
      </c>
      <c r="BP789" s="114">
        <v>0</v>
      </c>
    </row>
    <row r="790" spans="1:68">
      <c r="A790" t="s">
        <v>2917</v>
      </c>
      <c r="B790" t="s">
        <v>485</v>
      </c>
      <c r="C790" s="121">
        <v>4554</v>
      </c>
      <c r="D790" s="72">
        <v>2</v>
      </c>
      <c r="E790">
        <v>274.68799999999999</v>
      </c>
      <c r="F790">
        <v>112</v>
      </c>
      <c r="G790">
        <v>62</v>
      </c>
      <c r="H790">
        <v>19</v>
      </c>
      <c r="I790" s="173">
        <v>1.0316000000000001</v>
      </c>
      <c r="J790" s="121">
        <v>221517713</v>
      </c>
      <c r="K790" s="125">
        <v>1665.3989999999999</v>
      </c>
      <c r="L790" s="173">
        <v>1.4750000000000001</v>
      </c>
      <c r="M790">
        <v>1.0316000000000001</v>
      </c>
      <c r="N790">
        <v>0.98333333825000013</v>
      </c>
      <c r="O790">
        <v>4.8266661749999944</v>
      </c>
      <c r="P790">
        <v>984.77700000000004</v>
      </c>
      <c r="Q790" s="125">
        <v>0</v>
      </c>
      <c r="R790" s="125">
        <v>0</v>
      </c>
      <c r="S790" s="125">
        <v>1.91</v>
      </c>
      <c r="T790" s="125">
        <v>38.607999999999997</v>
      </c>
      <c r="U790" s="125">
        <v>14.803000000000001</v>
      </c>
      <c r="V790" s="125">
        <v>0</v>
      </c>
      <c r="W790" s="125">
        <v>4.2030000000000003</v>
      </c>
      <c r="X790" s="125">
        <v>0</v>
      </c>
      <c r="Y790" s="125">
        <v>0</v>
      </c>
      <c r="Z790" s="125">
        <v>4.7329999999999997</v>
      </c>
      <c r="AA790" s="125">
        <v>39.838000000000001</v>
      </c>
      <c r="AB790" s="125">
        <v>52.58</v>
      </c>
      <c r="AC790" s="125">
        <v>872.6</v>
      </c>
      <c r="AD790" s="125">
        <v>0.314</v>
      </c>
      <c r="AE790" s="125">
        <v>114.10299999999999</v>
      </c>
      <c r="AF790" s="125">
        <v>49.238849999999999</v>
      </c>
      <c r="AG790" s="125">
        <v>0</v>
      </c>
      <c r="AH790" s="125">
        <v>0</v>
      </c>
      <c r="AI790" s="121">
        <v>2267340</v>
      </c>
      <c r="AJ790" s="121">
        <v>286837</v>
      </c>
      <c r="AK790" s="424">
        <v>12</v>
      </c>
      <c r="AL790">
        <v>0</v>
      </c>
      <c r="AM790" s="121">
        <v>201499</v>
      </c>
      <c r="AN790" s="125">
        <v>0</v>
      </c>
      <c r="AO790" s="125">
        <v>0</v>
      </c>
      <c r="AP790" s="121">
        <v>2554177</v>
      </c>
      <c r="AQ790" s="114">
        <v>0</v>
      </c>
      <c r="AR790" s="121">
        <v>147.6547352</v>
      </c>
      <c r="AS790" s="121">
        <v>29014.619137999998</v>
      </c>
      <c r="AT790" s="121">
        <v>3821.2123296</v>
      </c>
      <c r="AU790" s="420" t="s">
        <v>2001</v>
      </c>
      <c r="AV790" s="420" t="s">
        <v>2001</v>
      </c>
      <c r="AW790" s="121">
        <v>0</v>
      </c>
      <c r="AX790" s="121">
        <v>494255</v>
      </c>
      <c r="BI790">
        <v>0</v>
      </c>
      <c r="BJ790" s="121">
        <v>0</v>
      </c>
      <c r="BK790" s="134">
        <v>211436959</v>
      </c>
      <c r="BL790" s="934">
        <v>4447</v>
      </c>
      <c r="BM790" s="934">
        <v>4554</v>
      </c>
      <c r="BN790" s="934">
        <v>4528</v>
      </c>
      <c r="BO790" s="114">
        <v>0</v>
      </c>
      <c r="BP790" s="114">
        <v>0</v>
      </c>
    </row>
    <row r="791" spans="1:68">
      <c r="A791" t="s">
        <v>791</v>
      </c>
      <c r="B791" t="s">
        <v>486</v>
      </c>
      <c r="C791" s="121">
        <v>5163</v>
      </c>
      <c r="D791" s="72">
        <v>2</v>
      </c>
      <c r="E791">
        <v>65.915999999999997</v>
      </c>
      <c r="F791">
        <v>19</v>
      </c>
      <c r="G791">
        <v>19</v>
      </c>
      <c r="H791">
        <v>0</v>
      </c>
      <c r="I791" s="173">
        <v>1.04</v>
      </c>
      <c r="J791" s="121">
        <v>104832756</v>
      </c>
      <c r="K791" s="125">
        <v>421.16800000000001</v>
      </c>
      <c r="L791" s="173">
        <v>1.5</v>
      </c>
      <c r="M791">
        <v>1.04</v>
      </c>
      <c r="N791">
        <v>1.000000005</v>
      </c>
      <c r="O791">
        <v>3.9999995000000066</v>
      </c>
      <c r="P791">
        <v>221</v>
      </c>
      <c r="Q791" s="125">
        <v>0</v>
      </c>
      <c r="R791" s="125">
        <v>0</v>
      </c>
      <c r="S791" s="125">
        <v>0.155</v>
      </c>
      <c r="T791" s="125">
        <v>10.944000000000001</v>
      </c>
      <c r="U791" s="125">
        <v>1.506</v>
      </c>
      <c r="V791" s="125">
        <v>0.42099999999999999</v>
      </c>
      <c r="W791" s="125">
        <v>0.48299999999999998</v>
      </c>
      <c r="X791" s="125">
        <v>0</v>
      </c>
      <c r="Y791" s="125">
        <v>0</v>
      </c>
      <c r="Z791" s="125">
        <v>0</v>
      </c>
      <c r="AA791" s="125">
        <v>5.601</v>
      </c>
      <c r="AB791" s="125">
        <v>11.433999999999999</v>
      </c>
      <c r="AC791" s="125">
        <v>218</v>
      </c>
      <c r="AD791" s="125">
        <v>4.7E-2</v>
      </c>
      <c r="AE791" s="125">
        <v>11.154</v>
      </c>
      <c r="AF791" s="125">
        <v>11.010999999999999</v>
      </c>
      <c r="AG791" s="125">
        <v>0</v>
      </c>
      <c r="AH791" s="125">
        <v>0</v>
      </c>
      <c r="AI791" s="121">
        <v>1029989</v>
      </c>
      <c r="AJ791" s="121">
        <v>129537</v>
      </c>
      <c r="AK791" s="424">
        <v>12</v>
      </c>
      <c r="AL791">
        <v>0</v>
      </c>
      <c r="AM791" s="121">
        <v>24105</v>
      </c>
      <c r="AN791" s="125">
        <v>0</v>
      </c>
      <c r="AO791" s="125">
        <v>0</v>
      </c>
      <c r="AP791" s="121">
        <v>1159526</v>
      </c>
      <c r="AQ791" s="114">
        <v>0</v>
      </c>
      <c r="AR791" s="121">
        <v>69.877269115000004</v>
      </c>
      <c r="AS791" s="121">
        <v>13731.102811999999</v>
      </c>
      <c r="AT791" s="121">
        <v>1808.380083</v>
      </c>
      <c r="AU791" s="420" t="s">
        <v>2001</v>
      </c>
      <c r="AV791" s="420" t="s">
        <v>2001</v>
      </c>
      <c r="AW791" s="121">
        <v>0</v>
      </c>
      <c r="AX791" s="121">
        <v>131938</v>
      </c>
      <c r="BI791">
        <v>0</v>
      </c>
      <c r="BJ791" s="121">
        <v>0</v>
      </c>
      <c r="BK791" s="134">
        <v>97238527</v>
      </c>
      <c r="BL791" s="934">
        <v>4455</v>
      </c>
      <c r="BM791" s="934">
        <v>5163</v>
      </c>
      <c r="BN791" s="934">
        <v>4581</v>
      </c>
      <c r="BO791" s="114">
        <v>0</v>
      </c>
      <c r="BP791" s="114">
        <v>0</v>
      </c>
    </row>
    <row r="792" spans="1:68">
      <c r="A792" t="s">
        <v>1992</v>
      </c>
      <c r="B792" t="s">
        <v>2545</v>
      </c>
      <c r="C792" s="121">
        <v>4700</v>
      </c>
      <c r="D792" s="72">
        <v>3</v>
      </c>
      <c r="E792">
        <v>1077.6189999999999</v>
      </c>
      <c r="F792">
        <v>285</v>
      </c>
      <c r="G792">
        <v>235</v>
      </c>
      <c r="H792">
        <v>71</v>
      </c>
      <c r="I792" s="173">
        <v>1.04</v>
      </c>
      <c r="J792" s="121">
        <v>961817012</v>
      </c>
      <c r="K792" s="125">
        <v>5291.36</v>
      </c>
      <c r="L792" s="173">
        <v>1.4824999999999999</v>
      </c>
      <c r="M792">
        <v>1.04</v>
      </c>
      <c r="N792">
        <v>0.98833333827500003</v>
      </c>
      <c r="O792">
        <v>5.1666661725000012</v>
      </c>
      <c r="P792">
        <v>3816</v>
      </c>
      <c r="Q792" s="125">
        <v>0.75</v>
      </c>
      <c r="R792" s="125">
        <v>0.3</v>
      </c>
      <c r="S792" s="125">
        <v>6.0049999999999999</v>
      </c>
      <c r="T792" s="125">
        <v>120</v>
      </c>
      <c r="U792" s="125">
        <v>48.465000000000003</v>
      </c>
      <c r="V792" s="125">
        <v>0</v>
      </c>
      <c r="W792" s="125">
        <v>22.635999999999999</v>
      </c>
      <c r="X792" s="125">
        <v>0</v>
      </c>
      <c r="Y792" s="125">
        <v>1.5980000000000001</v>
      </c>
      <c r="Z792" s="125">
        <v>1.2</v>
      </c>
      <c r="AA792" s="125">
        <v>135</v>
      </c>
      <c r="AB792" s="125">
        <v>170</v>
      </c>
      <c r="AC792" s="125">
        <v>2545.1999999999998</v>
      </c>
      <c r="AD792" s="125">
        <v>0</v>
      </c>
      <c r="AE792" s="125">
        <v>201.77799999999999</v>
      </c>
      <c r="AF792" s="125">
        <v>141</v>
      </c>
      <c r="AG792" s="125">
        <v>0</v>
      </c>
      <c r="AH792" s="125">
        <v>0</v>
      </c>
      <c r="AI792" s="121">
        <v>10292981</v>
      </c>
      <c r="AJ792" s="121">
        <v>604464</v>
      </c>
      <c r="AK792" s="424">
        <v>12</v>
      </c>
      <c r="AL792">
        <v>0</v>
      </c>
      <c r="AM792" s="121">
        <v>594508</v>
      </c>
      <c r="AN792" s="125">
        <v>0.17100000000000001</v>
      </c>
      <c r="AO792" s="125">
        <v>0</v>
      </c>
      <c r="AP792" s="121">
        <v>10897445</v>
      </c>
      <c r="AQ792" s="114">
        <v>0</v>
      </c>
      <c r="AR792" s="121">
        <v>641.10826434000001</v>
      </c>
      <c r="AS792" s="121">
        <v>125979.78717</v>
      </c>
      <c r="AT792" s="121">
        <v>16591.481478000002</v>
      </c>
      <c r="AU792" s="420" t="s">
        <v>2001</v>
      </c>
      <c r="AV792" s="420" t="s">
        <v>2001</v>
      </c>
      <c r="AW792" s="121">
        <v>0</v>
      </c>
      <c r="AX792" s="121">
        <v>944713</v>
      </c>
      <c r="BI792">
        <v>0</v>
      </c>
      <c r="BJ792" s="121">
        <v>0</v>
      </c>
      <c r="BK792" s="134">
        <v>961817012</v>
      </c>
      <c r="BL792" s="934">
        <v>4667</v>
      </c>
      <c r="BM792" s="934">
        <v>4671</v>
      </c>
      <c r="BN792" s="934">
        <v>4700</v>
      </c>
      <c r="BO792" s="114">
        <v>0</v>
      </c>
      <c r="BP792" s="114">
        <v>0</v>
      </c>
    </row>
    <row r="793" spans="1:68">
      <c r="A793" t="s">
        <v>1380</v>
      </c>
      <c r="B793" t="s">
        <v>487</v>
      </c>
      <c r="C793" s="121">
        <v>4708</v>
      </c>
      <c r="D793" s="72">
        <v>3</v>
      </c>
      <c r="E793">
        <v>220.08699999999999</v>
      </c>
      <c r="F793">
        <v>73</v>
      </c>
      <c r="G793">
        <v>68</v>
      </c>
      <c r="H793">
        <v>2</v>
      </c>
      <c r="I793" s="173">
        <v>1.04</v>
      </c>
      <c r="J793" s="121">
        <v>275009484</v>
      </c>
      <c r="K793" s="125">
        <v>1458.0440000000001</v>
      </c>
      <c r="L793" s="173">
        <v>1.4833000000000001</v>
      </c>
      <c r="M793">
        <v>1.04</v>
      </c>
      <c r="N793">
        <v>0.98886667161100006</v>
      </c>
      <c r="O793">
        <v>5.1133328388999981</v>
      </c>
      <c r="P793">
        <v>874.57899999999995</v>
      </c>
      <c r="Q793" s="125">
        <v>0</v>
      </c>
      <c r="R793" s="125">
        <v>0</v>
      </c>
      <c r="S793" s="125">
        <v>2.2799999999999998</v>
      </c>
      <c r="T793" s="125">
        <v>38.463999999999999</v>
      </c>
      <c r="U793" s="125">
        <v>4.82</v>
      </c>
      <c r="V793" s="125">
        <v>0</v>
      </c>
      <c r="W793" s="125">
        <v>7.8049999999999997</v>
      </c>
      <c r="X793" s="125">
        <v>0</v>
      </c>
      <c r="Y793" s="125">
        <v>0</v>
      </c>
      <c r="Z793" s="125">
        <v>0</v>
      </c>
      <c r="AA793" s="125">
        <v>58.095999999999997</v>
      </c>
      <c r="AB793" s="125">
        <v>31.58</v>
      </c>
      <c r="AC793" s="125">
        <v>650.79999999999995</v>
      </c>
      <c r="AD793" s="125">
        <v>0.189</v>
      </c>
      <c r="AE793" s="125">
        <v>1.357</v>
      </c>
      <c r="AF793" s="125">
        <v>43.728949999999998</v>
      </c>
      <c r="AG793" s="125">
        <v>0</v>
      </c>
      <c r="AH793" s="125">
        <v>0</v>
      </c>
      <c r="AI793" s="121">
        <v>2864344</v>
      </c>
      <c r="AJ793" s="121">
        <v>471490</v>
      </c>
      <c r="AK793" s="424">
        <v>8</v>
      </c>
      <c r="AL793">
        <v>0</v>
      </c>
      <c r="AM793" s="121">
        <v>101531</v>
      </c>
      <c r="AN793" s="125">
        <v>0</v>
      </c>
      <c r="AO793" s="125">
        <v>0</v>
      </c>
      <c r="AP793" s="121">
        <v>3335834</v>
      </c>
      <c r="AQ793" s="114">
        <v>0</v>
      </c>
      <c r="AR793" s="121">
        <v>183.31018349999999</v>
      </c>
      <c r="AS793" s="121">
        <v>36021.026695</v>
      </c>
      <c r="AT793" s="121">
        <v>4743.9530629999999</v>
      </c>
      <c r="AU793" s="420" t="s">
        <v>2001</v>
      </c>
      <c r="AV793" s="420" t="s">
        <v>2001</v>
      </c>
      <c r="AW793" s="121">
        <v>0</v>
      </c>
      <c r="AX793" s="121">
        <v>482650</v>
      </c>
      <c r="BI793">
        <v>0</v>
      </c>
      <c r="BJ793" s="121">
        <v>0</v>
      </c>
      <c r="BK793" s="134">
        <v>275009484</v>
      </c>
      <c r="BL793" s="934">
        <v>4394</v>
      </c>
      <c r="BM793" s="934">
        <v>4677</v>
      </c>
      <c r="BN793" s="934">
        <v>4708</v>
      </c>
      <c r="BO793" s="114">
        <v>0</v>
      </c>
      <c r="BP793" s="114">
        <v>0</v>
      </c>
    </row>
    <row r="794" spans="1:68">
      <c r="A794" t="s">
        <v>1839</v>
      </c>
      <c r="B794" t="s">
        <v>1204</v>
      </c>
      <c r="C794" s="121">
        <v>4624</v>
      </c>
      <c r="D794" s="72">
        <v>2</v>
      </c>
      <c r="E794">
        <v>7255.5169999999998</v>
      </c>
      <c r="F794">
        <v>2254</v>
      </c>
      <c r="G794">
        <v>1573</v>
      </c>
      <c r="H794">
        <v>81</v>
      </c>
      <c r="I794" s="173">
        <v>1.04</v>
      </c>
      <c r="J794" s="121">
        <v>6663189259</v>
      </c>
      <c r="K794" s="125">
        <v>37107.834000000003</v>
      </c>
      <c r="L794" s="173">
        <v>1.5</v>
      </c>
      <c r="M794">
        <v>1.04</v>
      </c>
      <c r="N794">
        <v>1.000000005</v>
      </c>
      <c r="O794">
        <v>3.9999995000000066</v>
      </c>
      <c r="P794">
        <v>27713</v>
      </c>
      <c r="Q794" s="125">
        <v>4.2460000000000004</v>
      </c>
      <c r="R794" s="125">
        <v>0</v>
      </c>
      <c r="S794" s="125">
        <v>48.304000000000002</v>
      </c>
      <c r="T794" s="125">
        <v>666.78</v>
      </c>
      <c r="U794" s="125">
        <v>309.94299999999998</v>
      </c>
      <c r="V794" s="125">
        <v>1.2490000000000001</v>
      </c>
      <c r="W794" s="125">
        <v>56.542999999999999</v>
      </c>
      <c r="X794" s="125">
        <v>0</v>
      </c>
      <c r="Y794" s="125">
        <v>0</v>
      </c>
      <c r="Z794" s="125">
        <v>0</v>
      </c>
      <c r="AA794" s="125">
        <v>1027</v>
      </c>
      <c r="AB794" s="125">
        <v>1213</v>
      </c>
      <c r="AC794" s="125">
        <v>18780</v>
      </c>
      <c r="AD794" s="125">
        <v>15.8</v>
      </c>
      <c r="AE794" s="125">
        <v>2493</v>
      </c>
      <c r="AF794" s="125">
        <v>1385.65</v>
      </c>
      <c r="AG794" s="125">
        <v>0</v>
      </c>
      <c r="AH794" s="125">
        <v>0</v>
      </c>
      <c r="AI794" s="121">
        <v>72034406</v>
      </c>
      <c r="AJ794" s="121">
        <v>8922220</v>
      </c>
      <c r="AK794" s="424">
        <v>12</v>
      </c>
      <c r="AL794">
        <v>0</v>
      </c>
      <c r="AM794" s="121">
        <v>899921</v>
      </c>
      <c r="AN794" s="125">
        <v>2.36</v>
      </c>
      <c r="AO794" s="125">
        <v>0</v>
      </c>
      <c r="AP794" s="121">
        <v>80956626</v>
      </c>
      <c r="AQ794" s="114">
        <v>0</v>
      </c>
      <c r="AR794" s="121">
        <v>4441.4120851999996</v>
      </c>
      <c r="AS794" s="121">
        <v>872751.42180999997</v>
      </c>
      <c r="AT794" s="121">
        <v>114940.97089</v>
      </c>
      <c r="AU794" s="420" t="s">
        <v>2001</v>
      </c>
      <c r="AV794" s="420" t="s">
        <v>2001</v>
      </c>
      <c r="AW794" s="121">
        <v>0</v>
      </c>
      <c r="AX794" s="121">
        <v>8797623</v>
      </c>
      <c r="BI794">
        <v>0</v>
      </c>
      <c r="BJ794" s="121">
        <v>0</v>
      </c>
      <c r="BK794" s="134">
        <v>6663189259</v>
      </c>
      <c r="BL794" s="934">
        <v>4584</v>
      </c>
      <c r="BM794" s="934">
        <v>4624</v>
      </c>
      <c r="BN794" s="934">
        <v>4624</v>
      </c>
      <c r="BO794" s="114">
        <v>0</v>
      </c>
      <c r="BP794" s="114">
        <v>0</v>
      </c>
    </row>
    <row r="795" spans="1:68">
      <c r="A795" t="s">
        <v>227</v>
      </c>
      <c r="B795" t="s">
        <v>3095</v>
      </c>
      <c r="C795" s="121">
        <v>4632</v>
      </c>
      <c r="D795" s="72">
        <v>2</v>
      </c>
      <c r="E795">
        <v>374.89699999999999</v>
      </c>
      <c r="F795">
        <v>101</v>
      </c>
      <c r="G795">
        <v>76</v>
      </c>
      <c r="H795">
        <v>18</v>
      </c>
      <c r="I795" s="173">
        <v>1.04</v>
      </c>
      <c r="J795" s="121">
        <v>216977597</v>
      </c>
      <c r="K795" s="125">
        <v>1879.3589999999999</v>
      </c>
      <c r="L795" s="173">
        <v>1.5</v>
      </c>
      <c r="M795">
        <v>1.04</v>
      </c>
      <c r="N795">
        <v>1.000000005</v>
      </c>
      <c r="O795">
        <v>3.9999995000000066</v>
      </c>
      <c r="P795">
        <v>1350</v>
      </c>
      <c r="Q795" s="125">
        <v>0.19</v>
      </c>
      <c r="R795" s="125">
        <v>0</v>
      </c>
      <c r="S795" s="125">
        <v>1.9330000000000001</v>
      </c>
      <c r="T795" s="125">
        <v>52.829000000000001</v>
      </c>
      <c r="U795" s="125">
        <v>4.992</v>
      </c>
      <c r="V795" s="125">
        <v>0</v>
      </c>
      <c r="W795" s="125">
        <v>2.8090000000000002</v>
      </c>
      <c r="X795" s="125">
        <v>0</v>
      </c>
      <c r="Y795" s="125">
        <v>0</v>
      </c>
      <c r="Z795" s="125">
        <v>4.5270000000000001</v>
      </c>
      <c r="AA795" s="125">
        <v>4.1950000000000003</v>
      </c>
      <c r="AB795" s="125">
        <v>62.415999999999997</v>
      </c>
      <c r="AC795" s="125">
        <v>790.8</v>
      </c>
      <c r="AD795" s="125">
        <v>0.88200000000000001</v>
      </c>
      <c r="AE795" s="125">
        <v>13.212999999999999</v>
      </c>
      <c r="AF795" s="125">
        <v>60.762999999999998</v>
      </c>
      <c r="AG795" s="125">
        <v>0</v>
      </c>
      <c r="AH795" s="125">
        <v>0</v>
      </c>
      <c r="AI795" s="121">
        <v>2345701</v>
      </c>
      <c r="AJ795" s="121">
        <v>574565</v>
      </c>
      <c r="AK795" s="424">
        <v>12</v>
      </c>
      <c r="AL795">
        <v>0</v>
      </c>
      <c r="AM795" s="121">
        <v>102187</v>
      </c>
      <c r="AN795" s="125">
        <v>0</v>
      </c>
      <c r="AO795" s="125">
        <v>0</v>
      </c>
      <c r="AP795" s="121">
        <v>2920266</v>
      </c>
      <c r="AQ795" s="114">
        <v>0</v>
      </c>
      <c r="AR795" s="121">
        <v>144.62847805999999</v>
      </c>
      <c r="AS795" s="121">
        <v>28419.950105</v>
      </c>
      <c r="AT795" s="121">
        <v>3742.8946847000002</v>
      </c>
      <c r="AU795" s="420" t="s">
        <v>2001</v>
      </c>
      <c r="AV795" s="420" t="s">
        <v>2001</v>
      </c>
      <c r="AW795" s="121">
        <v>0</v>
      </c>
      <c r="AX795" s="121">
        <v>1399590</v>
      </c>
      <c r="BI795">
        <v>0</v>
      </c>
      <c r="BJ795" s="121">
        <v>0</v>
      </c>
      <c r="BK795" s="134">
        <v>216977597</v>
      </c>
      <c r="BL795" s="934">
        <v>4582</v>
      </c>
      <c r="BM795" s="934">
        <v>4632</v>
      </c>
      <c r="BN795" s="934">
        <v>4632</v>
      </c>
      <c r="BO795" s="114">
        <v>0</v>
      </c>
      <c r="BP795" s="114">
        <v>0</v>
      </c>
    </row>
    <row r="796" spans="1:68">
      <c r="A796" t="s">
        <v>625</v>
      </c>
      <c r="B796" t="s">
        <v>151</v>
      </c>
      <c r="C796" s="121">
        <v>5523</v>
      </c>
      <c r="D796" s="72">
        <v>2</v>
      </c>
      <c r="E796">
        <v>196.77699999999999</v>
      </c>
      <c r="F796">
        <v>79</v>
      </c>
      <c r="G796">
        <v>56</v>
      </c>
      <c r="H796">
        <v>1</v>
      </c>
      <c r="I796" s="173">
        <v>1.04</v>
      </c>
      <c r="J796" s="121">
        <v>826952994</v>
      </c>
      <c r="K796" s="125">
        <v>1309.876</v>
      </c>
      <c r="L796" s="173">
        <v>1.45</v>
      </c>
      <c r="M796">
        <v>1.04</v>
      </c>
      <c r="N796">
        <v>0.96666667149999996</v>
      </c>
      <c r="O796">
        <v>7.3333328500000068</v>
      </c>
      <c r="P796">
        <v>830.43</v>
      </c>
      <c r="Q796" s="125">
        <v>0</v>
      </c>
      <c r="R796" s="125">
        <v>0</v>
      </c>
      <c r="S796" s="125">
        <v>1.2</v>
      </c>
      <c r="T796" s="125">
        <v>22.3</v>
      </c>
      <c r="U796" s="125">
        <v>2.1</v>
      </c>
      <c r="V796" s="125">
        <v>0</v>
      </c>
      <c r="W796" s="125">
        <v>2.5</v>
      </c>
      <c r="X796" s="125">
        <v>0</v>
      </c>
      <c r="Y796" s="125">
        <v>0</v>
      </c>
      <c r="Z796" s="125">
        <v>0.7</v>
      </c>
      <c r="AA796" s="125">
        <v>22.2</v>
      </c>
      <c r="AB796" s="125">
        <v>65.2</v>
      </c>
      <c r="AC796" s="125">
        <v>565</v>
      </c>
      <c r="AD796" s="125">
        <v>0.23499999999999999</v>
      </c>
      <c r="AE796" s="125">
        <v>34.700000000000003</v>
      </c>
      <c r="AF796" s="125">
        <v>41.521500000000003</v>
      </c>
      <c r="AG796" s="125">
        <v>0</v>
      </c>
      <c r="AH796" s="125">
        <v>0</v>
      </c>
      <c r="AI796" s="121">
        <v>8669114</v>
      </c>
      <c r="AJ796" s="121">
        <v>1404168</v>
      </c>
      <c r="AK796" s="424">
        <v>12</v>
      </c>
      <c r="AL796">
        <v>0</v>
      </c>
      <c r="AM796" s="121">
        <v>94018</v>
      </c>
      <c r="AN796" s="125">
        <v>0</v>
      </c>
      <c r="AO796" s="125">
        <v>0</v>
      </c>
      <c r="AP796" s="121">
        <v>10073282</v>
      </c>
      <c r="AQ796" s="114">
        <v>0</v>
      </c>
      <c r="AR796" s="121">
        <v>0</v>
      </c>
      <c r="AS796" s="121">
        <v>0</v>
      </c>
      <c r="AT796" s="121">
        <v>0</v>
      </c>
      <c r="AU796" s="420" t="s">
        <v>798</v>
      </c>
      <c r="AV796" s="420" t="s">
        <v>2001</v>
      </c>
      <c r="AW796" s="121">
        <v>0</v>
      </c>
      <c r="AX796" s="121">
        <v>1265349</v>
      </c>
      <c r="AY796" s="134">
        <v>1451112</v>
      </c>
      <c r="AZ796" s="134">
        <v>2217113</v>
      </c>
      <c r="BA796" s="114">
        <v>887</v>
      </c>
      <c r="BB796" s="134">
        <v>679735276</v>
      </c>
      <c r="BC796" s="114">
        <v>0</v>
      </c>
      <c r="BD796" s="114">
        <v>0</v>
      </c>
      <c r="BE796" s="114">
        <v>0</v>
      </c>
      <c r="BF796" s="114">
        <v>909</v>
      </c>
      <c r="BG796" s="114">
        <v>0</v>
      </c>
      <c r="BH796" s="114">
        <v>0</v>
      </c>
      <c r="BI796">
        <v>0</v>
      </c>
      <c r="BJ796" s="121">
        <v>219</v>
      </c>
      <c r="BK796" s="134">
        <v>826952994</v>
      </c>
      <c r="BL796" s="934">
        <v>4649</v>
      </c>
      <c r="BM796" s="934">
        <v>5523</v>
      </c>
      <c r="BN796" s="934">
        <v>5462</v>
      </c>
      <c r="BO796" s="114">
        <v>0</v>
      </c>
      <c r="BP796" s="114">
        <v>0</v>
      </c>
    </row>
    <row r="797" spans="1:68">
      <c r="A797" t="s">
        <v>2496</v>
      </c>
      <c r="B797" t="s">
        <v>488</v>
      </c>
      <c r="C797" s="121">
        <v>5820</v>
      </c>
      <c r="D797" s="72">
        <v>1</v>
      </c>
      <c r="E797">
        <v>316.76400000000001</v>
      </c>
      <c r="F797">
        <v>109</v>
      </c>
      <c r="G797">
        <v>54</v>
      </c>
      <c r="H797">
        <v>10</v>
      </c>
      <c r="I797" s="173">
        <v>1.04</v>
      </c>
      <c r="J797" s="121">
        <v>787711889</v>
      </c>
      <c r="K797" s="125">
        <v>1630.17</v>
      </c>
      <c r="L797" s="173">
        <v>1.4717</v>
      </c>
      <c r="M797">
        <v>1.04</v>
      </c>
      <c r="N797">
        <v>0.98113333823900006</v>
      </c>
      <c r="O797">
        <v>5.8866661760999968</v>
      </c>
      <c r="P797">
        <v>1203.627</v>
      </c>
      <c r="Q797" s="125">
        <v>6.7000000000000004E-2</v>
      </c>
      <c r="R797" s="125">
        <v>0</v>
      </c>
      <c r="S797" s="125">
        <v>1.7010000000000001</v>
      </c>
      <c r="T797" s="125">
        <v>39.652000000000001</v>
      </c>
      <c r="U797" s="125">
        <v>3.63</v>
      </c>
      <c r="V797" s="125">
        <v>0</v>
      </c>
      <c r="W797" s="125">
        <v>0</v>
      </c>
      <c r="X797" s="125">
        <v>0</v>
      </c>
      <c r="Y797" s="125">
        <v>0</v>
      </c>
      <c r="Z797" s="125">
        <v>0</v>
      </c>
      <c r="AA797" s="125">
        <v>12.476000000000001</v>
      </c>
      <c r="AB797" s="125">
        <v>14.084</v>
      </c>
      <c r="AC797" s="125">
        <v>182</v>
      </c>
      <c r="AD797" s="125">
        <v>8.0000000000000002E-3</v>
      </c>
      <c r="AE797" s="125">
        <v>1.1200000000000001</v>
      </c>
      <c r="AF797" s="125">
        <v>60.180999999999997</v>
      </c>
      <c r="AG797" s="125">
        <v>0</v>
      </c>
      <c r="AH797" s="125">
        <v>0</v>
      </c>
      <c r="AI797" s="121">
        <v>8271000</v>
      </c>
      <c r="AJ797" s="121">
        <v>1006700</v>
      </c>
      <c r="AK797" s="424">
        <v>12</v>
      </c>
      <c r="AL797">
        <v>0</v>
      </c>
      <c r="AM797" s="121">
        <v>117695</v>
      </c>
      <c r="AN797" s="125">
        <v>0</v>
      </c>
      <c r="AO797" s="125">
        <v>0</v>
      </c>
      <c r="AP797" s="121">
        <v>9277700</v>
      </c>
      <c r="AQ797" s="114">
        <v>0</v>
      </c>
      <c r="AR797" s="121">
        <v>0</v>
      </c>
      <c r="AS797" s="121">
        <v>0</v>
      </c>
      <c r="AT797" s="121">
        <v>0</v>
      </c>
      <c r="AU797" s="420" t="s">
        <v>798</v>
      </c>
      <c r="AV797" s="420" t="s">
        <v>2001</v>
      </c>
      <c r="AW797" s="121">
        <v>0</v>
      </c>
      <c r="AX797" s="121">
        <v>1191230</v>
      </c>
      <c r="AY797" s="134">
        <v>698773</v>
      </c>
      <c r="AZ797" s="134">
        <v>1331285</v>
      </c>
      <c r="BA797" s="114">
        <v>732</v>
      </c>
      <c r="BB797" s="134">
        <v>320295290</v>
      </c>
      <c r="BC797" s="114">
        <v>0</v>
      </c>
      <c r="BD797" s="114">
        <v>0</v>
      </c>
      <c r="BE797" s="114">
        <v>0</v>
      </c>
      <c r="BF797" s="134">
        <v>1125</v>
      </c>
      <c r="BG797" s="114">
        <v>0</v>
      </c>
      <c r="BH797" s="114">
        <v>0</v>
      </c>
      <c r="BI797">
        <v>0</v>
      </c>
      <c r="BJ797" s="121">
        <v>0</v>
      </c>
      <c r="BK797" s="134">
        <v>749918398</v>
      </c>
      <c r="BL797" s="934">
        <v>5820</v>
      </c>
      <c r="BM797" s="934">
        <v>5641</v>
      </c>
      <c r="BN797" s="934">
        <v>5739</v>
      </c>
      <c r="BO797" s="114">
        <v>0</v>
      </c>
      <c r="BP797" s="114">
        <v>0</v>
      </c>
    </row>
    <row r="798" spans="1:68">
      <c r="A798" t="s">
        <v>1657</v>
      </c>
      <c r="B798" t="s">
        <v>323</v>
      </c>
      <c r="C798" s="121">
        <v>5031</v>
      </c>
      <c r="D798" s="72">
        <v>2</v>
      </c>
      <c r="E798">
        <v>110.279</v>
      </c>
      <c r="F798">
        <v>43</v>
      </c>
      <c r="G798">
        <v>29</v>
      </c>
      <c r="H798">
        <v>3</v>
      </c>
      <c r="I798" s="173">
        <v>1.04</v>
      </c>
      <c r="J798" s="121">
        <v>121375955</v>
      </c>
      <c r="K798" s="125">
        <v>759.53599999999994</v>
      </c>
      <c r="L798" s="173">
        <v>1.5</v>
      </c>
      <c r="M798">
        <v>1.04</v>
      </c>
      <c r="N798">
        <v>1.000000005</v>
      </c>
      <c r="O798">
        <v>3.9999995000000066</v>
      </c>
      <c r="P798">
        <v>375.50599999999997</v>
      </c>
      <c r="Q798" s="125">
        <v>2.9000000000000001E-2</v>
      </c>
      <c r="R798" s="125">
        <v>0</v>
      </c>
      <c r="S798" s="125">
        <v>0.54200000000000004</v>
      </c>
      <c r="T798" s="125">
        <v>13.993</v>
      </c>
      <c r="U798" s="125">
        <v>2.1339999999999999</v>
      </c>
      <c r="V798" s="125">
        <v>0</v>
      </c>
      <c r="W798" s="125">
        <v>0</v>
      </c>
      <c r="X798" s="125">
        <v>0</v>
      </c>
      <c r="Y798" s="125">
        <v>0</v>
      </c>
      <c r="Z798" s="125">
        <v>0</v>
      </c>
      <c r="AA798" s="125">
        <v>1.9870000000000001</v>
      </c>
      <c r="AB798" s="125">
        <v>6.1520000000000001</v>
      </c>
      <c r="AC798" s="125">
        <v>371.3</v>
      </c>
      <c r="AD798" s="125">
        <v>0.57599999999999996</v>
      </c>
      <c r="AE798" s="125">
        <v>38.792999999999999</v>
      </c>
      <c r="AF798" s="125">
        <v>18.774999999999999</v>
      </c>
      <c r="AG798" s="125">
        <v>0</v>
      </c>
      <c r="AH798" s="125">
        <v>0</v>
      </c>
      <c r="AI798" s="121">
        <v>1272408</v>
      </c>
      <c r="AJ798" s="121">
        <v>95841</v>
      </c>
      <c r="AK798" s="424">
        <v>12</v>
      </c>
      <c r="AL798">
        <v>0</v>
      </c>
      <c r="AM798" s="121">
        <v>20425</v>
      </c>
      <c r="AN798" s="125">
        <v>0</v>
      </c>
      <c r="AO798" s="125">
        <v>0</v>
      </c>
      <c r="AP798" s="121">
        <v>1368249</v>
      </c>
      <c r="AQ798" s="114">
        <v>0</v>
      </c>
      <c r="AR798" s="121">
        <v>80.904295590999993</v>
      </c>
      <c r="AS798" s="121">
        <v>15897.948141999999</v>
      </c>
      <c r="AT798" s="121">
        <v>2093.7526413000001</v>
      </c>
      <c r="AU798" s="420" t="s">
        <v>2001</v>
      </c>
      <c r="AV798" s="420" t="s">
        <v>2001</v>
      </c>
      <c r="AW798" s="121">
        <v>0</v>
      </c>
      <c r="AX798" s="121">
        <v>484574</v>
      </c>
      <c r="BI798">
        <v>0</v>
      </c>
      <c r="BJ798" s="121">
        <v>0</v>
      </c>
      <c r="BK798" s="134">
        <v>121375955</v>
      </c>
      <c r="BL798" s="934">
        <v>4579</v>
      </c>
      <c r="BM798" s="934">
        <v>5031</v>
      </c>
      <c r="BN798" s="934">
        <v>4712</v>
      </c>
      <c r="BO798" s="114">
        <v>0</v>
      </c>
      <c r="BP798" s="114">
        <v>0</v>
      </c>
    </row>
    <row r="799" spans="1:68">
      <c r="A799" t="s">
        <v>245</v>
      </c>
      <c r="B799" t="s">
        <v>2413</v>
      </c>
      <c r="C799" s="121">
        <v>5956</v>
      </c>
      <c r="D799" s="72">
        <v>2</v>
      </c>
      <c r="E799">
        <v>375.392</v>
      </c>
      <c r="F799">
        <v>111</v>
      </c>
      <c r="G799">
        <v>115</v>
      </c>
      <c r="H799">
        <v>6</v>
      </c>
      <c r="I799" s="173">
        <v>1.17</v>
      </c>
      <c r="J799" s="121">
        <v>83580783</v>
      </c>
      <c r="K799" s="125">
        <v>2463.7170000000001</v>
      </c>
      <c r="L799" s="173">
        <v>1.5</v>
      </c>
      <c r="M799">
        <v>1.17</v>
      </c>
      <c r="N799">
        <v>1.000000005</v>
      </c>
      <c r="O799">
        <v>16.999999499999994</v>
      </c>
      <c r="P799">
        <v>1634.127</v>
      </c>
      <c r="Q799" s="125">
        <v>0</v>
      </c>
      <c r="R799" s="125">
        <v>0</v>
      </c>
      <c r="S799" s="125">
        <v>0.97499999999999998</v>
      </c>
      <c r="T799" s="125">
        <v>28.087</v>
      </c>
      <c r="U799" s="125">
        <v>7.9139999999999997</v>
      </c>
      <c r="V799" s="125">
        <v>0</v>
      </c>
      <c r="W799" s="125">
        <v>0</v>
      </c>
      <c r="X799" s="125">
        <v>0</v>
      </c>
      <c r="Y799" s="125">
        <v>0</v>
      </c>
      <c r="Z799" s="125">
        <v>0</v>
      </c>
      <c r="AA799" s="125">
        <v>26.338999999999999</v>
      </c>
      <c r="AB799" s="125">
        <v>27.091000000000001</v>
      </c>
      <c r="AC799" s="125">
        <v>1710</v>
      </c>
      <c r="AD799" s="125">
        <v>0.72199999999999998</v>
      </c>
      <c r="AE799" s="125">
        <v>897.78499999999997</v>
      </c>
      <c r="AF799" s="125">
        <v>81.706000000000003</v>
      </c>
      <c r="AG799" s="125">
        <v>0</v>
      </c>
      <c r="AH799" s="125">
        <v>0</v>
      </c>
      <c r="AI799" s="121">
        <v>899218</v>
      </c>
      <c r="AJ799" s="121">
        <v>147011</v>
      </c>
      <c r="AK799" s="424">
        <v>12</v>
      </c>
      <c r="AL799">
        <v>0</v>
      </c>
      <c r="AM799" s="121">
        <v>57158</v>
      </c>
      <c r="AN799" s="125">
        <v>0</v>
      </c>
      <c r="AO799" s="125">
        <v>0</v>
      </c>
      <c r="AP799" s="121">
        <v>1046229</v>
      </c>
      <c r="AQ799" s="114">
        <v>0</v>
      </c>
      <c r="AR799" s="121">
        <v>55.711564656</v>
      </c>
      <c r="AS799" s="121">
        <v>10947.497402000001</v>
      </c>
      <c r="AT799" s="121">
        <v>1441.7804988</v>
      </c>
      <c r="AU799" s="420" t="s">
        <v>2001</v>
      </c>
      <c r="AV799" s="420" t="s">
        <v>2001</v>
      </c>
      <c r="AW799" s="121">
        <v>0</v>
      </c>
      <c r="AX799" s="121">
        <v>834956</v>
      </c>
      <c r="BI799">
        <v>0</v>
      </c>
      <c r="BJ799" s="121">
        <v>0</v>
      </c>
      <c r="BK799" s="134">
        <v>81329359</v>
      </c>
      <c r="BL799" s="934">
        <v>5683</v>
      </c>
      <c r="BM799" s="934">
        <v>5956</v>
      </c>
      <c r="BN799" s="934">
        <v>5864</v>
      </c>
      <c r="BO799" s="114">
        <v>0</v>
      </c>
      <c r="BP799" s="114">
        <v>0</v>
      </c>
    </row>
    <row r="800" spans="1:68">
      <c r="A800" t="s">
        <v>1464</v>
      </c>
      <c r="B800" t="s">
        <v>489</v>
      </c>
      <c r="C800" s="121">
        <v>4879</v>
      </c>
      <c r="D800" s="72">
        <v>3</v>
      </c>
      <c r="E800">
        <v>446.56299999999999</v>
      </c>
      <c r="F800">
        <v>140</v>
      </c>
      <c r="G800">
        <v>129</v>
      </c>
      <c r="H800">
        <v>5</v>
      </c>
      <c r="I800" s="173">
        <v>1.04</v>
      </c>
      <c r="J800" s="121">
        <v>449854183</v>
      </c>
      <c r="K800" s="125">
        <v>2189.0839999999998</v>
      </c>
      <c r="L800" s="173">
        <v>1.43</v>
      </c>
      <c r="M800">
        <v>1.04</v>
      </c>
      <c r="N800">
        <v>0.95333333809999998</v>
      </c>
      <c r="O800">
        <v>8.6666661900000044</v>
      </c>
      <c r="P800">
        <v>1560</v>
      </c>
      <c r="Q800" s="125">
        <v>0</v>
      </c>
      <c r="R800" s="125">
        <v>0</v>
      </c>
      <c r="S800" s="125">
        <v>1.5</v>
      </c>
      <c r="T800" s="125">
        <v>82</v>
      </c>
      <c r="U800" s="125">
        <v>8</v>
      </c>
      <c r="V800" s="125">
        <v>0</v>
      </c>
      <c r="W800" s="125">
        <v>0</v>
      </c>
      <c r="X800" s="125">
        <v>0</v>
      </c>
      <c r="Y800" s="125">
        <v>0</v>
      </c>
      <c r="Z800" s="125">
        <v>2</v>
      </c>
      <c r="AA800" s="125">
        <v>7</v>
      </c>
      <c r="AB800" s="125">
        <v>87</v>
      </c>
      <c r="AC800" s="125">
        <v>865</v>
      </c>
      <c r="AD800" s="125">
        <v>0</v>
      </c>
      <c r="AE800" s="125">
        <v>67</v>
      </c>
      <c r="AF800" s="125">
        <v>78</v>
      </c>
      <c r="AG800" s="125">
        <v>0</v>
      </c>
      <c r="AH800" s="125">
        <v>0</v>
      </c>
      <c r="AI800" s="121">
        <v>4708711</v>
      </c>
      <c r="AJ800" s="121">
        <v>237258</v>
      </c>
      <c r="AK800" s="424">
        <v>12</v>
      </c>
      <c r="AL800">
        <v>0</v>
      </c>
      <c r="AM800" s="121">
        <v>214399</v>
      </c>
      <c r="AN800" s="125">
        <v>0</v>
      </c>
      <c r="AO800" s="125">
        <v>0</v>
      </c>
      <c r="AP800" s="121">
        <v>4945969</v>
      </c>
      <c r="AQ800" s="114">
        <v>0</v>
      </c>
      <c r="AR800" s="121">
        <v>299.85457807</v>
      </c>
      <c r="AS800" s="121">
        <v>58922.366203999998</v>
      </c>
      <c r="AT800" s="121">
        <v>7760.0492069000002</v>
      </c>
      <c r="AU800" s="420" t="s">
        <v>2001</v>
      </c>
      <c r="AV800" s="420" t="s">
        <v>2001</v>
      </c>
      <c r="AW800" s="121">
        <v>0</v>
      </c>
      <c r="AX800" s="121">
        <v>351560</v>
      </c>
      <c r="BI800">
        <v>0</v>
      </c>
      <c r="BJ800" s="121">
        <v>0</v>
      </c>
      <c r="BK800" s="134">
        <v>431200621</v>
      </c>
      <c r="BL800" s="934">
        <v>4736</v>
      </c>
      <c r="BM800" s="934">
        <v>4738</v>
      </c>
      <c r="BN800" s="934">
        <v>4879</v>
      </c>
      <c r="BO800" s="114">
        <v>0</v>
      </c>
      <c r="BP800" s="114">
        <v>0</v>
      </c>
    </row>
    <row r="801" spans="1:68">
      <c r="A801" t="s">
        <v>1465</v>
      </c>
      <c r="B801" t="s">
        <v>2661</v>
      </c>
      <c r="C801" s="121">
        <v>4810</v>
      </c>
      <c r="D801" s="72">
        <v>2</v>
      </c>
      <c r="E801">
        <v>2342.2840000000001</v>
      </c>
      <c r="F801">
        <v>536</v>
      </c>
      <c r="G801">
        <v>256</v>
      </c>
      <c r="H801">
        <v>141</v>
      </c>
      <c r="I801" s="173">
        <v>1.04</v>
      </c>
      <c r="J801" s="121">
        <v>2498043242</v>
      </c>
      <c r="K801" s="125">
        <v>9752.5740000000005</v>
      </c>
      <c r="L801" s="173">
        <v>1.4975000000000001</v>
      </c>
      <c r="M801">
        <v>1.04</v>
      </c>
      <c r="N801">
        <v>0.99833333832500004</v>
      </c>
      <c r="O801">
        <v>4.166666167499999</v>
      </c>
      <c r="P801">
        <v>8055.3</v>
      </c>
      <c r="Q801" s="125">
        <v>0.96</v>
      </c>
      <c r="R801" s="125">
        <v>9.718</v>
      </c>
      <c r="S801" s="125">
        <v>12.092000000000001</v>
      </c>
      <c r="T801" s="125">
        <v>246.447</v>
      </c>
      <c r="U801" s="125">
        <v>59.54</v>
      </c>
      <c r="V801" s="125">
        <v>0</v>
      </c>
      <c r="W801" s="125">
        <v>15.215999999999999</v>
      </c>
      <c r="X801" s="125">
        <v>0</v>
      </c>
      <c r="Y801" s="125">
        <v>0</v>
      </c>
      <c r="Z801" s="125">
        <v>23.506</v>
      </c>
      <c r="AA801" s="125">
        <v>77.811000000000007</v>
      </c>
      <c r="AB801" s="125">
        <v>332.45499999999998</v>
      </c>
      <c r="AC801" s="125">
        <v>2303.1</v>
      </c>
      <c r="AD801" s="125">
        <v>2.343</v>
      </c>
      <c r="AE801" s="125">
        <v>40.054000000000002</v>
      </c>
      <c r="AF801" s="125">
        <v>402.76499999999999</v>
      </c>
      <c r="AG801" s="125">
        <v>0</v>
      </c>
      <c r="AH801" s="125">
        <v>0</v>
      </c>
      <c r="AI801" s="121">
        <v>26733060</v>
      </c>
      <c r="AJ801" s="121">
        <v>4068414</v>
      </c>
      <c r="AK801" s="424">
        <v>12</v>
      </c>
      <c r="AL801">
        <v>0</v>
      </c>
      <c r="AM801" s="121">
        <v>597092</v>
      </c>
      <c r="AN801" s="125">
        <v>0</v>
      </c>
      <c r="AO801" s="125">
        <v>0</v>
      </c>
      <c r="AP801" s="121">
        <v>30801474</v>
      </c>
      <c r="AQ801" s="114">
        <v>0</v>
      </c>
      <c r="AR801" s="121">
        <v>1665.0944485</v>
      </c>
      <c r="AS801" s="121">
        <v>327196.28791000001</v>
      </c>
      <c r="AT801" s="121">
        <v>43091.604395000002</v>
      </c>
      <c r="AU801" s="420" t="s">
        <v>2001</v>
      </c>
      <c r="AV801" s="420" t="s">
        <v>2001</v>
      </c>
      <c r="AW801" s="121">
        <v>0</v>
      </c>
      <c r="AX801" s="121">
        <v>7538075</v>
      </c>
      <c r="BI801">
        <v>0</v>
      </c>
      <c r="BJ801" s="121">
        <v>0</v>
      </c>
      <c r="BK801" s="134">
        <v>2498043242</v>
      </c>
      <c r="BL801" s="934">
        <v>4703</v>
      </c>
      <c r="BM801" s="934">
        <v>4810</v>
      </c>
      <c r="BN801" s="934">
        <v>4807</v>
      </c>
      <c r="BO801" s="114">
        <v>0</v>
      </c>
      <c r="BP801" s="114">
        <v>0</v>
      </c>
    </row>
    <row r="802" spans="1:68">
      <c r="A802" t="s">
        <v>2883</v>
      </c>
      <c r="B802" t="s">
        <v>180</v>
      </c>
      <c r="C802" s="121">
        <v>6121</v>
      </c>
      <c r="D802" s="72">
        <v>2</v>
      </c>
      <c r="E802">
        <v>222.61600000000001</v>
      </c>
      <c r="F802">
        <v>75</v>
      </c>
      <c r="G802">
        <v>59</v>
      </c>
      <c r="H802">
        <v>0</v>
      </c>
      <c r="I802" s="173">
        <v>0.92</v>
      </c>
      <c r="J802" s="121">
        <v>1354050411</v>
      </c>
      <c r="K802" s="125">
        <v>1215.384</v>
      </c>
      <c r="L802" s="173">
        <v>1.33</v>
      </c>
      <c r="M802">
        <v>0.92</v>
      </c>
      <c r="N802">
        <v>0.88666667110000008</v>
      </c>
      <c r="O802">
        <v>3.3333328899999959</v>
      </c>
      <c r="P802">
        <v>690.40200000000004</v>
      </c>
      <c r="Q802" s="125">
        <v>0</v>
      </c>
      <c r="R802" s="125">
        <v>0</v>
      </c>
      <c r="S802" s="125">
        <v>0.95399999999999996</v>
      </c>
      <c r="T802" s="125">
        <v>19.89</v>
      </c>
      <c r="U802" s="125">
        <v>0</v>
      </c>
      <c r="V802" s="125">
        <v>0</v>
      </c>
      <c r="W802" s="125">
        <v>0.24</v>
      </c>
      <c r="X802" s="125">
        <v>0</v>
      </c>
      <c r="Y802" s="125">
        <v>0</v>
      </c>
      <c r="Z802" s="125">
        <v>0</v>
      </c>
      <c r="AA802" s="125">
        <v>19.5</v>
      </c>
      <c r="AB802" s="125">
        <v>18</v>
      </c>
      <c r="AC802" s="125">
        <v>390</v>
      </c>
      <c r="AD802" s="125">
        <v>0</v>
      </c>
      <c r="AE802" s="125">
        <v>95.789000000000001</v>
      </c>
      <c r="AF802" s="125">
        <v>34.520000000000003</v>
      </c>
      <c r="AG802" s="125">
        <v>0</v>
      </c>
      <c r="AH802" s="125">
        <v>0</v>
      </c>
      <c r="AI802" s="121">
        <v>12818524</v>
      </c>
      <c r="AJ802" s="121">
        <v>1775352</v>
      </c>
      <c r="AK802" s="424">
        <v>12</v>
      </c>
      <c r="AL802">
        <v>0</v>
      </c>
      <c r="AM802" s="121">
        <v>50415</v>
      </c>
      <c r="AN802" s="125">
        <v>0</v>
      </c>
      <c r="AO802" s="125">
        <v>0</v>
      </c>
      <c r="AP802" s="121">
        <v>14593876</v>
      </c>
      <c r="AQ802" s="114">
        <v>0</v>
      </c>
      <c r="AR802" s="121">
        <v>0</v>
      </c>
      <c r="AS802" s="121">
        <v>0</v>
      </c>
      <c r="AT802" s="121">
        <v>0</v>
      </c>
      <c r="AU802" s="420" t="s">
        <v>798</v>
      </c>
      <c r="AV802" s="420" t="s">
        <v>2001</v>
      </c>
      <c r="AW802" s="121">
        <v>0</v>
      </c>
      <c r="AX802" s="121">
        <v>0</v>
      </c>
      <c r="AY802" s="134">
        <v>1404710</v>
      </c>
      <c r="AZ802" s="134">
        <v>4186474</v>
      </c>
      <c r="BA802" s="134">
        <v>1807</v>
      </c>
      <c r="BB802" s="134">
        <v>394987929</v>
      </c>
      <c r="BC802" s="114">
        <v>0</v>
      </c>
      <c r="BD802" s="114">
        <v>0</v>
      </c>
      <c r="BE802" s="114">
        <v>0</v>
      </c>
      <c r="BF802" s="114">
        <v>785</v>
      </c>
      <c r="BG802" s="114">
        <v>0</v>
      </c>
      <c r="BH802" s="114">
        <v>0</v>
      </c>
      <c r="BI802">
        <v>0</v>
      </c>
      <c r="BJ802" s="121">
        <v>0</v>
      </c>
      <c r="BK802" s="134">
        <v>1354050411</v>
      </c>
      <c r="BL802" s="934">
        <v>5808</v>
      </c>
      <c r="BM802" s="934">
        <v>6121</v>
      </c>
      <c r="BN802" s="934">
        <v>5861</v>
      </c>
      <c r="BO802" s="114">
        <v>0</v>
      </c>
      <c r="BP802" s="114">
        <v>0</v>
      </c>
    </row>
    <row r="803" spans="1:68">
      <c r="A803" t="s">
        <v>896</v>
      </c>
      <c r="B803" t="s">
        <v>181</v>
      </c>
      <c r="C803" s="121">
        <v>5497</v>
      </c>
      <c r="D803" s="72">
        <v>3</v>
      </c>
      <c r="E803">
        <v>77.180999999999997</v>
      </c>
      <c r="F803">
        <v>29</v>
      </c>
      <c r="G803">
        <v>22</v>
      </c>
      <c r="H803">
        <v>1</v>
      </c>
      <c r="I803" s="173">
        <v>1</v>
      </c>
      <c r="J803" s="121">
        <v>201423214</v>
      </c>
      <c r="K803" s="125">
        <v>496.56299999999999</v>
      </c>
      <c r="L803" s="173">
        <v>1.39</v>
      </c>
      <c r="M803">
        <v>1</v>
      </c>
      <c r="N803">
        <v>0.92666667129999991</v>
      </c>
      <c r="O803">
        <v>7.3333328700000084</v>
      </c>
      <c r="P803">
        <v>240.35</v>
      </c>
      <c r="Q803" s="125">
        <v>0</v>
      </c>
      <c r="R803" s="125">
        <v>0</v>
      </c>
      <c r="S803" s="125">
        <v>0.5</v>
      </c>
      <c r="T803" s="125">
        <v>12.5</v>
      </c>
      <c r="U803" s="125">
        <v>1.4</v>
      </c>
      <c r="V803" s="125">
        <v>0</v>
      </c>
      <c r="W803" s="125">
        <v>0.9</v>
      </c>
      <c r="X803" s="125">
        <v>0</v>
      </c>
      <c r="Y803" s="125">
        <v>0</v>
      </c>
      <c r="Z803" s="125">
        <v>0</v>
      </c>
      <c r="AA803" s="125">
        <v>7.5</v>
      </c>
      <c r="AB803" s="125">
        <v>11</v>
      </c>
      <c r="AC803" s="125">
        <v>140</v>
      </c>
      <c r="AD803" s="125">
        <v>0</v>
      </c>
      <c r="AE803" s="125">
        <v>10.5</v>
      </c>
      <c r="AF803" s="125">
        <v>12.0175</v>
      </c>
      <c r="AG803" s="125">
        <v>0</v>
      </c>
      <c r="AH803" s="125">
        <v>0</v>
      </c>
      <c r="AI803" s="121">
        <v>2051495</v>
      </c>
      <c r="AJ803" s="121">
        <v>0</v>
      </c>
      <c r="AK803" s="424">
        <v>12</v>
      </c>
      <c r="AL803">
        <v>0</v>
      </c>
      <c r="AM803" s="121">
        <v>38919</v>
      </c>
      <c r="AN803" s="125">
        <v>0</v>
      </c>
      <c r="AO803" s="125">
        <v>0</v>
      </c>
      <c r="AP803" s="121">
        <v>2051495</v>
      </c>
      <c r="AQ803" s="114">
        <v>0</v>
      </c>
      <c r="AR803" s="121">
        <v>0</v>
      </c>
      <c r="AS803" s="121">
        <v>0</v>
      </c>
      <c r="AT803" s="121">
        <v>0</v>
      </c>
      <c r="AU803" s="420" t="s">
        <v>798</v>
      </c>
      <c r="AV803" s="420" t="s">
        <v>2001</v>
      </c>
      <c r="AW803" s="121">
        <v>0</v>
      </c>
      <c r="AX803" s="121">
        <v>0</v>
      </c>
      <c r="AY803" s="134">
        <v>44666</v>
      </c>
      <c r="AZ803" s="134">
        <v>1113305</v>
      </c>
      <c r="BA803" s="114">
        <v>457</v>
      </c>
      <c r="BB803" s="134">
        <v>85932391</v>
      </c>
      <c r="BC803" s="114">
        <v>0</v>
      </c>
      <c r="BD803" s="114">
        <v>0</v>
      </c>
      <c r="BE803" s="114">
        <v>0</v>
      </c>
      <c r="BF803" s="114">
        <v>245</v>
      </c>
      <c r="BG803" s="114">
        <v>0</v>
      </c>
      <c r="BH803" s="114">
        <v>0</v>
      </c>
      <c r="BI803">
        <v>0</v>
      </c>
      <c r="BJ803" s="121">
        <v>0</v>
      </c>
      <c r="BK803" s="134">
        <v>201423214</v>
      </c>
      <c r="BL803" s="934">
        <v>4895</v>
      </c>
      <c r="BM803" s="934">
        <v>5293</v>
      </c>
      <c r="BN803" s="934">
        <v>5497</v>
      </c>
      <c r="BO803" s="114">
        <v>0</v>
      </c>
      <c r="BP803" s="114">
        <v>0</v>
      </c>
    </row>
    <row r="804" spans="1:68">
      <c r="A804" t="s">
        <v>135</v>
      </c>
      <c r="B804" t="s">
        <v>2428</v>
      </c>
      <c r="C804" s="121">
        <v>4392</v>
      </c>
      <c r="D804" s="72">
        <v>1</v>
      </c>
      <c r="E804">
        <v>124.072</v>
      </c>
      <c r="F804">
        <v>36</v>
      </c>
      <c r="G804">
        <v>28</v>
      </c>
      <c r="H804">
        <v>0</v>
      </c>
      <c r="I804" s="173">
        <v>1</v>
      </c>
      <c r="J804" s="121">
        <v>41976370</v>
      </c>
      <c r="K804" s="125">
        <v>691.30399999999997</v>
      </c>
      <c r="L804" s="173">
        <v>1.44</v>
      </c>
      <c r="M804">
        <v>1</v>
      </c>
      <c r="N804">
        <v>0.96000000480000003</v>
      </c>
      <c r="O804">
        <v>3.9999995199999971</v>
      </c>
      <c r="P804">
        <v>407.6</v>
      </c>
      <c r="Q804" s="125">
        <v>0</v>
      </c>
      <c r="R804" s="125">
        <v>0</v>
      </c>
      <c r="S804" s="125">
        <v>0.94699999999999995</v>
      </c>
      <c r="T804" s="125">
        <v>17.297999999999998</v>
      </c>
      <c r="U804" s="125">
        <v>0.34</v>
      </c>
      <c r="V804" s="125">
        <v>1.008</v>
      </c>
      <c r="W804" s="125">
        <v>2.3919999999999999</v>
      </c>
      <c r="X804" s="125">
        <v>0</v>
      </c>
      <c r="Y804" s="125">
        <v>0</v>
      </c>
      <c r="Z804" s="125">
        <v>0</v>
      </c>
      <c r="AA804" s="125">
        <v>5.3739999999999997</v>
      </c>
      <c r="AB804" s="125">
        <v>14.595000000000001</v>
      </c>
      <c r="AC804" s="125">
        <v>262.8</v>
      </c>
      <c r="AD804" s="125">
        <v>2.4E-2</v>
      </c>
      <c r="AE804" s="125">
        <v>20.413</v>
      </c>
      <c r="AF804" s="125">
        <v>20.256</v>
      </c>
      <c r="AG804" s="125">
        <v>0</v>
      </c>
      <c r="AH804" s="125">
        <v>0</v>
      </c>
      <c r="AI804" s="121">
        <v>409042</v>
      </c>
      <c r="AJ804" s="121">
        <v>0</v>
      </c>
      <c r="AK804" s="424">
        <v>12</v>
      </c>
      <c r="AL804">
        <v>0</v>
      </c>
      <c r="AM804" s="121">
        <v>53851</v>
      </c>
      <c r="AN804" s="125">
        <v>0</v>
      </c>
      <c r="AO804" s="125">
        <v>0</v>
      </c>
      <c r="AP804" s="121">
        <v>409042</v>
      </c>
      <c r="AQ804" s="114">
        <v>0</v>
      </c>
      <c r="AR804" s="121">
        <v>27.979748343000001</v>
      </c>
      <c r="AS804" s="121">
        <v>5498.1084123999999</v>
      </c>
      <c r="AT804" s="121">
        <v>724.09841243000005</v>
      </c>
      <c r="AU804" s="420" t="s">
        <v>2001</v>
      </c>
      <c r="AV804" s="420" t="s">
        <v>2001</v>
      </c>
      <c r="AW804" s="121">
        <v>0</v>
      </c>
      <c r="AX804" s="121">
        <v>0</v>
      </c>
      <c r="BI804">
        <v>0</v>
      </c>
      <c r="BJ804" s="121">
        <v>0</v>
      </c>
      <c r="BK804" s="134">
        <v>40579525</v>
      </c>
      <c r="BL804" s="934">
        <v>4392</v>
      </c>
      <c r="BM804" s="934">
        <v>4173</v>
      </c>
      <c r="BN804" s="934">
        <v>4321</v>
      </c>
      <c r="BO804" s="114">
        <v>0</v>
      </c>
      <c r="BP804" s="114">
        <v>0</v>
      </c>
    </row>
    <row r="805" spans="1:68">
      <c r="A805" t="s">
        <v>3051</v>
      </c>
      <c r="B805" t="s">
        <v>3096</v>
      </c>
      <c r="C805" s="121">
        <v>4949</v>
      </c>
      <c r="D805" s="72">
        <v>2</v>
      </c>
      <c r="E805">
        <v>216.559</v>
      </c>
      <c r="F805">
        <v>66</v>
      </c>
      <c r="G805">
        <v>35</v>
      </c>
      <c r="H805">
        <v>1</v>
      </c>
      <c r="I805" s="173">
        <v>1.02</v>
      </c>
      <c r="J805" s="121">
        <v>152254967</v>
      </c>
      <c r="K805" s="125">
        <v>1168.296</v>
      </c>
      <c r="L805" s="173">
        <v>1.2778</v>
      </c>
      <c r="M805">
        <v>1.02</v>
      </c>
      <c r="N805">
        <v>0.8518666709260001</v>
      </c>
      <c r="O805">
        <v>16.813332907399992</v>
      </c>
      <c r="P805">
        <v>719.98400000000004</v>
      </c>
      <c r="Q805" s="125">
        <v>7.0000000000000001E-3</v>
      </c>
      <c r="R805" s="125">
        <v>0</v>
      </c>
      <c r="S805" s="125">
        <v>1.431</v>
      </c>
      <c r="T805" s="125">
        <v>29.48</v>
      </c>
      <c r="U805" s="125">
        <v>3.2909999999999999</v>
      </c>
      <c r="V805" s="125">
        <v>1.853</v>
      </c>
      <c r="W805" s="125">
        <v>1.5489999999999999</v>
      </c>
      <c r="X805" s="125">
        <v>0</v>
      </c>
      <c r="Y805" s="125">
        <v>0</v>
      </c>
      <c r="Z805" s="125">
        <v>0</v>
      </c>
      <c r="AA805" s="125">
        <v>12.494</v>
      </c>
      <c r="AB805" s="125">
        <v>53.01</v>
      </c>
      <c r="AC805" s="125">
        <v>429.2</v>
      </c>
      <c r="AD805" s="125">
        <v>0.73499999999999999</v>
      </c>
      <c r="AE805" s="125">
        <v>30.457999999999998</v>
      </c>
      <c r="AF805" s="125">
        <v>35.999000000000002</v>
      </c>
      <c r="AG805" s="125">
        <v>0</v>
      </c>
      <c r="AH805" s="125">
        <v>0</v>
      </c>
      <c r="AI805" s="121">
        <v>1529307</v>
      </c>
      <c r="AJ805" s="121">
        <v>272706</v>
      </c>
      <c r="AK805" s="424">
        <v>12</v>
      </c>
      <c r="AL805">
        <v>0</v>
      </c>
      <c r="AM805" s="121">
        <v>112242</v>
      </c>
      <c r="AN805" s="125">
        <v>1</v>
      </c>
      <c r="AO805" s="125">
        <v>0</v>
      </c>
      <c r="AP805" s="121">
        <v>1802013</v>
      </c>
      <c r="AQ805" s="114">
        <v>0</v>
      </c>
      <c r="AR805" s="121">
        <v>101.48699402</v>
      </c>
      <c r="AS805" s="121">
        <v>19942.513017000001</v>
      </c>
      <c r="AT805" s="121">
        <v>2626.4200215999999</v>
      </c>
      <c r="AU805" s="420" t="s">
        <v>2001</v>
      </c>
      <c r="AV805" s="420" t="s">
        <v>2001</v>
      </c>
      <c r="AW805" s="121">
        <v>0</v>
      </c>
      <c r="AX805" s="121">
        <v>554853</v>
      </c>
      <c r="BI805">
        <v>0</v>
      </c>
      <c r="BJ805" s="121">
        <v>0</v>
      </c>
      <c r="BK805" s="134">
        <v>142792392</v>
      </c>
      <c r="BL805" s="934">
        <v>4486</v>
      </c>
      <c r="BM805" s="934">
        <v>4949</v>
      </c>
      <c r="BN805" s="934">
        <v>4496</v>
      </c>
      <c r="BO805" s="114">
        <v>0</v>
      </c>
      <c r="BP805" s="114">
        <v>0</v>
      </c>
    </row>
    <row r="806" spans="1:68">
      <c r="A806" t="s">
        <v>2597</v>
      </c>
      <c r="B806" t="s">
        <v>1822</v>
      </c>
      <c r="C806" s="121">
        <v>4694</v>
      </c>
      <c r="D806" s="72">
        <v>3</v>
      </c>
      <c r="E806">
        <v>232.28800000000001</v>
      </c>
      <c r="F806">
        <v>91</v>
      </c>
      <c r="G806">
        <v>100</v>
      </c>
      <c r="H806">
        <v>17</v>
      </c>
      <c r="I806" s="173">
        <v>0.96589999999999998</v>
      </c>
      <c r="J806" s="121">
        <v>200263947</v>
      </c>
      <c r="K806" s="125">
        <v>1509.6569999999999</v>
      </c>
      <c r="L806" s="173">
        <v>1.3</v>
      </c>
      <c r="M806">
        <v>0.96589999999999998</v>
      </c>
      <c r="N806">
        <v>0.86666667100000006</v>
      </c>
      <c r="O806">
        <v>9.923332899999993</v>
      </c>
      <c r="P806">
        <v>760.07500000000005</v>
      </c>
      <c r="Q806" s="125">
        <v>0.22500000000000001</v>
      </c>
      <c r="R806" s="125">
        <v>0</v>
      </c>
      <c r="S806" s="125">
        <v>2</v>
      </c>
      <c r="T806" s="125">
        <v>35.014000000000003</v>
      </c>
      <c r="U806" s="125">
        <v>12</v>
      </c>
      <c r="V806" s="125">
        <v>0.57299999999999995</v>
      </c>
      <c r="W806" s="125">
        <v>3.2909999999999999</v>
      </c>
      <c r="X806" s="125">
        <v>0</v>
      </c>
      <c r="Y806" s="125">
        <v>0</v>
      </c>
      <c r="Z806" s="125">
        <v>0</v>
      </c>
      <c r="AA806" s="125">
        <v>20.395</v>
      </c>
      <c r="AB806" s="125">
        <v>56.645000000000003</v>
      </c>
      <c r="AC806" s="125">
        <v>752.5</v>
      </c>
      <c r="AD806" s="125">
        <v>1.0920000000000001</v>
      </c>
      <c r="AE806" s="125">
        <v>67.709000000000003</v>
      </c>
      <c r="AF806" s="125">
        <v>38.003749999999997</v>
      </c>
      <c r="AG806" s="125">
        <v>0</v>
      </c>
      <c r="AH806" s="125">
        <v>0</v>
      </c>
      <c r="AI806" s="121">
        <v>1774249</v>
      </c>
      <c r="AJ806" s="121">
        <v>0</v>
      </c>
      <c r="AK806" s="424">
        <v>12</v>
      </c>
      <c r="AL806">
        <v>0</v>
      </c>
      <c r="AM806" s="121">
        <v>125652</v>
      </c>
      <c r="AN806" s="125">
        <v>0</v>
      </c>
      <c r="AO806" s="125">
        <v>0</v>
      </c>
      <c r="AP806" s="121">
        <v>1774249</v>
      </c>
      <c r="AQ806" s="114">
        <v>0</v>
      </c>
      <c r="AR806" s="121">
        <v>133.48783581000001</v>
      </c>
      <c r="AS806" s="121">
        <v>26230.778920000001</v>
      </c>
      <c r="AT806" s="121">
        <v>3454.5818212999998</v>
      </c>
      <c r="AU806" s="420" t="s">
        <v>2001</v>
      </c>
      <c r="AV806" s="420" t="s">
        <v>2001</v>
      </c>
      <c r="AW806" s="121">
        <v>0</v>
      </c>
      <c r="AX806" s="121">
        <v>0</v>
      </c>
      <c r="BI806">
        <v>0</v>
      </c>
      <c r="BJ806" s="121">
        <v>0</v>
      </c>
      <c r="BK806" s="134">
        <v>178511797</v>
      </c>
      <c r="BL806" s="934">
        <v>4485</v>
      </c>
      <c r="BM806" s="934">
        <v>4503</v>
      </c>
      <c r="BN806" s="934">
        <v>4694</v>
      </c>
      <c r="BO806" s="114">
        <v>0</v>
      </c>
      <c r="BP806" s="114">
        <v>0</v>
      </c>
    </row>
    <row r="807" spans="1:68">
      <c r="A807" t="s">
        <v>411</v>
      </c>
      <c r="B807" t="s">
        <v>3065</v>
      </c>
      <c r="C807" s="121">
        <v>4382</v>
      </c>
      <c r="D807" s="72">
        <v>1</v>
      </c>
      <c r="E807">
        <v>154.63300000000001</v>
      </c>
      <c r="F807">
        <v>43</v>
      </c>
      <c r="G807">
        <v>52</v>
      </c>
      <c r="H807">
        <v>1</v>
      </c>
      <c r="I807" s="173">
        <v>1.1698999999999999</v>
      </c>
      <c r="J807" s="121">
        <v>53325436</v>
      </c>
      <c r="K807" s="125">
        <v>751.28099999999995</v>
      </c>
      <c r="L807" s="173">
        <v>1.42</v>
      </c>
      <c r="M807">
        <v>1.1698999999999999</v>
      </c>
      <c r="N807">
        <v>0.94666667139999994</v>
      </c>
      <c r="O807">
        <v>22.323332860000001</v>
      </c>
      <c r="P807">
        <v>460</v>
      </c>
      <c r="Q807" s="125">
        <v>0</v>
      </c>
      <c r="R807" s="125">
        <v>0</v>
      </c>
      <c r="S807" s="125">
        <v>0.8</v>
      </c>
      <c r="T807" s="125">
        <v>17.5</v>
      </c>
      <c r="U807" s="125">
        <v>0.5</v>
      </c>
      <c r="V807" s="125">
        <v>0</v>
      </c>
      <c r="W807" s="125">
        <v>0</v>
      </c>
      <c r="X807" s="125">
        <v>0</v>
      </c>
      <c r="Y807" s="125">
        <v>0</v>
      </c>
      <c r="Z807" s="125">
        <v>0</v>
      </c>
      <c r="AA807" s="125">
        <v>10.1</v>
      </c>
      <c r="AB807" s="125">
        <v>33</v>
      </c>
      <c r="AC807" s="125">
        <v>230</v>
      </c>
      <c r="AD807" s="125">
        <v>0.05</v>
      </c>
      <c r="AE807" s="125">
        <v>0.08</v>
      </c>
      <c r="AF807" s="125">
        <v>23</v>
      </c>
      <c r="AG807" s="125">
        <v>0</v>
      </c>
      <c r="AH807" s="125">
        <v>0</v>
      </c>
      <c r="AI807" s="121">
        <v>602016</v>
      </c>
      <c r="AJ807" s="121">
        <v>81476</v>
      </c>
      <c r="AK807" s="424">
        <v>12</v>
      </c>
      <c r="AL807">
        <v>0</v>
      </c>
      <c r="AM807" s="121">
        <v>62424</v>
      </c>
      <c r="AN807" s="125">
        <v>0</v>
      </c>
      <c r="AO807" s="125">
        <v>0</v>
      </c>
      <c r="AP807" s="121">
        <v>683492</v>
      </c>
      <c r="AQ807" s="114">
        <v>0</v>
      </c>
      <c r="AR807" s="121">
        <v>35.544575508000001</v>
      </c>
      <c r="AS807" s="121">
        <v>6984.6207057000001</v>
      </c>
      <c r="AT807" s="121">
        <v>919.87141485999996</v>
      </c>
      <c r="AU807" s="420" t="s">
        <v>2001</v>
      </c>
      <c r="AV807" s="420" t="s">
        <v>2001</v>
      </c>
      <c r="AW807" s="121">
        <v>0</v>
      </c>
      <c r="AX807" s="121">
        <v>228395</v>
      </c>
      <c r="BI807">
        <v>0</v>
      </c>
      <c r="BJ807" s="121">
        <v>0</v>
      </c>
      <c r="BK807" s="134">
        <v>52136499</v>
      </c>
      <c r="BL807" s="934">
        <v>4382</v>
      </c>
      <c r="BM807" s="934">
        <v>4310</v>
      </c>
      <c r="BN807" s="934">
        <v>4362</v>
      </c>
      <c r="BO807" s="114">
        <v>0</v>
      </c>
      <c r="BP807" s="114">
        <v>0</v>
      </c>
    </row>
    <row r="808" spans="1:68">
      <c r="A808" t="s">
        <v>1113</v>
      </c>
      <c r="B808" t="s">
        <v>1823</v>
      </c>
      <c r="C808" s="121">
        <v>5532</v>
      </c>
      <c r="D808" s="72">
        <v>2</v>
      </c>
      <c r="E808">
        <v>572.71199999999999</v>
      </c>
      <c r="F808">
        <v>181</v>
      </c>
      <c r="G808">
        <v>177</v>
      </c>
      <c r="H808">
        <v>6</v>
      </c>
      <c r="I808" s="173">
        <v>1.04</v>
      </c>
      <c r="J808" s="121">
        <v>809987322</v>
      </c>
      <c r="K808" s="125">
        <v>3046.3</v>
      </c>
      <c r="L808" s="173">
        <v>1.5</v>
      </c>
      <c r="M808">
        <v>1.04</v>
      </c>
      <c r="N808">
        <v>1.000000005</v>
      </c>
      <c r="O808">
        <v>3.9999995000000066</v>
      </c>
      <c r="P808">
        <v>2029</v>
      </c>
      <c r="Q808" s="125">
        <v>0.32</v>
      </c>
      <c r="R808" s="125">
        <v>0</v>
      </c>
      <c r="S808" s="125">
        <v>4</v>
      </c>
      <c r="T808" s="125">
        <v>12</v>
      </c>
      <c r="U808" s="125">
        <v>23</v>
      </c>
      <c r="V808" s="125">
        <v>0</v>
      </c>
      <c r="W808" s="125">
        <v>1</v>
      </c>
      <c r="X808" s="125">
        <v>0</v>
      </c>
      <c r="Y808" s="125">
        <v>0</v>
      </c>
      <c r="Z808" s="125">
        <v>0</v>
      </c>
      <c r="AA808" s="125">
        <v>156.691</v>
      </c>
      <c r="AB808" s="125">
        <v>83.971999999999994</v>
      </c>
      <c r="AC808" s="125">
        <v>1766.8</v>
      </c>
      <c r="AD808" s="125">
        <v>0.95199999999999996</v>
      </c>
      <c r="AE808" s="125">
        <v>157.52699999999999</v>
      </c>
      <c r="AF808" s="125">
        <v>101.45</v>
      </c>
      <c r="AG808" s="125">
        <v>0</v>
      </c>
      <c r="AH808" s="125">
        <v>0</v>
      </c>
      <c r="AI808" s="121">
        <v>8845062</v>
      </c>
      <c r="AJ808" s="121">
        <v>0</v>
      </c>
      <c r="AK808" s="424">
        <v>12</v>
      </c>
      <c r="AL808">
        <v>0</v>
      </c>
      <c r="AM808" s="121">
        <v>142873</v>
      </c>
      <c r="AN808" s="125">
        <v>0</v>
      </c>
      <c r="AO808" s="125">
        <v>0</v>
      </c>
      <c r="AP808" s="121">
        <v>8845062</v>
      </c>
      <c r="AQ808" s="114">
        <v>0</v>
      </c>
      <c r="AR808" s="121">
        <v>539.90474244999996</v>
      </c>
      <c r="AS808" s="121">
        <v>106092.97732000001</v>
      </c>
      <c r="AT808" s="121">
        <v>13972.397537999999</v>
      </c>
      <c r="AU808" s="420" t="s">
        <v>2001</v>
      </c>
      <c r="AV808" s="420" t="s">
        <v>2001</v>
      </c>
      <c r="AW808" s="121">
        <v>0</v>
      </c>
      <c r="AX808" s="121">
        <v>1704962</v>
      </c>
      <c r="BI808">
        <v>0</v>
      </c>
      <c r="BJ808" s="121">
        <v>0</v>
      </c>
      <c r="BK808" s="134">
        <v>809987322</v>
      </c>
      <c r="BL808" s="934">
        <v>4925</v>
      </c>
      <c r="BM808" s="934">
        <v>5532</v>
      </c>
      <c r="BN808" s="934">
        <v>4992</v>
      </c>
      <c r="BO808" s="114">
        <v>0</v>
      </c>
      <c r="BP808" s="114">
        <v>0</v>
      </c>
    </row>
    <row r="809" spans="1:68">
      <c r="A809" t="s">
        <v>1932</v>
      </c>
      <c r="B809" t="s">
        <v>2430</v>
      </c>
      <c r="C809" s="121">
        <v>5853</v>
      </c>
      <c r="D809" s="72">
        <v>2</v>
      </c>
      <c r="E809">
        <v>43.198999999999998</v>
      </c>
      <c r="F809">
        <v>19</v>
      </c>
      <c r="G809">
        <v>15</v>
      </c>
      <c r="H809">
        <v>0</v>
      </c>
      <c r="I809" s="173">
        <v>1.04</v>
      </c>
      <c r="J809" s="121">
        <v>32692777</v>
      </c>
      <c r="K809" s="125">
        <v>343.40699999999998</v>
      </c>
      <c r="L809" s="173">
        <v>1.5</v>
      </c>
      <c r="M809">
        <v>1.04</v>
      </c>
      <c r="N809">
        <v>1.000000005</v>
      </c>
      <c r="O809">
        <v>3.9999995000000066</v>
      </c>
      <c r="P809">
        <v>157.077</v>
      </c>
      <c r="Q809" s="125">
        <v>0</v>
      </c>
      <c r="R809" s="125">
        <v>0</v>
      </c>
      <c r="S809" s="125">
        <v>0.40799999999999997</v>
      </c>
      <c r="T809" s="125">
        <v>7.4550000000000001</v>
      </c>
      <c r="U809" s="125">
        <v>0.69</v>
      </c>
      <c r="V809" s="125">
        <v>0</v>
      </c>
      <c r="W809" s="125">
        <v>0</v>
      </c>
      <c r="X809" s="125">
        <v>0</v>
      </c>
      <c r="Y809" s="125">
        <v>0</v>
      </c>
      <c r="Z809" s="125">
        <v>0</v>
      </c>
      <c r="AA809" s="125">
        <v>0.89</v>
      </c>
      <c r="AB809" s="125">
        <v>7.0839999999999996</v>
      </c>
      <c r="AC809" s="125">
        <v>138</v>
      </c>
      <c r="AD809" s="125">
        <v>0</v>
      </c>
      <c r="AE809" s="125">
        <v>10.361000000000001</v>
      </c>
      <c r="AF809" s="125">
        <v>7.8538500000000004</v>
      </c>
      <c r="AG809" s="125">
        <v>0</v>
      </c>
      <c r="AH809" s="125">
        <v>0</v>
      </c>
      <c r="AI809" s="121">
        <v>353435</v>
      </c>
      <c r="AJ809" s="121">
        <v>19573</v>
      </c>
      <c r="AK809" s="424">
        <v>12</v>
      </c>
      <c r="AL809">
        <v>31</v>
      </c>
      <c r="AM809" s="121">
        <v>7754</v>
      </c>
      <c r="AN809" s="125">
        <v>0</v>
      </c>
      <c r="AO809" s="125">
        <v>0</v>
      </c>
      <c r="AP809" s="121">
        <v>373008</v>
      </c>
      <c r="AQ809" s="114">
        <v>0</v>
      </c>
      <c r="AR809" s="121">
        <v>21.791681014000002</v>
      </c>
      <c r="AS809" s="121">
        <v>4282.1337501999997</v>
      </c>
      <c r="AT809" s="121">
        <v>563.95509468</v>
      </c>
      <c r="AU809" s="420" t="s">
        <v>2001</v>
      </c>
      <c r="AV809" s="420" t="s">
        <v>2001</v>
      </c>
      <c r="AW809" s="121">
        <v>0</v>
      </c>
      <c r="AX809" s="121">
        <v>103605</v>
      </c>
      <c r="BI809">
        <v>0</v>
      </c>
      <c r="BJ809" s="121">
        <v>0</v>
      </c>
      <c r="BK809" s="134">
        <v>32692777</v>
      </c>
      <c r="BL809" s="934">
        <v>5267</v>
      </c>
      <c r="BM809" s="934">
        <v>5853</v>
      </c>
      <c r="BN809" s="934">
        <v>5464</v>
      </c>
      <c r="BO809" s="114">
        <v>0</v>
      </c>
      <c r="BP809" s="114">
        <v>0</v>
      </c>
    </row>
    <row r="810" spans="1:68">
      <c r="A810" t="s">
        <v>793</v>
      </c>
      <c r="B810" t="s">
        <v>1824</v>
      </c>
      <c r="C810" s="121">
        <v>7690</v>
      </c>
      <c r="D810" s="72">
        <v>1</v>
      </c>
      <c r="E810">
        <v>48.639000000000003</v>
      </c>
      <c r="F810">
        <v>21</v>
      </c>
      <c r="G810">
        <v>12</v>
      </c>
      <c r="H810">
        <v>0</v>
      </c>
      <c r="I810" s="173">
        <v>0.98870000000000002</v>
      </c>
      <c r="J810" s="121">
        <v>578018637</v>
      </c>
      <c r="K810" s="125">
        <v>266.42700000000002</v>
      </c>
      <c r="L810" s="173">
        <v>1.3583000000000001</v>
      </c>
      <c r="M810">
        <v>0.98870000000000002</v>
      </c>
      <c r="N810">
        <v>0.9055333378610001</v>
      </c>
      <c r="O810">
        <v>8.3166662138999925</v>
      </c>
      <c r="P810">
        <v>150</v>
      </c>
      <c r="Q810" s="125">
        <v>0</v>
      </c>
      <c r="R810" s="125">
        <v>0</v>
      </c>
      <c r="S810" s="125">
        <v>0.3</v>
      </c>
      <c r="T810" s="125">
        <v>7</v>
      </c>
      <c r="U810" s="125">
        <v>0.7</v>
      </c>
      <c r="V810" s="125">
        <v>0</v>
      </c>
      <c r="W810" s="125">
        <v>0</v>
      </c>
      <c r="X810" s="125">
        <v>0</v>
      </c>
      <c r="Y810" s="125">
        <v>0</v>
      </c>
      <c r="Z810" s="125">
        <v>0</v>
      </c>
      <c r="AA810" s="125">
        <v>4</v>
      </c>
      <c r="AB810" s="125">
        <v>1</v>
      </c>
      <c r="AC810" s="125">
        <v>90</v>
      </c>
      <c r="AD810" s="125">
        <v>0</v>
      </c>
      <c r="AE810" s="125">
        <v>3</v>
      </c>
      <c r="AF810" s="125">
        <v>7</v>
      </c>
      <c r="AG810" s="125">
        <v>0</v>
      </c>
      <c r="AH810" s="125">
        <v>0</v>
      </c>
      <c r="AI810" s="121">
        <v>4200128</v>
      </c>
      <c r="AJ810" s="121">
        <v>94877</v>
      </c>
      <c r="AK810" s="424">
        <v>12</v>
      </c>
      <c r="AL810">
        <v>0</v>
      </c>
      <c r="AM810" s="121">
        <v>15165</v>
      </c>
      <c r="AN810" s="125">
        <v>0</v>
      </c>
      <c r="AO810" s="125">
        <v>0</v>
      </c>
      <c r="AP810" s="121">
        <v>4295005</v>
      </c>
      <c r="AQ810" s="114">
        <v>0</v>
      </c>
      <c r="AR810" s="121">
        <v>0</v>
      </c>
      <c r="AS810" s="121">
        <v>0</v>
      </c>
      <c r="AT810" s="121">
        <v>0</v>
      </c>
      <c r="AU810" s="420" t="s">
        <v>798</v>
      </c>
      <c r="AV810" s="420" t="s">
        <v>2001</v>
      </c>
      <c r="AW810" s="121">
        <v>0</v>
      </c>
      <c r="AX810" s="121">
        <v>103292</v>
      </c>
      <c r="AY810" s="134">
        <v>752430</v>
      </c>
      <c r="AZ810" s="134">
        <v>717970</v>
      </c>
      <c r="BA810" s="114">
        <v>293</v>
      </c>
      <c r="BB810" s="134">
        <v>189769978</v>
      </c>
      <c r="BC810" s="114">
        <v>0</v>
      </c>
      <c r="BD810" s="114">
        <v>0</v>
      </c>
      <c r="BE810" s="114">
        <v>0</v>
      </c>
      <c r="BF810" s="114">
        <v>151</v>
      </c>
      <c r="BG810" s="114">
        <v>0</v>
      </c>
      <c r="BH810" s="114">
        <v>0</v>
      </c>
      <c r="BI810">
        <v>0</v>
      </c>
      <c r="BJ810" s="121">
        <v>0</v>
      </c>
      <c r="BK810" s="134">
        <v>404583951</v>
      </c>
      <c r="BL810" s="934">
        <v>7690</v>
      </c>
      <c r="BM810" s="934">
        <v>6049</v>
      </c>
      <c r="BN810" s="934">
        <v>6592</v>
      </c>
      <c r="BO810" s="114">
        <v>0</v>
      </c>
      <c r="BP810" s="114">
        <v>0</v>
      </c>
    </row>
    <row r="811" spans="1:68">
      <c r="A811" t="s">
        <v>794</v>
      </c>
      <c r="B811" t="s">
        <v>1825</v>
      </c>
      <c r="C811" s="121">
        <v>4778</v>
      </c>
      <c r="D811" s="72">
        <v>2</v>
      </c>
      <c r="E811">
        <v>152.21100000000001</v>
      </c>
      <c r="F811">
        <v>55</v>
      </c>
      <c r="G811">
        <v>41</v>
      </c>
      <c r="H811">
        <v>1</v>
      </c>
      <c r="I811" s="173">
        <v>1.04</v>
      </c>
      <c r="J811" s="121">
        <v>115796960</v>
      </c>
      <c r="K811" s="125">
        <v>918.12199999999996</v>
      </c>
      <c r="L811" s="173">
        <v>1.5</v>
      </c>
      <c r="M811">
        <v>1.04</v>
      </c>
      <c r="N811">
        <v>1.000000005</v>
      </c>
      <c r="O811">
        <v>3.9999995000000066</v>
      </c>
      <c r="P811">
        <v>527</v>
      </c>
      <c r="Q811" s="125">
        <v>0.19700000000000001</v>
      </c>
      <c r="R811" s="125">
        <v>0</v>
      </c>
      <c r="S811" s="125">
        <v>0.995</v>
      </c>
      <c r="T811" s="125">
        <v>27.2</v>
      </c>
      <c r="U811" s="125">
        <v>5.6680000000000001</v>
      </c>
      <c r="V811" s="125">
        <v>0</v>
      </c>
      <c r="W811" s="125">
        <v>1.1160000000000001</v>
      </c>
      <c r="X811" s="125">
        <v>0</v>
      </c>
      <c r="Y811" s="125">
        <v>0</v>
      </c>
      <c r="Z811" s="125">
        <v>0.80200000000000005</v>
      </c>
      <c r="AA811" s="125">
        <v>18.452000000000002</v>
      </c>
      <c r="AB811" s="125">
        <v>25.507000000000001</v>
      </c>
      <c r="AC811" s="125">
        <v>305.8</v>
      </c>
      <c r="AD811" s="125">
        <v>0.13</v>
      </c>
      <c r="AE811" s="125">
        <v>3.581</v>
      </c>
      <c r="AF811" s="125">
        <v>25.161999999999999</v>
      </c>
      <c r="AG811" s="125">
        <v>0</v>
      </c>
      <c r="AH811" s="125">
        <v>0</v>
      </c>
      <c r="AI811" s="121">
        <v>1223838</v>
      </c>
      <c r="AJ811" s="121">
        <v>454185</v>
      </c>
      <c r="AK811" s="424">
        <v>12</v>
      </c>
      <c r="AL811">
        <v>0</v>
      </c>
      <c r="AM811" s="121">
        <v>34316</v>
      </c>
      <c r="AN811" s="125">
        <v>0</v>
      </c>
      <c r="AO811" s="125">
        <v>0</v>
      </c>
      <c r="AP811" s="121">
        <v>1678023</v>
      </c>
      <c r="AQ811" s="114">
        <v>0</v>
      </c>
      <c r="AR811" s="121">
        <v>77.185563450000004</v>
      </c>
      <c r="AS811" s="121">
        <v>15167.205599000001</v>
      </c>
      <c r="AT811" s="121">
        <v>1997.5141759999999</v>
      </c>
      <c r="AU811" s="420" t="s">
        <v>2001</v>
      </c>
      <c r="AV811" s="420" t="s">
        <v>2001</v>
      </c>
      <c r="AW811" s="121">
        <v>0</v>
      </c>
      <c r="AX811" s="121">
        <v>446431</v>
      </c>
      <c r="BI811">
        <v>0</v>
      </c>
      <c r="BJ811" s="121">
        <v>0</v>
      </c>
      <c r="BK811" s="134">
        <v>113205141</v>
      </c>
      <c r="BL811" s="934">
        <v>4645</v>
      </c>
      <c r="BM811" s="934">
        <v>4778</v>
      </c>
      <c r="BN811" s="934">
        <v>4604</v>
      </c>
      <c r="BO811" s="114">
        <v>0</v>
      </c>
      <c r="BP811" s="114">
        <v>0</v>
      </c>
    </row>
    <row r="812" spans="1:68">
      <c r="A812" t="s">
        <v>795</v>
      </c>
      <c r="B812" t="s">
        <v>1826</v>
      </c>
      <c r="C812" s="121">
        <v>5622</v>
      </c>
      <c r="D812" s="72">
        <v>2</v>
      </c>
      <c r="E812">
        <v>239.845</v>
      </c>
      <c r="F812">
        <v>72</v>
      </c>
      <c r="G812">
        <v>49</v>
      </c>
      <c r="H812">
        <v>3</v>
      </c>
      <c r="I812" s="173">
        <v>1.04</v>
      </c>
      <c r="J812" s="121">
        <v>518389037</v>
      </c>
      <c r="K812" s="125">
        <v>1235.5350000000001</v>
      </c>
      <c r="L812" s="173">
        <v>1.46</v>
      </c>
      <c r="M812">
        <v>1.04</v>
      </c>
      <c r="N812">
        <v>0.97333333820000001</v>
      </c>
      <c r="O812">
        <v>6.6666661800000027</v>
      </c>
      <c r="P812">
        <v>670</v>
      </c>
      <c r="Q812" s="125">
        <v>1.2E-2</v>
      </c>
      <c r="R812" s="125">
        <v>0</v>
      </c>
      <c r="S812" s="125">
        <v>0.99199999999999999</v>
      </c>
      <c r="T812" s="125">
        <v>22.670999999999999</v>
      </c>
      <c r="U812" s="125">
        <v>6.17</v>
      </c>
      <c r="V812" s="125">
        <v>0</v>
      </c>
      <c r="W812" s="125">
        <v>5.9210000000000003</v>
      </c>
      <c r="X812" s="125">
        <v>0</v>
      </c>
      <c r="Y812" s="125">
        <v>0</v>
      </c>
      <c r="Z812" s="125">
        <v>0</v>
      </c>
      <c r="AA812" s="125">
        <v>23.989000000000001</v>
      </c>
      <c r="AB812" s="125">
        <v>23.213999999999999</v>
      </c>
      <c r="AC812" s="125">
        <v>408</v>
      </c>
      <c r="AD812" s="125">
        <v>0.89100000000000001</v>
      </c>
      <c r="AE812" s="125">
        <v>22.189</v>
      </c>
      <c r="AF812" s="125">
        <v>33.5</v>
      </c>
      <c r="AG812" s="125">
        <v>0</v>
      </c>
      <c r="AH812" s="125">
        <v>0</v>
      </c>
      <c r="AI812" s="121">
        <v>5243881</v>
      </c>
      <c r="AJ812" s="121">
        <v>505351</v>
      </c>
      <c r="AK812" s="424">
        <v>12</v>
      </c>
      <c r="AL812">
        <v>0</v>
      </c>
      <c r="AM812" s="121">
        <v>27679</v>
      </c>
      <c r="AN812" s="125">
        <v>0</v>
      </c>
      <c r="AO812" s="125">
        <v>0</v>
      </c>
      <c r="AP812" s="121">
        <v>5749232</v>
      </c>
      <c r="AQ812" s="114">
        <v>0</v>
      </c>
      <c r="AR812" s="121">
        <v>0</v>
      </c>
      <c r="AS812" s="121">
        <v>0</v>
      </c>
      <c r="AT812" s="121">
        <v>0</v>
      </c>
      <c r="AU812" s="420" t="s">
        <v>798</v>
      </c>
      <c r="AV812" s="420" t="s">
        <v>2001</v>
      </c>
      <c r="AW812" s="121">
        <v>0</v>
      </c>
      <c r="AX812" s="121">
        <v>694969</v>
      </c>
      <c r="AY812" s="134">
        <v>1473297</v>
      </c>
      <c r="AZ812" s="134">
        <v>2975202</v>
      </c>
      <c r="BA812" s="134">
        <v>1266</v>
      </c>
      <c r="BB812" s="134">
        <v>476488160</v>
      </c>
      <c r="BC812" s="114">
        <v>0</v>
      </c>
      <c r="BD812" s="114">
        <v>0</v>
      </c>
      <c r="BE812" s="114">
        <v>0</v>
      </c>
      <c r="BF812" s="114">
        <v>734</v>
      </c>
      <c r="BG812" s="114">
        <v>0</v>
      </c>
      <c r="BH812" s="114">
        <v>0</v>
      </c>
      <c r="BI812">
        <v>0</v>
      </c>
      <c r="BJ812" s="121">
        <v>0</v>
      </c>
      <c r="BK812" s="134">
        <v>480208870</v>
      </c>
      <c r="BL812" s="934">
        <v>5078</v>
      </c>
      <c r="BM812" s="934">
        <v>5622</v>
      </c>
      <c r="BN812" s="934">
        <v>5178</v>
      </c>
      <c r="BO812" s="114">
        <v>0</v>
      </c>
      <c r="BP812" s="114">
        <v>0</v>
      </c>
    </row>
    <row r="813" spans="1:68">
      <c r="A813" t="s">
        <v>1644</v>
      </c>
      <c r="B813" t="s">
        <v>1827</v>
      </c>
      <c r="C813" s="121">
        <v>8108</v>
      </c>
      <c r="D813" s="72">
        <v>2</v>
      </c>
      <c r="E813">
        <v>45.128</v>
      </c>
      <c r="F813">
        <v>20</v>
      </c>
      <c r="G813">
        <v>17</v>
      </c>
      <c r="H813">
        <v>2</v>
      </c>
      <c r="I813" s="173">
        <v>1.04</v>
      </c>
      <c r="J813" s="121">
        <v>718989383</v>
      </c>
      <c r="K813" s="125">
        <v>293.63900000000001</v>
      </c>
      <c r="L813" s="173">
        <v>1.5</v>
      </c>
      <c r="M813">
        <v>1.04</v>
      </c>
      <c r="N813">
        <v>1.000000005</v>
      </c>
      <c r="O813">
        <v>3.9999995000000066</v>
      </c>
      <c r="P813">
        <v>156.50399999999999</v>
      </c>
      <c r="Q813" s="125">
        <v>0</v>
      </c>
      <c r="R813" s="125">
        <v>0</v>
      </c>
      <c r="S813" s="125">
        <v>0.124</v>
      </c>
      <c r="T813" s="125">
        <v>0.95</v>
      </c>
      <c r="U813" s="125">
        <v>0.92900000000000005</v>
      </c>
      <c r="V813" s="125">
        <v>0</v>
      </c>
      <c r="W813" s="125">
        <v>0</v>
      </c>
      <c r="X813" s="125">
        <v>0</v>
      </c>
      <c r="Y813" s="125">
        <v>0</v>
      </c>
      <c r="Z813" s="125">
        <v>0</v>
      </c>
      <c r="AA813" s="125">
        <v>3.9460000000000002</v>
      </c>
      <c r="AB813" s="125">
        <v>6.6</v>
      </c>
      <c r="AC813" s="125">
        <v>61.4</v>
      </c>
      <c r="AD813" s="125">
        <v>0</v>
      </c>
      <c r="AE813" s="125">
        <v>0</v>
      </c>
      <c r="AF813" s="125">
        <v>7.8250000000000002</v>
      </c>
      <c r="AG813" s="125">
        <v>0</v>
      </c>
      <c r="AH813" s="125">
        <v>0</v>
      </c>
      <c r="AI813" s="121">
        <v>7325910</v>
      </c>
      <c r="AJ813" s="121">
        <v>687</v>
      </c>
      <c r="AK813" s="424">
        <v>12</v>
      </c>
      <c r="AL813">
        <v>0</v>
      </c>
      <c r="AM813" s="121">
        <v>63914</v>
      </c>
      <c r="AN813" s="125">
        <v>0</v>
      </c>
      <c r="AO813" s="125">
        <v>0</v>
      </c>
      <c r="AP813" s="121">
        <v>7326597</v>
      </c>
      <c r="AQ813" s="114">
        <v>0</v>
      </c>
      <c r="AR813" s="121">
        <v>0</v>
      </c>
      <c r="AS813" s="121">
        <v>0</v>
      </c>
      <c r="AT813" s="121">
        <v>0</v>
      </c>
      <c r="AU813" s="420" t="s">
        <v>798</v>
      </c>
      <c r="AV813" s="420" t="s">
        <v>2001</v>
      </c>
      <c r="AW813" s="121">
        <v>0</v>
      </c>
      <c r="AX813" s="121">
        <v>0</v>
      </c>
      <c r="AY813" s="134">
        <v>458394</v>
      </c>
      <c r="AZ813" s="134">
        <v>881991</v>
      </c>
      <c r="BA813" s="114">
        <v>353</v>
      </c>
      <c r="BB813" s="134">
        <v>215291740</v>
      </c>
      <c r="BC813" s="114">
        <v>0</v>
      </c>
      <c r="BD813" s="114">
        <v>0</v>
      </c>
      <c r="BE813" s="114">
        <v>0</v>
      </c>
      <c r="BF813" s="114">
        <v>170</v>
      </c>
      <c r="BG813" s="114">
        <v>0</v>
      </c>
      <c r="BH813" s="114">
        <v>0</v>
      </c>
      <c r="BI813">
        <v>0</v>
      </c>
      <c r="BJ813" s="121">
        <v>104</v>
      </c>
      <c r="BK813" s="134">
        <v>677647345</v>
      </c>
      <c r="BL813" s="934">
        <v>5109</v>
      </c>
      <c r="BM813" s="934">
        <v>8108</v>
      </c>
      <c r="BN813" s="934">
        <v>5225</v>
      </c>
      <c r="BO813" s="114">
        <v>0</v>
      </c>
      <c r="BP813" s="114">
        <v>0</v>
      </c>
    </row>
    <row r="814" spans="1:68">
      <c r="A814" t="s">
        <v>1645</v>
      </c>
      <c r="B814" t="s">
        <v>1828</v>
      </c>
      <c r="C814" s="121">
        <v>7479</v>
      </c>
      <c r="D814" s="72">
        <v>2</v>
      </c>
      <c r="E814">
        <v>134.11500000000001</v>
      </c>
      <c r="F814">
        <v>43</v>
      </c>
      <c r="G814">
        <v>33</v>
      </c>
      <c r="H814">
        <v>0</v>
      </c>
      <c r="I814" s="173">
        <v>1.04</v>
      </c>
      <c r="J814" s="121">
        <v>526041922</v>
      </c>
      <c r="K814" s="125">
        <v>741.47400000000005</v>
      </c>
      <c r="L814" s="173">
        <v>1.5</v>
      </c>
      <c r="M814">
        <v>1.04</v>
      </c>
      <c r="N814">
        <v>1.000000005</v>
      </c>
      <c r="O814">
        <v>3.9999995000000066</v>
      </c>
      <c r="P814">
        <v>455</v>
      </c>
      <c r="Q814" s="125">
        <v>0</v>
      </c>
      <c r="R814" s="125">
        <v>0</v>
      </c>
      <c r="S814" s="125">
        <v>0.56599999999999995</v>
      </c>
      <c r="T814" s="125">
        <v>11.13</v>
      </c>
      <c r="U814" s="125">
        <v>2.2330000000000001</v>
      </c>
      <c r="V814" s="125">
        <v>0</v>
      </c>
      <c r="W814" s="125">
        <v>0.26800000000000002</v>
      </c>
      <c r="X814" s="125">
        <v>0</v>
      </c>
      <c r="Y814" s="125">
        <v>0</v>
      </c>
      <c r="Z814" s="125">
        <v>0</v>
      </c>
      <c r="AA814" s="125">
        <v>15.843999999999999</v>
      </c>
      <c r="AB814" s="125">
        <v>22.475000000000001</v>
      </c>
      <c r="AC814" s="125">
        <v>240.9</v>
      </c>
      <c r="AD814" s="125">
        <v>0</v>
      </c>
      <c r="AE814" s="125">
        <v>1.0149999999999999</v>
      </c>
      <c r="AF814" s="125">
        <v>21.283000000000001</v>
      </c>
      <c r="AG814" s="125">
        <v>0</v>
      </c>
      <c r="AH814" s="125">
        <v>0</v>
      </c>
      <c r="AI814" s="121">
        <v>5686934</v>
      </c>
      <c r="AJ814" s="121">
        <v>590275</v>
      </c>
      <c r="AK814" s="424">
        <v>12</v>
      </c>
      <c r="AL814">
        <v>0</v>
      </c>
      <c r="AM814" s="121">
        <v>49959</v>
      </c>
      <c r="AN814" s="125">
        <v>0</v>
      </c>
      <c r="AO814" s="125">
        <v>0</v>
      </c>
      <c r="AP814" s="121">
        <v>6277209</v>
      </c>
      <c r="AQ814" s="114">
        <v>0</v>
      </c>
      <c r="AR814" s="121">
        <v>0</v>
      </c>
      <c r="AS814" s="121">
        <v>0</v>
      </c>
      <c r="AT814" s="121">
        <v>0</v>
      </c>
      <c r="AU814" s="420" t="s">
        <v>798</v>
      </c>
      <c r="AV814" s="420" t="s">
        <v>2001</v>
      </c>
      <c r="AW814" s="121">
        <v>0</v>
      </c>
      <c r="AX814" s="121">
        <v>640581</v>
      </c>
      <c r="AY814" s="134">
        <v>1478650</v>
      </c>
      <c r="AZ814" s="134">
        <v>1166063</v>
      </c>
      <c r="BA814" s="114">
        <v>460</v>
      </c>
      <c r="BB814" s="134">
        <v>623963224</v>
      </c>
      <c r="BC814" s="114">
        <v>0</v>
      </c>
      <c r="BD814" s="114">
        <v>0</v>
      </c>
      <c r="BE814" s="114">
        <v>0</v>
      </c>
      <c r="BF814" s="114">
        <v>454</v>
      </c>
      <c r="BG814" s="114">
        <v>0</v>
      </c>
      <c r="BH814" s="114">
        <v>0</v>
      </c>
      <c r="BI814">
        <v>0</v>
      </c>
      <c r="BJ814" s="121">
        <v>170</v>
      </c>
      <c r="BK814" s="134">
        <v>526041922</v>
      </c>
      <c r="BL814" s="934">
        <v>5853</v>
      </c>
      <c r="BM814" s="934">
        <v>7479</v>
      </c>
      <c r="BN814" s="934">
        <v>6156</v>
      </c>
      <c r="BO814" s="114">
        <v>0</v>
      </c>
      <c r="BP814" s="114">
        <v>0</v>
      </c>
    </row>
    <row r="815" spans="1:68">
      <c r="A815" t="s">
        <v>1646</v>
      </c>
      <c r="B815" t="s">
        <v>1829</v>
      </c>
      <c r="C815" s="121">
        <v>4571</v>
      </c>
      <c r="D815" s="72">
        <v>2</v>
      </c>
      <c r="E815">
        <v>62.594000000000001</v>
      </c>
      <c r="F815">
        <v>19</v>
      </c>
      <c r="G815">
        <v>30</v>
      </c>
      <c r="H815">
        <v>1</v>
      </c>
      <c r="I815" s="173">
        <v>1.03</v>
      </c>
      <c r="J815" s="121">
        <v>52614093</v>
      </c>
      <c r="K815" s="125">
        <v>361.62</v>
      </c>
      <c r="L815" s="173">
        <v>1.4893000000000001</v>
      </c>
      <c r="M815">
        <v>1.03</v>
      </c>
      <c r="N815">
        <v>0.99286667163100006</v>
      </c>
      <c r="O815">
        <v>3.7133328368999963</v>
      </c>
      <c r="P815">
        <v>194</v>
      </c>
      <c r="Q815" s="125">
        <v>0</v>
      </c>
      <c r="R815" s="125">
        <v>0</v>
      </c>
      <c r="S815" s="125">
        <v>0.21299999999999999</v>
      </c>
      <c r="T815" s="125">
        <v>6.5679999999999996</v>
      </c>
      <c r="U815" s="125">
        <v>1.6439999999999999</v>
      </c>
      <c r="V815" s="125">
        <v>0</v>
      </c>
      <c r="W815" s="125">
        <v>0.91500000000000004</v>
      </c>
      <c r="X815" s="125">
        <v>0</v>
      </c>
      <c r="Y815" s="125">
        <v>0</v>
      </c>
      <c r="Z815" s="125">
        <v>0</v>
      </c>
      <c r="AA815" s="125">
        <v>3.5</v>
      </c>
      <c r="AB815" s="125">
        <v>11</v>
      </c>
      <c r="AC815" s="125">
        <v>185</v>
      </c>
      <c r="AD815" s="125">
        <v>0</v>
      </c>
      <c r="AE815" s="125">
        <v>1.103</v>
      </c>
      <c r="AF815" s="125">
        <v>8.5609999999999999</v>
      </c>
      <c r="AG815" s="125">
        <v>0</v>
      </c>
      <c r="AH815" s="125">
        <v>0</v>
      </c>
      <c r="AI815" s="121">
        <v>482649</v>
      </c>
      <c r="AJ815" s="121">
        <v>0</v>
      </c>
      <c r="AK815" s="424">
        <v>12</v>
      </c>
      <c r="AL815">
        <v>0</v>
      </c>
      <c r="AM815" s="121">
        <v>11947</v>
      </c>
      <c r="AN815" s="125">
        <v>0</v>
      </c>
      <c r="AO815" s="125">
        <v>0</v>
      </c>
      <c r="AP815" s="121">
        <v>482649</v>
      </c>
      <c r="AQ815" s="114">
        <v>0</v>
      </c>
      <c r="AR815" s="121">
        <v>35.070423667</v>
      </c>
      <c r="AS815" s="121">
        <v>6891.4483799</v>
      </c>
      <c r="AT815" s="121">
        <v>907.60066135</v>
      </c>
      <c r="AU815" s="420" t="s">
        <v>2001</v>
      </c>
      <c r="AV815" s="420" t="s">
        <v>2001</v>
      </c>
      <c r="AW815" s="121">
        <v>0</v>
      </c>
      <c r="AX815" s="121">
        <v>0</v>
      </c>
      <c r="BI815">
        <v>0</v>
      </c>
      <c r="BJ815" s="121">
        <v>0</v>
      </c>
      <c r="BK815" s="134">
        <v>47986824</v>
      </c>
      <c r="BL815" s="934">
        <v>3690</v>
      </c>
      <c r="BM815" s="934">
        <v>4571</v>
      </c>
      <c r="BN815" s="934">
        <v>4509</v>
      </c>
      <c r="BO815" s="114">
        <v>0</v>
      </c>
      <c r="BP815" s="114">
        <v>0</v>
      </c>
    </row>
    <row r="816" spans="1:68">
      <c r="A816" t="s">
        <v>1647</v>
      </c>
      <c r="B816" t="s">
        <v>1830</v>
      </c>
      <c r="C816" s="121">
        <v>8437</v>
      </c>
      <c r="D816" s="72">
        <v>2</v>
      </c>
      <c r="E816">
        <v>275.31799999999998</v>
      </c>
      <c r="F816">
        <v>101</v>
      </c>
      <c r="G816">
        <v>88</v>
      </c>
      <c r="H816">
        <v>4</v>
      </c>
      <c r="I816" s="173">
        <v>0.91200000000000003</v>
      </c>
      <c r="J816" s="121">
        <v>1388630998</v>
      </c>
      <c r="K816" s="125">
        <v>1543.884</v>
      </c>
      <c r="L816" s="173">
        <v>1.3080000000000001</v>
      </c>
      <c r="M816">
        <v>0.91200000000000003</v>
      </c>
      <c r="N816">
        <v>0.87200000436000003</v>
      </c>
      <c r="O816">
        <v>3.9999995640000008</v>
      </c>
      <c r="P816">
        <v>972.35299999999995</v>
      </c>
      <c r="Q816" s="125">
        <v>0</v>
      </c>
      <c r="R816" s="125">
        <v>0</v>
      </c>
      <c r="S816" s="125">
        <v>1.0860000000000001</v>
      </c>
      <c r="T816" s="125">
        <v>18.035</v>
      </c>
      <c r="U816" s="125">
        <v>4.7039999999999997</v>
      </c>
      <c r="V816" s="125">
        <v>0</v>
      </c>
      <c r="W816" s="125">
        <v>4.5739999999999998</v>
      </c>
      <c r="X816" s="125">
        <v>0</v>
      </c>
      <c r="Y816" s="125">
        <v>0</v>
      </c>
      <c r="Z816" s="125">
        <v>0</v>
      </c>
      <c r="AA816" s="125">
        <v>27.876000000000001</v>
      </c>
      <c r="AB816" s="125">
        <v>42.457000000000001</v>
      </c>
      <c r="AC816" s="125">
        <v>482.5</v>
      </c>
      <c r="AD816" s="125">
        <v>0</v>
      </c>
      <c r="AE816" s="125">
        <v>14.231</v>
      </c>
      <c r="AF816" s="125">
        <v>48.617649999999998</v>
      </c>
      <c r="AG816" s="125">
        <v>0</v>
      </c>
      <c r="AH816" s="125">
        <v>0</v>
      </c>
      <c r="AI816" s="121">
        <v>13297530</v>
      </c>
      <c r="AJ816" s="121">
        <v>2759410</v>
      </c>
      <c r="AK816" s="424">
        <v>12</v>
      </c>
      <c r="AL816">
        <v>0</v>
      </c>
      <c r="AM816" s="121">
        <v>140940</v>
      </c>
      <c r="AN816" s="125">
        <v>0</v>
      </c>
      <c r="AO816" s="125">
        <v>0</v>
      </c>
      <c r="AP816" s="121">
        <v>16056940</v>
      </c>
      <c r="AQ816" s="114">
        <v>0</v>
      </c>
      <c r="AR816" s="121">
        <v>0</v>
      </c>
      <c r="AS816" s="121">
        <v>0</v>
      </c>
      <c r="AT816" s="121">
        <v>0</v>
      </c>
      <c r="AU816" s="420" t="s">
        <v>798</v>
      </c>
      <c r="AV816" s="420" t="s">
        <v>2001</v>
      </c>
      <c r="AW816" s="121">
        <v>0</v>
      </c>
      <c r="AX816" s="121">
        <v>2832143</v>
      </c>
      <c r="AY816" s="134">
        <v>490710</v>
      </c>
      <c r="AZ816" s="134">
        <v>2978790</v>
      </c>
      <c r="BA816" s="134">
        <v>1231</v>
      </c>
      <c r="BB816" s="134">
        <v>229619715</v>
      </c>
      <c r="BC816" s="114">
        <v>0</v>
      </c>
      <c r="BD816" s="114">
        <v>0</v>
      </c>
      <c r="BE816" s="114">
        <v>0</v>
      </c>
      <c r="BF816" s="134">
        <v>1019</v>
      </c>
      <c r="BG816" s="114">
        <v>0</v>
      </c>
      <c r="BH816" s="114">
        <v>0</v>
      </c>
      <c r="BI816">
        <v>0</v>
      </c>
      <c r="BJ816" s="121">
        <v>74</v>
      </c>
      <c r="BK816" s="134">
        <v>1388630998</v>
      </c>
      <c r="BL816" s="934">
        <v>5997</v>
      </c>
      <c r="BM816" s="934">
        <v>8437</v>
      </c>
      <c r="BN816" s="934">
        <v>7277</v>
      </c>
      <c r="BO816" s="114">
        <v>0</v>
      </c>
      <c r="BP816" s="114">
        <v>0</v>
      </c>
    </row>
    <row r="817" spans="1:68">
      <c r="A817" t="s">
        <v>1648</v>
      </c>
      <c r="B817" t="s">
        <v>1831</v>
      </c>
      <c r="C817" s="121">
        <v>4806</v>
      </c>
      <c r="D817" s="72">
        <v>2</v>
      </c>
      <c r="E817">
        <v>281.53199999999998</v>
      </c>
      <c r="F817">
        <v>97</v>
      </c>
      <c r="G817">
        <v>85</v>
      </c>
      <c r="H817">
        <v>0</v>
      </c>
      <c r="I817" s="173">
        <v>1.04</v>
      </c>
      <c r="J817" s="121">
        <v>326966933</v>
      </c>
      <c r="K817" s="125">
        <v>1794.8520000000001</v>
      </c>
      <c r="L817" s="173">
        <v>1.5</v>
      </c>
      <c r="M817">
        <v>1.04</v>
      </c>
      <c r="N817">
        <v>1.000000005</v>
      </c>
      <c r="O817">
        <v>3.9999995000000066</v>
      </c>
      <c r="P817">
        <v>1092.799</v>
      </c>
      <c r="Q817" s="125">
        <v>0</v>
      </c>
      <c r="R817" s="125">
        <v>0</v>
      </c>
      <c r="S817" s="125">
        <v>1.776</v>
      </c>
      <c r="T817" s="125">
        <v>31.759</v>
      </c>
      <c r="U817" s="125">
        <v>19.93</v>
      </c>
      <c r="V817" s="125">
        <v>0</v>
      </c>
      <c r="W817" s="125">
        <v>1.8220000000000001</v>
      </c>
      <c r="X817" s="125">
        <v>0</v>
      </c>
      <c r="Y817" s="125">
        <v>0</v>
      </c>
      <c r="Z817" s="125">
        <v>0</v>
      </c>
      <c r="AA817" s="125">
        <v>44.56</v>
      </c>
      <c r="AB817" s="125">
        <v>45.606000000000002</v>
      </c>
      <c r="AC817" s="125">
        <v>1081.9000000000001</v>
      </c>
      <c r="AD817" s="125">
        <v>0.28999999999999998</v>
      </c>
      <c r="AE817" s="125">
        <v>104.345</v>
      </c>
      <c r="AF817" s="125">
        <v>54.639949999999999</v>
      </c>
      <c r="AG817" s="125">
        <v>0</v>
      </c>
      <c r="AH817" s="125">
        <v>0</v>
      </c>
      <c r="AI817" s="121">
        <v>2928005</v>
      </c>
      <c r="AJ817" s="121">
        <v>721984</v>
      </c>
      <c r="AK817" s="424">
        <v>12</v>
      </c>
      <c r="AL817">
        <v>0</v>
      </c>
      <c r="AM817" s="121">
        <v>34647</v>
      </c>
      <c r="AN817" s="125">
        <v>1</v>
      </c>
      <c r="AO817" s="125">
        <v>0</v>
      </c>
      <c r="AP817" s="121">
        <v>3649989</v>
      </c>
      <c r="AQ817" s="114">
        <v>0</v>
      </c>
      <c r="AR817" s="121">
        <v>217.94291469000001</v>
      </c>
      <c r="AS817" s="121">
        <v>42826.467127999997</v>
      </c>
      <c r="AT817" s="121">
        <v>5640.2265164</v>
      </c>
      <c r="AU817" s="420" t="s">
        <v>2001</v>
      </c>
      <c r="AV817" s="420" t="s">
        <v>2001</v>
      </c>
      <c r="AW817" s="121">
        <v>0</v>
      </c>
      <c r="AX817" s="121">
        <v>968832</v>
      </c>
      <c r="BI817">
        <v>0</v>
      </c>
      <c r="BJ817" s="121">
        <v>0</v>
      </c>
      <c r="BK817" s="134">
        <v>282244574</v>
      </c>
      <c r="BL817" s="934">
        <v>4384</v>
      </c>
      <c r="BM817" s="934">
        <v>4806</v>
      </c>
      <c r="BN817" s="934">
        <v>4627</v>
      </c>
      <c r="BO817" s="114">
        <v>0</v>
      </c>
      <c r="BP817" s="114">
        <v>0</v>
      </c>
    </row>
    <row r="818" spans="1:68">
      <c r="A818" t="s">
        <v>1649</v>
      </c>
      <c r="B818" t="s">
        <v>1102</v>
      </c>
      <c r="C818" s="121">
        <v>4595</v>
      </c>
      <c r="D818" s="72">
        <v>3</v>
      </c>
      <c r="E818">
        <v>123.646</v>
      </c>
      <c r="F818">
        <v>45</v>
      </c>
      <c r="G818">
        <v>30</v>
      </c>
      <c r="H818">
        <v>0</v>
      </c>
      <c r="I818" s="173">
        <v>0.96</v>
      </c>
      <c r="J818" s="121">
        <v>62422845</v>
      </c>
      <c r="K818" s="125">
        <v>746.846</v>
      </c>
      <c r="L818" s="173">
        <v>1.38</v>
      </c>
      <c r="M818">
        <v>0.96</v>
      </c>
      <c r="N818">
        <v>0.92000000459999998</v>
      </c>
      <c r="O818">
        <v>3.9999995399999988</v>
      </c>
      <c r="P818">
        <v>395.88900000000001</v>
      </c>
      <c r="Q818" s="125">
        <v>0</v>
      </c>
      <c r="R818" s="125">
        <v>0</v>
      </c>
      <c r="S818" s="125">
        <v>0.49099999999999999</v>
      </c>
      <c r="T818" s="125">
        <v>2.165</v>
      </c>
      <c r="U818" s="125">
        <v>0</v>
      </c>
      <c r="V818" s="125">
        <v>0</v>
      </c>
      <c r="W818" s="125">
        <v>0.85799999999999998</v>
      </c>
      <c r="X818" s="125">
        <v>0</v>
      </c>
      <c r="Y818" s="125">
        <v>0</v>
      </c>
      <c r="Z818" s="125">
        <v>0</v>
      </c>
      <c r="AA818" s="125">
        <v>48.029000000000003</v>
      </c>
      <c r="AB818" s="125">
        <v>10.493</v>
      </c>
      <c r="AC818" s="125">
        <v>391.9</v>
      </c>
      <c r="AD818" s="125">
        <v>0</v>
      </c>
      <c r="AE818" s="125">
        <v>67.492000000000004</v>
      </c>
      <c r="AF818" s="125">
        <v>19.794</v>
      </c>
      <c r="AG818" s="125">
        <v>0</v>
      </c>
      <c r="AH818" s="125">
        <v>0</v>
      </c>
      <c r="AI818" s="121">
        <v>597761</v>
      </c>
      <c r="AJ818" s="121">
        <v>0</v>
      </c>
      <c r="AK818" s="424">
        <v>8</v>
      </c>
      <c r="AL818">
        <v>0</v>
      </c>
      <c r="AM818" s="121">
        <v>9841</v>
      </c>
      <c r="AN818" s="125">
        <v>0</v>
      </c>
      <c r="AO818" s="125">
        <v>0</v>
      </c>
      <c r="AP818" s="121">
        <v>597761</v>
      </c>
      <c r="AQ818" s="114">
        <v>0</v>
      </c>
      <c r="AR818" s="121">
        <v>41.608540204999997</v>
      </c>
      <c r="AS818" s="121">
        <v>8176.2088107</v>
      </c>
      <c r="AT818" s="121">
        <v>1076.803034</v>
      </c>
      <c r="AU818" s="420" t="s">
        <v>2001</v>
      </c>
      <c r="AV818" s="420" t="s">
        <v>2001</v>
      </c>
      <c r="AW818" s="121">
        <v>0</v>
      </c>
      <c r="AX818" s="121">
        <v>0</v>
      </c>
      <c r="BI818">
        <v>0</v>
      </c>
      <c r="BJ818" s="121">
        <v>0</v>
      </c>
      <c r="BK818" s="134">
        <v>62422845</v>
      </c>
      <c r="BL818" s="934">
        <v>4555</v>
      </c>
      <c r="BM818" s="934">
        <v>4541</v>
      </c>
      <c r="BN818" s="934">
        <v>4595</v>
      </c>
      <c r="BO818" s="114">
        <v>0</v>
      </c>
      <c r="BP818" s="114">
        <v>0</v>
      </c>
    </row>
    <row r="819" spans="1:68">
      <c r="A819" t="s">
        <v>1885</v>
      </c>
      <c r="B819" t="s">
        <v>1103</v>
      </c>
      <c r="C819" s="121">
        <v>5760</v>
      </c>
      <c r="D819" s="72">
        <v>2</v>
      </c>
      <c r="E819">
        <v>3535.1379999999999</v>
      </c>
      <c r="F819">
        <v>936</v>
      </c>
      <c r="G819">
        <v>517</v>
      </c>
      <c r="H819">
        <v>121</v>
      </c>
      <c r="I819" s="173">
        <v>1.04</v>
      </c>
      <c r="J819" s="121">
        <v>5203356036</v>
      </c>
      <c r="K819" s="125">
        <v>15554.841</v>
      </c>
      <c r="L819" s="173">
        <v>1.5</v>
      </c>
      <c r="M819">
        <v>1.04</v>
      </c>
      <c r="N819">
        <v>1.000000005</v>
      </c>
      <c r="O819">
        <v>3.9999995000000066</v>
      </c>
      <c r="P819">
        <v>13092</v>
      </c>
      <c r="Q819" s="125">
        <v>1</v>
      </c>
      <c r="R819" s="125">
        <v>0</v>
      </c>
      <c r="S819" s="125">
        <v>18</v>
      </c>
      <c r="T819" s="125">
        <v>342</v>
      </c>
      <c r="U819" s="125">
        <v>80</v>
      </c>
      <c r="V819" s="125">
        <v>0</v>
      </c>
      <c r="W819" s="125">
        <v>0</v>
      </c>
      <c r="X819" s="125">
        <v>0</v>
      </c>
      <c r="Y819" s="125">
        <v>0</v>
      </c>
      <c r="Z819" s="125">
        <v>1</v>
      </c>
      <c r="AA819" s="125">
        <v>60</v>
      </c>
      <c r="AB819" s="125">
        <v>407</v>
      </c>
      <c r="AC819" s="125">
        <v>2408</v>
      </c>
      <c r="AD819" s="125">
        <v>3</v>
      </c>
      <c r="AE819" s="125">
        <v>788</v>
      </c>
      <c r="AF819" s="125">
        <v>654.6</v>
      </c>
      <c r="AG819" s="125">
        <v>0</v>
      </c>
      <c r="AH819" s="125">
        <v>0</v>
      </c>
      <c r="AI819" s="121">
        <v>56820648</v>
      </c>
      <c r="AJ819" s="121">
        <v>18045928</v>
      </c>
      <c r="AK819" s="424">
        <v>12</v>
      </c>
      <c r="AL819">
        <v>0</v>
      </c>
      <c r="AM819" s="121">
        <v>888357</v>
      </c>
      <c r="AN819" s="125">
        <v>0</v>
      </c>
      <c r="AO819" s="125">
        <v>0</v>
      </c>
      <c r="AP819" s="121">
        <v>74866576</v>
      </c>
      <c r="AQ819" s="114">
        <v>0</v>
      </c>
      <c r="AR819" s="121">
        <v>3468.3463854000001</v>
      </c>
      <c r="AS819" s="121">
        <v>681540.95614999998</v>
      </c>
      <c r="AT819" s="121">
        <v>89758.638305999993</v>
      </c>
      <c r="AU819" s="420" t="s">
        <v>798</v>
      </c>
      <c r="AV819" s="420" t="s">
        <v>2001</v>
      </c>
      <c r="AW819" s="121">
        <v>0</v>
      </c>
      <c r="AX819" s="121">
        <v>17878300</v>
      </c>
      <c r="AY819" s="134">
        <v>2137880</v>
      </c>
      <c r="AZ819" s="134">
        <v>12776367</v>
      </c>
      <c r="BA819" s="134">
        <v>5311</v>
      </c>
      <c r="BB819" s="134">
        <v>1077190337</v>
      </c>
      <c r="BC819" s="114">
        <v>0</v>
      </c>
      <c r="BD819" s="114">
        <v>0</v>
      </c>
      <c r="BE819" s="114">
        <v>0</v>
      </c>
      <c r="BF819" s="134">
        <v>13027</v>
      </c>
      <c r="BG819" s="114">
        <v>0</v>
      </c>
      <c r="BH819" s="114">
        <v>0</v>
      </c>
      <c r="BI819">
        <v>0</v>
      </c>
      <c r="BJ819" s="121">
        <v>0</v>
      </c>
      <c r="BK819" s="134">
        <v>5203356036</v>
      </c>
      <c r="BL819" s="934">
        <v>5396</v>
      </c>
      <c r="BM819" s="934">
        <v>5760</v>
      </c>
      <c r="BN819" s="934">
        <v>5749</v>
      </c>
      <c r="BO819" s="114">
        <v>0</v>
      </c>
      <c r="BP819" s="114">
        <v>0</v>
      </c>
    </row>
    <row r="820" spans="1:68">
      <c r="A820" t="s">
        <v>2056</v>
      </c>
      <c r="B820" t="s">
        <v>668</v>
      </c>
      <c r="C820" s="121">
        <v>5086</v>
      </c>
      <c r="D820" s="72">
        <v>3</v>
      </c>
      <c r="E820">
        <v>999.10500000000002</v>
      </c>
      <c r="F820">
        <v>326</v>
      </c>
      <c r="G820">
        <v>227</v>
      </c>
      <c r="H820">
        <v>0</v>
      </c>
      <c r="I820" s="173">
        <v>1.04</v>
      </c>
      <c r="J820" s="121">
        <v>908002935</v>
      </c>
      <c r="K820" s="125">
        <v>5831.7420000000002</v>
      </c>
      <c r="L820" s="173">
        <v>1.395</v>
      </c>
      <c r="M820">
        <v>1.04</v>
      </c>
      <c r="N820">
        <v>0.93000000464999999</v>
      </c>
      <c r="O820">
        <v>10.999999535000004</v>
      </c>
      <c r="P820">
        <v>4739.62</v>
      </c>
      <c r="Q820" s="125">
        <v>0.22600000000000001</v>
      </c>
      <c r="R820" s="125">
        <v>0</v>
      </c>
      <c r="S820" s="125">
        <v>6.5730000000000004</v>
      </c>
      <c r="T820" s="125">
        <v>137.381</v>
      </c>
      <c r="U820" s="125">
        <v>24.161999999999999</v>
      </c>
      <c r="V820" s="125">
        <v>0</v>
      </c>
      <c r="W820" s="125">
        <v>5.1449999999999996</v>
      </c>
      <c r="X820" s="125">
        <v>0</v>
      </c>
      <c r="Y820" s="125">
        <v>0</v>
      </c>
      <c r="Z820" s="125">
        <v>0.51700000000000002</v>
      </c>
      <c r="AA820" s="125">
        <v>7.3929999999999998</v>
      </c>
      <c r="AB820" s="125">
        <v>276.72000000000003</v>
      </c>
      <c r="AC820" s="125">
        <v>1313.8</v>
      </c>
      <c r="AD820" s="125">
        <v>0.35599999999999998</v>
      </c>
      <c r="AE820" s="125">
        <v>392.33300000000003</v>
      </c>
      <c r="AF820" s="125">
        <v>236.98099999999999</v>
      </c>
      <c r="AG820" s="125">
        <v>0</v>
      </c>
      <c r="AH820" s="125">
        <v>0</v>
      </c>
      <c r="AI820" s="121">
        <v>9419622</v>
      </c>
      <c r="AJ820" s="121">
        <v>2301019</v>
      </c>
      <c r="AK820" s="424">
        <v>12</v>
      </c>
      <c r="AL820">
        <v>0</v>
      </c>
      <c r="AM820" s="121">
        <v>308091</v>
      </c>
      <c r="AN820" s="125">
        <v>0</v>
      </c>
      <c r="AO820" s="125">
        <v>0</v>
      </c>
      <c r="AP820" s="121">
        <v>11720641</v>
      </c>
      <c r="AQ820" s="114">
        <v>0</v>
      </c>
      <c r="AR820" s="121">
        <v>605.23798021000005</v>
      </c>
      <c r="AS820" s="121">
        <v>118931.1637</v>
      </c>
      <c r="AT820" s="121">
        <v>15663.180928</v>
      </c>
      <c r="AU820" s="420" t="s">
        <v>2001</v>
      </c>
      <c r="AV820" s="420" t="s">
        <v>2001</v>
      </c>
      <c r="AW820" s="121">
        <v>0</v>
      </c>
      <c r="AX820" s="121">
        <v>5073553</v>
      </c>
      <c r="BI820">
        <v>0</v>
      </c>
      <c r="BJ820" s="121">
        <v>0</v>
      </c>
      <c r="BK820" s="134">
        <v>908002935</v>
      </c>
      <c r="BL820" s="934">
        <v>4842</v>
      </c>
      <c r="BM820" s="934">
        <v>4910</v>
      </c>
      <c r="BN820" s="934">
        <v>5086</v>
      </c>
      <c r="BO820" s="114">
        <v>0</v>
      </c>
      <c r="BP820" s="114">
        <v>0</v>
      </c>
    </row>
    <row r="821" spans="1:68">
      <c r="A821" t="s">
        <v>1886</v>
      </c>
      <c r="B821" t="s">
        <v>2166</v>
      </c>
      <c r="C821" s="121">
        <v>4908</v>
      </c>
      <c r="D821" s="72">
        <v>3</v>
      </c>
      <c r="E821">
        <v>278.69499999999999</v>
      </c>
      <c r="F821">
        <v>96</v>
      </c>
      <c r="G821">
        <v>54</v>
      </c>
      <c r="H821">
        <v>5</v>
      </c>
      <c r="I821" s="173">
        <v>1.17</v>
      </c>
      <c r="J821" s="121">
        <v>193270931</v>
      </c>
      <c r="K821" s="125">
        <v>1533.432</v>
      </c>
      <c r="L821" s="173">
        <v>1.5</v>
      </c>
      <c r="M821">
        <v>1.17</v>
      </c>
      <c r="N821">
        <v>1.000000005</v>
      </c>
      <c r="O821">
        <v>16.999999499999994</v>
      </c>
      <c r="P821">
        <v>920</v>
      </c>
      <c r="Q821" s="125">
        <v>0.25</v>
      </c>
      <c r="R821" s="125">
        <v>0</v>
      </c>
      <c r="S821" s="125">
        <v>1.3</v>
      </c>
      <c r="T821" s="125">
        <v>18</v>
      </c>
      <c r="U821" s="125">
        <v>5.5</v>
      </c>
      <c r="V821" s="125">
        <v>0</v>
      </c>
      <c r="W821" s="125">
        <v>0.3</v>
      </c>
      <c r="X821" s="125">
        <v>0</v>
      </c>
      <c r="Y821" s="125">
        <v>0</v>
      </c>
      <c r="Z821" s="125">
        <v>0.5</v>
      </c>
      <c r="AA821" s="125">
        <v>27</v>
      </c>
      <c r="AB821" s="125">
        <v>60</v>
      </c>
      <c r="AC821" s="125">
        <v>580</v>
      </c>
      <c r="AD821" s="125">
        <v>0.22</v>
      </c>
      <c r="AE821" s="125">
        <v>15</v>
      </c>
      <c r="AF821" s="125">
        <v>46</v>
      </c>
      <c r="AG821" s="125">
        <v>0</v>
      </c>
      <c r="AH821" s="125">
        <v>0</v>
      </c>
      <c r="AI821" s="121">
        <v>2303103</v>
      </c>
      <c r="AJ821" s="121">
        <v>2613</v>
      </c>
      <c r="AK821" s="424">
        <v>12</v>
      </c>
      <c r="AL821">
        <v>0</v>
      </c>
      <c r="AM821" s="121">
        <v>74287</v>
      </c>
      <c r="AN821" s="125">
        <v>0</v>
      </c>
      <c r="AO821" s="125">
        <v>0</v>
      </c>
      <c r="AP821" s="121">
        <v>2305716</v>
      </c>
      <c r="AQ821" s="114">
        <v>0</v>
      </c>
      <c r="AR821" s="121">
        <v>128.82657467999999</v>
      </c>
      <c r="AS821" s="121">
        <v>25314.826469</v>
      </c>
      <c r="AT821" s="121">
        <v>3333.9512942000001</v>
      </c>
      <c r="AU821" s="420" t="s">
        <v>2001</v>
      </c>
      <c r="AV821" s="420" t="s">
        <v>2001</v>
      </c>
      <c r="AW821" s="121">
        <v>0</v>
      </c>
      <c r="AX821" s="121">
        <v>0</v>
      </c>
      <c r="BI821">
        <v>0</v>
      </c>
      <c r="BJ821" s="121">
        <v>0</v>
      </c>
      <c r="BK821" s="134">
        <v>193270931</v>
      </c>
      <c r="BL821" s="934">
        <v>4779</v>
      </c>
      <c r="BM821" s="934">
        <v>4794</v>
      </c>
      <c r="BN821" s="934">
        <v>4908</v>
      </c>
      <c r="BO821" s="114">
        <v>0</v>
      </c>
      <c r="BP821" s="114">
        <v>0</v>
      </c>
    </row>
    <row r="822" spans="1:68">
      <c r="A822" t="s">
        <v>412</v>
      </c>
      <c r="B822" t="s">
        <v>2556</v>
      </c>
      <c r="C822" s="121">
        <v>4771</v>
      </c>
      <c r="D822" s="72">
        <v>2</v>
      </c>
      <c r="E822">
        <v>128.446</v>
      </c>
      <c r="F822">
        <v>39</v>
      </c>
      <c r="G822">
        <v>25</v>
      </c>
      <c r="H822">
        <v>1</v>
      </c>
      <c r="I822" s="173">
        <v>1.17</v>
      </c>
      <c r="J822" s="121">
        <v>51190331</v>
      </c>
      <c r="K822" s="125">
        <v>653.61300000000006</v>
      </c>
      <c r="L822" s="173">
        <v>1.5</v>
      </c>
      <c r="M822">
        <v>1.17</v>
      </c>
      <c r="N822">
        <v>1.000000005</v>
      </c>
      <c r="O822">
        <v>16.999999499999994</v>
      </c>
      <c r="P822">
        <v>384.99</v>
      </c>
      <c r="Q822" s="125">
        <v>0</v>
      </c>
      <c r="R822" s="125">
        <v>0</v>
      </c>
      <c r="S822" s="125">
        <v>0.51100000000000001</v>
      </c>
      <c r="T822" s="125">
        <v>12.558999999999999</v>
      </c>
      <c r="U822" s="125">
        <v>1.9770000000000001</v>
      </c>
      <c r="V822" s="125">
        <v>0</v>
      </c>
      <c r="W822" s="125">
        <v>0</v>
      </c>
      <c r="X822" s="125">
        <v>0</v>
      </c>
      <c r="Y822" s="125">
        <v>0</v>
      </c>
      <c r="Z822" s="125">
        <v>0</v>
      </c>
      <c r="AA822" s="125">
        <v>11.739000000000001</v>
      </c>
      <c r="AB822" s="125">
        <v>20.097999999999999</v>
      </c>
      <c r="AC822" s="125">
        <v>226.5</v>
      </c>
      <c r="AD822" s="125">
        <v>0.25800000000000001</v>
      </c>
      <c r="AE822" s="125">
        <v>50.738</v>
      </c>
      <c r="AF822" s="125">
        <v>19.248999999999999</v>
      </c>
      <c r="AG822" s="125">
        <v>0</v>
      </c>
      <c r="AH822" s="125">
        <v>0</v>
      </c>
      <c r="AI822" s="121">
        <v>610007</v>
      </c>
      <c r="AJ822" s="121">
        <v>32779</v>
      </c>
      <c r="AK822" s="424">
        <v>12</v>
      </c>
      <c r="AL822">
        <v>0</v>
      </c>
      <c r="AM822" s="121">
        <v>47750</v>
      </c>
      <c r="AN822" s="125">
        <v>0</v>
      </c>
      <c r="AO822" s="125">
        <v>0</v>
      </c>
      <c r="AP822" s="121">
        <v>642786</v>
      </c>
      <c r="AQ822" s="114">
        <v>0</v>
      </c>
      <c r="AR822" s="121">
        <v>34.121401315999996</v>
      </c>
      <c r="AS822" s="121">
        <v>6704.9625077000001</v>
      </c>
      <c r="AT822" s="121">
        <v>883.04055559000005</v>
      </c>
      <c r="AU822" s="420" t="s">
        <v>2001</v>
      </c>
      <c r="AV822" s="420" t="s">
        <v>2001</v>
      </c>
      <c r="AW822" s="121">
        <v>0</v>
      </c>
      <c r="AX822" s="121">
        <v>110612</v>
      </c>
      <c r="BI822">
        <v>0</v>
      </c>
      <c r="BJ822" s="121">
        <v>0</v>
      </c>
      <c r="BK822" s="134">
        <v>51190331</v>
      </c>
      <c r="BL822" s="934">
        <v>4620</v>
      </c>
      <c r="BM822" s="934">
        <v>4771</v>
      </c>
      <c r="BN822" s="934">
        <v>4719</v>
      </c>
      <c r="BO822" s="114">
        <v>0</v>
      </c>
      <c r="BP822" s="114">
        <v>0</v>
      </c>
    </row>
    <row r="823" spans="1:68">
      <c r="A823" t="s">
        <v>1350</v>
      </c>
      <c r="B823" t="s">
        <v>2662</v>
      </c>
      <c r="C823" s="121">
        <v>5012</v>
      </c>
      <c r="D823" s="72">
        <v>2</v>
      </c>
      <c r="E823">
        <v>181.72399999999999</v>
      </c>
      <c r="F823">
        <v>58</v>
      </c>
      <c r="G823">
        <v>44</v>
      </c>
      <c r="H823">
        <v>1</v>
      </c>
      <c r="I823" s="173">
        <v>1.04</v>
      </c>
      <c r="J823" s="121">
        <v>165722631</v>
      </c>
      <c r="K823" s="125">
        <v>1143.3489999999999</v>
      </c>
      <c r="L823" s="173">
        <v>1.45</v>
      </c>
      <c r="M823">
        <v>1.04</v>
      </c>
      <c r="N823">
        <v>0.96666667149999996</v>
      </c>
      <c r="O823">
        <v>7.3333328500000068</v>
      </c>
      <c r="P823">
        <v>642</v>
      </c>
      <c r="Q823" s="125">
        <v>0</v>
      </c>
      <c r="R823" s="125">
        <v>0</v>
      </c>
      <c r="S823" s="125">
        <v>1</v>
      </c>
      <c r="T823" s="125">
        <v>13</v>
      </c>
      <c r="U823" s="125">
        <v>2</v>
      </c>
      <c r="V823" s="125">
        <v>0</v>
      </c>
      <c r="W823" s="125">
        <v>0.64300000000000002</v>
      </c>
      <c r="X823" s="125">
        <v>0</v>
      </c>
      <c r="Y823" s="125">
        <v>0</v>
      </c>
      <c r="Z823" s="125">
        <v>0</v>
      </c>
      <c r="AA823" s="125">
        <v>19</v>
      </c>
      <c r="AB823" s="125">
        <v>20</v>
      </c>
      <c r="AC823" s="125">
        <v>457</v>
      </c>
      <c r="AD823" s="125">
        <v>0.39400000000000002</v>
      </c>
      <c r="AE823" s="125">
        <v>27.2</v>
      </c>
      <c r="AF823" s="125">
        <v>32.1</v>
      </c>
      <c r="AG823" s="125">
        <v>0</v>
      </c>
      <c r="AH823" s="125">
        <v>0</v>
      </c>
      <c r="AI823" s="121">
        <v>1755400</v>
      </c>
      <c r="AJ823" s="121">
        <v>0</v>
      </c>
      <c r="AK823" s="424">
        <v>12</v>
      </c>
      <c r="AL823">
        <v>0</v>
      </c>
      <c r="AM823" s="121">
        <v>39245</v>
      </c>
      <c r="AN823" s="125">
        <v>0</v>
      </c>
      <c r="AO823" s="125">
        <v>0</v>
      </c>
      <c r="AP823" s="121">
        <v>1755400</v>
      </c>
      <c r="AQ823" s="114">
        <v>0</v>
      </c>
      <c r="AR823" s="121">
        <v>110.46399366999999</v>
      </c>
      <c r="AS823" s="121">
        <v>21706.521637999998</v>
      </c>
      <c r="AT823" s="121">
        <v>2858.7391659999998</v>
      </c>
      <c r="AU823" s="420" t="s">
        <v>2001</v>
      </c>
      <c r="AV823" s="420" t="s">
        <v>2001</v>
      </c>
      <c r="AW823" s="121">
        <v>0</v>
      </c>
      <c r="AX823" s="121">
        <v>0</v>
      </c>
      <c r="BI823">
        <v>0</v>
      </c>
      <c r="BJ823" s="121">
        <v>0</v>
      </c>
      <c r="BK823" s="134">
        <v>165722631</v>
      </c>
      <c r="BL823" s="934">
        <v>4457</v>
      </c>
      <c r="BM823" s="934">
        <v>5012</v>
      </c>
      <c r="BN823" s="934">
        <v>4472</v>
      </c>
      <c r="BO823" s="114">
        <v>0</v>
      </c>
      <c r="BP823" s="114">
        <v>0</v>
      </c>
    </row>
    <row r="824" spans="1:68">
      <c r="A824" t="s">
        <v>413</v>
      </c>
      <c r="B824" t="s">
        <v>291</v>
      </c>
      <c r="C824" s="121">
        <v>4957</v>
      </c>
      <c r="D824" s="72">
        <v>2</v>
      </c>
      <c r="E824">
        <v>0</v>
      </c>
      <c r="F824">
        <v>8</v>
      </c>
      <c r="G824">
        <v>7</v>
      </c>
      <c r="H824">
        <v>0</v>
      </c>
      <c r="I824" s="173">
        <v>1.17</v>
      </c>
      <c r="J824" s="121">
        <v>4140935</v>
      </c>
      <c r="K824" s="125">
        <v>154.857</v>
      </c>
      <c r="L824" s="173">
        <v>1.5</v>
      </c>
      <c r="M824">
        <v>1.17</v>
      </c>
      <c r="N824">
        <v>1.000000005</v>
      </c>
      <c r="O824">
        <v>16.999999499999994</v>
      </c>
      <c r="P824">
        <v>71.941999999999993</v>
      </c>
      <c r="Q824" s="125">
        <v>0</v>
      </c>
      <c r="R824" s="125">
        <v>0</v>
      </c>
      <c r="S824" s="125">
        <v>0.14699999999999999</v>
      </c>
      <c r="T824" s="125">
        <v>4.1260000000000003</v>
      </c>
      <c r="U824" s="125">
        <v>0</v>
      </c>
      <c r="V824" s="125">
        <v>0.56399999999999995</v>
      </c>
      <c r="W824" s="125">
        <v>0</v>
      </c>
      <c r="X824" s="125">
        <v>0</v>
      </c>
      <c r="Y824" s="125">
        <v>0</v>
      </c>
      <c r="Z824" s="125">
        <v>0</v>
      </c>
      <c r="AA824" s="125">
        <v>4.6219999999999999</v>
      </c>
      <c r="AB824" s="125">
        <v>0</v>
      </c>
      <c r="AC824" s="125">
        <v>71.2</v>
      </c>
      <c r="AD824" s="125">
        <v>0</v>
      </c>
      <c r="AE824" s="125">
        <v>0</v>
      </c>
      <c r="AF824" s="125">
        <v>3.597</v>
      </c>
      <c r="AG824" s="125">
        <v>0</v>
      </c>
      <c r="AH824" s="125">
        <v>0</v>
      </c>
      <c r="AI824" s="121">
        <v>50871</v>
      </c>
      <c r="AJ824" s="121">
        <v>1873</v>
      </c>
      <c r="AK824" s="424">
        <v>8</v>
      </c>
      <c r="AL824">
        <v>0</v>
      </c>
      <c r="AM824" s="121">
        <v>15304</v>
      </c>
      <c r="AN824" s="125">
        <v>0</v>
      </c>
      <c r="AO824" s="125">
        <v>0</v>
      </c>
      <c r="AP824" s="121">
        <v>52744</v>
      </c>
      <c r="AQ824" s="114">
        <v>0</v>
      </c>
      <c r="AR824" s="121">
        <v>2.7601795534</v>
      </c>
      <c r="AS824" s="121">
        <v>542.38394985000002</v>
      </c>
      <c r="AT824" s="121">
        <v>71.431722977000007</v>
      </c>
      <c r="AU824" s="420" t="s">
        <v>2001</v>
      </c>
      <c r="AV824" s="420" t="s">
        <v>2001</v>
      </c>
      <c r="AW824" s="121">
        <v>0</v>
      </c>
      <c r="AX824" s="121">
        <v>97556</v>
      </c>
      <c r="BI824">
        <v>0</v>
      </c>
      <c r="BJ824" s="121">
        <v>0</v>
      </c>
      <c r="BK824" s="134">
        <v>4140935</v>
      </c>
      <c r="BL824" s="934">
        <v>4364</v>
      </c>
      <c r="BM824" s="934">
        <v>4957</v>
      </c>
      <c r="BN824" s="934">
        <v>4845</v>
      </c>
      <c r="BO824" s="114">
        <v>0</v>
      </c>
      <c r="BP824" s="114">
        <v>0</v>
      </c>
    </row>
    <row r="825" spans="1:68">
      <c r="A825" t="s">
        <v>1887</v>
      </c>
      <c r="B825" t="s">
        <v>2167</v>
      </c>
      <c r="C825" s="121">
        <v>5310</v>
      </c>
      <c r="D825" s="72">
        <v>2</v>
      </c>
      <c r="E825">
        <v>940.84900000000005</v>
      </c>
      <c r="F825">
        <v>291</v>
      </c>
      <c r="G825">
        <v>279</v>
      </c>
      <c r="H825">
        <v>29</v>
      </c>
      <c r="I825" s="173">
        <v>1.04</v>
      </c>
      <c r="J825" s="121">
        <v>1535826790</v>
      </c>
      <c r="K825" s="125">
        <v>4274.6819999999998</v>
      </c>
      <c r="L825" s="173">
        <v>1.5</v>
      </c>
      <c r="M825">
        <v>1.04</v>
      </c>
      <c r="N825">
        <v>1.000000005</v>
      </c>
      <c r="O825">
        <v>3.9999995000000066</v>
      </c>
      <c r="P825">
        <v>3284.1579999999999</v>
      </c>
      <c r="Q825" s="125">
        <v>0.441</v>
      </c>
      <c r="R825" s="125">
        <v>0</v>
      </c>
      <c r="S825" s="125">
        <v>5.4710000000000001</v>
      </c>
      <c r="T825" s="125">
        <v>126.815</v>
      </c>
      <c r="U825" s="125">
        <v>17.212</v>
      </c>
      <c r="V825" s="125">
        <v>4.6539999999999999</v>
      </c>
      <c r="W825" s="125">
        <v>3.2069999999999999</v>
      </c>
      <c r="X825" s="125">
        <v>0</v>
      </c>
      <c r="Y825" s="125">
        <v>0</v>
      </c>
      <c r="Z825" s="125">
        <v>0.12</v>
      </c>
      <c r="AA825" s="125">
        <v>11.954000000000001</v>
      </c>
      <c r="AB825" s="125">
        <v>182.464</v>
      </c>
      <c r="AC825" s="125">
        <v>2164.6999999999998</v>
      </c>
      <c r="AD825" s="125">
        <v>2.698</v>
      </c>
      <c r="AE825" s="125">
        <v>268.17</v>
      </c>
      <c r="AF825" s="125">
        <v>164.2079</v>
      </c>
      <c r="AG825" s="125">
        <v>0</v>
      </c>
      <c r="AH825" s="125">
        <v>0</v>
      </c>
      <c r="AI825" s="121">
        <v>16771229</v>
      </c>
      <c r="AJ825" s="121">
        <v>1228175</v>
      </c>
      <c r="AK825" s="424">
        <v>12</v>
      </c>
      <c r="AL825">
        <v>0</v>
      </c>
      <c r="AM825" s="121">
        <v>327953</v>
      </c>
      <c r="AN825" s="125">
        <v>0</v>
      </c>
      <c r="AO825" s="125">
        <v>0</v>
      </c>
      <c r="AP825" s="121">
        <v>17999404</v>
      </c>
      <c r="AQ825" s="114">
        <v>0</v>
      </c>
      <c r="AR825" s="121">
        <v>1023.7199336</v>
      </c>
      <c r="AS825" s="121">
        <v>201164.18166999999</v>
      </c>
      <c r="AT825" s="121">
        <v>26493.232520000001</v>
      </c>
      <c r="AU825" s="420" t="s">
        <v>798</v>
      </c>
      <c r="AV825" s="420" t="s">
        <v>2001</v>
      </c>
      <c r="AW825" s="121">
        <v>0</v>
      </c>
      <c r="AX825" s="121">
        <v>2118917</v>
      </c>
      <c r="AY825" s="134">
        <v>1142158</v>
      </c>
      <c r="AZ825" s="134">
        <v>10154694</v>
      </c>
      <c r="BA825" s="134">
        <v>4406</v>
      </c>
      <c r="BB825" s="134">
        <v>523557424</v>
      </c>
      <c r="BC825" s="114">
        <v>0</v>
      </c>
      <c r="BD825" s="114">
        <v>0</v>
      </c>
      <c r="BE825" s="114">
        <v>0</v>
      </c>
      <c r="BF825" s="134">
        <v>3435</v>
      </c>
      <c r="BG825" s="114">
        <v>0</v>
      </c>
      <c r="BH825" s="114">
        <v>0</v>
      </c>
      <c r="BI825">
        <v>0</v>
      </c>
      <c r="BJ825" s="121">
        <v>0</v>
      </c>
      <c r="BK825" s="134">
        <v>1535826790</v>
      </c>
      <c r="BL825" s="934">
        <v>4952</v>
      </c>
      <c r="BM825" s="934">
        <v>5310</v>
      </c>
      <c r="BN825" s="934">
        <v>5100</v>
      </c>
      <c r="BO825" s="114">
        <v>0</v>
      </c>
      <c r="BP825" s="114">
        <v>0</v>
      </c>
    </row>
    <row r="826" spans="1:68">
      <c r="A826" t="s">
        <v>1888</v>
      </c>
      <c r="B826" t="s">
        <v>1718</v>
      </c>
      <c r="C826" s="121">
        <v>4749</v>
      </c>
      <c r="D826" s="72">
        <v>1</v>
      </c>
      <c r="E826">
        <v>36.598999999999997</v>
      </c>
      <c r="F826">
        <v>21</v>
      </c>
      <c r="G826">
        <v>10</v>
      </c>
      <c r="H826">
        <v>2</v>
      </c>
      <c r="I826" s="173">
        <v>1.04</v>
      </c>
      <c r="J826" s="121">
        <v>78866805</v>
      </c>
      <c r="K826" s="125">
        <v>308.04000000000002</v>
      </c>
      <c r="L826" s="173">
        <v>1.5</v>
      </c>
      <c r="M826">
        <v>1.04</v>
      </c>
      <c r="N826">
        <v>1.000000005</v>
      </c>
      <c r="O826">
        <v>3.9999995000000066</v>
      </c>
      <c r="P826">
        <v>155</v>
      </c>
      <c r="Q826" s="125">
        <v>0</v>
      </c>
      <c r="R826" s="125">
        <v>0.68700000000000006</v>
      </c>
      <c r="S826" s="125">
        <v>0.22</v>
      </c>
      <c r="T826" s="125">
        <v>8.3089999999999993</v>
      </c>
      <c r="U826" s="125">
        <v>2.7E-2</v>
      </c>
      <c r="V826" s="125">
        <v>0.27400000000000002</v>
      </c>
      <c r="W826" s="125">
        <v>0.05</v>
      </c>
      <c r="X826" s="125">
        <v>0</v>
      </c>
      <c r="Y826" s="125">
        <v>0</v>
      </c>
      <c r="Z826" s="125">
        <v>3.214</v>
      </c>
      <c r="AA826" s="125">
        <v>4.4009999999999998</v>
      </c>
      <c r="AB826" s="125">
        <v>11.356</v>
      </c>
      <c r="AC826" s="125">
        <v>123.3</v>
      </c>
      <c r="AD826" s="125">
        <v>0.183</v>
      </c>
      <c r="AE826" s="125">
        <v>7.0629999999999997</v>
      </c>
      <c r="AF826" s="125">
        <v>3</v>
      </c>
      <c r="AG826" s="125">
        <v>0</v>
      </c>
      <c r="AH826" s="125">
        <v>0</v>
      </c>
      <c r="AI826" s="121">
        <v>818164</v>
      </c>
      <c r="AJ826" s="121">
        <v>0</v>
      </c>
      <c r="AK826" s="424">
        <v>12</v>
      </c>
      <c r="AL826">
        <v>0</v>
      </c>
      <c r="AM826" s="121">
        <v>32493</v>
      </c>
      <c r="AN826" s="125">
        <v>0</v>
      </c>
      <c r="AO826" s="125">
        <v>0</v>
      </c>
      <c r="AP826" s="121">
        <v>818164</v>
      </c>
      <c r="AQ826" s="114">
        <v>0</v>
      </c>
      <c r="AR826" s="121">
        <v>52.569417922</v>
      </c>
      <c r="AS826" s="121">
        <v>10330.055702</v>
      </c>
      <c r="AT826" s="121">
        <v>1360.4637037</v>
      </c>
      <c r="AU826" s="420" t="s">
        <v>2001</v>
      </c>
      <c r="AV826" s="420" t="s">
        <v>2001</v>
      </c>
      <c r="AW826" s="121">
        <v>0</v>
      </c>
      <c r="AX826" s="121">
        <v>0</v>
      </c>
      <c r="BI826">
        <v>0</v>
      </c>
      <c r="BJ826" s="121">
        <v>0</v>
      </c>
      <c r="BK826" s="134">
        <v>78866805</v>
      </c>
      <c r="BL826" s="934">
        <v>4749</v>
      </c>
      <c r="BM826" s="934">
        <v>4461</v>
      </c>
      <c r="BN826" s="934">
        <v>4461</v>
      </c>
      <c r="BO826" s="114">
        <v>0</v>
      </c>
      <c r="BP826" s="114">
        <v>0</v>
      </c>
    </row>
    <row r="827" spans="1:68">
      <c r="A827" t="s">
        <v>1889</v>
      </c>
      <c r="B827" t="s">
        <v>1719</v>
      </c>
      <c r="C827" s="121">
        <v>4641</v>
      </c>
      <c r="D827" s="72">
        <v>1</v>
      </c>
      <c r="E827">
        <v>53.829000000000001</v>
      </c>
      <c r="F827">
        <v>24</v>
      </c>
      <c r="G827">
        <v>17</v>
      </c>
      <c r="H827">
        <v>0</v>
      </c>
      <c r="I827" s="173">
        <v>1.2518</v>
      </c>
      <c r="J827" s="121">
        <v>36544839</v>
      </c>
      <c r="K827" s="125">
        <v>441.19799999999998</v>
      </c>
      <c r="L827" s="173">
        <v>1.6227</v>
      </c>
      <c r="M827">
        <v>1.2518</v>
      </c>
      <c r="N827">
        <v>1.081800005409</v>
      </c>
      <c r="O827">
        <v>16.999999459100003</v>
      </c>
      <c r="P827">
        <v>238.80199999999999</v>
      </c>
      <c r="Q827" s="125">
        <v>0</v>
      </c>
      <c r="R827" s="125">
        <v>0</v>
      </c>
      <c r="S827" s="125">
        <v>0.40799999999999997</v>
      </c>
      <c r="T827" s="125">
        <v>11.162000000000001</v>
      </c>
      <c r="U827" s="125">
        <v>0.499</v>
      </c>
      <c r="V827" s="125">
        <v>0.40400000000000003</v>
      </c>
      <c r="W827" s="125">
        <v>0</v>
      </c>
      <c r="X827" s="125">
        <v>0</v>
      </c>
      <c r="Y827" s="125">
        <v>0</v>
      </c>
      <c r="Z827" s="125">
        <v>0</v>
      </c>
      <c r="AA827" s="125">
        <v>7.4749999999999996</v>
      </c>
      <c r="AB827" s="125">
        <v>5.7779999999999996</v>
      </c>
      <c r="AC827" s="125">
        <v>197.9</v>
      </c>
      <c r="AD827" s="125">
        <v>8.5000000000000006E-2</v>
      </c>
      <c r="AE827" s="125">
        <v>9.6449999999999996</v>
      </c>
      <c r="AF827" s="125">
        <v>11.94</v>
      </c>
      <c r="AG827" s="125">
        <v>0</v>
      </c>
      <c r="AH827" s="125">
        <v>0</v>
      </c>
      <c r="AI827" s="121">
        <v>465931</v>
      </c>
      <c r="AJ827" s="121">
        <v>0</v>
      </c>
      <c r="AK827" s="424">
        <v>12</v>
      </c>
      <c r="AL827">
        <v>0</v>
      </c>
      <c r="AM827" s="121">
        <v>13209</v>
      </c>
      <c r="AN827" s="125">
        <v>0</v>
      </c>
      <c r="AO827" s="125">
        <v>0</v>
      </c>
      <c r="AP827" s="121">
        <v>465931</v>
      </c>
      <c r="AQ827" s="114">
        <v>0</v>
      </c>
      <c r="AR827" s="121">
        <v>24.359309525</v>
      </c>
      <c r="AS827" s="121">
        <v>4786.6808155999997</v>
      </c>
      <c r="AT827" s="121">
        <v>630.40371696</v>
      </c>
      <c r="AU827" s="420" t="s">
        <v>2001</v>
      </c>
      <c r="AV827" s="420" t="s">
        <v>2001</v>
      </c>
      <c r="AW827" s="121">
        <v>0</v>
      </c>
      <c r="AX827" s="121">
        <v>0</v>
      </c>
      <c r="BI827">
        <v>0</v>
      </c>
      <c r="BJ827" s="121">
        <v>0</v>
      </c>
      <c r="BK827" s="134">
        <v>36544839</v>
      </c>
      <c r="BL827" s="934">
        <v>4641</v>
      </c>
      <c r="BM827" s="934">
        <v>4615</v>
      </c>
      <c r="BN827" s="934">
        <v>4535</v>
      </c>
      <c r="BO827" s="114">
        <v>0</v>
      </c>
      <c r="BP827" s="114">
        <v>0</v>
      </c>
    </row>
    <row r="828" spans="1:68">
      <c r="A828" t="s">
        <v>2830</v>
      </c>
      <c r="B828" t="s">
        <v>2467</v>
      </c>
      <c r="C828" s="121">
        <v>4207</v>
      </c>
      <c r="D828" s="72">
        <v>1</v>
      </c>
      <c r="E828">
        <v>127.679</v>
      </c>
      <c r="F828">
        <v>38</v>
      </c>
      <c r="G828">
        <v>18</v>
      </c>
      <c r="H828">
        <v>1</v>
      </c>
      <c r="I828" s="173">
        <v>1.04</v>
      </c>
      <c r="J828" s="121">
        <v>51595984</v>
      </c>
      <c r="K828" s="125">
        <v>626.25</v>
      </c>
      <c r="L828" s="173">
        <v>1.5</v>
      </c>
      <c r="M828">
        <v>1.04</v>
      </c>
      <c r="N828">
        <v>1.000000005</v>
      </c>
      <c r="O828">
        <v>3.9999995000000066</v>
      </c>
      <c r="P828">
        <v>370</v>
      </c>
      <c r="Q828" s="125">
        <v>0</v>
      </c>
      <c r="R828" s="125">
        <v>0</v>
      </c>
      <c r="S828" s="125">
        <v>0.31</v>
      </c>
      <c r="T828" s="125">
        <v>20.905000000000001</v>
      </c>
      <c r="U828" s="125">
        <v>0</v>
      </c>
      <c r="V828" s="125">
        <v>0</v>
      </c>
      <c r="W828" s="125">
        <v>1.1279999999999999</v>
      </c>
      <c r="X828" s="125">
        <v>0</v>
      </c>
      <c r="Y828" s="125">
        <v>0</v>
      </c>
      <c r="Z828" s="125">
        <v>0</v>
      </c>
      <c r="AA828" s="125">
        <v>2.3940000000000001</v>
      </c>
      <c r="AB828" s="125">
        <v>20.536999999999999</v>
      </c>
      <c r="AC828" s="125">
        <v>207.8</v>
      </c>
      <c r="AD828" s="125">
        <v>0</v>
      </c>
      <c r="AE828" s="125">
        <v>3.3730000000000002</v>
      </c>
      <c r="AF828" s="125">
        <v>18.5</v>
      </c>
      <c r="AG828" s="125">
        <v>0</v>
      </c>
      <c r="AH828" s="125">
        <v>0</v>
      </c>
      <c r="AI828" s="121">
        <v>523988</v>
      </c>
      <c r="AJ828" s="121">
        <v>0</v>
      </c>
      <c r="AK828" s="424">
        <v>12</v>
      </c>
      <c r="AL828">
        <v>0</v>
      </c>
      <c r="AM828" s="121">
        <v>23816</v>
      </c>
      <c r="AN828" s="125">
        <v>0</v>
      </c>
      <c r="AO828" s="125">
        <v>0</v>
      </c>
      <c r="AP828" s="121">
        <v>523988</v>
      </c>
      <c r="AQ828" s="114">
        <v>0</v>
      </c>
      <c r="AR828" s="121">
        <v>34.391793174999997</v>
      </c>
      <c r="AS828" s="121">
        <v>6758.0953571999999</v>
      </c>
      <c r="AT828" s="121">
        <v>890.03812804999995</v>
      </c>
      <c r="AU828" s="420" t="s">
        <v>2001</v>
      </c>
      <c r="AV828" s="420" t="s">
        <v>2001</v>
      </c>
      <c r="AW828" s="121">
        <v>0</v>
      </c>
      <c r="AX828" s="121">
        <v>124966</v>
      </c>
      <c r="BI828">
        <v>0</v>
      </c>
      <c r="BJ828" s="121">
        <v>0</v>
      </c>
      <c r="BK828" s="134">
        <v>51595984</v>
      </c>
      <c r="BL828" s="934">
        <v>4207</v>
      </c>
      <c r="BM828" s="934">
        <v>4169</v>
      </c>
      <c r="BN828" s="934">
        <v>4169</v>
      </c>
      <c r="BO828" s="114">
        <v>0</v>
      </c>
      <c r="BP828" s="114">
        <v>0</v>
      </c>
    </row>
    <row r="829" spans="1:68">
      <c r="A829" t="s">
        <v>2831</v>
      </c>
      <c r="B829" t="s">
        <v>1538</v>
      </c>
      <c r="C829" s="121">
        <v>4373</v>
      </c>
      <c r="D829" s="72">
        <v>2</v>
      </c>
      <c r="E829">
        <v>148.94399999999999</v>
      </c>
      <c r="F829">
        <v>58</v>
      </c>
      <c r="G829">
        <v>32</v>
      </c>
      <c r="H829">
        <v>0</v>
      </c>
      <c r="I829" s="173">
        <v>1.04</v>
      </c>
      <c r="J829" s="121">
        <v>62694648</v>
      </c>
      <c r="K829" s="125">
        <v>866.94399999999996</v>
      </c>
      <c r="L829" s="173">
        <v>1.5</v>
      </c>
      <c r="M829">
        <v>1.04</v>
      </c>
      <c r="N829">
        <v>1.000000005</v>
      </c>
      <c r="O829">
        <v>3.9999995000000066</v>
      </c>
      <c r="P829">
        <v>526.78499999999997</v>
      </c>
      <c r="Q829" s="125">
        <v>0.182</v>
      </c>
      <c r="R829" s="125">
        <v>0</v>
      </c>
      <c r="S829" s="125">
        <v>0.99399999999999999</v>
      </c>
      <c r="T829" s="125">
        <v>19.626000000000001</v>
      </c>
      <c r="U829" s="125">
        <v>2.6419999999999999</v>
      </c>
      <c r="V829" s="125">
        <v>1.163</v>
      </c>
      <c r="W829" s="125">
        <v>0.96699999999999997</v>
      </c>
      <c r="X829" s="125">
        <v>0</v>
      </c>
      <c r="Y829" s="125">
        <v>0</v>
      </c>
      <c r="Z829" s="125">
        <v>0.59199999999999997</v>
      </c>
      <c r="AA829" s="125">
        <v>8.1359999999999992</v>
      </c>
      <c r="AB829" s="125">
        <v>23.94</v>
      </c>
      <c r="AC829" s="125">
        <v>329.2</v>
      </c>
      <c r="AD829" s="125">
        <v>0</v>
      </c>
      <c r="AE829" s="125">
        <v>1.111</v>
      </c>
      <c r="AF829" s="125">
        <v>26.338999999999999</v>
      </c>
      <c r="AG829" s="125">
        <v>0</v>
      </c>
      <c r="AH829" s="125">
        <v>0</v>
      </c>
      <c r="AI829" s="121">
        <v>643102</v>
      </c>
      <c r="AJ829" s="121">
        <v>79806</v>
      </c>
      <c r="AK829" s="424">
        <v>12</v>
      </c>
      <c r="AL829">
        <v>0</v>
      </c>
      <c r="AM829" s="121">
        <v>16975</v>
      </c>
      <c r="AN829" s="125">
        <v>0</v>
      </c>
      <c r="AO829" s="125">
        <v>0</v>
      </c>
      <c r="AP829" s="121">
        <v>722908</v>
      </c>
      <c r="AQ829" s="114">
        <v>0</v>
      </c>
      <c r="AR829" s="121">
        <v>41.789712754</v>
      </c>
      <c r="AS829" s="121">
        <v>8211.8097856000004</v>
      </c>
      <c r="AT829" s="121">
        <v>1081.4916664</v>
      </c>
      <c r="AU829" s="420" t="s">
        <v>2001</v>
      </c>
      <c r="AV829" s="420" t="s">
        <v>2001</v>
      </c>
      <c r="AW829" s="121">
        <v>0</v>
      </c>
      <c r="AX829" s="121">
        <v>245849</v>
      </c>
      <c r="BI829">
        <v>0</v>
      </c>
      <c r="BJ829" s="121">
        <v>0</v>
      </c>
      <c r="BK829" s="134">
        <v>61991706</v>
      </c>
      <c r="BL829" s="934">
        <v>4362</v>
      </c>
      <c r="BM829" s="934">
        <v>4373</v>
      </c>
      <c r="BN829" s="934">
        <v>4373</v>
      </c>
      <c r="BO829" s="114">
        <v>0</v>
      </c>
      <c r="BP829" s="114">
        <v>0</v>
      </c>
    </row>
    <row r="830" spans="1:68">
      <c r="A830" t="s">
        <v>1890</v>
      </c>
      <c r="B830" t="s">
        <v>1720</v>
      </c>
      <c r="C830" s="121">
        <v>5339</v>
      </c>
      <c r="D830" s="72">
        <v>2</v>
      </c>
      <c r="E830">
        <v>411.16</v>
      </c>
      <c r="F830">
        <v>100</v>
      </c>
      <c r="G830">
        <v>58</v>
      </c>
      <c r="H830">
        <v>5</v>
      </c>
      <c r="I830" s="173">
        <v>0.75</v>
      </c>
      <c r="J830" s="121">
        <v>1856532138</v>
      </c>
      <c r="K830" s="125">
        <v>1719.1510000000001</v>
      </c>
      <c r="L830" s="173">
        <v>1.33</v>
      </c>
      <c r="M830">
        <v>0.75</v>
      </c>
      <c r="N830">
        <v>0.88666667110000008</v>
      </c>
      <c r="O830">
        <v>-13.666667110000008</v>
      </c>
      <c r="P830">
        <v>1225</v>
      </c>
      <c r="Q830" s="125">
        <v>0</v>
      </c>
      <c r="R830" s="125">
        <v>0</v>
      </c>
      <c r="S830" s="125">
        <v>1.68</v>
      </c>
      <c r="T830" s="125">
        <v>33.03</v>
      </c>
      <c r="U830" s="125">
        <v>5.77</v>
      </c>
      <c r="V830" s="125">
        <v>0.6</v>
      </c>
      <c r="W830" s="125">
        <v>0</v>
      </c>
      <c r="X830" s="125">
        <v>0</v>
      </c>
      <c r="Y830" s="125">
        <v>0</v>
      </c>
      <c r="Z830" s="125">
        <v>0</v>
      </c>
      <c r="AA830" s="125">
        <v>26.04</v>
      </c>
      <c r="AB830" s="125">
        <v>32.979999999999997</v>
      </c>
      <c r="AC830" s="125">
        <v>779</v>
      </c>
      <c r="AD830" s="125">
        <v>0</v>
      </c>
      <c r="AE830" s="125">
        <v>106.05</v>
      </c>
      <c r="AF830" s="125">
        <v>61.25</v>
      </c>
      <c r="AG830" s="125">
        <v>0</v>
      </c>
      <c r="AH830" s="125">
        <v>0</v>
      </c>
      <c r="AI830" s="121">
        <v>14473989</v>
      </c>
      <c r="AJ830" s="121">
        <v>2555999</v>
      </c>
      <c r="AK830" s="424">
        <v>12</v>
      </c>
      <c r="AL830">
        <v>0</v>
      </c>
      <c r="AM830" s="121">
        <v>140127</v>
      </c>
      <c r="AN830" s="125">
        <v>0</v>
      </c>
      <c r="AO830" s="125">
        <v>0</v>
      </c>
      <c r="AP830" s="121">
        <v>17029988</v>
      </c>
      <c r="AQ830" s="114">
        <v>0</v>
      </c>
      <c r="AR830" s="121">
        <v>0</v>
      </c>
      <c r="AS830" s="121">
        <v>0</v>
      </c>
      <c r="AT830" s="121">
        <v>0</v>
      </c>
      <c r="AU830" s="420" t="s">
        <v>798</v>
      </c>
      <c r="AV830" s="420" t="s">
        <v>2001</v>
      </c>
      <c r="AW830" s="121">
        <v>0</v>
      </c>
      <c r="AX830" s="121">
        <v>233144</v>
      </c>
      <c r="AY830" s="134">
        <v>1135415</v>
      </c>
      <c r="AZ830" s="134">
        <v>3549056</v>
      </c>
      <c r="BA830" s="134">
        <v>1434</v>
      </c>
      <c r="BB830" s="134">
        <v>750020440</v>
      </c>
      <c r="BC830" s="114">
        <v>0</v>
      </c>
      <c r="BD830" s="114">
        <v>0</v>
      </c>
      <c r="BE830" s="114">
        <v>0</v>
      </c>
      <c r="BF830" s="134">
        <v>1400</v>
      </c>
      <c r="BG830" s="114">
        <v>0</v>
      </c>
      <c r="BH830" s="114">
        <v>0</v>
      </c>
      <c r="BI830">
        <v>0</v>
      </c>
      <c r="BJ830" s="121">
        <v>0</v>
      </c>
      <c r="BK830" s="134">
        <v>1856532138</v>
      </c>
      <c r="BL830" s="934">
        <v>5125</v>
      </c>
      <c r="BM830" s="934">
        <v>5339</v>
      </c>
      <c r="BN830" s="934">
        <v>5256</v>
      </c>
      <c r="BO830" s="114">
        <v>0</v>
      </c>
      <c r="BP830" s="114">
        <v>0</v>
      </c>
    </row>
    <row r="831" spans="1:68">
      <c r="A831" t="s">
        <v>218</v>
      </c>
      <c r="B831" t="s">
        <v>729</v>
      </c>
      <c r="C831" s="121">
        <v>4516</v>
      </c>
      <c r="D831" s="72">
        <v>2</v>
      </c>
      <c r="E831">
        <v>160.45400000000001</v>
      </c>
      <c r="F831">
        <v>57</v>
      </c>
      <c r="G831">
        <v>33</v>
      </c>
      <c r="H831">
        <v>0</v>
      </c>
      <c r="I831" s="173">
        <v>1.17</v>
      </c>
      <c r="J831" s="121">
        <v>88798423</v>
      </c>
      <c r="K831" s="125">
        <v>958.34</v>
      </c>
      <c r="L831" s="173">
        <v>1.5</v>
      </c>
      <c r="M831">
        <v>1.17</v>
      </c>
      <c r="N831">
        <v>1.000000005</v>
      </c>
      <c r="O831">
        <v>16.999999499999994</v>
      </c>
      <c r="P831">
        <v>574.42200000000003</v>
      </c>
      <c r="Q831" s="125">
        <v>0</v>
      </c>
      <c r="R831" s="125">
        <v>0</v>
      </c>
      <c r="S831" s="125">
        <v>0.67900000000000005</v>
      </c>
      <c r="T831" s="125">
        <v>12.500999999999999</v>
      </c>
      <c r="U831" s="125">
        <v>1.6379999999999999</v>
      </c>
      <c r="V831" s="125">
        <v>0</v>
      </c>
      <c r="W831" s="125">
        <v>2.883</v>
      </c>
      <c r="X831" s="125">
        <v>0</v>
      </c>
      <c r="Y831" s="125">
        <v>0</v>
      </c>
      <c r="Z831" s="125">
        <v>0</v>
      </c>
      <c r="AA831" s="125">
        <v>24.37</v>
      </c>
      <c r="AB831" s="125">
        <v>22.225999999999999</v>
      </c>
      <c r="AC831" s="125">
        <v>420.4</v>
      </c>
      <c r="AD831" s="125">
        <v>0</v>
      </c>
      <c r="AE831" s="125">
        <v>173.91399999999999</v>
      </c>
      <c r="AF831" s="125">
        <v>28.721</v>
      </c>
      <c r="AG831" s="125">
        <v>0</v>
      </c>
      <c r="AH831" s="125">
        <v>0</v>
      </c>
      <c r="AI831" s="121">
        <v>1036344</v>
      </c>
      <c r="AJ831" s="121">
        <v>97106</v>
      </c>
      <c r="AK831" s="424">
        <v>12</v>
      </c>
      <c r="AL831">
        <v>0</v>
      </c>
      <c r="AM831" s="121">
        <v>52932</v>
      </c>
      <c r="AN831" s="125">
        <v>0</v>
      </c>
      <c r="AO831" s="125">
        <v>0</v>
      </c>
      <c r="AP831" s="121">
        <v>1133450</v>
      </c>
      <c r="AQ831" s="114">
        <v>0</v>
      </c>
      <c r="AR831" s="121">
        <v>59.189432226000001</v>
      </c>
      <c r="AS831" s="121">
        <v>11630.909301</v>
      </c>
      <c r="AT831" s="121">
        <v>1531.7855394000001</v>
      </c>
      <c r="AU831" s="420" t="s">
        <v>2001</v>
      </c>
      <c r="AV831" s="420" t="s">
        <v>2001</v>
      </c>
      <c r="AW831" s="121">
        <v>0</v>
      </c>
      <c r="AX831" s="121">
        <v>222895</v>
      </c>
      <c r="BI831">
        <v>0</v>
      </c>
      <c r="BJ831" s="121">
        <v>0</v>
      </c>
      <c r="BK831" s="134">
        <v>88798423</v>
      </c>
      <c r="BL831" s="934">
        <v>4508</v>
      </c>
      <c r="BM831" s="934">
        <v>4516</v>
      </c>
      <c r="BN831" s="934">
        <v>4516</v>
      </c>
      <c r="BO831" s="114">
        <v>0</v>
      </c>
      <c r="BP831" s="114">
        <v>0</v>
      </c>
    </row>
    <row r="832" spans="1:68">
      <c r="A832" t="s">
        <v>1891</v>
      </c>
      <c r="B832" t="s">
        <v>1721</v>
      </c>
      <c r="C832" s="121">
        <v>5563</v>
      </c>
      <c r="D832" s="72">
        <v>2</v>
      </c>
      <c r="E832">
        <v>238.49700000000001</v>
      </c>
      <c r="F832">
        <v>75</v>
      </c>
      <c r="G832">
        <v>55</v>
      </c>
      <c r="H832">
        <v>0</v>
      </c>
      <c r="I832" s="173">
        <v>1.04</v>
      </c>
      <c r="J832" s="121">
        <v>410248759</v>
      </c>
      <c r="K832" s="125">
        <v>1107.578</v>
      </c>
      <c r="L832" s="173">
        <v>1.5</v>
      </c>
      <c r="M832">
        <v>1.04</v>
      </c>
      <c r="N832">
        <v>1.000000005</v>
      </c>
      <c r="O832">
        <v>3.9999995000000066</v>
      </c>
      <c r="P832">
        <v>649.93700000000001</v>
      </c>
      <c r="Q832" s="125">
        <v>0</v>
      </c>
      <c r="R832" s="125">
        <v>0</v>
      </c>
      <c r="S832" s="125">
        <v>1.298</v>
      </c>
      <c r="T832" s="125">
        <v>17.686</v>
      </c>
      <c r="U832" s="125">
        <v>6.8929999999999998</v>
      </c>
      <c r="V832" s="125">
        <v>0</v>
      </c>
      <c r="W832" s="125">
        <v>0</v>
      </c>
      <c r="X832" s="125">
        <v>0</v>
      </c>
      <c r="Y832" s="125">
        <v>0</v>
      </c>
      <c r="Z832" s="125">
        <v>0</v>
      </c>
      <c r="AA832" s="125">
        <v>20.788</v>
      </c>
      <c r="AB832" s="125">
        <v>41.981000000000002</v>
      </c>
      <c r="AC832" s="125">
        <v>586.1</v>
      </c>
      <c r="AD832" s="125">
        <v>0.313</v>
      </c>
      <c r="AE832" s="125">
        <v>38.57</v>
      </c>
      <c r="AF832" s="125">
        <v>32.496850000000002</v>
      </c>
      <c r="AG832" s="125">
        <v>0</v>
      </c>
      <c r="AH832" s="125">
        <v>0</v>
      </c>
      <c r="AI832" s="121">
        <v>4524716</v>
      </c>
      <c r="AJ832" s="121">
        <v>768361</v>
      </c>
      <c r="AK832" s="424">
        <v>12</v>
      </c>
      <c r="AL832">
        <v>0</v>
      </c>
      <c r="AM832" s="121">
        <v>109977</v>
      </c>
      <c r="AN832" s="125">
        <v>0</v>
      </c>
      <c r="AO832" s="125">
        <v>0</v>
      </c>
      <c r="AP832" s="121">
        <v>5293077</v>
      </c>
      <c r="AQ832" s="114">
        <v>0</v>
      </c>
      <c r="AR832" s="121">
        <v>23.269502467999999</v>
      </c>
      <c r="AS832" s="121">
        <v>4572.5303065999997</v>
      </c>
      <c r="AT832" s="121">
        <v>602.20019093999997</v>
      </c>
      <c r="AU832" s="420" t="s">
        <v>798</v>
      </c>
      <c r="AV832" s="420" t="s">
        <v>2001</v>
      </c>
      <c r="AW832" s="121">
        <v>0</v>
      </c>
      <c r="AX832" s="121">
        <v>446162</v>
      </c>
      <c r="AY832" s="134">
        <v>2055512</v>
      </c>
      <c r="AZ832" s="134">
        <v>3575918</v>
      </c>
      <c r="BA832" s="134">
        <v>1502</v>
      </c>
      <c r="BB832" s="134">
        <v>319558103</v>
      </c>
      <c r="BC832" s="114">
        <v>0</v>
      </c>
      <c r="BD832" s="114">
        <v>0</v>
      </c>
      <c r="BE832" s="114">
        <v>0</v>
      </c>
      <c r="BF832" s="114">
        <v>876</v>
      </c>
      <c r="BG832" s="114">
        <v>0</v>
      </c>
      <c r="BH832" s="114">
        <v>0</v>
      </c>
      <c r="BI832">
        <v>0</v>
      </c>
      <c r="BJ832" s="121">
        <v>0</v>
      </c>
      <c r="BK832" s="134">
        <v>410248759</v>
      </c>
      <c r="BL832" s="934">
        <v>5191</v>
      </c>
      <c r="BM832" s="934">
        <v>5563</v>
      </c>
      <c r="BN832" s="934">
        <v>5245</v>
      </c>
      <c r="BO832" s="114">
        <v>0</v>
      </c>
      <c r="BP832" s="114">
        <v>0</v>
      </c>
    </row>
    <row r="833" spans="1:68">
      <c r="A833" t="s">
        <v>1575</v>
      </c>
      <c r="B833" t="s">
        <v>1722</v>
      </c>
      <c r="C833" s="121">
        <v>4488</v>
      </c>
      <c r="D833" s="72">
        <v>3</v>
      </c>
      <c r="E833">
        <v>289.31599999999997</v>
      </c>
      <c r="F833">
        <v>77</v>
      </c>
      <c r="G833">
        <v>78</v>
      </c>
      <c r="H833">
        <v>4</v>
      </c>
      <c r="I833" s="173">
        <v>0.99739999999999995</v>
      </c>
      <c r="J833" s="121">
        <v>273568627</v>
      </c>
      <c r="K833" s="125">
        <v>1568.3720000000001</v>
      </c>
      <c r="L833" s="173">
        <v>1.3827</v>
      </c>
      <c r="M833">
        <v>0.99739999999999995</v>
      </c>
      <c r="N833">
        <v>0.92180000460900002</v>
      </c>
      <c r="O833">
        <v>7.5599995390999926</v>
      </c>
      <c r="P833">
        <v>885.68399999999997</v>
      </c>
      <c r="Q833" s="125">
        <v>2.5999999999999999E-2</v>
      </c>
      <c r="R833" s="125">
        <v>0</v>
      </c>
      <c r="S833" s="125">
        <v>0.97799999999999998</v>
      </c>
      <c r="T833" s="125">
        <v>39.774999999999999</v>
      </c>
      <c r="U833" s="125">
        <v>7.0960000000000001</v>
      </c>
      <c r="V833" s="125">
        <v>0</v>
      </c>
      <c r="W833" s="125">
        <v>0.65400000000000003</v>
      </c>
      <c r="X833" s="125">
        <v>0</v>
      </c>
      <c r="Y833" s="125">
        <v>0</v>
      </c>
      <c r="Z833" s="125">
        <v>0</v>
      </c>
      <c r="AA833" s="125">
        <v>25.594999999999999</v>
      </c>
      <c r="AB833" s="125">
        <v>42.918999999999997</v>
      </c>
      <c r="AC833" s="125">
        <v>674.8</v>
      </c>
      <c r="AD833" s="125">
        <v>0.28399999999999997</v>
      </c>
      <c r="AE833" s="125">
        <v>10.337999999999999</v>
      </c>
      <c r="AF833" s="125">
        <v>44.283999999999999</v>
      </c>
      <c r="AG833" s="125">
        <v>0</v>
      </c>
      <c r="AH833" s="125">
        <v>0</v>
      </c>
      <c r="AI833" s="121">
        <v>2836352</v>
      </c>
      <c r="AJ833" s="121">
        <v>0</v>
      </c>
      <c r="AK833" s="424">
        <v>12</v>
      </c>
      <c r="AL833">
        <v>0</v>
      </c>
      <c r="AM833" s="121">
        <v>146482</v>
      </c>
      <c r="AN833" s="125">
        <v>0</v>
      </c>
      <c r="AO833" s="125">
        <v>0</v>
      </c>
      <c r="AP833" s="121">
        <v>2836352</v>
      </c>
      <c r="AQ833" s="114">
        <v>0</v>
      </c>
      <c r="AR833" s="121">
        <v>182.34976657999999</v>
      </c>
      <c r="AS833" s="121">
        <v>35832.301755</v>
      </c>
      <c r="AT833" s="121">
        <v>4719.0980730000001</v>
      </c>
      <c r="AU833" s="420" t="s">
        <v>2001</v>
      </c>
      <c r="AV833" s="420" t="s">
        <v>2001</v>
      </c>
      <c r="AW833" s="121">
        <v>0</v>
      </c>
      <c r="AX833" s="121">
        <v>0</v>
      </c>
      <c r="BI833">
        <v>0</v>
      </c>
      <c r="BJ833" s="121">
        <v>0</v>
      </c>
      <c r="BK833" s="134">
        <v>273568627</v>
      </c>
      <c r="BL833" s="934">
        <v>4341</v>
      </c>
      <c r="BM833" s="934">
        <v>4294</v>
      </c>
      <c r="BN833" s="934">
        <v>4488</v>
      </c>
      <c r="BO833" s="114">
        <v>0</v>
      </c>
      <c r="BP833" s="114">
        <v>0</v>
      </c>
    </row>
    <row r="834" spans="1:68">
      <c r="A834" t="s">
        <v>1576</v>
      </c>
      <c r="B834" t="s">
        <v>1723</v>
      </c>
      <c r="C834" s="121">
        <v>4276</v>
      </c>
      <c r="D834" s="72">
        <v>2</v>
      </c>
      <c r="E834">
        <v>162.15899999999999</v>
      </c>
      <c r="F834">
        <v>52</v>
      </c>
      <c r="G834">
        <v>34</v>
      </c>
      <c r="H834">
        <v>4</v>
      </c>
      <c r="I834" s="173">
        <v>0.996</v>
      </c>
      <c r="J834" s="121">
        <v>97620461</v>
      </c>
      <c r="K834" s="125">
        <v>981.74</v>
      </c>
      <c r="L834" s="173">
        <v>1.35</v>
      </c>
      <c r="M834">
        <v>0.996</v>
      </c>
      <c r="N834">
        <v>0.90000000450000006</v>
      </c>
      <c r="O834">
        <v>9.5999995499999926</v>
      </c>
      <c r="P834">
        <v>570.31500000000005</v>
      </c>
      <c r="Q834" s="125">
        <v>0.13400000000000001</v>
      </c>
      <c r="R834" s="125">
        <v>0</v>
      </c>
      <c r="S834" s="125">
        <v>0.83</v>
      </c>
      <c r="T834" s="125">
        <v>18.175000000000001</v>
      </c>
      <c r="U834" s="125">
        <v>1.425</v>
      </c>
      <c r="V834" s="125">
        <v>0.67800000000000005</v>
      </c>
      <c r="W834" s="125">
        <v>0.35699999999999998</v>
      </c>
      <c r="X834" s="125">
        <v>0</v>
      </c>
      <c r="Y834" s="125">
        <v>0</v>
      </c>
      <c r="Z834" s="125">
        <v>0</v>
      </c>
      <c r="AA834" s="125">
        <v>32.098999999999997</v>
      </c>
      <c r="AB834" s="125">
        <v>28.744</v>
      </c>
      <c r="AC834" s="125">
        <v>469.7</v>
      </c>
      <c r="AD834" s="125">
        <v>0.624</v>
      </c>
      <c r="AE834" s="125">
        <v>2.968</v>
      </c>
      <c r="AF834" s="125">
        <v>28.515750000000001</v>
      </c>
      <c r="AG834" s="125">
        <v>0</v>
      </c>
      <c r="AH834" s="125">
        <v>0</v>
      </c>
      <c r="AI834" s="121">
        <v>959172</v>
      </c>
      <c r="AJ834" s="121">
        <v>0</v>
      </c>
      <c r="AK834" s="424">
        <v>12</v>
      </c>
      <c r="AL834">
        <v>0</v>
      </c>
      <c r="AM834" s="121">
        <v>60287</v>
      </c>
      <c r="AN834" s="125">
        <v>0</v>
      </c>
      <c r="AO834" s="125">
        <v>0</v>
      </c>
      <c r="AP834" s="121">
        <v>959172</v>
      </c>
      <c r="AQ834" s="114">
        <v>0</v>
      </c>
      <c r="AR834" s="121">
        <v>65.069845264999998</v>
      </c>
      <c r="AS834" s="121">
        <v>12786.428929</v>
      </c>
      <c r="AT834" s="121">
        <v>1683.9669561999999</v>
      </c>
      <c r="AU834" s="420" t="s">
        <v>2001</v>
      </c>
      <c r="AV834" s="420" t="s">
        <v>2001</v>
      </c>
      <c r="AW834" s="121">
        <v>0</v>
      </c>
      <c r="AX834" s="121">
        <v>0</v>
      </c>
      <c r="BI834">
        <v>0</v>
      </c>
      <c r="BJ834" s="121">
        <v>0</v>
      </c>
      <c r="BK834" s="134">
        <v>92643023</v>
      </c>
      <c r="BL834" s="934">
        <v>4198</v>
      </c>
      <c r="BM834" s="934">
        <v>4276</v>
      </c>
      <c r="BN834" s="934">
        <v>4227</v>
      </c>
      <c r="BO834" s="114">
        <v>0</v>
      </c>
      <c r="BP834" s="114">
        <v>0</v>
      </c>
    </row>
    <row r="835" spans="1:68">
      <c r="A835" t="s">
        <v>1577</v>
      </c>
      <c r="B835" t="s">
        <v>2364</v>
      </c>
      <c r="C835" s="121">
        <v>4438</v>
      </c>
      <c r="D835" s="72">
        <v>2</v>
      </c>
      <c r="E835">
        <v>221.71299999999999</v>
      </c>
      <c r="F835">
        <v>83</v>
      </c>
      <c r="G835">
        <v>88</v>
      </c>
      <c r="H835">
        <v>5</v>
      </c>
      <c r="I835" s="173">
        <v>1.04</v>
      </c>
      <c r="J835" s="121">
        <v>132442507</v>
      </c>
      <c r="K835" s="125">
        <v>1452.0509999999999</v>
      </c>
      <c r="L835" s="173">
        <v>1.5</v>
      </c>
      <c r="M835">
        <v>1.04</v>
      </c>
      <c r="N835">
        <v>1.000000005</v>
      </c>
      <c r="O835">
        <v>3.9999995000000066</v>
      </c>
      <c r="P835">
        <v>863.66800000000001</v>
      </c>
      <c r="Q835" s="125">
        <v>4.3999999999999997E-2</v>
      </c>
      <c r="R835" s="125">
        <v>0</v>
      </c>
      <c r="S835" s="125">
        <v>1.5109999999999999</v>
      </c>
      <c r="T835" s="125">
        <v>17.344999999999999</v>
      </c>
      <c r="U835" s="125">
        <v>15.536</v>
      </c>
      <c r="V835" s="125">
        <v>0</v>
      </c>
      <c r="W835" s="125">
        <v>0</v>
      </c>
      <c r="X835" s="125">
        <v>0</v>
      </c>
      <c r="Y835" s="125">
        <v>0.94</v>
      </c>
      <c r="Z835" s="125">
        <v>0</v>
      </c>
      <c r="AA835" s="125">
        <v>24.032</v>
      </c>
      <c r="AB835" s="125">
        <v>76.617999999999995</v>
      </c>
      <c r="AC835" s="125">
        <v>855</v>
      </c>
      <c r="AD835" s="125">
        <v>0.57699999999999996</v>
      </c>
      <c r="AE835" s="125">
        <v>51.140999999999998</v>
      </c>
      <c r="AF835" s="125">
        <v>43.183</v>
      </c>
      <c r="AG835" s="125">
        <v>0</v>
      </c>
      <c r="AH835" s="125">
        <v>0</v>
      </c>
      <c r="AI835" s="121">
        <v>1349035</v>
      </c>
      <c r="AJ835" s="121">
        <v>0</v>
      </c>
      <c r="AK835" s="424">
        <v>12</v>
      </c>
      <c r="AL835">
        <v>0</v>
      </c>
      <c r="AM835" s="121">
        <v>120194</v>
      </c>
      <c r="AN835" s="125">
        <v>0</v>
      </c>
      <c r="AO835" s="125">
        <v>0</v>
      </c>
      <c r="AP835" s="121">
        <v>1349035</v>
      </c>
      <c r="AQ835" s="114">
        <v>0</v>
      </c>
      <c r="AR835" s="121">
        <v>88.280810896999995</v>
      </c>
      <c r="AS835" s="121">
        <v>17347.456564</v>
      </c>
      <c r="AT835" s="121">
        <v>2284.6522504</v>
      </c>
      <c r="AU835" s="420" t="s">
        <v>2001</v>
      </c>
      <c r="AV835" s="420" t="s">
        <v>2001</v>
      </c>
      <c r="AW835" s="121">
        <v>0</v>
      </c>
      <c r="AX835" s="121">
        <v>152660</v>
      </c>
      <c r="BI835">
        <v>0</v>
      </c>
      <c r="BJ835" s="121">
        <v>0</v>
      </c>
      <c r="BK835" s="134">
        <v>127358786</v>
      </c>
      <c r="BL835" s="934">
        <v>4434</v>
      </c>
      <c r="BM835" s="934">
        <v>4438</v>
      </c>
      <c r="BN835" s="934">
        <v>4438</v>
      </c>
      <c r="BO835" s="114">
        <v>0</v>
      </c>
      <c r="BP835" s="114">
        <v>0</v>
      </c>
    </row>
    <row r="836" spans="1:68">
      <c r="A836" t="s">
        <v>1832</v>
      </c>
      <c r="B836" t="s">
        <v>2365</v>
      </c>
      <c r="C836" s="121">
        <v>4381</v>
      </c>
      <c r="D836" s="72">
        <v>2</v>
      </c>
      <c r="E836">
        <v>126.622</v>
      </c>
      <c r="F836">
        <v>40</v>
      </c>
      <c r="G836">
        <v>24</v>
      </c>
      <c r="H836">
        <v>0</v>
      </c>
      <c r="I836" s="173">
        <v>1.04</v>
      </c>
      <c r="J836" s="121">
        <v>64723107</v>
      </c>
      <c r="K836" s="125">
        <v>797.72</v>
      </c>
      <c r="L836" s="173">
        <v>1.5</v>
      </c>
      <c r="M836">
        <v>1.04</v>
      </c>
      <c r="N836">
        <v>1.000000005</v>
      </c>
      <c r="O836">
        <v>3.9999995000000066</v>
      </c>
      <c r="P836">
        <v>422.97199999999998</v>
      </c>
      <c r="Q836" s="125">
        <v>0</v>
      </c>
      <c r="R836" s="125">
        <v>0.191</v>
      </c>
      <c r="S836" s="125">
        <v>0.59899999999999998</v>
      </c>
      <c r="T836" s="125">
        <v>22.867999999999999</v>
      </c>
      <c r="U836" s="125">
        <v>2.0049999999999999</v>
      </c>
      <c r="V836" s="125">
        <v>0</v>
      </c>
      <c r="W836" s="125">
        <v>1.774</v>
      </c>
      <c r="X836" s="125">
        <v>0</v>
      </c>
      <c r="Y836" s="125">
        <v>0</v>
      </c>
      <c r="Z836" s="125">
        <v>0.54500000000000004</v>
      </c>
      <c r="AA836" s="125">
        <v>19.956</v>
      </c>
      <c r="AB836" s="125">
        <v>26.094999999999999</v>
      </c>
      <c r="AC836" s="125">
        <v>412.5</v>
      </c>
      <c r="AD836" s="125">
        <v>0.39300000000000002</v>
      </c>
      <c r="AE836" s="125">
        <v>7.1479999999999997</v>
      </c>
      <c r="AF836" s="125">
        <v>21.148599999999998</v>
      </c>
      <c r="AG836" s="125">
        <v>0</v>
      </c>
      <c r="AH836" s="125">
        <v>0</v>
      </c>
      <c r="AI836" s="121">
        <v>677027</v>
      </c>
      <c r="AJ836" s="121">
        <v>0</v>
      </c>
      <c r="AK836" s="424">
        <v>12</v>
      </c>
      <c r="AL836">
        <v>0</v>
      </c>
      <c r="AM836" s="121">
        <v>128669</v>
      </c>
      <c r="AN836" s="125">
        <v>0</v>
      </c>
      <c r="AO836" s="125">
        <v>0</v>
      </c>
      <c r="AP836" s="121">
        <v>677027</v>
      </c>
      <c r="AQ836" s="114">
        <v>0</v>
      </c>
      <c r="AR836" s="121">
        <v>43.141801471000001</v>
      </c>
      <c r="AS836" s="121">
        <v>8477.4994642999991</v>
      </c>
      <c r="AT836" s="121">
        <v>1116.4828778999999</v>
      </c>
      <c r="AU836" s="420" t="s">
        <v>2001</v>
      </c>
      <c r="AV836" s="420" t="s">
        <v>2001</v>
      </c>
      <c r="AW836" s="121">
        <v>0</v>
      </c>
      <c r="AX836" s="121">
        <v>0</v>
      </c>
      <c r="BI836">
        <v>0</v>
      </c>
      <c r="BJ836" s="121">
        <v>0</v>
      </c>
      <c r="BK836" s="134">
        <v>63916302</v>
      </c>
      <c r="BL836" s="934">
        <v>4290</v>
      </c>
      <c r="BM836" s="934">
        <v>4381</v>
      </c>
      <c r="BN836" s="934">
        <v>4381</v>
      </c>
      <c r="BO836" s="114">
        <v>0</v>
      </c>
      <c r="BP836" s="114">
        <v>0</v>
      </c>
    </row>
    <row r="837" spans="1:68">
      <c r="A837" t="s">
        <v>1833</v>
      </c>
      <c r="B837" t="s">
        <v>2663</v>
      </c>
      <c r="C837" s="121">
        <v>4969</v>
      </c>
      <c r="D837" s="72">
        <v>3</v>
      </c>
      <c r="E837">
        <v>475.654</v>
      </c>
      <c r="F837">
        <v>139</v>
      </c>
      <c r="G837">
        <v>132</v>
      </c>
      <c r="H837">
        <v>0</v>
      </c>
      <c r="I837" s="173">
        <v>1.02</v>
      </c>
      <c r="J837" s="121">
        <v>693913958</v>
      </c>
      <c r="K837" s="125">
        <v>2412.7429999999999</v>
      </c>
      <c r="L837" s="173">
        <v>1.47</v>
      </c>
      <c r="M837">
        <v>1.02</v>
      </c>
      <c r="N837">
        <v>0.98000000490000005</v>
      </c>
      <c r="O837">
        <v>3.9999995099999963</v>
      </c>
      <c r="P837">
        <v>1589</v>
      </c>
      <c r="Q837" s="125">
        <v>0</v>
      </c>
      <c r="R837" s="125">
        <v>0</v>
      </c>
      <c r="S837" s="125">
        <v>4.2640000000000002</v>
      </c>
      <c r="T837" s="125">
        <v>59.14</v>
      </c>
      <c r="U837" s="125">
        <v>29.446999999999999</v>
      </c>
      <c r="V837" s="125">
        <v>0</v>
      </c>
      <c r="W837" s="125">
        <v>3.2789999999999999</v>
      </c>
      <c r="X837" s="125">
        <v>0</v>
      </c>
      <c r="Y837" s="125">
        <v>0.19900000000000001</v>
      </c>
      <c r="Z837" s="125">
        <v>0</v>
      </c>
      <c r="AA837" s="125">
        <v>36.027000000000001</v>
      </c>
      <c r="AB837" s="125">
        <v>108.60899999999999</v>
      </c>
      <c r="AC837" s="125">
        <v>1288.5999999999999</v>
      </c>
      <c r="AD837" s="125">
        <v>1.1419999999999999</v>
      </c>
      <c r="AE837" s="125">
        <v>19.398</v>
      </c>
      <c r="AF837" s="125">
        <v>79.45</v>
      </c>
      <c r="AG837" s="125">
        <v>0</v>
      </c>
      <c r="AH837" s="125">
        <v>0</v>
      </c>
      <c r="AI837" s="121">
        <v>6872162</v>
      </c>
      <c r="AJ837" s="121">
        <v>537683</v>
      </c>
      <c r="AK837" s="424">
        <v>12</v>
      </c>
      <c r="AL837">
        <v>0</v>
      </c>
      <c r="AM837" s="121">
        <v>430773</v>
      </c>
      <c r="AN837" s="125">
        <v>0</v>
      </c>
      <c r="AO837" s="125">
        <v>0</v>
      </c>
      <c r="AP837" s="121">
        <v>7409845</v>
      </c>
      <c r="AQ837" s="114">
        <v>0</v>
      </c>
      <c r="AR837" s="121">
        <v>462.53493925999999</v>
      </c>
      <c r="AS837" s="121">
        <v>90889.568031000003</v>
      </c>
      <c r="AT837" s="121">
        <v>11970.115352999999</v>
      </c>
      <c r="AU837" s="420" t="s">
        <v>2001</v>
      </c>
      <c r="AV837" s="420" t="s">
        <v>2001</v>
      </c>
      <c r="AW837" s="121">
        <v>0</v>
      </c>
      <c r="AX837" s="121">
        <v>535512</v>
      </c>
      <c r="BI837">
        <v>0</v>
      </c>
      <c r="BJ837" s="121">
        <v>0</v>
      </c>
      <c r="BK837" s="134">
        <v>654753477</v>
      </c>
      <c r="BL837" s="934">
        <v>4856</v>
      </c>
      <c r="BM837" s="934">
        <v>4888</v>
      </c>
      <c r="BN837" s="934">
        <v>4969</v>
      </c>
      <c r="BO837" s="114">
        <v>0</v>
      </c>
      <c r="BP837" s="114">
        <v>0</v>
      </c>
    </row>
    <row r="838" spans="1:68">
      <c r="A838" t="s">
        <v>2790</v>
      </c>
      <c r="B838" t="s">
        <v>384</v>
      </c>
      <c r="C838" s="121">
        <v>4453</v>
      </c>
      <c r="D838" s="72">
        <v>2</v>
      </c>
      <c r="E838">
        <v>456.60700000000003</v>
      </c>
      <c r="F838">
        <v>152</v>
      </c>
      <c r="G838">
        <v>119</v>
      </c>
      <c r="H838">
        <v>8</v>
      </c>
      <c r="I838" s="173">
        <v>0.99</v>
      </c>
      <c r="J838" s="121">
        <v>247945806</v>
      </c>
      <c r="K838" s="125">
        <v>2591.279</v>
      </c>
      <c r="L838" s="173">
        <v>1.42</v>
      </c>
      <c r="M838">
        <v>0.99</v>
      </c>
      <c r="N838">
        <v>0.94666667139999994</v>
      </c>
      <c r="O838">
        <v>4.3333328600000058</v>
      </c>
      <c r="P838">
        <v>1747.028</v>
      </c>
      <c r="Q838" s="125">
        <v>0.22700000000000001</v>
      </c>
      <c r="R838" s="125">
        <v>0</v>
      </c>
      <c r="S838" s="125">
        <v>3.53</v>
      </c>
      <c r="T838" s="125">
        <v>51.832000000000001</v>
      </c>
      <c r="U838" s="125">
        <v>20.030999999999999</v>
      </c>
      <c r="V838" s="125">
        <v>0</v>
      </c>
      <c r="W838" s="125">
        <v>7.8609999999999998</v>
      </c>
      <c r="X838" s="125">
        <v>0</v>
      </c>
      <c r="Y838" s="125">
        <v>0.94599999999999995</v>
      </c>
      <c r="Z838" s="125">
        <v>0</v>
      </c>
      <c r="AA838" s="125">
        <v>57.573</v>
      </c>
      <c r="AB838" s="125">
        <v>100.89700000000001</v>
      </c>
      <c r="AC838" s="125">
        <v>1369.5</v>
      </c>
      <c r="AD838" s="125">
        <v>0.58799999999999997</v>
      </c>
      <c r="AE838" s="125">
        <v>103.502</v>
      </c>
      <c r="AF838" s="125">
        <v>87.350999999999999</v>
      </c>
      <c r="AG838" s="125">
        <v>0</v>
      </c>
      <c r="AH838" s="125">
        <v>0</v>
      </c>
      <c r="AI838" s="121">
        <v>2399668</v>
      </c>
      <c r="AJ838" s="121">
        <v>172889</v>
      </c>
      <c r="AK838" s="424">
        <v>12</v>
      </c>
      <c r="AL838">
        <v>0</v>
      </c>
      <c r="AM838" s="121">
        <v>230913</v>
      </c>
      <c r="AN838" s="125">
        <v>0</v>
      </c>
      <c r="AO838" s="125">
        <v>0</v>
      </c>
      <c r="AP838" s="121">
        <v>2572557</v>
      </c>
      <c r="AQ838" s="114">
        <v>0</v>
      </c>
      <c r="AR838" s="121">
        <v>165.27063172999999</v>
      </c>
      <c r="AS838" s="121">
        <v>32476.198123999999</v>
      </c>
      <c r="AT838" s="121">
        <v>4277.1007298000004</v>
      </c>
      <c r="AU838" s="420" t="s">
        <v>2001</v>
      </c>
      <c r="AV838" s="420" t="s">
        <v>2001</v>
      </c>
      <c r="AW838" s="121">
        <v>0</v>
      </c>
      <c r="AX838" s="121">
        <v>1139274</v>
      </c>
      <c r="BI838">
        <v>0</v>
      </c>
      <c r="BJ838" s="121">
        <v>0</v>
      </c>
      <c r="BK838" s="134">
        <v>240466996</v>
      </c>
      <c r="BL838" s="934">
        <v>4328</v>
      </c>
      <c r="BM838" s="934">
        <v>4453</v>
      </c>
      <c r="BN838" s="934">
        <v>4437</v>
      </c>
      <c r="BO838" s="114">
        <v>0</v>
      </c>
      <c r="BP838" s="114">
        <v>0</v>
      </c>
    </row>
    <row r="839" spans="1:68">
      <c r="A839" t="s">
        <v>1382</v>
      </c>
      <c r="B839" t="s">
        <v>2774</v>
      </c>
      <c r="C839" s="121">
        <v>4829</v>
      </c>
      <c r="D839" s="72">
        <v>3</v>
      </c>
      <c r="E839">
        <v>503.82100000000003</v>
      </c>
      <c r="F839">
        <v>167</v>
      </c>
      <c r="G839">
        <v>136</v>
      </c>
      <c r="H839">
        <v>10</v>
      </c>
      <c r="I839" s="173">
        <v>1.0313000000000001</v>
      </c>
      <c r="J839" s="121">
        <v>624603988</v>
      </c>
      <c r="K839" s="125">
        <v>3036.9050000000002</v>
      </c>
      <c r="L839" s="173">
        <v>1.4864999999999999</v>
      </c>
      <c r="M839">
        <v>1.0313000000000001</v>
      </c>
      <c r="N839">
        <v>0.99100000495499996</v>
      </c>
      <c r="O839">
        <v>4.0299995045000152</v>
      </c>
      <c r="P839">
        <v>2006.6279999999999</v>
      </c>
      <c r="Q839" s="125">
        <v>4.2000000000000003E-2</v>
      </c>
      <c r="R839" s="125">
        <v>0</v>
      </c>
      <c r="S839" s="125">
        <v>2.5049999999999999</v>
      </c>
      <c r="T839" s="125">
        <v>64.100999999999999</v>
      </c>
      <c r="U839" s="125">
        <v>20.608000000000001</v>
      </c>
      <c r="V839" s="125">
        <v>0</v>
      </c>
      <c r="W839" s="125">
        <v>0.441</v>
      </c>
      <c r="X839" s="125">
        <v>0</v>
      </c>
      <c r="Y839" s="125">
        <v>0</v>
      </c>
      <c r="Z839" s="125">
        <v>0</v>
      </c>
      <c r="AA839" s="125">
        <v>119.848</v>
      </c>
      <c r="AB839" s="125">
        <v>80.034999999999997</v>
      </c>
      <c r="AC839" s="125">
        <v>1707.7</v>
      </c>
      <c r="AD839" s="125">
        <v>1.7330000000000001</v>
      </c>
      <c r="AE839" s="125">
        <v>141.273</v>
      </c>
      <c r="AF839" s="125">
        <v>100.331</v>
      </c>
      <c r="AG839" s="125">
        <v>0</v>
      </c>
      <c r="AH839" s="125">
        <v>0</v>
      </c>
      <c r="AI839" s="121">
        <v>6695982</v>
      </c>
      <c r="AJ839" s="121">
        <v>444890</v>
      </c>
      <c r="AK839" s="424">
        <v>12</v>
      </c>
      <c r="AL839">
        <v>0</v>
      </c>
      <c r="AM839" s="121">
        <v>138494</v>
      </c>
      <c r="AN839" s="125">
        <v>0</v>
      </c>
      <c r="AO839" s="125">
        <v>0</v>
      </c>
      <c r="AP839" s="121">
        <v>7140872</v>
      </c>
      <c r="AQ839" s="114">
        <v>0</v>
      </c>
      <c r="AR839" s="121">
        <v>416.33572047000001</v>
      </c>
      <c r="AS839" s="121">
        <v>81811.276463000002</v>
      </c>
      <c r="AT839" s="121">
        <v>10774.508424</v>
      </c>
      <c r="AU839" s="420" t="s">
        <v>2001</v>
      </c>
      <c r="AV839" s="420" t="s">
        <v>2001</v>
      </c>
      <c r="AW839" s="121">
        <v>0</v>
      </c>
      <c r="AX839" s="121">
        <v>270042</v>
      </c>
      <c r="BI839">
        <v>0</v>
      </c>
      <c r="BJ839" s="121">
        <v>0</v>
      </c>
      <c r="BK839" s="134">
        <v>624603988</v>
      </c>
      <c r="BL839" s="934">
        <v>4780</v>
      </c>
      <c r="BM839" s="934">
        <v>4807</v>
      </c>
      <c r="BN839" s="934">
        <v>4829</v>
      </c>
      <c r="BO839" s="114">
        <v>0</v>
      </c>
      <c r="BP839" s="114">
        <v>0</v>
      </c>
    </row>
    <row r="840" spans="1:68">
      <c r="A840" t="s">
        <v>2791</v>
      </c>
      <c r="B840" t="s">
        <v>385</v>
      </c>
      <c r="C840" s="121">
        <v>4691</v>
      </c>
      <c r="D840" s="72">
        <v>2</v>
      </c>
      <c r="E840">
        <v>1257.7570000000001</v>
      </c>
      <c r="F840">
        <v>287</v>
      </c>
      <c r="G840">
        <v>209</v>
      </c>
      <c r="H840">
        <v>31</v>
      </c>
      <c r="I840" s="173">
        <v>1.04</v>
      </c>
      <c r="J840" s="121">
        <v>1038045593</v>
      </c>
      <c r="K840" s="125">
        <v>5121.7250000000004</v>
      </c>
      <c r="L840" s="173">
        <v>1.5</v>
      </c>
      <c r="M840">
        <v>1.04</v>
      </c>
      <c r="N840">
        <v>1.000000005</v>
      </c>
      <c r="O840">
        <v>3.9999995000000066</v>
      </c>
      <c r="P840">
        <v>3983.973</v>
      </c>
      <c r="Q840" s="125">
        <v>0.28699999999999998</v>
      </c>
      <c r="R840" s="125">
        <v>0</v>
      </c>
      <c r="S840" s="125">
        <v>4.8170000000000002</v>
      </c>
      <c r="T840" s="125">
        <v>153.42599999999999</v>
      </c>
      <c r="U840" s="125">
        <v>23.756</v>
      </c>
      <c r="V840" s="125">
        <v>0</v>
      </c>
      <c r="W840" s="125">
        <v>2.9830000000000001</v>
      </c>
      <c r="X840" s="125">
        <v>0</v>
      </c>
      <c r="Y840" s="125">
        <v>0</v>
      </c>
      <c r="Z840" s="125">
        <v>0</v>
      </c>
      <c r="AA840" s="125">
        <v>15.215</v>
      </c>
      <c r="AB840" s="125">
        <v>143.31100000000001</v>
      </c>
      <c r="AC840" s="125">
        <v>1672.6</v>
      </c>
      <c r="AD840" s="125">
        <v>2.0299999999999998</v>
      </c>
      <c r="AE840" s="125">
        <v>89.494</v>
      </c>
      <c r="AF840" s="125">
        <v>199.19864999999999</v>
      </c>
      <c r="AG840" s="125">
        <v>0</v>
      </c>
      <c r="AH840" s="125">
        <v>0</v>
      </c>
      <c r="AI840" s="121">
        <v>10995394</v>
      </c>
      <c r="AJ840" s="121">
        <v>2110705</v>
      </c>
      <c r="AK840" s="424">
        <v>12</v>
      </c>
      <c r="AL840">
        <v>0</v>
      </c>
      <c r="AM840" s="121">
        <v>173016</v>
      </c>
      <c r="AN840" s="125">
        <v>1</v>
      </c>
      <c r="AO840" s="125">
        <v>0</v>
      </c>
      <c r="AP840" s="121">
        <v>13106099</v>
      </c>
      <c r="AQ840" s="114">
        <v>0</v>
      </c>
      <c r="AR840" s="121">
        <v>691.91914899999995</v>
      </c>
      <c r="AS840" s="121">
        <v>135964.28557000001</v>
      </c>
      <c r="AT840" s="121">
        <v>17906.435439000001</v>
      </c>
      <c r="AU840" s="420" t="s">
        <v>2001</v>
      </c>
      <c r="AV840" s="420" t="s">
        <v>2001</v>
      </c>
      <c r="AW840" s="121">
        <v>0</v>
      </c>
      <c r="AX840" s="121">
        <v>3423456</v>
      </c>
      <c r="BI840">
        <v>0</v>
      </c>
      <c r="BJ840" s="121">
        <v>0</v>
      </c>
      <c r="BK840" s="134">
        <v>1038045593</v>
      </c>
      <c r="BL840" s="934">
        <v>4644</v>
      </c>
      <c r="BM840" s="934">
        <v>4691</v>
      </c>
      <c r="BN840" s="934">
        <v>4691</v>
      </c>
      <c r="BO840" s="114">
        <v>0</v>
      </c>
      <c r="BP840" s="114">
        <v>0</v>
      </c>
    </row>
    <row r="841" spans="1:68">
      <c r="A841" t="s">
        <v>1639</v>
      </c>
      <c r="B841" t="s">
        <v>386</v>
      </c>
      <c r="C841" s="121">
        <v>4958</v>
      </c>
      <c r="D841" s="72">
        <v>2</v>
      </c>
      <c r="E841">
        <v>570.66700000000003</v>
      </c>
      <c r="F841">
        <v>168</v>
      </c>
      <c r="G841">
        <v>127</v>
      </c>
      <c r="H841">
        <v>12</v>
      </c>
      <c r="I841" s="173">
        <v>1.04</v>
      </c>
      <c r="J841" s="121">
        <v>1109817910</v>
      </c>
      <c r="K841" s="125">
        <v>2732.9850000000001</v>
      </c>
      <c r="L841" s="173">
        <v>1.5</v>
      </c>
      <c r="M841">
        <v>1.04</v>
      </c>
      <c r="N841">
        <v>1.000000005</v>
      </c>
      <c r="O841">
        <v>3.9999995000000066</v>
      </c>
      <c r="P841">
        <v>2117.826</v>
      </c>
      <c r="Q841" s="125">
        <v>0.29299999999999998</v>
      </c>
      <c r="R841" s="125">
        <v>0</v>
      </c>
      <c r="S841" s="125">
        <v>3.4790000000000001</v>
      </c>
      <c r="T841" s="125">
        <v>86.831000000000003</v>
      </c>
      <c r="U841" s="125">
        <v>30.367999999999999</v>
      </c>
      <c r="V841" s="125">
        <v>0.84699999999999998</v>
      </c>
      <c r="W841" s="125">
        <v>1.121</v>
      </c>
      <c r="X841" s="125">
        <v>0</v>
      </c>
      <c r="Y841" s="125">
        <v>0</v>
      </c>
      <c r="Z841" s="125">
        <v>0</v>
      </c>
      <c r="AA841" s="125">
        <v>7.4980000000000002</v>
      </c>
      <c r="AB841" s="125">
        <v>95.355999999999995</v>
      </c>
      <c r="AC841" s="125">
        <v>1105</v>
      </c>
      <c r="AD841" s="125">
        <v>0</v>
      </c>
      <c r="AE841" s="125">
        <v>118.852</v>
      </c>
      <c r="AF841" s="125">
        <v>105.89100000000001</v>
      </c>
      <c r="AG841" s="125">
        <v>0</v>
      </c>
      <c r="AH841" s="125">
        <v>0</v>
      </c>
      <c r="AI841" s="121">
        <v>12119212</v>
      </c>
      <c r="AJ841" s="121">
        <v>1238303</v>
      </c>
      <c r="AK841" s="424">
        <v>12</v>
      </c>
      <c r="AL841">
        <v>0</v>
      </c>
      <c r="AM841" s="121">
        <v>45990</v>
      </c>
      <c r="AN841" s="125">
        <v>0</v>
      </c>
      <c r="AO841" s="125">
        <v>0</v>
      </c>
      <c r="AP841" s="121">
        <v>13357515</v>
      </c>
      <c r="AQ841" s="114">
        <v>0</v>
      </c>
      <c r="AR841" s="121">
        <v>0</v>
      </c>
      <c r="AS841" s="121">
        <v>0</v>
      </c>
      <c r="AT841" s="121">
        <v>0</v>
      </c>
      <c r="AU841" s="420" t="s">
        <v>798</v>
      </c>
      <c r="AV841" s="420" t="s">
        <v>2001</v>
      </c>
      <c r="AW841" s="121">
        <v>0</v>
      </c>
      <c r="AX841" s="121">
        <v>1153462</v>
      </c>
      <c r="AY841" s="134">
        <v>2143034</v>
      </c>
      <c r="AZ841" s="134">
        <v>4337680</v>
      </c>
      <c r="BA841" s="134">
        <v>1772</v>
      </c>
      <c r="BB841" s="134">
        <v>492306146</v>
      </c>
      <c r="BC841" s="114">
        <v>0</v>
      </c>
      <c r="BD841" s="114">
        <v>0</v>
      </c>
      <c r="BE841" s="114">
        <v>0</v>
      </c>
      <c r="BF841" s="134">
        <v>2296</v>
      </c>
      <c r="BG841" s="114">
        <v>0</v>
      </c>
      <c r="BH841" s="114">
        <v>0</v>
      </c>
      <c r="BI841">
        <v>0</v>
      </c>
      <c r="BJ841" s="121">
        <v>0</v>
      </c>
      <c r="BK841" s="134">
        <v>1109817910</v>
      </c>
      <c r="BL841" s="934">
        <v>4939</v>
      </c>
      <c r="BM841" s="934">
        <v>4958</v>
      </c>
      <c r="BN841" s="934">
        <v>4958</v>
      </c>
      <c r="BO841" s="114">
        <v>0</v>
      </c>
      <c r="BP841" s="114">
        <v>0</v>
      </c>
    </row>
    <row r="842" spans="1:68">
      <c r="A842" t="s">
        <v>2892</v>
      </c>
      <c r="B842" t="s">
        <v>2360</v>
      </c>
      <c r="C842" s="121">
        <v>4616</v>
      </c>
      <c r="D842" s="72">
        <v>2</v>
      </c>
      <c r="E842">
        <v>499.22800000000001</v>
      </c>
      <c r="F842">
        <v>143</v>
      </c>
      <c r="G842">
        <v>114</v>
      </c>
      <c r="H842">
        <v>0</v>
      </c>
      <c r="I842" s="173">
        <v>1.17</v>
      </c>
      <c r="J842" s="121">
        <v>223699407</v>
      </c>
      <c r="K842" s="125">
        <v>2524.0929999999998</v>
      </c>
      <c r="L842" s="173">
        <v>1.5</v>
      </c>
      <c r="M842">
        <v>1.17</v>
      </c>
      <c r="N842">
        <v>1.000000005</v>
      </c>
      <c r="O842">
        <v>16.999999499999994</v>
      </c>
      <c r="P842">
        <v>1701.183</v>
      </c>
      <c r="Q842" s="125">
        <v>0.21</v>
      </c>
      <c r="R842" s="125">
        <v>0</v>
      </c>
      <c r="S842" s="125">
        <v>3.6440000000000001</v>
      </c>
      <c r="T842" s="125">
        <v>48.759</v>
      </c>
      <c r="U842" s="125">
        <v>11.465</v>
      </c>
      <c r="V842" s="125">
        <v>0</v>
      </c>
      <c r="W842" s="125">
        <v>0.85799999999999998</v>
      </c>
      <c r="X842" s="125">
        <v>0</v>
      </c>
      <c r="Y842" s="125">
        <v>0</v>
      </c>
      <c r="Z842" s="125">
        <v>0</v>
      </c>
      <c r="AA842" s="125">
        <v>8.4320000000000004</v>
      </c>
      <c r="AB842" s="125">
        <v>65.382000000000005</v>
      </c>
      <c r="AC842" s="125">
        <v>1684.2</v>
      </c>
      <c r="AD842" s="125">
        <v>2.911</v>
      </c>
      <c r="AE842" s="125">
        <v>57.274000000000001</v>
      </c>
      <c r="AF842" s="125">
        <v>85.058999999999997</v>
      </c>
      <c r="AG842" s="125">
        <v>0</v>
      </c>
      <c r="AH842" s="125">
        <v>0</v>
      </c>
      <c r="AI842" s="121">
        <v>2693184</v>
      </c>
      <c r="AJ842" s="121">
        <v>151827</v>
      </c>
      <c r="AK842" s="424">
        <v>12</v>
      </c>
      <c r="AL842">
        <v>0</v>
      </c>
      <c r="AM842" s="121">
        <v>127087</v>
      </c>
      <c r="AN842" s="125">
        <v>0</v>
      </c>
      <c r="AO842" s="125">
        <v>0</v>
      </c>
      <c r="AP842" s="121">
        <v>2845011</v>
      </c>
      <c r="AQ842" s="114">
        <v>0</v>
      </c>
      <c r="AR842" s="121">
        <v>149.10896435000001</v>
      </c>
      <c r="AS842" s="121">
        <v>29300.379732000001</v>
      </c>
      <c r="AT842" s="121">
        <v>3858.8468717000001</v>
      </c>
      <c r="AU842" s="420" t="s">
        <v>2001</v>
      </c>
      <c r="AV842" s="420" t="s">
        <v>2001</v>
      </c>
      <c r="AW842" s="121">
        <v>0</v>
      </c>
      <c r="AX842" s="121">
        <v>958769</v>
      </c>
      <c r="BI842">
        <v>0</v>
      </c>
      <c r="BJ842" s="121">
        <v>0</v>
      </c>
      <c r="BK842" s="134">
        <v>223699407</v>
      </c>
      <c r="BL842" s="934">
        <v>4612</v>
      </c>
      <c r="BM842" s="934">
        <v>4616</v>
      </c>
      <c r="BN842" s="934">
        <v>4616</v>
      </c>
      <c r="BO842" s="114">
        <v>0</v>
      </c>
      <c r="BP842" s="114">
        <v>0</v>
      </c>
    </row>
    <row r="843" spans="1:68">
      <c r="A843" t="s">
        <v>1591</v>
      </c>
      <c r="B843" t="s">
        <v>289</v>
      </c>
      <c r="C843" s="121">
        <v>4706</v>
      </c>
      <c r="D843" s="72">
        <v>2</v>
      </c>
      <c r="E843">
        <v>299.40699999999998</v>
      </c>
      <c r="F843">
        <v>86</v>
      </c>
      <c r="G843">
        <v>90</v>
      </c>
      <c r="H843">
        <v>7</v>
      </c>
      <c r="I843" s="173">
        <v>1.17</v>
      </c>
      <c r="J843" s="121">
        <v>201582180</v>
      </c>
      <c r="K843" s="125">
        <v>1655.7629999999999</v>
      </c>
      <c r="L843" s="173">
        <v>1.5</v>
      </c>
      <c r="M843">
        <v>1.17</v>
      </c>
      <c r="N843">
        <v>1.000000005</v>
      </c>
      <c r="O843">
        <v>16.999999499999994</v>
      </c>
      <c r="P843">
        <v>1088</v>
      </c>
      <c r="Q843" s="125">
        <v>1.6E-2</v>
      </c>
      <c r="R843" s="125">
        <v>0</v>
      </c>
      <c r="S843" s="125">
        <v>1.161</v>
      </c>
      <c r="T843" s="125">
        <v>23.300999999999998</v>
      </c>
      <c r="U843" s="125">
        <v>3.367</v>
      </c>
      <c r="V843" s="125">
        <v>0.71</v>
      </c>
      <c r="W843" s="125">
        <v>1.4690000000000001</v>
      </c>
      <c r="X843" s="125">
        <v>0</v>
      </c>
      <c r="Y843" s="125">
        <v>0</v>
      </c>
      <c r="Z843" s="125">
        <v>0</v>
      </c>
      <c r="AA843" s="125">
        <v>48.183999999999997</v>
      </c>
      <c r="AB843" s="125">
        <v>48.046999999999997</v>
      </c>
      <c r="AC843" s="125">
        <v>830</v>
      </c>
      <c r="AD843" s="125">
        <v>1.022</v>
      </c>
      <c r="AE843" s="125">
        <v>44</v>
      </c>
      <c r="AF843" s="125">
        <v>53.191000000000003</v>
      </c>
      <c r="AG843" s="125">
        <v>0</v>
      </c>
      <c r="AH843" s="125">
        <v>0</v>
      </c>
      <c r="AI843" s="121">
        <v>2451673</v>
      </c>
      <c r="AJ843" s="121">
        <v>234593</v>
      </c>
      <c r="AK843" s="424">
        <v>12</v>
      </c>
      <c r="AL843">
        <v>0</v>
      </c>
      <c r="AM843" s="121">
        <v>77449</v>
      </c>
      <c r="AN843" s="125">
        <v>0</v>
      </c>
      <c r="AO843" s="125">
        <v>0</v>
      </c>
      <c r="AP843" s="121">
        <v>2686266</v>
      </c>
      <c r="AQ843" s="114">
        <v>0</v>
      </c>
      <c r="AR843" s="121">
        <v>134.36651663000001</v>
      </c>
      <c r="AS843" s="121">
        <v>26403.442460999999</v>
      </c>
      <c r="AT843" s="121">
        <v>3477.3215322000001</v>
      </c>
      <c r="AU843" s="420" t="s">
        <v>2001</v>
      </c>
      <c r="AV843" s="420" t="s">
        <v>2001</v>
      </c>
      <c r="AW843" s="121">
        <v>0</v>
      </c>
      <c r="AX843" s="121">
        <v>511006</v>
      </c>
      <c r="BI843">
        <v>0</v>
      </c>
      <c r="BJ843" s="121">
        <v>0</v>
      </c>
      <c r="BK843" s="134">
        <v>201582180</v>
      </c>
      <c r="BL843" s="934">
        <v>4612</v>
      </c>
      <c r="BM843" s="934">
        <v>4706</v>
      </c>
      <c r="BN843" s="934">
        <v>4706</v>
      </c>
      <c r="BO843" s="114">
        <v>0</v>
      </c>
      <c r="BP843" s="114">
        <v>0</v>
      </c>
    </row>
    <row r="844" spans="1:68">
      <c r="A844" t="s">
        <v>1493</v>
      </c>
      <c r="B844" t="s">
        <v>296</v>
      </c>
      <c r="C844" s="121">
        <v>4569</v>
      </c>
      <c r="D844" s="72">
        <v>2</v>
      </c>
      <c r="E844">
        <v>552.85299999999995</v>
      </c>
      <c r="F844">
        <v>166</v>
      </c>
      <c r="G844">
        <v>142</v>
      </c>
      <c r="H844">
        <v>23</v>
      </c>
      <c r="I844" s="173">
        <v>1.17</v>
      </c>
      <c r="J844" s="121">
        <v>301603452</v>
      </c>
      <c r="K844" s="125">
        <v>3008.7860000000001</v>
      </c>
      <c r="L844" s="173">
        <v>1.5</v>
      </c>
      <c r="M844">
        <v>1.17</v>
      </c>
      <c r="N844">
        <v>1.000000005</v>
      </c>
      <c r="O844">
        <v>16.999999499999994</v>
      </c>
      <c r="P844">
        <v>2050.5010000000002</v>
      </c>
      <c r="Q844" s="125">
        <v>0.218</v>
      </c>
      <c r="R844" s="125">
        <v>5.8999999999999997E-2</v>
      </c>
      <c r="S844" s="125">
        <v>3.7919999999999998</v>
      </c>
      <c r="T844" s="125">
        <v>46.484000000000002</v>
      </c>
      <c r="U844" s="125">
        <v>24.885000000000002</v>
      </c>
      <c r="V844" s="125">
        <v>0</v>
      </c>
      <c r="W844" s="125">
        <v>0.83499999999999996</v>
      </c>
      <c r="X844" s="125">
        <v>0</v>
      </c>
      <c r="Y844" s="125">
        <v>0</v>
      </c>
      <c r="Z844" s="125">
        <v>4.7E-2</v>
      </c>
      <c r="AA844" s="125">
        <v>73.572000000000003</v>
      </c>
      <c r="AB844" s="125">
        <v>115.709</v>
      </c>
      <c r="AC844" s="125">
        <v>1708.8</v>
      </c>
      <c r="AD844" s="125">
        <v>1.3009999999999999</v>
      </c>
      <c r="AE844" s="125">
        <v>47.859000000000002</v>
      </c>
      <c r="AF844" s="125">
        <v>102.52500000000001</v>
      </c>
      <c r="AG844" s="125">
        <v>0</v>
      </c>
      <c r="AH844" s="125">
        <v>0</v>
      </c>
      <c r="AI844" s="121">
        <v>3445835</v>
      </c>
      <c r="AJ844" s="121">
        <v>188279</v>
      </c>
      <c r="AK844" s="424">
        <v>12</v>
      </c>
      <c r="AL844">
        <v>0</v>
      </c>
      <c r="AM844" s="121">
        <v>131020</v>
      </c>
      <c r="AN844" s="125">
        <v>0</v>
      </c>
      <c r="AO844" s="125">
        <v>0</v>
      </c>
      <c r="AP844" s="121">
        <v>3634114</v>
      </c>
      <c r="AQ844" s="114">
        <v>0</v>
      </c>
      <c r="AR844" s="121">
        <v>201.03664545000001</v>
      </c>
      <c r="AS844" s="121">
        <v>39504.332133000004</v>
      </c>
      <c r="AT844" s="121">
        <v>5202.7028272999996</v>
      </c>
      <c r="AU844" s="420" t="s">
        <v>2001</v>
      </c>
      <c r="AV844" s="420" t="s">
        <v>2001</v>
      </c>
      <c r="AW844" s="121">
        <v>0</v>
      </c>
      <c r="AX844" s="121">
        <v>457221</v>
      </c>
      <c r="BI844">
        <v>0</v>
      </c>
      <c r="BJ844" s="121">
        <v>0</v>
      </c>
      <c r="BK844" s="134">
        <v>301603452</v>
      </c>
      <c r="BL844" s="934">
        <v>4550</v>
      </c>
      <c r="BM844" s="934">
        <v>4569</v>
      </c>
      <c r="BN844" s="934">
        <v>4569</v>
      </c>
      <c r="BO844" s="114">
        <v>0</v>
      </c>
      <c r="BP844" s="114">
        <v>0</v>
      </c>
    </row>
    <row r="845" spans="1:68">
      <c r="A845" t="s">
        <v>219</v>
      </c>
      <c r="B845" t="s">
        <v>656</v>
      </c>
      <c r="C845" s="121">
        <v>4726</v>
      </c>
      <c r="D845" s="72">
        <v>2</v>
      </c>
      <c r="E845">
        <v>381.85</v>
      </c>
      <c r="F845">
        <v>120</v>
      </c>
      <c r="G845">
        <v>98</v>
      </c>
      <c r="H845">
        <v>3</v>
      </c>
      <c r="I845" s="173">
        <v>1.04</v>
      </c>
      <c r="J845" s="121">
        <v>277415806</v>
      </c>
      <c r="K845" s="125">
        <v>2089.9250000000002</v>
      </c>
      <c r="L845" s="173">
        <v>1.5</v>
      </c>
      <c r="M845">
        <v>1.04</v>
      </c>
      <c r="N845">
        <v>1.000000005</v>
      </c>
      <c r="O845">
        <v>3.9999995000000066</v>
      </c>
      <c r="P845">
        <v>1315</v>
      </c>
      <c r="Q845" s="125">
        <v>0</v>
      </c>
      <c r="R845" s="125">
        <v>7.2309999999999999</v>
      </c>
      <c r="S845" s="125">
        <v>2.161</v>
      </c>
      <c r="T845" s="125">
        <v>32.488999999999997</v>
      </c>
      <c r="U845" s="125">
        <v>7.39</v>
      </c>
      <c r="V845" s="125">
        <v>0.21</v>
      </c>
      <c r="W845" s="125">
        <v>0.28100000000000003</v>
      </c>
      <c r="X845" s="125">
        <v>0</v>
      </c>
      <c r="Y845" s="125">
        <v>0</v>
      </c>
      <c r="Z845" s="125">
        <v>1.8169999999999999</v>
      </c>
      <c r="AA845" s="125">
        <v>118.73</v>
      </c>
      <c r="AB845" s="125">
        <v>44.362000000000002</v>
      </c>
      <c r="AC845" s="125">
        <v>1271.9000000000001</v>
      </c>
      <c r="AD845" s="125">
        <v>1.4039999999999999</v>
      </c>
      <c r="AE845" s="125">
        <v>74.063999999999993</v>
      </c>
      <c r="AF845" s="125">
        <v>64.238</v>
      </c>
      <c r="AG845" s="125">
        <v>0</v>
      </c>
      <c r="AH845" s="125">
        <v>0</v>
      </c>
      <c r="AI845" s="121">
        <v>2668985</v>
      </c>
      <c r="AJ845" s="121">
        <v>28926</v>
      </c>
      <c r="AK845" s="424">
        <v>12</v>
      </c>
      <c r="AL845">
        <v>0</v>
      </c>
      <c r="AM845" s="121">
        <v>42305</v>
      </c>
      <c r="AN845" s="125">
        <v>0</v>
      </c>
      <c r="AO845" s="125">
        <v>0</v>
      </c>
      <c r="AP845" s="121">
        <v>2697911</v>
      </c>
      <c r="AQ845" s="114">
        <v>0</v>
      </c>
      <c r="AR845" s="121">
        <v>184.91414061</v>
      </c>
      <c r="AS845" s="121">
        <v>36336.209303000003</v>
      </c>
      <c r="AT845" s="121">
        <v>4785.4624712000004</v>
      </c>
      <c r="AU845" s="420" t="s">
        <v>2001</v>
      </c>
      <c r="AV845" s="420" t="s">
        <v>2001</v>
      </c>
      <c r="AW845" s="121">
        <v>0</v>
      </c>
      <c r="AX845" s="121">
        <v>405925</v>
      </c>
      <c r="BI845">
        <v>0</v>
      </c>
      <c r="BJ845" s="121">
        <v>0</v>
      </c>
      <c r="BK845" s="134">
        <v>246881388</v>
      </c>
      <c r="BL845" s="934">
        <v>4629</v>
      </c>
      <c r="BM845" s="934">
        <v>4726</v>
      </c>
      <c r="BN845" s="934">
        <v>4726</v>
      </c>
      <c r="BO845" s="114">
        <v>0</v>
      </c>
      <c r="BP845" s="114">
        <v>0</v>
      </c>
    </row>
    <row r="846" spans="1:68">
      <c r="A846" t="s">
        <v>531</v>
      </c>
      <c r="B846" t="s">
        <v>1584</v>
      </c>
      <c r="C846" s="121">
        <v>4549</v>
      </c>
      <c r="D846" s="72">
        <v>2</v>
      </c>
      <c r="E846">
        <v>205.04</v>
      </c>
      <c r="F846">
        <v>74</v>
      </c>
      <c r="G846">
        <v>51</v>
      </c>
      <c r="H846">
        <v>2</v>
      </c>
      <c r="I846" s="173">
        <v>1.04</v>
      </c>
      <c r="J846" s="121">
        <v>149502952</v>
      </c>
      <c r="K846" s="125">
        <v>1287.6089999999999</v>
      </c>
      <c r="L846" s="173">
        <v>1.46</v>
      </c>
      <c r="M846">
        <v>1.04</v>
      </c>
      <c r="N846">
        <v>0.97333333820000001</v>
      </c>
      <c r="O846">
        <v>6.6666661800000027</v>
      </c>
      <c r="P846">
        <v>662.56899999999996</v>
      </c>
      <c r="Q846" s="125">
        <v>0</v>
      </c>
      <c r="R846" s="125">
        <v>0</v>
      </c>
      <c r="S846" s="125">
        <v>1.2509999999999999</v>
      </c>
      <c r="T846" s="125">
        <v>20.611999999999998</v>
      </c>
      <c r="U846" s="125">
        <v>6.5129999999999999</v>
      </c>
      <c r="V846" s="125">
        <v>0.28000000000000003</v>
      </c>
      <c r="W846" s="125">
        <v>6.9829999999999997</v>
      </c>
      <c r="X846" s="125">
        <v>0</v>
      </c>
      <c r="Y846" s="125">
        <v>0</v>
      </c>
      <c r="Z846" s="125">
        <v>2.4489999999999998</v>
      </c>
      <c r="AA846" s="125">
        <v>19.792999999999999</v>
      </c>
      <c r="AB846" s="125">
        <v>65.763000000000005</v>
      </c>
      <c r="AC846" s="125">
        <v>540.79999999999995</v>
      </c>
      <c r="AD846" s="125">
        <v>0</v>
      </c>
      <c r="AE846" s="125">
        <v>70.174000000000007</v>
      </c>
      <c r="AF846" s="125">
        <v>33.128</v>
      </c>
      <c r="AG846" s="125">
        <v>0</v>
      </c>
      <c r="AH846" s="125">
        <v>0</v>
      </c>
      <c r="AI846" s="121">
        <v>1550944</v>
      </c>
      <c r="AJ846" s="121">
        <v>122108</v>
      </c>
      <c r="AK846" s="424">
        <v>12</v>
      </c>
      <c r="AL846">
        <v>0</v>
      </c>
      <c r="AM846" s="121">
        <v>62183</v>
      </c>
      <c r="AN846" s="125">
        <v>0</v>
      </c>
      <c r="AO846" s="125">
        <v>0</v>
      </c>
      <c r="AP846" s="121">
        <v>1673052</v>
      </c>
      <c r="AQ846" s="114">
        <v>0</v>
      </c>
      <c r="AR846" s="121">
        <v>99.652612581</v>
      </c>
      <c r="AS846" s="121">
        <v>19582.051305000001</v>
      </c>
      <c r="AT846" s="121">
        <v>2578.9473757999999</v>
      </c>
      <c r="AU846" s="420" t="s">
        <v>2001</v>
      </c>
      <c r="AV846" s="420" t="s">
        <v>2001</v>
      </c>
      <c r="AW846" s="121">
        <v>0</v>
      </c>
      <c r="AX846" s="121">
        <v>187008</v>
      </c>
      <c r="BI846">
        <v>0</v>
      </c>
      <c r="BJ846" s="121">
        <v>0</v>
      </c>
      <c r="BK846" s="134">
        <v>149502952</v>
      </c>
      <c r="BL846" s="934">
        <v>4485</v>
      </c>
      <c r="BM846" s="934">
        <v>4549</v>
      </c>
      <c r="BN846" s="934">
        <v>4529</v>
      </c>
      <c r="BO846" s="114">
        <v>0</v>
      </c>
      <c r="BP846" s="114">
        <v>0</v>
      </c>
    </row>
    <row r="847" spans="1:68">
      <c r="A847" t="s">
        <v>1640</v>
      </c>
      <c r="B847" t="s">
        <v>387</v>
      </c>
      <c r="C847" s="121">
        <v>4680</v>
      </c>
      <c r="D847" s="72">
        <v>2</v>
      </c>
      <c r="E847">
        <v>66.331000000000003</v>
      </c>
      <c r="F847">
        <v>20</v>
      </c>
      <c r="G847">
        <v>12</v>
      </c>
      <c r="H847">
        <v>1</v>
      </c>
      <c r="I847" s="173">
        <v>1.04</v>
      </c>
      <c r="J847" s="121">
        <v>46871990</v>
      </c>
      <c r="K847" s="125">
        <v>439.39800000000002</v>
      </c>
      <c r="L847" s="173">
        <v>1.5</v>
      </c>
      <c r="M847">
        <v>1.04</v>
      </c>
      <c r="N847">
        <v>1.000000005</v>
      </c>
      <c r="O847">
        <v>3.9999995000000066</v>
      </c>
      <c r="P847">
        <v>194.33</v>
      </c>
      <c r="Q847" s="125">
        <v>0</v>
      </c>
      <c r="R847" s="125">
        <v>0</v>
      </c>
      <c r="S847" s="125">
        <v>0.49299999999999999</v>
      </c>
      <c r="T847" s="125">
        <v>6.5229999999999997</v>
      </c>
      <c r="U847" s="125">
        <v>0.51700000000000002</v>
      </c>
      <c r="V847" s="125">
        <v>0</v>
      </c>
      <c r="W847" s="125">
        <v>1.734</v>
      </c>
      <c r="X847" s="125">
        <v>0</v>
      </c>
      <c r="Y847" s="125">
        <v>0</v>
      </c>
      <c r="Z847" s="125">
        <v>4.5460000000000003</v>
      </c>
      <c r="AA847" s="125">
        <v>16.693999999999999</v>
      </c>
      <c r="AB847" s="125">
        <v>9.5990000000000002</v>
      </c>
      <c r="AC847" s="125">
        <v>130.19999999999999</v>
      </c>
      <c r="AD847" s="125">
        <v>4.0000000000000001E-3</v>
      </c>
      <c r="AE847" s="125">
        <v>4.5049999999999999</v>
      </c>
      <c r="AF847" s="125">
        <v>9.7159999999999993</v>
      </c>
      <c r="AG847" s="125">
        <v>0</v>
      </c>
      <c r="AH847" s="125">
        <v>0</v>
      </c>
      <c r="AI847" s="121">
        <v>496487</v>
      </c>
      <c r="AJ847" s="121">
        <v>0</v>
      </c>
      <c r="AK847" s="424">
        <v>12</v>
      </c>
      <c r="AL847">
        <v>0</v>
      </c>
      <c r="AM847" s="121">
        <v>37388</v>
      </c>
      <c r="AN847" s="125">
        <v>0</v>
      </c>
      <c r="AO847" s="125">
        <v>0</v>
      </c>
      <c r="AP847" s="121">
        <v>496487</v>
      </c>
      <c r="AQ847" s="114">
        <v>0</v>
      </c>
      <c r="AR847" s="121">
        <v>31.242970108000002</v>
      </c>
      <c r="AS847" s="121">
        <v>6139.3417363999997</v>
      </c>
      <c r="AT847" s="121">
        <v>808.54855366000004</v>
      </c>
      <c r="AU847" s="420" t="s">
        <v>2001</v>
      </c>
      <c r="AV847" s="420" t="s">
        <v>2001</v>
      </c>
      <c r="AW847" s="121">
        <v>0</v>
      </c>
      <c r="AX847" s="121">
        <v>0</v>
      </c>
      <c r="BI847">
        <v>0</v>
      </c>
      <c r="BJ847" s="121">
        <v>0</v>
      </c>
      <c r="BK847" s="134">
        <v>46871990</v>
      </c>
      <c r="BL847" s="934">
        <v>4615</v>
      </c>
      <c r="BM847" s="934">
        <v>4680</v>
      </c>
      <c r="BN847" s="934">
        <v>4677</v>
      </c>
      <c r="BO847" s="114">
        <v>0</v>
      </c>
      <c r="BP847" s="114">
        <v>0</v>
      </c>
    </row>
    <row r="848" spans="1:68">
      <c r="A848" t="s">
        <v>1641</v>
      </c>
      <c r="B848" t="s">
        <v>388</v>
      </c>
      <c r="C848" s="121">
        <v>4595</v>
      </c>
      <c r="D848" s="72">
        <v>1</v>
      </c>
      <c r="E848">
        <v>53.393999999999998</v>
      </c>
      <c r="F848">
        <v>16</v>
      </c>
      <c r="G848">
        <v>10</v>
      </c>
      <c r="H848">
        <v>1</v>
      </c>
      <c r="I848" s="173">
        <v>1.04</v>
      </c>
      <c r="J848" s="121">
        <v>35084653</v>
      </c>
      <c r="K848" s="125">
        <v>282.16899999999998</v>
      </c>
      <c r="L848" s="173">
        <v>1.5</v>
      </c>
      <c r="M848">
        <v>1.04</v>
      </c>
      <c r="N848">
        <v>1.000000005</v>
      </c>
      <c r="O848">
        <v>3.9999995000000066</v>
      </c>
      <c r="P848">
        <v>102</v>
      </c>
      <c r="Q848" s="125">
        <v>0</v>
      </c>
      <c r="R848" s="125">
        <v>0</v>
      </c>
      <c r="S848" s="125">
        <v>0.2</v>
      </c>
      <c r="T848" s="125">
        <v>3</v>
      </c>
      <c r="U848" s="125">
        <v>0.65</v>
      </c>
      <c r="V848" s="125">
        <v>0</v>
      </c>
      <c r="W848" s="125">
        <v>0.8</v>
      </c>
      <c r="X848" s="125">
        <v>0</v>
      </c>
      <c r="Y848" s="125">
        <v>0</v>
      </c>
      <c r="Z848" s="125">
        <v>6</v>
      </c>
      <c r="AA848" s="125">
        <v>4.5</v>
      </c>
      <c r="AB848" s="125">
        <v>7</v>
      </c>
      <c r="AC848" s="125">
        <v>102.2</v>
      </c>
      <c r="AD848" s="125">
        <v>0</v>
      </c>
      <c r="AE848" s="125">
        <v>6</v>
      </c>
      <c r="AF848" s="125">
        <v>2</v>
      </c>
      <c r="AG848" s="125">
        <v>0</v>
      </c>
      <c r="AH848" s="125">
        <v>0</v>
      </c>
      <c r="AI848" s="121">
        <v>375462</v>
      </c>
      <c r="AJ848" s="121">
        <v>0</v>
      </c>
      <c r="AK848" s="424">
        <v>12</v>
      </c>
      <c r="AL848">
        <v>0</v>
      </c>
      <c r="AM848" s="121">
        <v>15447</v>
      </c>
      <c r="AN848" s="125">
        <v>0</v>
      </c>
      <c r="AO848" s="125">
        <v>0</v>
      </c>
      <c r="AP848" s="121">
        <v>375462</v>
      </c>
      <c r="AQ848" s="114">
        <v>0</v>
      </c>
      <c r="AR848" s="121">
        <v>23.386008679</v>
      </c>
      <c r="AS848" s="121">
        <v>4595.4241429000003</v>
      </c>
      <c r="AT848" s="121">
        <v>605.21529892000001</v>
      </c>
      <c r="AU848" s="420" t="s">
        <v>2001</v>
      </c>
      <c r="AV848" s="420" t="s">
        <v>2001</v>
      </c>
      <c r="AW848" s="121">
        <v>0</v>
      </c>
      <c r="AX848" s="121">
        <v>0</v>
      </c>
      <c r="BI848">
        <v>0</v>
      </c>
      <c r="BJ848" s="121">
        <v>0</v>
      </c>
      <c r="BK848" s="134">
        <v>35084653</v>
      </c>
      <c r="BL848" s="934">
        <v>4595</v>
      </c>
      <c r="BM848" s="934">
        <v>4575</v>
      </c>
      <c r="BN848" s="934">
        <v>4571</v>
      </c>
      <c r="BO848" s="114">
        <v>0</v>
      </c>
      <c r="BP848" s="114">
        <v>0</v>
      </c>
    </row>
    <row r="849" spans="1:68">
      <c r="A849" t="s">
        <v>1557</v>
      </c>
      <c r="B849" t="s">
        <v>389</v>
      </c>
      <c r="C849" s="121">
        <v>5378</v>
      </c>
      <c r="D849" s="72">
        <v>2</v>
      </c>
      <c r="E849">
        <v>174.77</v>
      </c>
      <c r="F849">
        <v>60</v>
      </c>
      <c r="G849">
        <v>35</v>
      </c>
      <c r="H849">
        <v>4</v>
      </c>
      <c r="I849" s="173">
        <v>1.17</v>
      </c>
      <c r="J849" s="121">
        <v>355939612</v>
      </c>
      <c r="K849" s="125">
        <v>964.23099999999999</v>
      </c>
      <c r="L849" s="173">
        <v>1.5</v>
      </c>
      <c r="M849">
        <v>1.17</v>
      </c>
      <c r="N849">
        <v>1.000000005</v>
      </c>
      <c r="O849">
        <v>16.999999499999994</v>
      </c>
      <c r="P849">
        <v>517.851</v>
      </c>
      <c r="Q849" s="125">
        <v>0</v>
      </c>
      <c r="R849" s="125">
        <v>0</v>
      </c>
      <c r="S849" s="125">
        <v>0.51400000000000001</v>
      </c>
      <c r="T849" s="125">
        <v>10.997999999999999</v>
      </c>
      <c r="U849" s="125">
        <v>1.3</v>
      </c>
      <c r="V849" s="125">
        <v>0</v>
      </c>
      <c r="W849" s="125">
        <v>0.44800000000000001</v>
      </c>
      <c r="X849" s="125">
        <v>0</v>
      </c>
      <c r="Y849" s="125">
        <v>0</v>
      </c>
      <c r="Z849" s="125">
        <v>0</v>
      </c>
      <c r="AA849" s="125">
        <v>11.823</v>
      </c>
      <c r="AB849" s="125">
        <v>35.225000000000001</v>
      </c>
      <c r="AC849" s="125">
        <v>362.1</v>
      </c>
      <c r="AD849" s="125">
        <v>0.34100000000000003</v>
      </c>
      <c r="AE849" s="125">
        <v>56.646999999999998</v>
      </c>
      <c r="AF849" s="125">
        <v>25.89255</v>
      </c>
      <c r="AG849" s="125">
        <v>0</v>
      </c>
      <c r="AH849" s="125">
        <v>0</v>
      </c>
      <c r="AI849" s="121">
        <v>4241537</v>
      </c>
      <c r="AJ849" s="121">
        <v>0</v>
      </c>
      <c r="AK849" s="424">
        <v>12</v>
      </c>
      <c r="AL849">
        <v>0</v>
      </c>
      <c r="AM849" s="121">
        <v>69404</v>
      </c>
      <c r="AN849" s="125">
        <v>0</v>
      </c>
      <c r="AO849" s="125">
        <v>0</v>
      </c>
      <c r="AP849" s="121">
        <v>4241537</v>
      </c>
      <c r="AQ849" s="114">
        <v>0</v>
      </c>
      <c r="AR849" s="121">
        <v>68.147679120000006</v>
      </c>
      <c r="AS849" s="121">
        <v>13391.232947</v>
      </c>
      <c r="AT849" s="121">
        <v>1763.6193741</v>
      </c>
      <c r="AU849" s="420" t="s">
        <v>798</v>
      </c>
      <c r="AV849" s="420" t="s">
        <v>2001</v>
      </c>
      <c r="AW849" s="121">
        <v>0</v>
      </c>
      <c r="AX849" s="121">
        <v>0</v>
      </c>
      <c r="AY849" s="134">
        <v>507214</v>
      </c>
      <c r="AZ849" s="134">
        <v>2834027</v>
      </c>
      <c r="BA849" s="134">
        <v>1178</v>
      </c>
      <c r="BB849" s="134">
        <v>193121396</v>
      </c>
      <c r="BC849" s="114">
        <v>0</v>
      </c>
      <c r="BD849" s="114">
        <v>0</v>
      </c>
      <c r="BE849" s="114">
        <v>0</v>
      </c>
      <c r="BF849" s="114">
        <v>643</v>
      </c>
      <c r="BG849" s="114">
        <v>0</v>
      </c>
      <c r="BH849" s="114">
        <v>0</v>
      </c>
      <c r="BI849">
        <v>0</v>
      </c>
      <c r="BJ849" s="121">
        <v>16</v>
      </c>
      <c r="BK849" s="134">
        <v>355939612</v>
      </c>
      <c r="BL849" s="934">
        <v>5100</v>
      </c>
      <c r="BM849" s="934">
        <v>5378</v>
      </c>
      <c r="BN849" s="934">
        <v>5377</v>
      </c>
      <c r="BO849" s="114">
        <v>0</v>
      </c>
      <c r="BP849" s="114">
        <v>0</v>
      </c>
    </row>
    <row r="850" spans="1:68">
      <c r="A850" t="s">
        <v>1558</v>
      </c>
      <c r="B850" t="s">
        <v>390</v>
      </c>
      <c r="C850" s="121">
        <v>5630</v>
      </c>
      <c r="D850" s="72">
        <v>1</v>
      </c>
      <c r="E850">
        <v>49.831000000000003</v>
      </c>
      <c r="F850">
        <v>18</v>
      </c>
      <c r="G850">
        <v>12</v>
      </c>
      <c r="H850">
        <v>0</v>
      </c>
      <c r="I850" s="173">
        <v>1.04</v>
      </c>
      <c r="J850" s="121">
        <v>53593965</v>
      </c>
      <c r="K850" s="125">
        <v>390.28399999999999</v>
      </c>
      <c r="L850" s="173">
        <v>1.5</v>
      </c>
      <c r="M850">
        <v>1.04</v>
      </c>
      <c r="N850">
        <v>1.000000005</v>
      </c>
      <c r="O850">
        <v>3.9999995000000066</v>
      </c>
      <c r="P850">
        <v>218.376</v>
      </c>
      <c r="Q850" s="125">
        <v>4.8000000000000001E-2</v>
      </c>
      <c r="R850" s="125">
        <v>0</v>
      </c>
      <c r="S850" s="125">
        <v>0.11799999999999999</v>
      </c>
      <c r="T850" s="125">
        <v>9.0579999999999998</v>
      </c>
      <c r="U850" s="125">
        <v>0.64700000000000002</v>
      </c>
      <c r="V850" s="125">
        <v>0</v>
      </c>
      <c r="W850" s="125">
        <v>0.47399999999999998</v>
      </c>
      <c r="X850" s="125">
        <v>0</v>
      </c>
      <c r="Y850" s="125">
        <v>0</v>
      </c>
      <c r="Z850" s="125">
        <v>0</v>
      </c>
      <c r="AA850" s="125">
        <v>10.895</v>
      </c>
      <c r="AB850" s="125">
        <v>9.391</v>
      </c>
      <c r="AC850" s="125">
        <v>118.7</v>
      </c>
      <c r="AD850" s="125">
        <v>0.28399999999999997</v>
      </c>
      <c r="AE850" s="125">
        <v>9.3979999999999997</v>
      </c>
      <c r="AF850" s="125">
        <v>10.918799999999999</v>
      </c>
      <c r="AG850" s="125">
        <v>0</v>
      </c>
      <c r="AH850" s="125">
        <v>0</v>
      </c>
      <c r="AI850" s="121">
        <v>585246</v>
      </c>
      <c r="AJ850" s="121">
        <v>0</v>
      </c>
      <c r="AK850" s="424">
        <v>12</v>
      </c>
      <c r="AL850">
        <v>0</v>
      </c>
      <c r="AM850" s="121">
        <v>24276</v>
      </c>
      <c r="AN850" s="125">
        <v>0</v>
      </c>
      <c r="AO850" s="125">
        <v>0</v>
      </c>
      <c r="AP850" s="121">
        <v>585246</v>
      </c>
      <c r="AQ850" s="114">
        <v>0</v>
      </c>
      <c r="AR850" s="121">
        <v>35.723566386999998</v>
      </c>
      <c r="AS850" s="121">
        <v>7019.7929753999997</v>
      </c>
      <c r="AT850" s="121">
        <v>924.50358702000005</v>
      </c>
      <c r="AU850" s="420" t="s">
        <v>2001</v>
      </c>
      <c r="AV850" s="420" t="s">
        <v>2001</v>
      </c>
      <c r="AW850" s="121">
        <v>0</v>
      </c>
      <c r="AX850" s="121">
        <v>0</v>
      </c>
      <c r="BI850">
        <v>0</v>
      </c>
      <c r="BJ850" s="121">
        <v>0</v>
      </c>
      <c r="BK850" s="134">
        <v>53593965</v>
      </c>
      <c r="BL850" s="934">
        <v>5630</v>
      </c>
      <c r="BM850" s="934">
        <v>5209</v>
      </c>
      <c r="BN850" s="934">
        <v>5162</v>
      </c>
      <c r="BO850" s="114">
        <v>0</v>
      </c>
      <c r="BP850" s="114">
        <v>0</v>
      </c>
    </row>
    <row r="851" spans="1:68">
      <c r="A851" t="s">
        <v>1559</v>
      </c>
      <c r="B851" t="s">
        <v>391</v>
      </c>
      <c r="C851" s="121">
        <v>7104</v>
      </c>
      <c r="D851" s="72">
        <v>1</v>
      </c>
      <c r="E851">
        <v>674.42399999999998</v>
      </c>
      <c r="F851">
        <v>198</v>
      </c>
      <c r="G851">
        <v>125</v>
      </c>
      <c r="H851">
        <v>8</v>
      </c>
      <c r="I851" s="173">
        <v>1.04</v>
      </c>
      <c r="J851" s="121">
        <v>2322434798</v>
      </c>
      <c r="K851" s="125">
        <v>3122.4830000000002</v>
      </c>
      <c r="L851" s="173">
        <v>1.5</v>
      </c>
      <c r="M851">
        <v>1.04</v>
      </c>
      <c r="N851">
        <v>1.000000005</v>
      </c>
      <c r="O851">
        <v>3.9999995000000066</v>
      </c>
      <c r="P851">
        <v>2272.154</v>
      </c>
      <c r="Q851" s="125">
        <v>0.13100000000000001</v>
      </c>
      <c r="R851" s="125">
        <v>0</v>
      </c>
      <c r="S851" s="125">
        <v>5.8310000000000004</v>
      </c>
      <c r="T851" s="125">
        <v>83.504000000000005</v>
      </c>
      <c r="U851" s="125">
        <v>18.896000000000001</v>
      </c>
      <c r="V851" s="125">
        <v>0</v>
      </c>
      <c r="W851" s="125">
        <v>0</v>
      </c>
      <c r="X851" s="125">
        <v>0</v>
      </c>
      <c r="Y851" s="125">
        <v>0</v>
      </c>
      <c r="Z851" s="125">
        <v>0</v>
      </c>
      <c r="AA851" s="125">
        <v>108.101</v>
      </c>
      <c r="AB851" s="125">
        <v>180.25299999999999</v>
      </c>
      <c r="AC851" s="125">
        <v>1518</v>
      </c>
      <c r="AD851" s="125">
        <v>1.875</v>
      </c>
      <c r="AE851" s="125">
        <v>110.97799999999999</v>
      </c>
      <c r="AF851" s="125">
        <v>113.60769999999999</v>
      </c>
      <c r="AG851" s="125">
        <v>0</v>
      </c>
      <c r="AH851" s="125">
        <v>0</v>
      </c>
      <c r="AI851" s="121">
        <v>25107378</v>
      </c>
      <c r="AJ851" s="121">
        <v>1760171</v>
      </c>
      <c r="AK851" s="424">
        <v>12</v>
      </c>
      <c r="AL851">
        <v>0</v>
      </c>
      <c r="AM851" s="121">
        <v>138329</v>
      </c>
      <c r="AN851" s="125">
        <v>0</v>
      </c>
      <c r="AO851" s="125">
        <v>0</v>
      </c>
      <c r="AP851" s="121">
        <v>26867549</v>
      </c>
      <c r="AQ851" s="114">
        <v>0</v>
      </c>
      <c r="AR851" s="121">
        <v>0</v>
      </c>
      <c r="AS851" s="121">
        <v>0</v>
      </c>
      <c r="AT851" s="121">
        <v>0</v>
      </c>
      <c r="AU851" s="420" t="s">
        <v>798</v>
      </c>
      <c r="AV851" s="420" t="s">
        <v>2001</v>
      </c>
      <c r="AW851" s="121">
        <v>0</v>
      </c>
      <c r="AX851" s="121">
        <v>1705656</v>
      </c>
      <c r="AY851" s="134">
        <v>2934028</v>
      </c>
      <c r="AZ851" s="134">
        <v>9522241</v>
      </c>
      <c r="BA851" s="134">
        <v>4084</v>
      </c>
      <c r="BB851" s="134">
        <v>731572850</v>
      </c>
      <c r="BC851" s="114">
        <v>0</v>
      </c>
      <c r="BD851" s="114">
        <v>0</v>
      </c>
      <c r="BE851" s="114">
        <v>0</v>
      </c>
      <c r="BF851" s="134">
        <v>2584</v>
      </c>
      <c r="BG851" s="114">
        <v>0</v>
      </c>
      <c r="BH851" s="114">
        <v>0</v>
      </c>
      <c r="BI851">
        <v>0</v>
      </c>
      <c r="BJ851" s="121">
        <v>2260</v>
      </c>
      <c r="BK851" s="134">
        <v>2322434798</v>
      </c>
      <c r="BL851" s="934">
        <v>7104</v>
      </c>
      <c r="BM851" s="934">
        <v>6030</v>
      </c>
      <c r="BN851" s="934">
        <v>6030</v>
      </c>
      <c r="BO851" s="114">
        <v>0</v>
      </c>
      <c r="BP851" s="114">
        <v>0</v>
      </c>
    </row>
    <row r="852" spans="1:68">
      <c r="A852" t="s">
        <v>1662</v>
      </c>
      <c r="B852" t="s">
        <v>392</v>
      </c>
      <c r="C852" s="121">
        <v>6415</v>
      </c>
      <c r="D852" s="72">
        <v>2</v>
      </c>
      <c r="E852">
        <v>78.596000000000004</v>
      </c>
      <c r="F852">
        <v>18</v>
      </c>
      <c r="G852">
        <v>12</v>
      </c>
      <c r="H852">
        <v>2</v>
      </c>
      <c r="I852" s="173">
        <v>1.04</v>
      </c>
      <c r="J852" s="121">
        <v>187933005</v>
      </c>
      <c r="K852" s="125">
        <v>397.50599999999997</v>
      </c>
      <c r="L852" s="173">
        <v>1.5</v>
      </c>
      <c r="M852">
        <v>1.04</v>
      </c>
      <c r="N852">
        <v>1.000000005</v>
      </c>
      <c r="O852">
        <v>3.9999995000000066</v>
      </c>
      <c r="P852">
        <v>243.12100000000001</v>
      </c>
      <c r="Q852" s="125">
        <v>0</v>
      </c>
      <c r="R852" s="125">
        <v>0</v>
      </c>
      <c r="S852" s="125">
        <v>0.312</v>
      </c>
      <c r="T852" s="125">
        <v>2.722</v>
      </c>
      <c r="U852" s="125">
        <v>0</v>
      </c>
      <c r="V852" s="125">
        <v>0</v>
      </c>
      <c r="W852" s="125">
        <v>0.877</v>
      </c>
      <c r="X852" s="125">
        <v>0</v>
      </c>
      <c r="Y852" s="125">
        <v>0</v>
      </c>
      <c r="Z852" s="125">
        <v>0</v>
      </c>
      <c r="AA852" s="125">
        <v>3.6819999999999999</v>
      </c>
      <c r="AB852" s="125">
        <v>11.579000000000001</v>
      </c>
      <c r="AC852" s="125">
        <v>137.19999999999999</v>
      </c>
      <c r="AD852" s="125">
        <v>0</v>
      </c>
      <c r="AE852" s="125">
        <v>8.2750000000000004</v>
      </c>
      <c r="AF852" s="125">
        <v>12.156000000000001</v>
      </c>
      <c r="AG852" s="125">
        <v>0</v>
      </c>
      <c r="AH852" s="125">
        <v>0</v>
      </c>
      <c r="AI852" s="121">
        <v>2031706</v>
      </c>
      <c r="AJ852" s="121">
        <v>0</v>
      </c>
      <c r="AK852" s="424">
        <v>12</v>
      </c>
      <c r="AL852">
        <v>0</v>
      </c>
      <c r="AM852" s="121">
        <v>24725</v>
      </c>
      <c r="AN852" s="125">
        <v>0</v>
      </c>
      <c r="AO852" s="125">
        <v>0</v>
      </c>
      <c r="AP852" s="121">
        <v>2031706</v>
      </c>
      <c r="AQ852" s="114">
        <v>0</v>
      </c>
      <c r="AR852" s="121">
        <v>0</v>
      </c>
      <c r="AS852" s="121">
        <v>0</v>
      </c>
      <c r="AT852" s="121">
        <v>0</v>
      </c>
      <c r="AU852" s="420" t="s">
        <v>798</v>
      </c>
      <c r="AV852" s="420" t="s">
        <v>2001</v>
      </c>
      <c r="AW852" s="121">
        <v>0</v>
      </c>
      <c r="AX852" s="121">
        <v>0</v>
      </c>
      <c r="AY852" s="134">
        <v>537233</v>
      </c>
      <c r="AZ852" s="134">
        <v>770878</v>
      </c>
      <c r="BA852" s="114">
        <v>254</v>
      </c>
      <c r="BB852" s="134">
        <v>118791802</v>
      </c>
      <c r="BC852" s="114">
        <v>0</v>
      </c>
      <c r="BD852" s="114">
        <v>0</v>
      </c>
      <c r="BE852" s="114">
        <v>0</v>
      </c>
      <c r="BF852" s="114">
        <v>233</v>
      </c>
      <c r="BG852" s="114">
        <v>0</v>
      </c>
      <c r="BH852" s="114">
        <v>0</v>
      </c>
      <c r="BI852">
        <v>0</v>
      </c>
      <c r="BJ852" s="121">
        <v>0</v>
      </c>
      <c r="BK852" s="134">
        <v>187933005</v>
      </c>
      <c r="BL852" s="934">
        <v>5543</v>
      </c>
      <c r="BM852" s="934">
        <v>6415</v>
      </c>
      <c r="BN852" s="934">
        <v>5440</v>
      </c>
      <c r="BO852" s="114">
        <v>0</v>
      </c>
      <c r="BP852" s="114">
        <v>0</v>
      </c>
    </row>
    <row r="853" spans="1:68">
      <c r="A853" t="s">
        <v>1084</v>
      </c>
      <c r="B853" t="s">
        <v>393</v>
      </c>
      <c r="C853" s="121">
        <v>4593</v>
      </c>
      <c r="D853" s="72">
        <v>2</v>
      </c>
      <c r="E853">
        <v>178.91399999999999</v>
      </c>
      <c r="F853">
        <v>54</v>
      </c>
      <c r="G853">
        <v>30</v>
      </c>
      <c r="H853">
        <v>2</v>
      </c>
      <c r="I853" s="173">
        <v>1.0304</v>
      </c>
      <c r="J853" s="121">
        <v>221443131</v>
      </c>
      <c r="K853" s="125">
        <v>1033.855</v>
      </c>
      <c r="L853" s="173">
        <v>1.2817000000000001</v>
      </c>
      <c r="M853">
        <v>1.0304</v>
      </c>
      <c r="N853">
        <v>0.85446667093900008</v>
      </c>
      <c r="O853">
        <v>17.593332906099988</v>
      </c>
      <c r="P853">
        <v>541.56600000000003</v>
      </c>
      <c r="Q853" s="125">
        <v>0</v>
      </c>
      <c r="R853" s="125">
        <v>0</v>
      </c>
      <c r="S853" s="125">
        <v>0.65900000000000003</v>
      </c>
      <c r="T853" s="125">
        <v>15.898999999999999</v>
      </c>
      <c r="U853" s="125">
        <v>0.96</v>
      </c>
      <c r="V853" s="125">
        <v>0</v>
      </c>
      <c r="W853" s="125">
        <v>1.139</v>
      </c>
      <c r="X853" s="125">
        <v>0</v>
      </c>
      <c r="Y853" s="125">
        <v>0</v>
      </c>
      <c r="Z853" s="125">
        <v>4.6340000000000003</v>
      </c>
      <c r="AA853" s="125">
        <v>22.673999999999999</v>
      </c>
      <c r="AB853" s="125">
        <v>45.363999999999997</v>
      </c>
      <c r="AC853" s="125">
        <v>298.3</v>
      </c>
      <c r="AD853" s="125">
        <v>0.89700000000000002</v>
      </c>
      <c r="AE853" s="125">
        <v>10.536</v>
      </c>
      <c r="AF853" s="125">
        <v>27.077999999999999</v>
      </c>
      <c r="AG853" s="125">
        <v>0</v>
      </c>
      <c r="AH853" s="125">
        <v>0</v>
      </c>
      <c r="AI853" s="121">
        <v>2395838</v>
      </c>
      <c r="AJ853" s="121">
        <v>200715</v>
      </c>
      <c r="AK853" s="424">
        <v>12</v>
      </c>
      <c r="AL853">
        <v>0</v>
      </c>
      <c r="AM853" s="121">
        <v>23452</v>
      </c>
      <c r="AN853" s="125">
        <v>0</v>
      </c>
      <c r="AO853" s="125">
        <v>0</v>
      </c>
      <c r="AP853" s="121">
        <v>2596553</v>
      </c>
      <c r="AQ853" s="114">
        <v>0</v>
      </c>
      <c r="AR853" s="121">
        <v>147.60502216</v>
      </c>
      <c r="AS853" s="121">
        <v>29004.850367999999</v>
      </c>
      <c r="AT853" s="121">
        <v>3819.9257870000001</v>
      </c>
      <c r="AU853" s="420" t="s">
        <v>2001</v>
      </c>
      <c r="AV853" s="420" t="s">
        <v>2001</v>
      </c>
      <c r="AW853" s="121">
        <v>0</v>
      </c>
      <c r="AX853" s="121">
        <v>236775</v>
      </c>
      <c r="BI853">
        <v>0</v>
      </c>
      <c r="BJ853" s="121">
        <v>0</v>
      </c>
      <c r="BK853" s="134">
        <v>221443131</v>
      </c>
      <c r="BL853" s="934">
        <v>4275</v>
      </c>
      <c r="BM853" s="934">
        <v>4593</v>
      </c>
      <c r="BN853" s="934">
        <v>4313</v>
      </c>
      <c r="BO853" s="114">
        <v>0</v>
      </c>
      <c r="BP853" s="114">
        <v>0</v>
      </c>
    </row>
    <row r="854" spans="1:68">
      <c r="A854" t="s">
        <v>1085</v>
      </c>
      <c r="B854" t="s">
        <v>394</v>
      </c>
      <c r="C854" s="121">
        <v>4894</v>
      </c>
      <c r="D854" s="72">
        <v>2</v>
      </c>
      <c r="E854">
        <v>36.070999999999998</v>
      </c>
      <c r="F854">
        <v>19</v>
      </c>
      <c r="G854">
        <v>12</v>
      </c>
      <c r="H854">
        <v>1</v>
      </c>
      <c r="I854" s="173">
        <v>1.04</v>
      </c>
      <c r="J854" s="121">
        <v>48363569</v>
      </c>
      <c r="K854" s="125">
        <v>271.315</v>
      </c>
      <c r="L854" s="173">
        <v>1.4291</v>
      </c>
      <c r="M854">
        <v>1.04</v>
      </c>
      <c r="N854">
        <v>0.952733338097</v>
      </c>
      <c r="O854">
        <v>8.7266661903000031</v>
      </c>
      <c r="P854">
        <v>116.22199999999999</v>
      </c>
      <c r="Q854" s="125">
        <v>0</v>
      </c>
      <c r="R854" s="125">
        <v>0</v>
      </c>
      <c r="S854" s="125">
        <v>0.29199999999999998</v>
      </c>
      <c r="T854" s="125">
        <v>2.1110000000000002</v>
      </c>
      <c r="U854" s="125">
        <v>0.39800000000000002</v>
      </c>
      <c r="V854" s="125">
        <v>0</v>
      </c>
      <c r="W854" s="125">
        <v>0</v>
      </c>
      <c r="X854" s="125">
        <v>0</v>
      </c>
      <c r="Y854" s="125">
        <v>0</v>
      </c>
      <c r="Z854" s="125">
        <v>0</v>
      </c>
      <c r="AA854" s="125">
        <v>23.620999999999999</v>
      </c>
      <c r="AB854" s="125">
        <v>7.8719999999999999</v>
      </c>
      <c r="AC854" s="125">
        <v>93.2</v>
      </c>
      <c r="AD854" s="125">
        <v>0</v>
      </c>
      <c r="AE854" s="125">
        <v>0</v>
      </c>
      <c r="AF854" s="125">
        <v>5.8109999999999999</v>
      </c>
      <c r="AG854" s="125">
        <v>0</v>
      </c>
      <c r="AH854" s="125">
        <v>0</v>
      </c>
      <c r="AI854" s="121">
        <v>509320</v>
      </c>
      <c r="AJ854" s="121">
        <v>0</v>
      </c>
      <c r="AK854" s="424">
        <v>12</v>
      </c>
      <c r="AL854">
        <v>0</v>
      </c>
      <c r="AM854" s="121">
        <v>13054</v>
      </c>
      <c r="AN854" s="125">
        <v>0</v>
      </c>
      <c r="AO854" s="125">
        <v>0</v>
      </c>
      <c r="AP854" s="121">
        <v>509320</v>
      </c>
      <c r="AQ854" s="114">
        <v>0</v>
      </c>
      <c r="AR854" s="121">
        <v>32.237196402999999</v>
      </c>
      <c r="AS854" s="121">
        <v>6334.7103256</v>
      </c>
      <c r="AT854" s="121">
        <v>834.27850923999995</v>
      </c>
      <c r="AU854" s="420" t="s">
        <v>2001</v>
      </c>
      <c r="AV854" s="420" t="s">
        <v>2001</v>
      </c>
      <c r="AW854" s="121">
        <v>0</v>
      </c>
      <c r="AX854" s="121">
        <v>0</v>
      </c>
      <c r="BI854">
        <v>0</v>
      </c>
      <c r="BJ854" s="121">
        <v>0</v>
      </c>
      <c r="BK854" s="134">
        <v>48083539</v>
      </c>
      <c r="BL854" s="934">
        <v>4749</v>
      </c>
      <c r="BM854" s="934">
        <v>4894</v>
      </c>
      <c r="BN854" s="934">
        <v>4792</v>
      </c>
      <c r="BO854" s="114">
        <v>0</v>
      </c>
      <c r="BP854" s="114">
        <v>0</v>
      </c>
    </row>
    <row r="855" spans="1:68">
      <c r="A855" t="s">
        <v>1086</v>
      </c>
      <c r="B855" t="s">
        <v>1995</v>
      </c>
      <c r="C855" s="121">
        <v>4457</v>
      </c>
      <c r="D855" s="72">
        <v>2</v>
      </c>
      <c r="E855">
        <v>608.05200000000002</v>
      </c>
      <c r="F855">
        <v>190</v>
      </c>
      <c r="G855">
        <v>157</v>
      </c>
      <c r="H855">
        <v>13</v>
      </c>
      <c r="I855" s="173">
        <v>1.04</v>
      </c>
      <c r="J855" s="121">
        <v>371810039</v>
      </c>
      <c r="K855" s="125">
        <v>3299.7269999999999</v>
      </c>
      <c r="L855" s="173">
        <v>1.5</v>
      </c>
      <c r="M855">
        <v>1.04</v>
      </c>
      <c r="N855">
        <v>1.000000005</v>
      </c>
      <c r="O855">
        <v>3.9999995000000066</v>
      </c>
      <c r="P855">
        <v>2306.0680000000002</v>
      </c>
      <c r="Q855" s="125">
        <v>6.4000000000000001E-2</v>
      </c>
      <c r="R855" s="125">
        <v>0</v>
      </c>
      <c r="S855" s="125">
        <v>4.1929999999999996</v>
      </c>
      <c r="T855" s="125">
        <v>56.411999999999999</v>
      </c>
      <c r="U855" s="125">
        <v>14.898999999999999</v>
      </c>
      <c r="V855" s="125">
        <v>0</v>
      </c>
      <c r="W855" s="125">
        <v>19.88</v>
      </c>
      <c r="X855" s="125">
        <v>0</v>
      </c>
      <c r="Y855" s="125">
        <v>0</v>
      </c>
      <c r="Z855" s="125">
        <v>2.649</v>
      </c>
      <c r="AA855" s="125">
        <v>36.198999999999998</v>
      </c>
      <c r="AB855" s="125">
        <v>125.26600000000001</v>
      </c>
      <c r="AC855" s="125">
        <v>1905.3</v>
      </c>
      <c r="AD855" s="125">
        <v>0.754</v>
      </c>
      <c r="AE855" s="125">
        <v>420.92</v>
      </c>
      <c r="AF855" s="125">
        <v>115.303</v>
      </c>
      <c r="AG855" s="125">
        <v>0</v>
      </c>
      <c r="AH855" s="125">
        <v>0</v>
      </c>
      <c r="AI855" s="121">
        <v>3978962</v>
      </c>
      <c r="AJ855" s="121">
        <v>539245</v>
      </c>
      <c r="AK855" s="424">
        <v>12</v>
      </c>
      <c r="AL855">
        <v>0</v>
      </c>
      <c r="AM855" s="121">
        <v>291941</v>
      </c>
      <c r="AN855" s="125">
        <v>0</v>
      </c>
      <c r="AO855" s="125">
        <v>0</v>
      </c>
      <c r="AP855" s="121">
        <v>4518207</v>
      </c>
      <c r="AQ855" s="114">
        <v>0</v>
      </c>
      <c r="AR855" s="121">
        <v>247.83351281</v>
      </c>
      <c r="AS855" s="121">
        <v>48700.063522999997</v>
      </c>
      <c r="AT855" s="121">
        <v>6413.7765276999999</v>
      </c>
      <c r="AU855" s="420" t="s">
        <v>2001</v>
      </c>
      <c r="AV855" s="420" t="s">
        <v>2001</v>
      </c>
      <c r="AW855" s="121">
        <v>0</v>
      </c>
      <c r="AX855" s="121">
        <v>1379312</v>
      </c>
      <c r="BI855">
        <v>0</v>
      </c>
      <c r="BJ855" s="121">
        <v>0</v>
      </c>
      <c r="BK855" s="134">
        <v>371810039</v>
      </c>
      <c r="BL855" s="934">
        <v>4455</v>
      </c>
      <c r="BM855" s="934">
        <v>4457</v>
      </c>
      <c r="BN855" s="934">
        <v>4457</v>
      </c>
      <c r="BO855" s="114">
        <v>0</v>
      </c>
      <c r="BP855" s="114">
        <v>0</v>
      </c>
    </row>
    <row r="856" spans="1:68">
      <c r="A856" t="s">
        <v>1245</v>
      </c>
      <c r="B856" t="s">
        <v>1996</v>
      </c>
      <c r="C856" s="121">
        <v>4955</v>
      </c>
      <c r="D856" s="72">
        <v>1</v>
      </c>
      <c r="E856">
        <v>174.02199999999999</v>
      </c>
      <c r="F856">
        <v>64</v>
      </c>
      <c r="G856">
        <v>45</v>
      </c>
      <c r="H856">
        <v>4</v>
      </c>
      <c r="I856" s="173">
        <v>1.0229999999999999</v>
      </c>
      <c r="J856" s="121">
        <v>259153826</v>
      </c>
      <c r="K856" s="125">
        <v>1083.7349999999999</v>
      </c>
      <c r="L856" s="173">
        <v>1.4</v>
      </c>
      <c r="M856">
        <v>1.0229999999999999</v>
      </c>
      <c r="N856">
        <v>0.93333333799999996</v>
      </c>
      <c r="O856">
        <v>8.9666661999999953</v>
      </c>
      <c r="P856">
        <v>652.84500000000003</v>
      </c>
      <c r="Q856" s="125">
        <v>1.4E-2</v>
      </c>
      <c r="R856" s="125">
        <v>0</v>
      </c>
      <c r="S856" s="125">
        <v>1.006</v>
      </c>
      <c r="T856" s="125">
        <v>31.831</v>
      </c>
      <c r="U856" s="125">
        <v>1.6870000000000001</v>
      </c>
      <c r="V856" s="125">
        <v>0</v>
      </c>
      <c r="W856" s="125">
        <v>4.6950000000000003</v>
      </c>
      <c r="X856" s="125">
        <v>0</v>
      </c>
      <c r="Y856" s="125">
        <v>0</v>
      </c>
      <c r="Z856" s="125">
        <v>3.8380000000000001</v>
      </c>
      <c r="AA856" s="125">
        <v>7.0439999999999996</v>
      </c>
      <c r="AB856" s="125">
        <v>29.527999999999999</v>
      </c>
      <c r="AC856" s="125">
        <v>416.4</v>
      </c>
      <c r="AD856" s="125">
        <v>0.41099999999999998</v>
      </c>
      <c r="AE856" s="125">
        <v>36.427</v>
      </c>
      <c r="AF856" s="125">
        <v>32.642000000000003</v>
      </c>
      <c r="AG856" s="125">
        <v>0</v>
      </c>
      <c r="AH856" s="125">
        <v>0</v>
      </c>
      <c r="AI856" s="121">
        <v>2599713</v>
      </c>
      <c r="AJ856" s="121">
        <v>203893</v>
      </c>
      <c r="AK856" s="424">
        <v>12</v>
      </c>
      <c r="AL856">
        <v>0</v>
      </c>
      <c r="AM856" s="121">
        <v>95650</v>
      </c>
      <c r="AN856" s="125">
        <v>0</v>
      </c>
      <c r="AO856" s="125">
        <v>0</v>
      </c>
      <c r="AP856" s="121">
        <v>2803606</v>
      </c>
      <c r="AQ856" s="114">
        <v>0</v>
      </c>
      <c r="AR856" s="121">
        <v>172.741444</v>
      </c>
      <c r="AS856" s="121">
        <v>33944.236193999997</v>
      </c>
      <c r="AT856" s="121">
        <v>4470.4406853</v>
      </c>
      <c r="AU856" s="420" t="s">
        <v>2001</v>
      </c>
      <c r="AV856" s="420" t="s">
        <v>2001</v>
      </c>
      <c r="AW856" s="121">
        <v>0</v>
      </c>
      <c r="AX856" s="121">
        <v>201278</v>
      </c>
      <c r="BI856">
        <v>0</v>
      </c>
      <c r="BJ856" s="121">
        <v>0</v>
      </c>
      <c r="BK856" s="134">
        <v>239628814</v>
      </c>
      <c r="BL856" s="934">
        <v>4955</v>
      </c>
      <c r="BM856" s="934">
        <v>4610</v>
      </c>
      <c r="BN856" s="934">
        <v>4842</v>
      </c>
      <c r="BO856" s="114">
        <v>0</v>
      </c>
      <c r="BP856" s="114">
        <v>0</v>
      </c>
    </row>
    <row r="857" spans="1:68">
      <c r="A857" t="s">
        <v>220</v>
      </c>
      <c r="B857" t="s">
        <v>1418</v>
      </c>
      <c r="C857" s="121">
        <v>5023</v>
      </c>
      <c r="D857" s="72">
        <v>1</v>
      </c>
      <c r="E857">
        <v>206.30600000000001</v>
      </c>
      <c r="F857">
        <v>61</v>
      </c>
      <c r="G857">
        <v>50</v>
      </c>
      <c r="H857">
        <v>2</v>
      </c>
      <c r="I857" s="173">
        <v>1.1100000000000001</v>
      </c>
      <c r="J857" s="121">
        <v>223941365</v>
      </c>
      <c r="K857" s="125">
        <v>1200.5440000000001</v>
      </c>
      <c r="L857" s="173">
        <v>1.3277000000000001</v>
      </c>
      <c r="M857">
        <v>1.1100000000000001</v>
      </c>
      <c r="N857">
        <v>0.88513333775900005</v>
      </c>
      <c r="O857">
        <v>22.486666224100006</v>
      </c>
      <c r="P857">
        <v>744.83</v>
      </c>
      <c r="Q857" s="125">
        <v>0</v>
      </c>
      <c r="R857" s="125">
        <v>0</v>
      </c>
      <c r="S857" s="125">
        <v>1.091</v>
      </c>
      <c r="T857" s="125">
        <v>29.141999999999999</v>
      </c>
      <c r="U857" s="125">
        <v>0.47799999999999998</v>
      </c>
      <c r="V857" s="125">
        <v>0</v>
      </c>
      <c r="W857" s="125">
        <v>0.96399999999999997</v>
      </c>
      <c r="X857" s="125">
        <v>0</v>
      </c>
      <c r="Y857" s="125">
        <v>0</v>
      </c>
      <c r="Z857" s="125">
        <v>3.4060000000000001</v>
      </c>
      <c r="AA857" s="125">
        <v>19.844000000000001</v>
      </c>
      <c r="AB857" s="125">
        <v>38.968000000000004</v>
      </c>
      <c r="AC857" s="125">
        <v>463.6</v>
      </c>
      <c r="AD857" s="125">
        <v>0.67100000000000004</v>
      </c>
      <c r="AE857" s="125">
        <v>31.350999999999999</v>
      </c>
      <c r="AF857" s="125">
        <v>37.241500000000002</v>
      </c>
      <c r="AG857" s="125">
        <v>0</v>
      </c>
      <c r="AH857" s="125">
        <v>0</v>
      </c>
      <c r="AI857" s="121">
        <v>2290193</v>
      </c>
      <c r="AJ857" s="121">
        <v>189779</v>
      </c>
      <c r="AK857" s="424">
        <v>12</v>
      </c>
      <c r="AL857">
        <v>0</v>
      </c>
      <c r="AM857" s="121">
        <v>106337</v>
      </c>
      <c r="AN857" s="125">
        <v>0</v>
      </c>
      <c r="AO857" s="125">
        <v>0</v>
      </c>
      <c r="AP857" s="121">
        <v>2479972</v>
      </c>
      <c r="AQ857" s="114">
        <v>0</v>
      </c>
      <c r="AR857" s="121">
        <v>149.27024367000001</v>
      </c>
      <c r="AS857" s="121">
        <v>29332.071625</v>
      </c>
      <c r="AT857" s="121">
        <v>3863.0206797999999</v>
      </c>
      <c r="AU857" s="420" t="s">
        <v>2001</v>
      </c>
      <c r="AV857" s="420" t="s">
        <v>2001</v>
      </c>
      <c r="AW857" s="121">
        <v>0</v>
      </c>
      <c r="AX857" s="121">
        <v>245626</v>
      </c>
      <c r="BI857">
        <v>0</v>
      </c>
      <c r="BJ857" s="121">
        <v>0</v>
      </c>
      <c r="BK857" s="134">
        <v>196498788</v>
      </c>
      <c r="BL857" s="934">
        <v>5023</v>
      </c>
      <c r="BM857" s="934">
        <v>4583</v>
      </c>
      <c r="BN857" s="934">
        <v>4912</v>
      </c>
      <c r="BO857" s="114">
        <v>0</v>
      </c>
      <c r="BP857" s="114">
        <v>0</v>
      </c>
    </row>
    <row r="858" spans="1:68">
      <c r="A858" t="s">
        <v>1246</v>
      </c>
      <c r="B858" t="s">
        <v>1997</v>
      </c>
      <c r="C858" s="121">
        <v>5520</v>
      </c>
      <c r="D858" s="72">
        <v>2</v>
      </c>
      <c r="E858">
        <v>106.90600000000001</v>
      </c>
      <c r="F858">
        <v>34</v>
      </c>
      <c r="G858">
        <v>36</v>
      </c>
      <c r="H858">
        <v>0</v>
      </c>
      <c r="I858" s="173">
        <v>1.04</v>
      </c>
      <c r="J858" s="121">
        <v>67976863</v>
      </c>
      <c r="K858" s="125">
        <v>709.21199999999999</v>
      </c>
      <c r="L858" s="173">
        <v>1.5</v>
      </c>
      <c r="M858">
        <v>1.04</v>
      </c>
      <c r="N858">
        <v>1.000000005</v>
      </c>
      <c r="O858">
        <v>3.9999995000000066</v>
      </c>
      <c r="P858">
        <v>390</v>
      </c>
      <c r="Q858" s="125">
        <v>0.14499999999999999</v>
      </c>
      <c r="R858" s="125">
        <v>0</v>
      </c>
      <c r="S858" s="125">
        <v>0.88</v>
      </c>
      <c r="T858" s="125">
        <v>11.7</v>
      </c>
      <c r="U858" s="125">
        <v>3.7</v>
      </c>
      <c r="V858" s="125">
        <v>0</v>
      </c>
      <c r="W858" s="125">
        <v>4.9000000000000004</v>
      </c>
      <c r="X858" s="125">
        <v>0</v>
      </c>
      <c r="Y858" s="125">
        <v>0</v>
      </c>
      <c r="Z858" s="125">
        <v>0</v>
      </c>
      <c r="AA858" s="125">
        <v>10.55</v>
      </c>
      <c r="AB858" s="125">
        <v>23.5</v>
      </c>
      <c r="AC858" s="125">
        <v>345</v>
      </c>
      <c r="AD858" s="125">
        <v>1.33</v>
      </c>
      <c r="AE858" s="125">
        <v>67</v>
      </c>
      <c r="AF858" s="125">
        <v>19.5</v>
      </c>
      <c r="AG858" s="125">
        <v>0</v>
      </c>
      <c r="AH858" s="125">
        <v>0</v>
      </c>
      <c r="AI858" s="121">
        <v>712615</v>
      </c>
      <c r="AJ858" s="121">
        <v>0</v>
      </c>
      <c r="AK858" s="424">
        <v>12</v>
      </c>
      <c r="AL858">
        <v>0</v>
      </c>
      <c r="AM858" s="121">
        <v>38402</v>
      </c>
      <c r="AN858" s="125">
        <v>0</v>
      </c>
      <c r="AO858" s="125">
        <v>0</v>
      </c>
      <c r="AP858" s="121">
        <v>712615</v>
      </c>
      <c r="AQ858" s="114">
        <v>0</v>
      </c>
      <c r="AR858" s="121">
        <v>45.310623653</v>
      </c>
      <c r="AS858" s="121">
        <v>8903.6798337</v>
      </c>
      <c r="AT858" s="121">
        <v>1172.6106414999999</v>
      </c>
      <c r="AU858" s="420" t="s">
        <v>2001</v>
      </c>
      <c r="AV858" s="420" t="s">
        <v>2001</v>
      </c>
      <c r="AW858" s="121">
        <v>0</v>
      </c>
      <c r="AX858" s="121">
        <v>250232</v>
      </c>
      <c r="BI858">
        <v>0</v>
      </c>
      <c r="BJ858" s="121">
        <v>0</v>
      </c>
      <c r="BK858" s="134">
        <v>67976863</v>
      </c>
      <c r="BL858" s="934">
        <v>5243</v>
      </c>
      <c r="BM858" s="934">
        <v>5520</v>
      </c>
      <c r="BN858" s="934">
        <v>5520</v>
      </c>
      <c r="BO858" s="114">
        <v>0</v>
      </c>
      <c r="BP858" s="114">
        <v>0</v>
      </c>
    </row>
    <row r="859" spans="1:68">
      <c r="A859" t="s">
        <v>1247</v>
      </c>
      <c r="B859" t="s">
        <v>1998</v>
      </c>
      <c r="C859" s="121">
        <v>5567</v>
      </c>
      <c r="D859" s="72">
        <v>1</v>
      </c>
      <c r="E859">
        <v>179.976</v>
      </c>
      <c r="F859">
        <v>55</v>
      </c>
      <c r="G859">
        <v>41</v>
      </c>
      <c r="H859">
        <v>6</v>
      </c>
      <c r="I859" s="173">
        <v>1.04</v>
      </c>
      <c r="J859" s="121">
        <v>147914524</v>
      </c>
      <c r="K859" s="125">
        <v>919.00199999999995</v>
      </c>
      <c r="L859" s="173">
        <v>1.5</v>
      </c>
      <c r="M859">
        <v>1.04</v>
      </c>
      <c r="N859">
        <v>1.000000005</v>
      </c>
      <c r="O859">
        <v>3.9999995000000066</v>
      </c>
      <c r="P859">
        <v>529.18100000000004</v>
      </c>
      <c r="Q859" s="125">
        <v>0</v>
      </c>
      <c r="R859" s="125">
        <v>0</v>
      </c>
      <c r="S859" s="125">
        <v>1.2749999999999999</v>
      </c>
      <c r="T859" s="125">
        <v>24.038</v>
      </c>
      <c r="U859" s="125">
        <v>0.36499999999999999</v>
      </c>
      <c r="V859" s="125">
        <v>0</v>
      </c>
      <c r="W859" s="125">
        <v>0</v>
      </c>
      <c r="X859" s="125">
        <v>0</v>
      </c>
      <c r="Y859" s="125">
        <v>0</v>
      </c>
      <c r="Z859" s="125">
        <v>0.40400000000000003</v>
      </c>
      <c r="AA859" s="125">
        <v>12.82</v>
      </c>
      <c r="AB859" s="125">
        <v>41.070999999999998</v>
      </c>
      <c r="AC859" s="125">
        <v>438</v>
      </c>
      <c r="AD859" s="125">
        <v>0.29899999999999999</v>
      </c>
      <c r="AE859" s="125">
        <v>12.986000000000001</v>
      </c>
      <c r="AF859" s="125">
        <v>26.459</v>
      </c>
      <c r="AG859" s="125">
        <v>0</v>
      </c>
      <c r="AH859" s="125">
        <v>0</v>
      </c>
      <c r="AI859" s="121">
        <v>1582922</v>
      </c>
      <c r="AJ859" s="121">
        <v>117605</v>
      </c>
      <c r="AK859" s="424">
        <v>12</v>
      </c>
      <c r="AL859">
        <v>0</v>
      </c>
      <c r="AM859" s="121">
        <v>92854</v>
      </c>
      <c r="AN859" s="125">
        <v>0</v>
      </c>
      <c r="AO859" s="125">
        <v>0</v>
      </c>
      <c r="AP859" s="121">
        <v>1700527</v>
      </c>
      <c r="AQ859" s="114">
        <v>0</v>
      </c>
      <c r="AR859" s="121">
        <v>98.593830811999993</v>
      </c>
      <c r="AS859" s="121">
        <v>19373.997361999998</v>
      </c>
      <c r="AT859" s="121">
        <v>2551.5467647999999</v>
      </c>
      <c r="AU859" s="420" t="s">
        <v>2001</v>
      </c>
      <c r="AV859" s="420" t="s">
        <v>2001</v>
      </c>
      <c r="AW859" s="121">
        <v>0</v>
      </c>
      <c r="AX859" s="121">
        <v>179295</v>
      </c>
      <c r="BI859">
        <v>0</v>
      </c>
      <c r="BJ859" s="121">
        <v>0</v>
      </c>
      <c r="BK859" s="134">
        <v>147914524</v>
      </c>
      <c r="BL859" s="934">
        <v>5567</v>
      </c>
      <c r="BM859" s="934">
        <v>5525</v>
      </c>
      <c r="BN859" s="934">
        <v>5525</v>
      </c>
      <c r="BO859" s="114">
        <v>0</v>
      </c>
      <c r="BP859" s="114">
        <v>0</v>
      </c>
    </row>
    <row r="860" spans="1:68">
      <c r="A860" t="s">
        <v>1407</v>
      </c>
      <c r="B860" t="s">
        <v>1999</v>
      </c>
      <c r="C860" s="121">
        <v>4875</v>
      </c>
      <c r="D860" s="72">
        <v>3</v>
      </c>
      <c r="E860">
        <v>0</v>
      </c>
      <c r="F860">
        <v>9</v>
      </c>
      <c r="G860">
        <v>18</v>
      </c>
      <c r="H860">
        <v>0</v>
      </c>
      <c r="I860" s="173">
        <v>1.17</v>
      </c>
      <c r="J860" s="121">
        <v>13177230</v>
      </c>
      <c r="K860" s="125">
        <v>139.65600000000001</v>
      </c>
      <c r="L860" s="173">
        <v>1.5</v>
      </c>
      <c r="M860">
        <v>1.17</v>
      </c>
      <c r="N860">
        <v>1.000000005</v>
      </c>
      <c r="O860">
        <v>16.999999499999994</v>
      </c>
      <c r="P860">
        <v>60.265999999999998</v>
      </c>
      <c r="Q860" s="125">
        <v>0</v>
      </c>
      <c r="R860" s="125">
        <v>0</v>
      </c>
      <c r="S860" s="125">
        <v>0.36699999999999999</v>
      </c>
      <c r="T860" s="125">
        <v>2.286</v>
      </c>
      <c r="U860" s="125">
        <v>0</v>
      </c>
      <c r="V860" s="125">
        <v>0</v>
      </c>
      <c r="W860" s="125">
        <v>0</v>
      </c>
      <c r="X860" s="125">
        <v>0</v>
      </c>
      <c r="Y860" s="125">
        <v>0</v>
      </c>
      <c r="Z860" s="125">
        <v>0</v>
      </c>
      <c r="AA860" s="125">
        <v>5.0510000000000002</v>
      </c>
      <c r="AB860" s="125">
        <v>0</v>
      </c>
      <c r="AC860" s="125">
        <v>49.6</v>
      </c>
      <c r="AD860" s="125">
        <v>0</v>
      </c>
      <c r="AE860" s="125">
        <v>1.603</v>
      </c>
      <c r="AF860" s="125">
        <v>3.0129999999999999</v>
      </c>
      <c r="AG860" s="125">
        <v>0</v>
      </c>
      <c r="AH860" s="125">
        <v>0</v>
      </c>
      <c r="AI860" s="121">
        <v>156405</v>
      </c>
      <c r="AJ860" s="121">
        <v>0</v>
      </c>
      <c r="AK860" s="424">
        <v>8</v>
      </c>
      <c r="AL860">
        <v>0</v>
      </c>
      <c r="AM860" s="121">
        <v>12130</v>
      </c>
      <c r="AN860" s="125">
        <v>0</v>
      </c>
      <c r="AO860" s="125">
        <v>0</v>
      </c>
      <c r="AP860" s="121">
        <v>156405</v>
      </c>
      <c r="AQ860" s="114">
        <v>0</v>
      </c>
      <c r="AR860" s="121">
        <v>8.7834075400000007</v>
      </c>
      <c r="AS860" s="121">
        <v>1725.9671636</v>
      </c>
      <c r="AT860" s="121">
        <v>227.30910147</v>
      </c>
      <c r="AU860" s="420" t="s">
        <v>2001</v>
      </c>
      <c r="AV860" s="420" t="s">
        <v>2001</v>
      </c>
      <c r="AW860" s="121">
        <v>0</v>
      </c>
      <c r="AX860" s="121">
        <v>0</v>
      </c>
      <c r="BI860">
        <v>0</v>
      </c>
      <c r="BJ860" s="121">
        <v>0</v>
      </c>
      <c r="BK860" s="134">
        <v>12859987</v>
      </c>
      <c r="BL860" s="934">
        <v>4845</v>
      </c>
      <c r="BM860" s="934">
        <v>4860</v>
      </c>
      <c r="BN860" s="934">
        <v>4875</v>
      </c>
      <c r="BO860" s="134">
        <v>30477</v>
      </c>
      <c r="BP860" s="134">
        <v>31000</v>
      </c>
    </row>
    <row r="861" spans="1:68">
      <c r="A861" t="s">
        <v>1408</v>
      </c>
      <c r="B861" t="s">
        <v>2000</v>
      </c>
      <c r="C861" s="121">
        <v>5818</v>
      </c>
      <c r="D861" s="72">
        <v>2</v>
      </c>
      <c r="E861">
        <v>48.792999999999999</v>
      </c>
      <c r="F861">
        <v>15</v>
      </c>
      <c r="G861">
        <v>14</v>
      </c>
      <c r="H861">
        <v>0</v>
      </c>
      <c r="I861" s="173">
        <v>1.04</v>
      </c>
      <c r="J861" s="121">
        <v>158571441</v>
      </c>
      <c r="K861" s="125">
        <v>248.685</v>
      </c>
      <c r="L861" s="173">
        <v>1.4114</v>
      </c>
      <c r="M861">
        <v>1.04</v>
      </c>
      <c r="N861">
        <v>0.94093333803800006</v>
      </c>
      <c r="O861">
        <v>9.906666196199998</v>
      </c>
      <c r="P861">
        <v>115.14700000000001</v>
      </c>
      <c r="Q861" s="125">
        <v>0</v>
      </c>
      <c r="R861" s="125">
        <v>0</v>
      </c>
      <c r="S861" s="125">
        <v>5.2999999999999999E-2</v>
      </c>
      <c r="T861" s="125">
        <v>5.5019999999999998</v>
      </c>
      <c r="U861" s="125">
        <v>0</v>
      </c>
      <c r="V861" s="125">
        <v>0</v>
      </c>
      <c r="W861" s="125">
        <v>0</v>
      </c>
      <c r="X861" s="125">
        <v>0</v>
      </c>
      <c r="Y861" s="125">
        <v>0</v>
      </c>
      <c r="Z861" s="125">
        <v>0</v>
      </c>
      <c r="AA861" s="125">
        <v>3.597</v>
      </c>
      <c r="AB861" s="125">
        <v>0</v>
      </c>
      <c r="AC861" s="125">
        <v>114</v>
      </c>
      <c r="AD861" s="125">
        <v>0</v>
      </c>
      <c r="AE861" s="125">
        <v>20.068999999999999</v>
      </c>
      <c r="AF861" s="125">
        <v>5.7569999999999997</v>
      </c>
      <c r="AG861" s="125">
        <v>0</v>
      </c>
      <c r="AH861" s="125">
        <v>0</v>
      </c>
      <c r="AI861" s="121">
        <v>1696968</v>
      </c>
      <c r="AJ861" s="121">
        <v>0</v>
      </c>
      <c r="AK861" s="424">
        <v>12</v>
      </c>
      <c r="AL861">
        <v>0</v>
      </c>
      <c r="AM861" s="121">
        <v>21027</v>
      </c>
      <c r="AN861" s="125">
        <v>0</v>
      </c>
      <c r="AO861" s="125">
        <v>0</v>
      </c>
      <c r="AP861" s="121">
        <v>1696968</v>
      </c>
      <c r="AQ861" s="114">
        <v>0</v>
      </c>
      <c r="AR861" s="121">
        <v>0</v>
      </c>
      <c r="AS861" s="121">
        <v>0</v>
      </c>
      <c r="AT861" s="121">
        <v>0</v>
      </c>
      <c r="AU861" s="420" t="s">
        <v>798</v>
      </c>
      <c r="AV861" s="420" t="s">
        <v>2001</v>
      </c>
      <c r="AW861" s="121">
        <v>0</v>
      </c>
      <c r="AX861" s="121">
        <v>0</v>
      </c>
      <c r="AY861" s="134">
        <v>106951</v>
      </c>
      <c r="AZ861" s="134">
        <v>290943</v>
      </c>
      <c r="BA861" s="114">
        <v>114</v>
      </c>
      <c r="BB861" s="134">
        <v>114512519</v>
      </c>
      <c r="BC861" s="114">
        <v>0</v>
      </c>
      <c r="BD861" s="114">
        <v>0</v>
      </c>
      <c r="BE861" s="114">
        <v>0</v>
      </c>
      <c r="BF861" s="114">
        <v>226</v>
      </c>
      <c r="BG861" s="114">
        <v>0</v>
      </c>
      <c r="BH861" s="114">
        <v>0</v>
      </c>
      <c r="BI861">
        <v>0</v>
      </c>
      <c r="BJ861" s="121">
        <v>129</v>
      </c>
      <c r="BK861" s="134">
        <v>158571441</v>
      </c>
      <c r="BL861" s="934">
        <v>5256</v>
      </c>
      <c r="BM861" s="934">
        <v>5818</v>
      </c>
      <c r="BN861" s="934">
        <v>5556</v>
      </c>
      <c r="BO861" s="114">
        <v>0</v>
      </c>
      <c r="BP861" s="114">
        <v>0</v>
      </c>
    </row>
    <row r="862" spans="1:68">
      <c r="A862" t="s">
        <v>2040</v>
      </c>
      <c r="B862" t="s">
        <v>2271</v>
      </c>
      <c r="C862" s="121">
        <v>5321</v>
      </c>
      <c r="D862" s="72">
        <v>3</v>
      </c>
      <c r="E862">
        <v>167.04499999999999</v>
      </c>
      <c r="F862">
        <v>63</v>
      </c>
      <c r="G862">
        <v>35</v>
      </c>
      <c r="H862">
        <v>5</v>
      </c>
      <c r="I862" s="173">
        <v>1.04</v>
      </c>
      <c r="J862" s="121">
        <v>414562594</v>
      </c>
      <c r="K862" s="125">
        <v>1027.7639999999999</v>
      </c>
      <c r="L862" s="173">
        <v>1.42</v>
      </c>
      <c r="M862">
        <v>1.04</v>
      </c>
      <c r="N862">
        <v>0.94666667139999994</v>
      </c>
      <c r="O862">
        <v>9.3333328600000094</v>
      </c>
      <c r="P862">
        <v>558.65099999999995</v>
      </c>
      <c r="Q862" s="125">
        <v>0</v>
      </c>
      <c r="R862" s="125">
        <v>0</v>
      </c>
      <c r="S862" s="125">
        <v>0.55000000000000004</v>
      </c>
      <c r="T862" s="125">
        <v>11.814</v>
      </c>
      <c r="U862" s="125">
        <v>2</v>
      </c>
      <c r="V862" s="125">
        <v>0</v>
      </c>
      <c r="W862" s="125">
        <v>0</v>
      </c>
      <c r="X862" s="125">
        <v>0</v>
      </c>
      <c r="Y862" s="125">
        <v>0</v>
      </c>
      <c r="Z862" s="125">
        <v>0</v>
      </c>
      <c r="AA862" s="125">
        <v>5.5</v>
      </c>
      <c r="AB862" s="125">
        <v>36.902999999999999</v>
      </c>
      <c r="AC862" s="125">
        <v>390</v>
      </c>
      <c r="AD862" s="125">
        <v>0</v>
      </c>
      <c r="AE862" s="125">
        <v>66.78</v>
      </c>
      <c r="AF862" s="125">
        <v>27.932549999999999</v>
      </c>
      <c r="AG862" s="125">
        <v>0</v>
      </c>
      <c r="AH862" s="125">
        <v>0</v>
      </c>
      <c r="AI862" s="121">
        <v>4031526</v>
      </c>
      <c r="AJ862" s="121">
        <v>237580</v>
      </c>
      <c r="AK862" s="424">
        <v>12</v>
      </c>
      <c r="AL862">
        <v>0</v>
      </c>
      <c r="AM862" s="121">
        <v>53887</v>
      </c>
      <c r="AN862" s="125">
        <v>0</v>
      </c>
      <c r="AO862" s="125">
        <v>0</v>
      </c>
      <c r="AP862" s="121">
        <v>4269106</v>
      </c>
      <c r="AQ862" s="114">
        <v>0</v>
      </c>
      <c r="AR862" s="121">
        <v>0</v>
      </c>
      <c r="AS862" s="121">
        <v>0</v>
      </c>
      <c r="AT862" s="121">
        <v>0</v>
      </c>
      <c r="AU862" s="420" t="s">
        <v>798</v>
      </c>
      <c r="AV862" s="72" t="s">
        <v>798</v>
      </c>
      <c r="AW862" s="121">
        <v>0</v>
      </c>
      <c r="AX862" s="121">
        <v>242078</v>
      </c>
      <c r="AY862" s="134">
        <v>586659</v>
      </c>
      <c r="AZ862" s="134">
        <v>2073457</v>
      </c>
      <c r="BA862" s="114">
        <v>828</v>
      </c>
      <c r="BB862" s="134">
        <v>240431113</v>
      </c>
      <c r="BC862" s="114">
        <v>0</v>
      </c>
      <c r="BD862" s="114">
        <v>0</v>
      </c>
      <c r="BE862" s="114">
        <v>0</v>
      </c>
      <c r="BF862" s="114">
        <v>589</v>
      </c>
      <c r="BG862" s="114">
        <v>0</v>
      </c>
      <c r="BH862" s="114">
        <v>0</v>
      </c>
      <c r="BI862">
        <v>0</v>
      </c>
      <c r="BJ862" s="121">
        <v>0</v>
      </c>
      <c r="BK862" s="134">
        <v>384570197</v>
      </c>
      <c r="BL862" s="934">
        <v>5140</v>
      </c>
      <c r="BM862" s="934">
        <v>5155</v>
      </c>
      <c r="BN862" s="934">
        <v>5321</v>
      </c>
      <c r="BO862" s="114">
        <v>0</v>
      </c>
      <c r="BP862" s="114">
        <v>0</v>
      </c>
    </row>
    <row r="863" spans="1:68">
      <c r="A863" t="s">
        <v>304</v>
      </c>
      <c r="B863" t="s">
        <v>2425</v>
      </c>
      <c r="C863" s="121">
        <v>5962</v>
      </c>
      <c r="D863" s="72">
        <v>2</v>
      </c>
      <c r="E863">
        <v>265.92399999999998</v>
      </c>
      <c r="F863">
        <v>90</v>
      </c>
      <c r="G863">
        <v>66</v>
      </c>
      <c r="H863">
        <v>2</v>
      </c>
      <c r="I863" s="173">
        <v>1.04</v>
      </c>
      <c r="J863" s="121">
        <v>465586725</v>
      </c>
      <c r="K863" s="125">
        <v>1346.0619999999999</v>
      </c>
      <c r="L863" s="173">
        <v>1.5</v>
      </c>
      <c r="M863">
        <v>1.04</v>
      </c>
      <c r="N863">
        <v>1.000000005</v>
      </c>
      <c r="O863">
        <v>3.9999995000000066</v>
      </c>
      <c r="P863">
        <v>851.18799999999999</v>
      </c>
      <c r="Q863" s="125">
        <v>0</v>
      </c>
      <c r="R863" s="125">
        <v>0</v>
      </c>
      <c r="S863" s="125">
        <v>1.155</v>
      </c>
      <c r="T863" s="125">
        <v>23.099</v>
      </c>
      <c r="U863" s="125">
        <v>8.2799999999999994</v>
      </c>
      <c r="V863" s="125">
        <v>0</v>
      </c>
      <c r="W863" s="125">
        <v>0</v>
      </c>
      <c r="X863" s="125">
        <v>0</v>
      </c>
      <c r="Y863" s="125">
        <v>0</v>
      </c>
      <c r="Z863" s="125">
        <v>0.84599999999999997</v>
      </c>
      <c r="AA863" s="125">
        <v>6.548</v>
      </c>
      <c r="AB863" s="125">
        <v>65.724999999999994</v>
      </c>
      <c r="AC863" s="125">
        <v>689.2</v>
      </c>
      <c r="AD863" s="125">
        <v>0</v>
      </c>
      <c r="AE863" s="125">
        <v>10.826000000000001</v>
      </c>
      <c r="AF863" s="125">
        <v>42.558999999999997</v>
      </c>
      <c r="AG863" s="125">
        <v>0</v>
      </c>
      <c r="AH863" s="125">
        <v>0</v>
      </c>
      <c r="AI863" s="121">
        <v>4723932</v>
      </c>
      <c r="AJ863" s="121">
        <v>814960</v>
      </c>
      <c r="AK863" s="424">
        <v>12</v>
      </c>
      <c r="AL863">
        <v>0</v>
      </c>
      <c r="AM863" s="121">
        <v>107391</v>
      </c>
      <c r="AN863" s="125">
        <v>0</v>
      </c>
      <c r="AO863" s="125">
        <v>0</v>
      </c>
      <c r="AP863" s="121">
        <v>5538892</v>
      </c>
      <c r="AQ863" s="114">
        <v>0</v>
      </c>
      <c r="AR863" s="121">
        <v>310.34125379</v>
      </c>
      <c r="AS863" s="121">
        <v>60983.030913000002</v>
      </c>
      <c r="AT863" s="121">
        <v>8031.437825</v>
      </c>
      <c r="AU863" s="420" t="s">
        <v>798</v>
      </c>
      <c r="AV863" s="420" t="s">
        <v>2001</v>
      </c>
      <c r="AW863" s="121">
        <v>0</v>
      </c>
      <c r="AX863" s="121">
        <v>782562</v>
      </c>
      <c r="AY863" s="114">
        <v>0</v>
      </c>
      <c r="AZ863" s="134">
        <v>2438201</v>
      </c>
      <c r="BA863" s="134">
        <v>1103</v>
      </c>
      <c r="BB863" s="134">
        <v>99669019</v>
      </c>
      <c r="BC863" s="114">
        <v>0</v>
      </c>
      <c r="BD863" s="114">
        <v>0</v>
      </c>
      <c r="BE863" s="114">
        <v>0</v>
      </c>
      <c r="BF863" s="114">
        <v>894</v>
      </c>
      <c r="BG863" s="114">
        <v>0</v>
      </c>
      <c r="BH863" s="114">
        <v>0</v>
      </c>
      <c r="BI863">
        <v>0</v>
      </c>
      <c r="BJ863" s="121">
        <v>0</v>
      </c>
      <c r="BK863" s="134">
        <v>441422988</v>
      </c>
      <c r="BL863" s="934">
        <v>4733</v>
      </c>
      <c r="BM863" s="934">
        <v>5962</v>
      </c>
      <c r="BN863" s="934">
        <v>5159</v>
      </c>
      <c r="BO863" s="114">
        <v>0</v>
      </c>
      <c r="BP863" s="114">
        <v>0</v>
      </c>
    </row>
    <row r="864" spans="1:68">
      <c r="A864" t="s">
        <v>1943</v>
      </c>
      <c r="B864" t="s">
        <v>2272</v>
      </c>
      <c r="C864" s="121">
        <v>4992</v>
      </c>
      <c r="D864" s="72">
        <v>3</v>
      </c>
      <c r="E864">
        <v>450.61500000000001</v>
      </c>
      <c r="F864">
        <v>131</v>
      </c>
      <c r="G864">
        <v>84</v>
      </c>
      <c r="H864">
        <v>4</v>
      </c>
      <c r="I864" s="173">
        <v>1.04</v>
      </c>
      <c r="J864" s="121">
        <v>610249106</v>
      </c>
      <c r="K864" s="125">
        <v>2249.252</v>
      </c>
      <c r="L864" s="173">
        <v>1.43</v>
      </c>
      <c r="M864">
        <v>1.04</v>
      </c>
      <c r="N864">
        <v>0.95333333809999998</v>
      </c>
      <c r="O864">
        <v>8.6666661900000044</v>
      </c>
      <c r="P864">
        <v>1703.961</v>
      </c>
      <c r="Q864" s="125">
        <v>0.29699999999999999</v>
      </c>
      <c r="R864" s="125">
        <v>0</v>
      </c>
      <c r="S864" s="125">
        <v>3.1230000000000002</v>
      </c>
      <c r="T864" s="125">
        <v>52.43</v>
      </c>
      <c r="U864" s="125">
        <v>7.6070000000000002</v>
      </c>
      <c r="V864" s="125">
        <v>0</v>
      </c>
      <c r="W864" s="125">
        <v>7.7830000000000004</v>
      </c>
      <c r="X864" s="125">
        <v>0</v>
      </c>
      <c r="Y864" s="125">
        <v>0</v>
      </c>
      <c r="Z864" s="125">
        <v>0</v>
      </c>
      <c r="AA864" s="125">
        <v>18.242999999999999</v>
      </c>
      <c r="AB864" s="125">
        <v>62.744</v>
      </c>
      <c r="AC864" s="125">
        <v>704.1</v>
      </c>
      <c r="AD864" s="125">
        <v>0</v>
      </c>
      <c r="AE864" s="125">
        <v>17.872</v>
      </c>
      <c r="AF864" s="125">
        <v>85.197999999999993</v>
      </c>
      <c r="AG864" s="125">
        <v>0</v>
      </c>
      <c r="AH864" s="125">
        <v>0</v>
      </c>
      <c r="AI864" s="121">
        <v>6597281</v>
      </c>
      <c r="AJ864" s="121">
        <v>1012522</v>
      </c>
      <c r="AK864" s="424">
        <v>12</v>
      </c>
      <c r="AL864">
        <v>0</v>
      </c>
      <c r="AM864" s="121">
        <v>131924</v>
      </c>
      <c r="AN864" s="125">
        <v>0</v>
      </c>
      <c r="AO864" s="125">
        <v>0</v>
      </c>
      <c r="AP864" s="121">
        <v>7609803</v>
      </c>
      <c r="AQ864" s="114">
        <v>0</v>
      </c>
      <c r="AR864" s="121">
        <v>406.76733753000002</v>
      </c>
      <c r="AS864" s="121">
        <v>79931.059169</v>
      </c>
      <c r="AT864" s="121">
        <v>10526.88465</v>
      </c>
      <c r="AU864" s="420" t="s">
        <v>2001</v>
      </c>
      <c r="AV864" s="420" t="s">
        <v>2001</v>
      </c>
      <c r="AW864" s="121">
        <v>0</v>
      </c>
      <c r="AX864" s="121">
        <v>2727595</v>
      </c>
      <c r="BI864">
        <v>0</v>
      </c>
      <c r="BJ864" s="121">
        <v>0</v>
      </c>
      <c r="BK864" s="134">
        <v>610249106</v>
      </c>
      <c r="BL864" s="934">
        <v>4630</v>
      </c>
      <c r="BM864" s="934">
        <v>4808</v>
      </c>
      <c r="BN864" s="934">
        <v>4992</v>
      </c>
      <c r="BO864" s="114">
        <v>0</v>
      </c>
      <c r="BP864" s="114">
        <v>0</v>
      </c>
    </row>
    <row r="865" spans="1:68">
      <c r="A865" t="s">
        <v>1944</v>
      </c>
      <c r="B865" t="s">
        <v>2273</v>
      </c>
      <c r="C865" s="121">
        <v>4864</v>
      </c>
      <c r="D865" s="72">
        <v>2</v>
      </c>
      <c r="E865">
        <v>950.66700000000003</v>
      </c>
      <c r="F865">
        <v>251</v>
      </c>
      <c r="G865">
        <v>161</v>
      </c>
      <c r="H865">
        <v>57</v>
      </c>
      <c r="I865" s="173">
        <v>1.04</v>
      </c>
      <c r="J865" s="121">
        <v>981954025</v>
      </c>
      <c r="K865" s="125">
        <v>4415.0309999999999</v>
      </c>
      <c r="L865" s="173">
        <v>1.5</v>
      </c>
      <c r="M865">
        <v>1.04</v>
      </c>
      <c r="N865">
        <v>1.000000005</v>
      </c>
      <c r="O865">
        <v>3.9999995000000066</v>
      </c>
      <c r="P865">
        <v>3419.91</v>
      </c>
      <c r="Q865" s="125">
        <v>0.191</v>
      </c>
      <c r="R865" s="125">
        <v>0</v>
      </c>
      <c r="S865" s="125">
        <v>5.415</v>
      </c>
      <c r="T865" s="125">
        <v>77.873999999999995</v>
      </c>
      <c r="U865" s="125">
        <v>21.702000000000002</v>
      </c>
      <c r="V865" s="125">
        <v>2.1789999999999998</v>
      </c>
      <c r="W865" s="125">
        <v>22.861000000000001</v>
      </c>
      <c r="X865" s="125">
        <v>0</v>
      </c>
      <c r="Y865" s="125">
        <v>0</v>
      </c>
      <c r="Z865" s="125">
        <v>0.20899999999999999</v>
      </c>
      <c r="AA865" s="125">
        <v>69.775999999999996</v>
      </c>
      <c r="AB865" s="125">
        <v>184.42500000000001</v>
      </c>
      <c r="AC865" s="125">
        <v>1398.7</v>
      </c>
      <c r="AD865" s="125">
        <v>0</v>
      </c>
      <c r="AE865" s="125">
        <v>104.809</v>
      </c>
      <c r="AF865" s="125">
        <v>170.99549999999999</v>
      </c>
      <c r="AG865" s="125">
        <v>0</v>
      </c>
      <c r="AH865" s="125">
        <v>0</v>
      </c>
      <c r="AI865" s="121">
        <v>10722938</v>
      </c>
      <c r="AJ865" s="121">
        <v>1994007</v>
      </c>
      <c r="AK865" s="424">
        <v>12</v>
      </c>
      <c r="AL865">
        <v>0</v>
      </c>
      <c r="AM865" s="121">
        <v>256527</v>
      </c>
      <c r="AN865" s="125">
        <v>0</v>
      </c>
      <c r="AO865" s="125">
        <v>0</v>
      </c>
      <c r="AP865" s="121">
        <v>12716945</v>
      </c>
      <c r="AQ865" s="114">
        <v>0</v>
      </c>
      <c r="AR865" s="121">
        <v>654.53078160999996</v>
      </c>
      <c r="AS865" s="121">
        <v>128617.35397</v>
      </c>
      <c r="AT865" s="121">
        <v>16938.847841999999</v>
      </c>
      <c r="AU865" s="420" t="s">
        <v>2001</v>
      </c>
      <c r="AV865" s="420" t="s">
        <v>2001</v>
      </c>
      <c r="AW865" s="121">
        <v>0</v>
      </c>
      <c r="AX865" s="121">
        <v>2885176</v>
      </c>
      <c r="BI865">
        <v>0</v>
      </c>
      <c r="BJ865" s="121">
        <v>0</v>
      </c>
      <c r="BK865" s="134">
        <v>981954025</v>
      </c>
      <c r="BL865" s="934">
        <v>4620</v>
      </c>
      <c r="BM865" s="934">
        <v>4864</v>
      </c>
      <c r="BN865" s="934">
        <v>4864</v>
      </c>
      <c r="BO865" s="114">
        <v>0</v>
      </c>
      <c r="BP865" s="114">
        <v>0</v>
      </c>
    </row>
    <row r="866" spans="1:68">
      <c r="A866" t="s">
        <v>1136</v>
      </c>
      <c r="B866" t="s">
        <v>2274</v>
      </c>
      <c r="C866" s="121">
        <v>5698</v>
      </c>
      <c r="D866" s="72">
        <v>2</v>
      </c>
      <c r="E866">
        <v>261.88799999999998</v>
      </c>
      <c r="F866">
        <v>83</v>
      </c>
      <c r="G866">
        <v>68</v>
      </c>
      <c r="H866">
        <v>4</v>
      </c>
      <c r="I866" s="173">
        <v>0.94330000000000003</v>
      </c>
      <c r="J866" s="121">
        <v>419630117</v>
      </c>
      <c r="K866" s="125">
        <v>1493.202</v>
      </c>
      <c r="L866" s="173">
        <v>1.2949999999999999</v>
      </c>
      <c r="M866">
        <v>0.94330000000000003</v>
      </c>
      <c r="N866">
        <v>0.86333333764999998</v>
      </c>
      <c r="O866">
        <v>7.9966662350000046</v>
      </c>
      <c r="P866">
        <v>1007.574</v>
      </c>
      <c r="Q866" s="125">
        <v>0.17199999999999999</v>
      </c>
      <c r="R866" s="125">
        <v>0</v>
      </c>
      <c r="S866" s="125">
        <v>1.7030000000000001</v>
      </c>
      <c r="T866" s="125">
        <v>20.792000000000002</v>
      </c>
      <c r="U866" s="125">
        <v>7.1959999999999997</v>
      </c>
      <c r="V866" s="125">
        <v>0</v>
      </c>
      <c r="W866" s="125">
        <v>0</v>
      </c>
      <c r="X866" s="125">
        <v>0</v>
      </c>
      <c r="Y866" s="125">
        <v>0</v>
      </c>
      <c r="Z866" s="125">
        <v>0.874</v>
      </c>
      <c r="AA866" s="125">
        <v>12.129</v>
      </c>
      <c r="AB866" s="125">
        <v>68.13</v>
      </c>
      <c r="AC866" s="125">
        <v>682.9</v>
      </c>
      <c r="AD866" s="125">
        <v>0</v>
      </c>
      <c r="AE866" s="125">
        <v>19.597999999999999</v>
      </c>
      <c r="AF866" s="125">
        <v>50.378700000000002</v>
      </c>
      <c r="AG866" s="125">
        <v>0</v>
      </c>
      <c r="AH866" s="125">
        <v>0</v>
      </c>
      <c r="AI866" s="121">
        <v>4131652</v>
      </c>
      <c r="AJ866" s="121">
        <v>415213</v>
      </c>
      <c r="AK866" s="424">
        <v>12</v>
      </c>
      <c r="AL866">
        <v>0</v>
      </c>
      <c r="AM866" s="121">
        <v>84637</v>
      </c>
      <c r="AN866" s="125">
        <v>0</v>
      </c>
      <c r="AO866" s="125">
        <v>0</v>
      </c>
      <c r="AP866" s="121">
        <v>4546865</v>
      </c>
      <c r="AQ866" s="114">
        <v>0</v>
      </c>
      <c r="AR866" s="121">
        <v>279.70844027999999</v>
      </c>
      <c r="AS866" s="121">
        <v>54963.586863999997</v>
      </c>
      <c r="AT866" s="121">
        <v>7238.6797429999997</v>
      </c>
      <c r="AU866" s="420" t="s">
        <v>2001</v>
      </c>
      <c r="AV866" s="420" t="s">
        <v>2001</v>
      </c>
      <c r="AW866" s="121">
        <v>0</v>
      </c>
      <c r="AX866" s="121">
        <v>545316</v>
      </c>
      <c r="BI866">
        <v>0</v>
      </c>
      <c r="BJ866" s="121">
        <v>0</v>
      </c>
      <c r="BK866" s="134">
        <v>417142689</v>
      </c>
      <c r="BL866" s="934">
        <v>4912</v>
      </c>
      <c r="BM866" s="934">
        <v>5698</v>
      </c>
      <c r="BN866" s="934">
        <v>5264</v>
      </c>
      <c r="BO866" s="114">
        <v>0</v>
      </c>
      <c r="BP866" s="114">
        <v>0</v>
      </c>
    </row>
    <row r="867" spans="1:68">
      <c r="A867" t="s">
        <v>217</v>
      </c>
      <c r="B867" t="s">
        <v>2275</v>
      </c>
      <c r="C867" s="121">
        <v>4774</v>
      </c>
      <c r="D867" s="72">
        <v>3</v>
      </c>
      <c r="E867">
        <v>4392.78</v>
      </c>
      <c r="F867">
        <v>1364</v>
      </c>
      <c r="G867">
        <v>826</v>
      </c>
      <c r="H867">
        <v>277</v>
      </c>
      <c r="I867" s="173">
        <v>1.0297000000000001</v>
      </c>
      <c r="J867" s="121">
        <v>6537871909</v>
      </c>
      <c r="K867" s="125">
        <v>23186.982</v>
      </c>
      <c r="L867" s="173">
        <v>1.4245000000000001</v>
      </c>
      <c r="M867">
        <v>1.0297000000000001</v>
      </c>
      <c r="N867">
        <v>0.94966667141500005</v>
      </c>
      <c r="O867">
        <v>8.0033328585000003</v>
      </c>
      <c r="P867">
        <v>17315.653999999999</v>
      </c>
      <c r="Q867" s="125">
        <v>1.8280000000000001</v>
      </c>
      <c r="R867" s="125">
        <v>4.9889999999999999</v>
      </c>
      <c r="S867" s="125">
        <v>28.515999999999998</v>
      </c>
      <c r="T867" s="125">
        <v>608.07100000000003</v>
      </c>
      <c r="U867" s="125">
        <v>164.49199999999999</v>
      </c>
      <c r="V867" s="125">
        <v>42.765000000000001</v>
      </c>
      <c r="W867" s="125">
        <v>53.445</v>
      </c>
      <c r="X867" s="125">
        <v>0</v>
      </c>
      <c r="Y867" s="125">
        <v>0</v>
      </c>
      <c r="Z867" s="125">
        <v>47.152000000000001</v>
      </c>
      <c r="AA867" s="125">
        <v>63.792000000000002</v>
      </c>
      <c r="AB867" s="125">
        <v>799.30600000000004</v>
      </c>
      <c r="AC867" s="125">
        <v>11828.5</v>
      </c>
      <c r="AD867" s="125">
        <v>4.032</v>
      </c>
      <c r="AE867" s="125">
        <v>2898.5619999999999</v>
      </c>
      <c r="AF867" s="125">
        <v>865.78269999999998</v>
      </c>
      <c r="AG867" s="125">
        <v>0</v>
      </c>
      <c r="AH867" s="125">
        <v>0</v>
      </c>
      <c r="AI867" s="121">
        <v>70686490</v>
      </c>
      <c r="AJ867" s="121">
        <v>10991658</v>
      </c>
      <c r="AK867" s="424">
        <v>12</v>
      </c>
      <c r="AL867">
        <v>0</v>
      </c>
      <c r="AM867" s="121">
        <v>1048273</v>
      </c>
      <c r="AN867" s="125">
        <v>1</v>
      </c>
      <c r="AO867" s="125">
        <v>2</v>
      </c>
      <c r="AP867" s="121">
        <v>81678148</v>
      </c>
      <c r="AQ867" s="114">
        <v>0</v>
      </c>
      <c r="AR867" s="121">
        <v>4357.8806152999996</v>
      </c>
      <c r="AS867" s="121">
        <v>856337.22566999996</v>
      </c>
      <c r="AT867" s="121">
        <v>112779.22861999999</v>
      </c>
      <c r="AU867" s="420" t="s">
        <v>2001</v>
      </c>
      <c r="AV867" s="420" t="s">
        <v>2001</v>
      </c>
      <c r="AW867" s="121">
        <v>0</v>
      </c>
      <c r="AX867" s="121">
        <v>9465862</v>
      </c>
      <c r="BI867">
        <v>0</v>
      </c>
      <c r="BJ867" s="121">
        <v>0</v>
      </c>
      <c r="BK867" s="134">
        <v>6537871909</v>
      </c>
      <c r="BL867" s="934">
        <v>4503</v>
      </c>
      <c r="BM867" s="934">
        <v>4668</v>
      </c>
      <c r="BN867" s="934">
        <v>4774</v>
      </c>
      <c r="BO867" s="114">
        <v>0</v>
      </c>
      <c r="BP867" s="114">
        <v>0</v>
      </c>
    </row>
    <row r="868" spans="1:68">
      <c r="A868" t="s">
        <v>1348</v>
      </c>
      <c r="B868" t="s">
        <v>1510</v>
      </c>
      <c r="C868" s="121">
        <v>4889</v>
      </c>
      <c r="D868" s="72">
        <v>2</v>
      </c>
      <c r="E868">
        <v>1192.2940000000001</v>
      </c>
      <c r="F868">
        <v>293</v>
      </c>
      <c r="G868">
        <v>187</v>
      </c>
      <c r="H868">
        <v>29</v>
      </c>
      <c r="I868" s="173">
        <v>1.04</v>
      </c>
      <c r="J868" s="121">
        <v>1444266293</v>
      </c>
      <c r="K868" s="125">
        <v>5166.4110000000001</v>
      </c>
      <c r="L868" s="173">
        <v>1.5</v>
      </c>
      <c r="M868">
        <v>1.04</v>
      </c>
      <c r="N868">
        <v>1.000000005</v>
      </c>
      <c r="O868">
        <v>3.9999995000000066</v>
      </c>
      <c r="P868">
        <v>4267.4989999999998</v>
      </c>
      <c r="Q868" s="125">
        <v>0.33600000000000002</v>
      </c>
      <c r="R868" s="125">
        <v>0</v>
      </c>
      <c r="S868" s="125">
        <v>6.3550000000000004</v>
      </c>
      <c r="T868" s="125">
        <v>67.287999999999997</v>
      </c>
      <c r="U868" s="125">
        <v>32.981000000000002</v>
      </c>
      <c r="V868" s="125">
        <v>0.29399999999999998</v>
      </c>
      <c r="W868" s="125">
        <v>0.74199999999999999</v>
      </c>
      <c r="X868" s="125">
        <v>0</v>
      </c>
      <c r="Y868" s="125">
        <v>1.0660000000000001</v>
      </c>
      <c r="Z868" s="125">
        <v>0</v>
      </c>
      <c r="AA868" s="125">
        <v>31.323</v>
      </c>
      <c r="AB868" s="125">
        <v>153.82</v>
      </c>
      <c r="AC868" s="125">
        <v>1478.8</v>
      </c>
      <c r="AD868" s="125">
        <v>0.52600000000000002</v>
      </c>
      <c r="AE868" s="125">
        <v>100.348</v>
      </c>
      <c r="AF868" s="125">
        <v>213.37495000000001</v>
      </c>
      <c r="AG868" s="125">
        <v>0</v>
      </c>
      <c r="AH868" s="125">
        <v>0</v>
      </c>
      <c r="AI868" s="121">
        <v>15771388</v>
      </c>
      <c r="AJ868" s="121">
        <v>972690</v>
      </c>
      <c r="AK868" s="424">
        <v>12</v>
      </c>
      <c r="AL868">
        <v>0</v>
      </c>
      <c r="AM868" s="121">
        <v>254191</v>
      </c>
      <c r="AN868" s="125">
        <v>0</v>
      </c>
      <c r="AO868" s="125">
        <v>0</v>
      </c>
      <c r="AP868" s="121">
        <v>16744078</v>
      </c>
      <c r="AQ868" s="114">
        <v>0</v>
      </c>
      <c r="AR868" s="121">
        <v>962.68941472999995</v>
      </c>
      <c r="AS868" s="121">
        <v>189171.49306000001</v>
      </c>
      <c r="AT868" s="121">
        <v>24913.800807</v>
      </c>
      <c r="AU868" s="420" t="s">
        <v>2001</v>
      </c>
      <c r="AV868" s="420" t="s">
        <v>2001</v>
      </c>
      <c r="AW868" s="121">
        <v>0</v>
      </c>
      <c r="AX868" s="121">
        <v>2443993</v>
      </c>
      <c r="BI868">
        <v>0</v>
      </c>
      <c r="BJ868" s="121">
        <v>0</v>
      </c>
      <c r="BK868" s="134">
        <v>1444266293</v>
      </c>
      <c r="BL868" s="934">
        <v>4698</v>
      </c>
      <c r="BM868" s="934">
        <v>4889</v>
      </c>
      <c r="BN868" s="934">
        <v>4889</v>
      </c>
      <c r="BO868" s="114">
        <v>0</v>
      </c>
      <c r="BP868" s="114">
        <v>0</v>
      </c>
    </row>
    <row r="869" spans="1:68">
      <c r="A869" t="s">
        <v>1516</v>
      </c>
      <c r="B869" t="s">
        <v>735</v>
      </c>
      <c r="C869" s="121">
        <v>4865</v>
      </c>
      <c r="D869" s="72">
        <v>2</v>
      </c>
      <c r="E869">
        <v>822.19100000000003</v>
      </c>
      <c r="F869">
        <v>244</v>
      </c>
      <c r="G869">
        <v>186</v>
      </c>
      <c r="H869">
        <v>25</v>
      </c>
      <c r="I869" s="173">
        <v>1.04</v>
      </c>
      <c r="J869" s="121">
        <v>927882312</v>
      </c>
      <c r="K869" s="125">
        <v>3933.6680000000001</v>
      </c>
      <c r="L869" s="173">
        <v>1.5</v>
      </c>
      <c r="M869">
        <v>1.04</v>
      </c>
      <c r="N869">
        <v>1.000000005</v>
      </c>
      <c r="O869">
        <v>3.9999995000000066</v>
      </c>
      <c r="P869">
        <v>2891.56</v>
      </c>
      <c r="Q869" s="125">
        <v>0.50800000000000001</v>
      </c>
      <c r="R869" s="125">
        <v>0</v>
      </c>
      <c r="S869" s="125">
        <v>4.2320000000000002</v>
      </c>
      <c r="T869" s="125">
        <v>49.26</v>
      </c>
      <c r="U869" s="125">
        <v>17.852</v>
      </c>
      <c r="V869" s="125">
        <v>1.2290000000000001</v>
      </c>
      <c r="W869" s="125">
        <v>5.57</v>
      </c>
      <c r="X869" s="125">
        <v>0</v>
      </c>
      <c r="Y869" s="125">
        <v>0</v>
      </c>
      <c r="Z869" s="125">
        <v>0</v>
      </c>
      <c r="AA869" s="125">
        <v>55.609000000000002</v>
      </c>
      <c r="AB869" s="125">
        <v>185.733</v>
      </c>
      <c r="AC869" s="125">
        <v>1967.3</v>
      </c>
      <c r="AD869" s="125">
        <v>0.307</v>
      </c>
      <c r="AE869" s="125">
        <v>320.64999999999998</v>
      </c>
      <c r="AF869" s="125">
        <v>144.578</v>
      </c>
      <c r="AG869" s="125">
        <v>0</v>
      </c>
      <c r="AH869" s="125">
        <v>0</v>
      </c>
      <c r="AI869" s="121">
        <v>10132475</v>
      </c>
      <c r="AJ869" s="121">
        <v>942034</v>
      </c>
      <c r="AK869" s="424">
        <v>12</v>
      </c>
      <c r="AL869">
        <v>0</v>
      </c>
      <c r="AM869" s="121">
        <v>458766</v>
      </c>
      <c r="AN869" s="125">
        <v>0</v>
      </c>
      <c r="AO869" s="125">
        <v>0</v>
      </c>
      <c r="AP869" s="121">
        <v>11074509</v>
      </c>
      <c r="AQ869" s="114">
        <v>0</v>
      </c>
      <c r="AR869" s="121">
        <v>618.48876775999997</v>
      </c>
      <c r="AS869" s="121">
        <v>121534.98506000001</v>
      </c>
      <c r="AT869" s="121">
        <v>16006.103034</v>
      </c>
      <c r="AU869" s="420" t="s">
        <v>2001</v>
      </c>
      <c r="AV869" s="420" t="s">
        <v>2001</v>
      </c>
      <c r="AW869" s="121">
        <v>0</v>
      </c>
      <c r="AX869" s="121">
        <v>2060051</v>
      </c>
      <c r="BI869">
        <v>0</v>
      </c>
      <c r="BJ869" s="121">
        <v>0</v>
      </c>
      <c r="BK869" s="134">
        <v>927882312</v>
      </c>
      <c r="BL869" s="934">
        <v>4848</v>
      </c>
      <c r="BM869" s="934">
        <v>4865</v>
      </c>
      <c r="BN869" s="934">
        <v>4865</v>
      </c>
      <c r="BO869" s="114">
        <v>0</v>
      </c>
      <c r="BP869" s="114">
        <v>0</v>
      </c>
    </row>
    <row r="870" spans="1:68">
      <c r="A870" t="s">
        <v>1517</v>
      </c>
      <c r="B870" t="s">
        <v>2276</v>
      </c>
      <c r="C870" s="121">
        <v>4859</v>
      </c>
      <c r="D870" s="72">
        <v>2</v>
      </c>
      <c r="E870">
        <v>245.905</v>
      </c>
      <c r="F870">
        <v>80</v>
      </c>
      <c r="G870">
        <v>49</v>
      </c>
      <c r="H870">
        <v>6</v>
      </c>
      <c r="I870" s="173">
        <v>1.04</v>
      </c>
      <c r="J870" s="121">
        <v>311557714</v>
      </c>
      <c r="K870" s="125">
        <v>1340.5150000000001</v>
      </c>
      <c r="L870" s="173">
        <v>1.5</v>
      </c>
      <c r="M870">
        <v>1.04</v>
      </c>
      <c r="N870">
        <v>1.000000005</v>
      </c>
      <c r="O870">
        <v>3.9999995000000066</v>
      </c>
      <c r="P870">
        <v>856.00699999999995</v>
      </c>
      <c r="Q870" s="125">
        <v>6.7000000000000004E-2</v>
      </c>
      <c r="R870" s="125">
        <v>0</v>
      </c>
      <c r="S870" s="125">
        <v>1.7689999999999999</v>
      </c>
      <c r="T870" s="125">
        <v>24.617000000000001</v>
      </c>
      <c r="U870" s="125">
        <v>4.4889999999999999</v>
      </c>
      <c r="V870" s="125">
        <v>0</v>
      </c>
      <c r="W870" s="125">
        <v>7.1859999999999999</v>
      </c>
      <c r="X870" s="125">
        <v>0</v>
      </c>
      <c r="Y870" s="125">
        <v>0</v>
      </c>
      <c r="Z870" s="125">
        <v>0</v>
      </c>
      <c r="AA870" s="125">
        <v>18.236000000000001</v>
      </c>
      <c r="AB870" s="125">
        <v>48.884</v>
      </c>
      <c r="AC870" s="125">
        <v>569.1</v>
      </c>
      <c r="AD870" s="125">
        <v>0.93600000000000005</v>
      </c>
      <c r="AE870" s="125">
        <v>53.383000000000003</v>
      </c>
      <c r="AF870" s="125">
        <v>42.8</v>
      </c>
      <c r="AG870" s="125">
        <v>0</v>
      </c>
      <c r="AH870" s="125">
        <v>0</v>
      </c>
      <c r="AI870" s="121">
        <v>3402210</v>
      </c>
      <c r="AJ870" s="121">
        <v>194380</v>
      </c>
      <c r="AK870" s="424">
        <v>12</v>
      </c>
      <c r="AL870">
        <v>0</v>
      </c>
      <c r="AM870" s="121">
        <v>132471</v>
      </c>
      <c r="AN870" s="125">
        <v>0</v>
      </c>
      <c r="AO870" s="125">
        <v>0</v>
      </c>
      <c r="AP870" s="121">
        <v>3596590</v>
      </c>
      <c r="AQ870" s="114">
        <v>0</v>
      </c>
      <c r="AR870" s="121">
        <v>207.67175333</v>
      </c>
      <c r="AS870" s="121">
        <v>40808.151666999998</v>
      </c>
      <c r="AT870" s="121">
        <v>5374.4152752</v>
      </c>
      <c r="AU870" s="420" t="s">
        <v>2001</v>
      </c>
      <c r="AV870" s="420" t="s">
        <v>2001</v>
      </c>
      <c r="AW870" s="121">
        <v>0</v>
      </c>
      <c r="AX870" s="121">
        <v>240750</v>
      </c>
      <c r="BI870">
        <v>0</v>
      </c>
      <c r="BJ870" s="121">
        <v>0</v>
      </c>
      <c r="BK870" s="134">
        <v>311557714</v>
      </c>
      <c r="BL870" s="934">
        <v>4576</v>
      </c>
      <c r="BM870" s="934">
        <v>4859</v>
      </c>
      <c r="BN870" s="934">
        <v>4738</v>
      </c>
      <c r="BO870" s="114">
        <v>0</v>
      </c>
      <c r="BP870" s="114">
        <v>0</v>
      </c>
    </row>
    <row r="871" spans="1:68">
      <c r="A871" t="s">
        <v>1518</v>
      </c>
      <c r="B871" t="s">
        <v>2277</v>
      </c>
      <c r="C871" s="121">
        <v>7506</v>
      </c>
      <c r="D871" s="72">
        <v>2</v>
      </c>
      <c r="E871">
        <v>466.38600000000002</v>
      </c>
      <c r="F871">
        <v>154</v>
      </c>
      <c r="G871">
        <v>111</v>
      </c>
      <c r="H871">
        <v>17</v>
      </c>
      <c r="I871" s="173">
        <v>0.8054</v>
      </c>
      <c r="J871" s="121">
        <v>2797170195</v>
      </c>
      <c r="K871" s="125">
        <v>2161.4229999999998</v>
      </c>
      <c r="L871" s="173">
        <v>1.1477999999999999</v>
      </c>
      <c r="M871">
        <v>0.8054</v>
      </c>
      <c r="N871">
        <v>0.76520000382599995</v>
      </c>
      <c r="O871">
        <v>4.0199996174000052</v>
      </c>
      <c r="P871">
        <v>1634.17</v>
      </c>
      <c r="Q871" s="125">
        <v>2.5000000000000001E-2</v>
      </c>
      <c r="R871" s="125">
        <v>0</v>
      </c>
      <c r="S871" s="125">
        <v>2.1819999999999999</v>
      </c>
      <c r="T871" s="125">
        <v>35.15</v>
      </c>
      <c r="U871" s="125">
        <v>17.997</v>
      </c>
      <c r="V871" s="125">
        <v>0</v>
      </c>
      <c r="W871" s="125">
        <v>4.2489999999999997</v>
      </c>
      <c r="X871" s="125">
        <v>0</v>
      </c>
      <c r="Y871" s="125">
        <v>0</v>
      </c>
      <c r="Z871" s="125">
        <v>0.63200000000000001</v>
      </c>
      <c r="AA871" s="125">
        <v>65.98</v>
      </c>
      <c r="AB871" s="125">
        <v>98.23</v>
      </c>
      <c r="AC871" s="125">
        <v>860.1</v>
      </c>
      <c r="AD871" s="125">
        <v>0</v>
      </c>
      <c r="AE871" s="125">
        <v>140.26</v>
      </c>
      <c r="AF871" s="125">
        <v>81.708500000000001</v>
      </c>
      <c r="AG871" s="125">
        <v>0</v>
      </c>
      <c r="AH871" s="125">
        <v>0</v>
      </c>
      <c r="AI871" s="121">
        <v>23654829</v>
      </c>
      <c r="AJ871" s="121">
        <v>1387068</v>
      </c>
      <c r="AK871" s="424">
        <v>12</v>
      </c>
      <c r="AL871">
        <v>0</v>
      </c>
      <c r="AM871" s="121">
        <v>147308</v>
      </c>
      <c r="AN871" s="125">
        <v>1</v>
      </c>
      <c r="AO871" s="125">
        <v>1</v>
      </c>
      <c r="AP871" s="121">
        <v>25041897</v>
      </c>
      <c r="AQ871" s="114">
        <v>0</v>
      </c>
      <c r="AR871" s="121">
        <v>0</v>
      </c>
      <c r="AS871" s="121">
        <v>0</v>
      </c>
      <c r="AT871" s="121">
        <v>0</v>
      </c>
      <c r="AU871" s="420" t="s">
        <v>798</v>
      </c>
      <c r="AV871" s="420" t="s">
        <v>2001</v>
      </c>
      <c r="AW871" s="121">
        <v>0</v>
      </c>
      <c r="AX871" s="121">
        <v>1353053</v>
      </c>
      <c r="AY871" s="134">
        <v>8589456</v>
      </c>
      <c r="AZ871" s="134">
        <v>3744526</v>
      </c>
      <c r="BA871" s="134">
        <v>1556</v>
      </c>
      <c r="BB871" s="134">
        <v>6885019427</v>
      </c>
      <c r="BC871" s="114">
        <v>0</v>
      </c>
      <c r="BD871" s="114">
        <v>0</v>
      </c>
      <c r="BE871" s="114">
        <v>0</v>
      </c>
      <c r="BF871" s="134">
        <v>1678</v>
      </c>
      <c r="BG871" s="114">
        <v>0</v>
      </c>
      <c r="BH871" s="114">
        <v>0</v>
      </c>
      <c r="BI871">
        <v>0</v>
      </c>
      <c r="BJ871" s="121">
        <v>674</v>
      </c>
      <c r="BK871" s="134">
        <v>2797170195</v>
      </c>
      <c r="BL871" s="934">
        <v>6506</v>
      </c>
      <c r="BM871" s="934">
        <v>7506</v>
      </c>
      <c r="BN871" s="934">
        <v>6744</v>
      </c>
      <c r="BO871" s="114">
        <v>0</v>
      </c>
      <c r="BP871" s="114">
        <v>0</v>
      </c>
    </row>
    <row r="872" spans="1:68">
      <c r="A872" t="s">
        <v>3050</v>
      </c>
      <c r="B872" t="s">
        <v>3092</v>
      </c>
      <c r="C872" s="121">
        <v>4723</v>
      </c>
      <c r="D872" s="72">
        <v>2</v>
      </c>
      <c r="E872">
        <v>2430.1610000000001</v>
      </c>
      <c r="F872">
        <v>759</v>
      </c>
      <c r="G872">
        <v>1013</v>
      </c>
      <c r="H872">
        <v>2</v>
      </c>
      <c r="I872" s="173">
        <v>1.17</v>
      </c>
      <c r="J872" s="121">
        <v>1091714971</v>
      </c>
      <c r="K872" s="125">
        <v>13948.742</v>
      </c>
      <c r="L872" s="173">
        <v>1.5</v>
      </c>
      <c r="M872">
        <v>1.17</v>
      </c>
      <c r="N872">
        <v>1.000000005</v>
      </c>
      <c r="O872">
        <v>16.999999499999994</v>
      </c>
      <c r="P872">
        <v>9470.4779999999992</v>
      </c>
      <c r="Q872" s="125">
        <v>1.8420000000000001</v>
      </c>
      <c r="R872" s="125">
        <v>0</v>
      </c>
      <c r="S872" s="125">
        <v>15.082000000000001</v>
      </c>
      <c r="T872" s="125">
        <v>382.08100000000002</v>
      </c>
      <c r="U872" s="125">
        <v>84.07</v>
      </c>
      <c r="V872" s="125">
        <v>0</v>
      </c>
      <c r="W872" s="125">
        <v>20.059999999999999</v>
      </c>
      <c r="X872" s="125">
        <v>0</v>
      </c>
      <c r="Y872" s="125">
        <v>0</v>
      </c>
      <c r="Z872" s="125">
        <v>0</v>
      </c>
      <c r="AA872" s="125">
        <v>13.471</v>
      </c>
      <c r="AB872" s="125">
        <v>383.09500000000003</v>
      </c>
      <c r="AC872" s="125">
        <v>9375.7999999999993</v>
      </c>
      <c r="AD872" s="125">
        <v>2.92</v>
      </c>
      <c r="AE872" s="125">
        <v>5271.6459999999997</v>
      </c>
      <c r="AF872" s="125">
        <v>473.52390000000003</v>
      </c>
      <c r="AG872" s="125">
        <v>0</v>
      </c>
      <c r="AH872" s="125">
        <v>0</v>
      </c>
      <c r="AI872" s="121">
        <v>11896600</v>
      </c>
      <c r="AJ872" s="121">
        <v>2202231</v>
      </c>
      <c r="AK872" s="424">
        <v>12</v>
      </c>
      <c r="AL872">
        <v>0</v>
      </c>
      <c r="AM872" s="121">
        <v>885556</v>
      </c>
      <c r="AN872" s="125">
        <v>1</v>
      </c>
      <c r="AO872" s="125">
        <v>0</v>
      </c>
      <c r="AP872" s="121">
        <v>14098831</v>
      </c>
      <c r="AQ872" s="114">
        <v>0</v>
      </c>
      <c r="AR872" s="121">
        <v>727.69298254</v>
      </c>
      <c r="AS872" s="121">
        <v>142993.95619999999</v>
      </c>
      <c r="AT872" s="121">
        <v>18832.239909</v>
      </c>
      <c r="AU872" s="420" t="s">
        <v>2001</v>
      </c>
      <c r="AV872" s="420" t="s">
        <v>2001</v>
      </c>
      <c r="AW872" s="121">
        <v>0</v>
      </c>
      <c r="AX872" s="121">
        <v>7532971</v>
      </c>
      <c r="BI872">
        <v>0</v>
      </c>
      <c r="BJ872" s="121">
        <v>0</v>
      </c>
      <c r="BK872" s="134">
        <v>1008733587</v>
      </c>
      <c r="BL872" s="934">
        <v>4663</v>
      </c>
      <c r="BM872" s="934">
        <v>4723</v>
      </c>
      <c r="BN872" s="934">
        <v>4694</v>
      </c>
      <c r="BO872" s="114">
        <v>0</v>
      </c>
      <c r="BP872" s="114">
        <v>0</v>
      </c>
    </row>
    <row r="873" spans="1:68">
      <c r="A873" t="s">
        <v>1945</v>
      </c>
      <c r="B873" t="s">
        <v>2278</v>
      </c>
      <c r="C873" s="121">
        <v>5993</v>
      </c>
      <c r="D873" s="72">
        <v>1</v>
      </c>
      <c r="E873">
        <v>77.075999999999993</v>
      </c>
      <c r="F873">
        <v>23</v>
      </c>
      <c r="G873">
        <v>37</v>
      </c>
      <c r="H873">
        <v>0</v>
      </c>
      <c r="I873" s="173">
        <v>1.04</v>
      </c>
      <c r="J873" s="121">
        <v>358575637</v>
      </c>
      <c r="K873" s="125">
        <v>443.65</v>
      </c>
      <c r="L873" s="173">
        <v>1.5</v>
      </c>
      <c r="M873">
        <v>1.04</v>
      </c>
      <c r="N873">
        <v>1.000000005</v>
      </c>
      <c r="O873">
        <v>3.9999995000000066</v>
      </c>
      <c r="P873">
        <v>226.12799999999999</v>
      </c>
      <c r="Q873" s="125">
        <v>0</v>
      </c>
      <c r="R873" s="125">
        <v>0</v>
      </c>
      <c r="S873" s="125">
        <v>0.33500000000000002</v>
      </c>
      <c r="T873" s="125">
        <v>6.0389999999999997</v>
      </c>
      <c r="U873" s="125">
        <v>2.2639999999999998</v>
      </c>
      <c r="V873" s="125">
        <v>0</v>
      </c>
      <c r="W873" s="125">
        <v>0</v>
      </c>
      <c r="X873" s="125">
        <v>0</v>
      </c>
      <c r="Y873" s="125">
        <v>0</v>
      </c>
      <c r="Z873" s="125">
        <v>0</v>
      </c>
      <c r="AA873" s="125">
        <v>16.684000000000001</v>
      </c>
      <c r="AB873" s="125">
        <v>7.891</v>
      </c>
      <c r="AC873" s="125">
        <v>223.9</v>
      </c>
      <c r="AD873" s="125">
        <v>0</v>
      </c>
      <c r="AE873" s="125">
        <v>44.347999999999999</v>
      </c>
      <c r="AF873" s="125">
        <v>11.305999999999999</v>
      </c>
      <c r="AG873" s="125">
        <v>0</v>
      </c>
      <c r="AH873" s="125">
        <v>0</v>
      </c>
      <c r="AI873" s="121">
        <v>3010223</v>
      </c>
      <c r="AJ873" s="121">
        <v>0</v>
      </c>
      <c r="AK873" s="424">
        <v>12</v>
      </c>
      <c r="AL873">
        <v>0</v>
      </c>
      <c r="AM873" s="121">
        <v>0</v>
      </c>
      <c r="AN873" s="125">
        <v>0</v>
      </c>
      <c r="AO873" s="125">
        <v>0</v>
      </c>
      <c r="AP873" s="121">
        <v>3010223</v>
      </c>
      <c r="AQ873" s="114">
        <v>0</v>
      </c>
      <c r="AR873" s="121">
        <v>0</v>
      </c>
      <c r="AS873" s="121">
        <v>0</v>
      </c>
      <c r="AT873" s="121">
        <v>0</v>
      </c>
      <c r="AU873" s="420" t="s">
        <v>798</v>
      </c>
      <c r="AV873" s="420" t="s">
        <v>2001</v>
      </c>
      <c r="AW873" s="121">
        <v>0</v>
      </c>
      <c r="AX873" s="121">
        <v>186343</v>
      </c>
      <c r="AY873" s="134">
        <v>632405</v>
      </c>
      <c r="AZ873" s="134">
        <v>1402649</v>
      </c>
      <c r="BA873" s="114">
        <v>517</v>
      </c>
      <c r="BB873" s="134">
        <v>140325468</v>
      </c>
      <c r="BC873" s="114">
        <v>0</v>
      </c>
      <c r="BD873" s="114">
        <v>0</v>
      </c>
      <c r="BE873" s="114">
        <v>0</v>
      </c>
      <c r="BF873" s="114">
        <v>277</v>
      </c>
      <c r="BG873" s="114">
        <v>0</v>
      </c>
      <c r="BH873" s="114">
        <v>0</v>
      </c>
      <c r="BI873">
        <v>0</v>
      </c>
      <c r="BJ873" s="121">
        <v>0</v>
      </c>
      <c r="BK873" s="134">
        <v>281287196</v>
      </c>
      <c r="BL873" s="934">
        <v>5993</v>
      </c>
      <c r="BM873" s="934">
        <v>5349</v>
      </c>
      <c r="BN873" s="934">
        <v>5344</v>
      </c>
      <c r="BO873" s="114">
        <v>0</v>
      </c>
      <c r="BP873" s="114">
        <v>0</v>
      </c>
    </row>
    <row r="874" spans="1:68">
      <c r="A874" t="s">
        <v>221</v>
      </c>
      <c r="B874" t="s">
        <v>663</v>
      </c>
      <c r="C874" s="121">
        <v>4690</v>
      </c>
      <c r="D874" s="72">
        <v>2</v>
      </c>
      <c r="E874">
        <v>1621.41</v>
      </c>
      <c r="F874">
        <v>461</v>
      </c>
      <c r="G874">
        <v>428</v>
      </c>
      <c r="H874">
        <v>216</v>
      </c>
      <c r="I874" s="173">
        <v>1.04</v>
      </c>
      <c r="J874" s="121">
        <v>498163085</v>
      </c>
      <c r="K874" s="125">
        <v>8803.8179999999993</v>
      </c>
      <c r="L874" s="173">
        <v>1.5</v>
      </c>
      <c r="M874">
        <v>1.04</v>
      </c>
      <c r="N874">
        <v>1.000000005</v>
      </c>
      <c r="O874">
        <v>3.9999995000000066</v>
      </c>
      <c r="P874">
        <v>6158.6260000000002</v>
      </c>
      <c r="Q874" s="125">
        <v>2.3759999999999999</v>
      </c>
      <c r="R874" s="125">
        <v>0</v>
      </c>
      <c r="S874" s="125">
        <v>7.6449999999999996</v>
      </c>
      <c r="T874" s="125">
        <v>118.82599999999999</v>
      </c>
      <c r="U874" s="125">
        <v>15.268000000000001</v>
      </c>
      <c r="V874" s="125">
        <v>0</v>
      </c>
      <c r="W874" s="125">
        <v>11.423999999999999</v>
      </c>
      <c r="X874" s="125">
        <v>0</v>
      </c>
      <c r="Y874" s="125">
        <v>0</v>
      </c>
      <c r="Z874" s="125">
        <v>0</v>
      </c>
      <c r="AA874" s="125">
        <v>66.941000000000003</v>
      </c>
      <c r="AB874" s="125">
        <v>241.65</v>
      </c>
      <c r="AC874" s="125">
        <v>6097</v>
      </c>
      <c r="AD874" s="125">
        <v>0</v>
      </c>
      <c r="AE874" s="125">
        <v>3239.0419999999999</v>
      </c>
      <c r="AF874" s="125">
        <v>307.93099999999998</v>
      </c>
      <c r="AG874" s="125">
        <v>0</v>
      </c>
      <c r="AH874" s="125">
        <v>0</v>
      </c>
      <c r="AI874" s="121">
        <v>4305067</v>
      </c>
      <c r="AJ874" s="121">
        <v>630517</v>
      </c>
      <c r="AK874" s="424">
        <v>12</v>
      </c>
      <c r="AL874">
        <v>0</v>
      </c>
      <c r="AM874" s="121">
        <v>436405</v>
      </c>
      <c r="AN874" s="125">
        <v>0</v>
      </c>
      <c r="AO874" s="125">
        <v>1</v>
      </c>
      <c r="AP874" s="121">
        <v>4935584</v>
      </c>
      <c r="AQ874" s="114">
        <v>0</v>
      </c>
      <c r="AR874" s="121">
        <v>332.05533545999998</v>
      </c>
      <c r="AS874" s="121">
        <v>65249.916149999997</v>
      </c>
      <c r="AT874" s="121">
        <v>8593.3846973</v>
      </c>
      <c r="AU874" s="420" t="s">
        <v>2001</v>
      </c>
      <c r="AV874" s="420" t="s">
        <v>2001</v>
      </c>
      <c r="AW874" s="121">
        <v>0</v>
      </c>
      <c r="AX874" s="121">
        <v>3611717</v>
      </c>
      <c r="BI874">
        <v>0</v>
      </c>
      <c r="BJ874" s="121">
        <v>0</v>
      </c>
      <c r="BK874" s="134">
        <v>438040958</v>
      </c>
      <c r="BL874" s="934">
        <v>4453</v>
      </c>
      <c r="BM874" s="934">
        <v>4690</v>
      </c>
      <c r="BN874" s="934">
        <v>4634</v>
      </c>
      <c r="BO874" s="114">
        <v>0</v>
      </c>
      <c r="BP874" s="114">
        <v>0</v>
      </c>
    </row>
    <row r="875" spans="1:68">
      <c r="A875" t="s">
        <v>1946</v>
      </c>
      <c r="B875" t="s">
        <v>2279</v>
      </c>
      <c r="C875" s="121">
        <v>5169</v>
      </c>
      <c r="D875" s="72">
        <v>2</v>
      </c>
      <c r="E875">
        <v>414.95499999999998</v>
      </c>
      <c r="F875">
        <v>139</v>
      </c>
      <c r="G875">
        <v>117</v>
      </c>
      <c r="H875">
        <v>0</v>
      </c>
      <c r="I875" s="173">
        <v>1.04</v>
      </c>
      <c r="J875" s="121">
        <v>606250036</v>
      </c>
      <c r="K875" s="125">
        <v>2147.0610000000001</v>
      </c>
      <c r="L875" s="173">
        <v>1.5</v>
      </c>
      <c r="M875">
        <v>1.04</v>
      </c>
      <c r="N875">
        <v>1.000000005</v>
      </c>
      <c r="O875">
        <v>3.9999995000000066</v>
      </c>
      <c r="P875">
        <v>1429.046</v>
      </c>
      <c r="Q875" s="125">
        <v>0.26700000000000002</v>
      </c>
      <c r="R875" s="125">
        <v>0</v>
      </c>
      <c r="S875" s="125">
        <v>2.7839999999999998</v>
      </c>
      <c r="T875" s="125">
        <v>38.109000000000002</v>
      </c>
      <c r="U875" s="125">
        <v>11.818</v>
      </c>
      <c r="V875" s="125">
        <v>1.32</v>
      </c>
      <c r="W875" s="125">
        <v>5.931</v>
      </c>
      <c r="X875" s="125">
        <v>0</v>
      </c>
      <c r="Y875" s="125">
        <v>0</v>
      </c>
      <c r="Z875" s="125">
        <v>3.0569999999999999</v>
      </c>
      <c r="AA875" s="125">
        <v>41.962000000000003</v>
      </c>
      <c r="AB875" s="125">
        <v>69.421000000000006</v>
      </c>
      <c r="AC875" s="125">
        <v>1089.5</v>
      </c>
      <c r="AD875" s="125">
        <v>0.191</v>
      </c>
      <c r="AE875" s="125">
        <v>107.078</v>
      </c>
      <c r="AF875" s="125">
        <v>71.451999999999998</v>
      </c>
      <c r="AG875" s="125">
        <v>0</v>
      </c>
      <c r="AH875" s="125">
        <v>0</v>
      </c>
      <c r="AI875" s="121">
        <v>6331352</v>
      </c>
      <c r="AJ875" s="121">
        <v>697439</v>
      </c>
      <c r="AK875" s="424">
        <v>12</v>
      </c>
      <c r="AL875">
        <v>0</v>
      </c>
      <c r="AM875" s="121">
        <v>104324</v>
      </c>
      <c r="AN875" s="125">
        <v>0</v>
      </c>
      <c r="AO875" s="125">
        <v>0</v>
      </c>
      <c r="AP875" s="121">
        <v>7028791</v>
      </c>
      <c r="AQ875" s="114">
        <v>0</v>
      </c>
      <c r="AR875" s="121">
        <v>404.10171931999997</v>
      </c>
      <c r="AS875" s="121">
        <v>79407.256819999995</v>
      </c>
      <c r="AT875" s="121">
        <v>10457.900115</v>
      </c>
      <c r="AU875" s="420" t="s">
        <v>2001</v>
      </c>
      <c r="AV875" s="420" t="s">
        <v>2001</v>
      </c>
      <c r="AW875" s="121">
        <v>0</v>
      </c>
      <c r="AX875" s="121">
        <v>646686</v>
      </c>
      <c r="BI875">
        <v>0</v>
      </c>
      <c r="BJ875" s="121">
        <v>0</v>
      </c>
      <c r="BK875" s="134">
        <v>597725894</v>
      </c>
      <c r="BL875" s="934">
        <v>4689</v>
      </c>
      <c r="BM875" s="934">
        <v>5169</v>
      </c>
      <c r="BN875" s="934">
        <v>4853</v>
      </c>
      <c r="BO875" s="114">
        <v>0</v>
      </c>
      <c r="BP875" s="114">
        <v>0</v>
      </c>
    </row>
    <row r="876" spans="1:68">
      <c r="A876" t="s">
        <v>2979</v>
      </c>
      <c r="B876" t="s">
        <v>2931</v>
      </c>
      <c r="C876" s="121">
        <v>6408</v>
      </c>
      <c r="D876" s="72">
        <v>2</v>
      </c>
      <c r="E876">
        <v>81.602000000000004</v>
      </c>
      <c r="F876">
        <v>28</v>
      </c>
      <c r="G876">
        <v>20</v>
      </c>
      <c r="H876">
        <v>1</v>
      </c>
      <c r="I876" s="173">
        <v>1.04</v>
      </c>
      <c r="J876" s="121">
        <v>586516447</v>
      </c>
      <c r="K876" s="125">
        <v>440.589</v>
      </c>
      <c r="L876" s="173">
        <v>1.5</v>
      </c>
      <c r="M876">
        <v>1.04</v>
      </c>
      <c r="N876">
        <v>1.000000005</v>
      </c>
      <c r="O876">
        <v>3.9999995000000066</v>
      </c>
      <c r="P876">
        <v>213.215</v>
      </c>
      <c r="Q876" s="125">
        <v>0</v>
      </c>
      <c r="R876" s="125">
        <v>0</v>
      </c>
      <c r="S876" s="125">
        <v>0.16200000000000001</v>
      </c>
      <c r="T876" s="125">
        <v>7.9279999999999999</v>
      </c>
      <c r="U876" s="125">
        <v>0</v>
      </c>
      <c r="V876" s="125">
        <v>1.19</v>
      </c>
      <c r="W876" s="125">
        <v>0</v>
      </c>
      <c r="X876" s="125">
        <v>0</v>
      </c>
      <c r="Y876" s="125">
        <v>0</v>
      </c>
      <c r="Z876" s="125">
        <v>0</v>
      </c>
      <c r="AA876" s="125">
        <v>6.5490000000000004</v>
      </c>
      <c r="AB876" s="125">
        <v>23.466999999999999</v>
      </c>
      <c r="AC876" s="125">
        <v>131.6</v>
      </c>
      <c r="AD876" s="125">
        <v>0</v>
      </c>
      <c r="AE876" s="125">
        <v>4.0629999999999997</v>
      </c>
      <c r="AF876" s="125">
        <v>10.66075</v>
      </c>
      <c r="AG876" s="125">
        <v>0</v>
      </c>
      <c r="AH876" s="125">
        <v>0</v>
      </c>
      <c r="AI876" s="121">
        <v>6215309</v>
      </c>
      <c r="AJ876" s="121">
        <v>334056</v>
      </c>
      <c r="AK876" s="424">
        <v>12</v>
      </c>
      <c r="AL876">
        <v>0</v>
      </c>
      <c r="AM876" s="121">
        <v>0</v>
      </c>
      <c r="AN876" s="125">
        <v>0</v>
      </c>
      <c r="AO876" s="125">
        <v>0</v>
      </c>
      <c r="AP876" s="121">
        <v>6549365</v>
      </c>
      <c r="AQ876" s="114">
        <v>0</v>
      </c>
      <c r="AR876" s="121">
        <v>0</v>
      </c>
      <c r="AS876" s="121">
        <v>0</v>
      </c>
      <c r="AT876" s="121">
        <v>0</v>
      </c>
      <c r="AU876" s="420" t="s">
        <v>798</v>
      </c>
      <c r="AV876" s="420" t="s">
        <v>2001</v>
      </c>
      <c r="AW876" s="121">
        <v>0</v>
      </c>
      <c r="AX876" s="121">
        <v>331256</v>
      </c>
      <c r="AY876" s="134">
        <v>778030</v>
      </c>
      <c r="AZ876" s="134">
        <v>1585480</v>
      </c>
      <c r="BA876" s="114">
        <v>656</v>
      </c>
      <c r="BB876" s="134">
        <v>361919809</v>
      </c>
      <c r="BC876" s="114">
        <v>0</v>
      </c>
      <c r="BD876" s="114">
        <v>0</v>
      </c>
      <c r="BE876" s="114">
        <v>0</v>
      </c>
      <c r="BF876" s="114">
        <v>196</v>
      </c>
      <c r="BG876" s="114">
        <v>0</v>
      </c>
      <c r="BH876" s="114">
        <v>0</v>
      </c>
      <c r="BI876">
        <v>0</v>
      </c>
      <c r="BJ876" s="121">
        <v>91</v>
      </c>
      <c r="BK876" s="134">
        <v>569167458</v>
      </c>
      <c r="BL876" s="934">
        <v>6181</v>
      </c>
      <c r="BM876" s="934">
        <v>6408</v>
      </c>
      <c r="BN876" s="934">
        <v>6390</v>
      </c>
      <c r="BO876" s="114">
        <v>0</v>
      </c>
      <c r="BP876" s="114">
        <v>0</v>
      </c>
    </row>
    <row r="877" spans="1:68">
      <c r="A877" t="s">
        <v>849</v>
      </c>
      <c r="B877" t="s">
        <v>2932</v>
      </c>
      <c r="C877" s="121">
        <v>5569</v>
      </c>
      <c r="D877" s="72">
        <v>2</v>
      </c>
      <c r="E877">
        <v>61.84</v>
      </c>
      <c r="F877">
        <v>28</v>
      </c>
      <c r="G877">
        <v>22</v>
      </c>
      <c r="H877">
        <v>0</v>
      </c>
      <c r="I877" s="173">
        <v>1.04</v>
      </c>
      <c r="J877" s="121">
        <v>155192189</v>
      </c>
      <c r="K877" s="125">
        <v>418.00299999999999</v>
      </c>
      <c r="L877" s="173">
        <v>1.4398</v>
      </c>
      <c r="M877">
        <v>1.04</v>
      </c>
      <c r="N877">
        <v>0.95986667146600002</v>
      </c>
      <c r="O877">
        <v>8.0133328534000015</v>
      </c>
      <c r="P877">
        <v>205.755</v>
      </c>
      <c r="Q877" s="125">
        <v>0</v>
      </c>
      <c r="R877" s="125">
        <v>0</v>
      </c>
      <c r="S877" s="125">
        <v>0.28399999999999997</v>
      </c>
      <c r="T877" s="125">
        <v>7.5279999999999996</v>
      </c>
      <c r="U877" s="125">
        <v>0</v>
      </c>
      <c r="V877" s="125">
        <v>0</v>
      </c>
      <c r="W877" s="125">
        <v>1.5349999999999999</v>
      </c>
      <c r="X877" s="125">
        <v>0</v>
      </c>
      <c r="Y877" s="125">
        <v>0</v>
      </c>
      <c r="Z877" s="125">
        <v>0</v>
      </c>
      <c r="AA877" s="125">
        <v>4.1589999999999998</v>
      </c>
      <c r="AB877" s="125">
        <v>26.001999999999999</v>
      </c>
      <c r="AC877" s="125">
        <v>114.7</v>
      </c>
      <c r="AD877" s="125">
        <v>0.186</v>
      </c>
      <c r="AE877" s="125">
        <v>0.13300000000000001</v>
      </c>
      <c r="AF877" s="125">
        <v>10.287750000000001</v>
      </c>
      <c r="AG877" s="125">
        <v>0</v>
      </c>
      <c r="AH877" s="125">
        <v>0</v>
      </c>
      <c r="AI877" s="121">
        <v>1609333</v>
      </c>
      <c r="AJ877" s="121">
        <v>0</v>
      </c>
      <c r="AK877" s="424">
        <v>12</v>
      </c>
      <c r="AL877">
        <v>0</v>
      </c>
      <c r="AM877" s="121">
        <v>51408</v>
      </c>
      <c r="AN877" s="125">
        <v>0</v>
      </c>
      <c r="AO877" s="125">
        <v>0</v>
      </c>
      <c r="AP877" s="121">
        <v>1609333</v>
      </c>
      <c r="AQ877" s="114">
        <v>0</v>
      </c>
      <c r="AR877" s="121">
        <v>96.077349358000006</v>
      </c>
      <c r="AS877" s="121">
        <v>18879.500854000002</v>
      </c>
      <c r="AT877" s="121">
        <v>2486.4217964999998</v>
      </c>
      <c r="AU877" s="420" t="s">
        <v>798</v>
      </c>
      <c r="AV877" s="420" t="s">
        <v>2001</v>
      </c>
      <c r="AW877" s="121">
        <v>0</v>
      </c>
      <c r="AX877" s="121">
        <v>0</v>
      </c>
      <c r="AY877" s="134">
        <v>770781</v>
      </c>
      <c r="AZ877" s="134">
        <v>1646135</v>
      </c>
      <c r="BA877" s="114">
        <v>673</v>
      </c>
      <c r="BB877" s="134">
        <v>234545550</v>
      </c>
      <c r="BC877" s="114">
        <v>0</v>
      </c>
      <c r="BD877" s="114">
        <v>0</v>
      </c>
      <c r="BE877" s="114">
        <v>0</v>
      </c>
      <c r="BF877" s="114">
        <v>260</v>
      </c>
      <c r="BG877" s="114">
        <v>0</v>
      </c>
      <c r="BH877" s="114">
        <v>0</v>
      </c>
      <c r="BI877">
        <v>0</v>
      </c>
      <c r="BJ877" s="121">
        <v>0</v>
      </c>
      <c r="BK877" s="134">
        <v>150382465</v>
      </c>
      <c r="BL877" s="934">
        <v>5313</v>
      </c>
      <c r="BM877" s="934">
        <v>5569</v>
      </c>
      <c r="BN877" s="934">
        <v>5426</v>
      </c>
      <c r="BO877" s="114">
        <v>0</v>
      </c>
      <c r="BP877" s="114">
        <v>0</v>
      </c>
    </row>
    <row r="878" spans="1:68">
      <c r="A878" t="s">
        <v>850</v>
      </c>
      <c r="B878" t="s">
        <v>2933</v>
      </c>
      <c r="C878" s="121">
        <v>7049</v>
      </c>
      <c r="D878" s="72">
        <v>2</v>
      </c>
      <c r="E878">
        <v>263.59199999999998</v>
      </c>
      <c r="F878">
        <v>92</v>
      </c>
      <c r="G878">
        <v>68</v>
      </c>
      <c r="H878">
        <v>3</v>
      </c>
      <c r="I878" s="173">
        <v>1.04</v>
      </c>
      <c r="J878" s="121">
        <v>1540428061</v>
      </c>
      <c r="K878" s="125">
        <v>1652.1079999999999</v>
      </c>
      <c r="L878" s="173">
        <v>1.5</v>
      </c>
      <c r="M878">
        <v>1.04</v>
      </c>
      <c r="N878">
        <v>1.000000005</v>
      </c>
      <c r="O878">
        <v>3.9999995000000066</v>
      </c>
      <c r="P878">
        <v>970.46600000000001</v>
      </c>
      <c r="Q878" s="125">
        <v>0</v>
      </c>
      <c r="R878" s="125">
        <v>0.161</v>
      </c>
      <c r="S878" s="125">
        <v>1.4570000000000001</v>
      </c>
      <c r="T878" s="125">
        <v>26.619</v>
      </c>
      <c r="U878" s="125">
        <v>5.1100000000000003</v>
      </c>
      <c r="V878" s="125">
        <v>0</v>
      </c>
      <c r="W878" s="125">
        <v>1.887</v>
      </c>
      <c r="X878" s="125">
        <v>0</v>
      </c>
      <c r="Y878" s="125">
        <v>0</v>
      </c>
      <c r="Z878" s="125">
        <v>1.839</v>
      </c>
      <c r="AA878" s="125">
        <v>34.234999999999999</v>
      </c>
      <c r="AB878" s="125">
        <v>70.438999999999993</v>
      </c>
      <c r="AC878" s="125">
        <v>538</v>
      </c>
      <c r="AD878" s="125">
        <v>1.583</v>
      </c>
      <c r="AE878" s="125">
        <v>129.76900000000001</v>
      </c>
      <c r="AF878" s="125">
        <v>48.523000000000003</v>
      </c>
      <c r="AG878" s="125">
        <v>0</v>
      </c>
      <c r="AH878" s="125">
        <v>0</v>
      </c>
      <c r="AI878" s="121">
        <v>15404301</v>
      </c>
      <c r="AJ878" s="121">
        <v>1152670</v>
      </c>
      <c r="AK878" s="424">
        <v>12</v>
      </c>
      <c r="AL878">
        <v>0</v>
      </c>
      <c r="AM878" s="121">
        <v>54110</v>
      </c>
      <c r="AN878" s="125">
        <v>0</v>
      </c>
      <c r="AO878" s="125">
        <v>0</v>
      </c>
      <c r="AP878" s="121">
        <v>16556971</v>
      </c>
      <c r="AQ878" s="114">
        <v>0</v>
      </c>
      <c r="AR878" s="121">
        <v>0</v>
      </c>
      <c r="AS878" s="121">
        <v>0</v>
      </c>
      <c r="AT878" s="121">
        <v>0</v>
      </c>
      <c r="AU878" s="420" t="s">
        <v>798</v>
      </c>
      <c r="AV878" s="420" t="s">
        <v>2001</v>
      </c>
      <c r="AW878" s="121">
        <v>0</v>
      </c>
      <c r="AX878" s="121">
        <v>821519</v>
      </c>
      <c r="AY878" s="134">
        <v>1095493</v>
      </c>
      <c r="AZ878" s="134">
        <v>3504762</v>
      </c>
      <c r="BA878" s="134">
        <v>1466</v>
      </c>
      <c r="BB878" s="134">
        <v>408403721</v>
      </c>
      <c r="BC878" s="114">
        <v>0</v>
      </c>
      <c r="BD878" s="114">
        <v>0</v>
      </c>
      <c r="BE878" s="114">
        <v>0</v>
      </c>
      <c r="BF878" s="114">
        <v>990</v>
      </c>
      <c r="BG878" s="114">
        <v>0</v>
      </c>
      <c r="BH878" s="114">
        <v>0</v>
      </c>
      <c r="BI878">
        <v>0</v>
      </c>
      <c r="BJ878" s="121">
        <v>531</v>
      </c>
      <c r="BK878" s="134">
        <v>1410650299</v>
      </c>
      <c r="BL878" s="934">
        <v>5743</v>
      </c>
      <c r="BM878" s="934">
        <v>7049</v>
      </c>
      <c r="BN878" s="934">
        <v>5867</v>
      </c>
      <c r="BO878" s="114">
        <v>0</v>
      </c>
      <c r="BP878" s="114">
        <v>0</v>
      </c>
    </row>
    <row r="879" spans="1:68">
      <c r="A879" t="s">
        <v>906</v>
      </c>
      <c r="B879" t="s">
        <v>2934</v>
      </c>
      <c r="C879" s="121">
        <v>4579</v>
      </c>
      <c r="D879" s="72">
        <v>3</v>
      </c>
      <c r="E879">
        <v>78.647999999999996</v>
      </c>
      <c r="F879">
        <v>23</v>
      </c>
      <c r="G879">
        <v>16</v>
      </c>
      <c r="H879">
        <v>1</v>
      </c>
      <c r="I879" s="173">
        <v>1.008</v>
      </c>
      <c r="J879" s="121">
        <v>59891512</v>
      </c>
      <c r="K879" s="125">
        <v>439.58</v>
      </c>
      <c r="L879" s="173">
        <v>1.3754999999999999</v>
      </c>
      <c r="M879">
        <v>1.008</v>
      </c>
      <c r="N879">
        <v>0.91700000458499997</v>
      </c>
      <c r="O879">
        <v>9.0999995415000043</v>
      </c>
      <c r="P879">
        <v>215.07400000000001</v>
      </c>
      <c r="Q879" s="125">
        <v>0</v>
      </c>
      <c r="R879" s="125">
        <v>0</v>
      </c>
      <c r="S879" s="125">
        <v>0.45100000000000001</v>
      </c>
      <c r="T879" s="125">
        <v>10.718</v>
      </c>
      <c r="U879" s="125">
        <v>0.59</v>
      </c>
      <c r="V879" s="125">
        <v>0</v>
      </c>
      <c r="W879" s="125">
        <v>0</v>
      </c>
      <c r="X879" s="125">
        <v>0</v>
      </c>
      <c r="Y879" s="125">
        <v>0</v>
      </c>
      <c r="Z879" s="125">
        <v>0</v>
      </c>
      <c r="AA879" s="125">
        <v>1.0089999999999999</v>
      </c>
      <c r="AB879" s="125">
        <v>20.832999999999998</v>
      </c>
      <c r="AC879" s="125">
        <v>123.1</v>
      </c>
      <c r="AD879" s="125">
        <v>0</v>
      </c>
      <c r="AE879" s="125">
        <v>8.9250000000000007</v>
      </c>
      <c r="AF879" s="125">
        <v>10.7537</v>
      </c>
      <c r="AG879" s="125">
        <v>0</v>
      </c>
      <c r="AH879" s="125">
        <v>0</v>
      </c>
      <c r="AI879" s="121">
        <v>619424</v>
      </c>
      <c r="AJ879" s="121">
        <v>0</v>
      </c>
      <c r="AK879" s="424">
        <v>12</v>
      </c>
      <c r="AL879">
        <v>0</v>
      </c>
      <c r="AM879" s="121">
        <v>41738</v>
      </c>
      <c r="AN879" s="125">
        <v>0</v>
      </c>
      <c r="AO879" s="125">
        <v>0</v>
      </c>
      <c r="AP879" s="121">
        <v>619424</v>
      </c>
      <c r="AQ879" s="114">
        <v>0</v>
      </c>
      <c r="AR879" s="121">
        <v>39.921256253000003</v>
      </c>
      <c r="AS879" s="121">
        <v>7844.6522156999999</v>
      </c>
      <c r="AT879" s="121">
        <v>1033.1371790999999</v>
      </c>
      <c r="AU879" s="420" t="s">
        <v>2001</v>
      </c>
      <c r="AV879" s="420" t="s">
        <v>2001</v>
      </c>
      <c r="AW879" s="121">
        <v>0</v>
      </c>
      <c r="AX879" s="121">
        <v>0</v>
      </c>
      <c r="BI879">
        <v>0</v>
      </c>
      <c r="BJ879" s="121">
        <v>0</v>
      </c>
      <c r="BK879" s="134">
        <v>59718965</v>
      </c>
      <c r="BL879" s="934">
        <v>4465</v>
      </c>
      <c r="BM879" s="934">
        <v>4394</v>
      </c>
      <c r="BN879" s="934">
        <v>4579</v>
      </c>
      <c r="BO879" s="114">
        <v>0</v>
      </c>
      <c r="BP879" s="114">
        <v>0</v>
      </c>
    </row>
    <row r="880" spans="1:68">
      <c r="A880" t="s">
        <v>617</v>
      </c>
      <c r="B880" t="s">
        <v>2935</v>
      </c>
      <c r="C880" s="121">
        <v>4530</v>
      </c>
      <c r="D880" s="72">
        <v>3</v>
      </c>
      <c r="E880">
        <v>274.03300000000002</v>
      </c>
      <c r="F880">
        <v>94</v>
      </c>
      <c r="G880">
        <v>64</v>
      </c>
      <c r="H880">
        <v>21</v>
      </c>
      <c r="I880" s="173">
        <v>1.1599999999999999</v>
      </c>
      <c r="J880" s="121">
        <v>132171157</v>
      </c>
      <c r="K880" s="125">
        <v>1620.9770000000001</v>
      </c>
      <c r="L880" s="173">
        <v>1.45</v>
      </c>
      <c r="M880">
        <v>1.1599999999999999</v>
      </c>
      <c r="N880">
        <v>0.96666667149999996</v>
      </c>
      <c r="O880">
        <v>19.333332849999994</v>
      </c>
      <c r="P880">
        <v>935.7</v>
      </c>
      <c r="Q880" s="125">
        <v>0</v>
      </c>
      <c r="R880" s="125">
        <v>0</v>
      </c>
      <c r="S880" s="125">
        <v>1.5329999999999999</v>
      </c>
      <c r="T880" s="125">
        <v>42.765000000000001</v>
      </c>
      <c r="U880" s="125">
        <v>3.15</v>
      </c>
      <c r="V880" s="125">
        <v>1.3580000000000001</v>
      </c>
      <c r="W880" s="125">
        <v>0</v>
      </c>
      <c r="X880" s="125">
        <v>0</v>
      </c>
      <c r="Y880" s="125">
        <v>0</v>
      </c>
      <c r="Z880" s="125">
        <v>0</v>
      </c>
      <c r="AA880" s="125">
        <v>0.85</v>
      </c>
      <c r="AB880" s="125">
        <v>51</v>
      </c>
      <c r="AC880" s="125">
        <v>705</v>
      </c>
      <c r="AD880" s="125">
        <v>1.0680000000000001</v>
      </c>
      <c r="AE880" s="125">
        <v>34</v>
      </c>
      <c r="AF880" s="125">
        <v>46.784999999999997</v>
      </c>
      <c r="AG880" s="125">
        <v>0</v>
      </c>
      <c r="AH880" s="125">
        <v>0</v>
      </c>
      <c r="AI880" s="121">
        <v>1561549</v>
      </c>
      <c r="AJ880" s="121">
        <v>0</v>
      </c>
      <c r="AK880" s="424">
        <v>12</v>
      </c>
      <c r="AL880">
        <v>0</v>
      </c>
      <c r="AM880" s="121">
        <v>74495</v>
      </c>
      <c r="AN880" s="125">
        <v>0</v>
      </c>
      <c r="AO880" s="125">
        <v>1</v>
      </c>
      <c r="AP880" s="121">
        <v>1561549</v>
      </c>
      <c r="AQ880" s="114">
        <v>0</v>
      </c>
      <c r="AR880" s="121">
        <v>88.099940012999994</v>
      </c>
      <c r="AS880" s="121">
        <v>17311.914867</v>
      </c>
      <c r="AT880" s="121">
        <v>2279.9714248999999</v>
      </c>
      <c r="AU880" s="420" t="s">
        <v>2001</v>
      </c>
      <c r="AV880" s="420" t="s">
        <v>2001</v>
      </c>
      <c r="AW880" s="121">
        <v>0</v>
      </c>
      <c r="AX880" s="121">
        <v>0</v>
      </c>
      <c r="BI880">
        <v>0</v>
      </c>
      <c r="BJ880" s="121">
        <v>0</v>
      </c>
      <c r="BK880" s="134">
        <v>132171157</v>
      </c>
      <c r="BL880" s="934">
        <v>4498</v>
      </c>
      <c r="BM880" s="934">
        <v>4491</v>
      </c>
      <c r="BN880" s="934">
        <v>4530</v>
      </c>
      <c r="BO880" s="114">
        <v>0</v>
      </c>
      <c r="BP880" s="114">
        <v>0</v>
      </c>
    </row>
    <row r="881" spans="1:68">
      <c r="A881" t="s">
        <v>618</v>
      </c>
      <c r="B881" t="s">
        <v>2936</v>
      </c>
      <c r="C881" s="121">
        <v>4665</v>
      </c>
      <c r="D881" s="72">
        <v>2</v>
      </c>
      <c r="E881">
        <v>69.692999999999998</v>
      </c>
      <c r="F881">
        <v>25</v>
      </c>
      <c r="G881">
        <v>21</v>
      </c>
      <c r="H881">
        <v>2</v>
      </c>
      <c r="I881" s="173">
        <v>1.17</v>
      </c>
      <c r="J881" s="121">
        <v>50978645</v>
      </c>
      <c r="K881" s="125">
        <v>327.38900000000001</v>
      </c>
      <c r="L881" s="173">
        <v>1.5</v>
      </c>
      <c r="M881">
        <v>1.17</v>
      </c>
      <c r="N881">
        <v>1.000000005</v>
      </c>
      <c r="O881">
        <v>16.999999499999994</v>
      </c>
      <c r="P881">
        <v>178.93199999999999</v>
      </c>
      <c r="Q881" s="125">
        <v>0</v>
      </c>
      <c r="R881" s="125">
        <v>0</v>
      </c>
      <c r="S881" s="125">
        <v>0.32800000000000001</v>
      </c>
      <c r="T881" s="125">
        <v>5.2320000000000002</v>
      </c>
      <c r="U881" s="125">
        <v>0</v>
      </c>
      <c r="V881" s="125">
        <v>0</v>
      </c>
      <c r="W881" s="125">
        <v>0</v>
      </c>
      <c r="X881" s="125">
        <v>0</v>
      </c>
      <c r="Y881" s="125">
        <v>0</v>
      </c>
      <c r="Z881" s="125">
        <v>0</v>
      </c>
      <c r="AA881" s="125">
        <v>0</v>
      </c>
      <c r="AB881" s="125">
        <v>19.356999999999999</v>
      </c>
      <c r="AC881" s="125">
        <v>177.1</v>
      </c>
      <c r="AD881" s="125">
        <v>0</v>
      </c>
      <c r="AE881" s="125">
        <v>6.6689999999999996</v>
      </c>
      <c r="AF881" s="125">
        <v>8.9466000000000001</v>
      </c>
      <c r="AG881" s="125">
        <v>0</v>
      </c>
      <c r="AH881" s="125">
        <v>0</v>
      </c>
      <c r="AI881" s="121">
        <v>587020</v>
      </c>
      <c r="AJ881" s="121">
        <v>3108</v>
      </c>
      <c r="AK881" s="424">
        <v>12</v>
      </c>
      <c r="AL881">
        <v>0</v>
      </c>
      <c r="AM881" s="121">
        <v>26604</v>
      </c>
      <c r="AN881" s="125">
        <v>0</v>
      </c>
      <c r="AO881" s="125">
        <v>0</v>
      </c>
      <c r="AP881" s="121">
        <v>590128</v>
      </c>
      <c r="AQ881" s="114">
        <v>0</v>
      </c>
      <c r="AR881" s="121">
        <v>33.980299940000002</v>
      </c>
      <c r="AS881" s="121">
        <v>6677.2356442999999</v>
      </c>
      <c r="AT881" s="121">
        <v>879.38894012000003</v>
      </c>
      <c r="AU881" s="420" t="s">
        <v>2001</v>
      </c>
      <c r="AV881" s="420" t="s">
        <v>2001</v>
      </c>
      <c r="AW881" s="121">
        <v>0</v>
      </c>
      <c r="AX881" s="121">
        <v>0</v>
      </c>
      <c r="BI881">
        <v>0</v>
      </c>
      <c r="BJ881" s="121">
        <v>0</v>
      </c>
      <c r="BK881" s="134">
        <v>49261282</v>
      </c>
      <c r="BL881" s="934">
        <v>4635</v>
      </c>
      <c r="BM881" s="934">
        <v>4665</v>
      </c>
      <c r="BN881" s="934">
        <v>4665</v>
      </c>
      <c r="BO881" s="114">
        <v>0</v>
      </c>
      <c r="BP881" s="114">
        <v>0</v>
      </c>
    </row>
    <row r="882" spans="1:68">
      <c r="A882" t="s">
        <v>2621</v>
      </c>
      <c r="B882" t="s">
        <v>2775</v>
      </c>
      <c r="C882" s="121">
        <v>4627</v>
      </c>
      <c r="D882" s="72">
        <v>2</v>
      </c>
      <c r="E882">
        <v>15570.902</v>
      </c>
      <c r="F882">
        <v>4501</v>
      </c>
      <c r="G882">
        <v>3301</v>
      </c>
      <c r="H882">
        <v>17</v>
      </c>
      <c r="I882" s="173">
        <v>1.04</v>
      </c>
      <c r="J882" s="121">
        <v>19964208623</v>
      </c>
      <c r="K882" s="125">
        <v>74249.501999999993</v>
      </c>
      <c r="L882" s="173">
        <v>1.5</v>
      </c>
      <c r="M882">
        <v>1.04</v>
      </c>
      <c r="N882">
        <v>1.000000005</v>
      </c>
      <c r="O882">
        <v>3.9999995000000066</v>
      </c>
      <c r="P882">
        <v>57156.182000000001</v>
      </c>
      <c r="Q882" s="125">
        <v>0.56399999999999995</v>
      </c>
      <c r="R882" s="125">
        <v>0</v>
      </c>
      <c r="S882" s="125">
        <v>97.561999999999998</v>
      </c>
      <c r="T882" s="125">
        <v>1325.134</v>
      </c>
      <c r="U882" s="125">
        <v>333.10700000000003</v>
      </c>
      <c r="V882" s="125">
        <v>0</v>
      </c>
      <c r="W882" s="125">
        <v>16.088000000000001</v>
      </c>
      <c r="X882" s="125">
        <v>0</v>
      </c>
      <c r="Y882" s="125">
        <v>0</v>
      </c>
      <c r="Z882" s="125">
        <v>43.502000000000002</v>
      </c>
      <c r="AA882" s="125">
        <v>248.57300000000001</v>
      </c>
      <c r="AB882" s="125">
        <v>2202.3829999999998</v>
      </c>
      <c r="AC882" s="125">
        <v>35729</v>
      </c>
      <c r="AD882" s="125">
        <v>24.56</v>
      </c>
      <c r="AE882" s="125">
        <v>11274.251</v>
      </c>
      <c r="AF882" s="125">
        <v>2857.8090000000002</v>
      </c>
      <c r="AG882" s="125">
        <v>0</v>
      </c>
      <c r="AH882" s="125">
        <v>0</v>
      </c>
      <c r="AI882" s="121">
        <v>212879449</v>
      </c>
      <c r="AJ882" s="121">
        <v>44835023</v>
      </c>
      <c r="AK882" s="424">
        <v>12</v>
      </c>
      <c r="AL882">
        <v>0</v>
      </c>
      <c r="AM882" s="121">
        <v>2804780</v>
      </c>
      <c r="AN882" s="125">
        <v>7.2510000000000003</v>
      </c>
      <c r="AO882" s="125">
        <v>0</v>
      </c>
      <c r="AP882" s="121">
        <v>257714472</v>
      </c>
      <c r="AQ882" s="114">
        <v>0</v>
      </c>
      <c r="AR882" s="121">
        <v>13307.332871000001</v>
      </c>
      <c r="AS882" s="121">
        <v>2614932.6973000001</v>
      </c>
      <c r="AT882" s="121">
        <v>344385.46363000001</v>
      </c>
      <c r="AU882" s="420" t="s">
        <v>2001</v>
      </c>
      <c r="AV882" s="420" t="s">
        <v>2001</v>
      </c>
      <c r="AW882" s="121">
        <v>0</v>
      </c>
      <c r="AX882" s="121">
        <v>49487316</v>
      </c>
      <c r="BI882">
        <v>0</v>
      </c>
      <c r="BJ882" s="121">
        <v>0</v>
      </c>
      <c r="BK882" s="134">
        <v>19653292823</v>
      </c>
      <c r="BL882" s="934">
        <v>4562</v>
      </c>
      <c r="BM882" s="934">
        <v>4627</v>
      </c>
      <c r="BN882" s="934">
        <v>4627</v>
      </c>
      <c r="BO882" s="114">
        <v>0</v>
      </c>
      <c r="BP882" s="114">
        <v>0</v>
      </c>
    </row>
    <row r="883" spans="1:68">
      <c r="A883" t="s">
        <v>985</v>
      </c>
      <c r="B883" t="s">
        <v>901</v>
      </c>
      <c r="C883" s="121">
        <v>4588</v>
      </c>
      <c r="D883" s="72">
        <v>3</v>
      </c>
      <c r="E883">
        <v>5985.9530000000004</v>
      </c>
      <c r="F883">
        <v>1576</v>
      </c>
      <c r="G883">
        <v>1047</v>
      </c>
      <c r="H883">
        <v>7</v>
      </c>
      <c r="I883" s="173">
        <v>1.04</v>
      </c>
      <c r="J883" s="121">
        <v>6954481780</v>
      </c>
      <c r="K883" s="125">
        <v>27550.614000000001</v>
      </c>
      <c r="L883" s="173">
        <v>1.4650000000000001</v>
      </c>
      <c r="M883">
        <v>1.04</v>
      </c>
      <c r="N883">
        <v>0.97666667155000009</v>
      </c>
      <c r="O883">
        <v>6.3333328449999948</v>
      </c>
      <c r="P883">
        <v>21168.938999999998</v>
      </c>
      <c r="Q883" s="125">
        <v>0.39900000000000002</v>
      </c>
      <c r="R883" s="125">
        <v>0</v>
      </c>
      <c r="S883" s="125">
        <v>45.904000000000003</v>
      </c>
      <c r="T883" s="125">
        <v>582.51800000000003</v>
      </c>
      <c r="U883" s="125">
        <v>199.89</v>
      </c>
      <c r="V883" s="125">
        <v>0</v>
      </c>
      <c r="W883" s="125">
        <v>14.728999999999999</v>
      </c>
      <c r="X883" s="125">
        <v>0</v>
      </c>
      <c r="Y883" s="125">
        <v>0</v>
      </c>
      <c r="Z883" s="125">
        <v>4.7329999999999997</v>
      </c>
      <c r="AA883" s="125">
        <v>405.048</v>
      </c>
      <c r="AB883" s="125">
        <v>791.26800000000003</v>
      </c>
      <c r="AC883" s="125">
        <v>10845.7</v>
      </c>
      <c r="AD883" s="125">
        <v>7.984</v>
      </c>
      <c r="AE883" s="125">
        <v>2567.029</v>
      </c>
      <c r="AF883" s="125">
        <v>1058.44695</v>
      </c>
      <c r="AG883" s="125">
        <v>0</v>
      </c>
      <c r="AH883" s="125">
        <v>0</v>
      </c>
      <c r="AI883" s="121">
        <v>74111324</v>
      </c>
      <c r="AJ883" s="121">
        <v>14605246</v>
      </c>
      <c r="AK883" s="424">
        <v>12</v>
      </c>
      <c r="AL883">
        <v>0</v>
      </c>
      <c r="AM883" s="121">
        <v>698969</v>
      </c>
      <c r="AN883" s="125">
        <v>3.1659999999999999</v>
      </c>
      <c r="AO883" s="125">
        <v>0</v>
      </c>
      <c r="AP883" s="121">
        <v>88716570</v>
      </c>
      <c r="AQ883" s="114">
        <v>0</v>
      </c>
      <c r="AR883" s="121">
        <v>4635.5758814000001</v>
      </c>
      <c r="AS883" s="121">
        <v>910905.21748999995</v>
      </c>
      <c r="AT883" s="121">
        <v>119965.80867</v>
      </c>
      <c r="AU883" s="420" t="s">
        <v>2001</v>
      </c>
      <c r="AV883" s="420" t="s">
        <v>2001</v>
      </c>
      <c r="AW883" s="121">
        <v>0</v>
      </c>
      <c r="AX883" s="121">
        <v>24643879</v>
      </c>
      <c r="BI883">
        <v>0</v>
      </c>
      <c r="BJ883" s="121">
        <v>0</v>
      </c>
      <c r="BK883" s="134">
        <v>6845303942</v>
      </c>
      <c r="BL883" s="934">
        <v>4555</v>
      </c>
      <c r="BM883" s="934">
        <v>4504</v>
      </c>
      <c r="BN883" s="934">
        <v>4588</v>
      </c>
      <c r="BO883" s="114">
        <v>0</v>
      </c>
      <c r="BP883" s="114">
        <v>0</v>
      </c>
    </row>
    <row r="884" spans="1:68">
      <c r="A884" t="s">
        <v>2111</v>
      </c>
      <c r="B884" t="s">
        <v>2937</v>
      </c>
      <c r="C884" s="121">
        <v>4628</v>
      </c>
      <c r="D884" s="72">
        <v>2</v>
      </c>
      <c r="E884">
        <v>1058.9359999999999</v>
      </c>
      <c r="F884">
        <v>0</v>
      </c>
      <c r="G884">
        <v>0</v>
      </c>
      <c r="H884">
        <v>0</v>
      </c>
      <c r="I884" s="173">
        <v>1.04</v>
      </c>
      <c r="J884" s="121">
        <v>992309654</v>
      </c>
      <c r="K884" s="125">
        <v>6156.9269999999997</v>
      </c>
      <c r="L884" s="173">
        <v>1.5</v>
      </c>
      <c r="M884">
        <v>1.04</v>
      </c>
      <c r="N884">
        <v>1.000000005</v>
      </c>
      <c r="O884">
        <v>3.9999995000000066</v>
      </c>
      <c r="P884">
        <v>4567</v>
      </c>
      <c r="Q884" s="125">
        <v>0.16700000000000001</v>
      </c>
      <c r="R884" s="125">
        <v>0</v>
      </c>
      <c r="S884" s="125">
        <v>4.1280000000000001</v>
      </c>
      <c r="T884" s="125">
        <v>73.381</v>
      </c>
      <c r="U884" s="125">
        <v>67.662999999999997</v>
      </c>
      <c r="V884" s="125">
        <v>0</v>
      </c>
      <c r="W884" s="125">
        <v>1.833</v>
      </c>
      <c r="X884" s="125">
        <v>0</v>
      </c>
      <c r="Y884" s="125">
        <v>0</v>
      </c>
      <c r="Z884" s="125">
        <v>3.6669999999999998</v>
      </c>
      <c r="AA884" s="125">
        <v>93.721000000000004</v>
      </c>
      <c r="AB884" s="125">
        <v>137.148</v>
      </c>
      <c r="AC884" s="125">
        <v>3330</v>
      </c>
      <c r="AD884" s="125">
        <v>4.13</v>
      </c>
      <c r="AE884" s="125">
        <v>862</v>
      </c>
      <c r="AF884" s="125">
        <v>228.35</v>
      </c>
      <c r="AG884" s="125">
        <v>0</v>
      </c>
      <c r="AH884" s="125">
        <v>0</v>
      </c>
      <c r="AI884" s="121">
        <v>10510941</v>
      </c>
      <c r="AJ884" s="121">
        <v>786152</v>
      </c>
      <c r="AK884" s="424">
        <v>12</v>
      </c>
      <c r="AL884">
        <v>0</v>
      </c>
      <c r="AM884" s="121">
        <v>201125</v>
      </c>
      <c r="AN884" s="125">
        <v>0</v>
      </c>
      <c r="AO884" s="125">
        <v>0</v>
      </c>
      <c r="AP884" s="121">
        <v>11297093</v>
      </c>
      <c r="AQ884" s="114">
        <v>0</v>
      </c>
      <c r="AR884" s="121">
        <v>661.43342447999999</v>
      </c>
      <c r="AS884" s="121">
        <v>129973.74496</v>
      </c>
      <c r="AT884" s="121">
        <v>17117.483929000002</v>
      </c>
      <c r="AU884" s="420" t="s">
        <v>2001</v>
      </c>
      <c r="AV884" s="420" t="s">
        <v>2001</v>
      </c>
      <c r="AW884" s="121">
        <v>0</v>
      </c>
      <c r="AX884" s="121">
        <v>2429020</v>
      </c>
      <c r="BI884">
        <v>0</v>
      </c>
      <c r="BJ884" s="121">
        <v>0</v>
      </c>
      <c r="BK884" s="134">
        <v>992309654</v>
      </c>
      <c r="BL884" s="934">
        <v>4608</v>
      </c>
      <c r="BM884" s="934">
        <v>4628</v>
      </c>
      <c r="BN884" s="934">
        <v>4628</v>
      </c>
      <c r="BO884" s="114">
        <v>0</v>
      </c>
      <c r="BP884" s="114">
        <v>0</v>
      </c>
    </row>
    <row r="885" spans="1:68">
      <c r="A885" t="s">
        <v>2297</v>
      </c>
      <c r="B885" t="s">
        <v>1453</v>
      </c>
      <c r="C885" s="121">
        <v>4798</v>
      </c>
      <c r="D885" s="72">
        <v>2</v>
      </c>
      <c r="E885">
        <v>17502.383999999998</v>
      </c>
      <c r="F885">
        <v>5332</v>
      </c>
      <c r="G885">
        <v>3777</v>
      </c>
      <c r="H885">
        <v>725</v>
      </c>
      <c r="I885" s="173">
        <v>1.04</v>
      </c>
      <c r="J885" s="121">
        <v>22791455991</v>
      </c>
      <c r="K885" s="125">
        <v>100846.284</v>
      </c>
      <c r="L885" s="173">
        <v>1.5</v>
      </c>
      <c r="M885">
        <v>1.04</v>
      </c>
      <c r="N885">
        <v>1.000000005</v>
      </c>
      <c r="O885">
        <v>3.9999995000000066</v>
      </c>
      <c r="P885">
        <v>73114.040999999997</v>
      </c>
      <c r="Q885" s="125">
        <v>6.0419999999999998</v>
      </c>
      <c r="R885" s="125">
        <v>5.8090000000000002</v>
      </c>
      <c r="S885" s="125">
        <v>96.787999999999997</v>
      </c>
      <c r="T885" s="125">
        <v>1949.319</v>
      </c>
      <c r="U885" s="125">
        <v>508.745</v>
      </c>
      <c r="V885" s="125">
        <v>102.935</v>
      </c>
      <c r="W885" s="125">
        <v>43.679000000000002</v>
      </c>
      <c r="X885" s="125">
        <v>0</v>
      </c>
      <c r="Y885" s="125">
        <v>0</v>
      </c>
      <c r="Z885" s="125">
        <v>31.117000000000001</v>
      </c>
      <c r="AA885" s="125">
        <v>275.12200000000001</v>
      </c>
      <c r="AB885" s="125">
        <v>2622.4850000000001</v>
      </c>
      <c r="AC885" s="125">
        <v>67073.2</v>
      </c>
      <c r="AD885" s="125">
        <v>56.972000000000001</v>
      </c>
      <c r="AE885" s="125">
        <v>20843.64</v>
      </c>
      <c r="AF885" s="125">
        <v>3655.7020000000002</v>
      </c>
      <c r="AG885" s="125">
        <v>0</v>
      </c>
      <c r="AH885" s="125">
        <v>0</v>
      </c>
      <c r="AI885" s="121">
        <v>251093328</v>
      </c>
      <c r="AJ885" s="121">
        <v>30579156</v>
      </c>
      <c r="AK885" s="424">
        <v>12</v>
      </c>
      <c r="AL885">
        <v>0</v>
      </c>
      <c r="AM885" s="121">
        <v>3753765</v>
      </c>
      <c r="AN885" s="125">
        <v>5</v>
      </c>
      <c r="AO885" s="125">
        <v>1</v>
      </c>
      <c r="AP885" s="121">
        <v>281672484</v>
      </c>
      <c r="AQ885" s="114">
        <v>0</v>
      </c>
      <c r="AR885" s="121">
        <v>15191.861456000001</v>
      </c>
      <c r="AS885" s="121">
        <v>2985248.4821000001</v>
      </c>
      <c r="AT885" s="121">
        <v>393155.88643000001</v>
      </c>
      <c r="AU885" s="420" t="s">
        <v>2001</v>
      </c>
      <c r="AV885" s="420" t="s">
        <v>2001</v>
      </c>
      <c r="AW885" s="121">
        <v>0</v>
      </c>
      <c r="AX885" s="121">
        <v>36484135</v>
      </c>
      <c r="BI885">
        <v>0</v>
      </c>
      <c r="BJ885" s="121">
        <v>0</v>
      </c>
      <c r="BK885" s="134">
        <v>22791455991</v>
      </c>
      <c r="BL885" s="934">
        <v>4680</v>
      </c>
      <c r="BM885" s="934">
        <v>4798</v>
      </c>
      <c r="BN885" s="934">
        <v>4790</v>
      </c>
      <c r="BO885" s="114">
        <v>0</v>
      </c>
      <c r="BP885" s="114">
        <v>0</v>
      </c>
    </row>
    <row r="886" spans="1:68">
      <c r="A886" t="s">
        <v>2497</v>
      </c>
      <c r="B886" t="s">
        <v>1454</v>
      </c>
      <c r="C886" s="121">
        <v>5270</v>
      </c>
      <c r="D886" s="72">
        <v>3</v>
      </c>
      <c r="E886">
        <v>4369.241</v>
      </c>
      <c r="F886">
        <v>1021</v>
      </c>
      <c r="G886">
        <v>482</v>
      </c>
      <c r="H886">
        <v>120</v>
      </c>
      <c r="I886" s="173">
        <v>1.04</v>
      </c>
      <c r="J886" s="121">
        <v>9218236106</v>
      </c>
      <c r="K886" s="125">
        <v>15630.799000000001</v>
      </c>
      <c r="L886" s="173">
        <v>1.4710000000000001</v>
      </c>
      <c r="M886">
        <v>1.04</v>
      </c>
      <c r="N886">
        <v>0.98066667157000009</v>
      </c>
      <c r="O886">
        <v>5.9333328429999943</v>
      </c>
      <c r="P886">
        <v>13444</v>
      </c>
      <c r="Q886" s="125">
        <v>0.628</v>
      </c>
      <c r="R886" s="125">
        <v>0</v>
      </c>
      <c r="S886" s="125">
        <v>14.5</v>
      </c>
      <c r="T886" s="125">
        <v>220</v>
      </c>
      <c r="U886" s="125">
        <v>52</v>
      </c>
      <c r="V886" s="125">
        <v>0</v>
      </c>
      <c r="W886" s="125">
        <v>5.5</v>
      </c>
      <c r="X886" s="125">
        <v>0</v>
      </c>
      <c r="Y886" s="125">
        <v>0</v>
      </c>
      <c r="Z886" s="125">
        <v>0.66500000000000004</v>
      </c>
      <c r="AA886" s="125">
        <v>218</v>
      </c>
      <c r="AB886" s="125">
        <v>377</v>
      </c>
      <c r="AC886" s="125">
        <v>1833</v>
      </c>
      <c r="AD886" s="125">
        <v>0</v>
      </c>
      <c r="AE886" s="125">
        <v>685</v>
      </c>
      <c r="AF886" s="125">
        <v>640</v>
      </c>
      <c r="AG886" s="125">
        <v>0</v>
      </c>
      <c r="AH886" s="125">
        <v>0</v>
      </c>
      <c r="AI886" s="121">
        <v>101326182</v>
      </c>
      <c r="AJ886" s="121">
        <v>22562584</v>
      </c>
      <c r="AK886" s="424">
        <v>12</v>
      </c>
      <c r="AL886">
        <v>0</v>
      </c>
      <c r="AM886" s="121">
        <v>342068</v>
      </c>
      <c r="AN886" s="125">
        <v>2</v>
      </c>
      <c r="AO886" s="125">
        <v>0</v>
      </c>
      <c r="AP886" s="121">
        <v>123888766</v>
      </c>
      <c r="AQ886" s="114">
        <v>0</v>
      </c>
      <c r="AR886" s="121">
        <v>0</v>
      </c>
      <c r="AS886" s="121">
        <v>0</v>
      </c>
      <c r="AT886" s="121">
        <v>0</v>
      </c>
      <c r="AU886" s="420" t="s">
        <v>798</v>
      </c>
      <c r="AV886" s="420" t="s">
        <v>2001</v>
      </c>
      <c r="AW886" s="121">
        <v>0</v>
      </c>
      <c r="AX886" s="121">
        <v>23193445</v>
      </c>
      <c r="AY886" s="134">
        <v>6885776</v>
      </c>
      <c r="AZ886" s="134">
        <v>26394237</v>
      </c>
      <c r="BA886" s="134">
        <v>11161</v>
      </c>
      <c r="BB886" s="134">
        <v>3615945336</v>
      </c>
      <c r="BC886" s="114">
        <v>0</v>
      </c>
      <c r="BD886" s="114">
        <v>0</v>
      </c>
      <c r="BE886" s="114">
        <v>0</v>
      </c>
      <c r="BF886" s="134">
        <v>13892</v>
      </c>
      <c r="BG886" s="114">
        <v>0</v>
      </c>
      <c r="BH886" s="114">
        <v>0</v>
      </c>
      <c r="BI886">
        <v>0</v>
      </c>
      <c r="BJ886" s="121">
        <v>36660</v>
      </c>
      <c r="BK886" s="134">
        <v>9155111126</v>
      </c>
      <c r="BL886" s="934">
        <v>4999</v>
      </c>
      <c r="BM886" s="934">
        <v>5187</v>
      </c>
      <c r="BN886" s="934">
        <v>5270</v>
      </c>
      <c r="BO886" s="114">
        <v>0</v>
      </c>
      <c r="BP886" s="114">
        <v>0</v>
      </c>
    </row>
    <row r="887" spans="1:68">
      <c r="A887" t="s">
        <v>57</v>
      </c>
      <c r="B887" t="s">
        <v>452</v>
      </c>
      <c r="C887" s="121">
        <v>4823</v>
      </c>
      <c r="D887" s="72">
        <v>3</v>
      </c>
      <c r="E887">
        <v>7474.1120000000001</v>
      </c>
      <c r="F887">
        <v>1933</v>
      </c>
      <c r="G887">
        <v>1207</v>
      </c>
      <c r="H887">
        <v>210</v>
      </c>
      <c r="I887" s="173">
        <v>1.04</v>
      </c>
      <c r="J887" s="121">
        <v>9310432276</v>
      </c>
      <c r="K887" s="125">
        <v>34568.243999999999</v>
      </c>
      <c r="L887" s="173">
        <v>1.4336</v>
      </c>
      <c r="M887">
        <v>1.04</v>
      </c>
      <c r="N887">
        <v>0.95573333811200001</v>
      </c>
      <c r="O887">
        <v>8.4266661888000023</v>
      </c>
      <c r="P887">
        <v>29912.891</v>
      </c>
      <c r="Q887" s="125">
        <v>0.20599999999999999</v>
      </c>
      <c r="R887" s="125">
        <v>0</v>
      </c>
      <c r="S887" s="125">
        <v>41.948999999999998</v>
      </c>
      <c r="T887" s="125">
        <v>345.68</v>
      </c>
      <c r="U887" s="125">
        <v>227.46799999999999</v>
      </c>
      <c r="V887" s="125">
        <v>0</v>
      </c>
      <c r="W887" s="125">
        <v>4.4560000000000004</v>
      </c>
      <c r="X887" s="125">
        <v>0</v>
      </c>
      <c r="Y887" s="125">
        <v>0</v>
      </c>
      <c r="Z887" s="125">
        <v>0</v>
      </c>
      <c r="AA887" s="125">
        <v>505.97</v>
      </c>
      <c r="AB887" s="125">
        <v>745.21699999999998</v>
      </c>
      <c r="AC887" s="125">
        <v>3608.6</v>
      </c>
      <c r="AD887" s="125">
        <v>3.359</v>
      </c>
      <c r="AE887" s="125">
        <v>847.82799999999997</v>
      </c>
      <c r="AF887" s="125">
        <v>1495.64455</v>
      </c>
      <c r="AG887" s="125">
        <v>0</v>
      </c>
      <c r="AH887" s="125">
        <v>0</v>
      </c>
      <c r="AI887" s="121">
        <v>102799492</v>
      </c>
      <c r="AJ887" s="121">
        <v>24856614</v>
      </c>
      <c r="AK887" s="424">
        <v>12</v>
      </c>
      <c r="AL887">
        <v>0</v>
      </c>
      <c r="AM887" s="121">
        <v>928414</v>
      </c>
      <c r="AN887" s="125">
        <v>0</v>
      </c>
      <c r="AO887" s="125">
        <v>0</v>
      </c>
      <c r="AP887" s="121">
        <v>127656106</v>
      </c>
      <c r="AQ887" s="114">
        <v>0</v>
      </c>
      <c r="AR887" s="121">
        <v>6205.9570606999996</v>
      </c>
      <c r="AS887" s="121">
        <v>1219490.0506</v>
      </c>
      <c r="AT887" s="121">
        <v>160606.29281000001</v>
      </c>
      <c r="AU887" s="420" t="s">
        <v>2001</v>
      </c>
      <c r="AV887" s="420" t="s">
        <v>2001</v>
      </c>
      <c r="AW887" s="121">
        <v>0</v>
      </c>
      <c r="AX887" s="121">
        <v>42200053</v>
      </c>
      <c r="BI887">
        <v>0</v>
      </c>
      <c r="BJ887" s="121">
        <v>0</v>
      </c>
      <c r="BK887" s="134">
        <v>9310432276</v>
      </c>
      <c r="BL887" s="934">
        <v>4733</v>
      </c>
      <c r="BM887" s="934">
        <v>4813</v>
      </c>
      <c r="BN887" s="934">
        <v>4823</v>
      </c>
      <c r="BO887" s="114">
        <v>0</v>
      </c>
      <c r="BP887" s="114">
        <v>0</v>
      </c>
    </row>
    <row r="888" spans="1:68">
      <c r="A888" t="s">
        <v>379</v>
      </c>
      <c r="B888" t="s">
        <v>321</v>
      </c>
      <c r="C888" s="121">
        <v>4736</v>
      </c>
      <c r="D888" s="72">
        <v>3</v>
      </c>
      <c r="E888">
        <v>7750.3109999999997</v>
      </c>
      <c r="F888">
        <v>1966</v>
      </c>
      <c r="G888">
        <v>1317</v>
      </c>
      <c r="H888">
        <v>99</v>
      </c>
      <c r="I888" s="173">
        <v>1.04</v>
      </c>
      <c r="J888" s="121">
        <v>7750749043</v>
      </c>
      <c r="K888" s="125">
        <v>39600.43</v>
      </c>
      <c r="L888" s="173">
        <v>1.407</v>
      </c>
      <c r="M888">
        <v>1.04</v>
      </c>
      <c r="N888">
        <v>0.93800000469</v>
      </c>
      <c r="O888">
        <v>10.199999531000003</v>
      </c>
      <c r="P888">
        <v>32301.705000000002</v>
      </c>
      <c r="Q888" s="125">
        <v>0.66700000000000004</v>
      </c>
      <c r="R888" s="125">
        <v>0</v>
      </c>
      <c r="S888" s="125">
        <v>47.432000000000002</v>
      </c>
      <c r="T888" s="125">
        <v>606.43700000000001</v>
      </c>
      <c r="U888" s="125">
        <v>298.077</v>
      </c>
      <c r="V888" s="125">
        <v>0</v>
      </c>
      <c r="W888" s="125">
        <v>24.233000000000001</v>
      </c>
      <c r="X888" s="125">
        <v>0</v>
      </c>
      <c r="Y888" s="125">
        <v>0</v>
      </c>
      <c r="Z888" s="125">
        <v>53.033999999999999</v>
      </c>
      <c r="AA888" s="125">
        <v>481.08600000000001</v>
      </c>
      <c r="AB888" s="125">
        <v>1332</v>
      </c>
      <c r="AC888" s="125">
        <v>9364</v>
      </c>
      <c r="AD888" s="125">
        <v>2.93</v>
      </c>
      <c r="AE888" s="125">
        <v>2922</v>
      </c>
      <c r="AF888" s="125">
        <v>1615.085</v>
      </c>
      <c r="AG888" s="125">
        <v>0</v>
      </c>
      <c r="AH888" s="125">
        <v>0</v>
      </c>
      <c r="AI888" s="121">
        <v>86330943</v>
      </c>
      <c r="AJ888" s="121">
        <v>27546810</v>
      </c>
      <c r="AK888" s="424">
        <v>12</v>
      </c>
      <c r="AL888">
        <v>0</v>
      </c>
      <c r="AM888" s="121">
        <v>2076545</v>
      </c>
      <c r="AN888" s="125">
        <v>2</v>
      </c>
      <c r="AO888" s="125">
        <v>0</v>
      </c>
      <c r="AP888" s="121">
        <v>113877753</v>
      </c>
      <c r="AQ888" s="114">
        <v>0</v>
      </c>
      <c r="AR888" s="121">
        <v>5166.3353884999997</v>
      </c>
      <c r="AS888" s="121">
        <v>1015201.1273000001</v>
      </c>
      <c r="AT888" s="121">
        <v>133701.53323</v>
      </c>
      <c r="AU888" s="420" t="s">
        <v>2001</v>
      </c>
      <c r="AV888" s="420" t="s">
        <v>2001</v>
      </c>
      <c r="AW888" s="121">
        <v>0</v>
      </c>
      <c r="AX888" s="121">
        <v>43804858</v>
      </c>
      <c r="BI888">
        <v>0</v>
      </c>
      <c r="BJ888" s="121">
        <v>0</v>
      </c>
      <c r="BK888" s="134">
        <v>7750749043</v>
      </c>
      <c r="BL888" s="934">
        <v>4678</v>
      </c>
      <c r="BM888" s="934">
        <v>4723</v>
      </c>
      <c r="BN888" s="934">
        <v>4736</v>
      </c>
      <c r="BO888" s="114">
        <v>0</v>
      </c>
      <c r="BP888" s="114">
        <v>0</v>
      </c>
    </row>
    <row r="889" spans="1:68">
      <c r="A889" t="s">
        <v>1986</v>
      </c>
      <c r="B889" t="s">
        <v>2624</v>
      </c>
      <c r="C889" s="121">
        <v>5009</v>
      </c>
      <c r="D889" s="72">
        <v>2</v>
      </c>
      <c r="E889">
        <v>572.32799999999997</v>
      </c>
      <c r="F889">
        <v>250</v>
      </c>
      <c r="G889">
        <v>170</v>
      </c>
      <c r="H889">
        <v>4</v>
      </c>
      <c r="I889" s="173">
        <v>1.04</v>
      </c>
      <c r="J889" s="121">
        <v>732371515</v>
      </c>
      <c r="K889" s="125">
        <v>3915.94</v>
      </c>
      <c r="L889" s="173">
        <v>1.5</v>
      </c>
      <c r="M889">
        <v>1.04</v>
      </c>
      <c r="N889">
        <v>1.000000005</v>
      </c>
      <c r="O889">
        <v>3.9999995000000066</v>
      </c>
      <c r="P889">
        <v>2767.3690000000001</v>
      </c>
      <c r="Q889" s="125">
        <v>4.2000000000000003E-2</v>
      </c>
      <c r="R889" s="125">
        <v>0</v>
      </c>
      <c r="S889" s="125">
        <v>5.9020000000000001</v>
      </c>
      <c r="T889" s="125">
        <v>70.489000000000004</v>
      </c>
      <c r="U889" s="125">
        <v>14.545999999999999</v>
      </c>
      <c r="V889" s="125">
        <v>0</v>
      </c>
      <c r="W889" s="125">
        <v>0</v>
      </c>
      <c r="X889" s="125">
        <v>0</v>
      </c>
      <c r="Y889" s="125">
        <v>0</v>
      </c>
      <c r="Z889" s="125">
        <v>2.0499999999999998</v>
      </c>
      <c r="AA889" s="125">
        <v>38.134</v>
      </c>
      <c r="AB889" s="125">
        <v>70.489000000000004</v>
      </c>
      <c r="AC889" s="125">
        <v>2421.1</v>
      </c>
      <c r="AD889" s="125">
        <v>1.9950000000000001</v>
      </c>
      <c r="AE889" s="125">
        <v>408.33499999999998</v>
      </c>
      <c r="AF889" s="125">
        <v>136.85</v>
      </c>
      <c r="AG889" s="125">
        <v>0</v>
      </c>
      <c r="AH889" s="125">
        <v>0</v>
      </c>
      <c r="AI889" s="121">
        <v>8006247</v>
      </c>
      <c r="AJ889" s="121">
        <v>2493467</v>
      </c>
      <c r="AK889" s="424">
        <v>12</v>
      </c>
      <c r="AL889">
        <v>0</v>
      </c>
      <c r="AM889" s="121">
        <v>135552</v>
      </c>
      <c r="AN889" s="125">
        <v>0</v>
      </c>
      <c r="AO889" s="125">
        <v>1</v>
      </c>
      <c r="AP889" s="121">
        <v>10499714</v>
      </c>
      <c r="AQ889" s="114">
        <v>0</v>
      </c>
      <c r="AR889" s="121">
        <v>488.16918913000001</v>
      </c>
      <c r="AS889" s="121">
        <v>95926.778628999993</v>
      </c>
      <c r="AT889" s="121">
        <v>12633.513729</v>
      </c>
      <c r="AU889" s="420" t="s">
        <v>2001</v>
      </c>
      <c r="AV889" s="420" t="s">
        <v>2001</v>
      </c>
      <c r="AW889" s="121">
        <v>0</v>
      </c>
      <c r="AX889" s="121">
        <v>4464019</v>
      </c>
      <c r="BI889">
        <v>0</v>
      </c>
      <c r="BJ889" s="121">
        <v>0</v>
      </c>
      <c r="BK889" s="134">
        <v>732371515</v>
      </c>
      <c r="BL889" s="934">
        <v>4632</v>
      </c>
      <c r="BM889" s="934">
        <v>5009</v>
      </c>
      <c r="BN889" s="934">
        <v>4674</v>
      </c>
      <c r="BO889" s="114">
        <v>0</v>
      </c>
      <c r="BP889" s="114">
        <v>0</v>
      </c>
    </row>
    <row r="890" spans="1:68">
      <c r="A890" t="s">
        <v>2759</v>
      </c>
      <c r="B890" t="s">
        <v>459</v>
      </c>
      <c r="C890" s="121">
        <v>4696</v>
      </c>
      <c r="D890" s="72">
        <v>2</v>
      </c>
      <c r="E890">
        <v>3981.62</v>
      </c>
      <c r="F890">
        <v>872</v>
      </c>
      <c r="G890">
        <v>642</v>
      </c>
      <c r="H890">
        <v>56</v>
      </c>
      <c r="I890" s="173">
        <v>1.04</v>
      </c>
      <c r="J890" s="121">
        <v>4498759618</v>
      </c>
      <c r="K890" s="125">
        <v>19456.999</v>
      </c>
      <c r="L890" s="173">
        <v>1.5</v>
      </c>
      <c r="M890">
        <v>1.04</v>
      </c>
      <c r="N890">
        <v>1.000000005</v>
      </c>
      <c r="O890">
        <v>3.9999995000000066</v>
      </c>
      <c r="P890">
        <v>15880.21</v>
      </c>
      <c r="Q890" s="125">
        <v>0.86599999999999999</v>
      </c>
      <c r="R890" s="125">
        <v>0</v>
      </c>
      <c r="S890" s="125">
        <v>27.716000000000001</v>
      </c>
      <c r="T890" s="125">
        <v>419.21100000000001</v>
      </c>
      <c r="U890" s="125">
        <v>145.333</v>
      </c>
      <c r="V890" s="125">
        <v>0</v>
      </c>
      <c r="W890" s="125">
        <v>4.4989999999999997</v>
      </c>
      <c r="X890" s="125">
        <v>0</v>
      </c>
      <c r="Y890" s="125">
        <v>3.1459999999999999</v>
      </c>
      <c r="Z890" s="125">
        <v>42.716000000000001</v>
      </c>
      <c r="AA890" s="125">
        <v>128.18799999999999</v>
      </c>
      <c r="AB890" s="125">
        <v>271.96499999999997</v>
      </c>
      <c r="AC890" s="125">
        <v>4886.1000000000004</v>
      </c>
      <c r="AD890" s="125">
        <v>4.468</v>
      </c>
      <c r="AE890" s="125">
        <v>808.57100000000003</v>
      </c>
      <c r="AF890" s="125">
        <v>794.01</v>
      </c>
      <c r="AG890" s="125">
        <v>0</v>
      </c>
      <c r="AH890" s="125">
        <v>0</v>
      </c>
      <c r="AI890" s="121">
        <v>48635190</v>
      </c>
      <c r="AJ890" s="121">
        <v>11597324</v>
      </c>
      <c r="AK890" s="424">
        <v>12</v>
      </c>
      <c r="AL890">
        <v>0</v>
      </c>
      <c r="AM890" s="121">
        <v>799270</v>
      </c>
      <c r="AN890" s="125">
        <v>1</v>
      </c>
      <c r="AO890" s="125">
        <v>0</v>
      </c>
      <c r="AP890" s="121">
        <v>60232514</v>
      </c>
      <c r="AQ890" s="114">
        <v>0</v>
      </c>
      <c r="AR890" s="121">
        <v>2998.690951</v>
      </c>
      <c r="AS890" s="121">
        <v>589252.18845999998</v>
      </c>
      <c r="AT890" s="121">
        <v>77604.248984999998</v>
      </c>
      <c r="AU890" s="420" t="s">
        <v>2001</v>
      </c>
      <c r="AV890" s="420" t="s">
        <v>2001</v>
      </c>
      <c r="AW890" s="121">
        <v>0</v>
      </c>
      <c r="AX890" s="121">
        <v>14848970</v>
      </c>
      <c r="BI890">
        <v>0</v>
      </c>
      <c r="BJ890" s="121">
        <v>0</v>
      </c>
      <c r="BK890" s="134">
        <v>4498759618</v>
      </c>
      <c r="BL890" s="934">
        <v>4639</v>
      </c>
      <c r="BM890" s="934">
        <v>4696</v>
      </c>
      <c r="BN890" s="934">
        <v>4696</v>
      </c>
      <c r="BO890" s="114">
        <v>0</v>
      </c>
      <c r="BP890" s="114">
        <v>0</v>
      </c>
    </row>
    <row r="891" spans="1:68">
      <c r="A891" t="s">
        <v>59</v>
      </c>
      <c r="B891" t="s">
        <v>2876</v>
      </c>
      <c r="C891" s="121">
        <v>4589</v>
      </c>
      <c r="D891" s="72">
        <v>1</v>
      </c>
      <c r="E891">
        <v>853.86199999999997</v>
      </c>
      <c r="F891">
        <v>224</v>
      </c>
      <c r="G891">
        <v>145</v>
      </c>
      <c r="H891">
        <v>10</v>
      </c>
      <c r="I891" s="173">
        <v>1.04</v>
      </c>
      <c r="J891" s="121">
        <v>909769771</v>
      </c>
      <c r="K891" s="125">
        <v>3664.0010000000002</v>
      </c>
      <c r="L891" s="173">
        <v>1.5</v>
      </c>
      <c r="M891">
        <v>1.04</v>
      </c>
      <c r="N891">
        <v>1.000000005</v>
      </c>
      <c r="O891">
        <v>3.9999995000000066</v>
      </c>
      <c r="P891">
        <v>2844.1170000000002</v>
      </c>
      <c r="Q891" s="125">
        <v>0.13600000000000001</v>
      </c>
      <c r="R891" s="125">
        <v>0</v>
      </c>
      <c r="S891" s="125">
        <v>2.4140000000000001</v>
      </c>
      <c r="T891" s="125">
        <v>93.093999999999994</v>
      </c>
      <c r="U891" s="125">
        <v>9.2520000000000007</v>
      </c>
      <c r="V891" s="125">
        <v>0</v>
      </c>
      <c r="W891" s="125">
        <v>2.073</v>
      </c>
      <c r="X891" s="125">
        <v>0</v>
      </c>
      <c r="Y891" s="125">
        <v>0</v>
      </c>
      <c r="Z891" s="125">
        <v>10.103999999999999</v>
      </c>
      <c r="AA891" s="125">
        <v>7.0339999999999998</v>
      </c>
      <c r="AB891" s="125">
        <v>104.017</v>
      </c>
      <c r="AC891" s="125">
        <v>918.2</v>
      </c>
      <c r="AD891" s="125">
        <v>1.046</v>
      </c>
      <c r="AE891" s="125">
        <v>124.256</v>
      </c>
      <c r="AF891" s="125">
        <v>142.20585</v>
      </c>
      <c r="AG891" s="125">
        <v>0</v>
      </c>
      <c r="AH891" s="125">
        <v>0</v>
      </c>
      <c r="AI891" s="121">
        <v>9735992</v>
      </c>
      <c r="AJ891" s="121">
        <v>2889658</v>
      </c>
      <c r="AK891" s="424">
        <v>12</v>
      </c>
      <c r="AL891">
        <v>0</v>
      </c>
      <c r="AM891" s="121">
        <v>159099</v>
      </c>
      <c r="AN891" s="125">
        <v>0</v>
      </c>
      <c r="AO891" s="125">
        <v>0</v>
      </c>
      <c r="AP891" s="121">
        <v>12625650</v>
      </c>
      <c r="AQ891" s="114">
        <v>0</v>
      </c>
      <c r="AR891" s="121">
        <v>606.41568153000003</v>
      </c>
      <c r="AS891" s="121">
        <v>119162.58571</v>
      </c>
      <c r="AT891" s="121">
        <v>15693.659102</v>
      </c>
      <c r="AU891" s="420" t="s">
        <v>2001</v>
      </c>
      <c r="AV891" s="420" t="s">
        <v>2001</v>
      </c>
      <c r="AW891" s="121">
        <v>0</v>
      </c>
      <c r="AX891" s="121">
        <v>3350678</v>
      </c>
      <c r="BI891">
        <v>0</v>
      </c>
      <c r="BJ891" s="121">
        <v>0</v>
      </c>
      <c r="BK891" s="134">
        <v>909769771</v>
      </c>
      <c r="BL891" s="934">
        <v>4589</v>
      </c>
      <c r="BM891" s="934">
        <v>4551</v>
      </c>
      <c r="BN891" s="934">
        <v>4551</v>
      </c>
      <c r="BO891" s="114">
        <v>0</v>
      </c>
      <c r="BP891" s="114">
        <v>0</v>
      </c>
    </row>
    <row r="892" spans="1:68">
      <c r="A892" t="s">
        <v>1894</v>
      </c>
      <c r="B892" t="s">
        <v>2429</v>
      </c>
      <c r="C892" s="121">
        <v>5109</v>
      </c>
      <c r="D892" s="72">
        <v>2</v>
      </c>
      <c r="E892">
        <v>1584.3589999999999</v>
      </c>
      <c r="F892">
        <v>429</v>
      </c>
      <c r="G892">
        <v>316</v>
      </c>
      <c r="H892">
        <v>42</v>
      </c>
      <c r="I892" s="173">
        <v>1.04</v>
      </c>
      <c r="J892" s="121">
        <v>1873492252</v>
      </c>
      <c r="K892" s="125">
        <v>7006.45</v>
      </c>
      <c r="L892" s="173">
        <v>1.5</v>
      </c>
      <c r="M892">
        <v>1.04</v>
      </c>
      <c r="N892">
        <v>1.000000005</v>
      </c>
      <c r="O892">
        <v>3.9999995000000066</v>
      </c>
      <c r="P892">
        <v>5446.4709999999995</v>
      </c>
      <c r="Q892" s="125">
        <v>0.57999999999999996</v>
      </c>
      <c r="R892" s="125">
        <v>0</v>
      </c>
      <c r="S892" s="125">
        <v>11.515000000000001</v>
      </c>
      <c r="T892" s="125">
        <v>167.38800000000001</v>
      </c>
      <c r="U892" s="125">
        <v>63.328000000000003</v>
      </c>
      <c r="V892" s="125">
        <v>3.4180000000000001</v>
      </c>
      <c r="W892" s="125">
        <v>2.67</v>
      </c>
      <c r="X892" s="125">
        <v>0</v>
      </c>
      <c r="Y892" s="125">
        <v>0</v>
      </c>
      <c r="Z892" s="125">
        <v>7.3760000000000003</v>
      </c>
      <c r="AA892" s="125">
        <v>123.911</v>
      </c>
      <c r="AB892" s="125">
        <v>198.095</v>
      </c>
      <c r="AC892" s="125">
        <v>2386.6999999999998</v>
      </c>
      <c r="AD892" s="125">
        <v>1.1399999999999999</v>
      </c>
      <c r="AE892" s="125">
        <v>126.64100000000001</v>
      </c>
      <c r="AF892" s="125">
        <v>272.32355000000001</v>
      </c>
      <c r="AG892" s="125">
        <v>0</v>
      </c>
      <c r="AH892" s="125">
        <v>0</v>
      </c>
      <c r="AI892" s="121">
        <v>20458535</v>
      </c>
      <c r="AJ892" s="121">
        <v>2520510</v>
      </c>
      <c r="AK892" s="424">
        <v>12</v>
      </c>
      <c r="AL892">
        <v>0</v>
      </c>
      <c r="AM892" s="121">
        <v>400405</v>
      </c>
      <c r="AN892" s="125">
        <v>0</v>
      </c>
      <c r="AO892" s="125">
        <v>0</v>
      </c>
      <c r="AP892" s="121">
        <v>22979045</v>
      </c>
      <c r="AQ892" s="114">
        <v>0</v>
      </c>
      <c r="AR892" s="121">
        <v>1248.7940543</v>
      </c>
      <c r="AS892" s="121">
        <v>245391.95318000001</v>
      </c>
      <c r="AT892" s="121">
        <v>32318.010193999999</v>
      </c>
      <c r="AU892" s="420" t="s">
        <v>2001</v>
      </c>
      <c r="AV892" s="420" t="s">
        <v>2001</v>
      </c>
      <c r="AW892" s="121">
        <v>0</v>
      </c>
      <c r="AX892" s="121">
        <v>3160188</v>
      </c>
      <c r="BI892">
        <v>0</v>
      </c>
      <c r="BJ892" s="121">
        <v>0</v>
      </c>
      <c r="BK892" s="134">
        <v>1873492252</v>
      </c>
      <c r="BL892" s="934">
        <v>4818</v>
      </c>
      <c r="BM892" s="934">
        <v>5109</v>
      </c>
      <c r="BN892" s="934">
        <v>5092</v>
      </c>
      <c r="BO892" s="114">
        <v>0</v>
      </c>
      <c r="BP892" s="114">
        <v>0</v>
      </c>
    </row>
    <row r="893" spans="1:68">
      <c r="A893" t="s">
        <v>1280</v>
      </c>
      <c r="B893" t="s">
        <v>1439</v>
      </c>
      <c r="C893" s="121">
        <v>5084</v>
      </c>
      <c r="D893" s="72">
        <v>3</v>
      </c>
      <c r="E893">
        <v>5445.6840000000002</v>
      </c>
      <c r="F893">
        <v>1445</v>
      </c>
      <c r="G893">
        <v>882</v>
      </c>
      <c r="H893">
        <v>23</v>
      </c>
      <c r="I893" s="173">
        <v>1.04</v>
      </c>
      <c r="J893" s="121">
        <v>8334780429</v>
      </c>
      <c r="K893" s="125">
        <v>23838.057000000001</v>
      </c>
      <c r="L893" s="173">
        <v>1.4706999999999999</v>
      </c>
      <c r="M893">
        <v>1.04</v>
      </c>
      <c r="N893">
        <v>0.98046667156899991</v>
      </c>
      <c r="O893">
        <v>5.9533328431000125</v>
      </c>
      <c r="P893">
        <v>18853.258000000002</v>
      </c>
      <c r="Q893" s="125">
        <v>1.829</v>
      </c>
      <c r="R893" s="125">
        <v>0.188</v>
      </c>
      <c r="S893" s="125">
        <v>30.765000000000001</v>
      </c>
      <c r="T893" s="125">
        <v>527.221</v>
      </c>
      <c r="U893" s="125">
        <v>167.71</v>
      </c>
      <c r="V893" s="125">
        <v>0</v>
      </c>
      <c r="W893" s="125">
        <v>1.81</v>
      </c>
      <c r="X893" s="125">
        <v>0</v>
      </c>
      <c r="Y893" s="125">
        <v>0</v>
      </c>
      <c r="Z893" s="125">
        <v>12.05</v>
      </c>
      <c r="AA893" s="125">
        <v>58.448999999999998</v>
      </c>
      <c r="AB893" s="125">
        <v>585.08699999999999</v>
      </c>
      <c r="AC893" s="125">
        <v>8486.1</v>
      </c>
      <c r="AD893" s="125">
        <v>7.5940000000000003</v>
      </c>
      <c r="AE893" s="125">
        <v>2003.5260000000001</v>
      </c>
      <c r="AF893" s="125">
        <v>942.66290000000004</v>
      </c>
      <c r="AG893" s="125">
        <v>0</v>
      </c>
      <c r="AH893" s="125">
        <v>0</v>
      </c>
      <c r="AI893" s="121">
        <v>89728087</v>
      </c>
      <c r="AJ893" s="121">
        <v>19443922</v>
      </c>
      <c r="AK893" s="424">
        <v>12</v>
      </c>
      <c r="AL893">
        <v>0</v>
      </c>
      <c r="AM893" s="121">
        <v>586784</v>
      </c>
      <c r="AN893" s="125">
        <v>0</v>
      </c>
      <c r="AO893" s="125">
        <v>0</v>
      </c>
      <c r="AP893" s="121">
        <v>109172009</v>
      </c>
      <c r="AQ893" s="114">
        <v>0</v>
      </c>
      <c r="AR893" s="121">
        <v>5555.6270557999997</v>
      </c>
      <c r="AS893" s="121">
        <v>1091698.1624</v>
      </c>
      <c r="AT893" s="121">
        <v>143776.15844999999</v>
      </c>
      <c r="AU893" s="420" t="s">
        <v>798</v>
      </c>
      <c r="AV893" s="420" t="s">
        <v>2001</v>
      </c>
      <c r="AW893" s="121">
        <v>0</v>
      </c>
      <c r="AX893" s="121">
        <v>20521102</v>
      </c>
      <c r="AY893" s="134">
        <v>16042235</v>
      </c>
      <c r="AZ893" s="134">
        <v>47299387</v>
      </c>
      <c r="BA893" s="134">
        <v>20240</v>
      </c>
      <c r="BB893" s="134">
        <v>4639269247</v>
      </c>
      <c r="BC893" s="114">
        <v>0</v>
      </c>
      <c r="BD893" s="114">
        <v>0</v>
      </c>
      <c r="BE893" s="114">
        <v>0</v>
      </c>
      <c r="BF893" s="134">
        <v>20350</v>
      </c>
      <c r="BG893" s="114">
        <v>0</v>
      </c>
      <c r="BH893" s="114">
        <v>0</v>
      </c>
      <c r="BI893">
        <v>0</v>
      </c>
      <c r="BJ893" s="121">
        <v>0</v>
      </c>
      <c r="BK893" s="134">
        <v>8152432511</v>
      </c>
      <c r="BL893" s="934">
        <v>4894</v>
      </c>
      <c r="BM893" s="934">
        <v>4993</v>
      </c>
      <c r="BN893" s="934">
        <v>5084</v>
      </c>
      <c r="BO893" s="114">
        <v>0</v>
      </c>
      <c r="BP893" s="114">
        <v>0</v>
      </c>
    </row>
    <row r="894" spans="1:68">
      <c r="A894" t="s">
        <v>2108</v>
      </c>
      <c r="B894" t="s">
        <v>732</v>
      </c>
      <c r="C894" s="121">
        <v>4594</v>
      </c>
      <c r="D894" s="72">
        <v>2</v>
      </c>
      <c r="E894">
        <v>779.995</v>
      </c>
      <c r="F894">
        <v>222</v>
      </c>
      <c r="G894">
        <v>214</v>
      </c>
      <c r="H894">
        <v>2</v>
      </c>
      <c r="I894" s="173">
        <v>1.04</v>
      </c>
      <c r="J894" s="121">
        <v>452944113</v>
      </c>
      <c r="K894" s="125">
        <v>4384.7179999999998</v>
      </c>
      <c r="L894" s="173">
        <v>1.5</v>
      </c>
      <c r="M894">
        <v>1.04</v>
      </c>
      <c r="N894">
        <v>1.000000005</v>
      </c>
      <c r="O894">
        <v>3.9999995000000066</v>
      </c>
      <c r="P894">
        <v>3040</v>
      </c>
      <c r="Q894" s="125">
        <v>0.22700000000000001</v>
      </c>
      <c r="R894" s="125">
        <v>0</v>
      </c>
      <c r="S894" s="125">
        <v>4.6059999999999999</v>
      </c>
      <c r="T894" s="125">
        <v>63.537999999999997</v>
      </c>
      <c r="U894" s="125">
        <v>22.696999999999999</v>
      </c>
      <c r="V894" s="125">
        <v>0</v>
      </c>
      <c r="W894" s="125">
        <v>0</v>
      </c>
      <c r="X894" s="125">
        <v>0</v>
      </c>
      <c r="Y894" s="125">
        <v>0</v>
      </c>
      <c r="Z894" s="125">
        <v>1.0529999999999999</v>
      </c>
      <c r="AA894" s="125">
        <v>29</v>
      </c>
      <c r="AB894" s="125">
        <v>125</v>
      </c>
      <c r="AC894" s="125">
        <v>2976.6</v>
      </c>
      <c r="AD894" s="125">
        <v>1.244</v>
      </c>
      <c r="AE894" s="125">
        <v>750</v>
      </c>
      <c r="AF894" s="125">
        <v>152</v>
      </c>
      <c r="AG894" s="125">
        <v>0</v>
      </c>
      <c r="AH894" s="125">
        <v>0</v>
      </c>
      <c r="AI894" s="121">
        <v>4950342</v>
      </c>
      <c r="AJ894" s="121">
        <v>697246</v>
      </c>
      <c r="AK894" s="424">
        <v>12</v>
      </c>
      <c r="AL894">
        <v>0</v>
      </c>
      <c r="AM894" s="121">
        <v>64154</v>
      </c>
      <c r="AN894" s="125">
        <v>0</v>
      </c>
      <c r="AO894" s="125">
        <v>1</v>
      </c>
      <c r="AP894" s="121">
        <v>5647588</v>
      </c>
      <c r="AQ894" s="114">
        <v>0</v>
      </c>
      <c r="AR894" s="121">
        <v>301.91420041999999</v>
      </c>
      <c r="AS894" s="121">
        <v>59327.088464</v>
      </c>
      <c r="AT894" s="121">
        <v>7813.3509469999999</v>
      </c>
      <c r="AU894" s="420" t="s">
        <v>2001</v>
      </c>
      <c r="AV894" s="420" t="s">
        <v>2001</v>
      </c>
      <c r="AW894" s="121">
        <v>0</v>
      </c>
      <c r="AX894" s="121">
        <v>1799586</v>
      </c>
      <c r="BI894">
        <v>0</v>
      </c>
      <c r="BJ894" s="121">
        <v>0</v>
      </c>
      <c r="BK894" s="134">
        <v>452944113</v>
      </c>
      <c r="BL894" s="934">
        <v>4551</v>
      </c>
      <c r="BM894" s="934">
        <v>4594</v>
      </c>
      <c r="BN894" s="934">
        <v>4594</v>
      </c>
      <c r="BO894" s="114">
        <v>0</v>
      </c>
      <c r="BP894" s="114">
        <v>0</v>
      </c>
    </row>
    <row r="895" spans="1:68">
      <c r="A895" t="s">
        <v>2542</v>
      </c>
      <c r="B895" t="s">
        <v>1455</v>
      </c>
      <c r="C895" s="121">
        <v>5120</v>
      </c>
      <c r="D895" s="72">
        <v>2</v>
      </c>
      <c r="E895">
        <v>3364.0659999999998</v>
      </c>
      <c r="F895">
        <v>966</v>
      </c>
      <c r="G895">
        <v>486</v>
      </c>
      <c r="H895">
        <v>33</v>
      </c>
      <c r="I895" s="173">
        <v>0.94010000000000005</v>
      </c>
      <c r="J895" s="121">
        <v>5530684602</v>
      </c>
      <c r="K895" s="125">
        <v>16075.448</v>
      </c>
      <c r="L895" s="173">
        <v>1.292</v>
      </c>
      <c r="M895">
        <v>0.94010000000000005</v>
      </c>
      <c r="N895">
        <v>0.86133333764000009</v>
      </c>
      <c r="O895">
        <v>7.8766662359999966</v>
      </c>
      <c r="P895">
        <v>13675.28</v>
      </c>
      <c r="Q895" s="125">
        <v>0.33700000000000002</v>
      </c>
      <c r="R895" s="125">
        <v>0</v>
      </c>
      <c r="S895" s="125">
        <v>25.013000000000002</v>
      </c>
      <c r="T895" s="125">
        <v>322.65499999999997</v>
      </c>
      <c r="U895" s="125">
        <v>59.357999999999997</v>
      </c>
      <c r="V895" s="125">
        <v>5.5449999999999999</v>
      </c>
      <c r="W895" s="125">
        <v>1.9139999999999999</v>
      </c>
      <c r="X895" s="125">
        <v>0</v>
      </c>
      <c r="Y895" s="125">
        <v>0</v>
      </c>
      <c r="Z895" s="125">
        <v>1.637</v>
      </c>
      <c r="AA895" s="125">
        <v>23.268000000000001</v>
      </c>
      <c r="AB895" s="125">
        <v>214.732</v>
      </c>
      <c r="AC895" s="125">
        <v>3094.7</v>
      </c>
      <c r="AD895" s="125">
        <v>2.532</v>
      </c>
      <c r="AE895" s="125">
        <v>546.34699999999998</v>
      </c>
      <c r="AF895" s="125">
        <v>683.76400000000001</v>
      </c>
      <c r="AG895" s="125">
        <v>0</v>
      </c>
      <c r="AH895" s="125">
        <v>0</v>
      </c>
      <c r="AI895" s="121">
        <v>54593664</v>
      </c>
      <c r="AJ895" s="121">
        <v>17044103</v>
      </c>
      <c r="AK895" s="424">
        <v>12</v>
      </c>
      <c r="AL895">
        <v>0</v>
      </c>
      <c r="AM895" s="121">
        <v>714552</v>
      </c>
      <c r="AN895" s="125">
        <v>0</v>
      </c>
      <c r="AO895" s="125">
        <v>1</v>
      </c>
      <c r="AP895" s="121">
        <v>71637767</v>
      </c>
      <c r="AQ895" s="114">
        <v>0</v>
      </c>
      <c r="AR895" s="121">
        <v>3686.5303499000001</v>
      </c>
      <c r="AS895" s="121">
        <v>724414.79032999999</v>
      </c>
      <c r="AT895" s="121">
        <v>95405.103040999995</v>
      </c>
      <c r="AU895" s="420" t="s">
        <v>798</v>
      </c>
      <c r="AV895" s="72" t="s">
        <v>798</v>
      </c>
      <c r="AW895" s="121">
        <v>0</v>
      </c>
      <c r="AX895" s="121">
        <v>24702384</v>
      </c>
      <c r="AY895" s="134">
        <v>2989824</v>
      </c>
      <c r="AZ895" s="134">
        <v>12447466</v>
      </c>
      <c r="BA895" s="134">
        <v>5221</v>
      </c>
      <c r="BB895" s="134">
        <v>1088280377</v>
      </c>
      <c r="BC895" s="114">
        <v>0</v>
      </c>
      <c r="BD895" s="114">
        <v>0</v>
      </c>
      <c r="BE895" s="114">
        <v>0</v>
      </c>
      <c r="BF895" s="134">
        <v>14119</v>
      </c>
      <c r="BG895" s="114">
        <v>0</v>
      </c>
      <c r="BH895" s="114">
        <v>0</v>
      </c>
      <c r="BI895">
        <v>0</v>
      </c>
      <c r="BJ895" s="121">
        <v>0</v>
      </c>
      <c r="BK895" s="134">
        <v>5530684602</v>
      </c>
      <c r="BL895" s="934">
        <v>4884</v>
      </c>
      <c r="BM895" s="934">
        <v>5120</v>
      </c>
      <c r="BN895" s="934">
        <v>5030</v>
      </c>
      <c r="BO895" s="114">
        <v>0</v>
      </c>
      <c r="BP895" s="114">
        <v>0</v>
      </c>
    </row>
    <row r="896" spans="1:68">
      <c r="A896" t="s">
        <v>2107</v>
      </c>
      <c r="B896" t="s">
        <v>731</v>
      </c>
      <c r="C896" s="121">
        <v>5624</v>
      </c>
      <c r="D896" s="72">
        <v>2</v>
      </c>
      <c r="E896">
        <v>2417.1329999999998</v>
      </c>
      <c r="F896">
        <v>549</v>
      </c>
      <c r="G896">
        <v>297</v>
      </c>
      <c r="H896">
        <v>55</v>
      </c>
      <c r="I896" s="173">
        <v>1.04</v>
      </c>
      <c r="J896" s="121">
        <v>4562177968</v>
      </c>
      <c r="K896" s="125">
        <v>8718.4959999999992</v>
      </c>
      <c r="L896" s="173">
        <v>1.5</v>
      </c>
      <c r="M896">
        <v>1.04</v>
      </c>
      <c r="N896">
        <v>1.000000005</v>
      </c>
      <c r="O896">
        <v>3.9999995000000066</v>
      </c>
      <c r="P896">
        <v>7604.92</v>
      </c>
      <c r="Q896" s="125">
        <v>0.245</v>
      </c>
      <c r="R896" s="125">
        <v>0</v>
      </c>
      <c r="S896" s="125">
        <v>12.237</v>
      </c>
      <c r="T896" s="125">
        <v>272.47300000000001</v>
      </c>
      <c r="U896" s="125">
        <v>48.746000000000002</v>
      </c>
      <c r="V896" s="125">
        <v>0</v>
      </c>
      <c r="W896" s="125">
        <v>0.91800000000000004</v>
      </c>
      <c r="X896" s="125">
        <v>0</v>
      </c>
      <c r="Y896" s="125">
        <v>0</v>
      </c>
      <c r="Z896" s="125">
        <v>3.5000000000000003E-2</v>
      </c>
      <c r="AA896" s="125">
        <v>17.722000000000001</v>
      </c>
      <c r="AB896" s="125">
        <v>76.861000000000004</v>
      </c>
      <c r="AC896" s="125">
        <v>137</v>
      </c>
      <c r="AD896" s="125">
        <v>0</v>
      </c>
      <c r="AE896" s="125">
        <v>21.943000000000001</v>
      </c>
      <c r="AF896" s="125">
        <v>380.24599999999998</v>
      </c>
      <c r="AG896" s="125">
        <v>0</v>
      </c>
      <c r="AH896" s="125">
        <v>0</v>
      </c>
      <c r="AI896" s="121">
        <v>50492957</v>
      </c>
      <c r="AJ896" s="121">
        <v>18128021</v>
      </c>
      <c r="AK896" s="424">
        <v>12</v>
      </c>
      <c r="AL896">
        <v>0</v>
      </c>
      <c r="AM896" s="121">
        <v>0</v>
      </c>
      <c r="AN896" s="125">
        <v>0</v>
      </c>
      <c r="AO896" s="125">
        <v>0</v>
      </c>
      <c r="AP896" s="121">
        <v>68620978</v>
      </c>
      <c r="AQ896" s="114">
        <v>0</v>
      </c>
      <c r="AR896" s="121">
        <v>0</v>
      </c>
      <c r="AS896" s="121">
        <v>0</v>
      </c>
      <c r="AT896" s="121">
        <v>0</v>
      </c>
      <c r="AU896" s="420" t="s">
        <v>798</v>
      </c>
      <c r="AV896" s="420" t="s">
        <v>2001</v>
      </c>
      <c r="AW896" s="121">
        <v>0</v>
      </c>
      <c r="AX896" s="121">
        <v>14719255</v>
      </c>
      <c r="AY896" s="134">
        <v>3366665</v>
      </c>
      <c r="AZ896" s="134">
        <v>6067868</v>
      </c>
      <c r="BA896" s="134">
        <v>2525</v>
      </c>
      <c r="BB896" s="134">
        <v>837019969</v>
      </c>
      <c r="BC896" s="114">
        <v>0</v>
      </c>
      <c r="BD896" s="114">
        <v>0</v>
      </c>
      <c r="BE896" s="114">
        <v>0</v>
      </c>
      <c r="BF896" s="134">
        <v>7806</v>
      </c>
      <c r="BG896" s="114">
        <v>0</v>
      </c>
      <c r="BH896" s="114">
        <v>0</v>
      </c>
      <c r="BI896">
        <v>0</v>
      </c>
      <c r="BJ896" s="121">
        <v>11211</v>
      </c>
      <c r="BK896" s="134">
        <v>4562177968</v>
      </c>
      <c r="BL896" s="934">
        <v>5324</v>
      </c>
      <c r="BM896" s="934">
        <v>5624</v>
      </c>
      <c r="BN896" s="934">
        <v>5522</v>
      </c>
      <c r="BO896" s="114">
        <v>0</v>
      </c>
      <c r="BP896" s="114">
        <v>0</v>
      </c>
    </row>
    <row r="897" spans="1:68">
      <c r="A897" t="s">
        <v>1347</v>
      </c>
      <c r="B897" t="s">
        <v>1509</v>
      </c>
      <c r="C897" s="121">
        <v>4866</v>
      </c>
      <c r="D897" s="72">
        <v>2</v>
      </c>
      <c r="E897">
        <v>1318.6869999999999</v>
      </c>
      <c r="F897">
        <v>412</v>
      </c>
      <c r="G897">
        <v>318</v>
      </c>
      <c r="H897">
        <v>32</v>
      </c>
      <c r="I897" s="173">
        <v>1.04</v>
      </c>
      <c r="J897" s="121">
        <v>1293234329</v>
      </c>
      <c r="K897" s="125">
        <v>7235.6530000000002</v>
      </c>
      <c r="L897" s="173">
        <v>1.5</v>
      </c>
      <c r="M897">
        <v>1.04</v>
      </c>
      <c r="N897">
        <v>1.000000005</v>
      </c>
      <c r="O897">
        <v>3.9999995000000066</v>
      </c>
      <c r="P897">
        <v>5754</v>
      </c>
      <c r="Q897" s="125">
        <v>2.9000000000000001E-2</v>
      </c>
      <c r="R897" s="125">
        <v>0</v>
      </c>
      <c r="S897" s="125">
        <v>9.2799999999999994</v>
      </c>
      <c r="T897" s="125">
        <v>132</v>
      </c>
      <c r="U897" s="125">
        <v>40.503</v>
      </c>
      <c r="V897" s="125">
        <v>0</v>
      </c>
      <c r="W897" s="125">
        <v>2.1749999999999998</v>
      </c>
      <c r="X897" s="125">
        <v>0</v>
      </c>
      <c r="Y897" s="125">
        <v>0</v>
      </c>
      <c r="Z897" s="125">
        <v>0</v>
      </c>
      <c r="AA897" s="125">
        <v>173</v>
      </c>
      <c r="AB897" s="125">
        <v>205</v>
      </c>
      <c r="AC897" s="125">
        <v>2425</v>
      </c>
      <c r="AD897" s="125">
        <v>5</v>
      </c>
      <c r="AE897" s="125">
        <v>316</v>
      </c>
      <c r="AF897" s="125">
        <v>287.7</v>
      </c>
      <c r="AG897" s="125">
        <v>0</v>
      </c>
      <c r="AH897" s="125">
        <v>0</v>
      </c>
      <c r="AI897" s="121">
        <v>14122119</v>
      </c>
      <c r="AJ897" s="121">
        <v>4471173</v>
      </c>
      <c r="AK897" s="424">
        <v>12</v>
      </c>
      <c r="AL897">
        <v>0</v>
      </c>
      <c r="AM897" s="121">
        <v>266251</v>
      </c>
      <c r="AN897" s="125">
        <v>1</v>
      </c>
      <c r="AO897" s="125">
        <v>0</v>
      </c>
      <c r="AP897" s="121">
        <v>18593292</v>
      </c>
      <c r="AQ897" s="114">
        <v>0</v>
      </c>
      <c r="AR897" s="121">
        <v>862.01762467000003</v>
      </c>
      <c r="AS897" s="121">
        <v>169389.17017999999</v>
      </c>
      <c r="AT897" s="121">
        <v>22308.477755</v>
      </c>
      <c r="AU897" s="420" t="s">
        <v>2001</v>
      </c>
      <c r="AV897" s="420" t="s">
        <v>2001</v>
      </c>
      <c r="AW897" s="121">
        <v>0</v>
      </c>
      <c r="AX897" s="121">
        <v>8162132</v>
      </c>
      <c r="BI897">
        <v>0</v>
      </c>
      <c r="BJ897" s="121">
        <v>0</v>
      </c>
      <c r="BK897" s="134">
        <v>1293234329</v>
      </c>
      <c r="BL897" s="934">
        <v>4762</v>
      </c>
      <c r="BM897" s="934">
        <v>4866</v>
      </c>
      <c r="BN897" s="934">
        <v>4828</v>
      </c>
      <c r="BO897" s="114">
        <v>0</v>
      </c>
      <c r="BP897" s="114">
        <v>0</v>
      </c>
    </row>
    <row r="898" spans="1:68">
      <c r="A898" t="s">
        <v>2543</v>
      </c>
      <c r="B898" t="s">
        <v>1456</v>
      </c>
      <c r="C898" s="121">
        <v>4593</v>
      </c>
      <c r="D898" s="72">
        <v>2</v>
      </c>
      <c r="E898">
        <v>4058.65</v>
      </c>
      <c r="F898">
        <v>1334</v>
      </c>
      <c r="G898">
        <v>1020</v>
      </c>
      <c r="H898">
        <v>91</v>
      </c>
      <c r="I898" s="173">
        <v>1.04</v>
      </c>
      <c r="J898" s="121">
        <v>3464897149</v>
      </c>
      <c r="K898" s="125">
        <v>20263.449000000001</v>
      </c>
      <c r="L898" s="173">
        <v>1.5</v>
      </c>
      <c r="M898">
        <v>1.04</v>
      </c>
      <c r="N898">
        <v>1.000000005</v>
      </c>
      <c r="O898">
        <v>3.9999995000000066</v>
      </c>
      <c r="P898">
        <v>14990</v>
      </c>
      <c r="Q898" s="125">
        <v>0.63</v>
      </c>
      <c r="R898" s="125">
        <v>1</v>
      </c>
      <c r="S898" s="125">
        <v>35</v>
      </c>
      <c r="T898" s="125">
        <v>592</v>
      </c>
      <c r="U898" s="125">
        <v>216</v>
      </c>
      <c r="V898" s="125">
        <v>44</v>
      </c>
      <c r="W898" s="125">
        <v>60</v>
      </c>
      <c r="X898" s="125">
        <v>3</v>
      </c>
      <c r="Y898" s="125">
        <v>0</v>
      </c>
      <c r="Z898" s="125">
        <v>23</v>
      </c>
      <c r="AA898" s="125">
        <v>316</v>
      </c>
      <c r="AB898" s="125">
        <v>600</v>
      </c>
      <c r="AC898" s="125">
        <v>9768</v>
      </c>
      <c r="AD898" s="125">
        <v>6</v>
      </c>
      <c r="AE898" s="125">
        <v>423</v>
      </c>
      <c r="AF898" s="125">
        <v>749.5</v>
      </c>
      <c r="AG898" s="125">
        <v>0</v>
      </c>
      <c r="AH898" s="125">
        <v>0</v>
      </c>
      <c r="AI898" s="121">
        <v>37836677</v>
      </c>
      <c r="AJ898" s="121">
        <v>3703298</v>
      </c>
      <c r="AK898" s="424">
        <v>12</v>
      </c>
      <c r="AL898">
        <v>0</v>
      </c>
      <c r="AM898" s="121">
        <v>771656</v>
      </c>
      <c r="AN898" s="125">
        <v>1</v>
      </c>
      <c r="AO898" s="125">
        <v>2</v>
      </c>
      <c r="AP898" s="121">
        <v>41539975</v>
      </c>
      <c r="AQ898" s="114">
        <v>0</v>
      </c>
      <c r="AR898" s="121">
        <v>2309.5601029999998</v>
      </c>
      <c r="AS898" s="121">
        <v>453835.81280000001</v>
      </c>
      <c r="AT898" s="121">
        <v>59769.973035000003</v>
      </c>
      <c r="AU898" s="420" t="s">
        <v>2001</v>
      </c>
      <c r="AV898" s="420" t="s">
        <v>2001</v>
      </c>
      <c r="AW898" s="121">
        <v>0</v>
      </c>
      <c r="AX898" s="121">
        <v>6451780</v>
      </c>
      <c r="BI898">
        <v>0</v>
      </c>
      <c r="BJ898" s="121">
        <v>0</v>
      </c>
      <c r="BK898" s="134">
        <v>3464897149</v>
      </c>
      <c r="BL898" s="934">
        <v>4523</v>
      </c>
      <c r="BM898" s="934">
        <v>4593</v>
      </c>
      <c r="BN898" s="934">
        <v>4593</v>
      </c>
      <c r="BO898" s="114">
        <v>0</v>
      </c>
      <c r="BP898" s="114">
        <v>0</v>
      </c>
    </row>
    <row r="899" spans="1:68">
      <c r="A899" t="s">
        <v>2544</v>
      </c>
      <c r="B899" t="s">
        <v>1457</v>
      </c>
      <c r="C899" s="121">
        <v>5538</v>
      </c>
      <c r="D899" s="72">
        <v>2</v>
      </c>
      <c r="E899">
        <v>330.93200000000002</v>
      </c>
      <c r="F899">
        <v>118</v>
      </c>
      <c r="G899">
        <v>80</v>
      </c>
      <c r="H899">
        <v>10</v>
      </c>
      <c r="I899" s="173">
        <v>1.04</v>
      </c>
      <c r="J899" s="121">
        <v>369256936</v>
      </c>
      <c r="K899" s="125">
        <v>1938.8779999999999</v>
      </c>
      <c r="L899" s="173">
        <v>1.4490000000000001</v>
      </c>
      <c r="M899">
        <v>1.04</v>
      </c>
      <c r="N899">
        <v>0.96600000483000004</v>
      </c>
      <c r="O899">
        <v>7.3999995169999995</v>
      </c>
      <c r="P899">
        <v>1131.319</v>
      </c>
      <c r="Q899" s="125">
        <v>4.4999999999999998E-2</v>
      </c>
      <c r="R899" s="125">
        <v>0</v>
      </c>
      <c r="S899" s="125">
        <v>2.1520000000000001</v>
      </c>
      <c r="T899" s="125">
        <v>72.203000000000003</v>
      </c>
      <c r="U899" s="125">
        <v>9.3849999999999998</v>
      </c>
      <c r="V899" s="125">
        <v>0</v>
      </c>
      <c r="W899" s="125">
        <v>1.4870000000000001</v>
      </c>
      <c r="X899" s="125">
        <v>0</v>
      </c>
      <c r="Y899" s="125">
        <v>0</v>
      </c>
      <c r="Z899" s="125">
        <v>0</v>
      </c>
      <c r="AA899" s="125">
        <v>25.071000000000002</v>
      </c>
      <c r="AB899" s="125">
        <v>68.093999999999994</v>
      </c>
      <c r="AC899" s="125">
        <v>815.1</v>
      </c>
      <c r="AD899" s="125">
        <v>0.84099999999999997</v>
      </c>
      <c r="AE899" s="125">
        <v>26.439</v>
      </c>
      <c r="AF899" s="125">
        <v>56.565950000000001</v>
      </c>
      <c r="AG899" s="125">
        <v>0</v>
      </c>
      <c r="AH899" s="125">
        <v>0</v>
      </c>
      <c r="AI899" s="121">
        <v>3747066</v>
      </c>
      <c r="AJ899" s="121">
        <v>48021</v>
      </c>
      <c r="AK899" s="424">
        <v>12</v>
      </c>
      <c r="AL899">
        <v>0</v>
      </c>
      <c r="AM899" s="121">
        <v>138113</v>
      </c>
      <c r="AN899" s="125">
        <v>0</v>
      </c>
      <c r="AO899" s="125">
        <v>0</v>
      </c>
      <c r="AP899" s="121">
        <v>3795087</v>
      </c>
      <c r="AQ899" s="114">
        <v>0</v>
      </c>
      <c r="AR899" s="121">
        <v>246.13171765000001</v>
      </c>
      <c r="AS899" s="121">
        <v>48365.655428999999</v>
      </c>
      <c r="AT899" s="121">
        <v>6369.7351317000002</v>
      </c>
      <c r="AU899" s="420" t="s">
        <v>2001</v>
      </c>
      <c r="AV899" s="420" t="s">
        <v>2001</v>
      </c>
      <c r="AW899" s="121">
        <v>0</v>
      </c>
      <c r="AX899" s="121">
        <v>288450</v>
      </c>
      <c r="BI899">
        <v>0</v>
      </c>
      <c r="BJ899" s="121">
        <v>0</v>
      </c>
      <c r="BK899" s="134">
        <v>357435289</v>
      </c>
      <c r="BL899" s="934">
        <v>4644</v>
      </c>
      <c r="BM899" s="934">
        <v>5538</v>
      </c>
      <c r="BN899" s="934">
        <v>4743</v>
      </c>
      <c r="BO899" s="114">
        <v>0</v>
      </c>
      <c r="BP899" s="114">
        <v>0</v>
      </c>
    </row>
    <row r="900" spans="1:68">
      <c r="A900" t="s">
        <v>3052</v>
      </c>
      <c r="B900" t="s">
        <v>1458</v>
      </c>
      <c r="C900" s="121">
        <v>4660</v>
      </c>
      <c r="D900" s="72">
        <v>1</v>
      </c>
      <c r="E900">
        <v>53.372</v>
      </c>
      <c r="F900">
        <v>18</v>
      </c>
      <c r="G900">
        <v>14</v>
      </c>
      <c r="H900">
        <v>1</v>
      </c>
      <c r="I900" s="173">
        <v>1.04</v>
      </c>
      <c r="J900" s="121">
        <v>105745920</v>
      </c>
      <c r="K900" s="125">
        <v>259.19799999999998</v>
      </c>
      <c r="L900" s="173">
        <v>1.5</v>
      </c>
      <c r="M900">
        <v>1.04</v>
      </c>
      <c r="N900">
        <v>1.000000005</v>
      </c>
      <c r="O900">
        <v>3.9999995000000066</v>
      </c>
      <c r="P900">
        <v>146.161</v>
      </c>
      <c r="Q900" s="125">
        <v>0</v>
      </c>
      <c r="R900" s="125">
        <v>0</v>
      </c>
      <c r="S900" s="125">
        <v>0.157</v>
      </c>
      <c r="T900" s="125">
        <v>6.86</v>
      </c>
      <c r="U900" s="125">
        <v>0</v>
      </c>
      <c r="V900" s="125">
        <v>0</v>
      </c>
      <c r="W900" s="125">
        <v>0</v>
      </c>
      <c r="X900" s="125">
        <v>0</v>
      </c>
      <c r="Y900" s="125">
        <v>0</v>
      </c>
      <c r="Z900" s="125">
        <v>0.33400000000000002</v>
      </c>
      <c r="AA900" s="125">
        <v>0</v>
      </c>
      <c r="AB900" s="125">
        <v>9.9540000000000006</v>
      </c>
      <c r="AC900" s="125">
        <v>91.2</v>
      </c>
      <c r="AD900" s="125">
        <v>0</v>
      </c>
      <c r="AE900" s="125">
        <v>9.6669999999999998</v>
      </c>
      <c r="AF900" s="125">
        <v>7.3079999999999998</v>
      </c>
      <c r="AG900" s="125">
        <v>0</v>
      </c>
      <c r="AH900" s="125">
        <v>0</v>
      </c>
      <c r="AI900" s="121">
        <v>1031740</v>
      </c>
      <c r="AJ900" s="121">
        <v>384845</v>
      </c>
      <c r="AK900" s="424">
        <v>12</v>
      </c>
      <c r="AL900">
        <v>0</v>
      </c>
      <c r="AM900" s="121">
        <v>0</v>
      </c>
      <c r="AN900" s="125">
        <v>0</v>
      </c>
      <c r="AO900" s="125">
        <v>0</v>
      </c>
      <c r="AP900" s="121">
        <v>1416585</v>
      </c>
      <c r="AQ900" s="114">
        <v>0</v>
      </c>
      <c r="AR900" s="121">
        <v>0</v>
      </c>
      <c r="AS900" s="121">
        <v>0</v>
      </c>
      <c r="AT900" s="121">
        <v>0</v>
      </c>
      <c r="AU900" s="420" t="s">
        <v>798</v>
      </c>
      <c r="AV900" s="420" t="s">
        <v>2001</v>
      </c>
      <c r="AW900" s="121">
        <v>0</v>
      </c>
      <c r="AX900" s="121">
        <v>277905</v>
      </c>
      <c r="AY900" s="134">
        <v>232905</v>
      </c>
      <c r="AZ900" s="134">
        <v>693940</v>
      </c>
      <c r="BA900" s="114">
        <v>248</v>
      </c>
      <c r="BB900" s="134">
        <v>33371934</v>
      </c>
      <c r="BC900" s="114">
        <v>0</v>
      </c>
      <c r="BD900" s="114">
        <v>0</v>
      </c>
      <c r="BE900" s="114">
        <v>0</v>
      </c>
      <c r="BF900" s="114">
        <v>183</v>
      </c>
      <c r="BG900" s="114">
        <v>0</v>
      </c>
      <c r="BH900" s="114">
        <v>0</v>
      </c>
      <c r="BI900">
        <v>0</v>
      </c>
      <c r="BJ900" s="121">
        <v>2</v>
      </c>
      <c r="BK900" s="134">
        <v>95436002</v>
      </c>
      <c r="BL900" s="934">
        <v>4660</v>
      </c>
      <c r="BM900" s="934">
        <v>4360</v>
      </c>
      <c r="BN900" s="934">
        <v>4449</v>
      </c>
      <c r="BO900" s="114">
        <v>0</v>
      </c>
      <c r="BP900" s="114">
        <v>0</v>
      </c>
    </row>
    <row r="901" spans="1:68">
      <c r="A901" t="s">
        <v>3053</v>
      </c>
      <c r="B901" t="s">
        <v>2664</v>
      </c>
      <c r="C901" s="121">
        <v>5751</v>
      </c>
      <c r="D901" s="72">
        <v>2</v>
      </c>
      <c r="E901">
        <v>324.32</v>
      </c>
      <c r="F901">
        <v>114</v>
      </c>
      <c r="G901">
        <v>55</v>
      </c>
      <c r="H901">
        <v>9</v>
      </c>
      <c r="I901" s="173">
        <v>1.04</v>
      </c>
      <c r="J901" s="121">
        <v>462621853</v>
      </c>
      <c r="K901" s="125">
        <v>1574.4280000000001</v>
      </c>
      <c r="L901" s="173">
        <v>1.44</v>
      </c>
      <c r="M901">
        <v>1.04</v>
      </c>
      <c r="N901">
        <v>0.96000000480000003</v>
      </c>
      <c r="O901">
        <v>7.9999995200000011</v>
      </c>
      <c r="P901">
        <v>1016.978</v>
      </c>
      <c r="Q901" s="125">
        <v>0</v>
      </c>
      <c r="R901" s="125">
        <v>0</v>
      </c>
      <c r="S901" s="125">
        <v>2.2130000000000001</v>
      </c>
      <c r="T901" s="125">
        <v>21.707999999999998</v>
      </c>
      <c r="U901" s="125">
        <v>5.0209999999999999</v>
      </c>
      <c r="V901" s="125">
        <v>0</v>
      </c>
      <c r="W901" s="125">
        <v>0</v>
      </c>
      <c r="X901" s="125">
        <v>0</v>
      </c>
      <c r="Y901" s="125">
        <v>0</v>
      </c>
      <c r="Z901" s="125">
        <v>0</v>
      </c>
      <c r="AA901" s="125">
        <v>44.25</v>
      </c>
      <c r="AB901" s="125">
        <v>45.5</v>
      </c>
      <c r="AC901" s="125">
        <v>379.7</v>
      </c>
      <c r="AD901" s="125">
        <v>1.417</v>
      </c>
      <c r="AE901" s="125">
        <v>1.4E-2</v>
      </c>
      <c r="AF901" s="125">
        <v>50.8489</v>
      </c>
      <c r="AG901" s="125">
        <v>0</v>
      </c>
      <c r="AH901" s="125">
        <v>0</v>
      </c>
      <c r="AI901" s="121">
        <v>4900276</v>
      </c>
      <c r="AJ901" s="121">
        <v>191519</v>
      </c>
      <c r="AK901" s="424">
        <v>12</v>
      </c>
      <c r="AL901">
        <v>0</v>
      </c>
      <c r="AM901" s="121">
        <v>117427</v>
      </c>
      <c r="AN901" s="125">
        <v>0</v>
      </c>
      <c r="AO901" s="125">
        <v>0</v>
      </c>
      <c r="AP901" s="121">
        <v>5091795</v>
      </c>
      <c r="AQ901" s="114">
        <v>0</v>
      </c>
      <c r="AR901" s="121">
        <v>308.36498992999998</v>
      </c>
      <c r="AS901" s="121">
        <v>60594.688860000002</v>
      </c>
      <c r="AT901" s="121">
        <v>7980.2933507999996</v>
      </c>
      <c r="AU901" s="420" t="s">
        <v>2001</v>
      </c>
      <c r="AV901" s="420" t="s">
        <v>2001</v>
      </c>
      <c r="AW901" s="121">
        <v>0</v>
      </c>
      <c r="AX901" s="121">
        <v>319155</v>
      </c>
      <c r="BI901">
        <v>0</v>
      </c>
      <c r="BJ901" s="121">
        <v>0</v>
      </c>
      <c r="BK901" s="134">
        <v>462621853</v>
      </c>
      <c r="BL901" s="934">
        <v>4451</v>
      </c>
      <c r="BM901" s="934">
        <v>5751</v>
      </c>
      <c r="BN901" s="934">
        <v>4626</v>
      </c>
      <c r="BO901" s="114">
        <v>0</v>
      </c>
      <c r="BP901" s="114">
        <v>0</v>
      </c>
    </row>
    <row r="902" spans="1:68">
      <c r="A902" t="s">
        <v>3054</v>
      </c>
      <c r="B902" t="s">
        <v>1293</v>
      </c>
      <c r="C902" s="121">
        <v>4540</v>
      </c>
      <c r="D902" s="72">
        <v>3</v>
      </c>
      <c r="E902">
        <v>906.447</v>
      </c>
      <c r="F902">
        <v>208</v>
      </c>
      <c r="G902">
        <v>88</v>
      </c>
      <c r="H902">
        <v>12</v>
      </c>
      <c r="I902" s="173">
        <v>0.97</v>
      </c>
      <c r="J902" s="121">
        <v>1056806632</v>
      </c>
      <c r="K902" s="125">
        <v>3597.8159999999998</v>
      </c>
      <c r="L902" s="173">
        <v>1.2349000000000001</v>
      </c>
      <c r="M902">
        <v>0.97</v>
      </c>
      <c r="N902">
        <v>0.82326667078300009</v>
      </c>
      <c r="O902">
        <v>14.673332921699988</v>
      </c>
      <c r="P902">
        <v>2950.6709999999998</v>
      </c>
      <c r="Q902" s="125">
        <v>0.25800000000000001</v>
      </c>
      <c r="R902" s="125">
        <v>0</v>
      </c>
      <c r="S902" s="125">
        <v>3.9260000000000002</v>
      </c>
      <c r="T902" s="125">
        <v>48.552999999999997</v>
      </c>
      <c r="U902" s="125">
        <v>14.651</v>
      </c>
      <c r="V902" s="125">
        <v>0</v>
      </c>
      <c r="W902" s="125">
        <v>5.44</v>
      </c>
      <c r="X902" s="125">
        <v>0</v>
      </c>
      <c r="Y902" s="125">
        <v>0</v>
      </c>
      <c r="Z902" s="125">
        <v>1.68</v>
      </c>
      <c r="AA902" s="125">
        <v>110.465</v>
      </c>
      <c r="AB902" s="125">
        <v>99.736999999999995</v>
      </c>
      <c r="AC902" s="125">
        <v>343.5</v>
      </c>
      <c r="AD902" s="125">
        <v>0</v>
      </c>
      <c r="AE902" s="125">
        <v>6.7919999999999998</v>
      </c>
      <c r="AF902" s="125">
        <v>147.53354999999999</v>
      </c>
      <c r="AG902" s="125">
        <v>0</v>
      </c>
      <c r="AH902" s="125">
        <v>0</v>
      </c>
      <c r="AI902" s="121">
        <v>10655940</v>
      </c>
      <c r="AJ902" s="121">
        <v>1193000</v>
      </c>
      <c r="AK902" s="424">
        <v>12</v>
      </c>
      <c r="AL902">
        <v>0</v>
      </c>
      <c r="AM902" s="121">
        <v>235679</v>
      </c>
      <c r="AN902" s="125">
        <v>0</v>
      </c>
      <c r="AO902" s="125">
        <v>0</v>
      </c>
      <c r="AP902" s="121">
        <v>11848940</v>
      </c>
      <c r="AQ902" s="114">
        <v>0</v>
      </c>
      <c r="AR902" s="121">
        <v>704.42449772999998</v>
      </c>
      <c r="AS902" s="121">
        <v>138421.62586</v>
      </c>
      <c r="AT902" s="121">
        <v>18230.066053999999</v>
      </c>
      <c r="AU902" s="420" t="s">
        <v>2001</v>
      </c>
      <c r="AV902" s="420" t="s">
        <v>2001</v>
      </c>
      <c r="AW902" s="121">
        <v>0</v>
      </c>
      <c r="AX902" s="121">
        <v>1483896</v>
      </c>
      <c r="BI902">
        <v>0</v>
      </c>
      <c r="BJ902" s="121">
        <v>0</v>
      </c>
      <c r="BK902" s="134">
        <v>1056806632</v>
      </c>
      <c r="BL902" s="934">
        <v>4155</v>
      </c>
      <c r="BM902" s="934">
        <v>4356</v>
      </c>
      <c r="BN902" s="934">
        <v>4540</v>
      </c>
      <c r="BO902" s="114">
        <v>0</v>
      </c>
      <c r="BP902" s="114">
        <v>0</v>
      </c>
    </row>
    <row r="903" spans="1:68">
      <c r="A903" t="s">
        <v>3055</v>
      </c>
      <c r="B903" t="s">
        <v>1460</v>
      </c>
      <c r="C903" s="121">
        <v>7427</v>
      </c>
      <c r="D903" s="72">
        <v>2</v>
      </c>
      <c r="E903">
        <v>51.804000000000002</v>
      </c>
      <c r="F903">
        <v>23</v>
      </c>
      <c r="G903">
        <v>26</v>
      </c>
      <c r="H903">
        <v>1</v>
      </c>
      <c r="I903" s="173">
        <v>1.0215000000000001</v>
      </c>
      <c r="J903" s="121">
        <v>923407125</v>
      </c>
      <c r="K903" s="125">
        <v>291.59800000000001</v>
      </c>
      <c r="L903" s="173">
        <v>1.42</v>
      </c>
      <c r="M903">
        <v>1.0215000000000001</v>
      </c>
      <c r="N903">
        <v>0.94666667139999994</v>
      </c>
      <c r="O903">
        <v>7.4833328600000133</v>
      </c>
      <c r="P903">
        <v>121.5</v>
      </c>
      <c r="Q903" s="125">
        <v>0</v>
      </c>
      <c r="R903" s="125">
        <v>0</v>
      </c>
      <c r="S903" s="125">
        <v>0.23200000000000001</v>
      </c>
      <c r="T903" s="125">
        <v>2.35</v>
      </c>
      <c r="U903" s="125">
        <v>1.6</v>
      </c>
      <c r="V903" s="125">
        <v>0</v>
      </c>
      <c r="W903" s="125">
        <v>0</v>
      </c>
      <c r="X903" s="125">
        <v>0</v>
      </c>
      <c r="Y903" s="125">
        <v>0</v>
      </c>
      <c r="Z903" s="125">
        <v>0</v>
      </c>
      <c r="AA903" s="125">
        <v>4.8</v>
      </c>
      <c r="AB903" s="125">
        <v>9.0749999999999993</v>
      </c>
      <c r="AC903" s="125">
        <v>80</v>
      </c>
      <c r="AD903" s="125">
        <v>0</v>
      </c>
      <c r="AE903" s="125">
        <v>8</v>
      </c>
      <c r="AF903" s="125">
        <v>5</v>
      </c>
      <c r="AG903" s="125">
        <v>0</v>
      </c>
      <c r="AH903" s="125">
        <v>0</v>
      </c>
      <c r="AI903" s="121">
        <v>10102319</v>
      </c>
      <c r="AJ903" s="121">
        <v>340188</v>
      </c>
      <c r="AK903" s="424">
        <v>12</v>
      </c>
      <c r="AL903">
        <v>0</v>
      </c>
      <c r="AM903" s="121">
        <v>48179</v>
      </c>
      <c r="AN903" s="125">
        <v>0</v>
      </c>
      <c r="AO903" s="125">
        <v>1</v>
      </c>
      <c r="AP903" s="121">
        <v>10442507</v>
      </c>
      <c r="AQ903" s="114">
        <v>0</v>
      </c>
      <c r="AR903" s="121">
        <v>0</v>
      </c>
      <c r="AS903" s="121">
        <v>0</v>
      </c>
      <c r="AT903" s="121">
        <v>0</v>
      </c>
      <c r="AU903" s="420" t="s">
        <v>798</v>
      </c>
      <c r="AV903" s="420" t="s">
        <v>2001</v>
      </c>
      <c r="AW903" s="121">
        <v>0</v>
      </c>
      <c r="AX903" s="121">
        <v>269638</v>
      </c>
      <c r="AY903" s="134">
        <v>393879</v>
      </c>
      <c r="AZ903" s="134">
        <v>1372381</v>
      </c>
      <c r="BA903" s="114">
        <v>547</v>
      </c>
      <c r="BB903" s="134">
        <v>147385072</v>
      </c>
      <c r="BC903" s="114">
        <v>0</v>
      </c>
      <c r="BD903" s="114">
        <v>0</v>
      </c>
      <c r="BE903" s="114">
        <v>0</v>
      </c>
      <c r="BF903" s="114">
        <v>152</v>
      </c>
      <c r="BG903" s="114">
        <v>0</v>
      </c>
      <c r="BH903" s="114">
        <v>0</v>
      </c>
      <c r="BI903">
        <v>0</v>
      </c>
      <c r="BJ903" s="121">
        <v>0</v>
      </c>
      <c r="BK903" s="134">
        <v>923407125</v>
      </c>
      <c r="BL903" s="934">
        <v>6083</v>
      </c>
      <c r="BM903" s="934">
        <v>7427</v>
      </c>
      <c r="BN903" s="934">
        <v>6126</v>
      </c>
      <c r="BO903" s="114">
        <v>0</v>
      </c>
      <c r="BP903" s="114">
        <v>0</v>
      </c>
    </row>
    <row r="904" spans="1:68">
      <c r="A904" t="s">
        <v>1335</v>
      </c>
      <c r="B904" t="s">
        <v>336</v>
      </c>
      <c r="C904" s="121">
        <v>5137</v>
      </c>
      <c r="D904" s="72">
        <v>2</v>
      </c>
      <c r="E904">
        <v>477.57299999999998</v>
      </c>
      <c r="F904">
        <v>164</v>
      </c>
      <c r="G904">
        <v>121</v>
      </c>
      <c r="H904">
        <v>6</v>
      </c>
      <c r="I904" s="173">
        <v>1.04</v>
      </c>
      <c r="J904" s="121">
        <v>601185716</v>
      </c>
      <c r="K904" s="125">
        <v>2481.7240000000002</v>
      </c>
      <c r="L904" s="173">
        <v>1.5</v>
      </c>
      <c r="M904">
        <v>1.04</v>
      </c>
      <c r="N904">
        <v>1.000000005</v>
      </c>
      <c r="O904">
        <v>3.9999995000000066</v>
      </c>
      <c r="P904">
        <v>1640.348</v>
      </c>
      <c r="Q904" s="125">
        <v>0.33400000000000002</v>
      </c>
      <c r="R904" s="125">
        <v>0</v>
      </c>
      <c r="S904" s="125">
        <v>3.2450000000000001</v>
      </c>
      <c r="T904" s="125">
        <v>56.421999999999997</v>
      </c>
      <c r="U904" s="125">
        <v>9.2390000000000008</v>
      </c>
      <c r="V904" s="125">
        <v>0</v>
      </c>
      <c r="W904" s="125">
        <v>0</v>
      </c>
      <c r="X904" s="125">
        <v>0</v>
      </c>
      <c r="Y904" s="125">
        <v>0</v>
      </c>
      <c r="Z904" s="125">
        <v>0</v>
      </c>
      <c r="AA904" s="125">
        <v>40.262999999999998</v>
      </c>
      <c r="AB904" s="125">
        <v>130.91</v>
      </c>
      <c r="AC904" s="125">
        <v>1574</v>
      </c>
      <c r="AD904" s="125">
        <v>2.1440000000000001</v>
      </c>
      <c r="AE904" s="125">
        <v>102.114</v>
      </c>
      <c r="AF904" s="125">
        <v>79.497</v>
      </c>
      <c r="AG904" s="125">
        <v>0</v>
      </c>
      <c r="AH904" s="125">
        <v>0</v>
      </c>
      <c r="AI904" s="121">
        <v>6564948</v>
      </c>
      <c r="AJ904" s="121">
        <v>523510</v>
      </c>
      <c r="AK904" s="424">
        <v>12</v>
      </c>
      <c r="AL904">
        <v>0</v>
      </c>
      <c r="AM904" s="121">
        <v>133588</v>
      </c>
      <c r="AN904" s="125">
        <v>0</v>
      </c>
      <c r="AO904" s="125">
        <v>0</v>
      </c>
      <c r="AP904" s="121">
        <v>7088458</v>
      </c>
      <c r="AQ904" s="114">
        <v>0</v>
      </c>
      <c r="AR904" s="121">
        <v>400.72604884999998</v>
      </c>
      <c r="AS904" s="121">
        <v>78743.926972000001</v>
      </c>
      <c r="AT904" s="121">
        <v>10370.539871999999</v>
      </c>
      <c r="AU904" s="420" t="s">
        <v>2001</v>
      </c>
      <c r="AV904" s="420" t="s">
        <v>2001</v>
      </c>
      <c r="AW904" s="121">
        <v>0</v>
      </c>
      <c r="AX904" s="121">
        <v>570765</v>
      </c>
      <c r="BI904">
        <v>0</v>
      </c>
      <c r="BJ904" s="121">
        <v>0</v>
      </c>
      <c r="BK904" s="134">
        <v>601185716</v>
      </c>
      <c r="BL904" s="934">
        <v>4788</v>
      </c>
      <c r="BM904" s="934">
        <v>5137</v>
      </c>
      <c r="BN904" s="934">
        <v>4949</v>
      </c>
      <c r="BO904" s="114">
        <v>0</v>
      </c>
      <c r="BP904" s="114">
        <v>0</v>
      </c>
    </row>
    <row r="905" spans="1:68">
      <c r="A905" t="s">
        <v>2106</v>
      </c>
      <c r="B905" t="s">
        <v>930</v>
      </c>
      <c r="C905" s="121">
        <v>4434</v>
      </c>
      <c r="D905" s="72">
        <v>2</v>
      </c>
      <c r="E905">
        <v>66.945999999999998</v>
      </c>
      <c r="F905">
        <v>26</v>
      </c>
      <c r="G905">
        <v>16</v>
      </c>
      <c r="H905">
        <v>1</v>
      </c>
      <c r="I905" s="173">
        <v>1.04</v>
      </c>
      <c r="J905" s="121">
        <v>61711232</v>
      </c>
      <c r="K905" s="125">
        <v>525.76900000000001</v>
      </c>
      <c r="L905" s="173">
        <v>1.5</v>
      </c>
      <c r="M905">
        <v>1.04</v>
      </c>
      <c r="N905">
        <v>1.000000005</v>
      </c>
      <c r="O905">
        <v>3.9999995000000066</v>
      </c>
      <c r="P905">
        <v>297.45800000000003</v>
      </c>
      <c r="Q905" s="125">
        <v>0</v>
      </c>
      <c r="R905" s="125">
        <v>0</v>
      </c>
      <c r="S905" s="125">
        <v>0.22700000000000001</v>
      </c>
      <c r="T905" s="125">
        <v>1.71</v>
      </c>
      <c r="U905" s="125">
        <v>0</v>
      </c>
      <c r="V905" s="125">
        <v>0</v>
      </c>
      <c r="W905" s="125">
        <v>0</v>
      </c>
      <c r="X905" s="125">
        <v>0</v>
      </c>
      <c r="Y905" s="125">
        <v>0</v>
      </c>
      <c r="Z905" s="125">
        <v>0</v>
      </c>
      <c r="AA905" s="125">
        <v>15.169</v>
      </c>
      <c r="AB905" s="125">
        <v>19.878</v>
      </c>
      <c r="AC905" s="125">
        <v>270.89999999999998</v>
      </c>
      <c r="AD905" s="125">
        <v>0.35899999999999999</v>
      </c>
      <c r="AE905" s="125">
        <v>31.96</v>
      </c>
      <c r="AF905" s="125">
        <v>14.8729</v>
      </c>
      <c r="AG905" s="125">
        <v>0</v>
      </c>
      <c r="AH905" s="125">
        <v>0</v>
      </c>
      <c r="AI905" s="121">
        <v>653670</v>
      </c>
      <c r="AJ905" s="121">
        <v>37307</v>
      </c>
      <c r="AK905" s="424">
        <v>12</v>
      </c>
      <c r="AL905">
        <v>0</v>
      </c>
      <c r="AM905" s="121">
        <v>15300</v>
      </c>
      <c r="AN905" s="125">
        <v>0</v>
      </c>
      <c r="AO905" s="125">
        <v>0</v>
      </c>
      <c r="AP905" s="121">
        <v>690977</v>
      </c>
      <c r="AQ905" s="114">
        <v>0</v>
      </c>
      <c r="AR905" s="121">
        <v>41.134207801000002</v>
      </c>
      <c r="AS905" s="121">
        <v>8083.0010038999999</v>
      </c>
      <c r="AT905" s="121">
        <v>1064.5276076</v>
      </c>
      <c r="AU905" s="420" t="s">
        <v>2001</v>
      </c>
      <c r="AV905" s="420" t="s">
        <v>2001</v>
      </c>
      <c r="AW905" s="121">
        <v>0</v>
      </c>
      <c r="AX905" s="121">
        <v>94742</v>
      </c>
      <c r="BI905">
        <v>0</v>
      </c>
      <c r="BJ905" s="121">
        <v>0</v>
      </c>
      <c r="BK905" s="134">
        <v>61711232</v>
      </c>
      <c r="BL905" s="934">
        <v>4291</v>
      </c>
      <c r="BM905" s="934">
        <v>4434</v>
      </c>
      <c r="BN905" s="934">
        <v>4386</v>
      </c>
      <c r="BO905" s="114">
        <v>0</v>
      </c>
      <c r="BP905" s="114">
        <v>0</v>
      </c>
    </row>
    <row r="906" spans="1:68">
      <c r="A906" t="s">
        <v>1336</v>
      </c>
      <c r="B906" t="s">
        <v>2665</v>
      </c>
      <c r="C906" s="121">
        <v>5279</v>
      </c>
      <c r="D906" s="72">
        <v>2</v>
      </c>
      <c r="E906">
        <v>59.484000000000002</v>
      </c>
      <c r="F906">
        <v>20</v>
      </c>
      <c r="G906">
        <v>17</v>
      </c>
      <c r="H906">
        <v>1</v>
      </c>
      <c r="I906" s="173">
        <v>1.04</v>
      </c>
      <c r="J906" s="121">
        <v>134129211</v>
      </c>
      <c r="K906" s="125">
        <v>408.54700000000003</v>
      </c>
      <c r="L906" s="173">
        <v>1.5</v>
      </c>
      <c r="M906">
        <v>1.04</v>
      </c>
      <c r="N906">
        <v>1.000000005</v>
      </c>
      <c r="O906">
        <v>3.9999995000000066</v>
      </c>
      <c r="P906">
        <v>234.47900000000001</v>
      </c>
      <c r="Q906" s="125">
        <v>0</v>
      </c>
      <c r="R906" s="125">
        <v>0</v>
      </c>
      <c r="S906" s="125">
        <v>0.29399999999999998</v>
      </c>
      <c r="T906" s="125">
        <v>5.944</v>
      </c>
      <c r="U906" s="125">
        <v>0</v>
      </c>
      <c r="V906" s="125">
        <v>0.434</v>
      </c>
      <c r="W906" s="125">
        <v>0</v>
      </c>
      <c r="X906" s="125">
        <v>0</v>
      </c>
      <c r="Y906" s="125">
        <v>0</v>
      </c>
      <c r="Z906" s="125">
        <v>1.873</v>
      </c>
      <c r="AA906" s="125">
        <v>3.1960000000000002</v>
      </c>
      <c r="AB906" s="125">
        <v>18.594000000000001</v>
      </c>
      <c r="AC906" s="125">
        <v>142.4</v>
      </c>
      <c r="AD906" s="125">
        <v>5.5E-2</v>
      </c>
      <c r="AE906" s="125">
        <v>17.707999999999998</v>
      </c>
      <c r="AF906" s="125">
        <v>11.72395</v>
      </c>
      <c r="AG906" s="125">
        <v>0</v>
      </c>
      <c r="AH906" s="125">
        <v>0</v>
      </c>
      <c r="AI906" s="121">
        <v>1435397</v>
      </c>
      <c r="AJ906" s="121">
        <v>0</v>
      </c>
      <c r="AK906" s="424">
        <v>12</v>
      </c>
      <c r="AL906">
        <v>0</v>
      </c>
      <c r="AM906" s="121">
        <v>36168</v>
      </c>
      <c r="AN906" s="125">
        <v>0</v>
      </c>
      <c r="AO906" s="125">
        <v>0</v>
      </c>
      <c r="AP906" s="121">
        <v>1435397</v>
      </c>
      <c r="AQ906" s="114">
        <v>0</v>
      </c>
      <c r="AR906" s="121">
        <v>89.405099503000002</v>
      </c>
      <c r="AS906" s="121">
        <v>17568.382805000001</v>
      </c>
      <c r="AT906" s="121">
        <v>2313.7481373999999</v>
      </c>
      <c r="AU906" s="420" t="s">
        <v>798</v>
      </c>
      <c r="AV906" s="420" t="s">
        <v>2001</v>
      </c>
      <c r="AW906" s="121">
        <v>0</v>
      </c>
      <c r="AX906" s="121">
        <v>0</v>
      </c>
      <c r="AY906" s="134">
        <v>477028</v>
      </c>
      <c r="AZ906" s="134">
        <v>620837</v>
      </c>
      <c r="BA906" s="114">
        <v>208</v>
      </c>
      <c r="BB906" s="134">
        <v>133587389</v>
      </c>
      <c r="BC906" s="114">
        <v>0</v>
      </c>
      <c r="BD906" s="114">
        <v>0</v>
      </c>
      <c r="BE906" s="114">
        <v>0</v>
      </c>
      <c r="BF906" s="114">
        <v>201</v>
      </c>
      <c r="BG906" s="114">
        <v>0</v>
      </c>
      <c r="BH906" s="114">
        <v>0</v>
      </c>
      <c r="BI906">
        <v>0</v>
      </c>
      <c r="BJ906" s="121">
        <v>0</v>
      </c>
      <c r="BK906" s="134">
        <v>134129211</v>
      </c>
      <c r="BL906" s="934">
        <v>5062</v>
      </c>
      <c r="BM906" s="934">
        <v>5279</v>
      </c>
      <c r="BN906" s="934">
        <v>5221</v>
      </c>
      <c r="BO906" s="114">
        <v>0</v>
      </c>
      <c r="BP906" s="114">
        <v>0</v>
      </c>
    </row>
    <row r="907" spans="1:68">
      <c r="A907" t="s">
        <v>1783</v>
      </c>
      <c r="B907" t="s">
        <v>706</v>
      </c>
      <c r="C907" s="121">
        <v>5140</v>
      </c>
      <c r="D907" s="72">
        <v>2</v>
      </c>
      <c r="E907">
        <v>69.093000000000004</v>
      </c>
      <c r="F907">
        <v>25</v>
      </c>
      <c r="G907">
        <v>13</v>
      </c>
      <c r="H907">
        <v>3</v>
      </c>
      <c r="I907" s="173">
        <v>1.04</v>
      </c>
      <c r="J907" s="121">
        <v>114760652</v>
      </c>
      <c r="K907" s="125">
        <v>399.089</v>
      </c>
      <c r="L907" s="173">
        <v>1.5</v>
      </c>
      <c r="M907">
        <v>1.04</v>
      </c>
      <c r="N907">
        <v>1.000000005</v>
      </c>
      <c r="O907">
        <v>3.9999995000000066</v>
      </c>
      <c r="P907">
        <v>193.87100000000001</v>
      </c>
      <c r="Q907" s="125">
        <v>0</v>
      </c>
      <c r="R907" s="125">
        <v>0</v>
      </c>
      <c r="S907" s="125">
        <v>0.34699999999999998</v>
      </c>
      <c r="T907" s="125">
        <v>3.972</v>
      </c>
      <c r="U907" s="125">
        <v>0.997</v>
      </c>
      <c r="V907" s="125">
        <v>0</v>
      </c>
      <c r="W907" s="125">
        <v>0</v>
      </c>
      <c r="X907" s="125">
        <v>0</v>
      </c>
      <c r="Y907" s="125">
        <v>0</v>
      </c>
      <c r="Z907" s="125">
        <v>0</v>
      </c>
      <c r="AA907" s="125">
        <v>8.11</v>
      </c>
      <c r="AB907" s="125">
        <v>20.158000000000001</v>
      </c>
      <c r="AC907" s="125">
        <v>125.4</v>
      </c>
      <c r="AD907" s="125">
        <v>0</v>
      </c>
      <c r="AE907" s="125">
        <v>2.2930000000000001</v>
      </c>
      <c r="AF907" s="125">
        <v>9.6935500000000001</v>
      </c>
      <c r="AG907" s="125">
        <v>0</v>
      </c>
      <c r="AH907" s="125">
        <v>0</v>
      </c>
      <c r="AI907" s="121">
        <v>1165102</v>
      </c>
      <c r="AJ907" s="121">
        <v>0</v>
      </c>
      <c r="AK907" s="424">
        <v>12</v>
      </c>
      <c r="AL907">
        <v>0</v>
      </c>
      <c r="AM907" s="121">
        <v>29220</v>
      </c>
      <c r="AN907" s="125">
        <v>0</v>
      </c>
      <c r="AO907" s="125">
        <v>0</v>
      </c>
      <c r="AP907" s="121">
        <v>1165102</v>
      </c>
      <c r="AQ907" s="114">
        <v>0</v>
      </c>
      <c r="AR907" s="121">
        <v>76.494802652000004</v>
      </c>
      <c r="AS907" s="121">
        <v>15031.468933</v>
      </c>
      <c r="AT907" s="121">
        <v>1979.6377179000001</v>
      </c>
      <c r="AU907" s="420" t="s">
        <v>2001</v>
      </c>
      <c r="AV907" s="420" t="s">
        <v>2001</v>
      </c>
      <c r="AW907" s="121">
        <v>0</v>
      </c>
      <c r="AX907" s="121">
        <v>0</v>
      </c>
      <c r="BI907">
        <v>0</v>
      </c>
      <c r="BJ907" s="121">
        <v>0</v>
      </c>
      <c r="BK907" s="134">
        <v>107772045</v>
      </c>
      <c r="BL907" s="934">
        <v>4862</v>
      </c>
      <c r="BM907" s="934">
        <v>5140</v>
      </c>
      <c r="BN907" s="934">
        <v>4943</v>
      </c>
      <c r="BO907" s="114">
        <v>0</v>
      </c>
      <c r="BP907" s="114">
        <v>0</v>
      </c>
    </row>
    <row r="908" spans="1:68">
      <c r="A908" t="s">
        <v>1784</v>
      </c>
      <c r="B908" t="s">
        <v>707</v>
      </c>
      <c r="C908" s="121">
        <v>4963</v>
      </c>
      <c r="D908" s="72">
        <v>1</v>
      </c>
      <c r="E908">
        <v>44.713999999999999</v>
      </c>
      <c r="F908">
        <v>15</v>
      </c>
      <c r="G908">
        <v>6</v>
      </c>
      <c r="H908">
        <v>0</v>
      </c>
      <c r="I908" s="173">
        <v>1.17</v>
      </c>
      <c r="J908" s="121">
        <v>34002976</v>
      </c>
      <c r="K908" s="125">
        <v>231.822</v>
      </c>
      <c r="L908" s="173">
        <v>1.5</v>
      </c>
      <c r="M908">
        <v>1.17</v>
      </c>
      <c r="N908">
        <v>1.000000005</v>
      </c>
      <c r="O908">
        <v>16.999999499999994</v>
      </c>
      <c r="P908">
        <v>91</v>
      </c>
      <c r="Q908" s="125">
        <v>0</v>
      </c>
      <c r="R908" s="125">
        <v>0</v>
      </c>
      <c r="S908" s="125">
        <v>0.112</v>
      </c>
      <c r="T908" s="125">
        <v>3.2</v>
      </c>
      <c r="U908" s="125">
        <v>0</v>
      </c>
      <c r="V908" s="125">
        <v>0</v>
      </c>
      <c r="W908" s="125">
        <v>0</v>
      </c>
      <c r="X908" s="125">
        <v>0</v>
      </c>
      <c r="Y908" s="125">
        <v>0</v>
      </c>
      <c r="Z908" s="125">
        <v>0</v>
      </c>
      <c r="AA908" s="125">
        <v>2</v>
      </c>
      <c r="AB908" s="125">
        <v>9.5</v>
      </c>
      <c r="AC908" s="125">
        <v>42</v>
      </c>
      <c r="AD908" s="125">
        <v>0</v>
      </c>
      <c r="AE908" s="125">
        <v>1.5</v>
      </c>
      <c r="AF908" s="125">
        <v>4.55</v>
      </c>
      <c r="AG908" s="125">
        <v>0</v>
      </c>
      <c r="AH908" s="125">
        <v>0</v>
      </c>
      <c r="AI908" s="121">
        <v>373183</v>
      </c>
      <c r="AJ908" s="121">
        <v>0</v>
      </c>
      <c r="AK908" s="424">
        <v>12</v>
      </c>
      <c r="AL908">
        <v>0</v>
      </c>
      <c r="AM908" s="121">
        <v>13562</v>
      </c>
      <c r="AN908" s="125">
        <v>0</v>
      </c>
      <c r="AO908" s="125">
        <v>0</v>
      </c>
      <c r="AP908" s="121">
        <v>373183</v>
      </c>
      <c r="AQ908" s="114">
        <v>0</v>
      </c>
      <c r="AR908" s="121">
        <v>22.665006499</v>
      </c>
      <c r="AS908" s="121">
        <v>4453.7449505000004</v>
      </c>
      <c r="AT908" s="121">
        <v>586.55621282000004</v>
      </c>
      <c r="AU908" s="420" t="s">
        <v>2001</v>
      </c>
      <c r="AV908" s="420" t="s">
        <v>2001</v>
      </c>
      <c r="AW908" s="121">
        <v>0</v>
      </c>
      <c r="AX908" s="121">
        <v>0</v>
      </c>
      <c r="BI908">
        <v>0</v>
      </c>
      <c r="BJ908" s="121">
        <v>0</v>
      </c>
      <c r="BK908" s="134">
        <v>30997028</v>
      </c>
      <c r="BL908" s="934">
        <v>4963</v>
      </c>
      <c r="BM908" s="934">
        <v>4909</v>
      </c>
      <c r="BN908" s="934">
        <v>4909</v>
      </c>
      <c r="BO908" s="114">
        <v>0</v>
      </c>
      <c r="BP908" s="114">
        <v>0</v>
      </c>
    </row>
    <row r="909" spans="1:68">
      <c r="A909" t="s">
        <v>1785</v>
      </c>
      <c r="B909" t="s">
        <v>708</v>
      </c>
      <c r="C909" s="121">
        <v>4714</v>
      </c>
      <c r="D909" s="72">
        <v>1</v>
      </c>
      <c r="E909">
        <v>1273.9659999999999</v>
      </c>
      <c r="F909">
        <v>452</v>
      </c>
      <c r="G909">
        <v>466</v>
      </c>
      <c r="H909">
        <v>37</v>
      </c>
      <c r="I909" s="173">
        <v>1.04</v>
      </c>
      <c r="J909" s="121">
        <v>2030904358</v>
      </c>
      <c r="K909" s="125">
        <v>7057.0940000000001</v>
      </c>
      <c r="L909" s="173">
        <v>1.5</v>
      </c>
      <c r="M909">
        <v>1.04</v>
      </c>
      <c r="N909">
        <v>1.000000005</v>
      </c>
      <c r="O909">
        <v>3.9999995000000066</v>
      </c>
      <c r="P909">
        <v>4933.0169999999998</v>
      </c>
      <c r="Q909" s="125">
        <v>0.42</v>
      </c>
      <c r="R909" s="125">
        <v>0</v>
      </c>
      <c r="S909" s="125">
        <v>10.250999999999999</v>
      </c>
      <c r="T909" s="125">
        <v>103</v>
      </c>
      <c r="U909" s="125">
        <v>44.674999999999997</v>
      </c>
      <c r="V909" s="125">
        <v>0.73399999999999999</v>
      </c>
      <c r="W909" s="125">
        <v>1.04</v>
      </c>
      <c r="X909" s="125">
        <v>0</v>
      </c>
      <c r="Y909" s="125">
        <v>0</v>
      </c>
      <c r="Z909" s="125">
        <v>0</v>
      </c>
      <c r="AA909" s="125">
        <v>248</v>
      </c>
      <c r="AB909" s="125">
        <v>390.54899999999998</v>
      </c>
      <c r="AC909" s="125">
        <v>4447</v>
      </c>
      <c r="AD909" s="125">
        <v>5.1520000000000001</v>
      </c>
      <c r="AE909" s="125">
        <v>1425</v>
      </c>
      <c r="AF909" s="125">
        <v>246.65084999999999</v>
      </c>
      <c r="AG909" s="125">
        <v>0</v>
      </c>
      <c r="AH909" s="125">
        <v>0</v>
      </c>
      <c r="AI909" s="121">
        <v>20786335</v>
      </c>
      <c r="AJ909" s="121">
        <v>1401041</v>
      </c>
      <c r="AK909" s="424">
        <v>12</v>
      </c>
      <c r="AL909">
        <v>0</v>
      </c>
      <c r="AM909" s="121">
        <v>474019</v>
      </c>
      <c r="AN909" s="125">
        <v>0</v>
      </c>
      <c r="AO909" s="125">
        <v>0</v>
      </c>
      <c r="AP909" s="121">
        <v>22187376</v>
      </c>
      <c r="AQ909" s="114">
        <v>0</v>
      </c>
      <c r="AR909" s="121">
        <v>1353.7185886</v>
      </c>
      <c r="AS909" s="121">
        <v>266009.95366</v>
      </c>
      <c r="AT909" s="121">
        <v>35033.391610999999</v>
      </c>
      <c r="AU909" s="420" t="s">
        <v>2001</v>
      </c>
      <c r="AV909" s="420" t="s">
        <v>2001</v>
      </c>
      <c r="AW909" s="121">
        <v>0</v>
      </c>
      <c r="AX909" s="121">
        <v>2501048</v>
      </c>
      <c r="BI909">
        <v>0</v>
      </c>
      <c r="BJ909" s="121">
        <v>0</v>
      </c>
      <c r="BK909" s="134">
        <v>2030904358</v>
      </c>
      <c r="BL909" s="934">
        <v>4714</v>
      </c>
      <c r="BM909" s="934">
        <v>4706</v>
      </c>
      <c r="BN909" s="934">
        <v>4706</v>
      </c>
      <c r="BO909" s="114">
        <v>0</v>
      </c>
      <c r="BP909" s="114">
        <v>0</v>
      </c>
    </row>
    <row r="910" spans="1:68">
      <c r="A910" t="s">
        <v>2062</v>
      </c>
      <c r="B910" t="s">
        <v>1868</v>
      </c>
      <c r="C910" s="121">
        <v>3970</v>
      </c>
      <c r="D910" s="72">
        <v>1</v>
      </c>
      <c r="E910">
        <v>0</v>
      </c>
      <c r="F910">
        <v>13</v>
      </c>
      <c r="G910">
        <v>11</v>
      </c>
      <c r="H910">
        <v>0</v>
      </c>
      <c r="I910" s="173">
        <v>1.04</v>
      </c>
      <c r="J910" s="121">
        <v>45813897</v>
      </c>
      <c r="K910" s="125">
        <v>253.22900000000001</v>
      </c>
      <c r="L910" s="173">
        <v>1.5</v>
      </c>
      <c r="M910">
        <v>1.04</v>
      </c>
      <c r="N910">
        <v>1.000000005</v>
      </c>
      <c r="O910">
        <v>3.9999995000000066</v>
      </c>
      <c r="P910">
        <v>136.006</v>
      </c>
      <c r="Q910" s="125">
        <v>0</v>
      </c>
      <c r="R910" s="125">
        <v>0</v>
      </c>
      <c r="S910" s="125">
        <v>3.5000000000000003E-2</v>
      </c>
      <c r="T910" s="125">
        <v>0.59499999999999997</v>
      </c>
      <c r="U910" s="125">
        <v>0</v>
      </c>
      <c r="V910" s="125">
        <v>0</v>
      </c>
      <c r="W910" s="125">
        <v>0</v>
      </c>
      <c r="X910" s="125">
        <v>0</v>
      </c>
      <c r="Y910" s="125">
        <v>0</v>
      </c>
      <c r="Z910" s="125">
        <v>0</v>
      </c>
      <c r="AA910" s="125">
        <v>9.2040000000000006</v>
      </c>
      <c r="AB910" s="125">
        <v>0</v>
      </c>
      <c r="AC910" s="125">
        <v>134.6</v>
      </c>
      <c r="AD910" s="125">
        <v>0</v>
      </c>
      <c r="AE910" s="125">
        <v>69.441000000000003</v>
      </c>
      <c r="AF910" s="125">
        <v>6.8</v>
      </c>
      <c r="AG910" s="125">
        <v>0</v>
      </c>
      <c r="AH910" s="125">
        <v>0</v>
      </c>
      <c r="AI910" s="121">
        <v>490282</v>
      </c>
      <c r="AJ910" s="121">
        <v>0</v>
      </c>
      <c r="AK910" s="424">
        <v>8</v>
      </c>
      <c r="AL910">
        <v>0</v>
      </c>
      <c r="AM910" s="121">
        <v>11532</v>
      </c>
      <c r="AN910" s="125">
        <v>0</v>
      </c>
      <c r="AO910" s="125">
        <v>0</v>
      </c>
      <c r="AP910" s="121">
        <v>490282</v>
      </c>
      <c r="AQ910" s="114">
        <v>0</v>
      </c>
      <c r="AR910" s="121">
        <v>30.537688168999999</v>
      </c>
      <c r="AS910" s="121">
        <v>6000.7516207999997</v>
      </c>
      <c r="AT910" s="121">
        <v>790.29629756999998</v>
      </c>
      <c r="AU910" s="420" t="s">
        <v>2001</v>
      </c>
      <c r="AV910" s="420" t="s">
        <v>2001</v>
      </c>
      <c r="AW910" s="121">
        <v>0</v>
      </c>
      <c r="AX910" s="121">
        <v>0</v>
      </c>
      <c r="BI910">
        <v>0</v>
      </c>
      <c r="BJ910" s="121">
        <v>0</v>
      </c>
      <c r="BK910" s="134">
        <v>45813897</v>
      </c>
      <c r="BL910" s="934">
        <v>3970</v>
      </c>
      <c r="BM910" s="934">
        <v>3900</v>
      </c>
      <c r="BN910" s="934">
        <v>3900</v>
      </c>
      <c r="BO910" s="134">
        <v>60919</v>
      </c>
      <c r="BP910" s="134">
        <v>101969</v>
      </c>
    </row>
    <row r="911" spans="1:68">
      <c r="A911" t="s">
        <v>305</v>
      </c>
      <c r="B911" t="s">
        <v>735</v>
      </c>
      <c r="C911" s="121">
        <v>4528</v>
      </c>
      <c r="D911" s="72">
        <v>1</v>
      </c>
      <c r="E911">
        <v>304.21199999999999</v>
      </c>
      <c r="F911">
        <v>73</v>
      </c>
      <c r="G911">
        <v>40</v>
      </c>
      <c r="H911">
        <v>6</v>
      </c>
      <c r="I911" s="173">
        <v>1.04</v>
      </c>
      <c r="J911" s="121">
        <v>88107890</v>
      </c>
      <c r="K911" s="125">
        <v>1269.3409999999999</v>
      </c>
      <c r="L911" s="173">
        <v>1.427</v>
      </c>
      <c r="M911">
        <v>1.04</v>
      </c>
      <c r="N911">
        <v>0.95133333809000009</v>
      </c>
      <c r="O911">
        <v>8.8666661909999949</v>
      </c>
      <c r="P911">
        <v>826</v>
      </c>
      <c r="Q911" s="125">
        <v>0.22</v>
      </c>
      <c r="R911" s="125">
        <v>0</v>
      </c>
      <c r="S911" s="125">
        <v>1.8</v>
      </c>
      <c r="T911" s="125">
        <v>19</v>
      </c>
      <c r="U911" s="125">
        <v>0.8</v>
      </c>
      <c r="V911" s="125">
        <v>2.75</v>
      </c>
      <c r="W911" s="125">
        <v>2.38</v>
      </c>
      <c r="X911" s="125">
        <v>0</v>
      </c>
      <c r="Y911" s="125">
        <v>0</v>
      </c>
      <c r="Z911" s="125">
        <v>0</v>
      </c>
      <c r="AA911" s="125">
        <v>20</v>
      </c>
      <c r="AB911" s="125">
        <v>105</v>
      </c>
      <c r="AC911" s="125">
        <v>340</v>
      </c>
      <c r="AD911" s="125">
        <v>0.2</v>
      </c>
      <c r="AE911" s="125">
        <v>70</v>
      </c>
      <c r="AF911" s="125">
        <v>41.3</v>
      </c>
      <c r="AG911" s="125">
        <v>0</v>
      </c>
      <c r="AH911" s="125">
        <v>0</v>
      </c>
      <c r="AI911" s="121">
        <v>952517</v>
      </c>
      <c r="AJ911" s="121">
        <v>95548</v>
      </c>
      <c r="AK911" s="424">
        <v>8</v>
      </c>
      <c r="AL911">
        <v>0</v>
      </c>
      <c r="AM911" s="121">
        <v>59977</v>
      </c>
      <c r="AN911" s="125">
        <v>0</v>
      </c>
      <c r="AO911" s="125">
        <v>0</v>
      </c>
      <c r="AP911" s="121">
        <v>1048065</v>
      </c>
      <c r="AQ911" s="114">
        <v>0</v>
      </c>
      <c r="AR911" s="121">
        <v>58.729150896999997</v>
      </c>
      <c r="AS911" s="121">
        <v>11540.462573999999</v>
      </c>
      <c r="AT911" s="121">
        <v>1519.873746</v>
      </c>
      <c r="AU911" s="420" t="s">
        <v>2001</v>
      </c>
      <c r="AV911" s="420" t="s">
        <v>2001</v>
      </c>
      <c r="AW911" s="121">
        <v>0</v>
      </c>
      <c r="AX911" s="121">
        <v>323164</v>
      </c>
      <c r="BI911">
        <v>0</v>
      </c>
      <c r="BJ911" s="121">
        <v>0</v>
      </c>
      <c r="BK911" s="134">
        <v>88107890</v>
      </c>
      <c r="BL911" s="934">
        <v>4528</v>
      </c>
      <c r="BM911" s="934">
        <v>4463</v>
      </c>
      <c r="BN911" s="934">
        <v>4510</v>
      </c>
      <c r="BO911" s="114">
        <v>0</v>
      </c>
      <c r="BP911" s="114">
        <v>0</v>
      </c>
    </row>
    <row r="912" spans="1:68">
      <c r="A912" t="s">
        <v>2063</v>
      </c>
      <c r="B912" t="s">
        <v>1869</v>
      </c>
      <c r="C912" s="121">
        <v>4922</v>
      </c>
      <c r="D912" s="72">
        <v>3</v>
      </c>
      <c r="E912">
        <v>0</v>
      </c>
      <c r="F912">
        <v>35</v>
      </c>
      <c r="G912">
        <v>24</v>
      </c>
      <c r="H912">
        <v>1</v>
      </c>
      <c r="I912" s="173">
        <v>1.04</v>
      </c>
      <c r="J912" s="121">
        <v>107621701</v>
      </c>
      <c r="K912" s="125">
        <v>710.65</v>
      </c>
      <c r="L912" s="173">
        <v>1.4</v>
      </c>
      <c r="M912">
        <v>1.04</v>
      </c>
      <c r="N912">
        <v>0.93333333799999996</v>
      </c>
      <c r="O912">
        <v>10.666666200000009</v>
      </c>
      <c r="P912">
        <v>436.51400000000001</v>
      </c>
      <c r="Q912" s="125">
        <v>2.7E-2</v>
      </c>
      <c r="R912" s="125">
        <v>0</v>
      </c>
      <c r="S912" s="125">
        <v>1.1499999999999999</v>
      </c>
      <c r="T912" s="125">
        <v>8.1</v>
      </c>
      <c r="U912" s="125">
        <v>0.53200000000000003</v>
      </c>
      <c r="V912" s="125">
        <v>2.3130000000000002</v>
      </c>
      <c r="W912" s="125">
        <v>0</v>
      </c>
      <c r="X912" s="125">
        <v>0</v>
      </c>
      <c r="Y912" s="125">
        <v>0</v>
      </c>
      <c r="Z912" s="125">
        <v>0</v>
      </c>
      <c r="AA912" s="125">
        <v>13.787000000000001</v>
      </c>
      <c r="AB912" s="125">
        <v>0</v>
      </c>
      <c r="AC912" s="125">
        <v>246.7</v>
      </c>
      <c r="AD912" s="125">
        <v>0</v>
      </c>
      <c r="AE912" s="125">
        <v>138.84800000000001</v>
      </c>
      <c r="AF912" s="125">
        <v>21.825700000000001</v>
      </c>
      <c r="AG912" s="125">
        <v>0</v>
      </c>
      <c r="AH912" s="125">
        <v>0</v>
      </c>
      <c r="AI912" s="121">
        <v>1163477</v>
      </c>
      <c r="AJ912" s="121">
        <v>0</v>
      </c>
      <c r="AK912" s="424">
        <v>8</v>
      </c>
      <c r="AL912">
        <v>0</v>
      </c>
      <c r="AM912" s="121">
        <v>18123</v>
      </c>
      <c r="AN912" s="125">
        <v>0</v>
      </c>
      <c r="AO912" s="125">
        <v>0</v>
      </c>
      <c r="AP912" s="121">
        <v>1163477</v>
      </c>
      <c r="AQ912" s="114">
        <v>0</v>
      </c>
      <c r="AR912" s="121">
        <v>71.736266954000001</v>
      </c>
      <c r="AS912" s="121">
        <v>14096.401725</v>
      </c>
      <c r="AT912" s="121">
        <v>1856.4897860000001</v>
      </c>
      <c r="AU912" s="420" t="s">
        <v>2001</v>
      </c>
      <c r="AV912" s="420" t="s">
        <v>2001</v>
      </c>
      <c r="AW912" s="121">
        <v>0</v>
      </c>
      <c r="AX912" s="121">
        <v>0</v>
      </c>
      <c r="BI912">
        <v>0</v>
      </c>
      <c r="BJ912" s="121">
        <v>0</v>
      </c>
      <c r="BK912" s="134">
        <v>107621701</v>
      </c>
      <c r="BL912" s="934">
        <v>4791</v>
      </c>
      <c r="BM912" s="934">
        <v>4773</v>
      </c>
      <c r="BN912" s="934">
        <v>4922</v>
      </c>
      <c r="BO912" s="134">
        <v>167238</v>
      </c>
      <c r="BP912" s="134">
        <v>238894</v>
      </c>
    </row>
    <row r="913" spans="1:68">
      <c r="A913" t="s">
        <v>2797</v>
      </c>
      <c r="B913" t="s">
        <v>2179</v>
      </c>
      <c r="C913" s="121">
        <v>4493</v>
      </c>
      <c r="D913" s="72">
        <v>2</v>
      </c>
      <c r="E913">
        <v>115.842</v>
      </c>
      <c r="F913">
        <v>35</v>
      </c>
      <c r="G913">
        <v>30</v>
      </c>
      <c r="H913">
        <v>0</v>
      </c>
      <c r="I913" s="173">
        <v>1.04</v>
      </c>
      <c r="J913" s="121">
        <v>118861950</v>
      </c>
      <c r="K913" s="125">
        <v>711.72400000000005</v>
      </c>
      <c r="L913" s="173">
        <v>1.5</v>
      </c>
      <c r="M913">
        <v>1.04</v>
      </c>
      <c r="N913">
        <v>1.000000005</v>
      </c>
      <c r="O913">
        <v>3.9999995000000066</v>
      </c>
      <c r="P913">
        <v>382.42200000000003</v>
      </c>
      <c r="Q913" s="125">
        <v>0</v>
      </c>
      <c r="R913" s="125">
        <v>0</v>
      </c>
      <c r="S913" s="125">
        <v>0.52200000000000002</v>
      </c>
      <c r="T913" s="125">
        <v>15.127000000000001</v>
      </c>
      <c r="U913" s="125">
        <v>0.23699999999999999</v>
      </c>
      <c r="V913" s="125">
        <v>6.6719999999999997</v>
      </c>
      <c r="W913" s="125">
        <v>0.84399999999999997</v>
      </c>
      <c r="X913" s="125">
        <v>0</v>
      </c>
      <c r="Y913" s="125">
        <v>0</v>
      </c>
      <c r="Z913" s="125">
        <v>0</v>
      </c>
      <c r="AA913" s="125">
        <v>4.6989999999999998</v>
      </c>
      <c r="AB913" s="125">
        <v>10.919</v>
      </c>
      <c r="AC913" s="125">
        <v>140.69999999999999</v>
      </c>
      <c r="AD913" s="125">
        <v>0</v>
      </c>
      <c r="AE913" s="125">
        <v>5.4359999999999999</v>
      </c>
      <c r="AF913" s="125">
        <v>19.120999999999999</v>
      </c>
      <c r="AG913" s="125">
        <v>0</v>
      </c>
      <c r="AH913" s="125">
        <v>0</v>
      </c>
      <c r="AI913" s="121">
        <v>1284993</v>
      </c>
      <c r="AJ913" s="121">
        <v>100472</v>
      </c>
      <c r="AK913" s="424">
        <v>12</v>
      </c>
      <c r="AL913">
        <v>0</v>
      </c>
      <c r="AM913" s="121">
        <v>40174</v>
      </c>
      <c r="AN913" s="125">
        <v>0</v>
      </c>
      <c r="AO913" s="125">
        <v>0</v>
      </c>
      <c r="AP913" s="121">
        <v>1385465</v>
      </c>
      <c r="AQ913" s="114">
        <v>0</v>
      </c>
      <c r="AR913" s="121">
        <v>79.228561681000002</v>
      </c>
      <c r="AS913" s="121">
        <v>15568.661166</v>
      </c>
      <c r="AT913" s="121">
        <v>2050.3856943000001</v>
      </c>
      <c r="AU913" s="420" t="s">
        <v>2001</v>
      </c>
      <c r="AV913" s="420" t="s">
        <v>2001</v>
      </c>
      <c r="AW913" s="121">
        <v>0</v>
      </c>
      <c r="AX913" s="121">
        <v>114831</v>
      </c>
      <c r="BI913">
        <v>0</v>
      </c>
      <c r="BJ913" s="121">
        <v>0</v>
      </c>
      <c r="BK913" s="134">
        <v>118861950</v>
      </c>
      <c r="BL913" s="934">
        <v>4455</v>
      </c>
      <c r="BM913" s="934">
        <v>4493</v>
      </c>
      <c r="BN913" s="934">
        <v>4419</v>
      </c>
      <c r="BO913" s="114">
        <v>0</v>
      </c>
      <c r="BP913" s="114">
        <v>0</v>
      </c>
    </row>
    <row r="914" spans="1:68">
      <c r="A914" t="s">
        <v>1488</v>
      </c>
      <c r="B914" t="s">
        <v>2307</v>
      </c>
      <c r="C914" s="121">
        <v>4609</v>
      </c>
      <c r="D914" s="72">
        <v>2</v>
      </c>
      <c r="E914">
        <v>3921.01</v>
      </c>
      <c r="F914">
        <v>1058</v>
      </c>
      <c r="G914">
        <v>792</v>
      </c>
      <c r="H914">
        <v>75</v>
      </c>
      <c r="I914" s="173">
        <v>1.04</v>
      </c>
      <c r="J914" s="121">
        <v>2955169446</v>
      </c>
      <c r="K914" s="125">
        <v>17066.771000000001</v>
      </c>
      <c r="L914" s="173">
        <v>1.5</v>
      </c>
      <c r="M914">
        <v>1.04</v>
      </c>
      <c r="N914">
        <v>1.000000005</v>
      </c>
      <c r="O914">
        <v>3.9999995000000066</v>
      </c>
      <c r="P914">
        <v>12800.871999999999</v>
      </c>
      <c r="Q914" s="125">
        <v>0.81599999999999995</v>
      </c>
      <c r="R914" s="125">
        <v>0</v>
      </c>
      <c r="S914" s="125">
        <v>16.427</v>
      </c>
      <c r="T914" s="125">
        <v>295.81599999999997</v>
      </c>
      <c r="U914" s="125">
        <v>175.489</v>
      </c>
      <c r="V914" s="125">
        <v>0</v>
      </c>
      <c r="W914" s="125">
        <v>9.8580000000000005</v>
      </c>
      <c r="X914" s="125">
        <v>0</v>
      </c>
      <c r="Y914" s="125">
        <v>0</v>
      </c>
      <c r="Z914" s="125">
        <v>13.778</v>
      </c>
      <c r="AA914" s="125">
        <v>512.59199999999998</v>
      </c>
      <c r="AB914" s="125">
        <v>618.27599999999995</v>
      </c>
      <c r="AC914" s="125">
        <v>8867.7999999999993</v>
      </c>
      <c r="AD914" s="125">
        <v>7.5309999999999997</v>
      </c>
      <c r="AE914" s="125">
        <v>800.95</v>
      </c>
      <c r="AF914" s="125">
        <v>640.04359999999997</v>
      </c>
      <c r="AG914" s="125">
        <v>0</v>
      </c>
      <c r="AH914" s="125">
        <v>0</v>
      </c>
      <c r="AI914" s="121">
        <v>32042422</v>
      </c>
      <c r="AJ914" s="121">
        <v>1785810</v>
      </c>
      <c r="AK914" s="424">
        <v>12</v>
      </c>
      <c r="AL914">
        <v>0</v>
      </c>
      <c r="AM914" s="121">
        <v>729078</v>
      </c>
      <c r="AN914" s="125">
        <v>0</v>
      </c>
      <c r="AO914" s="125">
        <v>0</v>
      </c>
      <c r="AP914" s="121">
        <v>33828232</v>
      </c>
      <c r="AQ914" s="114">
        <v>0</v>
      </c>
      <c r="AR914" s="121">
        <v>1969.7962614</v>
      </c>
      <c r="AS914" s="121">
        <v>387071.15097999998</v>
      </c>
      <c r="AT914" s="121">
        <v>50977.097011999998</v>
      </c>
      <c r="AU914" s="420" t="s">
        <v>2001</v>
      </c>
      <c r="AV914" s="420" t="s">
        <v>2001</v>
      </c>
      <c r="AW914" s="121">
        <v>0</v>
      </c>
      <c r="AX914" s="121">
        <v>3102126</v>
      </c>
      <c r="BI914">
        <v>0</v>
      </c>
      <c r="BJ914" s="121">
        <v>0</v>
      </c>
      <c r="BK914" s="134">
        <v>2955169446</v>
      </c>
      <c r="BL914" s="934">
        <v>4468</v>
      </c>
      <c r="BM914" s="934">
        <v>4609</v>
      </c>
      <c r="BN914" s="934">
        <v>4609</v>
      </c>
      <c r="BO914" s="114">
        <v>0</v>
      </c>
      <c r="BP914" s="114">
        <v>0</v>
      </c>
    </row>
    <row r="915" spans="1:68">
      <c r="A915" t="s">
        <v>2785</v>
      </c>
      <c r="B915" t="s">
        <v>2180</v>
      </c>
      <c r="C915" s="121">
        <v>4851</v>
      </c>
      <c r="D915" s="72">
        <v>2</v>
      </c>
      <c r="E915">
        <v>108.06699999999999</v>
      </c>
      <c r="F915">
        <v>37</v>
      </c>
      <c r="G915">
        <v>19</v>
      </c>
      <c r="H915">
        <v>4</v>
      </c>
      <c r="I915" s="173">
        <v>1.04</v>
      </c>
      <c r="J915" s="121">
        <v>115565614</v>
      </c>
      <c r="K915" s="125">
        <v>684.54899999999998</v>
      </c>
      <c r="L915" s="173">
        <v>1.5</v>
      </c>
      <c r="M915">
        <v>1.04</v>
      </c>
      <c r="N915">
        <v>1.000000005</v>
      </c>
      <c r="O915">
        <v>3.9999995000000066</v>
      </c>
      <c r="P915">
        <v>322.43700000000001</v>
      </c>
      <c r="Q915" s="125">
        <v>0.17199999999999999</v>
      </c>
      <c r="R915" s="125">
        <v>0</v>
      </c>
      <c r="S915" s="125">
        <v>0.438</v>
      </c>
      <c r="T915" s="125">
        <v>13.117000000000001</v>
      </c>
      <c r="U915" s="125">
        <v>2.1579999999999999</v>
      </c>
      <c r="V915" s="125">
        <v>1.7250000000000001</v>
      </c>
      <c r="W915" s="125">
        <v>0</v>
      </c>
      <c r="X915" s="125">
        <v>18.768999999999998</v>
      </c>
      <c r="Y915" s="125">
        <v>0</v>
      </c>
      <c r="Z915" s="125">
        <v>0</v>
      </c>
      <c r="AA915" s="125">
        <v>9.4380000000000006</v>
      </c>
      <c r="AB915" s="125">
        <v>14.316000000000001</v>
      </c>
      <c r="AC915" s="125">
        <v>163.30000000000001</v>
      </c>
      <c r="AD915" s="125">
        <v>4.1000000000000002E-2</v>
      </c>
      <c r="AE915" s="125">
        <v>1.147</v>
      </c>
      <c r="AF915" s="125">
        <v>16.121849999999998</v>
      </c>
      <c r="AG915" s="125">
        <v>0</v>
      </c>
      <c r="AH915" s="125">
        <v>0</v>
      </c>
      <c r="AI915" s="121">
        <v>1198287</v>
      </c>
      <c r="AJ915" s="121">
        <v>213445</v>
      </c>
      <c r="AK915" s="424">
        <v>12</v>
      </c>
      <c r="AL915">
        <v>0</v>
      </c>
      <c r="AM915" s="121">
        <v>38778</v>
      </c>
      <c r="AN915" s="125">
        <v>0</v>
      </c>
      <c r="AO915" s="125">
        <v>0</v>
      </c>
      <c r="AP915" s="121">
        <v>1411732</v>
      </c>
      <c r="AQ915" s="114">
        <v>0</v>
      </c>
      <c r="AR915" s="121">
        <v>77.031357939000003</v>
      </c>
      <c r="AS915" s="121">
        <v>15136.903732000001</v>
      </c>
      <c r="AT915" s="121">
        <v>1993.5234336999999</v>
      </c>
      <c r="AU915" s="420" t="s">
        <v>2001</v>
      </c>
      <c r="AV915" s="420" t="s">
        <v>2001</v>
      </c>
      <c r="AW915" s="121">
        <v>0</v>
      </c>
      <c r="AX915" s="121">
        <v>245340</v>
      </c>
      <c r="BI915">
        <v>0</v>
      </c>
      <c r="BJ915" s="121">
        <v>0</v>
      </c>
      <c r="BK915" s="134">
        <v>109733207</v>
      </c>
      <c r="BL915" s="934">
        <v>4622</v>
      </c>
      <c r="BM915" s="934">
        <v>4851</v>
      </c>
      <c r="BN915" s="934">
        <v>4661</v>
      </c>
      <c r="BO915" s="114">
        <v>0</v>
      </c>
      <c r="BP915" s="114">
        <v>0</v>
      </c>
    </row>
    <row r="916" spans="1:68">
      <c r="A916" t="s">
        <v>374</v>
      </c>
      <c r="B916" t="s">
        <v>158</v>
      </c>
      <c r="C916" s="121">
        <v>5422</v>
      </c>
      <c r="D916" s="72">
        <v>2</v>
      </c>
      <c r="E916">
        <v>320.26400000000001</v>
      </c>
      <c r="F916">
        <v>117</v>
      </c>
      <c r="G916">
        <v>68</v>
      </c>
      <c r="H916">
        <v>7</v>
      </c>
      <c r="I916" s="173">
        <v>1.04</v>
      </c>
      <c r="J916" s="121">
        <v>174037527</v>
      </c>
      <c r="K916" s="125">
        <v>1511.7080000000001</v>
      </c>
      <c r="L916" s="173">
        <v>1.5</v>
      </c>
      <c r="M916">
        <v>1.04</v>
      </c>
      <c r="N916">
        <v>1.000000005</v>
      </c>
      <c r="O916">
        <v>3.9999995000000066</v>
      </c>
      <c r="P916">
        <v>963.54300000000001</v>
      </c>
      <c r="Q916" s="125">
        <v>5.3999999999999999E-2</v>
      </c>
      <c r="R916" s="125">
        <v>0</v>
      </c>
      <c r="S916" s="125">
        <v>1.339</v>
      </c>
      <c r="T916" s="125">
        <v>19.501000000000001</v>
      </c>
      <c r="U916" s="125">
        <v>2.9129999999999998</v>
      </c>
      <c r="V916" s="125">
        <v>4.6539999999999999</v>
      </c>
      <c r="W916" s="125">
        <v>0.14899999999999999</v>
      </c>
      <c r="X916" s="125">
        <v>0</v>
      </c>
      <c r="Y916" s="125">
        <v>0</v>
      </c>
      <c r="Z916" s="125">
        <v>2.363</v>
      </c>
      <c r="AA916" s="125">
        <v>29.567</v>
      </c>
      <c r="AB916" s="125">
        <v>55.247999999999998</v>
      </c>
      <c r="AC916" s="125">
        <v>316.8</v>
      </c>
      <c r="AD916" s="125">
        <v>0.13600000000000001</v>
      </c>
      <c r="AE916" s="125">
        <v>19.091000000000001</v>
      </c>
      <c r="AF916" s="125">
        <v>48.177</v>
      </c>
      <c r="AG916" s="125">
        <v>0</v>
      </c>
      <c r="AH916" s="125">
        <v>0</v>
      </c>
      <c r="AI916" s="121">
        <v>1900490</v>
      </c>
      <c r="AJ916" s="121">
        <v>105993</v>
      </c>
      <c r="AK916" s="424">
        <v>12</v>
      </c>
      <c r="AL916">
        <v>0</v>
      </c>
      <c r="AM916" s="121">
        <v>436735</v>
      </c>
      <c r="AN916" s="125">
        <v>0</v>
      </c>
      <c r="AO916" s="125">
        <v>0</v>
      </c>
      <c r="AP916" s="121">
        <v>2006483</v>
      </c>
      <c r="AQ916" s="114">
        <v>0</v>
      </c>
      <c r="AR916" s="121">
        <v>116.00636657</v>
      </c>
      <c r="AS916" s="121">
        <v>22795.615318</v>
      </c>
      <c r="AT916" s="121">
        <v>3002.1723152</v>
      </c>
      <c r="AU916" s="420" t="s">
        <v>2001</v>
      </c>
      <c r="AV916" s="420" t="s">
        <v>2001</v>
      </c>
      <c r="AW916" s="121">
        <v>0</v>
      </c>
      <c r="AX916" s="121">
        <v>208625</v>
      </c>
      <c r="BI916">
        <v>0</v>
      </c>
      <c r="BJ916" s="121">
        <v>0</v>
      </c>
      <c r="BK916" s="134">
        <v>174037527</v>
      </c>
      <c r="BL916" s="934">
        <v>5277</v>
      </c>
      <c r="BM916" s="934">
        <v>5422</v>
      </c>
      <c r="BN916" s="934">
        <v>5386</v>
      </c>
      <c r="BO916" s="114">
        <v>0</v>
      </c>
      <c r="BP916" s="114">
        <v>0</v>
      </c>
    </row>
    <row r="917" spans="1:68">
      <c r="A917" t="s">
        <v>1482</v>
      </c>
      <c r="B917" t="s">
        <v>1947</v>
      </c>
      <c r="C917" s="121">
        <v>4664</v>
      </c>
      <c r="D917" s="72">
        <v>2</v>
      </c>
      <c r="E917">
        <v>319.61700000000002</v>
      </c>
      <c r="F917">
        <v>99</v>
      </c>
      <c r="G917">
        <v>68</v>
      </c>
      <c r="H917">
        <v>2</v>
      </c>
      <c r="I917" s="173">
        <v>1.17</v>
      </c>
      <c r="J917" s="121">
        <v>110952614</v>
      </c>
      <c r="K917" s="125">
        <v>1644.7360000000001</v>
      </c>
      <c r="L917" s="173">
        <v>1.5</v>
      </c>
      <c r="M917">
        <v>1.17</v>
      </c>
      <c r="N917">
        <v>1.000000005</v>
      </c>
      <c r="O917">
        <v>16.999999499999994</v>
      </c>
      <c r="P917">
        <v>1080</v>
      </c>
      <c r="Q917" s="125">
        <v>0</v>
      </c>
      <c r="R917" s="125">
        <v>0</v>
      </c>
      <c r="S917" s="125">
        <v>2.4</v>
      </c>
      <c r="T917" s="125">
        <v>25</v>
      </c>
      <c r="U917" s="125">
        <v>18</v>
      </c>
      <c r="V917" s="125">
        <v>0</v>
      </c>
      <c r="W917" s="125">
        <v>1</v>
      </c>
      <c r="X917" s="125">
        <v>0</v>
      </c>
      <c r="Y917" s="125">
        <v>0</v>
      </c>
      <c r="Z917" s="125">
        <v>2</v>
      </c>
      <c r="AA917" s="125">
        <v>55</v>
      </c>
      <c r="AB917" s="125">
        <v>45</v>
      </c>
      <c r="AC917" s="125">
        <v>650</v>
      </c>
      <c r="AD917" s="125">
        <v>0.5</v>
      </c>
      <c r="AE917" s="125">
        <v>44</v>
      </c>
      <c r="AF917" s="125">
        <v>54</v>
      </c>
      <c r="AG917" s="125">
        <v>0</v>
      </c>
      <c r="AH917" s="125">
        <v>0</v>
      </c>
      <c r="AI917" s="121">
        <v>1335540</v>
      </c>
      <c r="AJ917" s="121">
        <v>198838</v>
      </c>
      <c r="AK917" s="424">
        <v>12</v>
      </c>
      <c r="AL917">
        <v>0</v>
      </c>
      <c r="AM917" s="121">
        <v>126654</v>
      </c>
      <c r="AN917" s="125">
        <v>0</v>
      </c>
      <c r="AO917" s="125">
        <v>0</v>
      </c>
      <c r="AP917" s="121">
        <v>1534378</v>
      </c>
      <c r="AQ917" s="114">
        <v>0</v>
      </c>
      <c r="AR917" s="121">
        <v>73.956518794999994</v>
      </c>
      <c r="AS917" s="121">
        <v>14532.688184000001</v>
      </c>
      <c r="AT917" s="121">
        <v>1913.948517</v>
      </c>
      <c r="AU917" s="420" t="s">
        <v>2001</v>
      </c>
      <c r="AV917" s="420" t="s">
        <v>2001</v>
      </c>
      <c r="AW917" s="121">
        <v>0</v>
      </c>
      <c r="AX917" s="121">
        <v>719448</v>
      </c>
      <c r="BI917">
        <v>0</v>
      </c>
      <c r="BJ917" s="121">
        <v>0</v>
      </c>
      <c r="BK917" s="134">
        <v>109811145</v>
      </c>
      <c r="BL917" s="934">
        <v>4648</v>
      </c>
      <c r="BM917" s="934">
        <v>4664</v>
      </c>
      <c r="BN917" s="934">
        <v>4659</v>
      </c>
      <c r="BO917" s="114">
        <v>0</v>
      </c>
      <c r="BP917" s="114">
        <v>0</v>
      </c>
    </row>
    <row r="918" spans="1:68">
      <c r="A918" t="s">
        <v>1422</v>
      </c>
      <c r="B918" t="s">
        <v>3041</v>
      </c>
      <c r="C918" s="121">
        <v>4545</v>
      </c>
      <c r="D918" s="72">
        <v>1</v>
      </c>
      <c r="E918">
        <v>81.369</v>
      </c>
      <c r="F918">
        <v>23</v>
      </c>
      <c r="G918">
        <v>17</v>
      </c>
      <c r="H918">
        <v>2</v>
      </c>
      <c r="I918" s="173">
        <v>1.17</v>
      </c>
      <c r="J918" s="121">
        <v>70414138</v>
      </c>
      <c r="K918" s="125">
        <v>510.48700000000002</v>
      </c>
      <c r="L918" s="173">
        <v>1.5</v>
      </c>
      <c r="M918">
        <v>1.17</v>
      </c>
      <c r="N918">
        <v>1.000000005</v>
      </c>
      <c r="O918">
        <v>16.999999499999994</v>
      </c>
      <c r="P918">
        <v>287.65800000000002</v>
      </c>
      <c r="Q918" s="125">
        <v>7.0000000000000001E-3</v>
      </c>
      <c r="R918" s="125">
        <v>0</v>
      </c>
      <c r="S918" s="125">
        <v>0.70599999999999996</v>
      </c>
      <c r="T918" s="125">
        <v>10.693</v>
      </c>
      <c r="U918" s="125">
        <v>1.393</v>
      </c>
      <c r="V918" s="125">
        <v>2.8610000000000002</v>
      </c>
      <c r="W918" s="125">
        <v>0</v>
      </c>
      <c r="X918" s="125">
        <v>0</v>
      </c>
      <c r="Y918" s="125">
        <v>0</v>
      </c>
      <c r="Z918" s="125">
        <v>0.28100000000000003</v>
      </c>
      <c r="AA918" s="125">
        <v>7.93</v>
      </c>
      <c r="AB918" s="125">
        <v>4.5220000000000002</v>
      </c>
      <c r="AC918" s="125">
        <v>205.9</v>
      </c>
      <c r="AD918" s="125">
        <v>0</v>
      </c>
      <c r="AE918" s="125">
        <v>26.675999999999998</v>
      </c>
      <c r="AF918" s="125">
        <v>14.382899999999999</v>
      </c>
      <c r="AG918" s="125">
        <v>0</v>
      </c>
      <c r="AH918" s="125">
        <v>0</v>
      </c>
      <c r="AI918" s="121">
        <v>791824</v>
      </c>
      <c r="AJ918" s="121">
        <v>75154</v>
      </c>
      <c r="AK918" s="424">
        <v>10</v>
      </c>
      <c r="AL918">
        <v>0</v>
      </c>
      <c r="AM918" s="121">
        <v>35129</v>
      </c>
      <c r="AN918" s="125">
        <v>0</v>
      </c>
      <c r="AO918" s="125">
        <v>0</v>
      </c>
      <c r="AP918" s="121">
        <v>866978</v>
      </c>
      <c r="AQ918" s="114">
        <v>0</v>
      </c>
      <c r="AR918" s="121">
        <v>46.935212499000002</v>
      </c>
      <c r="AS918" s="121">
        <v>9222.9166435999996</v>
      </c>
      <c r="AT918" s="121">
        <v>1214.6539862</v>
      </c>
      <c r="AU918" s="420" t="s">
        <v>2001</v>
      </c>
      <c r="AV918" s="420" t="s">
        <v>2001</v>
      </c>
      <c r="AW918" s="121">
        <v>0</v>
      </c>
      <c r="AX918" s="121">
        <v>122778</v>
      </c>
      <c r="BI918">
        <v>0</v>
      </c>
      <c r="BJ918" s="121">
        <v>0</v>
      </c>
      <c r="BK918" s="134">
        <v>64454518</v>
      </c>
      <c r="BL918" s="934">
        <v>4545</v>
      </c>
      <c r="BM918" s="934">
        <v>4504</v>
      </c>
      <c r="BN918" s="934">
        <v>4501</v>
      </c>
      <c r="BO918" s="114">
        <v>0</v>
      </c>
      <c r="BP918" s="114">
        <v>0</v>
      </c>
    </row>
    <row r="919" spans="1:68">
      <c r="A919" t="s">
        <v>292</v>
      </c>
      <c r="B919" t="s">
        <v>2181</v>
      </c>
      <c r="C919" s="121">
        <v>5756</v>
      </c>
      <c r="D919" s="72">
        <v>2</v>
      </c>
      <c r="E919">
        <v>17886.342000000001</v>
      </c>
      <c r="F919">
        <v>6006</v>
      </c>
      <c r="G919">
        <v>4272</v>
      </c>
      <c r="H919">
        <v>920</v>
      </c>
      <c r="I919" s="173">
        <v>1.04</v>
      </c>
      <c r="J919" s="121">
        <v>53030915597</v>
      </c>
      <c r="K919" s="125">
        <v>101638.189</v>
      </c>
      <c r="L919" s="173">
        <v>1.5</v>
      </c>
      <c r="M919">
        <v>1.04</v>
      </c>
      <c r="N919">
        <v>1.000000005</v>
      </c>
      <c r="O919">
        <v>3.9999995000000066</v>
      </c>
      <c r="P919">
        <v>75220.354999999996</v>
      </c>
      <c r="Q919" s="125">
        <v>7.6870000000000003</v>
      </c>
      <c r="R919" s="125">
        <v>26.815000000000001</v>
      </c>
      <c r="S919" s="125">
        <v>120.68</v>
      </c>
      <c r="T919" s="125">
        <v>1863.451</v>
      </c>
      <c r="U919" s="125">
        <v>885.82600000000002</v>
      </c>
      <c r="V919" s="125">
        <v>36.183999999999997</v>
      </c>
      <c r="W919" s="125">
        <v>79.424000000000007</v>
      </c>
      <c r="X919" s="125">
        <v>0</v>
      </c>
      <c r="Y919" s="125">
        <v>0.104</v>
      </c>
      <c r="Z919" s="125">
        <v>129.24600000000001</v>
      </c>
      <c r="AA919" s="125">
        <v>2280.2570000000001</v>
      </c>
      <c r="AB919" s="125">
        <v>1585.0619999999999</v>
      </c>
      <c r="AC919" s="125">
        <v>54253.599999999999</v>
      </c>
      <c r="AD919" s="125">
        <v>26.849</v>
      </c>
      <c r="AE919" s="125">
        <v>18922.838</v>
      </c>
      <c r="AF919" s="125">
        <v>3761.01775</v>
      </c>
      <c r="AG919" s="125">
        <v>0</v>
      </c>
      <c r="AH919" s="125">
        <v>0</v>
      </c>
      <c r="AI919" s="121">
        <v>567515646</v>
      </c>
      <c r="AJ919" s="121">
        <v>57507125</v>
      </c>
      <c r="AK919" s="424">
        <v>12</v>
      </c>
      <c r="AL919">
        <v>0</v>
      </c>
      <c r="AM919" s="121">
        <v>4558867</v>
      </c>
      <c r="AN919" s="125">
        <v>150.51400000000001</v>
      </c>
      <c r="AO919" s="125">
        <v>1</v>
      </c>
      <c r="AP919" s="121">
        <v>625022771</v>
      </c>
      <c r="AQ919" s="114">
        <v>0</v>
      </c>
      <c r="AR919" s="121">
        <v>0</v>
      </c>
      <c r="AS919" s="121">
        <v>0</v>
      </c>
      <c r="AT919" s="121">
        <v>0</v>
      </c>
      <c r="AU919" s="420" t="s">
        <v>798</v>
      </c>
      <c r="AV919" s="420" t="s">
        <v>2001</v>
      </c>
      <c r="AW919" s="121">
        <v>0</v>
      </c>
      <c r="AX919" s="121">
        <v>57540584</v>
      </c>
      <c r="AY919" s="134">
        <v>67682077</v>
      </c>
      <c r="AZ919" s="134">
        <v>195434372</v>
      </c>
      <c r="BA919" s="134">
        <v>82685</v>
      </c>
      <c r="BB919" s="134">
        <v>16517525236</v>
      </c>
      <c r="BC919" s="114">
        <v>0</v>
      </c>
      <c r="BD919" s="114">
        <v>0</v>
      </c>
      <c r="BE919" s="114">
        <v>0</v>
      </c>
      <c r="BF919" s="134">
        <v>82181</v>
      </c>
      <c r="BG919" s="114">
        <v>0</v>
      </c>
      <c r="BH919" s="114">
        <v>0</v>
      </c>
      <c r="BI919">
        <v>0</v>
      </c>
      <c r="BJ919" s="121">
        <v>184974</v>
      </c>
      <c r="BK919" s="134">
        <v>53030915597</v>
      </c>
      <c r="BL919" s="934">
        <v>5207</v>
      </c>
      <c r="BM919" s="934">
        <v>5756</v>
      </c>
      <c r="BN919" s="934">
        <v>5518</v>
      </c>
      <c r="BO919" s="114">
        <v>0</v>
      </c>
      <c r="BP919" s="114">
        <v>0</v>
      </c>
    </row>
    <row r="920" spans="1:68">
      <c r="A920" t="s">
        <v>238</v>
      </c>
      <c r="B920" t="s">
        <v>1125</v>
      </c>
      <c r="C920" s="121">
        <v>4887</v>
      </c>
      <c r="D920" s="72">
        <v>2</v>
      </c>
      <c r="E920">
        <v>5568.2290000000003</v>
      </c>
      <c r="F920">
        <v>1399</v>
      </c>
      <c r="G920">
        <v>669</v>
      </c>
      <c r="H920">
        <v>6</v>
      </c>
      <c r="I920" s="173">
        <v>1.04</v>
      </c>
      <c r="J920" s="121">
        <v>6599540933</v>
      </c>
      <c r="K920" s="125">
        <v>25523.655999999999</v>
      </c>
      <c r="L920" s="173">
        <v>1.5</v>
      </c>
      <c r="M920">
        <v>1.04</v>
      </c>
      <c r="N920">
        <v>1.000000005</v>
      </c>
      <c r="O920">
        <v>3.9999995000000066</v>
      </c>
      <c r="P920">
        <v>20605</v>
      </c>
      <c r="Q920" s="125">
        <v>1.4</v>
      </c>
      <c r="R920" s="125">
        <v>0</v>
      </c>
      <c r="S920" s="125">
        <v>34.75</v>
      </c>
      <c r="T920" s="125">
        <v>533.45000000000005</v>
      </c>
      <c r="U920" s="125">
        <v>140.6</v>
      </c>
      <c r="V920" s="125">
        <v>0</v>
      </c>
      <c r="W920" s="125">
        <v>115</v>
      </c>
      <c r="X920" s="125">
        <v>0</v>
      </c>
      <c r="Y920" s="125">
        <v>0</v>
      </c>
      <c r="Z920" s="125">
        <v>22.9</v>
      </c>
      <c r="AA920" s="125">
        <v>163.5</v>
      </c>
      <c r="AB920" s="125">
        <v>320</v>
      </c>
      <c r="AC920" s="125">
        <v>7825</v>
      </c>
      <c r="AD920" s="125">
        <v>6</v>
      </c>
      <c r="AE920" s="125">
        <v>2560</v>
      </c>
      <c r="AF920" s="125">
        <v>1030</v>
      </c>
      <c r="AG920" s="125">
        <v>0</v>
      </c>
      <c r="AH920" s="125">
        <v>0</v>
      </c>
      <c r="AI920" s="121">
        <v>71346317</v>
      </c>
      <c r="AJ920" s="121">
        <v>18713063</v>
      </c>
      <c r="AK920" s="424">
        <v>12</v>
      </c>
      <c r="AL920">
        <v>0</v>
      </c>
      <c r="AM920" s="121">
        <v>942337</v>
      </c>
      <c r="AN920" s="125">
        <v>7.9660000000000002</v>
      </c>
      <c r="AO920" s="125">
        <v>2</v>
      </c>
      <c r="AP920" s="121">
        <v>90059380</v>
      </c>
      <c r="AQ920" s="114">
        <v>0</v>
      </c>
      <c r="AR920" s="121">
        <v>4398.9866890000003</v>
      </c>
      <c r="AS920" s="121">
        <v>864414.69822999998</v>
      </c>
      <c r="AT920" s="121">
        <v>113843.02813000001</v>
      </c>
      <c r="AU920" s="420" t="s">
        <v>2001</v>
      </c>
      <c r="AV920" s="420" t="s">
        <v>2001</v>
      </c>
      <c r="AW920" s="121">
        <v>0</v>
      </c>
      <c r="AX920" s="121">
        <v>25409711</v>
      </c>
      <c r="BI920">
        <v>0</v>
      </c>
      <c r="BJ920" s="121">
        <v>0</v>
      </c>
      <c r="BK920" s="134">
        <v>6599540933</v>
      </c>
      <c r="BL920" s="934">
        <v>4717</v>
      </c>
      <c r="BM920" s="934">
        <v>4887</v>
      </c>
      <c r="BN920" s="934">
        <v>4797</v>
      </c>
      <c r="BO920" s="114">
        <v>0</v>
      </c>
      <c r="BP920" s="114">
        <v>0</v>
      </c>
    </row>
    <row r="921" spans="1:68">
      <c r="A921" t="s">
        <v>293</v>
      </c>
      <c r="B921" t="s">
        <v>2182</v>
      </c>
      <c r="C921" s="121">
        <v>5394</v>
      </c>
      <c r="D921" s="72">
        <v>2</v>
      </c>
      <c r="E921">
        <v>1143.6079999999999</v>
      </c>
      <c r="F921">
        <v>428</v>
      </c>
      <c r="G921">
        <v>345</v>
      </c>
      <c r="H921">
        <v>38</v>
      </c>
      <c r="I921" s="173">
        <v>1.02</v>
      </c>
      <c r="J921" s="121">
        <v>2394691977</v>
      </c>
      <c r="K921" s="125">
        <v>7091.5910000000003</v>
      </c>
      <c r="L921" s="173">
        <v>1.47</v>
      </c>
      <c r="M921">
        <v>1.02</v>
      </c>
      <c r="N921">
        <v>0.98000000490000005</v>
      </c>
      <c r="O921">
        <v>3.9999995099999963</v>
      </c>
      <c r="P921">
        <v>5496.8829999999998</v>
      </c>
      <c r="Q921" s="125">
        <v>0.06</v>
      </c>
      <c r="R921" s="125">
        <v>0</v>
      </c>
      <c r="S921" s="125">
        <v>6.7729999999999997</v>
      </c>
      <c r="T921" s="125">
        <v>157.018</v>
      </c>
      <c r="U921" s="125">
        <v>47.959000000000003</v>
      </c>
      <c r="V921" s="125">
        <v>0</v>
      </c>
      <c r="W921" s="125">
        <v>9.3049999999999997</v>
      </c>
      <c r="X921" s="125">
        <v>0</v>
      </c>
      <c r="Y921" s="125">
        <v>0</v>
      </c>
      <c r="Z921" s="125">
        <v>0</v>
      </c>
      <c r="AA921" s="125">
        <v>144.27600000000001</v>
      </c>
      <c r="AB921" s="125">
        <v>110.086</v>
      </c>
      <c r="AC921" s="125">
        <v>3191.3</v>
      </c>
      <c r="AD921" s="125">
        <v>1.978</v>
      </c>
      <c r="AE921" s="125">
        <v>1005.077</v>
      </c>
      <c r="AF921" s="125">
        <v>274.84399999999999</v>
      </c>
      <c r="AG921" s="125">
        <v>0</v>
      </c>
      <c r="AH921" s="125">
        <v>0</v>
      </c>
      <c r="AI921" s="121">
        <v>25134208</v>
      </c>
      <c r="AJ921" s="121">
        <v>8094456</v>
      </c>
      <c r="AK921" s="424">
        <v>12</v>
      </c>
      <c r="AL921">
        <v>0</v>
      </c>
      <c r="AM921" s="121">
        <v>702740</v>
      </c>
      <c r="AN921" s="125">
        <v>3</v>
      </c>
      <c r="AO921" s="125">
        <v>2</v>
      </c>
      <c r="AP921" s="121">
        <v>33228664</v>
      </c>
      <c r="AQ921" s="114">
        <v>0</v>
      </c>
      <c r="AR921" s="121">
        <v>1596.2046812000001</v>
      </c>
      <c r="AS921" s="121">
        <v>313659.23230999999</v>
      </c>
      <c r="AT921" s="121">
        <v>41308.780243000001</v>
      </c>
      <c r="AU921" s="420" t="s">
        <v>798</v>
      </c>
      <c r="AV921" s="420" t="s">
        <v>2001</v>
      </c>
      <c r="AW921" s="121">
        <v>0</v>
      </c>
      <c r="AX921" s="121">
        <v>7891165</v>
      </c>
      <c r="AY921" s="134">
        <v>1523594</v>
      </c>
      <c r="AZ921" s="134">
        <v>5044625</v>
      </c>
      <c r="BA921" s="134">
        <v>2070</v>
      </c>
      <c r="BB921" s="134">
        <v>405189225</v>
      </c>
      <c r="BC921" s="114">
        <v>0</v>
      </c>
      <c r="BD921" s="114">
        <v>0</v>
      </c>
      <c r="BE921" s="114">
        <v>0</v>
      </c>
      <c r="BF921" s="134">
        <v>5825</v>
      </c>
      <c r="BG921" s="114">
        <v>0</v>
      </c>
      <c r="BH921" s="114">
        <v>0</v>
      </c>
      <c r="BI921">
        <v>0</v>
      </c>
      <c r="BJ921" s="121">
        <v>0</v>
      </c>
      <c r="BK921" s="134">
        <v>2394691977</v>
      </c>
      <c r="BL921" s="934">
        <v>4937</v>
      </c>
      <c r="BM921" s="934">
        <v>5394</v>
      </c>
      <c r="BN921" s="934">
        <v>4555</v>
      </c>
      <c r="BO921" s="114">
        <v>0</v>
      </c>
      <c r="BP921" s="114">
        <v>0</v>
      </c>
    </row>
    <row r="922" spans="1:68">
      <c r="A922" t="s">
        <v>294</v>
      </c>
      <c r="B922" t="s">
        <v>2183</v>
      </c>
      <c r="C922" s="121">
        <v>5919</v>
      </c>
      <c r="D922" s="72">
        <v>2</v>
      </c>
      <c r="E922">
        <v>2333.1680000000001</v>
      </c>
      <c r="F922">
        <v>610</v>
      </c>
      <c r="G922">
        <v>352</v>
      </c>
      <c r="H922">
        <v>65</v>
      </c>
      <c r="I922" s="173">
        <v>1.04</v>
      </c>
      <c r="J922" s="121">
        <v>8442526790</v>
      </c>
      <c r="K922" s="125">
        <v>7945.96</v>
      </c>
      <c r="L922" s="173">
        <v>1.5</v>
      </c>
      <c r="M922">
        <v>1.04</v>
      </c>
      <c r="N922">
        <v>1.000000005</v>
      </c>
      <c r="O922">
        <v>3.9999995000000066</v>
      </c>
      <c r="P922">
        <v>6907</v>
      </c>
      <c r="Q922" s="125">
        <v>0</v>
      </c>
      <c r="R922" s="125">
        <v>0</v>
      </c>
      <c r="S922" s="125">
        <v>10</v>
      </c>
      <c r="T922" s="125">
        <v>134</v>
      </c>
      <c r="U922" s="125">
        <v>59</v>
      </c>
      <c r="V922" s="125">
        <v>0</v>
      </c>
      <c r="W922" s="125">
        <v>7</v>
      </c>
      <c r="X922" s="125">
        <v>0</v>
      </c>
      <c r="Y922" s="125">
        <v>0</v>
      </c>
      <c r="Z922" s="125">
        <v>0</v>
      </c>
      <c r="AA922" s="125">
        <v>204</v>
      </c>
      <c r="AB922" s="125">
        <v>110</v>
      </c>
      <c r="AC922" s="125">
        <v>96</v>
      </c>
      <c r="AD922" s="125">
        <v>0</v>
      </c>
      <c r="AE922" s="125">
        <v>85</v>
      </c>
      <c r="AF922" s="125">
        <v>345</v>
      </c>
      <c r="AG922" s="125">
        <v>0</v>
      </c>
      <c r="AH922" s="125">
        <v>0</v>
      </c>
      <c r="AI922" s="121">
        <v>91270469</v>
      </c>
      <c r="AJ922" s="121">
        <v>14316330</v>
      </c>
      <c r="AK922" s="424">
        <v>12</v>
      </c>
      <c r="AL922">
        <v>0</v>
      </c>
      <c r="AM922" s="121">
        <v>314799</v>
      </c>
      <c r="AN922" s="125">
        <v>2</v>
      </c>
      <c r="AO922" s="125">
        <v>0</v>
      </c>
      <c r="AP922" s="121">
        <v>105586799</v>
      </c>
      <c r="AQ922" s="114">
        <v>0</v>
      </c>
      <c r="AR922" s="121">
        <v>0</v>
      </c>
      <c r="AS922" s="121">
        <v>0</v>
      </c>
      <c r="AT922" s="121">
        <v>0</v>
      </c>
      <c r="AU922" s="420" t="s">
        <v>798</v>
      </c>
      <c r="AV922" s="420" t="s">
        <v>2001</v>
      </c>
      <c r="AW922" s="121">
        <v>0</v>
      </c>
      <c r="AX922" s="121">
        <v>14698845</v>
      </c>
      <c r="AY922" s="134">
        <v>10858341</v>
      </c>
      <c r="AZ922" s="134">
        <v>15220266</v>
      </c>
      <c r="BA922" s="134">
        <v>6354</v>
      </c>
      <c r="BB922" s="134">
        <v>1804437963</v>
      </c>
      <c r="BC922" s="114">
        <v>0</v>
      </c>
      <c r="BD922" s="114">
        <v>0</v>
      </c>
      <c r="BE922" s="114">
        <v>0</v>
      </c>
      <c r="BF922" s="134">
        <v>7306</v>
      </c>
      <c r="BG922" s="114">
        <v>0</v>
      </c>
      <c r="BH922" s="114">
        <v>0</v>
      </c>
      <c r="BI922">
        <v>0</v>
      </c>
      <c r="BJ922" s="121">
        <v>36323</v>
      </c>
      <c r="BK922" s="134">
        <v>8442526790</v>
      </c>
      <c r="BL922" s="934">
        <v>5398</v>
      </c>
      <c r="BM922" s="934">
        <v>5919</v>
      </c>
      <c r="BN922" s="934">
        <v>5751</v>
      </c>
      <c r="BO922" s="114">
        <v>0</v>
      </c>
      <c r="BP922" s="114">
        <v>0</v>
      </c>
    </row>
    <row r="923" spans="1:68">
      <c r="A923" t="s">
        <v>1295</v>
      </c>
      <c r="B923" t="s">
        <v>3064</v>
      </c>
      <c r="C923" s="121">
        <v>5139</v>
      </c>
      <c r="D923" s="72">
        <v>2</v>
      </c>
      <c r="E923">
        <v>2002.4760000000001</v>
      </c>
      <c r="F923">
        <v>667</v>
      </c>
      <c r="G923">
        <v>490</v>
      </c>
      <c r="H923">
        <v>1</v>
      </c>
      <c r="I923" s="173">
        <v>1.04</v>
      </c>
      <c r="J923" s="121">
        <v>3000015753</v>
      </c>
      <c r="K923" s="125">
        <v>11496.44</v>
      </c>
      <c r="L923" s="173">
        <v>1.5</v>
      </c>
      <c r="M923">
        <v>1.04</v>
      </c>
      <c r="N923">
        <v>1.000000005</v>
      </c>
      <c r="O923">
        <v>3.9999995000000066</v>
      </c>
      <c r="P923">
        <v>8371.3209999999999</v>
      </c>
      <c r="Q923" s="125">
        <v>0.73599999999999999</v>
      </c>
      <c r="R923" s="125">
        <v>2.4129999999999998</v>
      </c>
      <c r="S923" s="125">
        <v>17.166</v>
      </c>
      <c r="T923" s="125">
        <v>208.7</v>
      </c>
      <c r="U923" s="125">
        <v>62.77</v>
      </c>
      <c r="V923" s="125">
        <v>0</v>
      </c>
      <c r="W923" s="125">
        <v>11.167999999999999</v>
      </c>
      <c r="X923" s="125">
        <v>0</v>
      </c>
      <c r="Y923" s="125">
        <v>0</v>
      </c>
      <c r="Z923" s="125">
        <v>8.8949999999999996</v>
      </c>
      <c r="AA923" s="125">
        <v>349.04300000000001</v>
      </c>
      <c r="AB923" s="125">
        <v>237.74</v>
      </c>
      <c r="AC923" s="125">
        <v>6529.5</v>
      </c>
      <c r="AD923" s="125">
        <v>5.7859999999999996</v>
      </c>
      <c r="AE923" s="125">
        <v>1963.326</v>
      </c>
      <c r="AF923" s="125">
        <v>418.56599999999997</v>
      </c>
      <c r="AG923" s="125">
        <v>0</v>
      </c>
      <c r="AH923" s="125">
        <v>0</v>
      </c>
      <c r="AI923" s="121">
        <v>31449765</v>
      </c>
      <c r="AJ923" s="121">
        <v>8966182</v>
      </c>
      <c r="AK923" s="424">
        <v>12</v>
      </c>
      <c r="AL923">
        <v>0</v>
      </c>
      <c r="AM923" s="121">
        <v>1136050</v>
      </c>
      <c r="AN923" s="125">
        <v>16</v>
      </c>
      <c r="AO923" s="125">
        <v>0</v>
      </c>
      <c r="AP923" s="121">
        <v>40415947</v>
      </c>
      <c r="AQ923" s="114">
        <v>0</v>
      </c>
      <c r="AR923" s="121">
        <v>1999.6889931999999</v>
      </c>
      <c r="AS923" s="121">
        <v>392945.16665999999</v>
      </c>
      <c r="AT923" s="121">
        <v>51750.702243</v>
      </c>
      <c r="AU923" s="420" t="s">
        <v>2001</v>
      </c>
      <c r="AV923" s="420" t="s">
        <v>2001</v>
      </c>
      <c r="AW923" s="121">
        <v>0</v>
      </c>
      <c r="AX923" s="121">
        <v>14354825</v>
      </c>
      <c r="BI923">
        <v>0</v>
      </c>
      <c r="BJ923" s="121">
        <v>0</v>
      </c>
      <c r="BK923" s="134">
        <v>3000015753</v>
      </c>
      <c r="BL923" s="934">
        <v>4608</v>
      </c>
      <c r="BM923" s="934">
        <v>5139</v>
      </c>
      <c r="BN923" s="934">
        <v>4742</v>
      </c>
      <c r="BO923" s="114">
        <v>0</v>
      </c>
      <c r="BP923" s="114">
        <v>0</v>
      </c>
    </row>
    <row r="924" spans="1:68">
      <c r="A924" t="s">
        <v>2804</v>
      </c>
      <c r="B924" t="s">
        <v>2184</v>
      </c>
      <c r="C924" s="121">
        <v>6024</v>
      </c>
      <c r="D924" s="72">
        <v>2</v>
      </c>
      <c r="E924">
        <v>353.78800000000001</v>
      </c>
      <c r="F924">
        <v>101</v>
      </c>
      <c r="G924">
        <v>40</v>
      </c>
      <c r="H924">
        <v>2</v>
      </c>
      <c r="I924" s="173">
        <v>1.04</v>
      </c>
      <c r="J924" s="121">
        <v>1191928398</v>
      </c>
      <c r="K924" s="125">
        <v>1631.229</v>
      </c>
      <c r="L924" s="173">
        <v>1.5</v>
      </c>
      <c r="M924">
        <v>1.04</v>
      </c>
      <c r="N924">
        <v>1.000000005</v>
      </c>
      <c r="O924">
        <v>3.9999995000000066</v>
      </c>
      <c r="P924">
        <v>1232.5219999999999</v>
      </c>
      <c r="Q924" s="125">
        <v>0</v>
      </c>
      <c r="R924" s="125">
        <v>0</v>
      </c>
      <c r="S924" s="125">
        <v>2.1890000000000001</v>
      </c>
      <c r="T924" s="125">
        <v>16.779</v>
      </c>
      <c r="U924" s="125">
        <v>10.845000000000001</v>
      </c>
      <c r="V924" s="125">
        <v>0</v>
      </c>
      <c r="W924" s="125">
        <v>0</v>
      </c>
      <c r="X924" s="125">
        <v>0</v>
      </c>
      <c r="Y924" s="125">
        <v>2.7269999999999999</v>
      </c>
      <c r="Z924" s="125">
        <v>0</v>
      </c>
      <c r="AA924" s="125">
        <v>48.994999999999997</v>
      </c>
      <c r="AB924" s="125">
        <v>34.1</v>
      </c>
      <c r="AC924" s="125">
        <v>327.3</v>
      </c>
      <c r="AD924" s="125">
        <v>0</v>
      </c>
      <c r="AE924" s="125">
        <v>70.938999999999993</v>
      </c>
      <c r="AF924" s="125">
        <v>61.625999999999998</v>
      </c>
      <c r="AG924" s="125">
        <v>0</v>
      </c>
      <c r="AH924" s="125">
        <v>0</v>
      </c>
      <c r="AI924" s="121">
        <v>12495224</v>
      </c>
      <c r="AJ924" s="121">
        <v>1818358</v>
      </c>
      <c r="AK924" s="424">
        <v>12</v>
      </c>
      <c r="AL924">
        <v>0</v>
      </c>
      <c r="AM924" s="121">
        <v>94846</v>
      </c>
      <c r="AN924" s="125">
        <v>0</v>
      </c>
      <c r="AO924" s="125">
        <v>0</v>
      </c>
      <c r="AP924" s="121">
        <v>14313582</v>
      </c>
      <c r="AQ924" s="114">
        <v>0</v>
      </c>
      <c r="AR924" s="121">
        <v>0</v>
      </c>
      <c r="AS924" s="121">
        <v>0</v>
      </c>
      <c r="AT924" s="121">
        <v>0</v>
      </c>
      <c r="AU924" s="420" t="s">
        <v>798</v>
      </c>
      <c r="AV924" s="420" t="s">
        <v>2001</v>
      </c>
      <c r="AW924" s="121">
        <v>0</v>
      </c>
      <c r="AX924" s="121">
        <v>1802804</v>
      </c>
      <c r="AY924" s="134">
        <v>760465</v>
      </c>
      <c r="AZ924" s="134">
        <v>1817443</v>
      </c>
      <c r="BA924" s="114">
        <v>765</v>
      </c>
      <c r="BB924" s="134">
        <v>245341709</v>
      </c>
      <c r="BC924" s="114">
        <v>0</v>
      </c>
      <c r="BD924" s="114">
        <v>0</v>
      </c>
      <c r="BE924" s="114">
        <v>0</v>
      </c>
      <c r="BF924" s="134">
        <v>1238</v>
      </c>
      <c r="BG924" s="114">
        <v>0</v>
      </c>
      <c r="BH924" s="114">
        <v>0</v>
      </c>
      <c r="BI924">
        <v>0</v>
      </c>
      <c r="BJ924" s="121">
        <v>4618</v>
      </c>
      <c r="BK924" s="134">
        <v>1191928398</v>
      </c>
      <c r="BL924" s="934">
        <v>4871</v>
      </c>
      <c r="BM924" s="934">
        <v>6024</v>
      </c>
      <c r="BN924" s="934">
        <v>5618</v>
      </c>
      <c r="BO924" s="114">
        <v>0</v>
      </c>
      <c r="BP924" s="114">
        <v>0</v>
      </c>
    </row>
    <row r="925" spans="1:68">
      <c r="A925" t="s">
        <v>1496</v>
      </c>
      <c r="B925" t="s">
        <v>2185</v>
      </c>
      <c r="C925" s="121">
        <v>5822</v>
      </c>
      <c r="D925" s="72">
        <v>2</v>
      </c>
      <c r="E925">
        <v>1625.9449999999999</v>
      </c>
      <c r="F925">
        <v>384</v>
      </c>
      <c r="G925">
        <v>232</v>
      </c>
      <c r="H925">
        <v>56</v>
      </c>
      <c r="I925" s="173">
        <v>1.04</v>
      </c>
      <c r="J925" s="121">
        <v>5703273314</v>
      </c>
      <c r="K925" s="125">
        <v>6889.6170000000002</v>
      </c>
      <c r="L925" s="173">
        <v>1.5</v>
      </c>
      <c r="M925">
        <v>1.04</v>
      </c>
      <c r="N925">
        <v>1.000000005</v>
      </c>
      <c r="O925">
        <v>3.9999995000000066</v>
      </c>
      <c r="P925">
        <v>5994</v>
      </c>
      <c r="Q925" s="125">
        <v>0.4</v>
      </c>
      <c r="R925" s="125">
        <v>0</v>
      </c>
      <c r="S925" s="125">
        <v>7.72</v>
      </c>
      <c r="T925" s="125">
        <v>129.06</v>
      </c>
      <c r="U925" s="125">
        <v>35.299999999999997</v>
      </c>
      <c r="V925" s="125">
        <v>2.75</v>
      </c>
      <c r="W925" s="125">
        <v>7</v>
      </c>
      <c r="X925" s="125">
        <v>0</v>
      </c>
      <c r="Y925" s="125">
        <v>0</v>
      </c>
      <c r="Z925" s="125">
        <v>0</v>
      </c>
      <c r="AA925" s="125">
        <v>62</v>
      </c>
      <c r="AB925" s="125">
        <v>160</v>
      </c>
      <c r="AC925" s="125">
        <v>729</v>
      </c>
      <c r="AD925" s="125">
        <v>0</v>
      </c>
      <c r="AE925" s="125">
        <v>250</v>
      </c>
      <c r="AF925" s="125">
        <v>293</v>
      </c>
      <c r="AG925" s="125">
        <v>0</v>
      </c>
      <c r="AH925" s="125">
        <v>0</v>
      </c>
      <c r="AI925" s="121">
        <v>62279745</v>
      </c>
      <c r="AJ925" s="121">
        <v>10943079</v>
      </c>
      <c r="AK925" s="424">
        <v>12</v>
      </c>
      <c r="AL925">
        <v>0</v>
      </c>
      <c r="AM925" s="121">
        <v>525343</v>
      </c>
      <c r="AN925" s="125">
        <v>1</v>
      </c>
      <c r="AO925" s="125">
        <v>0</v>
      </c>
      <c r="AP925" s="121">
        <v>73222824</v>
      </c>
      <c r="AQ925" s="114">
        <v>0</v>
      </c>
      <c r="AR925" s="121">
        <v>0</v>
      </c>
      <c r="AS925" s="121">
        <v>0</v>
      </c>
      <c r="AT925" s="121">
        <v>0</v>
      </c>
      <c r="AU925" s="420" t="s">
        <v>798</v>
      </c>
      <c r="AV925" s="420" t="s">
        <v>2001</v>
      </c>
      <c r="AW925" s="121">
        <v>0</v>
      </c>
      <c r="AX925" s="121">
        <v>16491271</v>
      </c>
      <c r="AY925" s="134">
        <v>2553918</v>
      </c>
      <c r="AZ925" s="134">
        <v>5657555</v>
      </c>
      <c r="BA925" s="134">
        <v>2294</v>
      </c>
      <c r="BB925" s="134">
        <v>758073253</v>
      </c>
      <c r="BC925" s="114">
        <v>0</v>
      </c>
      <c r="BD925" s="114">
        <v>0</v>
      </c>
      <c r="BE925" s="114">
        <v>0</v>
      </c>
      <c r="BF925" s="134">
        <v>5854</v>
      </c>
      <c r="BG925" s="114">
        <v>0</v>
      </c>
      <c r="BH925" s="114">
        <v>0</v>
      </c>
      <c r="BI925">
        <v>0</v>
      </c>
      <c r="BJ925" s="121">
        <v>20021</v>
      </c>
      <c r="BK925" s="134">
        <v>5703273314</v>
      </c>
      <c r="BL925" s="934">
        <v>4934</v>
      </c>
      <c r="BM925" s="934">
        <v>5822</v>
      </c>
      <c r="BN925" s="934">
        <v>5265</v>
      </c>
      <c r="BO925" s="114">
        <v>0</v>
      </c>
      <c r="BP925" s="114">
        <v>0</v>
      </c>
    </row>
    <row r="926" spans="1:68">
      <c r="A926" t="s">
        <v>1497</v>
      </c>
      <c r="B926" t="s">
        <v>2186</v>
      </c>
      <c r="C926" s="121">
        <v>4354</v>
      </c>
      <c r="D926" s="72">
        <v>1</v>
      </c>
      <c r="E926">
        <v>195.09100000000001</v>
      </c>
      <c r="F926">
        <v>57</v>
      </c>
      <c r="G926">
        <v>60</v>
      </c>
      <c r="H926">
        <v>2</v>
      </c>
      <c r="I926" s="173">
        <v>1.04</v>
      </c>
      <c r="J926" s="121">
        <v>136754212</v>
      </c>
      <c r="K926" s="125">
        <v>1253.1959999999999</v>
      </c>
      <c r="L926" s="173">
        <v>1.46</v>
      </c>
      <c r="M926">
        <v>1.04</v>
      </c>
      <c r="N926">
        <v>0.97333333820000001</v>
      </c>
      <c r="O926">
        <v>6.6666661800000027</v>
      </c>
      <c r="P926">
        <v>695</v>
      </c>
      <c r="Q926" s="125">
        <v>0</v>
      </c>
      <c r="R926" s="125">
        <v>0</v>
      </c>
      <c r="S926" s="125">
        <v>0.73799999999999999</v>
      </c>
      <c r="T926" s="125">
        <v>25.920999999999999</v>
      </c>
      <c r="U926" s="125">
        <v>3.8290000000000002</v>
      </c>
      <c r="V926" s="125">
        <v>0</v>
      </c>
      <c r="W926" s="125">
        <v>0</v>
      </c>
      <c r="X926" s="125">
        <v>0</v>
      </c>
      <c r="Y926" s="125">
        <v>0</v>
      </c>
      <c r="Z926" s="125">
        <v>2</v>
      </c>
      <c r="AA926" s="125">
        <v>16</v>
      </c>
      <c r="AB926" s="125">
        <v>51.847999999999999</v>
      </c>
      <c r="AC926" s="125">
        <v>400</v>
      </c>
      <c r="AD926" s="125">
        <v>0</v>
      </c>
      <c r="AE926" s="125">
        <v>21</v>
      </c>
      <c r="AF926" s="125">
        <v>34.75</v>
      </c>
      <c r="AG926" s="125">
        <v>0</v>
      </c>
      <c r="AH926" s="125">
        <v>0</v>
      </c>
      <c r="AI926" s="121">
        <v>1387693</v>
      </c>
      <c r="AJ926" s="121">
        <v>0</v>
      </c>
      <c r="AK926" s="424">
        <v>12</v>
      </c>
      <c r="AL926">
        <v>0</v>
      </c>
      <c r="AM926" s="121">
        <v>106280</v>
      </c>
      <c r="AN926" s="125">
        <v>0</v>
      </c>
      <c r="AO926" s="125">
        <v>0</v>
      </c>
      <c r="AP926" s="121">
        <v>1387693</v>
      </c>
      <c r="AQ926" s="114">
        <v>0</v>
      </c>
      <c r="AR926" s="121">
        <v>91.154818616</v>
      </c>
      <c r="AS926" s="121">
        <v>17912.208105000002</v>
      </c>
      <c r="AT926" s="121">
        <v>2359.0297752000001</v>
      </c>
      <c r="AU926" s="420" t="s">
        <v>2001</v>
      </c>
      <c r="AV926" s="420" t="s">
        <v>2001</v>
      </c>
      <c r="AW926" s="121">
        <v>0</v>
      </c>
      <c r="AX926" s="121">
        <v>0</v>
      </c>
      <c r="BI926">
        <v>0</v>
      </c>
      <c r="BJ926" s="121">
        <v>0</v>
      </c>
      <c r="BK926" s="134">
        <v>131008407</v>
      </c>
      <c r="BL926" s="934">
        <v>4354</v>
      </c>
      <c r="BM926" s="934">
        <v>4292</v>
      </c>
      <c r="BN926" s="934">
        <v>4334</v>
      </c>
      <c r="BO926" s="114">
        <v>0</v>
      </c>
      <c r="BP926" s="114">
        <v>0</v>
      </c>
    </row>
    <row r="927" spans="1:68">
      <c r="A927" t="s">
        <v>1498</v>
      </c>
      <c r="B927" t="s">
        <v>2187</v>
      </c>
      <c r="C927" s="121">
        <v>4461</v>
      </c>
      <c r="D927" s="72">
        <v>2</v>
      </c>
      <c r="E927">
        <v>269.31299999999999</v>
      </c>
      <c r="F927">
        <v>91</v>
      </c>
      <c r="G927">
        <v>68</v>
      </c>
      <c r="H927">
        <v>12</v>
      </c>
      <c r="I927" s="173">
        <v>1.04</v>
      </c>
      <c r="J927" s="121">
        <v>231239937</v>
      </c>
      <c r="K927" s="125">
        <v>1636.992</v>
      </c>
      <c r="L927" s="173">
        <v>1.5</v>
      </c>
      <c r="M927">
        <v>1.04</v>
      </c>
      <c r="N927">
        <v>1.000000005</v>
      </c>
      <c r="O927">
        <v>3.9999995000000066</v>
      </c>
      <c r="P927">
        <v>1042.893</v>
      </c>
      <c r="Q927" s="125">
        <v>0</v>
      </c>
      <c r="R927" s="125">
        <v>0</v>
      </c>
      <c r="S927" s="125">
        <v>1.4970000000000001</v>
      </c>
      <c r="T927" s="125">
        <v>38.895000000000003</v>
      </c>
      <c r="U927" s="125">
        <v>4.5599999999999996</v>
      </c>
      <c r="V927" s="125">
        <v>0</v>
      </c>
      <c r="W927" s="125">
        <v>0</v>
      </c>
      <c r="X927" s="125">
        <v>0</v>
      </c>
      <c r="Y927" s="125">
        <v>0</v>
      </c>
      <c r="Z927" s="125">
        <v>0</v>
      </c>
      <c r="AA927" s="125">
        <v>21.635999999999999</v>
      </c>
      <c r="AB927" s="125">
        <v>46.029000000000003</v>
      </c>
      <c r="AC927" s="125">
        <v>966.1</v>
      </c>
      <c r="AD927" s="125">
        <v>0.623</v>
      </c>
      <c r="AE927" s="125">
        <v>75.325999999999993</v>
      </c>
      <c r="AF927" s="125">
        <v>52.144649999999999</v>
      </c>
      <c r="AG927" s="125">
        <v>0</v>
      </c>
      <c r="AH927" s="125">
        <v>0</v>
      </c>
      <c r="AI927" s="121">
        <v>2144938</v>
      </c>
      <c r="AJ927" s="121">
        <v>241560</v>
      </c>
      <c r="AK927" s="424">
        <v>12</v>
      </c>
      <c r="AL927">
        <v>0</v>
      </c>
      <c r="AM927" s="121">
        <v>137865</v>
      </c>
      <c r="AN927" s="125">
        <v>0</v>
      </c>
      <c r="AO927" s="125">
        <v>0</v>
      </c>
      <c r="AP927" s="121">
        <v>2386498</v>
      </c>
      <c r="AQ927" s="114">
        <v>0</v>
      </c>
      <c r="AR927" s="121">
        <v>154.13517632</v>
      </c>
      <c r="AS927" s="121">
        <v>30288.046166</v>
      </c>
      <c r="AT927" s="121">
        <v>3988.9220982000002</v>
      </c>
      <c r="AU927" s="420" t="s">
        <v>2001</v>
      </c>
      <c r="AV927" s="420" t="s">
        <v>2001</v>
      </c>
      <c r="AW927" s="121">
        <v>0</v>
      </c>
      <c r="AX927" s="121">
        <v>394255</v>
      </c>
      <c r="BI927">
        <v>0</v>
      </c>
      <c r="BJ927" s="121">
        <v>0</v>
      </c>
      <c r="BK927" s="134">
        <v>220201883</v>
      </c>
      <c r="BL927" s="934">
        <v>4330</v>
      </c>
      <c r="BM927" s="934">
        <v>4461</v>
      </c>
      <c r="BN927" s="934">
        <v>4461</v>
      </c>
      <c r="BO927" s="114">
        <v>0</v>
      </c>
      <c r="BP927" s="114">
        <v>0</v>
      </c>
    </row>
    <row r="928" spans="1:68">
      <c r="A928" t="s">
        <v>1499</v>
      </c>
      <c r="B928" t="s">
        <v>2081</v>
      </c>
      <c r="C928" s="121">
        <v>4692</v>
      </c>
      <c r="D928" s="72">
        <v>3</v>
      </c>
      <c r="E928">
        <v>42.618000000000002</v>
      </c>
      <c r="F928">
        <v>18</v>
      </c>
      <c r="G928">
        <v>10</v>
      </c>
      <c r="H928">
        <v>2</v>
      </c>
      <c r="I928" s="173">
        <v>1.04</v>
      </c>
      <c r="J928" s="121">
        <v>24769667</v>
      </c>
      <c r="K928" s="125">
        <v>277.20699999999999</v>
      </c>
      <c r="L928" s="173">
        <v>1.48</v>
      </c>
      <c r="M928">
        <v>1.04</v>
      </c>
      <c r="N928">
        <v>0.98666667159999999</v>
      </c>
      <c r="O928">
        <v>5.3333328400000042</v>
      </c>
      <c r="P928">
        <v>148</v>
      </c>
      <c r="Q928" s="125">
        <v>0</v>
      </c>
      <c r="R928" s="125">
        <v>0</v>
      </c>
      <c r="S928" s="125">
        <v>0.28399999999999997</v>
      </c>
      <c r="T928" s="125">
        <v>9.234</v>
      </c>
      <c r="U928" s="125">
        <v>0.71</v>
      </c>
      <c r="V928" s="125">
        <v>0</v>
      </c>
      <c r="W928" s="125">
        <v>0</v>
      </c>
      <c r="X928" s="125">
        <v>0</v>
      </c>
      <c r="Y928" s="125">
        <v>0</v>
      </c>
      <c r="Z928" s="125">
        <v>0</v>
      </c>
      <c r="AA928" s="125">
        <v>0.98299999999999998</v>
      </c>
      <c r="AB928" s="125">
        <v>11.81</v>
      </c>
      <c r="AC928" s="125">
        <v>100</v>
      </c>
      <c r="AD928" s="125">
        <v>0</v>
      </c>
      <c r="AE928" s="125">
        <v>0</v>
      </c>
      <c r="AF928" s="125">
        <v>7.4</v>
      </c>
      <c r="AG928" s="125">
        <v>0</v>
      </c>
      <c r="AH928" s="125">
        <v>0</v>
      </c>
      <c r="AI928" s="121">
        <v>263629</v>
      </c>
      <c r="AJ928" s="121">
        <v>0</v>
      </c>
      <c r="AK928" s="424">
        <v>12</v>
      </c>
      <c r="AL928">
        <v>0</v>
      </c>
      <c r="AM928" s="121">
        <v>33472</v>
      </c>
      <c r="AN928" s="125">
        <v>0</v>
      </c>
      <c r="AO928" s="125">
        <v>0</v>
      </c>
      <c r="AP928" s="121">
        <v>263629</v>
      </c>
      <c r="AQ928" s="114">
        <v>0</v>
      </c>
      <c r="AR928" s="121">
        <v>16.510456791999999</v>
      </c>
      <c r="AS928" s="121">
        <v>3244.3566064000001</v>
      </c>
      <c r="AT928" s="121">
        <v>427.28031020999998</v>
      </c>
      <c r="AU928" s="420" t="s">
        <v>2001</v>
      </c>
      <c r="AV928" s="420" t="s">
        <v>2001</v>
      </c>
      <c r="AW928" s="121">
        <v>0</v>
      </c>
      <c r="AX928" s="121">
        <v>0</v>
      </c>
      <c r="BI928">
        <v>0</v>
      </c>
      <c r="BJ928" s="121">
        <v>0</v>
      </c>
      <c r="BK928" s="134">
        <v>24769667</v>
      </c>
      <c r="BL928" s="934">
        <v>4575</v>
      </c>
      <c r="BM928" s="934">
        <v>4674</v>
      </c>
      <c r="BN928" s="934">
        <v>4692</v>
      </c>
      <c r="BO928" s="114">
        <v>0</v>
      </c>
      <c r="BP928" s="114">
        <v>0</v>
      </c>
    </row>
    <row r="929" spans="1:68">
      <c r="A929" t="s">
        <v>1500</v>
      </c>
      <c r="B929" t="s">
        <v>2188</v>
      </c>
      <c r="C929" s="121">
        <v>4625</v>
      </c>
      <c r="D929" s="72">
        <v>1</v>
      </c>
      <c r="E929">
        <v>70.438000000000002</v>
      </c>
      <c r="F929">
        <v>22</v>
      </c>
      <c r="G929">
        <v>15</v>
      </c>
      <c r="H929">
        <v>1</v>
      </c>
      <c r="I929" s="173">
        <v>1.04</v>
      </c>
      <c r="J929" s="121">
        <v>26805824</v>
      </c>
      <c r="K929" s="125">
        <v>314.36799999999999</v>
      </c>
      <c r="L929" s="173">
        <v>1.46</v>
      </c>
      <c r="M929">
        <v>1.04</v>
      </c>
      <c r="N929">
        <v>0.97333333820000001</v>
      </c>
      <c r="O929">
        <v>6.6666661800000027</v>
      </c>
      <c r="P929">
        <v>165</v>
      </c>
      <c r="Q929" s="125">
        <v>0</v>
      </c>
      <c r="R929" s="125">
        <v>0</v>
      </c>
      <c r="S929" s="125">
        <v>0.38</v>
      </c>
      <c r="T929" s="125">
        <v>11.7</v>
      </c>
      <c r="U929" s="125">
        <v>1.8</v>
      </c>
      <c r="V929" s="125">
        <v>0</v>
      </c>
      <c r="W929" s="125">
        <v>0</v>
      </c>
      <c r="X929" s="125">
        <v>0</v>
      </c>
      <c r="Y929" s="125">
        <v>0</v>
      </c>
      <c r="Z929" s="125">
        <v>0</v>
      </c>
      <c r="AA929" s="125">
        <v>2.5</v>
      </c>
      <c r="AB929" s="125">
        <v>9</v>
      </c>
      <c r="AC929" s="125">
        <v>130</v>
      </c>
      <c r="AD929" s="125">
        <v>0</v>
      </c>
      <c r="AE929" s="125">
        <v>0</v>
      </c>
      <c r="AF929" s="125">
        <v>8.25</v>
      </c>
      <c r="AG929" s="125">
        <v>0</v>
      </c>
      <c r="AH929" s="125">
        <v>0</v>
      </c>
      <c r="AI929" s="121">
        <v>239554</v>
      </c>
      <c r="AJ929" s="121">
        <v>0</v>
      </c>
      <c r="AK929" s="424">
        <v>12</v>
      </c>
      <c r="AL929">
        <v>0</v>
      </c>
      <c r="AM929" s="121">
        <v>29693</v>
      </c>
      <c r="AN929" s="125">
        <v>0</v>
      </c>
      <c r="AO929" s="125">
        <v>0</v>
      </c>
      <c r="AP929" s="121">
        <v>239554</v>
      </c>
      <c r="AQ929" s="114">
        <v>0</v>
      </c>
      <c r="AR929" s="121">
        <v>17.867676757000002</v>
      </c>
      <c r="AS929" s="121">
        <v>3511.0545913999999</v>
      </c>
      <c r="AT929" s="121">
        <v>462.40431524000002</v>
      </c>
      <c r="AU929" s="420" t="s">
        <v>2001</v>
      </c>
      <c r="AV929" s="420" t="s">
        <v>2001</v>
      </c>
      <c r="AW929" s="121">
        <v>0</v>
      </c>
      <c r="AX929" s="121">
        <v>0</v>
      </c>
      <c r="BI929">
        <v>0</v>
      </c>
      <c r="BJ929" s="121">
        <v>0</v>
      </c>
      <c r="BK929" s="134">
        <v>21937167</v>
      </c>
      <c r="BL929" s="934">
        <v>4625</v>
      </c>
      <c r="BM929" s="934">
        <v>4522</v>
      </c>
      <c r="BN929" s="934">
        <v>4553</v>
      </c>
      <c r="BO929" s="114">
        <v>0</v>
      </c>
      <c r="BP929" s="114">
        <v>0</v>
      </c>
    </row>
    <row r="930" spans="1:68">
      <c r="A930" t="s">
        <v>1615</v>
      </c>
      <c r="B930" t="s">
        <v>1740</v>
      </c>
      <c r="C930" s="121">
        <v>4391</v>
      </c>
      <c r="D930" s="72">
        <v>1</v>
      </c>
      <c r="E930">
        <v>183.81</v>
      </c>
      <c r="F930">
        <v>45</v>
      </c>
      <c r="G930">
        <v>28</v>
      </c>
      <c r="H930">
        <v>2</v>
      </c>
      <c r="I930" s="173">
        <v>1.04</v>
      </c>
      <c r="J930" s="121">
        <v>92245895</v>
      </c>
      <c r="K930" s="125">
        <v>898.72900000000004</v>
      </c>
      <c r="L930" s="173">
        <v>1.5</v>
      </c>
      <c r="M930">
        <v>1.04</v>
      </c>
      <c r="N930">
        <v>1.000000005</v>
      </c>
      <c r="O930">
        <v>3.9999995000000066</v>
      </c>
      <c r="P930">
        <v>550</v>
      </c>
      <c r="Q930" s="125">
        <v>5.6000000000000001E-2</v>
      </c>
      <c r="R930" s="125">
        <v>0</v>
      </c>
      <c r="S930" s="125">
        <v>0.81100000000000005</v>
      </c>
      <c r="T930" s="125">
        <v>14.611000000000001</v>
      </c>
      <c r="U930" s="125">
        <v>1.7210000000000001</v>
      </c>
      <c r="V930" s="125">
        <v>0.66800000000000004</v>
      </c>
      <c r="W930" s="125">
        <v>5.0739999999999998</v>
      </c>
      <c r="X930" s="125">
        <v>0</v>
      </c>
      <c r="Y930" s="125">
        <v>0</v>
      </c>
      <c r="Z930" s="125">
        <v>0</v>
      </c>
      <c r="AA930" s="125">
        <v>18.744</v>
      </c>
      <c r="AB930" s="125">
        <v>29.785</v>
      </c>
      <c r="AC930" s="125">
        <v>320</v>
      </c>
      <c r="AD930" s="125">
        <v>0.14699999999999999</v>
      </c>
      <c r="AE930" s="125">
        <v>0</v>
      </c>
      <c r="AF930" s="125">
        <v>24.413</v>
      </c>
      <c r="AG930" s="125">
        <v>0</v>
      </c>
      <c r="AH930" s="125">
        <v>0</v>
      </c>
      <c r="AI930" s="121">
        <v>935719</v>
      </c>
      <c r="AJ930" s="121">
        <v>0</v>
      </c>
      <c r="AK930" s="424">
        <v>12</v>
      </c>
      <c r="AL930">
        <v>0</v>
      </c>
      <c r="AM930" s="121">
        <v>91985</v>
      </c>
      <c r="AN930" s="125">
        <v>0</v>
      </c>
      <c r="AO930" s="125">
        <v>0</v>
      </c>
      <c r="AP930" s="121">
        <v>935719</v>
      </c>
      <c r="AQ930" s="114">
        <v>0</v>
      </c>
      <c r="AR930" s="121">
        <v>61.487377430999999</v>
      </c>
      <c r="AS930" s="121">
        <v>12082.462750000001</v>
      </c>
      <c r="AT930" s="121">
        <v>1591.2549260999999</v>
      </c>
      <c r="AU930" s="420" t="s">
        <v>2001</v>
      </c>
      <c r="AV930" s="420" t="s">
        <v>2001</v>
      </c>
      <c r="AW930" s="121">
        <v>0</v>
      </c>
      <c r="AX930" s="121">
        <v>0</v>
      </c>
      <c r="BI930">
        <v>0</v>
      </c>
      <c r="BJ930" s="121">
        <v>0</v>
      </c>
      <c r="BK930" s="134">
        <v>92245895</v>
      </c>
      <c r="BL930" s="934">
        <v>4391</v>
      </c>
      <c r="BM930" s="934">
        <v>4140</v>
      </c>
      <c r="BN930" s="934">
        <v>4140</v>
      </c>
      <c r="BO930" s="114">
        <v>0</v>
      </c>
      <c r="BP930" s="114">
        <v>0</v>
      </c>
    </row>
    <row r="931" spans="1:68">
      <c r="A931" t="s">
        <v>2051</v>
      </c>
      <c r="B931" t="s">
        <v>2189</v>
      </c>
      <c r="C931" s="121">
        <v>5904</v>
      </c>
      <c r="D931" s="72">
        <v>2</v>
      </c>
      <c r="E931">
        <v>340.28399999999999</v>
      </c>
      <c r="F931">
        <v>129</v>
      </c>
      <c r="G931">
        <v>125</v>
      </c>
      <c r="H931">
        <v>7</v>
      </c>
      <c r="I931" s="173">
        <v>1.04</v>
      </c>
      <c r="J931" s="121">
        <v>731407158</v>
      </c>
      <c r="K931" s="125">
        <v>2189.8589999999999</v>
      </c>
      <c r="L931" s="173">
        <v>1.5</v>
      </c>
      <c r="M931">
        <v>1.04</v>
      </c>
      <c r="N931">
        <v>1.000000005</v>
      </c>
      <c r="O931">
        <v>3.9999995000000066</v>
      </c>
      <c r="P931">
        <v>1217.8340000000001</v>
      </c>
      <c r="Q931" s="125">
        <v>0.45100000000000001</v>
      </c>
      <c r="R931" s="125">
        <v>0</v>
      </c>
      <c r="S931" s="125">
        <v>2.69</v>
      </c>
      <c r="T931" s="125">
        <v>50.802999999999997</v>
      </c>
      <c r="U931" s="125">
        <v>13.695</v>
      </c>
      <c r="V931" s="125">
        <v>0</v>
      </c>
      <c r="W931" s="125">
        <v>6.3010000000000002</v>
      </c>
      <c r="X931" s="125">
        <v>0</v>
      </c>
      <c r="Y931" s="125">
        <v>0</v>
      </c>
      <c r="Z931" s="125">
        <v>35.542999999999999</v>
      </c>
      <c r="AA931" s="125">
        <v>28.977</v>
      </c>
      <c r="AB931" s="125">
        <v>83.203000000000003</v>
      </c>
      <c r="AC931" s="125">
        <v>993.3</v>
      </c>
      <c r="AD931" s="125">
        <v>0.17299999999999999</v>
      </c>
      <c r="AE931" s="125">
        <v>20.577000000000002</v>
      </c>
      <c r="AF931" s="125">
        <v>60.8917</v>
      </c>
      <c r="AG931" s="125">
        <v>0</v>
      </c>
      <c r="AH931" s="125">
        <v>0</v>
      </c>
      <c r="AI931" s="121">
        <v>7507748</v>
      </c>
      <c r="AJ931" s="121">
        <v>463743</v>
      </c>
      <c r="AK931" s="424">
        <v>12</v>
      </c>
      <c r="AL931">
        <v>0</v>
      </c>
      <c r="AM931" s="121">
        <v>196859</v>
      </c>
      <c r="AN931" s="125">
        <v>0</v>
      </c>
      <c r="AO931" s="125">
        <v>1</v>
      </c>
      <c r="AP931" s="121">
        <v>7971491</v>
      </c>
      <c r="AQ931" s="114">
        <v>0</v>
      </c>
      <c r="AR931" s="121">
        <v>487.52638781000002</v>
      </c>
      <c r="AS931" s="121">
        <v>95800.466151000001</v>
      </c>
      <c r="AT931" s="121">
        <v>12616.878433</v>
      </c>
      <c r="AU931" s="420" t="s">
        <v>798</v>
      </c>
      <c r="AV931" s="420" t="s">
        <v>2001</v>
      </c>
      <c r="AW931" s="121">
        <v>0</v>
      </c>
      <c r="AX931" s="121">
        <v>671712</v>
      </c>
      <c r="AY931" s="134">
        <v>590199</v>
      </c>
      <c r="AZ931" s="134">
        <v>5074899</v>
      </c>
      <c r="BA931" s="134">
        <v>2013</v>
      </c>
      <c r="BB931" s="134">
        <v>202525814</v>
      </c>
      <c r="BC931" s="114">
        <v>0</v>
      </c>
      <c r="BD931" s="114">
        <v>0</v>
      </c>
      <c r="BE931" s="114">
        <v>0</v>
      </c>
      <c r="BF931" s="134">
        <v>1280</v>
      </c>
      <c r="BG931" s="114">
        <v>0</v>
      </c>
      <c r="BH931" s="114">
        <v>0</v>
      </c>
      <c r="BI931">
        <v>0</v>
      </c>
      <c r="BJ931" s="121">
        <v>0</v>
      </c>
      <c r="BK931" s="134">
        <v>731407158</v>
      </c>
      <c r="BL931" s="934">
        <v>5223</v>
      </c>
      <c r="BM931" s="934">
        <v>5904</v>
      </c>
      <c r="BN931" s="934">
        <v>5719</v>
      </c>
      <c r="BO931" s="114">
        <v>0</v>
      </c>
      <c r="BP931" s="114">
        <v>0</v>
      </c>
    </row>
    <row r="932" spans="1:68">
      <c r="A932" t="s">
        <v>2052</v>
      </c>
      <c r="B932" t="s">
        <v>2190</v>
      </c>
      <c r="C932" s="121">
        <v>4993</v>
      </c>
      <c r="D932" s="72">
        <v>2</v>
      </c>
      <c r="E932">
        <v>329.30599999999998</v>
      </c>
      <c r="F932">
        <v>100</v>
      </c>
      <c r="G932">
        <v>59</v>
      </c>
      <c r="H932">
        <v>7</v>
      </c>
      <c r="I932" s="173">
        <v>1.04</v>
      </c>
      <c r="J932" s="121">
        <v>233967239</v>
      </c>
      <c r="K932" s="125">
        <v>1623.827</v>
      </c>
      <c r="L932" s="173">
        <v>1.5</v>
      </c>
      <c r="M932">
        <v>1.04</v>
      </c>
      <c r="N932">
        <v>1.000000005</v>
      </c>
      <c r="O932">
        <v>3.9999995000000066</v>
      </c>
      <c r="P932">
        <v>1130</v>
      </c>
      <c r="Q932" s="125">
        <v>0.13600000000000001</v>
      </c>
      <c r="R932" s="125">
        <v>0</v>
      </c>
      <c r="S932" s="125">
        <v>1.5269999999999999</v>
      </c>
      <c r="T932" s="125">
        <v>28.5</v>
      </c>
      <c r="U932" s="125">
        <v>1.3839999999999999</v>
      </c>
      <c r="V932" s="125">
        <v>0</v>
      </c>
      <c r="W932" s="125">
        <v>4.1929999999999996</v>
      </c>
      <c r="X932" s="125">
        <v>0</v>
      </c>
      <c r="Y932" s="125">
        <v>0</v>
      </c>
      <c r="Z932" s="125">
        <v>0.48599999999999999</v>
      </c>
      <c r="AA932" s="125">
        <v>33.99</v>
      </c>
      <c r="AB932" s="125">
        <v>59.5</v>
      </c>
      <c r="AC932" s="125">
        <v>672</v>
      </c>
      <c r="AD932" s="125">
        <v>4.2999999999999997E-2</v>
      </c>
      <c r="AE932" s="125">
        <v>0</v>
      </c>
      <c r="AF932" s="125">
        <v>56.5</v>
      </c>
      <c r="AG932" s="125">
        <v>0</v>
      </c>
      <c r="AH932" s="125">
        <v>0</v>
      </c>
      <c r="AI932" s="121">
        <v>2139810</v>
      </c>
      <c r="AJ932" s="121">
        <v>0</v>
      </c>
      <c r="AK932" s="424">
        <v>12</v>
      </c>
      <c r="AL932">
        <v>0</v>
      </c>
      <c r="AM932" s="121">
        <v>146425</v>
      </c>
      <c r="AN932" s="125">
        <v>0</v>
      </c>
      <c r="AO932" s="125">
        <v>0</v>
      </c>
      <c r="AP932" s="121">
        <v>2139810</v>
      </c>
      <c r="AQ932" s="114">
        <v>0</v>
      </c>
      <c r="AR932" s="121">
        <v>155.95308517999999</v>
      </c>
      <c r="AS932" s="121">
        <v>30645.270967</v>
      </c>
      <c r="AT932" s="121">
        <v>4035.9684443000001</v>
      </c>
      <c r="AU932" s="420" t="s">
        <v>2001</v>
      </c>
      <c r="AV932" s="420" t="s">
        <v>2001</v>
      </c>
      <c r="AW932" s="121">
        <v>0</v>
      </c>
      <c r="AX932" s="121">
        <v>0</v>
      </c>
      <c r="BI932">
        <v>0</v>
      </c>
      <c r="BJ932" s="121">
        <v>0</v>
      </c>
      <c r="BK932" s="134">
        <v>202013744</v>
      </c>
      <c r="BL932" s="934">
        <v>4788</v>
      </c>
      <c r="BM932" s="934">
        <v>4993</v>
      </c>
      <c r="BN932" s="934">
        <v>4993</v>
      </c>
      <c r="BO932" s="114">
        <v>0</v>
      </c>
      <c r="BP932" s="114">
        <v>0</v>
      </c>
    </row>
    <row r="933" spans="1:68">
      <c r="A933" t="s">
        <v>1423</v>
      </c>
      <c r="B933" t="s">
        <v>2212</v>
      </c>
      <c r="C933" s="121">
        <v>4680</v>
      </c>
      <c r="D933" s="72">
        <v>2</v>
      </c>
      <c r="E933">
        <v>96.774000000000001</v>
      </c>
      <c r="F933">
        <v>37</v>
      </c>
      <c r="G933">
        <v>31</v>
      </c>
      <c r="H933">
        <v>3</v>
      </c>
      <c r="I933" s="173">
        <v>1.04</v>
      </c>
      <c r="J933" s="121">
        <v>51948629</v>
      </c>
      <c r="K933" s="125">
        <v>681.49400000000003</v>
      </c>
      <c r="L933" s="173">
        <v>1.5</v>
      </c>
      <c r="M933">
        <v>1.04</v>
      </c>
      <c r="N933">
        <v>1.000000005</v>
      </c>
      <c r="O933">
        <v>3.9999995000000066</v>
      </c>
      <c r="P933">
        <v>400</v>
      </c>
      <c r="Q933" s="125">
        <v>1.2999999999999999E-2</v>
      </c>
      <c r="R933" s="125">
        <v>0</v>
      </c>
      <c r="S933" s="125">
        <v>0.68</v>
      </c>
      <c r="T933" s="125">
        <v>12.023999999999999</v>
      </c>
      <c r="U933" s="125">
        <v>0.39700000000000002</v>
      </c>
      <c r="V933" s="125">
        <v>0</v>
      </c>
      <c r="W933" s="125">
        <v>1.619</v>
      </c>
      <c r="X933" s="125">
        <v>0</v>
      </c>
      <c r="Y933" s="125">
        <v>0</v>
      </c>
      <c r="Z933" s="125">
        <v>0</v>
      </c>
      <c r="AA933" s="125">
        <v>20.5</v>
      </c>
      <c r="AB933" s="125">
        <v>24.51</v>
      </c>
      <c r="AC933" s="125">
        <v>245.5</v>
      </c>
      <c r="AD933" s="125">
        <v>0.36399999999999999</v>
      </c>
      <c r="AE933" s="125">
        <v>0</v>
      </c>
      <c r="AF933" s="125">
        <v>18.728999999999999</v>
      </c>
      <c r="AG933" s="125">
        <v>0</v>
      </c>
      <c r="AH933" s="125">
        <v>0</v>
      </c>
      <c r="AI933" s="121">
        <v>537862</v>
      </c>
      <c r="AJ933" s="121">
        <v>53904</v>
      </c>
      <c r="AK933" s="424">
        <v>12</v>
      </c>
      <c r="AL933">
        <v>0</v>
      </c>
      <c r="AM933" s="121">
        <v>54361</v>
      </c>
      <c r="AN933" s="125">
        <v>0</v>
      </c>
      <c r="AO933" s="125">
        <v>0</v>
      </c>
      <c r="AP933" s="121">
        <v>591766</v>
      </c>
      <c r="AQ933" s="114">
        <v>0</v>
      </c>
      <c r="AR933" s="121">
        <v>34.626852049999997</v>
      </c>
      <c r="AS933" s="121">
        <v>6804.2851640999997</v>
      </c>
      <c r="AT933" s="121">
        <v>896.12130491000005</v>
      </c>
      <c r="AU933" s="420" t="s">
        <v>2001</v>
      </c>
      <c r="AV933" s="420" t="s">
        <v>2001</v>
      </c>
      <c r="AW933" s="121">
        <v>0</v>
      </c>
      <c r="AX933" s="121">
        <v>223796</v>
      </c>
      <c r="BI933">
        <v>0</v>
      </c>
      <c r="BJ933" s="121">
        <v>0</v>
      </c>
      <c r="BK933" s="134">
        <v>51948629</v>
      </c>
      <c r="BL933" s="934">
        <v>4651</v>
      </c>
      <c r="BM933" s="934">
        <v>4680</v>
      </c>
      <c r="BN933" s="934">
        <v>4680</v>
      </c>
      <c r="BO933" s="114">
        <v>0</v>
      </c>
      <c r="BP933" s="114">
        <v>0</v>
      </c>
    </row>
    <row r="934" spans="1:68">
      <c r="A934" t="s">
        <v>83</v>
      </c>
      <c r="B934" t="s">
        <v>2499</v>
      </c>
      <c r="C934" s="121">
        <v>4562</v>
      </c>
      <c r="D934" s="72">
        <v>1</v>
      </c>
      <c r="E934">
        <v>61.993000000000002</v>
      </c>
      <c r="F934">
        <v>19</v>
      </c>
      <c r="G934">
        <v>11</v>
      </c>
      <c r="H934">
        <v>3</v>
      </c>
      <c r="I934" s="173">
        <v>1.04</v>
      </c>
      <c r="J934" s="121">
        <v>50443312</v>
      </c>
      <c r="K934" s="125">
        <v>333.22500000000002</v>
      </c>
      <c r="L934" s="173">
        <v>1.5</v>
      </c>
      <c r="M934">
        <v>1.04</v>
      </c>
      <c r="N934">
        <v>1.000000005</v>
      </c>
      <c r="O934">
        <v>3.9999995000000066</v>
      </c>
      <c r="P934">
        <v>175</v>
      </c>
      <c r="Q934" s="125">
        <v>0</v>
      </c>
      <c r="R934" s="125">
        <v>0</v>
      </c>
      <c r="S934" s="125">
        <v>0.3</v>
      </c>
      <c r="T934" s="125">
        <v>5.4</v>
      </c>
      <c r="U934" s="125">
        <v>0.49399999999999999</v>
      </c>
      <c r="V934" s="125">
        <v>0.63</v>
      </c>
      <c r="W934" s="125">
        <v>1.37</v>
      </c>
      <c r="X934" s="125">
        <v>0</v>
      </c>
      <c r="Y934" s="125">
        <v>0</v>
      </c>
      <c r="Z934" s="125">
        <v>5</v>
      </c>
      <c r="AA934" s="125">
        <v>9.5</v>
      </c>
      <c r="AB934" s="125">
        <v>12</v>
      </c>
      <c r="AC934" s="125">
        <v>98</v>
      </c>
      <c r="AD934" s="125">
        <v>0</v>
      </c>
      <c r="AE934" s="125">
        <v>0</v>
      </c>
      <c r="AF934" s="125">
        <v>8.75</v>
      </c>
      <c r="AG934" s="125">
        <v>0</v>
      </c>
      <c r="AH934" s="125">
        <v>0</v>
      </c>
      <c r="AI934" s="121">
        <v>540545</v>
      </c>
      <c r="AJ934" s="121">
        <v>18939</v>
      </c>
      <c r="AK934" s="424">
        <v>12</v>
      </c>
      <c r="AL934">
        <v>0</v>
      </c>
      <c r="AM934" s="121">
        <v>35043</v>
      </c>
      <c r="AN934" s="125">
        <v>0</v>
      </c>
      <c r="AO934" s="125">
        <v>0</v>
      </c>
      <c r="AP934" s="121">
        <v>559484</v>
      </c>
      <c r="AQ934" s="114">
        <v>0</v>
      </c>
      <c r="AR934" s="121">
        <v>33.623468463000002</v>
      </c>
      <c r="AS934" s="121">
        <v>6607.1171385999996</v>
      </c>
      <c r="AT934" s="121">
        <v>870.15436436000005</v>
      </c>
      <c r="AU934" s="420" t="s">
        <v>2001</v>
      </c>
      <c r="AV934" s="420" t="s">
        <v>2001</v>
      </c>
      <c r="AW934" s="121">
        <v>0</v>
      </c>
      <c r="AX934" s="121">
        <v>65095</v>
      </c>
      <c r="BI934">
        <v>0</v>
      </c>
      <c r="BJ934" s="121">
        <v>0</v>
      </c>
      <c r="BK934" s="134">
        <v>50000469</v>
      </c>
      <c r="BL934" s="934">
        <v>4562</v>
      </c>
      <c r="BM934" s="934">
        <v>4114</v>
      </c>
      <c r="BN934" s="934">
        <v>4114</v>
      </c>
      <c r="BO934" s="114">
        <v>0</v>
      </c>
      <c r="BP934" s="114">
        <v>0</v>
      </c>
    </row>
    <row r="935" spans="1:68">
      <c r="A935" t="s">
        <v>2053</v>
      </c>
      <c r="B935" t="s">
        <v>483</v>
      </c>
      <c r="C935" s="121">
        <v>4713</v>
      </c>
      <c r="D935" s="72">
        <v>2</v>
      </c>
      <c r="E935">
        <v>181.84899999999999</v>
      </c>
      <c r="F935">
        <v>82</v>
      </c>
      <c r="G935">
        <v>46</v>
      </c>
      <c r="H935">
        <v>5</v>
      </c>
      <c r="I935" s="173">
        <v>1.04</v>
      </c>
      <c r="J935" s="121">
        <v>157304509</v>
      </c>
      <c r="K935" s="125">
        <v>1109.098</v>
      </c>
      <c r="L935" s="173">
        <v>1.5</v>
      </c>
      <c r="M935">
        <v>1.04</v>
      </c>
      <c r="N935">
        <v>1.000000005</v>
      </c>
      <c r="O935">
        <v>3.9999995000000066</v>
      </c>
      <c r="P935">
        <v>665.45600000000002</v>
      </c>
      <c r="Q935" s="125">
        <v>3.0000000000000001E-3</v>
      </c>
      <c r="R935" s="125">
        <v>0</v>
      </c>
      <c r="S935" s="125">
        <v>1.155</v>
      </c>
      <c r="T935" s="125">
        <v>28.972999999999999</v>
      </c>
      <c r="U935" s="125">
        <v>4.9960000000000004</v>
      </c>
      <c r="V935" s="125">
        <v>1.5660000000000001</v>
      </c>
      <c r="W935" s="125">
        <v>1.097</v>
      </c>
      <c r="X935" s="125">
        <v>0</v>
      </c>
      <c r="Y935" s="125">
        <v>0</v>
      </c>
      <c r="Z935" s="125">
        <v>2.1560000000000001</v>
      </c>
      <c r="AA935" s="125">
        <v>3.6389999999999998</v>
      </c>
      <c r="AB935" s="125">
        <v>30.524000000000001</v>
      </c>
      <c r="AC935" s="125">
        <v>495.7</v>
      </c>
      <c r="AD935" s="125">
        <v>0</v>
      </c>
      <c r="AE935" s="125">
        <v>15.275</v>
      </c>
      <c r="AF935" s="125">
        <v>33.272799999999997</v>
      </c>
      <c r="AG935" s="125">
        <v>0</v>
      </c>
      <c r="AH935" s="125">
        <v>0</v>
      </c>
      <c r="AI935" s="121">
        <v>1683410</v>
      </c>
      <c r="AJ935" s="121">
        <v>84629</v>
      </c>
      <c r="AK935" s="424">
        <v>12</v>
      </c>
      <c r="AL935">
        <v>0</v>
      </c>
      <c r="AM935" s="121">
        <v>107874</v>
      </c>
      <c r="AN935" s="125">
        <v>0</v>
      </c>
      <c r="AO935" s="125">
        <v>0</v>
      </c>
      <c r="AP935" s="121">
        <v>1768039</v>
      </c>
      <c r="AQ935" s="114">
        <v>0</v>
      </c>
      <c r="AR935" s="121">
        <v>104.85281449999999</v>
      </c>
      <c r="AS935" s="121">
        <v>20603.907310999999</v>
      </c>
      <c r="AT935" s="121">
        <v>2713.5253535000002</v>
      </c>
      <c r="AU935" s="420" t="s">
        <v>2001</v>
      </c>
      <c r="AV935" s="420" t="s">
        <v>2001</v>
      </c>
      <c r="AW935" s="121">
        <v>0</v>
      </c>
      <c r="AX935" s="121">
        <v>155292</v>
      </c>
      <c r="BI935">
        <v>0</v>
      </c>
      <c r="BJ935" s="121">
        <v>0</v>
      </c>
      <c r="BK935" s="134">
        <v>157304509</v>
      </c>
      <c r="BL935" s="934">
        <v>4567</v>
      </c>
      <c r="BM935" s="934">
        <v>4713</v>
      </c>
      <c r="BN935" s="934">
        <v>4636</v>
      </c>
      <c r="BO935" s="114">
        <v>0</v>
      </c>
      <c r="BP935" s="114">
        <v>0</v>
      </c>
    </row>
    <row r="936" spans="1:68">
      <c r="A936" t="s">
        <v>2054</v>
      </c>
      <c r="B936" t="s">
        <v>2191</v>
      </c>
      <c r="C936" s="121">
        <v>5081</v>
      </c>
      <c r="D936" s="72">
        <v>3</v>
      </c>
      <c r="E936">
        <v>644.66099999999994</v>
      </c>
      <c r="F936">
        <v>204</v>
      </c>
      <c r="G936">
        <v>131</v>
      </c>
      <c r="H936">
        <v>38</v>
      </c>
      <c r="I936" s="173">
        <v>1.04</v>
      </c>
      <c r="J936" s="121">
        <v>853444223</v>
      </c>
      <c r="K936" s="125">
        <v>2912.7640000000001</v>
      </c>
      <c r="L936" s="173">
        <v>1.4444999999999999</v>
      </c>
      <c r="M936">
        <v>1.04</v>
      </c>
      <c r="N936">
        <v>0.96300000481499992</v>
      </c>
      <c r="O936">
        <v>7.699999518500011</v>
      </c>
      <c r="P936">
        <v>2055.6480000000001</v>
      </c>
      <c r="Q936" s="125">
        <v>0.33500000000000002</v>
      </c>
      <c r="R936" s="125">
        <v>0</v>
      </c>
      <c r="S936" s="125">
        <v>3.2370000000000001</v>
      </c>
      <c r="T936" s="125">
        <v>46.960999999999999</v>
      </c>
      <c r="U936" s="125">
        <v>10.561999999999999</v>
      </c>
      <c r="V936" s="125">
        <v>2.488</v>
      </c>
      <c r="W936" s="125">
        <v>12.823</v>
      </c>
      <c r="X936" s="125">
        <v>0</v>
      </c>
      <c r="Y936" s="125">
        <v>0</v>
      </c>
      <c r="Z936" s="125">
        <v>1.99</v>
      </c>
      <c r="AA936" s="125">
        <v>80.721999999999994</v>
      </c>
      <c r="AB936" s="125">
        <v>92.453000000000003</v>
      </c>
      <c r="AC936" s="125">
        <v>1441.8</v>
      </c>
      <c r="AD936" s="125">
        <v>1.5009999999999999</v>
      </c>
      <c r="AE936" s="125">
        <v>90.272999999999996</v>
      </c>
      <c r="AF936" s="125">
        <v>102.782</v>
      </c>
      <c r="AG936" s="125">
        <v>0</v>
      </c>
      <c r="AH936" s="125">
        <v>0</v>
      </c>
      <c r="AI936" s="121">
        <v>8946826</v>
      </c>
      <c r="AJ936" s="121">
        <v>1282215</v>
      </c>
      <c r="AK936" s="424">
        <v>12</v>
      </c>
      <c r="AL936">
        <v>0</v>
      </c>
      <c r="AM936" s="121">
        <v>297878</v>
      </c>
      <c r="AN936" s="125">
        <v>0</v>
      </c>
      <c r="AO936" s="125">
        <v>0</v>
      </c>
      <c r="AP936" s="121">
        <v>10229041</v>
      </c>
      <c r="AQ936" s="114">
        <v>0</v>
      </c>
      <c r="AR936" s="121">
        <v>568.87135254999998</v>
      </c>
      <c r="AS936" s="121">
        <v>111785.00715999999</v>
      </c>
      <c r="AT936" s="121">
        <v>14722.035317</v>
      </c>
      <c r="AU936" s="420" t="s">
        <v>2001</v>
      </c>
      <c r="AV936" s="420" t="s">
        <v>2001</v>
      </c>
      <c r="AW936" s="121">
        <v>0</v>
      </c>
      <c r="AX936" s="121">
        <v>1356136</v>
      </c>
      <c r="BI936">
        <v>0</v>
      </c>
      <c r="BJ936" s="121">
        <v>0</v>
      </c>
      <c r="BK936" s="134">
        <v>853444223</v>
      </c>
      <c r="BL936" s="934">
        <v>4692</v>
      </c>
      <c r="BM936" s="934">
        <v>5050</v>
      </c>
      <c r="BN936" s="934">
        <v>5081</v>
      </c>
      <c r="BO936" s="114">
        <v>0</v>
      </c>
      <c r="BP936" s="114">
        <v>0</v>
      </c>
    </row>
    <row r="937" spans="1:68">
      <c r="A937" t="s">
        <v>1594</v>
      </c>
      <c r="B937" t="s">
        <v>1152</v>
      </c>
      <c r="C937" s="121">
        <v>4548</v>
      </c>
      <c r="D937" s="72">
        <v>2</v>
      </c>
      <c r="E937">
        <v>228.44200000000001</v>
      </c>
      <c r="F937">
        <v>73</v>
      </c>
      <c r="G937">
        <v>60</v>
      </c>
      <c r="H937">
        <v>1</v>
      </c>
      <c r="I937" s="173">
        <v>1.04</v>
      </c>
      <c r="J937" s="121">
        <v>124904338</v>
      </c>
      <c r="K937" s="125">
        <v>1307.3869999999999</v>
      </c>
      <c r="L937" s="173">
        <v>1.5</v>
      </c>
      <c r="M937">
        <v>1.04</v>
      </c>
      <c r="N937">
        <v>1.000000005</v>
      </c>
      <c r="O937">
        <v>3.9999995000000066</v>
      </c>
      <c r="P937">
        <v>811.44899999999996</v>
      </c>
      <c r="Q937" s="125">
        <v>0.32600000000000001</v>
      </c>
      <c r="R937" s="125">
        <v>0</v>
      </c>
      <c r="S937" s="125">
        <v>1.4890000000000001</v>
      </c>
      <c r="T937" s="125">
        <v>37.369</v>
      </c>
      <c r="U937" s="125">
        <v>8.8879999999999999</v>
      </c>
      <c r="V937" s="125">
        <v>0</v>
      </c>
      <c r="W937" s="125">
        <v>0.39</v>
      </c>
      <c r="X937" s="125">
        <v>0</v>
      </c>
      <c r="Y937" s="125">
        <v>0</v>
      </c>
      <c r="Z937" s="125">
        <v>0</v>
      </c>
      <c r="AA937" s="125">
        <v>19.785</v>
      </c>
      <c r="AB937" s="125">
        <v>25.334</v>
      </c>
      <c r="AC937" s="125">
        <v>529.5</v>
      </c>
      <c r="AD937" s="125">
        <v>0.65500000000000003</v>
      </c>
      <c r="AE937" s="125">
        <v>21.992999999999999</v>
      </c>
      <c r="AF937" s="125">
        <v>40.572000000000003</v>
      </c>
      <c r="AG937" s="125">
        <v>0</v>
      </c>
      <c r="AH937" s="125">
        <v>0</v>
      </c>
      <c r="AI937" s="121">
        <v>1350316</v>
      </c>
      <c r="AJ937" s="121">
        <v>82737</v>
      </c>
      <c r="AK937" s="424">
        <v>12</v>
      </c>
      <c r="AL937">
        <v>0</v>
      </c>
      <c r="AM937" s="121">
        <v>60627</v>
      </c>
      <c r="AN937" s="125">
        <v>0</v>
      </c>
      <c r="AO937" s="125">
        <v>0</v>
      </c>
      <c r="AP937" s="121">
        <v>1433053</v>
      </c>
      <c r="AQ937" s="114">
        <v>0</v>
      </c>
      <c r="AR937" s="121">
        <v>83.256172790999997</v>
      </c>
      <c r="AS937" s="121">
        <v>16360.099397</v>
      </c>
      <c r="AT937" s="121">
        <v>2154.6177542999999</v>
      </c>
      <c r="AU937" s="420" t="s">
        <v>2001</v>
      </c>
      <c r="AV937" s="420" t="s">
        <v>2001</v>
      </c>
      <c r="AW937" s="121">
        <v>0</v>
      </c>
      <c r="AX937" s="121">
        <v>195411</v>
      </c>
      <c r="BI937">
        <v>0</v>
      </c>
      <c r="BJ937" s="121">
        <v>0</v>
      </c>
      <c r="BK937" s="134">
        <v>124904338</v>
      </c>
      <c r="BL937" s="934">
        <v>4481</v>
      </c>
      <c r="BM937" s="934">
        <v>4548</v>
      </c>
      <c r="BN937" s="934">
        <v>4548</v>
      </c>
      <c r="BO937" s="114">
        <v>0</v>
      </c>
      <c r="BP937" s="114">
        <v>0</v>
      </c>
    </row>
    <row r="938" spans="1:68">
      <c r="A938" t="s">
        <v>1229</v>
      </c>
      <c r="B938" t="s">
        <v>881</v>
      </c>
      <c r="C938" s="121">
        <v>4794</v>
      </c>
      <c r="D938" s="72">
        <v>2</v>
      </c>
      <c r="E938">
        <v>82.757999999999996</v>
      </c>
      <c r="F938">
        <v>31</v>
      </c>
      <c r="G938">
        <v>22</v>
      </c>
      <c r="H938">
        <v>0</v>
      </c>
      <c r="I938" s="173">
        <v>1.04</v>
      </c>
      <c r="J938" s="121">
        <v>88002662</v>
      </c>
      <c r="K938" s="125">
        <v>449.87700000000001</v>
      </c>
      <c r="L938" s="173">
        <v>1.5</v>
      </c>
      <c r="M938">
        <v>1.04</v>
      </c>
      <c r="N938">
        <v>1.000000005</v>
      </c>
      <c r="O938">
        <v>3.9999995000000066</v>
      </c>
      <c r="P938">
        <v>250</v>
      </c>
      <c r="Q938" s="125">
        <v>0</v>
      </c>
      <c r="R938" s="125">
        <v>0</v>
      </c>
      <c r="S938" s="125">
        <v>0.48</v>
      </c>
      <c r="T938" s="125">
        <v>10.65</v>
      </c>
      <c r="U938" s="125">
        <v>0.78900000000000003</v>
      </c>
      <c r="V938" s="125">
        <v>0</v>
      </c>
      <c r="W938" s="125">
        <v>0.01</v>
      </c>
      <c r="X938" s="125">
        <v>0</v>
      </c>
      <c r="Y938" s="125">
        <v>0</v>
      </c>
      <c r="Z938" s="125">
        <v>0</v>
      </c>
      <c r="AA938" s="125">
        <v>7.85</v>
      </c>
      <c r="AB938" s="125">
        <v>13.95</v>
      </c>
      <c r="AC938" s="125">
        <v>186.6</v>
      </c>
      <c r="AD938" s="125">
        <v>0.16500000000000001</v>
      </c>
      <c r="AE938" s="125">
        <v>2.2799999999999998</v>
      </c>
      <c r="AF938" s="125">
        <v>12.5</v>
      </c>
      <c r="AG938" s="125">
        <v>0</v>
      </c>
      <c r="AH938" s="125">
        <v>0</v>
      </c>
      <c r="AI938" s="121">
        <v>892169</v>
      </c>
      <c r="AJ938" s="121">
        <v>0</v>
      </c>
      <c r="AK938" s="424">
        <v>12</v>
      </c>
      <c r="AL938">
        <v>0</v>
      </c>
      <c r="AM938" s="121">
        <v>41415</v>
      </c>
      <c r="AN938" s="125">
        <v>0</v>
      </c>
      <c r="AO938" s="125">
        <v>0</v>
      </c>
      <c r="AP938" s="121">
        <v>892169</v>
      </c>
      <c r="AQ938" s="114">
        <v>0</v>
      </c>
      <c r="AR938" s="121">
        <v>58.659010029000001</v>
      </c>
      <c r="AS938" s="121">
        <v>11526.679674000001</v>
      </c>
      <c r="AT938" s="121">
        <v>1518.0585441999999</v>
      </c>
      <c r="AU938" s="420" t="s">
        <v>2001</v>
      </c>
      <c r="AV938" s="420" t="s">
        <v>2001</v>
      </c>
      <c r="AW938" s="121">
        <v>0</v>
      </c>
      <c r="AX938" s="121">
        <v>0</v>
      </c>
      <c r="BI938">
        <v>0</v>
      </c>
      <c r="BJ938" s="121">
        <v>0</v>
      </c>
      <c r="BK938" s="134">
        <v>82525711</v>
      </c>
      <c r="BL938" s="934">
        <v>4575</v>
      </c>
      <c r="BM938" s="934">
        <v>4794</v>
      </c>
      <c r="BN938" s="934">
        <v>4667</v>
      </c>
      <c r="BO938" s="114">
        <v>0</v>
      </c>
      <c r="BP938" s="114">
        <v>0</v>
      </c>
    </row>
    <row r="939" spans="1:68">
      <c r="A939" t="s">
        <v>2127</v>
      </c>
      <c r="B939" t="s">
        <v>935</v>
      </c>
      <c r="C939" s="121">
        <v>5025</v>
      </c>
      <c r="D939" s="72">
        <v>2</v>
      </c>
      <c r="E939">
        <v>300.24</v>
      </c>
      <c r="F939">
        <v>81</v>
      </c>
      <c r="G939">
        <v>59</v>
      </c>
      <c r="H939">
        <v>8</v>
      </c>
      <c r="I939" s="173">
        <v>1.04</v>
      </c>
      <c r="J939" s="121">
        <v>360528158</v>
      </c>
      <c r="K939" s="125">
        <v>1449.2570000000001</v>
      </c>
      <c r="L939" s="173">
        <v>1.47</v>
      </c>
      <c r="M939">
        <v>1.04</v>
      </c>
      <c r="N939">
        <v>0.98000000490000005</v>
      </c>
      <c r="O939">
        <v>5.9999995099999985</v>
      </c>
      <c r="P939">
        <v>954.96299999999997</v>
      </c>
      <c r="Q939" s="125">
        <v>0.02</v>
      </c>
      <c r="R939" s="125">
        <v>0</v>
      </c>
      <c r="S939" s="125">
        <v>1.536</v>
      </c>
      <c r="T939" s="125">
        <v>21.291</v>
      </c>
      <c r="U939" s="125">
        <v>5.6870000000000003</v>
      </c>
      <c r="V939" s="125">
        <v>0</v>
      </c>
      <c r="W939" s="125">
        <v>4.5419999999999998</v>
      </c>
      <c r="X939" s="125">
        <v>0</v>
      </c>
      <c r="Y939" s="125">
        <v>0</v>
      </c>
      <c r="Z939" s="125">
        <v>0.78300000000000003</v>
      </c>
      <c r="AA939" s="125">
        <v>33.335000000000001</v>
      </c>
      <c r="AB939" s="125">
        <v>71.974000000000004</v>
      </c>
      <c r="AC939" s="125">
        <v>497.4</v>
      </c>
      <c r="AD939" s="125">
        <v>0</v>
      </c>
      <c r="AE939" s="125">
        <v>42.997999999999998</v>
      </c>
      <c r="AF939" s="125">
        <v>47.747999999999998</v>
      </c>
      <c r="AG939" s="125">
        <v>0</v>
      </c>
      <c r="AH939" s="125">
        <v>0</v>
      </c>
      <c r="AI939" s="121">
        <v>3976337</v>
      </c>
      <c r="AJ939" s="121">
        <v>251997</v>
      </c>
      <c r="AK939" s="424">
        <v>12</v>
      </c>
      <c r="AL939">
        <v>0</v>
      </c>
      <c r="AM939" s="121">
        <v>126472</v>
      </c>
      <c r="AN939" s="125">
        <v>0</v>
      </c>
      <c r="AO939" s="125">
        <v>0</v>
      </c>
      <c r="AP939" s="121">
        <v>4228334</v>
      </c>
      <c r="AQ939" s="114">
        <v>0</v>
      </c>
      <c r="AR939" s="121">
        <v>240.31346787999999</v>
      </c>
      <c r="AS939" s="121">
        <v>47222.351079</v>
      </c>
      <c r="AT939" s="121">
        <v>6219.1624615000001</v>
      </c>
      <c r="AU939" s="420" t="s">
        <v>2001</v>
      </c>
      <c r="AV939" s="420" t="s">
        <v>2001</v>
      </c>
      <c r="AW939" s="121">
        <v>0</v>
      </c>
      <c r="AX939" s="121">
        <v>231224</v>
      </c>
      <c r="BI939">
        <v>0</v>
      </c>
      <c r="BJ939" s="121">
        <v>0</v>
      </c>
      <c r="BK939" s="134">
        <v>360528158</v>
      </c>
      <c r="BL939" s="934">
        <v>4587</v>
      </c>
      <c r="BM939" s="934">
        <v>5025</v>
      </c>
      <c r="BN939" s="934">
        <v>4996</v>
      </c>
      <c r="BO939" s="114">
        <v>0</v>
      </c>
      <c r="BP939" s="114">
        <v>0</v>
      </c>
    </row>
    <row r="940" spans="1:68">
      <c r="A940" t="s">
        <v>1230</v>
      </c>
      <c r="B940" t="s">
        <v>1729</v>
      </c>
      <c r="C940" s="121">
        <v>4725</v>
      </c>
      <c r="D940" s="72">
        <v>2</v>
      </c>
      <c r="E940">
        <v>284.74400000000003</v>
      </c>
      <c r="F940">
        <v>77</v>
      </c>
      <c r="G940">
        <v>48</v>
      </c>
      <c r="H940">
        <v>0</v>
      </c>
      <c r="I940" s="173">
        <v>1.04</v>
      </c>
      <c r="J940" s="121">
        <v>130779588</v>
      </c>
      <c r="K940" s="125">
        <v>1341.31</v>
      </c>
      <c r="L940" s="173">
        <v>1.46</v>
      </c>
      <c r="M940">
        <v>1.04</v>
      </c>
      <c r="N940">
        <v>0.97333333820000001</v>
      </c>
      <c r="O940">
        <v>6.6666661800000027</v>
      </c>
      <c r="P940">
        <v>935.904</v>
      </c>
      <c r="Q940" s="125">
        <v>0</v>
      </c>
      <c r="R940" s="125">
        <v>0</v>
      </c>
      <c r="S940" s="125">
        <v>0.81599999999999995</v>
      </c>
      <c r="T940" s="125">
        <v>23.385999999999999</v>
      </c>
      <c r="U940" s="125">
        <v>3.1240000000000001</v>
      </c>
      <c r="V940" s="125">
        <v>0</v>
      </c>
      <c r="W940" s="125">
        <v>1</v>
      </c>
      <c r="X940" s="125">
        <v>0</v>
      </c>
      <c r="Y940" s="125">
        <v>0</v>
      </c>
      <c r="Z940" s="125">
        <v>0</v>
      </c>
      <c r="AA940" s="125">
        <v>39.723999999999997</v>
      </c>
      <c r="AB940" s="125">
        <v>38.86</v>
      </c>
      <c r="AC940" s="125">
        <v>265</v>
      </c>
      <c r="AD940" s="125">
        <v>0</v>
      </c>
      <c r="AE940" s="125">
        <v>10.788</v>
      </c>
      <c r="AF940" s="125">
        <v>46.795000000000002</v>
      </c>
      <c r="AG940" s="125">
        <v>0</v>
      </c>
      <c r="AH940" s="125">
        <v>0</v>
      </c>
      <c r="AI940" s="121">
        <v>1470956</v>
      </c>
      <c r="AJ940" s="121">
        <v>156216</v>
      </c>
      <c r="AK940" s="424">
        <v>12</v>
      </c>
      <c r="AL940">
        <v>0</v>
      </c>
      <c r="AM940" s="121">
        <v>58936</v>
      </c>
      <c r="AN940" s="125">
        <v>0</v>
      </c>
      <c r="AO940" s="125">
        <v>0</v>
      </c>
      <c r="AP940" s="121">
        <v>1627172</v>
      </c>
      <c r="AQ940" s="114">
        <v>0</v>
      </c>
      <c r="AR940" s="121">
        <v>87.172376478999993</v>
      </c>
      <c r="AS940" s="121">
        <v>17129.64572</v>
      </c>
      <c r="AT940" s="121">
        <v>2255.9666599000002</v>
      </c>
      <c r="AU940" s="420" t="s">
        <v>2001</v>
      </c>
      <c r="AV940" s="420" t="s">
        <v>2001</v>
      </c>
      <c r="AW940" s="121">
        <v>0</v>
      </c>
      <c r="AX940" s="121">
        <v>268090</v>
      </c>
      <c r="BI940">
        <v>0</v>
      </c>
      <c r="BJ940" s="121">
        <v>0</v>
      </c>
      <c r="BK940" s="134">
        <v>130779588</v>
      </c>
      <c r="BL940" s="934">
        <v>4518</v>
      </c>
      <c r="BM940" s="934">
        <v>4725</v>
      </c>
      <c r="BN940" s="934">
        <v>4617</v>
      </c>
      <c r="BO940" s="114">
        <v>0</v>
      </c>
      <c r="BP940" s="114">
        <v>0</v>
      </c>
    </row>
    <row r="941" spans="1:68">
      <c r="A941" t="s">
        <v>1231</v>
      </c>
      <c r="B941" t="s">
        <v>882</v>
      </c>
      <c r="C941" s="121">
        <v>5094</v>
      </c>
      <c r="D941" s="72">
        <v>2</v>
      </c>
      <c r="E941">
        <v>226.51</v>
      </c>
      <c r="F941">
        <v>59</v>
      </c>
      <c r="G941">
        <v>47</v>
      </c>
      <c r="H941">
        <v>1</v>
      </c>
      <c r="I941" s="173">
        <v>1.17</v>
      </c>
      <c r="J941" s="121">
        <v>217758159</v>
      </c>
      <c r="K941" s="125">
        <v>1117.6310000000001</v>
      </c>
      <c r="L941" s="173">
        <v>1.4450000000000001</v>
      </c>
      <c r="M941">
        <v>1.17</v>
      </c>
      <c r="N941">
        <v>0.96333333815000011</v>
      </c>
      <c r="O941">
        <v>20.666666184999983</v>
      </c>
      <c r="P941">
        <v>750.88699999999994</v>
      </c>
      <c r="Q941" s="125">
        <v>0.126</v>
      </c>
      <c r="R941" s="125">
        <v>0</v>
      </c>
      <c r="S941" s="125">
        <v>0.88500000000000001</v>
      </c>
      <c r="T941" s="125">
        <v>11.492000000000001</v>
      </c>
      <c r="U941" s="125">
        <v>2.8919999999999999</v>
      </c>
      <c r="V941" s="125">
        <v>0</v>
      </c>
      <c r="W941" s="125">
        <v>1.9730000000000001</v>
      </c>
      <c r="X941" s="125">
        <v>0</v>
      </c>
      <c r="Y941" s="125">
        <v>0</v>
      </c>
      <c r="Z941" s="125">
        <v>0.46300000000000002</v>
      </c>
      <c r="AA941" s="125">
        <v>17.815999999999999</v>
      </c>
      <c r="AB941" s="125">
        <v>37.601999999999997</v>
      </c>
      <c r="AC941" s="125">
        <v>337.2</v>
      </c>
      <c r="AD941" s="125">
        <v>0</v>
      </c>
      <c r="AE941" s="125">
        <v>1.169</v>
      </c>
      <c r="AF941" s="125">
        <v>37.543999999999997</v>
      </c>
      <c r="AG941" s="125">
        <v>0</v>
      </c>
      <c r="AH941" s="125">
        <v>0</v>
      </c>
      <c r="AI941" s="121">
        <v>2545341</v>
      </c>
      <c r="AJ941" s="121">
        <v>166226</v>
      </c>
      <c r="AK941" s="424">
        <v>12</v>
      </c>
      <c r="AL941">
        <v>0</v>
      </c>
      <c r="AM941" s="121">
        <v>51190</v>
      </c>
      <c r="AN941" s="125">
        <v>0</v>
      </c>
      <c r="AO941" s="125">
        <v>0</v>
      </c>
      <c r="AP941" s="121">
        <v>2711567</v>
      </c>
      <c r="AQ941" s="114">
        <v>0</v>
      </c>
      <c r="AR941" s="121">
        <v>145.14876877</v>
      </c>
      <c r="AS941" s="121">
        <v>28522.188864</v>
      </c>
      <c r="AT941" s="121">
        <v>3756.3594834</v>
      </c>
      <c r="AU941" s="420" t="s">
        <v>2001</v>
      </c>
      <c r="AV941" s="420" t="s">
        <v>2001</v>
      </c>
      <c r="AW941" s="121">
        <v>0</v>
      </c>
      <c r="AX941" s="121">
        <v>250000</v>
      </c>
      <c r="BI941">
        <v>0</v>
      </c>
      <c r="BJ941" s="121">
        <v>0</v>
      </c>
      <c r="BK941" s="134">
        <v>207190956</v>
      </c>
      <c r="BL941" s="934">
        <v>4529</v>
      </c>
      <c r="BM941" s="934">
        <v>5094</v>
      </c>
      <c r="BN941" s="934">
        <v>4628</v>
      </c>
      <c r="BO941" s="114">
        <v>0</v>
      </c>
      <c r="BP941" s="114">
        <v>0</v>
      </c>
    </row>
    <row r="942" spans="1:68">
      <c r="A942" t="s">
        <v>1232</v>
      </c>
      <c r="B942" t="s">
        <v>883</v>
      </c>
      <c r="C942" s="121">
        <v>6624</v>
      </c>
      <c r="D942" s="72">
        <v>2</v>
      </c>
      <c r="E942">
        <v>135.26400000000001</v>
      </c>
      <c r="F942">
        <v>46</v>
      </c>
      <c r="G942">
        <v>49</v>
      </c>
      <c r="H942">
        <v>0</v>
      </c>
      <c r="I942" s="173">
        <v>1.04</v>
      </c>
      <c r="J942" s="121">
        <v>1420569858</v>
      </c>
      <c r="K942" s="125">
        <v>863.76199999999994</v>
      </c>
      <c r="L942" s="173">
        <v>1.5</v>
      </c>
      <c r="M942">
        <v>1.04</v>
      </c>
      <c r="N942">
        <v>1.000000005</v>
      </c>
      <c r="O942">
        <v>3.9999995000000066</v>
      </c>
      <c r="P942">
        <v>404.04700000000003</v>
      </c>
      <c r="Q942" s="125">
        <v>0</v>
      </c>
      <c r="R942" s="125">
        <v>0</v>
      </c>
      <c r="S942" s="125">
        <v>0.88800000000000001</v>
      </c>
      <c r="T942" s="125">
        <v>15.304</v>
      </c>
      <c r="U942" s="125">
        <v>3.2480000000000002</v>
      </c>
      <c r="V942" s="125">
        <v>0</v>
      </c>
      <c r="W942" s="125">
        <v>0</v>
      </c>
      <c r="X942" s="125">
        <v>0</v>
      </c>
      <c r="Y942" s="125">
        <v>0</v>
      </c>
      <c r="Z942" s="125">
        <v>0</v>
      </c>
      <c r="AA942" s="125">
        <v>23.876999999999999</v>
      </c>
      <c r="AB942" s="125">
        <v>24.777999999999999</v>
      </c>
      <c r="AC942" s="125">
        <v>371.3</v>
      </c>
      <c r="AD942" s="125">
        <v>0</v>
      </c>
      <c r="AE942" s="125">
        <v>30.733000000000001</v>
      </c>
      <c r="AF942" s="125">
        <v>20.202000000000002</v>
      </c>
      <c r="AG942" s="125">
        <v>0</v>
      </c>
      <c r="AH942" s="125">
        <v>0</v>
      </c>
      <c r="AI942" s="121">
        <v>15478486</v>
      </c>
      <c r="AJ942" s="121">
        <v>423309</v>
      </c>
      <c r="AK942" s="424">
        <v>12</v>
      </c>
      <c r="AL942">
        <v>0</v>
      </c>
      <c r="AM942" s="121">
        <v>5413</v>
      </c>
      <c r="AN942" s="125">
        <v>0</v>
      </c>
      <c r="AO942" s="125">
        <v>0</v>
      </c>
      <c r="AP942" s="121">
        <v>15901795</v>
      </c>
      <c r="AQ942" s="114">
        <v>0</v>
      </c>
      <c r="AR942" s="121">
        <v>0</v>
      </c>
      <c r="AS942" s="121">
        <v>0</v>
      </c>
      <c r="AT942" s="121">
        <v>0</v>
      </c>
      <c r="AU942" s="420" t="s">
        <v>798</v>
      </c>
      <c r="AV942" s="420" t="s">
        <v>2001</v>
      </c>
      <c r="AW942" s="121">
        <v>0</v>
      </c>
      <c r="AX942" s="121">
        <v>423780</v>
      </c>
      <c r="AY942" s="134">
        <v>1316524</v>
      </c>
      <c r="AZ942" s="134">
        <v>2832321</v>
      </c>
      <c r="BA942" s="134">
        <v>1172</v>
      </c>
      <c r="BB942" s="134">
        <v>352647406</v>
      </c>
      <c r="BC942" s="114">
        <v>0</v>
      </c>
      <c r="BD942" s="114">
        <v>0</v>
      </c>
      <c r="BE942" s="114">
        <v>0</v>
      </c>
      <c r="BF942" s="114">
        <v>466</v>
      </c>
      <c r="BG942" s="114">
        <v>0</v>
      </c>
      <c r="BH942" s="114">
        <v>0</v>
      </c>
      <c r="BI942">
        <v>0</v>
      </c>
      <c r="BJ942" s="121">
        <v>62</v>
      </c>
      <c r="BK942" s="134">
        <v>1417443745</v>
      </c>
      <c r="BL942" s="934">
        <v>5909</v>
      </c>
      <c r="BM942" s="934">
        <v>6624</v>
      </c>
      <c r="BN942" s="934">
        <v>5947</v>
      </c>
      <c r="BO942" s="114">
        <v>0</v>
      </c>
      <c r="BP942" s="114">
        <v>0</v>
      </c>
    </row>
    <row r="943" spans="1:68">
      <c r="A943" t="s">
        <v>1233</v>
      </c>
      <c r="B943" t="s">
        <v>884</v>
      </c>
      <c r="C943" s="121">
        <v>7837</v>
      </c>
      <c r="D943" s="72">
        <v>3</v>
      </c>
      <c r="E943">
        <v>61.52</v>
      </c>
      <c r="F943">
        <v>21</v>
      </c>
      <c r="G943">
        <v>23</v>
      </c>
      <c r="H943">
        <v>1</v>
      </c>
      <c r="I943" s="173">
        <v>1.04</v>
      </c>
      <c r="J943" s="121">
        <v>1404336172</v>
      </c>
      <c r="K943" s="125">
        <v>379.09800000000001</v>
      </c>
      <c r="L943" s="173">
        <v>1.4643999999999999</v>
      </c>
      <c r="M943">
        <v>1.04</v>
      </c>
      <c r="N943">
        <v>0.97626667154799995</v>
      </c>
      <c r="O943">
        <v>6.3733328452000082</v>
      </c>
      <c r="P943">
        <v>172.08799999999999</v>
      </c>
      <c r="Q943" s="125">
        <v>0.14199999999999999</v>
      </c>
      <c r="R943" s="125">
        <v>0</v>
      </c>
      <c r="S943" s="125">
        <v>0.44</v>
      </c>
      <c r="T943" s="125">
        <v>7.8360000000000003</v>
      </c>
      <c r="U943" s="125">
        <v>0</v>
      </c>
      <c r="V943" s="125">
        <v>0</v>
      </c>
      <c r="W943" s="125">
        <v>0</v>
      </c>
      <c r="X943" s="125">
        <v>0</v>
      </c>
      <c r="Y943" s="125">
        <v>0</v>
      </c>
      <c r="Z943" s="125">
        <v>0</v>
      </c>
      <c r="AA943" s="125">
        <v>4.8330000000000002</v>
      </c>
      <c r="AB943" s="125">
        <v>15.385999999999999</v>
      </c>
      <c r="AC943" s="125">
        <v>148.9</v>
      </c>
      <c r="AD943" s="125">
        <v>0</v>
      </c>
      <c r="AE943" s="125">
        <v>8.0259999999999998</v>
      </c>
      <c r="AF943" s="125">
        <v>8.6039999999999992</v>
      </c>
      <c r="AG943" s="125">
        <v>0</v>
      </c>
      <c r="AH943" s="125">
        <v>0</v>
      </c>
      <c r="AI943" s="121">
        <v>15335351</v>
      </c>
      <c r="AJ943" s="121">
        <v>574258</v>
      </c>
      <c r="AK943" s="424">
        <v>12</v>
      </c>
      <c r="AL943">
        <v>0</v>
      </c>
      <c r="AM943" s="121">
        <v>22473</v>
      </c>
      <c r="AN943" s="125">
        <v>0</v>
      </c>
      <c r="AO943" s="125">
        <v>0</v>
      </c>
      <c r="AP943" s="121">
        <v>15909609</v>
      </c>
      <c r="AQ943" s="114">
        <v>0</v>
      </c>
      <c r="AR943" s="121">
        <v>0</v>
      </c>
      <c r="AS943" s="121">
        <v>0</v>
      </c>
      <c r="AT943" s="121">
        <v>0</v>
      </c>
      <c r="AU943" s="420" t="s">
        <v>798</v>
      </c>
      <c r="AV943" s="420" t="s">
        <v>2001</v>
      </c>
      <c r="AW943" s="121">
        <v>0</v>
      </c>
      <c r="AX943" s="121">
        <v>568510</v>
      </c>
      <c r="AY943" s="134">
        <v>1186291</v>
      </c>
      <c r="AZ943" s="134">
        <v>1676154</v>
      </c>
      <c r="BA943" s="114">
        <v>629</v>
      </c>
      <c r="BB943" s="134">
        <v>299766142</v>
      </c>
      <c r="BC943" s="114">
        <v>0</v>
      </c>
      <c r="BD943" s="114">
        <v>0</v>
      </c>
      <c r="BE943" s="114">
        <v>0</v>
      </c>
      <c r="BF943" s="114">
        <v>207</v>
      </c>
      <c r="BG943" s="114">
        <v>0</v>
      </c>
      <c r="BH943" s="114">
        <v>0</v>
      </c>
      <c r="BI943">
        <v>0</v>
      </c>
      <c r="BJ943" s="121">
        <v>192</v>
      </c>
      <c r="BK943" s="134">
        <v>1404336172</v>
      </c>
      <c r="BL943" s="934">
        <v>7352</v>
      </c>
      <c r="BM943" s="934">
        <v>7780</v>
      </c>
      <c r="BN943" s="934">
        <v>7837</v>
      </c>
      <c r="BO943" s="114">
        <v>0</v>
      </c>
      <c r="BP943" s="114">
        <v>0</v>
      </c>
    </row>
    <row r="944" spans="1:68">
      <c r="A944" t="s">
        <v>63</v>
      </c>
      <c r="B944" t="s">
        <v>2832</v>
      </c>
      <c r="C944" s="121">
        <v>4434</v>
      </c>
      <c r="D944" s="72">
        <v>3</v>
      </c>
      <c r="E944">
        <v>62.292999999999999</v>
      </c>
      <c r="F944">
        <v>19</v>
      </c>
      <c r="G944">
        <v>19</v>
      </c>
      <c r="H944">
        <v>2</v>
      </c>
      <c r="I944" s="173">
        <v>1.01</v>
      </c>
      <c r="J944" s="121">
        <v>45949250</v>
      </c>
      <c r="K944" s="125">
        <v>438.34800000000001</v>
      </c>
      <c r="L944" s="173">
        <v>1.32</v>
      </c>
      <c r="M944">
        <v>1.01</v>
      </c>
      <c r="N944">
        <v>0.88000000440000004</v>
      </c>
      <c r="O944">
        <v>12.999999559999997</v>
      </c>
      <c r="P944">
        <v>275</v>
      </c>
      <c r="Q944" s="125">
        <v>0</v>
      </c>
      <c r="R944" s="125">
        <v>0</v>
      </c>
      <c r="S944" s="125">
        <v>0.52300000000000002</v>
      </c>
      <c r="T944" s="125">
        <v>4.298</v>
      </c>
      <c r="U944" s="125">
        <v>0</v>
      </c>
      <c r="V944" s="125">
        <v>0</v>
      </c>
      <c r="W944" s="125">
        <v>0</v>
      </c>
      <c r="X944" s="125">
        <v>0</v>
      </c>
      <c r="Y944" s="125">
        <v>0</v>
      </c>
      <c r="Z944" s="125">
        <v>0</v>
      </c>
      <c r="AA944" s="125">
        <v>2</v>
      </c>
      <c r="AB944" s="125">
        <v>8.5</v>
      </c>
      <c r="AC944" s="125">
        <v>130</v>
      </c>
      <c r="AD944" s="125">
        <v>0</v>
      </c>
      <c r="AE944" s="125">
        <v>8.6</v>
      </c>
      <c r="AF944" s="125">
        <v>13.75</v>
      </c>
      <c r="AG944" s="125">
        <v>0</v>
      </c>
      <c r="AH944" s="125">
        <v>0</v>
      </c>
      <c r="AI944" s="121">
        <v>453335</v>
      </c>
      <c r="AJ944" s="121">
        <v>29017</v>
      </c>
      <c r="AK944" s="424">
        <v>12</v>
      </c>
      <c r="AL944">
        <v>0</v>
      </c>
      <c r="AM944" s="121">
        <v>19904</v>
      </c>
      <c r="AN944" s="125">
        <v>0</v>
      </c>
      <c r="AO944" s="125">
        <v>0</v>
      </c>
      <c r="AP944" s="121">
        <v>482352</v>
      </c>
      <c r="AQ944" s="114">
        <v>0</v>
      </c>
      <c r="AR944" s="121">
        <v>30.627908863999998</v>
      </c>
      <c r="AS944" s="121">
        <v>6018.4802706</v>
      </c>
      <c r="AT944" s="121">
        <v>792.63115281</v>
      </c>
      <c r="AU944" s="420" t="s">
        <v>2001</v>
      </c>
      <c r="AV944" s="420" t="s">
        <v>2001</v>
      </c>
      <c r="AW944" s="121">
        <v>0</v>
      </c>
      <c r="AX944" s="121">
        <v>92275</v>
      </c>
      <c r="BI944">
        <v>0</v>
      </c>
      <c r="BJ944" s="121">
        <v>0</v>
      </c>
      <c r="BK944" s="134">
        <v>43619688</v>
      </c>
      <c r="BL944" s="934">
        <v>4094</v>
      </c>
      <c r="BM944" s="934">
        <v>4371</v>
      </c>
      <c r="BN944" s="934">
        <v>4434</v>
      </c>
      <c r="BO944" s="114">
        <v>0</v>
      </c>
      <c r="BP944" s="114">
        <v>0</v>
      </c>
    </row>
    <row r="945" spans="1:68">
      <c r="A945" t="s">
        <v>1737</v>
      </c>
      <c r="B945" t="s">
        <v>670</v>
      </c>
      <c r="C945" s="121">
        <v>4550</v>
      </c>
      <c r="D945" s="72">
        <v>2</v>
      </c>
      <c r="E945">
        <v>141.398</v>
      </c>
      <c r="F945">
        <v>51</v>
      </c>
      <c r="G945">
        <v>32</v>
      </c>
      <c r="H945">
        <v>2</v>
      </c>
      <c r="I945" s="173">
        <v>0.82199999999999995</v>
      </c>
      <c r="J945" s="121">
        <v>158315248</v>
      </c>
      <c r="K945" s="125">
        <v>1021.799</v>
      </c>
      <c r="L945" s="173">
        <v>1.1218999999999999</v>
      </c>
      <c r="M945">
        <v>0.82199999999999995</v>
      </c>
      <c r="N945">
        <v>0.74793333707299992</v>
      </c>
      <c r="O945">
        <v>7.4066662927000042</v>
      </c>
      <c r="P945">
        <v>518.62800000000004</v>
      </c>
      <c r="Q945" s="125">
        <v>0</v>
      </c>
      <c r="R945" s="125">
        <v>0</v>
      </c>
      <c r="S945" s="125">
        <v>1.0209999999999999</v>
      </c>
      <c r="T945" s="125">
        <v>11.234</v>
      </c>
      <c r="U945" s="125">
        <v>2.008</v>
      </c>
      <c r="V945" s="125">
        <v>0</v>
      </c>
      <c r="W945" s="125">
        <v>2.8620000000000001</v>
      </c>
      <c r="X945" s="125">
        <v>0</v>
      </c>
      <c r="Y945" s="125">
        <v>0</v>
      </c>
      <c r="Z945" s="125">
        <v>0</v>
      </c>
      <c r="AA945" s="125">
        <v>23.382000000000001</v>
      </c>
      <c r="AB945" s="125">
        <v>23.02</v>
      </c>
      <c r="AC945" s="125">
        <v>455.3</v>
      </c>
      <c r="AD945" s="125">
        <v>0</v>
      </c>
      <c r="AE945" s="125">
        <v>49.796999999999997</v>
      </c>
      <c r="AF945" s="125">
        <v>25.931000000000001</v>
      </c>
      <c r="AG945" s="125">
        <v>0</v>
      </c>
      <c r="AH945" s="125">
        <v>0</v>
      </c>
      <c r="AI945" s="121">
        <v>1352755</v>
      </c>
      <c r="AJ945" s="121">
        <v>104187</v>
      </c>
      <c r="AK945" s="424">
        <v>12</v>
      </c>
      <c r="AL945">
        <v>0</v>
      </c>
      <c r="AM945" s="121">
        <v>33436</v>
      </c>
      <c r="AN945" s="125">
        <v>0</v>
      </c>
      <c r="AO945" s="125">
        <v>0</v>
      </c>
      <c r="AP945" s="121">
        <v>1456942</v>
      </c>
      <c r="AQ945" s="114">
        <v>0</v>
      </c>
      <c r="AR945" s="121">
        <v>105.52653218</v>
      </c>
      <c r="AS945" s="121">
        <v>20736.294951</v>
      </c>
      <c r="AT945" s="121">
        <v>2730.9607463000002</v>
      </c>
      <c r="AU945" s="420" t="s">
        <v>2001</v>
      </c>
      <c r="AV945" s="420" t="s">
        <v>2001</v>
      </c>
      <c r="AW945" s="121">
        <v>0</v>
      </c>
      <c r="AX945" s="121">
        <v>129865</v>
      </c>
      <c r="BI945">
        <v>0</v>
      </c>
      <c r="BJ945" s="121">
        <v>0</v>
      </c>
      <c r="BK945" s="134">
        <v>158315248</v>
      </c>
      <c r="BL945" s="934">
        <v>4272</v>
      </c>
      <c r="BM945" s="934">
        <v>4550</v>
      </c>
      <c r="BN945" s="934">
        <v>4491</v>
      </c>
      <c r="BO945" s="114">
        <v>0</v>
      </c>
      <c r="BP945" s="114">
        <v>0</v>
      </c>
    </row>
    <row r="946" spans="1:68">
      <c r="A946" t="s">
        <v>1714</v>
      </c>
      <c r="B946" t="s">
        <v>327</v>
      </c>
      <c r="C946" s="121">
        <v>4560</v>
      </c>
      <c r="D946" s="72">
        <v>3</v>
      </c>
      <c r="E946">
        <v>1284.3140000000001</v>
      </c>
      <c r="F946">
        <v>369</v>
      </c>
      <c r="G946">
        <v>292</v>
      </c>
      <c r="H946">
        <v>0</v>
      </c>
      <c r="I946" s="173">
        <v>1.04</v>
      </c>
      <c r="J946" s="121">
        <v>742856154</v>
      </c>
      <c r="K946" s="125">
        <v>6453.9859999999999</v>
      </c>
      <c r="L946" s="173">
        <v>1.3872</v>
      </c>
      <c r="M946">
        <v>1.04</v>
      </c>
      <c r="N946">
        <v>0.92480000462400003</v>
      </c>
      <c r="O946">
        <v>11.5199995376</v>
      </c>
      <c r="P946">
        <v>4617.6189999999997</v>
      </c>
      <c r="Q946" s="125">
        <v>6.9000000000000006E-2</v>
      </c>
      <c r="R946" s="125">
        <v>0</v>
      </c>
      <c r="S946" s="125">
        <v>7.15</v>
      </c>
      <c r="T946" s="125">
        <v>141.67500000000001</v>
      </c>
      <c r="U946" s="125">
        <v>35.945999999999998</v>
      </c>
      <c r="V946" s="125">
        <v>0</v>
      </c>
      <c r="W946" s="125">
        <v>0.14099999999999999</v>
      </c>
      <c r="X946" s="125">
        <v>0</v>
      </c>
      <c r="Y946" s="125">
        <v>0</v>
      </c>
      <c r="Z946" s="125">
        <v>0</v>
      </c>
      <c r="AA946" s="125">
        <v>13.997</v>
      </c>
      <c r="AB946" s="125">
        <v>243.37100000000001</v>
      </c>
      <c r="AC946" s="125">
        <v>4485.5</v>
      </c>
      <c r="AD946" s="125">
        <v>3.2749999999999999</v>
      </c>
      <c r="AE946" s="125">
        <v>320.19200000000001</v>
      </c>
      <c r="AF946" s="125">
        <v>230.88095000000001</v>
      </c>
      <c r="AG946" s="125">
        <v>0</v>
      </c>
      <c r="AH946" s="125">
        <v>0</v>
      </c>
      <c r="AI946" s="121">
        <v>7696460</v>
      </c>
      <c r="AJ946" s="121">
        <v>1196203</v>
      </c>
      <c r="AK946" s="424">
        <v>12</v>
      </c>
      <c r="AL946">
        <v>0</v>
      </c>
      <c r="AM946" s="121">
        <v>0</v>
      </c>
      <c r="AN946" s="125">
        <v>0</v>
      </c>
      <c r="AO946" s="125">
        <v>0</v>
      </c>
      <c r="AP946" s="121">
        <v>8892663</v>
      </c>
      <c r="AQ946" s="114">
        <v>0</v>
      </c>
      <c r="AR946" s="121">
        <v>495.15782467999998</v>
      </c>
      <c r="AS946" s="121">
        <v>97300.067460000006</v>
      </c>
      <c r="AT946" s="121">
        <v>12814.375253</v>
      </c>
      <c r="AU946" s="420" t="s">
        <v>2001</v>
      </c>
      <c r="AV946" s="420" t="s">
        <v>2001</v>
      </c>
      <c r="AW946" s="121">
        <v>0</v>
      </c>
      <c r="AX946" s="121">
        <v>2906019</v>
      </c>
      <c r="BI946">
        <v>0</v>
      </c>
      <c r="BJ946" s="121">
        <v>0</v>
      </c>
      <c r="BK946" s="134">
        <v>719187765</v>
      </c>
      <c r="BL946" s="934">
        <v>4479</v>
      </c>
      <c r="BM946" s="934">
        <v>4458</v>
      </c>
      <c r="BN946" s="934">
        <v>4560</v>
      </c>
      <c r="BO946" s="114">
        <v>0</v>
      </c>
      <c r="BP946" s="114">
        <v>0</v>
      </c>
    </row>
    <row r="947" spans="1:68">
      <c r="A947" t="s">
        <v>1495</v>
      </c>
      <c r="B947" t="s">
        <v>687</v>
      </c>
      <c r="C947" s="121">
        <v>5436</v>
      </c>
      <c r="D947" s="72">
        <v>2</v>
      </c>
      <c r="E947">
        <v>58.555</v>
      </c>
      <c r="F947">
        <v>20</v>
      </c>
      <c r="G947">
        <v>15</v>
      </c>
      <c r="H947">
        <v>1</v>
      </c>
      <c r="I947" s="173">
        <v>1.04</v>
      </c>
      <c r="J947" s="121">
        <v>135996949</v>
      </c>
      <c r="K947" s="125">
        <v>351.40699999999998</v>
      </c>
      <c r="L947" s="173">
        <v>1.335</v>
      </c>
      <c r="M947">
        <v>1.04</v>
      </c>
      <c r="N947">
        <v>0.89000000445000005</v>
      </c>
      <c r="O947">
        <v>14.999999554999999</v>
      </c>
      <c r="P947">
        <v>176.35599999999999</v>
      </c>
      <c r="Q947" s="125">
        <v>0</v>
      </c>
      <c r="R947" s="125">
        <v>0</v>
      </c>
      <c r="S947" s="125">
        <v>0.18</v>
      </c>
      <c r="T947" s="125">
        <v>3.34</v>
      </c>
      <c r="U947" s="125">
        <v>0</v>
      </c>
      <c r="V947" s="125">
        <v>0</v>
      </c>
      <c r="W947" s="125">
        <v>0</v>
      </c>
      <c r="X947" s="125">
        <v>0</v>
      </c>
      <c r="Y947" s="125">
        <v>0</v>
      </c>
      <c r="Z947" s="125">
        <v>0</v>
      </c>
      <c r="AA947" s="125">
        <v>9.4580000000000002</v>
      </c>
      <c r="AB947" s="125">
        <v>11.223000000000001</v>
      </c>
      <c r="AC947" s="125">
        <v>90</v>
      </c>
      <c r="AD947" s="125">
        <v>0</v>
      </c>
      <c r="AE947" s="125">
        <v>4.8979999999999997</v>
      </c>
      <c r="AF947" s="125">
        <v>8.8178000000000001</v>
      </c>
      <c r="AG947" s="125">
        <v>0</v>
      </c>
      <c r="AH947" s="125">
        <v>0</v>
      </c>
      <c r="AI947" s="121">
        <v>1425683</v>
      </c>
      <c r="AJ947" s="121">
        <v>0</v>
      </c>
      <c r="AK947" s="424">
        <v>12</v>
      </c>
      <c r="AL947">
        <v>0</v>
      </c>
      <c r="AM947" s="121">
        <v>21579</v>
      </c>
      <c r="AN947" s="125">
        <v>0</v>
      </c>
      <c r="AO947" s="125">
        <v>0</v>
      </c>
      <c r="AP947" s="121">
        <v>1425683</v>
      </c>
      <c r="AQ947" s="114">
        <v>0</v>
      </c>
      <c r="AR947" s="121">
        <v>0</v>
      </c>
      <c r="AS947" s="121">
        <v>0</v>
      </c>
      <c r="AT947" s="121">
        <v>0</v>
      </c>
      <c r="AU947" s="420" t="s">
        <v>798</v>
      </c>
      <c r="AV947" s="420" t="s">
        <v>2001</v>
      </c>
      <c r="AW947" s="121">
        <v>0</v>
      </c>
      <c r="AX947" s="121">
        <v>0</v>
      </c>
      <c r="AY947" s="134">
        <v>105737</v>
      </c>
      <c r="AZ947" s="134">
        <v>714171</v>
      </c>
      <c r="BA947" s="114">
        <v>283</v>
      </c>
      <c r="BB947" s="134">
        <v>64384826</v>
      </c>
      <c r="BC947" s="114">
        <v>0</v>
      </c>
      <c r="BD947" s="114">
        <v>0</v>
      </c>
      <c r="BE947" s="114">
        <v>0</v>
      </c>
      <c r="BF947" s="114">
        <v>200</v>
      </c>
      <c r="BG947" s="114">
        <v>0</v>
      </c>
      <c r="BH947" s="114">
        <v>0</v>
      </c>
      <c r="BI947">
        <v>0</v>
      </c>
      <c r="BJ947" s="121">
        <v>0</v>
      </c>
      <c r="BK947" s="134">
        <v>135996949</v>
      </c>
      <c r="BL947" s="934">
        <v>4579</v>
      </c>
      <c r="BM947" s="934">
        <v>5436</v>
      </c>
      <c r="BN947" s="934">
        <v>5357</v>
      </c>
      <c r="BO947" s="114">
        <v>0</v>
      </c>
      <c r="BP947" s="114">
        <v>0</v>
      </c>
    </row>
    <row r="948" spans="1:68">
      <c r="A948" t="s">
        <v>530</v>
      </c>
      <c r="B948" t="s">
        <v>2460</v>
      </c>
      <c r="C948" s="121">
        <v>4274</v>
      </c>
      <c r="D948" s="72">
        <v>2</v>
      </c>
      <c r="E948">
        <v>2634.9830000000002</v>
      </c>
      <c r="F948">
        <v>631</v>
      </c>
      <c r="G948">
        <v>593</v>
      </c>
      <c r="H948">
        <v>2</v>
      </c>
      <c r="I948" s="173">
        <v>1.04</v>
      </c>
      <c r="J948" s="121">
        <v>1199871228</v>
      </c>
      <c r="K948" s="125">
        <v>13731.058999999999</v>
      </c>
      <c r="L948" s="173">
        <v>1.44</v>
      </c>
      <c r="M948">
        <v>1.04</v>
      </c>
      <c r="N948">
        <v>0.96000000480000003</v>
      </c>
      <c r="O948">
        <v>7.9999995200000011</v>
      </c>
      <c r="P948">
        <v>9833.8430000000008</v>
      </c>
      <c r="Q948" s="125">
        <v>2.2639999999999998</v>
      </c>
      <c r="R948" s="125">
        <v>0</v>
      </c>
      <c r="S948" s="125">
        <v>14.082000000000001</v>
      </c>
      <c r="T948" s="125">
        <v>359.76299999999998</v>
      </c>
      <c r="U948" s="125">
        <v>55.055</v>
      </c>
      <c r="V948" s="125">
        <v>1.857</v>
      </c>
      <c r="W948" s="125">
        <v>5.0720000000000001</v>
      </c>
      <c r="X948" s="125">
        <v>0</v>
      </c>
      <c r="Y948" s="125">
        <v>0</v>
      </c>
      <c r="Z948" s="125">
        <v>2.278</v>
      </c>
      <c r="AA948" s="125">
        <v>138.149</v>
      </c>
      <c r="AB948" s="125">
        <v>503.154</v>
      </c>
      <c r="AC948" s="125">
        <v>9070.7000000000007</v>
      </c>
      <c r="AD948" s="125">
        <v>2.5720000000000001</v>
      </c>
      <c r="AE948" s="125">
        <v>1727.2449999999999</v>
      </c>
      <c r="AF948" s="125">
        <v>491.69200000000001</v>
      </c>
      <c r="AG948" s="125">
        <v>0</v>
      </c>
      <c r="AH948" s="125">
        <v>0</v>
      </c>
      <c r="AI948" s="121">
        <v>12840542</v>
      </c>
      <c r="AJ948" s="121">
        <v>1130509</v>
      </c>
      <c r="AK948" s="424">
        <v>12</v>
      </c>
      <c r="AL948">
        <v>0</v>
      </c>
      <c r="AM948" s="121">
        <v>560011</v>
      </c>
      <c r="AN948" s="125">
        <v>1</v>
      </c>
      <c r="AO948" s="125">
        <v>0</v>
      </c>
      <c r="AP948" s="121">
        <v>13971051</v>
      </c>
      <c r="AQ948" s="114">
        <v>0</v>
      </c>
      <c r="AR948" s="121">
        <v>799.78556297</v>
      </c>
      <c r="AS948" s="121">
        <v>157160.37463999999</v>
      </c>
      <c r="AT948" s="121">
        <v>20697.950864999999</v>
      </c>
      <c r="AU948" s="420" t="s">
        <v>2001</v>
      </c>
      <c r="AV948" s="420" t="s">
        <v>2001</v>
      </c>
      <c r="AW948" s="121">
        <v>0</v>
      </c>
      <c r="AX948" s="121">
        <v>3593528</v>
      </c>
      <c r="BI948">
        <v>0</v>
      </c>
      <c r="BJ948" s="121">
        <v>0</v>
      </c>
      <c r="BK948" s="134">
        <v>1199871228</v>
      </c>
      <c r="BL948" s="934">
        <v>4010</v>
      </c>
      <c r="BM948" s="934">
        <v>4274</v>
      </c>
      <c r="BN948" s="934">
        <v>4183</v>
      </c>
      <c r="BO948" s="114">
        <v>0</v>
      </c>
      <c r="BP948" s="114">
        <v>0</v>
      </c>
    </row>
    <row r="949" spans="1:68">
      <c r="A949" t="s">
        <v>940</v>
      </c>
      <c r="B949" t="s">
        <v>688</v>
      </c>
      <c r="C949" s="121">
        <v>6089</v>
      </c>
      <c r="D949" s="72">
        <v>2</v>
      </c>
      <c r="E949">
        <v>61.692</v>
      </c>
      <c r="F949">
        <v>17</v>
      </c>
      <c r="G949">
        <v>14</v>
      </c>
      <c r="H949">
        <v>1</v>
      </c>
      <c r="I949" s="173">
        <v>1.04</v>
      </c>
      <c r="J949" s="121">
        <v>202044259</v>
      </c>
      <c r="K949" s="125">
        <v>386.07400000000001</v>
      </c>
      <c r="L949" s="173">
        <v>1.37</v>
      </c>
      <c r="M949">
        <v>1.04</v>
      </c>
      <c r="N949">
        <v>0.91333333790000004</v>
      </c>
      <c r="O949">
        <v>12.666666209999999</v>
      </c>
      <c r="P949">
        <v>208.47300000000001</v>
      </c>
      <c r="Q949" s="125">
        <v>0</v>
      </c>
      <c r="R949" s="125">
        <v>0</v>
      </c>
      <c r="S949" s="125">
        <v>0.128</v>
      </c>
      <c r="T949" s="125">
        <v>5.3230000000000004</v>
      </c>
      <c r="U949" s="125">
        <v>0.78500000000000003</v>
      </c>
      <c r="V949" s="125">
        <v>0</v>
      </c>
      <c r="W949" s="125">
        <v>0</v>
      </c>
      <c r="X949" s="125">
        <v>0</v>
      </c>
      <c r="Y949" s="125">
        <v>0</v>
      </c>
      <c r="Z949" s="125">
        <v>0</v>
      </c>
      <c r="AA949" s="125">
        <v>5.8940000000000001</v>
      </c>
      <c r="AB949" s="125">
        <v>1.9419999999999999</v>
      </c>
      <c r="AC949" s="125">
        <v>54.7</v>
      </c>
      <c r="AD949" s="125">
        <v>0</v>
      </c>
      <c r="AE949" s="125">
        <v>1.1160000000000001</v>
      </c>
      <c r="AF949" s="125">
        <v>10.42365</v>
      </c>
      <c r="AG949" s="125">
        <v>0</v>
      </c>
      <c r="AH949" s="125">
        <v>0</v>
      </c>
      <c r="AI949" s="121">
        <v>1700450</v>
      </c>
      <c r="AJ949" s="121">
        <v>296733</v>
      </c>
      <c r="AK949" s="424">
        <v>12</v>
      </c>
      <c r="AL949">
        <v>0</v>
      </c>
      <c r="AM949" s="121">
        <v>75887</v>
      </c>
      <c r="AN949" s="125">
        <v>0</v>
      </c>
      <c r="AO949" s="125">
        <v>0</v>
      </c>
      <c r="AP949" s="121">
        <v>1997183</v>
      </c>
      <c r="AQ949" s="114">
        <v>0</v>
      </c>
      <c r="AR949" s="121">
        <v>0</v>
      </c>
      <c r="AS949" s="121">
        <v>0</v>
      </c>
      <c r="AT949" s="121">
        <v>0</v>
      </c>
      <c r="AU949" s="420" t="s">
        <v>798</v>
      </c>
      <c r="AV949" s="420" t="s">
        <v>2001</v>
      </c>
      <c r="AW949" s="121">
        <v>0</v>
      </c>
      <c r="AX949" s="121">
        <v>277905</v>
      </c>
      <c r="AY949" s="134">
        <v>114003</v>
      </c>
      <c r="AZ949" s="134">
        <v>720480</v>
      </c>
      <c r="BA949" s="114">
        <v>263</v>
      </c>
      <c r="BB949" s="134">
        <v>61059757</v>
      </c>
      <c r="BC949" s="114">
        <v>0</v>
      </c>
      <c r="BD949" s="114">
        <v>0</v>
      </c>
      <c r="BE949" s="114">
        <v>0</v>
      </c>
      <c r="BF949" s="114">
        <v>198</v>
      </c>
      <c r="BG949" s="114">
        <v>0</v>
      </c>
      <c r="BH949" s="114">
        <v>0</v>
      </c>
      <c r="BI949">
        <v>0</v>
      </c>
      <c r="BJ949" s="121">
        <v>35</v>
      </c>
      <c r="BK949" s="134">
        <v>162207173</v>
      </c>
      <c r="BL949" s="934">
        <v>5123</v>
      </c>
      <c r="BM949" s="934">
        <v>6089</v>
      </c>
      <c r="BN949" s="934">
        <v>5268</v>
      </c>
      <c r="BO949" s="114">
        <v>0</v>
      </c>
      <c r="BP949" s="114">
        <v>0</v>
      </c>
    </row>
    <row r="950" spans="1:68">
      <c r="A950" t="s">
        <v>943</v>
      </c>
      <c r="B950" t="s">
        <v>1310</v>
      </c>
      <c r="C950" s="121">
        <v>4801</v>
      </c>
      <c r="D950" s="72">
        <v>3</v>
      </c>
      <c r="E950">
        <v>535.00300000000004</v>
      </c>
      <c r="F950">
        <v>148</v>
      </c>
      <c r="G950">
        <v>71</v>
      </c>
      <c r="H950">
        <v>20</v>
      </c>
      <c r="I950" s="173">
        <v>1.04</v>
      </c>
      <c r="J950" s="121">
        <v>560819063</v>
      </c>
      <c r="K950" s="125">
        <v>2441.9609999999998</v>
      </c>
      <c r="L950" s="173">
        <v>1.46</v>
      </c>
      <c r="M950">
        <v>1.04</v>
      </c>
      <c r="N950">
        <v>0.97333333820000001</v>
      </c>
      <c r="O950">
        <v>6.6666661800000027</v>
      </c>
      <c r="P950">
        <v>1870</v>
      </c>
      <c r="Q950" s="125">
        <v>2.5000000000000001E-2</v>
      </c>
      <c r="R950" s="125">
        <v>0</v>
      </c>
      <c r="S950" s="125">
        <v>2</v>
      </c>
      <c r="T950" s="125">
        <v>52.905000000000001</v>
      </c>
      <c r="U950" s="125">
        <v>7</v>
      </c>
      <c r="V950" s="125">
        <v>3.32</v>
      </c>
      <c r="W950" s="125">
        <v>2.238</v>
      </c>
      <c r="X950" s="125">
        <v>0</v>
      </c>
      <c r="Y950" s="125">
        <v>0</v>
      </c>
      <c r="Z950" s="125">
        <v>9.5000000000000001E-2</v>
      </c>
      <c r="AA950" s="125">
        <v>11.423999999999999</v>
      </c>
      <c r="AB950" s="125">
        <v>110.687</v>
      </c>
      <c r="AC950" s="125">
        <v>672.7</v>
      </c>
      <c r="AD950" s="125">
        <v>0.23200000000000001</v>
      </c>
      <c r="AE950" s="125">
        <v>50</v>
      </c>
      <c r="AF950" s="125">
        <v>93.5</v>
      </c>
      <c r="AG950" s="125">
        <v>0</v>
      </c>
      <c r="AH950" s="125">
        <v>0</v>
      </c>
      <c r="AI950" s="121">
        <v>5799800</v>
      </c>
      <c r="AJ950" s="121">
        <v>1145745</v>
      </c>
      <c r="AK950" s="424">
        <v>12</v>
      </c>
      <c r="AL950">
        <v>0</v>
      </c>
      <c r="AM950" s="121">
        <v>156090</v>
      </c>
      <c r="AN950" s="125">
        <v>0</v>
      </c>
      <c r="AO950" s="125">
        <v>0</v>
      </c>
      <c r="AP950" s="121">
        <v>6945545</v>
      </c>
      <c r="AQ950" s="114">
        <v>0</v>
      </c>
      <c r="AR950" s="121">
        <v>373.81927294000002</v>
      </c>
      <c r="AS950" s="121">
        <v>73456.661013000004</v>
      </c>
      <c r="AT950" s="121">
        <v>9674.2093156999999</v>
      </c>
      <c r="AU950" s="420" t="s">
        <v>2001</v>
      </c>
      <c r="AV950" s="420" t="s">
        <v>2001</v>
      </c>
      <c r="AW950" s="121">
        <v>0</v>
      </c>
      <c r="AX950" s="121">
        <v>2610723</v>
      </c>
      <c r="BI950">
        <v>0</v>
      </c>
      <c r="BJ950" s="121">
        <v>0</v>
      </c>
      <c r="BK950" s="134">
        <v>541956306</v>
      </c>
      <c r="BL950" s="934">
        <v>4796</v>
      </c>
      <c r="BM950" s="934">
        <v>4715</v>
      </c>
      <c r="BN950" s="934">
        <v>4801</v>
      </c>
      <c r="BO950" s="114">
        <v>0</v>
      </c>
      <c r="BP950" s="114">
        <v>0</v>
      </c>
    </row>
    <row r="951" spans="1:68">
      <c r="A951" t="s">
        <v>944</v>
      </c>
      <c r="B951" t="s">
        <v>1000</v>
      </c>
      <c r="C951" s="121">
        <v>4415</v>
      </c>
      <c r="D951" s="72">
        <v>3</v>
      </c>
      <c r="E951">
        <v>264.27999999999997</v>
      </c>
      <c r="F951">
        <v>86</v>
      </c>
      <c r="G951">
        <v>69</v>
      </c>
      <c r="H951">
        <v>8</v>
      </c>
      <c r="I951" s="173">
        <v>0.97330000000000005</v>
      </c>
      <c r="J951" s="121">
        <v>196187937</v>
      </c>
      <c r="K951" s="125">
        <v>1423.3489999999999</v>
      </c>
      <c r="L951" s="173">
        <v>1.3399000000000001</v>
      </c>
      <c r="M951">
        <v>0.97330000000000005</v>
      </c>
      <c r="N951">
        <v>0.89326667113300007</v>
      </c>
      <c r="O951">
        <v>8.0033328866999991</v>
      </c>
      <c r="P951">
        <v>921.94</v>
      </c>
      <c r="Q951" s="125">
        <v>5.0999999999999997E-2</v>
      </c>
      <c r="R951" s="125">
        <v>0</v>
      </c>
      <c r="S951" s="125">
        <v>1.32</v>
      </c>
      <c r="T951" s="125">
        <v>39.154000000000003</v>
      </c>
      <c r="U951" s="125">
        <v>4.4059999999999997</v>
      </c>
      <c r="V951" s="125">
        <v>0.75900000000000001</v>
      </c>
      <c r="W951" s="125">
        <v>1.526</v>
      </c>
      <c r="X951" s="125">
        <v>0</v>
      </c>
      <c r="Y951" s="125">
        <v>0</v>
      </c>
      <c r="Z951" s="125">
        <v>1.056</v>
      </c>
      <c r="AA951" s="125">
        <v>23.34</v>
      </c>
      <c r="AB951" s="125">
        <v>92.168000000000006</v>
      </c>
      <c r="AC951" s="125">
        <v>410</v>
      </c>
      <c r="AD951" s="125">
        <v>0</v>
      </c>
      <c r="AE951" s="125">
        <v>25</v>
      </c>
      <c r="AF951" s="125">
        <v>46.097000000000001</v>
      </c>
      <c r="AG951" s="125">
        <v>0</v>
      </c>
      <c r="AH951" s="125">
        <v>0</v>
      </c>
      <c r="AI951" s="121">
        <v>1922832</v>
      </c>
      <c r="AJ951" s="121">
        <v>304105</v>
      </c>
      <c r="AK951" s="424">
        <v>12</v>
      </c>
      <c r="AL951">
        <v>0</v>
      </c>
      <c r="AM951" s="121">
        <v>70400</v>
      </c>
      <c r="AN951" s="125">
        <v>0</v>
      </c>
      <c r="AO951" s="125">
        <v>0</v>
      </c>
      <c r="AP951" s="121">
        <v>2226937</v>
      </c>
      <c r="AQ951" s="114">
        <v>0</v>
      </c>
      <c r="AR951" s="121">
        <v>130.77093242000001</v>
      </c>
      <c r="AS951" s="121">
        <v>25696.898872000002</v>
      </c>
      <c r="AT951" s="121">
        <v>3384.2700583999999</v>
      </c>
      <c r="AU951" s="420" t="s">
        <v>2001</v>
      </c>
      <c r="AV951" s="420" t="s">
        <v>2001</v>
      </c>
      <c r="AW951" s="121">
        <v>0</v>
      </c>
      <c r="AX951" s="121">
        <v>557349</v>
      </c>
      <c r="BI951">
        <v>0</v>
      </c>
      <c r="BJ951" s="121">
        <v>0</v>
      </c>
      <c r="BK951" s="134">
        <v>190050947</v>
      </c>
      <c r="BL951" s="934">
        <v>4236</v>
      </c>
      <c r="BM951" s="934">
        <v>4222</v>
      </c>
      <c r="BN951" s="934">
        <v>4415</v>
      </c>
      <c r="BO951" s="114">
        <v>0</v>
      </c>
      <c r="BP951" s="114">
        <v>0</v>
      </c>
    </row>
    <row r="952" spans="1:68">
      <c r="A952" t="s">
        <v>1726</v>
      </c>
      <c r="B952" t="s">
        <v>976</v>
      </c>
      <c r="C952" s="121">
        <v>5465</v>
      </c>
      <c r="D952" s="72">
        <v>3</v>
      </c>
      <c r="E952">
        <v>306.64299999999997</v>
      </c>
      <c r="F952">
        <v>88</v>
      </c>
      <c r="G952">
        <v>64</v>
      </c>
      <c r="H952">
        <v>0</v>
      </c>
      <c r="I952" s="173">
        <v>0.9133</v>
      </c>
      <c r="J952" s="121">
        <v>210668285</v>
      </c>
      <c r="K952" s="125">
        <v>1675.046</v>
      </c>
      <c r="L952" s="173">
        <v>1.31</v>
      </c>
      <c r="M952">
        <v>0.9133</v>
      </c>
      <c r="N952">
        <v>0.8733333377000001</v>
      </c>
      <c r="O952">
        <v>3.99666622999999</v>
      </c>
      <c r="P952">
        <v>1100.7909999999999</v>
      </c>
      <c r="Q952" s="125">
        <v>0.23100000000000001</v>
      </c>
      <c r="R952" s="125">
        <v>0</v>
      </c>
      <c r="S952" s="125">
        <v>1.18</v>
      </c>
      <c r="T952" s="125">
        <v>32.896000000000001</v>
      </c>
      <c r="U952" s="125">
        <v>5.9950000000000001</v>
      </c>
      <c r="V952" s="125">
        <v>2.4750000000000001</v>
      </c>
      <c r="W952" s="125">
        <v>4.2510000000000003</v>
      </c>
      <c r="X952" s="125">
        <v>0</v>
      </c>
      <c r="Y952" s="125">
        <v>0</v>
      </c>
      <c r="Z952" s="125">
        <v>12.217000000000001</v>
      </c>
      <c r="AA952" s="125">
        <v>35.938000000000002</v>
      </c>
      <c r="AB952" s="125">
        <v>47.243000000000002</v>
      </c>
      <c r="AC952" s="125">
        <v>694</v>
      </c>
      <c r="AD952" s="125">
        <v>0</v>
      </c>
      <c r="AE952" s="125">
        <v>71.884</v>
      </c>
      <c r="AF952" s="125">
        <v>55.039549999999998</v>
      </c>
      <c r="AG952" s="125">
        <v>0</v>
      </c>
      <c r="AH952" s="125">
        <v>0</v>
      </c>
      <c r="AI952" s="121">
        <v>1967934</v>
      </c>
      <c r="AJ952" s="121">
        <v>272808</v>
      </c>
      <c r="AK952" s="424">
        <v>12</v>
      </c>
      <c r="AL952">
        <v>0</v>
      </c>
      <c r="AM952" s="121">
        <v>94801</v>
      </c>
      <c r="AN952" s="125">
        <v>0</v>
      </c>
      <c r="AO952" s="125">
        <v>1</v>
      </c>
      <c r="AP952" s="121">
        <v>2240742</v>
      </c>
      <c r="AQ952" s="114">
        <v>0</v>
      </c>
      <c r="AR952" s="121">
        <v>140.42294651</v>
      </c>
      <c r="AS952" s="121">
        <v>27593.549951000001</v>
      </c>
      <c r="AT952" s="121">
        <v>3634.0581548999999</v>
      </c>
      <c r="AU952" s="420" t="s">
        <v>2001</v>
      </c>
      <c r="AV952" s="420" t="s">
        <v>2001</v>
      </c>
      <c r="AW952" s="121">
        <v>0</v>
      </c>
      <c r="AX952" s="121">
        <v>585497</v>
      </c>
      <c r="BI952">
        <v>0</v>
      </c>
      <c r="BJ952" s="121">
        <v>0</v>
      </c>
      <c r="BK952" s="134">
        <v>207287243</v>
      </c>
      <c r="BL952" s="934">
        <v>5061</v>
      </c>
      <c r="BM952" s="934">
        <v>5332</v>
      </c>
      <c r="BN952" s="934">
        <v>5465</v>
      </c>
      <c r="BO952" s="114">
        <v>0</v>
      </c>
      <c r="BP952" s="114">
        <v>0</v>
      </c>
    </row>
    <row r="953" spans="1:68">
      <c r="A953" t="s">
        <v>2097</v>
      </c>
      <c r="B953" t="s">
        <v>2359</v>
      </c>
      <c r="C953" s="121">
        <v>4643</v>
      </c>
      <c r="D953" s="72">
        <v>3</v>
      </c>
      <c r="E953">
        <v>146.31</v>
      </c>
      <c r="F953">
        <v>45</v>
      </c>
      <c r="G953">
        <v>24</v>
      </c>
      <c r="H953">
        <v>2</v>
      </c>
      <c r="I953" s="173">
        <v>1.04</v>
      </c>
      <c r="J953" s="121">
        <v>82579744</v>
      </c>
      <c r="K953" s="125">
        <v>820.44399999999996</v>
      </c>
      <c r="L953" s="173">
        <v>1.45</v>
      </c>
      <c r="M953">
        <v>1.04</v>
      </c>
      <c r="N953">
        <v>0.96666667149999996</v>
      </c>
      <c r="O953">
        <v>7.3333328500000068</v>
      </c>
      <c r="P953">
        <v>485</v>
      </c>
      <c r="Q953" s="125">
        <v>0</v>
      </c>
      <c r="R953" s="125">
        <v>0</v>
      </c>
      <c r="S953" s="125">
        <v>0.70799999999999996</v>
      </c>
      <c r="T953" s="125">
        <v>17.239999999999998</v>
      </c>
      <c r="U953" s="125">
        <v>4.5</v>
      </c>
      <c r="V953" s="125">
        <v>0.72</v>
      </c>
      <c r="W953" s="125">
        <v>0</v>
      </c>
      <c r="X953" s="125">
        <v>0</v>
      </c>
      <c r="Y953" s="125">
        <v>0</v>
      </c>
      <c r="Z953" s="125">
        <v>1.591</v>
      </c>
      <c r="AA953" s="125">
        <v>11</v>
      </c>
      <c r="AB953" s="125">
        <v>52</v>
      </c>
      <c r="AC953" s="125">
        <v>256.3</v>
      </c>
      <c r="AD953" s="125">
        <v>0.05</v>
      </c>
      <c r="AE953" s="125">
        <v>35.685000000000002</v>
      </c>
      <c r="AF953" s="125">
        <v>24.25</v>
      </c>
      <c r="AG953" s="125">
        <v>0</v>
      </c>
      <c r="AH953" s="125">
        <v>0</v>
      </c>
      <c r="AI953" s="121">
        <v>873063</v>
      </c>
      <c r="AJ953" s="121">
        <v>77713</v>
      </c>
      <c r="AK953" s="424">
        <v>12</v>
      </c>
      <c r="AL953">
        <v>0</v>
      </c>
      <c r="AM953" s="121">
        <v>38846</v>
      </c>
      <c r="AN953" s="125">
        <v>0</v>
      </c>
      <c r="AO953" s="125">
        <v>0</v>
      </c>
      <c r="AP953" s="121">
        <v>950776</v>
      </c>
      <c r="AQ953" s="114">
        <v>0</v>
      </c>
      <c r="AR953" s="121">
        <v>55.044312757999997</v>
      </c>
      <c r="AS953" s="121">
        <v>10816.380309</v>
      </c>
      <c r="AT953" s="121">
        <v>1424.5124364000001</v>
      </c>
      <c r="AU953" s="420" t="s">
        <v>2001</v>
      </c>
      <c r="AV953" s="420" t="s">
        <v>2001</v>
      </c>
      <c r="AW953" s="121">
        <v>0</v>
      </c>
      <c r="AX953" s="121">
        <v>161319</v>
      </c>
      <c r="BI953">
        <v>0</v>
      </c>
      <c r="BJ953" s="121">
        <v>0</v>
      </c>
      <c r="BK953" s="134">
        <v>81582464</v>
      </c>
      <c r="BL953" s="934">
        <v>4584</v>
      </c>
      <c r="BM953" s="934">
        <v>4592</v>
      </c>
      <c r="BN953" s="934">
        <v>4643</v>
      </c>
      <c r="BO953" s="114">
        <v>0</v>
      </c>
      <c r="BP953" s="114">
        <v>0</v>
      </c>
    </row>
    <row r="954" spans="1:68">
      <c r="A954" t="s">
        <v>945</v>
      </c>
      <c r="B954" t="s">
        <v>1311</v>
      </c>
      <c r="C954" s="121">
        <v>4631</v>
      </c>
      <c r="D954" s="72">
        <v>2</v>
      </c>
      <c r="E954">
        <v>632.75</v>
      </c>
      <c r="F954">
        <v>170</v>
      </c>
      <c r="G954">
        <v>146</v>
      </c>
      <c r="H954">
        <v>1</v>
      </c>
      <c r="I954" s="173">
        <v>1.04</v>
      </c>
      <c r="J954" s="121">
        <v>527354293</v>
      </c>
      <c r="K954" s="125">
        <v>2864.2759999999998</v>
      </c>
      <c r="L954" s="173">
        <v>1.5</v>
      </c>
      <c r="M954">
        <v>1.04</v>
      </c>
      <c r="N954">
        <v>1.000000005</v>
      </c>
      <c r="O954">
        <v>3.9999995000000066</v>
      </c>
      <c r="P954">
        <v>2074.9839999999999</v>
      </c>
      <c r="Q954" s="125">
        <v>0.379</v>
      </c>
      <c r="R954" s="125">
        <v>0</v>
      </c>
      <c r="S954" s="125">
        <v>3.6520000000000001</v>
      </c>
      <c r="T954" s="125">
        <v>55.655999999999999</v>
      </c>
      <c r="U954" s="125">
        <v>9.3979999999999997</v>
      </c>
      <c r="V954" s="125">
        <v>0</v>
      </c>
      <c r="W954" s="125">
        <v>2.5009999999999999</v>
      </c>
      <c r="X954" s="125">
        <v>0</v>
      </c>
      <c r="Y954" s="125">
        <v>0</v>
      </c>
      <c r="Z954" s="125">
        <v>0</v>
      </c>
      <c r="AA954" s="125">
        <v>82.73</v>
      </c>
      <c r="AB954" s="125">
        <v>112.693</v>
      </c>
      <c r="AC954" s="125">
        <v>1206.2</v>
      </c>
      <c r="AD954" s="125">
        <v>0</v>
      </c>
      <c r="AE954" s="125">
        <v>122.831</v>
      </c>
      <c r="AF954" s="125">
        <v>103.749</v>
      </c>
      <c r="AG954" s="125">
        <v>0</v>
      </c>
      <c r="AH954" s="125">
        <v>0</v>
      </c>
      <c r="AI954" s="121">
        <v>5368672</v>
      </c>
      <c r="AJ954" s="121">
        <v>678921</v>
      </c>
      <c r="AK954" s="424">
        <v>12</v>
      </c>
      <c r="AL954">
        <v>0</v>
      </c>
      <c r="AM954" s="121">
        <v>263690</v>
      </c>
      <c r="AN954" s="125">
        <v>0</v>
      </c>
      <c r="AO954" s="125">
        <v>1</v>
      </c>
      <c r="AP954" s="121">
        <v>6047593</v>
      </c>
      <c r="AQ954" s="114">
        <v>0</v>
      </c>
      <c r="AR954" s="121">
        <v>351.51301238000002</v>
      </c>
      <c r="AS954" s="121">
        <v>69073.410766000001</v>
      </c>
      <c r="AT954" s="121">
        <v>9096.9372237000007</v>
      </c>
      <c r="AU954" s="420" t="s">
        <v>2001</v>
      </c>
      <c r="AV954" s="420" t="s">
        <v>2001</v>
      </c>
      <c r="AW954" s="121">
        <v>0</v>
      </c>
      <c r="AX954" s="121">
        <v>2598723</v>
      </c>
      <c r="BI954">
        <v>0</v>
      </c>
      <c r="BJ954" s="121">
        <v>0</v>
      </c>
      <c r="BK954" s="134">
        <v>512121453</v>
      </c>
      <c r="BL954" s="934">
        <v>4414</v>
      </c>
      <c r="BM954" s="934">
        <v>4631</v>
      </c>
      <c r="BN954" s="934">
        <v>4586</v>
      </c>
      <c r="BO954" s="114">
        <v>0</v>
      </c>
      <c r="BP954" s="114">
        <v>0</v>
      </c>
    </row>
    <row r="955" spans="1:68">
      <c r="A955" t="s">
        <v>946</v>
      </c>
      <c r="B955" t="s">
        <v>2379</v>
      </c>
      <c r="C955" s="121">
        <v>4713</v>
      </c>
      <c r="D955" s="72">
        <v>2</v>
      </c>
      <c r="E955">
        <v>759.66399999999999</v>
      </c>
      <c r="F955">
        <v>199</v>
      </c>
      <c r="G955">
        <v>159</v>
      </c>
      <c r="H955">
        <v>31</v>
      </c>
      <c r="I955" s="173">
        <v>1.04</v>
      </c>
      <c r="J955" s="121">
        <v>471117279</v>
      </c>
      <c r="K955" s="125">
        <v>3547.643</v>
      </c>
      <c r="L955" s="173">
        <v>1.5</v>
      </c>
      <c r="M955">
        <v>1.04</v>
      </c>
      <c r="N955">
        <v>1.000000005</v>
      </c>
      <c r="O955">
        <v>3.9999995000000066</v>
      </c>
      <c r="P955">
        <v>2555.893</v>
      </c>
      <c r="Q955" s="125">
        <v>0</v>
      </c>
      <c r="R955" s="125">
        <v>0</v>
      </c>
      <c r="S955" s="125">
        <v>3.78</v>
      </c>
      <c r="T955" s="125">
        <v>72.552999999999997</v>
      </c>
      <c r="U955" s="125">
        <v>16.463999999999999</v>
      </c>
      <c r="V955" s="125">
        <v>0</v>
      </c>
      <c r="W955" s="125">
        <v>7.1180000000000003</v>
      </c>
      <c r="X955" s="125">
        <v>0</v>
      </c>
      <c r="Y955" s="125">
        <v>1.089</v>
      </c>
      <c r="Z955" s="125">
        <v>4.6689999999999996</v>
      </c>
      <c r="AA955" s="125">
        <v>106.985</v>
      </c>
      <c r="AB955" s="125">
        <v>127.35</v>
      </c>
      <c r="AC955" s="125">
        <v>1588.4</v>
      </c>
      <c r="AD955" s="125">
        <v>0.40200000000000002</v>
      </c>
      <c r="AE955" s="125">
        <v>88.585999999999999</v>
      </c>
      <c r="AF955" s="125">
        <v>127.79465</v>
      </c>
      <c r="AG955" s="125">
        <v>0</v>
      </c>
      <c r="AH955" s="125">
        <v>0</v>
      </c>
      <c r="AI955" s="121">
        <v>4779893</v>
      </c>
      <c r="AJ955" s="121">
        <v>310906</v>
      </c>
      <c r="AK955" s="424">
        <v>12</v>
      </c>
      <c r="AL955">
        <v>0</v>
      </c>
      <c r="AM955" s="121">
        <v>270693</v>
      </c>
      <c r="AN955" s="125">
        <v>0</v>
      </c>
      <c r="AO955" s="125">
        <v>0</v>
      </c>
      <c r="AP955" s="121">
        <v>5090799</v>
      </c>
      <c r="AQ955" s="114">
        <v>0</v>
      </c>
      <c r="AR955" s="121">
        <v>314.02769696000001</v>
      </c>
      <c r="AS955" s="121">
        <v>61707.428572999997</v>
      </c>
      <c r="AT955" s="121">
        <v>8126.8406720000003</v>
      </c>
      <c r="AU955" s="420" t="s">
        <v>2001</v>
      </c>
      <c r="AV955" s="420" t="s">
        <v>2001</v>
      </c>
      <c r="AW955" s="121">
        <v>0</v>
      </c>
      <c r="AX955" s="121">
        <v>749322</v>
      </c>
      <c r="BI955">
        <v>0</v>
      </c>
      <c r="BJ955" s="121">
        <v>0</v>
      </c>
      <c r="BK955" s="134">
        <v>460756993</v>
      </c>
      <c r="BL955" s="934">
        <v>4588</v>
      </c>
      <c r="BM955" s="934">
        <v>4713</v>
      </c>
      <c r="BN955" s="934">
        <v>4713</v>
      </c>
      <c r="BO955" s="114">
        <v>0</v>
      </c>
      <c r="BP955" s="114">
        <v>0</v>
      </c>
    </row>
    <row r="956" spans="1:68">
      <c r="A956" t="s">
        <v>1606</v>
      </c>
      <c r="B956" t="s">
        <v>1668</v>
      </c>
      <c r="C956" s="121">
        <v>4461</v>
      </c>
      <c r="D956" s="72">
        <v>1</v>
      </c>
      <c r="E956">
        <v>114.467</v>
      </c>
      <c r="F956">
        <v>39</v>
      </c>
      <c r="G956">
        <v>29</v>
      </c>
      <c r="H956">
        <v>0</v>
      </c>
      <c r="I956" s="173">
        <v>1.04</v>
      </c>
      <c r="J956" s="121">
        <v>57042787</v>
      </c>
      <c r="K956" s="125">
        <v>895.80799999999999</v>
      </c>
      <c r="L956" s="173">
        <v>1.5</v>
      </c>
      <c r="M956">
        <v>1.04</v>
      </c>
      <c r="N956">
        <v>1.000000005</v>
      </c>
      <c r="O956">
        <v>3.9999995000000066</v>
      </c>
      <c r="P956">
        <v>507.3</v>
      </c>
      <c r="Q956" s="125">
        <v>7.5999999999999998E-2</v>
      </c>
      <c r="R956" s="125">
        <v>0</v>
      </c>
      <c r="S956" s="125">
        <v>0.81</v>
      </c>
      <c r="T956" s="125">
        <v>17.405000000000001</v>
      </c>
      <c r="U956" s="125">
        <v>2.9350000000000001</v>
      </c>
      <c r="V956" s="125">
        <v>0.59299999999999997</v>
      </c>
      <c r="W956" s="125">
        <v>3.944</v>
      </c>
      <c r="X956" s="125">
        <v>0</v>
      </c>
      <c r="Y956" s="125">
        <v>0</v>
      </c>
      <c r="Z956" s="125">
        <v>3.9449999999999998</v>
      </c>
      <c r="AA956" s="125">
        <v>30.53</v>
      </c>
      <c r="AB956" s="125">
        <v>28.834</v>
      </c>
      <c r="AC956" s="125">
        <v>355.4</v>
      </c>
      <c r="AD956" s="125">
        <v>0</v>
      </c>
      <c r="AE956" s="125">
        <v>9.4789999999999992</v>
      </c>
      <c r="AF956" s="125">
        <v>25.364999999999998</v>
      </c>
      <c r="AG956" s="125">
        <v>0</v>
      </c>
      <c r="AH956" s="125">
        <v>0</v>
      </c>
      <c r="AI956" s="121">
        <v>591762</v>
      </c>
      <c r="AJ956" s="121">
        <v>34219</v>
      </c>
      <c r="AK956" s="424">
        <v>12</v>
      </c>
      <c r="AL956">
        <v>0</v>
      </c>
      <c r="AM956" s="121">
        <v>22521</v>
      </c>
      <c r="AN956" s="125">
        <v>0</v>
      </c>
      <c r="AO956" s="125">
        <v>0</v>
      </c>
      <c r="AP956" s="121">
        <v>625981</v>
      </c>
      <c r="AQ956" s="114">
        <v>0</v>
      </c>
      <c r="AR956" s="121">
        <v>38.022411447000003</v>
      </c>
      <c r="AS956" s="121">
        <v>7471.5232486000004</v>
      </c>
      <c r="AT956" s="121">
        <v>983.99626142</v>
      </c>
      <c r="AU956" s="420" t="s">
        <v>2001</v>
      </c>
      <c r="AV956" s="420" t="s">
        <v>2001</v>
      </c>
      <c r="AW956" s="121">
        <v>0</v>
      </c>
      <c r="AX956" s="121">
        <v>95608</v>
      </c>
      <c r="BI956">
        <v>0</v>
      </c>
      <c r="BJ956" s="121">
        <v>0</v>
      </c>
      <c r="BK956" s="134">
        <v>57042787</v>
      </c>
      <c r="BL956" s="934">
        <v>4461</v>
      </c>
      <c r="BM956" s="934">
        <v>4315</v>
      </c>
      <c r="BN956" s="934">
        <v>4315</v>
      </c>
      <c r="BO956" s="114">
        <v>0</v>
      </c>
      <c r="BP956" s="114">
        <v>0</v>
      </c>
    </row>
    <row r="957" spans="1:68">
      <c r="A957" t="s">
        <v>989</v>
      </c>
      <c r="B957" t="s">
        <v>1520</v>
      </c>
      <c r="C957" s="121">
        <v>4709</v>
      </c>
      <c r="D957" s="72">
        <v>2</v>
      </c>
      <c r="E957">
        <v>211.779</v>
      </c>
      <c r="F957">
        <v>61</v>
      </c>
      <c r="G957">
        <v>57</v>
      </c>
      <c r="H957">
        <v>9</v>
      </c>
      <c r="I957" s="173">
        <v>1.04</v>
      </c>
      <c r="J957" s="121">
        <v>146056583</v>
      </c>
      <c r="K957" s="125">
        <v>1433.386</v>
      </c>
      <c r="L957" s="173">
        <v>1.5</v>
      </c>
      <c r="M957">
        <v>1.04</v>
      </c>
      <c r="N957">
        <v>1.000000005</v>
      </c>
      <c r="O957">
        <v>3.9999995000000066</v>
      </c>
      <c r="P957">
        <v>863.36900000000003</v>
      </c>
      <c r="Q957" s="125">
        <v>4.4999999999999998E-2</v>
      </c>
      <c r="R957" s="125">
        <v>0</v>
      </c>
      <c r="S957" s="125">
        <v>1.528</v>
      </c>
      <c r="T957" s="125">
        <v>23.422999999999998</v>
      </c>
      <c r="U957" s="125">
        <v>9.6229999999999993</v>
      </c>
      <c r="V957" s="125">
        <v>5.1999999999999998E-2</v>
      </c>
      <c r="W957" s="125">
        <v>1.2070000000000001</v>
      </c>
      <c r="X957" s="125">
        <v>0</v>
      </c>
      <c r="Y957" s="125">
        <v>0</v>
      </c>
      <c r="Z957" s="125">
        <v>0.29799999999999999</v>
      </c>
      <c r="AA957" s="125">
        <v>15.454000000000001</v>
      </c>
      <c r="AB957" s="125">
        <v>41.453000000000003</v>
      </c>
      <c r="AC957" s="125">
        <v>854.7</v>
      </c>
      <c r="AD957" s="125">
        <v>1.9279999999999999</v>
      </c>
      <c r="AE957" s="125">
        <v>114.018</v>
      </c>
      <c r="AF957" s="125">
        <v>43.167999999999999</v>
      </c>
      <c r="AG957" s="125">
        <v>0</v>
      </c>
      <c r="AH957" s="125">
        <v>0</v>
      </c>
      <c r="AI957" s="121">
        <v>1395368</v>
      </c>
      <c r="AJ957" s="121">
        <v>166372</v>
      </c>
      <c r="AK957" s="424">
        <v>12</v>
      </c>
      <c r="AL957">
        <v>0</v>
      </c>
      <c r="AM957" s="121">
        <v>101059</v>
      </c>
      <c r="AN957" s="125">
        <v>0</v>
      </c>
      <c r="AO957" s="125">
        <v>0</v>
      </c>
      <c r="AP957" s="121">
        <v>1561740</v>
      </c>
      <c r="AQ957" s="114">
        <v>0</v>
      </c>
      <c r="AR957" s="121">
        <v>97.355402875999999</v>
      </c>
      <c r="AS957" s="121">
        <v>19130.642383999999</v>
      </c>
      <c r="AT957" s="121">
        <v>2519.4970232999999</v>
      </c>
      <c r="AU957" s="420" t="s">
        <v>2001</v>
      </c>
      <c r="AV957" s="420" t="s">
        <v>2001</v>
      </c>
      <c r="AW957" s="121">
        <v>0</v>
      </c>
      <c r="AX957" s="121">
        <v>455012</v>
      </c>
      <c r="BI957">
        <v>0</v>
      </c>
      <c r="BJ957" s="121">
        <v>0</v>
      </c>
      <c r="BK957" s="134">
        <v>130388743</v>
      </c>
      <c r="BL957" s="934">
        <v>4529</v>
      </c>
      <c r="BM957" s="934">
        <v>4709</v>
      </c>
      <c r="BN957" s="934">
        <v>4581</v>
      </c>
      <c r="BO957" s="114">
        <v>0</v>
      </c>
      <c r="BP957" s="114">
        <v>0</v>
      </c>
    </row>
    <row r="958" spans="1:68">
      <c r="A958" t="s">
        <v>372</v>
      </c>
      <c r="B958" t="s">
        <v>155</v>
      </c>
      <c r="C958" s="121">
        <v>4604</v>
      </c>
      <c r="D958" s="72">
        <v>2</v>
      </c>
      <c r="E958">
        <v>3137.8939999999998</v>
      </c>
      <c r="F958">
        <v>967</v>
      </c>
      <c r="G958">
        <v>907</v>
      </c>
      <c r="H958">
        <v>26</v>
      </c>
      <c r="I958" s="173">
        <v>1.03</v>
      </c>
      <c r="J958" s="121">
        <v>3877255823</v>
      </c>
      <c r="K958" s="125">
        <v>16532.394</v>
      </c>
      <c r="L958" s="173">
        <v>1.456</v>
      </c>
      <c r="M958">
        <v>1.03</v>
      </c>
      <c r="N958">
        <v>0.97066667151999997</v>
      </c>
      <c r="O958">
        <v>5.9333328480000063</v>
      </c>
      <c r="P958">
        <v>12352.380999999999</v>
      </c>
      <c r="Q958" s="125">
        <v>0.879</v>
      </c>
      <c r="R958" s="125">
        <v>0</v>
      </c>
      <c r="S958" s="125">
        <v>22.917999999999999</v>
      </c>
      <c r="T958" s="125">
        <v>262.93799999999999</v>
      </c>
      <c r="U958" s="125">
        <v>148.82300000000001</v>
      </c>
      <c r="V958" s="125">
        <v>1.611</v>
      </c>
      <c r="W958" s="125">
        <v>14.444000000000001</v>
      </c>
      <c r="X958" s="125">
        <v>0</v>
      </c>
      <c r="Y958" s="125">
        <v>0</v>
      </c>
      <c r="Z958" s="125">
        <v>52.116</v>
      </c>
      <c r="AA958" s="125">
        <v>316.85700000000003</v>
      </c>
      <c r="AB958" s="125">
        <v>613.29100000000005</v>
      </c>
      <c r="AC958" s="125">
        <v>9107.2999999999993</v>
      </c>
      <c r="AD958" s="125">
        <v>7.202</v>
      </c>
      <c r="AE958" s="125">
        <v>423.875</v>
      </c>
      <c r="AF958" s="125">
        <v>617.61900000000003</v>
      </c>
      <c r="AG958" s="125">
        <v>0</v>
      </c>
      <c r="AH958" s="125">
        <v>0</v>
      </c>
      <c r="AI958" s="121">
        <v>41932522</v>
      </c>
      <c r="AJ958" s="121">
        <v>3468582</v>
      </c>
      <c r="AK958" s="424">
        <v>12</v>
      </c>
      <c r="AL958">
        <v>0</v>
      </c>
      <c r="AM958" s="121">
        <v>703662</v>
      </c>
      <c r="AN958" s="125">
        <v>0</v>
      </c>
      <c r="AO958" s="125">
        <v>0</v>
      </c>
      <c r="AP958" s="121">
        <v>45401104</v>
      </c>
      <c r="AQ958" s="114">
        <v>0</v>
      </c>
      <c r="AR958" s="121">
        <v>2584.4216935999998</v>
      </c>
      <c r="AS958" s="121">
        <v>507846.97847999999</v>
      </c>
      <c r="AT958" s="121">
        <v>66883.219335000002</v>
      </c>
      <c r="AU958" s="420" t="s">
        <v>2001</v>
      </c>
      <c r="AV958" s="420" t="s">
        <v>2001</v>
      </c>
      <c r="AW958" s="121">
        <v>0</v>
      </c>
      <c r="AX958" s="121">
        <v>9420370</v>
      </c>
      <c r="BI958">
        <v>0</v>
      </c>
      <c r="BJ958" s="121">
        <v>0</v>
      </c>
      <c r="BK958" s="134">
        <v>3877255823</v>
      </c>
      <c r="BL958" s="934">
        <v>4501</v>
      </c>
      <c r="BM958" s="934">
        <v>4604</v>
      </c>
      <c r="BN958" s="934">
        <v>4594</v>
      </c>
      <c r="BO958" s="114">
        <v>0</v>
      </c>
      <c r="BP958" s="114">
        <v>0</v>
      </c>
    </row>
    <row r="959" spans="1:68">
      <c r="A959" t="s">
        <v>2992</v>
      </c>
      <c r="B959" t="s">
        <v>2380</v>
      </c>
      <c r="C959" s="121">
        <v>5825</v>
      </c>
      <c r="D959" s="72">
        <v>2</v>
      </c>
      <c r="E959">
        <v>0</v>
      </c>
      <c r="F959">
        <v>9</v>
      </c>
      <c r="G959">
        <v>3</v>
      </c>
      <c r="H959">
        <v>1</v>
      </c>
      <c r="I959" s="173">
        <v>1.0001</v>
      </c>
      <c r="J959" s="121">
        <v>174576154</v>
      </c>
      <c r="K959" s="125">
        <v>144.358</v>
      </c>
      <c r="L959" s="173">
        <v>1.37</v>
      </c>
      <c r="M959">
        <v>1.0001</v>
      </c>
      <c r="N959">
        <v>0.91333333790000004</v>
      </c>
      <c r="O959">
        <v>8.6766662099999952</v>
      </c>
      <c r="P959">
        <v>83.942999999999998</v>
      </c>
      <c r="Q959" s="125">
        <v>0</v>
      </c>
      <c r="R959" s="125">
        <v>0</v>
      </c>
      <c r="S959" s="125">
        <v>0.51800000000000002</v>
      </c>
      <c r="T959" s="125">
        <v>2.1669999999999998</v>
      </c>
      <c r="U959" s="125">
        <v>0</v>
      </c>
      <c r="V959" s="125">
        <v>0.09</v>
      </c>
      <c r="W959" s="125">
        <v>0</v>
      </c>
      <c r="X959" s="125">
        <v>0</v>
      </c>
      <c r="Y959" s="125">
        <v>0</v>
      </c>
      <c r="Z959" s="125">
        <v>0</v>
      </c>
      <c r="AA959" s="125">
        <v>2.4889999999999999</v>
      </c>
      <c r="AB959" s="125">
        <v>0</v>
      </c>
      <c r="AC959" s="125">
        <v>41.7</v>
      </c>
      <c r="AD959" s="125">
        <v>0</v>
      </c>
      <c r="AE959" s="125">
        <v>0</v>
      </c>
      <c r="AF959" s="125">
        <v>4.1970000000000001</v>
      </c>
      <c r="AG959" s="125">
        <v>0</v>
      </c>
      <c r="AH959" s="125">
        <v>0</v>
      </c>
      <c r="AI959" s="121">
        <v>1749059</v>
      </c>
      <c r="AJ959" s="121">
        <v>0</v>
      </c>
      <c r="AK959" s="424">
        <v>5</v>
      </c>
      <c r="AL959">
        <v>0</v>
      </c>
      <c r="AM959" s="121">
        <v>0</v>
      </c>
      <c r="AN959" s="125">
        <v>0</v>
      </c>
      <c r="AO959" s="125">
        <v>0</v>
      </c>
      <c r="AP959" s="121">
        <v>1749059</v>
      </c>
      <c r="AQ959" s="114">
        <v>0</v>
      </c>
      <c r="AR959" s="121">
        <v>0</v>
      </c>
      <c r="AS959" s="121">
        <v>0</v>
      </c>
      <c r="AT959" s="121">
        <v>0</v>
      </c>
      <c r="AU959" s="420" t="s">
        <v>798</v>
      </c>
      <c r="AV959" s="420" t="s">
        <v>2001</v>
      </c>
      <c r="AW959" s="121">
        <v>0</v>
      </c>
      <c r="AX959" s="121">
        <v>0</v>
      </c>
      <c r="AY959" s="134">
        <v>104889</v>
      </c>
      <c r="AZ959" s="134">
        <v>315665</v>
      </c>
      <c r="BA959" s="114">
        <v>270</v>
      </c>
      <c r="BB959" s="134">
        <v>33519031</v>
      </c>
      <c r="BC959" s="114">
        <v>127</v>
      </c>
      <c r="BD959" s="134">
        <v>1092</v>
      </c>
      <c r="BE959" s="114">
        <v>0</v>
      </c>
      <c r="BF959" s="114">
        <v>109</v>
      </c>
      <c r="BG959" s="114">
        <v>0</v>
      </c>
      <c r="BH959" s="114">
        <v>0</v>
      </c>
      <c r="BI959">
        <v>0</v>
      </c>
      <c r="BJ959" s="121">
        <v>0</v>
      </c>
      <c r="BK959" s="134">
        <v>164911259</v>
      </c>
      <c r="BL959" s="934">
        <v>5244</v>
      </c>
      <c r="BM959" s="934">
        <v>5825</v>
      </c>
      <c r="BN959" s="934">
        <v>5493</v>
      </c>
      <c r="BO959" s="114">
        <v>0</v>
      </c>
      <c r="BP959" s="114">
        <v>0</v>
      </c>
    </row>
    <row r="960" spans="1:68">
      <c r="A960" t="s">
        <v>1160</v>
      </c>
      <c r="B960" t="s">
        <v>1307</v>
      </c>
      <c r="C960" s="121">
        <v>4649</v>
      </c>
      <c r="D960" s="72">
        <v>3</v>
      </c>
      <c r="E960">
        <v>257.04700000000003</v>
      </c>
      <c r="F960">
        <v>75</v>
      </c>
      <c r="G960">
        <v>157</v>
      </c>
      <c r="H960">
        <v>1</v>
      </c>
      <c r="I960" s="173">
        <v>0.97330000000000005</v>
      </c>
      <c r="J960" s="121">
        <v>172995061</v>
      </c>
      <c r="K960" s="125">
        <v>1273.8630000000001</v>
      </c>
      <c r="L960" s="173">
        <v>1.4</v>
      </c>
      <c r="M960">
        <v>0.97330000000000005</v>
      </c>
      <c r="N960">
        <v>0.93333333799999996</v>
      </c>
      <c r="O960">
        <v>3.9966662000000097</v>
      </c>
      <c r="P960">
        <v>791.33500000000004</v>
      </c>
      <c r="Q960" s="125">
        <v>7.3999999999999996E-2</v>
      </c>
      <c r="R960" s="125">
        <v>0</v>
      </c>
      <c r="S960" s="125">
        <v>1.6519999999999999</v>
      </c>
      <c r="T960" s="125">
        <v>33.896000000000001</v>
      </c>
      <c r="U960" s="125">
        <v>8.48</v>
      </c>
      <c r="V960" s="125">
        <v>0</v>
      </c>
      <c r="W960" s="125">
        <v>0</v>
      </c>
      <c r="X960" s="125">
        <v>0</v>
      </c>
      <c r="Y960" s="125">
        <v>0</v>
      </c>
      <c r="Z960" s="125">
        <v>0</v>
      </c>
      <c r="AA960" s="125">
        <v>0</v>
      </c>
      <c r="AB960" s="125">
        <v>36.203000000000003</v>
      </c>
      <c r="AC960" s="125">
        <v>594</v>
      </c>
      <c r="AD960" s="125">
        <v>7.5999999999999998E-2</v>
      </c>
      <c r="AE960" s="125">
        <v>10.507999999999999</v>
      </c>
      <c r="AF960" s="125">
        <v>39.566749999999999</v>
      </c>
      <c r="AG960" s="125">
        <v>0</v>
      </c>
      <c r="AH960" s="125">
        <v>0</v>
      </c>
      <c r="AI960" s="121">
        <v>1750269</v>
      </c>
      <c r="AJ960" s="121">
        <v>318352</v>
      </c>
      <c r="AK960" s="424">
        <v>12</v>
      </c>
      <c r="AL960">
        <v>0</v>
      </c>
      <c r="AM960" s="121">
        <v>87923</v>
      </c>
      <c r="AN960" s="125">
        <v>0</v>
      </c>
      <c r="AO960" s="125">
        <v>0</v>
      </c>
      <c r="AP960" s="121">
        <v>2068621</v>
      </c>
      <c r="AQ960" s="114">
        <v>0</v>
      </c>
      <c r="AR960" s="121">
        <v>115.31150095</v>
      </c>
      <c r="AS960" s="121">
        <v>22659.072043</v>
      </c>
      <c r="AT960" s="121">
        <v>2984.1896271000001</v>
      </c>
      <c r="AU960" s="420" t="s">
        <v>2001</v>
      </c>
      <c r="AV960" s="420" t="s">
        <v>2001</v>
      </c>
      <c r="AW960" s="121">
        <v>0</v>
      </c>
      <c r="AX960" s="121">
        <v>712612</v>
      </c>
      <c r="BI960">
        <v>0</v>
      </c>
      <c r="BJ960" s="121">
        <v>0</v>
      </c>
      <c r="BK960" s="134">
        <v>172995061</v>
      </c>
      <c r="BL960" s="934">
        <v>4544</v>
      </c>
      <c r="BM960" s="934">
        <v>4603</v>
      </c>
      <c r="BN960" s="934">
        <v>4649</v>
      </c>
      <c r="BO960" s="114">
        <v>0</v>
      </c>
      <c r="BP960" s="114">
        <v>0</v>
      </c>
    </row>
    <row r="961" spans="1:68">
      <c r="A961" t="s">
        <v>1320</v>
      </c>
      <c r="B961" t="s">
        <v>106</v>
      </c>
      <c r="C961" s="121">
        <v>4754</v>
      </c>
      <c r="D961" s="72">
        <v>3</v>
      </c>
      <c r="E961">
        <v>1683.09</v>
      </c>
      <c r="F961">
        <v>486</v>
      </c>
      <c r="G961">
        <v>278</v>
      </c>
      <c r="H961">
        <v>41</v>
      </c>
      <c r="I961" s="173">
        <v>1.04</v>
      </c>
      <c r="J961" s="121">
        <v>1516964605</v>
      </c>
      <c r="K961" s="125">
        <v>7727.6679999999997</v>
      </c>
      <c r="L961" s="173">
        <v>1.4850000000000001</v>
      </c>
      <c r="M961">
        <v>1.04</v>
      </c>
      <c r="N961">
        <v>0.99000000495000007</v>
      </c>
      <c r="O961">
        <v>4.9999995049999963</v>
      </c>
      <c r="P961">
        <v>5900</v>
      </c>
      <c r="Q961" s="125">
        <v>0.34599999999999997</v>
      </c>
      <c r="R961" s="125">
        <v>0</v>
      </c>
      <c r="S961" s="125">
        <v>5.5979999999999999</v>
      </c>
      <c r="T961" s="125">
        <v>220.94499999999999</v>
      </c>
      <c r="U961" s="125">
        <v>43.244</v>
      </c>
      <c r="V961" s="125">
        <v>0</v>
      </c>
      <c r="W961" s="125">
        <v>2.2170000000000001</v>
      </c>
      <c r="X961" s="125">
        <v>0</v>
      </c>
      <c r="Y961" s="125">
        <v>7.8730000000000002</v>
      </c>
      <c r="Z961" s="125">
        <v>0</v>
      </c>
      <c r="AA961" s="125">
        <v>12.694000000000001</v>
      </c>
      <c r="AB961" s="125">
        <v>272.202</v>
      </c>
      <c r="AC961" s="125">
        <v>4000</v>
      </c>
      <c r="AD961" s="125">
        <v>2.9039999999999999</v>
      </c>
      <c r="AE961" s="125">
        <v>435</v>
      </c>
      <c r="AF961" s="125">
        <v>295</v>
      </c>
      <c r="AG961" s="125">
        <v>0</v>
      </c>
      <c r="AH961" s="125">
        <v>0</v>
      </c>
      <c r="AI961" s="121">
        <v>16565253</v>
      </c>
      <c r="AJ961" s="121">
        <v>2350511</v>
      </c>
      <c r="AK961" s="424">
        <v>12</v>
      </c>
      <c r="AL961">
        <v>0</v>
      </c>
      <c r="AM961" s="121">
        <v>791553</v>
      </c>
      <c r="AN961" s="125">
        <v>0</v>
      </c>
      <c r="AO961" s="125">
        <v>0</v>
      </c>
      <c r="AP961" s="121">
        <v>18915764</v>
      </c>
      <c r="AQ961" s="114">
        <v>0</v>
      </c>
      <c r="AR961" s="121">
        <v>1011.1471651000001</v>
      </c>
      <c r="AS961" s="121">
        <v>198693.59317000001</v>
      </c>
      <c r="AT961" s="121">
        <v>26167.857122000001</v>
      </c>
      <c r="AU961" s="420" t="s">
        <v>2001</v>
      </c>
      <c r="AV961" s="420" t="s">
        <v>2001</v>
      </c>
      <c r="AW961" s="121">
        <v>0</v>
      </c>
      <c r="AX961" s="121">
        <v>3890675</v>
      </c>
      <c r="BI961">
        <v>0</v>
      </c>
      <c r="BJ961" s="121">
        <v>0</v>
      </c>
      <c r="BK961" s="134">
        <v>1516964605</v>
      </c>
      <c r="BL961" s="934">
        <v>4654</v>
      </c>
      <c r="BM961" s="934">
        <v>4727</v>
      </c>
      <c r="BN961" s="934">
        <v>4754</v>
      </c>
      <c r="BO961" s="114">
        <v>0</v>
      </c>
      <c r="BP961" s="114">
        <v>0</v>
      </c>
    </row>
    <row r="962" spans="1:68">
      <c r="A962" t="s">
        <v>306</v>
      </c>
      <c r="B962" t="s">
        <v>2722</v>
      </c>
      <c r="C962" s="121">
        <v>4674</v>
      </c>
      <c r="D962" s="72">
        <v>1</v>
      </c>
      <c r="E962">
        <v>353.404</v>
      </c>
      <c r="F962">
        <v>117</v>
      </c>
      <c r="G962">
        <v>94</v>
      </c>
      <c r="H962">
        <v>1</v>
      </c>
      <c r="I962" s="173">
        <v>1.04</v>
      </c>
      <c r="J962" s="121">
        <v>374479962</v>
      </c>
      <c r="K962" s="125">
        <v>1967.982</v>
      </c>
      <c r="L962" s="173">
        <v>1.5</v>
      </c>
      <c r="M962">
        <v>1.04</v>
      </c>
      <c r="N962">
        <v>1.000000005</v>
      </c>
      <c r="O962">
        <v>3.9999995000000066</v>
      </c>
      <c r="P962">
        <v>1178.8109999999999</v>
      </c>
      <c r="Q962" s="125">
        <v>0.26600000000000001</v>
      </c>
      <c r="R962" s="125">
        <v>0</v>
      </c>
      <c r="S962" s="125">
        <v>1.736</v>
      </c>
      <c r="T962" s="125">
        <v>45.289000000000001</v>
      </c>
      <c r="U962" s="125">
        <v>10.448</v>
      </c>
      <c r="V962" s="125">
        <v>0</v>
      </c>
      <c r="W962" s="125">
        <v>10.523</v>
      </c>
      <c r="X962" s="125">
        <v>0</v>
      </c>
      <c r="Y962" s="125">
        <v>0</v>
      </c>
      <c r="Z962" s="125">
        <v>0</v>
      </c>
      <c r="AA962" s="125">
        <v>71.882999999999996</v>
      </c>
      <c r="AB962" s="125">
        <v>50.534999999999997</v>
      </c>
      <c r="AC962" s="125">
        <v>1123.8</v>
      </c>
      <c r="AD962" s="125">
        <v>1.3759999999999999</v>
      </c>
      <c r="AE962" s="125">
        <v>194.56899999999999</v>
      </c>
      <c r="AF962" s="125">
        <v>58.940550000000002</v>
      </c>
      <c r="AG962" s="125">
        <v>0</v>
      </c>
      <c r="AH962" s="125">
        <v>0</v>
      </c>
      <c r="AI962" s="121">
        <v>3789189</v>
      </c>
      <c r="AJ962" s="121">
        <v>733332</v>
      </c>
      <c r="AK962" s="424">
        <v>12</v>
      </c>
      <c r="AL962">
        <v>0</v>
      </c>
      <c r="AM962" s="121">
        <v>101487</v>
      </c>
      <c r="AN962" s="125">
        <v>0</v>
      </c>
      <c r="AO962" s="125">
        <v>0</v>
      </c>
      <c r="AP962" s="121">
        <v>4522521</v>
      </c>
      <c r="AQ962" s="114">
        <v>0</v>
      </c>
      <c r="AR962" s="121">
        <v>249.61317535000001</v>
      </c>
      <c r="AS962" s="121">
        <v>49049.772799999999</v>
      </c>
      <c r="AT962" s="121">
        <v>6459.8330826000001</v>
      </c>
      <c r="AU962" s="420" t="s">
        <v>2001</v>
      </c>
      <c r="AV962" s="420" t="s">
        <v>2001</v>
      </c>
      <c r="AW962" s="121">
        <v>0</v>
      </c>
      <c r="AX962" s="121">
        <v>1564872</v>
      </c>
      <c r="BI962">
        <v>0</v>
      </c>
      <c r="BJ962" s="121">
        <v>0</v>
      </c>
      <c r="BK962" s="134">
        <v>374479962</v>
      </c>
      <c r="BL962" s="934">
        <v>4674</v>
      </c>
      <c r="BM962" s="934">
        <v>4660</v>
      </c>
      <c r="BN962" s="934">
        <v>4660</v>
      </c>
      <c r="BO962" s="114">
        <v>0</v>
      </c>
      <c r="BP962" s="114">
        <v>0</v>
      </c>
    </row>
    <row r="963" spans="1:68">
      <c r="A963" t="s">
        <v>307</v>
      </c>
      <c r="B963" t="s">
        <v>159</v>
      </c>
      <c r="C963" s="121">
        <v>5038</v>
      </c>
      <c r="D963" s="72">
        <v>2</v>
      </c>
      <c r="E963">
        <v>1357.604</v>
      </c>
      <c r="F963">
        <v>371</v>
      </c>
      <c r="G963">
        <v>276</v>
      </c>
      <c r="H963">
        <v>3</v>
      </c>
      <c r="I963" s="173">
        <v>1.04</v>
      </c>
      <c r="J963" s="121">
        <v>1359065678</v>
      </c>
      <c r="K963" s="125">
        <v>6480.4970000000003</v>
      </c>
      <c r="L963" s="173">
        <v>1.5</v>
      </c>
      <c r="M963">
        <v>1.04</v>
      </c>
      <c r="N963">
        <v>1.000000005</v>
      </c>
      <c r="O963">
        <v>3.9999995000000066</v>
      </c>
      <c r="P963">
        <v>4936.4549999999999</v>
      </c>
      <c r="Q963" s="125">
        <v>0.13900000000000001</v>
      </c>
      <c r="R963" s="125">
        <v>0</v>
      </c>
      <c r="S963" s="125">
        <v>6.2690000000000001</v>
      </c>
      <c r="T963" s="125">
        <v>67.174999999999997</v>
      </c>
      <c r="U963" s="125">
        <v>31.913</v>
      </c>
      <c r="V963" s="125">
        <v>0</v>
      </c>
      <c r="W963" s="125">
        <v>5.8230000000000004</v>
      </c>
      <c r="X963" s="125">
        <v>0</v>
      </c>
      <c r="Y963" s="125">
        <v>0</v>
      </c>
      <c r="Z963" s="125">
        <v>11.225</v>
      </c>
      <c r="AA963" s="125">
        <v>141.98599999999999</v>
      </c>
      <c r="AB963" s="125">
        <v>209.79</v>
      </c>
      <c r="AC963" s="125">
        <v>2873.6</v>
      </c>
      <c r="AD963" s="125">
        <v>1.6479999999999999</v>
      </c>
      <c r="AE963" s="125">
        <v>738.822</v>
      </c>
      <c r="AF963" s="125">
        <v>246.82275000000001</v>
      </c>
      <c r="AG963" s="125">
        <v>0</v>
      </c>
      <c r="AH963" s="125">
        <v>0</v>
      </c>
      <c r="AI963" s="121">
        <v>14840997</v>
      </c>
      <c r="AJ963" s="121">
        <v>3933863</v>
      </c>
      <c r="AK963" s="424">
        <v>12</v>
      </c>
      <c r="AL963">
        <v>0</v>
      </c>
      <c r="AM963" s="121">
        <v>904772</v>
      </c>
      <c r="AN963" s="125">
        <v>0</v>
      </c>
      <c r="AO963" s="125">
        <v>0</v>
      </c>
      <c r="AP963" s="121">
        <v>18774860</v>
      </c>
      <c r="AQ963" s="114">
        <v>0</v>
      </c>
      <c r="AR963" s="121">
        <v>905.89813559000004</v>
      </c>
      <c r="AS963" s="121">
        <v>178011.82837999999</v>
      </c>
      <c r="AT963" s="121">
        <v>23444.077971999999</v>
      </c>
      <c r="AU963" s="420" t="s">
        <v>2001</v>
      </c>
      <c r="AV963" s="420" t="s">
        <v>2001</v>
      </c>
      <c r="AW963" s="121">
        <v>0</v>
      </c>
      <c r="AX963" s="121">
        <v>4147741</v>
      </c>
      <c r="BI963">
        <v>0</v>
      </c>
      <c r="BJ963" s="121">
        <v>0</v>
      </c>
      <c r="BK963" s="134">
        <v>1359065678</v>
      </c>
      <c r="BL963" s="934">
        <v>4880</v>
      </c>
      <c r="BM963" s="934">
        <v>5038</v>
      </c>
      <c r="BN963" s="934">
        <v>5038</v>
      </c>
      <c r="BO963" s="114">
        <v>0</v>
      </c>
      <c r="BP963" s="114">
        <v>0</v>
      </c>
    </row>
    <row r="964" spans="1:68">
      <c r="A964" t="s">
        <v>693</v>
      </c>
      <c r="B964" t="s">
        <v>107</v>
      </c>
      <c r="C964" s="121">
        <v>5064</v>
      </c>
      <c r="D964" s="72">
        <v>1</v>
      </c>
      <c r="E964">
        <v>438.33100000000002</v>
      </c>
      <c r="F964">
        <v>143</v>
      </c>
      <c r="G964">
        <v>95</v>
      </c>
      <c r="H964">
        <v>0</v>
      </c>
      <c r="I964" s="173">
        <v>1.04</v>
      </c>
      <c r="J964" s="121">
        <v>598941190</v>
      </c>
      <c r="K964" s="125">
        <v>2796.55</v>
      </c>
      <c r="L964" s="173">
        <v>1.5</v>
      </c>
      <c r="M964">
        <v>1.04</v>
      </c>
      <c r="N964">
        <v>1.000000005</v>
      </c>
      <c r="O964">
        <v>3.9999995000000066</v>
      </c>
      <c r="P964">
        <v>1925.48</v>
      </c>
      <c r="Q964" s="125">
        <v>0.221</v>
      </c>
      <c r="R964" s="125">
        <v>0</v>
      </c>
      <c r="S964" s="125">
        <v>3.3210000000000002</v>
      </c>
      <c r="T964" s="125">
        <v>30</v>
      </c>
      <c r="U964" s="125">
        <v>20.655000000000001</v>
      </c>
      <c r="V964" s="125">
        <v>1.266</v>
      </c>
      <c r="W964" s="125">
        <v>0</v>
      </c>
      <c r="X964" s="125">
        <v>0</v>
      </c>
      <c r="Y964" s="125">
        <v>0</v>
      </c>
      <c r="Z964" s="125">
        <v>0</v>
      </c>
      <c r="AA964" s="125">
        <v>50</v>
      </c>
      <c r="AB964" s="125">
        <v>64</v>
      </c>
      <c r="AC964" s="125">
        <v>1525</v>
      </c>
      <c r="AD964" s="125">
        <v>0</v>
      </c>
      <c r="AE964" s="125">
        <v>323.11599999999999</v>
      </c>
      <c r="AF964" s="125">
        <v>65</v>
      </c>
      <c r="AG964" s="125">
        <v>0</v>
      </c>
      <c r="AH964" s="125">
        <v>0</v>
      </c>
      <c r="AI964" s="121">
        <v>6252021</v>
      </c>
      <c r="AJ964" s="121">
        <v>780244</v>
      </c>
      <c r="AK964" s="424">
        <v>12</v>
      </c>
      <c r="AL964">
        <v>0</v>
      </c>
      <c r="AM964" s="121">
        <v>247868</v>
      </c>
      <c r="AN964" s="125">
        <v>0</v>
      </c>
      <c r="AO964" s="125">
        <v>0</v>
      </c>
      <c r="AP964" s="121">
        <v>7032265</v>
      </c>
      <c r="AQ964" s="114">
        <v>0</v>
      </c>
      <c r="AR964" s="121">
        <v>399.22993872000001</v>
      </c>
      <c r="AS964" s="121">
        <v>78449.936633999998</v>
      </c>
      <c r="AT964" s="121">
        <v>10331.821475999999</v>
      </c>
      <c r="AU964" s="420" t="s">
        <v>2001</v>
      </c>
      <c r="AV964" s="420" t="s">
        <v>2001</v>
      </c>
      <c r="AW964" s="121">
        <v>0</v>
      </c>
      <c r="AX964" s="121">
        <v>1393641</v>
      </c>
      <c r="BI964">
        <v>0</v>
      </c>
      <c r="BJ964" s="121">
        <v>0</v>
      </c>
      <c r="BK964" s="134">
        <v>598941190</v>
      </c>
      <c r="BL964" s="934">
        <v>5064</v>
      </c>
      <c r="BM964" s="934">
        <v>4853</v>
      </c>
      <c r="BN964" s="934">
        <v>4853</v>
      </c>
      <c r="BO964" s="114">
        <v>0</v>
      </c>
      <c r="BP964" s="114">
        <v>0</v>
      </c>
    </row>
    <row r="965" spans="1:68">
      <c r="A965" t="s">
        <v>694</v>
      </c>
      <c r="B965" t="s">
        <v>999</v>
      </c>
      <c r="C965" s="121">
        <v>5608</v>
      </c>
      <c r="D965" s="72">
        <v>2</v>
      </c>
      <c r="E965">
        <v>543.48900000000003</v>
      </c>
      <c r="F965">
        <v>149</v>
      </c>
      <c r="G965">
        <v>137</v>
      </c>
      <c r="H965">
        <v>10</v>
      </c>
      <c r="I965" s="173">
        <v>1.04</v>
      </c>
      <c r="J965" s="121">
        <v>1278083529</v>
      </c>
      <c r="K965" s="125">
        <v>2374.652</v>
      </c>
      <c r="L965" s="173">
        <v>1.4</v>
      </c>
      <c r="M965">
        <v>1.04</v>
      </c>
      <c r="N965">
        <v>0.93333333799999996</v>
      </c>
      <c r="O965">
        <v>10.666666200000009</v>
      </c>
      <c r="P965">
        <v>1798.5</v>
      </c>
      <c r="Q965" s="125">
        <v>0.125</v>
      </c>
      <c r="R965" s="125">
        <v>0</v>
      </c>
      <c r="S965" s="125">
        <v>4.0250000000000004</v>
      </c>
      <c r="T965" s="125">
        <v>37.5</v>
      </c>
      <c r="U965" s="125">
        <v>17.25</v>
      </c>
      <c r="V965" s="125">
        <v>0</v>
      </c>
      <c r="W965" s="125">
        <v>4</v>
      </c>
      <c r="X965" s="125">
        <v>0</v>
      </c>
      <c r="Y965" s="125">
        <v>0</v>
      </c>
      <c r="Z965" s="125">
        <v>0</v>
      </c>
      <c r="AA965" s="125">
        <v>76.25</v>
      </c>
      <c r="AB965" s="125">
        <v>52</v>
      </c>
      <c r="AC965" s="125">
        <v>1025</v>
      </c>
      <c r="AD965" s="125">
        <v>1.8</v>
      </c>
      <c r="AE965" s="125">
        <v>59</v>
      </c>
      <c r="AF965" s="125">
        <v>53.25</v>
      </c>
      <c r="AG965" s="125">
        <v>0</v>
      </c>
      <c r="AH965" s="125">
        <v>0</v>
      </c>
      <c r="AI965" s="121">
        <v>13514131</v>
      </c>
      <c r="AJ965" s="121">
        <v>2390986</v>
      </c>
      <c r="AK965" s="424">
        <v>12</v>
      </c>
      <c r="AL965">
        <v>0</v>
      </c>
      <c r="AM965" s="121">
        <v>76292</v>
      </c>
      <c r="AN965" s="125">
        <v>0</v>
      </c>
      <c r="AO965" s="125">
        <v>0</v>
      </c>
      <c r="AP965" s="121">
        <v>15905117</v>
      </c>
      <c r="AQ965" s="114">
        <v>0</v>
      </c>
      <c r="AR965" s="121">
        <v>0</v>
      </c>
      <c r="AS965" s="121">
        <v>0</v>
      </c>
      <c r="AT965" s="121">
        <v>0</v>
      </c>
      <c r="AU965" s="420" t="s">
        <v>798</v>
      </c>
      <c r="AV965" s="420" t="s">
        <v>2001</v>
      </c>
      <c r="AW965" s="121">
        <v>0</v>
      </c>
      <c r="AX965" s="121">
        <v>2252825</v>
      </c>
      <c r="AY965" s="134">
        <v>3849711</v>
      </c>
      <c r="AZ965" s="134">
        <v>7239863</v>
      </c>
      <c r="BA965" s="134">
        <v>3116</v>
      </c>
      <c r="BB965" s="134">
        <v>900862047</v>
      </c>
      <c r="BC965" s="114">
        <v>0</v>
      </c>
      <c r="BD965" s="114">
        <v>0</v>
      </c>
      <c r="BE965" s="114">
        <v>0</v>
      </c>
      <c r="BF965" s="134">
        <v>1933</v>
      </c>
      <c r="BG965" s="114">
        <v>0</v>
      </c>
      <c r="BH965" s="114">
        <v>0</v>
      </c>
      <c r="BI965">
        <v>0</v>
      </c>
      <c r="BJ965" s="121">
        <v>0</v>
      </c>
      <c r="BK965" s="134">
        <v>1237557770</v>
      </c>
      <c r="BL965" s="934">
        <v>5416</v>
      </c>
      <c r="BM965" s="934">
        <v>5608</v>
      </c>
      <c r="BN965" s="934">
        <v>5518</v>
      </c>
      <c r="BO965" s="114">
        <v>0</v>
      </c>
      <c r="BP965" s="114">
        <v>0</v>
      </c>
    </row>
    <row r="966" spans="1:68">
      <c r="A966" t="s">
        <v>695</v>
      </c>
      <c r="B966" t="s">
        <v>1383</v>
      </c>
      <c r="C966" s="121">
        <v>6781</v>
      </c>
      <c r="D966" s="72">
        <v>1</v>
      </c>
      <c r="E966">
        <v>36.889000000000003</v>
      </c>
      <c r="F966">
        <v>17</v>
      </c>
      <c r="G966">
        <v>14</v>
      </c>
      <c r="H966">
        <v>0</v>
      </c>
      <c r="I966" s="173">
        <v>1.04</v>
      </c>
      <c r="J966" s="121">
        <v>162606110</v>
      </c>
      <c r="K966" s="125">
        <v>249.642</v>
      </c>
      <c r="L966" s="173">
        <v>1.5</v>
      </c>
      <c r="M966">
        <v>1.04</v>
      </c>
      <c r="N966">
        <v>1.000000005</v>
      </c>
      <c r="O966">
        <v>3.9999995000000066</v>
      </c>
      <c r="P966">
        <v>115.20399999999999</v>
      </c>
      <c r="Q966" s="125">
        <v>0</v>
      </c>
      <c r="R966" s="125">
        <v>0</v>
      </c>
      <c r="S966" s="125">
        <v>0.14699999999999999</v>
      </c>
      <c r="T966" s="125">
        <v>5.85</v>
      </c>
      <c r="U966" s="125">
        <v>0</v>
      </c>
      <c r="V966" s="125">
        <v>0</v>
      </c>
      <c r="W966" s="125">
        <v>0</v>
      </c>
      <c r="X966" s="125">
        <v>0</v>
      </c>
      <c r="Y966" s="125">
        <v>0</v>
      </c>
      <c r="Z966" s="125">
        <v>0</v>
      </c>
      <c r="AA966" s="125">
        <v>5.87</v>
      </c>
      <c r="AB966" s="125">
        <v>6.0369999999999999</v>
      </c>
      <c r="AC966" s="125">
        <v>65</v>
      </c>
      <c r="AD966" s="125">
        <v>0</v>
      </c>
      <c r="AE966" s="125">
        <v>1.907</v>
      </c>
      <c r="AF966" s="125">
        <v>2</v>
      </c>
      <c r="AG966" s="125">
        <v>0</v>
      </c>
      <c r="AH966" s="125">
        <v>0</v>
      </c>
      <c r="AI966" s="121">
        <v>1775659</v>
      </c>
      <c r="AJ966" s="121">
        <v>81237</v>
      </c>
      <c r="AK966" s="424">
        <v>12</v>
      </c>
      <c r="AL966">
        <v>0</v>
      </c>
      <c r="AM966" s="121">
        <v>3743</v>
      </c>
      <c r="AN966" s="125">
        <v>0</v>
      </c>
      <c r="AO966" s="125">
        <v>0</v>
      </c>
      <c r="AP966" s="121">
        <v>1856896</v>
      </c>
      <c r="AQ966" s="114">
        <v>0</v>
      </c>
      <c r="AR966" s="121">
        <v>0</v>
      </c>
      <c r="AS966" s="121">
        <v>0</v>
      </c>
      <c r="AT966" s="121">
        <v>0</v>
      </c>
      <c r="AU966" s="420" t="s">
        <v>798</v>
      </c>
      <c r="AV966" s="420" t="s">
        <v>2001</v>
      </c>
      <c r="AW966" s="121">
        <v>0</v>
      </c>
      <c r="AX966" s="121">
        <v>86091</v>
      </c>
      <c r="AY966" s="134">
        <v>506284</v>
      </c>
      <c r="AZ966" s="134">
        <v>746387</v>
      </c>
      <c r="BA966" s="114">
        <v>303</v>
      </c>
      <c r="BB966" s="134">
        <v>83506818</v>
      </c>
      <c r="BC966" s="114">
        <v>0</v>
      </c>
      <c r="BD966" s="114">
        <v>0</v>
      </c>
      <c r="BE966" s="114">
        <v>0</v>
      </c>
      <c r="BF966" s="114">
        <v>126</v>
      </c>
      <c r="BG966" s="114">
        <v>0</v>
      </c>
      <c r="BH966" s="114">
        <v>0</v>
      </c>
      <c r="BI966">
        <v>0</v>
      </c>
      <c r="BJ966" s="121">
        <v>10</v>
      </c>
      <c r="BK966" s="134">
        <v>162606110</v>
      </c>
      <c r="BL966" s="934">
        <v>6781</v>
      </c>
      <c r="BM966" s="934">
        <v>5546</v>
      </c>
      <c r="BN966" s="934">
        <v>5546</v>
      </c>
      <c r="BO966" s="114">
        <v>0</v>
      </c>
      <c r="BP966" s="114">
        <v>0</v>
      </c>
    </row>
    <row r="967" spans="1:68">
      <c r="A967" t="s">
        <v>2669</v>
      </c>
      <c r="B967" t="s">
        <v>1384</v>
      </c>
      <c r="C967" s="121">
        <v>5003</v>
      </c>
      <c r="D967" s="72">
        <v>3</v>
      </c>
      <c r="E967">
        <v>1395.22</v>
      </c>
      <c r="F967">
        <v>383</v>
      </c>
      <c r="G967">
        <v>270</v>
      </c>
      <c r="H967">
        <v>15</v>
      </c>
      <c r="I967" s="173">
        <v>0.97340000000000004</v>
      </c>
      <c r="J967" s="121">
        <v>1789720478</v>
      </c>
      <c r="K967" s="125">
        <v>6604.7380000000003</v>
      </c>
      <c r="L967" s="173">
        <v>1.46</v>
      </c>
      <c r="M967">
        <v>0.97340000000000004</v>
      </c>
      <c r="N967">
        <v>0.97333333820000001</v>
      </c>
      <c r="O967">
        <v>6.6661800000034077E-3</v>
      </c>
      <c r="P967">
        <v>4777.6279999999997</v>
      </c>
      <c r="Q967" s="125">
        <v>0.77300000000000002</v>
      </c>
      <c r="R967" s="125">
        <v>0</v>
      </c>
      <c r="S967" s="125">
        <v>6.0369999999999999</v>
      </c>
      <c r="T967" s="125">
        <v>88.775000000000006</v>
      </c>
      <c r="U967" s="125">
        <v>80.201999999999998</v>
      </c>
      <c r="V967" s="125">
        <v>1.1419999999999999</v>
      </c>
      <c r="W967" s="125">
        <v>1.88</v>
      </c>
      <c r="X967" s="125">
        <v>0</v>
      </c>
      <c r="Y967" s="125">
        <v>0.20699999999999999</v>
      </c>
      <c r="Z967" s="125">
        <v>23.018000000000001</v>
      </c>
      <c r="AA967" s="125">
        <v>222.81</v>
      </c>
      <c r="AB967" s="125">
        <v>379.279</v>
      </c>
      <c r="AC967" s="125">
        <v>2734.6</v>
      </c>
      <c r="AD967" s="125">
        <v>1.5469999999999999</v>
      </c>
      <c r="AE967" s="125">
        <v>370.92399999999998</v>
      </c>
      <c r="AF967" s="125">
        <v>238.881</v>
      </c>
      <c r="AG967" s="125">
        <v>0</v>
      </c>
      <c r="AH967" s="125">
        <v>0</v>
      </c>
      <c r="AI967" s="121">
        <v>17505641</v>
      </c>
      <c r="AJ967" s="121">
        <v>2394703</v>
      </c>
      <c r="AK967" s="424">
        <v>12</v>
      </c>
      <c r="AL967">
        <v>0</v>
      </c>
      <c r="AM967" s="121">
        <v>455788</v>
      </c>
      <c r="AN967" s="125">
        <v>0</v>
      </c>
      <c r="AO967" s="125">
        <v>0</v>
      </c>
      <c r="AP967" s="121">
        <v>19900344</v>
      </c>
      <c r="AQ967" s="114">
        <v>0</v>
      </c>
      <c r="AR967" s="121">
        <v>1192.9551827</v>
      </c>
      <c r="AS967" s="121">
        <v>234419.43956</v>
      </c>
      <c r="AT967" s="121">
        <v>30872.93507</v>
      </c>
      <c r="AU967" s="420" t="s">
        <v>2001</v>
      </c>
      <c r="AV967" s="420" t="s">
        <v>2001</v>
      </c>
      <c r="AW967" s="121">
        <v>0</v>
      </c>
      <c r="AX967" s="121">
        <v>2488713</v>
      </c>
      <c r="BI967">
        <v>0</v>
      </c>
      <c r="BJ967" s="121">
        <v>5</v>
      </c>
      <c r="BK967" s="134">
        <v>1765735428</v>
      </c>
      <c r="BL967" s="934">
        <v>4644</v>
      </c>
      <c r="BM967" s="934">
        <v>4895</v>
      </c>
      <c r="BN967" s="934">
        <v>5003</v>
      </c>
      <c r="BO967" s="114">
        <v>0</v>
      </c>
      <c r="BP967" s="114">
        <v>0</v>
      </c>
    </row>
    <row r="968" spans="1:68">
      <c r="A968" t="s">
        <v>2670</v>
      </c>
      <c r="B968" t="s">
        <v>1385</v>
      </c>
      <c r="C968" s="121">
        <v>5611</v>
      </c>
      <c r="D968" s="72">
        <v>1</v>
      </c>
      <c r="E968">
        <v>94.06</v>
      </c>
      <c r="F968">
        <v>34</v>
      </c>
      <c r="G968">
        <v>25</v>
      </c>
      <c r="H968">
        <v>1</v>
      </c>
      <c r="I968" s="173">
        <v>1.04</v>
      </c>
      <c r="J968" s="121">
        <v>293860816</v>
      </c>
      <c r="K968" s="125">
        <v>457.91399999999999</v>
      </c>
      <c r="L968" s="173">
        <v>1.5</v>
      </c>
      <c r="M968">
        <v>1.04</v>
      </c>
      <c r="N968">
        <v>1.000000005</v>
      </c>
      <c r="O968">
        <v>3.9999995000000066</v>
      </c>
      <c r="P968">
        <v>263</v>
      </c>
      <c r="Q968" s="125">
        <v>0</v>
      </c>
      <c r="R968" s="125">
        <v>0</v>
      </c>
      <c r="S968" s="125">
        <v>0.215</v>
      </c>
      <c r="T968" s="125">
        <v>6.2370000000000001</v>
      </c>
      <c r="U968" s="125">
        <v>2.25</v>
      </c>
      <c r="V968" s="125">
        <v>0</v>
      </c>
      <c r="W968" s="125">
        <v>1.196</v>
      </c>
      <c r="X968" s="125">
        <v>0</v>
      </c>
      <c r="Y968" s="125">
        <v>0</v>
      </c>
      <c r="Z968" s="125">
        <v>0</v>
      </c>
      <c r="AA968" s="125">
        <v>8.6920000000000002</v>
      </c>
      <c r="AB968" s="125">
        <v>16</v>
      </c>
      <c r="AC968" s="125">
        <v>160</v>
      </c>
      <c r="AD968" s="125">
        <v>0.184</v>
      </c>
      <c r="AE968" s="125">
        <v>7.1829999999999998</v>
      </c>
      <c r="AF968" s="125">
        <v>11.446999999999999</v>
      </c>
      <c r="AG968" s="125">
        <v>0</v>
      </c>
      <c r="AH968" s="125">
        <v>0</v>
      </c>
      <c r="AI968" s="121">
        <v>3153768</v>
      </c>
      <c r="AJ968" s="121">
        <v>84551</v>
      </c>
      <c r="AK968" s="424">
        <v>12</v>
      </c>
      <c r="AL968">
        <v>0</v>
      </c>
      <c r="AM968" s="121">
        <v>57792</v>
      </c>
      <c r="AN968" s="125">
        <v>0</v>
      </c>
      <c r="AO968" s="125">
        <v>0</v>
      </c>
      <c r="AP968" s="121">
        <v>3238319</v>
      </c>
      <c r="AQ968" s="114">
        <v>0</v>
      </c>
      <c r="AR968" s="121">
        <v>0</v>
      </c>
      <c r="AS968" s="121">
        <v>0</v>
      </c>
      <c r="AT968" s="121">
        <v>0</v>
      </c>
      <c r="AU968" s="420" t="s">
        <v>798</v>
      </c>
      <c r="AV968" s="420" t="s">
        <v>2001</v>
      </c>
      <c r="AW968" s="121">
        <v>0</v>
      </c>
      <c r="AX968" s="121">
        <v>76671</v>
      </c>
      <c r="AY968" s="134">
        <v>167215</v>
      </c>
      <c r="AZ968" s="134">
        <v>1714434</v>
      </c>
      <c r="BA968" s="114">
        <v>733</v>
      </c>
      <c r="BB968" s="134">
        <v>101040009</v>
      </c>
      <c r="BC968" s="114">
        <v>0</v>
      </c>
      <c r="BD968" s="114">
        <v>0</v>
      </c>
      <c r="BE968" s="114">
        <v>0</v>
      </c>
      <c r="BF968" s="114">
        <v>282</v>
      </c>
      <c r="BG968" s="114">
        <v>0</v>
      </c>
      <c r="BH968" s="114">
        <v>0</v>
      </c>
      <c r="BI968">
        <v>0</v>
      </c>
      <c r="BJ968" s="121">
        <v>2188</v>
      </c>
      <c r="BK968" s="134">
        <v>288806593</v>
      </c>
      <c r="BL968" s="934">
        <v>5611</v>
      </c>
      <c r="BM968" s="934">
        <v>5514</v>
      </c>
      <c r="BN968" s="934">
        <v>5514</v>
      </c>
      <c r="BO968" s="114">
        <v>0</v>
      </c>
      <c r="BP968" s="114">
        <v>0</v>
      </c>
    </row>
    <row r="969" spans="1:68">
      <c r="A969" t="s">
        <v>1987</v>
      </c>
      <c r="B969" t="s">
        <v>2677</v>
      </c>
      <c r="C969" s="121">
        <v>4679</v>
      </c>
      <c r="D969" s="72">
        <v>3</v>
      </c>
      <c r="E969">
        <v>5397.7889999999998</v>
      </c>
      <c r="F969">
        <v>1730</v>
      </c>
      <c r="G969">
        <v>2045</v>
      </c>
      <c r="H969">
        <v>80</v>
      </c>
      <c r="I969" s="173">
        <v>1.04</v>
      </c>
      <c r="J969" s="121">
        <v>2033691119</v>
      </c>
      <c r="K969" s="125">
        <v>33509.002</v>
      </c>
      <c r="L969" s="173">
        <v>1.3829</v>
      </c>
      <c r="M969">
        <v>1.04</v>
      </c>
      <c r="N969">
        <v>0.92193333794300003</v>
      </c>
      <c r="O969">
        <v>11.806666205700001</v>
      </c>
      <c r="P969">
        <v>22500</v>
      </c>
      <c r="Q969" s="125">
        <v>4.2370000000000001</v>
      </c>
      <c r="R969" s="125">
        <v>0.51800000000000002</v>
      </c>
      <c r="S969" s="125">
        <v>33.095999999999997</v>
      </c>
      <c r="T969" s="125">
        <v>933.45699999999999</v>
      </c>
      <c r="U969" s="125">
        <v>207.59</v>
      </c>
      <c r="V969" s="125">
        <v>0</v>
      </c>
      <c r="W969" s="125">
        <v>24.974</v>
      </c>
      <c r="X969" s="125">
        <v>0</v>
      </c>
      <c r="Y969" s="125">
        <v>0</v>
      </c>
      <c r="Z969" s="125">
        <v>0</v>
      </c>
      <c r="AA969" s="125">
        <v>175</v>
      </c>
      <c r="AB969" s="125">
        <v>933.81299999999999</v>
      </c>
      <c r="AC969" s="125">
        <v>22738.7</v>
      </c>
      <c r="AD969" s="125">
        <v>17.452999999999999</v>
      </c>
      <c r="AE969" s="125">
        <v>14972.519</v>
      </c>
      <c r="AF969" s="125">
        <v>1125</v>
      </c>
      <c r="AG969" s="125">
        <v>0</v>
      </c>
      <c r="AH969" s="125">
        <v>0</v>
      </c>
      <c r="AI969" s="121">
        <v>21319591</v>
      </c>
      <c r="AJ969" s="121">
        <v>4277648</v>
      </c>
      <c r="AK969" s="424">
        <v>12</v>
      </c>
      <c r="AL969">
        <v>0</v>
      </c>
      <c r="AM969" s="121">
        <v>334358</v>
      </c>
      <c r="AN969" s="125">
        <v>1</v>
      </c>
      <c r="AO969" s="125">
        <v>0</v>
      </c>
      <c r="AP969" s="121">
        <v>25597239</v>
      </c>
      <c r="AQ969" s="114">
        <v>0</v>
      </c>
      <c r="AR969" s="121">
        <v>1355.5761305999999</v>
      </c>
      <c r="AS969" s="121">
        <v>266374.96649999998</v>
      </c>
      <c r="AT969" s="121">
        <v>35081.463639000001</v>
      </c>
      <c r="AU969" s="420" t="s">
        <v>2001</v>
      </c>
      <c r="AV969" s="420" t="s">
        <v>2001</v>
      </c>
      <c r="AW969" s="121">
        <v>0</v>
      </c>
      <c r="AX969" s="121">
        <v>19079408</v>
      </c>
      <c r="BI969">
        <v>0</v>
      </c>
      <c r="BJ969" s="121">
        <v>0</v>
      </c>
      <c r="BK969" s="134">
        <v>2033691119</v>
      </c>
      <c r="BL969" s="934">
        <v>4413</v>
      </c>
      <c r="BM969" s="934">
        <v>4619</v>
      </c>
      <c r="BN969" s="934">
        <v>4679</v>
      </c>
      <c r="BO969" s="114">
        <v>0</v>
      </c>
      <c r="BP969" s="114">
        <v>0</v>
      </c>
    </row>
    <row r="970" spans="1:68">
      <c r="A970" t="s">
        <v>1713</v>
      </c>
      <c r="B970" t="s">
        <v>2703</v>
      </c>
      <c r="C970" s="121">
        <v>4775</v>
      </c>
      <c r="D970" s="72">
        <v>2</v>
      </c>
      <c r="E970">
        <v>9187.9429999999993</v>
      </c>
      <c r="F970">
        <v>2592</v>
      </c>
      <c r="G970">
        <v>2688</v>
      </c>
      <c r="H970">
        <v>0</v>
      </c>
      <c r="I970" s="173">
        <v>1.03</v>
      </c>
      <c r="J970" s="121">
        <v>8506321588</v>
      </c>
      <c r="K970" s="125">
        <v>54451.201000000001</v>
      </c>
      <c r="L970" s="173">
        <v>1.3798999999999999</v>
      </c>
      <c r="M970">
        <v>1.03</v>
      </c>
      <c r="N970">
        <v>0.91993333793299992</v>
      </c>
      <c r="O970">
        <v>11.006666206700011</v>
      </c>
      <c r="P970">
        <v>39597.599999999999</v>
      </c>
      <c r="Q970" s="125">
        <v>3.8919999999999999</v>
      </c>
      <c r="R970" s="125">
        <v>0</v>
      </c>
      <c r="S970" s="125">
        <v>39.872</v>
      </c>
      <c r="T970" s="125">
        <v>1295.1980000000001</v>
      </c>
      <c r="U970" s="125">
        <v>389.72500000000002</v>
      </c>
      <c r="V970" s="125">
        <v>0</v>
      </c>
      <c r="W970" s="125">
        <v>0</v>
      </c>
      <c r="X970" s="125">
        <v>0</v>
      </c>
      <c r="Y970" s="125">
        <v>12.912000000000001</v>
      </c>
      <c r="Z970" s="125">
        <v>0</v>
      </c>
      <c r="AA970" s="125">
        <v>411.62599999999998</v>
      </c>
      <c r="AB970" s="125">
        <v>1375.2059999999999</v>
      </c>
      <c r="AC970" s="125">
        <v>29534.5</v>
      </c>
      <c r="AD970" s="125">
        <v>12.53</v>
      </c>
      <c r="AE970" s="125">
        <v>16003.705</v>
      </c>
      <c r="AF970" s="125">
        <v>1979.88</v>
      </c>
      <c r="AG970" s="125">
        <v>0</v>
      </c>
      <c r="AH970" s="125">
        <v>0</v>
      </c>
      <c r="AI970" s="121">
        <v>91220270</v>
      </c>
      <c r="AJ970" s="121">
        <v>16272633</v>
      </c>
      <c r="AK970" s="424">
        <v>12</v>
      </c>
      <c r="AL970">
        <v>0</v>
      </c>
      <c r="AM970" s="121">
        <v>2411958</v>
      </c>
      <c r="AN970" s="125">
        <v>3</v>
      </c>
      <c r="AO970" s="125">
        <v>0</v>
      </c>
      <c r="AP970" s="121">
        <v>107492903</v>
      </c>
      <c r="AQ970" s="114">
        <v>0</v>
      </c>
      <c r="AR970" s="121">
        <v>5669.9694446000003</v>
      </c>
      <c r="AS970" s="121">
        <v>1114166.8008999999</v>
      </c>
      <c r="AT970" s="121">
        <v>146735.26806</v>
      </c>
      <c r="AU970" s="420" t="s">
        <v>2001</v>
      </c>
      <c r="AV970" s="420" t="s">
        <v>2001</v>
      </c>
      <c r="AW970" s="121">
        <v>0</v>
      </c>
      <c r="AX970" s="121">
        <v>26326471</v>
      </c>
      <c r="BI970">
        <v>0</v>
      </c>
      <c r="BJ970" s="121">
        <v>0</v>
      </c>
      <c r="BK970" s="134">
        <v>8434606581</v>
      </c>
      <c r="BL970" s="934">
        <v>4542</v>
      </c>
      <c r="BM970" s="934">
        <v>4775</v>
      </c>
      <c r="BN970" s="934">
        <v>4614</v>
      </c>
      <c r="BO970" s="114">
        <v>0</v>
      </c>
      <c r="BP970" s="114">
        <v>0</v>
      </c>
    </row>
    <row r="971" spans="1:68">
      <c r="A971" t="s">
        <v>1043</v>
      </c>
      <c r="B971" t="s">
        <v>2666</v>
      </c>
      <c r="C971" s="121">
        <v>10639</v>
      </c>
      <c r="D971" s="72">
        <v>2</v>
      </c>
      <c r="E971">
        <v>96.265000000000001</v>
      </c>
      <c r="F971">
        <v>44</v>
      </c>
      <c r="G971">
        <v>34</v>
      </c>
      <c r="H971">
        <v>0</v>
      </c>
      <c r="I971" s="173">
        <v>0.80669999999999997</v>
      </c>
      <c r="J971" s="121">
        <v>2040257431</v>
      </c>
      <c r="K971" s="125">
        <v>685.85500000000002</v>
      </c>
      <c r="L971" s="173">
        <v>1.115</v>
      </c>
      <c r="M971">
        <v>0.80669999999999997</v>
      </c>
      <c r="N971">
        <v>0.74333333705000004</v>
      </c>
      <c r="O971">
        <v>6.3366662949999935</v>
      </c>
      <c r="P971">
        <v>328.57</v>
      </c>
      <c r="Q971" s="125">
        <v>0.16800000000000001</v>
      </c>
      <c r="R971" s="125">
        <v>0</v>
      </c>
      <c r="S971" s="125">
        <v>0.622</v>
      </c>
      <c r="T971" s="125">
        <v>11.382999999999999</v>
      </c>
      <c r="U971" s="125">
        <v>0.94799999999999995</v>
      </c>
      <c r="V971" s="125">
        <v>0</v>
      </c>
      <c r="W971" s="125">
        <v>0</v>
      </c>
      <c r="X971" s="125">
        <v>0</v>
      </c>
      <c r="Y971" s="125">
        <v>0</v>
      </c>
      <c r="Z971" s="125">
        <v>0</v>
      </c>
      <c r="AA971" s="125">
        <v>19.196999999999999</v>
      </c>
      <c r="AB971" s="125">
        <v>18.556999999999999</v>
      </c>
      <c r="AC971" s="125">
        <v>248.3</v>
      </c>
      <c r="AD971" s="125">
        <v>0</v>
      </c>
      <c r="AE971" s="125">
        <v>42.597999999999999</v>
      </c>
      <c r="AF971" s="125">
        <v>16.428000000000001</v>
      </c>
      <c r="AG971" s="125">
        <v>0</v>
      </c>
      <c r="AH971" s="125">
        <v>0</v>
      </c>
      <c r="AI971" s="121">
        <v>12733315</v>
      </c>
      <c r="AJ971" s="121">
        <v>617221</v>
      </c>
      <c r="AK971" s="424">
        <v>12</v>
      </c>
      <c r="AL971">
        <v>0</v>
      </c>
      <c r="AM971" s="121">
        <v>54534</v>
      </c>
      <c r="AN971" s="125">
        <v>0</v>
      </c>
      <c r="AO971" s="125">
        <v>0</v>
      </c>
      <c r="AP971" s="121">
        <v>13350536</v>
      </c>
      <c r="AQ971" s="114">
        <v>0</v>
      </c>
      <c r="AR971" s="121">
        <v>0</v>
      </c>
      <c r="AS971" s="121">
        <v>0</v>
      </c>
      <c r="AT971" s="121">
        <v>0</v>
      </c>
      <c r="AU971" s="420" t="s">
        <v>798</v>
      </c>
      <c r="AV971" s="420" t="s">
        <v>2001</v>
      </c>
      <c r="AW971" s="121">
        <v>0</v>
      </c>
      <c r="AX971" s="121">
        <v>616035</v>
      </c>
      <c r="AY971" s="134">
        <v>3347099</v>
      </c>
      <c r="AZ971" s="134">
        <v>2047587</v>
      </c>
      <c r="BA971" s="114">
        <v>800</v>
      </c>
      <c r="BB971" s="134">
        <v>452687842</v>
      </c>
      <c r="BC971" s="114">
        <v>0</v>
      </c>
      <c r="BD971" s="114">
        <v>0</v>
      </c>
      <c r="BE971" s="114">
        <v>0</v>
      </c>
      <c r="BF971" s="114">
        <v>368</v>
      </c>
      <c r="BG971" s="114">
        <v>0</v>
      </c>
      <c r="BH971" s="114">
        <v>0</v>
      </c>
      <c r="BI971">
        <v>0</v>
      </c>
      <c r="BJ971" s="121">
        <v>0</v>
      </c>
      <c r="BK971" s="134">
        <v>1549774108</v>
      </c>
      <c r="BL971" s="934">
        <v>7541</v>
      </c>
      <c r="BM971" s="934">
        <v>10639</v>
      </c>
      <c r="BN971" s="934">
        <v>7873</v>
      </c>
      <c r="BO971" s="114">
        <v>0</v>
      </c>
      <c r="BP971" s="114">
        <v>0</v>
      </c>
    </row>
    <row r="972" spans="1:68">
      <c r="A972" t="s">
        <v>1044</v>
      </c>
      <c r="B972" t="s">
        <v>1387</v>
      </c>
      <c r="C972" s="121">
        <v>4922</v>
      </c>
      <c r="D972" s="72">
        <v>2</v>
      </c>
      <c r="E972">
        <v>246.63800000000001</v>
      </c>
      <c r="F972">
        <v>75</v>
      </c>
      <c r="G972">
        <v>63</v>
      </c>
      <c r="H972">
        <v>13</v>
      </c>
      <c r="I972" s="173">
        <v>1.04</v>
      </c>
      <c r="J972" s="121">
        <v>184876008</v>
      </c>
      <c r="K972" s="125">
        <v>1388.307</v>
      </c>
      <c r="L972" s="173">
        <v>1.5</v>
      </c>
      <c r="M972">
        <v>1.04</v>
      </c>
      <c r="N972">
        <v>1.000000005</v>
      </c>
      <c r="O972">
        <v>3.9999995000000066</v>
      </c>
      <c r="P972">
        <v>896.02099999999996</v>
      </c>
      <c r="Q972" s="125">
        <v>0</v>
      </c>
      <c r="R972" s="125">
        <v>0</v>
      </c>
      <c r="S972" s="125">
        <v>0.65500000000000003</v>
      </c>
      <c r="T972" s="125">
        <v>17.661000000000001</v>
      </c>
      <c r="U972" s="125">
        <v>2.2109999999999999</v>
      </c>
      <c r="V972" s="125">
        <v>6.6719999999999997</v>
      </c>
      <c r="W972" s="125">
        <v>4.3869999999999996</v>
      </c>
      <c r="X972" s="125">
        <v>0</v>
      </c>
      <c r="Y972" s="125">
        <v>0</v>
      </c>
      <c r="Z972" s="125">
        <v>0</v>
      </c>
      <c r="AA972" s="125">
        <v>21.802</v>
      </c>
      <c r="AB972" s="125">
        <v>81.706999999999994</v>
      </c>
      <c r="AC972" s="125">
        <v>495.8</v>
      </c>
      <c r="AD972" s="125">
        <v>0</v>
      </c>
      <c r="AE972" s="125">
        <v>43.905999999999999</v>
      </c>
      <c r="AF972" s="125">
        <v>44.801000000000002</v>
      </c>
      <c r="AG972" s="125">
        <v>0</v>
      </c>
      <c r="AH972" s="125">
        <v>0</v>
      </c>
      <c r="AI972" s="121">
        <v>1854330</v>
      </c>
      <c r="AJ972" s="121">
        <v>0</v>
      </c>
      <c r="AK972" s="424">
        <v>12</v>
      </c>
      <c r="AL972">
        <v>0</v>
      </c>
      <c r="AM972" s="121">
        <v>168119</v>
      </c>
      <c r="AN972" s="125">
        <v>0</v>
      </c>
      <c r="AO972" s="125">
        <v>0</v>
      </c>
      <c r="AP972" s="121">
        <v>1854330</v>
      </c>
      <c r="AQ972" s="114">
        <v>0</v>
      </c>
      <c r="AR972" s="121">
        <v>123.23085906</v>
      </c>
      <c r="AS972" s="121">
        <v>24215.250778000001</v>
      </c>
      <c r="AT972" s="121">
        <v>3189.1376688</v>
      </c>
      <c r="AU972" s="420" t="s">
        <v>2001</v>
      </c>
      <c r="AV972" s="420" t="s">
        <v>2001</v>
      </c>
      <c r="AW972" s="121">
        <v>0</v>
      </c>
      <c r="AX972" s="121">
        <v>0</v>
      </c>
      <c r="BI972">
        <v>0</v>
      </c>
      <c r="BJ972" s="121">
        <v>0</v>
      </c>
      <c r="BK972" s="134">
        <v>168362128</v>
      </c>
      <c r="BL972" s="934">
        <v>4673</v>
      </c>
      <c r="BM972" s="934">
        <v>4922</v>
      </c>
      <c r="BN972" s="934">
        <v>4805</v>
      </c>
      <c r="BO972" s="114">
        <v>0</v>
      </c>
      <c r="BP972" s="114">
        <v>0</v>
      </c>
    </row>
    <row r="973" spans="1:68">
      <c r="A973" t="s">
        <v>1045</v>
      </c>
      <c r="B973" t="s">
        <v>1388</v>
      </c>
      <c r="C973" s="121">
        <v>4794</v>
      </c>
      <c r="D973" s="72">
        <v>1</v>
      </c>
      <c r="E973">
        <v>246.51599999999999</v>
      </c>
      <c r="F973">
        <v>80</v>
      </c>
      <c r="G973">
        <v>47</v>
      </c>
      <c r="H973">
        <v>3</v>
      </c>
      <c r="I973" s="173">
        <v>1.04</v>
      </c>
      <c r="J973" s="121">
        <v>258851784</v>
      </c>
      <c r="K973" s="125">
        <v>1337.768</v>
      </c>
      <c r="L973" s="173">
        <v>1.4886999999999999</v>
      </c>
      <c r="M973">
        <v>1.04</v>
      </c>
      <c r="N973">
        <v>0.99246667162899993</v>
      </c>
      <c r="O973">
        <v>4.753332837100011</v>
      </c>
      <c r="P973">
        <v>910.61</v>
      </c>
      <c r="Q973" s="125">
        <v>4.7E-2</v>
      </c>
      <c r="R973" s="125">
        <v>0</v>
      </c>
      <c r="S973" s="125">
        <v>1.0409999999999999</v>
      </c>
      <c r="T973" s="125">
        <v>13.694000000000001</v>
      </c>
      <c r="U973" s="125">
        <v>1.742</v>
      </c>
      <c r="V973" s="125">
        <v>2.1160000000000001</v>
      </c>
      <c r="W973" s="125">
        <v>4.0000000000000001E-3</v>
      </c>
      <c r="X973" s="125">
        <v>0</v>
      </c>
      <c r="Y973" s="125">
        <v>0</v>
      </c>
      <c r="Z973" s="125">
        <v>0</v>
      </c>
      <c r="AA973" s="125">
        <v>32.293999999999997</v>
      </c>
      <c r="AB973" s="125">
        <v>45.18</v>
      </c>
      <c r="AC973" s="125">
        <v>392</v>
      </c>
      <c r="AD973" s="125">
        <v>0</v>
      </c>
      <c r="AE973" s="125">
        <v>62.829000000000001</v>
      </c>
      <c r="AF973" s="125">
        <v>44.847000000000001</v>
      </c>
      <c r="AG973" s="125">
        <v>0</v>
      </c>
      <c r="AH973" s="125">
        <v>0</v>
      </c>
      <c r="AI973" s="121">
        <v>3024528</v>
      </c>
      <c r="AJ973" s="121">
        <v>315758</v>
      </c>
      <c r="AK973" s="424">
        <v>12</v>
      </c>
      <c r="AL973">
        <v>0</v>
      </c>
      <c r="AM973" s="121">
        <v>71656</v>
      </c>
      <c r="AN973" s="125">
        <v>0</v>
      </c>
      <c r="AO973" s="125">
        <v>0</v>
      </c>
      <c r="AP973" s="121">
        <v>3340286</v>
      </c>
      <c r="AQ973" s="114">
        <v>0</v>
      </c>
      <c r="AR973" s="121">
        <v>172.54011510999999</v>
      </c>
      <c r="AS973" s="121">
        <v>33904.674435000001</v>
      </c>
      <c r="AT973" s="121">
        <v>4465.2304193999998</v>
      </c>
      <c r="AU973" s="420" t="s">
        <v>2001</v>
      </c>
      <c r="AV973" s="420" t="s">
        <v>2001</v>
      </c>
      <c r="AW973" s="121">
        <v>0</v>
      </c>
      <c r="AX973" s="121">
        <v>319057</v>
      </c>
      <c r="BI973">
        <v>0</v>
      </c>
      <c r="BJ973" s="121">
        <v>0</v>
      </c>
      <c r="BK973" s="134">
        <v>258851784</v>
      </c>
      <c r="BL973" s="934">
        <v>4794</v>
      </c>
      <c r="BM973" s="934">
        <v>4759</v>
      </c>
      <c r="BN973" s="934">
        <v>4681</v>
      </c>
      <c r="BO973" s="114">
        <v>0</v>
      </c>
      <c r="BP973" s="114">
        <v>0</v>
      </c>
    </row>
    <row r="974" spans="1:68">
      <c r="A974" t="s">
        <v>624</v>
      </c>
      <c r="B974" t="s">
        <v>1389</v>
      </c>
      <c r="C974" s="121">
        <v>5306</v>
      </c>
      <c r="D974" s="72">
        <v>2</v>
      </c>
      <c r="E974">
        <v>989.22799999999995</v>
      </c>
      <c r="F974">
        <v>276</v>
      </c>
      <c r="G974">
        <v>204</v>
      </c>
      <c r="H974">
        <v>44</v>
      </c>
      <c r="I974" s="173">
        <v>1.04</v>
      </c>
      <c r="J974" s="121">
        <v>1163866662</v>
      </c>
      <c r="K974" s="125">
        <v>4446.7309999999998</v>
      </c>
      <c r="L974" s="173">
        <v>1.3956</v>
      </c>
      <c r="M974">
        <v>1.04</v>
      </c>
      <c r="N974">
        <v>0.93040000465200001</v>
      </c>
      <c r="O974">
        <v>10.959999534800001</v>
      </c>
      <c r="P974">
        <v>3124.6909999999998</v>
      </c>
      <c r="Q974" s="125">
        <v>0.38100000000000001</v>
      </c>
      <c r="R974" s="125">
        <v>0</v>
      </c>
      <c r="S974" s="125">
        <v>6.3</v>
      </c>
      <c r="T974" s="125">
        <v>106.76900000000001</v>
      </c>
      <c r="U974" s="125">
        <v>19.949000000000002</v>
      </c>
      <c r="V974" s="125">
        <v>2.9000000000000001E-2</v>
      </c>
      <c r="W974" s="125">
        <v>17.003</v>
      </c>
      <c r="X974" s="125">
        <v>0</v>
      </c>
      <c r="Y974" s="125">
        <v>0.94499999999999995</v>
      </c>
      <c r="Z974" s="125">
        <v>0</v>
      </c>
      <c r="AA974" s="125">
        <v>11.337999999999999</v>
      </c>
      <c r="AB974" s="125">
        <v>200.751</v>
      </c>
      <c r="AC974" s="125">
        <v>2464.5</v>
      </c>
      <c r="AD974" s="125">
        <v>1.7609999999999999</v>
      </c>
      <c r="AE974" s="125">
        <v>272.21300000000002</v>
      </c>
      <c r="AF974" s="125">
        <v>156.23455000000001</v>
      </c>
      <c r="AG974" s="125">
        <v>0</v>
      </c>
      <c r="AH974" s="125">
        <v>0</v>
      </c>
      <c r="AI974" s="121">
        <v>11773250</v>
      </c>
      <c r="AJ974" s="121">
        <v>1679665</v>
      </c>
      <c r="AK974" s="424">
        <v>12</v>
      </c>
      <c r="AL974">
        <v>0</v>
      </c>
      <c r="AM974" s="121">
        <v>328337</v>
      </c>
      <c r="AN974" s="125">
        <v>0</v>
      </c>
      <c r="AO974" s="125">
        <v>0</v>
      </c>
      <c r="AP974" s="121">
        <v>13452915</v>
      </c>
      <c r="AQ974" s="114">
        <v>0</v>
      </c>
      <c r="AR974" s="121">
        <v>775.78637779999997</v>
      </c>
      <c r="AS974" s="121">
        <v>152444.45939</v>
      </c>
      <c r="AT974" s="121">
        <v>20076.866942000001</v>
      </c>
      <c r="AU974" s="420" t="s">
        <v>2001</v>
      </c>
      <c r="AV974" s="420" t="s">
        <v>2001</v>
      </c>
      <c r="AW974" s="121">
        <v>0</v>
      </c>
      <c r="AX974" s="121">
        <v>1960019</v>
      </c>
      <c r="BI974">
        <v>0</v>
      </c>
      <c r="BJ974" s="121">
        <v>0</v>
      </c>
      <c r="BK974" s="134">
        <v>1069206662</v>
      </c>
      <c r="BL974" s="934">
        <v>4669</v>
      </c>
      <c r="BM974" s="934">
        <v>5306</v>
      </c>
      <c r="BN974" s="934">
        <v>4889</v>
      </c>
      <c r="BO974" s="114">
        <v>0</v>
      </c>
      <c r="BP974" s="114">
        <v>0</v>
      </c>
    </row>
    <row r="975" spans="1:68">
      <c r="A975" t="s">
        <v>1014</v>
      </c>
      <c r="B975" t="s">
        <v>1390</v>
      </c>
      <c r="C975" s="121">
        <v>4835</v>
      </c>
      <c r="D975" s="72">
        <v>1</v>
      </c>
      <c r="E975">
        <v>591.03499999999997</v>
      </c>
      <c r="F975">
        <v>199</v>
      </c>
      <c r="G975">
        <v>155</v>
      </c>
      <c r="H975">
        <v>7</v>
      </c>
      <c r="I975" s="173">
        <v>1.04</v>
      </c>
      <c r="J975" s="121">
        <v>660134851</v>
      </c>
      <c r="K975" s="125">
        <v>3172.65</v>
      </c>
      <c r="L975" s="173">
        <v>1.4850000000000001</v>
      </c>
      <c r="M975">
        <v>1.04</v>
      </c>
      <c r="N975">
        <v>0.99000000495000007</v>
      </c>
      <c r="O975">
        <v>4.9999995049999963</v>
      </c>
      <c r="P975">
        <v>2150</v>
      </c>
      <c r="Q975" s="125">
        <v>0.17</v>
      </c>
      <c r="R975" s="125">
        <v>0</v>
      </c>
      <c r="S975" s="125">
        <v>3.5329999999999999</v>
      </c>
      <c r="T975" s="125">
        <v>27.498999999999999</v>
      </c>
      <c r="U975" s="125">
        <v>27</v>
      </c>
      <c r="V975" s="125">
        <v>0.93700000000000006</v>
      </c>
      <c r="W975" s="125">
        <v>9</v>
      </c>
      <c r="X975" s="125">
        <v>0</v>
      </c>
      <c r="Y975" s="125">
        <v>0</v>
      </c>
      <c r="Z975" s="125">
        <v>2.472</v>
      </c>
      <c r="AA975" s="125">
        <v>74.823999999999998</v>
      </c>
      <c r="AB975" s="125">
        <v>160</v>
      </c>
      <c r="AC975" s="125">
        <v>1849.8</v>
      </c>
      <c r="AD975" s="125">
        <v>2</v>
      </c>
      <c r="AE975" s="125">
        <v>150</v>
      </c>
      <c r="AF975" s="125">
        <v>107</v>
      </c>
      <c r="AG975" s="125">
        <v>0</v>
      </c>
      <c r="AH975" s="125">
        <v>0</v>
      </c>
      <c r="AI975" s="121">
        <v>7208673</v>
      </c>
      <c r="AJ975" s="121">
        <v>1181496</v>
      </c>
      <c r="AK975" s="424">
        <v>12</v>
      </c>
      <c r="AL975">
        <v>0</v>
      </c>
      <c r="AM975" s="121">
        <v>201907</v>
      </c>
      <c r="AN975" s="125">
        <v>0</v>
      </c>
      <c r="AO975" s="125">
        <v>0</v>
      </c>
      <c r="AP975" s="121">
        <v>8390169</v>
      </c>
      <c r="AQ975" s="114">
        <v>0</v>
      </c>
      <c r="AR975" s="121">
        <v>440.01915466000003</v>
      </c>
      <c r="AS975" s="121">
        <v>86465.145653</v>
      </c>
      <c r="AT975" s="121">
        <v>11387.420909</v>
      </c>
      <c r="AU975" s="420" t="s">
        <v>2001</v>
      </c>
      <c r="AV975" s="420" t="s">
        <v>2001</v>
      </c>
      <c r="AW975" s="121">
        <v>0</v>
      </c>
      <c r="AX975" s="121">
        <v>1632438</v>
      </c>
      <c r="BI975">
        <v>0</v>
      </c>
      <c r="BJ975" s="121">
        <v>0</v>
      </c>
      <c r="BK975" s="134">
        <v>660134851</v>
      </c>
      <c r="BL975" s="934">
        <v>4835</v>
      </c>
      <c r="BM975" s="934">
        <v>4745</v>
      </c>
      <c r="BN975" s="934">
        <v>4773</v>
      </c>
      <c r="BO975" s="114">
        <v>0</v>
      </c>
      <c r="BP975" s="114">
        <v>0</v>
      </c>
    </row>
    <row r="976" spans="1:68">
      <c r="A976" t="s">
        <v>1015</v>
      </c>
      <c r="B976" t="s">
        <v>1391</v>
      </c>
      <c r="C976" s="121">
        <v>4659</v>
      </c>
      <c r="D976" s="72">
        <v>3</v>
      </c>
      <c r="E976">
        <v>167.684</v>
      </c>
      <c r="F976">
        <v>45</v>
      </c>
      <c r="G976">
        <v>29</v>
      </c>
      <c r="H976">
        <v>1</v>
      </c>
      <c r="I976" s="173">
        <v>1.04</v>
      </c>
      <c r="J976" s="121">
        <v>162854901</v>
      </c>
      <c r="K976" s="125">
        <v>823.03200000000004</v>
      </c>
      <c r="L976" s="173">
        <v>1.4450000000000001</v>
      </c>
      <c r="M976">
        <v>1.04</v>
      </c>
      <c r="N976">
        <v>0.96333333815000011</v>
      </c>
      <c r="O976">
        <v>7.6666661849999933</v>
      </c>
      <c r="P976">
        <v>470</v>
      </c>
      <c r="Q976" s="125">
        <v>0</v>
      </c>
      <c r="R976" s="125">
        <v>0</v>
      </c>
      <c r="S976" s="125">
        <v>1.06</v>
      </c>
      <c r="T976" s="125">
        <v>29.952999999999999</v>
      </c>
      <c r="U976" s="125">
        <v>0</v>
      </c>
      <c r="V976" s="125">
        <v>1.698</v>
      </c>
      <c r="W976" s="125">
        <v>0</v>
      </c>
      <c r="X976" s="125">
        <v>0</v>
      </c>
      <c r="Y976" s="125">
        <v>0</v>
      </c>
      <c r="Z976" s="125">
        <v>0</v>
      </c>
      <c r="AA976" s="125">
        <v>3</v>
      </c>
      <c r="AB976" s="125">
        <v>24</v>
      </c>
      <c r="AC976" s="125">
        <v>293.60000000000002</v>
      </c>
      <c r="AD976" s="125">
        <v>0</v>
      </c>
      <c r="AE976" s="125">
        <v>48</v>
      </c>
      <c r="AF976" s="125">
        <v>23.2</v>
      </c>
      <c r="AG976" s="125">
        <v>0</v>
      </c>
      <c r="AH976" s="125">
        <v>0</v>
      </c>
      <c r="AI976" s="121">
        <v>1677914</v>
      </c>
      <c r="AJ976" s="121">
        <v>233674</v>
      </c>
      <c r="AK976" s="424">
        <v>12</v>
      </c>
      <c r="AL976">
        <v>0</v>
      </c>
      <c r="AM976" s="121">
        <v>56369</v>
      </c>
      <c r="AN976" s="125">
        <v>0</v>
      </c>
      <c r="AO976" s="125">
        <v>0</v>
      </c>
      <c r="AP976" s="121">
        <v>1911588</v>
      </c>
      <c r="AQ976" s="114">
        <v>0</v>
      </c>
      <c r="AR976" s="121">
        <v>108.55248082</v>
      </c>
      <c r="AS976" s="121">
        <v>21330.903362000001</v>
      </c>
      <c r="AT976" s="121">
        <v>2809.2704075000001</v>
      </c>
      <c r="AU976" s="420" t="s">
        <v>2001</v>
      </c>
      <c r="AV976" s="420" t="s">
        <v>2001</v>
      </c>
      <c r="AW976" s="121">
        <v>0</v>
      </c>
      <c r="AX976" s="121">
        <v>257381</v>
      </c>
      <c r="BI976">
        <v>0</v>
      </c>
      <c r="BJ976" s="121">
        <v>0</v>
      </c>
      <c r="BK976" s="134">
        <v>155207202</v>
      </c>
      <c r="BL976" s="934">
        <v>4596</v>
      </c>
      <c r="BM976" s="934">
        <v>4603</v>
      </c>
      <c r="BN976" s="934">
        <v>4659</v>
      </c>
      <c r="BO976" s="114">
        <v>0</v>
      </c>
      <c r="BP976" s="114">
        <v>0</v>
      </c>
    </row>
    <row r="977" spans="1:68">
      <c r="A977" t="s">
        <v>1016</v>
      </c>
      <c r="B977" t="s">
        <v>1392</v>
      </c>
      <c r="C977" s="121">
        <v>4910</v>
      </c>
      <c r="D977" s="72">
        <v>3</v>
      </c>
      <c r="E977">
        <v>98.203000000000003</v>
      </c>
      <c r="F977">
        <v>40</v>
      </c>
      <c r="G977">
        <v>27</v>
      </c>
      <c r="H977">
        <v>1</v>
      </c>
      <c r="I977" s="173">
        <v>1.04</v>
      </c>
      <c r="J977" s="121">
        <v>154525732</v>
      </c>
      <c r="K977" s="125">
        <v>552.45000000000005</v>
      </c>
      <c r="L977" s="173">
        <v>1.48</v>
      </c>
      <c r="M977">
        <v>1.04</v>
      </c>
      <c r="N977">
        <v>0.98666667159999999</v>
      </c>
      <c r="O977">
        <v>5.3333328400000042</v>
      </c>
      <c r="P977">
        <v>268.22000000000003</v>
      </c>
      <c r="Q977" s="125">
        <v>0</v>
      </c>
      <c r="R977" s="125">
        <v>0</v>
      </c>
      <c r="S977" s="125">
        <v>0.377</v>
      </c>
      <c r="T977" s="125">
        <v>6.5789999999999997</v>
      </c>
      <c r="U977" s="125">
        <v>0.86299999999999999</v>
      </c>
      <c r="V977" s="125">
        <v>0</v>
      </c>
      <c r="W977" s="125">
        <v>1.9219999999999999</v>
      </c>
      <c r="X977" s="125">
        <v>0</v>
      </c>
      <c r="Y977" s="125">
        <v>0</v>
      </c>
      <c r="Z977" s="125">
        <v>0</v>
      </c>
      <c r="AA977" s="125">
        <v>9.4039999999999999</v>
      </c>
      <c r="AB977" s="125">
        <v>32.744</v>
      </c>
      <c r="AC977" s="125">
        <v>186</v>
      </c>
      <c r="AD977" s="125">
        <v>0</v>
      </c>
      <c r="AE977" s="125">
        <v>1.274</v>
      </c>
      <c r="AF977" s="125">
        <v>13.411</v>
      </c>
      <c r="AG977" s="125">
        <v>0</v>
      </c>
      <c r="AH977" s="125">
        <v>0</v>
      </c>
      <c r="AI977" s="121">
        <v>1431201</v>
      </c>
      <c r="AJ977" s="121">
        <v>0</v>
      </c>
      <c r="AK977" s="424">
        <v>12</v>
      </c>
      <c r="AL977">
        <v>0</v>
      </c>
      <c r="AM977" s="121">
        <v>28495</v>
      </c>
      <c r="AN977" s="125">
        <v>0</v>
      </c>
      <c r="AO977" s="125">
        <v>0</v>
      </c>
      <c r="AP977" s="121">
        <v>1431201</v>
      </c>
      <c r="AQ977" s="114">
        <v>0</v>
      </c>
      <c r="AR977" s="121">
        <v>103.00059417999999</v>
      </c>
      <c r="AS977" s="121">
        <v>20239.940201000001</v>
      </c>
      <c r="AT977" s="121">
        <v>2665.5910484999999</v>
      </c>
      <c r="AU977" s="420" t="s">
        <v>2001</v>
      </c>
      <c r="AV977" s="420" t="s">
        <v>2001</v>
      </c>
      <c r="AW977" s="121">
        <v>0</v>
      </c>
      <c r="AX977" s="121">
        <v>0</v>
      </c>
      <c r="BI977">
        <v>0</v>
      </c>
      <c r="BJ977" s="121">
        <v>0</v>
      </c>
      <c r="BK977" s="134">
        <v>137960346</v>
      </c>
      <c r="BL977" s="934">
        <v>4833</v>
      </c>
      <c r="BM977" s="934">
        <v>4858</v>
      </c>
      <c r="BN977" s="934">
        <v>4910</v>
      </c>
      <c r="BO977" s="114">
        <v>0</v>
      </c>
      <c r="BP977" s="114">
        <v>0</v>
      </c>
    </row>
    <row r="978" spans="1:68">
      <c r="A978" t="s">
        <v>1017</v>
      </c>
      <c r="B978" t="s">
        <v>1393</v>
      </c>
      <c r="C978" s="121">
        <v>5743</v>
      </c>
      <c r="D978" s="72">
        <v>2</v>
      </c>
      <c r="E978">
        <v>119.964</v>
      </c>
      <c r="F978">
        <v>35</v>
      </c>
      <c r="G978">
        <v>22</v>
      </c>
      <c r="H978">
        <v>0</v>
      </c>
      <c r="I978" s="173">
        <v>1.04</v>
      </c>
      <c r="J978" s="121">
        <v>195281597</v>
      </c>
      <c r="K978" s="125">
        <v>570.66</v>
      </c>
      <c r="L978" s="173">
        <v>1.5</v>
      </c>
      <c r="M978">
        <v>1.04</v>
      </c>
      <c r="N978">
        <v>1.000000005</v>
      </c>
      <c r="O978">
        <v>3.9999995000000066</v>
      </c>
      <c r="P978">
        <v>354</v>
      </c>
      <c r="Q978" s="125">
        <v>0</v>
      </c>
      <c r="R978" s="125">
        <v>0</v>
      </c>
      <c r="S978" s="125">
        <v>0.4</v>
      </c>
      <c r="T978" s="125">
        <v>2</v>
      </c>
      <c r="U978" s="125">
        <v>0.3</v>
      </c>
      <c r="V978" s="125">
        <v>0</v>
      </c>
      <c r="W978" s="125">
        <v>0</v>
      </c>
      <c r="X978" s="125">
        <v>0</v>
      </c>
      <c r="Y978" s="125">
        <v>0</v>
      </c>
      <c r="Z978" s="125">
        <v>0</v>
      </c>
      <c r="AA978" s="125">
        <v>3</v>
      </c>
      <c r="AB978" s="125">
        <v>28</v>
      </c>
      <c r="AC978" s="125">
        <v>205</v>
      </c>
      <c r="AD978" s="125">
        <v>0.4</v>
      </c>
      <c r="AE978" s="125">
        <v>64</v>
      </c>
      <c r="AF978" s="125">
        <v>16</v>
      </c>
      <c r="AG978" s="125">
        <v>0</v>
      </c>
      <c r="AH978" s="125">
        <v>0</v>
      </c>
      <c r="AI978" s="121">
        <v>2018861</v>
      </c>
      <c r="AJ978" s="121">
        <v>0</v>
      </c>
      <c r="AK978" s="424">
        <v>12</v>
      </c>
      <c r="AL978">
        <v>0</v>
      </c>
      <c r="AM978" s="121">
        <v>13441</v>
      </c>
      <c r="AN978" s="125">
        <v>0</v>
      </c>
      <c r="AO978" s="125">
        <v>0</v>
      </c>
      <c r="AP978" s="121">
        <v>2018861</v>
      </c>
      <c r="AQ978" s="114">
        <v>0</v>
      </c>
      <c r="AR978" s="121">
        <v>130.16680349999999</v>
      </c>
      <c r="AS978" s="121">
        <v>25578.185642</v>
      </c>
      <c r="AT978" s="121">
        <v>3368.6355791999999</v>
      </c>
      <c r="AU978" s="420" t="s">
        <v>798</v>
      </c>
      <c r="AV978" s="420" t="s">
        <v>2001</v>
      </c>
      <c r="AW978" s="121">
        <v>0</v>
      </c>
      <c r="AX978" s="121">
        <v>0</v>
      </c>
      <c r="AY978" s="134">
        <v>311217</v>
      </c>
      <c r="AZ978" s="134">
        <v>1508412</v>
      </c>
      <c r="BA978" s="114">
        <v>626</v>
      </c>
      <c r="BB978" s="134">
        <v>115140885</v>
      </c>
      <c r="BC978" s="114">
        <v>0</v>
      </c>
      <c r="BD978" s="114">
        <v>0</v>
      </c>
      <c r="BE978" s="114">
        <v>0</v>
      </c>
      <c r="BF978" s="114">
        <v>379</v>
      </c>
      <c r="BG978" s="114">
        <v>0</v>
      </c>
      <c r="BH978" s="114">
        <v>0</v>
      </c>
      <c r="BI978">
        <v>0</v>
      </c>
      <c r="BJ978" s="121">
        <v>0</v>
      </c>
      <c r="BK978" s="134">
        <v>188650433</v>
      </c>
      <c r="BL978" s="934">
        <v>4947</v>
      </c>
      <c r="BM978" s="934">
        <v>5743</v>
      </c>
      <c r="BN978" s="934">
        <v>5026</v>
      </c>
      <c r="BO978" s="114">
        <v>0</v>
      </c>
      <c r="BP978" s="114">
        <v>0</v>
      </c>
    </row>
    <row r="979" spans="1:68">
      <c r="A979" t="s">
        <v>1940</v>
      </c>
      <c r="B979" t="s">
        <v>1394</v>
      </c>
      <c r="C979" s="121">
        <v>9361</v>
      </c>
      <c r="D979" s="72">
        <v>2</v>
      </c>
      <c r="E979">
        <v>0</v>
      </c>
      <c r="F979">
        <v>12</v>
      </c>
      <c r="G979">
        <v>6</v>
      </c>
      <c r="H979">
        <v>0</v>
      </c>
      <c r="I979" s="173">
        <v>0.7</v>
      </c>
      <c r="J979" s="121">
        <v>437748939</v>
      </c>
      <c r="K979" s="125">
        <v>179.19499999999999</v>
      </c>
      <c r="L979" s="173">
        <v>0.97</v>
      </c>
      <c r="M979">
        <v>0.7</v>
      </c>
      <c r="N979">
        <v>0.64666666989999999</v>
      </c>
      <c r="O979">
        <v>5.3333330099999969</v>
      </c>
      <c r="P979">
        <v>106.60899999999999</v>
      </c>
      <c r="Q979" s="125">
        <v>0</v>
      </c>
      <c r="R979" s="125">
        <v>0</v>
      </c>
      <c r="S979" s="125">
        <v>0.44900000000000001</v>
      </c>
      <c r="T979" s="125">
        <v>0.13</v>
      </c>
      <c r="U979" s="125">
        <v>0</v>
      </c>
      <c r="V979" s="125">
        <v>0</v>
      </c>
      <c r="W979" s="125">
        <v>0</v>
      </c>
      <c r="X979" s="125">
        <v>0</v>
      </c>
      <c r="Y979" s="125">
        <v>0</v>
      </c>
      <c r="Z979" s="125">
        <v>0</v>
      </c>
      <c r="AA979" s="125">
        <v>1.454</v>
      </c>
      <c r="AB979" s="125">
        <v>0</v>
      </c>
      <c r="AC979" s="125">
        <v>77.400000000000006</v>
      </c>
      <c r="AD979" s="125">
        <v>0</v>
      </c>
      <c r="AE979" s="125">
        <v>4.8220000000000001</v>
      </c>
      <c r="AF979" s="125">
        <v>5.33</v>
      </c>
      <c r="AG979" s="125">
        <v>0</v>
      </c>
      <c r="AH979" s="125">
        <v>0</v>
      </c>
      <c r="AI979" s="121">
        <v>3153106</v>
      </c>
      <c r="AJ979" s="121">
        <v>0</v>
      </c>
      <c r="AK979" s="424">
        <v>12</v>
      </c>
      <c r="AL979">
        <v>0</v>
      </c>
      <c r="AM979" s="121">
        <v>17690</v>
      </c>
      <c r="AN979" s="125">
        <v>0</v>
      </c>
      <c r="AO979" s="125">
        <v>0</v>
      </c>
      <c r="AP979" s="121">
        <v>3153106</v>
      </c>
      <c r="AQ979" s="114">
        <v>0</v>
      </c>
      <c r="AR979" s="121">
        <v>0</v>
      </c>
      <c r="AS979" s="121">
        <v>0</v>
      </c>
      <c r="AT979" s="121">
        <v>0</v>
      </c>
      <c r="AU979" s="420" t="s">
        <v>798</v>
      </c>
      <c r="AV979" s="420" t="s">
        <v>2001</v>
      </c>
      <c r="AW979" s="121">
        <v>0</v>
      </c>
      <c r="AX979" s="121">
        <v>0</v>
      </c>
      <c r="AY979" s="134">
        <v>369317</v>
      </c>
      <c r="AZ979" s="134">
        <v>278784</v>
      </c>
      <c r="BA979" s="114">
        <v>98</v>
      </c>
      <c r="BB979" s="134">
        <v>96998265</v>
      </c>
      <c r="BC979" s="114">
        <v>0</v>
      </c>
      <c r="BD979" s="114">
        <v>0</v>
      </c>
      <c r="BE979" s="114">
        <v>0</v>
      </c>
      <c r="BF979" s="114">
        <v>81</v>
      </c>
      <c r="BG979" s="114">
        <v>0</v>
      </c>
      <c r="BH979" s="114">
        <v>0</v>
      </c>
      <c r="BI979">
        <v>0</v>
      </c>
      <c r="BJ979" s="121">
        <v>42</v>
      </c>
      <c r="BK979" s="134">
        <v>437748939</v>
      </c>
      <c r="BL979" s="934">
        <v>6139</v>
      </c>
      <c r="BM979" s="934">
        <v>9361</v>
      </c>
      <c r="BN979" s="934">
        <v>6272</v>
      </c>
      <c r="BO979" s="114">
        <v>0</v>
      </c>
      <c r="BP979" s="114">
        <v>0</v>
      </c>
    </row>
    <row r="980" spans="1:68">
      <c r="A980" t="s">
        <v>2648</v>
      </c>
      <c r="B980" t="s">
        <v>1395</v>
      </c>
      <c r="C980" s="121">
        <v>8436</v>
      </c>
      <c r="D980" s="72">
        <v>2</v>
      </c>
      <c r="E980">
        <v>59.9</v>
      </c>
      <c r="F980">
        <v>23</v>
      </c>
      <c r="G980">
        <v>18</v>
      </c>
      <c r="H980">
        <v>1</v>
      </c>
      <c r="I980" s="173">
        <v>0.78669999999999995</v>
      </c>
      <c r="J980" s="121">
        <v>1337015214</v>
      </c>
      <c r="K980" s="125">
        <v>287.64499999999998</v>
      </c>
      <c r="L980" s="173">
        <v>1.1200000000000001</v>
      </c>
      <c r="M980">
        <v>0.78669999999999995</v>
      </c>
      <c r="N980">
        <v>0.74666667040000012</v>
      </c>
      <c r="O980">
        <v>4.0033329599999838</v>
      </c>
      <c r="P980">
        <v>129.203</v>
      </c>
      <c r="Q980" s="125">
        <v>0</v>
      </c>
      <c r="R980" s="125">
        <v>0</v>
      </c>
      <c r="S980" s="125">
        <v>0.125</v>
      </c>
      <c r="T980" s="125">
        <v>2.9860000000000002</v>
      </c>
      <c r="U980" s="125">
        <v>0.39900000000000002</v>
      </c>
      <c r="V980" s="125">
        <v>0</v>
      </c>
      <c r="W980" s="125">
        <v>0</v>
      </c>
      <c r="X980" s="125">
        <v>0</v>
      </c>
      <c r="Y980" s="125">
        <v>0</v>
      </c>
      <c r="Z980" s="125">
        <v>0</v>
      </c>
      <c r="AA980" s="125">
        <v>3.1560000000000001</v>
      </c>
      <c r="AB980" s="125">
        <v>13.010999999999999</v>
      </c>
      <c r="AC980" s="125">
        <v>70.8</v>
      </c>
      <c r="AD980" s="125">
        <v>0</v>
      </c>
      <c r="AE980" s="125">
        <v>0</v>
      </c>
      <c r="AF980" s="125">
        <v>6.46</v>
      </c>
      <c r="AG980" s="125">
        <v>0</v>
      </c>
      <c r="AH980" s="125">
        <v>0</v>
      </c>
      <c r="AI980" s="121">
        <v>10823329</v>
      </c>
      <c r="AJ980" s="121">
        <v>160973</v>
      </c>
      <c r="AK980" s="424">
        <v>12</v>
      </c>
      <c r="AL980">
        <v>0</v>
      </c>
      <c r="AM980" s="121">
        <v>43036</v>
      </c>
      <c r="AN980" s="125">
        <v>0</v>
      </c>
      <c r="AO980" s="125">
        <v>0</v>
      </c>
      <c r="AP980" s="121">
        <v>10984302</v>
      </c>
      <c r="AQ980" s="114">
        <v>0</v>
      </c>
      <c r="AR980" s="121">
        <v>0</v>
      </c>
      <c r="AS980" s="121">
        <v>0</v>
      </c>
      <c r="AT980" s="121">
        <v>0</v>
      </c>
      <c r="AU980" s="420" t="s">
        <v>798</v>
      </c>
      <c r="AV980" s="420" t="s">
        <v>2001</v>
      </c>
      <c r="AW980" s="121">
        <v>0</v>
      </c>
      <c r="AX980" s="121">
        <v>102125</v>
      </c>
      <c r="AY980" s="134">
        <v>1360925</v>
      </c>
      <c r="AZ980" s="134">
        <v>873380</v>
      </c>
      <c r="BA980" s="114">
        <v>349</v>
      </c>
      <c r="BB980" s="134">
        <v>385109571</v>
      </c>
      <c r="BC980" s="114">
        <v>0</v>
      </c>
      <c r="BD980" s="114">
        <v>0</v>
      </c>
      <c r="BE980" s="114">
        <v>0</v>
      </c>
      <c r="BF980" s="114">
        <v>162</v>
      </c>
      <c r="BG980" s="114">
        <v>0</v>
      </c>
      <c r="BH980" s="114">
        <v>0</v>
      </c>
      <c r="BI980">
        <v>0</v>
      </c>
      <c r="BJ980" s="121">
        <v>130</v>
      </c>
      <c r="BK980" s="134">
        <v>1337015214</v>
      </c>
      <c r="BL980" s="934">
        <v>7366</v>
      </c>
      <c r="BM980" s="934">
        <v>8436</v>
      </c>
      <c r="BN980" s="934">
        <v>7686</v>
      </c>
      <c r="BO980" s="114">
        <v>0</v>
      </c>
      <c r="BP980" s="114">
        <v>0</v>
      </c>
    </row>
    <row r="981" spans="1:68">
      <c r="A981" t="s">
        <v>996</v>
      </c>
      <c r="B981" t="s">
        <v>1633</v>
      </c>
      <c r="C981" s="121">
        <v>4692</v>
      </c>
      <c r="D981" s="72">
        <v>2</v>
      </c>
      <c r="E981">
        <v>894.76499999999999</v>
      </c>
      <c r="F981">
        <v>304</v>
      </c>
      <c r="G981">
        <v>196</v>
      </c>
      <c r="H981">
        <v>28</v>
      </c>
      <c r="I981" s="173">
        <v>1.17</v>
      </c>
      <c r="J981" s="121">
        <v>712422707</v>
      </c>
      <c r="K981" s="125">
        <v>4232.93</v>
      </c>
      <c r="L981" s="173">
        <v>1.5</v>
      </c>
      <c r="M981">
        <v>1.17</v>
      </c>
      <c r="N981">
        <v>1.000000005</v>
      </c>
      <c r="O981">
        <v>16.999999499999994</v>
      </c>
      <c r="P981">
        <v>3158.8629999999998</v>
      </c>
      <c r="Q981" s="125">
        <v>0.30199999999999999</v>
      </c>
      <c r="R981" s="125">
        <v>0.20799999999999999</v>
      </c>
      <c r="S981" s="125">
        <v>6.7519999999999998</v>
      </c>
      <c r="T981" s="125">
        <v>104.38200000000001</v>
      </c>
      <c r="U981" s="125">
        <v>27.251000000000001</v>
      </c>
      <c r="V981" s="125">
        <v>0</v>
      </c>
      <c r="W981" s="125">
        <v>2.452</v>
      </c>
      <c r="X981" s="125">
        <v>0</v>
      </c>
      <c r="Y981" s="125">
        <v>0</v>
      </c>
      <c r="Z981" s="125">
        <v>3.1720000000000002</v>
      </c>
      <c r="AA981" s="125">
        <v>15.182</v>
      </c>
      <c r="AB981" s="125">
        <v>188.72200000000001</v>
      </c>
      <c r="AC981" s="125">
        <v>1735.1</v>
      </c>
      <c r="AD981" s="125">
        <v>0.67700000000000005</v>
      </c>
      <c r="AE981" s="125">
        <v>32.014000000000003</v>
      </c>
      <c r="AF981" s="125">
        <v>157.94300000000001</v>
      </c>
      <c r="AG981" s="125">
        <v>0</v>
      </c>
      <c r="AH981" s="125">
        <v>0</v>
      </c>
      <c r="AI981" s="121">
        <v>8602181</v>
      </c>
      <c r="AJ981" s="121">
        <v>857258</v>
      </c>
      <c r="AK981" s="424">
        <v>12</v>
      </c>
      <c r="AL981">
        <v>0</v>
      </c>
      <c r="AM981" s="121">
        <v>181341</v>
      </c>
      <c r="AN981" s="125">
        <v>0</v>
      </c>
      <c r="AO981" s="125">
        <v>0</v>
      </c>
      <c r="AP981" s="121">
        <v>9459439</v>
      </c>
      <c r="AQ981" s="114">
        <v>0</v>
      </c>
      <c r="AR981" s="121">
        <v>474.87212168999997</v>
      </c>
      <c r="AS981" s="121">
        <v>93313.863121000002</v>
      </c>
      <c r="AT981" s="121">
        <v>12289.393929</v>
      </c>
      <c r="AU981" s="420" t="s">
        <v>2001</v>
      </c>
      <c r="AV981" s="420" t="s">
        <v>2001</v>
      </c>
      <c r="AW981" s="121">
        <v>0</v>
      </c>
      <c r="AX981" s="121">
        <v>1564904</v>
      </c>
      <c r="BI981">
        <v>0</v>
      </c>
      <c r="BJ981" s="121">
        <v>0</v>
      </c>
      <c r="BK981" s="134">
        <v>712422707</v>
      </c>
      <c r="BL981" s="934">
        <v>4477</v>
      </c>
      <c r="BM981" s="934">
        <v>4692</v>
      </c>
      <c r="BN981" s="934">
        <v>4654</v>
      </c>
      <c r="BO981" s="114">
        <v>0</v>
      </c>
      <c r="BP981" s="114">
        <v>0</v>
      </c>
    </row>
    <row r="982" spans="1:68">
      <c r="A982" t="s">
        <v>1424</v>
      </c>
      <c r="B982" t="s">
        <v>1804</v>
      </c>
      <c r="C982" s="121">
        <v>5239</v>
      </c>
      <c r="D982" s="72">
        <v>1</v>
      </c>
      <c r="E982">
        <v>139.92699999999999</v>
      </c>
      <c r="F982">
        <v>44</v>
      </c>
      <c r="G982">
        <v>40</v>
      </c>
      <c r="H982">
        <v>2</v>
      </c>
      <c r="I982" s="173">
        <v>1.04</v>
      </c>
      <c r="J982" s="121">
        <v>189024472</v>
      </c>
      <c r="K982" s="125">
        <v>875.99400000000003</v>
      </c>
      <c r="L982" s="173">
        <v>1.5</v>
      </c>
      <c r="M982">
        <v>1.04</v>
      </c>
      <c r="N982">
        <v>1.000000005</v>
      </c>
      <c r="O982">
        <v>3.9999995000000066</v>
      </c>
      <c r="P982">
        <v>530</v>
      </c>
      <c r="Q982" s="125">
        <v>0</v>
      </c>
      <c r="R982" s="125">
        <v>0</v>
      </c>
      <c r="S982" s="125">
        <v>0.74399999999999999</v>
      </c>
      <c r="T982" s="125">
        <v>15.362</v>
      </c>
      <c r="U982" s="125">
        <v>3.8109999999999999</v>
      </c>
      <c r="V982" s="125">
        <v>0</v>
      </c>
      <c r="W982" s="125">
        <v>0</v>
      </c>
      <c r="X982" s="125">
        <v>0</v>
      </c>
      <c r="Y982" s="125">
        <v>0</v>
      </c>
      <c r="Z982" s="125">
        <v>0</v>
      </c>
      <c r="AA982" s="125">
        <v>10.106999999999999</v>
      </c>
      <c r="AB982" s="125">
        <v>22.771000000000001</v>
      </c>
      <c r="AC982" s="125">
        <v>395</v>
      </c>
      <c r="AD982" s="125">
        <v>0</v>
      </c>
      <c r="AE982" s="125">
        <v>9.2889999999999997</v>
      </c>
      <c r="AF982" s="125">
        <v>25.748000000000001</v>
      </c>
      <c r="AG982" s="125">
        <v>0</v>
      </c>
      <c r="AH982" s="125">
        <v>0</v>
      </c>
      <c r="AI982" s="121">
        <v>2184076</v>
      </c>
      <c r="AJ982" s="121">
        <v>176385</v>
      </c>
      <c r="AK982" s="424">
        <v>12</v>
      </c>
      <c r="AL982">
        <v>0</v>
      </c>
      <c r="AM982" s="121">
        <v>19999</v>
      </c>
      <c r="AN982" s="125">
        <v>0</v>
      </c>
      <c r="AO982" s="125">
        <v>0</v>
      </c>
      <c r="AP982" s="121">
        <v>2360461</v>
      </c>
      <c r="AQ982" s="114">
        <v>0</v>
      </c>
      <c r="AR982" s="121">
        <v>125.99605726999999</v>
      </c>
      <c r="AS982" s="121">
        <v>24758.620911000002</v>
      </c>
      <c r="AT982" s="121">
        <v>3260.6992716</v>
      </c>
      <c r="AU982" s="420" t="s">
        <v>2001</v>
      </c>
      <c r="AV982" s="420" t="s">
        <v>2001</v>
      </c>
      <c r="AW982" s="121">
        <v>0</v>
      </c>
      <c r="AX982" s="121">
        <v>192788</v>
      </c>
      <c r="BI982">
        <v>0</v>
      </c>
      <c r="BJ982" s="121">
        <v>0</v>
      </c>
      <c r="BK982" s="134">
        <v>185191665</v>
      </c>
      <c r="BL982" s="934">
        <v>5239</v>
      </c>
      <c r="BM982" s="934">
        <v>4768</v>
      </c>
      <c r="BN982" s="934">
        <v>4768</v>
      </c>
      <c r="BO982" s="114">
        <v>0</v>
      </c>
      <c r="BP982" s="114">
        <v>0</v>
      </c>
    </row>
    <row r="983" spans="1:68">
      <c r="A983" t="s">
        <v>714</v>
      </c>
      <c r="B983" t="s">
        <v>2667</v>
      </c>
      <c r="C983" s="121">
        <v>4684</v>
      </c>
      <c r="D983" s="72">
        <v>3</v>
      </c>
      <c r="E983">
        <v>563.96500000000003</v>
      </c>
      <c r="F983">
        <v>138</v>
      </c>
      <c r="G983">
        <v>64</v>
      </c>
      <c r="H983">
        <v>33</v>
      </c>
      <c r="I983" s="173">
        <v>1.04</v>
      </c>
      <c r="J983" s="121">
        <v>477446469</v>
      </c>
      <c r="K983" s="125">
        <v>2309.3850000000002</v>
      </c>
      <c r="L983" s="173">
        <v>1.49</v>
      </c>
      <c r="M983">
        <v>1.04</v>
      </c>
      <c r="N983">
        <v>0.99333333830000003</v>
      </c>
      <c r="O983">
        <v>4.6666661700000001</v>
      </c>
      <c r="P983">
        <v>1735.2190000000001</v>
      </c>
      <c r="Q983" s="125">
        <v>1.0999999999999999E-2</v>
      </c>
      <c r="R983" s="125">
        <v>0</v>
      </c>
      <c r="S983" s="125">
        <v>1.841</v>
      </c>
      <c r="T983" s="125">
        <v>43.966000000000001</v>
      </c>
      <c r="U983" s="125">
        <v>9.0299999999999994</v>
      </c>
      <c r="V983" s="125">
        <v>0</v>
      </c>
      <c r="W983" s="125">
        <v>0</v>
      </c>
      <c r="X983" s="125">
        <v>0</v>
      </c>
      <c r="Y983" s="125">
        <v>0</v>
      </c>
      <c r="Z983" s="125">
        <v>0</v>
      </c>
      <c r="AA983" s="125">
        <v>26.271000000000001</v>
      </c>
      <c r="AB983" s="125">
        <v>100.994</v>
      </c>
      <c r="AC983" s="125">
        <v>797.3</v>
      </c>
      <c r="AD983" s="125">
        <v>7.1999999999999995E-2</v>
      </c>
      <c r="AE983" s="125">
        <v>2.31</v>
      </c>
      <c r="AF983" s="125">
        <v>86.760949999999994</v>
      </c>
      <c r="AG983" s="125">
        <v>0</v>
      </c>
      <c r="AH983" s="125">
        <v>0</v>
      </c>
      <c r="AI983" s="121">
        <v>5188528</v>
      </c>
      <c r="AJ983" s="121">
        <v>398497</v>
      </c>
      <c r="AK983" s="424">
        <v>12</v>
      </c>
      <c r="AL983">
        <v>0</v>
      </c>
      <c r="AM983" s="121">
        <v>109834</v>
      </c>
      <c r="AN983" s="125">
        <v>0</v>
      </c>
      <c r="AO983" s="125">
        <v>0</v>
      </c>
      <c r="AP983" s="121">
        <v>5587025</v>
      </c>
      <c r="AQ983" s="114">
        <v>0</v>
      </c>
      <c r="AR983" s="121">
        <v>318.24647852999999</v>
      </c>
      <c r="AS983" s="121">
        <v>62536.432398999998</v>
      </c>
      <c r="AT983" s="121">
        <v>8236.0201041</v>
      </c>
      <c r="AU983" s="420" t="s">
        <v>2001</v>
      </c>
      <c r="AV983" s="420" t="s">
        <v>2001</v>
      </c>
      <c r="AW983" s="121">
        <v>0</v>
      </c>
      <c r="AX983" s="121">
        <v>580544</v>
      </c>
      <c r="BI983">
        <v>0</v>
      </c>
      <c r="BJ983" s="121">
        <v>0</v>
      </c>
      <c r="BK983" s="134">
        <v>477446469</v>
      </c>
      <c r="BL983" s="934">
        <v>4603</v>
      </c>
      <c r="BM983" s="934">
        <v>4665</v>
      </c>
      <c r="BN983" s="934">
        <v>4684</v>
      </c>
      <c r="BO983" s="114">
        <v>0</v>
      </c>
      <c r="BP983" s="114">
        <v>0</v>
      </c>
    </row>
    <row r="984" spans="1:68">
      <c r="A984" t="s">
        <v>2088</v>
      </c>
      <c r="B984" t="s">
        <v>1806</v>
      </c>
      <c r="C984" s="121">
        <v>4684</v>
      </c>
      <c r="D984" s="72">
        <v>2</v>
      </c>
      <c r="E984">
        <v>3771.6390000000001</v>
      </c>
      <c r="F984">
        <v>1103</v>
      </c>
      <c r="G984">
        <v>776</v>
      </c>
      <c r="H984">
        <v>34</v>
      </c>
      <c r="I984" s="173">
        <v>1.04</v>
      </c>
      <c r="J984" s="121">
        <v>3823482439</v>
      </c>
      <c r="K984" s="125">
        <v>17932.446</v>
      </c>
      <c r="L984" s="173">
        <v>1.5</v>
      </c>
      <c r="M984">
        <v>1.04</v>
      </c>
      <c r="N984">
        <v>1.000000005</v>
      </c>
      <c r="O984">
        <v>3.9999995000000066</v>
      </c>
      <c r="P984">
        <v>13482.172</v>
      </c>
      <c r="Q984" s="125">
        <v>1.9419999999999999</v>
      </c>
      <c r="R984" s="125">
        <v>21.814</v>
      </c>
      <c r="S984" s="125">
        <v>29.385999999999999</v>
      </c>
      <c r="T984" s="125">
        <v>590.06200000000001</v>
      </c>
      <c r="U984" s="125">
        <v>128.87100000000001</v>
      </c>
      <c r="V984" s="125">
        <v>7.8360000000000003</v>
      </c>
      <c r="W984" s="125">
        <v>49.447000000000003</v>
      </c>
      <c r="X984" s="125">
        <v>0</v>
      </c>
      <c r="Y984" s="125">
        <v>0</v>
      </c>
      <c r="Z984" s="125">
        <v>8.173</v>
      </c>
      <c r="AA984" s="125">
        <v>65.798000000000002</v>
      </c>
      <c r="AB984" s="125">
        <v>529.76499999999999</v>
      </c>
      <c r="AC984" s="125">
        <v>8811.7000000000007</v>
      </c>
      <c r="AD984" s="125">
        <v>7.8449999999999998</v>
      </c>
      <c r="AE984" s="125">
        <v>659.44500000000005</v>
      </c>
      <c r="AF984" s="125">
        <v>674.10860000000002</v>
      </c>
      <c r="AG984" s="125">
        <v>0</v>
      </c>
      <c r="AH984" s="125">
        <v>0</v>
      </c>
      <c r="AI984" s="121">
        <v>41034161</v>
      </c>
      <c r="AJ984" s="121">
        <v>2284079</v>
      </c>
      <c r="AK984" s="424">
        <v>12</v>
      </c>
      <c r="AL984">
        <v>0</v>
      </c>
      <c r="AM984" s="121">
        <v>771859</v>
      </c>
      <c r="AN984" s="125">
        <v>2</v>
      </c>
      <c r="AO984" s="125">
        <v>0</v>
      </c>
      <c r="AP984" s="121">
        <v>43318240</v>
      </c>
      <c r="AQ984" s="114">
        <v>0</v>
      </c>
      <c r="AR984" s="121">
        <v>2548.5785338000001</v>
      </c>
      <c r="AS984" s="121">
        <v>500803.68501999998</v>
      </c>
      <c r="AT984" s="121">
        <v>65955.620744999993</v>
      </c>
      <c r="AU984" s="420" t="s">
        <v>2001</v>
      </c>
      <c r="AV984" s="420" t="s">
        <v>2001</v>
      </c>
      <c r="AW984" s="121">
        <v>0</v>
      </c>
      <c r="AX984" s="121">
        <v>3176849</v>
      </c>
      <c r="BI984">
        <v>0</v>
      </c>
      <c r="BJ984" s="121">
        <v>0</v>
      </c>
      <c r="BK984" s="134">
        <v>3823482439</v>
      </c>
      <c r="BL984" s="934">
        <v>4587</v>
      </c>
      <c r="BM984" s="934">
        <v>4684</v>
      </c>
      <c r="BN984" s="934">
        <v>4684</v>
      </c>
      <c r="BO984" s="114">
        <v>0</v>
      </c>
      <c r="BP984" s="114">
        <v>0</v>
      </c>
    </row>
    <row r="985" spans="1:68">
      <c r="A985" t="s">
        <v>626</v>
      </c>
      <c r="B985" t="s">
        <v>1327</v>
      </c>
      <c r="C985" s="121">
        <v>4478</v>
      </c>
      <c r="D985" s="72">
        <v>1</v>
      </c>
      <c r="E985">
        <v>257.02199999999999</v>
      </c>
      <c r="F985">
        <v>92</v>
      </c>
      <c r="G985">
        <v>54</v>
      </c>
      <c r="H985">
        <v>0</v>
      </c>
      <c r="I985" s="173">
        <v>1.04</v>
      </c>
      <c r="J985" s="121">
        <v>165313346</v>
      </c>
      <c r="K985" s="125">
        <v>1569.9190000000001</v>
      </c>
      <c r="L985" s="173">
        <v>1.5</v>
      </c>
      <c r="M985">
        <v>1.04</v>
      </c>
      <c r="N985">
        <v>1.000000005</v>
      </c>
      <c r="O985">
        <v>3.9999995000000066</v>
      </c>
      <c r="P985">
        <v>1049.636</v>
      </c>
      <c r="Q985" s="125">
        <v>0</v>
      </c>
      <c r="R985" s="125">
        <v>0</v>
      </c>
      <c r="S985" s="125">
        <v>1.099</v>
      </c>
      <c r="T985" s="125">
        <v>15.757</v>
      </c>
      <c r="U985" s="125">
        <v>10.067</v>
      </c>
      <c r="V985" s="125">
        <v>0</v>
      </c>
      <c r="W985" s="125">
        <v>0</v>
      </c>
      <c r="X985" s="125">
        <v>0</v>
      </c>
      <c r="Y985" s="125">
        <v>0</v>
      </c>
      <c r="Z985" s="125">
        <v>0.78400000000000003</v>
      </c>
      <c r="AA985" s="125">
        <v>56.161999999999999</v>
      </c>
      <c r="AB985" s="125">
        <v>40.396000000000001</v>
      </c>
      <c r="AC985" s="125">
        <v>715</v>
      </c>
      <c r="AD985" s="125">
        <v>0.32300000000000001</v>
      </c>
      <c r="AE985" s="125">
        <v>20.891999999999999</v>
      </c>
      <c r="AF985" s="125">
        <v>52.4818</v>
      </c>
      <c r="AG985" s="125">
        <v>0</v>
      </c>
      <c r="AH985" s="125">
        <v>0</v>
      </c>
      <c r="AI985" s="121">
        <v>1739196</v>
      </c>
      <c r="AJ985" s="121">
        <v>348258</v>
      </c>
      <c r="AK985" s="424">
        <v>8</v>
      </c>
      <c r="AL985">
        <v>0</v>
      </c>
      <c r="AM985" s="121">
        <v>11691</v>
      </c>
      <c r="AN985" s="125">
        <v>0</v>
      </c>
      <c r="AO985" s="125">
        <v>0</v>
      </c>
      <c r="AP985" s="121">
        <v>2087454</v>
      </c>
      <c r="AQ985" s="114">
        <v>0</v>
      </c>
      <c r="AR985" s="121">
        <v>110.19118054</v>
      </c>
      <c r="AS985" s="121">
        <v>21652.913003000001</v>
      </c>
      <c r="AT985" s="121">
        <v>2851.6789328</v>
      </c>
      <c r="AU985" s="420" t="s">
        <v>2001</v>
      </c>
      <c r="AV985" s="420" t="s">
        <v>2001</v>
      </c>
      <c r="AW985" s="121">
        <v>0</v>
      </c>
      <c r="AX985" s="121">
        <v>720000</v>
      </c>
      <c r="BI985">
        <v>0</v>
      </c>
      <c r="BJ985" s="121">
        <v>0</v>
      </c>
      <c r="BK985" s="134">
        <v>162306416</v>
      </c>
      <c r="BL985" s="934">
        <v>4478</v>
      </c>
      <c r="BM985" s="934">
        <v>4420</v>
      </c>
      <c r="BN985" s="934">
        <v>4420</v>
      </c>
      <c r="BO985" s="114">
        <v>0</v>
      </c>
      <c r="BP985" s="114">
        <v>0</v>
      </c>
    </row>
    <row r="986" spans="1:68">
      <c r="A986" t="s">
        <v>1534</v>
      </c>
      <c r="B986" t="s">
        <v>1807</v>
      </c>
      <c r="C986" s="121">
        <v>5692</v>
      </c>
      <c r="D986" s="72">
        <v>2</v>
      </c>
      <c r="E986">
        <v>33.156999999999996</v>
      </c>
      <c r="F986">
        <v>13</v>
      </c>
      <c r="G986">
        <v>7</v>
      </c>
      <c r="H986">
        <v>1</v>
      </c>
      <c r="I986" s="173">
        <v>1.04</v>
      </c>
      <c r="J986" s="121">
        <v>53332227</v>
      </c>
      <c r="K986" s="125">
        <v>238.09399999999999</v>
      </c>
      <c r="L986" s="173">
        <v>1.5</v>
      </c>
      <c r="M986">
        <v>1.04</v>
      </c>
      <c r="N986">
        <v>1.000000005</v>
      </c>
      <c r="O986">
        <v>3.9999995000000066</v>
      </c>
      <c r="P986">
        <v>113.23099999999999</v>
      </c>
      <c r="Q986" s="125">
        <v>0</v>
      </c>
      <c r="R986" s="125">
        <v>0</v>
      </c>
      <c r="S986" s="125">
        <v>0.14099999999999999</v>
      </c>
      <c r="T986" s="125">
        <v>3.4609999999999999</v>
      </c>
      <c r="U986" s="125">
        <v>0</v>
      </c>
      <c r="V986" s="125">
        <v>0</v>
      </c>
      <c r="W986" s="125">
        <v>0</v>
      </c>
      <c r="X986" s="125">
        <v>0</v>
      </c>
      <c r="Y986" s="125">
        <v>0</v>
      </c>
      <c r="Z986" s="125">
        <v>0</v>
      </c>
      <c r="AA986" s="125">
        <v>1.2909999999999999</v>
      </c>
      <c r="AB986" s="125">
        <v>5.3380000000000001</v>
      </c>
      <c r="AC986" s="125">
        <v>93.8</v>
      </c>
      <c r="AD986" s="125">
        <v>0.28999999999999998</v>
      </c>
      <c r="AE986" s="125">
        <v>0.55800000000000005</v>
      </c>
      <c r="AF986" s="125">
        <v>5.6615500000000001</v>
      </c>
      <c r="AG986" s="125">
        <v>0</v>
      </c>
      <c r="AH986" s="125">
        <v>0</v>
      </c>
      <c r="AI986" s="121">
        <v>481953</v>
      </c>
      <c r="AJ986" s="121">
        <v>0</v>
      </c>
      <c r="AK986" s="424">
        <v>12</v>
      </c>
      <c r="AL986">
        <v>0</v>
      </c>
      <c r="AM986" s="121">
        <v>4312</v>
      </c>
      <c r="AN986" s="125">
        <v>0</v>
      </c>
      <c r="AO986" s="125">
        <v>0</v>
      </c>
      <c r="AP986" s="121">
        <v>481953</v>
      </c>
      <c r="AQ986" s="114">
        <v>0</v>
      </c>
      <c r="AR986" s="121">
        <v>35.549102546</v>
      </c>
      <c r="AS986" s="121">
        <v>6985.5102827000001</v>
      </c>
      <c r="AT986" s="121">
        <v>919.98857176000001</v>
      </c>
      <c r="AU986" s="420" t="s">
        <v>2001</v>
      </c>
      <c r="AV986" s="420" t="s">
        <v>2001</v>
      </c>
      <c r="AW986" s="121">
        <v>0</v>
      </c>
      <c r="AX986" s="121">
        <v>0</v>
      </c>
      <c r="BI986">
        <v>0</v>
      </c>
      <c r="BJ986" s="121">
        <v>1</v>
      </c>
      <c r="BK986" s="134">
        <v>45035632</v>
      </c>
      <c r="BL986" s="934">
        <v>4714</v>
      </c>
      <c r="BM986" s="934">
        <v>5692</v>
      </c>
      <c r="BN986" s="934">
        <v>4723</v>
      </c>
      <c r="BO986" s="114">
        <v>0</v>
      </c>
      <c r="BP986" s="114">
        <v>0</v>
      </c>
    </row>
    <row r="987" spans="1:68">
      <c r="A987" t="s">
        <v>9</v>
      </c>
      <c r="B987" t="s">
        <v>1808</v>
      </c>
      <c r="C987" s="121">
        <v>5170</v>
      </c>
      <c r="D987" s="72">
        <v>2</v>
      </c>
      <c r="E987">
        <v>627.68899999999996</v>
      </c>
      <c r="F987">
        <v>180</v>
      </c>
      <c r="G987">
        <v>127</v>
      </c>
      <c r="H987">
        <v>15</v>
      </c>
      <c r="I987" s="173">
        <v>1.04</v>
      </c>
      <c r="J987" s="121">
        <v>823916191</v>
      </c>
      <c r="K987" s="125">
        <v>2916.502</v>
      </c>
      <c r="L987" s="173">
        <v>1.5</v>
      </c>
      <c r="M987">
        <v>1.04</v>
      </c>
      <c r="N987">
        <v>1.000000005</v>
      </c>
      <c r="O987">
        <v>3.9999995000000066</v>
      </c>
      <c r="P987">
        <v>1992</v>
      </c>
      <c r="Q987" s="125">
        <v>7.2999999999999995E-2</v>
      </c>
      <c r="R987" s="125">
        <v>61.668999999999997</v>
      </c>
      <c r="S987" s="125">
        <v>3.1930000000000001</v>
      </c>
      <c r="T987" s="125">
        <v>47.652999999999999</v>
      </c>
      <c r="U987" s="125">
        <v>11.894</v>
      </c>
      <c r="V987" s="125">
        <v>0</v>
      </c>
      <c r="W987" s="125">
        <v>0.215</v>
      </c>
      <c r="X987" s="125">
        <v>0</v>
      </c>
      <c r="Y987" s="125">
        <v>0</v>
      </c>
      <c r="Z987" s="125">
        <v>0</v>
      </c>
      <c r="AA987" s="125">
        <v>45.3</v>
      </c>
      <c r="AB987" s="125">
        <v>59.701000000000001</v>
      </c>
      <c r="AC987" s="125">
        <v>1375</v>
      </c>
      <c r="AD987" s="125">
        <v>1.63</v>
      </c>
      <c r="AE987" s="125">
        <v>81.322000000000003</v>
      </c>
      <c r="AF987" s="125">
        <v>93.879000000000005</v>
      </c>
      <c r="AG987" s="125">
        <v>0</v>
      </c>
      <c r="AH987" s="125">
        <v>0</v>
      </c>
      <c r="AI987" s="121">
        <v>8672727</v>
      </c>
      <c r="AJ987" s="121">
        <v>-66143</v>
      </c>
      <c r="AK987" s="424">
        <v>12</v>
      </c>
      <c r="AL987">
        <v>0</v>
      </c>
      <c r="AM987" s="121">
        <v>104409</v>
      </c>
      <c r="AN987" s="125">
        <v>0</v>
      </c>
      <c r="AO987" s="125">
        <v>0</v>
      </c>
      <c r="AP987" s="121">
        <v>8606584</v>
      </c>
      <c r="AQ987" s="114">
        <v>0</v>
      </c>
      <c r="AR987" s="121">
        <v>549.18916250999996</v>
      </c>
      <c r="AS987" s="121">
        <v>107917.39500999999</v>
      </c>
      <c r="AT987" s="121">
        <v>14212.672531</v>
      </c>
      <c r="AU987" s="420" t="s">
        <v>2001</v>
      </c>
      <c r="AV987" s="420" t="s">
        <v>2001</v>
      </c>
      <c r="AW987" s="121">
        <v>0</v>
      </c>
      <c r="AX987" s="121">
        <v>765000</v>
      </c>
      <c r="BI987">
        <v>0</v>
      </c>
      <c r="BJ987" s="121">
        <v>0</v>
      </c>
      <c r="BK987" s="134">
        <v>802228025</v>
      </c>
      <c r="BL987" s="934">
        <v>4602</v>
      </c>
      <c r="BM987" s="934">
        <v>5170</v>
      </c>
      <c r="BN987" s="934">
        <v>4976</v>
      </c>
      <c r="BO987" s="114">
        <v>0</v>
      </c>
      <c r="BP987" s="114">
        <v>0</v>
      </c>
    </row>
    <row r="988" spans="1:68">
      <c r="A988" t="s">
        <v>10</v>
      </c>
      <c r="B988" t="s">
        <v>2612</v>
      </c>
      <c r="C988" s="121">
        <v>4640</v>
      </c>
      <c r="D988" s="72">
        <v>1</v>
      </c>
      <c r="E988">
        <v>57.292000000000002</v>
      </c>
      <c r="F988">
        <v>16</v>
      </c>
      <c r="G988">
        <v>13</v>
      </c>
      <c r="H988">
        <v>0</v>
      </c>
      <c r="I988" s="173">
        <v>1.04</v>
      </c>
      <c r="J988" s="121">
        <v>21086958</v>
      </c>
      <c r="K988" s="125">
        <v>313.67</v>
      </c>
      <c r="L988" s="173">
        <v>1.5</v>
      </c>
      <c r="M988">
        <v>1.04</v>
      </c>
      <c r="N988">
        <v>1.000000005</v>
      </c>
      <c r="O988">
        <v>3.9999995000000066</v>
      </c>
      <c r="P988">
        <v>186.965</v>
      </c>
      <c r="Q988" s="125">
        <v>0</v>
      </c>
      <c r="R988" s="125">
        <v>0</v>
      </c>
      <c r="S988" s="125">
        <v>0.21299999999999999</v>
      </c>
      <c r="T988" s="125">
        <v>1.968</v>
      </c>
      <c r="U988" s="125">
        <v>0</v>
      </c>
      <c r="V988" s="125">
        <v>0</v>
      </c>
      <c r="W988" s="125">
        <v>0</v>
      </c>
      <c r="X988" s="125">
        <v>0</v>
      </c>
      <c r="Y988" s="125">
        <v>0</v>
      </c>
      <c r="Z988" s="125">
        <v>0</v>
      </c>
      <c r="AA988" s="125">
        <v>7.0270000000000001</v>
      </c>
      <c r="AB988" s="125">
        <v>10.552</v>
      </c>
      <c r="AC988" s="125">
        <v>103.4</v>
      </c>
      <c r="AD988" s="125">
        <v>0</v>
      </c>
      <c r="AE988" s="125">
        <v>6.6349999999999998</v>
      </c>
      <c r="AF988" s="125">
        <v>9.3480000000000008</v>
      </c>
      <c r="AG988" s="125">
        <v>0</v>
      </c>
      <c r="AH988" s="125">
        <v>0</v>
      </c>
      <c r="AI988" s="121">
        <v>227967</v>
      </c>
      <c r="AJ988" s="121">
        <v>17168</v>
      </c>
      <c r="AK988" s="424">
        <v>12</v>
      </c>
      <c r="AL988">
        <v>0</v>
      </c>
      <c r="AM988" s="121">
        <v>11689</v>
      </c>
      <c r="AN988" s="125">
        <v>0</v>
      </c>
      <c r="AO988" s="125">
        <v>0</v>
      </c>
      <c r="AP988" s="121">
        <v>245135</v>
      </c>
      <c r="AQ988" s="114">
        <v>0</v>
      </c>
      <c r="AR988" s="121">
        <v>14.055712131</v>
      </c>
      <c r="AS988" s="121">
        <v>2761.9915719999999</v>
      </c>
      <c r="AT988" s="121">
        <v>363.75305149000002</v>
      </c>
      <c r="AU988" s="420" t="s">
        <v>2001</v>
      </c>
      <c r="AV988" s="420" t="s">
        <v>2001</v>
      </c>
      <c r="AW988" s="121">
        <v>0</v>
      </c>
      <c r="AX988" s="121">
        <v>136522</v>
      </c>
      <c r="BI988">
        <v>0</v>
      </c>
      <c r="BJ988" s="121">
        <v>0</v>
      </c>
      <c r="BK988" s="134">
        <v>21086958</v>
      </c>
      <c r="BL988" s="934">
        <v>4640</v>
      </c>
      <c r="BM988" s="934">
        <v>4560</v>
      </c>
      <c r="BN988" s="934">
        <v>4560</v>
      </c>
      <c r="BO988" s="114">
        <v>0</v>
      </c>
      <c r="BP988" s="114">
        <v>0</v>
      </c>
    </row>
    <row r="989" spans="1:68">
      <c r="A989" t="s">
        <v>1695</v>
      </c>
      <c r="B989" t="s">
        <v>2678</v>
      </c>
      <c r="C989" s="121">
        <v>5108</v>
      </c>
      <c r="D989" s="72">
        <v>2</v>
      </c>
      <c r="E989">
        <v>23.802</v>
      </c>
      <c r="F989">
        <v>29</v>
      </c>
      <c r="G989">
        <v>33</v>
      </c>
      <c r="H989">
        <v>3</v>
      </c>
      <c r="I989" s="173">
        <v>1.04</v>
      </c>
      <c r="J989" s="121">
        <v>42222533</v>
      </c>
      <c r="K989" s="125">
        <v>554.87</v>
      </c>
      <c r="L989" s="173">
        <v>1.5</v>
      </c>
      <c r="M989">
        <v>1.04</v>
      </c>
      <c r="N989">
        <v>1.000000005</v>
      </c>
      <c r="O989">
        <v>3.9999995000000066</v>
      </c>
      <c r="P989">
        <v>308.178</v>
      </c>
      <c r="Q989" s="125">
        <v>0</v>
      </c>
      <c r="R989" s="125">
        <v>0</v>
      </c>
      <c r="S989" s="125">
        <v>0.437</v>
      </c>
      <c r="T989" s="125">
        <v>0.67</v>
      </c>
      <c r="U989" s="125">
        <v>0</v>
      </c>
      <c r="V989" s="125">
        <v>0</v>
      </c>
      <c r="W989" s="125">
        <v>0</v>
      </c>
      <c r="X989" s="125">
        <v>0</v>
      </c>
      <c r="Y989" s="125">
        <v>0</v>
      </c>
      <c r="Z989" s="125">
        <v>0</v>
      </c>
      <c r="AA989" s="125">
        <v>13.124000000000001</v>
      </c>
      <c r="AB989" s="125">
        <v>0</v>
      </c>
      <c r="AC989" s="125">
        <v>303.3</v>
      </c>
      <c r="AD989" s="125">
        <v>0</v>
      </c>
      <c r="AE989" s="125">
        <v>85.99</v>
      </c>
      <c r="AF989" s="125">
        <v>15.408899999999999</v>
      </c>
      <c r="AG989" s="125">
        <v>0</v>
      </c>
      <c r="AH989" s="125">
        <v>0</v>
      </c>
      <c r="AI989" s="121">
        <v>417033</v>
      </c>
      <c r="AJ989" s="121">
        <v>81224</v>
      </c>
      <c r="AK989" s="424">
        <v>8</v>
      </c>
      <c r="AL989">
        <v>0</v>
      </c>
      <c r="AM989" s="121">
        <v>27375</v>
      </c>
      <c r="AN989" s="125">
        <v>0</v>
      </c>
      <c r="AO989" s="125">
        <v>0</v>
      </c>
      <c r="AP989" s="121">
        <v>498257</v>
      </c>
      <c r="AQ989" s="114">
        <v>0</v>
      </c>
      <c r="AR989" s="121">
        <v>28.143830248</v>
      </c>
      <c r="AS989" s="121">
        <v>5530.3510219</v>
      </c>
      <c r="AT989" s="121">
        <v>728.34474964000003</v>
      </c>
      <c r="AU989" s="420" t="s">
        <v>2001</v>
      </c>
      <c r="AV989" s="420" t="s">
        <v>2001</v>
      </c>
      <c r="AW989" s="121">
        <v>0</v>
      </c>
      <c r="AX989" s="121">
        <v>309910</v>
      </c>
      <c r="BI989">
        <v>0</v>
      </c>
      <c r="BJ989" s="121">
        <v>0</v>
      </c>
      <c r="BK989" s="134">
        <v>40199864</v>
      </c>
      <c r="BL989" s="934">
        <v>4855</v>
      </c>
      <c r="BM989" s="934">
        <v>5108</v>
      </c>
      <c r="BN989" s="934">
        <v>4930</v>
      </c>
      <c r="BO989" s="134">
        <v>46072</v>
      </c>
      <c r="BP989" s="134">
        <v>39858</v>
      </c>
    </row>
    <row r="990" spans="1:68">
      <c r="A990" t="s">
        <v>2387</v>
      </c>
      <c r="B990" t="s">
        <v>950</v>
      </c>
      <c r="C990" s="121">
        <v>4530</v>
      </c>
      <c r="D990" s="72">
        <v>2</v>
      </c>
      <c r="E990">
        <v>400.036</v>
      </c>
      <c r="F990">
        <v>119</v>
      </c>
      <c r="G990">
        <v>140</v>
      </c>
      <c r="H990">
        <v>16</v>
      </c>
      <c r="I990" s="173">
        <v>1.04</v>
      </c>
      <c r="J990" s="121">
        <v>178454873</v>
      </c>
      <c r="K990" s="125">
        <v>2296.3490000000002</v>
      </c>
      <c r="L990" s="173">
        <v>1.5</v>
      </c>
      <c r="M990">
        <v>1.04</v>
      </c>
      <c r="N990">
        <v>1.000000005</v>
      </c>
      <c r="O990">
        <v>3.9999995000000066</v>
      </c>
      <c r="P990">
        <v>1408.713</v>
      </c>
      <c r="Q990" s="125">
        <v>0.158</v>
      </c>
      <c r="R990" s="125">
        <v>0</v>
      </c>
      <c r="S990" s="125">
        <v>1.351</v>
      </c>
      <c r="T990" s="125">
        <v>49.143999999999998</v>
      </c>
      <c r="U990" s="125">
        <v>6.6719999999999997</v>
      </c>
      <c r="V990" s="125">
        <v>7.4050000000000002</v>
      </c>
      <c r="W990" s="125">
        <v>0</v>
      </c>
      <c r="X990" s="125">
        <v>0</v>
      </c>
      <c r="Y990" s="125">
        <v>0</v>
      </c>
      <c r="Z990" s="125">
        <v>0</v>
      </c>
      <c r="AA990" s="125">
        <v>11.446999999999999</v>
      </c>
      <c r="AB990" s="125">
        <v>113.815</v>
      </c>
      <c r="AC990" s="125">
        <v>1394.6</v>
      </c>
      <c r="AD990" s="125">
        <v>0.79400000000000004</v>
      </c>
      <c r="AE990" s="125">
        <v>184.52</v>
      </c>
      <c r="AF990" s="125">
        <v>70.435649999999995</v>
      </c>
      <c r="AG990" s="125">
        <v>0</v>
      </c>
      <c r="AH990" s="125">
        <v>0</v>
      </c>
      <c r="AI990" s="121">
        <v>1772732</v>
      </c>
      <c r="AJ990" s="121">
        <v>126573</v>
      </c>
      <c r="AK990" s="424">
        <v>12</v>
      </c>
      <c r="AL990">
        <v>0</v>
      </c>
      <c r="AM990" s="121">
        <v>160338</v>
      </c>
      <c r="AN990" s="125">
        <v>0</v>
      </c>
      <c r="AO990" s="125">
        <v>0</v>
      </c>
      <c r="AP990" s="121">
        <v>1899305</v>
      </c>
      <c r="AQ990" s="114">
        <v>0</v>
      </c>
      <c r="AR990" s="121">
        <v>118.95079079999999</v>
      </c>
      <c r="AS990" s="121">
        <v>23374.203925000002</v>
      </c>
      <c r="AT990" s="121">
        <v>3078.3721753999998</v>
      </c>
      <c r="AU990" s="420" t="s">
        <v>2001</v>
      </c>
      <c r="AV990" s="420" t="s">
        <v>2001</v>
      </c>
      <c r="AW990" s="121">
        <v>0</v>
      </c>
      <c r="AX990" s="121">
        <v>864746</v>
      </c>
      <c r="BI990">
        <v>0</v>
      </c>
      <c r="BJ990" s="121">
        <v>0</v>
      </c>
      <c r="BK990" s="134">
        <v>167358834</v>
      </c>
      <c r="BL990" s="934">
        <v>4469</v>
      </c>
      <c r="BM990" s="934">
        <v>4530</v>
      </c>
      <c r="BN990" s="934">
        <v>4449</v>
      </c>
      <c r="BO990" s="114">
        <v>0</v>
      </c>
      <c r="BP990" s="114">
        <v>0</v>
      </c>
    </row>
    <row r="991" spans="1:68">
      <c r="A991" t="s">
        <v>465</v>
      </c>
      <c r="B991" t="s">
        <v>91</v>
      </c>
      <c r="C991" s="121">
        <v>4779</v>
      </c>
      <c r="D991" s="72">
        <v>3</v>
      </c>
      <c r="E991">
        <v>594.29399999999998</v>
      </c>
      <c r="F991">
        <v>185</v>
      </c>
      <c r="G991">
        <v>183</v>
      </c>
      <c r="H991">
        <v>3</v>
      </c>
      <c r="I991" s="173">
        <v>1.04</v>
      </c>
      <c r="J991" s="121">
        <v>385962601</v>
      </c>
      <c r="K991" s="125">
        <v>3298.489</v>
      </c>
      <c r="L991" s="173">
        <v>1.38</v>
      </c>
      <c r="M991">
        <v>1.04</v>
      </c>
      <c r="N991">
        <v>0.92000000459999998</v>
      </c>
      <c r="O991">
        <v>11.999999540000006</v>
      </c>
      <c r="P991">
        <v>2161.9009999999998</v>
      </c>
      <c r="Q991" s="125">
        <v>0.184</v>
      </c>
      <c r="R991" s="125">
        <v>0</v>
      </c>
      <c r="S991" s="125">
        <v>2.8119999999999998</v>
      </c>
      <c r="T991" s="125">
        <v>54.554000000000002</v>
      </c>
      <c r="U991" s="125">
        <v>22.975999999999999</v>
      </c>
      <c r="V991" s="125">
        <v>5.0090000000000003</v>
      </c>
      <c r="W991" s="125">
        <v>0</v>
      </c>
      <c r="X991" s="125">
        <v>0</v>
      </c>
      <c r="Y991" s="125">
        <v>0</v>
      </c>
      <c r="Z991" s="125">
        <v>0</v>
      </c>
      <c r="AA991" s="125">
        <v>46.764000000000003</v>
      </c>
      <c r="AB991" s="125">
        <v>106.298</v>
      </c>
      <c r="AC991" s="125">
        <v>2140.3000000000002</v>
      </c>
      <c r="AD991" s="125">
        <v>0.95299999999999996</v>
      </c>
      <c r="AE991" s="125">
        <v>226.27199999999999</v>
      </c>
      <c r="AF991" s="125">
        <v>108.095</v>
      </c>
      <c r="AG991" s="125">
        <v>0</v>
      </c>
      <c r="AH991" s="125">
        <v>0</v>
      </c>
      <c r="AI991" s="121">
        <v>3519003</v>
      </c>
      <c r="AJ991" s="121">
        <v>355757</v>
      </c>
      <c r="AK991" s="424">
        <v>12</v>
      </c>
      <c r="AL991">
        <v>0</v>
      </c>
      <c r="AM991" s="121">
        <v>113641</v>
      </c>
      <c r="AN991" s="125">
        <v>0</v>
      </c>
      <c r="AO991" s="125">
        <v>0</v>
      </c>
      <c r="AP991" s="121">
        <v>3874760</v>
      </c>
      <c r="AQ991" s="114">
        <v>0</v>
      </c>
      <c r="AR991" s="121">
        <v>257.26703744000002</v>
      </c>
      <c r="AS991" s="121">
        <v>50553.780736000001</v>
      </c>
      <c r="AT991" s="121">
        <v>6657.9102534000003</v>
      </c>
      <c r="AU991" s="420" t="s">
        <v>2001</v>
      </c>
      <c r="AV991" s="420" t="s">
        <v>2001</v>
      </c>
      <c r="AW991" s="121">
        <v>0</v>
      </c>
      <c r="AX991" s="121">
        <v>1249179</v>
      </c>
      <c r="BI991">
        <v>0</v>
      </c>
      <c r="BJ991" s="121">
        <v>0</v>
      </c>
      <c r="BK991" s="134">
        <v>342822406</v>
      </c>
      <c r="BL991" s="934">
        <v>4650</v>
      </c>
      <c r="BM991" s="934">
        <v>4724</v>
      </c>
      <c r="BN991" s="934">
        <v>4779</v>
      </c>
      <c r="BO991" s="114">
        <v>0</v>
      </c>
      <c r="BP991" s="114">
        <v>0</v>
      </c>
    </row>
    <row r="992" spans="1:68">
      <c r="A992" t="s">
        <v>308</v>
      </c>
      <c r="B992" t="s">
        <v>580</v>
      </c>
      <c r="C992" s="121">
        <v>4486</v>
      </c>
      <c r="D992" s="72">
        <v>1</v>
      </c>
      <c r="E992">
        <v>70.736000000000004</v>
      </c>
      <c r="F992">
        <v>27</v>
      </c>
      <c r="G992">
        <v>23</v>
      </c>
      <c r="H992">
        <v>0</v>
      </c>
      <c r="I992" s="173">
        <v>1.04</v>
      </c>
      <c r="J992" s="121">
        <v>61143013</v>
      </c>
      <c r="K992" s="125">
        <v>596.31700000000001</v>
      </c>
      <c r="L992" s="173">
        <v>1.5</v>
      </c>
      <c r="M992">
        <v>1.04</v>
      </c>
      <c r="N992">
        <v>1.000000005</v>
      </c>
      <c r="O992">
        <v>3.9999995000000066</v>
      </c>
      <c r="P992">
        <v>272.49799999999999</v>
      </c>
      <c r="Q992" s="125">
        <v>0</v>
      </c>
      <c r="R992" s="125">
        <v>0</v>
      </c>
      <c r="S992" s="125">
        <v>0.17899999999999999</v>
      </c>
      <c r="T992" s="125">
        <v>4.3659999999999997</v>
      </c>
      <c r="U992" s="125">
        <v>0.33500000000000002</v>
      </c>
      <c r="V992" s="125">
        <v>1.0980000000000001</v>
      </c>
      <c r="W992" s="125">
        <v>0</v>
      </c>
      <c r="X992" s="125">
        <v>0</v>
      </c>
      <c r="Y992" s="125">
        <v>0</v>
      </c>
      <c r="Z992" s="125">
        <v>0</v>
      </c>
      <c r="AA992" s="125">
        <v>20.588000000000001</v>
      </c>
      <c r="AB992" s="125">
        <v>17.02</v>
      </c>
      <c r="AC992" s="125">
        <v>254.3</v>
      </c>
      <c r="AD992" s="125">
        <v>0</v>
      </c>
      <c r="AE992" s="125">
        <v>32.713999999999999</v>
      </c>
      <c r="AF992" s="125">
        <v>13.6249</v>
      </c>
      <c r="AG992" s="125">
        <v>0</v>
      </c>
      <c r="AH992" s="125">
        <v>0</v>
      </c>
      <c r="AI992" s="121">
        <v>583079</v>
      </c>
      <c r="AJ992" s="121">
        <v>39184</v>
      </c>
      <c r="AK992" s="424">
        <v>12</v>
      </c>
      <c r="AL992">
        <v>0</v>
      </c>
      <c r="AM992" s="121">
        <v>30874</v>
      </c>
      <c r="AN992" s="125">
        <v>0</v>
      </c>
      <c r="AO992" s="125">
        <v>0</v>
      </c>
      <c r="AP992" s="121">
        <v>622263</v>
      </c>
      <c r="AQ992" s="114">
        <v>0</v>
      </c>
      <c r="AR992" s="121">
        <v>40.755456037000002</v>
      </c>
      <c r="AS992" s="121">
        <v>8008.5750928999996</v>
      </c>
      <c r="AT992" s="121">
        <v>1054.7257485</v>
      </c>
      <c r="AU992" s="420" t="s">
        <v>2001</v>
      </c>
      <c r="AV992" s="420" t="s">
        <v>2001</v>
      </c>
      <c r="AW992" s="121">
        <v>0</v>
      </c>
      <c r="AX992" s="121">
        <v>238968</v>
      </c>
      <c r="BI992">
        <v>0</v>
      </c>
      <c r="BJ992" s="121">
        <v>0</v>
      </c>
      <c r="BK992" s="134">
        <v>57414537</v>
      </c>
      <c r="BL992" s="934">
        <v>4486</v>
      </c>
      <c r="BM992" s="934">
        <v>4274</v>
      </c>
      <c r="BN992" s="934">
        <v>4274</v>
      </c>
      <c r="BO992" s="114">
        <v>0</v>
      </c>
      <c r="BP992" s="114">
        <v>0</v>
      </c>
    </row>
    <row r="993" spans="1:68">
      <c r="A993" t="s">
        <v>1514</v>
      </c>
      <c r="B993" t="s">
        <v>130</v>
      </c>
      <c r="C993" s="121">
        <v>5045</v>
      </c>
      <c r="D993" s="72">
        <v>2</v>
      </c>
      <c r="E993">
        <v>307.11799999999999</v>
      </c>
      <c r="F993">
        <v>86</v>
      </c>
      <c r="G993">
        <v>70</v>
      </c>
      <c r="H993">
        <v>16</v>
      </c>
      <c r="I993" s="173">
        <v>1.04</v>
      </c>
      <c r="J993" s="121">
        <v>221589723</v>
      </c>
      <c r="K993" s="125">
        <v>1534.1610000000001</v>
      </c>
      <c r="L993" s="173">
        <v>1.5</v>
      </c>
      <c r="M993">
        <v>1.04</v>
      </c>
      <c r="N993">
        <v>1.000000005</v>
      </c>
      <c r="O993">
        <v>3.9999995000000066</v>
      </c>
      <c r="P993">
        <v>963.61400000000003</v>
      </c>
      <c r="Q993" s="125">
        <v>0</v>
      </c>
      <c r="R993" s="125">
        <v>0.10199999999999999</v>
      </c>
      <c r="S993" s="125">
        <v>2.069</v>
      </c>
      <c r="T993" s="125">
        <v>26.355</v>
      </c>
      <c r="U993" s="125">
        <v>13.256</v>
      </c>
      <c r="V993" s="125">
        <v>0</v>
      </c>
      <c r="W993" s="125">
        <v>2.7040000000000002</v>
      </c>
      <c r="X993" s="125">
        <v>0</v>
      </c>
      <c r="Y993" s="125">
        <v>0</v>
      </c>
      <c r="Z993" s="125">
        <v>3.698</v>
      </c>
      <c r="AA993" s="125">
        <v>38.441000000000003</v>
      </c>
      <c r="AB993" s="125">
        <v>50.665999999999997</v>
      </c>
      <c r="AC993" s="125">
        <v>614.20000000000005</v>
      </c>
      <c r="AD993" s="125">
        <v>0.53</v>
      </c>
      <c r="AE993" s="125">
        <v>86.804000000000002</v>
      </c>
      <c r="AF993" s="125">
        <v>48.180700000000002</v>
      </c>
      <c r="AG993" s="125">
        <v>0</v>
      </c>
      <c r="AH993" s="125">
        <v>0</v>
      </c>
      <c r="AI993" s="121">
        <v>2358434</v>
      </c>
      <c r="AJ993" s="121">
        <v>430151</v>
      </c>
      <c r="AK993" s="424">
        <v>12</v>
      </c>
      <c r="AL993">
        <v>0</v>
      </c>
      <c r="AM993" s="121">
        <v>102730</v>
      </c>
      <c r="AN993" s="125">
        <v>0</v>
      </c>
      <c r="AO993" s="125">
        <v>0</v>
      </c>
      <c r="AP993" s="121">
        <v>2788585</v>
      </c>
      <c r="AQ993" s="114">
        <v>0</v>
      </c>
      <c r="AR993" s="121">
        <v>147.70273451</v>
      </c>
      <c r="AS993" s="121">
        <v>29024.051151</v>
      </c>
      <c r="AT993" s="121">
        <v>3822.4545216000001</v>
      </c>
      <c r="AU993" s="420" t="s">
        <v>2001</v>
      </c>
      <c r="AV993" s="420" t="s">
        <v>2001</v>
      </c>
      <c r="AW993" s="121">
        <v>0</v>
      </c>
      <c r="AX993" s="121">
        <v>908478</v>
      </c>
      <c r="BI993">
        <v>0</v>
      </c>
      <c r="BJ993" s="121">
        <v>0</v>
      </c>
      <c r="BK993" s="134">
        <v>215973767</v>
      </c>
      <c r="BL993" s="934">
        <v>4660</v>
      </c>
      <c r="BM993" s="934">
        <v>5045</v>
      </c>
      <c r="BN993" s="934">
        <v>5001</v>
      </c>
      <c r="BO993" s="114">
        <v>0</v>
      </c>
      <c r="BP993" s="114">
        <v>0</v>
      </c>
    </row>
    <row r="994" spans="1:68">
      <c r="A994" t="s">
        <v>2975</v>
      </c>
      <c r="B994" t="s">
        <v>2650</v>
      </c>
      <c r="C994" s="121">
        <v>5751</v>
      </c>
      <c r="D994" s="72">
        <v>2</v>
      </c>
      <c r="E994">
        <v>2739.355</v>
      </c>
      <c r="F994">
        <v>831</v>
      </c>
      <c r="G994">
        <v>812</v>
      </c>
      <c r="H994">
        <v>42</v>
      </c>
      <c r="I994" s="173">
        <v>1.04</v>
      </c>
      <c r="J994" s="121">
        <v>4512696679</v>
      </c>
      <c r="K994" s="125">
        <v>11438.779</v>
      </c>
      <c r="L994" s="173">
        <v>1.5</v>
      </c>
      <c r="M994">
        <v>1.04</v>
      </c>
      <c r="N994">
        <v>1.000000005</v>
      </c>
      <c r="O994">
        <v>3.9999995000000066</v>
      </c>
      <c r="P994">
        <v>9392.5499999999993</v>
      </c>
      <c r="Q994" s="125">
        <v>0.22900000000000001</v>
      </c>
      <c r="R994" s="125">
        <v>2.3319999999999999</v>
      </c>
      <c r="S994" s="125">
        <v>17.568000000000001</v>
      </c>
      <c r="T994" s="125">
        <v>191.239</v>
      </c>
      <c r="U994" s="125">
        <v>55.420999999999999</v>
      </c>
      <c r="V994" s="125">
        <v>0.68100000000000005</v>
      </c>
      <c r="W994" s="125">
        <v>27.47</v>
      </c>
      <c r="X994" s="125">
        <v>0</v>
      </c>
      <c r="Y994" s="125">
        <v>0.96099999999999997</v>
      </c>
      <c r="Z994" s="125">
        <v>4.4790000000000001</v>
      </c>
      <c r="AA994" s="125">
        <v>49.545000000000002</v>
      </c>
      <c r="AB994" s="125">
        <v>352.01499999999999</v>
      </c>
      <c r="AC994" s="125">
        <v>3838.8</v>
      </c>
      <c r="AD994" s="125">
        <v>2.988</v>
      </c>
      <c r="AE994" s="125">
        <v>642.18299999999999</v>
      </c>
      <c r="AF994" s="125">
        <v>445.529</v>
      </c>
      <c r="AG994" s="125">
        <v>0</v>
      </c>
      <c r="AH994" s="125">
        <v>0</v>
      </c>
      <c r="AI994" s="121">
        <v>48293075</v>
      </c>
      <c r="AJ994" s="121">
        <v>10094926</v>
      </c>
      <c r="AK994" s="424">
        <v>12</v>
      </c>
      <c r="AL994">
        <v>0</v>
      </c>
      <c r="AM994" s="121">
        <v>1013497</v>
      </c>
      <c r="AN994" s="125">
        <v>1</v>
      </c>
      <c r="AO994" s="125">
        <v>0</v>
      </c>
      <c r="AP994" s="121">
        <v>58388001</v>
      </c>
      <c r="AQ994" s="114">
        <v>0</v>
      </c>
      <c r="AR994" s="121">
        <v>0</v>
      </c>
      <c r="AS994" s="121">
        <v>0</v>
      </c>
      <c r="AT994" s="121">
        <v>0</v>
      </c>
      <c r="AU994" s="420" t="s">
        <v>798</v>
      </c>
      <c r="AV994" s="420" t="s">
        <v>2001</v>
      </c>
      <c r="AW994" s="121">
        <v>0</v>
      </c>
      <c r="AX994" s="121">
        <v>12165240</v>
      </c>
      <c r="AY994" s="134">
        <v>1747322</v>
      </c>
      <c r="AZ994" s="134">
        <v>14414703</v>
      </c>
      <c r="BA994" s="134">
        <v>6090</v>
      </c>
      <c r="BB994" s="134">
        <v>681532257</v>
      </c>
      <c r="BC994" s="114">
        <v>0</v>
      </c>
      <c r="BD994" s="114">
        <v>0</v>
      </c>
      <c r="BE994" s="114">
        <v>0</v>
      </c>
      <c r="BF994" s="134">
        <v>9902</v>
      </c>
      <c r="BG994" s="114">
        <v>0</v>
      </c>
      <c r="BH994" s="114">
        <v>0</v>
      </c>
      <c r="BI994">
        <v>0</v>
      </c>
      <c r="BJ994" s="121">
        <v>0</v>
      </c>
      <c r="BK994" s="134">
        <v>4512696679</v>
      </c>
      <c r="BL994" s="934">
        <v>5611</v>
      </c>
      <c r="BM994" s="934">
        <v>5751</v>
      </c>
      <c r="BN994" s="934">
        <v>5747</v>
      </c>
      <c r="BO994" s="114">
        <v>0</v>
      </c>
      <c r="BP994" s="114">
        <v>0</v>
      </c>
    </row>
    <row r="995" spans="1:68">
      <c r="A995" t="s">
        <v>2038</v>
      </c>
      <c r="B995" t="s">
        <v>1153</v>
      </c>
      <c r="C995" s="121">
        <v>4621</v>
      </c>
      <c r="D995" s="72">
        <v>3</v>
      </c>
      <c r="E995">
        <v>150.37100000000001</v>
      </c>
      <c r="F995">
        <v>47</v>
      </c>
      <c r="G995">
        <v>16</v>
      </c>
      <c r="H995">
        <v>0</v>
      </c>
      <c r="I995" s="173">
        <v>1.02</v>
      </c>
      <c r="J995" s="121">
        <v>91426035</v>
      </c>
      <c r="K995" s="125">
        <v>812.178</v>
      </c>
      <c r="L995" s="173">
        <v>1.48</v>
      </c>
      <c r="M995">
        <v>1.02</v>
      </c>
      <c r="N995">
        <v>0.98666667159999999</v>
      </c>
      <c r="O995">
        <v>3.3333328400000029</v>
      </c>
      <c r="P995">
        <v>478.197</v>
      </c>
      <c r="Q995" s="125">
        <v>0</v>
      </c>
      <c r="R995" s="125">
        <v>0</v>
      </c>
      <c r="S995" s="125">
        <v>0.51500000000000001</v>
      </c>
      <c r="T995" s="125">
        <v>10.707000000000001</v>
      </c>
      <c r="U995" s="125">
        <v>0</v>
      </c>
      <c r="V995" s="125">
        <v>1.81</v>
      </c>
      <c r="W995" s="125">
        <v>0</v>
      </c>
      <c r="X995" s="125">
        <v>0</v>
      </c>
      <c r="Y995" s="125">
        <v>0</v>
      </c>
      <c r="Z995" s="125">
        <v>0</v>
      </c>
      <c r="AA995" s="125">
        <v>34.906999999999996</v>
      </c>
      <c r="AB995" s="125">
        <v>28.84</v>
      </c>
      <c r="AC995" s="125">
        <v>280.10000000000002</v>
      </c>
      <c r="AD995" s="125">
        <v>0</v>
      </c>
      <c r="AE995" s="125">
        <v>39.234000000000002</v>
      </c>
      <c r="AF995" s="125">
        <v>23.909849999999999</v>
      </c>
      <c r="AG995" s="125">
        <v>0</v>
      </c>
      <c r="AH995" s="125">
        <v>0</v>
      </c>
      <c r="AI995" s="121">
        <v>975542</v>
      </c>
      <c r="AJ995" s="121">
        <v>57174</v>
      </c>
      <c r="AK995" s="424">
        <v>12</v>
      </c>
      <c r="AL995">
        <v>0</v>
      </c>
      <c r="AM995" s="121">
        <v>44191</v>
      </c>
      <c r="AN995" s="125">
        <v>0</v>
      </c>
      <c r="AO995" s="125">
        <v>0</v>
      </c>
      <c r="AP995" s="121">
        <v>1032716</v>
      </c>
      <c r="AQ995" s="114">
        <v>0</v>
      </c>
      <c r="AR995" s="121">
        <v>60.940891684</v>
      </c>
      <c r="AS995" s="121">
        <v>11975.076585000001</v>
      </c>
      <c r="AT995" s="121">
        <v>1577.1122163</v>
      </c>
      <c r="AU995" s="420" t="s">
        <v>2001</v>
      </c>
      <c r="AV995" s="420" t="s">
        <v>2001</v>
      </c>
      <c r="AW995" s="121">
        <v>0</v>
      </c>
      <c r="AX995" s="121">
        <v>104656</v>
      </c>
      <c r="BI995">
        <v>0</v>
      </c>
      <c r="BJ995" s="121">
        <v>0</v>
      </c>
      <c r="BK995" s="134">
        <v>91086982</v>
      </c>
      <c r="BL995" s="934">
        <v>4490</v>
      </c>
      <c r="BM995" s="934">
        <v>4608</v>
      </c>
      <c r="BN995" s="934">
        <v>4621</v>
      </c>
      <c r="BO995" s="114">
        <v>0</v>
      </c>
      <c r="BP995" s="114">
        <v>0</v>
      </c>
    </row>
    <row r="996" spans="1:68">
      <c r="A996" t="s">
        <v>47</v>
      </c>
      <c r="B996" t="s">
        <v>1440</v>
      </c>
      <c r="C996" s="121">
        <v>5139</v>
      </c>
      <c r="D996" s="72">
        <v>3</v>
      </c>
      <c r="E996">
        <v>998.15300000000002</v>
      </c>
      <c r="F996">
        <v>333</v>
      </c>
      <c r="G996">
        <v>186</v>
      </c>
      <c r="H996">
        <v>1</v>
      </c>
      <c r="I996" s="173">
        <v>1.04</v>
      </c>
      <c r="J996" s="121">
        <v>1188911912</v>
      </c>
      <c r="K996" s="125">
        <v>5856.39</v>
      </c>
      <c r="L996" s="173">
        <v>1.49</v>
      </c>
      <c r="M996">
        <v>1.04</v>
      </c>
      <c r="N996">
        <v>0.99333333830000003</v>
      </c>
      <c r="O996">
        <v>4.6666661700000001</v>
      </c>
      <c r="P996">
        <v>5093</v>
      </c>
      <c r="Q996" s="125">
        <v>3.4000000000000002E-2</v>
      </c>
      <c r="R996" s="125">
        <v>0</v>
      </c>
      <c r="S996" s="125">
        <v>7.1340000000000003</v>
      </c>
      <c r="T996" s="125">
        <v>77.787999999999997</v>
      </c>
      <c r="U996" s="125">
        <v>34.067999999999998</v>
      </c>
      <c r="V996" s="125">
        <v>10.978</v>
      </c>
      <c r="W996" s="125">
        <v>0</v>
      </c>
      <c r="X996" s="125">
        <v>0</v>
      </c>
      <c r="Y996" s="125">
        <v>0</v>
      </c>
      <c r="Z996" s="125">
        <v>2.8210000000000002</v>
      </c>
      <c r="AA996" s="125">
        <v>62.616999999999997</v>
      </c>
      <c r="AB996" s="125">
        <v>93.066999999999993</v>
      </c>
      <c r="AC996" s="125">
        <v>956</v>
      </c>
      <c r="AD996" s="125">
        <v>0.69199999999999995</v>
      </c>
      <c r="AE996" s="125">
        <v>198.37799999999999</v>
      </c>
      <c r="AF996" s="125">
        <v>242.84800000000001</v>
      </c>
      <c r="AG996" s="125">
        <v>0</v>
      </c>
      <c r="AH996" s="125">
        <v>0</v>
      </c>
      <c r="AI996" s="121">
        <v>12723260</v>
      </c>
      <c r="AJ996" s="121">
        <v>3360334</v>
      </c>
      <c r="AK996" s="424">
        <v>12</v>
      </c>
      <c r="AL996">
        <v>0</v>
      </c>
      <c r="AM996" s="121">
        <v>197379</v>
      </c>
      <c r="AN996" s="125">
        <v>2</v>
      </c>
      <c r="AO996" s="125">
        <v>0</v>
      </c>
      <c r="AP996" s="121">
        <v>16083594</v>
      </c>
      <c r="AQ996" s="114">
        <v>0</v>
      </c>
      <c r="AR996" s="121">
        <v>792.48052681000001</v>
      </c>
      <c r="AS996" s="121">
        <v>155724.91209</v>
      </c>
      <c r="AT996" s="121">
        <v>20508.901092</v>
      </c>
      <c r="AU996" s="420" t="s">
        <v>2001</v>
      </c>
      <c r="AV996" s="420" t="s">
        <v>2001</v>
      </c>
      <c r="AW996" s="121">
        <v>0</v>
      </c>
      <c r="AX996" s="121">
        <v>6316207</v>
      </c>
      <c r="BI996">
        <v>0</v>
      </c>
      <c r="BJ996" s="121">
        <v>0</v>
      </c>
      <c r="BK996" s="134">
        <v>1188911912</v>
      </c>
      <c r="BL996" s="934">
        <v>5043</v>
      </c>
      <c r="BM996" s="934">
        <v>5117</v>
      </c>
      <c r="BN996" s="934">
        <v>5139</v>
      </c>
      <c r="BO996" s="114">
        <v>0</v>
      </c>
      <c r="BP996" s="114">
        <v>0</v>
      </c>
    </row>
    <row r="997" spans="1:68">
      <c r="A997" t="s">
        <v>11</v>
      </c>
      <c r="B997" t="s">
        <v>1809</v>
      </c>
      <c r="C997" s="121">
        <v>6266</v>
      </c>
      <c r="D997" s="72">
        <v>3</v>
      </c>
      <c r="E997">
        <v>229.096</v>
      </c>
      <c r="F997">
        <v>75</v>
      </c>
      <c r="G997">
        <v>61</v>
      </c>
      <c r="H997">
        <v>0</v>
      </c>
      <c r="I997" s="173">
        <v>1.04</v>
      </c>
      <c r="J997" s="121">
        <v>527274139</v>
      </c>
      <c r="K997" s="125">
        <v>1180.115</v>
      </c>
      <c r="L997" s="173">
        <v>1.5</v>
      </c>
      <c r="M997">
        <v>1.04</v>
      </c>
      <c r="N997">
        <v>1.000000005</v>
      </c>
      <c r="O997">
        <v>3.9999995000000066</v>
      </c>
      <c r="P997">
        <v>778.48299999999995</v>
      </c>
      <c r="Q997" s="125">
        <v>0</v>
      </c>
      <c r="R997" s="125">
        <v>0</v>
      </c>
      <c r="S997" s="125">
        <v>1</v>
      </c>
      <c r="T997" s="125">
        <v>26</v>
      </c>
      <c r="U997" s="125">
        <v>2</v>
      </c>
      <c r="V997" s="125">
        <v>0</v>
      </c>
      <c r="W997" s="125">
        <v>0</v>
      </c>
      <c r="X997" s="125">
        <v>0</v>
      </c>
      <c r="Y997" s="125">
        <v>0</v>
      </c>
      <c r="Z997" s="125">
        <v>0</v>
      </c>
      <c r="AA997" s="125">
        <v>1</v>
      </c>
      <c r="AB997" s="125">
        <v>39</v>
      </c>
      <c r="AC997" s="125">
        <v>381.7</v>
      </c>
      <c r="AD997" s="125">
        <v>0.36399999999999999</v>
      </c>
      <c r="AE997" s="125">
        <v>102</v>
      </c>
      <c r="AF997" s="125">
        <v>38.923999999999999</v>
      </c>
      <c r="AG997" s="125">
        <v>0</v>
      </c>
      <c r="AH997" s="125">
        <v>0</v>
      </c>
      <c r="AI997" s="121">
        <v>5757834</v>
      </c>
      <c r="AJ997" s="121">
        <v>1165278</v>
      </c>
      <c r="AK997" s="424">
        <v>12</v>
      </c>
      <c r="AL997">
        <v>0</v>
      </c>
      <c r="AM997" s="121">
        <v>70174</v>
      </c>
      <c r="AN997" s="125">
        <v>0</v>
      </c>
      <c r="AO997" s="125">
        <v>0</v>
      </c>
      <c r="AP997" s="121">
        <v>6923112</v>
      </c>
      <c r="AQ997" s="114">
        <v>0</v>
      </c>
      <c r="AR997" s="121">
        <v>0</v>
      </c>
      <c r="AS997" s="121">
        <v>0</v>
      </c>
      <c r="AT997" s="121">
        <v>0</v>
      </c>
      <c r="AU997" s="420" t="s">
        <v>798</v>
      </c>
      <c r="AV997" s="72" t="s">
        <v>798</v>
      </c>
      <c r="AW997" s="121">
        <v>0</v>
      </c>
      <c r="AX997" s="121">
        <v>1037949</v>
      </c>
      <c r="AY997" s="134">
        <v>156831</v>
      </c>
      <c r="AZ997" s="134">
        <v>1567371</v>
      </c>
      <c r="BA997" s="114">
        <v>639</v>
      </c>
      <c r="BB997" s="134">
        <v>32322518</v>
      </c>
      <c r="BC997" s="114">
        <v>0</v>
      </c>
      <c r="BD997" s="114">
        <v>0</v>
      </c>
      <c r="BE997" s="114">
        <v>0</v>
      </c>
      <c r="BF997" s="114">
        <v>839</v>
      </c>
      <c r="BG997" s="114">
        <v>0</v>
      </c>
      <c r="BH997" s="114">
        <v>0</v>
      </c>
      <c r="BI997">
        <v>0</v>
      </c>
      <c r="BJ997" s="121">
        <v>0</v>
      </c>
      <c r="BK997" s="134">
        <v>527274139</v>
      </c>
      <c r="BL997" s="934">
        <v>5964</v>
      </c>
      <c r="BM997" s="934">
        <v>6250</v>
      </c>
      <c r="BN997" s="934">
        <v>6266</v>
      </c>
      <c r="BO997" s="114">
        <v>0</v>
      </c>
      <c r="BP997" s="114">
        <v>0</v>
      </c>
    </row>
    <row r="998" spans="1:68">
      <c r="A998" t="s">
        <v>1990</v>
      </c>
      <c r="B998" t="s">
        <v>2826</v>
      </c>
      <c r="C998" s="121">
        <v>5098</v>
      </c>
      <c r="D998" s="72">
        <v>2</v>
      </c>
      <c r="E998">
        <v>674.25599999999997</v>
      </c>
      <c r="F998">
        <v>197</v>
      </c>
      <c r="G998">
        <v>133</v>
      </c>
      <c r="H998">
        <v>10</v>
      </c>
      <c r="I998" s="173">
        <v>1.04</v>
      </c>
      <c r="J998" s="121">
        <v>824843304</v>
      </c>
      <c r="K998" s="125">
        <v>3176.375</v>
      </c>
      <c r="L998" s="173">
        <v>1.5</v>
      </c>
      <c r="M998">
        <v>1.04</v>
      </c>
      <c r="N998">
        <v>1.000000005</v>
      </c>
      <c r="O998">
        <v>3.9999995000000066</v>
      </c>
      <c r="P998">
        <v>2450</v>
      </c>
      <c r="Q998" s="125">
        <v>0</v>
      </c>
      <c r="R998" s="125">
        <v>0.21199999999999999</v>
      </c>
      <c r="S998" s="125">
        <v>4.5</v>
      </c>
      <c r="T998" s="125">
        <v>64.25</v>
      </c>
      <c r="U998" s="125">
        <v>11.5</v>
      </c>
      <c r="V998" s="125">
        <v>0.38500000000000001</v>
      </c>
      <c r="W998" s="125">
        <v>0.125</v>
      </c>
      <c r="X998" s="125">
        <v>0</v>
      </c>
      <c r="Y998" s="125">
        <v>0</v>
      </c>
      <c r="Z998" s="125">
        <v>21.5</v>
      </c>
      <c r="AA998" s="125">
        <v>60</v>
      </c>
      <c r="AB998" s="125">
        <v>81</v>
      </c>
      <c r="AC998" s="125">
        <v>555</v>
      </c>
      <c r="AD998" s="125">
        <v>0</v>
      </c>
      <c r="AE998" s="125">
        <v>63</v>
      </c>
      <c r="AF998" s="125">
        <v>122.5</v>
      </c>
      <c r="AG998" s="125">
        <v>0</v>
      </c>
      <c r="AH998" s="125">
        <v>0</v>
      </c>
      <c r="AI998" s="121">
        <v>9097362</v>
      </c>
      <c r="AJ998" s="121">
        <v>1886353</v>
      </c>
      <c r="AK998" s="424">
        <v>12</v>
      </c>
      <c r="AL998">
        <v>0</v>
      </c>
      <c r="AM998" s="121">
        <v>241642</v>
      </c>
      <c r="AN998" s="125">
        <v>0</v>
      </c>
      <c r="AO998" s="125">
        <v>0</v>
      </c>
      <c r="AP998" s="121">
        <v>10983715</v>
      </c>
      <c r="AQ998" s="114">
        <v>0</v>
      </c>
      <c r="AR998" s="121">
        <v>549.80713834999995</v>
      </c>
      <c r="AS998" s="121">
        <v>108038.82921</v>
      </c>
      <c r="AT998" s="121">
        <v>14228.665360000001</v>
      </c>
      <c r="AU998" s="420" t="s">
        <v>2001</v>
      </c>
      <c r="AV998" s="420" t="s">
        <v>2001</v>
      </c>
      <c r="AW998" s="121">
        <v>0</v>
      </c>
      <c r="AX998" s="121">
        <v>2308090</v>
      </c>
      <c r="BI998">
        <v>0</v>
      </c>
      <c r="BJ998" s="121">
        <v>0</v>
      </c>
      <c r="BK998" s="134">
        <v>824843304</v>
      </c>
      <c r="BL998" s="934">
        <v>4777</v>
      </c>
      <c r="BM998" s="934">
        <v>5098</v>
      </c>
      <c r="BN998" s="934">
        <v>4971</v>
      </c>
      <c r="BO998" s="114">
        <v>0</v>
      </c>
      <c r="BP998" s="114">
        <v>0</v>
      </c>
    </row>
    <row r="999" spans="1:68">
      <c r="A999" t="s">
        <v>1485</v>
      </c>
      <c r="B999" t="s">
        <v>666</v>
      </c>
      <c r="C999" s="121">
        <v>5604</v>
      </c>
      <c r="D999" s="72">
        <v>2</v>
      </c>
      <c r="E999">
        <v>10677.013000000001</v>
      </c>
      <c r="F999">
        <v>3106</v>
      </c>
      <c r="G999">
        <v>1430</v>
      </c>
      <c r="H999">
        <v>469</v>
      </c>
      <c r="I999" s="173">
        <v>1.0169999999999999</v>
      </c>
      <c r="J999" s="121">
        <v>18729055347</v>
      </c>
      <c r="K999" s="125">
        <v>46767.042000000001</v>
      </c>
      <c r="L999" s="173">
        <v>1.4967999999999999</v>
      </c>
      <c r="M999">
        <v>1.0169999999999999</v>
      </c>
      <c r="N999">
        <v>0.99786667165599996</v>
      </c>
      <c r="O999">
        <v>1.9133328343999945</v>
      </c>
      <c r="P999">
        <v>38638.413999999997</v>
      </c>
      <c r="Q999" s="125">
        <v>1.927</v>
      </c>
      <c r="R999" s="125">
        <v>4.0640000000000001</v>
      </c>
      <c r="S999" s="125">
        <v>61.74</v>
      </c>
      <c r="T999" s="125">
        <v>652.6</v>
      </c>
      <c r="U999" s="125">
        <v>228.43899999999999</v>
      </c>
      <c r="V999" s="125">
        <v>11.284000000000001</v>
      </c>
      <c r="W999" s="125">
        <v>36.670999999999999</v>
      </c>
      <c r="X999" s="125">
        <v>0</v>
      </c>
      <c r="Y999" s="125">
        <v>1.2649999999999999</v>
      </c>
      <c r="Z999" s="125">
        <v>36.988</v>
      </c>
      <c r="AA999" s="125">
        <v>950.25699999999995</v>
      </c>
      <c r="AB999" s="125">
        <v>1240.2139999999999</v>
      </c>
      <c r="AC999" s="125">
        <v>10169.1</v>
      </c>
      <c r="AD999" s="125">
        <v>7.056</v>
      </c>
      <c r="AE999" s="125">
        <v>2520.587</v>
      </c>
      <c r="AF999" s="125">
        <v>1931.9206999999999</v>
      </c>
      <c r="AG999" s="125">
        <v>0</v>
      </c>
      <c r="AH999" s="125">
        <v>0</v>
      </c>
      <c r="AI999" s="121">
        <v>199998218</v>
      </c>
      <c r="AJ999" s="121">
        <v>49996234</v>
      </c>
      <c r="AK999" s="424">
        <v>12</v>
      </c>
      <c r="AL999">
        <v>0</v>
      </c>
      <c r="AM999" s="121">
        <v>2011813</v>
      </c>
      <c r="AN999" s="125">
        <v>14.930999999999999</v>
      </c>
      <c r="AO999" s="125">
        <v>0</v>
      </c>
      <c r="AP999" s="121">
        <v>249994452</v>
      </c>
      <c r="AQ999" s="114">
        <v>0</v>
      </c>
      <c r="AR999" s="121">
        <v>0</v>
      </c>
      <c r="AS999" s="121">
        <v>0</v>
      </c>
      <c r="AT999" s="121">
        <v>0</v>
      </c>
      <c r="AU999" s="420" t="s">
        <v>798</v>
      </c>
      <c r="AV999" s="420" t="s">
        <v>2001</v>
      </c>
      <c r="AW999" s="121">
        <v>0</v>
      </c>
      <c r="AX999" s="121">
        <v>54350383</v>
      </c>
      <c r="AY999" s="134">
        <v>12992040</v>
      </c>
      <c r="AZ999" s="134">
        <v>57736183</v>
      </c>
      <c r="BA999" s="134">
        <v>24421</v>
      </c>
      <c r="BB999" s="134">
        <v>3097311693</v>
      </c>
      <c r="BC999" s="114">
        <v>0</v>
      </c>
      <c r="BD999" s="114">
        <v>0</v>
      </c>
      <c r="BE999" s="114">
        <v>0</v>
      </c>
      <c r="BF999" s="134">
        <v>40398</v>
      </c>
      <c r="BG999" s="114">
        <v>0</v>
      </c>
      <c r="BH999" s="114">
        <v>0</v>
      </c>
      <c r="BI999">
        <v>0</v>
      </c>
      <c r="BJ999" s="121">
        <v>0</v>
      </c>
      <c r="BK999" s="134">
        <v>18729055347</v>
      </c>
      <c r="BL999" s="934">
        <v>5257</v>
      </c>
      <c r="BM999" s="934">
        <v>5604</v>
      </c>
      <c r="BN999" s="934">
        <v>5458</v>
      </c>
      <c r="BO999" s="114">
        <v>0</v>
      </c>
      <c r="BP999" s="114">
        <v>0</v>
      </c>
    </row>
    <row r="1000" spans="1:68">
      <c r="A1000" t="s">
        <v>1738</v>
      </c>
      <c r="B1000" t="s">
        <v>657</v>
      </c>
      <c r="C1000" s="121">
        <v>4669</v>
      </c>
      <c r="D1000" s="72">
        <v>2</v>
      </c>
      <c r="E1000">
        <v>859.08</v>
      </c>
      <c r="F1000">
        <v>275</v>
      </c>
      <c r="G1000">
        <v>296</v>
      </c>
      <c r="H1000">
        <v>32</v>
      </c>
      <c r="I1000" s="173">
        <v>1.04</v>
      </c>
      <c r="J1000" s="121">
        <v>752956539</v>
      </c>
      <c r="K1000" s="125">
        <v>4001.328</v>
      </c>
      <c r="L1000" s="173">
        <v>1.5</v>
      </c>
      <c r="M1000">
        <v>1.04</v>
      </c>
      <c r="N1000">
        <v>1.000000005</v>
      </c>
      <c r="O1000">
        <v>3.9999995000000066</v>
      </c>
      <c r="P1000">
        <v>2919.42</v>
      </c>
      <c r="Q1000" s="125">
        <v>0.19</v>
      </c>
      <c r="R1000" s="125">
        <v>2.0299999999999998</v>
      </c>
      <c r="S1000" s="125">
        <v>4.9020000000000001</v>
      </c>
      <c r="T1000" s="125">
        <v>72.650000000000006</v>
      </c>
      <c r="U1000" s="125">
        <v>30.503</v>
      </c>
      <c r="V1000" s="125">
        <v>4.6159999999999997</v>
      </c>
      <c r="W1000" s="125">
        <v>0</v>
      </c>
      <c r="X1000" s="125">
        <v>0</v>
      </c>
      <c r="Y1000" s="125">
        <v>0</v>
      </c>
      <c r="Z1000" s="125">
        <v>1.776</v>
      </c>
      <c r="AA1000" s="125">
        <v>18.483000000000001</v>
      </c>
      <c r="AB1000" s="125">
        <v>113.2</v>
      </c>
      <c r="AC1000" s="125">
        <v>2036</v>
      </c>
      <c r="AD1000" s="125">
        <v>1.637</v>
      </c>
      <c r="AE1000" s="125">
        <v>268.86</v>
      </c>
      <c r="AF1000" s="125">
        <v>145.971</v>
      </c>
      <c r="AG1000" s="125">
        <v>0</v>
      </c>
      <c r="AH1000" s="125">
        <v>0</v>
      </c>
      <c r="AI1000" s="121">
        <v>8140063</v>
      </c>
      <c r="AJ1000" s="121">
        <v>1190412</v>
      </c>
      <c r="AK1000" s="424">
        <v>12</v>
      </c>
      <c r="AL1000">
        <v>0</v>
      </c>
      <c r="AM1000" s="121">
        <v>285114</v>
      </c>
      <c r="AN1000" s="125">
        <v>1</v>
      </c>
      <c r="AO1000" s="125">
        <v>0</v>
      </c>
      <c r="AP1000" s="121">
        <v>9330475</v>
      </c>
      <c r="AQ1000" s="114">
        <v>0</v>
      </c>
      <c r="AR1000" s="121">
        <v>501.89033238000002</v>
      </c>
      <c r="AS1000" s="121">
        <v>98623.026366000006</v>
      </c>
      <c r="AT1000" s="121">
        <v>12988.608346999999</v>
      </c>
      <c r="AU1000" s="420" t="s">
        <v>2001</v>
      </c>
      <c r="AV1000" s="420" t="s">
        <v>2001</v>
      </c>
      <c r="AW1000" s="121">
        <v>0</v>
      </c>
      <c r="AX1000" s="121">
        <v>1651528</v>
      </c>
      <c r="BI1000">
        <v>0</v>
      </c>
      <c r="BJ1000" s="121">
        <v>0</v>
      </c>
      <c r="BK1000" s="134">
        <v>752956539</v>
      </c>
      <c r="BL1000" s="934">
        <v>4634</v>
      </c>
      <c r="BM1000" s="934">
        <v>4669</v>
      </c>
      <c r="BN1000" s="934">
        <v>4669</v>
      </c>
      <c r="BO1000" s="114">
        <v>0</v>
      </c>
      <c r="BP1000" s="114">
        <v>0</v>
      </c>
    </row>
    <row r="1001" spans="1:68">
      <c r="A1001" t="s">
        <v>1708</v>
      </c>
      <c r="B1001" t="s">
        <v>659</v>
      </c>
      <c r="C1001" s="121">
        <v>4673</v>
      </c>
      <c r="D1001" s="72">
        <v>2</v>
      </c>
      <c r="E1001">
        <v>168.017</v>
      </c>
      <c r="F1001">
        <v>46</v>
      </c>
      <c r="G1001">
        <v>22</v>
      </c>
      <c r="H1001">
        <v>3</v>
      </c>
      <c r="I1001" s="173">
        <v>1.04</v>
      </c>
      <c r="J1001" s="121">
        <v>138959189</v>
      </c>
      <c r="K1001" s="125">
        <v>878.88199999999995</v>
      </c>
      <c r="L1001" s="173">
        <v>1.5</v>
      </c>
      <c r="M1001">
        <v>1.04</v>
      </c>
      <c r="N1001">
        <v>1.000000005</v>
      </c>
      <c r="O1001">
        <v>3.9999995000000066</v>
      </c>
      <c r="P1001">
        <v>566.70000000000005</v>
      </c>
      <c r="Q1001" s="125">
        <v>0.13300000000000001</v>
      </c>
      <c r="R1001" s="125">
        <v>0</v>
      </c>
      <c r="S1001" s="125">
        <v>1.06</v>
      </c>
      <c r="T1001" s="125">
        <v>17.454000000000001</v>
      </c>
      <c r="U1001" s="125">
        <v>2.7280000000000002</v>
      </c>
      <c r="V1001" s="125">
        <v>1.38</v>
      </c>
      <c r="W1001" s="125">
        <v>0</v>
      </c>
      <c r="X1001" s="125">
        <v>0</v>
      </c>
      <c r="Y1001" s="125">
        <v>0</v>
      </c>
      <c r="Z1001" s="125">
        <v>0</v>
      </c>
      <c r="AA1001" s="125">
        <v>9.5879999999999992</v>
      </c>
      <c r="AB1001" s="125">
        <v>31.265999999999998</v>
      </c>
      <c r="AC1001" s="125">
        <v>183.2</v>
      </c>
      <c r="AD1001" s="125">
        <v>0.20499999999999999</v>
      </c>
      <c r="AE1001" s="125">
        <v>4.4690000000000003</v>
      </c>
      <c r="AF1001" s="125">
        <v>28.335000000000001</v>
      </c>
      <c r="AG1001" s="125">
        <v>0</v>
      </c>
      <c r="AH1001" s="125">
        <v>0</v>
      </c>
      <c r="AI1001" s="121">
        <v>1435019</v>
      </c>
      <c r="AJ1001" s="121">
        <v>158688</v>
      </c>
      <c r="AK1001" s="424">
        <v>12</v>
      </c>
      <c r="AL1001">
        <v>0</v>
      </c>
      <c r="AM1001" s="121">
        <v>68291</v>
      </c>
      <c r="AN1001" s="125">
        <v>0</v>
      </c>
      <c r="AO1001" s="125">
        <v>0</v>
      </c>
      <c r="AP1001" s="121">
        <v>1593707</v>
      </c>
      <c r="AQ1001" s="114">
        <v>0</v>
      </c>
      <c r="AR1001" s="121">
        <v>92.624567474000003</v>
      </c>
      <c r="AS1001" s="121">
        <v>18201.018370999998</v>
      </c>
      <c r="AT1001" s="121">
        <v>2397.0659577000001</v>
      </c>
      <c r="AU1001" s="420" t="s">
        <v>2001</v>
      </c>
      <c r="AV1001" s="420" t="s">
        <v>2001</v>
      </c>
      <c r="AW1001" s="121">
        <v>0</v>
      </c>
      <c r="AX1001" s="121">
        <v>292162</v>
      </c>
      <c r="BI1001">
        <v>0</v>
      </c>
      <c r="BJ1001" s="121">
        <v>0</v>
      </c>
      <c r="BK1001" s="134">
        <v>135476319</v>
      </c>
      <c r="BL1001" s="934">
        <v>4666</v>
      </c>
      <c r="BM1001" s="934">
        <v>4673</v>
      </c>
      <c r="BN1001" s="934">
        <v>4673</v>
      </c>
      <c r="BO1001" s="114">
        <v>0</v>
      </c>
      <c r="BP1001" s="114">
        <v>0</v>
      </c>
    </row>
    <row r="1002" spans="1:68">
      <c r="A1002" t="s">
        <v>1988</v>
      </c>
      <c r="B1002" t="s">
        <v>2824</v>
      </c>
      <c r="C1002" s="121">
        <v>5565</v>
      </c>
      <c r="D1002" s="72">
        <v>2</v>
      </c>
      <c r="E1002">
        <v>6281.2209999999995</v>
      </c>
      <c r="F1002">
        <v>2088</v>
      </c>
      <c r="G1002">
        <v>950</v>
      </c>
      <c r="H1002">
        <v>345</v>
      </c>
      <c r="I1002" s="173">
        <v>1.0058</v>
      </c>
      <c r="J1002" s="121">
        <v>11049255518</v>
      </c>
      <c r="K1002" s="125">
        <v>31382.819</v>
      </c>
      <c r="L1002" s="173">
        <v>1.4490000000000001</v>
      </c>
      <c r="M1002">
        <v>1.0058</v>
      </c>
      <c r="N1002">
        <v>0.96600000483000004</v>
      </c>
      <c r="O1002">
        <v>3.9799995169999991</v>
      </c>
      <c r="P1002">
        <v>26248.623</v>
      </c>
      <c r="Q1002" s="125">
        <v>1.796</v>
      </c>
      <c r="R1002" s="125">
        <v>3.2869999999999999</v>
      </c>
      <c r="S1002" s="125">
        <v>37.978999999999999</v>
      </c>
      <c r="T1002" s="125">
        <v>662.72699999999998</v>
      </c>
      <c r="U1002" s="125">
        <v>193.15600000000001</v>
      </c>
      <c r="V1002" s="125">
        <v>5.2510000000000003</v>
      </c>
      <c r="W1002" s="125">
        <v>61.962000000000003</v>
      </c>
      <c r="X1002" s="125">
        <v>0</v>
      </c>
      <c r="Y1002" s="125">
        <v>0</v>
      </c>
      <c r="Z1002" s="125">
        <v>8.9749999999999996</v>
      </c>
      <c r="AA1002" s="125">
        <v>557.20699999999999</v>
      </c>
      <c r="AB1002" s="125">
        <v>674.82600000000002</v>
      </c>
      <c r="AC1002" s="125">
        <v>4808</v>
      </c>
      <c r="AD1002" s="125">
        <v>2.923</v>
      </c>
      <c r="AE1002" s="125">
        <v>933.98099999999999</v>
      </c>
      <c r="AF1002" s="125">
        <v>1312.431</v>
      </c>
      <c r="AG1002" s="125">
        <v>0</v>
      </c>
      <c r="AH1002" s="125">
        <v>0</v>
      </c>
      <c r="AI1002" s="121">
        <v>116690083</v>
      </c>
      <c r="AJ1002" s="121">
        <v>29184751</v>
      </c>
      <c r="AK1002" s="424">
        <v>12</v>
      </c>
      <c r="AL1002">
        <v>0</v>
      </c>
      <c r="AM1002" s="121">
        <v>1689218</v>
      </c>
      <c r="AN1002" s="125">
        <v>7</v>
      </c>
      <c r="AO1002" s="125">
        <v>0</v>
      </c>
      <c r="AP1002" s="121">
        <v>145874834</v>
      </c>
      <c r="AQ1002" s="114">
        <v>0</v>
      </c>
      <c r="AR1002" s="121">
        <v>7364.9862074000002</v>
      </c>
      <c r="AS1002" s="121">
        <v>1447242.9175</v>
      </c>
      <c r="AT1002" s="121">
        <v>190601.24325999999</v>
      </c>
      <c r="AU1002" s="420" t="s">
        <v>798</v>
      </c>
      <c r="AV1002" s="420" t="s">
        <v>2001</v>
      </c>
      <c r="AW1002" s="121">
        <v>0</v>
      </c>
      <c r="AX1002" s="121">
        <v>33953987</v>
      </c>
      <c r="AY1002" s="134">
        <v>3269958</v>
      </c>
      <c r="AZ1002" s="134">
        <v>18082919</v>
      </c>
      <c r="BA1002" s="134">
        <v>7448</v>
      </c>
      <c r="BB1002" s="134">
        <v>1098941496</v>
      </c>
      <c r="BC1002" s="114">
        <v>0</v>
      </c>
      <c r="BD1002" s="114">
        <v>0</v>
      </c>
      <c r="BE1002" s="114">
        <v>0</v>
      </c>
      <c r="BF1002" s="134">
        <v>26443</v>
      </c>
      <c r="BG1002" s="114">
        <v>0</v>
      </c>
      <c r="BH1002" s="114">
        <v>0</v>
      </c>
      <c r="BI1002">
        <v>0</v>
      </c>
      <c r="BJ1002" s="121">
        <v>0</v>
      </c>
      <c r="BK1002" s="134">
        <v>11049255518</v>
      </c>
      <c r="BL1002" s="934">
        <v>5248</v>
      </c>
      <c r="BM1002" s="934">
        <v>5565</v>
      </c>
      <c r="BN1002" s="934">
        <v>5429</v>
      </c>
      <c r="BO1002" s="114">
        <v>0</v>
      </c>
      <c r="BP1002" s="114">
        <v>0</v>
      </c>
    </row>
    <row r="1003" spans="1:68">
      <c r="A1003" t="s">
        <v>12</v>
      </c>
      <c r="B1003" t="s">
        <v>1810</v>
      </c>
      <c r="C1003" s="121">
        <v>4977</v>
      </c>
      <c r="D1003" s="72">
        <v>2</v>
      </c>
      <c r="E1003">
        <v>0</v>
      </c>
      <c r="F1003">
        <v>13</v>
      </c>
      <c r="G1003">
        <v>7</v>
      </c>
      <c r="H1003">
        <v>1</v>
      </c>
      <c r="I1003" s="173">
        <v>1.04</v>
      </c>
      <c r="J1003" s="121">
        <v>52690272</v>
      </c>
      <c r="K1003" s="125">
        <v>174.05699999999999</v>
      </c>
      <c r="L1003" s="173">
        <v>1.5</v>
      </c>
      <c r="M1003">
        <v>1.04</v>
      </c>
      <c r="N1003">
        <v>1.000000005</v>
      </c>
      <c r="O1003">
        <v>3.9999995000000066</v>
      </c>
      <c r="P1003">
        <v>107.73699999999999</v>
      </c>
      <c r="Q1003" s="125">
        <v>0</v>
      </c>
      <c r="R1003" s="125">
        <v>0</v>
      </c>
      <c r="S1003" s="125">
        <v>0.09</v>
      </c>
      <c r="T1003" s="125">
        <v>0.91900000000000004</v>
      </c>
      <c r="U1003" s="125">
        <v>0</v>
      </c>
      <c r="V1003" s="125">
        <v>0</v>
      </c>
      <c r="W1003" s="125">
        <v>0</v>
      </c>
      <c r="X1003" s="125">
        <v>0</v>
      </c>
      <c r="Y1003" s="125">
        <v>0</v>
      </c>
      <c r="Z1003" s="125">
        <v>0</v>
      </c>
      <c r="AA1003" s="125">
        <v>3.2040000000000002</v>
      </c>
      <c r="AB1003" s="125">
        <v>0</v>
      </c>
      <c r="AC1003" s="125">
        <v>44.5</v>
      </c>
      <c r="AD1003" s="125">
        <v>0</v>
      </c>
      <c r="AE1003" s="125">
        <v>6.7110000000000003</v>
      </c>
      <c r="AF1003" s="125">
        <v>5.3868499999999999</v>
      </c>
      <c r="AG1003" s="125">
        <v>0</v>
      </c>
      <c r="AH1003" s="125">
        <v>0</v>
      </c>
      <c r="AI1003" s="121">
        <v>528142</v>
      </c>
      <c r="AJ1003" s="121">
        <v>0</v>
      </c>
      <c r="AK1003" s="424">
        <v>8</v>
      </c>
      <c r="AL1003">
        <v>0</v>
      </c>
      <c r="AM1003" s="121">
        <v>0</v>
      </c>
      <c r="AN1003" s="125">
        <v>0</v>
      </c>
      <c r="AO1003" s="125">
        <v>0</v>
      </c>
      <c r="AP1003" s="121">
        <v>528142</v>
      </c>
      <c r="AQ1003" s="114">
        <v>0</v>
      </c>
      <c r="AR1003" s="121">
        <v>35.121201151000001</v>
      </c>
      <c r="AS1003" s="121">
        <v>6901.4263148999999</v>
      </c>
      <c r="AT1003" s="121">
        <v>908.91475090999995</v>
      </c>
      <c r="AU1003" s="420" t="s">
        <v>798</v>
      </c>
      <c r="AV1003" s="420" t="s">
        <v>2001</v>
      </c>
      <c r="AW1003" s="121">
        <v>0</v>
      </c>
      <c r="AX1003" s="121">
        <v>0</v>
      </c>
      <c r="AY1003" s="134">
        <v>149901</v>
      </c>
      <c r="AZ1003" s="134">
        <v>387037</v>
      </c>
      <c r="BA1003" s="114">
        <v>210</v>
      </c>
      <c r="BB1003" s="134">
        <v>18561485</v>
      </c>
      <c r="BC1003" s="114">
        <v>0</v>
      </c>
      <c r="BD1003" s="114">
        <v>0</v>
      </c>
      <c r="BE1003" s="114">
        <v>0</v>
      </c>
      <c r="BF1003" s="114">
        <v>131</v>
      </c>
      <c r="BG1003" s="114">
        <v>0</v>
      </c>
      <c r="BH1003" s="114">
        <v>0</v>
      </c>
      <c r="BI1003">
        <v>0</v>
      </c>
      <c r="BJ1003" s="121">
        <v>0</v>
      </c>
      <c r="BK1003" s="134">
        <v>49860455</v>
      </c>
      <c r="BL1003" s="934">
        <v>4619</v>
      </c>
      <c r="BM1003" s="934">
        <v>4977</v>
      </c>
      <c r="BN1003" s="934">
        <v>4939</v>
      </c>
      <c r="BO1003" s="134">
        <v>23500</v>
      </c>
      <c r="BP1003" s="134">
        <v>24400</v>
      </c>
    </row>
    <row r="1004" spans="1:68">
      <c r="A1004" t="s">
        <v>2814</v>
      </c>
      <c r="B1004" t="s">
        <v>131</v>
      </c>
      <c r="C1004" s="121">
        <v>4816</v>
      </c>
      <c r="D1004" s="72">
        <v>1</v>
      </c>
      <c r="E1004">
        <v>1066.4469999999999</v>
      </c>
      <c r="F1004">
        <v>284</v>
      </c>
      <c r="G1004">
        <v>244</v>
      </c>
      <c r="H1004">
        <v>32</v>
      </c>
      <c r="I1004" s="173">
        <v>1.04</v>
      </c>
      <c r="J1004" s="121">
        <v>816404917</v>
      </c>
      <c r="K1004" s="125">
        <v>4898.0969999999998</v>
      </c>
      <c r="L1004" s="173">
        <v>1.5</v>
      </c>
      <c r="M1004">
        <v>1.04</v>
      </c>
      <c r="N1004">
        <v>1.000000005</v>
      </c>
      <c r="O1004">
        <v>3.9999995000000066</v>
      </c>
      <c r="P1004">
        <v>3596</v>
      </c>
      <c r="Q1004" s="125">
        <v>0.77600000000000002</v>
      </c>
      <c r="R1004" s="125">
        <v>0</v>
      </c>
      <c r="S1004" s="125">
        <v>6.0019999999999998</v>
      </c>
      <c r="T1004" s="125">
        <v>99.926000000000002</v>
      </c>
      <c r="U1004" s="125">
        <v>31.356999999999999</v>
      </c>
      <c r="V1004" s="125">
        <v>0</v>
      </c>
      <c r="W1004" s="125">
        <v>7.6040000000000001</v>
      </c>
      <c r="X1004" s="125">
        <v>0</v>
      </c>
      <c r="Y1004" s="125">
        <v>0</v>
      </c>
      <c r="Z1004" s="125">
        <v>0</v>
      </c>
      <c r="AA1004" s="125">
        <v>120.78400000000001</v>
      </c>
      <c r="AB1004" s="125">
        <v>153.44499999999999</v>
      </c>
      <c r="AC1004" s="125">
        <v>2241.6</v>
      </c>
      <c r="AD1004" s="125">
        <v>2.1560000000000001</v>
      </c>
      <c r="AE1004" s="125">
        <v>108.464</v>
      </c>
      <c r="AF1004" s="125">
        <v>179.8</v>
      </c>
      <c r="AG1004" s="125">
        <v>0</v>
      </c>
      <c r="AH1004" s="125">
        <v>0</v>
      </c>
      <c r="AI1004" s="121">
        <v>8023628</v>
      </c>
      <c r="AJ1004" s="121">
        <v>948470</v>
      </c>
      <c r="AK1004" s="424">
        <v>12</v>
      </c>
      <c r="AL1004">
        <v>0</v>
      </c>
      <c r="AM1004" s="121">
        <v>752290</v>
      </c>
      <c r="AN1004" s="125">
        <v>0</v>
      </c>
      <c r="AO1004" s="125">
        <v>0</v>
      </c>
      <c r="AP1004" s="121">
        <v>8972098</v>
      </c>
      <c r="AQ1004" s="114">
        <v>0</v>
      </c>
      <c r="AR1004" s="121">
        <v>544.18245134999995</v>
      </c>
      <c r="AS1004" s="121">
        <v>106933.56054999999</v>
      </c>
      <c r="AT1004" s="121">
        <v>14083.101973000001</v>
      </c>
      <c r="AU1004" s="420" t="s">
        <v>2001</v>
      </c>
      <c r="AV1004" s="420" t="s">
        <v>2001</v>
      </c>
      <c r="AW1004" s="121">
        <v>0</v>
      </c>
      <c r="AX1004" s="121">
        <v>3988509</v>
      </c>
      <c r="BI1004">
        <v>0</v>
      </c>
      <c r="BJ1004" s="121">
        <v>0</v>
      </c>
      <c r="BK1004" s="134">
        <v>816404917</v>
      </c>
      <c r="BL1004" s="934">
        <v>4816</v>
      </c>
      <c r="BM1004" s="934">
        <v>4689</v>
      </c>
      <c r="BN1004" s="934">
        <v>4689</v>
      </c>
      <c r="BO1004" s="114">
        <v>0</v>
      </c>
      <c r="BP1004" s="114">
        <v>0</v>
      </c>
    </row>
    <row r="1005" spans="1:68">
      <c r="A1005" t="s">
        <v>66</v>
      </c>
      <c r="B1005" t="s">
        <v>2173</v>
      </c>
      <c r="C1005" s="121">
        <v>4731</v>
      </c>
      <c r="D1005" s="72">
        <v>2</v>
      </c>
      <c r="E1005">
        <v>772.58199999999999</v>
      </c>
      <c r="F1005">
        <v>189</v>
      </c>
      <c r="G1005">
        <v>144</v>
      </c>
      <c r="H1005">
        <v>27</v>
      </c>
      <c r="I1005" s="173">
        <v>1.04</v>
      </c>
      <c r="J1005" s="121">
        <v>545686509</v>
      </c>
      <c r="K1005" s="125">
        <v>3694.0129999999999</v>
      </c>
      <c r="L1005" s="173">
        <v>1.5</v>
      </c>
      <c r="M1005">
        <v>1.04</v>
      </c>
      <c r="N1005">
        <v>1.000000005</v>
      </c>
      <c r="O1005">
        <v>3.9999995000000066</v>
      </c>
      <c r="P1005">
        <v>2826.8989999999999</v>
      </c>
      <c r="Q1005" s="125">
        <v>0.19400000000000001</v>
      </c>
      <c r="R1005" s="125">
        <v>0</v>
      </c>
      <c r="S1005" s="125">
        <v>3.593</v>
      </c>
      <c r="T1005" s="125">
        <v>88.674000000000007</v>
      </c>
      <c r="U1005" s="125">
        <v>17.52</v>
      </c>
      <c r="V1005" s="125">
        <v>0.56899999999999995</v>
      </c>
      <c r="W1005" s="125">
        <v>0</v>
      </c>
      <c r="X1005" s="125">
        <v>0</v>
      </c>
      <c r="Y1005" s="125">
        <v>0</v>
      </c>
      <c r="Z1005" s="125">
        <v>1.7809999999999999</v>
      </c>
      <c r="AA1005" s="125">
        <v>75.036000000000001</v>
      </c>
      <c r="AB1005" s="125">
        <v>165.93299999999999</v>
      </c>
      <c r="AC1005" s="125">
        <v>849.4</v>
      </c>
      <c r="AD1005" s="125">
        <v>0</v>
      </c>
      <c r="AE1005" s="125">
        <v>81.793000000000006</v>
      </c>
      <c r="AF1005" s="125">
        <v>141.34495000000001</v>
      </c>
      <c r="AG1005" s="125">
        <v>0</v>
      </c>
      <c r="AH1005" s="125">
        <v>0</v>
      </c>
      <c r="AI1005" s="121">
        <v>5899308</v>
      </c>
      <c r="AJ1005" s="121">
        <v>664782</v>
      </c>
      <c r="AK1005" s="424">
        <v>12</v>
      </c>
      <c r="AL1005">
        <v>0</v>
      </c>
      <c r="AM1005" s="121">
        <v>321634</v>
      </c>
      <c r="AN1005" s="125">
        <v>0</v>
      </c>
      <c r="AO1005" s="125">
        <v>0</v>
      </c>
      <c r="AP1005" s="121">
        <v>6564090</v>
      </c>
      <c r="AQ1005" s="114">
        <v>0</v>
      </c>
      <c r="AR1005" s="121">
        <v>363.73252531000003</v>
      </c>
      <c r="AS1005" s="121">
        <v>71474.583427999998</v>
      </c>
      <c r="AT1005" s="121">
        <v>9413.1705865999993</v>
      </c>
      <c r="AU1005" s="420" t="s">
        <v>2001</v>
      </c>
      <c r="AV1005" s="420" t="s">
        <v>2001</v>
      </c>
      <c r="AW1005" s="121">
        <v>0</v>
      </c>
      <c r="AX1005" s="121">
        <v>2225243</v>
      </c>
      <c r="BI1005">
        <v>0</v>
      </c>
      <c r="BJ1005" s="121">
        <v>0</v>
      </c>
      <c r="BK1005" s="134">
        <v>545686509</v>
      </c>
      <c r="BL1005" s="934">
        <v>4703</v>
      </c>
      <c r="BM1005" s="934">
        <v>4731</v>
      </c>
      <c r="BN1005" s="934">
        <v>4731</v>
      </c>
      <c r="BO1005" s="114">
        <v>0</v>
      </c>
      <c r="BP1005" s="114">
        <v>0</v>
      </c>
    </row>
    <row r="1006" spans="1:68">
      <c r="A1006" t="s">
        <v>2815</v>
      </c>
      <c r="B1006" t="s">
        <v>1132</v>
      </c>
      <c r="C1006" s="121">
        <v>4587</v>
      </c>
      <c r="D1006" s="72">
        <v>3</v>
      </c>
      <c r="E1006">
        <v>234.01</v>
      </c>
      <c r="F1006">
        <v>59</v>
      </c>
      <c r="G1006">
        <v>33</v>
      </c>
      <c r="H1006">
        <v>6</v>
      </c>
      <c r="I1006" s="173">
        <v>1.0333000000000001</v>
      </c>
      <c r="J1006" s="121">
        <v>139495523</v>
      </c>
      <c r="K1006" s="125">
        <v>1161.009</v>
      </c>
      <c r="L1006" s="173">
        <v>1.49</v>
      </c>
      <c r="M1006">
        <v>1.0333000000000001</v>
      </c>
      <c r="N1006">
        <v>0.99333333830000003</v>
      </c>
      <c r="O1006">
        <v>3.9966661700000072</v>
      </c>
      <c r="P1006">
        <v>765</v>
      </c>
      <c r="Q1006" s="125">
        <v>0</v>
      </c>
      <c r="R1006" s="125">
        <v>0</v>
      </c>
      <c r="S1006" s="125">
        <v>1.119</v>
      </c>
      <c r="T1006" s="125">
        <v>22</v>
      </c>
      <c r="U1006" s="125">
        <v>2</v>
      </c>
      <c r="V1006" s="125">
        <v>0</v>
      </c>
      <c r="W1006" s="125">
        <v>0.71199999999999997</v>
      </c>
      <c r="X1006" s="125">
        <v>0</v>
      </c>
      <c r="Y1006" s="125">
        <v>0</v>
      </c>
      <c r="Z1006" s="125">
        <v>0</v>
      </c>
      <c r="AA1006" s="125">
        <v>23.5</v>
      </c>
      <c r="AB1006" s="125">
        <v>42</v>
      </c>
      <c r="AC1006" s="125">
        <v>295</v>
      </c>
      <c r="AD1006" s="125">
        <v>1.7000000000000001E-2</v>
      </c>
      <c r="AE1006" s="125">
        <v>17.75</v>
      </c>
      <c r="AF1006" s="125">
        <v>38.25</v>
      </c>
      <c r="AG1006" s="125">
        <v>0</v>
      </c>
      <c r="AH1006" s="125">
        <v>0</v>
      </c>
      <c r="AI1006" s="121">
        <v>1407534</v>
      </c>
      <c r="AJ1006" s="121">
        <v>687</v>
      </c>
      <c r="AK1006" s="424">
        <v>12</v>
      </c>
      <c r="AL1006">
        <v>0</v>
      </c>
      <c r="AM1006" s="121">
        <v>62448</v>
      </c>
      <c r="AN1006" s="125">
        <v>0</v>
      </c>
      <c r="AO1006" s="125">
        <v>0</v>
      </c>
      <c r="AP1006" s="121">
        <v>1408221</v>
      </c>
      <c r="AQ1006" s="114">
        <v>0</v>
      </c>
      <c r="AR1006" s="121">
        <v>92.982065734000003</v>
      </c>
      <c r="AS1006" s="121">
        <v>18271.267902</v>
      </c>
      <c r="AT1006" s="121">
        <v>2406.3177894</v>
      </c>
      <c r="AU1006" s="420" t="s">
        <v>2001</v>
      </c>
      <c r="AV1006" s="420" t="s">
        <v>2001</v>
      </c>
      <c r="AW1006" s="121">
        <v>0</v>
      </c>
      <c r="AX1006" s="121">
        <v>153375</v>
      </c>
      <c r="BI1006">
        <v>0</v>
      </c>
      <c r="BJ1006" s="121">
        <v>0</v>
      </c>
      <c r="BK1006" s="134">
        <v>139495523</v>
      </c>
      <c r="BL1006" s="934">
        <v>4509</v>
      </c>
      <c r="BM1006" s="934">
        <v>4576</v>
      </c>
      <c r="BN1006" s="934">
        <v>4587</v>
      </c>
      <c r="BO1006" s="114">
        <v>0</v>
      </c>
      <c r="BP1006" s="114">
        <v>0</v>
      </c>
    </row>
    <row r="1007" spans="1:68">
      <c r="A1007" t="s">
        <v>1705</v>
      </c>
      <c r="B1007" t="s">
        <v>2215</v>
      </c>
      <c r="C1007" s="121">
        <v>4749</v>
      </c>
      <c r="D1007" s="72">
        <v>3</v>
      </c>
      <c r="E1007">
        <v>214.56100000000001</v>
      </c>
      <c r="F1007">
        <v>69</v>
      </c>
      <c r="G1007">
        <v>36</v>
      </c>
      <c r="H1007">
        <v>1</v>
      </c>
      <c r="I1007" s="173">
        <v>1.0269999999999999</v>
      </c>
      <c r="J1007" s="121">
        <v>139131818</v>
      </c>
      <c r="K1007" s="125">
        <v>1110.827</v>
      </c>
      <c r="L1007" s="173">
        <v>1.48</v>
      </c>
      <c r="M1007">
        <v>1.0269999999999999</v>
      </c>
      <c r="N1007">
        <v>0.98666667159999999</v>
      </c>
      <c r="O1007">
        <v>4.0333328399999928</v>
      </c>
      <c r="P1007">
        <v>716</v>
      </c>
      <c r="Q1007" s="125">
        <v>0</v>
      </c>
      <c r="R1007" s="125">
        <v>0</v>
      </c>
      <c r="S1007" s="125">
        <v>1.6579999999999999</v>
      </c>
      <c r="T1007" s="125">
        <v>16.5</v>
      </c>
      <c r="U1007" s="125">
        <v>4.4329999999999998</v>
      </c>
      <c r="V1007" s="125">
        <v>0</v>
      </c>
      <c r="W1007" s="125">
        <v>0</v>
      </c>
      <c r="X1007" s="125">
        <v>0</v>
      </c>
      <c r="Y1007" s="125">
        <v>0</v>
      </c>
      <c r="Z1007" s="125">
        <v>0</v>
      </c>
      <c r="AA1007" s="125">
        <v>23.254000000000001</v>
      </c>
      <c r="AB1007" s="125">
        <v>27.472000000000001</v>
      </c>
      <c r="AC1007" s="125">
        <v>365.9</v>
      </c>
      <c r="AD1007" s="125">
        <v>0.14399999999999999</v>
      </c>
      <c r="AE1007" s="125">
        <v>13.061999999999999</v>
      </c>
      <c r="AF1007" s="125">
        <v>34.576999999999998</v>
      </c>
      <c r="AG1007" s="125">
        <v>0</v>
      </c>
      <c r="AH1007" s="125">
        <v>0</v>
      </c>
      <c r="AI1007" s="121">
        <v>1440315</v>
      </c>
      <c r="AJ1007" s="121">
        <v>70537</v>
      </c>
      <c r="AK1007" s="424">
        <v>12</v>
      </c>
      <c r="AL1007">
        <v>0</v>
      </c>
      <c r="AM1007" s="121">
        <v>0</v>
      </c>
      <c r="AN1007" s="125">
        <v>0</v>
      </c>
      <c r="AO1007" s="125">
        <v>1</v>
      </c>
      <c r="AP1007" s="121">
        <v>1510852</v>
      </c>
      <c r="AQ1007" s="114">
        <v>0</v>
      </c>
      <c r="AR1007" s="121">
        <v>92.739634711999997</v>
      </c>
      <c r="AS1007" s="121">
        <v>18223.629444999999</v>
      </c>
      <c r="AT1007" s="121">
        <v>2400.0438260000001</v>
      </c>
      <c r="AU1007" s="420" t="s">
        <v>2001</v>
      </c>
      <c r="AV1007" s="420" t="s">
        <v>2001</v>
      </c>
      <c r="AW1007" s="121">
        <v>0</v>
      </c>
      <c r="AX1007" s="121">
        <v>174034</v>
      </c>
      <c r="BI1007">
        <v>0</v>
      </c>
      <c r="BJ1007" s="121">
        <v>0</v>
      </c>
      <c r="BK1007" s="134">
        <v>139131818</v>
      </c>
      <c r="BL1007" s="934">
        <v>4614</v>
      </c>
      <c r="BM1007" s="934">
        <v>4727</v>
      </c>
      <c r="BN1007" s="934">
        <v>4749</v>
      </c>
      <c r="BO1007" s="114">
        <v>0</v>
      </c>
      <c r="BP1007" s="114">
        <v>0</v>
      </c>
    </row>
    <row r="1008" spans="1:68">
      <c r="A1008" t="s">
        <v>1339</v>
      </c>
      <c r="B1008" t="s">
        <v>1811</v>
      </c>
      <c r="C1008" s="121">
        <v>5686</v>
      </c>
      <c r="D1008" s="72">
        <v>2</v>
      </c>
      <c r="E1008">
        <v>346.30500000000001</v>
      </c>
      <c r="F1008">
        <v>101</v>
      </c>
      <c r="G1008">
        <v>117</v>
      </c>
      <c r="H1008">
        <v>1</v>
      </c>
      <c r="I1008" s="173">
        <v>1.04</v>
      </c>
      <c r="J1008" s="121">
        <v>705703324</v>
      </c>
      <c r="K1008" s="125">
        <v>1905.779</v>
      </c>
      <c r="L1008" s="173">
        <v>1.5</v>
      </c>
      <c r="M1008">
        <v>1.04</v>
      </c>
      <c r="N1008">
        <v>1.000000005</v>
      </c>
      <c r="O1008">
        <v>3.9999995000000066</v>
      </c>
      <c r="P1008">
        <v>1189</v>
      </c>
      <c r="Q1008" s="125">
        <v>0.33400000000000002</v>
      </c>
      <c r="R1008" s="125">
        <v>0</v>
      </c>
      <c r="S1008" s="125">
        <v>1.625</v>
      </c>
      <c r="T1008" s="125">
        <v>17.155999999999999</v>
      </c>
      <c r="U1008" s="125">
        <v>5.242</v>
      </c>
      <c r="V1008" s="125">
        <v>0</v>
      </c>
      <c r="W1008" s="125">
        <v>0</v>
      </c>
      <c r="X1008" s="125">
        <v>0</v>
      </c>
      <c r="Y1008" s="125">
        <v>0</v>
      </c>
      <c r="Z1008" s="125">
        <v>0</v>
      </c>
      <c r="AA1008" s="125">
        <v>62</v>
      </c>
      <c r="AB1008" s="125">
        <v>65</v>
      </c>
      <c r="AC1008" s="125">
        <v>812</v>
      </c>
      <c r="AD1008" s="125">
        <v>0.88100000000000001</v>
      </c>
      <c r="AE1008" s="125">
        <v>136</v>
      </c>
      <c r="AF1008" s="125">
        <v>59.45</v>
      </c>
      <c r="AG1008" s="125">
        <v>0</v>
      </c>
      <c r="AH1008" s="125">
        <v>0</v>
      </c>
      <c r="AI1008" s="121">
        <v>7181294</v>
      </c>
      <c r="AJ1008" s="121">
        <v>0</v>
      </c>
      <c r="AK1008" s="424">
        <v>12</v>
      </c>
      <c r="AL1008">
        <v>0</v>
      </c>
      <c r="AM1008" s="121">
        <v>20727</v>
      </c>
      <c r="AN1008" s="125">
        <v>0</v>
      </c>
      <c r="AO1008" s="125">
        <v>0</v>
      </c>
      <c r="AP1008" s="121">
        <v>7181294</v>
      </c>
      <c r="AQ1008" s="114">
        <v>0</v>
      </c>
      <c r="AR1008" s="121">
        <v>198.60551692999999</v>
      </c>
      <c r="AS1008" s="121">
        <v>39026.607744000001</v>
      </c>
      <c r="AT1008" s="121">
        <v>5139.7867394000004</v>
      </c>
      <c r="AU1008" s="420" t="s">
        <v>798</v>
      </c>
      <c r="AV1008" s="420" t="s">
        <v>2001</v>
      </c>
      <c r="AW1008" s="121">
        <v>0</v>
      </c>
      <c r="AX1008" s="121">
        <v>2075794</v>
      </c>
      <c r="AY1008" s="134">
        <v>834758</v>
      </c>
      <c r="AZ1008" s="134">
        <v>5214972</v>
      </c>
      <c r="BA1008" s="134">
        <v>2258</v>
      </c>
      <c r="BB1008" s="134">
        <v>377516858</v>
      </c>
      <c r="BC1008" s="114">
        <v>0</v>
      </c>
      <c r="BD1008" s="114">
        <v>0</v>
      </c>
      <c r="BE1008" s="114">
        <v>0</v>
      </c>
      <c r="BF1008" s="134">
        <v>1308</v>
      </c>
      <c r="BG1008" s="114">
        <v>0</v>
      </c>
      <c r="BH1008" s="114">
        <v>0</v>
      </c>
      <c r="BI1008">
        <v>0</v>
      </c>
      <c r="BJ1008" s="121">
        <v>0</v>
      </c>
      <c r="BK1008" s="134">
        <v>671048661</v>
      </c>
      <c r="BL1008" s="934">
        <v>5195</v>
      </c>
      <c r="BM1008" s="934">
        <v>5686</v>
      </c>
      <c r="BN1008" s="934">
        <v>5241</v>
      </c>
      <c r="BO1008" s="114">
        <v>0</v>
      </c>
      <c r="BP1008" s="114">
        <v>0</v>
      </c>
    </row>
    <row r="1009" spans="1:68">
      <c r="A1009" t="s">
        <v>1340</v>
      </c>
      <c r="B1009" t="s">
        <v>1812</v>
      </c>
      <c r="C1009" s="121">
        <v>12147</v>
      </c>
      <c r="D1009" s="72">
        <v>2</v>
      </c>
      <c r="E1009">
        <v>103.70699999999999</v>
      </c>
      <c r="F1009">
        <v>45</v>
      </c>
      <c r="G1009">
        <v>33</v>
      </c>
      <c r="H1009">
        <v>0</v>
      </c>
      <c r="I1009" s="173">
        <v>1.04</v>
      </c>
      <c r="J1009" s="121">
        <v>1208401494</v>
      </c>
      <c r="K1009" s="125">
        <v>600.39099999999996</v>
      </c>
      <c r="L1009" s="173">
        <v>1.5</v>
      </c>
      <c r="M1009">
        <v>1.04</v>
      </c>
      <c r="N1009">
        <v>1.000000005</v>
      </c>
      <c r="O1009">
        <v>3.9999995000000066</v>
      </c>
      <c r="P1009">
        <v>311.46499999999997</v>
      </c>
      <c r="Q1009" s="125">
        <v>0</v>
      </c>
      <c r="R1009" s="125">
        <v>0</v>
      </c>
      <c r="S1009" s="125">
        <v>0.14499999999999999</v>
      </c>
      <c r="T1009" s="125">
        <v>7.4160000000000004</v>
      </c>
      <c r="U1009" s="125">
        <v>0</v>
      </c>
      <c r="V1009" s="125">
        <v>0</v>
      </c>
      <c r="W1009" s="125">
        <v>0.51500000000000001</v>
      </c>
      <c r="X1009" s="125">
        <v>0</v>
      </c>
      <c r="Y1009" s="125">
        <v>0</v>
      </c>
      <c r="Z1009" s="125">
        <v>0</v>
      </c>
      <c r="AA1009" s="125">
        <v>7.859</v>
      </c>
      <c r="AB1009" s="125">
        <v>24.119</v>
      </c>
      <c r="AC1009" s="125">
        <v>162.19999999999999</v>
      </c>
      <c r="AD1009" s="125">
        <v>0</v>
      </c>
      <c r="AE1009" s="125">
        <v>5.0389999999999997</v>
      </c>
      <c r="AF1009" s="125">
        <v>15.573</v>
      </c>
      <c r="AG1009" s="125">
        <v>0</v>
      </c>
      <c r="AH1009" s="125">
        <v>0</v>
      </c>
      <c r="AI1009" s="121">
        <v>13195744</v>
      </c>
      <c r="AJ1009" s="121">
        <v>0</v>
      </c>
      <c r="AK1009" s="424">
        <v>12</v>
      </c>
      <c r="AL1009">
        <v>0</v>
      </c>
      <c r="AM1009" s="121">
        <v>28287</v>
      </c>
      <c r="AN1009" s="125">
        <v>0</v>
      </c>
      <c r="AO1009" s="125">
        <v>0</v>
      </c>
      <c r="AP1009" s="121">
        <v>13195744</v>
      </c>
      <c r="AQ1009" s="114">
        <v>0</v>
      </c>
      <c r="AR1009" s="121">
        <v>0</v>
      </c>
      <c r="AS1009" s="121">
        <v>0</v>
      </c>
      <c r="AT1009" s="121">
        <v>0</v>
      </c>
      <c r="AU1009" s="420" t="s">
        <v>798</v>
      </c>
      <c r="AV1009" s="420" t="s">
        <v>2001</v>
      </c>
      <c r="AW1009" s="121">
        <v>0</v>
      </c>
      <c r="AX1009" s="121">
        <v>0</v>
      </c>
      <c r="AY1009" s="134">
        <v>2260386</v>
      </c>
      <c r="AZ1009" s="134">
        <v>1543119</v>
      </c>
      <c r="BA1009" s="114">
        <v>583</v>
      </c>
      <c r="BB1009" s="134">
        <v>445727302</v>
      </c>
      <c r="BC1009" s="114">
        <v>0</v>
      </c>
      <c r="BD1009" s="114">
        <v>0</v>
      </c>
      <c r="BE1009" s="114">
        <v>0</v>
      </c>
      <c r="BF1009" s="114">
        <v>332</v>
      </c>
      <c r="BG1009" s="114">
        <v>0</v>
      </c>
      <c r="BH1009" s="114">
        <v>0</v>
      </c>
      <c r="BI1009">
        <v>0</v>
      </c>
      <c r="BJ1009" s="121">
        <v>15</v>
      </c>
      <c r="BK1009" s="134">
        <v>1208401494</v>
      </c>
      <c r="BL1009" s="934">
        <v>10666</v>
      </c>
      <c r="BM1009" s="934">
        <v>12147</v>
      </c>
      <c r="BN1009" s="934">
        <v>11121</v>
      </c>
      <c r="BO1009" s="114">
        <v>0</v>
      </c>
      <c r="BP1009" s="114">
        <v>0</v>
      </c>
    </row>
    <row r="1010" spans="1:68">
      <c r="A1010" t="s">
        <v>224</v>
      </c>
      <c r="B1010" t="s">
        <v>1203</v>
      </c>
      <c r="C1010" s="121">
        <v>4889</v>
      </c>
      <c r="D1010" s="72">
        <v>3</v>
      </c>
      <c r="E1010">
        <v>228.15799999999999</v>
      </c>
      <c r="F1010">
        <v>66</v>
      </c>
      <c r="G1010">
        <v>33</v>
      </c>
      <c r="H1010">
        <v>6</v>
      </c>
      <c r="I1010" s="173">
        <v>1.04</v>
      </c>
      <c r="J1010" s="121">
        <v>212630923</v>
      </c>
      <c r="K1010" s="125">
        <v>1163.5909999999999</v>
      </c>
      <c r="L1010" s="173">
        <v>1.4359999999999999</v>
      </c>
      <c r="M1010">
        <v>1.04</v>
      </c>
      <c r="N1010">
        <v>0.95733333811999999</v>
      </c>
      <c r="O1010">
        <v>8.2666661880000056</v>
      </c>
      <c r="P1010">
        <v>732.471</v>
      </c>
      <c r="Q1010" s="125">
        <v>7.0000000000000001E-3</v>
      </c>
      <c r="R1010" s="125">
        <v>0</v>
      </c>
      <c r="S1010" s="125">
        <v>1.105</v>
      </c>
      <c r="T1010" s="125">
        <v>38.052999999999997</v>
      </c>
      <c r="U1010" s="125">
        <v>1.3380000000000001</v>
      </c>
      <c r="V1010" s="125">
        <v>2.4420000000000002</v>
      </c>
      <c r="W1010" s="125">
        <v>1.369</v>
      </c>
      <c r="X1010" s="125">
        <v>0</v>
      </c>
      <c r="Y1010" s="125">
        <v>0</v>
      </c>
      <c r="Z1010" s="125">
        <v>0</v>
      </c>
      <c r="AA1010" s="125">
        <v>3.133</v>
      </c>
      <c r="AB1010" s="125">
        <v>61.81</v>
      </c>
      <c r="AC1010" s="125">
        <v>255.7</v>
      </c>
      <c r="AD1010" s="125">
        <v>0</v>
      </c>
      <c r="AE1010" s="125">
        <v>15.297000000000001</v>
      </c>
      <c r="AF1010" s="125">
        <v>36.623550000000002</v>
      </c>
      <c r="AG1010" s="125">
        <v>0</v>
      </c>
      <c r="AH1010" s="125">
        <v>0</v>
      </c>
      <c r="AI1010" s="121">
        <v>2275491</v>
      </c>
      <c r="AJ1010" s="121">
        <v>260850</v>
      </c>
      <c r="AK1010" s="424">
        <v>12</v>
      </c>
      <c r="AL1010">
        <v>0</v>
      </c>
      <c r="AM1010" s="121">
        <v>54298</v>
      </c>
      <c r="AN1010" s="125">
        <v>0</v>
      </c>
      <c r="AO1010" s="125">
        <v>0</v>
      </c>
      <c r="AP1010" s="121">
        <v>2536341</v>
      </c>
      <c r="AQ1010" s="114">
        <v>0</v>
      </c>
      <c r="AR1010" s="121">
        <v>141.73116121999999</v>
      </c>
      <c r="AS1010" s="121">
        <v>27850.618247999999</v>
      </c>
      <c r="AT1010" s="121">
        <v>3667.9139344</v>
      </c>
      <c r="AU1010" s="420" t="s">
        <v>2001</v>
      </c>
      <c r="AV1010" s="420" t="s">
        <v>2001</v>
      </c>
      <c r="AW1010" s="121">
        <v>0</v>
      </c>
      <c r="AX1010" s="121">
        <v>812859</v>
      </c>
      <c r="BI1010">
        <v>0</v>
      </c>
      <c r="BJ1010" s="121">
        <v>0</v>
      </c>
      <c r="BK1010" s="134">
        <v>212630923</v>
      </c>
      <c r="BL1010" s="934">
        <v>4747</v>
      </c>
      <c r="BM1010" s="934">
        <v>4792</v>
      </c>
      <c r="BN1010" s="934">
        <v>4889</v>
      </c>
      <c r="BO1010" s="114">
        <v>0</v>
      </c>
      <c r="BP1010" s="114">
        <v>0</v>
      </c>
    </row>
    <row r="1011" spans="1:68">
      <c r="A1011" t="s">
        <v>904</v>
      </c>
      <c r="B1011" t="s">
        <v>1813</v>
      </c>
      <c r="C1011" s="121">
        <v>6008</v>
      </c>
      <c r="D1011" s="72">
        <v>2</v>
      </c>
      <c r="E1011">
        <v>314.12200000000001</v>
      </c>
      <c r="F1011">
        <v>90</v>
      </c>
      <c r="G1011">
        <v>65</v>
      </c>
      <c r="H1011">
        <v>0</v>
      </c>
      <c r="I1011" s="173">
        <v>1.04</v>
      </c>
      <c r="J1011" s="121">
        <v>623520055</v>
      </c>
      <c r="K1011" s="125">
        <v>1495.6379999999999</v>
      </c>
      <c r="L1011" s="173">
        <v>1.4625999999999999</v>
      </c>
      <c r="M1011">
        <v>1.04</v>
      </c>
      <c r="N1011">
        <v>0.975066671542</v>
      </c>
      <c r="O1011">
        <v>6.4933328458000039</v>
      </c>
      <c r="P1011">
        <v>958.92100000000005</v>
      </c>
      <c r="Q1011" s="125">
        <v>5.8000000000000003E-2</v>
      </c>
      <c r="R1011" s="125">
        <v>0</v>
      </c>
      <c r="S1011" s="125">
        <v>1.1659999999999999</v>
      </c>
      <c r="T1011" s="125">
        <v>41.027000000000001</v>
      </c>
      <c r="U1011" s="125">
        <v>1.2210000000000001</v>
      </c>
      <c r="V1011" s="125">
        <v>6.9320000000000004</v>
      </c>
      <c r="W1011" s="125">
        <v>3.0880000000000001</v>
      </c>
      <c r="X1011" s="125">
        <v>0</v>
      </c>
      <c r="Y1011" s="125">
        <v>0</v>
      </c>
      <c r="Z1011" s="125">
        <v>0</v>
      </c>
      <c r="AA1011" s="125">
        <v>23.445</v>
      </c>
      <c r="AB1011" s="125">
        <v>36.082000000000001</v>
      </c>
      <c r="AC1011" s="125">
        <v>525.9</v>
      </c>
      <c r="AD1011" s="125">
        <v>0</v>
      </c>
      <c r="AE1011" s="125">
        <v>36.017000000000003</v>
      </c>
      <c r="AF1011" s="125">
        <v>47.945999999999998</v>
      </c>
      <c r="AG1011" s="125">
        <v>0</v>
      </c>
      <c r="AH1011" s="125">
        <v>0</v>
      </c>
      <c r="AI1011" s="121">
        <v>6582522</v>
      </c>
      <c r="AJ1011" s="121">
        <v>410123</v>
      </c>
      <c r="AK1011" s="424">
        <v>12</v>
      </c>
      <c r="AL1011">
        <v>0</v>
      </c>
      <c r="AM1011" s="121">
        <v>101932</v>
      </c>
      <c r="AN1011" s="125">
        <v>0</v>
      </c>
      <c r="AO1011" s="125">
        <v>0</v>
      </c>
      <c r="AP1011" s="121">
        <v>6992645</v>
      </c>
      <c r="AQ1011" s="114">
        <v>0</v>
      </c>
      <c r="AR1011" s="121">
        <v>0</v>
      </c>
      <c r="AS1011" s="121">
        <v>0</v>
      </c>
      <c r="AT1011" s="121">
        <v>0</v>
      </c>
      <c r="AU1011" s="420" t="s">
        <v>798</v>
      </c>
      <c r="AV1011" s="72" t="s">
        <v>798</v>
      </c>
      <c r="AW1011" s="121">
        <v>0</v>
      </c>
      <c r="AX1011" s="121">
        <v>552100</v>
      </c>
      <c r="AY1011" s="134">
        <v>289666</v>
      </c>
      <c r="AZ1011" s="134">
        <v>3260385</v>
      </c>
      <c r="BA1011" s="134">
        <v>1364</v>
      </c>
      <c r="BB1011" s="134">
        <v>121284731</v>
      </c>
      <c r="BC1011" s="114">
        <v>0</v>
      </c>
      <c r="BD1011" s="114">
        <v>0</v>
      </c>
      <c r="BE1011" s="114">
        <v>0</v>
      </c>
      <c r="BF1011" s="134">
        <v>1024</v>
      </c>
      <c r="BG1011" s="114">
        <v>0</v>
      </c>
      <c r="BH1011" s="114">
        <v>0</v>
      </c>
      <c r="BI1011">
        <v>0</v>
      </c>
      <c r="BJ1011" s="121">
        <v>0</v>
      </c>
      <c r="BK1011" s="134">
        <v>602795022</v>
      </c>
      <c r="BL1011" s="934">
        <v>5696</v>
      </c>
      <c r="BM1011" s="934">
        <v>6008</v>
      </c>
      <c r="BN1011" s="934">
        <v>5967</v>
      </c>
      <c r="BO1011" s="114">
        <v>0</v>
      </c>
      <c r="BP1011" s="114">
        <v>0</v>
      </c>
    </row>
    <row r="1012" spans="1:68">
      <c r="A1012" t="s">
        <v>2491</v>
      </c>
      <c r="B1012" t="s">
        <v>1814</v>
      </c>
      <c r="C1012" s="121">
        <v>5240</v>
      </c>
      <c r="D1012" s="72">
        <v>2</v>
      </c>
      <c r="E1012">
        <v>604.67999999999995</v>
      </c>
      <c r="F1012">
        <v>174</v>
      </c>
      <c r="G1012">
        <v>162</v>
      </c>
      <c r="H1012">
        <v>17</v>
      </c>
      <c r="I1012" s="173">
        <v>1.04</v>
      </c>
      <c r="J1012" s="121">
        <v>1119887284</v>
      </c>
      <c r="K1012" s="125">
        <v>2836.2220000000002</v>
      </c>
      <c r="L1012" s="173">
        <v>1.37</v>
      </c>
      <c r="M1012">
        <v>1.04</v>
      </c>
      <c r="N1012">
        <v>0.91333333790000004</v>
      </c>
      <c r="O1012">
        <v>12.666666209999999</v>
      </c>
      <c r="P1012">
        <v>2212.1379999999999</v>
      </c>
      <c r="Q1012" s="125">
        <v>8.6999999999999994E-2</v>
      </c>
      <c r="R1012" s="125">
        <v>0</v>
      </c>
      <c r="S1012" s="125">
        <v>3.097</v>
      </c>
      <c r="T1012" s="125">
        <v>84.320999999999998</v>
      </c>
      <c r="U1012" s="125">
        <v>9.9879999999999995</v>
      </c>
      <c r="V1012" s="125">
        <v>3.9279999999999999</v>
      </c>
      <c r="W1012" s="125">
        <v>4.085</v>
      </c>
      <c r="X1012" s="125">
        <v>0</v>
      </c>
      <c r="Y1012" s="125">
        <v>0</v>
      </c>
      <c r="Z1012" s="125">
        <v>0</v>
      </c>
      <c r="AA1012" s="125">
        <v>6.7859999999999996</v>
      </c>
      <c r="AB1012" s="125">
        <v>81.942999999999998</v>
      </c>
      <c r="AC1012" s="125">
        <v>1187.0999999999999</v>
      </c>
      <c r="AD1012" s="125">
        <v>0</v>
      </c>
      <c r="AE1012" s="125">
        <v>290.28300000000002</v>
      </c>
      <c r="AF1012" s="125">
        <v>92.596000000000004</v>
      </c>
      <c r="AG1012" s="125">
        <v>0</v>
      </c>
      <c r="AH1012" s="125">
        <v>0</v>
      </c>
      <c r="AI1012" s="121">
        <v>12106877</v>
      </c>
      <c r="AJ1012" s="121">
        <v>1893774</v>
      </c>
      <c r="AK1012" s="424">
        <v>12</v>
      </c>
      <c r="AL1012">
        <v>0</v>
      </c>
      <c r="AM1012" s="121">
        <v>172038</v>
      </c>
      <c r="AN1012" s="125">
        <v>0</v>
      </c>
      <c r="AO1012" s="125">
        <v>0</v>
      </c>
      <c r="AP1012" s="121">
        <v>14000651</v>
      </c>
      <c r="AQ1012" s="114">
        <v>0</v>
      </c>
      <c r="AR1012" s="121">
        <v>0</v>
      </c>
      <c r="AS1012" s="121">
        <v>0</v>
      </c>
      <c r="AT1012" s="121">
        <v>0</v>
      </c>
      <c r="AU1012" s="420" t="s">
        <v>798</v>
      </c>
      <c r="AV1012" s="72" t="s">
        <v>798</v>
      </c>
      <c r="AW1012" s="121">
        <v>0</v>
      </c>
      <c r="AX1012" s="121">
        <v>1775630</v>
      </c>
      <c r="AY1012" s="134">
        <v>537743</v>
      </c>
      <c r="AZ1012" s="134">
        <v>4739507</v>
      </c>
      <c r="BA1012" s="134">
        <v>2016</v>
      </c>
      <c r="BB1012" s="134">
        <v>307481396</v>
      </c>
      <c r="BC1012" s="114">
        <v>0</v>
      </c>
      <c r="BD1012" s="114">
        <v>0</v>
      </c>
      <c r="BE1012" s="114">
        <v>0</v>
      </c>
      <c r="BF1012" s="134">
        <v>2298</v>
      </c>
      <c r="BG1012" s="114">
        <v>0</v>
      </c>
      <c r="BH1012" s="114">
        <v>0</v>
      </c>
      <c r="BI1012">
        <v>0</v>
      </c>
      <c r="BJ1012" s="121">
        <v>0</v>
      </c>
      <c r="BK1012" s="134">
        <v>1119887284</v>
      </c>
      <c r="BL1012" s="934">
        <v>4727</v>
      </c>
      <c r="BM1012" s="934">
        <v>5240</v>
      </c>
      <c r="BN1012" s="934">
        <v>5006</v>
      </c>
      <c r="BO1012" s="114">
        <v>0</v>
      </c>
      <c r="BP1012" s="114">
        <v>0</v>
      </c>
    </row>
    <row r="1013" spans="1:68">
      <c r="A1013" t="s">
        <v>2780</v>
      </c>
      <c r="B1013" t="s">
        <v>1815</v>
      </c>
      <c r="C1013" s="121">
        <v>5887</v>
      </c>
      <c r="D1013" s="72">
        <v>2</v>
      </c>
      <c r="E1013">
        <v>192.66399999999999</v>
      </c>
      <c r="F1013">
        <v>64</v>
      </c>
      <c r="G1013">
        <v>32</v>
      </c>
      <c r="H1013">
        <v>4</v>
      </c>
      <c r="I1013" s="173">
        <v>1.04</v>
      </c>
      <c r="J1013" s="121">
        <v>455726490</v>
      </c>
      <c r="K1013" s="125">
        <v>1049.4860000000001</v>
      </c>
      <c r="L1013" s="173">
        <v>1.46</v>
      </c>
      <c r="M1013">
        <v>1.04</v>
      </c>
      <c r="N1013">
        <v>0.97333333820000001</v>
      </c>
      <c r="O1013">
        <v>6.6666661800000027</v>
      </c>
      <c r="P1013">
        <v>633.10299999999995</v>
      </c>
      <c r="Q1013" s="125">
        <v>0.13100000000000001</v>
      </c>
      <c r="R1013" s="125">
        <v>0</v>
      </c>
      <c r="S1013" s="125">
        <v>0.99199999999999999</v>
      </c>
      <c r="T1013" s="125">
        <v>28.006</v>
      </c>
      <c r="U1013" s="125">
        <v>0.44700000000000001</v>
      </c>
      <c r="V1013" s="125">
        <v>3.6709999999999998</v>
      </c>
      <c r="W1013" s="125">
        <v>2.8</v>
      </c>
      <c r="X1013" s="125">
        <v>0</v>
      </c>
      <c r="Y1013" s="125">
        <v>0</v>
      </c>
      <c r="Z1013" s="125">
        <v>0</v>
      </c>
      <c r="AA1013" s="125">
        <v>3.7669999999999999</v>
      </c>
      <c r="AB1013" s="125">
        <v>32.801000000000002</v>
      </c>
      <c r="AC1013" s="125">
        <v>379.6</v>
      </c>
      <c r="AD1013" s="125">
        <v>0.61799999999999999</v>
      </c>
      <c r="AE1013" s="125">
        <v>39.485999999999997</v>
      </c>
      <c r="AF1013" s="125">
        <v>31.655000000000001</v>
      </c>
      <c r="AG1013" s="125">
        <v>0</v>
      </c>
      <c r="AH1013" s="125">
        <v>0</v>
      </c>
      <c r="AI1013" s="121">
        <v>4877003</v>
      </c>
      <c r="AJ1013" s="121">
        <v>292320</v>
      </c>
      <c r="AK1013" s="424">
        <v>12</v>
      </c>
      <c r="AL1013">
        <v>0</v>
      </c>
      <c r="AM1013" s="121">
        <v>66528</v>
      </c>
      <c r="AN1013" s="125">
        <v>0</v>
      </c>
      <c r="AO1013" s="125">
        <v>0</v>
      </c>
      <c r="AP1013" s="121">
        <v>5169323</v>
      </c>
      <c r="AQ1013" s="114">
        <v>0</v>
      </c>
      <c r="AR1013" s="121">
        <v>0</v>
      </c>
      <c r="AS1013" s="121">
        <v>0</v>
      </c>
      <c r="AT1013" s="121">
        <v>0</v>
      </c>
      <c r="AU1013" s="420" t="s">
        <v>798</v>
      </c>
      <c r="AV1013" s="420" t="s">
        <v>2001</v>
      </c>
      <c r="AW1013" s="121">
        <v>0</v>
      </c>
      <c r="AX1013" s="121">
        <v>116015</v>
      </c>
      <c r="AY1013" s="134">
        <v>202114</v>
      </c>
      <c r="AZ1013" s="134">
        <v>2042073</v>
      </c>
      <c r="BA1013" s="114">
        <v>820</v>
      </c>
      <c r="BB1013" s="134">
        <v>134229603</v>
      </c>
      <c r="BC1013" s="114">
        <v>0</v>
      </c>
      <c r="BD1013" s="114">
        <v>0</v>
      </c>
      <c r="BE1013" s="114">
        <v>0</v>
      </c>
      <c r="BF1013" s="114">
        <v>660</v>
      </c>
      <c r="BG1013" s="114">
        <v>0</v>
      </c>
      <c r="BH1013" s="114">
        <v>0</v>
      </c>
      <c r="BI1013">
        <v>0</v>
      </c>
      <c r="BJ1013" s="121">
        <v>0</v>
      </c>
      <c r="BK1013" s="134">
        <v>455726490</v>
      </c>
      <c r="BL1013" s="934">
        <v>5316</v>
      </c>
      <c r="BM1013" s="934">
        <v>5887</v>
      </c>
      <c r="BN1013" s="934">
        <v>5479</v>
      </c>
      <c r="BO1013" s="114">
        <v>0</v>
      </c>
      <c r="BP1013" s="114">
        <v>0</v>
      </c>
    </row>
    <row r="1014" spans="1:68">
      <c r="A1014" t="s">
        <v>2781</v>
      </c>
      <c r="B1014" t="s">
        <v>1816</v>
      </c>
      <c r="C1014" s="121">
        <v>6180</v>
      </c>
      <c r="D1014" s="72">
        <v>2</v>
      </c>
      <c r="E1014">
        <v>800.20100000000002</v>
      </c>
      <c r="F1014">
        <v>217</v>
      </c>
      <c r="G1014">
        <v>199</v>
      </c>
      <c r="H1014">
        <v>9</v>
      </c>
      <c r="I1014" s="173">
        <v>1.03</v>
      </c>
      <c r="J1014" s="121">
        <v>1703150539</v>
      </c>
      <c r="K1014" s="125">
        <v>3577.402</v>
      </c>
      <c r="L1014" s="173">
        <v>1.45</v>
      </c>
      <c r="M1014">
        <v>1.03</v>
      </c>
      <c r="N1014">
        <v>0.96666667149999996</v>
      </c>
      <c r="O1014">
        <v>6.3333328500000068</v>
      </c>
      <c r="P1014">
        <v>2786.9720000000002</v>
      </c>
      <c r="Q1014" s="125">
        <v>0.48</v>
      </c>
      <c r="R1014" s="125">
        <v>0</v>
      </c>
      <c r="S1014" s="125">
        <v>4.0659999999999998</v>
      </c>
      <c r="T1014" s="125">
        <v>120.879</v>
      </c>
      <c r="U1014" s="125">
        <v>22.356999999999999</v>
      </c>
      <c r="V1014" s="125">
        <v>0</v>
      </c>
      <c r="W1014" s="125">
        <v>0.85599999999999998</v>
      </c>
      <c r="X1014" s="125">
        <v>0</v>
      </c>
      <c r="Y1014" s="125">
        <v>0</v>
      </c>
      <c r="Z1014" s="125">
        <v>3.9620000000000002</v>
      </c>
      <c r="AA1014" s="125">
        <v>8.0090000000000003</v>
      </c>
      <c r="AB1014" s="125">
        <v>141.37100000000001</v>
      </c>
      <c r="AC1014" s="125">
        <v>1172.5</v>
      </c>
      <c r="AD1014" s="125">
        <v>0.40699999999999997</v>
      </c>
      <c r="AE1014" s="125">
        <v>398.86799999999999</v>
      </c>
      <c r="AF1014" s="125">
        <v>139.3486</v>
      </c>
      <c r="AG1014" s="125">
        <v>0</v>
      </c>
      <c r="AH1014" s="125">
        <v>0</v>
      </c>
      <c r="AI1014" s="121">
        <v>18235377</v>
      </c>
      <c r="AJ1014" s="121">
        <v>3751518</v>
      </c>
      <c r="AK1014" s="424">
        <v>12</v>
      </c>
      <c r="AL1014">
        <v>0</v>
      </c>
      <c r="AM1014" s="121">
        <v>346235</v>
      </c>
      <c r="AN1014" s="125">
        <v>0</v>
      </c>
      <c r="AO1014" s="125">
        <v>0</v>
      </c>
      <c r="AP1014" s="121">
        <v>21986895</v>
      </c>
      <c r="AQ1014" s="114">
        <v>0</v>
      </c>
      <c r="AR1014" s="121">
        <v>0</v>
      </c>
      <c r="AS1014" s="121">
        <v>0</v>
      </c>
      <c r="AT1014" s="121">
        <v>0</v>
      </c>
      <c r="AU1014" s="420" t="s">
        <v>798</v>
      </c>
      <c r="AV1014" s="72" t="s">
        <v>798</v>
      </c>
      <c r="AW1014" s="121">
        <v>0</v>
      </c>
      <c r="AX1014" s="121">
        <v>3937493</v>
      </c>
      <c r="AY1014" s="134">
        <v>1517971</v>
      </c>
      <c r="AZ1014" s="134">
        <v>4733647</v>
      </c>
      <c r="BA1014" s="134">
        <v>1936</v>
      </c>
      <c r="BB1014" s="134">
        <v>285097120</v>
      </c>
      <c r="BC1014" s="114">
        <v>0</v>
      </c>
      <c r="BD1014" s="114">
        <v>0</v>
      </c>
      <c r="BE1014" s="114">
        <v>0</v>
      </c>
      <c r="BF1014" s="134">
        <v>2908</v>
      </c>
      <c r="BG1014" s="114">
        <v>0</v>
      </c>
      <c r="BH1014" s="114">
        <v>0</v>
      </c>
      <c r="BI1014">
        <v>0</v>
      </c>
      <c r="BJ1014" s="121">
        <v>0</v>
      </c>
      <c r="BK1014" s="134">
        <v>1703150539</v>
      </c>
      <c r="BL1014" s="934">
        <v>5636</v>
      </c>
      <c r="BM1014" s="934">
        <v>6180</v>
      </c>
      <c r="BN1014" s="934">
        <v>6038</v>
      </c>
      <c r="BO1014" s="114">
        <v>0</v>
      </c>
      <c r="BP1014" s="114">
        <v>0</v>
      </c>
    </row>
    <row r="1015" spans="1:68">
      <c r="A1015" t="s">
        <v>2302</v>
      </c>
      <c r="B1015" t="s">
        <v>1541</v>
      </c>
      <c r="C1015" s="121">
        <v>5799</v>
      </c>
      <c r="D1015" s="72">
        <v>2</v>
      </c>
      <c r="E1015">
        <v>275.40199999999999</v>
      </c>
      <c r="F1015">
        <v>92</v>
      </c>
      <c r="G1015">
        <v>54</v>
      </c>
      <c r="H1015">
        <v>5</v>
      </c>
      <c r="I1015" s="173">
        <v>1.04</v>
      </c>
      <c r="J1015" s="121">
        <v>264441029</v>
      </c>
      <c r="K1015" s="125">
        <v>1487.34</v>
      </c>
      <c r="L1015" s="173">
        <v>1.5</v>
      </c>
      <c r="M1015">
        <v>1.04</v>
      </c>
      <c r="N1015">
        <v>1.000000005</v>
      </c>
      <c r="O1015">
        <v>3.9999995000000066</v>
      </c>
      <c r="P1015">
        <v>985.57399999999996</v>
      </c>
      <c r="Q1015" s="125">
        <v>2.5000000000000001E-2</v>
      </c>
      <c r="R1015" s="125">
        <v>0</v>
      </c>
      <c r="S1015" s="125">
        <v>1.7709999999999999</v>
      </c>
      <c r="T1015" s="125">
        <v>49.274999999999999</v>
      </c>
      <c r="U1015" s="125">
        <v>2.6859999999999999</v>
      </c>
      <c r="V1015" s="125">
        <v>5.9980000000000002</v>
      </c>
      <c r="W1015" s="125">
        <v>4.0430000000000001</v>
      </c>
      <c r="X1015" s="125">
        <v>0</v>
      </c>
      <c r="Y1015" s="125">
        <v>0</v>
      </c>
      <c r="Z1015" s="125">
        <v>0</v>
      </c>
      <c r="AA1015" s="125">
        <v>13.590999999999999</v>
      </c>
      <c r="AB1015" s="125">
        <v>54.267000000000003</v>
      </c>
      <c r="AC1015" s="125">
        <v>304.89999999999998</v>
      </c>
      <c r="AD1015" s="125">
        <v>0</v>
      </c>
      <c r="AE1015" s="125">
        <v>12.032999999999999</v>
      </c>
      <c r="AF1015" s="125">
        <v>49.278700000000001</v>
      </c>
      <c r="AG1015" s="125">
        <v>0</v>
      </c>
      <c r="AH1015" s="125">
        <v>0</v>
      </c>
      <c r="AI1015" s="121">
        <v>2858819</v>
      </c>
      <c r="AJ1015" s="121">
        <v>437048</v>
      </c>
      <c r="AK1015" s="424">
        <v>12</v>
      </c>
      <c r="AL1015">
        <v>0</v>
      </c>
      <c r="AM1015" s="121">
        <v>80452</v>
      </c>
      <c r="AN1015" s="125">
        <v>0</v>
      </c>
      <c r="AO1015" s="125">
        <v>0</v>
      </c>
      <c r="AP1015" s="121">
        <v>3295867</v>
      </c>
      <c r="AQ1015" s="114">
        <v>0</v>
      </c>
      <c r="AR1015" s="121">
        <v>176.26567944999999</v>
      </c>
      <c r="AS1015" s="121">
        <v>34636.759527000002</v>
      </c>
      <c r="AT1015" s="121">
        <v>4561.6456976999998</v>
      </c>
      <c r="AU1015" s="420" t="s">
        <v>2001</v>
      </c>
      <c r="AV1015" s="420" t="s">
        <v>2001</v>
      </c>
      <c r="AW1015" s="121">
        <v>0</v>
      </c>
      <c r="AX1015" s="121">
        <v>799116</v>
      </c>
      <c r="BI1015">
        <v>0</v>
      </c>
      <c r="BJ1015" s="121">
        <v>0</v>
      </c>
      <c r="BK1015" s="134">
        <v>264441029</v>
      </c>
      <c r="BL1015" s="934">
        <v>5397</v>
      </c>
      <c r="BM1015" s="934">
        <v>5799</v>
      </c>
      <c r="BN1015" s="934">
        <v>5783</v>
      </c>
      <c r="BO1015" s="114">
        <v>0</v>
      </c>
      <c r="BP1015" s="114">
        <v>0</v>
      </c>
    </row>
    <row r="1016" spans="1:68">
      <c r="A1016" t="s">
        <v>1314</v>
      </c>
      <c r="B1016" t="s">
        <v>2201</v>
      </c>
      <c r="C1016" s="121">
        <v>5754</v>
      </c>
      <c r="D1016" s="72">
        <v>3</v>
      </c>
      <c r="E1016">
        <v>67.808000000000007</v>
      </c>
      <c r="F1016">
        <v>27</v>
      </c>
      <c r="G1016">
        <v>20</v>
      </c>
      <c r="H1016">
        <v>0</v>
      </c>
      <c r="I1016" s="173">
        <v>1.01</v>
      </c>
      <c r="J1016" s="121">
        <v>170339546</v>
      </c>
      <c r="K1016" s="125">
        <v>380.98</v>
      </c>
      <c r="L1016" s="173">
        <v>1.3314999999999999</v>
      </c>
      <c r="M1016">
        <v>1.01</v>
      </c>
      <c r="N1016">
        <v>0.88766667110499997</v>
      </c>
      <c r="O1016">
        <v>12.233332889500003</v>
      </c>
      <c r="P1016">
        <v>203.64099999999999</v>
      </c>
      <c r="Q1016" s="125">
        <v>0</v>
      </c>
      <c r="R1016" s="125">
        <v>0</v>
      </c>
      <c r="S1016" s="125">
        <v>0.45900000000000002</v>
      </c>
      <c r="T1016" s="125">
        <v>14.368</v>
      </c>
      <c r="U1016" s="125">
        <v>0.432</v>
      </c>
      <c r="V1016" s="125">
        <v>0.65100000000000002</v>
      </c>
      <c r="W1016" s="125">
        <v>1.41</v>
      </c>
      <c r="X1016" s="125">
        <v>0</v>
      </c>
      <c r="Y1016" s="125">
        <v>0</v>
      </c>
      <c r="Z1016" s="125">
        <v>0</v>
      </c>
      <c r="AA1016" s="125">
        <v>0</v>
      </c>
      <c r="AB1016" s="125">
        <v>18.914999999999999</v>
      </c>
      <c r="AC1016" s="125">
        <v>121</v>
      </c>
      <c r="AD1016" s="125">
        <v>0</v>
      </c>
      <c r="AE1016" s="125">
        <v>8.6890000000000001</v>
      </c>
      <c r="AF1016" s="125">
        <v>10.182</v>
      </c>
      <c r="AG1016" s="125">
        <v>0</v>
      </c>
      <c r="AH1016" s="125">
        <v>0</v>
      </c>
      <c r="AI1016" s="121">
        <v>1806451</v>
      </c>
      <c r="AJ1016" s="121">
        <v>212315</v>
      </c>
      <c r="AK1016" s="424">
        <v>12</v>
      </c>
      <c r="AL1016">
        <v>0</v>
      </c>
      <c r="AM1016" s="121">
        <v>66277</v>
      </c>
      <c r="AN1016" s="125">
        <v>1</v>
      </c>
      <c r="AO1016" s="125">
        <v>0</v>
      </c>
      <c r="AP1016" s="121">
        <v>2018766</v>
      </c>
      <c r="AQ1016" s="114">
        <v>0</v>
      </c>
      <c r="AR1016" s="121">
        <v>0</v>
      </c>
      <c r="AS1016" s="121">
        <v>0</v>
      </c>
      <c r="AT1016" s="121">
        <v>0</v>
      </c>
      <c r="AU1016" s="420" t="s">
        <v>798</v>
      </c>
      <c r="AV1016" s="420" t="s">
        <v>2001</v>
      </c>
      <c r="AW1016" s="121">
        <v>0</v>
      </c>
      <c r="AX1016" s="121">
        <v>223469</v>
      </c>
      <c r="AY1016" s="134">
        <v>136632</v>
      </c>
      <c r="AZ1016" s="134">
        <v>859671</v>
      </c>
      <c r="BA1016" s="114">
        <v>363</v>
      </c>
      <c r="BB1016" s="134">
        <v>28732533</v>
      </c>
      <c r="BC1016" s="114">
        <v>0</v>
      </c>
      <c r="BD1016" s="114">
        <v>0</v>
      </c>
      <c r="BE1016" s="114">
        <v>0</v>
      </c>
      <c r="BF1016" s="114">
        <v>269</v>
      </c>
      <c r="BG1016" s="114">
        <v>0</v>
      </c>
      <c r="BH1016" s="114">
        <v>0</v>
      </c>
      <c r="BI1016">
        <v>0</v>
      </c>
      <c r="BJ1016" s="121">
        <v>31</v>
      </c>
      <c r="BK1016" s="134">
        <v>170339546</v>
      </c>
      <c r="BL1016" s="934">
        <v>5096</v>
      </c>
      <c r="BM1016" s="934">
        <v>5202</v>
      </c>
      <c r="BN1016" s="934">
        <v>5754</v>
      </c>
      <c r="BO1016" s="114">
        <v>0</v>
      </c>
      <c r="BP1016" s="114">
        <v>0</v>
      </c>
    </row>
    <row r="1017" spans="1:68">
      <c r="A1017" t="s">
        <v>2548</v>
      </c>
      <c r="B1017" t="s">
        <v>1817</v>
      </c>
      <c r="C1017" s="121">
        <v>5316</v>
      </c>
      <c r="D1017" s="72">
        <v>2</v>
      </c>
      <c r="E1017">
        <v>177.82400000000001</v>
      </c>
      <c r="F1017">
        <v>72</v>
      </c>
      <c r="G1017">
        <v>56</v>
      </c>
      <c r="H1017">
        <v>0</v>
      </c>
      <c r="I1017" s="173">
        <v>0.98</v>
      </c>
      <c r="J1017" s="121">
        <v>610420134</v>
      </c>
      <c r="K1017" s="125">
        <v>1148.48</v>
      </c>
      <c r="L1017" s="173">
        <v>1.2961</v>
      </c>
      <c r="M1017">
        <v>0.98</v>
      </c>
      <c r="N1017">
        <v>0.86406667098700007</v>
      </c>
      <c r="O1017">
        <v>11.593332901299991</v>
      </c>
      <c r="P1017">
        <v>686.60699999999997</v>
      </c>
      <c r="Q1017" s="125">
        <v>0.16700000000000001</v>
      </c>
      <c r="R1017" s="125">
        <v>0</v>
      </c>
      <c r="S1017" s="125">
        <v>1.226</v>
      </c>
      <c r="T1017" s="125">
        <v>29.803999999999998</v>
      </c>
      <c r="U1017" s="125">
        <v>1.1659999999999999</v>
      </c>
      <c r="V1017" s="125">
        <v>6.5679999999999996</v>
      </c>
      <c r="W1017" s="125">
        <v>1.3440000000000001</v>
      </c>
      <c r="X1017" s="125">
        <v>0</v>
      </c>
      <c r="Y1017" s="125">
        <v>1</v>
      </c>
      <c r="Z1017" s="125">
        <v>0.58199999999999996</v>
      </c>
      <c r="AA1017" s="125">
        <v>29.327999999999999</v>
      </c>
      <c r="AB1017" s="125">
        <v>40.622999999999998</v>
      </c>
      <c r="AC1017" s="125">
        <v>419.6</v>
      </c>
      <c r="AD1017" s="125">
        <v>0.70699999999999996</v>
      </c>
      <c r="AE1017" s="125">
        <v>2.0630000000000002</v>
      </c>
      <c r="AF1017" s="125">
        <v>34.33</v>
      </c>
      <c r="AG1017" s="125">
        <v>0</v>
      </c>
      <c r="AH1017" s="125">
        <v>0</v>
      </c>
      <c r="AI1017" s="121">
        <v>6344035</v>
      </c>
      <c r="AJ1017" s="121">
        <v>1062306</v>
      </c>
      <c r="AK1017" s="424">
        <v>12</v>
      </c>
      <c r="AL1017">
        <v>0</v>
      </c>
      <c r="AM1017" s="121">
        <v>74875</v>
      </c>
      <c r="AN1017" s="125">
        <v>0</v>
      </c>
      <c r="AO1017" s="125">
        <v>0</v>
      </c>
      <c r="AP1017" s="121">
        <v>7406341</v>
      </c>
      <c r="AQ1017" s="114">
        <v>0</v>
      </c>
      <c r="AR1017" s="121">
        <v>0</v>
      </c>
      <c r="AS1017" s="121">
        <v>0</v>
      </c>
      <c r="AT1017" s="121">
        <v>0</v>
      </c>
      <c r="AU1017" s="420" t="s">
        <v>798</v>
      </c>
      <c r="AV1017" s="420" t="s">
        <v>2001</v>
      </c>
      <c r="AW1017" s="121">
        <v>0</v>
      </c>
      <c r="AX1017" s="121">
        <v>1020462</v>
      </c>
      <c r="AY1017" s="134">
        <v>1887192</v>
      </c>
      <c r="AZ1017" s="134">
        <v>2682840</v>
      </c>
      <c r="BA1017" s="134">
        <v>1156</v>
      </c>
      <c r="BB1017" s="134">
        <v>530818058</v>
      </c>
      <c r="BC1017" s="114">
        <v>0</v>
      </c>
      <c r="BD1017" s="114">
        <v>0</v>
      </c>
      <c r="BE1017" s="114">
        <v>0</v>
      </c>
      <c r="BF1017" s="114">
        <v>740</v>
      </c>
      <c r="BG1017" s="114">
        <v>0</v>
      </c>
      <c r="BH1017" s="114">
        <v>0</v>
      </c>
      <c r="BI1017">
        <v>0</v>
      </c>
      <c r="BJ1017" s="121">
        <v>2238</v>
      </c>
      <c r="BK1017" s="134">
        <v>610420134</v>
      </c>
      <c r="BL1017" s="934">
        <v>5046</v>
      </c>
      <c r="BM1017" s="934">
        <v>5316</v>
      </c>
      <c r="BN1017" s="934">
        <v>5179</v>
      </c>
      <c r="BO1017" s="114">
        <v>0</v>
      </c>
      <c r="BP1017" s="114">
        <v>0</v>
      </c>
    </row>
    <row r="1018" spans="1:68">
      <c r="A1018" t="s">
        <v>2549</v>
      </c>
      <c r="B1018" t="s">
        <v>1818</v>
      </c>
      <c r="C1018" s="121">
        <v>4744</v>
      </c>
      <c r="D1018" s="72">
        <v>2</v>
      </c>
      <c r="E1018">
        <v>413.57400000000001</v>
      </c>
      <c r="F1018">
        <v>123</v>
      </c>
      <c r="G1018">
        <v>69</v>
      </c>
      <c r="H1018">
        <v>4</v>
      </c>
      <c r="I1018" s="173">
        <v>1.17</v>
      </c>
      <c r="J1018" s="121">
        <v>406705198</v>
      </c>
      <c r="K1018" s="125">
        <v>2244.0059999999999</v>
      </c>
      <c r="L1018" s="173">
        <v>1.5</v>
      </c>
      <c r="M1018">
        <v>1.17</v>
      </c>
      <c r="N1018">
        <v>1.000000005</v>
      </c>
      <c r="O1018">
        <v>16.999999499999994</v>
      </c>
      <c r="P1018">
        <v>1560.299</v>
      </c>
      <c r="Q1018" s="125">
        <v>0.17299999999999999</v>
      </c>
      <c r="R1018" s="125">
        <v>0.76800000000000002</v>
      </c>
      <c r="S1018" s="125">
        <v>2.262</v>
      </c>
      <c r="T1018" s="125">
        <v>58.756999999999998</v>
      </c>
      <c r="U1018" s="125">
        <v>1.2649999999999999</v>
      </c>
      <c r="V1018" s="125">
        <v>9.3179999999999996</v>
      </c>
      <c r="W1018" s="125">
        <v>0</v>
      </c>
      <c r="X1018" s="125">
        <v>0</v>
      </c>
      <c r="Y1018" s="125">
        <v>0</v>
      </c>
      <c r="Z1018" s="125">
        <v>0.66</v>
      </c>
      <c r="AA1018" s="125">
        <v>47.881</v>
      </c>
      <c r="AB1018" s="125">
        <v>71.766999999999996</v>
      </c>
      <c r="AC1018" s="125">
        <v>1105.2</v>
      </c>
      <c r="AD1018" s="125">
        <v>0.23699999999999999</v>
      </c>
      <c r="AE1018" s="125">
        <v>123.447</v>
      </c>
      <c r="AF1018" s="125">
        <v>78.014949999999999</v>
      </c>
      <c r="AG1018" s="125">
        <v>0</v>
      </c>
      <c r="AH1018" s="125">
        <v>0</v>
      </c>
      <c r="AI1018" s="121">
        <v>4946410</v>
      </c>
      <c r="AJ1018" s="121">
        <v>0</v>
      </c>
      <c r="AK1018" s="424">
        <v>12</v>
      </c>
      <c r="AL1018">
        <v>0</v>
      </c>
      <c r="AM1018" s="121">
        <v>86423</v>
      </c>
      <c r="AN1018" s="125">
        <v>0</v>
      </c>
      <c r="AO1018" s="125">
        <v>0</v>
      </c>
      <c r="AP1018" s="121">
        <v>4946410</v>
      </c>
      <c r="AQ1018" s="114">
        <v>0</v>
      </c>
      <c r="AR1018" s="121">
        <v>271.09321247000003</v>
      </c>
      <c r="AS1018" s="121">
        <v>53270.667545999997</v>
      </c>
      <c r="AT1018" s="121">
        <v>7015.7230278999996</v>
      </c>
      <c r="AU1018" s="420" t="s">
        <v>2001</v>
      </c>
      <c r="AV1018" s="420" t="s">
        <v>2001</v>
      </c>
      <c r="AW1018" s="121">
        <v>0</v>
      </c>
      <c r="AX1018" s="121">
        <v>0</v>
      </c>
      <c r="BI1018">
        <v>0</v>
      </c>
      <c r="BJ1018" s="121">
        <v>0</v>
      </c>
      <c r="BK1018" s="134">
        <v>406705198</v>
      </c>
      <c r="BL1018" s="934">
        <v>4554</v>
      </c>
      <c r="BM1018" s="934">
        <v>4744</v>
      </c>
      <c r="BN1018" s="934">
        <v>4744</v>
      </c>
      <c r="BO1018" s="114">
        <v>0</v>
      </c>
      <c r="BP1018" s="114">
        <v>0</v>
      </c>
    </row>
    <row r="1019" spans="1:68">
      <c r="A1019" t="s">
        <v>2970</v>
      </c>
      <c r="B1019" t="s">
        <v>29</v>
      </c>
      <c r="C1019" s="121">
        <v>5215</v>
      </c>
      <c r="D1019" s="72">
        <v>2</v>
      </c>
      <c r="E1019">
        <v>314.577</v>
      </c>
      <c r="F1019">
        <v>113</v>
      </c>
      <c r="G1019">
        <v>81</v>
      </c>
      <c r="H1019">
        <v>2</v>
      </c>
      <c r="I1019" s="173">
        <v>1.04</v>
      </c>
      <c r="J1019" s="121">
        <v>402504335</v>
      </c>
      <c r="K1019" s="125">
        <v>1632.627</v>
      </c>
      <c r="L1019" s="173">
        <v>1.5</v>
      </c>
      <c r="M1019">
        <v>1.04</v>
      </c>
      <c r="N1019">
        <v>1.000000005</v>
      </c>
      <c r="O1019">
        <v>3.9999995000000066</v>
      </c>
      <c r="P1019">
        <v>1116.192</v>
      </c>
      <c r="Q1019" s="125">
        <v>0</v>
      </c>
      <c r="R1019" s="125">
        <v>0</v>
      </c>
      <c r="S1019" s="125">
        <v>1.65</v>
      </c>
      <c r="T1019" s="125">
        <v>26.6</v>
      </c>
      <c r="U1019" s="125">
        <v>0.6</v>
      </c>
      <c r="V1019" s="125">
        <v>7.5</v>
      </c>
      <c r="W1019" s="125">
        <v>0.5</v>
      </c>
      <c r="X1019" s="125">
        <v>0</v>
      </c>
      <c r="Y1019" s="125">
        <v>0</v>
      </c>
      <c r="Z1019" s="125">
        <v>0</v>
      </c>
      <c r="AA1019" s="125">
        <v>50</v>
      </c>
      <c r="AB1019" s="125">
        <v>65</v>
      </c>
      <c r="AC1019" s="125">
        <v>594.70000000000005</v>
      </c>
      <c r="AD1019" s="125">
        <v>0</v>
      </c>
      <c r="AE1019" s="125">
        <v>75</v>
      </c>
      <c r="AF1019" s="125">
        <v>38</v>
      </c>
      <c r="AG1019" s="125">
        <v>0</v>
      </c>
      <c r="AH1019" s="125">
        <v>0</v>
      </c>
      <c r="AI1019" s="121">
        <v>4156508</v>
      </c>
      <c r="AJ1019" s="121">
        <v>321391</v>
      </c>
      <c r="AK1019" s="424">
        <v>12</v>
      </c>
      <c r="AL1019">
        <v>0</v>
      </c>
      <c r="AM1019" s="121">
        <v>344805</v>
      </c>
      <c r="AN1019" s="125">
        <v>0</v>
      </c>
      <c r="AO1019" s="125">
        <v>0</v>
      </c>
      <c r="AP1019" s="121">
        <v>4477899</v>
      </c>
      <c r="AQ1019" s="114">
        <v>0</v>
      </c>
      <c r="AR1019" s="121">
        <v>268.29308731999998</v>
      </c>
      <c r="AS1019" s="121">
        <v>52720.434160999997</v>
      </c>
      <c r="AT1019" s="121">
        <v>6943.2575379</v>
      </c>
      <c r="AU1019" s="420" t="s">
        <v>2001</v>
      </c>
      <c r="AV1019" s="420" t="s">
        <v>2001</v>
      </c>
      <c r="AW1019" s="121">
        <v>0</v>
      </c>
      <c r="AX1019" s="121">
        <v>338392</v>
      </c>
      <c r="BI1019">
        <v>0</v>
      </c>
      <c r="BJ1019" s="121">
        <v>0</v>
      </c>
      <c r="BK1019" s="134">
        <v>388400599</v>
      </c>
      <c r="BL1019" s="934">
        <v>4859</v>
      </c>
      <c r="BM1019" s="934">
        <v>5215</v>
      </c>
      <c r="BN1019" s="934">
        <v>5162</v>
      </c>
      <c r="BO1019" s="114">
        <v>0</v>
      </c>
      <c r="BP1019" s="114">
        <v>0</v>
      </c>
    </row>
    <row r="1020" spans="1:68">
      <c r="A1020" t="s">
        <v>2971</v>
      </c>
      <c r="B1020" t="s">
        <v>1548</v>
      </c>
      <c r="C1020" s="121">
        <v>5632</v>
      </c>
      <c r="D1020" s="72">
        <v>3</v>
      </c>
      <c r="E1020">
        <v>116.514</v>
      </c>
      <c r="F1020">
        <v>36</v>
      </c>
      <c r="G1020">
        <v>16</v>
      </c>
      <c r="H1020">
        <v>1</v>
      </c>
      <c r="I1020" s="173">
        <v>1.04</v>
      </c>
      <c r="J1020" s="121">
        <v>233837414</v>
      </c>
      <c r="K1020" s="125">
        <v>684.25900000000001</v>
      </c>
      <c r="L1020" s="173">
        <v>1.431</v>
      </c>
      <c r="M1020">
        <v>1.04</v>
      </c>
      <c r="N1020">
        <v>0.95400000477000002</v>
      </c>
      <c r="O1020">
        <v>8.599999523000001</v>
      </c>
      <c r="P1020">
        <v>406.04199999999997</v>
      </c>
      <c r="Q1020" s="125">
        <v>0.124</v>
      </c>
      <c r="R1020" s="125">
        <v>0</v>
      </c>
      <c r="S1020" s="125">
        <v>0.71199999999999997</v>
      </c>
      <c r="T1020" s="125">
        <v>8.7129999999999992</v>
      </c>
      <c r="U1020" s="125">
        <v>3.1230000000000002</v>
      </c>
      <c r="V1020" s="125">
        <v>1.278</v>
      </c>
      <c r="W1020" s="125">
        <v>0</v>
      </c>
      <c r="X1020" s="125">
        <v>0</v>
      </c>
      <c r="Y1020" s="125">
        <v>0</v>
      </c>
      <c r="Z1020" s="125">
        <v>0.187</v>
      </c>
      <c r="AA1020" s="125">
        <v>12.132</v>
      </c>
      <c r="AB1020" s="125">
        <v>18.161000000000001</v>
      </c>
      <c r="AC1020" s="125">
        <v>276</v>
      </c>
      <c r="AD1020" s="125">
        <v>0</v>
      </c>
      <c r="AE1020" s="125">
        <v>33.616999999999997</v>
      </c>
      <c r="AF1020" s="125">
        <v>20.302</v>
      </c>
      <c r="AG1020" s="125">
        <v>0</v>
      </c>
      <c r="AH1020" s="125">
        <v>0</v>
      </c>
      <c r="AI1020" s="121">
        <v>2476899</v>
      </c>
      <c r="AJ1020" s="121">
        <v>273260</v>
      </c>
      <c r="AK1020" s="424">
        <v>12</v>
      </c>
      <c r="AL1020">
        <v>0</v>
      </c>
      <c r="AM1020" s="121">
        <v>46931</v>
      </c>
      <c r="AN1020" s="125">
        <v>0</v>
      </c>
      <c r="AO1020" s="125">
        <v>0</v>
      </c>
      <c r="AP1020" s="121">
        <v>2750159</v>
      </c>
      <c r="AQ1020" s="114">
        <v>0</v>
      </c>
      <c r="AR1020" s="121">
        <v>155.86654920999999</v>
      </c>
      <c r="AS1020" s="121">
        <v>30628.266376</v>
      </c>
      <c r="AT1020" s="121">
        <v>4033.7289473000001</v>
      </c>
      <c r="AU1020" s="420" t="s">
        <v>798</v>
      </c>
      <c r="AV1020" s="420" t="s">
        <v>2001</v>
      </c>
      <c r="AW1020" s="121">
        <v>0</v>
      </c>
      <c r="AX1020" s="121">
        <v>176660</v>
      </c>
      <c r="AY1020" s="134">
        <v>192482</v>
      </c>
      <c r="AZ1020" s="134">
        <v>1147645</v>
      </c>
      <c r="BA1020" s="114">
        <v>479</v>
      </c>
      <c r="BB1020" s="134">
        <v>75418096</v>
      </c>
      <c r="BC1020" s="114">
        <v>0</v>
      </c>
      <c r="BD1020" s="114">
        <v>0</v>
      </c>
      <c r="BE1020" s="114">
        <v>0</v>
      </c>
      <c r="BF1020" s="114">
        <v>367</v>
      </c>
      <c r="BG1020" s="114">
        <v>0</v>
      </c>
      <c r="BH1020" s="114">
        <v>0</v>
      </c>
      <c r="BI1020">
        <v>0</v>
      </c>
      <c r="BJ1020" s="121">
        <v>0</v>
      </c>
      <c r="BK1020" s="134">
        <v>233837414</v>
      </c>
      <c r="BL1020" s="934">
        <v>4754</v>
      </c>
      <c r="BM1020" s="934">
        <v>5614</v>
      </c>
      <c r="BN1020" s="934">
        <v>5632</v>
      </c>
      <c r="BO1020" s="114">
        <v>0</v>
      </c>
      <c r="BP1020" s="114">
        <v>0</v>
      </c>
    </row>
    <row r="1021" spans="1:68">
      <c r="A1021" t="s">
        <v>705</v>
      </c>
      <c r="B1021" t="s">
        <v>1549</v>
      </c>
      <c r="C1021" s="121">
        <v>4675</v>
      </c>
      <c r="D1021" s="72">
        <v>2</v>
      </c>
      <c r="E1021">
        <v>225.90799999999999</v>
      </c>
      <c r="F1021">
        <v>76</v>
      </c>
      <c r="G1021">
        <v>52</v>
      </c>
      <c r="H1021">
        <v>5</v>
      </c>
      <c r="I1021" s="173">
        <v>1.04</v>
      </c>
      <c r="J1021" s="121">
        <v>204567235</v>
      </c>
      <c r="K1021" s="125">
        <v>1299.453</v>
      </c>
      <c r="L1021" s="173">
        <v>1.5</v>
      </c>
      <c r="M1021">
        <v>1.04</v>
      </c>
      <c r="N1021">
        <v>1.000000005</v>
      </c>
      <c r="O1021">
        <v>3.9999995000000066</v>
      </c>
      <c r="P1021">
        <v>796.50699999999995</v>
      </c>
      <c r="Q1021" s="125">
        <v>0</v>
      </c>
      <c r="R1021" s="125">
        <v>0</v>
      </c>
      <c r="S1021" s="125">
        <v>1.05</v>
      </c>
      <c r="T1021" s="125">
        <v>42.05</v>
      </c>
      <c r="U1021" s="125">
        <v>0.34899999999999998</v>
      </c>
      <c r="V1021" s="125">
        <v>2.8769999999999998</v>
      </c>
      <c r="W1021" s="125">
        <v>0.48899999999999999</v>
      </c>
      <c r="X1021" s="125">
        <v>0</v>
      </c>
      <c r="Y1021" s="125">
        <v>0</v>
      </c>
      <c r="Z1021" s="125">
        <v>0.25</v>
      </c>
      <c r="AA1021" s="125">
        <v>26.869</v>
      </c>
      <c r="AB1021" s="125">
        <v>29.623999999999999</v>
      </c>
      <c r="AC1021" s="125">
        <v>527</v>
      </c>
      <c r="AD1021" s="125">
        <v>0.59899999999999998</v>
      </c>
      <c r="AE1021" s="125">
        <v>33.006999999999998</v>
      </c>
      <c r="AF1021" s="125">
        <v>39.825000000000003</v>
      </c>
      <c r="AG1021" s="125">
        <v>0</v>
      </c>
      <c r="AH1021" s="125">
        <v>0</v>
      </c>
      <c r="AI1021" s="121">
        <v>2323229</v>
      </c>
      <c r="AJ1021" s="121">
        <v>160364</v>
      </c>
      <c r="AK1021" s="424">
        <v>12</v>
      </c>
      <c r="AL1021">
        <v>0</v>
      </c>
      <c r="AM1021" s="121">
        <v>57306</v>
      </c>
      <c r="AN1021" s="125">
        <v>0</v>
      </c>
      <c r="AO1021" s="125">
        <v>0</v>
      </c>
      <c r="AP1021" s="121">
        <v>2483593</v>
      </c>
      <c r="AQ1021" s="114">
        <v>0</v>
      </c>
      <c r="AR1021" s="121">
        <v>136.35623340000001</v>
      </c>
      <c r="AS1021" s="121">
        <v>26794.428053</v>
      </c>
      <c r="AT1021" s="121">
        <v>3528.8141593</v>
      </c>
      <c r="AU1021" s="420" t="s">
        <v>2001</v>
      </c>
      <c r="AV1021" s="420" t="s">
        <v>2001</v>
      </c>
      <c r="AW1021" s="121">
        <v>0</v>
      </c>
      <c r="AX1021" s="121">
        <v>149824</v>
      </c>
      <c r="BI1021">
        <v>0</v>
      </c>
      <c r="BJ1021" s="121">
        <v>0</v>
      </c>
      <c r="BK1021" s="134">
        <v>204567235</v>
      </c>
      <c r="BL1021" s="934">
        <v>4669</v>
      </c>
      <c r="BM1021" s="934">
        <v>4675</v>
      </c>
      <c r="BN1021" s="934">
        <v>4675</v>
      </c>
      <c r="BO1021" s="114">
        <v>0</v>
      </c>
      <c r="BP1021" s="114">
        <v>0</v>
      </c>
    </row>
    <row r="1022" spans="1:68">
      <c r="A1022" t="s">
        <v>777</v>
      </c>
      <c r="B1022" t="s">
        <v>1550</v>
      </c>
      <c r="C1022" s="121">
        <v>4793</v>
      </c>
      <c r="D1022" s="72">
        <v>2</v>
      </c>
      <c r="E1022">
        <v>381.14699999999999</v>
      </c>
      <c r="F1022">
        <v>110</v>
      </c>
      <c r="G1022">
        <v>90</v>
      </c>
      <c r="H1022">
        <v>8</v>
      </c>
      <c r="I1022" s="173">
        <v>1.04</v>
      </c>
      <c r="J1022" s="121">
        <v>386612238</v>
      </c>
      <c r="K1022" s="125">
        <v>1855.3420000000001</v>
      </c>
      <c r="L1022" s="173">
        <v>1.5</v>
      </c>
      <c r="M1022">
        <v>1.04</v>
      </c>
      <c r="N1022">
        <v>1.000000005</v>
      </c>
      <c r="O1022">
        <v>3.9999995000000066</v>
      </c>
      <c r="P1022">
        <v>1330</v>
      </c>
      <c r="Q1022" s="125">
        <v>0.14000000000000001</v>
      </c>
      <c r="R1022" s="125">
        <v>0</v>
      </c>
      <c r="S1022" s="125">
        <v>2.27</v>
      </c>
      <c r="T1022" s="125">
        <v>45.19</v>
      </c>
      <c r="U1022" s="125">
        <v>1.04</v>
      </c>
      <c r="V1022" s="125">
        <v>10.82</v>
      </c>
      <c r="W1022" s="125">
        <v>0</v>
      </c>
      <c r="X1022" s="125">
        <v>0</v>
      </c>
      <c r="Y1022" s="125">
        <v>0</v>
      </c>
      <c r="Z1022" s="125">
        <v>0</v>
      </c>
      <c r="AA1022" s="125">
        <v>38.42</v>
      </c>
      <c r="AB1022" s="125">
        <v>56.31</v>
      </c>
      <c r="AC1022" s="125">
        <v>701</v>
      </c>
      <c r="AD1022" s="125">
        <v>0</v>
      </c>
      <c r="AE1022" s="125">
        <v>83.45</v>
      </c>
      <c r="AF1022" s="125">
        <v>63.927999999999997</v>
      </c>
      <c r="AG1022" s="125">
        <v>0</v>
      </c>
      <c r="AH1022" s="125">
        <v>0</v>
      </c>
      <c r="AI1022" s="121">
        <v>4179588</v>
      </c>
      <c r="AJ1022" s="121">
        <v>204</v>
      </c>
      <c r="AK1022" s="424">
        <v>12</v>
      </c>
      <c r="AL1022">
        <v>0</v>
      </c>
      <c r="AM1022" s="121">
        <v>107427</v>
      </c>
      <c r="AN1022" s="125">
        <v>0</v>
      </c>
      <c r="AO1022" s="125">
        <v>0</v>
      </c>
      <c r="AP1022" s="121">
        <v>4179792</v>
      </c>
      <c r="AQ1022" s="114">
        <v>0</v>
      </c>
      <c r="AR1022" s="121">
        <v>257.70005914000001</v>
      </c>
      <c r="AS1022" s="121">
        <v>50638.870860000003</v>
      </c>
      <c r="AT1022" s="121">
        <v>6669.1165846000004</v>
      </c>
      <c r="AU1022" s="420" t="s">
        <v>2001</v>
      </c>
      <c r="AV1022" s="420" t="s">
        <v>2001</v>
      </c>
      <c r="AW1022" s="121">
        <v>0</v>
      </c>
      <c r="AX1022" s="121">
        <v>0</v>
      </c>
      <c r="BI1022">
        <v>0</v>
      </c>
      <c r="BJ1022" s="121">
        <v>0</v>
      </c>
      <c r="BK1022" s="134">
        <v>386612238</v>
      </c>
      <c r="BL1022" s="934">
        <v>4586</v>
      </c>
      <c r="BM1022" s="934">
        <v>4793</v>
      </c>
      <c r="BN1022" s="934">
        <v>4793</v>
      </c>
      <c r="BO1022" s="114">
        <v>0</v>
      </c>
      <c r="BP1022" s="114">
        <v>0</v>
      </c>
    </row>
    <row r="1023" spans="1:68">
      <c r="A1023" t="s">
        <v>778</v>
      </c>
      <c r="B1023" t="s">
        <v>1551</v>
      </c>
      <c r="C1023" s="121">
        <v>7704</v>
      </c>
      <c r="D1023" s="72">
        <v>2</v>
      </c>
      <c r="E1023">
        <v>351.87299999999999</v>
      </c>
      <c r="F1023">
        <v>118</v>
      </c>
      <c r="G1023">
        <v>81</v>
      </c>
      <c r="H1023">
        <v>9</v>
      </c>
      <c r="I1023" s="173">
        <v>1.04</v>
      </c>
      <c r="J1023" s="121">
        <v>2632043564</v>
      </c>
      <c r="K1023" s="125">
        <v>1836.268</v>
      </c>
      <c r="L1023" s="173">
        <v>1.5</v>
      </c>
      <c r="M1023">
        <v>1.04</v>
      </c>
      <c r="N1023">
        <v>1.000000005</v>
      </c>
      <c r="O1023">
        <v>3.9999995000000066</v>
      </c>
      <c r="P1023">
        <v>1260</v>
      </c>
      <c r="Q1023" s="125">
        <v>0</v>
      </c>
      <c r="R1023" s="125">
        <v>0</v>
      </c>
      <c r="S1023" s="125">
        <v>1.75</v>
      </c>
      <c r="T1023" s="125">
        <v>21.611999999999998</v>
      </c>
      <c r="U1023" s="125">
        <v>4</v>
      </c>
      <c r="V1023" s="125">
        <v>0</v>
      </c>
      <c r="W1023" s="125">
        <v>0</v>
      </c>
      <c r="X1023" s="125">
        <v>0</v>
      </c>
      <c r="Y1023" s="125">
        <v>0</v>
      </c>
      <c r="Z1023" s="125">
        <v>0</v>
      </c>
      <c r="AA1023" s="125">
        <v>44.5</v>
      </c>
      <c r="AB1023" s="125">
        <v>72.713999999999999</v>
      </c>
      <c r="AC1023" s="125">
        <v>882</v>
      </c>
      <c r="AD1023" s="125">
        <v>0.47199999999999998</v>
      </c>
      <c r="AE1023" s="125">
        <v>143.1</v>
      </c>
      <c r="AF1023" s="125">
        <v>63</v>
      </c>
      <c r="AG1023" s="125">
        <v>0</v>
      </c>
      <c r="AH1023" s="125">
        <v>0</v>
      </c>
      <c r="AI1023" s="121">
        <v>27403566</v>
      </c>
      <c r="AJ1023" s="121">
        <v>1799135</v>
      </c>
      <c r="AK1023" s="424">
        <v>12</v>
      </c>
      <c r="AL1023">
        <v>0</v>
      </c>
      <c r="AM1023" s="121">
        <v>76001</v>
      </c>
      <c r="AN1023" s="125">
        <v>0</v>
      </c>
      <c r="AO1023" s="125">
        <v>0</v>
      </c>
      <c r="AP1023" s="121">
        <v>29202701</v>
      </c>
      <c r="AQ1023" s="114">
        <v>0</v>
      </c>
      <c r="AR1023" s="121">
        <v>0</v>
      </c>
      <c r="AS1023" s="121">
        <v>0</v>
      </c>
      <c r="AT1023" s="121">
        <v>0</v>
      </c>
      <c r="AU1023" s="420" t="s">
        <v>798</v>
      </c>
      <c r="AV1023" s="420" t="s">
        <v>2001</v>
      </c>
      <c r="AW1023" s="121">
        <v>0</v>
      </c>
      <c r="AX1023" s="121">
        <v>1760445</v>
      </c>
      <c r="AY1023" s="134">
        <v>5151413</v>
      </c>
      <c r="AZ1023" s="134">
        <v>5362796</v>
      </c>
      <c r="BA1023" s="134">
        <v>2031</v>
      </c>
      <c r="BB1023" s="134">
        <v>2012148981</v>
      </c>
      <c r="BC1023" s="114">
        <v>0</v>
      </c>
      <c r="BD1023" s="114">
        <v>0</v>
      </c>
      <c r="BE1023" s="114">
        <v>0</v>
      </c>
      <c r="BF1023" s="134">
        <v>1469</v>
      </c>
      <c r="BG1023" s="114">
        <v>0</v>
      </c>
      <c r="BH1023" s="114">
        <v>0</v>
      </c>
      <c r="BI1023">
        <v>0</v>
      </c>
      <c r="BJ1023" s="121">
        <v>534</v>
      </c>
      <c r="BK1023" s="134">
        <v>2509484031</v>
      </c>
      <c r="BL1023" s="934">
        <v>7671</v>
      </c>
      <c r="BM1023" s="934">
        <v>7704</v>
      </c>
      <c r="BN1023" s="934">
        <v>7704</v>
      </c>
      <c r="BO1023" s="114">
        <v>0</v>
      </c>
      <c r="BP1023" s="114">
        <v>0</v>
      </c>
    </row>
    <row r="1024" spans="1:68">
      <c r="A1024" t="s">
        <v>1660</v>
      </c>
      <c r="B1024" t="s">
        <v>1552</v>
      </c>
      <c r="C1024" s="121">
        <v>5957</v>
      </c>
      <c r="D1024" s="72">
        <v>3</v>
      </c>
      <c r="E1024">
        <v>132.54</v>
      </c>
      <c r="F1024">
        <v>54</v>
      </c>
      <c r="G1024">
        <v>29</v>
      </c>
      <c r="H1024">
        <v>2</v>
      </c>
      <c r="I1024" s="173">
        <v>0.9909</v>
      </c>
      <c r="J1024" s="121">
        <v>846655358</v>
      </c>
      <c r="K1024" s="125">
        <v>871.86599999999999</v>
      </c>
      <c r="L1024" s="173">
        <v>1.3785000000000001</v>
      </c>
      <c r="M1024">
        <v>0.9909</v>
      </c>
      <c r="N1024">
        <v>0.91900000459500009</v>
      </c>
      <c r="O1024">
        <v>7.1899995404999917</v>
      </c>
      <c r="P1024">
        <v>407.35599999999999</v>
      </c>
      <c r="Q1024" s="125">
        <v>0</v>
      </c>
      <c r="R1024" s="125">
        <v>0</v>
      </c>
      <c r="S1024" s="125">
        <v>0.496</v>
      </c>
      <c r="T1024" s="125">
        <v>3.5950000000000002</v>
      </c>
      <c r="U1024" s="125">
        <v>2.4830000000000001</v>
      </c>
      <c r="V1024" s="125">
        <v>0.159</v>
      </c>
      <c r="W1024" s="125">
        <v>0</v>
      </c>
      <c r="X1024" s="125">
        <v>0</v>
      </c>
      <c r="Y1024" s="125">
        <v>0</v>
      </c>
      <c r="Z1024" s="125">
        <v>0</v>
      </c>
      <c r="AA1024" s="125">
        <v>40.454999999999998</v>
      </c>
      <c r="AB1024" s="125">
        <v>18.347999999999999</v>
      </c>
      <c r="AC1024" s="125">
        <v>396.2</v>
      </c>
      <c r="AD1024" s="125">
        <v>0</v>
      </c>
      <c r="AE1024" s="125">
        <v>98.796999999999997</v>
      </c>
      <c r="AF1024" s="125">
        <v>20.367799999999999</v>
      </c>
      <c r="AG1024" s="125">
        <v>0</v>
      </c>
      <c r="AH1024" s="125">
        <v>0</v>
      </c>
      <c r="AI1024" s="121">
        <v>8138506</v>
      </c>
      <c r="AJ1024" s="121">
        <v>0</v>
      </c>
      <c r="AK1024" s="424">
        <v>12</v>
      </c>
      <c r="AL1024">
        <v>0</v>
      </c>
      <c r="AM1024" s="121">
        <v>57047</v>
      </c>
      <c r="AN1024" s="125">
        <v>0</v>
      </c>
      <c r="AO1024" s="125">
        <v>0</v>
      </c>
      <c r="AP1024" s="121">
        <v>8138506</v>
      </c>
      <c r="AQ1024" s="114">
        <v>0</v>
      </c>
      <c r="AR1024" s="121">
        <v>0</v>
      </c>
      <c r="AS1024" s="121">
        <v>0</v>
      </c>
      <c r="AT1024" s="121">
        <v>0</v>
      </c>
      <c r="AU1024" s="420" t="s">
        <v>798</v>
      </c>
      <c r="AV1024" s="420" t="s">
        <v>2001</v>
      </c>
      <c r="AW1024" s="121">
        <v>0</v>
      </c>
      <c r="AX1024" s="121">
        <v>0</v>
      </c>
      <c r="AY1024" s="134">
        <v>1660252</v>
      </c>
      <c r="AZ1024" s="134">
        <v>2253690</v>
      </c>
      <c r="BA1024" s="114">
        <v>963</v>
      </c>
      <c r="BB1024" s="134">
        <v>791629153</v>
      </c>
      <c r="BC1024" s="114">
        <v>0</v>
      </c>
      <c r="BD1024" s="114">
        <v>0</v>
      </c>
      <c r="BE1024" s="114">
        <v>0</v>
      </c>
      <c r="BF1024" s="114">
        <v>471</v>
      </c>
      <c r="BG1024" s="114">
        <v>0</v>
      </c>
      <c r="BH1024" s="114">
        <v>0</v>
      </c>
      <c r="BI1024">
        <v>0</v>
      </c>
      <c r="BJ1024" s="121">
        <v>0</v>
      </c>
      <c r="BK1024" s="134">
        <v>790115097</v>
      </c>
      <c r="BL1024" s="934">
        <v>5831</v>
      </c>
      <c r="BM1024" s="934">
        <v>5816</v>
      </c>
      <c r="BN1024" s="934">
        <v>5957</v>
      </c>
      <c r="BO1024" s="114">
        <v>0</v>
      </c>
      <c r="BP1024" s="114">
        <v>0</v>
      </c>
    </row>
    <row r="1025" spans="1:68">
      <c r="A1025" t="s">
        <v>1020</v>
      </c>
      <c r="B1025" t="s">
        <v>974</v>
      </c>
      <c r="C1025" s="121">
        <v>4690</v>
      </c>
      <c r="D1025" s="72">
        <v>2</v>
      </c>
      <c r="E1025">
        <v>689.23199999999997</v>
      </c>
      <c r="F1025">
        <v>183</v>
      </c>
      <c r="G1025">
        <v>136</v>
      </c>
      <c r="H1025">
        <v>17</v>
      </c>
      <c r="I1025" s="173">
        <v>1.0314000000000001</v>
      </c>
      <c r="J1025" s="121">
        <v>608302861</v>
      </c>
      <c r="K1025" s="125">
        <v>3097.4189999999999</v>
      </c>
      <c r="L1025" s="173">
        <v>1.43</v>
      </c>
      <c r="M1025">
        <v>1.0314000000000001</v>
      </c>
      <c r="N1025">
        <v>0.95333333809999998</v>
      </c>
      <c r="O1025">
        <v>7.8066661900000112</v>
      </c>
      <c r="P1025">
        <v>2230</v>
      </c>
      <c r="Q1025" s="125">
        <v>6.5000000000000002E-2</v>
      </c>
      <c r="R1025" s="125">
        <v>0</v>
      </c>
      <c r="S1025" s="125">
        <v>2.7</v>
      </c>
      <c r="T1025" s="125">
        <v>58</v>
      </c>
      <c r="U1025" s="125">
        <v>16</v>
      </c>
      <c r="V1025" s="125">
        <v>0</v>
      </c>
      <c r="W1025" s="125">
        <v>17</v>
      </c>
      <c r="X1025" s="125">
        <v>0</v>
      </c>
      <c r="Y1025" s="125">
        <v>0</v>
      </c>
      <c r="Z1025" s="125">
        <v>2</v>
      </c>
      <c r="AA1025" s="125">
        <v>72</v>
      </c>
      <c r="AB1025" s="125">
        <v>120</v>
      </c>
      <c r="AC1025" s="125">
        <v>1125</v>
      </c>
      <c r="AD1025" s="125">
        <v>0.8</v>
      </c>
      <c r="AE1025" s="125">
        <v>140</v>
      </c>
      <c r="AF1025" s="125">
        <v>111.5</v>
      </c>
      <c r="AG1025" s="125">
        <v>0</v>
      </c>
      <c r="AH1025" s="125">
        <v>0</v>
      </c>
      <c r="AI1025" s="121">
        <v>6251922</v>
      </c>
      <c r="AJ1025" s="121">
        <v>367641</v>
      </c>
      <c r="AK1025" s="424">
        <v>12</v>
      </c>
      <c r="AL1025">
        <v>0</v>
      </c>
      <c r="AM1025" s="121">
        <v>138658</v>
      </c>
      <c r="AN1025" s="125">
        <v>0</v>
      </c>
      <c r="AO1025" s="125">
        <v>0</v>
      </c>
      <c r="AP1025" s="121">
        <v>6619563</v>
      </c>
      <c r="AQ1025" s="114">
        <v>0</v>
      </c>
      <c r="AR1025" s="121">
        <v>405.47004955</v>
      </c>
      <c r="AS1025" s="121">
        <v>79676.138007000001</v>
      </c>
      <c r="AT1025" s="121">
        <v>10493.311647</v>
      </c>
      <c r="AU1025" s="420" t="s">
        <v>2001</v>
      </c>
      <c r="AV1025" s="420" t="s">
        <v>2001</v>
      </c>
      <c r="AW1025" s="121">
        <v>0</v>
      </c>
      <c r="AX1025" s="121">
        <v>2118184</v>
      </c>
      <c r="BI1025">
        <v>0</v>
      </c>
      <c r="BJ1025" s="121">
        <v>0</v>
      </c>
      <c r="BK1025" s="134">
        <v>577294098</v>
      </c>
      <c r="BL1025" s="934">
        <v>4576</v>
      </c>
      <c r="BM1025" s="934">
        <v>4690</v>
      </c>
      <c r="BN1025" s="934">
        <v>4633</v>
      </c>
      <c r="BO1025" s="114">
        <v>0</v>
      </c>
      <c r="BP1025" s="114">
        <v>0</v>
      </c>
    </row>
    <row r="1026" spans="1:68">
      <c r="A1026" t="s">
        <v>1661</v>
      </c>
      <c r="B1026" t="s">
        <v>1553</v>
      </c>
      <c r="C1026" s="121">
        <v>4702</v>
      </c>
      <c r="D1026" s="72">
        <v>1</v>
      </c>
      <c r="E1026">
        <v>58.113</v>
      </c>
      <c r="F1026">
        <v>19</v>
      </c>
      <c r="G1026">
        <v>14</v>
      </c>
      <c r="H1026">
        <v>2</v>
      </c>
      <c r="I1026" s="173">
        <v>1.17</v>
      </c>
      <c r="J1026" s="121">
        <v>44687420</v>
      </c>
      <c r="K1026" s="125">
        <v>299.32900000000001</v>
      </c>
      <c r="L1026" s="173">
        <v>1.5</v>
      </c>
      <c r="M1026">
        <v>1.17</v>
      </c>
      <c r="N1026">
        <v>1.000000005</v>
      </c>
      <c r="O1026">
        <v>16.999999499999994</v>
      </c>
      <c r="P1026">
        <v>160.714</v>
      </c>
      <c r="Q1026" s="125">
        <v>1.7000000000000001E-2</v>
      </c>
      <c r="R1026" s="125">
        <v>0</v>
      </c>
      <c r="S1026" s="125">
        <v>0.22900000000000001</v>
      </c>
      <c r="T1026" s="125">
        <v>3.8860000000000001</v>
      </c>
      <c r="U1026" s="125">
        <v>4.5119999999999996</v>
      </c>
      <c r="V1026" s="125">
        <v>0</v>
      </c>
      <c r="W1026" s="125">
        <v>0</v>
      </c>
      <c r="X1026" s="125">
        <v>0</v>
      </c>
      <c r="Y1026" s="125">
        <v>0</v>
      </c>
      <c r="Z1026" s="125">
        <v>0</v>
      </c>
      <c r="AA1026" s="125">
        <v>1.873</v>
      </c>
      <c r="AB1026" s="125">
        <v>11.94</v>
      </c>
      <c r="AC1026" s="125">
        <v>140.19999999999999</v>
      </c>
      <c r="AD1026" s="125">
        <v>0</v>
      </c>
      <c r="AE1026" s="125">
        <v>2.3639999999999999</v>
      </c>
      <c r="AF1026" s="125">
        <v>8.0357000000000003</v>
      </c>
      <c r="AG1026" s="125">
        <v>0</v>
      </c>
      <c r="AH1026" s="125">
        <v>0</v>
      </c>
      <c r="AI1026" s="121">
        <v>516501</v>
      </c>
      <c r="AJ1026" s="121">
        <v>0</v>
      </c>
      <c r="AK1026" s="424">
        <v>12</v>
      </c>
      <c r="AL1026">
        <v>0</v>
      </c>
      <c r="AM1026" s="121">
        <v>14082</v>
      </c>
      <c r="AN1026" s="125">
        <v>0</v>
      </c>
      <c r="AO1026" s="125">
        <v>0</v>
      </c>
      <c r="AP1026" s="121">
        <v>516501</v>
      </c>
      <c r="AQ1026" s="114">
        <v>0</v>
      </c>
      <c r="AR1026" s="121">
        <v>29.786824299999999</v>
      </c>
      <c r="AS1026" s="121">
        <v>5853.2045125000004</v>
      </c>
      <c r="AT1026" s="121">
        <v>770.86440958000003</v>
      </c>
      <c r="AU1026" s="420" t="s">
        <v>2001</v>
      </c>
      <c r="AV1026" s="420" t="s">
        <v>2001</v>
      </c>
      <c r="AW1026" s="121">
        <v>0</v>
      </c>
      <c r="AX1026" s="121">
        <v>0</v>
      </c>
      <c r="BI1026">
        <v>0</v>
      </c>
      <c r="BJ1026" s="121">
        <v>0</v>
      </c>
      <c r="BK1026" s="134">
        <v>43343496</v>
      </c>
      <c r="BL1026" s="934">
        <v>4702</v>
      </c>
      <c r="BM1026" s="934">
        <v>4649</v>
      </c>
      <c r="BN1026" s="934">
        <v>4649</v>
      </c>
      <c r="BO1026" s="114">
        <v>0</v>
      </c>
      <c r="BP1026" s="114">
        <v>0</v>
      </c>
    </row>
    <row r="1027" spans="1:68">
      <c r="A1027" t="s">
        <v>1696</v>
      </c>
      <c r="B1027" t="s">
        <v>933</v>
      </c>
      <c r="C1027" s="121">
        <v>4625</v>
      </c>
      <c r="D1027" s="72">
        <v>2</v>
      </c>
      <c r="E1027">
        <v>198.434</v>
      </c>
      <c r="F1027">
        <v>79</v>
      </c>
      <c r="G1027">
        <v>50</v>
      </c>
      <c r="H1027">
        <v>9</v>
      </c>
      <c r="I1027" s="173">
        <v>1.17</v>
      </c>
      <c r="J1027" s="121">
        <v>161157866</v>
      </c>
      <c r="K1027" s="125">
        <v>1404.65</v>
      </c>
      <c r="L1027" s="173">
        <v>1.5</v>
      </c>
      <c r="M1027">
        <v>1.17</v>
      </c>
      <c r="N1027">
        <v>1.000000005</v>
      </c>
      <c r="O1027">
        <v>16.999999499999994</v>
      </c>
      <c r="P1027">
        <v>781.37900000000002</v>
      </c>
      <c r="Q1027" s="125">
        <v>0</v>
      </c>
      <c r="R1027" s="125">
        <v>0</v>
      </c>
      <c r="S1027" s="125">
        <v>1.355</v>
      </c>
      <c r="T1027" s="125">
        <v>26.582999999999998</v>
      </c>
      <c r="U1027" s="125">
        <v>8.11</v>
      </c>
      <c r="V1027" s="125">
        <v>0</v>
      </c>
      <c r="W1027" s="125">
        <v>1.9770000000000001</v>
      </c>
      <c r="X1027" s="125">
        <v>0</v>
      </c>
      <c r="Y1027" s="125">
        <v>0</v>
      </c>
      <c r="Z1027" s="125">
        <v>0</v>
      </c>
      <c r="AA1027" s="125">
        <v>23.103000000000002</v>
      </c>
      <c r="AB1027" s="125">
        <v>58.718000000000004</v>
      </c>
      <c r="AC1027" s="125">
        <v>470</v>
      </c>
      <c r="AD1027" s="125">
        <v>0</v>
      </c>
      <c r="AE1027" s="125">
        <v>34.69</v>
      </c>
      <c r="AF1027" s="125">
        <v>39</v>
      </c>
      <c r="AG1027" s="125">
        <v>0</v>
      </c>
      <c r="AH1027" s="125">
        <v>0</v>
      </c>
      <c r="AI1027" s="121">
        <v>1920430</v>
      </c>
      <c r="AJ1027" s="121">
        <v>306023</v>
      </c>
      <c r="AK1027" s="424">
        <v>12</v>
      </c>
      <c r="AL1027">
        <v>0</v>
      </c>
      <c r="AM1027" s="121">
        <v>27303</v>
      </c>
      <c r="AN1027" s="125">
        <v>0</v>
      </c>
      <c r="AO1027" s="125">
        <v>0</v>
      </c>
      <c r="AP1027" s="121">
        <v>2226453</v>
      </c>
      <c r="AQ1027" s="114">
        <v>0</v>
      </c>
      <c r="AR1027" s="121">
        <v>107.4213062</v>
      </c>
      <c r="AS1027" s="121">
        <v>21108.623996999999</v>
      </c>
      <c r="AT1027" s="121">
        <v>2779.9963146999999</v>
      </c>
      <c r="AU1027" s="420" t="s">
        <v>2001</v>
      </c>
      <c r="AV1027" s="420" t="s">
        <v>2001</v>
      </c>
      <c r="AW1027" s="121">
        <v>0</v>
      </c>
      <c r="AX1027" s="121">
        <v>482305</v>
      </c>
      <c r="BI1027">
        <v>0</v>
      </c>
      <c r="BJ1027" s="121">
        <v>0</v>
      </c>
      <c r="BK1027" s="134">
        <v>161157866</v>
      </c>
      <c r="BL1027" s="934">
        <v>4559</v>
      </c>
      <c r="BM1027" s="934">
        <v>4625</v>
      </c>
      <c r="BN1027" s="934">
        <v>4623</v>
      </c>
      <c r="BO1027" s="114">
        <v>0</v>
      </c>
      <c r="BP1027" s="114">
        <v>0</v>
      </c>
    </row>
    <row r="1028" spans="1:68">
      <c r="A1028" t="s">
        <v>556</v>
      </c>
      <c r="B1028" t="s">
        <v>1554</v>
      </c>
      <c r="C1028" s="121">
        <v>6791</v>
      </c>
      <c r="D1028" s="72">
        <v>2</v>
      </c>
      <c r="E1028">
        <v>801.20500000000004</v>
      </c>
      <c r="F1028">
        <v>267</v>
      </c>
      <c r="G1028">
        <v>240</v>
      </c>
      <c r="H1028">
        <v>18</v>
      </c>
      <c r="I1028" s="173">
        <v>1.04</v>
      </c>
      <c r="J1028" s="121">
        <v>3517292944</v>
      </c>
      <c r="K1028" s="125">
        <v>4193.3959999999997</v>
      </c>
      <c r="L1028" s="173">
        <v>1.5</v>
      </c>
      <c r="M1028">
        <v>1.04</v>
      </c>
      <c r="N1028">
        <v>1.000000005</v>
      </c>
      <c r="O1028">
        <v>3.9999995000000066</v>
      </c>
      <c r="P1028">
        <v>2988.1460000000002</v>
      </c>
      <c r="Q1028" s="125">
        <v>0.38900000000000001</v>
      </c>
      <c r="R1028" s="125">
        <v>0</v>
      </c>
      <c r="S1028" s="125">
        <v>3.0430000000000001</v>
      </c>
      <c r="T1028" s="125">
        <v>84.834000000000003</v>
      </c>
      <c r="U1028" s="125">
        <v>22.42</v>
      </c>
      <c r="V1028" s="125">
        <v>0</v>
      </c>
      <c r="W1028" s="125">
        <v>0</v>
      </c>
      <c r="X1028" s="125">
        <v>0</v>
      </c>
      <c r="Y1028" s="125">
        <v>0</v>
      </c>
      <c r="Z1028" s="125">
        <v>0</v>
      </c>
      <c r="AA1028" s="125">
        <v>30.774000000000001</v>
      </c>
      <c r="AB1028" s="125">
        <v>174.589</v>
      </c>
      <c r="AC1028" s="125">
        <v>2901.8</v>
      </c>
      <c r="AD1028" s="125">
        <v>0.44900000000000001</v>
      </c>
      <c r="AE1028" s="125">
        <v>1114.5</v>
      </c>
      <c r="AF1028" s="125">
        <v>149.40700000000001</v>
      </c>
      <c r="AG1028" s="125">
        <v>0</v>
      </c>
      <c r="AH1028" s="125">
        <v>0</v>
      </c>
      <c r="AI1028" s="121">
        <v>33434451</v>
      </c>
      <c r="AJ1028" s="121">
        <v>3583990</v>
      </c>
      <c r="AK1028" s="424">
        <v>12</v>
      </c>
      <c r="AL1028">
        <v>0</v>
      </c>
      <c r="AM1028" s="121">
        <v>403903</v>
      </c>
      <c r="AN1028" s="125">
        <v>0</v>
      </c>
      <c r="AO1028" s="125">
        <v>0</v>
      </c>
      <c r="AP1028" s="121">
        <v>37018441</v>
      </c>
      <c r="AQ1028" s="114">
        <v>0</v>
      </c>
      <c r="AR1028" s="121">
        <v>0</v>
      </c>
      <c r="AS1028" s="121">
        <v>0</v>
      </c>
      <c r="AT1028" s="121">
        <v>0</v>
      </c>
      <c r="AU1028" s="420" t="s">
        <v>798</v>
      </c>
      <c r="AV1028" s="420" t="s">
        <v>2001</v>
      </c>
      <c r="AW1028" s="121">
        <v>0</v>
      </c>
      <c r="AX1028" s="121">
        <v>1930719</v>
      </c>
      <c r="AY1028" s="134">
        <v>3510178</v>
      </c>
      <c r="AZ1028" s="134">
        <v>8244404</v>
      </c>
      <c r="BA1028" s="134">
        <v>3414</v>
      </c>
      <c r="BB1028" s="134">
        <v>850632146</v>
      </c>
      <c r="BC1028" s="114">
        <v>0</v>
      </c>
      <c r="BD1028" s="114">
        <v>0</v>
      </c>
      <c r="BE1028" s="114">
        <v>0</v>
      </c>
      <c r="BF1028" s="134">
        <v>3616</v>
      </c>
      <c r="BG1028" s="114">
        <v>0</v>
      </c>
      <c r="BH1028" s="114">
        <v>0</v>
      </c>
      <c r="BI1028">
        <v>0</v>
      </c>
      <c r="BJ1028" s="121">
        <v>354</v>
      </c>
      <c r="BK1028" s="134">
        <v>3156456653</v>
      </c>
      <c r="BL1028" s="934">
        <v>6267</v>
      </c>
      <c r="BM1028" s="934">
        <v>6791</v>
      </c>
      <c r="BN1028" s="934">
        <v>6478</v>
      </c>
      <c r="BO1028" s="114">
        <v>0</v>
      </c>
      <c r="BP1028" s="114">
        <v>0</v>
      </c>
    </row>
    <row r="1029" spans="1:68">
      <c r="A1029" t="s">
        <v>2760</v>
      </c>
      <c r="B1029" t="s">
        <v>460</v>
      </c>
      <c r="C1029" s="121">
        <v>4688</v>
      </c>
      <c r="D1029" s="72">
        <v>1</v>
      </c>
      <c r="E1029">
        <v>518.28800000000001</v>
      </c>
      <c r="F1029">
        <v>151</v>
      </c>
      <c r="G1029">
        <v>200</v>
      </c>
      <c r="H1029">
        <v>4</v>
      </c>
      <c r="I1029" s="173">
        <v>1.17</v>
      </c>
      <c r="J1029" s="121">
        <v>240725821</v>
      </c>
      <c r="K1029" s="125">
        <v>2847.5320000000002</v>
      </c>
      <c r="L1029" s="173">
        <v>1.48</v>
      </c>
      <c r="M1029">
        <v>1.17</v>
      </c>
      <c r="N1029">
        <v>0.98666667159999999</v>
      </c>
      <c r="O1029">
        <v>18.333332839999994</v>
      </c>
      <c r="P1029">
        <v>1865</v>
      </c>
      <c r="Q1029" s="125">
        <v>0.16500000000000001</v>
      </c>
      <c r="R1029" s="125">
        <v>0</v>
      </c>
      <c r="S1029" s="125">
        <v>3.5019999999999998</v>
      </c>
      <c r="T1029" s="125">
        <v>51.673000000000002</v>
      </c>
      <c r="U1029" s="125">
        <v>6.3440000000000003</v>
      </c>
      <c r="V1029" s="125">
        <v>0</v>
      </c>
      <c r="W1029" s="125">
        <v>0</v>
      </c>
      <c r="X1029" s="125">
        <v>0</v>
      </c>
      <c r="Y1029" s="125">
        <v>0</v>
      </c>
      <c r="Z1029" s="125">
        <v>0</v>
      </c>
      <c r="AA1029" s="125">
        <v>9.8279999999999994</v>
      </c>
      <c r="AB1029" s="125">
        <v>94.5</v>
      </c>
      <c r="AC1029" s="125">
        <v>2011</v>
      </c>
      <c r="AD1029" s="125">
        <v>1.278</v>
      </c>
      <c r="AE1029" s="125">
        <v>325.91899999999998</v>
      </c>
      <c r="AF1029" s="125">
        <v>92.078999999999994</v>
      </c>
      <c r="AG1029" s="125">
        <v>0</v>
      </c>
      <c r="AH1029" s="125">
        <v>0</v>
      </c>
      <c r="AI1029" s="121">
        <v>2750305</v>
      </c>
      <c r="AJ1029" s="121">
        <v>327429</v>
      </c>
      <c r="AK1029" s="424">
        <v>12</v>
      </c>
      <c r="AL1029">
        <v>0</v>
      </c>
      <c r="AM1029" s="121">
        <v>63006</v>
      </c>
      <c r="AN1029" s="125">
        <v>0</v>
      </c>
      <c r="AO1029" s="125">
        <v>1</v>
      </c>
      <c r="AP1029" s="121">
        <v>3077734</v>
      </c>
      <c r="AQ1029" s="114">
        <v>0</v>
      </c>
      <c r="AR1029" s="121">
        <v>160.45808231999999</v>
      </c>
      <c r="AS1029" s="121">
        <v>31530.517050999999</v>
      </c>
      <c r="AT1029" s="121">
        <v>4152.5549565000001</v>
      </c>
      <c r="AU1029" s="420" t="s">
        <v>2001</v>
      </c>
      <c r="AV1029" s="420" t="s">
        <v>2001</v>
      </c>
      <c r="AW1029" s="121">
        <v>0</v>
      </c>
      <c r="AX1029" s="121">
        <v>1617854</v>
      </c>
      <c r="BI1029">
        <v>0</v>
      </c>
      <c r="BJ1029" s="121">
        <v>0</v>
      </c>
      <c r="BK1029" s="134">
        <v>240725821</v>
      </c>
      <c r="BL1029" s="934">
        <v>4688</v>
      </c>
      <c r="BM1029" s="934">
        <v>4643</v>
      </c>
      <c r="BN1029" s="934">
        <v>4657</v>
      </c>
      <c r="BO1029" s="114">
        <v>0</v>
      </c>
      <c r="BP1029" s="114">
        <v>0</v>
      </c>
    </row>
    <row r="1030" spans="1:68">
      <c r="A1030" t="s">
        <v>1901</v>
      </c>
      <c r="B1030" t="s">
        <v>2171</v>
      </c>
      <c r="C1030" s="121">
        <v>4500</v>
      </c>
      <c r="D1030" s="72">
        <v>1</v>
      </c>
      <c r="E1030">
        <v>166.46700000000001</v>
      </c>
      <c r="F1030">
        <v>42</v>
      </c>
      <c r="G1030">
        <v>31</v>
      </c>
      <c r="H1030">
        <v>0</v>
      </c>
      <c r="I1030" s="173">
        <v>1.17</v>
      </c>
      <c r="J1030" s="121">
        <v>41751548</v>
      </c>
      <c r="K1030" s="125">
        <v>974.10699999999997</v>
      </c>
      <c r="L1030" s="173">
        <v>1.5</v>
      </c>
      <c r="M1030">
        <v>1.17</v>
      </c>
      <c r="N1030">
        <v>1.000000005</v>
      </c>
      <c r="O1030">
        <v>16.999999499999994</v>
      </c>
      <c r="P1030">
        <v>483.41699999999997</v>
      </c>
      <c r="Q1030" s="125">
        <v>0</v>
      </c>
      <c r="R1030" s="125">
        <v>0</v>
      </c>
      <c r="S1030" s="125">
        <v>0.75700000000000001</v>
      </c>
      <c r="T1030" s="125">
        <v>21.312999999999999</v>
      </c>
      <c r="U1030" s="125">
        <v>1.794</v>
      </c>
      <c r="V1030" s="125">
        <v>0</v>
      </c>
      <c r="W1030" s="125">
        <v>0</v>
      </c>
      <c r="X1030" s="125">
        <v>0</v>
      </c>
      <c r="Y1030" s="125">
        <v>0</v>
      </c>
      <c r="Z1030" s="125">
        <v>0</v>
      </c>
      <c r="AA1030" s="125">
        <v>1.004</v>
      </c>
      <c r="AB1030" s="125">
        <v>15.624000000000001</v>
      </c>
      <c r="AC1030" s="125">
        <v>478.6</v>
      </c>
      <c r="AD1030" s="125">
        <v>9.9000000000000005E-2</v>
      </c>
      <c r="AE1030" s="125">
        <v>73.900000000000006</v>
      </c>
      <c r="AF1030" s="125">
        <v>24.170850000000002</v>
      </c>
      <c r="AG1030" s="125">
        <v>0</v>
      </c>
      <c r="AH1030" s="125">
        <v>0</v>
      </c>
      <c r="AI1030" s="121">
        <v>467764</v>
      </c>
      <c r="AJ1030" s="121">
        <v>39508</v>
      </c>
      <c r="AK1030" s="424">
        <v>12</v>
      </c>
      <c r="AL1030">
        <v>0</v>
      </c>
      <c r="AM1030" s="121">
        <v>8812</v>
      </c>
      <c r="AN1030" s="125">
        <v>0</v>
      </c>
      <c r="AO1030" s="125">
        <v>0</v>
      </c>
      <c r="AP1030" s="121">
        <v>507272</v>
      </c>
      <c r="AQ1030" s="114">
        <v>0</v>
      </c>
      <c r="AR1030" s="121">
        <v>27.829890701</v>
      </c>
      <c r="AS1030" s="121">
        <v>5468.6609151000002</v>
      </c>
      <c r="AT1030" s="121">
        <v>720.22019023999997</v>
      </c>
      <c r="AU1030" s="420" t="s">
        <v>2001</v>
      </c>
      <c r="AV1030" s="420" t="s">
        <v>2001</v>
      </c>
      <c r="AW1030" s="121">
        <v>0</v>
      </c>
      <c r="AX1030" s="121">
        <v>98150</v>
      </c>
      <c r="BI1030">
        <v>0</v>
      </c>
      <c r="BJ1030" s="121">
        <v>0</v>
      </c>
      <c r="BK1030" s="134">
        <v>39253662</v>
      </c>
      <c r="BL1030" s="934">
        <v>4500</v>
      </c>
      <c r="BM1030" s="934">
        <v>4303</v>
      </c>
      <c r="BN1030" s="934">
        <v>4303</v>
      </c>
      <c r="BO1030" s="114">
        <v>0</v>
      </c>
      <c r="BP1030" s="114">
        <v>0</v>
      </c>
    </row>
    <row r="1031" spans="1:68">
      <c r="C1031" s="308">
        <f>AVERAGE(C3:C1030)</f>
        <v>5074.5651750972766</v>
      </c>
    </row>
  </sheetData>
  <phoneticPr fontId="25" type="noConversion"/>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7" width="22.7109375" customWidth="1"/>
    <col min="8" max="8" width="47" customWidth="1"/>
  </cols>
  <sheetData>
    <row r="1" spans="1:7">
      <c r="A1" s="89" t="s">
        <v>4451</v>
      </c>
      <c r="E1" s="1773" t="str">
        <f>'Report-SOF2122'!D1</f>
        <v>84th/85th Legislative Session</v>
      </c>
      <c r="F1" s="1773"/>
      <c r="G1" s="1773"/>
    </row>
    <row r="2" spans="1:7">
      <c r="A2" s="89" t="s">
        <v>4452</v>
      </c>
      <c r="E2" s="98" t="str">
        <f>'Report-SOF2122'!D2</f>
        <v>Release 2</v>
      </c>
      <c r="F2" s="98"/>
      <c r="G2" s="98"/>
    </row>
    <row r="3" spans="1:7">
      <c r="A3" s="89"/>
      <c r="E3" s="82">
        <f>'Report-SOF2122'!D3</f>
        <v>43145</v>
      </c>
      <c r="F3" s="82"/>
      <c r="G3" s="82"/>
    </row>
    <row r="4" spans="1:7" ht="15.75">
      <c r="A4" s="1075" t="s">
        <v>3615</v>
      </c>
    </row>
    <row r="5" spans="1:7" ht="15.75">
      <c r="A5" s="1077">
        <f>'Data Entry - SOF'!B1</f>
        <v>0</v>
      </c>
    </row>
    <row r="6" spans="1:7" ht="15.75">
      <c r="A6" s="1075">
        <f>'Data Entry - SOF'!B2</f>
        <v>0</v>
      </c>
    </row>
    <row r="9" spans="1:7" s="880" customFormat="1" ht="18">
      <c r="A9" s="1320" t="s">
        <v>3276</v>
      </c>
      <c r="B9" s="1270"/>
      <c r="C9" s="1321"/>
      <c r="D9" s="1322" t="s">
        <v>3283</v>
      </c>
      <c r="E9" s="1323"/>
      <c r="F9"/>
      <c r="G9"/>
    </row>
    <row r="10" spans="1:7" s="880" customFormat="1" ht="18">
      <c r="A10" s="1328" t="str">
        <f>CONCATENATE("Equalized Wealth Level = ($",Assumptions!G92,")")</f>
        <v>Equalized Wealth Level = ($514000)</v>
      </c>
      <c r="B10" s="1319"/>
      <c r="C10" s="1293" t="s">
        <v>3281</v>
      </c>
      <c r="D10" s="1293"/>
      <c r="E10" s="1304" t="s">
        <v>3282</v>
      </c>
      <c r="F10"/>
      <c r="G10"/>
    </row>
    <row r="11" spans="1:7" s="1076" customFormat="1" ht="15">
      <c r="A11" s="1079" t="s">
        <v>2501</v>
      </c>
      <c r="B11" s="1080" t="s">
        <v>1082</v>
      </c>
      <c r="C11" s="1124">
        <f>'Data Entry - SOF'!C136</f>
        <v>0</v>
      </c>
      <c r="D11" s="1124"/>
      <c r="E11" s="1124">
        <f>C11</f>
        <v>0</v>
      </c>
      <c r="F11" s="1782"/>
      <c r="G11" s="1782"/>
    </row>
    <row r="12" spans="1:7" s="1076" customFormat="1" ht="15">
      <c r="A12" s="1079" t="s">
        <v>2502</v>
      </c>
      <c r="B12" s="1080" t="s">
        <v>1083</v>
      </c>
      <c r="C12" s="1124">
        <f>'Data Entry - SOF'!C137</f>
        <v>0</v>
      </c>
      <c r="D12" s="1124"/>
      <c r="E12" s="1124">
        <f>C12</f>
        <v>0</v>
      </c>
      <c r="F12" s="1782"/>
      <c r="G12" s="1782"/>
    </row>
    <row r="13" spans="1:7" s="1076" customFormat="1" ht="15">
      <c r="A13" s="1079" t="s">
        <v>2503</v>
      </c>
      <c r="B13" s="1080" t="s">
        <v>673</v>
      </c>
      <c r="C13" s="1084">
        <f>'Data Entry - SOF'!C138</f>
        <v>0</v>
      </c>
      <c r="D13" s="1080"/>
      <c r="E13" s="1084">
        <f>C13</f>
        <v>0</v>
      </c>
      <c r="F13" s="1772"/>
      <c r="G13" s="1772"/>
    </row>
    <row r="14" spans="1:7" s="1076" customFormat="1" ht="15">
      <c r="A14" s="1079" t="s">
        <v>1024</v>
      </c>
      <c r="B14" s="1080" t="s">
        <v>3277</v>
      </c>
      <c r="C14" s="1085">
        <f>'Data Entry - SOF'!C139</f>
        <v>0</v>
      </c>
      <c r="D14" s="1085"/>
      <c r="E14" s="1124">
        <f>C14</f>
        <v>0</v>
      </c>
      <c r="F14" s="1782"/>
      <c r="G14" s="1782"/>
    </row>
    <row r="15" spans="1:7" s="1076" customFormat="1" ht="15">
      <c r="A15" s="1079" t="s">
        <v>1025</v>
      </c>
      <c r="B15" s="1080" t="s">
        <v>3616</v>
      </c>
      <c r="C15" s="1124" t="e">
        <f>IF(FracFunding1617!E24&lt;=0,'Option Costs-HB3646'!C39,'Option Costs-HB3646'!C70)</f>
        <v>#DIV/0!</v>
      </c>
      <c r="D15" s="1124"/>
      <c r="E15" s="1124" t="e">
        <f>C15</f>
        <v>#DIV/0!</v>
      </c>
      <c r="F15" s="1782"/>
      <c r="G15" s="1782"/>
    </row>
    <row r="16" spans="1:7" s="1076" customFormat="1" ht="15">
      <c r="A16" s="1079" t="s">
        <v>1027</v>
      </c>
      <c r="B16" s="1080" t="s">
        <v>3617</v>
      </c>
      <c r="C16" s="1125">
        <f>'Data Entry - SOF'!C58</f>
        <v>0</v>
      </c>
      <c r="D16" s="1125"/>
      <c r="E16" s="1125">
        <f t="shared" ref="E16:E23" si="0">C16</f>
        <v>0</v>
      </c>
      <c r="F16" s="1783"/>
      <c r="G16" s="1783"/>
    </row>
    <row r="17" spans="1:7" s="1076" customFormat="1" ht="15">
      <c r="A17" s="1079" t="s">
        <v>3278</v>
      </c>
      <c r="B17" s="1080" t="s">
        <v>3618</v>
      </c>
      <c r="C17" s="1125" t="e">
        <f>IF(FracFunding1617!E24&lt;=0,FracFunding1617!C5,FracFunding1617!D5)</f>
        <v>#DIV/0!</v>
      </c>
      <c r="D17" s="1125"/>
      <c r="E17" s="1125" t="e">
        <f t="shared" si="0"/>
        <v>#DIV/0!</v>
      </c>
      <c r="F17" s="1783"/>
      <c r="G17" s="1783"/>
    </row>
    <row r="18" spans="1:7" s="1076" customFormat="1" ht="15">
      <c r="A18" s="1079" t="s">
        <v>1028</v>
      </c>
      <c r="B18" s="1080" t="s">
        <v>3619</v>
      </c>
      <c r="C18" s="1084" t="e">
        <f>'Ch41 Calc Data'!K17</f>
        <v>#DIV/0!</v>
      </c>
      <c r="D18" s="1084"/>
      <c r="E18" s="1084" t="e">
        <f t="shared" si="0"/>
        <v>#DIV/0!</v>
      </c>
      <c r="F18" s="1772"/>
      <c r="G18" s="1772"/>
    </row>
    <row r="19" spans="1:7" s="1076" customFormat="1" ht="15">
      <c r="A19" s="1079" t="s">
        <v>1029</v>
      </c>
      <c r="B19" s="1080" t="s">
        <v>7392</v>
      </c>
      <c r="C19" s="1085">
        <f>'Data Entry - SOF'!C52</f>
        <v>0</v>
      </c>
      <c r="D19" s="1080"/>
      <c r="E19" s="1124">
        <f t="shared" si="0"/>
        <v>0</v>
      </c>
      <c r="F19" s="1782"/>
      <c r="G19" s="1782"/>
    </row>
    <row r="20" spans="1:7" s="1076" customFormat="1" ht="15">
      <c r="A20" s="1079" t="s">
        <v>139</v>
      </c>
      <c r="B20" s="1080" t="s">
        <v>3620</v>
      </c>
      <c r="C20" s="1085">
        <f>'Report-SOF1617'!D68</f>
        <v>0</v>
      </c>
      <c r="D20" s="1080"/>
      <c r="E20" s="1124">
        <f t="shared" si="0"/>
        <v>0</v>
      </c>
      <c r="F20" s="1782"/>
      <c r="G20" s="1782"/>
    </row>
    <row r="21" spans="1:7" s="1076" customFormat="1" ht="15">
      <c r="A21" s="1079" t="s">
        <v>140</v>
      </c>
      <c r="B21" s="1080" t="s">
        <v>3279</v>
      </c>
      <c r="C21" s="1083">
        <f>'Data Entry - SOF'!C94</f>
        <v>0</v>
      </c>
      <c r="D21" s="1083"/>
      <c r="E21" s="1083">
        <f t="shared" si="0"/>
        <v>0</v>
      </c>
      <c r="F21" s="1784"/>
      <c r="G21" s="1784"/>
    </row>
    <row r="22" spans="1:7" s="1076" customFormat="1" ht="15">
      <c r="A22" s="1079" t="s">
        <v>141</v>
      </c>
      <c r="B22" s="1080" t="s">
        <v>3280</v>
      </c>
      <c r="C22" s="1124">
        <f>'Data Entry - SOF'!C95</f>
        <v>0</v>
      </c>
      <c r="D22" s="1080"/>
      <c r="E22" s="1124">
        <f t="shared" si="0"/>
        <v>0</v>
      </c>
      <c r="F22" s="1782"/>
      <c r="G22" s="1782"/>
    </row>
    <row r="23" spans="1:7" s="1076" customFormat="1" ht="15">
      <c r="A23" s="1079" t="s">
        <v>142</v>
      </c>
      <c r="B23" s="1080" t="s">
        <v>2035</v>
      </c>
      <c r="C23" s="1126">
        <f>'Report-SOF1617'!D51</f>
        <v>0</v>
      </c>
      <c r="D23" s="1097"/>
      <c r="E23" s="1126">
        <f t="shared" si="0"/>
        <v>0</v>
      </c>
      <c r="F23" s="1782"/>
      <c r="G23" s="1782"/>
    </row>
    <row r="24" spans="1:7" s="1076" customFormat="1" ht="15.75">
      <c r="A24" s="1326" t="s">
        <v>3284</v>
      </c>
      <c r="B24" s="1324"/>
      <c r="C24" s="1324"/>
      <c r="D24" s="1324"/>
      <c r="E24" s="1325"/>
      <c r="F24"/>
      <c r="G24"/>
    </row>
    <row r="25" spans="1:7" s="1076" customFormat="1" ht="15.75">
      <c r="A25" s="1312" t="s">
        <v>3285</v>
      </c>
      <c r="B25" s="1310"/>
      <c r="C25" s="1310"/>
      <c r="D25" s="1310"/>
      <c r="E25" s="1311"/>
      <c r="F25"/>
      <c r="G25"/>
    </row>
    <row r="26" spans="1:7" s="1076" customFormat="1" ht="15">
      <c r="A26" s="1079" t="s">
        <v>1706</v>
      </c>
      <c r="B26" s="1080" t="s">
        <v>3286</v>
      </c>
      <c r="C26" s="1085">
        <f>'Option Costs-HB3646'!C13</f>
        <v>0</v>
      </c>
      <c r="D26" s="1085"/>
      <c r="E26" s="1085">
        <f t="shared" ref="E26:E31" si="1">C26</f>
        <v>0</v>
      </c>
      <c r="F26" s="1196"/>
      <c r="G26" s="1196"/>
    </row>
    <row r="27" spans="1:7" s="1076" customFormat="1" ht="15">
      <c r="A27" s="1079" t="s">
        <v>6</v>
      </c>
      <c r="B27" s="1080" t="s">
        <v>3321</v>
      </c>
      <c r="C27" s="1084">
        <f>'Option Costs-HB3646'!C16</f>
        <v>0</v>
      </c>
      <c r="D27" s="1084"/>
      <c r="E27" s="1084">
        <f t="shared" si="1"/>
        <v>0</v>
      </c>
      <c r="F27" s="1772"/>
      <c r="G27" s="1772"/>
    </row>
    <row r="28" spans="1:7" s="1076" customFormat="1" ht="15">
      <c r="A28" s="1079" t="s">
        <v>2551</v>
      </c>
      <c r="B28" s="1080" t="s">
        <v>3287</v>
      </c>
      <c r="C28" s="1085">
        <f>'Option Costs-HB3646'!C17</f>
        <v>0</v>
      </c>
      <c r="D28" s="1085"/>
      <c r="E28" s="1085">
        <f t="shared" si="1"/>
        <v>0</v>
      </c>
      <c r="F28" s="1196"/>
      <c r="G28" s="1196"/>
    </row>
    <row r="29" spans="1:7" s="1076" customFormat="1" ht="15">
      <c r="A29" s="1079" t="s">
        <v>2552</v>
      </c>
      <c r="B29" s="1080" t="s">
        <v>3288</v>
      </c>
      <c r="C29" s="1085">
        <f>'Option Costs-HB3646'!C19</f>
        <v>0</v>
      </c>
      <c r="D29" s="1085"/>
      <c r="E29" s="1085">
        <f t="shared" si="1"/>
        <v>0</v>
      </c>
      <c r="F29" s="1196"/>
      <c r="G29" s="1196"/>
    </row>
    <row r="30" spans="1:7" s="1076" customFormat="1" ht="15">
      <c r="A30" s="1079" t="s">
        <v>3122</v>
      </c>
      <c r="B30" s="1080" t="s">
        <v>3289</v>
      </c>
      <c r="C30" s="1084">
        <f>'Option Costs-HB3646'!C20</f>
        <v>0</v>
      </c>
      <c r="D30" s="1084"/>
      <c r="E30" s="1084">
        <f t="shared" si="1"/>
        <v>0</v>
      </c>
      <c r="F30" s="1772"/>
      <c r="G30" s="1772"/>
    </row>
    <row r="31" spans="1:7" s="1076" customFormat="1" ht="15">
      <c r="A31" s="1079" t="s">
        <v>3123</v>
      </c>
      <c r="B31" s="1080" t="s">
        <v>3621</v>
      </c>
      <c r="C31" s="1084">
        <f>'Option Costs-HB3646'!C21</f>
        <v>1.4999999999999999E-2</v>
      </c>
      <c r="D31" s="1084"/>
      <c r="E31" s="1084">
        <f t="shared" si="1"/>
        <v>1.4999999999999999E-2</v>
      </c>
      <c r="F31" s="1772"/>
      <c r="G31" s="1772"/>
    </row>
    <row r="32" spans="1:7" s="1076" customFormat="1" ht="15.75">
      <c r="A32" s="1366" t="s">
        <v>3290</v>
      </c>
      <c r="B32" s="1290"/>
      <c r="C32" s="1290"/>
      <c r="D32" s="1290"/>
      <c r="E32" s="1291"/>
      <c r="F32"/>
      <c r="G32"/>
    </row>
    <row r="33" spans="1:7" s="1076" customFormat="1" ht="15">
      <c r="A33" s="1095" t="s">
        <v>3126</v>
      </c>
      <c r="B33" s="1080" t="s">
        <v>3290</v>
      </c>
      <c r="C33" s="1085" t="e">
        <f>'Option Costs-HB3646'!C24</f>
        <v>#DIV/0!</v>
      </c>
      <c r="D33" s="1085"/>
      <c r="E33" s="1085" t="e">
        <f>C33</f>
        <v>#DIV/0!</v>
      </c>
      <c r="F33" s="1196"/>
      <c r="G33" s="1196"/>
    </row>
    <row r="34" spans="1:7" s="1076" customFormat="1" ht="15.75">
      <c r="A34" s="1366" t="s">
        <v>3291</v>
      </c>
      <c r="B34" s="1290"/>
      <c r="C34" s="1290"/>
      <c r="D34" s="1290"/>
      <c r="E34" s="1291"/>
      <c r="F34"/>
      <c r="G34"/>
    </row>
    <row r="35" spans="1:7" s="1076" customFormat="1" ht="15">
      <c r="A35" s="1095" t="s">
        <v>3127</v>
      </c>
      <c r="B35" s="1080" t="s">
        <v>3292</v>
      </c>
      <c r="C35" s="1085">
        <f>'Option Costs-HB3646'!C27</f>
        <v>0</v>
      </c>
      <c r="D35" s="1085"/>
      <c r="E35" s="1127" t="s">
        <v>1994</v>
      </c>
      <c r="F35" s="1785"/>
      <c r="G35" s="1785"/>
    </row>
    <row r="36" spans="1:7" s="1076" customFormat="1" ht="15">
      <c r="A36" s="1095" t="s">
        <v>3128</v>
      </c>
      <c r="B36" s="1080" t="s">
        <v>3293</v>
      </c>
      <c r="C36" s="1085" t="e">
        <f>'Option Costs-HB3646'!C28</f>
        <v>#DIV/0!</v>
      </c>
      <c r="D36" s="1085"/>
      <c r="E36" s="1127" t="s">
        <v>1994</v>
      </c>
      <c r="F36" s="1785"/>
      <c r="G36" s="1785"/>
    </row>
    <row r="37" spans="1:7" s="1076" customFormat="1" ht="15">
      <c r="A37" s="1095" t="s">
        <v>3129</v>
      </c>
      <c r="B37" s="1080" t="s">
        <v>3294</v>
      </c>
      <c r="C37" s="1085" t="e">
        <f>'Option Costs-HB3646'!C29</f>
        <v>#DIV/0!</v>
      </c>
      <c r="D37" s="1085"/>
      <c r="E37" s="1127" t="s">
        <v>1994</v>
      </c>
      <c r="F37" s="1785"/>
      <c r="G37" s="1785"/>
    </row>
    <row r="38" spans="1:7" s="1076" customFormat="1" ht="15">
      <c r="A38" s="1095" t="s">
        <v>3131</v>
      </c>
      <c r="B38" s="1080" t="s">
        <v>3295</v>
      </c>
      <c r="C38" s="1085" t="e">
        <f>'Option Costs-HB3646'!C30</f>
        <v>#DIV/0!</v>
      </c>
      <c r="D38" s="1085"/>
      <c r="E38" s="1127" t="s">
        <v>1994</v>
      </c>
      <c r="F38" s="1785"/>
      <c r="G38" s="1785"/>
    </row>
    <row r="39" spans="1:7" s="1076" customFormat="1" ht="15">
      <c r="A39" s="1095" t="s">
        <v>3132</v>
      </c>
      <c r="B39" s="1080" t="s">
        <v>3296</v>
      </c>
      <c r="C39" s="1085" t="e">
        <f>'Option Costs-HB3646'!C33</f>
        <v>#DIV/0!</v>
      </c>
      <c r="D39" s="1085"/>
      <c r="E39" s="1085" t="e">
        <f>'Option Costs-HB3646'!E33</f>
        <v>#DIV/0!</v>
      </c>
      <c r="F39" s="1196"/>
      <c r="G39" s="1196"/>
    </row>
    <row r="40" spans="1:7" s="1076" customFormat="1" ht="15">
      <c r="A40" s="1095" t="s">
        <v>3133</v>
      </c>
      <c r="B40" s="1080" t="s">
        <v>3297</v>
      </c>
      <c r="C40" s="1085" t="e">
        <f>'Option Costs-HB3646'!C34</f>
        <v>#DIV/0!</v>
      </c>
      <c r="D40" s="1085"/>
      <c r="E40" s="1085" t="e">
        <f>'Option Costs-HB3646'!E34</f>
        <v>#DIV/0!</v>
      </c>
      <c r="F40" s="1196"/>
      <c r="G40" s="1196"/>
    </row>
    <row r="41" spans="1:7" s="1076" customFormat="1" ht="15">
      <c r="A41" s="1095" t="s">
        <v>3134</v>
      </c>
      <c r="B41" s="1080" t="s">
        <v>3298</v>
      </c>
      <c r="C41" s="1084" t="e">
        <f>'Option Costs-HB3646'!C35</f>
        <v>#DIV/0!</v>
      </c>
      <c r="D41" s="1084"/>
      <c r="E41" s="1084" t="e">
        <f>'Option Costs-HB3646'!E35</f>
        <v>#DIV/0!</v>
      </c>
      <c r="F41" s="1772"/>
      <c r="G41" s="1772"/>
    </row>
    <row r="42" spans="1:7" s="1076" customFormat="1" ht="15.75">
      <c r="A42" s="1366" t="s">
        <v>3299</v>
      </c>
      <c r="B42" s="1290"/>
      <c r="C42" s="1290"/>
      <c r="D42" s="1290"/>
      <c r="E42" s="1291"/>
      <c r="F42"/>
      <c r="G42"/>
    </row>
    <row r="43" spans="1:7" s="1076" customFormat="1" ht="15">
      <c r="A43" s="1079" t="s">
        <v>3135</v>
      </c>
      <c r="B43" s="1080" t="s">
        <v>3300</v>
      </c>
      <c r="C43" s="1085" t="e">
        <f>IF(FracFunding1617!E24&lt;0,'Option Costs-HB3646'!C42,'Option Costs-HB3646'!C73)</f>
        <v>#DIV/0!</v>
      </c>
      <c r="D43" s="1080"/>
      <c r="E43" s="1085" t="e">
        <f>IF(FracFunding1617!E24&lt;=0,'Option Costs-HB3646'!E42,'Option Costs-HB3646'!E73)</f>
        <v>#DIV/0!</v>
      </c>
      <c r="F43" s="1196"/>
      <c r="G43" s="1196"/>
    </row>
    <row r="44" spans="1:7" s="1076" customFormat="1" ht="15">
      <c r="A44" s="1079" t="s">
        <v>3140</v>
      </c>
      <c r="B44" s="1080" t="s">
        <v>3301</v>
      </c>
      <c r="C44" s="1085" t="e">
        <f>IF(FracFunding1617!E24&lt;0,'Option Costs-HB3646'!C43,'Option Costs-HB3646'!C74)</f>
        <v>#DIV/0!</v>
      </c>
      <c r="D44" s="1084"/>
      <c r="E44" s="1085" t="e">
        <f>IF(FracFunding1617!E24&lt;=0,'Option Costs-HB3646'!E43,'Option Costs-HB3646'!E74)</f>
        <v>#DIV/0!</v>
      </c>
      <c r="F44" s="1772"/>
      <c r="G44" s="1772"/>
    </row>
    <row r="45" spans="1:7" s="1076" customFormat="1" ht="15">
      <c r="A45" s="1079" t="s">
        <v>3141</v>
      </c>
      <c r="B45" s="1080" t="s">
        <v>7904</v>
      </c>
      <c r="C45" s="1085" t="e">
        <f>IF(FracFunding1617!E24&lt;0,'Option Costs-HB3646'!C44,'Option Costs-HB3646'!C75)</f>
        <v>#DIV/0!</v>
      </c>
      <c r="D45" s="1085"/>
      <c r="E45" s="1085" t="e">
        <f>IF(FracFunding1617!E24&lt;=0,'Option Costs-HB3646'!E44,'Option Costs-HB3646'!E75)</f>
        <v>#DIV/0!</v>
      </c>
      <c r="F45" s="1196"/>
      <c r="G45" s="1196"/>
    </row>
    <row r="46" spans="1:7" s="1076" customFormat="1" ht="15">
      <c r="A46" s="1079" t="s">
        <v>3142</v>
      </c>
      <c r="B46" s="1080" t="s">
        <v>3302</v>
      </c>
      <c r="C46" s="1084" t="e">
        <f>IF(FracFunding1617!E24&lt;0,'Option Costs-HB3646'!C45,'Option Costs-HB3646'!C76)</f>
        <v>#DIV/0!</v>
      </c>
      <c r="D46" s="1084"/>
      <c r="E46" s="1085" t="e">
        <f>IF(FracFunding1617!E24&lt;=0,'Option Costs-HB3646'!E45,'Option Costs-HB3646'!E76)</f>
        <v>#DIV/0!</v>
      </c>
      <c r="F46" s="1772"/>
      <c r="G46" s="1772"/>
    </row>
    <row r="47" spans="1:7" s="1076" customFormat="1" ht="15">
      <c r="A47" s="1079" t="s">
        <v>3143</v>
      </c>
      <c r="B47" s="1080" t="s">
        <v>3303</v>
      </c>
      <c r="C47" s="1084" t="e">
        <f>IF(FracFunding1617!E24&lt;0,'Option Costs-HB3646'!C46,'Option Costs-HB3646'!C77)</f>
        <v>#DIV/0!</v>
      </c>
      <c r="D47" s="1084"/>
      <c r="E47" s="1085" t="e">
        <f>IF(FracFunding1617!E24&lt;=0,'Option Costs-HB3646'!E46,'Option Costs-HB3646'!E77)</f>
        <v>#DIV/0!</v>
      </c>
      <c r="F47" s="1772"/>
      <c r="G47" s="1772"/>
    </row>
    <row r="48" spans="1:7" s="1076" customFormat="1" ht="15">
      <c r="A48" s="1079" t="s">
        <v>3144</v>
      </c>
      <c r="B48" s="1080" t="s">
        <v>3304</v>
      </c>
      <c r="C48" s="1084" t="e">
        <f>IF(FracFunding1617!E24&lt;0,'Option Costs-HB3646'!C47,'Option Costs-HB3646'!C78)</f>
        <v>#DIV/0!</v>
      </c>
      <c r="D48" s="1084"/>
      <c r="E48" s="1085" t="e">
        <f>IF(FracFunding1617!E24&lt;=0,'Option Costs-HB3646'!E47,'Option Costs-HB3646'!E78)</f>
        <v>#DIV/0!</v>
      </c>
      <c r="F48" s="1772"/>
      <c r="G48" s="1772"/>
    </row>
    <row r="49" spans="1:7" s="1076" customFormat="1" ht="15">
      <c r="A49" s="1079" t="s">
        <v>3145</v>
      </c>
      <c r="B49" s="1080" t="s">
        <v>3305</v>
      </c>
      <c r="C49" s="1085" t="e">
        <f>IF(FracFunding1617!E24&lt;0,'Option Costs-HB3646'!C48,'Option Costs-HB3646'!C79)</f>
        <v>#DIV/0!</v>
      </c>
      <c r="D49" s="1085"/>
      <c r="E49" s="1085" t="e">
        <f>IF(FracFunding1617!E24&lt;=0,'Option Costs-HB3646'!E48,'Option Costs-HB3646'!E79)</f>
        <v>#DIV/0!</v>
      </c>
      <c r="F49" s="1196"/>
      <c r="G49" s="1196"/>
    </row>
    <row r="50" spans="1:7" s="1076" customFormat="1" ht="15.75">
      <c r="A50" s="1326" t="s">
        <v>3306</v>
      </c>
      <c r="B50" s="1324"/>
      <c r="C50" s="1324"/>
      <c r="D50" s="1324"/>
      <c r="E50" s="1325"/>
      <c r="F50"/>
      <c r="G50"/>
    </row>
    <row r="51" spans="1:7" s="1076" customFormat="1" ht="15.75">
      <c r="A51" s="1312" t="s">
        <v>3374</v>
      </c>
      <c r="B51" s="1310"/>
      <c r="C51" s="1310"/>
      <c r="D51" s="1310"/>
      <c r="E51" s="1311"/>
      <c r="F51"/>
      <c r="G51"/>
    </row>
    <row r="52" spans="1:7" s="1076" customFormat="1" ht="15">
      <c r="A52" s="1079" t="s">
        <v>3146</v>
      </c>
      <c r="B52" s="1080" t="s">
        <v>3373</v>
      </c>
      <c r="C52" s="1085" t="e">
        <f>IF(FracFunding1617!E24&lt;=0,'Option Costs-HB3646'!C111,'Option Costs-HB3646'!C118)</f>
        <v>#DIV/0!</v>
      </c>
      <c r="D52" s="1080"/>
      <c r="E52" s="1127" t="s">
        <v>1994</v>
      </c>
      <c r="F52" s="1785"/>
      <c r="G52" s="1785"/>
    </row>
    <row r="53" spans="1:7" s="1076" customFormat="1" ht="15">
      <c r="A53" s="1079" t="s">
        <v>3147</v>
      </c>
      <c r="B53" s="1080" t="s">
        <v>3372</v>
      </c>
      <c r="C53" s="1085" t="e">
        <f>IF(FracFunding1617!E24&lt;=0,'Option Costs-HB3646'!C112,'Option Costs-HB3646'!C119)</f>
        <v>#DIV/0!</v>
      </c>
      <c r="D53" s="1080"/>
      <c r="E53" s="1127" t="s">
        <v>1994</v>
      </c>
      <c r="F53" s="1785"/>
      <c r="G53" s="1785"/>
    </row>
    <row r="54" spans="1:7" s="1076" customFormat="1" ht="15">
      <c r="A54" s="1079" t="s">
        <v>3148</v>
      </c>
      <c r="B54" s="1080" t="s">
        <v>3307</v>
      </c>
      <c r="C54" s="1085" t="e">
        <f>IF(FracFunding1617!E24&lt;=0,'Option Costs-HB3646'!C51,'Option Costs-HB3646'!C82)</f>
        <v>#DIV/0!</v>
      </c>
      <c r="D54" s="1080"/>
      <c r="E54" s="1127" t="s">
        <v>1994</v>
      </c>
      <c r="F54" s="1785"/>
      <c r="G54" s="1785"/>
    </row>
    <row r="55" spans="1:7" s="1076" customFormat="1" ht="15.75">
      <c r="A55" s="1366" t="s">
        <v>3308</v>
      </c>
      <c r="B55" s="1290"/>
      <c r="C55" s="1290"/>
      <c r="D55" s="1290"/>
      <c r="E55" s="1291"/>
      <c r="F55"/>
      <c r="G55"/>
    </row>
    <row r="56" spans="1:7" s="1076" customFormat="1" ht="15">
      <c r="A56" s="1079" t="s">
        <v>3149</v>
      </c>
      <c r="B56" s="1080" t="s">
        <v>3622</v>
      </c>
      <c r="C56" s="1085">
        <f>'Data Entry - SOF'!C91</f>
        <v>0</v>
      </c>
      <c r="D56" s="1085"/>
      <c r="E56" s="1085">
        <f>'Data Entry - SOF'!C91</f>
        <v>0</v>
      </c>
      <c r="F56" s="1196"/>
      <c r="G56" s="1196"/>
    </row>
    <row r="57" spans="1:7" s="1076" customFormat="1" ht="15">
      <c r="A57" s="1079" t="s">
        <v>3150</v>
      </c>
      <c r="B57" s="1080" t="s">
        <v>3623</v>
      </c>
      <c r="C57" s="1085" t="e">
        <f>IF(FracFunding1617!E24&lt;=0,'Option Costs-HB3646'!C42,'Option Costs-HB3646'!C73)</f>
        <v>#DIV/0!</v>
      </c>
      <c r="D57" s="1085"/>
      <c r="E57" s="1085" t="e">
        <f>IF(FracFunding1617!E24&lt;=0,'Option Costs-HB3646'!E42,'Option Costs-HB3646'!E73)</f>
        <v>#DIV/0!</v>
      </c>
      <c r="F57" s="1196"/>
      <c r="G57" s="1196"/>
    </row>
    <row r="58" spans="1:7" s="1076" customFormat="1" ht="15">
      <c r="A58" s="1079" t="s">
        <v>3151</v>
      </c>
      <c r="B58" s="1080" t="s">
        <v>3616</v>
      </c>
      <c r="C58" s="1085" t="e">
        <f>IF(FracFunding1617!E24&lt;=0,'Option Costs-HB3646'!C39,'Option Costs-HB3646'!C70)</f>
        <v>#DIV/0!</v>
      </c>
      <c r="D58" s="1085"/>
      <c r="E58" s="1085" t="e">
        <f>IF(FracFunding1617!E24&lt;=0,'Option Costs-HB3646'!E39,'Option Costs-HB3646'!E70)</f>
        <v>#DIV/0!</v>
      </c>
      <c r="F58" s="1196"/>
      <c r="G58" s="1196"/>
    </row>
    <row r="59" spans="1:7" s="1076" customFormat="1" ht="15">
      <c r="A59" s="1079" t="s">
        <v>3152</v>
      </c>
      <c r="B59" s="1080" t="s">
        <v>3624</v>
      </c>
      <c r="C59" s="1085" t="e">
        <f>IF(FracFunding1617!E24&lt;=0,'Option Costs-HB3646'!C52,'Option Costs-HB3646'!C83)</f>
        <v>#DIV/0!</v>
      </c>
      <c r="D59" s="1085"/>
      <c r="E59" s="1085" t="e">
        <f>IF(FracFunding1617!E24&lt;=0,'Option Costs-HB3646'!E52,'Option Costs-HB3646'!E83)</f>
        <v>#DIV/0!</v>
      </c>
      <c r="F59" s="1196"/>
      <c r="G59" s="1196"/>
    </row>
    <row r="60" spans="1:7" s="1076" customFormat="1" ht="15">
      <c r="A60" s="1079" t="s">
        <v>3153</v>
      </c>
      <c r="B60" s="1080" t="s">
        <v>3309</v>
      </c>
      <c r="C60" s="1085">
        <v>0</v>
      </c>
      <c r="D60" s="1085"/>
      <c r="E60" s="1085">
        <v>0</v>
      </c>
      <c r="F60" s="1196"/>
      <c r="G60" s="1196"/>
    </row>
    <row r="61" spans="1:7" s="1076" customFormat="1" ht="15">
      <c r="A61" s="1079" t="s">
        <v>3154</v>
      </c>
      <c r="B61" s="1080" t="s">
        <v>3322</v>
      </c>
      <c r="C61" s="1085">
        <v>0</v>
      </c>
      <c r="D61" s="1085"/>
      <c r="E61" s="1085">
        <v>0</v>
      </c>
      <c r="F61" s="1196"/>
      <c r="G61" s="1196"/>
    </row>
    <row r="62" spans="1:7" s="1076" customFormat="1" ht="15">
      <c r="A62" s="1079" t="s">
        <v>3155</v>
      </c>
      <c r="B62" s="1080" t="s">
        <v>3310</v>
      </c>
      <c r="C62" s="1085" t="e">
        <f>IF(FracFunding1617!E24&lt;=0,'Option Costs-HB3646'!C52,'Option Costs-HB3646'!C83)</f>
        <v>#DIV/0!</v>
      </c>
      <c r="D62" s="1085"/>
      <c r="E62" s="1085" t="e">
        <f>IF(FracFunding1617!E24&lt;=0,'Option Costs-HB3646'!E52,'Option Costs-HB3646'!E83)</f>
        <v>#DIV/0!</v>
      </c>
      <c r="G62" s="1196"/>
    </row>
    <row r="63" spans="1:7" s="1076" customFormat="1" ht="15.75">
      <c r="A63" s="1298" t="s">
        <v>3311</v>
      </c>
      <c r="B63" s="1290"/>
      <c r="C63" s="1290"/>
      <c r="D63" s="1290"/>
      <c r="E63" s="1291"/>
      <c r="G63" s="1196"/>
    </row>
    <row r="64" spans="1:7" s="1076" customFormat="1" ht="15">
      <c r="A64" s="1079" t="s">
        <v>3156</v>
      </c>
      <c r="B64" s="1080" t="s">
        <v>3312</v>
      </c>
      <c r="C64" s="1085" t="e">
        <f>IF(FracFunding1617!E24&lt;=0,'Option Costs-HB3646'!C48,'Option Costs-HB3646'!C79)</f>
        <v>#DIV/0!</v>
      </c>
      <c r="D64" s="1085"/>
      <c r="E64" s="1085" t="e">
        <f>IF(FracFunding1617!E24&lt;=0,'Option Costs-HB3646'!E48,'Option Costs-HB3646'!E79)</f>
        <v>#DIV/0!</v>
      </c>
      <c r="F64" s="1196"/>
      <c r="G64" s="1196"/>
    </row>
    <row r="65" spans="1:7" s="1076" customFormat="1" ht="15.75">
      <c r="A65" s="1079" t="s">
        <v>3157</v>
      </c>
      <c r="B65" s="1078" t="s">
        <v>3313</v>
      </c>
      <c r="C65" s="1090" t="e">
        <f>IF(FracFunding1617!E24&lt;=0,'Option Costs-HB3646'!C54,'Option Costs-HB3646'!C85)</f>
        <v>#DIV/0!</v>
      </c>
      <c r="D65" s="1085"/>
      <c r="E65" s="1090" t="e">
        <f>IF(FracFunding1617!E24&lt;=0,'Option Costs-HB3646'!E54,'Option Costs-HB3646'!E85)</f>
        <v>#DIV/0!</v>
      </c>
      <c r="F65" s="1317" t="s">
        <v>3445</v>
      </c>
      <c r="G65" s="1318" t="str">
        <f>'Data Entry - SOF'!C97</f>
        <v>Y</v>
      </c>
    </row>
    <row r="66" spans="1:7" s="1076" customFormat="1" ht="15.75">
      <c r="A66" s="1079" t="s">
        <v>3158</v>
      </c>
      <c r="B66" s="1078" t="s">
        <v>3314</v>
      </c>
      <c r="C66" s="1090" t="e">
        <f>IF(FracFunding1617!E24&lt;=0,'Option Costs-HB3646'!C55,'Option Costs-HB3646'!C86)</f>
        <v>#DIV/0!</v>
      </c>
      <c r="D66" s="1085"/>
      <c r="E66" s="1090" t="e">
        <f>IF(FracFunding1617!E24&lt;=0,'Option Costs-HB3646'!E55,'Option Costs-HB3646'!E86)</f>
        <v>#DIV/0!</v>
      </c>
      <c r="F66" s="961" t="s">
        <v>3473</v>
      </c>
    </row>
    <row r="67" spans="1:7" s="1076" customFormat="1" ht="15.75">
      <c r="A67" s="1366" t="s">
        <v>3315</v>
      </c>
      <c r="B67" s="1290"/>
      <c r="C67" s="1290"/>
      <c r="D67" s="1290"/>
      <c r="E67" s="1291"/>
      <c r="F67" s="961" t="s">
        <v>3474</v>
      </c>
    </row>
    <row r="68" spans="1:7" s="1076" customFormat="1" ht="15">
      <c r="A68" s="1079" t="s">
        <v>3175</v>
      </c>
      <c r="B68" s="1080" t="s">
        <v>3625</v>
      </c>
      <c r="C68" s="1084" t="e">
        <f>'Calc Data-SB1'!C25</f>
        <v>#DIV/0!</v>
      </c>
      <c r="D68" s="1084"/>
      <c r="E68" s="1084" t="e">
        <f>'Calc Data-SB1'!C25</f>
        <v>#DIV/0!</v>
      </c>
      <c r="F68" s="1772"/>
      <c r="G68" s="1772"/>
    </row>
    <row r="69" spans="1:7" s="1076" customFormat="1" ht="15">
      <c r="A69" s="1079" t="s">
        <v>3176</v>
      </c>
      <c r="B69" s="1080" t="s">
        <v>3626</v>
      </c>
      <c r="C69" s="1083">
        <f>'Data Entry - SOF'!C90</f>
        <v>0</v>
      </c>
      <c r="D69" s="1083"/>
      <c r="E69" s="1083">
        <f>'Data Entry - SOF'!C90</f>
        <v>0</v>
      </c>
      <c r="F69" s="1784"/>
      <c r="G69" s="1784"/>
    </row>
    <row r="70" spans="1:7" s="1076" customFormat="1" ht="15">
      <c r="A70" s="1079" t="s">
        <v>3177</v>
      </c>
      <c r="B70" s="1080" t="s">
        <v>3627</v>
      </c>
      <c r="C70" s="1083">
        <f>'Data Entry - SOF'!C89</f>
        <v>0</v>
      </c>
      <c r="D70" s="1083"/>
      <c r="E70" s="1083">
        <f>'Data Entry - SOF'!C89</f>
        <v>0</v>
      </c>
      <c r="F70" s="1784"/>
      <c r="G70" s="1784"/>
    </row>
    <row r="71" spans="1:7" s="1076" customFormat="1" ht="15.75">
      <c r="A71" s="1326" t="s">
        <v>3284</v>
      </c>
      <c r="B71" s="1324"/>
      <c r="C71" s="1324"/>
      <c r="D71" s="1324"/>
      <c r="E71" s="1325"/>
      <c r="G71" s="1196"/>
    </row>
    <row r="72" spans="1:7" s="1076" customFormat="1" ht="15.75">
      <c r="A72" s="1312" t="s">
        <v>3316</v>
      </c>
      <c r="B72" s="1310"/>
      <c r="C72" s="1310"/>
      <c r="D72" s="1310"/>
      <c r="E72" s="1311"/>
      <c r="G72" s="1196"/>
    </row>
    <row r="73" spans="1:7" s="1076" customFormat="1" ht="15">
      <c r="A73" s="1079" t="s">
        <v>3178</v>
      </c>
      <c r="B73" s="1080" t="s">
        <v>3626</v>
      </c>
      <c r="C73" s="1083">
        <f>'Data Entry - SOF'!C90</f>
        <v>0</v>
      </c>
      <c r="D73" s="1080"/>
      <c r="E73" s="1083">
        <f>'Data Entry - SOF'!C90</f>
        <v>0</v>
      </c>
      <c r="F73" s="1784"/>
      <c r="G73" s="1784"/>
    </row>
    <row r="74" spans="1:7" s="1076" customFormat="1" ht="15">
      <c r="A74" s="1079" t="s">
        <v>3179</v>
      </c>
      <c r="B74" s="1080" t="s">
        <v>3317</v>
      </c>
      <c r="C74" s="1084">
        <f>'Ch41 Calc Data'!K15</f>
        <v>0</v>
      </c>
      <c r="D74" s="1084"/>
      <c r="E74" s="1084">
        <f>'Ch41 Calc Data'!K15</f>
        <v>0</v>
      </c>
      <c r="F74" s="1772"/>
      <c r="G74" s="1772"/>
    </row>
    <row r="75" spans="1:7" s="1076" customFormat="1" ht="15">
      <c r="A75" s="1079" t="s">
        <v>3180</v>
      </c>
      <c r="B75" s="1080" t="s">
        <v>3318</v>
      </c>
      <c r="C75" s="1084">
        <f>'Ch41 Calc Data'!K16</f>
        <v>0</v>
      </c>
      <c r="D75" s="1084"/>
      <c r="E75" s="1084">
        <f>'Ch41 Calc Data'!K16</f>
        <v>0</v>
      </c>
      <c r="F75" s="1772"/>
      <c r="G75" s="1772"/>
    </row>
    <row r="76" spans="1:7" s="1076" customFormat="1" ht="15.75">
      <c r="A76" s="1366" t="s">
        <v>3319</v>
      </c>
      <c r="B76" s="1290"/>
      <c r="C76" s="1290"/>
      <c r="D76" s="1290"/>
      <c r="E76" s="1291"/>
      <c r="G76" s="1196"/>
    </row>
    <row r="77" spans="1:7" s="1076" customFormat="1" ht="15">
      <c r="A77" s="1079" t="s">
        <v>3320</v>
      </c>
      <c r="B77" s="1080" t="s">
        <v>3628</v>
      </c>
      <c r="C77" s="1084" t="e">
        <f>'Ch41 Calc Data'!K17</f>
        <v>#DIV/0!</v>
      </c>
      <c r="D77" s="1084"/>
      <c r="E77" s="1084" t="e">
        <f>'Ch41 Calc Data'!K17</f>
        <v>#DIV/0!</v>
      </c>
      <c r="F77" s="1772"/>
      <c r="G77" s="1772"/>
    </row>
    <row r="78" spans="1:7" s="1076" customFormat="1" ht="15">
      <c r="B78" s="1733" t="s">
        <v>4453</v>
      </c>
      <c r="C78" s="1445" t="s">
        <v>3729</v>
      </c>
    </row>
    <row r="79" spans="1:7" s="1076" customFormat="1" ht="15">
      <c r="B79" s="1733" t="s">
        <v>4455</v>
      </c>
      <c r="C79" s="1194" t="s">
        <v>3666</v>
      </c>
    </row>
    <row r="80" spans="1:7" s="1076" customFormat="1" ht="15.75">
      <c r="A80" s="961" t="s">
        <v>3629</v>
      </c>
    </row>
    <row r="81" spans="1:7" s="1076" customFormat="1" ht="15.75">
      <c r="A81" s="1130">
        <f>A5</f>
        <v>0</v>
      </c>
    </row>
    <row r="82" spans="1:7" s="1076" customFormat="1" ht="15.75">
      <c r="A82" s="961">
        <f>A6</f>
        <v>0</v>
      </c>
    </row>
    <row r="83" spans="1:7" s="1076" customFormat="1" ht="15"/>
    <row r="84" spans="1:7" s="1076" customFormat="1" ht="15"/>
    <row r="85" spans="1:7" s="1076" customFormat="1" ht="18">
      <c r="A85" s="1320" t="s">
        <v>3276</v>
      </c>
      <c r="B85" s="1270"/>
      <c r="C85" s="1272"/>
      <c r="D85" s="1322" t="s">
        <v>3283</v>
      </c>
      <c r="E85" s="1271"/>
      <c r="G85" s="1196"/>
    </row>
    <row r="86" spans="1:7" s="1076" customFormat="1" ht="18">
      <c r="A86" s="1329" t="str">
        <f>CONCATENATE("Equalized Wealth Level = ($",Assumptions!G93,")")</f>
        <v>Equalized Wealth Level = ($319500)</v>
      </c>
      <c r="B86" s="1319"/>
      <c r="C86" s="1293" t="s">
        <v>3281</v>
      </c>
      <c r="D86" s="1293"/>
      <c r="E86" s="1304" t="s">
        <v>3282</v>
      </c>
      <c r="G86" s="1196"/>
    </row>
    <row r="87" spans="1:7" s="1076" customFormat="1" ht="15">
      <c r="A87" s="1079" t="s">
        <v>2501</v>
      </c>
      <c r="B87" s="1080" t="s">
        <v>1082</v>
      </c>
      <c r="C87" s="1124">
        <f>'Data Entry - SOF'!C136</f>
        <v>0</v>
      </c>
      <c r="D87" s="1124"/>
      <c r="E87" s="1124">
        <f>C87</f>
        <v>0</v>
      </c>
      <c r="F87" s="1782"/>
      <c r="G87" s="1782"/>
    </row>
    <row r="88" spans="1:7" s="1076" customFormat="1" ht="15">
      <c r="A88" s="1079" t="s">
        <v>2502</v>
      </c>
      <c r="B88" s="1080" t="s">
        <v>1083</v>
      </c>
      <c r="C88" s="1124">
        <f>'Data Entry - SOF'!C137</f>
        <v>0</v>
      </c>
      <c r="D88" s="1124"/>
      <c r="E88" s="1124">
        <f>C88</f>
        <v>0</v>
      </c>
      <c r="F88" s="1782"/>
      <c r="G88" s="1782"/>
    </row>
    <row r="89" spans="1:7" s="1076" customFormat="1" ht="15">
      <c r="A89" s="1079" t="s">
        <v>2503</v>
      </c>
      <c r="B89" s="1080" t="s">
        <v>673</v>
      </c>
      <c r="C89" s="1084">
        <f>'Data Entry - SOF'!C138</f>
        <v>0</v>
      </c>
      <c r="D89" s="1080"/>
      <c r="E89" s="1084">
        <f>C89</f>
        <v>0</v>
      </c>
      <c r="F89" s="1772"/>
      <c r="G89" s="1772"/>
    </row>
    <row r="90" spans="1:7" s="1076" customFormat="1" ht="15">
      <c r="A90" s="1079" t="s">
        <v>1024</v>
      </c>
      <c r="B90" s="1080" t="s">
        <v>3277</v>
      </c>
      <c r="C90" s="1085">
        <f>'Data Entry - SOF'!C139</f>
        <v>0</v>
      </c>
      <c r="D90" s="1085"/>
      <c r="E90" s="1124">
        <f>C90</f>
        <v>0</v>
      </c>
      <c r="F90" s="1782"/>
      <c r="G90" s="1782"/>
    </row>
    <row r="91" spans="1:7" s="1076" customFormat="1" ht="15">
      <c r="A91" s="1079" t="s">
        <v>1025</v>
      </c>
      <c r="B91" s="1080" t="s">
        <v>3616</v>
      </c>
      <c r="C91" s="1124" t="e">
        <f>IF(FracFunding1617!E24&lt;=0,'Option Costs-HB3646'!G40,'Option Costs-HB3646'!G71)</f>
        <v>#DIV/0!</v>
      </c>
      <c r="D91" s="1124"/>
      <c r="E91" s="1124" t="e">
        <f>C91</f>
        <v>#DIV/0!</v>
      </c>
      <c r="F91" s="1782"/>
      <c r="G91" s="1782"/>
    </row>
    <row r="92" spans="1:7" s="1076" customFormat="1" ht="15">
      <c r="A92" s="1079" t="s">
        <v>1027</v>
      </c>
      <c r="B92" s="1080" t="s">
        <v>3617</v>
      </c>
      <c r="C92" s="1125">
        <f>'Data Entry - SOF'!C58</f>
        <v>0</v>
      </c>
      <c r="D92" s="1125"/>
      <c r="E92" s="1125">
        <f t="shared" ref="E92:E99" si="2">C92</f>
        <v>0</v>
      </c>
      <c r="F92" s="1783"/>
      <c r="G92" s="1783"/>
    </row>
    <row r="93" spans="1:7" s="1076" customFormat="1" ht="15">
      <c r="A93" s="1079" t="s">
        <v>3278</v>
      </c>
      <c r="B93" s="1080" t="s">
        <v>3618</v>
      </c>
      <c r="C93" s="1125" t="e">
        <f>C17</f>
        <v>#DIV/0!</v>
      </c>
      <c r="D93" s="1125"/>
      <c r="E93" s="1125" t="e">
        <f t="shared" si="2"/>
        <v>#DIV/0!</v>
      </c>
      <c r="F93" s="1783"/>
      <c r="G93" s="1783"/>
    </row>
    <row r="94" spans="1:7" s="1076" customFormat="1" ht="15">
      <c r="A94" s="1079" t="s">
        <v>1028</v>
      </c>
      <c r="B94" s="1080" t="s">
        <v>3619</v>
      </c>
      <c r="C94" s="1084" t="e">
        <f>'Ch41 Calc Data'!K17</f>
        <v>#DIV/0!</v>
      </c>
      <c r="D94" s="1084"/>
      <c r="E94" s="1084" t="e">
        <f t="shared" si="2"/>
        <v>#DIV/0!</v>
      </c>
      <c r="F94" s="1772"/>
      <c r="G94" s="1772"/>
    </row>
    <row r="95" spans="1:7" s="1076" customFormat="1" ht="15">
      <c r="A95" s="1079" t="s">
        <v>1029</v>
      </c>
      <c r="B95" s="1080" t="s">
        <v>7392</v>
      </c>
      <c r="C95" s="1085">
        <f>C19</f>
        <v>0</v>
      </c>
      <c r="D95" s="1080"/>
      <c r="E95" s="1124">
        <f t="shared" si="2"/>
        <v>0</v>
      </c>
      <c r="F95" s="1782"/>
      <c r="G95" s="1782"/>
    </row>
    <row r="96" spans="1:7" s="1076" customFormat="1" ht="15">
      <c r="A96" s="1079" t="s">
        <v>139</v>
      </c>
      <c r="B96" s="1080" t="s">
        <v>3620</v>
      </c>
      <c r="C96" s="1085">
        <f>'Report-SOF1617'!D68</f>
        <v>0</v>
      </c>
      <c r="D96" s="1080"/>
      <c r="E96" s="1124">
        <f t="shared" si="2"/>
        <v>0</v>
      </c>
      <c r="F96" s="1782"/>
      <c r="G96" s="1782"/>
    </row>
    <row r="97" spans="1:7" s="1076" customFormat="1" ht="15">
      <c r="A97" s="1079" t="s">
        <v>140</v>
      </c>
      <c r="B97" s="1080" t="s">
        <v>3279</v>
      </c>
      <c r="C97" s="1083">
        <f>'Data Entry - SOF'!C94</f>
        <v>0</v>
      </c>
      <c r="D97" s="1083"/>
      <c r="E97" s="1083">
        <f t="shared" si="2"/>
        <v>0</v>
      </c>
      <c r="F97" s="1784"/>
      <c r="G97" s="1784"/>
    </row>
    <row r="98" spans="1:7" s="1076" customFormat="1" ht="15">
      <c r="A98" s="1079" t="s">
        <v>141</v>
      </c>
      <c r="B98" s="1080" t="s">
        <v>3280</v>
      </c>
      <c r="C98" s="1124">
        <f>'Data Entry - SOF'!C95</f>
        <v>0</v>
      </c>
      <c r="D98" s="1080"/>
      <c r="E98" s="1124">
        <f t="shared" si="2"/>
        <v>0</v>
      </c>
      <c r="F98" s="1782"/>
      <c r="G98" s="1782"/>
    </row>
    <row r="99" spans="1:7" s="1076" customFormat="1" ht="15">
      <c r="A99" s="1079" t="s">
        <v>142</v>
      </c>
      <c r="B99" s="1080" t="s">
        <v>2035</v>
      </c>
      <c r="C99" s="1126">
        <f>C23</f>
        <v>0</v>
      </c>
      <c r="D99" s="1097"/>
      <c r="E99" s="1126">
        <f t="shared" si="2"/>
        <v>0</v>
      </c>
      <c r="F99" s="1782"/>
      <c r="G99" s="1782"/>
    </row>
    <row r="100" spans="1:7" s="1076" customFormat="1" ht="15.75">
      <c r="A100" s="1326" t="s">
        <v>3284</v>
      </c>
      <c r="B100" s="1324"/>
      <c r="C100" s="1324"/>
      <c r="D100" s="1324"/>
      <c r="E100" s="1325"/>
      <c r="G100" s="1196"/>
    </row>
    <row r="101" spans="1:7" s="1076" customFormat="1" ht="15.75">
      <c r="A101" s="1312" t="s">
        <v>3285</v>
      </c>
      <c r="B101" s="1310"/>
      <c r="C101" s="1310"/>
      <c r="D101" s="1310"/>
      <c r="E101" s="1311"/>
      <c r="G101" s="1196"/>
    </row>
    <row r="102" spans="1:7" s="1076" customFormat="1" ht="15">
      <c r="A102" s="1079" t="s">
        <v>1706</v>
      </c>
      <c r="B102" s="1080" t="s">
        <v>3286</v>
      </c>
      <c r="C102" s="1085">
        <f>'Option Costs-HB3646'!G13</f>
        <v>0</v>
      </c>
      <c r="D102" s="1085"/>
      <c r="E102" s="1085">
        <f t="shared" ref="E102:E107" si="3">C102</f>
        <v>0</v>
      </c>
      <c r="F102" s="1196"/>
      <c r="G102" s="1196"/>
    </row>
    <row r="103" spans="1:7" s="1076" customFormat="1" ht="15">
      <c r="A103" s="1079" t="s">
        <v>6</v>
      </c>
      <c r="B103" s="1080" t="s">
        <v>3321</v>
      </c>
      <c r="C103" s="1084">
        <f>'Option Costs-HB3646'!G16</f>
        <v>0</v>
      </c>
      <c r="D103" s="1084"/>
      <c r="E103" s="1084">
        <f t="shared" si="3"/>
        <v>0</v>
      </c>
      <c r="F103" s="1772"/>
      <c r="G103" s="1772"/>
    </row>
    <row r="104" spans="1:7" s="1076" customFormat="1" ht="15">
      <c r="A104" s="1079" t="s">
        <v>2551</v>
      </c>
      <c r="B104" s="1080" t="s">
        <v>3287</v>
      </c>
      <c r="C104" s="1085">
        <f>'Option Costs-HB3646'!G17</f>
        <v>0</v>
      </c>
      <c r="D104" s="1085"/>
      <c r="E104" s="1085">
        <f t="shared" si="3"/>
        <v>0</v>
      </c>
      <c r="F104" s="1196"/>
      <c r="G104" s="1196"/>
    </row>
    <row r="105" spans="1:7" s="1076" customFormat="1" ht="15">
      <c r="A105" s="1079" t="s">
        <v>2552</v>
      </c>
      <c r="B105" s="1080" t="s">
        <v>3288</v>
      </c>
      <c r="C105" s="1085">
        <f>'Option Costs-HB3646'!G19</f>
        <v>0</v>
      </c>
      <c r="D105" s="1085"/>
      <c r="E105" s="1085">
        <f t="shared" si="3"/>
        <v>0</v>
      </c>
      <c r="F105" s="1196"/>
      <c r="G105" s="1196"/>
    </row>
    <row r="106" spans="1:7" s="1076" customFormat="1" ht="15">
      <c r="A106" s="1079" t="s">
        <v>3122</v>
      </c>
      <c r="B106" s="1080" t="s">
        <v>3289</v>
      </c>
      <c r="C106" s="1084">
        <f>'Option Costs-HB3646'!G20</f>
        <v>0</v>
      </c>
      <c r="D106" s="1084"/>
      <c r="E106" s="1084">
        <f t="shared" si="3"/>
        <v>0</v>
      </c>
      <c r="F106" s="1772"/>
      <c r="G106" s="1772"/>
    </row>
    <row r="107" spans="1:7" s="1076" customFormat="1" ht="15">
      <c r="A107" s="1079" t="s">
        <v>3123</v>
      </c>
      <c r="B107" s="1080" t="s">
        <v>3621</v>
      </c>
      <c r="C107" s="1084">
        <f>'Option Costs-HB3646'!G21</f>
        <v>1.4999999999999999E-2</v>
      </c>
      <c r="D107" s="1084"/>
      <c r="E107" s="1084">
        <f t="shared" si="3"/>
        <v>1.4999999999999999E-2</v>
      </c>
      <c r="F107" s="1772"/>
      <c r="G107" s="1772"/>
    </row>
    <row r="108" spans="1:7" s="1076" customFormat="1" ht="15.75">
      <c r="A108" s="1366" t="s">
        <v>3290</v>
      </c>
      <c r="B108" s="1290"/>
      <c r="C108" s="1290"/>
      <c r="D108" s="1290"/>
      <c r="E108" s="1291"/>
      <c r="G108" s="1196"/>
    </row>
    <row r="109" spans="1:7" ht="15">
      <c r="A109" s="1095" t="s">
        <v>3126</v>
      </c>
      <c r="B109" s="1080" t="s">
        <v>3290</v>
      </c>
      <c r="C109" s="1085" t="e">
        <f>'Option Costs-HB3646'!G24</f>
        <v>#DIV/0!</v>
      </c>
      <c r="D109" s="1085"/>
      <c r="E109" s="1085" t="e">
        <f>C109</f>
        <v>#DIV/0!</v>
      </c>
      <c r="F109" s="1196"/>
      <c r="G109" s="1196"/>
    </row>
    <row r="110" spans="1:7" ht="15.75">
      <c r="A110" s="1366" t="s">
        <v>3291</v>
      </c>
      <c r="B110" s="1290"/>
      <c r="C110" s="1290"/>
      <c r="D110" s="1290"/>
      <c r="E110" s="1291"/>
      <c r="F110" s="1076"/>
      <c r="G110" s="1196"/>
    </row>
    <row r="111" spans="1:7" ht="15">
      <c r="A111" s="1095" t="s">
        <v>3127</v>
      </c>
      <c r="B111" s="1080" t="s">
        <v>3292</v>
      </c>
      <c r="C111" s="1085">
        <f>'Option Costs-HB3646'!G27</f>
        <v>0</v>
      </c>
      <c r="D111" s="1085"/>
      <c r="E111" s="1127" t="s">
        <v>1994</v>
      </c>
      <c r="F111" s="1785"/>
      <c r="G111" s="1785"/>
    </row>
    <row r="112" spans="1:7" ht="15">
      <c r="A112" s="1095" t="s">
        <v>3128</v>
      </c>
      <c r="B112" s="1080" t="s">
        <v>3293</v>
      </c>
      <c r="C112" s="1085" t="e">
        <f>'Option Costs-HB3646'!G28</f>
        <v>#DIV/0!</v>
      </c>
      <c r="D112" s="1085"/>
      <c r="E112" s="1127" t="s">
        <v>1994</v>
      </c>
      <c r="F112" s="1785"/>
      <c r="G112" s="1785"/>
    </row>
    <row r="113" spans="1:7" ht="15">
      <c r="A113" s="1095" t="s">
        <v>3129</v>
      </c>
      <c r="B113" s="1080" t="s">
        <v>3294</v>
      </c>
      <c r="C113" s="1085" t="e">
        <f>'Option Costs-HB3646'!G29</f>
        <v>#DIV/0!</v>
      </c>
      <c r="D113" s="1085"/>
      <c r="E113" s="1127" t="s">
        <v>1994</v>
      </c>
      <c r="F113" s="1785"/>
      <c r="G113" s="1785"/>
    </row>
    <row r="114" spans="1:7" ht="15">
      <c r="A114" s="1095" t="s">
        <v>3131</v>
      </c>
      <c r="B114" s="1080" t="s">
        <v>3295</v>
      </c>
      <c r="C114" s="1085" t="e">
        <f>'Option Costs-HB3646'!G30</f>
        <v>#DIV/0!</v>
      </c>
      <c r="D114" s="1085"/>
      <c r="E114" s="1127" t="s">
        <v>1994</v>
      </c>
      <c r="F114" s="1785"/>
      <c r="G114" s="1785"/>
    </row>
    <row r="115" spans="1:7" ht="15">
      <c r="A115" s="1095" t="s">
        <v>3132</v>
      </c>
      <c r="B115" s="1080" t="s">
        <v>3296</v>
      </c>
      <c r="C115" s="1085" t="e">
        <f>'Option Costs-HB3646'!G33</f>
        <v>#DIV/0!</v>
      </c>
      <c r="D115" s="1085"/>
      <c r="E115" s="1085" t="e">
        <f>'Option Costs-HB3646'!I33</f>
        <v>#DIV/0!</v>
      </c>
      <c r="F115" s="1196"/>
      <c r="G115" s="1196"/>
    </row>
    <row r="116" spans="1:7" ht="15">
      <c r="A116" s="1095" t="s">
        <v>3133</v>
      </c>
      <c r="B116" s="1080" t="s">
        <v>3297</v>
      </c>
      <c r="C116" s="1085" t="e">
        <f>'Option Costs-HB3646'!G34</f>
        <v>#DIV/0!</v>
      </c>
      <c r="D116" s="1085"/>
      <c r="E116" s="1085" t="e">
        <f>'Option Costs-HB3646'!I34</f>
        <v>#DIV/0!</v>
      </c>
      <c r="F116" s="1196"/>
      <c r="G116" s="1196"/>
    </row>
    <row r="117" spans="1:7" ht="15">
      <c r="A117" s="1095" t="s">
        <v>3134</v>
      </c>
      <c r="B117" s="1080" t="s">
        <v>3298</v>
      </c>
      <c r="C117" s="1084" t="e">
        <f>'Option Costs-HB3646'!G35</f>
        <v>#DIV/0!</v>
      </c>
      <c r="D117" s="1084"/>
      <c r="E117" s="1084" t="e">
        <f>'Option Costs-HB3646'!I35</f>
        <v>#DIV/0!</v>
      </c>
      <c r="F117" s="1772"/>
      <c r="G117" s="1772"/>
    </row>
    <row r="118" spans="1:7" ht="15.75">
      <c r="A118" s="1366" t="s">
        <v>3299</v>
      </c>
      <c r="B118" s="1290"/>
      <c r="C118" s="1290"/>
      <c r="D118" s="1290"/>
      <c r="E118" s="1291"/>
      <c r="F118" s="1076"/>
      <c r="G118" s="1196"/>
    </row>
    <row r="119" spans="1:7" ht="15">
      <c r="A119" s="1079" t="s">
        <v>3135</v>
      </c>
      <c r="B119" s="1080" t="s">
        <v>3300</v>
      </c>
      <c r="C119" s="1085" t="e">
        <f>IF(FracFunding1617!E24&lt;=0,'Option Costs-HB3646'!G42,'Option Costs-HB3646'!G73)</f>
        <v>#DIV/0!</v>
      </c>
      <c r="D119" s="1080"/>
      <c r="E119" s="1085" t="e">
        <f>IF(FracFunding1617!E24&lt;=0,'Option Costs-HB3646'!I42,'Option Costs-HB3646'!I73)</f>
        <v>#DIV/0!</v>
      </c>
      <c r="F119" s="1196"/>
      <c r="G119" s="1196"/>
    </row>
    <row r="120" spans="1:7" ht="15">
      <c r="A120" s="1079" t="s">
        <v>3140</v>
      </c>
      <c r="B120" s="1080" t="s">
        <v>3301</v>
      </c>
      <c r="C120" s="1085" t="e">
        <f>IF(FracFunding1617!E24&lt;=0,'Option Costs-HB3646'!G43,'Option Costs-HB3646'!G74)</f>
        <v>#DIV/0!</v>
      </c>
      <c r="D120" s="1084"/>
      <c r="E120" s="1085" t="e">
        <f>IF(FracFunding1617!E24&lt;=0,'Option Costs-HB3646'!I43,'Option Costs-HB3646'!I74)</f>
        <v>#DIV/0!</v>
      </c>
      <c r="F120" s="1772"/>
      <c r="G120" s="1772"/>
    </row>
    <row r="121" spans="1:7" ht="15">
      <c r="A121" s="1079" t="s">
        <v>3141</v>
      </c>
      <c r="B121" s="1080" t="s">
        <v>7904</v>
      </c>
      <c r="C121" s="1085" t="e">
        <f>IF(FracFunding1617!E24&lt;=0,'Option Costs-HB3646'!G44,'Option Costs-HB3646'!G75)</f>
        <v>#DIV/0!</v>
      </c>
      <c r="D121" s="1085"/>
      <c r="E121" s="1085" t="e">
        <f>IF(FracFunding1617!E24&lt;=0,'Option Costs-HB3646'!I44,'Option Costs-HB3646'!I75)</f>
        <v>#DIV/0!</v>
      </c>
      <c r="F121" s="1196"/>
      <c r="G121" s="1196"/>
    </row>
    <row r="122" spans="1:7" ht="15">
      <c r="A122" s="1079" t="s">
        <v>3142</v>
      </c>
      <c r="B122" s="1080" t="s">
        <v>3302</v>
      </c>
      <c r="C122" s="1085" t="e">
        <f>IF(FracFunding1617!E24&lt;=0,'Option Costs-HB3646'!G45,'Option Costs-HB3646'!G76)</f>
        <v>#DIV/0!</v>
      </c>
      <c r="D122" s="1084"/>
      <c r="E122" s="1085" t="e">
        <f>IF(FracFunding1617!E24&lt;=0,'Option Costs-HB3646'!I45,'Option Costs-HB3646'!I76)</f>
        <v>#DIV/0!</v>
      </c>
      <c r="F122" s="1772"/>
      <c r="G122" s="1772"/>
    </row>
    <row r="123" spans="1:7" ht="15">
      <c r="A123" s="1079" t="s">
        <v>3143</v>
      </c>
      <c r="B123" s="1080" t="s">
        <v>3303</v>
      </c>
      <c r="C123" s="1085" t="e">
        <f>IF(FracFunding1617!E24&lt;=0,'Option Costs-HB3646'!G46,'Option Costs-HB3646'!G77)</f>
        <v>#DIV/0!</v>
      </c>
      <c r="D123" s="1084"/>
      <c r="E123" s="1085" t="e">
        <f>IF(FracFunding1617!E24&lt;=0,'Option Costs-HB3646'!I46,'Option Costs-HB3646'!I77)</f>
        <v>#DIV/0!</v>
      </c>
      <c r="F123" s="1772"/>
      <c r="G123" s="1772"/>
    </row>
    <row r="124" spans="1:7" ht="15">
      <c r="A124" s="1079" t="s">
        <v>3144</v>
      </c>
      <c r="B124" s="1080" t="s">
        <v>3304</v>
      </c>
      <c r="C124" s="1085" t="e">
        <f>IF(FracFunding1617!E24&lt;=0,'Option Costs-HB3646'!G47,'Option Costs-HB3646'!G78)</f>
        <v>#DIV/0!</v>
      </c>
      <c r="D124" s="1084"/>
      <c r="E124" s="1085" t="e">
        <f>IF(FracFunding1617!E24&lt;=0,'Option Costs-HB3646'!I47,'Option Costs-HB3646'!I78)</f>
        <v>#DIV/0!</v>
      </c>
      <c r="F124" s="1772"/>
      <c r="G124" s="1772"/>
    </row>
    <row r="125" spans="1:7" ht="15">
      <c r="A125" s="1079" t="s">
        <v>3145</v>
      </c>
      <c r="B125" s="1080" t="s">
        <v>3305</v>
      </c>
      <c r="C125" s="1085" t="e">
        <f>IF(FracFunding1617!E24&lt;=0,'Option Costs-HB3646'!G48,'Option Costs-HB3646'!G79)</f>
        <v>#DIV/0!</v>
      </c>
      <c r="D125" s="1085"/>
      <c r="E125" s="1085" t="e">
        <f>IF(FracFunding1617!E24&lt;=0,'Option Costs-HB3646'!I48,'Option Costs-HB3646'!I79)</f>
        <v>#DIV/0!</v>
      </c>
      <c r="F125" s="1196"/>
      <c r="G125" s="1196"/>
    </row>
    <row r="126" spans="1:7" ht="15.75">
      <c r="A126" s="1326" t="s">
        <v>3306</v>
      </c>
      <c r="B126" s="1324"/>
      <c r="C126" s="1324"/>
      <c r="D126" s="1324"/>
      <c r="E126" s="1325"/>
      <c r="F126" s="1076"/>
      <c r="G126" s="1196"/>
    </row>
    <row r="127" spans="1:7" ht="15.75">
      <c r="A127" s="1312" t="s">
        <v>3374</v>
      </c>
      <c r="B127" s="1310"/>
      <c r="C127" s="1310"/>
      <c r="D127" s="1310"/>
      <c r="E127" s="1311"/>
      <c r="F127" s="1076"/>
      <c r="G127" s="1196"/>
    </row>
    <row r="128" spans="1:7" ht="15">
      <c r="A128" s="1079" t="s">
        <v>3146</v>
      </c>
      <c r="B128" s="1080" t="s">
        <v>3373</v>
      </c>
      <c r="C128" s="1085" t="e">
        <f>IF(FracFunding1617!E24&lt;=0,'Option Costs-HB3646'!G111,'Option Costs-HB3646'!G118)</f>
        <v>#DIV/0!</v>
      </c>
      <c r="D128" s="1080"/>
      <c r="E128" s="1127" t="s">
        <v>1994</v>
      </c>
      <c r="F128" s="1785"/>
      <c r="G128" s="1785"/>
    </row>
    <row r="129" spans="1:7" ht="15">
      <c r="A129" s="1079" t="s">
        <v>3147</v>
      </c>
      <c r="B129" s="1080" t="s">
        <v>3372</v>
      </c>
      <c r="C129" s="1085" t="e">
        <f>IF(FracFunding1617!E24&lt;=0,'Option Costs-HB3646'!G112,'Option Costs-HB3646'!G119)</f>
        <v>#DIV/0!</v>
      </c>
      <c r="D129" s="1080"/>
      <c r="E129" s="1127" t="s">
        <v>1994</v>
      </c>
      <c r="F129" s="1785"/>
      <c r="G129" s="1785"/>
    </row>
    <row r="130" spans="1:7" ht="15">
      <c r="A130" s="1079" t="s">
        <v>3148</v>
      </c>
      <c r="B130" s="1080" t="s">
        <v>3307</v>
      </c>
      <c r="C130" s="1085" t="e">
        <f>IF(FracFunding1617!E24&lt;=0,'Option Costs-HB3646'!G51,'Option Costs-HB3646'!G82)</f>
        <v>#DIV/0!</v>
      </c>
      <c r="D130" s="1080"/>
      <c r="E130" s="1127" t="s">
        <v>1994</v>
      </c>
      <c r="F130" s="1785"/>
      <c r="G130" s="1785"/>
    </row>
    <row r="131" spans="1:7" ht="15.75">
      <c r="A131" s="1366" t="s">
        <v>3308</v>
      </c>
      <c r="B131" s="1290"/>
      <c r="C131" s="1290"/>
      <c r="D131" s="1290"/>
      <c r="E131" s="1291"/>
      <c r="F131" s="1076"/>
      <c r="G131" s="1196"/>
    </row>
    <row r="132" spans="1:7" ht="15">
      <c r="A132" s="1079" t="s">
        <v>3149</v>
      </c>
      <c r="B132" s="1080" t="s">
        <v>3622</v>
      </c>
      <c r="C132" s="1085">
        <f>'Data Entry - SOF'!C91</f>
        <v>0</v>
      </c>
      <c r="D132" s="1085"/>
      <c r="E132" s="1085">
        <f>'Data Entry - SOF'!C91</f>
        <v>0</v>
      </c>
      <c r="F132" s="1196"/>
      <c r="G132" s="1196"/>
    </row>
    <row r="133" spans="1:7" ht="15">
      <c r="A133" s="1079" t="s">
        <v>3150</v>
      </c>
      <c r="B133" s="1080" t="s">
        <v>3623</v>
      </c>
      <c r="C133" s="1085" t="e">
        <f>IF(FracFunding1617!E24&lt;=0,'Option Costs-HB3646'!G42,'Option Costs-HB3646'!G73)</f>
        <v>#DIV/0!</v>
      </c>
      <c r="D133" s="1085"/>
      <c r="E133" s="1085" t="e">
        <f>IF(FracFunding1617!E24&lt;=0,'Option Costs-HB3646'!I42,'Option Costs-HB3646'!I73)</f>
        <v>#DIV/0!</v>
      </c>
      <c r="F133" s="1196"/>
      <c r="G133" s="1196"/>
    </row>
    <row r="134" spans="1:7" ht="15">
      <c r="A134" s="1079" t="s">
        <v>3151</v>
      </c>
      <c r="B134" s="1080" t="s">
        <v>3616</v>
      </c>
      <c r="C134" s="1085" t="e">
        <f>IF(FracFunding1617!E24&lt;=0,'Option Costs-HB3646'!G41,'Option Costs-HB3646'!G72)</f>
        <v>#DIV/0!</v>
      </c>
      <c r="D134" s="1085"/>
      <c r="E134" s="1085" t="e">
        <f>IF(FracFunding1617!E24&lt;=0,'Option Costs-HB3646'!I41,'Option Costs-HB3646'!I72)</f>
        <v>#DIV/0!</v>
      </c>
      <c r="F134" s="1196"/>
      <c r="G134" s="1196"/>
    </row>
    <row r="135" spans="1:7" ht="15">
      <c r="A135" s="1079" t="s">
        <v>3152</v>
      </c>
      <c r="B135" s="1080" t="s">
        <v>3624</v>
      </c>
      <c r="C135" s="1085" t="e">
        <f>IF(FracFunding1617!E24&lt;=0,'Option Costs-HB3646'!G52,'Option Costs-HB3646'!G83)</f>
        <v>#DIV/0!</v>
      </c>
      <c r="D135" s="1085"/>
      <c r="E135" s="1085" t="e">
        <f>IF(FracFunding1617!E24&lt;=0,'Option Costs-HB3646'!I52,'Option Costs-HB3646'!I83)</f>
        <v>#DIV/0!</v>
      </c>
      <c r="F135" s="1196"/>
      <c r="G135" s="1196"/>
    </row>
    <row r="136" spans="1:7" ht="15">
      <c r="A136" s="1079" t="s">
        <v>3153</v>
      </c>
      <c r="B136" s="1080" t="s">
        <v>3309</v>
      </c>
      <c r="C136" s="1085">
        <v>0</v>
      </c>
      <c r="D136" s="1085"/>
      <c r="E136" s="1085">
        <v>0</v>
      </c>
      <c r="F136" s="1196"/>
      <c r="G136" s="1196"/>
    </row>
    <row r="137" spans="1:7" ht="15">
      <c r="A137" s="1079" t="s">
        <v>3154</v>
      </c>
      <c r="B137" s="1080" t="s">
        <v>3322</v>
      </c>
      <c r="C137" s="1085">
        <v>0</v>
      </c>
      <c r="D137" s="1085"/>
      <c r="E137" s="1085">
        <v>0</v>
      </c>
      <c r="F137" s="1196"/>
      <c r="G137" s="1196"/>
    </row>
    <row r="138" spans="1:7" ht="15">
      <c r="A138" s="1079" t="s">
        <v>3155</v>
      </c>
      <c r="B138" s="1080" t="s">
        <v>3310</v>
      </c>
      <c r="C138" s="1085" t="e">
        <f>IF(FracFunding1617!E24&lt;=0,'Option Costs-HB3646'!G52,'Option Costs-HB3646'!G83)</f>
        <v>#DIV/0!</v>
      </c>
      <c r="D138" s="1085"/>
      <c r="E138" s="1085" t="e">
        <f>IF(FracFunding1617!E24&lt;=0,'Option Costs-HB3646'!I52,'Option Costs-HB3646'!I83)</f>
        <v>#DIV/0!</v>
      </c>
      <c r="F138" s="1196"/>
      <c r="G138" s="1196"/>
    </row>
    <row r="139" spans="1:7" ht="15.75">
      <c r="A139" s="1298" t="s">
        <v>3311</v>
      </c>
      <c r="B139" s="1290"/>
      <c r="C139" s="1290"/>
      <c r="D139" s="1290"/>
      <c r="E139" s="1291"/>
      <c r="F139" s="1196"/>
      <c r="G139" s="1196"/>
    </row>
    <row r="140" spans="1:7" ht="15">
      <c r="A140" s="1079" t="s">
        <v>3156</v>
      </c>
      <c r="B140" s="1080" t="s">
        <v>3312</v>
      </c>
      <c r="C140" s="1085" t="e">
        <f>IF(FracFunding1617!E24&lt;=0,'Option Costs-HB3646'!G48,'Option Costs-HB3646'!G79)</f>
        <v>#DIV/0!</v>
      </c>
      <c r="D140" s="1085"/>
      <c r="E140" s="1085" t="e">
        <f>IF(FracFunding1617!E24&lt;=0,'Option Costs-HB3646'!I48,'Option Costs-HB3646'!I79)</f>
        <v>#DIV/0!</v>
      </c>
      <c r="F140" s="1196"/>
      <c r="G140" s="1196"/>
    </row>
    <row r="141" spans="1:7" ht="15.75">
      <c r="A141" s="1079" t="s">
        <v>3157</v>
      </c>
      <c r="B141" s="1078" t="s">
        <v>3313</v>
      </c>
      <c r="C141" s="1090" t="e">
        <f>IF(FracFunding1617!E24&lt;=0,'Option Costs-HB3646'!G54,'Option Costs-HB3646'!G85)</f>
        <v>#DIV/0!</v>
      </c>
      <c r="D141" s="1090"/>
      <c r="E141" s="1090" t="e">
        <f>IF(FracFunding1617!E24&lt;=0,'Option Costs-HB3646'!I54,'Option Costs-HB3646'!I85)</f>
        <v>#DIV/0!</v>
      </c>
      <c r="F141" s="1317" t="s">
        <v>3445</v>
      </c>
      <c r="G141" s="1318" t="str">
        <f>'Data Entry - SOF'!C98</f>
        <v>Y</v>
      </c>
    </row>
    <row r="142" spans="1:7" ht="15.75">
      <c r="A142" s="1079" t="s">
        <v>3158</v>
      </c>
      <c r="B142" s="1078" t="s">
        <v>3314</v>
      </c>
      <c r="C142" s="1090" t="e">
        <f>IF(FracFunding1617!E24&lt;=0,'Option Costs-HB3646'!G55,'Option Costs-HB3646'!G86)</f>
        <v>#DIV/0!</v>
      </c>
      <c r="D142" s="1090"/>
      <c r="E142" s="1090" t="e">
        <f>IF(FracFunding1617!E24&lt;=0,'Option Costs-HB3646'!I55,'Option Costs-HB3646'!I86)</f>
        <v>#DIV/0!</v>
      </c>
      <c r="F142" s="1359"/>
      <c r="G142" s="1359"/>
    </row>
    <row r="143" spans="1:7" ht="15.75">
      <c r="A143" s="1366" t="s">
        <v>3315</v>
      </c>
      <c r="B143" s="1290"/>
      <c r="C143" s="1290"/>
      <c r="D143" s="1290"/>
      <c r="E143" s="1291"/>
      <c r="F143" s="1359"/>
      <c r="G143" s="1359"/>
    </row>
    <row r="144" spans="1:7" ht="15">
      <c r="A144" s="1079" t="s">
        <v>3175</v>
      </c>
      <c r="B144" s="1080" t="s">
        <v>3625</v>
      </c>
      <c r="C144" s="1084" t="e">
        <f>'Calc Data-SB1'!C25</f>
        <v>#DIV/0!</v>
      </c>
      <c r="D144" s="1084"/>
      <c r="E144" s="1084" t="e">
        <f>'Calc Data-SB1'!C25</f>
        <v>#DIV/0!</v>
      </c>
      <c r="F144" s="1772"/>
      <c r="G144" s="1772"/>
    </row>
    <row r="145" spans="1:7" ht="15">
      <c r="A145" s="1079" t="s">
        <v>3176</v>
      </c>
      <c r="B145" s="1080" t="s">
        <v>3626</v>
      </c>
      <c r="C145" s="1083">
        <f>'Data Entry - SOF'!C90</f>
        <v>0</v>
      </c>
      <c r="D145" s="1083"/>
      <c r="E145" s="1083">
        <f>'Data Entry - SOF'!C90</f>
        <v>0</v>
      </c>
      <c r="F145" s="1784"/>
      <c r="G145" s="1784"/>
    </row>
    <row r="146" spans="1:7" ht="15">
      <c r="A146" s="1079" t="s">
        <v>3177</v>
      </c>
      <c r="B146" s="1080" t="s">
        <v>3627</v>
      </c>
      <c r="C146" s="1083">
        <f>'Data Entry - SOF'!C89</f>
        <v>0</v>
      </c>
      <c r="D146" s="1083"/>
      <c r="E146" s="1083">
        <f>'Data Entry - SOF'!C89</f>
        <v>0</v>
      </c>
      <c r="F146" s="1784"/>
      <c r="G146" s="1784"/>
    </row>
    <row r="147" spans="1:7" ht="15.75">
      <c r="A147" s="1326" t="s">
        <v>3284</v>
      </c>
      <c r="B147" s="1324"/>
      <c r="C147" s="1324"/>
      <c r="D147" s="1324"/>
      <c r="E147" s="1325"/>
      <c r="F147" s="1359"/>
      <c r="G147" s="1359"/>
    </row>
    <row r="148" spans="1:7" ht="15.75">
      <c r="A148" s="1312" t="s">
        <v>3316</v>
      </c>
      <c r="B148" s="1310"/>
      <c r="C148" s="1310"/>
      <c r="D148" s="1310"/>
      <c r="E148" s="1311"/>
      <c r="F148" s="1359"/>
      <c r="G148" s="1359"/>
    </row>
    <row r="149" spans="1:7" ht="15">
      <c r="A149" s="1079" t="s">
        <v>3178</v>
      </c>
      <c r="B149" s="1080" t="s">
        <v>3626</v>
      </c>
      <c r="C149" s="1083">
        <f>'Data Entry - SOF'!C90</f>
        <v>0</v>
      </c>
      <c r="D149" s="1080"/>
      <c r="E149" s="1083">
        <f>'Data Entry - SOF'!C90</f>
        <v>0</v>
      </c>
      <c r="F149" s="1784"/>
      <c r="G149" s="1784"/>
    </row>
    <row r="150" spans="1:7" ht="15">
      <c r="A150" s="1079" t="s">
        <v>3179</v>
      </c>
      <c r="B150" s="1080" t="s">
        <v>3317</v>
      </c>
      <c r="C150" s="1084">
        <f>'Ch41 Calc Data'!K15</f>
        <v>0</v>
      </c>
      <c r="D150" s="1084"/>
      <c r="E150" s="1084">
        <f>'Ch41 Calc Data'!K15</f>
        <v>0</v>
      </c>
      <c r="F150" s="1772"/>
      <c r="G150" s="1772"/>
    </row>
    <row r="151" spans="1:7" ht="15">
      <c r="A151" s="1079" t="s">
        <v>3180</v>
      </c>
      <c r="B151" s="1080" t="s">
        <v>3318</v>
      </c>
      <c r="C151" s="1084">
        <f>'Ch41 Calc Data'!K16</f>
        <v>0</v>
      </c>
      <c r="D151" s="1084"/>
      <c r="E151" s="1084">
        <f>'Ch41 Calc Data'!K16</f>
        <v>0</v>
      </c>
      <c r="F151" s="1772"/>
      <c r="G151" s="1772"/>
    </row>
    <row r="152" spans="1:7" ht="15.75">
      <c r="A152" s="1327" t="s">
        <v>3319</v>
      </c>
      <c r="B152" s="1290"/>
      <c r="C152" s="1290"/>
      <c r="D152" s="1290"/>
      <c r="E152" s="1291"/>
      <c r="F152" s="1359"/>
      <c r="G152" s="1359"/>
    </row>
    <row r="153" spans="1:7" ht="15">
      <c r="A153" s="1079" t="s">
        <v>3320</v>
      </c>
      <c r="B153" s="1080" t="s">
        <v>3628</v>
      </c>
      <c r="C153" s="1084" t="e">
        <f>'Ch41 Calc Data'!K17</f>
        <v>#DIV/0!</v>
      </c>
      <c r="D153" s="1084"/>
      <c r="E153" s="1084" t="e">
        <f>'Ch41 Calc Data'!K17</f>
        <v>#DIV/0!</v>
      </c>
      <c r="F153" s="1772"/>
      <c r="G153" s="1772"/>
    </row>
    <row r="154" spans="1:7" s="1076" customFormat="1" ht="15">
      <c r="B154" s="1733" t="s">
        <v>4453</v>
      </c>
      <c r="C154" s="1445" t="s">
        <v>3729</v>
      </c>
    </row>
    <row r="155" spans="1:7" s="1076" customFormat="1" ht="15">
      <c r="B155" s="1733" t="s">
        <v>4455</v>
      </c>
      <c r="C155" s="1194" t="s">
        <v>3666</v>
      </c>
    </row>
  </sheetData>
  <sheetProtection sheet="1" objects="1" scenarios="1"/>
  <hyperlinks>
    <hyperlink ref="C78" location="'Report-ASATR1617'!A1" display="'Report-ASATR1617'!A1"/>
    <hyperlink ref="C79" location="'Report-SOF1617'!A1" display="'Report-SOF1617'!A1"/>
    <hyperlink ref="C154" location="'Report-ASATR1617'!A1" display="'Report-ASATR1617'!A1"/>
    <hyperlink ref="C155" location="'Report-SOF1617'!A1" display="'Report-SOF1617'!A1"/>
  </hyperlinks>
  <pageMargins left="0.45" right="0.45" top="0.5" bottom="0.5" header="0.3" footer="0.3"/>
  <pageSetup scale="80" orientation="portrait" r:id="rId1"/>
  <rowBreaks count="2" manualBreakCount="2">
    <brk id="54" max="4" man="1"/>
    <brk id="78" max="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5" sqref="C15"/>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'Report-Recapture1617'!E1</f>
        <v>84th/85th Legislative Session</v>
      </c>
    </row>
    <row r="2" spans="1:5">
      <c r="A2" s="89" t="s">
        <v>4452</v>
      </c>
      <c r="E2" s="98" t="str">
        <f>'Report-Recapture1617'!E2</f>
        <v>Release 2</v>
      </c>
    </row>
    <row r="3" spans="1:5">
      <c r="A3" s="89"/>
      <c r="E3" s="82">
        <f>'Report-Recapture1617'!E3</f>
        <v>43145</v>
      </c>
    </row>
    <row r="4" spans="1:5" ht="15.75">
      <c r="A4" s="1075" t="s">
        <v>3712</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3713</v>
      </c>
      <c r="C15" s="1124" t="e">
        <f>'Option Costs-HB3646'!K70</f>
        <v>#DIV/0!</v>
      </c>
      <c r="D15" s="1124"/>
      <c r="E15" s="1124" t="e">
        <f>C15</f>
        <v>#DIV/0!</v>
      </c>
    </row>
    <row r="16" spans="1:5" s="1076" customFormat="1" ht="15">
      <c r="A16" s="1079" t="s">
        <v>1027</v>
      </c>
      <c r="B16" s="1080" t="s">
        <v>3714</v>
      </c>
      <c r="C16" s="1125">
        <f>'Data Entry - SOF'!E58</f>
        <v>0</v>
      </c>
      <c r="D16" s="1125"/>
      <c r="E16" s="1125">
        <f t="shared" ref="E16:E23" si="0">C16</f>
        <v>0</v>
      </c>
    </row>
    <row r="17" spans="1:5" s="1076" customFormat="1" ht="15">
      <c r="A17" s="1079" t="s">
        <v>3278</v>
      </c>
      <c r="B17" s="1080" t="s">
        <v>3715</v>
      </c>
      <c r="C17" s="1125" t="e">
        <f>IF(FracFunding1718!E24&gt;=0,FracFunding1718!D5,FracFunding1718!C5)</f>
        <v>#DIV/0!</v>
      </c>
      <c r="D17" s="1125"/>
      <c r="E17" s="1125" t="e">
        <f t="shared" si="0"/>
        <v>#DIV/0!</v>
      </c>
    </row>
    <row r="18" spans="1:5" s="1076" customFormat="1" ht="15">
      <c r="A18" s="1079" t="s">
        <v>1028</v>
      </c>
      <c r="B18" s="1080" t="s">
        <v>3716</v>
      </c>
      <c r="C18" s="1084" t="e">
        <f>'Ch41 Calc Data'!L17</f>
        <v>#DIV/0!</v>
      </c>
      <c r="D18" s="1084"/>
      <c r="E18" s="1084" t="e">
        <f t="shared" si="0"/>
        <v>#DIV/0!</v>
      </c>
    </row>
    <row r="19" spans="1:5" s="1076" customFormat="1" ht="15">
      <c r="A19" s="1079" t="s">
        <v>1029</v>
      </c>
      <c r="B19" s="1080" t="s">
        <v>7393</v>
      </c>
      <c r="C19" s="1085">
        <f>'Data Entry - SOF'!E52</f>
        <v>0</v>
      </c>
      <c r="D19" s="1080"/>
      <c r="E19" s="1124">
        <f t="shared" si="0"/>
        <v>0</v>
      </c>
    </row>
    <row r="20" spans="1:5" s="1076" customFormat="1" ht="15">
      <c r="A20" s="1079" t="s">
        <v>139</v>
      </c>
      <c r="B20" s="1080" t="s">
        <v>3717</v>
      </c>
      <c r="C20" s="1085">
        <f>'Report-SOF1718'!D68</f>
        <v>0</v>
      </c>
      <c r="D20" s="1080"/>
      <c r="E20" s="1124">
        <f t="shared" si="0"/>
        <v>0</v>
      </c>
    </row>
    <row r="21" spans="1:5" s="1076" customFormat="1" ht="15">
      <c r="A21" s="1079" t="s">
        <v>140</v>
      </c>
      <c r="B21" s="1080" t="s">
        <v>3279</v>
      </c>
      <c r="C21" s="1083">
        <f>'Data Entry - SOF'!E94</f>
        <v>0</v>
      </c>
      <c r="D21" s="1083"/>
      <c r="E21" s="1083">
        <f t="shared" si="0"/>
        <v>0</v>
      </c>
    </row>
    <row r="22" spans="1:5" s="1076" customFormat="1" ht="15">
      <c r="A22" s="1079" t="s">
        <v>141</v>
      </c>
      <c r="B22" s="1080" t="s">
        <v>3280</v>
      </c>
      <c r="C22" s="1124">
        <f>'Data Entry - SOF'!E95</f>
        <v>0</v>
      </c>
      <c r="D22" s="1080"/>
      <c r="E22" s="1124">
        <f t="shared" si="0"/>
        <v>0</v>
      </c>
    </row>
    <row r="23" spans="1:5" s="1076" customFormat="1" ht="15">
      <c r="A23" s="1079" t="s">
        <v>142</v>
      </c>
      <c r="B23" s="1080" t="s">
        <v>2035</v>
      </c>
      <c r="C23" s="1126">
        <f>'Report-SOF1718'!D51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Costs-HB3646'!K13</f>
        <v>0</v>
      </c>
      <c r="D26" s="1085"/>
      <c r="E26" s="1085">
        <f t="shared" ref="E26:E31" si="1">C26</f>
        <v>0</v>
      </c>
    </row>
    <row r="27" spans="1:5" s="1076" customFormat="1" ht="15">
      <c r="A27" s="1079" t="s">
        <v>6</v>
      </c>
      <c r="B27" s="1080" t="s">
        <v>3321</v>
      </c>
      <c r="C27" s="1084">
        <f>'Option Costs-HB3646'!K16</f>
        <v>0</v>
      </c>
      <c r="D27" s="1084"/>
      <c r="E27" s="1084">
        <f t="shared" si="1"/>
        <v>0</v>
      </c>
    </row>
    <row r="28" spans="1:5" s="1076" customFormat="1" ht="15">
      <c r="A28" s="1079" t="s">
        <v>2551</v>
      </c>
      <c r="B28" s="1080" t="s">
        <v>3287</v>
      </c>
      <c r="C28" s="1085">
        <f>'Option Costs-HB3646'!K17</f>
        <v>0</v>
      </c>
      <c r="D28" s="1085"/>
      <c r="E28" s="1085">
        <f t="shared" si="1"/>
        <v>0</v>
      </c>
    </row>
    <row r="29" spans="1:5" s="1076" customFormat="1" ht="15">
      <c r="A29" s="1079" t="s">
        <v>2552</v>
      </c>
      <c r="B29" s="1080" t="s">
        <v>3288</v>
      </c>
      <c r="C29" s="1085">
        <f>'Option Costs-HB3646'!K19</f>
        <v>0</v>
      </c>
      <c r="D29" s="1085"/>
      <c r="E29" s="1085">
        <f t="shared" si="1"/>
        <v>0</v>
      </c>
    </row>
    <row r="30" spans="1:5" s="1076" customFormat="1" ht="15">
      <c r="A30" s="1079" t="s">
        <v>3122</v>
      </c>
      <c r="B30" s="1080" t="s">
        <v>3289</v>
      </c>
      <c r="C30" s="1084">
        <f>'Option Costs-HB3646'!K20</f>
        <v>0</v>
      </c>
      <c r="D30" s="1084"/>
      <c r="E30" s="1084">
        <f t="shared" si="1"/>
        <v>0</v>
      </c>
    </row>
    <row r="31" spans="1:5" s="1076" customFormat="1" ht="15">
      <c r="A31" s="1079" t="s">
        <v>3123</v>
      </c>
      <c r="B31" s="1080" t="s">
        <v>3718</v>
      </c>
      <c r="C31" s="1084">
        <f>'Option Costs-HB3646'!K21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Costs-HB3646'!K24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Costs-HB3646'!K27</f>
        <v>0</v>
      </c>
      <c r="D35" s="1085"/>
      <c r="E35" s="1127" t="s">
        <v>1994</v>
      </c>
    </row>
    <row r="36" spans="1:5" s="1076" customFormat="1" ht="15">
      <c r="A36" s="1095" t="s">
        <v>3128</v>
      </c>
      <c r="B36" s="1080" t="s">
        <v>3293</v>
      </c>
      <c r="C36" s="1085" t="e">
        <f>'Option Costs-HB3646'!K28</f>
        <v>#DIV/0!</v>
      </c>
      <c r="D36" s="1085"/>
      <c r="E36" s="1127" t="s">
        <v>1994</v>
      </c>
    </row>
    <row r="37" spans="1:5" s="1076" customFormat="1" ht="15">
      <c r="A37" s="1095" t="s">
        <v>3129</v>
      </c>
      <c r="B37" s="1080" t="s">
        <v>3294</v>
      </c>
      <c r="C37" s="1085" t="e">
        <f>'Option Costs-HB3646'!K29</f>
        <v>#DIV/0!</v>
      </c>
      <c r="D37" s="1085"/>
      <c r="E37" s="1127" t="s">
        <v>1994</v>
      </c>
    </row>
    <row r="38" spans="1:5" s="1076" customFormat="1" ht="15">
      <c r="A38" s="1095" t="s">
        <v>3131</v>
      </c>
      <c r="B38" s="1080" t="s">
        <v>3295</v>
      </c>
      <c r="C38" s="1085" t="e">
        <f>'Option Costs-HB3646'!K30</f>
        <v>#DIV/0!</v>
      </c>
      <c r="D38" s="1085"/>
      <c r="E38" s="1127" t="s">
        <v>1994</v>
      </c>
    </row>
    <row r="39" spans="1:5" s="1076" customFormat="1" ht="15">
      <c r="A39" s="1095" t="s">
        <v>3132</v>
      </c>
      <c r="B39" s="1080" t="s">
        <v>3296</v>
      </c>
      <c r="C39" s="1085" t="e">
        <f>'Option Costs-HB3646'!K64</f>
        <v>#DIV/0!</v>
      </c>
      <c r="D39" s="1085"/>
      <c r="E39" s="1085" t="e">
        <f>'Option Costs-HB3646'!M64</f>
        <v>#DIV/0!</v>
      </c>
    </row>
    <row r="40" spans="1:5" s="1076" customFormat="1" ht="15">
      <c r="A40" s="1095" t="s">
        <v>3133</v>
      </c>
      <c r="B40" s="1080" t="s">
        <v>3297</v>
      </c>
      <c r="C40" s="1085" t="e">
        <f>'Option Costs-HB3646'!K65</f>
        <v>#DIV/0!</v>
      </c>
      <c r="D40" s="1085"/>
      <c r="E40" s="1085" t="e">
        <f>'Option Costs-HB3646'!M65</f>
        <v>#DIV/0!</v>
      </c>
    </row>
    <row r="41" spans="1:5" s="1076" customFormat="1" ht="15">
      <c r="A41" s="1095" t="s">
        <v>3134</v>
      </c>
      <c r="B41" s="1080" t="s">
        <v>3298</v>
      </c>
      <c r="C41" s="1084" t="e">
        <f>'Option Costs-HB3646'!K66</f>
        <v>#DIV/0!</v>
      </c>
      <c r="D41" s="1084"/>
      <c r="E41" s="1084" t="e">
        <f>'Option Costs-HB3646'!M66</f>
        <v>#DIV/0!</v>
      </c>
    </row>
    <row r="42" spans="1:5" s="1076" customFormat="1" ht="15.75">
      <c r="A42" s="1366" t="s">
        <v>3299</v>
      </c>
      <c r="B42" s="1290"/>
      <c r="C42" s="1290"/>
      <c r="D42" s="1290"/>
      <c r="E42" s="1291"/>
    </row>
    <row r="43" spans="1:5" s="1076" customFormat="1" ht="15">
      <c r="A43" s="1079" t="s">
        <v>3135</v>
      </c>
      <c r="B43" s="1080" t="s">
        <v>3300</v>
      </c>
      <c r="C43" s="1085" t="e">
        <f>'Option Costs-HB3646'!K73</f>
        <v>#DIV/0!</v>
      </c>
      <c r="D43" s="1080"/>
      <c r="E43" s="1085" t="e">
        <f>'Option Costs-HB3646'!M73</f>
        <v>#DIV/0!</v>
      </c>
    </row>
    <row r="44" spans="1:5" s="1076" customFormat="1" ht="15">
      <c r="A44" s="1079" t="s">
        <v>3140</v>
      </c>
      <c r="B44" s="1080" t="s">
        <v>3301</v>
      </c>
      <c r="C44" s="1084" t="e">
        <f>'Option Costs-HB3646'!K74</f>
        <v>#DIV/0!</v>
      </c>
      <c r="D44" s="1084"/>
      <c r="E44" s="1084" t="e">
        <f>'Option Costs-HB3646'!M74</f>
        <v>#DIV/0!</v>
      </c>
    </row>
    <row r="45" spans="1:5" s="1076" customFormat="1" ht="15">
      <c r="A45" s="1079" t="s">
        <v>3141</v>
      </c>
      <c r="B45" s="1080" t="s">
        <v>7904</v>
      </c>
      <c r="C45" s="1085" t="e">
        <f>'Option Costs-HB3646'!K75</f>
        <v>#DIV/0!</v>
      </c>
      <c r="D45" s="1085"/>
      <c r="E45" s="1085" t="e">
        <f>'Option Costs-HB3646'!M75</f>
        <v>#DIV/0!</v>
      </c>
    </row>
    <row r="46" spans="1:5" s="1076" customFormat="1" ht="15">
      <c r="A46" s="1079" t="s">
        <v>3142</v>
      </c>
      <c r="B46" s="1080" t="s">
        <v>3302</v>
      </c>
      <c r="C46" s="1084" t="e">
        <f>'Option Costs-HB3646'!K76</f>
        <v>#DIV/0!</v>
      </c>
      <c r="D46" s="1084"/>
      <c r="E46" s="1084" t="e">
        <f>'Option Costs-HB3646'!M76</f>
        <v>#DIV/0!</v>
      </c>
    </row>
    <row r="47" spans="1:5" s="1076" customFormat="1" ht="15">
      <c r="A47" s="1079" t="s">
        <v>3143</v>
      </c>
      <c r="B47" s="1080" t="s">
        <v>3303</v>
      </c>
      <c r="C47" s="1084">
        <f>'Option Costs-HB3646'!K77</f>
        <v>0</v>
      </c>
      <c r="D47" s="1084"/>
      <c r="E47" s="1084">
        <f>'Option Costs-HB3646'!M77</f>
        <v>0</v>
      </c>
    </row>
    <row r="48" spans="1:5" s="1076" customFormat="1" ht="15">
      <c r="A48" s="1079" t="s">
        <v>3144</v>
      </c>
      <c r="B48" s="1080" t="s">
        <v>3304</v>
      </c>
      <c r="C48" s="1084" t="e">
        <f>'Option Costs-HB3646'!K78</f>
        <v>#DIV/0!</v>
      </c>
      <c r="D48" s="1084"/>
      <c r="E48" s="1084" t="e">
        <f>'Option Costs-HB3646'!M78</f>
        <v>#DIV/0!</v>
      </c>
    </row>
    <row r="49" spans="1:5" s="1076" customFormat="1" ht="15">
      <c r="A49" s="1079" t="s">
        <v>3145</v>
      </c>
      <c r="B49" s="1080" t="s">
        <v>3305</v>
      </c>
      <c r="C49" s="1085" t="e">
        <f>'Option Costs-HB3646'!K79</f>
        <v>#DIV/0!</v>
      </c>
      <c r="D49" s="1085"/>
      <c r="E49" s="1085" t="e">
        <f>'Option Costs-HB3646'!M79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Costs-HB3646'!K118</f>
        <v>#DIV/0!</v>
      </c>
      <c r="D52" s="1080"/>
      <c r="E52" s="1127" t="s">
        <v>1994</v>
      </c>
    </row>
    <row r="53" spans="1:5" s="1076" customFormat="1" ht="15">
      <c r="A53" s="1079" t="s">
        <v>3147</v>
      </c>
      <c r="B53" s="1080" t="s">
        <v>3372</v>
      </c>
      <c r="C53" s="1085" t="e">
        <f>'Option Costs-HB3646'!K119</f>
        <v>#DIV/0!</v>
      </c>
      <c r="D53" s="1080"/>
      <c r="E53" s="1127" t="s">
        <v>1994</v>
      </c>
    </row>
    <row r="54" spans="1:5" s="1076" customFormat="1" ht="15">
      <c r="A54" s="1079" t="s">
        <v>3148</v>
      </c>
      <c r="B54" s="1080" t="s">
        <v>3307</v>
      </c>
      <c r="C54" s="1085" t="e">
        <f>'Option Costs-HB3646'!K82</f>
        <v>#DIV/0!</v>
      </c>
      <c r="D54" s="1080"/>
      <c r="E54" s="1127" t="s">
        <v>1994</v>
      </c>
    </row>
    <row r="55" spans="1:5" s="1076" customFormat="1" ht="15.75">
      <c r="A55" s="1366" t="s">
        <v>3308</v>
      </c>
      <c r="B55" s="1290"/>
      <c r="C55" s="1290"/>
      <c r="D55" s="1290"/>
      <c r="E55" s="1291"/>
    </row>
    <row r="56" spans="1:5" s="1076" customFormat="1" ht="15">
      <c r="A56" s="1079" t="s">
        <v>3149</v>
      </c>
      <c r="B56" s="1080" t="s">
        <v>3719</v>
      </c>
      <c r="C56" s="1085">
        <f>'Data Entry - SOF'!E91</f>
        <v>0</v>
      </c>
      <c r="D56" s="1085"/>
      <c r="E56" s="1085">
        <f>'Data Entry - SOF'!E91</f>
        <v>0</v>
      </c>
    </row>
    <row r="57" spans="1:5" s="1076" customFormat="1" ht="15">
      <c r="A57" s="1079" t="s">
        <v>3150</v>
      </c>
      <c r="B57" s="1080" t="s">
        <v>3720</v>
      </c>
      <c r="C57" s="1085" t="e">
        <f>'Option Costs-HB3646'!K73</f>
        <v>#DIV/0!</v>
      </c>
      <c r="D57" s="1085"/>
      <c r="E57" s="1085" t="e">
        <f>'Option Costs-HB3646'!M73</f>
        <v>#DIV/0!</v>
      </c>
    </row>
    <row r="58" spans="1:5" s="1076" customFormat="1" ht="15">
      <c r="A58" s="1079" t="s">
        <v>3151</v>
      </c>
      <c r="B58" s="1080" t="s">
        <v>3713</v>
      </c>
      <c r="C58" s="1085" t="e">
        <f>'Option Costs-HB3646'!K70</f>
        <v>#DIV/0!</v>
      </c>
      <c r="D58" s="1085"/>
      <c r="E58" s="1085" t="e">
        <f>'Option Costs-HB3646'!M70</f>
        <v>#DIV/0!</v>
      </c>
    </row>
    <row r="59" spans="1:5" s="1076" customFormat="1" ht="15">
      <c r="A59" s="1079" t="s">
        <v>3152</v>
      </c>
      <c r="B59" s="1080" t="s">
        <v>3721</v>
      </c>
      <c r="C59" s="1085" t="e">
        <f>'Option Costs-HB3646'!K83</f>
        <v>#DIV/0!</v>
      </c>
      <c r="D59" s="1085"/>
      <c r="E59" s="1085">
        <f>'Option Costs-HB3646'!M83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Costs-HB3646'!K83</f>
        <v>#DIV/0!</v>
      </c>
      <c r="D62" s="1085"/>
      <c r="E62" s="1085">
        <f>'Option Costs-HB3646'!M83</f>
        <v>0</v>
      </c>
    </row>
    <row r="63" spans="1:5" s="1076" customFormat="1" ht="15.75">
      <c r="A63" s="1298" t="s">
        <v>3311</v>
      </c>
      <c r="B63" s="1290"/>
      <c r="C63" s="1290"/>
      <c r="D63" s="1290"/>
      <c r="E63" s="1291"/>
    </row>
    <row r="64" spans="1:5" s="1076" customFormat="1" ht="15">
      <c r="A64" s="1079" t="s">
        <v>3156</v>
      </c>
      <c r="B64" s="1080" t="s">
        <v>3312</v>
      </c>
      <c r="C64" s="1085" t="e">
        <f>'Option Costs-HB3646'!K79</f>
        <v>#DIV/0!</v>
      </c>
      <c r="D64" s="1085"/>
      <c r="E64" s="1085" t="e">
        <f>'Option Costs-HB3646'!M79</f>
        <v>#DIV/0!</v>
      </c>
    </row>
    <row r="65" spans="1:7" s="1076" customFormat="1" ht="15.75">
      <c r="A65" s="1079" t="s">
        <v>3157</v>
      </c>
      <c r="B65" s="1078" t="s">
        <v>3313</v>
      </c>
      <c r="C65" s="1090" t="e">
        <f>'Option Costs-HB3646'!K85</f>
        <v>#DIV/0!</v>
      </c>
      <c r="D65" s="1085"/>
      <c r="E65" s="1090" t="e">
        <f>'Option Costs-HB3646'!M85</f>
        <v>#DIV/0!</v>
      </c>
      <c r="F65" s="1317" t="s">
        <v>3445</v>
      </c>
      <c r="G65" s="1318" t="str">
        <f>'Data Entry - SOF'!E97</f>
        <v>Y</v>
      </c>
    </row>
    <row r="66" spans="1:7" s="1076" customFormat="1" ht="15.75">
      <c r="A66" s="1079" t="s">
        <v>3158</v>
      </c>
      <c r="B66" s="1078" t="s">
        <v>3314</v>
      </c>
      <c r="C66" s="1090" t="e">
        <f>'Option Costs-HB3646'!K86</f>
        <v>#DIV/0!</v>
      </c>
      <c r="D66" s="1085"/>
      <c r="E66" s="1090" t="e">
        <f>'Option Costs-HB3646'!M86</f>
        <v>#DIV/0!</v>
      </c>
      <c r="F66" s="961" t="s">
        <v>3473</v>
      </c>
    </row>
    <row r="67" spans="1:7" s="1076" customFormat="1" ht="15.75">
      <c r="A67" s="1366" t="s">
        <v>3315</v>
      </c>
      <c r="B67" s="1290"/>
      <c r="C67" s="1290"/>
      <c r="D67" s="1290"/>
      <c r="E67" s="1291"/>
      <c r="F67" s="961" t="s">
        <v>3474</v>
      </c>
    </row>
    <row r="68" spans="1:7" s="1076" customFormat="1" ht="15">
      <c r="A68" s="1079" t="s">
        <v>3175</v>
      </c>
      <c r="B68" s="1080" t="s">
        <v>3722</v>
      </c>
      <c r="C68" s="1084" t="e">
        <f>'Calc Data-SB1'!D25</f>
        <v>#DIV/0!</v>
      </c>
      <c r="D68" s="1084"/>
      <c r="E68" s="1084" t="e">
        <f>'Calc Data-SB1'!D25</f>
        <v>#DIV/0!</v>
      </c>
    </row>
    <row r="69" spans="1:7" s="1076" customFormat="1" ht="15">
      <c r="A69" s="1079" t="s">
        <v>3176</v>
      </c>
      <c r="B69" s="1080" t="s">
        <v>3723</v>
      </c>
      <c r="C69" s="1083">
        <f>'Data Entry - SOF'!E90</f>
        <v>0</v>
      </c>
      <c r="D69" s="1083"/>
      <c r="E69" s="1083">
        <f>'Data Entry - SOF'!E90</f>
        <v>0</v>
      </c>
    </row>
    <row r="70" spans="1:7" s="1076" customFormat="1" ht="15">
      <c r="A70" s="1079" t="s">
        <v>3177</v>
      </c>
      <c r="B70" s="1080" t="s">
        <v>3724</v>
      </c>
      <c r="C70" s="1083">
        <f>'Data Entry - SOF'!E89</f>
        <v>0</v>
      </c>
      <c r="D70" s="1083"/>
      <c r="E70" s="1083">
        <f>'Data Entry - SOF'!E89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3723</v>
      </c>
      <c r="C73" s="1083">
        <f>'Data Entry - SOF'!E90</f>
        <v>0</v>
      </c>
      <c r="D73" s="1080"/>
      <c r="E73" s="1083">
        <f>'Data Entry - SOF'!E90</f>
        <v>0</v>
      </c>
    </row>
    <row r="74" spans="1:7" s="1076" customFormat="1" ht="15">
      <c r="A74" s="1079" t="s">
        <v>3179</v>
      </c>
      <c r="B74" s="1080" t="s">
        <v>3317</v>
      </c>
      <c r="C74" s="1084">
        <f>'Ch41 Calc Data'!L15</f>
        <v>0</v>
      </c>
      <c r="D74" s="1084"/>
      <c r="E74" s="1084">
        <f>'Ch41 Calc Data'!L15</f>
        <v>0</v>
      </c>
    </row>
    <row r="75" spans="1:7" s="1076" customFormat="1" ht="15">
      <c r="A75" s="1079" t="s">
        <v>3180</v>
      </c>
      <c r="B75" s="1080" t="s">
        <v>3318</v>
      </c>
      <c r="C75" s="1084">
        <f>'Ch41 Calc Data'!L16</f>
        <v>0</v>
      </c>
      <c r="D75" s="1084"/>
      <c r="E75" s="1084">
        <f>'Ch41 Calc Data'!L16</f>
        <v>0</v>
      </c>
    </row>
    <row r="76" spans="1:7" s="1076" customFormat="1" ht="15.75">
      <c r="A76" s="1366" t="s">
        <v>3319</v>
      </c>
      <c r="B76" s="1290"/>
      <c r="C76" s="1290"/>
      <c r="D76" s="1290"/>
      <c r="E76" s="1291"/>
    </row>
    <row r="77" spans="1:7" s="1076" customFormat="1" ht="15">
      <c r="A77" s="1079" t="s">
        <v>3320</v>
      </c>
      <c r="B77" s="1080" t="s">
        <v>3725</v>
      </c>
      <c r="C77" s="1084" t="e">
        <f>'Ch41 Calc Data'!L17</f>
        <v>#DIV/0!</v>
      </c>
      <c r="D77" s="1084"/>
      <c r="E77" s="1084" t="e">
        <f>'Ch41 Calc Data'!L17</f>
        <v>#DIV/0!</v>
      </c>
    </row>
    <row r="78" spans="1:7" s="1076" customFormat="1" ht="15">
      <c r="B78" s="1733" t="s">
        <v>4453</v>
      </c>
      <c r="C78" s="1194" t="s">
        <v>3889</v>
      </c>
    </row>
    <row r="79" spans="1:7" s="1076" customFormat="1" ht="15">
      <c r="B79" s="1733" t="s">
        <v>4456</v>
      </c>
      <c r="C79" s="1194" t="s">
        <v>3704</v>
      </c>
    </row>
    <row r="80" spans="1:7" s="1076" customFormat="1" ht="15.75">
      <c r="A80" s="961" t="s">
        <v>3726</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3713</v>
      </c>
      <c r="C91" s="1124" t="e">
        <f>'Option Costs-HB3646'!O71</f>
        <v>#DIV/0!</v>
      </c>
      <c r="D91" s="1124"/>
      <c r="E91" s="1124" t="e">
        <f t="shared" si="2"/>
        <v>#DIV/0!</v>
      </c>
    </row>
    <row r="92" spans="1:5" s="1076" customFormat="1" ht="15">
      <c r="A92" s="1079" t="s">
        <v>1027</v>
      </c>
      <c r="B92" s="1080" t="s">
        <v>3714</v>
      </c>
      <c r="C92" s="1125">
        <f>'Data Entry - SOF'!E58</f>
        <v>0</v>
      </c>
      <c r="D92" s="1125"/>
      <c r="E92" s="1125">
        <f t="shared" si="2"/>
        <v>0</v>
      </c>
    </row>
    <row r="93" spans="1:5" s="1076" customFormat="1" ht="15">
      <c r="A93" s="1079" t="s">
        <v>3278</v>
      </c>
      <c r="B93" s="1080" t="s">
        <v>3715</v>
      </c>
      <c r="C93" s="1125" t="e">
        <f>C17</f>
        <v>#DIV/0!</v>
      </c>
      <c r="D93" s="1125"/>
      <c r="E93" s="1125" t="e">
        <f t="shared" si="2"/>
        <v>#DIV/0!</v>
      </c>
    </row>
    <row r="94" spans="1:5" s="1076" customFormat="1" ht="15">
      <c r="A94" s="1079" t="s">
        <v>1028</v>
      </c>
      <c r="B94" s="1080" t="s">
        <v>3716</v>
      </c>
      <c r="C94" s="1084" t="e">
        <f>'Ch41 Calc Data'!L17</f>
        <v>#DIV/0!</v>
      </c>
      <c r="D94" s="1084"/>
      <c r="E94" s="1084" t="e">
        <f t="shared" si="2"/>
        <v>#DIV/0!</v>
      </c>
    </row>
    <row r="95" spans="1:5" s="1076" customFormat="1" ht="15">
      <c r="A95" s="1079" t="s">
        <v>1029</v>
      </c>
      <c r="B95" s="1080" t="s">
        <v>7393</v>
      </c>
      <c r="C95" s="1085">
        <f>C19</f>
        <v>0</v>
      </c>
      <c r="D95" s="1080"/>
      <c r="E95" s="1124">
        <f t="shared" si="2"/>
        <v>0</v>
      </c>
    </row>
    <row r="96" spans="1:5" s="1076" customFormat="1" ht="15">
      <c r="A96" s="1079" t="s">
        <v>139</v>
      </c>
      <c r="B96" s="1080" t="s">
        <v>3717</v>
      </c>
      <c r="C96" s="1085">
        <f>'Report-SOF1718'!D68</f>
        <v>0</v>
      </c>
      <c r="D96" s="1080"/>
      <c r="E96" s="1124">
        <f t="shared" si="2"/>
        <v>0</v>
      </c>
    </row>
    <row r="97" spans="1:5" s="1076" customFormat="1" ht="15">
      <c r="A97" s="1079" t="s">
        <v>140</v>
      </c>
      <c r="B97" s="1080" t="s">
        <v>3279</v>
      </c>
      <c r="C97" s="1083">
        <f>'Data Entry - SOF'!E94</f>
        <v>0</v>
      </c>
      <c r="D97" s="1083"/>
      <c r="E97" s="1083">
        <f t="shared" si="2"/>
        <v>0</v>
      </c>
    </row>
    <row r="98" spans="1:5" s="1076" customFormat="1" ht="15">
      <c r="A98" s="1079" t="s">
        <v>141</v>
      </c>
      <c r="B98" s="1080" t="s">
        <v>3280</v>
      </c>
      <c r="C98" s="1124">
        <f>'Data Entry - SOF'!E95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Costs-HB3646'!O13</f>
        <v>0</v>
      </c>
      <c r="D102" s="1085"/>
      <c r="E102" s="1085">
        <f t="shared" ref="E102:E107" si="3">C102</f>
        <v>0</v>
      </c>
    </row>
    <row r="103" spans="1:5" s="1076" customFormat="1" ht="15">
      <c r="A103" s="1079" t="s">
        <v>6</v>
      </c>
      <c r="B103" s="1080" t="s">
        <v>3321</v>
      </c>
      <c r="C103" s="1084">
        <f>'Option Costs-HB3646'!O16</f>
        <v>0</v>
      </c>
      <c r="D103" s="1084"/>
      <c r="E103" s="1084">
        <f t="shared" si="3"/>
        <v>0</v>
      </c>
    </row>
    <row r="104" spans="1:5" s="1076" customFormat="1" ht="15">
      <c r="A104" s="1079" t="s">
        <v>2551</v>
      </c>
      <c r="B104" s="1080" t="s">
        <v>3287</v>
      </c>
      <c r="C104" s="1085">
        <f>'Option Costs-HB3646'!O17</f>
        <v>0</v>
      </c>
      <c r="D104" s="1085"/>
      <c r="E104" s="1085">
        <f t="shared" si="3"/>
        <v>0</v>
      </c>
    </row>
    <row r="105" spans="1:5" s="1076" customFormat="1" ht="15">
      <c r="A105" s="1079" t="s">
        <v>2552</v>
      </c>
      <c r="B105" s="1080" t="s">
        <v>3288</v>
      </c>
      <c r="C105" s="1085">
        <f>'Option Costs-HB3646'!O19</f>
        <v>0</v>
      </c>
      <c r="D105" s="1085"/>
      <c r="E105" s="1085">
        <f t="shared" si="3"/>
        <v>0</v>
      </c>
    </row>
    <row r="106" spans="1:5" s="1076" customFormat="1" ht="15">
      <c r="A106" s="1079" t="s">
        <v>3122</v>
      </c>
      <c r="B106" s="1080" t="s">
        <v>3289</v>
      </c>
      <c r="C106" s="1084">
        <f>'Option Costs-HB3646'!O20</f>
        <v>0</v>
      </c>
      <c r="D106" s="1084"/>
      <c r="E106" s="1084">
        <f t="shared" si="3"/>
        <v>0</v>
      </c>
    </row>
    <row r="107" spans="1:5" s="1076" customFormat="1" ht="15">
      <c r="A107" s="1079" t="s">
        <v>3123</v>
      </c>
      <c r="B107" s="1080" t="s">
        <v>3718</v>
      </c>
      <c r="C107" s="1084">
        <f>'Option Costs-HB3646'!O21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Costs-HB3646'!O24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Costs-HB3646'!O27</f>
        <v>0</v>
      </c>
      <c r="D111" s="1085"/>
      <c r="E111" s="1127" t="s">
        <v>1994</v>
      </c>
    </row>
    <row r="112" spans="1:5" ht="15">
      <c r="A112" s="1095" t="s">
        <v>3128</v>
      </c>
      <c r="B112" s="1080" t="s">
        <v>3293</v>
      </c>
      <c r="C112" s="1085" t="e">
        <f>'Option Costs-HB3646'!O28</f>
        <v>#DIV/0!</v>
      </c>
      <c r="D112" s="1085"/>
      <c r="E112" s="1127" t="s">
        <v>1994</v>
      </c>
    </row>
    <row r="113" spans="1:5" ht="15">
      <c r="A113" s="1095" t="s">
        <v>3129</v>
      </c>
      <c r="B113" s="1080" t="s">
        <v>3294</v>
      </c>
      <c r="C113" s="1085" t="e">
        <f>'Option Costs-HB3646'!O29</f>
        <v>#DIV/0!</v>
      </c>
      <c r="D113" s="1085"/>
      <c r="E113" s="1127" t="s">
        <v>1994</v>
      </c>
    </row>
    <row r="114" spans="1:5" ht="15">
      <c r="A114" s="1095" t="s">
        <v>3131</v>
      </c>
      <c r="B114" s="1080" t="s">
        <v>3295</v>
      </c>
      <c r="C114" s="1085" t="e">
        <f>'Option Costs-HB3646'!O30</f>
        <v>#DIV/0!</v>
      </c>
      <c r="D114" s="1085"/>
      <c r="E114" s="1127" t="s">
        <v>1994</v>
      </c>
    </row>
    <row r="115" spans="1:5" ht="15">
      <c r="A115" s="1095" t="s">
        <v>3132</v>
      </c>
      <c r="B115" s="1080" t="s">
        <v>3296</v>
      </c>
      <c r="C115" s="1085" t="e">
        <f>'Option Costs-HB3646'!O64</f>
        <v>#DIV/0!</v>
      </c>
      <c r="D115" s="1085"/>
      <c r="E115" s="1085" t="e">
        <f>'Option Costs-HB3646'!Q64</f>
        <v>#DIV/0!</v>
      </c>
    </row>
    <row r="116" spans="1:5" ht="15">
      <c r="A116" s="1095" t="s">
        <v>3133</v>
      </c>
      <c r="B116" s="1080" t="s">
        <v>3297</v>
      </c>
      <c r="C116" s="1085" t="e">
        <f>'Option Costs-HB3646'!O65</f>
        <v>#DIV/0!</v>
      </c>
      <c r="D116" s="1085"/>
      <c r="E116" s="1085" t="e">
        <f>'Option Costs-HB3646'!Q65</f>
        <v>#DIV/0!</v>
      </c>
    </row>
    <row r="117" spans="1:5" ht="15">
      <c r="A117" s="1095" t="s">
        <v>3134</v>
      </c>
      <c r="B117" s="1080" t="s">
        <v>3298</v>
      </c>
      <c r="C117" s="1084" t="e">
        <f>'Option Costs-HB3646'!O66</f>
        <v>#DIV/0!</v>
      </c>
      <c r="D117" s="1084"/>
      <c r="E117" s="1084" t="e">
        <f>'Option Costs-HB3646'!Q66</f>
        <v>#DIV/0!</v>
      </c>
    </row>
    <row r="118" spans="1:5" ht="15.75">
      <c r="A118" s="1366" t="s">
        <v>3299</v>
      </c>
      <c r="B118" s="1290"/>
      <c r="C118" s="1290"/>
      <c r="D118" s="1290"/>
      <c r="E118" s="1291"/>
    </row>
    <row r="119" spans="1:5" ht="15">
      <c r="A119" s="1079" t="s">
        <v>3135</v>
      </c>
      <c r="B119" s="1080" t="s">
        <v>3300</v>
      </c>
      <c r="C119" s="1085" t="e">
        <f>'Option Costs-HB3646'!O73</f>
        <v>#DIV/0!</v>
      </c>
      <c r="D119" s="1080"/>
      <c r="E119" s="1085" t="e">
        <f>'Option Costs-HB3646'!Q73</f>
        <v>#DIV/0!</v>
      </c>
    </row>
    <row r="120" spans="1:5" ht="15">
      <c r="A120" s="1079" t="s">
        <v>3140</v>
      </c>
      <c r="B120" s="1080" t="s">
        <v>3301</v>
      </c>
      <c r="C120" s="1084" t="e">
        <f>'Option Costs-HB3646'!O74</f>
        <v>#DIV/0!</v>
      </c>
      <c r="D120" s="1084"/>
      <c r="E120" s="1084" t="e">
        <f>'Option Costs-HB3646'!Q74</f>
        <v>#DIV/0!</v>
      </c>
    </row>
    <row r="121" spans="1:5" ht="15">
      <c r="A121" s="1079" t="s">
        <v>3141</v>
      </c>
      <c r="B121" s="1080" t="s">
        <v>7904</v>
      </c>
      <c r="C121" s="1085" t="e">
        <f>'Option Costs-HB3646'!O75</f>
        <v>#DIV/0!</v>
      </c>
      <c r="D121" s="1085"/>
      <c r="E121" s="1085" t="e">
        <f>'Option Costs-HB3646'!Q75</f>
        <v>#DIV/0!</v>
      </c>
    </row>
    <row r="122" spans="1:5" ht="15">
      <c r="A122" s="1079" t="s">
        <v>3142</v>
      </c>
      <c r="B122" s="1080" t="s">
        <v>3302</v>
      </c>
      <c r="C122" s="1084" t="e">
        <f>'Option Costs-HB3646'!O76</f>
        <v>#DIV/0!</v>
      </c>
      <c r="D122" s="1084"/>
      <c r="E122" s="1084" t="e">
        <f>'Option Costs-HB3646'!Q76</f>
        <v>#DIV/0!</v>
      </c>
    </row>
    <row r="123" spans="1:5" ht="15">
      <c r="A123" s="1079" t="s">
        <v>3143</v>
      </c>
      <c r="B123" s="1080" t="s">
        <v>3303</v>
      </c>
      <c r="C123" s="1084">
        <f>'Option Costs-HB3646'!O77</f>
        <v>0</v>
      </c>
      <c r="D123" s="1084"/>
      <c r="E123" s="1084">
        <f>'Option Costs-HB3646'!Q77</f>
        <v>0</v>
      </c>
    </row>
    <row r="124" spans="1:5" ht="15">
      <c r="A124" s="1079" t="s">
        <v>3144</v>
      </c>
      <c r="B124" s="1080" t="s">
        <v>3304</v>
      </c>
      <c r="C124" s="1084" t="e">
        <f>'Option Costs-HB3646'!O78</f>
        <v>#DIV/0!</v>
      </c>
      <c r="D124" s="1084"/>
      <c r="E124" s="1084" t="e">
        <f>'Option Costs-HB3646'!Q78</f>
        <v>#DIV/0!</v>
      </c>
    </row>
    <row r="125" spans="1:5" ht="15">
      <c r="A125" s="1079" t="s">
        <v>3145</v>
      </c>
      <c r="B125" s="1080" t="s">
        <v>3305</v>
      </c>
      <c r="C125" s="1085" t="e">
        <f>'Option Costs-HB3646'!O79</f>
        <v>#DIV/0!</v>
      </c>
      <c r="D125" s="1085"/>
      <c r="E125" s="1085" t="e">
        <f>'Option Costs-HB3646'!Q79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Costs-HB3646'!O118</f>
        <v>#DIV/0!</v>
      </c>
      <c r="D128" s="1080"/>
      <c r="E128" s="1127" t="s">
        <v>1994</v>
      </c>
    </row>
    <row r="129" spans="1:7" ht="15">
      <c r="A129" s="1079" t="s">
        <v>3147</v>
      </c>
      <c r="B129" s="1080" t="s">
        <v>3372</v>
      </c>
      <c r="C129" s="1085" t="e">
        <f>'Option Costs-HB3646'!O119</f>
        <v>#DIV/0!</v>
      </c>
      <c r="D129" s="1080"/>
      <c r="E129" s="1127" t="s">
        <v>1994</v>
      </c>
    </row>
    <row r="130" spans="1:7" ht="15">
      <c r="A130" s="1079" t="s">
        <v>3148</v>
      </c>
      <c r="B130" s="1080" t="s">
        <v>3307</v>
      </c>
      <c r="C130" s="1085" t="e">
        <f>'Option Costs-HB3646'!O82</f>
        <v>#DIV/0!</v>
      </c>
      <c r="D130" s="1080"/>
      <c r="E130" s="1127" t="s">
        <v>1994</v>
      </c>
    </row>
    <row r="131" spans="1:7" ht="15.75">
      <c r="A131" s="1366" t="s">
        <v>3308</v>
      </c>
      <c r="B131" s="1290"/>
      <c r="C131" s="1290"/>
      <c r="D131" s="1290"/>
      <c r="E131" s="1291"/>
    </row>
    <row r="132" spans="1:7" ht="15">
      <c r="A132" s="1079" t="s">
        <v>3149</v>
      </c>
      <c r="B132" s="1080" t="s">
        <v>3719</v>
      </c>
      <c r="C132" s="1085">
        <f>'Data Entry - SOF'!E91</f>
        <v>0</v>
      </c>
      <c r="D132" s="1085"/>
      <c r="E132" s="1085">
        <f>'Data Entry - SOF'!E91</f>
        <v>0</v>
      </c>
    </row>
    <row r="133" spans="1:7" ht="15">
      <c r="A133" s="1079" t="s">
        <v>3150</v>
      </c>
      <c r="B133" s="1080" t="s">
        <v>3720</v>
      </c>
      <c r="C133" s="1085" t="e">
        <f>'Option Costs-HB3646'!O73</f>
        <v>#DIV/0!</v>
      </c>
      <c r="D133" s="1085"/>
      <c r="E133" s="1085" t="e">
        <f>'Option Costs-HB3646'!Q73</f>
        <v>#DIV/0!</v>
      </c>
    </row>
    <row r="134" spans="1:7" ht="15">
      <c r="A134" s="1079" t="s">
        <v>3151</v>
      </c>
      <c r="B134" s="1080" t="s">
        <v>3713</v>
      </c>
      <c r="C134" s="1085" t="e">
        <f>'Option Costs-HB3646'!O72</f>
        <v>#DIV/0!</v>
      </c>
      <c r="D134" s="1085"/>
      <c r="E134" s="1085" t="e">
        <f>'Option Costs-HB3646'!Q72</f>
        <v>#DIV/0!</v>
      </c>
    </row>
    <row r="135" spans="1:7" ht="15">
      <c r="A135" s="1079" t="s">
        <v>3152</v>
      </c>
      <c r="B135" s="1080" t="s">
        <v>3721</v>
      </c>
      <c r="C135" s="1085" t="e">
        <f>'Option Costs-HB3646'!O83</f>
        <v>#DIV/0!</v>
      </c>
      <c r="D135" s="1085"/>
      <c r="E135" s="1085">
        <f>'Option Costs-HB3646'!Q83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Costs-HB3646'!O83</f>
        <v>#DIV/0!</v>
      </c>
      <c r="D138" s="1085"/>
      <c r="E138" s="1085">
        <f>'Option Costs-HB3646'!Q83</f>
        <v>0</v>
      </c>
    </row>
    <row r="139" spans="1:7" ht="15.75">
      <c r="A139" s="1298" t="s">
        <v>3311</v>
      </c>
      <c r="B139" s="1290"/>
      <c r="C139" s="1290"/>
      <c r="D139" s="1290"/>
      <c r="E139" s="1291"/>
    </row>
    <row r="140" spans="1:7" ht="15">
      <c r="A140" s="1079" t="s">
        <v>3156</v>
      </c>
      <c r="B140" s="1080" t="s">
        <v>3312</v>
      </c>
      <c r="C140" s="1085" t="e">
        <f>'Option Costs-HB3646'!O79</f>
        <v>#DIV/0!</v>
      </c>
      <c r="D140" s="1085"/>
      <c r="E140" s="1085" t="e">
        <f>'Option Costs-HB3646'!Q79</f>
        <v>#DIV/0!</v>
      </c>
    </row>
    <row r="141" spans="1:7" ht="15.75">
      <c r="A141" s="1079" t="s">
        <v>3157</v>
      </c>
      <c r="B141" s="1078" t="s">
        <v>3313</v>
      </c>
      <c r="C141" s="1090" t="e">
        <f>'Option Costs-HB3646'!O85</f>
        <v>#DIV/0!</v>
      </c>
      <c r="D141" s="1090"/>
      <c r="E141" s="1090" t="e">
        <f>'Option Costs-HB3646'!Q85</f>
        <v>#DIV/0!</v>
      </c>
      <c r="F141" s="1317" t="s">
        <v>3445</v>
      </c>
      <c r="G141" s="1318" t="str">
        <f>'Data Entry - SOF'!E98</f>
        <v>Y</v>
      </c>
    </row>
    <row r="142" spans="1:7" ht="15.75">
      <c r="A142" s="1079" t="s">
        <v>3158</v>
      </c>
      <c r="B142" s="1078" t="s">
        <v>3314</v>
      </c>
      <c r="C142" s="1090" t="e">
        <f>'Option Costs-HB3646'!O86</f>
        <v>#DIV/0!</v>
      </c>
      <c r="D142" s="1090"/>
      <c r="E142" s="1090" t="e">
        <f>'Option Costs-HB3646'!Q86</f>
        <v>#DIV/0!</v>
      </c>
    </row>
    <row r="143" spans="1:7" ht="15.75">
      <c r="A143" s="1366" t="s">
        <v>3315</v>
      </c>
      <c r="B143" s="1290"/>
      <c r="C143" s="1290"/>
      <c r="D143" s="1290"/>
      <c r="E143" s="1291"/>
    </row>
    <row r="144" spans="1:7" ht="15">
      <c r="A144" s="1079" t="s">
        <v>3175</v>
      </c>
      <c r="B144" s="1080" t="s">
        <v>3722</v>
      </c>
      <c r="C144" s="1084" t="e">
        <f>'Calc Data-SB1'!D25</f>
        <v>#DIV/0!</v>
      </c>
      <c r="D144" s="1084"/>
      <c r="E144" s="1084" t="e">
        <f>'Calc Data-SB1'!D25</f>
        <v>#DIV/0!</v>
      </c>
    </row>
    <row r="145" spans="1:5" ht="15">
      <c r="A145" s="1079" t="s">
        <v>3176</v>
      </c>
      <c r="B145" s="1080" t="s">
        <v>3723</v>
      </c>
      <c r="C145" s="1083">
        <f>'Data Entry - SOF'!E90</f>
        <v>0</v>
      </c>
      <c r="D145" s="1083"/>
      <c r="E145" s="1083">
        <f>'Data Entry - SOF'!E90</f>
        <v>0</v>
      </c>
    </row>
    <row r="146" spans="1:5" ht="15">
      <c r="A146" s="1079" t="s">
        <v>3177</v>
      </c>
      <c r="B146" s="1080" t="s">
        <v>3724</v>
      </c>
      <c r="C146" s="1083">
        <f>'Data Entry - SOF'!E89</f>
        <v>0</v>
      </c>
      <c r="D146" s="1083"/>
      <c r="E146" s="1083">
        <f>'Data Entry - SOF'!E89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3723</v>
      </c>
      <c r="C149" s="1083">
        <f>'Data Entry - SOF'!E90</f>
        <v>0</v>
      </c>
      <c r="D149" s="1080"/>
      <c r="E149" s="1083">
        <f>'Data Entry - SOF'!E90</f>
        <v>0</v>
      </c>
    </row>
    <row r="150" spans="1:5" ht="15">
      <c r="A150" s="1079" t="s">
        <v>3179</v>
      </c>
      <c r="B150" s="1080" t="s">
        <v>3317</v>
      </c>
      <c r="C150" s="1084">
        <f>'Ch41 Calc Data'!L15</f>
        <v>0</v>
      </c>
      <c r="D150" s="1084"/>
      <c r="E150" s="1084">
        <f>'Ch41 Calc Data'!L15</f>
        <v>0</v>
      </c>
    </row>
    <row r="151" spans="1:5" ht="15">
      <c r="A151" s="1079" t="s">
        <v>3180</v>
      </c>
      <c r="B151" s="1080" t="s">
        <v>3318</v>
      </c>
      <c r="C151" s="1084">
        <f>'Ch41 Calc Data'!L16</f>
        <v>0</v>
      </c>
      <c r="D151" s="1084"/>
      <c r="E151" s="1084">
        <f>'Ch41 Calc Data'!L16</f>
        <v>0</v>
      </c>
    </row>
    <row r="152" spans="1:5" ht="15.75">
      <c r="A152" s="1327" t="s">
        <v>3319</v>
      </c>
      <c r="B152" s="1290"/>
      <c r="C152" s="1290"/>
      <c r="D152" s="1290"/>
      <c r="E152" s="1291"/>
    </row>
    <row r="153" spans="1:5" ht="15">
      <c r="A153" s="1079" t="s">
        <v>3320</v>
      </c>
      <c r="B153" s="1080" t="s">
        <v>3725</v>
      </c>
      <c r="C153" s="1084" t="e">
        <f>'Ch41 Calc Data'!L17</f>
        <v>#DIV/0!</v>
      </c>
      <c r="D153" s="1084"/>
      <c r="E153" s="1084" t="e">
        <f>'Ch41 Calc Data'!L17</f>
        <v>#DIV/0!</v>
      </c>
    </row>
    <row r="154" spans="1:5" s="1076" customFormat="1" ht="15">
      <c r="B154" s="1733" t="s">
        <v>4453</v>
      </c>
      <c r="C154" s="1194" t="s">
        <v>3889</v>
      </c>
    </row>
    <row r="155" spans="1:5" s="1076" customFormat="1" ht="15">
      <c r="B155" s="1733" t="s">
        <v>4456</v>
      </c>
      <c r="C155" s="1194" t="s">
        <v>3704</v>
      </c>
    </row>
  </sheetData>
  <sheetProtection sheet="1" objects="1" scenarios="1"/>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'Report-Recapture1718'!E1</f>
        <v>84th/85th Legislative Session</v>
      </c>
    </row>
    <row r="2" spans="1:5">
      <c r="A2" s="89" t="s">
        <v>4452</v>
      </c>
      <c r="E2" s="98" t="str">
        <f>'Report-Recapture1718'!E2</f>
        <v>Release 2</v>
      </c>
    </row>
    <row r="3" spans="1:5">
      <c r="A3" s="89"/>
      <c r="E3" s="82">
        <f>'Report-Recapture1718'!E3</f>
        <v>43145</v>
      </c>
    </row>
    <row r="4" spans="1:5" ht="15.75">
      <c r="A4" s="1075" t="s">
        <v>3840</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3841</v>
      </c>
      <c r="C15" s="1124" t="e">
        <f>'Option Costs-HB3646'!S70</f>
        <v>#DIV/0!</v>
      </c>
      <c r="D15" s="1124"/>
      <c r="E15" s="1124" t="e">
        <f>C15</f>
        <v>#DIV/0!</v>
      </c>
    </row>
    <row r="16" spans="1:5" s="1076" customFormat="1" ht="15">
      <c r="A16" s="1079" t="s">
        <v>1027</v>
      </c>
      <c r="B16" s="1080" t="s">
        <v>3842</v>
      </c>
      <c r="C16" s="1125">
        <f>'Data Entry - SOF'!G58</f>
        <v>0</v>
      </c>
      <c r="D16" s="1125"/>
      <c r="E16" s="1125">
        <f t="shared" ref="E16:E23" si="0">C16</f>
        <v>0</v>
      </c>
    </row>
    <row r="17" spans="1:5" s="1076" customFormat="1" ht="15">
      <c r="A17" s="1079" t="s">
        <v>3278</v>
      </c>
      <c r="B17" s="1080" t="s">
        <v>3843</v>
      </c>
      <c r="C17" s="1125" t="e">
        <f>IF(FracFunding1819!E24&lt;=0,FracFunding1819!C5,FracFunding1819!D5)</f>
        <v>#DIV/0!</v>
      </c>
      <c r="D17" s="1125"/>
      <c r="E17" s="1125" t="e">
        <f t="shared" si="0"/>
        <v>#DIV/0!</v>
      </c>
    </row>
    <row r="18" spans="1:5" s="1076" customFormat="1" ht="15">
      <c r="A18" s="1079" t="s">
        <v>1028</v>
      </c>
      <c r="B18" s="1080" t="s">
        <v>3844</v>
      </c>
      <c r="C18" s="1084" t="e">
        <f>'Ch41 Calc Data'!M17</f>
        <v>#DIV/0!</v>
      </c>
      <c r="D18" s="1084"/>
      <c r="E18" s="1084" t="e">
        <f t="shared" si="0"/>
        <v>#DIV/0!</v>
      </c>
    </row>
    <row r="19" spans="1:5" s="1076" customFormat="1" ht="15">
      <c r="A19" s="1079" t="s">
        <v>1029</v>
      </c>
      <c r="B19" s="1080" t="s">
        <v>7394</v>
      </c>
      <c r="C19" s="1085">
        <f>'Data Entry - SOF'!G52</f>
        <v>0</v>
      </c>
      <c r="D19" s="1080"/>
      <c r="E19" s="1124">
        <f t="shared" si="0"/>
        <v>0</v>
      </c>
    </row>
    <row r="20" spans="1:5" s="1076" customFormat="1" ht="15">
      <c r="A20" s="1079" t="s">
        <v>139</v>
      </c>
      <c r="B20" s="1080" t="s">
        <v>3845</v>
      </c>
      <c r="C20" s="1085">
        <f>'Report-SOF1819'!D68</f>
        <v>0</v>
      </c>
      <c r="D20" s="1080"/>
      <c r="E20" s="1124">
        <f t="shared" si="0"/>
        <v>0</v>
      </c>
    </row>
    <row r="21" spans="1:5" s="1076" customFormat="1" ht="15">
      <c r="A21" s="1079" t="s">
        <v>140</v>
      </c>
      <c r="B21" s="1080" t="s">
        <v>3279</v>
      </c>
      <c r="C21" s="1083">
        <f>'Data Entry - SOF'!G94</f>
        <v>0</v>
      </c>
      <c r="D21" s="1083"/>
      <c r="E21" s="1083">
        <f t="shared" si="0"/>
        <v>0</v>
      </c>
    </row>
    <row r="22" spans="1:5" s="1076" customFormat="1" ht="15">
      <c r="A22" s="1079" t="s">
        <v>141</v>
      </c>
      <c r="B22" s="1080" t="s">
        <v>3280</v>
      </c>
      <c r="C22" s="1124">
        <f>'Data Entry - SOF'!G95</f>
        <v>0</v>
      </c>
      <c r="D22" s="1080"/>
      <c r="E22" s="1124">
        <f t="shared" si="0"/>
        <v>0</v>
      </c>
    </row>
    <row r="23" spans="1:5" s="1076" customFormat="1" ht="15">
      <c r="A23" s="1079" t="s">
        <v>142</v>
      </c>
      <c r="B23" s="1080" t="s">
        <v>2035</v>
      </c>
      <c r="C23" s="1126">
        <f>'Report-SOF1819'!D51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Costs-HB3646'!S13</f>
        <v>0</v>
      </c>
      <c r="D26" s="1085"/>
      <c r="E26" s="1085">
        <f t="shared" ref="E26:E31" si="1">C26</f>
        <v>0</v>
      </c>
    </row>
    <row r="27" spans="1:5" s="1076" customFormat="1" ht="15">
      <c r="A27" s="1079" t="s">
        <v>6</v>
      </c>
      <c r="B27" s="1080" t="s">
        <v>3321</v>
      </c>
      <c r="C27" s="1084">
        <f>'Option Costs-HB3646'!S16</f>
        <v>0</v>
      </c>
      <c r="D27" s="1084"/>
      <c r="E27" s="1084">
        <f t="shared" si="1"/>
        <v>0</v>
      </c>
    </row>
    <row r="28" spans="1:5" s="1076" customFormat="1" ht="15">
      <c r="A28" s="1079" t="s">
        <v>2551</v>
      </c>
      <c r="B28" s="1080" t="s">
        <v>3287</v>
      </c>
      <c r="C28" s="1085">
        <f>'Option Costs-HB3646'!S17</f>
        <v>0</v>
      </c>
      <c r="D28" s="1085"/>
      <c r="E28" s="1085">
        <f t="shared" si="1"/>
        <v>0</v>
      </c>
    </row>
    <row r="29" spans="1:5" s="1076" customFormat="1" ht="15">
      <c r="A29" s="1079" t="s">
        <v>2552</v>
      </c>
      <c r="B29" s="1080" t="s">
        <v>3288</v>
      </c>
      <c r="C29" s="1085">
        <f>'Option Costs-HB3646'!S19</f>
        <v>0</v>
      </c>
      <c r="D29" s="1085"/>
      <c r="E29" s="1085">
        <f t="shared" si="1"/>
        <v>0</v>
      </c>
    </row>
    <row r="30" spans="1:5" s="1076" customFormat="1" ht="15">
      <c r="A30" s="1079" t="s">
        <v>3122</v>
      </c>
      <c r="B30" s="1080" t="s">
        <v>3289</v>
      </c>
      <c r="C30" s="1084">
        <f>'Option Costs-HB3646'!S20</f>
        <v>0</v>
      </c>
      <c r="D30" s="1084"/>
      <c r="E30" s="1084">
        <f t="shared" si="1"/>
        <v>0</v>
      </c>
    </row>
    <row r="31" spans="1:5" s="1076" customFormat="1" ht="15">
      <c r="A31" s="1079" t="s">
        <v>3123</v>
      </c>
      <c r="B31" s="1080" t="s">
        <v>3846</v>
      </c>
      <c r="C31" s="1084">
        <f>'Option Costs-HB3646'!S21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Costs-HB3646'!S24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Costs-HB3646'!S27</f>
        <v>0</v>
      </c>
      <c r="D35" s="1085"/>
      <c r="E35" s="1127" t="s">
        <v>1994</v>
      </c>
    </row>
    <row r="36" spans="1:5" s="1076" customFormat="1" ht="15">
      <c r="A36" s="1095" t="s">
        <v>3128</v>
      </c>
      <c r="B36" s="1080" t="s">
        <v>3293</v>
      </c>
      <c r="C36" s="1085" t="e">
        <f>'Option Costs-HB3646'!S28</f>
        <v>#DIV/0!</v>
      </c>
      <c r="D36" s="1085"/>
      <c r="E36" s="1127" t="s">
        <v>1994</v>
      </c>
    </row>
    <row r="37" spans="1:5" s="1076" customFormat="1" ht="15">
      <c r="A37" s="1095" t="s">
        <v>3129</v>
      </c>
      <c r="B37" s="1080" t="s">
        <v>3294</v>
      </c>
      <c r="C37" s="1085" t="e">
        <f>'Option Costs-HB3646'!S29</f>
        <v>#DIV/0!</v>
      </c>
      <c r="D37" s="1085"/>
      <c r="E37" s="1127" t="s">
        <v>1994</v>
      </c>
    </row>
    <row r="38" spans="1:5" s="1076" customFormat="1" ht="15">
      <c r="A38" s="1095" t="s">
        <v>3131</v>
      </c>
      <c r="B38" s="1080" t="s">
        <v>3295</v>
      </c>
      <c r="C38" s="1085" t="e">
        <f>'Option Costs-HB3646'!S30</f>
        <v>#DIV/0!</v>
      </c>
      <c r="D38" s="1085"/>
      <c r="E38" s="1127" t="s">
        <v>1994</v>
      </c>
    </row>
    <row r="39" spans="1:5" s="1076" customFormat="1" ht="15">
      <c r="A39" s="1095" t="s">
        <v>3132</v>
      </c>
      <c r="B39" s="1080" t="s">
        <v>3296</v>
      </c>
      <c r="C39" s="1085" t="e">
        <f>'Option Costs-HB3646'!S64</f>
        <v>#DIV/0!</v>
      </c>
      <c r="D39" s="1085"/>
      <c r="E39" s="1085" t="e">
        <f>'Option Costs-HB3646'!U64</f>
        <v>#DIV/0!</v>
      </c>
    </row>
    <row r="40" spans="1:5" s="1076" customFormat="1" ht="15">
      <c r="A40" s="1095" t="s">
        <v>3133</v>
      </c>
      <c r="B40" s="1080" t="s">
        <v>3297</v>
      </c>
      <c r="C40" s="1085" t="e">
        <f>'Option Costs-HB3646'!S65</f>
        <v>#DIV/0!</v>
      </c>
      <c r="D40" s="1085"/>
      <c r="E40" s="1085" t="e">
        <f>'Option Costs-HB3646'!U65</f>
        <v>#DIV/0!</v>
      </c>
    </row>
    <row r="41" spans="1:5" s="1076" customFormat="1" ht="15">
      <c r="A41" s="1095" t="s">
        <v>3134</v>
      </c>
      <c r="B41" s="1080" t="s">
        <v>3298</v>
      </c>
      <c r="C41" s="1084" t="e">
        <f>'Option Costs-HB3646'!S66</f>
        <v>#DIV/0!</v>
      </c>
      <c r="D41" s="1084"/>
      <c r="E41" s="1084" t="e">
        <f>'Option Costs-HB3646'!U66</f>
        <v>#DIV/0!</v>
      </c>
    </row>
    <row r="42" spans="1:5" s="1076" customFormat="1" ht="15.75">
      <c r="A42" s="1366" t="s">
        <v>3299</v>
      </c>
      <c r="B42" s="1290"/>
      <c r="C42" s="1290"/>
      <c r="D42" s="1290"/>
      <c r="E42" s="1291"/>
    </row>
    <row r="43" spans="1:5" s="1076" customFormat="1" ht="15">
      <c r="A43" s="1079" t="s">
        <v>3135</v>
      </c>
      <c r="B43" s="1080" t="s">
        <v>3300</v>
      </c>
      <c r="C43" s="1085" t="e">
        <f>'Option Costs-HB3646'!S73</f>
        <v>#DIV/0!</v>
      </c>
      <c r="D43" s="1080"/>
      <c r="E43" s="1085" t="e">
        <f>'Option Costs-HB3646'!U73</f>
        <v>#DIV/0!</v>
      </c>
    </row>
    <row r="44" spans="1:5" s="1076" customFormat="1" ht="15">
      <c r="A44" s="1079" t="s">
        <v>3140</v>
      </c>
      <c r="B44" s="1080" t="s">
        <v>3301</v>
      </c>
      <c r="C44" s="1084" t="e">
        <f>'Option Costs-HB3646'!S74</f>
        <v>#DIV/0!</v>
      </c>
      <c r="D44" s="1084"/>
      <c r="E44" s="1084" t="e">
        <f>'Option Costs-HB3646'!U74</f>
        <v>#DIV/0!</v>
      </c>
    </row>
    <row r="45" spans="1:5" s="1076" customFormat="1" ht="15">
      <c r="A45" s="1079" t="s">
        <v>3141</v>
      </c>
      <c r="B45" s="1080" t="s">
        <v>7904</v>
      </c>
      <c r="C45" s="1085" t="e">
        <f>'Option Costs-HB3646'!S75</f>
        <v>#DIV/0!</v>
      </c>
      <c r="D45" s="1085"/>
      <c r="E45" s="1085" t="e">
        <f>'Option Costs-HB3646'!U75</f>
        <v>#DIV/0!</v>
      </c>
    </row>
    <row r="46" spans="1:5" s="1076" customFormat="1" ht="15">
      <c r="A46" s="1079" t="s">
        <v>3142</v>
      </c>
      <c r="B46" s="1080" t="s">
        <v>3302</v>
      </c>
      <c r="C46" s="1084" t="e">
        <f>'Option Costs-HB3646'!S76</f>
        <v>#DIV/0!</v>
      </c>
      <c r="D46" s="1084"/>
      <c r="E46" s="1084" t="e">
        <f>'Option Costs-HB3646'!U76</f>
        <v>#DIV/0!</v>
      </c>
    </row>
    <row r="47" spans="1:5" s="1076" customFormat="1" ht="15">
      <c r="A47" s="1079" t="s">
        <v>3143</v>
      </c>
      <c r="B47" s="1080" t="s">
        <v>3303</v>
      </c>
      <c r="C47" s="1084">
        <f>'Option Costs-HB3646'!S77</f>
        <v>0</v>
      </c>
      <c r="D47" s="1084"/>
      <c r="E47" s="1084">
        <f>'Option Costs-HB3646'!U77</f>
        <v>0</v>
      </c>
    </row>
    <row r="48" spans="1:5" s="1076" customFormat="1" ht="15">
      <c r="A48" s="1079" t="s">
        <v>3144</v>
      </c>
      <c r="B48" s="1080" t="s">
        <v>3304</v>
      </c>
      <c r="C48" s="1084" t="e">
        <f>'Option Costs-HB3646'!S78</f>
        <v>#DIV/0!</v>
      </c>
      <c r="D48" s="1084"/>
      <c r="E48" s="1084" t="e">
        <f>'Option Costs-HB3646'!U78</f>
        <v>#DIV/0!</v>
      </c>
    </row>
    <row r="49" spans="1:5" s="1076" customFormat="1" ht="15">
      <c r="A49" s="1079" t="s">
        <v>3145</v>
      </c>
      <c r="B49" s="1080" t="s">
        <v>3305</v>
      </c>
      <c r="C49" s="1085" t="e">
        <f>'Option Costs-HB3646'!S79</f>
        <v>#DIV/0!</v>
      </c>
      <c r="D49" s="1085"/>
      <c r="E49" s="1085" t="e">
        <f>'Option Costs-HB3646'!U79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Costs-HB3646'!S118</f>
        <v>#DIV/0!</v>
      </c>
      <c r="D52" s="1080"/>
      <c r="E52" s="1127" t="s">
        <v>1994</v>
      </c>
    </row>
    <row r="53" spans="1:5" s="1076" customFormat="1" ht="15">
      <c r="A53" s="1079" t="s">
        <v>3147</v>
      </c>
      <c r="B53" s="1080" t="s">
        <v>3372</v>
      </c>
      <c r="C53" s="1085" t="e">
        <f>'Option Costs-HB3646'!S119</f>
        <v>#DIV/0!</v>
      </c>
      <c r="D53" s="1080"/>
      <c r="E53" s="1127" t="s">
        <v>1994</v>
      </c>
    </row>
    <row r="54" spans="1:5" s="1076" customFormat="1" ht="15">
      <c r="A54" s="1079" t="s">
        <v>3148</v>
      </c>
      <c r="B54" s="1080" t="s">
        <v>3307</v>
      </c>
      <c r="C54" s="1085" t="e">
        <f>'Option Costs-HB3646'!S82</f>
        <v>#DIV/0!</v>
      </c>
      <c r="D54" s="1080"/>
      <c r="E54" s="1127" t="s">
        <v>1994</v>
      </c>
    </row>
    <row r="55" spans="1:5" s="1076" customFormat="1" ht="15.75">
      <c r="A55" s="1366" t="s">
        <v>3308</v>
      </c>
      <c r="B55" s="1290"/>
      <c r="C55" s="1290"/>
      <c r="D55" s="1290"/>
      <c r="E55" s="1291"/>
    </row>
    <row r="56" spans="1:5" s="1076" customFormat="1" ht="15">
      <c r="A56" s="1079" t="s">
        <v>3149</v>
      </c>
      <c r="B56" s="1080" t="s">
        <v>3847</v>
      </c>
      <c r="C56" s="1085">
        <f>'Data Entry - SOF'!G91</f>
        <v>0</v>
      </c>
      <c r="D56" s="1085"/>
      <c r="E56" s="1085">
        <f>'Data Entry - SOF'!G91</f>
        <v>0</v>
      </c>
    </row>
    <row r="57" spans="1:5" s="1076" customFormat="1" ht="15">
      <c r="A57" s="1079" t="s">
        <v>3150</v>
      </c>
      <c r="B57" s="1080" t="s">
        <v>3848</v>
      </c>
      <c r="C57" s="1085" t="e">
        <f>'Option Costs-HB3646'!S73</f>
        <v>#DIV/0!</v>
      </c>
      <c r="D57" s="1085"/>
      <c r="E57" s="1085" t="e">
        <f>'Option Costs-HB3646'!U73</f>
        <v>#DIV/0!</v>
      </c>
    </row>
    <row r="58" spans="1:5" s="1076" customFormat="1" ht="15">
      <c r="A58" s="1079" t="s">
        <v>3151</v>
      </c>
      <c r="B58" s="1080" t="s">
        <v>3841</v>
      </c>
      <c r="C58" s="1085" t="e">
        <f>'Option Costs-HB3646'!S70</f>
        <v>#DIV/0!</v>
      </c>
      <c r="D58" s="1085"/>
      <c r="E58" s="1085" t="e">
        <f>'Option Costs-HB3646'!U70</f>
        <v>#DIV/0!</v>
      </c>
    </row>
    <row r="59" spans="1:5" s="1076" customFormat="1" ht="15">
      <c r="A59" s="1079" t="s">
        <v>3152</v>
      </c>
      <c r="B59" s="1080" t="s">
        <v>3849</v>
      </c>
      <c r="C59" s="1085" t="e">
        <f>'Option Costs-HB3646'!S83</f>
        <v>#DIV/0!</v>
      </c>
      <c r="D59" s="1085"/>
      <c r="E59" s="1085">
        <f>'Option Costs-HB3646'!U83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Costs-HB3646'!S83</f>
        <v>#DIV/0!</v>
      </c>
      <c r="D62" s="1085"/>
      <c r="E62" s="1085">
        <f>'Option Costs-HB3646'!U83</f>
        <v>0</v>
      </c>
    </row>
    <row r="63" spans="1:5" s="1076" customFormat="1" ht="15.75">
      <c r="A63" s="1298" t="s">
        <v>3311</v>
      </c>
      <c r="B63" s="1290"/>
      <c r="C63" s="1290"/>
      <c r="D63" s="1290"/>
      <c r="E63" s="1291"/>
    </row>
    <row r="64" spans="1:5" s="1076" customFormat="1" ht="15">
      <c r="A64" s="1079" t="s">
        <v>3156</v>
      </c>
      <c r="B64" s="1080" t="s">
        <v>3312</v>
      </c>
      <c r="C64" s="1085" t="e">
        <f>'Option Costs-HB3646'!S79</f>
        <v>#DIV/0!</v>
      </c>
      <c r="D64" s="1085"/>
      <c r="E64" s="1085" t="e">
        <f>'Option Costs-HB3646'!U79</f>
        <v>#DIV/0!</v>
      </c>
    </row>
    <row r="65" spans="1:7" s="1076" customFormat="1" ht="15.75">
      <c r="A65" s="1079" t="s">
        <v>3157</v>
      </c>
      <c r="B65" s="1078" t="s">
        <v>3313</v>
      </c>
      <c r="C65" s="1090" t="e">
        <f>'Option Costs-HB3646'!S85</f>
        <v>#DIV/0!</v>
      </c>
      <c r="D65" s="1085"/>
      <c r="E65" s="1090" t="e">
        <f>'Option Costs-HB3646'!U85</f>
        <v>#DIV/0!</v>
      </c>
      <c r="F65" s="1317" t="s">
        <v>3445</v>
      </c>
      <c r="G65" s="1318" t="str">
        <f>'Data Entry - SOF'!G97</f>
        <v>Y</v>
      </c>
    </row>
    <row r="66" spans="1:7" s="1076" customFormat="1" ht="15.75">
      <c r="A66" s="1079" t="s">
        <v>3158</v>
      </c>
      <c r="B66" s="1078" t="s">
        <v>3314</v>
      </c>
      <c r="C66" s="1090" t="e">
        <f>'Option Costs-HB3646'!S86</f>
        <v>#DIV/0!</v>
      </c>
      <c r="D66" s="1085"/>
      <c r="E66" s="1090" t="e">
        <f>'Option Costs-HB3646'!U86</f>
        <v>#DIV/0!</v>
      </c>
      <c r="F66" s="961" t="s">
        <v>3473</v>
      </c>
    </row>
    <row r="67" spans="1:7" s="1076" customFormat="1" ht="15.75">
      <c r="A67" s="1366" t="s">
        <v>3315</v>
      </c>
      <c r="B67" s="1290"/>
      <c r="C67" s="1290"/>
      <c r="D67" s="1290"/>
      <c r="E67" s="1291"/>
      <c r="F67" s="961" t="s">
        <v>3474</v>
      </c>
    </row>
    <row r="68" spans="1:7" s="1076" customFormat="1" ht="15">
      <c r="A68" s="1079" t="s">
        <v>3175</v>
      </c>
      <c r="B68" s="1080" t="s">
        <v>3850</v>
      </c>
      <c r="C68" s="1084" t="e">
        <f>'Calc Data-SB1'!E25</f>
        <v>#DIV/0!</v>
      </c>
      <c r="D68" s="1084"/>
      <c r="E68" s="1084" t="e">
        <f>'Calc Data-SB1'!E25</f>
        <v>#DIV/0!</v>
      </c>
    </row>
    <row r="69" spans="1:7" s="1076" customFormat="1" ht="15">
      <c r="A69" s="1079" t="s">
        <v>3176</v>
      </c>
      <c r="B69" s="1080" t="s">
        <v>3851</v>
      </c>
      <c r="C69" s="1083">
        <f>'Data Entry - SOF'!G90</f>
        <v>0</v>
      </c>
      <c r="D69" s="1083"/>
      <c r="E69" s="1083">
        <f>'Data Entry - SOF'!G90</f>
        <v>0</v>
      </c>
    </row>
    <row r="70" spans="1:7" s="1076" customFormat="1" ht="15">
      <c r="A70" s="1079" t="s">
        <v>3177</v>
      </c>
      <c r="B70" s="1080" t="s">
        <v>3852</v>
      </c>
      <c r="C70" s="1083">
        <f>'Data Entry - SOF'!G89</f>
        <v>0</v>
      </c>
      <c r="D70" s="1083"/>
      <c r="E70" s="1083">
        <f>'Data Entry - SOF'!G89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3851</v>
      </c>
      <c r="C73" s="1083">
        <f>'Data Entry - SOF'!G90</f>
        <v>0</v>
      </c>
      <c r="D73" s="1080"/>
      <c r="E73" s="1083">
        <f>'Data Entry - SOF'!G90</f>
        <v>0</v>
      </c>
    </row>
    <row r="74" spans="1:7" s="1076" customFormat="1" ht="15">
      <c r="A74" s="1079" t="s">
        <v>3179</v>
      </c>
      <c r="B74" s="1080" t="s">
        <v>3317</v>
      </c>
      <c r="C74" s="1084">
        <f>'Ch41 Calc Data'!M15</f>
        <v>0</v>
      </c>
      <c r="D74" s="1084"/>
      <c r="E74" s="1084">
        <f>'Ch41 Calc Data'!M15</f>
        <v>0</v>
      </c>
    </row>
    <row r="75" spans="1:7" s="1076" customFormat="1" ht="15">
      <c r="A75" s="1079" t="s">
        <v>3180</v>
      </c>
      <c r="B75" s="1080" t="s">
        <v>3318</v>
      </c>
      <c r="C75" s="1084">
        <f>'Ch41 Calc Data'!M16</f>
        <v>0</v>
      </c>
      <c r="D75" s="1084"/>
      <c r="E75" s="1084">
        <f>'Ch41 Calc Data'!M16</f>
        <v>0</v>
      </c>
    </row>
    <row r="76" spans="1:7" s="1076" customFormat="1" ht="15.75">
      <c r="A76" s="1366" t="s">
        <v>3319</v>
      </c>
      <c r="B76" s="1290"/>
      <c r="C76" s="1290"/>
      <c r="D76" s="1290"/>
      <c r="E76" s="1291"/>
    </row>
    <row r="77" spans="1:7" s="1076" customFormat="1" ht="15">
      <c r="A77" s="1079" t="s">
        <v>3320</v>
      </c>
      <c r="B77" s="1080" t="s">
        <v>3853</v>
      </c>
      <c r="C77" s="1084" t="e">
        <f>'Ch41 Calc Data'!M17</f>
        <v>#DIV/0!</v>
      </c>
      <c r="D77" s="1084"/>
      <c r="E77" s="1084" t="e">
        <f>'Ch41 Calc Data'!M17</f>
        <v>#DIV/0!</v>
      </c>
    </row>
    <row r="78" spans="1:7" s="1076" customFormat="1" ht="15">
      <c r="B78" s="1733" t="s">
        <v>4453</v>
      </c>
      <c r="C78" s="1194" t="s">
        <v>3902</v>
      </c>
    </row>
    <row r="79" spans="1:7" s="1076" customFormat="1" ht="15">
      <c r="B79" s="1733" t="s">
        <v>4457</v>
      </c>
      <c r="C79" s="1194" t="s">
        <v>3869</v>
      </c>
    </row>
    <row r="80" spans="1:7" s="1076" customFormat="1" ht="15.75">
      <c r="A80" s="961" t="s">
        <v>3854</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3841</v>
      </c>
      <c r="C91" s="1124" t="e">
        <f>'Option Costs-HB3646'!W71</f>
        <v>#DIV/0!</v>
      </c>
      <c r="D91" s="1124"/>
      <c r="E91" s="1124" t="e">
        <f t="shared" si="2"/>
        <v>#DIV/0!</v>
      </c>
    </row>
    <row r="92" spans="1:5" s="1076" customFormat="1" ht="15">
      <c r="A92" s="1079" t="s">
        <v>1027</v>
      </c>
      <c r="B92" s="1080" t="s">
        <v>3842</v>
      </c>
      <c r="C92" s="1125">
        <f>'Data Entry - SOF'!G58</f>
        <v>0</v>
      </c>
      <c r="D92" s="1125"/>
      <c r="E92" s="1125">
        <f t="shared" si="2"/>
        <v>0</v>
      </c>
    </row>
    <row r="93" spans="1:5" s="1076" customFormat="1" ht="15">
      <c r="A93" s="1079" t="s">
        <v>3278</v>
      </c>
      <c r="B93" s="1080" t="s">
        <v>3843</v>
      </c>
      <c r="C93" s="1125" t="e">
        <f>C17</f>
        <v>#DIV/0!</v>
      </c>
      <c r="D93" s="1125"/>
      <c r="E93" s="1125" t="e">
        <f t="shared" si="2"/>
        <v>#DIV/0!</v>
      </c>
    </row>
    <row r="94" spans="1:5" s="1076" customFormat="1" ht="15">
      <c r="A94" s="1079" t="s">
        <v>1028</v>
      </c>
      <c r="B94" s="1080" t="s">
        <v>3844</v>
      </c>
      <c r="C94" s="1084" t="e">
        <f>'Ch41 Calc Data'!M17</f>
        <v>#DIV/0!</v>
      </c>
      <c r="D94" s="1084"/>
      <c r="E94" s="1084" t="e">
        <f t="shared" si="2"/>
        <v>#DIV/0!</v>
      </c>
    </row>
    <row r="95" spans="1:5" s="1076" customFormat="1" ht="15">
      <c r="A95" s="1079" t="s">
        <v>1029</v>
      </c>
      <c r="B95" s="1080" t="s">
        <v>7394</v>
      </c>
      <c r="C95" s="1085">
        <f>C19</f>
        <v>0</v>
      </c>
      <c r="D95" s="1080"/>
      <c r="E95" s="1124">
        <f t="shared" si="2"/>
        <v>0</v>
      </c>
    </row>
    <row r="96" spans="1:5" s="1076" customFormat="1" ht="15">
      <c r="A96" s="1079" t="s">
        <v>139</v>
      </c>
      <c r="B96" s="1080" t="s">
        <v>3845</v>
      </c>
      <c r="C96" s="1085">
        <f>'Report-SOF1819'!D68</f>
        <v>0</v>
      </c>
      <c r="D96" s="1080"/>
      <c r="E96" s="1124">
        <f t="shared" si="2"/>
        <v>0</v>
      </c>
    </row>
    <row r="97" spans="1:5" s="1076" customFormat="1" ht="15">
      <c r="A97" s="1079" t="s">
        <v>140</v>
      </c>
      <c r="B97" s="1080" t="s">
        <v>3279</v>
      </c>
      <c r="C97" s="1083">
        <f>'Data Entry - SOF'!G94</f>
        <v>0</v>
      </c>
      <c r="D97" s="1083"/>
      <c r="E97" s="1083">
        <f t="shared" si="2"/>
        <v>0</v>
      </c>
    </row>
    <row r="98" spans="1:5" s="1076" customFormat="1" ht="15">
      <c r="A98" s="1079" t="s">
        <v>141</v>
      </c>
      <c r="B98" s="1080" t="s">
        <v>3280</v>
      </c>
      <c r="C98" s="1124">
        <f>'Data Entry - SOF'!G95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Costs-HB3646'!W13</f>
        <v>0</v>
      </c>
      <c r="D102" s="1085"/>
      <c r="E102" s="1085">
        <f t="shared" ref="E102:E107" si="3">C102</f>
        <v>0</v>
      </c>
    </row>
    <row r="103" spans="1:5" s="1076" customFormat="1" ht="15">
      <c r="A103" s="1079" t="s">
        <v>6</v>
      </c>
      <c r="B103" s="1080" t="s">
        <v>3321</v>
      </c>
      <c r="C103" s="1084">
        <f>'Option Costs-HB3646'!W16</f>
        <v>0</v>
      </c>
      <c r="D103" s="1084"/>
      <c r="E103" s="1084">
        <f t="shared" si="3"/>
        <v>0</v>
      </c>
    </row>
    <row r="104" spans="1:5" s="1076" customFormat="1" ht="15">
      <c r="A104" s="1079" t="s">
        <v>2551</v>
      </c>
      <c r="B104" s="1080" t="s">
        <v>3287</v>
      </c>
      <c r="C104" s="1085">
        <f>'Option Costs-HB3646'!W17</f>
        <v>0</v>
      </c>
      <c r="D104" s="1085"/>
      <c r="E104" s="1085">
        <f t="shared" si="3"/>
        <v>0</v>
      </c>
    </row>
    <row r="105" spans="1:5" s="1076" customFormat="1" ht="15">
      <c r="A105" s="1079" t="s">
        <v>2552</v>
      </c>
      <c r="B105" s="1080" t="s">
        <v>3288</v>
      </c>
      <c r="C105" s="1085">
        <f>'Option Costs-HB3646'!W19</f>
        <v>0</v>
      </c>
      <c r="D105" s="1085"/>
      <c r="E105" s="1085">
        <f t="shared" si="3"/>
        <v>0</v>
      </c>
    </row>
    <row r="106" spans="1:5" s="1076" customFormat="1" ht="15">
      <c r="A106" s="1079" t="s">
        <v>3122</v>
      </c>
      <c r="B106" s="1080" t="s">
        <v>3289</v>
      </c>
      <c r="C106" s="1084">
        <f>'Option Costs-HB3646'!W20</f>
        <v>0</v>
      </c>
      <c r="D106" s="1084"/>
      <c r="E106" s="1084">
        <f t="shared" si="3"/>
        <v>0</v>
      </c>
    </row>
    <row r="107" spans="1:5" s="1076" customFormat="1" ht="15">
      <c r="A107" s="1079" t="s">
        <v>3123</v>
      </c>
      <c r="B107" s="1080" t="s">
        <v>3846</v>
      </c>
      <c r="C107" s="1084">
        <f>'Option Costs-HB3646'!W21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Costs-HB3646'!W24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Costs-HB3646'!W27</f>
        <v>0</v>
      </c>
      <c r="D111" s="1085"/>
      <c r="E111" s="1127" t="s">
        <v>1994</v>
      </c>
    </row>
    <row r="112" spans="1:5" ht="15">
      <c r="A112" s="1095" t="s">
        <v>3128</v>
      </c>
      <c r="B112" s="1080" t="s">
        <v>3293</v>
      </c>
      <c r="C112" s="1085" t="e">
        <f>'Option Costs-HB3646'!W28</f>
        <v>#DIV/0!</v>
      </c>
      <c r="D112" s="1085"/>
      <c r="E112" s="1127" t="s">
        <v>1994</v>
      </c>
    </row>
    <row r="113" spans="1:5" ht="15">
      <c r="A113" s="1095" t="s">
        <v>3129</v>
      </c>
      <c r="B113" s="1080" t="s">
        <v>3294</v>
      </c>
      <c r="C113" s="1085" t="e">
        <f>'Option Costs-HB3646'!W29</f>
        <v>#DIV/0!</v>
      </c>
      <c r="D113" s="1085"/>
      <c r="E113" s="1127" t="s">
        <v>1994</v>
      </c>
    </row>
    <row r="114" spans="1:5" ht="15">
      <c r="A114" s="1095" t="s">
        <v>3131</v>
      </c>
      <c r="B114" s="1080" t="s">
        <v>3295</v>
      </c>
      <c r="C114" s="1085" t="e">
        <f>'Option Costs-HB3646'!W30</f>
        <v>#DIV/0!</v>
      </c>
      <c r="D114" s="1085"/>
      <c r="E114" s="1127" t="s">
        <v>1994</v>
      </c>
    </row>
    <row r="115" spans="1:5" ht="15">
      <c r="A115" s="1095" t="s">
        <v>3132</v>
      </c>
      <c r="B115" s="1080" t="s">
        <v>3296</v>
      </c>
      <c r="C115" s="1085" t="e">
        <f>'Option Costs-HB3646'!W64</f>
        <v>#DIV/0!</v>
      </c>
      <c r="D115" s="1085"/>
      <c r="E115" s="1085" t="e">
        <f>'Option Costs-HB3646'!Y64</f>
        <v>#DIV/0!</v>
      </c>
    </row>
    <row r="116" spans="1:5" ht="15">
      <c r="A116" s="1095" t="s">
        <v>3133</v>
      </c>
      <c r="B116" s="1080" t="s">
        <v>3297</v>
      </c>
      <c r="C116" s="1085" t="e">
        <f>'Option Costs-HB3646'!W65</f>
        <v>#DIV/0!</v>
      </c>
      <c r="D116" s="1085"/>
      <c r="E116" s="1085" t="e">
        <f>'Option Costs-HB3646'!Y65</f>
        <v>#DIV/0!</v>
      </c>
    </row>
    <row r="117" spans="1:5" ht="15">
      <c r="A117" s="1095" t="s">
        <v>3134</v>
      </c>
      <c r="B117" s="1080" t="s">
        <v>3298</v>
      </c>
      <c r="C117" s="1084" t="e">
        <f>'Option Costs-HB3646'!W66</f>
        <v>#DIV/0!</v>
      </c>
      <c r="D117" s="1084"/>
      <c r="E117" s="1084" t="e">
        <f>'Option Costs-HB3646'!Y66</f>
        <v>#DIV/0!</v>
      </c>
    </row>
    <row r="118" spans="1:5" ht="15.75">
      <c r="A118" s="1366" t="s">
        <v>3299</v>
      </c>
      <c r="B118" s="1290"/>
      <c r="C118" s="1290"/>
      <c r="D118" s="1290"/>
      <c r="E118" s="1291"/>
    </row>
    <row r="119" spans="1:5" ht="15">
      <c r="A119" s="1079" t="s">
        <v>3135</v>
      </c>
      <c r="B119" s="1080" t="s">
        <v>3300</v>
      </c>
      <c r="C119" s="1085" t="e">
        <f>'Option Costs-HB3646'!W73</f>
        <v>#DIV/0!</v>
      </c>
      <c r="D119" s="1080"/>
      <c r="E119" s="1085" t="e">
        <f>'Option Costs-HB3646'!Y73</f>
        <v>#DIV/0!</v>
      </c>
    </row>
    <row r="120" spans="1:5" ht="15">
      <c r="A120" s="1079" t="s">
        <v>3140</v>
      </c>
      <c r="B120" s="1080" t="s">
        <v>3301</v>
      </c>
      <c r="C120" s="1084" t="e">
        <f>'Option Costs-HB3646'!W74</f>
        <v>#DIV/0!</v>
      </c>
      <c r="D120" s="1084"/>
      <c r="E120" s="1084" t="e">
        <f>'Option Costs-HB3646'!Y74</f>
        <v>#DIV/0!</v>
      </c>
    </row>
    <row r="121" spans="1:5" ht="15">
      <c r="A121" s="1079" t="s">
        <v>3141</v>
      </c>
      <c r="B121" s="1080" t="s">
        <v>7904</v>
      </c>
      <c r="C121" s="1085" t="e">
        <f>'Option Costs-HB3646'!W75</f>
        <v>#DIV/0!</v>
      </c>
      <c r="D121" s="1085"/>
      <c r="E121" s="1085" t="e">
        <f>'Option Costs-HB3646'!Y75</f>
        <v>#DIV/0!</v>
      </c>
    </row>
    <row r="122" spans="1:5" ht="15">
      <c r="A122" s="1079" t="s">
        <v>3142</v>
      </c>
      <c r="B122" s="1080" t="s">
        <v>3302</v>
      </c>
      <c r="C122" s="1084" t="e">
        <f>'Option Costs-HB3646'!W76</f>
        <v>#DIV/0!</v>
      </c>
      <c r="D122" s="1084"/>
      <c r="E122" s="1084" t="e">
        <f>'Option Costs-HB3646'!Y76</f>
        <v>#DIV/0!</v>
      </c>
    </row>
    <row r="123" spans="1:5" ht="15">
      <c r="A123" s="1079" t="s">
        <v>3143</v>
      </c>
      <c r="B123" s="1080" t="s">
        <v>3303</v>
      </c>
      <c r="C123" s="1084">
        <f>'Option Costs-HB3646'!W77</f>
        <v>0</v>
      </c>
      <c r="D123" s="1084"/>
      <c r="E123" s="1084">
        <f>'Option Costs-HB3646'!Y77</f>
        <v>0</v>
      </c>
    </row>
    <row r="124" spans="1:5" ht="15">
      <c r="A124" s="1079" t="s">
        <v>3144</v>
      </c>
      <c r="B124" s="1080" t="s">
        <v>3304</v>
      </c>
      <c r="C124" s="1084" t="e">
        <f>'Option Costs-HB3646'!W78</f>
        <v>#DIV/0!</v>
      </c>
      <c r="D124" s="1084"/>
      <c r="E124" s="1084" t="e">
        <f>'Option Costs-HB3646'!Y78</f>
        <v>#DIV/0!</v>
      </c>
    </row>
    <row r="125" spans="1:5" ht="15">
      <c r="A125" s="1079" t="s">
        <v>3145</v>
      </c>
      <c r="B125" s="1080" t="s">
        <v>3305</v>
      </c>
      <c r="C125" s="1085" t="e">
        <f>'Option Costs-HB3646'!W79</f>
        <v>#DIV/0!</v>
      </c>
      <c r="D125" s="1085"/>
      <c r="E125" s="1085" t="e">
        <f>'Option Costs-HB3646'!Y79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Costs-HB3646'!W118</f>
        <v>#DIV/0!</v>
      </c>
      <c r="D128" s="1080"/>
      <c r="E128" s="1127" t="s">
        <v>1994</v>
      </c>
    </row>
    <row r="129" spans="1:7" ht="15">
      <c r="A129" s="1079" t="s">
        <v>3147</v>
      </c>
      <c r="B129" s="1080" t="s">
        <v>3372</v>
      </c>
      <c r="C129" s="1085" t="e">
        <f>'Option Costs-HB3646'!W119</f>
        <v>#DIV/0!</v>
      </c>
      <c r="D129" s="1080"/>
      <c r="E129" s="1127" t="s">
        <v>1994</v>
      </c>
    </row>
    <row r="130" spans="1:7" ht="15">
      <c r="A130" s="1079" t="s">
        <v>3148</v>
      </c>
      <c r="B130" s="1080" t="s">
        <v>3307</v>
      </c>
      <c r="C130" s="1085" t="e">
        <f>'Option Costs-HB3646'!W82</f>
        <v>#DIV/0!</v>
      </c>
      <c r="D130" s="1080"/>
      <c r="E130" s="1127" t="s">
        <v>1994</v>
      </c>
    </row>
    <row r="131" spans="1:7" ht="15.75">
      <c r="A131" s="1366" t="s">
        <v>3308</v>
      </c>
      <c r="B131" s="1290"/>
      <c r="C131" s="1290"/>
      <c r="D131" s="1290"/>
      <c r="E131" s="1291"/>
    </row>
    <row r="132" spans="1:7" ht="15">
      <c r="A132" s="1079" t="s">
        <v>3149</v>
      </c>
      <c r="B132" s="1080" t="s">
        <v>3847</v>
      </c>
      <c r="C132" s="1085">
        <f>'Data Entry - SOF'!G91</f>
        <v>0</v>
      </c>
      <c r="D132" s="1085"/>
      <c r="E132" s="1085">
        <f>'Data Entry - SOF'!G91</f>
        <v>0</v>
      </c>
    </row>
    <row r="133" spans="1:7" ht="15">
      <c r="A133" s="1079" t="s">
        <v>3150</v>
      </c>
      <c r="B133" s="1080" t="s">
        <v>3848</v>
      </c>
      <c r="C133" s="1085" t="e">
        <f>'Option Costs-HB3646'!W73</f>
        <v>#DIV/0!</v>
      </c>
      <c r="D133" s="1085"/>
      <c r="E133" s="1085" t="e">
        <f>'Option Costs-HB3646'!Y73</f>
        <v>#DIV/0!</v>
      </c>
    </row>
    <row r="134" spans="1:7" ht="15">
      <c r="A134" s="1079" t="s">
        <v>3151</v>
      </c>
      <c r="B134" s="1080" t="s">
        <v>3841</v>
      </c>
      <c r="C134" s="1085" t="e">
        <f>'Option Costs-HB3646'!W72</f>
        <v>#DIV/0!</v>
      </c>
      <c r="D134" s="1085"/>
      <c r="E134" s="1085" t="e">
        <f>'Option Costs-HB3646'!Y72</f>
        <v>#DIV/0!</v>
      </c>
    </row>
    <row r="135" spans="1:7" ht="15">
      <c r="A135" s="1079" t="s">
        <v>3152</v>
      </c>
      <c r="B135" s="1080" t="s">
        <v>3849</v>
      </c>
      <c r="C135" s="1085" t="e">
        <f>'Option Costs-HB3646'!W83</f>
        <v>#DIV/0!</v>
      </c>
      <c r="D135" s="1085"/>
      <c r="E135" s="1085">
        <f>'Option Costs-HB3646'!Y83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Costs-HB3646'!W83</f>
        <v>#DIV/0!</v>
      </c>
      <c r="D138" s="1085"/>
      <c r="E138" s="1085">
        <f>'Option Costs-HB3646'!Y83</f>
        <v>0</v>
      </c>
    </row>
    <row r="139" spans="1:7" ht="15.75">
      <c r="A139" s="1298" t="s">
        <v>3311</v>
      </c>
      <c r="B139" s="1290"/>
      <c r="C139" s="1290"/>
      <c r="D139" s="1290"/>
      <c r="E139" s="1291"/>
    </row>
    <row r="140" spans="1:7" ht="15">
      <c r="A140" s="1079" t="s">
        <v>3156</v>
      </c>
      <c r="B140" s="1080" t="s">
        <v>3312</v>
      </c>
      <c r="C140" s="1085" t="e">
        <f>'Option Costs-HB3646'!W79</f>
        <v>#DIV/0!</v>
      </c>
      <c r="D140" s="1085"/>
      <c r="E140" s="1085" t="e">
        <f>'Option Costs-HB3646'!Y79</f>
        <v>#DIV/0!</v>
      </c>
    </row>
    <row r="141" spans="1:7" ht="15.75">
      <c r="A141" s="1079" t="s">
        <v>3157</v>
      </c>
      <c r="B141" s="1078" t="s">
        <v>3313</v>
      </c>
      <c r="C141" s="1090" t="e">
        <f>'Option Costs-HB3646'!W85</f>
        <v>#DIV/0!</v>
      </c>
      <c r="D141" s="1090"/>
      <c r="E141" s="1090" t="e">
        <f>'Option Costs-HB3646'!Y85</f>
        <v>#DIV/0!</v>
      </c>
      <c r="F141" s="1317" t="s">
        <v>3445</v>
      </c>
      <c r="G141" s="1318" t="str">
        <f>'Data Entry - SOF'!G98</f>
        <v>Y</v>
      </c>
    </row>
    <row r="142" spans="1:7" ht="15.75">
      <c r="A142" s="1079" t="s">
        <v>3158</v>
      </c>
      <c r="B142" s="1078" t="s">
        <v>3314</v>
      </c>
      <c r="C142" s="1090" t="e">
        <f>'Option Costs-HB3646'!W86</f>
        <v>#DIV/0!</v>
      </c>
      <c r="D142" s="1090"/>
      <c r="E142" s="1090" t="e">
        <f>'Option Costs-HB3646'!Y86</f>
        <v>#DIV/0!</v>
      </c>
    </row>
    <row r="143" spans="1:7" ht="15.75">
      <c r="A143" s="1366" t="s">
        <v>3315</v>
      </c>
      <c r="B143" s="1290"/>
      <c r="C143" s="1290"/>
      <c r="D143" s="1290"/>
      <c r="E143" s="1291"/>
    </row>
    <row r="144" spans="1:7" ht="15">
      <c r="A144" s="1079" t="s">
        <v>3175</v>
      </c>
      <c r="B144" s="1080" t="s">
        <v>3850</v>
      </c>
      <c r="C144" s="1084" t="e">
        <f>'Calc Data-SB1'!E25</f>
        <v>#DIV/0!</v>
      </c>
      <c r="D144" s="1084"/>
      <c r="E144" s="1084" t="e">
        <f>'Calc Data-SB1'!E25</f>
        <v>#DIV/0!</v>
      </c>
    </row>
    <row r="145" spans="1:5" ht="15">
      <c r="A145" s="1079" t="s">
        <v>3176</v>
      </c>
      <c r="B145" s="1080" t="s">
        <v>3851</v>
      </c>
      <c r="C145" s="1083">
        <f>'Data Entry - SOF'!G90</f>
        <v>0</v>
      </c>
      <c r="D145" s="1083"/>
      <c r="E145" s="1083">
        <f>'Data Entry - SOF'!G90</f>
        <v>0</v>
      </c>
    </row>
    <row r="146" spans="1:5" ht="15">
      <c r="A146" s="1079" t="s">
        <v>3177</v>
      </c>
      <c r="B146" s="1080" t="s">
        <v>3852</v>
      </c>
      <c r="C146" s="1083">
        <f>'Data Entry - SOF'!G89</f>
        <v>0</v>
      </c>
      <c r="D146" s="1083"/>
      <c r="E146" s="1083">
        <f>'Data Entry - SOF'!G89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3851</v>
      </c>
      <c r="C149" s="1083">
        <f>'Data Entry - SOF'!G90</f>
        <v>0</v>
      </c>
      <c r="D149" s="1080"/>
      <c r="E149" s="1083">
        <f>'Data Entry - SOF'!G90</f>
        <v>0</v>
      </c>
    </row>
    <row r="150" spans="1:5" ht="15">
      <c r="A150" s="1079" t="s">
        <v>3179</v>
      </c>
      <c r="B150" s="1080" t="s">
        <v>3317</v>
      </c>
      <c r="C150" s="1084">
        <f>'Ch41 Calc Data'!M15</f>
        <v>0</v>
      </c>
      <c r="D150" s="1084"/>
      <c r="E150" s="1084">
        <f>'Ch41 Calc Data'!M15</f>
        <v>0</v>
      </c>
    </row>
    <row r="151" spans="1:5" ht="15">
      <c r="A151" s="1079" t="s">
        <v>3180</v>
      </c>
      <c r="B151" s="1080" t="s">
        <v>3318</v>
      </c>
      <c r="C151" s="1084">
        <f>'Ch41 Calc Data'!M16</f>
        <v>0</v>
      </c>
      <c r="D151" s="1084"/>
      <c r="E151" s="1084">
        <f>'Ch41 Calc Data'!M16</f>
        <v>0</v>
      </c>
    </row>
    <row r="152" spans="1:5" ht="15.75">
      <c r="A152" s="1327" t="s">
        <v>3319</v>
      </c>
      <c r="B152" s="1290"/>
      <c r="C152" s="1290"/>
      <c r="D152" s="1290"/>
      <c r="E152" s="1291"/>
    </row>
    <row r="153" spans="1:5" ht="15">
      <c r="A153" s="1079" t="s">
        <v>3320</v>
      </c>
      <c r="B153" s="1080" t="s">
        <v>3853</v>
      </c>
      <c r="C153" s="1084" t="e">
        <f>'Ch41 Calc Data'!M17</f>
        <v>#DIV/0!</v>
      </c>
      <c r="D153" s="1084"/>
      <c r="E153" s="1084" t="e">
        <f>'Ch41 Calc Data'!M17</f>
        <v>#DIV/0!</v>
      </c>
    </row>
    <row r="154" spans="1:5" s="1076" customFormat="1" ht="15">
      <c r="B154" s="1733" t="s">
        <v>4453</v>
      </c>
      <c r="C154" s="1194" t="s">
        <v>3902</v>
      </c>
    </row>
    <row r="155" spans="1:5" s="1076" customFormat="1" ht="15">
      <c r="B155" s="1733" t="s">
        <v>4457</v>
      </c>
      <c r="C155" s="1194" t="s">
        <v>3869</v>
      </c>
    </row>
  </sheetData>
  <sheetProtection sheet="1" objects="1" scenarios="1"/>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'Report-Recapture1819'!E1</f>
        <v>84th/85th Legislative Session</v>
      </c>
    </row>
    <row r="2" spans="1:5">
      <c r="A2" s="89" t="s">
        <v>4452</v>
      </c>
      <c r="E2" s="98" t="str">
        <f>'Report-Recapture1819'!E2</f>
        <v>Release 2</v>
      </c>
    </row>
    <row r="3" spans="1:5">
      <c r="A3" s="89"/>
      <c r="E3" s="82">
        <f>'Report-Recapture1819'!E3</f>
        <v>43145</v>
      </c>
    </row>
    <row r="4" spans="1:5" ht="15.75">
      <c r="A4" s="1075" t="s">
        <v>3958</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3959</v>
      </c>
      <c r="C15" s="1124" t="e">
        <f>'Option Costs-HB3646'!AA70</f>
        <v>#DIV/0!</v>
      </c>
      <c r="D15" s="1124"/>
      <c r="E15" s="1124" t="e">
        <f>C15</f>
        <v>#DIV/0!</v>
      </c>
    </row>
    <row r="16" spans="1:5" s="1076" customFormat="1" ht="15">
      <c r="A16" s="1079" t="s">
        <v>1027</v>
      </c>
      <c r="B16" s="1080" t="s">
        <v>3960</v>
      </c>
      <c r="C16" s="1125">
        <f>'Data Entry - SOF'!I58</f>
        <v>0</v>
      </c>
      <c r="D16" s="1125"/>
      <c r="E16" s="1125">
        <f t="shared" ref="E16:E23" si="0">C16</f>
        <v>0</v>
      </c>
    </row>
    <row r="17" spans="1:5" s="1076" customFormat="1" ht="15">
      <c r="A17" s="1079" t="s">
        <v>3278</v>
      </c>
      <c r="B17" s="1080" t="s">
        <v>3961</v>
      </c>
      <c r="C17" s="1125" t="e">
        <f>IF(FracFunding1920!E24&lt;=0,FracFunding1920!C5,FracFunding1920!D5)</f>
        <v>#DIV/0!</v>
      </c>
      <c r="D17" s="1125"/>
      <c r="E17" s="1125" t="e">
        <f t="shared" si="0"/>
        <v>#DIV/0!</v>
      </c>
    </row>
    <row r="18" spans="1:5" s="1076" customFormat="1" ht="15">
      <c r="A18" s="1079" t="s">
        <v>1028</v>
      </c>
      <c r="B18" s="1080" t="s">
        <v>3962</v>
      </c>
      <c r="C18" s="1084" t="e">
        <f>'Ch41 Calc Data'!N17</f>
        <v>#DIV/0!</v>
      </c>
      <c r="D18" s="1084"/>
      <c r="E18" s="1084" t="e">
        <f t="shared" si="0"/>
        <v>#DIV/0!</v>
      </c>
    </row>
    <row r="19" spans="1:5" s="1076" customFormat="1" ht="15">
      <c r="A19" s="1079" t="s">
        <v>1029</v>
      </c>
      <c r="B19" s="1080" t="s">
        <v>7395</v>
      </c>
      <c r="C19" s="1085">
        <f>'Data Entry - SOF'!I52</f>
        <v>0</v>
      </c>
      <c r="D19" s="1080"/>
      <c r="E19" s="1124">
        <f t="shared" si="0"/>
        <v>0</v>
      </c>
    </row>
    <row r="20" spans="1:5" s="1076" customFormat="1" ht="15">
      <c r="A20" s="1079" t="s">
        <v>139</v>
      </c>
      <c r="B20" s="1080" t="s">
        <v>3963</v>
      </c>
      <c r="C20" s="1085">
        <f>'Report-SOF1920'!D68</f>
        <v>0</v>
      </c>
      <c r="D20" s="1080"/>
      <c r="E20" s="1124">
        <f t="shared" si="0"/>
        <v>0</v>
      </c>
    </row>
    <row r="21" spans="1:5" s="1076" customFormat="1" ht="15">
      <c r="A21" s="1079" t="s">
        <v>140</v>
      </c>
      <c r="B21" s="1080" t="s">
        <v>3279</v>
      </c>
      <c r="C21" s="1083">
        <f>'Data Entry - SOF'!I94</f>
        <v>0</v>
      </c>
      <c r="D21" s="1083"/>
      <c r="E21" s="1083">
        <f t="shared" si="0"/>
        <v>0</v>
      </c>
    </row>
    <row r="22" spans="1:5" s="1076" customFormat="1" ht="15">
      <c r="A22" s="1079" t="s">
        <v>141</v>
      </c>
      <c r="B22" s="1080" t="s">
        <v>3280</v>
      </c>
      <c r="C22" s="1124">
        <f>'Data Entry - SOF'!I95</f>
        <v>0</v>
      </c>
      <c r="D22" s="1080"/>
      <c r="E22" s="1124">
        <f t="shared" si="0"/>
        <v>0</v>
      </c>
    </row>
    <row r="23" spans="1:5" s="1076" customFormat="1" ht="15">
      <c r="A23" s="1079" t="s">
        <v>142</v>
      </c>
      <c r="B23" s="1080" t="s">
        <v>2035</v>
      </c>
      <c r="C23" s="1126">
        <f>'Report-SOF1920'!D51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Costs-HB3646'!AA13</f>
        <v>0</v>
      </c>
      <c r="D26" s="1085"/>
      <c r="E26" s="1085">
        <f t="shared" ref="E26:E31" si="1">C26</f>
        <v>0</v>
      </c>
    </row>
    <row r="27" spans="1:5" s="1076" customFormat="1" ht="15">
      <c r="A27" s="1079" t="s">
        <v>6</v>
      </c>
      <c r="B27" s="1080" t="s">
        <v>3321</v>
      </c>
      <c r="C27" s="1084">
        <f>'Option Costs-HB3646'!AA16</f>
        <v>0</v>
      </c>
      <c r="D27" s="1084"/>
      <c r="E27" s="1084">
        <f t="shared" si="1"/>
        <v>0</v>
      </c>
    </row>
    <row r="28" spans="1:5" s="1076" customFormat="1" ht="15">
      <c r="A28" s="1079" t="s">
        <v>2551</v>
      </c>
      <c r="B28" s="1080" t="s">
        <v>3287</v>
      </c>
      <c r="C28" s="1085">
        <f>'Option Costs-HB3646'!AA17</f>
        <v>0</v>
      </c>
      <c r="D28" s="1085"/>
      <c r="E28" s="1085">
        <f t="shared" si="1"/>
        <v>0</v>
      </c>
    </row>
    <row r="29" spans="1:5" s="1076" customFormat="1" ht="15">
      <c r="A29" s="1079" t="s">
        <v>2552</v>
      </c>
      <c r="B29" s="1080" t="s">
        <v>3288</v>
      </c>
      <c r="C29" s="1085">
        <f>'Option Costs-HB3646'!AA19</f>
        <v>0</v>
      </c>
      <c r="D29" s="1085"/>
      <c r="E29" s="1085">
        <f t="shared" si="1"/>
        <v>0</v>
      </c>
    </row>
    <row r="30" spans="1:5" s="1076" customFormat="1" ht="15">
      <c r="A30" s="1079" t="s">
        <v>3122</v>
      </c>
      <c r="B30" s="1080" t="s">
        <v>3289</v>
      </c>
      <c r="C30" s="1084">
        <f>'Option Costs-HB3646'!AA20</f>
        <v>0</v>
      </c>
      <c r="D30" s="1084"/>
      <c r="E30" s="1084">
        <f t="shared" si="1"/>
        <v>0</v>
      </c>
    </row>
    <row r="31" spans="1:5" s="1076" customFormat="1" ht="15">
      <c r="A31" s="1079" t="s">
        <v>3123</v>
      </c>
      <c r="B31" s="1080" t="s">
        <v>3964</v>
      </c>
      <c r="C31" s="1084">
        <f>'Option Costs-HB3646'!AA21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Costs-HB3646'!AA24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Costs-HB3646'!AA27</f>
        <v>0</v>
      </c>
      <c r="D35" s="1085"/>
      <c r="E35" s="1127" t="s">
        <v>1994</v>
      </c>
    </row>
    <row r="36" spans="1:5" s="1076" customFormat="1" ht="15">
      <c r="A36" s="1095" t="s">
        <v>3128</v>
      </c>
      <c r="B36" s="1080" t="s">
        <v>3293</v>
      </c>
      <c r="C36" s="1085" t="e">
        <f>'Option Costs-HB3646'!AA28</f>
        <v>#DIV/0!</v>
      </c>
      <c r="D36" s="1085"/>
      <c r="E36" s="1127" t="s">
        <v>1994</v>
      </c>
    </row>
    <row r="37" spans="1:5" s="1076" customFormat="1" ht="15">
      <c r="A37" s="1095" t="s">
        <v>3129</v>
      </c>
      <c r="B37" s="1080" t="s">
        <v>3294</v>
      </c>
      <c r="C37" s="1085" t="e">
        <f>'Option Costs-HB3646'!AA29</f>
        <v>#DIV/0!</v>
      </c>
      <c r="D37" s="1085"/>
      <c r="E37" s="1127" t="s">
        <v>1994</v>
      </c>
    </row>
    <row r="38" spans="1:5" s="1076" customFormat="1" ht="15">
      <c r="A38" s="1095" t="s">
        <v>3131</v>
      </c>
      <c r="B38" s="1080" t="s">
        <v>3295</v>
      </c>
      <c r="C38" s="1085" t="e">
        <f>'Option Costs-HB3646'!AA30</f>
        <v>#DIV/0!</v>
      </c>
      <c r="D38" s="1085"/>
      <c r="E38" s="1127" t="s">
        <v>1994</v>
      </c>
    </row>
    <row r="39" spans="1:5" s="1076" customFormat="1" ht="15">
      <c r="A39" s="1095" t="s">
        <v>3132</v>
      </c>
      <c r="B39" s="1080" t="s">
        <v>3296</v>
      </c>
      <c r="C39" s="1085" t="e">
        <f>'Option Costs-HB3646'!AA64</f>
        <v>#DIV/0!</v>
      </c>
      <c r="D39" s="1085"/>
      <c r="E39" s="1085" t="e">
        <f>'Option Costs-HB3646'!AC64</f>
        <v>#DIV/0!</v>
      </c>
    </row>
    <row r="40" spans="1:5" s="1076" customFormat="1" ht="15">
      <c r="A40" s="1095" t="s">
        <v>3133</v>
      </c>
      <c r="B40" s="1080" t="s">
        <v>3297</v>
      </c>
      <c r="C40" s="1085" t="e">
        <f>'Option Costs-HB3646'!AA65</f>
        <v>#DIV/0!</v>
      </c>
      <c r="D40" s="1085"/>
      <c r="E40" s="1085" t="e">
        <f>'Option Costs-HB3646'!AC65</f>
        <v>#DIV/0!</v>
      </c>
    </row>
    <row r="41" spans="1:5" s="1076" customFormat="1" ht="15">
      <c r="A41" s="1095" t="s">
        <v>3134</v>
      </c>
      <c r="B41" s="1080" t="s">
        <v>3298</v>
      </c>
      <c r="C41" s="1084" t="e">
        <f>'Option Costs-HB3646'!AA66</f>
        <v>#DIV/0!</v>
      </c>
      <c r="D41" s="1084"/>
      <c r="E41" s="1084" t="e">
        <f>'Option Costs-HB3646'!AC66</f>
        <v>#DIV/0!</v>
      </c>
    </row>
    <row r="42" spans="1:5" s="1076" customFormat="1" ht="15.75">
      <c r="A42" s="1366" t="s">
        <v>3299</v>
      </c>
      <c r="B42" s="1290"/>
      <c r="C42" s="1290"/>
      <c r="D42" s="1290"/>
      <c r="E42" s="1291"/>
    </row>
    <row r="43" spans="1:5" s="1076" customFormat="1" ht="15">
      <c r="A43" s="1079" t="s">
        <v>3135</v>
      </c>
      <c r="B43" s="1080" t="s">
        <v>3300</v>
      </c>
      <c r="C43" s="1085" t="e">
        <f>'Option Costs-HB3646'!AA73</f>
        <v>#DIV/0!</v>
      </c>
      <c r="D43" s="1080"/>
      <c r="E43" s="1085" t="e">
        <f>'Option Costs-HB3646'!AC73</f>
        <v>#DIV/0!</v>
      </c>
    </row>
    <row r="44" spans="1:5" s="1076" customFormat="1" ht="15">
      <c r="A44" s="1079" t="s">
        <v>3140</v>
      </c>
      <c r="B44" s="1080" t="s">
        <v>3301</v>
      </c>
      <c r="C44" s="1084" t="e">
        <f>'Option Costs-HB3646'!AA74</f>
        <v>#DIV/0!</v>
      </c>
      <c r="D44" s="1084"/>
      <c r="E44" s="1084" t="e">
        <f>'Option Costs-HB3646'!AC74</f>
        <v>#DIV/0!</v>
      </c>
    </row>
    <row r="45" spans="1:5" s="1076" customFormat="1" ht="15">
      <c r="A45" s="1079" t="s">
        <v>3141</v>
      </c>
      <c r="B45" s="1080" t="s">
        <v>7904</v>
      </c>
      <c r="C45" s="1085" t="e">
        <f>'Option Costs-HB3646'!AA75</f>
        <v>#DIV/0!</v>
      </c>
      <c r="D45" s="1085"/>
      <c r="E45" s="1085" t="e">
        <f>'Option Costs-HB3646'!AC75</f>
        <v>#DIV/0!</v>
      </c>
    </row>
    <row r="46" spans="1:5" s="1076" customFormat="1" ht="15">
      <c r="A46" s="1079" t="s">
        <v>3142</v>
      </c>
      <c r="B46" s="1080" t="s">
        <v>3302</v>
      </c>
      <c r="C46" s="1084" t="e">
        <f>'Option Costs-HB3646'!AA76</f>
        <v>#DIV/0!</v>
      </c>
      <c r="D46" s="1084"/>
      <c r="E46" s="1084" t="e">
        <f>'Option Costs-HB3646'!AC76</f>
        <v>#DIV/0!</v>
      </c>
    </row>
    <row r="47" spans="1:5" s="1076" customFormat="1" ht="15">
      <c r="A47" s="1079" t="s">
        <v>3143</v>
      </c>
      <c r="B47" s="1080" t="s">
        <v>3303</v>
      </c>
      <c r="C47" s="1084">
        <f>'Option Costs-HB3646'!AA77</f>
        <v>0</v>
      </c>
      <c r="D47" s="1084"/>
      <c r="E47" s="1084">
        <f>'Option Costs-HB3646'!AC77</f>
        <v>0</v>
      </c>
    </row>
    <row r="48" spans="1:5" s="1076" customFormat="1" ht="15">
      <c r="A48" s="1079" t="s">
        <v>3144</v>
      </c>
      <c r="B48" s="1080" t="s">
        <v>3304</v>
      </c>
      <c r="C48" s="1084" t="e">
        <f>'Option Costs-HB3646'!AA78</f>
        <v>#DIV/0!</v>
      </c>
      <c r="D48" s="1084"/>
      <c r="E48" s="1084" t="e">
        <f>'Option Costs-HB3646'!AC78</f>
        <v>#DIV/0!</v>
      </c>
    </row>
    <row r="49" spans="1:5" s="1076" customFormat="1" ht="15">
      <c r="A49" s="1079" t="s">
        <v>3145</v>
      </c>
      <c r="B49" s="1080" t="s">
        <v>3305</v>
      </c>
      <c r="C49" s="1085" t="e">
        <f>'Option Costs-HB3646'!AA79</f>
        <v>#DIV/0!</v>
      </c>
      <c r="D49" s="1085"/>
      <c r="E49" s="1085" t="e">
        <f>'Option Costs-HB3646'!AC79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Costs-HB3646'!AA118</f>
        <v>#DIV/0!</v>
      </c>
      <c r="D52" s="1080"/>
      <c r="E52" s="1127" t="s">
        <v>1994</v>
      </c>
    </row>
    <row r="53" spans="1:5" s="1076" customFormat="1" ht="15">
      <c r="A53" s="1079" t="s">
        <v>3147</v>
      </c>
      <c r="B53" s="1080" t="s">
        <v>3372</v>
      </c>
      <c r="C53" s="1085" t="e">
        <f>'Option Costs-HB3646'!AA119</f>
        <v>#DIV/0!</v>
      </c>
      <c r="D53" s="1080"/>
      <c r="E53" s="1127" t="s">
        <v>1994</v>
      </c>
    </row>
    <row r="54" spans="1:5" s="1076" customFormat="1" ht="15">
      <c r="A54" s="1079" t="s">
        <v>3148</v>
      </c>
      <c r="B54" s="1080" t="s">
        <v>3307</v>
      </c>
      <c r="C54" s="1085" t="e">
        <f>'Option Costs-HB3646'!AA82</f>
        <v>#DIV/0!</v>
      </c>
      <c r="D54" s="1080"/>
      <c r="E54" s="1127" t="s">
        <v>1994</v>
      </c>
    </row>
    <row r="55" spans="1:5" s="1076" customFormat="1" ht="15.75">
      <c r="A55" s="1366" t="s">
        <v>3308</v>
      </c>
      <c r="B55" s="1290"/>
      <c r="C55" s="1290"/>
      <c r="D55" s="1290"/>
      <c r="E55" s="1291"/>
    </row>
    <row r="56" spans="1:5" s="1076" customFormat="1" ht="15">
      <c r="A56" s="1079" t="s">
        <v>3149</v>
      </c>
      <c r="B56" s="1080" t="s">
        <v>3965</v>
      </c>
      <c r="C56" s="1085">
        <f>'Data Entry - SOF'!I91</f>
        <v>0</v>
      </c>
      <c r="D56" s="1085"/>
      <c r="E56" s="1085">
        <f>'Data Entry - SOF'!I91</f>
        <v>0</v>
      </c>
    </row>
    <row r="57" spans="1:5" s="1076" customFormat="1" ht="15">
      <c r="A57" s="1079" t="s">
        <v>3150</v>
      </c>
      <c r="B57" s="1080" t="s">
        <v>3966</v>
      </c>
      <c r="C57" s="1085" t="e">
        <f>'Option Costs-HB3646'!AA73</f>
        <v>#DIV/0!</v>
      </c>
      <c r="D57" s="1085"/>
      <c r="E57" s="1085" t="e">
        <f>'Option Costs-HB3646'!AC73</f>
        <v>#DIV/0!</v>
      </c>
    </row>
    <row r="58" spans="1:5" s="1076" customFormat="1" ht="15">
      <c r="A58" s="1079" t="s">
        <v>3151</v>
      </c>
      <c r="B58" s="1080" t="s">
        <v>3959</v>
      </c>
      <c r="C58" s="1085" t="e">
        <f>'Option Costs-HB3646'!AA70</f>
        <v>#DIV/0!</v>
      </c>
      <c r="D58" s="1085"/>
      <c r="E58" s="1085" t="e">
        <f>'Option Costs-HB3646'!AC70</f>
        <v>#DIV/0!</v>
      </c>
    </row>
    <row r="59" spans="1:5" s="1076" customFormat="1" ht="15">
      <c r="A59" s="1079" t="s">
        <v>3152</v>
      </c>
      <c r="B59" s="1080" t="s">
        <v>3967</v>
      </c>
      <c r="C59" s="1085" t="e">
        <f>'Option Costs-HB3646'!AA83</f>
        <v>#DIV/0!</v>
      </c>
      <c r="D59" s="1085"/>
      <c r="E59" s="1085">
        <f>'Option Costs-HB3646'!AC83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Costs-HB3646'!AA83</f>
        <v>#DIV/0!</v>
      </c>
      <c r="D62" s="1085"/>
      <c r="E62" s="1085">
        <f>'Option Costs-HB3646'!AC83</f>
        <v>0</v>
      </c>
    </row>
    <row r="63" spans="1:5" s="1076" customFormat="1" ht="15.75">
      <c r="A63" s="1298" t="s">
        <v>3311</v>
      </c>
      <c r="B63" s="1290"/>
      <c r="C63" s="1290"/>
      <c r="D63" s="1290"/>
      <c r="E63" s="1291"/>
    </row>
    <row r="64" spans="1:5" s="1076" customFormat="1" ht="15">
      <c r="A64" s="1079" t="s">
        <v>3156</v>
      </c>
      <c r="B64" s="1080" t="s">
        <v>3312</v>
      </c>
      <c r="C64" s="1085" t="e">
        <f>'Option Costs-HB3646'!AA79</f>
        <v>#DIV/0!</v>
      </c>
      <c r="D64" s="1085"/>
      <c r="E64" s="1085" t="e">
        <f>'Option Costs-HB3646'!AC79</f>
        <v>#DIV/0!</v>
      </c>
    </row>
    <row r="65" spans="1:7" s="1076" customFormat="1" ht="15.75">
      <c r="A65" s="1079" t="s">
        <v>3157</v>
      </c>
      <c r="B65" s="1078" t="s">
        <v>3313</v>
      </c>
      <c r="C65" s="1090" t="e">
        <f>'Option Costs-HB3646'!AA85</f>
        <v>#DIV/0!</v>
      </c>
      <c r="D65" s="1085"/>
      <c r="E65" s="1090" t="e">
        <f>'Option Costs-HB3646'!AC85</f>
        <v>#DIV/0!</v>
      </c>
      <c r="F65" s="1317" t="s">
        <v>3445</v>
      </c>
      <c r="G65" s="1318" t="str">
        <f>'Data Entry - SOF'!I97</f>
        <v>Y</v>
      </c>
    </row>
    <row r="66" spans="1:7" s="1076" customFormat="1" ht="15.75">
      <c r="A66" s="1079" t="s">
        <v>3158</v>
      </c>
      <c r="B66" s="1078" t="s">
        <v>3314</v>
      </c>
      <c r="C66" s="1090" t="e">
        <f>'Option Costs-HB3646'!AA86</f>
        <v>#DIV/0!</v>
      </c>
      <c r="D66" s="1085"/>
      <c r="E66" s="1090" t="e">
        <f>'Option Costs-HB3646'!AC86</f>
        <v>#DIV/0!</v>
      </c>
      <c r="F66" s="961" t="s">
        <v>3473</v>
      </c>
    </row>
    <row r="67" spans="1:7" s="1076" customFormat="1" ht="15.75">
      <c r="A67" s="1366" t="s">
        <v>3315</v>
      </c>
      <c r="B67" s="1290"/>
      <c r="C67" s="1290"/>
      <c r="D67" s="1290"/>
      <c r="E67" s="1291"/>
      <c r="F67" s="961" t="s">
        <v>3474</v>
      </c>
    </row>
    <row r="68" spans="1:7" s="1076" customFormat="1" ht="15">
      <c r="A68" s="1079" t="s">
        <v>3175</v>
      </c>
      <c r="B68" s="1080" t="s">
        <v>3968</v>
      </c>
      <c r="C68" s="1084" t="e">
        <f>'Calc Data-SB1'!F25</f>
        <v>#DIV/0!</v>
      </c>
      <c r="D68" s="1084"/>
      <c r="E68" s="1084" t="e">
        <f>'Calc Data-SB1'!F25</f>
        <v>#DIV/0!</v>
      </c>
    </row>
    <row r="69" spans="1:7" s="1076" customFormat="1" ht="15">
      <c r="A69" s="1079" t="s">
        <v>3176</v>
      </c>
      <c r="B69" s="1080" t="s">
        <v>3969</v>
      </c>
      <c r="C69" s="1083">
        <f>'Data Entry - SOF'!I90</f>
        <v>0</v>
      </c>
      <c r="D69" s="1083"/>
      <c r="E69" s="1083">
        <f>'Data Entry - SOF'!I90</f>
        <v>0</v>
      </c>
    </row>
    <row r="70" spans="1:7" s="1076" customFormat="1" ht="15">
      <c r="A70" s="1079" t="s">
        <v>3177</v>
      </c>
      <c r="B70" s="1080" t="s">
        <v>3970</v>
      </c>
      <c r="C70" s="1083">
        <f>'Data Entry - SOF'!I89</f>
        <v>0</v>
      </c>
      <c r="D70" s="1083"/>
      <c r="E70" s="1083">
        <f>'Data Entry - SOF'!I89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3969</v>
      </c>
      <c r="C73" s="1083">
        <f>'Data Entry - SOF'!I90</f>
        <v>0</v>
      </c>
      <c r="D73" s="1080"/>
      <c r="E73" s="1083">
        <f>'Data Entry - SOF'!I90</f>
        <v>0</v>
      </c>
    </row>
    <row r="74" spans="1:7" s="1076" customFormat="1" ht="15">
      <c r="A74" s="1079" t="s">
        <v>3179</v>
      </c>
      <c r="B74" s="1080" t="s">
        <v>3317</v>
      </c>
      <c r="C74" s="1084">
        <f>'Ch41 Calc Data'!N15</f>
        <v>0</v>
      </c>
      <c r="D74" s="1084"/>
      <c r="E74" s="1084">
        <f>'Ch41 Calc Data'!N15</f>
        <v>0</v>
      </c>
    </row>
    <row r="75" spans="1:7" s="1076" customFormat="1" ht="15">
      <c r="A75" s="1079" t="s">
        <v>3180</v>
      </c>
      <c r="B75" s="1080" t="s">
        <v>3318</v>
      </c>
      <c r="C75" s="1084">
        <f>'Ch41 Calc Data'!N16</f>
        <v>0</v>
      </c>
      <c r="D75" s="1084"/>
      <c r="E75" s="1084">
        <f>'Ch41 Calc Data'!N16</f>
        <v>0</v>
      </c>
    </row>
    <row r="76" spans="1:7" s="1076" customFormat="1" ht="15.75">
      <c r="A76" s="1366" t="s">
        <v>3319</v>
      </c>
      <c r="B76" s="1290"/>
      <c r="C76" s="1290"/>
      <c r="D76" s="1290"/>
      <c r="E76" s="1291"/>
    </row>
    <row r="77" spans="1:7" s="1076" customFormat="1" ht="15">
      <c r="A77" s="1079" t="s">
        <v>3320</v>
      </c>
      <c r="B77" s="1080" t="s">
        <v>3971</v>
      </c>
      <c r="C77" s="1084" t="e">
        <f>'Ch41 Calc Data'!N17</f>
        <v>#DIV/0!</v>
      </c>
      <c r="D77" s="1084"/>
      <c r="E77" s="1084" t="e">
        <f>'Ch41 Calc Data'!N17</f>
        <v>#DIV/0!</v>
      </c>
    </row>
    <row r="78" spans="1:7" s="1076" customFormat="1" ht="15">
      <c r="B78" s="1733" t="s">
        <v>4453</v>
      </c>
      <c r="C78" s="1194" t="s">
        <v>3996</v>
      </c>
    </row>
    <row r="79" spans="1:7" s="1076" customFormat="1" ht="15">
      <c r="B79" s="1733" t="s">
        <v>4458</v>
      </c>
      <c r="C79" s="1194" t="s">
        <v>3981</v>
      </c>
    </row>
    <row r="80" spans="1:7" s="1076" customFormat="1" ht="15.75">
      <c r="A80" s="961" t="s">
        <v>3972</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3959</v>
      </c>
      <c r="C91" s="1124" t="e">
        <f>'Option Costs-HB3646'!AE71</f>
        <v>#DIV/0!</v>
      </c>
      <c r="D91" s="1124"/>
      <c r="E91" s="1124" t="e">
        <f t="shared" si="2"/>
        <v>#DIV/0!</v>
      </c>
    </row>
    <row r="92" spans="1:5" s="1076" customFormat="1" ht="15">
      <c r="A92" s="1079" t="s">
        <v>1027</v>
      </c>
      <c r="B92" s="1080" t="s">
        <v>3960</v>
      </c>
      <c r="C92" s="1125">
        <f>'Data Entry - SOF'!I58</f>
        <v>0</v>
      </c>
      <c r="D92" s="1125"/>
      <c r="E92" s="1125">
        <f t="shared" si="2"/>
        <v>0</v>
      </c>
    </row>
    <row r="93" spans="1:5" s="1076" customFormat="1" ht="15">
      <c r="A93" s="1079" t="s">
        <v>3278</v>
      </c>
      <c r="B93" s="1080" t="s">
        <v>3961</v>
      </c>
      <c r="C93" s="1125" t="e">
        <f>C17</f>
        <v>#DIV/0!</v>
      </c>
      <c r="D93" s="1125"/>
      <c r="E93" s="1125" t="e">
        <f t="shared" si="2"/>
        <v>#DIV/0!</v>
      </c>
    </row>
    <row r="94" spans="1:5" s="1076" customFormat="1" ht="15">
      <c r="A94" s="1079" t="s">
        <v>1028</v>
      </c>
      <c r="B94" s="1080" t="s">
        <v>3962</v>
      </c>
      <c r="C94" s="1084" t="e">
        <f>'Ch41 Calc Data'!N17</f>
        <v>#DIV/0!</v>
      </c>
      <c r="D94" s="1084"/>
      <c r="E94" s="1084" t="e">
        <f t="shared" si="2"/>
        <v>#DIV/0!</v>
      </c>
    </row>
    <row r="95" spans="1:5" s="1076" customFormat="1" ht="15">
      <c r="A95" s="1079" t="s">
        <v>1029</v>
      </c>
      <c r="B95" s="1080" t="s">
        <v>7395</v>
      </c>
      <c r="C95" s="1085">
        <f>C19</f>
        <v>0</v>
      </c>
      <c r="D95" s="1080"/>
      <c r="E95" s="1124">
        <f t="shared" si="2"/>
        <v>0</v>
      </c>
    </row>
    <row r="96" spans="1:5" s="1076" customFormat="1" ht="15">
      <c r="A96" s="1079" t="s">
        <v>139</v>
      </c>
      <c r="B96" s="1080" t="s">
        <v>3963</v>
      </c>
      <c r="C96" s="1085">
        <f>'Report-SOF1920'!D68</f>
        <v>0</v>
      </c>
      <c r="D96" s="1080"/>
      <c r="E96" s="1124">
        <f t="shared" si="2"/>
        <v>0</v>
      </c>
    </row>
    <row r="97" spans="1:5" s="1076" customFormat="1" ht="15">
      <c r="A97" s="1079" t="s">
        <v>140</v>
      </c>
      <c r="B97" s="1080" t="s">
        <v>3279</v>
      </c>
      <c r="C97" s="1083">
        <f>'Data Entry - SOF'!I94</f>
        <v>0</v>
      </c>
      <c r="D97" s="1083"/>
      <c r="E97" s="1083">
        <f t="shared" si="2"/>
        <v>0</v>
      </c>
    </row>
    <row r="98" spans="1:5" s="1076" customFormat="1" ht="15">
      <c r="A98" s="1079" t="s">
        <v>141</v>
      </c>
      <c r="B98" s="1080" t="s">
        <v>3280</v>
      </c>
      <c r="C98" s="1124">
        <f>'Data Entry - SOF'!I95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Costs-HB3646'!AE13</f>
        <v>0</v>
      </c>
      <c r="D102" s="1085"/>
      <c r="E102" s="1085">
        <f t="shared" ref="E102:E107" si="3">C102</f>
        <v>0</v>
      </c>
    </row>
    <row r="103" spans="1:5" s="1076" customFormat="1" ht="15">
      <c r="A103" s="1079" t="s">
        <v>6</v>
      </c>
      <c r="B103" s="1080" t="s">
        <v>3321</v>
      </c>
      <c r="C103" s="1084">
        <f>'Option Costs-HB3646'!AE16</f>
        <v>0</v>
      </c>
      <c r="D103" s="1084"/>
      <c r="E103" s="1084">
        <f t="shared" si="3"/>
        <v>0</v>
      </c>
    </row>
    <row r="104" spans="1:5" s="1076" customFormat="1" ht="15">
      <c r="A104" s="1079" t="s">
        <v>2551</v>
      </c>
      <c r="B104" s="1080" t="s">
        <v>3287</v>
      </c>
      <c r="C104" s="1085">
        <f>'Option Costs-HB3646'!AE17</f>
        <v>0</v>
      </c>
      <c r="D104" s="1085"/>
      <c r="E104" s="1085">
        <f t="shared" si="3"/>
        <v>0</v>
      </c>
    </row>
    <row r="105" spans="1:5" s="1076" customFormat="1" ht="15">
      <c r="A105" s="1079" t="s">
        <v>2552</v>
      </c>
      <c r="B105" s="1080" t="s">
        <v>3288</v>
      </c>
      <c r="C105" s="1085">
        <f>'Option Costs-HB3646'!AE19</f>
        <v>0</v>
      </c>
      <c r="D105" s="1085"/>
      <c r="E105" s="1085">
        <f t="shared" si="3"/>
        <v>0</v>
      </c>
    </row>
    <row r="106" spans="1:5" s="1076" customFormat="1" ht="15">
      <c r="A106" s="1079" t="s">
        <v>3122</v>
      </c>
      <c r="B106" s="1080" t="s">
        <v>3289</v>
      </c>
      <c r="C106" s="1084">
        <f>'Option Costs-HB3646'!AE20</f>
        <v>0</v>
      </c>
      <c r="D106" s="1084"/>
      <c r="E106" s="1084">
        <f t="shared" si="3"/>
        <v>0</v>
      </c>
    </row>
    <row r="107" spans="1:5" s="1076" customFormat="1" ht="15">
      <c r="A107" s="1079" t="s">
        <v>3123</v>
      </c>
      <c r="B107" s="1080" t="s">
        <v>3964</v>
      </c>
      <c r="C107" s="1084">
        <f>'Option Costs-HB3646'!AE21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Costs-HB3646'!AE24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Costs-HB3646'!AE27</f>
        <v>0</v>
      </c>
      <c r="D111" s="1085"/>
      <c r="E111" s="1127" t="s">
        <v>1994</v>
      </c>
    </row>
    <row r="112" spans="1:5" ht="15">
      <c r="A112" s="1095" t="s">
        <v>3128</v>
      </c>
      <c r="B112" s="1080" t="s">
        <v>3293</v>
      </c>
      <c r="C112" s="1085" t="e">
        <f>'Option Costs-HB3646'!AE28</f>
        <v>#DIV/0!</v>
      </c>
      <c r="D112" s="1085"/>
      <c r="E112" s="1127" t="s">
        <v>1994</v>
      </c>
    </row>
    <row r="113" spans="1:5" ht="15">
      <c r="A113" s="1095" t="s">
        <v>3129</v>
      </c>
      <c r="B113" s="1080" t="s">
        <v>3294</v>
      </c>
      <c r="C113" s="1085" t="e">
        <f>'Option Costs-HB3646'!AE29</f>
        <v>#DIV/0!</v>
      </c>
      <c r="D113" s="1085"/>
      <c r="E113" s="1127" t="s">
        <v>1994</v>
      </c>
    </row>
    <row r="114" spans="1:5" ht="15">
      <c r="A114" s="1095" t="s">
        <v>3131</v>
      </c>
      <c r="B114" s="1080" t="s">
        <v>3295</v>
      </c>
      <c r="C114" s="1085" t="e">
        <f>'Option Costs-HB3646'!AE30</f>
        <v>#DIV/0!</v>
      </c>
      <c r="D114" s="1085"/>
      <c r="E114" s="1127" t="s">
        <v>1994</v>
      </c>
    </row>
    <row r="115" spans="1:5" ht="15">
      <c r="A115" s="1095" t="s">
        <v>3132</v>
      </c>
      <c r="B115" s="1080" t="s">
        <v>3296</v>
      </c>
      <c r="C115" s="1085" t="e">
        <f>'Option Costs-HB3646'!AE64</f>
        <v>#DIV/0!</v>
      </c>
      <c r="D115" s="1085"/>
      <c r="E115" s="1085" t="e">
        <f>'Option Costs-HB3646'!AG64</f>
        <v>#DIV/0!</v>
      </c>
    </row>
    <row r="116" spans="1:5" ht="15">
      <c r="A116" s="1095" t="s">
        <v>3133</v>
      </c>
      <c r="B116" s="1080" t="s">
        <v>3297</v>
      </c>
      <c r="C116" s="1085" t="e">
        <f>'Option Costs-HB3646'!AE65</f>
        <v>#DIV/0!</v>
      </c>
      <c r="D116" s="1085"/>
      <c r="E116" s="1085" t="e">
        <f>'Option Costs-HB3646'!AG65</f>
        <v>#DIV/0!</v>
      </c>
    </row>
    <row r="117" spans="1:5" ht="15">
      <c r="A117" s="1095" t="s">
        <v>3134</v>
      </c>
      <c r="B117" s="1080" t="s">
        <v>3298</v>
      </c>
      <c r="C117" s="1084" t="e">
        <f>'Option Costs-HB3646'!AE66</f>
        <v>#DIV/0!</v>
      </c>
      <c r="D117" s="1084"/>
      <c r="E117" s="1084" t="e">
        <f>'Option Costs-HB3646'!AG66</f>
        <v>#DIV/0!</v>
      </c>
    </row>
    <row r="118" spans="1:5" ht="15.75">
      <c r="A118" s="1366" t="s">
        <v>3299</v>
      </c>
      <c r="B118" s="1290"/>
      <c r="C118" s="1290"/>
      <c r="D118" s="1290"/>
      <c r="E118" s="1291"/>
    </row>
    <row r="119" spans="1:5" ht="15">
      <c r="A119" s="1079" t="s">
        <v>3135</v>
      </c>
      <c r="B119" s="1080" t="s">
        <v>3300</v>
      </c>
      <c r="C119" s="1085" t="e">
        <f>'Option Costs-HB3646'!AE73</f>
        <v>#DIV/0!</v>
      </c>
      <c r="D119" s="1080"/>
      <c r="E119" s="1085" t="e">
        <f>'Option Costs-HB3646'!AG73</f>
        <v>#DIV/0!</v>
      </c>
    </row>
    <row r="120" spans="1:5" ht="15">
      <c r="A120" s="1079" t="s">
        <v>3140</v>
      </c>
      <c r="B120" s="1080" t="s">
        <v>3301</v>
      </c>
      <c r="C120" s="1084" t="e">
        <f>'Option Costs-HB3646'!AE74</f>
        <v>#DIV/0!</v>
      </c>
      <c r="D120" s="1084"/>
      <c r="E120" s="1084" t="e">
        <f>'Option Costs-HB3646'!AG74</f>
        <v>#DIV/0!</v>
      </c>
    </row>
    <row r="121" spans="1:5" ht="15">
      <c r="A121" s="1079" t="s">
        <v>3141</v>
      </c>
      <c r="B121" s="1080" t="s">
        <v>7904</v>
      </c>
      <c r="C121" s="1085" t="e">
        <f>'Option Costs-HB3646'!AE75</f>
        <v>#DIV/0!</v>
      </c>
      <c r="D121" s="1085"/>
      <c r="E121" s="1085" t="e">
        <f>'Option Costs-HB3646'!AG75</f>
        <v>#DIV/0!</v>
      </c>
    </row>
    <row r="122" spans="1:5" ht="15">
      <c r="A122" s="1079" t="s">
        <v>3142</v>
      </c>
      <c r="B122" s="1080" t="s">
        <v>3302</v>
      </c>
      <c r="C122" s="1084" t="e">
        <f>'Option Costs-HB3646'!AE76</f>
        <v>#DIV/0!</v>
      </c>
      <c r="D122" s="1084"/>
      <c r="E122" s="1084" t="e">
        <f>'Option Costs-HB3646'!AG76</f>
        <v>#DIV/0!</v>
      </c>
    </row>
    <row r="123" spans="1:5" ht="15">
      <c r="A123" s="1079" t="s">
        <v>3143</v>
      </c>
      <c r="B123" s="1080" t="s">
        <v>3303</v>
      </c>
      <c r="C123" s="1084">
        <f>'Option Costs-HB3646'!AE77</f>
        <v>0</v>
      </c>
      <c r="D123" s="1084"/>
      <c r="E123" s="1084">
        <f>'Option Costs-HB3646'!AG77</f>
        <v>0</v>
      </c>
    </row>
    <row r="124" spans="1:5" ht="15">
      <c r="A124" s="1079" t="s">
        <v>3144</v>
      </c>
      <c r="B124" s="1080" t="s">
        <v>3304</v>
      </c>
      <c r="C124" s="1084" t="e">
        <f>'Option Costs-HB3646'!AE78</f>
        <v>#DIV/0!</v>
      </c>
      <c r="D124" s="1084"/>
      <c r="E124" s="1084" t="e">
        <f>'Option Costs-HB3646'!AG78</f>
        <v>#DIV/0!</v>
      </c>
    </row>
    <row r="125" spans="1:5" ht="15">
      <c r="A125" s="1079" t="s">
        <v>3145</v>
      </c>
      <c r="B125" s="1080" t="s">
        <v>3305</v>
      </c>
      <c r="C125" s="1085" t="e">
        <f>'Option Costs-HB3646'!AE79</f>
        <v>#DIV/0!</v>
      </c>
      <c r="D125" s="1085"/>
      <c r="E125" s="1085" t="e">
        <f>'Option Costs-HB3646'!AG79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Costs-HB3646'!AE118</f>
        <v>#DIV/0!</v>
      </c>
      <c r="D128" s="1080"/>
      <c r="E128" s="1127" t="s">
        <v>1994</v>
      </c>
    </row>
    <row r="129" spans="1:7" ht="15">
      <c r="A129" s="1079" t="s">
        <v>3147</v>
      </c>
      <c r="B129" s="1080" t="s">
        <v>3372</v>
      </c>
      <c r="C129" s="1085" t="e">
        <f>'Option Costs-HB3646'!AE119</f>
        <v>#DIV/0!</v>
      </c>
      <c r="D129" s="1080"/>
      <c r="E129" s="1127" t="s">
        <v>1994</v>
      </c>
    </row>
    <row r="130" spans="1:7" ht="15">
      <c r="A130" s="1079" t="s">
        <v>3148</v>
      </c>
      <c r="B130" s="1080" t="s">
        <v>3307</v>
      </c>
      <c r="C130" s="1085" t="e">
        <f>'Option Costs-HB3646'!AE82</f>
        <v>#DIV/0!</v>
      </c>
      <c r="D130" s="1080"/>
      <c r="E130" s="1127" t="s">
        <v>1994</v>
      </c>
    </row>
    <row r="131" spans="1:7" ht="15.75">
      <c r="A131" s="1366" t="s">
        <v>3308</v>
      </c>
      <c r="B131" s="1290"/>
      <c r="C131" s="1290"/>
      <c r="D131" s="1290"/>
      <c r="E131" s="1291"/>
    </row>
    <row r="132" spans="1:7" ht="15">
      <c r="A132" s="1079" t="s">
        <v>3149</v>
      </c>
      <c r="B132" s="1080" t="s">
        <v>3965</v>
      </c>
      <c r="C132" s="1085">
        <f>'Data Entry - SOF'!I91</f>
        <v>0</v>
      </c>
      <c r="D132" s="1085"/>
      <c r="E132" s="1085">
        <f>'Data Entry - SOF'!I91</f>
        <v>0</v>
      </c>
    </row>
    <row r="133" spans="1:7" ht="15">
      <c r="A133" s="1079" t="s">
        <v>3150</v>
      </c>
      <c r="B133" s="1080" t="s">
        <v>3966</v>
      </c>
      <c r="C133" s="1085" t="e">
        <f>'Option Costs-HB3646'!AE73</f>
        <v>#DIV/0!</v>
      </c>
      <c r="D133" s="1085"/>
      <c r="E133" s="1085" t="e">
        <f>'Option Costs-HB3646'!AG73</f>
        <v>#DIV/0!</v>
      </c>
    </row>
    <row r="134" spans="1:7" ht="15">
      <c r="A134" s="1079" t="s">
        <v>3151</v>
      </c>
      <c r="B134" s="1080" t="s">
        <v>3959</v>
      </c>
      <c r="C134" s="1085" t="e">
        <f>'Option Costs-HB3646'!AE72</f>
        <v>#DIV/0!</v>
      </c>
      <c r="D134" s="1085"/>
      <c r="E134" s="1085" t="e">
        <f>'Option Costs-HB3646'!AG72</f>
        <v>#DIV/0!</v>
      </c>
    </row>
    <row r="135" spans="1:7" ht="15">
      <c r="A135" s="1079" t="s">
        <v>3152</v>
      </c>
      <c r="B135" s="1080" t="s">
        <v>3967</v>
      </c>
      <c r="C135" s="1085" t="e">
        <f>'Option Costs-HB3646'!AE83</f>
        <v>#DIV/0!</v>
      </c>
      <c r="D135" s="1085"/>
      <c r="E135" s="1085">
        <f>'Option Costs-HB3646'!AG83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Costs-HB3646'!AE83</f>
        <v>#DIV/0!</v>
      </c>
      <c r="D138" s="1085"/>
      <c r="E138" s="1085">
        <f>'Option Costs-HB3646'!AG83</f>
        <v>0</v>
      </c>
    </row>
    <row r="139" spans="1:7" ht="15.75">
      <c r="A139" s="1298" t="s">
        <v>3311</v>
      </c>
      <c r="B139" s="1290"/>
      <c r="C139" s="1290"/>
      <c r="D139" s="1290"/>
      <c r="E139" s="1291"/>
    </row>
    <row r="140" spans="1:7" ht="15">
      <c r="A140" s="1079" t="s">
        <v>3156</v>
      </c>
      <c r="B140" s="1080" t="s">
        <v>3312</v>
      </c>
      <c r="C140" s="1085" t="e">
        <f>'Option Costs-HB3646'!AE79</f>
        <v>#DIV/0!</v>
      </c>
      <c r="D140" s="1085"/>
      <c r="E140" s="1085" t="e">
        <f>'Option Costs-HB3646'!AG79</f>
        <v>#DIV/0!</v>
      </c>
    </row>
    <row r="141" spans="1:7" ht="15.75">
      <c r="A141" s="1079" t="s">
        <v>3157</v>
      </c>
      <c r="B141" s="1078" t="s">
        <v>3313</v>
      </c>
      <c r="C141" s="1090" t="e">
        <f>'Option Costs-HB3646'!AE85</f>
        <v>#DIV/0!</v>
      </c>
      <c r="D141" s="1090"/>
      <c r="E141" s="1090" t="e">
        <f>'Option Costs-HB3646'!AG85</f>
        <v>#DIV/0!</v>
      </c>
      <c r="F141" s="1317" t="s">
        <v>3445</v>
      </c>
      <c r="G141" s="1318" t="str">
        <f>'Data Entry - SOF'!I98</f>
        <v>Y</v>
      </c>
    </row>
    <row r="142" spans="1:7" ht="15.75">
      <c r="A142" s="1079" t="s">
        <v>3158</v>
      </c>
      <c r="B142" s="1078" t="s">
        <v>3314</v>
      </c>
      <c r="C142" s="1090" t="e">
        <f>'Option Costs-HB3646'!AE86</f>
        <v>#DIV/0!</v>
      </c>
      <c r="D142" s="1090"/>
      <c r="E142" s="1090" t="e">
        <f>'Option Costs-HB3646'!AG86</f>
        <v>#DIV/0!</v>
      </c>
    </row>
    <row r="143" spans="1:7" ht="15.75">
      <c r="A143" s="1366" t="s">
        <v>3315</v>
      </c>
      <c r="B143" s="1290"/>
      <c r="C143" s="1290"/>
      <c r="D143" s="1290"/>
      <c r="E143" s="1291"/>
    </row>
    <row r="144" spans="1:7" ht="15">
      <c r="A144" s="1079" t="s">
        <v>3175</v>
      </c>
      <c r="B144" s="1080" t="s">
        <v>3968</v>
      </c>
      <c r="C144" s="1084" t="e">
        <f>'Calc Data-SB1'!F25</f>
        <v>#DIV/0!</v>
      </c>
      <c r="D144" s="1084"/>
      <c r="E144" s="1084" t="e">
        <f>'Calc Data-SB1'!F25</f>
        <v>#DIV/0!</v>
      </c>
    </row>
    <row r="145" spans="1:5" ht="15">
      <c r="A145" s="1079" t="s">
        <v>3176</v>
      </c>
      <c r="B145" s="1080" t="s">
        <v>3969</v>
      </c>
      <c r="C145" s="1083">
        <f>'Data Entry - SOF'!I90</f>
        <v>0</v>
      </c>
      <c r="D145" s="1083"/>
      <c r="E145" s="1083">
        <f>'Data Entry - SOF'!J90</f>
        <v>0</v>
      </c>
    </row>
    <row r="146" spans="1:5" ht="15">
      <c r="A146" s="1079" t="s">
        <v>3177</v>
      </c>
      <c r="B146" s="1080" t="s">
        <v>3970</v>
      </c>
      <c r="C146" s="1083">
        <f>'Data Entry - SOF'!I89</f>
        <v>0</v>
      </c>
      <c r="D146" s="1083"/>
      <c r="E146" s="1083">
        <f>'Data Entry - SOF'!J89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3969</v>
      </c>
      <c r="C149" s="1083">
        <f>'Data Entry - SOF'!I90</f>
        <v>0</v>
      </c>
      <c r="D149" s="1080"/>
      <c r="E149" s="1083">
        <f>'Data Entry - SOF'!J90</f>
        <v>0</v>
      </c>
    </row>
    <row r="150" spans="1:5" ht="15">
      <c r="A150" s="1079" t="s">
        <v>3179</v>
      </c>
      <c r="B150" s="1080" t="s">
        <v>3317</v>
      </c>
      <c r="C150" s="1084">
        <f>'Ch41 Calc Data'!N15</f>
        <v>0</v>
      </c>
      <c r="D150" s="1084"/>
      <c r="E150" s="1084">
        <f>'Ch41 Calc Data'!N15</f>
        <v>0</v>
      </c>
    </row>
    <row r="151" spans="1:5" ht="15">
      <c r="A151" s="1079" t="s">
        <v>3180</v>
      </c>
      <c r="B151" s="1080" t="s">
        <v>3318</v>
      </c>
      <c r="C151" s="1084">
        <f>'Ch41 Calc Data'!N16</f>
        <v>0</v>
      </c>
      <c r="D151" s="1084"/>
      <c r="E151" s="1084">
        <f>'Ch41 Calc Data'!N16</f>
        <v>0</v>
      </c>
    </row>
    <row r="152" spans="1:5" ht="15.75">
      <c r="A152" s="1327" t="s">
        <v>3319</v>
      </c>
      <c r="B152" s="1290"/>
      <c r="C152" s="1290"/>
      <c r="D152" s="1290"/>
      <c r="E152" s="1291"/>
    </row>
    <row r="153" spans="1:5" ht="15">
      <c r="A153" s="1079" t="s">
        <v>3320</v>
      </c>
      <c r="B153" s="1080" t="s">
        <v>3971</v>
      </c>
      <c r="C153" s="1084" t="e">
        <f>'Ch41 Calc Data'!N17</f>
        <v>#DIV/0!</v>
      </c>
      <c r="D153" s="1084"/>
      <c r="E153" s="1084" t="e">
        <f>'Ch41 Calc Data'!N17</f>
        <v>#DIV/0!</v>
      </c>
    </row>
    <row r="154" spans="1:5" s="1076" customFormat="1" ht="15">
      <c r="B154" s="1733" t="s">
        <v>4453</v>
      </c>
      <c r="C154" s="1194" t="s">
        <v>3996</v>
      </c>
    </row>
    <row r="155" spans="1:5" s="1076" customFormat="1" ht="15">
      <c r="B155" s="1733" t="s">
        <v>4458</v>
      </c>
      <c r="C155" s="1194" t="s">
        <v>3981</v>
      </c>
    </row>
  </sheetData>
  <sheetProtection sheet="1" objects="1" scenarios="1"/>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2"/>
  <sheetViews>
    <sheetView workbookViewId="0">
      <selection activeCell="G6" sqref="G6"/>
    </sheetView>
  </sheetViews>
  <sheetFormatPr defaultRowHeight="12.75"/>
  <cols>
    <col min="2" max="2" width="31.85546875" customWidth="1"/>
    <col min="3" max="3" width="17.7109375" customWidth="1"/>
    <col min="4" max="4" width="16" customWidth="1"/>
    <col min="5" max="5" width="15.85546875" customWidth="1"/>
    <col min="6" max="7" width="16.28515625" customWidth="1"/>
    <col min="8" max="11" width="16.7109375" customWidth="1"/>
  </cols>
  <sheetData>
    <row r="3" spans="1:9">
      <c r="A3" t="s">
        <v>3465</v>
      </c>
    </row>
    <row r="4" spans="1:9">
      <c r="C4" s="72" t="s">
        <v>4432</v>
      </c>
      <c r="D4" s="72" t="s">
        <v>4433</v>
      </c>
      <c r="E4" s="72" t="s">
        <v>4434</v>
      </c>
      <c r="F4" s="72" t="s">
        <v>3613</v>
      </c>
      <c r="G4" s="72" t="s">
        <v>3673</v>
      </c>
      <c r="H4" s="72" t="s">
        <v>3830</v>
      </c>
      <c r="I4" s="72" t="s">
        <v>3903</v>
      </c>
    </row>
    <row r="5" spans="1:9">
      <c r="B5" t="s">
        <v>1697</v>
      </c>
      <c r="C5" s="121" t="e">
        <f>'ASATR-SB1'!#REF!</f>
        <v>#REF!</v>
      </c>
      <c r="D5" s="121" t="e">
        <f>'ASATR-SB1'!#REF!</f>
        <v>#REF!</v>
      </c>
      <c r="E5" s="121" t="e">
        <f>'ASATR-SB1'!#REF!</f>
        <v>#REF!</v>
      </c>
      <c r="F5" s="121" t="e">
        <f>'ASATR-SB1'!E20</f>
        <v>#DIV/0!</v>
      </c>
      <c r="G5" s="121" t="e">
        <f>'ASATR-SB1'!G20</f>
        <v>#DIV/0!</v>
      </c>
      <c r="H5" s="121" t="e">
        <f>'ASATR-SB1'!I20</f>
        <v>#DIV/0!</v>
      </c>
      <c r="I5" s="121" t="e">
        <f>'ASATR-SB1'!K20</f>
        <v>#DIV/0!</v>
      </c>
    </row>
    <row r="6" spans="1:9">
      <c r="B6" t="s">
        <v>24</v>
      </c>
      <c r="C6" s="121" t="e">
        <f>'ASATR-SB1'!#REF!</f>
        <v>#REF!</v>
      </c>
      <c r="D6" s="121" t="e">
        <f>'ASATR-SB1'!#REF!</f>
        <v>#REF!</v>
      </c>
      <c r="E6" s="121" t="e">
        <f>'ASATR-SB1'!#REF!</f>
        <v>#REF!</v>
      </c>
      <c r="F6" s="121" t="e">
        <f>'ASATR-SB1'!E30</f>
        <v>#DIV/0!</v>
      </c>
      <c r="G6" s="121" t="e">
        <f>'ASATR-SB1'!G30</f>
        <v>#DIV/0!</v>
      </c>
      <c r="H6" s="121" t="e">
        <f>'ASATR-SB1'!I30</f>
        <v>#DIV/0!</v>
      </c>
      <c r="I6" s="121" t="e">
        <f>'ASATR-SB1'!K30</f>
        <v>#DIV/0!</v>
      </c>
    </row>
    <row r="14" spans="1:9">
      <c r="A14" t="s">
        <v>112</v>
      </c>
    </row>
    <row r="15" spans="1:9">
      <c r="B15" t="s">
        <v>24</v>
      </c>
      <c r="C15" s="121" t="e">
        <f>'ASATR-SB1'!#REF!</f>
        <v>#REF!</v>
      </c>
    </row>
    <row r="16" spans="1:9">
      <c r="B16" t="s">
        <v>1698</v>
      </c>
      <c r="C16" s="5" t="e">
        <f>#REF!+'Calc Data-SB1'!#REF!</f>
        <v>#REF!</v>
      </c>
    </row>
    <row r="17" spans="1:3">
      <c r="B17" t="s">
        <v>3471</v>
      </c>
      <c r="C17" s="5" t="e">
        <f>#REF!+'Calc Data-SB1'!#REF!</f>
        <v>#REF!</v>
      </c>
    </row>
    <row r="18" spans="1:3">
      <c r="B18" t="s">
        <v>2793</v>
      </c>
      <c r="C18" s="5" t="e">
        <f>#REF!</f>
        <v>#REF!</v>
      </c>
    </row>
    <row r="23" spans="1:3">
      <c r="A23" t="s">
        <v>113</v>
      </c>
    </row>
    <row r="24" spans="1:3">
      <c r="B24" t="s">
        <v>24</v>
      </c>
      <c r="C24" s="121" t="e">
        <f>'ASATR-SB1'!#REF!</f>
        <v>#REF!</v>
      </c>
    </row>
    <row r="25" spans="1:3">
      <c r="B25" t="s">
        <v>1698</v>
      </c>
      <c r="C25" s="5" t="e">
        <f>#REF!+'Calc Data-SB1'!#REF!</f>
        <v>#REF!</v>
      </c>
    </row>
    <row r="26" spans="1:3">
      <c r="B26" t="s">
        <v>3471</v>
      </c>
      <c r="C26" s="5" t="e">
        <f>#REF!+'Calc Data-SB1'!#REF!</f>
        <v>#REF!</v>
      </c>
    </row>
    <row r="27" spans="1:3">
      <c r="B27" t="s">
        <v>2793</v>
      </c>
      <c r="C27" s="5" t="e">
        <f>#REF!</f>
        <v>#REF!</v>
      </c>
    </row>
    <row r="30" spans="1:3">
      <c r="A30" t="s">
        <v>111</v>
      </c>
    </row>
    <row r="31" spans="1:3">
      <c r="B31" t="s">
        <v>3466</v>
      </c>
      <c r="C31" s="1223">
        <v>3634</v>
      </c>
    </row>
    <row r="32" spans="1:3">
      <c r="B32" t="s">
        <v>3467</v>
      </c>
      <c r="C32" s="1223">
        <v>5206</v>
      </c>
    </row>
    <row r="33" spans="1:3">
      <c r="B33" t="s">
        <v>3470</v>
      </c>
      <c r="C33" s="1223" t="e">
        <f>#REF!</f>
        <v>#REF!</v>
      </c>
    </row>
    <row r="34" spans="1:3">
      <c r="B34" t="s">
        <v>3468</v>
      </c>
      <c r="C34" s="1223">
        <v>5339</v>
      </c>
    </row>
    <row r="35" spans="1:3">
      <c r="B35" t="s">
        <v>3469</v>
      </c>
      <c r="C35" s="1223">
        <v>12146</v>
      </c>
    </row>
    <row r="38" spans="1:3">
      <c r="A38" t="s">
        <v>23</v>
      </c>
    </row>
    <row r="39" spans="1:3">
      <c r="B39" t="s">
        <v>24</v>
      </c>
      <c r="C39" s="121" t="e">
        <f>'ASATR-SB1'!#REF!</f>
        <v>#REF!</v>
      </c>
    </row>
    <row r="40" spans="1:3">
      <c r="B40" t="s">
        <v>1698</v>
      </c>
      <c r="C40" s="5" t="e">
        <f>#REF!+'Calc Data-SB1'!#REF!</f>
        <v>#REF!</v>
      </c>
    </row>
    <row r="41" spans="1:3">
      <c r="B41" t="s">
        <v>3471</v>
      </c>
      <c r="C41" s="5" t="e">
        <f>#REF!+'Calc Data-SB1'!#REF!</f>
        <v>#REF!</v>
      </c>
    </row>
    <row r="42" spans="1:3">
      <c r="B42" t="s">
        <v>2793</v>
      </c>
      <c r="C42" s="5" t="e">
        <f>#REF!</f>
        <v>#REF!</v>
      </c>
    </row>
  </sheetData>
  <phoneticPr fontId="25" type="noConversion"/>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'Report-Recapture1819'!E1</f>
        <v>84th/85th Legislative Session</v>
      </c>
    </row>
    <row r="2" spans="1:5">
      <c r="A2" s="89" t="s">
        <v>4452</v>
      </c>
      <c r="E2" s="98" t="str">
        <f>'Report-Recapture1920'!E2</f>
        <v>Release 2</v>
      </c>
    </row>
    <row r="3" spans="1:5">
      <c r="A3" s="89"/>
      <c r="E3" s="82">
        <f>'Report-Recapture1920'!E3</f>
        <v>43145</v>
      </c>
    </row>
    <row r="4" spans="1:5" ht="15.75">
      <c r="A4" s="1075" t="s">
        <v>4648</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4649</v>
      </c>
      <c r="C15" s="1124" t="e">
        <f>'Option Costs-HB3646'!AI70</f>
        <v>#DIV/0!</v>
      </c>
      <c r="D15" s="1124"/>
      <c r="E15" s="1124" t="e">
        <f>C15</f>
        <v>#DIV/0!</v>
      </c>
    </row>
    <row r="16" spans="1:5" s="1076" customFormat="1" ht="15">
      <c r="A16" s="1079" t="s">
        <v>1027</v>
      </c>
      <c r="B16" s="1080" t="s">
        <v>4650</v>
      </c>
      <c r="C16" s="1125">
        <f>'Data Entry - SOF'!K58</f>
        <v>0</v>
      </c>
      <c r="D16" s="1125"/>
      <c r="E16" s="1125">
        <f t="shared" ref="E16:E23" si="0">C16</f>
        <v>0</v>
      </c>
    </row>
    <row r="17" spans="1:5" s="1076" customFormat="1" ht="15">
      <c r="A17" s="1079" t="s">
        <v>3278</v>
      </c>
      <c r="B17" s="1080" t="s">
        <v>4651</v>
      </c>
      <c r="C17" s="1125" t="e">
        <f>IF(FracFunding2021!E24&lt;=0,FracFunding2021!C5,FracFunding2021!D5)</f>
        <v>#DIV/0!</v>
      </c>
      <c r="D17" s="1125"/>
      <c r="E17" s="1125" t="e">
        <f t="shared" si="0"/>
        <v>#DIV/0!</v>
      </c>
    </row>
    <row r="18" spans="1:5" s="1076" customFormat="1" ht="15">
      <c r="A18" s="1079" t="s">
        <v>1028</v>
      </c>
      <c r="B18" s="1080" t="s">
        <v>4652</v>
      </c>
      <c r="C18" s="1084" t="e">
        <f>'Ch41 Calc Data'!O17</f>
        <v>#DIV/0!</v>
      </c>
      <c r="D18" s="1084"/>
      <c r="E18" s="1084" t="e">
        <f t="shared" si="0"/>
        <v>#DIV/0!</v>
      </c>
    </row>
    <row r="19" spans="1:5" s="1076" customFormat="1" ht="15">
      <c r="A19" s="1079" t="s">
        <v>1029</v>
      </c>
      <c r="B19" s="1080" t="s">
        <v>7396</v>
      </c>
      <c r="C19" s="1085">
        <f>'Data Entry - SOF'!K52</f>
        <v>0</v>
      </c>
      <c r="D19" s="1080"/>
      <c r="E19" s="1124">
        <f t="shared" si="0"/>
        <v>0</v>
      </c>
    </row>
    <row r="20" spans="1:5" s="1076" customFormat="1" ht="15">
      <c r="A20" s="1079" t="s">
        <v>139</v>
      </c>
      <c r="B20" s="1080" t="s">
        <v>4653</v>
      </c>
      <c r="C20" s="1085">
        <f>'Report-SOF2021'!D68</f>
        <v>0</v>
      </c>
      <c r="D20" s="1080"/>
      <c r="E20" s="1124">
        <f t="shared" si="0"/>
        <v>0</v>
      </c>
    </row>
    <row r="21" spans="1:5" s="1076" customFormat="1" ht="15">
      <c r="A21" s="1079" t="s">
        <v>140</v>
      </c>
      <c r="B21" s="1080" t="s">
        <v>3279</v>
      </c>
      <c r="C21" s="1083">
        <f>'Data Entry - SOF'!K94</f>
        <v>0</v>
      </c>
      <c r="D21" s="1083"/>
      <c r="E21" s="1083">
        <f t="shared" si="0"/>
        <v>0</v>
      </c>
    </row>
    <row r="22" spans="1:5" s="1076" customFormat="1" ht="15">
      <c r="A22" s="1079" t="s">
        <v>141</v>
      </c>
      <c r="B22" s="1080" t="s">
        <v>3280</v>
      </c>
      <c r="C22" s="1124">
        <f>'Data Entry - SOF'!K95</f>
        <v>0</v>
      </c>
      <c r="D22" s="1080"/>
      <c r="E22" s="1124">
        <f t="shared" si="0"/>
        <v>0</v>
      </c>
    </row>
    <row r="23" spans="1:5" s="1076" customFormat="1" ht="15">
      <c r="A23" s="1079" t="s">
        <v>142</v>
      </c>
      <c r="B23" s="1080" t="s">
        <v>2035</v>
      </c>
      <c r="C23" s="1126">
        <f>'Report-SOF2021'!D51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Costs-HB3646'!AI13</f>
        <v>0</v>
      </c>
      <c r="D26" s="1085"/>
      <c r="E26" s="1085">
        <f t="shared" ref="E26:E31" si="1">C26</f>
        <v>0</v>
      </c>
    </row>
    <row r="27" spans="1:5" s="1076" customFormat="1" ht="15">
      <c r="A27" s="1079" t="s">
        <v>6</v>
      </c>
      <c r="B27" s="1080" t="s">
        <v>3321</v>
      </c>
      <c r="C27" s="1084">
        <f>'Option Costs-HB3646'!AI16</f>
        <v>0</v>
      </c>
      <c r="D27" s="1084"/>
      <c r="E27" s="1084">
        <f t="shared" si="1"/>
        <v>0</v>
      </c>
    </row>
    <row r="28" spans="1:5" s="1076" customFormat="1" ht="15">
      <c r="A28" s="1079" t="s">
        <v>2551</v>
      </c>
      <c r="B28" s="1080" t="s">
        <v>3287</v>
      </c>
      <c r="C28" s="1085">
        <f>'Option Costs-HB3646'!AI17</f>
        <v>0</v>
      </c>
      <c r="D28" s="1085"/>
      <c r="E28" s="1085">
        <f t="shared" si="1"/>
        <v>0</v>
      </c>
    </row>
    <row r="29" spans="1:5" s="1076" customFormat="1" ht="15">
      <c r="A29" s="1079" t="s">
        <v>2552</v>
      </c>
      <c r="B29" s="1080" t="s">
        <v>3288</v>
      </c>
      <c r="C29" s="1085">
        <f>'Option Costs-HB3646'!AI19</f>
        <v>0</v>
      </c>
      <c r="D29" s="1085"/>
      <c r="E29" s="1085">
        <f t="shared" si="1"/>
        <v>0</v>
      </c>
    </row>
    <row r="30" spans="1:5" s="1076" customFormat="1" ht="15">
      <c r="A30" s="1079" t="s">
        <v>3122</v>
      </c>
      <c r="B30" s="1080" t="s">
        <v>3289</v>
      </c>
      <c r="C30" s="1084">
        <f>'Option Costs-HB3646'!AI20</f>
        <v>0</v>
      </c>
      <c r="D30" s="1084"/>
      <c r="E30" s="1084">
        <f t="shared" si="1"/>
        <v>0</v>
      </c>
    </row>
    <row r="31" spans="1:5" s="1076" customFormat="1" ht="15">
      <c r="A31" s="1079" t="s">
        <v>3123</v>
      </c>
      <c r="B31" s="1080" t="s">
        <v>4654</v>
      </c>
      <c r="C31" s="1084">
        <f>'Option Costs-HB3646'!AI21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Costs-HB3646'!AI24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Costs-HB3646'!AI27</f>
        <v>0</v>
      </c>
      <c r="D35" s="1085"/>
      <c r="E35" s="1127" t="s">
        <v>1994</v>
      </c>
    </row>
    <row r="36" spans="1:5" s="1076" customFormat="1" ht="15">
      <c r="A36" s="1095" t="s">
        <v>3128</v>
      </c>
      <c r="B36" s="1080" t="s">
        <v>3293</v>
      </c>
      <c r="C36" s="1085" t="e">
        <f>'Option Costs-HB3646'!AI28</f>
        <v>#DIV/0!</v>
      </c>
      <c r="D36" s="1085"/>
      <c r="E36" s="1127" t="s">
        <v>1994</v>
      </c>
    </row>
    <row r="37" spans="1:5" s="1076" customFormat="1" ht="15">
      <c r="A37" s="1095" t="s">
        <v>3129</v>
      </c>
      <c r="B37" s="1080" t="s">
        <v>3294</v>
      </c>
      <c r="C37" s="1085" t="e">
        <f>'Option Costs-HB3646'!AI29</f>
        <v>#DIV/0!</v>
      </c>
      <c r="D37" s="1085"/>
      <c r="E37" s="1127" t="s">
        <v>1994</v>
      </c>
    </row>
    <row r="38" spans="1:5" s="1076" customFormat="1" ht="15">
      <c r="A38" s="1095" t="s">
        <v>3131</v>
      </c>
      <c r="B38" s="1080" t="s">
        <v>3295</v>
      </c>
      <c r="C38" s="1085" t="e">
        <f>'Option Costs-HB3646'!AI30</f>
        <v>#DIV/0!</v>
      </c>
      <c r="D38" s="1085"/>
      <c r="E38" s="1127" t="s">
        <v>1994</v>
      </c>
    </row>
    <row r="39" spans="1:5" s="1076" customFormat="1" ht="15">
      <c r="A39" s="1095" t="s">
        <v>3132</v>
      </c>
      <c r="B39" s="1080" t="s">
        <v>3296</v>
      </c>
      <c r="C39" s="1085" t="e">
        <f>'Option Costs-HB3646'!AI64</f>
        <v>#DIV/0!</v>
      </c>
      <c r="D39" s="1085"/>
      <c r="E39" s="1085" t="e">
        <f>'Option Costs-HB3646'!AK64</f>
        <v>#DIV/0!</v>
      </c>
    </row>
    <row r="40" spans="1:5" s="1076" customFormat="1" ht="15">
      <c r="A40" s="1095" t="s">
        <v>3133</v>
      </c>
      <c r="B40" s="1080" t="s">
        <v>3297</v>
      </c>
      <c r="C40" s="1085" t="e">
        <f>'Option Costs-HB3646'!AI65</f>
        <v>#DIV/0!</v>
      </c>
      <c r="D40" s="1085"/>
      <c r="E40" s="1085" t="e">
        <f>'Option Costs-HB3646'!AK65</f>
        <v>#DIV/0!</v>
      </c>
    </row>
    <row r="41" spans="1:5" s="1076" customFormat="1" ht="15">
      <c r="A41" s="1095" t="s">
        <v>3134</v>
      </c>
      <c r="B41" s="1080" t="s">
        <v>3298</v>
      </c>
      <c r="C41" s="1084" t="e">
        <f>'Option Costs-HB3646'!AI66</f>
        <v>#DIV/0!</v>
      </c>
      <c r="D41" s="1084"/>
      <c r="E41" s="1084" t="e">
        <f>'Option Costs-HB3646'!AK66</f>
        <v>#DIV/0!</v>
      </c>
    </row>
    <row r="42" spans="1:5" s="1076" customFormat="1" ht="15.75">
      <c r="A42" s="1366" t="s">
        <v>3299</v>
      </c>
      <c r="B42" s="1290"/>
      <c r="C42" s="1290"/>
      <c r="D42" s="1290"/>
      <c r="E42" s="1291"/>
    </row>
    <row r="43" spans="1:5" s="1076" customFormat="1" ht="15">
      <c r="A43" s="1079" t="s">
        <v>3135</v>
      </c>
      <c r="B43" s="1080" t="s">
        <v>3300</v>
      </c>
      <c r="C43" s="1085" t="e">
        <f>'Option Costs-HB3646'!AI73</f>
        <v>#DIV/0!</v>
      </c>
      <c r="D43" s="1080"/>
      <c r="E43" s="1085" t="e">
        <f>'Option Costs-HB3646'!AK73</f>
        <v>#DIV/0!</v>
      </c>
    </row>
    <row r="44" spans="1:5" s="1076" customFormat="1" ht="15">
      <c r="A44" s="1079" t="s">
        <v>3140</v>
      </c>
      <c r="B44" s="1080" t="s">
        <v>3301</v>
      </c>
      <c r="C44" s="1084" t="e">
        <f>'Option Costs-HB3646'!AI74</f>
        <v>#DIV/0!</v>
      </c>
      <c r="D44" s="1084"/>
      <c r="E44" s="1084" t="e">
        <f>'Option Costs-HB3646'!AK74</f>
        <v>#DIV/0!</v>
      </c>
    </row>
    <row r="45" spans="1:5" s="1076" customFormat="1" ht="15">
      <c r="A45" s="1079" t="s">
        <v>3141</v>
      </c>
      <c r="B45" s="1080" t="s">
        <v>7904</v>
      </c>
      <c r="C45" s="1085" t="e">
        <f>'Option Costs-HB3646'!AI75</f>
        <v>#DIV/0!</v>
      </c>
      <c r="D45" s="1085"/>
      <c r="E45" s="1085" t="e">
        <f>'Option Costs-HB3646'!AK75</f>
        <v>#DIV/0!</v>
      </c>
    </row>
    <row r="46" spans="1:5" s="1076" customFormat="1" ht="15">
      <c r="A46" s="1079" t="s">
        <v>3142</v>
      </c>
      <c r="B46" s="1080" t="s">
        <v>3302</v>
      </c>
      <c r="C46" s="1084" t="e">
        <f>'Option Costs-HB3646'!AI76</f>
        <v>#DIV/0!</v>
      </c>
      <c r="D46" s="1084"/>
      <c r="E46" s="1084" t="e">
        <f>'Option Costs-HB3646'!AK76</f>
        <v>#DIV/0!</v>
      </c>
    </row>
    <row r="47" spans="1:5" s="1076" customFormat="1" ht="15">
      <c r="A47" s="1079" t="s">
        <v>3143</v>
      </c>
      <c r="B47" s="1080" t="s">
        <v>3303</v>
      </c>
      <c r="C47" s="1084">
        <f>'Option Costs-HB3646'!AI77</f>
        <v>0</v>
      </c>
      <c r="D47" s="1084"/>
      <c r="E47" s="1084">
        <f>'Option Costs-HB3646'!AK77</f>
        <v>0</v>
      </c>
    </row>
    <row r="48" spans="1:5" s="1076" customFormat="1" ht="15">
      <c r="A48" s="1079" t="s">
        <v>3144</v>
      </c>
      <c r="B48" s="1080" t="s">
        <v>3304</v>
      </c>
      <c r="C48" s="1084" t="e">
        <f>'Option Costs-HB3646'!AI78</f>
        <v>#DIV/0!</v>
      </c>
      <c r="D48" s="1084"/>
      <c r="E48" s="1084" t="e">
        <f>'Option Costs-HB3646'!AK78</f>
        <v>#DIV/0!</v>
      </c>
    </row>
    <row r="49" spans="1:5" s="1076" customFormat="1" ht="15">
      <c r="A49" s="1079" t="s">
        <v>3145</v>
      </c>
      <c r="B49" s="1080" t="s">
        <v>3305</v>
      </c>
      <c r="C49" s="1085" t="e">
        <f>'Option Costs-HB3646'!AI79</f>
        <v>#DIV/0!</v>
      </c>
      <c r="D49" s="1085"/>
      <c r="E49" s="1085" t="e">
        <f>'Option Costs-HB3646'!AK79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Costs-HB3646'!AI118</f>
        <v>#DIV/0!</v>
      </c>
      <c r="D52" s="1080"/>
      <c r="E52" s="1127" t="s">
        <v>1994</v>
      </c>
    </row>
    <row r="53" spans="1:5" s="1076" customFormat="1" ht="15">
      <c r="A53" s="1079" t="s">
        <v>3147</v>
      </c>
      <c r="B53" s="1080" t="s">
        <v>3372</v>
      </c>
      <c r="C53" s="1085" t="e">
        <f>'Option Costs-HB3646'!AI119</f>
        <v>#DIV/0!</v>
      </c>
      <c r="D53" s="1080"/>
      <c r="E53" s="1127" t="s">
        <v>1994</v>
      </c>
    </row>
    <row r="54" spans="1:5" s="1076" customFormat="1" ht="15">
      <c r="A54" s="1079" t="s">
        <v>3148</v>
      </c>
      <c r="B54" s="1080" t="s">
        <v>3307</v>
      </c>
      <c r="C54" s="1085" t="e">
        <f>'Option Costs-HB3646'!AI82</f>
        <v>#DIV/0!</v>
      </c>
      <c r="D54" s="1080"/>
      <c r="E54" s="1127" t="s">
        <v>1994</v>
      </c>
    </row>
    <row r="55" spans="1:5" s="1076" customFormat="1" ht="15.75">
      <c r="A55" s="1366" t="s">
        <v>3308</v>
      </c>
      <c r="B55" s="1290"/>
      <c r="C55" s="1290"/>
      <c r="D55" s="1290"/>
      <c r="E55" s="1291"/>
    </row>
    <row r="56" spans="1:5" s="1076" customFormat="1" ht="15">
      <c r="A56" s="1079" t="s">
        <v>3149</v>
      </c>
      <c r="B56" s="1080" t="s">
        <v>4655</v>
      </c>
      <c r="C56" s="1085">
        <f>'Data Entry - SOF'!K91</f>
        <v>0</v>
      </c>
      <c r="D56" s="1085"/>
      <c r="E56" s="1085">
        <f>'Data Entry - SOF'!K91</f>
        <v>0</v>
      </c>
    </row>
    <row r="57" spans="1:5" s="1076" customFormat="1" ht="15">
      <c r="A57" s="1079" t="s">
        <v>3150</v>
      </c>
      <c r="B57" s="1080" t="s">
        <v>4656</v>
      </c>
      <c r="C57" s="1085" t="e">
        <f>'Option Costs-HB3646'!AI73</f>
        <v>#DIV/0!</v>
      </c>
      <c r="D57" s="1085"/>
      <c r="E57" s="1085" t="e">
        <f>'Option Costs-HB3646'!AK73</f>
        <v>#DIV/0!</v>
      </c>
    </row>
    <row r="58" spans="1:5" s="1076" customFormat="1" ht="15">
      <c r="A58" s="1079" t="s">
        <v>3151</v>
      </c>
      <c r="B58" s="1080" t="s">
        <v>4649</v>
      </c>
      <c r="C58" s="1085" t="e">
        <f>'Option Costs-HB3646'!AI70</f>
        <v>#DIV/0!</v>
      </c>
      <c r="D58" s="1085"/>
      <c r="E58" s="1085" t="e">
        <f>'Option Costs-HB3646'!AK70</f>
        <v>#DIV/0!</v>
      </c>
    </row>
    <row r="59" spans="1:5" s="1076" customFormat="1" ht="15">
      <c r="A59" s="1079" t="s">
        <v>3152</v>
      </c>
      <c r="B59" s="1080" t="s">
        <v>4657</v>
      </c>
      <c r="C59" s="1085" t="e">
        <f>'Option Costs-HB3646'!AI83</f>
        <v>#DIV/0!</v>
      </c>
      <c r="D59" s="1085"/>
      <c r="E59" s="1085">
        <f>'Option Costs-HB3646'!AK83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Costs-HB3646'!AI83</f>
        <v>#DIV/0!</v>
      </c>
      <c r="D62" s="1085"/>
      <c r="E62" s="1085">
        <f>'Option Costs-HB3646'!AK83</f>
        <v>0</v>
      </c>
    </row>
    <row r="63" spans="1:5" s="1076" customFormat="1" ht="15.75">
      <c r="A63" s="1298" t="s">
        <v>3311</v>
      </c>
      <c r="B63" s="1290"/>
      <c r="C63" s="1290"/>
      <c r="D63" s="1290"/>
      <c r="E63" s="1291"/>
    </row>
    <row r="64" spans="1:5" s="1076" customFormat="1" ht="15">
      <c r="A64" s="1079" t="s">
        <v>3156</v>
      </c>
      <c r="B64" s="1080" t="s">
        <v>3312</v>
      </c>
      <c r="C64" s="1085" t="e">
        <f>'Option Costs-HB3646'!AI79</f>
        <v>#DIV/0!</v>
      </c>
      <c r="D64" s="1085"/>
      <c r="E64" s="1085" t="e">
        <f>'Option Costs-HB3646'!AK79</f>
        <v>#DIV/0!</v>
      </c>
    </row>
    <row r="65" spans="1:7" s="1076" customFormat="1" ht="15.75">
      <c r="A65" s="1079" t="s">
        <v>3157</v>
      </c>
      <c r="B65" s="1078" t="s">
        <v>3313</v>
      </c>
      <c r="C65" s="1090" t="e">
        <f>'Option Costs-HB3646'!AI85</f>
        <v>#DIV/0!</v>
      </c>
      <c r="D65" s="1085"/>
      <c r="E65" s="1090" t="e">
        <f>'Option Costs-HB3646'!AK85</f>
        <v>#DIV/0!</v>
      </c>
      <c r="F65" s="1317" t="s">
        <v>3445</v>
      </c>
      <c r="G65" s="1318" t="str">
        <f>'Data Entry - SOF'!K97</f>
        <v>Y</v>
      </c>
    </row>
    <row r="66" spans="1:7" s="1076" customFormat="1" ht="15.75">
      <c r="A66" s="1079" t="s">
        <v>3158</v>
      </c>
      <c r="B66" s="1078" t="s">
        <v>3314</v>
      </c>
      <c r="C66" s="1090" t="e">
        <f>'Option Costs-HB3646'!AI86</f>
        <v>#DIV/0!</v>
      </c>
      <c r="D66" s="1085"/>
      <c r="E66" s="1090" t="e">
        <f>'Option Costs-HB3646'!AK86</f>
        <v>#DIV/0!</v>
      </c>
      <c r="F66" s="961" t="s">
        <v>3473</v>
      </c>
    </row>
    <row r="67" spans="1:7" s="1076" customFormat="1" ht="15.75">
      <c r="A67" s="1366" t="s">
        <v>3315</v>
      </c>
      <c r="B67" s="1290"/>
      <c r="C67" s="1290"/>
      <c r="D67" s="1290"/>
      <c r="E67" s="1291"/>
      <c r="F67" s="961" t="s">
        <v>3474</v>
      </c>
    </row>
    <row r="68" spans="1:7" s="1076" customFormat="1" ht="15">
      <c r="A68" s="1079" t="s">
        <v>3175</v>
      </c>
      <c r="B68" s="1080" t="s">
        <v>4658</v>
      </c>
      <c r="C68" s="1084" t="e">
        <f>'Calc Data-SB1'!G25</f>
        <v>#DIV/0!</v>
      </c>
      <c r="D68" s="1084"/>
      <c r="E68" s="1084" t="e">
        <f>'Calc Data-SB1'!G25</f>
        <v>#DIV/0!</v>
      </c>
    </row>
    <row r="69" spans="1:7" s="1076" customFormat="1" ht="15">
      <c r="A69" s="1079" t="s">
        <v>3176</v>
      </c>
      <c r="B69" s="1080" t="s">
        <v>4659</v>
      </c>
      <c r="C69" s="1083">
        <f>'Data Entry - SOF'!K90</f>
        <v>0</v>
      </c>
      <c r="D69" s="1083"/>
      <c r="E69" s="1083">
        <f>'Data Entry - SOF'!K90</f>
        <v>0</v>
      </c>
    </row>
    <row r="70" spans="1:7" s="1076" customFormat="1" ht="15">
      <c r="A70" s="1079" t="s">
        <v>3177</v>
      </c>
      <c r="B70" s="1080" t="s">
        <v>4660</v>
      </c>
      <c r="C70" s="1083">
        <f>'Data Entry - SOF'!K89</f>
        <v>0</v>
      </c>
      <c r="D70" s="1083"/>
      <c r="E70" s="1083">
        <f>'Data Entry - SOF'!K89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4659</v>
      </c>
      <c r="C73" s="1083">
        <f>'Data Entry - SOF'!K90</f>
        <v>0</v>
      </c>
      <c r="D73" s="1080"/>
      <c r="E73" s="1083">
        <f>'Data Entry - SOF'!K90</f>
        <v>0</v>
      </c>
    </row>
    <row r="74" spans="1:7" s="1076" customFormat="1" ht="15">
      <c r="A74" s="1079" t="s">
        <v>3179</v>
      </c>
      <c r="B74" s="1080" t="s">
        <v>3317</v>
      </c>
      <c r="C74" s="1084">
        <f>'Ch41 Calc Data'!O15</f>
        <v>0</v>
      </c>
      <c r="D74" s="1084"/>
      <c r="E74" s="1084">
        <f>'Ch41 Calc Data'!O15</f>
        <v>0</v>
      </c>
    </row>
    <row r="75" spans="1:7" s="1076" customFormat="1" ht="15">
      <c r="A75" s="1079" t="s">
        <v>3180</v>
      </c>
      <c r="B75" s="1080" t="s">
        <v>3318</v>
      </c>
      <c r="C75" s="1084">
        <f>'Ch41 Calc Data'!N16</f>
        <v>0</v>
      </c>
      <c r="D75" s="1084"/>
      <c r="E75" s="1084">
        <f>'Ch41 Calc Data'!O16</f>
        <v>0</v>
      </c>
    </row>
    <row r="76" spans="1:7" s="1076" customFormat="1" ht="15.75">
      <c r="A76" s="1366" t="s">
        <v>3319</v>
      </c>
      <c r="B76" s="1290"/>
      <c r="C76" s="1290"/>
      <c r="D76" s="1290"/>
      <c r="E76" s="1291"/>
    </row>
    <row r="77" spans="1:7" s="1076" customFormat="1" ht="15">
      <c r="A77" s="1079" t="s">
        <v>3320</v>
      </c>
      <c r="B77" s="1080" t="s">
        <v>4661</v>
      </c>
      <c r="C77" s="1084" t="e">
        <f>'Ch41 Calc Data'!O17</f>
        <v>#DIV/0!</v>
      </c>
      <c r="D77" s="1084"/>
      <c r="E77" s="1084" t="e">
        <f>'Ch41 Calc Data'!O17</f>
        <v>#DIV/0!</v>
      </c>
    </row>
    <row r="78" spans="1:7" s="1076" customFormat="1" ht="15">
      <c r="B78" s="3406" t="s">
        <v>4453</v>
      </c>
      <c r="C78" s="3408" t="s">
        <v>7753</v>
      </c>
    </row>
    <row r="79" spans="1:7" s="1076" customFormat="1" ht="15">
      <c r="B79" s="3406" t="s">
        <v>7761</v>
      </c>
      <c r="C79" s="3408" t="s">
        <v>4663</v>
      </c>
    </row>
    <row r="80" spans="1:7" s="1076" customFormat="1" ht="15.75">
      <c r="A80" s="961" t="s">
        <v>4662</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4649</v>
      </c>
      <c r="C91" s="1124" t="e">
        <f>'Option Costs-HB3646'!AM71</f>
        <v>#DIV/0!</v>
      </c>
      <c r="D91" s="1124"/>
      <c r="E91" s="1124" t="e">
        <f t="shared" si="2"/>
        <v>#DIV/0!</v>
      </c>
    </row>
    <row r="92" spans="1:5" s="1076" customFormat="1" ht="15">
      <c r="A92" s="1079" t="s">
        <v>1027</v>
      </c>
      <c r="B92" s="1080" t="s">
        <v>4650</v>
      </c>
      <c r="C92" s="1125">
        <f>'Data Entry - SOF'!K58</f>
        <v>0</v>
      </c>
      <c r="D92" s="1125"/>
      <c r="E92" s="1125">
        <f t="shared" si="2"/>
        <v>0</v>
      </c>
    </row>
    <row r="93" spans="1:5" s="1076" customFormat="1" ht="15">
      <c r="A93" s="1079" t="s">
        <v>3278</v>
      </c>
      <c r="B93" s="1080" t="s">
        <v>4651</v>
      </c>
      <c r="C93" s="1125" t="e">
        <f>C17</f>
        <v>#DIV/0!</v>
      </c>
      <c r="D93" s="1125"/>
      <c r="E93" s="1125" t="e">
        <f t="shared" si="2"/>
        <v>#DIV/0!</v>
      </c>
    </row>
    <row r="94" spans="1:5" s="1076" customFormat="1" ht="15">
      <c r="A94" s="1079" t="s">
        <v>1028</v>
      </c>
      <c r="B94" s="1080" t="s">
        <v>4652</v>
      </c>
      <c r="C94" s="1084" t="e">
        <f>'Ch41 Calc Data'!O17</f>
        <v>#DIV/0!</v>
      </c>
      <c r="D94" s="1084"/>
      <c r="E94" s="1084" t="e">
        <f t="shared" si="2"/>
        <v>#DIV/0!</v>
      </c>
    </row>
    <row r="95" spans="1:5" s="1076" customFormat="1" ht="15">
      <c r="A95" s="1079" t="s">
        <v>1029</v>
      </c>
      <c r="B95" s="1080" t="s">
        <v>7396</v>
      </c>
      <c r="C95" s="1085">
        <f>C19</f>
        <v>0</v>
      </c>
      <c r="D95" s="1080"/>
      <c r="E95" s="1124">
        <f t="shared" si="2"/>
        <v>0</v>
      </c>
    </row>
    <row r="96" spans="1:5" s="1076" customFormat="1" ht="15">
      <c r="A96" s="1079" t="s">
        <v>139</v>
      </c>
      <c r="B96" s="1080" t="s">
        <v>4653</v>
      </c>
      <c r="C96" s="1085">
        <f>'Report-SOF2021'!D68</f>
        <v>0</v>
      </c>
      <c r="D96" s="1080"/>
      <c r="E96" s="1124">
        <f t="shared" si="2"/>
        <v>0</v>
      </c>
    </row>
    <row r="97" spans="1:5" s="1076" customFormat="1" ht="15">
      <c r="A97" s="1079" t="s">
        <v>140</v>
      </c>
      <c r="B97" s="1080" t="s">
        <v>3279</v>
      </c>
      <c r="C97" s="1083">
        <f>'Data Entry - SOF'!K94</f>
        <v>0</v>
      </c>
      <c r="D97" s="1083"/>
      <c r="E97" s="1083">
        <f t="shared" si="2"/>
        <v>0</v>
      </c>
    </row>
    <row r="98" spans="1:5" s="1076" customFormat="1" ht="15">
      <c r="A98" s="1079" t="s">
        <v>141</v>
      </c>
      <c r="B98" s="1080" t="s">
        <v>3280</v>
      </c>
      <c r="C98" s="1124">
        <f>'Data Entry - SOF'!K95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Costs-HB3646'!AM13</f>
        <v>0</v>
      </c>
      <c r="D102" s="1085"/>
      <c r="E102" s="1085">
        <f t="shared" ref="E102:E107" si="3">C102</f>
        <v>0</v>
      </c>
    </row>
    <row r="103" spans="1:5" s="1076" customFormat="1" ht="15">
      <c r="A103" s="1079" t="s">
        <v>6</v>
      </c>
      <c r="B103" s="1080" t="s">
        <v>3321</v>
      </c>
      <c r="C103" s="1084">
        <f>'Option Costs-HB3646'!AM16</f>
        <v>0</v>
      </c>
      <c r="D103" s="1084"/>
      <c r="E103" s="1084">
        <f t="shared" si="3"/>
        <v>0</v>
      </c>
    </row>
    <row r="104" spans="1:5" s="1076" customFormat="1" ht="15">
      <c r="A104" s="1079" t="s">
        <v>2551</v>
      </c>
      <c r="B104" s="1080" t="s">
        <v>3287</v>
      </c>
      <c r="C104" s="1085">
        <f>'Option Costs-HB3646'!AM17</f>
        <v>0</v>
      </c>
      <c r="D104" s="1085"/>
      <c r="E104" s="1085">
        <f t="shared" si="3"/>
        <v>0</v>
      </c>
    </row>
    <row r="105" spans="1:5" s="1076" customFormat="1" ht="15">
      <c r="A105" s="1079" t="s">
        <v>2552</v>
      </c>
      <c r="B105" s="1080" t="s">
        <v>3288</v>
      </c>
      <c r="C105" s="1085">
        <f>'Option Costs-HB3646'!AM19</f>
        <v>0</v>
      </c>
      <c r="D105" s="1085"/>
      <c r="E105" s="1085">
        <f t="shared" si="3"/>
        <v>0</v>
      </c>
    </row>
    <row r="106" spans="1:5" s="1076" customFormat="1" ht="15">
      <c r="A106" s="1079" t="s">
        <v>3122</v>
      </c>
      <c r="B106" s="1080" t="s">
        <v>3289</v>
      </c>
      <c r="C106" s="1084">
        <f>'Option Costs-HB3646'!AM20</f>
        <v>0</v>
      </c>
      <c r="D106" s="1084"/>
      <c r="E106" s="1084">
        <f t="shared" si="3"/>
        <v>0</v>
      </c>
    </row>
    <row r="107" spans="1:5" s="1076" customFormat="1" ht="15">
      <c r="A107" s="1079" t="s">
        <v>3123</v>
      </c>
      <c r="B107" s="1080" t="s">
        <v>4654</v>
      </c>
      <c r="C107" s="1084">
        <f>'Option Costs-HB3646'!AM21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Costs-HB3646'!AM24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Costs-HB3646'!AM27</f>
        <v>0</v>
      </c>
      <c r="D111" s="1085"/>
      <c r="E111" s="1127" t="s">
        <v>1994</v>
      </c>
    </row>
    <row r="112" spans="1:5" ht="15">
      <c r="A112" s="1095" t="s">
        <v>3128</v>
      </c>
      <c r="B112" s="1080" t="s">
        <v>3293</v>
      </c>
      <c r="C112" s="1085" t="e">
        <f>'Option Costs-HB3646'!AM28</f>
        <v>#DIV/0!</v>
      </c>
      <c r="D112" s="1085"/>
      <c r="E112" s="1127" t="s">
        <v>1994</v>
      </c>
    </row>
    <row r="113" spans="1:5" ht="15">
      <c r="A113" s="1095" t="s">
        <v>3129</v>
      </c>
      <c r="B113" s="1080" t="s">
        <v>3294</v>
      </c>
      <c r="C113" s="1085" t="e">
        <f>'Option Costs-HB3646'!AM29</f>
        <v>#DIV/0!</v>
      </c>
      <c r="D113" s="1085"/>
      <c r="E113" s="1127" t="s">
        <v>1994</v>
      </c>
    </row>
    <row r="114" spans="1:5" ht="15">
      <c r="A114" s="1095" t="s">
        <v>3131</v>
      </c>
      <c r="B114" s="1080" t="s">
        <v>3295</v>
      </c>
      <c r="C114" s="1085" t="e">
        <f>'Option Costs-HB3646'!AM30</f>
        <v>#DIV/0!</v>
      </c>
      <c r="D114" s="1085"/>
      <c r="E114" s="1127" t="s">
        <v>1994</v>
      </c>
    </row>
    <row r="115" spans="1:5" ht="15">
      <c r="A115" s="1095" t="s">
        <v>3132</v>
      </c>
      <c r="B115" s="1080" t="s">
        <v>3296</v>
      </c>
      <c r="C115" s="1085" t="e">
        <f>'Option Costs-HB3646'!AM64</f>
        <v>#DIV/0!</v>
      </c>
      <c r="D115" s="1085"/>
      <c r="E115" s="1085" t="e">
        <f>'Option Costs-HB3646'!AO64</f>
        <v>#DIV/0!</v>
      </c>
    </row>
    <row r="116" spans="1:5" ht="15">
      <c r="A116" s="1095" t="s">
        <v>3133</v>
      </c>
      <c r="B116" s="1080" t="s">
        <v>3297</v>
      </c>
      <c r="C116" s="1085" t="e">
        <f>'Option Costs-HB3646'!AM65</f>
        <v>#DIV/0!</v>
      </c>
      <c r="D116" s="1085"/>
      <c r="E116" s="1085" t="e">
        <f>'Option Costs-HB3646'!AO65</f>
        <v>#DIV/0!</v>
      </c>
    </row>
    <row r="117" spans="1:5" ht="15">
      <c r="A117" s="1095" t="s">
        <v>3134</v>
      </c>
      <c r="B117" s="1080" t="s">
        <v>3298</v>
      </c>
      <c r="C117" s="1084" t="e">
        <f>'Option Costs-HB3646'!AM66</f>
        <v>#DIV/0!</v>
      </c>
      <c r="D117" s="1084"/>
      <c r="E117" s="1084" t="e">
        <f>'Option Costs-HB3646'!AO66</f>
        <v>#DIV/0!</v>
      </c>
    </row>
    <row r="118" spans="1:5" ht="15.75">
      <c r="A118" s="1366" t="s">
        <v>3299</v>
      </c>
      <c r="B118" s="1290"/>
      <c r="C118" s="1290"/>
      <c r="D118" s="1290"/>
      <c r="E118" s="1291"/>
    </row>
    <row r="119" spans="1:5" ht="15">
      <c r="A119" s="1079" t="s">
        <v>3135</v>
      </c>
      <c r="B119" s="1080" t="s">
        <v>3300</v>
      </c>
      <c r="C119" s="1085" t="e">
        <f>'Option Costs-HB3646'!AM73</f>
        <v>#DIV/0!</v>
      </c>
      <c r="D119" s="1080"/>
      <c r="E119" s="1085" t="e">
        <f>'Option Costs-HB3646'!AO73</f>
        <v>#DIV/0!</v>
      </c>
    </row>
    <row r="120" spans="1:5" ht="15">
      <c r="A120" s="1079" t="s">
        <v>3140</v>
      </c>
      <c r="B120" s="1080" t="s">
        <v>3301</v>
      </c>
      <c r="C120" s="1084" t="e">
        <f>'Option Costs-HB3646'!AM74</f>
        <v>#DIV/0!</v>
      </c>
      <c r="D120" s="1084"/>
      <c r="E120" s="1084" t="e">
        <f>'Option Costs-HB3646'!AO74</f>
        <v>#DIV/0!</v>
      </c>
    </row>
    <row r="121" spans="1:5" ht="15">
      <c r="A121" s="1079" t="s">
        <v>3141</v>
      </c>
      <c r="B121" s="1080" t="s">
        <v>7904</v>
      </c>
      <c r="C121" s="1085" t="e">
        <f>'Option Costs-HB3646'!AM75</f>
        <v>#DIV/0!</v>
      </c>
      <c r="D121" s="1085"/>
      <c r="E121" s="1085" t="e">
        <f>'Option Costs-HB3646'!AO75</f>
        <v>#DIV/0!</v>
      </c>
    </row>
    <row r="122" spans="1:5" ht="15">
      <c r="A122" s="1079" t="s">
        <v>3142</v>
      </c>
      <c r="B122" s="1080" t="s">
        <v>3302</v>
      </c>
      <c r="C122" s="1084" t="e">
        <f>'Option Costs-HB3646'!AM76</f>
        <v>#DIV/0!</v>
      </c>
      <c r="D122" s="1084"/>
      <c r="E122" s="1084" t="e">
        <f>'Option Costs-HB3646'!AO76</f>
        <v>#DIV/0!</v>
      </c>
    </row>
    <row r="123" spans="1:5" ht="15">
      <c r="A123" s="1079" t="s">
        <v>3143</v>
      </c>
      <c r="B123" s="1080" t="s">
        <v>3303</v>
      </c>
      <c r="C123" s="1084">
        <f>'Option Costs-HB3646'!AM77</f>
        <v>0</v>
      </c>
      <c r="D123" s="1084"/>
      <c r="E123" s="1084">
        <f>'Option Costs-HB3646'!AO77</f>
        <v>0</v>
      </c>
    </row>
    <row r="124" spans="1:5" ht="15">
      <c r="A124" s="1079" t="s">
        <v>3144</v>
      </c>
      <c r="B124" s="1080" t="s">
        <v>3304</v>
      </c>
      <c r="C124" s="1084" t="e">
        <f>'Option Costs-HB3646'!AM78</f>
        <v>#DIV/0!</v>
      </c>
      <c r="D124" s="1084"/>
      <c r="E124" s="1084" t="e">
        <f>'Option Costs-HB3646'!AO78</f>
        <v>#DIV/0!</v>
      </c>
    </row>
    <row r="125" spans="1:5" ht="15">
      <c r="A125" s="1079" t="s">
        <v>3145</v>
      </c>
      <c r="B125" s="1080" t="s">
        <v>3305</v>
      </c>
      <c r="C125" s="1085" t="e">
        <f>'Option Costs-HB3646'!AM79</f>
        <v>#DIV/0!</v>
      </c>
      <c r="D125" s="1085"/>
      <c r="E125" s="1085" t="e">
        <f>'Option Costs-HB3646'!AO79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Costs-HB3646'!AM118</f>
        <v>#DIV/0!</v>
      </c>
      <c r="D128" s="1080"/>
      <c r="E128" s="1127" t="s">
        <v>1994</v>
      </c>
    </row>
    <row r="129" spans="1:7" ht="15">
      <c r="A129" s="1079" t="s">
        <v>3147</v>
      </c>
      <c r="B129" s="1080" t="s">
        <v>3372</v>
      </c>
      <c r="C129" s="1085" t="e">
        <f>'Option Costs-HB3646'!AM119</f>
        <v>#DIV/0!</v>
      </c>
      <c r="D129" s="1080"/>
      <c r="E129" s="1127" t="s">
        <v>1994</v>
      </c>
    </row>
    <row r="130" spans="1:7" ht="15">
      <c r="A130" s="1079" t="s">
        <v>3148</v>
      </c>
      <c r="B130" s="1080" t="s">
        <v>3307</v>
      </c>
      <c r="C130" s="1085" t="e">
        <f>'Option Costs-HB3646'!AM82</f>
        <v>#DIV/0!</v>
      </c>
      <c r="D130" s="1080"/>
      <c r="E130" s="1127" t="s">
        <v>1994</v>
      </c>
    </row>
    <row r="131" spans="1:7" ht="15.75">
      <c r="A131" s="1366" t="s">
        <v>3308</v>
      </c>
      <c r="B131" s="1290"/>
      <c r="C131" s="1290"/>
      <c r="D131" s="1290"/>
      <c r="E131" s="1291"/>
    </row>
    <row r="132" spans="1:7" ht="15">
      <c r="A132" s="1079" t="s">
        <v>3149</v>
      </c>
      <c r="B132" s="1080" t="s">
        <v>4655</v>
      </c>
      <c r="C132" s="1085">
        <f>'Data Entry - SOF'!K91</f>
        <v>0</v>
      </c>
      <c r="D132" s="1085"/>
      <c r="E132" s="1085">
        <f>'Data Entry - SOF'!K91</f>
        <v>0</v>
      </c>
    </row>
    <row r="133" spans="1:7" ht="15">
      <c r="A133" s="1079" t="s">
        <v>3150</v>
      </c>
      <c r="B133" s="1080" t="s">
        <v>4656</v>
      </c>
      <c r="C133" s="1085" t="e">
        <f>'Option Costs-HB3646'!AM73</f>
        <v>#DIV/0!</v>
      </c>
      <c r="D133" s="1085"/>
      <c r="E133" s="1085" t="e">
        <f>'Option Costs-HB3646'!AO73</f>
        <v>#DIV/0!</v>
      </c>
    </row>
    <row r="134" spans="1:7" ht="15">
      <c r="A134" s="1079" t="s">
        <v>3151</v>
      </c>
      <c r="B134" s="1080" t="s">
        <v>4649</v>
      </c>
      <c r="C134" s="1085" t="e">
        <f>'Option Costs-HB3646'!AM72</f>
        <v>#DIV/0!</v>
      </c>
      <c r="D134" s="1085"/>
      <c r="E134" s="1085" t="e">
        <f>'Option Costs-HB3646'!AO72</f>
        <v>#DIV/0!</v>
      </c>
    </row>
    <row r="135" spans="1:7" ht="15">
      <c r="A135" s="1079" t="s">
        <v>3152</v>
      </c>
      <c r="B135" s="1080" t="s">
        <v>4657</v>
      </c>
      <c r="C135" s="1085" t="e">
        <f>'Option Costs-HB3646'!AM83</f>
        <v>#DIV/0!</v>
      </c>
      <c r="D135" s="1085"/>
      <c r="E135" s="1085">
        <f>'Option Costs-HB3646'!AO83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Costs-HB3646'!AM83</f>
        <v>#DIV/0!</v>
      </c>
      <c r="D138" s="1085"/>
      <c r="E138" s="1085">
        <f>'Option Costs-HB3646'!AO83</f>
        <v>0</v>
      </c>
    </row>
    <row r="139" spans="1:7" ht="15.75">
      <c r="A139" s="1298" t="s">
        <v>3311</v>
      </c>
      <c r="B139" s="1290"/>
      <c r="C139" s="1290"/>
      <c r="D139" s="1290"/>
      <c r="E139" s="1291"/>
    </row>
    <row r="140" spans="1:7" ht="15">
      <c r="A140" s="1079" t="s">
        <v>3156</v>
      </c>
      <c r="B140" s="1080" t="s">
        <v>3312</v>
      </c>
      <c r="C140" s="1085" t="e">
        <f>'Option Costs-HB3646'!AM79</f>
        <v>#DIV/0!</v>
      </c>
      <c r="D140" s="1085"/>
      <c r="E140" s="1085" t="e">
        <f>'Option Costs-HB3646'!AO79</f>
        <v>#DIV/0!</v>
      </c>
    </row>
    <row r="141" spans="1:7" ht="15.75">
      <c r="A141" s="1079" t="s">
        <v>3157</v>
      </c>
      <c r="B141" s="1078" t="s">
        <v>3313</v>
      </c>
      <c r="C141" s="1090" t="e">
        <f>'Option Costs-HB3646'!AM85</f>
        <v>#DIV/0!</v>
      </c>
      <c r="D141" s="1090"/>
      <c r="E141" s="1090" t="e">
        <f>'Option Costs-HB3646'!AO85</f>
        <v>#DIV/0!</v>
      </c>
      <c r="F141" s="1317" t="s">
        <v>3445</v>
      </c>
      <c r="G141" s="1318" t="str">
        <f>'Data Entry - SOF'!K98</f>
        <v>Y</v>
      </c>
    </row>
    <row r="142" spans="1:7" ht="15.75">
      <c r="A142" s="1079" t="s">
        <v>3158</v>
      </c>
      <c r="B142" s="1078" t="s">
        <v>3314</v>
      </c>
      <c r="C142" s="1090" t="e">
        <f>'Option Costs-HB3646'!AM86</f>
        <v>#DIV/0!</v>
      </c>
      <c r="D142" s="1090"/>
      <c r="E142" s="1090" t="e">
        <f>'Option Costs-HB3646'!AO86</f>
        <v>#DIV/0!</v>
      </c>
    </row>
    <row r="143" spans="1:7" ht="15.75">
      <c r="A143" s="1366" t="s">
        <v>3315</v>
      </c>
      <c r="B143" s="1290"/>
      <c r="C143" s="1290"/>
      <c r="D143" s="1290"/>
      <c r="E143" s="1291"/>
    </row>
    <row r="144" spans="1:7" ht="15">
      <c r="A144" s="1079" t="s">
        <v>3175</v>
      </c>
      <c r="B144" s="1080" t="s">
        <v>4658</v>
      </c>
      <c r="C144" s="1084" t="e">
        <f>'Calc Data-SB1'!G25</f>
        <v>#DIV/0!</v>
      </c>
      <c r="D144" s="1084"/>
      <c r="E144" s="1084" t="e">
        <f>'Calc Data-SB1'!G25</f>
        <v>#DIV/0!</v>
      </c>
    </row>
    <row r="145" spans="1:5" ht="15">
      <c r="A145" s="1079" t="s">
        <v>3176</v>
      </c>
      <c r="B145" s="1080" t="s">
        <v>4659</v>
      </c>
      <c r="C145" s="1083">
        <f>'Data Entry - SOF'!K90</f>
        <v>0</v>
      </c>
      <c r="D145" s="1083"/>
      <c r="E145" s="1083">
        <f>'Data Entry - SOF'!K90</f>
        <v>0</v>
      </c>
    </row>
    <row r="146" spans="1:5" ht="15">
      <c r="A146" s="1079" t="s">
        <v>3177</v>
      </c>
      <c r="B146" s="1080" t="s">
        <v>4660</v>
      </c>
      <c r="C146" s="1083">
        <f>'Data Entry - SOF'!K89</f>
        <v>0</v>
      </c>
      <c r="D146" s="1083"/>
      <c r="E146" s="1083">
        <f>'Data Entry - SOF'!K89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4659</v>
      </c>
      <c r="C149" s="1083">
        <f>'Data Entry - SOF'!K90</f>
        <v>0</v>
      </c>
      <c r="D149" s="1080"/>
      <c r="E149" s="1083">
        <f>'Data Entry - SOF'!K90</f>
        <v>0</v>
      </c>
    </row>
    <row r="150" spans="1:5" ht="15">
      <c r="A150" s="1079" t="s">
        <v>3179</v>
      </c>
      <c r="B150" s="1080" t="s">
        <v>3317</v>
      </c>
      <c r="C150" s="1084">
        <f>'Ch41 Calc Data'!O15</f>
        <v>0</v>
      </c>
      <c r="D150" s="1084"/>
      <c r="E150" s="1084">
        <f>'Ch41 Calc Data'!O15</f>
        <v>0</v>
      </c>
    </row>
    <row r="151" spans="1:5" ht="15">
      <c r="A151" s="1079" t="s">
        <v>3180</v>
      </c>
      <c r="B151" s="1080" t="s">
        <v>3318</v>
      </c>
      <c r="C151" s="1084">
        <f>'Ch41 Calc Data'!O16</f>
        <v>0</v>
      </c>
      <c r="D151" s="1084"/>
      <c r="E151" s="1084">
        <f>'Ch41 Calc Data'!O16</f>
        <v>0</v>
      </c>
    </row>
    <row r="152" spans="1:5" ht="15.75">
      <c r="A152" s="1327" t="s">
        <v>3319</v>
      </c>
      <c r="B152" s="1290"/>
      <c r="C152" s="1290"/>
      <c r="D152" s="1290"/>
      <c r="E152" s="1291"/>
    </row>
    <row r="153" spans="1:5" ht="15">
      <c r="A153" s="1079" t="s">
        <v>3320</v>
      </c>
      <c r="B153" s="1080" t="s">
        <v>4661</v>
      </c>
      <c r="C153" s="1084" t="e">
        <f>'Ch41 Calc Data'!O17</f>
        <v>#DIV/0!</v>
      </c>
      <c r="D153" s="1084"/>
      <c r="E153" s="1084" t="e">
        <f>'Ch41 Calc Data'!O17</f>
        <v>#DIV/0!</v>
      </c>
    </row>
    <row r="154" spans="1:5" s="1076" customFormat="1" ht="15">
      <c r="B154" s="1733" t="s">
        <v>4453</v>
      </c>
      <c r="C154" s="3408" t="s">
        <v>7753</v>
      </c>
    </row>
    <row r="155" spans="1:5" s="1076" customFormat="1" ht="15">
      <c r="B155" s="3406" t="s">
        <v>7761</v>
      </c>
      <c r="C155" s="3408" t="s">
        <v>4663</v>
      </c>
    </row>
    <row r="156" spans="1:5">
      <c r="C156" s="3407"/>
    </row>
  </sheetData>
  <sheetProtection sheet="1" objects="1" scenarios="1"/>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2:A146"/>
  <sheetViews>
    <sheetView workbookViewId="0">
      <selection activeCell="A2" sqref="A2"/>
    </sheetView>
  </sheetViews>
  <sheetFormatPr defaultRowHeight="12.75"/>
  <sheetData>
    <row r="2" spans="1:1">
      <c r="A2" s="47" t="s">
        <v>4428</v>
      </c>
    </row>
    <row r="37" spans="1:1">
      <c r="A37" s="47" t="s">
        <v>4429</v>
      </c>
    </row>
    <row r="38" spans="1:1">
      <c r="A38" s="47" t="s">
        <v>3472</v>
      </c>
    </row>
    <row r="75" spans="1:1">
      <c r="A75" s="47" t="s">
        <v>2026</v>
      </c>
    </row>
    <row r="110" spans="1:1">
      <c r="A110" s="47" t="s">
        <v>4430</v>
      </c>
    </row>
    <row r="146" spans="1:1">
      <c r="A146" s="47" t="s">
        <v>4431</v>
      </c>
    </row>
  </sheetData>
  <phoneticPr fontId="25" type="noConversion"/>
  <pageMargins left="0.45" right="0.45" top="0.5" bottom="0.5" header="0.3" footer="0.3"/>
  <pageSetup orientation="landscape" r:id="rId1"/>
  <headerFooter alignWithMargins="0"/>
  <rowBreaks count="4" manualBreakCount="4">
    <brk id="35" max="16383" man="1"/>
    <brk id="71" max="16383" man="1"/>
    <brk id="73" max="16383" man="1"/>
    <brk id="108"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'Report-Recapture1819'!E1</f>
        <v>84th/85th Legislative Session</v>
      </c>
    </row>
    <row r="2" spans="1:5">
      <c r="A2" s="89" t="s">
        <v>4452</v>
      </c>
      <c r="E2" s="98" t="str">
        <f>'Report-Recapture2021'!E2</f>
        <v>Release 2</v>
      </c>
    </row>
    <row r="3" spans="1:5">
      <c r="A3" s="89"/>
      <c r="E3" s="82">
        <f>'Report-Recapture2021'!E3</f>
        <v>43145</v>
      </c>
    </row>
    <row r="4" spans="1:5" ht="15.75">
      <c r="A4" s="1075" t="s">
        <v>7642</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7643</v>
      </c>
      <c r="C15" s="1124" t="e">
        <f>'Option Costs-HB3646'!AQ70</f>
        <v>#DIV/0!</v>
      </c>
      <c r="D15" s="1124"/>
      <c r="E15" s="1124" t="e">
        <f>C15</f>
        <v>#DIV/0!</v>
      </c>
    </row>
    <row r="16" spans="1:5" s="1076" customFormat="1" ht="15">
      <c r="A16" s="1079" t="s">
        <v>1027</v>
      </c>
      <c r="B16" s="1080" t="s">
        <v>7644</v>
      </c>
      <c r="C16" s="1125">
        <f>'Data Entry - SOF'!M58</f>
        <v>0</v>
      </c>
      <c r="D16" s="1125"/>
      <c r="E16" s="1125">
        <f t="shared" ref="E16:E23" si="0">C16</f>
        <v>0</v>
      </c>
    </row>
    <row r="17" spans="1:5" s="1076" customFormat="1" ht="15">
      <c r="A17" s="1079" t="s">
        <v>3278</v>
      </c>
      <c r="B17" s="1080" t="s">
        <v>7645</v>
      </c>
      <c r="C17" s="1125" t="e">
        <f>IF(FracFunding2122!E24&lt;=0,FracFunding2122!C5,FracFunding2122!D5)</f>
        <v>#DIV/0!</v>
      </c>
      <c r="D17" s="1125"/>
      <c r="E17" s="1125" t="e">
        <f t="shared" si="0"/>
        <v>#DIV/0!</v>
      </c>
    </row>
    <row r="18" spans="1:5" s="1076" customFormat="1" ht="15">
      <c r="A18" s="1079" t="s">
        <v>1028</v>
      </c>
      <c r="B18" s="1080" t="s">
        <v>7646</v>
      </c>
      <c r="C18" s="1084" t="e">
        <f>'Ch41 Calc Data'!P17</f>
        <v>#DIV/0!</v>
      </c>
      <c r="D18" s="1084"/>
      <c r="E18" s="1084" t="e">
        <f t="shared" si="0"/>
        <v>#DIV/0!</v>
      </c>
    </row>
    <row r="19" spans="1:5" s="1076" customFormat="1" ht="15">
      <c r="A19" s="1079" t="s">
        <v>1029</v>
      </c>
      <c r="B19" s="1080" t="s">
        <v>7657</v>
      </c>
      <c r="C19" s="1085">
        <f>'Data Entry - SOF'!M52</f>
        <v>0</v>
      </c>
      <c r="D19" s="1080"/>
      <c r="E19" s="1124">
        <f t="shared" si="0"/>
        <v>0</v>
      </c>
    </row>
    <row r="20" spans="1:5" s="1076" customFormat="1" ht="15">
      <c r="A20" s="1079" t="s">
        <v>139</v>
      </c>
      <c r="B20" s="1080" t="s">
        <v>7647</v>
      </c>
      <c r="C20" s="1085">
        <f>'Report-SOF2122'!D68</f>
        <v>0</v>
      </c>
      <c r="D20" s="1080"/>
      <c r="E20" s="1124">
        <f t="shared" si="0"/>
        <v>0</v>
      </c>
    </row>
    <row r="21" spans="1:5" s="1076" customFormat="1" ht="15">
      <c r="A21" s="1079" t="s">
        <v>140</v>
      </c>
      <c r="B21" s="1080" t="s">
        <v>3279</v>
      </c>
      <c r="C21" s="1083">
        <f>'Data Entry - SOF'!M94</f>
        <v>0</v>
      </c>
      <c r="D21" s="1083"/>
      <c r="E21" s="1083">
        <f t="shared" si="0"/>
        <v>0</v>
      </c>
    </row>
    <row r="22" spans="1:5" s="1076" customFormat="1" ht="15">
      <c r="A22" s="1079" t="s">
        <v>141</v>
      </c>
      <c r="B22" s="1080" t="s">
        <v>3280</v>
      </c>
      <c r="C22" s="1124">
        <f>'Data Entry - SOF'!M95</f>
        <v>0</v>
      </c>
      <c r="D22" s="1080"/>
      <c r="E22" s="1124">
        <f t="shared" si="0"/>
        <v>0</v>
      </c>
    </row>
    <row r="23" spans="1:5" s="1076" customFormat="1" ht="15">
      <c r="A23" s="1079" t="s">
        <v>142</v>
      </c>
      <c r="B23" s="1080" t="s">
        <v>2035</v>
      </c>
      <c r="C23" s="1126">
        <f>'Report-SOF2122'!D51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Costs-HB3646'!AQ13</f>
        <v>0</v>
      </c>
      <c r="D26" s="1085"/>
      <c r="E26" s="1085">
        <f t="shared" ref="E26:E31" si="1">C26</f>
        <v>0</v>
      </c>
    </row>
    <row r="27" spans="1:5" s="1076" customFormat="1" ht="15">
      <c r="A27" s="1079" t="s">
        <v>6</v>
      </c>
      <c r="B27" s="1080" t="s">
        <v>3321</v>
      </c>
      <c r="C27" s="1084">
        <f>'Option Costs-HB3646'!AQ16</f>
        <v>0</v>
      </c>
      <c r="D27" s="1084"/>
      <c r="E27" s="1084">
        <f t="shared" si="1"/>
        <v>0</v>
      </c>
    </row>
    <row r="28" spans="1:5" s="1076" customFormat="1" ht="15">
      <c r="A28" s="1079" t="s">
        <v>2551</v>
      </c>
      <c r="B28" s="1080" t="s">
        <v>3287</v>
      </c>
      <c r="C28" s="1085">
        <f>'Option Costs-HB3646'!AQ17</f>
        <v>0</v>
      </c>
      <c r="D28" s="1085"/>
      <c r="E28" s="1085">
        <f t="shared" si="1"/>
        <v>0</v>
      </c>
    </row>
    <row r="29" spans="1:5" s="1076" customFormat="1" ht="15">
      <c r="A29" s="1079" t="s">
        <v>2552</v>
      </c>
      <c r="B29" s="1080" t="s">
        <v>3288</v>
      </c>
      <c r="C29" s="1085">
        <f>'Option Costs-HB3646'!AQ19</f>
        <v>0</v>
      </c>
      <c r="D29" s="1085"/>
      <c r="E29" s="1085">
        <f t="shared" si="1"/>
        <v>0</v>
      </c>
    </row>
    <row r="30" spans="1:5" s="1076" customFormat="1" ht="15">
      <c r="A30" s="1079" t="s">
        <v>3122</v>
      </c>
      <c r="B30" s="1080" t="s">
        <v>3289</v>
      </c>
      <c r="C30" s="1084">
        <f>'Option Costs-HB3646'!AQ20</f>
        <v>0</v>
      </c>
      <c r="D30" s="1084"/>
      <c r="E30" s="1084">
        <f t="shared" si="1"/>
        <v>0</v>
      </c>
    </row>
    <row r="31" spans="1:5" s="1076" customFormat="1" ht="15">
      <c r="A31" s="1079" t="s">
        <v>3123</v>
      </c>
      <c r="B31" s="1080" t="s">
        <v>7648</v>
      </c>
      <c r="C31" s="1084">
        <f>'Option Costs-HB3646'!AQ21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Costs-HB3646'!AQ24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Costs-HB3646'!AQ27</f>
        <v>0</v>
      </c>
      <c r="D35" s="1085"/>
      <c r="E35" s="1127" t="s">
        <v>1994</v>
      </c>
    </row>
    <row r="36" spans="1:5" s="1076" customFormat="1" ht="15">
      <c r="A36" s="1095" t="s">
        <v>3128</v>
      </c>
      <c r="B36" s="1080" t="s">
        <v>3293</v>
      </c>
      <c r="C36" s="1085" t="e">
        <f>'Option Costs-HB3646'!AQ28</f>
        <v>#DIV/0!</v>
      </c>
      <c r="D36" s="1085"/>
      <c r="E36" s="1127" t="s">
        <v>1994</v>
      </c>
    </row>
    <row r="37" spans="1:5" s="1076" customFormat="1" ht="15">
      <c r="A37" s="1095" t="s">
        <v>3129</v>
      </c>
      <c r="B37" s="1080" t="s">
        <v>3294</v>
      </c>
      <c r="C37" s="1085" t="e">
        <f>'Option Costs-HB3646'!AQ29</f>
        <v>#DIV/0!</v>
      </c>
      <c r="D37" s="1085"/>
      <c r="E37" s="1127" t="s">
        <v>1994</v>
      </c>
    </row>
    <row r="38" spans="1:5" s="1076" customFormat="1" ht="15">
      <c r="A38" s="1095" t="s">
        <v>3131</v>
      </c>
      <c r="B38" s="1080" t="s">
        <v>3295</v>
      </c>
      <c r="C38" s="1085" t="e">
        <f>'Option Costs-HB3646'!AQ30</f>
        <v>#DIV/0!</v>
      </c>
      <c r="D38" s="1085"/>
      <c r="E38" s="1127" t="s">
        <v>1994</v>
      </c>
    </row>
    <row r="39" spans="1:5" s="1076" customFormat="1" ht="15">
      <c r="A39" s="1095" t="s">
        <v>3132</v>
      </c>
      <c r="B39" s="1080" t="s">
        <v>3296</v>
      </c>
      <c r="C39" s="1085" t="e">
        <f>'Option Costs-HB3646'!AQ64</f>
        <v>#DIV/0!</v>
      </c>
      <c r="D39" s="1085"/>
      <c r="E39" s="1085" t="e">
        <f>'Option Costs-HB3646'!AS64</f>
        <v>#DIV/0!</v>
      </c>
    </row>
    <row r="40" spans="1:5" s="1076" customFormat="1" ht="15">
      <c r="A40" s="1095" t="s">
        <v>3133</v>
      </c>
      <c r="B40" s="1080" t="s">
        <v>3297</v>
      </c>
      <c r="C40" s="1085" t="e">
        <f>'Option Costs-HB3646'!AQ65</f>
        <v>#DIV/0!</v>
      </c>
      <c r="D40" s="1085"/>
      <c r="E40" s="1085" t="e">
        <f>'Option Costs-HB3646'!AS65</f>
        <v>#DIV/0!</v>
      </c>
    </row>
    <row r="41" spans="1:5" s="1076" customFormat="1" ht="15">
      <c r="A41" s="1095" t="s">
        <v>3134</v>
      </c>
      <c r="B41" s="1080" t="s">
        <v>3298</v>
      </c>
      <c r="C41" s="1084" t="e">
        <f>'Option Costs-HB3646'!AQ66</f>
        <v>#DIV/0!</v>
      </c>
      <c r="D41" s="1084"/>
      <c r="E41" s="1084" t="e">
        <f>'Option Costs-HB3646'!AS66</f>
        <v>#DIV/0!</v>
      </c>
    </row>
    <row r="42" spans="1:5" s="1076" customFormat="1" ht="15.75">
      <c r="A42" s="1366" t="s">
        <v>3299</v>
      </c>
      <c r="B42" s="1290"/>
      <c r="C42" s="1290"/>
      <c r="D42" s="1290"/>
      <c r="E42" s="1291"/>
    </row>
    <row r="43" spans="1:5" s="1076" customFormat="1" ht="15">
      <c r="A43" s="1079" t="s">
        <v>3135</v>
      </c>
      <c r="B43" s="1080" t="s">
        <v>3300</v>
      </c>
      <c r="C43" s="1085" t="e">
        <f>'Option Costs-HB3646'!AQ73</f>
        <v>#DIV/0!</v>
      </c>
      <c r="D43" s="1080"/>
      <c r="E43" s="1085" t="e">
        <f>'Option Costs-HB3646'!AS73</f>
        <v>#DIV/0!</v>
      </c>
    </row>
    <row r="44" spans="1:5" s="1076" customFormat="1" ht="15">
      <c r="A44" s="1079" t="s">
        <v>3140</v>
      </c>
      <c r="B44" s="1080" t="s">
        <v>3301</v>
      </c>
      <c r="C44" s="1084" t="e">
        <f>'Option Costs-HB3646'!AQ74</f>
        <v>#DIV/0!</v>
      </c>
      <c r="D44" s="1084"/>
      <c r="E44" s="1084" t="e">
        <f>'Option Costs-HB3646'!AS74</f>
        <v>#DIV/0!</v>
      </c>
    </row>
    <row r="45" spans="1:5" s="1076" customFormat="1" ht="15">
      <c r="A45" s="1079" t="s">
        <v>3141</v>
      </c>
      <c r="B45" s="1080" t="s">
        <v>7904</v>
      </c>
      <c r="C45" s="1085" t="e">
        <f>'Option Costs-HB3646'!AQ75</f>
        <v>#DIV/0!</v>
      </c>
      <c r="D45" s="1085"/>
      <c r="E45" s="1085" t="e">
        <f>'Option Costs-HB3646'!AS75</f>
        <v>#DIV/0!</v>
      </c>
    </row>
    <row r="46" spans="1:5" s="1076" customFormat="1" ht="15">
      <c r="A46" s="1079" t="s">
        <v>3142</v>
      </c>
      <c r="B46" s="1080" t="s">
        <v>3302</v>
      </c>
      <c r="C46" s="1084" t="e">
        <f>'Option Costs-HB3646'!AQ76</f>
        <v>#DIV/0!</v>
      </c>
      <c r="D46" s="1084"/>
      <c r="E46" s="1084" t="e">
        <f>'Option Costs-HB3646'!AS76</f>
        <v>#DIV/0!</v>
      </c>
    </row>
    <row r="47" spans="1:5" s="1076" customFormat="1" ht="15">
      <c r="A47" s="1079" t="s">
        <v>3143</v>
      </c>
      <c r="B47" s="1080" t="s">
        <v>3303</v>
      </c>
      <c r="C47" s="1084">
        <f>'Option Costs-HB3646'!AQ77</f>
        <v>0</v>
      </c>
      <c r="D47" s="1084"/>
      <c r="E47" s="1084">
        <f>'Option Costs-HB3646'!AS77</f>
        <v>0</v>
      </c>
    </row>
    <row r="48" spans="1:5" s="1076" customFormat="1" ht="15">
      <c r="A48" s="1079" t="s">
        <v>3144</v>
      </c>
      <c r="B48" s="1080" t="s">
        <v>3304</v>
      </c>
      <c r="C48" s="1084" t="e">
        <f>'Option Costs-HB3646'!AQ78</f>
        <v>#DIV/0!</v>
      </c>
      <c r="D48" s="1084"/>
      <c r="E48" s="1084" t="e">
        <f>'Option Costs-HB3646'!AS78</f>
        <v>#DIV/0!</v>
      </c>
    </row>
    <row r="49" spans="1:5" s="1076" customFormat="1" ht="15">
      <c r="A49" s="1079" t="s">
        <v>3145</v>
      </c>
      <c r="B49" s="1080" t="s">
        <v>3305</v>
      </c>
      <c r="C49" s="1085" t="e">
        <f>'Option Costs-HB3646'!AQ79</f>
        <v>#DIV/0!</v>
      </c>
      <c r="D49" s="1085"/>
      <c r="E49" s="1085" t="e">
        <f>'Option Costs-HB3646'!AS79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Costs-HB3646'!AQ118</f>
        <v>#DIV/0!</v>
      </c>
      <c r="D52" s="1080"/>
      <c r="E52" s="1127" t="s">
        <v>1994</v>
      </c>
    </row>
    <row r="53" spans="1:5" s="1076" customFormat="1" ht="15">
      <c r="A53" s="1079" t="s">
        <v>3147</v>
      </c>
      <c r="B53" s="1080" t="s">
        <v>3372</v>
      </c>
      <c r="C53" s="1085" t="e">
        <f>'Option Costs-HB3646'!AQ119</f>
        <v>#DIV/0!</v>
      </c>
      <c r="D53" s="1080"/>
      <c r="E53" s="1127" t="s">
        <v>1994</v>
      </c>
    </row>
    <row r="54" spans="1:5" s="1076" customFormat="1" ht="15">
      <c r="A54" s="1079" t="s">
        <v>3148</v>
      </c>
      <c r="B54" s="1080" t="s">
        <v>3307</v>
      </c>
      <c r="C54" s="1085" t="e">
        <f>'Option Costs-HB3646'!AQ82</f>
        <v>#DIV/0!</v>
      </c>
      <c r="D54" s="1080"/>
      <c r="E54" s="1127" t="s">
        <v>1994</v>
      </c>
    </row>
    <row r="55" spans="1:5" s="1076" customFormat="1" ht="15.75">
      <c r="A55" s="1366" t="s">
        <v>3308</v>
      </c>
      <c r="B55" s="1290"/>
      <c r="C55" s="1290"/>
      <c r="D55" s="1290"/>
      <c r="E55" s="1291"/>
    </row>
    <row r="56" spans="1:5" s="1076" customFormat="1" ht="15">
      <c r="A56" s="1079" t="s">
        <v>3149</v>
      </c>
      <c r="B56" s="1080" t="s">
        <v>7649</v>
      </c>
      <c r="C56" s="1085">
        <f>'Data Entry - SOF'!M91</f>
        <v>0</v>
      </c>
      <c r="D56" s="1085"/>
      <c r="E56" s="1085">
        <f>'Data Entry - SOF'!M91</f>
        <v>0</v>
      </c>
    </row>
    <row r="57" spans="1:5" s="1076" customFormat="1" ht="15">
      <c r="A57" s="1079" t="s">
        <v>3150</v>
      </c>
      <c r="B57" s="1080" t="s">
        <v>7650</v>
      </c>
      <c r="C57" s="1085" t="e">
        <f>'Option Costs-HB3646'!AQ73</f>
        <v>#DIV/0!</v>
      </c>
      <c r="D57" s="1085"/>
      <c r="E57" s="1085" t="e">
        <f>'Option Costs-HB3646'!AS73</f>
        <v>#DIV/0!</v>
      </c>
    </row>
    <row r="58" spans="1:5" s="1076" customFormat="1" ht="15">
      <c r="A58" s="1079" t="s">
        <v>3151</v>
      </c>
      <c r="B58" s="1080" t="s">
        <v>7643</v>
      </c>
      <c r="C58" s="1085" t="e">
        <f>'Option Costs-HB3646'!AQ70</f>
        <v>#DIV/0!</v>
      </c>
      <c r="D58" s="1085"/>
      <c r="E58" s="1085" t="e">
        <f>'Option Costs-HB3646'!AS70</f>
        <v>#DIV/0!</v>
      </c>
    </row>
    <row r="59" spans="1:5" s="1076" customFormat="1" ht="15">
      <c r="A59" s="1079" t="s">
        <v>3152</v>
      </c>
      <c r="B59" s="1080" t="s">
        <v>7651</v>
      </c>
      <c r="C59" s="1085" t="e">
        <f>'Option Costs-HB3646'!AQ83</f>
        <v>#DIV/0!</v>
      </c>
      <c r="D59" s="1085"/>
      <c r="E59" s="1085">
        <f>'Option Costs-HB3646'!AS83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Costs-HB3646'!AQ83</f>
        <v>#DIV/0!</v>
      </c>
      <c r="D62" s="1085"/>
      <c r="E62" s="1085">
        <f>'Option Costs-HB3646'!AS83</f>
        <v>0</v>
      </c>
    </row>
    <row r="63" spans="1:5" s="1076" customFormat="1" ht="15.75">
      <c r="A63" s="1298" t="s">
        <v>3311</v>
      </c>
      <c r="B63" s="1290"/>
      <c r="C63" s="1290"/>
      <c r="D63" s="1290"/>
      <c r="E63" s="1291"/>
    </row>
    <row r="64" spans="1:5" s="1076" customFormat="1" ht="15">
      <c r="A64" s="1079" t="s">
        <v>3156</v>
      </c>
      <c r="B64" s="1080" t="s">
        <v>3312</v>
      </c>
      <c r="C64" s="1085" t="e">
        <f>'Option Costs-HB3646'!AQ79</f>
        <v>#DIV/0!</v>
      </c>
      <c r="D64" s="1085"/>
      <c r="E64" s="1085" t="e">
        <f>'Option Costs-HB3646'!AS79</f>
        <v>#DIV/0!</v>
      </c>
    </row>
    <row r="65" spans="1:7" s="1076" customFormat="1" ht="15.75">
      <c r="A65" s="1079" t="s">
        <v>3157</v>
      </c>
      <c r="B65" s="1078" t="s">
        <v>3313</v>
      </c>
      <c r="C65" s="1090" t="e">
        <f>'Option Costs-HB3646'!AQ85</f>
        <v>#DIV/0!</v>
      </c>
      <c r="D65" s="1085"/>
      <c r="E65" s="1090" t="e">
        <f>'Option Costs-HB3646'!AS85</f>
        <v>#DIV/0!</v>
      </c>
      <c r="F65" s="1317" t="s">
        <v>3445</v>
      </c>
      <c r="G65" s="1318" t="str">
        <f>'Data Entry - SOF'!M97</f>
        <v>Y</v>
      </c>
    </row>
    <row r="66" spans="1:7" s="1076" customFormat="1" ht="15.75">
      <c r="A66" s="1079" t="s">
        <v>3158</v>
      </c>
      <c r="B66" s="1078" t="s">
        <v>3314</v>
      </c>
      <c r="C66" s="1090" t="e">
        <f>'Option Costs-HB3646'!AQ86</f>
        <v>#DIV/0!</v>
      </c>
      <c r="D66" s="1085"/>
      <c r="E66" s="1090" t="e">
        <f>'Option Costs-HB3646'!AS86</f>
        <v>#DIV/0!</v>
      </c>
      <c r="F66" s="961" t="s">
        <v>3473</v>
      </c>
    </row>
    <row r="67" spans="1:7" s="1076" customFormat="1" ht="15.75">
      <c r="A67" s="1366" t="s">
        <v>3315</v>
      </c>
      <c r="B67" s="1290"/>
      <c r="C67" s="1290"/>
      <c r="D67" s="1290"/>
      <c r="E67" s="1291"/>
      <c r="F67" s="961" t="s">
        <v>3474</v>
      </c>
    </row>
    <row r="68" spans="1:7" s="1076" customFormat="1" ht="15">
      <c r="A68" s="1079" t="s">
        <v>3175</v>
      </c>
      <c r="B68" s="1080" t="s">
        <v>7652</v>
      </c>
      <c r="C68" s="1084" t="e">
        <f>'Calc Data-SB1'!H25</f>
        <v>#DIV/0!</v>
      </c>
      <c r="D68" s="1084"/>
      <c r="E68" s="1084" t="e">
        <f>'Calc Data-SB1'!H25</f>
        <v>#DIV/0!</v>
      </c>
    </row>
    <row r="69" spans="1:7" s="1076" customFormat="1" ht="15">
      <c r="A69" s="1079" t="s">
        <v>3176</v>
      </c>
      <c r="B69" s="1080" t="s">
        <v>7653</v>
      </c>
      <c r="C69" s="1083">
        <f>'Data Entry - SOF'!M90</f>
        <v>0</v>
      </c>
      <c r="D69" s="1083"/>
      <c r="E69" s="1083">
        <f>'Data Entry - SOF'!M90</f>
        <v>0</v>
      </c>
    </row>
    <row r="70" spans="1:7" s="1076" customFormat="1" ht="15">
      <c r="A70" s="1079" t="s">
        <v>3177</v>
      </c>
      <c r="B70" s="1080" t="s">
        <v>7654</v>
      </c>
      <c r="C70" s="1083">
        <f>'Data Entry - SOF'!M89</f>
        <v>0</v>
      </c>
      <c r="D70" s="1083"/>
      <c r="E70" s="1083">
        <f>'Data Entry - SOF'!M89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7653</v>
      </c>
      <c r="C73" s="1083">
        <f>'Data Entry - SOF'!M90</f>
        <v>0</v>
      </c>
      <c r="D73" s="1080"/>
      <c r="E73" s="1083">
        <f>'Data Entry - SOF'!M90</f>
        <v>0</v>
      </c>
    </row>
    <row r="74" spans="1:7" s="1076" customFormat="1" ht="15">
      <c r="A74" s="1079" t="s">
        <v>3179</v>
      </c>
      <c r="B74" s="1080" t="s">
        <v>3317</v>
      </c>
      <c r="C74" s="1084">
        <f>'Ch41 Calc Data'!P15</f>
        <v>0</v>
      </c>
      <c r="D74" s="1084"/>
      <c r="E74" s="1084">
        <f>'Ch41 Calc Data'!P15</f>
        <v>0</v>
      </c>
    </row>
    <row r="75" spans="1:7" s="1076" customFormat="1" ht="15">
      <c r="A75" s="1079" t="s">
        <v>3180</v>
      </c>
      <c r="B75" s="1080" t="s">
        <v>3318</v>
      </c>
      <c r="C75" s="1084">
        <f>'Ch41 Calc Data'!P16</f>
        <v>0</v>
      </c>
      <c r="D75" s="1084"/>
      <c r="E75" s="1084">
        <f>'Ch41 Calc Data'!P16</f>
        <v>0</v>
      </c>
    </row>
    <row r="76" spans="1:7" s="1076" customFormat="1" ht="15.75">
      <c r="A76" s="1366" t="s">
        <v>3319</v>
      </c>
      <c r="B76" s="1290"/>
      <c r="C76" s="1290"/>
      <c r="D76" s="1290"/>
      <c r="E76" s="1291"/>
    </row>
    <row r="77" spans="1:7" s="1076" customFormat="1" ht="15">
      <c r="A77" s="1079" t="s">
        <v>3320</v>
      </c>
      <c r="B77" s="1080" t="s">
        <v>7655</v>
      </c>
      <c r="C77" s="1084" t="e">
        <f>'Ch41 Calc Data'!P17</f>
        <v>#DIV/0!</v>
      </c>
      <c r="D77" s="1084"/>
      <c r="E77" s="1084" t="e">
        <f>'Ch41 Calc Data'!P17</f>
        <v>#DIV/0!</v>
      </c>
    </row>
    <row r="78" spans="1:7" s="1076" customFormat="1" ht="15">
      <c r="B78" s="1733" t="s">
        <v>4453</v>
      </c>
      <c r="C78" s="3408" t="s">
        <v>7658</v>
      </c>
    </row>
    <row r="79" spans="1:7" s="1076" customFormat="1" ht="15">
      <c r="B79" s="3406" t="s">
        <v>7750</v>
      </c>
      <c r="C79" s="3408" t="s">
        <v>7659</v>
      </c>
    </row>
    <row r="80" spans="1:7" s="1076" customFormat="1" ht="15.75">
      <c r="A80" s="961" t="s">
        <v>7656</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7643</v>
      </c>
      <c r="C91" s="1124" t="e">
        <f>'Option Costs-HB3646'!AU71</f>
        <v>#DIV/0!</v>
      </c>
      <c r="D91" s="1124"/>
      <c r="E91" s="1124" t="e">
        <f t="shared" si="2"/>
        <v>#DIV/0!</v>
      </c>
    </row>
    <row r="92" spans="1:5" s="1076" customFormat="1" ht="15">
      <c r="A92" s="1079" t="s">
        <v>1027</v>
      </c>
      <c r="B92" s="1080" t="s">
        <v>7644</v>
      </c>
      <c r="C92" s="1125">
        <f>'Data Entry - SOF'!M58</f>
        <v>0</v>
      </c>
      <c r="D92" s="1125"/>
      <c r="E92" s="1125">
        <f t="shared" si="2"/>
        <v>0</v>
      </c>
    </row>
    <row r="93" spans="1:5" s="1076" customFormat="1" ht="15">
      <c r="A93" s="1079" t="s">
        <v>3278</v>
      </c>
      <c r="B93" s="1080" t="s">
        <v>7645</v>
      </c>
      <c r="C93" s="1125" t="e">
        <f>C17</f>
        <v>#DIV/0!</v>
      </c>
      <c r="D93" s="1125"/>
      <c r="E93" s="1125" t="e">
        <f t="shared" si="2"/>
        <v>#DIV/0!</v>
      </c>
    </row>
    <row r="94" spans="1:5" s="1076" customFormat="1" ht="15">
      <c r="A94" s="1079" t="s">
        <v>1028</v>
      </c>
      <c r="B94" s="1080" t="s">
        <v>7646</v>
      </c>
      <c r="C94" s="1084" t="e">
        <f>'Ch41 Calc Data'!P17</f>
        <v>#DIV/0!</v>
      </c>
      <c r="D94" s="1084"/>
      <c r="E94" s="1084" t="e">
        <f t="shared" si="2"/>
        <v>#DIV/0!</v>
      </c>
    </row>
    <row r="95" spans="1:5" s="1076" customFormat="1" ht="15">
      <c r="A95" s="1079" t="s">
        <v>1029</v>
      </c>
      <c r="B95" s="1080" t="s">
        <v>7657</v>
      </c>
      <c r="C95" s="1085">
        <f>C19</f>
        <v>0</v>
      </c>
      <c r="D95" s="1080"/>
      <c r="E95" s="1124">
        <f t="shared" si="2"/>
        <v>0</v>
      </c>
    </row>
    <row r="96" spans="1:5" s="1076" customFormat="1" ht="15">
      <c r="A96" s="1079" t="s">
        <v>139</v>
      </c>
      <c r="B96" s="1080" t="s">
        <v>7647</v>
      </c>
      <c r="C96" s="1085">
        <f>'Report-SOF2122'!D68</f>
        <v>0</v>
      </c>
      <c r="D96" s="1080"/>
      <c r="E96" s="1124">
        <f t="shared" si="2"/>
        <v>0</v>
      </c>
    </row>
    <row r="97" spans="1:5" s="1076" customFormat="1" ht="15">
      <c r="A97" s="1079" t="s">
        <v>140</v>
      </c>
      <c r="B97" s="1080" t="s">
        <v>3279</v>
      </c>
      <c r="C97" s="1083">
        <f>'Data Entry - SOF'!M94</f>
        <v>0</v>
      </c>
      <c r="D97" s="1083"/>
      <c r="E97" s="1083">
        <f t="shared" si="2"/>
        <v>0</v>
      </c>
    </row>
    <row r="98" spans="1:5" s="1076" customFormat="1" ht="15">
      <c r="A98" s="1079" t="s">
        <v>141</v>
      </c>
      <c r="B98" s="1080" t="s">
        <v>3280</v>
      </c>
      <c r="C98" s="1124">
        <f>'Data Entry - SOF'!M95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Costs-HB3646'!AU13</f>
        <v>0</v>
      </c>
      <c r="D102" s="1085"/>
      <c r="E102" s="1085">
        <f t="shared" ref="E102:E107" si="3">C102</f>
        <v>0</v>
      </c>
    </row>
    <row r="103" spans="1:5" s="1076" customFormat="1" ht="15">
      <c r="A103" s="1079" t="s">
        <v>6</v>
      </c>
      <c r="B103" s="1080" t="s">
        <v>3321</v>
      </c>
      <c r="C103" s="1084">
        <f>'Option Costs-HB3646'!AU16</f>
        <v>0</v>
      </c>
      <c r="D103" s="1084"/>
      <c r="E103" s="1084">
        <f t="shared" si="3"/>
        <v>0</v>
      </c>
    </row>
    <row r="104" spans="1:5" s="1076" customFormat="1" ht="15">
      <c r="A104" s="1079" t="s">
        <v>2551</v>
      </c>
      <c r="B104" s="1080" t="s">
        <v>3287</v>
      </c>
      <c r="C104" s="1085">
        <f>'Option Costs-HB3646'!AU17</f>
        <v>0</v>
      </c>
      <c r="D104" s="1085"/>
      <c r="E104" s="1085">
        <f t="shared" si="3"/>
        <v>0</v>
      </c>
    </row>
    <row r="105" spans="1:5" s="1076" customFormat="1" ht="15">
      <c r="A105" s="1079" t="s">
        <v>2552</v>
      </c>
      <c r="B105" s="1080" t="s">
        <v>3288</v>
      </c>
      <c r="C105" s="1085">
        <f>'Option Costs-HB3646'!AU19</f>
        <v>0</v>
      </c>
      <c r="D105" s="1085"/>
      <c r="E105" s="1085">
        <f t="shared" si="3"/>
        <v>0</v>
      </c>
    </row>
    <row r="106" spans="1:5" s="1076" customFormat="1" ht="15">
      <c r="A106" s="1079" t="s">
        <v>3122</v>
      </c>
      <c r="B106" s="1080" t="s">
        <v>3289</v>
      </c>
      <c r="C106" s="1084">
        <f>'Option Costs-HB3646'!AU20</f>
        <v>0</v>
      </c>
      <c r="D106" s="1084"/>
      <c r="E106" s="1084">
        <f t="shared" si="3"/>
        <v>0</v>
      </c>
    </row>
    <row r="107" spans="1:5" s="1076" customFormat="1" ht="15">
      <c r="A107" s="1079" t="s">
        <v>3123</v>
      </c>
      <c r="B107" s="1080" t="s">
        <v>7648</v>
      </c>
      <c r="C107" s="1084">
        <f>'Option Costs-HB3646'!AU21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Costs-HB3646'!AU24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Costs-HB3646'!AU27</f>
        <v>0</v>
      </c>
      <c r="D111" s="1085"/>
      <c r="E111" s="1127" t="s">
        <v>1994</v>
      </c>
    </row>
    <row r="112" spans="1:5" ht="15">
      <c r="A112" s="1095" t="s">
        <v>3128</v>
      </c>
      <c r="B112" s="1080" t="s">
        <v>3293</v>
      </c>
      <c r="C112" s="1085" t="e">
        <f>'Option Costs-HB3646'!AU28</f>
        <v>#DIV/0!</v>
      </c>
      <c r="D112" s="1085"/>
      <c r="E112" s="1127" t="s">
        <v>1994</v>
      </c>
    </row>
    <row r="113" spans="1:5" ht="15">
      <c r="A113" s="1095" t="s">
        <v>3129</v>
      </c>
      <c r="B113" s="1080" t="s">
        <v>3294</v>
      </c>
      <c r="C113" s="1085" t="e">
        <f>'Option Costs-HB3646'!AU29</f>
        <v>#DIV/0!</v>
      </c>
      <c r="D113" s="1085"/>
      <c r="E113" s="1127" t="s">
        <v>1994</v>
      </c>
    </row>
    <row r="114" spans="1:5" ht="15">
      <c r="A114" s="1095" t="s">
        <v>3131</v>
      </c>
      <c r="B114" s="1080" t="s">
        <v>3295</v>
      </c>
      <c r="C114" s="1085" t="e">
        <f>'Option Costs-HB3646'!AU30</f>
        <v>#DIV/0!</v>
      </c>
      <c r="D114" s="1085"/>
      <c r="E114" s="1127" t="s">
        <v>1994</v>
      </c>
    </row>
    <row r="115" spans="1:5" ht="15">
      <c r="A115" s="1095" t="s">
        <v>3132</v>
      </c>
      <c r="B115" s="1080" t="s">
        <v>3296</v>
      </c>
      <c r="C115" s="1085" t="e">
        <f>'Option Costs-HB3646'!AU64</f>
        <v>#DIV/0!</v>
      </c>
      <c r="D115" s="1085"/>
      <c r="E115" s="1085" t="e">
        <f>'Option Costs-HB3646'!AW64</f>
        <v>#DIV/0!</v>
      </c>
    </row>
    <row r="116" spans="1:5" ht="15">
      <c r="A116" s="1095" t="s">
        <v>3133</v>
      </c>
      <c r="B116" s="1080" t="s">
        <v>3297</v>
      </c>
      <c r="C116" s="1085" t="e">
        <f>'Option Costs-HB3646'!AU65</f>
        <v>#DIV/0!</v>
      </c>
      <c r="D116" s="1085"/>
      <c r="E116" s="1085" t="e">
        <f>'Option Costs-HB3646'!AW65</f>
        <v>#DIV/0!</v>
      </c>
    </row>
    <row r="117" spans="1:5" ht="15">
      <c r="A117" s="1095" t="s">
        <v>3134</v>
      </c>
      <c r="B117" s="1080" t="s">
        <v>3298</v>
      </c>
      <c r="C117" s="1084" t="e">
        <f>'Option Costs-HB3646'!AU66</f>
        <v>#DIV/0!</v>
      </c>
      <c r="D117" s="1084"/>
      <c r="E117" s="1084" t="e">
        <f>'Option Costs-HB3646'!AW66</f>
        <v>#DIV/0!</v>
      </c>
    </row>
    <row r="118" spans="1:5" ht="15.75">
      <c r="A118" s="1366" t="s">
        <v>3299</v>
      </c>
      <c r="B118" s="1290"/>
      <c r="C118" s="1290"/>
      <c r="D118" s="1290"/>
      <c r="E118" s="1291"/>
    </row>
    <row r="119" spans="1:5" ht="15">
      <c r="A119" s="1079" t="s">
        <v>3135</v>
      </c>
      <c r="B119" s="1080" t="s">
        <v>3300</v>
      </c>
      <c r="C119" s="1085" t="e">
        <f>'Option Costs-HB3646'!AU73</f>
        <v>#DIV/0!</v>
      </c>
      <c r="D119" s="1080"/>
      <c r="E119" s="1085" t="e">
        <f>'Option Costs-HB3646'!AW73</f>
        <v>#DIV/0!</v>
      </c>
    </row>
    <row r="120" spans="1:5" ht="15">
      <c r="A120" s="1079" t="s">
        <v>3140</v>
      </c>
      <c r="B120" s="1080" t="s">
        <v>3301</v>
      </c>
      <c r="C120" s="1084" t="e">
        <f>'Option Costs-HB3646'!AU74</f>
        <v>#DIV/0!</v>
      </c>
      <c r="D120" s="1084"/>
      <c r="E120" s="1084" t="e">
        <f>'Option Costs-HB3646'!AW74</f>
        <v>#DIV/0!</v>
      </c>
    </row>
    <row r="121" spans="1:5" ht="15">
      <c r="A121" s="1079" t="s">
        <v>3141</v>
      </c>
      <c r="B121" s="1080" t="s">
        <v>7904</v>
      </c>
      <c r="C121" s="1085" t="e">
        <f>'Option Costs-HB3646'!AU75</f>
        <v>#DIV/0!</v>
      </c>
      <c r="D121" s="1085"/>
      <c r="E121" s="1085" t="e">
        <f>'Option Costs-HB3646'!AW75</f>
        <v>#DIV/0!</v>
      </c>
    </row>
    <row r="122" spans="1:5" ht="15">
      <c r="A122" s="1079" t="s">
        <v>3142</v>
      </c>
      <c r="B122" s="1080" t="s">
        <v>3302</v>
      </c>
      <c r="C122" s="1084" t="e">
        <f>'Option Costs-HB3646'!AU76</f>
        <v>#DIV/0!</v>
      </c>
      <c r="D122" s="1084"/>
      <c r="E122" s="1084" t="e">
        <f>'Option Costs-HB3646'!AW76</f>
        <v>#DIV/0!</v>
      </c>
    </row>
    <row r="123" spans="1:5" ht="15">
      <c r="A123" s="1079" t="s">
        <v>3143</v>
      </c>
      <c r="B123" s="1080" t="s">
        <v>3303</v>
      </c>
      <c r="C123" s="1084">
        <f>'Option Costs-HB3646'!AU77</f>
        <v>0</v>
      </c>
      <c r="D123" s="1084"/>
      <c r="E123" s="1084">
        <f>'Option Costs-HB3646'!AW77</f>
        <v>0</v>
      </c>
    </row>
    <row r="124" spans="1:5" ht="15">
      <c r="A124" s="1079" t="s">
        <v>3144</v>
      </c>
      <c r="B124" s="1080" t="s">
        <v>3304</v>
      </c>
      <c r="C124" s="1084" t="e">
        <f>'Option Costs-HB3646'!AU78</f>
        <v>#DIV/0!</v>
      </c>
      <c r="D124" s="1084"/>
      <c r="E124" s="1084" t="e">
        <f>'Option Costs-HB3646'!AW78</f>
        <v>#DIV/0!</v>
      </c>
    </row>
    <row r="125" spans="1:5" ht="15">
      <c r="A125" s="1079" t="s">
        <v>3145</v>
      </c>
      <c r="B125" s="1080" t="s">
        <v>3305</v>
      </c>
      <c r="C125" s="1085" t="e">
        <f>'Option Costs-HB3646'!AU79</f>
        <v>#DIV/0!</v>
      </c>
      <c r="D125" s="1085"/>
      <c r="E125" s="1085" t="e">
        <f>'Option Costs-HB3646'!AW79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Costs-HB3646'!AU118</f>
        <v>#DIV/0!</v>
      </c>
      <c r="D128" s="1080"/>
      <c r="E128" s="1127" t="s">
        <v>1994</v>
      </c>
    </row>
    <row r="129" spans="1:7" ht="15">
      <c r="A129" s="1079" t="s">
        <v>3147</v>
      </c>
      <c r="B129" s="1080" t="s">
        <v>3372</v>
      </c>
      <c r="C129" s="1085" t="e">
        <f>'Option Costs-HB3646'!AU119</f>
        <v>#DIV/0!</v>
      </c>
      <c r="D129" s="1080"/>
      <c r="E129" s="1127" t="s">
        <v>1994</v>
      </c>
    </row>
    <row r="130" spans="1:7" ht="15">
      <c r="A130" s="1079" t="s">
        <v>3148</v>
      </c>
      <c r="B130" s="1080" t="s">
        <v>3307</v>
      </c>
      <c r="C130" s="1085" t="e">
        <f>'Option Costs-HB3646'!AU82</f>
        <v>#DIV/0!</v>
      </c>
      <c r="D130" s="1080"/>
      <c r="E130" s="1127" t="s">
        <v>1994</v>
      </c>
    </row>
    <row r="131" spans="1:7" ht="15.75">
      <c r="A131" s="1366" t="s">
        <v>3308</v>
      </c>
      <c r="B131" s="1290"/>
      <c r="C131" s="1290"/>
      <c r="D131" s="1290"/>
      <c r="E131" s="1291"/>
    </row>
    <row r="132" spans="1:7" ht="15">
      <c r="A132" s="1079" t="s">
        <v>3149</v>
      </c>
      <c r="B132" s="1080" t="s">
        <v>7649</v>
      </c>
      <c r="C132" s="1085">
        <f>'Data Entry - SOF'!M91</f>
        <v>0</v>
      </c>
      <c r="D132" s="1085"/>
      <c r="E132" s="1085">
        <f>'Data Entry - SOF'!M91</f>
        <v>0</v>
      </c>
    </row>
    <row r="133" spans="1:7" ht="15">
      <c r="A133" s="1079" t="s">
        <v>3150</v>
      </c>
      <c r="B133" s="1080" t="s">
        <v>7650</v>
      </c>
      <c r="C133" s="1085" t="e">
        <f>'Option Costs-HB3646'!AU73</f>
        <v>#DIV/0!</v>
      </c>
      <c r="D133" s="1085"/>
      <c r="E133" s="1085" t="e">
        <f>'Option Costs-HB3646'!AW73</f>
        <v>#DIV/0!</v>
      </c>
    </row>
    <row r="134" spans="1:7" ht="15">
      <c r="A134" s="1079" t="s">
        <v>3151</v>
      </c>
      <c r="B134" s="1080" t="s">
        <v>7643</v>
      </c>
      <c r="C134" s="1085" t="e">
        <f>'Option Costs-HB3646'!AU72</f>
        <v>#DIV/0!</v>
      </c>
      <c r="D134" s="1085"/>
      <c r="E134" s="1085" t="e">
        <f>'Option Costs-HB3646'!AW72</f>
        <v>#DIV/0!</v>
      </c>
    </row>
    <row r="135" spans="1:7" ht="15">
      <c r="A135" s="1079" t="s">
        <v>3152</v>
      </c>
      <c r="B135" s="1080" t="s">
        <v>7651</v>
      </c>
      <c r="C135" s="1085" t="e">
        <f>'Option Costs-HB3646'!AU83</f>
        <v>#DIV/0!</v>
      </c>
      <c r="D135" s="1085"/>
      <c r="E135" s="1085">
        <f>'Option Costs-HB3646'!AW83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Costs-HB3646'!AU83</f>
        <v>#DIV/0!</v>
      </c>
      <c r="D138" s="1085"/>
      <c r="E138" s="1085">
        <f>'Option Costs-HB3646'!AW83</f>
        <v>0</v>
      </c>
    </row>
    <row r="139" spans="1:7" ht="15.75">
      <c r="A139" s="1298" t="s">
        <v>3311</v>
      </c>
      <c r="B139" s="1290"/>
      <c r="C139" s="1290"/>
      <c r="D139" s="1290"/>
      <c r="E139" s="1291"/>
    </row>
    <row r="140" spans="1:7" ht="15">
      <c r="A140" s="1079" t="s">
        <v>3156</v>
      </c>
      <c r="B140" s="1080" t="s">
        <v>3312</v>
      </c>
      <c r="C140" s="1085" t="e">
        <f>'Option Costs-HB3646'!AU79</f>
        <v>#DIV/0!</v>
      </c>
      <c r="D140" s="1085"/>
      <c r="E140" s="1085" t="e">
        <f>'Option Costs-HB3646'!AW79</f>
        <v>#DIV/0!</v>
      </c>
    </row>
    <row r="141" spans="1:7" ht="15.75">
      <c r="A141" s="1079" t="s">
        <v>3157</v>
      </c>
      <c r="B141" s="1078" t="s">
        <v>3313</v>
      </c>
      <c r="C141" s="1090" t="e">
        <f>'Option Costs-HB3646'!AU85</f>
        <v>#DIV/0!</v>
      </c>
      <c r="D141" s="1090"/>
      <c r="E141" s="1090" t="e">
        <f>'Option Costs-HB3646'!AW85</f>
        <v>#DIV/0!</v>
      </c>
      <c r="F141" s="1317" t="s">
        <v>3445</v>
      </c>
      <c r="G141" s="1318" t="str">
        <f>'Data Entry - SOF'!M98</f>
        <v>Y</v>
      </c>
    </row>
    <row r="142" spans="1:7" ht="15.75">
      <c r="A142" s="1079" t="s">
        <v>3158</v>
      </c>
      <c r="B142" s="1078" t="s">
        <v>3314</v>
      </c>
      <c r="C142" s="1090" t="e">
        <f>'Option Costs-HB3646'!AU86</f>
        <v>#DIV/0!</v>
      </c>
      <c r="D142" s="1090"/>
      <c r="E142" s="1090" t="e">
        <f>'Option Costs-HB3646'!AW86</f>
        <v>#DIV/0!</v>
      </c>
    </row>
    <row r="143" spans="1:7" ht="15.75">
      <c r="A143" s="1366" t="s">
        <v>3315</v>
      </c>
      <c r="B143" s="1290"/>
      <c r="C143" s="1290"/>
      <c r="D143" s="1290"/>
      <c r="E143" s="1291"/>
    </row>
    <row r="144" spans="1:7" ht="15">
      <c r="A144" s="1079" t="s">
        <v>3175</v>
      </c>
      <c r="B144" s="1080" t="s">
        <v>7652</v>
      </c>
      <c r="C144" s="1084" t="e">
        <f>'Calc Data-SB1'!H25</f>
        <v>#DIV/0!</v>
      </c>
      <c r="D144" s="1084"/>
      <c r="E144" s="1084" t="e">
        <f>'Calc Data-SB1'!H25</f>
        <v>#DIV/0!</v>
      </c>
    </row>
    <row r="145" spans="1:5" ht="15">
      <c r="A145" s="1079" t="s">
        <v>3176</v>
      </c>
      <c r="B145" s="1080" t="s">
        <v>7653</v>
      </c>
      <c r="C145" s="1083">
        <f>'Data Entry - SOF'!M90</f>
        <v>0</v>
      </c>
      <c r="D145" s="1083"/>
      <c r="E145" s="1083">
        <f>'Data Entry - SOF'!M90</f>
        <v>0</v>
      </c>
    </row>
    <row r="146" spans="1:5" ht="15">
      <c r="A146" s="1079" t="s">
        <v>3177</v>
      </c>
      <c r="B146" s="1080" t="s">
        <v>7654</v>
      </c>
      <c r="C146" s="1083">
        <f>'Data Entry - SOF'!M89</f>
        <v>0</v>
      </c>
      <c r="D146" s="1083"/>
      <c r="E146" s="1083">
        <f>'Data Entry - SOF'!M89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7653</v>
      </c>
      <c r="C149" s="1083">
        <f>'Data Entry - SOF'!M90</f>
        <v>0</v>
      </c>
      <c r="D149" s="1080"/>
      <c r="E149" s="1083">
        <f>'Data Entry - SOF'!M90</f>
        <v>0</v>
      </c>
    </row>
    <row r="150" spans="1:5" ht="15">
      <c r="A150" s="1079" t="s">
        <v>3179</v>
      </c>
      <c r="B150" s="1080" t="s">
        <v>3317</v>
      </c>
      <c r="C150" s="1084">
        <f>'Ch41 Calc Data'!P15</f>
        <v>0</v>
      </c>
      <c r="D150" s="1084"/>
      <c r="E150" s="1084">
        <f>'Ch41 Calc Data'!P15</f>
        <v>0</v>
      </c>
    </row>
    <row r="151" spans="1:5" ht="15">
      <c r="A151" s="1079" t="s">
        <v>3180</v>
      </c>
      <c r="B151" s="1080" t="s">
        <v>3318</v>
      </c>
      <c r="C151" s="1084">
        <f>'Ch41 Calc Data'!P16</f>
        <v>0</v>
      </c>
      <c r="D151" s="1084"/>
      <c r="E151" s="1084">
        <f>'Ch41 Calc Data'!P16</f>
        <v>0</v>
      </c>
    </row>
    <row r="152" spans="1:5" ht="15.75">
      <c r="A152" s="1327" t="s">
        <v>3319</v>
      </c>
      <c r="B152" s="1290"/>
      <c r="C152" s="1290"/>
      <c r="D152" s="1290"/>
      <c r="E152" s="1291"/>
    </row>
    <row r="153" spans="1:5" ht="15">
      <c r="A153" s="1079" t="s">
        <v>3320</v>
      </c>
      <c r="B153" s="1080" t="s">
        <v>7655</v>
      </c>
      <c r="C153" s="1084" t="e">
        <f>'Ch41 Calc Data'!P17</f>
        <v>#DIV/0!</v>
      </c>
      <c r="D153" s="1084"/>
      <c r="E153" s="1084" t="e">
        <f>'Ch41 Calc Data'!P17</f>
        <v>#DIV/0!</v>
      </c>
    </row>
    <row r="154" spans="1:5" s="1076" customFormat="1" ht="15">
      <c r="B154" s="1733" t="s">
        <v>4453</v>
      </c>
      <c r="C154" s="3408" t="s">
        <v>7658</v>
      </c>
    </row>
    <row r="155" spans="1:5" s="1076" customFormat="1" ht="15">
      <c r="B155" s="3406" t="s">
        <v>7750</v>
      </c>
      <c r="C155" s="3408" t="s">
        <v>7659</v>
      </c>
    </row>
  </sheetData>
  <sheetProtection sheet="1" objects="1" scenarios="1"/>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89" t="s">
        <v>4451</v>
      </c>
      <c r="E1" s="1773" t="str">
        <f>'Report-Recapture1819'!E1</f>
        <v>84th/85th Legislative Session</v>
      </c>
    </row>
    <row r="2" spans="1:5">
      <c r="A2" s="89" t="s">
        <v>4452</v>
      </c>
      <c r="E2" s="98" t="str">
        <f>'Data Entry - SOF'!O2</f>
        <v>Release 2</v>
      </c>
    </row>
    <row r="3" spans="1:5">
      <c r="A3" s="89"/>
      <c r="E3" s="82">
        <f>'Data Entry - SOF'!O3</f>
        <v>43145</v>
      </c>
    </row>
    <row r="4" spans="1:5" ht="15.75">
      <c r="A4" s="1075" t="s">
        <v>7927</v>
      </c>
    </row>
    <row r="5" spans="1:5" ht="15.75">
      <c r="A5" s="1077">
        <f>'Data Entry - SOF'!B1</f>
        <v>0</v>
      </c>
    </row>
    <row r="6" spans="1:5" ht="15.75">
      <c r="A6" s="1075">
        <f>'Data Entry - SOF'!B2</f>
        <v>0</v>
      </c>
    </row>
    <row r="9" spans="1:5" s="880" customFormat="1" ht="18">
      <c r="A9" s="1320" t="s">
        <v>3276</v>
      </c>
      <c r="B9" s="1270"/>
      <c r="C9" s="1321"/>
      <c r="D9" s="1322" t="s">
        <v>3283</v>
      </c>
      <c r="E9" s="1323"/>
    </row>
    <row r="10" spans="1:5" s="880" customFormat="1" ht="18">
      <c r="A10" s="1328" t="str">
        <f>CONCATENATE("Equalized Wealth Level = ($",Assumptions!G103,")")</f>
        <v>Equalized Wealth Level = ($514000)</v>
      </c>
      <c r="B10" s="1319"/>
      <c r="C10" s="1293" t="s">
        <v>3281</v>
      </c>
      <c r="D10" s="1293"/>
      <c r="E10" s="1304" t="s">
        <v>3282</v>
      </c>
    </row>
    <row r="11" spans="1:5" s="1076" customFormat="1" ht="15">
      <c r="A11" s="1079" t="s">
        <v>2501</v>
      </c>
      <c r="B11" s="1080" t="s">
        <v>1082</v>
      </c>
      <c r="C11" s="1124">
        <f>'Data Entry - SOF'!C136</f>
        <v>0</v>
      </c>
      <c r="D11" s="1124"/>
      <c r="E11" s="1124">
        <f>C11</f>
        <v>0</v>
      </c>
    </row>
    <row r="12" spans="1:5" s="1076" customFormat="1" ht="15">
      <c r="A12" s="1079" t="s">
        <v>2502</v>
      </c>
      <c r="B12" s="1080" t="s">
        <v>1083</v>
      </c>
      <c r="C12" s="1124">
        <f>'Data Entry - SOF'!C137</f>
        <v>0</v>
      </c>
      <c r="D12" s="1124"/>
      <c r="E12" s="1124">
        <f>C12</f>
        <v>0</v>
      </c>
    </row>
    <row r="13" spans="1:5" s="1076" customFormat="1" ht="15">
      <c r="A13" s="1079" t="s">
        <v>2503</v>
      </c>
      <c r="B13" s="1080" t="s">
        <v>673</v>
      </c>
      <c r="C13" s="1084">
        <f>'Data Entry - SOF'!C138</f>
        <v>0</v>
      </c>
      <c r="D13" s="1080"/>
      <c r="E13" s="1084">
        <f>C13</f>
        <v>0</v>
      </c>
    </row>
    <row r="14" spans="1:5" s="1076" customFormat="1" ht="15">
      <c r="A14" s="1079" t="s">
        <v>1024</v>
      </c>
      <c r="B14" s="1080" t="s">
        <v>3277</v>
      </c>
      <c r="C14" s="1085">
        <f>'Data Entry - SOF'!C139</f>
        <v>0</v>
      </c>
      <c r="D14" s="1085"/>
      <c r="E14" s="1124">
        <f>C14</f>
        <v>0</v>
      </c>
    </row>
    <row r="15" spans="1:5" s="1076" customFormat="1" ht="15">
      <c r="A15" s="1079" t="s">
        <v>1025</v>
      </c>
      <c r="B15" s="1080" t="s">
        <v>7928</v>
      </c>
      <c r="C15" s="1124" t="e">
        <f>'Option Costs-HB3646'!AY70</f>
        <v>#DIV/0!</v>
      </c>
      <c r="D15" s="1124"/>
      <c r="E15" s="1124" t="e">
        <f>C15</f>
        <v>#DIV/0!</v>
      </c>
    </row>
    <row r="16" spans="1:5" s="1076" customFormat="1" ht="15">
      <c r="A16" s="1079" t="s">
        <v>1027</v>
      </c>
      <c r="B16" s="1080" t="s">
        <v>7929</v>
      </c>
      <c r="C16" s="1125">
        <f>'Data Entry - SOF'!O58</f>
        <v>0</v>
      </c>
      <c r="D16" s="1125"/>
      <c r="E16" s="1125">
        <f t="shared" ref="E16:E23" si="0">C16</f>
        <v>0</v>
      </c>
    </row>
    <row r="17" spans="1:5" s="1076" customFormat="1" ht="15">
      <c r="A17" s="1079" t="s">
        <v>3278</v>
      </c>
      <c r="B17" s="1080" t="s">
        <v>7930</v>
      </c>
      <c r="C17" s="1125" t="e">
        <f>IF(FracFunding2223!E24&lt;=0,FracFunding2223!C5,FracFunding2223!D5)</f>
        <v>#DIV/0!</v>
      </c>
      <c r="D17" s="1125"/>
      <c r="E17" s="1125" t="e">
        <f t="shared" si="0"/>
        <v>#DIV/0!</v>
      </c>
    </row>
    <row r="18" spans="1:5" s="1076" customFormat="1" ht="15">
      <c r="A18" s="1079" t="s">
        <v>1028</v>
      </c>
      <c r="B18" s="1080" t="s">
        <v>7931</v>
      </c>
      <c r="C18" s="1084" t="e">
        <f>'Ch41 Calc Data'!Q17</f>
        <v>#DIV/0!</v>
      </c>
      <c r="D18" s="1084"/>
      <c r="E18" s="1084" t="e">
        <f t="shared" si="0"/>
        <v>#DIV/0!</v>
      </c>
    </row>
    <row r="19" spans="1:5" s="1076" customFormat="1" ht="15">
      <c r="A19" s="1079" t="s">
        <v>1029</v>
      </c>
      <c r="B19" s="1080" t="s">
        <v>7657</v>
      </c>
      <c r="C19" s="1085">
        <f>'Data Entry - SOF'!O52</f>
        <v>0</v>
      </c>
      <c r="D19" s="1080"/>
      <c r="E19" s="1124">
        <f t="shared" si="0"/>
        <v>0</v>
      </c>
    </row>
    <row r="20" spans="1:5" s="1076" customFormat="1" ht="15">
      <c r="A20" s="1079" t="s">
        <v>139</v>
      </c>
      <c r="B20" s="1080" t="s">
        <v>7932</v>
      </c>
      <c r="C20" s="1085">
        <f>'Report-SOF2223'!D68</f>
        <v>0</v>
      </c>
      <c r="D20" s="1080"/>
      <c r="E20" s="1124">
        <f t="shared" si="0"/>
        <v>0</v>
      </c>
    </row>
    <row r="21" spans="1:5" s="1076" customFormat="1" ht="15">
      <c r="A21" s="1079" t="s">
        <v>140</v>
      </c>
      <c r="B21" s="1080" t="s">
        <v>3279</v>
      </c>
      <c r="C21" s="1083">
        <f>'Data Entry - SOF'!O94</f>
        <v>0</v>
      </c>
      <c r="D21" s="1083"/>
      <c r="E21" s="1083">
        <f t="shared" si="0"/>
        <v>0</v>
      </c>
    </row>
    <row r="22" spans="1:5" s="1076" customFormat="1" ht="15">
      <c r="A22" s="1079" t="s">
        <v>141</v>
      </c>
      <c r="B22" s="1080" t="s">
        <v>3280</v>
      </c>
      <c r="C22" s="1124">
        <f>'Data Entry - SOF'!O95</f>
        <v>0</v>
      </c>
      <c r="D22" s="1080"/>
      <c r="E22" s="1124">
        <f t="shared" si="0"/>
        <v>0</v>
      </c>
    </row>
    <row r="23" spans="1:5" s="1076" customFormat="1" ht="15">
      <c r="A23" s="1079" t="s">
        <v>142</v>
      </c>
      <c r="B23" s="1080" t="s">
        <v>2035</v>
      </c>
      <c r="C23" s="1126">
        <f>'Report-SOF2223'!D51</f>
        <v>0</v>
      </c>
      <c r="D23" s="1097"/>
      <c r="E23" s="1126">
        <f t="shared" si="0"/>
        <v>0</v>
      </c>
    </row>
    <row r="24" spans="1:5" s="1076" customFormat="1" ht="15.75">
      <c r="A24" s="1326" t="s">
        <v>3284</v>
      </c>
      <c r="B24" s="1324"/>
      <c r="C24" s="1324"/>
      <c r="D24" s="1324"/>
      <c r="E24" s="1325"/>
    </row>
    <row r="25" spans="1:5" s="1076" customFormat="1" ht="15.75">
      <c r="A25" s="1312" t="s">
        <v>3285</v>
      </c>
      <c r="B25" s="1310"/>
      <c r="C25" s="1310"/>
      <c r="D25" s="1310"/>
      <c r="E25" s="1311"/>
    </row>
    <row r="26" spans="1:5" s="1076" customFormat="1" ht="15">
      <c r="A26" s="1079" t="s">
        <v>1706</v>
      </c>
      <c r="B26" s="1080" t="s">
        <v>3286</v>
      </c>
      <c r="C26" s="1085">
        <f>'Option Costs-HB3646'!AY13</f>
        <v>0</v>
      </c>
      <c r="D26" s="1085"/>
      <c r="E26" s="1085">
        <f t="shared" ref="E26:E31" si="1">C26</f>
        <v>0</v>
      </c>
    </row>
    <row r="27" spans="1:5" s="1076" customFormat="1" ht="15">
      <c r="A27" s="1079" t="s">
        <v>6</v>
      </c>
      <c r="B27" s="1080" t="s">
        <v>3321</v>
      </c>
      <c r="C27" s="1084">
        <f>'Option Costs-HB3646'!AY16</f>
        <v>0</v>
      </c>
      <c r="D27" s="1084"/>
      <c r="E27" s="1084">
        <f t="shared" si="1"/>
        <v>0</v>
      </c>
    </row>
    <row r="28" spans="1:5" s="1076" customFormat="1" ht="15">
      <c r="A28" s="1079" t="s">
        <v>2551</v>
      </c>
      <c r="B28" s="1080" t="s">
        <v>3287</v>
      </c>
      <c r="C28" s="1085">
        <f>'Option Costs-HB3646'!AY17</f>
        <v>0</v>
      </c>
      <c r="D28" s="1085"/>
      <c r="E28" s="1085">
        <f t="shared" si="1"/>
        <v>0</v>
      </c>
    </row>
    <row r="29" spans="1:5" s="1076" customFormat="1" ht="15">
      <c r="A29" s="1079" t="s">
        <v>2552</v>
      </c>
      <c r="B29" s="1080" t="s">
        <v>3288</v>
      </c>
      <c r="C29" s="1085">
        <f>'Option Costs-HB3646'!AY19</f>
        <v>0</v>
      </c>
      <c r="D29" s="1085"/>
      <c r="E29" s="1085">
        <f t="shared" si="1"/>
        <v>0</v>
      </c>
    </row>
    <row r="30" spans="1:5" s="1076" customFormat="1" ht="15">
      <c r="A30" s="1079" t="s">
        <v>3122</v>
      </c>
      <c r="B30" s="1080" t="s">
        <v>3289</v>
      </c>
      <c r="C30" s="1084">
        <f>'Option Costs-HB3646'!AY20</f>
        <v>0</v>
      </c>
      <c r="D30" s="1084"/>
      <c r="E30" s="1084">
        <f t="shared" si="1"/>
        <v>0</v>
      </c>
    </row>
    <row r="31" spans="1:5" s="1076" customFormat="1" ht="15">
      <c r="A31" s="1079" t="s">
        <v>3123</v>
      </c>
      <c r="B31" s="1080" t="s">
        <v>7933</v>
      </c>
      <c r="C31" s="1084">
        <f>'Option Costs-HB3646'!AY21</f>
        <v>1.4999999999999999E-2</v>
      </c>
      <c r="D31" s="1084"/>
      <c r="E31" s="1084">
        <f t="shared" si="1"/>
        <v>1.4999999999999999E-2</v>
      </c>
    </row>
    <row r="32" spans="1:5" s="1076" customFormat="1" ht="15.75">
      <c r="A32" s="1366" t="s">
        <v>3290</v>
      </c>
      <c r="B32" s="1290"/>
      <c r="C32" s="1290"/>
      <c r="D32" s="1290"/>
      <c r="E32" s="1291"/>
    </row>
    <row r="33" spans="1:5" s="1076" customFormat="1" ht="15">
      <c r="A33" s="1095" t="s">
        <v>3126</v>
      </c>
      <c r="B33" s="1080" t="s">
        <v>3290</v>
      </c>
      <c r="C33" s="1085" t="e">
        <f>'Option Costs-HB3646'!AY24</f>
        <v>#DIV/0!</v>
      </c>
      <c r="D33" s="1085"/>
      <c r="E33" s="1085" t="e">
        <f>C33</f>
        <v>#DIV/0!</v>
      </c>
    </row>
    <row r="34" spans="1:5" s="1076" customFormat="1" ht="15.75">
      <c r="A34" s="1366" t="s">
        <v>3291</v>
      </c>
      <c r="B34" s="1290"/>
      <c r="C34" s="1290"/>
      <c r="D34" s="1290"/>
      <c r="E34" s="1291"/>
    </row>
    <row r="35" spans="1:5" s="1076" customFormat="1" ht="15">
      <c r="A35" s="1095" t="s">
        <v>3127</v>
      </c>
      <c r="B35" s="1080" t="s">
        <v>3292</v>
      </c>
      <c r="C35" s="1085">
        <f>'Option Costs-HB3646'!AY27</f>
        <v>0</v>
      </c>
      <c r="D35" s="1085"/>
      <c r="E35" s="1127" t="s">
        <v>1994</v>
      </c>
    </row>
    <row r="36" spans="1:5" s="1076" customFormat="1" ht="15">
      <c r="A36" s="1095" t="s">
        <v>3128</v>
      </c>
      <c r="B36" s="1080" t="s">
        <v>3293</v>
      </c>
      <c r="C36" s="1085" t="e">
        <f>'Option Costs-HB3646'!AY28</f>
        <v>#DIV/0!</v>
      </c>
      <c r="D36" s="1085"/>
      <c r="E36" s="1127" t="s">
        <v>1994</v>
      </c>
    </row>
    <row r="37" spans="1:5" s="1076" customFormat="1" ht="15">
      <c r="A37" s="1095" t="s">
        <v>3129</v>
      </c>
      <c r="B37" s="1080" t="s">
        <v>3294</v>
      </c>
      <c r="C37" s="1085" t="e">
        <f>'Option Costs-HB3646'!AY29</f>
        <v>#DIV/0!</v>
      </c>
      <c r="D37" s="1085"/>
      <c r="E37" s="1127" t="s">
        <v>1994</v>
      </c>
    </row>
    <row r="38" spans="1:5" s="1076" customFormat="1" ht="15">
      <c r="A38" s="1095" t="s">
        <v>3131</v>
      </c>
      <c r="B38" s="1080" t="s">
        <v>3295</v>
      </c>
      <c r="C38" s="1085" t="e">
        <f>'Option Costs-HB3646'!AY30</f>
        <v>#DIV/0!</v>
      </c>
      <c r="D38" s="1085"/>
      <c r="E38" s="1127" t="s">
        <v>1994</v>
      </c>
    </row>
    <row r="39" spans="1:5" s="1076" customFormat="1" ht="15">
      <c r="A39" s="1095" t="s">
        <v>3132</v>
      </c>
      <c r="B39" s="1080" t="s">
        <v>3296</v>
      </c>
      <c r="C39" s="1085" t="e">
        <f>'Option Costs-HB3646'!AY64</f>
        <v>#DIV/0!</v>
      </c>
      <c r="D39" s="1085"/>
      <c r="E39" s="1085" t="e">
        <f>'Option Costs-HB3646'!BA64</f>
        <v>#DIV/0!</v>
      </c>
    </row>
    <row r="40" spans="1:5" s="1076" customFormat="1" ht="15">
      <c r="A40" s="1095" t="s">
        <v>3133</v>
      </c>
      <c r="B40" s="1080" t="s">
        <v>3297</v>
      </c>
      <c r="C40" s="1085" t="e">
        <f>'Option Costs-HB3646'!AY65</f>
        <v>#DIV/0!</v>
      </c>
      <c r="D40" s="1085"/>
      <c r="E40" s="1085" t="e">
        <f>'Option Costs-HB3646'!BA65</f>
        <v>#DIV/0!</v>
      </c>
    </row>
    <row r="41" spans="1:5" s="1076" customFormat="1" ht="15">
      <c r="A41" s="1095" t="s">
        <v>3134</v>
      </c>
      <c r="B41" s="1080" t="s">
        <v>3298</v>
      </c>
      <c r="C41" s="1084" t="e">
        <f>'Option Costs-HB3646'!AY66</f>
        <v>#DIV/0!</v>
      </c>
      <c r="D41" s="1084"/>
      <c r="E41" s="1084" t="e">
        <f>'Option Costs-HB3646'!BA66</f>
        <v>#DIV/0!</v>
      </c>
    </row>
    <row r="42" spans="1:5" s="1076" customFormat="1" ht="15.75">
      <c r="A42" s="1366" t="s">
        <v>3299</v>
      </c>
      <c r="B42" s="1290"/>
      <c r="C42" s="1290"/>
      <c r="D42" s="1290"/>
      <c r="E42" s="1291"/>
    </row>
    <row r="43" spans="1:5" s="1076" customFormat="1" ht="15">
      <c r="A43" s="1079" t="s">
        <v>3135</v>
      </c>
      <c r="B43" s="1080" t="s">
        <v>3300</v>
      </c>
      <c r="C43" s="1085" t="e">
        <f>'Option Costs-HB3646'!AY73</f>
        <v>#DIV/0!</v>
      </c>
      <c r="D43" s="1080"/>
      <c r="E43" s="1085" t="e">
        <f>'Option Costs-HB3646'!BA73</f>
        <v>#DIV/0!</v>
      </c>
    </row>
    <row r="44" spans="1:5" s="1076" customFormat="1" ht="15">
      <c r="A44" s="1079" t="s">
        <v>3140</v>
      </c>
      <c r="B44" s="1080" t="s">
        <v>3301</v>
      </c>
      <c r="C44" s="1084" t="e">
        <f>'Option Costs-HB3646'!AY74</f>
        <v>#DIV/0!</v>
      </c>
      <c r="D44" s="1084"/>
      <c r="E44" s="1084" t="e">
        <f>'Option Costs-HB3646'!BA74</f>
        <v>#DIV/0!</v>
      </c>
    </row>
    <row r="45" spans="1:5" s="1076" customFormat="1" ht="15">
      <c r="A45" s="1079" t="s">
        <v>3141</v>
      </c>
      <c r="B45" s="1080" t="s">
        <v>7904</v>
      </c>
      <c r="C45" s="1085" t="e">
        <f>'Option Costs-HB3646'!AY75</f>
        <v>#DIV/0!</v>
      </c>
      <c r="D45" s="1085"/>
      <c r="E45" s="1085" t="e">
        <f>'Option Costs-HB3646'!BA75</f>
        <v>#DIV/0!</v>
      </c>
    </row>
    <row r="46" spans="1:5" s="1076" customFormat="1" ht="15">
      <c r="A46" s="1079" t="s">
        <v>3142</v>
      </c>
      <c r="B46" s="1080" t="s">
        <v>3302</v>
      </c>
      <c r="C46" s="1084" t="e">
        <f>'Option Costs-HB3646'!AY76</f>
        <v>#DIV/0!</v>
      </c>
      <c r="D46" s="1084"/>
      <c r="E46" s="1084" t="e">
        <f>'Option Costs-HB3646'!BA76</f>
        <v>#DIV/0!</v>
      </c>
    </row>
    <row r="47" spans="1:5" s="1076" customFormat="1" ht="15">
      <c r="A47" s="1079" t="s">
        <v>3143</v>
      </c>
      <c r="B47" s="1080" t="s">
        <v>3303</v>
      </c>
      <c r="C47" s="1084">
        <f>'Option Costs-HB3646'!AY77</f>
        <v>0</v>
      </c>
      <c r="D47" s="1084"/>
      <c r="E47" s="1084">
        <f>'Option Costs-HB3646'!BA77</f>
        <v>0</v>
      </c>
    </row>
    <row r="48" spans="1:5" s="1076" customFormat="1" ht="15">
      <c r="A48" s="1079" t="s">
        <v>3144</v>
      </c>
      <c r="B48" s="1080" t="s">
        <v>3304</v>
      </c>
      <c r="C48" s="1084" t="e">
        <f>'Option Costs-HB3646'!AY78</f>
        <v>#DIV/0!</v>
      </c>
      <c r="D48" s="1084"/>
      <c r="E48" s="1084" t="e">
        <f>'Option Costs-HB3646'!BA78</f>
        <v>#DIV/0!</v>
      </c>
    </row>
    <row r="49" spans="1:5" s="1076" customFormat="1" ht="15">
      <c r="A49" s="1079" t="s">
        <v>3145</v>
      </c>
      <c r="B49" s="1080" t="s">
        <v>3305</v>
      </c>
      <c r="C49" s="1085" t="e">
        <f>'Option Costs-HB3646'!AY79</f>
        <v>#DIV/0!</v>
      </c>
      <c r="D49" s="1085"/>
      <c r="E49" s="1085" t="e">
        <f>'Option Costs-HB3646'!BA79</f>
        <v>#DIV/0!</v>
      </c>
    </row>
    <row r="50" spans="1:5" s="1076" customFormat="1" ht="15.75">
      <c r="A50" s="1326" t="s">
        <v>3306</v>
      </c>
      <c r="B50" s="1324"/>
      <c r="C50" s="1324"/>
      <c r="D50" s="1324"/>
      <c r="E50" s="1325"/>
    </row>
    <row r="51" spans="1:5" s="1076" customFormat="1" ht="15.75">
      <c r="A51" s="1312" t="s">
        <v>3374</v>
      </c>
      <c r="B51" s="1310"/>
      <c r="C51" s="1310"/>
      <c r="D51" s="1310"/>
      <c r="E51" s="1311"/>
    </row>
    <row r="52" spans="1:5" s="1076" customFormat="1" ht="15">
      <c r="A52" s="1079" t="s">
        <v>3146</v>
      </c>
      <c r="B52" s="1080" t="s">
        <v>3373</v>
      </c>
      <c r="C52" s="1085" t="e">
        <f>'Option Costs-HB3646'!AY118</f>
        <v>#DIV/0!</v>
      </c>
      <c r="D52" s="1080"/>
      <c r="E52" s="1127" t="s">
        <v>1994</v>
      </c>
    </row>
    <row r="53" spans="1:5" s="1076" customFormat="1" ht="15">
      <c r="A53" s="1079" t="s">
        <v>3147</v>
      </c>
      <c r="B53" s="1080" t="s">
        <v>3372</v>
      </c>
      <c r="C53" s="1085" t="e">
        <f>'Option Costs-HB3646'!AY119</f>
        <v>#DIV/0!</v>
      </c>
      <c r="D53" s="1080"/>
      <c r="E53" s="1127" t="s">
        <v>1994</v>
      </c>
    </row>
    <row r="54" spans="1:5" s="1076" customFormat="1" ht="15">
      <c r="A54" s="1079" t="s">
        <v>3148</v>
      </c>
      <c r="B54" s="1080" t="s">
        <v>3307</v>
      </c>
      <c r="C54" s="1085" t="e">
        <f>'Option Costs-HB3646'!AY82</f>
        <v>#DIV/0!</v>
      </c>
      <c r="D54" s="1080"/>
      <c r="E54" s="1127" t="s">
        <v>1994</v>
      </c>
    </row>
    <row r="55" spans="1:5" s="1076" customFormat="1" ht="15.75">
      <c r="A55" s="1366" t="s">
        <v>3308</v>
      </c>
      <c r="B55" s="1290"/>
      <c r="C55" s="1290"/>
      <c r="D55" s="1290"/>
      <c r="E55" s="1291"/>
    </row>
    <row r="56" spans="1:5" s="1076" customFormat="1" ht="15">
      <c r="A56" s="1079" t="s">
        <v>3149</v>
      </c>
      <c r="B56" s="1080" t="s">
        <v>7934</v>
      </c>
      <c r="C56" s="1085">
        <f>'Data Entry - SOF'!O91</f>
        <v>0</v>
      </c>
      <c r="D56" s="1085"/>
      <c r="E56" s="1085">
        <f>'Data Entry - SOF'!O91</f>
        <v>0</v>
      </c>
    </row>
    <row r="57" spans="1:5" s="1076" customFormat="1" ht="15">
      <c r="A57" s="1079" t="s">
        <v>3150</v>
      </c>
      <c r="B57" s="1080" t="s">
        <v>7935</v>
      </c>
      <c r="C57" s="1085" t="e">
        <f>'Option Costs-HB3646'!AY73</f>
        <v>#DIV/0!</v>
      </c>
      <c r="D57" s="1085"/>
      <c r="E57" s="1085" t="e">
        <f>'Option Costs-HB3646'!BA73</f>
        <v>#DIV/0!</v>
      </c>
    </row>
    <row r="58" spans="1:5" s="1076" customFormat="1" ht="15">
      <c r="A58" s="1079" t="s">
        <v>3151</v>
      </c>
      <c r="B58" s="1080" t="s">
        <v>7928</v>
      </c>
      <c r="C58" s="1085" t="e">
        <f>'Option Costs-HB3646'!AY70</f>
        <v>#DIV/0!</v>
      </c>
      <c r="D58" s="1085"/>
      <c r="E58" s="1085" t="e">
        <f>'Option Costs-HB3646'!BA70</f>
        <v>#DIV/0!</v>
      </c>
    </row>
    <row r="59" spans="1:5" s="1076" customFormat="1" ht="15">
      <c r="A59" s="1079" t="s">
        <v>3152</v>
      </c>
      <c r="B59" s="1080" t="s">
        <v>7936</v>
      </c>
      <c r="C59" s="1085" t="e">
        <f>'Option Costs-HB3646'!AY83</f>
        <v>#DIV/0!</v>
      </c>
      <c r="D59" s="1085"/>
      <c r="E59" s="1085">
        <f>'Option Costs-HB3646'!BA83</f>
        <v>0</v>
      </c>
    </row>
    <row r="60" spans="1:5" s="1076" customFormat="1" ht="15">
      <c r="A60" s="1079" t="s">
        <v>3153</v>
      </c>
      <c r="B60" s="1080" t="s">
        <v>3309</v>
      </c>
      <c r="C60" s="1085">
        <v>0</v>
      </c>
      <c r="D60" s="1085"/>
      <c r="E60" s="1085">
        <v>0</v>
      </c>
    </row>
    <row r="61" spans="1:5" s="1076" customFormat="1" ht="15">
      <c r="A61" s="1079" t="s">
        <v>3154</v>
      </c>
      <c r="B61" s="1080" t="s">
        <v>3322</v>
      </c>
      <c r="C61" s="1085">
        <v>0</v>
      </c>
      <c r="D61" s="1085"/>
      <c r="E61" s="1085">
        <v>0</v>
      </c>
    </row>
    <row r="62" spans="1:5" s="1076" customFormat="1" ht="15">
      <c r="A62" s="1079" t="s">
        <v>3155</v>
      </c>
      <c r="B62" s="1080" t="s">
        <v>3310</v>
      </c>
      <c r="C62" s="1085" t="e">
        <f>'Option Costs-HB3646'!AY83</f>
        <v>#DIV/0!</v>
      </c>
      <c r="D62" s="1085"/>
      <c r="E62" s="1085">
        <f>'Option Costs-HB3646'!BA83</f>
        <v>0</v>
      </c>
    </row>
    <row r="63" spans="1:5" s="1076" customFormat="1" ht="15.75">
      <c r="A63" s="1298" t="s">
        <v>3311</v>
      </c>
      <c r="B63" s="1290"/>
      <c r="C63" s="1290"/>
      <c r="D63" s="1290"/>
      <c r="E63" s="1291"/>
    </row>
    <row r="64" spans="1:5" s="1076" customFormat="1" ht="15">
      <c r="A64" s="1079" t="s">
        <v>3156</v>
      </c>
      <c r="B64" s="1080" t="s">
        <v>3312</v>
      </c>
      <c r="C64" s="1085" t="e">
        <f>'Option Costs-HB3646'!AY79</f>
        <v>#DIV/0!</v>
      </c>
      <c r="D64" s="1085"/>
      <c r="E64" s="1085" t="e">
        <f>'Option Costs-HB3646'!BA79</f>
        <v>#DIV/0!</v>
      </c>
    </row>
    <row r="65" spans="1:7" s="1076" customFormat="1" ht="15.75">
      <c r="A65" s="1079" t="s">
        <v>3157</v>
      </c>
      <c r="B65" s="1078" t="s">
        <v>3313</v>
      </c>
      <c r="C65" s="1090" t="e">
        <f>'Option Costs-HB3646'!AY85</f>
        <v>#DIV/0!</v>
      </c>
      <c r="D65" s="1085"/>
      <c r="E65" s="1090" t="e">
        <f>'Option Costs-HB3646'!BA85</f>
        <v>#DIV/0!</v>
      </c>
      <c r="F65" s="1317" t="s">
        <v>3445</v>
      </c>
      <c r="G65" s="1318" t="str">
        <f>'Data Entry - SOF'!O97</f>
        <v>Y</v>
      </c>
    </row>
    <row r="66" spans="1:7" s="1076" customFormat="1" ht="15.75">
      <c r="A66" s="1079" t="s">
        <v>3158</v>
      </c>
      <c r="B66" s="1078" t="s">
        <v>3314</v>
      </c>
      <c r="C66" s="1090" t="e">
        <f>'Option Costs-HB3646'!AY86</f>
        <v>#DIV/0!</v>
      </c>
      <c r="D66" s="1085"/>
      <c r="E66" s="1090" t="e">
        <f>'Option Costs-HB3646'!BA86</f>
        <v>#DIV/0!</v>
      </c>
      <c r="F66" s="961" t="s">
        <v>3473</v>
      </c>
    </row>
    <row r="67" spans="1:7" s="1076" customFormat="1" ht="15.75">
      <c r="A67" s="1366" t="s">
        <v>3315</v>
      </c>
      <c r="B67" s="1290"/>
      <c r="C67" s="1290"/>
      <c r="D67" s="1290"/>
      <c r="E67" s="1291"/>
      <c r="F67" s="961" t="s">
        <v>3474</v>
      </c>
    </row>
    <row r="68" spans="1:7" s="1076" customFormat="1" ht="15">
      <c r="A68" s="1079" t="s">
        <v>3175</v>
      </c>
      <c r="B68" s="1080" t="s">
        <v>7937</v>
      </c>
      <c r="C68" s="1084" t="e">
        <f>'Calc Data-SB1'!I25</f>
        <v>#DIV/0!</v>
      </c>
      <c r="D68" s="1084"/>
      <c r="E68" s="1084" t="e">
        <f>'Calc Data-SB1'!I25</f>
        <v>#DIV/0!</v>
      </c>
    </row>
    <row r="69" spans="1:7" s="1076" customFormat="1" ht="15">
      <c r="A69" s="1079" t="s">
        <v>3176</v>
      </c>
      <c r="B69" s="1080" t="s">
        <v>7938</v>
      </c>
      <c r="C69" s="1083">
        <f>'Data Entry - SOF'!O90</f>
        <v>0</v>
      </c>
      <c r="D69" s="1083"/>
      <c r="E69" s="1083">
        <f>'Data Entry - SOF'!O90</f>
        <v>0</v>
      </c>
    </row>
    <row r="70" spans="1:7" s="1076" customFormat="1" ht="15">
      <c r="A70" s="1079" t="s">
        <v>3177</v>
      </c>
      <c r="B70" s="1080" t="s">
        <v>7939</v>
      </c>
      <c r="C70" s="1083">
        <f>'Data Entry - SOF'!O89</f>
        <v>0</v>
      </c>
      <c r="D70" s="1083"/>
      <c r="E70" s="1083">
        <f>'Data Entry - SOF'!O89</f>
        <v>0</v>
      </c>
    </row>
    <row r="71" spans="1:7" s="1076" customFormat="1" ht="15.75">
      <c r="A71" s="1326" t="s">
        <v>3284</v>
      </c>
      <c r="B71" s="1324"/>
      <c r="C71" s="1324"/>
      <c r="D71" s="1324"/>
      <c r="E71" s="1325"/>
    </row>
    <row r="72" spans="1:7" s="1076" customFormat="1" ht="15.75">
      <c r="A72" s="1312" t="s">
        <v>3316</v>
      </c>
      <c r="B72" s="1310"/>
      <c r="C72" s="1310"/>
      <c r="D72" s="1310"/>
      <c r="E72" s="1311"/>
    </row>
    <row r="73" spans="1:7" s="1076" customFormat="1" ht="15">
      <c r="A73" s="1079" t="s">
        <v>3178</v>
      </c>
      <c r="B73" s="1080" t="s">
        <v>7938</v>
      </c>
      <c r="C73" s="1083">
        <f>'Data Entry - SOF'!O90</f>
        <v>0</v>
      </c>
      <c r="D73" s="1080"/>
      <c r="E73" s="1083">
        <f>'Data Entry - SOF'!O90</f>
        <v>0</v>
      </c>
    </row>
    <row r="74" spans="1:7" s="1076" customFormat="1" ht="15">
      <c r="A74" s="1079" t="s">
        <v>3179</v>
      </c>
      <c r="B74" s="1080" t="s">
        <v>3317</v>
      </c>
      <c r="C74" s="1084">
        <f>'Ch41 Calc Data'!Q15</f>
        <v>0</v>
      </c>
      <c r="D74" s="1084"/>
      <c r="E74" s="1084">
        <f>'Ch41 Calc Data'!Q15</f>
        <v>0</v>
      </c>
    </row>
    <row r="75" spans="1:7" s="1076" customFormat="1" ht="15">
      <c r="A75" s="1079" t="s">
        <v>3180</v>
      </c>
      <c r="B75" s="1080" t="s">
        <v>3318</v>
      </c>
      <c r="C75" s="1084">
        <f>'Ch41 Calc Data'!Q16</f>
        <v>0</v>
      </c>
      <c r="D75" s="1084"/>
      <c r="E75" s="1084">
        <f>'Ch41 Calc Data'!Q16</f>
        <v>0</v>
      </c>
    </row>
    <row r="76" spans="1:7" s="1076" customFormat="1" ht="15.75">
      <c r="A76" s="1366" t="s">
        <v>3319</v>
      </c>
      <c r="B76" s="1290"/>
      <c r="C76" s="1290"/>
      <c r="D76" s="1290"/>
      <c r="E76" s="1291"/>
    </row>
    <row r="77" spans="1:7" s="1076" customFormat="1" ht="15">
      <c r="A77" s="1079" t="s">
        <v>3320</v>
      </c>
      <c r="B77" s="1080" t="s">
        <v>7940</v>
      </c>
      <c r="C77" s="1084" t="e">
        <f>'Ch41 Calc Data'!Q17</f>
        <v>#DIV/0!</v>
      </c>
      <c r="D77" s="1084"/>
      <c r="E77" s="1084" t="e">
        <f>'Ch41 Calc Data'!Q17</f>
        <v>#DIV/0!</v>
      </c>
    </row>
    <row r="78" spans="1:7" s="1076" customFormat="1" ht="15">
      <c r="B78" s="1733" t="s">
        <v>4453</v>
      </c>
      <c r="C78" s="4106" t="s">
        <v>8009</v>
      </c>
    </row>
    <row r="79" spans="1:7" s="1076" customFormat="1" ht="15">
      <c r="B79" s="4111" t="s">
        <v>8008</v>
      </c>
      <c r="C79" s="4106" t="s">
        <v>7994</v>
      </c>
    </row>
    <row r="80" spans="1:7" s="1076" customFormat="1" ht="15.75">
      <c r="A80" s="961" t="s">
        <v>7941</v>
      </c>
    </row>
    <row r="81" spans="1:5" s="1076" customFormat="1" ht="15.75">
      <c r="A81" s="1130">
        <f>A5</f>
        <v>0</v>
      </c>
    </row>
    <row r="82" spans="1:5" s="1076" customFormat="1" ht="15.75">
      <c r="A82" s="961">
        <f>A6</f>
        <v>0</v>
      </c>
    </row>
    <row r="83" spans="1:5" s="1076" customFormat="1" ht="15"/>
    <row r="84" spans="1:5" s="1076" customFormat="1" ht="15"/>
    <row r="85" spans="1:5" s="1076" customFormat="1" ht="18">
      <c r="A85" s="1320" t="s">
        <v>3276</v>
      </c>
      <c r="B85" s="1270"/>
      <c r="C85" s="1272"/>
      <c r="D85" s="1322" t="s">
        <v>3283</v>
      </c>
      <c r="E85" s="1271"/>
    </row>
    <row r="86" spans="1:5" s="1076" customFormat="1" ht="18">
      <c r="A86" s="1329" t="str">
        <f>CONCATENATE("Equalized Wealth Level = ($",Assumptions!G104,")")</f>
        <v>Equalized Wealth Level = ($319500)</v>
      </c>
      <c r="B86" s="1319"/>
      <c r="C86" s="1293" t="s">
        <v>3281</v>
      </c>
      <c r="D86" s="1293"/>
      <c r="E86" s="1304" t="s">
        <v>3282</v>
      </c>
    </row>
    <row r="87" spans="1:5" s="1076" customFormat="1" ht="15">
      <c r="A87" s="1079" t="s">
        <v>2501</v>
      </c>
      <c r="B87" s="1080" t="s">
        <v>1082</v>
      </c>
      <c r="C87" s="1124">
        <f>'Data Entry - SOF'!C136</f>
        <v>0</v>
      </c>
      <c r="D87" s="1124"/>
      <c r="E87" s="1124">
        <f t="shared" ref="E87:E99" si="2">C87</f>
        <v>0</v>
      </c>
    </row>
    <row r="88" spans="1:5" s="1076" customFormat="1" ht="15">
      <c r="A88" s="1079" t="s">
        <v>2502</v>
      </c>
      <c r="B88" s="1080" t="s">
        <v>1083</v>
      </c>
      <c r="C88" s="1124">
        <f>'Data Entry - SOF'!C137</f>
        <v>0</v>
      </c>
      <c r="D88" s="1124"/>
      <c r="E88" s="1124">
        <f t="shared" si="2"/>
        <v>0</v>
      </c>
    </row>
    <row r="89" spans="1:5" s="1076" customFormat="1" ht="15">
      <c r="A89" s="1079" t="s">
        <v>2503</v>
      </c>
      <c r="B89" s="1080" t="s">
        <v>673</v>
      </c>
      <c r="C89" s="1084">
        <f>'Data Entry - SOF'!C138</f>
        <v>0</v>
      </c>
      <c r="D89" s="1080"/>
      <c r="E89" s="1084">
        <f t="shared" si="2"/>
        <v>0</v>
      </c>
    </row>
    <row r="90" spans="1:5" s="1076" customFormat="1" ht="15">
      <c r="A90" s="1079" t="s">
        <v>1024</v>
      </c>
      <c r="B90" s="1080" t="s">
        <v>3277</v>
      </c>
      <c r="C90" s="1085">
        <f>'Data Entry - SOF'!C139</f>
        <v>0</v>
      </c>
      <c r="D90" s="1085"/>
      <c r="E90" s="1124">
        <f t="shared" si="2"/>
        <v>0</v>
      </c>
    </row>
    <row r="91" spans="1:5" s="1076" customFormat="1" ht="15">
      <c r="A91" s="1079" t="s">
        <v>1025</v>
      </c>
      <c r="B91" s="1080" t="s">
        <v>7928</v>
      </c>
      <c r="C91" s="1124" t="e">
        <f>'Option Costs-HB3646'!BC71</f>
        <v>#DIV/0!</v>
      </c>
      <c r="D91" s="1124"/>
      <c r="E91" s="1124" t="e">
        <f t="shared" si="2"/>
        <v>#DIV/0!</v>
      </c>
    </row>
    <row r="92" spans="1:5" s="1076" customFormat="1" ht="15">
      <c r="A92" s="1079" t="s">
        <v>1027</v>
      </c>
      <c r="B92" s="1080" t="s">
        <v>7929</v>
      </c>
      <c r="C92" s="1125">
        <f>'Data Entry - SOF'!O58</f>
        <v>0</v>
      </c>
      <c r="D92" s="1125"/>
      <c r="E92" s="1125">
        <f t="shared" si="2"/>
        <v>0</v>
      </c>
    </row>
    <row r="93" spans="1:5" s="1076" customFormat="1" ht="15">
      <c r="A93" s="1079" t="s">
        <v>3278</v>
      </c>
      <c r="B93" s="1080" t="s">
        <v>7930</v>
      </c>
      <c r="C93" s="1125" t="e">
        <f>C17</f>
        <v>#DIV/0!</v>
      </c>
      <c r="D93" s="1125"/>
      <c r="E93" s="1125" t="e">
        <f t="shared" si="2"/>
        <v>#DIV/0!</v>
      </c>
    </row>
    <row r="94" spans="1:5" s="1076" customFormat="1" ht="15">
      <c r="A94" s="1079" t="s">
        <v>1028</v>
      </c>
      <c r="B94" s="1080" t="s">
        <v>7931</v>
      </c>
      <c r="C94" s="1084" t="e">
        <f>'Ch41 Calc Data'!Q17</f>
        <v>#DIV/0!</v>
      </c>
      <c r="D94" s="1084"/>
      <c r="E94" s="1084" t="e">
        <f t="shared" si="2"/>
        <v>#DIV/0!</v>
      </c>
    </row>
    <row r="95" spans="1:5" s="1076" customFormat="1" ht="15">
      <c r="A95" s="1079" t="s">
        <v>1029</v>
      </c>
      <c r="B95" s="1080" t="s">
        <v>7657</v>
      </c>
      <c r="C95" s="1085">
        <f>C19</f>
        <v>0</v>
      </c>
      <c r="D95" s="1080"/>
      <c r="E95" s="1124">
        <f t="shared" si="2"/>
        <v>0</v>
      </c>
    </row>
    <row r="96" spans="1:5" s="1076" customFormat="1" ht="15">
      <c r="A96" s="1079" t="s">
        <v>139</v>
      </c>
      <c r="B96" s="1080" t="s">
        <v>7932</v>
      </c>
      <c r="C96" s="1085">
        <f>'Report-SOF2223'!D68</f>
        <v>0</v>
      </c>
      <c r="D96" s="1080"/>
      <c r="E96" s="1124">
        <f t="shared" si="2"/>
        <v>0</v>
      </c>
    </row>
    <row r="97" spans="1:5" s="1076" customFormat="1" ht="15">
      <c r="A97" s="1079" t="s">
        <v>140</v>
      </c>
      <c r="B97" s="1080" t="s">
        <v>3279</v>
      </c>
      <c r="C97" s="1083">
        <f>'Data Entry - SOF'!O94</f>
        <v>0</v>
      </c>
      <c r="D97" s="1083"/>
      <c r="E97" s="1083">
        <f t="shared" si="2"/>
        <v>0</v>
      </c>
    </row>
    <row r="98" spans="1:5" s="1076" customFormat="1" ht="15">
      <c r="A98" s="1079" t="s">
        <v>141</v>
      </c>
      <c r="B98" s="1080" t="s">
        <v>3280</v>
      </c>
      <c r="C98" s="1124">
        <f>'Data Entry - SOF'!O95</f>
        <v>0</v>
      </c>
      <c r="D98" s="1080"/>
      <c r="E98" s="1124">
        <f t="shared" si="2"/>
        <v>0</v>
      </c>
    </row>
    <row r="99" spans="1:5" s="1076" customFormat="1" ht="15">
      <c r="A99" s="1079" t="s">
        <v>142</v>
      </c>
      <c r="B99" s="1080" t="s">
        <v>2035</v>
      </c>
      <c r="C99" s="1126">
        <f>C23</f>
        <v>0</v>
      </c>
      <c r="D99" s="1097"/>
      <c r="E99" s="1126">
        <f t="shared" si="2"/>
        <v>0</v>
      </c>
    </row>
    <row r="100" spans="1:5" s="1076" customFormat="1" ht="15.75">
      <c r="A100" s="1326" t="s">
        <v>3284</v>
      </c>
      <c r="B100" s="1324"/>
      <c r="C100" s="1324"/>
      <c r="D100" s="1324"/>
      <c r="E100" s="1325"/>
    </row>
    <row r="101" spans="1:5" s="1076" customFormat="1" ht="15.75">
      <c r="A101" s="1312" t="s">
        <v>3285</v>
      </c>
      <c r="B101" s="1310"/>
      <c r="C101" s="1310"/>
      <c r="D101" s="1310"/>
      <c r="E101" s="1311"/>
    </row>
    <row r="102" spans="1:5" s="1076" customFormat="1" ht="15">
      <c r="A102" s="1079" t="s">
        <v>1706</v>
      </c>
      <c r="B102" s="1080" t="s">
        <v>3286</v>
      </c>
      <c r="C102" s="1085">
        <f>'Option Costs-HB3646'!BC13</f>
        <v>0</v>
      </c>
      <c r="D102" s="1085"/>
      <c r="E102" s="1085">
        <f t="shared" ref="E102:E107" si="3">C102</f>
        <v>0</v>
      </c>
    </row>
    <row r="103" spans="1:5" s="1076" customFormat="1" ht="15">
      <c r="A103" s="1079" t="s">
        <v>6</v>
      </c>
      <c r="B103" s="1080" t="s">
        <v>3321</v>
      </c>
      <c r="C103" s="1084">
        <f>'Option Costs-HB3646'!BC16</f>
        <v>0</v>
      </c>
      <c r="D103" s="1084"/>
      <c r="E103" s="1084">
        <f t="shared" si="3"/>
        <v>0</v>
      </c>
    </row>
    <row r="104" spans="1:5" s="1076" customFormat="1" ht="15">
      <c r="A104" s="1079" t="s">
        <v>2551</v>
      </c>
      <c r="B104" s="1080" t="s">
        <v>3287</v>
      </c>
      <c r="C104" s="1085">
        <f>'Option Costs-HB3646'!BC17</f>
        <v>0</v>
      </c>
      <c r="D104" s="1085"/>
      <c r="E104" s="1085">
        <f t="shared" si="3"/>
        <v>0</v>
      </c>
    </row>
    <row r="105" spans="1:5" s="1076" customFormat="1" ht="15">
      <c r="A105" s="1079" t="s">
        <v>2552</v>
      </c>
      <c r="B105" s="1080" t="s">
        <v>3288</v>
      </c>
      <c r="C105" s="1085">
        <f>'Option Costs-HB3646'!BC19</f>
        <v>0</v>
      </c>
      <c r="D105" s="1085"/>
      <c r="E105" s="1085">
        <f t="shared" si="3"/>
        <v>0</v>
      </c>
    </row>
    <row r="106" spans="1:5" s="1076" customFormat="1" ht="15">
      <c r="A106" s="1079" t="s">
        <v>3122</v>
      </c>
      <c r="B106" s="1080" t="s">
        <v>3289</v>
      </c>
      <c r="C106" s="1084">
        <f>'Option Costs-HB3646'!BC20</f>
        <v>0</v>
      </c>
      <c r="D106" s="1084"/>
      <c r="E106" s="1084">
        <f t="shared" si="3"/>
        <v>0</v>
      </c>
    </row>
    <row r="107" spans="1:5" s="1076" customFormat="1" ht="15">
      <c r="A107" s="1079" t="s">
        <v>3123</v>
      </c>
      <c r="B107" s="1080" t="s">
        <v>7933</v>
      </c>
      <c r="C107" s="1084">
        <f>'Option Costs-HB3646'!BC21</f>
        <v>1.4999999999999999E-2</v>
      </c>
      <c r="D107" s="1084"/>
      <c r="E107" s="1084">
        <f t="shared" si="3"/>
        <v>1.4999999999999999E-2</v>
      </c>
    </row>
    <row r="108" spans="1:5" s="1076" customFormat="1" ht="15.75">
      <c r="A108" s="1366" t="s">
        <v>3290</v>
      </c>
      <c r="B108" s="1290"/>
      <c r="C108" s="1290"/>
      <c r="D108" s="1290"/>
      <c r="E108" s="1291"/>
    </row>
    <row r="109" spans="1:5" ht="15">
      <c r="A109" s="1095" t="s">
        <v>3126</v>
      </c>
      <c r="B109" s="1080" t="s">
        <v>3290</v>
      </c>
      <c r="C109" s="1085" t="e">
        <f>'Option Costs-HB3646'!BC24</f>
        <v>#DIV/0!</v>
      </c>
      <c r="D109" s="1085"/>
      <c r="E109" s="1085" t="e">
        <f>C109</f>
        <v>#DIV/0!</v>
      </c>
    </row>
    <row r="110" spans="1:5" ht="15.75">
      <c r="A110" s="1366" t="s">
        <v>3291</v>
      </c>
      <c r="B110" s="1290"/>
      <c r="C110" s="1290"/>
      <c r="D110" s="1290"/>
      <c r="E110" s="1291"/>
    </row>
    <row r="111" spans="1:5" ht="15">
      <c r="A111" s="1095" t="s">
        <v>3127</v>
      </c>
      <c r="B111" s="1080" t="s">
        <v>3292</v>
      </c>
      <c r="C111" s="1085">
        <f>'Option Costs-HB3646'!BC27</f>
        <v>0</v>
      </c>
      <c r="D111" s="1085"/>
      <c r="E111" s="1127" t="s">
        <v>1994</v>
      </c>
    </row>
    <row r="112" spans="1:5" ht="15">
      <c r="A112" s="1095" t="s">
        <v>3128</v>
      </c>
      <c r="B112" s="1080" t="s">
        <v>3293</v>
      </c>
      <c r="C112" s="1085" t="e">
        <f>'Option Costs-HB3646'!BC28</f>
        <v>#DIV/0!</v>
      </c>
      <c r="D112" s="1085"/>
      <c r="E112" s="1127" t="s">
        <v>1994</v>
      </c>
    </row>
    <row r="113" spans="1:5" ht="15">
      <c r="A113" s="1095" t="s">
        <v>3129</v>
      </c>
      <c r="B113" s="1080" t="s">
        <v>3294</v>
      </c>
      <c r="C113" s="1085" t="e">
        <f>'Option Costs-HB3646'!BC29</f>
        <v>#DIV/0!</v>
      </c>
      <c r="D113" s="1085"/>
      <c r="E113" s="1127" t="s">
        <v>1994</v>
      </c>
    </row>
    <row r="114" spans="1:5" ht="15">
      <c r="A114" s="1095" t="s">
        <v>3131</v>
      </c>
      <c r="B114" s="1080" t="s">
        <v>3295</v>
      </c>
      <c r="C114" s="1085" t="e">
        <f>'Option Costs-HB3646'!BC30</f>
        <v>#DIV/0!</v>
      </c>
      <c r="D114" s="1085"/>
      <c r="E114" s="1127" t="s">
        <v>1994</v>
      </c>
    </row>
    <row r="115" spans="1:5" ht="15">
      <c r="A115" s="1095" t="s">
        <v>3132</v>
      </c>
      <c r="B115" s="1080" t="s">
        <v>3296</v>
      </c>
      <c r="C115" s="1085" t="e">
        <f>'Option Costs-HB3646'!BC64</f>
        <v>#DIV/0!</v>
      </c>
      <c r="D115" s="1085"/>
      <c r="E115" s="1085" t="e">
        <f>'Option Costs-HB3646'!BE64</f>
        <v>#DIV/0!</v>
      </c>
    </row>
    <row r="116" spans="1:5" ht="15">
      <c r="A116" s="1095" t="s">
        <v>3133</v>
      </c>
      <c r="B116" s="1080" t="s">
        <v>3297</v>
      </c>
      <c r="C116" s="1085" t="e">
        <f>'Option Costs-HB3646'!BC65</f>
        <v>#DIV/0!</v>
      </c>
      <c r="D116" s="1085"/>
      <c r="E116" s="1085" t="e">
        <f>'Option Costs-HB3646'!BE65</f>
        <v>#DIV/0!</v>
      </c>
    </row>
    <row r="117" spans="1:5" ht="15">
      <c r="A117" s="1095" t="s">
        <v>3134</v>
      </c>
      <c r="B117" s="1080" t="s">
        <v>3298</v>
      </c>
      <c r="C117" s="1084" t="e">
        <f>'Option Costs-HB3646'!BC66</f>
        <v>#DIV/0!</v>
      </c>
      <c r="D117" s="1084"/>
      <c r="E117" s="1084" t="e">
        <f>'Option Costs-HB3646'!BE66</f>
        <v>#DIV/0!</v>
      </c>
    </row>
    <row r="118" spans="1:5" ht="15.75">
      <c r="A118" s="1366" t="s">
        <v>3299</v>
      </c>
      <c r="B118" s="1290"/>
      <c r="C118" s="1290"/>
      <c r="D118" s="1290"/>
      <c r="E118" s="1291"/>
    </row>
    <row r="119" spans="1:5" ht="15">
      <c r="A119" s="1079" t="s">
        <v>3135</v>
      </c>
      <c r="B119" s="1080" t="s">
        <v>3300</v>
      </c>
      <c r="C119" s="1085" t="e">
        <f>'Option Costs-HB3646'!BC73</f>
        <v>#DIV/0!</v>
      </c>
      <c r="D119" s="1080"/>
      <c r="E119" s="1085" t="e">
        <f>'Option Costs-HB3646'!BE73</f>
        <v>#DIV/0!</v>
      </c>
    </row>
    <row r="120" spans="1:5" ht="15">
      <c r="A120" s="1079" t="s">
        <v>3140</v>
      </c>
      <c r="B120" s="1080" t="s">
        <v>3301</v>
      </c>
      <c r="C120" s="1084" t="e">
        <f>'Option Costs-HB3646'!BC74</f>
        <v>#DIV/0!</v>
      </c>
      <c r="D120" s="1084"/>
      <c r="E120" s="1084" t="e">
        <f>'Option Costs-HB3646'!BE74</f>
        <v>#DIV/0!</v>
      </c>
    </row>
    <row r="121" spans="1:5" ht="15">
      <c r="A121" s="1079" t="s">
        <v>3141</v>
      </c>
      <c r="B121" s="1080" t="s">
        <v>7904</v>
      </c>
      <c r="C121" s="1085" t="e">
        <f>'Option Costs-HB3646'!BC75</f>
        <v>#DIV/0!</v>
      </c>
      <c r="D121" s="1085"/>
      <c r="E121" s="1085" t="e">
        <f>'Option Costs-HB3646'!BE75</f>
        <v>#DIV/0!</v>
      </c>
    </row>
    <row r="122" spans="1:5" ht="15">
      <c r="A122" s="1079" t="s">
        <v>3142</v>
      </c>
      <c r="B122" s="1080" t="s">
        <v>3302</v>
      </c>
      <c r="C122" s="1084" t="e">
        <f>'Option Costs-HB3646'!BC76</f>
        <v>#DIV/0!</v>
      </c>
      <c r="D122" s="1084"/>
      <c r="E122" s="1084" t="e">
        <f>'Option Costs-HB3646'!BE76</f>
        <v>#DIV/0!</v>
      </c>
    </row>
    <row r="123" spans="1:5" ht="15">
      <c r="A123" s="1079" t="s">
        <v>3143</v>
      </c>
      <c r="B123" s="1080" t="s">
        <v>3303</v>
      </c>
      <c r="C123" s="1084">
        <f>'Option Costs-HB3646'!BC77</f>
        <v>0</v>
      </c>
      <c r="D123" s="1084"/>
      <c r="E123" s="1084">
        <f>'Option Costs-HB3646'!BE77</f>
        <v>0</v>
      </c>
    </row>
    <row r="124" spans="1:5" ht="15">
      <c r="A124" s="1079" t="s">
        <v>3144</v>
      </c>
      <c r="B124" s="1080" t="s">
        <v>3304</v>
      </c>
      <c r="C124" s="1084" t="e">
        <f>'Option Costs-HB3646'!BC78</f>
        <v>#DIV/0!</v>
      </c>
      <c r="D124" s="1084"/>
      <c r="E124" s="1084" t="e">
        <f>'Option Costs-HB3646'!BE78</f>
        <v>#DIV/0!</v>
      </c>
    </row>
    <row r="125" spans="1:5" ht="15">
      <c r="A125" s="1079" t="s">
        <v>3145</v>
      </c>
      <c r="B125" s="1080" t="s">
        <v>3305</v>
      </c>
      <c r="C125" s="1085" t="e">
        <f>'Option Costs-HB3646'!BC79</f>
        <v>#DIV/0!</v>
      </c>
      <c r="D125" s="1085"/>
      <c r="E125" s="1085" t="e">
        <f>'Option Costs-HB3646'!BE79</f>
        <v>#DIV/0!</v>
      </c>
    </row>
    <row r="126" spans="1:5" ht="15.75">
      <c r="A126" s="1326" t="s">
        <v>3306</v>
      </c>
      <c r="B126" s="1324"/>
      <c r="C126" s="1324"/>
      <c r="D126" s="1324"/>
      <c r="E126" s="1325"/>
    </row>
    <row r="127" spans="1:5" ht="15.75">
      <c r="A127" s="1312" t="s">
        <v>3374</v>
      </c>
      <c r="B127" s="1310"/>
      <c r="C127" s="1310"/>
      <c r="D127" s="1310"/>
      <c r="E127" s="1311"/>
    </row>
    <row r="128" spans="1:5" ht="15">
      <c r="A128" s="1079" t="s">
        <v>3146</v>
      </c>
      <c r="B128" s="1080" t="s">
        <v>3373</v>
      </c>
      <c r="C128" s="1085" t="e">
        <f>'Option Costs-HB3646'!BC118</f>
        <v>#DIV/0!</v>
      </c>
      <c r="D128" s="1080"/>
      <c r="E128" s="1127" t="s">
        <v>1994</v>
      </c>
    </row>
    <row r="129" spans="1:7" ht="15">
      <c r="A129" s="1079" t="s">
        <v>3147</v>
      </c>
      <c r="B129" s="1080" t="s">
        <v>3372</v>
      </c>
      <c r="C129" s="1085" t="e">
        <f>'Option Costs-HB3646'!BC119</f>
        <v>#DIV/0!</v>
      </c>
      <c r="D129" s="1080"/>
      <c r="E129" s="1127" t="s">
        <v>1994</v>
      </c>
    </row>
    <row r="130" spans="1:7" ht="15">
      <c r="A130" s="1079" t="s">
        <v>3148</v>
      </c>
      <c r="B130" s="1080" t="s">
        <v>3307</v>
      </c>
      <c r="C130" s="1085" t="e">
        <f>'Option Costs-HB3646'!BC82</f>
        <v>#DIV/0!</v>
      </c>
      <c r="D130" s="1080"/>
      <c r="E130" s="1127" t="s">
        <v>1994</v>
      </c>
    </row>
    <row r="131" spans="1:7" ht="15.75">
      <c r="A131" s="1366" t="s">
        <v>3308</v>
      </c>
      <c r="B131" s="1290"/>
      <c r="C131" s="1290"/>
      <c r="D131" s="1290"/>
      <c r="E131" s="1291"/>
    </row>
    <row r="132" spans="1:7" ht="15">
      <c r="A132" s="1079" t="s">
        <v>3149</v>
      </c>
      <c r="B132" s="1080" t="s">
        <v>7934</v>
      </c>
      <c r="C132" s="1085">
        <f>'Data Entry - SOF'!O91</f>
        <v>0</v>
      </c>
      <c r="D132" s="1085"/>
      <c r="E132" s="1085">
        <f>'Data Entry - SOF'!O91</f>
        <v>0</v>
      </c>
    </row>
    <row r="133" spans="1:7" ht="15">
      <c r="A133" s="1079" t="s">
        <v>3150</v>
      </c>
      <c r="B133" s="1080" t="s">
        <v>7935</v>
      </c>
      <c r="C133" s="1085" t="e">
        <f>'Option Costs-HB3646'!BC73</f>
        <v>#DIV/0!</v>
      </c>
      <c r="D133" s="1085"/>
      <c r="E133" s="1085" t="e">
        <f>'Option Costs-HB3646'!BE73</f>
        <v>#DIV/0!</v>
      </c>
    </row>
    <row r="134" spans="1:7" ht="15">
      <c r="A134" s="1079" t="s">
        <v>3151</v>
      </c>
      <c r="B134" s="1080" t="s">
        <v>7928</v>
      </c>
      <c r="C134" s="1085" t="e">
        <f>'Option Costs-HB3646'!BC72</f>
        <v>#DIV/0!</v>
      </c>
      <c r="D134" s="1085"/>
      <c r="E134" s="1085" t="e">
        <f>'Option Costs-HB3646'!BE72</f>
        <v>#DIV/0!</v>
      </c>
    </row>
    <row r="135" spans="1:7" ht="15">
      <c r="A135" s="1079" t="s">
        <v>3152</v>
      </c>
      <c r="B135" s="1080" t="s">
        <v>7936</v>
      </c>
      <c r="C135" s="1085" t="e">
        <f>'Option Costs-HB3646'!BC83</f>
        <v>#DIV/0!</v>
      </c>
      <c r="D135" s="1085"/>
      <c r="E135" s="1085">
        <f>'Option Costs-HB3646'!BE83</f>
        <v>0</v>
      </c>
    </row>
    <row r="136" spans="1:7" ht="15">
      <c r="A136" s="1079" t="s">
        <v>3153</v>
      </c>
      <c r="B136" s="1080" t="s">
        <v>3309</v>
      </c>
      <c r="C136" s="1085">
        <v>0</v>
      </c>
      <c r="D136" s="1085"/>
      <c r="E136" s="1085">
        <v>0</v>
      </c>
    </row>
    <row r="137" spans="1:7" ht="15">
      <c r="A137" s="1079" t="s">
        <v>3154</v>
      </c>
      <c r="B137" s="1080" t="s">
        <v>3322</v>
      </c>
      <c r="C137" s="1085">
        <v>0</v>
      </c>
      <c r="D137" s="1085"/>
      <c r="E137" s="1085">
        <v>0</v>
      </c>
    </row>
    <row r="138" spans="1:7" ht="15">
      <c r="A138" s="1079" t="s">
        <v>3155</v>
      </c>
      <c r="B138" s="1080" t="s">
        <v>3310</v>
      </c>
      <c r="C138" s="1085" t="e">
        <f>'Option Costs-HB3646'!BC83</f>
        <v>#DIV/0!</v>
      </c>
      <c r="D138" s="1085"/>
      <c r="E138" s="1085">
        <f>'Option Costs-HB3646'!BE83</f>
        <v>0</v>
      </c>
    </row>
    <row r="139" spans="1:7" ht="15.75">
      <c r="A139" s="1298" t="s">
        <v>3311</v>
      </c>
      <c r="B139" s="1290"/>
      <c r="C139" s="1290"/>
      <c r="D139" s="1290"/>
      <c r="E139" s="1291"/>
    </row>
    <row r="140" spans="1:7" ht="15">
      <c r="A140" s="1079" t="s">
        <v>3156</v>
      </c>
      <c r="B140" s="1080" t="s">
        <v>3312</v>
      </c>
      <c r="C140" s="1085" t="e">
        <f>'Option Costs-HB3646'!BC79</f>
        <v>#DIV/0!</v>
      </c>
      <c r="D140" s="1085"/>
      <c r="E140" s="1085" t="e">
        <f>'Option Costs-HB3646'!BE79</f>
        <v>#DIV/0!</v>
      </c>
    </row>
    <row r="141" spans="1:7" ht="15.75">
      <c r="A141" s="1079" t="s">
        <v>3157</v>
      </c>
      <c r="B141" s="1078" t="s">
        <v>3313</v>
      </c>
      <c r="C141" s="1090" t="e">
        <f>'Option Costs-HB3646'!BC85</f>
        <v>#DIV/0!</v>
      </c>
      <c r="D141" s="1090"/>
      <c r="E141" s="1090" t="e">
        <f>'Option Costs-HB3646'!BE85</f>
        <v>#DIV/0!</v>
      </c>
      <c r="F141" s="1317" t="s">
        <v>3445</v>
      </c>
      <c r="G141" s="1318" t="str">
        <f>'Data Entry - SOF'!O98</f>
        <v>Y</v>
      </c>
    </row>
    <row r="142" spans="1:7" ht="15.75">
      <c r="A142" s="1079" t="s">
        <v>3158</v>
      </c>
      <c r="B142" s="1078" t="s">
        <v>3314</v>
      </c>
      <c r="C142" s="1090" t="e">
        <f>'Option Costs-HB3646'!BC86</f>
        <v>#DIV/0!</v>
      </c>
      <c r="D142" s="1090"/>
      <c r="E142" s="1090" t="e">
        <f>'Option Costs-HB3646'!BE86</f>
        <v>#DIV/0!</v>
      </c>
    </row>
    <row r="143" spans="1:7" ht="15.75">
      <c r="A143" s="1366" t="s">
        <v>3315</v>
      </c>
      <c r="B143" s="1290"/>
      <c r="C143" s="1290"/>
      <c r="D143" s="1290"/>
      <c r="E143" s="1291"/>
    </row>
    <row r="144" spans="1:7" ht="15">
      <c r="A144" s="1079" t="s">
        <v>3175</v>
      </c>
      <c r="B144" s="1080" t="s">
        <v>7937</v>
      </c>
      <c r="C144" s="1084" t="e">
        <f>'Calc Data-SB1'!I25</f>
        <v>#DIV/0!</v>
      </c>
      <c r="D144" s="1084"/>
      <c r="E144" s="1084" t="e">
        <f>'Calc Data-SB1'!I25</f>
        <v>#DIV/0!</v>
      </c>
    </row>
    <row r="145" spans="1:5" ht="15">
      <c r="A145" s="1079" t="s">
        <v>3176</v>
      </c>
      <c r="B145" s="1080" t="s">
        <v>7938</v>
      </c>
      <c r="C145" s="1083">
        <f>'Data Entry - SOF'!O90</f>
        <v>0</v>
      </c>
      <c r="D145" s="1083"/>
      <c r="E145" s="1083">
        <f>'Data Entry - SOF'!O90</f>
        <v>0</v>
      </c>
    </row>
    <row r="146" spans="1:5" ht="15">
      <c r="A146" s="1079" t="s">
        <v>3177</v>
      </c>
      <c r="B146" s="1080" t="s">
        <v>7939</v>
      </c>
      <c r="C146" s="1083">
        <f>'Data Entry - SOF'!O89</f>
        <v>0</v>
      </c>
      <c r="D146" s="1083"/>
      <c r="E146" s="1083">
        <f>'Data Entry - SOF'!O89</f>
        <v>0</v>
      </c>
    </row>
    <row r="147" spans="1:5" ht="15.75">
      <c r="A147" s="1326" t="s">
        <v>3284</v>
      </c>
      <c r="B147" s="1324"/>
      <c r="C147" s="1324"/>
      <c r="D147" s="1324"/>
      <c r="E147" s="1325"/>
    </row>
    <row r="148" spans="1:5" ht="15.75">
      <c r="A148" s="1312" t="s">
        <v>3316</v>
      </c>
      <c r="B148" s="1310"/>
      <c r="C148" s="1310"/>
      <c r="D148" s="1310"/>
      <c r="E148" s="1311"/>
    </row>
    <row r="149" spans="1:5" ht="15">
      <c r="A149" s="1079" t="s">
        <v>3178</v>
      </c>
      <c r="B149" s="1080" t="s">
        <v>7938</v>
      </c>
      <c r="C149" s="1083">
        <f>'Data Entry - SOF'!O90</f>
        <v>0</v>
      </c>
      <c r="D149" s="1080"/>
      <c r="E149" s="1083">
        <f>'Data Entry - SOF'!O90</f>
        <v>0</v>
      </c>
    </row>
    <row r="150" spans="1:5" ht="15">
      <c r="A150" s="1079" t="s">
        <v>3179</v>
      </c>
      <c r="B150" s="1080" t="s">
        <v>3317</v>
      </c>
      <c r="C150" s="1084">
        <f>'Ch41 Calc Data'!Q15</f>
        <v>0</v>
      </c>
      <c r="D150" s="1084"/>
      <c r="E150" s="1084">
        <f>'Ch41 Calc Data'!Q15</f>
        <v>0</v>
      </c>
    </row>
    <row r="151" spans="1:5" ht="15">
      <c r="A151" s="1079" t="s">
        <v>3180</v>
      </c>
      <c r="B151" s="1080" t="s">
        <v>3318</v>
      </c>
      <c r="C151" s="1084">
        <f>'Ch41 Calc Data'!Q16</f>
        <v>0</v>
      </c>
      <c r="D151" s="1084"/>
      <c r="E151" s="1084">
        <f>'Ch41 Calc Data'!Q16</f>
        <v>0</v>
      </c>
    </row>
    <row r="152" spans="1:5" ht="15.75">
      <c r="A152" s="1327" t="s">
        <v>3319</v>
      </c>
      <c r="B152" s="1290"/>
      <c r="C152" s="1290"/>
      <c r="D152" s="1290"/>
      <c r="E152" s="1291"/>
    </row>
    <row r="153" spans="1:5" ht="15">
      <c r="A153" s="1079" t="s">
        <v>3320</v>
      </c>
      <c r="B153" s="1080" t="s">
        <v>7940</v>
      </c>
      <c r="C153" s="1084" t="e">
        <f>'Ch41 Calc Data'!Q17</f>
        <v>#DIV/0!</v>
      </c>
      <c r="D153" s="1084"/>
      <c r="E153" s="1084" t="e">
        <f>'Ch41 Calc Data'!Q17</f>
        <v>#DIV/0!</v>
      </c>
    </row>
    <row r="154" spans="1:5" s="1076" customFormat="1" ht="15">
      <c r="B154" s="1733" t="s">
        <v>4453</v>
      </c>
      <c r="C154" s="4106" t="s">
        <v>8009</v>
      </c>
    </row>
    <row r="155" spans="1:5" s="1076" customFormat="1" ht="15">
      <c r="B155" s="4111" t="s">
        <v>8008</v>
      </c>
      <c r="C155" s="4106" t="s">
        <v>7994</v>
      </c>
    </row>
  </sheetData>
  <sheetProtection sheet="1" objects="1" scenarios="1"/>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1"/>
  <sheetViews>
    <sheetView workbookViewId="0"/>
  </sheetViews>
  <sheetFormatPr defaultRowHeight="12.75"/>
  <cols>
    <col min="1" max="1" width="8.28515625" customWidth="1"/>
    <col min="2" max="2" width="20.140625" customWidth="1"/>
    <col min="3" max="6" width="18.7109375" customWidth="1"/>
    <col min="7" max="7" width="18.7109375" style="173" customWidth="1"/>
    <col min="8" max="8" width="17" customWidth="1"/>
    <col min="10" max="10" width="14.85546875" style="125" customWidth="1"/>
  </cols>
  <sheetData>
    <row r="1" spans="1:10" s="72" customFormat="1">
      <c r="A1" s="72">
        <v>1</v>
      </c>
      <c r="B1" s="72">
        <f t="shared" ref="B1:H1" si="0">A1+1</f>
        <v>2</v>
      </c>
      <c r="C1" s="72">
        <f t="shared" si="0"/>
        <v>3</v>
      </c>
      <c r="D1" s="72">
        <f t="shared" si="0"/>
        <v>4</v>
      </c>
      <c r="E1" s="72">
        <f t="shared" si="0"/>
        <v>5</v>
      </c>
      <c r="F1" s="72">
        <f t="shared" si="0"/>
        <v>6</v>
      </c>
      <c r="G1" s="72">
        <f t="shared" si="0"/>
        <v>7</v>
      </c>
      <c r="H1" s="72">
        <f t="shared" si="0"/>
        <v>8</v>
      </c>
      <c r="J1" s="422"/>
    </row>
    <row r="2" spans="1:10" s="72" customFormat="1">
      <c r="G2" s="72" t="s">
        <v>3826</v>
      </c>
      <c r="J2" s="422"/>
    </row>
    <row r="3" spans="1:10" s="72" customFormat="1">
      <c r="B3" s="72" t="s">
        <v>1168</v>
      </c>
      <c r="C3" s="72" t="s">
        <v>1030</v>
      </c>
      <c r="D3" s="72" t="s">
        <v>2698</v>
      </c>
      <c r="E3" s="72" t="s">
        <v>1237</v>
      </c>
      <c r="F3" s="72" t="s">
        <v>2699</v>
      </c>
      <c r="G3" s="1537" t="s">
        <v>2700</v>
      </c>
      <c r="H3" s="72" t="s">
        <v>2713</v>
      </c>
      <c r="J3" s="422" t="s">
        <v>3572</v>
      </c>
    </row>
    <row r="4" spans="1:10" ht="20.25">
      <c r="A4" t="s">
        <v>225</v>
      </c>
      <c r="B4" s="967">
        <v>334615102</v>
      </c>
      <c r="C4" s="968">
        <v>591.52300000000002</v>
      </c>
      <c r="D4" s="968">
        <v>591.52300000000002</v>
      </c>
      <c r="E4" s="967">
        <v>0</v>
      </c>
      <c r="F4" s="967">
        <v>98172</v>
      </c>
      <c r="G4" s="1538">
        <v>5793.7314114263681</v>
      </c>
      <c r="H4" s="975">
        <v>5936.6451635453286</v>
      </c>
      <c r="J4" s="125">
        <v>5793.7309999999998</v>
      </c>
    </row>
    <row r="5" spans="1:10" ht="20.25">
      <c r="A5" t="s">
        <v>2228</v>
      </c>
      <c r="B5" s="967">
        <v>236747637</v>
      </c>
      <c r="C5" s="968">
        <v>1240.6990000000001</v>
      </c>
      <c r="D5" s="968">
        <v>1240.6990000000001</v>
      </c>
      <c r="E5" s="967">
        <v>0</v>
      </c>
      <c r="F5" s="967">
        <v>122335</v>
      </c>
      <c r="G5" s="1538">
        <v>4829.5708398172637</v>
      </c>
      <c r="H5" s="975">
        <v>4973.5555130675211</v>
      </c>
      <c r="J5" s="125">
        <v>4829.57</v>
      </c>
    </row>
    <row r="6" spans="1:10" ht="20.25">
      <c r="A6" t="s">
        <v>15</v>
      </c>
      <c r="B6" s="967">
        <v>305819234</v>
      </c>
      <c r="C6" s="968">
        <v>707.63</v>
      </c>
      <c r="D6" s="968">
        <v>707.63</v>
      </c>
      <c r="E6" s="967">
        <v>0</v>
      </c>
      <c r="F6" s="967">
        <v>55345</v>
      </c>
      <c r="G6" s="1538">
        <v>4845.8046155037555</v>
      </c>
      <c r="H6" s="975">
        <v>4989.8287427762953</v>
      </c>
      <c r="J6" s="125">
        <v>4845.8050000000003</v>
      </c>
    </row>
    <row r="7" spans="1:10" ht="20.25">
      <c r="A7" t="s">
        <v>16</v>
      </c>
      <c r="B7" s="967">
        <v>100585249</v>
      </c>
      <c r="C7" s="968">
        <v>360.553</v>
      </c>
      <c r="D7" s="968">
        <v>360.553</v>
      </c>
      <c r="E7" s="967">
        <v>0</v>
      </c>
      <c r="F7" s="967">
        <v>37201</v>
      </c>
      <c r="G7" s="1538">
        <v>4733.2976320200105</v>
      </c>
      <c r="H7" s="975">
        <v>4877.7506029589485</v>
      </c>
      <c r="J7" s="125">
        <v>4733.2979999999998</v>
      </c>
    </row>
    <row r="8" spans="1:10" ht="20.25">
      <c r="A8" t="s">
        <v>17</v>
      </c>
      <c r="B8" s="967">
        <v>965683785</v>
      </c>
      <c r="C8" s="968">
        <v>2999.5460000000003</v>
      </c>
      <c r="D8" s="968">
        <v>2999.5460000000003</v>
      </c>
      <c r="E8" s="967">
        <v>0</v>
      </c>
      <c r="F8" s="967">
        <v>332278</v>
      </c>
      <c r="G8" s="1538">
        <v>4909.1402279124086</v>
      </c>
      <c r="H8" s="975">
        <v>5052.3571763605723</v>
      </c>
      <c r="J8" s="125">
        <v>4908.616</v>
      </c>
    </row>
    <row r="9" spans="1:10" ht="20.25">
      <c r="A9" t="s">
        <v>1254</v>
      </c>
      <c r="B9" s="967">
        <v>411430408</v>
      </c>
      <c r="C9" s="968">
        <v>1583.4880000000001</v>
      </c>
      <c r="D9" s="968">
        <v>1583.4880000000001</v>
      </c>
      <c r="E9" s="967">
        <v>0</v>
      </c>
      <c r="F9" s="967">
        <v>179725</v>
      </c>
      <c r="G9" s="1538">
        <v>4672.0836677208981</v>
      </c>
      <c r="H9" s="975">
        <v>4816.1678617958833</v>
      </c>
      <c r="J9" s="125">
        <v>4672.0839999999998</v>
      </c>
    </row>
    <row r="10" spans="1:10" ht="20.25">
      <c r="A10" t="s">
        <v>1255</v>
      </c>
      <c r="B10" s="967">
        <v>96092054</v>
      </c>
      <c r="C10" s="968">
        <v>386.35300000000001</v>
      </c>
      <c r="D10" s="968">
        <v>386.35300000000001</v>
      </c>
      <c r="E10" s="967">
        <v>0</v>
      </c>
      <c r="F10" s="967">
        <v>67057</v>
      </c>
      <c r="G10" s="1538">
        <v>4662.5416636573045</v>
      </c>
      <c r="H10" s="975">
        <v>4804.6649604109762</v>
      </c>
      <c r="J10" s="125">
        <v>4662.5420000000004</v>
      </c>
    </row>
    <row r="11" spans="1:10" ht="20.25">
      <c r="A11" t="s">
        <v>2102</v>
      </c>
      <c r="B11" s="967">
        <v>4043600756</v>
      </c>
      <c r="C11" s="968">
        <v>2881.8940000000002</v>
      </c>
      <c r="D11" s="968">
        <v>2881.8940000000002</v>
      </c>
      <c r="E11" s="967">
        <v>0</v>
      </c>
      <c r="F11" s="967">
        <v>110301</v>
      </c>
      <c r="G11" s="1538">
        <v>6461.3118103039187</v>
      </c>
      <c r="H11" s="975">
        <v>6603.3818201294162</v>
      </c>
      <c r="J11" s="125">
        <v>6461.3119999999999</v>
      </c>
    </row>
    <row r="12" spans="1:10" ht="20.25">
      <c r="A12" t="s">
        <v>774</v>
      </c>
      <c r="B12" s="967">
        <v>289949106</v>
      </c>
      <c r="C12" s="968">
        <v>2469.576</v>
      </c>
      <c r="D12" s="968">
        <v>2469.576</v>
      </c>
      <c r="E12" s="967">
        <v>0</v>
      </c>
      <c r="F12" s="967">
        <v>221755</v>
      </c>
      <c r="G12" s="1538">
        <v>4774.3019130824732</v>
      </c>
      <c r="H12" s="975">
        <v>4917.1377606518154</v>
      </c>
      <c r="J12" s="125">
        <v>4774.3019999999997</v>
      </c>
    </row>
    <row r="13" spans="1:10" ht="20.25">
      <c r="A13" t="s">
        <v>1637</v>
      </c>
      <c r="B13" s="967">
        <v>1973907888</v>
      </c>
      <c r="C13" s="968">
        <v>7805.1840000000002</v>
      </c>
      <c r="D13" s="968">
        <v>7805.1840000000002</v>
      </c>
      <c r="E13" s="967">
        <v>0</v>
      </c>
      <c r="F13" s="967">
        <v>905805</v>
      </c>
      <c r="G13" s="1538">
        <v>4801.5738404339727</v>
      </c>
      <c r="H13" s="975">
        <v>5051.0978699764237</v>
      </c>
      <c r="J13" s="125">
        <v>4801.5739999999996</v>
      </c>
    </row>
    <row r="14" spans="1:10" ht="20.25">
      <c r="A14" t="s">
        <v>1279</v>
      </c>
      <c r="B14" s="967">
        <v>176432844</v>
      </c>
      <c r="C14" s="968">
        <v>1592.2420000000002</v>
      </c>
      <c r="D14" s="968">
        <v>1592.2420000000002</v>
      </c>
      <c r="E14" s="967">
        <v>0</v>
      </c>
      <c r="F14" s="967">
        <v>154128</v>
      </c>
      <c r="G14" s="1538">
        <v>4414.6290087111302</v>
      </c>
      <c r="H14" s="975">
        <v>4788.5955843876436</v>
      </c>
      <c r="J14" s="125">
        <v>4414.6289999999999</v>
      </c>
    </row>
    <row r="15" spans="1:10" ht="20.25">
      <c r="A15" t="s">
        <v>369</v>
      </c>
      <c r="B15" s="967">
        <v>282299264</v>
      </c>
      <c r="C15" s="968">
        <v>1759.232</v>
      </c>
      <c r="D15" s="968">
        <v>1759.232</v>
      </c>
      <c r="E15" s="967">
        <v>0</v>
      </c>
      <c r="F15" s="967">
        <v>139986</v>
      </c>
      <c r="G15" s="1538">
        <v>4629.8550148926115</v>
      </c>
      <c r="H15" s="975">
        <v>4905.9139858797789</v>
      </c>
      <c r="J15" s="125">
        <v>4629.8549999999996</v>
      </c>
    </row>
    <row r="16" spans="1:10" ht="20.25">
      <c r="A16" t="s">
        <v>370</v>
      </c>
      <c r="B16" s="967">
        <v>75325814</v>
      </c>
      <c r="C16" s="968">
        <v>431.35200000000003</v>
      </c>
      <c r="D16" s="968">
        <v>431.35200000000003</v>
      </c>
      <c r="E16" s="967">
        <v>0</v>
      </c>
      <c r="F16" s="967">
        <v>64595</v>
      </c>
      <c r="G16" s="1538">
        <v>4246.372113318369</v>
      </c>
      <c r="H16" s="975">
        <v>4620.7855985007564</v>
      </c>
      <c r="J16" s="125">
        <v>4246.3710000000001</v>
      </c>
    </row>
    <row r="17" spans="1:10" ht="20.25">
      <c r="A17" t="s">
        <v>371</v>
      </c>
      <c r="B17" s="967">
        <v>212196665</v>
      </c>
      <c r="C17" s="968">
        <v>1434.355</v>
      </c>
      <c r="D17" s="968">
        <v>1434.355</v>
      </c>
      <c r="E17" s="967">
        <v>0</v>
      </c>
      <c r="F17" s="967">
        <v>152312</v>
      </c>
      <c r="G17" s="1538">
        <v>4769.5418010216345</v>
      </c>
      <c r="H17" s="975">
        <v>5143.5771757365201</v>
      </c>
      <c r="J17" s="125">
        <v>4769.5420000000004</v>
      </c>
    </row>
    <row r="18" spans="1:10" ht="20.25">
      <c r="A18" t="s">
        <v>2839</v>
      </c>
      <c r="B18" s="967">
        <v>2447992961</v>
      </c>
      <c r="C18" s="968">
        <v>2916.0660000000003</v>
      </c>
      <c r="D18" s="968">
        <v>2916.0660000000003</v>
      </c>
      <c r="E18" s="967">
        <v>0</v>
      </c>
      <c r="F18" s="967">
        <v>324675</v>
      </c>
      <c r="G18" s="1538">
        <v>6311.3811212607097</v>
      </c>
      <c r="H18" s="975">
        <v>6453.2120240200902</v>
      </c>
      <c r="J18" s="125">
        <v>6311.3810000000003</v>
      </c>
    </row>
    <row r="19" spans="1:10" ht="20.25">
      <c r="A19" t="s">
        <v>2840</v>
      </c>
      <c r="B19" s="967">
        <v>181474330</v>
      </c>
      <c r="C19" s="968">
        <v>452.19800000000004</v>
      </c>
      <c r="D19" s="968">
        <v>452.19800000000004</v>
      </c>
      <c r="E19" s="967">
        <v>0</v>
      </c>
      <c r="F19" s="967">
        <v>47736</v>
      </c>
      <c r="G19" s="1538">
        <v>5170.7812232311126</v>
      </c>
      <c r="H19" s="975">
        <v>5313.5177718625227</v>
      </c>
      <c r="J19" s="125">
        <v>5170.7809999999999</v>
      </c>
    </row>
    <row r="20" spans="1:10" ht="20.25">
      <c r="A20" t="s">
        <v>2841</v>
      </c>
      <c r="B20" s="967">
        <v>235369111</v>
      </c>
      <c r="C20" s="968">
        <v>828.72500000000002</v>
      </c>
      <c r="D20" s="968">
        <v>828.72500000000002</v>
      </c>
      <c r="E20" s="967">
        <v>0</v>
      </c>
      <c r="F20" s="967">
        <v>65076</v>
      </c>
      <c r="G20" s="1538">
        <v>4988.5254461954555</v>
      </c>
      <c r="H20" s="975">
        <v>5131.6091155713466</v>
      </c>
      <c r="J20" s="125">
        <v>4988.5249999999996</v>
      </c>
    </row>
    <row r="21" spans="1:10" ht="20.25">
      <c r="A21" t="s">
        <v>2219</v>
      </c>
      <c r="B21" s="967">
        <v>60178776</v>
      </c>
      <c r="C21" s="968">
        <v>468.43300000000005</v>
      </c>
      <c r="D21" s="968">
        <v>468.43300000000005</v>
      </c>
      <c r="E21" s="967">
        <v>0</v>
      </c>
      <c r="F21" s="967">
        <v>45487</v>
      </c>
      <c r="G21" s="1538">
        <v>4900.5805563234871</v>
      </c>
      <c r="H21" s="975">
        <v>5044.8022322432189</v>
      </c>
      <c r="J21" s="125">
        <v>4900.5810000000001</v>
      </c>
    </row>
    <row r="22" spans="1:10" ht="20.25">
      <c r="A22" t="s">
        <v>2843</v>
      </c>
      <c r="B22" s="967">
        <v>116376048</v>
      </c>
      <c r="C22" s="968">
        <v>310.55500000000001</v>
      </c>
      <c r="D22" s="968">
        <v>310.55500000000001</v>
      </c>
      <c r="E22" s="967">
        <v>0</v>
      </c>
      <c r="F22" s="967">
        <v>67597</v>
      </c>
      <c r="G22" s="1538">
        <v>4986.6863680756214</v>
      </c>
      <c r="H22" s="975">
        <v>5132.0900128503063</v>
      </c>
      <c r="J22" s="125">
        <v>4986.6859999999997</v>
      </c>
    </row>
    <row r="23" spans="1:10" ht="20.25">
      <c r="A23" t="s">
        <v>806</v>
      </c>
      <c r="B23" s="967">
        <v>97561196</v>
      </c>
      <c r="C23" s="968">
        <v>501.66200000000003</v>
      </c>
      <c r="D23" s="968">
        <v>501.66200000000003</v>
      </c>
      <c r="E23" s="967">
        <v>0</v>
      </c>
      <c r="F23" s="967">
        <v>44127</v>
      </c>
      <c r="G23" s="1538">
        <v>4777.7717257450313</v>
      </c>
      <c r="H23" s="975">
        <v>4920.9104837773903</v>
      </c>
      <c r="J23" s="125">
        <v>4777.7719999999999</v>
      </c>
    </row>
    <row r="24" spans="1:10" ht="20.25">
      <c r="A24" t="s">
        <v>2844</v>
      </c>
      <c r="B24" s="967">
        <v>420506713</v>
      </c>
      <c r="C24" s="968">
        <v>1213.7670000000001</v>
      </c>
      <c r="D24" s="968">
        <v>1213.7670000000001</v>
      </c>
      <c r="E24" s="967">
        <v>0</v>
      </c>
      <c r="F24" s="967">
        <v>109109</v>
      </c>
      <c r="G24" s="1538">
        <v>5114.2850708337492</v>
      </c>
      <c r="H24" s="975">
        <v>5257.9726848782875</v>
      </c>
      <c r="J24" s="125">
        <v>5114.2849999999999</v>
      </c>
    </row>
    <row r="25" spans="1:10" ht="20.25">
      <c r="A25" t="s">
        <v>2388</v>
      </c>
      <c r="B25" s="967">
        <v>205722776</v>
      </c>
      <c r="C25" s="968">
        <v>1575.9660000000001</v>
      </c>
      <c r="D25" s="968">
        <v>1575.9660000000001</v>
      </c>
      <c r="E25" s="967">
        <v>0</v>
      </c>
      <c r="F25" s="967">
        <v>187650</v>
      </c>
      <c r="G25" s="1538">
        <v>4863.6076948053287</v>
      </c>
      <c r="H25" s="975">
        <v>5007.3869315840166</v>
      </c>
      <c r="J25" s="125">
        <v>4863.6080000000002</v>
      </c>
    </row>
    <row r="26" spans="1:10" ht="20.25">
      <c r="A26" t="s">
        <v>241</v>
      </c>
      <c r="B26" s="967">
        <v>636043223</v>
      </c>
      <c r="C26" s="968">
        <v>3166.39</v>
      </c>
      <c r="D26" s="968">
        <v>3166.39</v>
      </c>
      <c r="E26" s="967">
        <v>0</v>
      </c>
      <c r="F26" s="967">
        <v>317664</v>
      </c>
      <c r="G26" s="1538">
        <v>4901.5059260700191</v>
      </c>
      <c r="H26" s="975">
        <v>5046.0524371689116</v>
      </c>
      <c r="J26" s="125">
        <v>4902.0330000000004</v>
      </c>
    </row>
    <row r="27" spans="1:10" ht="20.25">
      <c r="A27" t="s">
        <v>2447</v>
      </c>
      <c r="B27" s="967">
        <v>171859321</v>
      </c>
      <c r="C27" s="968">
        <v>1615.375</v>
      </c>
      <c r="D27" s="968">
        <v>1615.375</v>
      </c>
      <c r="E27" s="967">
        <v>0</v>
      </c>
      <c r="F27" s="967">
        <v>144059</v>
      </c>
      <c r="G27" s="1538">
        <v>4942.7377450662798</v>
      </c>
      <c r="H27" s="975">
        <v>5086.1512477267916</v>
      </c>
      <c r="J27" s="125">
        <v>4942.7380000000003</v>
      </c>
    </row>
    <row r="28" spans="1:10" ht="20.25">
      <c r="A28" t="s">
        <v>2845</v>
      </c>
      <c r="B28" s="967">
        <v>877386153</v>
      </c>
      <c r="C28" s="968">
        <v>2031.2280000000001</v>
      </c>
      <c r="D28" s="968">
        <v>2031.2280000000001</v>
      </c>
      <c r="E28" s="967">
        <v>0</v>
      </c>
      <c r="F28" s="967">
        <v>262073</v>
      </c>
      <c r="G28" s="1538">
        <v>5269.5632829259248</v>
      </c>
      <c r="H28" s="975">
        <v>5412.9078041727935</v>
      </c>
      <c r="J28" s="125">
        <v>5269.5630000000001</v>
      </c>
    </row>
    <row r="29" spans="1:10" ht="20.25">
      <c r="A29" t="s">
        <v>783</v>
      </c>
      <c r="B29" s="967">
        <v>1068107537</v>
      </c>
      <c r="C29" s="968">
        <v>2457.8720000000003</v>
      </c>
      <c r="D29" s="968">
        <v>2457.8720000000003</v>
      </c>
      <c r="E29" s="967">
        <v>0</v>
      </c>
      <c r="F29" s="967">
        <v>222721</v>
      </c>
      <c r="G29" s="1538">
        <v>5194.9680777072581</v>
      </c>
      <c r="H29" s="975">
        <v>5338.7473649753729</v>
      </c>
      <c r="J29" s="125">
        <v>5194.6260000000002</v>
      </c>
    </row>
    <row r="30" spans="1:10" ht="20.25">
      <c r="A30" t="s">
        <v>784</v>
      </c>
      <c r="B30" s="967">
        <v>364865075</v>
      </c>
      <c r="C30" s="968">
        <v>774.601</v>
      </c>
      <c r="D30" s="968">
        <v>774.601</v>
      </c>
      <c r="E30" s="967">
        <v>0</v>
      </c>
      <c r="F30" s="967">
        <v>117025</v>
      </c>
      <c r="G30" s="1538">
        <v>5196.2566124195555</v>
      </c>
      <c r="H30" s="975">
        <v>5339.9910377056531</v>
      </c>
      <c r="J30" s="125">
        <v>5196.2569999999996</v>
      </c>
    </row>
    <row r="31" spans="1:10" ht="20.25">
      <c r="A31" t="s">
        <v>785</v>
      </c>
      <c r="B31" s="967">
        <v>233105932</v>
      </c>
      <c r="C31" s="968">
        <v>1330.825</v>
      </c>
      <c r="D31" s="968">
        <v>1330.825</v>
      </c>
      <c r="E31" s="967">
        <v>0</v>
      </c>
      <c r="F31" s="967">
        <v>102033</v>
      </c>
      <c r="G31" s="1538">
        <v>4928.3555752052644</v>
      </c>
      <c r="H31" s="975">
        <v>5090.8601823678873</v>
      </c>
      <c r="J31" s="125">
        <v>4928.3559999999998</v>
      </c>
    </row>
    <row r="32" spans="1:10" ht="20.25">
      <c r="A32" t="s">
        <v>216</v>
      </c>
      <c r="B32" s="967">
        <v>169336683</v>
      </c>
      <c r="C32" s="968">
        <v>318.60500000000002</v>
      </c>
      <c r="D32" s="968">
        <v>318.60500000000002</v>
      </c>
      <c r="E32" s="967">
        <v>0</v>
      </c>
      <c r="F32" s="967">
        <v>61665</v>
      </c>
      <c r="G32" s="1538">
        <v>4960.5787124743028</v>
      </c>
      <c r="H32" s="975">
        <v>5104.6426175032757</v>
      </c>
      <c r="J32" s="125">
        <v>4960.5789999999997</v>
      </c>
    </row>
    <row r="33" spans="1:10" ht="20.25">
      <c r="A33" t="s">
        <v>2220</v>
      </c>
      <c r="B33" s="967">
        <v>1117074484</v>
      </c>
      <c r="C33" s="968">
        <v>2316.5340000000001</v>
      </c>
      <c r="D33" s="968">
        <v>2316.5340000000001</v>
      </c>
      <c r="E33" s="967">
        <v>0</v>
      </c>
      <c r="F33" s="967">
        <v>339730</v>
      </c>
      <c r="G33" s="1538">
        <v>5381.7120075517932</v>
      </c>
      <c r="H33" s="975">
        <v>5525.1443043534955</v>
      </c>
      <c r="J33" s="125">
        <v>5381.7120000000004</v>
      </c>
    </row>
    <row r="34" spans="1:10" ht="20.25">
      <c r="A34" t="s">
        <v>1896</v>
      </c>
      <c r="B34" s="967">
        <v>2493199982</v>
      </c>
      <c r="C34" s="968">
        <v>8174.8290000000006</v>
      </c>
      <c r="D34" s="968">
        <v>8174.8290000000006</v>
      </c>
      <c r="E34" s="967">
        <v>0</v>
      </c>
      <c r="F34" s="967">
        <v>1606102</v>
      </c>
      <c r="G34" s="1538">
        <v>5008.1645192005353</v>
      </c>
      <c r="H34" s="975">
        <v>5195.5767975595863</v>
      </c>
      <c r="J34" s="125">
        <v>5008.165</v>
      </c>
    </row>
    <row r="35" spans="1:10" ht="20.25">
      <c r="A35" t="s">
        <v>876</v>
      </c>
      <c r="B35" s="967">
        <v>852300074</v>
      </c>
      <c r="C35" s="968">
        <v>3651.9770000000003</v>
      </c>
      <c r="D35" s="968">
        <v>3651.9770000000003</v>
      </c>
      <c r="E35" s="967">
        <v>54476</v>
      </c>
      <c r="F35" s="967">
        <v>427716</v>
      </c>
      <c r="G35" s="1538">
        <v>4895.8320778949073</v>
      </c>
      <c r="H35" s="975">
        <v>5073.0163522274479</v>
      </c>
      <c r="J35" s="125">
        <v>4895.8320000000003</v>
      </c>
    </row>
    <row r="36" spans="1:10" ht="20.25">
      <c r="A36" t="s">
        <v>2710</v>
      </c>
      <c r="B36" s="967">
        <v>535875275</v>
      </c>
      <c r="C36" s="968">
        <v>1588.17</v>
      </c>
      <c r="D36" s="968">
        <v>1588.17</v>
      </c>
      <c r="E36" s="967">
        <v>0</v>
      </c>
      <c r="F36" s="967">
        <v>271940</v>
      </c>
      <c r="G36" s="1538">
        <v>4987.5816669058931</v>
      </c>
      <c r="H36" s="975">
        <v>5136.8716070345226</v>
      </c>
      <c r="J36" s="125">
        <v>4987.5820000000003</v>
      </c>
    </row>
    <row r="37" spans="1:10" ht="20.25">
      <c r="A37" t="s">
        <v>2448</v>
      </c>
      <c r="B37" s="967">
        <v>66661019</v>
      </c>
      <c r="C37" s="968">
        <v>170.59200000000001</v>
      </c>
      <c r="D37" s="968">
        <v>170.59200000000001</v>
      </c>
      <c r="E37" s="967">
        <v>0</v>
      </c>
      <c r="F37" s="967">
        <v>26338</v>
      </c>
      <c r="G37" s="1538">
        <v>5090.8165114937792</v>
      </c>
      <c r="H37" s="975">
        <v>5057.8085351787777</v>
      </c>
      <c r="J37" s="125">
        <v>5090.817</v>
      </c>
    </row>
    <row r="38" spans="1:10" ht="20.25">
      <c r="A38" t="s">
        <v>492</v>
      </c>
      <c r="B38" s="967">
        <v>142110751</v>
      </c>
      <c r="C38" s="968">
        <v>544.16800000000001</v>
      </c>
      <c r="D38" s="968">
        <v>544.16800000000001</v>
      </c>
      <c r="E38" s="967">
        <v>0</v>
      </c>
      <c r="F38" s="967">
        <v>42110</v>
      </c>
      <c r="G38" s="1538">
        <v>5005.3706326723322</v>
      </c>
      <c r="H38" s="975">
        <v>5148.0960338580653</v>
      </c>
      <c r="J38" s="125">
        <v>5005.3710000000001</v>
      </c>
    </row>
    <row r="39" spans="1:10" ht="20.25">
      <c r="A39" t="s">
        <v>2711</v>
      </c>
      <c r="B39" s="967">
        <v>539587027</v>
      </c>
      <c r="C39" s="968">
        <v>3227.69</v>
      </c>
      <c r="D39" s="968">
        <v>3227.69</v>
      </c>
      <c r="E39" s="967">
        <v>0</v>
      </c>
      <c r="F39" s="967">
        <v>163494</v>
      </c>
      <c r="G39" s="1538">
        <v>4688.8578337426088</v>
      </c>
      <c r="H39" s="975">
        <v>5033.8732844363885</v>
      </c>
      <c r="J39" s="125">
        <v>4688.1769999999997</v>
      </c>
    </row>
    <row r="40" spans="1:10" ht="20.25">
      <c r="A40" t="s">
        <v>3048</v>
      </c>
      <c r="B40" s="967">
        <v>226817135</v>
      </c>
      <c r="C40" s="968">
        <v>125.36800000000001</v>
      </c>
      <c r="D40" s="968">
        <v>125.36800000000001</v>
      </c>
      <c r="E40" s="967">
        <v>15901</v>
      </c>
      <c r="F40" s="967">
        <v>26120</v>
      </c>
      <c r="G40" s="1538">
        <v>6229.6561638347512</v>
      </c>
      <c r="H40" s="975">
        <v>6372.2611568534112</v>
      </c>
      <c r="J40" s="125">
        <v>6229.6559999999999</v>
      </c>
    </row>
    <row r="41" spans="1:10" ht="20.25">
      <c r="A41" t="s">
        <v>3049</v>
      </c>
      <c r="B41" s="967">
        <v>187981475</v>
      </c>
      <c r="C41" s="968">
        <v>383.01300000000003</v>
      </c>
      <c r="D41" s="968">
        <v>383.01300000000003</v>
      </c>
      <c r="E41" s="967">
        <v>0</v>
      </c>
      <c r="F41" s="967">
        <v>47710</v>
      </c>
      <c r="G41" s="1538">
        <v>4846.5551169641712</v>
      </c>
      <c r="H41" s="975">
        <v>4988.903427507682</v>
      </c>
      <c r="J41" s="125">
        <v>4846.5550000000003</v>
      </c>
    </row>
    <row r="42" spans="1:10" ht="20.25">
      <c r="A42" t="s">
        <v>1313</v>
      </c>
      <c r="B42" s="967">
        <v>138983125</v>
      </c>
      <c r="C42" s="968">
        <v>769.36800000000005</v>
      </c>
      <c r="D42" s="968">
        <v>769.36800000000005</v>
      </c>
      <c r="E42" s="967">
        <v>0</v>
      </c>
      <c r="F42" s="967">
        <v>77814</v>
      </c>
      <c r="G42" s="1538">
        <v>4852.3881039357184</v>
      </c>
      <c r="H42" s="975">
        <v>4994.3498640722082</v>
      </c>
      <c r="J42" s="125">
        <v>4852.3100000000004</v>
      </c>
    </row>
    <row r="43" spans="1:10" ht="20.25">
      <c r="A43" t="s">
        <v>2449</v>
      </c>
      <c r="B43" s="967">
        <v>193627561</v>
      </c>
      <c r="C43" s="968">
        <v>1016.825</v>
      </c>
      <c r="D43" s="968">
        <v>1016.825</v>
      </c>
      <c r="E43" s="967">
        <v>0</v>
      </c>
      <c r="F43" s="967">
        <v>104607</v>
      </c>
      <c r="G43" s="1538">
        <v>4871.1970582514896</v>
      </c>
      <c r="H43" s="975">
        <v>5088.4400758587444</v>
      </c>
      <c r="J43" s="125">
        <v>4871.1970000000001</v>
      </c>
    </row>
    <row r="44" spans="1:10" ht="20.25">
      <c r="A44" t="s">
        <v>1895</v>
      </c>
      <c r="B44" s="967">
        <v>81775811</v>
      </c>
      <c r="C44" s="968">
        <v>354.07400000000001</v>
      </c>
      <c r="D44" s="968">
        <v>354.07400000000001</v>
      </c>
      <c r="E44" s="967">
        <v>0</v>
      </c>
      <c r="F44" s="967">
        <v>58767</v>
      </c>
      <c r="G44" s="1538">
        <v>4774.3302803293009</v>
      </c>
      <c r="H44" s="975">
        <v>5011.2005797168586</v>
      </c>
      <c r="J44" s="125">
        <v>4774.33</v>
      </c>
    </row>
    <row r="45" spans="1:10" ht="20.25">
      <c r="A45" t="s">
        <v>1898</v>
      </c>
      <c r="B45" s="967">
        <v>1815666769</v>
      </c>
      <c r="C45" s="968">
        <v>8288.0310000000009</v>
      </c>
      <c r="D45" s="968">
        <v>8288.0310000000009</v>
      </c>
      <c r="E45" s="967">
        <v>0</v>
      </c>
      <c r="F45" s="967">
        <v>758690</v>
      </c>
      <c r="G45" s="1538">
        <v>5025.4000526016744</v>
      </c>
      <c r="H45" s="975">
        <v>5168.0356316464695</v>
      </c>
      <c r="J45" s="125">
        <v>5025.393</v>
      </c>
    </row>
    <row r="46" spans="1:10" ht="20.25">
      <c r="A46" t="s">
        <v>198</v>
      </c>
      <c r="B46" s="967">
        <v>80106930</v>
      </c>
      <c r="C46" s="968">
        <v>510.97900000000004</v>
      </c>
      <c r="D46" s="968">
        <v>510.97900000000004</v>
      </c>
      <c r="E46" s="967">
        <v>34539</v>
      </c>
      <c r="F46" s="967">
        <v>59678</v>
      </c>
      <c r="G46" s="1538">
        <v>4829.7584298437105</v>
      </c>
      <c r="H46" s="975">
        <v>4973.867771245722</v>
      </c>
      <c r="J46" s="125">
        <v>4829.7579999999998</v>
      </c>
    </row>
    <row r="47" spans="1:10" ht="20.25">
      <c r="A47" t="s">
        <v>60</v>
      </c>
      <c r="B47" s="967">
        <v>5774127320</v>
      </c>
      <c r="C47" s="968">
        <v>35967.162000000004</v>
      </c>
      <c r="D47" s="968">
        <v>35967.162000000004</v>
      </c>
      <c r="E47" s="967">
        <v>278632</v>
      </c>
      <c r="F47" s="967">
        <v>2125419</v>
      </c>
      <c r="G47" s="1538">
        <v>4882.3765106499541</v>
      </c>
      <c r="H47" s="975">
        <v>5025.8394546251393</v>
      </c>
      <c r="J47" s="125">
        <v>4882.3770000000004</v>
      </c>
    </row>
    <row r="48" spans="1:10" ht="20.25">
      <c r="A48" t="s">
        <v>192</v>
      </c>
      <c r="B48" s="967">
        <v>135200546</v>
      </c>
      <c r="C48" s="968">
        <v>783.524</v>
      </c>
      <c r="D48" s="968">
        <v>783.524</v>
      </c>
      <c r="E48" s="967">
        <v>86947</v>
      </c>
      <c r="F48" s="967">
        <v>100782</v>
      </c>
      <c r="G48" s="1538">
        <v>4913.6429485026447</v>
      </c>
      <c r="H48" s="975">
        <v>5057.765137860576</v>
      </c>
      <c r="J48" s="125">
        <v>4913.643</v>
      </c>
    </row>
    <row r="49" spans="1:10" ht="20.25">
      <c r="A49" t="s">
        <v>1487</v>
      </c>
      <c r="B49" s="967">
        <v>565190859</v>
      </c>
      <c r="C49" s="968">
        <v>1263.0740000000001</v>
      </c>
      <c r="D49" s="968">
        <v>1263.0740000000001</v>
      </c>
      <c r="E49" s="967">
        <v>4007</v>
      </c>
      <c r="F49" s="967">
        <v>144003</v>
      </c>
      <c r="G49" s="1538">
        <v>5315.2523130791778</v>
      </c>
      <c r="H49" s="975">
        <v>5458.6852144869044</v>
      </c>
      <c r="J49" s="125">
        <v>5315.2520000000004</v>
      </c>
    </row>
    <row r="50" spans="1:10" ht="20.25">
      <c r="A50" t="s">
        <v>1707</v>
      </c>
      <c r="B50" s="967">
        <v>2575311185</v>
      </c>
      <c r="C50" s="968">
        <v>7767.8760000000002</v>
      </c>
      <c r="D50" s="968">
        <v>7767.8760000000002</v>
      </c>
      <c r="E50" s="967">
        <v>0</v>
      </c>
      <c r="F50" s="967">
        <v>786311</v>
      </c>
      <c r="G50" s="1538">
        <v>4921.6985197472586</v>
      </c>
      <c r="H50" s="975">
        <v>5112.3841745398186</v>
      </c>
      <c r="J50" s="125">
        <v>4921.6989999999996</v>
      </c>
    </row>
    <row r="51" spans="1:10" ht="20.25">
      <c r="A51" t="s">
        <v>1712</v>
      </c>
      <c r="B51" s="967">
        <v>226852481</v>
      </c>
      <c r="C51" s="968">
        <v>1200.403</v>
      </c>
      <c r="D51" s="968">
        <v>1200.403</v>
      </c>
      <c r="E51" s="967">
        <v>0</v>
      </c>
      <c r="F51" s="967">
        <v>110507</v>
      </c>
      <c r="G51" s="1538">
        <v>4781.6066132451315</v>
      </c>
      <c r="H51" s="975">
        <v>4939.1176431926788</v>
      </c>
      <c r="J51" s="125">
        <v>4781.607</v>
      </c>
    </row>
    <row r="52" spans="1:10" ht="20.25">
      <c r="A52" t="s">
        <v>463</v>
      </c>
      <c r="B52" s="967">
        <v>4855884841</v>
      </c>
      <c r="C52" s="968">
        <v>4456.45</v>
      </c>
      <c r="D52" s="968">
        <v>4456.45</v>
      </c>
      <c r="E52" s="967">
        <v>0</v>
      </c>
      <c r="F52" s="967">
        <v>123698</v>
      </c>
      <c r="G52" s="1538">
        <v>6108.7360089511194</v>
      </c>
      <c r="H52" s="975">
        <v>6251.5916363219112</v>
      </c>
      <c r="J52" s="125">
        <v>6108.375</v>
      </c>
    </row>
    <row r="53" spans="1:10" ht="20.25">
      <c r="A53" t="s">
        <v>2125</v>
      </c>
      <c r="B53" s="967">
        <v>1259785434</v>
      </c>
      <c r="C53" s="968">
        <v>13175.861000000001</v>
      </c>
      <c r="D53" s="968">
        <v>13175.861000000001</v>
      </c>
      <c r="E53" s="967">
        <v>0</v>
      </c>
      <c r="F53" s="967">
        <v>306162</v>
      </c>
      <c r="G53" s="1538">
        <v>4769.1346137622304</v>
      </c>
      <c r="H53" s="975">
        <v>5006.838611266061</v>
      </c>
      <c r="J53" s="125">
        <v>4769.1350000000002</v>
      </c>
    </row>
    <row r="54" spans="1:10" ht="20.25">
      <c r="A54" t="s">
        <v>874</v>
      </c>
      <c r="B54" s="967">
        <v>888849833</v>
      </c>
      <c r="C54" s="968">
        <v>10828.846</v>
      </c>
      <c r="D54" s="968">
        <v>10828.846</v>
      </c>
      <c r="E54" s="967">
        <v>185783</v>
      </c>
      <c r="F54" s="967">
        <v>226142</v>
      </c>
      <c r="G54" s="1538">
        <v>4771.4841127447789</v>
      </c>
      <c r="H54" s="975">
        <v>5073.8840399150658</v>
      </c>
      <c r="J54" s="125">
        <v>4771.4840000000004</v>
      </c>
    </row>
    <row r="55" spans="1:10" ht="20.25">
      <c r="A55" t="s">
        <v>2682</v>
      </c>
      <c r="B55" s="967"/>
      <c r="C55" s="968">
        <v>1137.1290000000001</v>
      </c>
      <c r="D55" s="968">
        <v>1137.1290000000001</v>
      </c>
      <c r="E55" s="967">
        <v>0</v>
      </c>
      <c r="F55" s="967">
        <v>39337</v>
      </c>
      <c r="G55" s="1538">
        <v>3733.7689560344711</v>
      </c>
      <c r="H55" s="975">
        <v>4105.876906751746</v>
      </c>
      <c r="J55" s="125">
        <v>3733.7689999999998</v>
      </c>
    </row>
    <row r="56" spans="1:10" ht="20.25">
      <c r="A56" t="s">
        <v>1489</v>
      </c>
      <c r="B56" s="967">
        <v>11937217827</v>
      </c>
      <c r="C56" s="968">
        <v>48824.112000000001</v>
      </c>
      <c r="D56" s="968">
        <v>48824.112000000001</v>
      </c>
      <c r="E56" s="967">
        <v>28281</v>
      </c>
      <c r="F56" s="967">
        <v>1968551</v>
      </c>
      <c r="G56" s="1538">
        <v>4885.5170351875231</v>
      </c>
      <c r="H56" s="975">
        <v>5052.952416087559</v>
      </c>
      <c r="J56" s="125">
        <v>4885.5169999999998</v>
      </c>
    </row>
    <row r="57" spans="1:10" ht="20.25">
      <c r="A57" t="s">
        <v>1699</v>
      </c>
      <c r="B57" s="967">
        <v>1213475958</v>
      </c>
      <c r="C57" s="968">
        <v>9076.0879999999997</v>
      </c>
      <c r="D57" s="968">
        <v>9076.0879999999997</v>
      </c>
      <c r="E57" s="967">
        <v>0</v>
      </c>
      <c r="F57" s="967">
        <v>329797</v>
      </c>
      <c r="G57" s="1538">
        <v>4820.8201492804819</v>
      </c>
      <c r="H57" s="975">
        <v>5075.7502111997701</v>
      </c>
      <c r="J57" s="125">
        <v>4820.82</v>
      </c>
    </row>
    <row r="58" spans="1:10" ht="20.25">
      <c r="A58" t="s">
        <v>1316</v>
      </c>
      <c r="B58" s="967">
        <v>340984572</v>
      </c>
      <c r="C58" s="968">
        <v>3359.6190000000001</v>
      </c>
      <c r="D58" s="968">
        <v>3359.6190000000001</v>
      </c>
      <c r="E58" s="967">
        <v>0</v>
      </c>
      <c r="F58" s="967">
        <v>632226</v>
      </c>
      <c r="G58" s="1538">
        <v>4962.8793595049056</v>
      </c>
      <c r="H58" s="975">
        <v>5105.1005731931727</v>
      </c>
      <c r="J58" s="125">
        <v>4962.8789999999999</v>
      </c>
    </row>
    <row r="59" spans="1:10" ht="20.25">
      <c r="A59" t="s">
        <v>1587</v>
      </c>
      <c r="B59" s="967">
        <v>27568384800</v>
      </c>
      <c r="C59" s="968">
        <v>61479.987999999998</v>
      </c>
      <c r="D59" s="968">
        <v>61479.987999999998</v>
      </c>
      <c r="E59" s="967">
        <v>104193</v>
      </c>
      <c r="F59" s="967">
        <v>3535751</v>
      </c>
      <c r="G59" s="1538">
        <v>5562.4863113347565</v>
      </c>
      <c r="H59" s="975">
        <v>5705.2686361092283</v>
      </c>
      <c r="J59" s="125">
        <v>5562.4859999999999</v>
      </c>
    </row>
    <row r="60" spans="1:10" ht="20.25">
      <c r="A60" t="s">
        <v>871</v>
      </c>
      <c r="B60" s="967">
        <v>1776556773</v>
      </c>
      <c r="C60" s="968">
        <v>8549.67</v>
      </c>
      <c r="D60" s="968">
        <v>8549.67</v>
      </c>
      <c r="E60" s="967">
        <v>0</v>
      </c>
      <c r="F60" s="967">
        <v>1273057</v>
      </c>
      <c r="G60" s="1538">
        <v>5081.6964945729487</v>
      </c>
      <c r="H60" s="975">
        <v>5224.0669266567666</v>
      </c>
      <c r="J60" s="125">
        <v>5081.6959999999999</v>
      </c>
    </row>
    <row r="61" spans="1:10" ht="20.25">
      <c r="A61" t="s">
        <v>807</v>
      </c>
      <c r="B61" s="967">
        <v>1547746588</v>
      </c>
      <c r="C61" s="968">
        <v>10631.868</v>
      </c>
      <c r="D61" s="968">
        <v>10631.868</v>
      </c>
      <c r="E61" s="967">
        <v>106076</v>
      </c>
      <c r="F61" s="967">
        <v>1066116</v>
      </c>
      <c r="G61" s="1538">
        <v>5202.1707779657636</v>
      </c>
      <c r="H61" s="975">
        <v>5344.5855300533467</v>
      </c>
      <c r="J61" s="125">
        <v>5202.1710000000003</v>
      </c>
    </row>
    <row r="62" spans="1:10" ht="20.25">
      <c r="A62" t="s">
        <v>2683</v>
      </c>
      <c r="B62" s="967"/>
      <c r="C62" s="968">
        <v>843.42700000000002</v>
      </c>
      <c r="D62" s="968">
        <v>843.42700000000002</v>
      </c>
      <c r="E62" s="967">
        <v>0</v>
      </c>
      <c r="F62" s="967">
        <v>70069</v>
      </c>
      <c r="G62" s="1538">
        <v>3832.6455931769151</v>
      </c>
      <c r="H62" s="975">
        <v>4205.1958879755084</v>
      </c>
      <c r="J62" s="125">
        <v>3832.6460000000002</v>
      </c>
    </row>
    <row r="63" spans="1:10" ht="20.25">
      <c r="A63" t="s">
        <v>2684</v>
      </c>
      <c r="B63" s="967"/>
      <c r="C63" s="968">
        <v>1321.905</v>
      </c>
      <c r="D63" s="968">
        <v>1321.905</v>
      </c>
      <c r="E63" s="967">
        <v>0</v>
      </c>
      <c r="F63" s="967">
        <v>44498</v>
      </c>
      <c r="G63" s="1538">
        <v>3760.1079501706818</v>
      </c>
      <c r="H63" s="975">
        <v>4131.847031010986</v>
      </c>
      <c r="J63" s="125">
        <v>3760.1080000000002</v>
      </c>
    </row>
    <row r="64" spans="1:10" ht="20.25">
      <c r="A64" t="s">
        <v>1589</v>
      </c>
      <c r="B64" s="967">
        <v>30828697974</v>
      </c>
      <c r="C64" s="968">
        <v>85277.438999999998</v>
      </c>
      <c r="D64" s="968">
        <v>85277.438999999998</v>
      </c>
      <c r="E64" s="967">
        <v>1048546</v>
      </c>
      <c r="F64" s="967">
        <v>6015777</v>
      </c>
      <c r="G64" s="1538">
        <v>5269.0931803337935</v>
      </c>
      <c r="H64" s="975">
        <v>5411.4845205165375</v>
      </c>
      <c r="J64" s="125">
        <v>5269.0929999999998</v>
      </c>
    </row>
    <row r="65" spans="1:10" ht="20.25">
      <c r="A65" t="s">
        <v>53</v>
      </c>
      <c r="B65" s="967">
        <v>5775267101</v>
      </c>
      <c r="C65" s="968">
        <v>20252.448</v>
      </c>
      <c r="D65" s="968">
        <v>20252.448</v>
      </c>
      <c r="E65" s="967">
        <v>323188</v>
      </c>
      <c r="F65" s="967">
        <v>1587807</v>
      </c>
      <c r="G65" s="1538">
        <v>5081.4506494234165</v>
      </c>
      <c r="H65" s="975">
        <v>5224.5727117501538</v>
      </c>
      <c r="J65" s="125">
        <v>5081.451</v>
      </c>
    </row>
    <row r="66" spans="1:10" ht="20.25">
      <c r="A66" t="s">
        <v>1700</v>
      </c>
      <c r="B66" s="967">
        <v>509045584</v>
      </c>
      <c r="C66" s="968">
        <v>4775.5860000000002</v>
      </c>
      <c r="D66" s="968">
        <v>4775.5860000000002</v>
      </c>
      <c r="E66" s="967">
        <v>167366</v>
      </c>
      <c r="F66" s="967">
        <v>691770</v>
      </c>
      <c r="G66" s="1538">
        <v>4872.7339153698094</v>
      </c>
      <c r="H66" s="975">
        <v>5146.4816083316155</v>
      </c>
      <c r="J66" s="125">
        <v>4872.7340000000004</v>
      </c>
    </row>
    <row r="67" spans="1:10" ht="20.25">
      <c r="A67" t="s">
        <v>1377</v>
      </c>
      <c r="B67" s="967">
        <v>521179178</v>
      </c>
      <c r="C67" s="968">
        <v>651.22400000000005</v>
      </c>
      <c r="D67" s="968">
        <v>651.22400000000005</v>
      </c>
      <c r="E67" s="967">
        <v>0</v>
      </c>
      <c r="F67" s="967">
        <v>102992</v>
      </c>
      <c r="G67" s="1538">
        <v>5661.1419227592251</v>
      </c>
      <c r="H67" s="975">
        <v>5804.029202149537</v>
      </c>
      <c r="J67" s="125">
        <v>5661.1419999999998</v>
      </c>
    </row>
    <row r="68" spans="1:10" ht="20.25">
      <c r="A68" t="s">
        <v>986</v>
      </c>
      <c r="B68" s="967">
        <v>627581384</v>
      </c>
      <c r="C68" s="968">
        <v>907.60200000000009</v>
      </c>
      <c r="D68" s="968">
        <v>907.60200000000009</v>
      </c>
      <c r="E68" s="967">
        <v>0</v>
      </c>
      <c r="F68" s="967">
        <v>100263</v>
      </c>
      <c r="G68" s="1538">
        <v>5407.3288291584786</v>
      </c>
      <c r="H68" s="975">
        <v>5550.3695433694002</v>
      </c>
      <c r="J68" s="125">
        <v>5407.3289999999997</v>
      </c>
    </row>
    <row r="69" spans="1:10" ht="20.25">
      <c r="A69" t="s">
        <v>1378</v>
      </c>
      <c r="B69" s="967">
        <v>837912600</v>
      </c>
      <c r="C69" s="968">
        <v>212.55100000000002</v>
      </c>
      <c r="D69" s="968">
        <v>212.55100000000002</v>
      </c>
      <c r="E69" s="967">
        <v>0</v>
      </c>
      <c r="F69" s="967">
        <v>70772</v>
      </c>
      <c r="G69" s="1538">
        <v>12401.30464184059</v>
      </c>
      <c r="H69" s="975">
        <v>12528.34795840209</v>
      </c>
      <c r="J69" s="125">
        <v>12401.305</v>
      </c>
    </row>
    <row r="70" spans="1:10" ht="20.25">
      <c r="A70" t="s">
        <v>628</v>
      </c>
      <c r="B70" s="967">
        <v>420278182</v>
      </c>
      <c r="C70" s="968">
        <v>1067.537</v>
      </c>
      <c r="D70" s="968">
        <v>1067.537</v>
      </c>
      <c r="E70" s="967">
        <v>0</v>
      </c>
      <c r="F70" s="967">
        <v>93777</v>
      </c>
      <c r="G70" s="1538">
        <v>4800.0041122331222</v>
      </c>
      <c r="H70" s="975">
        <v>4943.9362179293576</v>
      </c>
      <c r="J70" s="125">
        <v>4800.0039999999999</v>
      </c>
    </row>
    <row r="71" spans="1:10" ht="20.25">
      <c r="A71" t="s">
        <v>1379</v>
      </c>
      <c r="B71" s="967">
        <v>133159329</v>
      </c>
      <c r="C71" s="968">
        <v>486.78700000000003</v>
      </c>
      <c r="D71" s="968">
        <v>486.78700000000003</v>
      </c>
      <c r="E71" s="967">
        <v>7213</v>
      </c>
      <c r="F71" s="967">
        <v>35764</v>
      </c>
      <c r="G71" s="1538">
        <v>5303.0240601467312</v>
      </c>
      <c r="H71" s="975">
        <v>5450.0906473285695</v>
      </c>
      <c r="J71" s="125">
        <v>5303.0240000000003</v>
      </c>
    </row>
    <row r="72" spans="1:10" ht="20.25">
      <c r="A72" t="s">
        <v>1273</v>
      </c>
      <c r="B72" s="967">
        <v>53637357</v>
      </c>
      <c r="C72" s="968">
        <v>119.37700000000001</v>
      </c>
      <c r="D72" s="968">
        <v>119.37700000000001</v>
      </c>
      <c r="E72" s="967">
        <v>0</v>
      </c>
      <c r="F72" s="967">
        <v>21415</v>
      </c>
      <c r="G72" s="1538">
        <v>4811.0334184916637</v>
      </c>
      <c r="H72" s="975">
        <v>4990.1451822532053</v>
      </c>
      <c r="J72" s="125">
        <v>4811.0330000000004</v>
      </c>
    </row>
    <row r="73" spans="1:10" ht="20.25">
      <c r="A73" t="s">
        <v>1274</v>
      </c>
      <c r="B73" s="967">
        <v>182950231</v>
      </c>
      <c r="C73" s="968">
        <v>587.82600000000002</v>
      </c>
      <c r="D73" s="968">
        <v>587.82600000000002</v>
      </c>
      <c r="E73" s="967">
        <v>0</v>
      </c>
      <c r="F73" s="967">
        <v>73018</v>
      </c>
      <c r="G73" s="1538">
        <v>4833.3752648025129</v>
      </c>
      <c r="H73" s="975">
        <v>5043.2092631899404</v>
      </c>
      <c r="J73" s="125">
        <v>4833.375</v>
      </c>
    </row>
    <row r="74" spans="1:10" ht="20.25">
      <c r="A74" t="s">
        <v>2174</v>
      </c>
      <c r="B74" s="967">
        <v>73859247</v>
      </c>
      <c r="C74" s="968">
        <v>196.90900000000002</v>
      </c>
      <c r="D74" s="968">
        <v>196.90900000000002</v>
      </c>
      <c r="E74" s="967">
        <v>0</v>
      </c>
      <c r="F74" s="967">
        <v>0</v>
      </c>
      <c r="G74" s="1538">
        <v>4399.3292082576227</v>
      </c>
      <c r="H74" s="975">
        <v>4541.3440379819422</v>
      </c>
      <c r="J74" s="125">
        <v>4399.3289999999997</v>
      </c>
    </row>
    <row r="75" spans="1:10" ht="20.25">
      <c r="A75" t="s">
        <v>1846</v>
      </c>
      <c r="B75" s="967">
        <v>69713788</v>
      </c>
      <c r="C75" s="968">
        <v>126.34200000000001</v>
      </c>
      <c r="D75" s="968">
        <v>126.34200000000001</v>
      </c>
      <c r="E75" s="967">
        <v>0</v>
      </c>
      <c r="F75" s="967">
        <v>36546</v>
      </c>
      <c r="G75" s="1538">
        <v>4820.7397830212922</v>
      </c>
      <c r="H75" s="975">
        <v>4964.9561745066521</v>
      </c>
      <c r="J75" s="125">
        <v>4820.74</v>
      </c>
    </row>
    <row r="76" spans="1:10" ht="20.25">
      <c r="A76" t="s">
        <v>1847</v>
      </c>
      <c r="B76" s="967">
        <v>97852094</v>
      </c>
      <c r="C76" s="968">
        <v>231.11600000000001</v>
      </c>
      <c r="D76" s="968">
        <v>231.11600000000001</v>
      </c>
      <c r="E76" s="967">
        <v>0</v>
      </c>
      <c r="F76" s="967">
        <v>42921</v>
      </c>
      <c r="G76" s="1538">
        <v>4903.4469010867851</v>
      </c>
      <c r="H76" s="975">
        <v>5048.5019537593871</v>
      </c>
      <c r="J76" s="125">
        <v>4903.4470000000001</v>
      </c>
    </row>
    <row r="77" spans="1:10" ht="20.25">
      <c r="A77" t="s">
        <v>1848</v>
      </c>
      <c r="B77" s="967">
        <v>65103452</v>
      </c>
      <c r="C77" s="968">
        <v>99.408000000000001</v>
      </c>
      <c r="D77" s="968">
        <v>99.408000000000001</v>
      </c>
      <c r="E77" s="967">
        <v>0</v>
      </c>
      <c r="F77" s="967">
        <v>19010</v>
      </c>
      <c r="G77" s="1538">
        <v>4883.4636478332886</v>
      </c>
      <c r="H77" s="975">
        <v>5025.846534058729</v>
      </c>
      <c r="J77" s="125">
        <v>4883.4639999999999</v>
      </c>
    </row>
    <row r="78" spans="1:10" ht="20.25">
      <c r="A78" t="s">
        <v>997</v>
      </c>
      <c r="B78" s="967">
        <v>145878704</v>
      </c>
      <c r="C78" s="968">
        <v>737.31299999999999</v>
      </c>
      <c r="D78" s="968">
        <v>737.31299999999999</v>
      </c>
      <c r="E78" s="967">
        <v>0</v>
      </c>
      <c r="F78" s="967">
        <v>0</v>
      </c>
      <c r="G78" s="1538">
        <v>4687.3341016394661</v>
      </c>
      <c r="H78" s="975">
        <v>4897.4118439806498</v>
      </c>
      <c r="J78" s="125">
        <v>4687.3339999999998</v>
      </c>
    </row>
    <row r="79" spans="1:10" ht="20.25">
      <c r="A79" t="s">
        <v>808</v>
      </c>
      <c r="B79" s="967">
        <v>130105840</v>
      </c>
      <c r="C79" s="968">
        <v>942.92500000000007</v>
      </c>
      <c r="D79" s="968">
        <v>942.92500000000007</v>
      </c>
      <c r="E79" s="967">
        <v>0</v>
      </c>
      <c r="F79" s="967">
        <v>0</v>
      </c>
      <c r="G79" s="1538">
        <v>5331.7410870224112</v>
      </c>
      <c r="H79" s="975">
        <v>5476.4634781858367</v>
      </c>
      <c r="J79" s="125">
        <v>5331.741</v>
      </c>
    </row>
    <row r="80" spans="1:10" ht="20.25">
      <c r="A80" t="s">
        <v>2450</v>
      </c>
      <c r="B80" s="967">
        <v>48388975</v>
      </c>
      <c r="C80" s="968">
        <v>478.51400000000001</v>
      </c>
      <c r="D80" s="968">
        <v>478.51400000000001</v>
      </c>
      <c r="E80" s="967">
        <v>0</v>
      </c>
      <c r="F80" s="967">
        <v>10908</v>
      </c>
      <c r="G80" s="1538">
        <v>4573.6989876423231</v>
      </c>
      <c r="H80" s="975">
        <v>4716.7278084216669</v>
      </c>
      <c r="J80" s="125">
        <v>4573.6989999999996</v>
      </c>
    </row>
    <row r="81" spans="1:10" ht="20.25">
      <c r="A81" t="s">
        <v>3034</v>
      </c>
      <c r="B81" s="967">
        <v>295610671</v>
      </c>
      <c r="C81" s="968">
        <v>1298.931</v>
      </c>
      <c r="D81" s="968">
        <v>1298.931</v>
      </c>
      <c r="E81" s="967">
        <v>75755</v>
      </c>
      <c r="F81" s="967">
        <v>117359</v>
      </c>
      <c r="G81" s="1538">
        <v>4913.1017484321656</v>
      </c>
      <c r="H81" s="975">
        <v>5056.7547055571085</v>
      </c>
      <c r="J81" s="125">
        <v>4912.9380000000001</v>
      </c>
    </row>
    <row r="82" spans="1:10" ht="20.25">
      <c r="A82" t="s">
        <v>1252</v>
      </c>
      <c r="B82" s="967">
        <v>179763987</v>
      </c>
      <c r="C82" s="968">
        <v>1010.3000000000001</v>
      </c>
      <c r="D82" s="968">
        <v>1010.3000000000001</v>
      </c>
      <c r="E82" s="967">
        <v>0</v>
      </c>
      <c r="F82" s="967">
        <v>11099</v>
      </c>
      <c r="G82" s="1538">
        <v>4759.9920476267907</v>
      </c>
      <c r="H82" s="975">
        <v>4903.8253844750834</v>
      </c>
      <c r="J82" s="125">
        <v>4759.9920000000002</v>
      </c>
    </row>
    <row r="83" spans="1:10" ht="20.25">
      <c r="A83" t="s">
        <v>1253</v>
      </c>
      <c r="B83" s="967">
        <v>1816953020</v>
      </c>
      <c r="C83" s="968">
        <v>6200.27</v>
      </c>
      <c r="D83" s="968">
        <v>6200.27</v>
      </c>
      <c r="E83" s="967">
        <v>0</v>
      </c>
      <c r="F83" s="967">
        <v>51618</v>
      </c>
      <c r="G83" s="1538">
        <v>4970.7741152018534</v>
      </c>
      <c r="H83" s="975">
        <v>5113.8938508605579</v>
      </c>
      <c r="J83" s="125">
        <v>4970.7740000000003</v>
      </c>
    </row>
    <row r="84" spans="1:10" ht="20.25">
      <c r="A84" t="s">
        <v>1285</v>
      </c>
      <c r="B84" s="967">
        <v>477392541</v>
      </c>
      <c r="C84" s="968">
        <v>2543.6120000000001</v>
      </c>
      <c r="D84" s="968">
        <v>2543.6120000000001</v>
      </c>
      <c r="E84" s="967">
        <v>0</v>
      </c>
      <c r="F84" s="967">
        <v>39837</v>
      </c>
      <c r="G84" s="1538">
        <v>4699.1347922156992</v>
      </c>
      <c r="H84" s="975">
        <v>4842.328230273255</v>
      </c>
      <c r="J84" s="125">
        <v>4699.1350000000002</v>
      </c>
    </row>
    <row r="85" spans="1:10" ht="20.25">
      <c r="A85" t="s">
        <v>2451</v>
      </c>
      <c r="B85" s="967">
        <v>84886524</v>
      </c>
      <c r="C85" s="968">
        <v>558.42100000000005</v>
      </c>
      <c r="D85" s="968">
        <v>558.42100000000005</v>
      </c>
      <c r="E85" s="967">
        <v>0</v>
      </c>
      <c r="F85" s="967">
        <v>0</v>
      </c>
      <c r="G85" s="1538">
        <v>5055.2241045235878</v>
      </c>
      <c r="H85" s="975">
        <v>5199.7864361424918</v>
      </c>
      <c r="J85" s="125">
        <v>5055.223</v>
      </c>
    </row>
    <row r="86" spans="1:10" ht="20.25">
      <c r="A86" t="s">
        <v>1110</v>
      </c>
      <c r="B86" s="967">
        <v>16084159</v>
      </c>
      <c r="C86" s="968">
        <v>97.118000000000009</v>
      </c>
      <c r="D86" s="968">
        <v>97.118000000000009</v>
      </c>
      <c r="E86" s="967">
        <v>0</v>
      </c>
      <c r="F86" s="967">
        <v>0</v>
      </c>
      <c r="G86" s="1538">
        <v>4615.0606103777855</v>
      </c>
      <c r="H86" s="975">
        <v>4758.7430780094401</v>
      </c>
      <c r="J86" s="125">
        <v>4615.0609999999997</v>
      </c>
    </row>
    <row r="87" spans="1:10" ht="20.25">
      <c r="A87" t="s">
        <v>953</v>
      </c>
      <c r="B87" s="967">
        <v>144686127</v>
      </c>
      <c r="C87" s="968">
        <v>414.38300000000004</v>
      </c>
      <c r="D87" s="968">
        <v>414.38300000000004</v>
      </c>
      <c r="E87" s="967">
        <v>0</v>
      </c>
      <c r="F87" s="967">
        <v>0</v>
      </c>
      <c r="G87" s="1538">
        <v>3783.0252214305588</v>
      </c>
      <c r="H87" s="975">
        <v>3926.5817990184773</v>
      </c>
      <c r="J87" s="125">
        <v>3783.0250000000001</v>
      </c>
    </row>
    <row r="88" spans="1:10" ht="20.25">
      <c r="A88" t="s">
        <v>1286</v>
      </c>
      <c r="B88" s="967">
        <v>750061774</v>
      </c>
      <c r="C88" s="968">
        <v>1841.4750000000001</v>
      </c>
      <c r="D88" s="968">
        <v>1841.4750000000001</v>
      </c>
      <c r="E88" s="967">
        <v>0</v>
      </c>
      <c r="F88" s="967">
        <v>21474</v>
      </c>
      <c r="G88" s="1538">
        <v>5256.5250624939426</v>
      </c>
      <c r="H88" s="975">
        <v>5399.7205064470436</v>
      </c>
      <c r="J88" s="125">
        <v>5256.5249999999996</v>
      </c>
    </row>
    <row r="89" spans="1:10" ht="20.25">
      <c r="A89" t="s">
        <v>1287</v>
      </c>
      <c r="B89" s="967">
        <v>16929344</v>
      </c>
      <c r="C89" s="968">
        <v>107.131</v>
      </c>
      <c r="D89" s="968">
        <v>107.131</v>
      </c>
      <c r="E89" s="967">
        <v>0</v>
      </c>
      <c r="F89" s="967">
        <v>0</v>
      </c>
      <c r="G89" s="1538">
        <v>4663.9400747384989</v>
      </c>
      <c r="H89" s="975">
        <v>4807.1908425175234</v>
      </c>
      <c r="J89" s="125">
        <v>4663.9399999999996</v>
      </c>
    </row>
    <row r="90" spans="1:10" ht="20.25">
      <c r="A90" t="s">
        <v>954</v>
      </c>
      <c r="B90" s="967">
        <v>26344686</v>
      </c>
      <c r="C90" s="968">
        <v>106.34700000000001</v>
      </c>
      <c r="D90" s="968">
        <v>106.34700000000001</v>
      </c>
      <c r="E90" s="967">
        <v>0</v>
      </c>
      <c r="F90" s="967">
        <v>0</v>
      </c>
      <c r="G90" s="1538">
        <v>4652.2079040998997</v>
      </c>
      <c r="H90" s="975">
        <v>4794.8813411481879</v>
      </c>
      <c r="J90" s="125">
        <v>4652.2079999999996</v>
      </c>
    </row>
    <row r="91" spans="1:10" ht="20.25">
      <c r="A91" t="s">
        <v>207</v>
      </c>
      <c r="B91" s="967">
        <v>2871119797</v>
      </c>
      <c r="C91" s="968">
        <v>15478.251</v>
      </c>
      <c r="D91" s="968">
        <v>15478.251</v>
      </c>
      <c r="E91" s="967">
        <v>33795</v>
      </c>
      <c r="F91" s="967">
        <v>1680672</v>
      </c>
      <c r="G91" s="1538">
        <v>4919.7510444597938</v>
      </c>
      <c r="H91" s="975">
        <v>5292.4973111714444</v>
      </c>
      <c r="J91" s="125">
        <v>4919.7510000000002</v>
      </c>
    </row>
    <row r="92" spans="1:10" ht="20.25">
      <c r="A92" t="s">
        <v>1035</v>
      </c>
      <c r="B92" s="967">
        <v>2628750431</v>
      </c>
      <c r="C92" s="968">
        <v>5812.3180000000002</v>
      </c>
      <c r="D92" s="968">
        <v>5812.3180000000002</v>
      </c>
      <c r="E92" s="967">
        <v>0</v>
      </c>
      <c r="F92" s="967">
        <v>625083</v>
      </c>
      <c r="G92" s="1538">
        <v>5121.1268504844029</v>
      </c>
      <c r="H92" s="975">
        <v>5264.758872164336</v>
      </c>
      <c r="J92" s="125">
        <v>5121.1270000000004</v>
      </c>
    </row>
    <row r="93" spans="1:10" ht="20.25">
      <c r="A93" t="s">
        <v>809</v>
      </c>
      <c r="B93" s="967">
        <v>170597210</v>
      </c>
      <c r="C93" s="968">
        <v>728.24099999999999</v>
      </c>
      <c r="D93" s="968">
        <v>728.24099999999999</v>
      </c>
      <c r="E93" s="967">
        <v>0</v>
      </c>
      <c r="F93" s="967">
        <v>30036</v>
      </c>
      <c r="G93" s="1538">
        <v>4943.2825355785135</v>
      </c>
      <c r="H93" s="975">
        <v>5086.9940304747961</v>
      </c>
      <c r="J93" s="125">
        <v>4943.2830000000004</v>
      </c>
    </row>
    <row r="94" spans="1:10" ht="20.25">
      <c r="A94" t="s">
        <v>1321</v>
      </c>
      <c r="B94" s="967">
        <v>7464721354</v>
      </c>
      <c r="C94" s="968">
        <v>11804.949000000001</v>
      </c>
      <c r="D94" s="968">
        <v>11804.949000000001</v>
      </c>
      <c r="E94" s="967">
        <v>0</v>
      </c>
      <c r="F94" s="967">
        <v>466257</v>
      </c>
      <c r="G94" s="1538">
        <v>4968.9283880424691</v>
      </c>
      <c r="H94" s="975">
        <v>5112.8322259215411</v>
      </c>
      <c r="J94" s="125">
        <v>4968.9610000000002</v>
      </c>
    </row>
    <row r="95" spans="1:10" ht="20.25">
      <c r="A95" t="s">
        <v>1322</v>
      </c>
      <c r="B95" s="967">
        <v>1581406141</v>
      </c>
      <c r="C95" s="968">
        <v>1823.972</v>
      </c>
      <c r="D95" s="968">
        <v>1823.972</v>
      </c>
      <c r="E95" s="967">
        <v>0</v>
      </c>
      <c r="F95" s="967">
        <v>204162</v>
      </c>
      <c r="G95" s="1538">
        <v>5639.0852106825832</v>
      </c>
      <c r="H95" s="975">
        <v>5780.8470429122699</v>
      </c>
      <c r="J95" s="125">
        <v>5639.085</v>
      </c>
    </row>
    <row r="96" spans="1:10" ht="20.25">
      <c r="A96" t="s">
        <v>1616</v>
      </c>
      <c r="B96" s="967">
        <v>803599871</v>
      </c>
      <c r="C96" s="968">
        <v>2835.9880000000003</v>
      </c>
      <c r="D96" s="968">
        <v>2835.9880000000003</v>
      </c>
      <c r="E96" s="967">
        <v>0</v>
      </c>
      <c r="F96" s="967">
        <v>406083</v>
      </c>
      <c r="G96" s="1538">
        <v>4800.8292149347053</v>
      </c>
      <c r="H96" s="975">
        <v>4947.6162534990644</v>
      </c>
      <c r="J96" s="125">
        <v>4800.8289999999997</v>
      </c>
    </row>
    <row r="97" spans="1:10" ht="20.25">
      <c r="A97" t="s">
        <v>235</v>
      </c>
      <c r="B97" s="967">
        <v>5490301205</v>
      </c>
      <c r="C97" s="968">
        <v>17319.541000000001</v>
      </c>
      <c r="D97" s="968">
        <v>17319.541000000001</v>
      </c>
      <c r="E97" s="967">
        <v>473399</v>
      </c>
      <c r="F97" s="967">
        <v>1327056</v>
      </c>
      <c r="G97" s="1538">
        <v>5087.1924507939166</v>
      </c>
      <c r="H97" s="975">
        <v>5229.3629398222065</v>
      </c>
      <c r="J97" s="125">
        <v>5087.1809999999996</v>
      </c>
    </row>
    <row r="98" spans="1:10" ht="20.25">
      <c r="A98" t="s">
        <v>1323</v>
      </c>
      <c r="B98" s="967">
        <v>40936386</v>
      </c>
      <c r="C98" s="968">
        <v>156.864</v>
      </c>
      <c r="D98" s="968">
        <v>156.864</v>
      </c>
      <c r="E98" s="967">
        <v>0</v>
      </c>
      <c r="F98" s="967">
        <v>27579</v>
      </c>
      <c r="G98" s="1538">
        <v>5117.6275690813918</v>
      </c>
      <c r="H98" s="975">
        <v>4969.0367812483655</v>
      </c>
      <c r="J98" s="125">
        <v>5117.6279999999997</v>
      </c>
    </row>
    <row r="99" spans="1:10" ht="20.25">
      <c r="A99" t="s">
        <v>631</v>
      </c>
      <c r="B99" s="967">
        <v>5409230838</v>
      </c>
      <c r="C99" s="968">
        <v>9471.5770000000011</v>
      </c>
      <c r="D99" s="968">
        <v>9471.5770000000011</v>
      </c>
      <c r="E99" s="967">
        <v>158373</v>
      </c>
      <c r="F99" s="967">
        <v>671893</v>
      </c>
      <c r="G99" s="1538">
        <v>5869.4454036935467</v>
      </c>
      <c r="H99" s="975">
        <v>6012.3159333679951</v>
      </c>
      <c r="J99" s="125">
        <v>5869.4449999999997</v>
      </c>
    </row>
    <row r="100" spans="1:10" ht="20.25">
      <c r="A100" t="s">
        <v>994</v>
      </c>
      <c r="B100" s="967">
        <v>4323470114</v>
      </c>
      <c r="C100" s="968">
        <v>14257.781000000001</v>
      </c>
      <c r="D100" s="968">
        <v>14257.781000000001</v>
      </c>
      <c r="E100" s="967">
        <v>83115</v>
      </c>
      <c r="F100" s="967">
        <v>1003506</v>
      </c>
      <c r="G100" s="1538">
        <v>5055.2578425811762</v>
      </c>
      <c r="H100" s="975">
        <v>5198.3162045292147</v>
      </c>
      <c r="J100" s="125">
        <v>5055.2449999999999</v>
      </c>
    </row>
    <row r="101" spans="1:10" ht="20.25">
      <c r="A101" t="s">
        <v>2918</v>
      </c>
      <c r="B101" s="967">
        <v>61818971</v>
      </c>
      <c r="C101" s="968">
        <v>114.842</v>
      </c>
      <c r="D101" s="968">
        <v>114.842</v>
      </c>
      <c r="E101" s="967">
        <v>0</v>
      </c>
      <c r="F101" s="967">
        <v>88666</v>
      </c>
      <c r="G101" s="1538">
        <v>4817.2780665378195</v>
      </c>
      <c r="H101" s="975">
        <v>4962.0591833212002</v>
      </c>
      <c r="J101" s="125">
        <v>4817.2780000000002</v>
      </c>
    </row>
    <row r="102" spans="1:10" ht="20.25">
      <c r="A102" t="s">
        <v>440</v>
      </c>
      <c r="B102" s="967">
        <v>341984931</v>
      </c>
      <c r="C102" s="968">
        <v>980.05200000000002</v>
      </c>
      <c r="D102" s="968">
        <v>980.05200000000002</v>
      </c>
      <c r="E102" s="967">
        <v>0</v>
      </c>
      <c r="F102" s="967">
        <v>0</v>
      </c>
      <c r="G102" s="1538">
        <v>5109.0983961855218</v>
      </c>
      <c r="H102" s="975">
        <v>5223.4737766902954</v>
      </c>
      <c r="J102" s="125">
        <v>5109.098</v>
      </c>
    </row>
    <row r="103" spans="1:10" ht="20.25">
      <c r="A103" t="s">
        <v>441</v>
      </c>
      <c r="B103" s="967">
        <v>55467601</v>
      </c>
      <c r="C103" s="968">
        <v>47.544000000000004</v>
      </c>
      <c r="D103" s="968">
        <v>47.544000000000004</v>
      </c>
      <c r="E103" s="967">
        <v>0</v>
      </c>
      <c r="F103" s="967">
        <v>0</v>
      </c>
      <c r="G103" s="1538">
        <v>4814.4804103124279</v>
      </c>
      <c r="H103" s="975">
        <v>5018.3741481794405</v>
      </c>
      <c r="J103" s="125">
        <v>4814.4799999999996</v>
      </c>
    </row>
    <row r="104" spans="1:10" ht="20.25">
      <c r="A104" t="s">
        <v>442</v>
      </c>
      <c r="B104" s="967">
        <v>6242551</v>
      </c>
      <c r="C104" s="968">
        <v>28.873000000000001</v>
      </c>
      <c r="D104" s="968">
        <v>28.873000000000001</v>
      </c>
      <c r="E104" s="967">
        <v>0</v>
      </c>
      <c r="F104" s="967">
        <v>2448</v>
      </c>
      <c r="G104" s="1538">
        <v>4425.3459577567373</v>
      </c>
      <c r="H104" s="975">
        <v>4569.3041394540242</v>
      </c>
      <c r="J104" s="125">
        <v>4425.3459999999995</v>
      </c>
    </row>
    <row r="105" spans="1:10" ht="20.25">
      <c r="A105" t="s">
        <v>443</v>
      </c>
      <c r="B105" s="967">
        <v>51328533</v>
      </c>
      <c r="C105" s="968">
        <v>159.23099999999999</v>
      </c>
      <c r="D105" s="968">
        <v>159.23099999999999</v>
      </c>
      <c r="E105" s="967">
        <v>0</v>
      </c>
      <c r="F105" s="967">
        <v>38515</v>
      </c>
      <c r="G105" s="1538">
        <v>4961.7458123402466</v>
      </c>
      <c r="H105" s="975">
        <v>5111.9385759625557</v>
      </c>
      <c r="J105" s="125">
        <v>4961.7460000000001</v>
      </c>
    </row>
    <row r="106" spans="1:10" ht="20.25">
      <c r="A106" t="s">
        <v>745</v>
      </c>
      <c r="B106" s="967">
        <v>955289574</v>
      </c>
      <c r="C106" s="968">
        <v>1364.7</v>
      </c>
      <c r="D106" s="968">
        <v>1364.7</v>
      </c>
      <c r="E106" s="967">
        <v>0</v>
      </c>
      <c r="F106" s="967">
        <v>56332</v>
      </c>
      <c r="G106" s="1538">
        <v>6218.8624648257919</v>
      </c>
      <c r="H106" s="975">
        <v>6362.6200309191918</v>
      </c>
      <c r="J106" s="125">
        <v>6218.8620000000001</v>
      </c>
    </row>
    <row r="107" spans="1:10" ht="20.25">
      <c r="A107" t="s">
        <v>746</v>
      </c>
      <c r="B107" s="967">
        <v>237089288</v>
      </c>
      <c r="C107" s="968">
        <v>1031.4280000000001</v>
      </c>
      <c r="D107" s="968">
        <v>1031.4280000000001</v>
      </c>
      <c r="E107" s="967">
        <v>0</v>
      </c>
      <c r="F107" s="967">
        <v>129507</v>
      </c>
      <c r="G107" s="1538">
        <v>4781.1679365041982</v>
      </c>
      <c r="H107" s="975">
        <v>4924.7361402944298</v>
      </c>
      <c r="J107" s="125">
        <v>4781.1679999999997</v>
      </c>
    </row>
    <row r="108" spans="1:10" ht="20.25">
      <c r="A108" t="s">
        <v>747</v>
      </c>
      <c r="B108" s="967">
        <v>1068479046</v>
      </c>
      <c r="C108" s="968">
        <v>3250.2060000000001</v>
      </c>
      <c r="D108" s="968">
        <v>3250.2060000000001</v>
      </c>
      <c r="E108" s="967">
        <v>0</v>
      </c>
      <c r="F108" s="967">
        <v>120697</v>
      </c>
      <c r="G108" s="1538">
        <v>4925.5422621504977</v>
      </c>
      <c r="H108" s="975">
        <v>5068.7601178769464</v>
      </c>
      <c r="J108" s="125">
        <v>4925.5420000000004</v>
      </c>
    </row>
    <row r="109" spans="1:10" ht="20.25">
      <c r="A109" t="s">
        <v>988</v>
      </c>
      <c r="B109" s="967">
        <v>34978224</v>
      </c>
      <c r="C109" s="968">
        <v>215.465</v>
      </c>
      <c r="D109" s="968">
        <v>215.465</v>
      </c>
      <c r="E109" s="967">
        <v>0</v>
      </c>
      <c r="F109" s="967">
        <v>0</v>
      </c>
      <c r="G109" s="1538">
        <v>5174.4470656534968</v>
      </c>
      <c r="H109" s="975">
        <v>5241.4751759090686</v>
      </c>
      <c r="J109" s="125">
        <v>5174.4470000000001</v>
      </c>
    </row>
    <row r="110" spans="1:10" ht="20.25">
      <c r="A110" t="s">
        <v>2893</v>
      </c>
      <c r="B110" s="967">
        <v>120552566</v>
      </c>
      <c r="C110" s="968">
        <v>246.941</v>
      </c>
      <c r="D110" s="968">
        <v>246.941</v>
      </c>
      <c r="E110" s="967">
        <v>0</v>
      </c>
      <c r="F110" s="967">
        <v>60198</v>
      </c>
      <c r="G110" s="1538">
        <v>5011.4681849584294</v>
      </c>
      <c r="H110" s="975">
        <v>5155.4158181190232</v>
      </c>
      <c r="J110" s="125">
        <v>5011.4679999999998</v>
      </c>
    </row>
    <row r="111" spans="1:10" ht="20.25">
      <c r="A111" t="s">
        <v>1354</v>
      </c>
      <c r="B111" s="967">
        <v>32724684</v>
      </c>
      <c r="C111" s="968">
        <v>205.36</v>
      </c>
      <c r="D111" s="968">
        <v>205.36</v>
      </c>
      <c r="E111" s="967">
        <v>0</v>
      </c>
      <c r="F111" s="967">
        <v>23485</v>
      </c>
      <c r="G111" s="1538">
        <v>4427.2987673577763</v>
      </c>
      <c r="H111" s="975">
        <v>4569.8068096792967</v>
      </c>
      <c r="J111" s="125">
        <v>4427.299</v>
      </c>
    </row>
    <row r="112" spans="1:10" ht="20.25">
      <c r="A112" t="s">
        <v>810</v>
      </c>
      <c r="B112" s="967">
        <v>47514718</v>
      </c>
      <c r="C112" s="968">
        <v>167.32500000000002</v>
      </c>
      <c r="D112" s="968">
        <v>167.32500000000002</v>
      </c>
      <c r="E112" s="967">
        <v>0</v>
      </c>
      <c r="F112" s="967">
        <v>22443</v>
      </c>
      <c r="G112" s="1538">
        <v>4862.7267672204071</v>
      </c>
      <c r="H112" s="975">
        <v>5006.6374526082409</v>
      </c>
      <c r="J112" s="125">
        <v>4862.7269999999999</v>
      </c>
    </row>
    <row r="113" spans="1:10" ht="20.25">
      <c r="A113" t="s">
        <v>872</v>
      </c>
      <c r="B113" s="967">
        <v>212258864</v>
      </c>
      <c r="C113" s="968">
        <v>1183.0130000000001</v>
      </c>
      <c r="D113" s="968">
        <v>1183.0130000000001</v>
      </c>
      <c r="E113" s="967">
        <v>50623</v>
      </c>
      <c r="F113" s="967">
        <v>33783</v>
      </c>
      <c r="G113" s="1538">
        <v>5051.2642394922368</v>
      </c>
      <c r="H113" s="975">
        <v>5195.9212601215468</v>
      </c>
      <c r="J113" s="125">
        <v>5051.2640000000001</v>
      </c>
    </row>
    <row r="114" spans="1:10" ht="20.25">
      <c r="A114" t="s">
        <v>748</v>
      </c>
      <c r="B114" s="967">
        <v>682690108</v>
      </c>
      <c r="C114" s="968">
        <v>1766.38</v>
      </c>
      <c r="D114" s="968">
        <v>1766.38</v>
      </c>
      <c r="E114" s="967">
        <v>0</v>
      </c>
      <c r="F114" s="967">
        <v>245895</v>
      </c>
      <c r="G114" s="1538">
        <v>5389.6974553184964</v>
      </c>
      <c r="H114" s="975">
        <v>5532.898031362115</v>
      </c>
      <c r="J114" s="125">
        <v>5389.6970000000001</v>
      </c>
    </row>
    <row r="115" spans="1:10" ht="20.25">
      <c r="A115" t="s">
        <v>749</v>
      </c>
      <c r="B115" s="967">
        <v>195374564</v>
      </c>
      <c r="C115" s="968">
        <v>421.70100000000002</v>
      </c>
      <c r="D115" s="968">
        <v>421.70100000000002</v>
      </c>
      <c r="E115" s="967">
        <v>0</v>
      </c>
      <c r="F115" s="967">
        <v>49290</v>
      </c>
      <c r="G115" s="1538">
        <v>5028.0450741866362</v>
      </c>
      <c r="H115" s="975">
        <v>5172.7185938724324</v>
      </c>
      <c r="J115" s="125">
        <v>5028.0450000000001</v>
      </c>
    </row>
    <row r="116" spans="1:10" ht="20.25">
      <c r="A116" t="s">
        <v>750</v>
      </c>
      <c r="B116" s="967">
        <v>136150073</v>
      </c>
      <c r="C116" s="968">
        <v>470.06</v>
      </c>
      <c r="D116" s="968">
        <v>470.06</v>
      </c>
      <c r="E116" s="967">
        <v>0</v>
      </c>
      <c r="F116" s="967">
        <v>44238</v>
      </c>
      <c r="G116" s="1538">
        <v>5127.5727854622346</v>
      </c>
      <c r="H116" s="975">
        <v>5270.7666709330606</v>
      </c>
      <c r="J116" s="125">
        <v>5127.5730000000003</v>
      </c>
    </row>
    <row r="117" spans="1:10" ht="20.25">
      <c r="A117" t="s">
        <v>2154</v>
      </c>
      <c r="B117" s="967">
        <v>1549326774</v>
      </c>
      <c r="C117" s="968">
        <v>3100.7160000000003</v>
      </c>
      <c r="D117" s="968">
        <v>3100.7160000000003</v>
      </c>
      <c r="E117" s="967">
        <v>0</v>
      </c>
      <c r="F117" s="967">
        <v>631697</v>
      </c>
      <c r="G117" s="1538">
        <v>5325.2154940880528</v>
      </c>
      <c r="H117" s="975">
        <v>5469.2304571346958</v>
      </c>
      <c r="J117" s="125">
        <v>5325.2150000000001</v>
      </c>
    </row>
    <row r="118" spans="1:10" ht="20.25">
      <c r="A118" t="s">
        <v>380</v>
      </c>
      <c r="B118" s="967">
        <v>2634424040</v>
      </c>
      <c r="C118" s="968">
        <v>3670.2400000000002</v>
      </c>
      <c r="D118" s="968">
        <v>3670.2400000000002</v>
      </c>
      <c r="E118" s="967">
        <v>132866</v>
      </c>
      <c r="F118" s="967">
        <v>468864</v>
      </c>
      <c r="G118" s="1538">
        <v>5887.2629180672102</v>
      </c>
      <c r="H118" s="975">
        <v>6029.7360455513817</v>
      </c>
      <c r="J118" s="125">
        <v>5887.2629999999999</v>
      </c>
    </row>
    <row r="119" spans="1:10" ht="20.25">
      <c r="A119" t="s">
        <v>497</v>
      </c>
      <c r="B119" s="967">
        <v>816870436</v>
      </c>
      <c r="C119" s="968">
        <v>4230.3540000000003</v>
      </c>
      <c r="D119" s="968">
        <v>4230.3540000000003</v>
      </c>
      <c r="E119" s="967">
        <v>0</v>
      </c>
      <c r="F119" s="967">
        <v>596313</v>
      </c>
      <c r="G119" s="1538">
        <v>5103.1997694855845</v>
      </c>
      <c r="H119" s="975">
        <v>5246.2876079948956</v>
      </c>
      <c r="J119" s="125">
        <v>5103.2</v>
      </c>
    </row>
    <row r="120" spans="1:10" ht="20.25">
      <c r="A120" t="s">
        <v>1318</v>
      </c>
      <c r="B120" s="967">
        <v>315550504</v>
      </c>
      <c r="C120" s="968">
        <v>1327.6220000000001</v>
      </c>
      <c r="D120" s="968">
        <v>1327.6220000000001</v>
      </c>
      <c r="E120" s="967">
        <v>0</v>
      </c>
      <c r="F120" s="967">
        <v>36090</v>
      </c>
      <c r="G120" s="1538">
        <v>4777.2489132000646</v>
      </c>
      <c r="H120" s="975">
        <v>4921.4010938962956</v>
      </c>
      <c r="J120" s="125">
        <v>4777.2489999999998</v>
      </c>
    </row>
    <row r="121" spans="1:10" ht="20.25">
      <c r="A121" t="s">
        <v>2631</v>
      </c>
      <c r="B121" s="967">
        <v>115665644</v>
      </c>
      <c r="C121" s="968">
        <v>204.458</v>
      </c>
      <c r="D121" s="968">
        <v>204.458</v>
      </c>
      <c r="E121" s="967">
        <v>0</v>
      </c>
      <c r="F121" s="967">
        <v>18055</v>
      </c>
      <c r="G121" s="1538">
        <v>5033.5536402436501</v>
      </c>
      <c r="H121" s="975">
        <v>5196.5829667492344</v>
      </c>
      <c r="J121" s="125">
        <v>5053.9560000000001</v>
      </c>
    </row>
    <row r="122" spans="1:10" ht="20.25">
      <c r="A122" t="s">
        <v>1535</v>
      </c>
      <c r="B122" s="967">
        <v>4039009319</v>
      </c>
      <c r="C122" s="968">
        <v>3878.4960000000001</v>
      </c>
      <c r="D122" s="968">
        <v>3878.4960000000001</v>
      </c>
      <c r="E122" s="967">
        <v>0</v>
      </c>
      <c r="F122" s="967">
        <v>371186</v>
      </c>
      <c r="G122" s="1538">
        <v>5254.8713322087497</v>
      </c>
      <c r="H122" s="975">
        <v>5398.3118592361616</v>
      </c>
      <c r="J122" s="125">
        <v>5254.8710000000001</v>
      </c>
    </row>
    <row r="123" spans="1:10" ht="20.25">
      <c r="A123" t="s">
        <v>2671</v>
      </c>
      <c r="B123" s="967">
        <v>91835869</v>
      </c>
      <c r="C123" s="968">
        <v>336.08699999999999</v>
      </c>
      <c r="D123" s="968">
        <v>336.08699999999999</v>
      </c>
      <c r="E123" s="967">
        <v>0</v>
      </c>
      <c r="F123" s="967">
        <v>44666</v>
      </c>
      <c r="G123" s="1538">
        <v>4649.8531050868405</v>
      </c>
      <c r="H123" s="975">
        <v>4794.0340244119388</v>
      </c>
      <c r="J123" s="125">
        <v>4649.8530000000001</v>
      </c>
    </row>
    <row r="124" spans="1:10" ht="20.25">
      <c r="A124" t="s">
        <v>811</v>
      </c>
      <c r="B124" s="967">
        <v>322371917</v>
      </c>
      <c r="C124" s="968">
        <v>1333.0030000000002</v>
      </c>
      <c r="D124" s="968">
        <v>1333.0030000000002</v>
      </c>
      <c r="E124" s="967">
        <v>0</v>
      </c>
      <c r="F124" s="967">
        <v>126260</v>
      </c>
      <c r="G124" s="1538">
        <v>4812.6190064947632</v>
      </c>
      <c r="H124" s="975">
        <v>4956.6991938508172</v>
      </c>
      <c r="J124" s="125">
        <v>4812.6189999999997</v>
      </c>
    </row>
    <row r="125" spans="1:10" ht="20.25">
      <c r="A125" t="s">
        <v>171</v>
      </c>
      <c r="B125" s="967">
        <v>96787251</v>
      </c>
      <c r="C125" s="968">
        <v>302.42200000000003</v>
      </c>
      <c r="D125" s="968">
        <v>302.42200000000003</v>
      </c>
      <c r="E125" s="967">
        <v>0</v>
      </c>
      <c r="F125" s="967">
        <v>23038</v>
      </c>
      <c r="G125" s="1538">
        <v>4651.9982602972377</v>
      </c>
      <c r="H125" s="975">
        <v>4787.56743084154</v>
      </c>
      <c r="J125" s="125">
        <v>4651.9979999999996</v>
      </c>
    </row>
    <row r="126" spans="1:10" ht="20.25">
      <c r="A126" t="s">
        <v>2090</v>
      </c>
      <c r="B126" s="967">
        <v>193423068</v>
      </c>
      <c r="C126" s="968">
        <v>357.423</v>
      </c>
      <c r="D126" s="968">
        <v>357.423</v>
      </c>
      <c r="E126" s="967">
        <v>0</v>
      </c>
      <c r="F126" s="967">
        <v>41541</v>
      </c>
      <c r="G126" s="1538">
        <v>4927.4374857388293</v>
      </c>
      <c r="H126" s="975">
        <v>5106.7003555112633</v>
      </c>
      <c r="J126" s="125">
        <v>4927.4369999999999</v>
      </c>
    </row>
    <row r="127" spans="1:10" ht="20.25">
      <c r="A127" t="s">
        <v>993</v>
      </c>
      <c r="B127" s="967">
        <v>4873671841</v>
      </c>
      <c r="C127" s="968">
        <v>45097.326999999997</v>
      </c>
      <c r="D127" s="968">
        <v>45097.326999999997</v>
      </c>
      <c r="E127" s="967">
        <v>366628</v>
      </c>
      <c r="F127" s="967">
        <v>2186081</v>
      </c>
      <c r="G127" s="1538">
        <v>4823.445920466811</v>
      </c>
      <c r="H127" s="975">
        <v>4966.8212925498883</v>
      </c>
      <c r="J127" s="125">
        <v>4823.4459999999999</v>
      </c>
    </row>
    <row r="128" spans="1:10" ht="20.25">
      <c r="A128" t="s">
        <v>2126</v>
      </c>
      <c r="B128" s="967">
        <v>2976522684</v>
      </c>
      <c r="C128" s="968">
        <v>16831.442999999999</v>
      </c>
      <c r="D128" s="968">
        <v>16831.442999999999</v>
      </c>
      <c r="E128" s="967">
        <v>71394</v>
      </c>
      <c r="F128" s="967">
        <v>828892</v>
      </c>
      <c r="G128" s="1538">
        <v>4878.2287591942577</v>
      </c>
      <c r="H128" s="975">
        <v>5021.0030516375855</v>
      </c>
      <c r="J128" s="125">
        <v>4878.2290000000003</v>
      </c>
    </row>
    <row r="129" spans="1:10" ht="20.25">
      <c r="A129" t="s">
        <v>64</v>
      </c>
      <c r="B129" s="967">
        <v>335987142</v>
      </c>
      <c r="C129" s="968">
        <v>3198.0030000000002</v>
      </c>
      <c r="D129" s="968">
        <v>3198.0030000000002</v>
      </c>
      <c r="E129" s="967">
        <v>0</v>
      </c>
      <c r="F129" s="967">
        <v>176652</v>
      </c>
      <c r="G129" s="1538">
        <v>4806.5998408516425</v>
      </c>
      <c r="H129" s="975">
        <v>4950.0845627581994</v>
      </c>
      <c r="J129" s="125">
        <v>4806.6000000000004</v>
      </c>
    </row>
    <row r="130" spans="1:10" ht="20.25">
      <c r="A130" t="s">
        <v>2606</v>
      </c>
      <c r="B130" s="967">
        <v>1150583070</v>
      </c>
      <c r="C130" s="968">
        <v>8910.487000000001</v>
      </c>
      <c r="D130" s="968">
        <v>8910.487000000001</v>
      </c>
      <c r="E130" s="967">
        <v>297493</v>
      </c>
      <c r="F130" s="967">
        <v>1252755</v>
      </c>
      <c r="G130" s="1538">
        <v>4983.9308704677269</v>
      </c>
      <c r="H130" s="975">
        <v>5126.8147412932767</v>
      </c>
      <c r="J130" s="125">
        <v>4983.9309999999996</v>
      </c>
    </row>
    <row r="131" spans="1:10" ht="20.25">
      <c r="A131" t="s">
        <v>1892</v>
      </c>
      <c r="B131" s="967">
        <v>3585253361</v>
      </c>
      <c r="C131" s="968">
        <v>2307.2809999999999</v>
      </c>
      <c r="D131" s="968">
        <v>2307.2809999999999</v>
      </c>
      <c r="E131" s="967">
        <v>0</v>
      </c>
      <c r="F131" s="967">
        <v>0</v>
      </c>
      <c r="G131" s="1538">
        <v>5272.0630204293702</v>
      </c>
      <c r="H131" s="975">
        <v>5355.0541030855993</v>
      </c>
      <c r="J131" s="125">
        <v>5272.0630000000001</v>
      </c>
    </row>
    <row r="132" spans="1:10" ht="20.25">
      <c r="A132" t="s">
        <v>812</v>
      </c>
      <c r="B132" s="967">
        <v>205291238</v>
      </c>
      <c r="C132" s="968">
        <v>2101.5840000000003</v>
      </c>
      <c r="D132" s="968">
        <v>2101.5840000000003</v>
      </c>
      <c r="E132" s="967">
        <v>0</v>
      </c>
      <c r="F132" s="967">
        <v>263412</v>
      </c>
      <c r="G132" s="1538">
        <v>4816.9699834707953</v>
      </c>
      <c r="H132" s="975">
        <v>5030.3787008635445</v>
      </c>
      <c r="J132" s="125">
        <v>4816.97</v>
      </c>
    </row>
    <row r="133" spans="1:10" ht="20.25">
      <c r="A133" t="s">
        <v>1490</v>
      </c>
      <c r="B133" s="967">
        <v>757877734</v>
      </c>
      <c r="C133" s="968">
        <v>10156.308999999999</v>
      </c>
      <c r="D133" s="968">
        <v>10156.308999999999</v>
      </c>
      <c r="E133" s="967">
        <v>0</v>
      </c>
      <c r="F133" s="967">
        <v>993652</v>
      </c>
      <c r="G133" s="1538">
        <v>4747.900950990067</v>
      </c>
      <c r="H133" s="975">
        <v>4990.5676548221581</v>
      </c>
      <c r="J133" s="125">
        <v>4747.79</v>
      </c>
    </row>
    <row r="134" spans="1:10" ht="20.25">
      <c r="A134" t="s">
        <v>813</v>
      </c>
      <c r="B134" s="967">
        <v>35521140</v>
      </c>
      <c r="C134" s="968">
        <v>617.31400000000008</v>
      </c>
      <c r="D134" s="968">
        <v>617.31400000000008</v>
      </c>
      <c r="E134" s="967">
        <v>0</v>
      </c>
      <c r="F134" s="967">
        <v>37320</v>
      </c>
      <c r="G134" s="1538">
        <v>4504.4104336607952</v>
      </c>
      <c r="H134" s="975">
        <v>4877.4047402642809</v>
      </c>
      <c r="J134" s="125">
        <v>4504.41</v>
      </c>
    </row>
    <row r="135" spans="1:10" ht="20.25">
      <c r="A135" t="s">
        <v>534</v>
      </c>
      <c r="B135" s="967">
        <v>60760646</v>
      </c>
      <c r="C135" s="968">
        <v>1112.9460000000001</v>
      </c>
      <c r="D135" s="968">
        <v>1112.9460000000001</v>
      </c>
      <c r="E135" s="967">
        <v>0</v>
      </c>
      <c r="F135" s="967">
        <v>65152</v>
      </c>
      <c r="G135" s="1538">
        <v>4625.9509370458372</v>
      </c>
      <c r="H135" s="975">
        <v>4989.8375923313042</v>
      </c>
      <c r="J135" s="125">
        <v>4625.951</v>
      </c>
    </row>
    <row r="136" spans="1:10" ht="20.25">
      <c r="A136" t="s">
        <v>1050</v>
      </c>
      <c r="B136" s="967">
        <v>652705622</v>
      </c>
      <c r="C136" s="968">
        <v>2259.4870000000001</v>
      </c>
      <c r="D136" s="968">
        <v>2259.4870000000001</v>
      </c>
      <c r="E136" s="967">
        <v>0</v>
      </c>
      <c r="F136" s="967">
        <v>257333</v>
      </c>
      <c r="G136" s="1538">
        <v>4877.9778915494162</v>
      </c>
      <c r="H136" s="975">
        <v>5021.3737474669751</v>
      </c>
      <c r="J136" s="125">
        <v>4877.9780000000001</v>
      </c>
    </row>
    <row r="137" spans="1:10" ht="20.25">
      <c r="A137" t="s">
        <v>1051</v>
      </c>
      <c r="B137" s="967">
        <v>68968878</v>
      </c>
      <c r="C137" s="968">
        <v>128.28800000000001</v>
      </c>
      <c r="D137" s="968">
        <v>128.28800000000001</v>
      </c>
      <c r="E137" s="967">
        <v>0</v>
      </c>
      <c r="F137" s="967">
        <v>29041</v>
      </c>
      <c r="G137" s="1538">
        <v>5616.6963179822087</v>
      </c>
      <c r="H137" s="975">
        <v>5760.8300160311255</v>
      </c>
      <c r="J137" s="125">
        <v>5616.6959999999999</v>
      </c>
    </row>
    <row r="138" spans="1:10" ht="20.25">
      <c r="A138" t="s">
        <v>879</v>
      </c>
      <c r="B138" s="967">
        <v>439595436</v>
      </c>
      <c r="C138" s="968">
        <v>628.14400000000001</v>
      </c>
      <c r="D138" s="968">
        <v>628.14400000000001</v>
      </c>
      <c r="E138" s="967">
        <v>0</v>
      </c>
      <c r="F138" s="967">
        <v>68865</v>
      </c>
      <c r="G138" s="1538">
        <v>5691.7027850184168</v>
      </c>
      <c r="H138" s="975">
        <v>5996.5807675570859</v>
      </c>
      <c r="J138" s="125">
        <v>5691.7030000000004</v>
      </c>
    </row>
    <row r="139" spans="1:10" ht="20.25">
      <c r="A139" t="s">
        <v>2050</v>
      </c>
      <c r="B139" s="967">
        <v>422793231</v>
      </c>
      <c r="C139" s="968">
        <v>359.76800000000003</v>
      </c>
      <c r="D139" s="968">
        <v>359.76800000000003</v>
      </c>
      <c r="E139" s="967">
        <v>0</v>
      </c>
      <c r="F139" s="967">
        <v>34485</v>
      </c>
      <c r="G139" s="1538">
        <v>5934.0287216869201</v>
      </c>
      <c r="H139" s="975">
        <v>6076.9712108681033</v>
      </c>
      <c r="J139" s="125">
        <v>5934.0290000000005</v>
      </c>
    </row>
    <row r="140" spans="1:10" ht="20.25">
      <c r="A140" t="s">
        <v>1941</v>
      </c>
      <c r="B140" s="967">
        <v>418923901</v>
      </c>
      <c r="C140" s="968">
        <v>1682.8400000000001</v>
      </c>
      <c r="D140" s="968">
        <v>1682.8400000000001</v>
      </c>
      <c r="E140" s="967">
        <v>0</v>
      </c>
      <c r="F140" s="967">
        <v>287442</v>
      </c>
      <c r="G140" s="1538">
        <v>5089.5807588351736</v>
      </c>
      <c r="H140" s="975">
        <v>5233.7988463756483</v>
      </c>
      <c r="J140" s="125">
        <v>5089.5810000000001</v>
      </c>
    </row>
    <row r="141" spans="1:10" ht="20.25">
      <c r="A141" t="s">
        <v>1942</v>
      </c>
      <c r="B141" s="967">
        <v>52606848</v>
      </c>
      <c r="C141" s="968">
        <v>123.77900000000001</v>
      </c>
      <c r="D141" s="968">
        <v>123.77900000000001</v>
      </c>
      <c r="E141" s="967">
        <v>0</v>
      </c>
      <c r="F141" s="967">
        <v>17295</v>
      </c>
      <c r="G141" s="1538">
        <v>5027.2017988350626</v>
      </c>
      <c r="H141" s="975">
        <v>5171.240329542873</v>
      </c>
      <c r="J141" s="125">
        <v>5027.2020000000002</v>
      </c>
    </row>
    <row r="142" spans="1:10" ht="20.25">
      <c r="A142" t="s">
        <v>842</v>
      </c>
      <c r="B142" s="967">
        <v>290712036</v>
      </c>
      <c r="C142" s="968">
        <v>1009.672</v>
      </c>
      <c r="D142" s="968">
        <v>1009.672</v>
      </c>
      <c r="E142" s="967">
        <v>0</v>
      </c>
      <c r="F142" s="967">
        <v>75825</v>
      </c>
      <c r="G142" s="1538">
        <v>5664.1840182790984</v>
      </c>
      <c r="H142" s="975">
        <v>5812.5963959697065</v>
      </c>
      <c r="J142" s="125">
        <v>5664.1840000000002</v>
      </c>
    </row>
    <row r="143" spans="1:10" ht="20.25">
      <c r="A143" t="s">
        <v>843</v>
      </c>
      <c r="B143" s="967">
        <v>192237577</v>
      </c>
      <c r="C143" s="968">
        <v>754.27300000000002</v>
      </c>
      <c r="D143" s="968">
        <v>754.27300000000002</v>
      </c>
      <c r="E143" s="967">
        <v>0</v>
      </c>
      <c r="F143" s="967">
        <v>164045</v>
      </c>
      <c r="G143" s="1538">
        <v>4685.7055211247998</v>
      </c>
      <c r="H143" s="975">
        <v>4973.3256661102268</v>
      </c>
      <c r="J143" s="125">
        <v>4685.7060000000001</v>
      </c>
    </row>
    <row r="144" spans="1:10" ht="20.25">
      <c r="A144" t="s">
        <v>2142</v>
      </c>
      <c r="B144" s="967">
        <v>35426745</v>
      </c>
      <c r="C144" s="968">
        <v>409.822</v>
      </c>
      <c r="D144" s="968">
        <v>409.822</v>
      </c>
      <c r="E144" s="967">
        <v>0</v>
      </c>
      <c r="F144" s="967">
        <v>19003</v>
      </c>
      <c r="G144" s="1538">
        <v>5091.6963504259102</v>
      </c>
      <c r="H144" s="975">
        <v>5234.1307581995925</v>
      </c>
      <c r="J144" s="125">
        <v>5091.6959999999999</v>
      </c>
    </row>
    <row r="145" spans="1:10" ht="20.25">
      <c r="A145" t="s">
        <v>844</v>
      </c>
      <c r="B145" s="967">
        <v>371650303</v>
      </c>
      <c r="C145" s="968">
        <v>1010.485</v>
      </c>
      <c r="D145" s="968">
        <v>1010.485</v>
      </c>
      <c r="E145" s="967">
        <v>0</v>
      </c>
      <c r="F145" s="967">
        <v>104051</v>
      </c>
      <c r="G145" s="1538">
        <v>4654.4842974877311</v>
      </c>
      <c r="H145" s="975">
        <v>4921.6936234130244</v>
      </c>
      <c r="J145" s="125">
        <v>4654.4849999999997</v>
      </c>
    </row>
    <row r="146" spans="1:10" ht="20.25">
      <c r="A146" t="s">
        <v>2226</v>
      </c>
      <c r="B146" s="967">
        <v>32568095</v>
      </c>
      <c r="C146" s="968">
        <v>257.66900000000004</v>
      </c>
      <c r="D146" s="968">
        <v>257.66900000000004</v>
      </c>
      <c r="E146" s="967">
        <v>0</v>
      </c>
      <c r="F146" s="967">
        <v>14911</v>
      </c>
      <c r="G146" s="1538">
        <v>4746.7165883666003</v>
      </c>
      <c r="H146" s="975">
        <v>4936.2922385484917</v>
      </c>
      <c r="J146" s="125">
        <v>4746.7169999999996</v>
      </c>
    </row>
    <row r="147" spans="1:10" ht="20.25">
      <c r="A147" t="s">
        <v>2227</v>
      </c>
      <c r="B147" s="967">
        <v>187892150</v>
      </c>
      <c r="C147" s="968">
        <v>1099.4370000000001</v>
      </c>
      <c r="D147" s="968">
        <v>1099.4370000000001</v>
      </c>
      <c r="E147" s="967">
        <v>0</v>
      </c>
      <c r="F147" s="967">
        <v>71313</v>
      </c>
      <c r="G147" s="1538">
        <v>4737.3799643264292</v>
      </c>
      <c r="H147" s="975">
        <v>5110.2980568348512</v>
      </c>
      <c r="J147" s="125">
        <v>4737.1329999999998</v>
      </c>
    </row>
    <row r="148" spans="1:10" ht="20.25">
      <c r="A148" t="s">
        <v>2788</v>
      </c>
      <c r="B148" s="967">
        <v>55916190</v>
      </c>
      <c r="C148" s="968">
        <v>286.68600000000004</v>
      </c>
      <c r="D148" s="968">
        <v>286.68600000000004</v>
      </c>
      <c r="E148" s="967">
        <v>0</v>
      </c>
      <c r="F148" s="967">
        <v>11639</v>
      </c>
      <c r="G148" s="1538">
        <v>4750.1166266565488</v>
      </c>
      <c r="H148" s="975">
        <v>4950.4621834438822</v>
      </c>
      <c r="J148" s="125">
        <v>4750.1170000000002</v>
      </c>
    </row>
    <row r="149" spans="1:10" ht="20.25">
      <c r="A149" t="s">
        <v>2904</v>
      </c>
      <c r="B149" s="967">
        <v>27100068</v>
      </c>
      <c r="C149" s="968">
        <v>228.53900000000002</v>
      </c>
      <c r="D149" s="968">
        <v>228.53900000000002</v>
      </c>
      <c r="E149" s="967">
        <v>0</v>
      </c>
      <c r="F149" s="967">
        <v>7309</v>
      </c>
      <c r="G149" s="1538">
        <v>4799.9946816525871</v>
      </c>
      <c r="H149" s="975">
        <v>5080.6870929823508</v>
      </c>
      <c r="J149" s="125">
        <v>4799.9949999999999</v>
      </c>
    </row>
    <row r="150" spans="1:10" ht="20.25">
      <c r="A150" t="s">
        <v>1840</v>
      </c>
      <c r="B150" s="967">
        <v>326775962</v>
      </c>
      <c r="C150" s="968">
        <v>1213.7160000000001</v>
      </c>
      <c r="D150" s="968">
        <v>1213.7160000000001</v>
      </c>
      <c r="E150" s="967">
        <v>0</v>
      </c>
      <c r="F150" s="967">
        <v>139182</v>
      </c>
      <c r="G150" s="1538">
        <v>4956.4120942834734</v>
      </c>
      <c r="H150" s="975">
        <v>5099.8307734943155</v>
      </c>
      <c r="J150" s="125">
        <v>4956.4120000000003</v>
      </c>
    </row>
    <row r="151" spans="1:10" ht="20.25">
      <c r="A151" t="s">
        <v>2789</v>
      </c>
      <c r="B151" s="967">
        <v>3369623295</v>
      </c>
      <c r="C151" s="968">
        <v>3883.835</v>
      </c>
      <c r="D151" s="968">
        <v>3883.835</v>
      </c>
      <c r="E151" s="967">
        <v>0</v>
      </c>
      <c r="F151" s="967">
        <v>353393</v>
      </c>
      <c r="G151" s="1538">
        <v>7055.9592708072596</v>
      </c>
      <c r="H151" s="975">
        <v>7197.5385763398453</v>
      </c>
      <c r="J151" s="125">
        <v>7055.9589999999998</v>
      </c>
    </row>
    <row r="152" spans="1:10" ht="20.25">
      <c r="A152" t="s">
        <v>316</v>
      </c>
      <c r="B152" s="967">
        <v>275413513</v>
      </c>
      <c r="C152" s="968">
        <v>1214.789</v>
      </c>
      <c r="D152" s="968">
        <v>1214.789</v>
      </c>
      <c r="E152" s="967">
        <v>0</v>
      </c>
      <c r="F152" s="967">
        <v>76158</v>
      </c>
      <c r="G152" s="1538">
        <v>4884.957934347327</v>
      </c>
      <c r="H152" s="975">
        <v>5028.6904662297729</v>
      </c>
      <c r="J152" s="125">
        <v>4884.9579999999996</v>
      </c>
    </row>
    <row r="153" spans="1:10" ht="20.25">
      <c r="A153" t="s">
        <v>1658</v>
      </c>
      <c r="B153" s="967">
        <v>136229375</v>
      </c>
      <c r="C153" s="968">
        <v>627.92100000000005</v>
      </c>
      <c r="D153" s="968">
        <v>627.92100000000005</v>
      </c>
      <c r="E153" s="967">
        <v>0</v>
      </c>
      <c r="F153" s="967">
        <v>54157</v>
      </c>
      <c r="G153" s="1538">
        <v>4784.9813866333543</v>
      </c>
      <c r="H153" s="975">
        <v>5073.5385387236147</v>
      </c>
      <c r="J153" s="125">
        <v>4784.9809999999998</v>
      </c>
    </row>
    <row r="154" spans="1:10" ht="20.25">
      <c r="A154" t="s">
        <v>50</v>
      </c>
      <c r="B154" s="967">
        <v>898514949</v>
      </c>
      <c r="C154" s="968">
        <v>4473.433</v>
      </c>
      <c r="D154" s="968">
        <v>4473.433</v>
      </c>
      <c r="E154" s="967">
        <v>0</v>
      </c>
      <c r="F154" s="967">
        <v>495524</v>
      </c>
      <c r="G154" s="1538">
        <v>4762.2782785846393</v>
      </c>
      <c r="H154" s="975">
        <v>4905.8426237769509</v>
      </c>
      <c r="J154" s="125">
        <v>4762.5200000000004</v>
      </c>
    </row>
    <row r="155" spans="1:10" ht="20.25">
      <c r="A155" t="s">
        <v>1486</v>
      </c>
      <c r="B155" s="967">
        <v>364917176</v>
      </c>
      <c r="C155" s="968">
        <v>1975.1580000000001</v>
      </c>
      <c r="D155" s="968">
        <v>1975.1580000000001</v>
      </c>
      <c r="E155" s="967">
        <v>0</v>
      </c>
      <c r="F155" s="967">
        <v>238446</v>
      </c>
      <c r="G155" s="1538">
        <v>4816.0049849670686</v>
      </c>
      <c r="H155" s="975">
        <v>4986.3421043790531</v>
      </c>
      <c r="J155" s="125">
        <v>4816.0050000000001</v>
      </c>
    </row>
    <row r="156" spans="1:10" ht="20.25">
      <c r="A156" t="s">
        <v>2907</v>
      </c>
      <c r="B156" s="967">
        <v>38346428</v>
      </c>
      <c r="C156" s="968">
        <v>441.44600000000003</v>
      </c>
      <c r="D156" s="968">
        <v>441.44600000000003</v>
      </c>
      <c r="E156" s="967">
        <v>0</v>
      </c>
      <c r="F156" s="967">
        <v>45426</v>
      </c>
      <c r="G156" s="1538">
        <v>6004.0783514818886</v>
      </c>
      <c r="H156" s="975">
        <v>5996.3958656533723</v>
      </c>
      <c r="J156" s="125">
        <v>6004.0780000000004</v>
      </c>
    </row>
    <row r="157" spans="1:10" ht="20.25">
      <c r="A157" t="s">
        <v>1659</v>
      </c>
      <c r="B157" s="967">
        <v>84073234</v>
      </c>
      <c r="C157" s="968">
        <v>296.37100000000004</v>
      </c>
      <c r="D157" s="968">
        <v>296.37100000000004</v>
      </c>
      <c r="E157" s="967">
        <v>0</v>
      </c>
      <c r="F157" s="967">
        <v>23410</v>
      </c>
      <c r="G157" s="1538">
        <v>4600.8483238541057</v>
      </c>
      <c r="H157" s="975">
        <v>4975.3496949365344</v>
      </c>
      <c r="J157" s="125">
        <v>4600.848</v>
      </c>
    </row>
    <row r="158" spans="1:10" ht="20.25">
      <c r="A158" t="s">
        <v>84</v>
      </c>
      <c r="B158" s="967">
        <v>200741175</v>
      </c>
      <c r="C158" s="968">
        <v>1055.2530000000002</v>
      </c>
      <c r="D158" s="968">
        <v>1055.2530000000002</v>
      </c>
      <c r="E158" s="967">
        <v>0</v>
      </c>
      <c r="F158" s="967">
        <v>45263</v>
      </c>
      <c r="G158" s="1538">
        <v>4912.5666756709898</v>
      </c>
      <c r="H158" s="975">
        <v>5056.061035231588</v>
      </c>
      <c r="J158" s="125">
        <v>4912.567</v>
      </c>
    </row>
    <row r="159" spans="1:10" ht="20.25">
      <c r="A159" t="s">
        <v>1270</v>
      </c>
      <c r="B159" s="967">
        <v>21219830</v>
      </c>
      <c r="C159" s="968">
        <v>98.2</v>
      </c>
      <c r="D159" s="968">
        <v>98.2</v>
      </c>
      <c r="E159" s="967">
        <v>0</v>
      </c>
      <c r="F159" s="967">
        <v>2142</v>
      </c>
      <c r="G159" s="1538">
        <v>4729.1120539776057</v>
      </c>
      <c r="H159" s="975">
        <v>4928.7431890845228</v>
      </c>
    </row>
    <row r="160" spans="1:10" ht="20.25">
      <c r="A160" t="s">
        <v>2482</v>
      </c>
      <c r="B160" s="967">
        <v>324578624</v>
      </c>
      <c r="C160" s="968">
        <v>861.65</v>
      </c>
      <c r="D160" s="968">
        <v>861.65</v>
      </c>
      <c r="E160" s="967">
        <v>0</v>
      </c>
      <c r="F160" s="967">
        <v>99143</v>
      </c>
      <c r="G160" s="1538">
        <v>4862.1139148837437</v>
      </c>
      <c r="H160" s="975">
        <v>5006.7743268544182</v>
      </c>
      <c r="J160" s="125">
        <v>4862.1139999999996</v>
      </c>
    </row>
    <row r="161" spans="1:10" ht="20.25">
      <c r="A161" t="s">
        <v>814</v>
      </c>
      <c r="B161" s="967">
        <v>85708661</v>
      </c>
      <c r="C161" s="968">
        <v>433.565</v>
      </c>
      <c r="D161" s="968">
        <v>433.565</v>
      </c>
      <c r="E161" s="967">
        <v>0</v>
      </c>
      <c r="F161" s="967">
        <v>63697</v>
      </c>
      <c r="G161" s="1538">
        <v>4848.2291737532578</v>
      </c>
      <c r="H161" s="975">
        <v>5014.6182961884442</v>
      </c>
      <c r="J161" s="125">
        <v>4848.2290000000003</v>
      </c>
    </row>
    <row r="162" spans="1:10" ht="20.25">
      <c r="A162" t="s">
        <v>2483</v>
      </c>
      <c r="B162" s="967">
        <v>41974555</v>
      </c>
      <c r="C162" s="968">
        <v>164.46299999999999</v>
      </c>
      <c r="D162" s="968">
        <v>164.46299999999999</v>
      </c>
      <c r="E162" s="967">
        <v>0</v>
      </c>
      <c r="F162" s="967">
        <v>13865</v>
      </c>
      <c r="G162" s="1538">
        <v>4834.6049360234574</v>
      </c>
      <c r="H162" s="975">
        <v>4979.2858522668175</v>
      </c>
      <c r="J162" s="125">
        <v>4834.6049999999996</v>
      </c>
    </row>
    <row r="163" spans="1:10" ht="20.25">
      <c r="A163" t="s">
        <v>1883</v>
      </c>
      <c r="B163" s="967">
        <v>84163218</v>
      </c>
      <c r="C163" s="968">
        <v>109.977</v>
      </c>
      <c r="D163" s="968">
        <v>109.977</v>
      </c>
      <c r="E163" s="967">
        <v>0</v>
      </c>
      <c r="F163" s="967">
        <v>36942</v>
      </c>
      <c r="G163" s="1538">
        <v>5419.7699780279927</v>
      </c>
      <c r="H163" s="975">
        <v>5562.7239999195517</v>
      </c>
      <c r="J163" s="125">
        <v>5419.77</v>
      </c>
    </row>
    <row r="164" spans="1:10" ht="20.25">
      <c r="A164" t="s">
        <v>1884</v>
      </c>
      <c r="B164" s="967">
        <v>63183469</v>
      </c>
      <c r="C164" s="968">
        <v>420.46800000000002</v>
      </c>
      <c r="D164" s="968">
        <v>420.46800000000002</v>
      </c>
      <c r="E164" s="967">
        <v>0</v>
      </c>
      <c r="F164" s="967">
        <v>23555</v>
      </c>
      <c r="G164" s="1538">
        <v>5027.1723144780153</v>
      </c>
      <c r="H164" s="975">
        <v>5170.8109287697889</v>
      </c>
      <c r="J164" s="125">
        <v>5027.1719999999996</v>
      </c>
    </row>
    <row r="165" spans="1:10" ht="20.25">
      <c r="A165" t="s">
        <v>899</v>
      </c>
      <c r="B165" s="967">
        <v>848381122</v>
      </c>
      <c r="C165" s="968">
        <v>282.10599999999999</v>
      </c>
      <c r="D165" s="968">
        <v>282.10599999999999</v>
      </c>
      <c r="E165" s="967">
        <v>0</v>
      </c>
      <c r="F165" s="967">
        <v>46165</v>
      </c>
      <c r="G165" s="1538">
        <v>9402.070765711891</v>
      </c>
      <c r="H165" s="975">
        <v>9546.9543723182505</v>
      </c>
      <c r="J165" s="125">
        <v>9402.0709999999999</v>
      </c>
    </row>
    <row r="166" spans="1:10" ht="20.25">
      <c r="A166" t="s">
        <v>900</v>
      </c>
      <c r="B166" s="967">
        <v>96936887</v>
      </c>
      <c r="C166" s="968">
        <v>298.79000000000002</v>
      </c>
      <c r="D166" s="968">
        <v>298.79000000000002</v>
      </c>
      <c r="E166" s="967">
        <v>0</v>
      </c>
      <c r="F166" s="967">
        <v>44961</v>
      </c>
      <c r="G166" s="1538">
        <v>4905.971064289648</v>
      </c>
      <c r="H166" s="975">
        <v>5052.2089465929575</v>
      </c>
      <c r="J166" s="125">
        <v>4905.9709999999995</v>
      </c>
    </row>
    <row r="167" spans="1:10" ht="20.25">
      <c r="A167" t="s">
        <v>922</v>
      </c>
      <c r="B167" s="967">
        <v>198628526</v>
      </c>
      <c r="C167" s="968">
        <v>233.91900000000001</v>
      </c>
      <c r="D167" s="968">
        <v>233.91900000000001</v>
      </c>
      <c r="E167" s="967">
        <v>0</v>
      </c>
      <c r="F167" s="967">
        <v>42375</v>
      </c>
      <c r="G167" s="1538">
        <v>5430.1875394711551</v>
      </c>
      <c r="H167" s="975">
        <v>5803.8371876953224</v>
      </c>
      <c r="J167" s="125">
        <v>5430.1880000000001</v>
      </c>
    </row>
    <row r="168" spans="1:10" ht="20.25">
      <c r="A168" t="s">
        <v>630</v>
      </c>
      <c r="B168" s="967">
        <v>107910952</v>
      </c>
      <c r="C168" s="968">
        <v>902.62</v>
      </c>
      <c r="D168" s="968">
        <v>902.62</v>
      </c>
      <c r="E168" s="967">
        <v>0</v>
      </c>
      <c r="F168" s="967">
        <v>45886</v>
      </c>
      <c r="G168" s="1538">
        <v>4910.2399008666807</v>
      </c>
      <c r="H168" s="975">
        <v>5054.0827662313777</v>
      </c>
      <c r="J168" s="125">
        <v>4910.24</v>
      </c>
    </row>
    <row r="169" spans="1:10" ht="20.25">
      <c r="A169" t="s">
        <v>2712</v>
      </c>
      <c r="B169" s="967">
        <v>53302103</v>
      </c>
      <c r="C169" s="968">
        <v>266.892</v>
      </c>
      <c r="D169" s="968">
        <v>266.892</v>
      </c>
      <c r="E169" s="967">
        <v>0</v>
      </c>
      <c r="F169" s="967">
        <v>72883</v>
      </c>
      <c r="G169" s="1538">
        <v>4898.7911727584305</v>
      </c>
      <c r="H169" s="975">
        <v>5043.0668190442702</v>
      </c>
      <c r="J169" s="125">
        <v>4898.7910000000002</v>
      </c>
    </row>
    <row r="170" spans="1:10" ht="20.25">
      <c r="A170" t="s">
        <v>923</v>
      </c>
      <c r="B170" s="967">
        <v>78621927</v>
      </c>
      <c r="C170" s="968">
        <v>153.78100000000001</v>
      </c>
      <c r="D170" s="968">
        <v>153.78100000000001</v>
      </c>
      <c r="E170" s="967">
        <v>0</v>
      </c>
      <c r="F170" s="967">
        <v>67558</v>
      </c>
      <c r="G170" s="1538">
        <v>4972.7226654965052</v>
      </c>
      <c r="H170" s="975">
        <v>5117.124746183873</v>
      </c>
      <c r="J170" s="125">
        <v>4972.723</v>
      </c>
    </row>
    <row r="171" spans="1:10" ht="20.25">
      <c r="A171" t="s">
        <v>1954</v>
      </c>
      <c r="B171" s="967">
        <v>45041852</v>
      </c>
      <c r="C171" s="968">
        <v>89.004000000000005</v>
      </c>
      <c r="D171" s="968">
        <v>89.004000000000005</v>
      </c>
      <c r="E171" s="967">
        <v>0</v>
      </c>
      <c r="F171" s="967">
        <v>65505</v>
      </c>
      <c r="G171" s="1538">
        <v>5122.3203180255105</v>
      </c>
      <c r="H171" s="975">
        <v>5265.9808396571134</v>
      </c>
      <c r="J171" s="125">
        <v>5122.32</v>
      </c>
    </row>
    <row r="172" spans="1:10" ht="20.25">
      <c r="A172" t="s">
        <v>638</v>
      </c>
      <c r="B172" s="967">
        <v>6758496000</v>
      </c>
      <c r="C172" s="968">
        <v>17422.168000000001</v>
      </c>
      <c r="D172" s="968">
        <v>17422.168000000001</v>
      </c>
      <c r="E172" s="967">
        <v>198397</v>
      </c>
      <c r="F172" s="967">
        <v>638016</v>
      </c>
      <c r="G172" s="1538">
        <v>5396.6315139841699</v>
      </c>
      <c r="H172" s="975">
        <v>5539.3913150178087</v>
      </c>
      <c r="J172" s="125">
        <v>5396.6319999999996</v>
      </c>
    </row>
    <row r="173" spans="1:10" ht="20.25">
      <c r="A173" t="s">
        <v>1841</v>
      </c>
      <c r="B173" s="967">
        <v>521658437</v>
      </c>
      <c r="C173" s="968">
        <v>2098.4299999999998</v>
      </c>
      <c r="D173" s="968">
        <v>2098.4299999999998</v>
      </c>
      <c r="E173" s="967">
        <v>0</v>
      </c>
      <c r="F173" s="967">
        <v>166993</v>
      </c>
      <c r="G173" s="1538">
        <v>5384.0280015627723</v>
      </c>
      <c r="H173" s="975">
        <v>5526.7540364826473</v>
      </c>
      <c r="J173" s="125">
        <v>5384.0280000000002</v>
      </c>
    </row>
    <row r="174" spans="1:10" ht="20.25">
      <c r="A174" t="s">
        <v>2862</v>
      </c>
      <c r="B174" s="967">
        <v>650797282</v>
      </c>
      <c r="C174" s="968">
        <v>1822.212</v>
      </c>
      <c r="D174" s="968">
        <v>1822.212</v>
      </c>
      <c r="E174" s="967">
        <v>5370</v>
      </c>
      <c r="F174" s="967">
        <v>126343</v>
      </c>
      <c r="G174" s="1538">
        <v>5268.02418702261</v>
      </c>
      <c r="H174" s="975">
        <v>5410.768138285599</v>
      </c>
      <c r="J174" s="125">
        <v>5268.0240000000003</v>
      </c>
    </row>
    <row r="175" spans="1:10" ht="20.25">
      <c r="A175" t="s">
        <v>1900</v>
      </c>
      <c r="B175" s="967">
        <v>316968343</v>
      </c>
      <c r="C175" s="968">
        <v>1388.895</v>
      </c>
      <c r="D175" s="968">
        <v>1388.895</v>
      </c>
      <c r="E175" s="967">
        <v>0</v>
      </c>
      <c r="F175" s="967">
        <v>108372</v>
      </c>
      <c r="G175" s="1538">
        <v>4859.0844326462066</v>
      </c>
      <c r="H175" s="975">
        <v>5002.7570491934721</v>
      </c>
      <c r="J175" s="125">
        <v>4859.0839999999998</v>
      </c>
    </row>
    <row r="176" spans="1:10" ht="20.25">
      <c r="A176" t="s">
        <v>1605</v>
      </c>
      <c r="B176" s="967">
        <v>15357097475</v>
      </c>
      <c r="C176" s="968">
        <v>32489.879000000001</v>
      </c>
      <c r="D176" s="968">
        <v>32489.879000000001</v>
      </c>
      <c r="E176" s="967">
        <v>425030</v>
      </c>
      <c r="F176" s="967">
        <v>1329905</v>
      </c>
      <c r="G176" s="1538">
        <v>5695.1341014689078</v>
      </c>
      <c r="H176" s="975">
        <v>5836.443028538868</v>
      </c>
      <c r="J176" s="125">
        <v>5695.125</v>
      </c>
    </row>
    <row r="177" spans="1:10" ht="20.25">
      <c r="A177" t="s">
        <v>2895</v>
      </c>
      <c r="B177" s="967">
        <v>8925287139</v>
      </c>
      <c r="C177" s="968">
        <v>22473.042000000001</v>
      </c>
      <c r="D177" s="968">
        <v>22473.042000000001</v>
      </c>
      <c r="E177" s="967">
        <v>101748</v>
      </c>
      <c r="F177" s="967">
        <v>1571456</v>
      </c>
      <c r="G177" s="1538">
        <v>5703.4239521379523</v>
      </c>
      <c r="H177" s="975">
        <v>5846.5435068997986</v>
      </c>
      <c r="J177" s="125">
        <v>5703.424</v>
      </c>
    </row>
    <row r="178" spans="1:10" ht="20.25">
      <c r="A178" t="s">
        <v>724</v>
      </c>
      <c r="B178" s="967">
        <v>422146302</v>
      </c>
      <c r="C178" s="968">
        <v>1299.249</v>
      </c>
      <c r="D178" s="968">
        <v>1299.249</v>
      </c>
      <c r="E178" s="967">
        <v>8241</v>
      </c>
      <c r="F178" s="967">
        <v>92458</v>
      </c>
      <c r="G178" s="1538">
        <v>5561.6068274724821</v>
      </c>
      <c r="H178" s="975">
        <v>5705.0707531759035</v>
      </c>
      <c r="J178" s="125">
        <v>5562.9160000000002</v>
      </c>
    </row>
    <row r="179" spans="1:10" ht="20.25">
      <c r="A179" t="s">
        <v>725</v>
      </c>
      <c r="B179" s="967">
        <v>33753289517</v>
      </c>
      <c r="C179" s="968">
        <v>51747.735000000001</v>
      </c>
      <c r="D179" s="968">
        <v>51747.735000000001</v>
      </c>
      <c r="E179" s="967">
        <v>67221</v>
      </c>
      <c r="F179" s="967">
        <v>1915651</v>
      </c>
      <c r="G179" s="1538">
        <v>5671.3000351516557</v>
      </c>
      <c r="H179" s="975">
        <v>5814.6742736361157</v>
      </c>
      <c r="J179" s="125">
        <v>5671.3</v>
      </c>
    </row>
    <row r="180" spans="1:10" ht="20.25">
      <c r="A180" t="s">
        <v>246</v>
      </c>
      <c r="B180" s="967">
        <v>500288870</v>
      </c>
      <c r="C180" s="968">
        <v>2809.5550000000003</v>
      </c>
      <c r="D180" s="968">
        <v>2809.5550000000003</v>
      </c>
      <c r="E180" s="967">
        <v>10060</v>
      </c>
      <c r="F180" s="967">
        <v>194743</v>
      </c>
      <c r="G180" s="1538">
        <v>4895.8682276140944</v>
      </c>
      <c r="H180" s="975">
        <v>5037.7275293600696</v>
      </c>
      <c r="J180" s="125">
        <v>4895.8680000000004</v>
      </c>
    </row>
    <row r="181" spans="1:10" ht="20.25">
      <c r="A181" t="s">
        <v>1780</v>
      </c>
      <c r="B181" s="967">
        <v>1651084247</v>
      </c>
      <c r="C181" s="968">
        <v>3439.4390000000003</v>
      </c>
      <c r="D181" s="968">
        <v>3439.4390000000003</v>
      </c>
      <c r="E181" s="967">
        <v>231454</v>
      </c>
      <c r="F181" s="967">
        <v>236825</v>
      </c>
      <c r="G181" s="1538">
        <v>7500.2683146753725</v>
      </c>
      <c r="H181" s="975">
        <v>7639.4078677281477</v>
      </c>
      <c r="J181" s="125">
        <v>7500.268</v>
      </c>
    </row>
    <row r="182" spans="1:10" ht="20.25">
      <c r="A182" t="s">
        <v>1351</v>
      </c>
      <c r="B182" s="967">
        <v>3059940240</v>
      </c>
      <c r="C182" s="968">
        <v>11400.52</v>
      </c>
      <c r="D182" s="968">
        <v>11400.52</v>
      </c>
      <c r="E182" s="967">
        <v>16976</v>
      </c>
      <c r="F182" s="967">
        <v>577406</v>
      </c>
      <c r="G182" s="1538">
        <v>5192.1920591137177</v>
      </c>
      <c r="H182" s="975">
        <v>5334.6454650720416</v>
      </c>
      <c r="J182" s="125">
        <v>5192.192</v>
      </c>
    </row>
    <row r="183" spans="1:10" ht="20.25">
      <c r="A183" t="s">
        <v>990</v>
      </c>
      <c r="B183" s="967">
        <v>118073820</v>
      </c>
      <c r="C183" s="968">
        <v>599.50900000000001</v>
      </c>
      <c r="D183" s="968">
        <v>599.50900000000001</v>
      </c>
      <c r="E183" s="967">
        <v>0</v>
      </c>
      <c r="F183" s="967">
        <v>79071</v>
      </c>
      <c r="G183" s="1538">
        <v>4793.2095732189873</v>
      </c>
      <c r="H183" s="975">
        <v>5007.8915650829485</v>
      </c>
      <c r="J183" s="125">
        <v>4792.8999999999996</v>
      </c>
    </row>
    <row r="184" spans="1:10" ht="20.25">
      <c r="A184" t="s">
        <v>1619</v>
      </c>
      <c r="B184" s="967">
        <v>441044833</v>
      </c>
      <c r="C184" s="968">
        <v>1533.8</v>
      </c>
      <c r="D184" s="968">
        <v>1533.8</v>
      </c>
      <c r="E184" s="967">
        <v>9768</v>
      </c>
      <c r="F184" s="967">
        <v>140788</v>
      </c>
      <c r="G184" s="1538">
        <v>5077.0386533908986</v>
      </c>
      <c r="H184" s="975">
        <v>5220.395881352546</v>
      </c>
      <c r="J184" s="125">
        <v>5077.0389999999998</v>
      </c>
    </row>
    <row r="185" spans="1:10" ht="20.25">
      <c r="A185" t="s">
        <v>281</v>
      </c>
      <c r="B185" s="967">
        <v>1428531234</v>
      </c>
      <c r="C185" s="968">
        <v>3104.8270000000002</v>
      </c>
      <c r="D185" s="968">
        <v>3104.8270000000002</v>
      </c>
      <c r="E185" s="967">
        <v>8126</v>
      </c>
      <c r="F185" s="967">
        <v>0</v>
      </c>
      <c r="G185" s="1538">
        <v>7420.6037664426985</v>
      </c>
      <c r="H185" s="975">
        <v>7560.5438225859725</v>
      </c>
      <c r="J185" s="125">
        <v>7420.6040000000003</v>
      </c>
    </row>
    <row r="186" spans="1:10" ht="20.25">
      <c r="A186" t="s">
        <v>282</v>
      </c>
      <c r="B186" s="967">
        <v>85929609</v>
      </c>
      <c r="C186" s="968">
        <v>499.30700000000002</v>
      </c>
      <c r="D186" s="968">
        <v>499.30700000000002</v>
      </c>
      <c r="E186" s="967">
        <v>0</v>
      </c>
      <c r="F186" s="967">
        <v>8397</v>
      </c>
      <c r="G186" s="1538">
        <v>4614.1926534443337</v>
      </c>
      <c r="H186" s="975">
        <v>4758.3842452492308</v>
      </c>
      <c r="J186" s="125">
        <v>4614.1930000000002</v>
      </c>
    </row>
    <row r="187" spans="1:10" ht="20.25">
      <c r="A187" t="s">
        <v>642</v>
      </c>
      <c r="B187" s="967">
        <v>38504235</v>
      </c>
      <c r="C187" s="968">
        <v>92.994</v>
      </c>
      <c r="D187" s="968">
        <v>92.994</v>
      </c>
      <c r="E187" s="967">
        <v>0</v>
      </c>
      <c r="F187" s="967">
        <v>10967</v>
      </c>
      <c r="G187" s="1538">
        <v>4789.2611567316017</v>
      </c>
      <c r="H187" s="975">
        <v>4932.5115819641342</v>
      </c>
    </row>
    <row r="188" spans="1:10" ht="20.25">
      <c r="A188" t="s">
        <v>1617</v>
      </c>
      <c r="B188" s="967">
        <v>729237406</v>
      </c>
      <c r="C188" s="968">
        <v>1441.8010000000002</v>
      </c>
      <c r="D188" s="968">
        <v>1441.8010000000002</v>
      </c>
      <c r="E188" s="967">
        <v>0</v>
      </c>
      <c r="F188" s="967">
        <v>148292</v>
      </c>
      <c r="G188" s="1538">
        <v>4933.5543164930577</v>
      </c>
      <c r="H188" s="975">
        <v>5076.8332015197557</v>
      </c>
      <c r="J188" s="125">
        <v>4933.5540000000001</v>
      </c>
    </row>
    <row r="189" spans="1:10" ht="20.25">
      <c r="A189" t="s">
        <v>643</v>
      </c>
      <c r="B189" s="967">
        <v>643710027</v>
      </c>
      <c r="C189" s="968">
        <v>1220.011</v>
      </c>
      <c r="D189" s="968">
        <v>1220.011</v>
      </c>
      <c r="E189" s="967">
        <v>45106</v>
      </c>
      <c r="F189" s="967">
        <v>169517</v>
      </c>
      <c r="G189" s="1538">
        <v>5249.2022853939525</v>
      </c>
      <c r="H189" s="975">
        <v>5392.5424947227448</v>
      </c>
      <c r="J189" s="125">
        <v>5249.2020000000002</v>
      </c>
    </row>
    <row r="190" spans="1:10" ht="20.25">
      <c r="A190" t="s">
        <v>34</v>
      </c>
      <c r="B190" s="967">
        <v>251254298</v>
      </c>
      <c r="C190" s="968">
        <v>547.78</v>
      </c>
      <c r="D190" s="968">
        <v>547.78</v>
      </c>
      <c r="E190" s="967">
        <v>0</v>
      </c>
      <c r="F190" s="967">
        <v>37664</v>
      </c>
      <c r="G190" s="1538">
        <v>5095.478094441939</v>
      </c>
      <c r="H190" s="975">
        <v>5238.2433594359891</v>
      </c>
      <c r="J190" s="125">
        <v>5095.2470000000003</v>
      </c>
    </row>
    <row r="191" spans="1:10" ht="20.25">
      <c r="A191" t="s">
        <v>35</v>
      </c>
      <c r="B191" s="967">
        <v>2867160137</v>
      </c>
      <c r="C191" s="968">
        <v>7340.1850000000004</v>
      </c>
      <c r="D191" s="968">
        <v>7340.1850000000004</v>
      </c>
      <c r="E191" s="967">
        <v>2527</v>
      </c>
      <c r="F191" s="967">
        <v>424657</v>
      </c>
      <c r="G191" s="1538">
        <v>5212.5724583473475</v>
      </c>
      <c r="H191" s="975">
        <v>5355.3796641447925</v>
      </c>
      <c r="J191" s="125">
        <v>5212.5720000000001</v>
      </c>
    </row>
    <row r="192" spans="1:10" ht="20.25">
      <c r="A192" t="s">
        <v>1437</v>
      </c>
      <c r="B192" s="967">
        <v>9827858581</v>
      </c>
      <c r="C192" s="968">
        <v>15647.165000000001</v>
      </c>
      <c r="D192" s="968">
        <v>15647.165000000001</v>
      </c>
      <c r="E192" s="967">
        <v>271395</v>
      </c>
      <c r="F192" s="967">
        <v>2186296</v>
      </c>
      <c r="G192" s="1538">
        <v>5726.7214755047689</v>
      </c>
      <c r="H192" s="975">
        <v>5869.5549759187907</v>
      </c>
      <c r="J192" s="125">
        <v>5726.7209999999995</v>
      </c>
    </row>
    <row r="193" spans="1:10" ht="20.25">
      <c r="A193" t="s">
        <v>2644</v>
      </c>
      <c r="B193" s="967">
        <v>264425561</v>
      </c>
      <c r="C193" s="968">
        <v>1132.796</v>
      </c>
      <c r="D193" s="968">
        <v>1132.796</v>
      </c>
      <c r="E193" s="967">
        <v>71847</v>
      </c>
      <c r="F193" s="967">
        <v>104973</v>
      </c>
      <c r="G193" s="1538">
        <v>4827.5559035689839</v>
      </c>
      <c r="H193" s="975">
        <v>4971.4827419556523</v>
      </c>
      <c r="J193" s="125">
        <v>4827.5559999999996</v>
      </c>
    </row>
    <row r="194" spans="1:10" ht="20.25">
      <c r="A194" t="s">
        <v>2763</v>
      </c>
      <c r="B194" s="967">
        <v>155420371</v>
      </c>
      <c r="C194" s="968">
        <v>651.02600000000007</v>
      </c>
      <c r="D194" s="968">
        <v>651.02600000000007</v>
      </c>
      <c r="E194" s="967">
        <v>0</v>
      </c>
      <c r="F194" s="967">
        <v>43328</v>
      </c>
      <c r="G194" s="1538">
        <v>4864.4068127108985</v>
      </c>
      <c r="H194" s="975">
        <v>5007.1202647315404</v>
      </c>
      <c r="J194" s="125">
        <v>4864.4070000000002</v>
      </c>
    </row>
    <row r="195" spans="1:10" ht="20.25">
      <c r="A195" t="s">
        <v>2672</v>
      </c>
      <c r="B195" s="967">
        <v>40691480</v>
      </c>
      <c r="C195" s="968">
        <v>200.99800000000002</v>
      </c>
      <c r="D195" s="968">
        <v>200.99800000000002</v>
      </c>
      <c r="E195" s="967">
        <v>0</v>
      </c>
      <c r="F195" s="967">
        <v>28116</v>
      </c>
      <c r="G195" s="1538">
        <v>4773.1871884552893</v>
      </c>
      <c r="H195" s="975">
        <v>4916.2762514631968</v>
      </c>
      <c r="J195" s="125">
        <v>4773.1869999999999</v>
      </c>
    </row>
    <row r="196" spans="1:10" ht="20.25">
      <c r="A196" t="s">
        <v>2645</v>
      </c>
      <c r="B196" s="967">
        <v>20748233</v>
      </c>
      <c r="C196" s="968">
        <v>130.239</v>
      </c>
      <c r="D196" s="968">
        <v>130.239</v>
      </c>
      <c r="E196" s="967">
        <v>0</v>
      </c>
      <c r="F196" s="967">
        <v>0</v>
      </c>
      <c r="G196" s="1538">
        <v>4614.4478975074526</v>
      </c>
      <c r="H196" s="975">
        <v>4693.6585778303879</v>
      </c>
      <c r="J196" s="125">
        <v>4614.4480000000003</v>
      </c>
    </row>
    <row r="197" spans="1:10" ht="20.25">
      <c r="A197" t="s">
        <v>2646</v>
      </c>
      <c r="B197" s="967">
        <v>161391838</v>
      </c>
      <c r="C197" s="968">
        <v>255.81</v>
      </c>
      <c r="D197" s="968">
        <v>255.81</v>
      </c>
      <c r="E197" s="967">
        <v>0</v>
      </c>
      <c r="F197" s="967">
        <v>43700</v>
      </c>
      <c r="G197" s="1538">
        <v>5258.0846768056981</v>
      </c>
      <c r="H197" s="975">
        <v>5402.4560435548128</v>
      </c>
      <c r="J197" s="125">
        <v>5258.085</v>
      </c>
    </row>
    <row r="198" spans="1:10" ht="20.25">
      <c r="A198" t="s">
        <v>331</v>
      </c>
      <c r="B198" s="967">
        <v>64395994</v>
      </c>
      <c r="C198" s="968">
        <v>128.21600000000001</v>
      </c>
      <c r="D198" s="968">
        <v>128.21600000000001</v>
      </c>
      <c r="E198" s="967">
        <v>0</v>
      </c>
      <c r="F198" s="967">
        <v>10688</v>
      </c>
      <c r="G198" s="1538">
        <v>4900.0904391814893</v>
      </c>
      <c r="H198" s="975">
        <v>5043.5019152017767</v>
      </c>
      <c r="J198" s="125">
        <v>4900.09</v>
      </c>
    </row>
    <row r="199" spans="1:10" ht="20.25">
      <c r="A199" t="s">
        <v>1607</v>
      </c>
      <c r="B199" s="967">
        <v>876390058</v>
      </c>
      <c r="C199" s="968">
        <v>2457.415</v>
      </c>
      <c r="D199" s="968">
        <v>2457.415</v>
      </c>
      <c r="E199" s="967">
        <v>0</v>
      </c>
      <c r="F199" s="967">
        <v>165590</v>
      </c>
      <c r="G199" s="1538">
        <v>4865.6172072288691</v>
      </c>
      <c r="H199" s="975">
        <v>5149.4198573454396</v>
      </c>
      <c r="J199" s="125">
        <v>4865.6170000000002</v>
      </c>
    </row>
    <row r="200" spans="1:10" ht="20.25">
      <c r="A200" t="s">
        <v>332</v>
      </c>
      <c r="B200" s="967">
        <v>279209054</v>
      </c>
      <c r="C200" s="968">
        <v>446.83199999999999</v>
      </c>
      <c r="D200" s="968">
        <v>446.83199999999999</v>
      </c>
      <c r="E200" s="967">
        <v>0</v>
      </c>
      <c r="F200" s="967">
        <v>43457</v>
      </c>
      <c r="G200" s="1538">
        <v>4894.8515998222028</v>
      </c>
      <c r="H200" s="975">
        <v>5275.8556398987876</v>
      </c>
      <c r="J200" s="125">
        <v>4894.8519999999999</v>
      </c>
    </row>
    <row r="201" spans="1:10" ht="20.25">
      <c r="A201" t="s">
        <v>2863</v>
      </c>
      <c r="B201" s="967">
        <v>172874470</v>
      </c>
      <c r="C201" s="968">
        <v>607.71</v>
      </c>
      <c r="D201" s="968">
        <v>607.71</v>
      </c>
      <c r="E201" s="967">
        <v>0</v>
      </c>
      <c r="F201" s="967">
        <v>64162</v>
      </c>
      <c r="G201" s="1538">
        <v>4858.0268861771647</v>
      </c>
      <c r="H201" s="975">
        <v>5002.2471027465508</v>
      </c>
      <c r="J201" s="125">
        <v>4858.027</v>
      </c>
    </row>
    <row r="202" spans="1:10" ht="20.25">
      <c r="A202" t="s">
        <v>333</v>
      </c>
      <c r="B202" s="967">
        <v>547833546</v>
      </c>
      <c r="C202" s="968">
        <v>1139.354</v>
      </c>
      <c r="D202" s="968">
        <v>1139.354</v>
      </c>
      <c r="E202" s="967">
        <v>0</v>
      </c>
      <c r="F202" s="967">
        <v>263681</v>
      </c>
      <c r="G202" s="1538">
        <v>5857.5457529820642</v>
      </c>
      <c r="H202" s="975">
        <v>6000.7982910521014</v>
      </c>
      <c r="J202" s="125">
        <v>5857.5460000000003</v>
      </c>
    </row>
    <row r="203" spans="1:10" ht="20.25">
      <c r="A203" t="s">
        <v>334</v>
      </c>
      <c r="B203" s="967">
        <v>117177573</v>
      </c>
      <c r="C203" s="968">
        <v>416.62200000000001</v>
      </c>
      <c r="D203" s="968">
        <v>416.62200000000001</v>
      </c>
      <c r="E203" s="967">
        <v>0</v>
      </c>
      <c r="F203" s="967">
        <v>45204</v>
      </c>
      <c r="G203" s="1538">
        <v>4930.2826988086354</v>
      </c>
      <c r="H203" s="975">
        <v>5074.4488012802522</v>
      </c>
      <c r="J203" s="125">
        <v>4930.2830000000004</v>
      </c>
    </row>
    <row r="204" spans="1:10" ht="20.25">
      <c r="A204" t="s">
        <v>335</v>
      </c>
      <c r="B204" s="967">
        <v>177276690</v>
      </c>
      <c r="C204" s="968">
        <v>515.87599999999998</v>
      </c>
      <c r="D204" s="968">
        <v>515.87599999999998</v>
      </c>
      <c r="E204" s="967">
        <v>0</v>
      </c>
      <c r="F204" s="967">
        <v>13885</v>
      </c>
      <c r="G204" s="1538">
        <v>5272.3613947184467</v>
      </c>
      <c r="H204" s="975">
        <v>5415.5707950088345</v>
      </c>
      <c r="J204" s="125">
        <v>5272.3609999999999</v>
      </c>
    </row>
    <row r="205" spans="1:10" ht="20.25">
      <c r="A205" t="s">
        <v>1962</v>
      </c>
      <c r="B205" s="967">
        <v>39140523</v>
      </c>
      <c r="C205" s="968">
        <v>62.946000000000005</v>
      </c>
      <c r="D205" s="968">
        <v>62.946000000000005</v>
      </c>
      <c r="E205" s="967">
        <v>0</v>
      </c>
      <c r="F205" s="967">
        <v>12776</v>
      </c>
      <c r="G205" s="1538">
        <v>5526.6515089200502</v>
      </c>
      <c r="H205" s="975">
        <v>5671.4674819775428</v>
      </c>
      <c r="J205" s="125">
        <v>5526.652</v>
      </c>
    </row>
    <row r="206" spans="1:10" ht="20.25">
      <c r="A206" t="s">
        <v>1963</v>
      </c>
      <c r="B206" s="967">
        <v>108908653</v>
      </c>
      <c r="C206" s="968">
        <v>64.67</v>
      </c>
      <c r="D206" s="968">
        <v>64.67</v>
      </c>
      <c r="E206" s="967">
        <v>0</v>
      </c>
      <c r="F206" s="967">
        <v>31841</v>
      </c>
      <c r="G206" s="1538">
        <v>5371.7277912947247</v>
      </c>
      <c r="H206" s="975">
        <v>5515.3786066494167</v>
      </c>
      <c r="J206" s="125">
        <v>5371.7280000000001</v>
      </c>
    </row>
    <row r="207" spans="1:10" ht="20.25">
      <c r="A207" t="s">
        <v>1492</v>
      </c>
      <c r="B207" s="967">
        <v>74607125</v>
      </c>
      <c r="C207" s="968">
        <v>241.59300000000002</v>
      </c>
      <c r="D207" s="968">
        <v>241.59300000000002</v>
      </c>
      <c r="E207" s="967">
        <v>0</v>
      </c>
      <c r="F207" s="967">
        <v>39389</v>
      </c>
      <c r="G207" s="1538">
        <v>5104.914678262141</v>
      </c>
      <c r="H207" s="975">
        <v>5098.2991648054012</v>
      </c>
      <c r="J207" s="125">
        <v>4952.6629999999996</v>
      </c>
    </row>
    <row r="208" spans="1:10" ht="20.25">
      <c r="A208" t="s">
        <v>1267</v>
      </c>
      <c r="B208" s="967">
        <v>556925833</v>
      </c>
      <c r="C208" s="968">
        <v>2646.0640000000003</v>
      </c>
      <c r="D208" s="968">
        <v>2646.0640000000003</v>
      </c>
      <c r="E208" s="967">
        <v>0</v>
      </c>
      <c r="F208" s="967">
        <v>284992</v>
      </c>
      <c r="G208" s="1538">
        <v>4954.0269503351965</v>
      </c>
      <c r="H208" s="975">
        <v>5097.0884200805122</v>
      </c>
      <c r="J208" s="125">
        <v>4954.027</v>
      </c>
    </row>
    <row r="209" spans="1:10" ht="20.25">
      <c r="A209" t="s">
        <v>2462</v>
      </c>
      <c r="B209" s="967">
        <v>33642250</v>
      </c>
      <c r="C209" s="968">
        <v>158.107</v>
      </c>
      <c r="D209" s="968">
        <v>158.107</v>
      </c>
      <c r="E209" s="967">
        <v>0</v>
      </c>
      <c r="F209" s="967">
        <v>10898</v>
      </c>
      <c r="G209" s="1538">
        <v>5653.6245071276926</v>
      </c>
      <c r="H209" s="975">
        <v>5797.7421812103557</v>
      </c>
      <c r="J209" s="125">
        <v>5653.625</v>
      </c>
    </row>
    <row r="210" spans="1:10" ht="20.25">
      <c r="A210" t="s">
        <v>1268</v>
      </c>
      <c r="B210" s="967">
        <v>53709919</v>
      </c>
      <c r="C210" s="968">
        <v>138.756</v>
      </c>
      <c r="D210" s="968">
        <v>138.756</v>
      </c>
      <c r="E210" s="967">
        <v>0</v>
      </c>
      <c r="F210" s="967">
        <v>40469</v>
      </c>
      <c r="G210" s="1538">
        <v>4814.5305781175348</v>
      </c>
      <c r="H210" s="975">
        <v>4958.73373341352</v>
      </c>
      <c r="J210" s="125">
        <v>4814.5309999999999</v>
      </c>
    </row>
    <row r="211" spans="1:10" ht="20.25">
      <c r="A211" t="s">
        <v>2752</v>
      </c>
      <c r="B211" s="967">
        <v>1189205237</v>
      </c>
      <c r="C211" s="968">
        <v>7296.4360000000006</v>
      </c>
      <c r="D211" s="968">
        <v>7296.4360000000006</v>
      </c>
      <c r="E211" s="967">
        <v>0</v>
      </c>
      <c r="F211" s="967">
        <v>402514</v>
      </c>
      <c r="G211" s="1538">
        <v>4928.3228218684935</v>
      </c>
      <c r="H211" s="975">
        <v>5063.1139116066524</v>
      </c>
      <c r="J211" s="125">
        <v>4928.3230000000003</v>
      </c>
    </row>
    <row r="212" spans="1:10" ht="20.25">
      <c r="A212" t="s">
        <v>1269</v>
      </c>
      <c r="B212" s="967">
        <v>141996862</v>
      </c>
      <c r="C212" s="968">
        <v>227.738</v>
      </c>
      <c r="D212" s="968">
        <v>227.738</v>
      </c>
      <c r="E212" s="967">
        <v>0</v>
      </c>
      <c r="F212" s="967">
        <v>24733</v>
      </c>
      <c r="G212" s="1538">
        <v>5197.9044244728657</v>
      </c>
      <c r="H212" s="975">
        <v>5341.9098269292244</v>
      </c>
      <c r="J212" s="125">
        <v>5197.9040000000005</v>
      </c>
    </row>
    <row r="213" spans="1:10" ht="20.25">
      <c r="A213" t="s">
        <v>779</v>
      </c>
      <c r="B213" s="967">
        <v>2197723140</v>
      </c>
      <c r="C213" s="968">
        <v>904.61200000000008</v>
      </c>
      <c r="D213" s="968">
        <v>904.61200000000008</v>
      </c>
      <c r="E213" s="967">
        <v>0</v>
      </c>
      <c r="F213" s="967">
        <v>48558</v>
      </c>
      <c r="G213" s="1538">
        <v>9367.9373065676336</v>
      </c>
      <c r="H213" s="975">
        <v>9511.6015532946039</v>
      </c>
      <c r="J213" s="125">
        <v>9367.9369999999999</v>
      </c>
    </row>
    <row r="214" spans="1:10" ht="20.25">
      <c r="A214" t="s">
        <v>780</v>
      </c>
      <c r="B214" s="967">
        <v>2404045780</v>
      </c>
      <c r="C214" s="968">
        <v>691.91600000000005</v>
      </c>
      <c r="D214" s="968">
        <v>691.91600000000005</v>
      </c>
      <c r="E214" s="967">
        <v>0</v>
      </c>
      <c r="F214" s="967">
        <v>93860</v>
      </c>
      <c r="G214" s="1538">
        <v>6813.6006291852636</v>
      </c>
      <c r="H214" s="975">
        <v>6957.7457722710833</v>
      </c>
      <c r="J214" s="125">
        <v>6813.6009999999997</v>
      </c>
    </row>
    <row r="215" spans="1:10" ht="20.25">
      <c r="A215" t="s">
        <v>781</v>
      </c>
      <c r="B215" s="967">
        <v>73334322</v>
      </c>
      <c r="C215" s="968">
        <v>380.32</v>
      </c>
      <c r="D215" s="968">
        <v>380.32</v>
      </c>
      <c r="E215" s="967">
        <v>0</v>
      </c>
      <c r="F215" s="967">
        <v>21388</v>
      </c>
      <c r="G215" s="1538">
        <v>5080.8761371736882</v>
      </c>
      <c r="H215" s="975">
        <v>5224.7171808571948</v>
      </c>
      <c r="J215" s="125">
        <v>5080.8760000000002</v>
      </c>
    </row>
    <row r="216" spans="1:10" ht="20.25">
      <c r="A216" t="s">
        <v>782</v>
      </c>
      <c r="B216" s="967">
        <v>118961839</v>
      </c>
      <c r="C216" s="968">
        <v>283.39400000000001</v>
      </c>
      <c r="D216" s="968">
        <v>283.39400000000001</v>
      </c>
      <c r="E216" s="967">
        <v>0</v>
      </c>
      <c r="F216" s="967">
        <v>74919</v>
      </c>
      <c r="G216" s="1538">
        <v>5305.8512077222586</v>
      </c>
      <c r="H216" s="975">
        <v>5449.6453874249646</v>
      </c>
      <c r="J216" s="125">
        <v>5305.8509999999997</v>
      </c>
    </row>
    <row r="217" spans="1:10" ht="20.25">
      <c r="A217" t="s">
        <v>428</v>
      </c>
      <c r="B217" s="967">
        <v>103042984</v>
      </c>
      <c r="C217" s="968">
        <v>495.08200000000005</v>
      </c>
      <c r="D217" s="968">
        <v>495.08200000000005</v>
      </c>
      <c r="E217" s="967">
        <v>0</v>
      </c>
      <c r="F217" s="967">
        <v>20000</v>
      </c>
      <c r="G217" s="1538">
        <v>4417.9403986981288</v>
      </c>
      <c r="H217" s="975">
        <v>4561.3593435799794</v>
      </c>
      <c r="J217" s="125">
        <v>4417.9399999999996</v>
      </c>
    </row>
    <row r="218" spans="1:10" ht="20.25">
      <c r="A218" t="s">
        <v>2928</v>
      </c>
      <c r="B218" s="967">
        <v>319827536</v>
      </c>
      <c r="C218" s="968">
        <v>437.476</v>
      </c>
      <c r="D218" s="968">
        <v>437.476</v>
      </c>
      <c r="E218" s="967">
        <v>0</v>
      </c>
      <c r="F218" s="967">
        <v>10196</v>
      </c>
      <c r="G218" s="1538">
        <v>5453.0683122316004</v>
      </c>
      <c r="H218" s="975">
        <v>5562.8349360902603</v>
      </c>
      <c r="J218" s="125">
        <v>5453.0680000000002</v>
      </c>
    </row>
    <row r="219" spans="1:10" ht="20.25">
      <c r="A219" t="s">
        <v>2929</v>
      </c>
      <c r="B219" s="967">
        <v>530781101</v>
      </c>
      <c r="C219" s="968">
        <v>1497.5640000000001</v>
      </c>
      <c r="D219" s="968">
        <v>1497.5640000000001</v>
      </c>
      <c r="E219" s="967">
        <v>0</v>
      </c>
      <c r="F219" s="967">
        <v>44352</v>
      </c>
      <c r="G219" s="1538">
        <v>4755.2589454927102</v>
      </c>
      <c r="H219" s="975">
        <v>4898.6605639105201</v>
      </c>
      <c r="J219" s="125">
        <v>4755.259</v>
      </c>
    </row>
    <row r="220" spans="1:10" ht="20.25">
      <c r="A220" t="s">
        <v>2930</v>
      </c>
      <c r="B220" s="967">
        <v>82593320</v>
      </c>
      <c r="C220" s="968">
        <v>152.13500000000002</v>
      </c>
      <c r="D220" s="968">
        <v>152.13500000000002</v>
      </c>
      <c r="E220" s="967">
        <v>0</v>
      </c>
      <c r="F220" s="967">
        <v>42511</v>
      </c>
      <c r="G220" s="1538">
        <v>4851.8768363135296</v>
      </c>
      <c r="H220" s="975">
        <v>5223.9649745138449</v>
      </c>
      <c r="J220" s="125">
        <v>4851.8770000000004</v>
      </c>
    </row>
    <row r="221" spans="1:10" ht="20.25">
      <c r="A221" t="s">
        <v>1843</v>
      </c>
      <c r="B221" s="967">
        <v>13938352020</v>
      </c>
      <c r="C221" s="968">
        <v>24067.661</v>
      </c>
      <c r="D221" s="968">
        <v>24067.661</v>
      </c>
      <c r="E221" s="967">
        <v>11467</v>
      </c>
      <c r="F221" s="967">
        <v>0</v>
      </c>
      <c r="G221" s="1538">
        <v>5526.1974662050497</v>
      </c>
      <c r="H221" s="975">
        <v>5669.9648404922045</v>
      </c>
      <c r="J221" s="125">
        <v>5526.1970000000001</v>
      </c>
    </row>
    <row r="222" spans="1:10" ht="20.25">
      <c r="A222" t="s">
        <v>421</v>
      </c>
      <c r="B222" s="967">
        <v>2889109489</v>
      </c>
      <c r="C222" s="968">
        <v>7735.72</v>
      </c>
      <c r="D222" s="968">
        <v>7735.72</v>
      </c>
      <c r="E222" s="967">
        <v>0</v>
      </c>
      <c r="F222" s="967">
        <v>0</v>
      </c>
      <c r="G222" s="1538">
        <v>5068.0836224691284</v>
      </c>
      <c r="H222" s="975">
        <v>5211.2751350483077</v>
      </c>
      <c r="J222" s="125">
        <v>5068.0839999999998</v>
      </c>
    </row>
    <row r="223" spans="1:10" ht="20.25">
      <c r="A223" t="s">
        <v>422</v>
      </c>
      <c r="B223" s="967">
        <v>81950793210</v>
      </c>
      <c r="C223" s="968">
        <v>143704.359</v>
      </c>
      <c r="D223" s="968">
        <v>143704.359</v>
      </c>
      <c r="E223" s="967">
        <v>6923</v>
      </c>
      <c r="F223" s="967">
        <v>0</v>
      </c>
      <c r="G223" s="1538">
        <v>5429.7374496643806</v>
      </c>
      <c r="H223" s="975">
        <v>5572.9572013145125</v>
      </c>
      <c r="J223" s="125">
        <v>5429.3609999999999</v>
      </c>
    </row>
    <row r="224" spans="1:10" ht="20.25">
      <c r="A224" t="s">
        <v>423</v>
      </c>
      <c r="B224" s="967">
        <v>2338638290</v>
      </c>
      <c r="C224" s="968">
        <v>8536.5709999999999</v>
      </c>
      <c r="D224" s="968">
        <v>8536.5709999999999</v>
      </c>
      <c r="E224" s="967">
        <v>0</v>
      </c>
      <c r="F224" s="967">
        <v>0</v>
      </c>
      <c r="G224" s="1538">
        <v>4902.6573433530357</v>
      </c>
      <c r="H224" s="975">
        <v>5045.7821220961996</v>
      </c>
      <c r="J224" s="125">
        <v>4902.6570000000002</v>
      </c>
    </row>
    <row r="225" spans="1:10" ht="20.25">
      <c r="A225" t="s">
        <v>424</v>
      </c>
      <c r="B225" s="967">
        <v>3436945425</v>
      </c>
      <c r="C225" s="968">
        <v>11986.132</v>
      </c>
      <c r="D225" s="968">
        <v>11986.132</v>
      </c>
      <c r="E225" s="967">
        <v>0</v>
      </c>
      <c r="F225" s="967">
        <v>526125</v>
      </c>
      <c r="G225" s="1538">
        <v>4884.102566385508</v>
      </c>
      <c r="H225" s="975">
        <v>5027.286267084557</v>
      </c>
      <c r="J225" s="125">
        <v>4884.1030000000001</v>
      </c>
    </row>
    <row r="226" spans="1:10" ht="20.25">
      <c r="A226" t="s">
        <v>2973</v>
      </c>
      <c r="B226" s="967">
        <v>14082044842</v>
      </c>
      <c r="C226" s="968">
        <v>54142.866000000002</v>
      </c>
      <c r="D226" s="968">
        <v>54142.866000000002</v>
      </c>
      <c r="E226" s="967">
        <v>0</v>
      </c>
      <c r="F226" s="967">
        <v>3294526</v>
      </c>
      <c r="G226" s="1538">
        <v>4853.284801608107</v>
      </c>
      <c r="H226" s="975">
        <v>4996.577570378191</v>
      </c>
      <c r="J226" s="125">
        <v>4853.2849999999999</v>
      </c>
    </row>
    <row r="227" spans="1:10" ht="20.25">
      <c r="A227" t="s">
        <v>741</v>
      </c>
      <c r="B227" s="967">
        <v>4739170081</v>
      </c>
      <c r="C227" s="968">
        <v>24240.371999999999</v>
      </c>
      <c r="D227" s="968">
        <v>24240.371999999999</v>
      </c>
      <c r="E227" s="967">
        <v>186511</v>
      </c>
      <c r="F227" s="967">
        <v>767177</v>
      </c>
      <c r="G227" s="1538">
        <v>4852.0550894285298</v>
      </c>
      <c r="H227" s="975">
        <v>4995.2416866494823</v>
      </c>
      <c r="J227" s="125">
        <v>4852.0550000000003</v>
      </c>
    </row>
    <row r="228" spans="1:10" ht="20.25">
      <c r="A228" t="s">
        <v>579</v>
      </c>
      <c r="B228" s="967">
        <v>12089960628</v>
      </c>
      <c r="C228" s="968">
        <v>6214.8910000000005</v>
      </c>
      <c r="D228" s="968">
        <v>6214.8910000000005</v>
      </c>
      <c r="E228" s="967">
        <v>0</v>
      </c>
      <c r="F228" s="967">
        <v>0</v>
      </c>
      <c r="G228" s="1538">
        <v>5856.2477976638902</v>
      </c>
      <c r="H228" s="975">
        <v>5999.5974629928442</v>
      </c>
      <c r="J228" s="125">
        <v>5856.2479999999996</v>
      </c>
    </row>
    <row r="229" spans="1:10" ht="20.25">
      <c r="A229" t="s">
        <v>48</v>
      </c>
      <c r="B229" s="967">
        <v>9385911942</v>
      </c>
      <c r="C229" s="968">
        <v>30967.74</v>
      </c>
      <c r="D229" s="968">
        <v>30967.74</v>
      </c>
      <c r="E229" s="967">
        <v>0</v>
      </c>
      <c r="F229" s="967">
        <v>0</v>
      </c>
      <c r="G229" s="1538">
        <v>4911.9150100916322</v>
      </c>
      <c r="H229" s="975">
        <v>5054.988093498685</v>
      </c>
      <c r="J229" s="125">
        <v>4911.915</v>
      </c>
    </row>
    <row r="230" spans="1:10" ht="20.25">
      <c r="A230" t="s">
        <v>2028</v>
      </c>
      <c r="B230" s="967">
        <v>1666616317</v>
      </c>
      <c r="C230" s="968">
        <v>5637.2830000000004</v>
      </c>
      <c r="D230" s="968">
        <v>5637.2830000000004</v>
      </c>
      <c r="E230" s="967">
        <v>0</v>
      </c>
      <c r="F230" s="967">
        <v>0</v>
      </c>
      <c r="G230" s="1538">
        <v>4956.5936864548994</v>
      </c>
      <c r="H230" s="975">
        <v>5099.737267861783</v>
      </c>
      <c r="J230" s="125">
        <v>4956.4179999999997</v>
      </c>
    </row>
    <row r="231" spans="1:10" ht="20.25">
      <c r="A231" t="s">
        <v>2898</v>
      </c>
      <c r="B231" s="967">
        <v>6621349730</v>
      </c>
      <c r="C231" s="968">
        <v>35393.146999999997</v>
      </c>
      <c r="D231" s="968">
        <v>35393.146999999997</v>
      </c>
      <c r="E231" s="967">
        <v>148132</v>
      </c>
      <c r="F231" s="967">
        <v>1096453</v>
      </c>
      <c r="G231" s="1538">
        <v>4780.4690287475851</v>
      </c>
      <c r="H231" s="975">
        <v>4923.7845269093486</v>
      </c>
      <c r="J231" s="125">
        <v>4780.4690000000001</v>
      </c>
    </row>
    <row r="232" spans="1:10" ht="20.25">
      <c r="A232" t="s">
        <v>2029</v>
      </c>
      <c r="B232" s="967">
        <v>17419956054</v>
      </c>
      <c r="C232" s="968">
        <v>32463.121999999999</v>
      </c>
      <c r="D232" s="968">
        <v>32463.121999999999</v>
      </c>
      <c r="E232" s="967">
        <v>0</v>
      </c>
      <c r="F232" s="967">
        <v>0</v>
      </c>
      <c r="G232" s="1538">
        <v>5250.5738566569862</v>
      </c>
      <c r="H232" s="975">
        <v>5389.3553626328376</v>
      </c>
      <c r="J232" s="125">
        <v>5250.56</v>
      </c>
    </row>
    <row r="233" spans="1:10" ht="20.25">
      <c r="A233" t="s">
        <v>3087</v>
      </c>
      <c r="B233" s="967">
        <v>644246642</v>
      </c>
      <c r="C233" s="968">
        <v>973.28700000000003</v>
      </c>
      <c r="D233" s="968">
        <v>973.28700000000003</v>
      </c>
      <c r="E233" s="967">
        <v>61243</v>
      </c>
      <c r="F233" s="967">
        <v>45076</v>
      </c>
      <c r="G233" s="1538">
        <v>6186.8133405023045</v>
      </c>
      <c r="H233" s="975">
        <v>6326.7086778143839</v>
      </c>
      <c r="J233" s="125">
        <v>6186.8130000000001</v>
      </c>
    </row>
    <row r="234" spans="1:10" ht="20.25">
      <c r="A234" t="s">
        <v>277</v>
      </c>
      <c r="B234" s="967">
        <v>7580500568</v>
      </c>
      <c r="C234" s="968">
        <v>9576.1490000000013</v>
      </c>
      <c r="D234" s="968">
        <v>9576.1490000000013</v>
      </c>
      <c r="E234" s="967">
        <v>0</v>
      </c>
      <c r="F234" s="967">
        <v>0</v>
      </c>
      <c r="G234" s="1538">
        <v>5677.9075939701115</v>
      </c>
      <c r="H234" s="975">
        <v>5821.3999313271006</v>
      </c>
      <c r="J234" s="125">
        <v>5677.9080000000004</v>
      </c>
    </row>
    <row r="235" spans="1:10" ht="20.25">
      <c r="A235" t="s">
        <v>278</v>
      </c>
      <c r="B235" s="967">
        <v>289391665</v>
      </c>
      <c r="C235" s="968">
        <v>147.94200000000001</v>
      </c>
      <c r="D235" s="968">
        <v>147.94200000000001</v>
      </c>
      <c r="E235" s="967">
        <v>0</v>
      </c>
      <c r="F235" s="967">
        <v>9926</v>
      </c>
      <c r="G235" s="1538">
        <v>7444.156841326193</v>
      </c>
      <c r="H235" s="975">
        <v>7589.3493840497977</v>
      </c>
      <c r="J235" s="125">
        <v>7444.1570000000002</v>
      </c>
    </row>
    <row r="236" spans="1:10" ht="20.25">
      <c r="A236" t="s">
        <v>279</v>
      </c>
      <c r="B236" s="967">
        <v>441044377</v>
      </c>
      <c r="C236" s="968">
        <v>196.35900000000001</v>
      </c>
      <c r="D236" s="968">
        <v>196.35900000000001</v>
      </c>
      <c r="E236" s="967">
        <v>0</v>
      </c>
      <c r="F236" s="967">
        <v>52954</v>
      </c>
      <c r="G236" s="1538">
        <v>7158.6762867264015</v>
      </c>
      <c r="H236" s="975">
        <v>7300.1953430223475</v>
      </c>
      <c r="J236" s="125">
        <v>7158.6760000000004</v>
      </c>
    </row>
    <row r="237" spans="1:10" ht="20.25">
      <c r="A237" t="s">
        <v>280</v>
      </c>
      <c r="B237" s="967">
        <v>421759786</v>
      </c>
      <c r="C237" s="968">
        <v>1758.3510000000001</v>
      </c>
      <c r="D237" s="968">
        <v>1758.3510000000001</v>
      </c>
      <c r="E237" s="967">
        <v>0</v>
      </c>
      <c r="F237" s="967">
        <v>82745</v>
      </c>
      <c r="G237" s="1538">
        <v>4872.7464196900883</v>
      </c>
      <c r="H237" s="975">
        <v>5021.7718248816591</v>
      </c>
      <c r="J237" s="125">
        <v>4872.7460000000001</v>
      </c>
    </row>
    <row r="238" spans="1:10" ht="20.25">
      <c r="A238" t="s">
        <v>408</v>
      </c>
      <c r="B238" s="967">
        <v>226271223</v>
      </c>
      <c r="C238" s="968">
        <v>205.41500000000002</v>
      </c>
      <c r="D238" s="968">
        <v>205.41500000000002</v>
      </c>
      <c r="E238" s="967">
        <v>0</v>
      </c>
      <c r="F238" s="967">
        <v>54178</v>
      </c>
      <c r="G238" s="1538">
        <v>6432.0510046286272</v>
      </c>
      <c r="H238" s="975">
        <v>6575.5795850946488</v>
      </c>
      <c r="J238" s="125">
        <v>6432.0510000000004</v>
      </c>
    </row>
    <row r="239" spans="1:10" ht="20.25">
      <c r="A239" t="s">
        <v>2130</v>
      </c>
      <c r="B239" s="967">
        <v>983063333</v>
      </c>
      <c r="C239" s="968">
        <v>3893.1610000000001</v>
      </c>
      <c r="D239" s="968">
        <v>3893.1610000000001</v>
      </c>
      <c r="E239" s="967">
        <v>0</v>
      </c>
      <c r="F239" s="967">
        <v>224383</v>
      </c>
      <c r="G239" s="1538">
        <v>4748.8349737008966</v>
      </c>
      <c r="H239" s="975">
        <v>4892.2270735618558</v>
      </c>
      <c r="J239" s="125">
        <v>4748.835</v>
      </c>
    </row>
    <row r="240" spans="1:10" ht="20.25">
      <c r="A240" t="s">
        <v>1220</v>
      </c>
      <c r="B240" s="967">
        <v>31064286</v>
      </c>
      <c r="C240" s="968">
        <v>136.19900000000001</v>
      </c>
      <c r="D240" s="968">
        <v>136.19900000000001</v>
      </c>
      <c r="E240" s="967">
        <v>0</v>
      </c>
      <c r="F240" s="967">
        <v>161318</v>
      </c>
      <c r="G240" s="1538">
        <v>4927.2839401313913</v>
      </c>
      <c r="H240" s="975">
        <v>4805.6489780016336</v>
      </c>
      <c r="J240" s="125">
        <v>4927.2839999999997</v>
      </c>
    </row>
    <row r="241" spans="1:10" ht="20.25">
      <c r="A241" t="s">
        <v>1221</v>
      </c>
      <c r="B241" s="967">
        <v>145748444</v>
      </c>
      <c r="C241" s="968">
        <v>776.72800000000007</v>
      </c>
      <c r="D241" s="968">
        <v>776.72800000000007</v>
      </c>
      <c r="E241" s="967">
        <v>0</v>
      </c>
      <c r="F241" s="967">
        <v>111866</v>
      </c>
      <c r="G241" s="1538">
        <v>4768.7404613694025</v>
      </c>
      <c r="H241" s="975">
        <v>4919.7738546434121</v>
      </c>
      <c r="J241" s="125">
        <v>4768.74</v>
      </c>
    </row>
    <row r="242" spans="1:10" ht="20.25">
      <c r="A242" t="s">
        <v>711</v>
      </c>
      <c r="B242" s="967">
        <v>53101734</v>
      </c>
      <c r="C242" s="968">
        <v>174.72499999999999</v>
      </c>
      <c r="D242" s="968">
        <v>174.72499999999999</v>
      </c>
      <c r="E242" s="967">
        <v>0</v>
      </c>
      <c r="F242" s="967">
        <v>48533</v>
      </c>
      <c r="G242" s="1538">
        <v>4955.7046700519686</v>
      </c>
      <c r="H242" s="975">
        <v>5099.1141498216411</v>
      </c>
      <c r="J242" s="125">
        <v>4955.7049999999999</v>
      </c>
    </row>
    <row r="243" spans="1:10" ht="20.25">
      <c r="A243" t="s">
        <v>1222</v>
      </c>
      <c r="B243" s="967">
        <v>9175331070</v>
      </c>
      <c r="C243" s="968">
        <v>21299.418000000001</v>
      </c>
      <c r="D243" s="968">
        <v>21299.418000000001</v>
      </c>
      <c r="E243" s="967">
        <v>80985</v>
      </c>
      <c r="F243" s="967">
        <v>1465534</v>
      </c>
      <c r="G243" s="1538">
        <v>5976.7971884090066</v>
      </c>
      <c r="H243" s="975">
        <v>6120.060601959739</v>
      </c>
      <c r="J243" s="125">
        <v>5977.1639999999998</v>
      </c>
    </row>
    <row r="244" spans="1:10" ht="20.25">
      <c r="A244" t="s">
        <v>1989</v>
      </c>
      <c r="B244" s="967">
        <v>22945977981</v>
      </c>
      <c r="C244" s="968">
        <v>48103.909</v>
      </c>
      <c r="D244" s="968">
        <v>48103.909</v>
      </c>
      <c r="E244" s="967">
        <v>17548</v>
      </c>
      <c r="F244" s="967">
        <v>2365880</v>
      </c>
      <c r="G244" s="1538">
        <v>5705.4186399223754</v>
      </c>
      <c r="H244" s="975">
        <v>5848.672843599822</v>
      </c>
      <c r="J244" s="125">
        <v>5705.4210000000003</v>
      </c>
    </row>
    <row r="245" spans="1:10" ht="20.25">
      <c r="A245" t="s">
        <v>240</v>
      </c>
      <c r="B245" s="967">
        <v>522027261</v>
      </c>
      <c r="C245" s="968">
        <v>1414.01</v>
      </c>
      <c r="D245" s="968">
        <v>1414.01</v>
      </c>
      <c r="E245" s="967">
        <v>0</v>
      </c>
      <c r="F245" s="967">
        <v>143575</v>
      </c>
      <c r="G245" s="1538">
        <v>4892.1208461154793</v>
      </c>
      <c r="H245" s="975">
        <v>5035.3555328696293</v>
      </c>
      <c r="J245" s="125">
        <v>4892.1210000000001</v>
      </c>
    </row>
    <row r="246" spans="1:10" ht="20.25">
      <c r="A246" t="s">
        <v>815</v>
      </c>
      <c r="B246" s="967">
        <v>773011995</v>
      </c>
      <c r="C246" s="968">
        <v>1518.1480000000001</v>
      </c>
      <c r="D246" s="968">
        <v>1518.1480000000001</v>
      </c>
      <c r="E246" s="967">
        <v>0</v>
      </c>
      <c r="F246" s="967">
        <v>76958</v>
      </c>
      <c r="G246" s="1538">
        <v>6734.0051788877117</v>
      </c>
      <c r="H246" s="975">
        <v>6876.1305509701015</v>
      </c>
      <c r="J246" s="125">
        <v>6734.0050000000001</v>
      </c>
    </row>
    <row r="247" spans="1:10" ht="20.25">
      <c r="A247" t="s">
        <v>242</v>
      </c>
      <c r="B247" s="967">
        <v>931912025</v>
      </c>
      <c r="C247" s="968">
        <v>1148.7090000000001</v>
      </c>
      <c r="D247" s="968">
        <v>1148.7090000000001</v>
      </c>
      <c r="E247" s="967">
        <v>0</v>
      </c>
      <c r="F247" s="967">
        <v>85052</v>
      </c>
      <c r="G247" s="1538">
        <v>7049.5461447758362</v>
      </c>
      <c r="H247" s="975">
        <v>7192.7363654194651</v>
      </c>
      <c r="J247" s="125">
        <v>7049.5460000000003</v>
      </c>
    </row>
    <row r="248" spans="1:10" ht="20.25">
      <c r="A248" t="s">
        <v>1893</v>
      </c>
      <c r="B248" s="967">
        <v>544861425</v>
      </c>
      <c r="C248" s="968">
        <v>1671.6610000000001</v>
      </c>
      <c r="D248" s="968">
        <v>1671.6610000000001</v>
      </c>
      <c r="E248" s="967">
        <v>0</v>
      </c>
      <c r="F248" s="967">
        <v>123046</v>
      </c>
      <c r="G248" s="1538">
        <v>5331.1633434869682</v>
      </c>
      <c r="H248" s="975">
        <v>5479.9929257154772</v>
      </c>
      <c r="J248" s="125">
        <v>5331.1629999999996</v>
      </c>
    </row>
    <row r="249" spans="1:10" ht="20.25">
      <c r="A249" t="s">
        <v>532</v>
      </c>
      <c r="B249" s="967">
        <v>669188629</v>
      </c>
      <c r="C249" s="968">
        <v>2428.893</v>
      </c>
      <c r="D249" s="968">
        <v>2428.893</v>
      </c>
      <c r="E249" s="967">
        <v>0</v>
      </c>
      <c r="F249" s="967">
        <v>145936</v>
      </c>
      <c r="G249" s="1538">
        <v>5180.254073870542</v>
      </c>
      <c r="H249" s="975">
        <v>5324.3486062556076</v>
      </c>
      <c r="J249" s="125">
        <v>5180.2539999999999</v>
      </c>
    </row>
    <row r="250" spans="1:10" ht="20.25">
      <c r="A250" t="s">
        <v>2099</v>
      </c>
      <c r="B250" s="967">
        <v>979036516</v>
      </c>
      <c r="C250" s="968">
        <v>1687.998</v>
      </c>
      <c r="D250" s="968">
        <v>1687.998</v>
      </c>
      <c r="E250" s="967">
        <v>0</v>
      </c>
      <c r="F250" s="967">
        <v>125645</v>
      </c>
      <c r="G250" s="1538">
        <v>6199.6099378831423</v>
      </c>
      <c r="H250" s="975">
        <v>6340.7426063212843</v>
      </c>
      <c r="J250" s="125">
        <v>6199.61</v>
      </c>
    </row>
    <row r="251" spans="1:10" ht="20.25">
      <c r="A251" t="s">
        <v>1590</v>
      </c>
      <c r="B251" s="967">
        <v>9779475425</v>
      </c>
      <c r="C251" s="968">
        <v>13292.89</v>
      </c>
      <c r="D251" s="968">
        <v>13292.89</v>
      </c>
      <c r="E251" s="967">
        <v>389640</v>
      </c>
      <c r="F251" s="967">
        <v>1085930</v>
      </c>
      <c r="G251" s="1538">
        <v>6704.4040233826254</v>
      </c>
      <c r="H251" s="975">
        <v>6838.2685107556899</v>
      </c>
      <c r="J251" s="125">
        <v>6704.4040000000005</v>
      </c>
    </row>
    <row r="252" spans="1:10" ht="20.25">
      <c r="A252" t="s">
        <v>68</v>
      </c>
      <c r="B252" s="967">
        <v>1266148814</v>
      </c>
      <c r="C252" s="968">
        <v>3851.6120000000001</v>
      </c>
      <c r="D252" s="968">
        <v>3851.6120000000001</v>
      </c>
      <c r="E252" s="967">
        <v>0</v>
      </c>
      <c r="F252" s="967">
        <v>154187</v>
      </c>
      <c r="G252" s="1538">
        <v>5042.5557624154389</v>
      </c>
      <c r="H252" s="975">
        <v>5186.0960338054356</v>
      </c>
      <c r="J252" s="125">
        <v>5042.5559999999996</v>
      </c>
    </row>
    <row r="253" spans="1:10" ht="20.25">
      <c r="A253" t="s">
        <v>712</v>
      </c>
      <c r="B253" s="967">
        <v>1620762854</v>
      </c>
      <c r="C253" s="968">
        <v>5624.9940000000006</v>
      </c>
      <c r="D253" s="968">
        <v>5624.9940000000006</v>
      </c>
      <c r="E253" s="967">
        <v>4836</v>
      </c>
      <c r="F253" s="967">
        <v>412407</v>
      </c>
      <c r="G253" s="1538">
        <v>5278.3076995511701</v>
      </c>
      <c r="H253" s="975">
        <v>5421.0918297351382</v>
      </c>
      <c r="J253" s="125">
        <v>5278.308</v>
      </c>
    </row>
    <row r="254" spans="1:10" ht="20.25">
      <c r="A254" t="s">
        <v>2864</v>
      </c>
      <c r="B254" s="967">
        <v>417118617</v>
      </c>
      <c r="C254" s="968">
        <v>1730.2930000000001</v>
      </c>
      <c r="D254" s="968">
        <v>1730.2930000000001</v>
      </c>
      <c r="E254" s="967">
        <v>0</v>
      </c>
      <c r="F254" s="967">
        <v>200459</v>
      </c>
      <c r="G254" s="1538">
        <v>5218.8984421202376</v>
      </c>
      <c r="H254" s="975">
        <v>5363.0508799772406</v>
      </c>
      <c r="J254" s="125">
        <v>5227.5810000000001</v>
      </c>
    </row>
    <row r="255" spans="1:10" ht="20.25">
      <c r="A255" t="s">
        <v>2100</v>
      </c>
      <c r="B255" s="967">
        <v>99442339</v>
      </c>
      <c r="C255" s="968">
        <v>85.89500000000001</v>
      </c>
      <c r="D255" s="968">
        <v>85.89500000000001</v>
      </c>
      <c r="E255" s="967">
        <v>0</v>
      </c>
      <c r="F255" s="967">
        <v>13885</v>
      </c>
      <c r="G255" s="1538">
        <v>5295.2477314090083</v>
      </c>
      <c r="H255" s="975">
        <v>5669.3071196793289</v>
      </c>
      <c r="J255" s="125">
        <v>5295.2479999999996</v>
      </c>
    </row>
    <row r="256" spans="1:10" ht="20.25">
      <c r="A256" t="s">
        <v>1352</v>
      </c>
      <c r="B256" s="967">
        <v>396755586</v>
      </c>
      <c r="C256" s="968">
        <v>1434.883</v>
      </c>
      <c r="D256" s="968">
        <v>1434.883</v>
      </c>
      <c r="E256" s="967">
        <v>0</v>
      </c>
      <c r="F256" s="967">
        <v>126371</v>
      </c>
      <c r="G256" s="1538">
        <v>4935.0368714098986</v>
      </c>
      <c r="H256" s="975">
        <v>5078.6018228544945</v>
      </c>
      <c r="J256" s="125">
        <v>4935.0370000000003</v>
      </c>
    </row>
    <row r="257" spans="1:10" ht="20.25">
      <c r="A257" t="s">
        <v>2101</v>
      </c>
      <c r="B257" s="967">
        <v>122983310</v>
      </c>
      <c r="C257" s="968">
        <v>533.73700000000008</v>
      </c>
      <c r="D257" s="968">
        <v>533.73700000000008</v>
      </c>
      <c r="E257" s="967">
        <v>0</v>
      </c>
      <c r="F257" s="967">
        <v>41721</v>
      </c>
      <c r="G257" s="1538">
        <v>4709.8604178771257</v>
      </c>
      <c r="H257" s="975">
        <v>4854.3472717272107</v>
      </c>
      <c r="J257" s="125">
        <v>4709.8599999999997</v>
      </c>
    </row>
    <row r="258" spans="1:10" ht="20.25">
      <c r="A258" t="s">
        <v>796</v>
      </c>
      <c r="B258" s="967">
        <v>20354433</v>
      </c>
      <c r="C258" s="968">
        <v>37.923999999999999</v>
      </c>
      <c r="D258" s="968">
        <v>37.923999999999999</v>
      </c>
      <c r="E258" s="967">
        <v>0</v>
      </c>
      <c r="F258" s="967">
        <v>7606</v>
      </c>
      <c r="G258" s="1538">
        <v>4880.667284819031</v>
      </c>
      <c r="H258" s="975">
        <v>5163.0029895605185</v>
      </c>
      <c r="J258" s="125">
        <v>4880.6670000000004</v>
      </c>
    </row>
    <row r="259" spans="1:10" ht="20.25">
      <c r="A259" t="s">
        <v>330</v>
      </c>
      <c r="B259" s="967">
        <v>92537205</v>
      </c>
      <c r="C259" s="968">
        <v>159.71100000000001</v>
      </c>
      <c r="D259" s="968">
        <v>159.71100000000001</v>
      </c>
      <c r="E259" s="967">
        <v>0</v>
      </c>
      <c r="F259" s="967">
        <v>26498</v>
      </c>
      <c r="G259" s="1538">
        <v>6250.2292757993564</v>
      </c>
      <c r="H259" s="975">
        <v>6391.412826352238</v>
      </c>
      <c r="J259" s="125">
        <v>6250.2290000000003</v>
      </c>
    </row>
    <row r="260" spans="1:10" ht="20.25">
      <c r="A260" t="s">
        <v>203</v>
      </c>
      <c r="B260" s="967">
        <v>319168566</v>
      </c>
      <c r="C260" s="968">
        <v>271.94</v>
      </c>
      <c r="D260" s="968">
        <v>271.94</v>
      </c>
      <c r="E260" s="967">
        <v>0</v>
      </c>
      <c r="F260" s="967">
        <v>32103</v>
      </c>
      <c r="G260" s="1538">
        <v>6421.1372111071159</v>
      </c>
      <c r="H260" s="975">
        <v>6563.4869877502833</v>
      </c>
      <c r="J260" s="125">
        <v>6421.1369999999997</v>
      </c>
    </row>
    <row r="261" spans="1:10" ht="20.25">
      <c r="A261" t="s">
        <v>204</v>
      </c>
      <c r="B261" s="967">
        <v>24831608</v>
      </c>
      <c r="C261" s="968">
        <v>92.304000000000002</v>
      </c>
      <c r="D261" s="968">
        <v>92.304000000000002</v>
      </c>
      <c r="E261" s="967">
        <v>0</v>
      </c>
      <c r="F261" s="967">
        <v>26279</v>
      </c>
      <c r="G261" s="1538">
        <v>4709.0712918855088</v>
      </c>
      <c r="H261" s="975">
        <v>5082.5725113402341</v>
      </c>
      <c r="J261" s="125">
        <v>4709.0709999999999</v>
      </c>
    </row>
    <row r="262" spans="1:10" ht="20.25">
      <c r="A262" t="s">
        <v>816</v>
      </c>
      <c r="B262" s="967">
        <v>427188633</v>
      </c>
      <c r="C262" s="968">
        <v>2109.0909999999999</v>
      </c>
      <c r="D262" s="968">
        <v>2109.0909999999999</v>
      </c>
      <c r="E262" s="967">
        <v>0</v>
      </c>
      <c r="F262" s="967">
        <v>253942</v>
      </c>
      <c r="G262" s="1538">
        <v>4890.7932445469851</v>
      </c>
      <c r="H262" s="975">
        <v>5034.4019083081221</v>
      </c>
      <c r="J262" s="125">
        <v>4890.7929999999997</v>
      </c>
    </row>
    <row r="263" spans="1:10" ht="20.25">
      <c r="A263" t="s">
        <v>3025</v>
      </c>
      <c r="B263" s="967">
        <v>129624655</v>
      </c>
      <c r="C263" s="968">
        <v>482.858</v>
      </c>
      <c r="D263" s="968">
        <v>482.858</v>
      </c>
      <c r="E263" s="967">
        <v>0</v>
      </c>
      <c r="F263" s="967">
        <v>43887</v>
      </c>
      <c r="G263" s="1538">
        <v>4920.6325197961678</v>
      </c>
      <c r="H263" s="975">
        <v>5063.8451118739222</v>
      </c>
      <c r="J263" s="125">
        <v>4920.6329999999998</v>
      </c>
    </row>
    <row r="264" spans="1:10" ht="20.25">
      <c r="A264" t="s">
        <v>1753</v>
      </c>
      <c r="B264" s="967">
        <v>38011373</v>
      </c>
      <c r="C264" s="968">
        <v>137.684</v>
      </c>
      <c r="D264" s="968">
        <v>137.684</v>
      </c>
      <c r="E264" s="967">
        <v>0</v>
      </c>
      <c r="F264" s="967">
        <v>25412</v>
      </c>
      <c r="G264" s="1538">
        <v>4781.5583063202275</v>
      </c>
      <c r="H264" s="975">
        <v>4926.2475435443503</v>
      </c>
      <c r="J264" s="125">
        <v>4781.558</v>
      </c>
    </row>
    <row r="265" spans="1:10" ht="20.25">
      <c r="A265" t="s">
        <v>3026</v>
      </c>
      <c r="B265" s="967">
        <v>28154164</v>
      </c>
      <c r="C265" s="968">
        <v>32.246000000000002</v>
      </c>
      <c r="D265" s="968">
        <v>32.246000000000002</v>
      </c>
      <c r="E265" s="967">
        <v>0</v>
      </c>
      <c r="F265" s="967">
        <v>23244</v>
      </c>
      <c r="G265" s="1538">
        <v>4856.8573644335738</v>
      </c>
      <c r="H265" s="975">
        <v>5039.666365109505</v>
      </c>
      <c r="J265" s="125">
        <v>4856.857</v>
      </c>
    </row>
    <row r="266" spans="1:10" ht="20.25">
      <c r="A266" t="s">
        <v>3027</v>
      </c>
      <c r="B266" s="967">
        <v>375545194</v>
      </c>
      <c r="C266" s="968">
        <v>368.39300000000003</v>
      </c>
      <c r="D266" s="968">
        <v>368.39300000000003</v>
      </c>
      <c r="E266" s="967">
        <v>0</v>
      </c>
      <c r="F266" s="967">
        <v>26794</v>
      </c>
      <c r="G266" s="1538">
        <v>5677.5845538133381</v>
      </c>
      <c r="H266" s="975">
        <v>5822.5048006614543</v>
      </c>
      <c r="J266" s="125">
        <v>5677.585</v>
      </c>
    </row>
    <row r="267" spans="1:10" ht="20.25">
      <c r="A267" t="s">
        <v>817</v>
      </c>
      <c r="B267" s="967">
        <v>149854620</v>
      </c>
      <c r="C267" s="968">
        <v>1200.56</v>
      </c>
      <c r="D267" s="968">
        <v>1200.56</v>
      </c>
      <c r="E267" s="967">
        <v>0</v>
      </c>
      <c r="F267" s="967">
        <v>53361</v>
      </c>
      <c r="G267" s="1538">
        <v>4894.8552334034321</v>
      </c>
      <c r="H267" s="975">
        <v>5039.0554281517689</v>
      </c>
      <c r="J267" s="125">
        <v>4894.8549999999996</v>
      </c>
    </row>
    <row r="268" spans="1:10" ht="20.25">
      <c r="A268" t="s">
        <v>776</v>
      </c>
      <c r="B268" s="967">
        <v>537213000</v>
      </c>
      <c r="C268" s="968">
        <v>758.33</v>
      </c>
      <c r="D268" s="968">
        <v>758.33</v>
      </c>
      <c r="E268" s="967">
        <v>0</v>
      </c>
      <c r="F268" s="967">
        <v>54382</v>
      </c>
      <c r="G268" s="1538">
        <v>5348.636170560856</v>
      </c>
      <c r="H268" s="975">
        <v>5491.8679969624118</v>
      </c>
      <c r="J268" s="125">
        <v>5348.6369999999997</v>
      </c>
    </row>
    <row r="269" spans="1:10" ht="20.25">
      <c r="A269" t="s">
        <v>2463</v>
      </c>
      <c r="B269" s="967">
        <v>448008256</v>
      </c>
      <c r="C269" s="968">
        <v>792.30700000000002</v>
      </c>
      <c r="D269" s="968">
        <v>792.30700000000002</v>
      </c>
      <c r="E269" s="967">
        <v>0</v>
      </c>
      <c r="F269" s="967">
        <v>48363</v>
      </c>
      <c r="G269" s="1538">
        <v>5628.8504287075266</v>
      </c>
      <c r="H269" s="975">
        <v>5772.4138145627467</v>
      </c>
      <c r="J269" s="125">
        <v>5628.85</v>
      </c>
    </row>
    <row r="270" spans="1:10" ht="20.25">
      <c r="A270" t="s">
        <v>2620</v>
      </c>
      <c r="B270" s="967">
        <v>359835923</v>
      </c>
      <c r="C270" s="968">
        <v>1084.8240000000001</v>
      </c>
      <c r="D270" s="968">
        <v>1084.8240000000001</v>
      </c>
      <c r="E270" s="967">
        <v>0</v>
      </c>
      <c r="F270" s="967">
        <v>70645</v>
      </c>
      <c r="G270" s="1538">
        <v>4854.2135285660152</v>
      </c>
      <c r="H270" s="975">
        <v>4998.3667506391585</v>
      </c>
      <c r="J270" s="125">
        <v>4854.2139999999999</v>
      </c>
    </row>
    <row r="271" spans="1:10" ht="20.25">
      <c r="A271" t="s">
        <v>2007</v>
      </c>
      <c r="B271" s="967">
        <v>52776609</v>
      </c>
      <c r="C271" s="968">
        <v>336.63900000000001</v>
      </c>
      <c r="D271" s="968">
        <v>336.63900000000001</v>
      </c>
      <c r="E271" s="967">
        <v>21594</v>
      </c>
      <c r="F271" s="967">
        <v>15861</v>
      </c>
      <c r="G271" s="1538">
        <v>4708.8360497260992</v>
      </c>
      <c r="H271" s="975">
        <v>4853.3927350985405</v>
      </c>
      <c r="J271" s="125">
        <v>4708.8360000000002</v>
      </c>
    </row>
    <row r="272" spans="1:10" ht="20.25">
      <c r="A272" t="s">
        <v>672</v>
      </c>
      <c r="B272" s="967">
        <v>75659709</v>
      </c>
      <c r="C272" s="968">
        <v>425.37200000000001</v>
      </c>
      <c r="D272" s="968">
        <v>425.37200000000001</v>
      </c>
      <c r="E272" s="967">
        <v>0</v>
      </c>
      <c r="F272" s="967">
        <v>36065</v>
      </c>
      <c r="G272" s="1538">
        <v>4930.6914096259561</v>
      </c>
      <c r="H272" s="975">
        <v>5163.6707897188426</v>
      </c>
      <c r="J272" s="125">
        <v>4930.6909999999998</v>
      </c>
    </row>
    <row r="273" spans="1:10" ht="20.25">
      <c r="A273" t="s">
        <v>1034</v>
      </c>
      <c r="B273" s="967">
        <v>34308263</v>
      </c>
      <c r="C273" s="968">
        <v>206.81700000000001</v>
      </c>
      <c r="D273" s="968">
        <v>206.81700000000001</v>
      </c>
      <c r="E273" s="967">
        <v>0</v>
      </c>
      <c r="F273" s="967">
        <v>22727</v>
      </c>
      <c r="G273" s="1538">
        <v>4719.3757416817789</v>
      </c>
      <c r="H273" s="975">
        <v>4862.8523833244953</v>
      </c>
      <c r="J273" s="125">
        <v>4719.3760000000002</v>
      </c>
    </row>
    <row r="274" spans="1:10" ht="20.25">
      <c r="A274" t="s">
        <v>2442</v>
      </c>
      <c r="B274" s="967">
        <v>9301998934</v>
      </c>
      <c r="C274" s="968">
        <v>24969.043000000001</v>
      </c>
      <c r="D274" s="968">
        <v>24969.043000000001</v>
      </c>
      <c r="E274" s="967">
        <v>0</v>
      </c>
      <c r="F274" s="967">
        <v>1966971</v>
      </c>
      <c r="G274" s="1538">
        <v>4850.1587871598294</v>
      </c>
      <c r="H274" s="975">
        <v>4993.7158668054417</v>
      </c>
      <c r="J274" s="125">
        <v>4850.1589999999997</v>
      </c>
    </row>
    <row r="275" spans="1:10" ht="20.25">
      <c r="A275" t="s">
        <v>2976</v>
      </c>
      <c r="B275" s="967">
        <v>311223229</v>
      </c>
      <c r="C275" s="968">
        <v>294.39100000000002</v>
      </c>
      <c r="D275" s="968">
        <v>294.39100000000002</v>
      </c>
      <c r="E275" s="967">
        <v>0</v>
      </c>
      <c r="F275" s="967">
        <v>24045</v>
      </c>
      <c r="G275" s="1538">
        <v>6435.7088008299252</v>
      </c>
      <c r="H275" s="975">
        <v>6541.1575442783915</v>
      </c>
      <c r="J275" s="125">
        <v>6435.7089999999998</v>
      </c>
    </row>
    <row r="276" spans="1:10" ht="20.25">
      <c r="A276" t="s">
        <v>2745</v>
      </c>
      <c r="B276" s="967">
        <v>166156773</v>
      </c>
      <c r="C276" s="968">
        <v>270.84200000000004</v>
      </c>
      <c r="D276" s="968">
        <v>270.84200000000004</v>
      </c>
      <c r="E276" s="967">
        <v>0</v>
      </c>
      <c r="F276" s="967">
        <v>33280</v>
      </c>
      <c r="G276" s="1538">
        <v>5099.126153846154</v>
      </c>
      <c r="H276" s="975">
        <v>5242.399846722552</v>
      </c>
      <c r="J276" s="125">
        <v>5099.1260000000002</v>
      </c>
    </row>
    <row r="277" spans="1:10" ht="20.25">
      <c r="A277" t="s">
        <v>274</v>
      </c>
      <c r="B277" s="967">
        <v>33076001</v>
      </c>
      <c r="C277" s="968">
        <v>281.11099999999999</v>
      </c>
      <c r="D277" s="968">
        <v>281.11099999999999</v>
      </c>
      <c r="E277" s="967">
        <v>0</v>
      </c>
      <c r="F277" s="967">
        <v>17856</v>
      </c>
      <c r="G277" s="1538">
        <v>4401.1958128229244</v>
      </c>
      <c r="H277" s="975">
        <v>4733.5146325129408</v>
      </c>
      <c r="J277" s="125">
        <v>4401.1959999999999</v>
      </c>
    </row>
    <row r="278" spans="1:10" ht="20.25">
      <c r="A278" t="s">
        <v>1585</v>
      </c>
      <c r="B278" s="967">
        <v>1695976717</v>
      </c>
      <c r="C278" s="968">
        <v>5400.2370000000001</v>
      </c>
      <c r="D278" s="968">
        <v>5400.2370000000001</v>
      </c>
      <c r="E278" s="967">
        <v>82501</v>
      </c>
      <c r="F278" s="967">
        <v>386707</v>
      </c>
      <c r="G278" s="1538">
        <v>4940.9110711517696</v>
      </c>
      <c r="H278" s="975">
        <v>5084.3474647608064</v>
      </c>
      <c r="J278" s="125">
        <v>4940.9110000000001</v>
      </c>
    </row>
    <row r="279" spans="1:10" ht="20.25">
      <c r="A279" t="s">
        <v>1586</v>
      </c>
      <c r="B279" s="967">
        <v>320526170</v>
      </c>
      <c r="C279" s="968">
        <v>2247.1240000000003</v>
      </c>
      <c r="D279" s="968">
        <v>2247.1240000000003</v>
      </c>
      <c r="E279" s="967">
        <v>0</v>
      </c>
      <c r="F279" s="967">
        <v>277875</v>
      </c>
      <c r="G279" s="1538">
        <v>4810.5193351616253</v>
      </c>
      <c r="H279" s="975">
        <v>4985.1778189650731</v>
      </c>
      <c r="J279" s="125">
        <v>4810.5190000000002</v>
      </c>
    </row>
    <row r="280" spans="1:10" ht="20.25">
      <c r="A280" t="s">
        <v>818</v>
      </c>
      <c r="B280" s="967">
        <v>98361576</v>
      </c>
      <c r="C280" s="968">
        <v>591.63</v>
      </c>
      <c r="D280" s="968">
        <v>591.63</v>
      </c>
      <c r="E280" s="967">
        <v>0</v>
      </c>
      <c r="F280" s="967">
        <v>19908</v>
      </c>
      <c r="G280" s="1538">
        <v>4761.3020979166022</v>
      </c>
      <c r="H280" s="975">
        <v>4999.4951128583452</v>
      </c>
      <c r="J280" s="125">
        <v>4761.3019999999997</v>
      </c>
    </row>
    <row r="281" spans="1:10" ht="20.25">
      <c r="A281" t="s">
        <v>1581</v>
      </c>
      <c r="B281" s="967">
        <v>2527146032</v>
      </c>
      <c r="C281" s="968">
        <v>6982.8389999999999</v>
      </c>
      <c r="D281" s="968">
        <v>6982.8389999999999</v>
      </c>
      <c r="E281" s="967">
        <v>0</v>
      </c>
      <c r="F281" s="967">
        <v>640053</v>
      </c>
      <c r="G281" s="1538">
        <v>5497.5418000610343</v>
      </c>
      <c r="H281" s="975">
        <v>5639.8319215238889</v>
      </c>
      <c r="J281" s="125">
        <v>5497.5420000000004</v>
      </c>
    </row>
    <row r="282" spans="1:10" ht="20.25">
      <c r="A282" t="s">
        <v>1049</v>
      </c>
      <c r="B282" s="967">
        <v>52578678</v>
      </c>
      <c r="C282" s="968">
        <v>233.078</v>
      </c>
      <c r="D282" s="968">
        <v>233.078</v>
      </c>
      <c r="E282" s="967">
        <v>0</v>
      </c>
      <c r="F282" s="967">
        <v>17171</v>
      </c>
      <c r="G282" s="1538">
        <v>5035.2130029019208</v>
      </c>
      <c r="H282" s="975">
        <v>5373.5061119312459</v>
      </c>
      <c r="J282" s="125">
        <v>5035.2129999999997</v>
      </c>
    </row>
    <row r="283" spans="1:10" ht="20.25">
      <c r="A283" t="s">
        <v>275</v>
      </c>
      <c r="B283" s="967">
        <v>216685899</v>
      </c>
      <c r="C283" s="968">
        <v>1046.501</v>
      </c>
      <c r="D283" s="968">
        <v>1046.501</v>
      </c>
      <c r="E283" s="967">
        <v>0</v>
      </c>
      <c r="F283" s="967">
        <v>44401</v>
      </c>
      <c r="G283" s="1538">
        <v>4805.6296527506829</v>
      </c>
      <c r="H283" s="975">
        <v>5001.8733837229038</v>
      </c>
      <c r="J283" s="125">
        <v>4805.63</v>
      </c>
    </row>
    <row r="284" spans="1:10" ht="20.25">
      <c r="A284" t="s">
        <v>2382</v>
      </c>
      <c r="B284" s="967">
        <v>1192345374</v>
      </c>
      <c r="C284" s="968">
        <v>5099.7130000000006</v>
      </c>
      <c r="D284" s="968">
        <v>5099.7130000000006</v>
      </c>
      <c r="E284" s="967">
        <v>122809</v>
      </c>
      <c r="F284" s="967">
        <v>407928</v>
      </c>
      <c r="G284" s="1538">
        <v>4984.9846116158333</v>
      </c>
      <c r="H284" s="975">
        <v>5128.3936868281617</v>
      </c>
      <c r="J284" s="125">
        <v>4984.9849999999997</v>
      </c>
    </row>
    <row r="285" spans="1:10" ht="20.25">
      <c r="A285" t="s">
        <v>375</v>
      </c>
      <c r="B285" s="967">
        <v>2686284732</v>
      </c>
      <c r="C285" s="968">
        <v>6542.3320000000003</v>
      </c>
      <c r="D285" s="968">
        <v>6542.3320000000003</v>
      </c>
      <c r="E285" s="967">
        <v>52123</v>
      </c>
      <c r="F285" s="967">
        <v>588245</v>
      </c>
      <c r="G285" s="1538">
        <v>5421.1062925278566</v>
      </c>
      <c r="H285" s="975">
        <v>5563.610977114161</v>
      </c>
      <c r="J285" s="125">
        <v>5421.1059999999998</v>
      </c>
    </row>
    <row r="286" spans="1:10" ht="20.25">
      <c r="A286" t="s">
        <v>819</v>
      </c>
      <c r="B286" s="967">
        <v>208404453</v>
      </c>
      <c r="C286" s="968">
        <v>1035.059</v>
      </c>
      <c r="D286" s="968">
        <v>1035.059</v>
      </c>
      <c r="E286" s="967">
        <v>0</v>
      </c>
      <c r="F286" s="967">
        <v>59780</v>
      </c>
      <c r="G286" s="1538">
        <v>4818.0378777496171</v>
      </c>
      <c r="H286" s="975">
        <v>5103.4027596289689</v>
      </c>
      <c r="J286" s="125">
        <v>4818.0200000000004</v>
      </c>
    </row>
    <row r="287" spans="1:10" ht="20.25">
      <c r="A287" t="s">
        <v>629</v>
      </c>
      <c r="B287" s="967">
        <v>875287705</v>
      </c>
      <c r="C287" s="968">
        <v>10382.647000000001</v>
      </c>
      <c r="D287" s="968">
        <v>10382.647000000001</v>
      </c>
      <c r="E287" s="967">
        <v>0</v>
      </c>
      <c r="F287" s="967">
        <v>975837</v>
      </c>
      <c r="G287" s="1538">
        <v>4861.991763292941</v>
      </c>
      <c r="H287" s="975">
        <v>5133.4163080876078</v>
      </c>
      <c r="J287" s="125">
        <v>4861.9809999999998</v>
      </c>
    </row>
    <row r="288" spans="1:10" ht="20.25">
      <c r="A288" t="s">
        <v>2767</v>
      </c>
      <c r="B288" s="967">
        <v>14088573205</v>
      </c>
      <c r="C288" s="968">
        <v>58198.898999999998</v>
      </c>
      <c r="D288" s="968">
        <v>58198.898999999998</v>
      </c>
      <c r="E288" s="967">
        <v>332526</v>
      </c>
      <c r="F288" s="967">
        <v>2741495</v>
      </c>
      <c r="G288" s="1538">
        <v>5050.8373112158806</v>
      </c>
      <c r="H288" s="975">
        <v>5195.6576962997224</v>
      </c>
      <c r="J288" s="125">
        <v>5050.8370000000004</v>
      </c>
    </row>
    <row r="289" spans="1:10" ht="20.25">
      <c r="A289" t="s">
        <v>878</v>
      </c>
      <c r="B289" s="967">
        <v>124137130</v>
      </c>
      <c r="C289" s="968">
        <v>2364.2440000000001</v>
      </c>
      <c r="D289" s="968">
        <v>2364.2440000000001</v>
      </c>
      <c r="E289" s="967">
        <v>0</v>
      </c>
      <c r="F289" s="967">
        <v>106575</v>
      </c>
      <c r="G289" s="1538">
        <v>4734.6728016808902</v>
      </c>
      <c r="H289" s="975">
        <v>5075.9552307002032</v>
      </c>
      <c r="J289" s="125">
        <v>4734.6729999999998</v>
      </c>
    </row>
    <row r="290" spans="1:10" ht="20.25">
      <c r="A290" t="s">
        <v>212</v>
      </c>
      <c r="B290" s="967">
        <v>136668954</v>
      </c>
      <c r="C290" s="968">
        <v>3664.4920000000002</v>
      </c>
      <c r="D290" s="968">
        <v>3664.4920000000002</v>
      </c>
      <c r="E290" s="967">
        <v>0</v>
      </c>
      <c r="F290" s="967">
        <v>238165</v>
      </c>
      <c r="G290" s="1538">
        <v>4633.7316731774499</v>
      </c>
      <c r="H290" s="975">
        <v>5007.0486533621952</v>
      </c>
      <c r="J290" s="125">
        <v>4633.732</v>
      </c>
    </row>
    <row r="291" spans="1:10" ht="20.25">
      <c r="A291" t="s">
        <v>1353</v>
      </c>
      <c r="B291" s="967">
        <v>6294026029</v>
      </c>
      <c r="C291" s="968">
        <v>41117.076000000001</v>
      </c>
      <c r="D291" s="968">
        <v>41117.076000000001</v>
      </c>
      <c r="E291" s="967">
        <v>0</v>
      </c>
      <c r="F291" s="967">
        <v>1788616</v>
      </c>
      <c r="G291" s="1538">
        <v>4614.6491016297196</v>
      </c>
      <c r="H291" s="975">
        <v>4986.6704889682806</v>
      </c>
      <c r="J291" s="125">
        <v>4614.4740000000002</v>
      </c>
    </row>
    <row r="292" spans="1:10" ht="20.25">
      <c r="A292" t="s">
        <v>2401</v>
      </c>
      <c r="B292" s="967">
        <v>134462387</v>
      </c>
      <c r="C292" s="968">
        <v>766.16200000000003</v>
      </c>
      <c r="D292" s="968">
        <v>766.16200000000003</v>
      </c>
      <c r="E292" s="967">
        <v>0</v>
      </c>
      <c r="F292" s="967">
        <v>78320</v>
      </c>
      <c r="G292" s="1538">
        <v>4855.2934964784299</v>
      </c>
      <c r="H292" s="975">
        <v>5079.0384332798849</v>
      </c>
      <c r="J292" s="125">
        <v>4855.2929999999997</v>
      </c>
    </row>
    <row r="293" spans="1:10" ht="20.25">
      <c r="A293" t="s">
        <v>2157</v>
      </c>
      <c r="B293" s="967">
        <v>1236698893</v>
      </c>
      <c r="C293" s="968">
        <v>5403.2390000000005</v>
      </c>
      <c r="D293" s="968">
        <v>5403.2390000000005</v>
      </c>
      <c r="E293" s="967">
        <v>0</v>
      </c>
      <c r="F293" s="967">
        <v>342937</v>
      </c>
      <c r="G293" s="1538">
        <v>5105.2422002682333</v>
      </c>
      <c r="H293" s="975">
        <v>5226.5098110240542</v>
      </c>
      <c r="J293" s="125">
        <v>5105.0739999999996</v>
      </c>
    </row>
    <row r="294" spans="1:10" ht="20.25">
      <c r="A294" t="s">
        <v>1710</v>
      </c>
      <c r="B294" s="967">
        <v>50645928</v>
      </c>
      <c r="C294" s="968">
        <v>1234.249</v>
      </c>
      <c r="D294" s="968">
        <v>1234.249</v>
      </c>
      <c r="E294" s="967">
        <v>27810</v>
      </c>
      <c r="F294" s="967">
        <v>185056</v>
      </c>
      <c r="G294" s="1538">
        <v>4936.5105446647995</v>
      </c>
      <c r="H294" s="975">
        <v>5139.0469104105896</v>
      </c>
      <c r="J294" s="125">
        <v>4936.5110000000004</v>
      </c>
    </row>
    <row r="295" spans="1:10" ht="20.25">
      <c r="A295" t="s">
        <v>1315</v>
      </c>
      <c r="B295" s="967">
        <v>6553558167</v>
      </c>
      <c r="C295" s="968">
        <v>38337.364999999998</v>
      </c>
      <c r="D295" s="968">
        <v>38337.364999999998</v>
      </c>
      <c r="E295" s="967">
        <v>138510</v>
      </c>
      <c r="F295" s="967">
        <v>1402543</v>
      </c>
      <c r="G295" s="1538">
        <v>4813.6122349268953</v>
      </c>
      <c r="H295" s="975">
        <v>4956.5346613167385</v>
      </c>
      <c r="J295" s="125">
        <v>4813.6120000000001</v>
      </c>
    </row>
    <row r="296" spans="1:10" ht="20.25">
      <c r="A296" t="s">
        <v>2768</v>
      </c>
      <c r="B296" s="967">
        <v>36291604</v>
      </c>
      <c r="C296" s="968">
        <v>48.725999999999999</v>
      </c>
      <c r="D296" s="968">
        <v>48.725999999999999</v>
      </c>
      <c r="E296" s="967">
        <v>0</v>
      </c>
      <c r="F296" s="967">
        <v>12098</v>
      </c>
      <c r="G296" s="1538">
        <v>4693.6881470333383</v>
      </c>
      <c r="H296" s="975">
        <v>4987.4924464409914</v>
      </c>
      <c r="J296" s="125">
        <v>4693.6880000000001</v>
      </c>
    </row>
    <row r="297" spans="1:10" ht="20.25">
      <c r="A297" t="s">
        <v>2769</v>
      </c>
      <c r="B297" s="967">
        <v>257588869</v>
      </c>
      <c r="C297" s="968">
        <v>1186.325</v>
      </c>
      <c r="D297" s="968">
        <v>1186.325</v>
      </c>
      <c r="E297" s="967">
        <v>76140</v>
      </c>
      <c r="F297" s="967">
        <v>97961</v>
      </c>
      <c r="G297" s="1538">
        <v>4880.8039810848486</v>
      </c>
      <c r="H297" s="975">
        <v>5023.6405754056441</v>
      </c>
      <c r="J297" s="125">
        <v>4880.8040000000001</v>
      </c>
    </row>
    <row r="298" spans="1:10" ht="20.25">
      <c r="A298" t="s">
        <v>1704</v>
      </c>
      <c r="B298" s="967">
        <v>1228224841</v>
      </c>
      <c r="C298" s="968">
        <v>3317.3050000000003</v>
      </c>
      <c r="D298" s="968">
        <v>3317.3050000000003</v>
      </c>
      <c r="E298" s="967">
        <v>0</v>
      </c>
      <c r="F298" s="967">
        <v>214064</v>
      </c>
      <c r="G298" s="1538">
        <v>5080.6855955469791</v>
      </c>
      <c r="H298" s="975">
        <v>5222.4812034958759</v>
      </c>
      <c r="J298" s="125">
        <v>5080.6859999999997</v>
      </c>
    </row>
    <row r="299" spans="1:10" ht="20.25">
      <c r="A299" t="s">
        <v>2091</v>
      </c>
      <c r="B299" s="967">
        <v>120374005</v>
      </c>
      <c r="C299" s="968">
        <v>100.41800000000001</v>
      </c>
      <c r="D299" s="968">
        <v>100.41800000000001</v>
      </c>
      <c r="E299" s="967">
        <v>0</v>
      </c>
      <c r="F299" s="967">
        <v>7078</v>
      </c>
      <c r="G299" s="1538">
        <v>6060.4107458141079</v>
      </c>
      <c r="H299" s="975">
        <v>6201.58733284755</v>
      </c>
      <c r="J299" s="125">
        <v>6060.4110000000001</v>
      </c>
    </row>
    <row r="300" spans="1:10" ht="20.25">
      <c r="A300" t="s">
        <v>2092</v>
      </c>
      <c r="B300" s="967">
        <v>106889170</v>
      </c>
      <c r="C300" s="968">
        <v>183.25300000000001</v>
      </c>
      <c r="D300" s="968">
        <v>183.25300000000001</v>
      </c>
      <c r="E300" s="967">
        <v>0</v>
      </c>
      <c r="F300" s="967">
        <v>13019</v>
      </c>
      <c r="G300" s="1538">
        <v>5419.6775931209222</v>
      </c>
      <c r="H300" s="975">
        <v>5563.6463372064027</v>
      </c>
      <c r="J300" s="125">
        <v>5419.6779999999999</v>
      </c>
    </row>
    <row r="301" spans="1:10" ht="20.25">
      <c r="A301" t="s">
        <v>1400</v>
      </c>
      <c r="B301" s="967">
        <v>93345530</v>
      </c>
      <c r="C301" s="968">
        <v>204.381</v>
      </c>
      <c r="D301" s="968">
        <v>204.381</v>
      </c>
      <c r="E301" s="967">
        <v>0</v>
      </c>
      <c r="F301" s="967">
        <v>29998</v>
      </c>
      <c r="G301" s="1538">
        <v>5039.3684731790436</v>
      </c>
      <c r="H301" s="975">
        <v>5412.2029398150171</v>
      </c>
      <c r="J301" s="125">
        <v>5039.3680000000004</v>
      </c>
    </row>
    <row r="302" spans="1:10" ht="20.25">
      <c r="A302" t="s">
        <v>2093</v>
      </c>
      <c r="B302" s="967">
        <v>76390833</v>
      </c>
      <c r="C302" s="968">
        <v>101.402</v>
      </c>
      <c r="D302" s="968">
        <v>101.402</v>
      </c>
      <c r="E302" s="967">
        <v>0</v>
      </c>
      <c r="F302" s="967">
        <v>12362</v>
      </c>
      <c r="G302" s="1538">
        <v>5183.819892653677</v>
      </c>
      <c r="H302" s="975">
        <v>5325.7728433060956</v>
      </c>
      <c r="J302" s="125">
        <v>5183.82</v>
      </c>
    </row>
    <row r="303" spans="1:10" ht="20.25">
      <c r="A303" t="s">
        <v>229</v>
      </c>
      <c r="B303" s="967">
        <v>47225849</v>
      </c>
      <c r="C303" s="968">
        <v>449.37300000000005</v>
      </c>
      <c r="D303" s="968">
        <v>449.37300000000005</v>
      </c>
      <c r="E303" s="967">
        <v>0</v>
      </c>
      <c r="F303" s="967">
        <v>20946</v>
      </c>
      <c r="G303" s="1538">
        <v>4424.7611680805612</v>
      </c>
      <c r="H303" s="975">
        <v>4796.854954218069</v>
      </c>
      <c r="J303" s="125">
        <v>4424.7610000000004</v>
      </c>
    </row>
    <row r="304" spans="1:10" ht="20.25">
      <c r="A304" t="s">
        <v>2095</v>
      </c>
      <c r="B304" s="967">
        <v>192978812</v>
      </c>
      <c r="C304" s="968">
        <v>1039.21</v>
      </c>
      <c r="D304" s="968">
        <v>1039.21</v>
      </c>
      <c r="E304" s="967">
        <v>0</v>
      </c>
      <c r="F304" s="967">
        <v>180696</v>
      </c>
      <c r="G304" s="1538">
        <v>4587.0344654319088</v>
      </c>
      <c r="H304" s="975">
        <v>4730.8204475629145</v>
      </c>
      <c r="J304" s="125">
        <v>4587.0339999999997</v>
      </c>
    </row>
    <row r="305" spans="1:10" ht="20.25">
      <c r="A305" t="s">
        <v>2103</v>
      </c>
      <c r="B305" s="967">
        <v>14984873</v>
      </c>
      <c r="C305" s="968">
        <v>144.18700000000001</v>
      </c>
      <c r="D305" s="968">
        <v>144.18700000000001</v>
      </c>
      <c r="E305" s="967">
        <v>0</v>
      </c>
      <c r="F305" s="967">
        <v>0</v>
      </c>
      <c r="G305" s="1538">
        <v>4115.6252954777929</v>
      </c>
      <c r="H305" s="975">
        <v>4261.6240665969672</v>
      </c>
      <c r="J305" s="125">
        <v>4115.625</v>
      </c>
    </row>
    <row r="306" spans="1:10" ht="20.25">
      <c r="A306" t="s">
        <v>230</v>
      </c>
      <c r="B306" s="967">
        <v>121476639</v>
      </c>
      <c r="C306" s="968">
        <v>726.81900000000007</v>
      </c>
      <c r="D306" s="968">
        <v>726.81900000000007</v>
      </c>
      <c r="E306" s="967">
        <v>0</v>
      </c>
      <c r="F306" s="967">
        <v>132382</v>
      </c>
      <c r="G306" s="1538">
        <v>4541.4953613262778</v>
      </c>
      <c r="H306" s="975">
        <v>4686.0403627915484</v>
      </c>
      <c r="J306" s="125">
        <v>4541.4949999999999</v>
      </c>
    </row>
    <row r="307" spans="1:10" ht="20.25">
      <c r="A307" t="s">
        <v>231</v>
      </c>
      <c r="B307" s="967">
        <v>511669712</v>
      </c>
      <c r="C307" s="968">
        <v>1786.3230000000001</v>
      </c>
      <c r="D307" s="968">
        <v>1786.3230000000001</v>
      </c>
      <c r="E307" s="967">
        <v>0</v>
      </c>
      <c r="F307" s="967">
        <v>165955</v>
      </c>
      <c r="G307" s="1538">
        <v>4835.3052643302581</v>
      </c>
      <c r="H307" s="975">
        <v>5098.7483078221057</v>
      </c>
      <c r="J307" s="125">
        <v>4835.3050000000003</v>
      </c>
    </row>
    <row r="308" spans="1:10" ht="20.25">
      <c r="A308" t="s">
        <v>1401</v>
      </c>
      <c r="B308" s="967">
        <v>35636064</v>
      </c>
      <c r="C308" s="968">
        <v>286.43</v>
      </c>
      <c r="D308" s="968">
        <v>286.43</v>
      </c>
      <c r="E308" s="967">
        <v>0</v>
      </c>
      <c r="F308" s="967">
        <v>18602</v>
      </c>
      <c r="G308" s="1538">
        <v>4745.9467352697384</v>
      </c>
      <c r="H308" s="975">
        <v>4973.7603070707419</v>
      </c>
      <c r="J308" s="125">
        <v>4745.9470000000001</v>
      </c>
    </row>
    <row r="309" spans="1:10" ht="20.25">
      <c r="A309" t="s">
        <v>820</v>
      </c>
      <c r="B309" s="967">
        <v>33205553</v>
      </c>
      <c r="C309" s="968">
        <v>243.989</v>
      </c>
      <c r="D309" s="968">
        <v>243.989</v>
      </c>
      <c r="E309" s="967">
        <v>0</v>
      </c>
      <c r="F309" s="967">
        <v>11501</v>
      </c>
      <c r="G309" s="1538">
        <v>4806.9745256686565</v>
      </c>
      <c r="H309" s="975">
        <v>4955.6895394434696</v>
      </c>
      <c r="J309" s="125">
        <v>4806.9750000000004</v>
      </c>
    </row>
    <row r="310" spans="1:10" ht="20.25">
      <c r="A310" t="s">
        <v>232</v>
      </c>
      <c r="B310" s="967">
        <v>128548501</v>
      </c>
      <c r="C310" s="968">
        <v>569.66800000000001</v>
      </c>
      <c r="D310" s="968">
        <v>569.66800000000001</v>
      </c>
      <c r="E310" s="967">
        <v>18219</v>
      </c>
      <c r="F310" s="967">
        <v>61855</v>
      </c>
      <c r="G310" s="1538">
        <v>4796.8476951887824</v>
      </c>
      <c r="H310" s="975">
        <v>4940.6790270150996</v>
      </c>
      <c r="J310" s="125">
        <v>4796.848</v>
      </c>
    </row>
    <row r="311" spans="1:10" ht="20.25">
      <c r="A311" t="s">
        <v>233</v>
      </c>
      <c r="B311" s="967">
        <v>123982739</v>
      </c>
      <c r="C311" s="968">
        <v>838.25900000000001</v>
      </c>
      <c r="D311" s="968">
        <v>838.25900000000001</v>
      </c>
      <c r="E311" s="967">
        <v>0</v>
      </c>
      <c r="F311" s="967">
        <v>39939</v>
      </c>
      <c r="G311" s="1538">
        <v>4750.4492045661937</v>
      </c>
      <c r="H311" s="975">
        <v>4894.0700386728313</v>
      </c>
      <c r="J311" s="125">
        <v>4750.4489999999996</v>
      </c>
    </row>
    <row r="312" spans="1:10" ht="20.25">
      <c r="A312" t="s">
        <v>1960</v>
      </c>
      <c r="B312" s="967">
        <v>85487540</v>
      </c>
      <c r="C312" s="968">
        <v>292.36200000000002</v>
      </c>
      <c r="D312" s="968">
        <v>292.36200000000002</v>
      </c>
      <c r="E312" s="967">
        <v>0</v>
      </c>
      <c r="F312" s="967">
        <v>26222</v>
      </c>
      <c r="G312" s="1538">
        <v>4724.3017109950952</v>
      </c>
      <c r="H312" s="975">
        <v>4915.458248678372</v>
      </c>
      <c r="J312" s="125">
        <v>4724.3019999999997</v>
      </c>
    </row>
    <row r="313" spans="1:10" ht="20.25">
      <c r="A313" t="s">
        <v>1961</v>
      </c>
      <c r="B313" s="967">
        <v>134430776</v>
      </c>
      <c r="C313" s="968">
        <v>538.49400000000003</v>
      </c>
      <c r="D313" s="968">
        <v>538.49400000000003</v>
      </c>
      <c r="E313" s="967">
        <v>0</v>
      </c>
      <c r="F313" s="967">
        <v>53540</v>
      </c>
      <c r="G313" s="1538">
        <v>4840.2844867858848</v>
      </c>
      <c r="H313" s="975">
        <v>4983.7323298329238</v>
      </c>
      <c r="J313" s="125">
        <v>4840.2839999999997</v>
      </c>
    </row>
    <row r="314" spans="1:10" ht="20.25">
      <c r="A314" t="s">
        <v>1402</v>
      </c>
      <c r="B314" s="967">
        <v>81818237</v>
      </c>
      <c r="C314" s="968">
        <v>399.91300000000001</v>
      </c>
      <c r="D314" s="968">
        <v>399.91300000000001</v>
      </c>
      <c r="E314" s="967">
        <v>0</v>
      </c>
      <c r="F314" s="967">
        <v>65944</v>
      </c>
      <c r="G314" s="1538">
        <v>4749.0885263529299</v>
      </c>
      <c r="H314" s="975">
        <v>4892.9528120637888</v>
      </c>
      <c r="J314" s="125">
        <v>4749.0889999999999</v>
      </c>
    </row>
    <row r="315" spans="1:10" ht="20.25">
      <c r="A315" t="s">
        <v>2948</v>
      </c>
      <c r="B315" s="967">
        <v>231377532</v>
      </c>
      <c r="C315" s="968">
        <v>515.62</v>
      </c>
      <c r="D315" s="968">
        <v>515.62</v>
      </c>
      <c r="E315" s="967">
        <v>0</v>
      </c>
      <c r="F315" s="967">
        <v>90325</v>
      </c>
      <c r="G315" s="1538">
        <v>4983.5317093450021</v>
      </c>
      <c r="H315" s="975">
        <v>5115.7791813815429</v>
      </c>
      <c r="J315" s="125">
        <v>4983.5309999999999</v>
      </c>
    </row>
    <row r="316" spans="1:10" ht="20.25">
      <c r="A316" t="s">
        <v>1911</v>
      </c>
      <c r="B316" s="967">
        <v>945789608</v>
      </c>
      <c r="C316" s="968">
        <v>1777.1660000000002</v>
      </c>
      <c r="D316" s="968">
        <v>1777.1660000000002</v>
      </c>
      <c r="E316" s="967">
        <v>0</v>
      </c>
      <c r="F316" s="967">
        <v>190055</v>
      </c>
      <c r="G316" s="1538">
        <v>5928.344962976812</v>
      </c>
      <c r="H316" s="975">
        <v>6069.8334912309829</v>
      </c>
      <c r="J316" s="125">
        <v>5928.3450000000003</v>
      </c>
    </row>
    <row r="317" spans="1:10" ht="20.25">
      <c r="A317" t="s">
        <v>1912</v>
      </c>
      <c r="B317" s="967">
        <v>313109543</v>
      </c>
      <c r="C317" s="968">
        <v>684.16700000000003</v>
      </c>
      <c r="D317" s="968">
        <v>684.16700000000003</v>
      </c>
      <c r="E317" s="967">
        <v>0</v>
      </c>
      <c r="F317" s="967">
        <v>87092</v>
      </c>
      <c r="G317" s="1538">
        <v>4956.6466647617235</v>
      </c>
      <c r="H317" s="975">
        <v>5117.1938388222916</v>
      </c>
      <c r="J317" s="125">
        <v>4956.6459999999997</v>
      </c>
    </row>
    <row r="318" spans="1:10" ht="20.25">
      <c r="A318" t="s">
        <v>1037</v>
      </c>
      <c r="B318" s="967">
        <v>167574473</v>
      </c>
      <c r="C318" s="968">
        <v>207.83</v>
      </c>
      <c r="D318" s="968">
        <v>207.83</v>
      </c>
      <c r="E318" s="967">
        <v>0</v>
      </c>
      <c r="F318" s="967">
        <v>0</v>
      </c>
      <c r="G318" s="1538">
        <v>5802.2651024903116</v>
      </c>
      <c r="H318" s="975">
        <v>5945.6678985536437</v>
      </c>
      <c r="J318" s="125">
        <v>5802.2650000000003</v>
      </c>
    </row>
    <row r="319" spans="1:10" ht="20.25">
      <c r="A319" t="s">
        <v>73</v>
      </c>
      <c r="B319" s="967">
        <v>354157470</v>
      </c>
      <c r="C319" s="968">
        <v>222.542</v>
      </c>
      <c r="D319" s="968">
        <v>222.542</v>
      </c>
      <c r="E319" s="967">
        <v>0</v>
      </c>
      <c r="F319" s="967">
        <v>36830</v>
      </c>
      <c r="G319" s="1538">
        <v>6028.8449269653884</v>
      </c>
      <c r="H319" s="975">
        <v>6180.8246233051505</v>
      </c>
      <c r="J319" s="125">
        <v>6028.8450000000003</v>
      </c>
    </row>
    <row r="320" spans="1:10" ht="20.25">
      <c r="A320" t="s">
        <v>853</v>
      </c>
      <c r="B320" s="967">
        <v>76295725</v>
      </c>
      <c r="C320" s="968">
        <v>274.988</v>
      </c>
      <c r="D320" s="968">
        <v>274.988</v>
      </c>
      <c r="E320" s="967">
        <v>0</v>
      </c>
      <c r="F320" s="967">
        <v>61196</v>
      </c>
      <c r="G320" s="1538">
        <v>4783.1469862348658</v>
      </c>
      <c r="H320" s="975">
        <v>5100.1742642688096</v>
      </c>
      <c r="J320" s="125">
        <v>4783.1469999999999</v>
      </c>
    </row>
    <row r="321" spans="1:10" ht="20.25">
      <c r="A321" t="s">
        <v>2865</v>
      </c>
      <c r="B321" s="967">
        <v>68323599</v>
      </c>
      <c r="C321" s="968">
        <v>307.45400000000001</v>
      </c>
      <c r="D321" s="968">
        <v>307.45400000000001</v>
      </c>
      <c r="E321" s="967">
        <v>0</v>
      </c>
      <c r="F321" s="967">
        <v>17209</v>
      </c>
      <c r="G321" s="1538">
        <v>4679.9823764978009</v>
      </c>
      <c r="H321" s="975">
        <v>4964.8480214228512</v>
      </c>
      <c r="J321" s="125">
        <v>4679.982</v>
      </c>
    </row>
    <row r="322" spans="1:10" ht="20.25">
      <c r="A322" t="s">
        <v>697</v>
      </c>
      <c r="B322" s="967">
        <v>209606024</v>
      </c>
      <c r="C322" s="968">
        <v>786.57</v>
      </c>
      <c r="D322" s="968">
        <v>786.57</v>
      </c>
      <c r="E322" s="967">
        <v>0</v>
      </c>
      <c r="F322" s="967">
        <v>96897</v>
      </c>
      <c r="G322" s="1538">
        <v>4813.1221512737338</v>
      </c>
      <c r="H322" s="975">
        <v>5011.7568609209447</v>
      </c>
      <c r="J322" s="125">
        <v>4813.1220000000003</v>
      </c>
    </row>
    <row r="323" spans="1:10" ht="20.25">
      <c r="A323" t="s">
        <v>698</v>
      </c>
      <c r="B323" s="967">
        <v>80164012</v>
      </c>
      <c r="C323" s="968">
        <v>509.25400000000002</v>
      </c>
      <c r="D323" s="968">
        <v>509.25400000000002</v>
      </c>
      <c r="E323" s="967">
        <v>0</v>
      </c>
      <c r="F323" s="967">
        <v>31383</v>
      </c>
      <c r="G323" s="1538">
        <v>4794.2517380893787</v>
      </c>
      <c r="H323" s="975">
        <v>4992.0528303118926</v>
      </c>
      <c r="J323" s="125">
        <v>4794.2520000000004</v>
      </c>
    </row>
    <row r="324" spans="1:10" ht="20.25">
      <c r="A324" t="s">
        <v>699</v>
      </c>
      <c r="B324" s="967">
        <v>75153102</v>
      </c>
      <c r="C324" s="968">
        <v>213.613</v>
      </c>
      <c r="D324" s="968">
        <v>213.613</v>
      </c>
      <c r="E324" s="967">
        <v>0</v>
      </c>
      <c r="F324" s="967">
        <v>18609</v>
      </c>
      <c r="G324" s="1538">
        <v>4623.5280030479507</v>
      </c>
      <c r="H324" s="975">
        <v>4768.4851781343486</v>
      </c>
      <c r="J324" s="125">
        <v>4623.5280000000002</v>
      </c>
    </row>
    <row r="325" spans="1:10" ht="20.25">
      <c r="A325" t="s">
        <v>700</v>
      </c>
      <c r="B325" s="967">
        <v>9672895133</v>
      </c>
      <c r="C325" s="968">
        <v>22236.733</v>
      </c>
      <c r="D325" s="968">
        <v>22236.733</v>
      </c>
      <c r="E325" s="967">
        <v>236594</v>
      </c>
      <c r="F325" s="967">
        <v>2041472</v>
      </c>
      <c r="G325" s="1538">
        <v>5547.3759346739289</v>
      </c>
      <c r="H325" s="975">
        <v>5690.0714347146686</v>
      </c>
      <c r="J325" s="125">
        <v>5547.0829999999996</v>
      </c>
    </row>
    <row r="326" spans="1:10" ht="20.25">
      <c r="A326" t="s">
        <v>2906</v>
      </c>
      <c r="B326" s="967">
        <v>568369666</v>
      </c>
      <c r="C326" s="968">
        <v>2474.0240000000003</v>
      </c>
      <c r="D326" s="968">
        <v>2474.0240000000003</v>
      </c>
      <c r="E326" s="967">
        <v>0</v>
      </c>
      <c r="F326" s="967">
        <v>226930</v>
      </c>
      <c r="G326" s="1538">
        <v>5012.2310711699593</v>
      </c>
      <c r="H326" s="975">
        <v>5155.3330855849736</v>
      </c>
      <c r="J326" s="125">
        <v>5012.2309999999998</v>
      </c>
    </row>
    <row r="327" spans="1:10" ht="20.25">
      <c r="A327" t="s">
        <v>1602</v>
      </c>
      <c r="B327" s="967">
        <v>22483091249</v>
      </c>
      <c r="C327" s="968">
        <v>66051.293000000005</v>
      </c>
      <c r="D327" s="968">
        <v>66051.293000000005</v>
      </c>
      <c r="E327" s="967">
        <v>154359</v>
      </c>
      <c r="F327" s="967">
        <v>4332408</v>
      </c>
      <c r="G327" s="1538">
        <v>5085.8456430718734</v>
      </c>
      <c r="H327" s="975">
        <v>5262.8008142727194</v>
      </c>
      <c r="J327" s="125">
        <v>5085.8440000000001</v>
      </c>
    </row>
    <row r="328" spans="1:10" ht="20.25">
      <c r="A328" t="s">
        <v>701</v>
      </c>
      <c r="B328" s="967">
        <v>51748908</v>
      </c>
      <c r="C328" s="968">
        <v>66.091999999999999</v>
      </c>
      <c r="D328" s="968">
        <v>66.091999999999999</v>
      </c>
      <c r="E328" s="967">
        <v>0</v>
      </c>
      <c r="F328" s="967">
        <v>43158</v>
      </c>
      <c r="G328" s="1538">
        <v>0</v>
      </c>
      <c r="H328" s="975">
        <v>5663.4088105376259</v>
      </c>
    </row>
    <row r="329" spans="1:10" ht="20.25">
      <c r="A329" t="s">
        <v>2647</v>
      </c>
      <c r="B329" s="967">
        <v>2104229753</v>
      </c>
      <c r="C329" s="968">
        <v>2938.9720000000002</v>
      </c>
      <c r="D329" s="968">
        <v>2938.9720000000002</v>
      </c>
      <c r="E329" s="967">
        <v>0</v>
      </c>
      <c r="F329" s="967">
        <v>0</v>
      </c>
      <c r="G329" s="1538">
        <v>5291.8766487334897</v>
      </c>
      <c r="H329" s="975">
        <v>5433.5729005321564</v>
      </c>
      <c r="J329" s="125">
        <v>5291.8770000000004</v>
      </c>
    </row>
    <row r="330" spans="1:10" ht="20.25">
      <c r="A330" t="s">
        <v>2290</v>
      </c>
      <c r="B330" s="967">
        <v>855340512</v>
      </c>
      <c r="C330" s="968">
        <v>1450.347</v>
      </c>
      <c r="D330" s="968">
        <v>1450.347</v>
      </c>
      <c r="E330" s="967">
        <v>0</v>
      </c>
      <c r="F330" s="967">
        <v>165664</v>
      </c>
      <c r="G330" s="1538">
        <v>5383.1021376203025</v>
      </c>
      <c r="H330" s="975">
        <v>5526.2117425379802</v>
      </c>
      <c r="J330" s="125">
        <v>5383.1019999999999</v>
      </c>
    </row>
    <row r="331" spans="1:10" ht="20.25">
      <c r="A331" t="s">
        <v>1478</v>
      </c>
      <c r="B331" s="967">
        <v>2461166085</v>
      </c>
      <c r="C331" s="968">
        <v>1713.596</v>
      </c>
      <c r="D331" s="968">
        <v>1713.596</v>
      </c>
      <c r="E331" s="967">
        <v>0</v>
      </c>
      <c r="F331" s="967">
        <v>185293</v>
      </c>
      <c r="G331" s="1538">
        <v>6155.8360254556419</v>
      </c>
      <c r="H331" s="975">
        <v>6298.1847155969899</v>
      </c>
      <c r="J331" s="125">
        <v>6155.8360000000002</v>
      </c>
    </row>
    <row r="332" spans="1:10" ht="20.25">
      <c r="A332" t="s">
        <v>2192</v>
      </c>
      <c r="B332" s="967">
        <v>1943499137</v>
      </c>
      <c r="C332" s="968">
        <v>1139.1960000000001</v>
      </c>
      <c r="D332" s="968">
        <v>1139.1960000000001</v>
      </c>
      <c r="E332" s="967">
        <v>0</v>
      </c>
      <c r="F332" s="967">
        <v>67390</v>
      </c>
      <c r="G332" s="1538">
        <v>6822.8187696433115</v>
      </c>
      <c r="H332" s="975">
        <v>6966.5961966649884</v>
      </c>
      <c r="J332" s="125">
        <v>6822.8190000000004</v>
      </c>
    </row>
    <row r="333" spans="1:10" ht="20.25">
      <c r="A333" t="s">
        <v>2198</v>
      </c>
      <c r="B333" s="967">
        <v>127418895</v>
      </c>
      <c r="C333" s="968">
        <v>467.1</v>
      </c>
      <c r="D333" s="968">
        <v>467.1</v>
      </c>
      <c r="E333" s="967">
        <v>0</v>
      </c>
      <c r="F333" s="967">
        <v>40769</v>
      </c>
      <c r="G333" s="1538">
        <v>5231.0669781310544</v>
      </c>
      <c r="H333" s="975">
        <v>5373.6338716207692</v>
      </c>
      <c r="J333" s="125">
        <v>5230.9269999999997</v>
      </c>
    </row>
    <row r="334" spans="1:10" ht="20.25">
      <c r="A334" t="s">
        <v>2199</v>
      </c>
      <c r="B334" s="967">
        <v>513523211</v>
      </c>
      <c r="C334" s="968">
        <v>138.55799999999999</v>
      </c>
      <c r="D334" s="968">
        <v>138.55799999999999</v>
      </c>
      <c r="E334" s="967">
        <v>0</v>
      </c>
      <c r="F334" s="967">
        <v>26975</v>
      </c>
      <c r="G334" s="1538">
        <v>6913.6614479392119</v>
      </c>
      <c r="H334" s="975">
        <v>7058.2456962173555</v>
      </c>
      <c r="J334" s="125">
        <v>6913.6610000000001</v>
      </c>
    </row>
    <row r="335" spans="1:10" ht="20.25">
      <c r="A335" t="s">
        <v>1403</v>
      </c>
      <c r="B335" s="967">
        <v>120455680</v>
      </c>
      <c r="C335" s="968">
        <v>822.11400000000003</v>
      </c>
      <c r="D335" s="968">
        <v>822.11400000000003</v>
      </c>
      <c r="E335" s="967">
        <v>0</v>
      </c>
      <c r="F335" s="967">
        <v>49193</v>
      </c>
      <c r="G335" s="1538">
        <v>4606.8932871086226</v>
      </c>
      <c r="H335" s="975">
        <v>4980.1308650397486</v>
      </c>
      <c r="J335" s="125">
        <v>4606.893</v>
      </c>
    </row>
    <row r="336" spans="1:10" ht="20.25">
      <c r="A336" t="s">
        <v>2866</v>
      </c>
      <c r="B336" s="967">
        <v>353247594</v>
      </c>
      <c r="C336" s="968">
        <v>2092.9360000000001</v>
      </c>
      <c r="D336" s="968">
        <v>2092.9360000000001</v>
      </c>
      <c r="E336" s="967">
        <v>0</v>
      </c>
      <c r="F336" s="967">
        <v>100234</v>
      </c>
      <c r="G336" s="1538">
        <v>4759.2969044685287</v>
      </c>
      <c r="H336" s="975">
        <v>4902.9375858973881</v>
      </c>
      <c r="J336" s="125">
        <v>4759.2969999999996</v>
      </c>
    </row>
    <row r="337" spans="1:10" ht="20.25">
      <c r="A337" t="s">
        <v>2200</v>
      </c>
      <c r="B337" s="967">
        <v>274068740</v>
      </c>
      <c r="C337" s="968">
        <v>539.31299999999999</v>
      </c>
      <c r="D337" s="968">
        <v>539.31299999999999</v>
      </c>
      <c r="E337" s="967">
        <v>0</v>
      </c>
      <c r="F337" s="967">
        <v>16983</v>
      </c>
      <c r="G337" s="1538">
        <v>6566.4391232467606</v>
      </c>
      <c r="H337" s="975">
        <v>6708.7602254734848</v>
      </c>
      <c r="J337" s="125">
        <v>6566.4390000000003</v>
      </c>
    </row>
    <row r="338" spans="1:10" ht="20.25">
      <c r="A338" t="s">
        <v>2420</v>
      </c>
      <c r="B338" s="967">
        <v>530024135</v>
      </c>
      <c r="C338" s="968">
        <v>127.13900000000001</v>
      </c>
      <c r="D338" s="968">
        <v>127.13900000000001</v>
      </c>
      <c r="E338" s="967">
        <v>0</v>
      </c>
      <c r="F338" s="967">
        <v>10837</v>
      </c>
      <c r="G338" s="1538">
        <v>7240.9054764954508</v>
      </c>
      <c r="H338" s="975">
        <v>7384.2802622565814</v>
      </c>
      <c r="J338" s="125">
        <v>7240.9049999999997</v>
      </c>
    </row>
    <row r="339" spans="1:10" ht="20.25">
      <c r="A339" t="s">
        <v>2490</v>
      </c>
      <c r="B339" s="967">
        <v>5177167023</v>
      </c>
      <c r="C339" s="968">
        <v>2232.7080000000001</v>
      </c>
      <c r="D339" s="968">
        <v>2232.7080000000001</v>
      </c>
      <c r="E339" s="967">
        <v>0</v>
      </c>
      <c r="F339" s="967">
        <v>177095</v>
      </c>
      <c r="G339" s="1538">
        <v>5686.33586904391</v>
      </c>
      <c r="H339" s="975">
        <v>5828.093758265225</v>
      </c>
      <c r="J339" s="125">
        <v>5686.3360000000002</v>
      </c>
    </row>
    <row r="340" spans="1:10" ht="20.25">
      <c r="A340" t="s">
        <v>2270</v>
      </c>
      <c r="B340" s="967">
        <v>2347273950</v>
      </c>
      <c r="C340" s="968">
        <v>8112.1940000000004</v>
      </c>
      <c r="D340" s="968">
        <v>8112.1940000000004</v>
      </c>
      <c r="E340" s="967">
        <v>302258</v>
      </c>
      <c r="F340" s="967">
        <v>755633</v>
      </c>
      <c r="G340" s="1538">
        <v>5181.003244185139</v>
      </c>
      <c r="H340" s="975">
        <v>5323.609330806491</v>
      </c>
      <c r="J340" s="125">
        <v>5181.0029999999997</v>
      </c>
    </row>
    <row r="341" spans="1:10" ht="20.25">
      <c r="A341" t="s">
        <v>2550</v>
      </c>
      <c r="B341" s="967">
        <v>5018053476</v>
      </c>
      <c r="C341" s="968">
        <v>5629.1019999999999</v>
      </c>
      <c r="D341" s="968">
        <v>5629.1019999999999</v>
      </c>
      <c r="E341" s="967">
        <v>0</v>
      </c>
      <c r="F341" s="967">
        <v>528981</v>
      </c>
      <c r="G341" s="1538">
        <v>5894.6796805426438</v>
      </c>
      <c r="H341" s="975">
        <v>6042.4729543786907</v>
      </c>
      <c r="J341" s="125">
        <v>5894.68</v>
      </c>
    </row>
    <row r="342" spans="1:10" ht="20.25">
      <c r="A342" t="s">
        <v>2132</v>
      </c>
      <c r="B342" s="967">
        <v>130907732</v>
      </c>
      <c r="C342" s="968">
        <v>169.93700000000001</v>
      </c>
      <c r="D342" s="968">
        <v>169.93700000000001</v>
      </c>
      <c r="E342" s="967">
        <v>0</v>
      </c>
      <c r="F342" s="967">
        <v>37650</v>
      </c>
      <c r="G342" s="1538">
        <v>5851.0579696056511</v>
      </c>
      <c r="H342" s="975">
        <v>5998.9567876836154</v>
      </c>
      <c r="J342" s="125">
        <v>5851.058</v>
      </c>
    </row>
    <row r="343" spans="1:10" ht="20.25">
      <c r="A343" t="s">
        <v>862</v>
      </c>
      <c r="B343" s="967">
        <v>1536089374</v>
      </c>
      <c r="C343" s="968">
        <v>3224.8490000000002</v>
      </c>
      <c r="D343" s="968">
        <v>3224.8490000000002</v>
      </c>
      <c r="E343" s="967">
        <v>0</v>
      </c>
      <c r="F343" s="967">
        <v>195347</v>
      </c>
      <c r="G343" s="1538">
        <v>5257.3714681343417</v>
      </c>
      <c r="H343" s="975">
        <v>5390.4714502457655</v>
      </c>
      <c r="J343" s="125">
        <v>5257.3059999999996</v>
      </c>
    </row>
    <row r="344" spans="1:10" ht="20.25">
      <c r="A344" t="s">
        <v>863</v>
      </c>
      <c r="B344" s="967">
        <v>4891959792</v>
      </c>
      <c r="C344" s="968">
        <v>5404.2290000000003</v>
      </c>
      <c r="D344" s="968">
        <v>5404.2290000000003</v>
      </c>
      <c r="E344" s="967">
        <v>0</v>
      </c>
      <c r="F344" s="967">
        <v>239301</v>
      </c>
      <c r="G344" s="1538">
        <v>5983.5838026178008</v>
      </c>
      <c r="H344" s="975">
        <v>6127.0901102051084</v>
      </c>
      <c r="J344" s="125">
        <v>5983.5839999999998</v>
      </c>
    </row>
    <row r="345" spans="1:10" ht="20.25">
      <c r="A345" t="s">
        <v>2817</v>
      </c>
      <c r="B345" s="967">
        <v>529884187</v>
      </c>
      <c r="C345" s="968">
        <v>1071.3050000000001</v>
      </c>
      <c r="D345" s="968">
        <v>1071.3050000000001</v>
      </c>
      <c r="E345" s="967">
        <v>59302</v>
      </c>
      <c r="F345" s="967">
        <v>0</v>
      </c>
      <c r="G345" s="1538">
        <v>5372.0099172613409</v>
      </c>
      <c r="H345" s="975">
        <v>5439.0426683616752</v>
      </c>
      <c r="J345" s="125">
        <v>5372.01</v>
      </c>
    </row>
    <row r="346" spans="1:10" ht="20.25">
      <c r="A346" t="s">
        <v>533</v>
      </c>
      <c r="B346" s="967">
        <v>936362538</v>
      </c>
      <c r="C346" s="968">
        <v>4200.1400000000003</v>
      </c>
      <c r="D346" s="968">
        <v>4200.1400000000003</v>
      </c>
      <c r="E346" s="967">
        <v>0</v>
      </c>
      <c r="F346" s="967">
        <v>455289</v>
      </c>
      <c r="G346" s="1538">
        <v>4863.0300456633249</v>
      </c>
      <c r="H346" s="975">
        <v>5006.9013695490567</v>
      </c>
      <c r="J346" s="125">
        <v>4863.03</v>
      </c>
    </row>
    <row r="347" spans="1:10" ht="20.25">
      <c r="A347" t="s">
        <v>2818</v>
      </c>
      <c r="B347" s="967">
        <v>15332616994</v>
      </c>
      <c r="C347" s="968">
        <v>35360.567999999999</v>
      </c>
      <c r="D347" s="968">
        <v>35360.567999999999</v>
      </c>
      <c r="E347" s="967">
        <v>327474</v>
      </c>
      <c r="F347" s="967">
        <v>1886226</v>
      </c>
      <c r="G347" s="1538">
        <v>5576.3651933278343</v>
      </c>
      <c r="H347" s="975">
        <v>5719.5198832563256</v>
      </c>
      <c r="J347" s="125">
        <v>5576.3109999999997</v>
      </c>
    </row>
    <row r="348" spans="1:10" ht="20.25">
      <c r="A348" t="s">
        <v>1604</v>
      </c>
      <c r="B348" s="967">
        <v>1977794916</v>
      </c>
      <c r="C348" s="968">
        <v>5721.5080000000007</v>
      </c>
      <c r="D348" s="968">
        <v>5721.5080000000007</v>
      </c>
      <c r="E348" s="967">
        <v>0</v>
      </c>
      <c r="F348" s="967">
        <v>320539</v>
      </c>
      <c r="G348" s="1538">
        <v>5168.8062537640699</v>
      </c>
      <c r="H348" s="975">
        <v>5307.4445150937117</v>
      </c>
      <c r="J348" s="125">
        <v>5169.8580000000002</v>
      </c>
    </row>
    <row r="349" spans="1:10" ht="20.25">
      <c r="A349" t="s">
        <v>1872</v>
      </c>
      <c r="B349" s="967">
        <v>818422351</v>
      </c>
      <c r="C349" s="968">
        <v>763.48500000000001</v>
      </c>
      <c r="D349" s="968">
        <v>763.48500000000001</v>
      </c>
      <c r="E349" s="967">
        <v>0</v>
      </c>
      <c r="F349" s="967">
        <v>111378</v>
      </c>
      <c r="G349" s="1538">
        <v>5721.840907758753</v>
      </c>
      <c r="H349" s="975">
        <v>5866.6044462802474</v>
      </c>
      <c r="J349" s="125">
        <v>5721.8410000000003</v>
      </c>
    </row>
    <row r="350" spans="1:10" ht="20.25">
      <c r="A350" t="s">
        <v>1873</v>
      </c>
      <c r="B350" s="967">
        <v>79505015</v>
      </c>
      <c r="C350" s="968">
        <v>148.47499999999999</v>
      </c>
      <c r="D350" s="968">
        <v>148.47499999999999</v>
      </c>
      <c r="E350" s="967">
        <v>0</v>
      </c>
      <c r="F350" s="967">
        <v>19111</v>
      </c>
      <c r="G350" s="1538">
        <v>5063.0288805821856</v>
      </c>
      <c r="H350" s="975">
        <v>5206.183944232067</v>
      </c>
      <c r="J350" s="125">
        <v>5063.0290000000005</v>
      </c>
    </row>
    <row r="351" spans="1:10" ht="20.25">
      <c r="A351" t="s">
        <v>2139</v>
      </c>
      <c r="B351" s="967">
        <v>30464876</v>
      </c>
      <c r="C351" s="968">
        <v>23.67</v>
      </c>
      <c r="D351" s="968">
        <v>23.67</v>
      </c>
      <c r="E351" s="967">
        <v>0</v>
      </c>
      <c r="F351" s="967">
        <v>0</v>
      </c>
      <c r="G351" s="1538">
        <v>4469.1678709276166</v>
      </c>
      <c r="H351" s="975">
        <v>4612.7940584641283</v>
      </c>
      <c r="J351" s="125">
        <v>4469.1679999999997</v>
      </c>
    </row>
    <row r="352" spans="1:10" ht="20.25">
      <c r="A352" t="s">
        <v>1636</v>
      </c>
      <c r="B352" s="967">
        <v>2213175545</v>
      </c>
      <c r="C352" s="968">
        <v>2763.982</v>
      </c>
      <c r="D352" s="968">
        <v>2763.982</v>
      </c>
      <c r="E352" s="967">
        <v>0</v>
      </c>
      <c r="F352" s="967">
        <v>265426</v>
      </c>
      <c r="G352" s="1538">
        <v>6045.8465943102237</v>
      </c>
      <c r="H352" s="975">
        <v>6187.2575251198559</v>
      </c>
      <c r="J352" s="125">
        <v>6045.8469999999998</v>
      </c>
    </row>
    <row r="353" spans="1:10" ht="20.25">
      <c r="A353" t="s">
        <v>2474</v>
      </c>
      <c r="B353" s="967">
        <v>278564662</v>
      </c>
      <c r="C353" s="968">
        <v>581.73300000000006</v>
      </c>
      <c r="D353" s="968">
        <v>581.73300000000006</v>
      </c>
      <c r="E353" s="967">
        <v>0</v>
      </c>
      <c r="F353" s="967">
        <v>126892</v>
      </c>
      <c r="G353" s="1538">
        <v>5047.8589642220813</v>
      </c>
      <c r="H353" s="975">
        <v>5191.2003416508105</v>
      </c>
      <c r="J353" s="125">
        <v>5047.8590000000004</v>
      </c>
    </row>
    <row r="354" spans="1:10" ht="20.25">
      <c r="A354" t="s">
        <v>2475</v>
      </c>
      <c r="B354" s="967">
        <v>1119134934</v>
      </c>
      <c r="C354" s="968">
        <v>260.53800000000001</v>
      </c>
      <c r="D354" s="968">
        <v>260.53800000000001</v>
      </c>
      <c r="E354" s="967">
        <v>0</v>
      </c>
      <c r="F354" s="967">
        <v>76994</v>
      </c>
      <c r="G354" s="1538">
        <v>6289.7812794682604</v>
      </c>
      <c r="H354" s="975">
        <v>6432.7073739608877</v>
      </c>
      <c r="J354" s="125">
        <v>6289.7809999999999</v>
      </c>
    </row>
    <row r="355" spans="1:10" ht="20.25">
      <c r="A355" t="s">
        <v>2794</v>
      </c>
      <c r="B355" s="967">
        <v>1238062443</v>
      </c>
      <c r="C355" s="968">
        <v>1262.3620000000001</v>
      </c>
      <c r="D355" s="968">
        <v>1262.3620000000001</v>
      </c>
      <c r="E355" s="967">
        <v>0</v>
      </c>
      <c r="F355" s="967">
        <v>172217</v>
      </c>
      <c r="G355" s="1538">
        <v>6701.4481507446799</v>
      </c>
      <c r="H355" s="975">
        <v>6844.7831187819274</v>
      </c>
      <c r="J355" s="125">
        <v>6701.4480000000003</v>
      </c>
    </row>
    <row r="356" spans="1:10" ht="20.25">
      <c r="A356" t="s">
        <v>1019</v>
      </c>
      <c r="B356" s="967">
        <v>548061270</v>
      </c>
      <c r="C356" s="968">
        <v>2293.473</v>
      </c>
      <c r="D356" s="968">
        <v>2293.473</v>
      </c>
      <c r="E356" s="967">
        <v>0</v>
      </c>
      <c r="F356" s="967">
        <v>167734</v>
      </c>
      <c r="G356" s="1538">
        <v>5005.1278130511855</v>
      </c>
      <c r="H356" s="975">
        <v>5148.2025266800329</v>
      </c>
      <c r="J356" s="125">
        <v>5005.1279999999997</v>
      </c>
    </row>
    <row r="357" spans="1:10" ht="20.25">
      <c r="A357" t="s">
        <v>2795</v>
      </c>
      <c r="B357" s="967">
        <v>160434527</v>
      </c>
      <c r="C357" s="968">
        <v>964.84400000000005</v>
      </c>
      <c r="D357" s="968">
        <v>964.84400000000005</v>
      </c>
      <c r="E357" s="967">
        <v>0</v>
      </c>
      <c r="F357" s="967">
        <v>159874</v>
      </c>
      <c r="G357" s="1538">
        <v>4758.3288025361908</v>
      </c>
      <c r="H357" s="975">
        <v>4901.2180275380142</v>
      </c>
      <c r="J357" s="125">
        <v>4758.3289999999997</v>
      </c>
    </row>
    <row r="358" spans="1:10" ht="20.25">
      <c r="A358" t="s">
        <v>2796</v>
      </c>
      <c r="B358" s="967">
        <v>113671395</v>
      </c>
      <c r="C358" s="968">
        <v>237.66800000000001</v>
      </c>
      <c r="D358" s="968">
        <v>237.66800000000001</v>
      </c>
      <c r="E358" s="967">
        <v>0</v>
      </c>
      <c r="F358" s="967">
        <v>20883</v>
      </c>
      <c r="G358" s="1538">
        <v>4949.0490434261583</v>
      </c>
      <c r="H358" s="975">
        <v>5091.0178099183222</v>
      </c>
      <c r="J358" s="125">
        <v>4949.049</v>
      </c>
    </row>
    <row r="359" spans="1:10" ht="20.25">
      <c r="A359" t="s">
        <v>2118</v>
      </c>
      <c r="B359" s="967">
        <v>174332930</v>
      </c>
      <c r="C359" s="968">
        <v>140.834</v>
      </c>
      <c r="D359" s="968">
        <v>140.834</v>
      </c>
      <c r="E359" s="967">
        <v>0</v>
      </c>
      <c r="F359" s="967">
        <v>10210</v>
      </c>
      <c r="G359" s="1538">
        <v>8027.2449358102494</v>
      </c>
      <c r="H359" s="975">
        <v>8170.3716649686912</v>
      </c>
      <c r="J359" s="125">
        <v>8027.2449999999999</v>
      </c>
    </row>
    <row r="360" spans="1:10" ht="20.25">
      <c r="A360" t="s">
        <v>2119</v>
      </c>
      <c r="B360" s="967">
        <v>173280861</v>
      </c>
      <c r="C360" s="968">
        <v>201.37700000000001</v>
      </c>
      <c r="D360" s="968">
        <v>201.37700000000001</v>
      </c>
      <c r="E360" s="967">
        <v>0</v>
      </c>
      <c r="F360" s="967">
        <v>33965</v>
      </c>
      <c r="G360" s="1538">
        <v>6227.4136358512415</v>
      </c>
      <c r="H360" s="975">
        <v>6371.7052178590639</v>
      </c>
      <c r="J360" s="125">
        <v>6227.4139999999998</v>
      </c>
    </row>
    <row r="361" spans="1:10" ht="20.25">
      <c r="A361" t="s">
        <v>2301</v>
      </c>
      <c r="B361" s="967">
        <v>1028026851</v>
      </c>
      <c r="C361" s="968">
        <v>3153.6</v>
      </c>
      <c r="D361" s="968">
        <v>3153.6</v>
      </c>
      <c r="E361" s="967">
        <v>0</v>
      </c>
      <c r="F361" s="967">
        <v>104425</v>
      </c>
      <c r="G361" s="1538">
        <v>5010.8472054805461</v>
      </c>
      <c r="H361" s="975">
        <v>5154.4699882424029</v>
      </c>
      <c r="J361" s="125">
        <v>5010.8469999999998</v>
      </c>
    </row>
    <row r="362" spans="1:10" ht="20.25">
      <c r="A362" t="s">
        <v>2313</v>
      </c>
      <c r="B362" s="967">
        <v>136474686</v>
      </c>
      <c r="C362" s="968">
        <v>28.617000000000001</v>
      </c>
      <c r="D362" s="968">
        <v>28.617000000000001</v>
      </c>
      <c r="E362" s="967">
        <v>0</v>
      </c>
      <c r="F362" s="967">
        <v>12879</v>
      </c>
      <c r="G362" s="1538">
        <v>9492.4438982202191</v>
      </c>
      <c r="H362" s="975">
        <v>9632.1514723954297</v>
      </c>
      <c r="J362" s="125">
        <v>9492.4439999999995</v>
      </c>
    </row>
    <row r="363" spans="1:10" ht="20.25">
      <c r="A363" t="s">
        <v>1897</v>
      </c>
      <c r="B363" s="967">
        <v>128215222</v>
      </c>
      <c r="C363" s="968">
        <v>726.90800000000002</v>
      </c>
      <c r="D363" s="968">
        <v>726.90800000000002</v>
      </c>
      <c r="E363" s="967">
        <v>0</v>
      </c>
      <c r="F363" s="967">
        <v>61415</v>
      </c>
      <c r="G363" s="1538">
        <v>4923.2542235954425</v>
      </c>
      <c r="H363" s="975">
        <v>5067.3791364823337</v>
      </c>
      <c r="J363" s="125">
        <v>4923.2539999999999</v>
      </c>
    </row>
    <row r="364" spans="1:10" ht="20.25">
      <c r="A364" t="s">
        <v>1107</v>
      </c>
      <c r="B364" s="967">
        <v>120862485</v>
      </c>
      <c r="C364" s="968">
        <v>511.90500000000003</v>
      </c>
      <c r="D364" s="968">
        <v>511.90500000000003</v>
      </c>
      <c r="E364" s="967">
        <v>0</v>
      </c>
      <c r="F364" s="967">
        <v>19580</v>
      </c>
      <c r="G364" s="1538">
        <v>4924.6968201062527</v>
      </c>
      <c r="H364" s="975">
        <v>5068.5109219503811</v>
      </c>
      <c r="J364" s="125">
        <v>4924.6970000000001</v>
      </c>
    </row>
    <row r="365" spans="1:10" ht="20.25">
      <c r="A365" t="s">
        <v>1108</v>
      </c>
      <c r="B365" s="967">
        <v>1166937027</v>
      </c>
      <c r="C365" s="968">
        <v>4185.5160000000005</v>
      </c>
      <c r="D365" s="968">
        <v>4185.5160000000005</v>
      </c>
      <c r="E365" s="967">
        <v>0</v>
      </c>
      <c r="F365" s="967">
        <v>239970</v>
      </c>
      <c r="G365" s="1538">
        <v>4890.6955705379505</v>
      </c>
      <c r="H365" s="975">
        <v>5050.1519414436589</v>
      </c>
      <c r="J365" s="125">
        <v>4890.6959999999999</v>
      </c>
    </row>
    <row r="366" spans="1:10" ht="20.25">
      <c r="A366" t="s">
        <v>1276</v>
      </c>
      <c r="B366" s="967">
        <v>185724246</v>
      </c>
      <c r="C366" s="968">
        <v>931.24700000000007</v>
      </c>
      <c r="D366" s="968">
        <v>931.24700000000007</v>
      </c>
      <c r="E366" s="967">
        <v>0</v>
      </c>
      <c r="F366" s="967">
        <v>60012</v>
      </c>
      <c r="G366" s="1538">
        <v>4779.2469773582943</v>
      </c>
      <c r="H366" s="975">
        <v>4958.6415754519785</v>
      </c>
      <c r="J366" s="125">
        <v>4779.2470000000003</v>
      </c>
    </row>
    <row r="367" spans="1:10" ht="20.25">
      <c r="A367" t="s">
        <v>897</v>
      </c>
      <c r="B367" s="967">
        <v>2148290228</v>
      </c>
      <c r="C367" s="968">
        <v>6160.2830000000004</v>
      </c>
      <c r="D367" s="968">
        <v>6160.2830000000004</v>
      </c>
      <c r="E367" s="967">
        <v>6842</v>
      </c>
      <c r="F367" s="967">
        <v>305752</v>
      </c>
      <c r="G367" s="1538">
        <v>5004.9735527772245</v>
      </c>
      <c r="H367" s="975">
        <v>5151.9660149381743</v>
      </c>
      <c r="J367" s="125">
        <v>5004.9740000000002</v>
      </c>
    </row>
    <row r="368" spans="1:10" ht="20.25">
      <c r="A368" t="s">
        <v>898</v>
      </c>
      <c r="B368" s="967">
        <v>69615381</v>
      </c>
      <c r="C368" s="968">
        <v>143.14600000000002</v>
      </c>
      <c r="D368" s="968">
        <v>143.14600000000002</v>
      </c>
      <c r="E368" s="967">
        <v>0</v>
      </c>
      <c r="F368" s="967">
        <v>16478</v>
      </c>
      <c r="G368" s="1538">
        <v>5820.6173768287608</v>
      </c>
      <c r="H368" s="975">
        <v>5549.1471031919109</v>
      </c>
      <c r="J368" s="125">
        <v>5820.6170000000002</v>
      </c>
    </row>
    <row r="369" spans="1:10" ht="20.25">
      <c r="A369" t="s">
        <v>1404</v>
      </c>
      <c r="B369" s="967">
        <v>379690618</v>
      </c>
      <c r="C369" s="968">
        <v>1305.056</v>
      </c>
      <c r="D369" s="968">
        <v>1305.056</v>
      </c>
      <c r="E369" s="967">
        <v>0</v>
      </c>
      <c r="F369" s="967">
        <v>71904</v>
      </c>
      <c r="G369" s="1538">
        <v>4915.9207103672125</v>
      </c>
      <c r="H369" s="975">
        <v>5098.9123025846002</v>
      </c>
      <c r="J369" s="125">
        <v>4915.9210000000003</v>
      </c>
    </row>
    <row r="370" spans="1:10" ht="20.25">
      <c r="A370" t="s">
        <v>1405</v>
      </c>
      <c r="B370" s="967">
        <v>417113287</v>
      </c>
      <c r="C370" s="968">
        <v>1447.6890000000001</v>
      </c>
      <c r="D370" s="968">
        <v>1447.6890000000001</v>
      </c>
      <c r="E370" s="967">
        <v>0</v>
      </c>
      <c r="F370" s="967">
        <v>114832</v>
      </c>
      <c r="G370" s="1538">
        <v>4990.9796786255238</v>
      </c>
      <c r="H370" s="975">
        <v>5187.10864956366</v>
      </c>
      <c r="J370" s="125">
        <v>4990.9799999999996</v>
      </c>
    </row>
    <row r="371" spans="1:10" ht="20.25">
      <c r="A371" t="s">
        <v>1650</v>
      </c>
      <c r="B371" s="967">
        <v>146220391</v>
      </c>
      <c r="C371" s="968">
        <v>715.75700000000006</v>
      </c>
      <c r="D371" s="968">
        <v>715.75700000000006</v>
      </c>
      <c r="E371" s="967">
        <v>0</v>
      </c>
      <c r="F371" s="967">
        <v>34579</v>
      </c>
      <c r="G371" s="1538">
        <v>4735.4232014343252</v>
      </c>
      <c r="H371" s="975">
        <v>4879.3014115265842</v>
      </c>
      <c r="J371" s="125">
        <v>4735.4229999999998</v>
      </c>
    </row>
    <row r="372" spans="1:10" ht="20.25">
      <c r="A372" t="s">
        <v>243</v>
      </c>
      <c r="B372" s="967">
        <v>632145097</v>
      </c>
      <c r="C372" s="968">
        <v>1185.1020000000001</v>
      </c>
      <c r="D372" s="968">
        <v>1185.1020000000001</v>
      </c>
      <c r="E372" s="967">
        <v>0</v>
      </c>
      <c r="F372" s="967">
        <v>87481</v>
      </c>
      <c r="G372" s="1538">
        <v>5589.2992227186487</v>
      </c>
      <c r="H372" s="975">
        <v>5733.6219579964209</v>
      </c>
      <c r="J372" s="125">
        <v>5589.299</v>
      </c>
    </row>
    <row r="373" spans="1:10" ht="20.25">
      <c r="A373" t="s">
        <v>2977</v>
      </c>
      <c r="B373" s="967">
        <v>349296670</v>
      </c>
      <c r="C373" s="968">
        <v>783.22400000000005</v>
      </c>
      <c r="D373" s="968">
        <v>783.22400000000005</v>
      </c>
      <c r="E373" s="967">
        <v>0</v>
      </c>
      <c r="F373" s="967">
        <v>110595</v>
      </c>
      <c r="G373" s="1538">
        <v>5165.8260607380362</v>
      </c>
      <c r="H373" s="975">
        <v>5310.1922870808266</v>
      </c>
      <c r="J373" s="125">
        <v>5165.826</v>
      </c>
    </row>
    <row r="374" spans="1:10" ht="20.25">
      <c r="A374" t="s">
        <v>1483</v>
      </c>
      <c r="B374" s="967">
        <v>201089538</v>
      </c>
      <c r="C374" s="968">
        <v>758.95400000000006</v>
      </c>
      <c r="D374" s="968">
        <v>758.95400000000006</v>
      </c>
      <c r="E374" s="967">
        <v>0</v>
      </c>
      <c r="F374" s="967">
        <v>337907</v>
      </c>
      <c r="G374" s="1538">
        <v>5260.8443565270773</v>
      </c>
      <c r="H374" s="975">
        <v>5405.6700530649396</v>
      </c>
      <c r="J374" s="125">
        <v>5260.8440000000001</v>
      </c>
    </row>
    <row r="375" spans="1:10" ht="20.25">
      <c r="A375" t="s">
        <v>1461</v>
      </c>
      <c r="B375" s="967">
        <v>136969154</v>
      </c>
      <c r="C375" s="968">
        <v>748.09</v>
      </c>
      <c r="D375" s="968">
        <v>748.09</v>
      </c>
      <c r="E375" s="967">
        <v>0</v>
      </c>
      <c r="F375" s="967">
        <v>62255</v>
      </c>
      <c r="G375" s="1538">
        <v>4841.7313193214632</v>
      </c>
      <c r="H375" s="975">
        <v>4986.190198247602</v>
      </c>
      <c r="J375" s="125">
        <v>4841.7309999999998</v>
      </c>
    </row>
    <row r="376" spans="1:10" ht="20.25">
      <c r="A376" t="s">
        <v>1462</v>
      </c>
      <c r="B376" s="967">
        <v>578539806</v>
      </c>
      <c r="C376" s="968">
        <v>1845.2670000000001</v>
      </c>
      <c r="D376" s="968">
        <v>1845.2670000000001</v>
      </c>
      <c r="E376" s="967">
        <v>0</v>
      </c>
      <c r="F376" s="967">
        <v>193416</v>
      </c>
      <c r="G376" s="1538">
        <v>4797.739135615454</v>
      </c>
      <c r="H376" s="975">
        <v>4942.115222296391</v>
      </c>
      <c r="J376" s="125">
        <v>4797.7389999999996</v>
      </c>
    </row>
    <row r="377" spans="1:10" ht="20.25">
      <c r="A377" t="s">
        <v>1463</v>
      </c>
      <c r="B377" s="967">
        <v>1653789439</v>
      </c>
      <c r="C377" s="968">
        <v>3505.0720000000001</v>
      </c>
      <c r="D377" s="968">
        <v>3505.0720000000001</v>
      </c>
      <c r="E377" s="967">
        <v>0</v>
      </c>
      <c r="F377" s="967">
        <v>230685</v>
      </c>
      <c r="G377" s="1538">
        <v>5086.0113270304209</v>
      </c>
      <c r="H377" s="975">
        <v>5229.6121187272747</v>
      </c>
      <c r="J377" s="125">
        <v>5086.0110000000004</v>
      </c>
    </row>
    <row r="378" spans="1:10" ht="20.25">
      <c r="A378" t="s">
        <v>498</v>
      </c>
      <c r="B378" s="967">
        <v>3642684485</v>
      </c>
      <c r="C378" s="968">
        <v>7562.0860000000002</v>
      </c>
      <c r="D378" s="968">
        <v>7562.0860000000002</v>
      </c>
      <c r="E378" s="967">
        <v>0</v>
      </c>
      <c r="F378" s="967">
        <v>550007</v>
      </c>
      <c r="G378" s="1538">
        <v>5585.7374749661813</v>
      </c>
      <c r="H378" s="975">
        <v>5725.0965206607007</v>
      </c>
      <c r="J378" s="125">
        <v>5585.6719999999996</v>
      </c>
    </row>
    <row r="379" spans="1:10" ht="20.25">
      <c r="A379" t="s">
        <v>2504</v>
      </c>
      <c r="B379" s="967">
        <v>1639866431</v>
      </c>
      <c r="C379" s="968">
        <v>4355.3879999999999</v>
      </c>
      <c r="D379" s="968">
        <v>4355.3879999999999</v>
      </c>
      <c r="E379" s="967">
        <v>102516</v>
      </c>
      <c r="F379" s="967">
        <v>200187</v>
      </c>
      <c r="G379" s="1538">
        <v>4757.3324302642268</v>
      </c>
      <c r="H379" s="975">
        <v>4900.7222641220551</v>
      </c>
      <c r="J379" s="125">
        <v>4757.3320000000003</v>
      </c>
    </row>
    <row r="380" spans="1:10" ht="20.25">
      <c r="A380" t="s">
        <v>3035</v>
      </c>
      <c r="B380" s="967">
        <v>352348191</v>
      </c>
      <c r="C380" s="968">
        <v>1235.355</v>
      </c>
      <c r="D380" s="968">
        <v>1235.355</v>
      </c>
      <c r="E380" s="967">
        <v>0</v>
      </c>
      <c r="F380" s="967">
        <v>89369</v>
      </c>
      <c r="G380" s="1538">
        <v>5401.3982862108996</v>
      </c>
      <c r="H380" s="975">
        <v>5544.5726604854663</v>
      </c>
      <c r="J380" s="125">
        <v>5401.3980000000001</v>
      </c>
    </row>
    <row r="381" spans="1:10" ht="20.25">
      <c r="A381" t="s">
        <v>1702</v>
      </c>
      <c r="B381" s="967">
        <v>418339877</v>
      </c>
      <c r="C381" s="968">
        <v>1733.4690000000001</v>
      </c>
      <c r="D381" s="968">
        <v>1733.4690000000001</v>
      </c>
      <c r="E381" s="967">
        <v>0</v>
      </c>
      <c r="F381" s="967">
        <v>38282</v>
      </c>
      <c r="G381" s="1538">
        <v>4612.1172041226937</v>
      </c>
      <c r="H381" s="975">
        <v>4821.0002119763476</v>
      </c>
      <c r="J381" s="125">
        <v>4612.1170000000002</v>
      </c>
    </row>
    <row r="382" spans="1:10" ht="20.25">
      <c r="A382" t="s">
        <v>3036</v>
      </c>
      <c r="B382" s="967">
        <v>353541161</v>
      </c>
      <c r="C382" s="968">
        <v>1323.828</v>
      </c>
      <c r="D382" s="968">
        <v>1323.828</v>
      </c>
      <c r="E382" s="967">
        <v>0</v>
      </c>
      <c r="F382" s="967">
        <v>54369</v>
      </c>
      <c r="G382" s="1538">
        <v>4807.0026546371637</v>
      </c>
      <c r="H382" s="975">
        <v>4950.374352139268</v>
      </c>
      <c r="J382" s="125">
        <v>4807.0029999999997</v>
      </c>
    </row>
    <row r="383" spans="1:10" ht="20.25">
      <c r="A383" t="s">
        <v>3037</v>
      </c>
      <c r="B383" s="967">
        <v>397861481</v>
      </c>
      <c r="C383" s="968">
        <v>642.01499999999999</v>
      </c>
      <c r="D383" s="968">
        <v>642.01499999999999</v>
      </c>
      <c r="E383" s="967">
        <v>21434</v>
      </c>
      <c r="F383" s="967">
        <v>112554</v>
      </c>
      <c r="G383" s="1538">
        <v>5404.2149643981784</v>
      </c>
      <c r="H383" s="975">
        <v>5546.4324145017354</v>
      </c>
      <c r="J383" s="125">
        <v>5404.2150000000001</v>
      </c>
    </row>
    <row r="384" spans="1:10" ht="20.25">
      <c r="A384" t="s">
        <v>3038</v>
      </c>
      <c r="B384" s="967">
        <v>137805080</v>
      </c>
      <c r="C384" s="968">
        <v>470.5</v>
      </c>
      <c r="D384" s="968">
        <v>470.5</v>
      </c>
      <c r="E384" s="967">
        <v>0</v>
      </c>
      <c r="F384" s="967">
        <v>63795</v>
      </c>
      <c r="G384" s="1538">
        <v>4968.376191057494</v>
      </c>
      <c r="H384" s="975">
        <v>5111.9383463790564</v>
      </c>
      <c r="J384" s="125">
        <v>4968.3760000000002</v>
      </c>
    </row>
    <row r="385" spans="1:10" ht="20.25">
      <c r="A385" t="s">
        <v>3039</v>
      </c>
      <c r="B385" s="967">
        <v>1107776754</v>
      </c>
      <c r="C385" s="968">
        <v>2639.4360000000001</v>
      </c>
      <c r="D385" s="968">
        <v>2639.4360000000001</v>
      </c>
      <c r="E385" s="967">
        <v>0</v>
      </c>
      <c r="F385" s="967">
        <v>415887</v>
      </c>
      <c r="G385" s="1538">
        <v>5018.259967736989</v>
      </c>
      <c r="H385" s="975">
        <v>5261.9937723294061</v>
      </c>
      <c r="J385" s="125">
        <v>5018.26</v>
      </c>
    </row>
    <row r="386" spans="1:10" ht="20.25">
      <c r="A386" t="s">
        <v>2456</v>
      </c>
      <c r="B386" s="967">
        <v>149029349</v>
      </c>
      <c r="C386" s="968">
        <v>129.286</v>
      </c>
      <c r="D386" s="968">
        <v>129.286</v>
      </c>
      <c r="E386" s="967">
        <v>0</v>
      </c>
      <c r="F386" s="967">
        <v>0</v>
      </c>
      <c r="G386" s="1538">
        <v>6539.2967256648526</v>
      </c>
      <c r="H386" s="975">
        <v>6682.5829242006948</v>
      </c>
      <c r="J386" s="125">
        <v>6539.2969999999996</v>
      </c>
    </row>
    <row r="387" spans="1:10" ht="20.25">
      <c r="A387" t="s">
        <v>537</v>
      </c>
      <c r="B387" s="967">
        <v>2356146302</v>
      </c>
      <c r="C387" s="968">
        <v>6798.1940000000004</v>
      </c>
      <c r="D387" s="968">
        <v>6798.1940000000004</v>
      </c>
      <c r="E387" s="967">
        <v>0</v>
      </c>
      <c r="F387" s="967">
        <v>899117</v>
      </c>
      <c r="G387" s="1538">
        <v>5039.8647427636934</v>
      </c>
      <c r="H387" s="975">
        <v>5183.8370955247074</v>
      </c>
      <c r="J387" s="125">
        <v>5039.8500000000004</v>
      </c>
    </row>
    <row r="388" spans="1:10" ht="20.25">
      <c r="A388" t="s">
        <v>535</v>
      </c>
      <c r="B388" s="967">
        <v>3206769668</v>
      </c>
      <c r="C388" s="968">
        <v>11111.049000000001</v>
      </c>
      <c r="D388" s="968">
        <v>11111.049000000001</v>
      </c>
      <c r="E388" s="967">
        <v>181243</v>
      </c>
      <c r="F388" s="967">
        <v>1047710</v>
      </c>
      <c r="G388" s="1538">
        <v>5380.399998953606</v>
      </c>
      <c r="H388" s="975">
        <v>5523.0012313545903</v>
      </c>
      <c r="J388" s="125">
        <v>5380.4</v>
      </c>
    </row>
    <row r="389" spans="1:10" ht="20.25">
      <c r="A389" t="s">
        <v>2457</v>
      </c>
      <c r="B389" s="967">
        <v>506756112</v>
      </c>
      <c r="C389" s="968">
        <v>1463.845</v>
      </c>
      <c r="D389" s="968">
        <v>1463.845</v>
      </c>
      <c r="E389" s="967">
        <v>0</v>
      </c>
      <c r="F389" s="967">
        <v>180847</v>
      </c>
      <c r="G389" s="1538">
        <v>4425.5752693374288</v>
      </c>
      <c r="H389" s="975">
        <v>4798.5922717457797</v>
      </c>
      <c r="J389" s="125">
        <v>4425.5309999999999</v>
      </c>
    </row>
    <row r="390" spans="1:10" ht="20.25">
      <c r="A390" t="s">
        <v>381</v>
      </c>
      <c r="B390" s="967">
        <v>422617953</v>
      </c>
      <c r="C390" s="968">
        <v>1263.059</v>
      </c>
      <c r="D390" s="968">
        <v>1263.059</v>
      </c>
      <c r="E390" s="967">
        <v>0</v>
      </c>
      <c r="F390" s="967">
        <v>125068</v>
      </c>
      <c r="G390" s="1538">
        <v>4769.7566859848857</v>
      </c>
      <c r="H390" s="975">
        <v>5073.2786008092835</v>
      </c>
      <c r="J390" s="125">
        <v>4769.7569999999996</v>
      </c>
    </row>
    <row r="391" spans="1:10" ht="20.25">
      <c r="A391" t="s">
        <v>2458</v>
      </c>
      <c r="B391" s="967">
        <v>541652953</v>
      </c>
      <c r="C391" s="968">
        <v>748.50900000000001</v>
      </c>
      <c r="D391" s="968">
        <v>748.50900000000001</v>
      </c>
      <c r="E391" s="967">
        <v>0</v>
      </c>
      <c r="F391" s="967">
        <v>26629</v>
      </c>
      <c r="G391" s="1538">
        <v>5753.5755057896495</v>
      </c>
      <c r="H391" s="975">
        <v>5896.7647603945716</v>
      </c>
      <c r="J391" s="125">
        <v>5753.576</v>
      </c>
    </row>
    <row r="392" spans="1:10" ht="20.25">
      <c r="A392" t="s">
        <v>2459</v>
      </c>
      <c r="B392" s="967">
        <v>29253428</v>
      </c>
      <c r="C392" s="968">
        <v>108.206</v>
      </c>
      <c r="D392" s="968">
        <v>108.206</v>
      </c>
      <c r="E392" s="967">
        <v>0</v>
      </c>
      <c r="F392" s="967">
        <v>26871</v>
      </c>
      <c r="G392" s="1538">
        <v>4805.2209077013804</v>
      </c>
      <c r="H392" s="975">
        <v>5180.0089840052624</v>
      </c>
      <c r="J392" s="125">
        <v>4805.2209999999995</v>
      </c>
    </row>
    <row r="393" spans="1:10" ht="20.25">
      <c r="A393" t="s">
        <v>547</v>
      </c>
      <c r="B393" s="967">
        <v>69642311</v>
      </c>
      <c r="C393" s="968">
        <v>583.72</v>
      </c>
      <c r="D393" s="968">
        <v>583.72</v>
      </c>
      <c r="E393" s="967">
        <v>0</v>
      </c>
      <c r="F393" s="967">
        <v>32868</v>
      </c>
      <c r="G393" s="1538">
        <v>4635.5983678745361</v>
      </c>
      <c r="H393" s="975">
        <v>5007.9823496614263</v>
      </c>
      <c r="J393" s="125">
        <v>4635.598</v>
      </c>
    </row>
    <row r="394" spans="1:10" ht="20.25">
      <c r="A394" t="s">
        <v>2232</v>
      </c>
      <c r="B394" s="967">
        <v>50604859</v>
      </c>
      <c r="C394" s="968">
        <v>254.953</v>
      </c>
      <c r="D394" s="968">
        <v>254.953</v>
      </c>
      <c r="E394" s="967">
        <v>0</v>
      </c>
      <c r="F394" s="967">
        <v>22373</v>
      </c>
      <c r="G394" s="1538">
        <v>4691.1780947894431</v>
      </c>
      <c r="H394" s="975">
        <v>5065.6979534449856</v>
      </c>
      <c r="J394" s="125">
        <v>4691.1779999999999</v>
      </c>
    </row>
    <row r="395" spans="1:10" ht="20.25">
      <c r="A395" t="s">
        <v>2366</v>
      </c>
      <c r="B395" s="967">
        <v>1117831563</v>
      </c>
      <c r="C395" s="968">
        <v>5325.0340000000006</v>
      </c>
      <c r="D395" s="968">
        <v>5325.0340000000006</v>
      </c>
      <c r="E395" s="967">
        <v>0</v>
      </c>
      <c r="F395" s="967">
        <v>361804</v>
      </c>
      <c r="G395" s="1538">
        <v>4766.9773324617427</v>
      </c>
      <c r="H395" s="975">
        <v>5009.6609345940542</v>
      </c>
      <c r="J395" s="125">
        <v>4766.9769999999999</v>
      </c>
    </row>
    <row r="396" spans="1:10" ht="20.25">
      <c r="A396" t="s">
        <v>2367</v>
      </c>
      <c r="B396" s="967">
        <v>115494243</v>
      </c>
      <c r="C396" s="968">
        <v>494.78300000000002</v>
      </c>
      <c r="D396" s="968">
        <v>494.78300000000002</v>
      </c>
      <c r="E396" s="967">
        <v>0</v>
      </c>
      <c r="F396" s="967">
        <v>29225</v>
      </c>
      <c r="G396" s="1538">
        <v>5110.0416816647621</v>
      </c>
      <c r="H396" s="975">
        <v>5255.0650754466178</v>
      </c>
      <c r="J396" s="125">
        <v>5110.0420000000004</v>
      </c>
    </row>
    <row r="397" spans="1:10" ht="20.25">
      <c r="A397" t="s">
        <v>169</v>
      </c>
      <c r="B397" s="967">
        <v>40295110</v>
      </c>
      <c r="C397" s="968">
        <v>199.834</v>
      </c>
      <c r="D397" s="968">
        <v>199.834</v>
      </c>
      <c r="E397" s="967">
        <v>0</v>
      </c>
      <c r="F397" s="967">
        <v>39155</v>
      </c>
      <c r="G397" s="1538">
        <v>4484.3194416557162</v>
      </c>
      <c r="H397" s="975">
        <v>4628.9801956039937</v>
      </c>
      <c r="J397" s="125">
        <v>4484.3190000000004</v>
      </c>
    </row>
    <row r="398" spans="1:10" ht="20.25">
      <c r="A398" t="s">
        <v>170</v>
      </c>
      <c r="B398" s="967">
        <v>268401426</v>
      </c>
      <c r="C398" s="968">
        <v>788.20900000000006</v>
      </c>
      <c r="D398" s="968">
        <v>788.20900000000006</v>
      </c>
      <c r="E398" s="967">
        <v>0</v>
      </c>
      <c r="F398" s="967">
        <v>62510</v>
      </c>
      <c r="G398" s="1538">
        <v>4768.2452827227598</v>
      </c>
      <c r="H398" s="975">
        <v>4911.6553266289602</v>
      </c>
      <c r="J398" s="125">
        <v>4768.2449999999999</v>
      </c>
    </row>
    <row r="399" spans="1:10" ht="20.25">
      <c r="A399" t="s">
        <v>2867</v>
      </c>
      <c r="B399" s="967">
        <v>141433831</v>
      </c>
      <c r="C399" s="968">
        <v>636.76200000000006</v>
      </c>
      <c r="D399" s="968">
        <v>636.76200000000006</v>
      </c>
      <c r="E399" s="967">
        <v>0</v>
      </c>
      <c r="F399" s="967">
        <v>46316</v>
      </c>
      <c r="G399" s="1538">
        <v>5147.9470160618339</v>
      </c>
      <c r="H399" s="975">
        <v>5292.8846334830878</v>
      </c>
      <c r="J399" s="125">
        <v>5147.9470000000001</v>
      </c>
    </row>
    <row r="400" spans="1:10" ht="20.25">
      <c r="A400" t="s">
        <v>2674</v>
      </c>
      <c r="B400" s="967">
        <v>507382650</v>
      </c>
      <c r="C400" s="968">
        <v>381.87100000000004</v>
      </c>
      <c r="D400" s="968">
        <v>381.87100000000004</v>
      </c>
      <c r="E400" s="967">
        <v>0</v>
      </c>
      <c r="F400" s="967">
        <v>66901</v>
      </c>
      <c r="G400" s="1538">
        <v>7186.0405616060052</v>
      </c>
      <c r="H400" s="975">
        <v>7328.8948771426531</v>
      </c>
      <c r="J400" s="125">
        <v>7186.0410000000002</v>
      </c>
    </row>
    <row r="401" spans="1:10" ht="20.25">
      <c r="A401" t="s">
        <v>1281</v>
      </c>
      <c r="B401" s="967">
        <v>237370054</v>
      </c>
      <c r="C401" s="968">
        <v>106.69500000000001</v>
      </c>
      <c r="D401" s="968">
        <v>106.69500000000001</v>
      </c>
      <c r="E401" s="967">
        <v>0</v>
      </c>
      <c r="F401" s="967">
        <v>25987</v>
      </c>
      <c r="G401" s="1538">
        <v>6997.852947133887</v>
      </c>
      <c r="H401" s="975">
        <v>7141.1839902054344</v>
      </c>
      <c r="J401" s="125">
        <v>6997.8530000000001</v>
      </c>
    </row>
    <row r="402" spans="1:10" ht="20.25">
      <c r="A402" t="s">
        <v>1282</v>
      </c>
      <c r="B402" s="967">
        <v>434769528</v>
      </c>
      <c r="C402" s="968">
        <v>758.38800000000003</v>
      </c>
      <c r="D402" s="968">
        <v>758.38800000000003</v>
      </c>
      <c r="E402" s="967">
        <v>0</v>
      </c>
      <c r="F402" s="967">
        <v>49564</v>
      </c>
      <c r="G402" s="1538">
        <v>5754.689513919292</v>
      </c>
      <c r="H402" s="975">
        <v>5898.2429047743308</v>
      </c>
      <c r="J402" s="125">
        <v>5754.69</v>
      </c>
    </row>
    <row r="403" spans="1:10" ht="20.25">
      <c r="A403" t="s">
        <v>2416</v>
      </c>
      <c r="B403" s="967">
        <v>125342099</v>
      </c>
      <c r="C403" s="968">
        <v>175.232</v>
      </c>
      <c r="D403" s="968">
        <v>175.232</v>
      </c>
      <c r="E403" s="967">
        <v>0</v>
      </c>
      <c r="F403" s="967">
        <v>28743</v>
      </c>
      <c r="G403" s="1538">
        <v>5509.1978683213028</v>
      </c>
      <c r="H403" s="975">
        <v>5653.3699363407832</v>
      </c>
      <c r="J403" s="125">
        <v>5509.1980000000003</v>
      </c>
    </row>
    <row r="404" spans="1:10" ht="20.25">
      <c r="A404" t="s">
        <v>2417</v>
      </c>
      <c r="B404" s="967">
        <v>229532598</v>
      </c>
      <c r="C404" s="968">
        <v>515.88900000000001</v>
      </c>
      <c r="D404" s="968">
        <v>515.88900000000001</v>
      </c>
      <c r="E404" s="967">
        <v>0</v>
      </c>
      <c r="F404" s="967">
        <v>23976</v>
      </c>
      <c r="G404" s="1538">
        <v>4950.7953294670324</v>
      </c>
      <c r="H404" s="975">
        <v>5094.6327655929326</v>
      </c>
      <c r="J404" s="125">
        <v>4950.7950000000001</v>
      </c>
    </row>
    <row r="405" spans="1:10" ht="20.25">
      <c r="A405" t="s">
        <v>1158</v>
      </c>
      <c r="B405" s="967">
        <v>340487920</v>
      </c>
      <c r="C405" s="968">
        <v>1266.71</v>
      </c>
      <c r="D405" s="968">
        <v>1266.71</v>
      </c>
      <c r="E405" s="967">
        <v>0</v>
      </c>
      <c r="F405" s="967">
        <v>158081</v>
      </c>
      <c r="G405" s="1538">
        <v>4717.4706579843642</v>
      </c>
      <c r="H405" s="975">
        <v>4860.9749180599829</v>
      </c>
      <c r="J405" s="125">
        <v>4717.4709999999995</v>
      </c>
    </row>
    <row r="406" spans="1:10" ht="20.25">
      <c r="A406" t="s">
        <v>1312</v>
      </c>
      <c r="B406" s="967">
        <v>674876774</v>
      </c>
      <c r="C406" s="968">
        <v>2703.9059999999999</v>
      </c>
      <c r="D406" s="968">
        <v>2703.9059999999999</v>
      </c>
      <c r="E406" s="967">
        <v>0</v>
      </c>
      <c r="F406" s="967">
        <v>247768</v>
      </c>
      <c r="G406" s="1538">
        <v>4929.7337295857342</v>
      </c>
      <c r="H406" s="975">
        <v>5073.5868777958485</v>
      </c>
      <c r="J406" s="125">
        <v>4929.7340000000004</v>
      </c>
    </row>
    <row r="407" spans="1:10" ht="20.25">
      <c r="A407" t="s">
        <v>416</v>
      </c>
      <c r="B407" s="967">
        <v>1068010865</v>
      </c>
      <c r="C407" s="968">
        <v>1885.8590000000002</v>
      </c>
      <c r="D407" s="968">
        <v>1885.8590000000002</v>
      </c>
      <c r="E407" s="967">
        <v>0</v>
      </c>
      <c r="F407" s="967">
        <v>301176</v>
      </c>
      <c r="G407" s="1538">
        <v>5634.0452974587406</v>
      </c>
      <c r="H407" s="975">
        <v>5779.5186761618052</v>
      </c>
      <c r="J407" s="125">
        <v>5634.0450000000001</v>
      </c>
    </row>
    <row r="408" spans="1:10" ht="20.25">
      <c r="A408" t="s">
        <v>2608</v>
      </c>
      <c r="B408" s="967">
        <v>776675025</v>
      </c>
      <c r="C408" s="968">
        <v>3684.2470000000003</v>
      </c>
      <c r="D408" s="968">
        <v>3684.2470000000003</v>
      </c>
      <c r="E408" s="967">
        <v>0</v>
      </c>
      <c r="F408" s="967">
        <v>348242</v>
      </c>
      <c r="G408" s="1538">
        <v>5017.1235294689195</v>
      </c>
      <c r="H408" s="975">
        <v>5160.9203965113184</v>
      </c>
      <c r="J408" s="125">
        <v>5017.1239999999998</v>
      </c>
    </row>
    <row r="409" spans="1:10" ht="20.25">
      <c r="A409" t="s">
        <v>1346</v>
      </c>
      <c r="B409" s="967">
        <v>144311996</v>
      </c>
      <c r="C409" s="968">
        <v>549.27499999999998</v>
      </c>
      <c r="D409" s="968">
        <v>549.27499999999998</v>
      </c>
      <c r="E409" s="967">
        <v>0</v>
      </c>
      <c r="F409" s="967">
        <v>109769</v>
      </c>
      <c r="G409" s="1538">
        <v>4864.2000244621959</v>
      </c>
      <c r="H409" s="975">
        <v>5243.0740791424851</v>
      </c>
      <c r="J409" s="125">
        <v>4864.1989999999996</v>
      </c>
    </row>
    <row r="410" spans="1:10" ht="20.25">
      <c r="A410" t="s">
        <v>639</v>
      </c>
      <c r="B410" s="967">
        <v>12849254353</v>
      </c>
      <c r="C410" s="968">
        <v>57310.495999999999</v>
      </c>
      <c r="D410" s="968">
        <v>57310.495999999999</v>
      </c>
      <c r="E410" s="967">
        <v>88403</v>
      </c>
      <c r="F410" s="967">
        <v>5309164</v>
      </c>
      <c r="G410" s="1538">
        <v>5139.2721079686944</v>
      </c>
      <c r="H410" s="975">
        <v>5377.8943333291863</v>
      </c>
      <c r="J410" s="125">
        <v>5139.2719999999999</v>
      </c>
    </row>
    <row r="411" spans="1:10" ht="20.25">
      <c r="A411" t="s">
        <v>222</v>
      </c>
      <c r="B411" s="967">
        <v>11905461913</v>
      </c>
      <c r="C411" s="968">
        <v>41645.212</v>
      </c>
      <c r="D411" s="968">
        <v>41645.212</v>
      </c>
      <c r="E411" s="967">
        <v>0</v>
      </c>
      <c r="F411" s="967">
        <v>2499408</v>
      </c>
      <c r="G411" s="1538">
        <v>4903.0432285607458</v>
      </c>
      <c r="H411" s="975">
        <v>5046.441277907471</v>
      </c>
      <c r="J411" s="125">
        <v>4903.027</v>
      </c>
    </row>
    <row r="412" spans="1:10" ht="20.25">
      <c r="A412" t="s">
        <v>2641</v>
      </c>
      <c r="B412" s="967">
        <v>2546089000</v>
      </c>
      <c r="C412" s="968">
        <v>8093.683</v>
      </c>
      <c r="D412" s="968">
        <v>8093.683</v>
      </c>
      <c r="E412" s="967">
        <v>0</v>
      </c>
      <c r="F412" s="967">
        <v>424705</v>
      </c>
      <c r="G412" s="1538">
        <v>4886.1537354205238</v>
      </c>
      <c r="H412" s="975">
        <v>5030.0164330966891</v>
      </c>
      <c r="J412" s="125">
        <v>4886.576</v>
      </c>
    </row>
    <row r="413" spans="1:10" ht="20.25">
      <c r="A413" t="s">
        <v>2758</v>
      </c>
      <c r="B413" s="967">
        <v>1206293791</v>
      </c>
      <c r="C413" s="968">
        <v>4677.9980000000005</v>
      </c>
      <c r="D413" s="968">
        <v>4677.9980000000005</v>
      </c>
      <c r="E413" s="967">
        <v>0</v>
      </c>
      <c r="F413" s="967">
        <v>779944</v>
      </c>
      <c r="G413" s="1538">
        <v>5170.4359202306869</v>
      </c>
      <c r="H413" s="975">
        <v>5314.1825709626473</v>
      </c>
      <c r="J413" s="125">
        <v>5170.4359999999997</v>
      </c>
    </row>
    <row r="414" spans="1:10" ht="20.25">
      <c r="A414" t="s">
        <v>2642</v>
      </c>
      <c r="B414" s="967">
        <v>33995665889</v>
      </c>
      <c r="C414" s="968">
        <v>97380.122000000003</v>
      </c>
      <c r="D414" s="968">
        <v>97380.122000000003</v>
      </c>
      <c r="E414" s="967">
        <v>837231</v>
      </c>
      <c r="F414" s="967">
        <v>6843429</v>
      </c>
      <c r="G414" s="1538">
        <v>4773.6014854214864</v>
      </c>
      <c r="H414" s="975">
        <v>4945.5209940072737</v>
      </c>
      <c r="J414" s="125">
        <v>4773.5690000000004</v>
      </c>
    </row>
    <row r="415" spans="1:10" ht="20.25">
      <c r="A415" t="s">
        <v>2481</v>
      </c>
      <c r="B415" s="967">
        <v>8327782982</v>
      </c>
      <c r="C415" s="968">
        <v>11663.763000000001</v>
      </c>
      <c r="D415" s="968">
        <v>11663.763000000001</v>
      </c>
      <c r="E415" s="967">
        <v>0</v>
      </c>
      <c r="F415" s="967">
        <v>638254</v>
      </c>
      <c r="G415" s="1538">
        <v>5870.2859760778483</v>
      </c>
      <c r="H415" s="975">
        <v>6001.8504796525485</v>
      </c>
      <c r="J415" s="125">
        <v>5857.48</v>
      </c>
    </row>
    <row r="416" spans="1:10" ht="20.25">
      <c r="A416" t="s">
        <v>1588</v>
      </c>
      <c r="B416" s="967">
        <v>1620572943</v>
      </c>
      <c r="C416" s="968">
        <v>6738.13</v>
      </c>
      <c r="D416" s="968">
        <v>6738.13</v>
      </c>
      <c r="E416" s="967">
        <v>0</v>
      </c>
      <c r="F416" s="967">
        <v>317517</v>
      </c>
      <c r="G416" s="1538">
        <v>4889.5853442467514</v>
      </c>
      <c r="H416" s="975">
        <v>5034.5798718286123</v>
      </c>
      <c r="J416" s="125">
        <v>4889.585</v>
      </c>
    </row>
    <row r="417" spans="1:10" ht="20.25">
      <c r="A417" t="s">
        <v>1608</v>
      </c>
      <c r="B417" s="967">
        <v>5669758234</v>
      </c>
      <c r="C417" s="968">
        <v>19830.136999999999</v>
      </c>
      <c r="D417" s="968">
        <v>19830.136999999999</v>
      </c>
      <c r="E417" s="967">
        <v>0</v>
      </c>
      <c r="F417" s="967">
        <v>1031153</v>
      </c>
      <c r="G417" s="1538">
        <v>5045.7113612530302</v>
      </c>
      <c r="H417" s="975">
        <v>5230.3631121271783</v>
      </c>
      <c r="J417" s="125">
        <v>5045.7110000000002</v>
      </c>
    </row>
    <row r="418" spans="1:10" ht="20.25">
      <c r="A418" t="s">
        <v>2300</v>
      </c>
      <c r="B418" s="967">
        <v>9521025486</v>
      </c>
      <c r="C418" s="968">
        <v>19313.615000000002</v>
      </c>
      <c r="D418" s="968">
        <v>19313.615000000002</v>
      </c>
      <c r="E418" s="967">
        <v>97390</v>
      </c>
      <c r="F418" s="967">
        <v>2041414</v>
      </c>
      <c r="G418" s="1538">
        <v>5742.9461066306749</v>
      </c>
      <c r="H418" s="975">
        <v>5810.9260667105564</v>
      </c>
      <c r="J418" s="125">
        <v>5742.9459999999999</v>
      </c>
    </row>
    <row r="419" spans="1:10" ht="20.25">
      <c r="A419" t="s">
        <v>2921</v>
      </c>
      <c r="B419" s="967">
        <v>108165053309</v>
      </c>
      <c r="C419" s="968">
        <v>181125.989</v>
      </c>
      <c r="D419" s="968">
        <v>181125.989</v>
      </c>
      <c r="E419" s="967">
        <v>207404</v>
      </c>
      <c r="F419" s="967">
        <v>14933952</v>
      </c>
      <c r="G419" s="1538">
        <v>5279.2247200719912</v>
      </c>
      <c r="H419" s="975">
        <v>5422.9573315751277</v>
      </c>
      <c r="J419" s="125">
        <v>5279.2250000000004</v>
      </c>
    </row>
    <row r="420" spans="1:10" ht="20.25">
      <c r="A420" t="s">
        <v>1278</v>
      </c>
      <c r="B420" s="967">
        <v>9665717100</v>
      </c>
      <c r="C420" s="968">
        <v>32301.791000000001</v>
      </c>
      <c r="D420" s="968">
        <v>32301.791000000001</v>
      </c>
      <c r="E420" s="967">
        <v>332764</v>
      </c>
      <c r="F420" s="967">
        <v>2059283</v>
      </c>
      <c r="G420" s="1538">
        <v>5030.9513211795365</v>
      </c>
      <c r="H420" s="975">
        <v>5186.4044237680382</v>
      </c>
      <c r="J420" s="125">
        <v>5030.951</v>
      </c>
    </row>
    <row r="421" spans="1:10" ht="20.25">
      <c r="A421" t="s">
        <v>55</v>
      </c>
      <c r="B421" s="967">
        <v>18303933466</v>
      </c>
      <c r="C421" s="968">
        <v>55508.014000000003</v>
      </c>
      <c r="D421" s="968">
        <v>55508.014000000003</v>
      </c>
      <c r="E421" s="967">
        <v>340274</v>
      </c>
      <c r="F421" s="967">
        <v>2477048</v>
      </c>
      <c r="G421" s="1538">
        <v>5467.3537335402434</v>
      </c>
      <c r="H421" s="975">
        <v>5609.9177340211427</v>
      </c>
      <c r="J421" s="125">
        <v>5467.3540000000003</v>
      </c>
    </row>
    <row r="422" spans="1:10" ht="20.25">
      <c r="A422" t="s">
        <v>62</v>
      </c>
      <c r="B422" s="967">
        <v>12781769208</v>
      </c>
      <c r="C422" s="968">
        <v>42080.305</v>
      </c>
      <c r="D422" s="968">
        <v>42080.305</v>
      </c>
      <c r="E422" s="967">
        <v>148887</v>
      </c>
      <c r="F422" s="967">
        <v>2112324</v>
      </c>
      <c r="G422" s="1538">
        <v>5019.9472556387964</v>
      </c>
      <c r="H422" s="975">
        <v>5162.9734495566126</v>
      </c>
      <c r="J422" s="125">
        <v>5019.9470000000001</v>
      </c>
    </row>
    <row r="423" spans="1:10" ht="20.25">
      <c r="A423" t="s">
        <v>2922</v>
      </c>
      <c r="B423" s="967">
        <v>6149994519</v>
      </c>
      <c r="C423" s="968">
        <v>7269.8460000000005</v>
      </c>
      <c r="D423" s="968">
        <v>7269.8460000000005</v>
      </c>
      <c r="E423" s="967">
        <v>42422</v>
      </c>
      <c r="F423" s="967">
        <v>564929</v>
      </c>
      <c r="G423" s="1538">
        <v>5525.4411858518961</v>
      </c>
      <c r="H423" s="975">
        <v>5669.7929439201589</v>
      </c>
      <c r="J423" s="125">
        <v>5525.4409999999998</v>
      </c>
    </row>
    <row r="424" spans="1:10" ht="20.25">
      <c r="A424" t="s">
        <v>234</v>
      </c>
      <c r="B424" s="967">
        <v>10666149213</v>
      </c>
      <c r="C424" s="968">
        <v>48191.038</v>
      </c>
      <c r="D424" s="968">
        <v>48191.038</v>
      </c>
      <c r="E424" s="967">
        <v>330906</v>
      </c>
      <c r="F424" s="967">
        <v>1669526</v>
      </c>
      <c r="G424" s="1538">
        <v>4922.6748634414944</v>
      </c>
      <c r="H424" s="975">
        <v>5065.80929656648</v>
      </c>
      <c r="J424" s="125">
        <v>4922.5690000000004</v>
      </c>
    </row>
    <row r="425" spans="1:10" ht="20.25">
      <c r="A425" t="s">
        <v>743</v>
      </c>
      <c r="B425" s="967">
        <v>8173565482</v>
      </c>
      <c r="C425" s="968">
        <v>32633.771000000001</v>
      </c>
      <c r="D425" s="968">
        <v>32633.771000000001</v>
      </c>
      <c r="E425" s="967">
        <v>459212</v>
      </c>
      <c r="F425" s="967">
        <v>2356717</v>
      </c>
      <c r="G425" s="1538">
        <v>5029.6542803435295</v>
      </c>
      <c r="H425" s="975">
        <v>5180.0383014178715</v>
      </c>
      <c r="J425" s="125">
        <v>5029.6080000000002</v>
      </c>
    </row>
    <row r="426" spans="1:10" ht="20.25">
      <c r="A426" t="s">
        <v>918</v>
      </c>
      <c r="B426" s="967">
        <v>18345691727</v>
      </c>
      <c r="C426" s="968">
        <v>29846.440000000002</v>
      </c>
      <c r="D426" s="968">
        <v>29846.440000000002</v>
      </c>
      <c r="E426" s="967">
        <v>0</v>
      </c>
      <c r="F426" s="967">
        <v>1283112</v>
      </c>
      <c r="G426" s="1538">
        <v>5477.7806592175957</v>
      </c>
      <c r="H426" s="975">
        <v>5623.2113254961114</v>
      </c>
      <c r="J426" s="125">
        <v>5477.7370000000001</v>
      </c>
    </row>
    <row r="427" spans="1:10" ht="20.25">
      <c r="A427" t="s">
        <v>2221</v>
      </c>
      <c r="B427" s="967">
        <v>4795836906</v>
      </c>
      <c r="C427" s="968">
        <v>9645.9699999999993</v>
      </c>
      <c r="D427" s="968">
        <v>9645.9699999999993</v>
      </c>
      <c r="E427" s="967">
        <v>81668</v>
      </c>
      <c r="F427" s="967">
        <v>964345</v>
      </c>
      <c r="G427" s="1538">
        <v>6024.9512243417194</v>
      </c>
      <c r="H427" s="975">
        <v>6167.3681602643528</v>
      </c>
      <c r="J427" s="125">
        <v>6024.951</v>
      </c>
    </row>
    <row r="428" spans="1:10" ht="20.25">
      <c r="A428" t="s">
        <v>2222</v>
      </c>
      <c r="B428" s="967">
        <v>3771168509</v>
      </c>
      <c r="C428" s="968">
        <v>6007.9810000000007</v>
      </c>
      <c r="D428" s="968">
        <v>6007.9810000000007</v>
      </c>
      <c r="E428" s="967">
        <v>287674</v>
      </c>
      <c r="F428" s="967">
        <v>624717</v>
      </c>
      <c r="G428" s="1538">
        <v>6461.224444671695</v>
      </c>
      <c r="H428" s="975">
        <v>6603.5709329326728</v>
      </c>
      <c r="J428" s="125">
        <v>6461.2240000000002</v>
      </c>
    </row>
    <row r="429" spans="1:10" ht="20.25">
      <c r="A429" t="s">
        <v>979</v>
      </c>
      <c r="B429" s="967">
        <v>793984916</v>
      </c>
      <c r="C429" s="968">
        <v>2927.12</v>
      </c>
      <c r="D429" s="968">
        <v>2927.12</v>
      </c>
      <c r="E429" s="967">
        <v>0</v>
      </c>
      <c r="F429" s="967">
        <v>324063</v>
      </c>
      <c r="G429" s="1538">
        <v>5019.760311394115</v>
      </c>
      <c r="H429" s="975">
        <v>5162.8683446249997</v>
      </c>
      <c r="J429" s="125">
        <v>5019.76</v>
      </c>
    </row>
    <row r="430" spans="1:10" ht="20.25">
      <c r="A430" t="s">
        <v>2223</v>
      </c>
      <c r="B430" s="967">
        <v>196435561</v>
      </c>
      <c r="C430" s="968">
        <v>170.76900000000001</v>
      </c>
      <c r="D430" s="968">
        <v>170.76900000000001</v>
      </c>
      <c r="E430" s="967">
        <v>0</v>
      </c>
      <c r="F430" s="967">
        <v>42775</v>
      </c>
      <c r="G430" s="1538">
        <v>5709.2363578251197</v>
      </c>
      <c r="H430" s="975">
        <v>5856.8391364324834</v>
      </c>
      <c r="J430" s="125">
        <v>5709.2359999999999</v>
      </c>
    </row>
    <row r="431" spans="1:10" ht="20.25">
      <c r="A431" t="s">
        <v>1692</v>
      </c>
      <c r="B431" s="967">
        <v>2558803459</v>
      </c>
      <c r="C431" s="968">
        <v>5361.3580000000002</v>
      </c>
      <c r="D431" s="968">
        <v>5361.3580000000002</v>
      </c>
      <c r="E431" s="967">
        <v>0</v>
      </c>
      <c r="F431" s="967">
        <v>685751</v>
      </c>
      <c r="G431" s="1538">
        <v>4922.9684778069904</v>
      </c>
      <c r="H431" s="975">
        <v>5066.7389458061634</v>
      </c>
      <c r="J431" s="125">
        <v>4922.9679999999998</v>
      </c>
    </row>
    <row r="432" spans="1:10" ht="20.25">
      <c r="A432" t="s">
        <v>1693</v>
      </c>
      <c r="B432" s="967">
        <v>443839456</v>
      </c>
      <c r="C432" s="968">
        <v>739.53899999999999</v>
      </c>
      <c r="D432" s="968">
        <v>739.53899999999999</v>
      </c>
      <c r="E432" s="967">
        <v>0</v>
      </c>
      <c r="F432" s="967">
        <v>54081</v>
      </c>
      <c r="G432" s="1538">
        <v>5314.550339955761</v>
      </c>
      <c r="H432" s="975">
        <v>5457.166796875651</v>
      </c>
      <c r="J432" s="125">
        <v>5314.55</v>
      </c>
    </row>
    <row r="433" spans="1:10" ht="20.25">
      <c r="A433" t="s">
        <v>1694</v>
      </c>
      <c r="B433" s="967">
        <v>2846377270</v>
      </c>
      <c r="C433" s="968">
        <v>4038.1190000000001</v>
      </c>
      <c r="D433" s="968">
        <v>4038.1190000000001</v>
      </c>
      <c r="E433" s="967">
        <v>0</v>
      </c>
      <c r="F433" s="967">
        <v>512376</v>
      </c>
      <c r="G433" s="1538">
        <v>6013.3998528894435</v>
      </c>
      <c r="H433" s="975">
        <v>6149.1161259137361</v>
      </c>
      <c r="J433" s="125">
        <v>6013.6360000000004</v>
      </c>
    </row>
    <row r="434" spans="1:10" ht="20.25">
      <c r="A434" t="s">
        <v>1765</v>
      </c>
      <c r="B434" s="967">
        <v>159421797</v>
      </c>
      <c r="C434" s="968">
        <v>696.56200000000001</v>
      </c>
      <c r="D434" s="968">
        <v>696.56200000000001</v>
      </c>
      <c r="E434" s="967">
        <v>0</v>
      </c>
      <c r="F434" s="967">
        <v>77484</v>
      </c>
      <c r="G434" s="1538">
        <v>4806.1283446640291</v>
      </c>
      <c r="H434" s="975">
        <v>4948.5665641731748</v>
      </c>
      <c r="J434" s="125">
        <v>4806.1279999999997</v>
      </c>
    </row>
    <row r="435" spans="1:10" ht="20.25">
      <c r="A435" t="s">
        <v>1766</v>
      </c>
      <c r="B435" s="967">
        <v>584181573</v>
      </c>
      <c r="C435" s="968">
        <v>939.42500000000007</v>
      </c>
      <c r="D435" s="968">
        <v>939.42500000000007</v>
      </c>
      <c r="E435" s="967">
        <v>0</v>
      </c>
      <c r="F435" s="967">
        <v>155632</v>
      </c>
      <c r="G435" s="1538">
        <v>5593.3052436785838</v>
      </c>
      <c r="H435" s="975">
        <v>5736.7738992725408</v>
      </c>
      <c r="J435" s="125">
        <v>5593.3059999999996</v>
      </c>
    </row>
    <row r="436" spans="1:10" ht="20.25">
      <c r="A436" t="s">
        <v>539</v>
      </c>
      <c r="B436" s="967">
        <v>137714471</v>
      </c>
      <c r="C436" s="968">
        <v>143.017</v>
      </c>
      <c r="D436" s="968">
        <v>143.017</v>
      </c>
      <c r="E436" s="967">
        <v>0</v>
      </c>
      <c r="F436" s="967">
        <v>44521</v>
      </c>
      <c r="G436" s="1538">
        <v>5665.6226235576405</v>
      </c>
      <c r="H436" s="975">
        <v>5808.1953435390215</v>
      </c>
      <c r="J436" s="125">
        <v>5665.6229999999996</v>
      </c>
    </row>
    <row r="437" spans="1:10" ht="20.25">
      <c r="A437" t="s">
        <v>506</v>
      </c>
      <c r="B437" s="967">
        <v>114260284</v>
      </c>
      <c r="C437" s="968">
        <v>191.15900000000002</v>
      </c>
      <c r="D437" s="968">
        <v>191.15900000000002</v>
      </c>
      <c r="E437" s="967">
        <v>0</v>
      </c>
      <c r="F437" s="967">
        <v>26238</v>
      </c>
      <c r="G437" s="1538">
        <v>5088.4986001268098</v>
      </c>
      <c r="H437" s="975">
        <v>5233.2494807051971</v>
      </c>
      <c r="J437" s="125">
        <v>5088.4979999999996</v>
      </c>
    </row>
    <row r="438" spans="1:10" ht="20.25">
      <c r="A438" t="s">
        <v>507</v>
      </c>
      <c r="B438" s="967">
        <v>134158688</v>
      </c>
      <c r="C438" s="968">
        <v>581.80500000000006</v>
      </c>
      <c r="D438" s="968">
        <v>581.80500000000006</v>
      </c>
      <c r="E438" s="967">
        <v>0</v>
      </c>
      <c r="F438" s="967">
        <v>53589</v>
      </c>
      <c r="G438" s="1538">
        <v>4739.2948522814313</v>
      </c>
      <c r="H438" s="975">
        <v>5075.4559750660264</v>
      </c>
      <c r="J438" s="125">
        <v>4739.2950000000001</v>
      </c>
    </row>
    <row r="439" spans="1:10" ht="20.25">
      <c r="A439" t="s">
        <v>508</v>
      </c>
      <c r="B439" s="967">
        <v>32985244</v>
      </c>
      <c r="C439" s="968">
        <v>141.19300000000001</v>
      </c>
      <c r="D439" s="968">
        <v>141.19300000000001</v>
      </c>
      <c r="E439" s="967">
        <v>0</v>
      </c>
      <c r="F439" s="967">
        <v>20796</v>
      </c>
      <c r="G439" s="1538">
        <v>4719.4206092433687</v>
      </c>
      <c r="H439" s="975">
        <v>4946.9080140026254</v>
      </c>
      <c r="J439" s="125">
        <v>4719.4210000000003</v>
      </c>
    </row>
    <row r="440" spans="1:10" ht="20.25">
      <c r="A440" t="s">
        <v>509</v>
      </c>
      <c r="B440" s="967">
        <v>40167381</v>
      </c>
      <c r="C440" s="968">
        <v>143.58000000000001</v>
      </c>
      <c r="D440" s="968">
        <v>143.58000000000001</v>
      </c>
      <c r="E440" s="967">
        <v>0</v>
      </c>
      <c r="F440" s="967">
        <v>32478</v>
      </c>
      <c r="G440" s="1538">
        <v>4808.77031561693</v>
      </c>
      <c r="H440" s="975">
        <v>4951.9113350748921</v>
      </c>
      <c r="J440" s="125">
        <v>4808.7700000000004</v>
      </c>
    </row>
    <row r="441" spans="1:10" ht="20.25">
      <c r="A441" t="s">
        <v>1304</v>
      </c>
      <c r="B441" s="967">
        <v>3154931824</v>
      </c>
      <c r="C441" s="968">
        <v>6714.4890000000005</v>
      </c>
      <c r="D441" s="968">
        <v>6714.4890000000005</v>
      </c>
      <c r="E441" s="967">
        <v>0</v>
      </c>
      <c r="F441" s="967">
        <v>975034</v>
      </c>
      <c r="G441" s="1538">
        <v>5636.6492074309763</v>
      </c>
      <c r="H441" s="975">
        <v>5779.9978997877388</v>
      </c>
      <c r="J441" s="125">
        <v>5636.6490000000003</v>
      </c>
    </row>
    <row r="442" spans="1:10" ht="20.25">
      <c r="A442" t="s">
        <v>1678</v>
      </c>
      <c r="B442" s="967">
        <v>2375149317</v>
      </c>
      <c r="C442" s="968">
        <v>4090.4780000000001</v>
      </c>
      <c r="D442" s="968">
        <v>4090.4780000000001</v>
      </c>
      <c r="E442" s="967">
        <v>0</v>
      </c>
      <c r="F442" s="967">
        <v>602688</v>
      </c>
      <c r="G442" s="1538">
        <v>5909.9957234049507</v>
      </c>
      <c r="H442" s="975">
        <v>6052.1942346195247</v>
      </c>
      <c r="J442" s="125">
        <v>5909.9960000000001</v>
      </c>
    </row>
    <row r="443" spans="1:10" ht="20.25">
      <c r="A443" t="s">
        <v>1467</v>
      </c>
      <c r="B443" s="967">
        <v>1329711803</v>
      </c>
      <c r="C443" s="968">
        <v>1907.7840000000001</v>
      </c>
      <c r="D443" s="968">
        <v>1907.7840000000001</v>
      </c>
      <c r="E443" s="967">
        <v>126724</v>
      </c>
      <c r="F443" s="967">
        <v>124412</v>
      </c>
      <c r="G443" s="1538">
        <v>5933.6620125861182</v>
      </c>
      <c r="H443" s="975">
        <v>6067.1144369320937</v>
      </c>
      <c r="J443" s="125">
        <v>5933.6620000000003</v>
      </c>
    </row>
    <row r="444" spans="1:10" ht="20.25">
      <c r="A444" t="s">
        <v>2129</v>
      </c>
      <c r="B444" s="967">
        <v>3417963954</v>
      </c>
      <c r="C444" s="968">
        <v>13697.424999999999</v>
      </c>
      <c r="D444" s="968">
        <v>13697.424999999999</v>
      </c>
      <c r="E444" s="967">
        <v>138983</v>
      </c>
      <c r="F444" s="967">
        <v>1947460</v>
      </c>
      <c r="G444" s="1538">
        <v>5654.9937634901835</v>
      </c>
      <c r="H444" s="975">
        <v>5797.1639133335011</v>
      </c>
      <c r="J444" s="125">
        <v>5654.8819999999996</v>
      </c>
    </row>
    <row r="445" spans="1:10" ht="20.25">
      <c r="A445" t="s">
        <v>1918</v>
      </c>
      <c r="B445" s="967">
        <v>1549105971</v>
      </c>
      <c r="C445" s="968">
        <v>739.93799999999999</v>
      </c>
      <c r="D445" s="968">
        <v>739.93799999999999</v>
      </c>
      <c r="E445" s="967">
        <v>0</v>
      </c>
      <c r="F445" s="967">
        <v>55937</v>
      </c>
      <c r="G445" s="1538">
        <v>6448.8923341428008</v>
      </c>
      <c r="H445" s="975">
        <v>144.42201610171642</v>
      </c>
      <c r="J445" s="125">
        <v>6446.9179999999997</v>
      </c>
    </row>
    <row r="446" spans="1:10" ht="20.25">
      <c r="A446" t="s">
        <v>1919</v>
      </c>
      <c r="B446" s="967">
        <v>1042590310</v>
      </c>
      <c r="C446" s="968">
        <v>3169.7470000000003</v>
      </c>
      <c r="D446" s="968">
        <v>3169.7470000000003</v>
      </c>
      <c r="E446" s="967">
        <v>0</v>
      </c>
      <c r="F446" s="967">
        <v>335668</v>
      </c>
      <c r="G446" s="1538">
        <v>4854.6562839956678</v>
      </c>
      <c r="H446" s="975">
        <v>4998.1967339311341</v>
      </c>
      <c r="J446" s="125">
        <v>4854.6559999999999</v>
      </c>
    </row>
    <row r="447" spans="1:10" ht="20.25">
      <c r="A447" t="s">
        <v>2912</v>
      </c>
      <c r="B447" s="967">
        <v>614859705</v>
      </c>
      <c r="C447" s="968">
        <v>2665.0129999999999</v>
      </c>
      <c r="D447" s="968">
        <v>2665.0129999999999</v>
      </c>
      <c r="E447" s="967">
        <v>0</v>
      </c>
      <c r="F447" s="967">
        <v>334527</v>
      </c>
      <c r="G447" s="1538">
        <v>4899.9892705041093</v>
      </c>
      <c r="H447" s="975">
        <v>5042.9903242490082</v>
      </c>
      <c r="J447" s="125">
        <v>4899.9889999999996</v>
      </c>
    </row>
    <row r="448" spans="1:10" ht="20.25">
      <c r="A448" t="s">
        <v>2879</v>
      </c>
      <c r="B448" s="967">
        <v>289275601</v>
      </c>
      <c r="C448" s="968">
        <v>562.39499999999998</v>
      </c>
      <c r="D448" s="968">
        <v>562.39499999999998</v>
      </c>
      <c r="E448" s="967">
        <v>0</v>
      </c>
      <c r="F448" s="967">
        <v>68180</v>
      </c>
      <c r="G448" s="1538">
        <v>4934.6637023132726</v>
      </c>
      <c r="H448" s="975">
        <v>5078.1411571559347</v>
      </c>
      <c r="J448" s="125">
        <v>4934.6639999999998</v>
      </c>
    </row>
    <row r="449" spans="1:10" ht="20.25">
      <c r="A449" t="s">
        <v>2284</v>
      </c>
      <c r="B449" s="967">
        <v>474725845</v>
      </c>
      <c r="C449" s="968">
        <v>1376.7530000000002</v>
      </c>
      <c r="D449" s="968">
        <v>1376.7530000000002</v>
      </c>
      <c r="E449" s="967">
        <v>0</v>
      </c>
      <c r="F449" s="967">
        <v>147504</v>
      </c>
      <c r="G449" s="1538">
        <v>4624.4187154418069</v>
      </c>
      <c r="H449" s="975">
        <v>4768.5118053631086</v>
      </c>
      <c r="J449" s="125">
        <v>4624.0429999999997</v>
      </c>
    </row>
    <row r="450" spans="1:10" ht="20.25">
      <c r="A450" t="s">
        <v>71</v>
      </c>
      <c r="B450" s="967">
        <v>898112800</v>
      </c>
      <c r="C450" s="968">
        <v>1121.308</v>
      </c>
      <c r="D450" s="968">
        <v>1121.308</v>
      </c>
      <c r="E450" s="967">
        <v>0</v>
      </c>
      <c r="F450" s="967">
        <v>140440</v>
      </c>
      <c r="G450" s="1538">
        <v>5641.9957547059785</v>
      </c>
      <c r="H450" s="975">
        <v>5785.381318434258</v>
      </c>
      <c r="J450" s="125">
        <v>5641.9960000000001</v>
      </c>
    </row>
    <row r="451" spans="1:10" ht="20.25">
      <c r="A451" t="s">
        <v>1711</v>
      </c>
      <c r="B451" s="967">
        <v>39469127</v>
      </c>
      <c r="C451" s="968">
        <v>178.78900000000002</v>
      </c>
      <c r="D451" s="968">
        <v>178.78900000000002</v>
      </c>
      <c r="E451" s="967">
        <v>0</v>
      </c>
      <c r="F451" s="967">
        <v>1511</v>
      </c>
      <c r="G451" s="1538">
        <v>4921.9998540808201</v>
      </c>
      <c r="H451" s="975">
        <v>5067.4260995867735</v>
      </c>
      <c r="J451" s="125">
        <v>4922</v>
      </c>
    </row>
    <row r="452" spans="1:10" ht="20.25">
      <c r="A452" t="s">
        <v>980</v>
      </c>
      <c r="B452" s="967">
        <v>42099443</v>
      </c>
      <c r="C452" s="968">
        <v>139.97</v>
      </c>
      <c r="D452" s="968">
        <v>139.97</v>
      </c>
      <c r="E452" s="967">
        <v>0</v>
      </c>
      <c r="F452" s="967">
        <v>6484</v>
      </c>
      <c r="G452" s="1538">
        <v>4786.2022929157665</v>
      </c>
      <c r="H452" s="975">
        <v>4928.0845468035568</v>
      </c>
      <c r="J452" s="125">
        <v>4786.2020000000002</v>
      </c>
    </row>
    <row r="453" spans="1:10" ht="20.25">
      <c r="A453" t="s">
        <v>72</v>
      </c>
      <c r="B453" s="967">
        <v>446686377</v>
      </c>
      <c r="C453" s="968">
        <v>441.161</v>
      </c>
      <c r="D453" s="968">
        <v>441.161</v>
      </c>
      <c r="E453" s="967">
        <v>0</v>
      </c>
      <c r="F453" s="967">
        <v>73006</v>
      </c>
      <c r="G453" s="1538">
        <v>5814.3297777171801</v>
      </c>
      <c r="H453" s="975">
        <v>5957.7731279494255</v>
      </c>
      <c r="J453" s="125">
        <v>5814.33</v>
      </c>
    </row>
    <row r="454" spans="1:10" ht="20.25">
      <c r="A454" t="s">
        <v>2437</v>
      </c>
      <c r="B454" s="967">
        <v>946830777</v>
      </c>
      <c r="C454" s="968">
        <v>13761.874</v>
      </c>
      <c r="D454" s="968">
        <v>13761.874</v>
      </c>
      <c r="E454" s="967">
        <v>0</v>
      </c>
      <c r="F454" s="967">
        <v>882715</v>
      </c>
      <c r="G454" s="1538">
        <v>4825.5671603794181</v>
      </c>
      <c r="H454" s="975">
        <v>5061.1143028836177</v>
      </c>
      <c r="J454" s="125">
        <v>4825.567</v>
      </c>
    </row>
    <row r="455" spans="1:10" ht="20.25">
      <c r="A455" t="s">
        <v>873</v>
      </c>
      <c r="B455" s="967">
        <v>212821179</v>
      </c>
      <c r="C455" s="968">
        <v>5074.8370000000004</v>
      </c>
      <c r="D455" s="968">
        <v>5074.8370000000004</v>
      </c>
      <c r="E455" s="967">
        <v>0</v>
      </c>
      <c r="F455" s="967">
        <v>309434</v>
      </c>
      <c r="G455" s="1538">
        <v>4775.2341893837838</v>
      </c>
      <c r="H455" s="975">
        <v>5017.035326095237</v>
      </c>
      <c r="J455" s="125">
        <v>4775.1890000000003</v>
      </c>
    </row>
    <row r="456" spans="1:10" ht="20.25">
      <c r="A456" t="s">
        <v>875</v>
      </c>
      <c r="B456" s="967">
        <v>5602538907</v>
      </c>
      <c r="C456" s="968">
        <v>29752.895</v>
      </c>
      <c r="D456" s="968">
        <v>29752.895</v>
      </c>
      <c r="E456" s="967">
        <v>0</v>
      </c>
      <c r="F456" s="967">
        <v>2417778</v>
      </c>
      <c r="G456" s="1538">
        <v>4982.9739907014027</v>
      </c>
      <c r="H456" s="975">
        <v>5126.1535190793738</v>
      </c>
      <c r="J456" s="125">
        <v>4983.1419999999998</v>
      </c>
    </row>
    <row r="457" spans="1:10" ht="20.25">
      <c r="A457" t="s">
        <v>2131</v>
      </c>
      <c r="B457" s="967">
        <v>413222445</v>
      </c>
      <c r="C457" s="968">
        <v>3091.7890000000002</v>
      </c>
      <c r="D457" s="968">
        <v>3091.7890000000002</v>
      </c>
      <c r="E457" s="967">
        <v>0</v>
      </c>
      <c r="F457" s="967">
        <v>230889</v>
      </c>
      <c r="G457" s="1538">
        <v>4863.9500997093037</v>
      </c>
      <c r="H457" s="975">
        <v>5007.7192821637291</v>
      </c>
      <c r="J457" s="125">
        <v>4863.95</v>
      </c>
    </row>
    <row r="458" spans="1:10" ht="20.25">
      <c r="A458" t="s">
        <v>2894</v>
      </c>
      <c r="B458" s="967">
        <v>6021573078</v>
      </c>
      <c r="C458" s="968">
        <v>23262.384999999998</v>
      </c>
      <c r="D458" s="968">
        <v>23262.384999999998</v>
      </c>
      <c r="E458" s="967">
        <v>0</v>
      </c>
      <c r="F458" s="967">
        <v>542295</v>
      </c>
      <c r="G458" s="1538">
        <v>4893.9237355864316</v>
      </c>
      <c r="H458" s="975">
        <v>5113.9930851662548</v>
      </c>
      <c r="J458" s="125">
        <v>4893.9009999999998</v>
      </c>
    </row>
    <row r="459" spans="1:10" ht="20.25">
      <c r="A459" t="s">
        <v>2897</v>
      </c>
      <c r="B459" s="967">
        <v>416327911</v>
      </c>
      <c r="C459" s="968">
        <v>5168.174</v>
      </c>
      <c r="D459" s="968">
        <v>5168.174</v>
      </c>
      <c r="E459" s="967">
        <v>55038</v>
      </c>
      <c r="F459" s="967">
        <v>321622</v>
      </c>
      <c r="G459" s="1538">
        <v>4804.5537664786989</v>
      </c>
      <c r="H459" s="975">
        <v>5170.7263798547901</v>
      </c>
      <c r="J459" s="125">
        <v>4804.5379999999996</v>
      </c>
    </row>
    <row r="460" spans="1:10" ht="20.25">
      <c r="A460" t="s">
        <v>2903</v>
      </c>
      <c r="B460" s="967">
        <v>1551230689</v>
      </c>
      <c r="C460" s="968">
        <v>14284.996000000001</v>
      </c>
      <c r="D460" s="968">
        <v>14284.996000000001</v>
      </c>
      <c r="E460" s="967">
        <v>5728</v>
      </c>
      <c r="F460" s="967">
        <v>614392</v>
      </c>
      <c r="G460" s="1538">
        <v>4868.5008939736863</v>
      </c>
      <c r="H460" s="975">
        <v>5015.5383245710109</v>
      </c>
      <c r="J460" s="125">
        <v>4868.491</v>
      </c>
    </row>
    <row r="461" spans="1:10" ht="20.25">
      <c r="A461" t="s">
        <v>239</v>
      </c>
      <c r="B461" s="967">
        <v>3370132558</v>
      </c>
      <c r="C461" s="968">
        <v>28434.337</v>
      </c>
      <c r="D461" s="968">
        <v>28434.337</v>
      </c>
      <c r="E461" s="967">
        <v>0</v>
      </c>
      <c r="F461" s="967">
        <v>850402</v>
      </c>
      <c r="G461" s="1538">
        <v>4874.098776898607</v>
      </c>
      <c r="H461" s="975">
        <v>5142.7513614470499</v>
      </c>
      <c r="J461" s="125">
        <v>4874.0990000000002</v>
      </c>
    </row>
    <row r="462" spans="1:10" ht="20.25">
      <c r="A462" t="s">
        <v>1218</v>
      </c>
      <c r="B462" s="967">
        <v>126578866</v>
      </c>
      <c r="C462" s="968">
        <v>2069.1999999999998</v>
      </c>
      <c r="D462" s="968">
        <v>2069.1999999999998</v>
      </c>
      <c r="E462" s="967">
        <v>82369</v>
      </c>
      <c r="F462" s="967">
        <v>0</v>
      </c>
      <c r="G462" s="1538">
        <v>4795.9555100959324</v>
      </c>
      <c r="H462" s="975">
        <v>5080.1988056846703</v>
      </c>
      <c r="J462" s="125">
        <v>4795.9560000000001</v>
      </c>
    </row>
    <row r="463" spans="1:10" ht="20.25">
      <c r="A463" t="s">
        <v>1759</v>
      </c>
      <c r="B463" s="967">
        <v>2242981501</v>
      </c>
      <c r="C463" s="968">
        <v>9004.41</v>
      </c>
      <c r="D463" s="968">
        <v>9004.41</v>
      </c>
      <c r="E463" s="967">
        <v>12563</v>
      </c>
      <c r="F463" s="967">
        <v>514335</v>
      </c>
      <c r="G463" s="1538">
        <v>5170.3841444017271</v>
      </c>
      <c r="H463" s="975">
        <v>5317.7008128225916</v>
      </c>
      <c r="J463" s="125">
        <v>5170.384</v>
      </c>
    </row>
    <row r="464" spans="1:10" ht="20.25">
      <c r="A464" t="s">
        <v>65</v>
      </c>
      <c r="B464" s="967">
        <v>1931485295</v>
      </c>
      <c r="C464" s="968">
        <v>25149.338</v>
      </c>
      <c r="D464" s="968">
        <v>25149.338</v>
      </c>
      <c r="E464" s="967">
        <v>768140</v>
      </c>
      <c r="F464" s="967">
        <v>2405668</v>
      </c>
      <c r="G464" s="1538">
        <v>4938.1979129477158</v>
      </c>
      <c r="H464" s="975">
        <v>5275.2224010949385</v>
      </c>
      <c r="J464" s="125">
        <v>4938.1660000000002</v>
      </c>
    </row>
    <row r="465" spans="1:10" ht="20.25">
      <c r="A465" t="s">
        <v>821</v>
      </c>
      <c r="B465" s="967">
        <v>1767425690</v>
      </c>
      <c r="C465" s="968">
        <v>16095.08</v>
      </c>
      <c r="D465" s="968">
        <v>16095.08</v>
      </c>
      <c r="E465" s="967">
        <v>0</v>
      </c>
      <c r="F465" s="967">
        <v>749424</v>
      </c>
      <c r="G465" s="1538">
        <v>4739.5126735885297</v>
      </c>
      <c r="H465" s="975">
        <v>4788.8152684903753</v>
      </c>
      <c r="J465" s="125">
        <v>4739.5129999999999</v>
      </c>
    </row>
    <row r="466" spans="1:10" ht="20.25">
      <c r="A466" t="s">
        <v>67</v>
      </c>
      <c r="B466" s="967">
        <v>72361429</v>
      </c>
      <c r="C466" s="968">
        <v>545.69100000000003</v>
      </c>
      <c r="D466" s="968">
        <v>545.69100000000003</v>
      </c>
      <c r="E466" s="967">
        <v>0</v>
      </c>
      <c r="F466" s="967">
        <v>29581</v>
      </c>
      <c r="G466" s="1538">
        <v>4823.8030984918914</v>
      </c>
      <c r="H466" s="975">
        <v>5136.4499283206469</v>
      </c>
      <c r="J466" s="125">
        <v>4823.8029999999999</v>
      </c>
    </row>
    <row r="467" spans="1:10" ht="20.25">
      <c r="A467" t="s">
        <v>554</v>
      </c>
      <c r="B467" s="967">
        <v>49416157</v>
      </c>
      <c r="C467" s="968">
        <v>754.94</v>
      </c>
      <c r="D467" s="968">
        <v>754.94</v>
      </c>
      <c r="E467" s="967">
        <v>0</v>
      </c>
      <c r="F467" s="967">
        <v>0</v>
      </c>
      <c r="G467" s="1538">
        <v>4729.9029603621602</v>
      </c>
      <c r="H467" s="975">
        <v>4818.4829862536653</v>
      </c>
      <c r="J467" s="125">
        <v>4729.9030000000002</v>
      </c>
    </row>
    <row r="468" spans="1:10" ht="20.25">
      <c r="A468" t="s">
        <v>1715</v>
      </c>
      <c r="B468" s="967">
        <v>389445270</v>
      </c>
      <c r="C468" s="968">
        <v>4299.24</v>
      </c>
      <c r="D468" s="968">
        <v>4299.24</v>
      </c>
      <c r="E468" s="967">
        <v>0</v>
      </c>
      <c r="F468" s="967">
        <v>265732</v>
      </c>
      <c r="G468" s="1538">
        <v>4875.7625827347629</v>
      </c>
      <c r="H468" s="975">
        <v>5018.7996404229434</v>
      </c>
      <c r="J468" s="125">
        <v>4875.7629999999999</v>
      </c>
    </row>
    <row r="469" spans="1:10" ht="20.25">
      <c r="A469" t="s">
        <v>172</v>
      </c>
      <c r="B469" s="967">
        <v>45797955</v>
      </c>
      <c r="C469" s="968">
        <v>280.24600000000004</v>
      </c>
      <c r="D469" s="968">
        <v>280.24600000000004</v>
      </c>
      <c r="E469" s="967">
        <v>0</v>
      </c>
      <c r="F469" s="967">
        <v>24078</v>
      </c>
      <c r="G469" s="1538">
        <v>4776.2658702499539</v>
      </c>
      <c r="H469" s="975">
        <v>5004.4509240409452</v>
      </c>
      <c r="J469" s="125">
        <v>4776.2659999999996</v>
      </c>
    </row>
    <row r="470" spans="1:10" ht="20.25">
      <c r="A470" t="s">
        <v>2869</v>
      </c>
      <c r="B470" s="967">
        <v>43853662</v>
      </c>
      <c r="C470" s="968">
        <v>226.05100000000002</v>
      </c>
      <c r="D470" s="968">
        <v>226.05100000000002</v>
      </c>
      <c r="E470" s="967">
        <v>0</v>
      </c>
      <c r="F470" s="967">
        <v>21614</v>
      </c>
      <c r="G470" s="1538">
        <v>4735.5602520157026</v>
      </c>
      <c r="H470" s="975">
        <v>5109.5905408364351</v>
      </c>
      <c r="J470" s="125">
        <v>4735.5600000000004</v>
      </c>
    </row>
    <row r="471" spans="1:10" ht="20.25">
      <c r="A471" t="s">
        <v>2756</v>
      </c>
      <c r="B471" s="967">
        <v>76074173</v>
      </c>
      <c r="C471" s="968">
        <v>261.58500000000004</v>
      </c>
      <c r="D471" s="968">
        <v>261.58500000000004</v>
      </c>
      <c r="E471" s="967">
        <v>0</v>
      </c>
      <c r="F471" s="967">
        <v>78416</v>
      </c>
      <c r="G471" s="1538">
        <v>4898.6204948065551</v>
      </c>
      <c r="H471" s="975">
        <v>5273.8410729209027</v>
      </c>
      <c r="J471" s="125">
        <v>4898.62</v>
      </c>
    </row>
    <row r="472" spans="1:10" ht="20.25">
      <c r="A472" t="s">
        <v>2133</v>
      </c>
      <c r="B472" s="967">
        <v>488039401</v>
      </c>
      <c r="C472" s="968">
        <v>1707.77</v>
      </c>
      <c r="D472" s="968">
        <v>1707.77</v>
      </c>
      <c r="E472" s="967">
        <v>0</v>
      </c>
      <c r="F472" s="967">
        <v>115077</v>
      </c>
      <c r="G472" s="1538">
        <v>4768.1268435230904</v>
      </c>
      <c r="H472" s="975">
        <v>5141.1602064032995</v>
      </c>
      <c r="J472" s="125">
        <v>4768.1270000000004</v>
      </c>
    </row>
    <row r="473" spans="1:10" ht="20.25">
      <c r="A473" t="s">
        <v>555</v>
      </c>
      <c r="B473" s="967">
        <v>69109938</v>
      </c>
      <c r="C473" s="968">
        <v>372.03200000000004</v>
      </c>
      <c r="D473" s="968">
        <v>372.03200000000004</v>
      </c>
      <c r="E473" s="967">
        <v>0</v>
      </c>
      <c r="F473" s="967">
        <v>45790</v>
      </c>
      <c r="G473" s="1538">
        <v>5844.5669767412564</v>
      </c>
      <c r="H473" s="975">
        <v>5989.4304871865133</v>
      </c>
      <c r="J473" s="125">
        <v>5844.567</v>
      </c>
    </row>
    <row r="474" spans="1:10" ht="20.25">
      <c r="A474" t="s">
        <v>49</v>
      </c>
      <c r="B474" s="967">
        <v>171445272</v>
      </c>
      <c r="C474" s="968">
        <v>686.35500000000002</v>
      </c>
      <c r="D474" s="968">
        <v>686.35500000000002</v>
      </c>
      <c r="E474" s="967">
        <v>0</v>
      </c>
      <c r="F474" s="967">
        <v>48734</v>
      </c>
      <c r="G474" s="1538">
        <v>4766.1834430594472</v>
      </c>
      <c r="H474" s="975">
        <v>5138.4581699130613</v>
      </c>
      <c r="J474" s="125">
        <v>4766.183</v>
      </c>
    </row>
    <row r="475" spans="1:10" ht="20.25">
      <c r="A475" t="s">
        <v>173</v>
      </c>
      <c r="B475" s="967">
        <v>33802002</v>
      </c>
      <c r="C475" s="968">
        <v>79.75800000000001</v>
      </c>
      <c r="D475" s="968">
        <v>79.75800000000001</v>
      </c>
      <c r="E475" s="967">
        <v>0</v>
      </c>
      <c r="F475" s="967">
        <v>13505</v>
      </c>
      <c r="G475" s="1538">
        <v>4888.6336333171748</v>
      </c>
      <c r="H475" s="975">
        <v>5030.980788959625</v>
      </c>
      <c r="J475" s="125">
        <v>4888.634</v>
      </c>
    </row>
    <row r="476" spans="1:10" ht="20.25">
      <c r="A476" t="s">
        <v>567</v>
      </c>
      <c r="B476" s="967">
        <v>21654582</v>
      </c>
      <c r="C476" s="968">
        <v>138.1</v>
      </c>
      <c r="D476" s="968">
        <v>138.1</v>
      </c>
      <c r="E476" s="967">
        <v>0</v>
      </c>
      <c r="F476" s="967">
        <v>16758</v>
      </c>
      <c r="G476" s="1538">
        <v>4810.2690230691087</v>
      </c>
      <c r="H476" s="975">
        <v>4952.0480054618956</v>
      </c>
      <c r="J476" s="125">
        <v>4810.2690000000002</v>
      </c>
    </row>
    <row r="477" spans="1:10" ht="20.25">
      <c r="A477" t="s">
        <v>1760</v>
      </c>
      <c r="B477" s="967">
        <v>512862184</v>
      </c>
      <c r="C477" s="968">
        <v>1455.922</v>
      </c>
      <c r="D477" s="968">
        <v>1455.922</v>
      </c>
      <c r="E477" s="967">
        <v>0</v>
      </c>
      <c r="F477" s="967">
        <v>141188</v>
      </c>
      <c r="G477" s="1538">
        <v>4898.5091426850468</v>
      </c>
      <c r="H477" s="975">
        <v>5075.0661094825746</v>
      </c>
      <c r="J477" s="125">
        <v>4898.509</v>
      </c>
    </row>
    <row r="478" spans="1:10" ht="20.25">
      <c r="A478" t="s">
        <v>568</v>
      </c>
      <c r="B478" s="967">
        <v>48927115</v>
      </c>
      <c r="C478" s="968">
        <v>229.03900000000002</v>
      </c>
      <c r="D478" s="968">
        <v>229.03900000000002</v>
      </c>
      <c r="E478" s="967">
        <v>0</v>
      </c>
      <c r="F478" s="967">
        <v>29285</v>
      </c>
      <c r="G478" s="1538">
        <v>4890.9093330846999</v>
      </c>
      <c r="H478" s="975">
        <v>5068.3067022871892</v>
      </c>
      <c r="J478" s="125">
        <v>4890.91</v>
      </c>
    </row>
    <row r="479" spans="1:10" ht="20.25">
      <c r="A479" t="s">
        <v>1733</v>
      </c>
      <c r="B479" s="967">
        <v>117704849</v>
      </c>
      <c r="C479" s="968">
        <v>336.548</v>
      </c>
      <c r="D479" s="968">
        <v>336.548</v>
      </c>
      <c r="E479" s="967">
        <v>0</v>
      </c>
      <c r="F479" s="967">
        <v>51412</v>
      </c>
      <c r="G479" s="1538">
        <v>5050.4840745963693</v>
      </c>
      <c r="H479" s="975">
        <v>5424.0087195759752</v>
      </c>
      <c r="J479" s="125">
        <v>5050.4840000000004</v>
      </c>
    </row>
    <row r="480" spans="1:10" ht="20.25">
      <c r="A480" t="s">
        <v>569</v>
      </c>
      <c r="B480" s="967">
        <v>19843064</v>
      </c>
      <c r="C480" s="968">
        <v>182.858</v>
      </c>
      <c r="D480" s="968">
        <v>182.858</v>
      </c>
      <c r="E480" s="967">
        <v>0</v>
      </c>
      <c r="F480" s="967">
        <v>37123</v>
      </c>
      <c r="G480" s="1538">
        <v>4825.2469754456297</v>
      </c>
      <c r="H480" s="975">
        <v>5001.7321773558806</v>
      </c>
      <c r="J480" s="125">
        <v>4825.2470000000003</v>
      </c>
    </row>
    <row r="481" spans="1:10" ht="20.25">
      <c r="A481" t="s">
        <v>1761</v>
      </c>
      <c r="B481" s="967">
        <v>136877272</v>
      </c>
      <c r="C481" s="968">
        <v>263.87700000000001</v>
      </c>
      <c r="D481" s="968">
        <v>263.87700000000001</v>
      </c>
      <c r="E481" s="967">
        <v>0</v>
      </c>
      <c r="F481" s="967">
        <v>25888</v>
      </c>
      <c r="G481" s="1538">
        <v>4398.3389961597559</v>
      </c>
      <c r="H481" s="975">
        <v>4543.7413822686112</v>
      </c>
      <c r="J481" s="125">
        <v>4398.34</v>
      </c>
    </row>
    <row r="482" spans="1:10" ht="20.25">
      <c r="A482" t="s">
        <v>1762</v>
      </c>
      <c r="B482" s="967">
        <v>1641214013</v>
      </c>
      <c r="C482" s="968">
        <v>2637.7860000000001</v>
      </c>
      <c r="D482" s="968">
        <v>2637.7860000000001</v>
      </c>
      <c r="E482" s="967">
        <v>0</v>
      </c>
      <c r="F482" s="967">
        <v>239006</v>
      </c>
      <c r="G482" s="1538">
        <v>5696.4149972999412</v>
      </c>
      <c r="H482" s="975">
        <v>5838.8659235956702</v>
      </c>
      <c r="J482" s="125">
        <v>5696.415</v>
      </c>
    </row>
    <row r="483" spans="1:10" ht="20.25">
      <c r="A483" t="s">
        <v>1410</v>
      </c>
      <c r="B483" s="967">
        <v>73817405</v>
      </c>
      <c r="C483" s="968">
        <v>305.87400000000002</v>
      </c>
      <c r="D483" s="968">
        <v>305.87400000000002</v>
      </c>
      <c r="E483" s="967">
        <v>0</v>
      </c>
      <c r="F483" s="967">
        <v>26108</v>
      </c>
      <c r="G483" s="1538">
        <v>5022.9050880137647</v>
      </c>
      <c r="H483" s="975">
        <v>5179.8395982662178</v>
      </c>
      <c r="J483" s="125">
        <v>5022.9049999999997</v>
      </c>
    </row>
    <row r="484" spans="1:10" ht="20.25">
      <c r="A484" t="s">
        <v>2104</v>
      </c>
      <c r="B484" s="967">
        <v>106859620</v>
      </c>
      <c r="C484" s="968">
        <v>350.649</v>
      </c>
      <c r="D484" s="968">
        <v>350.649</v>
      </c>
      <c r="E484" s="967">
        <v>0</v>
      </c>
      <c r="F484" s="967">
        <v>33543</v>
      </c>
      <c r="G484" s="1538">
        <v>4944.1999024029965</v>
      </c>
      <c r="H484" s="975">
        <v>5086.5927588832737</v>
      </c>
      <c r="J484" s="125">
        <v>4944.2</v>
      </c>
    </row>
    <row r="485" spans="1:10" ht="20.25">
      <c r="A485" t="s">
        <v>1411</v>
      </c>
      <c r="B485" s="967">
        <v>1671192345</v>
      </c>
      <c r="C485" s="968">
        <v>592.19000000000005</v>
      </c>
      <c r="D485" s="968">
        <v>592.19000000000005</v>
      </c>
      <c r="E485" s="967">
        <v>0</v>
      </c>
      <c r="F485" s="967">
        <v>29943</v>
      </c>
      <c r="G485" s="1538">
        <v>12400.281299913446</v>
      </c>
      <c r="H485" s="975">
        <v>12542.864726869599</v>
      </c>
      <c r="J485" s="125">
        <v>12400.281000000001</v>
      </c>
    </row>
    <row r="486" spans="1:10" ht="20.25">
      <c r="A486" t="s">
        <v>1412</v>
      </c>
      <c r="B486" s="967">
        <v>84340139</v>
      </c>
      <c r="C486" s="968">
        <v>175.09800000000001</v>
      </c>
      <c r="D486" s="968">
        <v>175.09800000000001</v>
      </c>
      <c r="E486" s="967">
        <v>0</v>
      </c>
      <c r="F486" s="967">
        <v>6619</v>
      </c>
      <c r="G486" s="1538">
        <v>5659.2324956471848</v>
      </c>
      <c r="H486" s="975">
        <v>5802.2507553376636</v>
      </c>
      <c r="J486" s="125">
        <v>5659.232</v>
      </c>
    </row>
    <row r="487" spans="1:10" ht="20.25">
      <c r="A487" t="s">
        <v>1413</v>
      </c>
      <c r="B487" s="967">
        <v>4044459076</v>
      </c>
      <c r="C487" s="968">
        <v>6219.6970000000001</v>
      </c>
      <c r="D487" s="968">
        <v>6219.6970000000001</v>
      </c>
      <c r="E487" s="967">
        <v>0</v>
      </c>
      <c r="F487" s="967">
        <v>804305</v>
      </c>
      <c r="G487" s="1538">
        <v>6047.8731845482571</v>
      </c>
      <c r="H487" s="975">
        <v>6200.1808339835516</v>
      </c>
      <c r="J487" s="125">
        <v>6047.8729999999996</v>
      </c>
    </row>
    <row r="488" spans="1:10" ht="20.25">
      <c r="A488" t="s">
        <v>1991</v>
      </c>
      <c r="B488" s="967">
        <v>118699937</v>
      </c>
      <c r="C488" s="968">
        <v>269.58100000000002</v>
      </c>
      <c r="D488" s="968">
        <v>269.58100000000002</v>
      </c>
      <c r="E488" s="967">
        <v>0</v>
      </c>
      <c r="F488" s="967">
        <v>49065</v>
      </c>
      <c r="G488" s="1538">
        <v>5060.6551017269358</v>
      </c>
      <c r="H488" s="975">
        <v>5435.7168752380558</v>
      </c>
      <c r="J488" s="125">
        <v>5060.6549999999997</v>
      </c>
    </row>
    <row r="489" spans="1:10" ht="20.25">
      <c r="A489" t="s">
        <v>1709</v>
      </c>
      <c r="B489" s="967">
        <v>199443381</v>
      </c>
      <c r="C489" s="968">
        <v>564.72199999999998</v>
      </c>
      <c r="D489" s="968">
        <v>564.72199999999998</v>
      </c>
      <c r="E489" s="967">
        <v>0</v>
      </c>
      <c r="F489" s="967">
        <v>63307</v>
      </c>
      <c r="G489" s="1538">
        <v>5272.6654437572934</v>
      </c>
      <c r="H489" s="975">
        <v>5485.6831968787592</v>
      </c>
      <c r="J489" s="125">
        <v>5272.665</v>
      </c>
    </row>
    <row r="490" spans="1:10" ht="20.25">
      <c r="A490" t="s">
        <v>208</v>
      </c>
      <c r="B490" s="967">
        <v>1084250600</v>
      </c>
      <c r="C490" s="968">
        <v>3801.86</v>
      </c>
      <c r="D490" s="968">
        <v>3801.86</v>
      </c>
      <c r="E490" s="967">
        <v>0</v>
      </c>
      <c r="F490" s="967">
        <v>330385</v>
      </c>
      <c r="G490" s="1538">
        <v>4906.3734111802141</v>
      </c>
      <c r="H490" s="975">
        <v>5050.4213747622243</v>
      </c>
      <c r="J490" s="125">
        <v>4906.3729999999996</v>
      </c>
    </row>
    <row r="491" spans="1:10" ht="20.25">
      <c r="A491" t="s">
        <v>1687</v>
      </c>
      <c r="B491" s="967">
        <v>62483892</v>
      </c>
      <c r="C491" s="968">
        <v>413.71800000000002</v>
      </c>
      <c r="D491" s="968">
        <v>413.71800000000002</v>
      </c>
      <c r="E491" s="967">
        <v>0</v>
      </c>
      <c r="F491" s="967">
        <v>33102</v>
      </c>
      <c r="G491" s="1538">
        <v>4815.4658032809239</v>
      </c>
      <c r="H491" s="975">
        <v>4958.0350824274628</v>
      </c>
      <c r="J491" s="125">
        <v>4815.4660000000003</v>
      </c>
    </row>
    <row r="492" spans="1:10" ht="20.25">
      <c r="A492" t="s">
        <v>209</v>
      </c>
      <c r="B492" s="967">
        <v>84988096</v>
      </c>
      <c r="C492" s="968">
        <v>409.13200000000001</v>
      </c>
      <c r="D492" s="968">
        <v>409.13200000000001</v>
      </c>
      <c r="E492" s="967">
        <v>0</v>
      </c>
      <c r="F492" s="967">
        <v>40519</v>
      </c>
      <c r="G492" s="1538">
        <v>4673.9911174857916</v>
      </c>
      <c r="H492" s="975">
        <v>4817.4191563006416</v>
      </c>
      <c r="J492" s="125">
        <v>4673.991</v>
      </c>
    </row>
    <row r="493" spans="1:10" ht="20.25">
      <c r="A493" t="s">
        <v>2217</v>
      </c>
      <c r="B493" s="967">
        <v>46192136</v>
      </c>
      <c r="C493" s="968">
        <v>239.29</v>
      </c>
      <c r="D493" s="968">
        <v>239.29</v>
      </c>
      <c r="E493" s="967">
        <v>0</v>
      </c>
      <c r="F493" s="967">
        <v>26057</v>
      </c>
      <c r="G493" s="1538">
        <v>4436.6027151676381</v>
      </c>
      <c r="H493" s="975">
        <v>4588.06866084376</v>
      </c>
      <c r="J493" s="125">
        <v>4436.6030000000001</v>
      </c>
    </row>
    <row r="494" spans="1:10" ht="20.25">
      <c r="A494" t="s">
        <v>210</v>
      </c>
      <c r="B494" s="967">
        <v>133657404</v>
      </c>
      <c r="C494" s="968">
        <v>751.21199999999999</v>
      </c>
      <c r="D494" s="968">
        <v>751.21199999999999</v>
      </c>
      <c r="E494" s="967">
        <v>0</v>
      </c>
      <c r="F494" s="967">
        <v>82709</v>
      </c>
      <c r="G494" s="1538">
        <v>4467.5238446109133</v>
      </c>
      <c r="H494" s="975">
        <v>4611.3704551815799</v>
      </c>
      <c r="J494" s="125">
        <v>4467.5240000000003</v>
      </c>
    </row>
    <row r="495" spans="1:10" ht="20.25">
      <c r="A495" t="s">
        <v>211</v>
      </c>
      <c r="B495" s="967">
        <v>38965975</v>
      </c>
      <c r="C495" s="968">
        <v>240.75800000000001</v>
      </c>
      <c r="D495" s="968">
        <v>240.75800000000001</v>
      </c>
      <c r="E495" s="967">
        <v>0</v>
      </c>
      <c r="F495" s="967">
        <v>63694</v>
      </c>
      <c r="G495" s="1538">
        <v>4742.9683644936677</v>
      </c>
      <c r="H495" s="975">
        <v>4885.7985989772124</v>
      </c>
      <c r="J495" s="125">
        <v>4742.9679999999998</v>
      </c>
    </row>
    <row r="496" spans="1:10" ht="20.25">
      <c r="A496" t="s">
        <v>1688</v>
      </c>
      <c r="B496" s="967">
        <v>55949855</v>
      </c>
      <c r="C496" s="968">
        <v>218.798</v>
      </c>
      <c r="D496" s="968">
        <v>218.798</v>
      </c>
      <c r="E496" s="967">
        <v>0</v>
      </c>
      <c r="F496" s="967">
        <v>35678</v>
      </c>
      <c r="G496" s="1538">
        <v>4542.3038125740823</v>
      </c>
      <c r="H496" s="975">
        <v>4686.5820523517641</v>
      </c>
      <c r="J496" s="125">
        <v>4542.3040000000001</v>
      </c>
    </row>
    <row r="497" spans="1:10" ht="20.25">
      <c r="A497" t="s">
        <v>1601</v>
      </c>
      <c r="B497" s="967">
        <v>390058803</v>
      </c>
      <c r="C497" s="968">
        <v>1308.4950000000001</v>
      </c>
      <c r="D497" s="968">
        <v>1308.4950000000001</v>
      </c>
      <c r="E497" s="967">
        <v>0</v>
      </c>
      <c r="F497" s="967">
        <v>152345</v>
      </c>
      <c r="G497" s="1538">
        <v>4813.4549953119304</v>
      </c>
      <c r="H497" s="975">
        <v>4967.076031720444</v>
      </c>
      <c r="J497" s="125">
        <v>4813.4549999999999</v>
      </c>
    </row>
    <row r="498" spans="1:10" ht="20.25">
      <c r="A498" t="s">
        <v>1432</v>
      </c>
      <c r="B498" s="967">
        <v>271501554</v>
      </c>
      <c r="C498" s="968">
        <v>482.18700000000001</v>
      </c>
      <c r="D498" s="968">
        <v>482.18700000000001</v>
      </c>
      <c r="E498" s="967">
        <v>0</v>
      </c>
      <c r="F498" s="967">
        <v>57790</v>
      </c>
      <c r="G498" s="1538">
        <v>5261.6825284118022</v>
      </c>
      <c r="H498" s="975">
        <v>5404.7868036578484</v>
      </c>
      <c r="J498" s="125">
        <v>5261.683</v>
      </c>
    </row>
    <row r="499" spans="1:10" ht="20.25">
      <c r="A499" t="s">
        <v>1104</v>
      </c>
      <c r="B499" s="967">
        <v>227848376</v>
      </c>
      <c r="C499" s="968">
        <v>505.72200000000004</v>
      </c>
      <c r="D499" s="968">
        <v>505.72200000000004</v>
      </c>
      <c r="E499" s="967">
        <v>0</v>
      </c>
      <c r="F499" s="967">
        <v>106138</v>
      </c>
      <c r="G499" s="1538">
        <v>5014.1165659899525</v>
      </c>
      <c r="H499" s="975">
        <v>5157.7797033080778</v>
      </c>
      <c r="J499" s="125">
        <v>5014.1170000000002</v>
      </c>
    </row>
    <row r="500" spans="1:10" ht="20.25">
      <c r="A500" t="s">
        <v>1105</v>
      </c>
      <c r="B500" s="967">
        <v>136081920</v>
      </c>
      <c r="C500" s="968">
        <v>410.17500000000001</v>
      </c>
      <c r="D500" s="968">
        <v>410.17500000000001</v>
      </c>
      <c r="E500" s="967">
        <v>0</v>
      </c>
      <c r="F500" s="967">
        <v>45073</v>
      </c>
      <c r="G500" s="1538">
        <v>4960.2842715876004</v>
      </c>
      <c r="H500" s="975">
        <v>5107.9189381012065</v>
      </c>
      <c r="J500" s="125">
        <v>4960.2830000000004</v>
      </c>
    </row>
    <row r="501" spans="1:10" ht="20.25">
      <c r="A501" t="s">
        <v>1011</v>
      </c>
      <c r="B501" s="967">
        <v>195146987</v>
      </c>
      <c r="C501" s="968">
        <v>307.90500000000003</v>
      </c>
      <c r="D501" s="968">
        <v>307.90500000000003</v>
      </c>
      <c r="E501" s="967">
        <v>0</v>
      </c>
      <c r="F501" s="967">
        <v>62125</v>
      </c>
      <c r="G501" s="1538">
        <v>5602.813791452475</v>
      </c>
      <c r="H501" s="975">
        <v>5746.6265851388653</v>
      </c>
      <c r="J501" s="125">
        <v>5602.8140000000003</v>
      </c>
    </row>
    <row r="502" spans="1:10" ht="20.25">
      <c r="A502" t="s">
        <v>2036</v>
      </c>
      <c r="B502" s="967">
        <v>1097429995</v>
      </c>
      <c r="C502" s="968">
        <v>3596.8740000000003</v>
      </c>
      <c r="D502" s="968">
        <v>3596.8740000000003</v>
      </c>
      <c r="E502" s="967">
        <v>0</v>
      </c>
      <c r="F502" s="967">
        <v>202782</v>
      </c>
      <c r="G502" s="1538">
        <v>4942.4975676141048</v>
      </c>
      <c r="H502" s="975">
        <v>5096.4072156886177</v>
      </c>
      <c r="J502" s="125">
        <v>4942.4979999999996</v>
      </c>
    </row>
    <row r="503" spans="1:10" ht="20.25">
      <c r="A503" t="s">
        <v>3076</v>
      </c>
      <c r="B503" s="967">
        <v>408835143</v>
      </c>
      <c r="C503" s="968">
        <v>753.61200000000008</v>
      </c>
      <c r="D503" s="968">
        <v>753.61200000000008</v>
      </c>
      <c r="E503" s="967">
        <v>0</v>
      </c>
      <c r="F503" s="967">
        <v>103908</v>
      </c>
      <c r="G503" s="1538">
        <v>5091.5260322304184</v>
      </c>
      <c r="H503" s="975">
        <v>5235.8244291900282</v>
      </c>
      <c r="J503" s="125">
        <v>5091.5259999999998</v>
      </c>
    </row>
    <row r="504" spans="1:10" ht="20.25">
      <c r="A504" t="s">
        <v>3077</v>
      </c>
      <c r="B504" s="967">
        <v>519171954</v>
      </c>
      <c r="C504" s="968">
        <v>652.87400000000002</v>
      </c>
      <c r="D504" s="968">
        <v>652.87400000000002</v>
      </c>
      <c r="E504" s="967">
        <v>0</v>
      </c>
      <c r="F504" s="967">
        <v>68504</v>
      </c>
      <c r="G504" s="1538">
        <v>6010.3282165135488</v>
      </c>
      <c r="H504" s="975">
        <v>6384.4581856806108</v>
      </c>
      <c r="J504" s="125">
        <v>6010.3280000000004</v>
      </c>
    </row>
    <row r="505" spans="1:10" ht="20.25">
      <c r="A505" t="s">
        <v>1507</v>
      </c>
      <c r="B505" s="967">
        <v>146895748</v>
      </c>
      <c r="C505" s="968">
        <v>494.44600000000003</v>
      </c>
      <c r="D505" s="968">
        <v>494.44600000000003</v>
      </c>
      <c r="E505" s="967">
        <v>0</v>
      </c>
      <c r="F505" s="967">
        <v>95550</v>
      </c>
      <c r="G505" s="1538">
        <v>4584.4947517494165</v>
      </c>
      <c r="H505" s="975">
        <v>4727.3687115063231</v>
      </c>
      <c r="J505" s="125">
        <v>4584.4949999999999</v>
      </c>
    </row>
    <row r="506" spans="1:10" ht="20.25">
      <c r="A506" t="s">
        <v>2492</v>
      </c>
      <c r="B506" s="967">
        <v>71219380</v>
      </c>
      <c r="C506" s="968">
        <v>159.22800000000001</v>
      </c>
      <c r="D506" s="968">
        <v>159.22800000000001</v>
      </c>
      <c r="E506" s="967">
        <v>0</v>
      </c>
      <c r="F506" s="967">
        <v>0</v>
      </c>
      <c r="G506" s="1538">
        <v>4809.3253775554804</v>
      </c>
      <c r="H506" s="975">
        <v>5098.8922273817107</v>
      </c>
      <c r="J506" s="125">
        <v>4809.3249999999998</v>
      </c>
    </row>
    <row r="507" spans="1:10" ht="20.25">
      <c r="A507" t="s">
        <v>1271</v>
      </c>
      <c r="B507" s="967">
        <v>55841243</v>
      </c>
      <c r="C507" s="968">
        <v>88.384</v>
      </c>
      <c r="D507" s="968">
        <v>88.384</v>
      </c>
      <c r="E507" s="967">
        <v>0</v>
      </c>
      <c r="F507" s="967">
        <v>36706</v>
      </c>
      <c r="G507" s="1538">
        <v>4596.4906925903178</v>
      </c>
      <c r="H507" s="975">
        <v>4914.553847327662</v>
      </c>
      <c r="J507" s="125">
        <v>4596.491</v>
      </c>
    </row>
    <row r="508" spans="1:10" ht="20.25">
      <c r="A508" t="s">
        <v>2155</v>
      </c>
      <c r="B508" s="967">
        <v>345510473</v>
      </c>
      <c r="C508" s="968">
        <v>1369.2260000000001</v>
      </c>
      <c r="D508" s="968">
        <v>1369.2260000000001</v>
      </c>
      <c r="E508" s="967">
        <v>1417</v>
      </c>
      <c r="F508" s="967">
        <v>112664</v>
      </c>
      <c r="G508" s="1538">
        <v>4966.8665049654483</v>
      </c>
      <c r="H508" s="975">
        <v>5109.976693760148</v>
      </c>
      <c r="J508" s="125">
        <v>4966.8670000000002</v>
      </c>
    </row>
    <row r="509" spans="1:10" ht="20.25">
      <c r="A509" t="s">
        <v>1272</v>
      </c>
      <c r="B509" s="967">
        <v>73602275</v>
      </c>
      <c r="C509" s="968">
        <v>474.42900000000003</v>
      </c>
      <c r="D509" s="968">
        <v>474.42900000000003</v>
      </c>
      <c r="E509" s="967">
        <v>37585</v>
      </c>
      <c r="F509" s="967">
        <v>49085</v>
      </c>
      <c r="G509" s="1538">
        <v>4862.7515712652903</v>
      </c>
      <c r="H509" s="975">
        <v>5008.6272646569723</v>
      </c>
      <c r="J509" s="125">
        <v>4862.7520000000004</v>
      </c>
    </row>
    <row r="510" spans="1:10" ht="20.25">
      <c r="A510" t="s">
        <v>1618</v>
      </c>
      <c r="B510" s="967">
        <v>473805823</v>
      </c>
      <c r="C510" s="968">
        <v>1494.4160000000002</v>
      </c>
      <c r="D510" s="968">
        <v>1494.4160000000002</v>
      </c>
      <c r="E510" s="967">
        <v>0</v>
      </c>
      <c r="F510" s="967">
        <v>0</v>
      </c>
      <c r="G510" s="1538">
        <v>4753.3830889227493</v>
      </c>
      <c r="H510" s="975">
        <v>4806.2602727955591</v>
      </c>
      <c r="J510" s="125">
        <v>4753.3829999999998</v>
      </c>
    </row>
    <row r="511" spans="1:10" ht="20.25">
      <c r="A511" t="s">
        <v>1209</v>
      </c>
      <c r="B511" s="967">
        <v>1411866377</v>
      </c>
      <c r="C511" s="968">
        <v>4482.6559999999999</v>
      </c>
      <c r="D511" s="968">
        <v>4482.6559999999999</v>
      </c>
      <c r="E511" s="967">
        <v>0</v>
      </c>
      <c r="F511" s="967">
        <v>204414</v>
      </c>
      <c r="G511" s="1538">
        <v>4852.2662561975312</v>
      </c>
      <c r="H511" s="975">
        <v>5057.1354247007594</v>
      </c>
      <c r="J511" s="125">
        <v>4851.5929999999998</v>
      </c>
    </row>
    <row r="512" spans="1:10" ht="20.25">
      <c r="A512" t="s">
        <v>2218</v>
      </c>
      <c r="B512" s="967">
        <v>226173899</v>
      </c>
      <c r="C512" s="968">
        <v>868.63400000000001</v>
      </c>
      <c r="D512" s="968">
        <v>868.63400000000001</v>
      </c>
      <c r="E512" s="967">
        <v>3084</v>
      </c>
      <c r="F512" s="967">
        <v>80085</v>
      </c>
      <c r="G512" s="1538">
        <v>5023.0217455633747</v>
      </c>
      <c r="H512" s="975">
        <v>5166.619521257483</v>
      </c>
      <c r="J512" s="125">
        <v>5023.0219999999999</v>
      </c>
    </row>
    <row r="513" spans="1:10" ht="20.25">
      <c r="A513" t="s">
        <v>1781</v>
      </c>
      <c r="B513" s="967">
        <v>652938686</v>
      </c>
      <c r="C513" s="968">
        <v>2307.5239999999999</v>
      </c>
      <c r="D513" s="968">
        <v>2307.5239999999999</v>
      </c>
      <c r="E513" s="967">
        <v>0</v>
      </c>
      <c r="F513" s="967">
        <v>302727</v>
      </c>
      <c r="G513" s="1538">
        <v>4723.4012632070226</v>
      </c>
      <c r="H513" s="975">
        <v>4866.9329641035847</v>
      </c>
      <c r="J513" s="125">
        <v>4723.4009999999998</v>
      </c>
    </row>
    <row r="514" spans="1:10" ht="20.25">
      <c r="A514" t="s">
        <v>273</v>
      </c>
      <c r="B514" s="967">
        <v>89302833</v>
      </c>
      <c r="C514" s="968">
        <v>579.24</v>
      </c>
      <c r="D514" s="968">
        <v>579.24</v>
      </c>
      <c r="E514" s="967">
        <v>0</v>
      </c>
      <c r="F514" s="967">
        <v>47153</v>
      </c>
      <c r="G514" s="1538">
        <v>4695.4394941186338</v>
      </c>
      <c r="H514" s="975">
        <v>4838.8769711339428</v>
      </c>
      <c r="J514" s="125">
        <v>4695.4390000000003</v>
      </c>
    </row>
    <row r="515" spans="1:10" ht="20.25">
      <c r="A515" t="s">
        <v>1210</v>
      </c>
      <c r="B515" s="967">
        <v>70041470</v>
      </c>
      <c r="C515" s="968">
        <v>364.22</v>
      </c>
      <c r="D515" s="968">
        <v>364.22</v>
      </c>
      <c r="E515" s="967">
        <v>0</v>
      </c>
      <c r="F515" s="967">
        <v>39900</v>
      </c>
      <c r="G515" s="1538">
        <v>4788.2946032123464</v>
      </c>
      <c r="H515" s="975">
        <v>4929.1564109040428</v>
      </c>
      <c r="J515" s="125">
        <v>4788.2950000000001</v>
      </c>
    </row>
    <row r="516" spans="1:10" ht="20.25">
      <c r="A516" t="s">
        <v>987</v>
      </c>
      <c r="B516" s="967">
        <v>112477060</v>
      </c>
      <c r="C516" s="968">
        <v>559.21500000000003</v>
      </c>
      <c r="D516" s="968">
        <v>559.21500000000003</v>
      </c>
      <c r="E516" s="967">
        <v>0</v>
      </c>
      <c r="F516" s="967">
        <v>63249</v>
      </c>
      <c r="G516" s="1538">
        <v>4747.1283175332564</v>
      </c>
      <c r="H516" s="975">
        <v>4890.2183521220531</v>
      </c>
      <c r="J516" s="125">
        <v>4747.1279999999997</v>
      </c>
    </row>
    <row r="517" spans="1:10" ht="20.25">
      <c r="A517" t="s">
        <v>2105</v>
      </c>
      <c r="B517" s="967">
        <v>16294756</v>
      </c>
      <c r="C517" s="968">
        <v>495.976</v>
      </c>
      <c r="D517" s="968">
        <v>495.976</v>
      </c>
      <c r="E517" s="967">
        <v>0</v>
      </c>
      <c r="F517" s="967">
        <v>7376</v>
      </c>
      <c r="G517" s="1538">
        <v>4676.5264794517916</v>
      </c>
      <c r="H517" s="975">
        <v>4946.4815829907893</v>
      </c>
      <c r="J517" s="125">
        <v>4676.5259999999998</v>
      </c>
    </row>
    <row r="518" spans="1:10" ht="20.25">
      <c r="A518" t="s">
        <v>1211</v>
      </c>
      <c r="B518" s="967">
        <v>525792737</v>
      </c>
      <c r="C518" s="968">
        <v>2537.665</v>
      </c>
      <c r="D518" s="968">
        <v>2537.665</v>
      </c>
      <c r="E518" s="967">
        <v>0</v>
      </c>
      <c r="F518" s="967">
        <v>112340</v>
      </c>
      <c r="G518" s="1538">
        <v>4619.8591915154047</v>
      </c>
      <c r="H518" s="975">
        <v>4928.0708214129463</v>
      </c>
      <c r="J518" s="125">
        <v>4619.8590000000004</v>
      </c>
    </row>
    <row r="519" spans="1:10" ht="20.25">
      <c r="A519" t="s">
        <v>2454</v>
      </c>
      <c r="B519" s="967">
        <v>163640239</v>
      </c>
      <c r="C519" s="968">
        <v>775.577</v>
      </c>
      <c r="D519" s="968">
        <v>775.577</v>
      </c>
      <c r="E519" s="967">
        <v>0</v>
      </c>
      <c r="F519" s="967">
        <v>59227</v>
      </c>
      <c r="G519" s="1538">
        <v>4616.3740971042471</v>
      </c>
      <c r="H519" s="975">
        <v>4760.2413378532856</v>
      </c>
      <c r="J519" s="125">
        <v>4616.3739999999998</v>
      </c>
    </row>
    <row r="520" spans="1:10" ht="20.25">
      <c r="A520" t="s">
        <v>2455</v>
      </c>
      <c r="B520" s="967">
        <v>1347671587</v>
      </c>
      <c r="C520" s="968">
        <v>556.851</v>
      </c>
      <c r="D520" s="968">
        <v>556.851</v>
      </c>
      <c r="E520" s="967">
        <v>0</v>
      </c>
      <c r="F520" s="967">
        <v>63345</v>
      </c>
      <c r="G520" s="1538">
        <v>5983.4529021922881</v>
      </c>
      <c r="H520" s="975">
        <v>6126.1096319227463</v>
      </c>
      <c r="J520" s="125">
        <v>5983.4530000000004</v>
      </c>
    </row>
    <row r="521" spans="1:10" ht="20.25">
      <c r="A521" t="s">
        <v>1428</v>
      </c>
      <c r="B521" s="967">
        <v>51437342</v>
      </c>
      <c r="C521" s="968">
        <v>95.33</v>
      </c>
      <c r="D521" s="968">
        <v>95.33</v>
      </c>
      <c r="E521" s="967">
        <v>0</v>
      </c>
      <c r="F521" s="967">
        <v>9058</v>
      </c>
      <c r="G521" s="1538">
        <v>4447.080821233084</v>
      </c>
      <c r="H521" s="975">
        <v>4588.9979820171184</v>
      </c>
      <c r="J521" s="125">
        <v>4447.0810000000001</v>
      </c>
    </row>
    <row r="522" spans="1:10" ht="20.25">
      <c r="A522" t="s">
        <v>1429</v>
      </c>
      <c r="B522" s="967">
        <v>646809572</v>
      </c>
      <c r="C522" s="968">
        <v>319.39400000000001</v>
      </c>
      <c r="D522" s="968">
        <v>319.39400000000001</v>
      </c>
      <c r="E522" s="967">
        <v>42518</v>
      </c>
      <c r="F522" s="967">
        <v>22994</v>
      </c>
      <c r="G522" s="1538">
        <v>6691.5400733813367</v>
      </c>
      <c r="H522" s="975">
        <v>6836.2373660134717</v>
      </c>
      <c r="J522" s="125">
        <v>6691.54</v>
      </c>
    </row>
    <row r="523" spans="1:10" ht="20.25">
      <c r="A523" t="s">
        <v>1039</v>
      </c>
      <c r="B523" s="967">
        <v>158452172</v>
      </c>
      <c r="C523" s="968">
        <v>212.99</v>
      </c>
      <c r="D523" s="968">
        <v>212.99</v>
      </c>
      <c r="E523" s="967">
        <v>0</v>
      </c>
      <c r="F523" s="967">
        <v>21565</v>
      </c>
      <c r="G523" s="1538">
        <v>5100.9273260985583</v>
      </c>
      <c r="H523" s="975">
        <v>5475.5554567335757</v>
      </c>
      <c r="J523" s="125">
        <v>5100.9269999999997</v>
      </c>
    </row>
    <row r="524" spans="1:10" ht="20.25">
      <c r="A524" t="s">
        <v>1040</v>
      </c>
      <c r="B524" s="967">
        <v>652109454</v>
      </c>
      <c r="C524" s="968">
        <v>882.3420000000001</v>
      </c>
      <c r="D524" s="968">
        <v>882.3420000000001</v>
      </c>
      <c r="E524" s="967">
        <v>59157</v>
      </c>
      <c r="F524" s="967">
        <v>78097</v>
      </c>
      <c r="G524" s="1538">
        <v>6578.8707587352255</v>
      </c>
      <c r="H524" s="975">
        <v>6722.805020008027</v>
      </c>
      <c r="J524" s="125">
        <v>6578.8710000000001</v>
      </c>
    </row>
    <row r="525" spans="1:10" ht="20.25">
      <c r="A525" t="s">
        <v>1041</v>
      </c>
      <c r="B525" s="967">
        <v>330163130</v>
      </c>
      <c r="C525" s="968">
        <v>362.29200000000003</v>
      </c>
      <c r="D525" s="968">
        <v>362.29200000000003</v>
      </c>
      <c r="E525" s="967">
        <v>0</v>
      </c>
      <c r="F525" s="967">
        <v>44994</v>
      </c>
      <c r="G525" s="1538">
        <v>5154.1397261796692</v>
      </c>
      <c r="H525" s="975">
        <v>5526.3279344589228</v>
      </c>
      <c r="J525" s="125">
        <v>5154.1400000000003</v>
      </c>
    </row>
    <row r="526" spans="1:10" ht="20.25">
      <c r="A526" t="s">
        <v>1042</v>
      </c>
      <c r="B526" s="967">
        <v>444206543</v>
      </c>
      <c r="C526" s="968">
        <v>1348.451</v>
      </c>
      <c r="D526" s="968">
        <v>1348.451</v>
      </c>
      <c r="E526" s="967">
        <v>0</v>
      </c>
      <c r="F526" s="967">
        <v>109331</v>
      </c>
      <c r="G526" s="1538">
        <v>5783.7767204509519</v>
      </c>
      <c r="H526" s="975">
        <v>5927.4238803395383</v>
      </c>
      <c r="J526" s="125">
        <v>5783.777</v>
      </c>
    </row>
    <row r="527" spans="1:10" ht="20.25">
      <c r="A527" t="s">
        <v>2972</v>
      </c>
      <c r="B527" s="967">
        <v>152857627</v>
      </c>
      <c r="C527" s="968">
        <v>614.30399999999997</v>
      </c>
      <c r="D527" s="968">
        <v>614.30399999999997</v>
      </c>
      <c r="E527" s="967">
        <v>0</v>
      </c>
      <c r="F527" s="967">
        <v>51279</v>
      </c>
      <c r="G527" s="1538">
        <v>4883.4919300260453</v>
      </c>
      <c r="H527" s="975">
        <v>5027.1996751665438</v>
      </c>
      <c r="J527" s="125">
        <v>4883.4920000000002</v>
      </c>
    </row>
    <row r="528" spans="1:10" ht="20.25">
      <c r="A528" t="s">
        <v>544</v>
      </c>
      <c r="B528" s="967">
        <v>624093948</v>
      </c>
      <c r="C528" s="968">
        <v>1039.7809999999999</v>
      </c>
      <c r="D528" s="968">
        <v>1039.7809999999999</v>
      </c>
      <c r="E528" s="967">
        <v>0</v>
      </c>
      <c r="F528" s="967">
        <v>165798</v>
      </c>
      <c r="G528" s="1538">
        <v>5390.6945712660199</v>
      </c>
      <c r="H528" s="975">
        <v>5533.9774844590893</v>
      </c>
      <c r="J528" s="125">
        <v>5390.6949999999997</v>
      </c>
    </row>
    <row r="529" spans="1:10" ht="20.25">
      <c r="A529" t="s">
        <v>3042</v>
      </c>
      <c r="B529" s="967">
        <v>165850499</v>
      </c>
      <c r="C529" s="968">
        <v>391.476</v>
      </c>
      <c r="D529" s="968">
        <v>391.476</v>
      </c>
      <c r="E529" s="967">
        <v>0</v>
      </c>
      <c r="F529" s="967">
        <v>55250</v>
      </c>
      <c r="G529" s="1538">
        <v>4591.8662344434724</v>
      </c>
      <c r="H529" s="975">
        <v>4964.7431001509194</v>
      </c>
      <c r="J529" s="125">
        <v>4592.2659999999996</v>
      </c>
    </row>
    <row r="530" spans="1:10" ht="20.25">
      <c r="A530" t="s">
        <v>995</v>
      </c>
      <c r="B530" s="967">
        <v>251234984</v>
      </c>
      <c r="C530" s="968">
        <v>1384.943</v>
      </c>
      <c r="D530" s="968">
        <v>1384.943</v>
      </c>
      <c r="E530" s="967">
        <v>0</v>
      </c>
      <c r="F530" s="967">
        <v>171696</v>
      </c>
      <c r="G530" s="1538">
        <v>4835.0215072407436</v>
      </c>
      <c r="H530" s="975">
        <v>5037.3430638876862</v>
      </c>
      <c r="J530" s="125">
        <v>4835.0219999999999</v>
      </c>
    </row>
    <row r="531" spans="1:10" ht="20.25">
      <c r="A531" t="s">
        <v>51</v>
      </c>
      <c r="B531" s="967">
        <v>642978549</v>
      </c>
      <c r="C531" s="968">
        <v>2549.7160000000003</v>
      </c>
      <c r="D531" s="968">
        <v>2549.7160000000003</v>
      </c>
      <c r="E531" s="967">
        <v>0</v>
      </c>
      <c r="F531" s="967">
        <v>263362</v>
      </c>
      <c r="G531" s="1538">
        <v>4767.0203069288209</v>
      </c>
      <c r="H531" s="975">
        <v>5077.2266258258451</v>
      </c>
      <c r="J531" s="125">
        <v>4767.0200000000004</v>
      </c>
    </row>
    <row r="532" spans="1:10" ht="20.25">
      <c r="A532" t="s">
        <v>61</v>
      </c>
      <c r="B532" s="967">
        <v>177307255</v>
      </c>
      <c r="C532" s="968">
        <v>1361.3230000000001</v>
      </c>
      <c r="D532" s="968">
        <v>1361.3230000000001</v>
      </c>
      <c r="E532" s="967">
        <v>0</v>
      </c>
      <c r="F532" s="967">
        <v>141620</v>
      </c>
      <c r="G532" s="1538">
        <v>4486.3376374039672</v>
      </c>
      <c r="H532" s="975">
        <v>4860.2211367495856</v>
      </c>
      <c r="J532" s="125">
        <v>4486.3379999999997</v>
      </c>
    </row>
    <row r="533" spans="1:10" ht="20.25">
      <c r="A533" t="s">
        <v>3043</v>
      </c>
      <c r="B533" s="967">
        <v>405569122</v>
      </c>
      <c r="C533" s="968">
        <v>413.755</v>
      </c>
      <c r="D533" s="968">
        <v>413.755</v>
      </c>
      <c r="E533" s="967">
        <v>0</v>
      </c>
      <c r="F533" s="967">
        <v>15178</v>
      </c>
      <c r="G533" s="1538">
        <v>5551.3159876901882</v>
      </c>
      <c r="H533" s="975">
        <v>5694.8967844962335</v>
      </c>
      <c r="J533" s="125">
        <v>5551.3159999999998</v>
      </c>
    </row>
    <row r="534" spans="1:10" ht="20.25">
      <c r="A534" t="s">
        <v>3044</v>
      </c>
      <c r="B534" s="967">
        <v>174488418</v>
      </c>
      <c r="C534" s="968">
        <v>297.988</v>
      </c>
      <c r="D534" s="968">
        <v>297.988</v>
      </c>
      <c r="E534" s="967">
        <v>0</v>
      </c>
      <c r="F534" s="967">
        <v>24513</v>
      </c>
      <c r="G534" s="1538">
        <v>5814.653257915742</v>
      </c>
      <c r="H534" s="975">
        <v>5959.1825040588292</v>
      </c>
      <c r="J534" s="125">
        <v>5814.6530000000002</v>
      </c>
    </row>
    <row r="535" spans="1:10" ht="20.25">
      <c r="A535" t="s">
        <v>3045</v>
      </c>
      <c r="B535" s="967">
        <v>34733315</v>
      </c>
      <c r="C535" s="968">
        <v>44.711000000000006</v>
      </c>
      <c r="D535" s="968">
        <v>44.711000000000006</v>
      </c>
      <c r="E535" s="967">
        <v>0</v>
      </c>
      <c r="F535" s="967">
        <v>19502</v>
      </c>
      <c r="G535" s="1538">
        <v>4831.3258733530192</v>
      </c>
      <c r="H535" s="975">
        <v>4975.0970343538311</v>
      </c>
      <c r="J535" s="125">
        <v>4831.326</v>
      </c>
    </row>
    <row r="536" spans="1:10" ht="20.25">
      <c r="A536" t="s">
        <v>2905</v>
      </c>
      <c r="B536" s="967">
        <v>1747222352</v>
      </c>
      <c r="C536" s="968">
        <v>4724.5780000000004</v>
      </c>
      <c r="D536" s="968">
        <v>4724.5780000000004</v>
      </c>
      <c r="E536" s="967">
        <v>0</v>
      </c>
      <c r="F536" s="967">
        <v>115500</v>
      </c>
      <c r="G536" s="1538">
        <v>4827.0916317528663</v>
      </c>
      <c r="H536" s="975">
        <v>5013.3790602046965</v>
      </c>
      <c r="J536" s="125">
        <v>4826.9880000000003</v>
      </c>
    </row>
    <row r="537" spans="1:10" ht="20.25">
      <c r="A537" t="s">
        <v>2615</v>
      </c>
      <c r="B537" s="967">
        <v>4819964952</v>
      </c>
      <c r="C537" s="968">
        <v>8252.5580000000009</v>
      </c>
      <c r="D537" s="968">
        <v>8252.5580000000009</v>
      </c>
      <c r="E537" s="967">
        <v>506995</v>
      </c>
      <c r="F537" s="967">
        <v>376796</v>
      </c>
      <c r="G537" s="1538">
        <v>5512.6384938720785</v>
      </c>
      <c r="H537" s="975">
        <v>5781.2508210210817</v>
      </c>
      <c r="J537" s="125">
        <v>5512.6379999999999</v>
      </c>
    </row>
    <row r="538" spans="1:10" ht="20.25">
      <c r="A538" t="s">
        <v>2616</v>
      </c>
      <c r="B538" s="967">
        <v>3359019179</v>
      </c>
      <c r="C538" s="968">
        <v>4304.0140000000001</v>
      </c>
      <c r="D538" s="968">
        <v>4304.0140000000001</v>
      </c>
      <c r="E538" s="967">
        <v>0</v>
      </c>
      <c r="F538" s="967">
        <v>151460</v>
      </c>
      <c r="G538" s="1538">
        <v>5264.2496741007699</v>
      </c>
      <c r="H538" s="975">
        <v>5407.7128172488328</v>
      </c>
      <c r="J538" s="125">
        <v>5264.25</v>
      </c>
    </row>
    <row r="539" spans="1:10" ht="20.25">
      <c r="A539" t="s">
        <v>1501</v>
      </c>
      <c r="B539" s="967">
        <v>9017000521</v>
      </c>
      <c r="C539" s="968">
        <v>17898.028000000002</v>
      </c>
      <c r="D539" s="968">
        <v>17898.028000000002</v>
      </c>
      <c r="E539" s="967">
        <v>0</v>
      </c>
      <c r="F539" s="967">
        <v>1806723</v>
      </c>
      <c r="G539" s="1538">
        <v>5502.4333479535835</v>
      </c>
      <c r="H539" s="975">
        <v>5645.7354623546717</v>
      </c>
      <c r="J539" s="125">
        <v>5502.433</v>
      </c>
    </row>
    <row r="540" spans="1:10" ht="20.25">
      <c r="A540" t="s">
        <v>1502</v>
      </c>
      <c r="B540" s="967">
        <v>772509149</v>
      </c>
      <c r="C540" s="968">
        <v>278.87200000000001</v>
      </c>
      <c r="D540" s="968">
        <v>278.87200000000001</v>
      </c>
      <c r="E540" s="967">
        <v>0</v>
      </c>
      <c r="F540" s="967">
        <v>49984</v>
      </c>
      <c r="G540" s="1538">
        <v>6876.1899954962646</v>
      </c>
      <c r="H540" s="975">
        <v>7018.6282712552729</v>
      </c>
      <c r="J540" s="125">
        <v>6876.19</v>
      </c>
    </row>
    <row r="541" spans="1:10" ht="20.25">
      <c r="A541" t="s">
        <v>1484</v>
      </c>
      <c r="B541" s="967">
        <v>711119533</v>
      </c>
      <c r="C541" s="968">
        <v>1650.5450000000001</v>
      </c>
      <c r="D541" s="968">
        <v>1650.5450000000001</v>
      </c>
      <c r="E541" s="967">
        <v>0</v>
      </c>
      <c r="F541" s="967">
        <v>217729</v>
      </c>
      <c r="G541" s="1538">
        <v>5150.2459601035298</v>
      </c>
      <c r="H541" s="975">
        <v>5294.006937353166</v>
      </c>
      <c r="J541" s="125">
        <v>5150.2460000000001</v>
      </c>
    </row>
    <row r="542" spans="1:10" ht="20.25">
      <c r="A542" t="s">
        <v>1503</v>
      </c>
      <c r="B542" s="967">
        <v>441105300</v>
      </c>
      <c r="C542" s="968">
        <v>1007.619</v>
      </c>
      <c r="D542" s="968">
        <v>1007.619</v>
      </c>
      <c r="E542" s="967">
        <v>0</v>
      </c>
      <c r="F542" s="967">
        <v>33862</v>
      </c>
      <c r="G542" s="1538">
        <v>5169.4379303056548</v>
      </c>
      <c r="H542" s="975">
        <v>5313.2510076586796</v>
      </c>
      <c r="J542" s="125">
        <v>5169.4380000000001</v>
      </c>
    </row>
    <row r="543" spans="1:10" ht="20.25">
      <c r="A543" t="s">
        <v>2299</v>
      </c>
      <c r="B543" s="967">
        <v>1011148003</v>
      </c>
      <c r="C543" s="968">
        <v>4756.4949999999999</v>
      </c>
      <c r="D543" s="968">
        <v>4756.4949999999999</v>
      </c>
      <c r="E543" s="967">
        <v>188492</v>
      </c>
      <c r="F543" s="967">
        <v>192682</v>
      </c>
      <c r="G543" s="1538">
        <v>4906.0764163935546</v>
      </c>
      <c r="H543" s="975">
        <v>5049.7284227796727</v>
      </c>
      <c r="J543" s="125">
        <v>4906.076</v>
      </c>
    </row>
    <row r="544" spans="1:10" ht="20.25">
      <c r="A544" t="s">
        <v>2652</v>
      </c>
      <c r="B544" s="967">
        <v>57957208</v>
      </c>
      <c r="C544" s="968">
        <v>557.84199999999998</v>
      </c>
      <c r="D544" s="968">
        <v>557.84199999999998</v>
      </c>
      <c r="E544" s="967">
        <v>0</v>
      </c>
      <c r="F544" s="967">
        <v>87692</v>
      </c>
      <c r="G544" s="1538">
        <v>4921.8565340020796</v>
      </c>
      <c r="H544" s="975">
        <v>5065.7239876551585</v>
      </c>
      <c r="J544" s="125">
        <v>4921.857</v>
      </c>
    </row>
    <row r="545" spans="1:10" ht="20.25">
      <c r="A545" t="s">
        <v>1593</v>
      </c>
      <c r="B545" s="967">
        <v>178954754</v>
      </c>
      <c r="C545" s="968">
        <v>1634.6310000000001</v>
      </c>
      <c r="D545" s="968">
        <v>1634.6310000000001</v>
      </c>
      <c r="E545" s="967">
        <v>0</v>
      </c>
      <c r="F545" s="967">
        <v>185077</v>
      </c>
      <c r="G545" s="1538">
        <v>4784.6697938759671</v>
      </c>
      <c r="H545" s="975">
        <v>4928.3475205239829</v>
      </c>
      <c r="J545" s="125">
        <v>4784.67</v>
      </c>
    </row>
    <row r="546" spans="1:10" ht="20.25">
      <c r="A546" t="s">
        <v>244</v>
      </c>
      <c r="B546" s="967">
        <v>124708885</v>
      </c>
      <c r="C546" s="968">
        <v>579.96600000000001</v>
      </c>
      <c r="D546" s="968">
        <v>579.96600000000001</v>
      </c>
      <c r="E546" s="967">
        <v>0</v>
      </c>
      <c r="F546" s="967">
        <v>34204</v>
      </c>
      <c r="G546" s="1538">
        <v>4774.9248001166343</v>
      </c>
      <c r="H546" s="975">
        <v>5052.8445984114223</v>
      </c>
      <c r="J546" s="125">
        <v>4774.9250000000002</v>
      </c>
    </row>
    <row r="547" spans="1:10" ht="20.25">
      <c r="A547" t="s">
        <v>1504</v>
      </c>
      <c r="B547" s="967">
        <v>45595657</v>
      </c>
      <c r="C547" s="968">
        <v>108.74000000000001</v>
      </c>
      <c r="D547" s="968">
        <v>108.74000000000001</v>
      </c>
      <c r="E547" s="967">
        <v>0</v>
      </c>
      <c r="F547" s="967">
        <v>7341</v>
      </c>
      <c r="G547" s="1538">
        <v>5012.8231142976319</v>
      </c>
      <c r="H547" s="975">
        <v>5154.5563170709711</v>
      </c>
      <c r="J547" s="125">
        <v>5012.8230000000003</v>
      </c>
    </row>
    <row r="548" spans="1:10" ht="20.25">
      <c r="A548" t="s">
        <v>223</v>
      </c>
      <c r="B548" s="967">
        <v>1501888889</v>
      </c>
      <c r="C548" s="968">
        <v>3164.5440000000003</v>
      </c>
      <c r="D548" s="968">
        <v>3164.5440000000003</v>
      </c>
      <c r="E548" s="967">
        <v>0</v>
      </c>
      <c r="F548" s="967">
        <v>278968</v>
      </c>
      <c r="G548" s="1538">
        <v>5061.5194777066126</v>
      </c>
      <c r="H548" s="975">
        <v>5434.0963257106196</v>
      </c>
      <c r="J548" s="125">
        <v>5061.29</v>
      </c>
    </row>
    <row r="549" spans="1:10" ht="20.25">
      <c r="A549" t="s">
        <v>2153</v>
      </c>
      <c r="B549" s="967">
        <v>3193265031</v>
      </c>
      <c r="C549" s="968">
        <v>9241.398000000001</v>
      </c>
      <c r="D549" s="968">
        <v>9241.398000000001</v>
      </c>
      <c r="E549" s="967">
        <v>170269</v>
      </c>
      <c r="F549" s="967">
        <v>423997</v>
      </c>
      <c r="G549" s="1538">
        <v>5049.0761016224224</v>
      </c>
      <c r="H549" s="975">
        <v>5421.970458192659</v>
      </c>
      <c r="J549" s="125">
        <v>5049.076</v>
      </c>
    </row>
    <row r="550" spans="1:10" ht="20.25">
      <c r="A550" t="s">
        <v>627</v>
      </c>
      <c r="B550" s="967">
        <v>3229859762</v>
      </c>
      <c r="C550" s="968">
        <v>6321.3860000000004</v>
      </c>
      <c r="D550" s="968">
        <v>6321.3860000000004</v>
      </c>
      <c r="E550" s="967">
        <v>0</v>
      </c>
      <c r="F550" s="967">
        <v>351361</v>
      </c>
      <c r="G550" s="1538">
        <v>5428.2544315322248</v>
      </c>
      <c r="H550" s="975">
        <v>5572.0439162826733</v>
      </c>
      <c r="J550" s="125">
        <v>5428.2539999999999</v>
      </c>
    </row>
    <row r="551" spans="1:10" ht="20.25">
      <c r="A551" t="s">
        <v>2037</v>
      </c>
      <c r="B551" s="967">
        <v>357604718</v>
      </c>
      <c r="C551" s="968">
        <v>1049.5440000000001</v>
      </c>
      <c r="D551" s="968">
        <v>1049.5440000000001</v>
      </c>
      <c r="E551" s="967">
        <v>0</v>
      </c>
      <c r="F551" s="967">
        <v>41502</v>
      </c>
      <c r="G551" s="1538">
        <v>5409.9219664710927</v>
      </c>
      <c r="H551" s="975">
        <v>5553.6005965833829</v>
      </c>
      <c r="J551" s="125">
        <v>5409.9219999999996</v>
      </c>
    </row>
    <row r="552" spans="1:10" ht="20.25">
      <c r="A552" t="s">
        <v>52</v>
      </c>
      <c r="B552" s="967">
        <v>1430105546</v>
      </c>
      <c r="C552" s="968">
        <v>4437.49</v>
      </c>
      <c r="D552" s="968">
        <v>4437.49</v>
      </c>
      <c r="E552" s="967">
        <v>0</v>
      </c>
      <c r="F552" s="967">
        <v>397623</v>
      </c>
      <c r="G552" s="1538">
        <v>5066.2797688277178</v>
      </c>
      <c r="H552" s="975">
        <v>5439.5301237141821</v>
      </c>
      <c r="J552" s="125">
        <v>5066.28</v>
      </c>
    </row>
    <row r="553" spans="1:10" ht="20.25">
      <c r="A553" t="s">
        <v>1505</v>
      </c>
      <c r="B553" s="967">
        <v>166103307</v>
      </c>
      <c r="C553" s="968">
        <v>779.07800000000009</v>
      </c>
      <c r="D553" s="968">
        <v>779.07800000000009</v>
      </c>
      <c r="E553" s="967">
        <v>0</v>
      </c>
      <c r="F553" s="967">
        <v>0</v>
      </c>
      <c r="G553" s="1538">
        <v>4755.5354415516431</v>
      </c>
      <c r="H553" s="975">
        <v>5128.288933581136</v>
      </c>
      <c r="J553" s="125">
        <v>4755.5349999999999</v>
      </c>
    </row>
    <row r="554" spans="1:10" ht="20.25">
      <c r="A554" t="s">
        <v>2653</v>
      </c>
      <c r="B554" s="967">
        <v>281130239</v>
      </c>
      <c r="C554" s="968">
        <v>818.97</v>
      </c>
      <c r="D554" s="968">
        <v>818.97</v>
      </c>
      <c r="E554" s="967">
        <v>0</v>
      </c>
      <c r="F554" s="967">
        <v>262230</v>
      </c>
      <c r="G554" s="1538">
        <v>5381.556229947184</v>
      </c>
      <c r="H554" s="975">
        <v>5525.4945578518546</v>
      </c>
      <c r="J554" s="125">
        <v>5381.5559999999996</v>
      </c>
    </row>
    <row r="555" spans="1:10" ht="20.25">
      <c r="A555" t="s">
        <v>283</v>
      </c>
      <c r="B555" s="967">
        <v>338836360</v>
      </c>
      <c r="C555" s="968">
        <v>1726.6180000000002</v>
      </c>
      <c r="D555" s="968">
        <v>1726.6180000000002</v>
      </c>
      <c r="E555" s="967">
        <v>0</v>
      </c>
      <c r="F555" s="967">
        <v>228699</v>
      </c>
      <c r="G555" s="1538">
        <v>5059.5690073068881</v>
      </c>
      <c r="H555" s="975">
        <v>5432.4565670352322</v>
      </c>
      <c r="J555" s="125">
        <v>5059.5690000000004</v>
      </c>
    </row>
    <row r="556" spans="1:10" ht="20.25">
      <c r="A556" t="s">
        <v>1435</v>
      </c>
      <c r="B556" s="967">
        <v>1080361128</v>
      </c>
      <c r="C556" s="968">
        <v>1459.067</v>
      </c>
      <c r="D556" s="968">
        <v>1459.067</v>
      </c>
      <c r="E556" s="967">
        <v>0</v>
      </c>
      <c r="F556" s="967">
        <v>114957</v>
      </c>
      <c r="G556" s="1538">
        <v>6880.1422617338703</v>
      </c>
      <c r="H556" s="975">
        <v>7023.3902217505729</v>
      </c>
      <c r="J556" s="125">
        <v>6880.1419999999998</v>
      </c>
    </row>
    <row r="557" spans="1:10" ht="20.25">
      <c r="A557" t="s">
        <v>2400</v>
      </c>
      <c r="B557" s="967">
        <v>104697329</v>
      </c>
      <c r="C557" s="968">
        <v>680.54399999999998</v>
      </c>
      <c r="D557" s="968">
        <v>680.54399999999998</v>
      </c>
      <c r="E557" s="967">
        <v>0</v>
      </c>
      <c r="F557" s="967">
        <v>39142</v>
      </c>
      <c r="G557" s="1538">
        <v>4698.7622232324293</v>
      </c>
      <c r="H557" s="975">
        <v>4874.2420831985146</v>
      </c>
      <c r="J557" s="125">
        <v>4698.7619999999997</v>
      </c>
    </row>
    <row r="558" spans="1:10" ht="20.25">
      <c r="A558" t="s">
        <v>1506</v>
      </c>
      <c r="B558" s="967">
        <v>116822807</v>
      </c>
      <c r="C558" s="968">
        <v>460.01600000000002</v>
      </c>
      <c r="D558" s="968">
        <v>460.01600000000002</v>
      </c>
      <c r="E558" s="967">
        <v>0</v>
      </c>
      <c r="F558" s="967">
        <v>13276</v>
      </c>
      <c r="G558" s="1538">
        <v>4749.6484423290885</v>
      </c>
      <c r="H558" s="975">
        <v>5122.8477750791344</v>
      </c>
      <c r="J558" s="125">
        <v>4749.6480000000001</v>
      </c>
    </row>
    <row r="559" spans="1:10" ht="20.25">
      <c r="A559" t="s">
        <v>2128</v>
      </c>
      <c r="B559" s="967">
        <v>80298682</v>
      </c>
      <c r="C559" s="968">
        <v>700.90500000000009</v>
      </c>
      <c r="D559" s="968">
        <v>700.90500000000009</v>
      </c>
      <c r="E559" s="967">
        <v>79390</v>
      </c>
      <c r="F559" s="967">
        <v>43592</v>
      </c>
      <c r="G559" s="1538">
        <v>4738.67385348687</v>
      </c>
      <c r="H559" s="975">
        <v>5076.2980765804605</v>
      </c>
      <c r="J559" s="125">
        <v>4738.674</v>
      </c>
    </row>
    <row r="560" spans="1:10" ht="20.25">
      <c r="A560" t="s">
        <v>2870</v>
      </c>
      <c r="B560" s="967">
        <v>59953635</v>
      </c>
      <c r="C560" s="968">
        <v>105.53800000000001</v>
      </c>
      <c r="D560" s="968">
        <v>105.53800000000001</v>
      </c>
      <c r="E560" s="967">
        <v>0</v>
      </c>
      <c r="F560" s="967">
        <v>21424</v>
      </c>
      <c r="G560" s="1538">
        <v>5312.9079087016453</v>
      </c>
      <c r="H560" s="975">
        <v>5456.9610991423115</v>
      </c>
      <c r="J560" s="125">
        <v>5312.9080000000004</v>
      </c>
    </row>
    <row r="561" spans="1:10" ht="20.25">
      <c r="A561" t="s">
        <v>288</v>
      </c>
      <c r="B561" s="967">
        <v>76631872</v>
      </c>
      <c r="C561" s="968">
        <v>578.08000000000004</v>
      </c>
      <c r="D561" s="968">
        <v>578.08000000000004</v>
      </c>
      <c r="E561" s="967">
        <v>0</v>
      </c>
      <c r="F561" s="967">
        <v>45399</v>
      </c>
      <c r="G561" s="1538">
        <v>4712.1629098806552</v>
      </c>
      <c r="H561" s="975">
        <v>4920.1306585555867</v>
      </c>
      <c r="J561" s="125">
        <v>4712.1629999999996</v>
      </c>
    </row>
    <row r="562" spans="1:10" ht="20.25">
      <c r="A562" t="s">
        <v>54</v>
      </c>
      <c r="B562" s="967">
        <v>221251761</v>
      </c>
      <c r="C562" s="968">
        <v>897.13100000000009</v>
      </c>
      <c r="D562" s="968">
        <v>897.13100000000009</v>
      </c>
      <c r="E562" s="967">
        <v>0</v>
      </c>
      <c r="F562" s="967">
        <v>0</v>
      </c>
      <c r="G562" s="1538">
        <v>4730.5720491806615</v>
      </c>
      <c r="H562" s="975">
        <v>4874.343003801222</v>
      </c>
      <c r="J562" s="125">
        <v>4730.5720000000001</v>
      </c>
    </row>
    <row r="563" spans="1:10" ht="20.25">
      <c r="A563" t="s">
        <v>2871</v>
      </c>
      <c r="B563" s="967">
        <v>147356932</v>
      </c>
      <c r="C563" s="968">
        <v>622.899</v>
      </c>
      <c r="D563" s="968">
        <v>622.899</v>
      </c>
      <c r="E563" s="967">
        <v>0</v>
      </c>
      <c r="F563" s="967">
        <v>28641</v>
      </c>
      <c r="G563" s="1538">
        <v>4732.948998845095</v>
      </c>
      <c r="H563" s="975">
        <v>5087.7047567537766</v>
      </c>
      <c r="J563" s="125">
        <v>4732.9489999999996</v>
      </c>
    </row>
    <row r="564" spans="1:10" ht="20.25">
      <c r="A564" t="s">
        <v>1317</v>
      </c>
      <c r="B564" s="967">
        <v>70719744</v>
      </c>
      <c r="C564" s="968">
        <v>279.90500000000003</v>
      </c>
      <c r="D564" s="968">
        <v>279.90500000000003</v>
      </c>
      <c r="E564" s="967">
        <v>0</v>
      </c>
      <c r="F564" s="967">
        <v>8804</v>
      </c>
      <c r="G564" s="1538">
        <v>5077.7069295901101</v>
      </c>
      <c r="H564" s="975">
        <v>5221.6669021870139</v>
      </c>
      <c r="J564" s="125">
        <v>5077.7070000000003</v>
      </c>
    </row>
    <row r="565" spans="1:10" ht="20.25">
      <c r="A565" t="s">
        <v>1899</v>
      </c>
      <c r="B565" s="967">
        <v>59016203</v>
      </c>
      <c r="C565" s="968">
        <v>324.166</v>
      </c>
      <c r="D565" s="968">
        <v>324.166</v>
      </c>
      <c r="E565" s="967">
        <v>0</v>
      </c>
      <c r="F565" s="967">
        <v>35394</v>
      </c>
      <c r="G565" s="1538">
        <v>4875.771230783901</v>
      </c>
      <c r="H565" s="975">
        <v>5126.0364236865544</v>
      </c>
      <c r="J565" s="125">
        <v>4875.7709999999997</v>
      </c>
    </row>
    <row r="566" spans="1:10" ht="20.25">
      <c r="A566" t="s">
        <v>2757</v>
      </c>
      <c r="B566" s="967">
        <v>502577854</v>
      </c>
      <c r="C566" s="968">
        <v>2610.4</v>
      </c>
      <c r="D566" s="968">
        <v>2610.4</v>
      </c>
      <c r="E566" s="967">
        <v>96598</v>
      </c>
      <c r="F566" s="967">
        <v>141582</v>
      </c>
      <c r="G566" s="1538">
        <v>4933.3378516082557</v>
      </c>
      <c r="H566" s="975">
        <v>5075.5508176615494</v>
      </c>
      <c r="J566" s="125">
        <v>4933.3379999999997</v>
      </c>
    </row>
    <row r="567" spans="1:10" ht="20.25">
      <c r="A567" t="s">
        <v>1515</v>
      </c>
      <c r="B567" s="967">
        <v>2341579983</v>
      </c>
      <c r="C567" s="968">
        <v>7418.415</v>
      </c>
      <c r="D567" s="968">
        <v>7418.415</v>
      </c>
      <c r="E567" s="967">
        <v>129991</v>
      </c>
      <c r="F567" s="967">
        <v>446445</v>
      </c>
      <c r="G567" s="1538">
        <v>5195.3989504309056</v>
      </c>
      <c r="H567" s="975">
        <v>5337.9086571414164</v>
      </c>
      <c r="J567" s="125">
        <v>5195.3990000000003</v>
      </c>
    </row>
    <row r="568" spans="1:10" ht="20.25">
      <c r="A568" t="s">
        <v>56</v>
      </c>
      <c r="B568" s="967">
        <v>642077269</v>
      </c>
      <c r="C568" s="968">
        <v>3439.77</v>
      </c>
      <c r="D568" s="968">
        <v>3439.77</v>
      </c>
      <c r="E568" s="967">
        <v>0</v>
      </c>
      <c r="F568" s="967">
        <v>376571</v>
      </c>
      <c r="G568" s="1538">
        <v>4826.8951557121763</v>
      </c>
      <c r="H568" s="975">
        <v>5010.4874495917602</v>
      </c>
      <c r="J568" s="125">
        <v>4826.3549999999996</v>
      </c>
    </row>
    <row r="569" spans="1:10" ht="20.25">
      <c r="A569" t="s">
        <v>58</v>
      </c>
      <c r="B569" s="967">
        <v>324562843</v>
      </c>
      <c r="C569" s="968">
        <v>1454.298</v>
      </c>
      <c r="D569" s="968">
        <v>1454.298</v>
      </c>
      <c r="E569" s="967">
        <v>112747</v>
      </c>
      <c r="F569" s="967">
        <v>192528</v>
      </c>
      <c r="G569" s="1538">
        <v>4954.9617748928285</v>
      </c>
      <c r="H569" s="975">
        <v>5106.1587557737739</v>
      </c>
      <c r="J569" s="125">
        <v>4954.9620000000004</v>
      </c>
    </row>
    <row r="570" spans="1:10" ht="20.25">
      <c r="A570" t="s">
        <v>2923</v>
      </c>
      <c r="B570" s="967">
        <v>988936985</v>
      </c>
      <c r="C570" s="968">
        <v>3041.5450000000001</v>
      </c>
      <c r="D570" s="968">
        <v>3041.5450000000001</v>
      </c>
      <c r="E570" s="967">
        <v>0</v>
      </c>
      <c r="F570" s="967">
        <v>342546</v>
      </c>
      <c r="G570" s="1538">
        <v>4929.0764996961498</v>
      </c>
      <c r="H570" s="975">
        <v>5072.7454517352808</v>
      </c>
      <c r="J570" s="125">
        <v>4929.076</v>
      </c>
    </row>
    <row r="571" spans="1:10" ht="20.25">
      <c r="A571" t="s">
        <v>2924</v>
      </c>
      <c r="B571" s="967">
        <v>1447009080</v>
      </c>
      <c r="C571" s="968">
        <v>3886.3880000000004</v>
      </c>
      <c r="D571" s="968">
        <v>3886.3880000000004</v>
      </c>
      <c r="E571" s="967">
        <v>0</v>
      </c>
      <c r="F571" s="967">
        <v>450038</v>
      </c>
      <c r="G571" s="1538">
        <v>4976.0240382544098</v>
      </c>
      <c r="H571" s="975">
        <v>5120.3141501440941</v>
      </c>
      <c r="J571" s="125">
        <v>4975.9939999999997</v>
      </c>
    </row>
    <row r="572" spans="1:10" ht="20.25">
      <c r="A572" t="s">
        <v>536</v>
      </c>
      <c r="B572" s="967">
        <v>160302215</v>
      </c>
      <c r="C572" s="968">
        <v>842.27100000000007</v>
      </c>
      <c r="D572" s="968">
        <v>842.27100000000007</v>
      </c>
      <c r="E572" s="967">
        <v>0</v>
      </c>
      <c r="F572" s="967">
        <v>106599</v>
      </c>
      <c r="G572" s="1538">
        <v>4669.4654506856414</v>
      </c>
      <c r="H572" s="975">
        <v>4904.2050117953504</v>
      </c>
      <c r="J572" s="125">
        <v>4669.4650000000001</v>
      </c>
    </row>
    <row r="573" spans="1:10" ht="20.25">
      <c r="A573" t="s">
        <v>2925</v>
      </c>
      <c r="B573" s="967">
        <v>4151090789</v>
      </c>
      <c r="C573" s="968">
        <v>6092.0630000000001</v>
      </c>
      <c r="D573" s="968">
        <v>6092.0630000000001</v>
      </c>
      <c r="E573" s="967">
        <v>206158</v>
      </c>
      <c r="F573" s="967">
        <v>629865</v>
      </c>
      <c r="G573" s="1538">
        <v>5928.4532220961792</v>
      </c>
      <c r="H573" s="975">
        <v>6071.4055822234968</v>
      </c>
      <c r="J573" s="125">
        <v>5928.0119999999997</v>
      </c>
    </row>
    <row r="574" spans="1:10" ht="20.25">
      <c r="A574" t="s">
        <v>1732</v>
      </c>
      <c r="B574" s="967">
        <v>581387215</v>
      </c>
      <c r="C574" s="968">
        <v>1066.1300000000001</v>
      </c>
      <c r="D574" s="968">
        <v>1066.1300000000001</v>
      </c>
      <c r="E574" s="967">
        <v>0</v>
      </c>
      <c r="F574" s="967">
        <v>111803</v>
      </c>
      <c r="G574" s="1538">
        <v>5187.1213913023657</v>
      </c>
      <c r="H574" s="975">
        <v>5331.0209104053902</v>
      </c>
      <c r="J574" s="125">
        <v>5187.1210000000001</v>
      </c>
    </row>
    <row r="575" spans="1:10" ht="20.25">
      <c r="A575" t="s">
        <v>3088</v>
      </c>
      <c r="B575" s="967">
        <v>635551564</v>
      </c>
      <c r="C575" s="968">
        <v>73.741</v>
      </c>
      <c r="D575" s="968">
        <v>73.741</v>
      </c>
      <c r="E575" s="967">
        <v>0</v>
      </c>
      <c r="F575" s="967">
        <v>0</v>
      </c>
      <c r="G575" s="1538">
        <v>7005.4326248643501</v>
      </c>
      <c r="H575" s="975">
        <v>7378.8218636071906</v>
      </c>
      <c r="J575" s="125">
        <v>7005.433</v>
      </c>
    </row>
    <row r="576" spans="1:10" ht="20.25">
      <c r="A576" t="s">
        <v>2649</v>
      </c>
      <c r="B576" s="967">
        <v>707051121</v>
      </c>
      <c r="C576" s="968">
        <v>129.38</v>
      </c>
      <c r="D576" s="968">
        <v>129.38</v>
      </c>
      <c r="E576" s="967">
        <v>0</v>
      </c>
      <c r="F576" s="967">
        <v>23783</v>
      </c>
      <c r="G576" s="1538">
        <v>10005.499641401626</v>
      </c>
      <c r="H576" s="975">
        <v>10148.194720100051</v>
      </c>
      <c r="J576" s="125">
        <v>10005.5</v>
      </c>
    </row>
    <row r="577" spans="1:10" ht="20.25">
      <c r="A577" t="s">
        <v>1734</v>
      </c>
      <c r="B577" s="967">
        <v>209853857</v>
      </c>
      <c r="C577" s="968">
        <v>577.03600000000006</v>
      </c>
      <c r="D577" s="968">
        <v>577.03600000000006</v>
      </c>
      <c r="E577" s="967">
        <v>0</v>
      </c>
      <c r="F577" s="967">
        <v>62854</v>
      </c>
      <c r="G577" s="1538">
        <v>5030.1709698761379</v>
      </c>
      <c r="H577" s="975">
        <v>5172.7120652547128</v>
      </c>
      <c r="J577" s="125">
        <v>5030.1710000000003</v>
      </c>
    </row>
    <row r="578" spans="1:10" ht="20.25">
      <c r="A578" t="s">
        <v>2913</v>
      </c>
      <c r="B578" s="967">
        <v>270385774</v>
      </c>
      <c r="C578" s="968">
        <v>178.71100000000001</v>
      </c>
      <c r="D578" s="968">
        <v>178.71100000000001</v>
      </c>
      <c r="E578" s="967">
        <v>0</v>
      </c>
      <c r="F578" s="967">
        <v>22694</v>
      </c>
      <c r="G578" s="1538">
        <v>6864.0999128913691</v>
      </c>
      <c r="H578" s="975">
        <v>7008.3882458333192</v>
      </c>
      <c r="J578" s="125">
        <v>6864.1</v>
      </c>
    </row>
    <row r="579" spans="1:10" ht="20.25">
      <c r="A579" t="s">
        <v>2914</v>
      </c>
      <c r="B579" s="967">
        <v>2103276406</v>
      </c>
      <c r="C579" s="968">
        <v>4506.2690000000002</v>
      </c>
      <c r="D579" s="968">
        <v>4506.2690000000002</v>
      </c>
      <c r="E579" s="967">
        <v>0</v>
      </c>
      <c r="F579" s="967">
        <v>272373</v>
      </c>
      <c r="G579" s="1538">
        <v>5732.4618676320088</v>
      </c>
      <c r="H579" s="975">
        <v>5874.8965790680359</v>
      </c>
      <c r="J579" s="125">
        <v>5732.2070000000003</v>
      </c>
    </row>
    <row r="580" spans="1:10" ht="20.25">
      <c r="A580" t="s">
        <v>529</v>
      </c>
      <c r="B580" s="967">
        <v>401129960</v>
      </c>
      <c r="C580" s="968">
        <v>1147.4349999999999</v>
      </c>
      <c r="D580" s="968">
        <v>1147.4349999999999</v>
      </c>
      <c r="E580" s="967">
        <v>0</v>
      </c>
      <c r="F580" s="967">
        <v>107667</v>
      </c>
      <c r="G580" s="1538">
        <v>4949.3469075210205</v>
      </c>
      <c r="H580" s="975">
        <v>5094.7885221960996</v>
      </c>
      <c r="J580" s="125">
        <v>4949.3469999999998</v>
      </c>
    </row>
    <row r="581" spans="1:10" ht="20.25">
      <c r="A581" t="s">
        <v>2601</v>
      </c>
      <c r="B581" s="967">
        <v>53967238</v>
      </c>
      <c r="C581" s="968">
        <v>23.744</v>
      </c>
      <c r="D581" s="968">
        <v>23.744</v>
      </c>
      <c r="E581" s="967">
        <v>0</v>
      </c>
      <c r="F581" s="967">
        <v>0</v>
      </c>
      <c r="G581" s="1538">
        <v>4526.2236935445735</v>
      </c>
      <c r="H581" s="975">
        <v>4669.8631918742831</v>
      </c>
      <c r="J581" s="125">
        <v>4526.2240000000002</v>
      </c>
    </row>
    <row r="582" spans="1:10" ht="20.25">
      <c r="A582" t="s">
        <v>2602</v>
      </c>
      <c r="B582" s="967">
        <v>273491610</v>
      </c>
      <c r="C582" s="968">
        <v>629.85400000000004</v>
      </c>
      <c r="D582" s="968">
        <v>629.85400000000004</v>
      </c>
      <c r="E582" s="967">
        <v>0</v>
      </c>
      <c r="F582" s="967">
        <v>64348</v>
      </c>
      <c r="G582" s="1538">
        <v>4862.3038730867402</v>
      </c>
      <c r="H582" s="975">
        <v>5006.2029929440951</v>
      </c>
      <c r="J582" s="125">
        <v>4862.3040000000001</v>
      </c>
    </row>
    <row r="583" spans="1:10" ht="20.25">
      <c r="A583" t="s">
        <v>1727</v>
      </c>
      <c r="B583" s="967">
        <v>309811078</v>
      </c>
      <c r="C583" s="968">
        <v>116.39800000000001</v>
      </c>
      <c r="D583" s="968">
        <v>116.39800000000001</v>
      </c>
      <c r="E583" s="967">
        <v>0</v>
      </c>
      <c r="F583" s="967">
        <v>144684</v>
      </c>
      <c r="G583" s="1538">
        <v>12341.160926559662</v>
      </c>
      <c r="H583" s="975">
        <v>12484.652423665293</v>
      </c>
      <c r="J583" s="125">
        <v>12341.161</v>
      </c>
    </row>
    <row r="584" spans="1:10" ht="20.25">
      <c r="A584" t="s">
        <v>1728</v>
      </c>
      <c r="B584" s="967">
        <v>149268554</v>
      </c>
      <c r="C584" s="968">
        <v>570.05900000000008</v>
      </c>
      <c r="D584" s="968">
        <v>570.05900000000008</v>
      </c>
      <c r="E584" s="967">
        <v>0</v>
      </c>
      <c r="F584" s="967">
        <v>41956</v>
      </c>
      <c r="G584" s="1538">
        <v>4606.128289244084</v>
      </c>
      <c r="H584" s="975">
        <v>4749.3161034833129</v>
      </c>
      <c r="J584" s="125">
        <v>4606.1279999999997</v>
      </c>
    </row>
    <row r="585" spans="1:10" ht="20.25">
      <c r="A585" t="s">
        <v>2872</v>
      </c>
      <c r="B585" s="967">
        <v>693452480</v>
      </c>
      <c r="C585" s="968">
        <v>3520.0480000000002</v>
      </c>
      <c r="D585" s="968">
        <v>3520.0480000000002</v>
      </c>
      <c r="E585" s="967">
        <v>0</v>
      </c>
      <c r="F585" s="967">
        <v>138322</v>
      </c>
      <c r="G585" s="1538">
        <v>4970.0138809766431</v>
      </c>
      <c r="H585" s="975">
        <v>5113.8808789498808</v>
      </c>
      <c r="J585" s="125">
        <v>4970.0140000000001</v>
      </c>
    </row>
    <row r="586" spans="1:10" ht="20.25">
      <c r="A586" t="s">
        <v>429</v>
      </c>
      <c r="B586" s="967">
        <v>136029513</v>
      </c>
      <c r="C586" s="968">
        <v>577.18400000000008</v>
      </c>
      <c r="D586" s="968">
        <v>577.18400000000008</v>
      </c>
      <c r="E586" s="967">
        <v>0</v>
      </c>
      <c r="F586" s="967">
        <v>91891</v>
      </c>
      <c r="G586" s="1538">
        <v>4675.2848249941271</v>
      </c>
      <c r="H586" s="975">
        <v>4804.7436168158556</v>
      </c>
      <c r="J586" s="125">
        <v>4675.2849999999999</v>
      </c>
    </row>
    <row r="587" spans="1:10" ht="20.25">
      <c r="A587" t="s">
        <v>430</v>
      </c>
      <c r="B587" s="967">
        <v>344601010</v>
      </c>
      <c r="C587" s="968">
        <v>445.291</v>
      </c>
      <c r="D587" s="968">
        <v>445.291</v>
      </c>
      <c r="E587" s="967">
        <v>0</v>
      </c>
      <c r="F587" s="967">
        <v>57263</v>
      </c>
      <c r="G587" s="1538">
        <v>5397.0071889461069</v>
      </c>
      <c r="H587" s="975">
        <v>5384.4210859895102</v>
      </c>
      <c r="J587" s="125">
        <v>5397.0069999999996</v>
      </c>
    </row>
    <row r="588" spans="1:10" ht="20.25">
      <c r="A588" t="s">
        <v>431</v>
      </c>
      <c r="B588" s="967">
        <v>177667107</v>
      </c>
      <c r="C588" s="968">
        <v>362.56700000000001</v>
      </c>
      <c r="D588" s="968">
        <v>362.56700000000001</v>
      </c>
      <c r="E588" s="967">
        <v>0</v>
      </c>
      <c r="F588" s="967">
        <v>0</v>
      </c>
      <c r="G588" s="1538">
        <v>7285.8225021928083</v>
      </c>
      <c r="H588" s="975">
        <v>7429.0485673826715</v>
      </c>
      <c r="J588" s="125">
        <v>7285.8220000000001</v>
      </c>
    </row>
    <row r="589" spans="1:10" ht="20.25">
      <c r="A589" t="s">
        <v>2873</v>
      </c>
      <c r="B589" s="967">
        <v>74600400</v>
      </c>
      <c r="C589" s="968">
        <v>264.05</v>
      </c>
      <c r="D589" s="968">
        <v>264.05</v>
      </c>
      <c r="E589" s="967">
        <v>0</v>
      </c>
      <c r="F589" s="967">
        <v>12942</v>
      </c>
      <c r="G589" s="1538">
        <v>4837.8454890238672</v>
      </c>
      <c r="H589" s="975">
        <v>4980.4885661374565</v>
      </c>
      <c r="J589" s="125">
        <v>4837.8450000000003</v>
      </c>
    </row>
    <row r="590" spans="1:10" ht="20.25">
      <c r="A590" t="s">
        <v>270</v>
      </c>
      <c r="B590" s="967">
        <v>46086785</v>
      </c>
      <c r="C590" s="968">
        <v>362.875</v>
      </c>
      <c r="D590" s="968">
        <v>362.875</v>
      </c>
      <c r="E590" s="967">
        <v>0</v>
      </c>
      <c r="F590" s="967">
        <v>43433</v>
      </c>
      <c r="G590" s="1538">
        <v>4723.9296549714209</v>
      </c>
      <c r="H590" s="975">
        <v>5033.5267949208965</v>
      </c>
      <c r="J590" s="125">
        <v>4723.93</v>
      </c>
    </row>
    <row r="591" spans="1:10" ht="20.25">
      <c r="A591" t="s">
        <v>271</v>
      </c>
      <c r="B591" s="967">
        <v>25374282</v>
      </c>
      <c r="C591" s="968">
        <v>78.197000000000003</v>
      </c>
      <c r="D591" s="968">
        <v>78.197000000000003</v>
      </c>
      <c r="E591" s="967">
        <v>0</v>
      </c>
      <c r="F591" s="967">
        <v>14728</v>
      </c>
      <c r="G591" s="1538">
        <v>4575.7059130455882</v>
      </c>
      <c r="H591" s="975">
        <v>4949.3891268213965</v>
      </c>
      <c r="J591" s="125">
        <v>4575.7060000000001</v>
      </c>
    </row>
    <row r="592" spans="1:10" ht="20.25">
      <c r="A592" t="s">
        <v>272</v>
      </c>
      <c r="B592" s="967">
        <v>584011113</v>
      </c>
      <c r="C592" s="968">
        <v>808.03200000000004</v>
      </c>
      <c r="D592" s="968">
        <v>808.03200000000004</v>
      </c>
      <c r="E592" s="967">
        <v>0</v>
      </c>
      <c r="F592" s="967">
        <v>85661</v>
      </c>
      <c r="G592" s="1538">
        <v>5356.6728305052993</v>
      </c>
      <c r="H592" s="975">
        <v>5722.6410422646259</v>
      </c>
      <c r="J592" s="125">
        <v>5356.6729999999998</v>
      </c>
    </row>
    <row r="593" spans="1:10" ht="20.25">
      <c r="A593" t="s">
        <v>2654</v>
      </c>
      <c r="B593" s="967">
        <v>40328280</v>
      </c>
      <c r="C593" s="968">
        <v>191.994</v>
      </c>
      <c r="D593" s="968">
        <v>191.994</v>
      </c>
      <c r="E593" s="967">
        <v>0</v>
      </c>
      <c r="F593" s="967">
        <v>19017</v>
      </c>
      <c r="G593" s="1538">
        <v>4750.2505851858132</v>
      </c>
      <c r="H593" s="975">
        <v>5125.45931451872</v>
      </c>
      <c r="J593" s="125">
        <v>4750.2510000000002</v>
      </c>
    </row>
    <row r="594" spans="1:10" ht="20.25">
      <c r="A594" t="s">
        <v>2303</v>
      </c>
      <c r="B594" s="967">
        <v>668853810</v>
      </c>
      <c r="C594" s="968">
        <v>3370.6690000000003</v>
      </c>
      <c r="D594" s="968">
        <v>3370.6690000000003</v>
      </c>
      <c r="E594" s="967">
        <v>0</v>
      </c>
      <c r="F594" s="967">
        <v>233477</v>
      </c>
      <c r="G594" s="1538">
        <v>4719.3135131547988</v>
      </c>
      <c r="H594" s="975">
        <v>5093.123732317069</v>
      </c>
      <c r="J594" s="125">
        <v>4719.3140000000003</v>
      </c>
    </row>
    <row r="595" spans="1:10" ht="20.25">
      <c r="A595" t="s">
        <v>2370</v>
      </c>
      <c r="B595" s="967">
        <v>804403661</v>
      </c>
      <c r="C595" s="968">
        <v>2825.65</v>
      </c>
      <c r="D595" s="968">
        <v>2825.65</v>
      </c>
      <c r="E595" s="967">
        <v>0</v>
      </c>
      <c r="F595" s="967">
        <v>454493</v>
      </c>
      <c r="G595" s="1538">
        <v>4870.2768527381368</v>
      </c>
      <c r="H595" s="975">
        <v>5014.3054433990446</v>
      </c>
      <c r="J595" s="125">
        <v>4870.277</v>
      </c>
    </row>
    <row r="596" spans="1:10" ht="20.25">
      <c r="A596" t="s">
        <v>2874</v>
      </c>
      <c r="B596" s="967">
        <v>134426676</v>
      </c>
      <c r="C596" s="968">
        <v>1051.557</v>
      </c>
      <c r="D596" s="968">
        <v>1051.557</v>
      </c>
      <c r="E596" s="967">
        <v>0</v>
      </c>
      <c r="F596" s="967">
        <v>135957</v>
      </c>
      <c r="G596" s="1538">
        <v>4742.5050695666678</v>
      </c>
      <c r="H596" s="975">
        <v>4983.7452198660167</v>
      </c>
      <c r="J596" s="125">
        <v>4742.5050000000001</v>
      </c>
    </row>
    <row r="597" spans="1:10" ht="20.25">
      <c r="A597" t="s">
        <v>1754</v>
      </c>
      <c r="B597" s="967">
        <v>41295003</v>
      </c>
      <c r="C597" s="968">
        <v>161.21100000000001</v>
      </c>
      <c r="D597" s="968">
        <v>161.21100000000001</v>
      </c>
      <c r="E597" s="967">
        <v>0</v>
      </c>
      <c r="F597" s="967">
        <v>8305</v>
      </c>
      <c r="G597" s="1538">
        <v>4615.374968648106</v>
      </c>
      <c r="H597" s="975">
        <v>4987.8463685952547</v>
      </c>
      <c r="J597" s="125">
        <v>4615.375</v>
      </c>
    </row>
    <row r="598" spans="1:10" ht="20.25">
      <c r="A598" t="s">
        <v>1755</v>
      </c>
      <c r="B598" s="967">
        <v>208985058</v>
      </c>
      <c r="C598" s="968">
        <v>1346.5040000000001</v>
      </c>
      <c r="D598" s="968">
        <v>1346.5040000000001</v>
      </c>
      <c r="E598" s="967">
        <v>0</v>
      </c>
      <c r="F598" s="967">
        <v>47361</v>
      </c>
      <c r="G598" s="1538">
        <v>4497.506034535636</v>
      </c>
      <c r="H598" s="975">
        <v>4641.4986487956157</v>
      </c>
      <c r="J598" s="125">
        <v>4497.5060000000003</v>
      </c>
    </row>
    <row r="599" spans="1:10" ht="20.25">
      <c r="A599" t="s">
        <v>1592</v>
      </c>
      <c r="B599" s="967">
        <v>111417504</v>
      </c>
      <c r="C599" s="968">
        <v>651.803</v>
      </c>
      <c r="D599" s="968">
        <v>651.803</v>
      </c>
      <c r="E599" s="967">
        <v>0</v>
      </c>
      <c r="F599" s="967">
        <v>42318</v>
      </c>
      <c r="G599" s="1538">
        <v>4654.9335926883814</v>
      </c>
      <c r="H599" s="975">
        <v>5029.1897949393924</v>
      </c>
      <c r="J599" s="125">
        <v>4654.9340000000002</v>
      </c>
    </row>
    <row r="600" spans="1:10" ht="20.25">
      <c r="A600" t="s">
        <v>2584</v>
      </c>
      <c r="B600" s="967">
        <v>64511358</v>
      </c>
      <c r="C600" s="968">
        <v>376.85599999999999</v>
      </c>
      <c r="D600" s="968">
        <v>376.85599999999999</v>
      </c>
      <c r="E600" s="967">
        <v>0</v>
      </c>
      <c r="F600" s="967">
        <v>45972</v>
      </c>
      <c r="G600" s="1538">
        <v>4871.6910742142627</v>
      </c>
      <c r="H600" s="975">
        <v>5215.7049193710536</v>
      </c>
      <c r="J600" s="125">
        <v>4871.6909999999998</v>
      </c>
    </row>
    <row r="601" spans="1:10" ht="20.25">
      <c r="A601" t="s">
        <v>2585</v>
      </c>
      <c r="B601" s="967">
        <v>345679533</v>
      </c>
      <c r="C601" s="968">
        <v>381.25300000000004</v>
      </c>
      <c r="D601" s="968">
        <v>381.25300000000004</v>
      </c>
      <c r="E601" s="967">
        <v>0</v>
      </c>
      <c r="F601" s="967">
        <v>52325</v>
      </c>
      <c r="G601" s="1538">
        <v>5476.7679175294588</v>
      </c>
      <c r="H601" s="975">
        <v>5618.6221121330027</v>
      </c>
      <c r="J601" s="125">
        <v>5476.768</v>
      </c>
    </row>
    <row r="602" spans="1:10" ht="20.25">
      <c r="A602" t="s">
        <v>2586</v>
      </c>
      <c r="B602" s="967">
        <v>904412372</v>
      </c>
      <c r="C602" s="968">
        <v>3139.645</v>
      </c>
      <c r="D602" s="968">
        <v>3139.645</v>
      </c>
      <c r="E602" s="967">
        <v>330556</v>
      </c>
      <c r="F602" s="967">
        <v>395130</v>
      </c>
      <c r="G602" s="1538">
        <v>5151.7142098455251</v>
      </c>
      <c r="H602" s="975">
        <v>5285.3703706781935</v>
      </c>
      <c r="J602" s="125">
        <v>5151.7139999999999</v>
      </c>
    </row>
    <row r="603" spans="1:10" ht="20.25">
      <c r="A603" t="s">
        <v>2587</v>
      </c>
      <c r="B603" s="967">
        <v>75813978</v>
      </c>
      <c r="C603" s="968">
        <v>284.56200000000001</v>
      </c>
      <c r="D603" s="968">
        <v>284.56200000000001</v>
      </c>
      <c r="E603" s="967">
        <v>0</v>
      </c>
      <c r="F603" s="967">
        <v>13997</v>
      </c>
      <c r="G603" s="1538">
        <v>4630.1553539114866</v>
      </c>
      <c r="H603" s="975">
        <v>4813.058462871204</v>
      </c>
      <c r="J603" s="125">
        <v>4630.1549999999997</v>
      </c>
    </row>
    <row r="604" spans="1:10" ht="20.25">
      <c r="A604" t="s">
        <v>2755</v>
      </c>
      <c r="B604" s="967">
        <v>408194212</v>
      </c>
      <c r="C604" s="968">
        <v>1074.1659999999999</v>
      </c>
      <c r="D604" s="968">
        <v>1074.1659999999999</v>
      </c>
      <c r="E604" s="967">
        <v>32634</v>
      </c>
      <c r="F604" s="967">
        <v>155587</v>
      </c>
      <c r="G604" s="1538">
        <v>5327.1906339030938</v>
      </c>
      <c r="H604" s="975">
        <v>5482.3981149990568</v>
      </c>
      <c r="J604" s="125">
        <v>5327.1909999999998</v>
      </c>
    </row>
    <row r="605" spans="1:10" ht="20.25">
      <c r="A605" t="s">
        <v>2588</v>
      </c>
      <c r="B605" s="967">
        <v>824049339</v>
      </c>
      <c r="C605" s="968">
        <v>813.71800000000007</v>
      </c>
      <c r="D605" s="968">
        <v>813.71800000000007</v>
      </c>
      <c r="E605" s="967">
        <v>0</v>
      </c>
      <c r="F605" s="967">
        <v>172047</v>
      </c>
      <c r="G605" s="1538">
        <v>5776.4807423517968</v>
      </c>
      <c r="H605" s="975">
        <v>5920.1902563063913</v>
      </c>
      <c r="J605" s="125">
        <v>5776.4809999999998</v>
      </c>
    </row>
    <row r="606" spans="1:10" ht="20.25">
      <c r="A606" t="s">
        <v>2589</v>
      </c>
      <c r="B606" s="967">
        <v>76732627</v>
      </c>
      <c r="C606" s="968">
        <v>283.24</v>
      </c>
      <c r="D606" s="968">
        <v>283.24</v>
      </c>
      <c r="E606" s="967">
        <v>0</v>
      </c>
      <c r="F606" s="967">
        <v>47503</v>
      </c>
      <c r="G606" s="1538">
        <v>4890.5085486539638</v>
      </c>
      <c r="H606" s="975">
        <v>5034.8744760295212</v>
      </c>
      <c r="J606" s="125">
        <v>4890.509</v>
      </c>
    </row>
    <row r="607" spans="1:10" ht="20.25">
      <c r="A607" t="s">
        <v>2590</v>
      </c>
      <c r="B607" s="967">
        <v>187822943</v>
      </c>
      <c r="C607" s="968">
        <v>523.03800000000001</v>
      </c>
      <c r="D607" s="968">
        <v>523.03800000000001</v>
      </c>
      <c r="E607" s="967">
        <v>0</v>
      </c>
      <c r="F607" s="967">
        <v>56707</v>
      </c>
      <c r="G607" s="1538">
        <v>4986.0903685370195</v>
      </c>
      <c r="H607" s="975">
        <v>5130.2770990080835</v>
      </c>
      <c r="J607" s="125">
        <v>4986.09</v>
      </c>
    </row>
    <row r="608" spans="1:10" ht="20.25">
      <c r="A608" t="s">
        <v>2591</v>
      </c>
      <c r="B608" s="967">
        <v>59855734</v>
      </c>
      <c r="C608" s="968">
        <v>95.478000000000009</v>
      </c>
      <c r="D608" s="968">
        <v>95.478000000000009</v>
      </c>
      <c r="E608" s="967">
        <v>0</v>
      </c>
      <c r="F608" s="967">
        <v>18668</v>
      </c>
      <c r="G608" s="1538">
        <v>5772.9213504985655</v>
      </c>
      <c r="H608" s="975">
        <v>5915.6056630057992</v>
      </c>
      <c r="J608" s="125">
        <v>5772.9210000000003</v>
      </c>
    </row>
    <row r="609" spans="1:10" ht="20.25">
      <c r="A609" t="s">
        <v>2592</v>
      </c>
      <c r="B609" s="967">
        <v>77398231</v>
      </c>
      <c r="C609" s="968">
        <v>115.426</v>
      </c>
      <c r="D609" s="968">
        <v>115.426</v>
      </c>
      <c r="E609" s="967">
        <v>0</v>
      </c>
      <c r="F609" s="967">
        <v>10832</v>
      </c>
      <c r="G609" s="1538">
        <v>5279.1722401447796</v>
      </c>
      <c r="H609" s="975">
        <v>5422.3705144566184</v>
      </c>
      <c r="J609" s="125">
        <v>5279.1719999999996</v>
      </c>
    </row>
    <row r="610" spans="1:10" ht="20.25">
      <c r="A610" t="s">
        <v>2981</v>
      </c>
      <c r="B610" s="967">
        <v>152098219</v>
      </c>
      <c r="C610" s="968">
        <v>60.523000000000003</v>
      </c>
      <c r="D610" s="968">
        <v>60.523000000000003</v>
      </c>
      <c r="E610" s="967">
        <v>0</v>
      </c>
      <c r="F610" s="967">
        <v>22315</v>
      </c>
      <c r="G610" s="1538">
        <v>4826.4585058404546</v>
      </c>
      <c r="H610" s="975">
        <v>4970.2193349199197</v>
      </c>
      <c r="J610" s="125">
        <v>4826.4589999999998</v>
      </c>
    </row>
    <row r="611" spans="1:10" ht="20.25">
      <c r="A611" t="s">
        <v>2982</v>
      </c>
      <c r="B611" s="967">
        <v>749672955</v>
      </c>
      <c r="C611" s="968">
        <v>1753.951</v>
      </c>
      <c r="D611" s="968">
        <v>1753.951</v>
      </c>
      <c r="E611" s="967">
        <v>145917</v>
      </c>
      <c r="F611" s="967">
        <v>110066</v>
      </c>
      <c r="G611" s="1538">
        <v>5263.0797260759437</v>
      </c>
      <c r="H611" s="975">
        <v>5402.0946183147253</v>
      </c>
      <c r="J611" s="125">
        <v>5263.08</v>
      </c>
    </row>
    <row r="612" spans="1:10" ht="20.25">
      <c r="A612" t="s">
        <v>2983</v>
      </c>
      <c r="B612" s="967">
        <v>312743981</v>
      </c>
      <c r="C612" s="968">
        <v>870.04600000000005</v>
      </c>
      <c r="D612" s="968">
        <v>870.04600000000005</v>
      </c>
      <c r="E612" s="967">
        <v>0</v>
      </c>
      <c r="F612" s="967">
        <v>149025</v>
      </c>
      <c r="G612" s="1538">
        <v>5206.9835215135799</v>
      </c>
      <c r="H612" s="975">
        <v>5351.3864517344273</v>
      </c>
      <c r="J612" s="125">
        <v>5206.9840000000004</v>
      </c>
    </row>
    <row r="613" spans="1:10" ht="20.25">
      <c r="A613" t="s">
        <v>2984</v>
      </c>
      <c r="B613" s="967">
        <v>152490711</v>
      </c>
      <c r="C613" s="968">
        <v>163.35900000000001</v>
      </c>
      <c r="D613" s="968">
        <v>163.35900000000001</v>
      </c>
      <c r="E613" s="967">
        <v>0</v>
      </c>
      <c r="F613" s="967">
        <v>21674</v>
      </c>
      <c r="G613" s="1538">
        <v>5691.411599003638</v>
      </c>
      <c r="H613" s="975">
        <v>5833.4844018988988</v>
      </c>
      <c r="J613" s="125">
        <v>5691.4120000000003</v>
      </c>
    </row>
    <row r="614" spans="1:10" ht="20.25">
      <c r="A614" t="s">
        <v>2985</v>
      </c>
      <c r="B614" s="967">
        <v>603953315</v>
      </c>
      <c r="C614" s="968">
        <v>811.85200000000009</v>
      </c>
      <c r="D614" s="968">
        <v>811.85200000000009</v>
      </c>
      <c r="E614" s="967">
        <v>0</v>
      </c>
      <c r="F614" s="967">
        <v>73095</v>
      </c>
      <c r="G614" s="1538">
        <v>5450.4209839528994</v>
      </c>
      <c r="H614" s="975">
        <v>5582.265670872076</v>
      </c>
      <c r="J614" s="125">
        <v>5450.4210000000003</v>
      </c>
    </row>
    <row r="615" spans="1:10" ht="20.25">
      <c r="A615" t="s">
        <v>1561</v>
      </c>
      <c r="B615" s="967">
        <v>282662580</v>
      </c>
      <c r="C615" s="968">
        <v>679.88200000000006</v>
      </c>
      <c r="D615" s="968">
        <v>679.88200000000006</v>
      </c>
      <c r="E615" s="967">
        <v>0</v>
      </c>
      <c r="F615" s="967">
        <v>166843</v>
      </c>
      <c r="G615" s="1538">
        <v>4841.8122678864647</v>
      </c>
      <c r="H615" s="975">
        <v>4985.4209415998566</v>
      </c>
      <c r="J615" s="125">
        <v>4841.8119999999999</v>
      </c>
    </row>
    <row r="616" spans="1:10" ht="20.25">
      <c r="A616" t="s">
        <v>1562</v>
      </c>
      <c r="B616" s="967">
        <v>174211167</v>
      </c>
      <c r="C616" s="968">
        <v>501.91200000000003</v>
      </c>
      <c r="D616" s="968">
        <v>501.91200000000003</v>
      </c>
      <c r="E616" s="967">
        <v>0</v>
      </c>
      <c r="F616" s="967">
        <v>55823</v>
      </c>
      <c r="G616" s="1538">
        <v>4875.4799406153479</v>
      </c>
      <c r="H616" s="975">
        <v>5248.596486310943</v>
      </c>
      <c r="J616" s="125">
        <v>4875.4799999999996</v>
      </c>
    </row>
    <row r="617" spans="1:10" ht="20.25">
      <c r="A617" t="s">
        <v>2783</v>
      </c>
      <c r="B617" s="967">
        <v>165660388</v>
      </c>
      <c r="C617" s="968">
        <v>204.98500000000001</v>
      </c>
      <c r="D617" s="968">
        <v>204.98500000000001</v>
      </c>
      <c r="E617" s="967">
        <v>0</v>
      </c>
      <c r="F617" s="967">
        <v>59233</v>
      </c>
      <c r="G617" s="1538">
        <v>5703.1247121005936</v>
      </c>
      <c r="H617" s="975">
        <v>5847.0881197814115</v>
      </c>
      <c r="J617" s="125">
        <v>5703.125</v>
      </c>
    </row>
    <row r="618" spans="1:10" ht="20.25">
      <c r="A618" t="s">
        <v>2421</v>
      </c>
      <c r="B618" s="967">
        <v>1422775373</v>
      </c>
      <c r="C618" s="968">
        <v>674.21199999999999</v>
      </c>
      <c r="D618" s="968">
        <v>674.21199999999999</v>
      </c>
      <c r="E618" s="967">
        <v>0</v>
      </c>
      <c r="F618" s="967">
        <v>140501</v>
      </c>
      <c r="G618" s="1538">
        <v>7353.9225993791924</v>
      </c>
      <c r="H618" s="975">
        <v>7497.2115376592601</v>
      </c>
      <c r="J618" s="125">
        <v>7353.9229999999998</v>
      </c>
    </row>
    <row r="619" spans="1:10" ht="20.25">
      <c r="A619" t="s">
        <v>3029</v>
      </c>
      <c r="B619" s="967">
        <v>670561040</v>
      </c>
      <c r="C619" s="968">
        <v>3435.721</v>
      </c>
      <c r="D619" s="968">
        <v>3435.721</v>
      </c>
      <c r="E619" s="967">
        <v>0</v>
      </c>
      <c r="F619" s="967">
        <v>483316</v>
      </c>
      <c r="G619" s="1538">
        <v>4913.1932045520944</v>
      </c>
      <c r="H619" s="975">
        <v>5059.8805560516357</v>
      </c>
      <c r="J619" s="125">
        <v>4917.1310000000003</v>
      </c>
    </row>
    <row r="620" spans="1:10" ht="20.25">
      <c r="A620" t="s">
        <v>2762</v>
      </c>
      <c r="B620" s="967">
        <v>1351245024</v>
      </c>
      <c r="C620" s="968">
        <v>4495.6390000000001</v>
      </c>
      <c r="D620" s="968">
        <v>4495.6390000000001</v>
      </c>
      <c r="E620" s="967">
        <v>0</v>
      </c>
      <c r="F620" s="967">
        <v>725092</v>
      </c>
      <c r="G620" s="1538">
        <v>5228.1950553812749</v>
      </c>
      <c r="H620" s="975">
        <v>5371.9876202219057</v>
      </c>
      <c r="J620" s="125">
        <v>5228.1949999999997</v>
      </c>
    </row>
    <row r="621" spans="1:10" ht="20.25">
      <c r="A621" t="s">
        <v>2422</v>
      </c>
      <c r="B621" s="967">
        <v>381793212</v>
      </c>
      <c r="C621" s="968">
        <v>149.34300000000002</v>
      </c>
      <c r="D621" s="968">
        <v>149.34300000000002</v>
      </c>
      <c r="E621" s="967">
        <v>0</v>
      </c>
      <c r="F621" s="967">
        <v>33013</v>
      </c>
      <c r="G621" s="1538">
        <v>7060.1906718817627</v>
      </c>
      <c r="H621" s="975">
        <v>7200.172321731955</v>
      </c>
      <c r="J621" s="125">
        <v>7060.1909999999998</v>
      </c>
    </row>
    <row r="622" spans="1:10" ht="20.25">
      <c r="A622" t="s">
        <v>2875</v>
      </c>
      <c r="B622" s="967">
        <v>232267937</v>
      </c>
      <c r="C622" s="968">
        <v>1140.6410000000001</v>
      </c>
      <c r="D622" s="968">
        <v>1140.6410000000001</v>
      </c>
      <c r="E622" s="967">
        <v>0</v>
      </c>
      <c r="F622" s="967">
        <v>210833</v>
      </c>
      <c r="G622" s="1538">
        <v>5377.0997774046646</v>
      </c>
      <c r="H622" s="975">
        <v>5529.5747358566014</v>
      </c>
      <c r="J622" s="125">
        <v>5377.1</v>
      </c>
    </row>
    <row r="623" spans="1:10" ht="20.25">
      <c r="A623" t="s">
        <v>1277</v>
      </c>
      <c r="B623" s="967">
        <v>256260256</v>
      </c>
      <c r="C623" s="968">
        <v>463.90300000000002</v>
      </c>
      <c r="D623" s="968">
        <v>463.90300000000002</v>
      </c>
      <c r="E623" s="967">
        <v>0</v>
      </c>
      <c r="F623" s="967">
        <v>59439</v>
      </c>
      <c r="G623" s="1538">
        <v>5565.3255403864496</v>
      </c>
      <c r="H623" s="975">
        <v>5709.5143226295177</v>
      </c>
      <c r="J623" s="125">
        <v>5565.326</v>
      </c>
    </row>
    <row r="624" spans="1:10" ht="20.25">
      <c r="A624" t="s">
        <v>2423</v>
      </c>
      <c r="B624" s="967">
        <v>805385829</v>
      </c>
      <c r="C624" s="968">
        <v>2027.327</v>
      </c>
      <c r="D624" s="968">
        <v>2027.327</v>
      </c>
      <c r="E624" s="967">
        <v>0</v>
      </c>
      <c r="F624" s="967">
        <v>154235</v>
      </c>
      <c r="G624" s="1538">
        <v>5162.3339157402525</v>
      </c>
      <c r="H624" s="975">
        <v>5306.2628875197288</v>
      </c>
      <c r="J624" s="125">
        <v>5162.3339999999998</v>
      </c>
    </row>
    <row r="625" spans="1:10" ht="20.25">
      <c r="A625" t="s">
        <v>2424</v>
      </c>
      <c r="B625" s="967">
        <v>336941226</v>
      </c>
      <c r="C625" s="968">
        <v>1852.664</v>
      </c>
      <c r="D625" s="968">
        <v>1852.664</v>
      </c>
      <c r="E625" s="967">
        <v>0</v>
      </c>
      <c r="F625" s="967">
        <v>214453</v>
      </c>
      <c r="G625" s="1538">
        <v>4614.9631322382829</v>
      </c>
      <c r="H625" s="975">
        <v>4988.0017169769117</v>
      </c>
      <c r="J625" s="125">
        <v>4614.9629999999997</v>
      </c>
    </row>
    <row r="626" spans="1:10" ht="20.25">
      <c r="A626" t="s">
        <v>1093</v>
      </c>
      <c r="B626" s="967">
        <v>31062763</v>
      </c>
      <c r="C626" s="968">
        <v>261.404</v>
      </c>
      <c r="D626" s="968">
        <v>261.404</v>
      </c>
      <c r="E626" s="967">
        <v>0</v>
      </c>
      <c r="F626" s="967">
        <v>16402</v>
      </c>
      <c r="G626" s="1538">
        <v>4717.0657643942513</v>
      </c>
      <c r="H626" s="975">
        <v>4957.8667047587951</v>
      </c>
      <c r="J626" s="125">
        <v>4717.0659999999998</v>
      </c>
    </row>
    <row r="627" spans="1:10" ht="20.25">
      <c r="A627" t="s">
        <v>1513</v>
      </c>
      <c r="B627" s="967">
        <v>2275936537</v>
      </c>
      <c r="C627" s="968">
        <v>1456.1860000000001</v>
      </c>
      <c r="D627" s="968">
        <v>1456.1860000000001</v>
      </c>
      <c r="E627" s="967">
        <v>0</v>
      </c>
      <c r="F627" s="967">
        <v>221623</v>
      </c>
      <c r="G627" s="1538">
        <v>6669.0720867381533</v>
      </c>
      <c r="H627" s="975">
        <v>6811.6603176926446</v>
      </c>
      <c r="J627" s="125">
        <v>6669.0720000000001</v>
      </c>
    </row>
    <row r="628" spans="1:10" ht="20.25">
      <c r="A628" t="s">
        <v>1902</v>
      </c>
      <c r="B628" s="967">
        <v>393138142</v>
      </c>
      <c r="C628" s="968">
        <v>1967.8110000000001</v>
      </c>
      <c r="D628" s="968">
        <v>1967.8110000000001</v>
      </c>
      <c r="E628" s="967">
        <v>0</v>
      </c>
      <c r="F628" s="967">
        <v>151223</v>
      </c>
      <c r="G628" s="1538">
        <v>4771.6807329711237</v>
      </c>
      <c r="H628" s="975">
        <v>4974.1120941155714</v>
      </c>
      <c r="J628" s="125">
        <v>4771.6809999999996</v>
      </c>
    </row>
    <row r="629" spans="1:10" ht="20.25">
      <c r="A629" t="s">
        <v>1903</v>
      </c>
      <c r="B629" s="967">
        <v>245724624</v>
      </c>
      <c r="C629" s="968">
        <v>358.37900000000002</v>
      </c>
      <c r="D629" s="968">
        <v>358.37900000000002</v>
      </c>
      <c r="E629" s="967">
        <v>0</v>
      </c>
      <c r="F629" s="967">
        <v>6270</v>
      </c>
      <c r="G629" s="1538">
        <v>5267.9487305351759</v>
      </c>
      <c r="H629" s="975">
        <v>5411.149625466589</v>
      </c>
      <c r="J629" s="125">
        <v>5267.9480000000003</v>
      </c>
    </row>
    <row r="630" spans="1:10" ht="20.25">
      <c r="A630" t="s">
        <v>2926</v>
      </c>
      <c r="B630" s="967">
        <v>276520914</v>
      </c>
      <c r="C630" s="968">
        <v>149.166</v>
      </c>
      <c r="D630" s="968">
        <v>149.166</v>
      </c>
      <c r="E630" s="967">
        <v>0</v>
      </c>
      <c r="F630" s="967">
        <v>26387</v>
      </c>
      <c r="G630" s="1538">
        <v>7768.8560465255714</v>
      </c>
      <c r="H630" s="975">
        <v>7912.6504218555656</v>
      </c>
      <c r="J630" s="125">
        <v>7768.8559999999998</v>
      </c>
    </row>
    <row r="631" spans="1:10" ht="20.25">
      <c r="A631" t="s">
        <v>2927</v>
      </c>
      <c r="B631" s="967">
        <v>283496727</v>
      </c>
      <c r="C631" s="968">
        <v>84.564999999999998</v>
      </c>
      <c r="D631" s="968">
        <v>84.564999999999998</v>
      </c>
      <c r="E631" s="967">
        <v>0</v>
      </c>
      <c r="F631" s="967">
        <v>17469</v>
      </c>
      <c r="G631" s="1538">
        <v>7719.8434608122334</v>
      </c>
      <c r="H631" s="975">
        <v>7875.1362902874098</v>
      </c>
      <c r="J631" s="125">
        <v>7719.8429999999998</v>
      </c>
    </row>
    <row r="632" spans="1:10" ht="20.25">
      <c r="A632" t="s">
        <v>3056</v>
      </c>
      <c r="B632" s="967">
        <v>244980342</v>
      </c>
      <c r="C632" s="968">
        <v>127.13300000000001</v>
      </c>
      <c r="D632" s="968">
        <v>127.13300000000001</v>
      </c>
      <c r="E632" s="967">
        <v>0</v>
      </c>
      <c r="F632" s="967">
        <v>3467</v>
      </c>
      <c r="G632" s="1538">
        <v>6803.1531458562822</v>
      </c>
      <c r="H632" s="975">
        <v>6946.4270529210007</v>
      </c>
      <c r="J632" s="125">
        <v>6803.1530000000002</v>
      </c>
    </row>
    <row r="633" spans="1:10" ht="20.25">
      <c r="A633" t="s">
        <v>947</v>
      </c>
      <c r="B633" s="967">
        <v>519915329</v>
      </c>
      <c r="C633" s="968">
        <v>1036.845</v>
      </c>
      <c r="D633" s="968">
        <v>1036.845</v>
      </c>
      <c r="E633" s="967">
        <v>0</v>
      </c>
      <c r="F633" s="967">
        <v>209138</v>
      </c>
      <c r="G633" s="1538">
        <v>5183.2667228883265</v>
      </c>
      <c r="H633" s="975">
        <v>5326.8210987845387</v>
      </c>
      <c r="J633" s="125">
        <v>5183.2669999999998</v>
      </c>
    </row>
    <row r="634" spans="1:10" ht="20.25">
      <c r="A634" t="s">
        <v>95</v>
      </c>
      <c r="B634" s="967">
        <v>542295119</v>
      </c>
      <c r="C634" s="968">
        <v>589.52600000000007</v>
      </c>
      <c r="D634" s="968">
        <v>589.52600000000007</v>
      </c>
      <c r="E634" s="967">
        <v>0</v>
      </c>
      <c r="F634" s="967">
        <v>61914</v>
      </c>
      <c r="G634" s="1538">
        <v>5674.117481031205</v>
      </c>
      <c r="H634" s="975">
        <v>5817.8765152497817</v>
      </c>
      <c r="J634" s="125">
        <v>5674.1170000000002</v>
      </c>
    </row>
    <row r="635" spans="1:10" ht="20.25">
      <c r="A635" t="s">
        <v>96</v>
      </c>
      <c r="B635" s="967">
        <v>2625145615</v>
      </c>
      <c r="C635" s="968">
        <v>1784.018</v>
      </c>
      <c r="D635" s="968">
        <v>1784.018</v>
      </c>
      <c r="E635" s="967">
        <v>0</v>
      </c>
      <c r="F635" s="967">
        <v>297391</v>
      </c>
      <c r="G635" s="1538">
        <v>5768.01271810047</v>
      </c>
      <c r="H635" s="975">
        <v>5912.3828176044217</v>
      </c>
      <c r="J635" s="125">
        <v>5770.4930000000004</v>
      </c>
    </row>
    <row r="636" spans="1:10" ht="20.25">
      <c r="A636" t="s">
        <v>2607</v>
      </c>
      <c r="B636" s="967">
        <v>8311316365</v>
      </c>
      <c r="C636" s="968">
        <v>26159.637999999999</v>
      </c>
      <c r="D636" s="968">
        <v>26159.637999999999</v>
      </c>
      <c r="E636" s="967">
        <v>0</v>
      </c>
      <c r="F636" s="967">
        <v>969890</v>
      </c>
      <c r="G636" s="1538">
        <v>4872.842991312029</v>
      </c>
      <c r="H636" s="975">
        <v>5084.1471287539089</v>
      </c>
      <c r="J636" s="125">
        <v>4872.8059999999996</v>
      </c>
    </row>
    <row r="637" spans="1:10" ht="20.25">
      <c r="A637" t="s">
        <v>2764</v>
      </c>
      <c r="B637" s="967">
        <v>177771287</v>
      </c>
      <c r="C637" s="968">
        <v>688.19799999999998</v>
      </c>
      <c r="D637" s="968">
        <v>688.19799999999998</v>
      </c>
      <c r="E637" s="967">
        <v>0</v>
      </c>
      <c r="F637" s="967">
        <v>64495</v>
      </c>
      <c r="G637" s="1538">
        <v>4834.5937458411745</v>
      </c>
      <c r="H637" s="975">
        <v>4972.760320834599</v>
      </c>
      <c r="J637" s="125">
        <v>4834.5929999999998</v>
      </c>
    </row>
    <row r="638" spans="1:10" ht="20.25">
      <c r="A638" t="s">
        <v>2765</v>
      </c>
      <c r="B638" s="967">
        <v>244038041</v>
      </c>
      <c r="C638" s="968">
        <v>1194.4829999999999</v>
      </c>
      <c r="D638" s="968">
        <v>1194.4829999999999</v>
      </c>
      <c r="E638" s="967">
        <v>0</v>
      </c>
      <c r="F638" s="967">
        <v>109481</v>
      </c>
      <c r="G638" s="1538">
        <v>4803.8196431469351</v>
      </c>
      <c r="H638" s="975">
        <v>5051.4087450501165</v>
      </c>
      <c r="J638" s="125">
        <v>4803.82</v>
      </c>
    </row>
    <row r="639" spans="1:10" ht="20.25">
      <c r="A639" t="s">
        <v>2414</v>
      </c>
      <c r="B639" s="967">
        <v>1223073339</v>
      </c>
      <c r="C639" s="968">
        <v>3536.7550000000001</v>
      </c>
      <c r="D639" s="968">
        <v>3536.7550000000001</v>
      </c>
      <c r="E639" s="967">
        <v>32982</v>
      </c>
      <c r="F639" s="967">
        <v>261285</v>
      </c>
      <c r="G639" s="1538">
        <v>5186.8766852073668</v>
      </c>
      <c r="H639" s="975">
        <v>5328.9795264759241</v>
      </c>
      <c r="J639" s="125">
        <v>5186.8770000000004</v>
      </c>
    </row>
    <row r="640" spans="1:10" ht="20.25">
      <c r="A640" t="s">
        <v>1603</v>
      </c>
      <c r="B640" s="967">
        <v>2159241613</v>
      </c>
      <c r="C640" s="968">
        <v>6924.2120000000004</v>
      </c>
      <c r="D640" s="968">
        <v>6924.2120000000004</v>
      </c>
      <c r="E640" s="967">
        <v>126253</v>
      </c>
      <c r="F640" s="967">
        <v>425969</v>
      </c>
      <c r="G640" s="1538">
        <v>5083.1365250586678</v>
      </c>
      <c r="H640" s="975">
        <v>5226.0918350502852</v>
      </c>
      <c r="J640" s="125">
        <v>5083.366</v>
      </c>
    </row>
    <row r="641" spans="1:10" ht="20.25">
      <c r="A641" t="s">
        <v>2766</v>
      </c>
      <c r="B641" s="967">
        <v>208500864</v>
      </c>
      <c r="C641" s="968">
        <v>1023.9090000000001</v>
      </c>
      <c r="D641" s="968">
        <v>1023.9090000000001</v>
      </c>
      <c r="E641" s="967">
        <v>0</v>
      </c>
      <c r="F641" s="967">
        <v>198239</v>
      </c>
      <c r="G641" s="1538">
        <v>4925.7736655758545</v>
      </c>
      <c r="H641" s="975">
        <v>5070.3609822688986</v>
      </c>
      <c r="J641" s="125">
        <v>4925.7740000000003</v>
      </c>
    </row>
    <row r="642" spans="1:10" ht="20.25">
      <c r="A642" t="s">
        <v>538</v>
      </c>
      <c r="B642" s="967">
        <v>204234764</v>
      </c>
      <c r="C642" s="968">
        <v>1375.143</v>
      </c>
      <c r="D642" s="968">
        <v>1375.143</v>
      </c>
      <c r="E642" s="967">
        <v>0</v>
      </c>
      <c r="F642" s="967">
        <v>206217</v>
      </c>
      <c r="G642" s="1538">
        <v>5009.2864524349925</v>
      </c>
      <c r="H642" s="975">
        <v>5152.2673772572398</v>
      </c>
      <c r="J642" s="125">
        <v>5009.2860000000001</v>
      </c>
    </row>
    <row r="643" spans="1:10" ht="20.25">
      <c r="A643" t="s">
        <v>775</v>
      </c>
      <c r="B643" s="967">
        <v>197693969</v>
      </c>
      <c r="C643" s="968">
        <v>886.73300000000006</v>
      </c>
      <c r="D643" s="968">
        <v>886.73300000000006</v>
      </c>
      <c r="E643" s="967">
        <v>0</v>
      </c>
      <c r="F643" s="967">
        <v>36659</v>
      </c>
      <c r="G643" s="1538">
        <v>4742.259471489303</v>
      </c>
      <c r="H643" s="975">
        <v>4886.1543556954311</v>
      </c>
      <c r="J643" s="125">
        <v>4742.259</v>
      </c>
    </row>
    <row r="644" spans="1:10" ht="20.25">
      <c r="A644" t="s">
        <v>2679</v>
      </c>
      <c r="B644" s="967">
        <v>109540549</v>
      </c>
      <c r="C644" s="968">
        <v>306.20600000000002</v>
      </c>
      <c r="D644" s="968">
        <v>306.20600000000002</v>
      </c>
      <c r="E644" s="967">
        <v>0</v>
      </c>
      <c r="F644" s="967">
        <v>39271</v>
      </c>
      <c r="G644" s="1538">
        <v>5245.9661277409023</v>
      </c>
      <c r="H644" s="975">
        <v>5389.1819920434464</v>
      </c>
      <c r="J644" s="125">
        <v>5245.9660000000003</v>
      </c>
    </row>
    <row r="645" spans="1:10" ht="20.25">
      <c r="A645" t="s">
        <v>2680</v>
      </c>
      <c r="B645" s="967">
        <v>105815156</v>
      </c>
      <c r="C645" s="968">
        <v>557.80100000000004</v>
      </c>
      <c r="D645" s="968">
        <v>557.80100000000004</v>
      </c>
      <c r="E645" s="967">
        <v>0</v>
      </c>
      <c r="F645" s="967">
        <v>25606</v>
      </c>
      <c r="G645" s="1538">
        <v>4742.7186998223606</v>
      </c>
      <c r="H645" s="975">
        <v>4969.8823569570777</v>
      </c>
      <c r="J645" s="125">
        <v>4742.7190000000001</v>
      </c>
    </row>
    <row r="646" spans="1:10" ht="20.25">
      <c r="A646" t="s">
        <v>2681</v>
      </c>
      <c r="B646" s="967">
        <v>43137898</v>
      </c>
      <c r="C646" s="968">
        <v>173.20600000000002</v>
      </c>
      <c r="D646" s="968">
        <v>173.20600000000002</v>
      </c>
      <c r="E646" s="967">
        <v>0</v>
      </c>
      <c r="F646" s="967">
        <v>16671</v>
      </c>
      <c r="G646" s="1538">
        <v>4956.4611621939484</v>
      </c>
      <c r="H646" s="975">
        <v>5163.6236705681158</v>
      </c>
      <c r="J646" s="125">
        <v>4956.4610000000002</v>
      </c>
    </row>
    <row r="647" spans="1:10" ht="20.25">
      <c r="A647" t="s">
        <v>1651</v>
      </c>
      <c r="B647" s="967">
        <v>43698483</v>
      </c>
      <c r="C647" s="968">
        <v>125.712</v>
      </c>
      <c r="D647" s="968">
        <v>125.712</v>
      </c>
      <c r="E647" s="967">
        <v>0</v>
      </c>
      <c r="F647" s="967">
        <v>17815</v>
      </c>
      <c r="G647" s="1538">
        <v>4771.5669626701556</v>
      </c>
      <c r="H647" s="975">
        <v>5138.9242368810346</v>
      </c>
      <c r="J647" s="125">
        <v>4771.567</v>
      </c>
    </row>
    <row r="648" spans="1:10" ht="20.25">
      <c r="A648" t="s">
        <v>2389</v>
      </c>
      <c r="B648" s="967">
        <v>430165667</v>
      </c>
      <c r="C648" s="968">
        <v>2111.8160000000003</v>
      </c>
      <c r="D648" s="968">
        <v>2111.8160000000003</v>
      </c>
      <c r="E648" s="967">
        <v>0</v>
      </c>
      <c r="F648" s="967">
        <v>212495</v>
      </c>
      <c r="G648" s="1538">
        <v>4999.6735403078837</v>
      </c>
      <c r="H648" s="975">
        <v>5142.7741808144556</v>
      </c>
      <c r="J648" s="125">
        <v>4999.674</v>
      </c>
    </row>
    <row r="649" spans="1:10" ht="20.25">
      <c r="A649" t="s">
        <v>1652</v>
      </c>
      <c r="B649" s="967">
        <v>134469263</v>
      </c>
      <c r="C649" s="968">
        <v>332.50400000000002</v>
      </c>
      <c r="D649" s="968">
        <v>332.50400000000002</v>
      </c>
      <c r="E649" s="967">
        <v>0</v>
      </c>
      <c r="F649" s="967">
        <v>27932</v>
      </c>
      <c r="G649" s="1538">
        <v>4870.4767088976887</v>
      </c>
      <c r="H649" s="975">
        <v>5012.3045728616398</v>
      </c>
      <c r="J649" s="125">
        <v>4870.4750000000004</v>
      </c>
    </row>
    <row r="650" spans="1:10" ht="20.25">
      <c r="A650" t="s">
        <v>418</v>
      </c>
      <c r="B650" s="967">
        <v>602165740</v>
      </c>
      <c r="C650" s="968">
        <v>1138</v>
      </c>
      <c r="D650" s="968">
        <v>1138</v>
      </c>
      <c r="E650" s="967">
        <v>0</v>
      </c>
      <c r="F650" s="967">
        <v>212449</v>
      </c>
      <c r="G650" s="1538">
        <v>4930.3531062436668</v>
      </c>
      <c r="H650" s="975">
        <v>5074.2133353972959</v>
      </c>
      <c r="J650" s="125">
        <v>4930.3530000000001</v>
      </c>
    </row>
    <row r="651" spans="1:10" ht="20.25">
      <c r="A651" t="s">
        <v>419</v>
      </c>
      <c r="B651" s="967">
        <v>582528724</v>
      </c>
      <c r="C651" s="968">
        <v>717.98900000000003</v>
      </c>
      <c r="D651" s="968">
        <v>717.98900000000003</v>
      </c>
      <c r="E651" s="967">
        <v>0</v>
      </c>
      <c r="F651" s="967">
        <v>56265</v>
      </c>
      <c r="G651" s="1538">
        <v>6026.8483554104441</v>
      </c>
      <c r="H651" s="975">
        <v>6169.8698643165108</v>
      </c>
      <c r="J651" s="125">
        <v>6026.848</v>
      </c>
    </row>
    <row r="652" spans="1:10" ht="20.25">
      <c r="A652" t="s">
        <v>420</v>
      </c>
      <c r="B652" s="967">
        <v>591606307</v>
      </c>
      <c r="C652" s="968">
        <v>196.62800000000001</v>
      </c>
      <c r="D652" s="968">
        <v>196.62800000000001</v>
      </c>
      <c r="E652" s="967">
        <v>0</v>
      </c>
      <c r="F652" s="967">
        <v>28724</v>
      </c>
      <c r="G652" s="1538">
        <v>7155.9745410349897</v>
      </c>
      <c r="H652" s="975">
        <v>7300.4161828261404</v>
      </c>
      <c r="J652" s="125">
        <v>7155.9750000000004</v>
      </c>
    </row>
    <row r="653" spans="1:10" ht="20.25">
      <c r="A653" t="s">
        <v>1856</v>
      </c>
      <c r="B653" s="967">
        <v>246026438</v>
      </c>
      <c r="C653" s="968">
        <v>619.44400000000007</v>
      </c>
      <c r="D653" s="968">
        <v>619.44400000000007</v>
      </c>
      <c r="E653" s="967">
        <v>0</v>
      </c>
      <c r="F653" s="967">
        <v>116597</v>
      </c>
      <c r="G653" s="1538">
        <v>5186.6869860000979</v>
      </c>
      <c r="H653" s="975">
        <v>5329.1264171358625</v>
      </c>
      <c r="J653" s="125">
        <v>5186.6869999999999</v>
      </c>
    </row>
    <row r="654" spans="1:10" ht="20.25">
      <c r="A654" t="s">
        <v>1857</v>
      </c>
      <c r="B654" s="967">
        <v>1085833353</v>
      </c>
      <c r="C654" s="968">
        <v>3495.578</v>
      </c>
      <c r="D654" s="968">
        <v>3495.578</v>
      </c>
      <c r="E654" s="967">
        <v>0</v>
      </c>
      <c r="F654" s="967">
        <v>161386</v>
      </c>
      <c r="G654" s="1538">
        <v>5168.4261075021332</v>
      </c>
      <c r="H654" s="975">
        <v>5311.8002337752741</v>
      </c>
      <c r="J654" s="125">
        <v>5167.5559999999996</v>
      </c>
    </row>
    <row r="655" spans="1:10" ht="20.25">
      <c r="A655" t="s">
        <v>201</v>
      </c>
      <c r="B655" s="967">
        <v>681128481</v>
      </c>
      <c r="C655" s="968">
        <v>765.83699999999999</v>
      </c>
      <c r="D655" s="968">
        <v>765.83699999999999</v>
      </c>
      <c r="E655" s="967">
        <v>0</v>
      </c>
      <c r="F655" s="967">
        <v>104873</v>
      </c>
      <c r="G655" s="1538">
        <v>5556.7413184587695</v>
      </c>
      <c r="H655" s="975">
        <v>5700.4740308300961</v>
      </c>
      <c r="J655" s="125">
        <v>5556.741</v>
      </c>
    </row>
    <row r="656" spans="1:10" ht="20.25">
      <c r="A656" t="s">
        <v>2438</v>
      </c>
      <c r="B656" s="967">
        <v>233854913</v>
      </c>
      <c r="C656" s="968">
        <v>87.365000000000009</v>
      </c>
      <c r="D656" s="968">
        <v>87.365000000000009</v>
      </c>
      <c r="E656" s="967">
        <v>0</v>
      </c>
      <c r="F656" s="967">
        <v>9963</v>
      </c>
      <c r="G656" s="1538">
        <v>5797.2885851645824</v>
      </c>
      <c r="H656" s="975">
        <v>6135.6251688483926</v>
      </c>
      <c r="J656" s="125">
        <v>5993.1779999999999</v>
      </c>
    </row>
    <row r="657" spans="1:10" ht="20.25">
      <c r="A657" t="s">
        <v>2439</v>
      </c>
      <c r="B657" s="967">
        <v>1526672270</v>
      </c>
      <c r="C657" s="968">
        <v>1403.4110000000001</v>
      </c>
      <c r="D657" s="968">
        <v>1403.4110000000001</v>
      </c>
      <c r="E657" s="967">
        <v>0</v>
      </c>
      <c r="F657" s="967">
        <v>95776</v>
      </c>
      <c r="G657" s="1538">
        <v>6688.6810564315083</v>
      </c>
      <c r="H657" s="975">
        <v>6832.0449940971612</v>
      </c>
      <c r="J657" s="125">
        <v>6688.6809999999996</v>
      </c>
    </row>
    <row r="658" spans="1:10" ht="20.25">
      <c r="A658" t="s">
        <v>2440</v>
      </c>
      <c r="B658" s="967">
        <v>550769186</v>
      </c>
      <c r="C658" s="968">
        <v>901.61099999999999</v>
      </c>
      <c r="D658" s="968">
        <v>901.61099999999999</v>
      </c>
      <c r="E658" s="967">
        <v>0</v>
      </c>
      <c r="F658" s="967">
        <v>128330</v>
      </c>
      <c r="G658" s="1538">
        <v>5214.1155964071104</v>
      </c>
      <c r="H658" s="975">
        <v>5357.1452402680879</v>
      </c>
      <c r="J658" s="125">
        <v>5214.116</v>
      </c>
    </row>
    <row r="659" spans="1:10" ht="20.25">
      <c r="A659" t="s">
        <v>2057</v>
      </c>
      <c r="B659" s="967">
        <v>1630385271</v>
      </c>
      <c r="C659" s="968">
        <v>13448.098</v>
      </c>
      <c r="D659" s="968">
        <v>13448.098</v>
      </c>
      <c r="E659" s="967">
        <v>168661</v>
      </c>
      <c r="F659" s="967">
        <v>913978</v>
      </c>
      <c r="G659" s="1538">
        <v>4525.1549893043311</v>
      </c>
      <c r="H659" s="975">
        <v>4669.4825571884567</v>
      </c>
      <c r="J659" s="125">
        <v>4525.1350000000002</v>
      </c>
    </row>
    <row r="660" spans="1:10" ht="20.25">
      <c r="A660" t="s">
        <v>992</v>
      </c>
      <c r="B660" s="967">
        <v>286301521</v>
      </c>
      <c r="C660" s="968">
        <v>1180.6690000000001</v>
      </c>
      <c r="D660" s="968">
        <v>1180.6690000000001</v>
      </c>
      <c r="E660" s="967">
        <v>39887</v>
      </c>
      <c r="F660" s="967">
        <v>101657</v>
      </c>
      <c r="G660" s="1538">
        <v>5091.88575597409</v>
      </c>
      <c r="H660" s="975">
        <v>5235.990027455251</v>
      </c>
      <c r="J660" s="125">
        <v>5091.8860000000004</v>
      </c>
    </row>
    <row r="661" spans="1:10" ht="20.25">
      <c r="A661" t="s">
        <v>1583</v>
      </c>
      <c r="B661" s="967">
        <v>39391501</v>
      </c>
      <c r="C661" s="968">
        <v>200.49800000000002</v>
      </c>
      <c r="D661" s="968">
        <v>200.49800000000002</v>
      </c>
      <c r="E661" s="967">
        <v>0</v>
      </c>
      <c r="F661" s="967">
        <v>33294</v>
      </c>
      <c r="G661" s="1538">
        <v>4884.7766936228918</v>
      </c>
      <c r="H661" s="975">
        <v>5080.2985663953341</v>
      </c>
      <c r="J661" s="125">
        <v>4884.777</v>
      </c>
    </row>
    <row r="662" spans="1:10" ht="20.25">
      <c r="A662" t="s">
        <v>2265</v>
      </c>
      <c r="B662" s="967">
        <v>17840205</v>
      </c>
      <c r="C662" s="968">
        <v>99.463999999999999</v>
      </c>
      <c r="D662" s="968">
        <v>99.463999999999999</v>
      </c>
      <c r="E662" s="967">
        <v>0</v>
      </c>
      <c r="F662" s="967">
        <v>10037</v>
      </c>
      <c r="G662" s="1538">
        <v>4766.2894968276896</v>
      </c>
      <c r="H662" s="975">
        <v>4909.6741535998499</v>
      </c>
      <c r="J662" s="125">
        <v>4766.2889999999998</v>
      </c>
    </row>
    <row r="663" spans="1:10" ht="20.25">
      <c r="A663" t="s">
        <v>1094</v>
      </c>
      <c r="B663" s="967">
        <v>127585463</v>
      </c>
      <c r="C663" s="968">
        <v>579.32100000000003</v>
      </c>
      <c r="D663" s="968">
        <v>579.32100000000003</v>
      </c>
      <c r="E663" s="967">
        <v>0</v>
      </c>
      <c r="F663" s="967">
        <v>47835</v>
      </c>
      <c r="G663" s="1538">
        <v>4799.3368148190193</v>
      </c>
      <c r="H663" s="975">
        <v>4982.9495463619078</v>
      </c>
      <c r="J663" s="125">
        <v>4799.3370000000004</v>
      </c>
    </row>
    <row r="664" spans="1:10" ht="20.25">
      <c r="A664" t="s">
        <v>1012</v>
      </c>
      <c r="B664" s="967">
        <v>3143123499</v>
      </c>
      <c r="C664" s="968">
        <v>6525.8940000000002</v>
      </c>
      <c r="D664" s="968">
        <v>6525.8940000000002</v>
      </c>
      <c r="E664" s="967">
        <v>107145</v>
      </c>
      <c r="F664" s="967">
        <v>402763</v>
      </c>
      <c r="G664" s="1538">
        <v>5598.7917118222522</v>
      </c>
      <c r="H664" s="975">
        <v>5741.2567088137048</v>
      </c>
      <c r="J664" s="125">
        <v>5598.7920000000004</v>
      </c>
    </row>
    <row r="665" spans="1:10" ht="20.25">
      <c r="A665" t="s">
        <v>800</v>
      </c>
      <c r="B665" s="967">
        <v>574327408</v>
      </c>
      <c r="C665" s="968">
        <v>2671.9790000000003</v>
      </c>
      <c r="D665" s="968">
        <v>2671.9790000000003</v>
      </c>
      <c r="E665" s="967">
        <v>0</v>
      </c>
      <c r="F665" s="967">
        <v>192386</v>
      </c>
      <c r="G665" s="1538">
        <v>4868.7529577015976</v>
      </c>
      <c r="H665" s="975">
        <v>5011.5814852670865</v>
      </c>
      <c r="J665" s="125">
        <v>4868.7529999999997</v>
      </c>
    </row>
    <row r="666" spans="1:10" ht="20.25">
      <c r="A666" t="s">
        <v>1095</v>
      </c>
      <c r="B666" s="967">
        <v>344868261</v>
      </c>
      <c r="C666" s="968">
        <v>1523.0910000000001</v>
      </c>
      <c r="D666" s="968">
        <v>1523.0910000000001</v>
      </c>
      <c r="E666" s="967">
        <v>0</v>
      </c>
      <c r="F666" s="967">
        <v>0</v>
      </c>
      <c r="G666" s="1538">
        <v>4864.1938301844775</v>
      </c>
      <c r="H666" s="975">
        <v>5007.9179387966915</v>
      </c>
      <c r="J666" s="125">
        <v>4864.1940000000004</v>
      </c>
    </row>
    <row r="667" spans="1:10" ht="20.25">
      <c r="A667" t="s">
        <v>2096</v>
      </c>
      <c r="B667" s="967">
        <v>80567551</v>
      </c>
      <c r="C667" s="968">
        <v>532.86</v>
      </c>
      <c r="D667" s="968">
        <v>532.86</v>
      </c>
      <c r="E667" s="967">
        <v>0</v>
      </c>
      <c r="F667" s="967">
        <v>30110</v>
      </c>
      <c r="G667" s="1538">
        <v>4999.2327741109075</v>
      </c>
      <c r="H667" s="975">
        <v>5142.9192378796788</v>
      </c>
      <c r="J667" s="125">
        <v>4999.2330000000002</v>
      </c>
    </row>
    <row r="668" spans="1:10" ht="20.25">
      <c r="A668" t="s">
        <v>1735</v>
      </c>
      <c r="B668" s="967">
        <v>252805661</v>
      </c>
      <c r="C668" s="968">
        <v>1232.7070000000001</v>
      </c>
      <c r="D668" s="968">
        <v>1232.7070000000001</v>
      </c>
      <c r="E668" s="967">
        <v>0</v>
      </c>
      <c r="F668" s="967">
        <v>73353</v>
      </c>
      <c r="G668" s="1538">
        <v>5282.7018602466196</v>
      </c>
      <c r="H668" s="975">
        <v>5425.7514451193802</v>
      </c>
      <c r="J668" s="125">
        <v>5282.7020000000002</v>
      </c>
    </row>
    <row r="669" spans="1:10" ht="20.25">
      <c r="A669" t="s">
        <v>134</v>
      </c>
      <c r="B669" s="967">
        <v>126792154</v>
      </c>
      <c r="C669" s="968">
        <v>672.21199999999999</v>
      </c>
      <c r="D669" s="968">
        <v>672.21199999999999</v>
      </c>
      <c r="E669" s="967">
        <v>0</v>
      </c>
      <c r="F669" s="967">
        <v>49490</v>
      </c>
      <c r="G669" s="1538">
        <v>5313.0181353067474</v>
      </c>
      <c r="H669" s="975">
        <v>5457.5044381847438</v>
      </c>
      <c r="J669" s="125">
        <v>5313.018</v>
      </c>
    </row>
    <row r="670" spans="1:10" ht="20.25">
      <c r="A670" t="s">
        <v>2384</v>
      </c>
      <c r="B670" s="967">
        <v>86292505</v>
      </c>
      <c r="C670" s="968">
        <v>553.24200000000008</v>
      </c>
      <c r="D670" s="968">
        <v>553.24200000000008</v>
      </c>
      <c r="E670" s="967">
        <v>0</v>
      </c>
      <c r="F670" s="967">
        <v>32250</v>
      </c>
      <c r="G670" s="1538">
        <v>4629.2717221828489</v>
      </c>
      <c r="H670" s="975">
        <v>5001.5204426404225</v>
      </c>
      <c r="J670" s="125">
        <v>4629.2719999999999</v>
      </c>
    </row>
    <row r="671" spans="1:10" ht="20.25">
      <c r="A671" t="s">
        <v>373</v>
      </c>
      <c r="B671" s="967">
        <v>3559813859</v>
      </c>
      <c r="C671" s="968">
        <v>13855.880999999999</v>
      </c>
      <c r="D671" s="968">
        <v>13855.880999999999</v>
      </c>
      <c r="E671" s="967">
        <v>0</v>
      </c>
      <c r="F671" s="967">
        <v>577293</v>
      </c>
      <c r="G671" s="1538">
        <v>4794.086048111556</v>
      </c>
      <c r="H671" s="975">
        <v>4936.975117508</v>
      </c>
      <c r="J671" s="125">
        <v>4794.0410000000002</v>
      </c>
    </row>
    <row r="672" spans="1:10" ht="20.25">
      <c r="A672" t="s">
        <v>376</v>
      </c>
      <c r="B672" s="967">
        <v>290235426</v>
      </c>
      <c r="C672" s="968">
        <v>1421.2730000000001</v>
      </c>
      <c r="D672" s="968">
        <v>1421.2730000000001</v>
      </c>
      <c r="E672" s="967">
        <v>0</v>
      </c>
      <c r="F672" s="967">
        <v>764680</v>
      </c>
      <c r="G672" s="1538">
        <v>5234.5812722558167</v>
      </c>
      <c r="H672" s="975">
        <v>5377.7848974261278</v>
      </c>
      <c r="J672" s="125">
        <v>5234.5810000000001</v>
      </c>
    </row>
    <row r="673" spans="1:10" ht="20.25">
      <c r="A673" t="s">
        <v>2819</v>
      </c>
      <c r="B673" s="967">
        <v>89391548</v>
      </c>
      <c r="C673" s="968">
        <v>715.84800000000007</v>
      </c>
      <c r="D673" s="968">
        <v>715.84800000000007</v>
      </c>
      <c r="E673" s="967">
        <v>0</v>
      </c>
      <c r="F673" s="967">
        <v>107245</v>
      </c>
      <c r="G673" s="1538">
        <v>4783.1959580672001</v>
      </c>
      <c r="H673" s="975">
        <v>4993.4100068137514</v>
      </c>
      <c r="J673" s="125">
        <v>4783.1959999999999</v>
      </c>
    </row>
    <row r="674" spans="1:10" ht="20.25">
      <c r="A674" t="s">
        <v>2820</v>
      </c>
      <c r="B674" s="967">
        <v>130711518</v>
      </c>
      <c r="C674" s="968">
        <v>806.93400000000008</v>
      </c>
      <c r="D674" s="968">
        <v>806.93400000000008</v>
      </c>
      <c r="E674" s="967">
        <v>0</v>
      </c>
      <c r="F674" s="967">
        <v>104426</v>
      </c>
      <c r="G674" s="1538">
        <v>4750.3168926759527</v>
      </c>
      <c r="H674" s="975">
        <v>4895.0951019892782</v>
      </c>
      <c r="J674" s="125">
        <v>4750.317</v>
      </c>
    </row>
    <row r="675" spans="1:10" ht="20.25">
      <c r="A675" t="s">
        <v>85</v>
      </c>
      <c r="B675" s="967">
        <v>502403430</v>
      </c>
      <c r="C675" s="968">
        <v>2156.9949999999999</v>
      </c>
      <c r="D675" s="968">
        <v>2156.9949999999999</v>
      </c>
      <c r="E675" s="967">
        <v>0</v>
      </c>
      <c r="F675" s="967">
        <v>0</v>
      </c>
      <c r="G675" s="1538">
        <v>4913.6705034024808</v>
      </c>
      <c r="H675" s="975">
        <v>5056.4539456491648</v>
      </c>
      <c r="J675" s="125">
        <v>4913.6710000000003</v>
      </c>
    </row>
    <row r="676" spans="1:10" ht="20.25">
      <c r="A676" t="s">
        <v>2638</v>
      </c>
      <c r="B676" s="967">
        <v>509653208</v>
      </c>
      <c r="C676" s="968">
        <v>2282.4349999999999</v>
      </c>
      <c r="D676" s="968">
        <v>2282.4349999999999</v>
      </c>
      <c r="E676" s="967">
        <v>0</v>
      </c>
      <c r="F676" s="967">
        <v>244270</v>
      </c>
      <c r="G676" s="1538">
        <v>4838.5475385913296</v>
      </c>
      <c r="H676" s="975">
        <v>5021.9612775420037</v>
      </c>
      <c r="J676" s="125">
        <v>4838.5479999999998</v>
      </c>
    </row>
    <row r="677" spans="1:10" ht="20.25">
      <c r="A677" t="s">
        <v>190</v>
      </c>
      <c r="B677" s="967">
        <v>425955630</v>
      </c>
      <c r="C677" s="968">
        <v>2056.2159999999999</v>
      </c>
      <c r="D677" s="968">
        <v>2056.2159999999999</v>
      </c>
      <c r="E677" s="967">
        <v>0</v>
      </c>
      <c r="F677" s="967">
        <v>126721</v>
      </c>
      <c r="G677" s="1538">
        <v>4902.6192424065348</v>
      </c>
      <c r="H677" s="975">
        <v>5046.7427497952249</v>
      </c>
      <c r="J677" s="125">
        <v>4902.6189999999997</v>
      </c>
    </row>
    <row r="678" spans="1:10" ht="20.25">
      <c r="A678" t="s">
        <v>991</v>
      </c>
      <c r="B678" s="967">
        <v>118153589</v>
      </c>
      <c r="C678" s="968">
        <v>515.36200000000008</v>
      </c>
      <c r="D678" s="968">
        <v>515.36200000000008</v>
      </c>
      <c r="E678" s="967">
        <v>60099</v>
      </c>
      <c r="F678" s="967">
        <v>12613</v>
      </c>
      <c r="G678" s="1538">
        <v>4784.414092370962</v>
      </c>
      <c r="H678" s="975">
        <v>4926.3928470822375</v>
      </c>
      <c r="J678" s="125">
        <v>4784.4139999999998</v>
      </c>
    </row>
    <row r="679" spans="1:10" ht="20.25">
      <c r="A679" t="s">
        <v>2098</v>
      </c>
      <c r="B679" s="967">
        <v>66881432</v>
      </c>
      <c r="C679" s="968">
        <v>110.664</v>
      </c>
      <c r="D679" s="968">
        <v>110.664</v>
      </c>
      <c r="E679" s="967">
        <v>0</v>
      </c>
      <c r="F679" s="967">
        <v>0</v>
      </c>
      <c r="G679" s="1538">
        <v>5491.7566606858727</v>
      </c>
      <c r="H679" s="975">
        <v>5636.3159260973107</v>
      </c>
      <c r="J679" s="125">
        <v>5491.7569999999996</v>
      </c>
    </row>
    <row r="680" spans="1:10" ht="20.25">
      <c r="A680" t="s">
        <v>287</v>
      </c>
      <c r="B680" s="967">
        <v>33141279</v>
      </c>
      <c r="C680" s="968">
        <v>139.73099999999999</v>
      </c>
      <c r="D680" s="968">
        <v>139.73099999999999</v>
      </c>
      <c r="E680" s="967">
        <v>0</v>
      </c>
      <c r="F680" s="967">
        <v>23711</v>
      </c>
      <c r="G680" s="1538">
        <v>5116.431282125186</v>
      </c>
      <c r="H680" s="975">
        <v>5259.8060802100927</v>
      </c>
      <c r="J680" s="125">
        <v>5116.4309999999996</v>
      </c>
    </row>
    <row r="681" spans="1:10" ht="20.25">
      <c r="A681" t="s">
        <v>1782</v>
      </c>
      <c r="B681" s="967">
        <v>503650338</v>
      </c>
      <c r="C681" s="968">
        <v>151.04600000000002</v>
      </c>
      <c r="D681" s="968">
        <v>151.04600000000002</v>
      </c>
      <c r="E681" s="967">
        <v>0</v>
      </c>
      <c r="F681" s="967">
        <v>68838</v>
      </c>
      <c r="G681" s="1538">
        <v>9684.6674878996109</v>
      </c>
      <c r="H681" s="975">
        <v>9828.4620725507921</v>
      </c>
      <c r="J681" s="125">
        <v>9684.6669999999995</v>
      </c>
    </row>
    <row r="682" spans="1:10" ht="20.25">
      <c r="A682" t="s">
        <v>1296</v>
      </c>
      <c r="B682" s="967">
        <v>296989947</v>
      </c>
      <c r="C682" s="968">
        <v>1785.4010000000001</v>
      </c>
      <c r="D682" s="968">
        <v>1785.4010000000001</v>
      </c>
      <c r="E682" s="967">
        <v>0</v>
      </c>
      <c r="F682" s="967">
        <v>191139</v>
      </c>
      <c r="G682" s="1538">
        <v>4919.490072524598</v>
      </c>
      <c r="H682" s="975">
        <v>5062.7291720387957</v>
      </c>
      <c r="J682" s="125">
        <v>4919.49</v>
      </c>
    </row>
    <row r="683" spans="1:10" ht="20.25">
      <c r="A683" t="s">
        <v>2266</v>
      </c>
      <c r="B683" s="967">
        <v>81803453</v>
      </c>
      <c r="C683" s="968">
        <v>303.40500000000003</v>
      </c>
      <c r="D683" s="968">
        <v>303.40500000000003</v>
      </c>
      <c r="E683" s="967">
        <v>0</v>
      </c>
      <c r="F683" s="967">
        <v>32203</v>
      </c>
      <c r="G683" s="1538">
        <v>4651.6362521608071</v>
      </c>
      <c r="H683" s="975">
        <v>4795.8597413743191</v>
      </c>
      <c r="J683" s="125">
        <v>4651.6360000000004</v>
      </c>
    </row>
    <row r="684" spans="1:10" ht="20.25">
      <c r="A684" t="s">
        <v>1036</v>
      </c>
      <c r="B684" s="967">
        <v>133478366</v>
      </c>
      <c r="C684" s="968">
        <v>1004.9450000000001</v>
      </c>
      <c r="D684" s="968">
        <v>1004.9450000000001</v>
      </c>
      <c r="E684" s="967">
        <v>0</v>
      </c>
      <c r="F684" s="967">
        <v>0</v>
      </c>
      <c r="G684" s="1538">
        <v>4649.2627995286102</v>
      </c>
      <c r="H684" s="975">
        <v>4829.7149104860173</v>
      </c>
      <c r="J684" s="125">
        <v>4649.2629999999999</v>
      </c>
    </row>
    <row r="685" spans="1:10" ht="20.25">
      <c r="A685" t="s">
        <v>199</v>
      </c>
      <c r="B685" s="967">
        <v>409130245</v>
      </c>
      <c r="C685" s="968">
        <v>2083.511</v>
      </c>
      <c r="D685" s="968">
        <v>2083.511</v>
      </c>
      <c r="E685" s="967">
        <v>0</v>
      </c>
      <c r="F685" s="967">
        <v>164264</v>
      </c>
      <c r="G685" s="1538">
        <v>4842.9539907418921</v>
      </c>
      <c r="H685" s="975">
        <v>5040.7204829030497</v>
      </c>
      <c r="J685" s="125">
        <v>4842.9539999999997</v>
      </c>
    </row>
    <row r="686" spans="1:10" ht="20.25">
      <c r="A686" t="s">
        <v>2896</v>
      </c>
      <c r="B686" s="967">
        <v>927726369</v>
      </c>
      <c r="C686" s="968">
        <v>3199.3440000000001</v>
      </c>
      <c r="D686" s="968">
        <v>3199.3440000000001</v>
      </c>
      <c r="E686" s="967">
        <v>0</v>
      </c>
      <c r="F686" s="967">
        <v>551399</v>
      </c>
      <c r="G686" s="1538">
        <v>5069.8402943340689</v>
      </c>
      <c r="H686" s="975">
        <v>5212.4076536825642</v>
      </c>
      <c r="J686" s="125">
        <v>5069.84</v>
      </c>
    </row>
    <row r="687" spans="1:10" ht="20.25">
      <c r="A687" t="s">
        <v>2978</v>
      </c>
      <c r="B687" s="967">
        <v>118214476</v>
      </c>
      <c r="C687" s="968">
        <v>306.96199999999999</v>
      </c>
      <c r="D687" s="968">
        <v>306.96199999999999</v>
      </c>
      <c r="E687" s="967">
        <v>0</v>
      </c>
      <c r="F687" s="967">
        <v>35034</v>
      </c>
      <c r="G687" s="1538">
        <v>4923.1554782424473</v>
      </c>
      <c r="H687" s="975">
        <v>5113.5091304743546</v>
      </c>
      <c r="J687" s="125">
        <v>4923.1549999999997</v>
      </c>
    </row>
    <row r="688" spans="1:10" ht="20.25">
      <c r="A688" t="s">
        <v>2899</v>
      </c>
      <c r="B688" s="967">
        <v>9999853656</v>
      </c>
      <c r="C688" s="968">
        <v>19551.545000000002</v>
      </c>
      <c r="D688" s="968">
        <v>19551.545000000002</v>
      </c>
      <c r="E688" s="967">
        <v>0</v>
      </c>
      <c r="F688" s="967">
        <v>1935499</v>
      </c>
      <c r="G688" s="1538">
        <v>5330.2391796450602</v>
      </c>
      <c r="H688" s="975">
        <v>5474.0503477391439</v>
      </c>
      <c r="J688" s="125">
        <v>5330.2389999999996</v>
      </c>
    </row>
    <row r="689" spans="1:10" ht="20.25">
      <c r="A689" t="s">
        <v>1475</v>
      </c>
      <c r="B689" s="967">
        <v>668185864</v>
      </c>
      <c r="C689" s="968">
        <v>1556.153</v>
      </c>
      <c r="D689" s="968">
        <v>1556.153</v>
      </c>
      <c r="E689" s="967">
        <v>0</v>
      </c>
      <c r="F689" s="967">
        <v>133653</v>
      </c>
      <c r="G689" s="1538">
        <v>5412.8242613028897</v>
      </c>
      <c r="H689" s="975">
        <v>5556.3798988464514</v>
      </c>
      <c r="J689" s="125">
        <v>5412.8239999999996</v>
      </c>
    </row>
    <row r="690" spans="1:10" ht="20.25">
      <c r="A690" t="s">
        <v>2156</v>
      </c>
      <c r="B690" s="967">
        <v>278380944</v>
      </c>
      <c r="C690" s="968">
        <v>1474.7340000000002</v>
      </c>
      <c r="D690" s="968">
        <v>1474.7340000000002</v>
      </c>
      <c r="E690" s="967">
        <v>0</v>
      </c>
      <c r="F690" s="967">
        <v>127517</v>
      </c>
      <c r="G690" s="1538">
        <v>4708.2048694289178</v>
      </c>
      <c r="H690" s="975">
        <v>4851.8080794826819</v>
      </c>
      <c r="J690" s="125">
        <v>4708.2049999999999</v>
      </c>
    </row>
    <row r="691" spans="1:10" ht="20.25">
      <c r="A691" t="s">
        <v>1536</v>
      </c>
      <c r="B691" s="967">
        <v>86746169</v>
      </c>
      <c r="C691" s="968">
        <v>139.91200000000001</v>
      </c>
      <c r="D691" s="968">
        <v>139.91200000000001</v>
      </c>
      <c r="E691" s="967">
        <v>0</v>
      </c>
      <c r="F691" s="967">
        <v>16500</v>
      </c>
      <c r="G691" s="1538">
        <v>5356.3943643311686</v>
      </c>
      <c r="H691" s="975">
        <v>5500.5361719393695</v>
      </c>
      <c r="J691" s="125">
        <v>5356.3940000000002</v>
      </c>
    </row>
    <row r="692" spans="1:10" ht="20.25">
      <c r="A692" t="s">
        <v>2900</v>
      </c>
      <c r="B692" s="967">
        <v>78217148</v>
      </c>
      <c r="C692" s="968">
        <v>400.87900000000002</v>
      </c>
      <c r="D692" s="968">
        <v>400.87900000000002</v>
      </c>
      <c r="E692" s="967">
        <v>0</v>
      </c>
      <c r="F692" s="967">
        <v>42912</v>
      </c>
      <c r="G692" s="1538">
        <v>4811.8756005232517</v>
      </c>
      <c r="H692" s="975">
        <v>4956.0080387875842</v>
      </c>
      <c r="J692" s="125">
        <v>4811.8760000000002</v>
      </c>
    </row>
    <row r="693" spans="1:10" ht="20.25">
      <c r="A693" t="s">
        <v>2513</v>
      </c>
      <c r="B693" s="967">
        <v>856643332</v>
      </c>
      <c r="C693" s="968">
        <v>1616.221</v>
      </c>
      <c r="D693" s="968">
        <v>1616.221</v>
      </c>
      <c r="E693" s="967">
        <v>89635</v>
      </c>
      <c r="F693" s="967">
        <v>160761</v>
      </c>
      <c r="G693" s="1538">
        <v>5021.2324843200959</v>
      </c>
      <c r="H693" s="975">
        <v>5395.3613505864359</v>
      </c>
      <c r="J693" s="125">
        <v>5021.232</v>
      </c>
    </row>
    <row r="694" spans="1:10" ht="20.25">
      <c r="A694" t="s">
        <v>1046</v>
      </c>
      <c r="B694" s="967">
        <v>112335686</v>
      </c>
      <c r="C694" s="968">
        <v>512.66999999999996</v>
      </c>
      <c r="D694" s="968">
        <v>512.66999999999996</v>
      </c>
      <c r="E694" s="967">
        <v>0</v>
      </c>
      <c r="F694" s="967">
        <v>47819</v>
      </c>
      <c r="G694" s="1538">
        <v>4763.0026065693137</v>
      </c>
      <c r="H694" s="975">
        <v>4907.3904114137185</v>
      </c>
      <c r="J694" s="125">
        <v>4763.0029999999997</v>
      </c>
    </row>
    <row r="695" spans="1:10" ht="20.25">
      <c r="A695" t="s">
        <v>409</v>
      </c>
      <c r="B695" s="967">
        <v>27268678</v>
      </c>
      <c r="C695" s="968">
        <v>166.18300000000002</v>
      </c>
      <c r="D695" s="968">
        <v>166.18300000000002</v>
      </c>
      <c r="E695" s="967">
        <v>0</v>
      </c>
      <c r="F695" s="967">
        <v>8916</v>
      </c>
      <c r="G695" s="1538">
        <v>4804.5818740583309</v>
      </c>
      <c r="H695" s="975">
        <v>4950.8428974787903</v>
      </c>
      <c r="J695" s="125">
        <v>4804.5820000000003</v>
      </c>
    </row>
    <row r="696" spans="1:10" ht="20.25">
      <c r="A696" t="s">
        <v>1436</v>
      </c>
      <c r="B696" s="967">
        <v>136014403</v>
      </c>
      <c r="C696" s="968">
        <v>552.21699999999998</v>
      </c>
      <c r="D696" s="968">
        <v>552.21699999999998</v>
      </c>
      <c r="E696" s="967">
        <v>0</v>
      </c>
      <c r="F696" s="967">
        <v>48881</v>
      </c>
      <c r="G696" s="1538">
        <v>4485.1420739979349</v>
      </c>
      <c r="H696" s="975">
        <v>4630.4462561980026</v>
      </c>
      <c r="J696" s="125">
        <v>4485.1419999999998</v>
      </c>
    </row>
    <row r="697" spans="1:10" ht="20.25">
      <c r="A697" t="s">
        <v>3070</v>
      </c>
      <c r="B697" s="967">
        <v>49620916</v>
      </c>
      <c r="C697" s="968">
        <v>98.585999999999999</v>
      </c>
      <c r="D697" s="968">
        <v>98.585999999999999</v>
      </c>
      <c r="E697" s="967">
        <v>0</v>
      </c>
      <c r="F697" s="967">
        <v>15557</v>
      </c>
      <c r="G697" s="1538">
        <v>4683.8906339340747</v>
      </c>
      <c r="H697" s="975">
        <v>4824.1364073506102</v>
      </c>
      <c r="J697" s="125">
        <v>4683.8909999999996</v>
      </c>
    </row>
    <row r="698" spans="1:10" ht="20.25">
      <c r="A698" t="s">
        <v>3071</v>
      </c>
      <c r="B698" s="967">
        <v>22854121</v>
      </c>
      <c r="C698" s="968">
        <v>63.7</v>
      </c>
      <c r="D698" s="968">
        <v>63.7</v>
      </c>
      <c r="E698" s="967">
        <v>0</v>
      </c>
      <c r="F698" s="967">
        <v>13378</v>
      </c>
      <c r="G698" s="1538">
        <v>3896.4369263991362</v>
      </c>
      <c r="H698" s="975">
        <v>4045.3645809905088</v>
      </c>
      <c r="J698" s="125">
        <v>3896.4369999999999</v>
      </c>
    </row>
    <row r="699" spans="1:10" ht="20.25">
      <c r="A699" t="s">
        <v>2267</v>
      </c>
      <c r="B699" s="967">
        <v>17406216</v>
      </c>
      <c r="C699" s="968">
        <v>94.326999999999998</v>
      </c>
      <c r="D699" s="968">
        <v>94.326999999999998</v>
      </c>
      <c r="E699" s="967">
        <v>0</v>
      </c>
      <c r="F699" s="967">
        <v>9156</v>
      </c>
      <c r="G699" s="1538">
        <v>4485.8439272784444</v>
      </c>
      <c r="H699" s="975">
        <v>4628.3844262903503</v>
      </c>
      <c r="J699" s="125">
        <v>4485.8440000000001</v>
      </c>
    </row>
    <row r="700" spans="1:10" ht="20.25">
      <c r="A700" t="s">
        <v>3072</v>
      </c>
      <c r="B700" s="967">
        <v>299947340</v>
      </c>
      <c r="C700" s="968">
        <v>969.31900000000007</v>
      </c>
      <c r="D700" s="968">
        <v>969.31900000000007</v>
      </c>
      <c r="E700" s="967">
        <v>0</v>
      </c>
      <c r="F700" s="967">
        <v>40248</v>
      </c>
      <c r="G700" s="1538">
        <v>4826.2467965698188</v>
      </c>
      <c r="H700" s="975">
        <v>4969.580720178179</v>
      </c>
      <c r="J700" s="125">
        <v>4826.2470000000003</v>
      </c>
    </row>
    <row r="701" spans="1:10" ht="20.25">
      <c r="A701" t="s">
        <v>3073</v>
      </c>
      <c r="B701" s="967">
        <v>83610430</v>
      </c>
      <c r="C701" s="968">
        <v>149.85599999999999</v>
      </c>
      <c r="D701" s="968">
        <v>149.85599999999999</v>
      </c>
      <c r="E701" s="967">
        <v>0</v>
      </c>
      <c r="F701" s="967">
        <v>17675</v>
      </c>
      <c r="G701" s="1538">
        <v>4767.5622568728177</v>
      </c>
      <c r="H701" s="975">
        <v>5140.937116014049</v>
      </c>
      <c r="J701" s="125">
        <v>4767.5619999999999</v>
      </c>
    </row>
    <row r="702" spans="1:10" ht="20.25">
      <c r="A702" t="s">
        <v>1676</v>
      </c>
      <c r="B702" s="967">
        <v>476023330</v>
      </c>
      <c r="C702" s="968">
        <v>207.90700000000001</v>
      </c>
      <c r="D702" s="968">
        <v>207.90700000000001</v>
      </c>
      <c r="E702" s="967">
        <v>0</v>
      </c>
      <c r="F702" s="967">
        <v>33026</v>
      </c>
      <c r="G702" s="1538">
        <v>12978.749596383597</v>
      </c>
      <c r="H702" s="975">
        <v>13120.860492805683</v>
      </c>
      <c r="J702" s="125">
        <v>12978.75</v>
      </c>
    </row>
    <row r="703" spans="1:10" ht="20.25">
      <c r="A703" t="s">
        <v>1494</v>
      </c>
      <c r="B703" s="967">
        <v>507909647</v>
      </c>
      <c r="C703" s="968">
        <v>1498.0830000000001</v>
      </c>
      <c r="D703" s="968">
        <v>1498.0830000000001</v>
      </c>
      <c r="E703" s="967">
        <v>102855</v>
      </c>
      <c r="F703" s="967">
        <v>138225</v>
      </c>
      <c r="G703" s="1538">
        <v>5348.9783715638914</v>
      </c>
      <c r="H703" s="975">
        <v>5493.2527523078843</v>
      </c>
      <c r="J703" s="125">
        <v>5348.9780000000001</v>
      </c>
    </row>
    <row r="704" spans="1:10" ht="20.25">
      <c r="A704" t="s">
        <v>1612</v>
      </c>
      <c r="B704" s="967">
        <v>169741867</v>
      </c>
      <c r="C704" s="968">
        <v>759.38600000000008</v>
      </c>
      <c r="D704" s="968">
        <v>759.38600000000008</v>
      </c>
      <c r="E704" s="967">
        <v>0</v>
      </c>
      <c r="F704" s="967">
        <v>51229</v>
      </c>
      <c r="G704" s="1538">
        <v>4910.7644804794454</v>
      </c>
      <c r="H704" s="975">
        <v>5055.3044607962147</v>
      </c>
      <c r="J704" s="125">
        <v>4910.7640000000001</v>
      </c>
    </row>
    <row r="705" spans="1:10" ht="20.25">
      <c r="A705" t="s">
        <v>910</v>
      </c>
      <c r="B705" s="967">
        <v>63018929</v>
      </c>
      <c r="C705" s="968">
        <v>114.104</v>
      </c>
      <c r="D705" s="968">
        <v>114.104</v>
      </c>
      <c r="E705" s="967">
        <v>0</v>
      </c>
      <c r="F705" s="967">
        <v>21713</v>
      </c>
      <c r="G705" s="1538">
        <v>5101.6970122686162</v>
      </c>
      <c r="H705" s="975">
        <v>5245.466590045653</v>
      </c>
      <c r="J705" s="125">
        <v>5101.6970000000001</v>
      </c>
    </row>
    <row r="706" spans="1:10" ht="20.25">
      <c r="A706" t="s">
        <v>1685</v>
      </c>
      <c r="B706" s="967">
        <v>25854681</v>
      </c>
      <c r="C706" s="968">
        <v>86.600000000000009</v>
      </c>
      <c r="D706" s="968">
        <v>86.600000000000009</v>
      </c>
      <c r="E706" s="967">
        <v>0</v>
      </c>
      <c r="F706" s="967">
        <v>1258</v>
      </c>
      <c r="G706" s="1538">
        <v>4751.7114006383881</v>
      </c>
      <c r="H706" s="975">
        <v>4896.2298241387616</v>
      </c>
      <c r="J706" s="125">
        <v>4751.7110000000002</v>
      </c>
    </row>
    <row r="707" spans="1:10" ht="20.25">
      <c r="A707" t="s">
        <v>1686</v>
      </c>
      <c r="B707" s="967">
        <v>138376127</v>
      </c>
      <c r="C707" s="968">
        <v>144.91400000000002</v>
      </c>
      <c r="D707" s="968">
        <v>144.91400000000002</v>
      </c>
      <c r="E707" s="967">
        <v>0</v>
      </c>
      <c r="F707" s="967">
        <v>23268</v>
      </c>
      <c r="G707" s="1538">
        <v>6485.2061812546563</v>
      </c>
      <c r="H707" s="975">
        <v>6627.8910426476095</v>
      </c>
      <c r="J707" s="125">
        <v>6485.2060000000001</v>
      </c>
    </row>
    <row r="708" spans="1:10" ht="20.25">
      <c r="A708" t="s">
        <v>1445</v>
      </c>
      <c r="B708" s="967">
        <v>75519951</v>
      </c>
      <c r="C708" s="968">
        <v>183.85400000000001</v>
      </c>
      <c r="D708" s="968">
        <v>183.85400000000001</v>
      </c>
      <c r="E708" s="967">
        <v>0</v>
      </c>
      <c r="F708" s="967">
        <v>33056</v>
      </c>
      <c r="G708" s="1538">
        <v>5075.4533689104765</v>
      </c>
      <c r="H708" s="975">
        <v>5447.5163187776971</v>
      </c>
      <c r="J708" s="125">
        <v>5075.4530000000004</v>
      </c>
    </row>
    <row r="709" spans="1:10" ht="20.25">
      <c r="A709" t="s">
        <v>1724</v>
      </c>
      <c r="B709" s="967">
        <v>163336781</v>
      </c>
      <c r="C709" s="968">
        <v>281.41399999999999</v>
      </c>
      <c r="D709" s="968">
        <v>281.41399999999999</v>
      </c>
      <c r="E709" s="967">
        <v>0</v>
      </c>
      <c r="F709" s="967">
        <v>46332</v>
      </c>
      <c r="G709" s="1538">
        <v>5467.5477892507279</v>
      </c>
      <c r="H709" s="975">
        <v>5612.1198904081748</v>
      </c>
      <c r="J709" s="125">
        <v>5467.5479999999998</v>
      </c>
    </row>
    <row r="710" spans="1:10" ht="20.25">
      <c r="A710" t="s">
        <v>2639</v>
      </c>
      <c r="B710" s="967">
        <v>18349340969</v>
      </c>
      <c r="C710" s="968">
        <v>46274.603000000003</v>
      </c>
      <c r="D710" s="968">
        <v>46274.603000000003</v>
      </c>
      <c r="E710" s="967">
        <v>475084</v>
      </c>
      <c r="F710" s="967">
        <v>5019200</v>
      </c>
      <c r="G710" s="1538">
        <v>5318.5354392473246</v>
      </c>
      <c r="H710" s="975">
        <v>5461.4820154064837</v>
      </c>
      <c r="J710" s="125">
        <v>5318.5349999999999</v>
      </c>
    </row>
    <row r="711" spans="1:10" ht="20.25">
      <c r="A711" t="s">
        <v>1725</v>
      </c>
      <c r="B711" s="967">
        <v>3217360275</v>
      </c>
      <c r="C711" s="968">
        <v>6327.2210000000005</v>
      </c>
      <c r="D711" s="968">
        <v>6327.2210000000005</v>
      </c>
      <c r="E711" s="967">
        <v>0</v>
      </c>
      <c r="F711" s="967">
        <v>927420</v>
      </c>
      <c r="G711" s="1538">
        <v>5792.9916143105838</v>
      </c>
      <c r="H711" s="975">
        <v>5935.2693753828598</v>
      </c>
      <c r="J711" s="125">
        <v>5792.9920000000002</v>
      </c>
    </row>
    <row r="712" spans="1:10" ht="20.25">
      <c r="A712" t="s">
        <v>1349</v>
      </c>
      <c r="B712" s="967">
        <v>1892676251</v>
      </c>
      <c r="C712" s="968">
        <v>5753.3029999999999</v>
      </c>
      <c r="D712" s="968">
        <v>5753.3029999999999</v>
      </c>
      <c r="E712" s="967">
        <v>11494</v>
      </c>
      <c r="F712" s="967">
        <v>742187</v>
      </c>
      <c r="G712" s="1538">
        <v>5232.4256088220709</v>
      </c>
      <c r="H712" s="975">
        <v>5376.2858857724759</v>
      </c>
      <c r="J712" s="125">
        <v>5232.17</v>
      </c>
    </row>
    <row r="713" spans="1:10" ht="20.25">
      <c r="A713" t="s">
        <v>378</v>
      </c>
      <c r="B713" s="967">
        <v>3067408445</v>
      </c>
      <c r="C713" s="968">
        <v>10871.823</v>
      </c>
      <c r="D713" s="968">
        <v>10871.823</v>
      </c>
      <c r="E713" s="967">
        <v>21947</v>
      </c>
      <c r="F713" s="967">
        <v>1369831</v>
      </c>
      <c r="G713" s="1538">
        <v>5188.1652448952855</v>
      </c>
      <c r="H713" s="975">
        <v>5354.0942599465898</v>
      </c>
      <c r="J713" s="125">
        <v>5188.3590000000004</v>
      </c>
    </row>
    <row r="714" spans="1:10" ht="20.25">
      <c r="A714" t="s">
        <v>1701</v>
      </c>
      <c r="B714" s="967">
        <v>327944062</v>
      </c>
      <c r="C714" s="968">
        <v>3159.7980000000002</v>
      </c>
      <c r="D714" s="968">
        <v>3159.7980000000002</v>
      </c>
      <c r="E714" s="967">
        <v>139299</v>
      </c>
      <c r="F714" s="967">
        <v>427200</v>
      </c>
      <c r="G714" s="1538">
        <v>4882.3137749335228</v>
      </c>
      <c r="H714" s="975">
        <v>5165.6053626821613</v>
      </c>
      <c r="J714" s="125">
        <v>4882.3140000000003</v>
      </c>
    </row>
    <row r="715" spans="1:10" ht="20.25">
      <c r="A715" t="s">
        <v>801</v>
      </c>
      <c r="B715" s="967">
        <v>1870305954</v>
      </c>
      <c r="C715" s="968">
        <v>8920.0760000000009</v>
      </c>
      <c r="D715" s="968">
        <v>8920.0760000000009</v>
      </c>
      <c r="E715" s="967">
        <v>0</v>
      </c>
      <c r="F715" s="967">
        <v>1124344</v>
      </c>
      <c r="G715" s="1538">
        <v>5066.0320797102668</v>
      </c>
      <c r="H715" s="975">
        <v>5226.178708901487</v>
      </c>
      <c r="J715" s="125">
        <v>5066.0320000000002</v>
      </c>
    </row>
    <row r="716" spans="1:10" ht="20.25">
      <c r="A716" t="s">
        <v>2134</v>
      </c>
      <c r="B716" s="967">
        <v>2158756292</v>
      </c>
      <c r="C716" s="968">
        <v>4071.2360000000003</v>
      </c>
      <c r="D716" s="968">
        <v>4071.2360000000003</v>
      </c>
      <c r="E716" s="967">
        <v>0</v>
      </c>
      <c r="F716" s="967">
        <v>183031</v>
      </c>
      <c r="G716" s="1538">
        <v>5666.1287928881329</v>
      </c>
      <c r="H716" s="975">
        <v>5808.3836910454729</v>
      </c>
      <c r="J716" s="125">
        <v>5666.1289999999999</v>
      </c>
    </row>
    <row r="717" spans="1:10" ht="20.25">
      <c r="A717" t="s">
        <v>2135</v>
      </c>
      <c r="B717" s="967">
        <v>398977946</v>
      </c>
      <c r="C717" s="968">
        <v>495.161</v>
      </c>
      <c r="D717" s="968">
        <v>495.161</v>
      </c>
      <c r="E717" s="967">
        <v>0</v>
      </c>
      <c r="F717" s="967">
        <v>27965</v>
      </c>
      <c r="G717" s="1538">
        <v>5893.7001067778519</v>
      </c>
      <c r="H717" s="975">
        <v>6035.1483617214444</v>
      </c>
      <c r="J717" s="125">
        <v>5890.9440000000004</v>
      </c>
    </row>
    <row r="718" spans="1:10" ht="20.25">
      <c r="A718" t="s">
        <v>2136</v>
      </c>
      <c r="B718" s="967">
        <v>758805174</v>
      </c>
      <c r="C718" s="968">
        <v>1210.809</v>
      </c>
      <c r="D718" s="968">
        <v>1210.809</v>
      </c>
      <c r="E718" s="967">
        <v>0</v>
      </c>
      <c r="F718" s="967">
        <v>183105</v>
      </c>
      <c r="G718" s="1538">
        <v>5447.9023443082642</v>
      </c>
      <c r="H718" s="975">
        <v>5591.4471742871046</v>
      </c>
      <c r="J718" s="125">
        <v>5447.902</v>
      </c>
    </row>
    <row r="719" spans="1:10" ht="20.25">
      <c r="A719" t="s">
        <v>2137</v>
      </c>
      <c r="B719" s="967">
        <v>206091394</v>
      </c>
      <c r="C719" s="968">
        <v>919.93000000000006</v>
      </c>
      <c r="D719" s="968">
        <v>919.93000000000006</v>
      </c>
      <c r="E719" s="967">
        <v>0</v>
      </c>
      <c r="F719" s="967">
        <v>128791</v>
      </c>
      <c r="G719" s="1538">
        <v>4656.5297843162771</v>
      </c>
      <c r="H719" s="975">
        <v>4845.3327520342491</v>
      </c>
      <c r="J719" s="125">
        <v>4656.53</v>
      </c>
    </row>
    <row r="720" spans="1:10" ht="20.25">
      <c r="A720" t="s">
        <v>2685</v>
      </c>
      <c r="B720" s="967">
        <v>71919433</v>
      </c>
      <c r="C720" s="968">
        <v>170.78200000000001</v>
      </c>
      <c r="D720" s="968">
        <v>170.78200000000001</v>
      </c>
      <c r="E720" s="967">
        <v>0</v>
      </c>
      <c r="F720" s="967">
        <v>59783</v>
      </c>
      <c r="G720" s="1538">
        <v>4937.5710518605329</v>
      </c>
      <c r="H720" s="975">
        <v>5080.2697137367131</v>
      </c>
      <c r="J720" s="125">
        <v>4937.5709999999999</v>
      </c>
    </row>
    <row r="721" spans="1:10" ht="20.25">
      <c r="A721" t="s">
        <v>802</v>
      </c>
      <c r="B721" s="967">
        <v>47039974</v>
      </c>
      <c r="C721" s="968">
        <v>314.88400000000001</v>
      </c>
      <c r="D721" s="968">
        <v>314.88400000000001</v>
      </c>
      <c r="E721" s="967">
        <v>0</v>
      </c>
      <c r="F721" s="967">
        <v>30874</v>
      </c>
      <c r="G721" s="1538">
        <v>4890.0427084537778</v>
      </c>
      <c r="H721" s="975">
        <v>5047.6856414519871</v>
      </c>
      <c r="J721" s="125">
        <v>4890.0429999999997</v>
      </c>
    </row>
    <row r="722" spans="1:10" ht="20.25">
      <c r="A722" t="s">
        <v>570</v>
      </c>
      <c r="B722" s="967">
        <v>461820783</v>
      </c>
      <c r="C722" s="968">
        <v>456.846</v>
      </c>
      <c r="D722" s="968">
        <v>456.846</v>
      </c>
      <c r="E722" s="967">
        <v>0</v>
      </c>
      <c r="F722" s="967">
        <v>45333</v>
      </c>
      <c r="G722" s="1538">
        <v>7224.7013802807014</v>
      </c>
      <c r="H722" s="975">
        <v>7367.9617326170574</v>
      </c>
      <c r="J722" s="125">
        <v>7224.701</v>
      </c>
    </row>
    <row r="723" spans="1:10" ht="20.25">
      <c r="A723" t="s">
        <v>803</v>
      </c>
      <c r="B723" s="967">
        <v>324680753</v>
      </c>
      <c r="C723" s="968">
        <v>630.48700000000008</v>
      </c>
      <c r="D723" s="968">
        <v>630.48700000000008</v>
      </c>
      <c r="E723" s="967">
        <v>0</v>
      </c>
      <c r="F723" s="967">
        <v>231038</v>
      </c>
      <c r="G723" s="1538">
        <v>5988.578284197738</v>
      </c>
      <c r="H723" s="975">
        <v>6132.1674361130654</v>
      </c>
      <c r="J723" s="125">
        <v>5988.5780000000004</v>
      </c>
    </row>
    <row r="724" spans="1:10" ht="20.25">
      <c r="A724" t="s">
        <v>571</v>
      </c>
      <c r="B724" s="967">
        <v>1731206037</v>
      </c>
      <c r="C724" s="968">
        <v>5870.7640000000001</v>
      </c>
      <c r="D724" s="968">
        <v>5870.7640000000001</v>
      </c>
      <c r="E724" s="967">
        <v>0</v>
      </c>
      <c r="F724" s="967">
        <v>543219</v>
      </c>
      <c r="G724" s="1538">
        <v>4645.5828392570602</v>
      </c>
      <c r="H724" s="975">
        <v>4944.9944760436811</v>
      </c>
      <c r="J724" s="125">
        <v>4645.5829999999996</v>
      </c>
    </row>
    <row r="725" spans="1:10" ht="20.25">
      <c r="A725" t="s">
        <v>410</v>
      </c>
      <c r="B725" s="967">
        <v>131059294</v>
      </c>
      <c r="C725" s="968">
        <v>775.94400000000007</v>
      </c>
      <c r="D725" s="968">
        <v>775.94400000000007</v>
      </c>
      <c r="E725" s="967">
        <v>0</v>
      </c>
      <c r="F725" s="967">
        <v>61515</v>
      </c>
      <c r="G725" s="1538">
        <v>4840.77954177845</v>
      </c>
      <c r="H725" s="975">
        <v>4979.3143924972655</v>
      </c>
      <c r="J725" s="125">
        <v>4840.78</v>
      </c>
    </row>
    <row r="726" spans="1:10" ht="20.25">
      <c r="A726" t="s">
        <v>572</v>
      </c>
      <c r="B726" s="967">
        <v>110007815</v>
      </c>
      <c r="C726" s="968">
        <v>829.95400000000006</v>
      </c>
      <c r="D726" s="968">
        <v>829.95400000000006</v>
      </c>
      <c r="E726" s="967">
        <v>0</v>
      </c>
      <c r="F726" s="967">
        <v>48364</v>
      </c>
      <c r="G726" s="1538">
        <v>4809.5151410341596</v>
      </c>
      <c r="H726" s="975">
        <v>4951.6197085219601</v>
      </c>
      <c r="J726" s="125">
        <v>4809.5150000000003</v>
      </c>
    </row>
    <row r="727" spans="1:10" ht="20.25">
      <c r="A727" t="s">
        <v>573</v>
      </c>
      <c r="B727" s="967">
        <v>77433439</v>
      </c>
      <c r="C727" s="968">
        <v>315.745</v>
      </c>
      <c r="D727" s="968">
        <v>315.745</v>
      </c>
      <c r="E727" s="967">
        <v>0</v>
      </c>
      <c r="F727" s="967">
        <v>28826</v>
      </c>
      <c r="G727" s="1538">
        <v>4659.0674958266291</v>
      </c>
      <c r="H727" s="975">
        <v>5032.2731612699508</v>
      </c>
      <c r="J727" s="125">
        <v>4659.067</v>
      </c>
    </row>
    <row r="728" spans="1:10" ht="20.25">
      <c r="A728" t="s">
        <v>877</v>
      </c>
      <c r="B728" s="967">
        <v>39674591</v>
      </c>
      <c r="C728" s="968">
        <v>120.581</v>
      </c>
      <c r="D728" s="968">
        <v>120.581</v>
      </c>
      <c r="E728" s="967">
        <v>0</v>
      </c>
      <c r="F728" s="967">
        <v>27308</v>
      </c>
      <c r="G728" s="1538">
        <v>4078.2107667655382</v>
      </c>
      <c r="H728" s="975">
        <v>4452.982461267211</v>
      </c>
      <c r="J728" s="125">
        <v>4078.2109999999998</v>
      </c>
    </row>
    <row r="729" spans="1:10" ht="20.25">
      <c r="A729" t="s">
        <v>574</v>
      </c>
      <c r="B729" s="967">
        <v>225128837</v>
      </c>
      <c r="C729" s="968">
        <v>355.71300000000002</v>
      </c>
      <c r="D729" s="968">
        <v>355.71300000000002</v>
      </c>
      <c r="E729" s="967">
        <v>0</v>
      </c>
      <c r="F729" s="967">
        <v>35015</v>
      </c>
      <c r="G729" s="1538">
        <v>6015.6525674589229</v>
      </c>
      <c r="H729" s="975">
        <v>6159.1444255575916</v>
      </c>
      <c r="J729" s="125">
        <v>6015.6530000000002</v>
      </c>
    </row>
    <row r="730" spans="1:10" ht="20.25">
      <c r="A730" t="s">
        <v>575</v>
      </c>
      <c r="B730" s="967">
        <v>116894517</v>
      </c>
      <c r="C730" s="968">
        <v>788.78</v>
      </c>
      <c r="D730" s="968">
        <v>788.78</v>
      </c>
      <c r="E730" s="967">
        <v>0</v>
      </c>
      <c r="F730" s="967">
        <v>110895</v>
      </c>
      <c r="G730" s="1538">
        <v>4762.5587255193759</v>
      </c>
      <c r="H730" s="975">
        <v>5008.667645411263</v>
      </c>
      <c r="J730" s="125">
        <v>4762.5590000000002</v>
      </c>
    </row>
    <row r="731" spans="1:10" ht="20.25">
      <c r="A731" t="s">
        <v>2754</v>
      </c>
      <c r="B731" s="967">
        <v>1317087853</v>
      </c>
      <c r="C731" s="968">
        <v>5254.6720000000005</v>
      </c>
      <c r="D731" s="968">
        <v>5254.6720000000005</v>
      </c>
      <c r="E731" s="967">
        <v>0</v>
      </c>
      <c r="F731" s="967">
        <v>339823</v>
      </c>
      <c r="G731" s="1538">
        <v>4660.9089029898687</v>
      </c>
      <c r="H731" s="975">
        <v>4804.5386903366725</v>
      </c>
      <c r="J731" s="125">
        <v>4660.9089999999997</v>
      </c>
    </row>
    <row r="732" spans="1:10" ht="20.25">
      <c r="A732" t="s">
        <v>2761</v>
      </c>
      <c r="B732" s="967">
        <v>95411379</v>
      </c>
      <c r="C732" s="968">
        <v>410.762</v>
      </c>
      <c r="D732" s="968">
        <v>410.762</v>
      </c>
      <c r="E732" s="967">
        <v>0</v>
      </c>
      <c r="F732" s="967">
        <v>76371</v>
      </c>
      <c r="G732" s="1538">
        <v>4701.3787942773743</v>
      </c>
      <c r="H732" s="975">
        <v>4953.3661789220223</v>
      </c>
      <c r="J732" s="125">
        <v>4701.3789999999999</v>
      </c>
    </row>
    <row r="733" spans="1:10" ht="20.25">
      <c r="A733" t="s">
        <v>20</v>
      </c>
      <c r="B733" s="967">
        <v>64564837</v>
      </c>
      <c r="C733" s="968">
        <v>335.34200000000004</v>
      </c>
      <c r="D733" s="968">
        <v>335.34200000000004</v>
      </c>
      <c r="E733" s="967">
        <v>0</v>
      </c>
      <c r="F733" s="967">
        <v>36675</v>
      </c>
      <c r="G733" s="1538">
        <v>4900.0977122472568</v>
      </c>
      <c r="H733" s="975">
        <v>5042.1793246307971</v>
      </c>
      <c r="J733" s="125">
        <v>4900.098</v>
      </c>
    </row>
    <row r="734" spans="1:10" ht="20.25">
      <c r="A734" t="s">
        <v>804</v>
      </c>
      <c r="B734" s="967">
        <v>187023882</v>
      </c>
      <c r="C734" s="968">
        <v>612.66899999999998</v>
      </c>
      <c r="D734" s="968">
        <v>612.66899999999998</v>
      </c>
      <c r="E734" s="967">
        <v>0</v>
      </c>
      <c r="F734" s="967">
        <v>65386</v>
      </c>
      <c r="G734" s="1538">
        <v>4805.4691967866866</v>
      </c>
      <c r="H734" s="975">
        <v>4949.5670777629075</v>
      </c>
      <c r="J734" s="125">
        <v>4805.4679999999998</v>
      </c>
    </row>
    <row r="735" spans="1:10" ht="20.25">
      <c r="A735" t="s">
        <v>21</v>
      </c>
      <c r="B735" s="967">
        <v>356217815</v>
      </c>
      <c r="C735" s="968">
        <v>704.79100000000005</v>
      </c>
      <c r="D735" s="968">
        <v>704.79100000000005</v>
      </c>
      <c r="E735" s="967">
        <v>20315</v>
      </c>
      <c r="F735" s="967">
        <v>65842</v>
      </c>
      <c r="G735" s="1538">
        <v>5430.7688935355454</v>
      </c>
      <c r="H735" s="975">
        <v>5573.8361919430281</v>
      </c>
      <c r="J735" s="125">
        <v>5430.7690000000002</v>
      </c>
    </row>
    <row r="736" spans="1:10" ht="20.25">
      <c r="A736" t="s">
        <v>2383</v>
      </c>
      <c r="B736" s="967">
        <v>77184358</v>
      </c>
      <c r="C736" s="968">
        <v>733.26100000000008</v>
      </c>
      <c r="D736" s="968">
        <v>733.26100000000008</v>
      </c>
      <c r="E736" s="967">
        <v>0</v>
      </c>
      <c r="F736" s="967">
        <v>56020</v>
      </c>
      <c r="G736" s="1538">
        <v>4707.4368542329985</v>
      </c>
      <c r="H736" s="975">
        <v>4851.2770994701787</v>
      </c>
      <c r="J736" s="125">
        <v>4707.4369999999999</v>
      </c>
    </row>
    <row r="737" spans="1:10" ht="20.25">
      <c r="A737" t="s">
        <v>22</v>
      </c>
      <c r="B737" s="967">
        <v>156950226</v>
      </c>
      <c r="C737" s="968">
        <v>281.62900000000002</v>
      </c>
      <c r="D737" s="968">
        <v>281.62900000000002</v>
      </c>
      <c r="E737" s="967">
        <v>0</v>
      </c>
      <c r="F737" s="967">
        <v>87402</v>
      </c>
      <c r="G737" s="1538">
        <v>4682.3720552396426</v>
      </c>
      <c r="H737" s="975">
        <v>4826.8054567106128</v>
      </c>
      <c r="J737" s="125">
        <v>4682.3720000000003</v>
      </c>
    </row>
    <row r="738" spans="1:10" ht="20.25">
      <c r="A738" t="s">
        <v>1159</v>
      </c>
      <c r="B738" s="967">
        <v>239072822</v>
      </c>
      <c r="C738" s="968">
        <v>1066.2820000000002</v>
      </c>
      <c r="D738" s="968">
        <v>1066.2820000000002</v>
      </c>
      <c r="E738" s="967">
        <v>0</v>
      </c>
      <c r="F738" s="967">
        <v>157581</v>
      </c>
      <c r="G738" s="1538">
        <v>4740.4604920611437</v>
      </c>
      <c r="H738" s="975">
        <v>4796.2928866165812</v>
      </c>
      <c r="J738" s="125">
        <v>4740.46</v>
      </c>
    </row>
    <row r="739" spans="1:10" ht="20.25">
      <c r="A739" t="s">
        <v>2268</v>
      </c>
      <c r="B739" s="967">
        <v>411035016</v>
      </c>
      <c r="C739" s="968">
        <v>632.44000000000005</v>
      </c>
      <c r="D739" s="968">
        <v>632.44000000000005</v>
      </c>
      <c r="E739" s="967">
        <v>0</v>
      </c>
      <c r="F739" s="967">
        <v>53453</v>
      </c>
      <c r="G739" s="1538">
        <v>5296.7874299944042</v>
      </c>
      <c r="H739" s="975">
        <v>5440.7151145733878</v>
      </c>
      <c r="J739" s="125">
        <v>5296.7879999999996</v>
      </c>
    </row>
    <row r="740" spans="1:10" ht="20.25">
      <c r="A740" t="s">
        <v>1736</v>
      </c>
      <c r="B740" s="967">
        <v>163788042</v>
      </c>
      <c r="C740" s="968">
        <v>327.45600000000002</v>
      </c>
      <c r="D740" s="968">
        <v>327.45600000000002</v>
      </c>
      <c r="E740" s="967">
        <v>0</v>
      </c>
      <c r="F740" s="967">
        <v>7719</v>
      </c>
      <c r="G740" s="1538">
        <v>5048.516739652493</v>
      </c>
      <c r="H740" s="975">
        <v>5421.0763266055565</v>
      </c>
      <c r="J740" s="125">
        <v>5048.5169999999998</v>
      </c>
    </row>
    <row r="741" spans="1:10" ht="20.25">
      <c r="A741" t="s">
        <v>2145</v>
      </c>
      <c r="B741" s="967">
        <v>482701340</v>
      </c>
      <c r="C741" s="968">
        <v>2060.261</v>
      </c>
      <c r="D741" s="968">
        <v>2060.261</v>
      </c>
      <c r="E741" s="967">
        <v>0</v>
      </c>
      <c r="F741" s="967">
        <v>95296</v>
      </c>
      <c r="G741" s="1538">
        <v>4984.3241701264024</v>
      </c>
      <c r="H741" s="975">
        <v>5128.1895669893638</v>
      </c>
      <c r="J741" s="125">
        <v>4984.2349999999997</v>
      </c>
    </row>
    <row r="742" spans="1:10" ht="20.25">
      <c r="A742" t="s">
        <v>2637</v>
      </c>
      <c r="B742" s="967">
        <v>891775237</v>
      </c>
      <c r="C742" s="968">
        <v>151.334</v>
      </c>
      <c r="D742" s="968">
        <v>151.334</v>
      </c>
      <c r="E742" s="967">
        <v>0</v>
      </c>
      <c r="F742" s="967">
        <v>57066</v>
      </c>
      <c r="G742" s="1538">
        <v>7636.1817250967888</v>
      </c>
      <c r="H742" s="975">
        <v>7779.547553093259</v>
      </c>
      <c r="J742" s="125">
        <v>7636.1819999999998</v>
      </c>
    </row>
    <row r="743" spans="1:10" ht="20.25">
      <c r="A743" t="s">
        <v>464</v>
      </c>
      <c r="B743" s="967">
        <v>386086393</v>
      </c>
      <c r="C743" s="968">
        <v>203.76500000000001</v>
      </c>
      <c r="D743" s="968">
        <v>203.76500000000001</v>
      </c>
      <c r="E743" s="967">
        <v>0</v>
      </c>
      <c r="F743" s="967">
        <v>11957</v>
      </c>
      <c r="G743" s="1538">
        <v>5876.3740795287185</v>
      </c>
      <c r="H743" s="975">
        <v>6019.4258547965219</v>
      </c>
      <c r="J743" s="125">
        <v>5876.3739999999998</v>
      </c>
    </row>
    <row r="744" spans="1:10" ht="20.25">
      <c r="A744" t="s">
        <v>2858</v>
      </c>
      <c r="B744" s="967">
        <v>117444867</v>
      </c>
      <c r="C744" s="968">
        <v>333.41300000000001</v>
      </c>
      <c r="D744" s="968">
        <v>333.41300000000001</v>
      </c>
      <c r="E744" s="967">
        <v>0</v>
      </c>
      <c r="F744" s="967">
        <v>12871</v>
      </c>
      <c r="G744" s="1538">
        <v>4811.7438358262298</v>
      </c>
      <c r="H744" s="975">
        <v>5011.8787405909834</v>
      </c>
      <c r="J744" s="125">
        <v>4811.7439999999997</v>
      </c>
    </row>
    <row r="745" spans="1:10" ht="20.25">
      <c r="A745" t="s">
        <v>1337</v>
      </c>
      <c r="B745" s="967">
        <v>530325732</v>
      </c>
      <c r="C745" s="968">
        <v>1138.67</v>
      </c>
      <c r="D745" s="968">
        <v>1138.67</v>
      </c>
      <c r="E745" s="967">
        <v>0</v>
      </c>
      <c r="F745" s="967">
        <v>89581</v>
      </c>
      <c r="G745" s="1538">
        <v>4957.8870132256361</v>
      </c>
      <c r="H745" s="975">
        <v>5101.0817505741352</v>
      </c>
      <c r="J745" s="125">
        <v>4957.8869999999997</v>
      </c>
    </row>
    <row r="746" spans="1:10" ht="20.25">
      <c r="A746" t="s">
        <v>1338</v>
      </c>
      <c r="B746" s="967">
        <v>1194954033</v>
      </c>
      <c r="C746" s="968">
        <v>3548.3050000000003</v>
      </c>
      <c r="D746" s="968">
        <v>3548.3050000000003</v>
      </c>
      <c r="E746" s="967">
        <v>0</v>
      </c>
      <c r="F746" s="967">
        <v>248445</v>
      </c>
      <c r="G746" s="1538">
        <v>4953.3523602731129</v>
      </c>
      <c r="H746" s="975">
        <v>5097.1338180571292</v>
      </c>
      <c r="J746" s="125">
        <v>4953.3519999999999</v>
      </c>
    </row>
    <row r="747" spans="1:10" ht="20.25">
      <c r="A747" t="s">
        <v>2753</v>
      </c>
      <c r="B747" s="967">
        <v>10571742176</v>
      </c>
      <c r="C747" s="968">
        <v>35162.271999999997</v>
      </c>
      <c r="D747" s="968">
        <v>35162.271999999997</v>
      </c>
      <c r="E747" s="967">
        <v>0</v>
      </c>
      <c r="F747" s="967">
        <v>1744156</v>
      </c>
      <c r="G747" s="1538">
        <v>4881.8253023766674</v>
      </c>
      <c r="H747" s="975">
        <v>5134.0694263059268</v>
      </c>
      <c r="J747" s="125">
        <v>4881.8249999999998</v>
      </c>
    </row>
    <row r="748" spans="1:10" ht="20.25">
      <c r="A748" t="s">
        <v>619</v>
      </c>
      <c r="B748" s="967">
        <v>147270352</v>
      </c>
      <c r="C748" s="968">
        <v>236.97300000000001</v>
      </c>
      <c r="D748" s="968">
        <v>236.97300000000001</v>
      </c>
      <c r="E748" s="967">
        <v>0</v>
      </c>
      <c r="F748" s="967">
        <v>47395</v>
      </c>
      <c r="G748" s="1538">
        <v>9548.3772555992255</v>
      </c>
      <c r="H748" s="975">
        <v>9692.5966087153392</v>
      </c>
      <c r="J748" s="125">
        <v>9548.3770000000004</v>
      </c>
    </row>
    <row r="749" spans="1:10" ht="20.25">
      <c r="A749" t="s">
        <v>632</v>
      </c>
      <c r="B749" s="967">
        <v>270422323</v>
      </c>
      <c r="C749" s="968">
        <v>328.32100000000003</v>
      </c>
      <c r="D749" s="968">
        <v>328.32100000000003</v>
      </c>
      <c r="E749" s="967">
        <v>0</v>
      </c>
      <c r="F749" s="967">
        <v>44965</v>
      </c>
      <c r="G749" s="1538">
        <v>6134.5325997092114</v>
      </c>
      <c r="H749" s="975">
        <v>6273.6444038064828</v>
      </c>
      <c r="J749" s="125">
        <v>6134.5330000000004</v>
      </c>
    </row>
    <row r="750" spans="1:10" ht="20.25">
      <c r="A750" t="s">
        <v>633</v>
      </c>
      <c r="B750" s="967">
        <v>1860005456</v>
      </c>
      <c r="C750" s="968">
        <v>501.517</v>
      </c>
      <c r="D750" s="968">
        <v>501.517</v>
      </c>
      <c r="E750" s="967">
        <v>0</v>
      </c>
      <c r="F750" s="967">
        <v>5386</v>
      </c>
      <c r="G750" s="1538">
        <v>7093.51086239294</v>
      </c>
      <c r="H750" s="975">
        <v>7236.8250542812793</v>
      </c>
      <c r="J750" s="125">
        <v>7093.5110000000004</v>
      </c>
    </row>
    <row r="751" spans="1:10" ht="20.25">
      <c r="A751" t="s">
        <v>191</v>
      </c>
      <c r="B751" s="967">
        <v>299567492</v>
      </c>
      <c r="C751" s="968">
        <v>2979.232</v>
      </c>
      <c r="D751" s="968">
        <v>2979.232</v>
      </c>
      <c r="E751" s="967">
        <v>41885</v>
      </c>
      <c r="F751" s="967">
        <v>112572</v>
      </c>
      <c r="G751" s="1538">
        <v>4785.296756003253</v>
      </c>
      <c r="H751" s="975">
        <v>5157.0055558189406</v>
      </c>
      <c r="J751" s="125">
        <v>4785.28</v>
      </c>
    </row>
    <row r="752" spans="1:10" ht="20.25">
      <c r="A752" t="s">
        <v>869</v>
      </c>
      <c r="B752" s="967">
        <v>1431007622</v>
      </c>
      <c r="C752" s="968">
        <v>3247.59</v>
      </c>
      <c r="D752" s="968">
        <v>3247.59</v>
      </c>
      <c r="E752" s="967">
        <v>0</v>
      </c>
      <c r="F752" s="967">
        <v>187359</v>
      </c>
      <c r="G752" s="1538">
        <v>4902.4353946563233</v>
      </c>
      <c r="H752" s="975">
        <v>5077.0124023811231</v>
      </c>
      <c r="J752" s="125">
        <v>4902.4350000000004</v>
      </c>
    </row>
    <row r="753" spans="1:10" ht="20.25">
      <c r="A753" t="s">
        <v>1087</v>
      </c>
      <c r="B753" s="967">
        <v>216392731</v>
      </c>
      <c r="C753" s="968">
        <v>777.25300000000004</v>
      </c>
      <c r="D753" s="968">
        <v>777.25300000000004</v>
      </c>
      <c r="E753" s="967">
        <v>0</v>
      </c>
      <c r="F753" s="967">
        <v>102881</v>
      </c>
      <c r="G753" s="1538">
        <v>5007.6692114516945</v>
      </c>
      <c r="H753" s="975">
        <v>5369.0250998889678</v>
      </c>
      <c r="J753" s="125">
        <v>5007.6689999999999</v>
      </c>
    </row>
    <row r="754" spans="1:10" ht="20.25">
      <c r="A754" t="s">
        <v>2452</v>
      </c>
      <c r="B754" s="967">
        <v>2146944418</v>
      </c>
      <c r="C754" s="968">
        <v>5059.0740000000005</v>
      </c>
      <c r="D754" s="968">
        <v>5059.0740000000005</v>
      </c>
      <c r="E754" s="967">
        <v>0</v>
      </c>
      <c r="F754" s="967">
        <v>395114</v>
      </c>
      <c r="G754" s="1538">
        <v>5311.3389995522029</v>
      </c>
      <c r="H754" s="975">
        <v>5455.7724594677165</v>
      </c>
      <c r="J754" s="125">
        <v>5311.3389999999999</v>
      </c>
    </row>
    <row r="755" spans="1:10" ht="20.25">
      <c r="A755" t="s">
        <v>2453</v>
      </c>
      <c r="B755" s="967">
        <v>490562792</v>
      </c>
      <c r="C755" s="968">
        <v>1901.883</v>
      </c>
      <c r="D755" s="968">
        <v>1901.883</v>
      </c>
      <c r="E755" s="967">
        <v>0</v>
      </c>
      <c r="F755" s="967">
        <v>67806</v>
      </c>
      <c r="G755" s="1538">
        <v>4865.0180963129405</v>
      </c>
      <c r="H755" s="975">
        <v>5134.0491413171248</v>
      </c>
      <c r="J755" s="125">
        <v>4865.018</v>
      </c>
    </row>
    <row r="756" spans="1:10" ht="20.25">
      <c r="A756" t="s">
        <v>237</v>
      </c>
      <c r="B756" s="967">
        <v>842035736</v>
      </c>
      <c r="C756" s="968">
        <v>2056.1010000000001</v>
      </c>
      <c r="D756" s="968">
        <v>2056.1010000000001</v>
      </c>
      <c r="E756" s="967">
        <v>0</v>
      </c>
      <c r="F756" s="967">
        <v>54133</v>
      </c>
      <c r="G756" s="1538">
        <v>5023.6601435183866</v>
      </c>
      <c r="H756" s="975">
        <v>5200.5175320562867</v>
      </c>
      <c r="J756" s="125">
        <v>5023.66</v>
      </c>
    </row>
    <row r="757" spans="1:10" ht="20.25">
      <c r="A757" t="s">
        <v>1097</v>
      </c>
      <c r="B757" s="967">
        <v>146056144</v>
      </c>
      <c r="C757" s="968">
        <v>282.48</v>
      </c>
      <c r="D757" s="968">
        <v>282.48</v>
      </c>
      <c r="E757" s="967">
        <v>0</v>
      </c>
      <c r="F757" s="967">
        <v>42839</v>
      </c>
      <c r="G757" s="1538">
        <v>4912.0112204494953</v>
      </c>
      <c r="H757" s="975">
        <v>5055.2637614247742</v>
      </c>
      <c r="J757" s="125">
        <v>4912.0110000000004</v>
      </c>
    </row>
    <row r="758" spans="1:10" ht="20.25">
      <c r="A758" t="s">
        <v>1098</v>
      </c>
      <c r="B758" s="967">
        <v>35983379</v>
      </c>
      <c r="C758" s="968">
        <v>121.545</v>
      </c>
      <c r="D758" s="968">
        <v>121.545</v>
      </c>
      <c r="E758" s="967">
        <v>0</v>
      </c>
      <c r="F758" s="967">
        <v>65037</v>
      </c>
      <c r="G758" s="1538">
        <v>4722.2738992498389</v>
      </c>
      <c r="H758" s="975">
        <v>5095.9159422545081</v>
      </c>
      <c r="J758" s="125">
        <v>4722.2740000000003</v>
      </c>
    </row>
    <row r="759" spans="1:10" ht="20.25">
      <c r="A759" t="s">
        <v>1099</v>
      </c>
      <c r="B759" s="967">
        <v>144637311</v>
      </c>
      <c r="C759" s="968">
        <v>81.55</v>
      </c>
      <c r="D759" s="968">
        <v>81.55</v>
      </c>
      <c r="E759" s="967">
        <v>0</v>
      </c>
      <c r="F759" s="967">
        <v>29741</v>
      </c>
      <c r="G759" s="1538">
        <v>5438.0397171656386</v>
      </c>
      <c r="H759" s="975">
        <v>5581.6932984261684</v>
      </c>
      <c r="J759" s="125">
        <v>5438.04</v>
      </c>
    </row>
    <row r="760" spans="1:10" ht="20.25">
      <c r="A760" t="s">
        <v>2225</v>
      </c>
      <c r="B760" s="967">
        <v>789770354</v>
      </c>
      <c r="C760" s="968">
        <v>2339.0329999999999</v>
      </c>
      <c r="D760" s="968">
        <v>2339.0329999999999</v>
      </c>
      <c r="E760" s="967">
        <v>0</v>
      </c>
      <c r="F760" s="967">
        <v>110127</v>
      </c>
      <c r="G760" s="1538">
        <v>4933.4167818777378</v>
      </c>
      <c r="H760" s="975">
        <v>5076.0181869426133</v>
      </c>
      <c r="J760" s="125">
        <v>4933.4160000000002</v>
      </c>
    </row>
    <row r="761" spans="1:10" ht="20.25">
      <c r="A761" t="s">
        <v>1100</v>
      </c>
      <c r="B761" s="967">
        <v>351615917</v>
      </c>
      <c r="C761" s="968">
        <v>1645.588</v>
      </c>
      <c r="D761" s="968">
        <v>1645.588</v>
      </c>
      <c r="E761" s="967">
        <v>0</v>
      </c>
      <c r="F761" s="967">
        <v>198343</v>
      </c>
      <c r="G761" s="1538">
        <v>4627.0534712617646</v>
      </c>
      <c r="H761" s="975">
        <v>4999.9447731333767</v>
      </c>
      <c r="J761" s="125">
        <v>4627.0529999999999</v>
      </c>
    </row>
    <row r="762" spans="1:10" ht="20.25">
      <c r="A762" t="s">
        <v>1101</v>
      </c>
      <c r="B762" s="967">
        <v>1607047508</v>
      </c>
      <c r="C762" s="968">
        <v>2230.6890000000003</v>
      </c>
      <c r="D762" s="968">
        <v>2230.6890000000003</v>
      </c>
      <c r="E762" s="967">
        <v>0</v>
      </c>
      <c r="F762" s="967">
        <v>222052</v>
      </c>
      <c r="G762" s="1538">
        <v>5051.6692188017996</v>
      </c>
      <c r="H762" s="975">
        <v>5194.6547016385975</v>
      </c>
      <c r="J762" s="125">
        <v>5051.6689999999999</v>
      </c>
    </row>
    <row r="763" spans="1:10" ht="20.25">
      <c r="A763" t="s">
        <v>1655</v>
      </c>
      <c r="B763" s="967">
        <v>799263933</v>
      </c>
      <c r="C763" s="968">
        <v>4524.96</v>
      </c>
      <c r="D763" s="968">
        <v>4524.96</v>
      </c>
      <c r="E763" s="967">
        <v>0</v>
      </c>
      <c r="F763" s="967">
        <v>418461</v>
      </c>
      <c r="G763" s="1538">
        <v>4780.8528987155469</v>
      </c>
      <c r="H763" s="975">
        <v>4935.544252921678</v>
      </c>
      <c r="J763" s="125">
        <v>4780.8530000000001</v>
      </c>
    </row>
    <row r="764" spans="1:10" ht="20.25">
      <c r="A764" t="s">
        <v>1248</v>
      </c>
      <c r="B764" s="967">
        <v>828834903</v>
      </c>
      <c r="C764" s="968">
        <v>3381.31</v>
      </c>
      <c r="D764" s="968">
        <v>3381.31</v>
      </c>
      <c r="E764" s="967">
        <v>0</v>
      </c>
      <c r="F764" s="967">
        <v>365152</v>
      </c>
      <c r="G764" s="1538">
        <v>4810.2122533809561</v>
      </c>
      <c r="H764" s="975">
        <v>5141.7249827540836</v>
      </c>
      <c r="J764" s="125">
        <v>4810.2120000000004</v>
      </c>
    </row>
    <row r="765" spans="1:10" ht="20.25">
      <c r="A765" t="s">
        <v>1249</v>
      </c>
      <c r="B765" s="967">
        <v>119493117</v>
      </c>
      <c r="C765" s="968">
        <v>185.197</v>
      </c>
      <c r="D765" s="968">
        <v>185.197</v>
      </c>
      <c r="E765" s="967">
        <v>0</v>
      </c>
      <c r="F765" s="967">
        <v>22350</v>
      </c>
      <c r="G765" s="1538">
        <v>5921.2127925366613</v>
      </c>
      <c r="H765" s="975">
        <v>6063.285881741238</v>
      </c>
      <c r="J765" s="125">
        <v>5921.2129999999997</v>
      </c>
    </row>
    <row r="766" spans="1:10" ht="20.25">
      <c r="A766" t="s">
        <v>1250</v>
      </c>
      <c r="B766" s="967">
        <v>517146939</v>
      </c>
      <c r="C766" s="968">
        <v>303.90800000000002</v>
      </c>
      <c r="D766" s="968">
        <v>303.90800000000002</v>
      </c>
      <c r="E766" s="967">
        <v>0</v>
      </c>
      <c r="F766" s="967">
        <v>38761</v>
      </c>
      <c r="G766" s="1538">
        <v>5924.0098277365414</v>
      </c>
      <c r="H766" s="975">
        <v>6067.3448881192762</v>
      </c>
      <c r="J766" s="125">
        <v>5924.01</v>
      </c>
    </row>
    <row r="767" spans="1:10" ht="20.25">
      <c r="A767" t="s">
        <v>2902</v>
      </c>
      <c r="B767" s="967">
        <v>659443959</v>
      </c>
      <c r="C767" s="968">
        <v>3304.84</v>
      </c>
      <c r="D767" s="968">
        <v>3304.84</v>
      </c>
      <c r="E767" s="967">
        <v>0</v>
      </c>
      <c r="F767" s="967">
        <v>369676</v>
      </c>
      <c r="G767" s="1538">
        <v>4992.3973857569063</v>
      </c>
      <c r="H767" s="975">
        <v>5215.6697000078648</v>
      </c>
      <c r="J767" s="125">
        <v>4992.393</v>
      </c>
    </row>
    <row r="768" spans="1:10" ht="20.25">
      <c r="A768" t="s">
        <v>1529</v>
      </c>
      <c r="B768" s="967">
        <v>231052721</v>
      </c>
      <c r="C768" s="968">
        <v>463.803</v>
      </c>
      <c r="D768" s="968">
        <v>463.803</v>
      </c>
      <c r="E768" s="967">
        <v>0</v>
      </c>
      <c r="F768" s="967">
        <v>57554</v>
      </c>
      <c r="G768" s="1538">
        <v>4875.1992025071868</v>
      </c>
      <c r="H768" s="975">
        <v>5231.2946442592483</v>
      </c>
      <c r="J768" s="125">
        <v>4875.1989999999996</v>
      </c>
    </row>
    <row r="769" spans="1:10" ht="20.25">
      <c r="A769" t="s">
        <v>1530</v>
      </c>
      <c r="B769" s="967">
        <v>75560732</v>
      </c>
      <c r="C769" s="968">
        <v>171.64700000000002</v>
      </c>
      <c r="D769" s="968">
        <v>171.64700000000002</v>
      </c>
      <c r="E769" s="967">
        <v>0</v>
      </c>
      <c r="F769" s="967">
        <v>7259</v>
      </c>
      <c r="G769" s="1538">
        <v>4895.160732005631</v>
      </c>
      <c r="H769" s="975">
        <v>5039.2141350210968</v>
      </c>
      <c r="J769" s="125">
        <v>4895.1610000000001</v>
      </c>
    </row>
    <row r="770" spans="1:10" ht="20.25">
      <c r="A770" t="s">
        <v>1531</v>
      </c>
      <c r="B770" s="967">
        <v>381746083</v>
      </c>
      <c r="C770" s="968">
        <v>80.597000000000008</v>
      </c>
      <c r="D770" s="968">
        <v>80.597000000000008</v>
      </c>
      <c r="E770" s="967">
        <v>0</v>
      </c>
      <c r="F770" s="967">
        <v>18535</v>
      </c>
      <c r="G770" s="1538">
        <v>6928.6343095252059</v>
      </c>
      <c r="H770" s="975">
        <v>7069.9189377544662</v>
      </c>
      <c r="J770" s="125">
        <v>6928.634</v>
      </c>
    </row>
    <row r="771" spans="1:10" ht="20.25">
      <c r="A771" t="s">
        <v>1532</v>
      </c>
      <c r="B771" s="967">
        <v>847641022</v>
      </c>
      <c r="C771" s="968">
        <v>592.08600000000001</v>
      </c>
      <c r="D771" s="968">
        <v>592.08600000000001</v>
      </c>
      <c r="E771" s="967">
        <v>0</v>
      </c>
      <c r="F771" s="967">
        <v>31192</v>
      </c>
      <c r="G771" s="1538">
        <v>6874.6560741912799</v>
      </c>
      <c r="H771" s="975">
        <v>6976.1512665407827</v>
      </c>
      <c r="J771" s="125">
        <v>6874.6559999999999</v>
      </c>
    </row>
    <row r="772" spans="1:10" ht="20.25">
      <c r="A772" t="s">
        <v>1533</v>
      </c>
      <c r="B772" s="967">
        <v>3748378147</v>
      </c>
      <c r="C772" s="968">
        <v>2534.4160000000002</v>
      </c>
      <c r="D772" s="968">
        <v>2534.4160000000002</v>
      </c>
      <c r="E772" s="967">
        <v>0</v>
      </c>
      <c r="F772" s="967">
        <v>295379</v>
      </c>
      <c r="G772" s="1538">
        <v>6816.2981005558431</v>
      </c>
      <c r="H772" s="975">
        <v>6705.9809089151258</v>
      </c>
      <c r="J772" s="125">
        <v>6816.2979999999998</v>
      </c>
    </row>
    <row r="773" spans="1:10" ht="20.25">
      <c r="A773" t="s">
        <v>2974</v>
      </c>
      <c r="B773" s="967">
        <v>350180201</v>
      </c>
      <c r="C773" s="968">
        <v>349.73</v>
      </c>
      <c r="D773" s="968">
        <v>349.73</v>
      </c>
      <c r="E773" s="967">
        <v>0</v>
      </c>
      <c r="F773" s="967">
        <v>48458</v>
      </c>
      <c r="G773" s="1538">
        <v>5965.4795786008117</v>
      </c>
      <c r="H773" s="975">
        <v>6107.7091325706942</v>
      </c>
      <c r="J773" s="125">
        <v>5965.48</v>
      </c>
    </row>
    <row r="774" spans="1:10" ht="20.25">
      <c r="A774" t="s">
        <v>805</v>
      </c>
      <c r="B774" s="967">
        <v>162567404</v>
      </c>
      <c r="C774" s="968">
        <v>513.81799999999998</v>
      </c>
      <c r="D774" s="968">
        <v>513.81799999999998</v>
      </c>
      <c r="E774" s="967">
        <v>0</v>
      </c>
      <c r="F774" s="967">
        <v>55662</v>
      </c>
      <c r="G774" s="1538">
        <v>4985.4393705620705</v>
      </c>
      <c r="H774" s="975">
        <v>5129.8295691059811</v>
      </c>
      <c r="J774" s="125">
        <v>4985.4390000000003</v>
      </c>
    </row>
    <row r="775" spans="1:10" ht="20.25">
      <c r="A775" t="s">
        <v>1703</v>
      </c>
      <c r="B775" s="967">
        <v>822006780</v>
      </c>
      <c r="C775" s="968">
        <v>3238.15</v>
      </c>
      <c r="D775" s="968">
        <v>3238.15</v>
      </c>
      <c r="E775" s="967">
        <v>0</v>
      </c>
      <c r="F775" s="967">
        <v>333795</v>
      </c>
      <c r="G775" s="1538">
        <v>5011.7825818040956</v>
      </c>
      <c r="H775" s="975">
        <v>5185.45583459921</v>
      </c>
      <c r="J775" s="125">
        <v>5011.7830000000004</v>
      </c>
    </row>
    <row r="776" spans="1:10" ht="20.25">
      <c r="A776" t="s">
        <v>1656</v>
      </c>
      <c r="B776" s="967">
        <v>3157213483</v>
      </c>
      <c r="C776" s="968">
        <v>7026.02</v>
      </c>
      <c r="D776" s="968">
        <v>7026.02</v>
      </c>
      <c r="E776" s="967">
        <v>0</v>
      </c>
      <c r="F776" s="967">
        <v>621158</v>
      </c>
      <c r="G776" s="1538">
        <v>5309.8089227266992</v>
      </c>
      <c r="H776" s="975">
        <v>5453.1358728655068</v>
      </c>
      <c r="J776" s="125">
        <v>5309.8090000000002</v>
      </c>
    </row>
    <row r="777" spans="1:10" ht="20.25">
      <c r="A777" t="s">
        <v>2901</v>
      </c>
      <c r="B777" s="967">
        <v>260760006</v>
      </c>
      <c r="C777" s="968">
        <v>713.14200000000005</v>
      </c>
      <c r="D777" s="968">
        <v>713.14200000000005</v>
      </c>
      <c r="E777" s="967">
        <v>5442</v>
      </c>
      <c r="F777" s="967">
        <v>63284</v>
      </c>
      <c r="G777" s="1538">
        <v>4930.2192502298449</v>
      </c>
      <c r="H777" s="975">
        <v>5281.8859229247064</v>
      </c>
      <c r="J777" s="125">
        <v>4930.2190000000001</v>
      </c>
    </row>
    <row r="778" spans="1:10" ht="20.25">
      <c r="A778" t="s">
        <v>1563</v>
      </c>
      <c r="B778" s="967">
        <v>2259511335</v>
      </c>
      <c r="C778" s="968">
        <v>4366.1400000000003</v>
      </c>
      <c r="D778" s="968">
        <v>4366.1400000000003</v>
      </c>
      <c r="E778" s="967">
        <v>0</v>
      </c>
      <c r="F778" s="967">
        <v>0</v>
      </c>
      <c r="G778" s="1538">
        <v>5785.7762980638008</v>
      </c>
      <c r="H778" s="975">
        <v>5928.9858496860033</v>
      </c>
      <c r="J778" s="125">
        <v>5785.7759999999998</v>
      </c>
    </row>
    <row r="779" spans="1:10" ht="20.25">
      <c r="A779" t="s">
        <v>236</v>
      </c>
      <c r="B779" s="967">
        <v>250621652</v>
      </c>
      <c r="C779" s="968">
        <v>1016.3770000000001</v>
      </c>
      <c r="D779" s="968">
        <v>1016.3770000000001</v>
      </c>
      <c r="E779" s="967">
        <v>0</v>
      </c>
      <c r="F779" s="967">
        <v>64614</v>
      </c>
      <c r="G779" s="1538">
        <v>5121.9965302521714</v>
      </c>
      <c r="H779" s="975">
        <v>5223.9963833507782</v>
      </c>
      <c r="J779" s="125">
        <v>5121.9970000000003</v>
      </c>
    </row>
    <row r="780" spans="1:10" ht="20.25">
      <c r="A780" t="s">
        <v>2144</v>
      </c>
      <c r="B780" s="967">
        <v>351610606</v>
      </c>
      <c r="C780" s="968">
        <v>805.03100000000006</v>
      </c>
      <c r="D780" s="968">
        <v>805.03100000000006</v>
      </c>
      <c r="E780" s="967">
        <v>62707</v>
      </c>
      <c r="F780" s="967">
        <v>53255</v>
      </c>
      <c r="G780" s="1538">
        <v>5382.0980173242142</v>
      </c>
      <c r="H780" s="975">
        <v>5529.23081000614</v>
      </c>
      <c r="J780" s="125">
        <v>5382.098</v>
      </c>
    </row>
    <row r="781" spans="1:10" ht="20.25">
      <c r="A781" t="s">
        <v>1834</v>
      </c>
      <c r="B781" s="967">
        <v>207576795</v>
      </c>
      <c r="C781" s="968">
        <v>182.71300000000002</v>
      </c>
      <c r="D781" s="968">
        <v>182.71300000000002</v>
      </c>
      <c r="E781" s="967">
        <v>0</v>
      </c>
      <c r="F781" s="967">
        <v>28100</v>
      </c>
      <c r="G781" s="1538">
        <v>5917.4391494609936</v>
      </c>
      <c r="H781" s="975">
        <v>6060.7460761906641</v>
      </c>
      <c r="J781" s="125">
        <v>5917.4390000000003</v>
      </c>
    </row>
    <row r="782" spans="1:10" ht="20.25">
      <c r="A782" t="s">
        <v>1835</v>
      </c>
      <c r="B782" s="967">
        <v>68591426</v>
      </c>
      <c r="C782" s="968">
        <v>469.28900000000004</v>
      </c>
      <c r="D782" s="968">
        <v>469.28900000000004</v>
      </c>
      <c r="E782" s="967">
        <v>0</v>
      </c>
      <c r="F782" s="967">
        <v>18713</v>
      </c>
      <c r="G782" s="1538">
        <v>4431.7935330672071</v>
      </c>
      <c r="H782" s="975">
        <v>4575.0574671815457</v>
      </c>
      <c r="J782" s="125">
        <v>4431.7939999999999</v>
      </c>
    </row>
    <row r="783" spans="1:10" ht="20.25">
      <c r="A783" t="s">
        <v>1836</v>
      </c>
      <c r="B783" s="967">
        <v>112806652</v>
      </c>
      <c r="C783" s="968">
        <v>517.15499999999997</v>
      </c>
      <c r="D783" s="968">
        <v>517.15499999999997</v>
      </c>
      <c r="E783" s="967">
        <v>0</v>
      </c>
      <c r="F783" s="967">
        <v>39117</v>
      </c>
      <c r="G783" s="1538">
        <v>4676.0444876172533</v>
      </c>
      <c r="H783" s="975">
        <v>4818.6317792951886</v>
      </c>
      <c r="J783" s="125">
        <v>4676.0439999999999</v>
      </c>
    </row>
    <row r="784" spans="1:10" ht="20.25">
      <c r="A784" t="s">
        <v>1837</v>
      </c>
      <c r="B784" s="967">
        <v>298489930</v>
      </c>
      <c r="C784" s="968">
        <v>1118.5810000000001</v>
      </c>
      <c r="D784" s="968">
        <v>1118.5810000000001</v>
      </c>
      <c r="E784" s="967">
        <v>0</v>
      </c>
      <c r="F784" s="967">
        <v>41353</v>
      </c>
      <c r="G784" s="1538">
        <v>4946.5019865165432</v>
      </c>
      <c r="H784" s="975">
        <v>5090.4809911285065</v>
      </c>
      <c r="J784" s="125">
        <v>4946.5020000000004</v>
      </c>
    </row>
    <row r="785" spans="1:10" ht="20.25">
      <c r="A785" t="s">
        <v>1838</v>
      </c>
      <c r="B785" s="967">
        <v>55685876</v>
      </c>
      <c r="C785" s="968">
        <v>134.62100000000001</v>
      </c>
      <c r="D785" s="968">
        <v>134.62100000000001</v>
      </c>
      <c r="E785" s="967">
        <v>0</v>
      </c>
      <c r="F785" s="967">
        <v>31377</v>
      </c>
      <c r="G785" s="1538">
        <v>5409.1797437443129</v>
      </c>
      <c r="H785" s="975">
        <v>5553.1930411817093</v>
      </c>
      <c r="J785" s="125">
        <v>5409.18</v>
      </c>
    </row>
    <row r="786" spans="1:10" ht="20.25">
      <c r="A786" t="s">
        <v>2140</v>
      </c>
      <c r="B786" s="967">
        <v>309252222</v>
      </c>
      <c r="C786" s="968">
        <v>107.756</v>
      </c>
      <c r="D786" s="968">
        <v>107.756</v>
      </c>
      <c r="E786" s="967">
        <v>0</v>
      </c>
      <c r="F786" s="967">
        <v>15678</v>
      </c>
      <c r="G786" s="1538">
        <v>6556.8142899545637</v>
      </c>
      <c r="H786" s="975">
        <v>6701.1461448891532</v>
      </c>
      <c r="J786" s="125">
        <v>6556.8140000000003</v>
      </c>
    </row>
    <row r="787" spans="1:10" ht="20.25">
      <c r="A787" t="s">
        <v>2625</v>
      </c>
      <c r="B787" s="967">
        <v>2176136434</v>
      </c>
      <c r="C787" s="968">
        <v>2185.5450000000001</v>
      </c>
      <c r="D787" s="968">
        <v>2185.5450000000001</v>
      </c>
      <c r="E787" s="967">
        <v>0</v>
      </c>
      <c r="F787" s="967">
        <v>192724</v>
      </c>
      <c r="G787" s="1538">
        <v>6603.2684826023951</v>
      </c>
      <c r="H787" s="975">
        <v>6744.91558358166</v>
      </c>
      <c r="J787" s="125">
        <v>6603.1059999999998</v>
      </c>
    </row>
    <row r="788" spans="1:10" ht="20.25">
      <c r="A788" t="s">
        <v>2614</v>
      </c>
      <c r="B788" s="967">
        <v>1834388762</v>
      </c>
      <c r="C788" s="968">
        <v>526.61500000000001</v>
      </c>
      <c r="D788" s="968">
        <v>526.61500000000001</v>
      </c>
      <c r="E788" s="967">
        <v>0</v>
      </c>
      <c r="F788" s="967">
        <v>66758</v>
      </c>
      <c r="G788" s="1538">
        <v>7292.6884641866873</v>
      </c>
      <c r="H788" s="975">
        <v>7437.913397473706</v>
      </c>
      <c r="J788" s="125">
        <v>7292.6880000000001</v>
      </c>
    </row>
    <row r="789" spans="1:10" ht="20.25">
      <c r="A789" t="s">
        <v>1477</v>
      </c>
      <c r="B789" s="967">
        <v>312800320</v>
      </c>
      <c r="C789" s="968">
        <v>451.13600000000002</v>
      </c>
      <c r="D789" s="968">
        <v>451.13600000000002</v>
      </c>
      <c r="E789" s="967">
        <v>0</v>
      </c>
      <c r="F789" s="967">
        <v>117853</v>
      </c>
      <c r="G789" s="1538">
        <v>5145.6123079927102</v>
      </c>
      <c r="H789" s="975">
        <v>5289.7461970226959</v>
      </c>
      <c r="J789" s="125">
        <v>5145.6120000000001</v>
      </c>
    </row>
    <row r="790" spans="1:10" ht="20.25">
      <c r="A790" t="s">
        <v>790</v>
      </c>
      <c r="B790" s="967">
        <v>98097131</v>
      </c>
      <c r="C790" s="968">
        <v>246.50800000000001</v>
      </c>
      <c r="D790" s="968">
        <v>246.50800000000001</v>
      </c>
      <c r="E790" s="967">
        <v>0</v>
      </c>
      <c r="F790" s="967">
        <v>20044</v>
      </c>
      <c r="G790" s="1538">
        <v>4942.9245154801702</v>
      </c>
      <c r="H790" s="975">
        <v>5086.7570603046934</v>
      </c>
      <c r="J790" s="125">
        <v>4942.9250000000002</v>
      </c>
    </row>
    <row r="791" spans="1:10" ht="20.25">
      <c r="A791" t="s">
        <v>2917</v>
      </c>
      <c r="B791" s="967">
        <v>253066124</v>
      </c>
      <c r="C791" s="968">
        <v>947.16300000000001</v>
      </c>
      <c r="D791" s="968">
        <v>947.16300000000001</v>
      </c>
      <c r="E791" s="967">
        <v>0</v>
      </c>
      <c r="F791" s="967">
        <v>143827</v>
      </c>
      <c r="G791" s="1538">
        <v>4772.1721687192949</v>
      </c>
      <c r="H791" s="975">
        <v>4944.0207934329264</v>
      </c>
      <c r="J791" s="125">
        <v>4772.1719999999996</v>
      </c>
    </row>
    <row r="792" spans="1:10" ht="20.25">
      <c r="A792" t="s">
        <v>791</v>
      </c>
      <c r="B792" s="967">
        <v>103861009</v>
      </c>
      <c r="C792" s="968">
        <v>183.79900000000001</v>
      </c>
      <c r="D792" s="968">
        <v>183.79900000000001</v>
      </c>
      <c r="E792" s="967">
        <v>0</v>
      </c>
      <c r="F792" s="967">
        <v>24766</v>
      </c>
      <c r="G792" s="1538">
        <v>5355.0125489974898</v>
      </c>
      <c r="H792" s="975">
        <v>5650.3801166292569</v>
      </c>
      <c r="J792" s="125">
        <v>5355.0129999999999</v>
      </c>
    </row>
    <row r="793" spans="1:10" ht="20.25">
      <c r="A793" t="s">
        <v>1992</v>
      </c>
      <c r="B793" s="967">
        <v>1237603668</v>
      </c>
      <c r="C793" s="968">
        <v>3740.9260000000004</v>
      </c>
      <c r="D793" s="968">
        <v>3740.9260000000004</v>
      </c>
      <c r="E793" s="967">
        <v>0</v>
      </c>
      <c r="F793" s="967">
        <v>620594</v>
      </c>
      <c r="G793" s="1538">
        <v>4900.7705564991502</v>
      </c>
      <c r="H793" s="975">
        <v>5044.3458145207733</v>
      </c>
      <c r="J793" s="125">
        <v>4900.7700000000004</v>
      </c>
    </row>
    <row r="794" spans="1:10" ht="20.25">
      <c r="A794" t="s">
        <v>1380</v>
      </c>
      <c r="B794" s="967">
        <v>378697597</v>
      </c>
      <c r="C794" s="968">
        <v>880.4670000000001</v>
      </c>
      <c r="D794" s="968">
        <v>880.4670000000001</v>
      </c>
      <c r="E794" s="967">
        <v>0</v>
      </c>
      <c r="F794" s="967">
        <v>103281</v>
      </c>
      <c r="G794" s="1538">
        <v>4876.0891121646227</v>
      </c>
      <c r="H794" s="975">
        <v>5019.5400599089435</v>
      </c>
      <c r="J794" s="125">
        <v>4876.0889999999999</v>
      </c>
    </row>
    <row r="795" spans="1:10" ht="20.25">
      <c r="A795" t="s">
        <v>1839</v>
      </c>
      <c r="B795" s="967">
        <v>7046915843</v>
      </c>
      <c r="C795" s="968">
        <v>28706.127</v>
      </c>
      <c r="D795" s="968">
        <v>28706.127</v>
      </c>
      <c r="E795" s="967">
        <v>0</v>
      </c>
      <c r="F795" s="967">
        <v>857377</v>
      </c>
      <c r="G795" s="1538">
        <v>4827.4772143602659</v>
      </c>
      <c r="H795" s="975">
        <v>5055.1181560490841</v>
      </c>
      <c r="J795" s="125">
        <v>4827.4769999999999</v>
      </c>
    </row>
    <row r="796" spans="1:10" ht="20.25">
      <c r="A796" t="s">
        <v>227</v>
      </c>
      <c r="B796" s="967">
        <v>245383014</v>
      </c>
      <c r="C796" s="968">
        <v>1376.819</v>
      </c>
      <c r="D796" s="968">
        <v>1376.819</v>
      </c>
      <c r="E796" s="967">
        <v>0</v>
      </c>
      <c r="F796" s="967">
        <v>99782</v>
      </c>
      <c r="G796" s="1538">
        <v>4818.3617291331639</v>
      </c>
      <c r="H796" s="975">
        <v>4961.0339303778392</v>
      </c>
      <c r="J796" s="125">
        <v>4818.3620000000001</v>
      </c>
    </row>
    <row r="797" spans="1:10" ht="20.25">
      <c r="A797" t="s">
        <v>625</v>
      </c>
      <c r="B797" s="967">
        <v>840699507</v>
      </c>
      <c r="C797" s="968">
        <v>849.49</v>
      </c>
      <c r="D797" s="968">
        <v>849.49</v>
      </c>
      <c r="E797" s="967">
        <v>0</v>
      </c>
      <c r="F797" s="967">
        <v>96407</v>
      </c>
      <c r="G797" s="1538">
        <v>5718.50045864191</v>
      </c>
      <c r="H797" s="975">
        <v>5861.5175324134489</v>
      </c>
      <c r="J797" s="125">
        <v>5718.5</v>
      </c>
    </row>
    <row r="798" spans="1:10" ht="20.25">
      <c r="A798" t="s">
        <v>2496</v>
      </c>
      <c r="B798" s="967">
        <v>826068302</v>
      </c>
      <c r="C798" s="968">
        <v>1140.374</v>
      </c>
      <c r="D798" s="968">
        <v>1140.374</v>
      </c>
      <c r="E798" s="967">
        <v>0</v>
      </c>
      <c r="F798" s="967">
        <v>152474</v>
      </c>
      <c r="G798" s="1538">
        <v>6049.8748051932207</v>
      </c>
      <c r="H798" s="975">
        <v>6199.2109972145663</v>
      </c>
      <c r="J798" s="125">
        <v>6049.875</v>
      </c>
    </row>
    <row r="799" spans="1:10" ht="20.25">
      <c r="A799" t="s">
        <v>1657</v>
      </c>
      <c r="B799" s="967">
        <v>128171895</v>
      </c>
      <c r="C799" s="968">
        <v>338.13499999999999</v>
      </c>
      <c r="D799" s="968">
        <v>338.13499999999999</v>
      </c>
      <c r="E799" s="967">
        <v>0</v>
      </c>
      <c r="F799" s="967">
        <v>19853</v>
      </c>
      <c r="G799" s="1538">
        <v>5224.4180556316169</v>
      </c>
      <c r="H799" s="975">
        <v>5367.6797518153535</v>
      </c>
      <c r="J799" s="125">
        <v>5224.4179999999997</v>
      </c>
    </row>
    <row r="800" spans="1:10" ht="20.25">
      <c r="A800" t="s">
        <v>245</v>
      </c>
      <c r="B800" s="967">
        <v>82464450</v>
      </c>
      <c r="C800" s="968">
        <v>1335.827</v>
      </c>
      <c r="D800" s="968">
        <v>1335.827</v>
      </c>
      <c r="E800" s="967">
        <v>0</v>
      </c>
      <c r="F800" s="967">
        <v>54213</v>
      </c>
      <c r="G800" s="1538">
        <v>6163.8414258891235</v>
      </c>
      <c r="H800" s="975">
        <v>6306.8041497777322</v>
      </c>
      <c r="J800" s="125">
        <v>6163.8410000000003</v>
      </c>
    </row>
    <row r="801" spans="1:10" ht="20.25">
      <c r="A801" t="s">
        <v>1464</v>
      </c>
      <c r="B801" s="967">
        <v>464632426</v>
      </c>
      <c r="C801" s="968">
        <v>1489.607</v>
      </c>
      <c r="D801" s="968">
        <v>1489.607</v>
      </c>
      <c r="E801" s="967">
        <v>0</v>
      </c>
      <c r="F801" s="967">
        <v>236091</v>
      </c>
      <c r="G801" s="1538">
        <v>5135.0465980214603</v>
      </c>
      <c r="H801" s="975">
        <v>5279.4620986524778</v>
      </c>
      <c r="J801" s="125">
        <v>5135.0469999999996</v>
      </c>
    </row>
    <row r="802" spans="1:10" ht="20.25">
      <c r="A802" t="s">
        <v>1465</v>
      </c>
      <c r="B802" s="967">
        <v>2752339335</v>
      </c>
      <c r="C802" s="968">
        <v>8320.1490000000013</v>
      </c>
      <c r="D802" s="968">
        <v>8320.1490000000013</v>
      </c>
      <c r="E802" s="967">
        <v>156492</v>
      </c>
      <c r="F802" s="967">
        <v>595908</v>
      </c>
      <c r="G802" s="1538">
        <v>5044.4380338345709</v>
      </c>
      <c r="H802" s="975">
        <v>5187.3371095146622</v>
      </c>
      <c r="J802" s="125">
        <v>5044.4380000000001</v>
      </c>
    </row>
    <row r="803" spans="1:10" ht="20.25">
      <c r="A803" t="s">
        <v>2883</v>
      </c>
      <c r="B803" s="967">
        <v>1677759818</v>
      </c>
      <c r="C803" s="968">
        <v>718.67500000000007</v>
      </c>
      <c r="D803" s="968">
        <v>718.67500000000007</v>
      </c>
      <c r="E803" s="967">
        <v>0</v>
      </c>
      <c r="F803" s="967">
        <v>45089</v>
      </c>
      <c r="G803" s="1538">
        <v>6328.5359478718256</v>
      </c>
      <c r="H803" s="975">
        <v>6472.7721484410567</v>
      </c>
      <c r="J803" s="125">
        <v>6328.5360000000001</v>
      </c>
    </row>
    <row r="804" spans="1:10" ht="20.25">
      <c r="A804" t="s">
        <v>896</v>
      </c>
      <c r="B804" s="967">
        <v>214576136</v>
      </c>
      <c r="C804" s="968">
        <v>225.22900000000001</v>
      </c>
      <c r="D804" s="968">
        <v>225.22900000000001</v>
      </c>
      <c r="E804" s="967">
        <v>0</v>
      </c>
      <c r="F804" s="967">
        <v>24909</v>
      </c>
      <c r="G804" s="1538">
        <v>5685.7051662030917</v>
      </c>
      <c r="H804" s="975">
        <v>5830.3967168262652</v>
      </c>
      <c r="J804" s="125">
        <v>5685.7049999999999</v>
      </c>
    </row>
    <row r="805" spans="1:10" ht="20.25">
      <c r="A805" t="s">
        <v>135</v>
      </c>
      <c r="B805" s="967">
        <v>43829637</v>
      </c>
      <c r="C805" s="968">
        <v>383.178</v>
      </c>
      <c r="D805" s="968">
        <v>383.178</v>
      </c>
      <c r="E805" s="967">
        <v>0</v>
      </c>
      <c r="F805" s="967">
        <v>51860</v>
      </c>
      <c r="G805" s="1538">
        <v>4597.7121112321638</v>
      </c>
      <c r="H805" s="975">
        <v>4781.9514494020123</v>
      </c>
      <c r="J805" s="125">
        <v>4597.7120000000004</v>
      </c>
    </row>
    <row r="806" spans="1:10" ht="20.25">
      <c r="A806" t="s">
        <v>3051</v>
      </c>
      <c r="B806" s="967">
        <v>177885359</v>
      </c>
      <c r="C806" s="968">
        <v>682.80500000000006</v>
      </c>
      <c r="D806" s="968">
        <v>682.80500000000006</v>
      </c>
      <c r="E806" s="967">
        <v>0</v>
      </c>
      <c r="F806" s="967">
        <v>116769</v>
      </c>
      <c r="G806" s="1538">
        <v>5164.1798589638811</v>
      </c>
      <c r="H806" s="975">
        <v>5308.5978085669194</v>
      </c>
      <c r="J806" s="125">
        <v>5164.18</v>
      </c>
    </row>
    <row r="807" spans="1:10" ht="20.25">
      <c r="A807" t="s">
        <v>2597</v>
      </c>
      <c r="B807" s="967">
        <v>190767272</v>
      </c>
      <c r="C807" s="968">
        <v>715.57299999999998</v>
      </c>
      <c r="D807" s="968">
        <v>715.57299999999998</v>
      </c>
      <c r="E807" s="967">
        <v>0</v>
      </c>
      <c r="F807" s="967">
        <v>122760</v>
      </c>
      <c r="G807" s="1538">
        <v>4868.0020128057095</v>
      </c>
      <c r="H807" s="975">
        <v>5012.6222640318792</v>
      </c>
      <c r="J807" s="125">
        <v>4868.0020000000004</v>
      </c>
    </row>
    <row r="808" spans="1:10" ht="20.25">
      <c r="A808" t="s">
        <v>411</v>
      </c>
      <c r="B808" s="967">
        <v>55196792</v>
      </c>
      <c r="C808" s="968">
        <v>455.26600000000002</v>
      </c>
      <c r="D808" s="968">
        <v>455.26600000000002</v>
      </c>
      <c r="E808" s="967">
        <v>54562</v>
      </c>
      <c r="F808" s="967">
        <v>50306</v>
      </c>
      <c r="G808" s="1538">
        <v>4625.69154743132</v>
      </c>
      <c r="H808" s="975">
        <v>4768.2871618828658</v>
      </c>
      <c r="J808" s="125">
        <v>4624.598</v>
      </c>
    </row>
    <row r="809" spans="1:10" ht="20.25">
      <c r="A809" t="s">
        <v>1113</v>
      </c>
      <c r="B809" s="967">
        <v>982210794</v>
      </c>
      <c r="C809" s="968">
        <v>2017.883</v>
      </c>
      <c r="D809" s="968">
        <v>2017.883</v>
      </c>
      <c r="E809" s="967">
        <v>0</v>
      </c>
      <c r="F809" s="967">
        <v>0</v>
      </c>
      <c r="G809" s="1538">
        <v>5752.149552483258</v>
      </c>
      <c r="H809" s="975">
        <v>5857.1223579733669</v>
      </c>
      <c r="J809" s="125">
        <v>5752.15</v>
      </c>
    </row>
    <row r="810" spans="1:10" ht="20.25">
      <c r="A810" t="s">
        <v>1932</v>
      </c>
      <c r="B810" s="967">
        <v>32385086</v>
      </c>
      <c r="C810" s="968">
        <v>148.91400000000002</v>
      </c>
      <c r="D810" s="968">
        <v>148.91400000000002</v>
      </c>
      <c r="E810" s="967">
        <v>0</v>
      </c>
      <c r="F810" s="967">
        <v>10541</v>
      </c>
      <c r="G810" s="1538">
        <v>6058.764915271232</v>
      </c>
      <c r="H810" s="975">
        <v>6202.9747021851244</v>
      </c>
      <c r="J810" s="125">
        <v>6058.7650000000003</v>
      </c>
    </row>
    <row r="811" spans="1:10" ht="20.25">
      <c r="A811" t="s">
        <v>793</v>
      </c>
      <c r="B811" s="967">
        <v>463157955</v>
      </c>
      <c r="C811" s="968">
        <v>151.714</v>
      </c>
      <c r="D811" s="968">
        <v>151.714</v>
      </c>
      <c r="E811" s="967">
        <v>0</v>
      </c>
      <c r="F811" s="967">
        <v>23684</v>
      </c>
      <c r="G811" s="1538">
        <v>7934.7767730455653</v>
      </c>
      <c r="H811" s="975">
        <v>8078.1323106423779</v>
      </c>
      <c r="J811" s="125">
        <v>7934.777</v>
      </c>
    </row>
    <row r="812" spans="1:10" ht="20.25">
      <c r="A812" t="s">
        <v>794</v>
      </c>
      <c r="B812" s="967">
        <v>127985977</v>
      </c>
      <c r="C812" s="968">
        <v>483.65500000000003</v>
      </c>
      <c r="D812" s="968">
        <v>483.65500000000003</v>
      </c>
      <c r="E812" s="967">
        <v>0</v>
      </c>
      <c r="F812" s="967">
        <v>30334</v>
      </c>
      <c r="G812" s="1538">
        <v>4990.7892327634609</v>
      </c>
      <c r="H812" s="975">
        <v>5135.3825340311087</v>
      </c>
      <c r="J812" s="125">
        <v>4990.7889999999998</v>
      </c>
    </row>
    <row r="813" spans="1:10" ht="20.25">
      <c r="A813" t="s">
        <v>795</v>
      </c>
      <c r="B813" s="967">
        <v>563239589</v>
      </c>
      <c r="C813" s="968">
        <v>700.56900000000007</v>
      </c>
      <c r="D813" s="968">
        <v>700.56900000000007</v>
      </c>
      <c r="E813" s="967">
        <v>0</v>
      </c>
      <c r="F813" s="967">
        <v>24183</v>
      </c>
      <c r="G813" s="1538">
        <v>5831.6905591318455</v>
      </c>
      <c r="H813" s="975">
        <v>5975.4594726499781</v>
      </c>
      <c r="J813" s="125">
        <v>5831.6909999999998</v>
      </c>
    </row>
    <row r="814" spans="1:10" ht="20.25">
      <c r="A814" t="s">
        <v>1644</v>
      </c>
      <c r="B814" s="967">
        <v>837324238</v>
      </c>
      <c r="C814" s="968">
        <v>158.875</v>
      </c>
      <c r="D814" s="968">
        <v>158.875</v>
      </c>
      <c r="E814" s="967">
        <v>0</v>
      </c>
      <c r="F814" s="967">
        <v>64927</v>
      </c>
      <c r="G814" s="1538">
        <v>8264.1280806702089</v>
      </c>
      <c r="H814" s="975">
        <v>8406.5266815448722</v>
      </c>
      <c r="J814" s="125">
        <v>8264.1280000000006</v>
      </c>
    </row>
    <row r="815" spans="1:10" ht="20.25">
      <c r="A815" t="s">
        <v>1645</v>
      </c>
      <c r="B815" s="967">
        <v>546633377</v>
      </c>
      <c r="C815" s="968">
        <v>408.04300000000001</v>
      </c>
      <c r="D815" s="968">
        <v>408.04300000000001</v>
      </c>
      <c r="E815" s="967">
        <v>0</v>
      </c>
      <c r="F815" s="967">
        <v>46360</v>
      </c>
      <c r="G815" s="1538">
        <v>7704.683881971273</v>
      </c>
      <c r="H815" s="975">
        <v>7848.9793379276025</v>
      </c>
      <c r="J815" s="125">
        <v>7704.6840000000002</v>
      </c>
    </row>
    <row r="816" spans="1:10" ht="20.25">
      <c r="A816" t="s">
        <v>1646</v>
      </c>
      <c r="B816" s="967">
        <v>75569957</v>
      </c>
      <c r="C816" s="968">
        <v>166.535</v>
      </c>
      <c r="D816" s="968">
        <v>166.535</v>
      </c>
      <c r="E816" s="967">
        <v>0</v>
      </c>
      <c r="F816" s="967">
        <v>0</v>
      </c>
      <c r="G816" s="1538">
        <v>4758.0609871974402</v>
      </c>
      <c r="H816" s="975">
        <v>4880.1254236016457</v>
      </c>
      <c r="J816" s="125">
        <v>4758.0609999999997</v>
      </c>
    </row>
    <row r="817" spans="1:10" ht="20.25">
      <c r="A817" t="s">
        <v>1647</v>
      </c>
      <c r="B817" s="967">
        <v>2974112082</v>
      </c>
      <c r="C817" s="968">
        <v>952.20699999999999</v>
      </c>
      <c r="D817" s="968">
        <v>952.20699999999999</v>
      </c>
      <c r="E817" s="967">
        <v>0</v>
      </c>
      <c r="F817" s="967">
        <v>136049</v>
      </c>
      <c r="G817" s="1538">
        <v>8645.7732032535841</v>
      </c>
      <c r="H817" s="975">
        <v>8789.3187597141641</v>
      </c>
      <c r="J817" s="125">
        <v>8645.7729999999992</v>
      </c>
    </row>
    <row r="818" spans="1:10" ht="20.25">
      <c r="A818" t="s">
        <v>1648</v>
      </c>
      <c r="B818" s="967">
        <v>341893121</v>
      </c>
      <c r="C818" s="968">
        <v>953.49300000000005</v>
      </c>
      <c r="D818" s="968">
        <v>953.49300000000005</v>
      </c>
      <c r="E818" s="967">
        <v>0</v>
      </c>
      <c r="F818" s="967">
        <v>45575</v>
      </c>
      <c r="G818" s="1538">
        <v>5006.3527627687117</v>
      </c>
      <c r="H818" s="975">
        <v>5150.6867517758683</v>
      </c>
      <c r="J818" s="125">
        <v>5006.3530000000001</v>
      </c>
    </row>
    <row r="819" spans="1:10" ht="20.25">
      <c r="A819" t="s">
        <v>1649</v>
      </c>
      <c r="B819" s="967">
        <v>98911732</v>
      </c>
      <c r="C819" s="968">
        <v>488.38500000000005</v>
      </c>
      <c r="D819" s="968">
        <v>488.38500000000005</v>
      </c>
      <c r="E819" s="967">
        <v>0</v>
      </c>
      <c r="F819" s="967">
        <v>9841</v>
      </c>
      <c r="G819" s="1538">
        <v>4742.5008807245631</v>
      </c>
      <c r="H819" s="975">
        <v>4885.7096736565154</v>
      </c>
      <c r="J819" s="125">
        <v>4742.5010000000002</v>
      </c>
    </row>
    <row r="820" spans="1:10" ht="20.25">
      <c r="A820" t="s">
        <v>1885</v>
      </c>
      <c r="B820" s="967">
        <v>5604251157</v>
      </c>
      <c r="C820" s="968">
        <v>13004.675999999999</v>
      </c>
      <c r="D820" s="968">
        <v>13004.675999999999</v>
      </c>
      <c r="E820" s="967">
        <v>0</v>
      </c>
      <c r="F820" s="967">
        <v>750855</v>
      </c>
      <c r="G820" s="1538">
        <v>5987.514971024646</v>
      </c>
      <c r="H820" s="975">
        <v>6119.6139318634769</v>
      </c>
      <c r="J820" s="125">
        <v>5987.5150000000003</v>
      </c>
    </row>
    <row r="821" spans="1:10" ht="20.25">
      <c r="A821" t="s">
        <v>2056</v>
      </c>
      <c r="B821" s="967">
        <v>993193309</v>
      </c>
      <c r="C821" s="968">
        <v>4140.7190000000001</v>
      </c>
      <c r="D821" s="968">
        <v>4140.7190000000001</v>
      </c>
      <c r="E821" s="967">
        <v>82114</v>
      </c>
      <c r="F821" s="967">
        <v>390867</v>
      </c>
      <c r="G821" s="1538">
        <v>5352.1958650791648</v>
      </c>
      <c r="H821" s="975">
        <v>5495.5519427672316</v>
      </c>
      <c r="J821" s="125">
        <v>5352.1959999999999</v>
      </c>
    </row>
    <row r="822" spans="1:10" ht="20.25">
      <c r="A822" t="s">
        <v>1886</v>
      </c>
      <c r="B822" s="967">
        <v>217873277</v>
      </c>
      <c r="C822" s="968">
        <v>933.49</v>
      </c>
      <c r="D822" s="968">
        <v>933.49</v>
      </c>
      <c r="E822" s="967">
        <v>0</v>
      </c>
      <c r="F822" s="967">
        <v>84115</v>
      </c>
      <c r="G822" s="1538">
        <v>5114.8991336120334</v>
      </c>
      <c r="H822" s="975">
        <v>5258.0722488930023</v>
      </c>
      <c r="J822" s="125">
        <v>5114.8990000000003</v>
      </c>
    </row>
    <row r="823" spans="1:10" ht="20.25">
      <c r="A823" t="s">
        <v>412</v>
      </c>
      <c r="B823" s="967">
        <v>57671223</v>
      </c>
      <c r="C823" s="968">
        <v>384.01800000000003</v>
      </c>
      <c r="D823" s="968">
        <v>384.01800000000003</v>
      </c>
      <c r="E823" s="967">
        <v>0</v>
      </c>
      <c r="F823" s="967">
        <v>71380</v>
      </c>
      <c r="G823" s="1538">
        <v>5036.265136609135</v>
      </c>
      <c r="H823" s="975">
        <v>5179.5926180166862</v>
      </c>
      <c r="J823" s="125">
        <v>5036.2650000000003</v>
      </c>
    </row>
    <row r="824" spans="1:10" ht="20.25">
      <c r="A824" t="s">
        <v>1350</v>
      </c>
      <c r="B824" s="967">
        <v>197896092</v>
      </c>
      <c r="C824" s="968">
        <v>582.49300000000005</v>
      </c>
      <c r="D824" s="968">
        <v>582.49300000000005</v>
      </c>
      <c r="E824" s="967">
        <v>0</v>
      </c>
      <c r="F824" s="967">
        <v>32077</v>
      </c>
      <c r="G824" s="1538">
        <v>5177.3794069577398</v>
      </c>
      <c r="H824" s="975">
        <v>5321.1836083301187</v>
      </c>
      <c r="J824" s="125">
        <v>5177.3789999999999</v>
      </c>
    </row>
    <row r="825" spans="1:10" ht="20.25">
      <c r="A825" t="s">
        <v>413</v>
      </c>
      <c r="B825" s="967">
        <v>4155635</v>
      </c>
      <c r="C825" s="968">
        <v>68.075000000000003</v>
      </c>
      <c r="D825" s="968">
        <v>68.075000000000003</v>
      </c>
      <c r="E825" s="967">
        <v>0</v>
      </c>
      <c r="F825" s="967">
        <v>9516</v>
      </c>
      <c r="G825" s="1538">
        <v>5129.9931316198536</v>
      </c>
      <c r="H825" s="975">
        <v>5274.2384474667942</v>
      </c>
      <c r="J825" s="125">
        <v>5129.9930000000004</v>
      </c>
    </row>
    <row r="826" spans="1:10" ht="20.25">
      <c r="A826" t="s">
        <v>1887</v>
      </c>
      <c r="B826" s="967">
        <v>1780736620</v>
      </c>
      <c r="C826" s="968">
        <v>3073.3589999999999</v>
      </c>
      <c r="D826" s="968">
        <v>3073.3589999999999</v>
      </c>
      <c r="E826" s="967">
        <v>263318</v>
      </c>
      <c r="F826" s="967">
        <v>353210</v>
      </c>
      <c r="G826" s="1538">
        <v>5636.7491794370289</v>
      </c>
      <c r="H826" s="975">
        <v>5779.6895798563992</v>
      </c>
      <c r="J826" s="125">
        <v>5636.7489999999998</v>
      </c>
    </row>
    <row r="827" spans="1:10" ht="20.25">
      <c r="A827" t="s">
        <v>1888</v>
      </c>
      <c r="B827" s="967">
        <v>102342634</v>
      </c>
      <c r="C827" s="968">
        <v>151.386</v>
      </c>
      <c r="D827" s="968">
        <v>151.386</v>
      </c>
      <c r="E827" s="967">
        <v>0</v>
      </c>
      <c r="F827" s="967">
        <v>41744</v>
      </c>
      <c r="G827" s="1538">
        <v>4960.8570335070845</v>
      </c>
      <c r="H827" s="975">
        <v>5103.5385344710821</v>
      </c>
      <c r="J827" s="125">
        <v>4960.857</v>
      </c>
    </row>
    <row r="828" spans="1:10" ht="20.25">
      <c r="A828" t="s">
        <v>1889</v>
      </c>
      <c r="B828" s="967">
        <v>44026199</v>
      </c>
      <c r="C828" s="968">
        <v>231.09100000000001</v>
      </c>
      <c r="D828" s="968">
        <v>231.09100000000001</v>
      </c>
      <c r="E828" s="967">
        <v>0</v>
      </c>
      <c r="F828" s="967">
        <v>12640</v>
      </c>
      <c r="G828" s="1538">
        <v>4787.6075607560761</v>
      </c>
      <c r="H828" s="975">
        <v>4931.1318037822784</v>
      </c>
      <c r="J828" s="125">
        <v>4787.6080000000002</v>
      </c>
    </row>
    <row r="829" spans="1:10" ht="20.25">
      <c r="A829" t="s">
        <v>2830</v>
      </c>
      <c r="B829" s="967">
        <v>61508542</v>
      </c>
      <c r="C829" s="968">
        <v>373.99400000000003</v>
      </c>
      <c r="D829" s="968">
        <v>373.99400000000003</v>
      </c>
      <c r="E829" s="967">
        <v>0</v>
      </c>
      <c r="F829" s="967">
        <v>47736</v>
      </c>
      <c r="G829" s="1538">
        <v>4459.7209794994606</v>
      </c>
      <c r="H829" s="975">
        <v>4833.9712265477619</v>
      </c>
      <c r="J829" s="125">
        <v>4459.7209999999995</v>
      </c>
    </row>
    <row r="830" spans="1:10" ht="20.25">
      <c r="A830" t="s">
        <v>2831</v>
      </c>
      <c r="B830" s="967">
        <v>69858260</v>
      </c>
      <c r="C830" s="968">
        <v>500.089</v>
      </c>
      <c r="D830" s="968">
        <v>500.089</v>
      </c>
      <c r="E830" s="967">
        <v>0</v>
      </c>
      <c r="F830" s="967">
        <v>22398</v>
      </c>
      <c r="G830" s="1538">
        <v>4587.1162850409</v>
      </c>
      <c r="H830" s="975">
        <v>4817.0091855124701</v>
      </c>
      <c r="J830" s="125">
        <v>4587.116</v>
      </c>
    </row>
    <row r="831" spans="1:10" ht="20.25">
      <c r="A831" t="s">
        <v>1890</v>
      </c>
      <c r="B831" s="967">
        <v>2072717178</v>
      </c>
      <c r="C831" s="968">
        <v>1391.972</v>
      </c>
      <c r="D831" s="968">
        <v>1391.972</v>
      </c>
      <c r="E831" s="967">
        <v>0</v>
      </c>
      <c r="F831" s="967">
        <v>140813</v>
      </c>
      <c r="G831" s="1538">
        <v>5545.4636426246298</v>
      </c>
      <c r="H831" s="975">
        <v>5443.3352360630288</v>
      </c>
      <c r="J831" s="125">
        <v>5545.54</v>
      </c>
    </row>
    <row r="832" spans="1:10" ht="20.25">
      <c r="A832" t="s">
        <v>218</v>
      </c>
      <c r="B832" s="967">
        <v>106030543</v>
      </c>
      <c r="C832" s="968">
        <v>603.97199999999998</v>
      </c>
      <c r="D832" s="968">
        <v>603.97199999999998</v>
      </c>
      <c r="E832" s="967">
        <v>0</v>
      </c>
      <c r="F832" s="967">
        <v>56427</v>
      </c>
      <c r="G832" s="1538">
        <v>4709.5106579568519</v>
      </c>
      <c r="H832" s="975">
        <v>4852.59871274943</v>
      </c>
      <c r="J832" s="125">
        <v>4709.5110000000004</v>
      </c>
    </row>
    <row r="833" spans="1:10" ht="20.25">
      <c r="A833" t="s">
        <v>1891</v>
      </c>
      <c r="B833" s="967">
        <v>496523023</v>
      </c>
      <c r="C833" s="968">
        <v>818.21500000000003</v>
      </c>
      <c r="D833" s="968">
        <v>818.21500000000003</v>
      </c>
      <c r="E833" s="967">
        <v>0</v>
      </c>
      <c r="F833" s="967">
        <v>137618</v>
      </c>
      <c r="G833" s="1538">
        <v>5767.0891058487796</v>
      </c>
      <c r="H833" s="975">
        <v>5910.0771420391739</v>
      </c>
      <c r="J833" s="125">
        <v>5767.0889999999999</v>
      </c>
    </row>
    <row r="834" spans="1:10" ht="20.25">
      <c r="A834" t="s">
        <v>1575</v>
      </c>
      <c r="B834" s="967">
        <v>295629093</v>
      </c>
      <c r="C834" s="968">
        <v>886.08900000000006</v>
      </c>
      <c r="D834" s="968">
        <v>886.08900000000006</v>
      </c>
      <c r="E834" s="967">
        <v>0</v>
      </c>
      <c r="F834" s="967">
        <v>147293</v>
      </c>
      <c r="G834" s="1538">
        <v>4670.7894561672101</v>
      </c>
      <c r="H834" s="975">
        <v>4815.3605428775281</v>
      </c>
      <c r="J834" s="125">
        <v>4670.7889999999998</v>
      </c>
    </row>
    <row r="835" spans="1:10" ht="20.25">
      <c r="A835" t="s">
        <v>1576</v>
      </c>
      <c r="B835" s="967">
        <v>90735129</v>
      </c>
      <c r="C835" s="968">
        <v>584.63099999999997</v>
      </c>
      <c r="D835" s="968">
        <v>584.63099999999997</v>
      </c>
      <c r="E835" s="967">
        <v>0</v>
      </c>
      <c r="F835" s="967">
        <v>58279</v>
      </c>
      <c r="G835" s="1538">
        <v>4450.8464651860377</v>
      </c>
      <c r="H835" s="975">
        <v>4596.1057540723823</v>
      </c>
      <c r="J835" s="125">
        <v>4450.8459999999995</v>
      </c>
    </row>
    <row r="836" spans="1:10" ht="20.25">
      <c r="A836" t="s">
        <v>1577</v>
      </c>
      <c r="B836" s="967">
        <v>172382112</v>
      </c>
      <c r="C836" s="968">
        <v>759.88499999999999</v>
      </c>
      <c r="D836" s="968">
        <v>759.88499999999999</v>
      </c>
      <c r="E836" s="967">
        <v>0</v>
      </c>
      <c r="F836" s="967">
        <v>135190</v>
      </c>
      <c r="G836" s="1538">
        <v>4626.3763502685442</v>
      </c>
      <c r="H836" s="975">
        <v>4997.0917003409595</v>
      </c>
      <c r="J836" s="125">
        <v>4623.335</v>
      </c>
    </row>
    <row r="837" spans="1:10" ht="20.25">
      <c r="A837" t="s">
        <v>1832</v>
      </c>
      <c r="B837" s="967">
        <v>83090791</v>
      </c>
      <c r="C837" s="968">
        <v>436.74200000000002</v>
      </c>
      <c r="D837" s="968">
        <v>436.74200000000002</v>
      </c>
      <c r="E837" s="967">
        <v>0</v>
      </c>
      <c r="F837" s="967">
        <v>123033</v>
      </c>
      <c r="G837" s="1538">
        <v>4591.5268726534841</v>
      </c>
      <c r="H837" s="975">
        <v>4841.8765009330518</v>
      </c>
      <c r="J837" s="125">
        <v>4591.527</v>
      </c>
    </row>
    <row r="838" spans="1:10" ht="20.25">
      <c r="A838" t="s">
        <v>1833</v>
      </c>
      <c r="B838" s="967">
        <v>930265178</v>
      </c>
      <c r="C838" s="968">
        <v>1511.1610000000001</v>
      </c>
      <c r="D838" s="968">
        <v>1511.1610000000001</v>
      </c>
      <c r="E838" s="967">
        <v>0</v>
      </c>
      <c r="F838" s="967">
        <v>425333</v>
      </c>
      <c r="G838" s="1538">
        <v>5187.1108963883617</v>
      </c>
      <c r="H838" s="975">
        <v>5330.6373237009302</v>
      </c>
      <c r="J838" s="125">
        <v>5187.1130000000003</v>
      </c>
    </row>
    <row r="839" spans="1:10" ht="20.25">
      <c r="A839" t="s">
        <v>2790</v>
      </c>
      <c r="B839" s="967">
        <v>332065642</v>
      </c>
      <c r="C839" s="968">
        <v>1762.664</v>
      </c>
      <c r="D839" s="968">
        <v>1762.664</v>
      </c>
      <c r="E839" s="967">
        <v>0</v>
      </c>
      <c r="F839" s="967">
        <v>263167</v>
      </c>
      <c r="G839" s="1538">
        <v>4681.1436199442778</v>
      </c>
      <c r="H839" s="975">
        <v>4824.1382310965428</v>
      </c>
      <c r="J839" s="125">
        <v>4681.1440000000002</v>
      </c>
    </row>
    <row r="840" spans="1:10" ht="20.25">
      <c r="A840" t="s">
        <v>1382</v>
      </c>
      <c r="B840" s="967">
        <v>673885186</v>
      </c>
      <c r="C840" s="968">
        <v>1760.5220000000002</v>
      </c>
      <c r="D840" s="968">
        <v>1760.5220000000002</v>
      </c>
      <c r="E840" s="967">
        <v>0</v>
      </c>
      <c r="F840" s="967">
        <v>149816</v>
      </c>
      <c r="G840" s="1538">
        <v>5038.5976967888864</v>
      </c>
      <c r="H840" s="975">
        <v>5023.466491444452</v>
      </c>
      <c r="J840" s="125">
        <v>5038.598</v>
      </c>
    </row>
    <row r="841" spans="1:10" ht="20.25">
      <c r="A841" t="s">
        <v>2791</v>
      </c>
      <c r="B841" s="967">
        <v>1088247561</v>
      </c>
      <c r="C841" s="968">
        <v>3964.8220000000001</v>
      </c>
      <c r="D841" s="968">
        <v>3964.8220000000001</v>
      </c>
      <c r="E841" s="967">
        <v>0</v>
      </c>
      <c r="F841" s="967">
        <v>183899</v>
      </c>
      <c r="G841" s="1538">
        <v>4906.1127408984648</v>
      </c>
      <c r="H841" s="975">
        <v>5061.3105729603194</v>
      </c>
      <c r="J841" s="125">
        <v>4906.1130000000003</v>
      </c>
    </row>
    <row r="842" spans="1:10" ht="20.25">
      <c r="A842" t="s">
        <v>1639</v>
      </c>
      <c r="B842" s="967">
        <v>1145883843</v>
      </c>
      <c r="C842" s="968">
        <v>1983.567</v>
      </c>
      <c r="D842" s="968">
        <v>1983.567</v>
      </c>
      <c r="E842" s="967">
        <v>0</v>
      </c>
      <c r="F842" s="967">
        <v>45174</v>
      </c>
      <c r="G842" s="1538">
        <v>5149.7363071832051</v>
      </c>
      <c r="H842" s="975">
        <v>5292.4099365636221</v>
      </c>
      <c r="J842" s="125">
        <v>5149.7359999999999</v>
      </c>
    </row>
    <row r="843" spans="1:10" ht="20.25">
      <c r="A843" t="s">
        <v>2892</v>
      </c>
      <c r="B843" s="967">
        <v>231388432</v>
      </c>
      <c r="C843" s="968">
        <v>1588.7760000000001</v>
      </c>
      <c r="D843" s="968">
        <v>1588.7760000000001</v>
      </c>
      <c r="E843" s="967">
        <v>0</v>
      </c>
      <c r="F843" s="967">
        <v>153097</v>
      </c>
      <c r="G843" s="1538">
        <v>4813.7397815297008</v>
      </c>
      <c r="H843" s="975">
        <v>5064.4127964062363</v>
      </c>
      <c r="J843" s="125">
        <v>4813.74</v>
      </c>
    </row>
    <row r="844" spans="1:10" ht="20.25">
      <c r="A844" t="s">
        <v>1591</v>
      </c>
      <c r="B844" s="967">
        <v>219925121</v>
      </c>
      <c r="C844" s="968">
        <v>1042.009</v>
      </c>
      <c r="D844" s="968">
        <v>1042.009</v>
      </c>
      <c r="E844" s="967">
        <v>0</v>
      </c>
      <c r="F844" s="967">
        <v>138133</v>
      </c>
      <c r="G844" s="1538">
        <v>4920.9504284181521</v>
      </c>
      <c r="H844" s="975">
        <v>5064.6946728331623</v>
      </c>
      <c r="J844" s="125">
        <v>4920.95</v>
      </c>
    </row>
    <row r="845" spans="1:10" ht="20.25">
      <c r="A845" t="s">
        <v>1493</v>
      </c>
      <c r="B845" s="967">
        <v>312644664</v>
      </c>
      <c r="C845" s="968">
        <v>1925.789</v>
      </c>
      <c r="D845" s="968">
        <v>1925.789</v>
      </c>
      <c r="E845" s="967">
        <v>0</v>
      </c>
      <c r="F845" s="967">
        <v>218907</v>
      </c>
      <c r="G845" s="1538">
        <v>4806.5960972090497</v>
      </c>
      <c r="H845" s="975">
        <v>5059.0990414301414</v>
      </c>
      <c r="J845" s="125">
        <v>4806.5959999999995</v>
      </c>
    </row>
    <row r="846" spans="1:10" ht="20.25">
      <c r="A846" t="s">
        <v>219</v>
      </c>
      <c r="B846" s="967">
        <v>281968664</v>
      </c>
      <c r="C846" s="968">
        <v>1048.7909999999999</v>
      </c>
      <c r="D846" s="968">
        <v>1048.7909999999999</v>
      </c>
      <c r="E846" s="967">
        <v>0</v>
      </c>
      <c r="F846" s="967">
        <v>77329</v>
      </c>
      <c r="G846" s="1538">
        <v>4927.5284136835517</v>
      </c>
      <c r="H846" s="975">
        <v>5073.1417066027298</v>
      </c>
      <c r="J846" s="125">
        <v>4927.5280000000002</v>
      </c>
    </row>
    <row r="847" spans="1:10" ht="20.25">
      <c r="A847" t="s">
        <v>531</v>
      </c>
      <c r="B847" s="967">
        <v>155176818</v>
      </c>
      <c r="C847" s="968">
        <v>641.05700000000002</v>
      </c>
      <c r="D847" s="968">
        <v>641.05700000000002</v>
      </c>
      <c r="E847" s="967">
        <v>0</v>
      </c>
      <c r="F847" s="967">
        <v>35589</v>
      </c>
      <c r="G847" s="1538">
        <v>4727.6245408844097</v>
      </c>
      <c r="H847" s="975">
        <v>4871.4874223764109</v>
      </c>
      <c r="J847" s="125">
        <v>4727.625</v>
      </c>
    </row>
    <row r="848" spans="1:10" ht="20.25">
      <c r="A848" t="s">
        <v>1640</v>
      </c>
      <c r="B848" s="967">
        <v>48211489</v>
      </c>
      <c r="C848" s="968">
        <v>142.03100000000001</v>
      </c>
      <c r="D848" s="968">
        <v>142.03100000000001</v>
      </c>
      <c r="E848" s="967">
        <v>0</v>
      </c>
      <c r="F848" s="967">
        <v>32021</v>
      </c>
      <c r="G848" s="1538">
        <v>4825.3197247218313</v>
      </c>
      <c r="H848" s="975">
        <v>5006.5748223992641</v>
      </c>
      <c r="J848" s="125">
        <v>4825.32</v>
      </c>
    </row>
    <row r="849" spans="1:10" ht="20.25">
      <c r="A849" t="s">
        <v>1641</v>
      </c>
      <c r="B849" s="967">
        <v>36344383</v>
      </c>
      <c r="C849" s="968">
        <v>116.28100000000001</v>
      </c>
      <c r="D849" s="968">
        <v>116.28100000000001</v>
      </c>
      <c r="E849" s="967">
        <v>0</v>
      </c>
      <c r="F849" s="967">
        <v>13649</v>
      </c>
      <c r="G849" s="1538">
        <v>4795.1470460729224</v>
      </c>
      <c r="H849" s="975">
        <v>4940.765327817754</v>
      </c>
      <c r="J849" s="125">
        <v>4795.1469999999999</v>
      </c>
    </row>
    <row r="850" spans="1:10" ht="20.25">
      <c r="A850" t="s">
        <v>1557</v>
      </c>
      <c r="B850" s="967">
        <v>461388782</v>
      </c>
      <c r="C850" s="968">
        <v>579.30200000000002</v>
      </c>
      <c r="D850" s="968">
        <v>579.30200000000002</v>
      </c>
      <c r="E850" s="967">
        <v>0</v>
      </c>
      <c r="F850" s="967">
        <v>51103</v>
      </c>
      <c r="G850" s="1538">
        <v>5540.3507869815057</v>
      </c>
      <c r="H850" s="975">
        <v>5683.7437556609402</v>
      </c>
      <c r="J850" s="125">
        <v>5540.3509999999997</v>
      </c>
    </row>
    <row r="851" spans="1:10" ht="20.25">
      <c r="A851" t="s">
        <v>1558</v>
      </c>
      <c r="B851" s="967">
        <v>141044020</v>
      </c>
      <c r="C851" s="968">
        <v>206.179</v>
      </c>
      <c r="D851" s="968">
        <v>206.179</v>
      </c>
      <c r="E851" s="967">
        <v>0</v>
      </c>
      <c r="F851" s="967">
        <v>24038</v>
      </c>
      <c r="G851" s="1538">
        <v>5804.7029002116851</v>
      </c>
      <c r="H851" s="975">
        <v>6175.2101950674942</v>
      </c>
      <c r="J851" s="125">
        <v>5804.7030000000004</v>
      </c>
    </row>
    <row r="852" spans="1:10" ht="20.25">
      <c r="A852" t="s">
        <v>1559</v>
      </c>
      <c r="B852" s="967">
        <v>2811744785</v>
      </c>
      <c r="C852" s="968">
        <v>2458.3320000000003</v>
      </c>
      <c r="D852" s="968">
        <v>2458.3320000000003</v>
      </c>
      <c r="E852" s="967">
        <v>0</v>
      </c>
      <c r="F852" s="967">
        <v>141622</v>
      </c>
      <c r="G852" s="1538">
        <v>7316.4048991129184</v>
      </c>
      <c r="H852" s="975">
        <v>7457.7756381918807</v>
      </c>
      <c r="J852" s="125">
        <v>7315.8410000000003</v>
      </c>
    </row>
    <row r="853" spans="1:10" ht="20.25">
      <c r="A853" t="s">
        <v>1662</v>
      </c>
      <c r="B853" s="967">
        <v>265722637</v>
      </c>
      <c r="C853" s="968">
        <v>250.53800000000001</v>
      </c>
      <c r="D853" s="968">
        <v>250.53800000000001</v>
      </c>
      <c r="E853" s="967">
        <v>0</v>
      </c>
      <c r="F853" s="967">
        <v>20649</v>
      </c>
      <c r="G853" s="1538">
        <v>6604.1636522389917</v>
      </c>
      <c r="H853" s="975">
        <v>6745.9725406737844</v>
      </c>
      <c r="J853" s="125">
        <v>6604.1639999999998</v>
      </c>
    </row>
    <row r="854" spans="1:10" ht="20.25">
      <c r="A854" t="s">
        <v>1084</v>
      </c>
      <c r="B854" s="967">
        <v>260569058</v>
      </c>
      <c r="C854" s="968">
        <v>488.255</v>
      </c>
      <c r="D854" s="968">
        <v>488.255</v>
      </c>
      <c r="E854" s="967">
        <v>0</v>
      </c>
      <c r="F854" s="967">
        <v>20679</v>
      </c>
      <c r="G854" s="1538">
        <v>4795.9610320871843</v>
      </c>
      <c r="H854" s="975">
        <v>4939.0908014024462</v>
      </c>
      <c r="J854" s="125">
        <v>4795.9610000000002</v>
      </c>
    </row>
    <row r="855" spans="1:10" ht="20.25">
      <c r="A855" t="s">
        <v>1085</v>
      </c>
      <c r="B855" s="967">
        <v>57561168</v>
      </c>
      <c r="C855" s="968">
        <v>165.59100000000001</v>
      </c>
      <c r="D855" s="968">
        <v>165.59100000000001</v>
      </c>
      <c r="E855" s="967">
        <v>0</v>
      </c>
      <c r="F855" s="967">
        <v>8248</v>
      </c>
      <c r="G855" s="1538">
        <v>5064.2284431860435</v>
      </c>
      <c r="H855" s="975">
        <v>5208.2634816472173</v>
      </c>
      <c r="J855" s="125">
        <v>5064.2280000000001</v>
      </c>
    </row>
    <row r="856" spans="1:10" ht="20.25">
      <c r="A856" t="s">
        <v>1086</v>
      </c>
      <c r="B856" s="967">
        <v>486075962</v>
      </c>
      <c r="C856" s="968">
        <v>2329.5920000000001</v>
      </c>
      <c r="D856" s="968">
        <v>2329.5920000000001</v>
      </c>
      <c r="E856" s="967">
        <v>0</v>
      </c>
      <c r="F856" s="967">
        <v>285315</v>
      </c>
      <c r="G856" s="1538">
        <v>4660.4634240033347</v>
      </c>
      <c r="H856" s="975">
        <v>5033.6731132549921</v>
      </c>
      <c r="J856" s="125">
        <v>4660.4629999999997</v>
      </c>
    </row>
    <row r="857" spans="1:10" ht="20.25">
      <c r="A857" t="s">
        <v>1245</v>
      </c>
      <c r="B857" s="967">
        <v>258602462</v>
      </c>
      <c r="C857" s="968">
        <v>661.10700000000008</v>
      </c>
      <c r="D857" s="968">
        <v>661.10700000000008</v>
      </c>
      <c r="E857" s="967">
        <v>0</v>
      </c>
      <c r="F857" s="967">
        <v>80881</v>
      </c>
      <c r="G857" s="1538">
        <v>5135.3283070596299</v>
      </c>
      <c r="H857" s="975">
        <v>5278.4359301877239</v>
      </c>
      <c r="J857" s="125">
        <v>5135.3280000000004</v>
      </c>
    </row>
    <row r="858" spans="1:10" ht="20.25">
      <c r="A858" t="s">
        <v>220</v>
      </c>
      <c r="B858" s="967">
        <v>243380883</v>
      </c>
      <c r="C858" s="968">
        <v>694.02</v>
      </c>
      <c r="D858" s="968">
        <v>694.02</v>
      </c>
      <c r="E858" s="967">
        <v>0</v>
      </c>
      <c r="F858" s="967">
        <v>96525</v>
      </c>
      <c r="G858" s="1538">
        <v>5186.2606580508582</v>
      </c>
      <c r="H858" s="975">
        <v>5329.9034761389339</v>
      </c>
      <c r="J858" s="125">
        <v>5186.26</v>
      </c>
    </row>
    <row r="859" spans="1:10" ht="20.25">
      <c r="A859" t="s">
        <v>1246</v>
      </c>
      <c r="B859" s="967">
        <v>68555679</v>
      </c>
      <c r="C859" s="968">
        <v>443.55</v>
      </c>
      <c r="D859" s="968">
        <v>443.55</v>
      </c>
      <c r="E859" s="967">
        <v>0</v>
      </c>
      <c r="F859" s="967">
        <v>50357</v>
      </c>
      <c r="G859" s="1538">
        <v>5699.0827123113186</v>
      </c>
      <c r="H859" s="975">
        <v>5841.8758643291812</v>
      </c>
      <c r="J859" s="125">
        <v>5699.0829999999996</v>
      </c>
    </row>
    <row r="860" spans="1:10" ht="20.25">
      <c r="A860" t="s">
        <v>1247</v>
      </c>
      <c r="B860" s="967">
        <v>177901092</v>
      </c>
      <c r="C860" s="968">
        <v>567.01700000000005</v>
      </c>
      <c r="D860" s="968">
        <v>567.01700000000005</v>
      </c>
      <c r="E860" s="967">
        <v>0</v>
      </c>
      <c r="F860" s="967">
        <v>88311</v>
      </c>
      <c r="G860" s="1538">
        <v>5784.263713625679</v>
      </c>
      <c r="H860" s="975">
        <v>5927.7752359469259</v>
      </c>
      <c r="J860" s="125">
        <v>5784.2640000000001</v>
      </c>
    </row>
    <row r="861" spans="1:10" ht="20.25">
      <c r="A861" t="s">
        <v>1407</v>
      </c>
      <c r="B861" s="967">
        <v>67094519</v>
      </c>
      <c r="C861" s="968">
        <v>102.703</v>
      </c>
      <c r="D861" s="968">
        <v>102.703</v>
      </c>
      <c r="E861" s="967">
        <v>0</v>
      </c>
      <c r="F861" s="967">
        <v>12130</v>
      </c>
      <c r="G861" s="1538">
        <v>4995.3709285927725</v>
      </c>
      <c r="H861" s="975">
        <v>5195.6922851122272</v>
      </c>
      <c r="J861" s="125">
        <v>4995.3710000000001</v>
      </c>
    </row>
    <row r="862" spans="1:10" ht="20.25">
      <c r="A862" t="s">
        <v>1408</v>
      </c>
      <c r="B862" s="967">
        <v>173795494</v>
      </c>
      <c r="C862" s="968">
        <v>101.49000000000001</v>
      </c>
      <c r="D862" s="968">
        <v>101.49000000000001</v>
      </c>
      <c r="E862" s="967">
        <v>0</v>
      </c>
      <c r="F862" s="967">
        <v>22881</v>
      </c>
      <c r="G862" s="1538">
        <v>6032.7731433284207</v>
      </c>
      <c r="H862" s="975">
        <v>6176.2733557464371</v>
      </c>
      <c r="J862" s="125">
        <v>6032.7730000000001</v>
      </c>
    </row>
    <row r="863" spans="1:10" ht="20.25">
      <c r="A863" t="s">
        <v>2040</v>
      </c>
      <c r="B863" s="967">
        <v>441070336</v>
      </c>
      <c r="C863" s="968">
        <v>551.67100000000005</v>
      </c>
      <c r="D863" s="968">
        <v>551.67100000000005</v>
      </c>
      <c r="E863" s="967">
        <v>0</v>
      </c>
      <c r="F863" s="967">
        <v>49312</v>
      </c>
      <c r="G863" s="1538">
        <v>5511.4870422597978</v>
      </c>
      <c r="H863" s="975">
        <v>5655.4980770534839</v>
      </c>
      <c r="J863" s="125">
        <v>5511.4870000000001</v>
      </c>
    </row>
    <row r="864" spans="1:10" ht="20.25">
      <c r="A864" t="s">
        <v>304</v>
      </c>
      <c r="B864" s="967">
        <v>451877660</v>
      </c>
      <c r="C864" s="968">
        <v>824.13700000000006</v>
      </c>
      <c r="D864" s="968">
        <v>824.13700000000006</v>
      </c>
      <c r="E864" s="967">
        <v>0</v>
      </c>
      <c r="F864" s="967">
        <v>105396</v>
      </c>
      <c r="G864" s="1538">
        <v>6204.8751696576073</v>
      </c>
      <c r="H864" s="975">
        <v>6348.4759681343257</v>
      </c>
      <c r="J864" s="125">
        <v>6204.875</v>
      </c>
    </row>
    <row r="865" spans="1:10" ht="20.25">
      <c r="A865" t="s">
        <v>1943</v>
      </c>
      <c r="B865" s="967">
        <v>668465016</v>
      </c>
      <c r="C865" s="968">
        <v>1862.9940000000001</v>
      </c>
      <c r="D865" s="968">
        <v>1862.9940000000001</v>
      </c>
      <c r="E865" s="967">
        <v>0</v>
      </c>
      <c r="F865" s="967">
        <v>143705</v>
      </c>
      <c r="G865" s="1538">
        <v>5200.7352041301965</v>
      </c>
      <c r="H865" s="975">
        <v>5343.2754208077149</v>
      </c>
      <c r="J865" s="125">
        <v>5200.7349999999997</v>
      </c>
    </row>
    <row r="866" spans="1:10" ht="20.25">
      <c r="A866" t="s">
        <v>1944</v>
      </c>
      <c r="B866" s="967">
        <v>1042036945</v>
      </c>
      <c r="C866" s="968">
        <v>3397.7860000000001</v>
      </c>
      <c r="D866" s="968">
        <v>3397.7860000000001</v>
      </c>
      <c r="E866" s="967">
        <v>0</v>
      </c>
      <c r="F866" s="967">
        <v>250848</v>
      </c>
      <c r="G866" s="1538">
        <v>5073.8799517938669</v>
      </c>
      <c r="H866" s="975">
        <v>5217.0823714086309</v>
      </c>
      <c r="J866" s="125">
        <v>5073.88</v>
      </c>
    </row>
    <row r="867" spans="1:10" ht="20.25">
      <c r="A867" t="s">
        <v>1136</v>
      </c>
      <c r="B867" s="967">
        <v>456866672</v>
      </c>
      <c r="C867" s="968">
        <v>994.62100000000009</v>
      </c>
      <c r="D867" s="968">
        <v>994.62100000000009</v>
      </c>
      <c r="E867" s="967">
        <v>0</v>
      </c>
      <c r="F867" s="967">
        <v>84033</v>
      </c>
      <c r="G867" s="1538">
        <v>5913.9652970312445</v>
      </c>
      <c r="H867" s="975">
        <v>6057.4413942064466</v>
      </c>
      <c r="J867" s="125">
        <v>5913.9650000000001</v>
      </c>
    </row>
    <row r="868" spans="1:10" ht="20.25">
      <c r="A868" t="s">
        <v>217</v>
      </c>
      <c r="B868" s="967">
        <v>6943352971</v>
      </c>
      <c r="C868" s="968">
        <v>17184.990000000002</v>
      </c>
      <c r="D868" s="968">
        <v>17184.990000000002</v>
      </c>
      <c r="E868" s="967">
        <v>0</v>
      </c>
      <c r="F868" s="967">
        <v>1036265</v>
      </c>
      <c r="G868" s="1538">
        <v>4997.3851407193915</v>
      </c>
      <c r="H868" s="975">
        <v>5135.725810289975</v>
      </c>
      <c r="J868" s="125">
        <v>4997.3850000000002</v>
      </c>
    </row>
    <row r="869" spans="1:10" ht="20.25">
      <c r="A869" t="s">
        <v>1348</v>
      </c>
      <c r="B869" s="967">
        <v>1550726156</v>
      </c>
      <c r="C869" s="968">
        <v>4314.5210000000006</v>
      </c>
      <c r="D869" s="968">
        <v>4314.5210000000006</v>
      </c>
      <c r="E869" s="967">
        <v>287</v>
      </c>
      <c r="F869" s="967">
        <v>253091</v>
      </c>
      <c r="G869" s="1538">
        <v>5104.7733114658031</v>
      </c>
      <c r="H869" s="975">
        <v>5247.9331784120723</v>
      </c>
      <c r="J869" s="125">
        <v>5104.7730000000001</v>
      </c>
    </row>
    <row r="870" spans="1:10" ht="20.25">
      <c r="A870" t="s">
        <v>1516</v>
      </c>
      <c r="B870" s="967">
        <v>1039881749</v>
      </c>
      <c r="C870" s="968">
        <v>2994.7350000000001</v>
      </c>
      <c r="D870" s="968">
        <v>2994.7350000000001</v>
      </c>
      <c r="E870" s="967">
        <v>0</v>
      </c>
      <c r="F870" s="967">
        <v>464016</v>
      </c>
      <c r="G870" s="1538">
        <v>5080.9804844544706</v>
      </c>
      <c r="H870" s="975">
        <v>5224.1414268483095</v>
      </c>
      <c r="J870" s="125">
        <v>5080.9799999999996</v>
      </c>
    </row>
    <row r="871" spans="1:10" ht="20.25">
      <c r="A871" t="s">
        <v>1517</v>
      </c>
      <c r="B871" s="967">
        <v>357784941</v>
      </c>
      <c r="C871" s="968">
        <v>936.43000000000006</v>
      </c>
      <c r="D871" s="968">
        <v>936.43000000000006</v>
      </c>
      <c r="E871" s="967">
        <v>0</v>
      </c>
      <c r="F871" s="967">
        <v>109974</v>
      </c>
      <c r="G871" s="1538">
        <v>5048.4500184718536</v>
      </c>
      <c r="H871" s="975">
        <v>5191.6203361982753</v>
      </c>
      <c r="J871" s="125">
        <v>5048.45</v>
      </c>
    </row>
    <row r="872" spans="1:10" ht="20.25">
      <c r="A872" t="s">
        <v>1518</v>
      </c>
      <c r="B872" s="967">
        <v>3271124085</v>
      </c>
      <c r="C872" s="968">
        <v>1559.15</v>
      </c>
      <c r="D872" s="968">
        <v>1559.15</v>
      </c>
      <c r="E872" s="967">
        <v>0</v>
      </c>
      <c r="F872" s="967">
        <v>117957</v>
      </c>
      <c r="G872" s="1538">
        <v>7750.2562748775199</v>
      </c>
      <c r="H872" s="975">
        <v>7893.2436495168522</v>
      </c>
      <c r="J872" s="125">
        <v>7750.2560000000003</v>
      </c>
    </row>
    <row r="873" spans="1:10" ht="20.25">
      <c r="A873" t="s">
        <v>3050</v>
      </c>
      <c r="B873" s="967">
        <v>1174866797</v>
      </c>
      <c r="C873" s="968">
        <v>9618.5590000000011</v>
      </c>
      <c r="D873" s="968">
        <v>9618.5590000000011</v>
      </c>
      <c r="E873" s="967">
        <v>0</v>
      </c>
      <c r="F873" s="967">
        <v>851182</v>
      </c>
      <c r="G873" s="1538">
        <v>4902.5352644494669</v>
      </c>
      <c r="H873" s="975">
        <v>5228.5502687032886</v>
      </c>
      <c r="J873" s="125">
        <v>4902.482</v>
      </c>
    </row>
    <row r="874" spans="1:10" ht="20.25">
      <c r="A874" t="s">
        <v>1945</v>
      </c>
      <c r="B874" s="967">
        <v>273738492</v>
      </c>
      <c r="C874" s="968">
        <v>254.36200000000002</v>
      </c>
      <c r="D874" s="968">
        <v>254.36200000000002</v>
      </c>
      <c r="E874" s="967">
        <v>0</v>
      </c>
      <c r="F874" s="967">
        <v>0</v>
      </c>
      <c r="G874" s="1538">
        <v>6169.8372887071619</v>
      </c>
      <c r="H874" s="975">
        <v>6313.5512314990638</v>
      </c>
      <c r="J874" s="125">
        <v>6169.8370000000004</v>
      </c>
    </row>
    <row r="875" spans="1:10" ht="20.25">
      <c r="A875" t="s">
        <v>221</v>
      </c>
      <c r="B875" s="967">
        <v>565757614</v>
      </c>
      <c r="C875" s="968">
        <v>5799.3919999999998</v>
      </c>
      <c r="D875" s="968">
        <v>5799.3919999999998</v>
      </c>
      <c r="E875" s="967">
        <v>0</v>
      </c>
      <c r="F875" s="967">
        <v>359225</v>
      </c>
      <c r="G875" s="1538">
        <v>4868.775585803689</v>
      </c>
      <c r="H875" s="975">
        <v>5012.2672928939328</v>
      </c>
      <c r="J875" s="125">
        <v>4868.7759999999998</v>
      </c>
    </row>
    <row r="876" spans="1:10" ht="20.25">
      <c r="A876" t="s">
        <v>1946</v>
      </c>
      <c r="B876" s="967">
        <v>744276134</v>
      </c>
      <c r="C876" s="968">
        <v>1441.7810000000002</v>
      </c>
      <c r="D876" s="968">
        <v>1441.7810000000002</v>
      </c>
      <c r="E876" s="967">
        <v>0</v>
      </c>
      <c r="F876" s="967">
        <v>91162</v>
      </c>
      <c r="G876" s="1538">
        <v>5380.7619740258733</v>
      </c>
      <c r="H876" s="975">
        <v>5524.5301436543141</v>
      </c>
      <c r="J876" s="125">
        <v>5380.7619999999997</v>
      </c>
    </row>
    <row r="877" spans="1:10" ht="20.25">
      <c r="A877" t="s">
        <v>2979</v>
      </c>
      <c r="B877" s="967">
        <v>1324908240</v>
      </c>
      <c r="C877" s="968">
        <v>195.625</v>
      </c>
      <c r="D877" s="968">
        <v>195.625</v>
      </c>
      <c r="E877" s="967">
        <v>33492</v>
      </c>
      <c r="F877" s="967">
        <v>0</v>
      </c>
      <c r="G877" s="1538">
        <v>6723.3573204239174</v>
      </c>
      <c r="H877" s="975">
        <v>6866.8426091095989</v>
      </c>
      <c r="J877" s="125">
        <v>6723.357</v>
      </c>
    </row>
    <row r="878" spans="1:10" ht="20.25">
      <c r="A878" t="s">
        <v>849</v>
      </c>
      <c r="B878" s="967">
        <v>179643601</v>
      </c>
      <c r="C878" s="968">
        <v>215.39100000000002</v>
      </c>
      <c r="D878" s="968">
        <v>215.39100000000002</v>
      </c>
      <c r="E878" s="967">
        <v>0</v>
      </c>
      <c r="F878" s="967">
        <v>17052</v>
      </c>
      <c r="G878" s="1538">
        <v>5719.0797122774184</v>
      </c>
      <c r="H878" s="975">
        <v>5863.9265771795899</v>
      </c>
      <c r="J878" s="125">
        <v>5719.08</v>
      </c>
    </row>
    <row r="879" spans="1:10" ht="20.25">
      <c r="A879" t="s">
        <v>850</v>
      </c>
      <c r="B879" s="967">
        <v>1723275941</v>
      </c>
      <c r="C879" s="968">
        <v>885.22500000000002</v>
      </c>
      <c r="D879" s="968">
        <v>885.22500000000002</v>
      </c>
      <c r="E879" s="967">
        <v>0</v>
      </c>
      <c r="F879" s="967">
        <v>90680</v>
      </c>
      <c r="G879" s="1538">
        <v>7273.883464184295</v>
      </c>
      <c r="H879" s="975">
        <v>7436.8661133394016</v>
      </c>
      <c r="J879" s="125">
        <v>7273.8829999999998</v>
      </c>
    </row>
    <row r="880" spans="1:10" ht="20.25">
      <c r="A880" t="s">
        <v>906</v>
      </c>
      <c r="B880" s="967">
        <v>63815984</v>
      </c>
      <c r="C880" s="968">
        <v>235.821</v>
      </c>
      <c r="D880" s="968">
        <v>235.821</v>
      </c>
      <c r="E880" s="967">
        <v>0</v>
      </c>
      <c r="F880" s="967">
        <v>47969</v>
      </c>
      <c r="G880" s="1538">
        <v>4752.9602956399785</v>
      </c>
      <c r="H880" s="975">
        <v>4894.5010781545197</v>
      </c>
      <c r="J880" s="125">
        <v>4752.96</v>
      </c>
    </row>
    <row r="881" spans="1:10" ht="20.25">
      <c r="A881" t="s">
        <v>617</v>
      </c>
      <c r="B881" s="967">
        <v>138682010</v>
      </c>
      <c r="C881" s="968">
        <v>948.85300000000007</v>
      </c>
      <c r="D881" s="968">
        <v>948.85300000000007</v>
      </c>
      <c r="E881" s="967">
        <v>0</v>
      </c>
      <c r="F881" s="967">
        <v>66737</v>
      </c>
      <c r="G881" s="1538">
        <v>4736.5126807559209</v>
      </c>
      <c r="H881" s="975">
        <v>4880.0295566442346</v>
      </c>
      <c r="J881" s="125">
        <v>4736.5129999999999</v>
      </c>
    </row>
    <row r="882" spans="1:10" ht="20.25">
      <c r="A882" t="s">
        <v>618</v>
      </c>
      <c r="B882" s="967">
        <v>53534063</v>
      </c>
      <c r="C882" s="968">
        <v>194.05800000000002</v>
      </c>
      <c r="D882" s="968">
        <v>194.05800000000002</v>
      </c>
      <c r="E882" s="967">
        <v>0</v>
      </c>
      <c r="F882" s="967">
        <v>22975</v>
      </c>
      <c r="G882" s="1538">
        <v>4862.2534762917621</v>
      </c>
      <c r="H882" s="975">
        <v>5062.344103570209</v>
      </c>
      <c r="J882" s="125">
        <v>4862.2529999999997</v>
      </c>
    </row>
    <row r="883" spans="1:10" ht="20.25">
      <c r="A883" t="s">
        <v>2621</v>
      </c>
      <c r="B883" s="967">
        <v>20433450068</v>
      </c>
      <c r="C883" s="968">
        <v>57902.326999999997</v>
      </c>
      <c r="D883" s="968">
        <v>57902.326999999997</v>
      </c>
      <c r="E883" s="967">
        <v>0</v>
      </c>
      <c r="F883" s="967">
        <v>2741688</v>
      </c>
      <c r="G883" s="1538">
        <v>4837.0643777660489</v>
      </c>
      <c r="H883" s="975">
        <v>5035.9725711046485</v>
      </c>
      <c r="J883" s="125">
        <v>4837.0640000000003</v>
      </c>
    </row>
    <row r="884" spans="1:10" ht="20.25">
      <c r="A884" t="s">
        <v>985</v>
      </c>
      <c r="B884" s="967">
        <v>7339421066</v>
      </c>
      <c r="C884" s="968">
        <v>21271.121999999999</v>
      </c>
      <c r="D884" s="968">
        <v>21271.121999999999</v>
      </c>
      <c r="E884" s="967">
        <v>9622</v>
      </c>
      <c r="F884" s="967">
        <v>760452</v>
      </c>
      <c r="G884" s="1538">
        <v>4796.5519818813509</v>
      </c>
      <c r="H884" s="975">
        <v>4939.7334298142769</v>
      </c>
      <c r="J884" s="125">
        <v>4796.5519999999997</v>
      </c>
    </row>
    <row r="885" spans="1:10" ht="20.25">
      <c r="A885" t="s">
        <v>2111</v>
      </c>
      <c r="B885" s="967">
        <v>1048466057</v>
      </c>
      <c r="C885" s="968">
        <v>4626.7330000000002</v>
      </c>
      <c r="D885" s="968">
        <v>4626.7330000000002</v>
      </c>
      <c r="E885" s="967">
        <v>100050</v>
      </c>
      <c r="F885" s="967">
        <v>202564</v>
      </c>
      <c r="G885" s="1538">
        <v>4834.1102813823436</v>
      </c>
      <c r="H885" s="975">
        <v>5133.96234651335</v>
      </c>
      <c r="J885" s="125">
        <v>4834.1099999999997</v>
      </c>
    </row>
    <row r="886" spans="1:10" ht="20.25">
      <c r="A886" t="s">
        <v>2297</v>
      </c>
      <c r="B886" s="967">
        <v>24672547048</v>
      </c>
      <c r="C886" s="968">
        <v>73367.819000000003</v>
      </c>
      <c r="D886" s="968">
        <v>73367.819000000003</v>
      </c>
      <c r="E886" s="967">
        <v>0</v>
      </c>
      <c r="F886" s="967">
        <v>3304633</v>
      </c>
      <c r="G886" s="1538">
        <v>4985.6415872332464</v>
      </c>
      <c r="H886" s="975">
        <v>5133.5986616345499</v>
      </c>
      <c r="J886" s="125">
        <v>4982.5349999999999</v>
      </c>
    </row>
    <row r="887" spans="1:10" ht="20.25">
      <c r="A887" t="s">
        <v>2497</v>
      </c>
      <c r="B887" s="967">
        <v>9926026526</v>
      </c>
      <c r="C887" s="968">
        <v>13001.165999999999</v>
      </c>
      <c r="D887" s="968">
        <v>13001.165999999999</v>
      </c>
      <c r="E887" s="967">
        <v>0</v>
      </c>
      <c r="F887" s="967">
        <v>366579</v>
      </c>
      <c r="G887" s="1538">
        <v>5510.7822700399938</v>
      </c>
      <c r="H887" s="975">
        <v>5659.735663930539</v>
      </c>
      <c r="J887" s="125">
        <v>5510.7820000000002</v>
      </c>
    </row>
    <row r="888" spans="1:10" ht="20.25">
      <c r="A888" t="s">
        <v>57</v>
      </c>
      <c r="B888" s="967">
        <v>10318067707</v>
      </c>
      <c r="C888" s="968">
        <v>29678.146000000001</v>
      </c>
      <c r="D888" s="968">
        <v>29678.146000000001</v>
      </c>
      <c r="E888" s="967">
        <v>251182</v>
      </c>
      <c r="F888" s="967">
        <v>1259468</v>
      </c>
      <c r="G888" s="1538">
        <v>5051.4670940484293</v>
      </c>
      <c r="H888" s="975">
        <v>5179.8031782128883</v>
      </c>
      <c r="J888" s="125">
        <v>5051.4669999999996</v>
      </c>
    </row>
    <row r="889" spans="1:10" ht="20.25">
      <c r="A889" t="s">
        <v>379</v>
      </c>
      <c r="B889" s="967">
        <v>8811633454</v>
      </c>
      <c r="C889" s="968">
        <v>29860.253000000001</v>
      </c>
      <c r="D889" s="968">
        <v>29860.253000000001</v>
      </c>
      <c r="E889" s="967">
        <v>420131</v>
      </c>
      <c r="F889" s="967">
        <v>2254940</v>
      </c>
      <c r="G889" s="1538">
        <v>4944.9896816342653</v>
      </c>
      <c r="H889" s="975">
        <v>5087.943392900871</v>
      </c>
      <c r="J889" s="125">
        <v>4944.99</v>
      </c>
    </row>
    <row r="890" spans="1:10" ht="20.25">
      <c r="A890" t="s">
        <v>1986</v>
      </c>
      <c r="B890" s="967">
        <v>742414642</v>
      </c>
      <c r="C890" s="968">
        <v>2658.0050000000001</v>
      </c>
      <c r="D890" s="968">
        <v>2658.0050000000001</v>
      </c>
      <c r="E890" s="967">
        <v>0</v>
      </c>
      <c r="F890" s="967">
        <v>155418</v>
      </c>
      <c r="G890" s="1538">
        <v>5157.1116039895678</v>
      </c>
      <c r="H890" s="975">
        <v>5296.4692755240294</v>
      </c>
      <c r="J890" s="125">
        <v>5157.1120000000001</v>
      </c>
    </row>
    <row r="891" spans="1:10" ht="20.25">
      <c r="A891" t="s">
        <v>2759</v>
      </c>
      <c r="B891" s="967">
        <v>4917029050</v>
      </c>
      <c r="C891" s="968">
        <v>14008.371000000001</v>
      </c>
      <c r="D891" s="968">
        <v>14008.371000000001</v>
      </c>
      <c r="E891" s="967">
        <v>11343</v>
      </c>
      <c r="F891" s="967">
        <v>1051289</v>
      </c>
      <c r="G891" s="1538">
        <v>4891.0658587142852</v>
      </c>
      <c r="H891" s="975">
        <v>5034.3137750769911</v>
      </c>
      <c r="J891" s="125">
        <v>4891.0659999999998</v>
      </c>
    </row>
    <row r="892" spans="1:10" ht="20.25">
      <c r="A892" t="s">
        <v>59</v>
      </c>
      <c r="B892" s="967">
        <v>963235467</v>
      </c>
      <c r="C892" s="968">
        <v>2972.9720000000002</v>
      </c>
      <c r="D892" s="968">
        <v>2972.9720000000002</v>
      </c>
      <c r="E892" s="967">
        <v>0</v>
      </c>
      <c r="F892" s="967">
        <v>185985</v>
      </c>
      <c r="G892" s="1538">
        <v>4803.9573033313445</v>
      </c>
      <c r="H892" s="975">
        <v>5048.1362680829607</v>
      </c>
      <c r="J892" s="125">
        <v>4803.9570000000003</v>
      </c>
    </row>
    <row r="893" spans="1:10" ht="20.25">
      <c r="A893" t="s">
        <v>1894</v>
      </c>
      <c r="B893" s="967">
        <v>2109810432</v>
      </c>
      <c r="C893" s="968">
        <v>5383.38</v>
      </c>
      <c r="D893" s="968">
        <v>5383.38</v>
      </c>
      <c r="E893" s="967">
        <v>0</v>
      </c>
      <c r="F893" s="967">
        <v>401044</v>
      </c>
      <c r="G893" s="1538">
        <v>5324.5041787450518</v>
      </c>
      <c r="H893" s="975">
        <v>5468.5724298591704</v>
      </c>
      <c r="J893" s="125">
        <v>5324.5039999999999</v>
      </c>
    </row>
    <row r="894" spans="1:10" ht="20.25">
      <c r="A894" t="s">
        <v>1280</v>
      </c>
      <c r="B894" s="967">
        <v>8714331577</v>
      </c>
      <c r="C894" s="968">
        <v>19496.727999999999</v>
      </c>
      <c r="D894" s="968">
        <v>19496.727999999999</v>
      </c>
      <c r="E894" s="967">
        <v>0</v>
      </c>
      <c r="F894" s="967">
        <v>607168</v>
      </c>
      <c r="G894" s="1538">
        <v>5295.3878659402053</v>
      </c>
      <c r="H894" s="975">
        <v>5438.7477693890451</v>
      </c>
      <c r="J894" s="125">
        <v>5295.3879999999999</v>
      </c>
    </row>
    <row r="895" spans="1:10" ht="20.25">
      <c r="A895" t="s">
        <v>2108</v>
      </c>
      <c r="B895" s="967">
        <v>481524688</v>
      </c>
      <c r="C895" s="968">
        <v>3313.1040000000003</v>
      </c>
      <c r="D895" s="968">
        <v>3313.1040000000003</v>
      </c>
      <c r="E895" s="967">
        <v>0</v>
      </c>
      <c r="F895" s="967">
        <v>68984</v>
      </c>
      <c r="G895" s="1538">
        <v>4770.1057630045325</v>
      </c>
      <c r="H895" s="975">
        <v>5013.0890811394838</v>
      </c>
      <c r="J895" s="125">
        <v>4770.1059999999998</v>
      </c>
    </row>
    <row r="896" spans="1:10" ht="20.25">
      <c r="A896" t="s">
        <v>2542</v>
      </c>
      <c r="B896" s="967">
        <v>6065349445</v>
      </c>
      <c r="C896" s="968">
        <v>15047.589</v>
      </c>
      <c r="D896" s="968">
        <v>15047.589</v>
      </c>
      <c r="E896" s="967">
        <v>212243</v>
      </c>
      <c r="F896" s="967">
        <v>739029</v>
      </c>
      <c r="G896" s="1538">
        <v>5330.4788442118788</v>
      </c>
      <c r="H896" s="975">
        <v>5466.4047513982559</v>
      </c>
      <c r="J896" s="125">
        <v>5330.4790000000003</v>
      </c>
    </row>
    <row r="897" spans="1:10" ht="20.25">
      <c r="A897" t="s">
        <v>2107</v>
      </c>
      <c r="B897" s="967">
        <v>5061524599</v>
      </c>
      <c r="C897" s="968">
        <v>7417.8</v>
      </c>
      <c r="D897" s="968">
        <v>7417.8</v>
      </c>
      <c r="E897" s="967">
        <v>0</v>
      </c>
      <c r="F897" s="967">
        <v>0</v>
      </c>
      <c r="G897" s="1538">
        <v>5880.5690311077942</v>
      </c>
      <c r="H897" s="975">
        <v>6023.7963104174787</v>
      </c>
      <c r="J897" s="125">
        <v>5880.3230000000003</v>
      </c>
    </row>
    <row r="898" spans="1:10" ht="20.25">
      <c r="A898" t="s">
        <v>1347</v>
      </c>
      <c r="B898" s="967">
        <v>1462752122</v>
      </c>
      <c r="C898" s="968">
        <v>5443.4520000000002</v>
      </c>
      <c r="D898" s="968">
        <v>5443.4520000000002</v>
      </c>
      <c r="E898" s="967">
        <v>79845</v>
      </c>
      <c r="F898" s="967">
        <v>267081</v>
      </c>
      <c r="G898" s="1538">
        <v>5084.2877434075126</v>
      </c>
      <c r="H898" s="975">
        <v>5227.4552617202471</v>
      </c>
      <c r="J898" s="125">
        <v>5084.2879999999996</v>
      </c>
    </row>
    <row r="899" spans="1:10" ht="20.25">
      <c r="A899" t="s">
        <v>2543</v>
      </c>
      <c r="B899" s="967">
        <v>3744959123</v>
      </c>
      <c r="C899" s="968">
        <v>15401.597</v>
      </c>
      <c r="D899" s="968">
        <v>15401.597</v>
      </c>
      <c r="E899" s="967">
        <v>0</v>
      </c>
      <c r="F899" s="967">
        <v>759253</v>
      </c>
      <c r="G899" s="1538">
        <v>4809.8268770080313</v>
      </c>
      <c r="H899" s="975">
        <v>4981.4996650382263</v>
      </c>
      <c r="J899" s="125">
        <v>4809.8270000000002</v>
      </c>
    </row>
    <row r="900" spans="1:10" ht="20.25">
      <c r="A900" t="s">
        <v>2544</v>
      </c>
      <c r="B900" s="967">
        <v>373776501</v>
      </c>
      <c r="C900" s="968">
        <v>1010.0110000000001</v>
      </c>
      <c r="D900" s="968">
        <v>1010.0110000000001</v>
      </c>
      <c r="E900" s="967">
        <v>0</v>
      </c>
      <c r="F900" s="967">
        <v>132038</v>
      </c>
      <c r="G900" s="1538">
        <v>5749.707634407705</v>
      </c>
      <c r="H900" s="975">
        <v>5894.1278492819611</v>
      </c>
      <c r="J900" s="125">
        <v>5749.7070000000003</v>
      </c>
    </row>
    <row r="901" spans="1:10" ht="20.25">
      <c r="A901" t="s">
        <v>3052</v>
      </c>
      <c r="B901" s="967">
        <v>98357634</v>
      </c>
      <c r="C901" s="968">
        <v>179.749</v>
      </c>
      <c r="D901" s="968">
        <v>179.749</v>
      </c>
      <c r="E901" s="967">
        <v>0</v>
      </c>
      <c r="F901" s="967">
        <v>0</v>
      </c>
      <c r="G901" s="1538">
        <v>4790.9392115761721</v>
      </c>
      <c r="H901" s="975">
        <v>5165.0998725606523</v>
      </c>
      <c r="J901" s="125">
        <v>4790.9390000000003</v>
      </c>
    </row>
    <row r="902" spans="1:10" ht="20.25">
      <c r="A902" t="s">
        <v>3053</v>
      </c>
      <c r="B902" s="967">
        <v>476596029</v>
      </c>
      <c r="C902" s="968">
        <v>971.53300000000002</v>
      </c>
      <c r="D902" s="968">
        <v>971.53300000000002</v>
      </c>
      <c r="E902" s="967">
        <v>0</v>
      </c>
      <c r="F902" s="967">
        <v>125602</v>
      </c>
      <c r="G902" s="1538">
        <v>5993.0855968375208</v>
      </c>
      <c r="H902" s="975">
        <v>6145.3049855024256</v>
      </c>
      <c r="J902" s="125">
        <v>5993.0860000000002</v>
      </c>
    </row>
    <row r="903" spans="1:10" ht="20.25">
      <c r="A903" t="s">
        <v>3054</v>
      </c>
      <c r="B903" s="967">
        <v>1179029176</v>
      </c>
      <c r="C903" s="968">
        <v>3096.5820000000003</v>
      </c>
      <c r="D903" s="968">
        <v>3096.5820000000003</v>
      </c>
      <c r="E903" s="967">
        <v>0</v>
      </c>
      <c r="F903" s="967">
        <v>249138</v>
      </c>
      <c r="G903" s="1538">
        <v>4770.4653266354335</v>
      </c>
      <c r="H903" s="975">
        <v>4913.7319384430812</v>
      </c>
      <c r="J903" s="125">
        <v>4770.4650000000001</v>
      </c>
    </row>
    <row r="904" spans="1:10" ht="20.25">
      <c r="A904" t="s">
        <v>3055</v>
      </c>
      <c r="B904" s="967">
        <v>872607682</v>
      </c>
      <c r="C904" s="968">
        <v>148.09800000000001</v>
      </c>
      <c r="D904" s="968">
        <v>148.09800000000001</v>
      </c>
      <c r="E904" s="967">
        <v>0</v>
      </c>
      <c r="F904" s="967">
        <v>42476</v>
      </c>
      <c r="G904" s="1538">
        <v>7738.8583842219596</v>
      </c>
      <c r="H904" s="975">
        <v>7829.2150590972069</v>
      </c>
      <c r="J904" s="125">
        <v>7738.8580000000002</v>
      </c>
    </row>
    <row r="905" spans="1:10" ht="20.25">
      <c r="A905" t="s">
        <v>1335</v>
      </c>
      <c r="B905" s="967">
        <v>669930528</v>
      </c>
      <c r="C905" s="968">
        <v>1623.7730000000001</v>
      </c>
      <c r="D905" s="968">
        <v>1623.7730000000001</v>
      </c>
      <c r="E905" s="967">
        <v>0</v>
      </c>
      <c r="F905" s="967">
        <v>134066</v>
      </c>
      <c r="G905" s="1538">
        <v>5370.2912581661076</v>
      </c>
      <c r="H905" s="975">
        <v>5514.1973839045349</v>
      </c>
      <c r="J905" s="125">
        <v>5370.2910000000002</v>
      </c>
    </row>
    <row r="906" spans="1:10" ht="20.25">
      <c r="A906" t="s">
        <v>2106</v>
      </c>
      <c r="B906" s="967">
        <v>70197436</v>
      </c>
      <c r="C906" s="968">
        <v>261.80700000000002</v>
      </c>
      <c r="D906" s="968">
        <v>261.80700000000002</v>
      </c>
      <c r="E906" s="967">
        <v>0</v>
      </c>
      <c r="F906" s="967">
        <v>16437</v>
      </c>
      <c r="G906" s="1538">
        <v>4616.2910787488963</v>
      </c>
      <c r="H906" s="975">
        <v>4777.3565678182003</v>
      </c>
      <c r="J906" s="125">
        <v>4616.2910000000002</v>
      </c>
    </row>
    <row r="907" spans="1:10" ht="20.25">
      <c r="A907" t="s">
        <v>1336</v>
      </c>
      <c r="B907" s="967">
        <v>155167425</v>
      </c>
      <c r="C907" s="968">
        <v>214.697</v>
      </c>
      <c r="D907" s="968">
        <v>214.697</v>
      </c>
      <c r="E907" s="967">
        <v>0</v>
      </c>
      <c r="F907" s="967">
        <v>33222</v>
      </c>
      <c r="G907" s="1538">
        <v>5489.7205205673044</v>
      </c>
      <c r="H907" s="975">
        <v>5634.0154441228069</v>
      </c>
      <c r="J907" s="125">
        <v>5489.7209999999995</v>
      </c>
    </row>
    <row r="908" spans="1:10" ht="20.25">
      <c r="A908" t="s">
        <v>1783</v>
      </c>
      <c r="B908" s="967">
        <v>127961564</v>
      </c>
      <c r="C908" s="968">
        <v>195.49600000000001</v>
      </c>
      <c r="D908" s="968">
        <v>195.49600000000001</v>
      </c>
      <c r="E908" s="967">
        <v>0</v>
      </c>
      <c r="F908" s="967">
        <v>31836</v>
      </c>
      <c r="G908" s="1538">
        <v>5359.9953081452131</v>
      </c>
      <c r="H908" s="975">
        <v>5504.7762259149758</v>
      </c>
      <c r="J908" s="125">
        <v>5359.9949999999999</v>
      </c>
    </row>
    <row r="909" spans="1:10" ht="20.25">
      <c r="A909" t="s">
        <v>1784</v>
      </c>
      <c r="B909" s="967">
        <v>36932304</v>
      </c>
      <c r="C909" s="968">
        <v>113.29600000000001</v>
      </c>
      <c r="D909" s="968">
        <v>113.29600000000001</v>
      </c>
      <c r="E909" s="967">
        <v>0</v>
      </c>
      <c r="F909" s="967">
        <v>14233</v>
      </c>
      <c r="G909" s="1538">
        <v>5154.6021772368176</v>
      </c>
      <c r="H909" s="975">
        <v>5297.4606482313156</v>
      </c>
      <c r="J909" s="125">
        <v>5154.6019999999999</v>
      </c>
    </row>
    <row r="910" spans="1:10" ht="20.25">
      <c r="A910" t="s">
        <v>1785</v>
      </c>
      <c r="B910" s="967">
        <v>2186079992</v>
      </c>
      <c r="C910" s="968">
        <v>4800.3</v>
      </c>
      <c r="D910" s="968">
        <v>4800.3</v>
      </c>
      <c r="E910" s="967">
        <v>0</v>
      </c>
      <c r="F910" s="967">
        <v>497903</v>
      </c>
      <c r="G910" s="1538">
        <v>4932.9516279451072</v>
      </c>
      <c r="H910" s="975">
        <v>5076.4175001010781</v>
      </c>
      <c r="J910" s="125">
        <v>4932.9520000000002</v>
      </c>
    </row>
    <row r="911" spans="1:10" ht="20.25">
      <c r="A911" t="s">
        <v>2062</v>
      </c>
      <c r="B911" s="967">
        <v>39648348</v>
      </c>
      <c r="C911" s="968">
        <v>163.08199999999999</v>
      </c>
      <c r="D911" s="968">
        <v>163.08199999999999</v>
      </c>
      <c r="E911" s="967">
        <v>0</v>
      </c>
      <c r="F911" s="967">
        <v>7707</v>
      </c>
      <c r="G911" s="1538">
        <v>4158.7722479591066</v>
      </c>
      <c r="H911" s="975">
        <v>4252.0455128753529</v>
      </c>
      <c r="J911" s="125">
        <v>4158.7719999999999</v>
      </c>
    </row>
    <row r="912" spans="1:10" ht="20.25">
      <c r="A912" t="s">
        <v>305</v>
      </c>
      <c r="B912" s="967">
        <v>99154625</v>
      </c>
      <c r="C912" s="968">
        <v>882.47900000000004</v>
      </c>
      <c r="D912" s="968">
        <v>882.47900000000004</v>
      </c>
      <c r="E912" s="967">
        <v>0</v>
      </c>
      <c r="F912" s="967">
        <v>54923</v>
      </c>
      <c r="G912" s="1538">
        <v>4731.4038228226173</v>
      </c>
      <c r="H912" s="975">
        <v>4874.4311786339858</v>
      </c>
      <c r="J912" s="125">
        <v>4731.4040000000005</v>
      </c>
    </row>
    <row r="913" spans="1:10" ht="20.25">
      <c r="A913" t="s">
        <v>2063</v>
      </c>
      <c r="B913" s="967">
        <v>117541471</v>
      </c>
      <c r="C913" s="968">
        <v>427.024</v>
      </c>
      <c r="D913" s="968">
        <v>427.024</v>
      </c>
      <c r="E913" s="967">
        <v>0</v>
      </c>
      <c r="F913" s="967">
        <v>21039</v>
      </c>
      <c r="G913" s="1538">
        <v>5070.1336821133636</v>
      </c>
      <c r="H913" s="975">
        <v>4949.7858893802349</v>
      </c>
      <c r="J913" s="125">
        <v>5070.134</v>
      </c>
    </row>
    <row r="914" spans="1:10" ht="20.25">
      <c r="A914" t="s">
        <v>2797</v>
      </c>
      <c r="B914" s="967">
        <v>137085407</v>
      </c>
      <c r="C914" s="968">
        <v>409.67600000000004</v>
      </c>
      <c r="D914" s="968">
        <v>409.67600000000004</v>
      </c>
      <c r="E914" s="967">
        <v>0</v>
      </c>
      <c r="F914" s="967">
        <v>44676</v>
      </c>
      <c r="G914" s="1538">
        <v>4673.7177944483028</v>
      </c>
      <c r="H914" s="975">
        <v>4834.6322357848203</v>
      </c>
      <c r="J914" s="125">
        <v>4673.7179999999998</v>
      </c>
    </row>
    <row r="915" spans="1:10" ht="20.25">
      <c r="A915" t="s">
        <v>1488</v>
      </c>
      <c r="B915" s="967">
        <v>3149596748</v>
      </c>
      <c r="C915" s="968">
        <v>13104.322</v>
      </c>
      <c r="D915" s="968">
        <v>13104.322</v>
      </c>
      <c r="E915" s="967">
        <v>0</v>
      </c>
      <c r="F915" s="967">
        <v>803151</v>
      </c>
      <c r="G915" s="1538">
        <v>4836.8990684922765</v>
      </c>
      <c r="H915" s="975">
        <v>4981.1734537784241</v>
      </c>
      <c r="J915" s="125">
        <v>4836.8990000000003</v>
      </c>
    </row>
    <row r="916" spans="1:10" ht="20.25">
      <c r="A916" t="s">
        <v>2785</v>
      </c>
      <c r="B916" s="967">
        <v>133043316</v>
      </c>
      <c r="C916" s="968">
        <v>308.76400000000001</v>
      </c>
      <c r="D916" s="968">
        <v>308.76400000000001</v>
      </c>
      <c r="E916" s="967">
        <v>0</v>
      </c>
      <c r="F916" s="967">
        <v>42518</v>
      </c>
      <c r="G916" s="1538">
        <v>4928.4796532189503</v>
      </c>
      <c r="H916" s="975">
        <v>5073.7929501769022</v>
      </c>
      <c r="J916" s="125">
        <v>4928.4799999999996</v>
      </c>
    </row>
    <row r="917" spans="1:10" ht="20.25">
      <c r="A917" t="s">
        <v>374</v>
      </c>
      <c r="B917" s="967">
        <v>208715426</v>
      </c>
      <c r="C917" s="968">
        <v>1008.2430000000001</v>
      </c>
      <c r="D917" s="968">
        <v>1008.2430000000001</v>
      </c>
      <c r="E917" s="967">
        <v>0</v>
      </c>
      <c r="F917" s="967">
        <v>391600</v>
      </c>
      <c r="G917" s="1538">
        <v>5657.0066663450998</v>
      </c>
      <c r="H917" s="975">
        <v>5800.3880360185149</v>
      </c>
      <c r="J917" s="125">
        <v>5657.0069999999996</v>
      </c>
    </row>
    <row r="918" spans="1:10" ht="20.25">
      <c r="A918" t="s">
        <v>1482</v>
      </c>
      <c r="B918" s="967">
        <v>117362751</v>
      </c>
      <c r="C918" s="968">
        <v>1016.817</v>
      </c>
      <c r="D918" s="968">
        <v>1016.817</v>
      </c>
      <c r="E918" s="967">
        <v>0</v>
      </c>
      <c r="F918" s="967">
        <v>120914</v>
      </c>
      <c r="G918" s="1538">
        <v>4850.2575420778539</v>
      </c>
      <c r="H918" s="975">
        <v>5078.9939511642497</v>
      </c>
      <c r="J918" s="125">
        <v>4850.2579999999998</v>
      </c>
    </row>
    <row r="919" spans="1:10" ht="20.25">
      <c r="A919" t="s">
        <v>1422</v>
      </c>
      <c r="B919" s="967">
        <v>68133236</v>
      </c>
      <c r="C919" s="968">
        <v>241.066</v>
      </c>
      <c r="D919" s="968">
        <v>241.066</v>
      </c>
      <c r="E919" s="967">
        <v>0</v>
      </c>
      <c r="F919" s="967">
        <v>36472</v>
      </c>
      <c r="G919" s="1538">
        <v>4729.8186872645383</v>
      </c>
      <c r="H919" s="975">
        <v>5104.5671625534815</v>
      </c>
      <c r="J919" s="125">
        <v>4729.8190000000004</v>
      </c>
    </row>
    <row r="920" spans="1:10" ht="20.25">
      <c r="A920" t="s">
        <v>292</v>
      </c>
      <c r="B920" s="967">
        <v>58956096148</v>
      </c>
      <c r="C920" s="968">
        <v>76726.687000000005</v>
      </c>
      <c r="D920" s="968">
        <v>76726.687000000005</v>
      </c>
      <c r="E920" s="967">
        <v>201576</v>
      </c>
      <c r="F920" s="967">
        <v>4547098</v>
      </c>
      <c r="G920" s="1538">
        <v>5961.1873550572245</v>
      </c>
      <c r="H920" s="975">
        <v>6102.4140363724819</v>
      </c>
      <c r="J920" s="125">
        <v>5961.1869999999999</v>
      </c>
    </row>
    <row r="921" spans="1:10" ht="20.25">
      <c r="A921" t="s">
        <v>238</v>
      </c>
      <c r="B921" s="967">
        <v>7235390404</v>
      </c>
      <c r="C921" s="968">
        <v>20676.592000000001</v>
      </c>
      <c r="D921" s="968">
        <v>20676.592000000001</v>
      </c>
      <c r="E921" s="967">
        <v>0</v>
      </c>
      <c r="F921" s="967">
        <v>1214307</v>
      </c>
      <c r="G921" s="1538">
        <v>5103.0661877710636</v>
      </c>
      <c r="H921" s="975">
        <v>5245.6456796819357</v>
      </c>
      <c r="J921" s="125">
        <v>5102.6170000000002</v>
      </c>
    </row>
    <row r="922" spans="1:10" ht="20.25">
      <c r="A922" t="s">
        <v>293</v>
      </c>
      <c r="B922" s="967">
        <v>2724280007</v>
      </c>
      <c r="C922" s="968">
        <v>6132.7030000000004</v>
      </c>
      <c r="D922" s="968">
        <v>6132.7030000000004</v>
      </c>
      <c r="E922" s="967">
        <v>148175</v>
      </c>
      <c r="F922" s="967">
        <v>734059</v>
      </c>
      <c r="G922" s="1538">
        <v>5569.0410551255754</v>
      </c>
      <c r="H922" s="975">
        <v>5710.697569696913</v>
      </c>
      <c r="J922" s="125">
        <v>5569.0410000000002</v>
      </c>
    </row>
    <row r="923" spans="1:10" ht="20.25">
      <c r="A923" t="s">
        <v>294</v>
      </c>
      <c r="B923" s="967">
        <v>9334823422</v>
      </c>
      <c r="C923" s="968">
        <v>7211.8940000000002</v>
      </c>
      <c r="D923" s="968">
        <v>7211.8940000000002</v>
      </c>
      <c r="E923" s="967">
        <v>0</v>
      </c>
      <c r="F923" s="967">
        <v>323903</v>
      </c>
      <c r="G923" s="1538">
        <v>6202.5367796534156</v>
      </c>
      <c r="H923" s="975">
        <v>6345.8765949203435</v>
      </c>
      <c r="J923" s="125">
        <v>6202.5370000000003</v>
      </c>
    </row>
    <row r="924" spans="1:10" ht="20.25">
      <c r="A924" t="s">
        <v>1295</v>
      </c>
      <c r="B924" s="967">
        <v>3252921349</v>
      </c>
      <c r="C924" s="968">
        <v>9266.7260000000006</v>
      </c>
      <c r="D924" s="968">
        <v>9266.7260000000006</v>
      </c>
      <c r="E924" s="967">
        <v>59255</v>
      </c>
      <c r="F924" s="967">
        <v>1357239</v>
      </c>
      <c r="G924" s="1538">
        <v>5364.0631497799241</v>
      </c>
      <c r="H924" s="975">
        <v>5506.1436885981047</v>
      </c>
      <c r="J924" s="125">
        <v>5363.7759999999998</v>
      </c>
    </row>
    <row r="925" spans="1:10" ht="20.25">
      <c r="A925" t="s">
        <v>2804</v>
      </c>
      <c r="B925" s="967">
        <v>1352423550</v>
      </c>
      <c r="C925" s="968">
        <v>1149.297</v>
      </c>
      <c r="D925" s="968">
        <v>1149.297</v>
      </c>
      <c r="E925" s="967">
        <v>0</v>
      </c>
      <c r="F925" s="967">
        <v>111848</v>
      </c>
      <c r="G925" s="1538">
        <v>6271.9615077343906</v>
      </c>
      <c r="H925" s="975">
        <v>6425.1049064485887</v>
      </c>
      <c r="J925" s="125">
        <v>6271.9620000000004</v>
      </c>
    </row>
    <row r="926" spans="1:10" ht="20.25">
      <c r="A926" t="s">
        <v>1496</v>
      </c>
      <c r="B926" s="967">
        <v>6668117344</v>
      </c>
      <c r="C926" s="968">
        <v>6230.2250000000004</v>
      </c>
      <c r="D926" s="968">
        <v>6230.2250000000004</v>
      </c>
      <c r="E926" s="967">
        <v>6201</v>
      </c>
      <c r="F926" s="967">
        <v>402091</v>
      </c>
      <c r="G926" s="1538">
        <v>6030.1225452007266</v>
      </c>
      <c r="H926" s="975">
        <v>6172.3805820989201</v>
      </c>
      <c r="J926" s="125">
        <v>6030.1229999999996</v>
      </c>
    </row>
    <row r="927" spans="1:10" ht="20.25">
      <c r="A927" t="s">
        <v>1497</v>
      </c>
      <c r="B927" s="967">
        <v>194028686</v>
      </c>
      <c r="C927" s="968">
        <v>681.78300000000002</v>
      </c>
      <c r="D927" s="968">
        <v>681.78300000000002</v>
      </c>
      <c r="E927" s="967">
        <v>0</v>
      </c>
      <c r="F927" s="967">
        <v>114869</v>
      </c>
      <c r="G927" s="1538">
        <v>4550.3635720380425</v>
      </c>
      <c r="H927" s="975">
        <v>4923.882253149236</v>
      </c>
      <c r="J927" s="125">
        <v>4550.3639999999996</v>
      </c>
    </row>
    <row r="928" spans="1:10" ht="20.25">
      <c r="A928" t="s">
        <v>1498</v>
      </c>
      <c r="B928" s="967">
        <v>235851638</v>
      </c>
      <c r="C928" s="968">
        <v>1088.9370000000001</v>
      </c>
      <c r="D928" s="968">
        <v>1088.9370000000001</v>
      </c>
      <c r="E928" s="967">
        <v>0</v>
      </c>
      <c r="F928" s="967">
        <v>151874</v>
      </c>
      <c r="G928" s="1538">
        <v>4696.6364932045581</v>
      </c>
      <c r="H928" s="975">
        <v>4959.8924324511345</v>
      </c>
      <c r="J928" s="125">
        <v>4696.6360000000004</v>
      </c>
    </row>
    <row r="929" spans="1:10" ht="20.25">
      <c r="A929" t="s">
        <v>1499</v>
      </c>
      <c r="B929" s="967">
        <v>26146259</v>
      </c>
      <c r="C929" s="968">
        <v>141.18100000000001</v>
      </c>
      <c r="D929" s="968">
        <v>141.18100000000001</v>
      </c>
      <c r="E929" s="967">
        <v>0</v>
      </c>
      <c r="F929" s="967">
        <v>31406</v>
      </c>
      <c r="G929" s="1538">
        <v>4906.8958592714562</v>
      </c>
      <c r="H929" s="975">
        <v>5051.5951573072061</v>
      </c>
      <c r="J929" s="125">
        <v>4906.8959999999997</v>
      </c>
    </row>
    <row r="930" spans="1:10" ht="20.25">
      <c r="A930" t="s">
        <v>1500</v>
      </c>
      <c r="B930" s="967">
        <v>27234038</v>
      </c>
      <c r="C930" s="968">
        <v>188.809</v>
      </c>
      <c r="D930" s="968">
        <v>188.809</v>
      </c>
      <c r="E930" s="967">
        <v>0</v>
      </c>
      <c r="F930" s="967">
        <v>25919</v>
      </c>
      <c r="G930" s="1538">
        <v>4852.0946113292994</v>
      </c>
      <c r="H930" s="975">
        <v>4996.1731234152958</v>
      </c>
      <c r="J930" s="125">
        <v>4852.0950000000003</v>
      </c>
    </row>
    <row r="931" spans="1:10" ht="20.25">
      <c r="A931" t="s">
        <v>1615</v>
      </c>
      <c r="B931" s="967">
        <v>107857747</v>
      </c>
      <c r="C931" s="968">
        <v>466.976</v>
      </c>
      <c r="D931" s="968">
        <v>466.976</v>
      </c>
      <c r="E931" s="967">
        <v>0</v>
      </c>
      <c r="F931" s="967">
        <v>83062</v>
      </c>
      <c r="G931" s="1538">
        <v>4608.9654320728141</v>
      </c>
      <c r="H931" s="975">
        <v>4822.0506433550627</v>
      </c>
      <c r="J931" s="125">
        <v>4608.9650000000001</v>
      </c>
    </row>
    <row r="932" spans="1:10" ht="20.25">
      <c r="A932" t="s">
        <v>2051</v>
      </c>
      <c r="B932" s="967">
        <v>1008025941</v>
      </c>
      <c r="C932" s="968">
        <v>1210.1980000000001</v>
      </c>
      <c r="D932" s="968">
        <v>1210.1980000000001</v>
      </c>
      <c r="E932" s="967">
        <v>0</v>
      </c>
      <c r="F932" s="967">
        <v>189399</v>
      </c>
      <c r="G932" s="1538">
        <v>6101.0400707819726</v>
      </c>
      <c r="H932" s="975">
        <v>6245.391460129028</v>
      </c>
      <c r="J932" s="125">
        <v>6101.04</v>
      </c>
    </row>
    <row r="933" spans="1:10" ht="20.25">
      <c r="A933" t="s">
        <v>2052</v>
      </c>
      <c r="B933" s="967">
        <v>265261116</v>
      </c>
      <c r="C933" s="968">
        <v>1115.98</v>
      </c>
      <c r="D933" s="968">
        <v>1115.98</v>
      </c>
      <c r="E933" s="967">
        <v>0</v>
      </c>
      <c r="F933" s="967">
        <v>173841</v>
      </c>
      <c r="G933" s="1538">
        <v>5224.3615322595388</v>
      </c>
      <c r="H933" s="975">
        <v>5367.7780509484273</v>
      </c>
      <c r="J933" s="125">
        <v>5224.3620000000001</v>
      </c>
    </row>
    <row r="934" spans="1:10" ht="20.25">
      <c r="A934" t="s">
        <v>1423</v>
      </c>
      <c r="B934" s="967">
        <v>71241560</v>
      </c>
      <c r="C934" s="968">
        <v>336.142</v>
      </c>
      <c r="D934" s="968">
        <v>336.142</v>
      </c>
      <c r="E934" s="967">
        <v>0</v>
      </c>
      <c r="F934" s="967">
        <v>50679</v>
      </c>
      <c r="G934" s="1538">
        <v>4854.1760753595199</v>
      </c>
      <c r="H934" s="975">
        <v>4997.7779892879698</v>
      </c>
      <c r="J934" s="125">
        <v>4854.1760000000004</v>
      </c>
    </row>
    <row r="935" spans="1:10" ht="20.25">
      <c r="A935" t="s">
        <v>83</v>
      </c>
      <c r="B935" s="967">
        <v>71801356</v>
      </c>
      <c r="C935" s="968">
        <v>172.90700000000001</v>
      </c>
      <c r="D935" s="968">
        <v>172.90700000000001</v>
      </c>
      <c r="E935" s="967">
        <v>0</v>
      </c>
      <c r="F935" s="967">
        <v>32515</v>
      </c>
      <c r="G935" s="1538">
        <v>4798.9904858496748</v>
      </c>
      <c r="H935" s="975">
        <v>4929.6191326890403</v>
      </c>
      <c r="J935" s="125">
        <v>4798.99</v>
      </c>
    </row>
    <row r="936" spans="1:10" ht="20.25">
      <c r="A936" t="s">
        <v>2053</v>
      </c>
      <c r="B936" s="967">
        <v>175588959</v>
      </c>
      <c r="C936" s="968">
        <v>664.19799999999998</v>
      </c>
      <c r="D936" s="968">
        <v>664.19799999999998</v>
      </c>
      <c r="E936" s="967">
        <v>0</v>
      </c>
      <c r="F936" s="967">
        <v>78666</v>
      </c>
      <c r="G936" s="1538">
        <v>4949.4212277729011</v>
      </c>
      <c r="H936" s="975">
        <v>5093.5580004490621</v>
      </c>
      <c r="J936" s="125">
        <v>4949.4210000000003</v>
      </c>
    </row>
    <row r="937" spans="1:10" ht="20.25">
      <c r="A937" t="s">
        <v>2054</v>
      </c>
      <c r="B937" s="967">
        <v>929414201</v>
      </c>
      <c r="C937" s="968">
        <v>2171.9090000000001</v>
      </c>
      <c r="D937" s="968">
        <v>2171.9090000000001</v>
      </c>
      <c r="E937" s="967">
        <v>0</v>
      </c>
      <c r="F937" s="967">
        <v>304558</v>
      </c>
      <c r="G937" s="1538">
        <v>5242.9843825844855</v>
      </c>
      <c r="H937" s="975">
        <v>5386.3187613310038</v>
      </c>
      <c r="J937" s="125">
        <v>5242.9840000000004</v>
      </c>
    </row>
    <row r="938" spans="1:10" ht="20.25">
      <c r="A938" t="s">
        <v>1594</v>
      </c>
      <c r="B938" s="967">
        <v>140741883</v>
      </c>
      <c r="C938" s="968">
        <v>792.85599999999999</v>
      </c>
      <c r="D938" s="968">
        <v>792.85599999999999</v>
      </c>
      <c r="E938" s="967">
        <v>0</v>
      </c>
      <c r="F938" s="967">
        <v>68897</v>
      </c>
      <c r="G938" s="1538">
        <v>4748.2290400314287</v>
      </c>
      <c r="H938" s="975">
        <v>4918.5671299657397</v>
      </c>
      <c r="J938" s="125">
        <v>4748.2290000000003</v>
      </c>
    </row>
    <row r="939" spans="1:10" ht="20.25">
      <c r="A939" t="s">
        <v>1229</v>
      </c>
      <c r="B939" s="967">
        <v>86516326</v>
      </c>
      <c r="C939" s="968">
        <v>269.613</v>
      </c>
      <c r="D939" s="968">
        <v>269.613</v>
      </c>
      <c r="E939" s="967">
        <v>0</v>
      </c>
      <c r="F939" s="967">
        <v>39620</v>
      </c>
      <c r="G939" s="1538">
        <v>5011.8493680119327</v>
      </c>
      <c r="H939" s="975">
        <v>5154.1618049145782</v>
      </c>
      <c r="J939" s="125">
        <v>5011.8490000000002</v>
      </c>
    </row>
    <row r="940" spans="1:10" ht="20.25">
      <c r="A940" t="s">
        <v>2127</v>
      </c>
      <c r="B940" s="967">
        <v>378133106</v>
      </c>
      <c r="C940" s="968">
        <v>1001.2760000000001</v>
      </c>
      <c r="D940" s="968">
        <v>1001.2760000000001</v>
      </c>
      <c r="E940" s="967">
        <v>0</v>
      </c>
      <c r="F940" s="967">
        <v>136308</v>
      </c>
      <c r="G940" s="1538">
        <v>5236.3461469949052</v>
      </c>
      <c r="H940" s="975">
        <v>5379.477211621871</v>
      </c>
      <c r="J940" s="125">
        <v>5236.3459999999995</v>
      </c>
    </row>
    <row r="941" spans="1:10" ht="20.25">
      <c r="A941" t="s">
        <v>1230</v>
      </c>
      <c r="B941" s="967">
        <v>144164013</v>
      </c>
      <c r="C941" s="968">
        <v>934.745</v>
      </c>
      <c r="D941" s="968">
        <v>934.745</v>
      </c>
      <c r="E941" s="967">
        <v>0</v>
      </c>
      <c r="F941" s="967">
        <v>61176</v>
      </c>
      <c r="G941" s="1538">
        <v>4963.3580284641912</v>
      </c>
      <c r="H941" s="975">
        <v>5106.9756577090402</v>
      </c>
      <c r="J941" s="125">
        <v>4963.357</v>
      </c>
    </row>
    <row r="942" spans="1:10" ht="20.25">
      <c r="A942" t="s">
        <v>1231</v>
      </c>
      <c r="B942" s="967">
        <v>222967460</v>
      </c>
      <c r="C942" s="968">
        <v>687.41200000000003</v>
      </c>
      <c r="D942" s="968">
        <v>687.41200000000003</v>
      </c>
      <c r="E942" s="967">
        <v>0</v>
      </c>
      <c r="F942" s="967">
        <v>61849</v>
      </c>
      <c r="G942" s="1538">
        <v>5312.5216524370062</v>
      </c>
      <c r="H942" s="975">
        <v>5456.1393383410341</v>
      </c>
      <c r="J942" s="125">
        <v>5312.5219999999999</v>
      </c>
    </row>
    <row r="943" spans="1:10" ht="20.25">
      <c r="A943" t="s">
        <v>1232</v>
      </c>
      <c r="B943" s="967">
        <v>1587811008</v>
      </c>
      <c r="C943" s="968">
        <v>445.57300000000004</v>
      </c>
      <c r="D943" s="968">
        <v>445.57300000000004</v>
      </c>
      <c r="E943" s="967">
        <v>0</v>
      </c>
      <c r="F943" s="967">
        <v>0</v>
      </c>
      <c r="G943" s="1538">
        <v>6819.5141841207405</v>
      </c>
      <c r="H943" s="975">
        <v>6797.9281322368761</v>
      </c>
      <c r="J943" s="125">
        <v>6819.5140000000001</v>
      </c>
    </row>
    <row r="944" spans="1:10" ht="20.25">
      <c r="A944" t="s">
        <v>1233</v>
      </c>
      <c r="B944" s="967">
        <v>1786227011</v>
      </c>
      <c r="C944" s="968">
        <v>214.006</v>
      </c>
      <c r="D944" s="968">
        <v>214.006</v>
      </c>
      <c r="E944" s="967">
        <v>0</v>
      </c>
      <c r="F944" s="967">
        <v>28519</v>
      </c>
      <c r="G944" s="1538">
        <v>7985.7701025159558</v>
      </c>
      <c r="H944" s="975">
        <v>8127.1750856519629</v>
      </c>
      <c r="J944" s="125">
        <v>7985.77</v>
      </c>
    </row>
    <row r="945" spans="1:10" ht="20.25">
      <c r="A945" t="s">
        <v>63</v>
      </c>
      <c r="B945" s="967">
        <v>46094185</v>
      </c>
      <c r="C945" s="968">
        <v>216.172</v>
      </c>
      <c r="D945" s="968">
        <v>216.172</v>
      </c>
      <c r="E945" s="967">
        <v>0</v>
      </c>
      <c r="F945" s="967">
        <v>23352</v>
      </c>
      <c r="G945" s="1538">
        <v>4611.9265412470058</v>
      </c>
      <c r="H945" s="975">
        <v>4756.3551606089295</v>
      </c>
      <c r="J945" s="125">
        <v>4611.9269999999997</v>
      </c>
    </row>
    <row r="946" spans="1:10" ht="20.25">
      <c r="A946" t="s">
        <v>1737</v>
      </c>
      <c r="B946" s="967">
        <v>182193737</v>
      </c>
      <c r="C946" s="968">
        <v>464.74200000000002</v>
      </c>
      <c r="D946" s="968">
        <v>464.74200000000002</v>
      </c>
      <c r="E946" s="967">
        <v>0</v>
      </c>
      <c r="F946" s="967">
        <v>23534</v>
      </c>
      <c r="G946" s="1538">
        <v>4711.9913758016428</v>
      </c>
      <c r="H946" s="975">
        <v>4847.2872053760957</v>
      </c>
      <c r="J946" s="125">
        <v>4711.991</v>
      </c>
    </row>
    <row r="947" spans="1:10" ht="20.25">
      <c r="A947" t="s">
        <v>1714</v>
      </c>
      <c r="B947" s="967">
        <v>784461982</v>
      </c>
      <c r="C947" s="968">
        <v>4437.7430000000004</v>
      </c>
      <c r="D947" s="968">
        <v>4437.7430000000004</v>
      </c>
      <c r="E947" s="967">
        <v>0</v>
      </c>
      <c r="F947" s="967">
        <v>0</v>
      </c>
      <c r="G947" s="1538">
        <v>4780.1464458046003</v>
      </c>
      <c r="H947" s="975">
        <v>4859.3693169718081</v>
      </c>
      <c r="J947" s="125">
        <v>4780.1459999999997</v>
      </c>
    </row>
    <row r="948" spans="1:10" ht="20.25">
      <c r="A948" t="s">
        <v>1495</v>
      </c>
      <c r="B948" s="967">
        <v>152645785</v>
      </c>
      <c r="C948" s="968">
        <v>198.67600000000002</v>
      </c>
      <c r="D948" s="968">
        <v>198.67600000000002</v>
      </c>
      <c r="E948" s="967">
        <v>0</v>
      </c>
      <c r="F948" s="967">
        <v>41374</v>
      </c>
      <c r="G948" s="1538">
        <v>5603.9373983468276</v>
      </c>
      <c r="H948" s="975">
        <v>5747.9579330351062</v>
      </c>
      <c r="J948" s="125">
        <v>5603.9369999999999</v>
      </c>
    </row>
    <row r="949" spans="1:10" ht="20.25">
      <c r="A949" t="s">
        <v>530</v>
      </c>
      <c r="B949" s="967">
        <v>1371772353</v>
      </c>
      <c r="C949" s="968">
        <v>9549.66</v>
      </c>
      <c r="D949" s="968">
        <v>9549.66</v>
      </c>
      <c r="E949" s="967">
        <v>0</v>
      </c>
      <c r="F949" s="967">
        <v>629311</v>
      </c>
      <c r="G949" s="1538">
        <v>4470.1496500426601</v>
      </c>
      <c r="H949" s="975">
        <v>4773.7587700457498</v>
      </c>
      <c r="J949" s="125">
        <v>4470.05</v>
      </c>
    </row>
    <row r="950" spans="1:10" ht="20.25">
      <c r="A950" t="s">
        <v>940</v>
      </c>
      <c r="B950" s="967">
        <v>213320991</v>
      </c>
      <c r="C950" s="968">
        <v>194.595</v>
      </c>
      <c r="D950" s="968">
        <v>194.595</v>
      </c>
      <c r="E950" s="967">
        <v>0</v>
      </c>
      <c r="F950" s="967">
        <v>65010</v>
      </c>
      <c r="G950" s="1538">
        <v>6265.9573602960118</v>
      </c>
      <c r="H950" s="975">
        <v>6415.7483885233187</v>
      </c>
      <c r="J950" s="125">
        <v>6271.7240000000002</v>
      </c>
    </row>
    <row r="951" spans="1:10" ht="20.25">
      <c r="A951" t="s">
        <v>943</v>
      </c>
      <c r="B951" s="967">
        <v>576243619</v>
      </c>
      <c r="C951" s="968">
        <v>1891.9060000000002</v>
      </c>
      <c r="D951" s="968">
        <v>1891.9060000000002</v>
      </c>
      <c r="E951" s="967">
        <v>0</v>
      </c>
      <c r="F951" s="967">
        <v>178733</v>
      </c>
      <c r="G951" s="1538">
        <v>4994.8841421572542</v>
      </c>
      <c r="H951" s="975">
        <v>5138.0158029159511</v>
      </c>
      <c r="J951" s="125">
        <v>4994.884</v>
      </c>
    </row>
    <row r="952" spans="1:10" ht="20.25">
      <c r="A952" t="s">
        <v>944</v>
      </c>
      <c r="B952" s="967">
        <v>205618305</v>
      </c>
      <c r="C952" s="968">
        <v>886.3950000000001</v>
      </c>
      <c r="D952" s="968">
        <v>886.3950000000001</v>
      </c>
      <c r="E952" s="967">
        <v>0</v>
      </c>
      <c r="F952" s="967">
        <v>67038</v>
      </c>
      <c r="G952" s="1538">
        <v>4631.1014343045763</v>
      </c>
      <c r="H952" s="975">
        <v>4778.011427316821</v>
      </c>
      <c r="J952" s="125">
        <v>4631.1009999999997</v>
      </c>
    </row>
    <row r="953" spans="1:10" ht="20.25">
      <c r="A953" t="s">
        <v>1726</v>
      </c>
      <c r="B953" s="967">
        <v>215093006</v>
      </c>
      <c r="C953" s="968">
        <v>1051.05</v>
      </c>
      <c r="D953" s="968">
        <v>1051.05</v>
      </c>
      <c r="E953" s="967">
        <v>0</v>
      </c>
      <c r="F953" s="967">
        <v>85451</v>
      </c>
      <c r="G953" s="1538">
        <v>5648.7778219902766</v>
      </c>
      <c r="H953" s="975">
        <v>5792.0868029850008</v>
      </c>
      <c r="J953" s="125">
        <v>5648.7780000000002</v>
      </c>
    </row>
    <row r="954" spans="1:10" ht="20.25">
      <c r="A954" t="s">
        <v>2097</v>
      </c>
      <c r="B954" s="967">
        <v>85289091</v>
      </c>
      <c r="C954" s="968">
        <v>456.21899999999999</v>
      </c>
      <c r="D954" s="968">
        <v>456.21899999999999</v>
      </c>
      <c r="E954" s="967">
        <v>0</v>
      </c>
      <c r="F954" s="967">
        <v>33533</v>
      </c>
      <c r="G954" s="1538">
        <v>4833.2253245826605</v>
      </c>
      <c r="H954" s="975">
        <v>4977.3447787490149</v>
      </c>
      <c r="J954" s="125">
        <v>4833.2250000000004</v>
      </c>
    </row>
    <row r="955" spans="1:10" ht="20.25">
      <c r="A955" t="s">
        <v>945</v>
      </c>
      <c r="B955" s="967">
        <v>578861063</v>
      </c>
      <c r="C955" s="968">
        <v>2166.9499999999998</v>
      </c>
      <c r="D955" s="968">
        <v>2166.9499999999998</v>
      </c>
      <c r="E955" s="967">
        <v>8461</v>
      </c>
      <c r="F955" s="967">
        <v>262846</v>
      </c>
      <c r="G955" s="1538">
        <v>4853.7279638836189</v>
      </c>
      <c r="H955" s="975">
        <v>4996.2743965927848</v>
      </c>
      <c r="J955" s="125">
        <v>4853.7280000000001</v>
      </c>
    </row>
    <row r="956" spans="1:10" ht="20.25">
      <c r="A956" t="s">
        <v>946</v>
      </c>
      <c r="B956" s="967">
        <v>493338403</v>
      </c>
      <c r="C956" s="968">
        <v>2477.9920000000002</v>
      </c>
      <c r="D956" s="968">
        <v>2477.9920000000002</v>
      </c>
      <c r="E956" s="967">
        <v>0</v>
      </c>
      <c r="F956" s="967">
        <v>297622</v>
      </c>
      <c r="G956" s="1538">
        <v>4927.9543791693568</v>
      </c>
      <c r="H956" s="975">
        <v>5071.3182616356553</v>
      </c>
      <c r="J956" s="125">
        <v>4927.9539999999997</v>
      </c>
    </row>
    <row r="957" spans="1:10" ht="20.25">
      <c r="A957" t="s">
        <v>1606</v>
      </c>
      <c r="B957" s="967">
        <v>62797101</v>
      </c>
      <c r="C957" s="968">
        <v>371.214</v>
      </c>
      <c r="D957" s="968">
        <v>371.214</v>
      </c>
      <c r="E957" s="967">
        <v>0</v>
      </c>
      <c r="F957" s="967">
        <v>20198</v>
      </c>
      <c r="G957" s="1538">
        <v>4645.2025343883552</v>
      </c>
      <c r="H957" s="975">
        <v>4788.6657906667597</v>
      </c>
      <c r="J957" s="125">
        <v>4645.2030000000004</v>
      </c>
    </row>
    <row r="958" spans="1:10" ht="20.25">
      <c r="A958" t="s">
        <v>989</v>
      </c>
      <c r="B958" s="967">
        <v>146996139</v>
      </c>
      <c r="C958" s="968">
        <v>804.60599999999999</v>
      </c>
      <c r="D958" s="968">
        <v>804.60599999999999</v>
      </c>
      <c r="E958" s="967">
        <v>0</v>
      </c>
      <c r="F958" s="967">
        <v>101364</v>
      </c>
      <c r="G958" s="1538">
        <v>4887.3752996645844</v>
      </c>
      <c r="H958" s="975">
        <v>5031.0284956332525</v>
      </c>
      <c r="J958" s="125">
        <v>4887.375</v>
      </c>
    </row>
    <row r="959" spans="1:10" ht="20.25">
      <c r="A959" t="s">
        <v>372</v>
      </c>
      <c r="B959" s="967">
        <v>4200974750</v>
      </c>
      <c r="C959" s="968">
        <v>12382.749</v>
      </c>
      <c r="D959" s="968">
        <v>12382.749</v>
      </c>
      <c r="E959" s="967">
        <v>216594</v>
      </c>
      <c r="F959" s="967">
        <v>597510</v>
      </c>
      <c r="G959" s="1538">
        <v>4815.0041323316482</v>
      </c>
      <c r="H959" s="975">
        <v>4958.4121451938945</v>
      </c>
      <c r="J959" s="125">
        <v>4815.0039999999999</v>
      </c>
    </row>
    <row r="960" spans="1:10" ht="20.25">
      <c r="A960" t="s">
        <v>2992</v>
      </c>
      <c r="B960" s="967">
        <v>180467330</v>
      </c>
      <c r="C960" s="968">
        <v>109.06</v>
      </c>
      <c r="D960" s="968">
        <v>109.06</v>
      </c>
      <c r="E960" s="967">
        <v>0</v>
      </c>
      <c r="F960" s="967">
        <v>0</v>
      </c>
      <c r="G960" s="1538">
        <v>5963.9849757351476</v>
      </c>
      <c r="H960" s="975">
        <v>6107.5858553961898</v>
      </c>
      <c r="J960" s="125">
        <v>5963.9849999999997</v>
      </c>
    </row>
    <row r="961" spans="1:10" ht="20.25">
      <c r="A961" t="s">
        <v>1160</v>
      </c>
      <c r="B961" s="967">
        <v>182815417</v>
      </c>
      <c r="C961" s="968">
        <v>836.55000000000007</v>
      </c>
      <c r="D961" s="968">
        <v>836.55000000000007</v>
      </c>
      <c r="E961" s="967">
        <v>0</v>
      </c>
      <c r="F961" s="967">
        <v>88693</v>
      </c>
      <c r="G961" s="1538">
        <v>4862.4725574044151</v>
      </c>
      <c r="H961" s="975">
        <v>5005.5892170888383</v>
      </c>
      <c r="J961" s="125">
        <v>4862.473</v>
      </c>
    </row>
    <row r="962" spans="1:10" ht="20.25">
      <c r="A962" t="s">
        <v>1320</v>
      </c>
      <c r="B962" s="967">
        <v>1652920248</v>
      </c>
      <c r="C962" s="968">
        <v>5700.0020000000004</v>
      </c>
      <c r="D962" s="968">
        <v>5700.0020000000004</v>
      </c>
      <c r="E962" s="967">
        <v>0</v>
      </c>
      <c r="F962" s="967">
        <v>680534</v>
      </c>
      <c r="G962" s="1538">
        <v>4952.8401706018258</v>
      </c>
      <c r="H962" s="975">
        <v>5129.4529636182633</v>
      </c>
      <c r="J962" s="125">
        <v>4952.84</v>
      </c>
    </row>
    <row r="963" spans="1:10" ht="20.25">
      <c r="A963" t="s">
        <v>306</v>
      </c>
      <c r="B963" s="967">
        <v>389472505</v>
      </c>
      <c r="C963" s="968">
        <v>1376.846</v>
      </c>
      <c r="D963" s="968">
        <v>1376.846</v>
      </c>
      <c r="E963" s="967">
        <v>0</v>
      </c>
      <c r="F963" s="967">
        <v>97890</v>
      </c>
      <c r="G963" s="1538">
        <v>4883.3903548342005</v>
      </c>
      <c r="H963" s="975">
        <v>5201.5577801227746</v>
      </c>
      <c r="J963" s="125">
        <v>4883.3900000000003</v>
      </c>
    </row>
    <row r="964" spans="1:10" ht="20.25">
      <c r="A964" t="s">
        <v>307</v>
      </c>
      <c r="B964" s="967">
        <v>1477260558</v>
      </c>
      <c r="C964" s="968">
        <v>5043.5450000000001</v>
      </c>
      <c r="D964" s="968">
        <v>5043.5450000000001</v>
      </c>
      <c r="E964" s="967">
        <v>152288</v>
      </c>
      <c r="F964" s="967">
        <v>905237</v>
      </c>
      <c r="G964" s="1538">
        <v>5277.5063684372135</v>
      </c>
      <c r="H964" s="975">
        <v>5420.1717321076785</v>
      </c>
      <c r="J964" s="125">
        <v>5277.5060000000003</v>
      </c>
    </row>
    <row r="965" spans="1:10" ht="20.25">
      <c r="A965" t="s">
        <v>693</v>
      </c>
      <c r="B965" s="967">
        <v>665184402</v>
      </c>
      <c r="C965" s="968">
        <v>1848.0790000000002</v>
      </c>
      <c r="D965" s="968">
        <v>1848.0790000000002</v>
      </c>
      <c r="E965" s="967">
        <v>192645</v>
      </c>
      <c r="F965" s="967">
        <v>248528</v>
      </c>
      <c r="G965" s="1538">
        <v>5344.4780774670508</v>
      </c>
      <c r="H965" s="975">
        <v>5487.1516953518631</v>
      </c>
      <c r="J965" s="125">
        <v>5344.4780000000001</v>
      </c>
    </row>
    <row r="966" spans="1:10" ht="20.25">
      <c r="A966" t="s">
        <v>694</v>
      </c>
      <c r="B966" s="967">
        <v>1386347448</v>
      </c>
      <c r="C966" s="968">
        <v>1838.912</v>
      </c>
      <c r="D966" s="968">
        <v>1838.912</v>
      </c>
      <c r="E966" s="967">
        <v>0</v>
      </c>
      <c r="F966" s="967">
        <v>102321</v>
      </c>
      <c r="G966" s="1538">
        <v>5834.8095952425156</v>
      </c>
      <c r="H966" s="975">
        <v>5976.4352112153929</v>
      </c>
      <c r="J966" s="125">
        <v>5834.81</v>
      </c>
    </row>
    <row r="967" spans="1:10" ht="20.25">
      <c r="A967" t="s">
        <v>695</v>
      </c>
      <c r="B967" s="967">
        <v>186655620</v>
      </c>
      <c r="C967" s="968">
        <v>111.08500000000001</v>
      </c>
      <c r="D967" s="968">
        <v>111.08500000000001</v>
      </c>
      <c r="E967" s="967">
        <v>0</v>
      </c>
      <c r="F967" s="967">
        <v>11713</v>
      </c>
      <c r="G967" s="1538">
        <v>7005.4196943225998</v>
      </c>
      <c r="H967" s="975">
        <v>7148.8352403600738</v>
      </c>
      <c r="J967" s="125">
        <v>7005.42</v>
      </c>
    </row>
    <row r="968" spans="1:10" ht="20.25">
      <c r="A968" t="s">
        <v>2669</v>
      </c>
      <c r="B968" s="967">
        <v>1994974147</v>
      </c>
      <c r="C968" s="968">
        <v>4498.3559999999998</v>
      </c>
      <c r="D968" s="968">
        <v>4498.3559999999998</v>
      </c>
      <c r="E968" s="967">
        <v>0</v>
      </c>
      <c r="F968" s="967">
        <v>422145</v>
      </c>
      <c r="G968" s="1538">
        <v>5174.7310907247911</v>
      </c>
      <c r="H968" s="975">
        <v>5314.6930417681688</v>
      </c>
      <c r="J968" s="125">
        <v>5174.7309999999998</v>
      </c>
    </row>
    <row r="969" spans="1:10" ht="20.25">
      <c r="A969" t="s">
        <v>2670</v>
      </c>
      <c r="B969" s="967">
        <v>386988624</v>
      </c>
      <c r="C969" s="968">
        <v>321.44900000000001</v>
      </c>
      <c r="D969" s="968">
        <v>321.44900000000001</v>
      </c>
      <c r="E969" s="967">
        <v>45819</v>
      </c>
      <c r="F969" s="967">
        <v>58771</v>
      </c>
      <c r="G969" s="1538">
        <v>5933.3230638189916</v>
      </c>
      <c r="H969" s="975">
        <v>6076.0571393369255</v>
      </c>
      <c r="J969" s="125">
        <v>5933.3230000000003</v>
      </c>
    </row>
    <row r="970" spans="1:10" ht="20.25">
      <c r="A970" t="s">
        <v>1987</v>
      </c>
      <c r="B970" s="967">
        <v>2092198474</v>
      </c>
      <c r="C970" s="968">
        <v>22346.454000000002</v>
      </c>
      <c r="D970" s="968">
        <v>22346.454000000002</v>
      </c>
      <c r="E970" s="967">
        <v>155340</v>
      </c>
      <c r="F970" s="967">
        <v>277583</v>
      </c>
      <c r="G970" s="1538">
        <v>4862.9058439613209</v>
      </c>
      <c r="H970" s="975">
        <v>5006.9730080321087</v>
      </c>
      <c r="J970" s="125">
        <v>4862.9059999999999</v>
      </c>
    </row>
    <row r="971" spans="1:10" ht="20.25">
      <c r="A971" t="s">
        <v>1713</v>
      </c>
      <c r="B971" s="967">
        <v>9530679485</v>
      </c>
      <c r="C971" s="968">
        <v>37810.817999999999</v>
      </c>
      <c r="D971" s="968">
        <v>37810.817999999999</v>
      </c>
      <c r="E971" s="967">
        <v>822433</v>
      </c>
      <c r="F971" s="967">
        <v>2407163</v>
      </c>
      <c r="G971" s="1538">
        <v>4974.0145832379039</v>
      </c>
      <c r="H971" s="975">
        <v>5117.3180497791436</v>
      </c>
      <c r="J971" s="125">
        <v>4974.0150000000003</v>
      </c>
    </row>
    <row r="972" spans="1:10" ht="20.25">
      <c r="A972" t="s">
        <v>1043</v>
      </c>
      <c r="B972" s="967">
        <v>1678556680</v>
      </c>
      <c r="C972" s="968">
        <v>310.59500000000003</v>
      </c>
      <c r="D972" s="968">
        <v>310.59500000000003</v>
      </c>
      <c r="E972" s="967">
        <v>0</v>
      </c>
      <c r="F972" s="967">
        <v>80646</v>
      </c>
      <c r="G972" s="1538">
        <v>10908.149347740238</v>
      </c>
      <c r="H972" s="975">
        <v>11052.879429988019</v>
      </c>
      <c r="J972" s="125">
        <v>10908.148999999999</v>
      </c>
    </row>
    <row r="973" spans="1:10" ht="20.25">
      <c r="A973" t="s">
        <v>1044</v>
      </c>
      <c r="B973" s="967">
        <v>193361344</v>
      </c>
      <c r="C973" s="968">
        <v>919.04500000000007</v>
      </c>
      <c r="D973" s="968">
        <v>919.04500000000007</v>
      </c>
      <c r="E973" s="967">
        <v>0</v>
      </c>
      <c r="F973" s="967">
        <v>144718</v>
      </c>
      <c r="G973" s="1538">
        <v>5107.5555958528339</v>
      </c>
      <c r="H973" s="975">
        <v>5250.2607894907233</v>
      </c>
      <c r="J973" s="125">
        <v>5107.5559999999996</v>
      </c>
    </row>
    <row r="974" spans="1:10" ht="20.25">
      <c r="A974" t="s">
        <v>1045</v>
      </c>
      <c r="B974" s="967">
        <v>283725003</v>
      </c>
      <c r="C974" s="968">
        <v>914.68500000000006</v>
      </c>
      <c r="D974" s="968">
        <v>914.68500000000006</v>
      </c>
      <c r="E974" s="967">
        <v>0</v>
      </c>
      <c r="F974" s="967">
        <v>100750</v>
      </c>
      <c r="G974" s="1538">
        <v>5000.3084802845706</v>
      </c>
      <c r="H974" s="975">
        <v>5143.5249260860901</v>
      </c>
      <c r="J974" s="125">
        <v>5000.308</v>
      </c>
    </row>
    <row r="975" spans="1:10" ht="20.25">
      <c r="A975" t="s">
        <v>624</v>
      </c>
      <c r="B975" s="967">
        <v>1092345792</v>
      </c>
      <c r="C975" s="968">
        <v>3226.6510000000003</v>
      </c>
      <c r="D975" s="968">
        <v>3226.6510000000003</v>
      </c>
      <c r="E975" s="967">
        <v>0</v>
      </c>
      <c r="F975" s="967">
        <v>308699</v>
      </c>
      <c r="G975" s="1538">
        <v>5506.399370024953</v>
      </c>
      <c r="H975" s="975">
        <v>5650.0150983675012</v>
      </c>
      <c r="J975" s="125">
        <v>5506.3990000000003</v>
      </c>
    </row>
    <row r="976" spans="1:10" ht="20.25">
      <c r="A976" t="s">
        <v>1014</v>
      </c>
      <c r="B976" s="967">
        <v>816273262</v>
      </c>
      <c r="C976" s="968">
        <v>2027.9480000000001</v>
      </c>
      <c r="D976" s="968">
        <v>2027.9480000000001</v>
      </c>
      <c r="E976" s="967">
        <v>1140</v>
      </c>
      <c r="F976" s="967">
        <v>162022</v>
      </c>
      <c r="G976" s="1538">
        <v>5041.6532739088543</v>
      </c>
      <c r="H976" s="975">
        <v>5185.2914631220438</v>
      </c>
      <c r="J976" s="125">
        <v>5041.6530000000002</v>
      </c>
    </row>
    <row r="977" spans="1:10" ht="20.25">
      <c r="A977" t="s">
        <v>1015</v>
      </c>
      <c r="B977" s="967">
        <v>170298691</v>
      </c>
      <c r="C977" s="968">
        <v>468.37600000000003</v>
      </c>
      <c r="D977" s="968">
        <v>468.37600000000003</v>
      </c>
      <c r="E977" s="967">
        <v>0</v>
      </c>
      <c r="F977" s="967">
        <v>51259</v>
      </c>
      <c r="G977" s="1538">
        <v>4863.6629509737713</v>
      </c>
      <c r="H977" s="975">
        <v>5007.4579457594555</v>
      </c>
      <c r="J977" s="125">
        <v>4863.6629999999996</v>
      </c>
    </row>
    <row r="978" spans="1:10" ht="20.25">
      <c r="A978" t="s">
        <v>1016</v>
      </c>
      <c r="B978" s="967">
        <v>161250351</v>
      </c>
      <c r="C978" s="968">
        <v>290.51300000000003</v>
      </c>
      <c r="D978" s="968">
        <v>290.51300000000003</v>
      </c>
      <c r="E978" s="967">
        <v>0</v>
      </c>
      <c r="F978" s="967">
        <v>31824</v>
      </c>
      <c r="G978" s="1538">
        <v>5135.446701488253</v>
      </c>
      <c r="H978" s="975">
        <v>5279.8053659769612</v>
      </c>
      <c r="J978" s="125">
        <v>5135.4470000000001</v>
      </c>
    </row>
    <row r="979" spans="1:10" ht="20.25">
      <c r="A979" t="s">
        <v>1017</v>
      </c>
      <c r="B979" s="967">
        <v>250749773</v>
      </c>
      <c r="C979" s="968">
        <v>371.44900000000001</v>
      </c>
      <c r="D979" s="968">
        <v>371.44900000000001</v>
      </c>
      <c r="E979" s="967">
        <v>0</v>
      </c>
      <c r="F979" s="967">
        <v>20482</v>
      </c>
      <c r="G979" s="1538">
        <v>5959.0606083950588</v>
      </c>
      <c r="H979" s="975">
        <v>6101.8955132145056</v>
      </c>
      <c r="J979" s="125">
        <v>5959.0609999999997</v>
      </c>
    </row>
    <row r="980" spans="1:10" ht="20.25">
      <c r="A980" t="s">
        <v>1940</v>
      </c>
      <c r="B980" s="967">
        <v>609787141</v>
      </c>
      <c r="C980" s="968">
        <v>134.83600000000001</v>
      </c>
      <c r="D980" s="968">
        <v>134.83600000000001</v>
      </c>
      <c r="E980" s="967">
        <v>0</v>
      </c>
      <c r="F980" s="967">
        <v>0</v>
      </c>
      <c r="G980" s="1538">
        <v>9536.4237226782971</v>
      </c>
      <c r="H980" s="975">
        <v>9677.9336848690673</v>
      </c>
      <c r="J980" s="125">
        <v>9536.4240000000009</v>
      </c>
    </row>
    <row r="981" spans="1:10" ht="20.25">
      <c r="A981" t="s">
        <v>2648</v>
      </c>
      <c r="B981" s="967">
        <v>1631691410</v>
      </c>
      <c r="C981" s="968">
        <v>133.58500000000001</v>
      </c>
      <c r="D981" s="968">
        <v>133.58500000000001</v>
      </c>
      <c r="E981" s="967">
        <v>0</v>
      </c>
      <c r="F981" s="967">
        <v>44774</v>
      </c>
      <c r="G981" s="1538">
        <v>8694.5430830795285</v>
      </c>
      <c r="H981" s="975">
        <v>8837.538026610946</v>
      </c>
      <c r="J981" s="125">
        <v>8694.5429999999997</v>
      </c>
    </row>
    <row r="982" spans="1:10" ht="20.25">
      <c r="A982" t="s">
        <v>996</v>
      </c>
      <c r="B982" s="967">
        <v>699145769</v>
      </c>
      <c r="C982" s="968">
        <v>3232.4210000000003</v>
      </c>
      <c r="D982" s="968">
        <v>3232.4210000000003</v>
      </c>
      <c r="E982" s="967">
        <v>0</v>
      </c>
      <c r="F982" s="967">
        <v>170073</v>
      </c>
      <c r="G982" s="1538">
        <v>4915.6439992048699</v>
      </c>
      <c r="H982" s="975">
        <v>5059.4568189281736</v>
      </c>
      <c r="J982" s="125">
        <v>4915.3720000000003</v>
      </c>
    </row>
    <row r="983" spans="1:10" ht="20.25">
      <c r="A983" t="s">
        <v>1424</v>
      </c>
      <c r="B983" s="967">
        <v>232499923</v>
      </c>
      <c r="C983" s="968">
        <v>482.03000000000003</v>
      </c>
      <c r="D983" s="968">
        <v>482.03000000000003</v>
      </c>
      <c r="E983" s="967">
        <v>0</v>
      </c>
      <c r="F983" s="967">
        <v>20750</v>
      </c>
      <c r="G983" s="1538">
        <v>5429.1906824288826</v>
      </c>
      <c r="H983" s="975">
        <v>5573.3318083497879</v>
      </c>
      <c r="J983" s="125">
        <v>5429.1909999999998</v>
      </c>
    </row>
    <row r="984" spans="1:10" ht="20.25">
      <c r="A984" t="s">
        <v>714</v>
      </c>
      <c r="B984" s="967">
        <v>509270651</v>
      </c>
      <c r="C984" s="968">
        <v>1648.942</v>
      </c>
      <c r="D984" s="968">
        <v>1648.942</v>
      </c>
      <c r="E984" s="967">
        <v>0</v>
      </c>
      <c r="F984" s="967">
        <v>135141</v>
      </c>
      <c r="G984" s="1538">
        <v>4916.7533643562265</v>
      </c>
      <c r="H984" s="975">
        <v>5058.9487508219318</v>
      </c>
      <c r="J984" s="125">
        <v>4916.7529999999997</v>
      </c>
    </row>
    <row r="985" spans="1:10" ht="20.25">
      <c r="A985" t="s">
        <v>2088</v>
      </c>
      <c r="B985" s="967">
        <v>4027248999</v>
      </c>
      <c r="C985" s="968">
        <v>13444.061</v>
      </c>
      <c r="D985" s="968">
        <v>13444.061</v>
      </c>
      <c r="E985" s="967">
        <v>0</v>
      </c>
      <c r="F985" s="967">
        <v>556238</v>
      </c>
      <c r="G985" s="1538">
        <v>4886.6640788539471</v>
      </c>
      <c r="H985" s="975">
        <v>5038.7472540985891</v>
      </c>
      <c r="J985" s="125">
        <v>4895.13</v>
      </c>
    </row>
    <row r="986" spans="1:10" ht="20.25">
      <c r="A986" t="s">
        <v>626</v>
      </c>
      <c r="B986" s="967">
        <v>173356858</v>
      </c>
      <c r="C986" s="968">
        <v>877.52300000000002</v>
      </c>
      <c r="D986" s="968">
        <v>877.52300000000002</v>
      </c>
      <c r="E986" s="967">
        <v>0</v>
      </c>
      <c r="F986" s="967">
        <v>17050</v>
      </c>
      <c r="G986" s="1538">
        <v>4677.4871354096022</v>
      </c>
      <c r="H986" s="975">
        <v>4829.5420399324094</v>
      </c>
      <c r="J986" s="125">
        <v>4677.4870000000001</v>
      </c>
    </row>
    <row r="987" spans="1:10" ht="20.25">
      <c r="A987" t="s">
        <v>1534</v>
      </c>
      <c r="B987" s="967">
        <v>51478338</v>
      </c>
      <c r="C987" s="968">
        <v>93.957999999999998</v>
      </c>
      <c r="D987" s="968">
        <v>93.957999999999998</v>
      </c>
      <c r="E987" s="967">
        <v>0</v>
      </c>
      <c r="F987" s="967">
        <v>4778</v>
      </c>
      <c r="G987" s="1538">
        <v>5876.9968329858048</v>
      </c>
      <c r="H987" s="975">
        <v>6020.8217002861729</v>
      </c>
      <c r="J987" s="125">
        <v>5876.9970000000003</v>
      </c>
    </row>
    <row r="988" spans="1:10" ht="20.25">
      <c r="A988" t="s">
        <v>9</v>
      </c>
      <c r="B988" s="967">
        <v>826525441</v>
      </c>
      <c r="C988" s="968">
        <v>2114.8890000000001</v>
      </c>
      <c r="D988" s="968">
        <v>2114.8890000000001</v>
      </c>
      <c r="E988" s="967">
        <v>0</v>
      </c>
      <c r="F988" s="967">
        <v>125929</v>
      </c>
      <c r="G988" s="1538">
        <v>5385.9129791189589</v>
      </c>
      <c r="H988" s="975">
        <v>5529.7407217401797</v>
      </c>
      <c r="J988" s="125">
        <v>5385.5889999999999</v>
      </c>
    </row>
    <row r="989" spans="1:10" ht="20.25">
      <c r="A989" t="s">
        <v>10</v>
      </c>
      <c r="B989" s="967">
        <v>25920851</v>
      </c>
      <c r="C989" s="968">
        <v>181.49</v>
      </c>
      <c r="D989" s="968">
        <v>181.49</v>
      </c>
      <c r="E989" s="967">
        <v>0</v>
      </c>
      <c r="F989" s="967">
        <v>6826</v>
      </c>
      <c r="G989" s="1538">
        <v>4785.6257038665744</v>
      </c>
      <c r="H989" s="975">
        <v>4927.6155941995967</v>
      </c>
      <c r="J989" s="125">
        <v>4785.6260000000002</v>
      </c>
    </row>
    <row r="990" spans="1:10" ht="20.25">
      <c r="A990" t="s">
        <v>1695</v>
      </c>
      <c r="B990" s="967">
        <v>45719824</v>
      </c>
      <c r="C990" s="968">
        <v>419.12100000000004</v>
      </c>
      <c r="D990" s="968">
        <v>419.12100000000004</v>
      </c>
      <c r="E990" s="967">
        <v>0</v>
      </c>
      <c r="F990" s="967">
        <v>19379</v>
      </c>
      <c r="G990" s="1538">
        <v>5249.791678964586</v>
      </c>
      <c r="H990" s="975">
        <v>5391.8138449394246</v>
      </c>
      <c r="J990" s="125">
        <v>5249.7920000000004</v>
      </c>
    </row>
    <row r="991" spans="1:10" ht="20.25">
      <c r="A991" t="s">
        <v>2387</v>
      </c>
      <c r="B991" s="967">
        <v>206442462</v>
      </c>
      <c r="C991" s="968">
        <v>1437.1580000000001</v>
      </c>
      <c r="D991" s="968">
        <v>1437.1580000000001</v>
      </c>
      <c r="E991" s="967">
        <v>0</v>
      </c>
      <c r="F991" s="967">
        <v>147594</v>
      </c>
      <c r="G991" s="1538">
        <v>4757.20470824523</v>
      </c>
      <c r="H991" s="975">
        <v>5023.0327617118392</v>
      </c>
      <c r="J991" s="125">
        <v>4757.2049999999999</v>
      </c>
    </row>
    <row r="992" spans="1:10" ht="20.25">
      <c r="A992" t="s">
        <v>465</v>
      </c>
      <c r="B992" s="967">
        <v>425447911</v>
      </c>
      <c r="C992" s="968">
        <v>2028.7</v>
      </c>
      <c r="D992" s="968">
        <v>2028.7</v>
      </c>
      <c r="E992" s="967">
        <v>0</v>
      </c>
      <c r="F992" s="967">
        <v>64083</v>
      </c>
      <c r="G992" s="1538">
        <v>4940.5278454395384</v>
      </c>
      <c r="H992" s="975">
        <v>5084.7787434033999</v>
      </c>
      <c r="J992" s="125">
        <v>4940.5280000000002</v>
      </c>
    </row>
    <row r="993" spans="1:10" ht="20.25">
      <c r="A993" t="s">
        <v>308</v>
      </c>
      <c r="B993" s="967">
        <v>61001459</v>
      </c>
      <c r="C993" s="968">
        <v>264.858</v>
      </c>
      <c r="D993" s="968">
        <v>264.858</v>
      </c>
      <c r="E993" s="967">
        <v>0</v>
      </c>
      <c r="F993" s="967">
        <v>35553</v>
      </c>
      <c r="G993" s="1538">
        <v>4655.1577436443813</v>
      </c>
      <c r="H993" s="975">
        <v>5028.720187176903</v>
      </c>
      <c r="J993" s="125">
        <v>4655.1580000000004</v>
      </c>
    </row>
    <row r="994" spans="1:10" ht="20.25">
      <c r="A994" t="s">
        <v>1514</v>
      </c>
      <c r="B994" s="967">
        <v>256505984</v>
      </c>
      <c r="C994" s="968">
        <v>946.41600000000005</v>
      </c>
      <c r="D994" s="968">
        <v>946.41600000000005</v>
      </c>
      <c r="E994" s="967">
        <v>0</v>
      </c>
      <c r="F994" s="967">
        <v>97092</v>
      </c>
      <c r="G994" s="1538">
        <v>5254.8287575181521</v>
      </c>
      <c r="H994" s="975">
        <v>5399.337233507159</v>
      </c>
      <c r="J994" s="125">
        <v>5254.8289999999997</v>
      </c>
    </row>
    <row r="995" spans="1:10" ht="20.25">
      <c r="A995" t="s">
        <v>2975</v>
      </c>
      <c r="B995" s="967">
        <v>5207106251</v>
      </c>
      <c r="C995" s="968">
        <v>9740.5490000000009</v>
      </c>
      <c r="D995" s="968">
        <v>9740.5490000000009</v>
      </c>
      <c r="E995" s="967">
        <v>5185</v>
      </c>
      <c r="F995" s="967">
        <v>1101797</v>
      </c>
      <c r="G995" s="1538">
        <v>6010.0115072207618</v>
      </c>
      <c r="H995" s="975">
        <v>6152.1158176339313</v>
      </c>
      <c r="J995" s="125">
        <v>6008.8739999999998</v>
      </c>
    </row>
    <row r="996" spans="1:10" ht="20.25">
      <c r="A996" t="s">
        <v>2038</v>
      </c>
      <c r="B996" s="967">
        <v>99831989</v>
      </c>
      <c r="C996" s="968">
        <v>400.471</v>
      </c>
      <c r="D996" s="968">
        <v>400.471</v>
      </c>
      <c r="E996" s="967">
        <v>0</v>
      </c>
      <c r="F996" s="967">
        <v>44158</v>
      </c>
      <c r="G996" s="1538">
        <v>4839.4075628298424</v>
      </c>
      <c r="H996" s="975">
        <v>4983.9568852185157</v>
      </c>
      <c r="J996" s="125">
        <v>4839.4080000000004</v>
      </c>
    </row>
    <row r="997" spans="1:10" ht="20.25">
      <c r="A997" t="s">
        <v>47</v>
      </c>
      <c r="B997" s="967">
        <v>1352777190</v>
      </c>
      <c r="C997" s="968">
        <v>4802.91</v>
      </c>
      <c r="D997" s="968">
        <v>4802.91</v>
      </c>
      <c r="E997" s="967">
        <v>39253</v>
      </c>
      <c r="F997" s="967">
        <v>394325</v>
      </c>
      <c r="G997" s="1538">
        <v>5362.9366967907808</v>
      </c>
      <c r="H997" s="975">
        <v>5505.3101944463879</v>
      </c>
      <c r="J997" s="125">
        <v>5362.9369999999999</v>
      </c>
    </row>
    <row r="998" spans="1:10" ht="20.25">
      <c r="A998" t="s">
        <v>11</v>
      </c>
      <c r="B998" s="967">
        <v>624588586</v>
      </c>
      <c r="C998" s="968">
        <v>854.28800000000001</v>
      </c>
      <c r="D998" s="968">
        <v>854.28800000000001</v>
      </c>
      <c r="E998" s="967">
        <v>0</v>
      </c>
      <c r="F998" s="967">
        <v>92476</v>
      </c>
      <c r="G998" s="1538">
        <v>6499.2050465715738</v>
      </c>
      <c r="H998" s="975">
        <v>6641.9195877027487</v>
      </c>
      <c r="J998" s="125">
        <v>6499.2049999999999</v>
      </c>
    </row>
    <row r="999" spans="1:10" ht="20.25">
      <c r="A999" t="s">
        <v>1990</v>
      </c>
      <c r="B999" s="967">
        <v>949458586</v>
      </c>
      <c r="C999" s="968">
        <v>2444.7490000000003</v>
      </c>
      <c r="D999" s="968">
        <v>2444.7490000000003</v>
      </c>
      <c r="E999" s="967">
        <v>0</v>
      </c>
      <c r="F999" s="967">
        <v>311850</v>
      </c>
      <c r="G999" s="1538">
        <v>5316.0594845895703</v>
      </c>
      <c r="H999" s="975">
        <v>5460.7013127296223</v>
      </c>
      <c r="J999" s="125">
        <v>5316.0590000000002</v>
      </c>
    </row>
    <row r="1000" spans="1:10" ht="20.25">
      <c r="A1000" t="s">
        <v>1485</v>
      </c>
      <c r="B1000" s="967">
        <v>20539563354</v>
      </c>
      <c r="C1000" s="968">
        <v>40436.468000000001</v>
      </c>
      <c r="D1000" s="968">
        <v>40436.468000000001</v>
      </c>
      <c r="E1000" s="967">
        <v>207676</v>
      </c>
      <c r="F1000" s="967">
        <v>1939999</v>
      </c>
      <c r="G1000" s="1538">
        <v>5842.800871623841</v>
      </c>
      <c r="H1000" s="975">
        <v>5985.7118548599519</v>
      </c>
      <c r="J1000" s="125">
        <v>5842.8010000000004</v>
      </c>
    </row>
    <row r="1001" spans="1:10" ht="20.25">
      <c r="A1001" t="s">
        <v>1738</v>
      </c>
      <c r="B1001" s="967">
        <v>776897124</v>
      </c>
      <c r="C1001" s="968">
        <v>2898.4180000000001</v>
      </c>
      <c r="D1001" s="968">
        <v>2898.4180000000001</v>
      </c>
      <c r="E1001" s="967">
        <v>0</v>
      </c>
      <c r="F1001" s="967">
        <v>181651</v>
      </c>
      <c r="G1001" s="1538">
        <v>4881.0394959298992</v>
      </c>
      <c r="H1001" s="975">
        <v>5004.666631251629</v>
      </c>
      <c r="J1001" s="125">
        <v>4880.5559999999996</v>
      </c>
    </row>
    <row r="1002" spans="1:10" ht="20.25">
      <c r="A1002" t="s">
        <v>1708</v>
      </c>
      <c r="B1002" s="967">
        <v>152197952</v>
      </c>
      <c r="C1002" s="968">
        <v>611.27499999999998</v>
      </c>
      <c r="D1002" s="968">
        <v>611.27499999999998</v>
      </c>
      <c r="E1002" s="967">
        <v>0</v>
      </c>
      <c r="F1002" s="967">
        <v>77205</v>
      </c>
      <c r="G1002" s="1538">
        <v>4862.6165441438252</v>
      </c>
      <c r="H1002" s="975">
        <v>5058.8261314252914</v>
      </c>
      <c r="J1002" s="125">
        <v>4862.6170000000002</v>
      </c>
    </row>
    <row r="1003" spans="1:10" ht="20.25">
      <c r="A1003" t="s">
        <v>1988</v>
      </c>
      <c r="B1003" s="967">
        <v>12709333780</v>
      </c>
      <c r="C1003" s="968">
        <v>28788.454000000002</v>
      </c>
      <c r="D1003" s="968">
        <v>28788.454000000002</v>
      </c>
      <c r="E1003" s="967">
        <v>639952</v>
      </c>
      <c r="F1003" s="967">
        <v>1974996</v>
      </c>
      <c r="G1003" s="1538">
        <v>5812.915359520578</v>
      </c>
      <c r="H1003" s="975">
        <v>5954.9783286641141</v>
      </c>
      <c r="J1003" s="125">
        <v>5812.9560000000001</v>
      </c>
    </row>
    <row r="1004" spans="1:10" ht="20.25">
      <c r="A1004" t="s">
        <v>12</v>
      </c>
      <c r="B1004" s="967">
        <v>53857873</v>
      </c>
      <c r="C1004" s="968">
        <v>133.18600000000001</v>
      </c>
      <c r="D1004" s="968">
        <v>133.18600000000001</v>
      </c>
      <c r="E1004" s="967">
        <v>0</v>
      </c>
      <c r="F1004" s="967">
        <v>18847</v>
      </c>
      <c r="G1004" s="1538">
        <v>5230.1669744536775</v>
      </c>
      <c r="H1004" s="975">
        <v>5374.3242983282998</v>
      </c>
      <c r="J1004" s="125">
        <v>5230.1670000000004</v>
      </c>
    </row>
    <row r="1005" spans="1:10" ht="20.25">
      <c r="A1005" t="s">
        <v>2814</v>
      </c>
      <c r="B1005" s="967">
        <v>833258969</v>
      </c>
      <c r="C1005" s="968">
        <v>3522.0880000000002</v>
      </c>
      <c r="D1005" s="968">
        <v>3522.0880000000002</v>
      </c>
      <c r="E1005" s="967">
        <v>145902</v>
      </c>
      <c r="F1005" s="967">
        <v>838388</v>
      </c>
      <c r="G1005" s="1538">
        <v>5092.4038952700166</v>
      </c>
      <c r="H1005" s="975">
        <v>5330.4134243588187</v>
      </c>
      <c r="J1005" s="125">
        <v>5092.4040000000005</v>
      </c>
    </row>
    <row r="1006" spans="1:10" ht="20.25">
      <c r="A1006" t="s">
        <v>66</v>
      </c>
      <c r="B1006" s="967">
        <v>670020580</v>
      </c>
      <c r="C1006" s="968">
        <v>2825.3220000000001</v>
      </c>
      <c r="D1006" s="968">
        <v>2825.3220000000001</v>
      </c>
      <c r="E1006" s="967">
        <v>177668</v>
      </c>
      <c r="F1006" s="967">
        <v>433991</v>
      </c>
      <c r="G1006" s="1538">
        <v>4991.6316041450518</v>
      </c>
      <c r="H1006" s="975">
        <v>5134.915388469557</v>
      </c>
      <c r="J1006" s="125">
        <v>4991.6319999999996</v>
      </c>
    </row>
    <row r="1007" spans="1:10" ht="20.25">
      <c r="A1007" t="s">
        <v>2815</v>
      </c>
      <c r="B1007" s="967">
        <v>141283681</v>
      </c>
      <c r="C1007" s="968">
        <v>763.57</v>
      </c>
      <c r="D1007" s="968">
        <v>763.57</v>
      </c>
      <c r="E1007" s="967">
        <v>0</v>
      </c>
      <c r="F1007" s="967">
        <v>71621</v>
      </c>
      <c r="G1007" s="1538">
        <v>4796.3730345639678</v>
      </c>
      <c r="H1007" s="975">
        <v>5075.468414189153</v>
      </c>
      <c r="J1007" s="125">
        <v>4795.3220000000001</v>
      </c>
    </row>
    <row r="1008" spans="1:10" ht="20.25">
      <c r="A1008" t="s">
        <v>1705</v>
      </c>
      <c r="B1008" s="967">
        <v>138689119</v>
      </c>
      <c r="C1008" s="968">
        <v>732.28700000000003</v>
      </c>
      <c r="D1008" s="968">
        <v>732.28700000000003</v>
      </c>
      <c r="E1008" s="967">
        <v>52090</v>
      </c>
      <c r="F1008" s="967">
        <v>0</v>
      </c>
      <c r="G1008" s="1538">
        <v>4934.8629379942886</v>
      </c>
      <c r="H1008" s="975">
        <v>5078.3336651950312</v>
      </c>
      <c r="J1008" s="125">
        <v>4934.8630000000003</v>
      </c>
    </row>
    <row r="1009" spans="1:10" ht="20.25">
      <c r="A1009" t="s">
        <v>1339</v>
      </c>
      <c r="B1009" s="967">
        <v>1021157298</v>
      </c>
      <c r="C1009" s="968">
        <v>1152.8500000000001</v>
      </c>
      <c r="D1009" s="968">
        <v>1152.8500000000001</v>
      </c>
      <c r="E1009" s="967">
        <v>138704</v>
      </c>
      <c r="F1009" s="967">
        <v>15849</v>
      </c>
      <c r="G1009" s="1538">
        <v>5949.9418875195797</v>
      </c>
      <c r="H1009" s="975">
        <v>6093.6685771706152</v>
      </c>
      <c r="J1009" s="125">
        <v>5949.942</v>
      </c>
    </row>
    <row r="1010" spans="1:10" ht="20.25">
      <c r="A1010" t="s">
        <v>1340</v>
      </c>
      <c r="B1010" s="967">
        <v>1476405733</v>
      </c>
      <c r="C1010" s="968">
        <v>290.06400000000002</v>
      </c>
      <c r="D1010" s="968">
        <v>290.06400000000002</v>
      </c>
      <c r="E1010" s="967">
        <v>0</v>
      </c>
      <c r="F1010" s="967">
        <v>26496</v>
      </c>
      <c r="G1010" s="1538">
        <v>12399.928355950911</v>
      </c>
      <c r="H1010" s="975">
        <v>12544.06617244621</v>
      </c>
      <c r="J1010" s="125">
        <v>12399.928</v>
      </c>
    </row>
    <row r="1011" spans="1:10" ht="20.25">
      <c r="A1011" t="s">
        <v>224</v>
      </c>
      <c r="B1011" s="967">
        <v>253628848</v>
      </c>
      <c r="C1011" s="968">
        <v>690.053</v>
      </c>
      <c r="D1011" s="968">
        <v>690.053</v>
      </c>
      <c r="E1011" s="967">
        <v>37670</v>
      </c>
      <c r="F1011" s="967">
        <v>61291</v>
      </c>
      <c r="G1011" s="1538">
        <v>5142.1718895970889</v>
      </c>
      <c r="H1011" s="975">
        <v>5285.7731844894633</v>
      </c>
      <c r="J1011" s="125">
        <v>5142.1719999999996</v>
      </c>
    </row>
    <row r="1012" spans="1:10" ht="20.25">
      <c r="A1012" t="s">
        <v>904</v>
      </c>
      <c r="B1012" s="967">
        <v>703613029</v>
      </c>
      <c r="C1012" s="968">
        <v>962.84400000000005</v>
      </c>
      <c r="D1012" s="968">
        <v>962.84400000000005</v>
      </c>
      <c r="E1012" s="967">
        <v>0</v>
      </c>
      <c r="F1012" s="967">
        <v>101750</v>
      </c>
      <c r="G1012" s="1538">
        <v>6222.0455619907107</v>
      </c>
      <c r="H1012" s="975">
        <v>6365.5659429681336</v>
      </c>
      <c r="J1012" s="125">
        <v>6222.0460000000003</v>
      </c>
    </row>
    <row r="1013" spans="1:10" ht="20.25">
      <c r="A1013" t="s">
        <v>2491</v>
      </c>
      <c r="B1013" s="967">
        <v>1220391031</v>
      </c>
      <c r="C1013" s="968">
        <v>2114.078</v>
      </c>
      <c r="D1013" s="968">
        <v>2114.078</v>
      </c>
      <c r="E1013" s="967">
        <v>0</v>
      </c>
      <c r="F1013" s="967">
        <v>151108</v>
      </c>
      <c r="G1013" s="1538">
        <v>5454.8305385165868</v>
      </c>
      <c r="H1013" s="975">
        <v>5597.411968328016</v>
      </c>
      <c r="J1013" s="125">
        <v>5454.8310000000001</v>
      </c>
    </row>
    <row r="1014" spans="1:10" ht="20.25">
      <c r="A1014" t="s">
        <v>2780</v>
      </c>
      <c r="B1014" s="967">
        <v>508020116</v>
      </c>
      <c r="C1014" s="968">
        <v>569.14400000000001</v>
      </c>
      <c r="D1014" s="968">
        <v>569.14400000000001</v>
      </c>
      <c r="E1014" s="967">
        <v>0</v>
      </c>
      <c r="F1014" s="967">
        <v>61827</v>
      </c>
      <c r="G1014" s="1538">
        <v>6109.9130404125763</v>
      </c>
      <c r="H1014" s="975">
        <v>6254.2115346501951</v>
      </c>
      <c r="J1014" s="125">
        <v>6109.9129999999996</v>
      </c>
    </row>
    <row r="1015" spans="1:10" ht="20.25">
      <c r="A1015" t="s">
        <v>2781</v>
      </c>
      <c r="B1015" s="967">
        <v>1991499538</v>
      </c>
      <c r="C1015" s="968">
        <v>2802.7670000000003</v>
      </c>
      <c r="D1015" s="968">
        <v>2802.7670000000003</v>
      </c>
      <c r="E1015" s="967">
        <v>0</v>
      </c>
      <c r="F1015" s="967">
        <v>306019</v>
      </c>
      <c r="G1015" s="1538">
        <v>6339.5626073738686</v>
      </c>
      <c r="H1015" s="975">
        <v>6480.7676666689185</v>
      </c>
      <c r="J1015" s="125">
        <v>6339.5630000000001</v>
      </c>
    </row>
    <row r="1016" spans="1:10" ht="20.25">
      <c r="A1016" t="s">
        <v>2302</v>
      </c>
      <c r="B1016" s="967">
        <v>309267654</v>
      </c>
      <c r="C1016" s="968">
        <v>979.51200000000006</v>
      </c>
      <c r="D1016" s="968">
        <v>979.51200000000006</v>
      </c>
      <c r="E1016" s="967">
        <v>0</v>
      </c>
      <c r="F1016" s="967">
        <v>78997</v>
      </c>
      <c r="G1016" s="1538">
        <v>6019.6472051333667</v>
      </c>
      <c r="H1016" s="975">
        <v>6162.3004309361258</v>
      </c>
      <c r="J1016" s="125">
        <v>6019.6469999999999</v>
      </c>
    </row>
    <row r="1017" spans="1:10" ht="20.25">
      <c r="A1017" t="s">
        <v>1314</v>
      </c>
      <c r="B1017" s="967">
        <v>191548301</v>
      </c>
      <c r="C1017" s="968">
        <v>221.57300000000001</v>
      </c>
      <c r="D1017" s="968">
        <v>221.57300000000001</v>
      </c>
      <c r="E1017" s="967">
        <v>0</v>
      </c>
      <c r="F1017" s="967">
        <v>63756</v>
      </c>
      <c r="G1017" s="1538">
        <v>5946.9373332908262</v>
      </c>
      <c r="H1017" s="975">
        <v>6092.7978243953485</v>
      </c>
      <c r="J1017" s="125">
        <v>5946.9369999999999</v>
      </c>
    </row>
    <row r="1018" spans="1:10" ht="20.25">
      <c r="A1018" t="s">
        <v>2548</v>
      </c>
      <c r="B1018" s="967">
        <v>745740579</v>
      </c>
      <c r="C1018" s="968">
        <v>693.81000000000006</v>
      </c>
      <c r="D1018" s="968">
        <v>693.81000000000006</v>
      </c>
      <c r="E1018" s="967">
        <v>0</v>
      </c>
      <c r="F1018" s="967">
        <v>75874</v>
      </c>
      <c r="G1018" s="1538">
        <v>5521.1843905444457</v>
      </c>
      <c r="H1018" s="975">
        <v>5665.3452502387063</v>
      </c>
      <c r="J1018" s="125">
        <v>5521.1840000000002</v>
      </c>
    </row>
    <row r="1019" spans="1:10" ht="20.25">
      <c r="A1019" t="s">
        <v>2549</v>
      </c>
      <c r="B1019" s="967">
        <v>449964308</v>
      </c>
      <c r="C1019" s="968">
        <v>1490.182</v>
      </c>
      <c r="D1019" s="968">
        <v>1490.182</v>
      </c>
      <c r="E1019" s="967">
        <v>0</v>
      </c>
      <c r="F1019" s="967">
        <v>81405</v>
      </c>
      <c r="G1019" s="1538">
        <v>4956.0743930816516</v>
      </c>
      <c r="H1019" s="975">
        <v>5099.2165489560412</v>
      </c>
      <c r="J1019" s="125">
        <v>4956.0739999999996</v>
      </c>
    </row>
    <row r="1020" spans="1:10" ht="20.25">
      <c r="A1020" t="s">
        <v>2970</v>
      </c>
      <c r="B1020" s="967">
        <v>438379175</v>
      </c>
      <c r="C1020" s="968">
        <v>1048.194</v>
      </c>
      <c r="D1020" s="968">
        <v>1048.194</v>
      </c>
      <c r="E1020" s="967">
        <v>0</v>
      </c>
      <c r="F1020" s="967">
        <v>331602</v>
      </c>
      <c r="G1020" s="1538">
        <v>5416.8597722561944</v>
      </c>
      <c r="H1020" s="975">
        <v>5562.9259948329527</v>
      </c>
      <c r="J1020" s="125">
        <v>5416.86</v>
      </c>
    </row>
    <row r="1021" spans="1:10" ht="20.25">
      <c r="A1021" t="s">
        <v>2971</v>
      </c>
      <c r="B1021" s="967">
        <v>254633271</v>
      </c>
      <c r="C1021" s="968">
        <v>351.68200000000002</v>
      </c>
      <c r="D1021" s="968">
        <v>351.68200000000002</v>
      </c>
      <c r="E1021" s="967">
        <v>0</v>
      </c>
      <c r="F1021" s="967">
        <v>37715</v>
      </c>
      <c r="G1021" s="1538">
        <v>5830.5645400865851</v>
      </c>
      <c r="H1021" s="975">
        <v>5974.0160948072225</v>
      </c>
      <c r="J1021" s="125">
        <v>5830.5649999999996</v>
      </c>
    </row>
    <row r="1022" spans="1:10" ht="20.25">
      <c r="A1022" t="s">
        <v>705</v>
      </c>
      <c r="B1022" s="967">
        <v>218445130</v>
      </c>
      <c r="C1022" s="968">
        <v>799.24099999999999</v>
      </c>
      <c r="D1022" s="968">
        <v>799.24099999999999</v>
      </c>
      <c r="E1022" s="967">
        <v>0</v>
      </c>
      <c r="F1022" s="967">
        <v>62452</v>
      </c>
      <c r="G1022" s="1538">
        <v>4884.2169018561099</v>
      </c>
      <c r="H1022" s="975">
        <v>5027.1504838198553</v>
      </c>
      <c r="J1022" s="125">
        <v>4884.2169999999996</v>
      </c>
    </row>
    <row r="1023" spans="1:10" ht="20.25">
      <c r="A1023" t="s">
        <v>777</v>
      </c>
      <c r="B1023" s="967">
        <v>397267237</v>
      </c>
      <c r="C1023" s="968">
        <v>1310.4760000000001</v>
      </c>
      <c r="D1023" s="968">
        <v>1310.4760000000001</v>
      </c>
      <c r="E1023" s="967">
        <v>0</v>
      </c>
      <c r="F1023" s="967">
        <v>101930</v>
      </c>
      <c r="G1023" s="1538">
        <v>5000.788953527549</v>
      </c>
      <c r="H1023" s="975">
        <v>5144.3508184941502</v>
      </c>
      <c r="J1023" s="125">
        <v>5000.7879999999996</v>
      </c>
    </row>
    <row r="1024" spans="1:10" ht="20.25">
      <c r="A1024" t="s">
        <v>778</v>
      </c>
      <c r="B1024" s="967">
        <v>3266073100</v>
      </c>
      <c r="C1024" s="968">
        <v>1362.395</v>
      </c>
      <c r="D1024" s="968">
        <v>1362.395</v>
      </c>
      <c r="E1024" s="967">
        <v>0</v>
      </c>
      <c r="F1024" s="967">
        <v>72682</v>
      </c>
      <c r="G1024" s="1538">
        <v>7919.4753446881823</v>
      </c>
      <c r="H1024" s="975">
        <v>8063.2449194817373</v>
      </c>
      <c r="J1024" s="125">
        <v>7919.4750000000004</v>
      </c>
    </row>
    <row r="1025" spans="1:10" ht="20.25">
      <c r="A1025" t="s">
        <v>1660</v>
      </c>
      <c r="B1025" s="967">
        <v>1072952860</v>
      </c>
      <c r="C1025" s="968">
        <v>449.125</v>
      </c>
      <c r="D1025" s="968">
        <v>449.125</v>
      </c>
      <c r="E1025" s="967">
        <v>0</v>
      </c>
      <c r="F1025" s="967">
        <v>73422</v>
      </c>
      <c r="G1025" s="1538">
        <v>6185.1162241012944</v>
      </c>
      <c r="H1025" s="975">
        <v>6327.7597049023834</v>
      </c>
      <c r="J1025" s="125">
        <v>6185.116</v>
      </c>
    </row>
    <row r="1026" spans="1:10" ht="20.25">
      <c r="A1026" t="s">
        <v>1020</v>
      </c>
      <c r="B1026" s="967">
        <v>632345265</v>
      </c>
      <c r="C1026" s="968">
        <v>2349.752</v>
      </c>
      <c r="D1026" s="968">
        <v>2349.752</v>
      </c>
      <c r="E1026" s="967">
        <v>0</v>
      </c>
      <c r="F1026" s="967">
        <v>180158</v>
      </c>
      <c r="G1026" s="1538">
        <v>4915.1723100872259</v>
      </c>
      <c r="H1026" s="975">
        <v>5057.9905244857473</v>
      </c>
      <c r="J1026" s="125">
        <v>4914.5789999999997</v>
      </c>
    </row>
    <row r="1027" spans="1:10" ht="20.25">
      <c r="A1027" t="s">
        <v>1661</v>
      </c>
      <c r="B1027" s="967">
        <v>51508468</v>
      </c>
      <c r="C1027" s="968">
        <v>171.529</v>
      </c>
      <c r="D1027" s="968">
        <v>171.529</v>
      </c>
      <c r="E1027" s="967">
        <v>0</v>
      </c>
      <c r="F1027" s="967">
        <v>24794</v>
      </c>
      <c r="G1027" s="1538">
        <v>4944.5584742807896</v>
      </c>
      <c r="H1027" s="975">
        <v>5087.6269335999159</v>
      </c>
      <c r="J1027" s="125">
        <v>4944.558</v>
      </c>
    </row>
    <row r="1028" spans="1:10" ht="20.25">
      <c r="A1028" t="s">
        <v>1696</v>
      </c>
      <c r="B1028" s="967">
        <v>179437647</v>
      </c>
      <c r="C1028" s="968">
        <v>716.38400000000001</v>
      </c>
      <c r="D1028" s="968">
        <v>716.38400000000001</v>
      </c>
      <c r="E1028" s="967">
        <v>0</v>
      </c>
      <c r="F1028" s="967">
        <v>25321</v>
      </c>
      <c r="G1028" s="1538">
        <v>4801.6973442917661</v>
      </c>
      <c r="H1028" s="975">
        <v>4945.5722332212963</v>
      </c>
      <c r="J1028" s="125">
        <v>4801.6970000000001</v>
      </c>
    </row>
    <row r="1029" spans="1:10" ht="20.25">
      <c r="A1029" t="s">
        <v>556</v>
      </c>
      <c r="B1029" s="967">
        <v>3438582875</v>
      </c>
      <c r="C1029" s="968">
        <v>3162.6090000000004</v>
      </c>
      <c r="D1029" s="968">
        <v>3162.6090000000004</v>
      </c>
      <c r="E1029" s="967">
        <v>26805</v>
      </c>
      <c r="F1029" s="967">
        <v>296884</v>
      </c>
      <c r="G1029" s="1538">
        <v>6967.6924934809267</v>
      </c>
      <c r="H1029" s="975">
        <v>7110.0634556166679</v>
      </c>
      <c r="J1029" s="125">
        <v>6967.692</v>
      </c>
    </row>
    <row r="1030" spans="1:10" ht="20.25">
      <c r="A1030" t="s">
        <v>2760</v>
      </c>
      <c r="B1030" s="967">
        <v>221746964</v>
      </c>
      <c r="C1030" s="968">
        <v>1700.1610000000001</v>
      </c>
      <c r="D1030" s="968">
        <v>1700.1610000000001</v>
      </c>
      <c r="E1030" s="967">
        <v>0</v>
      </c>
      <c r="F1030" s="967">
        <v>79950</v>
      </c>
      <c r="G1030" s="1538">
        <v>4885.9781375857892</v>
      </c>
      <c r="H1030" s="975">
        <v>5030.4907154908806</v>
      </c>
      <c r="J1030" s="125">
        <v>4885.9780000000001</v>
      </c>
    </row>
    <row r="1031" spans="1:10" ht="20.25">
      <c r="A1031" t="s">
        <v>1901</v>
      </c>
      <c r="B1031" s="967">
        <v>39600232</v>
      </c>
      <c r="C1031" s="968">
        <v>456.404</v>
      </c>
      <c r="D1031" s="968">
        <v>456.404</v>
      </c>
      <c r="E1031" s="967">
        <v>0</v>
      </c>
      <c r="F1031" s="967">
        <v>0</v>
      </c>
      <c r="G1031" s="1538">
        <v>4678.5379629450126</v>
      </c>
      <c r="H1031" s="975">
        <v>4998.4521707846961</v>
      </c>
      <c r="J1031" s="125">
        <v>4678.5379999999996</v>
      </c>
    </row>
  </sheetData>
  <phoneticPr fontId="25" type="noConversion"/>
  <pageMargins left="0.7" right="0.7" top="0.75" bottom="0.75" header="0.3" footer="0.3"/>
  <pageSetup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0"/>
  <sheetViews>
    <sheetView workbookViewId="0"/>
  </sheetViews>
  <sheetFormatPr defaultRowHeight="12.75"/>
  <sheetData>
    <row r="1" spans="1:1">
      <c r="A1" s="47" t="s">
        <v>1853</v>
      </c>
    </row>
    <row r="27" spans="1:1">
      <c r="A27" s="47" t="s">
        <v>1854</v>
      </c>
    </row>
    <row r="53" spans="1:1">
      <c r="A53" s="47" t="s">
        <v>2026</v>
      </c>
    </row>
    <row r="80" spans="1:1">
      <c r="A80" s="47" t="s">
        <v>2152</v>
      </c>
    </row>
  </sheetData>
  <sheetProtection sheet="1"/>
  <phoneticPr fontId="25" type="noConversion"/>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1"/>
  <sheetViews>
    <sheetView workbookViewId="0">
      <selection activeCell="AJ5" sqref="AJ5"/>
    </sheetView>
  </sheetViews>
  <sheetFormatPr defaultRowHeight="12.75"/>
  <cols>
    <col min="2" max="2" width="49.7109375" customWidth="1"/>
    <col min="3" max="3" width="17.7109375" style="180" hidden="1" customWidth="1"/>
    <col min="4" max="4" width="2.7109375" style="180" hidden="1" customWidth="1"/>
    <col min="5" max="5" width="17.7109375" style="180" hidden="1" customWidth="1"/>
    <col min="6" max="6" width="2.7109375" style="180" hidden="1" customWidth="1"/>
    <col min="7" max="7" width="17.7109375" style="180" hidden="1" customWidth="1"/>
    <col min="8" max="8" width="2.7109375" style="180" hidden="1" customWidth="1"/>
    <col min="9" max="9" width="17.7109375" style="180" hidden="1" customWidth="1"/>
    <col min="10" max="10" width="2.7109375" style="180" hidden="1" customWidth="1"/>
    <col min="11" max="11" width="17.7109375" style="180" hidden="1" customWidth="1"/>
    <col min="12" max="12" width="2.7109375" style="180" hidden="1" customWidth="1"/>
    <col min="13" max="13" width="17.7109375" style="180" hidden="1" customWidth="1"/>
    <col min="14" max="14" width="2.7109375" style="180" hidden="1" customWidth="1"/>
    <col min="15" max="15" width="17.7109375" style="180" hidden="1" customWidth="1"/>
    <col min="16" max="16" width="2.7109375" style="180" hidden="1" customWidth="1"/>
    <col min="17" max="17" width="17.7109375" style="180" hidden="1" customWidth="1"/>
    <col min="18" max="18" width="2.7109375" hidden="1" customWidth="1"/>
    <col min="19" max="19" width="17.7109375" hidden="1" customWidth="1"/>
    <col min="20" max="20" width="2.7109375" style="180" hidden="1" customWidth="1"/>
    <col min="21" max="21" width="17.7109375" hidden="1" customWidth="1"/>
    <col min="22" max="22" width="2.7109375" style="180" hidden="1" customWidth="1"/>
    <col min="23" max="23" width="17.7109375" hidden="1" customWidth="1"/>
    <col min="24" max="24" width="2.7109375" hidden="1" customWidth="1"/>
    <col min="25" max="25" width="17.7109375" hidden="1" customWidth="1"/>
    <col min="26" max="26" width="13.5703125" hidden="1" customWidth="1"/>
    <col min="27" max="27" width="2.7109375" hidden="1" customWidth="1"/>
    <col min="28" max="28" width="19.7109375" hidden="1" customWidth="1"/>
    <col min="29" max="29" width="2.7109375" hidden="1" customWidth="1"/>
    <col min="30" max="30" width="17.7109375" hidden="1" customWidth="1"/>
    <col min="31" max="31" width="2.7109375" hidden="1" customWidth="1"/>
    <col min="32" max="32" width="13.5703125" hidden="1" customWidth="1"/>
    <col min="33" max="33" width="2.7109375" hidden="1" customWidth="1"/>
    <col min="34" max="35" width="13.85546875" hidden="1" customWidth="1"/>
    <col min="36" max="36" width="15.7109375" customWidth="1"/>
    <col min="37" max="37" width="2.7109375" customWidth="1"/>
    <col min="38" max="38" width="15.7109375" customWidth="1"/>
    <col min="39" max="39" width="2.7109375" customWidth="1"/>
    <col min="40" max="40" width="15.7109375" customWidth="1"/>
    <col min="41" max="41" width="2.7109375" customWidth="1"/>
    <col min="42" max="42" width="15.7109375" customWidth="1"/>
    <col min="43" max="43" width="5.7109375" customWidth="1"/>
    <col min="44" max="44" width="15.7109375" customWidth="1"/>
    <col min="45" max="45" width="2.7109375" customWidth="1"/>
    <col min="46" max="46" width="15.7109375" customWidth="1"/>
    <col min="47" max="47" width="2.7109375" customWidth="1"/>
    <col min="48" max="48" width="15.7109375" customWidth="1"/>
    <col min="49" max="49" width="2.7109375" customWidth="1"/>
    <col min="50" max="50" width="15.7109375" customWidth="1"/>
    <col min="51" max="51" width="5.7109375" customWidth="1"/>
    <col min="52" max="52" width="15.7109375" style="172" customWidth="1"/>
    <col min="53" max="53" width="2.7109375" style="172" customWidth="1"/>
    <col min="54" max="54" width="15.7109375" style="172" customWidth="1"/>
    <col min="55" max="55" width="2.7109375" style="172" customWidth="1"/>
    <col min="56" max="56" width="15.7109375" style="172" customWidth="1"/>
    <col min="57" max="57" width="2.7109375" style="172" customWidth="1"/>
    <col min="58" max="58" width="15.7109375" style="172" customWidth="1"/>
    <col min="59" max="59" width="5.7109375" style="172" customWidth="1"/>
    <col min="60" max="60" width="15.7109375" style="618" customWidth="1"/>
    <col min="61" max="61" width="2.7109375" style="618" customWidth="1"/>
    <col min="62" max="62" width="15.7109375" style="618" customWidth="1"/>
    <col min="63" max="63" width="2.7109375" style="618" customWidth="1"/>
    <col min="64" max="64" width="15.7109375" style="618" customWidth="1"/>
    <col min="65" max="65" width="2.7109375" style="618" customWidth="1"/>
    <col min="66" max="66" width="15.7109375" style="618" customWidth="1"/>
    <col min="67" max="67" width="5.7109375" style="618" customWidth="1"/>
    <col min="68" max="68" width="15.7109375" style="636" customWidth="1"/>
    <col min="69" max="69" width="2.7109375" style="636" customWidth="1"/>
    <col min="70" max="70" width="15.7109375" style="636" customWidth="1"/>
    <col min="71" max="71" width="2.7109375" style="636" customWidth="1"/>
    <col min="72" max="72" width="15.7109375" style="636" customWidth="1"/>
    <col min="73" max="73" width="2.7109375" style="636" customWidth="1"/>
    <col min="74" max="74" width="15.7109375" style="636" customWidth="1"/>
    <col min="75" max="75" width="13.5703125" customWidth="1"/>
    <col min="76" max="78" width="13.5703125" hidden="1" customWidth="1"/>
    <col min="79" max="79" width="13.5703125" customWidth="1"/>
    <col min="80" max="80" width="14" customWidth="1"/>
    <col min="82" max="82" width="12.7109375" hidden="1" customWidth="1"/>
    <col min="83" max="83" width="3" hidden="1" customWidth="1"/>
    <col min="84" max="84" width="12.7109375" hidden="1" customWidth="1"/>
    <col min="86" max="86" width="16.7109375" customWidth="1"/>
    <col min="88" max="88" width="16.5703125" customWidth="1"/>
    <col min="90" max="90" width="10.85546875" bestFit="1" customWidth="1"/>
    <col min="92" max="92" width="16.7109375" customWidth="1"/>
    <col min="94" max="94" width="16.7109375" customWidth="1"/>
    <col min="96" max="96" width="10.7109375" bestFit="1" customWidth="1"/>
    <col min="98" max="98" width="16.7109375" customWidth="1"/>
    <col min="100" max="100" width="16.7109375" customWidth="1"/>
    <col min="101" max="102" width="14.42578125" customWidth="1"/>
    <col min="104" max="104" width="16.7109375" style="172" customWidth="1"/>
    <col min="105" max="105" width="9.140625" style="172" customWidth="1"/>
    <col min="106" max="106" width="16.7109375" style="172" customWidth="1"/>
    <col min="108" max="108" width="14.85546875" customWidth="1"/>
    <col min="109" max="109" width="8.42578125" customWidth="1"/>
    <col min="110" max="110" width="16.7109375" style="618" customWidth="1"/>
    <col min="111" max="111" width="9.140625" style="618" customWidth="1"/>
    <col min="112" max="112" width="16.7109375" style="618" customWidth="1"/>
    <col min="113" max="113" width="9.140625" style="618" customWidth="1"/>
    <col min="114" max="114" width="14.85546875" style="618" customWidth="1"/>
    <col min="115" max="115" width="8" style="618" customWidth="1"/>
    <col min="116" max="116" width="16.7109375" style="636" customWidth="1"/>
    <col min="117" max="117" width="9.140625" style="636" customWidth="1"/>
    <col min="118" max="118" width="16.7109375" style="636" customWidth="1"/>
    <col min="119" max="119" width="9.140625" style="636" customWidth="1"/>
    <col min="120" max="120" width="14.85546875" style="636" customWidth="1"/>
  </cols>
  <sheetData>
    <row r="1" spans="1:98">
      <c r="A1" s="293" t="s">
        <v>2049</v>
      </c>
      <c r="B1" s="130"/>
      <c r="Y1" s="98"/>
    </row>
    <row r="2" spans="1:98">
      <c r="A2" s="306" t="s">
        <v>1324</v>
      </c>
      <c r="B2" s="131"/>
      <c r="Y2" s="159" t="str">
        <f>GrossRecap!M1</f>
        <v>HB 1</v>
      </c>
    </row>
    <row r="3" spans="1:98">
      <c r="Y3" s="98" t="e">
        <f>GrossRecap!M2</f>
        <v>#REF!</v>
      </c>
      <c r="AZ3"/>
      <c r="BA3"/>
      <c r="BB3"/>
      <c r="BC3"/>
      <c r="BD3"/>
      <c r="BE3"/>
      <c r="BF3"/>
      <c r="BG3"/>
      <c r="BH3"/>
      <c r="BI3"/>
      <c r="BJ3"/>
      <c r="BK3"/>
      <c r="BL3"/>
      <c r="BM3"/>
      <c r="BN3"/>
      <c r="BO3"/>
      <c r="BP3"/>
      <c r="BQ3"/>
      <c r="BR3"/>
      <c r="BS3"/>
      <c r="BT3"/>
      <c r="BU3"/>
      <c r="BV3"/>
    </row>
    <row r="4" spans="1:98">
      <c r="Y4" s="82" t="e">
        <f>GrossRecap!M3</f>
        <v>#REF!</v>
      </c>
      <c r="AZ4"/>
      <c r="BA4"/>
      <c r="BB4"/>
      <c r="BC4"/>
      <c r="BD4"/>
      <c r="BE4"/>
      <c r="BF4"/>
      <c r="BG4"/>
      <c r="BH4"/>
      <c r="BI4"/>
      <c r="BJ4"/>
      <c r="BK4"/>
      <c r="BL4"/>
      <c r="BM4"/>
      <c r="BN4"/>
      <c r="BO4"/>
      <c r="BP4"/>
      <c r="BQ4"/>
      <c r="BR4"/>
      <c r="BS4"/>
      <c r="BT4"/>
      <c r="BU4"/>
      <c r="BV4"/>
    </row>
    <row r="5" spans="1:98">
      <c r="AZ5" s="172">
        <v>8184</v>
      </c>
      <c r="BH5" s="618">
        <v>8628</v>
      </c>
    </row>
    <row r="6" spans="1:98">
      <c r="B6" s="35"/>
      <c r="C6" s="190" t="s">
        <v>2514</v>
      </c>
      <c r="D6" s="190"/>
      <c r="E6" s="190" t="s">
        <v>2514</v>
      </c>
      <c r="F6" s="190"/>
      <c r="G6" s="190" t="s">
        <v>2514</v>
      </c>
      <c r="H6" s="190"/>
      <c r="I6" s="190" t="s">
        <v>2514</v>
      </c>
      <c r="J6" s="190"/>
      <c r="K6" s="325" t="s">
        <v>2514</v>
      </c>
      <c r="L6" s="325"/>
      <c r="M6" s="325" t="s">
        <v>2514</v>
      </c>
      <c r="N6" s="325"/>
      <c r="O6" s="325" t="s">
        <v>2514</v>
      </c>
      <c r="P6" s="325"/>
      <c r="Q6" s="325" t="s">
        <v>2514</v>
      </c>
      <c r="S6" s="190" t="s">
        <v>2514</v>
      </c>
      <c r="T6" s="190"/>
      <c r="U6" s="190" t="s">
        <v>2514</v>
      </c>
      <c r="V6" s="190"/>
      <c r="W6" s="190" t="s">
        <v>2514</v>
      </c>
      <c r="X6" s="190"/>
      <c r="Y6" s="190" t="s">
        <v>2514</v>
      </c>
      <c r="AJ6" s="461" t="s">
        <v>1009</v>
      </c>
      <c r="AK6" s="461"/>
      <c r="AL6" s="461" t="s">
        <v>1009</v>
      </c>
      <c r="AM6" s="461"/>
      <c r="AN6" s="461" t="s">
        <v>1009</v>
      </c>
      <c r="AO6" s="461"/>
      <c r="AP6" s="461" t="s">
        <v>1009</v>
      </c>
      <c r="AQ6" s="461"/>
      <c r="AR6" s="536" t="s">
        <v>1009</v>
      </c>
      <c r="AS6" s="536"/>
      <c r="AT6" s="536" t="s">
        <v>1009</v>
      </c>
      <c r="AU6" s="536"/>
      <c r="AV6" s="536" t="s">
        <v>1009</v>
      </c>
      <c r="AW6" s="536"/>
      <c r="AX6" s="536" t="s">
        <v>1009</v>
      </c>
      <c r="AY6" s="536"/>
      <c r="AZ6" s="600" t="s">
        <v>1009</v>
      </c>
      <c r="BA6" s="600"/>
      <c r="BB6" s="600" t="s">
        <v>1009</v>
      </c>
      <c r="BC6" s="600"/>
      <c r="BD6" s="600" t="s">
        <v>1009</v>
      </c>
      <c r="BE6" s="600"/>
      <c r="BF6" s="600" t="s">
        <v>1009</v>
      </c>
      <c r="BG6" s="600"/>
      <c r="BH6" s="619" t="s">
        <v>1009</v>
      </c>
      <c r="BI6" s="619"/>
      <c r="BJ6" s="619" t="s">
        <v>1009</v>
      </c>
      <c r="BK6" s="619"/>
      <c r="BL6" s="619" t="s">
        <v>1009</v>
      </c>
      <c r="BM6" s="619"/>
      <c r="BN6" s="619" t="s">
        <v>1009</v>
      </c>
      <c r="BO6" s="619"/>
      <c r="BP6" s="637" t="s">
        <v>1009</v>
      </c>
      <c r="BQ6" s="637"/>
      <c r="BR6" s="637" t="s">
        <v>1009</v>
      </c>
      <c r="BS6" s="637"/>
      <c r="BT6" s="637" t="s">
        <v>1009</v>
      </c>
      <c r="BU6" s="637"/>
      <c r="BV6" s="637" t="s">
        <v>1009</v>
      </c>
    </row>
    <row r="7" spans="1:98">
      <c r="B7" s="35"/>
      <c r="C7" s="190" t="s">
        <v>1345</v>
      </c>
      <c r="D7" s="190"/>
      <c r="E7" s="190" t="s">
        <v>1345</v>
      </c>
      <c r="F7" s="190"/>
      <c r="G7" s="190" t="s">
        <v>1345</v>
      </c>
      <c r="H7" s="190"/>
      <c r="I7" s="190" t="s">
        <v>1345</v>
      </c>
      <c r="J7" s="190"/>
      <c r="K7" s="325" t="s">
        <v>2939</v>
      </c>
      <c r="L7" s="325"/>
      <c r="M7" s="325" t="s">
        <v>2939</v>
      </c>
      <c r="N7" s="325"/>
      <c r="O7" s="325" t="s">
        <v>2939</v>
      </c>
      <c r="P7" s="325"/>
      <c r="Q7" s="325" t="s">
        <v>2939</v>
      </c>
      <c r="S7" s="190" t="s">
        <v>2939</v>
      </c>
      <c r="T7" s="190"/>
      <c r="U7" s="190" t="s">
        <v>2939</v>
      </c>
      <c r="V7" s="190"/>
      <c r="W7" s="190" t="s">
        <v>2939</v>
      </c>
      <c r="X7" s="190"/>
      <c r="Y7" s="190" t="s">
        <v>2939</v>
      </c>
      <c r="AJ7" s="461" t="s">
        <v>1059</v>
      </c>
      <c r="AK7" s="461"/>
      <c r="AL7" s="461" t="s">
        <v>1059</v>
      </c>
      <c r="AM7" s="461"/>
      <c r="AN7" s="461" t="s">
        <v>1059</v>
      </c>
      <c r="AO7" s="461"/>
      <c r="AP7" s="461" t="s">
        <v>1059</v>
      </c>
      <c r="AQ7" s="461"/>
      <c r="AR7" s="536" t="s">
        <v>2516</v>
      </c>
      <c r="AS7" s="536"/>
      <c r="AT7" s="536" t="s">
        <v>2516</v>
      </c>
      <c r="AU7" s="536"/>
      <c r="AV7" s="536" t="s">
        <v>2516</v>
      </c>
      <c r="AW7" s="536"/>
      <c r="AX7" s="536" t="s">
        <v>2516</v>
      </c>
      <c r="AY7" s="536"/>
      <c r="AZ7" s="600" t="s">
        <v>195</v>
      </c>
      <c r="BA7" s="600"/>
      <c r="BB7" s="600" t="s">
        <v>195</v>
      </c>
      <c r="BC7" s="600"/>
      <c r="BD7" s="600" t="s">
        <v>195</v>
      </c>
      <c r="BE7" s="600"/>
      <c r="BF7" s="600" t="s">
        <v>195</v>
      </c>
      <c r="BG7" s="600"/>
      <c r="BH7" s="619" t="s">
        <v>196</v>
      </c>
      <c r="BI7" s="619"/>
      <c r="BJ7" s="619" t="s">
        <v>196</v>
      </c>
      <c r="BK7" s="619"/>
      <c r="BL7" s="619" t="s">
        <v>196</v>
      </c>
      <c r="BM7" s="619"/>
      <c r="BN7" s="619" t="s">
        <v>196</v>
      </c>
      <c r="BO7" s="619"/>
      <c r="BP7" s="637" t="s">
        <v>197</v>
      </c>
      <c r="BQ7" s="637"/>
      <c r="BR7" s="637" t="s">
        <v>197</v>
      </c>
      <c r="BS7" s="637"/>
      <c r="BT7" s="637" t="s">
        <v>197</v>
      </c>
      <c r="BU7" s="637"/>
      <c r="BV7" s="637" t="s">
        <v>197</v>
      </c>
      <c r="CT7" s="47" t="s">
        <v>1021</v>
      </c>
    </row>
    <row r="8" spans="1:98">
      <c r="C8" s="190" t="s">
        <v>2944</v>
      </c>
      <c r="D8" s="190"/>
      <c r="E8" s="190" t="s">
        <v>215</v>
      </c>
      <c r="F8" s="190"/>
      <c r="G8" s="190" t="s">
        <v>2944</v>
      </c>
      <c r="H8" s="190"/>
      <c r="I8" s="190" t="s">
        <v>215</v>
      </c>
      <c r="J8" s="190"/>
      <c r="K8" s="325" t="s">
        <v>2944</v>
      </c>
      <c r="L8" s="325"/>
      <c r="M8" s="325" t="s">
        <v>215</v>
      </c>
      <c r="N8" s="325"/>
      <c r="O8" s="325" t="s">
        <v>2944</v>
      </c>
      <c r="P8" s="325"/>
      <c r="Q8" s="325" t="s">
        <v>215</v>
      </c>
      <c r="S8" s="190" t="s">
        <v>2944</v>
      </c>
      <c r="T8" s="190"/>
      <c r="U8" s="190" t="s">
        <v>215</v>
      </c>
      <c r="V8" s="190"/>
      <c r="W8" s="190" t="s">
        <v>2944</v>
      </c>
      <c r="X8" s="190"/>
      <c r="Y8" s="190" t="s">
        <v>215</v>
      </c>
      <c r="AJ8" s="461" t="s">
        <v>2944</v>
      </c>
      <c r="AK8" s="461"/>
      <c r="AL8" s="461" t="s">
        <v>215</v>
      </c>
      <c r="AM8" s="461"/>
      <c r="AN8" s="461" t="s">
        <v>2944</v>
      </c>
      <c r="AO8" s="461"/>
      <c r="AP8" s="461" t="s">
        <v>215</v>
      </c>
      <c r="AQ8" s="461"/>
      <c r="AR8" s="536" t="s">
        <v>2944</v>
      </c>
      <c r="AS8" s="536"/>
      <c r="AT8" s="536" t="s">
        <v>215</v>
      </c>
      <c r="AU8" s="536"/>
      <c r="AV8" s="536" t="s">
        <v>2944</v>
      </c>
      <c r="AW8" s="536"/>
      <c r="AX8" s="536" t="s">
        <v>215</v>
      </c>
      <c r="AY8" s="536"/>
      <c r="AZ8" s="600" t="s">
        <v>2944</v>
      </c>
      <c r="BA8" s="600"/>
      <c r="BB8" s="600" t="s">
        <v>215</v>
      </c>
      <c r="BC8" s="600"/>
      <c r="BD8" s="600" t="s">
        <v>2944</v>
      </c>
      <c r="BE8" s="600"/>
      <c r="BF8" s="600" t="s">
        <v>215</v>
      </c>
      <c r="BG8" s="600"/>
      <c r="BH8" s="619" t="s">
        <v>2944</v>
      </c>
      <c r="BI8" s="619"/>
      <c r="BJ8" s="619" t="s">
        <v>215</v>
      </c>
      <c r="BK8" s="619"/>
      <c r="BL8" s="619" t="s">
        <v>2944</v>
      </c>
      <c r="BM8" s="619"/>
      <c r="BN8" s="619" t="s">
        <v>215</v>
      </c>
      <c r="BO8" s="619"/>
      <c r="BP8" s="637" t="s">
        <v>2944</v>
      </c>
      <c r="BQ8" s="637"/>
      <c r="BR8" s="637" t="s">
        <v>215</v>
      </c>
      <c r="BS8" s="637"/>
      <c r="BT8" s="637" t="s">
        <v>2944</v>
      </c>
      <c r="BU8" s="637"/>
      <c r="BV8" s="637" t="s">
        <v>215</v>
      </c>
      <c r="CT8" s="47" t="s">
        <v>1022</v>
      </c>
    </row>
    <row r="9" spans="1:98">
      <c r="C9" s="199" t="s">
        <v>1917</v>
      </c>
      <c r="D9" s="199"/>
      <c r="E9" s="199" t="s">
        <v>1917</v>
      </c>
      <c r="F9" s="199"/>
      <c r="G9" s="199" t="s">
        <v>2778</v>
      </c>
      <c r="H9" s="199"/>
      <c r="I9" s="199" t="s">
        <v>2778</v>
      </c>
      <c r="J9" s="199"/>
      <c r="K9" s="353" t="s">
        <v>1090</v>
      </c>
      <c r="L9" s="353"/>
      <c r="M9" s="353" t="s">
        <v>1090</v>
      </c>
      <c r="N9" s="353"/>
      <c r="O9" s="353" t="s">
        <v>2778</v>
      </c>
      <c r="P9" s="353"/>
      <c r="Q9" s="353" t="s">
        <v>2778</v>
      </c>
      <c r="S9" s="199" t="s">
        <v>1090</v>
      </c>
      <c r="T9" s="199"/>
      <c r="U9" s="199" t="s">
        <v>1090</v>
      </c>
      <c r="V9" s="199"/>
      <c r="W9" s="199" t="s">
        <v>2778</v>
      </c>
      <c r="X9" s="199"/>
      <c r="Y9" s="199" t="s">
        <v>2778</v>
      </c>
      <c r="AJ9" s="819">
        <f>Assumptions!C21</f>
        <v>434600</v>
      </c>
      <c r="AK9" s="501"/>
      <c r="AL9" s="819">
        <f>AJ9</f>
        <v>434600</v>
      </c>
      <c r="AM9" s="501"/>
      <c r="AN9" s="819">
        <f>Assumptions!C22</f>
        <v>319500</v>
      </c>
      <c r="AO9" s="501"/>
      <c r="AP9" s="819">
        <f>AN9</f>
        <v>319500</v>
      </c>
      <c r="AQ9" s="501"/>
      <c r="AR9" s="820">
        <f>Assumptions!C30</f>
        <v>450400</v>
      </c>
      <c r="AS9" s="559"/>
      <c r="AT9" s="820">
        <f>AR9</f>
        <v>450400</v>
      </c>
      <c r="AU9" s="559"/>
      <c r="AV9" s="820">
        <f>Assumptions!C31</f>
        <v>319500</v>
      </c>
      <c r="AW9" s="559"/>
      <c r="AX9" s="820">
        <f>AV9</f>
        <v>319500</v>
      </c>
      <c r="AY9" s="559"/>
      <c r="AZ9" s="821">
        <f>Assumptions!C40</f>
        <v>487600</v>
      </c>
      <c r="BA9" s="718"/>
      <c r="BB9" s="821">
        <f>AZ9</f>
        <v>487600</v>
      </c>
      <c r="BC9" s="718"/>
      <c r="BD9" s="821">
        <f>Assumptions!C41</f>
        <v>319500</v>
      </c>
      <c r="BE9" s="718"/>
      <c r="BF9" s="821">
        <f>BD9</f>
        <v>319500</v>
      </c>
      <c r="BG9" s="718"/>
      <c r="BH9" s="822">
        <f>Assumptions!C50</f>
        <v>514700</v>
      </c>
      <c r="BI9" s="732"/>
      <c r="BJ9" s="822">
        <f>BH9</f>
        <v>514700</v>
      </c>
      <c r="BK9" s="732"/>
      <c r="BL9" s="822">
        <f>Assumptions!C51</f>
        <v>319500</v>
      </c>
      <c r="BM9" s="732"/>
      <c r="BN9" s="822">
        <f>BL9</f>
        <v>319500</v>
      </c>
      <c r="BO9" s="732"/>
      <c r="BP9" s="823">
        <f>Assumptions!C59</f>
        <v>527400</v>
      </c>
      <c r="BQ9" s="748"/>
      <c r="BR9" s="823">
        <f>BP9</f>
        <v>527400</v>
      </c>
      <c r="BS9" s="748"/>
      <c r="BT9" s="823">
        <f>Assumptions!C60</f>
        <v>319500</v>
      </c>
      <c r="BU9" s="748"/>
      <c r="BV9" s="823">
        <f>BT9</f>
        <v>319500</v>
      </c>
    </row>
    <row r="10" spans="1:98">
      <c r="C10" s="199"/>
      <c r="D10" s="199"/>
      <c r="E10" s="199"/>
      <c r="F10" s="199"/>
      <c r="G10" s="199"/>
      <c r="H10" s="199"/>
      <c r="I10" s="199"/>
      <c r="J10" s="199"/>
      <c r="K10" s="353" t="s">
        <v>2777</v>
      </c>
      <c r="L10" s="323"/>
      <c r="M10" s="353" t="s">
        <v>2777</v>
      </c>
      <c r="N10" s="353"/>
      <c r="O10" s="353" t="s">
        <v>939</v>
      </c>
      <c r="P10" s="353"/>
      <c r="Q10" s="353" t="s">
        <v>939</v>
      </c>
      <c r="S10" s="199" t="s">
        <v>2777</v>
      </c>
      <c r="U10" s="199" t="s">
        <v>2777</v>
      </c>
      <c r="V10" s="199"/>
      <c r="W10" s="199" t="s">
        <v>939</v>
      </c>
      <c r="X10" s="199"/>
      <c r="Y10" s="199" t="s">
        <v>939</v>
      </c>
      <c r="AJ10" s="501" t="s">
        <v>2777</v>
      </c>
      <c r="AK10" s="111"/>
      <c r="AL10" s="501" t="s">
        <v>2777</v>
      </c>
      <c r="AM10" s="501"/>
      <c r="AN10" s="501" t="s">
        <v>939</v>
      </c>
      <c r="AO10" s="501"/>
      <c r="AP10" s="501" t="s">
        <v>939</v>
      </c>
      <c r="AQ10" s="501"/>
      <c r="AR10" s="559" t="s">
        <v>2777</v>
      </c>
      <c r="AS10" s="531"/>
      <c r="AT10" s="559" t="s">
        <v>2777</v>
      </c>
      <c r="AU10" s="559"/>
      <c r="AV10" s="559" t="s">
        <v>939</v>
      </c>
      <c r="AW10" s="559"/>
      <c r="AX10" s="559" t="s">
        <v>939</v>
      </c>
      <c r="AY10" s="559"/>
      <c r="AZ10" s="718" t="s">
        <v>2777</v>
      </c>
      <c r="BB10" s="718" t="s">
        <v>2777</v>
      </c>
      <c r="BC10" s="718"/>
      <c r="BD10" s="718" t="s">
        <v>939</v>
      </c>
      <c r="BE10" s="718"/>
      <c r="BF10" s="718" t="s">
        <v>939</v>
      </c>
      <c r="BG10" s="718"/>
      <c r="BH10" s="732" t="s">
        <v>2777</v>
      </c>
      <c r="BJ10" s="732" t="s">
        <v>2777</v>
      </c>
      <c r="BK10" s="732"/>
      <c r="BL10" s="732" t="s">
        <v>939</v>
      </c>
      <c r="BM10" s="732"/>
      <c r="BN10" s="732" t="s">
        <v>939</v>
      </c>
      <c r="BO10" s="732"/>
      <c r="BP10" s="748" t="s">
        <v>2777</v>
      </c>
      <c r="BR10" s="748" t="s">
        <v>2777</v>
      </c>
      <c r="BS10" s="748"/>
      <c r="BT10" s="748" t="s">
        <v>939</v>
      </c>
      <c r="BU10" s="748"/>
      <c r="BV10" s="748" t="s">
        <v>939</v>
      </c>
    </row>
    <row r="11" spans="1:98">
      <c r="C11" s="199"/>
      <c r="D11" s="199"/>
      <c r="E11" s="199"/>
      <c r="F11" s="199"/>
      <c r="G11" s="199"/>
      <c r="H11" s="199"/>
      <c r="I11" s="199"/>
      <c r="J11" s="199"/>
      <c r="K11" s="353"/>
      <c r="L11" s="353"/>
      <c r="M11" s="353"/>
      <c r="N11" s="353"/>
      <c r="O11" s="353"/>
      <c r="P11" s="353"/>
      <c r="Q11" s="353"/>
      <c r="S11" s="199"/>
      <c r="T11" s="199"/>
      <c r="U11" s="199"/>
      <c r="V11" s="199"/>
      <c r="W11" s="199"/>
      <c r="X11" s="199"/>
      <c r="Y11" s="199"/>
      <c r="AJ11" s="501"/>
      <c r="AK11" s="501"/>
      <c r="AL11" s="501"/>
      <c r="AM11" s="501"/>
      <c r="AN11" s="501"/>
      <c r="AO11" s="501"/>
      <c r="AP11" s="501"/>
      <c r="AQ11" s="501"/>
      <c r="AR11" s="559"/>
      <c r="AS11" s="559"/>
      <c r="AT11" s="559"/>
      <c r="AU11" s="559"/>
      <c r="AV11" s="559"/>
      <c r="AW11" s="559"/>
      <c r="AX11" s="559"/>
      <c r="AY11" s="559"/>
      <c r="AZ11" s="718"/>
      <c r="BA11" s="718"/>
      <c r="BB11" s="718"/>
      <c r="BC11" s="718"/>
      <c r="BD11" s="718"/>
      <c r="BE11" s="718"/>
      <c r="BF11" s="718"/>
      <c r="BG11" s="718"/>
      <c r="BH11" s="732"/>
      <c r="BI11" s="732"/>
      <c r="BJ11" s="732"/>
      <c r="BK11" s="732"/>
      <c r="BL11" s="732"/>
      <c r="BM11" s="732"/>
      <c r="BN11" s="732"/>
      <c r="BO11" s="732"/>
      <c r="BP11" s="748"/>
      <c r="BQ11" s="748"/>
      <c r="BR11" s="748"/>
      <c r="BS11" s="748"/>
      <c r="BT11" s="748"/>
      <c r="BU11" s="748"/>
      <c r="BV11" s="748"/>
    </row>
    <row r="12" spans="1:98" ht="15.75">
      <c r="A12" s="38" t="s">
        <v>1665</v>
      </c>
      <c r="C12" s="199" t="s">
        <v>2777</v>
      </c>
      <c r="E12" s="199" t="s">
        <v>2777</v>
      </c>
      <c r="F12" s="199"/>
      <c r="G12" s="199" t="s">
        <v>939</v>
      </c>
      <c r="H12" s="199"/>
      <c r="I12" s="199" t="s">
        <v>939</v>
      </c>
      <c r="J12" s="199"/>
      <c r="K12" s="325" t="s">
        <v>2371</v>
      </c>
      <c r="M12" s="325" t="s">
        <v>2371</v>
      </c>
      <c r="O12" s="325" t="s">
        <v>2371</v>
      </c>
      <c r="Q12" s="325" t="s">
        <v>2371</v>
      </c>
      <c r="S12" s="190" t="s">
        <v>2372</v>
      </c>
      <c r="U12" s="190" t="s">
        <v>2372</v>
      </c>
      <c r="W12" s="190" t="s">
        <v>2372</v>
      </c>
      <c r="Y12" s="190" t="s">
        <v>2372</v>
      </c>
      <c r="AJ12" s="461" t="s">
        <v>2372</v>
      </c>
      <c r="AK12" s="111"/>
      <c r="AL12" s="461" t="s">
        <v>2372</v>
      </c>
      <c r="AM12" s="111"/>
      <c r="AN12" s="461" t="s">
        <v>2372</v>
      </c>
      <c r="AO12" s="111"/>
      <c r="AP12" s="461" t="s">
        <v>2372</v>
      </c>
      <c r="AQ12" s="461"/>
      <c r="AR12" s="536" t="s">
        <v>2372</v>
      </c>
      <c r="AS12" s="531"/>
      <c r="AT12" s="536" t="s">
        <v>2372</v>
      </c>
      <c r="AU12" s="531"/>
      <c r="AV12" s="536" t="s">
        <v>2372</v>
      </c>
      <c r="AW12" s="531"/>
      <c r="AX12" s="536" t="s">
        <v>2372</v>
      </c>
      <c r="AY12" s="536"/>
      <c r="AZ12" s="600" t="s">
        <v>2372</v>
      </c>
      <c r="BB12" s="600" t="s">
        <v>2372</v>
      </c>
      <c r="BD12" s="600" t="s">
        <v>2372</v>
      </c>
      <c r="BF12" s="600" t="s">
        <v>2372</v>
      </c>
      <c r="BG12" s="600"/>
      <c r="BH12" s="619" t="s">
        <v>2372</v>
      </c>
      <c r="BJ12" s="619" t="s">
        <v>2372</v>
      </c>
      <c r="BL12" s="619" t="s">
        <v>2372</v>
      </c>
      <c r="BN12" s="619" t="s">
        <v>2372</v>
      </c>
      <c r="BO12" s="619"/>
      <c r="BP12" s="637" t="s">
        <v>2372</v>
      </c>
      <c r="BR12" s="637" t="s">
        <v>2372</v>
      </c>
      <c r="BT12" s="637" t="s">
        <v>2372</v>
      </c>
      <c r="BV12" s="637" t="s">
        <v>2372</v>
      </c>
    </row>
    <row r="13" spans="1:98">
      <c r="A13" t="s">
        <v>499</v>
      </c>
      <c r="C13" s="204" t="e">
        <f>'Data Entry - SOF'!#REF!+'Data Entry - SOF'!#REF!</f>
        <v>#REF!</v>
      </c>
      <c r="D13" s="191"/>
      <c r="E13" s="204" t="e">
        <f>'Data Entry - SOF'!#REF!+'Data Entry - SOF'!#REF!</f>
        <v>#REF!</v>
      </c>
      <c r="F13" s="191"/>
      <c r="G13" s="204" t="e">
        <f>'Data Entry - SOF'!#REF!+'Data Entry - SOF'!#REF!</f>
        <v>#REF!</v>
      </c>
      <c r="H13" s="191"/>
      <c r="I13" s="204" t="e">
        <f>'Data Entry - SOF'!#REF!+'Data Entry - SOF'!#REF!</f>
        <v>#REF!</v>
      </c>
      <c r="J13" s="191"/>
      <c r="K13" s="332" t="e">
        <f>'Data Entry - SOF'!#REF!+'Data Entry - SOF'!#REF!</f>
        <v>#REF!</v>
      </c>
      <c r="L13" s="326"/>
      <c r="M13" s="332" t="e">
        <f>K13</f>
        <v>#REF!</v>
      </c>
      <c r="N13" s="326"/>
      <c r="O13" s="332" t="e">
        <f>M13</f>
        <v>#REF!</v>
      </c>
      <c r="P13" s="326"/>
      <c r="Q13" s="332" t="e">
        <f>O13</f>
        <v>#REF!</v>
      </c>
      <c r="S13" s="204" t="e">
        <f>'Data Entry - SOF'!#REF!+'Data Entry - SOF'!#REF!</f>
        <v>#REF!</v>
      </c>
      <c r="T13" s="191"/>
      <c r="U13" s="204" t="e">
        <f>S13</f>
        <v>#REF!</v>
      </c>
      <c r="V13" s="191"/>
      <c r="W13" s="204" t="e">
        <f>U13</f>
        <v>#REF!</v>
      </c>
      <c r="X13" s="191"/>
      <c r="Y13" s="204" t="e">
        <f>W13</f>
        <v>#REF!</v>
      </c>
      <c r="AA13" s="525" t="s">
        <v>2141</v>
      </c>
      <c r="AJ13" s="466" t="e">
        <f>'Data Entry - SOF'!#REF!+'Data Entry - SOF'!#REF!</f>
        <v>#REF!</v>
      </c>
      <c r="AK13" s="502"/>
      <c r="AL13" s="466" t="e">
        <f>AJ13</f>
        <v>#REF!</v>
      </c>
      <c r="AM13" s="502"/>
      <c r="AN13" s="466" t="e">
        <f>AL13</f>
        <v>#REF!</v>
      </c>
      <c r="AO13" s="502"/>
      <c r="AP13" s="466" t="e">
        <f>AN13</f>
        <v>#REF!</v>
      </c>
      <c r="AQ13" s="502"/>
      <c r="AR13" s="546" t="e">
        <f>'Data Entry - SOF'!#REF!+'Data Entry - SOF'!#REF!</f>
        <v>#REF!</v>
      </c>
      <c r="AS13" s="560"/>
      <c r="AT13" s="546" t="e">
        <f>AR13</f>
        <v>#REF!</v>
      </c>
      <c r="AU13" s="560"/>
      <c r="AV13" s="546" t="e">
        <f>AT13</f>
        <v>#REF!</v>
      </c>
      <c r="AW13" s="560"/>
      <c r="AX13" s="546" t="e">
        <f>AV13</f>
        <v>#REF!</v>
      </c>
      <c r="AY13" s="560"/>
      <c r="AZ13" s="606" t="e">
        <f>'Data Entry - SOF'!#REF!+'Data Entry - SOF'!#REF!</f>
        <v>#REF!</v>
      </c>
      <c r="BA13" s="719"/>
      <c r="BB13" s="606" t="e">
        <f>AZ13</f>
        <v>#REF!</v>
      </c>
      <c r="BC13" s="719"/>
      <c r="BD13" s="606" t="e">
        <f>BB13</f>
        <v>#REF!</v>
      </c>
      <c r="BE13" s="719"/>
      <c r="BF13" s="606" t="e">
        <f>BD13</f>
        <v>#REF!</v>
      </c>
      <c r="BG13" s="719"/>
      <c r="BH13" s="624" t="e">
        <f>'Data Entry - SOF'!#REF!+'Data Entry - SOF'!#REF!</f>
        <v>#REF!</v>
      </c>
      <c r="BI13" s="733"/>
      <c r="BJ13" s="624" t="e">
        <f>BH13</f>
        <v>#REF!</v>
      </c>
      <c r="BK13" s="733"/>
      <c r="BL13" s="624" t="e">
        <f>BJ13</f>
        <v>#REF!</v>
      </c>
      <c r="BM13" s="733"/>
      <c r="BN13" s="624" t="e">
        <f>BL13</f>
        <v>#REF!</v>
      </c>
      <c r="BO13" s="733"/>
      <c r="BP13" s="642" t="e">
        <f>'Data Entry - SOF'!#REF!+'Data Entry - SOF'!#REF!</f>
        <v>#REF!</v>
      </c>
      <c r="BQ13" s="749"/>
      <c r="BR13" s="642" t="e">
        <f>BP13</f>
        <v>#REF!</v>
      </c>
      <c r="BS13" s="749"/>
      <c r="BT13" s="642" t="e">
        <f>BR13</f>
        <v>#REF!</v>
      </c>
      <c r="BU13" s="749"/>
      <c r="BV13" s="642" t="e">
        <f>BT13</f>
        <v>#REF!</v>
      </c>
    </row>
    <row r="14" spans="1:98">
      <c r="A14" t="s">
        <v>500</v>
      </c>
      <c r="C14" s="219" t="e">
        <f>'Data Entry - SOF'!#REF!</f>
        <v>#REF!</v>
      </c>
      <c r="D14" s="237"/>
      <c r="E14" s="219" t="e">
        <f>'Data Entry - SOF'!#REF!</f>
        <v>#REF!</v>
      </c>
      <c r="F14" s="237"/>
      <c r="G14" s="219" t="e">
        <f>'Data Entry - SOF'!#REF!</f>
        <v>#REF!</v>
      </c>
      <c r="H14" s="237"/>
      <c r="I14" s="219" t="e">
        <f>'Data Entry - SOF'!#REF!</f>
        <v>#REF!</v>
      </c>
      <c r="J14" s="237"/>
      <c r="K14" s="356" t="e">
        <f>'Data Entry - SOF'!#REF!</f>
        <v>#REF!</v>
      </c>
      <c r="L14" s="357"/>
      <c r="M14" s="356" t="e">
        <f>K14</f>
        <v>#REF!</v>
      </c>
      <c r="N14" s="357"/>
      <c r="O14" s="356" t="e">
        <f>M14</f>
        <v>#REF!</v>
      </c>
      <c r="P14" s="357"/>
      <c r="Q14" s="356" t="e">
        <f>O14</f>
        <v>#REF!</v>
      </c>
      <c r="S14" s="219" t="e">
        <f>'Data Entry - SOF'!#REF!</f>
        <v>#REF!</v>
      </c>
      <c r="T14" s="237"/>
      <c r="U14" s="219" t="e">
        <f>S14</f>
        <v>#REF!</v>
      </c>
      <c r="V14" s="237"/>
      <c r="W14" s="219" t="e">
        <f>U14</f>
        <v>#REF!</v>
      </c>
      <c r="X14" s="237"/>
      <c r="Y14" s="219" t="e">
        <f>W14</f>
        <v>#REF!</v>
      </c>
      <c r="AJ14" s="464" t="e">
        <f>'Data Entry - SOF'!#REF!</f>
        <v>#REF!</v>
      </c>
      <c r="AK14" s="503"/>
      <c r="AL14" s="464" t="e">
        <f>AJ14</f>
        <v>#REF!</v>
      </c>
      <c r="AM14" s="503"/>
      <c r="AN14" s="464" t="e">
        <f>AL14</f>
        <v>#REF!</v>
      </c>
      <c r="AO14" s="503"/>
      <c r="AP14" s="464" t="e">
        <f>AN14</f>
        <v>#REF!</v>
      </c>
      <c r="AQ14" s="503"/>
      <c r="AR14" s="544" t="e">
        <f>'Data Entry - SOF'!#REF!</f>
        <v>#REF!</v>
      </c>
      <c r="AS14" s="561"/>
      <c r="AT14" s="544" t="e">
        <f>AR14</f>
        <v>#REF!</v>
      </c>
      <c r="AU14" s="561"/>
      <c r="AV14" s="544" t="e">
        <f>AT14</f>
        <v>#REF!</v>
      </c>
      <c r="AW14" s="561"/>
      <c r="AX14" s="544" t="e">
        <f>AV14</f>
        <v>#REF!</v>
      </c>
      <c r="AY14" s="561"/>
      <c r="AZ14" s="602" t="e">
        <f>'Data Entry - SOF'!#REF!</f>
        <v>#REF!</v>
      </c>
      <c r="BA14" s="720"/>
      <c r="BB14" s="602" t="e">
        <f>AZ14</f>
        <v>#REF!</v>
      </c>
      <c r="BC14" s="720"/>
      <c r="BD14" s="602" t="e">
        <f>BB14</f>
        <v>#REF!</v>
      </c>
      <c r="BE14" s="720"/>
      <c r="BF14" s="602" t="e">
        <f>BD14</f>
        <v>#REF!</v>
      </c>
      <c r="BG14" s="720"/>
      <c r="BH14" s="620" t="e">
        <f>'Data Entry - SOF'!#REF!</f>
        <v>#REF!</v>
      </c>
      <c r="BI14" s="734"/>
      <c r="BJ14" s="620" t="e">
        <f>BH14</f>
        <v>#REF!</v>
      </c>
      <c r="BK14" s="734"/>
      <c r="BL14" s="620" t="e">
        <f>BJ14</f>
        <v>#REF!</v>
      </c>
      <c r="BM14" s="734"/>
      <c r="BN14" s="620" t="e">
        <f>BL14</f>
        <v>#REF!</v>
      </c>
      <c r="BO14" s="734"/>
      <c r="BP14" s="638" t="e">
        <f>'Data Entry - SOF'!#REF!</f>
        <v>#REF!</v>
      </c>
      <c r="BQ14" s="750"/>
      <c r="BR14" s="638" t="e">
        <f>BP14</f>
        <v>#REF!</v>
      </c>
      <c r="BS14" s="750"/>
      <c r="BT14" s="638" t="e">
        <f>BR14</f>
        <v>#REF!</v>
      </c>
      <c r="BU14" s="750"/>
      <c r="BV14" s="638" t="e">
        <f>BT14</f>
        <v>#REF!</v>
      </c>
    </row>
    <row r="15" spans="1:98">
      <c r="A15" t="s">
        <v>559</v>
      </c>
      <c r="C15" s="219">
        <f>'Ch41 Calc Data'!E10</f>
        <v>0</v>
      </c>
      <c r="D15" s="237"/>
      <c r="E15" s="219">
        <f>'Ch41 Calc Data'!E10</f>
        <v>0</v>
      </c>
      <c r="F15" s="237"/>
      <c r="G15" s="219">
        <f>'Ch41 Calc Data'!E10</f>
        <v>0</v>
      </c>
      <c r="H15" s="237"/>
      <c r="I15" s="219">
        <f>'Ch41 Calc Data'!E10</f>
        <v>0</v>
      </c>
      <c r="J15" s="237"/>
      <c r="K15" s="356" t="e">
        <f>'Ch41 Calc Data'!#REF!</f>
        <v>#REF!</v>
      </c>
      <c r="L15" s="357"/>
      <c r="M15" s="356" t="e">
        <f>K15</f>
        <v>#REF!</v>
      </c>
      <c r="N15" s="357"/>
      <c r="O15" s="356" t="e">
        <f>M15</f>
        <v>#REF!</v>
      </c>
      <c r="P15" s="357"/>
      <c r="Q15" s="356" t="e">
        <f>O15</f>
        <v>#REF!</v>
      </c>
      <c r="S15" s="219" t="e">
        <f>'Ch41 Calc Data'!#REF!</f>
        <v>#REF!</v>
      </c>
      <c r="T15" s="237"/>
      <c r="U15" s="219" t="e">
        <f>S15</f>
        <v>#REF!</v>
      </c>
      <c r="V15" s="237"/>
      <c r="W15" s="219" t="e">
        <f>U15</f>
        <v>#REF!</v>
      </c>
      <c r="X15" s="237"/>
      <c r="Y15" s="219" t="e">
        <f>W15</f>
        <v>#REF!</v>
      </c>
      <c r="AJ15" s="464" t="e">
        <f>'Ch41 Calc Data'!#REF!</f>
        <v>#REF!</v>
      </c>
      <c r="AK15" s="503"/>
      <c r="AL15" s="464" t="e">
        <f>AJ15</f>
        <v>#REF!</v>
      </c>
      <c r="AM15" s="503"/>
      <c r="AN15" s="464" t="e">
        <f>AL15</f>
        <v>#REF!</v>
      </c>
      <c r="AO15" s="503"/>
      <c r="AP15" s="464" t="e">
        <f>AN15</f>
        <v>#REF!</v>
      </c>
      <c r="AQ15" s="503"/>
      <c r="AR15" s="544" t="e">
        <f>'Ch41 Calc Data'!#REF!</f>
        <v>#REF!</v>
      </c>
      <c r="AS15" s="561"/>
      <c r="AT15" s="544" t="e">
        <f>AR15</f>
        <v>#REF!</v>
      </c>
      <c r="AU15" s="561"/>
      <c r="AV15" s="544" t="e">
        <f>AT15</f>
        <v>#REF!</v>
      </c>
      <c r="AW15" s="561"/>
      <c r="AX15" s="544" t="e">
        <f>AV15</f>
        <v>#REF!</v>
      </c>
      <c r="AY15" s="561"/>
      <c r="AZ15" s="602" t="e">
        <f>'Ch41 Calc Data'!#REF!</f>
        <v>#REF!</v>
      </c>
      <c r="BA15" s="720"/>
      <c r="BB15" s="602" t="e">
        <f>AZ15</f>
        <v>#REF!</v>
      </c>
      <c r="BC15" s="720"/>
      <c r="BD15" s="602" t="e">
        <f>BB15</f>
        <v>#REF!</v>
      </c>
      <c r="BE15" s="720"/>
      <c r="BF15" s="602" t="e">
        <f>BD15</f>
        <v>#REF!</v>
      </c>
      <c r="BG15" s="720"/>
      <c r="BH15" s="620" t="e">
        <f>'Ch41 Calc Data'!#REF!</f>
        <v>#REF!</v>
      </c>
      <c r="BI15" s="734"/>
      <c r="BJ15" s="620" t="e">
        <f>BH15</f>
        <v>#REF!</v>
      </c>
      <c r="BK15" s="734"/>
      <c r="BL15" s="620" t="e">
        <f>BJ15</f>
        <v>#REF!</v>
      </c>
      <c r="BM15" s="734"/>
      <c r="BN15" s="620" t="e">
        <f>BL15</f>
        <v>#REF!</v>
      </c>
      <c r="BO15" s="734"/>
      <c r="BP15" s="638">
        <f>'Ch41 Calc Data'!I10</f>
        <v>0</v>
      </c>
      <c r="BQ15" s="750"/>
      <c r="BR15" s="638">
        <f>BP15</f>
        <v>0</v>
      </c>
      <c r="BS15" s="750"/>
      <c r="BT15" s="638">
        <f>BR15</f>
        <v>0</v>
      </c>
      <c r="BU15" s="750"/>
      <c r="BV15" s="638">
        <f>BT15</f>
        <v>0</v>
      </c>
    </row>
    <row r="16" spans="1:98">
      <c r="A16" t="s">
        <v>560</v>
      </c>
      <c r="C16" s="219" t="e">
        <f>IF(C14=0,0,C15/C14)</f>
        <v>#REF!</v>
      </c>
      <c r="D16" s="237"/>
      <c r="E16" s="219" t="e">
        <f>IF(E14=0,0,E15/E14)</f>
        <v>#REF!</v>
      </c>
      <c r="F16" s="237"/>
      <c r="G16" s="219" t="e">
        <f>IF(G14=0,0,G15/G14)</f>
        <v>#REF!</v>
      </c>
      <c r="H16" s="237"/>
      <c r="I16" s="219" t="e">
        <f>IF(I14=0,0,I15/I14)</f>
        <v>#REF!</v>
      </c>
      <c r="J16" s="237"/>
      <c r="K16" s="356" t="e">
        <f>IF(K14=0,0,K15/K14)</f>
        <v>#REF!</v>
      </c>
      <c r="L16" s="357"/>
      <c r="M16" s="356" t="e">
        <f>IF(M14=0,0,M15/M14)</f>
        <v>#REF!</v>
      </c>
      <c r="N16" s="357"/>
      <c r="O16" s="356" t="e">
        <f>IF(O14=0,0,O15/O14)</f>
        <v>#REF!</v>
      </c>
      <c r="P16" s="357"/>
      <c r="Q16" s="356" t="e">
        <f>IF(Q14=0,0,Q15/Q14)</f>
        <v>#REF!</v>
      </c>
      <c r="S16" s="219" t="e">
        <f>IF(S14=0,0,S15/S14)</f>
        <v>#REF!</v>
      </c>
      <c r="T16" s="237"/>
      <c r="U16" s="219" t="e">
        <f>IF(U14=0,0,U15/U14)</f>
        <v>#REF!</v>
      </c>
      <c r="V16" s="237"/>
      <c r="W16" s="219" t="e">
        <f>IF(W14=0,0,W15/W14)</f>
        <v>#REF!</v>
      </c>
      <c r="X16" s="237"/>
      <c r="Y16" s="219" t="e">
        <f>IF(Y14=0,0,Y15/Y14)</f>
        <v>#REF!</v>
      </c>
      <c r="AJ16" s="464" t="e">
        <f>IF(AJ14=0,0,AJ15/AJ14)</f>
        <v>#REF!</v>
      </c>
      <c r="AK16" s="503"/>
      <c r="AL16" s="464" t="e">
        <f>IF(AL14=0,0,AL15/AL14)</f>
        <v>#REF!</v>
      </c>
      <c r="AM16" s="503"/>
      <c r="AN16" s="464" t="e">
        <f>IF(AN14=0,0,AN15/AN14)</f>
        <v>#REF!</v>
      </c>
      <c r="AO16" s="503"/>
      <c r="AP16" s="464" t="e">
        <f>IF(AP14=0,0,AP15/AP14)</f>
        <v>#REF!</v>
      </c>
      <c r="AQ16" s="503"/>
      <c r="AR16" s="544" t="e">
        <f>IF(AR14=0,0,AR15/AR14)</f>
        <v>#REF!</v>
      </c>
      <c r="AS16" s="561"/>
      <c r="AT16" s="544" t="e">
        <f>IF(AT14=0,0,AT15/AT14)</f>
        <v>#REF!</v>
      </c>
      <c r="AU16" s="561"/>
      <c r="AV16" s="544" t="e">
        <f>IF(AV14=0,0,AV15/AV14)</f>
        <v>#REF!</v>
      </c>
      <c r="AW16" s="561"/>
      <c r="AX16" s="544" t="e">
        <f>IF(AX14=0,0,AX15/AX14)</f>
        <v>#REF!</v>
      </c>
      <c r="AY16" s="561"/>
      <c r="AZ16" s="602" t="e">
        <f>IF(AZ14=0,0,AZ15/AZ14)</f>
        <v>#REF!</v>
      </c>
      <c r="BA16" s="720"/>
      <c r="BB16" s="602" t="e">
        <f>IF(BB14=0,0,BB15/BB14)</f>
        <v>#REF!</v>
      </c>
      <c r="BC16" s="720"/>
      <c r="BD16" s="602" t="e">
        <f>IF(BD14=0,0,BD15/BD14)</f>
        <v>#REF!</v>
      </c>
      <c r="BE16" s="720"/>
      <c r="BF16" s="602" t="e">
        <f>IF(BF14=0,0,BF15/BF14)</f>
        <v>#REF!</v>
      </c>
      <c r="BG16" s="720"/>
      <c r="BH16" s="620" t="e">
        <f>IF(BH14=0,0,BH15/BH14)</f>
        <v>#REF!</v>
      </c>
      <c r="BI16" s="734"/>
      <c r="BJ16" s="620" t="e">
        <f>IF(BJ14=0,0,BJ15/BJ14)</f>
        <v>#REF!</v>
      </c>
      <c r="BK16" s="734"/>
      <c r="BL16" s="620" t="e">
        <f>IF(BL14=0,0,BL15/BL14)</f>
        <v>#REF!</v>
      </c>
      <c r="BM16" s="734"/>
      <c r="BN16" s="620" t="e">
        <f>IF(BN14=0,0,BN15/BN14)</f>
        <v>#REF!</v>
      </c>
      <c r="BO16" s="734"/>
      <c r="BP16" s="638" t="e">
        <f>IF(BP14=0,0,BP15/BP14)</f>
        <v>#REF!</v>
      </c>
      <c r="BQ16" s="750"/>
      <c r="BR16" s="638" t="e">
        <f>IF(BR14=0,0,BR15/BR14)</f>
        <v>#REF!</v>
      </c>
      <c r="BS16" s="750"/>
      <c r="BT16" s="638" t="e">
        <f>IF(BT14=0,0,BT15/BT14)</f>
        <v>#REF!</v>
      </c>
      <c r="BU16" s="750"/>
      <c r="BV16" s="638" t="e">
        <f>IF(BV14=0,0,BV15/BV14)</f>
        <v>#REF!</v>
      </c>
    </row>
    <row r="17" spans="1:118">
      <c r="A17" t="s">
        <v>2478</v>
      </c>
      <c r="C17" s="204" t="e">
        <f>C13*C16</f>
        <v>#REF!</v>
      </c>
      <c r="D17" s="191"/>
      <c r="E17" s="204" t="e">
        <f>E13*E16</f>
        <v>#REF!</v>
      </c>
      <c r="F17" s="191"/>
      <c r="G17" s="204" t="e">
        <f>G13*G16</f>
        <v>#REF!</v>
      </c>
      <c r="H17" s="191"/>
      <c r="I17" s="204" t="e">
        <f>I13*I16</f>
        <v>#REF!</v>
      </c>
      <c r="J17" s="191"/>
      <c r="K17" s="332" t="e">
        <f>K13*K16</f>
        <v>#REF!</v>
      </c>
      <c r="L17" s="326"/>
      <c r="M17" s="332" t="e">
        <f>M13*M16</f>
        <v>#REF!</v>
      </c>
      <c r="N17" s="326"/>
      <c r="O17" s="332" t="e">
        <f>O13*O16</f>
        <v>#REF!</v>
      </c>
      <c r="P17" s="326"/>
      <c r="Q17" s="332" t="e">
        <f>Q13*Q16</f>
        <v>#REF!</v>
      </c>
      <c r="S17" s="204" t="e">
        <f>S13*S16</f>
        <v>#REF!</v>
      </c>
      <c r="T17" s="191"/>
      <c r="U17" s="204" t="e">
        <f>U13*U16</f>
        <v>#REF!</v>
      </c>
      <c r="V17" s="191"/>
      <c r="W17" s="204" t="e">
        <f>W13*W16</f>
        <v>#REF!</v>
      </c>
      <c r="X17" s="191"/>
      <c r="Y17" s="204" t="e">
        <f>Y13*Y16</f>
        <v>#REF!</v>
      </c>
      <c r="AJ17" s="466" t="e">
        <f>AJ13*AJ16</f>
        <v>#REF!</v>
      </c>
      <c r="AK17" s="502"/>
      <c r="AL17" s="466" t="e">
        <f>AL13*AL16</f>
        <v>#REF!</v>
      </c>
      <c r="AM17" s="502"/>
      <c r="AN17" s="466" t="e">
        <f>AN13*AN16</f>
        <v>#REF!</v>
      </c>
      <c r="AO17" s="502"/>
      <c r="AP17" s="466" t="e">
        <f>AP13*AP16</f>
        <v>#REF!</v>
      </c>
      <c r="AQ17" s="502"/>
      <c r="AR17" s="546" t="e">
        <f>AR13*AR16</f>
        <v>#REF!</v>
      </c>
      <c r="AS17" s="560"/>
      <c r="AT17" s="546" t="e">
        <f>AT13*AT16</f>
        <v>#REF!</v>
      </c>
      <c r="AU17" s="560"/>
      <c r="AV17" s="546" t="e">
        <f>AV13*AV16</f>
        <v>#REF!</v>
      </c>
      <c r="AW17" s="560"/>
      <c r="AX17" s="546" t="e">
        <f>AX13*AX16</f>
        <v>#REF!</v>
      </c>
      <c r="AY17" s="560"/>
      <c r="AZ17" s="606" t="e">
        <f>AZ13*AZ16</f>
        <v>#REF!</v>
      </c>
      <c r="BA17" s="719"/>
      <c r="BB17" s="606" t="e">
        <f>BB13*BB16</f>
        <v>#REF!</v>
      </c>
      <c r="BC17" s="719"/>
      <c r="BD17" s="606" t="e">
        <f>BD13*BD16</f>
        <v>#REF!</v>
      </c>
      <c r="BE17" s="719"/>
      <c r="BF17" s="606" t="e">
        <f>BF13*BF16</f>
        <v>#REF!</v>
      </c>
      <c r="BG17" s="719"/>
      <c r="BH17" s="624" t="e">
        <f>BH13*BH16</f>
        <v>#REF!</v>
      </c>
      <c r="BI17" s="733"/>
      <c r="BJ17" s="624" t="e">
        <f>BJ13*BJ16</f>
        <v>#REF!</v>
      </c>
      <c r="BK17" s="733"/>
      <c r="BL17" s="624" t="e">
        <f>BL13*BL16</f>
        <v>#REF!</v>
      </c>
      <c r="BM17" s="733"/>
      <c r="BN17" s="624" t="e">
        <f>BN13*BN16</f>
        <v>#REF!</v>
      </c>
      <c r="BO17" s="733"/>
      <c r="BP17" s="642" t="e">
        <f>BP13*BP16</f>
        <v>#REF!</v>
      </c>
      <c r="BQ17" s="749"/>
      <c r="BR17" s="642" t="e">
        <f>BR13*BR16</f>
        <v>#REF!</v>
      </c>
      <c r="BS17" s="749"/>
      <c r="BT17" s="642" t="e">
        <f>BT13*BT16</f>
        <v>#REF!</v>
      </c>
      <c r="BU17" s="749"/>
      <c r="BV17" s="642" t="e">
        <f>BV13*BV16</f>
        <v>#REF!</v>
      </c>
    </row>
    <row r="18" spans="1:118">
      <c r="A18" t="s">
        <v>558</v>
      </c>
      <c r="C18" s="204" t="e">
        <f>#REF!</f>
        <v>#REF!</v>
      </c>
      <c r="D18" s="191"/>
      <c r="E18" s="204" t="e">
        <f>#REF!</f>
        <v>#REF!</v>
      </c>
      <c r="F18" s="191"/>
      <c r="G18" s="204" t="e">
        <f>#REF!</f>
        <v>#REF!</v>
      </c>
      <c r="H18" s="191"/>
      <c r="I18" s="204" t="e">
        <f>#REF!</f>
        <v>#REF!</v>
      </c>
      <c r="J18" s="191"/>
      <c r="K18" s="332" t="e">
        <f>#REF!</f>
        <v>#REF!</v>
      </c>
      <c r="L18" s="326"/>
      <c r="M18" s="332" t="e">
        <f>K18</f>
        <v>#REF!</v>
      </c>
      <c r="N18" s="326"/>
      <c r="O18" s="332" t="e">
        <f>M18</f>
        <v>#REF!</v>
      </c>
      <c r="P18" s="326"/>
      <c r="Q18" s="332" t="e">
        <f>O18</f>
        <v>#REF!</v>
      </c>
      <c r="S18" s="204" t="e">
        <f>#REF!</f>
        <v>#REF!</v>
      </c>
      <c r="T18" s="191"/>
      <c r="U18" s="204" t="e">
        <f>S18</f>
        <v>#REF!</v>
      </c>
      <c r="V18" s="191"/>
      <c r="W18" s="204" t="e">
        <f>U18</f>
        <v>#REF!</v>
      </c>
      <c r="X18" s="191"/>
      <c r="Y18" s="204" t="e">
        <f>W18</f>
        <v>#REF!</v>
      </c>
      <c r="AJ18" s="466" t="e">
        <f>#REF!</f>
        <v>#REF!</v>
      </c>
      <c r="AK18" s="502"/>
      <c r="AL18" s="466" t="e">
        <f>AJ18</f>
        <v>#REF!</v>
      </c>
      <c r="AM18" s="502"/>
      <c r="AN18" s="466" t="e">
        <f>AL18</f>
        <v>#REF!</v>
      </c>
      <c r="AO18" s="502"/>
      <c r="AP18" s="466" t="e">
        <f>AN18</f>
        <v>#REF!</v>
      </c>
      <c r="AQ18" s="502"/>
      <c r="AR18" s="546" t="e">
        <f>#REF!</f>
        <v>#REF!</v>
      </c>
      <c r="AS18" s="560"/>
      <c r="AT18" s="546" t="e">
        <f>AR18</f>
        <v>#REF!</v>
      </c>
      <c r="AU18" s="560"/>
      <c r="AV18" s="546" t="e">
        <f>AT18</f>
        <v>#REF!</v>
      </c>
      <c r="AW18" s="560"/>
      <c r="AX18" s="546" t="e">
        <f>AV18</f>
        <v>#REF!</v>
      </c>
      <c r="AY18" s="560"/>
      <c r="AZ18" s="606" t="e">
        <f>#REF!</f>
        <v>#REF!</v>
      </c>
      <c r="BA18" s="719"/>
      <c r="BB18" s="606" t="e">
        <f>AZ18</f>
        <v>#REF!</v>
      </c>
      <c r="BC18" s="719"/>
      <c r="BD18" s="606" t="e">
        <f>BB18</f>
        <v>#REF!</v>
      </c>
      <c r="BE18" s="719"/>
      <c r="BF18" s="606" t="e">
        <f>BD18</f>
        <v>#REF!</v>
      </c>
      <c r="BG18" s="719"/>
      <c r="BH18" s="624" t="e">
        <f>#REF!</f>
        <v>#REF!</v>
      </c>
      <c r="BI18" s="733"/>
      <c r="BJ18" s="624" t="e">
        <f>BH18</f>
        <v>#REF!</v>
      </c>
      <c r="BK18" s="733"/>
      <c r="BL18" s="624" t="e">
        <f>BJ18</f>
        <v>#REF!</v>
      </c>
      <c r="BM18" s="733"/>
      <c r="BN18" s="624" t="e">
        <f>BL18</f>
        <v>#REF!</v>
      </c>
      <c r="BO18" s="733"/>
      <c r="BP18" s="642" t="e">
        <f>#REF!</f>
        <v>#REF!</v>
      </c>
      <c r="BQ18" s="749"/>
      <c r="BR18" s="642" t="e">
        <f>BP18</f>
        <v>#REF!</v>
      </c>
      <c r="BS18" s="749"/>
      <c r="BT18" s="642" t="e">
        <f>BR18</f>
        <v>#REF!</v>
      </c>
      <c r="BU18" s="749"/>
      <c r="BV18" s="642" t="e">
        <f>BT18</f>
        <v>#REF!</v>
      </c>
    </row>
    <row r="19" spans="1:118">
      <c r="A19" t="s">
        <v>2479</v>
      </c>
      <c r="C19" s="204" t="e">
        <f>C17-C18</f>
        <v>#REF!</v>
      </c>
      <c r="D19" s="191"/>
      <c r="E19" s="204" t="e">
        <f>E17-E18</f>
        <v>#REF!</v>
      </c>
      <c r="F19" s="191"/>
      <c r="G19" s="204" t="e">
        <f>G17-G18</f>
        <v>#REF!</v>
      </c>
      <c r="H19" s="191"/>
      <c r="I19" s="204" t="e">
        <f>I17-I18</f>
        <v>#REF!</v>
      </c>
      <c r="J19" s="191"/>
      <c r="K19" s="332" t="e">
        <f>K17-K18</f>
        <v>#REF!</v>
      </c>
      <c r="L19" s="326"/>
      <c r="M19" s="332" t="e">
        <f>M17-M18</f>
        <v>#REF!</v>
      </c>
      <c r="N19" s="326"/>
      <c r="O19" s="332" t="e">
        <f>O17-O18</f>
        <v>#REF!</v>
      </c>
      <c r="P19" s="326"/>
      <c r="Q19" s="332" t="e">
        <f>Q17-Q18</f>
        <v>#REF!</v>
      </c>
      <c r="S19" s="204" t="e">
        <f>S17-S18</f>
        <v>#REF!</v>
      </c>
      <c r="T19" s="191"/>
      <c r="U19" s="204" t="e">
        <f>U17-U18</f>
        <v>#REF!</v>
      </c>
      <c r="V19" s="191"/>
      <c r="W19" s="204" t="e">
        <f>W17-W18</f>
        <v>#REF!</v>
      </c>
      <c r="X19" s="191"/>
      <c r="Y19" s="204" t="e">
        <f>Y17-Y18</f>
        <v>#REF!</v>
      </c>
      <c r="AJ19" s="466" t="e">
        <f>AJ17-AJ18</f>
        <v>#REF!</v>
      </c>
      <c r="AK19" s="502"/>
      <c r="AL19" s="466" t="e">
        <f>AL17-AL18</f>
        <v>#REF!</v>
      </c>
      <c r="AM19" s="502"/>
      <c r="AN19" s="466" t="e">
        <f>AN17-AN18</f>
        <v>#REF!</v>
      </c>
      <c r="AO19" s="502"/>
      <c r="AP19" s="466" t="e">
        <f>AP17-AP18</f>
        <v>#REF!</v>
      </c>
      <c r="AQ19" s="502"/>
      <c r="AR19" s="546" t="e">
        <f>AR17-AR18</f>
        <v>#REF!</v>
      </c>
      <c r="AS19" s="560"/>
      <c r="AT19" s="546" t="e">
        <f>AT17-AT18</f>
        <v>#REF!</v>
      </c>
      <c r="AU19" s="560"/>
      <c r="AV19" s="546" t="e">
        <f>AV17-AV18</f>
        <v>#REF!</v>
      </c>
      <c r="AW19" s="560"/>
      <c r="AX19" s="546" t="e">
        <f>AX17-AX18</f>
        <v>#REF!</v>
      </c>
      <c r="AY19" s="560"/>
      <c r="AZ19" s="606" t="e">
        <f>AZ17-AZ18</f>
        <v>#REF!</v>
      </c>
      <c r="BA19" s="719"/>
      <c r="BB19" s="606" t="e">
        <f>BB17-BB18</f>
        <v>#REF!</v>
      </c>
      <c r="BC19" s="719"/>
      <c r="BD19" s="606" t="e">
        <f>BD17-BD18</f>
        <v>#REF!</v>
      </c>
      <c r="BE19" s="719"/>
      <c r="BF19" s="606" t="e">
        <f>BF17-BF18</f>
        <v>#REF!</v>
      </c>
      <c r="BG19" s="719"/>
      <c r="BH19" s="624" t="e">
        <f>BH17-BH18</f>
        <v>#REF!</v>
      </c>
      <c r="BI19" s="733"/>
      <c r="BJ19" s="624" t="e">
        <f>BJ17-BJ18</f>
        <v>#REF!</v>
      </c>
      <c r="BK19" s="733"/>
      <c r="BL19" s="624" t="e">
        <f>BL17-BL18</f>
        <v>#REF!</v>
      </c>
      <c r="BM19" s="733"/>
      <c r="BN19" s="624" t="e">
        <f>BN17-BN18</f>
        <v>#REF!</v>
      </c>
      <c r="BO19" s="733"/>
      <c r="BP19" s="642" t="e">
        <f>BP17-BP18</f>
        <v>#REF!</v>
      </c>
      <c r="BQ19" s="749"/>
      <c r="BR19" s="642" t="e">
        <f>BR17-BR18</f>
        <v>#REF!</v>
      </c>
      <c r="BS19" s="749"/>
      <c r="BT19" s="642" t="e">
        <f>BT17-BT18</f>
        <v>#REF!</v>
      </c>
      <c r="BU19" s="749"/>
      <c r="BV19" s="642" t="e">
        <f>BV17-BV18</f>
        <v>#REF!</v>
      </c>
    </row>
    <row r="20" spans="1:118">
      <c r="A20" t="s">
        <v>1283</v>
      </c>
      <c r="C20" s="219" t="e">
        <f>IF('Data Entry - SOF'!#REF!=0,0,('Data Entry - SOF'!#REF!/'Data Entry - SOF'!#REF!)+0.0082)</f>
        <v>#REF!</v>
      </c>
      <c r="D20" s="237"/>
      <c r="E20" s="219" t="e">
        <f>IF('Data Entry - SOF'!#REF!=0,0,('Data Entry - SOF'!#REF!/'Data Entry - SOF'!#REF!)+0.0082)</f>
        <v>#REF!</v>
      </c>
      <c r="F20" s="237"/>
      <c r="G20" s="219" t="e">
        <f>IF('Data Entry - SOF'!#REF!=0,0,('Data Entry - SOF'!#REF!/'Data Entry - SOF'!#REF!)+0.0082)</f>
        <v>#REF!</v>
      </c>
      <c r="H20" s="237"/>
      <c r="I20" s="219" t="e">
        <f>IF('Data Entry - SOF'!#REF!=0,0,('Data Entry - SOF'!#REF!/'Data Entry - SOF'!#REF!)+0.0082)</f>
        <v>#REF!</v>
      </c>
      <c r="J20" s="237"/>
      <c r="K20" s="356" t="e">
        <f>IF('Data Entry - SOF'!#REF!=0,0,('Data Entry - SOF'!#REF!/'Data Entry - SOF'!#REF!)+0.0082)</f>
        <v>#REF!</v>
      </c>
      <c r="L20" s="357"/>
      <c r="M20" s="356" t="e">
        <f>K20</f>
        <v>#REF!</v>
      </c>
      <c r="N20" s="357"/>
      <c r="O20" s="356" t="e">
        <f>M20</f>
        <v>#REF!</v>
      </c>
      <c r="P20" s="357"/>
      <c r="Q20" s="356" t="e">
        <f>O20</f>
        <v>#REF!</v>
      </c>
      <c r="S20" s="219" t="e">
        <f>IF('Data Entry - SOF'!#REF!=0,0,('Data Entry - SOF'!#REF!/'Data Entry - SOF'!#REF!)+0.0082)</f>
        <v>#REF!</v>
      </c>
      <c r="T20" s="237"/>
      <c r="U20" s="219" t="e">
        <f>S20</f>
        <v>#REF!</v>
      </c>
      <c r="V20" s="237"/>
      <c r="W20" s="219" t="e">
        <f>U20</f>
        <v>#REF!</v>
      </c>
      <c r="X20" s="237"/>
      <c r="Y20" s="219" t="e">
        <f>W20</f>
        <v>#REF!</v>
      </c>
      <c r="AJ20" s="464" t="e">
        <f>IF('Data Entry - SOF'!#REF!=0,0,('Data Entry - SOF'!#REF!/'Data Entry - SOF'!#REF!)+0.0082)</f>
        <v>#REF!</v>
      </c>
      <c r="AK20" s="503"/>
      <c r="AL20" s="464" t="e">
        <f>AJ20</f>
        <v>#REF!</v>
      </c>
      <c r="AM20" s="503"/>
      <c r="AN20" s="464" t="e">
        <f>AL20</f>
        <v>#REF!</v>
      </c>
      <c r="AO20" s="503"/>
      <c r="AP20" s="464" t="e">
        <f>AN20</f>
        <v>#REF!</v>
      </c>
      <c r="AQ20" s="503"/>
      <c r="AR20" s="544" t="e">
        <f>IF('Data Entry - SOF'!#REF!=0,0,('Data Entry - SOF'!#REF!/'Data Entry - SOF'!#REF!)+0.0082)</f>
        <v>#REF!</v>
      </c>
      <c r="AS20" s="561"/>
      <c r="AT20" s="544" t="e">
        <f>AR20</f>
        <v>#REF!</v>
      </c>
      <c r="AU20" s="561"/>
      <c r="AV20" s="544" t="e">
        <f>AT20</f>
        <v>#REF!</v>
      </c>
      <c r="AW20" s="561"/>
      <c r="AX20" s="544" t="e">
        <f>AV20</f>
        <v>#REF!</v>
      </c>
      <c r="AY20" s="561"/>
      <c r="AZ20" s="602" t="e">
        <f>IF('Data Entry - SOF'!#REF!=0,0,('Data Entry - SOF'!#REF!/'Data Entry - SOF'!#REF!)+0.0082)</f>
        <v>#REF!</v>
      </c>
      <c r="BA20" s="720"/>
      <c r="BB20" s="602" t="e">
        <f>AZ20</f>
        <v>#REF!</v>
      </c>
      <c r="BC20" s="720"/>
      <c r="BD20" s="602" t="e">
        <f>BB20</f>
        <v>#REF!</v>
      </c>
      <c r="BE20" s="720"/>
      <c r="BF20" s="602" t="e">
        <f>BD20</f>
        <v>#REF!</v>
      </c>
      <c r="BG20" s="720"/>
      <c r="BH20" s="620" t="e">
        <f>IF('Data Entry - SOF'!#REF!=0,0,('Data Entry - SOF'!#REF!/'Data Entry - SOF'!#REF!)+0.0082)</f>
        <v>#REF!</v>
      </c>
      <c r="BI20" s="734"/>
      <c r="BJ20" s="620" t="e">
        <f>BH20</f>
        <v>#REF!</v>
      </c>
      <c r="BK20" s="734"/>
      <c r="BL20" s="620" t="e">
        <f>BJ20</f>
        <v>#REF!</v>
      </c>
      <c r="BM20" s="734"/>
      <c r="BN20" s="620" t="e">
        <f>BL20</f>
        <v>#REF!</v>
      </c>
      <c r="BO20" s="734"/>
      <c r="BP20" s="638" t="e">
        <f>IF('Data Entry - SOF'!#REF!=0,0,('Data Entry - SOF'!#REF!/'Data Entry - SOF'!#REF!)+0.0082)</f>
        <v>#REF!</v>
      </c>
      <c r="BQ20" s="750"/>
      <c r="BR20" s="638" t="e">
        <f>BP20</f>
        <v>#REF!</v>
      </c>
      <c r="BS20" s="750"/>
      <c r="BT20" s="638" t="e">
        <f>BR20</f>
        <v>#REF!</v>
      </c>
      <c r="BU20" s="750"/>
      <c r="BV20" s="638" t="e">
        <f>BT20</f>
        <v>#REF!</v>
      </c>
    </row>
    <row r="21" spans="1:118">
      <c r="A21" t="s">
        <v>1111</v>
      </c>
      <c r="C21" s="219" t="e">
        <f>IF(C20&gt;0.015,C20,0.015)</f>
        <v>#REF!</v>
      </c>
      <c r="D21" s="237"/>
      <c r="E21" s="219" t="e">
        <f>IF(E20&gt;0.015,E20,0.015)</f>
        <v>#REF!</v>
      </c>
      <c r="F21" s="237"/>
      <c r="G21" s="219" t="e">
        <f>IF(G20&gt;0.015,G20,0.015)</f>
        <v>#REF!</v>
      </c>
      <c r="H21" s="237"/>
      <c r="I21" s="219" t="e">
        <f>IF(I20&gt;0.015,I20,0.015)</f>
        <v>#REF!</v>
      </c>
      <c r="J21" s="237"/>
      <c r="K21" s="356" t="e">
        <f>IF(K20&gt;0.015,K20,0.015)</f>
        <v>#REF!</v>
      </c>
      <c r="L21" s="357"/>
      <c r="M21" s="356" t="e">
        <f>IF(M20&gt;0.015,M20,0.015)</f>
        <v>#REF!</v>
      </c>
      <c r="N21" s="357"/>
      <c r="O21" s="356" t="e">
        <f>IF(O20&gt;0.015,O20,0.015)</f>
        <v>#REF!</v>
      </c>
      <c r="P21" s="357"/>
      <c r="Q21" s="356" t="e">
        <f>IF(Q20&gt;0.015,Q20,0.015)</f>
        <v>#REF!</v>
      </c>
      <c r="S21" s="219" t="e">
        <f>IF(S20&gt;0.015,S20,0.015)</f>
        <v>#REF!</v>
      </c>
      <c r="T21" s="237"/>
      <c r="U21" s="219" t="e">
        <f>IF(U20&gt;0.015,U20,0.015)</f>
        <v>#REF!</v>
      </c>
      <c r="V21" s="237"/>
      <c r="W21" s="219" t="e">
        <f>IF(W20&gt;0.015,W20,0.015)</f>
        <v>#REF!</v>
      </c>
      <c r="X21" s="237"/>
      <c r="Y21" s="219" t="e">
        <f>IF(Y20&gt;0.015,Y20,0.015)</f>
        <v>#REF!</v>
      </c>
      <c r="AJ21" s="464" t="e">
        <f>IF(AJ20&gt;0.015,AJ20,0.015)</f>
        <v>#REF!</v>
      </c>
      <c r="AK21" s="503"/>
      <c r="AL21" s="464" t="e">
        <f>IF(AL20&gt;0.015,AL20,0.015)</f>
        <v>#REF!</v>
      </c>
      <c r="AM21" s="503"/>
      <c r="AN21" s="464" t="e">
        <f>IF(AN20&gt;0.015,AN20,0.015)</f>
        <v>#REF!</v>
      </c>
      <c r="AO21" s="503"/>
      <c r="AP21" s="464" t="e">
        <f>IF(AP20&gt;0.015,AP20,0.015)</f>
        <v>#REF!</v>
      </c>
      <c r="AQ21" s="503"/>
      <c r="AR21" s="544" t="e">
        <f>IF(AR20&gt;0.015,AR20,0.015)</f>
        <v>#REF!</v>
      </c>
      <c r="AS21" s="561"/>
      <c r="AT21" s="544" t="e">
        <f>IF(AT20&gt;0.015,AT20,0.015)</f>
        <v>#REF!</v>
      </c>
      <c r="AU21" s="561"/>
      <c r="AV21" s="544" t="e">
        <f>IF(AV20&gt;0.015,AV20,0.015)</f>
        <v>#REF!</v>
      </c>
      <c r="AW21" s="561"/>
      <c r="AX21" s="544" t="e">
        <f>IF(AX20&gt;0.015,AX20,0.015)</f>
        <v>#REF!</v>
      </c>
      <c r="AY21" s="561"/>
      <c r="AZ21" s="602" t="e">
        <f>IF(AZ20&gt;0.015,AZ20,0.015)</f>
        <v>#REF!</v>
      </c>
      <c r="BA21" s="720"/>
      <c r="BB21" s="602" t="e">
        <f>IF(BB20&gt;0.015,BB20,0.015)</f>
        <v>#REF!</v>
      </c>
      <c r="BC21" s="720"/>
      <c r="BD21" s="602" t="e">
        <f>IF(BD20&gt;0.015,BD20,0.015)</f>
        <v>#REF!</v>
      </c>
      <c r="BE21" s="720"/>
      <c r="BF21" s="602" t="e">
        <f>IF(BF20&gt;0.015,BF20,0.015)</f>
        <v>#REF!</v>
      </c>
      <c r="BG21" s="720"/>
      <c r="BH21" s="620" t="e">
        <f>IF(BH20&gt;0.015,BH20,0.015)</f>
        <v>#REF!</v>
      </c>
      <c r="BI21" s="734"/>
      <c r="BJ21" s="620" t="e">
        <f>IF(BJ20&gt;0.015,BJ20,0.015)</f>
        <v>#REF!</v>
      </c>
      <c r="BK21" s="734"/>
      <c r="BL21" s="620" t="e">
        <f>IF(BL20&gt;0.015,BL20,0.015)</f>
        <v>#REF!</v>
      </c>
      <c r="BM21" s="734"/>
      <c r="BN21" s="620" t="e">
        <f>IF(BN20&gt;0.015,BN20,0.015)</f>
        <v>#REF!</v>
      </c>
      <c r="BO21" s="734"/>
      <c r="BP21" s="638" t="e">
        <f>IF(BP20&gt;0.015,BP20,0.015)</f>
        <v>#REF!</v>
      </c>
      <c r="BQ21" s="750"/>
      <c r="BR21" s="638" t="e">
        <f>IF(BR20&gt;0.015,BR20,0.015)</f>
        <v>#REF!</v>
      </c>
      <c r="BS21" s="750"/>
      <c r="BT21" s="638" t="e">
        <f>IF(BT20&gt;0.015,BT20,0.015)</f>
        <v>#REF!</v>
      </c>
      <c r="BU21" s="750"/>
      <c r="BV21" s="638" t="e">
        <f>IF(BV20&gt;0.015,BV20,0.015)</f>
        <v>#REF!</v>
      </c>
    </row>
    <row r="22" spans="1:118">
      <c r="K22" s="323"/>
      <c r="L22" s="323"/>
      <c r="M22" s="323"/>
      <c r="N22" s="323"/>
      <c r="O22" s="323"/>
      <c r="P22" s="323"/>
      <c r="Q22" s="323"/>
      <c r="S22" s="180"/>
      <c r="U22" s="180"/>
      <c r="W22" s="180"/>
      <c r="X22" s="180"/>
      <c r="Y22" s="180"/>
      <c r="AJ22" s="111"/>
      <c r="AK22" s="111"/>
      <c r="AL22" s="111"/>
      <c r="AM22" s="111"/>
      <c r="AN22" s="111"/>
      <c r="AO22" s="111"/>
      <c r="AP22" s="111"/>
      <c r="AQ22" s="111"/>
      <c r="AR22" s="531"/>
      <c r="AS22" s="531"/>
      <c r="AT22" s="531"/>
      <c r="AU22" s="531"/>
      <c r="AV22" s="531"/>
      <c r="AW22" s="531"/>
      <c r="AX22" s="531"/>
      <c r="AY22" s="531"/>
      <c r="CN22" s="461" t="s">
        <v>1059</v>
      </c>
      <c r="CP22" s="461" t="s">
        <v>1059</v>
      </c>
      <c r="CT22" s="536" t="s">
        <v>2516</v>
      </c>
      <c r="CU22" s="531"/>
      <c r="CV22" s="536" t="s">
        <v>2516</v>
      </c>
      <c r="CW22" s="531"/>
      <c r="CX22" s="531"/>
      <c r="CY22" s="531"/>
      <c r="CZ22" s="600" t="s">
        <v>195</v>
      </c>
      <c r="DB22" s="600" t="s">
        <v>195</v>
      </c>
      <c r="DF22" s="619" t="s">
        <v>196</v>
      </c>
      <c r="DH22" s="619" t="s">
        <v>196</v>
      </c>
      <c r="DL22" s="637" t="s">
        <v>197</v>
      </c>
      <c r="DN22" s="637" t="s">
        <v>197</v>
      </c>
    </row>
    <row r="23" spans="1:118" ht="15.75">
      <c r="A23" s="38" t="s">
        <v>1284</v>
      </c>
      <c r="K23" s="323"/>
      <c r="L23" s="323"/>
      <c r="M23" s="323"/>
      <c r="N23" s="323"/>
      <c r="O23" s="323"/>
      <c r="P23" s="323"/>
      <c r="Q23" s="323"/>
      <c r="S23" s="180"/>
      <c r="U23" s="180"/>
      <c r="W23" s="180"/>
      <c r="X23" s="180"/>
      <c r="Y23" s="180"/>
      <c r="AJ23" s="111"/>
      <c r="AK23" s="111"/>
      <c r="AL23" s="111"/>
      <c r="AM23" s="111"/>
      <c r="AN23" s="111"/>
      <c r="AO23" s="111"/>
      <c r="AP23" s="111"/>
      <c r="AQ23" s="111"/>
      <c r="AR23" s="531"/>
      <c r="AS23" s="531"/>
      <c r="AT23" s="531"/>
      <c r="AU23" s="531"/>
      <c r="AV23" s="531"/>
      <c r="AW23" s="531"/>
      <c r="AX23" s="531"/>
      <c r="AY23" s="531"/>
      <c r="CT23" s="531"/>
      <c r="CU23" s="531"/>
      <c r="CV23" s="531"/>
      <c r="CW23" s="531"/>
      <c r="CX23" s="531"/>
      <c r="CY23" s="531"/>
    </row>
    <row r="24" spans="1:118">
      <c r="A24" t="s">
        <v>2150</v>
      </c>
      <c r="C24" s="204">
        <f>'Ch41 Calc Data'!E10*364500</f>
        <v>0</v>
      </c>
      <c r="D24" s="191"/>
      <c r="E24" s="204">
        <f>'Ch41 Calc Data'!E10*364500</f>
        <v>0</v>
      </c>
      <c r="F24" s="191"/>
      <c r="G24" s="204">
        <f>'Ch41 Calc Data'!E10*319500</f>
        <v>0</v>
      </c>
      <c r="H24" s="191"/>
      <c r="I24" s="204">
        <f>'Ch41 Calc Data'!E10*319500</f>
        <v>0</v>
      </c>
      <c r="J24" s="191"/>
      <c r="K24" s="332" t="e">
        <f>'Ch41 Calc Data'!#REF!*374200</f>
        <v>#REF!</v>
      </c>
      <c r="L24" s="326"/>
      <c r="M24" s="332" t="e">
        <f>K24</f>
        <v>#REF!</v>
      </c>
      <c r="N24" s="326"/>
      <c r="O24" s="332" t="e">
        <f>'Ch41 Calc Data'!#REF!*319500</f>
        <v>#REF!</v>
      </c>
      <c r="P24" s="326"/>
      <c r="Q24" s="332" t="e">
        <f>O24</f>
        <v>#REF!</v>
      </c>
      <c r="S24" s="204" t="e">
        <f>'Ch41 Calc Data'!#REF!*374200</f>
        <v>#REF!</v>
      </c>
      <c r="T24" s="191"/>
      <c r="U24" s="204" t="e">
        <f>S24</f>
        <v>#REF!</v>
      </c>
      <c r="V24" s="191"/>
      <c r="W24" s="204" t="e">
        <f>'Ch41 Calc Data'!#REF!*319500</f>
        <v>#REF!</v>
      </c>
      <c r="X24" s="191"/>
      <c r="Y24" s="204" t="e">
        <f>W24</f>
        <v>#REF!</v>
      </c>
      <c r="AJ24" s="466" t="e">
        <f>'Ch41 Calc Data'!#REF!*Assumptions!C21</f>
        <v>#REF!</v>
      </c>
      <c r="AK24" s="502"/>
      <c r="AL24" s="466" t="e">
        <f>AJ24</f>
        <v>#REF!</v>
      </c>
      <c r="AM24" s="502"/>
      <c r="AN24" s="466" t="e">
        <f>'Ch41 Calc Data'!#REF!*Assumptions!C22</f>
        <v>#REF!</v>
      </c>
      <c r="AO24" s="502"/>
      <c r="AP24" s="466" t="e">
        <f>AN24</f>
        <v>#REF!</v>
      </c>
      <c r="AQ24" s="502"/>
      <c r="AR24" s="546" t="e">
        <f>'Ch41 Calc Data'!#REF!*Assumptions!C30</f>
        <v>#REF!</v>
      </c>
      <c r="AS24" s="560"/>
      <c r="AT24" s="546" t="e">
        <f>AR24</f>
        <v>#REF!</v>
      </c>
      <c r="AU24" s="560"/>
      <c r="AV24" s="546" t="e">
        <f>'Ch41 Calc Data'!#REF!*Assumptions!C31</f>
        <v>#REF!</v>
      </c>
      <c r="AW24" s="560"/>
      <c r="AX24" s="546" t="e">
        <f>AV24</f>
        <v>#REF!</v>
      </c>
      <c r="AY24" s="560"/>
      <c r="AZ24" s="606" t="e">
        <f>'Ch41 Calc Data'!#REF!*Assumptions!C40</f>
        <v>#REF!</v>
      </c>
      <c r="BA24" s="719"/>
      <c r="BB24" s="606" t="e">
        <f>AZ24</f>
        <v>#REF!</v>
      </c>
      <c r="BC24" s="719"/>
      <c r="BD24" s="606" t="e">
        <f>'Ch41 Calc Data'!#REF!*Assumptions!C41</f>
        <v>#REF!</v>
      </c>
      <c r="BE24" s="719"/>
      <c r="BF24" s="606" t="e">
        <f>BD24</f>
        <v>#REF!</v>
      </c>
      <c r="BG24" s="719"/>
      <c r="BH24" s="624" t="e">
        <f>'Ch41 Calc Data'!#REF!*Assumptions!C50</f>
        <v>#REF!</v>
      </c>
      <c r="BI24" s="733"/>
      <c r="BJ24" s="624" t="e">
        <f>BH24</f>
        <v>#REF!</v>
      </c>
      <c r="BK24" s="733"/>
      <c r="BL24" s="624" t="e">
        <f>'Ch41 Calc Data'!#REF!*Assumptions!C51</f>
        <v>#REF!</v>
      </c>
      <c r="BM24" s="733"/>
      <c r="BN24" s="624" t="e">
        <f>BL24</f>
        <v>#REF!</v>
      </c>
      <c r="BO24" s="733"/>
      <c r="BP24" s="642">
        <f>'Ch41 Calc Data'!I10*Assumptions!C59</f>
        <v>0</v>
      </c>
      <c r="BQ24" s="749"/>
      <c r="BR24" s="642">
        <f>BP24</f>
        <v>0</v>
      </c>
      <c r="BS24" s="749"/>
      <c r="BT24" s="642">
        <f>'Ch41 Calc Data'!I10*Assumptions!C60</f>
        <v>0</v>
      </c>
      <c r="BU24" s="749"/>
      <c r="BV24" s="642">
        <f>BT24</f>
        <v>0</v>
      </c>
      <c r="BX24" s="332" t="e">
        <f>'Ch41 Calc Data'!#REF!*374200</f>
        <v>#REF!</v>
      </c>
      <c r="BY24" s="326"/>
      <c r="BZ24" s="332" t="e">
        <f>BX24</f>
        <v>#REF!</v>
      </c>
      <c r="CH24" s="204" t="e">
        <f>'Ch41 Calc Data'!#REF!*374200</f>
        <v>#REF!</v>
      </c>
      <c r="CI24" s="191"/>
      <c r="CJ24" s="204" t="e">
        <f>CH24</f>
        <v>#REF!</v>
      </c>
      <c r="CN24" s="484" t="e">
        <f>'Ch41 Calc Data'!#REF!*Assumptions!C21</f>
        <v>#REF!</v>
      </c>
      <c r="CO24" s="485"/>
      <c r="CP24" s="484" t="e">
        <f>CN24</f>
        <v>#REF!</v>
      </c>
      <c r="CQ24" s="486"/>
      <c r="CR24" s="486"/>
      <c r="CT24" s="573" t="e">
        <f>'Ch41 Calc Data'!#REF!*Assumptions!C30</f>
        <v>#REF!</v>
      </c>
      <c r="CU24" s="574"/>
      <c r="CV24" s="573" t="e">
        <f>CT24</f>
        <v>#REF!</v>
      </c>
      <c r="CW24" s="575"/>
      <c r="CX24" s="575"/>
      <c r="CY24" s="575"/>
      <c r="CZ24" s="700" t="e">
        <f>'Ch41 Calc Data'!#REF!*Assumptions!C40</f>
        <v>#REF!</v>
      </c>
      <c r="DA24" s="701"/>
      <c r="DB24" s="700" t="e">
        <f>CZ24</f>
        <v>#REF!</v>
      </c>
      <c r="DF24" s="763" t="e">
        <f>'Ch41 Calc Data'!#REF!*Assumptions!C50</f>
        <v>#REF!</v>
      </c>
      <c r="DG24" s="764"/>
      <c r="DH24" s="763" t="e">
        <f>DF24</f>
        <v>#REF!</v>
      </c>
      <c r="DL24" s="779">
        <f>'Ch41 Calc Data'!I10*Assumptions!C59</f>
        <v>0</v>
      </c>
      <c r="DM24" s="780"/>
      <c r="DN24" s="779">
        <f>DL24</f>
        <v>0</v>
      </c>
    </row>
    <row r="25" spans="1:118">
      <c r="K25" s="323"/>
      <c r="L25" s="323"/>
      <c r="M25" s="323"/>
      <c r="N25" s="323"/>
      <c r="O25" s="323"/>
      <c r="P25" s="323"/>
      <c r="Q25" s="323"/>
      <c r="S25" s="180"/>
      <c r="U25" s="180"/>
      <c r="W25" s="180"/>
      <c r="X25" s="180"/>
      <c r="Y25" s="180"/>
      <c r="AJ25" s="111"/>
      <c r="AK25" s="111"/>
      <c r="AL25" s="111"/>
      <c r="AM25" s="111"/>
      <c r="AN25" s="111"/>
      <c r="AO25" s="111"/>
      <c r="AP25" s="111"/>
      <c r="AQ25" s="111"/>
      <c r="AR25" s="531"/>
      <c r="AS25" s="531"/>
      <c r="AT25" s="531"/>
      <c r="AU25" s="531"/>
      <c r="AV25" s="531"/>
      <c r="AW25" s="531"/>
      <c r="AX25" s="531"/>
      <c r="AY25" s="531"/>
      <c r="BX25" s="323"/>
      <c r="BY25" s="323"/>
      <c r="BZ25" s="323"/>
      <c r="CN25" s="486"/>
      <c r="CO25" s="486"/>
      <c r="CP25" s="486"/>
      <c r="CQ25" s="486"/>
      <c r="CR25" s="486"/>
      <c r="CT25" s="575"/>
      <c r="CU25" s="575"/>
      <c r="CV25" s="575"/>
      <c r="CW25" s="575"/>
      <c r="CX25" s="575"/>
      <c r="CY25" s="575"/>
      <c r="CZ25" s="702"/>
      <c r="DA25" s="702"/>
      <c r="DB25" s="702"/>
      <c r="DF25" s="765"/>
      <c r="DG25" s="765"/>
      <c r="DH25" s="765"/>
      <c r="DL25" s="781"/>
      <c r="DM25" s="781"/>
      <c r="DN25" s="781"/>
    </row>
    <row r="26" spans="1:118" ht="15.75">
      <c r="A26" s="38" t="s">
        <v>2390</v>
      </c>
      <c r="K26" s="323"/>
      <c r="L26" s="323"/>
      <c r="M26" s="323"/>
      <c r="N26" s="323"/>
      <c r="O26" s="323"/>
      <c r="P26" s="323"/>
      <c r="Q26" s="323"/>
      <c r="S26" s="180"/>
      <c r="U26" s="180"/>
      <c r="W26" s="180"/>
      <c r="X26" s="180"/>
      <c r="Y26" s="180"/>
      <c r="AJ26" s="111"/>
      <c r="AK26" s="111"/>
      <c r="AL26" s="111"/>
      <c r="AM26" s="111"/>
      <c r="AN26" s="111"/>
      <c r="AO26" s="111"/>
      <c r="AP26" s="111"/>
      <c r="AQ26" s="111"/>
      <c r="AR26" s="531"/>
      <c r="AS26" s="531"/>
      <c r="AT26" s="531"/>
      <c r="AU26" s="531"/>
      <c r="AV26" s="531"/>
      <c r="AW26" s="531"/>
      <c r="AX26" s="531"/>
      <c r="AY26" s="531"/>
      <c r="BP26" s="636">
        <f>Assumptions!C59/280000</f>
        <v>1.8835714285714287</v>
      </c>
      <c r="BX26" s="323"/>
      <c r="BY26" s="323"/>
      <c r="BZ26" s="323"/>
      <c r="CN26" s="486"/>
      <c r="CO26" s="486"/>
      <c r="CP26" s="486"/>
      <c r="CQ26" s="486"/>
      <c r="CR26" s="486"/>
      <c r="CT26" s="575"/>
      <c r="CU26" s="575"/>
      <c r="CV26" s="575"/>
      <c r="CW26" s="575"/>
      <c r="CX26" s="575"/>
      <c r="CY26" s="575"/>
      <c r="CZ26" s="702"/>
      <c r="DA26" s="702"/>
      <c r="DB26" s="702"/>
      <c r="DF26" s="765"/>
      <c r="DG26" s="765"/>
      <c r="DH26" s="765"/>
      <c r="DL26" s="781"/>
      <c r="DM26" s="781"/>
      <c r="DN26" s="781"/>
    </row>
    <row r="27" spans="1:118">
      <c r="A27" t="s">
        <v>2742</v>
      </c>
      <c r="C27" s="204" t="e">
        <f>C19/C21</f>
        <v>#REF!</v>
      </c>
      <c r="D27" s="200"/>
      <c r="E27" s="222" t="s">
        <v>1994</v>
      </c>
      <c r="F27" s="200"/>
      <c r="G27" s="204" t="e">
        <f>G19/G21</f>
        <v>#REF!</v>
      </c>
      <c r="H27" s="200"/>
      <c r="I27" s="222" t="s">
        <v>1994</v>
      </c>
      <c r="J27" s="200"/>
      <c r="K27" s="332" t="e">
        <f>K19/K21</f>
        <v>#REF!</v>
      </c>
      <c r="L27" s="354"/>
      <c r="M27" s="355" t="s">
        <v>1994</v>
      </c>
      <c r="N27" s="354"/>
      <c r="O27" s="332" t="e">
        <f>O19/O21</f>
        <v>#REF!</v>
      </c>
      <c r="P27" s="354"/>
      <c r="Q27" s="355" t="s">
        <v>1994</v>
      </c>
      <c r="S27" s="204" t="e">
        <f>S19/S21</f>
        <v>#REF!</v>
      </c>
      <c r="T27" s="200"/>
      <c r="U27" s="222" t="s">
        <v>1994</v>
      </c>
      <c r="V27" s="200"/>
      <c r="W27" s="204" t="e">
        <f>W19/W21</f>
        <v>#REF!</v>
      </c>
      <c r="X27" s="200"/>
      <c r="Y27" s="222" t="s">
        <v>1994</v>
      </c>
      <c r="AJ27" s="466" t="e">
        <f>AJ19/AJ21</f>
        <v>#REF!</v>
      </c>
      <c r="AK27" s="504"/>
      <c r="AL27" s="505" t="s">
        <v>1994</v>
      </c>
      <c r="AM27" s="504"/>
      <c r="AN27" s="466" t="e">
        <f>AN19/AN21</f>
        <v>#REF!</v>
      </c>
      <c r="AO27" s="504"/>
      <c r="AP27" s="505" t="s">
        <v>1994</v>
      </c>
      <c r="AQ27" s="504"/>
      <c r="AR27" s="546" t="e">
        <f>AR19/AR21</f>
        <v>#REF!</v>
      </c>
      <c r="AS27" s="562"/>
      <c r="AT27" s="563" t="s">
        <v>1994</v>
      </c>
      <c r="AU27" s="562"/>
      <c r="AV27" s="546" t="e">
        <f>AV19/AV21</f>
        <v>#REF!</v>
      </c>
      <c r="AW27" s="562"/>
      <c r="AX27" s="563" t="s">
        <v>1994</v>
      </c>
      <c r="AY27" s="562"/>
      <c r="AZ27" s="606" t="e">
        <f>AZ19/AZ21</f>
        <v>#REF!</v>
      </c>
      <c r="BA27" s="721"/>
      <c r="BB27" s="722" t="s">
        <v>1994</v>
      </c>
      <c r="BC27" s="721"/>
      <c r="BD27" s="606" t="e">
        <f>BD19/BD21</f>
        <v>#REF!</v>
      </c>
      <c r="BE27" s="721"/>
      <c r="BF27" s="722" t="s">
        <v>1994</v>
      </c>
      <c r="BG27" s="721"/>
      <c r="BH27" s="624" t="e">
        <f>BH19/BH21</f>
        <v>#REF!</v>
      </c>
      <c r="BI27" s="735"/>
      <c r="BJ27" s="736" t="s">
        <v>1994</v>
      </c>
      <c r="BK27" s="735"/>
      <c r="BL27" s="624" t="e">
        <f>BL19/BL21</f>
        <v>#REF!</v>
      </c>
      <c r="BM27" s="735"/>
      <c r="BN27" s="736" t="s">
        <v>1994</v>
      </c>
      <c r="BO27" s="735"/>
      <c r="BP27" s="642" t="e">
        <f>BP19/BP21</f>
        <v>#REF!</v>
      </c>
      <c r="BQ27" s="751"/>
      <c r="BR27" s="752" t="s">
        <v>1994</v>
      </c>
      <c r="BS27" s="751"/>
      <c r="BT27" s="642" t="e">
        <f>BT19/BT21</f>
        <v>#REF!</v>
      </c>
      <c r="BU27" s="751"/>
      <c r="BV27" s="752" t="s">
        <v>1994</v>
      </c>
      <c r="BX27" s="323"/>
      <c r="BY27" s="323"/>
      <c r="BZ27" s="323"/>
      <c r="CN27" s="486"/>
      <c r="CO27" s="486"/>
      <c r="CP27" s="486"/>
      <c r="CQ27" s="486"/>
      <c r="CR27" s="486"/>
      <c r="CT27" s="575"/>
      <c r="CU27" s="575"/>
      <c r="CV27" s="575"/>
      <c r="CW27" s="575"/>
      <c r="CX27" s="575"/>
      <c r="CY27" s="575"/>
      <c r="CZ27" s="702"/>
      <c r="DA27" s="702"/>
      <c r="DB27" s="702"/>
      <c r="DF27" s="765"/>
      <c r="DG27" s="765"/>
      <c r="DH27" s="765"/>
      <c r="DL27" s="781"/>
      <c r="DM27" s="781"/>
      <c r="DN27" s="781"/>
    </row>
    <row r="28" spans="1:118">
      <c r="A28" t="s">
        <v>2743</v>
      </c>
      <c r="C28" s="204" t="e">
        <f>C27/'Ch41 Calc Data'!E10</f>
        <v>#REF!</v>
      </c>
      <c r="D28" s="200"/>
      <c r="E28" s="222" t="s">
        <v>1994</v>
      </c>
      <c r="F28" s="200"/>
      <c r="G28" s="204" t="e">
        <f>G27/'Ch41 Calc Data'!E10</f>
        <v>#REF!</v>
      </c>
      <c r="H28" s="200"/>
      <c r="I28" s="222" t="s">
        <v>1994</v>
      </c>
      <c r="J28" s="200"/>
      <c r="K28" s="332" t="e">
        <f>K27/'Ch41 Calc Data'!#REF!</f>
        <v>#REF!</v>
      </c>
      <c r="L28" s="354"/>
      <c r="M28" s="355" t="s">
        <v>1994</v>
      </c>
      <c r="N28" s="354"/>
      <c r="O28" s="332" t="e">
        <f>O27/'Ch41 Calc Data'!#REF!</f>
        <v>#REF!</v>
      </c>
      <c r="P28" s="354"/>
      <c r="Q28" s="355" t="s">
        <v>1994</v>
      </c>
      <c r="S28" s="204" t="e">
        <f>S27/'Ch41 Calc Data'!#REF!</f>
        <v>#REF!</v>
      </c>
      <c r="T28" s="200"/>
      <c r="U28" s="222" t="s">
        <v>1994</v>
      </c>
      <c r="V28" s="200"/>
      <c r="W28" s="204" t="e">
        <f>W27/'Ch41 Calc Data'!#REF!</f>
        <v>#REF!</v>
      </c>
      <c r="X28" s="200"/>
      <c r="Y28" s="222" t="s">
        <v>1994</v>
      </c>
      <c r="AJ28" s="466" t="e">
        <f>AJ27/'Ch41 Calc Data'!#REF!</f>
        <v>#REF!</v>
      </c>
      <c r="AK28" s="504"/>
      <c r="AL28" s="505" t="s">
        <v>1994</v>
      </c>
      <c r="AM28" s="504"/>
      <c r="AN28" s="466" t="e">
        <f>AN27/'Ch41 Calc Data'!#REF!</f>
        <v>#REF!</v>
      </c>
      <c r="AO28" s="504"/>
      <c r="AP28" s="505" t="s">
        <v>1994</v>
      </c>
      <c r="AQ28" s="504"/>
      <c r="AR28" s="546" t="e">
        <f>AR27/'Ch41 Calc Data'!#REF!</f>
        <v>#REF!</v>
      </c>
      <c r="AS28" s="562"/>
      <c r="AT28" s="563" t="s">
        <v>1994</v>
      </c>
      <c r="AU28" s="562"/>
      <c r="AV28" s="546" t="e">
        <f>AV27/'Ch41 Calc Data'!#REF!</f>
        <v>#REF!</v>
      </c>
      <c r="AW28" s="562"/>
      <c r="AX28" s="563" t="s">
        <v>1994</v>
      </c>
      <c r="AY28" s="562"/>
      <c r="AZ28" s="606" t="e">
        <f>AZ27/'Ch41 Calc Data'!#REF!</f>
        <v>#REF!</v>
      </c>
      <c r="BA28" s="721"/>
      <c r="BB28" s="722" t="s">
        <v>1994</v>
      </c>
      <c r="BC28" s="721"/>
      <c r="BD28" s="606" t="e">
        <f>BD27/'Ch41 Calc Data'!#REF!</f>
        <v>#REF!</v>
      </c>
      <c r="BE28" s="721"/>
      <c r="BF28" s="722" t="s">
        <v>1994</v>
      </c>
      <c r="BG28" s="721"/>
      <c r="BH28" s="624" t="e">
        <f>BH27/'Ch41 Calc Data'!#REF!</f>
        <v>#REF!</v>
      </c>
      <c r="BI28" s="735"/>
      <c r="BJ28" s="736" t="s">
        <v>1994</v>
      </c>
      <c r="BK28" s="735"/>
      <c r="BL28" s="624" t="e">
        <f>BL27/'Ch41 Calc Data'!#REF!</f>
        <v>#REF!</v>
      </c>
      <c r="BM28" s="735"/>
      <c r="BN28" s="736" t="s">
        <v>1994</v>
      </c>
      <c r="BO28" s="735"/>
      <c r="BP28" s="642" t="e">
        <f>BP27/'Ch41 Calc Data'!I10</f>
        <v>#REF!</v>
      </c>
      <c r="BQ28" s="751"/>
      <c r="BR28" s="752" t="s">
        <v>1994</v>
      </c>
      <c r="BS28" s="751"/>
      <c r="BT28" s="642" t="e">
        <f>BT27/'Ch41 Calc Data'!I10</f>
        <v>#REF!</v>
      </c>
      <c r="BU28" s="751"/>
      <c r="BV28" s="752" t="s">
        <v>1994</v>
      </c>
      <c r="BX28" s="323"/>
      <c r="BY28" s="323"/>
      <c r="BZ28" s="323"/>
      <c r="CN28" s="486"/>
      <c r="CO28" s="486"/>
      <c r="CP28" s="486"/>
      <c r="CQ28" s="486"/>
      <c r="CR28" s="486"/>
      <c r="CT28" s="575"/>
      <c r="CU28" s="575"/>
      <c r="CV28" s="575"/>
      <c r="CW28" s="575"/>
      <c r="CX28" s="575"/>
      <c r="CY28" s="575"/>
      <c r="CZ28" s="702"/>
      <c r="DA28" s="702"/>
      <c r="DB28" s="702"/>
      <c r="DF28" s="765"/>
      <c r="DG28" s="765"/>
      <c r="DH28" s="765"/>
      <c r="DL28" s="781"/>
      <c r="DM28" s="781"/>
      <c r="DN28" s="781"/>
    </row>
    <row r="29" spans="1:118">
      <c r="A29" t="s">
        <v>2039</v>
      </c>
      <c r="C29" s="204" t="e">
        <f>C28*((0.3017857*('Data Entry - SOF'!#REF!/1.17))+1)</f>
        <v>#REF!</v>
      </c>
      <c r="D29" s="200"/>
      <c r="E29" s="222" t="s">
        <v>1994</v>
      </c>
      <c r="F29" s="200"/>
      <c r="G29" s="204" t="e">
        <f>G28*((0.140714286*('Data Entry - SOF'!#REF!/1.17))+1)</f>
        <v>#REF!</v>
      </c>
      <c r="H29" s="200"/>
      <c r="I29" s="222" t="s">
        <v>1994</v>
      </c>
      <c r="J29" s="200"/>
      <c r="K29" s="332" t="e">
        <f>K28*((0.3364286*('Data Entry - SOF'!#REF!/1.17))+1)</f>
        <v>#REF!</v>
      </c>
      <c r="L29" s="354"/>
      <c r="M29" s="355" t="s">
        <v>1994</v>
      </c>
      <c r="N29" s="354"/>
      <c r="O29" s="332" t="e">
        <f>O28*((0.140714286*('Data Entry - SOF'!#REF!/1.17))+1)</f>
        <v>#REF!</v>
      </c>
      <c r="P29" s="354"/>
      <c r="Q29" s="355" t="s">
        <v>1994</v>
      </c>
      <c r="S29" s="204" t="e">
        <f>S28*((0.3364286*('Data Entry - SOF'!#REF!/1.17))+1)</f>
        <v>#REF!</v>
      </c>
      <c r="T29" s="200"/>
      <c r="U29" s="222" t="s">
        <v>1994</v>
      </c>
      <c r="V29" s="200"/>
      <c r="W29" s="204" t="e">
        <f>W28*((0.140714286*('Data Entry - SOF'!#REF!/1.17))+1)</f>
        <v>#REF!</v>
      </c>
      <c r="X29" s="200"/>
      <c r="Y29" s="222" t="s">
        <v>1994</v>
      </c>
      <c r="AJ29" s="466" t="e">
        <f>AJ28*((((Assumptions!C21/280000)-1)*('Data Entry - SOF'!#REF!/1.17))+1)</f>
        <v>#REF!</v>
      </c>
      <c r="AK29" s="504"/>
      <c r="AL29" s="505" t="s">
        <v>1994</v>
      </c>
      <c r="AM29" s="504"/>
      <c r="AN29" s="466" t="e">
        <f>AN28*((((Assumptions!C22/280000)-1)*('Data Entry - SOF'!#REF!/1.17))+1)</f>
        <v>#REF!</v>
      </c>
      <c r="AO29" s="504"/>
      <c r="AP29" s="505" t="s">
        <v>1994</v>
      </c>
      <c r="AQ29" s="504"/>
      <c r="AR29" s="546" t="e">
        <f>AR28*((((Assumptions!C30/280000)-1)*('Data Entry - SOF'!#REF!/1.17))+1)</f>
        <v>#REF!</v>
      </c>
      <c r="AS29" s="562"/>
      <c r="AT29" s="563" t="s">
        <v>1994</v>
      </c>
      <c r="AU29" s="562"/>
      <c r="AV29" s="546" t="e">
        <f>AV28*((((Assumptions!C31/280000)-1)*('Data Entry - SOF'!#REF!/1.17))+1)</f>
        <v>#REF!</v>
      </c>
      <c r="AW29" s="562"/>
      <c r="AX29" s="563" t="s">
        <v>1994</v>
      </c>
      <c r="AY29" s="562"/>
      <c r="AZ29" s="606" t="e">
        <f>AZ28*((((Assumptions!C40/280000)-1)*('Data Entry - SOF'!#REF!/1.17))+1)</f>
        <v>#REF!</v>
      </c>
      <c r="BA29" s="721"/>
      <c r="BB29" s="722" t="s">
        <v>1994</v>
      </c>
      <c r="BC29" s="721"/>
      <c r="BD29" s="606" t="e">
        <f>BD28*((((Assumptions!C41/280000)-1)*('Data Entry - SOF'!#REF!/1.17))+1)</f>
        <v>#REF!</v>
      </c>
      <c r="BE29" s="721"/>
      <c r="BF29" s="722" t="s">
        <v>1994</v>
      </c>
      <c r="BG29" s="721"/>
      <c r="BH29" s="624" t="e">
        <f>BH28*((((Assumptions!C50/280000)-1)*('Data Entry - SOF'!#REF!/1.17))+1)</f>
        <v>#REF!</v>
      </c>
      <c r="BI29" s="735"/>
      <c r="BJ29" s="736" t="s">
        <v>1994</v>
      </c>
      <c r="BK29" s="735"/>
      <c r="BL29" s="624" t="e">
        <f>BL28*((((Assumptions!C51/280000)-1)*('Data Entry - SOF'!#REF!/1.17))+1)</f>
        <v>#REF!</v>
      </c>
      <c r="BM29" s="735"/>
      <c r="BN29" s="736" t="s">
        <v>1994</v>
      </c>
      <c r="BO29" s="735"/>
      <c r="BP29" s="642" t="e">
        <f>BP28*((((Assumptions!C59/280000)-1)*('Data Entry - SOF'!#REF!/1.17))+1)</f>
        <v>#REF!</v>
      </c>
      <c r="BQ29" s="751"/>
      <c r="BR29" s="752" t="s">
        <v>1994</v>
      </c>
      <c r="BS29" s="751"/>
      <c r="BT29" s="642" t="e">
        <f>BT28*((((Assumptions!C60/280000)-1)*('Data Entry - SOF'!#REF!/1.17))+1)</f>
        <v>#REF!</v>
      </c>
      <c r="BU29" s="751"/>
      <c r="BV29" s="752" t="s">
        <v>1994</v>
      </c>
      <c r="BX29" s="332" t="e">
        <f>K29</f>
        <v>#REF!</v>
      </c>
      <c r="BY29" s="354"/>
      <c r="BZ29" s="355" t="s">
        <v>1994</v>
      </c>
      <c r="CH29" s="204" t="e">
        <f>S29</f>
        <v>#REF!</v>
      </c>
      <c r="CI29" s="200"/>
      <c r="CJ29" s="222" t="s">
        <v>1994</v>
      </c>
      <c r="CK29" s="180"/>
      <c r="CL29" s="180"/>
      <c r="CN29" s="488" t="e">
        <f>AJ29</f>
        <v>#REF!</v>
      </c>
      <c r="CO29" s="487"/>
      <c r="CP29" s="488" t="s">
        <v>1994</v>
      </c>
      <c r="CQ29" s="486"/>
      <c r="CR29" s="486"/>
      <c r="CT29" s="576" t="e">
        <f>AR29</f>
        <v>#REF!</v>
      </c>
      <c r="CU29" s="577"/>
      <c r="CV29" s="576" t="s">
        <v>1994</v>
      </c>
      <c r="CW29" s="575"/>
      <c r="CX29" s="575"/>
      <c r="CY29" s="575"/>
      <c r="CZ29" s="703" t="e">
        <f>AZ29</f>
        <v>#REF!</v>
      </c>
      <c r="DA29" s="704"/>
      <c r="DB29" s="703" t="s">
        <v>1994</v>
      </c>
      <c r="DF29" s="766" t="e">
        <f>BH29</f>
        <v>#REF!</v>
      </c>
      <c r="DG29" s="767"/>
      <c r="DH29" s="766" t="s">
        <v>1994</v>
      </c>
      <c r="DL29" s="782" t="e">
        <f>BP29</f>
        <v>#REF!</v>
      </c>
      <c r="DM29" s="783"/>
      <c r="DN29" s="782" t="s">
        <v>1994</v>
      </c>
    </row>
    <row r="30" spans="1:118">
      <c r="A30" t="s">
        <v>905</v>
      </c>
      <c r="C30" s="204" t="e">
        <f>C29*'Ch41 Calc Data'!E10</f>
        <v>#REF!</v>
      </c>
      <c r="D30" s="200"/>
      <c r="E30" s="222" t="s">
        <v>1994</v>
      </c>
      <c r="F30" s="200"/>
      <c r="G30" s="204" t="e">
        <f>G29*'Ch41 Calc Data'!E10</f>
        <v>#REF!</v>
      </c>
      <c r="H30" s="200"/>
      <c r="I30" s="222" t="s">
        <v>1994</v>
      </c>
      <c r="J30" s="200"/>
      <c r="K30" s="332" t="e">
        <f>K29*'Ch41 Calc Data'!#REF!</f>
        <v>#REF!</v>
      </c>
      <c r="L30" s="354"/>
      <c r="M30" s="355" t="s">
        <v>1994</v>
      </c>
      <c r="N30" s="354"/>
      <c r="O30" s="332" t="e">
        <f>O29*'Ch41 Calc Data'!#REF!</f>
        <v>#REF!</v>
      </c>
      <c r="P30" s="354"/>
      <c r="Q30" s="355" t="s">
        <v>1994</v>
      </c>
      <c r="S30" s="204" t="e">
        <f>S29*'Ch41 Calc Data'!#REF!</f>
        <v>#REF!</v>
      </c>
      <c r="T30" s="200"/>
      <c r="U30" s="222" t="s">
        <v>1994</v>
      </c>
      <c r="V30" s="200"/>
      <c r="W30" s="204" t="e">
        <f>W29*'Ch41 Calc Data'!#REF!</f>
        <v>#REF!</v>
      </c>
      <c r="X30" s="200"/>
      <c r="Y30" s="222" t="s">
        <v>1994</v>
      </c>
      <c r="AJ30" s="466" t="e">
        <f>AJ29*'Ch41 Calc Data'!#REF!</f>
        <v>#REF!</v>
      </c>
      <c r="AK30" s="504"/>
      <c r="AL30" s="505" t="s">
        <v>1994</v>
      </c>
      <c r="AM30" s="504"/>
      <c r="AN30" s="466" t="e">
        <f>AN29*'Ch41 Calc Data'!#REF!</f>
        <v>#REF!</v>
      </c>
      <c r="AO30" s="504"/>
      <c r="AP30" s="505" t="s">
        <v>1994</v>
      </c>
      <c r="AQ30" s="504"/>
      <c r="AR30" s="546" t="e">
        <f>AR29*'Ch41 Calc Data'!#REF!</f>
        <v>#REF!</v>
      </c>
      <c r="AS30" s="562"/>
      <c r="AT30" s="563" t="s">
        <v>1994</v>
      </c>
      <c r="AU30" s="562"/>
      <c r="AV30" s="546" t="e">
        <f>AV29*'Ch41 Calc Data'!#REF!</f>
        <v>#REF!</v>
      </c>
      <c r="AW30" s="562"/>
      <c r="AX30" s="563" t="s">
        <v>1994</v>
      </c>
      <c r="AY30" s="562"/>
      <c r="AZ30" s="606" t="e">
        <f>AZ29*'Ch41 Calc Data'!#REF!</f>
        <v>#REF!</v>
      </c>
      <c r="BA30" s="721"/>
      <c r="BB30" s="722" t="s">
        <v>1994</v>
      </c>
      <c r="BC30" s="721"/>
      <c r="BD30" s="606" t="e">
        <f>BD29*'Ch41 Calc Data'!#REF!</f>
        <v>#REF!</v>
      </c>
      <c r="BE30" s="721"/>
      <c r="BF30" s="722" t="s">
        <v>1994</v>
      </c>
      <c r="BG30" s="721"/>
      <c r="BH30" s="624" t="e">
        <f>BH29*'Ch41 Calc Data'!#REF!</f>
        <v>#REF!</v>
      </c>
      <c r="BI30" s="735"/>
      <c r="BJ30" s="736" t="s">
        <v>1994</v>
      </c>
      <c r="BK30" s="735"/>
      <c r="BL30" s="624" t="e">
        <f>BL29*'Ch41 Calc Data'!#REF!</f>
        <v>#REF!</v>
      </c>
      <c r="BM30" s="735"/>
      <c r="BN30" s="736" t="s">
        <v>1994</v>
      </c>
      <c r="BO30" s="735"/>
      <c r="BP30" s="642" t="e">
        <f>BP29*'Ch41 Calc Data'!I10</f>
        <v>#REF!</v>
      </c>
      <c r="BQ30" s="751"/>
      <c r="BR30" s="752" t="s">
        <v>1994</v>
      </c>
      <c r="BS30" s="751"/>
      <c r="BT30" s="642" t="e">
        <f>BT29*'Ch41 Calc Data'!I10</f>
        <v>#REF!</v>
      </c>
      <c r="BU30" s="751"/>
      <c r="BV30" s="752" t="s">
        <v>1994</v>
      </c>
      <c r="BX30" s="332" t="e">
        <f>BX29*'Ch41 Calc Data'!#REF!</f>
        <v>#REF!</v>
      </c>
      <c r="BY30" s="354"/>
      <c r="BZ30" s="355" t="s">
        <v>1994</v>
      </c>
      <c r="CH30" s="204" t="e">
        <f>CH29*'Ch41 Calc Data'!#REF!</f>
        <v>#REF!</v>
      </c>
      <c r="CI30" s="200"/>
      <c r="CJ30" s="222" t="s">
        <v>1994</v>
      </c>
      <c r="CK30" s="180"/>
      <c r="CL30" s="180"/>
      <c r="CN30" s="484" t="e">
        <f>CN29*'Ch41 Calc Data'!#REF!</f>
        <v>#REF!</v>
      </c>
      <c r="CO30" s="487"/>
      <c r="CP30" s="488" t="s">
        <v>1994</v>
      </c>
      <c r="CQ30" s="486"/>
      <c r="CR30" s="486"/>
      <c r="CT30" s="573" t="e">
        <f>CT29*'Ch41 Calc Data'!#REF!</f>
        <v>#REF!</v>
      </c>
      <c r="CU30" s="577"/>
      <c r="CV30" s="576" t="s">
        <v>1994</v>
      </c>
      <c r="CW30" s="575"/>
      <c r="CX30" s="575"/>
      <c r="CY30" s="575"/>
      <c r="CZ30" s="700" t="e">
        <f>CZ29*'Ch41 Calc Data'!#REF!</f>
        <v>#REF!</v>
      </c>
      <c r="DA30" s="704"/>
      <c r="DB30" s="703" t="s">
        <v>1994</v>
      </c>
      <c r="DF30" s="763" t="e">
        <f>DF29*'Ch41 Calc Data'!#REF!</f>
        <v>#REF!</v>
      </c>
      <c r="DG30" s="767"/>
      <c r="DH30" s="766" t="s">
        <v>1994</v>
      </c>
      <c r="DL30" s="779" t="e">
        <f>DL29*'Ch41 Calc Data'!I10</f>
        <v>#REF!</v>
      </c>
      <c r="DM30" s="783"/>
      <c r="DN30" s="782" t="s">
        <v>1994</v>
      </c>
    </row>
    <row r="31" spans="1:118">
      <c r="K31" s="323"/>
      <c r="L31" s="323"/>
      <c r="M31" s="323"/>
      <c r="N31" s="323"/>
      <c r="O31" s="323"/>
      <c r="P31" s="323"/>
      <c r="Q31" s="323"/>
      <c r="S31" s="180"/>
      <c r="U31" s="180"/>
      <c r="W31" s="180"/>
      <c r="X31" s="180"/>
      <c r="Y31" s="180"/>
      <c r="AJ31" s="111"/>
      <c r="AK31" s="111"/>
      <c r="AL31" s="111"/>
      <c r="AM31" s="111"/>
      <c r="AN31" s="111"/>
      <c r="AO31" s="111"/>
      <c r="AP31" s="111"/>
      <c r="AQ31" s="111"/>
      <c r="AR31" s="531"/>
      <c r="AS31" s="531"/>
      <c r="AT31" s="531"/>
      <c r="AU31" s="531"/>
      <c r="AV31" s="531"/>
      <c r="AW31" s="531"/>
      <c r="AX31" s="531"/>
      <c r="AY31" s="531"/>
      <c r="BX31" s="323"/>
      <c r="BY31" s="323"/>
      <c r="BZ31" s="323"/>
      <c r="CH31" s="180"/>
      <c r="CI31" s="180"/>
      <c r="CJ31" s="180"/>
      <c r="CK31" s="180"/>
      <c r="CL31" s="180"/>
      <c r="CN31" s="486"/>
      <c r="CO31" s="486"/>
      <c r="CP31" s="486"/>
      <c r="CQ31" s="486"/>
      <c r="CR31" s="486"/>
      <c r="CT31" s="575"/>
      <c r="CU31" s="575"/>
      <c r="CV31" s="575"/>
      <c r="CW31" s="575"/>
      <c r="CX31" s="575"/>
      <c r="CY31" s="575"/>
      <c r="CZ31" s="702"/>
      <c r="DA31" s="702"/>
      <c r="DB31" s="702"/>
      <c r="DF31" s="765"/>
      <c r="DG31" s="765"/>
      <c r="DH31" s="765"/>
      <c r="DL31" s="781"/>
      <c r="DM31" s="781"/>
      <c r="DN31" s="781"/>
    </row>
    <row r="32" spans="1:118" ht="15.75">
      <c r="A32" s="38" t="s">
        <v>1420</v>
      </c>
      <c r="K32" s="323"/>
      <c r="L32" s="323"/>
      <c r="M32" s="323"/>
      <c r="N32" s="323"/>
      <c r="O32" s="323"/>
      <c r="P32" s="323"/>
      <c r="Q32" s="323"/>
      <c r="S32" s="180"/>
      <c r="U32" s="180"/>
      <c r="W32" s="180"/>
      <c r="X32" s="180"/>
      <c r="Y32" s="180"/>
      <c r="AJ32" s="111"/>
      <c r="AK32" s="111"/>
      <c r="AL32" s="111"/>
      <c r="AM32" s="111"/>
      <c r="AN32" s="111"/>
      <c r="AO32" s="111"/>
      <c r="AP32" s="111"/>
      <c r="AQ32" s="111"/>
      <c r="AR32" s="531"/>
      <c r="AS32" s="531"/>
      <c r="AT32" s="531"/>
      <c r="AU32" s="531"/>
      <c r="AV32" s="531"/>
      <c r="AW32" s="531"/>
      <c r="AX32" s="531"/>
      <c r="AY32" s="531"/>
      <c r="BX32" s="323"/>
      <c r="BY32" s="323"/>
      <c r="BZ32" s="323"/>
      <c r="CH32" s="180"/>
      <c r="CI32" s="180"/>
      <c r="CJ32" s="180"/>
      <c r="CK32" s="180"/>
      <c r="CL32" s="180"/>
      <c r="CN32" s="486"/>
      <c r="CO32" s="486"/>
      <c r="CP32" s="486"/>
      <c r="CQ32" s="486"/>
      <c r="CR32" s="486"/>
      <c r="CT32" s="575"/>
      <c r="CU32" s="575"/>
      <c r="CV32" s="575"/>
      <c r="CW32" s="575"/>
      <c r="CX32" s="575"/>
      <c r="CY32" s="575"/>
      <c r="CZ32" s="702"/>
      <c r="DA32" s="702"/>
      <c r="DB32" s="702"/>
      <c r="DF32" s="765"/>
      <c r="DG32" s="765"/>
      <c r="DH32" s="765"/>
      <c r="DL32" s="781"/>
      <c r="DM32" s="781"/>
      <c r="DN32" s="781"/>
    </row>
    <row r="33" spans="1:118">
      <c r="A33" t="s">
        <v>1421</v>
      </c>
      <c r="C33" s="204" t="e">
        <f>IF(C30&gt;C24,C30,C24)</f>
        <v>#REF!</v>
      </c>
      <c r="D33" s="191"/>
      <c r="E33" s="204">
        <f>E24</f>
        <v>0</v>
      </c>
      <c r="F33" s="191"/>
      <c r="G33" s="204" t="e">
        <f>IF(G30&gt;G24,G30,G24)</f>
        <v>#REF!</v>
      </c>
      <c r="H33" s="191"/>
      <c r="I33" s="204">
        <f>I24</f>
        <v>0</v>
      </c>
      <c r="J33" s="191"/>
      <c r="K33" s="332" t="e">
        <f>IF(K30&gt;K24,K30,K24)</f>
        <v>#REF!</v>
      </c>
      <c r="L33" s="326"/>
      <c r="M33" s="332" t="e">
        <f>M24</f>
        <v>#REF!</v>
      </c>
      <c r="N33" s="326"/>
      <c r="O33" s="332" t="e">
        <f>IF(O30&gt;O24,O30,O24)</f>
        <v>#REF!</v>
      </c>
      <c r="P33" s="326"/>
      <c r="Q33" s="332" t="e">
        <f>Q24</f>
        <v>#REF!</v>
      </c>
      <c r="S33" s="204" t="e">
        <f>IF(S30&gt;S24,S30,S24)</f>
        <v>#REF!</v>
      </c>
      <c r="T33" s="191"/>
      <c r="U33" s="204" t="e">
        <f>U24</f>
        <v>#REF!</v>
      </c>
      <c r="V33" s="191"/>
      <c r="W33" s="204" t="e">
        <f>IF(W30&gt;W24,W30,W24)</f>
        <v>#REF!</v>
      </c>
      <c r="X33" s="191"/>
      <c r="Y33" s="204" t="e">
        <f>Y24</f>
        <v>#REF!</v>
      </c>
      <c r="AJ33" s="466" t="e">
        <f>IF(AJ30&gt;AJ24,AJ30,AJ24)</f>
        <v>#REF!</v>
      </c>
      <c r="AK33" s="502"/>
      <c r="AL33" s="466" t="e">
        <f>AL24</f>
        <v>#REF!</v>
      </c>
      <c r="AM33" s="502"/>
      <c r="AN33" s="466" t="e">
        <f>IF(AN30&gt;AN24,AN30,AN24)</f>
        <v>#REF!</v>
      </c>
      <c r="AO33" s="502"/>
      <c r="AP33" s="466" t="e">
        <f>AP24</f>
        <v>#REF!</v>
      </c>
      <c r="AQ33" s="502"/>
      <c r="AR33" s="546" t="e">
        <f>IF(AR30&gt;AR24,AR30,AR24)</f>
        <v>#REF!</v>
      </c>
      <c r="AS33" s="560"/>
      <c r="AT33" s="546" t="e">
        <f>AT24</f>
        <v>#REF!</v>
      </c>
      <c r="AU33" s="560"/>
      <c r="AV33" s="546" t="e">
        <f>IF(AV30&gt;AV24,AV30,AV24)</f>
        <v>#REF!</v>
      </c>
      <c r="AW33" s="560"/>
      <c r="AX33" s="546" t="e">
        <f>AX24</f>
        <v>#REF!</v>
      </c>
      <c r="AY33" s="560"/>
      <c r="AZ33" s="606" t="e">
        <f>IF(AZ30&gt;AZ24,AZ30,AZ24)</f>
        <v>#REF!</v>
      </c>
      <c r="BA33" s="719"/>
      <c r="BB33" s="606" t="e">
        <f>BB24</f>
        <v>#REF!</v>
      </c>
      <c r="BC33" s="719"/>
      <c r="BD33" s="606" t="e">
        <f>IF(BD30&gt;BD24,BD30,BD24)</f>
        <v>#REF!</v>
      </c>
      <c r="BE33" s="719"/>
      <c r="BF33" s="606" t="e">
        <f>BF24</f>
        <v>#REF!</v>
      </c>
      <c r="BG33" s="719"/>
      <c r="BH33" s="624" t="e">
        <f>IF(BH30&gt;BH24,BH30,BH24)</f>
        <v>#REF!</v>
      </c>
      <c r="BI33" s="733"/>
      <c r="BJ33" s="624" t="e">
        <f>BJ24</f>
        <v>#REF!</v>
      </c>
      <c r="BK33" s="733"/>
      <c r="BL33" s="624" t="e">
        <f>IF(BL30&gt;BL24,BL30,BL24)</f>
        <v>#REF!</v>
      </c>
      <c r="BM33" s="733"/>
      <c r="BN33" s="624" t="e">
        <f>BN24</f>
        <v>#REF!</v>
      </c>
      <c r="BO33" s="733"/>
      <c r="BP33" s="642" t="e">
        <f>IF(BP30&gt;BP24,BP30,BP24)</f>
        <v>#REF!</v>
      </c>
      <c r="BQ33" s="749"/>
      <c r="BR33" s="642">
        <f>BR24</f>
        <v>0</v>
      </c>
      <c r="BS33" s="749"/>
      <c r="BT33" s="642" t="e">
        <f>IF(BT30&gt;BT24,BT30,BT24)</f>
        <v>#REF!</v>
      </c>
      <c r="BU33" s="749"/>
      <c r="BV33" s="642">
        <f>BV24</f>
        <v>0</v>
      </c>
      <c r="BX33" s="332" t="e">
        <f>IF(BX30&gt;BX24,BX30,BX24)</f>
        <v>#REF!</v>
      </c>
      <c r="BY33" s="326"/>
      <c r="BZ33" s="332" t="e">
        <f>BZ24</f>
        <v>#REF!</v>
      </c>
      <c r="CH33" s="204" t="e">
        <f>IF(CH30&gt;CH24,CH30,CH24)</f>
        <v>#REF!</v>
      </c>
      <c r="CI33" s="191"/>
      <c r="CJ33" s="204" t="e">
        <f>CJ24</f>
        <v>#REF!</v>
      </c>
      <c r="CK33" s="180"/>
      <c r="CL33" s="180"/>
      <c r="CN33" s="484" t="e">
        <f>IF(CN30&gt;CN24,CN30,CN24)</f>
        <v>#REF!</v>
      </c>
      <c r="CO33" s="485"/>
      <c r="CP33" s="484" t="e">
        <f>CP24</f>
        <v>#REF!</v>
      </c>
      <c r="CQ33" s="486"/>
      <c r="CR33" s="486"/>
      <c r="CT33" s="573" t="e">
        <f>IF(CT30&gt;CT24,CT30,CT24)</f>
        <v>#REF!</v>
      </c>
      <c r="CU33" s="574"/>
      <c r="CV33" s="573" t="e">
        <f>CV24</f>
        <v>#REF!</v>
      </c>
      <c r="CW33" s="575"/>
      <c r="CX33" s="575"/>
      <c r="CY33" s="575"/>
      <c r="CZ33" s="700" t="e">
        <f>IF(CZ30&gt;CZ24,CZ30,CZ24)</f>
        <v>#REF!</v>
      </c>
      <c r="DA33" s="701"/>
      <c r="DB33" s="700" t="e">
        <f>DB24</f>
        <v>#REF!</v>
      </c>
      <c r="DF33" s="763" t="e">
        <f>IF(DF30&gt;DF24,DF30,DF24)</f>
        <v>#REF!</v>
      </c>
      <c r="DG33" s="764"/>
      <c r="DH33" s="763" t="e">
        <f>DH24</f>
        <v>#REF!</v>
      </c>
      <c r="DL33" s="779" t="e">
        <f>IF(DL30&gt;DL24,DL30,DL24)</f>
        <v>#REF!</v>
      </c>
      <c r="DM33" s="780"/>
      <c r="DN33" s="779">
        <f>DN24</f>
        <v>0</v>
      </c>
    </row>
    <row r="34" spans="1:118">
      <c r="A34" t="s">
        <v>545</v>
      </c>
      <c r="C34" s="204" t="e">
        <f>IF('Data Entry - SOF'!#REF!-C33&lt;0,0,'Data Entry - SOF'!#REF!-C33)</f>
        <v>#REF!</v>
      </c>
      <c r="D34" s="191"/>
      <c r="E34" s="204" t="e">
        <f>IF('Data Entry - SOF'!#REF!-E33&lt;0,0,'Data Entry - SOF'!#REF!-E33)</f>
        <v>#REF!</v>
      </c>
      <c r="F34" s="191"/>
      <c r="G34" s="204" t="e">
        <f>IF('Data Entry - SOF'!#REF!-G33&lt;0,0,'Data Entry - SOF'!#REF!-G33)</f>
        <v>#REF!</v>
      </c>
      <c r="H34" s="191"/>
      <c r="I34" s="204" t="e">
        <f>IF('Data Entry - SOF'!#REF!-I33&lt;0,0,'Data Entry - SOF'!#REF!-I33)</f>
        <v>#REF!</v>
      </c>
      <c r="J34" s="191"/>
      <c r="K34" s="332" t="e">
        <f>IF('Data Entry - SOF'!#REF!-K33&lt;0,0,'Data Entry - SOF'!#REF!-K33)</f>
        <v>#REF!</v>
      </c>
      <c r="L34" s="326"/>
      <c r="M34" s="332" t="e">
        <f>IF('Data Entry - SOF'!#REF!-M33&lt;0,0,'Data Entry - SOF'!#REF!-M33)</f>
        <v>#REF!</v>
      </c>
      <c r="N34" s="326"/>
      <c r="O34" s="332" t="e">
        <f>IF('Data Entry - SOF'!#REF!-O33&lt;0,0,'Data Entry - SOF'!#REF!-O33)</f>
        <v>#REF!</v>
      </c>
      <c r="P34" s="326"/>
      <c r="Q34" s="332" t="e">
        <f>IF('Data Entry - SOF'!#REF!-Q33&lt;0,0,'Data Entry - SOF'!#REF!-Q33)</f>
        <v>#REF!</v>
      </c>
      <c r="S34" s="204" t="e">
        <f>IF('Data Entry - SOF'!#REF!-S33&lt;0,0,'Data Entry - SOF'!#REF!-S33)</f>
        <v>#REF!</v>
      </c>
      <c r="T34" s="191"/>
      <c r="U34" s="204" t="e">
        <f>IF('Data Entry - SOF'!#REF!-U33&lt;0,0,'Data Entry - SOF'!#REF!-U33)</f>
        <v>#REF!</v>
      </c>
      <c r="V34" s="191"/>
      <c r="W34" s="204" t="e">
        <f>IF('Data Entry - SOF'!#REF!-W33&lt;0,0,'Data Entry - SOF'!#REF!-W33)</f>
        <v>#REF!</v>
      </c>
      <c r="X34" s="191"/>
      <c r="Y34" s="204" t="e">
        <f>IF('Data Entry - SOF'!#REF!-Y33&lt;0,0,'Data Entry - SOF'!#REF!-Y33)</f>
        <v>#REF!</v>
      </c>
      <c r="AJ34" s="466" t="e">
        <f>IF('Data Entry - SOF'!#REF!-AJ33&lt;0,0,'Data Entry - SOF'!#REF!-AJ33)</f>
        <v>#REF!</v>
      </c>
      <c r="AK34" s="502"/>
      <c r="AL34" s="466" t="e">
        <f>IF('Data Entry - SOF'!#REF!-AL33&lt;0,0,'Data Entry - SOF'!#REF!-AL33)</f>
        <v>#REF!</v>
      </c>
      <c r="AM34" s="502"/>
      <c r="AN34" s="466" t="e">
        <f>IF('Data Entry - SOF'!#REF!-AN33&lt;0,0,'Data Entry - SOF'!#REF!-AN33)</f>
        <v>#REF!</v>
      </c>
      <c r="AO34" s="502"/>
      <c r="AP34" s="466" t="e">
        <f>IF('Data Entry - SOF'!#REF!-AP33&lt;0,0,'Data Entry - SOF'!#REF!-AP33)</f>
        <v>#REF!</v>
      </c>
      <c r="AQ34" s="502"/>
      <c r="AR34" s="546" t="e">
        <f>IF('Data Entry - SOF'!#REF!-AR33&lt;0,0,'Data Entry - SOF'!#REF!-AR33)</f>
        <v>#REF!</v>
      </c>
      <c r="AS34" s="560"/>
      <c r="AT34" s="546" t="e">
        <f>IF('Data Entry - SOF'!#REF!-AT33&lt;0,0,'Data Entry - SOF'!#REF!-AT33)</f>
        <v>#REF!</v>
      </c>
      <c r="AU34" s="560"/>
      <c r="AV34" s="546" t="e">
        <f>IF('Data Entry - SOF'!#REF!-AV33&lt;0,0,'Data Entry - SOF'!#REF!-AV33)</f>
        <v>#REF!</v>
      </c>
      <c r="AW34" s="560"/>
      <c r="AX34" s="546" t="e">
        <f>IF('Data Entry - SOF'!#REF!-AX33&lt;0,0,'Data Entry - SOF'!#REF!-AX33)</f>
        <v>#REF!</v>
      </c>
      <c r="AY34" s="560"/>
      <c r="AZ34" s="606" t="e">
        <f>IF('Data Entry - SOF'!#REF!-AZ33&lt;0,0,'Data Entry - SOF'!#REF!-AZ33)</f>
        <v>#REF!</v>
      </c>
      <c r="BA34" s="719"/>
      <c r="BB34" s="606" t="e">
        <f>IF('Data Entry - SOF'!#REF!-BB33&lt;0,0,'Data Entry - SOF'!#REF!-BB33)</f>
        <v>#REF!</v>
      </c>
      <c r="BC34" s="719"/>
      <c r="BD34" s="606" t="e">
        <f>IF('Data Entry - SOF'!#REF!-BD33&lt;0,0,'Data Entry - SOF'!#REF!-BD33)</f>
        <v>#REF!</v>
      </c>
      <c r="BE34" s="719"/>
      <c r="BF34" s="606" t="e">
        <f>IF('Data Entry - SOF'!#REF!-BF33&lt;0,0,'Data Entry - SOF'!#REF!-BF33)</f>
        <v>#REF!</v>
      </c>
      <c r="BG34" s="719"/>
      <c r="BH34" s="624" t="e">
        <f>IF('Data Entry - SOF'!#REF!-BH33&lt;0,0,'Data Entry - SOF'!#REF!-BH33)</f>
        <v>#REF!</v>
      </c>
      <c r="BI34" s="733"/>
      <c r="BJ34" s="624" t="e">
        <f>IF('Data Entry - SOF'!#REF!-BJ33&lt;0,0,'Data Entry - SOF'!#REF!-BJ33)</f>
        <v>#REF!</v>
      </c>
      <c r="BK34" s="733"/>
      <c r="BL34" s="624" t="e">
        <f>IF('Data Entry - SOF'!#REF!-BL33&lt;0,0,'Data Entry - SOF'!#REF!-BL33)</f>
        <v>#REF!</v>
      </c>
      <c r="BM34" s="733"/>
      <c r="BN34" s="624" t="e">
        <f>IF('Data Entry - SOF'!#REF!-BN33&lt;0,0,'Data Entry - SOF'!#REF!-BN33)</f>
        <v>#REF!</v>
      </c>
      <c r="BO34" s="733"/>
      <c r="BP34" s="642" t="e">
        <f>IF('Data Entry - SOF'!#REF!-BP33&lt;0,0,'Data Entry - SOF'!#REF!-BP33)</f>
        <v>#REF!</v>
      </c>
      <c r="BQ34" s="749"/>
      <c r="BR34" s="642" t="e">
        <f>IF('Data Entry - SOF'!#REF!-BR33&lt;0,0,'Data Entry - SOF'!#REF!-BR33)</f>
        <v>#REF!</v>
      </c>
      <c r="BS34" s="749"/>
      <c r="BT34" s="642" t="e">
        <f>IF('Data Entry - SOF'!#REF!-BT33&lt;0,0,'Data Entry - SOF'!#REF!-BT33)</f>
        <v>#REF!</v>
      </c>
      <c r="BU34" s="749"/>
      <c r="BV34" s="642" t="e">
        <f>IF('Data Entry - SOF'!#REF!-BV33&lt;0,0,'Data Entry - SOF'!#REF!-BV33)</f>
        <v>#REF!</v>
      </c>
      <c r="BX34" s="332" t="e">
        <f>IF('Data Entry - SOF'!#REF!-BX33&lt;0,0,'Data Entry - SOF'!#REF!-BX33)</f>
        <v>#REF!</v>
      </c>
      <c r="BY34" s="326"/>
      <c r="BZ34" s="332" t="e">
        <f>IF('Data Entry - SOF'!#REF!-BZ33&lt;0,0,'Data Entry - SOF'!#REF!-BZ33)</f>
        <v>#REF!</v>
      </c>
      <c r="CH34" s="204" t="e">
        <f>IF('Data Entry - SOF'!#REF!-CH33&lt;0,0,'Data Entry - SOF'!#REF!-CH33)</f>
        <v>#REF!</v>
      </c>
      <c r="CI34" s="191"/>
      <c r="CJ34" s="204" t="e">
        <f>IF('Data Entry - SOF'!#REF!-CJ33&lt;0,0,'Data Entry - SOF'!#REF!-CJ33)</f>
        <v>#REF!</v>
      </c>
      <c r="CK34" s="180"/>
      <c r="CL34" s="180"/>
      <c r="CN34" s="484" t="e">
        <f>IF('Data Entry - SOF'!#REF!-CN33&lt;0,0,'Data Entry - SOF'!#REF!-CN33)</f>
        <v>#REF!</v>
      </c>
      <c r="CO34" s="485"/>
      <c r="CP34" s="484" t="e">
        <f>IF('Data Entry - SOF'!#REF!-CP33&lt;0,0,'Data Entry - SOF'!#REF!-CP33)</f>
        <v>#REF!</v>
      </c>
      <c r="CQ34" s="486"/>
      <c r="CR34" s="486"/>
      <c r="CT34" s="573" t="e">
        <f>IF('Data Entry - SOF'!#REF!-CT33&lt;0,0,'Data Entry - SOF'!#REF!-CT33)</f>
        <v>#REF!</v>
      </c>
      <c r="CU34" s="574"/>
      <c r="CV34" s="573" t="e">
        <f>IF('Data Entry - SOF'!#REF!-CV33&lt;0,0,'Data Entry - SOF'!#REF!-CV33)</f>
        <v>#REF!</v>
      </c>
      <c r="CW34" s="575"/>
      <c r="CX34" s="575"/>
      <c r="CY34" s="575"/>
      <c r="CZ34" s="700" t="e">
        <f>IF('Data Entry - SOF'!#REF!-CZ33&lt;0,0,'Data Entry - SOF'!#REF!-CZ33)</f>
        <v>#REF!</v>
      </c>
      <c r="DA34" s="701"/>
      <c r="DB34" s="700" t="e">
        <f>IF('Data Entry - SOF'!#REF!-DB33&lt;0,0,'Data Entry - SOF'!#REF!-DB33)</f>
        <v>#REF!</v>
      </c>
      <c r="DF34" s="763" t="e">
        <f>IF('Data Entry - SOF'!#REF!-DF33&lt;0,0,'Data Entry - SOF'!#REF!-DF33)</f>
        <v>#REF!</v>
      </c>
      <c r="DG34" s="764"/>
      <c r="DH34" s="763" t="e">
        <f>IF('Data Entry - SOF'!#REF!-DH33&lt;0,0,'Data Entry - SOF'!#REF!-DH33)</f>
        <v>#REF!</v>
      </c>
      <c r="DL34" s="779" t="e">
        <f>IF('Data Entry - SOF'!#REF!-DL33&lt;0,0,'Data Entry - SOF'!#REF!-DL33)</f>
        <v>#REF!</v>
      </c>
      <c r="DM34" s="780"/>
      <c r="DN34" s="779" t="e">
        <f>IF('Data Entry - SOF'!#REF!-DN33&lt;0,0,'Data Entry - SOF'!#REF!-DN33)</f>
        <v>#REF!</v>
      </c>
    </row>
    <row r="35" spans="1:118">
      <c r="A35" t="s">
        <v>2393</v>
      </c>
      <c r="C35" s="236" t="e">
        <f>C34/'Data Entry - SOF'!#REF!</f>
        <v>#REF!</v>
      </c>
      <c r="D35" s="321"/>
      <c r="E35" s="236" t="e">
        <f>E34/'Data Entry - SOF'!#REF!</f>
        <v>#REF!</v>
      </c>
      <c r="F35" s="321"/>
      <c r="G35" s="236" t="e">
        <f>G34/'Data Entry - SOF'!#REF!</f>
        <v>#REF!</v>
      </c>
      <c r="H35" s="321"/>
      <c r="I35" s="236" t="e">
        <f>I34/'Data Entry - SOF'!#REF!</f>
        <v>#REF!</v>
      </c>
      <c r="J35" s="321"/>
      <c r="K35" s="333" t="e">
        <f>K34/'Data Entry - SOF'!#REF!</f>
        <v>#REF!</v>
      </c>
      <c r="L35" s="401"/>
      <c r="M35" s="333" t="e">
        <f>M34/'Data Entry - SOF'!#REF!</f>
        <v>#REF!</v>
      </c>
      <c r="N35" s="401"/>
      <c r="O35" s="333" t="e">
        <f>O34/'Data Entry - SOF'!#REF!</f>
        <v>#REF!</v>
      </c>
      <c r="P35" s="401"/>
      <c r="Q35" s="333" t="e">
        <f>Q34/'Data Entry - SOF'!#REF!</f>
        <v>#REF!</v>
      </c>
      <c r="S35" s="236" t="e">
        <f>S34/'Data Entry - SOF'!#REF!</f>
        <v>#REF!</v>
      </c>
      <c r="T35" s="321"/>
      <c r="U35" s="236" t="e">
        <f>U34/'Data Entry - SOF'!#REF!</f>
        <v>#REF!</v>
      </c>
      <c r="V35" s="321"/>
      <c r="W35" s="236" t="e">
        <f>W34/'Data Entry - SOF'!#REF!</f>
        <v>#REF!</v>
      </c>
      <c r="X35" s="321"/>
      <c r="Y35" s="236" t="e">
        <f>Y34/'Data Entry - SOF'!#REF!</f>
        <v>#REF!</v>
      </c>
      <c r="AJ35" s="467" t="e">
        <f>AJ34/'Data Entry - SOF'!#REF!</f>
        <v>#REF!</v>
      </c>
      <c r="AK35" s="506"/>
      <c r="AL35" s="467" t="e">
        <f>AL34/'Data Entry - SOF'!#REF!</f>
        <v>#REF!</v>
      </c>
      <c r="AM35" s="506"/>
      <c r="AN35" s="467" t="e">
        <f>AN34/'Data Entry - SOF'!#REF!</f>
        <v>#REF!</v>
      </c>
      <c r="AO35" s="506"/>
      <c r="AP35" s="467" t="e">
        <f>AP34/'Data Entry - SOF'!#REF!</f>
        <v>#REF!</v>
      </c>
      <c r="AQ35" s="506"/>
      <c r="AR35" s="547" t="e">
        <f>AR34/'Data Entry - SOF'!#REF!</f>
        <v>#REF!</v>
      </c>
      <c r="AS35" s="564"/>
      <c r="AT35" s="547" t="e">
        <f>AT34/'Data Entry - SOF'!#REF!</f>
        <v>#REF!</v>
      </c>
      <c r="AU35" s="564"/>
      <c r="AV35" s="547" t="e">
        <f>AV34/'Data Entry - SOF'!#REF!</f>
        <v>#REF!</v>
      </c>
      <c r="AW35" s="564"/>
      <c r="AX35" s="547" t="e">
        <f>AX34/'Data Entry - SOF'!#REF!</f>
        <v>#REF!</v>
      </c>
      <c r="AY35" s="564"/>
      <c r="AZ35" s="607" t="e">
        <f>AZ34/'Data Entry - SOF'!#REF!</f>
        <v>#REF!</v>
      </c>
      <c r="BA35" s="723"/>
      <c r="BB35" s="607" t="e">
        <f>BB34/'Data Entry - SOF'!#REF!</f>
        <v>#REF!</v>
      </c>
      <c r="BC35" s="723"/>
      <c r="BD35" s="607" t="e">
        <f>BD34/'Data Entry - SOF'!#REF!</f>
        <v>#REF!</v>
      </c>
      <c r="BE35" s="723"/>
      <c r="BF35" s="607" t="e">
        <f>BF34/'Data Entry - SOF'!#REF!</f>
        <v>#REF!</v>
      </c>
      <c r="BG35" s="723"/>
      <c r="BH35" s="625" t="e">
        <f>BH34/'Data Entry - SOF'!#REF!</f>
        <v>#REF!</v>
      </c>
      <c r="BI35" s="737"/>
      <c r="BJ35" s="625" t="e">
        <f>BJ34/'Data Entry - SOF'!#REF!</f>
        <v>#REF!</v>
      </c>
      <c r="BK35" s="737"/>
      <c r="BL35" s="625" t="e">
        <f>BL34/'Data Entry - SOF'!#REF!</f>
        <v>#REF!</v>
      </c>
      <c r="BM35" s="737"/>
      <c r="BN35" s="625" t="e">
        <f>BN34/'Data Entry - SOF'!#REF!</f>
        <v>#REF!</v>
      </c>
      <c r="BO35" s="737"/>
      <c r="BP35" s="643" t="e">
        <f>BP34/'Data Entry - SOF'!#REF!</f>
        <v>#REF!</v>
      </c>
      <c r="BQ35" s="753"/>
      <c r="BR35" s="643" t="e">
        <f>BR34/'Data Entry - SOF'!#REF!</f>
        <v>#REF!</v>
      </c>
      <c r="BS35" s="753"/>
      <c r="BT35" s="643" t="e">
        <f>BT34/'Data Entry - SOF'!#REF!</f>
        <v>#REF!</v>
      </c>
      <c r="BU35" s="753"/>
      <c r="BV35" s="643" t="e">
        <f>BV34/'Data Entry - SOF'!#REF!</f>
        <v>#REF!</v>
      </c>
      <c r="BX35" s="342" t="e">
        <f>BX34/'Data Entry - SOF'!#REF!</f>
        <v>#REF!</v>
      </c>
      <c r="BY35" s="340"/>
      <c r="BZ35" s="342" t="e">
        <f>BZ34/'Data Entry - SOF'!#REF!</f>
        <v>#REF!</v>
      </c>
      <c r="CH35" s="205" t="e">
        <f>CH34/'Data Entry - SOF'!#REF!</f>
        <v>#REF!</v>
      </c>
      <c r="CI35" s="449"/>
      <c r="CJ35" s="205" t="e">
        <f>CJ34/'Data Entry - SOF'!#REF!</f>
        <v>#REF!</v>
      </c>
      <c r="CK35" s="180"/>
      <c r="CL35" s="180"/>
      <c r="CN35" s="489" t="e">
        <f>CN34/'Data Entry - SOF'!#REF!</f>
        <v>#REF!</v>
      </c>
      <c r="CO35" s="490"/>
      <c r="CP35" s="489" t="e">
        <f>CP34/'Data Entry - SOF'!#REF!</f>
        <v>#REF!</v>
      </c>
      <c r="CQ35" s="486"/>
      <c r="CR35" s="486"/>
      <c r="CT35" s="578" t="e">
        <f>CT34/'Data Entry - SOF'!#REF!</f>
        <v>#REF!</v>
      </c>
      <c r="CU35" s="579"/>
      <c r="CV35" s="578" t="e">
        <f>CV34/'Data Entry - SOF'!#REF!</f>
        <v>#REF!</v>
      </c>
      <c r="CW35" s="575"/>
      <c r="CX35" s="575"/>
      <c r="CY35" s="575"/>
      <c r="CZ35" s="705" t="e">
        <f>CZ34/'Data Entry - SOF'!#REF!</f>
        <v>#REF!</v>
      </c>
      <c r="DA35" s="706"/>
      <c r="DB35" s="705" t="e">
        <f>DB34/'Data Entry - SOF'!#REF!</f>
        <v>#REF!</v>
      </c>
      <c r="DF35" s="768" t="e">
        <f>DF34/'Data Entry - SOF'!#REF!</f>
        <v>#REF!</v>
      </c>
      <c r="DG35" s="769"/>
      <c r="DH35" s="768" t="e">
        <f>DH34/'Data Entry - SOF'!#REF!</f>
        <v>#REF!</v>
      </c>
      <c r="DL35" s="784" t="e">
        <f>DL34/'Data Entry - SOF'!#REF!</f>
        <v>#REF!</v>
      </c>
      <c r="DM35" s="785"/>
      <c r="DN35" s="784" t="e">
        <f>DN34/'Data Entry - SOF'!#REF!</f>
        <v>#REF!</v>
      </c>
    </row>
    <row r="36" spans="1:118">
      <c r="A36" t="s">
        <v>213</v>
      </c>
      <c r="C36" s="218" t="e">
        <f>C33/'Ch41 Calc Data'!E10</f>
        <v>#REF!</v>
      </c>
      <c r="D36" s="223"/>
      <c r="E36" s="218" t="e">
        <f>E33/'Ch41 Calc Data'!E10</f>
        <v>#DIV/0!</v>
      </c>
      <c r="F36" s="223"/>
      <c r="G36" s="218" t="e">
        <f>G33/'Ch41 Calc Data'!E10</f>
        <v>#REF!</v>
      </c>
      <c r="H36" s="223"/>
      <c r="I36" s="218" t="e">
        <f>I33/'Ch41 Calc Data'!E10</f>
        <v>#DIV/0!</v>
      </c>
      <c r="J36" s="223"/>
      <c r="K36" s="350" t="e">
        <f>K33/'Ch41 Calc Data'!#REF!</f>
        <v>#REF!</v>
      </c>
      <c r="L36" s="352"/>
      <c r="M36" s="350" t="e">
        <f>M33/'Ch41 Calc Data'!#REF!</f>
        <v>#REF!</v>
      </c>
      <c r="N36" s="352"/>
      <c r="O36" s="350" t="e">
        <f>O33/'Ch41 Calc Data'!#REF!</f>
        <v>#REF!</v>
      </c>
      <c r="P36" s="352"/>
      <c r="Q36" s="350" t="e">
        <f>Q33/'Ch41 Calc Data'!#REF!</f>
        <v>#REF!</v>
      </c>
      <c r="S36" s="218" t="e">
        <f>S33/'Ch41 Calc Data'!#REF!</f>
        <v>#REF!</v>
      </c>
      <c r="T36" s="223"/>
      <c r="U36" s="218" t="e">
        <f>U33/'Ch41 Calc Data'!#REF!</f>
        <v>#REF!</v>
      </c>
      <c r="V36" s="223"/>
      <c r="W36" s="218" t="e">
        <f>W33/'Ch41 Calc Data'!#REF!</f>
        <v>#REF!</v>
      </c>
      <c r="X36" s="223"/>
      <c r="Y36" s="218" t="e">
        <f>Y33/'Ch41 Calc Data'!#REF!</f>
        <v>#REF!</v>
      </c>
      <c r="AJ36" s="470" t="e">
        <f>AJ33/'Ch41 Calc Data'!#REF!</f>
        <v>#REF!</v>
      </c>
      <c r="AK36" s="507"/>
      <c r="AL36" s="470" t="e">
        <f>AL33/'Ch41 Calc Data'!#REF!</f>
        <v>#REF!</v>
      </c>
      <c r="AM36" s="507"/>
      <c r="AN36" s="470" t="e">
        <f>AN33/'Ch41 Calc Data'!#REF!</f>
        <v>#REF!</v>
      </c>
      <c r="AO36" s="507"/>
      <c r="AP36" s="470" t="e">
        <f>AP33/'Ch41 Calc Data'!#REF!</f>
        <v>#REF!</v>
      </c>
      <c r="AQ36" s="507"/>
      <c r="AR36" s="550" t="e">
        <f>AR33/'Ch41 Calc Data'!#REF!</f>
        <v>#REF!</v>
      </c>
      <c r="AS36" s="565"/>
      <c r="AT36" s="550" t="e">
        <f>AT33/'Ch41 Calc Data'!#REF!</f>
        <v>#REF!</v>
      </c>
      <c r="AU36" s="565"/>
      <c r="AV36" s="550" t="e">
        <f>AV33/'Ch41 Calc Data'!#REF!</f>
        <v>#REF!</v>
      </c>
      <c r="AW36" s="565"/>
      <c r="AX36" s="550" t="e">
        <f>AX33/'Ch41 Calc Data'!#REF!</f>
        <v>#REF!</v>
      </c>
      <c r="AY36" s="565"/>
      <c r="AZ36" s="610" t="e">
        <f>AZ33/'Ch41 Calc Data'!#REF!</f>
        <v>#REF!</v>
      </c>
      <c r="BA36" s="724"/>
      <c r="BB36" s="610" t="e">
        <f>BB33/'Ch41 Calc Data'!#REF!</f>
        <v>#REF!</v>
      </c>
      <c r="BC36" s="724"/>
      <c r="BD36" s="610" t="e">
        <f>BD33/'Ch41 Calc Data'!#REF!</f>
        <v>#REF!</v>
      </c>
      <c r="BE36" s="724"/>
      <c r="BF36" s="610" t="e">
        <f>BF33/'Ch41 Calc Data'!#REF!</f>
        <v>#REF!</v>
      </c>
      <c r="BG36" s="724"/>
      <c r="BH36" s="628" t="e">
        <f>BH33/'Ch41 Calc Data'!#REF!</f>
        <v>#REF!</v>
      </c>
      <c r="BI36" s="738"/>
      <c r="BJ36" s="628" t="e">
        <f>BJ33/'Ch41 Calc Data'!#REF!</f>
        <v>#REF!</v>
      </c>
      <c r="BK36" s="738"/>
      <c r="BL36" s="628" t="e">
        <f>BL33/'Ch41 Calc Data'!#REF!</f>
        <v>#REF!</v>
      </c>
      <c r="BM36" s="738"/>
      <c r="BN36" s="628" t="e">
        <f>BN33/'Ch41 Calc Data'!#REF!</f>
        <v>#REF!</v>
      </c>
      <c r="BO36" s="738"/>
      <c r="BP36" s="646" t="e">
        <f>BP33/'Ch41 Calc Data'!I10</f>
        <v>#REF!</v>
      </c>
      <c r="BQ36" s="754"/>
      <c r="BR36" s="646" t="e">
        <f>BR33/'Ch41 Calc Data'!I10</f>
        <v>#DIV/0!</v>
      </c>
      <c r="BS36" s="754"/>
      <c r="BT36" s="646" t="e">
        <f>BT33/'Ch41 Calc Data'!I10</f>
        <v>#REF!</v>
      </c>
      <c r="BU36" s="754"/>
      <c r="BV36" s="646" t="e">
        <f>BV33/'Ch41 Calc Data'!I10</f>
        <v>#DIV/0!</v>
      </c>
      <c r="BX36" s="350" t="e">
        <f>BX33/'Ch41 Calc Data'!#REF!</f>
        <v>#REF!</v>
      </c>
      <c r="BY36" s="352"/>
      <c r="BZ36" s="350" t="e">
        <f>BZ33/'Ch41 Calc Data'!#REF!</f>
        <v>#REF!</v>
      </c>
      <c r="CH36" s="218" t="e">
        <f>CH33/'Ch41 Calc Data'!#REF!</f>
        <v>#REF!</v>
      </c>
      <c r="CI36" s="223"/>
      <c r="CJ36" s="218" t="e">
        <f>CJ33/'Ch41 Calc Data'!#REF!</f>
        <v>#REF!</v>
      </c>
      <c r="CK36" s="180"/>
      <c r="CL36" s="180"/>
      <c r="CN36" s="491" t="e">
        <f>CN33/'Ch41 Calc Data'!#REF!</f>
        <v>#REF!</v>
      </c>
      <c r="CO36" s="492"/>
      <c r="CP36" s="491" t="e">
        <f>CP33/'Ch41 Calc Data'!#REF!</f>
        <v>#REF!</v>
      </c>
      <c r="CQ36" s="486"/>
      <c r="CR36" s="486"/>
      <c r="CT36" s="580" t="e">
        <f>CT33/'Ch41 Calc Data'!#REF!</f>
        <v>#REF!</v>
      </c>
      <c r="CU36" s="581"/>
      <c r="CV36" s="580" t="e">
        <f>CV33/'Ch41 Calc Data'!#REF!</f>
        <v>#REF!</v>
      </c>
      <c r="CW36" s="575"/>
      <c r="CX36" s="575"/>
      <c r="CY36" s="575"/>
      <c r="CZ36" s="707" t="e">
        <f>CZ33/'Ch41 Calc Data'!#REF!</f>
        <v>#REF!</v>
      </c>
      <c r="DA36" s="708"/>
      <c r="DB36" s="707" t="e">
        <f>DB33/'Ch41 Calc Data'!#REF!</f>
        <v>#REF!</v>
      </c>
      <c r="DF36" s="770" t="e">
        <f>DF33/'Ch41 Calc Data'!#REF!</f>
        <v>#REF!</v>
      </c>
      <c r="DG36" s="771"/>
      <c r="DH36" s="770" t="e">
        <f>DH33/'Ch41 Calc Data'!#REF!</f>
        <v>#REF!</v>
      </c>
      <c r="DL36" s="786" t="e">
        <f>DL33/'Ch41 Calc Data'!I10</f>
        <v>#REF!</v>
      </c>
      <c r="DM36" s="787"/>
      <c r="DN36" s="786" t="e">
        <f>DN33/'Ch41 Calc Data'!I10</f>
        <v>#DIV/0!</v>
      </c>
    </row>
    <row r="37" spans="1:118">
      <c r="K37" s="323"/>
      <c r="L37" s="323"/>
      <c r="M37" s="323"/>
      <c r="N37" s="323"/>
      <c r="O37" s="323"/>
      <c r="P37" s="323"/>
      <c r="Q37" s="323"/>
      <c r="S37" s="180"/>
      <c r="U37" s="180"/>
      <c r="W37" s="180"/>
      <c r="X37" s="180"/>
      <c r="Y37" s="180"/>
      <c r="AJ37" s="111"/>
      <c r="AK37" s="111"/>
      <c r="AL37" s="111"/>
      <c r="AM37" s="111"/>
      <c r="AN37" s="111"/>
      <c r="AO37" s="111"/>
      <c r="AP37" s="111"/>
      <c r="AQ37" s="111"/>
      <c r="AR37" s="531"/>
      <c r="AS37" s="531"/>
      <c r="AT37" s="531"/>
      <c r="AU37" s="531"/>
      <c r="AV37" s="531"/>
      <c r="AW37" s="531"/>
      <c r="AX37" s="531"/>
      <c r="AY37" s="531"/>
      <c r="BX37" s="364" t="s">
        <v>1135</v>
      </c>
      <c r="BY37" s="323"/>
      <c r="BZ37" s="323"/>
      <c r="CD37" s="364" t="s">
        <v>2229</v>
      </c>
      <c r="CE37" s="323"/>
      <c r="CF37" s="323"/>
      <c r="CH37" s="182" t="s">
        <v>1135</v>
      </c>
      <c r="CI37" s="180"/>
      <c r="CJ37" s="180"/>
      <c r="CK37" s="180"/>
      <c r="CL37" s="180"/>
      <c r="CN37" s="493" t="s">
        <v>1135</v>
      </c>
      <c r="CO37" s="486"/>
      <c r="CP37" s="486"/>
      <c r="CQ37" s="486"/>
      <c r="CR37" s="486"/>
      <c r="CT37" s="533" t="s">
        <v>1135</v>
      </c>
      <c r="CU37" s="575"/>
      <c r="CV37" s="575"/>
      <c r="CW37" s="575"/>
      <c r="CX37" s="575"/>
      <c r="CY37" s="575"/>
      <c r="CZ37" s="709" t="s">
        <v>1135</v>
      </c>
      <c r="DA37" s="702"/>
      <c r="DB37" s="702"/>
      <c r="DF37" s="772" t="s">
        <v>1135</v>
      </c>
      <c r="DG37" s="765"/>
      <c r="DH37" s="765"/>
      <c r="DL37" s="788" t="s">
        <v>1135</v>
      </c>
      <c r="DM37" s="781"/>
      <c r="DN37" s="781"/>
    </row>
    <row r="38" spans="1:118" ht="15.75">
      <c r="A38" s="38" t="s">
        <v>2394</v>
      </c>
      <c r="K38" s="323"/>
      <c r="L38" s="323"/>
      <c r="M38" s="323"/>
      <c r="N38" s="323"/>
      <c r="O38" s="323"/>
      <c r="P38" s="323"/>
      <c r="Q38" s="323"/>
      <c r="S38" s="180"/>
      <c r="U38" s="180"/>
      <c r="W38" s="180"/>
      <c r="X38" s="180"/>
      <c r="Y38" s="180"/>
      <c r="AA38" s="121">
        <f>'Calc Data'!G41</f>
        <v>0</v>
      </c>
      <c r="AJ38" s="111"/>
      <c r="AK38" s="111"/>
      <c r="AL38" s="111"/>
      <c r="AM38" s="111"/>
      <c r="AN38" s="111"/>
      <c r="AO38" s="111"/>
      <c r="AP38" s="111"/>
      <c r="AQ38" s="111"/>
      <c r="AR38" s="531"/>
      <c r="AS38" s="531"/>
      <c r="AT38" s="531"/>
      <c r="AU38" s="531"/>
      <c r="AV38" s="531"/>
      <c r="AW38" s="531"/>
      <c r="AX38" s="531"/>
      <c r="AY38" s="531"/>
      <c r="BX38" s="323"/>
      <c r="BY38" s="323"/>
      <c r="BZ38" s="323"/>
      <c r="CD38" s="323"/>
      <c r="CE38" s="323"/>
      <c r="CF38" s="323"/>
      <c r="CH38" s="180"/>
      <c r="CI38" s="180"/>
      <c r="CJ38" s="180"/>
      <c r="CK38" s="180"/>
      <c r="CL38" s="180"/>
      <c r="CN38" s="486"/>
      <c r="CO38" s="486"/>
      <c r="CP38" s="486"/>
      <c r="CQ38" s="486"/>
      <c r="CR38" s="486"/>
      <c r="CT38" s="575"/>
      <c r="CU38" s="575"/>
      <c r="CV38" s="575"/>
      <c r="CW38" s="575"/>
      <c r="CX38" s="575"/>
      <c r="CY38" s="575"/>
      <c r="CZ38" s="702"/>
      <c r="DA38" s="702"/>
      <c r="DB38" s="702"/>
      <c r="DF38" s="765"/>
      <c r="DG38" s="765"/>
      <c r="DH38" s="765"/>
      <c r="DL38" s="781"/>
      <c r="DM38" s="781"/>
      <c r="DN38" s="781"/>
    </row>
    <row r="39" spans="1:118">
      <c r="A39" t="s">
        <v>1033</v>
      </c>
      <c r="C39" s="218" t="e">
        <f>'Calc Data'!#REF!</f>
        <v>#REF!</v>
      </c>
      <c r="D39" s="223"/>
      <c r="E39" s="218" t="e">
        <f>C39</f>
        <v>#REF!</v>
      </c>
      <c r="F39" s="223"/>
      <c r="G39" s="256"/>
      <c r="H39" s="223"/>
      <c r="I39" s="256"/>
      <c r="J39" s="223"/>
      <c r="K39" s="350">
        <f>'Calc Data'!D33</f>
        <v>0</v>
      </c>
      <c r="L39" s="352"/>
      <c r="M39" s="350">
        <f>K39</f>
        <v>0</v>
      </c>
      <c r="N39" s="352"/>
      <c r="O39" s="362">
        <f>'Calc Data'!AA47</f>
        <v>0</v>
      </c>
      <c r="P39" s="352"/>
      <c r="Q39" s="362">
        <f>'Calc Data'!AC47</f>
        <v>0</v>
      </c>
      <c r="S39" s="218" t="e">
        <f>'Calc Data'!E33</f>
        <v>#REF!</v>
      </c>
      <c r="T39" s="223"/>
      <c r="U39" s="218" t="e">
        <f>S39</f>
        <v>#REF!</v>
      </c>
      <c r="V39" s="223"/>
      <c r="W39" s="256"/>
      <c r="X39" s="223"/>
      <c r="Y39" s="256"/>
      <c r="AJ39" s="470" t="e">
        <f>'Calc Data'!H33</f>
        <v>#REF!</v>
      </c>
      <c r="AK39" s="507"/>
      <c r="AL39" s="470" t="e">
        <f>AJ39</f>
        <v>#REF!</v>
      </c>
      <c r="AM39" s="507"/>
      <c r="AN39" s="514"/>
      <c r="AO39" s="507"/>
      <c r="AP39" s="514"/>
      <c r="AQ39" s="492"/>
      <c r="AR39" s="550" t="e">
        <f>'Calc Data'!I33</f>
        <v>#REF!</v>
      </c>
      <c r="AS39" s="565"/>
      <c r="AT39" s="550" t="e">
        <f>AR39</f>
        <v>#REF!</v>
      </c>
      <c r="AU39" s="565"/>
      <c r="AV39" s="572"/>
      <c r="AW39" s="565"/>
      <c r="AX39" s="572"/>
      <c r="AY39" s="717"/>
      <c r="AZ39" s="610" t="e">
        <f>'Calc Data'!J33</f>
        <v>#REF!</v>
      </c>
      <c r="BA39" s="724"/>
      <c r="BB39" s="610" t="e">
        <f>AZ39</f>
        <v>#REF!</v>
      </c>
      <c r="BC39" s="724"/>
      <c r="BD39" s="725"/>
      <c r="BE39" s="724"/>
      <c r="BF39" s="725"/>
      <c r="BG39" s="731"/>
      <c r="BH39" s="628" t="e">
        <f>'Calc Data'!K33</f>
        <v>#REF!</v>
      </c>
      <c r="BI39" s="738"/>
      <c r="BJ39" s="628" t="e">
        <f>BH39</f>
        <v>#REF!</v>
      </c>
      <c r="BK39" s="738"/>
      <c r="BL39" s="739"/>
      <c r="BM39" s="738"/>
      <c r="BN39" s="739"/>
      <c r="BO39" s="747"/>
      <c r="BP39" s="646" t="e">
        <f>'Calc Data'!L33</f>
        <v>#REF!</v>
      </c>
      <c r="BQ39" s="754"/>
      <c r="BR39" s="646" t="e">
        <f>BP39</f>
        <v>#REF!</v>
      </c>
      <c r="BS39" s="754"/>
      <c r="BT39" s="755"/>
      <c r="BU39" s="754"/>
      <c r="BV39" s="755"/>
      <c r="BX39" s="350">
        <f>'Calc Data'!D33</f>
        <v>0</v>
      </c>
      <c r="BY39" s="352"/>
      <c r="BZ39" s="350">
        <f>BX39</f>
        <v>0</v>
      </c>
      <c r="CD39" s="350">
        <f>'Calc Data'!AO39</f>
        <v>0</v>
      </c>
      <c r="CE39" s="352"/>
      <c r="CF39" s="350">
        <f>CD39</f>
        <v>0</v>
      </c>
      <c r="CH39" s="218" t="e">
        <f>'Calc Data'!E33</f>
        <v>#REF!</v>
      </c>
      <c r="CI39" s="223"/>
      <c r="CJ39" s="218" t="e">
        <f>CH39</f>
        <v>#REF!</v>
      </c>
      <c r="CK39" s="180"/>
      <c r="CL39" s="180"/>
      <c r="CN39" s="491" t="e">
        <f>'Calc Data'!H33</f>
        <v>#REF!</v>
      </c>
      <c r="CO39" s="492"/>
      <c r="CP39" s="491" t="e">
        <f>CN39</f>
        <v>#REF!</v>
      </c>
      <c r="CQ39" s="486"/>
      <c r="CR39" s="486"/>
      <c r="CT39" s="580" t="e">
        <f>'Calc Data'!I33</f>
        <v>#REF!</v>
      </c>
      <c r="CU39" s="581"/>
      <c r="CV39" s="580" t="e">
        <f>CT39</f>
        <v>#REF!</v>
      </c>
      <c r="CW39" s="575"/>
      <c r="CX39" s="575"/>
      <c r="CY39" s="575"/>
      <c r="CZ39" s="707" t="e">
        <f>'Calc Data'!J33</f>
        <v>#REF!</v>
      </c>
      <c r="DA39" s="708"/>
      <c r="DB39" s="707" t="e">
        <f>CZ39</f>
        <v>#REF!</v>
      </c>
      <c r="DF39" s="770" t="e">
        <f>'Calc Data'!K33</f>
        <v>#REF!</v>
      </c>
      <c r="DG39" s="771"/>
      <c r="DH39" s="770" t="e">
        <f>DF39</f>
        <v>#REF!</v>
      </c>
      <c r="DL39" s="786" t="e">
        <f>'Calc Data'!L33</f>
        <v>#REF!</v>
      </c>
      <c r="DM39" s="787"/>
      <c r="DN39" s="786" t="e">
        <f>DL39</f>
        <v>#REF!</v>
      </c>
    </row>
    <row r="40" spans="1:118">
      <c r="A40" t="s">
        <v>1842</v>
      </c>
      <c r="C40" s="256" t="e">
        <f>'Calc Data'!#REF!</f>
        <v>#REF!</v>
      </c>
      <c r="D40" s="223"/>
      <c r="E40" s="256" t="e">
        <f>C40</f>
        <v>#REF!</v>
      </c>
      <c r="F40" s="223"/>
      <c r="G40" s="218" t="e">
        <f>'Calc Data'!#REF!</f>
        <v>#REF!</v>
      </c>
      <c r="H40" s="223"/>
      <c r="I40" s="218" t="e">
        <f>'Calc Data'!#REF!</f>
        <v>#REF!</v>
      </c>
      <c r="J40" s="223"/>
      <c r="K40" s="362">
        <f>'Calc Data'!W48</f>
        <v>0</v>
      </c>
      <c r="L40" s="352"/>
      <c r="M40" s="362">
        <f>'Calc Data'!Y48</f>
        <v>0</v>
      </c>
      <c r="N40" s="352"/>
      <c r="O40" s="350">
        <f>'Calc Data'!D40</f>
        <v>0</v>
      </c>
      <c r="P40" s="352"/>
      <c r="Q40" s="350">
        <f>'Calc Data'!D40</f>
        <v>0</v>
      </c>
      <c r="S40" s="256"/>
      <c r="T40" s="223"/>
      <c r="U40" s="256"/>
      <c r="V40" s="223"/>
      <c r="W40" s="218" t="e">
        <f>'Calc Data'!E40</f>
        <v>#REF!</v>
      </c>
      <c r="X40" s="223"/>
      <c r="Y40" s="218" t="e">
        <f>W40</f>
        <v>#REF!</v>
      </c>
      <c r="AJ40" s="514"/>
      <c r="AK40" s="507"/>
      <c r="AL40" s="514"/>
      <c r="AM40" s="507"/>
      <c r="AN40" s="470" t="e">
        <f>'Calc Data'!H40</f>
        <v>#REF!</v>
      </c>
      <c r="AO40" s="507"/>
      <c r="AP40" s="470" t="e">
        <f>AN40</f>
        <v>#REF!</v>
      </c>
      <c r="AQ40" s="507"/>
      <c r="AR40" s="572"/>
      <c r="AS40" s="565"/>
      <c r="AT40" s="572"/>
      <c r="AU40" s="565"/>
      <c r="AV40" s="550" t="e">
        <f>'Calc Data'!I40</f>
        <v>#REF!</v>
      </c>
      <c r="AW40" s="565"/>
      <c r="AX40" s="550" t="e">
        <f>AV40</f>
        <v>#REF!</v>
      </c>
      <c r="AY40" s="565"/>
      <c r="AZ40" s="725"/>
      <c r="BA40" s="724"/>
      <c r="BB40" s="725"/>
      <c r="BC40" s="724"/>
      <c r="BD40" s="610" t="e">
        <f>'Calc Data'!J40</f>
        <v>#REF!</v>
      </c>
      <c r="BE40" s="724"/>
      <c r="BF40" s="610" t="e">
        <f>BD40</f>
        <v>#REF!</v>
      </c>
      <c r="BG40" s="724"/>
      <c r="BH40" s="739"/>
      <c r="BI40" s="738"/>
      <c r="BJ40" s="739"/>
      <c r="BK40" s="738"/>
      <c r="BL40" s="628" t="e">
        <f>'Calc Data'!K40</f>
        <v>#REF!</v>
      </c>
      <c r="BM40" s="738"/>
      <c r="BN40" s="628" t="e">
        <f>BL40</f>
        <v>#REF!</v>
      </c>
      <c r="BO40" s="738"/>
      <c r="BP40" s="755"/>
      <c r="BQ40" s="754"/>
      <c r="BR40" s="755"/>
      <c r="BS40" s="754"/>
      <c r="BT40" s="646">
        <f>'Calc Data'!V40</f>
        <v>0</v>
      </c>
      <c r="BU40" s="754"/>
      <c r="BV40" s="646">
        <f>BT40</f>
        <v>0</v>
      </c>
      <c r="BX40" s="350">
        <v>0</v>
      </c>
      <c r="BY40" s="352"/>
      <c r="BZ40" s="350">
        <v>0</v>
      </c>
      <c r="CD40" s="350">
        <v>0</v>
      </c>
      <c r="CE40" s="352"/>
      <c r="CF40" s="350">
        <v>0</v>
      </c>
      <c r="CH40" s="218">
        <v>0</v>
      </c>
      <c r="CI40" s="223"/>
      <c r="CJ40" s="218">
        <v>0</v>
      </c>
      <c r="CK40" s="180"/>
      <c r="CL40" s="180"/>
      <c r="CN40" s="491">
        <v>0</v>
      </c>
      <c r="CO40" s="492"/>
      <c r="CP40" s="491">
        <v>0</v>
      </c>
      <c r="CQ40" s="486"/>
      <c r="CR40" s="486"/>
      <c r="CT40" s="580">
        <v>0</v>
      </c>
      <c r="CU40" s="581"/>
      <c r="CV40" s="580">
        <v>0</v>
      </c>
      <c r="CW40" s="575"/>
      <c r="CX40" s="575"/>
      <c r="CY40" s="575"/>
      <c r="CZ40" s="707">
        <v>0</v>
      </c>
      <c r="DA40" s="708"/>
      <c r="DB40" s="707">
        <v>0</v>
      </c>
      <c r="DF40" s="770">
        <v>0</v>
      </c>
      <c r="DG40" s="771"/>
      <c r="DH40" s="770">
        <v>0</v>
      </c>
      <c r="DL40" s="786">
        <v>0</v>
      </c>
      <c r="DM40" s="787"/>
      <c r="DN40" s="786">
        <v>0</v>
      </c>
    </row>
    <row r="41" spans="1:118">
      <c r="A41" t="s">
        <v>1343</v>
      </c>
      <c r="C41" s="218" t="e">
        <f>C39</f>
        <v>#REF!</v>
      </c>
      <c r="D41" s="223"/>
      <c r="E41" s="218" t="e">
        <f>E39</f>
        <v>#REF!</v>
      </c>
      <c r="F41" s="223"/>
      <c r="G41" s="218" t="e">
        <f>G40</f>
        <v>#REF!</v>
      </c>
      <c r="H41" s="223"/>
      <c r="I41" s="218" t="e">
        <f>I40</f>
        <v>#REF!</v>
      </c>
      <c r="J41" s="223"/>
      <c r="K41" s="350">
        <f>K39</f>
        <v>0</v>
      </c>
      <c r="L41" s="352"/>
      <c r="M41" s="350">
        <f>M39</f>
        <v>0</v>
      </c>
      <c r="N41" s="352"/>
      <c r="O41" s="350">
        <f>O40</f>
        <v>0</v>
      </c>
      <c r="P41" s="352"/>
      <c r="Q41" s="350">
        <f>Q40</f>
        <v>0</v>
      </c>
      <c r="S41" s="218" t="e">
        <f>S39</f>
        <v>#REF!</v>
      </c>
      <c r="T41" s="223"/>
      <c r="U41" s="218" t="e">
        <f>U39</f>
        <v>#REF!</v>
      </c>
      <c r="V41" s="223"/>
      <c r="W41" s="218" t="e">
        <f>W40</f>
        <v>#REF!</v>
      </c>
      <c r="X41" s="223"/>
      <c r="Y41" s="218" t="e">
        <f>Y40</f>
        <v>#REF!</v>
      </c>
      <c r="AA41" s="121">
        <f>'Calc Data'!G48</f>
        <v>0</v>
      </c>
      <c r="AJ41" s="470" t="e">
        <f>AJ39</f>
        <v>#REF!</v>
      </c>
      <c r="AK41" s="507"/>
      <c r="AL41" s="470" t="e">
        <f>AL39</f>
        <v>#REF!</v>
      </c>
      <c r="AM41" s="507"/>
      <c r="AN41" s="470" t="e">
        <f>AN40</f>
        <v>#REF!</v>
      </c>
      <c r="AO41" s="507"/>
      <c r="AP41" s="470" t="e">
        <f>AP40</f>
        <v>#REF!</v>
      </c>
      <c r="AQ41" s="507"/>
      <c r="AR41" s="550" t="e">
        <f>AR39</f>
        <v>#REF!</v>
      </c>
      <c r="AS41" s="565"/>
      <c r="AT41" s="550" t="e">
        <f>AT39</f>
        <v>#REF!</v>
      </c>
      <c r="AU41" s="565"/>
      <c r="AV41" s="550" t="e">
        <f>AV40</f>
        <v>#REF!</v>
      </c>
      <c r="AW41" s="565"/>
      <c r="AX41" s="550" t="e">
        <f>AX40</f>
        <v>#REF!</v>
      </c>
      <c r="AY41" s="565"/>
      <c r="AZ41" s="610" t="e">
        <f>AZ39</f>
        <v>#REF!</v>
      </c>
      <c r="BA41" s="724"/>
      <c r="BB41" s="610" t="e">
        <f>BB39</f>
        <v>#REF!</v>
      </c>
      <c r="BC41" s="724"/>
      <c r="BD41" s="610" t="e">
        <f>BD40</f>
        <v>#REF!</v>
      </c>
      <c r="BE41" s="724"/>
      <c r="BF41" s="610" t="e">
        <f>BF40</f>
        <v>#REF!</v>
      </c>
      <c r="BG41" s="724"/>
      <c r="BH41" s="628" t="e">
        <f>BH39</f>
        <v>#REF!</v>
      </c>
      <c r="BI41" s="738"/>
      <c r="BJ41" s="628" t="e">
        <f>BJ39</f>
        <v>#REF!</v>
      </c>
      <c r="BK41" s="738"/>
      <c r="BL41" s="628" t="e">
        <f>BL40</f>
        <v>#REF!</v>
      </c>
      <c r="BM41" s="738"/>
      <c r="BN41" s="628" t="e">
        <f>BN40</f>
        <v>#REF!</v>
      </c>
      <c r="BO41" s="738"/>
      <c r="BP41" s="646" t="e">
        <f>BP39</f>
        <v>#REF!</v>
      </c>
      <c r="BQ41" s="754"/>
      <c r="BR41" s="646" t="e">
        <f>BR39</f>
        <v>#REF!</v>
      </c>
      <c r="BS41" s="754"/>
      <c r="BT41" s="646">
        <f>BT40</f>
        <v>0</v>
      </c>
      <c r="BU41" s="754"/>
      <c r="BV41" s="646">
        <f>BV40</f>
        <v>0</v>
      </c>
      <c r="BX41" s="350">
        <f>BX39+BX40</f>
        <v>0</v>
      </c>
      <c r="BY41" s="352"/>
      <c r="BZ41" s="350">
        <f>BZ39+BZ40</f>
        <v>0</v>
      </c>
      <c r="CD41" s="350">
        <f>CD39+CD40</f>
        <v>0</v>
      </c>
      <c r="CE41" s="352"/>
      <c r="CF41" s="350">
        <f>CF39+CF40</f>
        <v>0</v>
      </c>
      <c r="CH41" s="218" t="e">
        <f>CH39+CH40</f>
        <v>#REF!</v>
      </c>
      <c r="CI41" s="223"/>
      <c r="CJ41" s="218" t="e">
        <f>CJ39+CJ40</f>
        <v>#REF!</v>
      </c>
      <c r="CK41" s="180"/>
      <c r="CL41" s="180"/>
      <c r="CN41" s="491" t="e">
        <f>CN39+CN40</f>
        <v>#REF!</v>
      </c>
      <c r="CO41" s="492"/>
      <c r="CP41" s="491" t="e">
        <f>CP39+CP40</f>
        <v>#REF!</v>
      </c>
      <c r="CQ41" s="486"/>
      <c r="CR41" s="486"/>
      <c r="CT41" s="580" t="e">
        <f>CT39+CT40</f>
        <v>#REF!</v>
      </c>
      <c r="CU41" s="581"/>
      <c r="CV41" s="580" t="e">
        <f>CV39+CV40</f>
        <v>#REF!</v>
      </c>
      <c r="CW41" s="575"/>
      <c r="CX41" s="575"/>
      <c r="CY41" s="575"/>
      <c r="CZ41" s="707" t="e">
        <f>CZ39+CZ40</f>
        <v>#REF!</v>
      </c>
      <c r="DA41" s="708"/>
      <c r="DB41" s="707" t="e">
        <f>DB39+DB40</f>
        <v>#REF!</v>
      </c>
      <c r="DF41" s="770" t="e">
        <f>DF39+DF40</f>
        <v>#REF!</v>
      </c>
      <c r="DG41" s="771"/>
      <c r="DH41" s="770" t="e">
        <f>DH39+DH40</f>
        <v>#REF!</v>
      </c>
      <c r="DL41" s="786" t="e">
        <f>DL39+DL40</f>
        <v>#REF!</v>
      </c>
      <c r="DM41" s="787"/>
      <c r="DN41" s="786" t="e">
        <f>DN39+DN40</f>
        <v>#REF!</v>
      </c>
    </row>
    <row r="42" spans="1:118">
      <c r="A42" t="s">
        <v>2395</v>
      </c>
      <c r="C42" s="204" t="e">
        <f>C35*(C41-'Data Entry - SOF'!#REF!)</f>
        <v>#REF!</v>
      </c>
      <c r="D42" s="191"/>
      <c r="E42" s="204" t="e">
        <f>E35*(E41-'Data Entry - SOF'!#REF!)</f>
        <v>#REF!</v>
      </c>
      <c r="F42" s="191"/>
      <c r="G42" s="204" t="e">
        <f>IF(G35*(G41-'Data Entry - SOF'!#REF!)&lt;0,0,G35*(G41-'Data Entry - SOF'!#REF!))</f>
        <v>#REF!</v>
      </c>
      <c r="H42" s="191"/>
      <c r="I42" s="204" t="e">
        <f>IF(I35*(I41-'Data Entry - SOF'!#REF!)&lt;0,0,I35*(I41-'Data Entry - SOF'!#REF!))</f>
        <v>#REF!</v>
      </c>
      <c r="J42" s="191"/>
      <c r="K42" s="332" t="e">
        <f>K35*(K41-'Data Entry - SOF'!#REF!)</f>
        <v>#REF!</v>
      </c>
      <c r="L42" s="326"/>
      <c r="M42" s="332" t="e">
        <f>M35*(M41-'Data Entry - SOF'!#REF!)</f>
        <v>#REF!</v>
      </c>
      <c r="N42" s="326"/>
      <c r="O42" s="332" t="e">
        <f>IF(O35*(O41-'Data Entry - SOF'!#REF!)&lt;0,0,O35*(O41-'Data Entry - SOF'!#REF!))</f>
        <v>#REF!</v>
      </c>
      <c r="P42" s="326"/>
      <c r="Q42" s="332" t="e">
        <f>IF(Q35*(Q41-'Data Entry - SOF'!#REF!)&lt;0,0,Q35*(Q41-'Data Entry - SOF'!#REF!))</f>
        <v>#REF!</v>
      </c>
      <c r="S42" s="204" t="e">
        <f>S35*(S41-'Data Entry - SOF'!#REF!)</f>
        <v>#REF!</v>
      </c>
      <c r="T42" s="191"/>
      <c r="U42" s="204" t="e">
        <f>U35*(U41-'Data Entry - SOF'!#REF!)</f>
        <v>#REF!</v>
      </c>
      <c r="V42" s="191"/>
      <c r="W42" s="204" t="e">
        <f>IF(W35*(W41-'Data Entry - SOF'!#REF!)&lt;0,0,W35*(W41-'Data Entry - SOF'!#REF!))</f>
        <v>#REF!</v>
      </c>
      <c r="X42" s="191"/>
      <c r="Y42" s="204" t="e">
        <f>IF(Y35*(Y41-'Data Entry - SOF'!#REF!)&lt;0,0,Y35*(Y41-'Data Entry - SOF'!#REF!))</f>
        <v>#REF!</v>
      </c>
      <c r="AJ42" s="466" t="e">
        <f>AJ35*(AJ41-'Data Entry - SOF'!#REF!)</f>
        <v>#REF!</v>
      </c>
      <c r="AK42" s="502"/>
      <c r="AL42" s="466" t="e">
        <f>AL35*(AL41-'Data Entry - SOF'!#REF!)</f>
        <v>#REF!</v>
      </c>
      <c r="AM42" s="502"/>
      <c r="AN42" s="466" t="e">
        <f>IF(AN35*(AN41-'Data Entry - SOF'!#REF!)&lt;0,0,AN35*(AN41-'Data Entry - SOF'!#REF!))</f>
        <v>#REF!</v>
      </c>
      <c r="AO42" s="502"/>
      <c r="AP42" s="466" t="e">
        <f>IF(AP35*(AP41-'Data Entry - SOF'!#REF!)&lt;0,0,AP35*(AP41-'Data Entry - SOF'!#REF!))</f>
        <v>#REF!</v>
      </c>
      <c r="AQ42" s="502"/>
      <c r="AR42" s="546" t="e">
        <f>AR35*(AR41-'Data Entry - SOF'!#REF!)</f>
        <v>#REF!</v>
      </c>
      <c r="AS42" s="560"/>
      <c r="AT42" s="546" t="e">
        <f>AT35*(AT41-'Data Entry - SOF'!#REF!)</f>
        <v>#REF!</v>
      </c>
      <c r="AU42" s="560"/>
      <c r="AV42" s="546" t="e">
        <f>IF(AV35*(AV41-'Data Entry - SOF'!#REF!)&lt;0,0,AV35*(AV41-'Data Entry - SOF'!#REF!))</f>
        <v>#REF!</v>
      </c>
      <c r="AW42" s="560"/>
      <c r="AX42" s="546" t="e">
        <f>IF(AX35*(AX41-'Data Entry - SOF'!#REF!)&lt;0,0,AX35*(AX41-'Data Entry - SOF'!#REF!))</f>
        <v>#REF!</v>
      </c>
      <c r="AY42" s="560"/>
      <c r="AZ42" s="606" t="e">
        <f>AZ35*(AZ41-'Data Entry - SOF'!#REF!)</f>
        <v>#REF!</v>
      </c>
      <c r="BA42" s="719"/>
      <c r="BB42" s="606" t="e">
        <f>BB35*(BB41-'Data Entry - SOF'!#REF!)</f>
        <v>#REF!</v>
      </c>
      <c r="BC42" s="719"/>
      <c r="BD42" s="606" t="e">
        <f>IF(BD35*(BD41-'Data Entry - SOF'!#REF!)&lt;0,0,BD35*(BD41-'Data Entry - SOF'!#REF!))</f>
        <v>#REF!</v>
      </c>
      <c r="BE42" s="719"/>
      <c r="BF42" s="606" t="e">
        <f>IF(BF35*(BF41-'Data Entry - SOF'!#REF!)&lt;0,0,BF35*(BF41-'Data Entry - SOF'!#REF!))</f>
        <v>#REF!</v>
      </c>
      <c r="BG42" s="719"/>
      <c r="BH42" s="624" t="e">
        <f>BH35*(BH41-'Data Entry - SOF'!#REF!)</f>
        <v>#REF!</v>
      </c>
      <c r="BI42" s="733"/>
      <c r="BJ42" s="624" t="e">
        <f>BJ35*(BJ41-'Data Entry - SOF'!#REF!)</f>
        <v>#REF!</v>
      </c>
      <c r="BK42" s="733"/>
      <c r="BL42" s="624" t="e">
        <f>IF(BL35*(BL41-'Data Entry - SOF'!#REF!)&lt;0,0,BL35*(BL41-'Data Entry - SOF'!#REF!))</f>
        <v>#REF!</v>
      </c>
      <c r="BM42" s="733"/>
      <c r="BN42" s="624" t="e">
        <f>IF(BN35*(BN41-'Data Entry - SOF'!#REF!)&lt;0,0,BN35*(BN41-'Data Entry - SOF'!#REF!))</f>
        <v>#REF!</v>
      </c>
      <c r="BO42" s="733"/>
      <c r="BP42" s="642" t="e">
        <f>BP35*(BP41-'Data Entry - SOF'!#REF!)</f>
        <v>#REF!</v>
      </c>
      <c r="BQ42" s="749"/>
      <c r="BR42" s="642" t="e">
        <f>BR35*(BR41-'Data Entry - SOF'!#REF!)</f>
        <v>#REF!</v>
      </c>
      <c r="BS42" s="749"/>
      <c r="BT42" s="642" t="e">
        <f>IF(BT35*(BT41-'Data Entry - SOF'!#REF!)&lt;0,0,BT35*(BT41-'Data Entry - SOF'!#REF!))</f>
        <v>#REF!</v>
      </c>
      <c r="BU42" s="749"/>
      <c r="BV42" s="642" t="e">
        <f>IF(BV35*(BV41-'Data Entry - SOF'!#REF!)&lt;0,0,BV35*(BV41-'Data Entry - SOF'!#REF!))</f>
        <v>#REF!</v>
      </c>
      <c r="BX42" s="332" t="e">
        <f>BX35*(BX41-'Data Entry - SOF'!#REF!)</f>
        <v>#REF!</v>
      </c>
      <c r="BY42" s="326"/>
      <c r="BZ42" s="332" t="e">
        <f>BZ35*(BZ41-'Data Entry - SOF'!#REF!)</f>
        <v>#REF!</v>
      </c>
      <c r="CD42" s="332" t="e">
        <f>BX35*(CD41-'Data Entry - SOF'!#REF!)</f>
        <v>#REF!</v>
      </c>
      <c r="CE42" s="326"/>
      <c r="CF42" s="332" t="e">
        <f>BZ35*(CF41-'Data Entry - SOF'!#REF!)</f>
        <v>#REF!</v>
      </c>
      <c r="CH42" s="204" t="e">
        <f>CH35*(CH41-'Data Entry - SOF'!#REF!)</f>
        <v>#REF!</v>
      </c>
      <c r="CI42" s="191"/>
      <c r="CJ42" s="204" t="e">
        <f>CJ35*(CJ41-'Data Entry - SOF'!#REF!)</f>
        <v>#REF!</v>
      </c>
      <c r="CK42" s="180"/>
      <c r="CL42" s="180"/>
      <c r="CN42" s="484" t="e">
        <f>CN35*(CN41-'Data Entry - SOF'!#REF!)</f>
        <v>#REF!</v>
      </c>
      <c r="CO42" s="485"/>
      <c r="CP42" s="484" t="e">
        <f>CP35*(CP41-'Data Entry - SOF'!#REF!)</f>
        <v>#REF!</v>
      </c>
      <c r="CQ42" s="486"/>
      <c r="CR42" s="486"/>
      <c r="CT42" s="573" t="e">
        <f>CT35*(CT41-'Data Entry - SOF'!#REF!)</f>
        <v>#REF!</v>
      </c>
      <c r="CU42" s="574"/>
      <c r="CV42" s="573" t="e">
        <f>CV35*(CV41-'Data Entry - SOF'!#REF!)</f>
        <v>#REF!</v>
      </c>
      <c r="CW42" s="575"/>
      <c r="CX42" s="575"/>
      <c r="CY42" s="575"/>
      <c r="CZ42" s="700" t="e">
        <f>CZ35*(CZ41-'Data Entry - SOF'!#REF!)</f>
        <v>#REF!</v>
      </c>
      <c r="DA42" s="701"/>
      <c r="DB42" s="700" t="e">
        <f>DB35*(DB41-'Data Entry - SOF'!#REF!)</f>
        <v>#REF!</v>
      </c>
      <c r="DF42" s="763" t="e">
        <f>DF35*(DF41-'Data Entry - SOF'!#REF!)</f>
        <v>#REF!</v>
      </c>
      <c r="DG42" s="764"/>
      <c r="DH42" s="763" t="e">
        <f>DH35*(DH41-'Data Entry - SOF'!#REF!)</f>
        <v>#REF!</v>
      </c>
      <c r="DL42" s="779" t="e">
        <f>DL35*(DL41-'Data Entry - SOF'!#REF!)</f>
        <v>#REF!</v>
      </c>
      <c r="DM42" s="780"/>
      <c r="DN42" s="779" t="e">
        <f>DN35*(DN41-'Data Entry - SOF'!#REF!)</f>
        <v>#REF!</v>
      </c>
    </row>
    <row r="43" spans="1:118">
      <c r="A43" s="97" t="s">
        <v>1141</v>
      </c>
      <c r="C43" s="219" t="e">
        <f>C34/IF(C36&lt;364500,364500,C36)</f>
        <v>#REF!</v>
      </c>
      <c r="D43" s="237"/>
      <c r="E43" s="219" t="e">
        <f>E34/E36</f>
        <v>#REF!</v>
      </c>
      <c r="F43" s="237"/>
      <c r="G43" s="219" t="e">
        <f>IF(G42=0,0,G34/G36)</f>
        <v>#REF!</v>
      </c>
      <c r="H43" s="237"/>
      <c r="I43" s="219" t="e">
        <f>IF(I42=0,0,I34/I36)</f>
        <v>#REF!</v>
      </c>
      <c r="J43" s="237"/>
      <c r="K43" s="356" t="e">
        <f>K34/IF(K36&lt;374200,374200,K36)</f>
        <v>#REF!</v>
      </c>
      <c r="L43" s="357"/>
      <c r="M43" s="356" t="e">
        <f>M34/M36</f>
        <v>#REF!</v>
      </c>
      <c r="N43" s="357"/>
      <c r="O43" s="356" t="e">
        <f>IF(O42=0,0,O34/O36)</f>
        <v>#REF!</v>
      </c>
      <c r="P43" s="357"/>
      <c r="Q43" s="356" t="e">
        <f>IF(Q42=0,0,Q34/Q36)</f>
        <v>#REF!</v>
      </c>
      <c r="S43" s="219" t="e">
        <f>S34/IF(S36&lt;374200,374200,S36)</f>
        <v>#REF!</v>
      </c>
      <c r="T43" s="237"/>
      <c r="U43" s="219" t="e">
        <f>U34/U36</f>
        <v>#REF!</v>
      </c>
      <c r="V43" s="237"/>
      <c r="W43" s="219" t="e">
        <f>IF(W42=0,0,W34/W36)</f>
        <v>#REF!</v>
      </c>
      <c r="X43" s="237"/>
      <c r="Y43" s="219" t="e">
        <f>IF(Y42=0,0,Y34/Y36)</f>
        <v>#REF!</v>
      </c>
      <c r="AJ43" s="464" t="e">
        <f>AJ34/IF(AJ36&lt;Assumptions!C21,Assumptions!C21,AJ36)</f>
        <v>#REF!</v>
      </c>
      <c r="AK43" s="503"/>
      <c r="AL43" s="464" t="e">
        <f>AL34/AL36</f>
        <v>#REF!</v>
      </c>
      <c r="AM43" s="503"/>
      <c r="AN43" s="464" t="e">
        <f>IF(AN42=0,0,AN34/AN36)</f>
        <v>#REF!</v>
      </c>
      <c r="AO43" s="503"/>
      <c r="AP43" s="464" t="e">
        <f>IF(AP42=0,0,AP34/AP36)</f>
        <v>#REF!</v>
      </c>
      <c r="AQ43" s="503"/>
      <c r="AR43" s="544" t="e">
        <f>AR34/IF(AR36&lt;Assumptions!C30,Assumptions!C30,AR36)</f>
        <v>#REF!</v>
      </c>
      <c r="AS43" s="561"/>
      <c r="AT43" s="544" t="e">
        <f>AT34/AT36</f>
        <v>#REF!</v>
      </c>
      <c r="AU43" s="561"/>
      <c r="AV43" s="544" t="e">
        <f>IF(AV42=0,0,AV34/AV36)</f>
        <v>#REF!</v>
      </c>
      <c r="AW43" s="561"/>
      <c r="AX43" s="544" t="e">
        <f>IF(AX42=0,0,AX34/AX36)</f>
        <v>#REF!</v>
      </c>
      <c r="AY43" s="561"/>
      <c r="AZ43" s="602" t="e">
        <f>AZ34/IF(AZ36&lt;Assumptions!C40,Assumptions!C40,AZ36)</f>
        <v>#REF!</v>
      </c>
      <c r="BA43" s="720"/>
      <c r="BB43" s="602" t="e">
        <f>BB34/BB36</f>
        <v>#REF!</v>
      </c>
      <c r="BC43" s="720"/>
      <c r="BD43" s="602" t="e">
        <f>IF(BD42=0,0,BD34/BD36)</f>
        <v>#REF!</v>
      </c>
      <c r="BE43" s="720"/>
      <c r="BF43" s="602" t="e">
        <f>IF(BF42=0,0,BF34/BF36)</f>
        <v>#REF!</v>
      </c>
      <c r="BG43" s="720"/>
      <c r="BH43" s="620" t="e">
        <f>BH34/IF(BH36&lt;Assumptions!C50,Assumptions!C50,BH36)</f>
        <v>#REF!</v>
      </c>
      <c r="BI43" s="734"/>
      <c r="BJ43" s="620" t="e">
        <f>BJ34/BJ36</f>
        <v>#REF!</v>
      </c>
      <c r="BK43" s="734"/>
      <c r="BL43" s="620" t="e">
        <f>IF(BL42=0,0,BL34/BL36)</f>
        <v>#REF!</v>
      </c>
      <c r="BM43" s="734"/>
      <c r="BN43" s="620" t="e">
        <f>IF(BN42=0,0,BN34/BN36)</f>
        <v>#REF!</v>
      </c>
      <c r="BO43" s="734"/>
      <c r="BP43" s="638" t="e">
        <f>BP34/IF(BP36&lt;Assumptions!C59,Assumptions!C59,BP36)</f>
        <v>#REF!</v>
      </c>
      <c r="BQ43" s="750"/>
      <c r="BR43" s="638" t="e">
        <f>BR34/BR36</f>
        <v>#REF!</v>
      </c>
      <c r="BS43" s="750"/>
      <c r="BT43" s="638" t="e">
        <f>IF(BT42=0,0,BT34/BT36)</f>
        <v>#REF!</v>
      </c>
      <c r="BU43" s="750"/>
      <c r="BV43" s="638" t="e">
        <f>IF(BV42=0,0,BV34/BV36)</f>
        <v>#REF!</v>
      </c>
      <c r="BX43" s="356" t="e">
        <f>BX34/IF(BX36&lt;374200,374200,BX36)</f>
        <v>#REF!</v>
      </c>
      <c r="BY43" s="357"/>
      <c r="BZ43" s="356" t="e">
        <f>BZ34/IF(BZ36&lt;374200,374200,BZ36)</f>
        <v>#REF!</v>
      </c>
      <c r="CD43" s="356" t="e">
        <f>BX34/IF(BX36&lt;374200,374200,BX36)</f>
        <v>#REF!</v>
      </c>
      <c r="CE43" s="357"/>
      <c r="CF43" s="356" t="e">
        <f>I34/I36</f>
        <v>#REF!</v>
      </c>
      <c r="CH43" s="219" t="e">
        <f>CH34/IF(CH36&lt;374200,374200,CH36)</f>
        <v>#REF!</v>
      </c>
      <c r="CI43" s="237"/>
      <c r="CJ43" s="219" t="e">
        <f>CJ34/IF(CJ36&lt;374200,374200,CJ36)</f>
        <v>#REF!</v>
      </c>
      <c r="CK43" s="180"/>
      <c r="CL43" s="180"/>
      <c r="CN43" s="469" t="e">
        <f>CN34/IF(CN36&lt;Assumptions!C21,Assumptions!C21,CN36)</f>
        <v>#REF!</v>
      </c>
      <c r="CO43" s="494"/>
      <c r="CP43" s="469" t="e">
        <f>CP34/IF(CP36&lt;Assumptions!C21,Assumptions!C21,CP36)</f>
        <v>#REF!</v>
      </c>
      <c r="CQ43" s="486"/>
      <c r="CR43" s="486"/>
      <c r="CT43" s="549" t="e">
        <f>CT34/IF(CT36&lt;Assumptions!C30,Assumptions!C30,CT36)</f>
        <v>#REF!</v>
      </c>
      <c r="CU43" s="582"/>
      <c r="CV43" s="549" t="e">
        <f>CV34/IF(CV36&lt;Assumptions!C30,Assumptions!C30,CV36)</f>
        <v>#REF!</v>
      </c>
      <c r="CW43" s="575"/>
      <c r="CX43" s="575"/>
      <c r="CY43" s="575"/>
      <c r="CZ43" s="609" t="e">
        <f>CZ34/IF(CZ36&lt;Assumptions!C40,Assumptions!C40,CZ36)</f>
        <v>#REF!</v>
      </c>
      <c r="DA43" s="710"/>
      <c r="DB43" s="609" t="e">
        <f>DB34/IF(DB36&lt;Assumptions!C40,Assumptions!C40,DB36)</f>
        <v>#REF!</v>
      </c>
      <c r="DF43" s="627" t="e">
        <f>DF34/IF(DF36&lt;Assumptions!C50,Assumptions!C50,DF36)</f>
        <v>#REF!</v>
      </c>
      <c r="DG43" s="773"/>
      <c r="DH43" s="627" t="e">
        <f>DH34/IF(DH36&lt;Assumptions!C50,Assumptions!C50,DH36)</f>
        <v>#REF!</v>
      </c>
      <c r="DL43" s="645" t="e">
        <f>DL34/IF(DL36&lt;Assumptions!C59,Assumptions!C59,DL36)</f>
        <v>#REF!</v>
      </c>
      <c r="DM43" s="789"/>
      <c r="DN43" s="645" t="e">
        <f>DN34/IF(DN36&lt;Assumptions!C59,Assumptions!C59,DN36)</f>
        <v>#REF!</v>
      </c>
    </row>
    <row r="44" spans="1:118">
      <c r="A44" s="92" t="s">
        <v>1752</v>
      </c>
      <c r="C44" s="220" t="e">
        <f>IF(C43=0,0,C42/C43)</f>
        <v>#REF!</v>
      </c>
      <c r="D44" s="238"/>
      <c r="E44" s="220" t="e">
        <f>IF(E43=0,0,E42/E43)</f>
        <v>#REF!</v>
      </c>
      <c r="F44" s="238"/>
      <c r="G44" s="220" t="e">
        <f>IF(G43=0,0,G42/G43)</f>
        <v>#REF!</v>
      </c>
      <c r="H44" s="238"/>
      <c r="I44" s="220" t="e">
        <f>IF(I43=0,0,I42/I43)</f>
        <v>#REF!</v>
      </c>
      <c r="J44" s="238"/>
      <c r="K44" s="358" t="e">
        <f>IF(K43=0,0,K42/K43)</f>
        <v>#REF!</v>
      </c>
      <c r="L44" s="359"/>
      <c r="M44" s="358" t="e">
        <f>IF(M43=0,0,M42/M43)</f>
        <v>#REF!</v>
      </c>
      <c r="N44" s="359"/>
      <c r="O44" s="358" t="e">
        <f>IF(O43=0,0,O42/O43)</f>
        <v>#REF!</v>
      </c>
      <c r="P44" s="359"/>
      <c r="Q44" s="358" t="e">
        <f>IF(Q43=0,0,Q42/Q43)</f>
        <v>#REF!</v>
      </c>
      <c r="S44" s="220" t="e">
        <f>IF(S43=0,0,S42/S43)</f>
        <v>#REF!</v>
      </c>
      <c r="T44" s="238"/>
      <c r="U44" s="220" t="e">
        <f>IF(U43=0,0,U42/U43)</f>
        <v>#REF!</v>
      </c>
      <c r="V44" s="238"/>
      <c r="W44" s="220" t="e">
        <f>IF(W43=0,0,W42/W43)</f>
        <v>#REF!</v>
      </c>
      <c r="X44" s="238"/>
      <c r="Y44" s="220" t="e">
        <f>IF(Y43=0,0,Y42/Y43)</f>
        <v>#REF!</v>
      </c>
      <c r="AJ44" s="508" t="e">
        <f>IF(AJ43=0,0,AJ42/AJ43)</f>
        <v>#REF!</v>
      </c>
      <c r="AK44" s="509"/>
      <c r="AL44" s="508" t="e">
        <f>IF(AL43=0,0,AL42/AL43)</f>
        <v>#REF!</v>
      </c>
      <c r="AM44" s="509"/>
      <c r="AN44" s="508" t="e">
        <f>IF(AN43=0,0,AN42/AN43)</f>
        <v>#REF!</v>
      </c>
      <c r="AO44" s="509"/>
      <c r="AP44" s="508" t="e">
        <f>IF(AP43=0,0,AP42/AP43)</f>
        <v>#REF!</v>
      </c>
      <c r="AQ44" s="509"/>
      <c r="AR44" s="566" t="e">
        <f>IF(AR43=0,0,AR42/AR43)</f>
        <v>#REF!</v>
      </c>
      <c r="AS44" s="567"/>
      <c r="AT44" s="566" t="e">
        <f>IF(AT43=0,0,AT42/AT43)</f>
        <v>#REF!</v>
      </c>
      <c r="AU44" s="567"/>
      <c r="AV44" s="566" t="e">
        <f>IF(AV43=0,0,AV42/AV43)</f>
        <v>#REF!</v>
      </c>
      <c r="AW44" s="567"/>
      <c r="AX44" s="566" t="e">
        <f>IF(AX43=0,0,AX42/AX43)</f>
        <v>#REF!</v>
      </c>
      <c r="AY44" s="567"/>
      <c r="AZ44" s="726" t="e">
        <f>IF(AZ43=0,0,AZ42/AZ43)</f>
        <v>#REF!</v>
      </c>
      <c r="BA44" s="727"/>
      <c r="BB44" s="726" t="e">
        <f>IF(BB43=0,0,BB42/BB43)</f>
        <v>#REF!</v>
      </c>
      <c r="BC44" s="727"/>
      <c r="BD44" s="726" t="e">
        <f>IF(BD43=0,0,BD42/BD43)</f>
        <v>#REF!</v>
      </c>
      <c r="BE44" s="727"/>
      <c r="BF44" s="726" t="e">
        <f>IF(BF43=0,0,BF42/BF43)</f>
        <v>#REF!</v>
      </c>
      <c r="BG44" s="727"/>
      <c r="BH44" s="740" t="e">
        <f>IF(BH43=0,0,BH42/BH43)</f>
        <v>#REF!</v>
      </c>
      <c r="BI44" s="741"/>
      <c r="BJ44" s="740" t="e">
        <f>IF(BJ43=0,0,BJ42/BJ43)</f>
        <v>#REF!</v>
      </c>
      <c r="BK44" s="741"/>
      <c r="BL44" s="740" t="e">
        <f>IF(BL43=0,0,BL42/BL43)</f>
        <v>#REF!</v>
      </c>
      <c r="BM44" s="741"/>
      <c r="BN44" s="740" t="e">
        <f>IF(BN43=0,0,BN42/BN43)</f>
        <v>#REF!</v>
      </c>
      <c r="BO44" s="741"/>
      <c r="BP44" s="756" t="e">
        <f>IF(BP43=0,0,BP42/BP43)</f>
        <v>#REF!</v>
      </c>
      <c r="BQ44" s="757"/>
      <c r="BR44" s="756" t="e">
        <f>IF(BR43=0,0,BR42/BR43)</f>
        <v>#REF!</v>
      </c>
      <c r="BS44" s="757"/>
      <c r="BT44" s="756" t="e">
        <f>IF(BT43=0,0,BT42/BT43)</f>
        <v>#REF!</v>
      </c>
      <c r="BU44" s="757"/>
      <c r="BV44" s="756" t="e">
        <f>IF(BV43=0,0,BV42/BV43)</f>
        <v>#REF!</v>
      </c>
      <c r="BX44" s="358" t="e">
        <f>IF(BX43=0,0,BX42/BX43)</f>
        <v>#REF!</v>
      </c>
      <c r="BY44" s="359"/>
      <c r="BZ44" s="358" t="e">
        <f>IF(BZ43=0,0,BZ42/BZ43)</f>
        <v>#REF!</v>
      </c>
      <c r="CD44" s="358" t="e">
        <f>IF(CD43=0,0,CD42/CD43)</f>
        <v>#REF!</v>
      </c>
      <c r="CE44" s="359"/>
      <c r="CF44" s="358" t="e">
        <f>IF(CF43=0,0,CF42/CF43)</f>
        <v>#REF!</v>
      </c>
      <c r="CH44" s="220" t="e">
        <f>IF(CH43=0,0,CH42/CH43)</f>
        <v>#REF!</v>
      </c>
      <c r="CI44" s="238"/>
      <c r="CJ44" s="220" t="e">
        <f>IF(CJ43=0,0,CJ42/CJ43)</f>
        <v>#REF!</v>
      </c>
      <c r="CK44" s="180"/>
      <c r="CL44" s="180"/>
      <c r="CN44" s="495" t="e">
        <f>IF(CN43=0,0,CN42/CN43)</f>
        <v>#REF!</v>
      </c>
      <c r="CO44" s="496"/>
      <c r="CP44" s="495" t="e">
        <f>IF(CP43=0,0,CP42/CP43)</f>
        <v>#REF!</v>
      </c>
      <c r="CQ44" s="486"/>
      <c r="CR44" s="486"/>
      <c r="CT44" s="583" t="e">
        <f>IF(CT43=0,0,CT42/CT43)</f>
        <v>#REF!</v>
      </c>
      <c r="CU44" s="584"/>
      <c r="CV44" s="583" t="e">
        <f>IF(CV43=0,0,CV42/CV43)</f>
        <v>#REF!</v>
      </c>
      <c r="CW44" s="575"/>
      <c r="CX44" s="575"/>
      <c r="CY44" s="575"/>
      <c r="CZ44" s="711" t="e">
        <f>IF(CZ43=0,0,CZ42/CZ43)</f>
        <v>#REF!</v>
      </c>
      <c r="DA44" s="712"/>
      <c r="DB44" s="711" t="e">
        <f>IF(DB43=0,0,DB42/DB43)</f>
        <v>#REF!</v>
      </c>
      <c r="DF44" s="774" t="e">
        <f>IF(DF43=0,0,DF42/DF43)</f>
        <v>#REF!</v>
      </c>
      <c r="DG44" s="775"/>
      <c r="DH44" s="774" t="e">
        <f>IF(DH43=0,0,DH42/DH43)</f>
        <v>#REF!</v>
      </c>
      <c r="DL44" s="790" t="e">
        <f>IF(DL43=0,0,DL42/DL43)</f>
        <v>#REF!</v>
      </c>
      <c r="DM44" s="791"/>
      <c r="DN44" s="790" t="e">
        <f>IF(DN43=0,0,DN42/DN43)</f>
        <v>#REF!</v>
      </c>
    </row>
    <row r="45" spans="1:118">
      <c r="A45" s="92" t="s">
        <v>496</v>
      </c>
      <c r="C45" s="219" t="e">
        <f>IF(OR('Data Entry - SOF'!#REF!=0,C44=0),0,IF('Data Entry - SOF'!#REF!&gt;C44,(C44*'Data Entry - SOF'!#REF!)/C44,('Data Entry - SOF'!#REF!*'Data Entry - SOF'!#REF!)/C44))</f>
        <v>#REF!</v>
      </c>
      <c r="D45" s="237"/>
      <c r="E45" s="219" t="e">
        <f>C45</f>
        <v>#REF!</v>
      </c>
      <c r="F45" s="237"/>
      <c r="G45" s="219" t="e">
        <f>IF(OR('Data Entry - SOF'!#REF!=0,G44=0),0,IF('Data Entry - SOF'!#REF!&gt;G44,(G44*'Data Entry - SOF'!#REF!)/G44,('Data Entry - SOF'!#REF!*'Data Entry - SOF'!#REF!)/G44))</f>
        <v>#REF!</v>
      </c>
      <c r="H45" s="237"/>
      <c r="I45" s="219" t="e">
        <f>G45</f>
        <v>#REF!</v>
      </c>
      <c r="J45" s="237"/>
      <c r="K45" s="356" t="e">
        <f>IF(OR('Data Entry - SOF'!#REF!=0,K44=0),0,IF('Data Entry - SOF'!#REF!&gt;K44,(K44*'Data Entry - SOF'!#REF!)/K44,('Data Entry - SOF'!#REF!*'Data Entry - SOF'!#REF!)/K44))</f>
        <v>#REF!</v>
      </c>
      <c r="L45" s="357"/>
      <c r="M45" s="356" t="e">
        <f>K45</f>
        <v>#REF!</v>
      </c>
      <c r="N45" s="357"/>
      <c r="O45" s="356" t="e">
        <f>IF(OR('Data Entry - SOF'!#REF!=0,O44=0),0,IF('Data Entry - SOF'!#REF!&gt;O44,(O44*'Data Entry - SOF'!#REF!)/O44,('Data Entry - SOF'!#REF!*'Data Entry - SOF'!#REF!)/O44))</f>
        <v>#REF!</v>
      </c>
      <c r="P45" s="357"/>
      <c r="Q45" s="356" t="e">
        <f>O45</f>
        <v>#REF!</v>
      </c>
      <c r="S45" s="219" t="e">
        <f>IF(OR('Data Entry - SOF'!#REF!=0,S44=0),0,IF('Data Entry - SOF'!#REF!&gt;S44,(S44*'Data Entry - SOF'!#REF!)/S44,('Data Entry - SOF'!#REF!*'Data Entry - SOF'!#REF!)/S44))</f>
        <v>#REF!</v>
      </c>
      <c r="T45" s="237"/>
      <c r="U45" s="219" t="e">
        <f>S45</f>
        <v>#REF!</v>
      </c>
      <c r="V45" s="237"/>
      <c r="W45" s="219" t="e">
        <f>IF(OR('Data Entry - SOF'!#REF!=0,W44=0),0,IF('Data Entry - SOF'!#REF!&gt;W44,(W44*'Data Entry - SOF'!#REF!)/W44,('Data Entry - SOF'!#REF!*'Data Entry - SOF'!#REF!)/W44))</f>
        <v>#REF!</v>
      </c>
      <c r="X45" s="237"/>
      <c r="Y45" s="219" t="e">
        <f>W45</f>
        <v>#REF!</v>
      </c>
      <c r="AJ45" s="464" t="e">
        <f>IF(OR('Data Entry - SOF'!#REF!=0,AJ44=0),0,IF('Data Entry - SOF'!#REF!&gt;AJ44,(AJ44*'Data Entry - SOF'!#REF!)/AJ44,('Data Entry - SOF'!#REF!*'Data Entry - SOF'!#REF!)/AJ44))</f>
        <v>#REF!</v>
      </c>
      <c r="AK45" s="503"/>
      <c r="AL45" s="464" t="e">
        <f>AJ45</f>
        <v>#REF!</v>
      </c>
      <c r="AM45" s="503"/>
      <c r="AN45" s="464" t="e">
        <f>IF(OR('Data Entry - SOF'!#REF!=0,AN44=0),0,IF('Data Entry - SOF'!#REF!&gt;AN44,(AN44*'Data Entry - SOF'!#REF!)/AN44,('Data Entry - SOF'!#REF!*'Data Entry - SOF'!#REF!)/AN44))</f>
        <v>#REF!</v>
      </c>
      <c r="AO45" s="503"/>
      <c r="AP45" s="464" t="e">
        <f>AN45</f>
        <v>#REF!</v>
      </c>
      <c r="AQ45" s="503"/>
      <c r="AR45" s="544" t="e">
        <f>IF(OR('Data Entry - SOF'!#REF!=0,AR44=0),0,IF('Data Entry - SOF'!#REF!&gt;AR44,(AR44*'Data Entry - SOF'!#REF!)/AR44,('Data Entry - SOF'!#REF!*'Data Entry - SOF'!#REF!)/AR44))</f>
        <v>#REF!</v>
      </c>
      <c r="AS45" s="561"/>
      <c r="AT45" s="544" t="e">
        <f>AR45</f>
        <v>#REF!</v>
      </c>
      <c r="AU45" s="561"/>
      <c r="AV45" s="544" t="e">
        <f>IF(OR('Data Entry - SOF'!#REF!=0,AV44=0),0,IF('Data Entry - SOF'!#REF!&gt;AV44,(AV44*'Data Entry - SOF'!#REF!)/AV44,('Data Entry - SOF'!#REF!*'Data Entry - SOF'!#REF!)/AV44))</f>
        <v>#REF!</v>
      </c>
      <c r="AW45" s="561"/>
      <c r="AX45" s="544" t="e">
        <f>AV45</f>
        <v>#REF!</v>
      </c>
      <c r="AY45" s="561"/>
      <c r="AZ45" s="602" t="e">
        <f>IF(OR('Data Entry - SOF'!#REF!=0,AZ44=0),0,IF('Data Entry - SOF'!#REF!&gt;AZ44,(AZ44*'Data Entry - SOF'!#REF!)/AZ44,('Data Entry - SOF'!#REF!*'Data Entry - SOF'!#REF!)/AZ44))</f>
        <v>#REF!</v>
      </c>
      <c r="BA45" s="720"/>
      <c r="BB45" s="602" t="e">
        <f>AZ45</f>
        <v>#REF!</v>
      </c>
      <c r="BC45" s="720"/>
      <c r="BD45" s="602" t="e">
        <f>IF(OR('Data Entry - SOF'!#REF!=0,BD44=0),0,IF('Data Entry - SOF'!#REF!&gt;BD44,(BD44*'Data Entry - SOF'!#REF!)/BD44,('Data Entry - SOF'!#REF!*'Data Entry - SOF'!#REF!)/BD44))</f>
        <v>#REF!</v>
      </c>
      <c r="BE45" s="720"/>
      <c r="BF45" s="602" t="e">
        <f>BD45</f>
        <v>#REF!</v>
      </c>
      <c r="BG45" s="720"/>
      <c r="BH45" s="620" t="e">
        <f>IF(OR('Data Entry - SOF'!#REF!=0,BH44=0),0,IF('Data Entry - SOF'!#REF!&gt;BH44,(BH44*'Data Entry - SOF'!#REF!)/BH44,('Data Entry - SOF'!#REF!*'Data Entry - SOF'!#REF!)/BH44))</f>
        <v>#REF!</v>
      </c>
      <c r="BI45" s="734"/>
      <c r="BJ45" s="620" t="e">
        <f>BH45</f>
        <v>#REF!</v>
      </c>
      <c r="BK45" s="734"/>
      <c r="BL45" s="620" t="e">
        <f>IF(OR('Data Entry - SOF'!#REF!=0,BL44=0),0,IF('Data Entry - SOF'!#REF!&gt;BL44,(BL44*'Data Entry - SOF'!#REF!)/BL44,('Data Entry - SOF'!#REF!*'Data Entry - SOF'!#REF!)/BL44))</f>
        <v>#REF!</v>
      </c>
      <c r="BM45" s="734"/>
      <c r="BN45" s="620" t="e">
        <f>BL45</f>
        <v>#REF!</v>
      </c>
      <c r="BO45" s="734"/>
      <c r="BP45" s="638" t="e">
        <f>IF(OR('Data Entry - SOF'!#REF!=0,BP44=0),0,IF('Data Entry - SOF'!#REF!&gt;BP44,(BP44*'Data Entry - SOF'!#REF!)/BP44,('Data Entry - SOF'!#REF!*'Data Entry - SOF'!#REF!)/BP44))</f>
        <v>#REF!</v>
      </c>
      <c r="BQ45" s="750"/>
      <c r="BR45" s="638" t="e">
        <f>BP45</f>
        <v>#REF!</v>
      </c>
      <c r="BS45" s="750"/>
      <c r="BT45" s="638" t="e">
        <f>IF(OR('Data Entry - SOF'!#REF!=0,BT44=0),0,IF('Data Entry - SOF'!#REF!&gt;BT44,(BT44*'Data Entry - SOF'!#REF!)/BT44,('Data Entry - SOF'!#REF!*'Data Entry - SOF'!#REF!)/BT44))</f>
        <v>#REF!</v>
      </c>
      <c r="BU45" s="750"/>
      <c r="BV45" s="638" t="e">
        <f>BT45</f>
        <v>#REF!</v>
      </c>
      <c r="BX45" s="356" t="e">
        <f>IF(OR('Data Entry - SOF'!#REF!=0,BX44=0),0,IF('Data Entry - SOF'!#REF!&gt;BX44,(BX44*'Data Entry - SOF'!#REF!)/BX44,('Data Entry - SOF'!#REF!*'Data Entry - SOF'!#REF!)/BX44))</f>
        <v>#REF!</v>
      </c>
      <c r="BY45" s="357"/>
      <c r="BZ45" s="356" t="e">
        <f>BX45</f>
        <v>#REF!</v>
      </c>
      <c r="CD45" s="356" t="e">
        <f>IF(OR('Data Entry - SOF'!#REF!=0,BX44=0),0,IF('Data Entry - SOF'!#REF!&gt;BX44,(BX44*'Data Entry - SOF'!#REF!)/BX44,('Data Entry - SOF'!#REF!*'Data Entry - SOF'!#REF!)/BX44))</f>
        <v>#REF!</v>
      </c>
      <c r="CE45" s="357"/>
      <c r="CF45" s="356" t="e">
        <f>CD45</f>
        <v>#REF!</v>
      </c>
      <c r="CH45" s="219" t="e">
        <f>IF(OR('Data Entry - SOF'!#REF!=0,CH44=0),0,IF('Data Entry - SOF'!#REF!&gt;CH44,(CH44*'Data Entry - SOF'!#REF!)/CH44,('Data Entry - SOF'!#REF!*'Data Entry - SOF'!#REF!)/CH44))</f>
        <v>#REF!</v>
      </c>
      <c r="CI45" s="237"/>
      <c r="CJ45" s="219" t="e">
        <f>CH45</f>
        <v>#REF!</v>
      </c>
      <c r="CK45" s="180"/>
      <c r="CL45" s="180"/>
      <c r="CN45" s="469" t="e">
        <f>IF(OR('Data Entry - SOF'!#REF!=0,CN44=0),0,IF('Data Entry - SOF'!#REF!&gt;CN44,(CN44*'Data Entry - SOF'!#REF!)/CN44,('Data Entry - SOF'!#REF!*'Data Entry - SOF'!#REF!)/CN44))</f>
        <v>#REF!</v>
      </c>
      <c r="CO45" s="494"/>
      <c r="CP45" s="469" t="e">
        <f>CN45</f>
        <v>#REF!</v>
      </c>
      <c r="CQ45" s="486"/>
      <c r="CR45" s="486"/>
      <c r="CT45" s="549" t="e">
        <f>IF(OR('Data Entry - SOF'!#REF!=0,CT44=0),0,IF('Data Entry - SOF'!#REF!&gt;CT44,(CT44*'Data Entry - SOF'!#REF!)/CT44,('Data Entry - SOF'!#REF!*'Data Entry - SOF'!#REF!)/CT44))</f>
        <v>#REF!</v>
      </c>
      <c r="CU45" s="582"/>
      <c r="CV45" s="549" t="e">
        <f>CT45</f>
        <v>#REF!</v>
      </c>
      <c r="CW45" s="575"/>
      <c r="CX45" s="575"/>
      <c r="CY45" s="575"/>
      <c r="CZ45" s="609" t="e">
        <f>IF(OR('Data Entry - SOF'!#REF!=0,CZ44=0),0,IF('Data Entry - SOF'!#REF!&gt;CZ44,(CZ44*'Data Entry - SOF'!#REF!)/CZ44,('Data Entry - SOF'!#REF!*'Data Entry - SOF'!#REF!)/CZ44))</f>
        <v>#REF!</v>
      </c>
      <c r="DA45" s="710"/>
      <c r="DB45" s="609" t="e">
        <f>CZ45</f>
        <v>#REF!</v>
      </c>
      <c r="DF45" s="627" t="e">
        <f>IF(OR('Data Entry - SOF'!#REF!=0,DF44=0),0,IF('Data Entry - SOF'!#REF!&gt;DF44,(DF44*'Data Entry - SOF'!#REF!)/DF44,('Data Entry - SOF'!#REF!*'Data Entry - SOF'!#REF!)/DF44))</f>
        <v>#REF!</v>
      </c>
      <c r="DG45" s="773"/>
      <c r="DH45" s="627" t="e">
        <f>DF45</f>
        <v>#REF!</v>
      </c>
      <c r="DL45" s="645" t="e">
        <f>IF(OR('Data Entry - SOF'!#REF!=0,DL44=0),0,IF('Data Entry - SOF'!#REF!&gt;DL44,(DL44*'Data Entry - SOF'!#REF!)/DL44,('Data Entry - SOF'!#REF!*'Data Entry - SOF'!#REF!)/DL44))</f>
        <v>#REF!</v>
      </c>
      <c r="DM45" s="789"/>
      <c r="DN45" s="645" t="e">
        <f>DL45</f>
        <v>#REF!</v>
      </c>
    </row>
    <row r="46" spans="1:118">
      <c r="A46" s="92" t="s">
        <v>1476</v>
      </c>
      <c r="C46" s="219" t="e">
        <f>IF(OR('Data Entry - SOF'!#REF!=0,C44=0),0,IF(C44&lt;=0,0,'Data Entry - SOF'!#REF!/C44))</f>
        <v>#REF!</v>
      </c>
      <c r="D46" s="237"/>
      <c r="E46" s="219" t="e">
        <f>C46</f>
        <v>#REF!</v>
      </c>
      <c r="F46" s="237"/>
      <c r="G46" s="219" t="e">
        <f>IF(OR('Data Entry - SOF'!#REF!=0,G44=0),0,IF(G44&lt;=0,0,'Data Entry - SOF'!#REF!/G44))</f>
        <v>#REF!</v>
      </c>
      <c r="H46" s="237"/>
      <c r="I46" s="219" t="e">
        <f>G46</f>
        <v>#REF!</v>
      </c>
      <c r="J46" s="237"/>
      <c r="K46" s="356" t="e">
        <f>IF(OR('Data Entry - SOF'!#REF!=0,K44=0),0,IF(K44&lt;=0,0,'Data Entry - SOF'!#REF!/K44))</f>
        <v>#REF!</v>
      </c>
      <c r="L46" s="357"/>
      <c r="M46" s="356" t="e">
        <f>K46</f>
        <v>#REF!</v>
      </c>
      <c r="N46" s="357"/>
      <c r="O46" s="356" t="e">
        <f>IF(OR('Data Entry - SOF'!#REF!=0,O44=0),0,IF(O44&lt;=0,0,'Data Entry - SOF'!#REF!/O44))</f>
        <v>#REF!</v>
      </c>
      <c r="P46" s="357"/>
      <c r="Q46" s="356" t="e">
        <f>O46</f>
        <v>#REF!</v>
      </c>
      <c r="S46" s="219" t="e">
        <f>IF(OR('Data Entry - SOF'!#REF!=0,S44=0),0,IF(S44&lt;=0,0,'Data Entry - SOF'!#REF!/S44))</f>
        <v>#REF!</v>
      </c>
      <c r="T46" s="237"/>
      <c r="U46" s="219" t="e">
        <f>S46</f>
        <v>#REF!</v>
      </c>
      <c r="V46" s="237"/>
      <c r="W46" s="219" t="e">
        <f>IF(OR('Data Entry - SOF'!#REF!=0,W44=0),0,IF(W44&lt;=0,0,'Data Entry - SOF'!#REF!/W44))</f>
        <v>#REF!</v>
      </c>
      <c r="X46" s="237"/>
      <c r="Y46" s="219" t="e">
        <f>W46</f>
        <v>#REF!</v>
      </c>
      <c r="AJ46" s="464" t="e">
        <f>IF(OR('Data Entry - SOF'!#REF!=0,AJ44=0),0,IF(AJ44&lt;=0,0,'Data Entry - SOF'!#REF!/AJ44))</f>
        <v>#REF!</v>
      </c>
      <c r="AK46" s="503"/>
      <c r="AL46" s="464" t="e">
        <f>AJ46</f>
        <v>#REF!</v>
      </c>
      <c r="AM46" s="503"/>
      <c r="AN46" s="464" t="e">
        <f>IF(OR('Data Entry - SOF'!#REF!=0,AN44=0),0,IF(AN44&lt;=0,0,'Data Entry - SOF'!#REF!/AN44))</f>
        <v>#REF!</v>
      </c>
      <c r="AO46" s="503"/>
      <c r="AP46" s="464" t="e">
        <f>AN46</f>
        <v>#REF!</v>
      </c>
      <c r="AQ46" s="503"/>
      <c r="AR46" s="544" t="e">
        <f>IF(OR('Data Entry - SOF'!#REF!=0,AR44=0),0,IF(AR44&lt;=0,0,'Data Entry - SOF'!#REF!/AR44))</f>
        <v>#REF!</v>
      </c>
      <c r="AS46" s="561"/>
      <c r="AT46" s="544" t="e">
        <f>AR46</f>
        <v>#REF!</v>
      </c>
      <c r="AU46" s="561"/>
      <c r="AV46" s="544" t="e">
        <f>IF(OR('Data Entry - SOF'!#REF!=0,AV44=0),0,IF(AV44&lt;=0,0,'Data Entry - SOF'!#REF!/AV44))</f>
        <v>#REF!</v>
      </c>
      <c r="AW46" s="561"/>
      <c r="AX46" s="544" t="e">
        <f>AV46</f>
        <v>#REF!</v>
      </c>
      <c r="AY46" s="561"/>
      <c r="AZ46" s="602" t="e">
        <f>IF(OR('Data Entry - SOF'!#REF!=0,AZ44=0),0,IF(AZ44&lt;=0,0,'Data Entry - SOF'!#REF!/AZ44))</f>
        <v>#REF!</v>
      </c>
      <c r="BA46" s="720"/>
      <c r="BB46" s="602" t="e">
        <f>AZ46</f>
        <v>#REF!</v>
      </c>
      <c r="BC46" s="720"/>
      <c r="BD46" s="602" t="e">
        <f>IF(OR('Data Entry - SOF'!#REF!=0,BD44=0),0,IF(BD44&lt;=0,0,'Data Entry - SOF'!#REF!/BD44))</f>
        <v>#REF!</v>
      </c>
      <c r="BE46" s="720"/>
      <c r="BF46" s="602" t="e">
        <f>BD46</f>
        <v>#REF!</v>
      </c>
      <c r="BG46" s="720"/>
      <c r="BH46" s="620" t="e">
        <f>IF(OR('Data Entry - SOF'!#REF!=0,BH44=0),0,IF(BH44&lt;=0,0,'Data Entry - SOF'!#REF!/BH44))</f>
        <v>#REF!</v>
      </c>
      <c r="BI46" s="734"/>
      <c r="BJ46" s="620" t="e">
        <f>BH46</f>
        <v>#REF!</v>
      </c>
      <c r="BK46" s="734"/>
      <c r="BL46" s="620" t="e">
        <f>IF(OR('Data Entry - SOF'!#REF!=0,BL44=0),0,IF(BL44&lt;=0,0,'Data Entry - SOF'!#REF!/BL44))</f>
        <v>#REF!</v>
      </c>
      <c r="BM46" s="734"/>
      <c r="BN46" s="620" t="e">
        <f>BL46</f>
        <v>#REF!</v>
      </c>
      <c r="BO46" s="734"/>
      <c r="BP46" s="638" t="e">
        <f>IF(OR('Data Entry - SOF'!#REF!=0,BP44=0),0,IF(BP44&lt;=0,0,'Data Entry - SOF'!#REF!/BP44))</f>
        <v>#REF!</v>
      </c>
      <c r="BQ46" s="750"/>
      <c r="BR46" s="638" t="e">
        <f>BP46</f>
        <v>#REF!</v>
      </c>
      <c r="BS46" s="750"/>
      <c r="BT46" s="638" t="e">
        <f>IF(OR('Data Entry - SOF'!#REF!=0,BT44=0),0,IF(BT44&lt;=0,0,'Data Entry - SOF'!#REF!/BT44))</f>
        <v>#REF!</v>
      </c>
      <c r="BU46" s="750"/>
      <c r="BV46" s="638" t="e">
        <f>BT46</f>
        <v>#REF!</v>
      </c>
      <c r="BX46" s="356" t="e">
        <f>IF(OR('Data Entry - SOF'!#REF!=0,BX44=0),0,'Data Entry - SOF'!#REF!/BX44)</f>
        <v>#REF!</v>
      </c>
      <c r="BY46" s="357"/>
      <c r="BZ46" s="356" t="e">
        <f>BX46</f>
        <v>#REF!</v>
      </c>
      <c r="CD46" s="356" t="e">
        <f>IF(OR('Data Entry - SOF'!#REF!=0,BX44=0),0,'Data Entry - SOF'!#REF!/BX44)</f>
        <v>#REF!</v>
      </c>
      <c r="CE46" s="357"/>
      <c r="CF46" s="356" t="e">
        <f>CD46</f>
        <v>#REF!</v>
      </c>
      <c r="CH46" s="219" t="e">
        <f>IF(OR('Data Entry - SOF'!#REF!=0,CH44=0),0,'Data Entry - SOF'!#REF!/CH44)</f>
        <v>#REF!</v>
      </c>
      <c r="CI46" s="237"/>
      <c r="CJ46" s="219" t="e">
        <f>CH46</f>
        <v>#REF!</v>
      </c>
      <c r="CK46" s="180"/>
      <c r="CL46" s="180"/>
      <c r="CN46" s="469" t="e">
        <f>IF(OR('Data Entry - SOF'!#REF!=0,CN44=0),0,'Data Entry - SOF'!#REF!/CN44)</f>
        <v>#REF!</v>
      </c>
      <c r="CO46" s="494"/>
      <c r="CP46" s="469" t="e">
        <f>CN46</f>
        <v>#REF!</v>
      </c>
      <c r="CQ46" s="486"/>
      <c r="CR46" s="486"/>
      <c r="CT46" s="549" t="e">
        <f>IF(OR('Data Entry - SOF'!#REF!=0,CT44=0),0,'Data Entry - SOF'!#REF!/CT44)</f>
        <v>#REF!</v>
      </c>
      <c r="CU46" s="582"/>
      <c r="CV46" s="549" t="e">
        <f>CT46</f>
        <v>#REF!</v>
      </c>
      <c r="CW46" s="575"/>
      <c r="CX46" s="575"/>
      <c r="CY46" s="575"/>
      <c r="CZ46" s="609" t="e">
        <f>IF(OR('Data Entry - SOF'!#REF!=0,CZ44=0),0,'Data Entry - SOF'!#REF!/CZ44)</f>
        <v>#REF!</v>
      </c>
      <c r="DA46" s="710"/>
      <c r="DB46" s="609" t="e">
        <f>CZ46</f>
        <v>#REF!</v>
      </c>
      <c r="DF46" s="627" t="e">
        <f>IF(OR('Data Entry - SOF'!#REF!=0,DF44=0),0,'Data Entry - SOF'!#REF!/DF44)</f>
        <v>#REF!</v>
      </c>
      <c r="DG46" s="773"/>
      <c r="DH46" s="627" t="e">
        <f>DF46</f>
        <v>#REF!</v>
      </c>
      <c r="DL46" s="645" t="e">
        <f>IF(OR('Data Entry - SOF'!#REF!=0,DL44=0),0,'Data Entry - SOF'!#REF!/DL44)</f>
        <v>#REF!</v>
      </c>
      <c r="DM46" s="789"/>
      <c r="DN46" s="645" t="e">
        <f>DL46</f>
        <v>#REF!</v>
      </c>
    </row>
    <row r="47" spans="1:118">
      <c r="A47" s="47" t="s">
        <v>1955</v>
      </c>
      <c r="C47" s="219" t="e">
        <f>IF(C43-C45-C46&lt;0,0,C43-C45-C46)</f>
        <v>#REF!</v>
      </c>
      <c r="D47" s="237"/>
      <c r="E47" s="219" t="e">
        <f>IF(E43-E45-E46&lt;0,0,E43-E45-E46)</f>
        <v>#REF!</v>
      </c>
      <c r="F47" s="237"/>
      <c r="G47" s="219" t="e">
        <f>IF(G43-G45-G46&lt;0,0,G43-G45-G46)</f>
        <v>#REF!</v>
      </c>
      <c r="H47" s="237"/>
      <c r="I47" s="219" t="e">
        <f>IF(I43-I45-I46&lt;0,0,I43-I45-I46)</f>
        <v>#REF!</v>
      </c>
      <c r="J47" s="237"/>
      <c r="K47" s="356" t="e">
        <f>IF(K43-K45-K46&lt;0,0,K43-K45-K46)</f>
        <v>#REF!</v>
      </c>
      <c r="L47" s="357"/>
      <c r="M47" s="356" t="e">
        <f>IF(M43-M45-M46&lt;0,0,M43-M45-M46)</f>
        <v>#REF!</v>
      </c>
      <c r="N47" s="357"/>
      <c r="O47" s="356" t="e">
        <f>IF(O43-O45-O46&lt;0,0,O43-O45-O46)</f>
        <v>#REF!</v>
      </c>
      <c r="P47" s="357"/>
      <c r="Q47" s="356" t="e">
        <f>IF(Q43-Q45-Q46&lt;0,0,Q43-Q45-Q46)</f>
        <v>#REF!</v>
      </c>
      <c r="S47" s="219" t="e">
        <f>IF(S43-S45-S46&lt;0,0,S43-S45-S46)</f>
        <v>#REF!</v>
      </c>
      <c r="T47" s="237"/>
      <c r="U47" s="219" t="e">
        <f>IF(U43-U45-U46&lt;0,0,U43-U45-U46)</f>
        <v>#REF!</v>
      </c>
      <c r="V47" s="237"/>
      <c r="W47" s="219" t="e">
        <f>IF(W43-W45-W46&lt;0,0,W43-W45-W46)</f>
        <v>#REF!</v>
      </c>
      <c r="X47" s="237"/>
      <c r="Y47" s="219" t="e">
        <f>IF(Y43-Y45-Y46&lt;0,0,Y43-Y45-Y46)</f>
        <v>#REF!</v>
      </c>
      <c r="AJ47" s="464" t="e">
        <f>IF(AJ43-AJ45-AJ46&lt;0,0,AJ43-AJ45-AJ46)</f>
        <v>#REF!</v>
      </c>
      <c r="AK47" s="503"/>
      <c r="AL47" s="464" t="e">
        <f>IF(AL43-AL45-AL46&lt;0,0,AL43-AL45-AL46)</f>
        <v>#REF!</v>
      </c>
      <c r="AM47" s="503"/>
      <c r="AN47" s="464" t="e">
        <f>IF(AN43-AN45-AN46&lt;0,0,AN43-AN45-AN46)</f>
        <v>#REF!</v>
      </c>
      <c r="AO47" s="503"/>
      <c r="AP47" s="464" t="e">
        <f>IF(AP43-AP45-AP46&lt;0,0,AP43-AP45-AP46)</f>
        <v>#REF!</v>
      </c>
      <c r="AQ47" s="503"/>
      <c r="AR47" s="544" t="e">
        <f>IF(AR43-AR45-AR46&lt;0,0,AR43-AR45-AR46)</f>
        <v>#REF!</v>
      </c>
      <c r="AS47" s="561"/>
      <c r="AT47" s="544" t="e">
        <f>IF(AT43-AT45-AT46&lt;0,0,AT43-AT45-AT46)</f>
        <v>#REF!</v>
      </c>
      <c r="AU47" s="561"/>
      <c r="AV47" s="544" t="e">
        <f>IF(AV43-AV45-AV46&lt;0,0,AV43-AV45-AV46)</f>
        <v>#REF!</v>
      </c>
      <c r="AW47" s="561"/>
      <c r="AX47" s="544" t="e">
        <f>IF(AX43-AX45-AX46&lt;0,0,AX43-AX45-AX46)</f>
        <v>#REF!</v>
      </c>
      <c r="AY47" s="561"/>
      <c r="AZ47" s="602" t="e">
        <f>IF(AZ43-AZ45-AZ46&lt;0,0,AZ43-AZ45-AZ46)</f>
        <v>#REF!</v>
      </c>
      <c r="BA47" s="720"/>
      <c r="BB47" s="602" t="e">
        <f>IF(BB43-BB45-BB46&lt;0,0,BB43-BB45-BB46)</f>
        <v>#REF!</v>
      </c>
      <c r="BC47" s="720"/>
      <c r="BD47" s="602" t="e">
        <f>IF(BD43-BD45-BD46&lt;0,0,BD43-BD45-BD46)</f>
        <v>#REF!</v>
      </c>
      <c r="BE47" s="720"/>
      <c r="BF47" s="602" t="e">
        <f>IF(BF43-BF45-BF46&lt;0,0,BF43-BF45-BF46)</f>
        <v>#REF!</v>
      </c>
      <c r="BG47" s="720"/>
      <c r="BH47" s="620" t="e">
        <f>IF(BH43-BH45-BH46&lt;0,0,BH43-BH45-BH46)</f>
        <v>#REF!</v>
      </c>
      <c r="BI47" s="734"/>
      <c r="BJ47" s="620" t="e">
        <f>IF(BJ43-BJ45-BJ46&lt;0,0,BJ43-BJ45-BJ46)</f>
        <v>#REF!</v>
      </c>
      <c r="BK47" s="734"/>
      <c r="BL47" s="620" t="e">
        <f>IF(BL43-BL45-BL46&lt;0,0,BL43-BL45-BL46)</f>
        <v>#REF!</v>
      </c>
      <c r="BM47" s="734"/>
      <c r="BN47" s="620" t="e">
        <f>IF(BN43-BN45-BN46&lt;0,0,BN43-BN45-BN46)</f>
        <v>#REF!</v>
      </c>
      <c r="BO47" s="734"/>
      <c r="BP47" s="638" t="e">
        <f>IF(BP43-BP45-BP46&lt;0,0,BP43-BP45-BP46)</f>
        <v>#REF!</v>
      </c>
      <c r="BQ47" s="750"/>
      <c r="BR47" s="638" t="e">
        <f>IF(BR43-BR45-BR46&lt;0,0,BR43-BR45-BR46)</f>
        <v>#REF!</v>
      </c>
      <c r="BS47" s="750"/>
      <c r="BT47" s="638" t="e">
        <f>IF(BT43-BT45-BT46&lt;0,0,BT43-BT45-BT46)</f>
        <v>#REF!</v>
      </c>
      <c r="BU47" s="750"/>
      <c r="BV47" s="638" t="e">
        <f>IF(BV43-BV45-BV46&lt;0,0,BV43-BV45-BV46)</f>
        <v>#REF!</v>
      </c>
      <c r="BX47" s="356" t="e">
        <f>IF(BX43-BX45-BX46&lt;0,0,BX43-BX45-BX46)</f>
        <v>#REF!</v>
      </c>
      <c r="BY47" s="357"/>
      <c r="BZ47" s="356" t="e">
        <f>IF(BZ43-BZ45-BZ46&lt;0,0,BZ43-BZ45-BZ46)</f>
        <v>#REF!</v>
      </c>
      <c r="CD47" s="356" t="e">
        <f>IF(CD43-CD45-CD46&lt;0,0,CD43-CD45-CD46)</f>
        <v>#REF!</v>
      </c>
      <c r="CE47" s="357"/>
      <c r="CF47" s="356" t="e">
        <f>IF(CF43-CF45-CF46&lt;0,0,CF43-CF45-CF46)</f>
        <v>#REF!</v>
      </c>
      <c r="CH47" s="219" t="e">
        <f>IF(CH43-CH45-CH46&lt;0,0,CH43-CH45-CH46)</f>
        <v>#REF!</v>
      </c>
      <c r="CI47" s="237"/>
      <c r="CJ47" s="219" t="e">
        <f>IF(CJ43-CJ45-CJ46&lt;0,0,CJ43-CJ45-CJ46)</f>
        <v>#REF!</v>
      </c>
      <c r="CK47" s="180"/>
      <c r="CL47" s="180"/>
      <c r="CN47" s="469" t="e">
        <f>IF(CN43-CN45-CN46&lt;0,0,CN43-CN45-CN46)</f>
        <v>#REF!</v>
      </c>
      <c r="CO47" s="494"/>
      <c r="CP47" s="469" t="e">
        <f>IF(CP43-CP45-CP46&lt;0,0,CP43-CP45-CP46)</f>
        <v>#REF!</v>
      </c>
      <c r="CQ47" s="486"/>
      <c r="CR47" s="486"/>
      <c r="CT47" s="549" t="e">
        <f>IF(CT43-CT45-CT46&lt;0,0,CT43-CT45-CT46)</f>
        <v>#REF!</v>
      </c>
      <c r="CU47" s="582"/>
      <c r="CV47" s="549" t="e">
        <f>IF(CV43-CV45-CV46&lt;0,0,CV43-CV45-CV46)</f>
        <v>#REF!</v>
      </c>
      <c r="CW47" s="575"/>
      <c r="CX47" s="575"/>
      <c r="CY47" s="575"/>
      <c r="CZ47" s="609" t="e">
        <f>IF(CZ43-CZ45-CZ46&lt;0,0,CZ43-CZ45-CZ46)</f>
        <v>#REF!</v>
      </c>
      <c r="DA47" s="710"/>
      <c r="DB47" s="609" t="e">
        <f>IF(DB43-DB45-DB46&lt;0,0,DB43-DB45-DB46)</f>
        <v>#REF!</v>
      </c>
      <c r="DF47" s="627" t="e">
        <f>IF(DF43-DF45-DF46&lt;0,0,DF43-DF45-DF46)</f>
        <v>#REF!</v>
      </c>
      <c r="DG47" s="773"/>
      <c r="DH47" s="627" t="e">
        <f>IF(DH43-DH45-DH46&lt;0,0,DH43-DH45-DH46)</f>
        <v>#REF!</v>
      </c>
      <c r="DL47" s="645" t="e">
        <f>IF(DL43-DL45-DL46&lt;0,0,DL43-DL45-DL46)</f>
        <v>#REF!</v>
      </c>
      <c r="DM47" s="789"/>
      <c r="DN47" s="645" t="e">
        <f>IF(DN43-DN45-DN46&lt;0,0,DN43-DN45-DN46)</f>
        <v>#REF!</v>
      </c>
    </row>
    <row r="48" spans="1:118">
      <c r="A48" s="92" t="s">
        <v>2986</v>
      </c>
      <c r="C48" s="218" t="e">
        <f>IF(C47=0,0,C47*C44)</f>
        <v>#REF!</v>
      </c>
      <c r="D48" s="223"/>
      <c r="E48" s="218" t="e">
        <f>IF(E47=0,0,E47*E44)</f>
        <v>#REF!</v>
      </c>
      <c r="F48" s="223"/>
      <c r="G48" s="218" t="e">
        <f>IF(G47=0,0,G47*G44)</f>
        <v>#REF!</v>
      </c>
      <c r="H48" s="223"/>
      <c r="I48" s="218" t="e">
        <f>IF(I47=0,0,I47*I44)</f>
        <v>#REF!</v>
      </c>
      <c r="J48" s="223"/>
      <c r="K48" s="350" t="e">
        <f>IF(K47=0,0,K47*K44)</f>
        <v>#REF!</v>
      </c>
      <c r="L48" s="352"/>
      <c r="M48" s="350" t="e">
        <f>IF(M47=0,0,M47*M44)</f>
        <v>#REF!</v>
      </c>
      <c r="N48" s="352"/>
      <c r="O48" s="350" t="e">
        <f>IF(O47=0,0,O47*O44)</f>
        <v>#REF!</v>
      </c>
      <c r="P48" s="352"/>
      <c r="Q48" s="350" t="e">
        <f>IF(Q47=0,0,Q47*Q44)</f>
        <v>#REF!</v>
      </c>
      <c r="S48" s="218" t="e">
        <f>IF(S47=0,0,S47*S44)</f>
        <v>#REF!</v>
      </c>
      <c r="T48" s="223"/>
      <c r="U48" s="218" t="e">
        <f>IF(U47=0,0,U47*U44)</f>
        <v>#REF!</v>
      </c>
      <c r="V48" s="223"/>
      <c r="W48" s="218" t="e">
        <f>IF(W47=0,0,W47*W44)</f>
        <v>#REF!</v>
      </c>
      <c r="X48" s="223"/>
      <c r="Y48" s="218" t="e">
        <f>IF(Y47=0,0,Y47*Y44)</f>
        <v>#REF!</v>
      </c>
      <c r="AJ48" s="470" t="e">
        <f>IF(AJ47=0,0,AJ47*AJ44)</f>
        <v>#REF!</v>
      </c>
      <c r="AK48" s="507"/>
      <c r="AL48" s="470" t="e">
        <f>IF(AL47=0,0,AL47*AL44)</f>
        <v>#REF!</v>
      </c>
      <c r="AM48" s="507"/>
      <c r="AN48" s="470" t="e">
        <f>IF(AN47=0,0,AN47*AN44)</f>
        <v>#REF!</v>
      </c>
      <c r="AO48" s="507"/>
      <c r="AP48" s="470" t="e">
        <f>IF(AP47=0,0,AP47*AP44)</f>
        <v>#REF!</v>
      </c>
      <c r="AQ48" s="507"/>
      <c r="AR48" s="550" t="e">
        <f>IF(AR47=0,0,AR47*AR44)</f>
        <v>#REF!</v>
      </c>
      <c r="AS48" s="565"/>
      <c r="AT48" s="550" t="e">
        <f>IF(AT47=0,0,AT47*AT44)</f>
        <v>#REF!</v>
      </c>
      <c r="AU48" s="565"/>
      <c r="AV48" s="550" t="e">
        <f>IF(AV47=0,0,AV47*AV44)</f>
        <v>#REF!</v>
      </c>
      <c r="AW48" s="565"/>
      <c r="AX48" s="550" t="e">
        <f>IF(AX47=0,0,AX47*AX44)</f>
        <v>#REF!</v>
      </c>
      <c r="AY48" s="565"/>
      <c r="AZ48" s="610" t="e">
        <f>IF(AZ47=0,0,AZ47*AZ44)</f>
        <v>#REF!</v>
      </c>
      <c r="BA48" s="724"/>
      <c r="BB48" s="610" t="e">
        <f>IF(BB47=0,0,BB47*BB44)</f>
        <v>#REF!</v>
      </c>
      <c r="BC48" s="724"/>
      <c r="BD48" s="610" t="e">
        <f>IF(BD47=0,0,BD47*BD44)</f>
        <v>#REF!</v>
      </c>
      <c r="BE48" s="724"/>
      <c r="BF48" s="610" t="e">
        <f>IF(BF47=0,0,BF47*BF44)</f>
        <v>#REF!</v>
      </c>
      <c r="BG48" s="724"/>
      <c r="BH48" s="628" t="e">
        <f>IF(BH47=0,0,BH47*BH44)</f>
        <v>#REF!</v>
      </c>
      <c r="BI48" s="738"/>
      <c r="BJ48" s="628" t="e">
        <f>IF(BJ47=0,0,BJ47*BJ44)</f>
        <v>#REF!</v>
      </c>
      <c r="BK48" s="738"/>
      <c r="BL48" s="628" t="e">
        <f>IF(BL47=0,0,BL47*BL44)</f>
        <v>#REF!</v>
      </c>
      <c r="BM48" s="738"/>
      <c r="BN48" s="628" t="e">
        <f>IF(BN47=0,0,BN47*BN44)</f>
        <v>#REF!</v>
      </c>
      <c r="BO48" s="738"/>
      <c r="BP48" s="646" t="e">
        <f>IF(BP47=0,0,BP47*BP44)</f>
        <v>#REF!</v>
      </c>
      <c r="BQ48" s="754"/>
      <c r="BR48" s="646" t="e">
        <f>IF(BR47=0,0,BR47*BR44)</f>
        <v>#REF!</v>
      </c>
      <c r="BS48" s="754"/>
      <c r="BT48" s="646" t="e">
        <f>IF(BT47=0,0,BT47*BT44)</f>
        <v>#REF!</v>
      </c>
      <c r="BU48" s="754"/>
      <c r="BV48" s="646" t="e">
        <f>IF(BV47=0,0,BV47*BV44)</f>
        <v>#REF!</v>
      </c>
      <c r="BX48" s="350" t="e">
        <f>IF(BX47=0,0,BX47*BX44)</f>
        <v>#REF!</v>
      </c>
      <c r="BY48" s="352"/>
      <c r="BZ48" s="350" t="e">
        <f>IF(BZ47=0,0,BZ47*BZ44)</f>
        <v>#REF!</v>
      </c>
      <c r="CD48" s="350" t="e">
        <f>IF(CD47=0,0,CD47*CD44)</f>
        <v>#REF!</v>
      </c>
      <c r="CE48" s="352"/>
      <c r="CF48" s="350" t="e">
        <f>IF(CF47=0,0,CF47*CF44)</f>
        <v>#REF!</v>
      </c>
      <c r="CH48" s="218" t="e">
        <f>IF(CH47=0,0,CH47*CH44)</f>
        <v>#REF!</v>
      </c>
      <c r="CI48" s="223"/>
      <c r="CJ48" s="218" t="e">
        <f>IF(CJ47=0,0,CJ47*CJ44)</f>
        <v>#REF!</v>
      </c>
      <c r="CK48" s="180"/>
      <c r="CL48" s="180"/>
      <c r="CN48" s="491" t="e">
        <f>IF(CN47=0,0,CN47*CN44)</f>
        <v>#REF!</v>
      </c>
      <c r="CO48" s="492"/>
      <c r="CP48" s="491" t="e">
        <f>IF(CP47=0,0,CP47*CP44)</f>
        <v>#REF!</v>
      </c>
      <c r="CQ48" s="486"/>
      <c r="CR48" s="486"/>
      <c r="CT48" s="580" t="e">
        <f>IF(CT47=0,0,CT47*CT44)</f>
        <v>#REF!</v>
      </c>
      <c r="CU48" s="581"/>
      <c r="CV48" s="580" t="e">
        <f>IF(CV47=0,0,CV47*CV44)</f>
        <v>#REF!</v>
      </c>
      <c r="CW48" s="575"/>
      <c r="CX48" s="575"/>
      <c r="CY48" s="575"/>
      <c r="CZ48" s="707" t="e">
        <f>IF(CZ47=0,0,CZ47*CZ44)</f>
        <v>#REF!</v>
      </c>
      <c r="DA48" s="708"/>
      <c r="DB48" s="707" t="e">
        <f>IF(DB47=0,0,DB47*DB44)</f>
        <v>#REF!</v>
      </c>
      <c r="DF48" s="770" t="e">
        <f>IF(DF47=0,0,DF47*DF44)</f>
        <v>#REF!</v>
      </c>
      <c r="DG48" s="771"/>
      <c r="DH48" s="770" t="e">
        <f>IF(DH47=0,0,DH47*DH44)</f>
        <v>#REF!</v>
      </c>
      <c r="DL48" s="786" t="e">
        <f>IF(DL47=0,0,DL47*DL44)</f>
        <v>#REF!</v>
      </c>
      <c r="DM48" s="787"/>
      <c r="DN48" s="786" t="e">
        <f>IF(DN47=0,0,DN47*DN44)</f>
        <v>#REF!</v>
      </c>
    </row>
    <row r="49" spans="1:120">
      <c r="A49" s="92"/>
      <c r="K49" s="323"/>
      <c r="L49" s="323"/>
      <c r="M49" s="323"/>
      <c r="N49" s="323"/>
      <c r="O49" s="323"/>
      <c r="P49" s="323"/>
      <c r="Q49" s="323"/>
      <c r="S49" s="180"/>
      <c r="U49" s="180"/>
      <c r="W49" s="180"/>
      <c r="X49" s="180"/>
      <c r="Y49" s="180"/>
      <c r="AJ49" s="111"/>
      <c r="AK49" s="111"/>
      <c r="AL49" s="111"/>
      <c r="AM49" s="111"/>
      <c r="AN49" s="111"/>
      <c r="AO49" s="111"/>
      <c r="AP49" s="111"/>
      <c r="AQ49" s="111"/>
      <c r="AR49" s="531"/>
      <c r="AS49" s="531"/>
      <c r="AT49" s="531"/>
      <c r="AU49" s="531"/>
      <c r="AV49" s="531"/>
      <c r="AW49" s="531"/>
      <c r="AX49" s="531"/>
      <c r="AY49" s="531"/>
      <c r="BX49" s="323"/>
      <c r="BY49" s="323"/>
      <c r="BZ49" s="323"/>
      <c r="CD49" s="323"/>
      <c r="CE49" s="323"/>
      <c r="CF49" s="323"/>
      <c r="CH49" s="180"/>
      <c r="CI49" s="180"/>
      <c r="CJ49" s="180"/>
      <c r="CK49" s="180"/>
      <c r="CL49" s="180"/>
      <c r="CN49" s="486"/>
      <c r="CO49" s="486"/>
      <c r="CP49" s="486"/>
      <c r="CQ49" s="486"/>
      <c r="CR49" s="486"/>
      <c r="CT49" s="575"/>
      <c r="CU49" s="575"/>
      <c r="CV49" s="575"/>
      <c r="CW49" s="575"/>
      <c r="CX49" s="575"/>
      <c r="CY49" s="575"/>
      <c r="CZ49" s="702"/>
      <c r="DA49" s="702"/>
      <c r="DB49" s="702"/>
      <c r="DF49" s="765"/>
      <c r="DG49" s="765"/>
      <c r="DH49" s="765"/>
      <c r="DL49" s="781"/>
      <c r="DM49" s="781"/>
      <c r="DN49" s="781"/>
    </row>
    <row r="50" spans="1:120">
      <c r="A50" s="23" t="s">
        <v>325</v>
      </c>
      <c r="K50" s="323"/>
      <c r="L50" s="323"/>
      <c r="M50" s="323"/>
      <c r="N50" s="323"/>
      <c r="O50" s="323"/>
      <c r="P50" s="323"/>
      <c r="Q50" s="323"/>
      <c r="S50" s="180"/>
      <c r="U50" s="180"/>
      <c r="W50" s="180"/>
      <c r="X50" s="180"/>
      <c r="Y50" s="180"/>
      <c r="AJ50" s="111"/>
      <c r="AK50" s="111"/>
      <c r="AL50" s="111"/>
      <c r="AM50" s="111"/>
      <c r="AN50" s="111"/>
      <c r="AO50" s="111"/>
      <c r="AP50" s="111"/>
      <c r="AQ50" s="111"/>
      <c r="AR50" s="531"/>
      <c r="AS50" s="531"/>
      <c r="AT50" s="531"/>
      <c r="AU50" s="531"/>
      <c r="AV50" s="531"/>
      <c r="AW50" s="531"/>
      <c r="AX50" s="531"/>
      <c r="AY50" s="531"/>
      <c r="BX50" s="323"/>
      <c r="BY50" s="323"/>
      <c r="BZ50" s="323"/>
      <c r="CD50" s="323"/>
      <c r="CE50" s="323"/>
      <c r="CF50" s="323"/>
      <c r="CH50" s="180"/>
      <c r="CI50" s="180"/>
      <c r="CJ50" s="180"/>
      <c r="CK50" s="180"/>
      <c r="CL50" s="180"/>
      <c r="CN50" s="486"/>
      <c r="CO50" s="486"/>
      <c r="CP50" s="486"/>
      <c r="CQ50" s="486"/>
      <c r="CR50" s="486"/>
      <c r="CT50" s="575"/>
      <c r="CU50" s="575"/>
      <c r="CV50" s="575"/>
      <c r="CW50" s="575"/>
      <c r="CX50" s="575"/>
      <c r="CY50" s="575"/>
      <c r="CZ50" s="702"/>
      <c r="DA50" s="702"/>
      <c r="DB50" s="702"/>
      <c r="DF50" s="765"/>
      <c r="DG50" s="765"/>
      <c r="DH50" s="765"/>
      <c r="DL50" s="781"/>
      <c r="DM50" s="781"/>
      <c r="DN50" s="781"/>
    </row>
    <row r="51" spans="1:120">
      <c r="A51" s="92" t="s">
        <v>214</v>
      </c>
      <c r="C51" s="221" t="e">
        <f>IF(C111&gt;C112,C112,C111)</f>
        <v>#REF!</v>
      </c>
      <c r="D51" s="223"/>
      <c r="E51" s="221" t="e">
        <f>IF(E111&gt;E112,E112,E111)</f>
        <v>#REF!</v>
      </c>
      <c r="F51" s="223"/>
      <c r="G51" s="221" t="e">
        <f>IF(G111&gt;G112,G112,G111)</f>
        <v>#REF!</v>
      </c>
      <c r="H51" s="223"/>
      <c r="I51" s="221" t="e">
        <f>IF(I111&gt;I112,I112,I111)</f>
        <v>#REF!</v>
      </c>
      <c r="J51" s="223"/>
      <c r="K51" s="335" t="e">
        <f>IF(K111&gt;K112,K112,K111)</f>
        <v>#REF!</v>
      </c>
      <c r="L51" s="352"/>
      <c r="M51" s="335" t="e">
        <f>IF(M111&gt;M112,M112,M111)</f>
        <v>#REF!</v>
      </c>
      <c r="N51" s="352"/>
      <c r="O51" s="335" t="e">
        <f>IF(O111&gt;O112,O112,O111)</f>
        <v>#REF!</v>
      </c>
      <c r="P51" s="352"/>
      <c r="Q51" s="335" t="e">
        <f>IF(Q111&gt;Q112,Q112,Q111)</f>
        <v>#REF!</v>
      </c>
      <c r="S51" s="221" t="e">
        <f>IF(S111&gt;S112,S112,S111)</f>
        <v>#REF!</v>
      </c>
      <c r="T51" s="223"/>
      <c r="U51" s="221" t="e">
        <f>IF(U111&gt;U112,U112,U111)</f>
        <v>#REF!</v>
      </c>
      <c r="V51" s="223"/>
      <c r="W51" s="221" t="e">
        <f>IF(W111&gt;W112,W112,W111)</f>
        <v>#REF!</v>
      </c>
      <c r="X51" s="223"/>
      <c r="Y51" s="221">
        <f>IF(BY111&gt;BY112,BY112,BY111)</f>
        <v>0</v>
      </c>
      <c r="AJ51" s="471" t="e">
        <f>IF(AJ111&gt;AJ112,AJ112,AJ111)</f>
        <v>#REF!</v>
      </c>
      <c r="AK51" s="507"/>
      <c r="AL51" s="471" t="e">
        <f>IF(AL111&gt;AL112,AL112,AL111)</f>
        <v>#REF!</v>
      </c>
      <c r="AM51" s="507"/>
      <c r="AN51" s="471" t="e">
        <f>IF(AN111&gt;AN112,AN112,AN111)</f>
        <v>#REF!</v>
      </c>
      <c r="AO51" s="507"/>
      <c r="AP51" s="471" t="e">
        <f>IF(AP111&gt;AP112,AP112,AP111)</f>
        <v>#REF!</v>
      </c>
      <c r="AQ51" s="507"/>
      <c r="AR51" s="551" t="e">
        <f>IF(AR111&gt;AR112,AR112,AR111)</f>
        <v>#REF!</v>
      </c>
      <c r="AS51" s="565"/>
      <c r="AT51" s="551" t="e">
        <f>IF(AT111&gt;AT112,AT112,AT111)</f>
        <v>#REF!</v>
      </c>
      <c r="AU51" s="565"/>
      <c r="AV51" s="551" t="e">
        <f>IF(AV111&gt;AV112,AV112,AV111)</f>
        <v>#REF!</v>
      </c>
      <c r="AW51" s="565"/>
      <c r="AX51" s="551" t="e">
        <f>IF(AX111&gt;AX112,AX112,AX111)</f>
        <v>#REF!</v>
      </c>
      <c r="AY51" s="565"/>
      <c r="AZ51" s="611" t="e">
        <f>IF(AZ111&gt;AZ112,AZ112,AZ111)</f>
        <v>#REF!</v>
      </c>
      <c r="BA51" s="724"/>
      <c r="BB51" s="611" t="e">
        <f>IF(BB111&gt;BB112,BB112,BB111)</f>
        <v>#REF!</v>
      </c>
      <c r="BC51" s="724"/>
      <c r="BD51" s="611" t="e">
        <f>IF(BD111&gt;BD112,BD112,BD111)</f>
        <v>#REF!</v>
      </c>
      <c r="BE51" s="724"/>
      <c r="BF51" s="611" t="e">
        <f>IF(BF111&gt;BF112,BF112,BF111)</f>
        <v>#REF!</v>
      </c>
      <c r="BG51" s="724"/>
      <c r="BH51" s="629" t="e">
        <f>IF(BH111&gt;BH112,BH112,BH111)</f>
        <v>#REF!</v>
      </c>
      <c r="BI51" s="738"/>
      <c r="BJ51" s="629" t="e">
        <f>IF(BJ111&gt;BJ112,BJ112,BJ111)</f>
        <v>#REF!</v>
      </c>
      <c r="BK51" s="738"/>
      <c r="BL51" s="629" t="e">
        <f>IF(BL111&gt;BL112,BL112,BL111)</f>
        <v>#REF!</v>
      </c>
      <c r="BM51" s="738"/>
      <c r="BN51" s="629" t="e">
        <f>IF(BN111&gt;BN112,BN112,BN111)</f>
        <v>#REF!</v>
      </c>
      <c r="BO51" s="738"/>
      <c r="BP51" s="647" t="e">
        <f>IF(BP111&gt;BP112,BP112,BP111)</f>
        <v>#REF!</v>
      </c>
      <c r="BQ51" s="754"/>
      <c r="BR51" s="647" t="e">
        <f>IF(BR111&gt;BR112,BR112,BR111)</f>
        <v>#REF!</v>
      </c>
      <c r="BS51" s="754"/>
      <c r="BT51" s="647" t="e">
        <f>IF(BT111&gt;BT112,BT112,BT111)</f>
        <v>#REF!</v>
      </c>
      <c r="BU51" s="754"/>
      <c r="BV51" s="647" t="e">
        <f>IF(BV111&gt;BV112,BV112,BV111)</f>
        <v>#REF!</v>
      </c>
      <c r="BX51" s="335" t="e">
        <f>IF(BX111&gt;BX112,BX112,BX111)</f>
        <v>#REF!</v>
      </c>
      <c r="BY51" s="352"/>
      <c r="BZ51" s="335" t="e">
        <f>IF(BZ111&gt;BZ112,BZ112,BZ111)</f>
        <v>#REF!</v>
      </c>
      <c r="CA51" s="323"/>
      <c r="CB51" s="323" t="s">
        <v>2087</v>
      </c>
      <c r="CD51" s="335" t="e">
        <f>MIN(CD57,CD58)</f>
        <v>#REF!</v>
      </c>
      <c r="CE51" s="352"/>
      <c r="CF51" s="335" t="e">
        <f>MIN(CF57,CF58)</f>
        <v>#REF!</v>
      </c>
      <c r="CH51" s="221" t="e">
        <f>IF(CH111&gt;CH112,CH112,CH111)</f>
        <v>#REF!</v>
      </c>
      <c r="CI51" s="223"/>
      <c r="CJ51" s="221" t="e">
        <f>IF(CJ111&gt;CJ112,CJ112,CJ111)</f>
        <v>#REF!</v>
      </c>
      <c r="CK51" s="180"/>
      <c r="CL51" s="180" t="s">
        <v>2087</v>
      </c>
      <c r="CN51" s="497" t="e">
        <f>IF(CN111&gt;CN112,CN112,CN111)</f>
        <v>#REF!</v>
      </c>
      <c r="CO51" s="492"/>
      <c r="CP51" s="497" t="e">
        <f>IF(CP111&gt;CP112,CP112,CP111)</f>
        <v>#REF!</v>
      </c>
      <c r="CQ51" s="486"/>
      <c r="CR51" s="486" t="s">
        <v>2087</v>
      </c>
      <c r="CT51" s="585" t="e">
        <f>IF(CT111&gt;CT112,CT112,CT111)</f>
        <v>#REF!</v>
      </c>
      <c r="CU51" s="581"/>
      <c r="CV51" s="585" t="e">
        <f>IF(CV111&gt;CV112,CV112,CV111)</f>
        <v>#REF!</v>
      </c>
      <c r="CW51" s="575"/>
      <c r="CX51" s="575" t="s">
        <v>2087</v>
      </c>
      <c r="CY51" s="575"/>
      <c r="CZ51" s="713" t="e">
        <f>IF(CZ111&gt;CZ112,CZ112,CZ111)</f>
        <v>#REF!</v>
      </c>
      <c r="DA51" s="708"/>
      <c r="DB51" s="713" t="e">
        <f>IF(DB111&gt;DB112,DB112,DB111)</f>
        <v>#REF!</v>
      </c>
      <c r="DD51" s="702" t="s">
        <v>2087</v>
      </c>
      <c r="DE51" s="702"/>
      <c r="DF51" s="776" t="e">
        <f>IF(DF111&gt;DF112,DF112,DF111)</f>
        <v>#REF!</v>
      </c>
      <c r="DG51" s="771"/>
      <c r="DH51" s="776" t="e">
        <f>IF(DH111&gt;DH112,DH112,DH111)</f>
        <v>#REF!</v>
      </c>
      <c r="DJ51" s="765" t="s">
        <v>2087</v>
      </c>
      <c r="DK51" s="765"/>
      <c r="DL51" s="792" t="e">
        <f>IF(DL111&gt;DL112,DL112,DL111)</f>
        <v>#REF!</v>
      </c>
      <c r="DM51" s="787"/>
      <c r="DN51" s="792" t="e">
        <f>IF(DN111&gt;DN112,DN112,DN111)</f>
        <v>#REF!</v>
      </c>
      <c r="DP51" s="781" t="s">
        <v>2087</v>
      </c>
    </row>
    <row r="52" spans="1:120">
      <c r="A52" s="92" t="s">
        <v>1638</v>
      </c>
      <c r="C52" s="221" t="e">
        <f>'Data Entry - SOF'!#REF!*(C42/C41)</f>
        <v>#REF!</v>
      </c>
      <c r="D52" s="223"/>
      <c r="E52" s="221" t="e">
        <f>IF('Data Entry - SOF'!#REF!&gt;E114,E114,'Data Entry - SOF'!#REF!)</f>
        <v>#REF!</v>
      </c>
      <c r="F52" s="223"/>
      <c r="G52" s="221">
        <v>0</v>
      </c>
      <c r="H52" s="223"/>
      <c r="I52" s="221">
        <v>0</v>
      </c>
      <c r="J52" s="223"/>
      <c r="K52" s="335" t="e">
        <f>'Data Entry - SOF'!#REF!*(K42/K41)</f>
        <v>#REF!</v>
      </c>
      <c r="L52" s="352"/>
      <c r="M52" s="335" t="e">
        <f>IF('Data Entry - SOF'!#REF!&gt;M114,M114,'Data Entry - SOF'!#REF!)</f>
        <v>#REF!</v>
      </c>
      <c r="N52" s="352"/>
      <c r="O52" s="335">
        <v>0</v>
      </c>
      <c r="P52" s="352"/>
      <c r="Q52" s="335">
        <v>0</v>
      </c>
      <c r="S52" s="221" t="e">
        <f>'Data Entry - SOF'!#REF!*(S42/S41)</f>
        <v>#REF!</v>
      </c>
      <c r="T52" s="223"/>
      <c r="U52" s="221" t="e">
        <f>IF('Data Entry - SOF'!#REF!&gt;U114,U114,'Data Entry - SOF'!#REF!)</f>
        <v>#REF!</v>
      </c>
      <c r="V52" s="223"/>
      <c r="W52" s="221">
        <v>0</v>
      </c>
      <c r="X52" s="223"/>
      <c r="Y52" s="221">
        <v>0</v>
      </c>
      <c r="AJ52" s="471" t="e">
        <f>'Data Entry - SOF'!#REF!*(AJ42/AJ41)</f>
        <v>#REF!</v>
      </c>
      <c r="AK52" s="507"/>
      <c r="AL52" s="471" t="e">
        <f>IF('Data Entry - SOF'!#REF!&gt;AL114,AL114,'Data Entry - SOF'!#REF!)</f>
        <v>#REF!</v>
      </c>
      <c r="AM52" s="507"/>
      <c r="AN52" s="471">
        <v>0</v>
      </c>
      <c r="AO52" s="507"/>
      <c r="AP52" s="471">
        <v>0</v>
      </c>
      <c r="AQ52" s="507"/>
      <c r="AR52" s="551" t="e">
        <f>'Data Entry - SOF'!#REF!*(AR42/AR41)</f>
        <v>#REF!</v>
      </c>
      <c r="AS52" s="565"/>
      <c r="AT52" s="551" t="e">
        <f>IF('Data Entry - SOF'!#REF!&gt;AT114,AT114,'Data Entry - SOF'!#REF!)</f>
        <v>#REF!</v>
      </c>
      <c r="AU52" s="565"/>
      <c r="AV52" s="551">
        <v>0</v>
      </c>
      <c r="AW52" s="565"/>
      <c r="AX52" s="551">
        <v>0</v>
      </c>
      <c r="AY52" s="565"/>
      <c r="AZ52" s="611" t="e">
        <f>'Data Entry - SOF'!#REF!*(AZ42/AZ41)</f>
        <v>#REF!</v>
      </c>
      <c r="BA52" s="724"/>
      <c r="BB52" s="611" t="e">
        <f>IF('Data Entry - SOF'!#REF!&gt;BB114,BB114,'Data Entry - SOF'!#REF!)</f>
        <v>#REF!</v>
      </c>
      <c r="BC52" s="724"/>
      <c r="BD52" s="611">
        <v>0</v>
      </c>
      <c r="BE52" s="724"/>
      <c r="BF52" s="611">
        <v>0</v>
      </c>
      <c r="BG52" s="724"/>
      <c r="BH52" s="629" t="e">
        <f>'Data Entry - SOF'!#REF!*(BH42/BH41)</f>
        <v>#REF!</v>
      </c>
      <c r="BI52" s="738"/>
      <c r="BJ52" s="629" t="e">
        <f>IF('Data Entry - SOF'!#REF!&gt;BJ114,BJ114,'Data Entry - SOF'!#REF!)</f>
        <v>#REF!</v>
      </c>
      <c r="BK52" s="738"/>
      <c r="BL52" s="629">
        <v>0</v>
      </c>
      <c r="BM52" s="738"/>
      <c r="BN52" s="629">
        <v>0</v>
      </c>
      <c r="BO52" s="738"/>
      <c r="BP52" s="647" t="e">
        <f>'Data Entry - SOF'!#REF!*(BP42/BP41)</f>
        <v>#REF!</v>
      </c>
      <c r="BQ52" s="754"/>
      <c r="BR52" s="647" t="e">
        <f>IF('Data Entry - SOF'!#REF!&gt;BR114,BR114,'Data Entry - SOF'!#REF!)</f>
        <v>#REF!</v>
      </c>
      <c r="BS52" s="754"/>
      <c r="BT52" s="647">
        <v>0</v>
      </c>
      <c r="BU52" s="754"/>
      <c r="BV52" s="647">
        <v>0</v>
      </c>
      <c r="BX52" s="335" t="e">
        <f>'Data Entry - SOF'!#REF!*(BX42/BX41)</f>
        <v>#REF!</v>
      </c>
      <c r="BY52" s="352"/>
      <c r="BZ52" s="335" t="e">
        <f>IF('Data Entry - SOF'!#REF!&gt;CB55,CB55,'Data Entry - SOF'!#REF!)</f>
        <v>#REF!</v>
      </c>
      <c r="CA52" s="323" t="s">
        <v>2356</v>
      </c>
      <c r="CB52" s="360">
        <f>M41+Q41</f>
        <v>0</v>
      </c>
      <c r="CD52" s="335" t="e">
        <f>'Data Entry - SOF'!#REF!*(CD42/CD41)</f>
        <v>#REF!</v>
      </c>
      <c r="CE52" s="352"/>
      <c r="CF52" s="335" t="e">
        <f>IF('Data Entry - SOF'!#REF!&gt;CB55,CB55,'Data Entry - SOF'!#REF!)</f>
        <v>#REF!</v>
      </c>
      <c r="CH52" s="221" t="e">
        <f>'Data Entry - SOF'!#REF!*(CH42/CH41)</f>
        <v>#REF!</v>
      </c>
      <c r="CI52" s="223"/>
      <c r="CJ52" s="221" t="e">
        <f>IF('Data Entry - SOF'!#REF!&gt;CL55,CL55,'Data Entry - SOF'!#REF!)</f>
        <v>#REF!</v>
      </c>
      <c r="CK52" s="180" t="s">
        <v>2356</v>
      </c>
      <c r="CL52" s="197" t="e">
        <f>S41+W41</f>
        <v>#REF!</v>
      </c>
      <c r="CN52" s="497" t="e">
        <f>'Data Entry - SOF'!#REF!*(CN42/CN41)</f>
        <v>#REF!</v>
      </c>
      <c r="CO52" s="492"/>
      <c r="CP52" s="497" t="e">
        <f>IF('Data Entry - SOF'!#REF!&gt;CR55,CR55,'Data Entry - SOF'!#REF!)</f>
        <v>#REF!</v>
      </c>
      <c r="CQ52" s="486" t="s">
        <v>2356</v>
      </c>
      <c r="CR52" s="498" t="e">
        <f>AJ41+AN41</f>
        <v>#REF!</v>
      </c>
      <c r="CT52" s="585" t="e">
        <f>'Data Entry - SOF'!#REF!*(CT42/CT41)</f>
        <v>#REF!</v>
      </c>
      <c r="CU52" s="581"/>
      <c r="CV52" s="585" t="e">
        <f>IF('Data Entry - SOF'!#REF!&gt;CZ55,CZ55,'Data Entry - SOF'!#REF!)</f>
        <v>#REF!</v>
      </c>
      <c r="CW52" s="575" t="s">
        <v>2356</v>
      </c>
      <c r="CX52" s="586" t="e">
        <f>AR41+AV41</f>
        <v>#REF!</v>
      </c>
      <c r="CY52" s="575"/>
      <c r="CZ52" s="713" t="e">
        <f>'Data Entry - SOF'!#REF!*(CZ42/CZ41)</f>
        <v>#REF!</v>
      </c>
      <c r="DA52" s="708"/>
      <c r="DB52" s="713" t="e">
        <f>IF('Data Entry - SOF'!#REF!&gt;DD55,DD55,'Data Entry - SOF'!#REF!)</f>
        <v>#REF!</v>
      </c>
      <c r="DC52" s="702" t="s">
        <v>2356</v>
      </c>
      <c r="DD52" s="714" t="e">
        <f>AZ41+BD41</f>
        <v>#REF!</v>
      </c>
      <c r="DE52" s="714"/>
      <c r="DF52" s="776" t="e">
        <f>'Data Entry - SOF'!#REF!*(DF42/DF41)</f>
        <v>#REF!</v>
      </c>
      <c r="DG52" s="771"/>
      <c r="DH52" s="776" t="e">
        <f>IF('Data Entry - SOF'!#REF!&gt;DJ55,DJ55,'Data Entry - SOF'!#REF!)</f>
        <v>#REF!</v>
      </c>
      <c r="DI52" s="765" t="s">
        <v>2356</v>
      </c>
      <c r="DJ52" s="777" t="e">
        <f>BH41+BL41</f>
        <v>#REF!</v>
      </c>
      <c r="DK52" s="777"/>
      <c r="DL52" s="792" t="e">
        <f>'Data Entry - SOF'!#REF!*(DL42/DL41)</f>
        <v>#REF!</v>
      </c>
      <c r="DM52" s="787"/>
      <c r="DN52" s="792" t="e">
        <f>IF('Data Entry - SOF'!#REF!&gt;DP55,DP55,'Data Entry - SOF'!#REF!)</f>
        <v>#REF!</v>
      </c>
      <c r="DO52" s="781" t="s">
        <v>2356</v>
      </c>
      <c r="DP52" s="793" t="e">
        <f>BP41+BT41</f>
        <v>#REF!</v>
      </c>
    </row>
    <row r="53" spans="1:120">
      <c r="A53" s="92"/>
      <c r="C53" s="197"/>
      <c r="D53" s="197"/>
      <c r="E53" s="197"/>
      <c r="F53" s="197"/>
      <c r="G53" s="197"/>
      <c r="H53" s="197"/>
      <c r="I53" s="197"/>
      <c r="J53" s="197"/>
      <c r="K53" s="360"/>
      <c r="L53" s="360"/>
      <c r="M53" s="360"/>
      <c r="N53" s="360"/>
      <c r="O53" s="360"/>
      <c r="P53" s="360"/>
      <c r="Q53" s="360"/>
      <c r="S53" s="197"/>
      <c r="T53" s="197"/>
      <c r="U53" s="197"/>
      <c r="V53" s="197"/>
      <c r="W53" s="197"/>
      <c r="X53" s="197"/>
      <c r="Y53" s="197"/>
      <c r="AJ53" s="510"/>
      <c r="AK53" s="510"/>
      <c r="AL53" s="510"/>
      <c r="AM53" s="510"/>
      <c r="AN53" s="510"/>
      <c r="AO53" s="510"/>
      <c r="AP53" s="510"/>
      <c r="AQ53" s="510"/>
      <c r="AR53" s="568"/>
      <c r="AS53" s="568"/>
      <c r="AT53" s="568"/>
      <c r="AU53" s="568"/>
      <c r="AV53" s="568"/>
      <c r="AW53" s="568"/>
      <c r="AX53" s="568"/>
      <c r="AY53" s="568"/>
      <c r="AZ53" s="716"/>
      <c r="BA53" s="716"/>
      <c r="BB53" s="716"/>
      <c r="BC53" s="716"/>
      <c r="BD53" s="716"/>
      <c r="BE53" s="716"/>
      <c r="BF53" s="716"/>
      <c r="BG53" s="716"/>
      <c r="BH53" s="742"/>
      <c r="BI53" s="742"/>
      <c r="BJ53" s="742"/>
      <c r="BK53" s="742"/>
      <c r="BL53" s="742"/>
      <c r="BM53" s="742"/>
      <c r="BN53" s="742"/>
      <c r="BO53" s="742"/>
      <c r="BP53" s="758"/>
      <c r="BQ53" s="758"/>
      <c r="BR53" s="758"/>
      <c r="BS53" s="758"/>
      <c r="BT53" s="758"/>
      <c r="BU53" s="758"/>
      <c r="BV53" s="758"/>
      <c r="BX53" s="360"/>
      <c r="BY53" s="360"/>
      <c r="BZ53" s="360"/>
      <c r="CA53" s="323" t="s">
        <v>2084</v>
      </c>
      <c r="CB53" s="360" t="e">
        <f>M42+Q42</f>
        <v>#REF!</v>
      </c>
      <c r="CD53" s="360"/>
      <c r="CE53" s="360"/>
      <c r="CF53" s="360"/>
      <c r="CH53" s="197"/>
      <c r="CI53" s="197"/>
      <c r="CJ53" s="197"/>
      <c r="CK53" s="180" t="s">
        <v>2084</v>
      </c>
      <c r="CL53" s="197" t="e">
        <f>S42+W42</f>
        <v>#REF!</v>
      </c>
      <c r="CN53" s="498"/>
      <c r="CO53" s="498"/>
      <c r="CP53" s="498"/>
      <c r="CQ53" s="486" t="s">
        <v>2084</v>
      </c>
      <c r="CR53" s="498" t="e">
        <f>AJ42+AN42</f>
        <v>#REF!</v>
      </c>
      <c r="CT53" s="586"/>
      <c r="CU53" s="586"/>
      <c r="CV53" s="586"/>
      <c r="CW53" s="575" t="s">
        <v>2084</v>
      </c>
      <c r="CX53" s="586" t="e">
        <f>AR42+AV42</f>
        <v>#REF!</v>
      </c>
      <c r="CY53" s="575"/>
      <c r="CZ53" s="714"/>
      <c r="DA53" s="714"/>
      <c r="DB53" s="714"/>
      <c r="DC53" s="702" t="s">
        <v>2084</v>
      </c>
      <c r="DD53" s="714" t="e">
        <f>AZ42+BD42</f>
        <v>#REF!</v>
      </c>
      <c r="DE53" s="714"/>
      <c r="DF53" s="777"/>
      <c r="DG53" s="777"/>
      <c r="DH53" s="777"/>
      <c r="DI53" s="765" t="s">
        <v>2084</v>
      </c>
      <c r="DJ53" s="777" t="e">
        <f>BH42+BL42</f>
        <v>#REF!</v>
      </c>
      <c r="DK53" s="777"/>
      <c r="DL53" s="793"/>
      <c r="DM53" s="793"/>
      <c r="DN53" s="793"/>
      <c r="DO53" s="781" t="s">
        <v>2084</v>
      </c>
      <c r="DP53" s="793" t="e">
        <f>BP42+BT42</f>
        <v>#REF!</v>
      </c>
    </row>
    <row r="54" spans="1:120" ht="13.5" thickBot="1">
      <c r="A54" s="23" t="s">
        <v>326</v>
      </c>
      <c r="C54" s="198" t="e">
        <f>IF(C48-C51-C52&lt;0,0,C48-C51-C52)</f>
        <v>#REF!</v>
      </c>
      <c r="D54" s="223"/>
      <c r="E54" s="198" t="e">
        <f>IF(E48-E51-E52&lt;0,0,E48-E51-E52)</f>
        <v>#REF!</v>
      </c>
      <c r="F54" s="223"/>
      <c r="G54" s="198" t="e">
        <f>IF(G48-G51-G52&lt;0,0,G48-G51-G52)</f>
        <v>#REF!</v>
      </c>
      <c r="H54" s="223"/>
      <c r="I54" s="198" t="e">
        <f>IF(I48-I51-I52&lt;0,0,I48-I51-I52)</f>
        <v>#REF!</v>
      </c>
      <c r="J54" s="223"/>
      <c r="K54" s="361" t="e">
        <f>IF(K48-K51-K52&lt;0,0,K48-K51-K52)</f>
        <v>#REF!</v>
      </c>
      <c r="L54" s="352"/>
      <c r="M54" s="361" t="e">
        <f>IF(M48-M51-M52&lt;0,0,M48-M51-M52)</f>
        <v>#REF!</v>
      </c>
      <c r="N54" s="352"/>
      <c r="O54" s="361" t="e">
        <f>IF(O48-O51-O52&lt;0,0,O48-O51-O52)</f>
        <v>#REF!</v>
      </c>
      <c r="P54" s="352"/>
      <c r="Q54" s="361" t="e">
        <f>IF(Q48-Q51-Q52&lt;0,0,Q48-Q51-Q52)</f>
        <v>#REF!</v>
      </c>
      <c r="S54" s="198" t="e">
        <f>IF(S48-S51-S52&lt;0,0,S48-S51-S52)</f>
        <v>#REF!</v>
      </c>
      <c r="T54" s="223"/>
      <c r="U54" s="198" t="e">
        <f>IF(U48-U51-U52&lt;0,0,U48-U51-U52)</f>
        <v>#REF!</v>
      </c>
      <c r="V54" s="223"/>
      <c r="W54" s="198" t="e">
        <f>IF(W48-W51-W52&lt;0,0,W48-W51-W52)</f>
        <v>#REF!</v>
      </c>
      <c r="X54" s="223"/>
      <c r="Y54" s="198" t="e">
        <f>IF(Y48-Y51-Y52&lt;0,0,Y48-Y51-Y52)</f>
        <v>#REF!</v>
      </c>
      <c r="AJ54" s="511" t="e">
        <f>IF(AJ48-AJ51-AJ52&lt;0,0,AJ48-AJ51-AJ52)</f>
        <v>#REF!</v>
      </c>
      <c r="AK54" s="507"/>
      <c r="AL54" s="511" t="e">
        <f>IF(AL48-AL51-AL52&lt;0,0,AL48-AL51-AL52)</f>
        <v>#REF!</v>
      </c>
      <c r="AM54" s="507"/>
      <c r="AN54" s="511" t="e">
        <f>IF(AN48-AN51-AN52&lt;0,0,AN48-AN51-AN52)</f>
        <v>#REF!</v>
      </c>
      <c r="AO54" s="507"/>
      <c r="AP54" s="511" t="e">
        <f>IF(AP48-AP51-AP52&lt;0,0,AP48-AP51-AP52)</f>
        <v>#REF!</v>
      </c>
      <c r="AQ54" s="507"/>
      <c r="AR54" s="569" t="e">
        <f>IF(AR48-AR51-AR52&lt;0,0,AR48-AR51-AR52)</f>
        <v>#REF!</v>
      </c>
      <c r="AS54" s="565"/>
      <c r="AT54" s="569" t="e">
        <f>IF(AT48-AT51-AT52&lt;0,0,AT48-AT51-AT52)</f>
        <v>#REF!</v>
      </c>
      <c r="AU54" s="565"/>
      <c r="AV54" s="569" t="e">
        <f>IF(AV48-AV51-AV52&lt;0,0,AV48-AV51-AV52)</f>
        <v>#REF!</v>
      </c>
      <c r="AW54" s="565"/>
      <c r="AX54" s="569" t="e">
        <f>IF(AX48-AX51-AX52&lt;0,0,AX48-AX51-AX52)</f>
        <v>#REF!</v>
      </c>
      <c r="AY54" s="565"/>
      <c r="AZ54" s="728" t="e">
        <f>IF(AZ48-AZ51-AZ52&lt;0,0,AZ48-AZ51-AZ52)</f>
        <v>#REF!</v>
      </c>
      <c r="BA54" s="724"/>
      <c r="BB54" s="728" t="e">
        <f>IF(BB48-BB51-BB52&lt;0,0,BB48-BB51-BB52)</f>
        <v>#REF!</v>
      </c>
      <c r="BC54" s="724"/>
      <c r="BD54" s="728" t="e">
        <f>IF(BD48-BD51-BD52&lt;0,0,BD48-BD51-BD52)</f>
        <v>#REF!</v>
      </c>
      <c r="BE54" s="724"/>
      <c r="BF54" s="728" t="e">
        <f>IF(BF48-BF51-BF52&lt;0,0,BF48-BF51-BF52)</f>
        <v>#REF!</v>
      </c>
      <c r="BG54" s="724"/>
      <c r="BH54" s="743" t="e">
        <f>IF(BH48-BH51-BH52&lt;0,0,BH48-BH51-BH52)</f>
        <v>#REF!</v>
      </c>
      <c r="BI54" s="738"/>
      <c r="BJ54" s="743" t="e">
        <f>IF(BJ48-BJ51-BJ52&lt;0,0,BJ48-BJ51-BJ52)</f>
        <v>#REF!</v>
      </c>
      <c r="BK54" s="738"/>
      <c r="BL54" s="743" t="e">
        <f>IF(BL48-BL51-BL52&lt;0,0,BL48-BL51-BL52)</f>
        <v>#REF!</v>
      </c>
      <c r="BM54" s="738"/>
      <c r="BN54" s="743" t="e">
        <f>IF(BN48-BN51-BN52&lt;0,0,BN48-BN51-BN52)</f>
        <v>#REF!</v>
      </c>
      <c r="BO54" s="738"/>
      <c r="BP54" s="759" t="e">
        <f>IF(BP48-BP51-BP52&lt;0,0,BP48-BP51-BP52)</f>
        <v>#REF!</v>
      </c>
      <c r="BQ54" s="754"/>
      <c r="BR54" s="759" t="e">
        <f>IF(BR48-BR51-BR52&lt;0,0,BR48-BR51-BR52)</f>
        <v>#REF!</v>
      </c>
      <c r="BS54" s="754"/>
      <c r="BT54" s="759" t="e">
        <f>IF(BT48-BT51-BT52&lt;0,0,BT48-BT51-BT52)</f>
        <v>#REF!</v>
      </c>
      <c r="BU54" s="754"/>
      <c r="BV54" s="759" t="e">
        <f>IF(BV48-BV51-BV52&lt;0,0,BV48-BV51-BV52)</f>
        <v>#REF!</v>
      </c>
      <c r="BX54" s="361" t="e">
        <f>IF(BX48-BX51-BX52&lt;0,0,BX48-BX51-BX52)</f>
        <v>#REF!</v>
      </c>
      <c r="BY54" s="352"/>
      <c r="BZ54" s="361" t="e">
        <f>IF(BZ48-BZ51-BZ52&lt;0,0,BZ48-BZ51-BZ52)</f>
        <v>#REF!</v>
      </c>
      <c r="CA54" s="323" t="s">
        <v>2085</v>
      </c>
      <c r="CB54" s="323" t="e">
        <f>CB53/CB52</f>
        <v>#REF!</v>
      </c>
      <c r="CD54" s="361" t="e">
        <f>IF(CD48-CD51-CD52&lt;0,0,CD48-CD51-CD52)</f>
        <v>#REF!</v>
      </c>
      <c r="CE54" s="352"/>
      <c r="CF54" s="361" t="e">
        <f>IF(CF48-CF51-CF52&lt;0,0,CF48-CF51-CF52)</f>
        <v>#REF!</v>
      </c>
      <c r="CH54" s="198" t="e">
        <f>IF(CH48-CH51-CH52&lt;0,0,CH48-CH51-CH52)</f>
        <v>#REF!</v>
      </c>
      <c r="CI54" s="223"/>
      <c r="CJ54" s="198" t="e">
        <f>IF(CJ48-CJ51-CJ52&lt;0,0,CJ48-CJ51-CJ52)</f>
        <v>#REF!</v>
      </c>
      <c r="CK54" s="180" t="s">
        <v>2085</v>
      </c>
      <c r="CL54" s="180" t="e">
        <f>CL53/CL52</f>
        <v>#REF!</v>
      </c>
      <c r="CN54" s="499" t="e">
        <f>IF(CN48-CN51-CN52&lt;0,0,CN48-CN51-CN52)</f>
        <v>#REF!</v>
      </c>
      <c r="CO54" s="492"/>
      <c r="CP54" s="499" t="e">
        <f>IF(CP48-CP51-CP52&lt;0,0,CP48-CP51-CP52)</f>
        <v>#REF!</v>
      </c>
      <c r="CQ54" s="486" t="s">
        <v>2085</v>
      </c>
      <c r="CR54" s="486" t="e">
        <f>CR53/CR52</f>
        <v>#REF!</v>
      </c>
      <c r="CT54" s="587" t="e">
        <f>IF(CT48-CT51-CT52&lt;0,0,CT48-CT51-CT52)</f>
        <v>#REF!</v>
      </c>
      <c r="CU54" s="581"/>
      <c r="CV54" s="587" t="e">
        <f>IF(CV48-CV51-CV52&lt;0,0,CV48-CV51-CV52)</f>
        <v>#REF!</v>
      </c>
      <c r="CW54" s="575" t="s">
        <v>2085</v>
      </c>
      <c r="CX54" s="575" t="e">
        <f>CX53/CX52</f>
        <v>#REF!</v>
      </c>
      <c r="CY54" s="575"/>
      <c r="CZ54" s="715" t="e">
        <f>IF(CZ48-CZ51-CZ52&lt;0,0,CZ48-CZ51-CZ52)</f>
        <v>#REF!</v>
      </c>
      <c r="DA54" s="708"/>
      <c r="DB54" s="715" t="e">
        <f>IF(DB48-DB51-DB52&lt;0,0,DB48-DB51-DB52)</f>
        <v>#REF!</v>
      </c>
      <c r="DC54" s="702" t="s">
        <v>2085</v>
      </c>
      <c r="DD54" s="702" t="e">
        <f>DD53/DD52</f>
        <v>#REF!</v>
      </c>
      <c r="DE54" s="702"/>
      <c r="DF54" s="778" t="e">
        <f>IF(DF48-DF51-DF52&lt;0,0,DF48-DF51-DF52)</f>
        <v>#REF!</v>
      </c>
      <c r="DG54" s="771"/>
      <c r="DH54" s="778" t="e">
        <f>IF(DH48-DH51-DH52&lt;0,0,DH48-DH51-DH52)</f>
        <v>#REF!</v>
      </c>
      <c r="DI54" s="765" t="s">
        <v>2085</v>
      </c>
      <c r="DJ54" s="765" t="e">
        <f>DJ53/DJ52</f>
        <v>#REF!</v>
      </c>
      <c r="DK54" s="765"/>
      <c r="DL54" s="794" t="e">
        <f>IF(DL48-DL51-DL52&lt;0,0,DL48-DL51-DL52)</f>
        <v>#REF!</v>
      </c>
      <c r="DM54" s="787"/>
      <c r="DN54" s="794" t="e">
        <f>IF(DN48-DN51-DN52&lt;0,0,DN48-DN51-DN52)</f>
        <v>#REF!</v>
      </c>
      <c r="DO54" s="781" t="s">
        <v>2085</v>
      </c>
      <c r="DP54" s="781" t="e">
        <f>DP53/DP52</f>
        <v>#REF!</v>
      </c>
    </row>
    <row r="55" spans="1:120" ht="13.5" thickTop="1">
      <c r="A55" s="23" t="s">
        <v>589</v>
      </c>
      <c r="C55" s="223" t="e">
        <f>IF(C47=0,0,C54/C47)</f>
        <v>#REF!</v>
      </c>
      <c r="D55" s="223"/>
      <c r="E55" s="223" t="e">
        <f>IF(E47=0,0,E54/E47)</f>
        <v>#REF!</v>
      </c>
      <c r="F55" s="223"/>
      <c r="G55" s="223" t="e">
        <f>IF(G47=0,0,G54/G47)</f>
        <v>#REF!</v>
      </c>
      <c r="H55" s="223"/>
      <c r="I55" s="223" t="e">
        <f>IF(I47=0,0,I54/I47)</f>
        <v>#REF!</v>
      </c>
      <c r="J55" s="223"/>
      <c r="K55" s="352" t="e">
        <f>IF(K47=0,0,K54/K47)</f>
        <v>#REF!</v>
      </c>
      <c r="L55" s="352"/>
      <c r="M55" s="352" t="e">
        <f>IF(M47=0,0,M54/M47)</f>
        <v>#REF!</v>
      </c>
      <c r="N55" s="352"/>
      <c r="O55" s="352" t="e">
        <f>IF(O47=0,0,O54/O47)</f>
        <v>#REF!</v>
      </c>
      <c r="P55" s="352"/>
      <c r="Q55" s="352" t="e">
        <f>IF(Q47=0,0,Q54/Q47)</f>
        <v>#REF!</v>
      </c>
      <c r="S55" s="223" t="e">
        <f>IF(S47=0,0,S54/S47)</f>
        <v>#REF!</v>
      </c>
      <c r="T55" s="223"/>
      <c r="U55" s="223" t="e">
        <f>IF(U47=0,0,U54/U47)</f>
        <v>#REF!</v>
      </c>
      <c r="V55" s="223"/>
      <c r="W55" s="223" t="e">
        <f>IF(W47=0,0,W54/W47)</f>
        <v>#REF!</v>
      </c>
      <c r="X55" s="223"/>
      <c r="Y55" s="223" t="e">
        <f>IF(Y47=0,0,Y54/Y47)</f>
        <v>#REF!</v>
      </c>
      <c r="AG55" s="323"/>
      <c r="AJ55" s="507" t="e">
        <f>IF(AJ47=0,0,AJ54/AJ47)</f>
        <v>#REF!</v>
      </c>
      <c r="AK55" s="507"/>
      <c r="AL55" s="507" t="e">
        <f>IF(AL47=0,0,AL54/AL47)</f>
        <v>#REF!</v>
      </c>
      <c r="AM55" s="507"/>
      <c r="AN55" s="507" t="e">
        <f>IF(AN47=0,0,AN54/AN47)</f>
        <v>#REF!</v>
      </c>
      <c r="AO55" s="507"/>
      <c r="AP55" s="507" t="e">
        <f>IF(AP47=0,0,AP54/AP47)</f>
        <v>#REF!</v>
      </c>
      <c r="AQ55" s="507"/>
      <c r="AR55" s="565" t="e">
        <f>IF(AR47=0,0,AR54/AR47)</f>
        <v>#REF!</v>
      </c>
      <c r="AS55" s="565"/>
      <c r="AT55" s="565" t="e">
        <f>IF(AT47=0,0,AT54/AT47)</f>
        <v>#REF!</v>
      </c>
      <c r="AU55" s="565"/>
      <c r="AV55" s="565" t="e">
        <f>IF(AV47=0,0,AV54/AV47)</f>
        <v>#REF!</v>
      </c>
      <c r="AW55" s="565"/>
      <c r="AX55" s="565" t="e">
        <f>IF(AX47=0,0,AX54/AX47)</f>
        <v>#REF!</v>
      </c>
      <c r="AY55" s="565"/>
      <c r="AZ55" s="724" t="e">
        <f>IF(AZ47=0,0,AZ54/AZ47)</f>
        <v>#REF!</v>
      </c>
      <c r="BA55" s="724"/>
      <c r="BB55" s="724" t="e">
        <f>IF(BB47=0,0,BB54/BB47)</f>
        <v>#REF!</v>
      </c>
      <c r="BC55" s="724"/>
      <c r="BD55" s="724" t="e">
        <f>IF(BD47=0,0,BD54/BD47)</f>
        <v>#REF!</v>
      </c>
      <c r="BE55" s="724"/>
      <c r="BF55" s="724" t="e">
        <f>IF(BF47=0,0,BF54/BF47)</f>
        <v>#REF!</v>
      </c>
      <c r="BG55" s="724"/>
      <c r="BH55" s="738" t="e">
        <f>IF(BH47=0,0,BH54/BH47)</f>
        <v>#REF!</v>
      </c>
      <c r="BI55" s="738"/>
      <c r="BJ55" s="738" t="e">
        <f>IF(BJ47=0,0,BJ54/BJ47)</f>
        <v>#REF!</v>
      </c>
      <c r="BK55" s="738"/>
      <c r="BL55" s="738" t="e">
        <f>IF(BL47=0,0,BL54/BL47)</f>
        <v>#REF!</v>
      </c>
      <c r="BM55" s="738"/>
      <c r="BN55" s="738" t="e">
        <f>IF(BN47=0,0,BN54/BN47)</f>
        <v>#REF!</v>
      </c>
      <c r="BO55" s="738"/>
      <c r="BP55" s="754" t="e">
        <f>IF(BP47=0,0,BP54/BP47)</f>
        <v>#REF!</v>
      </c>
      <c r="BQ55" s="754"/>
      <c r="BR55" s="754" t="e">
        <f>IF(BR47=0,0,BR54/BR47)</f>
        <v>#REF!</v>
      </c>
      <c r="BS55" s="754"/>
      <c r="BT55" s="754" t="e">
        <f>IF(BT47=0,0,BT54/BT47)</f>
        <v>#REF!</v>
      </c>
      <c r="BU55" s="754"/>
      <c r="BV55" s="754" t="e">
        <f>IF(BV47=0,0,BV54/BV47)</f>
        <v>#REF!</v>
      </c>
      <c r="BW55" s="323"/>
      <c r="BX55" s="323"/>
      <c r="BZ55" s="323"/>
      <c r="CA55" s="323" t="s">
        <v>2086</v>
      </c>
      <c r="CB55" s="323" t="e">
        <f>IF('Data Entry - SOF'!#REF!=0,0,CB54*'Data Entry - SOF'!#REF!)</f>
        <v>#REF!</v>
      </c>
      <c r="CH55" s="180"/>
      <c r="CI55" s="180"/>
      <c r="CJ55" s="180"/>
      <c r="CK55" s="180" t="s">
        <v>2086</v>
      </c>
      <c r="CL55" s="180" t="e">
        <f>IF('Data Entry - SOF'!#REF!=0,0,CL54*'Data Entry - SOF'!#REF!)</f>
        <v>#REF!</v>
      </c>
      <c r="CN55" s="486"/>
      <c r="CO55" s="486"/>
      <c r="CP55" s="486"/>
      <c r="CQ55" s="486" t="s">
        <v>2086</v>
      </c>
      <c r="CR55" s="486" t="e">
        <f>IF('Data Entry - SOF'!#REF!=0,0,CR54*'Data Entry - SOF'!#REF!)</f>
        <v>#REF!</v>
      </c>
      <c r="CT55" s="575"/>
      <c r="CU55" s="575"/>
      <c r="CV55" s="575"/>
      <c r="CW55" s="575" t="s">
        <v>2086</v>
      </c>
      <c r="CX55" s="575" t="e">
        <f>IF('Data Entry - SOF'!#REF!=0,0,CX54*'Data Entry - SOF'!#REF!)</f>
        <v>#REF!</v>
      </c>
      <c r="CY55" s="575"/>
      <c r="CZ55" s="702"/>
      <c r="DA55" s="702"/>
      <c r="DB55" s="702"/>
      <c r="DC55" s="702" t="s">
        <v>2086</v>
      </c>
      <c r="DD55" s="702" t="e">
        <f>IF('Data Entry - SOF'!#REF!=0,0,DD54*'Data Entry - SOF'!#REF!)</f>
        <v>#REF!</v>
      </c>
      <c r="DE55" s="702"/>
      <c r="DF55" s="765"/>
      <c r="DG55" s="765"/>
      <c r="DH55" s="765"/>
      <c r="DI55" s="765" t="s">
        <v>2086</v>
      </c>
      <c r="DJ55" s="765" t="e">
        <f>IF('Data Entry - SOF'!#REF!=0,0,DJ54*'Data Entry - SOF'!#REF!)</f>
        <v>#REF!</v>
      </c>
      <c r="DK55" s="765"/>
      <c r="DL55" s="781"/>
      <c r="DM55" s="781"/>
      <c r="DN55" s="781"/>
      <c r="DO55" s="781" t="s">
        <v>2086</v>
      </c>
      <c r="DP55" s="781" t="e">
        <f>IF('Data Entry - SOF'!#REF!=0,0,DP54*'Data Entry - SOF'!#REF!)</f>
        <v>#REF!</v>
      </c>
    </row>
    <row r="56" spans="1:120">
      <c r="K56" s="323"/>
      <c r="L56" s="323"/>
      <c r="M56" s="323"/>
      <c r="N56" s="323"/>
      <c r="O56" s="323"/>
      <c r="P56" s="323"/>
      <c r="Q56" s="323"/>
      <c r="S56" s="180"/>
      <c r="U56" s="180"/>
      <c r="W56" s="180"/>
      <c r="X56" s="180"/>
      <c r="Y56" s="180"/>
      <c r="AJ56" s="111"/>
      <c r="AK56" s="111"/>
      <c r="AL56" s="111"/>
      <c r="AM56" s="111"/>
      <c r="AN56" s="111"/>
      <c r="AO56" s="111"/>
      <c r="AP56" s="111"/>
      <c r="AQ56" s="111"/>
      <c r="AR56" s="531"/>
      <c r="AS56" s="531"/>
      <c r="AT56" s="531"/>
      <c r="AU56" s="531"/>
      <c r="AV56" s="531"/>
      <c r="AW56" s="531"/>
      <c r="AX56" s="531"/>
      <c r="AY56" s="531"/>
    </row>
    <row r="57" spans="1:120">
      <c r="A57" s="89" t="s">
        <v>1302</v>
      </c>
      <c r="C57" s="411" t="s">
        <v>1731</v>
      </c>
      <c r="G57" s="179" t="s">
        <v>1731</v>
      </c>
      <c r="K57" s="412" t="s">
        <v>1731</v>
      </c>
      <c r="L57" s="323"/>
      <c r="M57" s="323"/>
      <c r="N57" s="323"/>
      <c r="O57" s="343" t="str">
        <f>K57</f>
        <v>y</v>
      </c>
      <c r="P57" s="323"/>
      <c r="Q57" s="323"/>
      <c r="S57" s="411" t="s">
        <v>1642</v>
      </c>
      <c r="U57" s="180"/>
      <c r="W57" s="179" t="str">
        <f>S57</f>
        <v>n</v>
      </c>
      <c r="X57" s="180"/>
      <c r="Y57" s="180"/>
      <c r="AJ57" s="512" t="s">
        <v>1731</v>
      </c>
      <c r="AK57" s="111"/>
      <c r="AL57" s="111"/>
      <c r="AM57" s="111"/>
      <c r="AN57" s="513" t="str">
        <f>AJ57</f>
        <v>y</v>
      </c>
      <c r="AO57" s="111"/>
      <c r="AP57" s="111"/>
      <c r="AQ57" s="111"/>
      <c r="AR57" s="570" t="s">
        <v>1731</v>
      </c>
      <c r="AS57" s="531"/>
      <c r="AT57" s="531"/>
      <c r="AU57" s="531"/>
      <c r="AV57" s="571" t="str">
        <f>AR57</f>
        <v>y</v>
      </c>
      <c r="AW57" s="531"/>
      <c r="AX57" s="531"/>
      <c r="AY57" s="531"/>
      <c r="AZ57" s="729" t="s">
        <v>1731</v>
      </c>
      <c r="BD57" s="171" t="str">
        <f>AZ57</f>
        <v>y</v>
      </c>
      <c r="BH57" s="744" t="s">
        <v>1731</v>
      </c>
      <c r="BL57" s="745" t="str">
        <f>BH57</f>
        <v>y</v>
      </c>
      <c r="BP57" s="760" t="s">
        <v>1731</v>
      </c>
      <c r="BT57" s="761" t="str">
        <f>BP57</f>
        <v>y</v>
      </c>
      <c r="CD57" s="121" t="e">
        <f>CD42*0.04</f>
        <v>#REF!</v>
      </c>
      <c r="CF57" s="121" t="e">
        <f>CF42*0.05</f>
        <v>#REF!</v>
      </c>
    </row>
    <row r="58" spans="1:120">
      <c r="A58" s="47" t="s">
        <v>1303</v>
      </c>
      <c r="CD58" s="121" t="e">
        <f>CD43*80</f>
        <v>#REF!</v>
      </c>
      <c r="CF58" s="121" t="e">
        <f>'Ch41 Calc Data'!#REF!*100</f>
        <v>#REF!</v>
      </c>
    </row>
    <row r="59" spans="1:120">
      <c r="A59" s="109" t="s">
        <v>1275</v>
      </c>
    </row>
    <row r="60" spans="1:120">
      <c r="A60" s="109"/>
    </row>
    <row r="61" spans="1:120">
      <c r="A61" s="109" t="s">
        <v>3068</v>
      </c>
    </row>
    <row r="62" spans="1:120">
      <c r="A62" s="97" t="s">
        <v>3069</v>
      </c>
    </row>
    <row r="63" spans="1:120">
      <c r="A63" s="97"/>
      <c r="C63" s="179" t="s">
        <v>1345</v>
      </c>
      <c r="O63" s="343" t="s">
        <v>2939</v>
      </c>
      <c r="Q63" s="343" t="s">
        <v>2371</v>
      </c>
      <c r="Z63" s="179" t="s">
        <v>2939</v>
      </c>
      <c r="AA63" s="180"/>
      <c r="AB63" s="179" t="s">
        <v>2372</v>
      </c>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row>
    <row r="64" spans="1:120">
      <c r="A64" s="97"/>
      <c r="C64" s="180" t="s">
        <v>1620</v>
      </c>
      <c r="L64" s="190"/>
      <c r="M64" s="190"/>
      <c r="N64" s="190"/>
      <c r="O64" s="323" t="s">
        <v>1620</v>
      </c>
      <c r="P64" s="323"/>
      <c r="Q64" s="323"/>
      <c r="R64" s="323"/>
      <c r="S64" s="323"/>
      <c r="T64" s="323"/>
      <c r="U64" s="323"/>
      <c r="V64" s="323"/>
      <c r="W64" s="323"/>
      <c r="Z64" s="180" t="s">
        <v>1620</v>
      </c>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row>
    <row r="65" spans="1:74">
      <c r="A65" s="97"/>
      <c r="C65" s="180" t="s">
        <v>1952</v>
      </c>
      <c r="O65" s="323" t="s">
        <v>2993</v>
      </c>
      <c r="P65" s="323"/>
      <c r="Q65" s="323"/>
      <c r="R65" s="323"/>
      <c r="S65" s="323"/>
      <c r="T65" s="323"/>
      <c r="U65" s="323"/>
      <c r="V65" s="323"/>
      <c r="W65" s="323"/>
      <c r="Z65" s="180" t="s">
        <v>2993</v>
      </c>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row>
    <row r="66" spans="1:74">
      <c r="A66" s="97"/>
      <c r="C66" s="180" t="s">
        <v>1621</v>
      </c>
      <c r="O66" s="323" t="s">
        <v>1621</v>
      </c>
      <c r="P66" s="323"/>
      <c r="Q66" s="323"/>
      <c r="R66" s="323"/>
      <c r="S66" s="323"/>
      <c r="T66" s="323"/>
      <c r="U66" s="323"/>
      <c r="V66" s="323"/>
      <c r="W66" s="323"/>
      <c r="Z66" s="180" t="s">
        <v>1621</v>
      </c>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row>
    <row r="67" spans="1:74">
      <c r="A67" s="97"/>
      <c r="O67" s="323"/>
      <c r="P67" s="323"/>
      <c r="Q67" s="323"/>
      <c r="R67" s="323"/>
      <c r="S67" s="323"/>
      <c r="T67" s="323"/>
      <c r="U67" s="323"/>
      <c r="V67" s="323"/>
      <c r="W67" s="323"/>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row>
    <row r="68" spans="1:74">
      <c r="A68" s="97"/>
      <c r="E68" s="190" t="s">
        <v>1622</v>
      </c>
      <c r="G68" s="190" t="s">
        <v>1623</v>
      </c>
      <c r="I68" s="190" t="s">
        <v>683</v>
      </c>
      <c r="J68" s="190"/>
      <c r="O68" s="323"/>
      <c r="P68" s="323"/>
      <c r="Q68" s="325" t="s">
        <v>1622</v>
      </c>
      <c r="R68" s="323"/>
      <c r="S68" s="325" t="s">
        <v>1623</v>
      </c>
      <c r="T68" s="323"/>
      <c r="U68" s="325" t="s">
        <v>683</v>
      </c>
      <c r="V68" s="325"/>
      <c r="W68" s="325" t="s">
        <v>684</v>
      </c>
      <c r="Z68" s="180"/>
      <c r="AA68" s="180"/>
      <c r="AB68" s="190" t="s">
        <v>1622</v>
      </c>
      <c r="AC68" s="180"/>
      <c r="AD68" s="190" t="s">
        <v>1623</v>
      </c>
      <c r="AE68" s="180"/>
      <c r="AF68" s="190" t="s">
        <v>683</v>
      </c>
      <c r="AG68" s="190"/>
      <c r="AH68" s="190" t="s">
        <v>684</v>
      </c>
      <c r="AI68" s="190"/>
      <c r="AJ68" s="190"/>
      <c r="AK68" s="190"/>
      <c r="AL68" s="190"/>
      <c r="AM68" s="190"/>
      <c r="AN68" s="190"/>
      <c r="AO68" s="190"/>
      <c r="AP68" s="190"/>
      <c r="AQ68" s="190"/>
      <c r="AR68" s="190"/>
      <c r="AS68" s="190"/>
      <c r="AT68" s="190"/>
      <c r="AU68" s="190"/>
      <c r="AV68" s="190"/>
      <c r="AW68" s="190"/>
      <c r="AX68" s="190"/>
      <c r="AY68" s="190"/>
      <c r="AZ68" s="600"/>
      <c r="BA68" s="600"/>
      <c r="BB68" s="600"/>
      <c r="BC68" s="600"/>
      <c r="BD68" s="600"/>
      <c r="BE68" s="600"/>
      <c r="BF68" s="600"/>
      <c r="BG68" s="600"/>
      <c r="BH68" s="619"/>
      <c r="BI68" s="619"/>
      <c r="BJ68" s="619"/>
      <c r="BK68" s="619"/>
      <c r="BL68" s="619"/>
      <c r="BM68" s="619"/>
      <c r="BN68" s="619"/>
      <c r="BO68" s="619"/>
      <c r="BP68" s="637"/>
      <c r="BQ68" s="637"/>
      <c r="BR68" s="637"/>
      <c r="BS68" s="637"/>
      <c r="BT68" s="637"/>
      <c r="BU68" s="637"/>
      <c r="BV68" s="637"/>
    </row>
    <row r="69" spans="1:74">
      <c r="A69" s="97"/>
      <c r="C69" s="263" t="s">
        <v>676</v>
      </c>
      <c r="E69" s="402">
        <v>0</v>
      </c>
      <c r="F69" s="259"/>
      <c r="G69" s="264">
        <v>0</v>
      </c>
      <c r="H69" s="260"/>
      <c r="I69" s="221">
        <f t="shared" ref="I69:I74" si="0">IF(E69=0,0,$C$44-G69)</f>
        <v>0</v>
      </c>
      <c r="J69" s="260"/>
      <c r="O69" s="389" t="s">
        <v>676</v>
      </c>
      <c r="P69" s="323"/>
      <c r="Q69" s="404">
        <v>0</v>
      </c>
      <c r="R69" s="392"/>
      <c r="S69" s="390">
        <v>0</v>
      </c>
      <c r="T69" s="394"/>
      <c r="U69" s="415">
        <f t="shared" ref="U69:U74" si="1">IF(Q69=0,0,$K$44-S69)</f>
        <v>0</v>
      </c>
      <c r="V69" s="394"/>
      <c r="W69" s="335">
        <f t="shared" ref="W69:W74" si="2">Q69*U69</f>
        <v>0</v>
      </c>
      <c r="Z69" s="263" t="s">
        <v>676</v>
      </c>
      <c r="AA69" s="180"/>
      <c r="AB69" s="402">
        <v>0</v>
      </c>
      <c r="AC69" s="259"/>
      <c r="AD69" s="264">
        <v>0</v>
      </c>
      <c r="AE69" s="259"/>
      <c r="AF69" s="452">
        <f t="shared" ref="AF69:AF74" si="3">IF(AB69=0,0,$S$44-AD69)</f>
        <v>0</v>
      </c>
      <c r="AG69" s="259"/>
      <c r="AH69" s="221">
        <f t="shared" ref="AH69:AH74" si="4">AB69*AF69</f>
        <v>0</v>
      </c>
      <c r="AI69" s="223"/>
      <c r="AJ69" s="223"/>
      <c r="AK69" s="223"/>
      <c r="AL69" s="223"/>
      <c r="AM69" s="223"/>
      <c r="AN69" s="223"/>
      <c r="AO69" s="223"/>
      <c r="AP69" s="223"/>
      <c r="AQ69" s="223"/>
      <c r="AR69" s="223"/>
      <c r="AS69" s="223"/>
      <c r="AT69" s="223"/>
      <c r="AU69" s="223"/>
      <c r="AV69" s="223"/>
      <c r="AW69" s="223"/>
      <c r="AX69" s="223"/>
      <c r="AY69" s="223"/>
      <c r="AZ69" s="724"/>
      <c r="BA69" s="724"/>
      <c r="BB69" s="724"/>
      <c r="BC69" s="724"/>
      <c r="BD69" s="724"/>
      <c r="BE69" s="724"/>
      <c r="BF69" s="724"/>
      <c r="BG69" s="724"/>
      <c r="BH69" s="738"/>
      <c r="BI69" s="738"/>
      <c r="BJ69" s="738"/>
      <c r="BK69" s="738"/>
      <c r="BL69" s="738"/>
      <c r="BM69" s="738"/>
      <c r="BN69" s="738"/>
      <c r="BO69" s="738"/>
      <c r="BP69" s="754"/>
      <c r="BQ69" s="754"/>
      <c r="BR69" s="754"/>
      <c r="BS69" s="754"/>
      <c r="BT69" s="754"/>
      <c r="BU69" s="754"/>
      <c r="BV69" s="754"/>
    </row>
    <row r="70" spans="1:74">
      <c r="A70" s="97"/>
      <c r="C70" s="263" t="s">
        <v>677</v>
      </c>
      <c r="E70" s="402">
        <v>0</v>
      </c>
      <c r="F70" s="259"/>
      <c r="G70" s="264">
        <v>0</v>
      </c>
      <c r="H70" s="261"/>
      <c r="I70" s="221">
        <f t="shared" si="0"/>
        <v>0</v>
      </c>
      <c r="J70" s="261"/>
      <c r="O70" s="389" t="s">
        <v>677</v>
      </c>
      <c r="P70" s="323"/>
      <c r="Q70" s="404">
        <v>0</v>
      </c>
      <c r="R70" s="392"/>
      <c r="S70" s="390">
        <v>0</v>
      </c>
      <c r="T70" s="395"/>
      <c r="U70" s="415">
        <f t="shared" si="1"/>
        <v>0</v>
      </c>
      <c r="V70" s="395"/>
      <c r="W70" s="335">
        <f t="shared" si="2"/>
        <v>0</v>
      </c>
      <c r="Z70" s="263" t="s">
        <v>677</v>
      </c>
      <c r="AA70" s="180"/>
      <c r="AB70" s="402">
        <v>0</v>
      </c>
      <c r="AC70" s="259"/>
      <c r="AD70" s="264">
        <v>0</v>
      </c>
      <c r="AE70" s="259"/>
      <c r="AF70" s="452">
        <f t="shared" si="3"/>
        <v>0</v>
      </c>
      <c r="AG70" s="259"/>
      <c r="AH70" s="221">
        <f t="shared" si="4"/>
        <v>0</v>
      </c>
      <c r="AI70" s="223"/>
      <c r="AJ70" s="223"/>
      <c r="AK70" s="223"/>
      <c r="AL70" s="223"/>
      <c r="AM70" s="223"/>
      <c r="AN70" s="223"/>
      <c r="AO70" s="223"/>
      <c r="AP70" s="223"/>
      <c r="AQ70" s="223"/>
      <c r="AR70" s="223"/>
      <c r="AS70" s="223"/>
      <c r="AT70" s="223"/>
      <c r="AU70" s="223"/>
      <c r="AV70" s="223"/>
      <c r="AW70" s="223"/>
      <c r="AX70" s="223"/>
      <c r="AY70" s="223"/>
      <c r="AZ70" s="724"/>
      <c r="BA70" s="724"/>
      <c r="BB70" s="724"/>
      <c r="BC70" s="724"/>
      <c r="BD70" s="724"/>
      <c r="BE70" s="724"/>
      <c r="BF70" s="724"/>
      <c r="BG70" s="724"/>
      <c r="BH70" s="738"/>
      <c r="BI70" s="738"/>
      <c r="BJ70" s="738"/>
      <c r="BK70" s="738"/>
      <c r="BL70" s="738"/>
      <c r="BM70" s="738"/>
      <c r="BN70" s="738"/>
      <c r="BO70" s="738"/>
      <c r="BP70" s="754"/>
      <c r="BQ70" s="754"/>
      <c r="BR70" s="754"/>
      <c r="BS70" s="754"/>
      <c r="BT70" s="754"/>
      <c r="BU70" s="754"/>
      <c r="BV70" s="754"/>
    </row>
    <row r="71" spans="1:74">
      <c r="A71" s="97"/>
      <c r="C71" s="263" t="s">
        <v>678</v>
      </c>
      <c r="E71" s="402">
        <v>0</v>
      </c>
      <c r="F71" s="259"/>
      <c r="G71" s="264">
        <v>0</v>
      </c>
      <c r="H71" s="261"/>
      <c r="I71" s="221">
        <f t="shared" si="0"/>
        <v>0</v>
      </c>
      <c r="J71" s="261"/>
      <c r="O71" s="389" t="s">
        <v>678</v>
      </c>
      <c r="P71" s="323"/>
      <c r="Q71" s="404">
        <v>0</v>
      </c>
      <c r="R71" s="392"/>
      <c r="S71" s="390">
        <v>0</v>
      </c>
      <c r="T71" s="395"/>
      <c r="U71" s="415">
        <f t="shared" si="1"/>
        <v>0</v>
      </c>
      <c r="V71" s="395"/>
      <c r="W71" s="335">
        <f t="shared" si="2"/>
        <v>0</v>
      </c>
      <c r="Z71" s="263" t="s">
        <v>678</v>
      </c>
      <c r="AA71" s="180"/>
      <c r="AB71" s="402">
        <v>0</v>
      </c>
      <c r="AC71" s="259"/>
      <c r="AD71" s="264">
        <v>0</v>
      </c>
      <c r="AE71" s="259"/>
      <c r="AF71" s="452">
        <f t="shared" si="3"/>
        <v>0</v>
      </c>
      <c r="AG71" s="259"/>
      <c r="AH71" s="221">
        <f t="shared" si="4"/>
        <v>0</v>
      </c>
      <c r="AI71" s="223"/>
      <c r="AJ71" s="223"/>
      <c r="AK71" s="223"/>
      <c r="AL71" s="223"/>
      <c r="AM71" s="223"/>
      <c r="AN71" s="223"/>
      <c r="AO71" s="223"/>
      <c r="AP71" s="223"/>
      <c r="AQ71" s="223"/>
      <c r="AR71" s="223"/>
      <c r="AS71" s="223"/>
      <c r="AT71" s="223"/>
      <c r="AU71" s="223"/>
      <c r="AV71" s="223"/>
      <c r="AW71" s="223"/>
      <c r="AX71" s="223"/>
      <c r="AY71" s="223"/>
      <c r="AZ71" s="724"/>
      <c r="BA71" s="724"/>
      <c r="BB71" s="724"/>
      <c r="BC71" s="724"/>
      <c r="BD71" s="724"/>
      <c r="BE71" s="724"/>
      <c r="BF71" s="724"/>
      <c r="BG71" s="724"/>
      <c r="BH71" s="738"/>
      <c r="BI71" s="738"/>
      <c r="BJ71" s="738"/>
      <c r="BK71" s="738"/>
      <c r="BL71" s="738"/>
      <c r="BM71" s="738"/>
      <c r="BN71" s="738"/>
      <c r="BO71" s="738"/>
      <c r="BP71" s="754"/>
      <c r="BQ71" s="754"/>
      <c r="BR71" s="754"/>
      <c r="BS71" s="754"/>
      <c r="BT71" s="754"/>
      <c r="BU71" s="754"/>
      <c r="BV71" s="754"/>
    </row>
    <row r="72" spans="1:74">
      <c r="A72" s="97"/>
      <c r="C72" s="263" t="s">
        <v>679</v>
      </c>
      <c r="E72" s="402">
        <v>0</v>
      </c>
      <c r="F72" s="259"/>
      <c r="G72" s="264">
        <v>0</v>
      </c>
      <c r="H72" s="261"/>
      <c r="I72" s="221">
        <f t="shared" si="0"/>
        <v>0</v>
      </c>
      <c r="J72" s="261"/>
      <c r="O72" s="389" t="s">
        <v>679</v>
      </c>
      <c r="P72" s="323"/>
      <c r="Q72" s="404">
        <v>0</v>
      </c>
      <c r="R72" s="392"/>
      <c r="S72" s="390">
        <v>0</v>
      </c>
      <c r="T72" s="395"/>
      <c r="U72" s="415">
        <f t="shared" si="1"/>
        <v>0</v>
      </c>
      <c r="V72" s="395"/>
      <c r="W72" s="335">
        <f t="shared" si="2"/>
        <v>0</v>
      </c>
      <c r="Z72" s="263" t="s">
        <v>679</v>
      </c>
      <c r="AA72" s="180"/>
      <c r="AB72" s="402">
        <v>0</v>
      </c>
      <c r="AC72" s="259"/>
      <c r="AD72" s="264">
        <v>0</v>
      </c>
      <c r="AE72" s="259"/>
      <c r="AF72" s="452">
        <f t="shared" si="3"/>
        <v>0</v>
      </c>
      <c r="AG72" s="259"/>
      <c r="AH72" s="221">
        <f t="shared" si="4"/>
        <v>0</v>
      </c>
      <c r="AI72" s="223"/>
      <c r="AJ72" s="223"/>
      <c r="AK72" s="223"/>
      <c r="AL72" s="223"/>
      <c r="AM72" s="223"/>
      <c r="AN72" s="223"/>
      <c r="AO72" s="223"/>
      <c r="AP72" s="223"/>
      <c r="AQ72" s="223"/>
      <c r="AR72" s="223"/>
      <c r="AS72" s="223"/>
      <c r="AT72" s="223"/>
      <c r="AU72" s="223"/>
      <c r="AV72" s="223"/>
      <c r="AW72" s="223"/>
      <c r="AX72" s="223"/>
      <c r="AY72" s="223"/>
      <c r="AZ72" s="724"/>
      <c r="BA72" s="724"/>
      <c r="BB72" s="724"/>
      <c r="BC72" s="724"/>
      <c r="BD72" s="724"/>
      <c r="BE72" s="724"/>
      <c r="BF72" s="724"/>
      <c r="BG72" s="724"/>
      <c r="BH72" s="738"/>
      <c r="BI72" s="738"/>
      <c r="BJ72" s="738"/>
      <c r="BK72" s="738"/>
      <c r="BL72" s="738"/>
      <c r="BM72" s="738"/>
      <c r="BN72" s="738"/>
      <c r="BO72" s="738"/>
      <c r="BP72" s="754"/>
      <c r="BQ72" s="754"/>
      <c r="BR72" s="754"/>
      <c r="BS72" s="754"/>
      <c r="BT72" s="754"/>
      <c r="BU72" s="754"/>
      <c r="BV72" s="754"/>
    </row>
    <row r="73" spans="1:74">
      <c r="A73" s="97"/>
      <c r="C73" s="263" t="s">
        <v>680</v>
      </c>
      <c r="E73" s="402">
        <v>0</v>
      </c>
      <c r="F73" s="259"/>
      <c r="G73" s="264">
        <v>0</v>
      </c>
      <c r="H73" s="261"/>
      <c r="I73" s="221">
        <f t="shared" si="0"/>
        <v>0</v>
      </c>
      <c r="J73" s="261"/>
      <c r="L73" s="263"/>
      <c r="M73" s="263"/>
      <c r="N73" s="263"/>
      <c r="O73" s="389" t="s">
        <v>680</v>
      </c>
      <c r="P73" s="323"/>
      <c r="Q73" s="404">
        <v>0</v>
      </c>
      <c r="R73" s="392"/>
      <c r="S73" s="390">
        <v>0</v>
      </c>
      <c r="T73" s="395"/>
      <c r="U73" s="415">
        <f t="shared" si="1"/>
        <v>0</v>
      </c>
      <c r="V73" s="395"/>
      <c r="W73" s="335">
        <f t="shared" si="2"/>
        <v>0</v>
      </c>
      <c r="Z73" s="263" t="s">
        <v>680</v>
      </c>
      <c r="AA73" s="180"/>
      <c r="AB73" s="402">
        <v>0</v>
      </c>
      <c r="AC73" s="259"/>
      <c r="AD73" s="264">
        <v>0</v>
      </c>
      <c r="AE73" s="259"/>
      <c r="AF73" s="452">
        <f t="shared" si="3"/>
        <v>0</v>
      </c>
      <c r="AG73" s="259"/>
      <c r="AH73" s="221">
        <f t="shared" si="4"/>
        <v>0</v>
      </c>
      <c r="AI73" s="223"/>
      <c r="AJ73" s="223"/>
      <c r="AK73" s="223"/>
      <c r="AL73" s="223"/>
      <c r="AM73" s="223"/>
      <c r="AN73" s="223"/>
      <c r="AO73" s="223"/>
      <c r="AP73" s="223"/>
      <c r="AQ73" s="223"/>
      <c r="AR73" s="223"/>
      <c r="AS73" s="223"/>
      <c r="AT73" s="223"/>
      <c r="AU73" s="223"/>
      <c r="AV73" s="223"/>
      <c r="AW73" s="223"/>
      <c r="AX73" s="223"/>
      <c r="AY73" s="223"/>
      <c r="AZ73" s="724"/>
      <c r="BA73" s="724"/>
      <c r="BB73" s="724"/>
      <c r="BC73" s="724"/>
      <c r="BD73" s="724"/>
      <c r="BE73" s="724"/>
      <c r="BF73" s="724"/>
      <c r="BG73" s="724"/>
      <c r="BH73" s="738"/>
      <c r="BI73" s="738"/>
      <c r="BJ73" s="738"/>
      <c r="BK73" s="738"/>
      <c r="BL73" s="738"/>
      <c r="BM73" s="738"/>
      <c r="BN73" s="738"/>
      <c r="BO73" s="738"/>
      <c r="BP73" s="754"/>
      <c r="BQ73" s="754"/>
      <c r="BR73" s="754"/>
      <c r="BS73" s="754"/>
      <c r="BT73" s="754"/>
      <c r="BU73" s="754"/>
      <c r="BV73" s="754"/>
    </row>
    <row r="74" spans="1:74">
      <c r="A74" s="97"/>
      <c r="C74" s="263" t="s">
        <v>681</v>
      </c>
      <c r="E74" s="403">
        <v>0</v>
      </c>
      <c r="F74" s="259"/>
      <c r="G74" s="264">
        <v>0</v>
      </c>
      <c r="H74" s="262"/>
      <c r="I74" s="221">
        <f t="shared" si="0"/>
        <v>0</v>
      </c>
      <c r="J74" s="262"/>
      <c r="O74" s="389" t="s">
        <v>681</v>
      </c>
      <c r="P74" s="323"/>
      <c r="Q74" s="405">
        <v>0</v>
      </c>
      <c r="R74" s="392"/>
      <c r="S74" s="390">
        <v>0</v>
      </c>
      <c r="T74" s="393"/>
      <c r="U74" s="415">
        <f t="shared" si="1"/>
        <v>0</v>
      </c>
      <c r="V74" s="393"/>
      <c r="W74" s="335">
        <f t="shared" si="2"/>
        <v>0</v>
      </c>
      <c r="Z74" s="263" t="s">
        <v>681</v>
      </c>
      <c r="AA74" s="180"/>
      <c r="AB74" s="403">
        <v>0</v>
      </c>
      <c r="AC74" s="259"/>
      <c r="AD74" s="264">
        <v>0</v>
      </c>
      <c r="AE74" s="259"/>
      <c r="AF74" s="452">
        <f t="shared" si="3"/>
        <v>0</v>
      </c>
      <c r="AG74" s="259"/>
      <c r="AH74" s="221">
        <f t="shared" si="4"/>
        <v>0</v>
      </c>
      <c r="AI74" s="223"/>
      <c r="AJ74" s="223"/>
      <c r="AK74" s="223"/>
      <c r="AL74" s="223"/>
      <c r="AM74" s="223"/>
      <c r="AN74" s="223"/>
      <c r="AO74" s="223"/>
      <c r="AP74" s="223"/>
      <c r="AQ74" s="223"/>
      <c r="AR74" s="223"/>
      <c r="AS74" s="223"/>
      <c r="AT74" s="223"/>
      <c r="AU74" s="223"/>
      <c r="AV74" s="223"/>
      <c r="AW74" s="223"/>
      <c r="AX74" s="223"/>
      <c r="AY74" s="223"/>
      <c r="AZ74" s="724"/>
      <c r="BA74" s="724"/>
      <c r="BB74" s="724"/>
      <c r="BC74" s="724"/>
      <c r="BD74" s="724"/>
      <c r="BE74" s="724"/>
      <c r="BF74" s="724"/>
      <c r="BG74" s="724"/>
      <c r="BH74" s="738"/>
      <c r="BI74" s="738"/>
      <c r="BJ74" s="738"/>
      <c r="BK74" s="738"/>
      <c r="BL74" s="738"/>
      <c r="BM74" s="738"/>
      <c r="BN74" s="738"/>
      <c r="BO74" s="738"/>
      <c r="BP74" s="754"/>
      <c r="BQ74" s="754"/>
      <c r="BR74" s="754"/>
      <c r="BS74" s="754"/>
      <c r="BT74" s="754"/>
      <c r="BU74" s="754"/>
      <c r="BV74" s="754"/>
    </row>
    <row r="75" spans="1:74">
      <c r="A75" s="97"/>
      <c r="C75" s="263" t="s">
        <v>682</v>
      </c>
      <c r="E75" s="227">
        <f>SUM(E69:E74)</f>
        <v>0</v>
      </c>
      <c r="F75" s="262"/>
      <c r="G75" s="363"/>
      <c r="H75" s="363"/>
      <c r="I75" s="363"/>
      <c r="J75" s="363"/>
      <c r="L75" s="263"/>
      <c r="M75" s="263"/>
      <c r="N75" s="263"/>
      <c r="O75" s="389" t="s">
        <v>682</v>
      </c>
      <c r="P75" s="323"/>
      <c r="Q75" s="338">
        <f>SUM(Q69:Q74)</f>
        <v>0</v>
      </c>
      <c r="R75" s="393"/>
      <c r="S75" s="396"/>
      <c r="T75" s="396"/>
      <c r="U75" s="396"/>
      <c r="V75" s="396"/>
      <c r="W75" s="397"/>
      <c r="Z75" s="263" t="s">
        <v>682</v>
      </c>
      <c r="AA75" s="180"/>
      <c r="AB75" s="227">
        <f>SUM(AB69:AB74)</f>
        <v>0</v>
      </c>
      <c r="AC75" s="262"/>
      <c r="AD75" s="363"/>
      <c r="AE75" s="262"/>
      <c r="AF75" s="363"/>
      <c r="AG75" s="262"/>
      <c r="AH75" s="453"/>
      <c r="AI75" s="223"/>
      <c r="AJ75" s="223"/>
      <c r="AK75" s="223"/>
      <c r="AL75" s="223"/>
      <c r="AM75" s="223"/>
      <c r="AN75" s="223"/>
      <c r="AO75" s="223"/>
      <c r="AP75" s="223"/>
      <c r="AQ75" s="223"/>
      <c r="AR75" s="223"/>
      <c r="AS75" s="223"/>
      <c r="AT75" s="223"/>
      <c r="AU75" s="223"/>
      <c r="AV75" s="223"/>
      <c r="AW75" s="223"/>
      <c r="AX75" s="223"/>
      <c r="AY75" s="223"/>
      <c r="AZ75" s="724"/>
      <c r="BA75" s="724"/>
      <c r="BB75" s="724"/>
      <c r="BC75" s="724"/>
      <c r="BD75" s="724"/>
      <c r="BE75" s="724"/>
      <c r="BF75" s="724"/>
      <c r="BG75" s="724"/>
      <c r="BH75" s="738"/>
      <c r="BI75" s="738"/>
      <c r="BJ75" s="738"/>
      <c r="BK75" s="738"/>
      <c r="BL75" s="738"/>
      <c r="BM75" s="738"/>
      <c r="BN75" s="738"/>
      <c r="BO75" s="738"/>
      <c r="BP75" s="754"/>
      <c r="BQ75" s="754"/>
      <c r="BR75" s="754"/>
      <c r="BS75" s="754"/>
      <c r="BT75" s="754"/>
      <c r="BU75" s="754"/>
      <c r="BV75" s="754"/>
    </row>
    <row r="76" spans="1:74">
      <c r="A76" s="97"/>
      <c r="L76" s="263"/>
      <c r="M76" s="263"/>
      <c r="N76" s="263"/>
      <c r="O76" s="323"/>
      <c r="P76" s="323"/>
      <c r="Q76" s="323"/>
      <c r="R76" s="323"/>
      <c r="S76" s="323"/>
      <c r="T76" s="323"/>
      <c r="U76" s="323"/>
      <c r="V76" s="323"/>
      <c r="W76" s="323"/>
      <c r="Z76" s="180"/>
      <c r="AA76" s="180"/>
      <c r="AB76" s="180"/>
      <c r="AC76" s="180"/>
      <c r="AD76" s="180"/>
      <c r="AE76" s="180"/>
      <c r="AF76" s="180"/>
      <c r="AG76" s="180"/>
      <c r="AH76" s="180"/>
      <c r="AI76" s="223"/>
      <c r="AJ76" s="223"/>
      <c r="AK76" s="223"/>
      <c r="AL76" s="223"/>
      <c r="AM76" s="223"/>
      <c r="AN76" s="223"/>
      <c r="AO76" s="223"/>
      <c r="AP76" s="223"/>
      <c r="AQ76" s="223"/>
      <c r="AR76" s="223"/>
      <c r="AS76" s="223"/>
      <c r="AT76" s="223"/>
      <c r="AU76" s="223"/>
      <c r="AV76" s="223"/>
      <c r="AW76" s="223"/>
      <c r="AX76" s="223"/>
      <c r="AY76" s="223"/>
      <c r="AZ76" s="724"/>
      <c r="BA76" s="724"/>
      <c r="BB76" s="724"/>
      <c r="BC76" s="724"/>
      <c r="BD76" s="724"/>
      <c r="BE76" s="724"/>
      <c r="BF76" s="724"/>
      <c r="BG76" s="724"/>
      <c r="BH76" s="738"/>
      <c r="BI76" s="738"/>
      <c r="BJ76" s="738"/>
      <c r="BK76" s="738"/>
      <c r="BL76" s="738"/>
      <c r="BM76" s="738"/>
      <c r="BN76" s="738"/>
      <c r="BO76" s="738"/>
      <c r="BP76" s="754"/>
      <c r="BQ76" s="754"/>
      <c r="BR76" s="754"/>
      <c r="BS76" s="754"/>
      <c r="BT76" s="754"/>
      <c r="BU76" s="754"/>
      <c r="BV76" s="754"/>
    </row>
    <row r="77" spans="1:74">
      <c r="A77" s="97"/>
      <c r="I77" s="263" t="s">
        <v>2947</v>
      </c>
      <c r="J77" s="263"/>
      <c r="L77" s="263"/>
      <c r="M77" s="263"/>
      <c r="N77" s="263"/>
      <c r="O77" s="323"/>
      <c r="P77" s="323"/>
      <c r="Q77" s="323"/>
      <c r="R77" s="323"/>
      <c r="S77" s="323"/>
      <c r="T77" s="323"/>
      <c r="U77" s="389" t="s">
        <v>2947</v>
      </c>
      <c r="V77" s="389"/>
      <c r="W77" s="360">
        <f>SUM(W69:W74)</f>
        <v>0</v>
      </c>
      <c r="Z77" s="180"/>
      <c r="AA77" s="180"/>
      <c r="AB77" s="180"/>
      <c r="AC77" s="180"/>
      <c r="AD77" s="180"/>
      <c r="AE77" s="180"/>
      <c r="AF77" s="263" t="s">
        <v>2947</v>
      </c>
      <c r="AG77" s="263"/>
      <c r="AH77" s="197">
        <f>SUM(AH69:AH74)</f>
        <v>0</v>
      </c>
      <c r="AI77" s="223"/>
      <c r="AJ77" s="223"/>
      <c r="AK77" s="223"/>
      <c r="AL77" s="223"/>
      <c r="AM77" s="223"/>
      <c r="AN77" s="223"/>
      <c r="AO77" s="223"/>
      <c r="AP77" s="223"/>
      <c r="AQ77" s="223"/>
      <c r="AR77" s="223"/>
      <c r="AS77" s="223"/>
      <c r="AT77" s="223"/>
      <c r="AU77" s="223"/>
      <c r="AV77" s="223"/>
      <c r="AW77" s="223"/>
      <c r="AX77" s="223"/>
      <c r="AY77" s="223"/>
      <c r="AZ77" s="724"/>
      <c r="BA77" s="724"/>
      <c r="BB77" s="724"/>
      <c r="BC77" s="724"/>
      <c r="BD77" s="724"/>
      <c r="BE77" s="724"/>
      <c r="BF77" s="724"/>
      <c r="BG77" s="724"/>
      <c r="BH77" s="738"/>
      <c r="BI77" s="738"/>
      <c r="BJ77" s="738"/>
      <c r="BK77" s="738"/>
      <c r="BL77" s="738"/>
      <c r="BM77" s="738"/>
      <c r="BN77" s="738"/>
      <c r="BO77" s="738"/>
      <c r="BP77" s="754"/>
      <c r="BQ77" s="754"/>
      <c r="BR77" s="754"/>
      <c r="BS77" s="754"/>
      <c r="BT77" s="754"/>
      <c r="BU77" s="754"/>
      <c r="BV77" s="754"/>
    </row>
    <row r="78" spans="1:74">
      <c r="A78" s="97"/>
      <c r="L78" s="263"/>
      <c r="M78" s="263"/>
      <c r="N78" s="263"/>
      <c r="O78" s="323"/>
      <c r="P78" s="323"/>
      <c r="Q78" s="323"/>
      <c r="R78" s="323"/>
      <c r="S78" s="323"/>
      <c r="T78" s="323"/>
      <c r="U78" s="323"/>
      <c r="V78" s="323"/>
      <c r="W78" s="323"/>
      <c r="Z78" s="180"/>
      <c r="AA78" s="180"/>
      <c r="AB78" s="180"/>
      <c r="AC78" s="180"/>
      <c r="AD78" s="180"/>
      <c r="AE78" s="180"/>
      <c r="AF78" s="180"/>
      <c r="AG78" s="180"/>
      <c r="AH78" s="180"/>
      <c r="AI78" s="223"/>
      <c r="AJ78" s="223"/>
      <c r="AK78" s="223"/>
      <c r="AL78" s="223"/>
      <c r="AM78" s="223"/>
      <c r="AN78" s="223"/>
      <c r="AO78" s="223"/>
      <c r="AP78" s="223"/>
      <c r="AQ78" s="223"/>
      <c r="AR78" s="223"/>
      <c r="AS78" s="223"/>
      <c r="AT78" s="223"/>
      <c r="AU78" s="223"/>
      <c r="AV78" s="223"/>
      <c r="AW78" s="223"/>
      <c r="AX78" s="223"/>
      <c r="AY78" s="223"/>
      <c r="AZ78" s="724"/>
      <c r="BA78" s="724"/>
      <c r="BB78" s="724"/>
      <c r="BC78" s="724"/>
      <c r="BD78" s="724"/>
      <c r="BE78" s="724"/>
      <c r="BF78" s="724"/>
      <c r="BG78" s="724"/>
      <c r="BH78" s="738"/>
      <c r="BI78" s="738"/>
      <c r="BJ78" s="738"/>
      <c r="BK78" s="738"/>
      <c r="BL78" s="738"/>
      <c r="BM78" s="738"/>
      <c r="BN78" s="738"/>
      <c r="BO78" s="738"/>
      <c r="BP78" s="754"/>
      <c r="BQ78" s="754"/>
      <c r="BR78" s="754"/>
      <c r="BS78" s="754"/>
      <c r="BT78" s="754"/>
      <c r="BU78" s="754"/>
      <c r="BV78" s="754"/>
    </row>
    <row r="79" spans="1:74">
      <c r="A79" s="97"/>
      <c r="I79" s="263" t="s">
        <v>615</v>
      </c>
      <c r="J79" s="263"/>
      <c r="L79" s="263"/>
      <c r="M79" s="263"/>
      <c r="N79" s="263"/>
      <c r="O79" s="323"/>
      <c r="P79" s="323"/>
      <c r="Q79" s="323"/>
      <c r="R79" s="323"/>
      <c r="S79" s="323"/>
      <c r="T79" s="323"/>
      <c r="U79" s="389" t="s">
        <v>615</v>
      </c>
      <c r="V79" s="389"/>
      <c r="W79" s="391" t="e">
        <f>K42*0.1</f>
        <v>#REF!</v>
      </c>
      <c r="Z79" s="180"/>
      <c r="AA79" s="180"/>
      <c r="AB79" s="180"/>
      <c r="AC79" s="180"/>
      <c r="AD79" s="180"/>
      <c r="AE79" s="180"/>
      <c r="AF79" s="263" t="s">
        <v>615</v>
      </c>
      <c r="AG79" s="263"/>
      <c r="AH79" s="425" t="e">
        <f>S42*0.1</f>
        <v>#REF!</v>
      </c>
      <c r="AI79" s="223"/>
      <c r="AJ79" s="223"/>
      <c r="AK79" s="223"/>
      <c r="AL79" s="223"/>
      <c r="AM79" s="223"/>
      <c r="AN79" s="223"/>
      <c r="AO79" s="223"/>
      <c r="AP79" s="223"/>
      <c r="AQ79" s="223"/>
      <c r="AR79" s="223"/>
      <c r="AS79" s="223"/>
      <c r="AT79" s="223"/>
      <c r="AU79" s="223"/>
      <c r="AV79" s="223"/>
      <c r="AW79" s="223"/>
      <c r="AX79" s="223"/>
      <c r="AY79" s="223"/>
      <c r="AZ79" s="724"/>
      <c r="BA79" s="724"/>
      <c r="BB79" s="724"/>
      <c r="BC79" s="724"/>
      <c r="BD79" s="724"/>
      <c r="BE79" s="724"/>
      <c r="BF79" s="724"/>
      <c r="BG79" s="724"/>
      <c r="BH79" s="738"/>
      <c r="BI79" s="738"/>
      <c r="BJ79" s="738"/>
      <c r="BK79" s="738"/>
      <c r="BL79" s="738"/>
      <c r="BM79" s="738"/>
      <c r="BN79" s="738"/>
      <c r="BO79" s="738"/>
      <c r="BP79" s="754"/>
      <c r="BQ79" s="754"/>
      <c r="BR79" s="754"/>
      <c r="BS79" s="754"/>
      <c r="BT79" s="754"/>
      <c r="BU79" s="754"/>
      <c r="BV79" s="754"/>
    </row>
    <row r="80" spans="1:74">
      <c r="A80" s="97"/>
      <c r="I80" s="263"/>
      <c r="J80" s="263"/>
      <c r="L80" s="263"/>
      <c r="M80" s="263"/>
      <c r="N80" s="263"/>
      <c r="O80" s="323"/>
      <c r="P80" s="323"/>
      <c r="Q80" s="323"/>
      <c r="R80" s="323"/>
      <c r="S80" s="323"/>
      <c r="T80" s="323"/>
      <c r="U80" s="389"/>
      <c r="V80" s="389"/>
      <c r="W80" s="398"/>
      <c r="Z80" s="180"/>
      <c r="AA80" s="180"/>
      <c r="AB80" s="180"/>
      <c r="AC80" s="180"/>
      <c r="AD80" s="180"/>
      <c r="AE80" s="180"/>
      <c r="AF80" s="263"/>
      <c r="AG80" s="263"/>
      <c r="AH80" s="454"/>
      <c r="AI80" s="223"/>
      <c r="AJ80" s="223"/>
      <c r="AK80" s="223"/>
      <c r="AL80" s="223"/>
      <c r="AM80" s="223"/>
      <c r="AN80" s="223"/>
      <c r="AO80" s="223"/>
      <c r="AP80" s="223"/>
      <c r="AQ80" s="223"/>
      <c r="AR80" s="223"/>
      <c r="AS80" s="223"/>
      <c r="AT80" s="223"/>
      <c r="AU80" s="223"/>
      <c r="AV80" s="223"/>
      <c r="AW80" s="223"/>
      <c r="AX80" s="223"/>
      <c r="AY80" s="223"/>
      <c r="AZ80" s="724"/>
      <c r="BA80" s="724"/>
      <c r="BB80" s="724"/>
      <c r="BC80" s="724"/>
      <c r="BD80" s="724"/>
      <c r="BE80" s="724"/>
      <c r="BF80" s="724"/>
      <c r="BG80" s="724"/>
      <c r="BH80" s="738"/>
      <c r="BI80" s="738"/>
      <c r="BJ80" s="738"/>
      <c r="BK80" s="738"/>
      <c r="BL80" s="738"/>
      <c r="BM80" s="738"/>
      <c r="BN80" s="738"/>
      <c r="BO80" s="738"/>
      <c r="BP80" s="754"/>
      <c r="BQ80" s="754"/>
      <c r="BR80" s="754"/>
      <c r="BS80" s="754"/>
      <c r="BT80" s="754"/>
      <c r="BU80" s="754"/>
      <c r="BV80" s="754"/>
    </row>
    <row r="81" spans="1:74">
      <c r="A81" s="97"/>
      <c r="I81" s="263" t="s">
        <v>616</v>
      </c>
      <c r="J81" s="263"/>
      <c r="L81" s="263"/>
      <c r="M81" s="263"/>
      <c r="N81" s="263"/>
      <c r="O81" s="323"/>
      <c r="P81" s="323"/>
      <c r="Q81" s="323"/>
      <c r="R81" s="323"/>
      <c r="S81" s="323"/>
      <c r="T81" s="323"/>
      <c r="U81" s="389" t="s">
        <v>616</v>
      </c>
      <c r="V81" s="389"/>
      <c r="W81" s="391" t="e">
        <f>Q75*(K48/K47)</f>
        <v>#REF!</v>
      </c>
      <c r="Z81" s="180"/>
      <c r="AA81" s="180"/>
      <c r="AB81" s="180"/>
      <c r="AC81" s="180"/>
      <c r="AD81" s="180"/>
      <c r="AE81" s="180"/>
      <c r="AF81" s="263" t="s">
        <v>616</v>
      </c>
      <c r="AG81" s="263"/>
      <c r="AH81" s="425" t="e">
        <f>AB75*(S48/S47)</f>
        <v>#REF!</v>
      </c>
      <c r="AI81" s="223"/>
      <c r="AJ81" s="223"/>
      <c r="AK81" s="223"/>
      <c r="AL81" s="223"/>
      <c r="AM81" s="223"/>
      <c r="AN81" s="223"/>
      <c r="AO81" s="223"/>
      <c r="AP81" s="223"/>
      <c r="AQ81" s="223"/>
      <c r="AR81" s="223"/>
      <c r="AS81" s="223"/>
      <c r="AT81" s="223"/>
      <c r="AU81" s="223"/>
      <c r="AV81" s="223"/>
      <c r="AW81" s="223"/>
      <c r="AX81" s="223"/>
      <c r="AY81" s="223"/>
      <c r="AZ81" s="724"/>
      <c r="BA81" s="724"/>
      <c r="BB81" s="724"/>
      <c r="BC81" s="724"/>
      <c r="BD81" s="724"/>
      <c r="BE81" s="724"/>
      <c r="BF81" s="724"/>
      <c r="BG81" s="724"/>
      <c r="BH81" s="738"/>
      <c r="BI81" s="738"/>
      <c r="BJ81" s="738"/>
      <c r="BK81" s="738"/>
      <c r="BL81" s="738"/>
      <c r="BM81" s="738"/>
      <c r="BN81" s="738"/>
      <c r="BO81" s="738"/>
      <c r="BP81" s="754"/>
      <c r="BQ81" s="754"/>
      <c r="BR81" s="754"/>
      <c r="BS81" s="754"/>
      <c r="BT81" s="754"/>
      <c r="BU81" s="754"/>
      <c r="BV81" s="754"/>
    </row>
    <row r="82" spans="1:74">
      <c r="A82" s="97"/>
      <c r="I82" s="263" t="s">
        <v>2887</v>
      </c>
      <c r="J82" s="263"/>
      <c r="L82" s="263"/>
      <c r="M82" s="263"/>
      <c r="N82" s="263"/>
      <c r="O82" s="323"/>
      <c r="P82" s="323"/>
      <c r="Q82" s="323"/>
      <c r="R82" s="323"/>
      <c r="S82" s="323"/>
      <c r="T82" s="323"/>
      <c r="U82" s="389" t="s">
        <v>2887</v>
      </c>
      <c r="V82" s="389"/>
      <c r="W82" s="398"/>
      <c r="Z82" s="180"/>
      <c r="AA82" s="180"/>
      <c r="AB82" s="180"/>
      <c r="AC82" s="180"/>
      <c r="AD82" s="180"/>
      <c r="AE82" s="180"/>
      <c r="AF82" s="263" t="s">
        <v>2887</v>
      </c>
      <c r="AG82" s="263"/>
      <c r="AH82" s="454"/>
      <c r="AI82" s="223"/>
      <c r="AJ82" s="223"/>
      <c r="AK82" s="223"/>
      <c r="AL82" s="223"/>
      <c r="AM82" s="223"/>
      <c r="AN82" s="223"/>
      <c r="AO82" s="223"/>
      <c r="AP82" s="223"/>
      <c r="AQ82" s="223"/>
      <c r="AR82" s="223"/>
      <c r="AS82" s="223"/>
      <c r="AT82" s="223"/>
      <c r="AU82" s="223"/>
      <c r="AV82" s="223"/>
      <c r="AW82" s="223"/>
      <c r="AX82" s="223"/>
      <c r="AY82" s="223"/>
      <c r="AZ82" s="724"/>
      <c r="BA82" s="724"/>
      <c r="BB82" s="724"/>
      <c r="BC82" s="724"/>
      <c r="BD82" s="724"/>
      <c r="BE82" s="724"/>
      <c r="BF82" s="724"/>
      <c r="BG82" s="724"/>
      <c r="BH82" s="738"/>
      <c r="BI82" s="738"/>
      <c r="BJ82" s="738"/>
      <c r="BK82" s="738"/>
      <c r="BL82" s="738"/>
      <c r="BM82" s="738"/>
      <c r="BN82" s="738"/>
      <c r="BO82" s="738"/>
      <c r="BP82" s="754"/>
      <c r="BQ82" s="754"/>
      <c r="BR82" s="754"/>
      <c r="BS82" s="754"/>
      <c r="BT82" s="754"/>
      <c r="BU82" s="754"/>
      <c r="BV82" s="754"/>
    </row>
    <row r="83" spans="1:74">
      <c r="A83" s="97"/>
      <c r="I83" s="263" t="s">
        <v>1048</v>
      </c>
      <c r="J83" s="263"/>
      <c r="L83" s="263"/>
      <c r="M83" s="263"/>
      <c r="N83" s="263"/>
      <c r="O83" s="323"/>
      <c r="P83" s="323"/>
      <c r="Q83" s="323"/>
      <c r="R83" s="323"/>
      <c r="S83" s="323"/>
      <c r="T83" s="323"/>
      <c r="U83" s="389" t="s">
        <v>1048</v>
      </c>
      <c r="V83" s="389"/>
      <c r="W83" s="391" t="e">
        <f>IF(W117&lt;W118,W117,W118)</f>
        <v>#REF!</v>
      </c>
      <c r="Z83" s="180"/>
      <c r="AA83" s="180"/>
      <c r="AB83" s="180"/>
      <c r="AC83" s="180"/>
      <c r="AD83" s="180"/>
      <c r="AE83" s="180"/>
      <c r="AF83" s="263" t="s">
        <v>1048</v>
      </c>
      <c r="AG83" s="263"/>
      <c r="AH83" s="425" t="e">
        <f>IF(Y117&lt;Y118,Y117,Y118)</f>
        <v>#REF!</v>
      </c>
      <c r="AI83" s="223"/>
      <c r="AJ83" s="223"/>
      <c r="AK83" s="223"/>
      <c r="AL83" s="223"/>
      <c r="AM83" s="223"/>
      <c r="AN83" s="223"/>
      <c r="AO83" s="223"/>
      <c r="AP83" s="223"/>
      <c r="AQ83" s="223"/>
      <c r="AR83" s="223"/>
      <c r="AS83" s="223"/>
      <c r="AT83" s="223"/>
      <c r="AU83" s="223"/>
      <c r="AV83" s="223"/>
      <c r="AW83" s="223"/>
      <c r="AX83" s="223"/>
      <c r="AY83" s="223"/>
      <c r="AZ83" s="724"/>
      <c r="BA83" s="724"/>
      <c r="BB83" s="724"/>
      <c r="BC83" s="724"/>
      <c r="BD83" s="724"/>
      <c r="BE83" s="724"/>
      <c r="BF83" s="724"/>
      <c r="BG83" s="724"/>
      <c r="BH83" s="738"/>
      <c r="BI83" s="738"/>
      <c r="BJ83" s="738"/>
      <c r="BK83" s="738"/>
      <c r="BL83" s="738"/>
      <c r="BM83" s="738"/>
      <c r="BN83" s="738"/>
      <c r="BO83" s="738"/>
      <c r="BP83" s="754"/>
      <c r="BQ83" s="754"/>
      <c r="BR83" s="754"/>
      <c r="BS83" s="754"/>
      <c r="BT83" s="754"/>
      <c r="BU83" s="754"/>
      <c r="BV83" s="754"/>
    </row>
    <row r="84" spans="1:74">
      <c r="A84" s="97"/>
      <c r="I84" s="263" t="s">
        <v>2397</v>
      </c>
      <c r="J84" s="263"/>
      <c r="L84" s="263"/>
      <c r="M84" s="263"/>
      <c r="N84" s="263"/>
      <c r="O84" s="323"/>
      <c r="P84" s="323"/>
      <c r="Q84" s="323"/>
      <c r="R84" s="323"/>
      <c r="S84" s="323"/>
      <c r="T84" s="323"/>
      <c r="U84" s="389" t="s">
        <v>2397</v>
      </c>
      <c r="V84" s="389"/>
      <c r="W84" s="391" t="e">
        <f>W92-W93</f>
        <v>#REF!</v>
      </c>
      <c r="Z84" s="180"/>
      <c r="AA84" s="180"/>
      <c r="AB84" s="180"/>
      <c r="AC84" s="180"/>
      <c r="AD84" s="180"/>
      <c r="AE84" s="180"/>
      <c r="AF84" s="263" t="s">
        <v>2397</v>
      </c>
      <c r="AG84" s="263"/>
      <c r="AH84" s="425" t="e">
        <f>AH92-AH93</f>
        <v>#REF!</v>
      </c>
      <c r="AI84" s="223"/>
      <c r="AJ84" s="223"/>
      <c r="AK84" s="223"/>
      <c r="AL84" s="223"/>
      <c r="AM84" s="223"/>
      <c r="AN84" s="223"/>
      <c r="AO84" s="223"/>
      <c r="AP84" s="223"/>
      <c r="AQ84" s="223"/>
      <c r="AR84" s="223"/>
      <c r="AS84" s="223"/>
      <c r="AT84" s="223"/>
      <c r="AU84" s="223"/>
      <c r="AV84" s="223"/>
      <c r="AW84" s="223"/>
      <c r="AX84" s="223"/>
      <c r="AY84" s="223"/>
      <c r="AZ84" s="724"/>
      <c r="BA84" s="724"/>
      <c r="BB84" s="724"/>
      <c r="BC84" s="724"/>
      <c r="BD84" s="724"/>
      <c r="BE84" s="724"/>
      <c r="BF84" s="724"/>
      <c r="BG84" s="724"/>
      <c r="BH84" s="738"/>
      <c r="BI84" s="738"/>
      <c r="BJ84" s="738"/>
      <c r="BK84" s="738"/>
      <c r="BL84" s="738"/>
      <c r="BM84" s="738"/>
      <c r="BN84" s="738"/>
      <c r="BO84" s="738"/>
      <c r="BP84" s="754"/>
      <c r="BQ84" s="754"/>
      <c r="BR84" s="754"/>
      <c r="BS84" s="754"/>
      <c r="BT84" s="754"/>
      <c r="BU84" s="754"/>
      <c r="BV84" s="754"/>
    </row>
    <row r="85" spans="1:74">
      <c r="A85" s="97"/>
      <c r="I85" s="263" t="s">
        <v>2398</v>
      </c>
      <c r="J85" s="263"/>
      <c r="L85" s="263"/>
      <c r="M85" s="263"/>
      <c r="N85" s="263"/>
      <c r="O85" s="323"/>
      <c r="P85" s="323"/>
      <c r="Q85" s="323"/>
      <c r="R85" s="323"/>
      <c r="S85" s="323"/>
      <c r="T85" s="323"/>
      <c r="U85" s="389" t="s">
        <v>2398</v>
      </c>
      <c r="V85" s="389"/>
      <c r="W85" s="391" t="e">
        <f>'Data Entry - SOF'!#REF!</f>
        <v>#REF!</v>
      </c>
      <c r="Z85" s="180"/>
      <c r="AA85" s="180"/>
      <c r="AB85" s="180"/>
      <c r="AC85" s="180"/>
      <c r="AD85" s="180"/>
      <c r="AE85" s="180"/>
      <c r="AF85" s="263" t="s">
        <v>2398</v>
      </c>
      <c r="AG85" s="263"/>
      <c r="AH85" s="425" t="e">
        <f>'Data Entry - SOF'!#REF!</f>
        <v>#REF!</v>
      </c>
      <c r="AI85" s="223"/>
      <c r="AJ85" s="223"/>
      <c r="AK85" s="223"/>
      <c r="AL85" s="223"/>
      <c r="AM85" s="223"/>
      <c r="AN85" s="223"/>
      <c r="AO85" s="223"/>
      <c r="AP85" s="223"/>
      <c r="AQ85" s="223"/>
      <c r="AR85" s="223"/>
      <c r="AS85" s="223"/>
      <c r="AT85" s="223"/>
      <c r="AU85" s="223"/>
      <c r="AV85" s="223"/>
      <c r="AW85" s="223"/>
      <c r="AX85" s="223"/>
      <c r="AY85" s="223"/>
      <c r="AZ85" s="724"/>
      <c r="BA85" s="724"/>
      <c r="BB85" s="724"/>
      <c r="BC85" s="724"/>
      <c r="BD85" s="724"/>
      <c r="BE85" s="724"/>
      <c r="BF85" s="724"/>
      <c r="BG85" s="724"/>
      <c r="BH85" s="738"/>
      <c r="BI85" s="738"/>
      <c r="BJ85" s="738"/>
      <c r="BK85" s="738"/>
      <c r="BL85" s="738"/>
      <c r="BM85" s="738"/>
      <c r="BN85" s="738"/>
      <c r="BO85" s="738"/>
      <c r="BP85" s="754"/>
      <c r="BQ85" s="754"/>
      <c r="BR85" s="754"/>
      <c r="BS85" s="754"/>
      <c r="BT85" s="754"/>
      <c r="BU85" s="754"/>
      <c r="BV85" s="754"/>
    </row>
    <row r="86" spans="1:74">
      <c r="A86" s="97"/>
      <c r="I86" s="263" t="s">
        <v>2399</v>
      </c>
      <c r="J86" s="263"/>
      <c r="L86" s="263"/>
      <c r="M86" s="263"/>
      <c r="N86" s="263"/>
      <c r="O86" s="323"/>
      <c r="P86" s="323"/>
      <c r="Q86" s="323"/>
      <c r="R86" s="323"/>
      <c r="S86" s="323"/>
      <c r="T86" s="323"/>
      <c r="U86" s="389" t="s">
        <v>2399</v>
      </c>
      <c r="V86" s="389"/>
      <c r="W86" s="391" t="e">
        <f>IF(W85&lt;=W84,W85,W84)</f>
        <v>#REF!</v>
      </c>
      <c r="Z86" s="180"/>
      <c r="AA86" s="180"/>
      <c r="AB86" s="180"/>
      <c r="AC86" s="180"/>
      <c r="AD86" s="180"/>
      <c r="AE86" s="180"/>
      <c r="AF86" s="263" t="s">
        <v>2399</v>
      </c>
      <c r="AG86" s="263"/>
      <c r="AH86" s="425" t="e">
        <f>IF(AH85&lt;=AH84,AH85,AH84)</f>
        <v>#REF!</v>
      </c>
      <c r="AI86" s="223"/>
      <c r="AJ86" s="223"/>
      <c r="AK86" s="223"/>
      <c r="AL86" s="223"/>
      <c r="AM86" s="223"/>
      <c r="AN86" s="223"/>
      <c r="AO86" s="223"/>
      <c r="AP86" s="223"/>
      <c r="AQ86" s="223"/>
      <c r="AR86" s="223"/>
      <c r="AS86" s="223"/>
      <c r="AT86" s="223"/>
      <c r="AU86" s="223"/>
      <c r="AV86" s="223"/>
      <c r="AW86" s="223"/>
      <c r="AX86" s="223"/>
      <c r="AY86" s="223"/>
      <c r="AZ86" s="724"/>
      <c r="BA86" s="724"/>
      <c r="BB86" s="724"/>
      <c r="BC86" s="724"/>
      <c r="BD86" s="724"/>
      <c r="BE86" s="724"/>
      <c r="BF86" s="724"/>
      <c r="BG86" s="724"/>
      <c r="BH86" s="738"/>
      <c r="BI86" s="738"/>
      <c r="BJ86" s="738"/>
      <c r="BK86" s="738"/>
      <c r="BL86" s="738"/>
      <c r="BM86" s="738"/>
      <c r="BN86" s="738"/>
      <c r="BO86" s="738"/>
      <c r="BP86" s="754"/>
      <c r="BQ86" s="754"/>
      <c r="BR86" s="754"/>
      <c r="BS86" s="754"/>
      <c r="BT86" s="754"/>
      <c r="BU86" s="754"/>
      <c r="BV86" s="754"/>
    </row>
    <row r="87" spans="1:74">
      <c r="A87" s="97"/>
      <c r="I87" s="263" t="s">
        <v>713</v>
      </c>
      <c r="J87" s="263"/>
      <c r="L87" s="263"/>
      <c r="M87" s="263"/>
      <c r="N87" s="263"/>
      <c r="O87" s="323"/>
      <c r="P87" s="323"/>
      <c r="Q87" s="323"/>
      <c r="R87" s="323"/>
      <c r="S87" s="323"/>
      <c r="T87" s="323"/>
      <c r="U87" s="389" t="s">
        <v>713</v>
      </c>
      <c r="V87" s="389"/>
      <c r="W87" s="391" t="e">
        <f>W81-W83-W86</f>
        <v>#REF!</v>
      </c>
      <c r="Z87" s="180"/>
      <c r="AA87" s="180"/>
      <c r="AB87" s="180"/>
      <c r="AC87" s="180"/>
      <c r="AD87" s="180"/>
      <c r="AE87" s="180"/>
      <c r="AF87" s="263" t="s">
        <v>713</v>
      </c>
      <c r="AG87" s="263"/>
      <c r="AH87" s="425" t="e">
        <f>AH81-AH83-AH86</f>
        <v>#REF!</v>
      </c>
      <c r="AI87" s="223"/>
      <c r="AJ87" s="223"/>
      <c r="AK87" s="223"/>
      <c r="AL87" s="223"/>
      <c r="AM87" s="223"/>
      <c r="AN87" s="223"/>
      <c r="AO87" s="223"/>
      <c r="AP87" s="223"/>
      <c r="AQ87" s="223"/>
      <c r="AR87" s="223"/>
      <c r="AS87" s="223"/>
      <c r="AT87" s="223"/>
      <c r="AU87" s="223"/>
      <c r="AV87" s="223"/>
      <c r="AW87" s="223"/>
      <c r="AX87" s="223"/>
      <c r="AY87" s="223"/>
      <c r="AZ87" s="724"/>
      <c r="BA87" s="724"/>
      <c r="BB87" s="724"/>
      <c r="BC87" s="724"/>
      <c r="BD87" s="724"/>
      <c r="BE87" s="724"/>
      <c r="BF87" s="724"/>
      <c r="BG87" s="724"/>
      <c r="BH87" s="738"/>
      <c r="BI87" s="738"/>
      <c r="BJ87" s="738"/>
      <c r="BK87" s="738"/>
      <c r="BL87" s="738"/>
      <c r="BM87" s="738"/>
      <c r="BN87" s="738"/>
      <c r="BO87" s="738"/>
      <c r="BP87" s="754"/>
      <c r="BQ87" s="754"/>
      <c r="BR87" s="754"/>
      <c r="BS87" s="754"/>
      <c r="BT87" s="754"/>
      <c r="BU87" s="754"/>
      <c r="BV87" s="754"/>
    </row>
    <row r="88" spans="1:74">
      <c r="A88" s="97"/>
      <c r="I88" s="263"/>
      <c r="J88" s="263"/>
      <c r="L88" s="263"/>
      <c r="M88" s="263"/>
      <c r="N88" s="263"/>
      <c r="O88" s="323"/>
      <c r="P88" s="323"/>
      <c r="Q88" s="323"/>
      <c r="R88" s="323"/>
      <c r="S88" s="323"/>
      <c r="T88" s="323"/>
      <c r="U88" s="389"/>
      <c r="V88" s="389"/>
      <c r="W88" s="398"/>
      <c r="Z88" s="180"/>
      <c r="AA88" s="180"/>
      <c r="AB88" s="180"/>
      <c r="AC88" s="180"/>
      <c r="AD88" s="180"/>
      <c r="AE88" s="180"/>
      <c r="AF88" s="263"/>
      <c r="AG88" s="263"/>
      <c r="AH88" s="454"/>
      <c r="AI88" s="223"/>
      <c r="AJ88" s="223"/>
      <c r="AK88" s="223"/>
      <c r="AL88" s="223"/>
      <c r="AM88" s="223"/>
      <c r="AN88" s="223"/>
      <c r="AO88" s="223"/>
      <c r="AP88" s="223"/>
      <c r="AQ88" s="223"/>
      <c r="AR88" s="223"/>
      <c r="AS88" s="223"/>
      <c r="AT88" s="223"/>
      <c r="AU88" s="223"/>
      <c r="AV88" s="223"/>
      <c r="AW88" s="223"/>
      <c r="AX88" s="223"/>
      <c r="AY88" s="223"/>
      <c r="AZ88" s="724"/>
      <c r="BA88" s="724"/>
      <c r="BB88" s="724"/>
      <c r="BC88" s="724"/>
      <c r="BD88" s="724"/>
      <c r="BE88" s="724"/>
      <c r="BF88" s="724"/>
      <c r="BG88" s="724"/>
      <c r="BH88" s="738"/>
      <c r="BI88" s="738"/>
      <c r="BJ88" s="738"/>
      <c r="BK88" s="738"/>
      <c r="BL88" s="738"/>
      <c r="BM88" s="738"/>
      <c r="BN88" s="738"/>
      <c r="BO88" s="738"/>
      <c r="BP88" s="754"/>
      <c r="BQ88" s="754"/>
      <c r="BR88" s="754"/>
      <c r="BS88" s="754"/>
      <c r="BT88" s="754"/>
      <c r="BU88" s="754"/>
      <c r="BV88" s="754"/>
    </row>
    <row r="89" spans="1:74">
      <c r="A89" s="97"/>
      <c r="I89" s="263" t="s">
        <v>1143</v>
      </c>
      <c r="J89" s="263"/>
      <c r="L89" s="263"/>
      <c r="M89" s="263"/>
      <c r="N89" s="263"/>
      <c r="O89" s="323"/>
      <c r="P89" s="323"/>
      <c r="Q89" s="323"/>
      <c r="R89" s="323"/>
      <c r="S89" s="323"/>
      <c r="T89" s="323"/>
      <c r="U89" s="389" t="s">
        <v>1143</v>
      </c>
      <c r="V89" s="389"/>
      <c r="W89" s="391" t="e">
        <f>(K48/K47)*(K47-Q75)</f>
        <v>#REF!</v>
      </c>
      <c r="Z89" s="180"/>
      <c r="AA89" s="180"/>
      <c r="AB89" s="180"/>
      <c r="AC89" s="180"/>
      <c r="AD89" s="180"/>
      <c r="AE89" s="180"/>
      <c r="AF89" s="263" t="s">
        <v>1143</v>
      </c>
      <c r="AG89" s="263"/>
      <c r="AH89" s="425" t="e">
        <f>(S48/S47)*(S47-Y75)</f>
        <v>#REF!</v>
      </c>
      <c r="AI89" s="223"/>
      <c r="AJ89" s="223"/>
      <c r="AK89" s="223"/>
      <c r="AL89" s="223"/>
      <c r="AM89" s="223"/>
      <c r="AN89" s="223"/>
      <c r="AO89" s="223"/>
      <c r="AP89" s="223"/>
      <c r="AQ89" s="223"/>
      <c r="AR89" s="223"/>
      <c r="AS89" s="223"/>
      <c r="AT89" s="223"/>
      <c r="AU89" s="223"/>
      <c r="AV89" s="223"/>
      <c r="AW89" s="223"/>
      <c r="AX89" s="223"/>
      <c r="AY89" s="223"/>
      <c r="AZ89" s="724"/>
      <c r="BA89" s="724"/>
      <c r="BB89" s="724"/>
      <c r="BC89" s="724"/>
      <c r="BD89" s="724"/>
      <c r="BE89" s="724"/>
      <c r="BF89" s="724"/>
      <c r="BG89" s="724"/>
      <c r="BH89" s="738"/>
      <c r="BI89" s="738"/>
      <c r="BJ89" s="738"/>
      <c r="BK89" s="738"/>
      <c r="BL89" s="738"/>
      <c r="BM89" s="738"/>
      <c r="BN89" s="738"/>
      <c r="BO89" s="738"/>
      <c r="BP89" s="754"/>
      <c r="BQ89" s="754"/>
      <c r="BR89" s="754"/>
      <c r="BS89" s="754"/>
      <c r="BT89" s="754"/>
      <c r="BU89" s="754"/>
      <c r="BV89" s="754"/>
    </row>
    <row r="90" spans="1:74">
      <c r="A90" s="97"/>
      <c r="I90" s="263" t="s">
        <v>1144</v>
      </c>
      <c r="J90" s="263"/>
      <c r="L90" s="263"/>
      <c r="M90" s="263"/>
      <c r="N90" s="263"/>
      <c r="O90" s="323"/>
      <c r="P90" s="323"/>
      <c r="Q90" s="323"/>
      <c r="R90" s="323"/>
      <c r="S90" s="323"/>
      <c r="T90" s="323"/>
      <c r="U90" s="389" t="s">
        <v>1144</v>
      </c>
      <c r="V90" s="389"/>
      <c r="W90" s="398"/>
      <c r="Z90" s="180"/>
      <c r="AA90" s="180"/>
      <c r="AB90" s="180"/>
      <c r="AC90" s="180"/>
      <c r="AD90" s="180"/>
      <c r="AE90" s="180"/>
      <c r="AF90" s="263" t="s">
        <v>1144</v>
      </c>
      <c r="AG90" s="263"/>
      <c r="AH90" s="454"/>
      <c r="AI90" s="223"/>
      <c r="AJ90" s="223"/>
      <c r="AK90" s="223"/>
      <c r="AL90" s="223"/>
      <c r="AM90" s="223"/>
      <c r="AN90" s="223"/>
      <c r="AO90" s="223"/>
      <c r="AP90" s="223"/>
      <c r="AQ90" s="223"/>
      <c r="AR90" s="223"/>
      <c r="AS90" s="223"/>
      <c r="AT90" s="223"/>
      <c r="AU90" s="223"/>
      <c r="AV90" s="223"/>
      <c r="AW90" s="223"/>
      <c r="AX90" s="223"/>
      <c r="AY90" s="223"/>
      <c r="AZ90" s="724"/>
      <c r="BA90" s="724"/>
      <c r="BB90" s="724"/>
      <c r="BC90" s="724"/>
      <c r="BD90" s="724"/>
      <c r="BE90" s="724"/>
      <c r="BF90" s="724"/>
      <c r="BG90" s="724"/>
      <c r="BH90" s="738"/>
      <c r="BI90" s="738"/>
      <c r="BJ90" s="738"/>
      <c r="BK90" s="738"/>
      <c r="BL90" s="738"/>
      <c r="BM90" s="738"/>
      <c r="BN90" s="738"/>
      <c r="BO90" s="738"/>
      <c r="BP90" s="754"/>
      <c r="BQ90" s="754"/>
      <c r="BR90" s="754"/>
      <c r="BS90" s="754"/>
      <c r="BT90" s="754"/>
      <c r="BU90" s="754"/>
      <c r="BV90" s="754"/>
    </row>
    <row r="91" spans="1:74">
      <c r="A91" s="97"/>
      <c r="I91" s="263" t="s">
        <v>1145</v>
      </c>
      <c r="J91" s="263"/>
      <c r="L91" s="263"/>
      <c r="M91" s="263"/>
      <c r="N91" s="263"/>
      <c r="O91" s="323"/>
      <c r="P91" s="323"/>
      <c r="Q91" s="323"/>
      <c r="R91" s="323"/>
      <c r="S91" s="323"/>
      <c r="T91" s="323"/>
      <c r="U91" s="389" t="s">
        <v>1145</v>
      </c>
      <c r="V91" s="389"/>
      <c r="W91" s="391" t="e">
        <f>IF(W120&lt;W121,W120,W121)</f>
        <v>#REF!</v>
      </c>
      <c r="Z91" s="180"/>
      <c r="AA91" s="180"/>
      <c r="AB91" s="180"/>
      <c r="AC91" s="180"/>
      <c r="AD91" s="180"/>
      <c r="AE91" s="180"/>
      <c r="AF91" s="263" t="s">
        <v>1145</v>
      </c>
      <c r="AG91" s="263"/>
      <c r="AH91" s="425" t="e">
        <f>IF(Y120&lt;Y121,Y120,Y121)</f>
        <v>#REF!</v>
      </c>
      <c r="AI91" s="223"/>
      <c r="AJ91" s="223"/>
      <c r="AK91" s="223"/>
      <c r="AL91" s="223"/>
      <c r="AM91" s="223"/>
      <c r="AN91" s="223"/>
      <c r="AO91" s="223"/>
      <c r="AP91" s="223"/>
      <c r="AQ91" s="223"/>
      <c r="AR91" s="223"/>
      <c r="AS91" s="223"/>
      <c r="AT91" s="223"/>
      <c r="AU91" s="223"/>
      <c r="AV91" s="223"/>
      <c r="AW91" s="223"/>
      <c r="AX91" s="223"/>
      <c r="AY91" s="223"/>
      <c r="AZ91" s="724"/>
      <c r="BA91" s="724"/>
      <c r="BB91" s="724"/>
      <c r="BC91" s="724"/>
      <c r="BD91" s="724"/>
      <c r="BE91" s="724"/>
      <c r="BF91" s="724"/>
      <c r="BG91" s="724"/>
      <c r="BH91" s="738"/>
      <c r="BI91" s="738"/>
      <c r="BJ91" s="738"/>
      <c r="BK91" s="738"/>
      <c r="BL91" s="738"/>
      <c r="BM91" s="738"/>
      <c r="BN91" s="738"/>
      <c r="BO91" s="738"/>
      <c r="BP91" s="754"/>
      <c r="BQ91" s="754"/>
      <c r="BR91" s="754"/>
      <c r="BS91" s="754"/>
      <c r="BT91" s="754"/>
      <c r="BU91" s="754"/>
      <c r="BV91" s="754"/>
    </row>
    <row r="92" spans="1:74">
      <c r="A92" s="97"/>
      <c r="I92" s="263" t="s">
        <v>1146</v>
      </c>
      <c r="J92" s="263"/>
      <c r="L92" s="263"/>
      <c r="M92" s="263"/>
      <c r="N92" s="263"/>
      <c r="O92" s="323"/>
      <c r="P92" s="323"/>
      <c r="Q92" s="323"/>
      <c r="R92" s="323"/>
      <c r="S92" s="323"/>
      <c r="T92" s="323"/>
      <c r="U92" s="389" t="s">
        <v>1146</v>
      </c>
      <c r="V92" s="389"/>
      <c r="W92" s="391" t="e">
        <f>'Data Entry - SOF'!#REF!*('Option Costs'!K42/'Option Costs'!K41)</f>
        <v>#REF!</v>
      </c>
      <c r="Z92" s="180"/>
      <c r="AA92" s="180"/>
      <c r="AB92" s="180"/>
      <c r="AC92" s="180"/>
      <c r="AD92" s="180"/>
      <c r="AE92" s="180"/>
      <c r="AF92" s="263" t="s">
        <v>1146</v>
      </c>
      <c r="AG92" s="263"/>
      <c r="AH92" s="425" t="e">
        <f>'Data Entry - SOF'!#REF!*('Option Costs'!S42/'Option Costs'!S41)</f>
        <v>#REF!</v>
      </c>
      <c r="AI92" s="223"/>
      <c r="AJ92" s="223"/>
      <c r="AK92" s="223"/>
      <c r="AL92" s="223"/>
      <c r="AM92" s="223"/>
      <c r="AN92" s="223"/>
      <c r="AO92" s="223"/>
      <c r="AP92" s="223"/>
      <c r="AQ92" s="223"/>
      <c r="AR92" s="223"/>
      <c r="AS92" s="223"/>
      <c r="AT92" s="223"/>
      <c r="AU92" s="223"/>
      <c r="AV92" s="223"/>
      <c r="AW92" s="223"/>
      <c r="AX92" s="223"/>
      <c r="AY92" s="223"/>
      <c r="AZ92" s="724"/>
      <c r="BA92" s="724"/>
      <c r="BB92" s="724"/>
      <c r="BC92" s="724"/>
      <c r="BD92" s="724"/>
      <c r="BE92" s="724"/>
      <c r="BF92" s="724"/>
      <c r="BG92" s="724"/>
      <c r="BH92" s="738"/>
      <c r="BI92" s="738"/>
      <c r="BJ92" s="738"/>
      <c r="BK92" s="738"/>
      <c r="BL92" s="738"/>
      <c r="BM92" s="738"/>
      <c r="BN92" s="738"/>
      <c r="BO92" s="738"/>
      <c r="BP92" s="754"/>
      <c r="BQ92" s="754"/>
      <c r="BR92" s="754"/>
      <c r="BS92" s="754"/>
      <c r="BT92" s="754"/>
      <c r="BU92" s="754"/>
      <c r="BV92" s="754"/>
    </row>
    <row r="93" spans="1:74">
      <c r="A93" s="97"/>
      <c r="I93" s="263" t="s">
        <v>2945</v>
      </c>
      <c r="J93" s="263"/>
      <c r="O93" s="323"/>
      <c r="P93" s="323"/>
      <c r="Q93" s="323"/>
      <c r="R93" s="323"/>
      <c r="S93" s="323"/>
      <c r="T93" s="323"/>
      <c r="U93" s="389" t="s">
        <v>2945</v>
      </c>
      <c r="V93" s="389"/>
      <c r="W93" s="391" t="e">
        <f>IF(K47=0,0,W92*((K47-Q75)/K47))</f>
        <v>#REF!</v>
      </c>
      <c r="Z93" s="180"/>
      <c r="AA93" s="180"/>
      <c r="AB93" s="180"/>
      <c r="AC93" s="180"/>
      <c r="AD93" s="180"/>
      <c r="AE93" s="180"/>
      <c r="AF93" s="263" t="s">
        <v>2945</v>
      </c>
      <c r="AG93" s="263"/>
      <c r="AH93" s="425" t="e">
        <f>IF(S47=0,0,AH92*((S47-Y75)/S47))</f>
        <v>#REF!</v>
      </c>
      <c r="AI93" s="223"/>
      <c r="AJ93" s="223"/>
      <c r="AK93" s="223"/>
      <c r="AL93" s="223"/>
      <c r="AM93" s="223"/>
      <c r="AN93" s="223"/>
      <c r="AO93" s="223"/>
      <c r="AP93" s="223"/>
      <c r="AQ93" s="223"/>
      <c r="AR93" s="223"/>
      <c r="AS93" s="223"/>
      <c r="AT93" s="223"/>
      <c r="AU93" s="223"/>
      <c r="AV93" s="223"/>
      <c r="AW93" s="223"/>
      <c r="AX93" s="223"/>
      <c r="AY93" s="223"/>
      <c r="AZ93" s="724"/>
      <c r="BA93" s="724"/>
      <c r="BB93" s="724"/>
      <c r="BC93" s="724"/>
      <c r="BD93" s="724"/>
      <c r="BE93" s="724"/>
      <c r="BF93" s="724"/>
      <c r="BG93" s="724"/>
      <c r="BH93" s="738"/>
      <c r="BI93" s="738"/>
      <c r="BJ93" s="738"/>
      <c r="BK93" s="738"/>
      <c r="BL93" s="738"/>
      <c r="BM93" s="738"/>
      <c r="BN93" s="738"/>
      <c r="BO93" s="738"/>
      <c r="BP93" s="754"/>
      <c r="BQ93" s="754"/>
      <c r="BR93" s="754"/>
      <c r="BS93" s="754"/>
      <c r="BT93" s="754"/>
      <c r="BU93" s="754"/>
      <c r="BV93" s="754"/>
    </row>
    <row r="94" spans="1:74">
      <c r="A94" s="97"/>
      <c r="I94" s="263" t="s">
        <v>2946</v>
      </c>
      <c r="J94" s="263"/>
      <c r="O94" s="323"/>
      <c r="P94" s="323"/>
      <c r="Q94" s="323"/>
      <c r="R94" s="323"/>
      <c r="S94" s="323"/>
      <c r="T94" s="323"/>
      <c r="U94" s="389" t="s">
        <v>2946</v>
      </c>
      <c r="V94" s="389"/>
      <c r="W94" s="391" t="e">
        <f>W89-W91-W93</f>
        <v>#REF!</v>
      </c>
      <c r="Z94" s="180"/>
      <c r="AA94" s="180"/>
      <c r="AB94" s="180"/>
      <c r="AC94" s="180"/>
      <c r="AD94" s="180"/>
      <c r="AE94" s="180"/>
      <c r="AF94" s="263" t="s">
        <v>2946</v>
      </c>
      <c r="AG94" s="263"/>
      <c r="AH94" s="425" t="e">
        <f>AH89-AH91-AH93</f>
        <v>#REF!</v>
      </c>
      <c r="AI94" s="223"/>
      <c r="AJ94" s="223"/>
      <c r="AK94" s="223"/>
      <c r="AL94" s="223"/>
      <c r="AM94" s="223"/>
      <c r="AN94" s="223"/>
      <c r="AO94" s="223"/>
      <c r="AP94" s="223"/>
      <c r="AQ94" s="223"/>
      <c r="AR94" s="223"/>
      <c r="AS94" s="223"/>
      <c r="AT94" s="223"/>
      <c r="AU94" s="223"/>
      <c r="AV94" s="223"/>
      <c r="AW94" s="223"/>
      <c r="AX94" s="223"/>
      <c r="AY94" s="223"/>
      <c r="AZ94" s="724"/>
      <c r="BA94" s="724"/>
      <c r="BB94" s="724"/>
      <c r="BC94" s="724"/>
      <c r="BD94" s="724"/>
      <c r="BE94" s="724"/>
      <c r="BF94" s="724"/>
      <c r="BG94" s="724"/>
      <c r="BH94" s="738"/>
      <c r="BI94" s="738"/>
      <c r="BJ94" s="738"/>
      <c r="BK94" s="738"/>
      <c r="BL94" s="738"/>
      <c r="BM94" s="738"/>
      <c r="BN94" s="738"/>
      <c r="BO94" s="738"/>
      <c r="BP94" s="754"/>
      <c r="BQ94" s="754"/>
      <c r="BR94" s="754"/>
      <c r="BS94" s="754"/>
      <c r="BT94" s="754"/>
      <c r="BU94" s="754"/>
      <c r="BV94" s="754"/>
    </row>
    <row r="95" spans="1:74">
      <c r="A95" s="97"/>
      <c r="I95" s="263"/>
      <c r="J95" s="263"/>
      <c r="O95" s="323"/>
      <c r="P95" s="323"/>
      <c r="Q95" s="323"/>
      <c r="R95" s="323"/>
      <c r="S95" s="323"/>
      <c r="T95" s="323"/>
      <c r="U95" s="389"/>
      <c r="V95" s="389"/>
      <c r="W95" s="398"/>
      <c r="Z95" s="180"/>
      <c r="AA95" s="180"/>
      <c r="AB95" s="180"/>
      <c r="AC95" s="180"/>
      <c r="AD95" s="180"/>
      <c r="AE95" s="180"/>
      <c r="AF95" s="263"/>
      <c r="AG95" s="263"/>
      <c r="AH95" s="454"/>
      <c r="AI95" s="223"/>
      <c r="AJ95" s="223"/>
      <c r="AK95" s="223"/>
      <c r="AL95" s="223"/>
      <c r="AM95" s="223"/>
      <c r="AN95" s="223"/>
      <c r="AO95" s="223"/>
      <c r="AP95" s="223"/>
      <c r="AQ95" s="223"/>
      <c r="AR95" s="223"/>
      <c r="AS95" s="223"/>
      <c r="AT95" s="223"/>
      <c r="AU95" s="223"/>
      <c r="AV95" s="223"/>
      <c r="AW95" s="223"/>
      <c r="AX95" s="223"/>
      <c r="AY95" s="223"/>
      <c r="AZ95" s="724"/>
      <c r="BA95" s="724"/>
      <c r="BB95" s="724"/>
      <c r="BC95" s="724"/>
      <c r="BD95" s="724"/>
      <c r="BE95" s="724"/>
      <c r="BF95" s="724"/>
      <c r="BG95" s="724"/>
      <c r="BH95" s="738"/>
      <c r="BI95" s="738"/>
      <c r="BJ95" s="738"/>
      <c r="BK95" s="738"/>
      <c r="BL95" s="738"/>
      <c r="BM95" s="738"/>
      <c r="BN95" s="738"/>
      <c r="BO95" s="738"/>
      <c r="BP95" s="754"/>
      <c r="BQ95" s="754"/>
      <c r="BR95" s="754"/>
      <c r="BS95" s="754"/>
      <c r="BT95" s="754"/>
      <c r="BU95" s="754"/>
      <c r="BV95" s="754"/>
    </row>
    <row r="96" spans="1:74">
      <c r="A96" s="97"/>
      <c r="I96" s="263" t="s">
        <v>2915</v>
      </c>
      <c r="J96" s="263"/>
      <c r="O96" s="323"/>
      <c r="P96" s="323"/>
      <c r="Q96" s="323"/>
      <c r="R96" s="323"/>
      <c r="S96" s="323"/>
      <c r="T96" s="323"/>
      <c r="U96" s="389" t="s">
        <v>2915</v>
      </c>
      <c r="V96" s="389"/>
      <c r="W96" s="391" t="e">
        <f>W87+W94</f>
        <v>#REF!</v>
      </c>
      <c r="Z96" s="180"/>
      <c r="AA96" s="180"/>
      <c r="AB96" s="180"/>
      <c r="AC96" s="180"/>
      <c r="AD96" s="180"/>
      <c r="AE96" s="180"/>
      <c r="AF96" s="263" t="s">
        <v>2915</v>
      </c>
      <c r="AG96" s="263"/>
      <c r="AH96" s="425" t="e">
        <f>AH87+AH94</f>
        <v>#REF!</v>
      </c>
      <c r="AI96" s="500"/>
      <c r="AJ96" s="500"/>
      <c r="AK96" s="500"/>
      <c r="AL96" s="500"/>
      <c r="AM96" s="500"/>
      <c r="AN96" s="500"/>
      <c r="AO96" s="500"/>
      <c r="AP96" s="500"/>
      <c r="AQ96" s="500"/>
      <c r="AR96" s="500"/>
      <c r="AS96" s="500"/>
      <c r="AT96" s="500"/>
      <c r="AU96" s="500"/>
      <c r="AV96" s="500"/>
      <c r="AW96" s="500"/>
      <c r="AX96" s="500"/>
      <c r="AY96" s="500"/>
      <c r="AZ96" s="730"/>
      <c r="BA96" s="730"/>
      <c r="BB96" s="730"/>
      <c r="BC96" s="730"/>
      <c r="BD96" s="730"/>
      <c r="BE96" s="730"/>
      <c r="BF96" s="730"/>
      <c r="BG96" s="730"/>
      <c r="BH96" s="746"/>
      <c r="BI96" s="746"/>
      <c r="BJ96" s="746"/>
      <c r="BK96" s="746"/>
      <c r="BL96" s="746"/>
      <c r="BM96" s="746"/>
      <c r="BN96" s="746"/>
      <c r="BO96" s="746"/>
      <c r="BP96" s="762"/>
      <c r="BQ96" s="762"/>
      <c r="BR96" s="762"/>
      <c r="BS96" s="762"/>
      <c r="BT96" s="762"/>
      <c r="BU96" s="762"/>
      <c r="BV96" s="762"/>
    </row>
    <row r="97" spans="1:118">
      <c r="A97" s="97"/>
    </row>
    <row r="98" spans="1:118">
      <c r="A98" s="97"/>
    </row>
    <row r="99" spans="1:118">
      <c r="A99" s="97"/>
    </row>
    <row r="100" spans="1:118">
      <c r="A100" s="97"/>
    </row>
    <row r="101" spans="1:118">
      <c r="A101" s="97"/>
    </row>
    <row r="102" spans="1:118">
      <c r="A102" s="97"/>
    </row>
    <row r="103" spans="1:118">
      <c r="A103" s="97"/>
    </row>
    <row r="104" spans="1:118">
      <c r="A104" s="97"/>
    </row>
    <row r="105" spans="1:118">
      <c r="A105" s="97"/>
    </row>
    <row r="110" spans="1:118">
      <c r="S110" s="97"/>
      <c r="U110" s="97"/>
    </row>
    <row r="111" spans="1:118">
      <c r="C111" s="197" t="e">
        <f>C42*0.04</f>
        <v>#REF!</v>
      </c>
      <c r="D111" s="197"/>
      <c r="E111" s="197" t="e">
        <f>E42*0.05</f>
        <v>#REF!</v>
      </c>
      <c r="F111" s="197"/>
      <c r="G111" s="197" t="e">
        <f>G42*0.04</f>
        <v>#REF!</v>
      </c>
      <c r="H111" s="197"/>
      <c r="I111" s="197" t="e">
        <f>I42*0.05</f>
        <v>#REF!</v>
      </c>
      <c r="J111" s="360"/>
      <c r="K111" s="360" t="e">
        <f>K42*0.04</f>
        <v>#REF!</v>
      </c>
      <c r="L111" s="360"/>
      <c r="M111" s="360" t="e">
        <f>M42*0.05</f>
        <v>#REF!</v>
      </c>
      <c r="N111" s="360"/>
      <c r="O111" s="360" t="e">
        <f>O42*0.04</f>
        <v>#REF!</v>
      </c>
      <c r="P111" s="360"/>
      <c r="Q111" s="360" t="e">
        <f>Q42*0.05</f>
        <v>#REF!</v>
      </c>
      <c r="S111" s="197" t="e">
        <f>S42*0.04</f>
        <v>#REF!</v>
      </c>
      <c r="T111" s="197"/>
      <c r="U111" s="197" t="e">
        <f>U42*0.05</f>
        <v>#REF!</v>
      </c>
      <c r="V111" s="197"/>
      <c r="W111" s="197" t="e">
        <f>W42*0.04</f>
        <v>#REF!</v>
      </c>
      <c r="X111" s="197"/>
      <c r="Y111" s="197" t="e">
        <f>Y42*0.05</f>
        <v>#REF!</v>
      </c>
      <c r="AJ111" s="510" t="e">
        <f>AJ42*0.04</f>
        <v>#REF!</v>
      </c>
      <c r="AK111" s="510"/>
      <c r="AL111" s="510" t="e">
        <f>AL42*0.05</f>
        <v>#REF!</v>
      </c>
      <c r="AM111" s="510"/>
      <c r="AN111" s="510" t="e">
        <f>AN42*0.04</f>
        <v>#REF!</v>
      </c>
      <c r="AO111" s="510"/>
      <c r="AP111" s="510" t="e">
        <f>AP42*0.05</f>
        <v>#REF!</v>
      </c>
      <c r="AQ111" s="510"/>
      <c r="AR111" s="568" t="e">
        <f>AR42*0.04</f>
        <v>#REF!</v>
      </c>
      <c r="AS111" s="568"/>
      <c r="AT111" s="568" t="e">
        <f>AT42*0.05</f>
        <v>#REF!</v>
      </c>
      <c r="AU111" s="568"/>
      <c r="AV111" s="568" t="e">
        <f>AV42*0.04</f>
        <v>#REF!</v>
      </c>
      <c r="AW111" s="568"/>
      <c r="AX111" s="568" t="e">
        <f>AX42*0.05</f>
        <v>#REF!</v>
      </c>
      <c r="AY111" s="568"/>
      <c r="AZ111" s="716" t="e">
        <f>AZ42*0.04</f>
        <v>#REF!</v>
      </c>
      <c r="BA111" s="716"/>
      <c r="BB111" s="716" t="e">
        <f>BB42*0.05</f>
        <v>#REF!</v>
      </c>
      <c r="BC111" s="716"/>
      <c r="BD111" s="716" t="e">
        <f>BD42*0.04</f>
        <v>#REF!</v>
      </c>
      <c r="BE111" s="716"/>
      <c r="BF111" s="716" t="e">
        <f>BF42*0.05</f>
        <v>#REF!</v>
      </c>
      <c r="BG111" s="716"/>
      <c r="BH111" s="742" t="e">
        <f>BH42*0.04</f>
        <v>#REF!</v>
      </c>
      <c r="BI111" s="742"/>
      <c r="BJ111" s="742" t="e">
        <f>BJ42*0.05</f>
        <v>#REF!</v>
      </c>
      <c r="BK111" s="742"/>
      <c r="BL111" s="742" t="e">
        <f>BL42*0.04</f>
        <v>#REF!</v>
      </c>
      <c r="BM111" s="742"/>
      <c r="BN111" s="742" t="e">
        <f>BN42*0.05</f>
        <v>#REF!</v>
      </c>
      <c r="BO111" s="742"/>
      <c r="BP111" s="758" t="e">
        <f>BP42*0.04</f>
        <v>#REF!</v>
      </c>
      <c r="BQ111" s="758"/>
      <c r="BR111" s="758" t="e">
        <f>BR42*0.05</f>
        <v>#REF!</v>
      </c>
      <c r="BS111" s="758"/>
      <c r="BT111" s="758" t="e">
        <f>BT42*0.04</f>
        <v>#REF!</v>
      </c>
      <c r="BU111" s="758"/>
      <c r="BV111" s="758" t="e">
        <f>BV42*0.05</f>
        <v>#REF!</v>
      </c>
      <c r="BX111" s="360" t="e">
        <f>BX42*0.04</f>
        <v>#REF!</v>
      </c>
      <c r="BZ111" s="360" t="e">
        <f>BZ42*0.05</f>
        <v>#REF!</v>
      </c>
      <c r="CH111" s="197" t="e">
        <f>CH42*0.04</f>
        <v>#REF!</v>
      </c>
      <c r="CI111" s="450"/>
      <c r="CJ111" s="197" t="e">
        <f>CH42*0.05</f>
        <v>#REF!</v>
      </c>
      <c r="CN111" s="510" t="e">
        <f>CN42*0.04</f>
        <v>#REF!</v>
      </c>
      <c r="CO111" s="111"/>
      <c r="CP111" s="510" t="e">
        <f>CN42*0.05</f>
        <v>#REF!</v>
      </c>
      <c r="CT111" s="568" t="e">
        <f>CT42*0.04</f>
        <v>#REF!</v>
      </c>
      <c r="CU111" s="531"/>
      <c r="CV111" s="568" t="e">
        <f>CT42*0.05</f>
        <v>#REF!</v>
      </c>
      <c r="CZ111" s="716" t="e">
        <f>CZ42*0.04</f>
        <v>#REF!</v>
      </c>
      <c r="DB111" s="716" t="e">
        <f>CZ42*0.05</f>
        <v>#REF!</v>
      </c>
      <c r="DF111" s="742" t="e">
        <f>DF42*0.04</f>
        <v>#REF!</v>
      </c>
      <c r="DH111" s="742" t="e">
        <f>DF42*0.05</f>
        <v>#REF!</v>
      </c>
      <c r="DL111" s="758" t="e">
        <f>DL42*0.04</f>
        <v>#REF!</v>
      </c>
      <c r="DN111" s="758" t="e">
        <f>DL42*0.05</f>
        <v>#REF!</v>
      </c>
    </row>
    <row r="112" spans="1:118">
      <c r="C112" s="197" t="e">
        <f>C43*80</f>
        <v>#REF!</v>
      </c>
      <c r="D112" s="197"/>
      <c r="E112" s="197">
        <f>'Ch41 Calc Data'!E10*100</f>
        <v>0</v>
      </c>
      <c r="F112" s="197"/>
      <c r="G112" s="197" t="e">
        <f>G43*80</f>
        <v>#REF!</v>
      </c>
      <c r="H112" s="197"/>
      <c r="I112" s="197">
        <f>'Ch41 Calc Data'!E10*100</f>
        <v>0</v>
      </c>
      <c r="J112" s="360"/>
      <c r="K112" s="360" t="e">
        <f>K43*80</f>
        <v>#REF!</v>
      </c>
      <c r="L112" s="360"/>
      <c r="M112" s="360" t="e">
        <f>'Ch41 Calc Data'!#REF!*100</f>
        <v>#REF!</v>
      </c>
      <c r="N112" s="360"/>
      <c r="O112" s="360" t="e">
        <f>O43*80</f>
        <v>#REF!</v>
      </c>
      <c r="P112" s="360"/>
      <c r="Q112" s="360" t="e">
        <f>'Ch41 Calc Data'!#REF!*100</f>
        <v>#REF!</v>
      </c>
      <c r="S112" s="197" t="e">
        <f>S43*80</f>
        <v>#REF!</v>
      </c>
      <c r="T112" s="197"/>
      <c r="U112" s="197" t="e">
        <f>'Ch41 Calc Data'!#REF!*100</f>
        <v>#REF!</v>
      </c>
      <c r="V112" s="197"/>
      <c r="W112" s="197" t="e">
        <f>W43*80</f>
        <v>#REF!</v>
      </c>
      <c r="X112" s="197"/>
      <c r="Y112" s="197" t="e">
        <f>'Ch41 Calc Data'!#REF!*100</f>
        <v>#REF!</v>
      </c>
      <c r="AJ112" s="510" t="e">
        <f>AJ43*80</f>
        <v>#REF!</v>
      </c>
      <c r="AK112" s="510"/>
      <c r="AL112" s="510" t="e">
        <f>'Ch41 Calc Data'!#REF!*100</f>
        <v>#REF!</v>
      </c>
      <c r="AM112" s="510"/>
      <c r="AN112" s="510" t="e">
        <f>AN43*80</f>
        <v>#REF!</v>
      </c>
      <c r="AO112" s="510"/>
      <c r="AP112" s="510" t="e">
        <f>'Ch41 Calc Data'!#REF!*100</f>
        <v>#REF!</v>
      </c>
      <c r="AQ112" s="510"/>
      <c r="AR112" s="568" t="e">
        <f>AR43*80</f>
        <v>#REF!</v>
      </c>
      <c r="AS112" s="568"/>
      <c r="AT112" s="568" t="e">
        <f>'Ch41 Calc Data'!#REF!*100</f>
        <v>#REF!</v>
      </c>
      <c r="AU112" s="568"/>
      <c r="AV112" s="568" t="e">
        <f>AV43*80</f>
        <v>#REF!</v>
      </c>
      <c r="AW112" s="568"/>
      <c r="AX112" s="568" t="e">
        <f>'Ch41 Calc Data'!#REF!*100</f>
        <v>#REF!</v>
      </c>
      <c r="AY112" s="568"/>
      <c r="AZ112" s="716" t="e">
        <f>AZ43*80</f>
        <v>#REF!</v>
      </c>
      <c r="BA112" s="716"/>
      <c r="BB112" s="716" t="e">
        <f>'Ch41 Calc Data'!#REF!*100</f>
        <v>#REF!</v>
      </c>
      <c r="BC112" s="716"/>
      <c r="BD112" s="716" t="e">
        <f>BD43*80</f>
        <v>#REF!</v>
      </c>
      <c r="BE112" s="716"/>
      <c r="BF112" s="716" t="e">
        <f>'Ch41 Calc Data'!#REF!*100</f>
        <v>#REF!</v>
      </c>
      <c r="BG112" s="716"/>
      <c r="BH112" s="742" t="e">
        <f>BH43*80</f>
        <v>#REF!</v>
      </c>
      <c r="BI112" s="742"/>
      <c r="BJ112" s="742" t="e">
        <f>'Ch41 Calc Data'!#REF!*100</f>
        <v>#REF!</v>
      </c>
      <c r="BK112" s="742"/>
      <c r="BL112" s="742" t="e">
        <f>BL43*80</f>
        <v>#REF!</v>
      </c>
      <c r="BM112" s="742"/>
      <c r="BN112" s="742" t="e">
        <f>'Ch41 Calc Data'!#REF!*100</f>
        <v>#REF!</v>
      </c>
      <c r="BO112" s="742"/>
      <c r="BP112" s="758" t="e">
        <f>BP43*80</f>
        <v>#REF!</v>
      </c>
      <c r="BQ112" s="758"/>
      <c r="BR112" s="758">
        <f>'Ch41 Calc Data'!I10*100</f>
        <v>0</v>
      </c>
      <c r="BS112" s="758"/>
      <c r="BT112" s="758" t="e">
        <f>BT43*80</f>
        <v>#REF!</v>
      </c>
      <c r="BU112" s="758"/>
      <c r="BV112" s="758">
        <f>'Ch41 Calc Data'!I10*100</f>
        <v>0</v>
      </c>
      <c r="BX112" s="360" t="e">
        <f>BX43*80</f>
        <v>#REF!</v>
      </c>
      <c r="BZ112" s="360" t="e">
        <f>'Ch41 Calc Data'!#REF!*100</f>
        <v>#REF!</v>
      </c>
      <c r="CH112" s="197" t="e">
        <f>CH43*80</f>
        <v>#REF!</v>
      </c>
      <c r="CI112" s="450"/>
      <c r="CJ112" s="197" t="e">
        <f>'Ch41 Calc Data'!#REF!*100</f>
        <v>#REF!</v>
      </c>
      <c r="CN112" s="510" t="e">
        <f>CN43*80</f>
        <v>#REF!</v>
      </c>
      <c r="CO112" s="111"/>
      <c r="CP112" s="510" t="e">
        <f>'Ch41 Calc Data'!#REF!*100</f>
        <v>#REF!</v>
      </c>
      <c r="CT112" s="568" t="e">
        <f>CT43*80</f>
        <v>#REF!</v>
      </c>
      <c r="CU112" s="531"/>
      <c r="CV112" s="568" t="e">
        <f>'Ch41 Calc Data'!#REF!*100</f>
        <v>#REF!</v>
      </c>
      <c r="CZ112" s="716" t="e">
        <f>CZ43*80</f>
        <v>#REF!</v>
      </c>
      <c r="DB112" s="716" t="e">
        <f>'Ch41 Calc Data'!#REF!*100</f>
        <v>#REF!</v>
      </c>
      <c r="DF112" s="742" t="e">
        <f>DF43*80</f>
        <v>#REF!</v>
      </c>
      <c r="DH112" s="742" t="e">
        <f>'Ch41 Calc Data'!#REF!*100</f>
        <v>#REF!</v>
      </c>
      <c r="DL112" s="758" t="e">
        <f>DL43*80</f>
        <v>#REF!</v>
      </c>
      <c r="DN112" s="758">
        <f>'Ch41 Calc Data'!I10*100</f>
        <v>0</v>
      </c>
    </row>
    <row r="113" spans="5:118">
      <c r="J113" s="323"/>
      <c r="K113" s="323"/>
      <c r="L113" s="323"/>
      <c r="M113" s="323"/>
      <c r="N113" s="323"/>
      <c r="O113" s="323"/>
      <c r="P113" s="323"/>
      <c r="Q113" s="323"/>
      <c r="S113" s="180"/>
      <c r="U113" s="180"/>
      <c r="W113" s="180"/>
      <c r="X113" s="180"/>
      <c r="Y113" s="180"/>
      <c r="AJ113" s="111"/>
      <c r="AK113" s="111"/>
      <c r="AL113" s="111"/>
      <c r="AM113" s="111"/>
      <c r="AN113" s="111"/>
      <c r="AO113" s="111"/>
      <c r="AP113" s="111"/>
      <c r="AQ113" s="111"/>
      <c r="AR113" s="531"/>
      <c r="AS113" s="531"/>
      <c r="AT113" s="531"/>
      <c r="AU113" s="531"/>
      <c r="AV113" s="531"/>
      <c r="AW113" s="531"/>
      <c r="AX113" s="531"/>
      <c r="AY113" s="531"/>
      <c r="CH113" s="450"/>
      <c r="CI113" s="450"/>
      <c r="CJ113" s="450"/>
      <c r="CN113" s="111"/>
      <c r="CO113" s="111"/>
      <c r="CP113" s="111"/>
      <c r="CT113" s="531"/>
      <c r="CU113" s="531"/>
      <c r="CV113" s="531"/>
    </row>
    <row r="114" spans="5:118">
      <c r="E114" s="180" t="e">
        <f>IF('Data Entry - SOF'!#REF!=0,0,'Data Entry - SOF'!#REF!*('Option Costs'!E42/'Option Costs'!E41))</f>
        <v>#REF!</v>
      </c>
      <c r="I114" s="180" t="e">
        <f>IF('Data Entry - SOF'!#REF!=0,0,IF(I41=0,0,'Data Entry - SOF'!#REF!*('Option Costs'!I42/'Option Costs'!I41)))</f>
        <v>#REF!</v>
      </c>
      <c r="J114" s="323"/>
      <c r="K114" s="323"/>
      <c r="L114" s="323"/>
      <c r="M114" s="323" t="e">
        <f>IF('Data Entry - SOF'!#REF!=0,0,'Data Entry - SOF'!#REF!*('Option Costs'!M42/'Option Costs'!M41))</f>
        <v>#REF!</v>
      </c>
      <c r="N114" s="323"/>
      <c r="O114" s="323"/>
      <c r="P114" s="323"/>
      <c r="Q114" s="323" t="e">
        <f>IF('Data Entry - SOF'!#REF!=0,0,IF(Q41=0,0,'Data Entry - SOF'!#REF!*('Option Costs'!Q42/'Option Costs'!Q41)))</f>
        <v>#REF!</v>
      </c>
      <c r="S114" s="180"/>
      <c r="U114" s="180" t="e">
        <f>IF('Data Entry - SOF'!#REF!=0,0,'Data Entry - SOF'!#REF!*('Option Costs'!U42/'Option Costs'!U41))</f>
        <v>#REF!</v>
      </c>
      <c r="W114" s="180"/>
      <c r="X114" s="180"/>
      <c r="Y114" s="180" t="e">
        <f>IF('Data Entry - SOF'!#REF!=0,0,IF(Y41=0,0,'Data Entry - SOF'!#REF!*('Option Costs'!Y42/'Option Costs'!Y41)))</f>
        <v>#REF!</v>
      </c>
      <c r="AJ114" s="111"/>
      <c r="AK114" s="111"/>
      <c r="AL114" s="111" t="e">
        <f>IF('Data Entry - SOF'!#REF!=0,0,'Data Entry - SOF'!#REF!*('Option Costs'!AL42/'Option Costs'!AL41))</f>
        <v>#REF!</v>
      </c>
      <c r="AM114" s="111"/>
      <c r="AN114" s="111"/>
      <c r="AO114" s="111"/>
      <c r="AP114" s="111" t="e">
        <f>IF('Data Entry - SOF'!#REF!=0,0,IF(AP41=0,0,'Data Entry - SOF'!#REF!*('Option Costs'!AP42/'Option Costs'!AP41)))</f>
        <v>#REF!</v>
      </c>
      <c r="AQ114" s="111"/>
      <c r="AR114" s="531"/>
      <c r="AS114" s="531"/>
      <c r="AT114" s="531" t="e">
        <f>IF('Data Entry - SOF'!#REF!=0,0,'Data Entry - SOF'!#REF!*('Option Costs'!AT42/'Option Costs'!AT41))</f>
        <v>#REF!</v>
      </c>
      <c r="AU114" s="531"/>
      <c r="AV114" s="531"/>
      <c r="AW114" s="531"/>
      <c r="AX114" s="531" t="e">
        <f>IF('Data Entry - SOF'!#REF!=0,0,IF(AX41=0,0,'Data Entry - SOF'!#REF!*('Option Costs'!AX42/'Option Costs'!AX41)))</f>
        <v>#REF!</v>
      </c>
      <c r="AY114" s="531"/>
      <c r="BB114" s="172" t="e">
        <f>IF('Data Entry - SOF'!#REF!=0,0,'Data Entry - SOF'!#REF!*('Option Costs'!BB42/'Option Costs'!BB41))</f>
        <v>#REF!</v>
      </c>
      <c r="BF114" s="172" t="e">
        <f>IF('Data Entry - SOF'!#REF!=0,0,IF(BF41=0,0,'Data Entry - SOF'!#REF!*('Option Costs'!BF42/'Option Costs'!BF41)))</f>
        <v>#REF!</v>
      </c>
      <c r="BJ114" s="618" t="e">
        <f>IF('Data Entry - SOF'!#REF!=0,0,'Data Entry - SOF'!#REF!*('Option Costs'!BJ42/'Option Costs'!BJ41))</f>
        <v>#REF!</v>
      </c>
      <c r="BN114" s="618" t="e">
        <f>IF('Data Entry - SOF'!#REF!=0,0,IF(BN41=0,0,'Data Entry - SOF'!#REF!*('Option Costs'!BN42/'Option Costs'!BN41)))</f>
        <v>#REF!</v>
      </c>
      <c r="BR114" s="636" t="e">
        <f>IF('Data Entry - SOF'!#REF!=0,0,'Data Entry - SOF'!#REF!*('Option Costs'!BR42/'Option Costs'!BR41))</f>
        <v>#REF!</v>
      </c>
      <c r="BV114" s="636" t="e">
        <f>IF('Data Entry - SOF'!#REF!=0,0,IF(BV41=0,0,'Data Entry - SOF'!#REF!*('Option Costs'!BV42/'Option Costs'!BV41)))</f>
        <v>#REF!</v>
      </c>
      <c r="BZ114" s="323" t="e">
        <f>IF('Data Entry - SOF'!#REF!=0,0,'Data Entry - SOF'!#REF!*('Option Costs'!BZ42/'Option Costs'!BZ41))</f>
        <v>#REF!</v>
      </c>
      <c r="CH114" s="450"/>
      <c r="CI114" s="450"/>
      <c r="CJ114" s="180" t="e">
        <f>IF('Data Entry - SOF'!#REF!=0,0,'Data Entry - SOF'!#REF!*('Option Costs'!CH42/'Option Costs'!CH41))</f>
        <v>#REF!</v>
      </c>
      <c r="CN114" s="111"/>
      <c r="CO114" s="111"/>
      <c r="CP114" s="111" t="e">
        <f>IF('Data Entry - SOF'!#REF!=0,0,'Data Entry - SOF'!#REF!*('Option Costs'!CN42/'Option Costs'!CN41))</f>
        <v>#REF!</v>
      </c>
      <c r="CT114" s="531"/>
      <c r="CU114" s="531"/>
      <c r="CV114" s="531" t="e">
        <f>IF('Data Entry - SOF'!#REF!=0,0,'Data Entry - SOF'!#REF!*('Option Costs'!CT42/'Option Costs'!CT41))</f>
        <v>#REF!</v>
      </c>
      <c r="DB114" s="172" t="e">
        <f>IF('Data Entry - SOF'!#REF!=0,0,'Data Entry - SOF'!#REF!*('Option Costs'!CZ42/'Option Costs'!CZ41))</f>
        <v>#REF!</v>
      </c>
      <c r="DH114" s="618" t="e">
        <f>IF('Data Entry - SOF'!#REF!=0,0,'Data Entry - SOF'!#REF!*('Option Costs'!DF42/'Option Costs'!DF41))</f>
        <v>#REF!</v>
      </c>
      <c r="DN114" s="636" t="e">
        <f>IF('Data Entry - SOF'!#REF!=0,0,'Data Entry - SOF'!#REF!*('Option Costs'!DL42/'Option Costs'!DL41))</f>
        <v>#REF!</v>
      </c>
    </row>
    <row r="117" spans="5:118">
      <c r="W117" s="121" t="e">
        <f>IF(K47=0,0,K48*(Q75/K47)*0.05)</f>
        <v>#REF!</v>
      </c>
      <c r="Y117" s="197" t="e">
        <f>IF(S47=0,0,S48*(Y75/S47)*0.05)</f>
        <v>#REF!</v>
      </c>
    </row>
    <row r="118" spans="5:118">
      <c r="W118" s="121" t="e">
        <f>IF(K47=0,0,'Ch41 Calc Data'!#REF!*100*(Q75/K47))</f>
        <v>#REF!</v>
      </c>
      <c r="Y118" s="197" t="e">
        <f>IF(S47=0,0,'Ch41 Calc Data'!#REF!*100*(Y75/S47))</f>
        <v>#REF!</v>
      </c>
    </row>
    <row r="119" spans="5:118">
      <c r="W119" s="121"/>
      <c r="Y119" s="197"/>
    </row>
    <row r="120" spans="5:118">
      <c r="W120" s="121" t="e">
        <f>IF(K47=0,0,K42*0.04*(1-(Q75/K47)))</f>
        <v>#REF!</v>
      </c>
      <c r="Y120" s="197" t="e">
        <f>IF(S47=0,0,S42*0.04*(1-(Y75/S47)))</f>
        <v>#REF!</v>
      </c>
    </row>
    <row r="121" spans="5:118">
      <c r="W121" s="121" t="e">
        <f>IF(K47=0,0,80*K43*(1-(Q75/K47)))</f>
        <v>#REF!</v>
      </c>
      <c r="Y121" s="197" t="e">
        <f>IF(S47=0,0,80*S43*(1-(Y75/S47)))</f>
        <v>#REF!</v>
      </c>
    </row>
  </sheetData>
  <phoneticPr fontId="25" type="noConversion"/>
  <pageMargins left="0.25" right="0.25" top="0.5" bottom="0.5" header="0.5" footer="0.5"/>
  <pageSetup scale="80" fitToWidth="2" fitToHeight="2" orientation="landscape" r:id="rId1"/>
  <headerFooter alignWithMargins="0">
    <oddFooter>&amp;L&amp;G</oddFooter>
  </headerFooter>
  <rowBreaks count="1" manualBreakCount="1">
    <brk id="62" max="49" man="1"/>
  </rowBreaks>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9"/>
  <sheetViews>
    <sheetView workbookViewId="0">
      <selection activeCell="A27" sqref="A27"/>
    </sheetView>
  </sheetViews>
  <sheetFormatPr defaultRowHeight="12.75"/>
  <cols>
    <col min="2" max="9" width="12.7109375" customWidth="1"/>
    <col min="10" max="10" width="14.7109375" style="47" customWidth="1"/>
    <col min="11" max="11" width="15.85546875" style="47" customWidth="1"/>
    <col min="12" max="12" width="14" customWidth="1"/>
    <col min="13" max="16" width="13.7109375" customWidth="1"/>
    <col min="17" max="17" width="12.7109375" customWidth="1"/>
    <col min="18" max="18" width="9.7109375" style="137" customWidth="1"/>
    <col min="19" max="19" width="12.140625" customWidth="1"/>
    <col min="20" max="20" width="11.85546875" customWidth="1"/>
    <col min="22" max="22" width="12.7109375" customWidth="1"/>
    <col min="23" max="23" width="12.140625" customWidth="1"/>
  </cols>
  <sheetData>
    <row r="1" spans="1:23">
      <c r="A1" s="122" t="s">
        <v>225</v>
      </c>
      <c r="B1" s="124">
        <v>602.78399999999999</v>
      </c>
      <c r="C1" s="124">
        <v>606.13699999999994</v>
      </c>
      <c r="D1" s="124">
        <v>587.83199999999999</v>
      </c>
      <c r="E1" s="124">
        <v>568.06399999999996</v>
      </c>
      <c r="F1" s="124">
        <v>106.9627</v>
      </c>
      <c r="G1" s="124">
        <v>113.2355</v>
      </c>
      <c r="H1" s="124">
        <v>113.8425</v>
      </c>
      <c r="I1" s="124">
        <v>88.219399999999993</v>
      </c>
      <c r="J1" s="134">
        <v>208564665</v>
      </c>
      <c r="K1" s="134">
        <v>214232586</v>
      </c>
      <c r="L1" s="124">
        <v>897.42200000000003</v>
      </c>
      <c r="M1" s="114">
        <v>0</v>
      </c>
      <c r="N1" s="135">
        <v>74.6678</v>
      </c>
      <c r="O1" s="135">
        <v>77.457599999999999</v>
      </c>
      <c r="P1" s="135">
        <v>78.798000000000002</v>
      </c>
      <c r="Q1" s="135">
        <v>59.132100000000001</v>
      </c>
      <c r="R1" s="137">
        <v>1.03</v>
      </c>
      <c r="S1" s="120">
        <v>0</v>
      </c>
      <c r="T1" s="120">
        <v>2929564</v>
      </c>
      <c r="U1" s="120">
        <v>0</v>
      </c>
      <c r="V1" s="114">
        <f>T1+U1</f>
        <v>2929564</v>
      </c>
      <c r="W1" s="114">
        <f>V1+S1</f>
        <v>2929564</v>
      </c>
    </row>
    <row r="2" spans="1:23">
      <c r="A2" s="122" t="s">
        <v>2228</v>
      </c>
      <c r="B2" s="124">
        <v>1029.21</v>
      </c>
      <c r="C2" s="124">
        <v>1054.8910000000001</v>
      </c>
      <c r="D2" s="124">
        <v>1071.075</v>
      </c>
      <c r="E2" s="124">
        <v>1089.3710000000001</v>
      </c>
      <c r="F2" s="124">
        <v>166.76</v>
      </c>
      <c r="G2" s="124">
        <v>174.44880000000001</v>
      </c>
      <c r="H2" s="124">
        <v>175.7243</v>
      </c>
      <c r="I2" s="124">
        <v>171.73419999999999</v>
      </c>
      <c r="J2" s="134">
        <v>117185350</v>
      </c>
      <c r="K2" s="134">
        <v>130417580</v>
      </c>
      <c r="L2" s="124">
        <v>1654.269</v>
      </c>
      <c r="M2" s="134">
        <v>54662</v>
      </c>
      <c r="N2" s="135">
        <v>112.8048</v>
      </c>
      <c r="O2" s="135">
        <v>118.67910000000001</v>
      </c>
      <c r="P2" s="135">
        <v>120.3415</v>
      </c>
      <c r="Q2" s="135">
        <v>115.21680000000001</v>
      </c>
      <c r="R2" s="137">
        <v>1.03</v>
      </c>
      <c r="S2" s="120">
        <v>56158</v>
      </c>
      <c r="T2" s="120">
        <v>1795080</v>
      </c>
      <c r="U2" s="120">
        <v>0</v>
      </c>
      <c r="V2" s="114">
        <f t="shared" ref="V2:V52" si="0">T2+U2</f>
        <v>1795080</v>
      </c>
      <c r="W2" s="114">
        <f t="shared" ref="W2:W53" si="1">V2+S2</f>
        <v>1851238</v>
      </c>
    </row>
    <row r="3" spans="1:23">
      <c r="A3" s="122" t="s">
        <v>15</v>
      </c>
      <c r="B3" s="124">
        <v>791.69200000000001</v>
      </c>
      <c r="C3" s="124">
        <v>751.83399999999995</v>
      </c>
      <c r="D3" s="124">
        <v>735.74800000000005</v>
      </c>
      <c r="E3" s="124">
        <v>745.66099999999994</v>
      </c>
      <c r="F3" s="124">
        <v>104.4545</v>
      </c>
      <c r="G3" s="124">
        <v>116.8984</v>
      </c>
      <c r="H3" s="124">
        <v>122.56950000000001</v>
      </c>
      <c r="I3" s="124">
        <v>124.4546</v>
      </c>
      <c r="J3" s="134">
        <v>145416671</v>
      </c>
      <c r="K3" s="134">
        <v>156262221</v>
      </c>
      <c r="L3" s="124">
        <v>1159.4469999999999</v>
      </c>
      <c r="M3" s="134">
        <v>124555</v>
      </c>
      <c r="N3" s="135">
        <v>70.470100000000002</v>
      </c>
      <c r="O3" s="135">
        <v>80.998099999999994</v>
      </c>
      <c r="P3" s="135">
        <v>84.183400000000006</v>
      </c>
      <c r="Q3" s="135">
        <v>84.1006</v>
      </c>
      <c r="R3" s="137">
        <v>1.03</v>
      </c>
      <c r="S3" s="120">
        <v>132719</v>
      </c>
      <c r="T3" s="120">
        <v>2283505</v>
      </c>
      <c r="U3" s="120">
        <v>0</v>
      </c>
      <c r="V3" s="114">
        <f t="shared" si="0"/>
        <v>2283505</v>
      </c>
      <c r="W3" s="114">
        <f t="shared" si="1"/>
        <v>2416224</v>
      </c>
    </row>
    <row r="4" spans="1:23">
      <c r="A4" s="122" t="s">
        <v>16</v>
      </c>
      <c r="B4" s="124">
        <v>291.61399999999998</v>
      </c>
      <c r="C4" s="124">
        <v>282.28100000000001</v>
      </c>
      <c r="D4" s="124">
        <v>298.38400000000001</v>
      </c>
      <c r="E4" s="124">
        <v>290.11900000000003</v>
      </c>
      <c r="F4" s="124">
        <v>51.9572</v>
      </c>
      <c r="G4" s="124">
        <v>52.414400000000001</v>
      </c>
      <c r="H4" s="124">
        <v>50.877000000000002</v>
      </c>
      <c r="I4" s="124">
        <v>44.9358</v>
      </c>
      <c r="J4" s="134">
        <v>47879657</v>
      </c>
      <c r="K4" s="134">
        <v>51309638</v>
      </c>
      <c r="L4" s="124">
        <v>513.02200000000005</v>
      </c>
      <c r="M4" s="114">
        <v>0</v>
      </c>
      <c r="N4" s="135">
        <v>32.997700000000002</v>
      </c>
      <c r="O4" s="135">
        <v>30.500299999999999</v>
      </c>
      <c r="P4" s="135">
        <v>29.0014</v>
      </c>
      <c r="Q4" s="135">
        <v>26.393799999999999</v>
      </c>
      <c r="R4" s="137">
        <v>1.03</v>
      </c>
      <c r="S4" s="120">
        <v>0</v>
      </c>
      <c r="T4" s="120">
        <v>724313</v>
      </c>
      <c r="U4" s="120">
        <v>0</v>
      </c>
      <c r="V4" s="114">
        <f t="shared" si="0"/>
        <v>724313</v>
      </c>
      <c r="W4" s="114">
        <f t="shared" si="1"/>
        <v>724313</v>
      </c>
    </row>
    <row r="5" spans="1:23">
      <c r="A5" s="122" t="s">
        <v>17</v>
      </c>
      <c r="B5" s="124">
        <v>3283.4209999999998</v>
      </c>
      <c r="C5" s="124">
        <v>3147.5529999999999</v>
      </c>
      <c r="D5" s="124">
        <v>3137.1289999999999</v>
      </c>
      <c r="E5" s="124">
        <v>3134.3470000000002</v>
      </c>
      <c r="F5" s="124">
        <v>544.12260000000003</v>
      </c>
      <c r="G5" s="124">
        <v>542.13480000000004</v>
      </c>
      <c r="H5" s="124">
        <v>551.21529999999996</v>
      </c>
      <c r="I5" s="124">
        <v>527.851</v>
      </c>
      <c r="J5" s="134">
        <v>623727464</v>
      </c>
      <c r="K5" s="134">
        <v>667521829</v>
      </c>
      <c r="L5" s="124">
        <v>4174.1530000000002</v>
      </c>
      <c r="M5" s="134">
        <v>643604</v>
      </c>
      <c r="N5" s="135">
        <v>344.1216</v>
      </c>
      <c r="O5" s="135">
        <v>341.9427</v>
      </c>
      <c r="P5" s="135">
        <v>338.21480000000003</v>
      </c>
      <c r="Q5" s="135">
        <v>334.90640000000002</v>
      </c>
      <c r="R5" s="137">
        <v>1.06</v>
      </c>
      <c r="S5" s="120">
        <v>710900</v>
      </c>
      <c r="T5" s="120">
        <v>9903772</v>
      </c>
      <c r="U5" s="120">
        <v>0</v>
      </c>
      <c r="V5" s="114">
        <f t="shared" si="0"/>
        <v>9903772</v>
      </c>
      <c r="W5" s="114">
        <f t="shared" si="1"/>
        <v>10614672</v>
      </c>
    </row>
    <row r="6" spans="1:23">
      <c r="A6" s="122" t="s">
        <v>1254</v>
      </c>
      <c r="B6" s="124">
        <v>1680.0070000000001</v>
      </c>
      <c r="C6" s="124">
        <v>1709.317</v>
      </c>
      <c r="D6" s="124">
        <v>1712.732</v>
      </c>
      <c r="E6" s="124">
        <v>1700.52</v>
      </c>
      <c r="F6" s="124">
        <v>241.24469999999999</v>
      </c>
      <c r="G6" s="124">
        <v>244.95849999999999</v>
      </c>
      <c r="H6" s="124">
        <v>246.59690000000001</v>
      </c>
      <c r="I6" s="124">
        <v>250.7047</v>
      </c>
      <c r="J6" s="134">
        <v>306887299</v>
      </c>
      <c r="K6" s="134">
        <v>325218929</v>
      </c>
      <c r="L6" s="124">
        <v>2355.3890000000001</v>
      </c>
      <c r="M6" s="114">
        <v>0</v>
      </c>
      <c r="N6" s="135">
        <v>156.27430000000001</v>
      </c>
      <c r="O6" s="135">
        <v>159.9247</v>
      </c>
      <c r="P6" s="135">
        <v>165.32310000000001</v>
      </c>
      <c r="Q6" s="135">
        <v>170.6729</v>
      </c>
      <c r="R6" s="137">
        <v>1.05</v>
      </c>
      <c r="S6" s="120">
        <v>1740</v>
      </c>
      <c r="T6" s="120">
        <v>3876446</v>
      </c>
      <c r="U6" s="120">
        <v>0</v>
      </c>
      <c r="V6" s="114">
        <f t="shared" si="0"/>
        <v>3876446</v>
      </c>
      <c r="W6" s="114">
        <f t="shared" si="1"/>
        <v>3878186</v>
      </c>
    </row>
    <row r="7" spans="1:23">
      <c r="A7" s="122" t="s">
        <v>1255</v>
      </c>
      <c r="B7" s="124">
        <v>330.565</v>
      </c>
      <c r="C7" s="124">
        <v>350.26799999999997</v>
      </c>
      <c r="D7" s="124">
        <v>351.05900000000003</v>
      </c>
      <c r="E7" s="124">
        <v>351.52699999999999</v>
      </c>
      <c r="F7" s="124">
        <v>53.933599999999998</v>
      </c>
      <c r="G7" s="124">
        <v>52.954900000000002</v>
      </c>
      <c r="H7" s="124">
        <v>56.135399999999997</v>
      </c>
      <c r="I7" s="124">
        <v>57.801200000000001</v>
      </c>
      <c r="J7" s="134">
        <v>63454309</v>
      </c>
      <c r="K7" s="134">
        <v>68540369</v>
      </c>
      <c r="L7" s="124">
        <v>630.78700000000003</v>
      </c>
      <c r="M7" s="114">
        <v>0</v>
      </c>
      <c r="N7" s="135">
        <v>36.789200000000001</v>
      </c>
      <c r="O7" s="135">
        <v>37.772500000000001</v>
      </c>
      <c r="P7" s="135">
        <v>39.6096</v>
      </c>
      <c r="Q7" s="135">
        <v>40.313800000000001</v>
      </c>
      <c r="R7" s="137">
        <v>1.03</v>
      </c>
      <c r="S7" s="120">
        <v>0</v>
      </c>
      <c r="T7" s="120">
        <v>892888</v>
      </c>
      <c r="U7" s="120">
        <v>0</v>
      </c>
      <c r="V7" s="114">
        <f t="shared" si="0"/>
        <v>892888</v>
      </c>
      <c r="W7" s="114">
        <f t="shared" si="1"/>
        <v>892888</v>
      </c>
    </row>
    <row r="8" spans="1:23">
      <c r="A8" s="122" t="s">
        <v>2102</v>
      </c>
      <c r="B8" s="124">
        <v>3023.3560000000002</v>
      </c>
      <c r="C8" s="124">
        <v>2954.8229999999999</v>
      </c>
      <c r="D8" s="124">
        <v>2874.2640000000001</v>
      </c>
      <c r="E8" s="124">
        <v>2841.4740000000002</v>
      </c>
      <c r="F8" s="124">
        <v>491.36900000000003</v>
      </c>
      <c r="G8" s="124">
        <v>493.47770000000003</v>
      </c>
      <c r="H8" s="124">
        <v>493.86619999999999</v>
      </c>
      <c r="I8" s="124">
        <v>467.80450000000002</v>
      </c>
      <c r="J8" s="134">
        <v>1804905070</v>
      </c>
      <c r="K8" s="134">
        <v>1830454026</v>
      </c>
      <c r="L8" s="124">
        <v>3833.9409999999998</v>
      </c>
      <c r="M8" s="114">
        <v>0</v>
      </c>
      <c r="N8" s="135">
        <v>312.84379999999999</v>
      </c>
      <c r="O8" s="135">
        <v>312.73540000000003</v>
      </c>
      <c r="P8" s="135">
        <v>312.41669999999999</v>
      </c>
      <c r="Q8" s="135">
        <v>294.32440000000003</v>
      </c>
      <c r="R8" s="137">
        <v>1.1200000000000001</v>
      </c>
      <c r="S8" s="120">
        <v>3640435</v>
      </c>
      <c r="T8" s="120">
        <v>25311744</v>
      </c>
      <c r="U8" s="120">
        <v>0</v>
      </c>
      <c r="V8" s="114">
        <f t="shared" si="0"/>
        <v>25311744</v>
      </c>
      <c r="W8" s="114">
        <f t="shared" si="1"/>
        <v>28952179</v>
      </c>
    </row>
    <row r="9" spans="1:23">
      <c r="A9" s="122" t="s">
        <v>774</v>
      </c>
      <c r="B9" s="124">
        <v>2079.7640000000001</v>
      </c>
      <c r="C9" s="124">
        <v>2104.4690000000001</v>
      </c>
      <c r="D9" s="124">
        <v>2125.9009999999998</v>
      </c>
      <c r="E9" s="124">
        <v>2173.3580000000002</v>
      </c>
      <c r="F9" s="124">
        <v>277.572</v>
      </c>
      <c r="G9" s="124">
        <v>293.30459999999999</v>
      </c>
      <c r="H9" s="124">
        <v>302.91410000000002</v>
      </c>
      <c r="I9" s="124">
        <v>311.7697</v>
      </c>
      <c r="J9" s="134">
        <v>176437411</v>
      </c>
      <c r="K9" s="134">
        <v>195702211</v>
      </c>
      <c r="L9" s="124">
        <v>2925.4859999999999</v>
      </c>
      <c r="M9" s="134">
        <v>177958</v>
      </c>
      <c r="N9" s="135">
        <v>179.7809</v>
      </c>
      <c r="O9" s="135">
        <v>182.05930000000001</v>
      </c>
      <c r="P9" s="135">
        <v>183.18530000000001</v>
      </c>
      <c r="Q9" s="135">
        <v>185.00450000000001</v>
      </c>
      <c r="R9" s="137">
        <v>1.04</v>
      </c>
      <c r="S9" s="120">
        <v>215202</v>
      </c>
      <c r="T9" s="120">
        <v>2533504</v>
      </c>
      <c r="U9" s="120">
        <v>0</v>
      </c>
      <c r="V9" s="114">
        <f t="shared" si="0"/>
        <v>2533504</v>
      </c>
      <c r="W9" s="114">
        <f t="shared" si="1"/>
        <v>2748706</v>
      </c>
    </row>
    <row r="10" spans="1:23">
      <c r="A10" s="122" t="s">
        <v>1637</v>
      </c>
      <c r="B10" s="124">
        <v>7326.3109999999997</v>
      </c>
      <c r="C10" s="124">
        <v>7289.7420000000002</v>
      </c>
      <c r="D10" s="124">
        <v>7447.0940000000001</v>
      </c>
      <c r="E10" s="124">
        <v>7502.4440000000004</v>
      </c>
      <c r="F10" s="124">
        <v>1130.1024</v>
      </c>
      <c r="G10" s="124">
        <v>1236.6210000000001</v>
      </c>
      <c r="H10" s="124">
        <v>1243.7559000000001</v>
      </c>
      <c r="I10" s="124">
        <v>1251.1992</v>
      </c>
      <c r="J10" s="134">
        <v>1640196972</v>
      </c>
      <c r="K10" s="134">
        <v>1729001822</v>
      </c>
      <c r="L10" s="124">
        <v>10020.133</v>
      </c>
      <c r="M10" s="134">
        <v>1273147</v>
      </c>
      <c r="N10" s="135">
        <v>706.34969999999998</v>
      </c>
      <c r="O10" s="135">
        <v>751.03390000000002</v>
      </c>
      <c r="P10" s="135">
        <v>755.8646</v>
      </c>
      <c r="Q10" s="135">
        <v>772.7056</v>
      </c>
      <c r="R10" s="137">
        <v>1.06</v>
      </c>
      <c r="S10" s="120">
        <v>1363964</v>
      </c>
      <c r="T10" s="120">
        <v>25029207</v>
      </c>
      <c r="U10" s="120">
        <v>0</v>
      </c>
      <c r="V10" s="114">
        <f t="shared" si="0"/>
        <v>25029207</v>
      </c>
      <c r="W10" s="114">
        <f t="shared" si="1"/>
        <v>26393171</v>
      </c>
    </row>
    <row r="11" spans="1:23">
      <c r="A11" s="122" t="s">
        <v>1279</v>
      </c>
      <c r="B11" s="124">
        <v>1541.3340000000001</v>
      </c>
      <c r="C11" s="124">
        <v>1510.5150000000001</v>
      </c>
      <c r="D11" s="124">
        <v>1548.4110000000001</v>
      </c>
      <c r="E11" s="124">
        <v>1552.3019999999999</v>
      </c>
      <c r="F11" s="124">
        <v>225.94970000000001</v>
      </c>
      <c r="G11" s="124">
        <v>232.8107</v>
      </c>
      <c r="H11" s="124">
        <v>261.16370000000001</v>
      </c>
      <c r="I11" s="124">
        <v>262.4579</v>
      </c>
      <c r="J11" s="134">
        <v>113563778</v>
      </c>
      <c r="K11" s="134">
        <v>131580818</v>
      </c>
      <c r="L11" s="124">
        <v>2274.2640000000001</v>
      </c>
      <c r="M11" s="134">
        <v>93905</v>
      </c>
      <c r="N11" s="135">
        <v>144.11359999999999</v>
      </c>
      <c r="O11" s="135">
        <v>143.85810000000001</v>
      </c>
      <c r="P11" s="135">
        <v>149.619</v>
      </c>
      <c r="Q11" s="135">
        <v>158.29409999999999</v>
      </c>
      <c r="R11" s="137">
        <v>1.04</v>
      </c>
      <c r="S11" s="120">
        <v>169499</v>
      </c>
      <c r="T11" s="120">
        <v>1742502</v>
      </c>
      <c r="U11" s="120">
        <v>0</v>
      </c>
      <c r="V11" s="114">
        <f t="shared" si="0"/>
        <v>1742502</v>
      </c>
      <c r="W11" s="114">
        <f t="shared" si="1"/>
        <v>1912001</v>
      </c>
    </row>
    <row r="12" spans="1:23">
      <c r="A12" s="122" t="s">
        <v>369</v>
      </c>
      <c r="B12" s="124">
        <v>1734.5920000000001</v>
      </c>
      <c r="C12" s="124">
        <v>1748.6210000000001</v>
      </c>
      <c r="D12" s="124">
        <v>1736.395</v>
      </c>
      <c r="E12" s="124">
        <v>1732.4949999999999</v>
      </c>
      <c r="F12" s="124">
        <v>291.15870000000001</v>
      </c>
      <c r="G12" s="124">
        <v>290.74119999999999</v>
      </c>
      <c r="H12" s="124">
        <v>296.9495</v>
      </c>
      <c r="I12" s="124">
        <v>304.50299999999999</v>
      </c>
      <c r="J12" s="134">
        <v>226518289</v>
      </c>
      <c r="K12" s="134">
        <v>241273229</v>
      </c>
      <c r="L12" s="124">
        <v>2511.1010000000001</v>
      </c>
      <c r="M12" s="134">
        <v>218901</v>
      </c>
      <c r="N12" s="135">
        <v>174.30930000000001</v>
      </c>
      <c r="O12" s="135">
        <v>174.6593</v>
      </c>
      <c r="P12" s="135">
        <v>186.9007</v>
      </c>
      <c r="Q12" s="135">
        <v>191.52279999999999</v>
      </c>
      <c r="R12" s="137">
        <v>1.06</v>
      </c>
      <c r="S12" s="120">
        <v>229995</v>
      </c>
      <c r="T12" s="120">
        <v>3408175</v>
      </c>
      <c r="U12" s="120">
        <v>0</v>
      </c>
      <c r="V12" s="114">
        <f t="shared" si="0"/>
        <v>3408175</v>
      </c>
      <c r="W12" s="114">
        <f t="shared" si="1"/>
        <v>3638170</v>
      </c>
    </row>
    <row r="13" spans="1:23">
      <c r="A13" s="122" t="s">
        <v>370</v>
      </c>
      <c r="B13" s="124">
        <v>432.06799999999998</v>
      </c>
      <c r="C13" s="124">
        <v>430.98700000000002</v>
      </c>
      <c r="D13" s="124">
        <v>417.971</v>
      </c>
      <c r="E13" s="124">
        <v>402.95</v>
      </c>
      <c r="F13" s="124">
        <v>64.139300000000006</v>
      </c>
      <c r="G13" s="124">
        <v>67.227400000000003</v>
      </c>
      <c r="H13" s="124">
        <v>66.289000000000001</v>
      </c>
      <c r="I13" s="124">
        <v>69.5</v>
      </c>
      <c r="J13" s="134">
        <v>52916938</v>
      </c>
      <c r="K13" s="134">
        <v>60011898</v>
      </c>
      <c r="L13" s="124">
        <v>695.30700000000002</v>
      </c>
      <c r="M13" s="134">
        <v>36417</v>
      </c>
      <c r="N13" s="135">
        <v>42.314399999999999</v>
      </c>
      <c r="O13" s="135">
        <v>43.997700000000002</v>
      </c>
      <c r="P13" s="135">
        <v>43.657899999999998</v>
      </c>
      <c r="Q13" s="135">
        <v>42.000100000000003</v>
      </c>
      <c r="R13" s="137">
        <v>1.03</v>
      </c>
      <c r="S13" s="120">
        <v>45193</v>
      </c>
      <c r="T13" s="120">
        <v>793577</v>
      </c>
      <c r="U13" s="120">
        <v>0</v>
      </c>
      <c r="V13" s="114">
        <f t="shared" si="0"/>
        <v>793577</v>
      </c>
      <c r="W13" s="114">
        <f t="shared" si="1"/>
        <v>838770</v>
      </c>
    </row>
    <row r="14" spans="1:23">
      <c r="A14" s="122" t="s">
        <v>371</v>
      </c>
      <c r="B14" s="124">
        <v>1565.712</v>
      </c>
      <c r="C14" s="124">
        <v>1537.838</v>
      </c>
      <c r="D14" s="124">
        <v>1543.0830000000001</v>
      </c>
      <c r="E14" s="124">
        <v>1537.7339999999999</v>
      </c>
      <c r="F14" s="124">
        <v>198.5309</v>
      </c>
      <c r="G14" s="124">
        <v>197.2218</v>
      </c>
      <c r="H14" s="124">
        <v>205.7072</v>
      </c>
      <c r="I14" s="124">
        <v>208.17060000000001</v>
      </c>
      <c r="J14" s="134">
        <v>133026267</v>
      </c>
      <c r="K14" s="134">
        <v>150603627</v>
      </c>
      <c r="L14" s="124">
        <v>2175.4639999999999</v>
      </c>
      <c r="M14" s="114">
        <v>0</v>
      </c>
      <c r="N14" s="135">
        <v>134.68539999999999</v>
      </c>
      <c r="O14" s="135">
        <v>138.97219999999999</v>
      </c>
      <c r="P14" s="135">
        <v>140.5308</v>
      </c>
      <c r="Q14" s="135">
        <v>140.41839999999999</v>
      </c>
      <c r="R14" s="137">
        <v>1.04</v>
      </c>
      <c r="S14" s="120">
        <v>0</v>
      </c>
      <c r="T14" s="120">
        <v>2031675</v>
      </c>
      <c r="U14" s="120">
        <v>0</v>
      </c>
      <c r="V14" s="114">
        <f t="shared" si="0"/>
        <v>2031675</v>
      </c>
      <c r="W14" s="114">
        <f t="shared" si="1"/>
        <v>2031675</v>
      </c>
    </row>
    <row r="15" spans="1:23">
      <c r="A15" s="122" t="s">
        <v>2839</v>
      </c>
      <c r="B15" s="124">
        <v>3201.056</v>
      </c>
      <c r="C15" s="124">
        <v>3098.2750000000001</v>
      </c>
      <c r="D15" s="124">
        <v>3110.75</v>
      </c>
      <c r="E15" s="124">
        <v>3149.348</v>
      </c>
      <c r="F15" s="124">
        <v>543.0992</v>
      </c>
      <c r="G15" s="124">
        <v>544.0403</v>
      </c>
      <c r="H15" s="124">
        <v>553.3904</v>
      </c>
      <c r="I15" s="124">
        <v>496.6891</v>
      </c>
      <c r="J15" s="134">
        <v>1099278870</v>
      </c>
      <c r="K15" s="134">
        <v>1147534685</v>
      </c>
      <c r="L15" s="124">
        <v>4409.018</v>
      </c>
      <c r="M15" s="134">
        <v>442482</v>
      </c>
      <c r="N15" s="135">
        <v>310.94450000000001</v>
      </c>
      <c r="O15" s="135">
        <v>269.49239999999998</v>
      </c>
      <c r="P15" s="135">
        <v>316.09960000000001</v>
      </c>
      <c r="Q15" s="135">
        <v>306.58150000000001</v>
      </c>
      <c r="R15" s="137">
        <v>1.1100000000000001</v>
      </c>
      <c r="S15" s="120">
        <v>1244085</v>
      </c>
      <c r="T15" s="120">
        <v>17634235</v>
      </c>
      <c r="U15" s="120">
        <v>0</v>
      </c>
      <c r="V15" s="114">
        <f t="shared" si="0"/>
        <v>17634235</v>
      </c>
      <c r="W15" s="114">
        <f t="shared" si="1"/>
        <v>18878320</v>
      </c>
    </row>
    <row r="16" spans="1:23">
      <c r="A16" s="122" t="s">
        <v>2840</v>
      </c>
      <c r="B16" s="124">
        <v>565.71900000000005</v>
      </c>
      <c r="C16" s="124">
        <v>540.75800000000004</v>
      </c>
      <c r="D16" s="124">
        <v>524.42700000000002</v>
      </c>
      <c r="E16" s="124">
        <v>505.29300000000001</v>
      </c>
      <c r="F16" s="124">
        <v>92.689700000000002</v>
      </c>
      <c r="G16" s="124">
        <v>89.183000000000007</v>
      </c>
      <c r="H16" s="124">
        <v>84.237799999999993</v>
      </c>
      <c r="I16" s="124">
        <v>82.3048</v>
      </c>
      <c r="J16" s="134">
        <v>123969793</v>
      </c>
      <c r="K16" s="134">
        <v>131190060</v>
      </c>
      <c r="L16" s="124">
        <v>916.88099999999997</v>
      </c>
      <c r="M16" s="134">
        <v>78487</v>
      </c>
      <c r="N16" s="135">
        <v>67.818799999999996</v>
      </c>
      <c r="O16" s="135">
        <v>67.296999999999997</v>
      </c>
      <c r="P16" s="135">
        <v>61.463200000000001</v>
      </c>
      <c r="Q16" s="135">
        <v>61.266300000000001</v>
      </c>
      <c r="R16" s="137">
        <v>1.07</v>
      </c>
      <c r="S16" s="120">
        <v>97109</v>
      </c>
      <c r="T16" s="120">
        <v>1525702</v>
      </c>
      <c r="U16" s="120">
        <v>0</v>
      </c>
      <c r="V16" s="114">
        <f t="shared" si="0"/>
        <v>1525702</v>
      </c>
      <c r="W16" s="114">
        <f t="shared" si="1"/>
        <v>1622811</v>
      </c>
    </row>
    <row r="17" spans="1:23">
      <c r="A17" s="122" t="s">
        <v>2841</v>
      </c>
      <c r="B17" s="124">
        <v>952.37599999999998</v>
      </c>
      <c r="C17" s="124">
        <v>923.19</v>
      </c>
      <c r="D17" s="124">
        <v>897.94200000000001</v>
      </c>
      <c r="E17" s="124">
        <v>873.06899999999996</v>
      </c>
      <c r="F17" s="124">
        <v>128.9958</v>
      </c>
      <c r="G17" s="124">
        <v>128.70840000000001</v>
      </c>
      <c r="H17" s="124">
        <v>125.187</v>
      </c>
      <c r="I17" s="124">
        <v>123.818</v>
      </c>
      <c r="J17" s="134">
        <v>144662445</v>
      </c>
      <c r="K17" s="134">
        <v>156294140</v>
      </c>
      <c r="L17" s="124">
        <v>1225.067</v>
      </c>
      <c r="M17" s="114">
        <v>0</v>
      </c>
      <c r="N17" s="135">
        <v>87.105000000000004</v>
      </c>
      <c r="O17" s="135">
        <v>88.061700000000002</v>
      </c>
      <c r="P17" s="135">
        <v>85.400700000000001</v>
      </c>
      <c r="Q17" s="135">
        <v>86.279700000000005</v>
      </c>
      <c r="R17" s="137">
        <v>1.05</v>
      </c>
      <c r="S17" s="120">
        <v>0</v>
      </c>
      <c r="T17" s="120">
        <v>2137368</v>
      </c>
      <c r="U17" s="120">
        <v>0</v>
      </c>
      <c r="V17" s="114">
        <f t="shared" si="0"/>
        <v>2137368</v>
      </c>
      <c r="W17" s="114">
        <f t="shared" si="1"/>
        <v>2137368</v>
      </c>
    </row>
    <row r="18" spans="1:23">
      <c r="A18" s="122" t="s">
        <v>2842</v>
      </c>
      <c r="B18" s="124">
        <v>48.36</v>
      </c>
      <c r="C18" s="124">
        <v>54.402000000000001</v>
      </c>
      <c r="D18" s="124">
        <v>52.759</v>
      </c>
      <c r="E18" s="124">
        <v>52.750999999999998</v>
      </c>
      <c r="F18" s="124">
        <v>17.0748</v>
      </c>
      <c r="G18" s="124">
        <v>15.754</v>
      </c>
      <c r="H18" s="124">
        <v>17.192499999999999</v>
      </c>
      <c r="I18" s="124">
        <v>16.732600000000001</v>
      </c>
      <c r="J18" s="134">
        <v>19056197</v>
      </c>
      <c r="K18" s="134">
        <v>19920107</v>
      </c>
      <c r="L18" s="124">
        <v>135.495</v>
      </c>
      <c r="M18" s="114">
        <v>0</v>
      </c>
      <c r="N18" s="135">
        <v>12.9467</v>
      </c>
      <c r="O18" s="135">
        <v>11.754099999999999</v>
      </c>
      <c r="P18" s="135">
        <v>11.6785</v>
      </c>
      <c r="Q18" s="135">
        <v>11.970700000000001</v>
      </c>
      <c r="R18" s="137">
        <v>1.07</v>
      </c>
      <c r="S18" s="120">
        <v>0</v>
      </c>
      <c r="T18" s="120">
        <v>299733</v>
      </c>
      <c r="U18" s="120">
        <v>0</v>
      </c>
      <c r="V18" s="114">
        <f t="shared" si="0"/>
        <v>299733</v>
      </c>
      <c r="W18" s="114">
        <f t="shared" si="1"/>
        <v>299733</v>
      </c>
    </row>
    <row r="19" spans="1:23">
      <c r="A19" s="122" t="s">
        <v>2219</v>
      </c>
      <c r="B19" s="124">
        <v>390.42599999999999</v>
      </c>
      <c r="C19" s="124">
        <v>419.36500000000001</v>
      </c>
      <c r="D19" s="124">
        <v>437.25099999999998</v>
      </c>
      <c r="E19" s="124">
        <v>451.26900000000001</v>
      </c>
      <c r="F19" s="124">
        <v>53.291400000000003</v>
      </c>
      <c r="G19" s="124">
        <v>54.722099999999998</v>
      </c>
      <c r="H19" s="124">
        <v>59.771000000000001</v>
      </c>
      <c r="I19" s="124">
        <v>60.828600000000002</v>
      </c>
      <c r="J19" s="134">
        <v>37471075</v>
      </c>
      <c r="K19" s="134">
        <v>40948592</v>
      </c>
      <c r="L19" s="124">
        <v>713.88900000000001</v>
      </c>
      <c r="M19" s="134">
        <v>1744</v>
      </c>
      <c r="N19" s="135">
        <v>36.289900000000003</v>
      </c>
      <c r="O19" s="135">
        <v>38.271999999999998</v>
      </c>
      <c r="P19" s="135">
        <v>39.259799999999998</v>
      </c>
      <c r="Q19" s="135">
        <v>40.885100000000001</v>
      </c>
      <c r="R19" s="137">
        <v>1.06</v>
      </c>
      <c r="S19" s="120">
        <v>126606</v>
      </c>
      <c r="T19" s="120">
        <v>623968</v>
      </c>
      <c r="U19" s="120">
        <v>0</v>
      </c>
      <c r="V19" s="114">
        <f t="shared" si="0"/>
        <v>623968</v>
      </c>
      <c r="W19" s="114">
        <f t="shared" si="1"/>
        <v>750574</v>
      </c>
    </row>
    <row r="20" spans="1:23">
      <c r="A20" s="122" t="s">
        <v>2843</v>
      </c>
      <c r="B20" s="124">
        <v>397.92500000000001</v>
      </c>
      <c r="C20" s="124">
        <v>377.32499999999999</v>
      </c>
      <c r="D20" s="124">
        <v>365.93</v>
      </c>
      <c r="E20" s="124">
        <v>354.26900000000001</v>
      </c>
      <c r="F20" s="124">
        <v>67.016800000000003</v>
      </c>
      <c r="G20" s="124">
        <v>67.357200000000006</v>
      </c>
      <c r="H20" s="124">
        <v>68.835800000000006</v>
      </c>
      <c r="I20" s="124">
        <v>66.679599999999994</v>
      </c>
      <c r="J20" s="134">
        <v>83876553</v>
      </c>
      <c r="K20" s="134">
        <v>88725673</v>
      </c>
      <c r="L20" s="124">
        <v>664.20500000000004</v>
      </c>
      <c r="M20" s="114">
        <v>0</v>
      </c>
      <c r="N20" s="135">
        <v>50.354700000000001</v>
      </c>
      <c r="O20" s="135">
        <v>48.072600000000001</v>
      </c>
      <c r="P20" s="135">
        <v>48.764600000000002</v>
      </c>
      <c r="Q20" s="135">
        <v>47.169699999999999</v>
      </c>
      <c r="R20" s="137">
        <v>1.05</v>
      </c>
      <c r="S20" s="120">
        <v>0</v>
      </c>
      <c r="T20" s="120">
        <v>1209827</v>
      </c>
      <c r="U20" s="120">
        <v>0</v>
      </c>
      <c r="V20" s="114">
        <f t="shared" si="0"/>
        <v>1209827</v>
      </c>
      <c r="W20" s="114">
        <f t="shared" si="1"/>
        <v>1209827</v>
      </c>
    </row>
    <row r="21" spans="1:23">
      <c r="A21" s="122" t="s">
        <v>806</v>
      </c>
      <c r="B21" s="124">
        <v>470.38299999999998</v>
      </c>
      <c r="C21" s="124">
        <v>449.48899999999998</v>
      </c>
      <c r="D21" s="124">
        <v>457.553</v>
      </c>
      <c r="E21" s="124">
        <v>482.82400000000001</v>
      </c>
      <c r="F21" s="124">
        <v>85.893000000000001</v>
      </c>
      <c r="G21" s="124">
        <v>83.876999999999995</v>
      </c>
      <c r="H21" s="124">
        <v>82.876999999999995</v>
      </c>
      <c r="I21" s="124">
        <v>89.711399999999998</v>
      </c>
      <c r="J21" s="134">
        <v>43964027</v>
      </c>
      <c r="K21" s="134">
        <v>47417757</v>
      </c>
      <c r="L21" s="124">
        <v>853.60599999999999</v>
      </c>
      <c r="M21" s="114">
        <v>0</v>
      </c>
      <c r="N21" s="135">
        <v>56.557499999999997</v>
      </c>
      <c r="O21" s="135">
        <v>54.627099999999999</v>
      </c>
      <c r="P21" s="135">
        <v>55.478099999999998</v>
      </c>
      <c r="Q21" s="135">
        <v>61.602699999999999</v>
      </c>
      <c r="R21" s="137">
        <v>1.08</v>
      </c>
      <c r="S21" s="120">
        <v>66453</v>
      </c>
      <c r="T21" s="120">
        <v>609145</v>
      </c>
      <c r="U21" s="120">
        <v>0</v>
      </c>
      <c r="V21" s="114">
        <f t="shared" si="0"/>
        <v>609145</v>
      </c>
      <c r="W21" s="114">
        <f t="shared" si="1"/>
        <v>675598</v>
      </c>
    </row>
    <row r="22" spans="1:23">
      <c r="A22" s="122" t="s">
        <v>2844</v>
      </c>
      <c r="B22" s="124">
        <v>1232.883</v>
      </c>
      <c r="C22" s="124">
        <v>1223.0429999999999</v>
      </c>
      <c r="D22" s="124">
        <v>1212.3150000000001</v>
      </c>
      <c r="E22" s="124">
        <v>1203.819</v>
      </c>
      <c r="F22" s="124">
        <v>196.3826</v>
      </c>
      <c r="G22" s="124">
        <v>204.29400000000001</v>
      </c>
      <c r="H22" s="124">
        <v>202.07749999999999</v>
      </c>
      <c r="I22" s="124">
        <v>201.5001</v>
      </c>
      <c r="J22" s="134">
        <v>307879758</v>
      </c>
      <c r="K22" s="134">
        <v>318420418</v>
      </c>
      <c r="L22" s="124">
        <v>1820.42</v>
      </c>
      <c r="M22" s="114">
        <v>0</v>
      </c>
      <c r="N22" s="135">
        <v>135.1258</v>
      </c>
      <c r="O22" s="135">
        <v>139.97790000000001</v>
      </c>
      <c r="P22" s="135">
        <v>137.79839999999999</v>
      </c>
      <c r="Q22" s="135">
        <v>134.25020000000001</v>
      </c>
      <c r="R22" s="137">
        <v>1.07</v>
      </c>
      <c r="S22" s="120">
        <v>0</v>
      </c>
      <c r="T22" s="120">
        <v>4312323</v>
      </c>
      <c r="U22" s="120">
        <v>0</v>
      </c>
      <c r="V22" s="114">
        <f t="shared" si="0"/>
        <v>4312323</v>
      </c>
      <c r="W22" s="114">
        <f t="shared" si="1"/>
        <v>4312323</v>
      </c>
    </row>
    <row r="23" spans="1:23">
      <c r="A23" s="122" t="s">
        <v>2388</v>
      </c>
      <c r="B23" s="124">
        <v>1304.01</v>
      </c>
      <c r="C23" s="124">
        <v>1385.4949999999999</v>
      </c>
      <c r="D23" s="124">
        <v>1441.0350000000001</v>
      </c>
      <c r="E23" s="124">
        <v>1416.729</v>
      </c>
      <c r="F23" s="124">
        <v>224.5727</v>
      </c>
      <c r="G23" s="124">
        <v>221.5916</v>
      </c>
      <c r="H23" s="124">
        <v>238.12110000000001</v>
      </c>
      <c r="I23" s="124">
        <v>237.2415</v>
      </c>
      <c r="J23" s="134">
        <v>107847297</v>
      </c>
      <c r="K23" s="134">
        <v>117673347</v>
      </c>
      <c r="L23" s="124">
        <v>2061.6320000000001</v>
      </c>
      <c r="M23" s="134">
        <v>52825</v>
      </c>
      <c r="N23" s="135">
        <v>141.66470000000001</v>
      </c>
      <c r="O23" s="135">
        <v>140.48769999999999</v>
      </c>
      <c r="P23" s="135">
        <v>153.4263</v>
      </c>
      <c r="Q23" s="135">
        <v>148.51320000000001</v>
      </c>
      <c r="R23" s="137">
        <v>1.07</v>
      </c>
      <c r="S23" s="120">
        <v>70440</v>
      </c>
      <c r="T23" s="120">
        <v>1524456</v>
      </c>
      <c r="U23" s="120">
        <v>0</v>
      </c>
      <c r="V23" s="114">
        <f t="shared" si="0"/>
        <v>1524456</v>
      </c>
      <c r="W23" s="114">
        <f t="shared" si="1"/>
        <v>1594896</v>
      </c>
    </row>
    <row r="24" spans="1:23">
      <c r="A24" s="122" t="s">
        <v>241</v>
      </c>
      <c r="B24" s="124">
        <v>3215.95</v>
      </c>
      <c r="C24" s="124">
        <v>3229.5329999999999</v>
      </c>
      <c r="D24" s="124">
        <v>3194.4189999999999</v>
      </c>
      <c r="E24" s="124">
        <v>3248.8780000000002</v>
      </c>
      <c r="F24" s="124">
        <v>540.06989999999996</v>
      </c>
      <c r="G24" s="124">
        <v>542.33699999999999</v>
      </c>
      <c r="H24" s="124">
        <v>552.76509999999996</v>
      </c>
      <c r="I24" s="124">
        <v>560.27829999999994</v>
      </c>
      <c r="J24" s="134">
        <v>363063885</v>
      </c>
      <c r="K24" s="134">
        <v>392258315</v>
      </c>
      <c r="L24" s="124">
        <v>4660.732</v>
      </c>
      <c r="M24" s="114">
        <v>0</v>
      </c>
      <c r="N24" s="135">
        <v>332.8546</v>
      </c>
      <c r="O24" s="135">
        <v>331.94009999999997</v>
      </c>
      <c r="P24" s="135">
        <v>338.48270000000002</v>
      </c>
      <c r="Q24" s="135">
        <v>343.44</v>
      </c>
      <c r="R24" s="137">
        <v>1.08</v>
      </c>
      <c r="S24" s="120">
        <v>320659</v>
      </c>
      <c r="T24" s="120">
        <v>5573250</v>
      </c>
      <c r="U24" s="120">
        <v>0</v>
      </c>
      <c r="V24" s="114">
        <f t="shared" si="0"/>
        <v>5573250</v>
      </c>
      <c r="W24" s="114">
        <f t="shared" si="1"/>
        <v>5893909</v>
      </c>
    </row>
    <row r="25" spans="1:23">
      <c r="A25" s="122" t="s">
        <v>2447</v>
      </c>
      <c r="B25" s="124">
        <v>1499.2</v>
      </c>
      <c r="C25" s="124">
        <v>1497.249</v>
      </c>
      <c r="D25" s="124">
        <v>1513.0309999999999</v>
      </c>
      <c r="E25" s="124">
        <v>1539.0329999999999</v>
      </c>
      <c r="F25" s="124">
        <v>272.34300000000002</v>
      </c>
      <c r="G25" s="124">
        <v>270.00389999999999</v>
      </c>
      <c r="H25" s="124">
        <v>267.21370000000002</v>
      </c>
      <c r="I25" s="124">
        <v>266.08580000000001</v>
      </c>
      <c r="J25" s="134">
        <v>89231772</v>
      </c>
      <c r="K25" s="134">
        <v>102256622</v>
      </c>
      <c r="L25" s="124">
        <v>2283.5529999999999</v>
      </c>
      <c r="M25" s="114">
        <v>0</v>
      </c>
      <c r="N25" s="135">
        <v>176.36619999999999</v>
      </c>
      <c r="O25" s="135">
        <v>176.18289999999999</v>
      </c>
      <c r="P25" s="135">
        <v>168.8999</v>
      </c>
      <c r="Q25" s="135">
        <v>171.56870000000001</v>
      </c>
      <c r="R25" s="137">
        <v>1.0900000000000001</v>
      </c>
      <c r="S25" s="120">
        <v>67869</v>
      </c>
      <c r="T25" s="120">
        <v>1312746</v>
      </c>
      <c r="U25" s="120">
        <v>0</v>
      </c>
      <c r="V25" s="114">
        <f t="shared" si="0"/>
        <v>1312746</v>
      </c>
      <c r="W25" s="114">
        <f t="shared" si="1"/>
        <v>1380615</v>
      </c>
    </row>
    <row r="26" spans="1:23">
      <c r="A26" s="122" t="s">
        <v>2845</v>
      </c>
      <c r="B26" s="124">
        <v>2077.3029999999999</v>
      </c>
      <c r="C26" s="124">
        <v>2068.04</v>
      </c>
      <c r="D26" s="124">
        <v>2022.3240000000001</v>
      </c>
      <c r="E26" s="124">
        <v>2018.337</v>
      </c>
      <c r="F26" s="124">
        <v>276.26130000000001</v>
      </c>
      <c r="G26" s="124">
        <v>301.14100000000002</v>
      </c>
      <c r="H26" s="124">
        <v>303.84550000000002</v>
      </c>
      <c r="I26" s="124">
        <v>290.56880000000001</v>
      </c>
      <c r="J26" s="134">
        <v>474992911</v>
      </c>
      <c r="K26" s="134">
        <v>509840476</v>
      </c>
      <c r="L26" s="124">
        <v>2787.1379999999999</v>
      </c>
      <c r="M26" s="134">
        <v>442478</v>
      </c>
      <c r="N26" s="135">
        <v>175.2039</v>
      </c>
      <c r="O26" s="135">
        <v>185.7851</v>
      </c>
      <c r="P26" s="135">
        <v>190.86699999999999</v>
      </c>
      <c r="Q26" s="135">
        <v>179.10130000000001</v>
      </c>
      <c r="R26" s="137">
        <v>1.1200000000000001</v>
      </c>
      <c r="S26" s="120">
        <v>570650</v>
      </c>
      <c r="T26" s="120">
        <v>6774357</v>
      </c>
      <c r="U26" s="120">
        <v>0</v>
      </c>
      <c r="V26" s="114">
        <f t="shared" si="0"/>
        <v>6774357</v>
      </c>
      <c r="W26" s="114">
        <f t="shared" si="1"/>
        <v>7345007</v>
      </c>
    </row>
    <row r="27" spans="1:23">
      <c r="A27" s="122" t="s">
        <v>783</v>
      </c>
      <c r="B27" s="124">
        <v>2158.0100000000002</v>
      </c>
      <c r="C27" s="124">
        <v>2175.5500000000002</v>
      </c>
      <c r="D27" s="124">
        <v>2166.5410000000002</v>
      </c>
      <c r="E27" s="124">
        <v>2182.944</v>
      </c>
      <c r="F27" s="124">
        <v>283.43889999999999</v>
      </c>
      <c r="G27" s="124">
        <v>302.63409999999999</v>
      </c>
      <c r="H27" s="124">
        <v>308.5247</v>
      </c>
      <c r="I27" s="124">
        <v>314.35860000000002</v>
      </c>
      <c r="J27" s="134">
        <v>421673064</v>
      </c>
      <c r="K27" s="134">
        <v>445782041</v>
      </c>
      <c r="L27" s="124">
        <v>3083.16</v>
      </c>
      <c r="M27" s="134">
        <v>340361</v>
      </c>
      <c r="N27" s="135">
        <v>191.6317</v>
      </c>
      <c r="O27" s="135">
        <v>203.3646</v>
      </c>
      <c r="P27" s="135">
        <v>205.22370000000001</v>
      </c>
      <c r="Q27" s="135">
        <v>209.8467</v>
      </c>
      <c r="R27" s="137">
        <v>1.1299999999999999</v>
      </c>
      <c r="S27" s="120">
        <v>731075</v>
      </c>
      <c r="T27" s="120">
        <v>5989542</v>
      </c>
      <c r="U27" s="120">
        <v>0</v>
      </c>
      <c r="V27" s="114">
        <f t="shared" si="0"/>
        <v>5989542</v>
      </c>
      <c r="W27" s="114">
        <f t="shared" si="1"/>
        <v>6720617</v>
      </c>
    </row>
    <row r="28" spans="1:23">
      <c r="A28" s="122" t="s">
        <v>784</v>
      </c>
      <c r="B28" s="124">
        <v>854.803</v>
      </c>
      <c r="C28" s="124">
        <v>845.08500000000004</v>
      </c>
      <c r="D28" s="124">
        <v>826.048</v>
      </c>
      <c r="E28" s="124">
        <v>828.29600000000005</v>
      </c>
      <c r="F28" s="124">
        <v>132.65520000000001</v>
      </c>
      <c r="G28" s="124">
        <v>133.48670000000001</v>
      </c>
      <c r="H28" s="124">
        <v>134.7818</v>
      </c>
      <c r="I28" s="124">
        <v>140.53729999999999</v>
      </c>
      <c r="J28" s="134">
        <v>264789099</v>
      </c>
      <c r="K28" s="134">
        <v>274539771</v>
      </c>
      <c r="L28" s="124">
        <v>1343.127</v>
      </c>
      <c r="M28" s="114">
        <v>0</v>
      </c>
      <c r="N28" s="135">
        <v>87.352599999999995</v>
      </c>
      <c r="O28" s="135">
        <v>89.372200000000007</v>
      </c>
      <c r="P28" s="135">
        <v>90.940799999999996</v>
      </c>
      <c r="Q28" s="135">
        <v>91.690700000000007</v>
      </c>
      <c r="R28" s="137">
        <v>1.1100000000000001</v>
      </c>
      <c r="S28" s="120">
        <v>0</v>
      </c>
      <c r="T28" s="120">
        <v>3785739</v>
      </c>
      <c r="U28" s="120">
        <v>0</v>
      </c>
      <c r="V28" s="114">
        <f t="shared" si="0"/>
        <v>3785739</v>
      </c>
      <c r="W28" s="114">
        <f t="shared" si="1"/>
        <v>3785739</v>
      </c>
    </row>
    <row r="29" spans="1:23">
      <c r="A29" s="122" t="s">
        <v>785</v>
      </c>
      <c r="B29" s="124">
        <v>1306.77</v>
      </c>
      <c r="C29" s="124">
        <v>1326.126</v>
      </c>
      <c r="D29" s="124">
        <v>1310.1410000000001</v>
      </c>
      <c r="E29" s="124">
        <v>1348.2570000000001</v>
      </c>
      <c r="F29" s="124">
        <v>220.50059999999999</v>
      </c>
      <c r="G29" s="124">
        <v>223.14449999999999</v>
      </c>
      <c r="H29" s="124">
        <v>222.6979</v>
      </c>
      <c r="I29" s="124">
        <v>220.58150000000001</v>
      </c>
      <c r="J29" s="134">
        <v>164816582</v>
      </c>
      <c r="K29" s="134">
        <v>176833701</v>
      </c>
      <c r="L29" s="124">
        <v>2013.6949999999999</v>
      </c>
      <c r="M29" s="114">
        <v>0</v>
      </c>
      <c r="N29" s="135">
        <v>149.67939999999999</v>
      </c>
      <c r="O29" s="135">
        <v>156.33690000000001</v>
      </c>
      <c r="P29" s="135">
        <v>152.63980000000001</v>
      </c>
      <c r="Q29" s="135">
        <v>152.46530000000001</v>
      </c>
      <c r="R29" s="137">
        <v>1.06</v>
      </c>
      <c r="S29" s="120">
        <v>0</v>
      </c>
      <c r="T29" s="120">
        <v>2644033</v>
      </c>
      <c r="U29" s="120">
        <v>0</v>
      </c>
      <c r="V29" s="114">
        <f t="shared" si="0"/>
        <v>2644033</v>
      </c>
      <c r="W29" s="114">
        <f t="shared" si="1"/>
        <v>2644033</v>
      </c>
    </row>
    <row r="30" spans="1:23">
      <c r="A30" s="122" t="s">
        <v>216</v>
      </c>
      <c r="B30" s="124">
        <v>320.86900000000003</v>
      </c>
      <c r="C30" s="124">
        <v>327.84199999999998</v>
      </c>
      <c r="D30" s="124">
        <v>343.88</v>
      </c>
      <c r="E30" s="124">
        <v>338.05700000000002</v>
      </c>
      <c r="F30" s="124">
        <v>64.154799999999994</v>
      </c>
      <c r="G30" s="124">
        <v>66.177300000000002</v>
      </c>
      <c r="H30" s="124">
        <v>70.229500000000002</v>
      </c>
      <c r="I30" s="124">
        <v>70.226299999999995</v>
      </c>
      <c r="J30" s="134">
        <v>91038032</v>
      </c>
      <c r="K30" s="134">
        <v>95707758</v>
      </c>
      <c r="L30" s="124">
        <v>761.50900000000001</v>
      </c>
      <c r="M30" s="114">
        <v>0</v>
      </c>
      <c r="N30" s="135">
        <v>40.045099999999998</v>
      </c>
      <c r="O30" s="135">
        <v>40.843400000000003</v>
      </c>
      <c r="P30" s="135">
        <v>42.749000000000002</v>
      </c>
      <c r="Q30" s="135">
        <v>43.366399999999999</v>
      </c>
      <c r="R30" s="137">
        <v>1.07</v>
      </c>
      <c r="S30" s="120">
        <v>0</v>
      </c>
      <c r="T30" s="120">
        <v>1263457</v>
      </c>
      <c r="U30" s="120">
        <v>0</v>
      </c>
      <c r="V30" s="114">
        <f t="shared" si="0"/>
        <v>1263457</v>
      </c>
      <c r="W30" s="114">
        <f t="shared" si="1"/>
        <v>1263457</v>
      </c>
    </row>
    <row r="31" spans="1:23">
      <c r="A31" s="122" t="s">
        <v>2220</v>
      </c>
      <c r="B31" s="124">
        <v>2392.4969999999998</v>
      </c>
      <c r="C31" s="124">
        <v>2436.4169999999999</v>
      </c>
      <c r="D31" s="124">
        <v>2512.5720000000001</v>
      </c>
      <c r="E31" s="124">
        <v>2465.4720000000002</v>
      </c>
      <c r="F31" s="124">
        <v>363.41910000000001</v>
      </c>
      <c r="G31" s="124">
        <v>397.24130000000002</v>
      </c>
      <c r="H31" s="124">
        <v>385.04239999999999</v>
      </c>
      <c r="I31" s="124">
        <v>393.59780000000001</v>
      </c>
      <c r="J31" s="134">
        <v>533989560</v>
      </c>
      <c r="K31" s="134">
        <v>570388519</v>
      </c>
      <c r="L31" s="124">
        <v>3405.1010000000001</v>
      </c>
      <c r="M31" s="134">
        <v>162486</v>
      </c>
      <c r="N31" s="135">
        <v>235.88470000000001</v>
      </c>
      <c r="O31" s="135">
        <v>246.91249999999999</v>
      </c>
      <c r="P31" s="135">
        <v>241.87430000000001</v>
      </c>
      <c r="Q31" s="135">
        <v>244.88579999999999</v>
      </c>
      <c r="R31" s="137">
        <v>1.07</v>
      </c>
      <c r="S31" s="120">
        <v>1062517</v>
      </c>
      <c r="T31" s="120">
        <v>8505428</v>
      </c>
      <c r="U31" s="120">
        <v>0</v>
      </c>
      <c r="V31" s="114">
        <f t="shared" si="0"/>
        <v>8505428</v>
      </c>
      <c r="W31" s="114">
        <f t="shared" si="1"/>
        <v>9567945</v>
      </c>
    </row>
    <row r="32" spans="1:23">
      <c r="A32" s="122" t="s">
        <v>1896</v>
      </c>
      <c r="B32" s="124">
        <v>5731.6840000000002</v>
      </c>
      <c r="C32" s="124">
        <v>6038.3670000000002</v>
      </c>
      <c r="D32" s="124">
        <v>6298.99</v>
      </c>
      <c r="E32" s="124">
        <v>6691.9189999999999</v>
      </c>
      <c r="F32" s="124">
        <v>910.7595</v>
      </c>
      <c r="G32" s="124">
        <v>967.55269999999996</v>
      </c>
      <c r="H32" s="124">
        <v>967.82140000000004</v>
      </c>
      <c r="I32" s="124">
        <v>1041.6814999999999</v>
      </c>
      <c r="J32" s="134">
        <v>1311517198</v>
      </c>
      <c r="K32" s="134">
        <v>1379729694</v>
      </c>
      <c r="L32" s="124">
        <v>8637.6280000000006</v>
      </c>
      <c r="M32" s="134">
        <v>1113031</v>
      </c>
      <c r="N32" s="135">
        <v>557.43960000000004</v>
      </c>
      <c r="O32" s="135">
        <v>567.49900000000002</v>
      </c>
      <c r="P32" s="135">
        <v>567.12789999999995</v>
      </c>
      <c r="Q32" s="135">
        <v>602.40200000000004</v>
      </c>
      <c r="R32" s="137">
        <v>1.1000000000000001</v>
      </c>
      <c r="S32" s="120">
        <v>2367466</v>
      </c>
      <c r="T32" s="120">
        <v>24207902</v>
      </c>
      <c r="U32" s="120">
        <v>0</v>
      </c>
      <c r="V32" s="114">
        <f t="shared" si="0"/>
        <v>24207902</v>
      </c>
      <c r="W32" s="114">
        <f t="shared" si="1"/>
        <v>26575368</v>
      </c>
    </row>
    <row r="33" spans="1:23">
      <c r="A33" s="122" t="s">
        <v>876</v>
      </c>
      <c r="B33" s="124">
        <v>2491.0749999999998</v>
      </c>
      <c r="C33" s="124">
        <v>2617.8829999999998</v>
      </c>
      <c r="D33" s="124">
        <v>2705.7530000000002</v>
      </c>
      <c r="E33" s="124">
        <v>2800.8020000000001</v>
      </c>
      <c r="F33" s="124">
        <v>381.12099999999998</v>
      </c>
      <c r="G33" s="124">
        <v>403.37830000000002</v>
      </c>
      <c r="H33" s="124">
        <v>432.83100000000002</v>
      </c>
      <c r="I33" s="124">
        <v>432.31950000000001</v>
      </c>
      <c r="J33" s="134">
        <v>452434099</v>
      </c>
      <c r="K33" s="134">
        <v>480779576</v>
      </c>
      <c r="L33" s="124">
        <v>3890.5619999999999</v>
      </c>
      <c r="M33" s="134">
        <v>91267</v>
      </c>
      <c r="N33" s="135">
        <v>225.71950000000001</v>
      </c>
      <c r="O33" s="135">
        <v>236.48179999999999</v>
      </c>
      <c r="P33" s="135">
        <v>270.83350000000002</v>
      </c>
      <c r="Q33" s="135">
        <v>274.7371</v>
      </c>
      <c r="R33" s="137">
        <v>1.0900000000000001</v>
      </c>
      <c r="S33" s="120">
        <v>457085</v>
      </c>
      <c r="T33" s="120">
        <v>7623822</v>
      </c>
      <c r="U33" s="120">
        <v>0</v>
      </c>
      <c r="V33" s="114">
        <f t="shared" si="0"/>
        <v>7623822</v>
      </c>
      <c r="W33" s="114">
        <f t="shared" si="1"/>
        <v>8080907</v>
      </c>
    </row>
    <row r="34" spans="1:23">
      <c r="A34" s="122" t="s">
        <v>2710</v>
      </c>
      <c r="B34" s="124">
        <v>1662.9110000000001</v>
      </c>
      <c r="C34" s="124">
        <v>1730.769</v>
      </c>
      <c r="D34" s="124">
        <v>1716.248</v>
      </c>
      <c r="E34" s="124">
        <v>1738.9480000000001</v>
      </c>
      <c r="F34" s="124">
        <v>281.59070000000003</v>
      </c>
      <c r="G34" s="124">
        <v>274.44659999999999</v>
      </c>
      <c r="H34" s="124">
        <v>263.6875</v>
      </c>
      <c r="I34" s="124">
        <v>270.9606</v>
      </c>
      <c r="J34" s="134">
        <v>329413233</v>
      </c>
      <c r="K34" s="134">
        <v>351168074</v>
      </c>
      <c r="L34" s="124">
        <v>2503.2020000000002</v>
      </c>
      <c r="M34" s="134">
        <v>197435</v>
      </c>
      <c r="N34" s="135">
        <v>184.1259</v>
      </c>
      <c r="O34" s="135">
        <v>186.191</v>
      </c>
      <c r="P34" s="135">
        <v>177.4992</v>
      </c>
      <c r="Q34" s="135">
        <v>183.255</v>
      </c>
      <c r="R34" s="137">
        <v>1.08</v>
      </c>
      <c r="S34" s="120">
        <v>908969</v>
      </c>
      <c r="T34" s="120">
        <v>5236541</v>
      </c>
      <c r="U34" s="120">
        <v>0</v>
      </c>
      <c r="V34" s="114">
        <f t="shared" si="0"/>
        <v>5236541</v>
      </c>
      <c r="W34" s="114">
        <f t="shared" si="1"/>
        <v>6145510</v>
      </c>
    </row>
    <row r="35" spans="1:23">
      <c r="A35" s="122" t="s">
        <v>2448</v>
      </c>
      <c r="B35" s="124">
        <v>179.87799999999999</v>
      </c>
      <c r="C35" s="124">
        <v>203.24700000000001</v>
      </c>
      <c r="D35" s="124">
        <v>205.80600000000001</v>
      </c>
      <c r="E35" s="124">
        <v>200.10499999999999</v>
      </c>
      <c r="F35" s="124">
        <v>34.941200000000002</v>
      </c>
      <c r="G35" s="124">
        <v>35.962600000000002</v>
      </c>
      <c r="H35" s="124">
        <v>39.4011</v>
      </c>
      <c r="I35" s="124">
        <v>41.556199999999997</v>
      </c>
      <c r="J35" s="134">
        <v>36659934</v>
      </c>
      <c r="K35" s="134">
        <v>39438687</v>
      </c>
      <c r="L35" s="124">
        <v>341.38600000000002</v>
      </c>
      <c r="M35" s="114">
        <v>0</v>
      </c>
      <c r="N35" s="135">
        <v>23.249700000000001</v>
      </c>
      <c r="O35" s="135">
        <v>24.357500000000002</v>
      </c>
      <c r="P35" s="135">
        <v>26.919599999999999</v>
      </c>
      <c r="Q35" s="135">
        <v>29.593599999999999</v>
      </c>
      <c r="R35" s="137">
        <v>1.08</v>
      </c>
      <c r="S35" s="120">
        <v>35645</v>
      </c>
      <c r="T35" s="120">
        <v>629920</v>
      </c>
      <c r="U35" s="120">
        <v>0</v>
      </c>
      <c r="V35" s="114">
        <f t="shared" si="0"/>
        <v>629920</v>
      </c>
      <c r="W35" s="114">
        <f t="shared" si="1"/>
        <v>665565</v>
      </c>
    </row>
    <row r="36" spans="1:23">
      <c r="A36" s="122" t="s">
        <v>492</v>
      </c>
      <c r="B36" s="124">
        <v>705.27200000000005</v>
      </c>
      <c r="C36" s="124">
        <v>692.84900000000005</v>
      </c>
      <c r="D36" s="124">
        <v>671.92499999999995</v>
      </c>
      <c r="E36" s="124">
        <v>641.49</v>
      </c>
      <c r="F36" s="124">
        <v>106.18210000000001</v>
      </c>
      <c r="G36" s="124">
        <v>107.40470000000001</v>
      </c>
      <c r="H36" s="124">
        <v>103.0874</v>
      </c>
      <c r="I36" s="124">
        <v>102.6314</v>
      </c>
      <c r="J36" s="134">
        <v>104660632</v>
      </c>
      <c r="K36" s="134">
        <v>116182261</v>
      </c>
      <c r="L36" s="124">
        <v>1214.768</v>
      </c>
      <c r="M36" s="134">
        <v>144862</v>
      </c>
      <c r="N36" s="135">
        <v>78.671899999999994</v>
      </c>
      <c r="O36" s="135">
        <v>76.318100000000001</v>
      </c>
      <c r="P36" s="135">
        <v>72.391999999999996</v>
      </c>
      <c r="Q36" s="135">
        <v>71.151499999999999</v>
      </c>
      <c r="R36" s="137">
        <v>1.07</v>
      </c>
      <c r="S36" s="120">
        <v>160500</v>
      </c>
      <c r="T36" s="120">
        <v>1724720</v>
      </c>
      <c r="U36" s="120">
        <v>0</v>
      </c>
      <c r="V36" s="114">
        <f t="shared" si="0"/>
        <v>1724720</v>
      </c>
      <c r="W36" s="114">
        <f t="shared" si="1"/>
        <v>1885220</v>
      </c>
    </row>
    <row r="37" spans="1:23">
      <c r="A37" s="122" t="s">
        <v>2711</v>
      </c>
      <c r="B37" s="124">
        <v>3843.9780000000001</v>
      </c>
      <c r="C37" s="124">
        <v>3666.41</v>
      </c>
      <c r="D37" s="124">
        <v>3582.078</v>
      </c>
      <c r="E37" s="124">
        <v>3532.9279999999999</v>
      </c>
      <c r="F37" s="124">
        <v>633.26729999999998</v>
      </c>
      <c r="G37" s="124">
        <v>621.54579999999999</v>
      </c>
      <c r="H37" s="124">
        <v>587.71180000000004</v>
      </c>
      <c r="I37" s="124">
        <v>573.6232</v>
      </c>
      <c r="J37" s="134">
        <v>350465564</v>
      </c>
      <c r="K37" s="134">
        <v>387363834</v>
      </c>
      <c r="L37" s="124">
        <v>4818.7169999999996</v>
      </c>
      <c r="M37" s="134">
        <v>271283</v>
      </c>
      <c r="N37" s="135">
        <v>386.43970000000002</v>
      </c>
      <c r="O37" s="135">
        <v>373.23419999999999</v>
      </c>
      <c r="P37" s="135">
        <v>349.59469999999999</v>
      </c>
      <c r="Q37" s="135">
        <v>335.2817</v>
      </c>
      <c r="R37" s="137">
        <v>1.0900000000000001</v>
      </c>
      <c r="S37" s="120">
        <v>562036</v>
      </c>
      <c r="T37" s="120">
        <v>5243304</v>
      </c>
      <c r="U37" s="120">
        <v>0</v>
      </c>
      <c r="V37" s="114">
        <f t="shared" si="0"/>
        <v>5243304</v>
      </c>
      <c r="W37" s="114">
        <f t="shared" si="1"/>
        <v>5805340</v>
      </c>
    </row>
    <row r="38" spans="1:23">
      <c r="A38" s="122" t="s">
        <v>3048</v>
      </c>
      <c r="B38" s="124">
        <v>112.13800000000001</v>
      </c>
      <c r="C38" s="124">
        <v>115.04900000000001</v>
      </c>
      <c r="D38" s="124">
        <v>112.97499999999999</v>
      </c>
      <c r="E38" s="124">
        <v>128.99299999999999</v>
      </c>
      <c r="F38" s="124">
        <v>23.838200000000001</v>
      </c>
      <c r="G38" s="124">
        <v>26.9237</v>
      </c>
      <c r="H38" s="124">
        <v>25.375399999999999</v>
      </c>
      <c r="I38" s="124">
        <v>29.823599999999999</v>
      </c>
      <c r="J38" s="134">
        <v>83665944</v>
      </c>
      <c r="K38" s="134">
        <v>85609494</v>
      </c>
      <c r="L38" s="124">
        <v>218.518</v>
      </c>
      <c r="M38" s="114">
        <v>0</v>
      </c>
      <c r="N38" s="135">
        <v>14.558299999999999</v>
      </c>
      <c r="O38" s="135">
        <v>15.5007</v>
      </c>
      <c r="P38" s="135">
        <v>13.940300000000001</v>
      </c>
      <c r="Q38" s="135">
        <v>15.9998</v>
      </c>
      <c r="R38" s="137">
        <v>1.0900000000000001</v>
      </c>
      <c r="S38" s="120">
        <v>0</v>
      </c>
      <c r="T38" s="120">
        <v>1584852</v>
      </c>
      <c r="U38" s="120">
        <v>0</v>
      </c>
      <c r="V38" s="114">
        <f t="shared" si="0"/>
        <v>1584852</v>
      </c>
      <c r="W38" s="114">
        <f t="shared" si="1"/>
        <v>1584852</v>
      </c>
    </row>
    <row r="39" spans="1:23">
      <c r="A39" s="122" t="s">
        <v>3049</v>
      </c>
      <c r="B39" s="124">
        <v>414.87299999999999</v>
      </c>
      <c r="C39" s="124">
        <v>401.54300000000001</v>
      </c>
      <c r="D39" s="124">
        <v>389.416</v>
      </c>
      <c r="E39" s="124">
        <v>377.48700000000002</v>
      </c>
      <c r="F39" s="124">
        <v>79.566800000000001</v>
      </c>
      <c r="G39" s="124">
        <v>74.983900000000006</v>
      </c>
      <c r="H39" s="124">
        <v>72.823499999999996</v>
      </c>
      <c r="I39" s="124">
        <v>76.558700000000002</v>
      </c>
      <c r="J39" s="134">
        <v>106687353</v>
      </c>
      <c r="K39" s="134">
        <v>111084446</v>
      </c>
      <c r="L39" s="124">
        <v>679.38900000000001</v>
      </c>
      <c r="M39" s="114">
        <v>0</v>
      </c>
      <c r="N39" s="135">
        <v>47.455300000000001</v>
      </c>
      <c r="O39" s="135">
        <v>43.806399999999996</v>
      </c>
      <c r="P39" s="135">
        <v>41.7059</v>
      </c>
      <c r="Q39" s="135">
        <v>46.343400000000003</v>
      </c>
      <c r="R39" s="137">
        <v>1.06</v>
      </c>
      <c r="S39" s="120">
        <v>0</v>
      </c>
      <c r="T39" s="120">
        <v>1827855</v>
      </c>
      <c r="U39" s="120">
        <v>0</v>
      </c>
      <c r="V39" s="114">
        <f t="shared" si="0"/>
        <v>1827855</v>
      </c>
      <c r="W39" s="114">
        <f t="shared" si="1"/>
        <v>1827855</v>
      </c>
    </row>
    <row r="40" spans="1:23">
      <c r="A40" s="122" t="s">
        <v>1313</v>
      </c>
      <c r="B40" s="124">
        <v>658.78499999999997</v>
      </c>
      <c r="C40" s="124">
        <v>659.27</v>
      </c>
      <c r="D40" s="124">
        <v>639.36</v>
      </c>
      <c r="E40" s="124">
        <v>636.96900000000005</v>
      </c>
      <c r="F40" s="124">
        <v>113.816</v>
      </c>
      <c r="G40" s="124">
        <v>108.88</v>
      </c>
      <c r="H40" s="124">
        <v>104.0081</v>
      </c>
      <c r="I40" s="124">
        <v>102.3489</v>
      </c>
      <c r="J40" s="134">
        <v>70062470</v>
      </c>
      <c r="K40" s="134">
        <v>75857730</v>
      </c>
      <c r="L40" s="124">
        <v>1060.04</v>
      </c>
      <c r="M40" s="114">
        <v>990</v>
      </c>
      <c r="N40" s="135">
        <v>69.183000000000007</v>
      </c>
      <c r="O40" s="135">
        <v>68.911699999999996</v>
      </c>
      <c r="P40" s="135">
        <v>68.454300000000003</v>
      </c>
      <c r="Q40" s="135">
        <v>66.487099999999998</v>
      </c>
      <c r="R40" s="137">
        <v>1.07</v>
      </c>
      <c r="S40" s="120">
        <v>61470</v>
      </c>
      <c r="T40" s="120">
        <v>1120025</v>
      </c>
      <c r="U40" s="120">
        <v>0</v>
      </c>
      <c r="V40" s="114">
        <f t="shared" si="0"/>
        <v>1120025</v>
      </c>
      <c r="W40" s="114">
        <f t="shared" si="1"/>
        <v>1181495</v>
      </c>
    </row>
    <row r="41" spans="1:23">
      <c r="A41" s="122" t="s">
        <v>2449</v>
      </c>
      <c r="B41" s="124">
        <v>921.55399999999997</v>
      </c>
      <c r="C41" s="124">
        <v>897.89599999999996</v>
      </c>
      <c r="D41" s="124">
        <v>913.798</v>
      </c>
      <c r="E41" s="124">
        <v>888.73199999999997</v>
      </c>
      <c r="F41" s="124">
        <v>130.99979999999999</v>
      </c>
      <c r="G41" s="124">
        <v>132.97069999999999</v>
      </c>
      <c r="H41" s="124">
        <v>136.57820000000001</v>
      </c>
      <c r="I41" s="124">
        <v>134.05189999999999</v>
      </c>
      <c r="J41" s="134">
        <v>99956071</v>
      </c>
      <c r="K41" s="134">
        <v>109704081</v>
      </c>
      <c r="L41" s="124">
        <v>1349.0609999999999</v>
      </c>
      <c r="M41" s="134">
        <v>59492</v>
      </c>
      <c r="N41" s="135">
        <v>85.881600000000006</v>
      </c>
      <c r="O41" s="135">
        <v>95.492000000000004</v>
      </c>
      <c r="P41" s="135">
        <v>98.188699999999997</v>
      </c>
      <c r="Q41" s="135">
        <v>96.001800000000003</v>
      </c>
      <c r="R41" s="137">
        <v>1.04</v>
      </c>
      <c r="S41" s="120">
        <v>56269</v>
      </c>
      <c r="T41" s="120">
        <v>1556385</v>
      </c>
      <c r="U41" s="120">
        <v>0</v>
      </c>
      <c r="V41" s="114">
        <f t="shared" si="0"/>
        <v>1556385</v>
      </c>
      <c r="W41" s="114">
        <f t="shared" si="1"/>
        <v>1612654</v>
      </c>
    </row>
    <row r="42" spans="1:23">
      <c r="A42" s="122" t="s">
        <v>1895</v>
      </c>
      <c r="B42" s="124">
        <v>527.70799999999997</v>
      </c>
      <c r="C42" s="124">
        <v>512.505</v>
      </c>
      <c r="D42" s="124">
        <v>503.43900000000002</v>
      </c>
      <c r="E42" s="124">
        <v>489.49400000000003</v>
      </c>
      <c r="F42" s="124">
        <v>81.505600000000001</v>
      </c>
      <c r="G42" s="124">
        <v>81.355800000000002</v>
      </c>
      <c r="H42" s="124">
        <v>81.504999999999995</v>
      </c>
      <c r="I42" s="124">
        <v>78.064400000000006</v>
      </c>
      <c r="J42" s="134">
        <v>49223831</v>
      </c>
      <c r="K42" s="134">
        <v>54395792</v>
      </c>
      <c r="L42" s="124">
        <v>848.74800000000005</v>
      </c>
      <c r="M42" s="134">
        <v>21807</v>
      </c>
      <c r="N42" s="135">
        <v>54.977800000000002</v>
      </c>
      <c r="O42" s="135">
        <v>55.531100000000002</v>
      </c>
      <c r="P42" s="135">
        <v>52.877099999999999</v>
      </c>
      <c r="Q42" s="135">
        <v>53.984699999999997</v>
      </c>
      <c r="R42" s="137">
        <v>1.04</v>
      </c>
      <c r="S42" s="120">
        <v>61646</v>
      </c>
      <c r="T42" s="120">
        <v>761368</v>
      </c>
      <c r="U42" s="120">
        <v>0</v>
      </c>
      <c r="V42" s="114">
        <f t="shared" si="0"/>
        <v>761368</v>
      </c>
      <c r="W42" s="114">
        <f t="shared" si="1"/>
        <v>823014</v>
      </c>
    </row>
    <row r="43" spans="1:23">
      <c r="A43" s="122" t="s">
        <v>1898</v>
      </c>
      <c r="B43" s="124">
        <v>6160.8689999999997</v>
      </c>
      <c r="C43" s="124">
        <v>6216.4030000000002</v>
      </c>
      <c r="D43" s="124">
        <v>6396.4949999999999</v>
      </c>
      <c r="E43" s="124">
        <v>6530.8320000000003</v>
      </c>
      <c r="F43" s="124">
        <v>952.88300000000004</v>
      </c>
      <c r="G43" s="124">
        <v>998.19839999999999</v>
      </c>
      <c r="H43" s="124">
        <v>1065.0463</v>
      </c>
      <c r="I43" s="124">
        <v>1057.4301</v>
      </c>
      <c r="J43" s="134">
        <v>779338070</v>
      </c>
      <c r="K43" s="134">
        <v>850831634</v>
      </c>
      <c r="L43" s="124">
        <v>8430.2420000000002</v>
      </c>
      <c r="M43" s="134">
        <v>855881</v>
      </c>
      <c r="N43" s="135">
        <v>555.93679999999995</v>
      </c>
      <c r="O43" s="135">
        <v>563.35789999999997</v>
      </c>
      <c r="P43" s="135">
        <v>603.93600000000004</v>
      </c>
      <c r="Q43" s="135">
        <v>610.69889999999998</v>
      </c>
      <c r="R43" s="137">
        <v>1.08</v>
      </c>
      <c r="S43" s="120">
        <v>1545467</v>
      </c>
      <c r="T43" s="120">
        <v>12735766</v>
      </c>
      <c r="U43" s="120">
        <v>0</v>
      </c>
      <c r="V43" s="114">
        <f t="shared" si="0"/>
        <v>12735766</v>
      </c>
      <c r="W43" s="114">
        <f t="shared" si="1"/>
        <v>14281233</v>
      </c>
    </row>
    <row r="44" spans="1:23">
      <c r="A44" s="122" t="s">
        <v>198</v>
      </c>
      <c r="B44" s="124">
        <v>462.09699999999998</v>
      </c>
      <c r="C44" s="124">
        <v>436.41300000000001</v>
      </c>
      <c r="D44" s="124">
        <v>423.233</v>
      </c>
      <c r="E44" s="124">
        <v>462.09800000000001</v>
      </c>
      <c r="F44" s="124">
        <v>78.667699999999996</v>
      </c>
      <c r="G44" s="124">
        <v>84.266900000000007</v>
      </c>
      <c r="H44" s="124">
        <v>84.949299999999994</v>
      </c>
      <c r="I44" s="124">
        <v>84.240799999999993</v>
      </c>
      <c r="J44" s="134">
        <v>43529947</v>
      </c>
      <c r="K44" s="134">
        <v>48583561</v>
      </c>
      <c r="L44" s="124">
        <v>745.41099999999994</v>
      </c>
      <c r="M44" s="134">
        <v>18860</v>
      </c>
      <c r="N44" s="135">
        <v>48.879399999999997</v>
      </c>
      <c r="O44" s="135">
        <v>51.423200000000001</v>
      </c>
      <c r="P44" s="135">
        <v>51.034300000000002</v>
      </c>
      <c r="Q44" s="135">
        <v>50.997999999999998</v>
      </c>
      <c r="R44" s="137">
        <v>1.04</v>
      </c>
      <c r="S44" s="120">
        <v>86187</v>
      </c>
      <c r="T44" s="120">
        <v>685202</v>
      </c>
      <c r="U44" s="120">
        <v>0</v>
      </c>
      <c r="V44" s="114">
        <f t="shared" si="0"/>
        <v>685202</v>
      </c>
      <c r="W44" s="114">
        <f t="shared" si="1"/>
        <v>771389</v>
      </c>
    </row>
    <row r="45" spans="1:23">
      <c r="A45" s="122" t="s">
        <v>60</v>
      </c>
      <c r="B45" s="124">
        <v>27123.361000000001</v>
      </c>
      <c r="C45" s="124">
        <v>27579.339</v>
      </c>
      <c r="D45" s="124">
        <v>28278.016</v>
      </c>
      <c r="E45" s="124">
        <v>28931.377</v>
      </c>
      <c r="F45" s="124">
        <v>4048.7945</v>
      </c>
      <c r="G45" s="124">
        <v>4230.9057000000003</v>
      </c>
      <c r="H45" s="124">
        <v>4414.4129000000003</v>
      </c>
      <c r="I45" s="124">
        <v>4616.7855</v>
      </c>
      <c r="J45" s="134">
        <v>2622522536</v>
      </c>
      <c r="K45" s="134">
        <v>2810678528</v>
      </c>
      <c r="L45" s="124">
        <v>38179.811999999998</v>
      </c>
      <c r="M45" s="134">
        <v>687676</v>
      </c>
      <c r="N45" s="135">
        <v>2533.5032000000001</v>
      </c>
      <c r="O45" s="135">
        <v>2640.4672999999998</v>
      </c>
      <c r="P45" s="135">
        <v>2763.2809999999999</v>
      </c>
      <c r="Q45" s="135">
        <v>2900.3517000000002</v>
      </c>
      <c r="R45" s="137">
        <v>1.1000000000000001</v>
      </c>
      <c r="S45" s="120">
        <v>3805041</v>
      </c>
      <c r="T45" s="120">
        <v>38463484</v>
      </c>
      <c r="U45" s="120">
        <v>0</v>
      </c>
      <c r="V45" s="114">
        <f t="shared" si="0"/>
        <v>38463484</v>
      </c>
      <c r="W45" s="114">
        <f t="shared" si="1"/>
        <v>42268525</v>
      </c>
    </row>
    <row r="46" spans="1:23">
      <c r="A46" s="122" t="s">
        <v>192</v>
      </c>
      <c r="B46" s="124">
        <v>800.65</v>
      </c>
      <c r="C46" s="124">
        <v>807.12199999999996</v>
      </c>
      <c r="D46" s="124">
        <v>820.56899999999996</v>
      </c>
      <c r="E46" s="124">
        <v>815.92100000000005</v>
      </c>
      <c r="F46" s="124">
        <v>117.7993</v>
      </c>
      <c r="G46" s="124">
        <v>117.4941</v>
      </c>
      <c r="H46" s="124">
        <v>120.1279</v>
      </c>
      <c r="I46" s="124">
        <v>117.3751</v>
      </c>
      <c r="J46" s="134">
        <v>79700988</v>
      </c>
      <c r="K46" s="134">
        <v>88401412</v>
      </c>
      <c r="L46" s="124">
        <v>1251.0830000000001</v>
      </c>
      <c r="M46" s="134">
        <v>10633</v>
      </c>
      <c r="N46" s="135">
        <v>80.171899999999994</v>
      </c>
      <c r="O46" s="135">
        <v>80.623199999999997</v>
      </c>
      <c r="P46" s="135">
        <v>79.599999999999994</v>
      </c>
      <c r="Q46" s="135">
        <v>79.668899999999994</v>
      </c>
      <c r="R46" s="137">
        <v>1.05</v>
      </c>
      <c r="S46" s="120">
        <v>60747</v>
      </c>
      <c r="T46" s="120">
        <v>1277221</v>
      </c>
      <c r="U46" s="120">
        <v>0</v>
      </c>
      <c r="V46" s="114">
        <f t="shared" si="0"/>
        <v>1277221</v>
      </c>
      <c r="W46" s="114">
        <f t="shared" si="1"/>
        <v>1337968</v>
      </c>
    </row>
    <row r="47" spans="1:23">
      <c r="A47" s="122" t="s">
        <v>1487</v>
      </c>
      <c r="B47" s="124">
        <v>951.68600000000004</v>
      </c>
      <c r="C47" s="124">
        <v>929.74900000000002</v>
      </c>
      <c r="D47" s="124">
        <v>943.096</v>
      </c>
      <c r="E47" s="124">
        <v>999.05200000000002</v>
      </c>
      <c r="F47" s="124">
        <v>123.7696</v>
      </c>
      <c r="G47" s="124">
        <v>126.0692</v>
      </c>
      <c r="H47" s="124">
        <v>130.61580000000001</v>
      </c>
      <c r="I47" s="124">
        <v>135.97999999999999</v>
      </c>
      <c r="J47" s="134">
        <v>287577296</v>
      </c>
      <c r="K47" s="134">
        <v>302728276</v>
      </c>
      <c r="L47" s="124">
        <v>1387.865</v>
      </c>
      <c r="M47" s="134">
        <v>332207</v>
      </c>
      <c r="N47" s="135">
        <v>82.163399999999996</v>
      </c>
      <c r="O47" s="135">
        <v>85.831599999999995</v>
      </c>
      <c r="P47" s="135">
        <v>89.349199999999996</v>
      </c>
      <c r="Q47" s="135">
        <v>90.509</v>
      </c>
      <c r="R47" s="137">
        <v>1.05</v>
      </c>
      <c r="S47" s="120">
        <v>588783</v>
      </c>
      <c r="T47" s="120">
        <v>4397472</v>
      </c>
      <c r="U47" s="120">
        <v>0</v>
      </c>
      <c r="V47" s="114">
        <f t="shared" si="0"/>
        <v>4397472</v>
      </c>
      <c r="W47" s="114">
        <f t="shared" si="1"/>
        <v>4986255</v>
      </c>
    </row>
    <row r="48" spans="1:23">
      <c r="A48" s="122" t="s">
        <v>1707</v>
      </c>
      <c r="B48" s="124">
        <v>7903.326</v>
      </c>
      <c r="C48" s="124">
        <v>7833.44</v>
      </c>
      <c r="D48" s="124">
        <v>7734.68</v>
      </c>
      <c r="E48" s="124">
        <v>7669.7430000000004</v>
      </c>
      <c r="F48" s="124">
        <v>1293.2606000000001</v>
      </c>
      <c r="G48" s="124">
        <v>1277.5561</v>
      </c>
      <c r="H48" s="124">
        <v>1274.8322000000001</v>
      </c>
      <c r="I48" s="124">
        <v>1290.0551</v>
      </c>
      <c r="J48" s="134">
        <v>1798298664</v>
      </c>
      <c r="K48" s="134">
        <v>1898278059</v>
      </c>
      <c r="L48" s="124">
        <v>10296.625</v>
      </c>
      <c r="M48" s="134">
        <v>2256893</v>
      </c>
      <c r="N48" s="135">
        <v>817.23950000000002</v>
      </c>
      <c r="O48" s="135">
        <v>820.84059999999999</v>
      </c>
      <c r="P48" s="135">
        <v>795.53530000000001</v>
      </c>
      <c r="Q48" s="135">
        <v>782.31780000000003</v>
      </c>
      <c r="R48" s="137">
        <v>1.0900000000000001</v>
      </c>
      <c r="S48" s="120">
        <v>2790923</v>
      </c>
      <c r="T48" s="120">
        <v>27941869</v>
      </c>
      <c r="U48" s="120">
        <v>0</v>
      </c>
      <c r="V48" s="114">
        <f t="shared" si="0"/>
        <v>27941869</v>
      </c>
      <c r="W48" s="114">
        <f t="shared" si="1"/>
        <v>30732792</v>
      </c>
    </row>
    <row r="49" spans="1:23">
      <c r="A49" s="122" t="s">
        <v>1712</v>
      </c>
      <c r="B49" s="124">
        <v>1174.357</v>
      </c>
      <c r="C49" s="124">
        <v>1194.0150000000001</v>
      </c>
      <c r="D49" s="124">
        <v>1207.6590000000001</v>
      </c>
      <c r="E49" s="124">
        <v>1211.925</v>
      </c>
      <c r="F49" s="124">
        <v>156.8588</v>
      </c>
      <c r="G49" s="124">
        <v>160.52459999999999</v>
      </c>
      <c r="H49" s="124">
        <v>165.75460000000001</v>
      </c>
      <c r="I49" s="124">
        <v>168.2039</v>
      </c>
      <c r="J49" s="134">
        <v>138376664</v>
      </c>
      <c r="K49" s="134">
        <v>150460255</v>
      </c>
      <c r="L49" s="124">
        <v>1786.0419999999999</v>
      </c>
      <c r="M49" s="134">
        <v>174593</v>
      </c>
      <c r="N49" s="135">
        <v>111.83110000000001</v>
      </c>
      <c r="O49" s="135">
        <v>113.8081</v>
      </c>
      <c r="P49" s="135">
        <v>118.3267</v>
      </c>
      <c r="Q49" s="135">
        <v>116.89100000000001</v>
      </c>
      <c r="R49" s="137">
        <v>1.04</v>
      </c>
      <c r="S49" s="120">
        <v>278246</v>
      </c>
      <c r="T49" s="120">
        <v>2118111</v>
      </c>
      <c r="U49" s="120">
        <v>0</v>
      </c>
      <c r="V49" s="114">
        <f t="shared" si="0"/>
        <v>2118111</v>
      </c>
      <c r="W49" s="114">
        <f t="shared" si="1"/>
        <v>2396357</v>
      </c>
    </row>
    <row r="50" spans="1:23">
      <c r="A50" s="122" t="s">
        <v>463</v>
      </c>
      <c r="B50" s="124">
        <v>4281.5529999999999</v>
      </c>
      <c r="C50" s="124">
        <v>4228.45</v>
      </c>
      <c r="D50" s="124">
        <v>4271.5690000000004</v>
      </c>
      <c r="E50" s="124">
        <v>4165.9030000000002</v>
      </c>
      <c r="F50" s="124">
        <v>621.36900000000003</v>
      </c>
      <c r="G50" s="124">
        <v>647.68380000000002</v>
      </c>
      <c r="H50" s="124">
        <v>629.28340000000003</v>
      </c>
      <c r="I50" s="124">
        <v>629.60289999999998</v>
      </c>
      <c r="J50" s="134">
        <v>2724201966</v>
      </c>
      <c r="K50" s="134">
        <v>2800009526</v>
      </c>
      <c r="L50" s="124">
        <v>4910.7219999999998</v>
      </c>
      <c r="M50" s="134">
        <v>3521436</v>
      </c>
      <c r="N50" s="135">
        <v>395.26369999999997</v>
      </c>
      <c r="O50" s="135">
        <v>389.1463</v>
      </c>
      <c r="P50" s="135">
        <v>388.27910000000003</v>
      </c>
      <c r="Q50" s="135">
        <v>376.61320000000001</v>
      </c>
      <c r="R50" s="137">
        <v>1.08</v>
      </c>
      <c r="S50" s="120">
        <v>3591895</v>
      </c>
      <c r="T50" s="120">
        <v>41415009</v>
      </c>
      <c r="U50" s="120">
        <v>0</v>
      </c>
      <c r="V50" s="114">
        <f t="shared" si="0"/>
        <v>41415009</v>
      </c>
      <c r="W50" s="114">
        <f t="shared" si="1"/>
        <v>45006904</v>
      </c>
    </row>
    <row r="51" spans="1:23">
      <c r="A51" s="122" t="s">
        <v>2125</v>
      </c>
      <c r="B51" s="124">
        <v>13572.166999999999</v>
      </c>
      <c r="C51" s="124">
        <v>13402.002</v>
      </c>
      <c r="D51" s="124">
        <v>13458.644</v>
      </c>
      <c r="E51" s="124">
        <v>13183.222</v>
      </c>
      <c r="F51" s="124">
        <v>2190.3042</v>
      </c>
      <c r="G51" s="124">
        <v>2217.3045000000002</v>
      </c>
      <c r="H51" s="124">
        <v>1685.6577</v>
      </c>
      <c r="I51" s="124">
        <v>2178.2456000000002</v>
      </c>
      <c r="J51" s="134">
        <v>778847904</v>
      </c>
      <c r="K51" s="134">
        <v>894846564</v>
      </c>
      <c r="L51" s="124">
        <v>18974.219000000001</v>
      </c>
      <c r="M51" s="134">
        <v>265451</v>
      </c>
      <c r="N51" s="135">
        <v>1222.8444</v>
      </c>
      <c r="O51" s="135">
        <v>1205.1339</v>
      </c>
      <c r="P51" s="135">
        <v>1217.8860999999999</v>
      </c>
      <c r="Q51" s="135">
        <v>1196.9184</v>
      </c>
      <c r="R51" s="137">
        <v>1.1200000000000001</v>
      </c>
      <c r="S51" s="120">
        <v>2153082</v>
      </c>
      <c r="T51" s="120">
        <v>12201632</v>
      </c>
      <c r="U51" s="120">
        <v>0</v>
      </c>
      <c r="V51" s="114">
        <f t="shared" si="0"/>
        <v>12201632</v>
      </c>
      <c r="W51" s="114">
        <f t="shared" si="1"/>
        <v>14354714</v>
      </c>
    </row>
    <row r="52" spans="1:23">
      <c r="A52" s="122" t="s">
        <v>874</v>
      </c>
      <c r="B52" s="124">
        <v>11968.751</v>
      </c>
      <c r="C52" s="124">
        <v>11916.463</v>
      </c>
      <c r="D52" s="124">
        <v>12150.062</v>
      </c>
      <c r="E52" s="124">
        <v>11813.504999999999</v>
      </c>
      <c r="F52" s="124">
        <v>2171.9065000000001</v>
      </c>
      <c r="G52" s="124">
        <v>2105.1154000000001</v>
      </c>
      <c r="H52" s="124">
        <v>1940.6581000000001</v>
      </c>
      <c r="I52" s="124">
        <v>1860.1015</v>
      </c>
      <c r="J52" s="134">
        <v>512542160</v>
      </c>
      <c r="K52" s="134">
        <v>611310735</v>
      </c>
      <c r="L52" s="124">
        <v>17118.656999999999</v>
      </c>
      <c r="M52" s="134">
        <v>72388</v>
      </c>
      <c r="N52" s="135">
        <v>1227.8484000000001</v>
      </c>
      <c r="O52" s="135">
        <v>1103.8322000000001</v>
      </c>
      <c r="P52" s="135">
        <v>1075.1120000000001</v>
      </c>
      <c r="Q52" s="135">
        <v>1012.2723</v>
      </c>
      <c r="R52" s="137">
        <v>1.1499999999999999</v>
      </c>
      <c r="S52" s="120">
        <v>739123</v>
      </c>
      <c r="T52" s="120">
        <v>8352211</v>
      </c>
      <c r="U52" s="120">
        <v>108958</v>
      </c>
      <c r="V52" s="114">
        <f t="shared" si="0"/>
        <v>8461169</v>
      </c>
      <c r="W52" s="114">
        <f t="shared" si="1"/>
        <v>9200292</v>
      </c>
    </row>
    <row r="53" spans="1:23">
      <c r="A53" s="122" t="s">
        <v>2682</v>
      </c>
      <c r="B53" s="124">
        <v>1055.0229999999999</v>
      </c>
      <c r="C53" s="124">
        <v>1068.739</v>
      </c>
      <c r="D53" s="124">
        <v>1036.463</v>
      </c>
      <c r="E53" s="124">
        <v>983.81399999999996</v>
      </c>
      <c r="F53" s="124">
        <v>159.97210000000001</v>
      </c>
      <c r="G53" s="124">
        <v>169.8252</v>
      </c>
      <c r="H53" s="124">
        <v>174.17250000000001</v>
      </c>
      <c r="I53" s="124">
        <v>169.10830000000001</v>
      </c>
      <c r="J53" s="47">
        <v>0</v>
      </c>
      <c r="K53" s="47">
        <v>0</v>
      </c>
      <c r="L53" s="124">
        <v>0</v>
      </c>
      <c r="M53" s="134">
        <v>0</v>
      </c>
      <c r="N53" s="135">
        <v>107.9678</v>
      </c>
      <c r="O53" s="135">
        <v>110.24169999999999</v>
      </c>
      <c r="P53" s="135">
        <v>110.1718</v>
      </c>
      <c r="Q53" s="135">
        <v>103.6302</v>
      </c>
      <c r="R53" s="137">
        <v>1.06</v>
      </c>
      <c r="S53" s="72">
        <v>0</v>
      </c>
      <c r="T53" s="72">
        <v>0</v>
      </c>
      <c r="U53" s="72">
        <v>0</v>
      </c>
      <c r="V53">
        <v>0</v>
      </c>
      <c r="W53">
        <f t="shared" si="1"/>
        <v>0</v>
      </c>
    </row>
    <row r="54" spans="1:23">
      <c r="A54" s="122" t="s">
        <v>1489</v>
      </c>
      <c r="B54" s="124">
        <v>53004.027000000002</v>
      </c>
      <c r="C54" s="124">
        <v>52441.319000000003</v>
      </c>
      <c r="D54" s="124">
        <v>52287.555</v>
      </c>
      <c r="E54" s="124">
        <v>51747.71</v>
      </c>
      <c r="F54" s="124">
        <v>7036.2088999999996</v>
      </c>
      <c r="G54" s="124">
        <v>7332.5792000000001</v>
      </c>
      <c r="H54" s="124">
        <v>7524.0568999999996</v>
      </c>
      <c r="I54" s="124">
        <v>7751.6646000000001</v>
      </c>
      <c r="J54" s="134">
        <v>7250480575</v>
      </c>
      <c r="K54" s="134">
        <v>7787039120</v>
      </c>
      <c r="L54" s="124">
        <v>73429.149999999994</v>
      </c>
      <c r="M54" s="134">
        <v>1716295</v>
      </c>
      <c r="N54" s="135">
        <v>4333.0724</v>
      </c>
      <c r="O54" s="135">
        <v>4289.0225</v>
      </c>
      <c r="P54" s="135">
        <v>4436.4736999999996</v>
      </c>
      <c r="Q54" s="135">
        <v>4434.1255000000001</v>
      </c>
      <c r="R54" s="137">
        <v>1.1399999999999999</v>
      </c>
      <c r="S54" s="120">
        <v>16307057</v>
      </c>
      <c r="T54" s="120">
        <v>110105061</v>
      </c>
      <c r="U54" s="120">
        <v>0</v>
      </c>
      <c r="V54" s="114">
        <f t="shared" ref="V54:V68" si="2">T54+U54</f>
        <v>110105061</v>
      </c>
      <c r="W54" s="114">
        <f t="shared" ref="W54:W68" si="3">V54+S54</f>
        <v>126412118</v>
      </c>
    </row>
    <row r="55" spans="1:23">
      <c r="A55" s="122" t="s">
        <v>1699</v>
      </c>
      <c r="B55" s="124">
        <v>9278.3040000000001</v>
      </c>
      <c r="C55" s="124">
        <v>9123.6309999999994</v>
      </c>
      <c r="D55" s="124">
        <v>9147.0879999999997</v>
      </c>
      <c r="E55" s="124">
        <v>9174.3029999999999</v>
      </c>
      <c r="F55" s="124">
        <v>1480.0931</v>
      </c>
      <c r="G55" s="124">
        <v>1419.4391000000001</v>
      </c>
      <c r="H55" s="124">
        <v>1396.1265000000001</v>
      </c>
      <c r="I55" s="124">
        <v>1362.6601000000001</v>
      </c>
      <c r="J55" s="134">
        <v>641079790</v>
      </c>
      <c r="K55" s="134">
        <v>705463100</v>
      </c>
      <c r="L55" s="124">
        <v>12838.216</v>
      </c>
      <c r="M55" s="134">
        <v>558272</v>
      </c>
      <c r="N55" s="135">
        <v>940.47080000000005</v>
      </c>
      <c r="O55" s="135">
        <v>881.46299999999997</v>
      </c>
      <c r="P55" s="135">
        <v>872.62159999999994</v>
      </c>
      <c r="Q55" s="135">
        <v>855.32560000000001</v>
      </c>
      <c r="R55" s="137">
        <v>1.1399999999999999</v>
      </c>
      <c r="S55" s="120">
        <v>1595575</v>
      </c>
      <c r="T55" s="120">
        <v>10452832</v>
      </c>
      <c r="U55" s="120">
        <v>0</v>
      </c>
      <c r="V55" s="114">
        <f t="shared" si="2"/>
        <v>10452832</v>
      </c>
      <c r="W55" s="114">
        <f t="shared" si="3"/>
        <v>12048407</v>
      </c>
    </row>
    <row r="56" spans="1:23">
      <c r="A56" s="122" t="s">
        <v>1316</v>
      </c>
      <c r="B56" s="124">
        <v>2457.7260000000001</v>
      </c>
      <c r="C56" s="124">
        <v>2675.7860000000001</v>
      </c>
      <c r="D56" s="124">
        <v>2840.37</v>
      </c>
      <c r="E56" s="124">
        <v>2918.6860000000001</v>
      </c>
      <c r="F56" s="124">
        <v>363.52679999999998</v>
      </c>
      <c r="G56" s="124">
        <v>408.1</v>
      </c>
      <c r="H56" s="124">
        <v>460.12909999999999</v>
      </c>
      <c r="I56" s="124">
        <v>471.4479</v>
      </c>
      <c r="J56" s="134">
        <v>147703322</v>
      </c>
      <c r="K56" s="134">
        <v>166808619</v>
      </c>
      <c r="L56" s="124">
        <v>4228.99</v>
      </c>
      <c r="M56" s="134">
        <v>112056</v>
      </c>
      <c r="N56" s="135">
        <v>200.75450000000001</v>
      </c>
      <c r="O56" s="135">
        <v>224.56890000000001</v>
      </c>
      <c r="P56" s="135">
        <v>208.90379999999999</v>
      </c>
      <c r="Q56" s="135">
        <v>218.4332</v>
      </c>
      <c r="R56" s="137">
        <v>1.08</v>
      </c>
      <c r="S56" s="120">
        <v>330541</v>
      </c>
      <c r="T56" s="120">
        <v>2428347</v>
      </c>
      <c r="U56" s="120">
        <v>82760</v>
      </c>
      <c r="V56" s="114">
        <f t="shared" si="2"/>
        <v>2511107</v>
      </c>
      <c r="W56" s="114">
        <f t="shared" si="3"/>
        <v>2841648</v>
      </c>
    </row>
    <row r="57" spans="1:23">
      <c r="A57" s="122" t="s">
        <v>1587</v>
      </c>
      <c r="B57" s="124">
        <v>46160.201999999997</v>
      </c>
      <c r="C57" s="124">
        <v>47745.51</v>
      </c>
      <c r="D57" s="124">
        <v>49732.824000000001</v>
      </c>
      <c r="E57" s="124">
        <v>51262.377999999997</v>
      </c>
      <c r="F57" s="124">
        <v>6358.9629000000004</v>
      </c>
      <c r="G57" s="124">
        <v>6623.5727999999999</v>
      </c>
      <c r="H57" s="124">
        <v>6931.9898999999996</v>
      </c>
      <c r="I57" s="124">
        <v>7227.6678000000002</v>
      </c>
      <c r="J57" s="134">
        <v>14726379793</v>
      </c>
      <c r="K57" s="134">
        <v>15462399384</v>
      </c>
      <c r="L57" s="124">
        <v>66063.824999999997</v>
      </c>
      <c r="M57" s="134">
        <v>35433207</v>
      </c>
      <c r="N57" s="135">
        <v>3970.1410000000001</v>
      </c>
      <c r="O57" s="135">
        <v>4177.6454999999996</v>
      </c>
      <c r="P57" s="135">
        <v>4284.4607999999998</v>
      </c>
      <c r="Q57" s="135">
        <v>4474.4495999999999</v>
      </c>
      <c r="R57" s="137">
        <v>1.1100000000000001</v>
      </c>
      <c r="S57" s="120">
        <v>40844472</v>
      </c>
      <c r="T57" s="120">
        <v>232226006</v>
      </c>
      <c r="U57" s="120">
        <v>0</v>
      </c>
      <c r="V57" s="114">
        <f t="shared" si="2"/>
        <v>232226006</v>
      </c>
      <c r="W57" s="114">
        <f t="shared" si="3"/>
        <v>273070478</v>
      </c>
    </row>
    <row r="58" spans="1:23">
      <c r="A58" s="122" t="s">
        <v>871</v>
      </c>
      <c r="B58" s="124">
        <v>7195.7860000000001</v>
      </c>
      <c r="C58" s="124">
        <v>7281.1750000000002</v>
      </c>
      <c r="D58" s="124">
        <v>7352.1239999999998</v>
      </c>
      <c r="E58" s="124">
        <v>7376.201</v>
      </c>
      <c r="F58" s="124">
        <v>1039.6220000000001</v>
      </c>
      <c r="G58" s="124">
        <v>1112.8774000000001</v>
      </c>
      <c r="H58" s="124">
        <v>1117.2036000000001</v>
      </c>
      <c r="I58" s="124">
        <v>1154.6342999999999</v>
      </c>
      <c r="J58" s="134">
        <v>898290880</v>
      </c>
      <c r="K58" s="134">
        <v>977065660</v>
      </c>
      <c r="L58" s="124">
        <v>9750.2639999999992</v>
      </c>
      <c r="M58" s="134">
        <v>500875</v>
      </c>
      <c r="N58" s="135">
        <v>651.05830000000003</v>
      </c>
      <c r="O58" s="135">
        <v>688.81830000000002</v>
      </c>
      <c r="P58" s="135">
        <v>697.88279999999997</v>
      </c>
      <c r="Q58" s="135">
        <v>709.37620000000004</v>
      </c>
      <c r="R58" s="137">
        <v>1.1000000000000001</v>
      </c>
      <c r="S58" s="120">
        <v>1692888</v>
      </c>
      <c r="T58" s="120">
        <v>14177477</v>
      </c>
      <c r="U58" s="120">
        <v>0</v>
      </c>
      <c r="V58" s="114">
        <f t="shared" si="2"/>
        <v>14177477</v>
      </c>
      <c r="W58" s="114">
        <f t="shared" si="3"/>
        <v>15870365</v>
      </c>
    </row>
    <row r="59" spans="1:23">
      <c r="A59" s="122" t="s">
        <v>807</v>
      </c>
      <c r="B59" s="124">
        <v>8935.7000000000007</v>
      </c>
      <c r="C59" s="124">
        <v>8847.1010000000006</v>
      </c>
      <c r="D59" s="124">
        <v>8804.098</v>
      </c>
      <c r="E59" s="124">
        <v>8869.777</v>
      </c>
      <c r="F59" s="124">
        <v>1345.8425</v>
      </c>
      <c r="G59" s="124">
        <v>1285.3547000000001</v>
      </c>
      <c r="H59" s="124">
        <v>1285.8580999999999</v>
      </c>
      <c r="I59" s="124">
        <v>1261.5754999999999</v>
      </c>
      <c r="J59" s="134">
        <v>500918935</v>
      </c>
      <c r="K59" s="134">
        <v>558536194</v>
      </c>
      <c r="L59" s="124">
        <v>12234.623</v>
      </c>
      <c r="M59" s="134">
        <v>234070</v>
      </c>
      <c r="N59" s="135">
        <v>820.43790000000001</v>
      </c>
      <c r="O59" s="135">
        <v>782.87609999999995</v>
      </c>
      <c r="P59" s="135">
        <v>782.4828</v>
      </c>
      <c r="Q59" s="135">
        <v>769.78089999999997</v>
      </c>
      <c r="R59" s="137">
        <v>1.1100000000000001</v>
      </c>
      <c r="S59" s="120">
        <v>898643</v>
      </c>
      <c r="T59" s="120">
        <v>7675676</v>
      </c>
      <c r="U59" s="120">
        <v>0</v>
      </c>
      <c r="V59" s="114">
        <f t="shared" si="2"/>
        <v>7675676</v>
      </c>
      <c r="W59" s="114">
        <f t="shared" si="3"/>
        <v>8574319</v>
      </c>
    </row>
    <row r="60" spans="1:23">
      <c r="A60" s="122" t="s">
        <v>2683</v>
      </c>
      <c r="B60" s="124">
        <v>775.29899999999998</v>
      </c>
      <c r="C60" s="124">
        <v>907.86500000000001</v>
      </c>
      <c r="D60" s="124">
        <v>983.226</v>
      </c>
      <c r="E60" s="124">
        <v>967.63300000000004</v>
      </c>
      <c r="F60" s="124">
        <v>140.18559999999999</v>
      </c>
      <c r="G60" s="124">
        <v>166.8749</v>
      </c>
      <c r="H60" s="124">
        <v>143.45160000000001</v>
      </c>
      <c r="I60" s="124">
        <v>182.5565</v>
      </c>
      <c r="J60" s="47">
        <v>0</v>
      </c>
      <c r="K60" s="47">
        <v>0</v>
      </c>
      <c r="L60" s="124">
        <v>0</v>
      </c>
      <c r="M60" s="134">
        <v>0</v>
      </c>
      <c r="N60" s="135">
        <v>90.592600000000004</v>
      </c>
      <c r="O60" s="135">
        <v>109.1733</v>
      </c>
      <c r="P60" s="135">
        <v>113.56489999999999</v>
      </c>
      <c r="Q60" s="135">
        <v>120.0086</v>
      </c>
      <c r="R60" s="137">
        <v>1.05</v>
      </c>
      <c r="S60" s="72">
        <v>0</v>
      </c>
      <c r="T60" s="72">
        <v>0</v>
      </c>
      <c r="U60" s="72">
        <v>0</v>
      </c>
      <c r="V60">
        <f t="shared" si="2"/>
        <v>0</v>
      </c>
      <c r="W60">
        <f t="shared" si="3"/>
        <v>0</v>
      </c>
    </row>
    <row r="61" spans="1:23">
      <c r="A61" s="122" t="s">
        <v>2684</v>
      </c>
      <c r="B61" s="124">
        <v>1172.627</v>
      </c>
      <c r="C61" s="124">
        <v>1164.596</v>
      </c>
      <c r="D61" s="124">
        <v>1164.001</v>
      </c>
      <c r="E61" s="124">
        <v>1131.758</v>
      </c>
      <c r="F61" s="124">
        <v>229.71809999999999</v>
      </c>
      <c r="G61" s="124">
        <v>233.9496</v>
      </c>
      <c r="H61" s="124">
        <v>233.9145</v>
      </c>
      <c r="I61" s="124">
        <v>229.79230000000001</v>
      </c>
      <c r="J61" s="47">
        <v>0</v>
      </c>
      <c r="K61" s="47">
        <v>0</v>
      </c>
      <c r="L61" s="124">
        <v>0</v>
      </c>
      <c r="M61" s="134">
        <v>0</v>
      </c>
      <c r="N61" s="135">
        <v>150.47239999999999</v>
      </c>
      <c r="O61" s="135">
        <v>145.49459999999999</v>
      </c>
      <c r="P61" s="135">
        <v>146.45580000000001</v>
      </c>
      <c r="Q61" s="135">
        <v>141.6514</v>
      </c>
      <c r="R61" s="137">
        <v>1.06</v>
      </c>
      <c r="S61" s="72">
        <v>0</v>
      </c>
      <c r="T61" s="72">
        <v>0</v>
      </c>
      <c r="U61" s="72">
        <v>0</v>
      </c>
      <c r="V61">
        <f t="shared" si="2"/>
        <v>0</v>
      </c>
      <c r="W61">
        <f t="shared" si="3"/>
        <v>0</v>
      </c>
    </row>
    <row r="62" spans="1:23">
      <c r="A62" s="122" t="s">
        <v>1589</v>
      </c>
      <c r="B62" s="124">
        <v>58740.777999999998</v>
      </c>
      <c r="C62" s="124">
        <v>59789.688999999998</v>
      </c>
      <c r="D62" s="124">
        <v>61803.167000000001</v>
      </c>
      <c r="E62" s="124">
        <v>64358.605000000003</v>
      </c>
      <c r="F62" s="124">
        <v>8216.9313000000002</v>
      </c>
      <c r="G62" s="124">
        <v>8956.3778000000002</v>
      </c>
      <c r="H62" s="124">
        <v>9159.9166999999998</v>
      </c>
      <c r="I62" s="124">
        <v>9710.0910000000003</v>
      </c>
      <c r="J62" s="134">
        <v>14145629366</v>
      </c>
      <c r="K62" s="134">
        <v>14883742934</v>
      </c>
      <c r="L62" s="124">
        <v>83584.460000000006</v>
      </c>
      <c r="M62" s="134">
        <v>27651515</v>
      </c>
      <c r="N62" s="135">
        <v>5214.7912999999999</v>
      </c>
      <c r="O62" s="135">
        <v>5310.6431000000002</v>
      </c>
      <c r="P62" s="135">
        <v>5422.5987999999998</v>
      </c>
      <c r="Q62" s="135">
        <v>5676.1121000000003</v>
      </c>
      <c r="R62" s="137">
        <v>1.1100000000000001</v>
      </c>
      <c r="S62" s="120">
        <v>39303775</v>
      </c>
      <c r="T62" s="120">
        <v>224795332</v>
      </c>
      <c r="U62" s="120">
        <v>0</v>
      </c>
      <c r="V62" s="114">
        <f t="shared" si="2"/>
        <v>224795332</v>
      </c>
      <c r="W62" s="114">
        <f t="shared" si="3"/>
        <v>264099107</v>
      </c>
    </row>
    <row r="63" spans="1:23">
      <c r="A63" s="122" t="s">
        <v>53</v>
      </c>
      <c r="B63" s="124">
        <v>15236.98</v>
      </c>
      <c r="C63" s="124">
        <v>15645.601000000001</v>
      </c>
      <c r="D63" s="124">
        <v>16002.587</v>
      </c>
      <c r="E63" s="124">
        <v>16396.007000000001</v>
      </c>
      <c r="F63" s="124">
        <v>2263.1949</v>
      </c>
      <c r="G63" s="124">
        <v>2376.4531999999999</v>
      </c>
      <c r="H63" s="124">
        <v>2411.5335</v>
      </c>
      <c r="I63" s="124">
        <v>2342.078</v>
      </c>
      <c r="J63" s="134">
        <v>2889890596</v>
      </c>
      <c r="K63" s="134">
        <v>3062739047</v>
      </c>
      <c r="L63" s="124">
        <v>21215.33</v>
      </c>
      <c r="M63" s="134">
        <v>4641283</v>
      </c>
      <c r="N63" s="135">
        <v>1395.8706999999999</v>
      </c>
      <c r="O63" s="135">
        <v>1424.4104</v>
      </c>
      <c r="P63" s="135">
        <v>1452.1171999999999</v>
      </c>
      <c r="Q63" s="135">
        <v>1477.1838</v>
      </c>
      <c r="R63" s="137">
        <v>1.1100000000000001</v>
      </c>
      <c r="S63" s="120">
        <v>8416943</v>
      </c>
      <c r="T63" s="120">
        <v>45971033</v>
      </c>
      <c r="U63" s="120">
        <v>0</v>
      </c>
      <c r="V63" s="114">
        <f t="shared" si="2"/>
        <v>45971033</v>
      </c>
      <c r="W63" s="114">
        <f t="shared" si="3"/>
        <v>54387976</v>
      </c>
    </row>
    <row r="64" spans="1:23">
      <c r="A64" s="122" t="s">
        <v>1700</v>
      </c>
      <c r="B64" s="124">
        <v>3925.28</v>
      </c>
      <c r="C64" s="124">
        <v>4151.9790000000003</v>
      </c>
      <c r="D64" s="124">
        <v>4264.5110000000004</v>
      </c>
      <c r="E64" s="124">
        <v>4375.0290000000005</v>
      </c>
      <c r="F64" s="124">
        <v>574.01890000000003</v>
      </c>
      <c r="G64" s="124">
        <v>607.41930000000002</v>
      </c>
      <c r="H64" s="124">
        <v>626.70330000000001</v>
      </c>
      <c r="I64" s="124">
        <v>619.77290000000005</v>
      </c>
      <c r="J64" s="134">
        <v>258701302</v>
      </c>
      <c r="K64" s="134">
        <v>288612292</v>
      </c>
      <c r="L64" s="124">
        <v>6264.1329999999998</v>
      </c>
      <c r="M64" s="134">
        <v>159786</v>
      </c>
      <c r="N64" s="135">
        <v>339.83460000000002</v>
      </c>
      <c r="O64" s="135">
        <v>351.6669</v>
      </c>
      <c r="P64" s="135">
        <v>360.11680000000001</v>
      </c>
      <c r="Q64" s="135">
        <v>348.76780000000002</v>
      </c>
      <c r="R64" s="137">
        <v>1.1000000000000001</v>
      </c>
      <c r="S64" s="120">
        <v>597689</v>
      </c>
      <c r="T64" s="120">
        <v>3934770</v>
      </c>
      <c r="U64" s="120">
        <v>223223</v>
      </c>
      <c r="V64" s="114">
        <f t="shared" si="2"/>
        <v>4157993</v>
      </c>
      <c r="W64" s="114">
        <f t="shared" si="3"/>
        <v>4755682</v>
      </c>
    </row>
    <row r="65" spans="1:23">
      <c r="A65" s="122" t="s">
        <v>1377</v>
      </c>
      <c r="B65" s="124">
        <v>630.03499999999997</v>
      </c>
      <c r="C65" s="124">
        <v>623.79700000000003</v>
      </c>
      <c r="D65" s="124">
        <v>643.75400000000002</v>
      </c>
      <c r="E65" s="124">
        <v>628.024</v>
      </c>
      <c r="F65" s="124">
        <v>96.494500000000002</v>
      </c>
      <c r="G65" s="124">
        <v>95.147499999999994</v>
      </c>
      <c r="H65" s="124">
        <v>93.052499999999995</v>
      </c>
      <c r="I65" s="124">
        <v>91.830100000000002</v>
      </c>
      <c r="J65" s="134">
        <v>244800039</v>
      </c>
      <c r="K65" s="134">
        <v>255751269</v>
      </c>
      <c r="L65" s="124">
        <v>1137.8689999999999</v>
      </c>
      <c r="M65" s="134">
        <v>255961</v>
      </c>
      <c r="N65" s="135">
        <v>71.033000000000001</v>
      </c>
      <c r="O65" s="135">
        <v>67.909099999999995</v>
      </c>
      <c r="P65" s="135">
        <v>67.589799999999997</v>
      </c>
      <c r="Q65" s="135">
        <v>67.168099999999995</v>
      </c>
      <c r="R65" s="137">
        <v>1.08</v>
      </c>
      <c r="S65" s="120">
        <v>243725</v>
      </c>
      <c r="T65" s="120">
        <v>3405128</v>
      </c>
      <c r="U65" s="120">
        <v>0</v>
      </c>
      <c r="V65" s="114">
        <f t="shared" si="2"/>
        <v>3405128</v>
      </c>
      <c r="W65" s="114">
        <f t="shared" si="3"/>
        <v>3648853</v>
      </c>
    </row>
    <row r="66" spans="1:23">
      <c r="A66" s="122" t="s">
        <v>986</v>
      </c>
      <c r="B66" s="124">
        <v>862.91300000000001</v>
      </c>
      <c r="C66" s="124">
        <v>850.05799999999999</v>
      </c>
      <c r="D66" s="124">
        <v>838.30399999999997</v>
      </c>
      <c r="E66" s="124">
        <v>877.43100000000004</v>
      </c>
      <c r="F66" s="124">
        <v>142.12299999999999</v>
      </c>
      <c r="G66" s="124">
        <v>152.85040000000001</v>
      </c>
      <c r="H66" s="124">
        <v>154.37989999999999</v>
      </c>
      <c r="I66" s="124">
        <v>154.6951</v>
      </c>
      <c r="J66" s="134">
        <v>256177494</v>
      </c>
      <c r="K66" s="134">
        <v>269514104</v>
      </c>
      <c r="L66" s="124">
        <v>1521.9960000000001</v>
      </c>
      <c r="M66" s="134">
        <v>363809</v>
      </c>
      <c r="N66" s="135">
        <v>103.90940000000001</v>
      </c>
      <c r="O66" s="135">
        <v>104.0051</v>
      </c>
      <c r="P66" s="135">
        <v>100.9736</v>
      </c>
      <c r="Q66" s="135">
        <v>100.9558</v>
      </c>
      <c r="R66" s="137">
        <v>1.08</v>
      </c>
      <c r="S66" s="120">
        <v>559235</v>
      </c>
      <c r="T66" s="120">
        <v>3495981</v>
      </c>
      <c r="U66" s="120">
        <v>0</v>
      </c>
      <c r="V66" s="114">
        <f t="shared" si="2"/>
        <v>3495981</v>
      </c>
      <c r="W66" s="114">
        <f t="shared" si="3"/>
        <v>4055216</v>
      </c>
    </row>
    <row r="67" spans="1:23">
      <c r="A67" s="122" t="s">
        <v>1378</v>
      </c>
      <c r="B67" s="124">
        <v>173.381</v>
      </c>
      <c r="C67" s="124">
        <v>150.114</v>
      </c>
      <c r="D67" s="124">
        <v>162.50200000000001</v>
      </c>
      <c r="E67" s="124">
        <v>159.40199999999999</v>
      </c>
      <c r="F67" s="124">
        <v>47.5321</v>
      </c>
      <c r="G67" s="124">
        <v>47.975900000000003</v>
      </c>
      <c r="H67" s="124">
        <v>49.811100000000003</v>
      </c>
      <c r="I67" s="124">
        <v>48.941099999999999</v>
      </c>
      <c r="J67" s="134">
        <v>284946629</v>
      </c>
      <c r="K67" s="134">
        <v>286163252</v>
      </c>
      <c r="L67" s="124">
        <v>301.46600000000001</v>
      </c>
      <c r="M67" s="114">
        <v>0</v>
      </c>
      <c r="N67" s="135">
        <v>26.546600000000002</v>
      </c>
      <c r="O67" s="135">
        <v>24.989699999999999</v>
      </c>
      <c r="P67" s="135">
        <v>24.015799999999999</v>
      </c>
      <c r="Q67" s="135">
        <v>23.314399999999999</v>
      </c>
      <c r="R67" s="137">
        <v>1.06</v>
      </c>
      <c r="S67" s="120">
        <v>0</v>
      </c>
      <c r="T67" s="120">
        <v>3793587</v>
      </c>
      <c r="U67" s="120">
        <v>0</v>
      </c>
      <c r="V67" s="114">
        <f t="shared" si="2"/>
        <v>3793587</v>
      </c>
      <c r="W67" s="114">
        <f t="shared" si="3"/>
        <v>3793587</v>
      </c>
    </row>
    <row r="68" spans="1:23">
      <c r="A68" s="122" t="s">
        <v>628</v>
      </c>
      <c r="B68" s="124">
        <v>1123.5889999999999</v>
      </c>
      <c r="C68" s="124">
        <v>1126.184</v>
      </c>
      <c r="D68" s="124">
        <v>1127.335</v>
      </c>
      <c r="E68" s="124">
        <v>1096.1079999999999</v>
      </c>
      <c r="F68" s="124">
        <v>179.2543</v>
      </c>
      <c r="G68" s="124">
        <v>180.97059999999999</v>
      </c>
      <c r="H68" s="124">
        <v>188.7749</v>
      </c>
      <c r="I68" s="124">
        <v>178.6234</v>
      </c>
      <c r="J68" s="134">
        <v>327920423</v>
      </c>
      <c r="K68" s="134">
        <v>344322904</v>
      </c>
      <c r="L68" s="124">
        <v>1593.3389999999999</v>
      </c>
      <c r="M68" s="134">
        <v>228693</v>
      </c>
      <c r="N68" s="135">
        <v>114.69970000000001</v>
      </c>
      <c r="O68" s="135">
        <v>120.2247</v>
      </c>
      <c r="P68" s="135">
        <v>124.7389</v>
      </c>
      <c r="Q68" s="135">
        <v>116.1315</v>
      </c>
      <c r="R68" s="137">
        <v>1.04</v>
      </c>
      <c r="S68" s="120">
        <v>507123</v>
      </c>
      <c r="T68" s="120">
        <v>5252749</v>
      </c>
      <c r="U68" s="120">
        <v>0</v>
      </c>
      <c r="V68" s="114">
        <f t="shared" si="2"/>
        <v>5252749</v>
      </c>
      <c r="W68" s="114">
        <f t="shared" si="3"/>
        <v>5759872</v>
      </c>
    </row>
    <row r="69" spans="1:23">
      <c r="A69" s="122" t="s">
        <v>1379</v>
      </c>
      <c r="B69" s="124">
        <v>529.95399999999995</v>
      </c>
      <c r="C69" s="124">
        <v>510.19400000000002</v>
      </c>
      <c r="D69" s="124">
        <v>504.166</v>
      </c>
      <c r="E69" s="124">
        <v>502.09100000000001</v>
      </c>
      <c r="F69" s="124">
        <v>76.867500000000007</v>
      </c>
      <c r="G69" s="124">
        <v>80.174899999999994</v>
      </c>
      <c r="H69" s="124">
        <v>73.433700000000002</v>
      </c>
      <c r="I69" s="124">
        <v>70.161000000000001</v>
      </c>
      <c r="J69" s="134">
        <v>82658703</v>
      </c>
      <c r="K69" s="134">
        <v>88346793</v>
      </c>
      <c r="L69" s="124">
        <v>838.81799999999998</v>
      </c>
      <c r="M69" s="134">
        <v>85080</v>
      </c>
      <c r="N69" s="135">
        <v>50.619700000000002</v>
      </c>
      <c r="O69" s="135">
        <v>51.9163</v>
      </c>
      <c r="P69" s="135">
        <v>46.2911</v>
      </c>
      <c r="Q69" s="135">
        <v>43.164200000000001</v>
      </c>
      <c r="R69" s="137">
        <v>1.04</v>
      </c>
      <c r="S69" s="120">
        <v>99729</v>
      </c>
      <c r="T69" s="120">
        <v>1054148</v>
      </c>
      <c r="U69" s="120">
        <v>0</v>
      </c>
      <c r="V69" s="114">
        <f t="shared" ref="V69:V132" si="4">T69+U69</f>
        <v>1054148</v>
      </c>
      <c r="W69" s="114">
        <f t="shared" ref="W69:W132" si="5">V69+S69</f>
        <v>1153877</v>
      </c>
    </row>
    <row r="70" spans="1:23">
      <c r="A70" s="122" t="s">
        <v>1273</v>
      </c>
      <c r="B70" s="124">
        <v>131.631</v>
      </c>
      <c r="C70" s="124">
        <v>136.63300000000001</v>
      </c>
      <c r="D70" s="124">
        <v>149.65199999999999</v>
      </c>
      <c r="E70" s="124">
        <v>149.75200000000001</v>
      </c>
      <c r="F70" s="124">
        <v>24.75</v>
      </c>
      <c r="G70" s="124">
        <v>26.75</v>
      </c>
      <c r="H70" s="124">
        <v>30.75</v>
      </c>
      <c r="I70" s="124">
        <v>28.75</v>
      </c>
      <c r="J70" s="134">
        <v>36317242</v>
      </c>
      <c r="K70" s="134">
        <v>38561962</v>
      </c>
      <c r="L70" s="124">
        <v>311.38499999999999</v>
      </c>
      <c r="M70" s="114">
        <v>0</v>
      </c>
      <c r="N70" s="135">
        <v>15.501300000000001</v>
      </c>
      <c r="O70" s="135">
        <v>15.130699999999999</v>
      </c>
      <c r="P70" s="135">
        <v>16.1309</v>
      </c>
      <c r="Q70" s="135">
        <v>16.1082</v>
      </c>
      <c r="R70" s="137">
        <v>1.07</v>
      </c>
      <c r="S70" s="120">
        <v>0</v>
      </c>
      <c r="T70" s="120">
        <v>551284</v>
      </c>
      <c r="U70" s="120">
        <v>0</v>
      </c>
      <c r="V70" s="114">
        <f t="shared" si="4"/>
        <v>551284</v>
      </c>
      <c r="W70" s="114">
        <f t="shared" si="5"/>
        <v>551284</v>
      </c>
    </row>
    <row r="71" spans="1:23">
      <c r="A71" s="122" t="s">
        <v>1274</v>
      </c>
      <c r="B71" s="124">
        <v>481.26900000000001</v>
      </c>
      <c r="C71" s="124">
        <v>492.29399999999998</v>
      </c>
      <c r="D71" s="124">
        <v>500.459</v>
      </c>
      <c r="E71" s="124">
        <v>513.79600000000005</v>
      </c>
      <c r="F71" s="124">
        <v>97.097300000000004</v>
      </c>
      <c r="G71" s="124">
        <v>107.4846</v>
      </c>
      <c r="H71" s="124">
        <v>110.6694</v>
      </c>
      <c r="I71" s="124">
        <v>115.4657</v>
      </c>
      <c r="J71" s="134">
        <v>100277588</v>
      </c>
      <c r="K71" s="134">
        <v>106686258</v>
      </c>
      <c r="L71" s="124">
        <v>865.54100000000005</v>
      </c>
      <c r="M71" s="134">
        <v>158412</v>
      </c>
      <c r="N71" s="135">
        <v>65.753299999999996</v>
      </c>
      <c r="O71" s="135">
        <v>70.295900000000003</v>
      </c>
      <c r="P71" s="135">
        <v>79.372799999999998</v>
      </c>
      <c r="Q71" s="135">
        <v>77.375699999999995</v>
      </c>
      <c r="R71" s="137">
        <v>1.04</v>
      </c>
      <c r="S71" s="120">
        <v>204973</v>
      </c>
      <c r="T71" s="120">
        <v>1593345</v>
      </c>
      <c r="U71" s="120">
        <v>0</v>
      </c>
      <c r="V71" s="114">
        <f t="shared" si="4"/>
        <v>1593345</v>
      </c>
      <c r="W71" s="114">
        <f t="shared" si="5"/>
        <v>1798318</v>
      </c>
    </row>
    <row r="72" spans="1:23">
      <c r="A72" s="122" t="s">
        <v>2174</v>
      </c>
      <c r="B72" s="124">
        <v>211.608</v>
      </c>
      <c r="C72" s="124">
        <v>216.34899999999999</v>
      </c>
      <c r="D72" s="124">
        <v>217.92500000000001</v>
      </c>
      <c r="E72" s="124">
        <v>211.88800000000001</v>
      </c>
      <c r="F72" s="124">
        <v>28.399899999999999</v>
      </c>
      <c r="G72" s="124">
        <v>29.863199999999999</v>
      </c>
      <c r="H72" s="124">
        <v>29.863199999999999</v>
      </c>
      <c r="I72" s="124">
        <v>30.825800000000001</v>
      </c>
      <c r="J72" s="134">
        <v>32726059</v>
      </c>
      <c r="K72" s="134">
        <v>34791029</v>
      </c>
      <c r="L72" s="124">
        <v>388.39299999999997</v>
      </c>
      <c r="M72" s="114">
        <v>0</v>
      </c>
      <c r="N72" s="135">
        <v>20.338999999999999</v>
      </c>
      <c r="O72" s="135">
        <v>20.357500000000002</v>
      </c>
      <c r="P72" s="135">
        <v>21.629000000000001</v>
      </c>
      <c r="Q72" s="135">
        <v>21.9514</v>
      </c>
      <c r="R72" s="137">
        <v>1.04</v>
      </c>
      <c r="S72" s="120">
        <v>0</v>
      </c>
      <c r="T72" s="120">
        <v>371206</v>
      </c>
      <c r="U72" s="120">
        <v>23380</v>
      </c>
      <c r="V72" s="114">
        <f t="shared" si="4"/>
        <v>394586</v>
      </c>
      <c r="W72" s="114">
        <f t="shared" si="5"/>
        <v>394586</v>
      </c>
    </row>
    <row r="73" spans="1:23">
      <c r="A73" s="122" t="s">
        <v>1846</v>
      </c>
      <c r="B73" s="124">
        <v>127.46299999999999</v>
      </c>
      <c r="C73" s="124">
        <v>128.511</v>
      </c>
      <c r="D73" s="124">
        <v>132.19900000000001</v>
      </c>
      <c r="E73" s="124">
        <v>137.72300000000001</v>
      </c>
      <c r="F73" s="124">
        <v>28.1737</v>
      </c>
      <c r="G73" s="124">
        <v>27.048100000000002</v>
      </c>
      <c r="H73" s="124">
        <v>29.9438</v>
      </c>
      <c r="I73" s="124">
        <v>30.187100000000001</v>
      </c>
      <c r="J73" s="134">
        <v>38770418</v>
      </c>
      <c r="K73" s="134">
        <v>41099659</v>
      </c>
      <c r="L73" s="124">
        <v>274.03699999999998</v>
      </c>
      <c r="M73" s="134">
        <v>50558</v>
      </c>
      <c r="N73" s="135">
        <v>15.5002</v>
      </c>
      <c r="O73" s="135">
        <v>16.311299999999999</v>
      </c>
      <c r="P73" s="135">
        <v>19.002400000000002</v>
      </c>
      <c r="Q73" s="135">
        <v>17.9983</v>
      </c>
      <c r="R73" s="137">
        <v>1.05</v>
      </c>
      <c r="S73" s="120">
        <v>67452</v>
      </c>
      <c r="T73" s="120">
        <v>519913</v>
      </c>
      <c r="U73" s="120">
        <v>0</v>
      </c>
      <c r="V73" s="114">
        <f t="shared" si="4"/>
        <v>519913</v>
      </c>
      <c r="W73" s="114">
        <f t="shared" si="5"/>
        <v>587365</v>
      </c>
    </row>
    <row r="74" spans="1:23">
      <c r="A74" s="122" t="s">
        <v>1847</v>
      </c>
      <c r="B74" s="124">
        <v>284.47500000000002</v>
      </c>
      <c r="C74" s="124">
        <v>290.39400000000001</v>
      </c>
      <c r="D74" s="124">
        <v>281.62400000000002</v>
      </c>
      <c r="E74" s="124">
        <v>288.39699999999999</v>
      </c>
      <c r="F74" s="124">
        <v>51.253900000000002</v>
      </c>
      <c r="G74" s="124">
        <v>52.594900000000003</v>
      </c>
      <c r="H74" s="124">
        <v>51.949100000000001</v>
      </c>
      <c r="I74" s="124">
        <v>45.221899999999998</v>
      </c>
      <c r="J74" s="134">
        <v>61359981</v>
      </c>
      <c r="K74" s="134">
        <v>66306941</v>
      </c>
      <c r="L74" s="124">
        <v>500.15699999999998</v>
      </c>
      <c r="M74" s="134">
        <v>11473</v>
      </c>
      <c r="N74" s="135">
        <v>33.507199999999997</v>
      </c>
      <c r="O74" s="135">
        <v>34.965200000000003</v>
      </c>
      <c r="P74" s="135">
        <v>36.357900000000001</v>
      </c>
      <c r="Q74" s="135">
        <v>29.358799999999999</v>
      </c>
      <c r="R74" s="137">
        <v>1.05</v>
      </c>
      <c r="S74" s="120">
        <v>12703</v>
      </c>
      <c r="T74" s="120">
        <v>925786</v>
      </c>
      <c r="U74" s="120">
        <v>0</v>
      </c>
      <c r="V74" s="114">
        <f t="shared" si="4"/>
        <v>925786</v>
      </c>
      <c r="W74" s="114">
        <f t="shared" si="5"/>
        <v>938489</v>
      </c>
    </row>
    <row r="75" spans="1:23">
      <c r="A75" s="122" t="s">
        <v>1848</v>
      </c>
      <c r="B75" s="124">
        <v>133.78899999999999</v>
      </c>
      <c r="C75" s="124">
        <v>113.277</v>
      </c>
      <c r="D75" s="124">
        <v>112.42400000000001</v>
      </c>
      <c r="E75" s="124">
        <v>110.342</v>
      </c>
      <c r="F75" s="124">
        <v>27.962599999999998</v>
      </c>
      <c r="G75" s="124">
        <v>29.0001</v>
      </c>
      <c r="H75" s="124">
        <v>28.660499999999999</v>
      </c>
      <c r="I75" s="124">
        <v>27.697900000000001</v>
      </c>
      <c r="J75" s="134">
        <v>35771358</v>
      </c>
      <c r="K75" s="134">
        <v>37791209</v>
      </c>
      <c r="L75" s="124">
        <v>266.721</v>
      </c>
      <c r="M75" s="114">
        <v>0</v>
      </c>
      <c r="N75" s="135">
        <v>17.001100000000001</v>
      </c>
      <c r="O75" s="135">
        <v>17.1356</v>
      </c>
      <c r="P75" s="135">
        <v>16.735900000000001</v>
      </c>
      <c r="Q75" s="135">
        <v>15.735900000000001</v>
      </c>
      <c r="R75" s="137">
        <v>1.05</v>
      </c>
      <c r="S75" s="120">
        <v>0</v>
      </c>
      <c r="T75" s="120">
        <v>557831</v>
      </c>
      <c r="U75" s="120">
        <v>0</v>
      </c>
      <c r="V75" s="114">
        <f t="shared" si="4"/>
        <v>557831</v>
      </c>
      <c r="W75" s="114">
        <f t="shared" si="5"/>
        <v>557831</v>
      </c>
    </row>
    <row r="76" spans="1:23">
      <c r="A76" s="122" t="s">
        <v>997</v>
      </c>
      <c r="B76" s="124">
        <v>925.21100000000001</v>
      </c>
      <c r="C76" s="124">
        <v>905.96</v>
      </c>
      <c r="D76" s="124">
        <v>900.46799999999996</v>
      </c>
      <c r="E76" s="124">
        <v>901.01499999999999</v>
      </c>
      <c r="F76" s="124">
        <v>130</v>
      </c>
      <c r="G76" s="124">
        <v>124</v>
      </c>
      <c r="H76" s="124">
        <v>122.3797</v>
      </c>
      <c r="I76" s="124">
        <v>133</v>
      </c>
      <c r="J76" s="134">
        <v>86602018</v>
      </c>
      <c r="K76" s="134">
        <v>98300158</v>
      </c>
      <c r="L76" s="124">
        <v>1417.2470000000001</v>
      </c>
      <c r="M76" s="134">
        <v>24392</v>
      </c>
      <c r="N76" s="135">
        <v>107.9973</v>
      </c>
      <c r="O76" s="135">
        <v>99.001300000000001</v>
      </c>
      <c r="P76" s="135">
        <v>93.751400000000004</v>
      </c>
      <c r="Q76" s="135">
        <v>111.0056</v>
      </c>
      <c r="R76" s="137">
        <v>1.03</v>
      </c>
      <c r="S76" s="120">
        <v>80750</v>
      </c>
      <c r="T76" s="120">
        <v>1215695</v>
      </c>
      <c r="U76" s="120">
        <v>67251</v>
      </c>
      <c r="V76" s="114">
        <f t="shared" si="4"/>
        <v>1282946</v>
      </c>
      <c r="W76" s="114">
        <f t="shared" si="5"/>
        <v>1363696</v>
      </c>
    </row>
    <row r="77" spans="1:23">
      <c r="A77" s="122" t="s">
        <v>808</v>
      </c>
      <c r="B77" s="124">
        <v>1037.7339999999999</v>
      </c>
      <c r="C77" s="124">
        <v>996.798</v>
      </c>
      <c r="D77" s="124">
        <v>1020.327</v>
      </c>
      <c r="E77" s="124">
        <v>1047.231</v>
      </c>
      <c r="F77" s="124">
        <v>152.0993</v>
      </c>
      <c r="G77" s="124">
        <v>155.773</v>
      </c>
      <c r="H77" s="124">
        <v>149.75970000000001</v>
      </c>
      <c r="I77" s="124">
        <v>144.80789999999999</v>
      </c>
      <c r="J77" s="134">
        <v>97064891</v>
      </c>
      <c r="K77" s="134">
        <v>108287690</v>
      </c>
      <c r="L77" s="124">
        <v>1623.663</v>
      </c>
      <c r="M77" s="134">
        <v>5093</v>
      </c>
      <c r="N77" s="135">
        <v>100.7931</v>
      </c>
      <c r="O77" s="135">
        <v>98.995800000000003</v>
      </c>
      <c r="P77" s="135">
        <v>97.994600000000005</v>
      </c>
      <c r="Q77" s="135">
        <v>101.0484</v>
      </c>
      <c r="R77" s="137">
        <v>1.04</v>
      </c>
      <c r="S77" s="120">
        <v>141329</v>
      </c>
      <c r="T77" s="120">
        <v>1214475</v>
      </c>
      <c r="U77" s="120">
        <v>0</v>
      </c>
      <c r="V77" s="114">
        <f t="shared" si="4"/>
        <v>1214475</v>
      </c>
      <c r="W77" s="114">
        <f t="shared" si="5"/>
        <v>1355804</v>
      </c>
    </row>
    <row r="78" spans="1:23">
      <c r="A78" s="122" t="s">
        <v>2450</v>
      </c>
      <c r="B78" s="124">
        <v>470.24200000000002</v>
      </c>
      <c r="C78" s="124">
        <v>441.10399999999998</v>
      </c>
      <c r="D78" s="124">
        <v>427.78300000000002</v>
      </c>
      <c r="E78" s="124">
        <v>437.71499999999997</v>
      </c>
      <c r="F78" s="124">
        <v>57.57</v>
      </c>
      <c r="G78" s="124">
        <v>60</v>
      </c>
      <c r="H78" s="124">
        <v>64</v>
      </c>
      <c r="I78" s="124">
        <v>65.48</v>
      </c>
      <c r="J78" s="134">
        <v>31742271</v>
      </c>
      <c r="K78" s="134">
        <v>37435760</v>
      </c>
      <c r="L78" s="124">
        <v>721.72699999999998</v>
      </c>
      <c r="M78" s="114">
        <v>0</v>
      </c>
      <c r="N78" s="135">
        <v>39.567900000000002</v>
      </c>
      <c r="O78" s="135">
        <v>40.998399999999997</v>
      </c>
      <c r="P78" s="135">
        <v>41.998899999999999</v>
      </c>
      <c r="Q78" s="135">
        <v>42.998899999999999</v>
      </c>
      <c r="R78" s="137">
        <v>1.03</v>
      </c>
      <c r="S78" s="120">
        <v>15172</v>
      </c>
      <c r="T78" s="120">
        <v>420077</v>
      </c>
      <c r="U78" s="120">
        <v>0</v>
      </c>
      <c r="V78" s="114">
        <f t="shared" si="4"/>
        <v>420077</v>
      </c>
      <c r="W78" s="114">
        <f t="shared" si="5"/>
        <v>435249</v>
      </c>
    </row>
    <row r="79" spans="1:23">
      <c r="A79" s="122" t="s">
        <v>3034</v>
      </c>
      <c r="B79" s="124">
        <v>1377.0730000000001</v>
      </c>
      <c r="C79" s="124">
        <v>1351.846</v>
      </c>
      <c r="D79" s="124">
        <v>1311.02</v>
      </c>
      <c r="E79" s="124">
        <v>1287.953</v>
      </c>
      <c r="F79" s="124">
        <v>231.9496</v>
      </c>
      <c r="G79" s="124">
        <v>223.316</v>
      </c>
      <c r="H79" s="124">
        <v>214.94640000000001</v>
      </c>
      <c r="I79" s="124">
        <v>215.155</v>
      </c>
      <c r="J79" s="134">
        <v>186563045</v>
      </c>
      <c r="K79" s="134">
        <v>205016027</v>
      </c>
      <c r="L79" s="124">
        <v>1927.905</v>
      </c>
      <c r="M79" s="134">
        <v>156329</v>
      </c>
      <c r="N79" s="135">
        <v>159.40309999999999</v>
      </c>
      <c r="O79" s="135">
        <v>151.11789999999999</v>
      </c>
      <c r="P79" s="135">
        <v>153.82230000000001</v>
      </c>
      <c r="Q79" s="135">
        <v>153.8631</v>
      </c>
      <c r="R79" s="137">
        <v>1.05</v>
      </c>
      <c r="S79" s="120">
        <v>178623</v>
      </c>
      <c r="T79" s="120">
        <v>2762899</v>
      </c>
      <c r="U79" s="120">
        <v>0</v>
      </c>
      <c r="V79" s="114">
        <f t="shared" si="4"/>
        <v>2762899</v>
      </c>
      <c r="W79" s="114">
        <f t="shared" si="5"/>
        <v>2941522</v>
      </c>
    </row>
    <row r="80" spans="1:23">
      <c r="A80" s="122" t="s">
        <v>1252</v>
      </c>
      <c r="B80" s="124">
        <v>1136.019</v>
      </c>
      <c r="C80" s="124">
        <v>1074.5429999999999</v>
      </c>
      <c r="D80" s="124">
        <v>1075.338</v>
      </c>
      <c r="E80" s="124">
        <v>1045.5509999999999</v>
      </c>
      <c r="F80" s="124">
        <v>151.33279999999999</v>
      </c>
      <c r="G80" s="124">
        <v>150.3176</v>
      </c>
      <c r="H80" s="124">
        <v>155.00540000000001</v>
      </c>
      <c r="I80" s="124">
        <v>153.476</v>
      </c>
      <c r="J80" s="134">
        <v>100490950</v>
      </c>
      <c r="K80" s="134">
        <v>111556396</v>
      </c>
      <c r="L80" s="124">
        <v>1495.8989999999999</v>
      </c>
      <c r="M80" s="134">
        <v>113361</v>
      </c>
      <c r="N80" s="135">
        <v>109.1005</v>
      </c>
      <c r="O80" s="135">
        <v>108.4751</v>
      </c>
      <c r="P80" s="135">
        <v>118.5016</v>
      </c>
      <c r="Q80" s="135">
        <v>108.4042</v>
      </c>
      <c r="R80" s="137">
        <v>1.03</v>
      </c>
      <c r="S80" s="120">
        <v>116704</v>
      </c>
      <c r="T80" s="120">
        <v>1355485</v>
      </c>
      <c r="U80" s="120">
        <v>0</v>
      </c>
      <c r="V80" s="114">
        <f t="shared" si="4"/>
        <v>1355485</v>
      </c>
      <c r="W80" s="114">
        <f t="shared" si="5"/>
        <v>1472189</v>
      </c>
    </row>
    <row r="81" spans="1:23">
      <c r="A81" s="122" t="s">
        <v>1253</v>
      </c>
      <c r="B81" s="124">
        <v>4825.7439999999997</v>
      </c>
      <c r="C81" s="124">
        <v>4809.4390000000003</v>
      </c>
      <c r="D81" s="124">
        <v>4780.8459999999995</v>
      </c>
      <c r="E81" s="124">
        <v>5071.018</v>
      </c>
      <c r="F81" s="124">
        <v>716.88499999999999</v>
      </c>
      <c r="G81" s="124">
        <v>727.40830000000005</v>
      </c>
      <c r="H81" s="124">
        <v>743.3723</v>
      </c>
      <c r="I81" s="124">
        <v>782.1146</v>
      </c>
      <c r="J81" s="134">
        <v>1198796338</v>
      </c>
      <c r="K81" s="134">
        <v>1254961592</v>
      </c>
      <c r="L81" s="124">
        <v>6876.1850000000004</v>
      </c>
      <c r="M81" s="134">
        <v>1313129</v>
      </c>
      <c r="N81" s="135">
        <v>409.54759999999999</v>
      </c>
      <c r="O81" s="135">
        <v>416.4708</v>
      </c>
      <c r="P81" s="135">
        <v>431.36700000000002</v>
      </c>
      <c r="Q81" s="135">
        <v>446.40089999999998</v>
      </c>
      <c r="R81" s="137">
        <v>1.06</v>
      </c>
      <c r="S81" s="120">
        <v>2444963</v>
      </c>
      <c r="T81" s="120">
        <v>16123393</v>
      </c>
      <c r="U81" s="120">
        <v>0</v>
      </c>
      <c r="V81" s="114">
        <f t="shared" si="4"/>
        <v>16123393</v>
      </c>
      <c r="W81" s="114">
        <f t="shared" si="5"/>
        <v>18568356</v>
      </c>
    </row>
    <row r="82" spans="1:23">
      <c r="A82" s="122" t="s">
        <v>1285</v>
      </c>
      <c r="B82" s="124">
        <v>2465.7089999999998</v>
      </c>
      <c r="C82" s="124">
        <v>2445.2469999999998</v>
      </c>
      <c r="D82" s="124">
        <v>2505.799</v>
      </c>
      <c r="E82" s="124">
        <v>2466.8470000000002</v>
      </c>
      <c r="F82" s="124">
        <v>372.5</v>
      </c>
      <c r="G82" s="124">
        <v>371.34</v>
      </c>
      <c r="H82" s="124">
        <v>384.25</v>
      </c>
      <c r="I82" s="124">
        <v>393.6551</v>
      </c>
      <c r="J82" s="134">
        <v>333154360</v>
      </c>
      <c r="K82" s="134">
        <v>359080186</v>
      </c>
      <c r="L82" s="124">
        <v>3565.3159999999998</v>
      </c>
      <c r="M82" s="134">
        <v>182944</v>
      </c>
      <c r="N82" s="135">
        <v>242.63470000000001</v>
      </c>
      <c r="O82" s="135">
        <v>238.03720000000001</v>
      </c>
      <c r="P82" s="135">
        <v>245.96969999999999</v>
      </c>
      <c r="Q82" s="135">
        <v>253.86850000000001</v>
      </c>
      <c r="R82" s="137">
        <v>1.06</v>
      </c>
      <c r="S82" s="120">
        <v>190877</v>
      </c>
      <c r="T82" s="120">
        <v>4737615</v>
      </c>
      <c r="U82" s="120">
        <v>0</v>
      </c>
      <c r="V82" s="114">
        <f t="shared" si="4"/>
        <v>4737615</v>
      </c>
      <c r="W82" s="114">
        <f t="shared" si="5"/>
        <v>4928492</v>
      </c>
    </row>
    <row r="83" spans="1:23">
      <c r="A83" s="122" t="s">
        <v>2451</v>
      </c>
      <c r="B83" s="124">
        <v>504.63</v>
      </c>
      <c r="C83" s="124">
        <v>517.41800000000001</v>
      </c>
      <c r="D83" s="124">
        <v>535.375</v>
      </c>
      <c r="E83" s="124">
        <v>541.62</v>
      </c>
      <c r="F83" s="124">
        <v>74.703400000000002</v>
      </c>
      <c r="G83" s="124">
        <v>75.660600000000002</v>
      </c>
      <c r="H83" s="124">
        <v>79.805000000000007</v>
      </c>
      <c r="I83" s="124">
        <v>78.826400000000007</v>
      </c>
      <c r="J83" s="134">
        <v>50734804</v>
      </c>
      <c r="K83" s="134">
        <v>57686826</v>
      </c>
      <c r="L83" s="124">
        <v>906.73599999999999</v>
      </c>
      <c r="M83" s="114">
        <v>0</v>
      </c>
      <c r="N83" s="135">
        <v>53.047199999999997</v>
      </c>
      <c r="O83" s="135">
        <v>55.887</v>
      </c>
      <c r="P83" s="135">
        <v>48.002099999999999</v>
      </c>
      <c r="Q83" s="135">
        <v>45.999400000000001</v>
      </c>
      <c r="R83" s="137">
        <v>1.03</v>
      </c>
      <c r="S83" s="120">
        <v>41909</v>
      </c>
      <c r="T83" s="120">
        <v>674233</v>
      </c>
      <c r="U83" s="120">
        <v>0</v>
      </c>
      <c r="V83" s="114">
        <f t="shared" si="4"/>
        <v>674233</v>
      </c>
      <c r="W83" s="114">
        <f t="shared" si="5"/>
        <v>716142</v>
      </c>
    </row>
    <row r="84" spans="1:23">
      <c r="A84" s="122" t="s">
        <v>1110</v>
      </c>
      <c r="B84" s="124">
        <v>104.84</v>
      </c>
      <c r="C84" s="124">
        <v>104.029</v>
      </c>
      <c r="D84" s="124">
        <v>101.209</v>
      </c>
      <c r="E84" s="124">
        <v>115.336</v>
      </c>
      <c r="F84" s="124">
        <v>21.9679</v>
      </c>
      <c r="G84" s="124">
        <v>21.4679</v>
      </c>
      <c r="H84" s="124">
        <v>20.462599999999998</v>
      </c>
      <c r="I84" s="124">
        <v>21.6524</v>
      </c>
      <c r="J84" s="134">
        <v>7827108</v>
      </c>
      <c r="K84" s="134">
        <v>9528607</v>
      </c>
      <c r="L84" s="124">
        <v>202.84800000000001</v>
      </c>
      <c r="M84" s="114">
        <v>0</v>
      </c>
      <c r="N84" s="135">
        <v>15</v>
      </c>
      <c r="O84" s="135">
        <v>14.500299999999999</v>
      </c>
      <c r="P84" s="135">
        <v>13.5001</v>
      </c>
      <c r="Q84" s="135">
        <v>13.7164</v>
      </c>
      <c r="R84" s="137">
        <v>1.04</v>
      </c>
      <c r="S84" s="120">
        <v>4592</v>
      </c>
      <c r="T84" s="120">
        <v>119597</v>
      </c>
      <c r="U84" s="120">
        <v>0</v>
      </c>
      <c r="V84" s="114">
        <f t="shared" si="4"/>
        <v>119597</v>
      </c>
      <c r="W84" s="114">
        <f t="shared" si="5"/>
        <v>124189</v>
      </c>
    </row>
    <row r="85" spans="1:23">
      <c r="A85" s="122" t="s">
        <v>953</v>
      </c>
      <c r="B85" s="124">
        <v>325.01799999999997</v>
      </c>
      <c r="C85" s="124">
        <v>340.81799999999998</v>
      </c>
      <c r="D85" s="124">
        <v>348.005</v>
      </c>
      <c r="E85" s="124">
        <v>338.36500000000001</v>
      </c>
      <c r="F85" s="124">
        <v>34.015000000000001</v>
      </c>
      <c r="G85" s="124">
        <v>34.590299999999999</v>
      </c>
      <c r="H85" s="124">
        <v>35.172400000000003</v>
      </c>
      <c r="I85" s="124">
        <v>35.837299999999999</v>
      </c>
      <c r="J85" s="134">
        <v>77408579</v>
      </c>
      <c r="K85" s="134">
        <v>82431942</v>
      </c>
      <c r="L85" s="124">
        <v>493.58800000000002</v>
      </c>
      <c r="M85" s="114">
        <v>0</v>
      </c>
      <c r="N85" s="135">
        <v>26.000399999999999</v>
      </c>
      <c r="O85" s="135">
        <v>27</v>
      </c>
      <c r="P85" s="135">
        <v>27.999600000000001</v>
      </c>
      <c r="Q85" s="135">
        <v>27.157900000000001</v>
      </c>
      <c r="R85" s="137">
        <v>1.03</v>
      </c>
      <c r="S85" s="120">
        <v>0</v>
      </c>
      <c r="T85" s="120">
        <v>804528</v>
      </c>
      <c r="U85" s="120">
        <v>0</v>
      </c>
      <c r="V85" s="114">
        <f t="shared" si="4"/>
        <v>804528</v>
      </c>
      <c r="W85" s="114">
        <f t="shared" si="5"/>
        <v>804528</v>
      </c>
    </row>
    <row r="86" spans="1:23">
      <c r="A86" s="122" t="s">
        <v>1286</v>
      </c>
      <c r="B86" s="124">
        <v>1881.4159999999999</v>
      </c>
      <c r="C86" s="124">
        <v>1852.5329999999999</v>
      </c>
      <c r="D86" s="124">
        <v>1856.289</v>
      </c>
      <c r="E86" s="124">
        <v>1830.1980000000001</v>
      </c>
      <c r="F86" s="124">
        <v>226.38030000000001</v>
      </c>
      <c r="G86" s="124">
        <v>230.24680000000001</v>
      </c>
      <c r="H86" s="124">
        <v>228.22739999999999</v>
      </c>
      <c r="I86" s="124">
        <v>237.1268</v>
      </c>
      <c r="J86" s="134">
        <v>434989092</v>
      </c>
      <c r="K86" s="134">
        <v>457318794</v>
      </c>
      <c r="L86" s="124">
        <v>2299.1060000000002</v>
      </c>
      <c r="M86" s="134">
        <v>991108</v>
      </c>
      <c r="N86" s="135">
        <v>149.34909999999999</v>
      </c>
      <c r="O86" s="135">
        <v>147.1046</v>
      </c>
      <c r="P86" s="135">
        <v>146.35659999999999</v>
      </c>
      <c r="Q86" s="135">
        <v>152.55459999999999</v>
      </c>
      <c r="R86" s="137">
        <v>1.05</v>
      </c>
      <c r="S86" s="120">
        <v>1103263</v>
      </c>
      <c r="T86" s="120">
        <v>6247121</v>
      </c>
      <c r="U86" s="120">
        <v>0</v>
      </c>
      <c r="V86" s="114">
        <f t="shared" si="4"/>
        <v>6247121</v>
      </c>
      <c r="W86" s="114">
        <f t="shared" si="5"/>
        <v>7350384</v>
      </c>
    </row>
    <row r="87" spans="1:23">
      <c r="A87" s="122" t="s">
        <v>1287</v>
      </c>
      <c r="B87" s="124">
        <v>80.025000000000006</v>
      </c>
      <c r="C87" s="124">
        <v>57.48</v>
      </c>
      <c r="D87" s="124">
        <v>72.388000000000005</v>
      </c>
      <c r="E87" s="124">
        <v>72.914000000000001</v>
      </c>
      <c r="F87" s="124">
        <v>14</v>
      </c>
      <c r="G87" s="124">
        <v>14</v>
      </c>
      <c r="H87" s="124">
        <v>14.085599999999999</v>
      </c>
      <c r="I87" s="124">
        <v>14.085599999999999</v>
      </c>
      <c r="J87" s="134">
        <v>8651366</v>
      </c>
      <c r="K87" s="134">
        <v>10258126</v>
      </c>
      <c r="L87" s="124">
        <v>133.10900000000001</v>
      </c>
      <c r="M87" s="114">
        <v>0</v>
      </c>
      <c r="N87" s="135">
        <v>11.000299999999999</v>
      </c>
      <c r="O87" s="135">
        <v>11.0001</v>
      </c>
      <c r="P87" s="135">
        <v>11</v>
      </c>
      <c r="Q87" s="135">
        <v>10.999599999999999</v>
      </c>
      <c r="R87" s="137">
        <v>1.04</v>
      </c>
      <c r="S87" s="120">
        <v>0</v>
      </c>
      <c r="T87" s="120">
        <v>127008</v>
      </c>
      <c r="U87" s="120">
        <v>0</v>
      </c>
      <c r="V87" s="114">
        <f t="shared" si="4"/>
        <v>127008</v>
      </c>
      <c r="W87" s="114">
        <f t="shared" si="5"/>
        <v>127008</v>
      </c>
    </row>
    <row r="88" spans="1:23">
      <c r="A88" s="122" t="s">
        <v>954</v>
      </c>
      <c r="B88" s="124">
        <v>117.745</v>
      </c>
      <c r="C88" s="124">
        <v>103.98</v>
      </c>
      <c r="D88" s="124">
        <v>107.538</v>
      </c>
      <c r="E88" s="124">
        <v>104.559</v>
      </c>
      <c r="F88" s="124">
        <v>17.9252</v>
      </c>
      <c r="G88" s="124">
        <v>17.9252</v>
      </c>
      <c r="H88" s="124">
        <v>18.844999999999999</v>
      </c>
      <c r="I88" s="124">
        <v>18.9252</v>
      </c>
      <c r="J88" s="134">
        <v>14256438</v>
      </c>
      <c r="K88" s="134">
        <v>16412847</v>
      </c>
      <c r="L88" s="124">
        <v>177.346</v>
      </c>
      <c r="M88" s="114">
        <v>0</v>
      </c>
      <c r="N88" s="135">
        <v>13.000299999999999</v>
      </c>
      <c r="O88" s="135">
        <v>13</v>
      </c>
      <c r="P88" s="135">
        <v>13.9193</v>
      </c>
      <c r="Q88" s="135">
        <v>14.0002</v>
      </c>
      <c r="R88" s="137">
        <v>1.04</v>
      </c>
      <c r="S88" s="120">
        <v>0</v>
      </c>
      <c r="T88" s="120">
        <v>203534</v>
      </c>
      <c r="U88" s="120">
        <v>0</v>
      </c>
      <c r="V88" s="114">
        <f t="shared" si="4"/>
        <v>203534</v>
      </c>
      <c r="W88" s="114">
        <f t="shared" si="5"/>
        <v>203534</v>
      </c>
    </row>
    <row r="89" spans="1:23">
      <c r="A89" s="122" t="s">
        <v>207</v>
      </c>
      <c r="B89" s="124">
        <v>10468.985000000001</v>
      </c>
      <c r="C89" s="124">
        <v>10491.82</v>
      </c>
      <c r="D89" s="124">
        <v>10651.120999999999</v>
      </c>
      <c r="E89" s="124">
        <v>10794.584000000001</v>
      </c>
      <c r="F89" s="124">
        <v>1172.1387999999999</v>
      </c>
      <c r="G89" s="124">
        <v>1191.4556</v>
      </c>
      <c r="H89" s="124">
        <v>1211.0879</v>
      </c>
      <c r="I89" s="124">
        <v>1235.0974000000001</v>
      </c>
      <c r="J89" s="134">
        <v>1297836700</v>
      </c>
      <c r="K89" s="134">
        <v>1405203404</v>
      </c>
      <c r="L89" s="124">
        <v>14177.335999999999</v>
      </c>
      <c r="M89" s="134">
        <v>1223886</v>
      </c>
      <c r="N89" s="135">
        <v>955.60730000000001</v>
      </c>
      <c r="O89" s="135">
        <v>922.09280000000001</v>
      </c>
      <c r="P89" s="135">
        <v>989.18730000000005</v>
      </c>
      <c r="Q89" s="135">
        <v>951.72860000000003</v>
      </c>
      <c r="R89" s="137">
        <v>1.1499999999999999</v>
      </c>
      <c r="S89" s="120">
        <v>2311209</v>
      </c>
      <c r="T89" s="120">
        <v>20705104</v>
      </c>
      <c r="U89" s="120">
        <v>0</v>
      </c>
      <c r="V89" s="114">
        <f t="shared" si="4"/>
        <v>20705104</v>
      </c>
      <c r="W89" s="114">
        <f t="shared" si="5"/>
        <v>23016313</v>
      </c>
    </row>
    <row r="90" spans="1:23">
      <c r="A90" s="122" t="s">
        <v>1035</v>
      </c>
      <c r="B90" s="124">
        <v>5822.6679999999997</v>
      </c>
      <c r="C90" s="124">
        <v>5732.982</v>
      </c>
      <c r="D90" s="124">
        <v>5861.47</v>
      </c>
      <c r="E90" s="124">
        <v>5844.1639999999998</v>
      </c>
      <c r="F90" s="124">
        <v>781.65449999999998</v>
      </c>
      <c r="G90" s="124">
        <v>825.99760000000003</v>
      </c>
      <c r="H90" s="124">
        <v>850.54290000000003</v>
      </c>
      <c r="I90" s="124">
        <v>835.09519999999998</v>
      </c>
      <c r="J90" s="134">
        <v>1997238100</v>
      </c>
      <c r="K90" s="134">
        <v>2062201744</v>
      </c>
      <c r="L90" s="124">
        <v>7647.4889999999996</v>
      </c>
      <c r="M90" s="134">
        <v>1887586</v>
      </c>
      <c r="N90" s="135">
        <v>494.7756</v>
      </c>
      <c r="O90" s="135">
        <v>497.77499999999998</v>
      </c>
      <c r="P90" s="135">
        <v>523.01350000000002</v>
      </c>
      <c r="Q90" s="135">
        <v>516.97190000000001</v>
      </c>
      <c r="R90" s="137">
        <v>1.1499999999999999</v>
      </c>
      <c r="S90" s="120">
        <v>2955117</v>
      </c>
      <c r="T90" s="120">
        <v>24393134</v>
      </c>
      <c r="U90" s="120">
        <v>0</v>
      </c>
      <c r="V90" s="114">
        <f t="shared" si="4"/>
        <v>24393134</v>
      </c>
      <c r="W90" s="114">
        <f t="shared" si="5"/>
        <v>27348251</v>
      </c>
    </row>
    <row r="91" spans="1:23">
      <c r="A91" s="122" t="s">
        <v>809</v>
      </c>
      <c r="B91" s="124">
        <v>689.76099999999997</v>
      </c>
      <c r="C91" s="124">
        <v>703.59500000000003</v>
      </c>
      <c r="D91" s="124">
        <v>706.16</v>
      </c>
      <c r="E91" s="124">
        <v>725.63900000000001</v>
      </c>
      <c r="F91" s="124">
        <v>100.8823</v>
      </c>
      <c r="G91" s="124">
        <v>101.0561</v>
      </c>
      <c r="H91" s="124">
        <v>97.411799999999999</v>
      </c>
      <c r="I91" s="124">
        <v>98.557299999999998</v>
      </c>
      <c r="J91" s="134">
        <v>79488198</v>
      </c>
      <c r="K91" s="134">
        <v>87345918</v>
      </c>
      <c r="L91" s="124">
        <v>1087.847</v>
      </c>
      <c r="M91" s="134">
        <v>24710</v>
      </c>
      <c r="N91" s="135">
        <v>65.467200000000005</v>
      </c>
      <c r="O91" s="135">
        <v>66.174300000000002</v>
      </c>
      <c r="P91" s="135">
        <v>62.347799999999999</v>
      </c>
      <c r="Q91" s="135">
        <v>61.515599999999999</v>
      </c>
      <c r="R91" s="137">
        <v>1.1100000000000001</v>
      </c>
      <c r="S91" s="120">
        <v>88660</v>
      </c>
      <c r="T91" s="120">
        <v>1257488</v>
      </c>
      <c r="U91" s="120">
        <v>0</v>
      </c>
      <c r="V91" s="114">
        <f t="shared" si="4"/>
        <v>1257488</v>
      </c>
      <c r="W91" s="114">
        <f t="shared" si="5"/>
        <v>1346148</v>
      </c>
    </row>
    <row r="92" spans="1:23">
      <c r="A92" s="122" t="s">
        <v>1321</v>
      </c>
      <c r="B92" s="124">
        <v>12072.444</v>
      </c>
      <c r="C92" s="124">
        <v>12260.344999999999</v>
      </c>
      <c r="D92" s="124">
        <v>12184.715</v>
      </c>
      <c r="E92" s="124">
        <v>12233.897999999999</v>
      </c>
      <c r="F92" s="124">
        <v>1563.2136</v>
      </c>
      <c r="G92" s="124">
        <v>1615.2537</v>
      </c>
      <c r="H92" s="124">
        <v>1603.0929000000001</v>
      </c>
      <c r="I92" s="124">
        <v>1657.0324000000001</v>
      </c>
      <c r="J92" s="134">
        <v>5701094591</v>
      </c>
      <c r="K92" s="134">
        <v>5825298510</v>
      </c>
      <c r="L92" s="124">
        <v>16065.06</v>
      </c>
      <c r="M92" s="134">
        <v>3647643</v>
      </c>
      <c r="N92" s="135">
        <v>940.02459999999996</v>
      </c>
      <c r="O92" s="135">
        <v>1002.0987</v>
      </c>
      <c r="P92" s="135">
        <v>982.12249999999995</v>
      </c>
      <c r="Q92" s="135">
        <v>996.65530000000001</v>
      </c>
      <c r="R92" s="137">
        <v>1.1599999999999999</v>
      </c>
      <c r="S92" s="120">
        <v>3509341</v>
      </c>
      <c r="T92" s="120">
        <v>79374980</v>
      </c>
      <c r="U92" s="120">
        <v>0</v>
      </c>
      <c r="V92" s="114">
        <f t="shared" si="4"/>
        <v>79374980</v>
      </c>
      <c r="W92" s="114">
        <f t="shared" si="5"/>
        <v>82884321</v>
      </c>
    </row>
    <row r="93" spans="1:23">
      <c r="A93" s="122" t="s">
        <v>1322</v>
      </c>
      <c r="B93" s="124">
        <v>2098.502</v>
      </c>
      <c r="C93" s="124">
        <v>2053.1170000000002</v>
      </c>
      <c r="D93" s="124">
        <v>2048.953</v>
      </c>
      <c r="E93" s="124">
        <v>2052.0410000000002</v>
      </c>
      <c r="F93" s="124">
        <v>310.23939999999999</v>
      </c>
      <c r="G93" s="124">
        <v>314.9726</v>
      </c>
      <c r="H93" s="124">
        <v>318.58199999999999</v>
      </c>
      <c r="I93" s="124">
        <v>314.03100000000001</v>
      </c>
      <c r="J93" s="134">
        <v>1561122303</v>
      </c>
      <c r="K93" s="134">
        <v>1586544643</v>
      </c>
      <c r="L93" s="124">
        <v>2552.98</v>
      </c>
      <c r="M93" s="134">
        <v>1603831</v>
      </c>
      <c r="N93" s="135">
        <v>185.78970000000001</v>
      </c>
      <c r="O93" s="135">
        <v>190.05119999999999</v>
      </c>
      <c r="P93" s="135">
        <v>191.98679999999999</v>
      </c>
      <c r="Q93" s="135">
        <v>186.12719999999999</v>
      </c>
      <c r="R93" s="137">
        <v>1.1200000000000001</v>
      </c>
      <c r="S93" s="120">
        <v>2592014</v>
      </c>
      <c r="T93" s="120">
        <v>22446225</v>
      </c>
      <c r="U93" s="120">
        <v>0</v>
      </c>
      <c r="V93" s="114">
        <f t="shared" si="4"/>
        <v>22446225</v>
      </c>
      <c r="W93" s="114">
        <f t="shared" si="5"/>
        <v>25038239</v>
      </c>
    </row>
    <row r="94" spans="1:23">
      <c r="A94" s="122" t="s">
        <v>1616</v>
      </c>
      <c r="B94" s="124">
        <v>3054.79</v>
      </c>
      <c r="C94" s="124">
        <v>2969.855</v>
      </c>
      <c r="D94" s="124">
        <v>2909.7179999999998</v>
      </c>
      <c r="E94" s="124">
        <v>2916.9110000000001</v>
      </c>
      <c r="F94" s="124">
        <v>426.9255</v>
      </c>
      <c r="G94" s="124">
        <v>426.42630000000003</v>
      </c>
      <c r="H94" s="124">
        <v>422.74020000000002</v>
      </c>
      <c r="I94" s="124">
        <v>437.60480000000001</v>
      </c>
      <c r="J94" s="134">
        <v>432966739</v>
      </c>
      <c r="K94" s="134">
        <v>477399699</v>
      </c>
      <c r="L94" s="124">
        <v>3948.49</v>
      </c>
      <c r="M94" s="134">
        <v>298441</v>
      </c>
      <c r="N94" s="135">
        <v>251.65819999999999</v>
      </c>
      <c r="O94" s="135">
        <v>238.49379999999999</v>
      </c>
      <c r="P94" s="135">
        <v>242.6071</v>
      </c>
      <c r="Q94" s="135">
        <v>242.9453</v>
      </c>
      <c r="R94" s="137">
        <v>1.1299999999999999</v>
      </c>
      <c r="S94" s="120">
        <v>442427</v>
      </c>
      <c r="T94" s="120">
        <v>6564970</v>
      </c>
      <c r="U94" s="120">
        <v>0</v>
      </c>
      <c r="V94" s="114">
        <f t="shared" si="4"/>
        <v>6564970</v>
      </c>
      <c r="W94" s="114">
        <f t="shared" si="5"/>
        <v>7007397</v>
      </c>
    </row>
    <row r="95" spans="1:23">
      <c r="A95" s="122" t="s">
        <v>235</v>
      </c>
      <c r="B95" s="124">
        <v>9434.4410000000007</v>
      </c>
      <c r="C95" s="124">
        <v>9868.8320000000003</v>
      </c>
      <c r="D95" s="124">
        <v>10429.082</v>
      </c>
      <c r="E95" s="124">
        <v>11657.275</v>
      </c>
      <c r="F95" s="124">
        <v>1236.1201000000001</v>
      </c>
      <c r="G95" s="124">
        <v>1270.3409999999999</v>
      </c>
      <c r="H95" s="124">
        <v>1342.4618</v>
      </c>
      <c r="I95" s="124">
        <v>1505.6923999999999</v>
      </c>
      <c r="J95" s="134">
        <v>2658772704</v>
      </c>
      <c r="K95" s="134">
        <v>2826192020</v>
      </c>
      <c r="L95" s="124">
        <v>13904.179</v>
      </c>
      <c r="M95" s="134">
        <v>4106672</v>
      </c>
      <c r="N95" s="135">
        <v>737.4402</v>
      </c>
      <c r="O95" s="135">
        <v>753.89359999999999</v>
      </c>
      <c r="P95" s="135">
        <v>783.24519999999995</v>
      </c>
      <c r="Q95" s="135">
        <v>854.7953</v>
      </c>
      <c r="R95" s="137">
        <v>1.1499999999999999</v>
      </c>
      <c r="S95" s="120">
        <v>10384556</v>
      </c>
      <c r="T95" s="120">
        <v>46324181</v>
      </c>
      <c r="U95" s="120">
        <v>0</v>
      </c>
      <c r="V95" s="114">
        <f t="shared" si="4"/>
        <v>46324181</v>
      </c>
      <c r="W95" s="114">
        <f t="shared" si="5"/>
        <v>56708737</v>
      </c>
    </row>
    <row r="96" spans="1:23">
      <c r="A96" s="122" t="s">
        <v>1323</v>
      </c>
      <c r="B96" s="124">
        <v>133.077</v>
      </c>
      <c r="C96" s="124">
        <v>138.387</v>
      </c>
      <c r="D96" s="124">
        <v>146.148</v>
      </c>
      <c r="E96" s="124">
        <v>164.398</v>
      </c>
      <c r="F96" s="124">
        <v>22.898</v>
      </c>
      <c r="G96" s="124">
        <v>22.914999999999999</v>
      </c>
      <c r="H96" s="124">
        <v>23.163599999999999</v>
      </c>
      <c r="I96" s="124">
        <v>25.4727</v>
      </c>
      <c r="J96" s="134">
        <v>24395182</v>
      </c>
      <c r="K96" s="134">
        <v>26774412</v>
      </c>
      <c r="L96" s="124">
        <v>286.08600000000001</v>
      </c>
      <c r="M96" s="114">
        <v>0</v>
      </c>
      <c r="N96" s="135">
        <v>14.442299999999999</v>
      </c>
      <c r="O96" s="135">
        <v>14.809699999999999</v>
      </c>
      <c r="P96" s="135">
        <v>14.9048</v>
      </c>
      <c r="Q96" s="135">
        <v>16.242599999999999</v>
      </c>
      <c r="R96" s="137">
        <v>1.1100000000000001</v>
      </c>
      <c r="S96" s="120">
        <v>0</v>
      </c>
      <c r="T96" s="120">
        <v>381172</v>
      </c>
      <c r="U96" s="120">
        <v>0</v>
      </c>
      <c r="V96" s="114">
        <f t="shared" si="4"/>
        <v>381172</v>
      </c>
      <c r="W96" s="114">
        <f t="shared" si="5"/>
        <v>381172</v>
      </c>
    </row>
    <row r="97" spans="1:23">
      <c r="A97" s="122" t="s">
        <v>631</v>
      </c>
      <c r="B97" s="124">
        <v>6875.6109999999999</v>
      </c>
      <c r="C97" s="124">
        <v>6926.9129999999996</v>
      </c>
      <c r="D97" s="124">
        <v>7039.8040000000001</v>
      </c>
      <c r="E97" s="124">
        <v>7245.7910000000002</v>
      </c>
      <c r="F97" s="124">
        <v>974.12390000000005</v>
      </c>
      <c r="G97" s="124">
        <v>1038.3759</v>
      </c>
      <c r="H97" s="124">
        <v>1050.0062</v>
      </c>
      <c r="I97" s="124">
        <v>1024.7860000000001</v>
      </c>
      <c r="J97" s="134">
        <v>2686948694</v>
      </c>
      <c r="K97" s="134">
        <v>2761208035</v>
      </c>
      <c r="L97" s="124">
        <v>8613.1139999999996</v>
      </c>
      <c r="M97" s="134">
        <v>6950526</v>
      </c>
      <c r="N97" s="135">
        <v>602.37379999999996</v>
      </c>
      <c r="O97" s="135">
        <v>629.68150000000003</v>
      </c>
      <c r="P97" s="135">
        <v>645.32219999999995</v>
      </c>
      <c r="Q97" s="135">
        <v>646.56259999999997</v>
      </c>
      <c r="R97" s="137">
        <v>1.0900000000000001</v>
      </c>
      <c r="S97" s="120">
        <v>8615942</v>
      </c>
      <c r="T97" s="120">
        <v>44532482</v>
      </c>
      <c r="U97" s="120">
        <v>0</v>
      </c>
      <c r="V97" s="114">
        <f t="shared" si="4"/>
        <v>44532482</v>
      </c>
      <c r="W97" s="114">
        <f t="shared" si="5"/>
        <v>53148424</v>
      </c>
    </row>
    <row r="98" spans="1:23">
      <c r="A98" s="122" t="s">
        <v>994</v>
      </c>
      <c r="B98" s="124">
        <v>12505.029</v>
      </c>
      <c r="C98" s="124">
        <v>12534.648999999999</v>
      </c>
      <c r="D98" s="124">
        <v>12674.553</v>
      </c>
      <c r="E98" s="124">
        <v>12970.128000000001</v>
      </c>
      <c r="F98" s="124">
        <v>1564.7663</v>
      </c>
      <c r="G98" s="124">
        <v>1541.7058</v>
      </c>
      <c r="H98" s="124">
        <v>1571.6239</v>
      </c>
      <c r="I98" s="124">
        <v>2066.4906999999998</v>
      </c>
      <c r="J98" s="134">
        <v>2448478039</v>
      </c>
      <c r="K98" s="134">
        <v>2572654345</v>
      </c>
      <c r="L98" s="124">
        <v>17070.809000000001</v>
      </c>
      <c r="M98" s="134">
        <v>3574618</v>
      </c>
      <c r="N98" s="135">
        <v>1122.6713</v>
      </c>
      <c r="O98" s="135">
        <v>1147.6102000000001</v>
      </c>
      <c r="P98" s="135">
        <v>1182.9219000000001</v>
      </c>
      <c r="Q98" s="135">
        <v>1194.2307000000001</v>
      </c>
      <c r="R98" s="137">
        <v>1.1100000000000001</v>
      </c>
      <c r="S98" s="120">
        <v>5458033</v>
      </c>
      <c r="T98" s="120">
        <v>37996603</v>
      </c>
      <c r="U98" s="120">
        <v>830910</v>
      </c>
      <c r="V98" s="114">
        <f t="shared" si="4"/>
        <v>38827513</v>
      </c>
      <c r="W98" s="114">
        <f t="shared" si="5"/>
        <v>44285546</v>
      </c>
    </row>
    <row r="99" spans="1:23">
      <c r="A99" s="122" t="s">
        <v>2918</v>
      </c>
      <c r="B99" s="124">
        <v>164.898</v>
      </c>
      <c r="C99" s="124">
        <v>168.36799999999999</v>
      </c>
      <c r="D99" s="124">
        <v>180.80099999999999</v>
      </c>
      <c r="E99" s="124">
        <v>175.79300000000001</v>
      </c>
      <c r="F99" s="124">
        <v>30.769200000000001</v>
      </c>
      <c r="G99" s="124">
        <v>33.630000000000003</v>
      </c>
      <c r="H99" s="124">
        <v>35.5</v>
      </c>
      <c r="I99" s="124">
        <v>35.6</v>
      </c>
      <c r="J99" s="134">
        <v>32502759</v>
      </c>
      <c r="K99" s="134">
        <v>33427999</v>
      </c>
      <c r="L99" s="124">
        <v>362.58300000000003</v>
      </c>
      <c r="M99" s="114">
        <v>0</v>
      </c>
      <c r="N99" s="135">
        <v>23.513200000000001</v>
      </c>
      <c r="O99" s="135">
        <v>25.106200000000001</v>
      </c>
      <c r="P99" s="135">
        <v>28.995799999999999</v>
      </c>
      <c r="Q99" s="135">
        <v>25.552600000000002</v>
      </c>
      <c r="R99" s="137">
        <v>1.1000000000000001</v>
      </c>
      <c r="S99" s="120">
        <v>25684</v>
      </c>
      <c r="T99" s="120">
        <v>557597</v>
      </c>
      <c r="U99" s="120">
        <v>0</v>
      </c>
      <c r="V99" s="114">
        <f t="shared" si="4"/>
        <v>557597</v>
      </c>
      <c r="W99" s="114">
        <f t="shared" si="5"/>
        <v>583281</v>
      </c>
    </row>
    <row r="100" spans="1:23">
      <c r="A100" s="122" t="s">
        <v>440</v>
      </c>
      <c r="B100" s="124">
        <v>1146.674</v>
      </c>
      <c r="C100" s="124">
        <v>1096.6869999999999</v>
      </c>
      <c r="D100" s="124">
        <v>1072.4960000000001</v>
      </c>
      <c r="E100" s="124">
        <v>1067.5229999999999</v>
      </c>
      <c r="F100" s="124">
        <v>207.08349999999999</v>
      </c>
      <c r="G100" s="124">
        <v>188.47890000000001</v>
      </c>
      <c r="H100" s="124">
        <v>172.42420000000001</v>
      </c>
      <c r="I100" s="124">
        <v>163.5831</v>
      </c>
      <c r="J100" s="134">
        <v>234158808</v>
      </c>
      <c r="K100" s="134">
        <v>246052497</v>
      </c>
      <c r="L100" s="124">
        <v>1724.223</v>
      </c>
      <c r="M100" s="134">
        <v>209733</v>
      </c>
      <c r="N100" s="135">
        <v>131.04580000000001</v>
      </c>
      <c r="O100" s="135">
        <v>119.70659999999999</v>
      </c>
      <c r="P100" s="135">
        <v>106.68219999999999</v>
      </c>
      <c r="Q100" s="135">
        <v>95.202699999999993</v>
      </c>
      <c r="R100" s="137">
        <v>1.1000000000000001</v>
      </c>
      <c r="S100" s="120">
        <v>212993</v>
      </c>
      <c r="T100" s="120">
        <v>3422468</v>
      </c>
      <c r="U100" s="120">
        <v>0</v>
      </c>
      <c r="V100" s="114">
        <f t="shared" si="4"/>
        <v>3422468</v>
      </c>
      <c r="W100" s="114">
        <f t="shared" si="5"/>
        <v>3635461</v>
      </c>
    </row>
    <row r="101" spans="1:23">
      <c r="A101" s="122" t="s">
        <v>441</v>
      </c>
      <c r="B101" s="124">
        <v>85.537999999999997</v>
      </c>
      <c r="C101" s="124">
        <v>79.453000000000003</v>
      </c>
      <c r="D101" s="124">
        <v>77.054000000000002</v>
      </c>
      <c r="E101" s="124">
        <v>75.117000000000004</v>
      </c>
      <c r="F101" s="124">
        <v>25</v>
      </c>
      <c r="G101" s="124">
        <v>16</v>
      </c>
      <c r="H101" s="124">
        <v>21</v>
      </c>
      <c r="I101" s="124">
        <v>22</v>
      </c>
      <c r="J101" s="134">
        <v>48180019</v>
      </c>
      <c r="K101" s="134">
        <v>48924579</v>
      </c>
      <c r="L101" s="124">
        <v>266.24299999999999</v>
      </c>
      <c r="M101" s="114">
        <v>0</v>
      </c>
      <c r="N101" s="135">
        <v>17.973600000000001</v>
      </c>
      <c r="O101" s="135">
        <v>14.9992</v>
      </c>
      <c r="P101" s="135">
        <v>14.3216</v>
      </c>
      <c r="Q101" s="135">
        <v>17.0002</v>
      </c>
      <c r="R101" s="137">
        <v>1.0900000000000001</v>
      </c>
      <c r="S101" s="120">
        <v>0</v>
      </c>
      <c r="T101" s="120">
        <v>676125</v>
      </c>
      <c r="U101" s="120">
        <v>0</v>
      </c>
      <c r="V101" s="114">
        <f t="shared" si="4"/>
        <v>676125</v>
      </c>
      <c r="W101" s="114">
        <f t="shared" si="5"/>
        <v>676125</v>
      </c>
    </row>
    <row r="102" spans="1:23">
      <c r="A102" s="122" t="s">
        <v>442</v>
      </c>
      <c r="B102" s="124">
        <v>19.166</v>
      </c>
      <c r="C102" s="124">
        <v>16.401</v>
      </c>
      <c r="D102" s="124">
        <v>21.305</v>
      </c>
      <c r="E102" s="124">
        <v>20.715</v>
      </c>
      <c r="F102" s="124">
        <v>8</v>
      </c>
      <c r="G102" s="124">
        <v>8</v>
      </c>
      <c r="H102" s="124">
        <v>8.2139000000000006</v>
      </c>
      <c r="I102" s="124">
        <v>7.74</v>
      </c>
      <c r="J102" s="134">
        <v>5474847</v>
      </c>
      <c r="K102" s="134">
        <v>5474847</v>
      </c>
      <c r="L102" s="124">
        <v>133.58600000000001</v>
      </c>
      <c r="M102" s="114">
        <v>0</v>
      </c>
      <c r="N102" s="135">
        <v>5.7737999999999996</v>
      </c>
      <c r="O102" s="135">
        <v>4.9181999999999997</v>
      </c>
      <c r="P102" s="135">
        <v>5.1304999999999996</v>
      </c>
      <c r="Q102" s="135">
        <v>5.1875</v>
      </c>
      <c r="R102" s="137">
        <v>1.0900000000000001</v>
      </c>
      <c r="S102" s="120">
        <v>0</v>
      </c>
      <c r="T102" s="120">
        <v>61838</v>
      </c>
      <c r="U102" s="120">
        <v>0</v>
      </c>
      <c r="V102" s="114">
        <f t="shared" si="4"/>
        <v>61838</v>
      </c>
      <c r="W102" s="114">
        <f t="shared" si="5"/>
        <v>61838</v>
      </c>
    </row>
    <row r="103" spans="1:23">
      <c r="A103" s="122" t="s">
        <v>443</v>
      </c>
      <c r="B103" s="124">
        <v>241.57900000000001</v>
      </c>
      <c r="C103" s="124">
        <v>241.17699999999999</v>
      </c>
      <c r="D103" s="124">
        <v>234.24</v>
      </c>
      <c r="E103" s="124">
        <v>227.75200000000001</v>
      </c>
      <c r="F103" s="124">
        <v>50.290700000000001</v>
      </c>
      <c r="G103" s="124">
        <v>49.898400000000002</v>
      </c>
      <c r="H103" s="124">
        <v>48.8489</v>
      </c>
      <c r="I103" s="124">
        <v>46.582999999999998</v>
      </c>
      <c r="J103" s="134">
        <v>40277698</v>
      </c>
      <c r="K103" s="134">
        <v>42965782</v>
      </c>
      <c r="L103" s="124">
        <v>452.17899999999997</v>
      </c>
      <c r="M103" s="114">
        <v>0</v>
      </c>
      <c r="N103" s="135">
        <v>33.839100000000002</v>
      </c>
      <c r="O103" s="135">
        <v>33.944299999999998</v>
      </c>
      <c r="P103" s="135">
        <v>31.235099999999999</v>
      </c>
      <c r="Q103" s="135">
        <v>29.110700000000001</v>
      </c>
      <c r="R103" s="137">
        <v>1.04</v>
      </c>
      <c r="S103" s="120">
        <v>0</v>
      </c>
      <c r="T103" s="120">
        <v>474543</v>
      </c>
      <c r="U103" s="120">
        <v>0</v>
      </c>
      <c r="V103" s="114">
        <f t="shared" si="4"/>
        <v>474543</v>
      </c>
      <c r="W103" s="114">
        <f t="shared" si="5"/>
        <v>474543</v>
      </c>
    </row>
    <row r="104" spans="1:23">
      <c r="A104" s="122" t="s">
        <v>745</v>
      </c>
      <c r="B104" s="124">
        <v>1663.027</v>
      </c>
      <c r="C104" s="124">
        <v>1630.5709999999999</v>
      </c>
      <c r="D104" s="124">
        <v>1598.8910000000001</v>
      </c>
      <c r="E104" s="124">
        <v>1584.825</v>
      </c>
      <c r="F104" s="124">
        <v>273.86110000000002</v>
      </c>
      <c r="G104" s="124">
        <v>273.07900000000001</v>
      </c>
      <c r="H104" s="124">
        <v>276.55079999999998</v>
      </c>
      <c r="I104" s="124">
        <v>272.6746</v>
      </c>
      <c r="J104" s="134">
        <v>428899748</v>
      </c>
      <c r="K104" s="134">
        <v>441688208</v>
      </c>
      <c r="L104" s="124">
        <v>2430.567</v>
      </c>
      <c r="M104" s="134">
        <v>232533</v>
      </c>
      <c r="N104" s="135">
        <v>159.5624</v>
      </c>
      <c r="O104" s="135">
        <v>155.50530000000001</v>
      </c>
      <c r="P104" s="135">
        <v>163.83590000000001</v>
      </c>
      <c r="Q104" s="135">
        <v>164.19829999999999</v>
      </c>
      <c r="R104" s="137">
        <v>1.1499999999999999</v>
      </c>
      <c r="S104" s="120">
        <v>249354</v>
      </c>
      <c r="T104" s="120">
        <v>7691365</v>
      </c>
      <c r="U104" s="120">
        <v>0</v>
      </c>
      <c r="V104" s="114">
        <f t="shared" si="4"/>
        <v>7691365</v>
      </c>
      <c r="W104" s="114">
        <f t="shared" si="5"/>
        <v>7940719</v>
      </c>
    </row>
    <row r="105" spans="1:23">
      <c r="A105" s="122" t="s">
        <v>746</v>
      </c>
      <c r="B105" s="124">
        <v>1018.293</v>
      </c>
      <c r="C105" s="124">
        <v>1053.49</v>
      </c>
      <c r="D105" s="124">
        <v>1056.348</v>
      </c>
      <c r="E105" s="124">
        <v>1073.077</v>
      </c>
      <c r="F105" s="124">
        <v>145.09049999999999</v>
      </c>
      <c r="G105" s="124">
        <v>152.14359999999999</v>
      </c>
      <c r="H105" s="124">
        <v>150.08600000000001</v>
      </c>
      <c r="I105" s="124">
        <v>147.68180000000001</v>
      </c>
      <c r="J105" s="134">
        <v>126273534</v>
      </c>
      <c r="K105" s="134">
        <v>142269184</v>
      </c>
      <c r="L105" s="124">
        <v>1709.01</v>
      </c>
      <c r="M105" s="114">
        <v>0</v>
      </c>
      <c r="N105" s="135">
        <v>98.384699999999995</v>
      </c>
      <c r="O105" s="135">
        <v>100.4688</v>
      </c>
      <c r="P105" s="135">
        <v>100.9877</v>
      </c>
      <c r="Q105" s="135">
        <v>101.09</v>
      </c>
      <c r="R105" s="137">
        <v>1.03</v>
      </c>
      <c r="S105" s="120">
        <v>0</v>
      </c>
      <c r="T105" s="120">
        <v>1903761</v>
      </c>
      <c r="U105" s="120">
        <v>0</v>
      </c>
      <c r="V105" s="114">
        <f t="shared" si="4"/>
        <v>1903761</v>
      </c>
      <c r="W105" s="114">
        <f t="shared" si="5"/>
        <v>1903761</v>
      </c>
    </row>
    <row r="106" spans="1:23">
      <c r="A106" s="122" t="s">
        <v>747</v>
      </c>
      <c r="B106" s="124">
        <v>3658.7170000000001</v>
      </c>
      <c r="C106" s="124">
        <v>3661.0940000000001</v>
      </c>
      <c r="D106" s="124">
        <v>3558.549</v>
      </c>
      <c r="E106" s="124">
        <v>3459.9769999999999</v>
      </c>
      <c r="F106" s="124">
        <v>592.64850000000001</v>
      </c>
      <c r="G106" s="124">
        <v>587.02629999999999</v>
      </c>
      <c r="H106" s="124">
        <v>576.33370000000002</v>
      </c>
      <c r="I106" s="124">
        <v>544.16030000000001</v>
      </c>
      <c r="J106" s="134">
        <v>731305064</v>
      </c>
      <c r="K106" s="134">
        <v>774959056</v>
      </c>
      <c r="L106" s="124">
        <v>4781.5050000000001</v>
      </c>
      <c r="M106" s="134">
        <v>611011</v>
      </c>
      <c r="N106" s="135">
        <v>385.39710000000002</v>
      </c>
      <c r="O106" s="135">
        <v>377.64659999999998</v>
      </c>
      <c r="P106" s="135">
        <v>375.89679999999998</v>
      </c>
      <c r="Q106" s="135">
        <v>361.64940000000001</v>
      </c>
      <c r="R106" s="137">
        <v>1.06</v>
      </c>
      <c r="S106" s="120">
        <v>926093</v>
      </c>
      <c r="T106" s="120">
        <v>11020436</v>
      </c>
      <c r="U106" s="120">
        <v>0</v>
      </c>
      <c r="V106" s="114">
        <f t="shared" si="4"/>
        <v>11020436</v>
      </c>
      <c r="W106" s="114">
        <f t="shared" si="5"/>
        <v>11946529</v>
      </c>
    </row>
    <row r="107" spans="1:23">
      <c r="A107" s="122" t="s">
        <v>988</v>
      </c>
      <c r="B107" s="124">
        <v>250.654</v>
      </c>
      <c r="C107" s="124">
        <v>235.64</v>
      </c>
      <c r="D107" s="124">
        <v>235.375</v>
      </c>
      <c r="E107" s="124">
        <v>232.16499999999999</v>
      </c>
      <c r="F107" s="124">
        <v>48.369</v>
      </c>
      <c r="G107" s="124">
        <v>47.443899999999999</v>
      </c>
      <c r="H107" s="124">
        <v>49.458300000000001</v>
      </c>
      <c r="I107" s="124">
        <v>49.399700000000003</v>
      </c>
      <c r="J107" s="134">
        <v>22289675</v>
      </c>
      <c r="K107" s="134">
        <v>24999665</v>
      </c>
      <c r="L107" s="124">
        <v>496.97300000000001</v>
      </c>
      <c r="M107" s="114">
        <v>498</v>
      </c>
      <c r="N107" s="135">
        <v>35.300699999999999</v>
      </c>
      <c r="O107" s="135">
        <v>33.421900000000001</v>
      </c>
      <c r="P107" s="135">
        <v>38.1631</v>
      </c>
      <c r="Q107" s="135">
        <v>36.790599999999998</v>
      </c>
      <c r="R107" s="137">
        <v>1.05</v>
      </c>
      <c r="S107" s="120">
        <v>28817</v>
      </c>
      <c r="T107" s="120">
        <v>284849</v>
      </c>
      <c r="U107" s="120">
        <v>15920</v>
      </c>
      <c r="V107" s="114">
        <f t="shared" si="4"/>
        <v>300769</v>
      </c>
      <c r="W107" s="114">
        <f t="shared" si="5"/>
        <v>329586</v>
      </c>
    </row>
    <row r="108" spans="1:23">
      <c r="A108" s="122" t="s">
        <v>2893</v>
      </c>
      <c r="B108" s="124">
        <v>291.97899999999998</v>
      </c>
      <c r="C108" s="124">
        <v>282.22500000000002</v>
      </c>
      <c r="D108" s="124">
        <v>274.47000000000003</v>
      </c>
      <c r="E108" s="124">
        <v>266.86700000000002</v>
      </c>
      <c r="F108" s="124">
        <v>46.612200000000001</v>
      </c>
      <c r="G108" s="124">
        <v>49.014699999999998</v>
      </c>
      <c r="H108" s="124">
        <v>48.289900000000003</v>
      </c>
      <c r="I108" s="124">
        <v>43.246499999999997</v>
      </c>
      <c r="J108" s="134">
        <v>60747836</v>
      </c>
      <c r="K108" s="134">
        <v>66177376</v>
      </c>
      <c r="L108" s="124">
        <v>472.88299999999998</v>
      </c>
      <c r="M108" s="134">
        <v>41624</v>
      </c>
      <c r="N108" s="135">
        <v>30.2438</v>
      </c>
      <c r="O108" s="135">
        <v>32.181199999999997</v>
      </c>
      <c r="P108" s="135">
        <v>28.366399999999999</v>
      </c>
      <c r="Q108" s="135">
        <v>28.1478</v>
      </c>
      <c r="R108" s="137">
        <v>1.03</v>
      </c>
      <c r="S108" s="120">
        <v>72766</v>
      </c>
      <c r="T108" s="120">
        <v>852093</v>
      </c>
      <c r="U108" s="120">
        <v>0</v>
      </c>
      <c r="V108" s="114">
        <f t="shared" si="4"/>
        <v>852093</v>
      </c>
      <c r="W108" s="114">
        <f t="shared" si="5"/>
        <v>924859</v>
      </c>
    </row>
    <row r="109" spans="1:23">
      <c r="A109" s="122" t="s">
        <v>1354</v>
      </c>
      <c r="B109" s="124">
        <v>149.86699999999999</v>
      </c>
      <c r="C109" s="124">
        <v>137.96899999999999</v>
      </c>
      <c r="D109" s="124">
        <v>159.327</v>
      </c>
      <c r="E109" s="124">
        <v>169.529</v>
      </c>
      <c r="F109" s="124">
        <v>24.844899999999999</v>
      </c>
      <c r="G109" s="124">
        <v>27</v>
      </c>
      <c r="H109" s="124">
        <v>25</v>
      </c>
      <c r="I109" s="124">
        <v>25.983899999999998</v>
      </c>
      <c r="J109" s="134">
        <v>16939905</v>
      </c>
      <c r="K109" s="134">
        <v>18831965</v>
      </c>
      <c r="L109" s="124">
        <v>307.99099999999999</v>
      </c>
      <c r="M109" s="114">
        <v>378</v>
      </c>
      <c r="N109" s="135">
        <v>17.415900000000001</v>
      </c>
      <c r="O109" s="135">
        <v>18.629899999999999</v>
      </c>
      <c r="P109" s="135">
        <v>17.369</v>
      </c>
      <c r="Q109" s="135">
        <v>16.575099999999999</v>
      </c>
      <c r="R109" s="137">
        <v>1.04</v>
      </c>
      <c r="S109" s="120">
        <v>9832</v>
      </c>
      <c r="T109" s="120">
        <v>263532</v>
      </c>
      <c r="U109" s="120">
        <v>0</v>
      </c>
      <c r="V109" s="114">
        <f t="shared" si="4"/>
        <v>263532</v>
      </c>
      <c r="W109" s="114">
        <f t="shared" si="5"/>
        <v>273364</v>
      </c>
    </row>
    <row r="110" spans="1:23">
      <c r="A110" s="122" t="s">
        <v>810</v>
      </c>
      <c r="B110" s="124">
        <v>195.11500000000001</v>
      </c>
      <c r="C110" s="124">
        <v>179.136</v>
      </c>
      <c r="D110" s="124">
        <v>175.04</v>
      </c>
      <c r="E110" s="124">
        <v>177.27500000000001</v>
      </c>
      <c r="F110" s="124">
        <v>34.927799999999998</v>
      </c>
      <c r="G110" s="124">
        <v>36.008099999999999</v>
      </c>
      <c r="H110" s="124">
        <v>33.565300000000001</v>
      </c>
      <c r="I110" s="124">
        <v>30.526800000000001</v>
      </c>
      <c r="J110" s="134">
        <v>22867338</v>
      </c>
      <c r="K110" s="134">
        <v>25006719</v>
      </c>
      <c r="L110" s="124">
        <v>319.51100000000002</v>
      </c>
      <c r="M110" s="134">
        <v>13017</v>
      </c>
      <c r="N110" s="135">
        <v>23.000299999999999</v>
      </c>
      <c r="O110" s="135">
        <v>23.069600000000001</v>
      </c>
      <c r="P110" s="135">
        <v>22.967700000000001</v>
      </c>
      <c r="Q110" s="135">
        <v>20.533100000000001</v>
      </c>
      <c r="R110" s="137">
        <v>1.04</v>
      </c>
      <c r="S110" s="120">
        <v>31197</v>
      </c>
      <c r="T110" s="120">
        <v>362296</v>
      </c>
      <c r="U110" s="120">
        <v>0</v>
      </c>
      <c r="V110" s="114">
        <f t="shared" si="4"/>
        <v>362296</v>
      </c>
      <c r="W110" s="114">
        <f t="shared" si="5"/>
        <v>393493</v>
      </c>
    </row>
    <row r="111" spans="1:23">
      <c r="A111" s="122" t="s">
        <v>872</v>
      </c>
      <c r="B111" s="124">
        <v>1234.327</v>
      </c>
      <c r="C111" s="124">
        <v>1198.7560000000001</v>
      </c>
      <c r="D111" s="124">
        <v>1221.7840000000001</v>
      </c>
      <c r="E111" s="124">
        <v>1196.5999999999999</v>
      </c>
      <c r="F111" s="124">
        <v>169.62809999999999</v>
      </c>
      <c r="G111" s="124">
        <v>175.20570000000001</v>
      </c>
      <c r="H111" s="124">
        <v>178.12860000000001</v>
      </c>
      <c r="I111" s="124">
        <v>216.7696</v>
      </c>
      <c r="J111" s="134">
        <v>121384618</v>
      </c>
      <c r="K111" s="134">
        <v>134267378</v>
      </c>
      <c r="L111" s="124">
        <v>1734.3510000000001</v>
      </c>
      <c r="M111" s="134">
        <v>61813</v>
      </c>
      <c r="N111" s="135">
        <v>113.26090000000001</v>
      </c>
      <c r="O111" s="135">
        <v>119.764</v>
      </c>
      <c r="P111" s="135">
        <v>119.83240000000001</v>
      </c>
      <c r="Q111" s="135">
        <v>147.2089</v>
      </c>
      <c r="R111" s="137">
        <v>1.04</v>
      </c>
      <c r="S111" s="120">
        <v>101232</v>
      </c>
      <c r="T111" s="120">
        <v>1747803</v>
      </c>
      <c r="U111" s="120">
        <v>0</v>
      </c>
      <c r="V111" s="114">
        <f t="shared" si="4"/>
        <v>1747803</v>
      </c>
      <c r="W111" s="114">
        <f t="shared" si="5"/>
        <v>1849035</v>
      </c>
    </row>
    <row r="112" spans="1:23">
      <c r="A112" s="122" t="s">
        <v>748</v>
      </c>
      <c r="B112" s="124">
        <v>1833.9369999999999</v>
      </c>
      <c r="C112" s="124">
        <v>1799.145</v>
      </c>
      <c r="D112" s="124">
        <v>1803.779</v>
      </c>
      <c r="E112" s="124">
        <v>1766.979</v>
      </c>
      <c r="F112" s="124">
        <v>313.27170000000001</v>
      </c>
      <c r="G112" s="124">
        <v>305.26100000000002</v>
      </c>
      <c r="H112" s="124">
        <v>325.9787</v>
      </c>
      <c r="I112" s="124">
        <v>320.7165</v>
      </c>
      <c r="J112" s="134">
        <v>391683691</v>
      </c>
      <c r="K112" s="134">
        <v>412910123</v>
      </c>
      <c r="L112" s="124">
        <v>2519.6819999999998</v>
      </c>
      <c r="M112" s="134">
        <v>399488</v>
      </c>
      <c r="N112" s="135">
        <v>187.89599999999999</v>
      </c>
      <c r="O112" s="135">
        <v>184.03319999999999</v>
      </c>
      <c r="P112" s="135">
        <v>185.26349999999999</v>
      </c>
      <c r="Q112" s="135">
        <v>184.11760000000001</v>
      </c>
      <c r="R112" s="137">
        <v>1.08</v>
      </c>
      <c r="S112" s="120">
        <v>441769</v>
      </c>
      <c r="T112" s="120">
        <v>5558119</v>
      </c>
      <c r="U112" s="120">
        <v>0</v>
      </c>
      <c r="V112" s="114">
        <f t="shared" si="4"/>
        <v>5558119</v>
      </c>
      <c r="W112" s="114">
        <f t="shared" si="5"/>
        <v>5999888</v>
      </c>
    </row>
    <row r="113" spans="1:23">
      <c r="A113" s="122" t="s">
        <v>749</v>
      </c>
      <c r="B113" s="124">
        <v>739.70699999999999</v>
      </c>
      <c r="C113" s="124">
        <v>727.91600000000005</v>
      </c>
      <c r="D113" s="124">
        <v>707.76800000000003</v>
      </c>
      <c r="E113" s="124">
        <v>688.16300000000001</v>
      </c>
      <c r="F113" s="124">
        <v>134.3716</v>
      </c>
      <c r="G113" s="124">
        <v>132.4545</v>
      </c>
      <c r="H113" s="124">
        <v>127.0213</v>
      </c>
      <c r="I113" s="124">
        <v>125.67910000000001</v>
      </c>
      <c r="J113" s="134">
        <v>129250172</v>
      </c>
      <c r="K113" s="134">
        <v>139442258</v>
      </c>
      <c r="L113" s="124">
        <v>1149.5229999999999</v>
      </c>
      <c r="M113" s="114">
        <v>0</v>
      </c>
      <c r="N113" s="135">
        <v>94.002399999999994</v>
      </c>
      <c r="O113" s="135">
        <v>90.072000000000003</v>
      </c>
      <c r="P113" s="135">
        <v>86.467200000000005</v>
      </c>
      <c r="Q113" s="135">
        <v>85.726200000000006</v>
      </c>
      <c r="R113" s="137">
        <v>1.0900000000000001</v>
      </c>
      <c r="S113" s="120">
        <v>207851</v>
      </c>
      <c r="T113" s="120">
        <v>1900501</v>
      </c>
      <c r="U113" s="120">
        <v>0</v>
      </c>
      <c r="V113" s="114">
        <f t="shared" si="4"/>
        <v>1900501</v>
      </c>
      <c r="W113" s="114">
        <f t="shared" si="5"/>
        <v>2108352</v>
      </c>
    </row>
    <row r="114" spans="1:23">
      <c r="A114" s="122" t="s">
        <v>750</v>
      </c>
      <c r="B114" s="124">
        <v>459.91699999999997</v>
      </c>
      <c r="C114" s="124">
        <v>469.673</v>
      </c>
      <c r="D114" s="124">
        <v>455.48899999999998</v>
      </c>
      <c r="E114" s="124">
        <v>428.43299999999999</v>
      </c>
      <c r="F114" s="124">
        <v>82.866500000000002</v>
      </c>
      <c r="G114" s="124">
        <v>85.395899999999997</v>
      </c>
      <c r="H114" s="124">
        <v>94.270300000000006</v>
      </c>
      <c r="I114" s="124">
        <v>93.839799999999997</v>
      </c>
      <c r="J114" s="134">
        <v>103646612</v>
      </c>
      <c r="K114" s="134">
        <v>109965844</v>
      </c>
      <c r="L114" s="124">
        <v>766.399</v>
      </c>
      <c r="M114" s="114">
        <v>0</v>
      </c>
      <c r="N114" s="135">
        <v>53.003799999999998</v>
      </c>
      <c r="O114" s="135">
        <v>58.867199999999997</v>
      </c>
      <c r="P114" s="135">
        <v>59.873600000000003</v>
      </c>
      <c r="Q114" s="135">
        <v>61.904800000000002</v>
      </c>
      <c r="R114" s="137">
        <v>1.0900000000000001</v>
      </c>
      <c r="S114" s="120">
        <v>0</v>
      </c>
      <c r="T114" s="120">
        <v>1604961</v>
      </c>
      <c r="U114" s="120">
        <v>0</v>
      </c>
      <c r="V114" s="114">
        <f t="shared" si="4"/>
        <v>1604961</v>
      </c>
      <c r="W114" s="114">
        <f t="shared" si="5"/>
        <v>1604961</v>
      </c>
    </row>
    <row r="115" spans="1:23">
      <c r="A115" s="122" t="s">
        <v>2154</v>
      </c>
      <c r="B115" s="124">
        <v>2543.1190000000001</v>
      </c>
      <c r="C115" s="124">
        <v>2645.3389999999999</v>
      </c>
      <c r="D115" s="124">
        <v>2757.2179999999998</v>
      </c>
      <c r="E115" s="124">
        <v>2833.8150000000001</v>
      </c>
      <c r="F115" s="124">
        <v>391.02170000000001</v>
      </c>
      <c r="G115" s="124">
        <v>405.88119999999998</v>
      </c>
      <c r="H115" s="124">
        <v>436.46550000000002</v>
      </c>
      <c r="I115" s="124">
        <v>448.76769999999999</v>
      </c>
      <c r="J115" s="134">
        <v>744964753</v>
      </c>
      <c r="K115" s="134">
        <v>791054109</v>
      </c>
      <c r="L115" s="124">
        <v>3978.375</v>
      </c>
      <c r="M115" s="134">
        <v>622343</v>
      </c>
      <c r="N115" s="135">
        <v>253.99440000000001</v>
      </c>
      <c r="O115" s="135">
        <v>264.81119999999999</v>
      </c>
      <c r="P115" s="135">
        <v>282.51229999999998</v>
      </c>
      <c r="Q115" s="135">
        <v>288.91070000000002</v>
      </c>
      <c r="R115" s="137">
        <v>1.0900000000000001</v>
      </c>
      <c r="S115" s="120">
        <v>1096108</v>
      </c>
      <c r="T115" s="120">
        <v>11961931</v>
      </c>
      <c r="U115" s="120">
        <v>0</v>
      </c>
      <c r="V115" s="114">
        <f t="shared" si="4"/>
        <v>11961931</v>
      </c>
      <c r="W115" s="114">
        <f t="shared" si="5"/>
        <v>13058039</v>
      </c>
    </row>
    <row r="116" spans="1:23">
      <c r="A116" s="122" t="s">
        <v>380</v>
      </c>
      <c r="B116" s="124">
        <v>3225.7530000000002</v>
      </c>
      <c r="C116" s="124">
        <v>3306.4430000000002</v>
      </c>
      <c r="D116" s="124">
        <v>3367.06</v>
      </c>
      <c r="E116" s="124">
        <v>3350.7269999999999</v>
      </c>
      <c r="F116" s="124">
        <v>473.92750000000001</v>
      </c>
      <c r="G116" s="124">
        <v>493.90629999999999</v>
      </c>
      <c r="H116" s="124">
        <v>521.22609999999997</v>
      </c>
      <c r="I116" s="124">
        <v>548.88189999999997</v>
      </c>
      <c r="J116" s="134">
        <v>1207740716</v>
      </c>
      <c r="K116" s="134">
        <v>1253810334</v>
      </c>
      <c r="L116" s="124">
        <v>4509.57</v>
      </c>
      <c r="M116" s="134">
        <v>1943392</v>
      </c>
      <c r="N116" s="135">
        <v>321.59350000000001</v>
      </c>
      <c r="O116" s="135">
        <v>320.69380000000001</v>
      </c>
      <c r="P116" s="135">
        <v>334.45389999999998</v>
      </c>
      <c r="Q116" s="135">
        <v>334.70330000000001</v>
      </c>
      <c r="R116" s="137">
        <v>1.0900000000000001</v>
      </c>
      <c r="S116" s="120">
        <v>2309460</v>
      </c>
      <c r="T116" s="120">
        <v>20003266</v>
      </c>
      <c r="U116" s="120">
        <v>0</v>
      </c>
      <c r="V116" s="114">
        <f t="shared" si="4"/>
        <v>20003266</v>
      </c>
      <c r="W116" s="114">
        <f t="shared" si="5"/>
        <v>22312726</v>
      </c>
    </row>
    <row r="117" spans="1:23">
      <c r="A117" s="122" t="s">
        <v>497</v>
      </c>
      <c r="B117" s="124">
        <v>4074.9630000000002</v>
      </c>
      <c r="C117" s="124">
        <v>4105.4250000000002</v>
      </c>
      <c r="D117" s="124">
        <v>4227.1880000000001</v>
      </c>
      <c r="E117" s="124">
        <v>4125.1099999999997</v>
      </c>
      <c r="F117" s="124">
        <v>591.47180000000003</v>
      </c>
      <c r="G117" s="124">
        <v>626.16470000000004</v>
      </c>
      <c r="H117" s="124">
        <v>614.53290000000004</v>
      </c>
      <c r="I117" s="124">
        <v>579.53179999999998</v>
      </c>
      <c r="J117" s="134">
        <v>517302874</v>
      </c>
      <c r="K117" s="134">
        <v>554898774</v>
      </c>
      <c r="L117" s="124">
        <v>5668.2089999999998</v>
      </c>
      <c r="M117" s="134">
        <v>414274</v>
      </c>
      <c r="N117" s="135">
        <v>363.8</v>
      </c>
      <c r="O117" s="135">
        <v>365.93189999999998</v>
      </c>
      <c r="P117" s="135">
        <v>357.18119999999999</v>
      </c>
      <c r="Q117" s="135">
        <v>350.67880000000002</v>
      </c>
      <c r="R117" s="137">
        <v>1.0900000000000001</v>
      </c>
      <c r="S117" s="120">
        <v>1060147</v>
      </c>
      <c r="T117" s="120">
        <v>7567374</v>
      </c>
      <c r="U117" s="120">
        <v>0</v>
      </c>
      <c r="V117" s="114">
        <f t="shared" si="4"/>
        <v>7567374</v>
      </c>
      <c r="W117" s="114">
        <f t="shared" si="5"/>
        <v>8627521</v>
      </c>
    </row>
    <row r="118" spans="1:23">
      <c r="A118" s="122" t="s">
        <v>1318</v>
      </c>
      <c r="B118" s="124">
        <v>1480.3050000000001</v>
      </c>
      <c r="C118" s="124">
        <v>1490.7190000000001</v>
      </c>
      <c r="D118" s="124">
        <v>1502.4949999999999</v>
      </c>
      <c r="E118" s="124">
        <v>1479.5419999999999</v>
      </c>
      <c r="F118" s="124">
        <v>208.6429</v>
      </c>
      <c r="G118" s="124">
        <v>204.96860000000001</v>
      </c>
      <c r="H118" s="124">
        <v>202.71709999999999</v>
      </c>
      <c r="I118" s="124">
        <v>216.19309999999999</v>
      </c>
      <c r="J118" s="134">
        <v>181739590</v>
      </c>
      <c r="K118" s="134">
        <v>194147630</v>
      </c>
      <c r="L118" s="124">
        <v>2096.337</v>
      </c>
      <c r="M118" s="114">
        <v>0</v>
      </c>
      <c r="N118" s="135">
        <v>142.39689999999999</v>
      </c>
      <c r="O118" s="135">
        <v>137.41640000000001</v>
      </c>
      <c r="P118" s="135">
        <v>137.75980000000001</v>
      </c>
      <c r="Q118" s="135">
        <v>141.50829999999999</v>
      </c>
      <c r="R118" s="137">
        <v>1.0900000000000001</v>
      </c>
      <c r="S118" s="120">
        <v>105167</v>
      </c>
      <c r="T118" s="120">
        <v>2236175</v>
      </c>
      <c r="U118" s="120">
        <v>0</v>
      </c>
      <c r="V118" s="114">
        <f t="shared" si="4"/>
        <v>2236175</v>
      </c>
      <c r="W118" s="114">
        <f t="shared" si="5"/>
        <v>2341342</v>
      </c>
    </row>
    <row r="119" spans="1:23">
      <c r="A119" s="122" t="s">
        <v>2631</v>
      </c>
      <c r="B119" s="124">
        <v>186.58799999999999</v>
      </c>
      <c r="C119" s="124">
        <v>196.922</v>
      </c>
      <c r="D119" s="124">
        <v>215.26300000000001</v>
      </c>
      <c r="E119" s="124">
        <v>211.64</v>
      </c>
      <c r="F119" s="124">
        <v>35.389000000000003</v>
      </c>
      <c r="G119" s="124">
        <v>36.6511</v>
      </c>
      <c r="H119" s="124">
        <v>35.101700000000001</v>
      </c>
      <c r="I119" s="124">
        <v>38.767699999999998</v>
      </c>
      <c r="J119" s="134">
        <v>47111054</v>
      </c>
      <c r="K119" s="134">
        <v>49298174</v>
      </c>
      <c r="L119" s="124">
        <v>391.31099999999998</v>
      </c>
      <c r="M119" s="114">
        <v>0</v>
      </c>
      <c r="N119" s="135">
        <v>21.807400000000001</v>
      </c>
      <c r="O119" s="135">
        <v>20.4998</v>
      </c>
      <c r="P119" s="135">
        <v>19.251000000000001</v>
      </c>
      <c r="Q119" s="135">
        <v>23.7272</v>
      </c>
      <c r="R119" s="137">
        <v>1.08</v>
      </c>
      <c r="S119" s="120">
        <v>0</v>
      </c>
      <c r="T119" s="120">
        <v>666392</v>
      </c>
      <c r="U119" s="120">
        <v>0</v>
      </c>
      <c r="V119" s="114">
        <f t="shared" si="4"/>
        <v>666392</v>
      </c>
      <c r="W119" s="114">
        <f t="shared" si="5"/>
        <v>666392</v>
      </c>
    </row>
    <row r="120" spans="1:23">
      <c r="A120" s="122" t="s">
        <v>1535</v>
      </c>
      <c r="B120" s="124">
        <v>3951.2159999999999</v>
      </c>
      <c r="C120" s="124">
        <v>3838.8270000000002</v>
      </c>
      <c r="D120" s="124">
        <v>3847.0320000000002</v>
      </c>
      <c r="E120" s="124">
        <v>3849.692</v>
      </c>
      <c r="F120" s="124">
        <v>558.04899999999998</v>
      </c>
      <c r="G120" s="124">
        <v>573.98559999999998</v>
      </c>
      <c r="H120" s="124">
        <v>587.93140000000005</v>
      </c>
      <c r="I120" s="124">
        <v>594.697</v>
      </c>
      <c r="J120" s="134">
        <v>3473181563</v>
      </c>
      <c r="K120" s="134">
        <v>3516031084</v>
      </c>
      <c r="L120" s="124">
        <v>5025.3770000000004</v>
      </c>
      <c r="M120" s="114">
        <v>0</v>
      </c>
      <c r="N120" s="135">
        <v>307.6918</v>
      </c>
      <c r="O120" s="135">
        <v>335.11869999999999</v>
      </c>
      <c r="P120" s="135">
        <v>340.86219999999997</v>
      </c>
      <c r="Q120" s="135">
        <v>356.86450000000002</v>
      </c>
      <c r="R120" s="137">
        <v>1.1100000000000001</v>
      </c>
      <c r="S120" s="120">
        <v>1381066</v>
      </c>
      <c r="T120" s="120">
        <v>44193501</v>
      </c>
      <c r="U120" s="120">
        <v>0</v>
      </c>
      <c r="V120" s="114">
        <f t="shared" si="4"/>
        <v>44193501</v>
      </c>
      <c r="W120" s="114">
        <f t="shared" si="5"/>
        <v>45574567</v>
      </c>
    </row>
    <row r="121" spans="1:23">
      <c r="A121" s="122" t="s">
        <v>2671</v>
      </c>
      <c r="B121" s="124">
        <v>422.50400000000002</v>
      </c>
      <c r="C121" s="124">
        <v>404.94900000000001</v>
      </c>
      <c r="D121" s="124">
        <v>392.72</v>
      </c>
      <c r="E121" s="124">
        <v>380.82900000000001</v>
      </c>
      <c r="F121" s="124">
        <v>66.992099999999994</v>
      </c>
      <c r="G121" s="124">
        <v>67.414599999999993</v>
      </c>
      <c r="H121" s="124">
        <v>68.497600000000006</v>
      </c>
      <c r="I121" s="124">
        <v>64.663399999999996</v>
      </c>
      <c r="J121" s="134">
        <v>63732250</v>
      </c>
      <c r="K121" s="134">
        <v>70285145</v>
      </c>
      <c r="L121" s="124">
        <v>743.12599999999998</v>
      </c>
      <c r="M121" s="134">
        <v>28646</v>
      </c>
      <c r="N121" s="135">
        <v>48.130800000000001</v>
      </c>
      <c r="O121" s="135">
        <v>48.978099999999998</v>
      </c>
      <c r="P121" s="135">
        <v>48.680700000000002</v>
      </c>
      <c r="Q121" s="135">
        <v>45.871099999999998</v>
      </c>
      <c r="R121" s="137">
        <v>1.04</v>
      </c>
      <c r="S121" s="120">
        <v>62866</v>
      </c>
      <c r="T121" s="120">
        <v>694179</v>
      </c>
      <c r="U121" s="120">
        <v>0</v>
      </c>
      <c r="V121" s="114">
        <f t="shared" si="4"/>
        <v>694179</v>
      </c>
      <c r="W121" s="114">
        <f t="shared" si="5"/>
        <v>757045</v>
      </c>
    </row>
    <row r="122" spans="1:23">
      <c r="A122" s="122" t="s">
        <v>811</v>
      </c>
      <c r="B122" s="124">
        <v>1449.818</v>
      </c>
      <c r="C122" s="124">
        <v>1430.0229999999999</v>
      </c>
      <c r="D122" s="124">
        <v>1432.673</v>
      </c>
      <c r="E122" s="124">
        <v>1422.875</v>
      </c>
      <c r="F122" s="124">
        <v>235.49180000000001</v>
      </c>
      <c r="G122" s="124">
        <v>233.34039999999999</v>
      </c>
      <c r="H122" s="124">
        <v>229.327</v>
      </c>
      <c r="I122" s="124">
        <v>220.7602</v>
      </c>
      <c r="J122" s="134">
        <v>134589204</v>
      </c>
      <c r="K122" s="134">
        <v>153524584</v>
      </c>
      <c r="L122" s="124">
        <v>2122.1060000000002</v>
      </c>
      <c r="M122" s="134">
        <v>69818</v>
      </c>
      <c r="N122" s="135">
        <v>152.374</v>
      </c>
      <c r="O122" s="135">
        <v>150.10300000000001</v>
      </c>
      <c r="P122" s="135">
        <v>153.53210000000001</v>
      </c>
      <c r="Q122" s="135">
        <v>144.2792</v>
      </c>
      <c r="R122" s="137">
        <v>1.05</v>
      </c>
      <c r="S122" s="120">
        <v>193227</v>
      </c>
      <c r="T122" s="120">
        <v>2031402</v>
      </c>
      <c r="U122" s="120">
        <v>0</v>
      </c>
      <c r="V122" s="114">
        <f t="shared" si="4"/>
        <v>2031402</v>
      </c>
      <c r="W122" s="114">
        <f t="shared" si="5"/>
        <v>2224629</v>
      </c>
    </row>
    <row r="123" spans="1:23">
      <c r="A123" s="122" t="s">
        <v>171</v>
      </c>
      <c r="B123" s="124">
        <v>413.822</v>
      </c>
      <c r="C123" s="124">
        <v>378.83600000000001</v>
      </c>
      <c r="D123" s="124">
        <v>376.10700000000003</v>
      </c>
      <c r="E123" s="124">
        <v>365.68900000000002</v>
      </c>
      <c r="F123" s="124">
        <v>67.427800000000005</v>
      </c>
      <c r="G123" s="124">
        <v>68</v>
      </c>
      <c r="H123" s="124">
        <v>68.42</v>
      </c>
      <c r="I123" s="124">
        <v>66</v>
      </c>
      <c r="J123" s="134">
        <v>68554610</v>
      </c>
      <c r="K123" s="134">
        <v>74962410</v>
      </c>
      <c r="L123" s="124">
        <v>721.17100000000005</v>
      </c>
      <c r="M123" s="114">
        <v>0</v>
      </c>
      <c r="N123" s="135">
        <v>46.642400000000002</v>
      </c>
      <c r="O123" s="135">
        <v>46.692500000000003</v>
      </c>
      <c r="P123" s="135">
        <v>47.228700000000003</v>
      </c>
      <c r="Q123" s="135">
        <v>46.466200000000001</v>
      </c>
      <c r="R123" s="137">
        <v>1.04</v>
      </c>
      <c r="S123" s="120">
        <v>0</v>
      </c>
      <c r="T123" s="120">
        <v>840807</v>
      </c>
      <c r="U123" s="120">
        <v>0</v>
      </c>
      <c r="V123" s="114">
        <f t="shared" si="4"/>
        <v>840807</v>
      </c>
      <c r="W123" s="114">
        <f t="shared" si="5"/>
        <v>840807</v>
      </c>
    </row>
    <row r="124" spans="1:23">
      <c r="A124" s="122" t="s">
        <v>2090</v>
      </c>
      <c r="B124" s="124">
        <v>538.70100000000002</v>
      </c>
      <c r="C124" s="124">
        <v>524.16600000000005</v>
      </c>
      <c r="D124" s="124">
        <v>508.33600000000001</v>
      </c>
      <c r="E124" s="124">
        <v>498.49799999999999</v>
      </c>
      <c r="F124" s="124">
        <v>91.507900000000006</v>
      </c>
      <c r="G124" s="124">
        <v>90.909300000000002</v>
      </c>
      <c r="H124" s="124">
        <v>93.294300000000007</v>
      </c>
      <c r="I124" s="124">
        <v>92.06</v>
      </c>
      <c r="J124" s="134">
        <v>109739422</v>
      </c>
      <c r="K124" s="134">
        <v>115524918</v>
      </c>
      <c r="L124" s="124">
        <v>820.86</v>
      </c>
      <c r="M124" s="134">
        <v>232878</v>
      </c>
      <c r="N124" s="135">
        <v>61.504199999999997</v>
      </c>
      <c r="O124" s="135">
        <v>56.482900000000001</v>
      </c>
      <c r="P124" s="135">
        <v>57.811900000000001</v>
      </c>
      <c r="Q124" s="135">
        <v>56.918599999999998</v>
      </c>
      <c r="R124" s="137">
        <v>1.03</v>
      </c>
      <c r="S124" s="120">
        <v>300305</v>
      </c>
      <c r="T124" s="120">
        <v>1553697</v>
      </c>
      <c r="U124" s="120">
        <v>0</v>
      </c>
      <c r="V124" s="114">
        <f t="shared" si="4"/>
        <v>1553697</v>
      </c>
      <c r="W124" s="114">
        <f t="shared" si="5"/>
        <v>1854002</v>
      </c>
    </row>
    <row r="125" spans="1:23">
      <c r="A125" s="122" t="s">
        <v>993</v>
      </c>
      <c r="B125" s="124">
        <v>37015.22</v>
      </c>
      <c r="C125" s="124">
        <v>37686.855000000003</v>
      </c>
      <c r="D125" s="124">
        <v>39302.476999999999</v>
      </c>
      <c r="E125" s="124">
        <v>40778.703999999998</v>
      </c>
      <c r="F125" s="124">
        <v>6178.0055000000002</v>
      </c>
      <c r="G125" s="124">
        <v>6161.0591000000004</v>
      </c>
      <c r="H125" s="124">
        <v>6565.9484000000002</v>
      </c>
      <c r="I125" s="124">
        <v>6836.1436999999996</v>
      </c>
      <c r="J125" s="134">
        <v>2830580345</v>
      </c>
      <c r="K125" s="134">
        <v>3033624332</v>
      </c>
      <c r="L125" s="124">
        <v>59520.226999999999</v>
      </c>
      <c r="M125" s="134">
        <v>1456488</v>
      </c>
      <c r="N125" s="135">
        <v>3537.2501000000002</v>
      </c>
      <c r="O125" s="135">
        <v>3502.7492000000002</v>
      </c>
      <c r="P125" s="135">
        <v>3770.5369000000001</v>
      </c>
      <c r="Q125" s="135">
        <v>3858.6885000000002</v>
      </c>
      <c r="R125" s="137">
        <v>1.19</v>
      </c>
      <c r="S125" s="120">
        <v>1278727</v>
      </c>
      <c r="T125" s="120">
        <v>43103715</v>
      </c>
      <c r="U125" s="120">
        <v>0</v>
      </c>
      <c r="V125" s="114">
        <f t="shared" si="4"/>
        <v>43103715</v>
      </c>
      <c r="W125" s="114">
        <f t="shared" si="5"/>
        <v>44382442</v>
      </c>
    </row>
    <row r="126" spans="1:23">
      <c r="A126" s="122" t="s">
        <v>2126</v>
      </c>
      <c r="B126" s="124">
        <v>14309.477999999999</v>
      </c>
      <c r="C126" s="124">
        <v>14342.968999999999</v>
      </c>
      <c r="D126" s="124">
        <v>14493.456</v>
      </c>
      <c r="E126" s="124">
        <v>14839.553</v>
      </c>
      <c r="F126" s="124">
        <v>2508.5344</v>
      </c>
      <c r="G126" s="124">
        <v>2590.8773999999999</v>
      </c>
      <c r="H126" s="124">
        <v>2335.4032999999999</v>
      </c>
      <c r="I126" s="124">
        <v>2337.9331000000002</v>
      </c>
      <c r="J126" s="134">
        <v>1873988043</v>
      </c>
      <c r="K126" s="134">
        <v>1997856907</v>
      </c>
      <c r="L126" s="124">
        <v>20254.004000000001</v>
      </c>
      <c r="M126" s="134">
        <v>1447675</v>
      </c>
      <c r="N126" s="135">
        <v>1312.7555</v>
      </c>
      <c r="O126" s="135">
        <v>1268.0322000000001</v>
      </c>
      <c r="P126" s="135">
        <v>1319.6215</v>
      </c>
      <c r="Q126" s="135">
        <v>1336.4265</v>
      </c>
      <c r="R126" s="137">
        <v>1.17</v>
      </c>
      <c r="S126" s="120">
        <v>1928802</v>
      </c>
      <c r="T126" s="120">
        <v>28710052</v>
      </c>
      <c r="U126" s="120">
        <v>0</v>
      </c>
      <c r="V126" s="114">
        <f t="shared" si="4"/>
        <v>28710052</v>
      </c>
      <c r="W126" s="114">
        <f t="shared" si="5"/>
        <v>30638854</v>
      </c>
    </row>
    <row r="127" spans="1:23">
      <c r="A127" s="122" t="s">
        <v>64</v>
      </c>
      <c r="B127" s="124">
        <v>2548.9749999999999</v>
      </c>
      <c r="C127" s="124">
        <v>2622.9160000000002</v>
      </c>
      <c r="D127" s="124">
        <v>2634.7809999999999</v>
      </c>
      <c r="E127" s="124">
        <v>2642.5920000000001</v>
      </c>
      <c r="F127" s="124">
        <v>394.8673</v>
      </c>
      <c r="G127" s="124">
        <v>411.76350000000002</v>
      </c>
      <c r="H127" s="124">
        <v>425.30560000000003</v>
      </c>
      <c r="I127" s="124">
        <v>426.45510000000002</v>
      </c>
      <c r="J127" s="134">
        <v>153630855</v>
      </c>
      <c r="K127" s="134">
        <v>175268542</v>
      </c>
      <c r="L127" s="124">
        <v>3831.6909999999998</v>
      </c>
      <c r="M127" s="134">
        <v>86833</v>
      </c>
      <c r="N127" s="135">
        <v>269.77879999999999</v>
      </c>
      <c r="O127" s="135">
        <v>283.92610000000002</v>
      </c>
      <c r="P127" s="135">
        <v>291.2448</v>
      </c>
      <c r="Q127" s="135">
        <v>296.351</v>
      </c>
      <c r="R127" s="137">
        <v>1.1399999999999999</v>
      </c>
      <c r="S127" s="120">
        <v>159685</v>
      </c>
      <c r="T127" s="120">
        <v>2228181</v>
      </c>
      <c r="U127" s="120">
        <v>153312</v>
      </c>
      <c r="V127" s="114">
        <f t="shared" si="4"/>
        <v>2381493</v>
      </c>
      <c r="W127" s="114">
        <f t="shared" si="5"/>
        <v>2541178</v>
      </c>
    </row>
    <row r="128" spans="1:23">
      <c r="A128" s="122" t="s">
        <v>2606</v>
      </c>
      <c r="B128" s="124">
        <v>6132.1729999999998</v>
      </c>
      <c r="C128" s="124">
        <v>6255.1220000000003</v>
      </c>
      <c r="D128" s="124">
        <v>6532.9690000000001</v>
      </c>
      <c r="E128" s="124">
        <v>6762.3010000000004</v>
      </c>
      <c r="F128" s="124">
        <v>1017.8519</v>
      </c>
      <c r="G128" s="124">
        <v>1118.5669</v>
      </c>
      <c r="H128" s="124">
        <v>1153.1668</v>
      </c>
      <c r="I128" s="124">
        <v>1089.2665</v>
      </c>
      <c r="J128" s="134">
        <v>474953008</v>
      </c>
      <c r="K128" s="134">
        <v>513800085</v>
      </c>
      <c r="L128" s="124">
        <v>9592.7430000000004</v>
      </c>
      <c r="M128" s="134">
        <v>241252</v>
      </c>
      <c r="N128" s="135">
        <v>576.38199999999995</v>
      </c>
      <c r="O128" s="135">
        <v>623.04489999999998</v>
      </c>
      <c r="P128" s="135">
        <v>630.75869999999998</v>
      </c>
      <c r="Q128" s="135">
        <v>591.60569999999996</v>
      </c>
      <c r="R128" s="137">
        <v>1.17</v>
      </c>
      <c r="S128" s="120">
        <v>741844</v>
      </c>
      <c r="T128" s="120">
        <v>7503307</v>
      </c>
      <c r="U128" s="120">
        <v>0</v>
      </c>
      <c r="V128" s="114">
        <f t="shared" si="4"/>
        <v>7503307</v>
      </c>
      <c r="W128" s="114">
        <f t="shared" si="5"/>
        <v>8245151</v>
      </c>
    </row>
    <row r="129" spans="1:23">
      <c r="A129" s="122" t="s">
        <v>1892</v>
      </c>
      <c r="B129" s="124">
        <v>2155.8290000000002</v>
      </c>
      <c r="C129" s="124">
        <v>2211.0100000000002</v>
      </c>
      <c r="D129" s="124">
        <v>2217.0219999999999</v>
      </c>
      <c r="E129" s="124">
        <v>2249.9029999999998</v>
      </c>
      <c r="F129" s="124">
        <v>311.22859999999997</v>
      </c>
      <c r="G129" s="124">
        <v>316.62880000000001</v>
      </c>
      <c r="H129" s="124">
        <v>294.34030000000001</v>
      </c>
      <c r="I129" s="124">
        <v>303.90010000000001</v>
      </c>
      <c r="J129" s="134">
        <v>1266242321</v>
      </c>
      <c r="K129" s="134">
        <v>1287968535</v>
      </c>
      <c r="L129" s="124">
        <v>3106.2069999999999</v>
      </c>
      <c r="M129" s="134">
        <v>1538947</v>
      </c>
      <c r="N129" s="135">
        <v>201.89349999999999</v>
      </c>
      <c r="O129" s="135">
        <v>191.31270000000001</v>
      </c>
      <c r="P129" s="135">
        <v>191.13399999999999</v>
      </c>
      <c r="Q129" s="135">
        <v>200.29580000000001</v>
      </c>
      <c r="R129" s="137">
        <v>1.1399999999999999</v>
      </c>
      <c r="S129" s="120">
        <v>1339962</v>
      </c>
      <c r="T129" s="120">
        <v>17757736</v>
      </c>
      <c r="U129" s="120">
        <v>0</v>
      </c>
      <c r="V129" s="114">
        <f t="shared" si="4"/>
        <v>17757736</v>
      </c>
      <c r="W129" s="114">
        <f t="shared" si="5"/>
        <v>19097698</v>
      </c>
    </row>
    <row r="130" spans="1:23">
      <c r="A130" s="122" t="s">
        <v>812</v>
      </c>
      <c r="B130" s="124">
        <v>1929.087</v>
      </c>
      <c r="C130" s="124">
        <v>1894.518</v>
      </c>
      <c r="D130" s="124">
        <v>1948.8109999999999</v>
      </c>
      <c r="E130" s="124">
        <v>1952.6379999999999</v>
      </c>
      <c r="F130" s="124">
        <v>346.22620000000001</v>
      </c>
      <c r="G130" s="124">
        <v>358.69110000000001</v>
      </c>
      <c r="H130" s="124">
        <v>357.8777</v>
      </c>
      <c r="I130" s="124">
        <v>341.07510000000002</v>
      </c>
      <c r="J130" s="134">
        <v>101675620</v>
      </c>
      <c r="K130" s="134">
        <v>115208044</v>
      </c>
      <c r="L130" s="124">
        <v>3046.9180000000001</v>
      </c>
      <c r="M130" s="134">
        <v>88667</v>
      </c>
      <c r="N130" s="135">
        <v>190.52099999999999</v>
      </c>
      <c r="O130" s="135">
        <v>199.14230000000001</v>
      </c>
      <c r="P130" s="135">
        <v>186.7397</v>
      </c>
      <c r="Q130" s="135">
        <v>175.21039999999999</v>
      </c>
      <c r="R130" s="137">
        <v>1.1399999999999999</v>
      </c>
      <c r="S130" s="120">
        <v>249656</v>
      </c>
      <c r="T130" s="120">
        <v>1581833</v>
      </c>
      <c r="U130" s="120">
        <v>0</v>
      </c>
      <c r="V130" s="114">
        <f t="shared" si="4"/>
        <v>1581833</v>
      </c>
      <c r="W130" s="114">
        <f t="shared" si="5"/>
        <v>1831489</v>
      </c>
    </row>
    <row r="131" spans="1:23">
      <c r="A131" s="122" t="s">
        <v>1490</v>
      </c>
      <c r="B131" s="124">
        <v>8108.0929999999998</v>
      </c>
      <c r="C131" s="124">
        <v>8148.3770000000004</v>
      </c>
      <c r="D131" s="124">
        <v>8374.6139999999996</v>
      </c>
      <c r="E131" s="124">
        <v>8792.1569999999992</v>
      </c>
      <c r="F131" s="124">
        <v>1374.5567000000001</v>
      </c>
      <c r="G131" s="124">
        <v>1374.6071999999999</v>
      </c>
      <c r="H131" s="124">
        <v>1358.4309000000001</v>
      </c>
      <c r="I131" s="124">
        <v>1323.0446999999999</v>
      </c>
      <c r="J131" s="134">
        <v>443917951</v>
      </c>
      <c r="K131" s="134">
        <v>501259753</v>
      </c>
      <c r="L131" s="124">
        <v>12485.637000000001</v>
      </c>
      <c r="M131" s="134">
        <v>188506</v>
      </c>
      <c r="N131" s="135">
        <v>775.13840000000005</v>
      </c>
      <c r="O131" s="135">
        <v>766.11710000000005</v>
      </c>
      <c r="P131" s="135">
        <v>760.87599999999998</v>
      </c>
      <c r="Q131" s="135">
        <v>732.06799999999998</v>
      </c>
      <c r="R131" s="137">
        <v>1.18</v>
      </c>
      <c r="S131" s="120">
        <v>766716</v>
      </c>
      <c r="T131" s="120">
        <v>6289256</v>
      </c>
      <c r="U131" s="120">
        <v>0</v>
      </c>
      <c r="V131" s="114">
        <f t="shared" si="4"/>
        <v>6289256</v>
      </c>
      <c r="W131" s="114">
        <f t="shared" si="5"/>
        <v>7055972</v>
      </c>
    </row>
    <row r="132" spans="1:23">
      <c r="A132" s="122" t="s">
        <v>813</v>
      </c>
      <c r="B132" s="124">
        <v>471.81400000000002</v>
      </c>
      <c r="C132" s="124">
        <v>464.65100000000001</v>
      </c>
      <c r="D132" s="124">
        <v>488.25400000000002</v>
      </c>
      <c r="E132" s="124">
        <v>530.58799999999997</v>
      </c>
      <c r="F132" s="124">
        <v>103.139</v>
      </c>
      <c r="G132" s="124">
        <v>95</v>
      </c>
      <c r="H132" s="124">
        <v>101.2727</v>
      </c>
      <c r="I132" s="124">
        <v>93</v>
      </c>
      <c r="J132" s="134">
        <v>16805922</v>
      </c>
      <c r="K132" s="134">
        <v>19691975</v>
      </c>
      <c r="L132" s="124">
        <v>927.96</v>
      </c>
      <c r="M132" s="134">
        <v>23615</v>
      </c>
      <c r="N132" s="135">
        <v>61.846800000000002</v>
      </c>
      <c r="O132" s="135">
        <v>58.836199999999998</v>
      </c>
      <c r="P132" s="135">
        <v>58.286000000000001</v>
      </c>
      <c r="Q132" s="135">
        <v>61.785899999999998</v>
      </c>
      <c r="R132" s="137">
        <v>1.1499999999999999</v>
      </c>
      <c r="S132" s="120">
        <v>38081</v>
      </c>
      <c r="T132" s="120">
        <v>345604</v>
      </c>
      <c r="U132" s="120">
        <v>0</v>
      </c>
      <c r="V132" s="114">
        <f t="shared" si="4"/>
        <v>345604</v>
      </c>
      <c r="W132" s="114">
        <f t="shared" si="5"/>
        <v>383685</v>
      </c>
    </row>
    <row r="133" spans="1:23">
      <c r="A133" s="122" t="s">
        <v>534</v>
      </c>
      <c r="B133" s="124">
        <v>1099.797</v>
      </c>
      <c r="C133" s="124">
        <v>1085.75</v>
      </c>
      <c r="D133" s="124">
        <v>1085.7</v>
      </c>
      <c r="E133" s="124">
        <v>1078.4369999999999</v>
      </c>
      <c r="F133" s="124">
        <v>209.21530000000001</v>
      </c>
      <c r="G133" s="124">
        <v>208.45490000000001</v>
      </c>
      <c r="H133" s="124">
        <v>198.46019999999999</v>
      </c>
      <c r="I133" s="124">
        <v>179.37690000000001</v>
      </c>
      <c r="J133" s="134">
        <v>38647501</v>
      </c>
      <c r="K133" s="134">
        <v>45455264</v>
      </c>
      <c r="L133" s="124">
        <v>1748.9839999999999</v>
      </c>
      <c r="M133" s="114">
        <v>0</v>
      </c>
      <c r="N133" s="135">
        <v>128.32429999999999</v>
      </c>
      <c r="O133" s="135">
        <v>123.1191</v>
      </c>
      <c r="P133" s="135">
        <v>110.7389</v>
      </c>
      <c r="Q133" s="135">
        <v>98.124899999999997</v>
      </c>
      <c r="R133" s="137">
        <v>1.1499999999999999</v>
      </c>
      <c r="S133" s="120">
        <v>67109</v>
      </c>
      <c r="T133" s="120">
        <v>614148</v>
      </c>
      <c r="U133" s="120">
        <v>0</v>
      </c>
      <c r="V133" s="114">
        <f t="shared" ref="V133:V196" si="6">T133+U133</f>
        <v>614148</v>
      </c>
      <c r="W133" s="114">
        <f t="shared" ref="W133:W196" si="7">V133+S133</f>
        <v>681257</v>
      </c>
    </row>
    <row r="134" spans="1:23">
      <c r="A134" s="122" t="s">
        <v>2673</v>
      </c>
      <c r="B134" s="124">
        <v>2082.2370000000001</v>
      </c>
      <c r="C134" s="124">
        <v>2136.018</v>
      </c>
      <c r="D134" s="124">
        <v>2071.5100000000002</v>
      </c>
      <c r="E134" s="124">
        <v>1998.604</v>
      </c>
      <c r="F134" s="124">
        <v>422.20600000000002</v>
      </c>
      <c r="G134" s="124">
        <v>421.37909999999999</v>
      </c>
      <c r="H134" s="124">
        <v>418.67039999999997</v>
      </c>
      <c r="I134" s="124">
        <v>400.22829999999999</v>
      </c>
      <c r="J134" s="47">
        <v>0</v>
      </c>
      <c r="K134" s="47">
        <v>0</v>
      </c>
      <c r="L134" s="124">
        <v>0</v>
      </c>
      <c r="M134" s="134">
        <v>0</v>
      </c>
      <c r="N134" s="135">
        <v>242.524</v>
      </c>
      <c r="O134" s="135">
        <v>227.8895</v>
      </c>
      <c r="P134" s="135">
        <v>231.2064</v>
      </c>
      <c r="Q134" s="135">
        <v>218.52080000000001</v>
      </c>
      <c r="R134" s="137">
        <v>1.1200000000000001</v>
      </c>
      <c r="S134" s="120">
        <v>0</v>
      </c>
      <c r="T134" s="120">
        <v>9682963</v>
      </c>
      <c r="U134" s="120">
        <v>0</v>
      </c>
      <c r="V134" s="114">
        <f t="shared" si="6"/>
        <v>9682963</v>
      </c>
      <c r="W134" s="114">
        <f t="shared" si="7"/>
        <v>9682963</v>
      </c>
    </row>
    <row r="135" spans="1:23">
      <c r="A135" s="122" t="s">
        <v>1050</v>
      </c>
      <c r="B135" s="124">
        <v>2064.8530000000001</v>
      </c>
      <c r="C135" s="124">
        <v>2094.8409999999999</v>
      </c>
      <c r="D135" s="124">
        <v>2066.7469999999998</v>
      </c>
      <c r="E135" s="124">
        <v>2145.0149999999999</v>
      </c>
      <c r="F135" s="124">
        <v>310.8331</v>
      </c>
      <c r="G135" s="124">
        <v>317.4085</v>
      </c>
      <c r="H135" s="124">
        <v>320.59589999999997</v>
      </c>
      <c r="I135" s="124">
        <v>349.97629999999998</v>
      </c>
      <c r="J135" s="134">
        <v>376920401</v>
      </c>
      <c r="K135" s="134">
        <v>402932971</v>
      </c>
      <c r="L135" s="124">
        <v>3128.1260000000002</v>
      </c>
      <c r="M135" s="134">
        <v>281685</v>
      </c>
      <c r="N135" s="135">
        <v>219.78819999999999</v>
      </c>
      <c r="O135" s="135">
        <v>219.7593</v>
      </c>
      <c r="P135" s="135">
        <v>206.62209999999999</v>
      </c>
      <c r="Q135" s="135">
        <v>219.57570000000001</v>
      </c>
      <c r="R135" s="137">
        <v>1.06</v>
      </c>
      <c r="S135" s="120">
        <v>320363</v>
      </c>
      <c r="T135" s="120">
        <v>5564231</v>
      </c>
      <c r="U135" s="120">
        <v>0</v>
      </c>
      <c r="V135" s="114">
        <f t="shared" si="6"/>
        <v>5564231</v>
      </c>
      <c r="W135" s="114">
        <f t="shared" si="7"/>
        <v>5884594</v>
      </c>
    </row>
    <row r="136" spans="1:23">
      <c r="A136" s="122" t="s">
        <v>1051</v>
      </c>
      <c r="B136" s="124">
        <v>171.38900000000001</v>
      </c>
      <c r="C136" s="124">
        <v>161.79599999999999</v>
      </c>
      <c r="D136" s="124">
        <v>156.91</v>
      </c>
      <c r="E136" s="124">
        <v>143.45599999999999</v>
      </c>
      <c r="F136" s="124">
        <v>29.568100000000001</v>
      </c>
      <c r="G136" s="124">
        <v>29.9499</v>
      </c>
      <c r="H136" s="124">
        <v>30.194900000000001</v>
      </c>
      <c r="I136" s="124">
        <v>25.636800000000001</v>
      </c>
      <c r="J136" s="134">
        <v>54404993</v>
      </c>
      <c r="K136" s="134">
        <v>56693083</v>
      </c>
      <c r="L136" s="124">
        <v>237.08699999999999</v>
      </c>
      <c r="M136" s="134">
        <v>61941</v>
      </c>
      <c r="N136" s="135">
        <v>20.415500000000002</v>
      </c>
      <c r="O136" s="135">
        <v>20.4986</v>
      </c>
      <c r="P136" s="135">
        <v>22.283100000000001</v>
      </c>
      <c r="Q136" s="135">
        <v>18.155899999999999</v>
      </c>
      <c r="R136" s="137">
        <v>1.06</v>
      </c>
      <c r="S136" s="120">
        <v>53430</v>
      </c>
      <c r="T136" s="120">
        <v>800366</v>
      </c>
      <c r="U136" s="120">
        <v>0</v>
      </c>
      <c r="V136" s="114">
        <f t="shared" si="6"/>
        <v>800366</v>
      </c>
      <c r="W136" s="114">
        <f t="shared" si="7"/>
        <v>853796</v>
      </c>
    </row>
    <row r="137" spans="1:23">
      <c r="A137" s="122" t="s">
        <v>879</v>
      </c>
      <c r="B137" s="124">
        <v>701.90700000000004</v>
      </c>
      <c r="C137" s="124">
        <v>671.04200000000003</v>
      </c>
      <c r="D137" s="124">
        <v>673.16200000000003</v>
      </c>
      <c r="E137" s="124">
        <v>665.96199999999999</v>
      </c>
      <c r="F137" s="124">
        <v>113.32389999999999</v>
      </c>
      <c r="G137" s="124">
        <v>112.5325</v>
      </c>
      <c r="H137" s="124">
        <v>116.00449999999999</v>
      </c>
      <c r="I137" s="124">
        <v>117.91970000000001</v>
      </c>
      <c r="J137" s="134">
        <v>282058152</v>
      </c>
      <c r="K137" s="134">
        <v>290774102</v>
      </c>
      <c r="L137" s="124">
        <v>1187.394</v>
      </c>
      <c r="M137" s="114">
        <v>0</v>
      </c>
      <c r="N137" s="135">
        <v>77.059299999999993</v>
      </c>
      <c r="O137" s="135">
        <v>74.500600000000006</v>
      </c>
      <c r="P137" s="135">
        <v>77.421300000000002</v>
      </c>
      <c r="Q137" s="135">
        <v>81.190899999999999</v>
      </c>
      <c r="R137" s="137">
        <v>1.07</v>
      </c>
      <c r="S137" s="120">
        <v>0</v>
      </c>
      <c r="T137" s="120">
        <v>4230286</v>
      </c>
      <c r="U137" s="120">
        <v>0</v>
      </c>
      <c r="V137" s="114">
        <f t="shared" si="6"/>
        <v>4230286</v>
      </c>
      <c r="W137" s="114">
        <f t="shared" si="7"/>
        <v>4230286</v>
      </c>
    </row>
    <row r="138" spans="1:23">
      <c r="A138" s="122" t="s">
        <v>2050</v>
      </c>
      <c r="B138" s="124">
        <v>415.26299999999998</v>
      </c>
      <c r="C138" s="124">
        <v>388.70499999999998</v>
      </c>
      <c r="D138" s="124">
        <v>386.7</v>
      </c>
      <c r="E138" s="124">
        <v>375.988</v>
      </c>
      <c r="F138" s="124">
        <v>87.15</v>
      </c>
      <c r="G138" s="124">
        <v>77.573599999999999</v>
      </c>
      <c r="H138" s="124">
        <v>69.330200000000005</v>
      </c>
      <c r="I138" s="124">
        <v>69.269800000000004</v>
      </c>
      <c r="J138" s="134">
        <v>201062326</v>
      </c>
      <c r="K138" s="134">
        <v>206111916</v>
      </c>
      <c r="L138" s="124">
        <v>625.495</v>
      </c>
      <c r="M138" s="114">
        <v>0</v>
      </c>
      <c r="N138" s="135">
        <v>54.880600000000001</v>
      </c>
      <c r="O138" s="135">
        <v>49.211199999999998</v>
      </c>
      <c r="P138" s="135">
        <v>43.470799999999997</v>
      </c>
      <c r="Q138" s="135">
        <v>44.494100000000003</v>
      </c>
      <c r="R138" s="137">
        <v>1.06</v>
      </c>
      <c r="S138" s="120">
        <v>0</v>
      </c>
      <c r="T138" s="120">
        <v>4192374</v>
      </c>
      <c r="U138" s="120">
        <v>0</v>
      </c>
      <c r="V138" s="114">
        <f t="shared" si="6"/>
        <v>4192374</v>
      </c>
      <c r="W138" s="114">
        <f t="shared" si="7"/>
        <v>4192374</v>
      </c>
    </row>
    <row r="139" spans="1:23">
      <c r="A139" s="122" t="s">
        <v>1941</v>
      </c>
      <c r="B139" s="124">
        <v>1825.0450000000001</v>
      </c>
      <c r="C139" s="124">
        <v>1755.434</v>
      </c>
      <c r="D139" s="124">
        <v>1793.663</v>
      </c>
      <c r="E139" s="124">
        <v>1808.4749999999999</v>
      </c>
      <c r="F139" s="124">
        <v>296.5016</v>
      </c>
      <c r="G139" s="124">
        <v>293.90769999999998</v>
      </c>
      <c r="H139" s="124">
        <v>302.471</v>
      </c>
      <c r="I139" s="124">
        <v>302.44580000000002</v>
      </c>
      <c r="J139" s="134">
        <v>294573128</v>
      </c>
      <c r="K139" s="134">
        <v>322127998</v>
      </c>
      <c r="L139" s="124">
        <v>2632.2759999999998</v>
      </c>
      <c r="M139" s="134">
        <v>142395</v>
      </c>
      <c r="N139" s="135">
        <v>190.91159999999999</v>
      </c>
      <c r="O139" s="135">
        <v>193.6019</v>
      </c>
      <c r="P139" s="135">
        <v>192.04079999999999</v>
      </c>
      <c r="Q139" s="135">
        <v>195.3837</v>
      </c>
      <c r="R139" s="137">
        <v>1.05</v>
      </c>
      <c r="S139" s="120">
        <v>154653</v>
      </c>
      <c r="T139" s="120">
        <v>4150631</v>
      </c>
      <c r="U139" s="120">
        <v>0</v>
      </c>
      <c r="V139" s="114">
        <f t="shared" si="6"/>
        <v>4150631</v>
      </c>
      <c r="W139" s="114">
        <f t="shared" si="7"/>
        <v>4305284</v>
      </c>
    </row>
    <row r="140" spans="1:23">
      <c r="A140" s="122" t="s">
        <v>1942</v>
      </c>
      <c r="B140" s="124">
        <v>179.67099999999999</v>
      </c>
      <c r="C140" s="124">
        <v>169.577</v>
      </c>
      <c r="D140" s="124">
        <v>168.827</v>
      </c>
      <c r="E140" s="124">
        <v>172.483</v>
      </c>
      <c r="F140" s="124">
        <v>34.902900000000002</v>
      </c>
      <c r="G140" s="124">
        <v>37.810200000000002</v>
      </c>
      <c r="H140" s="124">
        <v>39.629100000000001</v>
      </c>
      <c r="I140" s="124">
        <v>33.629100000000001</v>
      </c>
      <c r="J140" s="134">
        <v>31009400</v>
      </c>
      <c r="K140" s="134">
        <v>34188060</v>
      </c>
      <c r="L140" s="124">
        <v>322.82799999999997</v>
      </c>
      <c r="M140" s="114">
        <v>0</v>
      </c>
      <c r="N140" s="135">
        <v>24.646699999999999</v>
      </c>
      <c r="O140" s="135">
        <v>27.001200000000001</v>
      </c>
      <c r="P140" s="135">
        <v>27.5288</v>
      </c>
      <c r="Q140" s="135">
        <v>22.5291</v>
      </c>
      <c r="R140" s="137">
        <v>1.04</v>
      </c>
      <c r="S140" s="120">
        <v>2030</v>
      </c>
      <c r="T140" s="120">
        <v>441951</v>
      </c>
      <c r="U140" s="120">
        <v>0</v>
      </c>
      <c r="V140" s="114">
        <f t="shared" si="6"/>
        <v>441951</v>
      </c>
      <c r="W140" s="114">
        <f t="shared" si="7"/>
        <v>443981</v>
      </c>
    </row>
    <row r="141" spans="1:23">
      <c r="A141" s="122" t="s">
        <v>842</v>
      </c>
      <c r="B141" s="124">
        <v>913.98099999999999</v>
      </c>
      <c r="C141" s="124">
        <v>898.45500000000004</v>
      </c>
      <c r="D141" s="124">
        <v>900.39599999999996</v>
      </c>
      <c r="E141" s="124">
        <v>897.76800000000003</v>
      </c>
      <c r="F141" s="124">
        <v>153.47989999999999</v>
      </c>
      <c r="G141" s="124">
        <v>121.96259999999999</v>
      </c>
      <c r="H141" s="124">
        <v>117.67910000000001</v>
      </c>
      <c r="I141" s="124">
        <v>110.5</v>
      </c>
      <c r="J141" s="134">
        <v>158738722</v>
      </c>
      <c r="K141" s="134">
        <v>170028607</v>
      </c>
      <c r="L141" s="124">
        <v>1424.4179999999999</v>
      </c>
      <c r="M141" s="134">
        <v>149000</v>
      </c>
      <c r="N141" s="135">
        <v>100.9974</v>
      </c>
      <c r="O141" s="135">
        <v>105.9984</v>
      </c>
      <c r="P141" s="135">
        <v>101.90560000000001</v>
      </c>
      <c r="Q141" s="135">
        <v>98.727599999999995</v>
      </c>
      <c r="R141" s="137">
        <v>1.04</v>
      </c>
      <c r="S141" s="120">
        <v>155609</v>
      </c>
      <c r="T141" s="120">
        <v>2165914</v>
      </c>
      <c r="U141" s="120">
        <v>0</v>
      </c>
      <c r="V141" s="114">
        <f t="shared" si="6"/>
        <v>2165914</v>
      </c>
      <c r="W141" s="114">
        <f t="shared" si="7"/>
        <v>2321523</v>
      </c>
    </row>
    <row r="142" spans="1:23">
      <c r="A142" s="122" t="s">
        <v>843</v>
      </c>
      <c r="B142" s="124">
        <v>977.55899999999997</v>
      </c>
      <c r="C142" s="124">
        <v>940.92100000000005</v>
      </c>
      <c r="D142" s="124">
        <v>912.505</v>
      </c>
      <c r="E142" s="124">
        <v>854.97799999999995</v>
      </c>
      <c r="F142" s="124">
        <v>163.66</v>
      </c>
      <c r="G142" s="124">
        <v>159.85239999999999</v>
      </c>
      <c r="H142" s="124">
        <v>158.93889999999999</v>
      </c>
      <c r="I142" s="124">
        <v>148.59889999999999</v>
      </c>
      <c r="J142" s="134">
        <v>133887296</v>
      </c>
      <c r="K142" s="134">
        <v>149908966</v>
      </c>
      <c r="L142" s="124">
        <v>1417.876</v>
      </c>
      <c r="M142" s="114">
        <v>0</v>
      </c>
      <c r="N142" s="135">
        <v>125.1258</v>
      </c>
      <c r="O142" s="135">
        <v>121.8318</v>
      </c>
      <c r="P142" s="135">
        <v>121.3347</v>
      </c>
      <c r="Q142" s="135">
        <v>110.8528</v>
      </c>
      <c r="R142" s="137">
        <v>1.05</v>
      </c>
      <c r="S142" s="120">
        <v>0</v>
      </c>
      <c r="T142" s="120">
        <v>1806048</v>
      </c>
      <c r="U142" s="120">
        <v>0</v>
      </c>
      <c r="V142" s="114">
        <f t="shared" si="6"/>
        <v>1806048</v>
      </c>
      <c r="W142" s="114">
        <f t="shared" si="7"/>
        <v>1806048</v>
      </c>
    </row>
    <row r="143" spans="1:23">
      <c r="A143" s="122" t="s">
        <v>2142</v>
      </c>
      <c r="B143" s="124">
        <v>428.46499999999997</v>
      </c>
      <c r="C143" s="124">
        <v>482.52300000000002</v>
      </c>
      <c r="D143" s="124">
        <v>493.71</v>
      </c>
      <c r="E143" s="124">
        <v>480.03399999999999</v>
      </c>
      <c r="F143" s="124">
        <v>55.270099999999999</v>
      </c>
      <c r="G143" s="124">
        <v>61.189799999999998</v>
      </c>
      <c r="H143" s="124">
        <v>67</v>
      </c>
      <c r="I143" s="124">
        <v>67.5</v>
      </c>
      <c r="J143" s="134">
        <v>17711105</v>
      </c>
      <c r="K143" s="134">
        <v>19542766</v>
      </c>
      <c r="L143" s="124">
        <v>792.88900000000001</v>
      </c>
      <c r="M143" s="114">
        <v>0</v>
      </c>
      <c r="N143" s="135">
        <v>42.357100000000003</v>
      </c>
      <c r="O143" s="135">
        <v>44.634700000000002</v>
      </c>
      <c r="P143" s="135">
        <v>49.120199999999997</v>
      </c>
      <c r="Q143" s="135">
        <v>49.499499999999998</v>
      </c>
      <c r="R143" s="137">
        <v>1.04</v>
      </c>
      <c r="S143" s="120">
        <v>0</v>
      </c>
      <c r="T143" s="120">
        <v>215857</v>
      </c>
      <c r="U143" s="120">
        <v>8561</v>
      </c>
      <c r="V143" s="114">
        <f t="shared" si="6"/>
        <v>224418</v>
      </c>
      <c r="W143" s="114">
        <f t="shared" si="7"/>
        <v>224418</v>
      </c>
    </row>
    <row r="144" spans="1:23">
      <c r="A144" s="122" t="s">
        <v>844</v>
      </c>
      <c r="B144" s="124">
        <v>1172.1410000000001</v>
      </c>
      <c r="C144" s="124">
        <v>1134.0129999999999</v>
      </c>
      <c r="D144" s="124">
        <v>1124.98</v>
      </c>
      <c r="E144" s="124">
        <v>1105.4670000000001</v>
      </c>
      <c r="F144" s="124">
        <v>230.93549999999999</v>
      </c>
      <c r="G144" s="124">
        <v>222.1293</v>
      </c>
      <c r="H144" s="124">
        <v>225.77780000000001</v>
      </c>
      <c r="I144" s="124">
        <v>226.06</v>
      </c>
      <c r="J144" s="134">
        <v>301608308</v>
      </c>
      <c r="K144" s="134">
        <v>314873328</v>
      </c>
      <c r="L144" s="124">
        <v>1751.1959999999999</v>
      </c>
      <c r="M144" s="134">
        <v>243570</v>
      </c>
      <c r="N144" s="135">
        <v>150.7525</v>
      </c>
      <c r="O144" s="135">
        <v>141.31450000000001</v>
      </c>
      <c r="P144" s="135">
        <v>146.11439999999999</v>
      </c>
      <c r="Q144" s="135">
        <v>145.3965</v>
      </c>
      <c r="R144" s="137">
        <v>1.05</v>
      </c>
      <c r="S144" s="120">
        <v>273067</v>
      </c>
      <c r="T144" s="120">
        <v>3931597</v>
      </c>
      <c r="U144" s="120">
        <v>0</v>
      </c>
      <c r="V144" s="114">
        <f t="shared" si="6"/>
        <v>3931597</v>
      </c>
      <c r="W144" s="114">
        <f t="shared" si="7"/>
        <v>4204664</v>
      </c>
    </row>
    <row r="145" spans="1:23">
      <c r="A145" s="122" t="s">
        <v>845</v>
      </c>
      <c r="B145" s="124">
        <v>43.957999999999998</v>
      </c>
      <c r="C145" s="124">
        <v>52.316000000000003</v>
      </c>
      <c r="D145" s="124">
        <v>50.735999999999997</v>
      </c>
      <c r="E145" s="124">
        <v>43.906999999999996</v>
      </c>
      <c r="F145" s="124">
        <v>14.193899999999999</v>
      </c>
      <c r="G145" s="124">
        <v>15.3291</v>
      </c>
      <c r="H145" s="124">
        <v>16.373799999999999</v>
      </c>
      <c r="I145" s="124">
        <v>16.411200000000001</v>
      </c>
      <c r="J145" s="134">
        <v>11293647</v>
      </c>
      <c r="K145" s="134">
        <v>13215127</v>
      </c>
      <c r="L145" s="124">
        <v>123.31699999999999</v>
      </c>
      <c r="M145" s="114">
        <v>0</v>
      </c>
      <c r="N145" s="135">
        <v>9.8987999999999996</v>
      </c>
      <c r="O145" s="135">
        <v>9.3939000000000004</v>
      </c>
      <c r="P145" s="135">
        <v>10.388500000000001</v>
      </c>
      <c r="Q145" s="135">
        <v>10.426600000000001</v>
      </c>
      <c r="R145" s="137">
        <v>1.0900000000000001</v>
      </c>
      <c r="S145" s="120">
        <v>0</v>
      </c>
      <c r="T145" s="120">
        <v>152167</v>
      </c>
      <c r="U145" s="120">
        <v>0</v>
      </c>
      <c r="V145" s="114">
        <f t="shared" si="6"/>
        <v>152167</v>
      </c>
      <c r="W145" s="114">
        <f t="shared" si="7"/>
        <v>152167</v>
      </c>
    </row>
    <row r="146" spans="1:23">
      <c r="A146" s="122" t="s">
        <v>2226</v>
      </c>
      <c r="B146" s="124">
        <v>217.73500000000001</v>
      </c>
      <c r="C146" s="124">
        <v>219.74600000000001</v>
      </c>
      <c r="D146" s="124">
        <v>234.27</v>
      </c>
      <c r="E146" s="124">
        <v>245.32</v>
      </c>
      <c r="F146" s="124">
        <v>39.964100000000002</v>
      </c>
      <c r="G146" s="124">
        <v>40.3904</v>
      </c>
      <c r="H146" s="124">
        <v>41.835700000000003</v>
      </c>
      <c r="I146" s="124">
        <v>41.014899999999997</v>
      </c>
      <c r="J146" s="134">
        <v>21733008</v>
      </c>
      <c r="K146" s="134">
        <v>24788098</v>
      </c>
      <c r="L146" s="124">
        <v>456.06700000000001</v>
      </c>
      <c r="M146" s="114">
        <v>0</v>
      </c>
      <c r="N146" s="135">
        <v>26.107199999999999</v>
      </c>
      <c r="O146" s="135">
        <v>26.6995</v>
      </c>
      <c r="P146" s="135">
        <v>26.824000000000002</v>
      </c>
      <c r="Q146" s="135">
        <v>26.106100000000001</v>
      </c>
      <c r="R146" s="137">
        <v>1.04</v>
      </c>
      <c r="S146" s="120">
        <v>0</v>
      </c>
      <c r="T146" s="120">
        <v>302466</v>
      </c>
      <c r="U146" s="120">
        <v>0</v>
      </c>
      <c r="V146" s="114">
        <f t="shared" si="6"/>
        <v>302466</v>
      </c>
      <c r="W146" s="114">
        <f t="shared" si="7"/>
        <v>302466</v>
      </c>
    </row>
    <row r="147" spans="1:23">
      <c r="A147" s="122" t="s">
        <v>2227</v>
      </c>
      <c r="B147" s="124">
        <v>1298.0039999999999</v>
      </c>
      <c r="C147" s="124">
        <v>1230.683</v>
      </c>
      <c r="D147" s="124">
        <v>1193.5160000000001</v>
      </c>
      <c r="E147" s="124">
        <v>1148.373</v>
      </c>
      <c r="F147" s="124">
        <v>225.62090000000001</v>
      </c>
      <c r="G147" s="124">
        <v>223.21440000000001</v>
      </c>
      <c r="H147" s="124">
        <v>220.06659999999999</v>
      </c>
      <c r="I147" s="124">
        <v>208.54349999999999</v>
      </c>
      <c r="J147" s="134">
        <v>199117502</v>
      </c>
      <c r="K147" s="134">
        <v>209235382</v>
      </c>
      <c r="L147" s="124">
        <v>1865.75</v>
      </c>
      <c r="M147" s="114">
        <v>0</v>
      </c>
      <c r="N147" s="135">
        <v>155.7912</v>
      </c>
      <c r="O147" s="135">
        <v>153.4674</v>
      </c>
      <c r="P147" s="135">
        <v>152.30170000000001</v>
      </c>
      <c r="Q147" s="135">
        <v>146.91030000000001</v>
      </c>
      <c r="R147" s="137">
        <v>1.08</v>
      </c>
      <c r="S147" s="120">
        <v>0</v>
      </c>
      <c r="T147" s="120">
        <v>3037227</v>
      </c>
      <c r="U147" s="120">
        <v>0</v>
      </c>
      <c r="V147" s="114">
        <f t="shared" si="6"/>
        <v>3037227</v>
      </c>
      <c r="W147" s="114">
        <f t="shared" si="7"/>
        <v>3037227</v>
      </c>
    </row>
    <row r="148" spans="1:23">
      <c r="A148" s="122" t="s">
        <v>2788</v>
      </c>
      <c r="B148" s="124">
        <v>396.51799999999997</v>
      </c>
      <c r="C148" s="124">
        <v>354.21600000000001</v>
      </c>
      <c r="D148" s="124">
        <v>343.51900000000001</v>
      </c>
      <c r="E148" s="124">
        <v>339.58600000000001</v>
      </c>
      <c r="F148" s="124">
        <v>83.584699999999998</v>
      </c>
      <c r="G148" s="124">
        <v>82.626099999999994</v>
      </c>
      <c r="H148" s="124">
        <v>73.687799999999996</v>
      </c>
      <c r="I148" s="124">
        <v>69.130099999999999</v>
      </c>
      <c r="J148" s="134">
        <v>47329470</v>
      </c>
      <c r="K148" s="134">
        <v>49814950</v>
      </c>
      <c r="L148" s="124">
        <v>592.66399999999999</v>
      </c>
      <c r="M148" s="114">
        <v>0</v>
      </c>
      <c r="N148" s="135">
        <v>58.989800000000002</v>
      </c>
      <c r="O148" s="135">
        <v>58.390300000000003</v>
      </c>
      <c r="P148" s="135">
        <v>51.520400000000002</v>
      </c>
      <c r="Q148" s="135">
        <v>46.749099999999999</v>
      </c>
      <c r="R148" s="137">
        <v>1.0900000000000001</v>
      </c>
      <c r="S148" s="120">
        <v>0</v>
      </c>
      <c r="T148" s="120">
        <v>775327</v>
      </c>
      <c r="U148" s="120">
        <v>0</v>
      </c>
      <c r="V148" s="114">
        <f t="shared" si="6"/>
        <v>775327</v>
      </c>
      <c r="W148" s="114">
        <f t="shared" si="7"/>
        <v>775327</v>
      </c>
    </row>
    <row r="149" spans="1:23">
      <c r="A149" s="122" t="s">
        <v>2904</v>
      </c>
      <c r="B149" s="124">
        <v>220.18199999999999</v>
      </c>
      <c r="C149" s="124">
        <v>224.17699999999999</v>
      </c>
      <c r="D149" s="124">
        <v>221.62700000000001</v>
      </c>
      <c r="E149" s="124">
        <v>219.58199999999999</v>
      </c>
      <c r="F149" s="124">
        <v>39.981299999999997</v>
      </c>
      <c r="G149" s="124">
        <v>38.943899999999999</v>
      </c>
      <c r="H149" s="124">
        <v>37.330300000000001</v>
      </c>
      <c r="I149" s="124">
        <v>34.942500000000003</v>
      </c>
      <c r="J149" s="134">
        <v>19199440</v>
      </c>
      <c r="K149" s="134">
        <v>20846090</v>
      </c>
      <c r="L149" s="124">
        <v>333.16699999999997</v>
      </c>
      <c r="M149" s="114">
        <v>234</v>
      </c>
      <c r="N149" s="135">
        <v>24.307400000000001</v>
      </c>
      <c r="O149" s="135">
        <v>23.289000000000001</v>
      </c>
      <c r="P149" s="135">
        <v>22.1782</v>
      </c>
      <c r="Q149" s="135">
        <v>20.693300000000001</v>
      </c>
      <c r="R149" s="137">
        <v>1.05</v>
      </c>
      <c r="S149" s="120">
        <v>14391</v>
      </c>
      <c r="T149" s="120">
        <v>316982</v>
      </c>
      <c r="U149" s="120">
        <v>0</v>
      </c>
      <c r="V149" s="114">
        <f t="shared" si="6"/>
        <v>316982</v>
      </c>
      <c r="W149" s="114">
        <f t="shared" si="7"/>
        <v>331373</v>
      </c>
    </row>
    <row r="150" spans="1:23">
      <c r="A150" s="122" t="s">
        <v>1840</v>
      </c>
      <c r="B150" s="124">
        <v>1326.9369999999999</v>
      </c>
      <c r="C150" s="124">
        <v>1328.999</v>
      </c>
      <c r="D150" s="124">
        <v>1329.1780000000001</v>
      </c>
      <c r="E150" s="124">
        <v>1339.816</v>
      </c>
      <c r="F150" s="124">
        <v>230.06559999999999</v>
      </c>
      <c r="G150" s="124">
        <v>196.05529999999999</v>
      </c>
      <c r="H150" s="124">
        <v>189.41579999999999</v>
      </c>
      <c r="I150" s="124">
        <v>186.91409999999999</v>
      </c>
      <c r="J150" s="134">
        <v>248636590</v>
      </c>
      <c r="K150" s="134">
        <v>264750440</v>
      </c>
      <c r="L150" s="124">
        <v>2009.78</v>
      </c>
      <c r="M150" s="134">
        <v>99983</v>
      </c>
      <c r="N150" s="135">
        <v>152.33109999999999</v>
      </c>
      <c r="O150" s="135">
        <v>132.101</v>
      </c>
      <c r="P150" s="135">
        <v>124.24979999999999</v>
      </c>
      <c r="Q150" s="135">
        <v>122.63939999999999</v>
      </c>
      <c r="R150" s="137">
        <v>1.1200000000000001</v>
      </c>
      <c r="S150" s="120">
        <v>284488</v>
      </c>
      <c r="T150" s="120">
        <v>3810552</v>
      </c>
      <c r="U150" s="120">
        <v>0</v>
      </c>
      <c r="V150" s="114">
        <f t="shared" si="6"/>
        <v>3810552</v>
      </c>
      <c r="W150" s="114">
        <f t="shared" si="7"/>
        <v>4095040</v>
      </c>
    </row>
    <row r="151" spans="1:23">
      <c r="A151" s="122" t="s">
        <v>2789</v>
      </c>
      <c r="B151" s="124">
        <v>2424.7660000000001</v>
      </c>
      <c r="C151" s="124">
        <v>2571.3530000000001</v>
      </c>
      <c r="D151" s="124">
        <v>2679.1759999999999</v>
      </c>
      <c r="E151" s="124">
        <v>2798.7730000000001</v>
      </c>
      <c r="F151" s="124">
        <v>351.13749999999999</v>
      </c>
      <c r="G151" s="124">
        <v>361.52289999999999</v>
      </c>
      <c r="H151" s="124">
        <v>414.95600000000002</v>
      </c>
      <c r="I151" s="124">
        <v>420.39940000000001</v>
      </c>
      <c r="J151" s="134">
        <v>1896290498</v>
      </c>
      <c r="K151" s="134">
        <v>1916469533</v>
      </c>
      <c r="L151" s="124">
        <v>3276.212</v>
      </c>
      <c r="M151" s="134">
        <v>3775556</v>
      </c>
      <c r="N151" s="135">
        <v>214.49459999999999</v>
      </c>
      <c r="O151" s="135">
        <v>221.00739999999999</v>
      </c>
      <c r="P151" s="135">
        <v>238.88339999999999</v>
      </c>
      <c r="Q151" s="135">
        <v>243.31030000000001</v>
      </c>
      <c r="R151" s="137">
        <v>1.1200000000000001</v>
      </c>
      <c r="S151" s="120">
        <v>3366198</v>
      </c>
      <c r="T151" s="120">
        <v>25361382</v>
      </c>
      <c r="U151" s="120">
        <v>0</v>
      </c>
      <c r="V151" s="114">
        <f t="shared" si="6"/>
        <v>25361382</v>
      </c>
      <c r="W151" s="114">
        <f t="shared" si="7"/>
        <v>28727580</v>
      </c>
    </row>
    <row r="152" spans="1:23">
      <c r="A152" s="122" t="s">
        <v>316</v>
      </c>
      <c r="B152" s="124">
        <v>1046.6600000000001</v>
      </c>
      <c r="C152" s="124">
        <v>1055.277</v>
      </c>
      <c r="D152" s="124">
        <v>1083.1320000000001</v>
      </c>
      <c r="E152" s="124">
        <v>1095.547</v>
      </c>
      <c r="F152" s="124">
        <v>141.61510000000001</v>
      </c>
      <c r="G152" s="124">
        <v>139.96260000000001</v>
      </c>
      <c r="H152" s="124">
        <v>140.92519999999999</v>
      </c>
      <c r="I152" s="124">
        <v>150.92519999999999</v>
      </c>
      <c r="J152" s="134">
        <v>163534632</v>
      </c>
      <c r="K152" s="134">
        <v>176106362</v>
      </c>
      <c r="L152" s="124">
        <v>1646.4480000000001</v>
      </c>
      <c r="M152" s="114">
        <v>0</v>
      </c>
      <c r="N152" s="135">
        <v>79.999799999999993</v>
      </c>
      <c r="O152" s="135">
        <v>91.963099999999997</v>
      </c>
      <c r="P152" s="135">
        <v>86.597399999999993</v>
      </c>
      <c r="Q152" s="135">
        <v>95.001800000000003</v>
      </c>
      <c r="R152" s="137">
        <v>1.1100000000000001</v>
      </c>
      <c r="S152" s="120">
        <v>0</v>
      </c>
      <c r="T152" s="120">
        <v>2709693</v>
      </c>
      <c r="U152" s="120">
        <v>0</v>
      </c>
      <c r="V152" s="114">
        <f t="shared" si="6"/>
        <v>2709693</v>
      </c>
      <c r="W152" s="114">
        <f t="shared" si="7"/>
        <v>2709693</v>
      </c>
    </row>
    <row r="153" spans="1:23">
      <c r="A153" s="122" t="s">
        <v>1658</v>
      </c>
      <c r="B153" s="124">
        <v>611.25900000000001</v>
      </c>
      <c r="C153" s="124">
        <v>603.95500000000004</v>
      </c>
      <c r="D153" s="124">
        <v>602.37699999999995</v>
      </c>
      <c r="E153" s="124">
        <v>619.39599999999996</v>
      </c>
      <c r="F153" s="124">
        <v>102.3503</v>
      </c>
      <c r="G153" s="124">
        <v>107.5</v>
      </c>
      <c r="H153" s="124">
        <v>111</v>
      </c>
      <c r="I153" s="124">
        <v>116.8182</v>
      </c>
      <c r="J153" s="134">
        <v>112391716</v>
      </c>
      <c r="K153" s="134">
        <v>119782168</v>
      </c>
      <c r="L153" s="124">
        <v>1029.4390000000001</v>
      </c>
      <c r="M153" s="134">
        <v>59003</v>
      </c>
      <c r="N153" s="135">
        <v>73.867900000000006</v>
      </c>
      <c r="O153" s="135">
        <v>79.002200000000002</v>
      </c>
      <c r="P153" s="135">
        <v>85.121399999999994</v>
      </c>
      <c r="Q153" s="135">
        <v>84.123099999999994</v>
      </c>
      <c r="R153" s="137">
        <v>1.05</v>
      </c>
      <c r="S153" s="120">
        <v>62099</v>
      </c>
      <c r="T153" s="120">
        <v>1584858</v>
      </c>
      <c r="U153" s="120">
        <v>0</v>
      </c>
      <c r="V153" s="114">
        <f t="shared" si="6"/>
        <v>1584858</v>
      </c>
      <c r="W153" s="114">
        <f t="shared" si="7"/>
        <v>1646957</v>
      </c>
    </row>
    <row r="154" spans="1:23">
      <c r="A154" s="122" t="s">
        <v>50</v>
      </c>
      <c r="B154" s="124">
        <v>4222.5640000000003</v>
      </c>
      <c r="C154" s="124">
        <v>4276.8999999999996</v>
      </c>
      <c r="D154" s="124">
        <v>4277.9939999999997</v>
      </c>
      <c r="E154" s="124">
        <v>4366.1540000000005</v>
      </c>
      <c r="F154" s="124">
        <v>659.04660000000001</v>
      </c>
      <c r="G154" s="124">
        <v>652.42520000000002</v>
      </c>
      <c r="H154" s="124">
        <v>735.73910000000001</v>
      </c>
      <c r="I154" s="124">
        <v>753.29309999999998</v>
      </c>
      <c r="J154" s="134">
        <v>568546354</v>
      </c>
      <c r="K154" s="134">
        <v>615848423</v>
      </c>
      <c r="L154" s="124">
        <v>5923.0039999999999</v>
      </c>
      <c r="M154" s="134">
        <v>233858</v>
      </c>
      <c r="N154" s="135">
        <v>441.38440000000003</v>
      </c>
      <c r="O154" s="135">
        <v>441.10289999999998</v>
      </c>
      <c r="P154" s="135">
        <v>455.84710000000001</v>
      </c>
      <c r="Q154" s="135">
        <v>472.40039999999999</v>
      </c>
      <c r="R154" s="137">
        <v>1.06</v>
      </c>
      <c r="S154" s="120">
        <v>596554</v>
      </c>
      <c r="T154" s="120">
        <v>8243095</v>
      </c>
      <c r="U154" s="120">
        <v>0</v>
      </c>
      <c r="V154" s="114">
        <f t="shared" si="6"/>
        <v>8243095</v>
      </c>
      <c r="W154" s="114">
        <f t="shared" si="7"/>
        <v>8839649</v>
      </c>
    </row>
    <row r="155" spans="1:23">
      <c r="A155" s="122" t="s">
        <v>1486</v>
      </c>
      <c r="B155" s="124">
        <v>1849.306</v>
      </c>
      <c r="C155" s="124">
        <v>1786.9169999999999</v>
      </c>
      <c r="D155" s="124">
        <v>1818.0519999999999</v>
      </c>
      <c r="E155" s="124">
        <v>1782.874</v>
      </c>
      <c r="F155" s="124">
        <v>254.49369999999999</v>
      </c>
      <c r="G155" s="124">
        <v>264.45119999999997</v>
      </c>
      <c r="H155" s="124">
        <v>268.9581</v>
      </c>
      <c r="I155" s="124">
        <v>277.81639999999999</v>
      </c>
      <c r="J155" s="134">
        <v>223647885</v>
      </c>
      <c r="K155" s="134">
        <v>245284917</v>
      </c>
      <c r="L155" s="124">
        <v>2520.1190000000001</v>
      </c>
      <c r="M155" s="134">
        <v>156912</v>
      </c>
      <c r="N155" s="135">
        <v>177.49719999999999</v>
      </c>
      <c r="O155" s="135">
        <v>183.51519999999999</v>
      </c>
      <c r="P155" s="135">
        <v>187.01660000000001</v>
      </c>
      <c r="Q155" s="135">
        <v>193.02789999999999</v>
      </c>
      <c r="R155" s="137">
        <v>1.05</v>
      </c>
      <c r="S155" s="120">
        <v>301152</v>
      </c>
      <c r="T155" s="120">
        <v>3316127</v>
      </c>
      <c r="U155" s="120">
        <v>0</v>
      </c>
      <c r="V155" s="114">
        <f t="shared" si="6"/>
        <v>3316127</v>
      </c>
      <c r="W155" s="114">
        <f t="shared" si="7"/>
        <v>3617279</v>
      </c>
    </row>
    <row r="156" spans="1:23">
      <c r="A156" s="122" t="s">
        <v>2907</v>
      </c>
      <c r="B156" s="124">
        <v>359.64299999999997</v>
      </c>
      <c r="C156" s="124">
        <v>345.01600000000002</v>
      </c>
      <c r="D156" s="124">
        <v>343.89499999999998</v>
      </c>
      <c r="E156" s="124">
        <v>374.86700000000002</v>
      </c>
      <c r="F156" s="124">
        <v>56</v>
      </c>
      <c r="G156" s="124">
        <v>59.481299999999997</v>
      </c>
      <c r="H156" s="124">
        <v>62.866300000000003</v>
      </c>
      <c r="I156" s="124">
        <v>62.866300000000003</v>
      </c>
      <c r="J156" s="134">
        <v>26995897</v>
      </c>
      <c r="K156" s="134">
        <v>29932701</v>
      </c>
      <c r="L156" s="124">
        <v>658.827</v>
      </c>
      <c r="M156" s="134">
        <v>18513</v>
      </c>
      <c r="N156" s="135">
        <v>41.002099999999999</v>
      </c>
      <c r="O156" s="135">
        <v>42.002299999999998</v>
      </c>
      <c r="P156" s="135">
        <v>42.937100000000001</v>
      </c>
      <c r="Q156" s="135">
        <v>42.937100000000001</v>
      </c>
      <c r="R156" s="137">
        <v>1.04</v>
      </c>
      <c r="S156" s="120">
        <v>72971</v>
      </c>
      <c r="T156" s="120">
        <v>299117</v>
      </c>
      <c r="U156" s="120">
        <v>38637</v>
      </c>
      <c r="V156" s="114">
        <f t="shared" si="6"/>
        <v>337754</v>
      </c>
      <c r="W156" s="114">
        <f t="shared" si="7"/>
        <v>410725</v>
      </c>
    </row>
    <row r="157" spans="1:23">
      <c r="A157" s="122" t="s">
        <v>1659</v>
      </c>
      <c r="B157" s="124">
        <v>293.36599999999999</v>
      </c>
      <c r="C157" s="124">
        <v>304.14999999999998</v>
      </c>
      <c r="D157" s="124">
        <v>294.96499999999997</v>
      </c>
      <c r="E157" s="124">
        <v>282.01900000000001</v>
      </c>
      <c r="F157" s="124">
        <v>43</v>
      </c>
      <c r="G157" s="124">
        <v>46</v>
      </c>
      <c r="H157" s="124">
        <v>49</v>
      </c>
      <c r="I157" s="124">
        <v>53.048200000000001</v>
      </c>
      <c r="J157" s="134">
        <v>32271911</v>
      </c>
      <c r="K157" s="134">
        <v>35827177</v>
      </c>
      <c r="L157" s="124">
        <v>483.548</v>
      </c>
      <c r="M157" s="114">
        <v>0</v>
      </c>
      <c r="N157" s="135">
        <v>29.999700000000001</v>
      </c>
      <c r="O157" s="135">
        <v>33.118699999999997</v>
      </c>
      <c r="P157" s="135">
        <v>36.0002</v>
      </c>
      <c r="Q157" s="135">
        <v>35.979799999999997</v>
      </c>
      <c r="R157" s="137">
        <v>1.03</v>
      </c>
      <c r="S157" s="120">
        <v>238</v>
      </c>
      <c r="T157" s="120">
        <v>445756</v>
      </c>
      <c r="U157" s="120">
        <v>0</v>
      </c>
      <c r="V157" s="114">
        <f t="shared" si="6"/>
        <v>445756</v>
      </c>
      <c r="W157" s="114">
        <f t="shared" si="7"/>
        <v>445994</v>
      </c>
    </row>
    <row r="158" spans="1:23">
      <c r="A158" s="122" t="s">
        <v>84</v>
      </c>
      <c r="B158" s="124">
        <v>1130.92</v>
      </c>
      <c r="C158" s="124">
        <v>1142.431</v>
      </c>
      <c r="D158" s="124">
        <v>1119.6130000000001</v>
      </c>
      <c r="E158" s="124">
        <v>1088.8710000000001</v>
      </c>
      <c r="F158" s="124">
        <v>218.0361</v>
      </c>
      <c r="G158" s="124">
        <v>216.26669999999999</v>
      </c>
      <c r="H158" s="124">
        <v>213.02099999999999</v>
      </c>
      <c r="I158" s="124">
        <v>209.47030000000001</v>
      </c>
      <c r="J158" s="134">
        <v>137499555</v>
      </c>
      <c r="K158" s="134">
        <v>152319075</v>
      </c>
      <c r="L158" s="124">
        <v>1815.021</v>
      </c>
      <c r="M158" s="114">
        <v>0</v>
      </c>
      <c r="N158" s="135">
        <v>151.6337</v>
      </c>
      <c r="O158" s="135">
        <v>148.05600000000001</v>
      </c>
      <c r="P158" s="135">
        <v>145.54480000000001</v>
      </c>
      <c r="Q158" s="135">
        <v>143.69300000000001</v>
      </c>
      <c r="R158" s="137">
        <v>1.04</v>
      </c>
      <c r="S158" s="120">
        <v>136761</v>
      </c>
      <c r="T158" s="120">
        <v>1983627</v>
      </c>
      <c r="U158" s="120">
        <v>0</v>
      </c>
      <c r="V158" s="114">
        <f t="shared" si="6"/>
        <v>1983627</v>
      </c>
      <c r="W158" s="114">
        <f t="shared" si="7"/>
        <v>2120388</v>
      </c>
    </row>
    <row r="159" spans="1:23">
      <c r="A159" s="122" t="s">
        <v>1270</v>
      </c>
      <c r="B159" s="124">
        <v>126.309</v>
      </c>
      <c r="C159" s="124">
        <v>127.43899999999999</v>
      </c>
      <c r="D159" s="124">
        <v>123.59</v>
      </c>
      <c r="E159" s="124">
        <v>118.923</v>
      </c>
      <c r="F159" s="124">
        <v>24.925699999999999</v>
      </c>
      <c r="G159" s="124">
        <v>25.899000000000001</v>
      </c>
      <c r="H159" s="124">
        <v>26.849</v>
      </c>
      <c r="I159" s="124">
        <v>25.278099999999998</v>
      </c>
      <c r="J159" s="134">
        <v>14497467</v>
      </c>
      <c r="K159" s="134">
        <v>16292507</v>
      </c>
      <c r="L159" s="124">
        <v>227.238</v>
      </c>
      <c r="M159" s="114">
        <v>0</v>
      </c>
      <c r="N159" s="135">
        <v>19.500399999999999</v>
      </c>
      <c r="O159" s="135">
        <v>19.3566</v>
      </c>
      <c r="P159" s="135">
        <v>20.002099999999999</v>
      </c>
      <c r="Q159" s="135">
        <v>19.000900000000001</v>
      </c>
      <c r="R159" s="137">
        <v>1.06</v>
      </c>
      <c r="S159" s="120">
        <v>0</v>
      </c>
      <c r="T159" s="120">
        <v>226913</v>
      </c>
      <c r="U159" s="120">
        <v>0</v>
      </c>
      <c r="V159" s="114">
        <f t="shared" si="6"/>
        <v>226913</v>
      </c>
      <c r="W159" s="114">
        <f t="shared" si="7"/>
        <v>226913</v>
      </c>
    </row>
    <row r="160" spans="1:23">
      <c r="A160" s="122" t="s">
        <v>2482</v>
      </c>
      <c r="B160" s="124">
        <v>969.02800000000002</v>
      </c>
      <c r="C160" s="124">
        <v>990.40099999999995</v>
      </c>
      <c r="D160" s="124">
        <v>993.05899999999997</v>
      </c>
      <c r="E160" s="124">
        <v>996.55499999999995</v>
      </c>
      <c r="F160" s="124">
        <v>148.5008</v>
      </c>
      <c r="G160" s="124">
        <v>149.20079999999999</v>
      </c>
      <c r="H160" s="124">
        <v>153.10140000000001</v>
      </c>
      <c r="I160" s="124">
        <v>150.054</v>
      </c>
      <c r="J160" s="134">
        <v>189688188</v>
      </c>
      <c r="K160" s="134">
        <v>205453138</v>
      </c>
      <c r="L160" s="124">
        <v>1594.9580000000001</v>
      </c>
      <c r="M160" s="134">
        <v>136867</v>
      </c>
      <c r="N160" s="135">
        <v>96.060699999999997</v>
      </c>
      <c r="O160" s="135">
        <v>98.677000000000007</v>
      </c>
      <c r="P160" s="135">
        <v>102.73990000000001</v>
      </c>
      <c r="Q160" s="135">
        <v>95.402299999999997</v>
      </c>
      <c r="R160" s="137">
        <v>1.05</v>
      </c>
      <c r="S160" s="120">
        <v>143019</v>
      </c>
      <c r="T160" s="120">
        <v>2744760</v>
      </c>
      <c r="U160" s="120">
        <v>0</v>
      </c>
      <c r="V160" s="114">
        <f t="shared" si="6"/>
        <v>2744760</v>
      </c>
      <c r="W160" s="114">
        <f t="shared" si="7"/>
        <v>2887779</v>
      </c>
    </row>
    <row r="161" spans="1:23">
      <c r="A161" s="122" t="s">
        <v>814</v>
      </c>
      <c r="B161" s="124">
        <v>488.64</v>
      </c>
      <c r="C161" s="124">
        <v>462.53899999999999</v>
      </c>
      <c r="D161" s="124">
        <v>459.65199999999999</v>
      </c>
      <c r="E161" s="124">
        <v>466.339</v>
      </c>
      <c r="F161" s="124">
        <v>78.7834</v>
      </c>
      <c r="G161" s="124">
        <v>81.679699999999997</v>
      </c>
      <c r="H161" s="124">
        <v>77.433700000000002</v>
      </c>
      <c r="I161" s="124">
        <v>81.275899999999993</v>
      </c>
      <c r="J161" s="134">
        <v>54137635</v>
      </c>
      <c r="K161" s="134">
        <v>59638505</v>
      </c>
      <c r="L161" s="124">
        <v>756.94899999999996</v>
      </c>
      <c r="M161" s="134">
        <v>36346</v>
      </c>
      <c r="N161" s="135">
        <v>54.414299999999997</v>
      </c>
      <c r="O161" s="135">
        <v>55.629899999999999</v>
      </c>
      <c r="P161" s="135">
        <v>53.358600000000003</v>
      </c>
      <c r="Q161" s="135">
        <v>52.679499999999997</v>
      </c>
      <c r="R161" s="137">
        <v>1.05</v>
      </c>
      <c r="S161" s="120">
        <v>121532</v>
      </c>
      <c r="T161" s="120">
        <v>835285</v>
      </c>
      <c r="U161" s="120">
        <v>0</v>
      </c>
      <c r="V161" s="114">
        <f t="shared" si="6"/>
        <v>835285</v>
      </c>
      <c r="W161" s="114">
        <f t="shared" si="7"/>
        <v>956817</v>
      </c>
    </row>
    <row r="162" spans="1:23">
      <c r="A162" s="122" t="s">
        <v>2483</v>
      </c>
      <c r="B162" s="124">
        <v>183.31</v>
      </c>
      <c r="C162" s="124">
        <v>175.61099999999999</v>
      </c>
      <c r="D162" s="124">
        <v>177.87200000000001</v>
      </c>
      <c r="E162" s="124">
        <v>176.136</v>
      </c>
      <c r="F162" s="124">
        <v>32.823500000000003</v>
      </c>
      <c r="G162" s="124">
        <v>33.593499999999999</v>
      </c>
      <c r="H162" s="124">
        <v>33.9465</v>
      </c>
      <c r="I162" s="124">
        <v>32.9465</v>
      </c>
      <c r="J162" s="134">
        <v>28671829</v>
      </c>
      <c r="K162" s="134">
        <v>30545779</v>
      </c>
      <c r="L162" s="124">
        <v>297.51</v>
      </c>
      <c r="M162" s="114">
        <v>0</v>
      </c>
      <c r="N162" s="135">
        <v>23.0627</v>
      </c>
      <c r="O162" s="135">
        <v>23.5672</v>
      </c>
      <c r="P162" s="135">
        <v>22.958100000000002</v>
      </c>
      <c r="Q162" s="135">
        <v>23.590499999999999</v>
      </c>
      <c r="R162" s="137">
        <v>1.06</v>
      </c>
      <c r="S162" s="120">
        <v>0</v>
      </c>
      <c r="T162" s="120">
        <v>452459</v>
      </c>
      <c r="U162" s="120">
        <v>0</v>
      </c>
      <c r="V162" s="114">
        <f t="shared" si="6"/>
        <v>452459</v>
      </c>
      <c r="W162" s="114">
        <f t="shared" si="7"/>
        <v>452459</v>
      </c>
    </row>
    <row r="163" spans="1:23">
      <c r="A163" s="122" t="s">
        <v>1883</v>
      </c>
      <c r="B163" s="124">
        <v>169.768</v>
      </c>
      <c r="C163" s="124">
        <v>171.88399999999999</v>
      </c>
      <c r="D163" s="124">
        <v>166.69300000000001</v>
      </c>
      <c r="E163" s="124">
        <v>161.375</v>
      </c>
      <c r="F163" s="124">
        <v>30.191400000000002</v>
      </c>
      <c r="G163" s="124">
        <v>30.720800000000001</v>
      </c>
      <c r="H163" s="124">
        <v>32.120800000000003</v>
      </c>
      <c r="I163" s="124">
        <v>29.790400000000002</v>
      </c>
      <c r="J163" s="134">
        <v>44768456</v>
      </c>
      <c r="K163" s="134">
        <v>47272496</v>
      </c>
      <c r="L163" s="124">
        <v>279.88</v>
      </c>
      <c r="M163" s="114">
        <v>0</v>
      </c>
      <c r="N163" s="135">
        <v>21.050899999999999</v>
      </c>
      <c r="O163" s="135">
        <v>20.881699999999999</v>
      </c>
      <c r="P163" s="135">
        <v>22.538499999999999</v>
      </c>
      <c r="Q163" s="135">
        <v>20.429600000000001</v>
      </c>
      <c r="R163" s="137">
        <v>1.06</v>
      </c>
      <c r="S163" s="120">
        <v>0</v>
      </c>
      <c r="T163" s="120">
        <v>655903</v>
      </c>
      <c r="U163" s="120">
        <v>0</v>
      </c>
      <c r="V163" s="114">
        <f t="shared" si="6"/>
        <v>655903</v>
      </c>
      <c r="W163" s="114">
        <f t="shared" si="7"/>
        <v>655903</v>
      </c>
    </row>
    <row r="164" spans="1:23">
      <c r="A164" s="122" t="s">
        <v>1884</v>
      </c>
      <c r="B164" s="124">
        <v>561.08699999999999</v>
      </c>
      <c r="C164" s="124">
        <v>530.57600000000002</v>
      </c>
      <c r="D164" s="124">
        <v>523.21400000000006</v>
      </c>
      <c r="E164" s="124">
        <v>524.67200000000003</v>
      </c>
      <c r="F164" s="124">
        <v>128.75659999999999</v>
      </c>
      <c r="G164" s="124">
        <v>124.19</v>
      </c>
      <c r="H164" s="124">
        <v>120.4867</v>
      </c>
      <c r="I164" s="124">
        <v>119.9413</v>
      </c>
      <c r="J164" s="134">
        <v>51310270</v>
      </c>
      <c r="K164" s="134">
        <v>56077630</v>
      </c>
      <c r="L164" s="124">
        <v>951.90300000000002</v>
      </c>
      <c r="M164" s="114">
        <v>0</v>
      </c>
      <c r="N164" s="135">
        <v>91.298599999999993</v>
      </c>
      <c r="O164" s="135">
        <v>85.790599999999998</v>
      </c>
      <c r="P164" s="135">
        <v>83.281099999999995</v>
      </c>
      <c r="Q164" s="135">
        <v>83.761799999999994</v>
      </c>
      <c r="R164" s="137">
        <v>1.0900000000000001</v>
      </c>
      <c r="S164" s="120">
        <v>0</v>
      </c>
      <c r="T164" s="120">
        <v>1067939</v>
      </c>
      <c r="U164" s="120">
        <v>0</v>
      </c>
      <c r="V164" s="114">
        <f t="shared" si="6"/>
        <v>1067939</v>
      </c>
      <c r="W164" s="114">
        <f t="shared" si="7"/>
        <v>1067939</v>
      </c>
    </row>
    <row r="165" spans="1:23">
      <c r="A165" s="122" t="s">
        <v>899</v>
      </c>
      <c r="B165" s="124">
        <v>378.512</v>
      </c>
      <c r="C165" s="124">
        <v>359.71899999999999</v>
      </c>
      <c r="D165" s="124">
        <v>348.85500000000002</v>
      </c>
      <c r="E165" s="124">
        <v>337.43700000000001</v>
      </c>
      <c r="F165" s="124">
        <v>76.400000000000006</v>
      </c>
      <c r="G165" s="124">
        <v>75.900000000000006</v>
      </c>
      <c r="H165" s="124">
        <v>78</v>
      </c>
      <c r="I165" s="124">
        <v>73.859399999999994</v>
      </c>
      <c r="J165" s="134">
        <v>337530259</v>
      </c>
      <c r="K165" s="134">
        <v>339343341</v>
      </c>
      <c r="L165" s="124">
        <v>669.66600000000005</v>
      </c>
      <c r="M165" s="114">
        <v>0</v>
      </c>
      <c r="N165" s="135">
        <v>50.645200000000003</v>
      </c>
      <c r="O165" s="135">
        <v>49.715299999999999</v>
      </c>
      <c r="P165" s="135">
        <v>51.322800000000001</v>
      </c>
      <c r="Q165" s="135">
        <v>49.489800000000002</v>
      </c>
      <c r="R165" s="137">
        <v>1.08</v>
      </c>
      <c r="S165" s="120">
        <v>0</v>
      </c>
      <c r="T165" s="120">
        <v>4753431</v>
      </c>
      <c r="U165" s="120">
        <v>0</v>
      </c>
      <c r="V165" s="114">
        <f t="shared" si="6"/>
        <v>4753431</v>
      </c>
      <c r="W165" s="114">
        <f t="shared" si="7"/>
        <v>4753431</v>
      </c>
    </row>
    <row r="166" spans="1:23">
      <c r="A166" s="122" t="s">
        <v>900</v>
      </c>
      <c r="B166" s="124">
        <v>495.47500000000002</v>
      </c>
      <c r="C166" s="124">
        <v>498.65800000000002</v>
      </c>
      <c r="D166" s="124">
        <v>491.72800000000001</v>
      </c>
      <c r="E166" s="124">
        <v>478.10700000000003</v>
      </c>
      <c r="F166" s="124">
        <v>76.608999999999995</v>
      </c>
      <c r="G166" s="124">
        <v>82.512299999999996</v>
      </c>
      <c r="H166" s="124">
        <v>85.268100000000004</v>
      </c>
      <c r="I166" s="124">
        <v>90.176900000000003</v>
      </c>
      <c r="J166" s="134">
        <v>59315905</v>
      </c>
      <c r="K166" s="134">
        <v>63234358</v>
      </c>
      <c r="L166" s="124">
        <v>1137.742</v>
      </c>
      <c r="M166" s="114">
        <v>0</v>
      </c>
      <c r="N166" s="135">
        <v>52.808500000000002</v>
      </c>
      <c r="O166" s="135">
        <v>55.894199999999998</v>
      </c>
      <c r="P166" s="135">
        <v>59.698500000000003</v>
      </c>
      <c r="Q166" s="135">
        <v>62.151699999999998</v>
      </c>
      <c r="R166" s="137">
        <v>1.05</v>
      </c>
      <c r="S166" s="120">
        <v>0</v>
      </c>
      <c r="T166" s="120">
        <v>837945</v>
      </c>
      <c r="U166" s="120">
        <v>0</v>
      </c>
      <c r="V166" s="114">
        <f t="shared" si="6"/>
        <v>837945</v>
      </c>
      <c r="W166" s="114">
        <f t="shared" si="7"/>
        <v>837945</v>
      </c>
    </row>
    <row r="167" spans="1:23">
      <c r="A167" s="122" t="s">
        <v>922</v>
      </c>
      <c r="B167" s="124">
        <v>310.46100000000001</v>
      </c>
      <c r="C167" s="124">
        <v>295.09300000000002</v>
      </c>
      <c r="D167" s="124">
        <v>289.755</v>
      </c>
      <c r="E167" s="124">
        <v>282.63099999999997</v>
      </c>
      <c r="F167" s="124">
        <v>59.326300000000003</v>
      </c>
      <c r="G167" s="124">
        <v>57.8504</v>
      </c>
      <c r="H167" s="124">
        <v>58.813000000000002</v>
      </c>
      <c r="I167" s="124">
        <v>58.8504</v>
      </c>
      <c r="J167" s="134">
        <v>109601690</v>
      </c>
      <c r="K167" s="134">
        <v>114370200</v>
      </c>
      <c r="L167" s="124">
        <v>577.08199999999999</v>
      </c>
      <c r="M167" s="114">
        <v>0</v>
      </c>
      <c r="N167" s="135">
        <v>39.967199999999998</v>
      </c>
      <c r="O167" s="135">
        <v>39.181600000000003</v>
      </c>
      <c r="P167" s="135">
        <v>37.966000000000001</v>
      </c>
      <c r="Q167" s="135">
        <v>37.215200000000003</v>
      </c>
      <c r="R167" s="137">
        <v>1.05</v>
      </c>
      <c r="S167" s="120">
        <v>0</v>
      </c>
      <c r="T167" s="120">
        <v>1547702</v>
      </c>
      <c r="U167" s="120">
        <v>0</v>
      </c>
      <c r="V167" s="114">
        <f t="shared" si="6"/>
        <v>1547702</v>
      </c>
      <c r="W167" s="114">
        <f t="shared" si="7"/>
        <v>1547702</v>
      </c>
    </row>
    <row r="168" spans="1:23">
      <c r="A168" s="122" t="s">
        <v>630</v>
      </c>
      <c r="B168" s="124">
        <v>1002.231</v>
      </c>
      <c r="C168" s="124">
        <v>966.42200000000003</v>
      </c>
      <c r="D168" s="124">
        <v>950.74599999999998</v>
      </c>
      <c r="E168" s="124">
        <v>934.64599999999996</v>
      </c>
      <c r="F168" s="124">
        <v>192.89570000000001</v>
      </c>
      <c r="G168" s="124">
        <v>187.46369999999999</v>
      </c>
      <c r="H168" s="124">
        <v>188.0386</v>
      </c>
      <c r="I168" s="124">
        <v>174.67789999999999</v>
      </c>
      <c r="J168" s="134">
        <v>72594746</v>
      </c>
      <c r="K168" s="134">
        <v>86379826</v>
      </c>
      <c r="L168" s="124">
        <v>1419.3330000000001</v>
      </c>
      <c r="M168" s="134">
        <v>131834</v>
      </c>
      <c r="N168" s="135">
        <v>127.29259999999999</v>
      </c>
      <c r="O168" s="135">
        <v>121.51</v>
      </c>
      <c r="P168" s="135">
        <v>121.4233</v>
      </c>
      <c r="Q168" s="135">
        <v>113.9966</v>
      </c>
      <c r="R168" s="137">
        <v>1.03</v>
      </c>
      <c r="S168" s="120">
        <v>148747</v>
      </c>
      <c r="T168" s="120">
        <v>1070534</v>
      </c>
      <c r="U168" s="120">
        <v>0</v>
      </c>
      <c r="V168" s="114">
        <f t="shared" si="6"/>
        <v>1070534</v>
      </c>
      <c r="W168" s="114">
        <f t="shared" si="7"/>
        <v>1219281</v>
      </c>
    </row>
    <row r="169" spans="1:23">
      <c r="A169" s="122" t="s">
        <v>2712</v>
      </c>
      <c r="B169" s="124">
        <v>249.655</v>
      </c>
      <c r="C169" s="124">
        <v>255.529</v>
      </c>
      <c r="D169" s="124">
        <v>253.87299999999999</v>
      </c>
      <c r="E169" s="124">
        <v>260.61700000000002</v>
      </c>
      <c r="F169" s="124">
        <v>63.773099999999999</v>
      </c>
      <c r="G169" s="124">
        <v>45.508000000000003</v>
      </c>
      <c r="H169" s="124">
        <v>48.0214</v>
      </c>
      <c r="I169" s="124">
        <v>51.334200000000003</v>
      </c>
      <c r="J169" s="134">
        <v>35855313</v>
      </c>
      <c r="K169" s="134">
        <v>39413493</v>
      </c>
      <c r="L169" s="124">
        <v>559.71900000000005</v>
      </c>
      <c r="M169" s="114">
        <v>0</v>
      </c>
      <c r="N169" s="135">
        <v>38.725900000000003</v>
      </c>
      <c r="O169" s="135">
        <v>32.9041</v>
      </c>
      <c r="P169" s="135">
        <v>32.215400000000002</v>
      </c>
      <c r="Q169" s="135">
        <v>35.363900000000001</v>
      </c>
      <c r="R169" s="137">
        <v>1.03</v>
      </c>
      <c r="S169" s="120">
        <v>27469</v>
      </c>
      <c r="T169" s="120">
        <v>529411</v>
      </c>
      <c r="U169" s="120">
        <v>0</v>
      </c>
      <c r="V169" s="114">
        <f t="shared" si="6"/>
        <v>529411</v>
      </c>
      <c r="W169" s="114">
        <f t="shared" si="7"/>
        <v>556880</v>
      </c>
    </row>
    <row r="170" spans="1:23">
      <c r="A170" s="122" t="s">
        <v>923</v>
      </c>
      <c r="B170" s="124">
        <v>207.73099999999999</v>
      </c>
      <c r="C170" s="124">
        <v>207.09399999999999</v>
      </c>
      <c r="D170" s="124">
        <v>200.84</v>
      </c>
      <c r="E170" s="124">
        <v>194.196</v>
      </c>
      <c r="F170" s="124">
        <v>41.4011</v>
      </c>
      <c r="G170" s="124">
        <v>42.417099999999998</v>
      </c>
      <c r="H170" s="124">
        <v>42.954500000000003</v>
      </c>
      <c r="I170" s="124">
        <v>41.954500000000003</v>
      </c>
      <c r="J170" s="134">
        <v>46581562</v>
      </c>
      <c r="K170" s="134">
        <v>49145842</v>
      </c>
      <c r="L170" s="124">
        <v>390.94799999999998</v>
      </c>
      <c r="M170" s="114">
        <v>0</v>
      </c>
      <c r="N170" s="135">
        <v>29.7181</v>
      </c>
      <c r="O170" s="135">
        <v>28.001899999999999</v>
      </c>
      <c r="P170" s="135">
        <v>28.858699999999999</v>
      </c>
      <c r="Q170" s="135">
        <v>28.501200000000001</v>
      </c>
      <c r="R170" s="137">
        <v>1.03</v>
      </c>
      <c r="S170" s="120">
        <v>0</v>
      </c>
      <c r="T170" s="120">
        <v>646434</v>
      </c>
      <c r="U170" s="120">
        <v>0</v>
      </c>
      <c r="V170" s="114">
        <f t="shared" si="6"/>
        <v>646434</v>
      </c>
      <c r="W170" s="114">
        <f t="shared" si="7"/>
        <v>646434</v>
      </c>
    </row>
    <row r="171" spans="1:23">
      <c r="A171" s="122" t="s">
        <v>1954</v>
      </c>
      <c r="B171" s="124">
        <v>97.927000000000007</v>
      </c>
      <c r="C171" s="124">
        <v>98.397000000000006</v>
      </c>
      <c r="D171" s="124">
        <v>106.614</v>
      </c>
      <c r="E171" s="124">
        <v>103.661</v>
      </c>
      <c r="F171" s="124">
        <v>28.2728</v>
      </c>
      <c r="G171" s="124">
        <v>27.6738</v>
      </c>
      <c r="H171" s="124">
        <v>29.550799999999999</v>
      </c>
      <c r="I171" s="124">
        <v>25.593499999999999</v>
      </c>
      <c r="J171" s="134">
        <v>24258973</v>
      </c>
      <c r="K171" s="134">
        <v>26021343</v>
      </c>
      <c r="L171" s="124">
        <v>254.226</v>
      </c>
      <c r="M171" s="114">
        <v>0</v>
      </c>
      <c r="N171" s="135">
        <v>16.543500000000002</v>
      </c>
      <c r="O171" s="135">
        <v>17.3231</v>
      </c>
      <c r="P171" s="135">
        <v>18.071899999999999</v>
      </c>
      <c r="Q171" s="135">
        <v>16.0457</v>
      </c>
      <c r="R171" s="137">
        <v>1.05</v>
      </c>
      <c r="S171" s="120">
        <v>0</v>
      </c>
      <c r="T171" s="120">
        <v>374412</v>
      </c>
      <c r="U171" s="120">
        <v>0</v>
      </c>
      <c r="V171" s="114">
        <f t="shared" si="6"/>
        <v>374412</v>
      </c>
      <c r="W171" s="114">
        <f t="shared" si="7"/>
        <v>374412</v>
      </c>
    </row>
    <row r="172" spans="1:23">
      <c r="A172" s="122" t="s">
        <v>638</v>
      </c>
      <c r="B172" s="124">
        <v>9161.8850000000002</v>
      </c>
      <c r="C172" s="124">
        <v>9792.2870000000003</v>
      </c>
      <c r="D172" s="124">
        <v>10688.675999999999</v>
      </c>
      <c r="E172" s="124">
        <v>11488.882</v>
      </c>
      <c r="F172" s="124">
        <v>1184.0918999999999</v>
      </c>
      <c r="G172" s="124">
        <v>1244.8853999999999</v>
      </c>
      <c r="H172" s="124">
        <v>1267.1904</v>
      </c>
      <c r="I172" s="124">
        <v>1351.2166999999999</v>
      </c>
      <c r="J172" s="134">
        <v>3197176384</v>
      </c>
      <c r="K172" s="134">
        <v>3312312894</v>
      </c>
      <c r="L172" s="124">
        <v>13672.94</v>
      </c>
      <c r="M172" s="134">
        <v>7769674</v>
      </c>
      <c r="N172" s="135">
        <v>771.05930000000001</v>
      </c>
      <c r="O172" s="135">
        <v>818.59310000000005</v>
      </c>
      <c r="P172" s="135">
        <v>847.34910000000002</v>
      </c>
      <c r="Q172" s="135">
        <v>884.55460000000005</v>
      </c>
      <c r="R172" s="137">
        <v>1.1200000000000001</v>
      </c>
      <c r="S172" s="120">
        <v>11735961</v>
      </c>
      <c r="T172" s="120">
        <v>57037718</v>
      </c>
      <c r="U172" s="120">
        <v>0</v>
      </c>
      <c r="V172" s="114">
        <f t="shared" si="6"/>
        <v>57037718</v>
      </c>
      <c r="W172" s="114">
        <f t="shared" si="7"/>
        <v>68773679</v>
      </c>
    </row>
    <row r="173" spans="1:23">
      <c r="A173" s="122" t="s">
        <v>1841</v>
      </c>
      <c r="B173" s="124">
        <v>826.90700000000004</v>
      </c>
      <c r="C173" s="124">
        <v>873.54700000000003</v>
      </c>
      <c r="D173" s="124">
        <v>913.16</v>
      </c>
      <c r="E173" s="124">
        <v>975.95699999999999</v>
      </c>
      <c r="F173" s="124">
        <v>115.1634</v>
      </c>
      <c r="G173" s="124">
        <v>121.7865</v>
      </c>
      <c r="H173" s="124">
        <v>125.8185</v>
      </c>
      <c r="I173" s="124">
        <v>142.05619999999999</v>
      </c>
      <c r="J173" s="134">
        <v>124258882</v>
      </c>
      <c r="K173" s="134">
        <v>133004687</v>
      </c>
      <c r="L173" s="124">
        <v>1484.5319999999999</v>
      </c>
      <c r="M173" s="134">
        <v>123624</v>
      </c>
      <c r="N173" s="135">
        <v>79.650700000000001</v>
      </c>
      <c r="O173" s="135">
        <v>84.435699999999997</v>
      </c>
      <c r="P173" s="135">
        <v>88.071200000000005</v>
      </c>
      <c r="Q173" s="135">
        <v>97.058099999999996</v>
      </c>
      <c r="R173" s="137">
        <v>1.0900000000000001</v>
      </c>
      <c r="S173" s="120">
        <v>196399</v>
      </c>
      <c r="T173" s="120">
        <v>2128706</v>
      </c>
      <c r="U173" s="120">
        <v>0</v>
      </c>
      <c r="V173" s="114">
        <f t="shared" si="6"/>
        <v>2128706</v>
      </c>
      <c r="W173" s="114">
        <f t="shared" si="7"/>
        <v>2325105</v>
      </c>
    </row>
    <row r="174" spans="1:23">
      <c r="A174" s="122" t="s">
        <v>2862</v>
      </c>
      <c r="B174" s="124">
        <v>1000.479</v>
      </c>
      <c r="C174" s="124">
        <v>1105.009</v>
      </c>
      <c r="D174" s="124">
        <v>1203.355</v>
      </c>
      <c r="E174" s="124">
        <v>1275.0999999999999</v>
      </c>
      <c r="F174" s="124">
        <v>148.57300000000001</v>
      </c>
      <c r="G174" s="124">
        <v>157.2826</v>
      </c>
      <c r="H174" s="124">
        <v>180.67760000000001</v>
      </c>
      <c r="I174" s="124">
        <v>187.12219999999999</v>
      </c>
      <c r="J174" s="134">
        <v>234536492</v>
      </c>
      <c r="K174" s="134">
        <v>246069504</v>
      </c>
      <c r="L174" s="124">
        <v>1701.62</v>
      </c>
      <c r="M174" s="134">
        <v>276668</v>
      </c>
      <c r="N174" s="135">
        <v>100.0411</v>
      </c>
      <c r="O174" s="135">
        <v>106.3536</v>
      </c>
      <c r="P174" s="135">
        <v>123.283</v>
      </c>
      <c r="Q174" s="135">
        <v>129.23990000000001</v>
      </c>
      <c r="R174" s="137">
        <v>1.0900000000000001</v>
      </c>
      <c r="S174" s="120">
        <v>549071</v>
      </c>
      <c r="T174" s="120">
        <v>4141233</v>
      </c>
      <c r="U174" s="120">
        <v>0</v>
      </c>
      <c r="V174" s="114">
        <f t="shared" si="6"/>
        <v>4141233</v>
      </c>
      <c r="W174" s="114">
        <f t="shared" si="7"/>
        <v>4690304</v>
      </c>
    </row>
    <row r="175" spans="1:23">
      <c r="A175" s="122" t="s">
        <v>1900</v>
      </c>
      <c r="B175" s="124">
        <v>1218.0440000000001</v>
      </c>
      <c r="C175" s="124">
        <v>1272.5820000000001</v>
      </c>
      <c r="D175" s="124">
        <v>1301.83</v>
      </c>
      <c r="E175" s="124">
        <v>1337.008</v>
      </c>
      <c r="F175" s="124">
        <v>150.8485</v>
      </c>
      <c r="G175" s="124">
        <v>171.06209999999999</v>
      </c>
      <c r="H175" s="124">
        <v>179.9332</v>
      </c>
      <c r="I175" s="124">
        <v>187.3047</v>
      </c>
      <c r="J175" s="134">
        <v>183777834</v>
      </c>
      <c r="K175" s="134">
        <v>198101701</v>
      </c>
      <c r="L175" s="124">
        <v>1818.425</v>
      </c>
      <c r="M175" s="134">
        <v>193857</v>
      </c>
      <c r="N175" s="135">
        <v>109.3784</v>
      </c>
      <c r="O175" s="135">
        <v>120.22580000000001</v>
      </c>
      <c r="P175" s="135">
        <v>124.42</v>
      </c>
      <c r="Q175" s="135">
        <v>128.89359999999999</v>
      </c>
      <c r="R175" s="137">
        <v>1.08</v>
      </c>
      <c r="S175" s="120">
        <v>272549</v>
      </c>
      <c r="T175" s="120">
        <v>2787755</v>
      </c>
      <c r="U175" s="120">
        <v>0</v>
      </c>
      <c r="V175" s="114">
        <f t="shared" si="6"/>
        <v>2787755</v>
      </c>
      <c r="W175" s="114">
        <f t="shared" si="7"/>
        <v>3060304</v>
      </c>
    </row>
    <row r="176" spans="1:23">
      <c r="A176" s="122" t="s">
        <v>1605</v>
      </c>
      <c r="B176" s="124">
        <v>5384.7479999999996</v>
      </c>
      <c r="C176" s="124">
        <v>7039.8760000000002</v>
      </c>
      <c r="D176" s="124">
        <v>8903.49</v>
      </c>
      <c r="E176" s="124">
        <v>10663.317999999999</v>
      </c>
      <c r="F176" s="124">
        <v>672.98329999999999</v>
      </c>
      <c r="G176" s="124">
        <v>883.13030000000003</v>
      </c>
      <c r="H176" s="124">
        <v>1143.6905999999999</v>
      </c>
      <c r="I176" s="124">
        <v>1452.2035000000001</v>
      </c>
      <c r="J176" s="134">
        <v>4477300189</v>
      </c>
      <c r="K176" s="134">
        <v>4591110063</v>
      </c>
      <c r="L176" s="124">
        <v>12257.485000000001</v>
      </c>
      <c r="M176" s="134">
        <v>12169617</v>
      </c>
      <c r="N176" s="135">
        <v>437.43099999999998</v>
      </c>
      <c r="O176" s="135">
        <v>577.98299999999995</v>
      </c>
      <c r="P176" s="135">
        <v>767.39689999999996</v>
      </c>
      <c r="Q176" s="135">
        <v>938.47889999999995</v>
      </c>
      <c r="R176" s="137">
        <v>1.0900000000000001</v>
      </c>
      <c r="S176" s="120">
        <v>14499687</v>
      </c>
      <c r="T176" s="120">
        <v>68856625</v>
      </c>
      <c r="U176" s="120">
        <v>0</v>
      </c>
      <c r="V176" s="114">
        <f t="shared" si="6"/>
        <v>68856625</v>
      </c>
      <c r="W176" s="114">
        <f t="shared" si="7"/>
        <v>83356312</v>
      </c>
    </row>
    <row r="177" spans="1:23">
      <c r="A177" s="122" t="s">
        <v>2895</v>
      </c>
      <c r="B177" s="124">
        <v>10238.996999999999</v>
      </c>
      <c r="C177" s="124">
        <v>11391.679</v>
      </c>
      <c r="D177" s="124">
        <v>12824.556</v>
      </c>
      <c r="E177" s="124">
        <v>14258.768</v>
      </c>
      <c r="F177" s="124">
        <v>1042.8835999999999</v>
      </c>
      <c r="G177" s="124">
        <v>1269.1487999999999</v>
      </c>
      <c r="H177" s="124">
        <v>1488.624</v>
      </c>
      <c r="I177" s="124">
        <v>1665.7965999999999</v>
      </c>
      <c r="J177" s="134">
        <v>4223883580</v>
      </c>
      <c r="K177" s="134">
        <v>4362987472</v>
      </c>
      <c r="L177" s="124">
        <v>17276.457999999999</v>
      </c>
      <c r="M177" s="134">
        <v>12249262</v>
      </c>
      <c r="N177" s="135">
        <v>743.10400000000004</v>
      </c>
      <c r="O177" s="135">
        <v>923.12279999999998</v>
      </c>
      <c r="P177" s="135">
        <v>1085.6174000000001</v>
      </c>
      <c r="Q177" s="135">
        <v>1221.4666</v>
      </c>
      <c r="R177" s="137">
        <v>1.1200000000000001</v>
      </c>
      <c r="S177" s="120">
        <v>23736250</v>
      </c>
      <c r="T177" s="120">
        <v>72774237</v>
      </c>
      <c r="U177" s="120">
        <v>0</v>
      </c>
      <c r="V177" s="114">
        <f t="shared" si="6"/>
        <v>72774237</v>
      </c>
      <c r="W177" s="114">
        <f t="shared" si="7"/>
        <v>96510487</v>
      </c>
    </row>
    <row r="178" spans="1:23">
      <c r="A178" s="122" t="s">
        <v>724</v>
      </c>
      <c r="B178" s="124">
        <v>373.71100000000001</v>
      </c>
      <c r="C178" s="124">
        <v>366.28300000000002</v>
      </c>
      <c r="D178" s="124">
        <v>399.78</v>
      </c>
      <c r="E178" s="124">
        <v>436.798</v>
      </c>
      <c r="F178" s="124">
        <v>59.687100000000001</v>
      </c>
      <c r="G178" s="124">
        <v>61.735300000000002</v>
      </c>
      <c r="H178" s="124">
        <v>62.9572</v>
      </c>
      <c r="I178" s="124">
        <v>65.861000000000004</v>
      </c>
      <c r="J178" s="134">
        <v>157461104</v>
      </c>
      <c r="K178" s="134">
        <v>164074083</v>
      </c>
      <c r="L178" s="124">
        <v>689.375</v>
      </c>
      <c r="M178" s="134">
        <v>144783</v>
      </c>
      <c r="N178" s="135">
        <v>39.701900000000002</v>
      </c>
      <c r="O178" s="135">
        <v>42.064999999999998</v>
      </c>
      <c r="P178" s="135">
        <v>42.214599999999997</v>
      </c>
      <c r="Q178" s="135">
        <v>44.909399999999998</v>
      </c>
      <c r="R178" s="137">
        <v>1.08</v>
      </c>
      <c r="S178" s="120">
        <v>346669</v>
      </c>
      <c r="T178" s="120">
        <v>2669859</v>
      </c>
      <c r="U178" s="120">
        <v>0</v>
      </c>
      <c r="V178" s="114">
        <f t="shared" si="6"/>
        <v>2669859</v>
      </c>
      <c r="W178" s="114">
        <f t="shared" si="7"/>
        <v>3016528</v>
      </c>
    </row>
    <row r="179" spans="1:23">
      <c r="A179" s="122" t="s">
        <v>725</v>
      </c>
      <c r="B179" s="124">
        <v>41979.428</v>
      </c>
      <c r="C179" s="124">
        <v>43658.601999999999</v>
      </c>
      <c r="D179" s="124">
        <v>45890.222999999998</v>
      </c>
      <c r="E179" s="124">
        <v>47807.245000000003</v>
      </c>
      <c r="F179" s="124">
        <v>5248.8415999999997</v>
      </c>
      <c r="G179" s="124">
        <v>5609.6697999999997</v>
      </c>
      <c r="H179" s="124">
        <v>5880.6418000000003</v>
      </c>
      <c r="I179" s="124">
        <v>6155.6572999999999</v>
      </c>
      <c r="J179" s="134">
        <v>25625181207</v>
      </c>
      <c r="K179" s="134">
        <v>26273649940</v>
      </c>
      <c r="L179" s="124">
        <v>57839.953999999998</v>
      </c>
      <c r="M179" s="134">
        <v>47906939</v>
      </c>
      <c r="N179" s="135">
        <v>3729.5392000000002</v>
      </c>
      <c r="O179" s="135">
        <v>4011.2817</v>
      </c>
      <c r="P179" s="135">
        <v>4265.5185000000001</v>
      </c>
      <c r="Q179" s="135">
        <v>4400.3576999999996</v>
      </c>
      <c r="R179" s="137">
        <v>1.1299999999999999</v>
      </c>
      <c r="S179" s="120">
        <v>63680527</v>
      </c>
      <c r="T179" s="120">
        <v>396739905</v>
      </c>
      <c r="U179" s="120">
        <v>0</v>
      </c>
      <c r="V179" s="114">
        <f t="shared" si="6"/>
        <v>396739905</v>
      </c>
      <c r="W179" s="114">
        <f t="shared" si="7"/>
        <v>460420432</v>
      </c>
    </row>
    <row r="180" spans="1:23">
      <c r="A180" s="122" t="s">
        <v>246</v>
      </c>
      <c r="B180" s="124">
        <v>1893.1859999999999</v>
      </c>
      <c r="C180" s="124">
        <v>2007.9870000000001</v>
      </c>
      <c r="D180" s="124">
        <v>2083.3389999999999</v>
      </c>
      <c r="E180" s="124">
        <v>2087.625</v>
      </c>
      <c r="F180" s="124">
        <v>266.67989999999998</v>
      </c>
      <c r="G180" s="124">
        <v>275.0206</v>
      </c>
      <c r="H180" s="124">
        <v>291.24520000000001</v>
      </c>
      <c r="I180" s="124">
        <v>290.2081</v>
      </c>
      <c r="J180" s="134">
        <v>251150352</v>
      </c>
      <c r="K180" s="134">
        <v>273628408</v>
      </c>
      <c r="L180" s="124">
        <v>2839.1320000000001</v>
      </c>
      <c r="M180" s="134">
        <v>139751</v>
      </c>
      <c r="N180" s="135">
        <v>175.86670000000001</v>
      </c>
      <c r="O180" s="135">
        <v>178.99610000000001</v>
      </c>
      <c r="P180" s="135">
        <v>188.12559999999999</v>
      </c>
      <c r="Q180" s="135">
        <v>187.3964</v>
      </c>
      <c r="R180" s="137">
        <v>1.0900000000000001</v>
      </c>
      <c r="S180" s="120">
        <v>1087850</v>
      </c>
      <c r="T180" s="120">
        <v>3775588</v>
      </c>
      <c r="U180" s="120">
        <v>0</v>
      </c>
      <c r="V180" s="114">
        <f t="shared" si="6"/>
        <v>3775588</v>
      </c>
      <c r="W180" s="114">
        <f t="shared" si="7"/>
        <v>4863438</v>
      </c>
    </row>
    <row r="181" spans="1:23">
      <c r="A181" s="122" t="s">
        <v>1780</v>
      </c>
      <c r="B181" s="124">
        <v>865.24699999999996</v>
      </c>
      <c r="C181" s="124">
        <v>918.96</v>
      </c>
      <c r="D181" s="124">
        <v>1027.673</v>
      </c>
      <c r="E181" s="124">
        <v>1186.9580000000001</v>
      </c>
      <c r="F181" s="124">
        <v>125.35850000000001</v>
      </c>
      <c r="G181" s="124">
        <v>144.1634</v>
      </c>
      <c r="H181" s="124">
        <v>158.80260000000001</v>
      </c>
      <c r="I181" s="124">
        <v>165.8742</v>
      </c>
      <c r="J181" s="134">
        <v>326477660</v>
      </c>
      <c r="K181" s="134">
        <v>337183503</v>
      </c>
      <c r="L181" s="124">
        <v>1599.6990000000001</v>
      </c>
      <c r="M181" s="134">
        <v>520160</v>
      </c>
      <c r="N181" s="135">
        <v>84.620800000000003</v>
      </c>
      <c r="O181" s="135">
        <v>91.859399999999994</v>
      </c>
      <c r="P181" s="135">
        <v>104.0622</v>
      </c>
      <c r="Q181" s="135">
        <v>109.7711</v>
      </c>
      <c r="R181" s="137">
        <v>1.07</v>
      </c>
      <c r="S181" s="120">
        <v>1346467</v>
      </c>
      <c r="T181" s="120">
        <v>6453490</v>
      </c>
      <c r="U181" s="120">
        <v>0</v>
      </c>
      <c r="V181" s="114">
        <f t="shared" si="6"/>
        <v>6453490</v>
      </c>
      <c r="W181" s="114">
        <f t="shared" si="7"/>
        <v>7799957</v>
      </c>
    </row>
    <row r="182" spans="1:23">
      <c r="A182" s="122" t="s">
        <v>1351</v>
      </c>
      <c r="B182" s="124">
        <v>4159.8029999999999</v>
      </c>
      <c r="C182" s="124">
        <v>4363.567</v>
      </c>
      <c r="D182" s="124">
        <v>4790.2510000000002</v>
      </c>
      <c r="E182" s="124">
        <v>5442.2359999999999</v>
      </c>
      <c r="F182" s="124">
        <v>621.50139999999999</v>
      </c>
      <c r="G182" s="124">
        <v>676.43389999999999</v>
      </c>
      <c r="H182" s="124">
        <v>723.79849999999999</v>
      </c>
      <c r="I182" s="124">
        <v>835.1866</v>
      </c>
      <c r="J182" s="134">
        <v>1053912652</v>
      </c>
      <c r="K182" s="134">
        <v>1107080838</v>
      </c>
      <c r="L182" s="124">
        <v>6496.259</v>
      </c>
      <c r="M182" s="134">
        <v>1399323</v>
      </c>
      <c r="N182" s="135">
        <v>367.23919999999998</v>
      </c>
      <c r="O182" s="135">
        <v>403.66770000000002</v>
      </c>
      <c r="P182" s="135">
        <v>430.35829999999999</v>
      </c>
      <c r="Q182" s="135">
        <v>501.00830000000002</v>
      </c>
      <c r="R182" s="137">
        <v>1.1000000000000001</v>
      </c>
      <c r="S182" s="120">
        <v>2353768</v>
      </c>
      <c r="T182" s="120">
        <v>18732796</v>
      </c>
      <c r="U182" s="120">
        <v>0</v>
      </c>
      <c r="V182" s="114">
        <f t="shared" si="6"/>
        <v>18732796</v>
      </c>
      <c r="W182" s="114">
        <f t="shared" si="7"/>
        <v>21086564</v>
      </c>
    </row>
    <row r="183" spans="1:23">
      <c r="A183" s="122" t="s">
        <v>990</v>
      </c>
      <c r="B183" s="124">
        <v>596.60599999999999</v>
      </c>
      <c r="C183" s="124">
        <v>610.83900000000006</v>
      </c>
      <c r="D183" s="124">
        <v>643.298</v>
      </c>
      <c r="E183" s="124">
        <v>659.38800000000003</v>
      </c>
      <c r="F183" s="124">
        <v>88.778300000000002</v>
      </c>
      <c r="G183" s="124">
        <v>97.050899999999999</v>
      </c>
      <c r="H183" s="124">
        <v>103.64449999999999</v>
      </c>
      <c r="I183" s="124">
        <v>119.15260000000001</v>
      </c>
      <c r="J183" s="134">
        <v>69060092</v>
      </c>
      <c r="K183" s="134">
        <v>75671462</v>
      </c>
      <c r="L183" s="124">
        <v>1049.1780000000001</v>
      </c>
      <c r="M183" s="134">
        <v>31879</v>
      </c>
      <c r="N183" s="135">
        <v>59.5944</v>
      </c>
      <c r="O183" s="135">
        <v>64.780299999999997</v>
      </c>
      <c r="P183" s="135">
        <v>67.806700000000006</v>
      </c>
      <c r="Q183" s="135">
        <v>69.807299999999998</v>
      </c>
      <c r="R183" s="137">
        <v>1.08</v>
      </c>
      <c r="S183" s="120">
        <v>287215</v>
      </c>
      <c r="T183" s="120">
        <v>1144522</v>
      </c>
      <c r="U183" s="120">
        <v>28418</v>
      </c>
      <c r="V183" s="114">
        <f t="shared" si="6"/>
        <v>1172940</v>
      </c>
      <c r="W183" s="114">
        <f t="shared" si="7"/>
        <v>1460155</v>
      </c>
    </row>
    <row r="184" spans="1:23">
      <c r="A184" s="122" t="s">
        <v>1619</v>
      </c>
      <c r="B184" s="124">
        <v>1196.758</v>
      </c>
      <c r="C184" s="124">
        <v>1277.6130000000001</v>
      </c>
      <c r="D184" s="124">
        <v>1304.5139999999999</v>
      </c>
      <c r="E184" s="124">
        <v>1329.066</v>
      </c>
      <c r="F184" s="124">
        <v>182.05959999999999</v>
      </c>
      <c r="G184" s="124">
        <v>195.9554</v>
      </c>
      <c r="H184" s="124">
        <v>205.13069999999999</v>
      </c>
      <c r="I184" s="124">
        <v>209.25389999999999</v>
      </c>
      <c r="J184" s="134">
        <v>176862709</v>
      </c>
      <c r="K184" s="134">
        <v>189543015</v>
      </c>
      <c r="L184" s="124">
        <v>1853.3489999999999</v>
      </c>
      <c r="M184" s="134">
        <v>260114</v>
      </c>
      <c r="N184" s="135">
        <v>102.9973</v>
      </c>
      <c r="O184" s="135">
        <v>131.73269999999999</v>
      </c>
      <c r="P184" s="135">
        <v>134.6336</v>
      </c>
      <c r="Q184" s="135">
        <v>136.37960000000001</v>
      </c>
      <c r="R184" s="137">
        <v>1.08</v>
      </c>
      <c r="S184" s="120">
        <v>330780</v>
      </c>
      <c r="T184" s="120">
        <v>2745347</v>
      </c>
      <c r="U184" s="120">
        <v>0</v>
      </c>
      <c r="V184" s="114">
        <f t="shared" si="6"/>
        <v>2745347</v>
      </c>
      <c r="W184" s="114">
        <f t="shared" si="7"/>
        <v>3076127</v>
      </c>
    </row>
    <row r="185" spans="1:23">
      <c r="A185" s="122" t="s">
        <v>281</v>
      </c>
      <c r="B185" s="124">
        <v>648.92600000000004</v>
      </c>
      <c r="C185" s="124">
        <v>673.13699999999994</v>
      </c>
      <c r="D185" s="124">
        <v>716.86099999999999</v>
      </c>
      <c r="E185" s="124">
        <v>871.93299999999999</v>
      </c>
      <c r="F185" s="124">
        <v>81.142499999999998</v>
      </c>
      <c r="G185" s="124">
        <v>107.3146</v>
      </c>
      <c r="H185" s="124">
        <v>112.0645</v>
      </c>
      <c r="I185" s="124">
        <v>126.6734</v>
      </c>
      <c r="J185" s="134">
        <v>545587129</v>
      </c>
      <c r="K185" s="134">
        <v>561869385</v>
      </c>
      <c r="L185" s="124">
        <v>1139.4369999999999</v>
      </c>
      <c r="M185" s="134">
        <v>828530</v>
      </c>
      <c r="N185" s="135">
        <v>57.650100000000002</v>
      </c>
      <c r="O185" s="135">
        <v>72.500799999999998</v>
      </c>
      <c r="P185" s="135">
        <v>69.000799999999998</v>
      </c>
      <c r="Q185" s="135">
        <v>82.781499999999994</v>
      </c>
      <c r="R185" s="137">
        <v>1.07</v>
      </c>
      <c r="S185" s="120">
        <v>1027612</v>
      </c>
      <c r="T185" s="120">
        <v>9945304</v>
      </c>
      <c r="U185" s="120">
        <v>0</v>
      </c>
      <c r="V185" s="114">
        <f t="shared" si="6"/>
        <v>9945304</v>
      </c>
      <c r="W185" s="114">
        <f t="shared" si="7"/>
        <v>10972916</v>
      </c>
    </row>
    <row r="186" spans="1:23">
      <c r="A186" s="122" t="s">
        <v>282</v>
      </c>
      <c r="B186" s="124">
        <v>605.32799999999997</v>
      </c>
      <c r="C186" s="124">
        <v>571.88400000000001</v>
      </c>
      <c r="D186" s="124">
        <v>558.17999999999995</v>
      </c>
      <c r="E186" s="124">
        <v>549.60400000000004</v>
      </c>
      <c r="F186" s="124">
        <v>112.6066</v>
      </c>
      <c r="G186" s="124">
        <v>108.872</v>
      </c>
      <c r="H186" s="124">
        <v>109.6206</v>
      </c>
      <c r="I186" s="124">
        <v>102.5939</v>
      </c>
      <c r="J186" s="134">
        <v>53652820</v>
      </c>
      <c r="K186" s="134">
        <v>60538140</v>
      </c>
      <c r="L186" s="124">
        <v>1096.3109999999999</v>
      </c>
      <c r="M186" s="114">
        <v>0</v>
      </c>
      <c r="N186" s="135">
        <v>78.036500000000004</v>
      </c>
      <c r="O186" s="135">
        <v>77.3566</v>
      </c>
      <c r="P186" s="135">
        <v>76.496399999999994</v>
      </c>
      <c r="Q186" s="135">
        <v>69.727900000000005</v>
      </c>
      <c r="R186" s="137">
        <v>1.08</v>
      </c>
      <c r="S186" s="120">
        <v>0</v>
      </c>
      <c r="T186" s="120">
        <v>750625</v>
      </c>
      <c r="U186" s="120">
        <v>0</v>
      </c>
      <c r="V186" s="114">
        <f t="shared" si="6"/>
        <v>750625</v>
      </c>
      <c r="W186" s="114">
        <f t="shared" si="7"/>
        <v>750625</v>
      </c>
    </row>
    <row r="187" spans="1:23">
      <c r="A187" s="122" t="s">
        <v>642</v>
      </c>
      <c r="B187" s="124">
        <v>100.571</v>
      </c>
      <c r="C187" s="124">
        <v>104.84399999999999</v>
      </c>
      <c r="D187" s="124">
        <v>103.776</v>
      </c>
      <c r="E187" s="124">
        <v>100.901</v>
      </c>
      <c r="F187" s="124">
        <v>21.9466</v>
      </c>
      <c r="G187" s="124">
        <v>24.866399999999999</v>
      </c>
      <c r="H187" s="124">
        <v>26.866399999999999</v>
      </c>
      <c r="I187" s="124">
        <v>26.802199999999999</v>
      </c>
      <c r="J187" s="134">
        <v>24321089</v>
      </c>
      <c r="K187" s="134">
        <v>24773609</v>
      </c>
      <c r="L187" s="124">
        <v>252.005</v>
      </c>
      <c r="M187" s="114">
        <v>0</v>
      </c>
      <c r="N187" s="135">
        <v>16.001100000000001</v>
      </c>
      <c r="O187" s="135">
        <v>16.921399999999998</v>
      </c>
      <c r="P187" s="135">
        <v>18.2788</v>
      </c>
      <c r="Q187" s="135">
        <v>19.8461</v>
      </c>
      <c r="R187" s="137">
        <v>1.07</v>
      </c>
      <c r="S187" s="120">
        <v>0</v>
      </c>
      <c r="T187" s="120">
        <v>364888</v>
      </c>
      <c r="U187" s="120">
        <v>0</v>
      </c>
      <c r="V187" s="114">
        <f t="shared" si="6"/>
        <v>364888</v>
      </c>
      <c r="W187" s="114">
        <f t="shared" si="7"/>
        <v>364888</v>
      </c>
    </row>
    <row r="188" spans="1:23">
      <c r="A188" s="122" t="s">
        <v>1617</v>
      </c>
      <c r="B188" s="124">
        <v>1569.3889999999999</v>
      </c>
      <c r="C188" s="124">
        <v>1508.38</v>
      </c>
      <c r="D188" s="124">
        <v>1493.143</v>
      </c>
      <c r="E188" s="124">
        <v>1488.93</v>
      </c>
      <c r="F188" s="124">
        <v>218.37459999999999</v>
      </c>
      <c r="G188" s="124">
        <v>234.7757</v>
      </c>
      <c r="H188" s="124">
        <v>225.96530000000001</v>
      </c>
      <c r="I188" s="124">
        <v>219.7088</v>
      </c>
      <c r="J188" s="134">
        <v>391952513</v>
      </c>
      <c r="K188" s="134">
        <v>416964856</v>
      </c>
      <c r="L188" s="124">
        <v>2113.0439999999999</v>
      </c>
      <c r="M188" s="134">
        <v>8208</v>
      </c>
      <c r="N188" s="135">
        <v>139.01300000000001</v>
      </c>
      <c r="O188" s="135">
        <v>150.77010000000001</v>
      </c>
      <c r="P188" s="135">
        <v>144.69370000000001</v>
      </c>
      <c r="Q188" s="135">
        <v>144.44110000000001</v>
      </c>
      <c r="R188" s="137">
        <v>1.07</v>
      </c>
      <c r="S188" s="120">
        <v>231139</v>
      </c>
      <c r="T188" s="120">
        <v>5672901</v>
      </c>
      <c r="U188" s="120">
        <v>0</v>
      </c>
      <c r="V188" s="114">
        <f t="shared" si="6"/>
        <v>5672901</v>
      </c>
      <c r="W188" s="114">
        <f t="shared" si="7"/>
        <v>5904040</v>
      </c>
    </row>
    <row r="189" spans="1:23">
      <c r="A189" s="122" t="s">
        <v>643</v>
      </c>
      <c r="B189" s="124">
        <v>1428.3409999999999</v>
      </c>
      <c r="C189" s="124">
        <v>1426.7760000000001</v>
      </c>
      <c r="D189" s="124">
        <v>1384.6669999999999</v>
      </c>
      <c r="E189" s="124">
        <v>1346.3119999999999</v>
      </c>
      <c r="F189" s="124">
        <v>214.62559999999999</v>
      </c>
      <c r="G189" s="124">
        <v>219.4169</v>
      </c>
      <c r="H189" s="124">
        <v>232.51060000000001</v>
      </c>
      <c r="I189" s="124">
        <v>217.42509999999999</v>
      </c>
      <c r="J189" s="134">
        <v>400903507</v>
      </c>
      <c r="K189" s="134">
        <v>415832281</v>
      </c>
      <c r="L189" s="124">
        <v>2181.2429999999999</v>
      </c>
      <c r="M189" s="134">
        <v>321544</v>
      </c>
      <c r="N189" s="135">
        <v>147.16650000000001</v>
      </c>
      <c r="O189" s="135">
        <v>152.01150000000001</v>
      </c>
      <c r="P189" s="135">
        <v>154.7473</v>
      </c>
      <c r="Q189" s="135">
        <v>153.85640000000001</v>
      </c>
      <c r="R189" s="137">
        <v>1.08</v>
      </c>
      <c r="S189" s="120">
        <v>144362</v>
      </c>
      <c r="T189" s="120">
        <v>5841211</v>
      </c>
      <c r="U189" s="120">
        <v>0</v>
      </c>
      <c r="V189" s="114">
        <f t="shared" si="6"/>
        <v>5841211</v>
      </c>
      <c r="W189" s="114">
        <f t="shared" si="7"/>
        <v>5985573</v>
      </c>
    </row>
    <row r="190" spans="1:23">
      <c r="A190" s="122" t="s">
        <v>34</v>
      </c>
      <c r="B190" s="124">
        <v>629.899</v>
      </c>
      <c r="C190" s="124">
        <v>628.93600000000004</v>
      </c>
      <c r="D190" s="124">
        <v>653.24900000000002</v>
      </c>
      <c r="E190" s="124">
        <v>659.86300000000006</v>
      </c>
      <c r="F190" s="124">
        <v>104.72920000000001</v>
      </c>
      <c r="G190" s="124">
        <v>107.32080000000001</v>
      </c>
      <c r="H190" s="124">
        <v>113.9532</v>
      </c>
      <c r="I190" s="124">
        <v>111.55759999999999</v>
      </c>
      <c r="J190" s="134">
        <v>152360019</v>
      </c>
      <c r="K190" s="134">
        <v>164877089</v>
      </c>
      <c r="L190" s="124">
        <v>1079.2090000000001</v>
      </c>
      <c r="M190" s="134">
        <v>320618</v>
      </c>
      <c r="N190" s="135">
        <v>78.653000000000006</v>
      </c>
      <c r="O190" s="135">
        <v>73.960700000000003</v>
      </c>
      <c r="P190" s="135">
        <v>80.185900000000004</v>
      </c>
      <c r="Q190" s="135">
        <v>77.420199999999994</v>
      </c>
      <c r="R190" s="137">
        <v>1.07</v>
      </c>
      <c r="S190" s="120">
        <v>281446</v>
      </c>
      <c r="T190" s="120">
        <v>2359890</v>
      </c>
      <c r="U190" s="120">
        <v>0</v>
      </c>
      <c r="V190" s="114">
        <f t="shared" si="6"/>
        <v>2359890</v>
      </c>
      <c r="W190" s="114">
        <f t="shared" si="7"/>
        <v>2641336</v>
      </c>
    </row>
    <row r="191" spans="1:23">
      <c r="A191" s="122" t="s">
        <v>35</v>
      </c>
      <c r="B191" s="124">
        <v>5616.5929999999998</v>
      </c>
      <c r="C191" s="124">
        <v>5590.7139999999999</v>
      </c>
      <c r="D191" s="124">
        <v>5689.4110000000001</v>
      </c>
      <c r="E191" s="124">
        <v>5867.8109999999997</v>
      </c>
      <c r="F191" s="124">
        <v>786.11220000000003</v>
      </c>
      <c r="G191" s="124">
        <v>801.81889999999999</v>
      </c>
      <c r="H191" s="124">
        <v>769.45529999999997</v>
      </c>
      <c r="I191" s="124">
        <v>774.17570000000001</v>
      </c>
      <c r="J191" s="134">
        <v>1364591595</v>
      </c>
      <c r="K191" s="134">
        <v>1446153051</v>
      </c>
      <c r="L191" s="124">
        <v>7253.02</v>
      </c>
      <c r="M191" s="134">
        <v>3647293</v>
      </c>
      <c r="N191" s="135">
        <v>452.04090000000002</v>
      </c>
      <c r="O191" s="135">
        <v>468.12979999999999</v>
      </c>
      <c r="P191" s="135">
        <v>462.38470000000001</v>
      </c>
      <c r="Q191" s="135">
        <v>481.01429999999999</v>
      </c>
      <c r="R191" s="137">
        <v>1.08</v>
      </c>
      <c r="S191" s="120">
        <v>5091707</v>
      </c>
      <c r="T191" s="120">
        <v>22072122</v>
      </c>
      <c r="U191" s="120">
        <v>0</v>
      </c>
      <c r="V191" s="114">
        <f t="shared" si="6"/>
        <v>22072122</v>
      </c>
      <c r="W191" s="114">
        <f t="shared" si="7"/>
        <v>27163829</v>
      </c>
    </row>
    <row r="192" spans="1:23">
      <c r="A192" s="122" t="s">
        <v>1437</v>
      </c>
      <c r="B192" s="124">
        <v>9859.2289999999994</v>
      </c>
      <c r="C192" s="124">
        <v>10058.732</v>
      </c>
      <c r="D192" s="124">
        <v>10274.703</v>
      </c>
      <c r="E192" s="124">
        <v>10596.371999999999</v>
      </c>
      <c r="F192" s="124">
        <v>1552.1780000000001</v>
      </c>
      <c r="G192" s="124">
        <v>1603.9090000000001</v>
      </c>
      <c r="H192" s="124">
        <v>1660.4137000000001</v>
      </c>
      <c r="I192" s="124">
        <v>1673.1538</v>
      </c>
      <c r="J192" s="134">
        <v>3478362812</v>
      </c>
      <c r="K192" s="134">
        <v>3646306342</v>
      </c>
      <c r="L192" s="124">
        <v>13118.968999999999</v>
      </c>
      <c r="M192" s="134">
        <v>10087252</v>
      </c>
      <c r="N192" s="135">
        <v>923.59059999999999</v>
      </c>
      <c r="O192" s="135">
        <v>925.67280000000005</v>
      </c>
      <c r="P192" s="135">
        <v>930.80470000000003</v>
      </c>
      <c r="Q192" s="135">
        <v>908.77829999999994</v>
      </c>
      <c r="R192" s="137">
        <v>1.0900000000000001</v>
      </c>
      <c r="S192" s="120">
        <v>12140155</v>
      </c>
      <c r="T192" s="120">
        <v>56069382</v>
      </c>
      <c r="U192" s="120">
        <v>0</v>
      </c>
      <c r="V192" s="114">
        <f t="shared" si="6"/>
        <v>56069382</v>
      </c>
      <c r="W192" s="114">
        <f t="shared" si="7"/>
        <v>68209537</v>
      </c>
    </row>
    <row r="193" spans="1:23">
      <c r="A193" s="122" t="s">
        <v>2644</v>
      </c>
      <c r="B193" s="124">
        <v>1310.096</v>
      </c>
      <c r="C193" s="124">
        <v>1329.1489999999999</v>
      </c>
      <c r="D193" s="124">
        <v>1331.258</v>
      </c>
      <c r="E193" s="124">
        <v>1352.7149999999999</v>
      </c>
      <c r="F193" s="124">
        <v>170.6926</v>
      </c>
      <c r="G193" s="124">
        <v>171.47569999999999</v>
      </c>
      <c r="H193" s="124">
        <v>188.07220000000001</v>
      </c>
      <c r="I193" s="124">
        <v>196.2193</v>
      </c>
      <c r="J193" s="134">
        <v>160441310</v>
      </c>
      <c r="K193" s="134">
        <v>177264180</v>
      </c>
      <c r="L193" s="124">
        <v>2048.654</v>
      </c>
      <c r="M193" s="134">
        <v>130468</v>
      </c>
      <c r="N193" s="135">
        <v>119.06319999999999</v>
      </c>
      <c r="O193" s="135">
        <v>122.9419</v>
      </c>
      <c r="P193" s="135">
        <v>127.2098</v>
      </c>
      <c r="Q193" s="135">
        <v>133.43809999999999</v>
      </c>
      <c r="R193" s="137">
        <v>1.04</v>
      </c>
      <c r="S193" s="120">
        <v>158872</v>
      </c>
      <c r="T193" s="120">
        <v>1794269</v>
      </c>
      <c r="U193" s="120">
        <v>0</v>
      </c>
      <c r="V193" s="114">
        <f t="shared" si="6"/>
        <v>1794269</v>
      </c>
      <c r="W193" s="114">
        <f t="shared" si="7"/>
        <v>1953141</v>
      </c>
    </row>
    <row r="194" spans="1:23">
      <c r="A194" s="122" t="s">
        <v>2763</v>
      </c>
      <c r="B194" s="124">
        <v>748.52200000000005</v>
      </c>
      <c r="C194" s="124">
        <v>719.01400000000001</v>
      </c>
      <c r="D194" s="124">
        <v>703.34199999999998</v>
      </c>
      <c r="E194" s="124">
        <v>683.85900000000004</v>
      </c>
      <c r="F194" s="124">
        <v>122.1476</v>
      </c>
      <c r="G194" s="124">
        <v>124.9271</v>
      </c>
      <c r="H194" s="124">
        <v>125.6836</v>
      </c>
      <c r="I194" s="124">
        <v>122.5761</v>
      </c>
      <c r="J194" s="134">
        <v>108587321</v>
      </c>
      <c r="K194" s="134">
        <v>119379801</v>
      </c>
      <c r="L194" s="124">
        <v>1072.6189999999999</v>
      </c>
      <c r="M194" s="134">
        <v>25998</v>
      </c>
      <c r="N194" s="135">
        <v>86.049800000000005</v>
      </c>
      <c r="O194" s="135">
        <v>84.343999999999994</v>
      </c>
      <c r="P194" s="135">
        <v>86.122600000000006</v>
      </c>
      <c r="Q194" s="135">
        <v>81.381100000000004</v>
      </c>
      <c r="R194" s="137">
        <v>1.04</v>
      </c>
      <c r="S194" s="120">
        <v>27895</v>
      </c>
      <c r="T194" s="120">
        <v>1399014</v>
      </c>
      <c r="U194" s="120">
        <v>58828</v>
      </c>
      <c r="V194" s="114">
        <f t="shared" si="6"/>
        <v>1457842</v>
      </c>
      <c r="W194" s="114">
        <f t="shared" si="7"/>
        <v>1485737</v>
      </c>
    </row>
    <row r="195" spans="1:23">
      <c r="A195" s="122" t="s">
        <v>2672</v>
      </c>
      <c r="B195" s="124">
        <v>207.26900000000001</v>
      </c>
      <c r="C195" s="124">
        <v>199.22399999999999</v>
      </c>
      <c r="D195" s="124">
        <v>210.99799999999999</v>
      </c>
      <c r="E195" s="124">
        <v>205.15299999999999</v>
      </c>
      <c r="F195" s="124">
        <v>40.515500000000003</v>
      </c>
      <c r="G195" s="124">
        <v>41.033200000000001</v>
      </c>
      <c r="H195" s="124">
        <v>41.547600000000003</v>
      </c>
      <c r="I195" s="124">
        <v>37.205300000000001</v>
      </c>
      <c r="J195" s="134">
        <v>24260564</v>
      </c>
      <c r="K195" s="134">
        <v>27033474</v>
      </c>
      <c r="L195" s="124">
        <v>366.69400000000002</v>
      </c>
      <c r="M195" s="114">
        <v>0</v>
      </c>
      <c r="N195" s="135">
        <v>27.503799999999998</v>
      </c>
      <c r="O195" s="135">
        <v>28.153700000000001</v>
      </c>
      <c r="P195" s="135">
        <v>29.483000000000001</v>
      </c>
      <c r="Q195" s="135">
        <v>26.501200000000001</v>
      </c>
      <c r="R195" s="137">
        <v>1.05</v>
      </c>
      <c r="S195" s="120">
        <v>18776</v>
      </c>
      <c r="T195" s="120">
        <v>352397</v>
      </c>
      <c r="U195" s="120">
        <v>0</v>
      </c>
      <c r="V195" s="114">
        <f t="shared" si="6"/>
        <v>352397</v>
      </c>
      <c r="W195" s="114">
        <f t="shared" si="7"/>
        <v>371173</v>
      </c>
    </row>
    <row r="196" spans="1:23">
      <c r="A196" s="122" t="s">
        <v>2645</v>
      </c>
      <c r="B196" s="124">
        <v>124.274</v>
      </c>
      <c r="C196" s="124">
        <v>115.209</v>
      </c>
      <c r="D196" s="124">
        <v>117.01300000000001</v>
      </c>
      <c r="E196" s="124">
        <v>123.19199999999999</v>
      </c>
      <c r="F196" s="124">
        <v>24.5</v>
      </c>
      <c r="G196" s="124">
        <v>25.4786</v>
      </c>
      <c r="H196" s="124">
        <v>24.9786</v>
      </c>
      <c r="I196" s="124">
        <v>24.9786</v>
      </c>
      <c r="J196" s="134">
        <v>12581142</v>
      </c>
      <c r="K196" s="134">
        <v>14115812</v>
      </c>
      <c r="L196" s="124">
        <v>290.24</v>
      </c>
      <c r="M196" s="114">
        <v>0</v>
      </c>
      <c r="N196" s="135">
        <v>16.4011</v>
      </c>
      <c r="O196" s="135">
        <v>17.500599999999999</v>
      </c>
      <c r="P196" s="135">
        <v>18.644100000000002</v>
      </c>
      <c r="Q196" s="135">
        <v>14.001099999999999</v>
      </c>
      <c r="R196" s="137">
        <v>1.04</v>
      </c>
      <c r="S196" s="120">
        <v>0</v>
      </c>
      <c r="T196" s="120">
        <v>188521</v>
      </c>
      <c r="U196" s="120">
        <v>0</v>
      </c>
      <c r="V196" s="114">
        <f t="shared" si="6"/>
        <v>188521</v>
      </c>
      <c r="W196" s="114">
        <f t="shared" si="7"/>
        <v>188521</v>
      </c>
    </row>
    <row r="197" spans="1:23">
      <c r="A197" s="122" t="s">
        <v>2646</v>
      </c>
      <c r="B197" s="124">
        <v>328.834</v>
      </c>
      <c r="C197" s="124">
        <v>308.20499999999998</v>
      </c>
      <c r="D197" s="124">
        <v>298.89699999999999</v>
      </c>
      <c r="E197" s="124">
        <v>279.82900000000001</v>
      </c>
      <c r="F197" s="124">
        <v>68.649799999999999</v>
      </c>
      <c r="G197" s="124">
        <v>66.641900000000007</v>
      </c>
      <c r="H197" s="124">
        <v>58.246099999999998</v>
      </c>
      <c r="I197" s="124">
        <v>54.069600000000001</v>
      </c>
      <c r="J197" s="134">
        <v>113967930</v>
      </c>
      <c r="K197" s="134">
        <v>118486960</v>
      </c>
      <c r="L197" s="124">
        <v>556.72500000000002</v>
      </c>
      <c r="M197" s="114">
        <v>0</v>
      </c>
      <c r="N197" s="135">
        <v>41.738</v>
      </c>
      <c r="O197" s="135">
        <v>40.386499999999998</v>
      </c>
      <c r="P197" s="135">
        <v>35.076599999999999</v>
      </c>
      <c r="Q197" s="135">
        <v>32.197800000000001</v>
      </c>
      <c r="R197" s="137">
        <v>1.04</v>
      </c>
      <c r="S197" s="120">
        <v>0</v>
      </c>
      <c r="T197" s="120">
        <v>1606638</v>
      </c>
      <c r="U197" s="120">
        <v>0</v>
      </c>
      <c r="V197" s="114">
        <f t="shared" ref="V197:V260" si="8">T197+U197</f>
        <v>1606638</v>
      </c>
      <c r="W197" s="114">
        <f t="shared" ref="W197:W260" si="9">V197+S197</f>
        <v>1606638</v>
      </c>
    </row>
    <row r="198" spans="1:23">
      <c r="A198" s="122" t="s">
        <v>331</v>
      </c>
      <c r="B198" s="124">
        <v>157.16499999999999</v>
      </c>
      <c r="C198" s="124">
        <v>148.15799999999999</v>
      </c>
      <c r="D198" s="124">
        <v>153.04400000000001</v>
      </c>
      <c r="E198" s="124">
        <v>153.672</v>
      </c>
      <c r="F198" s="124">
        <v>30.5</v>
      </c>
      <c r="G198" s="124">
        <v>29.6721</v>
      </c>
      <c r="H198" s="124">
        <v>32.522500000000001</v>
      </c>
      <c r="I198" s="124">
        <v>32.897199999999998</v>
      </c>
      <c r="J198" s="134">
        <v>49352479</v>
      </c>
      <c r="K198" s="134">
        <v>51028879</v>
      </c>
      <c r="L198" s="124">
        <v>331.68200000000002</v>
      </c>
      <c r="M198" s="114">
        <v>0</v>
      </c>
      <c r="N198" s="135">
        <v>19.6206</v>
      </c>
      <c r="O198" s="135">
        <v>17.302600000000002</v>
      </c>
      <c r="P198" s="135">
        <v>19.348500000000001</v>
      </c>
      <c r="Q198" s="135">
        <v>20.179200000000002</v>
      </c>
      <c r="R198" s="137">
        <v>1.06</v>
      </c>
      <c r="S198" s="120">
        <v>0</v>
      </c>
      <c r="T198" s="120">
        <v>741042</v>
      </c>
      <c r="U198" s="120">
        <v>0</v>
      </c>
      <c r="V198" s="114">
        <f t="shared" si="8"/>
        <v>741042</v>
      </c>
      <c r="W198" s="114">
        <f t="shared" si="9"/>
        <v>741042</v>
      </c>
    </row>
    <row r="199" spans="1:23">
      <c r="A199" s="122" t="s">
        <v>1607</v>
      </c>
      <c r="B199" s="124">
        <v>2633.5819999999999</v>
      </c>
      <c r="C199" s="124">
        <v>2734.1950000000002</v>
      </c>
      <c r="D199" s="124">
        <v>2732.49</v>
      </c>
      <c r="E199" s="124">
        <v>2736.4670000000001</v>
      </c>
      <c r="F199" s="124">
        <v>385.26299999999998</v>
      </c>
      <c r="G199" s="124">
        <v>375.12990000000002</v>
      </c>
      <c r="H199" s="124">
        <v>417.42750000000001</v>
      </c>
      <c r="I199" s="124">
        <v>440.50069999999999</v>
      </c>
      <c r="J199" s="134">
        <v>528546933</v>
      </c>
      <c r="K199" s="134">
        <v>566899533</v>
      </c>
      <c r="L199" s="124">
        <v>3915.5010000000002</v>
      </c>
      <c r="M199" s="134">
        <v>227533</v>
      </c>
      <c r="N199" s="135">
        <v>272.69490000000002</v>
      </c>
      <c r="O199" s="135">
        <v>252.76840000000001</v>
      </c>
      <c r="P199" s="135">
        <v>274.51609999999999</v>
      </c>
      <c r="Q199" s="135">
        <v>285.74130000000002</v>
      </c>
      <c r="R199" s="137">
        <v>1.0900000000000001</v>
      </c>
      <c r="S199" s="120">
        <v>444476</v>
      </c>
      <c r="T199" s="120">
        <v>8240007</v>
      </c>
      <c r="U199" s="120">
        <v>0</v>
      </c>
      <c r="V199" s="114">
        <f t="shared" si="8"/>
        <v>8240007</v>
      </c>
      <c r="W199" s="114">
        <f t="shared" si="9"/>
        <v>8684483</v>
      </c>
    </row>
    <row r="200" spans="1:23">
      <c r="A200" s="122" t="s">
        <v>332</v>
      </c>
      <c r="B200" s="124">
        <v>475.98099999999999</v>
      </c>
      <c r="C200" s="124">
        <v>459.32</v>
      </c>
      <c r="D200" s="124">
        <v>479.601</v>
      </c>
      <c r="E200" s="124">
        <v>490.94900000000001</v>
      </c>
      <c r="F200" s="124">
        <v>60.6693</v>
      </c>
      <c r="G200" s="124">
        <v>65.008200000000002</v>
      </c>
      <c r="H200" s="124">
        <v>66.938599999999994</v>
      </c>
      <c r="I200" s="124">
        <v>69.262699999999995</v>
      </c>
      <c r="J200" s="134">
        <v>108280039</v>
      </c>
      <c r="K200" s="134">
        <v>115746922</v>
      </c>
      <c r="L200" s="124">
        <v>768.101</v>
      </c>
      <c r="M200" s="134">
        <v>78271</v>
      </c>
      <c r="N200" s="135">
        <v>45.973999999999997</v>
      </c>
      <c r="O200" s="135">
        <v>44.394100000000002</v>
      </c>
      <c r="P200" s="135">
        <v>41.499699999999997</v>
      </c>
      <c r="Q200" s="135">
        <v>43.409399999999998</v>
      </c>
      <c r="R200" s="137">
        <v>1.07</v>
      </c>
      <c r="S200" s="120">
        <v>89189</v>
      </c>
      <c r="T200" s="120">
        <v>1664061</v>
      </c>
      <c r="U200" s="120">
        <v>0</v>
      </c>
      <c r="V200" s="114">
        <f t="shared" si="8"/>
        <v>1664061</v>
      </c>
      <c r="W200" s="114">
        <f t="shared" si="9"/>
        <v>1753250</v>
      </c>
    </row>
    <row r="201" spans="1:23">
      <c r="A201" s="122" t="s">
        <v>2863</v>
      </c>
      <c r="B201" s="124">
        <v>610.85799999999995</v>
      </c>
      <c r="C201" s="124">
        <v>635.57799999999997</v>
      </c>
      <c r="D201" s="124">
        <v>672.721</v>
      </c>
      <c r="E201" s="124">
        <v>654.08699999999999</v>
      </c>
      <c r="F201" s="124">
        <v>84.904200000000003</v>
      </c>
      <c r="G201" s="124">
        <v>91.168899999999994</v>
      </c>
      <c r="H201" s="124">
        <v>98.410700000000006</v>
      </c>
      <c r="I201" s="124">
        <v>87.565600000000003</v>
      </c>
      <c r="J201" s="134">
        <v>91908121</v>
      </c>
      <c r="K201" s="134">
        <v>98673528</v>
      </c>
      <c r="L201" s="124">
        <v>1033.288</v>
      </c>
      <c r="M201" s="114">
        <v>0</v>
      </c>
      <c r="N201" s="135">
        <v>62.985700000000001</v>
      </c>
      <c r="O201" s="135">
        <v>66.5749</v>
      </c>
      <c r="P201" s="135">
        <v>70.458100000000002</v>
      </c>
      <c r="Q201" s="135">
        <v>74.202200000000005</v>
      </c>
      <c r="R201" s="137">
        <v>1.07</v>
      </c>
      <c r="S201" s="120">
        <v>66562</v>
      </c>
      <c r="T201" s="120">
        <v>1366312</v>
      </c>
      <c r="U201" s="120">
        <v>0</v>
      </c>
      <c r="V201" s="114">
        <f t="shared" si="8"/>
        <v>1366312</v>
      </c>
      <c r="W201" s="114">
        <f t="shared" si="9"/>
        <v>1432874</v>
      </c>
    </row>
    <row r="202" spans="1:23">
      <c r="A202" s="122" t="s">
        <v>333</v>
      </c>
      <c r="B202" s="124">
        <v>1039.075</v>
      </c>
      <c r="C202" s="124">
        <v>1046.8340000000001</v>
      </c>
      <c r="D202" s="124">
        <v>1028.877</v>
      </c>
      <c r="E202" s="124">
        <v>1020.111</v>
      </c>
      <c r="F202" s="124">
        <v>166.20330000000001</v>
      </c>
      <c r="G202" s="124">
        <v>167.37719999999999</v>
      </c>
      <c r="H202" s="124">
        <v>168.7193</v>
      </c>
      <c r="I202" s="124">
        <v>175.67930000000001</v>
      </c>
      <c r="J202" s="134">
        <v>258037567</v>
      </c>
      <c r="K202" s="134">
        <v>277150093</v>
      </c>
      <c r="L202" s="124">
        <v>1499.711</v>
      </c>
      <c r="M202" s="134">
        <v>202247</v>
      </c>
      <c r="N202" s="135">
        <v>109.98009999999999</v>
      </c>
      <c r="O202" s="135">
        <v>103.58929999999999</v>
      </c>
      <c r="P202" s="135">
        <v>103.05410000000001</v>
      </c>
      <c r="Q202" s="135">
        <v>110.92749999999999</v>
      </c>
      <c r="R202" s="137">
        <v>1.07</v>
      </c>
      <c r="S202" s="120">
        <v>202299</v>
      </c>
      <c r="T202" s="120">
        <v>4151442</v>
      </c>
      <c r="U202" s="120">
        <v>0</v>
      </c>
      <c r="V202" s="114">
        <f t="shared" si="8"/>
        <v>4151442</v>
      </c>
      <c r="W202" s="114">
        <f t="shared" si="9"/>
        <v>4353741</v>
      </c>
    </row>
    <row r="203" spans="1:23">
      <c r="A203" s="122" t="s">
        <v>334</v>
      </c>
      <c r="B203" s="124">
        <v>362.42399999999998</v>
      </c>
      <c r="C203" s="124">
        <v>352.71800000000002</v>
      </c>
      <c r="D203" s="124">
        <v>342.06599999999997</v>
      </c>
      <c r="E203" s="124">
        <v>341.49200000000002</v>
      </c>
      <c r="F203" s="124">
        <v>60.7012</v>
      </c>
      <c r="G203" s="124">
        <v>60.427</v>
      </c>
      <c r="H203" s="124">
        <v>57.465800000000002</v>
      </c>
      <c r="I203" s="124">
        <v>49.246400000000001</v>
      </c>
      <c r="J203" s="134">
        <v>37950759</v>
      </c>
      <c r="K203" s="134">
        <v>41985563</v>
      </c>
      <c r="L203" s="124">
        <v>532.40099999999995</v>
      </c>
      <c r="M203" s="134">
        <v>35024</v>
      </c>
      <c r="N203" s="135">
        <v>43.974299999999999</v>
      </c>
      <c r="O203" s="135">
        <v>41.145499999999998</v>
      </c>
      <c r="P203" s="135">
        <v>37.979700000000001</v>
      </c>
      <c r="Q203" s="135">
        <v>29.493500000000001</v>
      </c>
      <c r="R203" s="137">
        <v>1.06</v>
      </c>
      <c r="S203" s="120">
        <v>38705</v>
      </c>
      <c r="T203" s="120">
        <v>722285</v>
      </c>
      <c r="U203" s="120">
        <v>0</v>
      </c>
      <c r="V203" s="114">
        <f t="shared" si="8"/>
        <v>722285</v>
      </c>
      <c r="W203" s="114">
        <f t="shared" si="9"/>
        <v>760990</v>
      </c>
    </row>
    <row r="204" spans="1:23">
      <c r="A204" s="122" t="s">
        <v>335</v>
      </c>
      <c r="B204" s="124">
        <v>490.85599999999999</v>
      </c>
      <c r="C204" s="124">
        <v>467.91399999999999</v>
      </c>
      <c r="D204" s="124">
        <v>462.20299999999997</v>
      </c>
      <c r="E204" s="124">
        <v>461.947</v>
      </c>
      <c r="F204" s="124">
        <v>60.1175</v>
      </c>
      <c r="G204" s="124">
        <v>58.860799999999998</v>
      </c>
      <c r="H204" s="124">
        <v>55.3127</v>
      </c>
      <c r="I204" s="124">
        <v>55.7712</v>
      </c>
      <c r="J204" s="134">
        <v>100025562</v>
      </c>
      <c r="K204" s="134">
        <v>104096995</v>
      </c>
      <c r="L204" s="124">
        <v>686.43600000000004</v>
      </c>
      <c r="M204" s="114">
        <v>0</v>
      </c>
      <c r="N204" s="135">
        <v>45.064999999999998</v>
      </c>
      <c r="O204" s="135">
        <v>42.504899999999999</v>
      </c>
      <c r="P204" s="135">
        <v>40.586799999999997</v>
      </c>
      <c r="Q204" s="135">
        <v>39.226599999999998</v>
      </c>
      <c r="R204" s="137">
        <v>1.06</v>
      </c>
      <c r="S204" s="120">
        <v>0</v>
      </c>
      <c r="T204" s="120">
        <v>1384124</v>
      </c>
      <c r="U204" s="120">
        <v>0</v>
      </c>
      <c r="V204" s="114">
        <f t="shared" si="8"/>
        <v>1384124</v>
      </c>
      <c r="W204" s="114">
        <f t="shared" si="9"/>
        <v>1384124</v>
      </c>
    </row>
    <row r="205" spans="1:23">
      <c r="A205" s="122" t="s">
        <v>1962</v>
      </c>
      <c r="B205" s="124">
        <v>43.779000000000003</v>
      </c>
      <c r="C205" s="124">
        <v>44.183999999999997</v>
      </c>
      <c r="D205" s="124">
        <v>54.988999999999997</v>
      </c>
      <c r="E205" s="124">
        <v>65.093999999999994</v>
      </c>
      <c r="F205" s="124">
        <v>10.5</v>
      </c>
      <c r="G205" s="124">
        <v>10</v>
      </c>
      <c r="H205" s="124">
        <v>14</v>
      </c>
      <c r="I205" s="124">
        <v>15</v>
      </c>
      <c r="J205" s="134">
        <v>11407031</v>
      </c>
      <c r="K205" s="134">
        <v>11605042</v>
      </c>
      <c r="L205" s="124">
        <v>150.80500000000001</v>
      </c>
      <c r="M205" s="114">
        <v>0</v>
      </c>
      <c r="N205" s="135">
        <v>6.9997999999999996</v>
      </c>
      <c r="O205" s="135">
        <v>6.9996999999999998</v>
      </c>
      <c r="P205" s="135">
        <v>9.9997000000000007</v>
      </c>
      <c r="Q205" s="135">
        <v>11.001099999999999</v>
      </c>
      <c r="R205" s="137">
        <v>1.08</v>
      </c>
      <c r="S205" s="120">
        <v>0</v>
      </c>
      <c r="T205" s="120">
        <v>157008</v>
      </c>
      <c r="U205" s="120">
        <v>0</v>
      </c>
      <c r="V205" s="114">
        <f t="shared" si="8"/>
        <v>157008</v>
      </c>
      <c r="W205" s="114">
        <f t="shared" si="9"/>
        <v>157008</v>
      </c>
    </row>
    <row r="206" spans="1:23">
      <c r="A206" s="122" t="s">
        <v>1963</v>
      </c>
      <c r="B206" s="124">
        <v>58.241</v>
      </c>
      <c r="C206" s="124">
        <v>56.186999999999998</v>
      </c>
      <c r="D206" s="124">
        <v>54.49</v>
      </c>
      <c r="E206" s="124">
        <v>53.51</v>
      </c>
      <c r="F206" s="124">
        <v>11.9519</v>
      </c>
      <c r="G206" s="124">
        <v>13.4275</v>
      </c>
      <c r="H206" s="124">
        <v>10.631</v>
      </c>
      <c r="I206" s="124">
        <v>10.9786</v>
      </c>
      <c r="J206" s="134">
        <v>37541860</v>
      </c>
      <c r="K206" s="134">
        <v>38969719</v>
      </c>
      <c r="L206" s="124">
        <v>132.35900000000001</v>
      </c>
      <c r="M206" s="114">
        <v>0</v>
      </c>
      <c r="N206" s="135">
        <v>7.1430999999999996</v>
      </c>
      <c r="O206" s="135">
        <v>6.5720999999999998</v>
      </c>
      <c r="P206" s="135">
        <v>5.9307999999999996</v>
      </c>
      <c r="Q206" s="135">
        <v>7.0000999999999998</v>
      </c>
      <c r="R206" s="137">
        <v>1.08</v>
      </c>
      <c r="S206" s="120">
        <v>0</v>
      </c>
      <c r="T206" s="120">
        <v>655759</v>
      </c>
      <c r="U206" s="120">
        <v>0</v>
      </c>
      <c r="V206" s="114">
        <f t="shared" si="8"/>
        <v>655759</v>
      </c>
      <c r="W206" s="114">
        <f t="shared" si="9"/>
        <v>655759</v>
      </c>
    </row>
    <row r="207" spans="1:23">
      <c r="A207" s="122" t="s">
        <v>1492</v>
      </c>
      <c r="B207" s="124">
        <v>304.41199999999998</v>
      </c>
      <c r="C207" s="124">
        <v>306.29000000000002</v>
      </c>
      <c r="D207" s="124">
        <v>297.04000000000002</v>
      </c>
      <c r="E207" s="124">
        <v>295.10500000000002</v>
      </c>
      <c r="F207" s="124">
        <v>47.532200000000003</v>
      </c>
      <c r="G207" s="124">
        <v>49.5991</v>
      </c>
      <c r="H207" s="124">
        <v>48.173900000000003</v>
      </c>
      <c r="I207" s="124">
        <v>48.636499999999998</v>
      </c>
      <c r="J207" s="134">
        <v>44656885</v>
      </c>
      <c r="K207" s="134">
        <v>46779875</v>
      </c>
      <c r="L207" s="124">
        <v>497.82299999999998</v>
      </c>
      <c r="M207" s="114">
        <v>0</v>
      </c>
      <c r="N207" s="135">
        <v>30.290400000000002</v>
      </c>
      <c r="O207" s="135">
        <v>31.357700000000001</v>
      </c>
      <c r="P207" s="135">
        <v>29.857500000000002</v>
      </c>
      <c r="Q207" s="135">
        <v>31.0015</v>
      </c>
      <c r="R207" s="137">
        <v>1.04</v>
      </c>
      <c r="S207" s="120">
        <v>0</v>
      </c>
      <c r="T207" s="120">
        <v>573539</v>
      </c>
      <c r="U207" s="120">
        <v>0</v>
      </c>
      <c r="V207" s="114">
        <f t="shared" si="8"/>
        <v>573539</v>
      </c>
      <c r="W207" s="114">
        <f t="shared" si="9"/>
        <v>573539</v>
      </c>
    </row>
    <row r="208" spans="1:23">
      <c r="A208" s="122" t="s">
        <v>1267</v>
      </c>
      <c r="B208" s="124">
        <v>2397.6819999999998</v>
      </c>
      <c r="C208" s="124">
        <v>2383.576</v>
      </c>
      <c r="D208" s="124">
        <v>2393.4450000000002</v>
      </c>
      <c r="E208" s="124">
        <v>2437.049</v>
      </c>
      <c r="F208" s="124">
        <v>321.1472</v>
      </c>
      <c r="G208" s="124">
        <v>329.18099999999998</v>
      </c>
      <c r="H208" s="124">
        <v>333.06299999999999</v>
      </c>
      <c r="I208" s="124">
        <v>340.92669999999998</v>
      </c>
      <c r="J208" s="134">
        <v>276938641</v>
      </c>
      <c r="K208" s="134">
        <v>292909471</v>
      </c>
      <c r="L208" s="124">
        <v>3347.9140000000002</v>
      </c>
      <c r="M208" s="134">
        <v>284102</v>
      </c>
      <c r="N208" s="135">
        <v>205.5891</v>
      </c>
      <c r="O208" s="135">
        <v>213.83920000000001</v>
      </c>
      <c r="P208" s="135">
        <v>219.78579999999999</v>
      </c>
      <c r="Q208" s="135">
        <v>225.14410000000001</v>
      </c>
      <c r="R208" s="137">
        <v>1.05</v>
      </c>
      <c r="S208" s="120">
        <v>266185</v>
      </c>
      <c r="T208" s="120">
        <v>3844817</v>
      </c>
      <c r="U208" s="120">
        <v>0</v>
      </c>
      <c r="V208" s="114">
        <f t="shared" si="8"/>
        <v>3844817</v>
      </c>
      <c r="W208" s="114">
        <f t="shared" si="9"/>
        <v>4111002</v>
      </c>
    </row>
    <row r="209" spans="1:23">
      <c r="A209" s="122" t="s">
        <v>2462</v>
      </c>
      <c r="B209" s="124">
        <v>168.14099999999999</v>
      </c>
      <c r="C209" s="124">
        <v>167.68199999999999</v>
      </c>
      <c r="D209" s="124">
        <v>165.03299999999999</v>
      </c>
      <c r="E209" s="124">
        <v>170.40899999999999</v>
      </c>
      <c r="F209" s="124">
        <v>24.9556</v>
      </c>
      <c r="G209" s="124">
        <v>23.469000000000001</v>
      </c>
      <c r="H209" s="124">
        <v>25.4556</v>
      </c>
      <c r="I209" s="124">
        <v>25.4556</v>
      </c>
      <c r="J209" s="134">
        <v>20033140</v>
      </c>
      <c r="K209" s="134">
        <v>21230260</v>
      </c>
      <c r="L209" s="124">
        <v>296.161</v>
      </c>
      <c r="M209" s="134">
        <v>16024</v>
      </c>
      <c r="N209" s="135">
        <v>18.947299999999998</v>
      </c>
      <c r="O209" s="135">
        <v>17.461200000000002</v>
      </c>
      <c r="P209" s="135">
        <v>19.376999999999999</v>
      </c>
      <c r="Q209" s="135">
        <v>17.447399999999998</v>
      </c>
      <c r="R209" s="137">
        <v>1.05</v>
      </c>
      <c r="S209" s="120">
        <v>32682</v>
      </c>
      <c r="T209" s="120">
        <v>255803</v>
      </c>
      <c r="U209" s="120">
        <v>0</v>
      </c>
      <c r="V209" s="114">
        <f t="shared" si="8"/>
        <v>255803</v>
      </c>
      <c r="W209" s="114">
        <f t="shared" si="9"/>
        <v>288485</v>
      </c>
    </row>
    <row r="210" spans="1:23">
      <c r="A210" s="122" t="s">
        <v>1268</v>
      </c>
      <c r="B210" s="124">
        <v>228.18799999999999</v>
      </c>
      <c r="C210" s="124">
        <v>205.238</v>
      </c>
      <c r="D210" s="124">
        <v>202.352</v>
      </c>
      <c r="E210" s="124">
        <v>196.74700000000001</v>
      </c>
      <c r="F210" s="124">
        <v>42.187399999999997</v>
      </c>
      <c r="G210" s="124">
        <v>40.080399999999997</v>
      </c>
      <c r="H210" s="124">
        <v>32.973599999999998</v>
      </c>
      <c r="I210" s="124">
        <v>31.615200000000002</v>
      </c>
      <c r="J210" s="134">
        <v>32046514</v>
      </c>
      <c r="K210" s="134">
        <v>33446314</v>
      </c>
      <c r="L210" s="124">
        <v>329.77</v>
      </c>
      <c r="M210" s="114">
        <v>0</v>
      </c>
      <c r="N210" s="135">
        <v>20.998799999999999</v>
      </c>
      <c r="O210" s="135">
        <v>25.265599999999999</v>
      </c>
      <c r="P210" s="135">
        <v>18.998899999999999</v>
      </c>
      <c r="Q210" s="135">
        <v>20.388000000000002</v>
      </c>
      <c r="R210" s="137">
        <v>1.04</v>
      </c>
      <c r="S210" s="120">
        <v>233</v>
      </c>
      <c r="T210" s="120">
        <v>457023</v>
      </c>
      <c r="U210" s="120">
        <v>0</v>
      </c>
      <c r="V210" s="114">
        <f t="shared" si="8"/>
        <v>457023</v>
      </c>
      <c r="W210" s="114">
        <f t="shared" si="9"/>
        <v>457256</v>
      </c>
    </row>
    <row r="211" spans="1:23">
      <c r="A211" s="122" t="s">
        <v>2752</v>
      </c>
      <c r="B211" s="124">
        <v>6906.6710000000003</v>
      </c>
      <c r="C211" s="124">
        <v>6793.86</v>
      </c>
      <c r="D211" s="124">
        <v>6828.07</v>
      </c>
      <c r="E211" s="124">
        <v>6842.6080000000002</v>
      </c>
      <c r="F211" s="124">
        <v>1153.5482999999999</v>
      </c>
      <c r="G211" s="124">
        <v>1171.482</v>
      </c>
      <c r="H211" s="124">
        <v>1155.4214999999999</v>
      </c>
      <c r="I211" s="124">
        <v>1179.5103999999999</v>
      </c>
      <c r="J211" s="134">
        <v>641225049</v>
      </c>
      <c r="K211" s="134">
        <v>690635665</v>
      </c>
      <c r="L211" s="124">
        <v>8717.5840000000007</v>
      </c>
      <c r="M211" s="134">
        <v>674081</v>
      </c>
      <c r="N211" s="135">
        <v>690.03499999999997</v>
      </c>
      <c r="O211" s="135">
        <v>688.88419999999996</v>
      </c>
      <c r="P211" s="135">
        <v>704.56989999999996</v>
      </c>
      <c r="Q211" s="135">
        <v>701.4307</v>
      </c>
      <c r="R211" s="137">
        <v>1.0900000000000001</v>
      </c>
      <c r="S211" s="120">
        <v>991080</v>
      </c>
      <c r="T211" s="120">
        <v>9561870</v>
      </c>
      <c r="U211" s="120">
        <v>0</v>
      </c>
      <c r="V211" s="114">
        <f t="shared" si="8"/>
        <v>9561870</v>
      </c>
      <c r="W211" s="114">
        <f t="shared" si="9"/>
        <v>10552950</v>
      </c>
    </row>
    <row r="212" spans="1:23">
      <c r="A212" s="122" t="s">
        <v>1269</v>
      </c>
      <c r="B212" s="124">
        <v>325.46100000000001</v>
      </c>
      <c r="C212" s="124">
        <v>312.25400000000002</v>
      </c>
      <c r="D212" s="124">
        <v>302.82400000000001</v>
      </c>
      <c r="E212" s="124">
        <v>283.68900000000002</v>
      </c>
      <c r="F212" s="124">
        <v>71.570099999999996</v>
      </c>
      <c r="G212" s="124">
        <v>64.264899999999997</v>
      </c>
      <c r="H212" s="124">
        <v>49.648600000000002</v>
      </c>
      <c r="I212" s="124">
        <v>51.244300000000003</v>
      </c>
      <c r="J212" s="134">
        <v>93881486</v>
      </c>
      <c r="K212" s="134">
        <v>98497276</v>
      </c>
      <c r="L212" s="124">
        <v>593.245</v>
      </c>
      <c r="M212" s="134">
        <v>147322</v>
      </c>
      <c r="N212" s="135">
        <v>52.259300000000003</v>
      </c>
      <c r="O212" s="135">
        <v>45.425400000000003</v>
      </c>
      <c r="P212" s="135">
        <v>36.266100000000002</v>
      </c>
      <c r="Q212" s="135">
        <v>36.845199999999998</v>
      </c>
      <c r="R212" s="137">
        <v>1.07</v>
      </c>
      <c r="S212" s="120">
        <v>168483</v>
      </c>
      <c r="T212" s="120">
        <v>1238994</v>
      </c>
      <c r="U212" s="120">
        <v>0</v>
      </c>
      <c r="V212" s="114">
        <f t="shared" si="8"/>
        <v>1238994</v>
      </c>
      <c r="W212" s="114">
        <f t="shared" si="9"/>
        <v>1407477</v>
      </c>
    </row>
    <row r="213" spans="1:23">
      <c r="A213" s="122" t="s">
        <v>779</v>
      </c>
      <c r="B213" s="124">
        <v>961.45899999999995</v>
      </c>
      <c r="C213" s="124">
        <v>921.18499999999995</v>
      </c>
      <c r="D213" s="124">
        <v>903.95</v>
      </c>
      <c r="E213" s="124">
        <v>880.54100000000005</v>
      </c>
      <c r="F213" s="124">
        <v>162.0599</v>
      </c>
      <c r="G213" s="124">
        <v>162.6054</v>
      </c>
      <c r="H213" s="124">
        <v>159.3434</v>
      </c>
      <c r="I213" s="124">
        <v>166.83009999999999</v>
      </c>
      <c r="J213" s="134">
        <v>908934415</v>
      </c>
      <c r="K213" s="134">
        <v>917111551</v>
      </c>
      <c r="L213" s="124">
        <v>1548.789</v>
      </c>
      <c r="M213" s="114">
        <v>0</v>
      </c>
      <c r="N213" s="135">
        <v>106.55419999999999</v>
      </c>
      <c r="O213" s="135">
        <v>101.41800000000001</v>
      </c>
      <c r="P213" s="135">
        <v>101.60339999999999</v>
      </c>
      <c r="Q213" s="135">
        <v>111.80889999999999</v>
      </c>
      <c r="R213" s="137">
        <v>1.1100000000000001</v>
      </c>
      <c r="S213" s="120">
        <v>0</v>
      </c>
      <c r="T213" s="120">
        <v>12726385</v>
      </c>
      <c r="U213" s="120">
        <v>0</v>
      </c>
      <c r="V213" s="114">
        <f t="shared" si="8"/>
        <v>12726385</v>
      </c>
      <c r="W213" s="114">
        <f t="shared" si="9"/>
        <v>12726385</v>
      </c>
    </row>
    <row r="214" spans="1:23">
      <c r="A214" s="122" t="s">
        <v>780</v>
      </c>
      <c r="B214" s="124">
        <v>852.98900000000003</v>
      </c>
      <c r="C214" s="124">
        <v>790.81600000000003</v>
      </c>
      <c r="D214" s="124">
        <v>800.57899999999995</v>
      </c>
      <c r="E214" s="124">
        <v>789.51599999999996</v>
      </c>
      <c r="F214" s="124">
        <v>162.77510000000001</v>
      </c>
      <c r="G214" s="124">
        <v>157.14279999999999</v>
      </c>
      <c r="H214" s="124">
        <v>159.14279999999999</v>
      </c>
      <c r="I214" s="124">
        <v>162.476</v>
      </c>
      <c r="J214" s="134">
        <v>1211598208</v>
      </c>
      <c r="K214" s="134">
        <v>1220234293</v>
      </c>
      <c r="L214" s="124">
        <v>1369.38</v>
      </c>
      <c r="M214" s="134">
        <v>1192104</v>
      </c>
      <c r="N214" s="135">
        <v>104.82</v>
      </c>
      <c r="O214" s="135">
        <v>102.22199999999999</v>
      </c>
      <c r="P214" s="135">
        <v>103.3312</v>
      </c>
      <c r="Q214" s="135">
        <v>108.6246</v>
      </c>
      <c r="R214" s="137">
        <v>1.1100000000000001</v>
      </c>
      <c r="S214" s="120">
        <v>660558</v>
      </c>
      <c r="T214" s="120">
        <v>16434950</v>
      </c>
      <c r="U214" s="120">
        <v>0</v>
      </c>
      <c r="V214" s="114">
        <f t="shared" si="8"/>
        <v>16434950</v>
      </c>
      <c r="W214" s="114">
        <f t="shared" si="9"/>
        <v>17095508</v>
      </c>
    </row>
    <row r="215" spans="1:23">
      <c r="A215" s="122" t="s">
        <v>781</v>
      </c>
      <c r="B215" s="124">
        <v>459.62200000000001</v>
      </c>
      <c r="C215" s="124">
        <v>464.80200000000002</v>
      </c>
      <c r="D215" s="124">
        <v>450.76499999999999</v>
      </c>
      <c r="E215" s="124">
        <v>428.91899999999998</v>
      </c>
      <c r="F215" s="124">
        <v>93.165700000000001</v>
      </c>
      <c r="G215" s="124">
        <v>89.213899999999995</v>
      </c>
      <c r="H215" s="124">
        <v>93.208500000000001</v>
      </c>
      <c r="I215" s="124">
        <v>87.647000000000006</v>
      </c>
      <c r="J215" s="134">
        <v>63657650</v>
      </c>
      <c r="K215" s="134">
        <v>68894800</v>
      </c>
      <c r="L215" s="124">
        <v>914.36699999999996</v>
      </c>
      <c r="M215" s="114">
        <v>0</v>
      </c>
      <c r="N215" s="135">
        <v>61.088500000000003</v>
      </c>
      <c r="O215" s="135">
        <v>58.629100000000001</v>
      </c>
      <c r="P215" s="135">
        <v>61.898699999999998</v>
      </c>
      <c r="Q215" s="135">
        <v>56.981299999999997</v>
      </c>
      <c r="R215" s="137">
        <v>1.07</v>
      </c>
      <c r="S215" s="120">
        <v>0</v>
      </c>
      <c r="T215" s="120">
        <v>941347</v>
      </c>
      <c r="U215" s="120">
        <v>0</v>
      </c>
      <c r="V215" s="114">
        <f t="shared" si="8"/>
        <v>941347</v>
      </c>
      <c r="W215" s="114">
        <f t="shared" si="9"/>
        <v>941347</v>
      </c>
    </row>
    <row r="216" spans="1:23">
      <c r="A216" s="122" t="s">
        <v>782</v>
      </c>
      <c r="B216" s="124">
        <v>365.19</v>
      </c>
      <c r="C216" s="124">
        <v>371.39100000000002</v>
      </c>
      <c r="D216" s="124">
        <v>360.17500000000001</v>
      </c>
      <c r="E216" s="124">
        <v>338.25</v>
      </c>
      <c r="F216" s="124">
        <v>110.0641</v>
      </c>
      <c r="G216" s="124">
        <v>112.3976</v>
      </c>
      <c r="H216" s="124">
        <v>113.24250000000001</v>
      </c>
      <c r="I216" s="124">
        <v>110.5153</v>
      </c>
      <c r="J216" s="134">
        <v>63515092</v>
      </c>
      <c r="K216" s="134">
        <v>66663002</v>
      </c>
      <c r="L216" s="124">
        <v>683.048</v>
      </c>
      <c r="M216" s="114">
        <v>0</v>
      </c>
      <c r="N216" s="135">
        <v>74.460800000000006</v>
      </c>
      <c r="O216" s="135">
        <v>73.573800000000006</v>
      </c>
      <c r="P216" s="135">
        <v>76.065600000000003</v>
      </c>
      <c r="Q216" s="135">
        <v>73.925799999999995</v>
      </c>
      <c r="R216" s="137">
        <v>1.07</v>
      </c>
      <c r="S216" s="120">
        <v>0</v>
      </c>
      <c r="T216" s="120">
        <v>941983</v>
      </c>
      <c r="U216" s="120">
        <v>0</v>
      </c>
      <c r="V216" s="114">
        <f t="shared" si="8"/>
        <v>941983</v>
      </c>
      <c r="W216" s="114">
        <f t="shared" si="9"/>
        <v>941983</v>
      </c>
    </row>
    <row r="217" spans="1:23">
      <c r="A217" s="122" t="s">
        <v>428</v>
      </c>
      <c r="B217" s="124">
        <v>649.58900000000006</v>
      </c>
      <c r="C217" s="124">
        <v>643.73599999999999</v>
      </c>
      <c r="D217" s="124">
        <v>624.29499999999996</v>
      </c>
      <c r="E217" s="124">
        <v>604.14800000000002</v>
      </c>
      <c r="F217" s="124">
        <v>113.7754</v>
      </c>
      <c r="G217" s="124">
        <v>114.70050000000001</v>
      </c>
      <c r="H217" s="124">
        <v>115</v>
      </c>
      <c r="I217" s="124">
        <v>106</v>
      </c>
      <c r="J217" s="134">
        <v>72880618</v>
      </c>
      <c r="K217" s="134">
        <v>77519400</v>
      </c>
      <c r="L217" s="124">
        <v>1122.1379999999999</v>
      </c>
      <c r="M217" s="114">
        <v>0</v>
      </c>
      <c r="N217" s="135">
        <v>75.777199999999993</v>
      </c>
      <c r="O217" s="135">
        <v>75.700100000000006</v>
      </c>
      <c r="P217" s="135">
        <v>73.999499999999998</v>
      </c>
      <c r="Q217" s="135">
        <v>69.417199999999994</v>
      </c>
      <c r="R217" s="137">
        <v>1.07</v>
      </c>
      <c r="S217" s="120">
        <v>0</v>
      </c>
      <c r="T217" s="120">
        <v>1023607</v>
      </c>
      <c r="U217" s="120">
        <v>0</v>
      </c>
      <c r="V217" s="114">
        <f t="shared" si="8"/>
        <v>1023607</v>
      </c>
      <c r="W217" s="114">
        <f t="shared" si="9"/>
        <v>1023607</v>
      </c>
    </row>
    <row r="218" spans="1:23">
      <c r="A218" s="122" t="s">
        <v>2928</v>
      </c>
      <c r="B218" s="124">
        <v>672.58199999999999</v>
      </c>
      <c r="C218" s="124">
        <v>648.24900000000002</v>
      </c>
      <c r="D218" s="124">
        <v>650.88</v>
      </c>
      <c r="E218" s="124">
        <v>632.851</v>
      </c>
      <c r="F218" s="124">
        <v>116</v>
      </c>
      <c r="G218" s="124">
        <v>115.96259999999999</v>
      </c>
      <c r="H218" s="124">
        <v>117</v>
      </c>
      <c r="I218" s="124">
        <v>118</v>
      </c>
      <c r="J218" s="134">
        <v>218122404</v>
      </c>
      <c r="K218" s="134">
        <v>222534554</v>
      </c>
      <c r="L218" s="124">
        <v>1194.6479999999999</v>
      </c>
      <c r="M218" s="134">
        <v>135569</v>
      </c>
      <c r="N218" s="135">
        <v>75.791499999999999</v>
      </c>
      <c r="O218" s="135">
        <v>76.646299999999997</v>
      </c>
      <c r="P218" s="135">
        <v>75.671899999999994</v>
      </c>
      <c r="Q218" s="135">
        <v>77.661600000000007</v>
      </c>
      <c r="R218" s="137">
        <v>1.0900000000000001</v>
      </c>
      <c r="S218" s="120">
        <v>146011</v>
      </c>
      <c r="T218" s="120">
        <v>3199995</v>
      </c>
      <c r="U218" s="120">
        <v>0</v>
      </c>
      <c r="V218" s="114">
        <f t="shared" si="8"/>
        <v>3199995</v>
      </c>
      <c r="W218" s="114">
        <f t="shared" si="9"/>
        <v>3346006</v>
      </c>
    </row>
    <row r="219" spans="1:23">
      <c r="A219" s="122" t="s">
        <v>2929</v>
      </c>
      <c r="B219" s="124">
        <v>1429.915</v>
      </c>
      <c r="C219" s="124">
        <v>1405.34</v>
      </c>
      <c r="D219" s="124">
        <v>1374.8689999999999</v>
      </c>
      <c r="E219" s="124">
        <v>1451.748</v>
      </c>
      <c r="F219" s="124">
        <v>253.5592</v>
      </c>
      <c r="G219" s="124">
        <v>249.75659999999999</v>
      </c>
      <c r="H219" s="124">
        <v>257.25</v>
      </c>
      <c r="I219" s="124">
        <v>258.44749999999999</v>
      </c>
      <c r="J219" s="134">
        <v>344209366</v>
      </c>
      <c r="K219" s="134">
        <v>361889599</v>
      </c>
      <c r="L219" s="124">
        <v>2099.9850000000001</v>
      </c>
      <c r="M219" s="114">
        <v>0</v>
      </c>
      <c r="N219" s="135">
        <v>174.33539999999999</v>
      </c>
      <c r="O219" s="135">
        <v>168.64259999999999</v>
      </c>
      <c r="P219" s="135">
        <v>172.29169999999999</v>
      </c>
      <c r="Q219" s="135">
        <v>173.95060000000001</v>
      </c>
      <c r="R219" s="137">
        <v>1.0900000000000001</v>
      </c>
      <c r="S219" s="120">
        <v>276</v>
      </c>
      <c r="T219" s="120">
        <v>4876423</v>
      </c>
      <c r="U219" s="120">
        <v>0</v>
      </c>
      <c r="V219" s="114">
        <f t="shared" si="8"/>
        <v>4876423</v>
      </c>
      <c r="W219" s="114">
        <f t="shared" si="9"/>
        <v>4876699</v>
      </c>
    </row>
    <row r="220" spans="1:23">
      <c r="A220" s="122" t="s">
        <v>2930</v>
      </c>
      <c r="B220" s="124">
        <v>163.149</v>
      </c>
      <c r="C220" s="124">
        <v>167.11199999999999</v>
      </c>
      <c r="D220" s="124">
        <v>162.065</v>
      </c>
      <c r="E220" s="124">
        <v>144.63300000000001</v>
      </c>
      <c r="F220" s="124">
        <v>33.24</v>
      </c>
      <c r="G220" s="124">
        <v>33.213299999999997</v>
      </c>
      <c r="H220" s="124">
        <v>32.817500000000003</v>
      </c>
      <c r="I220" s="124">
        <v>28.74</v>
      </c>
      <c r="J220" s="134">
        <v>70593881</v>
      </c>
      <c r="K220" s="134">
        <v>72049731</v>
      </c>
      <c r="L220" s="124">
        <v>292.86599999999999</v>
      </c>
      <c r="M220" s="114">
        <v>0</v>
      </c>
      <c r="N220" s="135">
        <v>22.298999999999999</v>
      </c>
      <c r="O220" s="135">
        <v>21.928799999999999</v>
      </c>
      <c r="P220" s="135">
        <v>21.174399999999999</v>
      </c>
      <c r="Q220" s="135">
        <v>18.333500000000001</v>
      </c>
      <c r="R220" s="137">
        <v>1.08</v>
      </c>
      <c r="S220" s="120">
        <v>31867</v>
      </c>
      <c r="T220" s="120">
        <v>1017555</v>
      </c>
      <c r="U220" s="120">
        <v>0</v>
      </c>
      <c r="V220" s="114">
        <f t="shared" si="8"/>
        <v>1017555</v>
      </c>
      <c r="W220" s="114">
        <f t="shared" si="9"/>
        <v>1049422</v>
      </c>
    </row>
    <row r="221" spans="1:23">
      <c r="A221" s="122" t="s">
        <v>1843</v>
      </c>
      <c r="B221" s="124">
        <v>21594.772000000001</v>
      </c>
      <c r="C221" s="124">
        <v>22454.115000000002</v>
      </c>
      <c r="D221" s="124">
        <v>23339.644</v>
      </c>
      <c r="E221" s="124">
        <v>23880.978999999999</v>
      </c>
      <c r="F221" s="124">
        <v>2826.2878000000001</v>
      </c>
      <c r="G221" s="124">
        <v>3007.4594000000002</v>
      </c>
      <c r="H221" s="124">
        <v>3049.5590000000002</v>
      </c>
      <c r="I221" s="124">
        <v>3068.4983000000002</v>
      </c>
      <c r="J221" s="134">
        <v>12974125308</v>
      </c>
      <c r="K221" s="134">
        <v>13224312888</v>
      </c>
      <c r="L221" s="124">
        <v>30585.792000000001</v>
      </c>
      <c r="M221" s="134">
        <v>29787425</v>
      </c>
      <c r="N221" s="135">
        <v>1739.4181000000001</v>
      </c>
      <c r="O221" s="135">
        <v>1722.2906</v>
      </c>
      <c r="P221" s="135">
        <v>1876.3376000000001</v>
      </c>
      <c r="Q221" s="135">
        <v>1927.3471999999999</v>
      </c>
      <c r="R221" s="137">
        <v>1.1399999999999999</v>
      </c>
      <c r="S221" s="120">
        <v>28943156</v>
      </c>
      <c r="T221" s="120">
        <v>195271063</v>
      </c>
      <c r="U221" s="120">
        <v>0</v>
      </c>
      <c r="V221" s="114">
        <f t="shared" si="8"/>
        <v>195271063</v>
      </c>
      <c r="W221" s="114">
        <f t="shared" si="9"/>
        <v>224214219</v>
      </c>
    </row>
    <row r="222" spans="1:23">
      <c r="A222" s="122" t="s">
        <v>421</v>
      </c>
      <c r="B222" s="124">
        <v>5768.33</v>
      </c>
      <c r="C222" s="124">
        <v>6223.0169999999998</v>
      </c>
      <c r="D222" s="124">
        <v>6702.3850000000002</v>
      </c>
      <c r="E222" s="124">
        <v>6922.96</v>
      </c>
      <c r="F222" s="124">
        <v>784.3528</v>
      </c>
      <c r="G222" s="124">
        <v>805.76400000000001</v>
      </c>
      <c r="H222" s="124">
        <v>856.76059999999995</v>
      </c>
      <c r="I222" s="124">
        <v>899.70090000000005</v>
      </c>
      <c r="J222" s="134">
        <v>1532292156</v>
      </c>
      <c r="K222" s="134">
        <v>1609813656</v>
      </c>
      <c r="L222" s="124">
        <v>8394.9560000000001</v>
      </c>
      <c r="M222" s="134">
        <v>2464992</v>
      </c>
      <c r="N222" s="135">
        <v>509.61410000000001</v>
      </c>
      <c r="O222" s="135">
        <v>513.83000000000004</v>
      </c>
      <c r="P222" s="135">
        <v>537.16110000000003</v>
      </c>
      <c r="Q222" s="135">
        <v>580.47490000000005</v>
      </c>
      <c r="R222" s="137">
        <v>1.1200000000000001</v>
      </c>
      <c r="S222" s="120">
        <v>3105393</v>
      </c>
      <c r="T222" s="120">
        <v>25863132</v>
      </c>
      <c r="U222" s="120">
        <v>0</v>
      </c>
      <c r="V222" s="114">
        <f t="shared" si="8"/>
        <v>25863132</v>
      </c>
      <c r="W222" s="114">
        <f t="shared" si="9"/>
        <v>28968525</v>
      </c>
    </row>
    <row r="223" spans="1:23">
      <c r="A223" s="122" t="s">
        <v>422</v>
      </c>
      <c r="B223" s="124">
        <v>145817.37</v>
      </c>
      <c r="C223" s="124">
        <v>149019.44</v>
      </c>
      <c r="D223" s="124">
        <v>150741.91</v>
      </c>
      <c r="E223" s="124">
        <v>149597.76999999999</v>
      </c>
      <c r="F223" s="124">
        <v>18499.125400000001</v>
      </c>
      <c r="G223" s="124">
        <v>19201.7412</v>
      </c>
      <c r="H223" s="124">
        <v>19362.1803</v>
      </c>
      <c r="I223" s="124">
        <v>19749.791300000001</v>
      </c>
      <c r="J223" s="134">
        <v>54468008949</v>
      </c>
      <c r="K223" s="134">
        <v>55969003965</v>
      </c>
      <c r="L223" s="124">
        <v>203116.57800000001</v>
      </c>
      <c r="M223" s="134">
        <v>11944263</v>
      </c>
      <c r="N223" s="135">
        <v>11648.5983</v>
      </c>
      <c r="O223" s="135">
        <v>12447.9105</v>
      </c>
      <c r="P223" s="135">
        <v>12502.5545</v>
      </c>
      <c r="Q223" s="135">
        <v>12838.0542</v>
      </c>
      <c r="R223" s="137">
        <v>1.1599999999999999</v>
      </c>
      <c r="S223" s="120">
        <v>59608376</v>
      </c>
      <c r="T223" s="120">
        <v>808293936</v>
      </c>
      <c r="U223" s="120">
        <v>0</v>
      </c>
      <c r="V223" s="114">
        <f t="shared" si="8"/>
        <v>808293936</v>
      </c>
      <c r="W223" s="114">
        <f t="shared" si="9"/>
        <v>867902312</v>
      </c>
    </row>
    <row r="224" spans="1:23">
      <c r="A224" s="122" t="s">
        <v>423</v>
      </c>
      <c r="B224" s="124">
        <v>6385.2780000000002</v>
      </c>
      <c r="C224" s="124">
        <v>6580.6589999999997</v>
      </c>
      <c r="D224" s="124">
        <v>6806.6080000000002</v>
      </c>
      <c r="E224" s="124">
        <v>7153.33</v>
      </c>
      <c r="F224" s="124">
        <v>800.42859999999996</v>
      </c>
      <c r="G224" s="124">
        <v>794.31320000000005</v>
      </c>
      <c r="H224" s="124">
        <v>837.91049999999996</v>
      </c>
      <c r="I224" s="124">
        <v>876.89880000000005</v>
      </c>
      <c r="J224" s="134">
        <v>1434502668</v>
      </c>
      <c r="K224" s="134">
        <v>1528561030</v>
      </c>
      <c r="L224" s="124">
        <v>9060.348</v>
      </c>
      <c r="M224" s="134">
        <v>2442484</v>
      </c>
      <c r="N224" s="135">
        <v>504.99299999999999</v>
      </c>
      <c r="O224" s="135">
        <v>503.00330000000002</v>
      </c>
      <c r="P224" s="135">
        <v>547.64409999999998</v>
      </c>
      <c r="Q224" s="135">
        <v>570.12480000000005</v>
      </c>
      <c r="R224" s="137">
        <v>1.1299999999999999</v>
      </c>
      <c r="S224" s="120">
        <v>3178284</v>
      </c>
      <c r="T224" s="120">
        <v>22761148</v>
      </c>
      <c r="U224" s="120">
        <v>0</v>
      </c>
      <c r="V224" s="114">
        <f t="shared" si="8"/>
        <v>22761148</v>
      </c>
      <c r="W224" s="114">
        <f t="shared" si="9"/>
        <v>25939432</v>
      </c>
    </row>
    <row r="225" spans="1:23">
      <c r="A225" s="122" t="s">
        <v>424</v>
      </c>
      <c r="B225" s="124">
        <v>9694.1730000000007</v>
      </c>
      <c r="C225" s="124">
        <v>9829.0630000000001</v>
      </c>
      <c r="D225" s="124">
        <v>10117.388000000001</v>
      </c>
      <c r="E225" s="124">
        <v>10206.936</v>
      </c>
      <c r="F225" s="124">
        <v>1256.1341</v>
      </c>
      <c r="G225" s="124">
        <v>1297.1812</v>
      </c>
      <c r="H225" s="124">
        <v>1333.5431000000001</v>
      </c>
      <c r="I225" s="124">
        <v>1359.5993000000001</v>
      </c>
      <c r="J225" s="134">
        <v>2394580461</v>
      </c>
      <c r="K225" s="134">
        <v>2513972831</v>
      </c>
      <c r="L225" s="124">
        <v>13242.268</v>
      </c>
      <c r="M225" s="134">
        <v>3272121</v>
      </c>
      <c r="N225" s="135">
        <v>803.72500000000002</v>
      </c>
      <c r="O225" s="135">
        <v>802.12450000000001</v>
      </c>
      <c r="P225" s="135">
        <v>815.98109999999997</v>
      </c>
      <c r="Q225" s="135">
        <v>847.82259999999997</v>
      </c>
      <c r="R225" s="137">
        <v>1.1399999999999999</v>
      </c>
      <c r="S225" s="120">
        <v>7205776</v>
      </c>
      <c r="T225" s="120">
        <v>37991752</v>
      </c>
      <c r="U225" s="120">
        <v>0</v>
      </c>
      <c r="V225" s="114">
        <f t="shared" si="8"/>
        <v>37991752</v>
      </c>
      <c r="W225" s="114">
        <f t="shared" si="9"/>
        <v>45197528</v>
      </c>
    </row>
    <row r="226" spans="1:23">
      <c r="A226" s="122" t="s">
        <v>2973</v>
      </c>
      <c r="B226" s="124">
        <v>44892.618999999999</v>
      </c>
      <c r="C226" s="124">
        <v>46512.552000000003</v>
      </c>
      <c r="D226" s="124">
        <v>48021.735000000001</v>
      </c>
      <c r="E226" s="124">
        <v>49695.731</v>
      </c>
      <c r="F226" s="124">
        <v>5577.1147000000001</v>
      </c>
      <c r="G226" s="124">
        <v>5623.0029000000004</v>
      </c>
      <c r="H226" s="124">
        <v>5839.9939000000004</v>
      </c>
      <c r="I226" s="124">
        <v>6117.7623999999996</v>
      </c>
      <c r="J226" s="134">
        <v>9401196493</v>
      </c>
      <c r="K226" s="134">
        <v>9919660841</v>
      </c>
      <c r="L226" s="124">
        <v>63597.745999999999</v>
      </c>
      <c r="M226" s="134">
        <v>17737086</v>
      </c>
      <c r="N226" s="135">
        <v>3308.5005000000001</v>
      </c>
      <c r="O226" s="135">
        <v>3401.0131000000001</v>
      </c>
      <c r="P226" s="135">
        <v>3722.8843999999999</v>
      </c>
      <c r="Q226" s="135">
        <v>3779.1217000000001</v>
      </c>
      <c r="R226" s="137">
        <v>1.1399999999999999</v>
      </c>
      <c r="S226" s="120">
        <v>19237487</v>
      </c>
      <c r="T226" s="120">
        <v>134217143</v>
      </c>
      <c r="U226" s="120">
        <v>0</v>
      </c>
      <c r="V226" s="114">
        <f t="shared" si="8"/>
        <v>134217143</v>
      </c>
      <c r="W226" s="114">
        <f t="shared" si="9"/>
        <v>153454630</v>
      </c>
    </row>
    <row r="227" spans="1:23">
      <c r="A227" s="122" t="s">
        <v>741</v>
      </c>
      <c r="B227" s="124">
        <v>18418.305</v>
      </c>
      <c r="C227" s="124">
        <v>19020.082999999999</v>
      </c>
      <c r="D227" s="124">
        <v>19705.149000000001</v>
      </c>
      <c r="E227" s="124">
        <v>20195.264999999999</v>
      </c>
      <c r="F227" s="124">
        <v>2224.2094999999999</v>
      </c>
      <c r="G227" s="124">
        <v>2336.962</v>
      </c>
      <c r="H227" s="124">
        <v>2486.2435999999998</v>
      </c>
      <c r="I227" s="124">
        <v>2689.7029000000002</v>
      </c>
      <c r="J227" s="134">
        <v>2979044241</v>
      </c>
      <c r="K227" s="134">
        <v>3163724644</v>
      </c>
      <c r="L227" s="124">
        <v>26427.144</v>
      </c>
      <c r="M227" s="134">
        <v>3768122</v>
      </c>
      <c r="N227" s="135">
        <v>1507.2077999999999</v>
      </c>
      <c r="O227" s="135">
        <v>1529.8453</v>
      </c>
      <c r="P227" s="135">
        <v>1574.8031000000001</v>
      </c>
      <c r="Q227" s="135">
        <v>1718.2158999999999</v>
      </c>
      <c r="R227" s="137">
        <v>1.1399999999999999</v>
      </c>
      <c r="S227" s="120">
        <v>8070966</v>
      </c>
      <c r="T227" s="120">
        <v>46317532</v>
      </c>
      <c r="U227" s="120">
        <v>0</v>
      </c>
      <c r="V227" s="114">
        <f t="shared" si="8"/>
        <v>46317532</v>
      </c>
      <c r="W227" s="114">
        <f t="shared" si="9"/>
        <v>54388498</v>
      </c>
    </row>
    <row r="228" spans="1:23">
      <c r="A228" s="122" t="s">
        <v>579</v>
      </c>
      <c r="B228" s="124">
        <v>5597.1989999999996</v>
      </c>
      <c r="C228" s="124">
        <v>5459.3549999999996</v>
      </c>
      <c r="D228" s="124">
        <v>5521.1980000000003</v>
      </c>
      <c r="E228" s="124">
        <v>5785.2309999999998</v>
      </c>
      <c r="F228" s="124">
        <v>504.2851</v>
      </c>
      <c r="G228" s="124">
        <v>620.34180000000003</v>
      </c>
      <c r="H228" s="124">
        <v>680.6413</v>
      </c>
      <c r="I228" s="124">
        <v>678.47320000000002</v>
      </c>
      <c r="J228" s="134">
        <v>5996835157</v>
      </c>
      <c r="K228" s="134">
        <v>6079965204</v>
      </c>
      <c r="L228" s="124">
        <v>6568.2340000000004</v>
      </c>
      <c r="M228" s="134">
        <v>7406814</v>
      </c>
      <c r="N228" s="135">
        <v>433.30090000000001</v>
      </c>
      <c r="O228" s="135">
        <v>432.27429999999998</v>
      </c>
      <c r="P228" s="135">
        <v>429.26650000000001</v>
      </c>
      <c r="Q228" s="135">
        <v>407.46140000000003</v>
      </c>
      <c r="R228" s="137">
        <v>1.1200000000000001</v>
      </c>
      <c r="S228" s="120">
        <v>6741017</v>
      </c>
      <c r="T228" s="120">
        <v>91933223</v>
      </c>
      <c r="U228" s="120">
        <v>0</v>
      </c>
      <c r="V228" s="114">
        <f t="shared" si="8"/>
        <v>91933223</v>
      </c>
      <c r="W228" s="114">
        <f t="shared" si="9"/>
        <v>98674240</v>
      </c>
    </row>
    <row r="229" spans="1:23">
      <c r="A229" s="122" t="s">
        <v>48</v>
      </c>
      <c r="B229" s="124">
        <v>25979.672999999999</v>
      </c>
      <c r="C229" s="124">
        <v>26991.766</v>
      </c>
      <c r="D229" s="124">
        <v>27704.058000000001</v>
      </c>
      <c r="E229" s="124">
        <v>28442.918000000001</v>
      </c>
      <c r="F229" s="124">
        <v>3519.5518999999999</v>
      </c>
      <c r="G229" s="124">
        <v>3596.5005000000001</v>
      </c>
      <c r="H229" s="124">
        <v>3677.4376000000002</v>
      </c>
      <c r="I229" s="124">
        <v>3835.4259999999999</v>
      </c>
      <c r="J229" s="134">
        <v>7588628385</v>
      </c>
      <c r="K229" s="134">
        <v>7816472517</v>
      </c>
      <c r="L229" s="124">
        <v>37716.404999999999</v>
      </c>
      <c r="M229" s="134">
        <v>11451911</v>
      </c>
      <c r="N229" s="135">
        <v>2394.6451999999999</v>
      </c>
      <c r="O229" s="135">
        <v>2535.3517999999999</v>
      </c>
      <c r="P229" s="135">
        <v>2545.9160999999999</v>
      </c>
      <c r="Q229" s="135">
        <v>2636.9652999999998</v>
      </c>
      <c r="R229" s="137">
        <v>1.1399999999999999</v>
      </c>
      <c r="S229" s="120">
        <v>19846870</v>
      </c>
      <c r="T229" s="120">
        <v>110260490</v>
      </c>
      <c r="U229" s="120">
        <v>0</v>
      </c>
      <c r="V229" s="114">
        <f t="shared" si="8"/>
        <v>110260490</v>
      </c>
      <c r="W229" s="114">
        <f t="shared" si="9"/>
        <v>130107360</v>
      </c>
    </row>
    <row r="230" spans="1:23">
      <c r="A230" s="122" t="s">
        <v>2028</v>
      </c>
      <c r="B230" s="124">
        <v>3886.0329999999999</v>
      </c>
      <c r="C230" s="124">
        <v>3951.7359999999999</v>
      </c>
      <c r="D230" s="124">
        <v>3948.0450000000001</v>
      </c>
      <c r="E230" s="124">
        <v>4116.3109999999997</v>
      </c>
      <c r="F230" s="124">
        <v>587.69839999999999</v>
      </c>
      <c r="G230" s="124">
        <v>580.20489999999995</v>
      </c>
      <c r="H230" s="124">
        <v>608.3904</v>
      </c>
      <c r="I230" s="124">
        <v>667.86239999999998</v>
      </c>
      <c r="J230" s="134">
        <v>932595247</v>
      </c>
      <c r="K230" s="134">
        <v>986005312</v>
      </c>
      <c r="L230" s="124">
        <v>5487.97</v>
      </c>
      <c r="M230" s="134">
        <v>1795614</v>
      </c>
      <c r="N230" s="135">
        <v>324.84989999999999</v>
      </c>
      <c r="O230" s="135">
        <v>339.86720000000003</v>
      </c>
      <c r="P230" s="135">
        <v>312.70960000000002</v>
      </c>
      <c r="Q230" s="135">
        <v>370.64749999999998</v>
      </c>
      <c r="R230" s="137">
        <v>1.1200000000000001</v>
      </c>
      <c r="S230" s="120">
        <v>2183826</v>
      </c>
      <c r="T230" s="120">
        <v>14752634</v>
      </c>
      <c r="U230" s="120">
        <v>0</v>
      </c>
      <c r="V230" s="114">
        <f t="shared" si="8"/>
        <v>14752634</v>
      </c>
      <c r="W230" s="114">
        <f t="shared" si="9"/>
        <v>16936460</v>
      </c>
    </row>
    <row r="231" spans="1:23">
      <c r="A231" s="122" t="s">
        <v>2898</v>
      </c>
      <c r="B231" s="124">
        <v>29170.559000000001</v>
      </c>
      <c r="C231" s="124">
        <v>29924.888999999999</v>
      </c>
      <c r="D231" s="124">
        <v>30780.366999999998</v>
      </c>
      <c r="E231" s="124">
        <v>31397.024000000001</v>
      </c>
      <c r="F231" s="124">
        <v>3506.2916</v>
      </c>
      <c r="G231" s="124">
        <v>3674.4504000000002</v>
      </c>
      <c r="H231" s="124">
        <v>3917.1516999999999</v>
      </c>
      <c r="I231" s="124">
        <v>4101.8737000000001</v>
      </c>
      <c r="J231" s="134">
        <v>4826739814</v>
      </c>
      <c r="K231" s="134">
        <v>5133297156</v>
      </c>
      <c r="L231" s="124">
        <v>40517.758999999998</v>
      </c>
      <c r="M231" s="134">
        <v>10255650</v>
      </c>
      <c r="N231" s="135">
        <v>2144.7791999999999</v>
      </c>
      <c r="O231" s="135">
        <v>2252.5727999999999</v>
      </c>
      <c r="P231" s="135">
        <v>2397.3546000000001</v>
      </c>
      <c r="Q231" s="135">
        <v>2502.9681999999998</v>
      </c>
      <c r="R231" s="137">
        <v>1.1399999999999999</v>
      </c>
      <c r="S231" s="120">
        <v>16532918</v>
      </c>
      <c r="T231" s="120">
        <v>70353437</v>
      </c>
      <c r="U231" s="120">
        <v>0</v>
      </c>
      <c r="V231" s="114">
        <f t="shared" si="8"/>
        <v>70353437</v>
      </c>
      <c r="W231" s="114">
        <f t="shared" si="9"/>
        <v>86886355</v>
      </c>
    </row>
    <row r="232" spans="1:23">
      <c r="A232" s="122" t="s">
        <v>2029</v>
      </c>
      <c r="B232" s="124">
        <v>31614.026000000002</v>
      </c>
      <c r="C232" s="124">
        <v>31930.661</v>
      </c>
      <c r="D232" s="124">
        <v>31977.973999999998</v>
      </c>
      <c r="E232" s="124">
        <v>31646.473000000002</v>
      </c>
      <c r="F232" s="124">
        <v>4359.2106000000003</v>
      </c>
      <c r="G232" s="124">
        <v>4356.0418</v>
      </c>
      <c r="H232" s="124">
        <v>4257.8728000000001</v>
      </c>
      <c r="I232" s="124">
        <v>4242.1138000000001</v>
      </c>
      <c r="J232" s="134">
        <v>15873333400</v>
      </c>
      <c r="K232" s="134">
        <v>16311386371</v>
      </c>
      <c r="L232" s="124">
        <v>40560.913</v>
      </c>
      <c r="M232" s="134">
        <v>25729983</v>
      </c>
      <c r="N232" s="135">
        <v>2724.1448</v>
      </c>
      <c r="O232" s="135">
        <v>2730.15</v>
      </c>
      <c r="P232" s="135">
        <v>2572.5237999999999</v>
      </c>
      <c r="Q232" s="135">
        <v>2619.4657000000002</v>
      </c>
      <c r="R232" s="137">
        <v>1.1399999999999999</v>
      </c>
      <c r="S232" s="120">
        <v>47391397</v>
      </c>
      <c r="T232" s="120">
        <v>230727132</v>
      </c>
      <c r="U232" s="120">
        <v>0</v>
      </c>
      <c r="V232" s="114">
        <f t="shared" si="8"/>
        <v>230727132</v>
      </c>
      <c r="W232" s="114">
        <f t="shared" si="9"/>
        <v>278118529</v>
      </c>
    </row>
    <row r="233" spans="1:23">
      <c r="A233" s="122" t="s">
        <v>3087</v>
      </c>
      <c r="B233" s="124">
        <v>357.05799999999999</v>
      </c>
      <c r="C233" s="124">
        <v>372.38099999999997</v>
      </c>
      <c r="D233" s="124">
        <v>423.57499999999999</v>
      </c>
      <c r="E233" s="124">
        <v>453.4</v>
      </c>
      <c r="F233" s="124">
        <v>48.352899999999998</v>
      </c>
      <c r="G233" s="124">
        <v>52.442500000000003</v>
      </c>
      <c r="H233" s="124">
        <v>51.838200000000001</v>
      </c>
      <c r="I233" s="124">
        <v>56.884900000000002</v>
      </c>
      <c r="J233" s="134">
        <v>289206106</v>
      </c>
      <c r="K233" s="134">
        <v>297501206</v>
      </c>
      <c r="L233" s="124">
        <v>646.30200000000002</v>
      </c>
      <c r="M233" s="114">
        <v>0</v>
      </c>
      <c r="N233" s="135">
        <v>32.587200000000003</v>
      </c>
      <c r="O233" s="135">
        <v>35.746299999999998</v>
      </c>
      <c r="P233" s="135">
        <v>35.630800000000001</v>
      </c>
      <c r="Q233" s="135">
        <v>36.398000000000003</v>
      </c>
      <c r="R233" s="137">
        <v>1.08</v>
      </c>
      <c r="S233" s="120">
        <v>0</v>
      </c>
      <c r="T233" s="120">
        <v>4659533</v>
      </c>
      <c r="U233" s="120">
        <v>0</v>
      </c>
      <c r="V233" s="114">
        <f t="shared" si="8"/>
        <v>4659533</v>
      </c>
      <c r="W233" s="114">
        <f t="shared" si="9"/>
        <v>4659533</v>
      </c>
    </row>
    <row r="234" spans="1:23">
      <c r="A234" s="122" t="s">
        <v>276</v>
      </c>
      <c r="B234" s="124">
        <v>2980.7159999999999</v>
      </c>
      <c r="C234" s="124">
        <v>2801.9560000000001</v>
      </c>
      <c r="D234" s="124">
        <v>2717.337</v>
      </c>
      <c r="E234" s="124">
        <v>2636.3240000000001</v>
      </c>
      <c r="F234" s="124">
        <v>439.41469999999998</v>
      </c>
      <c r="G234" s="124">
        <v>437.37479999999999</v>
      </c>
      <c r="H234" s="124">
        <v>449.41730000000001</v>
      </c>
      <c r="I234" s="124">
        <v>426.6207</v>
      </c>
      <c r="J234" s="134">
        <v>430108023</v>
      </c>
      <c r="K234" s="134">
        <v>464100023</v>
      </c>
      <c r="L234" s="124">
        <v>3787.3069999999998</v>
      </c>
      <c r="M234" s="134">
        <v>311275</v>
      </c>
      <c r="N234" s="135">
        <v>251.51730000000001</v>
      </c>
      <c r="O234" s="135">
        <v>266.43700000000001</v>
      </c>
      <c r="P234" s="135">
        <v>207.0703</v>
      </c>
      <c r="Q234" s="135">
        <v>273.07670000000002</v>
      </c>
      <c r="R234" s="137">
        <v>1.1200000000000001</v>
      </c>
      <c r="S234" s="120">
        <v>278391</v>
      </c>
      <c r="T234" s="120">
        <v>7189999</v>
      </c>
      <c r="U234" s="120">
        <v>0</v>
      </c>
      <c r="V234" s="114">
        <f t="shared" si="8"/>
        <v>7189999</v>
      </c>
      <c r="W234" s="114">
        <f t="shared" si="9"/>
        <v>7468390</v>
      </c>
    </row>
    <row r="235" spans="1:23">
      <c r="A235" s="122" t="s">
        <v>277</v>
      </c>
      <c r="B235" s="124">
        <v>8549.1239999999998</v>
      </c>
      <c r="C235" s="124">
        <v>8908.8389999999999</v>
      </c>
      <c r="D235" s="124">
        <v>9324.9449999999997</v>
      </c>
      <c r="E235" s="124">
        <v>9463.9830000000002</v>
      </c>
      <c r="F235" s="124">
        <v>1085.8801000000001</v>
      </c>
      <c r="G235" s="124">
        <v>1119.5483999999999</v>
      </c>
      <c r="H235" s="124">
        <v>1108.2485999999999</v>
      </c>
      <c r="I235" s="124">
        <v>1158.2637</v>
      </c>
      <c r="J235" s="134">
        <v>5018357788</v>
      </c>
      <c r="K235" s="134">
        <v>5117381737</v>
      </c>
      <c r="L235" s="124">
        <v>10617.066000000001</v>
      </c>
      <c r="M235" s="134">
        <v>7874158</v>
      </c>
      <c r="N235" s="135">
        <v>740.85220000000004</v>
      </c>
      <c r="O235" s="135">
        <v>753.1386</v>
      </c>
      <c r="P235" s="135">
        <v>740.19489999999996</v>
      </c>
      <c r="Q235" s="135">
        <v>786.05799999999999</v>
      </c>
      <c r="R235" s="137">
        <v>1.1100000000000001</v>
      </c>
      <c r="S235" s="120">
        <v>10679391</v>
      </c>
      <c r="T235" s="120">
        <v>76127913</v>
      </c>
      <c r="U235" s="120">
        <v>0</v>
      </c>
      <c r="V235" s="114">
        <f t="shared" si="8"/>
        <v>76127913</v>
      </c>
      <c r="W235" s="114">
        <f t="shared" si="9"/>
        <v>86807304</v>
      </c>
    </row>
    <row r="236" spans="1:23">
      <c r="A236" s="122" t="s">
        <v>278</v>
      </c>
      <c r="B236" s="124">
        <v>155.65799999999999</v>
      </c>
      <c r="C236" s="124">
        <v>153.43700000000001</v>
      </c>
      <c r="D236" s="124">
        <v>153.91800000000001</v>
      </c>
      <c r="E236" s="124">
        <v>156.40700000000001</v>
      </c>
      <c r="F236" s="124">
        <v>34.473300000000002</v>
      </c>
      <c r="G236" s="124">
        <v>33.946599999999997</v>
      </c>
      <c r="H236" s="124">
        <v>34.844900000000003</v>
      </c>
      <c r="I236" s="124">
        <v>33.914400000000001</v>
      </c>
      <c r="J236" s="134">
        <v>156031016</v>
      </c>
      <c r="K236" s="134">
        <v>156701080</v>
      </c>
      <c r="L236" s="124">
        <v>272.13499999999999</v>
      </c>
      <c r="M236" s="114">
        <v>0</v>
      </c>
      <c r="N236" s="135">
        <v>24.000699999999998</v>
      </c>
      <c r="O236" s="135">
        <v>23.0002</v>
      </c>
      <c r="P236" s="135">
        <v>22.559200000000001</v>
      </c>
      <c r="Q236" s="135">
        <v>21.357900000000001</v>
      </c>
      <c r="R236" s="137">
        <v>1.1100000000000001</v>
      </c>
      <c r="S236" s="120">
        <v>163882</v>
      </c>
      <c r="T236" s="120">
        <v>1989693</v>
      </c>
      <c r="U236" s="120">
        <v>0</v>
      </c>
      <c r="V236" s="114">
        <f t="shared" si="8"/>
        <v>1989693</v>
      </c>
      <c r="W236" s="114">
        <f t="shared" si="9"/>
        <v>2153575</v>
      </c>
    </row>
    <row r="237" spans="1:23">
      <c r="A237" s="122" t="s">
        <v>279</v>
      </c>
      <c r="B237" s="124">
        <v>237.48</v>
      </c>
      <c r="C237" s="124">
        <v>208.27600000000001</v>
      </c>
      <c r="D237" s="124">
        <v>201.98599999999999</v>
      </c>
      <c r="E237" s="124">
        <v>183.81</v>
      </c>
      <c r="F237" s="124">
        <v>48.454599999999999</v>
      </c>
      <c r="G237" s="124">
        <v>52.898499999999999</v>
      </c>
      <c r="H237" s="124">
        <v>49.818300000000001</v>
      </c>
      <c r="I237" s="124">
        <v>41.450200000000002</v>
      </c>
      <c r="J237" s="134">
        <v>193938555</v>
      </c>
      <c r="K237" s="134">
        <v>195391705</v>
      </c>
      <c r="L237" s="124">
        <v>344.45299999999997</v>
      </c>
      <c r="M237" s="114">
        <v>0</v>
      </c>
      <c r="N237" s="135">
        <v>27.594799999999999</v>
      </c>
      <c r="O237" s="135">
        <v>31.0002</v>
      </c>
      <c r="P237" s="135">
        <v>29.492799999999999</v>
      </c>
      <c r="Q237" s="135">
        <v>24.173300000000001</v>
      </c>
      <c r="R237" s="137">
        <v>1.08</v>
      </c>
      <c r="S237" s="120">
        <v>0</v>
      </c>
      <c r="T237" s="120">
        <v>2642621</v>
      </c>
      <c r="U237" s="120">
        <v>0</v>
      </c>
      <c r="V237" s="114">
        <f t="shared" si="8"/>
        <v>2642621</v>
      </c>
      <c r="W237" s="114">
        <f t="shared" si="9"/>
        <v>2642621</v>
      </c>
    </row>
    <row r="238" spans="1:23">
      <c r="A238" s="122" t="s">
        <v>280</v>
      </c>
      <c r="B238" s="124">
        <v>2271.8580000000002</v>
      </c>
      <c r="C238" s="124">
        <v>2237.2840000000001</v>
      </c>
      <c r="D238" s="124">
        <v>2169.7179999999998</v>
      </c>
      <c r="E238" s="124">
        <v>2056.7080000000001</v>
      </c>
      <c r="F238" s="124">
        <v>352.05250000000001</v>
      </c>
      <c r="G238" s="124">
        <v>352.60680000000002</v>
      </c>
      <c r="H238" s="124">
        <v>344.18759999999997</v>
      </c>
      <c r="I238" s="124">
        <v>329.5514</v>
      </c>
      <c r="J238" s="134">
        <v>281488494</v>
      </c>
      <c r="K238" s="134">
        <v>303836944</v>
      </c>
      <c r="L238" s="124">
        <v>2928.6460000000002</v>
      </c>
      <c r="M238" s="114">
        <v>0</v>
      </c>
      <c r="N238" s="135">
        <v>218.20779999999999</v>
      </c>
      <c r="O238" s="135">
        <v>220.94540000000001</v>
      </c>
      <c r="P238" s="135">
        <v>218.0318</v>
      </c>
      <c r="Q238" s="135">
        <v>204.98140000000001</v>
      </c>
      <c r="R238" s="137">
        <v>1.1299999999999999</v>
      </c>
      <c r="S238" s="120">
        <v>0</v>
      </c>
      <c r="T238" s="120">
        <v>4135862</v>
      </c>
      <c r="U238" s="120">
        <v>0</v>
      </c>
      <c r="V238" s="114">
        <f t="shared" si="8"/>
        <v>4135862</v>
      </c>
      <c r="W238" s="114">
        <f t="shared" si="9"/>
        <v>4135862</v>
      </c>
    </row>
    <row r="239" spans="1:23">
      <c r="A239" s="122" t="s">
        <v>408</v>
      </c>
      <c r="B239" s="124">
        <v>215.09200000000001</v>
      </c>
      <c r="C239" s="124">
        <v>203.77699999999999</v>
      </c>
      <c r="D239" s="124">
        <v>206.136</v>
      </c>
      <c r="E239" s="124">
        <v>205.94499999999999</v>
      </c>
      <c r="F239" s="124">
        <v>38.024099999999997</v>
      </c>
      <c r="G239" s="124">
        <v>39.735399999999998</v>
      </c>
      <c r="H239" s="124">
        <v>39.735399999999998</v>
      </c>
      <c r="I239" s="124">
        <v>40.9467</v>
      </c>
      <c r="J239" s="134">
        <v>97103378</v>
      </c>
      <c r="K239" s="134">
        <v>98715168</v>
      </c>
      <c r="L239" s="124">
        <v>392.12200000000001</v>
      </c>
      <c r="M239" s="114">
        <v>0</v>
      </c>
      <c r="N239" s="135">
        <v>25.795200000000001</v>
      </c>
      <c r="O239" s="135">
        <v>26.533999999999999</v>
      </c>
      <c r="P239" s="135">
        <v>26.665400000000002</v>
      </c>
      <c r="Q239" s="135">
        <v>27.915700000000001</v>
      </c>
      <c r="R239" s="137">
        <v>1.08</v>
      </c>
      <c r="S239" s="120">
        <v>0</v>
      </c>
      <c r="T239" s="120">
        <v>1454471</v>
      </c>
      <c r="U239" s="120">
        <v>0</v>
      </c>
      <c r="V239" s="114">
        <f t="shared" si="8"/>
        <v>1454471</v>
      </c>
      <c r="W239" s="114">
        <f t="shared" si="9"/>
        <v>1454471</v>
      </c>
    </row>
    <row r="240" spans="1:23">
      <c r="A240" s="122" t="s">
        <v>2130</v>
      </c>
      <c r="B240" s="124">
        <v>3869.8389999999999</v>
      </c>
      <c r="C240" s="124">
        <v>3780.2170000000001</v>
      </c>
      <c r="D240" s="124">
        <v>3671.3130000000001</v>
      </c>
      <c r="E240" s="124">
        <v>3644.7069999999999</v>
      </c>
      <c r="F240" s="124">
        <v>631.63589999999999</v>
      </c>
      <c r="G240" s="124">
        <v>596.60350000000005</v>
      </c>
      <c r="H240" s="124">
        <v>561.52499999999998</v>
      </c>
      <c r="I240" s="124">
        <v>534.76419999999996</v>
      </c>
      <c r="J240" s="134">
        <v>496464472</v>
      </c>
      <c r="K240" s="134">
        <v>527838812</v>
      </c>
      <c r="L240" s="124">
        <v>5135.1719999999996</v>
      </c>
      <c r="M240" s="114">
        <v>0</v>
      </c>
      <c r="N240" s="135">
        <v>386.45310000000001</v>
      </c>
      <c r="O240" s="135">
        <v>376.92680000000001</v>
      </c>
      <c r="P240" s="135">
        <v>352.68790000000001</v>
      </c>
      <c r="Q240" s="135">
        <v>347.99369999999999</v>
      </c>
      <c r="R240" s="137">
        <v>1.0900000000000001</v>
      </c>
      <c r="S240" s="120">
        <v>0</v>
      </c>
      <c r="T240" s="120">
        <v>6837110</v>
      </c>
      <c r="U240" s="120">
        <v>403978</v>
      </c>
      <c r="V240" s="114">
        <f t="shared" si="8"/>
        <v>7241088</v>
      </c>
      <c r="W240" s="114">
        <f t="shared" si="9"/>
        <v>7241088</v>
      </c>
    </row>
    <row r="241" spans="1:23">
      <c r="A241" s="122" t="s">
        <v>1220</v>
      </c>
      <c r="B241" s="124">
        <v>146.584</v>
      </c>
      <c r="C241" s="124">
        <v>123.69</v>
      </c>
      <c r="D241" s="124">
        <v>140.529</v>
      </c>
      <c r="E241" s="124">
        <v>141.803</v>
      </c>
      <c r="F241" s="124">
        <v>15.7006</v>
      </c>
      <c r="G241" s="124">
        <v>16.3932</v>
      </c>
      <c r="H241" s="124">
        <v>18.7944</v>
      </c>
      <c r="I241" s="124">
        <v>19.642099999999999</v>
      </c>
      <c r="J241" s="134">
        <v>29217359</v>
      </c>
      <c r="K241" s="134">
        <v>29471869</v>
      </c>
      <c r="L241" s="124">
        <v>271.36399999999998</v>
      </c>
      <c r="M241" s="114">
        <v>0</v>
      </c>
      <c r="N241" s="135">
        <v>11.1713</v>
      </c>
      <c r="O241" s="135">
        <v>10.7864</v>
      </c>
      <c r="P241" s="135">
        <v>12.818099999999999</v>
      </c>
      <c r="Q241" s="135">
        <v>13.3787</v>
      </c>
      <c r="R241" s="137">
        <v>1.05</v>
      </c>
      <c r="S241" s="120">
        <v>0</v>
      </c>
      <c r="T241" s="120">
        <v>288358</v>
      </c>
      <c r="U241" s="120">
        <v>0</v>
      </c>
      <c r="V241" s="114">
        <f t="shared" si="8"/>
        <v>288358</v>
      </c>
      <c r="W241" s="114">
        <f t="shared" si="9"/>
        <v>288358</v>
      </c>
    </row>
    <row r="242" spans="1:23">
      <c r="A242" s="122" t="s">
        <v>1221</v>
      </c>
      <c r="B242" s="124">
        <v>886.20100000000002</v>
      </c>
      <c r="C242" s="124">
        <v>868.91700000000003</v>
      </c>
      <c r="D242" s="124">
        <v>870.572</v>
      </c>
      <c r="E242" s="124">
        <v>865.46100000000001</v>
      </c>
      <c r="F242" s="124">
        <v>140.9014</v>
      </c>
      <c r="G242" s="124">
        <v>140.7784</v>
      </c>
      <c r="H242" s="124">
        <v>146.7602</v>
      </c>
      <c r="I242" s="124">
        <v>149.45160000000001</v>
      </c>
      <c r="J242" s="134">
        <v>76369156</v>
      </c>
      <c r="K242" s="134">
        <v>87239526</v>
      </c>
      <c r="L242" s="124">
        <v>1361.4280000000001</v>
      </c>
      <c r="M242" s="134">
        <v>97430</v>
      </c>
      <c r="N242" s="135">
        <v>89.998599999999996</v>
      </c>
      <c r="O242" s="135">
        <v>93.155699999999996</v>
      </c>
      <c r="P242" s="135">
        <v>96.496399999999994</v>
      </c>
      <c r="Q242" s="135">
        <v>100.3353</v>
      </c>
      <c r="R242" s="137">
        <v>1.03</v>
      </c>
      <c r="S242" s="120">
        <v>96403</v>
      </c>
      <c r="T242" s="120">
        <v>1109938</v>
      </c>
      <c r="U242" s="120">
        <v>0</v>
      </c>
      <c r="V242" s="114">
        <f t="shared" si="8"/>
        <v>1109938</v>
      </c>
      <c r="W242" s="114">
        <f t="shared" si="9"/>
        <v>1206341</v>
      </c>
    </row>
    <row r="243" spans="1:23">
      <c r="A243" s="122" t="s">
        <v>711</v>
      </c>
      <c r="B243" s="124">
        <v>226.446</v>
      </c>
      <c r="C243" s="124">
        <v>225.44499999999999</v>
      </c>
      <c r="D243" s="124">
        <v>233.15199999999999</v>
      </c>
      <c r="E243" s="124">
        <v>226.69399999999999</v>
      </c>
      <c r="F243" s="124">
        <v>51.310200000000002</v>
      </c>
      <c r="G243" s="124">
        <v>54.238</v>
      </c>
      <c r="H243" s="124">
        <v>52.919800000000002</v>
      </c>
      <c r="I243" s="124">
        <v>52.893000000000001</v>
      </c>
      <c r="J243" s="134">
        <v>25620189</v>
      </c>
      <c r="K243" s="134">
        <v>29279655</v>
      </c>
      <c r="L243" s="124">
        <v>414.82600000000002</v>
      </c>
      <c r="M243" s="134">
        <v>26851</v>
      </c>
      <c r="N243" s="135">
        <v>32.7988</v>
      </c>
      <c r="O243" s="135">
        <v>35.714799999999997</v>
      </c>
      <c r="P243" s="135">
        <v>35.752299999999998</v>
      </c>
      <c r="Q243" s="135">
        <v>35.921100000000003</v>
      </c>
      <c r="R243" s="137">
        <v>1.06</v>
      </c>
      <c r="S243" s="120">
        <v>41643</v>
      </c>
      <c r="T243" s="120">
        <v>362520</v>
      </c>
      <c r="U243" s="120">
        <v>0</v>
      </c>
      <c r="V243" s="114">
        <f t="shared" si="8"/>
        <v>362520</v>
      </c>
      <c r="W243" s="114">
        <f t="shared" si="9"/>
        <v>404163</v>
      </c>
    </row>
    <row r="244" spans="1:23">
      <c r="A244" s="122" t="s">
        <v>1222</v>
      </c>
      <c r="B244" s="124">
        <v>12221.406000000001</v>
      </c>
      <c r="C244" s="124">
        <v>12649.454</v>
      </c>
      <c r="D244" s="124">
        <v>13373.629000000001</v>
      </c>
      <c r="E244" s="124">
        <v>14091.172</v>
      </c>
      <c r="F244" s="124">
        <v>1832.5612000000001</v>
      </c>
      <c r="G244" s="124">
        <v>1969.0726</v>
      </c>
      <c r="H244" s="124">
        <v>1940.3741</v>
      </c>
      <c r="I244" s="124">
        <v>2034.1576</v>
      </c>
      <c r="J244" s="134">
        <v>4312902081</v>
      </c>
      <c r="K244" s="134">
        <v>4466562206</v>
      </c>
      <c r="L244" s="124">
        <v>18316.371999999999</v>
      </c>
      <c r="M244" s="134">
        <v>10096202</v>
      </c>
      <c r="N244" s="135">
        <v>1063.7820999999999</v>
      </c>
      <c r="O244" s="135">
        <v>1113.9521999999999</v>
      </c>
      <c r="P244" s="135">
        <v>1146.6507999999999</v>
      </c>
      <c r="Q244" s="135">
        <v>1238.7771</v>
      </c>
      <c r="R244" s="137">
        <v>1.1399999999999999</v>
      </c>
      <c r="S244" s="120">
        <v>17520796</v>
      </c>
      <c r="T244" s="120">
        <v>72221643</v>
      </c>
      <c r="U244" s="120">
        <v>0</v>
      </c>
      <c r="V244" s="114">
        <f t="shared" si="8"/>
        <v>72221643</v>
      </c>
      <c r="W244" s="114">
        <f t="shared" si="9"/>
        <v>89742439</v>
      </c>
    </row>
    <row r="245" spans="1:23">
      <c r="A245" s="122" t="s">
        <v>1989</v>
      </c>
      <c r="B245" s="124">
        <v>34175.122000000003</v>
      </c>
      <c r="C245" s="124">
        <v>36246.302000000003</v>
      </c>
      <c r="D245" s="124">
        <v>38242.175999999999</v>
      </c>
      <c r="E245" s="124">
        <v>39762.851000000002</v>
      </c>
      <c r="F245" s="124">
        <v>4117.2352000000001</v>
      </c>
      <c r="G245" s="124">
        <v>4384.0895</v>
      </c>
      <c r="H245" s="124">
        <v>4598.2532000000001</v>
      </c>
      <c r="I245" s="124">
        <v>4950.1111000000001</v>
      </c>
      <c r="J245" s="134">
        <v>13526621080</v>
      </c>
      <c r="K245" s="134">
        <v>13958040769</v>
      </c>
      <c r="L245" s="124">
        <v>48018.510999999999</v>
      </c>
      <c r="M245" s="134">
        <v>26952974</v>
      </c>
      <c r="N245" s="135">
        <v>2930.7685000000001</v>
      </c>
      <c r="O245" s="135">
        <v>3162.2838999999999</v>
      </c>
      <c r="P245" s="135">
        <v>3305.3251</v>
      </c>
      <c r="Q245" s="135">
        <v>3530.0324000000001</v>
      </c>
      <c r="R245" s="137">
        <v>1.1399999999999999</v>
      </c>
      <c r="S245" s="120">
        <v>40670868</v>
      </c>
      <c r="T245" s="120">
        <v>225432538</v>
      </c>
      <c r="U245" s="120">
        <v>0</v>
      </c>
      <c r="V245" s="114">
        <f t="shared" si="8"/>
        <v>225432538</v>
      </c>
      <c r="W245" s="114">
        <f t="shared" si="9"/>
        <v>266103406</v>
      </c>
    </row>
    <row r="246" spans="1:23">
      <c r="A246" s="122" t="s">
        <v>240</v>
      </c>
      <c r="B246" s="124">
        <v>1221.7139999999999</v>
      </c>
      <c r="C246" s="124">
        <v>1307.8589999999999</v>
      </c>
      <c r="D246" s="124">
        <v>1346.94</v>
      </c>
      <c r="E246" s="124">
        <v>1407.0820000000001</v>
      </c>
      <c r="F246" s="124">
        <v>197.76</v>
      </c>
      <c r="G246" s="124">
        <v>211.35900000000001</v>
      </c>
      <c r="H246" s="124">
        <v>225.98740000000001</v>
      </c>
      <c r="I246" s="124">
        <v>238.16370000000001</v>
      </c>
      <c r="J246" s="134">
        <v>272065719</v>
      </c>
      <c r="K246" s="134">
        <v>284682037</v>
      </c>
      <c r="L246" s="124">
        <v>1910.2239999999999</v>
      </c>
      <c r="M246" s="134">
        <v>166842</v>
      </c>
      <c r="N246" s="135">
        <v>125.6495</v>
      </c>
      <c r="O246" s="135">
        <v>138.09360000000001</v>
      </c>
      <c r="P246" s="135">
        <v>147.71449999999999</v>
      </c>
      <c r="Q246" s="135">
        <v>155.80080000000001</v>
      </c>
      <c r="R246" s="137">
        <v>1.08</v>
      </c>
      <c r="S246" s="120">
        <v>348324</v>
      </c>
      <c r="T246" s="120">
        <v>4590663</v>
      </c>
      <c r="U246" s="120">
        <v>0</v>
      </c>
      <c r="V246" s="114">
        <f t="shared" si="8"/>
        <v>4590663</v>
      </c>
      <c r="W246" s="114">
        <f t="shared" si="9"/>
        <v>4938987</v>
      </c>
    </row>
    <row r="247" spans="1:23">
      <c r="A247" s="122" t="s">
        <v>815</v>
      </c>
      <c r="B247" s="124">
        <v>1029.008</v>
      </c>
      <c r="C247" s="124">
        <v>1027.5519999999999</v>
      </c>
      <c r="D247" s="124">
        <v>1041.1130000000001</v>
      </c>
      <c r="E247" s="124">
        <v>1095.721</v>
      </c>
      <c r="F247" s="124">
        <v>158.619</v>
      </c>
      <c r="G247" s="124">
        <v>164.20050000000001</v>
      </c>
      <c r="H247" s="124">
        <v>169.14070000000001</v>
      </c>
      <c r="I247" s="124">
        <v>173.17400000000001</v>
      </c>
      <c r="J247" s="134">
        <v>180196259</v>
      </c>
      <c r="K247" s="134">
        <v>191124986</v>
      </c>
      <c r="L247" s="124">
        <v>1620.4880000000001</v>
      </c>
      <c r="M247" s="134">
        <v>317371</v>
      </c>
      <c r="N247" s="135">
        <v>107.8755</v>
      </c>
      <c r="O247" s="135">
        <v>109.7094</v>
      </c>
      <c r="P247" s="135">
        <v>116.45050000000001</v>
      </c>
      <c r="Q247" s="135">
        <v>117.3158</v>
      </c>
      <c r="R247" s="137">
        <v>1.08</v>
      </c>
      <c r="S247" s="120">
        <v>520982</v>
      </c>
      <c r="T247" s="120">
        <v>3516671</v>
      </c>
      <c r="U247" s="120">
        <v>0</v>
      </c>
      <c r="V247" s="114">
        <f t="shared" si="8"/>
        <v>3516671</v>
      </c>
      <c r="W247" s="114">
        <f t="shared" si="9"/>
        <v>4037653</v>
      </c>
    </row>
    <row r="248" spans="1:23">
      <c r="A248" s="122" t="s">
        <v>242</v>
      </c>
      <c r="B248" s="124">
        <v>654.65300000000002</v>
      </c>
      <c r="C248" s="124">
        <v>675.30700000000002</v>
      </c>
      <c r="D248" s="124">
        <v>702.65300000000002</v>
      </c>
      <c r="E248" s="124">
        <v>766.76</v>
      </c>
      <c r="F248" s="124">
        <v>109.5694</v>
      </c>
      <c r="G248" s="124">
        <v>124.8848</v>
      </c>
      <c r="H248" s="124">
        <v>127.4545</v>
      </c>
      <c r="I248" s="124">
        <v>136.93049999999999</v>
      </c>
      <c r="J248" s="134">
        <v>188034048</v>
      </c>
      <c r="K248" s="134">
        <v>194513991</v>
      </c>
      <c r="L248" s="124">
        <v>1148.6510000000001</v>
      </c>
      <c r="M248" s="134">
        <v>255957</v>
      </c>
      <c r="N248" s="135">
        <v>74.437299999999993</v>
      </c>
      <c r="O248" s="135">
        <v>84.776700000000005</v>
      </c>
      <c r="P248" s="135">
        <v>89.947500000000005</v>
      </c>
      <c r="Q248" s="135">
        <v>94.977500000000006</v>
      </c>
      <c r="R248" s="137">
        <v>1.07</v>
      </c>
      <c r="S248" s="120">
        <v>1006820</v>
      </c>
      <c r="T248" s="120">
        <v>4502890</v>
      </c>
      <c r="U248" s="120">
        <v>0</v>
      </c>
      <c r="V248" s="114">
        <f t="shared" si="8"/>
        <v>4502890</v>
      </c>
      <c r="W248" s="114">
        <f t="shared" si="9"/>
        <v>5509710</v>
      </c>
    </row>
    <row r="249" spans="1:23">
      <c r="A249" s="122" t="s">
        <v>1893</v>
      </c>
      <c r="B249" s="124">
        <v>907.14400000000001</v>
      </c>
      <c r="C249" s="124">
        <v>940.8</v>
      </c>
      <c r="D249" s="124">
        <v>983.35400000000004</v>
      </c>
      <c r="E249" s="124">
        <v>1007.918</v>
      </c>
      <c r="F249" s="124">
        <v>136.14449999999999</v>
      </c>
      <c r="G249" s="124">
        <v>136.47049999999999</v>
      </c>
      <c r="H249" s="124">
        <v>151.90369999999999</v>
      </c>
      <c r="I249" s="124">
        <v>153.4599</v>
      </c>
      <c r="J249" s="134">
        <v>200156072</v>
      </c>
      <c r="K249" s="134">
        <v>211411312</v>
      </c>
      <c r="L249" s="124">
        <v>1447.191</v>
      </c>
      <c r="M249" s="134">
        <v>170215</v>
      </c>
      <c r="N249" s="135">
        <v>91.255799999999994</v>
      </c>
      <c r="O249" s="135">
        <v>92.527600000000007</v>
      </c>
      <c r="P249" s="135">
        <v>101.7795</v>
      </c>
      <c r="Q249" s="135">
        <v>105.622</v>
      </c>
      <c r="R249" s="137">
        <v>1.08</v>
      </c>
      <c r="S249" s="120">
        <v>464755</v>
      </c>
      <c r="T249" s="120">
        <v>3398222</v>
      </c>
      <c r="U249" s="120">
        <v>0</v>
      </c>
      <c r="V249" s="114">
        <f t="shared" si="8"/>
        <v>3398222</v>
      </c>
      <c r="W249" s="114">
        <f t="shared" si="9"/>
        <v>3862977</v>
      </c>
    </row>
    <row r="250" spans="1:23">
      <c r="A250" s="122" t="s">
        <v>532</v>
      </c>
      <c r="B250" s="124">
        <v>1991.5319999999999</v>
      </c>
      <c r="C250" s="124">
        <v>1955.3130000000001</v>
      </c>
      <c r="D250" s="124">
        <v>1988.34</v>
      </c>
      <c r="E250" s="124">
        <v>2021.432</v>
      </c>
      <c r="F250" s="124">
        <v>326.72980000000001</v>
      </c>
      <c r="G250" s="124">
        <v>334.36900000000003</v>
      </c>
      <c r="H250" s="124">
        <v>351.51139999999998</v>
      </c>
      <c r="I250" s="124">
        <v>383.87990000000002</v>
      </c>
      <c r="J250" s="134">
        <v>318963234</v>
      </c>
      <c r="K250" s="134">
        <v>339137960</v>
      </c>
      <c r="L250" s="124">
        <v>2750.0650000000001</v>
      </c>
      <c r="M250" s="134">
        <v>441874</v>
      </c>
      <c r="N250" s="135">
        <v>219.41730000000001</v>
      </c>
      <c r="O250" s="135">
        <v>225.95509999999999</v>
      </c>
      <c r="P250" s="135">
        <v>222.9734</v>
      </c>
      <c r="Q250" s="135">
        <v>229.221</v>
      </c>
      <c r="R250" s="137">
        <v>1.0900000000000001</v>
      </c>
      <c r="S250" s="120">
        <v>931006</v>
      </c>
      <c r="T250" s="120">
        <v>5953613</v>
      </c>
      <c r="U250" s="120">
        <v>0</v>
      </c>
      <c r="V250" s="114">
        <f t="shared" si="8"/>
        <v>5953613</v>
      </c>
      <c r="W250" s="114">
        <f t="shared" si="9"/>
        <v>6884619</v>
      </c>
    </row>
    <row r="251" spans="1:23">
      <c r="A251" s="122" t="s">
        <v>2099</v>
      </c>
      <c r="B251" s="124">
        <v>765.47500000000002</v>
      </c>
      <c r="C251" s="124">
        <v>903.35799999999995</v>
      </c>
      <c r="D251" s="124">
        <v>1068.3910000000001</v>
      </c>
      <c r="E251" s="124">
        <v>1195.934</v>
      </c>
      <c r="F251" s="124">
        <v>100.18040000000001</v>
      </c>
      <c r="G251" s="124">
        <v>123.1705</v>
      </c>
      <c r="H251" s="124">
        <v>134.4837</v>
      </c>
      <c r="I251" s="124">
        <v>148.44999999999999</v>
      </c>
      <c r="J251" s="134">
        <v>446108778</v>
      </c>
      <c r="K251" s="134">
        <v>459565098</v>
      </c>
      <c r="L251" s="124">
        <v>1537.577</v>
      </c>
      <c r="M251" s="134">
        <v>812625</v>
      </c>
      <c r="N251" s="135">
        <v>73.256900000000002</v>
      </c>
      <c r="O251" s="135">
        <v>90.783299999999997</v>
      </c>
      <c r="P251" s="135">
        <v>101.884</v>
      </c>
      <c r="Q251" s="135">
        <v>111.50230000000001</v>
      </c>
      <c r="R251" s="137">
        <v>1.08</v>
      </c>
      <c r="S251" s="120">
        <v>1336684</v>
      </c>
      <c r="T251" s="120">
        <v>7862095</v>
      </c>
      <c r="U251" s="120">
        <v>0</v>
      </c>
      <c r="V251" s="114">
        <f t="shared" si="8"/>
        <v>7862095</v>
      </c>
      <c r="W251" s="114">
        <f t="shared" si="9"/>
        <v>9198779</v>
      </c>
    </row>
    <row r="252" spans="1:23">
      <c r="A252" s="122" t="s">
        <v>1590</v>
      </c>
      <c r="B252" s="124">
        <v>4876.982</v>
      </c>
      <c r="C252" s="124">
        <v>5074.1400000000003</v>
      </c>
      <c r="D252" s="124">
        <v>5379.076</v>
      </c>
      <c r="E252" s="124">
        <v>5914.21</v>
      </c>
      <c r="F252" s="124">
        <v>709.72080000000005</v>
      </c>
      <c r="G252" s="124">
        <v>772.09059999999999</v>
      </c>
      <c r="H252" s="124">
        <v>738.89679999999998</v>
      </c>
      <c r="I252" s="124">
        <v>741.12170000000003</v>
      </c>
      <c r="J252" s="134">
        <v>3052806195</v>
      </c>
      <c r="K252" s="134">
        <v>3111332575</v>
      </c>
      <c r="L252" s="124">
        <v>7200.47</v>
      </c>
      <c r="M252" s="134">
        <v>7033125</v>
      </c>
      <c r="N252" s="135">
        <v>469.20679999999999</v>
      </c>
      <c r="O252" s="135">
        <v>490.423</v>
      </c>
      <c r="P252" s="135">
        <v>510.1277</v>
      </c>
      <c r="Q252" s="135">
        <v>515.07219999999995</v>
      </c>
      <c r="R252" s="137">
        <v>1.1100000000000001</v>
      </c>
      <c r="S252" s="120">
        <v>11914640</v>
      </c>
      <c r="T252" s="120">
        <v>54293349</v>
      </c>
      <c r="U252" s="120">
        <v>0</v>
      </c>
      <c r="V252" s="114">
        <f t="shared" si="8"/>
        <v>54293349</v>
      </c>
      <c r="W252" s="114">
        <f t="shared" si="9"/>
        <v>66207989</v>
      </c>
    </row>
    <row r="253" spans="1:23">
      <c r="A253" s="122" t="s">
        <v>68</v>
      </c>
      <c r="B253" s="124">
        <v>2877.8069999999998</v>
      </c>
      <c r="C253" s="124">
        <v>3029.471</v>
      </c>
      <c r="D253" s="124">
        <v>3135.53</v>
      </c>
      <c r="E253" s="124">
        <v>3269.6439999999998</v>
      </c>
      <c r="F253" s="124">
        <v>429.61290000000002</v>
      </c>
      <c r="G253" s="124">
        <v>382.2962</v>
      </c>
      <c r="H253" s="124">
        <v>508.91649999999998</v>
      </c>
      <c r="I253" s="124">
        <v>515.26760000000002</v>
      </c>
      <c r="J253" s="134">
        <v>818486686</v>
      </c>
      <c r="K253" s="134">
        <v>854893709</v>
      </c>
      <c r="L253" s="124">
        <v>4145.3779999999997</v>
      </c>
      <c r="M253" s="134">
        <v>872425</v>
      </c>
      <c r="N253" s="135">
        <v>281.29149999999998</v>
      </c>
      <c r="O253" s="135">
        <v>284.19869999999997</v>
      </c>
      <c r="P253" s="135">
        <v>328.7011</v>
      </c>
      <c r="Q253" s="135">
        <v>340.4282</v>
      </c>
      <c r="R253" s="137">
        <v>1.0900000000000001</v>
      </c>
      <c r="S253" s="120">
        <v>1751612</v>
      </c>
      <c r="T253" s="120">
        <v>13802823</v>
      </c>
      <c r="U253" s="120">
        <v>0</v>
      </c>
      <c r="V253" s="114">
        <f t="shared" si="8"/>
        <v>13802823</v>
      </c>
      <c r="W253" s="114">
        <f t="shared" si="9"/>
        <v>15554435</v>
      </c>
    </row>
    <row r="254" spans="1:23">
      <c r="A254" s="122" t="s">
        <v>712</v>
      </c>
      <c r="B254" s="124">
        <v>1590.1210000000001</v>
      </c>
      <c r="C254" s="124">
        <v>1915.5840000000001</v>
      </c>
      <c r="D254" s="124">
        <v>2367.15</v>
      </c>
      <c r="E254" s="124">
        <v>2812.0479999999998</v>
      </c>
      <c r="F254" s="124">
        <v>244.86510000000001</v>
      </c>
      <c r="G254" s="124">
        <v>290.15530000000001</v>
      </c>
      <c r="H254" s="124">
        <v>339.01549999999997</v>
      </c>
      <c r="I254" s="124">
        <v>417.02199999999999</v>
      </c>
      <c r="J254" s="134">
        <v>423219038</v>
      </c>
      <c r="K254" s="134">
        <v>441667706</v>
      </c>
      <c r="L254" s="124">
        <v>3650.5940000000001</v>
      </c>
      <c r="M254" s="134">
        <v>531682</v>
      </c>
      <c r="N254" s="135">
        <v>153.1242</v>
      </c>
      <c r="O254" s="135">
        <v>174.72630000000001</v>
      </c>
      <c r="P254" s="135">
        <v>204.96700000000001</v>
      </c>
      <c r="Q254" s="135">
        <v>262.72469999999998</v>
      </c>
      <c r="R254" s="137">
        <v>1.08</v>
      </c>
      <c r="S254" s="120">
        <v>2545393</v>
      </c>
      <c r="T254" s="120">
        <v>7508791</v>
      </c>
      <c r="U254" s="120">
        <v>0</v>
      </c>
      <c r="V254" s="114">
        <f t="shared" si="8"/>
        <v>7508791</v>
      </c>
      <c r="W254" s="114">
        <f t="shared" si="9"/>
        <v>10054184</v>
      </c>
    </row>
    <row r="255" spans="1:23">
      <c r="A255" s="122" t="s">
        <v>2864</v>
      </c>
      <c r="B255" s="124">
        <v>1904.9059999999999</v>
      </c>
      <c r="C255" s="124">
        <v>1898.672</v>
      </c>
      <c r="D255" s="124">
        <v>1858.4549999999999</v>
      </c>
      <c r="E255" s="124">
        <v>1837.221</v>
      </c>
      <c r="F255" s="124">
        <v>341.37580000000003</v>
      </c>
      <c r="G255" s="124">
        <v>349.32900000000001</v>
      </c>
      <c r="H255" s="124">
        <v>368.67140000000001</v>
      </c>
      <c r="I255" s="124">
        <v>365.12020000000001</v>
      </c>
      <c r="J255" s="134">
        <v>211377957</v>
      </c>
      <c r="K255" s="134">
        <v>231527557</v>
      </c>
      <c r="L255" s="124">
        <v>2613.047</v>
      </c>
      <c r="M255" s="114">
        <v>0</v>
      </c>
      <c r="N255" s="135">
        <v>224.48079999999999</v>
      </c>
      <c r="O255" s="135">
        <v>224.81639999999999</v>
      </c>
      <c r="P255" s="135">
        <v>230.65119999999999</v>
      </c>
      <c r="Q255" s="135">
        <v>234.17359999999999</v>
      </c>
      <c r="R255" s="137">
        <v>1.08</v>
      </c>
      <c r="S255" s="120">
        <v>175584</v>
      </c>
      <c r="T255" s="120">
        <v>3240583</v>
      </c>
      <c r="U255" s="120">
        <v>0</v>
      </c>
      <c r="V255" s="114">
        <f t="shared" si="8"/>
        <v>3240583</v>
      </c>
      <c r="W255" s="114">
        <f t="shared" si="9"/>
        <v>3416167</v>
      </c>
    </row>
    <row r="256" spans="1:23">
      <c r="A256" s="122" t="s">
        <v>2100</v>
      </c>
      <c r="B256" s="124">
        <v>99.918000000000006</v>
      </c>
      <c r="C256" s="124">
        <v>90.295000000000002</v>
      </c>
      <c r="D256" s="124">
        <v>97.203000000000003</v>
      </c>
      <c r="E256" s="124">
        <v>96.138999999999996</v>
      </c>
      <c r="F256" s="124">
        <v>27.5562</v>
      </c>
      <c r="G256" s="124">
        <v>26.058900000000001</v>
      </c>
      <c r="H256" s="124">
        <v>24.524100000000001</v>
      </c>
      <c r="I256" s="124">
        <v>26.4252</v>
      </c>
      <c r="J256" s="134">
        <v>37556342</v>
      </c>
      <c r="K256" s="134">
        <v>39628872</v>
      </c>
      <c r="L256" s="124">
        <v>283.92</v>
      </c>
      <c r="M256" s="114">
        <v>0</v>
      </c>
      <c r="N256" s="135">
        <v>20.8688</v>
      </c>
      <c r="O256" s="135">
        <v>17.133400000000002</v>
      </c>
      <c r="P256" s="135">
        <v>16.001999999999999</v>
      </c>
      <c r="Q256" s="135">
        <v>17.0016</v>
      </c>
      <c r="R256" s="137">
        <v>1.0900000000000001</v>
      </c>
      <c r="S256" s="120">
        <v>84072</v>
      </c>
      <c r="T256" s="120">
        <v>551681</v>
      </c>
      <c r="U256" s="120">
        <v>0</v>
      </c>
      <c r="V256" s="114">
        <f t="shared" si="8"/>
        <v>551681</v>
      </c>
      <c r="W256" s="114">
        <f t="shared" si="9"/>
        <v>635753</v>
      </c>
    </row>
    <row r="257" spans="1:23">
      <c r="A257" s="122" t="s">
        <v>1352</v>
      </c>
      <c r="B257" s="124">
        <v>1427.75</v>
      </c>
      <c r="C257" s="124">
        <v>1418.357</v>
      </c>
      <c r="D257" s="124">
        <v>1439.08</v>
      </c>
      <c r="E257" s="124">
        <v>1447.2139999999999</v>
      </c>
      <c r="F257" s="124">
        <v>246.85550000000001</v>
      </c>
      <c r="G257" s="124">
        <v>249.7046</v>
      </c>
      <c r="H257" s="124">
        <v>253.81559999999999</v>
      </c>
      <c r="I257" s="124">
        <v>250.19479999999999</v>
      </c>
      <c r="J257" s="134">
        <v>246704306</v>
      </c>
      <c r="K257" s="134">
        <v>267210364</v>
      </c>
      <c r="L257" s="124">
        <v>2085.36</v>
      </c>
      <c r="M257" s="134">
        <v>248365</v>
      </c>
      <c r="N257" s="135">
        <v>181.33170000000001</v>
      </c>
      <c r="O257" s="135">
        <v>182.2852</v>
      </c>
      <c r="P257" s="135">
        <v>181.1174</v>
      </c>
      <c r="Q257" s="135">
        <v>178.55799999999999</v>
      </c>
      <c r="R257" s="137">
        <v>1.07</v>
      </c>
      <c r="S257" s="120">
        <v>420932</v>
      </c>
      <c r="T257" s="120">
        <v>3226820</v>
      </c>
      <c r="U257" s="120">
        <v>0</v>
      </c>
      <c r="V257" s="114">
        <f t="shared" si="8"/>
        <v>3226820</v>
      </c>
      <c r="W257" s="114">
        <f t="shared" si="9"/>
        <v>3647752</v>
      </c>
    </row>
    <row r="258" spans="1:23">
      <c r="A258" s="122" t="s">
        <v>2101</v>
      </c>
      <c r="B258" s="124">
        <v>697.798</v>
      </c>
      <c r="C258" s="124">
        <v>690.65200000000004</v>
      </c>
      <c r="D258" s="124">
        <v>669.79399999999998</v>
      </c>
      <c r="E258" s="124">
        <v>651.07000000000005</v>
      </c>
      <c r="F258" s="124">
        <v>127.3865</v>
      </c>
      <c r="G258" s="124">
        <v>120.404</v>
      </c>
      <c r="H258" s="124">
        <v>108.86669999999999</v>
      </c>
      <c r="I258" s="124">
        <v>99.149799999999999</v>
      </c>
      <c r="J258" s="134">
        <v>86363425</v>
      </c>
      <c r="K258" s="134">
        <v>96497055</v>
      </c>
      <c r="L258" s="124">
        <v>1028.3209999999999</v>
      </c>
      <c r="M258" s="114">
        <v>0</v>
      </c>
      <c r="N258" s="135">
        <v>84.752499999999998</v>
      </c>
      <c r="O258" s="135">
        <v>78.002200000000002</v>
      </c>
      <c r="P258" s="135">
        <v>69.979100000000003</v>
      </c>
      <c r="Q258" s="135">
        <v>63.878</v>
      </c>
      <c r="R258" s="137">
        <v>1.06</v>
      </c>
      <c r="S258" s="120">
        <v>0</v>
      </c>
      <c r="T258" s="120">
        <v>1322861</v>
      </c>
      <c r="U258" s="120">
        <v>0</v>
      </c>
      <c r="V258" s="114">
        <f t="shared" si="8"/>
        <v>1322861</v>
      </c>
      <c r="W258" s="114">
        <f t="shared" si="9"/>
        <v>1322861</v>
      </c>
    </row>
    <row r="259" spans="1:23">
      <c r="A259" s="122" t="s">
        <v>796</v>
      </c>
      <c r="B259" s="124">
        <v>65.578999999999994</v>
      </c>
      <c r="C259" s="124">
        <v>64.977999999999994</v>
      </c>
      <c r="D259" s="124">
        <v>63.015999999999998</v>
      </c>
      <c r="E259" s="124">
        <v>59.546999999999997</v>
      </c>
      <c r="F259" s="124">
        <v>13.1899</v>
      </c>
      <c r="G259" s="124">
        <v>12.4252</v>
      </c>
      <c r="H259" s="124">
        <v>12.943899999999999</v>
      </c>
      <c r="I259" s="124">
        <v>13.6845</v>
      </c>
      <c r="J259" s="134">
        <v>12851263</v>
      </c>
      <c r="K259" s="134">
        <v>14388153</v>
      </c>
      <c r="L259" s="124">
        <v>134.12</v>
      </c>
      <c r="M259" s="134">
        <v>13868</v>
      </c>
      <c r="N259" s="135">
        <v>9.9878999999999998</v>
      </c>
      <c r="O259" s="135">
        <v>9.9880999999999993</v>
      </c>
      <c r="P259" s="135">
        <v>10.9284</v>
      </c>
      <c r="Q259" s="135">
        <v>11.1669</v>
      </c>
      <c r="R259" s="137">
        <v>1.0900000000000001</v>
      </c>
      <c r="S259" s="120">
        <v>14654</v>
      </c>
      <c r="T259" s="120">
        <v>194705</v>
      </c>
      <c r="U259" s="120">
        <v>0</v>
      </c>
      <c r="V259" s="114">
        <f t="shared" si="8"/>
        <v>194705</v>
      </c>
      <c r="W259" s="114">
        <f t="shared" si="9"/>
        <v>209359</v>
      </c>
    </row>
    <row r="260" spans="1:23">
      <c r="A260" s="122" t="s">
        <v>330</v>
      </c>
      <c r="B260" s="124">
        <v>144.524</v>
      </c>
      <c r="C260" s="124">
        <v>134.285</v>
      </c>
      <c r="D260" s="124">
        <v>139.83600000000001</v>
      </c>
      <c r="E260" s="124">
        <v>139.923</v>
      </c>
      <c r="F260" s="124">
        <v>19.382300000000001</v>
      </c>
      <c r="G260" s="124">
        <v>18.4358</v>
      </c>
      <c r="H260" s="124">
        <v>20.366299999999999</v>
      </c>
      <c r="I260" s="124">
        <v>20.4893</v>
      </c>
      <c r="J260" s="134">
        <v>34278390</v>
      </c>
      <c r="K260" s="134">
        <v>37468870</v>
      </c>
      <c r="L260" s="124">
        <v>227.779</v>
      </c>
      <c r="M260" s="114">
        <v>0</v>
      </c>
      <c r="N260" s="135">
        <v>12.4993</v>
      </c>
      <c r="O260" s="135">
        <v>12.4993</v>
      </c>
      <c r="P260" s="135">
        <v>14.387</v>
      </c>
      <c r="Q260" s="135">
        <v>15.4994</v>
      </c>
      <c r="R260" s="137">
        <v>1.07</v>
      </c>
      <c r="S260" s="120">
        <v>0</v>
      </c>
      <c r="T260" s="120">
        <v>802886</v>
      </c>
      <c r="U260" s="120">
        <v>0</v>
      </c>
      <c r="V260" s="114">
        <f t="shared" si="8"/>
        <v>802886</v>
      </c>
      <c r="W260" s="114">
        <f t="shared" si="9"/>
        <v>802886</v>
      </c>
    </row>
    <row r="261" spans="1:23">
      <c r="A261" s="122" t="s">
        <v>203</v>
      </c>
      <c r="B261" s="124">
        <v>264.73200000000003</v>
      </c>
      <c r="C261" s="124">
        <v>242.15299999999999</v>
      </c>
      <c r="D261" s="124">
        <v>250.88399999999999</v>
      </c>
      <c r="E261" s="124">
        <v>275.125</v>
      </c>
      <c r="F261" s="124">
        <v>68.5</v>
      </c>
      <c r="G261" s="124">
        <v>59.5</v>
      </c>
      <c r="H261" s="124">
        <v>58.75</v>
      </c>
      <c r="I261" s="124">
        <v>64</v>
      </c>
      <c r="J261" s="134">
        <v>88563787</v>
      </c>
      <c r="K261" s="134">
        <v>92891157</v>
      </c>
      <c r="L261" s="124">
        <v>546.21900000000005</v>
      </c>
      <c r="M261" s="114">
        <v>0</v>
      </c>
      <c r="N261" s="135">
        <v>46.018099999999997</v>
      </c>
      <c r="O261" s="135">
        <v>38.270899999999997</v>
      </c>
      <c r="P261" s="135">
        <v>38.999099999999999</v>
      </c>
      <c r="Q261" s="135">
        <v>40.4726</v>
      </c>
      <c r="R261" s="137">
        <v>1.06</v>
      </c>
      <c r="S261" s="120">
        <v>0</v>
      </c>
      <c r="T261" s="120">
        <v>1442702</v>
      </c>
      <c r="U261" s="120">
        <v>0</v>
      </c>
      <c r="V261" s="114">
        <f t="shared" ref="V261:V324" si="10">T261+U261</f>
        <v>1442702</v>
      </c>
      <c r="W261" s="114">
        <f t="shared" ref="W261:W324" si="11">V261+S261</f>
        <v>1442702</v>
      </c>
    </row>
    <row r="262" spans="1:23">
      <c r="A262" s="122" t="s">
        <v>204</v>
      </c>
      <c r="B262" s="124">
        <v>137.84</v>
      </c>
      <c r="C262" s="124">
        <v>142.786</v>
      </c>
      <c r="D262" s="124">
        <v>150.92500000000001</v>
      </c>
      <c r="E262" s="124">
        <v>146.744</v>
      </c>
      <c r="F262" s="124">
        <v>32.748600000000003</v>
      </c>
      <c r="G262" s="124">
        <v>33.197899999999997</v>
      </c>
      <c r="H262" s="124">
        <v>31.775400000000001</v>
      </c>
      <c r="I262" s="124">
        <v>34.1511</v>
      </c>
      <c r="J262" s="134">
        <v>15862897</v>
      </c>
      <c r="K262" s="134">
        <v>16532117</v>
      </c>
      <c r="L262" s="124">
        <v>350.00599999999997</v>
      </c>
      <c r="M262" s="114">
        <v>0</v>
      </c>
      <c r="N262" s="135">
        <v>21.429200000000002</v>
      </c>
      <c r="O262" s="135">
        <v>22.9999</v>
      </c>
      <c r="P262" s="135">
        <v>21.477599999999999</v>
      </c>
      <c r="Q262" s="135">
        <v>22.161999999999999</v>
      </c>
      <c r="R262" s="137">
        <v>1.0900000000000001</v>
      </c>
      <c r="S262" s="120">
        <v>0</v>
      </c>
      <c r="T262" s="120">
        <v>271596</v>
      </c>
      <c r="U262" s="120">
        <v>0</v>
      </c>
      <c r="V262" s="114">
        <f t="shared" si="10"/>
        <v>271596</v>
      </c>
      <c r="W262" s="114">
        <f t="shared" si="11"/>
        <v>271596</v>
      </c>
    </row>
    <row r="263" spans="1:23">
      <c r="A263" s="122" t="s">
        <v>816</v>
      </c>
      <c r="B263" s="124">
        <v>2390.1080000000002</v>
      </c>
      <c r="C263" s="124">
        <v>2301.9690000000001</v>
      </c>
      <c r="D263" s="124">
        <v>2310.1309999999999</v>
      </c>
      <c r="E263" s="124">
        <v>2298.33</v>
      </c>
      <c r="F263" s="124">
        <v>427.75009999999997</v>
      </c>
      <c r="G263" s="124">
        <v>424.61559999999997</v>
      </c>
      <c r="H263" s="124">
        <v>409.06790000000001</v>
      </c>
      <c r="I263" s="124">
        <v>396.46420000000001</v>
      </c>
      <c r="J263" s="134">
        <v>227817488</v>
      </c>
      <c r="K263" s="134">
        <v>203243499</v>
      </c>
      <c r="L263" s="124">
        <v>3406.99</v>
      </c>
      <c r="M263" s="134">
        <v>22665</v>
      </c>
      <c r="N263" s="135">
        <v>218.33949999999999</v>
      </c>
      <c r="O263" s="135">
        <v>250.3751</v>
      </c>
      <c r="P263" s="135">
        <v>247.46610000000001</v>
      </c>
      <c r="Q263" s="135">
        <v>256.42720000000003</v>
      </c>
      <c r="R263" s="137">
        <v>1.1200000000000001</v>
      </c>
      <c r="S263" s="120">
        <v>156601</v>
      </c>
      <c r="T263" s="120">
        <v>3152059</v>
      </c>
      <c r="U263" s="120">
        <v>0</v>
      </c>
      <c r="V263" s="114">
        <f t="shared" si="10"/>
        <v>3152059</v>
      </c>
      <c r="W263" s="114">
        <f t="shared" si="11"/>
        <v>3308660</v>
      </c>
    </row>
    <row r="264" spans="1:23">
      <c r="A264" s="122" t="s">
        <v>3025</v>
      </c>
      <c r="B264" s="124">
        <v>486.25400000000002</v>
      </c>
      <c r="C264" s="124">
        <v>469.512</v>
      </c>
      <c r="D264" s="124">
        <v>463.25799999999998</v>
      </c>
      <c r="E264" s="124">
        <v>481.88600000000002</v>
      </c>
      <c r="F264" s="124">
        <v>92.622200000000007</v>
      </c>
      <c r="G264" s="124">
        <v>89.943299999999994</v>
      </c>
      <c r="H264" s="124">
        <v>90.248999999999995</v>
      </c>
      <c r="I264" s="124">
        <v>89.630300000000005</v>
      </c>
      <c r="J264" s="134">
        <v>90248571</v>
      </c>
      <c r="K264" s="134">
        <v>97561696</v>
      </c>
      <c r="L264" s="124">
        <v>934.90599999999995</v>
      </c>
      <c r="M264" s="114">
        <v>0</v>
      </c>
      <c r="N264" s="135">
        <v>67.4238</v>
      </c>
      <c r="O264" s="135">
        <v>64.504800000000003</v>
      </c>
      <c r="P264" s="135">
        <v>62.550800000000002</v>
      </c>
      <c r="Q264" s="135">
        <v>62.3324</v>
      </c>
      <c r="R264" s="137">
        <v>1.07</v>
      </c>
      <c r="S264" s="120">
        <v>0</v>
      </c>
      <c r="T264" s="120">
        <v>1459386</v>
      </c>
      <c r="U264" s="120">
        <v>0</v>
      </c>
      <c r="V264" s="114">
        <f t="shared" si="10"/>
        <v>1459386</v>
      </c>
      <c r="W264" s="114">
        <f t="shared" si="11"/>
        <v>1459386</v>
      </c>
    </row>
    <row r="265" spans="1:23">
      <c r="A265" s="122" t="s">
        <v>1753</v>
      </c>
      <c r="B265" s="124">
        <v>158.74</v>
      </c>
      <c r="C265" s="124">
        <v>168.26499999999999</v>
      </c>
      <c r="D265" s="124">
        <v>182.45699999999999</v>
      </c>
      <c r="E265" s="124">
        <v>177.40299999999999</v>
      </c>
      <c r="F265" s="124">
        <v>32.8294</v>
      </c>
      <c r="G265" s="124">
        <v>33.692999999999998</v>
      </c>
      <c r="H265" s="124">
        <v>36.262500000000003</v>
      </c>
      <c r="I265" s="124">
        <v>37.451300000000003</v>
      </c>
      <c r="J265" s="134">
        <v>24896477</v>
      </c>
      <c r="K265" s="134">
        <v>26179333</v>
      </c>
      <c r="L265" s="124">
        <v>384.39100000000002</v>
      </c>
      <c r="M265" s="114">
        <v>0</v>
      </c>
      <c r="N265" s="135">
        <v>21.375699999999998</v>
      </c>
      <c r="O265" s="135">
        <v>22.6218</v>
      </c>
      <c r="P265" s="135">
        <v>24.1084</v>
      </c>
      <c r="Q265" s="135">
        <v>25.969000000000001</v>
      </c>
      <c r="R265" s="137">
        <v>1.07</v>
      </c>
      <c r="S265" s="120">
        <v>16575</v>
      </c>
      <c r="T265" s="120">
        <v>373297</v>
      </c>
      <c r="U265" s="120">
        <v>0</v>
      </c>
      <c r="V265" s="114">
        <f t="shared" si="10"/>
        <v>373297</v>
      </c>
      <c r="W265" s="114">
        <f t="shared" si="11"/>
        <v>389872</v>
      </c>
    </row>
    <row r="266" spans="1:23">
      <c r="A266" s="122" t="s">
        <v>3026</v>
      </c>
      <c r="B266" s="124">
        <v>24.812999999999999</v>
      </c>
      <c r="C266" s="124">
        <v>25.353999999999999</v>
      </c>
      <c r="D266" s="124">
        <v>28.843</v>
      </c>
      <c r="E266" s="124">
        <v>29.605</v>
      </c>
      <c r="F266" s="124">
        <v>10.945499999999999</v>
      </c>
      <c r="G266" s="124">
        <v>11.214600000000001</v>
      </c>
      <c r="H266" s="124">
        <v>10.9145</v>
      </c>
      <c r="I266" s="124">
        <v>12.8878</v>
      </c>
      <c r="J266" s="134">
        <v>16821727</v>
      </c>
      <c r="K266" s="134">
        <v>17449227</v>
      </c>
      <c r="L266" s="124">
        <v>98.128</v>
      </c>
      <c r="M266" s="114">
        <v>0</v>
      </c>
      <c r="N266" s="135">
        <v>6</v>
      </c>
      <c r="O266" s="135">
        <v>4.9999000000000002</v>
      </c>
      <c r="P266" s="135">
        <v>6</v>
      </c>
      <c r="Q266" s="135">
        <v>6.9996</v>
      </c>
      <c r="R266" s="137">
        <v>1.1200000000000001</v>
      </c>
      <c r="S266" s="120">
        <v>0</v>
      </c>
      <c r="T266" s="120">
        <v>308124</v>
      </c>
      <c r="U266" s="120">
        <v>0</v>
      </c>
      <c r="V266" s="114">
        <f t="shared" si="10"/>
        <v>308124</v>
      </c>
      <c r="W266" s="114">
        <f t="shared" si="11"/>
        <v>308124</v>
      </c>
    </row>
    <row r="267" spans="1:23">
      <c r="A267" s="122" t="s">
        <v>3027</v>
      </c>
      <c r="B267" s="124">
        <v>489.23899999999998</v>
      </c>
      <c r="C267" s="124">
        <v>488.54199999999997</v>
      </c>
      <c r="D267" s="124">
        <v>475.53</v>
      </c>
      <c r="E267" s="124">
        <v>462.358</v>
      </c>
      <c r="F267" s="124">
        <v>114.685</v>
      </c>
      <c r="G267" s="124">
        <v>127.3639</v>
      </c>
      <c r="H267" s="124">
        <v>118.1125</v>
      </c>
      <c r="I267" s="124">
        <v>91.738399999999999</v>
      </c>
      <c r="J267" s="134">
        <v>132772018</v>
      </c>
      <c r="K267" s="134">
        <v>139154067</v>
      </c>
      <c r="L267" s="124">
        <v>952.625</v>
      </c>
      <c r="M267" s="114">
        <v>0</v>
      </c>
      <c r="N267" s="135">
        <v>66.254800000000003</v>
      </c>
      <c r="O267" s="135">
        <v>70.443200000000004</v>
      </c>
      <c r="P267" s="135">
        <v>52.004899999999999</v>
      </c>
      <c r="Q267" s="135">
        <v>48.786799999999999</v>
      </c>
      <c r="R267" s="137">
        <v>1.1100000000000001</v>
      </c>
      <c r="S267" s="120">
        <v>0</v>
      </c>
      <c r="T267" s="120">
        <v>2251657</v>
      </c>
      <c r="U267" s="120">
        <v>0</v>
      </c>
      <c r="V267" s="114">
        <f t="shared" si="10"/>
        <v>2251657</v>
      </c>
      <c r="W267" s="114">
        <f t="shared" si="11"/>
        <v>2251657</v>
      </c>
    </row>
    <row r="268" spans="1:23">
      <c r="A268" s="122" t="s">
        <v>817</v>
      </c>
      <c r="B268" s="124">
        <v>1494.364</v>
      </c>
      <c r="C268" s="124">
        <v>1485.703</v>
      </c>
      <c r="D268" s="124">
        <v>1440.835</v>
      </c>
      <c r="E268" s="124">
        <v>1446.5129999999999</v>
      </c>
      <c r="F268" s="124">
        <v>220.24180000000001</v>
      </c>
      <c r="G268" s="124">
        <v>223.9879</v>
      </c>
      <c r="H268" s="124">
        <v>207.00399999999999</v>
      </c>
      <c r="I268" s="124">
        <v>239.3006</v>
      </c>
      <c r="J268" s="134">
        <v>119550993</v>
      </c>
      <c r="K268" s="134">
        <v>131003399</v>
      </c>
      <c r="L268" s="124">
        <v>2223.48</v>
      </c>
      <c r="M268" s="114">
        <v>0</v>
      </c>
      <c r="N268" s="135">
        <v>148.69540000000001</v>
      </c>
      <c r="O268" s="135">
        <v>143.19900000000001</v>
      </c>
      <c r="P268" s="135">
        <v>110.9246</v>
      </c>
      <c r="Q268" s="135">
        <v>120.998</v>
      </c>
      <c r="R268" s="137">
        <v>1.1200000000000001</v>
      </c>
      <c r="S268" s="120">
        <v>68099</v>
      </c>
      <c r="T268" s="120">
        <v>1790454</v>
      </c>
      <c r="U268" s="120">
        <v>0</v>
      </c>
      <c r="V268" s="114">
        <f t="shared" si="10"/>
        <v>1790454</v>
      </c>
      <c r="W268" s="114">
        <f t="shared" si="11"/>
        <v>1858553</v>
      </c>
    </row>
    <row r="269" spans="1:23">
      <c r="A269" s="122" t="s">
        <v>776</v>
      </c>
      <c r="B269" s="124">
        <v>928.05200000000002</v>
      </c>
      <c r="C269" s="124">
        <v>891.11300000000006</v>
      </c>
      <c r="D269" s="124">
        <v>864.20100000000002</v>
      </c>
      <c r="E269" s="124">
        <v>845.27599999999995</v>
      </c>
      <c r="F269" s="124">
        <v>161.81299999999999</v>
      </c>
      <c r="G269" s="124">
        <v>165.66990000000001</v>
      </c>
      <c r="H269" s="124">
        <v>164.7448</v>
      </c>
      <c r="I269" s="124">
        <v>163.13159999999999</v>
      </c>
      <c r="J269" s="134">
        <v>243102303</v>
      </c>
      <c r="K269" s="134">
        <v>251338623</v>
      </c>
      <c r="L269" s="124">
        <v>1473.5050000000001</v>
      </c>
      <c r="M269" s="114">
        <v>0</v>
      </c>
      <c r="N269" s="135">
        <v>103.4635</v>
      </c>
      <c r="O269" s="135">
        <v>99.959699999999998</v>
      </c>
      <c r="P269" s="135">
        <v>101.99460000000001</v>
      </c>
      <c r="Q269" s="135">
        <v>87.873699999999999</v>
      </c>
      <c r="R269" s="137">
        <v>1.08</v>
      </c>
      <c r="S269" s="120">
        <v>0</v>
      </c>
      <c r="T269" s="120">
        <v>3477221</v>
      </c>
      <c r="U269" s="120">
        <v>0</v>
      </c>
      <c r="V269" s="114">
        <f t="shared" si="10"/>
        <v>3477221</v>
      </c>
      <c r="W269" s="114">
        <f t="shared" si="11"/>
        <v>3477221</v>
      </c>
    </row>
    <row r="270" spans="1:23">
      <c r="A270" s="122" t="s">
        <v>2463</v>
      </c>
      <c r="B270" s="124">
        <v>834.15800000000002</v>
      </c>
      <c r="C270" s="124">
        <v>793.48400000000004</v>
      </c>
      <c r="D270" s="124">
        <v>783.08100000000002</v>
      </c>
      <c r="E270" s="124">
        <v>795.98099999999999</v>
      </c>
      <c r="F270" s="124">
        <v>138.227</v>
      </c>
      <c r="G270" s="124">
        <v>140.46619999999999</v>
      </c>
      <c r="H270" s="124">
        <v>142.1688</v>
      </c>
      <c r="I270" s="124">
        <v>150.3972</v>
      </c>
      <c r="J270" s="134">
        <v>112079379</v>
      </c>
      <c r="K270" s="134">
        <v>123269819</v>
      </c>
      <c r="L270" s="124">
        <v>1322.0050000000001</v>
      </c>
      <c r="M270" s="114">
        <v>0</v>
      </c>
      <c r="N270" s="135">
        <v>98.418300000000002</v>
      </c>
      <c r="O270" s="135">
        <v>98.0565</v>
      </c>
      <c r="P270" s="135">
        <v>101.1139</v>
      </c>
      <c r="Q270" s="135">
        <v>106.6789</v>
      </c>
      <c r="R270" s="137">
        <v>1.04</v>
      </c>
      <c r="S270" s="120">
        <v>0</v>
      </c>
      <c r="T270" s="120">
        <v>1562874</v>
      </c>
      <c r="U270" s="120">
        <v>42899</v>
      </c>
      <c r="V270" s="114">
        <f t="shared" si="10"/>
        <v>1605773</v>
      </c>
      <c r="W270" s="114">
        <f t="shared" si="11"/>
        <v>1605773</v>
      </c>
    </row>
    <row r="271" spans="1:23">
      <c r="A271" s="122" t="s">
        <v>2620</v>
      </c>
      <c r="B271" s="124">
        <v>1120.4690000000001</v>
      </c>
      <c r="C271" s="124">
        <v>1114.125</v>
      </c>
      <c r="D271" s="124">
        <v>1119.221</v>
      </c>
      <c r="E271" s="124">
        <v>1143.8019999999999</v>
      </c>
      <c r="F271" s="124">
        <v>165.9308</v>
      </c>
      <c r="G271" s="124">
        <v>165.5137</v>
      </c>
      <c r="H271" s="124">
        <v>165.47470000000001</v>
      </c>
      <c r="I271" s="124">
        <v>169.39160000000001</v>
      </c>
      <c r="J271" s="134">
        <v>194991829</v>
      </c>
      <c r="K271" s="134">
        <v>210360269</v>
      </c>
      <c r="L271" s="124">
        <v>1682.585</v>
      </c>
      <c r="M271" s="114">
        <v>0</v>
      </c>
      <c r="N271" s="135">
        <v>112.8496</v>
      </c>
      <c r="O271" s="135">
        <v>112.7543</v>
      </c>
      <c r="P271" s="135">
        <v>113.381</v>
      </c>
      <c r="Q271" s="135">
        <v>116.41549999999999</v>
      </c>
      <c r="R271" s="137">
        <v>1.05</v>
      </c>
      <c r="S271" s="120">
        <v>0</v>
      </c>
      <c r="T271" s="120">
        <v>2826324</v>
      </c>
      <c r="U271" s="120">
        <v>0</v>
      </c>
      <c r="V271" s="114">
        <f t="shared" si="10"/>
        <v>2826324</v>
      </c>
      <c r="W271" s="114">
        <f t="shared" si="11"/>
        <v>2826324</v>
      </c>
    </row>
    <row r="272" spans="1:23">
      <c r="A272" s="122" t="s">
        <v>2007</v>
      </c>
      <c r="B272" s="124">
        <v>414.00200000000001</v>
      </c>
      <c r="C272" s="124">
        <v>402.15800000000002</v>
      </c>
      <c r="D272" s="124">
        <v>390.01299999999998</v>
      </c>
      <c r="E272" s="124">
        <v>374.08499999999998</v>
      </c>
      <c r="F272" s="124">
        <v>106.3601</v>
      </c>
      <c r="G272" s="124">
        <v>110.8022</v>
      </c>
      <c r="H272" s="124">
        <v>103.7085</v>
      </c>
      <c r="I272" s="124">
        <v>90.451899999999995</v>
      </c>
      <c r="J272" s="134">
        <v>39518191</v>
      </c>
      <c r="K272" s="134">
        <v>43885991</v>
      </c>
      <c r="L272" s="124">
        <v>686.03099999999995</v>
      </c>
      <c r="M272" s="114">
        <v>0</v>
      </c>
      <c r="N272" s="135">
        <v>75.076800000000006</v>
      </c>
      <c r="O272" s="135">
        <v>78.412800000000004</v>
      </c>
      <c r="P272" s="135">
        <v>68.354100000000003</v>
      </c>
      <c r="Q272" s="135">
        <v>52.845799999999997</v>
      </c>
      <c r="R272" s="137">
        <v>1.04</v>
      </c>
      <c r="S272" s="120">
        <v>0</v>
      </c>
      <c r="T272" s="120">
        <v>566439</v>
      </c>
      <c r="U272" s="120">
        <v>0</v>
      </c>
      <c r="V272" s="114">
        <f t="shared" si="10"/>
        <v>566439</v>
      </c>
      <c r="W272" s="114">
        <f t="shared" si="11"/>
        <v>566439</v>
      </c>
    </row>
    <row r="273" spans="1:23">
      <c r="A273" s="122" t="s">
        <v>672</v>
      </c>
      <c r="B273" s="124">
        <v>480.84899999999999</v>
      </c>
      <c r="C273" s="124">
        <v>464.64299999999997</v>
      </c>
      <c r="D273" s="124">
        <v>451.84100000000001</v>
      </c>
      <c r="E273" s="124">
        <v>439.32499999999999</v>
      </c>
      <c r="F273" s="124">
        <v>82</v>
      </c>
      <c r="G273" s="124">
        <v>83.5</v>
      </c>
      <c r="H273" s="124">
        <v>87.5</v>
      </c>
      <c r="I273" s="124">
        <v>85.5</v>
      </c>
      <c r="J273" s="134">
        <v>60420665</v>
      </c>
      <c r="K273" s="134">
        <v>66731345</v>
      </c>
      <c r="L273" s="124">
        <v>808.63</v>
      </c>
      <c r="M273" s="134">
        <v>51463</v>
      </c>
      <c r="N273" s="135">
        <v>56.001399999999997</v>
      </c>
      <c r="O273" s="135">
        <v>56.999699999999997</v>
      </c>
      <c r="P273" s="135">
        <v>59.501300000000001</v>
      </c>
      <c r="Q273" s="135">
        <v>58.324100000000001</v>
      </c>
      <c r="R273" s="137">
        <v>1.05</v>
      </c>
      <c r="S273" s="120">
        <v>0</v>
      </c>
      <c r="T273" s="120">
        <v>861213</v>
      </c>
      <c r="U273" s="120">
        <v>0</v>
      </c>
      <c r="V273" s="114">
        <f t="shared" si="10"/>
        <v>861213</v>
      </c>
      <c r="W273" s="114">
        <f t="shared" si="11"/>
        <v>861213</v>
      </c>
    </row>
    <row r="274" spans="1:23">
      <c r="A274" s="122" t="s">
        <v>1034</v>
      </c>
      <c r="B274" s="124">
        <v>224.04300000000001</v>
      </c>
      <c r="C274" s="124">
        <v>210.001</v>
      </c>
      <c r="D274" s="124">
        <v>217.41300000000001</v>
      </c>
      <c r="E274" s="124">
        <v>211.39099999999999</v>
      </c>
      <c r="F274" s="124">
        <v>39.276800000000001</v>
      </c>
      <c r="G274" s="124">
        <v>39.221899999999998</v>
      </c>
      <c r="H274" s="124">
        <v>37.179200000000002</v>
      </c>
      <c r="I274" s="124">
        <v>37.561500000000002</v>
      </c>
      <c r="J274" s="134">
        <v>26680884</v>
      </c>
      <c r="K274" s="134">
        <v>29829769</v>
      </c>
      <c r="L274" s="124">
        <v>395.75900000000001</v>
      </c>
      <c r="M274" s="114">
        <v>0</v>
      </c>
      <c r="N274" s="135">
        <v>26.219100000000001</v>
      </c>
      <c r="O274" s="135">
        <v>27.9999</v>
      </c>
      <c r="P274" s="135">
        <v>25.979099999999999</v>
      </c>
      <c r="Q274" s="135">
        <v>24.968</v>
      </c>
      <c r="R274" s="137">
        <v>1.05</v>
      </c>
      <c r="S274" s="120">
        <v>0</v>
      </c>
      <c r="T274" s="120">
        <v>359311</v>
      </c>
      <c r="U274" s="120">
        <v>0</v>
      </c>
      <c r="V274" s="114">
        <f t="shared" si="10"/>
        <v>359311</v>
      </c>
      <c r="W274" s="114">
        <f t="shared" si="11"/>
        <v>359311</v>
      </c>
    </row>
    <row r="275" spans="1:23">
      <c r="A275" s="122" t="s">
        <v>2442</v>
      </c>
      <c r="B275" s="124">
        <v>24568.757000000001</v>
      </c>
      <c r="C275" s="124">
        <v>24179.018</v>
      </c>
      <c r="D275" s="124">
        <v>24083.741000000002</v>
      </c>
      <c r="E275" s="124">
        <v>24026.187999999998</v>
      </c>
      <c r="F275" s="124">
        <v>3070.0798</v>
      </c>
      <c r="G275" s="124">
        <v>3374.7512000000002</v>
      </c>
      <c r="H275" s="124">
        <v>3454.9785000000002</v>
      </c>
      <c r="I275" s="124">
        <v>3294.3818000000001</v>
      </c>
      <c r="J275" s="134">
        <v>4463457073</v>
      </c>
      <c r="K275" s="134">
        <v>4684963230</v>
      </c>
      <c r="L275" s="124">
        <v>31858.616000000002</v>
      </c>
      <c r="M275" s="134">
        <v>959387</v>
      </c>
      <c r="N275" s="135">
        <v>1735.0349000000001</v>
      </c>
      <c r="O275" s="135">
        <v>2066.2874000000002</v>
      </c>
      <c r="P275" s="135">
        <v>2103.9045000000001</v>
      </c>
      <c r="Q275" s="135">
        <v>1992.4964</v>
      </c>
      <c r="R275" s="137">
        <v>1.1399999999999999</v>
      </c>
      <c r="S275" s="120">
        <v>2418448</v>
      </c>
      <c r="T275" s="120">
        <v>63724119</v>
      </c>
      <c r="U275" s="120">
        <v>0</v>
      </c>
      <c r="V275" s="114">
        <f t="shared" si="10"/>
        <v>63724119</v>
      </c>
      <c r="W275" s="114">
        <f t="shared" si="11"/>
        <v>66142567</v>
      </c>
    </row>
    <row r="276" spans="1:23">
      <c r="A276" s="122" t="s">
        <v>2976</v>
      </c>
      <c r="B276" s="124">
        <v>382.178</v>
      </c>
      <c r="C276" s="124">
        <v>371.12299999999999</v>
      </c>
      <c r="D276" s="124">
        <v>367.67899999999997</v>
      </c>
      <c r="E276" s="124">
        <v>368.589</v>
      </c>
      <c r="F276" s="124">
        <v>86.518900000000002</v>
      </c>
      <c r="G276" s="124">
        <v>88.177899999999994</v>
      </c>
      <c r="H276" s="124">
        <v>81.847800000000007</v>
      </c>
      <c r="I276" s="124">
        <v>80.347700000000003</v>
      </c>
      <c r="J276" s="134">
        <v>197371726</v>
      </c>
      <c r="K276" s="134">
        <v>200658925</v>
      </c>
      <c r="L276" s="124">
        <v>761.32600000000002</v>
      </c>
      <c r="M276" s="114">
        <v>0</v>
      </c>
      <c r="N276" s="135">
        <v>63.277299999999997</v>
      </c>
      <c r="O276" s="135">
        <v>63.7911</v>
      </c>
      <c r="P276" s="135">
        <v>58.25</v>
      </c>
      <c r="Q276" s="135">
        <v>56.750799999999998</v>
      </c>
      <c r="R276" s="137">
        <v>1.0900000000000001</v>
      </c>
      <c r="S276" s="120">
        <v>0</v>
      </c>
      <c r="T276" s="120">
        <v>2952144</v>
      </c>
      <c r="U276" s="120">
        <v>0</v>
      </c>
      <c r="V276" s="114">
        <f t="shared" si="10"/>
        <v>2952144</v>
      </c>
      <c r="W276" s="114">
        <f t="shared" si="11"/>
        <v>2952144</v>
      </c>
    </row>
    <row r="277" spans="1:23">
      <c r="A277" s="122" t="s">
        <v>2745</v>
      </c>
      <c r="B277" s="124">
        <v>368.67200000000003</v>
      </c>
      <c r="C277" s="124">
        <v>341.84699999999998</v>
      </c>
      <c r="D277" s="124">
        <v>331.52300000000002</v>
      </c>
      <c r="E277" s="124">
        <v>321.733</v>
      </c>
      <c r="F277" s="124">
        <v>79.264600000000002</v>
      </c>
      <c r="G277" s="124">
        <v>79.941199999999995</v>
      </c>
      <c r="H277" s="124">
        <v>69</v>
      </c>
      <c r="I277" s="124">
        <v>65.451899999999995</v>
      </c>
      <c r="J277" s="134">
        <v>94750396</v>
      </c>
      <c r="K277" s="134">
        <v>99507286</v>
      </c>
      <c r="L277" s="124">
        <v>685.17100000000005</v>
      </c>
      <c r="M277" s="134">
        <v>140185</v>
      </c>
      <c r="N277" s="135">
        <v>55.1858</v>
      </c>
      <c r="O277" s="135">
        <v>53.635199999999998</v>
      </c>
      <c r="P277" s="135">
        <v>43.119900000000001</v>
      </c>
      <c r="Q277" s="135">
        <v>41.585599999999999</v>
      </c>
      <c r="R277" s="137">
        <v>1.08</v>
      </c>
      <c r="S277" s="120">
        <v>161864</v>
      </c>
      <c r="T277" s="120">
        <v>1416184</v>
      </c>
      <c r="U277" s="120">
        <v>0</v>
      </c>
      <c r="V277" s="114">
        <f t="shared" si="10"/>
        <v>1416184</v>
      </c>
      <c r="W277" s="114">
        <f t="shared" si="11"/>
        <v>1578048</v>
      </c>
    </row>
    <row r="278" spans="1:23">
      <c r="A278" s="122" t="s">
        <v>274</v>
      </c>
      <c r="B278" s="124">
        <v>229.619</v>
      </c>
      <c r="C278" s="124">
        <v>226.05</v>
      </c>
      <c r="D278" s="124">
        <v>225.994</v>
      </c>
      <c r="E278" s="124">
        <v>228.483</v>
      </c>
      <c r="F278" s="124">
        <v>39.371600000000001</v>
      </c>
      <c r="G278" s="124">
        <v>36.692399999999999</v>
      </c>
      <c r="H278" s="124">
        <v>37.771599999999999</v>
      </c>
      <c r="I278" s="124">
        <v>40.834200000000003</v>
      </c>
      <c r="J278" s="134">
        <v>21287254</v>
      </c>
      <c r="K278" s="134">
        <v>22690749</v>
      </c>
      <c r="L278" s="124">
        <v>434.404</v>
      </c>
      <c r="M278" s="114">
        <v>0</v>
      </c>
      <c r="N278" s="135">
        <v>23.904599999999999</v>
      </c>
      <c r="O278" s="135">
        <v>17.773499999999999</v>
      </c>
      <c r="P278" s="135">
        <v>25.136600000000001</v>
      </c>
      <c r="Q278" s="135">
        <v>27.592199999999998</v>
      </c>
      <c r="R278" s="137">
        <v>1.0900000000000001</v>
      </c>
      <c r="S278" s="120">
        <v>15645</v>
      </c>
      <c r="T278" s="120">
        <v>306465</v>
      </c>
      <c r="U278" s="120">
        <v>0</v>
      </c>
      <c r="V278" s="114">
        <f t="shared" si="10"/>
        <v>306465</v>
      </c>
      <c r="W278" s="114">
        <f t="shared" si="11"/>
        <v>322110</v>
      </c>
    </row>
    <row r="279" spans="1:23">
      <c r="A279" s="122" t="s">
        <v>1585</v>
      </c>
      <c r="B279" s="124">
        <v>4538.8999999999996</v>
      </c>
      <c r="C279" s="124">
        <v>4644.5050000000001</v>
      </c>
      <c r="D279" s="124">
        <v>4747.2960000000003</v>
      </c>
      <c r="E279" s="124">
        <v>4950.1279999999997</v>
      </c>
      <c r="F279" s="124">
        <v>631.72519999999997</v>
      </c>
      <c r="G279" s="124">
        <v>668.5752</v>
      </c>
      <c r="H279" s="124">
        <v>570.08029999999997</v>
      </c>
      <c r="I279" s="124">
        <v>737.12919999999997</v>
      </c>
      <c r="J279" s="134">
        <v>957719215</v>
      </c>
      <c r="K279" s="134">
        <v>1002202265</v>
      </c>
      <c r="L279" s="124">
        <v>6911.799</v>
      </c>
      <c r="M279" s="134">
        <v>1270470</v>
      </c>
      <c r="N279" s="135">
        <v>422.3211</v>
      </c>
      <c r="O279" s="135">
        <v>455.4504</v>
      </c>
      <c r="P279" s="135">
        <v>404.59719999999999</v>
      </c>
      <c r="Q279" s="135">
        <v>494.64420000000001</v>
      </c>
      <c r="R279" s="137">
        <v>1.1100000000000001</v>
      </c>
      <c r="S279" s="120">
        <v>2745353</v>
      </c>
      <c r="T279" s="120">
        <v>15721597</v>
      </c>
      <c r="U279" s="120">
        <v>0</v>
      </c>
      <c r="V279" s="114">
        <f t="shared" si="10"/>
        <v>15721597</v>
      </c>
      <c r="W279" s="114">
        <f t="shared" si="11"/>
        <v>18466950</v>
      </c>
    </row>
    <row r="280" spans="1:23">
      <c r="A280" s="122" t="s">
        <v>1586</v>
      </c>
      <c r="B280" s="124">
        <v>1845.8520000000001</v>
      </c>
      <c r="C280" s="124">
        <v>1924.067</v>
      </c>
      <c r="D280" s="124">
        <v>2002.5239999999999</v>
      </c>
      <c r="E280" s="124">
        <v>2026.03</v>
      </c>
      <c r="F280" s="124">
        <v>272.54590000000002</v>
      </c>
      <c r="G280" s="124">
        <v>283.51400000000001</v>
      </c>
      <c r="H280" s="124">
        <v>296.82960000000003</v>
      </c>
      <c r="I280" s="124">
        <v>314.04360000000003</v>
      </c>
      <c r="J280" s="134">
        <v>207628161</v>
      </c>
      <c r="K280" s="134">
        <v>223532655</v>
      </c>
      <c r="L280" s="124">
        <v>2940.895</v>
      </c>
      <c r="M280" s="134">
        <v>196689</v>
      </c>
      <c r="N280" s="135">
        <v>183.3912</v>
      </c>
      <c r="O280" s="135">
        <v>189.72239999999999</v>
      </c>
      <c r="P280" s="135">
        <v>198.07480000000001</v>
      </c>
      <c r="Q280" s="135">
        <v>209.91239999999999</v>
      </c>
      <c r="R280" s="137">
        <v>1.0900000000000001</v>
      </c>
      <c r="S280" s="120">
        <v>238870</v>
      </c>
      <c r="T280" s="120">
        <v>3236544</v>
      </c>
      <c r="U280" s="120">
        <v>0</v>
      </c>
      <c r="V280" s="114">
        <f t="shared" si="10"/>
        <v>3236544</v>
      </c>
      <c r="W280" s="114">
        <f t="shared" si="11"/>
        <v>3475414</v>
      </c>
    </row>
    <row r="281" spans="1:23">
      <c r="A281" s="122" t="s">
        <v>818</v>
      </c>
      <c r="B281" s="124">
        <v>601.49300000000005</v>
      </c>
      <c r="C281" s="124">
        <v>618.49900000000002</v>
      </c>
      <c r="D281" s="124">
        <v>639.28599999999994</v>
      </c>
      <c r="E281" s="124">
        <v>649.91</v>
      </c>
      <c r="F281" s="124">
        <v>107.544</v>
      </c>
      <c r="G281" s="124">
        <v>109.91840000000001</v>
      </c>
      <c r="H281" s="124">
        <v>109.97320000000001</v>
      </c>
      <c r="I281" s="124">
        <v>114.3582</v>
      </c>
      <c r="J281" s="134">
        <v>53388898</v>
      </c>
      <c r="K281" s="134">
        <v>59014958</v>
      </c>
      <c r="L281" s="124">
        <v>1105.2049999999999</v>
      </c>
      <c r="M281" s="114">
        <v>6</v>
      </c>
      <c r="N281" s="135">
        <v>74.154799999999994</v>
      </c>
      <c r="O281" s="135">
        <v>76.5989</v>
      </c>
      <c r="P281" s="135">
        <v>76.364000000000004</v>
      </c>
      <c r="Q281" s="135">
        <v>77.032300000000006</v>
      </c>
      <c r="R281" s="137">
        <v>1.0900000000000001</v>
      </c>
      <c r="S281" s="120">
        <v>43254</v>
      </c>
      <c r="T281" s="120">
        <v>901900</v>
      </c>
      <c r="U281" s="120">
        <v>0</v>
      </c>
      <c r="V281" s="114">
        <f t="shared" si="10"/>
        <v>901900</v>
      </c>
      <c r="W281" s="114">
        <f t="shared" si="11"/>
        <v>945154</v>
      </c>
    </row>
    <row r="282" spans="1:23">
      <c r="A282" s="122" t="s">
        <v>1581</v>
      </c>
      <c r="B282" s="124">
        <v>3969.2750000000001</v>
      </c>
      <c r="C282" s="124">
        <v>4169.13</v>
      </c>
      <c r="D282" s="124">
        <v>4506.491</v>
      </c>
      <c r="E282" s="124">
        <v>4859.0870000000004</v>
      </c>
      <c r="F282" s="124">
        <v>557.31359999999995</v>
      </c>
      <c r="G282" s="124">
        <v>544.77449999999999</v>
      </c>
      <c r="H282" s="124">
        <v>618.9973</v>
      </c>
      <c r="I282" s="124">
        <v>717.52499999999998</v>
      </c>
      <c r="J282" s="134">
        <v>1368154232</v>
      </c>
      <c r="K282" s="134">
        <v>1415957336</v>
      </c>
      <c r="L282" s="124">
        <v>6045.6090000000004</v>
      </c>
      <c r="M282" s="134">
        <v>3909372</v>
      </c>
      <c r="N282" s="135">
        <v>373.00540000000001</v>
      </c>
      <c r="O282" s="135">
        <v>364.51299999999998</v>
      </c>
      <c r="P282" s="135">
        <v>396.11669999999998</v>
      </c>
      <c r="Q282" s="135">
        <v>451.98559999999998</v>
      </c>
      <c r="R282" s="137">
        <v>1.1100000000000001</v>
      </c>
      <c r="S282" s="120">
        <v>3648667</v>
      </c>
      <c r="T282" s="120">
        <v>22746405</v>
      </c>
      <c r="U282" s="120">
        <v>0</v>
      </c>
      <c r="V282" s="114">
        <f t="shared" si="10"/>
        <v>22746405</v>
      </c>
      <c r="W282" s="114">
        <f t="shared" si="11"/>
        <v>26395072</v>
      </c>
    </row>
    <row r="283" spans="1:23">
      <c r="A283" s="122" t="s">
        <v>1049</v>
      </c>
      <c r="B283" s="124">
        <v>172.054</v>
      </c>
      <c r="C283" s="124">
        <v>179.81299999999999</v>
      </c>
      <c r="D283" s="124">
        <v>174.38300000000001</v>
      </c>
      <c r="E283" s="124">
        <v>174.00200000000001</v>
      </c>
      <c r="F283" s="124">
        <v>35.159199999999998</v>
      </c>
      <c r="G283" s="124">
        <v>36.631999999999998</v>
      </c>
      <c r="H283" s="124">
        <v>38.159199999999998</v>
      </c>
      <c r="I283" s="124">
        <v>34.442599999999999</v>
      </c>
      <c r="J283" s="134">
        <v>25313288</v>
      </c>
      <c r="K283" s="134">
        <v>27609254</v>
      </c>
      <c r="L283" s="124">
        <v>332.98</v>
      </c>
      <c r="M283" s="134">
        <v>43244</v>
      </c>
      <c r="N283" s="135">
        <v>24.663699999999999</v>
      </c>
      <c r="O283" s="135">
        <v>25.7807</v>
      </c>
      <c r="P283" s="135">
        <v>28.069900000000001</v>
      </c>
      <c r="Q283" s="135">
        <v>24.656099999999999</v>
      </c>
      <c r="R283" s="137">
        <v>1.1000000000000001</v>
      </c>
      <c r="S283" s="120">
        <v>44546</v>
      </c>
      <c r="T283" s="120">
        <v>441570</v>
      </c>
      <c r="U283" s="120">
        <v>0</v>
      </c>
      <c r="V283" s="114">
        <f t="shared" si="10"/>
        <v>441570</v>
      </c>
      <c r="W283" s="114">
        <f t="shared" si="11"/>
        <v>486116</v>
      </c>
    </row>
    <row r="284" spans="1:23">
      <c r="A284" s="122" t="s">
        <v>275</v>
      </c>
      <c r="B284" s="124">
        <v>884.67</v>
      </c>
      <c r="C284" s="124">
        <v>958.37300000000005</v>
      </c>
      <c r="D284" s="124">
        <v>984.73800000000006</v>
      </c>
      <c r="E284" s="124">
        <v>1012.455</v>
      </c>
      <c r="F284" s="124">
        <v>116.4516</v>
      </c>
      <c r="G284" s="124">
        <v>127.4027</v>
      </c>
      <c r="H284" s="124">
        <v>133.47880000000001</v>
      </c>
      <c r="I284" s="124">
        <v>168.2611</v>
      </c>
      <c r="J284" s="134">
        <v>128091618</v>
      </c>
      <c r="K284" s="134">
        <v>138286048</v>
      </c>
      <c r="L284" s="124">
        <v>1536.597</v>
      </c>
      <c r="M284" s="134">
        <v>82748</v>
      </c>
      <c r="N284" s="135">
        <v>78.453500000000005</v>
      </c>
      <c r="O284" s="135">
        <v>79.871600000000001</v>
      </c>
      <c r="P284" s="135">
        <v>80.5428</v>
      </c>
      <c r="Q284" s="135">
        <v>101.1088</v>
      </c>
      <c r="R284" s="137">
        <v>1.08</v>
      </c>
      <c r="S284" s="120">
        <v>178957</v>
      </c>
      <c r="T284" s="120">
        <v>2025585</v>
      </c>
      <c r="U284" s="120">
        <v>0</v>
      </c>
      <c r="V284" s="114">
        <f t="shared" si="10"/>
        <v>2025585</v>
      </c>
      <c r="W284" s="114">
        <f t="shared" si="11"/>
        <v>2204542</v>
      </c>
    </row>
    <row r="285" spans="1:23">
      <c r="A285" s="122" t="s">
        <v>2382</v>
      </c>
      <c r="B285" s="124">
        <v>4233.3090000000002</v>
      </c>
      <c r="C285" s="124">
        <v>4341.9369999999999</v>
      </c>
      <c r="D285" s="124">
        <v>4446.29</v>
      </c>
      <c r="E285" s="124">
        <v>4563.5550000000003</v>
      </c>
      <c r="F285" s="124">
        <v>572.97159999999997</v>
      </c>
      <c r="G285" s="124">
        <v>631.05690000000004</v>
      </c>
      <c r="H285" s="124">
        <v>641.81600000000003</v>
      </c>
      <c r="I285" s="124">
        <v>678.5634</v>
      </c>
      <c r="J285" s="134">
        <v>651110642</v>
      </c>
      <c r="K285" s="134">
        <v>697799556</v>
      </c>
      <c r="L285" s="124">
        <v>5806.17</v>
      </c>
      <c r="M285" s="134">
        <v>526682</v>
      </c>
      <c r="N285" s="135">
        <v>360.61880000000002</v>
      </c>
      <c r="O285" s="135">
        <v>373.50959999999998</v>
      </c>
      <c r="P285" s="135">
        <v>382.12419999999997</v>
      </c>
      <c r="Q285" s="135">
        <v>398.21480000000003</v>
      </c>
      <c r="R285" s="137">
        <v>1.1100000000000001</v>
      </c>
      <c r="S285" s="120">
        <v>612462</v>
      </c>
      <c r="T285" s="120">
        <v>10646787</v>
      </c>
      <c r="U285" s="120">
        <v>0</v>
      </c>
      <c r="V285" s="114">
        <f t="shared" si="10"/>
        <v>10646787</v>
      </c>
      <c r="W285" s="114">
        <f t="shared" si="11"/>
        <v>11259249</v>
      </c>
    </row>
    <row r="286" spans="1:23">
      <c r="A286" s="122" t="s">
        <v>375</v>
      </c>
      <c r="B286" s="124">
        <v>5297.5320000000002</v>
      </c>
      <c r="C286" s="124">
        <v>5348.67</v>
      </c>
      <c r="D286" s="124">
        <v>5361.5739999999996</v>
      </c>
      <c r="E286" s="124">
        <v>5491.8810000000003</v>
      </c>
      <c r="F286" s="124">
        <v>740.48040000000003</v>
      </c>
      <c r="G286" s="124">
        <v>778.79549999999995</v>
      </c>
      <c r="H286" s="124">
        <v>795.39480000000003</v>
      </c>
      <c r="I286" s="124">
        <v>835.58860000000004</v>
      </c>
      <c r="J286" s="134">
        <v>1366594505</v>
      </c>
      <c r="K286" s="134">
        <v>1427590782</v>
      </c>
      <c r="L286" s="124">
        <v>7230.2020000000002</v>
      </c>
      <c r="M286" s="134">
        <v>1345426</v>
      </c>
      <c r="N286" s="135">
        <v>462.16129999999998</v>
      </c>
      <c r="O286" s="135">
        <v>473.40969999999999</v>
      </c>
      <c r="P286" s="135">
        <v>468.64120000000003</v>
      </c>
      <c r="Q286" s="135">
        <v>491.71559999999999</v>
      </c>
      <c r="R286" s="137">
        <v>1.1100000000000001</v>
      </c>
      <c r="S286" s="120">
        <v>3359413</v>
      </c>
      <c r="T286" s="120">
        <v>22125421</v>
      </c>
      <c r="U286" s="120">
        <v>0</v>
      </c>
      <c r="V286" s="114">
        <f t="shared" si="10"/>
        <v>22125421</v>
      </c>
      <c r="W286" s="114">
        <f t="shared" si="11"/>
        <v>25484834</v>
      </c>
    </row>
    <row r="287" spans="1:23">
      <c r="A287" s="122" t="s">
        <v>819</v>
      </c>
      <c r="B287" s="124">
        <v>793.47799999999995</v>
      </c>
      <c r="C287" s="124">
        <v>808.46500000000003</v>
      </c>
      <c r="D287" s="124">
        <v>838.63499999999999</v>
      </c>
      <c r="E287" s="124">
        <v>851.74699999999996</v>
      </c>
      <c r="F287" s="124">
        <v>122.988</v>
      </c>
      <c r="G287" s="124">
        <v>113.5775</v>
      </c>
      <c r="H287" s="124">
        <v>126.01609999999999</v>
      </c>
      <c r="I287" s="124">
        <v>146.37960000000001</v>
      </c>
      <c r="J287" s="134">
        <v>98738429</v>
      </c>
      <c r="K287" s="134">
        <v>106579299</v>
      </c>
      <c r="L287" s="124">
        <v>1371.1110000000001</v>
      </c>
      <c r="M287" s="134">
        <v>121184</v>
      </c>
      <c r="N287" s="135">
        <v>86.799199999999999</v>
      </c>
      <c r="O287" s="135">
        <v>96.947900000000004</v>
      </c>
      <c r="P287" s="135">
        <v>88.102199999999996</v>
      </c>
      <c r="Q287" s="135">
        <v>101.3023</v>
      </c>
      <c r="R287" s="137">
        <v>1.08</v>
      </c>
      <c r="S287" s="120">
        <v>190910</v>
      </c>
      <c r="T287" s="120">
        <v>1531309</v>
      </c>
      <c r="U287" s="120">
        <v>0</v>
      </c>
      <c r="V287" s="114">
        <f t="shared" si="10"/>
        <v>1531309</v>
      </c>
      <c r="W287" s="114">
        <f t="shared" si="11"/>
        <v>1722219</v>
      </c>
    </row>
    <row r="288" spans="1:23">
      <c r="A288" s="122" t="s">
        <v>629</v>
      </c>
      <c r="B288" s="124">
        <v>6767.3130000000001</v>
      </c>
      <c r="C288" s="124">
        <v>7068.3050000000003</v>
      </c>
      <c r="D288" s="124">
        <v>7414.4179999999997</v>
      </c>
      <c r="E288" s="124">
        <v>7713.4620000000004</v>
      </c>
      <c r="F288" s="124">
        <v>976.12580000000003</v>
      </c>
      <c r="G288" s="124">
        <v>1066.2647999999999</v>
      </c>
      <c r="H288" s="124">
        <v>1041.2101</v>
      </c>
      <c r="I288" s="124">
        <v>1049.2262000000001</v>
      </c>
      <c r="J288" s="134">
        <v>396021597</v>
      </c>
      <c r="K288" s="134">
        <v>412694557</v>
      </c>
      <c r="L288" s="124">
        <v>10596.335999999999</v>
      </c>
      <c r="M288" s="114">
        <v>0</v>
      </c>
      <c r="N288" s="135">
        <v>588.71069999999997</v>
      </c>
      <c r="O288" s="135">
        <v>621.52610000000004</v>
      </c>
      <c r="P288" s="135">
        <v>588.11379999999997</v>
      </c>
      <c r="Q288" s="135">
        <v>597.8184</v>
      </c>
      <c r="R288" s="137">
        <v>1.1200000000000001</v>
      </c>
      <c r="S288" s="120">
        <v>1150069</v>
      </c>
      <c r="T288" s="120">
        <v>5849235</v>
      </c>
      <c r="U288" s="120">
        <v>0</v>
      </c>
      <c r="V288" s="114">
        <f t="shared" si="10"/>
        <v>5849235</v>
      </c>
      <c r="W288" s="114">
        <f t="shared" si="11"/>
        <v>6999304</v>
      </c>
    </row>
    <row r="289" spans="1:23">
      <c r="A289" s="122" t="s">
        <v>2767</v>
      </c>
      <c r="B289" s="124">
        <v>56929.510999999999</v>
      </c>
      <c r="C289" s="124">
        <v>57474.896000000001</v>
      </c>
      <c r="D289" s="124">
        <v>58109.724000000002</v>
      </c>
      <c r="E289" s="124">
        <v>58341.718000000001</v>
      </c>
      <c r="F289" s="124">
        <v>7746.1988000000001</v>
      </c>
      <c r="G289" s="124">
        <v>8014.4092000000001</v>
      </c>
      <c r="H289" s="124">
        <v>8311.3819999999996</v>
      </c>
      <c r="I289" s="124">
        <v>8686.4802999999993</v>
      </c>
      <c r="J289" s="134">
        <v>8697157170</v>
      </c>
      <c r="K289" s="134">
        <v>9231676263</v>
      </c>
      <c r="L289" s="124">
        <v>78023.100000000006</v>
      </c>
      <c r="M289" s="134">
        <v>7263041</v>
      </c>
      <c r="N289" s="135">
        <v>4560.6759000000002</v>
      </c>
      <c r="O289" s="135">
        <v>4712.7674999999999</v>
      </c>
      <c r="P289" s="135">
        <v>4939.5325999999995</v>
      </c>
      <c r="Q289" s="135">
        <v>5229.8225000000002</v>
      </c>
      <c r="R289" s="137">
        <v>1.1399999999999999</v>
      </c>
      <c r="S289" s="120">
        <v>7256269</v>
      </c>
      <c r="T289" s="120">
        <v>131119775</v>
      </c>
      <c r="U289" s="120">
        <v>0</v>
      </c>
      <c r="V289" s="114">
        <f t="shared" si="10"/>
        <v>131119775</v>
      </c>
      <c r="W289" s="114">
        <f t="shared" si="11"/>
        <v>138376044</v>
      </c>
    </row>
    <row r="290" spans="1:23">
      <c r="A290" s="122" t="s">
        <v>878</v>
      </c>
      <c r="B290" s="124">
        <v>2608.6880000000001</v>
      </c>
      <c r="C290" s="124">
        <v>2613.183</v>
      </c>
      <c r="D290" s="124">
        <v>2617.8510000000001</v>
      </c>
      <c r="E290" s="124">
        <v>2601.6370000000002</v>
      </c>
      <c r="F290" s="124">
        <v>387.42570000000001</v>
      </c>
      <c r="G290" s="124">
        <v>373.20319999999998</v>
      </c>
      <c r="H290" s="124">
        <v>370.6952</v>
      </c>
      <c r="I290" s="124">
        <v>379.66579999999999</v>
      </c>
      <c r="J290" s="134">
        <v>102485988</v>
      </c>
      <c r="K290" s="134">
        <v>113764394</v>
      </c>
      <c r="L290" s="124">
        <v>3807.3409999999999</v>
      </c>
      <c r="M290" s="134">
        <v>3019</v>
      </c>
      <c r="N290" s="135">
        <v>233.18109999999999</v>
      </c>
      <c r="O290" s="135">
        <v>234.45009999999999</v>
      </c>
      <c r="P290" s="135">
        <v>242.51679999999999</v>
      </c>
      <c r="Q290" s="135">
        <v>241.45099999999999</v>
      </c>
      <c r="R290" s="137">
        <v>1.1299999999999999</v>
      </c>
      <c r="S290" s="120">
        <v>86809</v>
      </c>
      <c r="T290" s="120">
        <v>1551626</v>
      </c>
      <c r="U290" s="120">
        <v>0</v>
      </c>
      <c r="V290" s="114">
        <f t="shared" si="10"/>
        <v>1551626</v>
      </c>
      <c r="W290" s="114">
        <f t="shared" si="11"/>
        <v>1638435</v>
      </c>
    </row>
    <row r="291" spans="1:23">
      <c r="A291" s="122" t="s">
        <v>212</v>
      </c>
      <c r="B291" s="124">
        <v>3397.011</v>
      </c>
      <c r="C291" s="124">
        <v>3397.8420000000001</v>
      </c>
      <c r="D291" s="124">
        <v>3402.4740000000002</v>
      </c>
      <c r="E291" s="124">
        <v>3452.672</v>
      </c>
      <c r="F291" s="124">
        <v>542.1558</v>
      </c>
      <c r="G291" s="124">
        <v>592.86149999999998</v>
      </c>
      <c r="H291" s="124">
        <v>620.7174</v>
      </c>
      <c r="I291" s="124">
        <v>620.90930000000003</v>
      </c>
      <c r="J291" s="134">
        <v>88169443</v>
      </c>
      <c r="K291" s="134">
        <v>99268511</v>
      </c>
      <c r="L291" s="124">
        <v>5235.7209999999995</v>
      </c>
      <c r="M291" s="134">
        <v>14125</v>
      </c>
      <c r="N291" s="135">
        <v>277.02319999999997</v>
      </c>
      <c r="O291" s="135">
        <v>292.66329999999999</v>
      </c>
      <c r="P291" s="135">
        <v>292.9144</v>
      </c>
      <c r="Q291" s="135">
        <v>291.9855</v>
      </c>
      <c r="R291" s="137">
        <v>1.1399999999999999</v>
      </c>
      <c r="S291" s="120">
        <v>69798</v>
      </c>
      <c r="T291" s="120">
        <v>1191859</v>
      </c>
      <c r="U291" s="120">
        <v>74305</v>
      </c>
      <c r="V291" s="114">
        <f t="shared" si="10"/>
        <v>1266164</v>
      </c>
      <c r="W291" s="114">
        <f t="shared" si="11"/>
        <v>1335962</v>
      </c>
    </row>
    <row r="292" spans="1:23">
      <c r="A292" s="122" t="s">
        <v>1353</v>
      </c>
      <c r="B292" s="124">
        <v>43645.618999999999</v>
      </c>
      <c r="C292" s="124">
        <v>43300.998</v>
      </c>
      <c r="D292" s="124">
        <v>43462.006999999998</v>
      </c>
      <c r="E292" s="124">
        <v>43527.915999999997</v>
      </c>
      <c r="F292" s="124">
        <v>5895.2512999999999</v>
      </c>
      <c r="G292" s="124">
        <v>5846.4575999999997</v>
      </c>
      <c r="H292" s="124">
        <v>5870.6728999999996</v>
      </c>
      <c r="I292" s="124">
        <v>5832.3473000000004</v>
      </c>
      <c r="J292" s="134">
        <v>4014530551</v>
      </c>
      <c r="K292" s="134">
        <v>4372465088</v>
      </c>
      <c r="L292" s="124">
        <v>60130.97</v>
      </c>
      <c r="M292" s="134">
        <v>1628093</v>
      </c>
      <c r="N292" s="135">
        <v>3467.1079</v>
      </c>
      <c r="O292" s="135">
        <v>3493.6747</v>
      </c>
      <c r="P292" s="135">
        <v>3542.1329000000001</v>
      </c>
      <c r="Q292" s="135">
        <v>3497.8108000000002</v>
      </c>
      <c r="R292" s="137">
        <v>1.1399999999999999</v>
      </c>
      <c r="S292" s="120">
        <v>2248422</v>
      </c>
      <c r="T292" s="120">
        <v>59111390</v>
      </c>
      <c r="U292" s="120">
        <v>934569</v>
      </c>
      <c r="V292" s="114">
        <f t="shared" si="10"/>
        <v>60045959</v>
      </c>
      <c r="W292" s="114">
        <f t="shared" si="11"/>
        <v>62294381</v>
      </c>
    </row>
    <row r="293" spans="1:23">
      <c r="A293" s="122" t="s">
        <v>2401</v>
      </c>
      <c r="B293" s="124">
        <v>718.36199999999997</v>
      </c>
      <c r="C293" s="124">
        <v>710.75300000000004</v>
      </c>
      <c r="D293" s="124">
        <v>702.40599999999995</v>
      </c>
      <c r="E293" s="124">
        <v>718.101</v>
      </c>
      <c r="F293" s="124">
        <v>103.7221</v>
      </c>
      <c r="G293" s="124">
        <v>108.7166</v>
      </c>
      <c r="H293" s="124">
        <v>123.28619999999999</v>
      </c>
      <c r="I293" s="124">
        <v>119.7942</v>
      </c>
      <c r="J293" s="134">
        <v>107566491</v>
      </c>
      <c r="K293" s="134">
        <v>112250398</v>
      </c>
      <c r="L293" s="124">
        <v>1213.357</v>
      </c>
      <c r="M293" s="134">
        <v>94215</v>
      </c>
      <c r="N293" s="135">
        <v>65.141099999999994</v>
      </c>
      <c r="O293" s="135">
        <v>67.000500000000002</v>
      </c>
      <c r="P293" s="135">
        <v>73.237099999999998</v>
      </c>
      <c r="Q293" s="135">
        <v>78.113200000000006</v>
      </c>
      <c r="R293" s="137">
        <v>1.1000000000000001</v>
      </c>
      <c r="S293" s="120">
        <v>175096</v>
      </c>
      <c r="T293" s="120">
        <v>1380527</v>
      </c>
      <c r="U293" s="120">
        <v>38302</v>
      </c>
      <c r="V293" s="114">
        <f t="shared" si="10"/>
        <v>1418829</v>
      </c>
      <c r="W293" s="114">
        <f t="shared" si="11"/>
        <v>1593925</v>
      </c>
    </row>
    <row r="294" spans="1:23">
      <c r="A294" s="122" t="s">
        <v>2157</v>
      </c>
      <c r="B294" s="124">
        <v>4195.3819999999996</v>
      </c>
      <c r="C294" s="124">
        <v>4219.2030000000004</v>
      </c>
      <c r="D294" s="124">
        <v>4295.6220000000003</v>
      </c>
      <c r="E294" s="124">
        <v>4377.3119999999999</v>
      </c>
      <c r="F294" s="124">
        <v>642.03560000000004</v>
      </c>
      <c r="G294" s="124">
        <v>661.49670000000003</v>
      </c>
      <c r="H294" s="124">
        <v>687.8048</v>
      </c>
      <c r="I294" s="124">
        <v>705.91</v>
      </c>
      <c r="J294" s="134">
        <v>526102884</v>
      </c>
      <c r="K294" s="134">
        <v>552463027</v>
      </c>
      <c r="L294" s="124">
        <v>6315.4840000000004</v>
      </c>
      <c r="M294" s="134">
        <v>311014</v>
      </c>
      <c r="N294" s="135">
        <v>374.07350000000002</v>
      </c>
      <c r="O294" s="135">
        <v>384.88</v>
      </c>
      <c r="P294" s="135">
        <v>410.6395</v>
      </c>
      <c r="Q294" s="135">
        <v>423.53840000000002</v>
      </c>
      <c r="R294" s="137">
        <v>1.1299999999999999</v>
      </c>
      <c r="S294" s="120">
        <v>1153412</v>
      </c>
      <c r="T294" s="120">
        <v>7837346</v>
      </c>
      <c r="U294" s="120">
        <v>197771</v>
      </c>
      <c r="V294" s="114">
        <f t="shared" si="10"/>
        <v>8035117</v>
      </c>
      <c r="W294" s="114">
        <f t="shared" si="11"/>
        <v>9188529</v>
      </c>
    </row>
    <row r="295" spans="1:23">
      <c r="A295" s="122" t="s">
        <v>1710</v>
      </c>
      <c r="B295" s="124">
        <v>814.74300000000005</v>
      </c>
      <c r="C295" s="124">
        <v>947.61400000000003</v>
      </c>
      <c r="D295" s="124">
        <v>1072.537</v>
      </c>
      <c r="E295" s="124">
        <v>1086.337</v>
      </c>
      <c r="F295" s="124">
        <v>139.30099999999999</v>
      </c>
      <c r="G295" s="124">
        <v>150.09110000000001</v>
      </c>
      <c r="H295" s="124">
        <v>163.11750000000001</v>
      </c>
      <c r="I295" s="124">
        <v>165.88210000000001</v>
      </c>
      <c r="J295" s="134">
        <v>38099469</v>
      </c>
      <c r="K295" s="134">
        <v>40361920</v>
      </c>
      <c r="L295" s="124">
        <v>1691.4090000000001</v>
      </c>
      <c r="M295" s="134">
        <v>30615</v>
      </c>
      <c r="N295" s="135">
        <v>88.603300000000004</v>
      </c>
      <c r="O295" s="135">
        <v>94.385800000000003</v>
      </c>
      <c r="P295" s="135">
        <v>100.8374</v>
      </c>
      <c r="Q295" s="135">
        <v>102.038</v>
      </c>
      <c r="R295" s="137">
        <v>1.1299999999999999</v>
      </c>
      <c r="S295" s="120">
        <v>82452</v>
      </c>
      <c r="T295" s="120">
        <v>558644</v>
      </c>
      <c r="U295" s="120">
        <v>0</v>
      </c>
      <c r="V295" s="114">
        <f t="shared" si="10"/>
        <v>558644</v>
      </c>
      <c r="W295" s="114">
        <f t="shared" si="11"/>
        <v>641096</v>
      </c>
    </row>
    <row r="296" spans="1:23">
      <c r="A296" s="122" t="s">
        <v>1315</v>
      </c>
      <c r="B296" s="124">
        <v>22637.677</v>
      </c>
      <c r="C296" s="124">
        <v>24125.530999999999</v>
      </c>
      <c r="D296" s="124">
        <v>25410.535</v>
      </c>
      <c r="E296" s="124">
        <v>28020.432000000001</v>
      </c>
      <c r="F296" s="124">
        <v>2855.0772000000002</v>
      </c>
      <c r="G296" s="124">
        <v>3084.6927999999998</v>
      </c>
      <c r="H296" s="124">
        <v>3189.2035999999998</v>
      </c>
      <c r="I296" s="124">
        <v>3484.8040999999998</v>
      </c>
      <c r="J296" s="134">
        <v>2721298996</v>
      </c>
      <c r="K296" s="134">
        <v>2931387834</v>
      </c>
      <c r="L296" s="124">
        <v>37692.889000000003</v>
      </c>
      <c r="M296" s="134">
        <v>3166695</v>
      </c>
      <c r="N296" s="135">
        <v>1733.9577999999999</v>
      </c>
      <c r="O296" s="135">
        <v>1862.3458000000001</v>
      </c>
      <c r="P296" s="135">
        <v>1887.3287</v>
      </c>
      <c r="Q296" s="135">
        <v>2012.9936</v>
      </c>
      <c r="R296" s="137">
        <v>1.1499999999999999</v>
      </c>
      <c r="S296" s="120">
        <v>6716011</v>
      </c>
      <c r="T296" s="120">
        <v>39286322</v>
      </c>
      <c r="U296" s="120">
        <v>0</v>
      </c>
      <c r="V296" s="114">
        <f t="shared" si="10"/>
        <v>39286322</v>
      </c>
      <c r="W296" s="114">
        <f t="shared" si="11"/>
        <v>46002333</v>
      </c>
    </row>
    <row r="297" spans="1:23">
      <c r="A297" s="122" t="s">
        <v>2768</v>
      </c>
      <c r="B297" s="124">
        <v>50.04</v>
      </c>
      <c r="C297" s="124">
        <v>37.877000000000002</v>
      </c>
      <c r="D297" s="124">
        <v>43.360999999999997</v>
      </c>
      <c r="E297" s="124">
        <v>47.017000000000003</v>
      </c>
      <c r="F297" s="124">
        <v>10.9252</v>
      </c>
      <c r="G297" s="124">
        <v>10.8718</v>
      </c>
      <c r="H297" s="124">
        <v>10.716699999999999</v>
      </c>
      <c r="I297" s="124">
        <v>10.8718</v>
      </c>
      <c r="J297" s="134">
        <v>20863284</v>
      </c>
      <c r="K297" s="134">
        <v>21842044</v>
      </c>
      <c r="L297" s="124">
        <v>103.4</v>
      </c>
      <c r="M297" s="114">
        <v>0</v>
      </c>
      <c r="N297" s="135">
        <v>6.9733999999999998</v>
      </c>
      <c r="O297" s="135">
        <v>6.9362000000000004</v>
      </c>
      <c r="P297" s="135">
        <v>6.9257999999999997</v>
      </c>
      <c r="Q297" s="135">
        <v>6.9471999999999996</v>
      </c>
      <c r="R297" s="137">
        <v>1.07</v>
      </c>
      <c r="S297" s="120">
        <v>290</v>
      </c>
      <c r="T297" s="120">
        <v>290392</v>
      </c>
      <c r="U297" s="120">
        <v>0</v>
      </c>
      <c r="V297" s="114">
        <f t="shared" si="10"/>
        <v>290392</v>
      </c>
      <c r="W297" s="114">
        <f t="shared" si="11"/>
        <v>290682</v>
      </c>
    </row>
    <row r="298" spans="1:23">
      <c r="A298" s="122" t="s">
        <v>2769</v>
      </c>
      <c r="B298" s="124">
        <v>1345.7149999999999</v>
      </c>
      <c r="C298" s="124">
        <v>1270.096</v>
      </c>
      <c r="D298" s="124">
        <v>1231.739</v>
      </c>
      <c r="E298" s="124">
        <v>1227.7909999999999</v>
      </c>
      <c r="F298" s="124">
        <v>198.00479999999999</v>
      </c>
      <c r="G298" s="124">
        <v>208.79400000000001</v>
      </c>
      <c r="H298" s="124">
        <v>204.25059999999999</v>
      </c>
      <c r="I298" s="124">
        <v>205.17580000000001</v>
      </c>
      <c r="J298" s="134">
        <v>153014031</v>
      </c>
      <c r="K298" s="134">
        <v>165569531</v>
      </c>
      <c r="L298" s="124">
        <v>1808.9880000000001</v>
      </c>
      <c r="M298" s="134">
        <v>139559</v>
      </c>
      <c r="N298" s="135">
        <v>130.74610000000001</v>
      </c>
      <c r="O298" s="135">
        <v>133.005</v>
      </c>
      <c r="P298" s="135">
        <v>129.66739999999999</v>
      </c>
      <c r="Q298" s="135">
        <v>131.85900000000001</v>
      </c>
      <c r="R298" s="137">
        <v>1.05</v>
      </c>
      <c r="S298" s="120">
        <v>149214</v>
      </c>
      <c r="T298" s="120">
        <v>2147702</v>
      </c>
      <c r="U298" s="120">
        <v>0</v>
      </c>
      <c r="V298" s="114">
        <f t="shared" si="10"/>
        <v>2147702</v>
      </c>
      <c r="W298" s="114">
        <f t="shared" si="11"/>
        <v>2296916</v>
      </c>
    </row>
    <row r="299" spans="1:23">
      <c r="A299" s="122" t="s">
        <v>1704</v>
      </c>
      <c r="B299" s="124">
        <v>3074.9</v>
      </c>
      <c r="C299" s="124">
        <v>3057.9810000000002</v>
      </c>
      <c r="D299" s="124">
        <v>3133.3809999999999</v>
      </c>
      <c r="E299" s="124">
        <v>3206.1750000000002</v>
      </c>
      <c r="F299" s="124">
        <v>429.26420000000002</v>
      </c>
      <c r="G299" s="124">
        <v>427.27319999999997</v>
      </c>
      <c r="H299" s="124">
        <v>405.9889</v>
      </c>
      <c r="I299" s="124">
        <v>428.7303</v>
      </c>
      <c r="J299" s="134">
        <v>614773317</v>
      </c>
      <c r="K299" s="134">
        <v>655011447</v>
      </c>
      <c r="L299" s="124">
        <v>4187.5450000000001</v>
      </c>
      <c r="M299" s="134">
        <v>704974</v>
      </c>
      <c r="N299" s="135">
        <v>282.41019999999997</v>
      </c>
      <c r="O299" s="135">
        <v>282.20549999999997</v>
      </c>
      <c r="P299" s="135">
        <v>258.27280000000002</v>
      </c>
      <c r="Q299" s="135">
        <v>275.59199999999998</v>
      </c>
      <c r="R299" s="137">
        <v>1.08</v>
      </c>
      <c r="S299" s="120">
        <v>1276236</v>
      </c>
      <c r="T299" s="120">
        <v>10075213</v>
      </c>
      <c r="U299" s="120">
        <v>0</v>
      </c>
      <c r="V299" s="114">
        <f t="shared" si="10"/>
        <v>10075213</v>
      </c>
      <c r="W299" s="114">
        <f t="shared" si="11"/>
        <v>11351449</v>
      </c>
    </row>
    <row r="300" spans="1:23">
      <c r="A300" s="122" t="s">
        <v>2091</v>
      </c>
      <c r="B300" s="124">
        <v>54.25</v>
      </c>
      <c r="C300" s="124">
        <v>56.917999999999999</v>
      </c>
      <c r="D300" s="124">
        <v>55.198999999999998</v>
      </c>
      <c r="E300" s="124">
        <v>64.790000000000006</v>
      </c>
      <c r="F300" s="124">
        <v>12.484</v>
      </c>
      <c r="G300" s="124">
        <v>13.234299999999999</v>
      </c>
      <c r="H300" s="124">
        <v>13.1165</v>
      </c>
      <c r="I300" s="124">
        <v>11.3508</v>
      </c>
      <c r="J300" s="134">
        <v>27813981</v>
      </c>
      <c r="K300" s="134">
        <v>29339201</v>
      </c>
      <c r="L300" s="124">
        <v>124.672</v>
      </c>
      <c r="M300" s="134">
        <v>76721</v>
      </c>
      <c r="N300" s="135">
        <v>7.9991000000000003</v>
      </c>
      <c r="O300" s="135">
        <v>8.4291999999999998</v>
      </c>
      <c r="P300" s="135">
        <v>9.0797000000000008</v>
      </c>
      <c r="Q300" s="135">
        <v>7.0787000000000004</v>
      </c>
      <c r="R300" s="137">
        <v>1.06</v>
      </c>
      <c r="S300" s="120">
        <v>65792</v>
      </c>
      <c r="T300" s="120">
        <v>506538</v>
      </c>
      <c r="U300" s="120">
        <v>0</v>
      </c>
      <c r="V300" s="114">
        <f t="shared" si="10"/>
        <v>506538</v>
      </c>
      <c r="W300" s="114">
        <f t="shared" si="11"/>
        <v>572330</v>
      </c>
    </row>
    <row r="301" spans="1:23">
      <c r="A301" s="122" t="s">
        <v>2092</v>
      </c>
      <c r="B301" s="124">
        <v>225.89699999999999</v>
      </c>
      <c r="C301" s="124">
        <v>219.25200000000001</v>
      </c>
      <c r="D301" s="124">
        <v>213.00200000000001</v>
      </c>
      <c r="E301" s="124">
        <v>207.102</v>
      </c>
      <c r="F301" s="124">
        <v>37.809699999999999</v>
      </c>
      <c r="G301" s="124">
        <v>39.001600000000003</v>
      </c>
      <c r="H301" s="124">
        <v>38.902200000000001</v>
      </c>
      <c r="I301" s="124">
        <v>40.424700000000001</v>
      </c>
      <c r="J301" s="134">
        <v>51949894</v>
      </c>
      <c r="K301" s="134">
        <v>54515054</v>
      </c>
      <c r="L301" s="124">
        <v>357.024</v>
      </c>
      <c r="M301" s="114">
        <v>0</v>
      </c>
      <c r="N301" s="135">
        <v>25.596599999999999</v>
      </c>
      <c r="O301" s="135">
        <v>26.450900000000001</v>
      </c>
      <c r="P301" s="135">
        <v>25.864100000000001</v>
      </c>
      <c r="Q301" s="135">
        <v>26.266999999999999</v>
      </c>
      <c r="R301" s="137">
        <v>1.06</v>
      </c>
      <c r="S301" s="120">
        <v>0</v>
      </c>
      <c r="T301" s="120">
        <v>747945</v>
      </c>
      <c r="U301" s="120">
        <v>0</v>
      </c>
      <c r="V301" s="114">
        <f t="shared" si="10"/>
        <v>747945</v>
      </c>
      <c r="W301" s="114">
        <f t="shared" si="11"/>
        <v>747945</v>
      </c>
    </row>
    <row r="302" spans="1:23">
      <c r="A302" s="122" t="s">
        <v>1400</v>
      </c>
      <c r="B302" s="124">
        <v>227.13</v>
      </c>
      <c r="C302" s="124">
        <v>229.72900000000001</v>
      </c>
      <c r="D302" s="124">
        <v>225.49299999999999</v>
      </c>
      <c r="E302" s="124">
        <v>235.74799999999999</v>
      </c>
      <c r="F302" s="124">
        <v>37.548299999999998</v>
      </c>
      <c r="G302" s="124">
        <v>38.561599999999999</v>
      </c>
      <c r="H302" s="124">
        <v>40.438499999999998</v>
      </c>
      <c r="I302" s="124">
        <v>40.058900000000001</v>
      </c>
      <c r="J302" s="134">
        <v>35257190</v>
      </c>
      <c r="K302" s="134">
        <v>37316620</v>
      </c>
      <c r="L302" s="124">
        <v>423.12299999999999</v>
      </c>
      <c r="M302" s="114">
        <v>0</v>
      </c>
      <c r="N302" s="135">
        <v>27.4634</v>
      </c>
      <c r="O302" s="135">
        <v>29.001300000000001</v>
      </c>
      <c r="P302" s="135">
        <v>30.2776</v>
      </c>
      <c r="Q302" s="135">
        <v>27.999700000000001</v>
      </c>
      <c r="R302" s="137">
        <v>1.06</v>
      </c>
      <c r="S302" s="120">
        <v>29662</v>
      </c>
      <c r="T302" s="120">
        <v>511101</v>
      </c>
      <c r="U302" s="120">
        <v>0</v>
      </c>
      <c r="V302" s="114">
        <f t="shared" si="10"/>
        <v>511101</v>
      </c>
      <c r="W302" s="114">
        <f t="shared" si="11"/>
        <v>540763</v>
      </c>
    </row>
    <row r="303" spans="1:23">
      <c r="A303" s="122" t="s">
        <v>2093</v>
      </c>
      <c r="B303" s="124">
        <v>87.120999999999995</v>
      </c>
      <c r="C303" s="124">
        <v>77.274000000000001</v>
      </c>
      <c r="D303" s="124">
        <v>92.616</v>
      </c>
      <c r="E303" s="124">
        <v>98.95</v>
      </c>
      <c r="F303" s="124">
        <v>12.084099999999999</v>
      </c>
      <c r="G303" s="124">
        <v>11.062799999999999</v>
      </c>
      <c r="H303" s="124">
        <v>11.094099999999999</v>
      </c>
      <c r="I303" s="124">
        <v>12.3637</v>
      </c>
      <c r="J303" s="134">
        <v>28812867</v>
      </c>
      <c r="K303" s="134">
        <v>30681617</v>
      </c>
      <c r="L303" s="124">
        <v>161.863</v>
      </c>
      <c r="M303" s="114">
        <v>0</v>
      </c>
      <c r="N303" s="135">
        <v>8.2248000000000001</v>
      </c>
      <c r="O303" s="135">
        <v>6.5289999999999999</v>
      </c>
      <c r="P303" s="135">
        <v>7.9226999999999999</v>
      </c>
      <c r="Q303" s="135">
        <v>9.0349000000000004</v>
      </c>
      <c r="R303" s="137">
        <v>1.06</v>
      </c>
      <c r="S303" s="120">
        <v>0</v>
      </c>
      <c r="T303" s="120">
        <v>436014</v>
      </c>
      <c r="U303" s="120">
        <v>0</v>
      </c>
      <c r="V303" s="114">
        <f t="shared" si="10"/>
        <v>436014</v>
      </c>
      <c r="W303" s="114">
        <f t="shared" si="11"/>
        <v>436014</v>
      </c>
    </row>
    <row r="304" spans="1:23">
      <c r="A304" s="122" t="s">
        <v>229</v>
      </c>
      <c r="B304" s="124">
        <v>344.041</v>
      </c>
      <c r="C304" s="124">
        <v>335.17399999999998</v>
      </c>
      <c r="D304" s="124">
        <v>350.74400000000003</v>
      </c>
      <c r="E304" s="124">
        <v>354.553</v>
      </c>
      <c r="F304" s="124">
        <v>70.085499999999996</v>
      </c>
      <c r="G304" s="124">
        <v>71.863699999999994</v>
      </c>
      <c r="H304" s="124">
        <v>74.724599999999995</v>
      </c>
      <c r="I304" s="124">
        <v>77.25</v>
      </c>
      <c r="J304" s="134">
        <v>32137225</v>
      </c>
      <c r="K304" s="134">
        <v>36068405</v>
      </c>
      <c r="L304" s="124">
        <v>665.47900000000004</v>
      </c>
      <c r="M304" s="114">
        <v>0</v>
      </c>
      <c r="N304" s="135">
        <v>47.597799999999999</v>
      </c>
      <c r="O304" s="135">
        <v>48.529400000000003</v>
      </c>
      <c r="P304" s="135">
        <v>50.8613</v>
      </c>
      <c r="Q304" s="135">
        <v>52.318300000000001</v>
      </c>
      <c r="R304" s="137">
        <v>1.07</v>
      </c>
      <c r="S304" s="120">
        <v>0</v>
      </c>
      <c r="T304" s="120">
        <v>477937</v>
      </c>
      <c r="U304" s="120">
        <v>0</v>
      </c>
      <c r="V304" s="114">
        <f t="shared" si="10"/>
        <v>477937</v>
      </c>
      <c r="W304" s="114">
        <f t="shared" si="11"/>
        <v>477937</v>
      </c>
    </row>
    <row r="305" spans="1:23">
      <c r="A305" s="122" t="s">
        <v>2095</v>
      </c>
      <c r="B305" s="124">
        <v>1541.1389999999999</v>
      </c>
      <c r="C305" s="124">
        <v>1541.5740000000001</v>
      </c>
      <c r="D305" s="124">
        <v>1499.97</v>
      </c>
      <c r="E305" s="124">
        <v>1458.421</v>
      </c>
      <c r="F305" s="124">
        <v>276.40649999999999</v>
      </c>
      <c r="G305" s="124">
        <v>280.48590000000002</v>
      </c>
      <c r="H305" s="124">
        <v>284.96210000000002</v>
      </c>
      <c r="I305" s="124">
        <v>278.1354</v>
      </c>
      <c r="J305" s="134">
        <v>148604586</v>
      </c>
      <c r="K305" s="134">
        <v>165110546</v>
      </c>
      <c r="L305" s="124">
        <v>2351.0079999999998</v>
      </c>
      <c r="M305" s="134">
        <v>90479</v>
      </c>
      <c r="N305" s="135">
        <v>180.24680000000001</v>
      </c>
      <c r="O305" s="135">
        <v>186.44370000000001</v>
      </c>
      <c r="P305" s="135">
        <v>177.4306</v>
      </c>
      <c r="Q305" s="135">
        <v>172.20410000000001</v>
      </c>
      <c r="R305" s="137">
        <v>1.08</v>
      </c>
      <c r="S305" s="120">
        <v>91609</v>
      </c>
      <c r="T305" s="120">
        <v>1916720</v>
      </c>
      <c r="U305" s="120">
        <v>115169</v>
      </c>
      <c r="V305" s="114">
        <f t="shared" si="10"/>
        <v>2031889</v>
      </c>
      <c r="W305" s="114">
        <f t="shared" si="11"/>
        <v>2123498</v>
      </c>
    </row>
    <row r="306" spans="1:23">
      <c r="A306" s="122" t="s">
        <v>2103</v>
      </c>
      <c r="B306" s="124">
        <v>114.62</v>
      </c>
      <c r="C306" s="124">
        <v>125.242</v>
      </c>
      <c r="D306" s="124">
        <v>121.46</v>
      </c>
      <c r="E306" s="124">
        <v>126.21299999999999</v>
      </c>
      <c r="F306" s="124">
        <v>15.885</v>
      </c>
      <c r="G306" s="124">
        <v>17.5</v>
      </c>
      <c r="H306" s="124">
        <v>15.956300000000001</v>
      </c>
      <c r="I306" s="124">
        <v>19</v>
      </c>
      <c r="J306" s="134">
        <v>8161208</v>
      </c>
      <c r="K306" s="134">
        <v>9313318</v>
      </c>
      <c r="L306" s="124">
        <v>188.601</v>
      </c>
      <c r="M306" s="114">
        <v>0</v>
      </c>
      <c r="N306" s="135">
        <v>11.8847</v>
      </c>
      <c r="O306" s="135">
        <v>13.5</v>
      </c>
      <c r="P306" s="135">
        <v>11.555099999999999</v>
      </c>
      <c r="Q306" s="135">
        <v>13.9998</v>
      </c>
      <c r="R306" s="137">
        <v>1.06</v>
      </c>
      <c r="S306" s="120">
        <v>0</v>
      </c>
      <c r="T306" s="120">
        <v>123901</v>
      </c>
      <c r="U306" s="120">
        <v>6570</v>
      </c>
      <c r="V306" s="114">
        <f t="shared" si="10"/>
        <v>130471</v>
      </c>
      <c r="W306" s="114">
        <f t="shared" si="11"/>
        <v>130471</v>
      </c>
    </row>
    <row r="307" spans="1:23">
      <c r="A307" s="122" t="s">
        <v>230</v>
      </c>
      <c r="B307" s="124">
        <v>980.36900000000003</v>
      </c>
      <c r="C307" s="124">
        <v>967.59299999999996</v>
      </c>
      <c r="D307" s="124">
        <v>938.37199999999996</v>
      </c>
      <c r="E307" s="124">
        <v>892.09400000000005</v>
      </c>
      <c r="F307" s="124">
        <v>156.85839999999999</v>
      </c>
      <c r="G307" s="124">
        <v>157.4487</v>
      </c>
      <c r="H307" s="124">
        <v>155.72730000000001</v>
      </c>
      <c r="I307" s="124">
        <v>153.5179</v>
      </c>
      <c r="J307" s="134">
        <v>85980040</v>
      </c>
      <c r="K307" s="134">
        <v>96352090</v>
      </c>
      <c r="L307" s="124">
        <v>1587.098</v>
      </c>
      <c r="M307" s="114">
        <v>0</v>
      </c>
      <c r="N307" s="135">
        <v>103.65989999999999</v>
      </c>
      <c r="O307" s="135">
        <v>103.0497</v>
      </c>
      <c r="P307" s="135">
        <v>101.9881</v>
      </c>
      <c r="Q307" s="135">
        <v>97.202200000000005</v>
      </c>
      <c r="R307" s="137">
        <v>1.05</v>
      </c>
      <c r="S307" s="120">
        <v>0</v>
      </c>
      <c r="T307" s="120">
        <v>880354</v>
      </c>
      <c r="U307" s="120">
        <v>0</v>
      </c>
      <c r="V307" s="114">
        <f t="shared" si="10"/>
        <v>880354</v>
      </c>
      <c r="W307" s="114">
        <f t="shared" si="11"/>
        <v>880354</v>
      </c>
    </row>
    <row r="308" spans="1:23">
      <c r="A308" s="122" t="s">
        <v>231</v>
      </c>
      <c r="B308" s="124">
        <v>1864.68</v>
      </c>
      <c r="C308" s="124">
        <v>1875.002</v>
      </c>
      <c r="D308" s="124">
        <v>1840.394</v>
      </c>
      <c r="E308" s="124">
        <v>1829.3119999999999</v>
      </c>
      <c r="F308" s="124">
        <v>319.20060000000001</v>
      </c>
      <c r="G308" s="124">
        <v>330.76369999999997</v>
      </c>
      <c r="H308" s="124">
        <v>323.37569999999999</v>
      </c>
      <c r="I308" s="124">
        <v>323.14830000000001</v>
      </c>
      <c r="J308" s="134">
        <v>347535476</v>
      </c>
      <c r="K308" s="134">
        <v>378778106</v>
      </c>
      <c r="L308" s="124">
        <v>2595.7170000000001</v>
      </c>
      <c r="M308" s="134">
        <v>307311</v>
      </c>
      <c r="N308" s="135">
        <v>230.79669999999999</v>
      </c>
      <c r="O308" s="135">
        <v>214.05350000000001</v>
      </c>
      <c r="P308" s="135">
        <v>205.0531</v>
      </c>
      <c r="Q308" s="135">
        <v>213.68450000000001</v>
      </c>
      <c r="R308" s="137">
        <v>1.08</v>
      </c>
      <c r="S308" s="120">
        <v>392453</v>
      </c>
      <c r="T308" s="120">
        <v>4979015</v>
      </c>
      <c r="U308" s="120">
        <v>0</v>
      </c>
      <c r="V308" s="114">
        <f t="shared" si="10"/>
        <v>4979015</v>
      </c>
      <c r="W308" s="114">
        <f t="shared" si="11"/>
        <v>5371468</v>
      </c>
    </row>
    <row r="309" spans="1:23">
      <c r="A309" s="122" t="s">
        <v>1401</v>
      </c>
      <c r="B309" s="124">
        <v>213.34299999999999</v>
      </c>
      <c r="C309" s="124">
        <v>233.06</v>
      </c>
      <c r="D309" s="124">
        <v>238.66900000000001</v>
      </c>
      <c r="E309" s="124">
        <v>256.07</v>
      </c>
      <c r="F309" s="124">
        <v>39.877099999999999</v>
      </c>
      <c r="G309" s="124">
        <v>39.657899999999998</v>
      </c>
      <c r="H309" s="124">
        <v>40.925199999999997</v>
      </c>
      <c r="I309" s="124">
        <v>41.369100000000003</v>
      </c>
      <c r="J309" s="134">
        <v>20045916</v>
      </c>
      <c r="K309" s="134">
        <v>22766166</v>
      </c>
      <c r="L309" s="124">
        <v>442.19200000000001</v>
      </c>
      <c r="M309" s="114">
        <v>0</v>
      </c>
      <c r="N309" s="135">
        <v>26.5106</v>
      </c>
      <c r="O309" s="135">
        <v>27.847300000000001</v>
      </c>
      <c r="P309" s="135">
        <v>28.114599999999999</v>
      </c>
      <c r="Q309" s="135">
        <v>26.7074</v>
      </c>
      <c r="R309" s="137">
        <v>1.08</v>
      </c>
      <c r="S309" s="120">
        <v>16040</v>
      </c>
      <c r="T309" s="120">
        <v>292576</v>
      </c>
      <c r="U309" s="120">
        <v>0</v>
      </c>
      <c r="V309" s="114">
        <f t="shared" si="10"/>
        <v>292576</v>
      </c>
      <c r="W309" s="114">
        <f t="shared" si="11"/>
        <v>308616</v>
      </c>
    </row>
    <row r="310" spans="1:23">
      <c r="A310" s="122" t="s">
        <v>820</v>
      </c>
      <c r="B310" s="124">
        <v>237.834</v>
      </c>
      <c r="C310" s="124">
        <v>232.899</v>
      </c>
      <c r="D310" s="124">
        <v>229.26</v>
      </c>
      <c r="E310" s="124">
        <v>240.09</v>
      </c>
      <c r="F310" s="124">
        <v>39.962600000000002</v>
      </c>
      <c r="G310" s="124">
        <v>40.6952</v>
      </c>
      <c r="H310" s="124">
        <v>40</v>
      </c>
      <c r="I310" s="124">
        <v>40.320999999999998</v>
      </c>
      <c r="J310" s="134">
        <v>16260623</v>
      </c>
      <c r="K310" s="134">
        <v>18668463</v>
      </c>
      <c r="L310" s="124">
        <v>420.27300000000002</v>
      </c>
      <c r="M310" s="114">
        <v>0</v>
      </c>
      <c r="N310" s="135">
        <v>26.1144</v>
      </c>
      <c r="O310" s="135">
        <v>27.857299999999999</v>
      </c>
      <c r="P310" s="135">
        <v>23.0002</v>
      </c>
      <c r="Q310" s="135">
        <v>29.0001</v>
      </c>
      <c r="R310" s="137">
        <v>1.07</v>
      </c>
      <c r="S310" s="120">
        <v>26136</v>
      </c>
      <c r="T310" s="120">
        <v>232446</v>
      </c>
      <c r="U310" s="120">
        <v>0</v>
      </c>
      <c r="V310" s="114">
        <f t="shared" si="10"/>
        <v>232446</v>
      </c>
      <c r="W310" s="114">
        <f t="shared" si="11"/>
        <v>258582</v>
      </c>
    </row>
    <row r="311" spans="1:23">
      <c r="A311" s="122" t="s">
        <v>232</v>
      </c>
      <c r="B311" s="124">
        <v>668.64700000000005</v>
      </c>
      <c r="C311" s="124">
        <v>645.88099999999997</v>
      </c>
      <c r="D311" s="124">
        <v>626.375</v>
      </c>
      <c r="E311" s="124">
        <v>623.69799999999998</v>
      </c>
      <c r="F311" s="124">
        <v>116.5789</v>
      </c>
      <c r="G311" s="124">
        <v>106.66849999999999</v>
      </c>
      <c r="H311" s="124">
        <v>104.96259999999999</v>
      </c>
      <c r="I311" s="124">
        <v>102.8877</v>
      </c>
      <c r="J311" s="134">
        <v>72874193</v>
      </c>
      <c r="K311" s="134">
        <v>81100413</v>
      </c>
      <c r="L311" s="124">
        <v>1024.2439999999999</v>
      </c>
      <c r="M311" s="134">
        <v>74362</v>
      </c>
      <c r="N311" s="135">
        <v>80.772000000000006</v>
      </c>
      <c r="O311" s="135">
        <v>74.134</v>
      </c>
      <c r="P311" s="135">
        <v>67.797799999999995</v>
      </c>
      <c r="Q311" s="135">
        <v>70.139399999999995</v>
      </c>
      <c r="R311" s="137">
        <v>1.07</v>
      </c>
      <c r="S311" s="120">
        <v>85022</v>
      </c>
      <c r="T311" s="120">
        <v>1036695</v>
      </c>
      <c r="U311" s="120">
        <v>0</v>
      </c>
      <c r="V311" s="114">
        <f t="shared" si="10"/>
        <v>1036695</v>
      </c>
      <c r="W311" s="114">
        <f t="shared" si="11"/>
        <v>1121717</v>
      </c>
    </row>
    <row r="312" spans="1:23">
      <c r="A312" s="122" t="s">
        <v>233</v>
      </c>
      <c r="B312" s="124">
        <v>775.93200000000002</v>
      </c>
      <c r="C312" s="124">
        <v>795.86400000000003</v>
      </c>
      <c r="D312" s="124">
        <v>796.35400000000004</v>
      </c>
      <c r="E312" s="124">
        <v>774.29499999999996</v>
      </c>
      <c r="F312" s="124">
        <v>101.5878</v>
      </c>
      <c r="G312" s="124">
        <v>109.6088</v>
      </c>
      <c r="H312" s="124">
        <v>121.58880000000001</v>
      </c>
      <c r="I312" s="124">
        <v>126.0425</v>
      </c>
      <c r="J312" s="134">
        <v>63612877</v>
      </c>
      <c r="K312" s="134">
        <v>71117973</v>
      </c>
      <c r="L312" s="124">
        <v>1190.134</v>
      </c>
      <c r="M312" s="134">
        <v>68147</v>
      </c>
      <c r="N312" s="135">
        <v>68.322800000000001</v>
      </c>
      <c r="O312" s="135">
        <v>60.103200000000001</v>
      </c>
      <c r="P312" s="135">
        <v>73.342200000000005</v>
      </c>
      <c r="Q312" s="135">
        <v>76.404499999999999</v>
      </c>
      <c r="R312" s="137">
        <v>1.07</v>
      </c>
      <c r="S312" s="120">
        <v>60178</v>
      </c>
      <c r="T312" s="120">
        <v>837356</v>
      </c>
      <c r="U312" s="120">
        <v>0</v>
      </c>
      <c r="V312" s="114">
        <f t="shared" si="10"/>
        <v>837356</v>
      </c>
      <c r="W312" s="114">
        <f t="shared" si="11"/>
        <v>897534</v>
      </c>
    </row>
    <row r="313" spans="1:23">
      <c r="A313" s="122" t="s">
        <v>1960</v>
      </c>
      <c r="B313" s="124">
        <v>344.83100000000002</v>
      </c>
      <c r="C313" s="124">
        <v>345.29500000000002</v>
      </c>
      <c r="D313" s="124">
        <v>342.21699999999998</v>
      </c>
      <c r="E313" s="124">
        <v>332.738</v>
      </c>
      <c r="F313" s="124">
        <v>53.137999999999998</v>
      </c>
      <c r="G313" s="124">
        <v>56.788699999999999</v>
      </c>
      <c r="H313" s="124">
        <v>61.273000000000003</v>
      </c>
      <c r="I313" s="124">
        <v>62.476199999999999</v>
      </c>
      <c r="J313" s="134">
        <v>69715303</v>
      </c>
      <c r="K313" s="134">
        <v>74448253</v>
      </c>
      <c r="L313" s="124">
        <v>552.87699999999995</v>
      </c>
      <c r="M313" s="134">
        <v>157421</v>
      </c>
      <c r="N313" s="135">
        <v>39.262599999999999</v>
      </c>
      <c r="O313" s="135">
        <v>39.0747</v>
      </c>
      <c r="P313" s="135">
        <v>39.3416</v>
      </c>
      <c r="Q313" s="135">
        <v>35.621099999999998</v>
      </c>
      <c r="R313" s="137">
        <v>1.06</v>
      </c>
      <c r="S313" s="120">
        <v>168436</v>
      </c>
      <c r="T313" s="120">
        <v>988474</v>
      </c>
      <c r="U313" s="120">
        <v>0</v>
      </c>
      <c r="V313" s="114">
        <f t="shared" si="10"/>
        <v>988474</v>
      </c>
      <c r="W313" s="114">
        <f t="shared" si="11"/>
        <v>1156910</v>
      </c>
    </row>
    <row r="314" spans="1:23">
      <c r="A314" s="122" t="s">
        <v>1961</v>
      </c>
      <c r="B314" s="124">
        <v>391.66199999999998</v>
      </c>
      <c r="C314" s="124">
        <v>433.63400000000001</v>
      </c>
      <c r="D314" s="124">
        <v>463.101</v>
      </c>
      <c r="E314" s="124">
        <v>482.51600000000002</v>
      </c>
      <c r="F314" s="124">
        <v>66.152299999999997</v>
      </c>
      <c r="G314" s="124">
        <v>64.876999999999995</v>
      </c>
      <c r="H314" s="124">
        <v>67.069500000000005</v>
      </c>
      <c r="I314" s="124">
        <v>64.796800000000005</v>
      </c>
      <c r="J314" s="134">
        <v>62133858</v>
      </c>
      <c r="K314" s="134">
        <v>67591739</v>
      </c>
      <c r="L314" s="124">
        <v>785.51</v>
      </c>
      <c r="M314" s="114">
        <v>0</v>
      </c>
      <c r="N314" s="135">
        <v>43.332599999999999</v>
      </c>
      <c r="O314" s="135">
        <v>43.218899999999998</v>
      </c>
      <c r="P314" s="135">
        <v>44.100099999999998</v>
      </c>
      <c r="Q314" s="135">
        <v>43.105200000000004</v>
      </c>
      <c r="R314" s="137">
        <v>1.06</v>
      </c>
      <c r="S314" s="120">
        <v>1209</v>
      </c>
      <c r="T314" s="120">
        <v>855585</v>
      </c>
      <c r="U314" s="120">
        <v>0</v>
      </c>
      <c r="V314" s="114">
        <f t="shared" si="10"/>
        <v>855585</v>
      </c>
      <c r="W314" s="114">
        <f t="shared" si="11"/>
        <v>856794</v>
      </c>
    </row>
    <row r="315" spans="1:23">
      <c r="A315" s="122" t="s">
        <v>1402</v>
      </c>
      <c r="B315" s="124">
        <v>366.02</v>
      </c>
      <c r="C315" s="124">
        <v>366.46499999999997</v>
      </c>
      <c r="D315" s="124">
        <v>396.63099999999997</v>
      </c>
      <c r="E315" s="124">
        <v>414.99200000000002</v>
      </c>
      <c r="F315" s="124">
        <v>59.334899999999998</v>
      </c>
      <c r="G315" s="124">
        <v>61.586100000000002</v>
      </c>
      <c r="H315" s="124">
        <v>59.46</v>
      </c>
      <c r="I315" s="124">
        <v>61.179299999999998</v>
      </c>
      <c r="J315" s="134">
        <v>42096444</v>
      </c>
      <c r="K315" s="134">
        <v>48045502</v>
      </c>
      <c r="L315" s="124">
        <v>675.27099999999996</v>
      </c>
      <c r="M315" s="134">
        <v>23556</v>
      </c>
      <c r="N315" s="135">
        <v>43.237900000000003</v>
      </c>
      <c r="O315" s="135">
        <v>43.698999999999998</v>
      </c>
      <c r="P315" s="135">
        <v>42.238199999999999</v>
      </c>
      <c r="Q315" s="135">
        <v>44.323700000000002</v>
      </c>
      <c r="R315" s="137">
        <v>1.06</v>
      </c>
      <c r="S315" s="120">
        <v>38558</v>
      </c>
      <c r="T315" s="120">
        <v>598129</v>
      </c>
      <c r="U315" s="120">
        <v>0</v>
      </c>
      <c r="V315" s="114">
        <f t="shared" si="10"/>
        <v>598129</v>
      </c>
      <c r="W315" s="114">
        <f t="shared" si="11"/>
        <v>636687</v>
      </c>
    </row>
    <row r="316" spans="1:23">
      <c r="A316" s="122" t="s">
        <v>2948</v>
      </c>
      <c r="B316" s="124">
        <v>529.26400000000001</v>
      </c>
      <c r="C316" s="124">
        <v>534.04600000000005</v>
      </c>
      <c r="D316" s="124">
        <v>517.91800000000001</v>
      </c>
      <c r="E316" s="124">
        <v>504.89299999999997</v>
      </c>
      <c r="F316" s="124">
        <v>89.291399999999996</v>
      </c>
      <c r="G316" s="124">
        <v>91.4679</v>
      </c>
      <c r="H316" s="124">
        <v>90.291399999999996</v>
      </c>
      <c r="I316" s="124">
        <v>91.933700000000002</v>
      </c>
      <c r="J316" s="134">
        <v>130826621</v>
      </c>
      <c r="K316" s="134">
        <v>138787568</v>
      </c>
      <c r="L316" s="124">
        <v>820.44299999999998</v>
      </c>
      <c r="M316" s="114">
        <v>0</v>
      </c>
      <c r="N316" s="135">
        <v>58.73</v>
      </c>
      <c r="O316" s="135">
        <v>64.191900000000004</v>
      </c>
      <c r="P316" s="135">
        <v>64.881200000000007</v>
      </c>
      <c r="Q316" s="135">
        <v>62.241199999999999</v>
      </c>
      <c r="R316" s="137">
        <v>1.05</v>
      </c>
      <c r="S316" s="120">
        <v>0</v>
      </c>
      <c r="T316" s="120">
        <v>2019047</v>
      </c>
      <c r="U316" s="120">
        <v>0</v>
      </c>
      <c r="V316" s="114">
        <f t="shared" si="10"/>
        <v>2019047</v>
      </c>
      <c r="W316" s="114">
        <f t="shared" si="11"/>
        <v>2019047</v>
      </c>
    </row>
    <row r="317" spans="1:23">
      <c r="A317" s="122" t="s">
        <v>1911</v>
      </c>
      <c r="B317" s="124">
        <v>1770.028</v>
      </c>
      <c r="C317" s="124">
        <v>1780.69</v>
      </c>
      <c r="D317" s="124">
        <v>1792.0509999999999</v>
      </c>
      <c r="E317" s="124">
        <v>1795.1179999999999</v>
      </c>
      <c r="F317" s="124">
        <v>265.22949999999997</v>
      </c>
      <c r="G317" s="124">
        <v>266.36790000000002</v>
      </c>
      <c r="H317" s="124">
        <v>275.23239999999998</v>
      </c>
      <c r="I317" s="124">
        <v>285.14389999999997</v>
      </c>
      <c r="J317" s="134">
        <v>626003261</v>
      </c>
      <c r="K317" s="134">
        <v>655447591</v>
      </c>
      <c r="L317" s="124">
        <v>2467.1880000000001</v>
      </c>
      <c r="M317" s="134">
        <v>550390</v>
      </c>
      <c r="N317" s="135">
        <v>170.57380000000001</v>
      </c>
      <c r="O317" s="135">
        <v>169.99459999999999</v>
      </c>
      <c r="P317" s="135">
        <v>173.86850000000001</v>
      </c>
      <c r="Q317" s="135">
        <v>180.48099999999999</v>
      </c>
      <c r="R317" s="137">
        <v>1.07</v>
      </c>
      <c r="S317" s="120">
        <v>463458</v>
      </c>
      <c r="T317" s="120">
        <v>9163658</v>
      </c>
      <c r="U317" s="120">
        <v>0</v>
      </c>
      <c r="V317" s="114">
        <f t="shared" si="10"/>
        <v>9163658</v>
      </c>
      <c r="W317" s="114">
        <f t="shared" si="11"/>
        <v>9627116</v>
      </c>
    </row>
    <row r="318" spans="1:23">
      <c r="A318" s="122" t="s">
        <v>1912</v>
      </c>
      <c r="B318" s="124">
        <v>674.49099999999999</v>
      </c>
      <c r="C318" s="124">
        <v>667.44500000000005</v>
      </c>
      <c r="D318" s="124">
        <v>717.77</v>
      </c>
      <c r="E318" s="124">
        <v>697.88800000000003</v>
      </c>
      <c r="F318" s="124">
        <v>100.1328</v>
      </c>
      <c r="G318" s="124">
        <v>105.14879999999999</v>
      </c>
      <c r="H318" s="124">
        <v>107.15819999999999</v>
      </c>
      <c r="I318" s="124">
        <v>115.11409999999999</v>
      </c>
      <c r="J318" s="134">
        <v>196321949</v>
      </c>
      <c r="K318" s="134">
        <v>209470038</v>
      </c>
      <c r="L318" s="124">
        <v>1131.1469999999999</v>
      </c>
      <c r="M318" s="134">
        <v>161057</v>
      </c>
      <c r="N318" s="135">
        <v>71.211100000000002</v>
      </c>
      <c r="O318" s="135">
        <v>70.707899999999995</v>
      </c>
      <c r="P318" s="135">
        <v>72.729699999999994</v>
      </c>
      <c r="Q318" s="135">
        <v>79.177099999999996</v>
      </c>
      <c r="R318" s="137">
        <v>1.06</v>
      </c>
      <c r="S318" s="120">
        <v>167832</v>
      </c>
      <c r="T318" s="120">
        <v>2791586</v>
      </c>
      <c r="U318" s="120">
        <v>0</v>
      </c>
      <c r="V318" s="114">
        <f t="shared" si="10"/>
        <v>2791586</v>
      </c>
      <c r="W318" s="114">
        <f t="shared" si="11"/>
        <v>2959418</v>
      </c>
    </row>
    <row r="319" spans="1:23">
      <c r="A319" s="122" t="s">
        <v>1037</v>
      </c>
      <c r="B319" s="124">
        <v>242.858</v>
      </c>
      <c r="C319" s="124">
        <v>218.13399999999999</v>
      </c>
      <c r="D319" s="124">
        <v>211.54599999999999</v>
      </c>
      <c r="E319" s="124">
        <v>212.13300000000001</v>
      </c>
      <c r="F319" s="124">
        <v>37.507100000000001</v>
      </c>
      <c r="G319" s="124">
        <v>38.642800000000001</v>
      </c>
      <c r="H319" s="124">
        <v>39.030099999999997</v>
      </c>
      <c r="I319" s="124">
        <v>36.787599999999998</v>
      </c>
      <c r="J319" s="134">
        <v>94559958</v>
      </c>
      <c r="K319" s="134">
        <v>98882208</v>
      </c>
      <c r="L319" s="124">
        <v>334.12700000000001</v>
      </c>
      <c r="M319" s="114">
        <v>0</v>
      </c>
      <c r="N319" s="135">
        <v>25.3583</v>
      </c>
      <c r="O319" s="135">
        <v>24.977</v>
      </c>
      <c r="P319" s="135">
        <v>25.7028</v>
      </c>
      <c r="Q319" s="135">
        <v>24.643699999999999</v>
      </c>
      <c r="R319" s="137">
        <v>1.06</v>
      </c>
      <c r="S319" s="120">
        <v>0</v>
      </c>
      <c r="T319" s="120">
        <v>1631867</v>
      </c>
      <c r="U319" s="120">
        <v>0</v>
      </c>
      <c r="V319" s="114">
        <f t="shared" si="10"/>
        <v>1631867</v>
      </c>
      <c r="W319" s="114">
        <f t="shared" si="11"/>
        <v>1631867</v>
      </c>
    </row>
    <row r="320" spans="1:23">
      <c r="A320" s="122" t="s">
        <v>73</v>
      </c>
      <c r="B320" s="124">
        <v>238.91800000000001</v>
      </c>
      <c r="C320" s="124">
        <v>241.726</v>
      </c>
      <c r="D320" s="124">
        <v>234.42599999999999</v>
      </c>
      <c r="E320" s="124">
        <v>227.005</v>
      </c>
      <c r="F320" s="124">
        <v>40.628599999999999</v>
      </c>
      <c r="G320" s="124">
        <v>43.055700000000002</v>
      </c>
      <c r="H320" s="124">
        <v>45.913400000000003</v>
      </c>
      <c r="I320" s="124">
        <v>45.529200000000003</v>
      </c>
      <c r="J320" s="134">
        <v>227312598</v>
      </c>
      <c r="K320" s="134">
        <v>232593575</v>
      </c>
      <c r="L320" s="124">
        <v>359.63400000000001</v>
      </c>
      <c r="M320" s="134">
        <v>217518</v>
      </c>
      <c r="N320" s="135">
        <v>26.6159</v>
      </c>
      <c r="O320" s="135">
        <v>27.6814</v>
      </c>
      <c r="P320" s="135">
        <v>27.355399999999999</v>
      </c>
      <c r="Q320" s="135">
        <v>27.851700000000001</v>
      </c>
      <c r="R320" s="137">
        <v>1.05</v>
      </c>
      <c r="S320" s="120">
        <v>181763</v>
      </c>
      <c r="T320" s="120">
        <v>3207197</v>
      </c>
      <c r="U320" s="120">
        <v>0</v>
      </c>
      <c r="V320" s="114">
        <f t="shared" si="10"/>
        <v>3207197</v>
      </c>
      <c r="W320" s="114">
        <f t="shared" si="11"/>
        <v>3388960</v>
      </c>
    </row>
    <row r="321" spans="1:23">
      <c r="A321" s="122" t="s">
        <v>853</v>
      </c>
      <c r="B321" s="124">
        <v>304.79199999999997</v>
      </c>
      <c r="C321" s="124">
        <v>303.68400000000003</v>
      </c>
      <c r="D321" s="124">
        <v>306.37400000000002</v>
      </c>
      <c r="E321" s="124">
        <v>304.262</v>
      </c>
      <c r="F321" s="124">
        <v>59.412999999999997</v>
      </c>
      <c r="G321" s="124">
        <v>59.412999999999997</v>
      </c>
      <c r="H321" s="124">
        <v>59.412999999999997</v>
      </c>
      <c r="I321" s="124">
        <v>59.153100000000002</v>
      </c>
      <c r="J321" s="134">
        <v>51605184</v>
      </c>
      <c r="K321" s="134">
        <v>55551554</v>
      </c>
      <c r="L321" s="124">
        <v>618.38800000000003</v>
      </c>
      <c r="M321" s="134">
        <v>37538</v>
      </c>
      <c r="N321" s="135">
        <v>40.122199999999999</v>
      </c>
      <c r="O321" s="135">
        <v>40.003500000000003</v>
      </c>
      <c r="P321" s="135">
        <v>40.001899999999999</v>
      </c>
      <c r="Q321" s="135">
        <v>40.003</v>
      </c>
      <c r="R321" s="137">
        <v>1.05</v>
      </c>
      <c r="S321" s="120">
        <v>38086</v>
      </c>
      <c r="T321" s="120">
        <v>742019</v>
      </c>
      <c r="U321" s="120">
        <v>0</v>
      </c>
      <c r="V321" s="114">
        <f t="shared" si="10"/>
        <v>742019</v>
      </c>
      <c r="W321" s="114">
        <f t="shared" si="11"/>
        <v>780105</v>
      </c>
    </row>
    <row r="322" spans="1:23">
      <c r="A322" s="122" t="s">
        <v>2865</v>
      </c>
      <c r="B322" s="124">
        <v>390.14499999999998</v>
      </c>
      <c r="C322" s="124">
        <v>383.52800000000002</v>
      </c>
      <c r="D322" s="124">
        <v>374.27600000000001</v>
      </c>
      <c r="E322" s="124">
        <v>366.04899999999998</v>
      </c>
      <c r="F322" s="124">
        <v>74.920100000000005</v>
      </c>
      <c r="G322" s="124">
        <v>76.925299999999993</v>
      </c>
      <c r="H322" s="124">
        <v>76.396000000000001</v>
      </c>
      <c r="I322" s="124">
        <v>76.765000000000001</v>
      </c>
      <c r="J322" s="134">
        <v>54087587</v>
      </c>
      <c r="K322" s="134">
        <v>58978632</v>
      </c>
      <c r="L322" s="124">
        <v>767.25099999999998</v>
      </c>
      <c r="M322" s="114">
        <v>0</v>
      </c>
      <c r="N322" s="135">
        <v>51.438699999999997</v>
      </c>
      <c r="O322" s="135">
        <v>54.005200000000002</v>
      </c>
      <c r="P322" s="135">
        <v>51.017499999999998</v>
      </c>
      <c r="Q322" s="135">
        <v>52.011899999999997</v>
      </c>
      <c r="R322" s="137">
        <v>1.06</v>
      </c>
      <c r="S322" s="120">
        <v>31638</v>
      </c>
      <c r="T322" s="120">
        <v>739929</v>
      </c>
      <c r="U322" s="120">
        <v>0</v>
      </c>
      <c r="V322" s="114">
        <f t="shared" si="10"/>
        <v>739929</v>
      </c>
      <c r="W322" s="114">
        <f t="shared" si="11"/>
        <v>771567</v>
      </c>
    </row>
    <row r="323" spans="1:23">
      <c r="A323" s="122" t="s">
        <v>697</v>
      </c>
      <c r="B323" s="124">
        <v>1023.205</v>
      </c>
      <c r="C323" s="124">
        <v>1022.978</v>
      </c>
      <c r="D323" s="124">
        <v>992.08399999999995</v>
      </c>
      <c r="E323" s="124">
        <v>976.18200000000002</v>
      </c>
      <c r="F323" s="124">
        <v>200.92509999999999</v>
      </c>
      <c r="G323" s="124">
        <v>197.69229999999999</v>
      </c>
      <c r="H323" s="124">
        <v>196.1628</v>
      </c>
      <c r="I323" s="124">
        <v>186.952</v>
      </c>
      <c r="J323" s="134">
        <v>125227868</v>
      </c>
      <c r="K323" s="134">
        <v>135364818</v>
      </c>
      <c r="L323" s="124">
        <v>1662.9179999999999</v>
      </c>
      <c r="M323" s="114">
        <v>0</v>
      </c>
      <c r="N323" s="135">
        <v>132.77770000000001</v>
      </c>
      <c r="O323" s="135">
        <v>128.14949999999999</v>
      </c>
      <c r="P323" s="135">
        <v>128.37350000000001</v>
      </c>
      <c r="Q323" s="135">
        <v>120.29430000000001</v>
      </c>
      <c r="R323" s="137">
        <v>1.07</v>
      </c>
      <c r="S323" s="120">
        <v>0</v>
      </c>
      <c r="T323" s="120">
        <v>2069945</v>
      </c>
      <c r="U323" s="120">
        <v>0</v>
      </c>
      <c r="V323" s="114">
        <f t="shared" si="10"/>
        <v>2069945</v>
      </c>
      <c r="W323" s="114">
        <f t="shared" si="11"/>
        <v>2069945</v>
      </c>
    </row>
    <row r="324" spans="1:23">
      <c r="A324" s="122" t="s">
        <v>698</v>
      </c>
      <c r="B324" s="124">
        <v>700.59900000000005</v>
      </c>
      <c r="C324" s="124">
        <v>683.10400000000004</v>
      </c>
      <c r="D324" s="124">
        <v>662.47400000000005</v>
      </c>
      <c r="E324" s="124">
        <v>655.25</v>
      </c>
      <c r="F324" s="124">
        <v>114.71420000000001</v>
      </c>
      <c r="G324" s="124">
        <v>109.2436</v>
      </c>
      <c r="H324" s="124">
        <v>105.6797</v>
      </c>
      <c r="I324" s="124">
        <v>106.313</v>
      </c>
      <c r="J324" s="134">
        <v>87892936</v>
      </c>
      <c r="K324" s="134">
        <v>93276457</v>
      </c>
      <c r="L324" s="124">
        <v>1062.2760000000001</v>
      </c>
      <c r="M324" s="114">
        <v>0</v>
      </c>
      <c r="N324" s="135">
        <v>80.999399999999994</v>
      </c>
      <c r="O324" s="135">
        <v>81.597999999999999</v>
      </c>
      <c r="P324" s="135">
        <v>79.504900000000006</v>
      </c>
      <c r="Q324" s="135">
        <v>76.205299999999994</v>
      </c>
      <c r="R324" s="137">
        <v>1.06</v>
      </c>
      <c r="S324" s="120">
        <v>0</v>
      </c>
      <c r="T324" s="120">
        <v>1282967</v>
      </c>
      <c r="U324" s="120">
        <v>0</v>
      </c>
      <c r="V324" s="114">
        <f t="shared" si="10"/>
        <v>1282967</v>
      </c>
      <c r="W324" s="114">
        <f t="shared" si="11"/>
        <v>1282967</v>
      </c>
    </row>
    <row r="325" spans="1:23">
      <c r="A325" s="122" t="s">
        <v>699</v>
      </c>
      <c r="B325" s="124">
        <v>321.62799999999999</v>
      </c>
      <c r="C325" s="124">
        <v>318.34300000000002</v>
      </c>
      <c r="D325" s="124">
        <v>308.72899999999998</v>
      </c>
      <c r="E325" s="124">
        <v>295.54599999999999</v>
      </c>
      <c r="F325" s="124">
        <v>65.863799999999998</v>
      </c>
      <c r="G325" s="124">
        <v>67.479299999999995</v>
      </c>
      <c r="H325" s="124">
        <v>65.945899999999995</v>
      </c>
      <c r="I325" s="124">
        <v>60.108400000000003</v>
      </c>
      <c r="J325" s="134">
        <v>69946575</v>
      </c>
      <c r="K325" s="134">
        <v>73369369</v>
      </c>
      <c r="L325" s="124">
        <v>620.21299999999997</v>
      </c>
      <c r="M325" s="114">
        <v>0</v>
      </c>
      <c r="N325" s="135">
        <v>48.360399999999998</v>
      </c>
      <c r="O325" s="135">
        <v>45.462499999999999</v>
      </c>
      <c r="P325" s="135">
        <v>47.894799999999996</v>
      </c>
      <c r="Q325" s="135">
        <v>40.370100000000001</v>
      </c>
      <c r="R325" s="137">
        <v>1.04</v>
      </c>
      <c r="S325" s="120">
        <v>0</v>
      </c>
      <c r="T325" s="120">
        <v>920859</v>
      </c>
      <c r="U325" s="120">
        <v>0</v>
      </c>
      <c r="V325" s="114">
        <f t="shared" ref="V325:V388" si="12">T325+U325</f>
        <v>920859</v>
      </c>
      <c r="W325" s="114">
        <f t="shared" ref="W325:W388" si="13">V325+S325</f>
        <v>920859</v>
      </c>
    </row>
    <row r="326" spans="1:23">
      <c r="A326" s="122" t="s">
        <v>700</v>
      </c>
      <c r="B326" s="124">
        <v>13959.913</v>
      </c>
      <c r="C326" s="124">
        <v>14221.9</v>
      </c>
      <c r="D326" s="124">
        <v>15168.379000000001</v>
      </c>
      <c r="E326" s="124">
        <v>15954.898999999999</v>
      </c>
      <c r="F326" s="124">
        <v>1977.3590999999999</v>
      </c>
      <c r="G326" s="124">
        <v>2068.8231000000001</v>
      </c>
      <c r="H326" s="124">
        <v>2264.1700999999998</v>
      </c>
      <c r="I326" s="124">
        <v>2325.4789000000001</v>
      </c>
      <c r="J326" s="134">
        <v>3529169662</v>
      </c>
      <c r="K326" s="134">
        <v>3679539214</v>
      </c>
      <c r="L326" s="124">
        <v>20632.852999999999</v>
      </c>
      <c r="M326" s="134">
        <v>5968196</v>
      </c>
      <c r="N326" s="135">
        <v>1179.1358</v>
      </c>
      <c r="O326" s="135">
        <v>1244.2847999999999</v>
      </c>
      <c r="P326" s="135">
        <v>1340.251</v>
      </c>
      <c r="Q326" s="135">
        <v>1364.336</v>
      </c>
      <c r="R326" s="137">
        <v>1.1599999999999999</v>
      </c>
      <c r="S326" s="120">
        <v>6281235</v>
      </c>
      <c r="T326" s="120">
        <v>57284759</v>
      </c>
      <c r="U326" s="120">
        <v>0</v>
      </c>
      <c r="V326" s="114">
        <f t="shared" si="12"/>
        <v>57284759</v>
      </c>
      <c r="W326" s="114">
        <f t="shared" si="13"/>
        <v>63565994</v>
      </c>
    </row>
    <row r="327" spans="1:23">
      <c r="A327" s="122" t="s">
        <v>2906</v>
      </c>
      <c r="B327" s="124">
        <v>2315.125</v>
      </c>
      <c r="C327" s="124">
        <v>2318.893</v>
      </c>
      <c r="D327" s="124">
        <v>2302.009</v>
      </c>
      <c r="E327" s="124">
        <v>2303.1350000000002</v>
      </c>
      <c r="F327" s="124">
        <v>273.89679999999998</v>
      </c>
      <c r="G327" s="124">
        <v>292.00850000000003</v>
      </c>
      <c r="H327" s="124">
        <v>302.87779999999998</v>
      </c>
      <c r="I327" s="124">
        <v>312.25889999999998</v>
      </c>
      <c r="J327" s="134">
        <v>305976482</v>
      </c>
      <c r="K327" s="134">
        <v>331599447</v>
      </c>
      <c r="L327" s="124">
        <v>3111.09</v>
      </c>
      <c r="M327" s="134">
        <v>302326</v>
      </c>
      <c r="N327" s="135">
        <v>182.1943</v>
      </c>
      <c r="O327" s="135">
        <v>194.19300000000001</v>
      </c>
      <c r="P327" s="135">
        <v>195.6737</v>
      </c>
      <c r="Q327" s="135">
        <v>201.3152</v>
      </c>
      <c r="R327" s="137">
        <v>1.1200000000000001</v>
      </c>
      <c r="S327" s="120">
        <v>551138</v>
      </c>
      <c r="T327" s="120">
        <v>4861952</v>
      </c>
      <c r="U327" s="120">
        <v>0</v>
      </c>
      <c r="V327" s="114">
        <f t="shared" si="12"/>
        <v>4861952</v>
      </c>
      <c r="W327" s="114">
        <f t="shared" si="13"/>
        <v>5413090</v>
      </c>
    </row>
    <row r="328" spans="1:23">
      <c r="A328" s="122" t="s">
        <v>1602</v>
      </c>
      <c r="B328" s="124">
        <v>49031.184999999998</v>
      </c>
      <c r="C328" s="124">
        <v>50372.54</v>
      </c>
      <c r="D328" s="124">
        <v>52499.294000000002</v>
      </c>
      <c r="E328" s="124">
        <v>56625.904999999999</v>
      </c>
      <c r="F328" s="124">
        <v>5619.5282999999999</v>
      </c>
      <c r="G328" s="124">
        <v>6181.1237000000001</v>
      </c>
      <c r="H328" s="124">
        <v>6745.2263000000003</v>
      </c>
      <c r="I328" s="124">
        <v>7216.0586000000003</v>
      </c>
      <c r="J328" s="134">
        <v>11629684725</v>
      </c>
      <c r="K328" s="134">
        <v>12201479826</v>
      </c>
      <c r="L328" s="124">
        <v>69752.236999999994</v>
      </c>
      <c r="M328" s="134">
        <v>18256670</v>
      </c>
      <c r="N328" s="135">
        <v>3628.7755000000002</v>
      </c>
      <c r="O328" s="135">
        <v>3571.9238</v>
      </c>
      <c r="P328" s="135">
        <v>3843.9766</v>
      </c>
      <c r="Q328" s="135">
        <v>4083.5439000000001</v>
      </c>
      <c r="R328" s="137">
        <v>1.1599999999999999</v>
      </c>
      <c r="S328" s="120">
        <v>23390433</v>
      </c>
      <c r="T328" s="120">
        <v>191497273</v>
      </c>
      <c r="U328" s="120">
        <v>0</v>
      </c>
      <c r="V328" s="114">
        <f t="shared" si="12"/>
        <v>191497273</v>
      </c>
      <c r="W328" s="114">
        <f t="shared" si="13"/>
        <v>214887706</v>
      </c>
    </row>
    <row r="329" spans="1:23">
      <c r="A329" s="122" t="s">
        <v>701</v>
      </c>
      <c r="B329" s="124">
        <v>92.956999999999994</v>
      </c>
      <c r="C329" s="124">
        <v>90.387</v>
      </c>
      <c r="D329" s="124">
        <v>103.78400000000001</v>
      </c>
      <c r="E329" s="124">
        <v>105.905</v>
      </c>
      <c r="F329" s="124">
        <v>11.627000000000001</v>
      </c>
      <c r="G329" s="124">
        <v>17.25</v>
      </c>
      <c r="H329" s="124">
        <v>20.5</v>
      </c>
      <c r="I329" s="124">
        <v>29</v>
      </c>
      <c r="J329" s="134">
        <v>28227495</v>
      </c>
      <c r="K329" s="134">
        <v>30525975</v>
      </c>
      <c r="L329" s="124">
        <v>194.97300000000001</v>
      </c>
      <c r="M329" s="114">
        <v>0</v>
      </c>
      <c r="N329" s="135">
        <v>6.8769999999999998</v>
      </c>
      <c r="O329" s="135">
        <v>11</v>
      </c>
      <c r="P329" s="135">
        <v>12</v>
      </c>
      <c r="Q329" s="135">
        <v>11.4284</v>
      </c>
      <c r="R329" s="137">
        <v>1.1299999999999999</v>
      </c>
      <c r="S329" s="120">
        <v>0</v>
      </c>
      <c r="T329" s="120">
        <v>374251</v>
      </c>
      <c r="U329" s="120">
        <v>0</v>
      </c>
      <c r="V329" s="114">
        <f t="shared" si="12"/>
        <v>374251</v>
      </c>
      <c r="W329" s="114">
        <f t="shared" si="13"/>
        <v>374251</v>
      </c>
    </row>
    <row r="330" spans="1:23">
      <c r="A330" s="122" t="s">
        <v>2647</v>
      </c>
      <c r="B330" s="124">
        <v>2698.107</v>
      </c>
      <c r="C330" s="124">
        <v>2726.6179999999999</v>
      </c>
      <c r="D330" s="124">
        <v>2728.52</v>
      </c>
      <c r="E330" s="124">
        <v>2652.94</v>
      </c>
      <c r="F330" s="124">
        <v>344.32769999999999</v>
      </c>
      <c r="G330" s="124">
        <v>366.68709999999999</v>
      </c>
      <c r="H330" s="124">
        <v>392.99209999999999</v>
      </c>
      <c r="I330" s="124">
        <v>389.39479999999998</v>
      </c>
      <c r="J330" s="134">
        <v>1403272157</v>
      </c>
      <c r="K330" s="134">
        <v>1426834037</v>
      </c>
      <c r="L330" s="124">
        <v>3289.962</v>
      </c>
      <c r="M330" s="134">
        <v>3490036</v>
      </c>
      <c r="N330" s="135">
        <v>218.14070000000001</v>
      </c>
      <c r="O330" s="135">
        <v>223.18539999999999</v>
      </c>
      <c r="P330" s="135">
        <v>225.4778</v>
      </c>
      <c r="Q330" s="135">
        <v>233.80600000000001</v>
      </c>
      <c r="R330" s="137">
        <v>1.1100000000000001</v>
      </c>
      <c r="S330" s="120">
        <v>2971684</v>
      </c>
      <c r="T330" s="120">
        <v>21212040</v>
      </c>
      <c r="U330" s="120">
        <v>0</v>
      </c>
      <c r="V330" s="114">
        <f t="shared" si="12"/>
        <v>21212040</v>
      </c>
      <c r="W330" s="114">
        <f t="shared" si="13"/>
        <v>24183724</v>
      </c>
    </row>
    <row r="331" spans="1:23">
      <c r="A331" s="122" t="s">
        <v>2290</v>
      </c>
      <c r="B331" s="124">
        <v>1444.8019999999999</v>
      </c>
      <c r="C331" s="124">
        <v>1377.2739999999999</v>
      </c>
      <c r="D331" s="124">
        <v>1403.066</v>
      </c>
      <c r="E331" s="124">
        <v>1387.942</v>
      </c>
      <c r="F331" s="124">
        <v>204.40129999999999</v>
      </c>
      <c r="G331" s="124">
        <v>202.78299999999999</v>
      </c>
      <c r="H331" s="124">
        <v>204.20609999999999</v>
      </c>
      <c r="I331" s="124">
        <v>196.98929999999999</v>
      </c>
      <c r="J331" s="134">
        <v>528077912</v>
      </c>
      <c r="K331" s="134">
        <v>549530052</v>
      </c>
      <c r="L331" s="124">
        <v>1902.596</v>
      </c>
      <c r="M331" s="114">
        <v>0</v>
      </c>
      <c r="N331" s="135">
        <v>140.13200000000001</v>
      </c>
      <c r="O331" s="135">
        <v>139.21719999999999</v>
      </c>
      <c r="P331" s="135">
        <v>140.26599999999999</v>
      </c>
      <c r="Q331" s="135">
        <v>137.8896</v>
      </c>
      <c r="R331" s="137">
        <v>1.04</v>
      </c>
      <c r="S331" s="120">
        <v>0</v>
      </c>
      <c r="T331" s="120">
        <v>7159978</v>
      </c>
      <c r="U331" s="120">
        <v>0</v>
      </c>
      <c r="V331" s="114">
        <f t="shared" si="12"/>
        <v>7159978</v>
      </c>
      <c r="W331" s="114">
        <f t="shared" si="13"/>
        <v>7159978</v>
      </c>
    </row>
    <row r="332" spans="1:23">
      <c r="A332" s="122" t="s">
        <v>1478</v>
      </c>
      <c r="B332" s="124">
        <v>1488.3219999999999</v>
      </c>
      <c r="C332" s="124">
        <v>1534.9369999999999</v>
      </c>
      <c r="D332" s="124">
        <v>1524.164</v>
      </c>
      <c r="E332" s="124">
        <v>1532.335</v>
      </c>
      <c r="F332" s="124">
        <v>229.0025</v>
      </c>
      <c r="G332" s="124">
        <v>228.5462</v>
      </c>
      <c r="H332" s="124">
        <v>236.51140000000001</v>
      </c>
      <c r="I332" s="124">
        <v>249.04400000000001</v>
      </c>
      <c r="J332" s="134">
        <v>872343020</v>
      </c>
      <c r="K332" s="134">
        <v>891197480</v>
      </c>
      <c r="L332" s="124">
        <v>2112.9110000000001</v>
      </c>
      <c r="M332" s="134">
        <v>1420888</v>
      </c>
      <c r="N332" s="135">
        <v>150.09780000000001</v>
      </c>
      <c r="O332" s="135">
        <v>152.00919999999999</v>
      </c>
      <c r="P332" s="135">
        <v>154.7107</v>
      </c>
      <c r="Q332" s="135">
        <v>161.3673</v>
      </c>
      <c r="R332" s="137">
        <v>1.06</v>
      </c>
      <c r="S332" s="120">
        <v>1443727</v>
      </c>
      <c r="T332" s="120">
        <v>13669435</v>
      </c>
      <c r="U332" s="120">
        <v>0</v>
      </c>
      <c r="V332" s="114">
        <f t="shared" si="12"/>
        <v>13669435</v>
      </c>
      <c r="W332" s="114">
        <f t="shared" si="13"/>
        <v>15113162</v>
      </c>
    </row>
    <row r="333" spans="1:23">
      <c r="A333" s="122" t="s">
        <v>2192</v>
      </c>
      <c r="B333" s="124">
        <v>1057.04</v>
      </c>
      <c r="C333" s="124">
        <v>1014.908</v>
      </c>
      <c r="D333" s="124">
        <v>1027.6500000000001</v>
      </c>
      <c r="E333" s="124">
        <v>1073.748</v>
      </c>
      <c r="F333" s="124">
        <v>162.2216</v>
      </c>
      <c r="G333" s="124">
        <v>156.73159999999999</v>
      </c>
      <c r="H333" s="124">
        <v>163.7159</v>
      </c>
      <c r="I333" s="124">
        <v>176.2654</v>
      </c>
      <c r="J333" s="134">
        <v>603581427</v>
      </c>
      <c r="K333" s="134">
        <v>615581937</v>
      </c>
      <c r="L333" s="124">
        <v>1536.182</v>
      </c>
      <c r="M333" s="134">
        <v>940795</v>
      </c>
      <c r="N333" s="135">
        <v>104.649</v>
      </c>
      <c r="O333" s="135">
        <v>105.0784</v>
      </c>
      <c r="P333" s="135">
        <v>105.7367</v>
      </c>
      <c r="Q333" s="135">
        <v>107.45780000000001</v>
      </c>
      <c r="R333" s="137">
        <v>1.05</v>
      </c>
      <c r="S333" s="120">
        <v>673182</v>
      </c>
      <c r="T333" s="120">
        <v>10449746</v>
      </c>
      <c r="U333" s="120">
        <v>0</v>
      </c>
      <c r="V333" s="114">
        <f t="shared" si="12"/>
        <v>10449746</v>
      </c>
      <c r="W333" s="114">
        <f t="shared" si="13"/>
        <v>11122928</v>
      </c>
    </row>
    <row r="334" spans="1:23">
      <c r="A334" s="122" t="s">
        <v>2198</v>
      </c>
      <c r="B334" s="124">
        <v>350.92</v>
      </c>
      <c r="C334" s="124">
        <v>380.66</v>
      </c>
      <c r="D334" s="124">
        <v>389.38799999999998</v>
      </c>
      <c r="E334" s="124">
        <v>412.98</v>
      </c>
      <c r="F334" s="124">
        <v>56.322400000000002</v>
      </c>
      <c r="G334" s="124">
        <v>59.997399999999999</v>
      </c>
      <c r="H334" s="124">
        <v>62.588299999999997</v>
      </c>
      <c r="I334" s="124">
        <v>65.765799999999999</v>
      </c>
      <c r="J334" s="134">
        <v>74726543</v>
      </c>
      <c r="K334" s="134">
        <v>78646613</v>
      </c>
      <c r="L334" s="124">
        <v>683.29600000000005</v>
      </c>
      <c r="M334" s="134">
        <v>56393</v>
      </c>
      <c r="N334" s="135">
        <v>41.005699999999997</v>
      </c>
      <c r="O334" s="135">
        <v>42.238100000000003</v>
      </c>
      <c r="P334" s="135">
        <v>44.3523</v>
      </c>
      <c r="Q334" s="135">
        <v>45.590899999999998</v>
      </c>
      <c r="R334" s="137">
        <v>1.05</v>
      </c>
      <c r="S334" s="120">
        <v>60428</v>
      </c>
      <c r="T334" s="120">
        <v>1192141</v>
      </c>
      <c r="U334" s="120">
        <v>0</v>
      </c>
      <c r="V334" s="114">
        <f t="shared" si="12"/>
        <v>1192141</v>
      </c>
      <c r="W334" s="114">
        <f t="shared" si="13"/>
        <v>1252569</v>
      </c>
    </row>
    <row r="335" spans="1:23">
      <c r="A335" s="122" t="s">
        <v>2199</v>
      </c>
      <c r="B335" s="124">
        <v>67.655000000000001</v>
      </c>
      <c r="C335" s="124">
        <v>69.474999999999994</v>
      </c>
      <c r="D335" s="124">
        <v>79.656000000000006</v>
      </c>
      <c r="E335" s="124">
        <v>85.527000000000001</v>
      </c>
      <c r="F335" s="124">
        <v>14.3917</v>
      </c>
      <c r="G335" s="124">
        <v>17.8263</v>
      </c>
      <c r="H335" s="124">
        <v>17.722000000000001</v>
      </c>
      <c r="I335" s="124">
        <v>16.722000000000001</v>
      </c>
      <c r="J335" s="134">
        <v>300384388</v>
      </c>
      <c r="K335" s="134">
        <v>302249998</v>
      </c>
      <c r="L335" s="124">
        <v>147.429</v>
      </c>
      <c r="M335" s="114">
        <v>0</v>
      </c>
      <c r="N335" s="135">
        <v>9.2144999999999992</v>
      </c>
      <c r="O335" s="135">
        <v>9.0004000000000008</v>
      </c>
      <c r="P335" s="135">
        <v>8.9997000000000007</v>
      </c>
      <c r="Q335" s="135">
        <v>8.1708999999999996</v>
      </c>
      <c r="R335" s="137">
        <v>1.06</v>
      </c>
      <c r="S335" s="120">
        <v>0</v>
      </c>
      <c r="T335" s="120">
        <v>4600560</v>
      </c>
      <c r="U335" s="120">
        <v>0</v>
      </c>
      <c r="V335" s="114">
        <f t="shared" si="12"/>
        <v>4600560</v>
      </c>
      <c r="W335" s="114">
        <f t="shared" si="13"/>
        <v>4600560</v>
      </c>
    </row>
    <row r="336" spans="1:23">
      <c r="A336" s="122" t="s">
        <v>1403</v>
      </c>
      <c r="B336" s="124">
        <v>852.59799999999996</v>
      </c>
      <c r="C336" s="124">
        <v>818.95600000000002</v>
      </c>
      <c r="D336" s="124">
        <v>810.56200000000001</v>
      </c>
      <c r="E336" s="124">
        <v>792.745</v>
      </c>
      <c r="F336" s="124">
        <v>155.4752</v>
      </c>
      <c r="G336" s="124">
        <v>159.17869999999999</v>
      </c>
      <c r="H336" s="124">
        <v>162.5369</v>
      </c>
      <c r="I336" s="124">
        <v>167.95959999999999</v>
      </c>
      <c r="J336" s="134">
        <v>86899978</v>
      </c>
      <c r="K336" s="134">
        <v>92563228</v>
      </c>
      <c r="L336" s="124">
        <v>1520.1479999999999</v>
      </c>
      <c r="M336" s="134">
        <v>23327</v>
      </c>
      <c r="N336" s="135">
        <v>104.00320000000001</v>
      </c>
      <c r="O336" s="135">
        <v>108.752</v>
      </c>
      <c r="P336" s="135">
        <v>110.87990000000001</v>
      </c>
      <c r="Q336" s="135">
        <v>113.89400000000001</v>
      </c>
      <c r="R336" s="137">
        <v>1.08</v>
      </c>
      <c r="S336" s="120">
        <v>79119</v>
      </c>
      <c r="T336" s="120">
        <v>1222180</v>
      </c>
      <c r="U336" s="120">
        <v>0</v>
      </c>
      <c r="V336" s="114">
        <f t="shared" si="12"/>
        <v>1222180</v>
      </c>
      <c r="W336" s="114">
        <f t="shared" si="13"/>
        <v>1301299</v>
      </c>
    </row>
    <row r="337" spans="1:23">
      <c r="A337" s="122" t="s">
        <v>2866</v>
      </c>
      <c r="B337" s="124">
        <v>2177.3910000000001</v>
      </c>
      <c r="C337" s="124">
        <v>2094.8989999999999</v>
      </c>
      <c r="D337" s="124">
        <v>2114.3609999999999</v>
      </c>
      <c r="E337" s="124">
        <v>2124.7350000000001</v>
      </c>
      <c r="F337" s="124">
        <v>373.88510000000002</v>
      </c>
      <c r="G337" s="124">
        <v>359.0428</v>
      </c>
      <c r="H337" s="124">
        <v>334.36380000000003</v>
      </c>
      <c r="I337" s="124">
        <v>330.6071</v>
      </c>
      <c r="J337" s="134">
        <v>226663562</v>
      </c>
      <c r="K337" s="134">
        <v>242632562</v>
      </c>
      <c r="L337" s="124">
        <v>3054.828</v>
      </c>
      <c r="M337" s="134">
        <v>232363</v>
      </c>
      <c r="N337" s="135">
        <v>227.92320000000001</v>
      </c>
      <c r="O337" s="135">
        <v>224.12860000000001</v>
      </c>
      <c r="P337" s="135">
        <v>200.75989999999999</v>
      </c>
      <c r="Q337" s="135">
        <v>200.93879999999999</v>
      </c>
      <c r="R337" s="137">
        <v>1.0900000000000001</v>
      </c>
      <c r="S337" s="120">
        <v>239170</v>
      </c>
      <c r="T337" s="120">
        <v>3177969</v>
      </c>
      <c r="U337" s="120">
        <v>0</v>
      </c>
      <c r="V337" s="114">
        <f t="shared" si="12"/>
        <v>3177969</v>
      </c>
      <c r="W337" s="114">
        <f t="shared" si="13"/>
        <v>3417139</v>
      </c>
    </row>
    <row r="338" spans="1:23">
      <c r="A338" s="122" t="s">
        <v>2200</v>
      </c>
      <c r="B338" s="124">
        <v>618.98599999999999</v>
      </c>
      <c r="C338" s="124">
        <v>585.40300000000002</v>
      </c>
      <c r="D338" s="124">
        <v>583.11500000000001</v>
      </c>
      <c r="E338" s="124">
        <v>580.08399999999995</v>
      </c>
      <c r="F338" s="124">
        <v>136.32689999999999</v>
      </c>
      <c r="G338" s="124">
        <v>130.93950000000001</v>
      </c>
      <c r="H338" s="124">
        <v>134.63650000000001</v>
      </c>
      <c r="I338" s="124">
        <v>134.5189</v>
      </c>
      <c r="J338" s="134">
        <v>121398162</v>
      </c>
      <c r="K338" s="134">
        <v>126179574</v>
      </c>
      <c r="L338" s="124">
        <v>1042.56</v>
      </c>
      <c r="M338" s="114">
        <v>0</v>
      </c>
      <c r="N338" s="135">
        <v>85.935400000000001</v>
      </c>
      <c r="O338" s="135">
        <v>89.650499999999994</v>
      </c>
      <c r="P338" s="135">
        <v>92.168499999999995</v>
      </c>
      <c r="Q338" s="135">
        <v>93.048699999999997</v>
      </c>
      <c r="R338" s="137">
        <v>1.1200000000000001</v>
      </c>
      <c r="S338" s="120">
        <v>0</v>
      </c>
      <c r="T338" s="120">
        <v>1775240</v>
      </c>
      <c r="U338" s="120">
        <v>0</v>
      </c>
      <c r="V338" s="114">
        <f t="shared" si="12"/>
        <v>1775240</v>
      </c>
      <c r="W338" s="114">
        <f t="shared" si="13"/>
        <v>1775240</v>
      </c>
    </row>
    <row r="339" spans="1:23">
      <c r="A339" s="122" t="s">
        <v>2420</v>
      </c>
      <c r="B339" s="124">
        <v>168.245</v>
      </c>
      <c r="C339" s="124">
        <v>162.1</v>
      </c>
      <c r="D339" s="124">
        <v>157.20500000000001</v>
      </c>
      <c r="E339" s="124">
        <v>136.77699999999999</v>
      </c>
      <c r="F339" s="124">
        <v>37.057200000000002</v>
      </c>
      <c r="G339" s="124">
        <v>36.238999999999997</v>
      </c>
      <c r="H339" s="124">
        <v>34.657200000000003</v>
      </c>
      <c r="I339" s="124">
        <v>35.635800000000003</v>
      </c>
      <c r="J339" s="134">
        <v>222120443</v>
      </c>
      <c r="K339" s="134">
        <v>222977866</v>
      </c>
      <c r="L339" s="124">
        <v>263.95299999999997</v>
      </c>
      <c r="M339" s="134">
        <v>344077</v>
      </c>
      <c r="N339" s="135">
        <v>24.578600000000002</v>
      </c>
      <c r="O339" s="135">
        <v>23.578199999999999</v>
      </c>
      <c r="P339" s="135">
        <v>23.6265</v>
      </c>
      <c r="Q339" s="135">
        <v>23.0855</v>
      </c>
      <c r="R339" s="137">
        <v>1.1299999999999999</v>
      </c>
      <c r="S339" s="120">
        <v>351706</v>
      </c>
      <c r="T339" s="120">
        <v>2452793</v>
      </c>
      <c r="U339" s="120">
        <v>0</v>
      </c>
      <c r="V339" s="114">
        <f t="shared" si="12"/>
        <v>2452793</v>
      </c>
      <c r="W339" s="114">
        <f t="shared" si="13"/>
        <v>2804499</v>
      </c>
    </row>
    <row r="340" spans="1:23">
      <c r="A340" s="122" t="s">
        <v>2490</v>
      </c>
      <c r="B340" s="124">
        <v>2098.8829999999998</v>
      </c>
      <c r="C340" s="124">
        <v>1998.7</v>
      </c>
      <c r="D340" s="124">
        <v>2003.982</v>
      </c>
      <c r="E340" s="124">
        <v>2035.5409999999999</v>
      </c>
      <c r="F340" s="124">
        <v>356.61840000000001</v>
      </c>
      <c r="G340" s="124">
        <v>365.29379999999998</v>
      </c>
      <c r="H340" s="124">
        <v>366.70940000000002</v>
      </c>
      <c r="I340" s="124">
        <v>379.18400000000003</v>
      </c>
      <c r="J340" s="134">
        <v>2009231827</v>
      </c>
      <c r="K340" s="134">
        <v>2029165103</v>
      </c>
      <c r="L340" s="124">
        <v>2725.4110000000001</v>
      </c>
      <c r="M340" s="114">
        <v>0</v>
      </c>
      <c r="N340" s="135">
        <v>219.92500000000001</v>
      </c>
      <c r="O340" s="135">
        <v>225.77549999999999</v>
      </c>
      <c r="P340" s="135">
        <v>230.93530000000001</v>
      </c>
      <c r="Q340" s="135">
        <v>232.62049999999999</v>
      </c>
      <c r="R340" s="137">
        <v>1.1000000000000001</v>
      </c>
      <c r="S340" s="120">
        <v>0</v>
      </c>
      <c r="T340" s="120">
        <v>18559588</v>
      </c>
      <c r="U340" s="120">
        <v>0</v>
      </c>
      <c r="V340" s="114">
        <f t="shared" si="12"/>
        <v>18559588</v>
      </c>
      <c r="W340" s="114">
        <f t="shared" si="13"/>
        <v>18559588</v>
      </c>
    </row>
    <row r="341" spans="1:23">
      <c r="A341" s="122" t="s">
        <v>2270</v>
      </c>
      <c r="B341" s="124">
        <v>5486.9759999999997</v>
      </c>
      <c r="C341" s="124">
        <v>5441.0810000000001</v>
      </c>
      <c r="D341" s="124">
        <v>5593.9380000000001</v>
      </c>
      <c r="E341" s="124">
        <v>5741.6130000000003</v>
      </c>
      <c r="F341" s="124">
        <v>772.51260000000002</v>
      </c>
      <c r="G341" s="124">
        <v>760.36839999999995</v>
      </c>
      <c r="H341" s="124">
        <v>771.13310000000001</v>
      </c>
      <c r="I341" s="124">
        <v>780.63049999999998</v>
      </c>
      <c r="J341" s="134">
        <v>1270295422</v>
      </c>
      <c r="K341" s="134">
        <v>1348380919</v>
      </c>
      <c r="L341" s="124">
        <v>7533.7290000000003</v>
      </c>
      <c r="M341" s="134">
        <v>2540801</v>
      </c>
      <c r="N341" s="135">
        <v>486.95249999999999</v>
      </c>
      <c r="O341" s="135">
        <v>482.60070000000002</v>
      </c>
      <c r="P341" s="135">
        <v>490.2414</v>
      </c>
      <c r="Q341" s="135">
        <v>480.20760000000001</v>
      </c>
      <c r="R341" s="137">
        <v>1.1399999999999999</v>
      </c>
      <c r="S341" s="120">
        <v>3340287</v>
      </c>
      <c r="T341" s="120">
        <v>19044433</v>
      </c>
      <c r="U341" s="120">
        <v>0</v>
      </c>
      <c r="V341" s="114">
        <f t="shared" si="12"/>
        <v>19044433</v>
      </c>
      <c r="W341" s="114">
        <f t="shared" si="13"/>
        <v>22384720</v>
      </c>
    </row>
    <row r="342" spans="1:23">
      <c r="A342" s="122" t="s">
        <v>2550</v>
      </c>
      <c r="B342" s="124">
        <v>8714.7819999999992</v>
      </c>
      <c r="C342" s="124">
        <v>8564.1929999999993</v>
      </c>
      <c r="D342" s="124">
        <v>8441.2909999999993</v>
      </c>
      <c r="E342" s="124">
        <v>8451.2999999999993</v>
      </c>
      <c r="F342" s="124">
        <v>1394.9594</v>
      </c>
      <c r="G342" s="124">
        <v>1426.9816000000001</v>
      </c>
      <c r="H342" s="124">
        <v>1376.6280999999999</v>
      </c>
      <c r="I342" s="124">
        <v>1346.0799</v>
      </c>
      <c r="J342" s="134">
        <v>2467817625</v>
      </c>
      <c r="K342" s="134">
        <v>2578051932</v>
      </c>
      <c r="L342" s="124">
        <v>11406.48</v>
      </c>
      <c r="M342" s="134">
        <v>1568193</v>
      </c>
      <c r="N342" s="135">
        <v>810.66729999999995</v>
      </c>
      <c r="O342" s="135">
        <v>802.01160000000004</v>
      </c>
      <c r="P342" s="135">
        <v>774.25360000000001</v>
      </c>
      <c r="Q342" s="135">
        <v>752.93560000000002</v>
      </c>
      <c r="R342" s="137">
        <v>1.1599999999999999</v>
      </c>
      <c r="S342" s="120">
        <v>1809640</v>
      </c>
      <c r="T342" s="120">
        <v>38646024</v>
      </c>
      <c r="U342" s="120">
        <v>0</v>
      </c>
      <c r="V342" s="114">
        <f t="shared" si="12"/>
        <v>38646024</v>
      </c>
      <c r="W342" s="114">
        <f t="shared" si="13"/>
        <v>40455664</v>
      </c>
    </row>
    <row r="343" spans="1:23">
      <c r="A343" s="122" t="s">
        <v>2132</v>
      </c>
      <c r="B343" s="124">
        <v>268.58100000000002</v>
      </c>
      <c r="C343" s="124">
        <v>260.15499999999997</v>
      </c>
      <c r="D343" s="124">
        <v>267.22000000000003</v>
      </c>
      <c r="E343" s="124">
        <v>259.81799999999998</v>
      </c>
      <c r="F343" s="124">
        <v>49.02</v>
      </c>
      <c r="G343" s="124">
        <v>50.2</v>
      </c>
      <c r="H343" s="124">
        <v>49.38</v>
      </c>
      <c r="I343" s="124">
        <v>48.2</v>
      </c>
      <c r="J343" s="134">
        <v>61588426</v>
      </c>
      <c r="K343" s="134">
        <v>64169017</v>
      </c>
      <c r="L343" s="124">
        <v>467.85</v>
      </c>
      <c r="M343" s="114">
        <v>0</v>
      </c>
      <c r="N343" s="135">
        <v>29.000699999999998</v>
      </c>
      <c r="O343" s="135">
        <v>29.0016</v>
      </c>
      <c r="P343" s="135">
        <v>28.0245</v>
      </c>
      <c r="Q343" s="135">
        <v>27.106200000000001</v>
      </c>
      <c r="R343" s="137">
        <v>1.1000000000000001</v>
      </c>
      <c r="S343" s="120">
        <v>0</v>
      </c>
      <c r="T343" s="120">
        <v>854190</v>
      </c>
      <c r="U343" s="120">
        <v>28233</v>
      </c>
      <c r="V343" s="114">
        <f t="shared" si="12"/>
        <v>882423</v>
      </c>
      <c r="W343" s="114">
        <f t="shared" si="13"/>
        <v>882423</v>
      </c>
    </row>
    <row r="344" spans="1:23">
      <c r="A344" s="122" t="s">
        <v>862</v>
      </c>
      <c r="B344" s="124">
        <v>3835.0329999999999</v>
      </c>
      <c r="C344" s="124">
        <v>3738.2809999999999</v>
      </c>
      <c r="D344" s="124">
        <v>3654.6260000000002</v>
      </c>
      <c r="E344" s="124">
        <v>3587.9920000000002</v>
      </c>
      <c r="F344" s="124">
        <v>514.3193</v>
      </c>
      <c r="G344" s="124">
        <v>530.14369999999997</v>
      </c>
      <c r="H344" s="124">
        <v>499.6087</v>
      </c>
      <c r="I344" s="124">
        <v>476.286</v>
      </c>
      <c r="J344" s="134">
        <v>1217623900</v>
      </c>
      <c r="K344" s="134">
        <v>1282547265</v>
      </c>
      <c r="L344" s="124">
        <v>4949.1769999999997</v>
      </c>
      <c r="M344" s="134">
        <v>1305521</v>
      </c>
      <c r="N344" s="135">
        <v>333.76990000000001</v>
      </c>
      <c r="O344" s="135">
        <v>332.9889</v>
      </c>
      <c r="P344" s="135">
        <v>314.46519999999998</v>
      </c>
      <c r="Q344" s="135">
        <v>300.52910000000003</v>
      </c>
      <c r="R344" s="137">
        <v>1.1399999999999999</v>
      </c>
      <c r="S344" s="120">
        <v>1775349</v>
      </c>
      <c r="T344" s="120">
        <v>17787175</v>
      </c>
      <c r="U344" s="120">
        <v>0</v>
      </c>
      <c r="V344" s="114">
        <f t="shared" si="12"/>
        <v>17787175</v>
      </c>
      <c r="W344" s="114">
        <f t="shared" si="13"/>
        <v>19562524</v>
      </c>
    </row>
    <row r="345" spans="1:23">
      <c r="A345" s="122" t="s">
        <v>863</v>
      </c>
      <c r="B345" s="124">
        <v>5496.7489999999998</v>
      </c>
      <c r="C345" s="124">
        <v>5473.2110000000002</v>
      </c>
      <c r="D345" s="124">
        <v>5376.6049999999996</v>
      </c>
      <c r="E345" s="124">
        <v>5311.7659999999996</v>
      </c>
      <c r="F345" s="124">
        <v>836.44370000000004</v>
      </c>
      <c r="G345" s="124">
        <v>815.26400000000001</v>
      </c>
      <c r="H345" s="124">
        <v>758.15970000000004</v>
      </c>
      <c r="I345" s="124">
        <v>813.65060000000005</v>
      </c>
      <c r="J345" s="134">
        <v>2313437081</v>
      </c>
      <c r="K345" s="134">
        <v>2377212142</v>
      </c>
      <c r="L345" s="124">
        <v>6993.9989999999998</v>
      </c>
      <c r="M345" s="134">
        <v>3155381</v>
      </c>
      <c r="N345" s="135">
        <v>495.28629999999998</v>
      </c>
      <c r="O345" s="135">
        <v>519.64620000000002</v>
      </c>
      <c r="P345" s="135">
        <v>479.10509999999999</v>
      </c>
      <c r="Q345" s="135">
        <v>481.16539999999998</v>
      </c>
      <c r="R345" s="137">
        <v>1.1499999999999999</v>
      </c>
      <c r="S345" s="120">
        <v>2256832</v>
      </c>
      <c r="T345" s="120">
        <v>32777111</v>
      </c>
      <c r="U345" s="120">
        <v>0</v>
      </c>
      <c r="V345" s="114">
        <f t="shared" si="12"/>
        <v>32777111</v>
      </c>
      <c r="W345" s="114">
        <f t="shared" si="13"/>
        <v>35033943</v>
      </c>
    </row>
    <row r="346" spans="1:23">
      <c r="A346" s="122" t="s">
        <v>2817</v>
      </c>
      <c r="B346" s="124">
        <v>1151.873</v>
      </c>
      <c r="C346" s="124">
        <v>1124.7529999999999</v>
      </c>
      <c r="D346" s="124">
        <v>1090.7850000000001</v>
      </c>
      <c r="E346" s="124">
        <v>1070.174</v>
      </c>
      <c r="F346" s="124">
        <v>221.1112</v>
      </c>
      <c r="G346" s="124">
        <v>188.00890000000001</v>
      </c>
      <c r="H346" s="124">
        <v>243.52629999999999</v>
      </c>
      <c r="I346" s="124">
        <v>200.79259999999999</v>
      </c>
      <c r="J346" s="134">
        <v>269486880</v>
      </c>
      <c r="K346" s="134">
        <v>287692835</v>
      </c>
      <c r="L346" s="124">
        <v>1734.6510000000001</v>
      </c>
      <c r="M346" s="134">
        <v>579025</v>
      </c>
      <c r="N346" s="135">
        <v>142.93729999999999</v>
      </c>
      <c r="O346" s="135">
        <v>125.5667</v>
      </c>
      <c r="P346" s="135">
        <v>133.66569999999999</v>
      </c>
      <c r="Q346" s="135">
        <v>116.1495</v>
      </c>
      <c r="R346" s="137">
        <v>1.1200000000000001</v>
      </c>
      <c r="S346" s="120">
        <v>745412</v>
      </c>
      <c r="T346" s="120">
        <v>4008771</v>
      </c>
      <c r="U346" s="120">
        <v>0</v>
      </c>
      <c r="V346" s="114">
        <f t="shared" si="12"/>
        <v>4008771</v>
      </c>
      <c r="W346" s="114">
        <f t="shared" si="13"/>
        <v>4754183</v>
      </c>
    </row>
    <row r="347" spans="1:23">
      <c r="A347" s="122" t="s">
        <v>533</v>
      </c>
      <c r="B347" s="124">
        <v>3992.6239999999998</v>
      </c>
      <c r="C347" s="124">
        <v>4044.643</v>
      </c>
      <c r="D347" s="124">
        <v>4060.2280000000001</v>
      </c>
      <c r="E347" s="124">
        <v>4145.7969999999996</v>
      </c>
      <c r="F347" s="124">
        <v>501.12290000000002</v>
      </c>
      <c r="G347" s="124">
        <v>537.24599999999998</v>
      </c>
      <c r="H347" s="124">
        <v>545.94230000000005</v>
      </c>
      <c r="I347" s="124">
        <v>528.47910000000002</v>
      </c>
      <c r="J347" s="134">
        <v>569836968</v>
      </c>
      <c r="K347" s="134">
        <v>624459003</v>
      </c>
      <c r="L347" s="124">
        <v>5181.9359999999997</v>
      </c>
      <c r="M347" s="134">
        <v>400397</v>
      </c>
      <c r="N347" s="135">
        <v>308.67500000000001</v>
      </c>
      <c r="O347" s="135">
        <v>320.03230000000002</v>
      </c>
      <c r="P347" s="135">
        <v>322.51870000000002</v>
      </c>
      <c r="Q347" s="135">
        <v>315.71600000000001</v>
      </c>
      <c r="R347" s="137">
        <v>1.1299999999999999</v>
      </c>
      <c r="S347" s="120">
        <v>795075</v>
      </c>
      <c r="T347" s="120">
        <v>8788447</v>
      </c>
      <c r="U347" s="120">
        <v>0</v>
      </c>
      <c r="V347" s="114">
        <f t="shared" si="12"/>
        <v>8788447</v>
      </c>
      <c r="W347" s="114">
        <f t="shared" si="13"/>
        <v>9583522</v>
      </c>
    </row>
    <row r="348" spans="1:23">
      <c r="A348" s="122" t="s">
        <v>2818</v>
      </c>
      <c r="B348" s="124">
        <v>26872.669000000002</v>
      </c>
      <c r="C348" s="124">
        <v>28015.760999999999</v>
      </c>
      <c r="D348" s="124">
        <v>29376.116000000002</v>
      </c>
      <c r="E348" s="124">
        <v>30083.102999999999</v>
      </c>
      <c r="F348" s="124">
        <v>3152.7266</v>
      </c>
      <c r="G348" s="124">
        <v>3363.0147999999999</v>
      </c>
      <c r="H348" s="124">
        <v>3529.5635000000002</v>
      </c>
      <c r="I348" s="124">
        <v>3688.1442000000002</v>
      </c>
      <c r="J348" s="134">
        <v>9100670956</v>
      </c>
      <c r="K348" s="134">
        <v>9502989604</v>
      </c>
      <c r="L348" s="124">
        <v>35593.946000000004</v>
      </c>
      <c r="M348" s="134">
        <v>18658303</v>
      </c>
      <c r="N348" s="135">
        <v>1940.9321</v>
      </c>
      <c r="O348" s="135">
        <v>2091.9956999999999</v>
      </c>
      <c r="P348" s="135">
        <v>2110.4935</v>
      </c>
      <c r="Q348" s="135">
        <v>2228.6984000000002</v>
      </c>
      <c r="R348" s="137">
        <v>1.1599999999999999</v>
      </c>
      <c r="S348" s="120">
        <v>22908608</v>
      </c>
      <c r="T348" s="120">
        <v>143176553</v>
      </c>
      <c r="U348" s="120">
        <v>0</v>
      </c>
      <c r="V348" s="114">
        <f t="shared" si="12"/>
        <v>143176553</v>
      </c>
      <c r="W348" s="114">
        <f t="shared" si="13"/>
        <v>166085161</v>
      </c>
    </row>
    <row r="349" spans="1:23">
      <c r="A349" s="122" t="s">
        <v>1604</v>
      </c>
      <c r="B349" s="124">
        <v>4688.8959999999997</v>
      </c>
      <c r="C349" s="124">
        <v>4720.4579999999996</v>
      </c>
      <c r="D349" s="124">
        <v>4911.4849999999997</v>
      </c>
      <c r="E349" s="124">
        <v>5024.6899999999996</v>
      </c>
      <c r="F349" s="124">
        <v>567.88890000000004</v>
      </c>
      <c r="G349" s="124">
        <v>616.86860000000001</v>
      </c>
      <c r="H349" s="124">
        <v>630.53470000000004</v>
      </c>
      <c r="I349" s="124">
        <v>653.87779999999998</v>
      </c>
      <c r="J349" s="134">
        <v>1217282952</v>
      </c>
      <c r="K349" s="134">
        <v>1279806193</v>
      </c>
      <c r="L349" s="124">
        <v>5845.9340000000002</v>
      </c>
      <c r="M349" s="134">
        <v>973436</v>
      </c>
      <c r="N349" s="135">
        <v>346.38819999999998</v>
      </c>
      <c r="O349" s="135">
        <v>367.82909999999998</v>
      </c>
      <c r="P349" s="135">
        <v>368.6576</v>
      </c>
      <c r="Q349" s="135">
        <v>380.03449999999998</v>
      </c>
      <c r="R349" s="137">
        <v>1.1299999999999999</v>
      </c>
      <c r="S349" s="120">
        <v>1807413</v>
      </c>
      <c r="T349" s="120">
        <v>19772174</v>
      </c>
      <c r="U349" s="120">
        <v>0</v>
      </c>
      <c r="V349" s="114">
        <f t="shared" si="12"/>
        <v>19772174</v>
      </c>
      <c r="W349" s="114">
        <f t="shared" si="13"/>
        <v>21579587</v>
      </c>
    </row>
    <row r="350" spans="1:23">
      <c r="A350" s="122" t="s">
        <v>1872</v>
      </c>
      <c r="B350" s="124">
        <v>901.69200000000001</v>
      </c>
      <c r="C350" s="124">
        <v>952.46500000000003</v>
      </c>
      <c r="D350" s="124">
        <v>939.60699999999997</v>
      </c>
      <c r="E350" s="124">
        <v>941.92600000000004</v>
      </c>
      <c r="F350" s="124">
        <v>139.49979999999999</v>
      </c>
      <c r="G350" s="124">
        <v>146.15039999999999</v>
      </c>
      <c r="H350" s="124">
        <v>156.31020000000001</v>
      </c>
      <c r="I350" s="124">
        <v>160.93440000000001</v>
      </c>
      <c r="J350" s="134">
        <v>352812554</v>
      </c>
      <c r="K350" s="134">
        <v>362430274</v>
      </c>
      <c r="L350" s="124">
        <v>1676.809</v>
      </c>
      <c r="M350" s="114">
        <v>0</v>
      </c>
      <c r="N350" s="135">
        <v>96.297200000000004</v>
      </c>
      <c r="O350" s="135">
        <v>102.3001</v>
      </c>
      <c r="P350" s="135">
        <v>106.2788</v>
      </c>
      <c r="Q350" s="135">
        <v>109.601</v>
      </c>
      <c r="R350" s="137">
        <v>1.06</v>
      </c>
      <c r="S350" s="120">
        <v>0</v>
      </c>
      <c r="T350" s="120">
        <v>4802608</v>
      </c>
      <c r="U350" s="120">
        <v>0</v>
      </c>
      <c r="V350" s="114">
        <f t="shared" si="12"/>
        <v>4802608</v>
      </c>
      <c r="W350" s="114">
        <f t="shared" si="13"/>
        <v>4802608</v>
      </c>
    </row>
    <row r="351" spans="1:23">
      <c r="A351" s="122" t="s">
        <v>1873</v>
      </c>
      <c r="B351" s="124">
        <v>160.364</v>
      </c>
      <c r="C351" s="124">
        <v>168.33</v>
      </c>
      <c r="D351" s="124">
        <v>179.971</v>
      </c>
      <c r="E351" s="124">
        <v>181.42</v>
      </c>
      <c r="F351" s="124">
        <v>31.768599999999999</v>
      </c>
      <c r="G351" s="124">
        <v>32.176400000000001</v>
      </c>
      <c r="H351" s="124">
        <v>32.0642</v>
      </c>
      <c r="I351" s="124">
        <v>31.4373</v>
      </c>
      <c r="J351" s="134">
        <v>36589042</v>
      </c>
      <c r="K351" s="134">
        <v>37127152</v>
      </c>
      <c r="L351" s="124">
        <v>335.10700000000003</v>
      </c>
      <c r="M351" s="114">
        <v>0</v>
      </c>
      <c r="N351" s="135">
        <v>19.628299999999999</v>
      </c>
      <c r="O351" s="135">
        <v>19.7256</v>
      </c>
      <c r="P351" s="135">
        <v>20.398599999999998</v>
      </c>
      <c r="Q351" s="135">
        <v>20.263999999999999</v>
      </c>
      <c r="R351" s="137">
        <v>1.08</v>
      </c>
      <c r="S351" s="120">
        <v>0</v>
      </c>
      <c r="T351" s="120">
        <v>524103</v>
      </c>
      <c r="U351" s="120">
        <v>0</v>
      </c>
      <c r="V351" s="114">
        <f t="shared" si="12"/>
        <v>524103</v>
      </c>
      <c r="W351" s="114">
        <f t="shared" si="13"/>
        <v>524103</v>
      </c>
    </row>
    <row r="352" spans="1:23">
      <c r="A352" s="122" t="s">
        <v>2139</v>
      </c>
      <c r="B352" s="124">
        <v>27.181000000000001</v>
      </c>
      <c r="C352" s="124">
        <v>25.094999999999999</v>
      </c>
      <c r="D352" s="124">
        <v>24.43</v>
      </c>
      <c r="E352" s="124">
        <v>25.067</v>
      </c>
      <c r="F352" s="124">
        <v>6.1357999999999997</v>
      </c>
      <c r="G352" s="124">
        <v>6.1357999999999997</v>
      </c>
      <c r="H352" s="124">
        <v>6.1357999999999997</v>
      </c>
      <c r="I352" s="124">
        <v>6.1357999999999997</v>
      </c>
      <c r="J352" s="134">
        <v>14294545</v>
      </c>
      <c r="K352" s="134">
        <v>15028465</v>
      </c>
      <c r="L352" s="124">
        <v>35.552999999999997</v>
      </c>
      <c r="M352" s="114">
        <v>0</v>
      </c>
      <c r="N352" s="135">
        <v>3.9571999999999998</v>
      </c>
      <c r="O352" s="135">
        <v>3.9565999999999999</v>
      </c>
      <c r="P352" s="135">
        <v>3.9569999999999999</v>
      </c>
      <c r="Q352" s="135">
        <v>3.9573</v>
      </c>
      <c r="R352" s="137">
        <v>1.05</v>
      </c>
      <c r="S352" s="120">
        <v>0</v>
      </c>
      <c r="T352" s="120">
        <v>196483</v>
      </c>
      <c r="U352" s="120">
        <v>0</v>
      </c>
      <c r="V352" s="114">
        <f t="shared" si="12"/>
        <v>196483</v>
      </c>
      <c r="W352" s="114">
        <f t="shared" si="13"/>
        <v>196483</v>
      </c>
    </row>
    <row r="353" spans="1:23">
      <c r="A353" s="122" t="s">
        <v>1636</v>
      </c>
      <c r="B353" s="124">
        <v>2583.5210000000002</v>
      </c>
      <c r="C353" s="124">
        <v>2587.761</v>
      </c>
      <c r="D353" s="124">
        <v>2633.8069999999998</v>
      </c>
      <c r="E353" s="124">
        <v>2673.8490000000002</v>
      </c>
      <c r="F353" s="124">
        <v>395.21780000000001</v>
      </c>
      <c r="G353" s="124">
        <v>394.31709999999998</v>
      </c>
      <c r="H353" s="124">
        <v>402.9667</v>
      </c>
      <c r="I353" s="124">
        <v>410.4359</v>
      </c>
      <c r="J353" s="134">
        <v>946832078</v>
      </c>
      <c r="K353" s="134">
        <v>998664734</v>
      </c>
      <c r="L353" s="124">
        <v>3576.8609999999999</v>
      </c>
      <c r="M353" s="134">
        <v>1969771</v>
      </c>
      <c r="N353" s="135">
        <v>248.6942</v>
      </c>
      <c r="O353" s="135">
        <v>236.60390000000001</v>
      </c>
      <c r="P353" s="135">
        <v>253.6591</v>
      </c>
      <c r="Q353" s="135">
        <v>254.38740000000001</v>
      </c>
      <c r="R353" s="137">
        <v>1.06</v>
      </c>
      <c r="S353" s="120">
        <v>1984924</v>
      </c>
      <c r="T353" s="120">
        <v>14791396</v>
      </c>
      <c r="U353" s="120">
        <v>0</v>
      </c>
      <c r="V353" s="114">
        <f t="shared" si="12"/>
        <v>14791396</v>
      </c>
      <c r="W353" s="114">
        <f t="shared" si="13"/>
        <v>16776320</v>
      </c>
    </row>
    <row r="354" spans="1:23">
      <c r="A354" s="122" t="s">
        <v>2474</v>
      </c>
      <c r="B354" s="124">
        <v>378.38299999999998</v>
      </c>
      <c r="C354" s="124">
        <v>428.47699999999998</v>
      </c>
      <c r="D354" s="124">
        <v>453.25299999999999</v>
      </c>
      <c r="E354" s="124">
        <v>454.48500000000001</v>
      </c>
      <c r="F354" s="124">
        <v>67.224800000000002</v>
      </c>
      <c r="G354" s="124">
        <v>72.427999999999997</v>
      </c>
      <c r="H354" s="124">
        <v>75.243499999999997</v>
      </c>
      <c r="I354" s="124">
        <v>81.363799999999998</v>
      </c>
      <c r="J354" s="134">
        <v>131798445</v>
      </c>
      <c r="K354" s="134">
        <v>140138865</v>
      </c>
      <c r="L354" s="124">
        <v>881.48099999999999</v>
      </c>
      <c r="M354" s="114">
        <v>0</v>
      </c>
      <c r="N354" s="135">
        <v>42.759</v>
      </c>
      <c r="O354" s="135">
        <v>45.167299999999997</v>
      </c>
      <c r="P354" s="135">
        <v>49.201099999999997</v>
      </c>
      <c r="Q354" s="135">
        <v>50.317300000000003</v>
      </c>
      <c r="R354" s="137">
        <v>1.04</v>
      </c>
      <c r="S354" s="120">
        <v>0</v>
      </c>
      <c r="T354" s="120">
        <v>1979096</v>
      </c>
      <c r="U354" s="120">
        <v>0</v>
      </c>
      <c r="V354" s="114">
        <f t="shared" si="12"/>
        <v>1979096</v>
      </c>
      <c r="W354" s="114">
        <f t="shared" si="13"/>
        <v>1979096</v>
      </c>
    </row>
    <row r="355" spans="1:23">
      <c r="A355" s="122" t="s">
        <v>2475</v>
      </c>
      <c r="B355" s="124">
        <v>334.21600000000001</v>
      </c>
      <c r="C355" s="124">
        <v>325.49</v>
      </c>
      <c r="D355" s="124">
        <v>315.66000000000003</v>
      </c>
      <c r="E355" s="124">
        <v>306.755</v>
      </c>
      <c r="F355" s="124">
        <v>61.332000000000001</v>
      </c>
      <c r="G355" s="124">
        <v>57.176900000000003</v>
      </c>
      <c r="H355" s="124">
        <v>55.154899999999998</v>
      </c>
      <c r="I355" s="124">
        <v>52.595399999999998</v>
      </c>
      <c r="J355" s="134">
        <v>390148386</v>
      </c>
      <c r="K355" s="134">
        <v>392418077</v>
      </c>
      <c r="L355" s="124">
        <v>589.97299999999996</v>
      </c>
      <c r="M355" s="114">
        <v>0</v>
      </c>
      <c r="N355" s="135">
        <v>38.003300000000003</v>
      </c>
      <c r="O355" s="135">
        <v>34.000700000000002</v>
      </c>
      <c r="P355" s="135">
        <v>34.603200000000001</v>
      </c>
      <c r="Q355" s="135">
        <v>32.122700000000002</v>
      </c>
      <c r="R355" s="137">
        <v>1.0900000000000001</v>
      </c>
      <c r="S355" s="120">
        <v>0</v>
      </c>
      <c r="T355" s="120">
        <v>5451970</v>
      </c>
      <c r="U355" s="120">
        <v>0</v>
      </c>
      <c r="V355" s="114">
        <f t="shared" si="12"/>
        <v>5451970</v>
      </c>
      <c r="W355" s="114">
        <f t="shared" si="13"/>
        <v>5451970</v>
      </c>
    </row>
    <row r="356" spans="1:23">
      <c r="A356" s="122" t="s">
        <v>2794</v>
      </c>
      <c r="B356" s="124">
        <v>1348.5409999999999</v>
      </c>
      <c r="C356" s="124">
        <v>1328.4670000000001</v>
      </c>
      <c r="D356" s="124">
        <v>1304.5519999999999</v>
      </c>
      <c r="E356" s="124">
        <v>1268.4159999999999</v>
      </c>
      <c r="F356" s="124">
        <v>228.28380000000001</v>
      </c>
      <c r="G356" s="124">
        <v>232.0241</v>
      </c>
      <c r="H356" s="124">
        <v>242.43969999999999</v>
      </c>
      <c r="I356" s="124">
        <v>245.53389999999999</v>
      </c>
      <c r="J356" s="134">
        <v>484375679</v>
      </c>
      <c r="K356" s="134">
        <v>501636274</v>
      </c>
      <c r="L356" s="124">
        <v>2004.5409999999999</v>
      </c>
      <c r="M356" s="134">
        <v>358980</v>
      </c>
      <c r="N356" s="135">
        <v>134.2073</v>
      </c>
      <c r="O356" s="135">
        <v>133.27879999999999</v>
      </c>
      <c r="P356" s="135">
        <v>141.51240000000001</v>
      </c>
      <c r="Q356" s="135">
        <v>142.71870000000001</v>
      </c>
      <c r="R356" s="137">
        <v>1.08</v>
      </c>
      <c r="S356" s="120">
        <v>331176</v>
      </c>
      <c r="T356" s="120">
        <v>6732082</v>
      </c>
      <c r="U356" s="120">
        <v>0</v>
      </c>
      <c r="V356" s="114">
        <f t="shared" si="12"/>
        <v>6732082</v>
      </c>
      <c r="W356" s="114">
        <f t="shared" si="13"/>
        <v>7063258</v>
      </c>
    </row>
    <row r="357" spans="1:23">
      <c r="A357" s="122" t="s">
        <v>1019</v>
      </c>
      <c r="B357" s="124">
        <v>2471.7950000000001</v>
      </c>
      <c r="C357" s="124">
        <v>2462.3719999999998</v>
      </c>
      <c r="D357" s="124">
        <v>2462.1579999999999</v>
      </c>
      <c r="E357" s="124">
        <v>2436.587</v>
      </c>
      <c r="F357" s="124">
        <v>384.08569999999997</v>
      </c>
      <c r="G357" s="124">
        <v>418.55520000000001</v>
      </c>
      <c r="H357" s="124">
        <v>418.96069999999997</v>
      </c>
      <c r="I357" s="124">
        <v>416.29669999999999</v>
      </c>
      <c r="J357" s="134">
        <v>314493659</v>
      </c>
      <c r="K357" s="134">
        <v>338542139</v>
      </c>
      <c r="L357" s="124">
        <v>3439.0729999999999</v>
      </c>
      <c r="M357" s="134">
        <v>2966</v>
      </c>
      <c r="N357" s="135">
        <v>258.88479999999998</v>
      </c>
      <c r="O357" s="135">
        <v>275.72000000000003</v>
      </c>
      <c r="P357" s="135">
        <v>269.08679999999998</v>
      </c>
      <c r="Q357" s="135">
        <v>271.24059999999997</v>
      </c>
      <c r="R357" s="137">
        <v>1.07</v>
      </c>
      <c r="S357" s="120">
        <v>217038</v>
      </c>
      <c r="T357" s="120">
        <v>4261368</v>
      </c>
      <c r="U357" s="120">
        <v>0</v>
      </c>
      <c r="V357" s="114">
        <f t="shared" si="12"/>
        <v>4261368</v>
      </c>
      <c r="W357" s="114">
        <f t="shared" si="13"/>
        <v>4478406</v>
      </c>
    </row>
    <row r="358" spans="1:23">
      <c r="A358" s="122" t="s">
        <v>2795</v>
      </c>
      <c r="B358" s="124">
        <v>912.00699999999995</v>
      </c>
      <c r="C358" s="124">
        <v>936.98800000000006</v>
      </c>
      <c r="D358" s="124">
        <v>918.64700000000005</v>
      </c>
      <c r="E358" s="124">
        <v>920.52300000000002</v>
      </c>
      <c r="F358" s="124">
        <v>152.62</v>
      </c>
      <c r="G358" s="124">
        <v>157.2501</v>
      </c>
      <c r="H358" s="124">
        <v>154.5301</v>
      </c>
      <c r="I358" s="124">
        <v>157.0915</v>
      </c>
      <c r="J358" s="134">
        <v>95083064</v>
      </c>
      <c r="K358" s="134">
        <v>103412784</v>
      </c>
      <c r="L358" s="124">
        <v>1573.72</v>
      </c>
      <c r="M358" s="114">
        <v>0</v>
      </c>
      <c r="N358" s="135">
        <v>94.883600000000001</v>
      </c>
      <c r="O358" s="135">
        <v>100.8194</v>
      </c>
      <c r="P358" s="135">
        <v>98.3232</v>
      </c>
      <c r="Q358" s="135">
        <v>98.338499999999996</v>
      </c>
      <c r="R358" s="137">
        <v>1.06</v>
      </c>
      <c r="S358" s="120">
        <v>0</v>
      </c>
      <c r="T358" s="120">
        <v>1237569</v>
      </c>
      <c r="U358" s="120">
        <v>0</v>
      </c>
      <c r="V358" s="114">
        <f t="shared" si="12"/>
        <v>1237569</v>
      </c>
      <c r="W358" s="114">
        <f t="shared" si="13"/>
        <v>1237569</v>
      </c>
    </row>
    <row r="359" spans="1:23">
      <c r="A359" s="122" t="s">
        <v>2796</v>
      </c>
      <c r="B359" s="124">
        <v>243.65899999999999</v>
      </c>
      <c r="C359" s="124">
        <v>234.07400000000001</v>
      </c>
      <c r="D359" s="124">
        <v>244.398</v>
      </c>
      <c r="E359" s="124">
        <v>247.017</v>
      </c>
      <c r="F359" s="124">
        <v>45.148400000000002</v>
      </c>
      <c r="G359" s="124">
        <v>46.939900000000002</v>
      </c>
      <c r="H359" s="124">
        <v>46.731299999999997</v>
      </c>
      <c r="I359" s="124">
        <v>48.691200000000002</v>
      </c>
      <c r="J359" s="134">
        <v>71377835</v>
      </c>
      <c r="K359" s="134">
        <v>74400075</v>
      </c>
      <c r="L359" s="124">
        <v>457.85</v>
      </c>
      <c r="M359" s="114">
        <v>0</v>
      </c>
      <c r="N359" s="135">
        <v>29.000800000000002</v>
      </c>
      <c r="O359" s="135">
        <v>29.913</v>
      </c>
      <c r="P359" s="135">
        <v>29.999400000000001</v>
      </c>
      <c r="Q359" s="135">
        <v>31.520199999999999</v>
      </c>
      <c r="R359" s="137">
        <v>1.07</v>
      </c>
      <c r="S359" s="120">
        <v>0</v>
      </c>
      <c r="T359" s="120">
        <v>1008730</v>
      </c>
      <c r="U359" s="120">
        <v>0</v>
      </c>
      <c r="V359" s="114">
        <f t="shared" si="12"/>
        <v>1008730</v>
      </c>
      <c r="W359" s="114">
        <f t="shared" si="13"/>
        <v>1008730</v>
      </c>
    </row>
    <row r="360" spans="1:23">
      <c r="A360" s="122" t="s">
        <v>2118</v>
      </c>
      <c r="B360" s="124">
        <v>166.636</v>
      </c>
      <c r="C360" s="124">
        <v>154.28700000000001</v>
      </c>
      <c r="D360" s="124">
        <v>159.32</v>
      </c>
      <c r="E360" s="124">
        <v>171.52</v>
      </c>
      <c r="F360" s="124">
        <v>28.767399999999999</v>
      </c>
      <c r="G360" s="124">
        <v>31.8504</v>
      </c>
      <c r="H360" s="124">
        <v>33.657899999999998</v>
      </c>
      <c r="I360" s="124">
        <v>34.615099999999998</v>
      </c>
      <c r="J360" s="134">
        <v>78796524</v>
      </c>
      <c r="K360" s="134">
        <v>80228117</v>
      </c>
      <c r="L360" s="124">
        <v>288.08800000000002</v>
      </c>
      <c r="M360" s="134">
        <v>105438</v>
      </c>
      <c r="N360" s="135">
        <v>20.157900000000001</v>
      </c>
      <c r="O360" s="135">
        <v>24.4114</v>
      </c>
      <c r="P360" s="135">
        <v>23.124700000000001</v>
      </c>
      <c r="Q360" s="135">
        <v>25.048200000000001</v>
      </c>
      <c r="R360" s="137">
        <v>1.08</v>
      </c>
      <c r="S360" s="120">
        <v>122693</v>
      </c>
      <c r="T360" s="120">
        <v>1107765</v>
      </c>
      <c r="U360" s="120">
        <v>0</v>
      </c>
      <c r="V360" s="114">
        <f t="shared" si="12"/>
        <v>1107765</v>
      </c>
      <c r="W360" s="114">
        <f t="shared" si="13"/>
        <v>1230458</v>
      </c>
    </row>
    <row r="361" spans="1:23">
      <c r="A361" s="122" t="s">
        <v>2119</v>
      </c>
      <c r="B361" s="124">
        <v>186.136</v>
      </c>
      <c r="C361" s="124">
        <v>200.38399999999999</v>
      </c>
      <c r="D361" s="124">
        <v>195.21899999999999</v>
      </c>
      <c r="E361" s="124">
        <v>189.81100000000001</v>
      </c>
      <c r="F361" s="124">
        <v>35.721899999999998</v>
      </c>
      <c r="G361" s="124">
        <v>37.275399999999998</v>
      </c>
      <c r="H361" s="124">
        <v>31.813199999999998</v>
      </c>
      <c r="I361" s="124">
        <v>28.3035</v>
      </c>
      <c r="J361" s="134">
        <v>109065533</v>
      </c>
      <c r="K361" s="134">
        <v>111664623</v>
      </c>
      <c r="L361" s="124">
        <v>375.54</v>
      </c>
      <c r="M361" s="114">
        <v>0</v>
      </c>
      <c r="N361" s="135">
        <v>24.183800000000002</v>
      </c>
      <c r="O361" s="135">
        <v>23.959199999999999</v>
      </c>
      <c r="P361" s="135">
        <v>19.805</v>
      </c>
      <c r="Q361" s="135">
        <v>18.623899999999999</v>
      </c>
      <c r="R361" s="137">
        <v>1.07</v>
      </c>
      <c r="S361" s="120">
        <v>0</v>
      </c>
      <c r="T361" s="120">
        <v>1544400</v>
      </c>
      <c r="U361" s="120">
        <v>0</v>
      </c>
      <c r="V361" s="114">
        <f t="shared" si="12"/>
        <v>1544400</v>
      </c>
      <c r="W361" s="114">
        <f t="shared" si="13"/>
        <v>1544400</v>
      </c>
    </row>
    <row r="362" spans="1:23">
      <c r="A362" s="122" t="s">
        <v>2301</v>
      </c>
      <c r="B362" s="124">
        <v>3395.2159999999999</v>
      </c>
      <c r="C362" s="124">
        <v>3309.4169999999999</v>
      </c>
      <c r="D362" s="124">
        <v>3261.377</v>
      </c>
      <c r="E362" s="124">
        <v>3171.0369999999998</v>
      </c>
      <c r="F362" s="124">
        <v>497.67140000000001</v>
      </c>
      <c r="G362" s="124">
        <v>493.30500000000001</v>
      </c>
      <c r="H362" s="124">
        <v>493.08940000000001</v>
      </c>
      <c r="I362" s="124">
        <v>493.5147</v>
      </c>
      <c r="J362" s="134">
        <v>708881146</v>
      </c>
      <c r="K362" s="134">
        <v>754635806</v>
      </c>
      <c r="L362" s="124">
        <v>4256.9390000000003</v>
      </c>
      <c r="M362" s="114">
        <v>0</v>
      </c>
      <c r="N362" s="135">
        <v>327.04430000000002</v>
      </c>
      <c r="O362" s="135">
        <v>312.60700000000003</v>
      </c>
      <c r="P362" s="135">
        <v>320.47879999999998</v>
      </c>
      <c r="Q362" s="135">
        <v>308.84039999999999</v>
      </c>
      <c r="R362" s="137">
        <v>1.0900000000000001</v>
      </c>
      <c r="S362" s="120">
        <v>327514</v>
      </c>
      <c r="T362" s="120">
        <v>10606293</v>
      </c>
      <c r="U362" s="120">
        <v>0</v>
      </c>
      <c r="V362" s="114">
        <f t="shared" si="12"/>
        <v>10606293</v>
      </c>
      <c r="W362" s="114">
        <f t="shared" si="13"/>
        <v>10933807</v>
      </c>
    </row>
    <row r="363" spans="1:23">
      <c r="A363" s="122" t="s">
        <v>2313</v>
      </c>
      <c r="B363" s="124">
        <v>36.506999999999998</v>
      </c>
      <c r="C363" s="124">
        <v>39.463999999999999</v>
      </c>
      <c r="D363" s="124">
        <v>38.271999999999998</v>
      </c>
      <c r="E363" s="124">
        <v>28.638999999999999</v>
      </c>
      <c r="F363" s="124">
        <v>8.4064999999999994</v>
      </c>
      <c r="G363" s="124">
        <v>7.4065000000000003</v>
      </c>
      <c r="H363" s="124">
        <v>9.0311000000000003</v>
      </c>
      <c r="I363" s="124">
        <v>7.6519000000000004</v>
      </c>
      <c r="J363" s="134">
        <v>76015347</v>
      </c>
      <c r="K363" s="134">
        <v>76192059</v>
      </c>
      <c r="L363" s="124">
        <v>42.08</v>
      </c>
      <c r="M363" s="134">
        <v>216774</v>
      </c>
      <c r="N363" s="135">
        <v>3.9622999999999999</v>
      </c>
      <c r="O363" s="135">
        <v>3.9622999999999999</v>
      </c>
      <c r="P363" s="135">
        <v>4.1051000000000002</v>
      </c>
      <c r="Q363" s="135">
        <v>4.1898</v>
      </c>
      <c r="R363" s="137">
        <v>1.08</v>
      </c>
      <c r="S363" s="120">
        <v>328663</v>
      </c>
      <c r="T363" s="120">
        <v>806054</v>
      </c>
      <c r="U363" s="120">
        <v>0</v>
      </c>
      <c r="V363" s="114">
        <f t="shared" si="12"/>
        <v>806054</v>
      </c>
      <c r="W363" s="114">
        <f t="shared" si="13"/>
        <v>1134717</v>
      </c>
    </row>
    <row r="364" spans="1:23">
      <c r="A364" s="122" t="s">
        <v>1897</v>
      </c>
      <c r="B364" s="124">
        <v>724.24900000000002</v>
      </c>
      <c r="C364" s="124">
        <v>725.58699999999999</v>
      </c>
      <c r="D364" s="124">
        <v>741.65</v>
      </c>
      <c r="E364" s="124">
        <v>726.40599999999995</v>
      </c>
      <c r="F364" s="124">
        <v>114.2997</v>
      </c>
      <c r="G364" s="124">
        <v>119.48350000000001</v>
      </c>
      <c r="H364" s="124">
        <v>124.56</v>
      </c>
      <c r="I364" s="124">
        <v>127.52119999999999</v>
      </c>
      <c r="J364" s="134">
        <v>66162871</v>
      </c>
      <c r="K364" s="134">
        <v>74459043</v>
      </c>
      <c r="L364" s="124">
        <v>1159.9939999999999</v>
      </c>
      <c r="M364" s="134">
        <v>45715</v>
      </c>
      <c r="N364" s="135">
        <v>79.534000000000006</v>
      </c>
      <c r="O364" s="135">
        <v>84.495199999999997</v>
      </c>
      <c r="P364" s="135">
        <v>86.475700000000003</v>
      </c>
      <c r="Q364" s="135">
        <v>86.360100000000003</v>
      </c>
      <c r="R364" s="137">
        <v>1.08</v>
      </c>
      <c r="S364" s="120">
        <v>80756</v>
      </c>
      <c r="T364" s="120">
        <v>1038525</v>
      </c>
      <c r="U364" s="120">
        <v>0</v>
      </c>
      <c r="V364" s="114">
        <f t="shared" si="12"/>
        <v>1038525</v>
      </c>
      <c r="W364" s="114">
        <f t="shared" si="13"/>
        <v>1119281</v>
      </c>
    </row>
    <row r="365" spans="1:23">
      <c r="A365" s="122" t="s">
        <v>1107</v>
      </c>
      <c r="B365" s="124">
        <v>507.65199999999999</v>
      </c>
      <c r="C365" s="124">
        <v>500.01100000000002</v>
      </c>
      <c r="D365" s="124">
        <v>524.46</v>
      </c>
      <c r="E365" s="124">
        <v>550.56500000000005</v>
      </c>
      <c r="F365" s="124">
        <v>77.854799999999997</v>
      </c>
      <c r="G365" s="124">
        <v>81.903999999999996</v>
      </c>
      <c r="H365" s="124">
        <v>83.903999999999996</v>
      </c>
      <c r="I365" s="124">
        <v>86.903999999999996</v>
      </c>
      <c r="J365" s="134">
        <v>51965958</v>
      </c>
      <c r="K365" s="134">
        <v>57654858</v>
      </c>
      <c r="L365" s="124">
        <v>860.53099999999995</v>
      </c>
      <c r="M365" s="134">
        <v>43845</v>
      </c>
      <c r="N365" s="135">
        <v>55.999299999999998</v>
      </c>
      <c r="O365" s="135">
        <v>55.999400000000001</v>
      </c>
      <c r="P365" s="135">
        <v>60.000900000000001</v>
      </c>
      <c r="Q365" s="135">
        <v>60.999400000000001</v>
      </c>
      <c r="R365" s="137">
        <v>1.07</v>
      </c>
      <c r="S365" s="120">
        <v>45103</v>
      </c>
      <c r="T365" s="120">
        <v>878819</v>
      </c>
      <c r="U365" s="120">
        <v>0</v>
      </c>
      <c r="V365" s="114">
        <f t="shared" si="12"/>
        <v>878819</v>
      </c>
      <c r="W365" s="114">
        <f t="shared" si="13"/>
        <v>923922</v>
      </c>
    </row>
    <row r="366" spans="1:23">
      <c r="A366" s="122" t="s">
        <v>1108</v>
      </c>
      <c r="B366" s="124">
        <v>4264.4229999999998</v>
      </c>
      <c r="C366" s="124">
        <v>4178.9539999999997</v>
      </c>
      <c r="D366" s="124">
        <v>4146.3190000000004</v>
      </c>
      <c r="E366" s="124">
        <v>4206.4560000000001</v>
      </c>
      <c r="F366" s="124">
        <v>603.3501</v>
      </c>
      <c r="G366" s="124">
        <v>596.59339999999997</v>
      </c>
      <c r="H366" s="124">
        <v>600.47299999999996</v>
      </c>
      <c r="I366" s="124">
        <v>587.15629999999999</v>
      </c>
      <c r="J366" s="134">
        <v>774492639</v>
      </c>
      <c r="K366" s="134">
        <v>843772778</v>
      </c>
      <c r="L366" s="124">
        <v>5807.5029999999997</v>
      </c>
      <c r="M366" s="134">
        <v>827231</v>
      </c>
      <c r="N366" s="135">
        <v>370.17419999999998</v>
      </c>
      <c r="O366" s="135">
        <v>365.86599999999999</v>
      </c>
      <c r="P366" s="135">
        <v>376.58940000000001</v>
      </c>
      <c r="Q366" s="135">
        <v>374.24990000000003</v>
      </c>
      <c r="R366" s="137">
        <v>1.1000000000000001</v>
      </c>
      <c r="S366" s="120">
        <v>922964</v>
      </c>
      <c r="T366" s="120">
        <v>11682173</v>
      </c>
      <c r="U366" s="120">
        <v>0</v>
      </c>
      <c r="V366" s="114">
        <f t="shared" si="12"/>
        <v>11682173</v>
      </c>
      <c r="W366" s="114">
        <f t="shared" si="13"/>
        <v>12605137</v>
      </c>
    </row>
    <row r="367" spans="1:23">
      <c r="A367" s="122" t="s">
        <v>1276</v>
      </c>
      <c r="B367" s="124">
        <v>919.803</v>
      </c>
      <c r="C367" s="124">
        <v>950.43799999999999</v>
      </c>
      <c r="D367" s="124">
        <v>951.59699999999998</v>
      </c>
      <c r="E367" s="124">
        <v>975.50099999999998</v>
      </c>
      <c r="F367" s="124">
        <v>121.08580000000001</v>
      </c>
      <c r="G367" s="124">
        <v>134.08420000000001</v>
      </c>
      <c r="H367" s="124">
        <v>141.6396</v>
      </c>
      <c r="I367" s="124">
        <v>151.85</v>
      </c>
      <c r="J367" s="134">
        <v>101623335</v>
      </c>
      <c r="K367" s="134">
        <v>111744801</v>
      </c>
      <c r="L367" s="124">
        <v>1426.79</v>
      </c>
      <c r="M367" s="134">
        <v>113270</v>
      </c>
      <c r="N367" s="135">
        <v>81.964500000000001</v>
      </c>
      <c r="O367" s="135">
        <v>85.984099999999998</v>
      </c>
      <c r="P367" s="135">
        <v>90.400999999999996</v>
      </c>
      <c r="Q367" s="135">
        <v>95.416799999999995</v>
      </c>
      <c r="R367" s="137">
        <v>1.07</v>
      </c>
      <c r="S367" s="120">
        <v>168856</v>
      </c>
      <c r="T367" s="120">
        <v>1645210</v>
      </c>
      <c r="U367" s="120">
        <v>0</v>
      </c>
      <c r="V367" s="114">
        <f t="shared" si="12"/>
        <v>1645210</v>
      </c>
      <c r="W367" s="114">
        <f t="shared" si="13"/>
        <v>1814066</v>
      </c>
    </row>
    <row r="368" spans="1:23">
      <c r="A368" s="122" t="s">
        <v>897</v>
      </c>
      <c r="B368" s="124">
        <v>5617.3850000000002</v>
      </c>
      <c r="C368" s="124">
        <v>5631.8459999999995</v>
      </c>
      <c r="D368" s="124">
        <v>5673.8789999999999</v>
      </c>
      <c r="E368" s="124">
        <v>5745.4889999999996</v>
      </c>
      <c r="F368" s="124">
        <v>815.18299999999999</v>
      </c>
      <c r="G368" s="124">
        <v>762.67039999999997</v>
      </c>
      <c r="H368" s="124">
        <v>595.32659999999998</v>
      </c>
      <c r="I368" s="124">
        <v>637.32910000000004</v>
      </c>
      <c r="J368" s="134">
        <v>1539321512</v>
      </c>
      <c r="K368" s="134">
        <v>1613760566</v>
      </c>
      <c r="L368" s="124">
        <v>7567.7240000000002</v>
      </c>
      <c r="M368" s="134">
        <v>2950434</v>
      </c>
      <c r="N368" s="135">
        <v>521.62980000000005</v>
      </c>
      <c r="O368" s="135">
        <v>507.0872</v>
      </c>
      <c r="P368" s="135">
        <v>508.9076</v>
      </c>
      <c r="Q368" s="135">
        <v>550.5675</v>
      </c>
      <c r="R368" s="137">
        <v>1.1100000000000001</v>
      </c>
      <c r="S368" s="120">
        <v>2889899</v>
      </c>
      <c r="T368" s="120">
        <v>22813743</v>
      </c>
      <c r="U368" s="120">
        <v>0</v>
      </c>
      <c r="V368" s="114">
        <f t="shared" si="12"/>
        <v>22813743</v>
      </c>
      <c r="W368" s="114">
        <f t="shared" si="13"/>
        <v>25703642</v>
      </c>
    </row>
    <row r="369" spans="1:23">
      <c r="A369" s="122" t="s">
        <v>898</v>
      </c>
      <c r="B369" s="124">
        <v>126.639</v>
      </c>
      <c r="C369" s="124">
        <v>139.708</v>
      </c>
      <c r="D369" s="124">
        <v>135.489</v>
      </c>
      <c r="E369" s="124">
        <v>152.03399999999999</v>
      </c>
      <c r="F369" s="124">
        <v>20.930499999999999</v>
      </c>
      <c r="G369" s="124">
        <v>22.6952</v>
      </c>
      <c r="H369" s="124">
        <v>23.930599999999998</v>
      </c>
      <c r="I369" s="124">
        <v>21.9251</v>
      </c>
      <c r="J369" s="134">
        <v>29682664</v>
      </c>
      <c r="K369" s="134">
        <v>32271540</v>
      </c>
      <c r="L369" s="124">
        <v>256.702</v>
      </c>
      <c r="M369" s="114">
        <v>0</v>
      </c>
      <c r="N369" s="135">
        <v>15.000299999999999</v>
      </c>
      <c r="O369" s="135">
        <v>15.5831</v>
      </c>
      <c r="P369" s="135">
        <v>16.7637</v>
      </c>
      <c r="Q369" s="135">
        <v>15.0007</v>
      </c>
      <c r="R369" s="137">
        <v>1.08</v>
      </c>
      <c r="S369" s="120">
        <v>0</v>
      </c>
      <c r="T369" s="120">
        <v>529164</v>
      </c>
      <c r="U369" s="120">
        <v>0</v>
      </c>
      <c r="V369" s="114">
        <f t="shared" si="12"/>
        <v>529164</v>
      </c>
      <c r="W369" s="114">
        <f t="shared" si="13"/>
        <v>529164</v>
      </c>
    </row>
    <row r="370" spans="1:23">
      <c r="A370" s="122" t="s">
        <v>1404</v>
      </c>
      <c r="B370" s="124">
        <v>1079.1199999999999</v>
      </c>
      <c r="C370" s="124">
        <v>1125.0709999999999</v>
      </c>
      <c r="D370" s="124">
        <v>1208.8989999999999</v>
      </c>
      <c r="E370" s="124">
        <v>1239.444</v>
      </c>
      <c r="F370" s="124">
        <v>121.49250000000001</v>
      </c>
      <c r="G370" s="124">
        <v>135.16030000000001</v>
      </c>
      <c r="H370" s="124">
        <v>147.40620000000001</v>
      </c>
      <c r="I370" s="124">
        <v>150.6122</v>
      </c>
      <c r="J370" s="134">
        <v>176896262</v>
      </c>
      <c r="K370" s="134">
        <v>190085575</v>
      </c>
      <c r="L370" s="124">
        <v>1647.201</v>
      </c>
      <c r="M370" s="134">
        <v>172908</v>
      </c>
      <c r="N370" s="135">
        <v>86.884799999999998</v>
      </c>
      <c r="O370" s="135">
        <v>94.734999999999999</v>
      </c>
      <c r="P370" s="135">
        <v>101.88630000000001</v>
      </c>
      <c r="Q370" s="135">
        <v>97.4148</v>
      </c>
      <c r="R370" s="137">
        <v>1.07</v>
      </c>
      <c r="S370" s="120">
        <v>713989</v>
      </c>
      <c r="T370" s="120">
        <v>2930359</v>
      </c>
      <c r="U370" s="120">
        <v>0</v>
      </c>
      <c r="V370" s="114">
        <f t="shared" si="12"/>
        <v>2930359</v>
      </c>
      <c r="W370" s="114">
        <f t="shared" si="13"/>
        <v>3644348</v>
      </c>
    </row>
    <row r="371" spans="1:23">
      <c r="A371" s="122" t="s">
        <v>1405</v>
      </c>
      <c r="B371" s="124">
        <v>1434.645</v>
      </c>
      <c r="C371" s="124">
        <v>1448.51</v>
      </c>
      <c r="D371" s="124">
        <v>1458.6469999999999</v>
      </c>
      <c r="E371" s="124">
        <v>1472.01</v>
      </c>
      <c r="F371" s="124">
        <v>200.18199999999999</v>
      </c>
      <c r="G371" s="124">
        <v>189.54560000000001</v>
      </c>
      <c r="H371" s="124">
        <v>191.2611</v>
      </c>
      <c r="I371" s="124">
        <v>189.58860000000001</v>
      </c>
      <c r="J371" s="134">
        <v>205832455</v>
      </c>
      <c r="K371" s="134">
        <v>228737190</v>
      </c>
      <c r="L371" s="124">
        <v>2073.2280000000001</v>
      </c>
      <c r="M371" s="134">
        <v>373100</v>
      </c>
      <c r="N371" s="135">
        <v>139.21190000000001</v>
      </c>
      <c r="O371" s="135">
        <v>130.83500000000001</v>
      </c>
      <c r="P371" s="135">
        <v>128.9819</v>
      </c>
      <c r="Q371" s="135">
        <v>130.3289</v>
      </c>
      <c r="R371" s="137">
        <v>1.08</v>
      </c>
      <c r="S371" s="120">
        <v>498553</v>
      </c>
      <c r="T371" s="120">
        <v>3256653</v>
      </c>
      <c r="U371" s="120">
        <v>0</v>
      </c>
      <c r="V371" s="114">
        <f t="shared" si="12"/>
        <v>3256653</v>
      </c>
      <c r="W371" s="114">
        <f t="shared" si="13"/>
        <v>3755206</v>
      </c>
    </row>
    <row r="372" spans="1:23">
      <c r="A372" s="122" t="s">
        <v>1650</v>
      </c>
      <c r="B372" s="124">
        <v>618.05399999999997</v>
      </c>
      <c r="C372" s="124">
        <v>652.02200000000005</v>
      </c>
      <c r="D372" s="124">
        <v>683.846</v>
      </c>
      <c r="E372" s="124">
        <v>720.00199999999995</v>
      </c>
      <c r="F372" s="124">
        <v>91.7166</v>
      </c>
      <c r="G372" s="124">
        <v>91.7166</v>
      </c>
      <c r="H372" s="124">
        <v>94.962599999999995</v>
      </c>
      <c r="I372" s="124">
        <v>98</v>
      </c>
      <c r="J372" s="134">
        <v>75868374</v>
      </c>
      <c r="K372" s="134">
        <v>83207356</v>
      </c>
      <c r="L372" s="124">
        <v>1127.7070000000001</v>
      </c>
      <c r="M372" s="134">
        <v>75573</v>
      </c>
      <c r="N372" s="135">
        <v>64.954099999999997</v>
      </c>
      <c r="O372" s="135">
        <v>65.072999999999993</v>
      </c>
      <c r="P372" s="135">
        <v>68.964699999999993</v>
      </c>
      <c r="Q372" s="135">
        <v>69.161500000000004</v>
      </c>
      <c r="R372" s="137">
        <v>1.07</v>
      </c>
      <c r="S372" s="120">
        <v>85382</v>
      </c>
      <c r="T372" s="120">
        <v>1239460</v>
      </c>
      <c r="U372" s="120">
        <v>0</v>
      </c>
      <c r="V372" s="114">
        <f t="shared" si="12"/>
        <v>1239460</v>
      </c>
      <c r="W372" s="114">
        <f t="shared" si="13"/>
        <v>1324842</v>
      </c>
    </row>
    <row r="373" spans="1:23">
      <c r="A373" s="122" t="s">
        <v>243</v>
      </c>
      <c r="B373" s="124">
        <v>1226.47</v>
      </c>
      <c r="C373" s="124">
        <v>1261.146</v>
      </c>
      <c r="D373" s="124">
        <v>1261.078</v>
      </c>
      <c r="E373" s="124">
        <v>1255.3810000000001</v>
      </c>
      <c r="F373" s="124">
        <v>166.8586</v>
      </c>
      <c r="G373" s="124">
        <v>178.98150000000001</v>
      </c>
      <c r="H373" s="124">
        <v>192.90270000000001</v>
      </c>
      <c r="I373" s="124">
        <v>190.59229999999999</v>
      </c>
      <c r="J373" s="134">
        <v>317088768</v>
      </c>
      <c r="K373" s="134">
        <v>337712107</v>
      </c>
      <c r="L373" s="124">
        <v>1763.69</v>
      </c>
      <c r="M373" s="134">
        <v>535301</v>
      </c>
      <c r="N373" s="135">
        <v>110.85120000000001</v>
      </c>
      <c r="O373" s="135">
        <v>117.19759999999999</v>
      </c>
      <c r="P373" s="135">
        <v>125.41719999999999</v>
      </c>
      <c r="Q373" s="135">
        <v>123.6147</v>
      </c>
      <c r="R373" s="137">
        <v>1.07</v>
      </c>
      <c r="S373" s="120">
        <v>659090</v>
      </c>
      <c r="T373" s="120">
        <v>5203821</v>
      </c>
      <c r="U373" s="120">
        <v>0</v>
      </c>
      <c r="V373" s="114">
        <f t="shared" si="12"/>
        <v>5203821</v>
      </c>
      <c r="W373" s="114">
        <f t="shared" si="13"/>
        <v>5862911</v>
      </c>
    </row>
    <row r="374" spans="1:23">
      <c r="A374" s="122" t="s">
        <v>2977</v>
      </c>
      <c r="B374" s="124">
        <v>846.56799999999998</v>
      </c>
      <c r="C374" s="124">
        <v>836.05100000000004</v>
      </c>
      <c r="D374" s="124">
        <v>844.11800000000005</v>
      </c>
      <c r="E374" s="124">
        <v>851.11599999999999</v>
      </c>
      <c r="F374" s="124">
        <v>107.7114</v>
      </c>
      <c r="G374" s="124">
        <v>115.8561</v>
      </c>
      <c r="H374" s="124">
        <v>114.9952</v>
      </c>
      <c r="I374" s="124">
        <v>119.21980000000001</v>
      </c>
      <c r="J374" s="134">
        <v>183444337</v>
      </c>
      <c r="K374" s="134">
        <v>194176574</v>
      </c>
      <c r="L374" s="124">
        <v>1280.191</v>
      </c>
      <c r="M374" s="134">
        <v>361703</v>
      </c>
      <c r="N374" s="135">
        <v>69.2089</v>
      </c>
      <c r="O374" s="135">
        <v>75.055599999999998</v>
      </c>
      <c r="P374" s="135">
        <v>74.004499999999993</v>
      </c>
      <c r="Q374" s="135">
        <v>73.846999999999994</v>
      </c>
      <c r="R374" s="137">
        <v>1.07</v>
      </c>
      <c r="S374" s="120">
        <v>363729</v>
      </c>
      <c r="T374" s="120">
        <v>2575880</v>
      </c>
      <c r="U374" s="120">
        <v>0</v>
      </c>
      <c r="V374" s="114">
        <f t="shared" si="12"/>
        <v>2575880</v>
      </c>
      <c r="W374" s="114">
        <f t="shared" si="13"/>
        <v>2939609</v>
      </c>
    </row>
    <row r="375" spans="1:23">
      <c r="A375" s="122" t="s">
        <v>1483</v>
      </c>
      <c r="B375" s="124">
        <v>620.45500000000004</v>
      </c>
      <c r="C375" s="124">
        <v>647.15800000000002</v>
      </c>
      <c r="D375" s="124">
        <v>682.26599999999996</v>
      </c>
      <c r="E375" s="124">
        <v>732.18</v>
      </c>
      <c r="F375" s="124">
        <v>134.53559999999999</v>
      </c>
      <c r="G375" s="124">
        <v>145.4487</v>
      </c>
      <c r="H375" s="124">
        <v>130.99469999999999</v>
      </c>
      <c r="I375" s="124">
        <v>165.34309999999999</v>
      </c>
      <c r="J375" s="134">
        <v>72813129</v>
      </c>
      <c r="K375" s="134">
        <v>76348312</v>
      </c>
      <c r="L375" s="124">
        <v>1177.44</v>
      </c>
      <c r="M375" s="134">
        <v>43941</v>
      </c>
      <c r="N375" s="135">
        <v>92.610500000000002</v>
      </c>
      <c r="O375" s="135">
        <v>101.4682</v>
      </c>
      <c r="P375" s="135">
        <v>107.9593</v>
      </c>
      <c r="Q375" s="135">
        <v>110.52200000000001</v>
      </c>
      <c r="R375" s="137">
        <v>1.06</v>
      </c>
      <c r="S375" s="120">
        <v>94486</v>
      </c>
      <c r="T375" s="120">
        <v>1165285</v>
      </c>
      <c r="U375" s="120">
        <v>0</v>
      </c>
      <c r="V375" s="114">
        <f t="shared" si="12"/>
        <v>1165285</v>
      </c>
      <c r="W375" s="114">
        <f t="shared" si="13"/>
        <v>1259771</v>
      </c>
    </row>
    <row r="376" spans="1:23">
      <c r="A376" s="122" t="s">
        <v>1461</v>
      </c>
      <c r="B376" s="124">
        <v>778.54</v>
      </c>
      <c r="C376" s="124">
        <v>784.61300000000006</v>
      </c>
      <c r="D376" s="124">
        <v>780.43499999999995</v>
      </c>
      <c r="E376" s="124">
        <v>808.89499999999998</v>
      </c>
      <c r="F376" s="124">
        <v>110.8182</v>
      </c>
      <c r="G376" s="124">
        <v>112.57769999999999</v>
      </c>
      <c r="H376" s="124">
        <v>116.337</v>
      </c>
      <c r="I376" s="124">
        <v>119.377</v>
      </c>
      <c r="J376" s="134">
        <v>78209287</v>
      </c>
      <c r="K376" s="134">
        <v>87472529</v>
      </c>
      <c r="L376" s="124">
        <v>1225.32</v>
      </c>
      <c r="M376" s="134">
        <v>99836</v>
      </c>
      <c r="N376" s="135">
        <v>75.679599999999994</v>
      </c>
      <c r="O376" s="135">
        <v>78.388099999999994</v>
      </c>
      <c r="P376" s="135">
        <v>78.250299999999996</v>
      </c>
      <c r="Q376" s="135">
        <v>79.986900000000006</v>
      </c>
      <c r="R376" s="137">
        <v>1.08</v>
      </c>
      <c r="S376" s="120">
        <v>101431</v>
      </c>
      <c r="T376" s="120">
        <v>1173976</v>
      </c>
      <c r="U376" s="120">
        <v>0</v>
      </c>
      <c r="V376" s="114">
        <f t="shared" si="12"/>
        <v>1173976</v>
      </c>
      <c r="W376" s="114">
        <f t="shared" si="13"/>
        <v>1275407</v>
      </c>
    </row>
    <row r="377" spans="1:23">
      <c r="A377" s="122" t="s">
        <v>1462</v>
      </c>
      <c r="B377" s="124">
        <v>1990.4449999999999</v>
      </c>
      <c r="C377" s="124">
        <v>1937.6990000000001</v>
      </c>
      <c r="D377" s="124">
        <v>1978.213</v>
      </c>
      <c r="E377" s="124">
        <v>2026.578</v>
      </c>
      <c r="F377" s="124">
        <v>332.33390000000003</v>
      </c>
      <c r="G377" s="124">
        <v>334.93520000000001</v>
      </c>
      <c r="H377" s="124">
        <v>344.95119999999997</v>
      </c>
      <c r="I377" s="124">
        <v>328.37959999999998</v>
      </c>
      <c r="J377" s="134">
        <v>356504631</v>
      </c>
      <c r="K377" s="134">
        <v>380703416</v>
      </c>
      <c r="L377" s="124">
        <v>3049.4369999999999</v>
      </c>
      <c r="M377" s="134">
        <v>215542</v>
      </c>
      <c r="N377" s="135">
        <v>222.2396</v>
      </c>
      <c r="O377" s="135">
        <v>220.70160000000001</v>
      </c>
      <c r="P377" s="135">
        <v>225.36170000000001</v>
      </c>
      <c r="Q377" s="135">
        <v>214.89330000000001</v>
      </c>
      <c r="R377" s="137">
        <v>1.06</v>
      </c>
      <c r="S377" s="120">
        <v>221488</v>
      </c>
      <c r="T377" s="120">
        <v>4975531</v>
      </c>
      <c r="U377" s="120">
        <v>0</v>
      </c>
      <c r="V377" s="114">
        <f t="shared" si="12"/>
        <v>4975531</v>
      </c>
      <c r="W377" s="114">
        <f t="shared" si="13"/>
        <v>5197019</v>
      </c>
    </row>
    <row r="378" spans="1:23">
      <c r="A378" s="122" t="s">
        <v>1463</v>
      </c>
      <c r="B378" s="124">
        <v>3374.03</v>
      </c>
      <c r="C378" s="124">
        <v>3364.6309999999999</v>
      </c>
      <c r="D378" s="124">
        <v>3328.0630000000001</v>
      </c>
      <c r="E378" s="124">
        <v>3370.375</v>
      </c>
      <c r="F378" s="124">
        <v>466.11169999999998</v>
      </c>
      <c r="G378" s="124">
        <v>487.2242</v>
      </c>
      <c r="H378" s="124">
        <v>505.40750000000003</v>
      </c>
      <c r="I378" s="124">
        <v>514.51049999999998</v>
      </c>
      <c r="J378" s="134">
        <v>684932634</v>
      </c>
      <c r="K378" s="134">
        <v>728994545</v>
      </c>
      <c r="L378" s="124">
        <v>4561.241</v>
      </c>
      <c r="M378" s="134">
        <v>831895</v>
      </c>
      <c r="N378" s="135">
        <v>298.13440000000003</v>
      </c>
      <c r="O378" s="135">
        <v>319.5881</v>
      </c>
      <c r="P378" s="135">
        <v>330.95060000000001</v>
      </c>
      <c r="Q378" s="135">
        <v>338.83339999999998</v>
      </c>
      <c r="R378" s="137">
        <v>1.07</v>
      </c>
      <c r="S378" s="120">
        <v>880588</v>
      </c>
      <c r="T378" s="120">
        <v>10862150</v>
      </c>
      <c r="U378" s="120">
        <v>0</v>
      </c>
      <c r="V378" s="114">
        <f t="shared" si="12"/>
        <v>10862150</v>
      </c>
      <c r="W378" s="114">
        <f t="shared" si="13"/>
        <v>11742738</v>
      </c>
    </row>
    <row r="379" spans="1:23">
      <c r="A379" s="122" t="s">
        <v>498</v>
      </c>
      <c r="B379" s="124">
        <v>7879.9520000000002</v>
      </c>
      <c r="C379" s="124">
        <v>7831.7610000000004</v>
      </c>
      <c r="D379" s="124">
        <v>7875.1049999999996</v>
      </c>
      <c r="E379" s="124">
        <v>7686.415</v>
      </c>
      <c r="F379" s="124">
        <v>1227.6027999999999</v>
      </c>
      <c r="G379" s="124">
        <v>1262.6872000000001</v>
      </c>
      <c r="H379" s="124">
        <v>1239.0758000000001</v>
      </c>
      <c r="I379" s="124">
        <v>1224.6683</v>
      </c>
      <c r="J379" s="134">
        <v>2325742115</v>
      </c>
      <c r="K379" s="134">
        <v>2429191126</v>
      </c>
      <c r="L379" s="124">
        <v>10426.264999999999</v>
      </c>
      <c r="M379" s="134">
        <v>1324907</v>
      </c>
      <c r="N379" s="135">
        <v>758.55200000000002</v>
      </c>
      <c r="O379" s="135">
        <v>758.04809999999998</v>
      </c>
      <c r="P379" s="135">
        <v>739.48199999999997</v>
      </c>
      <c r="Q379" s="135">
        <v>738.33900000000006</v>
      </c>
      <c r="R379" s="137">
        <v>1.0900000000000001</v>
      </c>
      <c r="S379" s="120">
        <v>1304272</v>
      </c>
      <c r="T379" s="120">
        <v>35689548</v>
      </c>
      <c r="U379" s="120">
        <v>0</v>
      </c>
      <c r="V379" s="114">
        <f t="shared" si="12"/>
        <v>35689548</v>
      </c>
      <c r="W379" s="114">
        <f t="shared" si="13"/>
        <v>36993820</v>
      </c>
    </row>
    <row r="380" spans="1:23">
      <c r="A380" s="122" t="s">
        <v>2504</v>
      </c>
      <c r="B380" s="124">
        <v>4400.5889999999999</v>
      </c>
      <c r="C380" s="124">
        <v>4366.6149999999998</v>
      </c>
      <c r="D380" s="124">
        <v>4423.3500000000004</v>
      </c>
      <c r="E380" s="124">
        <v>4371.3540000000003</v>
      </c>
      <c r="F380" s="124">
        <v>578.84460000000001</v>
      </c>
      <c r="G380" s="124">
        <v>590.90269999999998</v>
      </c>
      <c r="H380" s="124">
        <v>605.93050000000005</v>
      </c>
      <c r="I380" s="124">
        <v>622.76059999999995</v>
      </c>
      <c r="J380" s="134">
        <v>1079338600</v>
      </c>
      <c r="K380" s="134">
        <v>1134686500</v>
      </c>
      <c r="L380" s="124">
        <v>5531.5739999999996</v>
      </c>
      <c r="M380" s="134">
        <v>1395499</v>
      </c>
      <c r="N380" s="135">
        <v>360.3963</v>
      </c>
      <c r="O380" s="135">
        <v>369.6207</v>
      </c>
      <c r="P380" s="135">
        <v>397.68950000000001</v>
      </c>
      <c r="Q380" s="135">
        <v>401.07249999999999</v>
      </c>
      <c r="R380" s="137">
        <v>1.08</v>
      </c>
      <c r="S380" s="120">
        <v>1460258</v>
      </c>
      <c r="T380" s="120">
        <v>15456725</v>
      </c>
      <c r="U380" s="120">
        <v>0</v>
      </c>
      <c r="V380" s="114">
        <f t="shared" si="12"/>
        <v>15456725</v>
      </c>
      <c r="W380" s="114">
        <f t="shared" si="13"/>
        <v>16916983</v>
      </c>
    </row>
    <row r="381" spans="1:23">
      <c r="A381" s="122" t="s">
        <v>3035</v>
      </c>
      <c r="B381" s="124">
        <v>1255.4449999999999</v>
      </c>
      <c r="C381" s="124">
        <v>1251.6489999999999</v>
      </c>
      <c r="D381" s="124">
        <v>1250.558</v>
      </c>
      <c r="E381" s="124">
        <v>1251.4590000000001</v>
      </c>
      <c r="F381" s="124">
        <v>216.6773</v>
      </c>
      <c r="G381" s="124">
        <v>220.804</v>
      </c>
      <c r="H381" s="124">
        <v>224.14150000000001</v>
      </c>
      <c r="I381" s="124">
        <v>233.79470000000001</v>
      </c>
      <c r="J381" s="134">
        <v>171480475</v>
      </c>
      <c r="K381" s="134">
        <v>185300455</v>
      </c>
      <c r="L381" s="124">
        <v>1786.6590000000001</v>
      </c>
      <c r="M381" s="114">
        <v>0</v>
      </c>
      <c r="N381" s="135">
        <v>127.9708</v>
      </c>
      <c r="O381" s="135">
        <v>130.9854</v>
      </c>
      <c r="P381" s="135">
        <v>133.06970000000001</v>
      </c>
      <c r="Q381" s="135">
        <v>142.98060000000001</v>
      </c>
      <c r="R381" s="137">
        <v>1.05</v>
      </c>
      <c r="S381" s="120">
        <v>0</v>
      </c>
      <c r="T381" s="120">
        <v>2532303</v>
      </c>
      <c r="U381" s="120">
        <v>0</v>
      </c>
      <c r="V381" s="114">
        <f t="shared" si="12"/>
        <v>2532303</v>
      </c>
      <c r="W381" s="114">
        <f t="shared" si="13"/>
        <v>2532303</v>
      </c>
    </row>
    <row r="382" spans="1:23">
      <c r="A382" s="122" t="s">
        <v>1702</v>
      </c>
      <c r="B382" s="124">
        <v>1530.278</v>
      </c>
      <c r="C382" s="124">
        <v>1515.2560000000001</v>
      </c>
      <c r="D382" s="124">
        <v>1543.461</v>
      </c>
      <c r="E382" s="124">
        <v>1583.76</v>
      </c>
      <c r="F382" s="124">
        <v>180.19470000000001</v>
      </c>
      <c r="G382" s="124">
        <v>191.28460000000001</v>
      </c>
      <c r="H382" s="124">
        <v>191.52940000000001</v>
      </c>
      <c r="I382" s="124">
        <v>188.71600000000001</v>
      </c>
      <c r="J382" s="134">
        <v>202560639</v>
      </c>
      <c r="K382" s="134">
        <v>217283189</v>
      </c>
      <c r="L382" s="124">
        <v>1993.845</v>
      </c>
      <c r="M382" s="134">
        <v>143976</v>
      </c>
      <c r="N382" s="135">
        <v>131.45410000000001</v>
      </c>
      <c r="O382" s="135">
        <v>134.1763</v>
      </c>
      <c r="P382" s="135">
        <v>135.72559999999999</v>
      </c>
      <c r="Q382" s="135">
        <v>134.9958</v>
      </c>
      <c r="R382" s="137">
        <v>1.05</v>
      </c>
      <c r="S382" s="120">
        <v>282139</v>
      </c>
      <c r="T382" s="120">
        <v>2933107</v>
      </c>
      <c r="U382" s="120">
        <v>0</v>
      </c>
      <c r="V382" s="114">
        <f t="shared" si="12"/>
        <v>2933107</v>
      </c>
      <c r="W382" s="114">
        <f t="shared" si="13"/>
        <v>3215246</v>
      </c>
    </row>
    <row r="383" spans="1:23">
      <c r="A383" s="122" t="s">
        <v>3036</v>
      </c>
      <c r="B383" s="124">
        <v>1315.153</v>
      </c>
      <c r="C383" s="124">
        <v>1324.5540000000001</v>
      </c>
      <c r="D383" s="124">
        <v>1300.7860000000001</v>
      </c>
      <c r="E383" s="124">
        <v>1264.7539999999999</v>
      </c>
      <c r="F383" s="124">
        <v>166.65260000000001</v>
      </c>
      <c r="G383" s="124">
        <v>160.67760000000001</v>
      </c>
      <c r="H383" s="124">
        <v>164.47489999999999</v>
      </c>
      <c r="I383" s="124">
        <v>158.3218</v>
      </c>
      <c r="J383" s="134">
        <v>198635438</v>
      </c>
      <c r="K383" s="134">
        <v>212048848</v>
      </c>
      <c r="L383" s="124">
        <v>1625.6279999999999</v>
      </c>
      <c r="M383" s="134">
        <v>121239</v>
      </c>
      <c r="N383" s="135">
        <v>102.2308</v>
      </c>
      <c r="O383" s="135">
        <v>103.6915</v>
      </c>
      <c r="P383" s="135">
        <v>107.14490000000001</v>
      </c>
      <c r="Q383" s="135">
        <v>98.811400000000006</v>
      </c>
      <c r="R383" s="137">
        <v>1.05</v>
      </c>
      <c r="S383" s="120">
        <v>127320</v>
      </c>
      <c r="T383" s="120">
        <v>2876034</v>
      </c>
      <c r="U383" s="120">
        <v>0</v>
      </c>
      <c r="V383" s="114">
        <f t="shared" si="12"/>
        <v>2876034</v>
      </c>
      <c r="W383" s="114">
        <f t="shared" si="13"/>
        <v>3003354</v>
      </c>
    </row>
    <row r="384" spans="1:23">
      <c r="A384" s="122" t="s">
        <v>3037</v>
      </c>
      <c r="B384" s="124">
        <v>531.45799999999997</v>
      </c>
      <c r="C384" s="124">
        <v>514.45299999999997</v>
      </c>
      <c r="D384" s="124">
        <v>548.404</v>
      </c>
      <c r="E384" s="124">
        <v>533.21299999999997</v>
      </c>
      <c r="F384" s="124">
        <v>100.23009999999999</v>
      </c>
      <c r="G384" s="124">
        <v>94.7727</v>
      </c>
      <c r="H384" s="124">
        <v>88.125600000000006</v>
      </c>
      <c r="I384" s="124">
        <v>83.537300000000002</v>
      </c>
      <c r="J384" s="134">
        <v>380908879</v>
      </c>
      <c r="K384" s="134">
        <v>387008467</v>
      </c>
      <c r="L384" s="124">
        <v>843.01599999999996</v>
      </c>
      <c r="M384" s="134">
        <v>381500</v>
      </c>
      <c r="N384" s="135">
        <v>63.824399999999997</v>
      </c>
      <c r="O384" s="135">
        <v>64.492099999999994</v>
      </c>
      <c r="P384" s="135">
        <v>56.158200000000001</v>
      </c>
      <c r="Q384" s="135">
        <v>52.002000000000002</v>
      </c>
      <c r="R384" s="137">
        <v>1.08</v>
      </c>
      <c r="S384" s="120">
        <v>184447</v>
      </c>
      <c r="T384" s="120">
        <v>5301030</v>
      </c>
      <c r="U384" s="120">
        <v>0</v>
      </c>
      <c r="V384" s="114">
        <f t="shared" si="12"/>
        <v>5301030</v>
      </c>
      <c r="W384" s="114">
        <f t="shared" si="13"/>
        <v>5485477</v>
      </c>
    </row>
    <row r="385" spans="1:23">
      <c r="A385" s="122" t="s">
        <v>3038</v>
      </c>
      <c r="B385" s="124">
        <v>430.202</v>
      </c>
      <c r="C385" s="124">
        <v>417.351</v>
      </c>
      <c r="D385" s="124">
        <v>417.40899999999999</v>
      </c>
      <c r="E385" s="124">
        <v>421.84100000000001</v>
      </c>
      <c r="F385" s="124">
        <v>71.5989</v>
      </c>
      <c r="G385" s="124">
        <v>76.823499999999996</v>
      </c>
      <c r="H385" s="124">
        <v>72.5</v>
      </c>
      <c r="I385" s="124">
        <v>73.462599999999995</v>
      </c>
      <c r="J385" s="134">
        <v>62385602</v>
      </c>
      <c r="K385" s="134">
        <v>67503832</v>
      </c>
      <c r="L385" s="124">
        <v>689.85900000000004</v>
      </c>
      <c r="M385" s="114">
        <v>0</v>
      </c>
      <c r="N385" s="135">
        <v>45.895000000000003</v>
      </c>
      <c r="O385" s="135">
        <v>47.333100000000002</v>
      </c>
      <c r="P385" s="135">
        <v>43.0002</v>
      </c>
      <c r="Q385" s="135">
        <v>47.0015</v>
      </c>
      <c r="R385" s="137">
        <v>1.07</v>
      </c>
      <c r="S385" s="120">
        <v>767</v>
      </c>
      <c r="T385" s="120">
        <v>955097</v>
      </c>
      <c r="U385" s="120">
        <v>0</v>
      </c>
      <c r="V385" s="114">
        <f t="shared" si="12"/>
        <v>955097</v>
      </c>
      <c r="W385" s="114">
        <f t="shared" si="13"/>
        <v>955864</v>
      </c>
    </row>
    <row r="386" spans="1:23">
      <c r="A386" s="122" t="s">
        <v>3039</v>
      </c>
      <c r="B386" s="124">
        <v>2945.0970000000002</v>
      </c>
      <c r="C386" s="124">
        <v>2904.34</v>
      </c>
      <c r="D386" s="124">
        <v>2840.1759999999999</v>
      </c>
      <c r="E386" s="124">
        <v>2807.7089999999998</v>
      </c>
      <c r="F386" s="124">
        <v>421.80700000000002</v>
      </c>
      <c r="G386" s="124">
        <v>417.55630000000002</v>
      </c>
      <c r="H386" s="124">
        <v>420.58949999999999</v>
      </c>
      <c r="I386" s="124">
        <v>415.32749999999999</v>
      </c>
      <c r="J386" s="134">
        <v>599234082</v>
      </c>
      <c r="K386" s="134">
        <v>628096242</v>
      </c>
      <c r="L386" s="124">
        <v>3896.6019999999999</v>
      </c>
      <c r="M386" s="134">
        <v>491812</v>
      </c>
      <c r="N386" s="135">
        <v>295.40449999999998</v>
      </c>
      <c r="O386" s="135">
        <v>292.79539999999997</v>
      </c>
      <c r="P386" s="135">
        <v>287.44170000000003</v>
      </c>
      <c r="Q386" s="135">
        <v>286.26850000000002</v>
      </c>
      <c r="R386" s="137">
        <v>1.1100000000000001</v>
      </c>
      <c r="S386" s="120">
        <v>638630</v>
      </c>
      <c r="T386" s="120">
        <v>8922194</v>
      </c>
      <c r="U386" s="120">
        <v>0</v>
      </c>
      <c r="V386" s="114">
        <f t="shared" si="12"/>
        <v>8922194</v>
      </c>
      <c r="W386" s="114">
        <f t="shared" si="13"/>
        <v>9560824</v>
      </c>
    </row>
    <row r="387" spans="1:23">
      <c r="A387" s="122" t="s">
        <v>2456</v>
      </c>
      <c r="B387" s="124">
        <v>159.58000000000001</v>
      </c>
      <c r="C387" s="124">
        <v>152.71199999999999</v>
      </c>
      <c r="D387" s="124">
        <v>157.62299999999999</v>
      </c>
      <c r="E387" s="124">
        <v>160.07300000000001</v>
      </c>
      <c r="F387" s="124">
        <v>28</v>
      </c>
      <c r="G387" s="124">
        <v>31.2941</v>
      </c>
      <c r="H387" s="124">
        <v>31.385000000000002</v>
      </c>
      <c r="I387" s="124">
        <v>28.0962</v>
      </c>
      <c r="J387" s="134">
        <v>53823955</v>
      </c>
      <c r="K387" s="134">
        <v>57232878</v>
      </c>
      <c r="L387" s="124">
        <v>278.70999999999998</v>
      </c>
      <c r="M387" s="114">
        <v>0</v>
      </c>
      <c r="N387" s="135">
        <v>20.000699999999998</v>
      </c>
      <c r="O387" s="135">
        <v>21.000399999999999</v>
      </c>
      <c r="P387" s="135">
        <v>20.001300000000001</v>
      </c>
      <c r="Q387" s="135">
        <v>16.8673</v>
      </c>
      <c r="R387" s="137">
        <v>1.1000000000000001</v>
      </c>
      <c r="S387" s="120">
        <v>0</v>
      </c>
      <c r="T387" s="120">
        <v>787696</v>
      </c>
      <c r="U387" s="120">
        <v>0</v>
      </c>
      <c r="V387" s="114">
        <f t="shared" si="12"/>
        <v>787696</v>
      </c>
      <c r="W387" s="114">
        <f t="shared" si="13"/>
        <v>787696</v>
      </c>
    </row>
    <row r="388" spans="1:23">
      <c r="A388" s="122" t="s">
        <v>537</v>
      </c>
      <c r="B388" s="124">
        <v>6914.4250000000002</v>
      </c>
      <c r="C388" s="124">
        <v>6973.5609999999997</v>
      </c>
      <c r="D388" s="124">
        <v>6987.375</v>
      </c>
      <c r="E388" s="124">
        <v>6966.6440000000002</v>
      </c>
      <c r="F388" s="124">
        <v>1027.7674999999999</v>
      </c>
      <c r="G388" s="124">
        <v>1060.7991999999999</v>
      </c>
      <c r="H388" s="124">
        <v>1086.4245000000001</v>
      </c>
      <c r="I388" s="124">
        <v>1090.6478</v>
      </c>
      <c r="J388" s="134">
        <v>1254745610</v>
      </c>
      <c r="K388" s="134">
        <v>1337602266</v>
      </c>
      <c r="L388" s="124">
        <v>9363.57</v>
      </c>
      <c r="M388" s="134">
        <v>1140545</v>
      </c>
      <c r="N388" s="135">
        <v>672.85929999999996</v>
      </c>
      <c r="O388" s="135">
        <v>683.37750000000005</v>
      </c>
      <c r="P388" s="135">
        <v>698.92759999999998</v>
      </c>
      <c r="Q388" s="135">
        <v>716.94659999999999</v>
      </c>
      <c r="R388" s="137">
        <v>1.0900000000000001</v>
      </c>
      <c r="S388" s="120">
        <v>2734384</v>
      </c>
      <c r="T388" s="120">
        <v>22261564</v>
      </c>
      <c r="U388" s="120">
        <v>0</v>
      </c>
      <c r="V388" s="114">
        <f t="shared" si="12"/>
        <v>22261564</v>
      </c>
      <c r="W388" s="114">
        <f t="shared" si="13"/>
        <v>24995948</v>
      </c>
    </row>
    <row r="389" spans="1:23">
      <c r="A389" s="122" t="s">
        <v>535</v>
      </c>
      <c r="B389" s="124">
        <v>5871.0290000000005</v>
      </c>
      <c r="C389" s="124">
        <v>6088.6090000000004</v>
      </c>
      <c r="D389" s="124">
        <v>6071.6559999999999</v>
      </c>
      <c r="E389" s="124">
        <v>6358.0510000000004</v>
      </c>
      <c r="F389" s="124">
        <v>845.57029999999997</v>
      </c>
      <c r="G389" s="124">
        <v>849.74890000000005</v>
      </c>
      <c r="H389" s="124">
        <v>882.04039999999998</v>
      </c>
      <c r="I389" s="124">
        <v>846.23929999999996</v>
      </c>
      <c r="J389" s="134">
        <v>1153635242</v>
      </c>
      <c r="K389" s="134">
        <v>1231931469</v>
      </c>
      <c r="L389" s="124">
        <v>7783.3959999999997</v>
      </c>
      <c r="M389" s="134">
        <v>1868919</v>
      </c>
      <c r="N389" s="135">
        <v>527.65150000000006</v>
      </c>
      <c r="O389" s="135">
        <v>538.09649999999999</v>
      </c>
      <c r="P389" s="135">
        <v>555.73900000000003</v>
      </c>
      <c r="Q389" s="135">
        <v>525.23889999999994</v>
      </c>
      <c r="R389" s="137">
        <v>1.0900000000000001</v>
      </c>
      <c r="S389" s="120">
        <v>2877732</v>
      </c>
      <c r="T389" s="120">
        <v>18804104</v>
      </c>
      <c r="U389" s="120">
        <v>0</v>
      </c>
      <c r="V389" s="114">
        <f t="shared" ref="V389:V452" si="14">T389+U389</f>
        <v>18804104</v>
      </c>
      <c r="W389" s="114">
        <f t="shared" ref="W389:W452" si="15">V389+S389</f>
        <v>21681836</v>
      </c>
    </row>
    <row r="390" spans="1:23">
      <c r="A390" s="122" t="s">
        <v>2457</v>
      </c>
      <c r="B390" s="124">
        <v>915.47500000000002</v>
      </c>
      <c r="C390" s="124">
        <v>971.04899999999998</v>
      </c>
      <c r="D390" s="124">
        <v>1085.5540000000001</v>
      </c>
      <c r="E390" s="124">
        <v>1197.2629999999999</v>
      </c>
      <c r="F390" s="124">
        <v>139.38419999999999</v>
      </c>
      <c r="G390" s="124">
        <v>139.69749999999999</v>
      </c>
      <c r="H390" s="124">
        <v>157.93809999999999</v>
      </c>
      <c r="I390" s="124">
        <v>181.1095</v>
      </c>
      <c r="J390" s="134">
        <v>293160513</v>
      </c>
      <c r="K390" s="134">
        <v>304153938</v>
      </c>
      <c r="L390" s="124">
        <v>1628.3630000000001</v>
      </c>
      <c r="M390" s="134">
        <v>466311</v>
      </c>
      <c r="N390" s="135">
        <v>91.9773</v>
      </c>
      <c r="O390" s="135">
        <v>88.398399999999995</v>
      </c>
      <c r="P390" s="135">
        <v>105.7171</v>
      </c>
      <c r="Q390" s="135">
        <v>123.1938</v>
      </c>
      <c r="R390" s="137">
        <v>1.06</v>
      </c>
      <c r="S390" s="120">
        <v>694697</v>
      </c>
      <c r="T390" s="120">
        <v>4695057</v>
      </c>
      <c r="U390" s="120">
        <v>0</v>
      </c>
      <c r="V390" s="114">
        <f t="shared" si="14"/>
        <v>4695057</v>
      </c>
      <c r="W390" s="114">
        <f t="shared" si="15"/>
        <v>5389754</v>
      </c>
    </row>
    <row r="391" spans="1:23">
      <c r="A391" s="122" t="s">
        <v>381</v>
      </c>
      <c r="B391" s="124">
        <v>1257.7270000000001</v>
      </c>
      <c r="C391" s="124">
        <v>1271.663</v>
      </c>
      <c r="D391" s="124">
        <v>1285.2429999999999</v>
      </c>
      <c r="E391" s="124">
        <v>1308.6400000000001</v>
      </c>
      <c r="F391" s="124">
        <v>184.9999</v>
      </c>
      <c r="G391" s="124">
        <v>198.05889999999999</v>
      </c>
      <c r="H391" s="124">
        <v>154.2285</v>
      </c>
      <c r="I391" s="124">
        <v>213.28870000000001</v>
      </c>
      <c r="J391" s="134">
        <v>406806918</v>
      </c>
      <c r="K391" s="134">
        <v>421099565</v>
      </c>
      <c r="L391" s="124">
        <v>1806.2850000000001</v>
      </c>
      <c r="M391" s="134">
        <v>315719</v>
      </c>
      <c r="N391" s="135">
        <v>114.3147</v>
      </c>
      <c r="O391" s="135">
        <v>116.78489999999999</v>
      </c>
      <c r="P391" s="135">
        <v>112.97709999999999</v>
      </c>
      <c r="Q391" s="135">
        <v>115.92619999999999</v>
      </c>
      <c r="R391" s="137">
        <v>1.05</v>
      </c>
      <c r="S391" s="120">
        <v>1206006</v>
      </c>
      <c r="T391" s="120">
        <v>5322726</v>
      </c>
      <c r="U391" s="120">
        <v>156522</v>
      </c>
      <c r="V391" s="114">
        <f t="shared" si="14"/>
        <v>5479248</v>
      </c>
      <c r="W391" s="114">
        <f t="shared" si="15"/>
        <v>6685254</v>
      </c>
    </row>
    <row r="392" spans="1:23">
      <c r="A392" s="122" t="s">
        <v>2458</v>
      </c>
      <c r="B392" s="124">
        <v>813.43499999999995</v>
      </c>
      <c r="C392" s="124">
        <v>798.02200000000005</v>
      </c>
      <c r="D392" s="124">
        <v>783.26800000000003</v>
      </c>
      <c r="E392" s="124">
        <v>761.57100000000003</v>
      </c>
      <c r="F392" s="124">
        <v>156.15010000000001</v>
      </c>
      <c r="G392" s="124">
        <v>157.91560000000001</v>
      </c>
      <c r="H392" s="124">
        <v>161.37530000000001</v>
      </c>
      <c r="I392" s="124">
        <v>150.65710000000001</v>
      </c>
      <c r="J392" s="134">
        <v>178443765</v>
      </c>
      <c r="K392" s="134">
        <v>185334110</v>
      </c>
      <c r="L392" s="124">
        <v>1227.875</v>
      </c>
      <c r="M392" s="114">
        <v>0</v>
      </c>
      <c r="N392" s="135">
        <v>109.0748</v>
      </c>
      <c r="O392" s="135">
        <v>110.65860000000001</v>
      </c>
      <c r="P392" s="135">
        <v>110.2401</v>
      </c>
      <c r="Q392" s="135">
        <v>102.7403</v>
      </c>
      <c r="R392" s="137">
        <v>1.06</v>
      </c>
      <c r="S392" s="120">
        <v>0</v>
      </c>
      <c r="T392" s="120">
        <v>3132026</v>
      </c>
      <c r="U392" s="120">
        <v>0</v>
      </c>
      <c r="V392" s="114">
        <f t="shared" si="14"/>
        <v>3132026</v>
      </c>
      <c r="W392" s="114">
        <f t="shared" si="15"/>
        <v>3132026</v>
      </c>
    </row>
    <row r="393" spans="1:23">
      <c r="A393" s="122" t="s">
        <v>2459</v>
      </c>
      <c r="B393" s="124">
        <v>173.29900000000001</v>
      </c>
      <c r="C393" s="124">
        <v>164.45</v>
      </c>
      <c r="D393" s="124">
        <v>159.48400000000001</v>
      </c>
      <c r="E393" s="124">
        <v>153.24799999999999</v>
      </c>
      <c r="F393" s="124">
        <v>32.909100000000002</v>
      </c>
      <c r="G393" s="124">
        <v>31.9894</v>
      </c>
      <c r="H393" s="124">
        <v>32.631</v>
      </c>
      <c r="I393" s="124">
        <v>31.582899999999999</v>
      </c>
      <c r="J393" s="134">
        <v>24427844</v>
      </c>
      <c r="K393" s="134">
        <v>25042495</v>
      </c>
      <c r="L393" s="124">
        <v>288.53100000000001</v>
      </c>
      <c r="M393" s="114">
        <v>0</v>
      </c>
      <c r="N393" s="135">
        <v>20.644400000000001</v>
      </c>
      <c r="O393" s="135">
        <v>19.6418</v>
      </c>
      <c r="P393" s="135">
        <v>20.833500000000001</v>
      </c>
      <c r="Q393" s="135">
        <v>19.697600000000001</v>
      </c>
      <c r="R393" s="137">
        <v>1.0900000000000001</v>
      </c>
      <c r="S393" s="120">
        <v>0</v>
      </c>
      <c r="T393" s="120">
        <v>431222</v>
      </c>
      <c r="U393" s="120">
        <v>0</v>
      </c>
      <c r="V393" s="114">
        <f t="shared" si="14"/>
        <v>431222</v>
      </c>
      <c r="W393" s="114">
        <f t="shared" si="15"/>
        <v>431222</v>
      </c>
    </row>
    <row r="394" spans="1:23">
      <c r="A394" s="122" t="s">
        <v>547</v>
      </c>
      <c r="B394" s="124">
        <v>690.697</v>
      </c>
      <c r="C394" s="124">
        <v>646.13900000000001</v>
      </c>
      <c r="D394" s="124">
        <v>635.62800000000004</v>
      </c>
      <c r="E394" s="124">
        <v>618.02099999999996</v>
      </c>
      <c r="F394" s="124">
        <v>119.7169</v>
      </c>
      <c r="G394" s="124">
        <v>108.0498</v>
      </c>
      <c r="H394" s="124">
        <v>109.9</v>
      </c>
      <c r="I394" s="124">
        <v>110.39870000000001</v>
      </c>
      <c r="J394" s="134">
        <v>55722651</v>
      </c>
      <c r="K394" s="134">
        <v>60583629</v>
      </c>
      <c r="L394" s="124">
        <v>1074.203</v>
      </c>
      <c r="M394" s="114">
        <v>0</v>
      </c>
      <c r="N394" s="135">
        <v>81.962699999999998</v>
      </c>
      <c r="O394" s="135">
        <v>70.467600000000004</v>
      </c>
      <c r="P394" s="135">
        <v>71.595500000000001</v>
      </c>
      <c r="Q394" s="135">
        <v>72.620699999999999</v>
      </c>
      <c r="R394" s="137">
        <v>1.07</v>
      </c>
      <c r="S394" s="120">
        <v>0</v>
      </c>
      <c r="T394" s="120">
        <v>850332</v>
      </c>
      <c r="U394" s="120">
        <v>0</v>
      </c>
      <c r="V394" s="114">
        <f t="shared" si="14"/>
        <v>850332</v>
      </c>
      <c r="W394" s="114">
        <f t="shared" si="15"/>
        <v>850332</v>
      </c>
    </row>
    <row r="395" spans="1:23">
      <c r="A395" s="122" t="s">
        <v>2232</v>
      </c>
      <c r="B395" s="124">
        <v>366.99900000000002</v>
      </c>
      <c r="C395" s="124">
        <v>336.101</v>
      </c>
      <c r="D395" s="124">
        <v>325.95100000000002</v>
      </c>
      <c r="E395" s="124">
        <v>315.43</v>
      </c>
      <c r="F395" s="124">
        <v>62.171399999999998</v>
      </c>
      <c r="G395" s="124">
        <v>57.791400000000003</v>
      </c>
      <c r="H395" s="124">
        <v>57.487000000000002</v>
      </c>
      <c r="I395" s="124">
        <v>57.075200000000002</v>
      </c>
      <c r="J395" s="134">
        <v>35381185</v>
      </c>
      <c r="K395" s="134">
        <v>38602664</v>
      </c>
      <c r="L395" s="124">
        <v>555.45299999999997</v>
      </c>
      <c r="M395" s="134">
        <v>20339</v>
      </c>
      <c r="N395" s="135">
        <v>40.952800000000003</v>
      </c>
      <c r="O395" s="135">
        <v>38.684100000000001</v>
      </c>
      <c r="P395" s="135">
        <v>38.527799999999999</v>
      </c>
      <c r="Q395" s="135">
        <v>39.627699999999997</v>
      </c>
      <c r="R395" s="137">
        <v>1.06</v>
      </c>
      <c r="S395" s="120">
        <v>21183</v>
      </c>
      <c r="T395" s="120">
        <v>593026</v>
      </c>
      <c r="U395" s="120">
        <v>0</v>
      </c>
      <c r="V395" s="114">
        <f t="shared" si="14"/>
        <v>593026</v>
      </c>
      <c r="W395" s="114">
        <f t="shared" si="15"/>
        <v>614209</v>
      </c>
    </row>
    <row r="396" spans="1:23">
      <c r="A396" s="122" t="s">
        <v>2366</v>
      </c>
      <c r="B396" s="124">
        <v>5756.4059999999999</v>
      </c>
      <c r="C396" s="124">
        <v>5553.04</v>
      </c>
      <c r="D396" s="124">
        <v>5490.1779999999999</v>
      </c>
      <c r="E396" s="124">
        <v>5449.31</v>
      </c>
      <c r="F396" s="124">
        <v>759.98919999999998</v>
      </c>
      <c r="G396" s="124">
        <v>754.74869999999999</v>
      </c>
      <c r="H396" s="124">
        <v>699.12980000000005</v>
      </c>
      <c r="I396" s="124">
        <v>708.0367</v>
      </c>
      <c r="J396" s="134">
        <v>793123373</v>
      </c>
      <c r="K396" s="134">
        <v>837351252</v>
      </c>
      <c r="L396" s="124">
        <v>7389.8140000000003</v>
      </c>
      <c r="M396" s="114">
        <v>0</v>
      </c>
      <c r="N396" s="135">
        <v>572.07100000000003</v>
      </c>
      <c r="O396" s="135">
        <v>566.24149999999997</v>
      </c>
      <c r="P396" s="135">
        <v>519.50840000000005</v>
      </c>
      <c r="Q396" s="135">
        <v>533.17070000000001</v>
      </c>
      <c r="R396" s="137">
        <v>1.0900000000000001</v>
      </c>
      <c r="S396" s="120">
        <v>0</v>
      </c>
      <c r="T396" s="120">
        <v>10848582</v>
      </c>
      <c r="U396" s="120">
        <v>0</v>
      </c>
      <c r="V396" s="114">
        <f t="shared" si="14"/>
        <v>10848582</v>
      </c>
      <c r="W396" s="114">
        <f t="shared" si="15"/>
        <v>10848582</v>
      </c>
    </row>
    <row r="397" spans="1:23">
      <c r="A397" s="122" t="s">
        <v>2367</v>
      </c>
      <c r="B397" s="124">
        <v>504.05099999999999</v>
      </c>
      <c r="C397" s="124">
        <v>525.58799999999997</v>
      </c>
      <c r="D397" s="124">
        <v>518.25</v>
      </c>
      <c r="E397" s="124">
        <v>506.52199999999999</v>
      </c>
      <c r="F397" s="124">
        <v>107.3155</v>
      </c>
      <c r="G397" s="124">
        <v>117.72190000000001</v>
      </c>
      <c r="H397" s="124">
        <v>119.1631</v>
      </c>
      <c r="I397" s="124">
        <v>118.8403</v>
      </c>
      <c r="J397" s="134">
        <v>86362914</v>
      </c>
      <c r="K397" s="134">
        <v>92958854</v>
      </c>
      <c r="L397" s="124">
        <v>994.83699999999999</v>
      </c>
      <c r="M397" s="114">
        <v>0</v>
      </c>
      <c r="N397" s="135">
        <v>79.394800000000004</v>
      </c>
      <c r="O397" s="135">
        <v>83.441999999999993</v>
      </c>
      <c r="P397" s="135">
        <v>84.5244</v>
      </c>
      <c r="Q397" s="135">
        <v>81.205299999999994</v>
      </c>
      <c r="R397" s="137">
        <v>1.02</v>
      </c>
      <c r="S397" s="120">
        <v>0</v>
      </c>
      <c r="T397" s="120">
        <v>1292345</v>
      </c>
      <c r="U397" s="120">
        <v>0</v>
      </c>
      <c r="V397" s="114">
        <f t="shared" si="14"/>
        <v>1292345</v>
      </c>
      <c r="W397" s="114">
        <f t="shared" si="15"/>
        <v>1292345</v>
      </c>
    </row>
    <row r="398" spans="1:23">
      <c r="A398" s="122" t="s">
        <v>169</v>
      </c>
      <c r="B398" s="124">
        <v>247.833</v>
      </c>
      <c r="C398" s="124">
        <v>247.81</v>
      </c>
      <c r="D398" s="124">
        <v>240.32599999999999</v>
      </c>
      <c r="E398" s="124">
        <v>251.279</v>
      </c>
      <c r="F398" s="124">
        <v>50.659799999999997</v>
      </c>
      <c r="G398" s="124">
        <v>49.1295</v>
      </c>
      <c r="H398" s="124">
        <v>50.0092</v>
      </c>
      <c r="I398" s="124">
        <v>50.265999999999998</v>
      </c>
      <c r="J398" s="134">
        <v>34557872</v>
      </c>
      <c r="K398" s="134">
        <v>37293072</v>
      </c>
      <c r="L398" s="124">
        <v>505.79700000000003</v>
      </c>
      <c r="M398" s="114">
        <v>0</v>
      </c>
      <c r="N398" s="135">
        <v>37.715699999999998</v>
      </c>
      <c r="O398" s="135">
        <v>38.450600000000001</v>
      </c>
      <c r="P398" s="135">
        <v>36.564100000000003</v>
      </c>
      <c r="Q398" s="135">
        <v>33.885399999999997</v>
      </c>
      <c r="R398" s="137">
        <v>1.04</v>
      </c>
      <c r="S398" s="120">
        <v>0</v>
      </c>
      <c r="T398" s="120">
        <v>443122</v>
      </c>
      <c r="U398" s="120">
        <v>0</v>
      </c>
      <c r="V398" s="114">
        <f t="shared" si="14"/>
        <v>443122</v>
      </c>
      <c r="W398" s="114">
        <f t="shared" si="15"/>
        <v>443122</v>
      </c>
    </row>
    <row r="399" spans="1:23">
      <c r="A399" s="122" t="s">
        <v>170</v>
      </c>
      <c r="B399" s="124">
        <v>866.79600000000005</v>
      </c>
      <c r="C399" s="124">
        <v>865.56200000000001</v>
      </c>
      <c r="D399" s="124">
        <v>870.48199999999997</v>
      </c>
      <c r="E399" s="124">
        <v>866.11500000000001</v>
      </c>
      <c r="F399" s="124">
        <v>161.77850000000001</v>
      </c>
      <c r="G399" s="124">
        <v>170.46289999999999</v>
      </c>
      <c r="H399" s="124">
        <v>173.0377</v>
      </c>
      <c r="I399" s="124">
        <v>167.4949</v>
      </c>
      <c r="J399" s="134">
        <v>156610356</v>
      </c>
      <c r="K399" s="134">
        <v>170612036</v>
      </c>
      <c r="L399" s="124">
        <v>1490.925</v>
      </c>
      <c r="M399" s="134">
        <v>228811</v>
      </c>
      <c r="N399" s="135">
        <v>106.0313</v>
      </c>
      <c r="O399" s="135">
        <v>117.9684</v>
      </c>
      <c r="P399" s="135">
        <v>113.24979999999999</v>
      </c>
      <c r="Q399" s="135">
        <v>106.4354</v>
      </c>
      <c r="R399" s="137">
        <v>1.04</v>
      </c>
      <c r="S399" s="120">
        <v>247566</v>
      </c>
      <c r="T399" s="120">
        <v>2342411</v>
      </c>
      <c r="U399" s="120">
        <v>0</v>
      </c>
      <c r="V399" s="114">
        <f t="shared" si="14"/>
        <v>2342411</v>
      </c>
      <c r="W399" s="114">
        <f t="shared" si="15"/>
        <v>2589977</v>
      </c>
    </row>
    <row r="400" spans="1:23">
      <c r="A400" s="122" t="s">
        <v>2867</v>
      </c>
      <c r="B400" s="124">
        <v>646.505</v>
      </c>
      <c r="C400" s="124">
        <v>629.178</v>
      </c>
      <c r="D400" s="124">
        <v>623.26</v>
      </c>
      <c r="E400" s="124">
        <v>651.55799999999999</v>
      </c>
      <c r="F400" s="124">
        <v>97.860799999999998</v>
      </c>
      <c r="G400" s="124">
        <v>102.2298</v>
      </c>
      <c r="H400" s="124">
        <v>99.887500000000003</v>
      </c>
      <c r="I400" s="124">
        <v>101.9036</v>
      </c>
      <c r="J400" s="134">
        <v>70152581</v>
      </c>
      <c r="K400" s="134">
        <v>76871901</v>
      </c>
      <c r="L400" s="124">
        <v>1064.252</v>
      </c>
      <c r="M400" s="134">
        <v>13505</v>
      </c>
      <c r="N400" s="135">
        <v>70.764099999999999</v>
      </c>
      <c r="O400" s="135">
        <v>73.376300000000001</v>
      </c>
      <c r="P400" s="135">
        <v>73.980400000000003</v>
      </c>
      <c r="Q400" s="135">
        <v>74.888000000000005</v>
      </c>
      <c r="R400" s="137">
        <v>1.03</v>
      </c>
      <c r="S400" s="120">
        <v>109089</v>
      </c>
      <c r="T400" s="120">
        <v>1160076</v>
      </c>
      <c r="U400" s="120">
        <v>0</v>
      </c>
      <c r="V400" s="114">
        <f t="shared" si="14"/>
        <v>1160076</v>
      </c>
      <c r="W400" s="114">
        <f t="shared" si="15"/>
        <v>1269165</v>
      </c>
    </row>
    <row r="401" spans="1:23">
      <c r="A401" s="122" t="s">
        <v>2674</v>
      </c>
      <c r="B401" s="124">
        <v>443.84899999999999</v>
      </c>
      <c r="C401" s="124">
        <v>416.03800000000001</v>
      </c>
      <c r="D401" s="124">
        <v>403.47399999999999</v>
      </c>
      <c r="E401" s="124">
        <v>377.245</v>
      </c>
      <c r="F401" s="124">
        <v>78.592100000000002</v>
      </c>
      <c r="G401" s="124">
        <v>78.318899999999999</v>
      </c>
      <c r="H401" s="124">
        <v>83.587299999999999</v>
      </c>
      <c r="I401" s="124">
        <v>74.181799999999996</v>
      </c>
      <c r="J401" s="134">
        <v>219827962</v>
      </c>
      <c r="K401" s="134">
        <v>223776637</v>
      </c>
      <c r="L401" s="124">
        <v>727.29</v>
      </c>
      <c r="M401" s="114">
        <v>0</v>
      </c>
      <c r="N401" s="135">
        <v>50.095599999999997</v>
      </c>
      <c r="O401" s="135">
        <v>51.792499999999997</v>
      </c>
      <c r="P401" s="135">
        <v>51.198700000000002</v>
      </c>
      <c r="Q401" s="135">
        <v>47.470300000000002</v>
      </c>
      <c r="R401" s="137">
        <v>1.0900000000000001</v>
      </c>
      <c r="S401" s="120">
        <v>0</v>
      </c>
      <c r="T401" s="120">
        <v>3414846</v>
      </c>
      <c r="U401" s="120">
        <v>0</v>
      </c>
      <c r="V401" s="114">
        <f t="shared" si="14"/>
        <v>3414846</v>
      </c>
      <c r="W401" s="114">
        <f t="shared" si="15"/>
        <v>3414846</v>
      </c>
    </row>
    <row r="402" spans="1:23">
      <c r="A402" s="122" t="s">
        <v>1281</v>
      </c>
      <c r="B402" s="124">
        <v>86.11</v>
      </c>
      <c r="C402" s="124">
        <v>96.697000000000003</v>
      </c>
      <c r="D402" s="124">
        <v>102.82299999999999</v>
      </c>
      <c r="E402" s="124">
        <v>100.376</v>
      </c>
      <c r="F402" s="124">
        <v>22.155100000000001</v>
      </c>
      <c r="G402" s="124">
        <v>25.099</v>
      </c>
      <c r="H402" s="124">
        <v>26.1738</v>
      </c>
      <c r="I402" s="124">
        <v>25.6631</v>
      </c>
      <c r="J402" s="134">
        <v>94955511</v>
      </c>
      <c r="K402" s="134">
        <v>95542466</v>
      </c>
      <c r="L402" s="124">
        <v>224.02799999999999</v>
      </c>
      <c r="M402" s="114">
        <v>0</v>
      </c>
      <c r="N402" s="135">
        <v>13.323600000000001</v>
      </c>
      <c r="O402" s="135">
        <v>15.388999999999999</v>
      </c>
      <c r="P402" s="135">
        <v>17.443200000000001</v>
      </c>
      <c r="Q402" s="135">
        <v>17.2987</v>
      </c>
      <c r="R402" s="137">
        <v>1.0900000000000001</v>
      </c>
      <c r="S402" s="120">
        <v>0</v>
      </c>
      <c r="T402" s="120">
        <v>1355087</v>
      </c>
      <c r="U402" s="120">
        <v>0</v>
      </c>
      <c r="V402" s="114">
        <f t="shared" si="14"/>
        <v>1355087</v>
      </c>
      <c r="W402" s="114">
        <f t="shared" si="15"/>
        <v>1355087</v>
      </c>
    </row>
    <row r="403" spans="1:23">
      <c r="A403" s="122" t="s">
        <v>1282</v>
      </c>
      <c r="B403" s="124">
        <v>712.18899999999996</v>
      </c>
      <c r="C403" s="124">
        <v>720.48599999999999</v>
      </c>
      <c r="D403" s="124">
        <v>713.28899999999999</v>
      </c>
      <c r="E403" s="124">
        <v>700.38900000000001</v>
      </c>
      <c r="F403" s="124">
        <v>118.1579</v>
      </c>
      <c r="G403" s="124">
        <v>119.2756</v>
      </c>
      <c r="H403" s="124">
        <v>123.0424</v>
      </c>
      <c r="I403" s="124">
        <v>125.12260000000001</v>
      </c>
      <c r="J403" s="134">
        <v>278338921</v>
      </c>
      <c r="K403" s="134">
        <v>287322821</v>
      </c>
      <c r="L403" s="124">
        <v>1258.4259999999999</v>
      </c>
      <c r="M403" s="134">
        <v>182700</v>
      </c>
      <c r="N403" s="135">
        <v>83.809299999999993</v>
      </c>
      <c r="O403" s="135">
        <v>84.5458</v>
      </c>
      <c r="P403" s="135">
        <v>85.8292</v>
      </c>
      <c r="Q403" s="135">
        <v>87.645399999999995</v>
      </c>
      <c r="R403" s="137">
        <v>1.08</v>
      </c>
      <c r="S403" s="120">
        <v>237940</v>
      </c>
      <c r="T403" s="120">
        <v>4083073</v>
      </c>
      <c r="U403" s="120">
        <v>0</v>
      </c>
      <c r="V403" s="114">
        <f t="shared" si="14"/>
        <v>4083073</v>
      </c>
      <c r="W403" s="114">
        <f t="shared" si="15"/>
        <v>4321013</v>
      </c>
    </row>
    <row r="404" spans="1:23">
      <c r="A404" s="122" t="s">
        <v>2416</v>
      </c>
      <c r="B404" s="124">
        <v>248.08500000000001</v>
      </c>
      <c r="C404" s="124">
        <v>240.42099999999999</v>
      </c>
      <c r="D404" s="124">
        <v>234.095</v>
      </c>
      <c r="E404" s="124">
        <v>227.61099999999999</v>
      </c>
      <c r="F404" s="124">
        <v>43.963700000000003</v>
      </c>
      <c r="G404" s="124">
        <v>42.826799999999999</v>
      </c>
      <c r="H404" s="124">
        <v>43.8187</v>
      </c>
      <c r="I404" s="124">
        <v>42.848100000000002</v>
      </c>
      <c r="J404" s="134">
        <v>79847595</v>
      </c>
      <c r="K404" s="134">
        <v>82002575</v>
      </c>
      <c r="L404" s="124">
        <v>405.358</v>
      </c>
      <c r="M404" s="114">
        <v>0</v>
      </c>
      <c r="N404" s="135">
        <v>26.232800000000001</v>
      </c>
      <c r="O404" s="135">
        <v>26.4328</v>
      </c>
      <c r="P404" s="135">
        <v>27.666</v>
      </c>
      <c r="Q404" s="135">
        <v>26.094200000000001</v>
      </c>
      <c r="R404" s="137">
        <v>1.04</v>
      </c>
      <c r="S404" s="120">
        <v>0</v>
      </c>
      <c r="T404" s="120">
        <v>1093708</v>
      </c>
      <c r="U404" s="120">
        <v>0</v>
      </c>
      <c r="V404" s="114">
        <f t="shared" si="14"/>
        <v>1093708</v>
      </c>
      <c r="W404" s="114">
        <f t="shared" si="15"/>
        <v>1093708</v>
      </c>
    </row>
    <row r="405" spans="1:23">
      <c r="A405" s="122" t="s">
        <v>2417</v>
      </c>
      <c r="B405" s="124">
        <v>607.84400000000005</v>
      </c>
      <c r="C405" s="124">
        <v>585.6</v>
      </c>
      <c r="D405" s="124">
        <v>572.46100000000001</v>
      </c>
      <c r="E405" s="124">
        <v>557.70799999999997</v>
      </c>
      <c r="F405" s="124">
        <v>125.50530000000001</v>
      </c>
      <c r="G405" s="124">
        <v>122.2272</v>
      </c>
      <c r="H405" s="124">
        <v>125.8586</v>
      </c>
      <c r="I405" s="124">
        <v>123.0936</v>
      </c>
      <c r="J405" s="134">
        <v>168264726</v>
      </c>
      <c r="K405" s="134">
        <v>176030076</v>
      </c>
      <c r="L405" s="124">
        <v>1066.8630000000001</v>
      </c>
      <c r="M405" s="134">
        <v>65926</v>
      </c>
      <c r="N405" s="135">
        <v>85.623199999999997</v>
      </c>
      <c r="O405" s="135">
        <v>85.238699999999994</v>
      </c>
      <c r="P405" s="135">
        <v>85.691699999999997</v>
      </c>
      <c r="Q405" s="135">
        <v>83.040899999999993</v>
      </c>
      <c r="R405" s="137">
        <v>1.03</v>
      </c>
      <c r="S405" s="120">
        <v>81805</v>
      </c>
      <c r="T405" s="120">
        <v>2350316</v>
      </c>
      <c r="U405" s="120">
        <v>0</v>
      </c>
      <c r="V405" s="114">
        <f t="shared" si="14"/>
        <v>2350316</v>
      </c>
      <c r="W405" s="114">
        <f t="shared" si="15"/>
        <v>2432121</v>
      </c>
    </row>
    <row r="406" spans="1:23">
      <c r="A406" s="122" t="s">
        <v>1158</v>
      </c>
      <c r="B406" s="124">
        <v>1280.7380000000001</v>
      </c>
      <c r="C406" s="124">
        <v>1267.019</v>
      </c>
      <c r="D406" s="124">
        <v>1291.3</v>
      </c>
      <c r="E406" s="124">
        <v>1300.1579999999999</v>
      </c>
      <c r="F406" s="124">
        <v>212.07390000000001</v>
      </c>
      <c r="G406" s="124">
        <v>218.85329999999999</v>
      </c>
      <c r="H406" s="124">
        <v>222.19280000000001</v>
      </c>
      <c r="I406" s="124">
        <v>219.13939999999999</v>
      </c>
      <c r="J406" s="134">
        <v>163488910</v>
      </c>
      <c r="K406" s="134">
        <v>181120910</v>
      </c>
      <c r="L406" s="124">
        <v>1876.731</v>
      </c>
      <c r="M406" s="134">
        <v>137576</v>
      </c>
      <c r="N406" s="135">
        <v>133.20910000000001</v>
      </c>
      <c r="O406" s="135">
        <v>136.70269999999999</v>
      </c>
      <c r="P406" s="135">
        <v>140.1651</v>
      </c>
      <c r="Q406" s="135">
        <v>139.79339999999999</v>
      </c>
      <c r="R406" s="137">
        <v>1.08</v>
      </c>
      <c r="S406" s="120">
        <v>142627</v>
      </c>
      <c r="T406" s="120">
        <v>2387140</v>
      </c>
      <c r="U406" s="120">
        <v>0</v>
      </c>
      <c r="V406" s="114">
        <f t="shared" si="14"/>
        <v>2387140</v>
      </c>
      <c r="W406" s="114">
        <f t="shared" si="15"/>
        <v>2529767</v>
      </c>
    </row>
    <row r="407" spans="1:23">
      <c r="A407" s="122" t="s">
        <v>1312</v>
      </c>
      <c r="B407" s="124">
        <v>3065.009</v>
      </c>
      <c r="C407" s="124">
        <v>3021.1869999999999</v>
      </c>
      <c r="D407" s="124">
        <v>2963.5050000000001</v>
      </c>
      <c r="E407" s="124">
        <v>2931.2950000000001</v>
      </c>
      <c r="F407" s="124">
        <v>562.8854</v>
      </c>
      <c r="G407" s="124">
        <v>534.49860000000001</v>
      </c>
      <c r="H407" s="124">
        <v>535.81410000000005</v>
      </c>
      <c r="I407" s="124">
        <v>533.10879999999997</v>
      </c>
      <c r="J407" s="134">
        <v>406850904</v>
      </c>
      <c r="K407" s="134">
        <v>448150044</v>
      </c>
      <c r="L407" s="124">
        <v>4050.5219999999999</v>
      </c>
      <c r="M407" s="134">
        <v>60147</v>
      </c>
      <c r="N407" s="135">
        <v>353.36829999999998</v>
      </c>
      <c r="O407" s="135">
        <v>338.45960000000002</v>
      </c>
      <c r="P407" s="135">
        <v>320.11410000000001</v>
      </c>
      <c r="Q407" s="135">
        <v>293.41390000000001</v>
      </c>
      <c r="R407" s="137">
        <v>1.0900000000000001</v>
      </c>
      <c r="S407" s="120">
        <v>488022</v>
      </c>
      <c r="T407" s="120">
        <v>6053914</v>
      </c>
      <c r="U407" s="120">
        <v>0</v>
      </c>
      <c r="V407" s="114">
        <f t="shared" si="14"/>
        <v>6053914</v>
      </c>
      <c r="W407" s="114">
        <f t="shared" si="15"/>
        <v>6541936</v>
      </c>
    </row>
    <row r="408" spans="1:23">
      <c r="A408" s="122" t="s">
        <v>416</v>
      </c>
      <c r="B408" s="124">
        <v>2109.4140000000002</v>
      </c>
      <c r="C408" s="124">
        <v>2041.3530000000001</v>
      </c>
      <c r="D408" s="124">
        <v>1993.3869999999999</v>
      </c>
      <c r="E408" s="124">
        <v>1980.2429999999999</v>
      </c>
      <c r="F408" s="124">
        <v>303.06849999999997</v>
      </c>
      <c r="G408" s="124">
        <v>295.78570000000002</v>
      </c>
      <c r="H408" s="124">
        <v>299.57780000000002</v>
      </c>
      <c r="I408" s="124">
        <v>298.0949</v>
      </c>
      <c r="J408" s="134">
        <v>454038086</v>
      </c>
      <c r="K408" s="134">
        <v>478141743</v>
      </c>
      <c r="L408" s="124">
        <v>2646.7730000000001</v>
      </c>
      <c r="M408" s="134">
        <v>189933</v>
      </c>
      <c r="N408" s="135">
        <v>187.2004</v>
      </c>
      <c r="O408" s="135">
        <v>185.14789999999999</v>
      </c>
      <c r="P408" s="135">
        <v>182.81</v>
      </c>
      <c r="Q408" s="135">
        <v>184.09180000000001</v>
      </c>
      <c r="R408" s="137">
        <v>1.0900000000000001</v>
      </c>
      <c r="S408" s="120">
        <v>425988</v>
      </c>
      <c r="T408" s="120">
        <v>6107848</v>
      </c>
      <c r="U408" s="120">
        <v>0</v>
      </c>
      <c r="V408" s="114">
        <f t="shared" si="14"/>
        <v>6107848</v>
      </c>
      <c r="W408" s="114">
        <f t="shared" si="15"/>
        <v>6533836</v>
      </c>
    </row>
    <row r="409" spans="1:23">
      <c r="A409" s="122" t="s">
        <v>2608</v>
      </c>
      <c r="B409" s="124">
        <v>3022.6089999999999</v>
      </c>
      <c r="C409" s="124">
        <v>3002.8710000000001</v>
      </c>
      <c r="D409" s="124">
        <v>3078.9189999999999</v>
      </c>
      <c r="E409" s="124">
        <v>3159.2539999999999</v>
      </c>
      <c r="F409" s="124">
        <v>429.34070000000003</v>
      </c>
      <c r="G409" s="124">
        <v>441.96109999999999</v>
      </c>
      <c r="H409" s="124">
        <v>463.2672</v>
      </c>
      <c r="I409" s="124">
        <v>474.50850000000003</v>
      </c>
      <c r="J409" s="134">
        <v>362870590</v>
      </c>
      <c r="K409" s="134">
        <v>402357330</v>
      </c>
      <c r="L409" s="124">
        <v>4080.0659999999998</v>
      </c>
      <c r="M409" s="134">
        <v>18833</v>
      </c>
      <c r="N409" s="135">
        <v>236.39609999999999</v>
      </c>
      <c r="O409" s="135">
        <v>256.70080000000002</v>
      </c>
      <c r="P409" s="135">
        <v>267.26029999999997</v>
      </c>
      <c r="Q409" s="135">
        <v>280.339</v>
      </c>
      <c r="R409" s="137">
        <v>1.0900000000000001</v>
      </c>
      <c r="S409" s="120">
        <v>526081</v>
      </c>
      <c r="T409" s="120">
        <v>6114610</v>
      </c>
      <c r="U409" s="120">
        <v>0</v>
      </c>
      <c r="V409" s="114">
        <f t="shared" si="14"/>
        <v>6114610</v>
      </c>
      <c r="W409" s="114">
        <f t="shared" si="15"/>
        <v>6640691</v>
      </c>
    </row>
    <row r="410" spans="1:23">
      <c r="A410" s="122" t="s">
        <v>1346</v>
      </c>
      <c r="B410" s="124">
        <v>633.16</v>
      </c>
      <c r="C410" s="124">
        <v>651.98199999999997</v>
      </c>
      <c r="D410" s="124">
        <v>652.14599999999996</v>
      </c>
      <c r="E410" s="124">
        <v>642.79200000000003</v>
      </c>
      <c r="F410" s="124">
        <v>111.0839</v>
      </c>
      <c r="G410" s="124">
        <v>116.0329</v>
      </c>
      <c r="H410" s="124">
        <v>116.94070000000001</v>
      </c>
      <c r="I410" s="124">
        <v>117.11620000000001</v>
      </c>
      <c r="J410" s="134">
        <v>89149172</v>
      </c>
      <c r="K410" s="134">
        <v>97438852</v>
      </c>
      <c r="L410" s="124">
        <v>1049.931</v>
      </c>
      <c r="M410" s="134">
        <v>98268</v>
      </c>
      <c r="N410" s="135">
        <v>75.607299999999995</v>
      </c>
      <c r="O410" s="135">
        <v>76.428700000000006</v>
      </c>
      <c r="P410" s="135">
        <v>74.6417</v>
      </c>
      <c r="Q410" s="135">
        <v>76.898600000000002</v>
      </c>
      <c r="R410" s="137">
        <v>1.08</v>
      </c>
      <c r="S410" s="120">
        <v>222619</v>
      </c>
      <c r="T410" s="120">
        <v>1448149</v>
      </c>
      <c r="U410" s="120">
        <v>0</v>
      </c>
      <c r="V410" s="114">
        <f t="shared" si="14"/>
        <v>1448149</v>
      </c>
      <c r="W410" s="114">
        <f t="shared" si="15"/>
        <v>1670768</v>
      </c>
    </row>
    <row r="411" spans="1:23">
      <c r="A411" s="122" t="s">
        <v>639</v>
      </c>
      <c r="B411" s="124">
        <v>46619.641000000003</v>
      </c>
      <c r="C411" s="124">
        <v>47874.209000000003</v>
      </c>
      <c r="D411" s="124">
        <v>48967.067999999999</v>
      </c>
      <c r="E411" s="124">
        <v>50922.508999999998</v>
      </c>
      <c r="F411" s="124">
        <v>7074.4216999999999</v>
      </c>
      <c r="G411" s="124">
        <v>7170.0806000000002</v>
      </c>
      <c r="H411" s="124">
        <v>7437.2506000000003</v>
      </c>
      <c r="I411" s="124">
        <v>7668.4255000000003</v>
      </c>
      <c r="J411" s="134">
        <v>7957346686</v>
      </c>
      <c r="K411" s="134">
        <v>8239266876</v>
      </c>
      <c r="L411" s="124">
        <v>69665.180999999997</v>
      </c>
      <c r="M411" s="134">
        <v>4504191</v>
      </c>
      <c r="N411" s="135">
        <v>4509.9874</v>
      </c>
      <c r="O411" s="135">
        <v>4635.2347</v>
      </c>
      <c r="P411" s="135">
        <v>4773.6062000000002</v>
      </c>
      <c r="Q411" s="135">
        <v>4925.2255999999998</v>
      </c>
      <c r="R411" s="137">
        <v>1.1599999999999999</v>
      </c>
      <c r="S411" s="120">
        <v>7484528</v>
      </c>
      <c r="T411" s="120">
        <v>125466770</v>
      </c>
      <c r="U411" s="120">
        <v>3100777</v>
      </c>
      <c r="V411" s="114">
        <f t="shared" si="14"/>
        <v>128567547</v>
      </c>
      <c r="W411" s="114">
        <f t="shared" si="15"/>
        <v>136052075</v>
      </c>
    </row>
    <row r="412" spans="1:23">
      <c r="A412" s="122" t="s">
        <v>222</v>
      </c>
      <c r="B412" s="124">
        <v>37187.96</v>
      </c>
      <c r="C412" s="124">
        <v>37869.33</v>
      </c>
      <c r="D412" s="124">
        <v>39007.879000000001</v>
      </c>
      <c r="E412" s="124">
        <v>41332.184999999998</v>
      </c>
      <c r="F412" s="124">
        <v>5095.1859000000004</v>
      </c>
      <c r="G412" s="124">
        <v>5186.2457000000004</v>
      </c>
      <c r="H412" s="124">
        <v>5245.7438000000002</v>
      </c>
      <c r="I412" s="124">
        <v>5522.3635000000004</v>
      </c>
      <c r="J412" s="134">
        <v>7200239956</v>
      </c>
      <c r="K412" s="134">
        <v>7446813106</v>
      </c>
      <c r="L412" s="124">
        <v>55335.942999999999</v>
      </c>
      <c r="M412" s="134">
        <v>7208096</v>
      </c>
      <c r="N412" s="135">
        <v>3160.8661999999999</v>
      </c>
      <c r="O412" s="135">
        <v>3026.7743</v>
      </c>
      <c r="P412" s="135">
        <v>3170.9249</v>
      </c>
      <c r="Q412" s="135">
        <v>3438.6345999999999</v>
      </c>
      <c r="R412" s="137">
        <v>1.1599999999999999</v>
      </c>
      <c r="S412" s="120">
        <v>16618481</v>
      </c>
      <c r="T412" s="120">
        <v>112683760</v>
      </c>
      <c r="U412" s="120">
        <v>0</v>
      </c>
      <c r="V412" s="114">
        <f t="shared" si="14"/>
        <v>112683760</v>
      </c>
      <c r="W412" s="114">
        <f t="shared" si="15"/>
        <v>129302241</v>
      </c>
    </row>
    <row r="413" spans="1:23">
      <c r="A413" s="122" t="s">
        <v>2641</v>
      </c>
      <c r="B413" s="124">
        <v>6029.375</v>
      </c>
      <c r="C413" s="124">
        <v>6260.857</v>
      </c>
      <c r="D413" s="124">
        <v>6483.0079999999998</v>
      </c>
      <c r="E413" s="124">
        <v>6665.1049999999996</v>
      </c>
      <c r="F413" s="124">
        <v>804.13459999999998</v>
      </c>
      <c r="G413" s="124">
        <v>837.42330000000004</v>
      </c>
      <c r="H413" s="124">
        <v>864.61320000000001</v>
      </c>
      <c r="I413" s="124">
        <v>905.93939999999998</v>
      </c>
      <c r="J413" s="134">
        <v>1630598228</v>
      </c>
      <c r="K413" s="134">
        <v>1679334058</v>
      </c>
      <c r="L413" s="124">
        <v>8998.36</v>
      </c>
      <c r="M413" s="134">
        <v>2147109</v>
      </c>
      <c r="N413" s="135">
        <v>487.64609999999999</v>
      </c>
      <c r="O413" s="135">
        <v>452.37720000000002</v>
      </c>
      <c r="P413" s="135">
        <v>485.79579999999999</v>
      </c>
      <c r="Q413" s="135">
        <v>518.18119999999999</v>
      </c>
      <c r="R413" s="137">
        <v>1.1399999999999999</v>
      </c>
      <c r="S413" s="120">
        <v>2491178</v>
      </c>
      <c r="T413" s="120">
        <v>24519798</v>
      </c>
      <c r="U413" s="120">
        <v>0</v>
      </c>
      <c r="V413" s="114">
        <f t="shared" si="14"/>
        <v>24519798</v>
      </c>
      <c r="W413" s="114">
        <f t="shared" si="15"/>
        <v>27010976</v>
      </c>
    </row>
    <row r="414" spans="1:23">
      <c r="A414" s="122" t="s">
        <v>2758</v>
      </c>
      <c r="B414" s="124">
        <v>3704.6480000000001</v>
      </c>
      <c r="C414" s="124">
        <v>3715.53</v>
      </c>
      <c r="D414" s="124">
        <v>3752.9949999999999</v>
      </c>
      <c r="E414" s="124">
        <v>3866.4389999999999</v>
      </c>
      <c r="F414" s="124">
        <v>490.30630000000002</v>
      </c>
      <c r="G414" s="124">
        <v>557.33330000000001</v>
      </c>
      <c r="H414" s="124">
        <v>576.77210000000002</v>
      </c>
      <c r="I414" s="124">
        <v>596.33330000000001</v>
      </c>
      <c r="J414" s="134">
        <v>604530294</v>
      </c>
      <c r="K414" s="134">
        <v>650031284</v>
      </c>
      <c r="L414" s="124">
        <v>5110.2449999999999</v>
      </c>
      <c r="M414" s="134">
        <v>756870</v>
      </c>
      <c r="N414" s="135">
        <v>285.23480000000001</v>
      </c>
      <c r="O414" s="135">
        <v>300.36579999999998</v>
      </c>
      <c r="P414" s="135">
        <v>311.15789999999998</v>
      </c>
      <c r="Q414" s="135">
        <v>318.1909</v>
      </c>
      <c r="R414" s="137">
        <v>1.1299999999999999</v>
      </c>
      <c r="S414" s="120">
        <v>1137678</v>
      </c>
      <c r="T414" s="120">
        <v>9828894</v>
      </c>
      <c r="U414" s="120">
        <v>0</v>
      </c>
      <c r="V414" s="114">
        <f t="shared" si="14"/>
        <v>9828894</v>
      </c>
      <c r="W414" s="114">
        <f t="shared" si="15"/>
        <v>10966572</v>
      </c>
    </row>
    <row r="415" spans="1:23">
      <c r="A415" s="122" t="s">
        <v>2642</v>
      </c>
      <c r="B415" s="124">
        <v>57298.873</v>
      </c>
      <c r="C415" s="124">
        <v>60129.93</v>
      </c>
      <c r="D415" s="124">
        <v>63814.622000000003</v>
      </c>
      <c r="E415" s="124">
        <v>67187.574999999997</v>
      </c>
      <c r="F415" s="124">
        <v>7523.1127999999999</v>
      </c>
      <c r="G415" s="124">
        <v>8092.3037999999997</v>
      </c>
      <c r="H415" s="124">
        <v>8637.4269999999997</v>
      </c>
      <c r="I415" s="124">
        <v>9154.9758000000002</v>
      </c>
      <c r="J415" s="134">
        <v>16058778008</v>
      </c>
      <c r="K415" s="134">
        <v>16793928008</v>
      </c>
      <c r="L415" s="124">
        <v>82135.994000000006</v>
      </c>
      <c r="M415" s="134">
        <v>32874700</v>
      </c>
      <c r="N415" s="135">
        <v>4679.0776999999998</v>
      </c>
      <c r="O415" s="135">
        <v>5105.7753000000002</v>
      </c>
      <c r="P415" s="135">
        <v>5549.5273999999999</v>
      </c>
      <c r="Q415" s="135">
        <v>5578.3362999999999</v>
      </c>
      <c r="R415" s="137">
        <v>1.1599999999999999</v>
      </c>
      <c r="S415" s="120">
        <v>48921054</v>
      </c>
      <c r="T415" s="120">
        <v>253256066</v>
      </c>
      <c r="U415" s="120">
        <v>0</v>
      </c>
      <c r="V415" s="114">
        <f t="shared" si="14"/>
        <v>253256066</v>
      </c>
      <c r="W415" s="114">
        <f t="shared" si="15"/>
        <v>302177120</v>
      </c>
    </row>
    <row r="416" spans="1:23">
      <c r="A416" s="122" t="s">
        <v>2481</v>
      </c>
      <c r="B416" s="124">
        <v>10867.986999999999</v>
      </c>
      <c r="C416" s="124">
        <v>10686.891</v>
      </c>
      <c r="D416" s="124">
        <v>10643.078</v>
      </c>
      <c r="E416" s="124">
        <v>10779.945</v>
      </c>
      <c r="F416" s="124">
        <v>1533.1688999999999</v>
      </c>
      <c r="G416" s="124">
        <v>1519.2277999999999</v>
      </c>
      <c r="H416" s="124">
        <v>1514.0471</v>
      </c>
      <c r="I416" s="124">
        <v>1598.6007999999999</v>
      </c>
      <c r="J416" s="134">
        <v>6736817448</v>
      </c>
      <c r="K416" s="134">
        <v>6846457440</v>
      </c>
      <c r="L416" s="124">
        <v>13408.573</v>
      </c>
      <c r="M416" s="134">
        <v>12778708</v>
      </c>
      <c r="N416" s="135">
        <v>956.31600000000003</v>
      </c>
      <c r="O416" s="135">
        <v>792.69489999999996</v>
      </c>
      <c r="P416" s="135">
        <v>894.20540000000005</v>
      </c>
      <c r="Q416" s="135">
        <v>938.53809999999999</v>
      </c>
      <c r="R416" s="137">
        <v>1.1599999999999999</v>
      </c>
      <c r="S416" s="120">
        <v>12833455</v>
      </c>
      <c r="T416" s="120">
        <v>100939627</v>
      </c>
      <c r="U416" s="120">
        <v>0</v>
      </c>
      <c r="V416" s="114">
        <f t="shared" si="14"/>
        <v>100939627</v>
      </c>
      <c r="W416" s="114">
        <f t="shared" si="15"/>
        <v>113773082</v>
      </c>
    </row>
    <row r="417" spans="1:23">
      <c r="A417" s="122" t="s">
        <v>1588</v>
      </c>
      <c r="B417" s="124">
        <v>11200.761</v>
      </c>
      <c r="C417" s="124">
        <v>11165.134</v>
      </c>
      <c r="D417" s="124">
        <v>10827.947</v>
      </c>
      <c r="E417" s="124">
        <v>10023.884</v>
      </c>
      <c r="F417" s="124">
        <v>1600.0962999999999</v>
      </c>
      <c r="G417" s="124">
        <v>1627.5829000000001</v>
      </c>
      <c r="H417" s="124">
        <v>1548.7671</v>
      </c>
      <c r="I417" s="124">
        <v>1555.5563</v>
      </c>
      <c r="J417" s="134">
        <v>878098032</v>
      </c>
      <c r="K417" s="134">
        <v>965612692</v>
      </c>
      <c r="L417" s="124">
        <v>13771.465</v>
      </c>
      <c r="M417" s="134">
        <v>198713</v>
      </c>
      <c r="N417" s="135">
        <v>875.77070000000003</v>
      </c>
      <c r="O417" s="135">
        <v>848.87049999999999</v>
      </c>
      <c r="P417" s="135">
        <v>805.38</v>
      </c>
      <c r="Q417" s="135">
        <v>812.63639999999998</v>
      </c>
      <c r="R417" s="137">
        <v>1.18</v>
      </c>
      <c r="S417" s="120">
        <v>1159427</v>
      </c>
      <c r="T417" s="120">
        <v>13441524</v>
      </c>
      <c r="U417" s="120">
        <v>0</v>
      </c>
      <c r="V417" s="114">
        <f t="shared" si="14"/>
        <v>13441524</v>
      </c>
      <c r="W417" s="114">
        <f t="shared" si="15"/>
        <v>14600951</v>
      </c>
    </row>
    <row r="418" spans="1:23">
      <c r="A418" s="122" t="s">
        <v>1608</v>
      </c>
      <c r="B418" s="124">
        <v>16621.496999999999</v>
      </c>
      <c r="C418" s="124">
        <v>17513.199000000001</v>
      </c>
      <c r="D418" s="124">
        <v>18015.982</v>
      </c>
      <c r="E418" s="124">
        <v>18599.966</v>
      </c>
      <c r="F418" s="124">
        <v>2272.5565000000001</v>
      </c>
      <c r="G418" s="124">
        <v>2388.6976</v>
      </c>
      <c r="H418" s="124">
        <v>2524.0599000000002</v>
      </c>
      <c r="I418" s="124">
        <v>2607.9569000000001</v>
      </c>
      <c r="J418" s="134">
        <v>3042910207</v>
      </c>
      <c r="K418" s="134">
        <v>3175561107</v>
      </c>
      <c r="L418" s="124">
        <v>25400.79</v>
      </c>
      <c r="M418" s="134">
        <v>3726199</v>
      </c>
      <c r="N418" s="135">
        <v>1344.9631999999999</v>
      </c>
      <c r="O418" s="135">
        <v>1414.8182999999999</v>
      </c>
      <c r="P418" s="135">
        <v>1481.0533</v>
      </c>
      <c r="Q418" s="135">
        <v>1561.0877</v>
      </c>
      <c r="R418" s="137">
        <v>1.1599999999999999</v>
      </c>
      <c r="S418" s="120">
        <v>5511314</v>
      </c>
      <c r="T418" s="120">
        <v>48922943</v>
      </c>
      <c r="U418" s="120">
        <v>0</v>
      </c>
      <c r="V418" s="114">
        <f t="shared" si="14"/>
        <v>48922943</v>
      </c>
      <c r="W418" s="114">
        <f t="shared" si="15"/>
        <v>54434257</v>
      </c>
    </row>
    <row r="419" spans="1:23">
      <c r="A419" s="122" t="s">
        <v>2300</v>
      </c>
      <c r="B419" s="124">
        <v>16652.785</v>
      </c>
      <c r="C419" s="124">
        <v>16608.009999999998</v>
      </c>
      <c r="D419" s="124">
        <v>16827.629000000001</v>
      </c>
      <c r="E419" s="124">
        <v>17372.165000000001</v>
      </c>
      <c r="F419" s="124">
        <v>2189.5617000000002</v>
      </c>
      <c r="G419" s="124">
        <v>2255.1487999999999</v>
      </c>
      <c r="H419" s="124">
        <v>2298.0677000000001</v>
      </c>
      <c r="I419" s="124">
        <v>2355.6239</v>
      </c>
      <c r="J419" s="134">
        <v>6704276322</v>
      </c>
      <c r="K419" s="134">
        <v>6872639542</v>
      </c>
      <c r="L419" s="124">
        <v>22528.151999999998</v>
      </c>
      <c r="M419" s="134">
        <v>12009921</v>
      </c>
      <c r="N419" s="135">
        <v>1257.8824</v>
      </c>
      <c r="O419" s="135">
        <v>1341.7654</v>
      </c>
      <c r="P419" s="135">
        <v>1316.3303000000001</v>
      </c>
      <c r="Q419" s="135">
        <v>1325.9019000000001</v>
      </c>
      <c r="R419" s="137">
        <v>1.1599999999999999</v>
      </c>
      <c r="S419" s="120">
        <v>13928321</v>
      </c>
      <c r="T419" s="120">
        <v>101120192</v>
      </c>
      <c r="U419" s="120">
        <v>0</v>
      </c>
      <c r="V419" s="114">
        <f t="shared" si="14"/>
        <v>101120192</v>
      </c>
      <c r="W419" s="114">
        <f t="shared" si="15"/>
        <v>115048513</v>
      </c>
    </row>
    <row r="420" spans="1:23">
      <c r="A420" s="122" t="s">
        <v>2921</v>
      </c>
      <c r="B420" s="124">
        <v>190303.85</v>
      </c>
      <c r="C420" s="124">
        <v>189173.61</v>
      </c>
      <c r="D420" s="124">
        <v>190944.47</v>
      </c>
      <c r="E420" s="124">
        <v>192490.15</v>
      </c>
      <c r="F420" s="124">
        <v>23058.595600000001</v>
      </c>
      <c r="G420" s="124">
        <v>24819.646100000002</v>
      </c>
      <c r="H420" s="124">
        <v>29939.612700000001</v>
      </c>
      <c r="I420" s="124">
        <v>27051.975999999999</v>
      </c>
      <c r="J420" s="134">
        <v>63552199371</v>
      </c>
      <c r="K420" s="134">
        <v>65463969371</v>
      </c>
      <c r="L420" s="124">
        <v>268052.94500000001</v>
      </c>
      <c r="M420" s="134">
        <v>61816451</v>
      </c>
      <c r="N420" s="135">
        <v>13804.2168</v>
      </c>
      <c r="O420" s="135">
        <v>13866.167100000001</v>
      </c>
      <c r="P420" s="135">
        <v>14662.423000000001</v>
      </c>
      <c r="Q420" s="135">
        <v>14474.2832</v>
      </c>
      <c r="R420" s="137">
        <v>1.17</v>
      </c>
      <c r="S420" s="120">
        <v>84580985</v>
      </c>
      <c r="T420" s="120">
        <v>943305573</v>
      </c>
      <c r="U420" s="120">
        <v>0</v>
      </c>
      <c r="V420" s="114">
        <f t="shared" si="14"/>
        <v>943305573</v>
      </c>
      <c r="W420" s="114">
        <f t="shared" si="15"/>
        <v>1027886558</v>
      </c>
    </row>
    <row r="421" spans="1:23">
      <c r="A421" s="122" t="s">
        <v>1278</v>
      </c>
      <c r="B421" s="124">
        <v>22948.802</v>
      </c>
      <c r="C421" s="124">
        <v>23415.352999999999</v>
      </c>
      <c r="D421" s="124">
        <v>23951.412</v>
      </c>
      <c r="E421" s="124">
        <v>24572.37</v>
      </c>
      <c r="F421" s="124">
        <v>3128.9013</v>
      </c>
      <c r="G421" s="124">
        <v>3188.2869999999998</v>
      </c>
      <c r="H421" s="124">
        <v>3256.7638000000002</v>
      </c>
      <c r="I421" s="124">
        <v>3299.7013000000002</v>
      </c>
      <c r="J421" s="134">
        <v>5448461428</v>
      </c>
      <c r="K421" s="134">
        <v>5723175408</v>
      </c>
      <c r="L421" s="124">
        <v>29905.527999999998</v>
      </c>
      <c r="M421" s="134">
        <v>9746356</v>
      </c>
      <c r="N421" s="135">
        <v>1908.3783000000001</v>
      </c>
      <c r="O421" s="135">
        <v>1917.8579</v>
      </c>
      <c r="P421" s="135">
        <v>1973.2053000000001</v>
      </c>
      <c r="Q421" s="135">
        <v>2002.0762</v>
      </c>
      <c r="R421" s="137">
        <v>1.1599999999999999</v>
      </c>
      <c r="S421" s="120">
        <v>14208149</v>
      </c>
      <c r="T421" s="120">
        <v>88699248</v>
      </c>
      <c r="U421" s="120">
        <v>0</v>
      </c>
      <c r="V421" s="114">
        <f t="shared" si="14"/>
        <v>88699248</v>
      </c>
      <c r="W421" s="114">
        <f t="shared" si="15"/>
        <v>102907397</v>
      </c>
    </row>
    <row r="422" spans="1:23">
      <c r="A422" s="122" t="s">
        <v>55</v>
      </c>
      <c r="B422" s="124">
        <v>29952.429</v>
      </c>
      <c r="C422" s="124">
        <v>32123.05</v>
      </c>
      <c r="D422" s="124">
        <v>35663.459000000003</v>
      </c>
      <c r="E422" s="124">
        <v>37747.027999999998</v>
      </c>
      <c r="F422" s="124">
        <v>3940.4065000000001</v>
      </c>
      <c r="G422" s="124">
        <v>4223.7788</v>
      </c>
      <c r="H422" s="124">
        <v>4639.9973</v>
      </c>
      <c r="I422" s="124">
        <v>4958.2831999999999</v>
      </c>
      <c r="J422" s="134">
        <v>8669541052</v>
      </c>
      <c r="K422" s="134">
        <v>9024288703</v>
      </c>
      <c r="L422" s="124">
        <v>45035.250999999997</v>
      </c>
      <c r="M422" s="134">
        <v>18704140</v>
      </c>
      <c r="N422" s="135">
        <v>2381.0445</v>
      </c>
      <c r="O422" s="135">
        <v>2631.7393999999999</v>
      </c>
      <c r="P422" s="135">
        <v>2950.9674</v>
      </c>
      <c r="Q422" s="135">
        <v>3132.9823000000001</v>
      </c>
      <c r="R422" s="137">
        <v>1.1599999999999999</v>
      </c>
      <c r="S422" s="120">
        <v>32749087</v>
      </c>
      <c r="T422" s="120">
        <v>154202907</v>
      </c>
      <c r="U422" s="120">
        <v>0</v>
      </c>
      <c r="V422" s="114">
        <f t="shared" si="14"/>
        <v>154202907</v>
      </c>
      <c r="W422" s="114">
        <f t="shared" si="15"/>
        <v>186951994</v>
      </c>
    </row>
    <row r="423" spans="1:23">
      <c r="A423" s="122" t="s">
        <v>62</v>
      </c>
      <c r="B423" s="124">
        <v>29630.078000000001</v>
      </c>
      <c r="C423" s="124">
        <v>30245.506000000001</v>
      </c>
      <c r="D423" s="124">
        <v>31254.978999999999</v>
      </c>
      <c r="E423" s="124">
        <v>32652.657999999999</v>
      </c>
      <c r="F423" s="124">
        <v>4167.5685000000003</v>
      </c>
      <c r="G423" s="124">
        <v>4117.7852999999996</v>
      </c>
      <c r="H423" s="124">
        <v>4385.2475999999997</v>
      </c>
      <c r="I423" s="124">
        <v>4490.9038</v>
      </c>
      <c r="J423" s="134">
        <v>6503903818</v>
      </c>
      <c r="K423" s="134">
        <v>6857459868</v>
      </c>
      <c r="L423" s="124">
        <v>40448.089</v>
      </c>
      <c r="M423" s="134">
        <v>12061807</v>
      </c>
      <c r="N423" s="135">
        <v>2441.6279</v>
      </c>
      <c r="O423" s="135">
        <v>2489.7437</v>
      </c>
      <c r="P423" s="135">
        <v>2574.8928999999998</v>
      </c>
      <c r="Q423" s="135">
        <v>2597.538</v>
      </c>
      <c r="R423" s="137">
        <v>1.1599999999999999</v>
      </c>
      <c r="S423" s="120">
        <v>15704534</v>
      </c>
      <c r="T423" s="120">
        <v>106796399</v>
      </c>
      <c r="U423" s="120">
        <v>0</v>
      </c>
      <c r="V423" s="114">
        <f t="shared" si="14"/>
        <v>106796399</v>
      </c>
      <c r="W423" s="114">
        <f t="shared" si="15"/>
        <v>122500933</v>
      </c>
    </row>
    <row r="424" spans="1:23">
      <c r="A424" s="122" t="s">
        <v>2922</v>
      </c>
      <c r="B424" s="124">
        <v>7008.7830000000004</v>
      </c>
      <c r="C424" s="124">
        <v>7172.89</v>
      </c>
      <c r="D424" s="124">
        <v>7296.8019999999997</v>
      </c>
      <c r="E424" s="124">
        <v>7276.9309999999996</v>
      </c>
      <c r="F424" s="124">
        <v>971.73879999999997</v>
      </c>
      <c r="G424" s="124">
        <v>981.82539999999995</v>
      </c>
      <c r="H424" s="124">
        <v>1015.3757000000001</v>
      </c>
      <c r="I424" s="124">
        <v>1052.2823000000001</v>
      </c>
      <c r="J424" s="134">
        <v>4593365180</v>
      </c>
      <c r="K424" s="134">
        <v>4682759600</v>
      </c>
      <c r="L424" s="124">
        <v>9004.268</v>
      </c>
      <c r="M424" s="134">
        <v>8469642</v>
      </c>
      <c r="N424" s="135">
        <v>513.48209999999995</v>
      </c>
      <c r="O424" s="135">
        <v>526.42449999999997</v>
      </c>
      <c r="P424" s="135">
        <v>538.32690000000002</v>
      </c>
      <c r="Q424" s="135">
        <v>578.74009999999998</v>
      </c>
      <c r="R424" s="137">
        <v>1.1499999999999999</v>
      </c>
      <c r="S424" s="120">
        <v>7627978</v>
      </c>
      <c r="T424" s="120">
        <v>63575813</v>
      </c>
      <c r="U424" s="120">
        <v>0</v>
      </c>
      <c r="V424" s="114">
        <f t="shared" si="14"/>
        <v>63575813</v>
      </c>
      <c r="W424" s="114">
        <f t="shared" si="15"/>
        <v>71203791</v>
      </c>
    </row>
    <row r="425" spans="1:23">
      <c r="A425" s="122" t="s">
        <v>234</v>
      </c>
      <c r="B425" s="124">
        <v>39226.828999999998</v>
      </c>
      <c r="C425" s="124">
        <v>39735.427000000003</v>
      </c>
      <c r="D425" s="124">
        <v>40587.735999999997</v>
      </c>
      <c r="E425" s="124">
        <v>41855.055999999997</v>
      </c>
      <c r="F425" s="124">
        <v>4858.9040000000005</v>
      </c>
      <c r="G425" s="124">
        <v>5028.8674000000001</v>
      </c>
      <c r="H425" s="124">
        <v>5233.1907000000001</v>
      </c>
      <c r="I425" s="124">
        <v>5426.3022000000001</v>
      </c>
      <c r="J425" s="134">
        <v>6032777660</v>
      </c>
      <c r="K425" s="134">
        <v>6357244790</v>
      </c>
      <c r="L425" s="124">
        <v>54286.084000000003</v>
      </c>
      <c r="M425" s="134">
        <v>2659002</v>
      </c>
      <c r="N425" s="135">
        <v>3065.3759</v>
      </c>
      <c r="O425" s="135">
        <v>3246.6129000000001</v>
      </c>
      <c r="P425" s="135">
        <v>3363.5019000000002</v>
      </c>
      <c r="Q425" s="135">
        <v>3454.0309000000002</v>
      </c>
      <c r="R425" s="137">
        <v>1.1599999999999999</v>
      </c>
      <c r="S425" s="120">
        <v>11042835</v>
      </c>
      <c r="T425" s="120">
        <v>97487592</v>
      </c>
      <c r="U425" s="120">
        <v>0</v>
      </c>
      <c r="V425" s="114">
        <f t="shared" si="14"/>
        <v>97487592</v>
      </c>
      <c r="W425" s="114">
        <f t="shared" si="15"/>
        <v>108530427</v>
      </c>
    </row>
    <row r="426" spans="1:23">
      <c r="A426" s="122" t="s">
        <v>743</v>
      </c>
      <c r="B426" s="124">
        <v>20789.877</v>
      </c>
      <c r="C426" s="124">
        <v>21635.830999999998</v>
      </c>
      <c r="D426" s="124">
        <v>22741.444</v>
      </c>
      <c r="E426" s="124">
        <v>23821.297999999999</v>
      </c>
      <c r="F426" s="124">
        <v>3026.3355999999999</v>
      </c>
      <c r="G426" s="124">
        <v>2996.0641000000001</v>
      </c>
      <c r="H426" s="124">
        <v>3374.0027</v>
      </c>
      <c r="I426" s="124">
        <v>3559.2757000000001</v>
      </c>
      <c r="J426" s="134">
        <v>4806777306</v>
      </c>
      <c r="K426" s="134">
        <v>5005577276</v>
      </c>
      <c r="L426" s="124">
        <v>30569.800999999999</v>
      </c>
      <c r="M426" s="134">
        <v>9144338</v>
      </c>
      <c r="N426" s="135">
        <v>1693.1747</v>
      </c>
      <c r="O426" s="135">
        <v>1763.0350000000001</v>
      </c>
      <c r="P426" s="135">
        <v>1935.992</v>
      </c>
      <c r="Q426" s="135">
        <v>2044.9952000000001</v>
      </c>
      <c r="R426" s="137">
        <v>1.1599999999999999</v>
      </c>
      <c r="S426" s="120">
        <v>16780503</v>
      </c>
      <c r="T426" s="120">
        <v>77512988</v>
      </c>
      <c r="U426" s="120">
        <v>0</v>
      </c>
      <c r="V426" s="114">
        <f t="shared" si="14"/>
        <v>77512988</v>
      </c>
      <c r="W426" s="114">
        <f t="shared" si="15"/>
        <v>94293491</v>
      </c>
    </row>
    <row r="427" spans="1:23">
      <c r="A427" s="122" t="s">
        <v>918</v>
      </c>
      <c r="B427" s="124">
        <v>28856.383000000002</v>
      </c>
      <c r="C427" s="124">
        <v>29013.129000000001</v>
      </c>
      <c r="D427" s="124">
        <v>29645.069</v>
      </c>
      <c r="E427" s="124">
        <v>30059.781999999999</v>
      </c>
      <c r="F427" s="124">
        <v>4051.0608999999999</v>
      </c>
      <c r="G427" s="124">
        <v>4248.1914999999999</v>
      </c>
      <c r="H427" s="124">
        <v>4448.3353999999999</v>
      </c>
      <c r="I427" s="124">
        <v>4661.0249000000003</v>
      </c>
      <c r="J427" s="134">
        <v>10759174881</v>
      </c>
      <c r="K427" s="134">
        <v>11081245221</v>
      </c>
      <c r="L427" s="124">
        <v>39985.932999999997</v>
      </c>
      <c r="M427" s="134">
        <v>20601742</v>
      </c>
      <c r="N427" s="135">
        <v>2395.7966999999999</v>
      </c>
      <c r="O427" s="135">
        <v>2469.0389</v>
      </c>
      <c r="P427" s="135">
        <v>2584.0065</v>
      </c>
      <c r="Q427" s="135">
        <v>2719.3326999999999</v>
      </c>
      <c r="R427" s="137">
        <v>1.1599999999999999</v>
      </c>
      <c r="S427" s="120">
        <v>24756935</v>
      </c>
      <c r="T427" s="120">
        <v>174751813</v>
      </c>
      <c r="U427" s="120">
        <v>0</v>
      </c>
      <c r="V427" s="114">
        <f t="shared" si="14"/>
        <v>174751813</v>
      </c>
      <c r="W427" s="114">
        <f t="shared" si="15"/>
        <v>199508748</v>
      </c>
    </row>
    <row r="428" spans="1:23">
      <c r="A428" s="122" t="s">
        <v>2221</v>
      </c>
      <c r="B428" s="124">
        <v>6666.085</v>
      </c>
      <c r="C428" s="124">
        <v>6936.567</v>
      </c>
      <c r="D428" s="124">
        <v>7304.8059999999996</v>
      </c>
      <c r="E428" s="124">
        <v>7573.7640000000001</v>
      </c>
      <c r="F428" s="124">
        <v>902.0752</v>
      </c>
      <c r="G428" s="124">
        <v>966.17629999999997</v>
      </c>
      <c r="H428" s="124">
        <v>988.73239999999998</v>
      </c>
      <c r="I428" s="124">
        <v>1041.3984</v>
      </c>
      <c r="J428" s="134">
        <v>2395092179</v>
      </c>
      <c r="K428" s="134">
        <v>2476230679</v>
      </c>
      <c r="L428" s="124">
        <v>9151.9660000000003</v>
      </c>
      <c r="M428" s="134">
        <v>5068598</v>
      </c>
      <c r="N428" s="135">
        <v>543.08979999999997</v>
      </c>
      <c r="O428" s="135">
        <v>587.04629999999997</v>
      </c>
      <c r="P428" s="135">
        <v>598.60699999999997</v>
      </c>
      <c r="Q428" s="135">
        <v>633.96379999999999</v>
      </c>
      <c r="R428" s="137">
        <v>1.1399999999999999</v>
      </c>
      <c r="S428" s="120">
        <v>6803612</v>
      </c>
      <c r="T428" s="120">
        <v>37610999</v>
      </c>
      <c r="U428" s="120">
        <v>0</v>
      </c>
      <c r="V428" s="114">
        <f t="shared" si="14"/>
        <v>37610999</v>
      </c>
      <c r="W428" s="114">
        <f t="shared" si="15"/>
        <v>44414611</v>
      </c>
    </row>
    <row r="429" spans="1:23">
      <c r="A429" s="122" t="s">
        <v>2222</v>
      </c>
      <c r="B429" s="124">
        <v>3912.904</v>
      </c>
      <c r="C429" s="124">
        <v>3908.895</v>
      </c>
      <c r="D429" s="124">
        <v>3796.873</v>
      </c>
      <c r="E429" s="124">
        <v>3907.56</v>
      </c>
      <c r="F429" s="124">
        <v>547.45669999999996</v>
      </c>
      <c r="G429" s="124">
        <v>576.9425</v>
      </c>
      <c r="H429" s="124">
        <v>600.42179999999996</v>
      </c>
      <c r="I429" s="124">
        <v>605.25070000000005</v>
      </c>
      <c r="J429" s="134">
        <v>1605381981</v>
      </c>
      <c r="K429" s="134">
        <v>1636848981</v>
      </c>
      <c r="L429" s="124">
        <v>5390.6210000000001</v>
      </c>
      <c r="M429" s="134">
        <v>979968</v>
      </c>
      <c r="N429" s="135">
        <v>320.43239999999997</v>
      </c>
      <c r="O429" s="135">
        <v>322.77300000000002</v>
      </c>
      <c r="P429" s="135">
        <v>324.5711</v>
      </c>
      <c r="Q429" s="135">
        <v>323.38670000000002</v>
      </c>
      <c r="R429" s="137">
        <v>1.1399999999999999</v>
      </c>
      <c r="S429" s="120">
        <v>3060815</v>
      </c>
      <c r="T429" s="120">
        <v>28046876</v>
      </c>
      <c r="U429" s="120">
        <v>0</v>
      </c>
      <c r="V429" s="114">
        <f t="shared" si="14"/>
        <v>28046876</v>
      </c>
      <c r="W429" s="114">
        <f t="shared" si="15"/>
        <v>31107691</v>
      </c>
    </row>
    <row r="430" spans="1:23">
      <c r="A430" s="122" t="s">
        <v>979</v>
      </c>
      <c r="B430" s="124">
        <v>2282.2939999999999</v>
      </c>
      <c r="C430" s="124">
        <v>2348.1849999999999</v>
      </c>
      <c r="D430" s="124">
        <v>2485.5329999999999</v>
      </c>
      <c r="E430" s="124">
        <v>2575.174</v>
      </c>
      <c r="F430" s="124">
        <v>318.29919999999998</v>
      </c>
      <c r="G430" s="124">
        <v>319.86180000000002</v>
      </c>
      <c r="H430" s="124">
        <v>338.48480000000001</v>
      </c>
      <c r="I430" s="124">
        <v>345.55829999999997</v>
      </c>
      <c r="J430" s="134">
        <v>329846108</v>
      </c>
      <c r="K430" s="134">
        <v>357305638</v>
      </c>
      <c r="L430" s="124">
        <v>3341.7570000000001</v>
      </c>
      <c r="M430" s="134">
        <v>424485</v>
      </c>
      <c r="N430" s="135">
        <v>188.2114</v>
      </c>
      <c r="O430" s="135">
        <v>176.9333</v>
      </c>
      <c r="P430" s="135">
        <v>191.9821</v>
      </c>
      <c r="Q430" s="135">
        <v>193.75839999999999</v>
      </c>
      <c r="R430" s="137">
        <v>1.1200000000000001</v>
      </c>
      <c r="S430" s="120">
        <v>688873</v>
      </c>
      <c r="T430" s="120">
        <v>5620179</v>
      </c>
      <c r="U430" s="120">
        <v>0</v>
      </c>
      <c r="V430" s="114">
        <f t="shared" si="14"/>
        <v>5620179</v>
      </c>
      <c r="W430" s="114">
        <f t="shared" si="15"/>
        <v>6309052</v>
      </c>
    </row>
    <row r="431" spans="1:23">
      <c r="A431" s="122" t="s">
        <v>2223</v>
      </c>
      <c r="B431" s="124">
        <v>336.70400000000001</v>
      </c>
      <c r="C431" s="124">
        <v>329.59800000000001</v>
      </c>
      <c r="D431" s="124">
        <v>319.64400000000001</v>
      </c>
      <c r="E431" s="124">
        <v>301.339</v>
      </c>
      <c r="F431" s="124">
        <v>79.660499999999999</v>
      </c>
      <c r="G431" s="124">
        <v>77.636499999999998</v>
      </c>
      <c r="H431" s="124">
        <v>65.200699999999998</v>
      </c>
      <c r="I431" s="124">
        <v>70.289000000000001</v>
      </c>
      <c r="J431" s="134">
        <v>77763950</v>
      </c>
      <c r="K431" s="134">
        <v>83391237</v>
      </c>
      <c r="L431" s="124">
        <v>556.91800000000001</v>
      </c>
      <c r="M431" s="114">
        <v>0</v>
      </c>
      <c r="N431" s="135">
        <v>50.011699999999998</v>
      </c>
      <c r="O431" s="135">
        <v>46.822299999999998</v>
      </c>
      <c r="P431" s="135">
        <v>39.850700000000003</v>
      </c>
      <c r="Q431" s="135">
        <v>40.406799999999997</v>
      </c>
      <c r="R431" s="137">
        <v>1.06</v>
      </c>
      <c r="S431" s="120">
        <v>1902</v>
      </c>
      <c r="T431" s="120">
        <v>1188101</v>
      </c>
      <c r="U431" s="120">
        <v>0</v>
      </c>
      <c r="V431" s="114">
        <f t="shared" si="14"/>
        <v>1188101</v>
      </c>
      <c r="W431" s="114">
        <f t="shared" si="15"/>
        <v>1190003</v>
      </c>
    </row>
    <row r="432" spans="1:23">
      <c r="A432" s="122" t="s">
        <v>1692</v>
      </c>
      <c r="B432" s="124">
        <v>5807.518</v>
      </c>
      <c r="C432" s="124">
        <v>5705.2619999999997</v>
      </c>
      <c r="D432" s="124">
        <v>5568.4650000000001</v>
      </c>
      <c r="E432" s="124">
        <v>5522.2640000000001</v>
      </c>
      <c r="F432" s="124">
        <v>872.47919999999999</v>
      </c>
      <c r="G432" s="124">
        <v>868.96979999999996</v>
      </c>
      <c r="H432" s="124">
        <v>871.12180000000001</v>
      </c>
      <c r="I432" s="124">
        <v>916.16470000000004</v>
      </c>
      <c r="J432" s="134">
        <v>1199370057</v>
      </c>
      <c r="K432" s="134">
        <v>1266430710</v>
      </c>
      <c r="L432" s="124">
        <v>7443.8649999999998</v>
      </c>
      <c r="M432" s="134">
        <v>695784</v>
      </c>
      <c r="N432" s="135">
        <v>559.33770000000004</v>
      </c>
      <c r="O432" s="135">
        <v>556.1046</v>
      </c>
      <c r="P432" s="135">
        <v>559.02760000000001</v>
      </c>
      <c r="Q432" s="135">
        <v>556.63689999999997</v>
      </c>
      <c r="R432" s="137">
        <v>1.08</v>
      </c>
      <c r="S432" s="120">
        <v>429133</v>
      </c>
      <c r="T432" s="120">
        <v>16956049</v>
      </c>
      <c r="U432" s="120">
        <v>0</v>
      </c>
      <c r="V432" s="114">
        <f t="shared" si="14"/>
        <v>16956049</v>
      </c>
      <c r="W432" s="114">
        <f t="shared" si="15"/>
        <v>17385182</v>
      </c>
    </row>
    <row r="433" spans="1:23">
      <c r="A433" s="122" t="s">
        <v>1693</v>
      </c>
      <c r="B433" s="124">
        <v>762.822</v>
      </c>
      <c r="C433" s="124">
        <v>774.89700000000005</v>
      </c>
      <c r="D433" s="124">
        <v>766.64300000000003</v>
      </c>
      <c r="E433" s="124">
        <v>745.40700000000004</v>
      </c>
      <c r="F433" s="124">
        <v>132.70820000000001</v>
      </c>
      <c r="G433" s="124">
        <v>137.54400000000001</v>
      </c>
      <c r="H433" s="124">
        <v>137.48519999999999</v>
      </c>
      <c r="I433" s="124">
        <v>127.176</v>
      </c>
      <c r="J433" s="134">
        <v>198808910</v>
      </c>
      <c r="K433" s="134">
        <v>207119486</v>
      </c>
      <c r="L433" s="124">
        <v>1200.557</v>
      </c>
      <c r="M433" s="114">
        <v>0</v>
      </c>
      <c r="N433" s="135">
        <v>92.084299999999999</v>
      </c>
      <c r="O433" s="135">
        <v>95.403099999999995</v>
      </c>
      <c r="P433" s="135">
        <v>96.553700000000006</v>
      </c>
      <c r="Q433" s="135">
        <v>89.778899999999993</v>
      </c>
      <c r="R433" s="137">
        <v>1.04</v>
      </c>
      <c r="S433" s="120">
        <v>0</v>
      </c>
      <c r="T433" s="120">
        <v>3009028</v>
      </c>
      <c r="U433" s="120">
        <v>0</v>
      </c>
      <c r="V433" s="114">
        <f t="shared" si="14"/>
        <v>3009028</v>
      </c>
      <c r="W433" s="114">
        <f t="shared" si="15"/>
        <v>3009028</v>
      </c>
    </row>
    <row r="434" spans="1:23">
      <c r="A434" s="122" t="s">
        <v>1694</v>
      </c>
      <c r="B434" s="124">
        <v>3503.4659999999999</v>
      </c>
      <c r="C434" s="124">
        <v>3493.402</v>
      </c>
      <c r="D434" s="124">
        <v>3519.6309999999999</v>
      </c>
      <c r="E434" s="124">
        <v>3549.6039999999998</v>
      </c>
      <c r="F434" s="124">
        <v>530.7346</v>
      </c>
      <c r="G434" s="124">
        <v>553.34339999999997</v>
      </c>
      <c r="H434" s="124">
        <v>561.76260000000002</v>
      </c>
      <c r="I434" s="124">
        <v>572.55859999999996</v>
      </c>
      <c r="J434" s="134">
        <v>1411553293</v>
      </c>
      <c r="K434" s="134">
        <v>1449121052</v>
      </c>
      <c r="L434" s="124">
        <v>4314.6260000000002</v>
      </c>
      <c r="M434" s="134">
        <v>1719651</v>
      </c>
      <c r="N434" s="135">
        <v>302.28590000000003</v>
      </c>
      <c r="O434" s="135">
        <v>309.53190000000001</v>
      </c>
      <c r="P434" s="135">
        <v>316.64760000000001</v>
      </c>
      <c r="Q434" s="135">
        <v>313.53519999999997</v>
      </c>
      <c r="R434" s="137">
        <v>1.07</v>
      </c>
      <c r="S434" s="120">
        <v>2167388</v>
      </c>
      <c r="T434" s="120">
        <v>21032421</v>
      </c>
      <c r="U434" s="120">
        <v>0</v>
      </c>
      <c r="V434" s="114">
        <f t="shared" si="14"/>
        <v>21032421</v>
      </c>
      <c r="W434" s="114">
        <f t="shared" si="15"/>
        <v>23199809</v>
      </c>
    </row>
    <row r="435" spans="1:23">
      <c r="A435" s="122" t="s">
        <v>1765</v>
      </c>
      <c r="B435" s="124">
        <v>569.53800000000001</v>
      </c>
      <c r="C435" s="124">
        <v>580.42600000000004</v>
      </c>
      <c r="D435" s="124">
        <v>593.11300000000006</v>
      </c>
      <c r="E435" s="124">
        <v>579.78</v>
      </c>
      <c r="F435" s="124">
        <v>99.278300000000002</v>
      </c>
      <c r="G435" s="124">
        <v>101.8002</v>
      </c>
      <c r="H435" s="124">
        <v>100.8869</v>
      </c>
      <c r="I435" s="124">
        <v>102.2929</v>
      </c>
      <c r="J435" s="134">
        <v>94453691</v>
      </c>
      <c r="K435" s="134">
        <v>100295768</v>
      </c>
      <c r="L435" s="124">
        <v>918.34500000000003</v>
      </c>
      <c r="M435" s="134">
        <v>83605</v>
      </c>
      <c r="N435" s="135">
        <v>65.000100000000003</v>
      </c>
      <c r="O435" s="135">
        <v>64.682599999999994</v>
      </c>
      <c r="P435" s="135">
        <v>63.999000000000002</v>
      </c>
      <c r="Q435" s="135">
        <v>68.998500000000007</v>
      </c>
      <c r="R435" s="137">
        <v>1.04</v>
      </c>
      <c r="S435" s="120">
        <v>81151</v>
      </c>
      <c r="T435" s="120">
        <v>1334423</v>
      </c>
      <c r="U435" s="120">
        <v>0</v>
      </c>
      <c r="V435" s="114">
        <f t="shared" si="14"/>
        <v>1334423</v>
      </c>
      <c r="W435" s="114">
        <f t="shared" si="15"/>
        <v>1415574</v>
      </c>
    </row>
    <row r="436" spans="1:23">
      <c r="A436" s="122" t="s">
        <v>1766</v>
      </c>
      <c r="B436" s="124">
        <v>910.94399999999996</v>
      </c>
      <c r="C436" s="124">
        <v>929.57299999999998</v>
      </c>
      <c r="D436" s="124">
        <v>933.28800000000001</v>
      </c>
      <c r="E436" s="124">
        <v>908.64700000000005</v>
      </c>
      <c r="F436" s="124">
        <v>136.90870000000001</v>
      </c>
      <c r="G436" s="124">
        <v>144.86199999999999</v>
      </c>
      <c r="H436" s="124">
        <v>145.8879</v>
      </c>
      <c r="I436" s="124">
        <v>144.50370000000001</v>
      </c>
      <c r="J436" s="134">
        <v>290572227</v>
      </c>
      <c r="K436" s="134">
        <v>301503257</v>
      </c>
      <c r="L436" s="124">
        <v>1380.2460000000001</v>
      </c>
      <c r="M436" s="134">
        <v>283388</v>
      </c>
      <c r="N436" s="135">
        <v>86.610200000000006</v>
      </c>
      <c r="O436" s="135">
        <v>92.524100000000004</v>
      </c>
      <c r="P436" s="135">
        <v>95.662099999999995</v>
      </c>
      <c r="Q436" s="135">
        <v>95.302599999999998</v>
      </c>
      <c r="R436" s="137">
        <v>1.04</v>
      </c>
      <c r="S436" s="120">
        <v>374516</v>
      </c>
      <c r="T436" s="120">
        <v>3979766</v>
      </c>
      <c r="U436" s="120">
        <v>0</v>
      </c>
      <c r="V436" s="114">
        <f t="shared" si="14"/>
        <v>3979766</v>
      </c>
      <c r="W436" s="114">
        <f t="shared" si="15"/>
        <v>4354282</v>
      </c>
    </row>
    <row r="437" spans="1:23">
      <c r="A437" s="122" t="s">
        <v>539</v>
      </c>
      <c r="B437" s="124">
        <v>141.45599999999999</v>
      </c>
      <c r="C437" s="124">
        <v>131.22</v>
      </c>
      <c r="D437" s="124">
        <v>127.25700000000001</v>
      </c>
      <c r="E437" s="124">
        <v>122.664</v>
      </c>
      <c r="F437" s="124">
        <v>27.590900000000001</v>
      </c>
      <c r="G437" s="124">
        <v>26.667899999999999</v>
      </c>
      <c r="H437" s="124">
        <v>27.4358</v>
      </c>
      <c r="I437" s="124">
        <v>27.898399999999999</v>
      </c>
      <c r="J437" s="134">
        <v>84628273</v>
      </c>
      <c r="K437" s="134">
        <v>85552613</v>
      </c>
      <c r="L437" s="124">
        <v>293.97399999999999</v>
      </c>
      <c r="M437" s="114">
        <v>0</v>
      </c>
      <c r="N437" s="135">
        <v>17.892299999999999</v>
      </c>
      <c r="O437" s="135">
        <v>18.9346</v>
      </c>
      <c r="P437" s="135">
        <v>20.324400000000001</v>
      </c>
      <c r="Q437" s="135">
        <v>19.322399999999998</v>
      </c>
      <c r="R437" s="137">
        <v>1.05</v>
      </c>
      <c r="S437" s="120">
        <v>0</v>
      </c>
      <c r="T437" s="120">
        <v>1210479</v>
      </c>
      <c r="U437" s="120">
        <v>0</v>
      </c>
      <c r="V437" s="114">
        <f t="shared" si="14"/>
        <v>1210479</v>
      </c>
      <c r="W437" s="114">
        <f t="shared" si="15"/>
        <v>1210479</v>
      </c>
    </row>
    <row r="438" spans="1:23">
      <c r="A438" s="122" t="s">
        <v>506</v>
      </c>
      <c r="B438" s="124">
        <v>169.286</v>
      </c>
      <c r="C438" s="124">
        <v>163.125</v>
      </c>
      <c r="D438" s="124">
        <v>158.19900000000001</v>
      </c>
      <c r="E438" s="124">
        <v>152.744</v>
      </c>
      <c r="F438" s="124">
        <v>36.244500000000002</v>
      </c>
      <c r="G438" s="124">
        <v>34.017699999999998</v>
      </c>
      <c r="H438" s="124">
        <v>34.769500000000001</v>
      </c>
      <c r="I438" s="124">
        <v>30.236599999999999</v>
      </c>
      <c r="J438" s="134">
        <v>62740023</v>
      </c>
      <c r="K438" s="134">
        <v>63917153</v>
      </c>
      <c r="L438" s="124">
        <v>304.57400000000001</v>
      </c>
      <c r="M438" s="134">
        <v>76597</v>
      </c>
      <c r="N438" s="135">
        <v>24.032900000000001</v>
      </c>
      <c r="O438" s="135">
        <v>23.608899999999998</v>
      </c>
      <c r="P438" s="135">
        <v>22.502400000000002</v>
      </c>
      <c r="Q438" s="135">
        <v>21.9544</v>
      </c>
      <c r="R438" s="137">
        <v>1.05</v>
      </c>
      <c r="S438" s="120">
        <v>67404</v>
      </c>
      <c r="T438" s="120">
        <v>919911</v>
      </c>
      <c r="U438" s="120">
        <v>0</v>
      </c>
      <c r="V438" s="114">
        <f t="shared" si="14"/>
        <v>919911</v>
      </c>
      <c r="W438" s="114">
        <f t="shared" si="15"/>
        <v>987315</v>
      </c>
    </row>
    <row r="439" spans="1:23">
      <c r="A439" s="122" t="s">
        <v>507</v>
      </c>
      <c r="B439" s="124">
        <v>615.89700000000005</v>
      </c>
      <c r="C439" s="124">
        <v>593.02200000000005</v>
      </c>
      <c r="D439" s="124">
        <v>575.11300000000006</v>
      </c>
      <c r="E439" s="124">
        <v>548.41300000000001</v>
      </c>
      <c r="F439" s="124">
        <v>130.81280000000001</v>
      </c>
      <c r="G439" s="124">
        <v>123.4224</v>
      </c>
      <c r="H439" s="124">
        <v>120.8516</v>
      </c>
      <c r="I439" s="124">
        <v>113.3914</v>
      </c>
      <c r="J439" s="134">
        <v>84228358</v>
      </c>
      <c r="K439" s="134">
        <v>92784494</v>
      </c>
      <c r="L439" s="124">
        <v>1089.5519999999999</v>
      </c>
      <c r="M439" s="114">
        <v>0</v>
      </c>
      <c r="N439" s="135">
        <v>87.991399999999999</v>
      </c>
      <c r="O439" s="135">
        <v>82.243799999999993</v>
      </c>
      <c r="P439" s="135">
        <v>80.273899999999998</v>
      </c>
      <c r="Q439" s="135">
        <v>75.128399999999999</v>
      </c>
      <c r="R439" s="137">
        <v>1.04</v>
      </c>
      <c r="S439" s="120">
        <v>0</v>
      </c>
      <c r="T439" s="120">
        <v>1200955</v>
      </c>
      <c r="U439" s="120">
        <v>0</v>
      </c>
      <c r="V439" s="114">
        <f t="shared" si="14"/>
        <v>1200955</v>
      </c>
      <c r="W439" s="114">
        <f t="shared" si="15"/>
        <v>1200955</v>
      </c>
    </row>
    <row r="440" spans="1:23">
      <c r="A440" s="122" t="s">
        <v>2868</v>
      </c>
      <c r="B440" s="124">
        <v>137.58099999999999</v>
      </c>
      <c r="C440" s="124">
        <v>122.07</v>
      </c>
      <c r="D440" s="124">
        <v>118.383</v>
      </c>
      <c r="E440" s="124">
        <v>112.35299999999999</v>
      </c>
      <c r="F440" s="124">
        <v>36.181899999999999</v>
      </c>
      <c r="G440" s="124">
        <v>30.371300000000002</v>
      </c>
      <c r="H440" s="124">
        <v>32.408700000000003</v>
      </c>
      <c r="I440" s="124">
        <v>33.740200000000002</v>
      </c>
      <c r="J440" s="134">
        <v>19750522</v>
      </c>
      <c r="K440" s="134">
        <v>20760237</v>
      </c>
      <c r="L440" s="124">
        <v>251.34700000000001</v>
      </c>
      <c r="M440" s="114">
        <v>0</v>
      </c>
      <c r="N440" s="135">
        <v>25.372299999999999</v>
      </c>
      <c r="O440" s="135">
        <v>19.8264</v>
      </c>
      <c r="P440" s="135">
        <v>22.708600000000001</v>
      </c>
      <c r="Q440" s="135">
        <v>22.688300000000002</v>
      </c>
      <c r="R440" s="137">
        <v>1.05</v>
      </c>
      <c r="S440" s="120">
        <v>12589</v>
      </c>
      <c r="T440" s="120">
        <v>256498</v>
      </c>
      <c r="U440" s="120">
        <v>0</v>
      </c>
      <c r="V440" s="114">
        <f t="shared" si="14"/>
        <v>256498</v>
      </c>
      <c r="W440" s="114">
        <f t="shared" si="15"/>
        <v>269087</v>
      </c>
    </row>
    <row r="441" spans="1:23">
      <c r="A441" s="122" t="s">
        <v>508</v>
      </c>
      <c r="B441" s="124">
        <v>189.48500000000001</v>
      </c>
      <c r="C441" s="124">
        <v>174.203</v>
      </c>
      <c r="D441" s="124">
        <v>168.94200000000001</v>
      </c>
      <c r="E441" s="124">
        <v>155.40299999999999</v>
      </c>
      <c r="F441" s="124">
        <v>35.373399999999997</v>
      </c>
      <c r="G441" s="124">
        <v>35.373399999999997</v>
      </c>
      <c r="H441" s="124">
        <v>38.491</v>
      </c>
      <c r="I441" s="124">
        <v>35.814</v>
      </c>
      <c r="J441" s="134">
        <v>24689627</v>
      </c>
      <c r="K441" s="134">
        <v>26825182</v>
      </c>
      <c r="L441" s="124">
        <v>262.60000000000002</v>
      </c>
      <c r="M441" s="114">
        <v>0</v>
      </c>
      <c r="N441" s="135">
        <v>25.7883</v>
      </c>
      <c r="O441" s="135">
        <v>25.786799999999999</v>
      </c>
      <c r="P441" s="135">
        <v>26.618600000000001</v>
      </c>
      <c r="Q441" s="135">
        <v>20.002500000000001</v>
      </c>
      <c r="R441" s="137">
        <v>1.05</v>
      </c>
      <c r="S441" s="120">
        <v>0</v>
      </c>
      <c r="T441" s="120">
        <v>375293</v>
      </c>
      <c r="U441" s="120">
        <v>0</v>
      </c>
      <c r="V441" s="114">
        <f t="shared" si="14"/>
        <v>375293</v>
      </c>
      <c r="W441" s="114">
        <f t="shared" si="15"/>
        <v>375293</v>
      </c>
    </row>
    <row r="442" spans="1:23">
      <c r="A442" s="122" t="s">
        <v>509</v>
      </c>
      <c r="B442" s="124">
        <v>132.44</v>
      </c>
      <c r="C442" s="124">
        <v>130.85900000000001</v>
      </c>
      <c r="D442" s="124">
        <v>136.10400000000001</v>
      </c>
      <c r="E442" s="124">
        <v>132.334</v>
      </c>
      <c r="F442" s="124">
        <v>30.192499999999999</v>
      </c>
      <c r="G442" s="124">
        <v>29.775400000000001</v>
      </c>
      <c r="H442" s="124">
        <v>31.775400000000001</v>
      </c>
      <c r="I442" s="124">
        <v>30.243300000000001</v>
      </c>
      <c r="J442" s="134">
        <v>37363618</v>
      </c>
      <c r="K442" s="134">
        <v>38316193</v>
      </c>
      <c r="L442" s="124">
        <v>268.48399999999998</v>
      </c>
      <c r="M442" s="114">
        <v>0</v>
      </c>
      <c r="N442" s="135">
        <v>20.6433</v>
      </c>
      <c r="O442" s="135">
        <v>20.073</v>
      </c>
      <c r="P442" s="135">
        <v>20.929500000000001</v>
      </c>
      <c r="Q442" s="135">
        <v>21.504799999999999</v>
      </c>
      <c r="R442" s="137">
        <v>1.06</v>
      </c>
      <c r="S442" s="120">
        <v>0</v>
      </c>
      <c r="T442" s="120">
        <v>561108</v>
      </c>
      <c r="U442" s="120">
        <v>0</v>
      </c>
      <c r="V442" s="114">
        <f t="shared" si="14"/>
        <v>561108</v>
      </c>
      <c r="W442" s="114">
        <f t="shared" si="15"/>
        <v>561108</v>
      </c>
    </row>
    <row r="443" spans="1:23">
      <c r="A443" s="122" t="s">
        <v>1304</v>
      </c>
      <c r="B443" s="124">
        <v>6478.1040000000003</v>
      </c>
      <c r="C443" s="124">
        <v>6569.9530000000004</v>
      </c>
      <c r="D443" s="124">
        <v>6449.1130000000003</v>
      </c>
      <c r="E443" s="124">
        <v>6410.973</v>
      </c>
      <c r="F443" s="124">
        <v>982.58659999999998</v>
      </c>
      <c r="G443" s="124">
        <v>904.33100000000002</v>
      </c>
      <c r="H443" s="124">
        <v>978.79790000000003</v>
      </c>
      <c r="I443" s="124">
        <v>974.67949999999996</v>
      </c>
      <c r="J443" s="134">
        <v>2037161893</v>
      </c>
      <c r="K443" s="134">
        <v>2101597269</v>
      </c>
      <c r="L443" s="124">
        <v>8380.3520000000008</v>
      </c>
      <c r="M443" s="134">
        <v>2134128</v>
      </c>
      <c r="N443" s="135">
        <v>583.53330000000005</v>
      </c>
      <c r="O443" s="135">
        <v>596.51369999999997</v>
      </c>
      <c r="P443" s="135">
        <v>571.81359999999995</v>
      </c>
      <c r="Q443" s="135">
        <v>555.47820000000002</v>
      </c>
      <c r="R443" s="137">
        <v>1.1000000000000001</v>
      </c>
      <c r="S443" s="120">
        <v>2301357</v>
      </c>
      <c r="T443" s="120">
        <v>34299556</v>
      </c>
      <c r="U443" s="120">
        <v>0</v>
      </c>
      <c r="V443" s="114">
        <f t="shared" si="14"/>
        <v>34299556</v>
      </c>
      <c r="W443" s="114">
        <f t="shared" si="15"/>
        <v>36600913</v>
      </c>
    </row>
    <row r="444" spans="1:23">
      <c r="A444" s="122" t="s">
        <v>1678</v>
      </c>
      <c r="B444" s="124">
        <v>2967.04</v>
      </c>
      <c r="C444" s="124">
        <v>3059.7089999999998</v>
      </c>
      <c r="D444" s="124">
        <v>3154.53</v>
      </c>
      <c r="E444" s="124">
        <v>3155.9119999999998</v>
      </c>
      <c r="F444" s="124">
        <v>428.7081</v>
      </c>
      <c r="G444" s="124">
        <v>432.7022</v>
      </c>
      <c r="H444" s="124">
        <v>442.6114</v>
      </c>
      <c r="I444" s="124">
        <v>449.03309999999999</v>
      </c>
      <c r="J444" s="134">
        <v>1066564566</v>
      </c>
      <c r="K444" s="134">
        <v>1106609633</v>
      </c>
      <c r="L444" s="124">
        <v>3965.2620000000002</v>
      </c>
      <c r="M444" s="134">
        <v>2998724</v>
      </c>
      <c r="N444" s="135">
        <v>256.60340000000002</v>
      </c>
      <c r="O444" s="135">
        <v>254.79920000000001</v>
      </c>
      <c r="P444" s="135">
        <v>252.0455</v>
      </c>
      <c r="Q444" s="135">
        <v>257.61660000000001</v>
      </c>
      <c r="R444" s="137">
        <v>1.07</v>
      </c>
      <c r="S444" s="120">
        <v>3655311</v>
      </c>
      <c r="T444" s="120">
        <v>17045792</v>
      </c>
      <c r="U444" s="120">
        <v>0</v>
      </c>
      <c r="V444" s="114">
        <f t="shared" si="14"/>
        <v>17045792</v>
      </c>
      <c r="W444" s="114">
        <f t="shared" si="15"/>
        <v>20701103</v>
      </c>
    </row>
    <row r="445" spans="1:23">
      <c r="A445" s="122" t="s">
        <v>1467</v>
      </c>
      <c r="B445" s="124">
        <v>1544.3989999999999</v>
      </c>
      <c r="C445" s="124">
        <v>1591.5640000000001</v>
      </c>
      <c r="D445" s="124">
        <v>1660.357</v>
      </c>
      <c r="E445" s="124">
        <v>1718.4449999999999</v>
      </c>
      <c r="F445" s="124">
        <v>194.4348</v>
      </c>
      <c r="G445" s="124">
        <v>211.44450000000001</v>
      </c>
      <c r="H445" s="124">
        <v>224.92359999999999</v>
      </c>
      <c r="I445" s="124">
        <v>248.28450000000001</v>
      </c>
      <c r="J445" s="134">
        <v>681213647</v>
      </c>
      <c r="K445" s="134">
        <v>713139334</v>
      </c>
      <c r="L445" s="124">
        <v>2119.1170000000002</v>
      </c>
      <c r="M445" s="134">
        <v>970214</v>
      </c>
      <c r="N445" s="135">
        <v>130.4495</v>
      </c>
      <c r="O445" s="135">
        <v>141.69499999999999</v>
      </c>
      <c r="P445" s="135">
        <v>150.1439</v>
      </c>
      <c r="Q445" s="135">
        <v>167.10890000000001</v>
      </c>
      <c r="R445" s="137">
        <v>1.06</v>
      </c>
      <c r="S445" s="120">
        <v>1581086</v>
      </c>
      <c r="T445" s="120">
        <v>11712433</v>
      </c>
      <c r="U445" s="120">
        <v>0</v>
      </c>
      <c r="V445" s="114">
        <f t="shared" si="14"/>
        <v>11712433</v>
      </c>
      <c r="W445" s="114">
        <f t="shared" si="15"/>
        <v>13293519</v>
      </c>
    </row>
    <row r="446" spans="1:23">
      <c r="A446" s="122" t="s">
        <v>2129</v>
      </c>
      <c r="B446" s="124">
        <v>6289.2569999999996</v>
      </c>
      <c r="C446" s="124">
        <v>6964.9780000000001</v>
      </c>
      <c r="D446" s="124">
        <v>7613.1409999999996</v>
      </c>
      <c r="E446" s="124">
        <v>8089.89</v>
      </c>
      <c r="F446" s="124">
        <v>885.59749999999997</v>
      </c>
      <c r="G446" s="124">
        <v>982.19889999999998</v>
      </c>
      <c r="H446" s="124">
        <v>1093.4014999999999</v>
      </c>
      <c r="I446" s="124">
        <v>1176.4726000000001</v>
      </c>
      <c r="J446" s="134">
        <v>1257892429</v>
      </c>
      <c r="K446" s="134">
        <v>1328232582</v>
      </c>
      <c r="L446" s="124">
        <v>10281.834000000001</v>
      </c>
      <c r="M446" s="134">
        <v>3301724</v>
      </c>
      <c r="N446" s="135">
        <v>498.85120000000001</v>
      </c>
      <c r="O446" s="135">
        <v>554.19560000000001</v>
      </c>
      <c r="P446" s="135">
        <v>619.41219999999998</v>
      </c>
      <c r="Q446" s="135">
        <v>671.24459999999999</v>
      </c>
      <c r="R446" s="137">
        <v>1.1000000000000001</v>
      </c>
      <c r="S446" s="120">
        <v>5861184</v>
      </c>
      <c r="T446" s="120">
        <v>19637546</v>
      </c>
      <c r="U446" s="120">
        <v>0</v>
      </c>
      <c r="V446" s="114">
        <f t="shared" si="14"/>
        <v>19637546</v>
      </c>
      <c r="W446" s="114">
        <f t="shared" si="15"/>
        <v>25498730</v>
      </c>
    </row>
    <row r="447" spans="1:23">
      <c r="A447" s="122" t="s">
        <v>1918</v>
      </c>
      <c r="B447" s="124">
        <v>769.78300000000002</v>
      </c>
      <c r="C447" s="124">
        <v>777.38400000000001</v>
      </c>
      <c r="D447" s="124">
        <v>753.90700000000004</v>
      </c>
      <c r="E447" s="124">
        <v>727.12400000000002</v>
      </c>
      <c r="F447" s="124">
        <v>131.2303</v>
      </c>
      <c r="G447" s="124">
        <v>128.55119999999999</v>
      </c>
      <c r="H447" s="124">
        <v>133.55119999999999</v>
      </c>
      <c r="I447" s="124">
        <v>130.6634</v>
      </c>
      <c r="J447" s="134">
        <v>662990552</v>
      </c>
      <c r="K447" s="134">
        <v>670969932</v>
      </c>
      <c r="L447" s="124">
        <v>1313.069</v>
      </c>
      <c r="M447" s="114">
        <v>0</v>
      </c>
      <c r="N447" s="135">
        <v>84.360399999999998</v>
      </c>
      <c r="O447" s="135">
        <v>84.242400000000004</v>
      </c>
      <c r="P447" s="135">
        <v>86.003500000000003</v>
      </c>
      <c r="Q447" s="135">
        <v>84.380499999999998</v>
      </c>
      <c r="R447" s="137">
        <v>1.07</v>
      </c>
      <c r="S447" s="120">
        <v>1192118</v>
      </c>
      <c r="T447" s="120">
        <v>8174640</v>
      </c>
      <c r="U447" s="120">
        <v>0</v>
      </c>
      <c r="V447" s="114">
        <f t="shared" si="14"/>
        <v>8174640</v>
      </c>
      <c r="W447" s="114">
        <f t="shared" si="15"/>
        <v>9366758</v>
      </c>
    </row>
    <row r="448" spans="1:23">
      <c r="A448" s="122" t="s">
        <v>1919</v>
      </c>
      <c r="B448" s="124">
        <v>3164.4670000000001</v>
      </c>
      <c r="C448" s="124">
        <v>3086.0819999999999</v>
      </c>
      <c r="D448" s="124">
        <v>3143.3939999999998</v>
      </c>
      <c r="E448" s="124">
        <v>3200.748</v>
      </c>
      <c r="F448" s="124">
        <v>456.3263</v>
      </c>
      <c r="G448" s="124">
        <v>464.8075</v>
      </c>
      <c r="H448" s="124">
        <v>344.47059999999999</v>
      </c>
      <c r="I448" s="124">
        <v>524.26949999999999</v>
      </c>
      <c r="J448" s="134">
        <v>665072176</v>
      </c>
      <c r="K448" s="134">
        <v>708318016</v>
      </c>
      <c r="L448" s="124">
        <v>4256.7340000000004</v>
      </c>
      <c r="M448" s="134">
        <v>929125</v>
      </c>
      <c r="N448" s="135">
        <v>291.8775</v>
      </c>
      <c r="O448" s="135">
        <v>301.25049999999999</v>
      </c>
      <c r="P448" s="135">
        <v>297.70119999999997</v>
      </c>
      <c r="Q448" s="135">
        <v>314.2201</v>
      </c>
      <c r="R448" s="137">
        <v>1.06</v>
      </c>
      <c r="S448" s="120">
        <v>839189</v>
      </c>
      <c r="T448" s="120">
        <v>9445394</v>
      </c>
      <c r="U448" s="120">
        <v>0</v>
      </c>
      <c r="V448" s="114">
        <f t="shared" si="14"/>
        <v>9445394</v>
      </c>
      <c r="W448" s="114">
        <f t="shared" si="15"/>
        <v>10284583</v>
      </c>
    </row>
    <row r="449" spans="1:23">
      <c r="A449" s="122" t="s">
        <v>2912</v>
      </c>
      <c r="B449" s="124">
        <v>2341.0300000000002</v>
      </c>
      <c r="C449" s="124">
        <v>2363.848</v>
      </c>
      <c r="D449" s="124">
        <v>2398.8449999999998</v>
      </c>
      <c r="E449" s="124">
        <v>2452.3119999999999</v>
      </c>
      <c r="F449" s="124">
        <v>337.55340000000001</v>
      </c>
      <c r="G449" s="124">
        <v>343.66309999999999</v>
      </c>
      <c r="H449" s="124">
        <v>354.29070000000002</v>
      </c>
      <c r="I449" s="124">
        <v>382.54320000000001</v>
      </c>
      <c r="J449" s="134">
        <v>337017803</v>
      </c>
      <c r="K449" s="134">
        <v>371678733</v>
      </c>
      <c r="L449" s="124">
        <v>3312.4609999999998</v>
      </c>
      <c r="M449" s="134">
        <v>364781</v>
      </c>
      <c r="N449" s="135">
        <v>215.42660000000001</v>
      </c>
      <c r="O449" s="135">
        <v>220.70650000000001</v>
      </c>
      <c r="P449" s="135">
        <v>227.31530000000001</v>
      </c>
      <c r="Q449" s="135">
        <v>228.5823</v>
      </c>
      <c r="R449" s="137">
        <v>1.05</v>
      </c>
      <c r="S449" s="120">
        <v>406025</v>
      </c>
      <c r="T449" s="120">
        <v>5322201</v>
      </c>
      <c r="U449" s="120">
        <v>0</v>
      </c>
      <c r="V449" s="114">
        <f t="shared" si="14"/>
        <v>5322201</v>
      </c>
      <c r="W449" s="114">
        <f t="shared" si="15"/>
        <v>5728226</v>
      </c>
    </row>
    <row r="450" spans="1:23">
      <c r="A450" s="122" t="s">
        <v>2879</v>
      </c>
      <c r="B450" s="124">
        <v>604.048</v>
      </c>
      <c r="C450" s="124">
        <v>598.48199999999997</v>
      </c>
      <c r="D450" s="124">
        <v>580.40800000000002</v>
      </c>
      <c r="E450" s="124">
        <v>569.62099999999998</v>
      </c>
      <c r="F450" s="124">
        <v>89.969200000000001</v>
      </c>
      <c r="G450" s="124">
        <v>88.790199999999999</v>
      </c>
      <c r="H450" s="124">
        <v>90.402900000000002</v>
      </c>
      <c r="I450" s="124">
        <v>90.937700000000007</v>
      </c>
      <c r="J450" s="134">
        <v>131536412</v>
      </c>
      <c r="K450" s="134">
        <v>137880742</v>
      </c>
      <c r="L450" s="124">
        <v>915.28399999999999</v>
      </c>
      <c r="M450" s="134">
        <v>251982</v>
      </c>
      <c r="N450" s="135">
        <v>59.506</v>
      </c>
      <c r="O450" s="135">
        <v>58.702599999999997</v>
      </c>
      <c r="P450" s="135">
        <v>62.8384</v>
      </c>
      <c r="Q450" s="135">
        <v>58.626199999999997</v>
      </c>
      <c r="R450" s="137">
        <v>1.05</v>
      </c>
      <c r="S450" s="120">
        <v>270449</v>
      </c>
      <c r="T450" s="120">
        <v>2097024</v>
      </c>
      <c r="U450" s="120">
        <v>0</v>
      </c>
      <c r="V450" s="114">
        <f t="shared" si="14"/>
        <v>2097024</v>
      </c>
      <c r="W450" s="114">
        <f t="shared" si="15"/>
        <v>2367473</v>
      </c>
    </row>
    <row r="451" spans="1:23">
      <c r="A451" s="122" t="s">
        <v>2284</v>
      </c>
      <c r="B451" s="124">
        <v>1410.17</v>
      </c>
      <c r="C451" s="124">
        <v>1427.5229999999999</v>
      </c>
      <c r="D451" s="124">
        <v>1436.2370000000001</v>
      </c>
      <c r="E451" s="124">
        <v>1437.6880000000001</v>
      </c>
      <c r="F451" s="124">
        <v>209.77629999999999</v>
      </c>
      <c r="G451" s="124">
        <v>207.74010000000001</v>
      </c>
      <c r="H451" s="124">
        <v>215.49799999999999</v>
      </c>
      <c r="I451" s="124">
        <v>234.22790000000001</v>
      </c>
      <c r="J451" s="134">
        <v>238170841</v>
      </c>
      <c r="K451" s="134">
        <v>256605911</v>
      </c>
      <c r="L451" s="124">
        <v>2114.1819999999998</v>
      </c>
      <c r="M451" s="134">
        <v>149540</v>
      </c>
      <c r="N451" s="135">
        <v>135.10990000000001</v>
      </c>
      <c r="O451" s="135">
        <v>120.92310000000001</v>
      </c>
      <c r="P451" s="135">
        <v>142.95609999999999</v>
      </c>
      <c r="Q451" s="135">
        <v>118.72920000000001</v>
      </c>
      <c r="R451" s="137">
        <v>1.04</v>
      </c>
      <c r="S451" s="120">
        <v>182021</v>
      </c>
      <c r="T451" s="120">
        <v>3322637</v>
      </c>
      <c r="U451" s="120">
        <v>0</v>
      </c>
      <c r="V451" s="114">
        <f t="shared" si="14"/>
        <v>3322637</v>
      </c>
      <c r="W451" s="114">
        <f t="shared" si="15"/>
        <v>3504658</v>
      </c>
    </row>
    <row r="452" spans="1:23">
      <c r="A452" s="122" t="s">
        <v>71</v>
      </c>
      <c r="B452" s="124">
        <v>1083.703</v>
      </c>
      <c r="C452" s="124">
        <v>1061.819</v>
      </c>
      <c r="D452" s="124">
        <v>1043.2439999999999</v>
      </c>
      <c r="E452" s="124">
        <v>1042.701</v>
      </c>
      <c r="F452" s="124">
        <v>195.71850000000001</v>
      </c>
      <c r="G452" s="124">
        <v>197.41669999999999</v>
      </c>
      <c r="H452" s="124">
        <v>198.41149999999999</v>
      </c>
      <c r="I452" s="124">
        <v>190.989</v>
      </c>
      <c r="J452" s="134">
        <v>468934135</v>
      </c>
      <c r="K452" s="134">
        <v>493478385</v>
      </c>
      <c r="L452" s="124">
        <v>1618.7560000000001</v>
      </c>
      <c r="M452" s="134">
        <v>596940</v>
      </c>
      <c r="N452" s="135">
        <v>132.36930000000001</v>
      </c>
      <c r="O452" s="135">
        <v>133.56139999999999</v>
      </c>
      <c r="P452" s="135">
        <v>133.71199999999999</v>
      </c>
      <c r="Q452" s="135">
        <v>128.20439999999999</v>
      </c>
      <c r="R452" s="137">
        <v>1.04</v>
      </c>
      <c r="S452" s="120">
        <v>452088</v>
      </c>
      <c r="T452" s="120">
        <v>7255160</v>
      </c>
      <c r="U452" s="120">
        <v>0</v>
      </c>
      <c r="V452" s="114">
        <f t="shared" si="14"/>
        <v>7255160</v>
      </c>
      <c r="W452" s="114">
        <f t="shared" si="15"/>
        <v>7707248</v>
      </c>
    </row>
    <row r="453" spans="1:23">
      <c r="A453" s="122" t="s">
        <v>1711</v>
      </c>
      <c r="B453" s="124">
        <v>302.488</v>
      </c>
      <c r="C453" s="124">
        <v>278.82</v>
      </c>
      <c r="D453" s="124">
        <v>270.39999999999998</v>
      </c>
      <c r="E453" s="124">
        <v>268.38799999999998</v>
      </c>
      <c r="F453" s="124">
        <v>53.6845</v>
      </c>
      <c r="G453" s="124">
        <v>48.267400000000002</v>
      </c>
      <c r="H453" s="124">
        <v>48.590899999999998</v>
      </c>
      <c r="I453" s="124">
        <v>45.844900000000003</v>
      </c>
      <c r="J453" s="134">
        <v>38229404</v>
      </c>
      <c r="K453" s="134">
        <v>40216034</v>
      </c>
      <c r="L453" s="124">
        <v>462.375</v>
      </c>
      <c r="M453" s="114">
        <v>108</v>
      </c>
      <c r="N453" s="135">
        <v>37.429099999999998</v>
      </c>
      <c r="O453" s="135">
        <v>30.792300000000001</v>
      </c>
      <c r="P453" s="135">
        <v>31.793399999999998</v>
      </c>
      <c r="Q453" s="135">
        <v>31.070399999999999</v>
      </c>
      <c r="R453" s="137">
        <v>1.04</v>
      </c>
      <c r="S453" s="120">
        <v>18958</v>
      </c>
      <c r="T453" s="120">
        <v>575379</v>
      </c>
      <c r="U453" s="120">
        <v>0</v>
      </c>
      <c r="V453" s="114">
        <f t="shared" ref="V453:V516" si="16">T453+U453</f>
        <v>575379</v>
      </c>
      <c r="W453" s="114">
        <f t="shared" ref="W453:W516" si="17">V453+S453</f>
        <v>594337</v>
      </c>
    </row>
    <row r="454" spans="1:23">
      <c r="A454" s="122" t="s">
        <v>980</v>
      </c>
      <c r="B454" s="124">
        <v>131.17699999999999</v>
      </c>
      <c r="C454" s="124">
        <v>136.41200000000001</v>
      </c>
      <c r="D454" s="124">
        <v>139.98099999999999</v>
      </c>
      <c r="E454" s="124">
        <v>144.03200000000001</v>
      </c>
      <c r="F454" s="124">
        <v>21.550799999999999</v>
      </c>
      <c r="G454" s="124">
        <v>29.818300000000001</v>
      </c>
      <c r="H454" s="124">
        <v>30.091000000000001</v>
      </c>
      <c r="I454" s="124">
        <v>29.185099999999998</v>
      </c>
      <c r="J454" s="134">
        <v>22289850</v>
      </c>
      <c r="K454" s="134">
        <v>24356750</v>
      </c>
      <c r="L454" s="124">
        <v>244.94</v>
      </c>
      <c r="M454" s="114">
        <v>0</v>
      </c>
      <c r="N454" s="135">
        <v>14.9999</v>
      </c>
      <c r="O454" s="135">
        <v>19.662800000000001</v>
      </c>
      <c r="P454" s="135">
        <v>15.807</v>
      </c>
      <c r="Q454" s="135">
        <v>16.16</v>
      </c>
      <c r="R454" s="137">
        <v>1.05</v>
      </c>
      <c r="S454" s="120">
        <v>0</v>
      </c>
      <c r="T454" s="120">
        <v>351700</v>
      </c>
      <c r="U454" s="120">
        <v>15920</v>
      </c>
      <c r="V454" s="114">
        <f t="shared" si="16"/>
        <v>367620</v>
      </c>
      <c r="W454" s="114">
        <f t="shared" si="17"/>
        <v>367620</v>
      </c>
    </row>
    <row r="455" spans="1:23">
      <c r="A455" s="122" t="s">
        <v>72</v>
      </c>
      <c r="B455" s="124">
        <v>454.14</v>
      </c>
      <c r="C455" s="124">
        <v>438.51100000000002</v>
      </c>
      <c r="D455" s="124">
        <v>434.71100000000001</v>
      </c>
      <c r="E455" s="124">
        <v>428.49599999999998</v>
      </c>
      <c r="F455" s="124">
        <v>65.158100000000005</v>
      </c>
      <c r="G455" s="124">
        <v>67.641999999999996</v>
      </c>
      <c r="H455" s="124">
        <v>66.489400000000003</v>
      </c>
      <c r="I455" s="124">
        <v>68.895700000000005</v>
      </c>
      <c r="J455" s="134">
        <v>227393108</v>
      </c>
      <c r="K455" s="134">
        <v>232620198</v>
      </c>
      <c r="L455" s="124">
        <v>701.18899999999996</v>
      </c>
      <c r="M455" s="114">
        <v>0</v>
      </c>
      <c r="N455" s="135">
        <v>41.933799999999998</v>
      </c>
      <c r="O455" s="135">
        <v>43.889099999999999</v>
      </c>
      <c r="P455" s="135">
        <v>42.759099999999997</v>
      </c>
      <c r="Q455" s="135">
        <v>42.713299999999997</v>
      </c>
      <c r="R455" s="137">
        <v>1.04</v>
      </c>
      <c r="S455" s="120">
        <v>195437</v>
      </c>
      <c r="T455" s="120">
        <v>3035575</v>
      </c>
      <c r="U455" s="120">
        <v>0</v>
      </c>
      <c r="V455" s="114">
        <f t="shared" si="16"/>
        <v>3035575</v>
      </c>
      <c r="W455" s="114">
        <f t="shared" si="17"/>
        <v>3231012</v>
      </c>
    </row>
    <row r="456" spans="1:23">
      <c r="A456" s="122" t="s">
        <v>2437</v>
      </c>
      <c r="B456" s="124">
        <v>9532.2340000000004</v>
      </c>
      <c r="C456" s="124">
        <v>9545.1419999999998</v>
      </c>
      <c r="D456" s="124">
        <v>9789.0460000000003</v>
      </c>
      <c r="E456" s="124">
        <v>10184.008</v>
      </c>
      <c r="F456" s="124">
        <v>1766.5287000000001</v>
      </c>
      <c r="G456" s="124">
        <v>1805.0452</v>
      </c>
      <c r="H456" s="124">
        <v>1865.7528</v>
      </c>
      <c r="I456" s="124">
        <v>1863.3458000000001</v>
      </c>
      <c r="J456" s="134">
        <v>468086617</v>
      </c>
      <c r="K456" s="134">
        <v>530374576</v>
      </c>
      <c r="L456" s="124">
        <v>14625.772000000001</v>
      </c>
      <c r="M456" s="114">
        <v>0</v>
      </c>
      <c r="N456" s="135">
        <v>917.46029999999996</v>
      </c>
      <c r="O456" s="135">
        <v>945.64260000000002</v>
      </c>
      <c r="P456" s="135">
        <v>971.68859999999995</v>
      </c>
      <c r="Q456" s="135">
        <v>1006.915</v>
      </c>
      <c r="R456" s="137">
        <v>1.18</v>
      </c>
      <c r="S456" s="120">
        <v>299833</v>
      </c>
      <c r="T456" s="120">
        <v>7293862</v>
      </c>
      <c r="U456" s="120">
        <v>0</v>
      </c>
      <c r="V456" s="114">
        <f t="shared" si="16"/>
        <v>7293862</v>
      </c>
      <c r="W456" s="114">
        <f t="shared" si="17"/>
        <v>7593695</v>
      </c>
    </row>
    <row r="457" spans="1:23">
      <c r="A457" s="122" t="s">
        <v>873</v>
      </c>
      <c r="B457" s="124">
        <v>4557.9120000000003</v>
      </c>
      <c r="C457" s="124">
        <v>4624.1289999999999</v>
      </c>
      <c r="D457" s="124">
        <v>4769.826</v>
      </c>
      <c r="E457" s="124">
        <v>4816.616</v>
      </c>
      <c r="F457" s="124">
        <v>786.00469999999996</v>
      </c>
      <c r="G457" s="124">
        <v>798.98929999999996</v>
      </c>
      <c r="H457" s="124">
        <v>888.2115</v>
      </c>
      <c r="I457" s="124">
        <v>850.30880000000002</v>
      </c>
      <c r="J457" s="134">
        <v>132984662</v>
      </c>
      <c r="K457" s="134">
        <v>156263353</v>
      </c>
      <c r="L457" s="124">
        <v>7005.3909999999996</v>
      </c>
      <c r="M457" s="134">
        <v>20904</v>
      </c>
      <c r="N457" s="135">
        <v>450.59739999999999</v>
      </c>
      <c r="O457" s="135">
        <v>460.72629999999998</v>
      </c>
      <c r="P457" s="135">
        <v>486.74799999999999</v>
      </c>
      <c r="Q457" s="135">
        <v>484.32619999999997</v>
      </c>
      <c r="R457" s="137">
        <v>1.18</v>
      </c>
      <c r="S457" s="120">
        <v>199726</v>
      </c>
      <c r="T457" s="120">
        <v>1980480</v>
      </c>
      <c r="U457" s="120">
        <v>0</v>
      </c>
      <c r="V457" s="114">
        <f t="shared" si="16"/>
        <v>1980480</v>
      </c>
      <c r="W457" s="114">
        <f t="shared" si="17"/>
        <v>2180206</v>
      </c>
    </row>
    <row r="458" spans="1:23">
      <c r="A458" s="122" t="s">
        <v>875</v>
      </c>
      <c r="B458" s="124">
        <v>19609.402999999998</v>
      </c>
      <c r="C458" s="124">
        <v>20389.066999999999</v>
      </c>
      <c r="D458" s="124">
        <v>21484.813999999998</v>
      </c>
      <c r="E458" s="124">
        <v>22495.219000000001</v>
      </c>
      <c r="F458" s="124">
        <v>3102.5221000000001</v>
      </c>
      <c r="G458" s="124">
        <v>3234.7249000000002</v>
      </c>
      <c r="H458" s="124">
        <v>3386.6309000000001</v>
      </c>
      <c r="I458" s="124">
        <v>3388.8094000000001</v>
      </c>
      <c r="J458" s="134">
        <v>2524016995</v>
      </c>
      <c r="K458" s="134">
        <v>2637818517</v>
      </c>
      <c r="L458" s="124">
        <v>31090.864000000001</v>
      </c>
      <c r="M458" s="134">
        <v>1566773</v>
      </c>
      <c r="N458" s="135">
        <v>1813.2644</v>
      </c>
      <c r="O458" s="135">
        <v>1846.1767</v>
      </c>
      <c r="P458" s="135">
        <v>1922.6177</v>
      </c>
      <c r="Q458" s="135">
        <v>1964.8244999999999</v>
      </c>
      <c r="R458" s="137">
        <v>1.18</v>
      </c>
      <c r="S458" s="120">
        <v>3053131</v>
      </c>
      <c r="T458" s="120">
        <v>38858448</v>
      </c>
      <c r="U458" s="120">
        <v>1269305</v>
      </c>
      <c r="V458" s="114">
        <f t="shared" si="16"/>
        <v>40127753</v>
      </c>
      <c r="W458" s="114">
        <f t="shared" si="17"/>
        <v>43180884</v>
      </c>
    </row>
    <row r="459" spans="1:23">
      <c r="A459" s="122" t="s">
        <v>2131</v>
      </c>
      <c r="B459" s="124">
        <v>2441.3359999999998</v>
      </c>
      <c r="C459" s="124">
        <v>2561.3820000000001</v>
      </c>
      <c r="D459" s="124">
        <v>2688.357</v>
      </c>
      <c r="E459" s="124">
        <v>2773.5839999999998</v>
      </c>
      <c r="F459" s="124">
        <v>438.96539999999999</v>
      </c>
      <c r="G459" s="124">
        <v>478.32889999999998</v>
      </c>
      <c r="H459" s="124">
        <v>495.56119999999999</v>
      </c>
      <c r="I459" s="124">
        <v>502.40120000000002</v>
      </c>
      <c r="J459" s="134">
        <v>192942914</v>
      </c>
      <c r="K459" s="134">
        <v>203147553</v>
      </c>
      <c r="L459" s="124">
        <v>4231.5259999999998</v>
      </c>
      <c r="M459" s="134">
        <v>56913</v>
      </c>
      <c r="N459" s="135">
        <v>254.41839999999999</v>
      </c>
      <c r="O459" s="135">
        <v>278.19819999999999</v>
      </c>
      <c r="P459" s="135">
        <v>282.31360000000001</v>
      </c>
      <c r="Q459" s="135">
        <v>296.09379999999999</v>
      </c>
      <c r="R459" s="137">
        <v>1.17</v>
      </c>
      <c r="S459" s="120">
        <v>213976</v>
      </c>
      <c r="T459" s="120">
        <v>2952223</v>
      </c>
      <c r="U459" s="120">
        <v>0</v>
      </c>
      <c r="V459" s="114">
        <f t="shared" si="16"/>
        <v>2952223</v>
      </c>
      <c r="W459" s="114">
        <f t="shared" si="17"/>
        <v>3166199</v>
      </c>
    </row>
    <row r="460" spans="1:23">
      <c r="A460" s="122" t="s">
        <v>2894</v>
      </c>
      <c r="B460" s="124">
        <v>19926.253000000001</v>
      </c>
      <c r="C460" s="124">
        <v>20112.467000000001</v>
      </c>
      <c r="D460" s="124">
        <v>20835.245999999999</v>
      </c>
      <c r="E460" s="124">
        <v>21499.628000000001</v>
      </c>
      <c r="F460" s="124">
        <v>2990.2345999999998</v>
      </c>
      <c r="G460" s="124">
        <v>3259.2060999999999</v>
      </c>
      <c r="H460" s="124">
        <v>3374.1934000000001</v>
      </c>
      <c r="I460" s="124">
        <v>3376.1035999999999</v>
      </c>
      <c r="J460" s="134">
        <v>3547397344</v>
      </c>
      <c r="K460" s="134">
        <v>3702179797</v>
      </c>
      <c r="L460" s="124">
        <v>28857.281999999999</v>
      </c>
      <c r="M460" s="134">
        <v>929903</v>
      </c>
      <c r="N460" s="135">
        <v>1678.8476000000001</v>
      </c>
      <c r="O460" s="135">
        <v>1805.2565</v>
      </c>
      <c r="P460" s="135">
        <v>1842.2952</v>
      </c>
      <c r="Q460" s="135">
        <v>1817.5237</v>
      </c>
      <c r="R460" s="137">
        <v>1.17</v>
      </c>
      <c r="S460" s="120">
        <v>1702749</v>
      </c>
      <c r="T460" s="120">
        <v>55757711</v>
      </c>
      <c r="U460" s="120">
        <v>0</v>
      </c>
      <c r="V460" s="114">
        <f t="shared" si="16"/>
        <v>55757711</v>
      </c>
      <c r="W460" s="114">
        <f t="shared" si="17"/>
        <v>57460460</v>
      </c>
    </row>
    <row r="461" spans="1:23">
      <c r="A461" s="122" t="s">
        <v>2897</v>
      </c>
      <c r="B461" s="124">
        <v>4595.3059999999996</v>
      </c>
      <c r="C461" s="124">
        <v>4604.8209999999999</v>
      </c>
      <c r="D461" s="124">
        <v>4724.9049999999997</v>
      </c>
      <c r="E461" s="124">
        <v>4838.1130000000003</v>
      </c>
      <c r="F461" s="124">
        <v>825.46040000000005</v>
      </c>
      <c r="G461" s="124">
        <v>804.5761</v>
      </c>
      <c r="H461" s="124">
        <v>809.39400000000001</v>
      </c>
      <c r="I461" s="124">
        <v>837.62379999999996</v>
      </c>
      <c r="J461" s="134">
        <v>172043202</v>
      </c>
      <c r="K461" s="134">
        <v>197951846</v>
      </c>
      <c r="L461" s="124">
        <v>6924.5060000000003</v>
      </c>
      <c r="M461" s="114">
        <v>0</v>
      </c>
      <c r="N461" s="135">
        <v>465.61200000000002</v>
      </c>
      <c r="O461" s="135">
        <v>455.93770000000001</v>
      </c>
      <c r="P461" s="135">
        <v>447.53649999999999</v>
      </c>
      <c r="Q461" s="135">
        <v>473.8383</v>
      </c>
      <c r="R461" s="137">
        <v>1.17</v>
      </c>
      <c r="S461" s="120">
        <v>206600</v>
      </c>
      <c r="T461" s="120">
        <v>2673175</v>
      </c>
      <c r="U461" s="120">
        <v>0</v>
      </c>
      <c r="V461" s="114">
        <f t="shared" si="16"/>
        <v>2673175</v>
      </c>
      <c r="W461" s="114">
        <f t="shared" si="17"/>
        <v>2879775</v>
      </c>
    </row>
    <row r="462" spans="1:23">
      <c r="A462" s="122" t="s">
        <v>2903</v>
      </c>
      <c r="B462" s="124">
        <v>11423.704</v>
      </c>
      <c r="C462" s="124">
        <v>11561.791999999999</v>
      </c>
      <c r="D462" s="124">
        <v>12180.989</v>
      </c>
      <c r="E462" s="124">
        <v>12745.06</v>
      </c>
      <c r="F462" s="124">
        <v>1898.5808999999999</v>
      </c>
      <c r="G462" s="124">
        <v>1917.8507999999999</v>
      </c>
      <c r="H462" s="124">
        <v>1928.1049</v>
      </c>
      <c r="I462" s="124">
        <v>1998.7716</v>
      </c>
      <c r="J462" s="134">
        <v>743199866</v>
      </c>
      <c r="K462" s="134">
        <v>823789153</v>
      </c>
      <c r="L462" s="124">
        <v>17171.897000000001</v>
      </c>
      <c r="M462" s="134">
        <v>91379</v>
      </c>
      <c r="N462" s="135">
        <v>1084.1457</v>
      </c>
      <c r="O462" s="135">
        <v>1095.5389</v>
      </c>
      <c r="P462" s="135">
        <v>1093.672</v>
      </c>
      <c r="Q462" s="135">
        <v>1204.9992999999999</v>
      </c>
      <c r="R462" s="137">
        <v>1.19</v>
      </c>
      <c r="S462" s="120">
        <v>1060153</v>
      </c>
      <c r="T462" s="120">
        <v>11683559</v>
      </c>
      <c r="U462" s="120">
        <v>0</v>
      </c>
      <c r="V462" s="114">
        <f t="shared" si="16"/>
        <v>11683559</v>
      </c>
      <c r="W462" s="114">
        <f t="shared" si="17"/>
        <v>12743712</v>
      </c>
    </row>
    <row r="463" spans="1:23">
      <c r="A463" s="122" t="s">
        <v>239</v>
      </c>
      <c r="B463" s="124">
        <v>20225.103999999999</v>
      </c>
      <c r="C463" s="124">
        <v>20728.905999999999</v>
      </c>
      <c r="D463" s="124">
        <v>21937.483</v>
      </c>
      <c r="E463" s="124">
        <v>23173.687999999998</v>
      </c>
      <c r="F463" s="124">
        <v>3282.2274000000002</v>
      </c>
      <c r="G463" s="124">
        <v>3336.1898999999999</v>
      </c>
      <c r="H463" s="124">
        <v>3419.69</v>
      </c>
      <c r="I463" s="124">
        <v>3601.2285000000002</v>
      </c>
      <c r="J463" s="134">
        <v>1512593345</v>
      </c>
      <c r="K463" s="134">
        <v>1656734593</v>
      </c>
      <c r="L463" s="124">
        <v>32391.440999999999</v>
      </c>
      <c r="M463" s="134">
        <v>379516</v>
      </c>
      <c r="N463" s="135">
        <v>1861.7370000000001</v>
      </c>
      <c r="O463" s="135">
        <v>1962.9848999999999</v>
      </c>
      <c r="P463" s="135">
        <v>2045.1114</v>
      </c>
      <c r="Q463" s="135">
        <v>2156.7309</v>
      </c>
      <c r="R463" s="137">
        <v>1.19</v>
      </c>
      <c r="S463" s="120">
        <v>1952700</v>
      </c>
      <c r="T463" s="120">
        <v>24686251</v>
      </c>
      <c r="U463" s="120">
        <v>0</v>
      </c>
      <c r="V463" s="114">
        <f t="shared" si="16"/>
        <v>24686251</v>
      </c>
      <c r="W463" s="114">
        <f t="shared" si="17"/>
        <v>26638951</v>
      </c>
    </row>
    <row r="464" spans="1:23">
      <c r="A464" s="122" t="s">
        <v>1218</v>
      </c>
      <c r="B464" s="124">
        <v>1818.87</v>
      </c>
      <c r="C464" s="124">
        <v>1837.595</v>
      </c>
      <c r="D464" s="124">
        <v>1896.2149999999999</v>
      </c>
      <c r="E464" s="124">
        <v>1969.5360000000001</v>
      </c>
      <c r="F464" s="124">
        <v>319.9896</v>
      </c>
      <c r="G464" s="124">
        <v>334.31810000000002</v>
      </c>
      <c r="H464" s="124">
        <v>379.75119999999998</v>
      </c>
      <c r="I464" s="124">
        <v>357.54140000000001</v>
      </c>
      <c r="J464" s="134">
        <v>52585885</v>
      </c>
      <c r="K464" s="134">
        <v>60844661</v>
      </c>
      <c r="L464" s="124">
        <v>3011.5140000000001</v>
      </c>
      <c r="M464" s="134">
        <v>18323</v>
      </c>
      <c r="N464" s="135">
        <v>188.3878</v>
      </c>
      <c r="O464" s="135">
        <v>193.762</v>
      </c>
      <c r="P464" s="135">
        <v>191.40369999999999</v>
      </c>
      <c r="Q464" s="135">
        <v>195.94569999999999</v>
      </c>
      <c r="R464" s="137">
        <v>1.1599999999999999</v>
      </c>
      <c r="S464" s="120">
        <v>97012</v>
      </c>
      <c r="T464" s="120">
        <v>797925</v>
      </c>
      <c r="U464" s="120">
        <v>0</v>
      </c>
      <c r="V464" s="114">
        <f t="shared" si="16"/>
        <v>797925</v>
      </c>
      <c r="W464" s="114">
        <f t="shared" si="17"/>
        <v>894937</v>
      </c>
    </row>
    <row r="465" spans="1:23">
      <c r="A465" s="122" t="s">
        <v>1759</v>
      </c>
      <c r="B465" s="124">
        <v>4572.049</v>
      </c>
      <c r="C465" s="124">
        <v>4867.1509999999998</v>
      </c>
      <c r="D465" s="124">
        <v>5272.5140000000001</v>
      </c>
      <c r="E465" s="124">
        <v>5843.8609999999999</v>
      </c>
      <c r="F465" s="124">
        <v>618.81240000000003</v>
      </c>
      <c r="G465" s="124">
        <v>664.43870000000004</v>
      </c>
      <c r="H465" s="124">
        <v>703.0566</v>
      </c>
      <c r="I465" s="124">
        <v>764.8954</v>
      </c>
      <c r="J465" s="134">
        <v>783581015</v>
      </c>
      <c r="K465" s="134">
        <v>824939073</v>
      </c>
      <c r="L465" s="124">
        <v>7496.5550000000003</v>
      </c>
      <c r="M465" s="134">
        <v>810163</v>
      </c>
      <c r="N465" s="135">
        <v>371.93430000000001</v>
      </c>
      <c r="O465" s="135">
        <v>378.4511</v>
      </c>
      <c r="P465" s="135">
        <v>391.41680000000002</v>
      </c>
      <c r="Q465" s="135">
        <v>432.79820000000001</v>
      </c>
      <c r="R465" s="137">
        <v>1.1399999999999999</v>
      </c>
      <c r="S465" s="120">
        <v>874170</v>
      </c>
      <c r="T465" s="120">
        <v>13100978</v>
      </c>
      <c r="U465" s="120">
        <v>0</v>
      </c>
      <c r="V465" s="114">
        <f t="shared" si="16"/>
        <v>13100978</v>
      </c>
      <c r="W465" s="114">
        <f t="shared" si="17"/>
        <v>13975148</v>
      </c>
    </row>
    <row r="466" spans="1:23">
      <c r="A466" s="122" t="s">
        <v>65</v>
      </c>
      <c r="B466" s="124">
        <v>15257.231</v>
      </c>
      <c r="C466" s="124">
        <v>16120.624</v>
      </c>
      <c r="D466" s="124">
        <v>17578.364000000001</v>
      </c>
      <c r="E466" s="124">
        <v>18671.474999999999</v>
      </c>
      <c r="F466" s="124">
        <v>2354.4492</v>
      </c>
      <c r="G466" s="124">
        <v>2466.1307999999999</v>
      </c>
      <c r="H466" s="124">
        <v>2665.9521</v>
      </c>
      <c r="I466" s="124">
        <v>2855.2359000000001</v>
      </c>
      <c r="J466" s="134">
        <v>1236307007</v>
      </c>
      <c r="K466" s="134">
        <v>1332354604</v>
      </c>
      <c r="L466" s="124">
        <v>26882.948</v>
      </c>
      <c r="M466" s="134">
        <v>362284</v>
      </c>
      <c r="N466" s="135">
        <v>1236.1044999999999</v>
      </c>
      <c r="O466" s="135">
        <v>1308.5118</v>
      </c>
      <c r="P466" s="135">
        <v>1427.2682</v>
      </c>
      <c r="Q466" s="135">
        <v>1561.5953999999999</v>
      </c>
      <c r="R466" s="137">
        <v>1.2</v>
      </c>
      <c r="S466" s="120">
        <v>947467</v>
      </c>
      <c r="T466" s="120">
        <v>17310950</v>
      </c>
      <c r="U466" s="120">
        <v>0</v>
      </c>
      <c r="V466" s="114">
        <f t="shared" si="16"/>
        <v>17310950</v>
      </c>
      <c r="W466" s="114">
        <f t="shared" si="17"/>
        <v>18258417</v>
      </c>
    </row>
    <row r="467" spans="1:23">
      <c r="A467" s="122" t="s">
        <v>821</v>
      </c>
      <c r="B467" s="124">
        <v>12745.434999999999</v>
      </c>
      <c r="C467" s="124">
        <v>12838.78</v>
      </c>
      <c r="D467" s="124">
        <v>13264.058000000001</v>
      </c>
      <c r="E467" s="124">
        <v>13845.602999999999</v>
      </c>
      <c r="F467" s="124">
        <v>2071.3613</v>
      </c>
      <c r="G467" s="124">
        <v>2263.0187999999998</v>
      </c>
      <c r="H467" s="124">
        <v>2247.9499000000001</v>
      </c>
      <c r="I467" s="124">
        <v>2197.4297999999999</v>
      </c>
      <c r="J467" s="134">
        <v>890312783</v>
      </c>
      <c r="K467" s="134">
        <v>974496691</v>
      </c>
      <c r="L467" s="124">
        <v>19385.392</v>
      </c>
      <c r="M467" s="134">
        <v>483249</v>
      </c>
      <c r="N467" s="135">
        <v>1092.7534000000001</v>
      </c>
      <c r="O467" s="135">
        <v>927.49559999999997</v>
      </c>
      <c r="P467" s="135">
        <v>1132.8306</v>
      </c>
      <c r="Q467" s="135">
        <v>1143.6968999999999</v>
      </c>
      <c r="R467" s="137">
        <v>1.19</v>
      </c>
      <c r="S467" s="120">
        <v>510259</v>
      </c>
      <c r="T467" s="120">
        <v>13208510</v>
      </c>
      <c r="U467" s="120">
        <v>0</v>
      </c>
      <c r="V467" s="114">
        <f t="shared" si="16"/>
        <v>13208510</v>
      </c>
      <c r="W467" s="114">
        <f t="shared" si="17"/>
        <v>13718769</v>
      </c>
    </row>
    <row r="468" spans="1:23">
      <c r="A468" s="122" t="s">
        <v>67</v>
      </c>
      <c r="B468" s="124">
        <v>633.22500000000002</v>
      </c>
      <c r="C468" s="124">
        <v>691.70100000000002</v>
      </c>
      <c r="D468" s="124">
        <v>676.99900000000002</v>
      </c>
      <c r="E468" s="124">
        <v>658.24599999999998</v>
      </c>
      <c r="F468" s="124">
        <v>130.01089999999999</v>
      </c>
      <c r="G468" s="124">
        <v>129.12690000000001</v>
      </c>
      <c r="H468" s="124">
        <v>132.95189999999999</v>
      </c>
      <c r="I468" s="124">
        <v>130.77010000000001</v>
      </c>
      <c r="J468" s="134">
        <v>46330267</v>
      </c>
      <c r="K468" s="134">
        <v>49842217</v>
      </c>
      <c r="L468" s="124">
        <v>1183.874</v>
      </c>
      <c r="M468" s="134">
        <v>57007</v>
      </c>
      <c r="N468" s="135">
        <v>80.282899999999998</v>
      </c>
      <c r="O468" s="135">
        <v>76.878799999999998</v>
      </c>
      <c r="P468" s="135">
        <v>83.821299999999994</v>
      </c>
      <c r="Q468" s="135">
        <v>79.511399999999995</v>
      </c>
      <c r="R468" s="137">
        <v>1.1499999999999999</v>
      </c>
      <c r="S468" s="120">
        <v>99852</v>
      </c>
      <c r="T468" s="120">
        <v>628696</v>
      </c>
      <c r="U468" s="120">
        <v>0</v>
      </c>
      <c r="V468" s="114">
        <f t="shared" si="16"/>
        <v>628696</v>
      </c>
      <c r="W468" s="114">
        <f t="shared" si="17"/>
        <v>728548</v>
      </c>
    </row>
    <row r="469" spans="1:23">
      <c r="A469" s="122" t="s">
        <v>554</v>
      </c>
      <c r="B469" s="124">
        <v>434.30700000000002</v>
      </c>
      <c r="C469" s="124">
        <v>423.43</v>
      </c>
      <c r="D469" s="124">
        <v>415.44200000000001</v>
      </c>
      <c r="E469" s="124">
        <v>418.64499999999998</v>
      </c>
      <c r="F469" s="124">
        <v>81.5535</v>
      </c>
      <c r="G469" s="124">
        <v>86.805199999999999</v>
      </c>
      <c r="H469" s="124">
        <v>78</v>
      </c>
      <c r="I469" s="124">
        <v>86.659599999999998</v>
      </c>
      <c r="J469" s="134">
        <v>29245525</v>
      </c>
      <c r="K469" s="134">
        <v>32762759</v>
      </c>
      <c r="L469" s="124">
        <v>758.27800000000002</v>
      </c>
      <c r="M469" s="134">
        <v>22509</v>
      </c>
      <c r="N469" s="135">
        <v>50.395099999999999</v>
      </c>
      <c r="O469" s="135">
        <v>51.631500000000003</v>
      </c>
      <c r="P469" s="135">
        <v>55.000300000000003</v>
      </c>
      <c r="Q469" s="135">
        <v>48.829799999999999</v>
      </c>
      <c r="R469" s="137">
        <v>1.1399999999999999</v>
      </c>
      <c r="S469" s="120">
        <v>64757</v>
      </c>
      <c r="T469" s="120">
        <v>500182</v>
      </c>
      <c r="U469" s="120">
        <v>0</v>
      </c>
      <c r="V469" s="114">
        <f t="shared" si="16"/>
        <v>500182</v>
      </c>
      <c r="W469" s="114">
        <f t="shared" si="17"/>
        <v>564939</v>
      </c>
    </row>
    <row r="470" spans="1:23">
      <c r="A470" s="122" t="s">
        <v>1715</v>
      </c>
      <c r="B470" s="124">
        <v>1999.877</v>
      </c>
      <c r="C470" s="124">
        <v>2166.3580000000002</v>
      </c>
      <c r="D470" s="124">
        <v>2328.7370000000001</v>
      </c>
      <c r="E470" s="124">
        <v>2521.395</v>
      </c>
      <c r="F470" s="124">
        <v>318.32600000000002</v>
      </c>
      <c r="G470" s="124">
        <v>346.54109999999997</v>
      </c>
      <c r="H470" s="124">
        <v>369.37</v>
      </c>
      <c r="I470" s="124">
        <v>402.67340000000002</v>
      </c>
      <c r="J470" s="134">
        <v>129986646</v>
      </c>
      <c r="K470" s="134">
        <v>140639670</v>
      </c>
      <c r="L470" s="124">
        <v>3858.29</v>
      </c>
      <c r="M470" s="114">
        <v>0</v>
      </c>
      <c r="N470" s="135">
        <v>170.88300000000001</v>
      </c>
      <c r="O470" s="135">
        <v>195.0094</v>
      </c>
      <c r="P470" s="135">
        <v>213.28280000000001</v>
      </c>
      <c r="Q470" s="135">
        <v>225.28970000000001</v>
      </c>
      <c r="R470" s="137">
        <v>1.1599999999999999</v>
      </c>
      <c r="S470" s="120">
        <v>135499</v>
      </c>
      <c r="T470" s="120">
        <v>2046169</v>
      </c>
      <c r="U470" s="120">
        <v>0</v>
      </c>
      <c r="V470" s="114">
        <f t="shared" si="16"/>
        <v>2046169</v>
      </c>
      <c r="W470" s="114">
        <f t="shared" si="17"/>
        <v>2181668</v>
      </c>
    </row>
    <row r="471" spans="1:23">
      <c r="A471" s="122" t="s">
        <v>172</v>
      </c>
      <c r="B471" s="124">
        <v>253.44900000000001</v>
      </c>
      <c r="C471" s="124">
        <v>253.64699999999999</v>
      </c>
      <c r="D471" s="124">
        <v>245.98699999999999</v>
      </c>
      <c r="E471" s="124">
        <v>259.42500000000001</v>
      </c>
      <c r="F471" s="124">
        <v>45.637300000000003</v>
      </c>
      <c r="G471" s="124">
        <v>45.285299999999999</v>
      </c>
      <c r="H471" s="124">
        <v>46.670400000000001</v>
      </c>
      <c r="I471" s="124">
        <v>46.202100000000002</v>
      </c>
      <c r="J471" s="134">
        <v>30515629</v>
      </c>
      <c r="K471" s="134">
        <v>33387089</v>
      </c>
      <c r="L471" s="124">
        <v>442.41500000000002</v>
      </c>
      <c r="M471" s="114">
        <v>0</v>
      </c>
      <c r="N471" s="135">
        <v>33.308100000000003</v>
      </c>
      <c r="O471" s="135">
        <v>32.738399999999999</v>
      </c>
      <c r="P471" s="135">
        <v>33.833500000000001</v>
      </c>
      <c r="Q471" s="135">
        <v>32.451099999999997</v>
      </c>
      <c r="R471" s="137">
        <v>1.06</v>
      </c>
      <c r="S471" s="120">
        <v>0</v>
      </c>
      <c r="T471" s="120">
        <v>479818</v>
      </c>
      <c r="U471" s="120">
        <v>12047</v>
      </c>
      <c r="V471" s="114">
        <f t="shared" si="16"/>
        <v>491865</v>
      </c>
      <c r="W471" s="114">
        <f t="shared" si="17"/>
        <v>491865</v>
      </c>
    </row>
    <row r="472" spans="1:23">
      <c r="A472" s="122" t="s">
        <v>2869</v>
      </c>
      <c r="B472" s="124">
        <v>209.93</v>
      </c>
      <c r="C472" s="124">
        <v>219.00800000000001</v>
      </c>
      <c r="D472" s="124">
        <v>217.77199999999999</v>
      </c>
      <c r="E472" s="124">
        <v>211.74</v>
      </c>
      <c r="F472" s="124">
        <v>40.5</v>
      </c>
      <c r="G472" s="124">
        <v>40.534799999999997</v>
      </c>
      <c r="H472" s="124">
        <v>43.625700000000002</v>
      </c>
      <c r="I472" s="124">
        <v>41.812800000000003</v>
      </c>
      <c r="J472" s="134">
        <v>22514229</v>
      </c>
      <c r="K472" s="134">
        <v>24700265</v>
      </c>
      <c r="L472" s="124">
        <v>382.49099999999999</v>
      </c>
      <c r="M472" s="114">
        <v>0</v>
      </c>
      <c r="N472" s="135">
        <v>22.998899999999999</v>
      </c>
      <c r="O472" s="135">
        <v>27.7424</v>
      </c>
      <c r="P472" s="135">
        <v>31.742599999999999</v>
      </c>
      <c r="Q472" s="135">
        <v>25.887</v>
      </c>
      <c r="R472" s="137">
        <v>1.06</v>
      </c>
      <c r="S472" s="120">
        <v>18462</v>
      </c>
      <c r="T472" s="120">
        <v>355989</v>
      </c>
      <c r="U472" s="120">
        <v>0</v>
      </c>
      <c r="V472" s="114">
        <f t="shared" si="16"/>
        <v>355989</v>
      </c>
      <c r="W472" s="114">
        <f t="shared" si="17"/>
        <v>374451</v>
      </c>
    </row>
    <row r="473" spans="1:23">
      <c r="A473" s="122" t="s">
        <v>2756</v>
      </c>
      <c r="B473" s="124">
        <v>330.23500000000001</v>
      </c>
      <c r="C473" s="124">
        <v>295.13</v>
      </c>
      <c r="D473" s="124">
        <v>305.72899999999998</v>
      </c>
      <c r="E473" s="124">
        <v>313.31200000000001</v>
      </c>
      <c r="F473" s="124">
        <v>58.585299999999997</v>
      </c>
      <c r="G473" s="124">
        <v>55.898200000000003</v>
      </c>
      <c r="H473" s="124">
        <v>54.288499999999999</v>
      </c>
      <c r="I473" s="124">
        <v>54.331499999999998</v>
      </c>
      <c r="J473" s="134">
        <v>23873844</v>
      </c>
      <c r="K473" s="134">
        <v>27478380</v>
      </c>
      <c r="L473" s="124">
        <v>525.42600000000004</v>
      </c>
      <c r="M473" s="114">
        <v>0</v>
      </c>
      <c r="N473" s="135">
        <v>44.572400000000002</v>
      </c>
      <c r="O473" s="135">
        <v>30.000800000000002</v>
      </c>
      <c r="P473" s="135">
        <v>28.381499999999999</v>
      </c>
      <c r="Q473" s="135">
        <v>37.025799999999997</v>
      </c>
      <c r="R473" s="137">
        <v>1.05</v>
      </c>
      <c r="S473" s="120">
        <v>90</v>
      </c>
      <c r="T473" s="120">
        <v>394857</v>
      </c>
      <c r="U473" s="120">
        <v>20455</v>
      </c>
      <c r="V473" s="114">
        <f t="shared" si="16"/>
        <v>415312</v>
      </c>
      <c r="W473" s="114">
        <f t="shared" si="17"/>
        <v>415402</v>
      </c>
    </row>
    <row r="474" spans="1:23">
      <c r="A474" s="122" t="s">
        <v>2133</v>
      </c>
      <c r="B474" s="124">
        <v>1657.9690000000001</v>
      </c>
      <c r="C474" s="124">
        <v>1654.27</v>
      </c>
      <c r="D474" s="124">
        <v>1689.297</v>
      </c>
      <c r="E474" s="124">
        <v>1656.7</v>
      </c>
      <c r="F474" s="124">
        <v>310.1551</v>
      </c>
      <c r="G474" s="124">
        <v>318.99619999999999</v>
      </c>
      <c r="H474" s="124">
        <v>338.33629999999999</v>
      </c>
      <c r="I474" s="124">
        <v>344.07010000000002</v>
      </c>
      <c r="J474" s="134">
        <v>301035879</v>
      </c>
      <c r="K474" s="134">
        <v>320755250</v>
      </c>
      <c r="L474" s="124">
        <v>2473.7249999999999</v>
      </c>
      <c r="M474" s="134">
        <v>231731</v>
      </c>
      <c r="N474" s="135">
        <v>192.70079999999999</v>
      </c>
      <c r="O474" s="135">
        <v>192.99449999999999</v>
      </c>
      <c r="P474" s="135">
        <v>200.49379999999999</v>
      </c>
      <c r="Q474" s="135">
        <v>209.17619999999999</v>
      </c>
      <c r="R474" s="137">
        <v>1.05</v>
      </c>
      <c r="S474" s="120">
        <v>1022425</v>
      </c>
      <c r="T474" s="120">
        <v>4811770</v>
      </c>
      <c r="U474" s="120">
        <v>0</v>
      </c>
      <c r="V474" s="114">
        <f t="shared" si="16"/>
        <v>4811770</v>
      </c>
      <c r="W474" s="114">
        <f t="shared" si="17"/>
        <v>5834195</v>
      </c>
    </row>
    <row r="475" spans="1:23">
      <c r="A475" s="122" t="s">
        <v>555</v>
      </c>
      <c r="B475" s="124">
        <v>477.75</v>
      </c>
      <c r="C475" s="124">
        <v>466.00400000000002</v>
      </c>
      <c r="D475" s="124">
        <v>451.93099999999998</v>
      </c>
      <c r="E475" s="124">
        <v>432.48599999999999</v>
      </c>
      <c r="F475" s="124">
        <v>83.9786</v>
      </c>
      <c r="G475" s="124">
        <v>82.987200000000001</v>
      </c>
      <c r="H475" s="124">
        <v>86.008600000000001</v>
      </c>
      <c r="I475" s="124">
        <v>85.495500000000007</v>
      </c>
      <c r="J475" s="134">
        <v>34199562</v>
      </c>
      <c r="K475" s="134">
        <v>39050107</v>
      </c>
      <c r="L475" s="124">
        <v>743.72799999999995</v>
      </c>
      <c r="M475" s="134">
        <v>14810</v>
      </c>
      <c r="N475" s="135">
        <v>51.998800000000003</v>
      </c>
      <c r="O475" s="135">
        <v>53.999699999999997</v>
      </c>
      <c r="P475" s="135">
        <v>53.002600000000001</v>
      </c>
      <c r="Q475" s="135">
        <v>54.252600000000001</v>
      </c>
      <c r="R475" s="137">
        <v>1.05</v>
      </c>
      <c r="S475" s="120">
        <v>71149</v>
      </c>
      <c r="T475" s="120">
        <v>552617</v>
      </c>
      <c r="U475" s="120">
        <v>0</v>
      </c>
      <c r="V475" s="114">
        <f t="shared" si="16"/>
        <v>552617</v>
      </c>
      <c r="W475" s="114">
        <f t="shared" si="17"/>
        <v>623766</v>
      </c>
    </row>
    <row r="476" spans="1:23">
      <c r="A476" s="122" t="s">
        <v>49</v>
      </c>
      <c r="B476" s="124">
        <v>497.58499999999998</v>
      </c>
      <c r="C476" s="124">
        <v>513.94500000000005</v>
      </c>
      <c r="D476" s="124">
        <v>562.44799999999998</v>
      </c>
      <c r="E476" s="124">
        <v>593.96600000000001</v>
      </c>
      <c r="F476" s="124">
        <v>83.251800000000003</v>
      </c>
      <c r="G476" s="124">
        <v>85.374799999999993</v>
      </c>
      <c r="H476" s="124">
        <v>87.367900000000006</v>
      </c>
      <c r="I476" s="124">
        <v>81.455500000000001</v>
      </c>
      <c r="J476" s="134">
        <v>61375090</v>
      </c>
      <c r="K476" s="134">
        <v>67936043</v>
      </c>
      <c r="L476" s="124">
        <v>1035.1790000000001</v>
      </c>
      <c r="M476" s="134">
        <v>24378</v>
      </c>
      <c r="N476" s="135">
        <v>58.341999999999999</v>
      </c>
      <c r="O476" s="135">
        <v>60.084400000000002</v>
      </c>
      <c r="P476" s="135">
        <v>59.6203</v>
      </c>
      <c r="Q476" s="135">
        <v>53.871499999999997</v>
      </c>
      <c r="R476" s="137">
        <v>1.06</v>
      </c>
      <c r="S476" s="120">
        <v>63702</v>
      </c>
      <c r="T476" s="120">
        <v>1057165</v>
      </c>
      <c r="U476" s="120">
        <v>0</v>
      </c>
      <c r="V476" s="114">
        <f t="shared" si="16"/>
        <v>1057165</v>
      </c>
      <c r="W476" s="114">
        <f t="shared" si="17"/>
        <v>1120867</v>
      </c>
    </row>
    <row r="477" spans="1:23">
      <c r="A477" s="122" t="s">
        <v>173</v>
      </c>
      <c r="B477" s="124">
        <v>71.247</v>
      </c>
      <c r="C477" s="124">
        <v>63.716999999999999</v>
      </c>
      <c r="D477" s="124">
        <v>66.819999999999993</v>
      </c>
      <c r="E477" s="124">
        <v>64.968999999999994</v>
      </c>
      <c r="F477" s="124">
        <v>40.695399999999999</v>
      </c>
      <c r="G477" s="124">
        <v>37.094099999999997</v>
      </c>
      <c r="H477" s="124">
        <v>33.9373</v>
      </c>
      <c r="I477" s="124">
        <v>33.513599999999997</v>
      </c>
      <c r="J477" s="134">
        <v>13168498</v>
      </c>
      <c r="K477" s="134">
        <v>14451338</v>
      </c>
      <c r="L477" s="124">
        <v>146.74100000000001</v>
      </c>
      <c r="M477" s="114">
        <v>0</v>
      </c>
      <c r="N477" s="135">
        <v>13.5</v>
      </c>
      <c r="O477" s="135">
        <v>13</v>
      </c>
      <c r="P477" s="135">
        <v>11.9994</v>
      </c>
      <c r="Q477" s="135">
        <v>12.0953</v>
      </c>
      <c r="R477" s="137">
        <v>1.07</v>
      </c>
      <c r="S477" s="120">
        <v>0</v>
      </c>
      <c r="T477" s="120">
        <v>179189</v>
      </c>
      <c r="U477" s="120">
        <v>9313</v>
      </c>
      <c r="V477" s="114">
        <f t="shared" si="16"/>
        <v>188502</v>
      </c>
      <c r="W477" s="114">
        <f t="shared" si="17"/>
        <v>188502</v>
      </c>
    </row>
    <row r="478" spans="1:23">
      <c r="A478" s="122" t="s">
        <v>567</v>
      </c>
      <c r="B478" s="124">
        <v>96.27</v>
      </c>
      <c r="C478" s="124">
        <v>103.818</v>
      </c>
      <c r="D478" s="124">
        <v>100.68300000000001</v>
      </c>
      <c r="E478" s="124">
        <v>105.666</v>
      </c>
      <c r="F478" s="124">
        <v>33.188099999999999</v>
      </c>
      <c r="G478" s="124">
        <v>34.618099999999998</v>
      </c>
      <c r="H478" s="124">
        <v>35.627299999999998</v>
      </c>
      <c r="I478" s="124">
        <v>28.323599999999999</v>
      </c>
      <c r="J478" s="134">
        <v>13285211</v>
      </c>
      <c r="K478" s="134">
        <v>15273431</v>
      </c>
      <c r="L478" s="124">
        <v>185.286</v>
      </c>
      <c r="M478" s="114">
        <v>0</v>
      </c>
      <c r="N478" s="135">
        <v>25.34</v>
      </c>
      <c r="O478" s="135">
        <v>26.770099999999999</v>
      </c>
      <c r="P478" s="135">
        <v>27.3521</v>
      </c>
      <c r="Q478" s="135">
        <v>20.064699999999998</v>
      </c>
      <c r="R478" s="137">
        <v>1.06</v>
      </c>
      <c r="S478" s="120">
        <v>0</v>
      </c>
      <c r="T478" s="120">
        <v>214348</v>
      </c>
      <c r="U478" s="120">
        <v>9490</v>
      </c>
      <c r="V478" s="114">
        <f t="shared" si="16"/>
        <v>223838</v>
      </c>
      <c r="W478" s="114">
        <f t="shared" si="17"/>
        <v>223838</v>
      </c>
    </row>
    <row r="479" spans="1:23">
      <c r="A479" s="122" t="s">
        <v>1760</v>
      </c>
      <c r="B479" s="124">
        <v>1429.12</v>
      </c>
      <c r="C479" s="124">
        <v>1427.338</v>
      </c>
      <c r="D479" s="124">
        <v>1461.33</v>
      </c>
      <c r="E479" s="124">
        <v>1452.848</v>
      </c>
      <c r="F479" s="124">
        <v>208.4974</v>
      </c>
      <c r="G479" s="124">
        <v>229.27090000000001</v>
      </c>
      <c r="H479" s="124">
        <v>222.66800000000001</v>
      </c>
      <c r="I479" s="124">
        <v>236.07239999999999</v>
      </c>
      <c r="J479" s="134">
        <v>307958791</v>
      </c>
      <c r="K479" s="134">
        <v>330027429</v>
      </c>
      <c r="L479" s="124">
        <v>2021.095</v>
      </c>
      <c r="M479" s="134">
        <v>441615</v>
      </c>
      <c r="N479" s="135">
        <v>130.69110000000001</v>
      </c>
      <c r="O479" s="135">
        <v>156.54390000000001</v>
      </c>
      <c r="P479" s="135">
        <v>151.10900000000001</v>
      </c>
      <c r="Q479" s="135">
        <v>150.53229999999999</v>
      </c>
      <c r="R479" s="137">
        <v>1.06</v>
      </c>
      <c r="S479" s="120">
        <v>493612</v>
      </c>
      <c r="T479" s="120">
        <v>4353881</v>
      </c>
      <c r="U479" s="120">
        <v>0</v>
      </c>
      <c r="V479" s="114">
        <f t="shared" si="16"/>
        <v>4353881</v>
      </c>
      <c r="W479" s="114">
        <f t="shared" si="17"/>
        <v>4847493</v>
      </c>
    </row>
    <row r="480" spans="1:23">
      <c r="A480" s="122" t="s">
        <v>568</v>
      </c>
      <c r="B480" s="124">
        <v>176.43100000000001</v>
      </c>
      <c r="C480" s="124">
        <v>172.11099999999999</v>
      </c>
      <c r="D480" s="124">
        <v>168.249</v>
      </c>
      <c r="E480" s="124">
        <v>182.13200000000001</v>
      </c>
      <c r="F480" s="124">
        <v>29.693899999999999</v>
      </c>
      <c r="G480" s="124">
        <v>27.915800000000001</v>
      </c>
      <c r="H480" s="124">
        <v>29.231300000000001</v>
      </c>
      <c r="I480" s="124">
        <v>30.240600000000001</v>
      </c>
      <c r="J480" s="134">
        <v>24860824</v>
      </c>
      <c r="K480" s="134">
        <v>27579076</v>
      </c>
      <c r="L480" s="124">
        <v>318.54899999999998</v>
      </c>
      <c r="M480" s="114">
        <v>0</v>
      </c>
      <c r="N480" s="135">
        <v>18.5014</v>
      </c>
      <c r="O480" s="135">
        <v>16.500800000000002</v>
      </c>
      <c r="P480" s="135">
        <v>21.250299999999999</v>
      </c>
      <c r="Q480" s="135">
        <v>21.5122</v>
      </c>
      <c r="R480" s="137">
        <v>1.06</v>
      </c>
      <c r="S480" s="120">
        <v>19958</v>
      </c>
      <c r="T480" s="120">
        <v>401965</v>
      </c>
      <c r="U480" s="120">
        <v>0</v>
      </c>
      <c r="V480" s="114">
        <f t="shared" si="16"/>
        <v>401965</v>
      </c>
      <c r="W480" s="114">
        <f t="shared" si="17"/>
        <v>421923</v>
      </c>
    </row>
    <row r="481" spans="1:23">
      <c r="A481" s="122" t="s">
        <v>1733</v>
      </c>
      <c r="B481" s="124">
        <v>259.70400000000001</v>
      </c>
      <c r="C481" s="124">
        <v>261.96499999999997</v>
      </c>
      <c r="D481" s="124">
        <v>264.57299999999998</v>
      </c>
      <c r="E481" s="124">
        <v>294.762</v>
      </c>
      <c r="F481" s="124">
        <v>46.590600000000002</v>
      </c>
      <c r="G481" s="124">
        <v>46.008200000000002</v>
      </c>
      <c r="H481" s="124">
        <v>45.746099999999998</v>
      </c>
      <c r="I481" s="124">
        <v>48.427599999999998</v>
      </c>
      <c r="J481" s="134">
        <v>36644660</v>
      </c>
      <c r="K481" s="134">
        <v>40262021</v>
      </c>
      <c r="L481" s="124">
        <v>509.69600000000003</v>
      </c>
      <c r="M481" s="134">
        <v>41684</v>
      </c>
      <c r="N481" s="135">
        <v>31.015499999999999</v>
      </c>
      <c r="O481" s="135">
        <v>30.958100000000002</v>
      </c>
      <c r="P481" s="135">
        <v>29.202500000000001</v>
      </c>
      <c r="Q481" s="135">
        <v>32.238999999999997</v>
      </c>
      <c r="R481" s="137">
        <v>1.05</v>
      </c>
      <c r="S481" s="120">
        <v>74789</v>
      </c>
      <c r="T481" s="120">
        <v>566622</v>
      </c>
      <c r="U481" s="120">
        <v>0</v>
      </c>
      <c r="V481" s="114">
        <f t="shared" si="16"/>
        <v>566622</v>
      </c>
      <c r="W481" s="114">
        <f t="shared" si="17"/>
        <v>641411</v>
      </c>
    </row>
    <row r="482" spans="1:23">
      <c r="A482" s="122" t="s">
        <v>569</v>
      </c>
      <c r="B482" s="124">
        <v>146.46199999999999</v>
      </c>
      <c r="C482" s="124">
        <v>154.53299999999999</v>
      </c>
      <c r="D482" s="124">
        <v>157.95500000000001</v>
      </c>
      <c r="E482" s="124">
        <v>170.16800000000001</v>
      </c>
      <c r="F482" s="124">
        <v>28.5962</v>
      </c>
      <c r="G482" s="124">
        <v>32.4529</v>
      </c>
      <c r="H482" s="124">
        <v>33.734699999999997</v>
      </c>
      <c r="I482" s="124">
        <v>33.373199999999997</v>
      </c>
      <c r="J482" s="134">
        <v>12338326</v>
      </c>
      <c r="K482" s="134">
        <v>13766793</v>
      </c>
      <c r="L482" s="124">
        <v>304.84100000000001</v>
      </c>
      <c r="M482" s="114">
        <v>0</v>
      </c>
      <c r="N482" s="135">
        <v>22.338200000000001</v>
      </c>
      <c r="O482" s="135">
        <v>24.622699999999998</v>
      </c>
      <c r="P482" s="135">
        <v>24.950199999999999</v>
      </c>
      <c r="Q482" s="135">
        <v>25.6678</v>
      </c>
      <c r="R482" s="137">
        <v>1.06</v>
      </c>
      <c r="S482" s="120">
        <v>0</v>
      </c>
      <c r="T482" s="120">
        <v>178683</v>
      </c>
      <c r="U482" s="120">
        <v>8704</v>
      </c>
      <c r="V482" s="114">
        <f t="shared" si="16"/>
        <v>187387</v>
      </c>
      <c r="W482" s="114">
        <f t="shared" si="17"/>
        <v>187387</v>
      </c>
    </row>
    <row r="483" spans="1:23">
      <c r="A483" s="122" t="s">
        <v>1761</v>
      </c>
      <c r="B483" s="124">
        <v>348.56799999999998</v>
      </c>
      <c r="C483" s="124">
        <v>343.41199999999998</v>
      </c>
      <c r="D483" s="124">
        <v>333.041</v>
      </c>
      <c r="E483" s="124">
        <v>343.36700000000002</v>
      </c>
      <c r="F483" s="124">
        <v>53.951599999999999</v>
      </c>
      <c r="G483" s="124">
        <v>54.066699999999997</v>
      </c>
      <c r="H483" s="124">
        <v>56.07</v>
      </c>
      <c r="I483" s="124">
        <v>58.360900000000001</v>
      </c>
      <c r="J483" s="134">
        <v>39601094</v>
      </c>
      <c r="K483" s="134">
        <v>42433451</v>
      </c>
      <c r="L483" s="124">
        <v>616.78099999999995</v>
      </c>
      <c r="M483" s="114">
        <v>0</v>
      </c>
      <c r="N483" s="135">
        <v>37.334800000000001</v>
      </c>
      <c r="O483" s="135">
        <v>37.180999999999997</v>
      </c>
      <c r="P483" s="135">
        <v>39.325899999999997</v>
      </c>
      <c r="Q483" s="135">
        <v>40.382300000000001</v>
      </c>
      <c r="R483" s="137">
        <v>1.06</v>
      </c>
      <c r="S483" s="120">
        <v>0</v>
      </c>
      <c r="T483" s="120">
        <v>545514</v>
      </c>
      <c r="U483" s="120">
        <v>0</v>
      </c>
      <c r="V483" s="114">
        <f t="shared" si="16"/>
        <v>545514</v>
      </c>
      <c r="W483" s="114">
        <f t="shared" si="17"/>
        <v>545514</v>
      </c>
    </row>
    <row r="484" spans="1:23">
      <c r="A484" s="122" t="s">
        <v>1762</v>
      </c>
      <c r="B484" s="124">
        <v>2913.665</v>
      </c>
      <c r="C484" s="124">
        <v>2785.1750000000002</v>
      </c>
      <c r="D484" s="124">
        <v>2775.3</v>
      </c>
      <c r="E484" s="124">
        <v>2790.6770000000001</v>
      </c>
      <c r="F484" s="124">
        <v>479.73009999999999</v>
      </c>
      <c r="G484" s="124">
        <v>494.65719999999999</v>
      </c>
      <c r="H484" s="124">
        <v>513.2586</v>
      </c>
      <c r="I484" s="124">
        <v>520.11620000000005</v>
      </c>
      <c r="J484" s="134">
        <v>777996228</v>
      </c>
      <c r="K484" s="134">
        <v>811630003</v>
      </c>
      <c r="L484" s="124">
        <v>3969.5990000000002</v>
      </c>
      <c r="M484" s="114">
        <v>0</v>
      </c>
      <c r="N484" s="135">
        <v>304.58800000000002</v>
      </c>
      <c r="O484" s="135">
        <v>301.48309999999998</v>
      </c>
      <c r="P484" s="135">
        <v>317.99369999999999</v>
      </c>
      <c r="Q484" s="135">
        <v>318.86470000000003</v>
      </c>
      <c r="R484" s="137">
        <v>1.0900000000000001</v>
      </c>
      <c r="S484" s="120">
        <v>0</v>
      </c>
      <c r="T484" s="120">
        <v>10858933</v>
      </c>
      <c r="U484" s="120">
        <v>0</v>
      </c>
      <c r="V484" s="114">
        <f t="shared" si="16"/>
        <v>10858933</v>
      </c>
      <c r="W484" s="114">
        <f t="shared" si="17"/>
        <v>10858933</v>
      </c>
    </row>
    <row r="485" spans="1:23">
      <c r="A485" s="122" t="s">
        <v>1410</v>
      </c>
      <c r="B485" s="124">
        <v>346.10899999999998</v>
      </c>
      <c r="C485" s="124">
        <v>331.423</v>
      </c>
      <c r="D485" s="124">
        <v>321.41399999999999</v>
      </c>
      <c r="E485" s="124">
        <v>322.68299999999999</v>
      </c>
      <c r="F485" s="124">
        <v>64.988600000000005</v>
      </c>
      <c r="G485" s="124">
        <v>62.6464</v>
      </c>
      <c r="H485" s="124">
        <v>60.450200000000002</v>
      </c>
      <c r="I485" s="124">
        <v>59.762700000000002</v>
      </c>
      <c r="J485" s="134">
        <v>35006920</v>
      </c>
      <c r="K485" s="134">
        <v>37762328</v>
      </c>
      <c r="L485" s="124">
        <v>560.40700000000004</v>
      </c>
      <c r="M485" s="114">
        <v>0</v>
      </c>
      <c r="N485" s="135">
        <v>44.0595</v>
      </c>
      <c r="O485" s="135">
        <v>42.664999999999999</v>
      </c>
      <c r="P485" s="135">
        <v>40.389699999999998</v>
      </c>
      <c r="Q485" s="135">
        <v>40.2136</v>
      </c>
      <c r="R485" s="137">
        <v>1.07</v>
      </c>
      <c r="S485" s="120">
        <v>0</v>
      </c>
      <c r="T485" s="120">
        <v>595823</v>
      </c>
      <c r="U485" s="120">
        <v>0</v>
      </c>
      <c r="V485" s="114">
        <f t="shared" si="16"/>
        <v>595823</v>
      </c>
      <c r="W485" s="114">
        <f t="shared" si="17"/>
        <v>595823</v>
      </c>
    </row>
    <row r="486" spans="1:23">
      <c r="A486" s="122" t="s">
        <v>2104</v>
      </c>
      <c r="B486" s="124">
        <v>380.00099999999998</v>
      </c>
      <c r="C486" s="124">
        <v>388.14800000000002</v>
      </c>
      <c r="D486" s="124">
        <v>380.60899999999998</v>
      </c>
      <c r="E486" s="124">
        <v>391.34500000000003</v>
      </c>
      <c r="F486" s="124">
        <v>58.302100000000003</v>
      </c>
      <c r="G486" s="124">
        <v>66.398399999999995</v>
      </c>
      <c r="H486" s="124">
        <v>62</v>
      </c>
      <c r="I486" s="124">
        <v>62.5</v>
      </c>
      <c r="J486" s="134">
        <v>48330852</v>
      </c>
      <c r="K486" s="134">
        <v>51758063</v>
      </c>
      <c r="L486" s="124">
        <v>648.91899999999998</v>
      </c>
      <c r="M486" s="114">
        <v>0</v>
      </c>
      <c r="N486" s="135">
        <v>37.728000000000002</v>
      </c>
      <c r="O486" s="135">
        <v>40.774799999999999</v>
      </c>
      <c r="P486" s="135">
        <v>38.9039</v>
      </c>
      <c r="Q486" s="135">
        <v>40.014400000000002</v>
      </c>
      <c r="R486" s="137">
        <v>1.04</v>
      </c>
      <c r="S486" s="120">
        <v>0</v>
      </c>
      <c r="T486" s="120">
        <v>625030</v>
      </c>
      <c r="U486" s="120">
        <v>32330</v>
      </c>
      <c r="V486" s="114">
        <f t="shared" si="16"/>
        <v>657360</v>
      </c>
      <c r="W486" s="114">
        <f t="shared" si="17"/>
        <v>657360</v>
      </c>
    </row>
    <row r="487" spans="1:23">
      <c r="A487" s="122" t="s">
        <v>1411</v>
      </c>
      <c r="B487" s="124">
        <v>511.04700000000003</v>
      </c>
      <c r="C487" s="124">
        <v>515.58399999999995</v>
      </c>
      <c r="D487" s="124">
        <v>516.35299999999995</v>
      </c>
      <c r="E487" s="124">
        <v>507.23099999999999</v>
      </c>
      <c r="F487" s="124">
        <v>89</v>
      </c>
      <c r="G487" s="124">
        <v>97</v>
      </c>
      <c r="H487" s="124">
        <v>102</v>
      </c>
      <c r="I487" s="124">
        <v>111</v>
      </c>
      <c r="J487" s="134">
        <v>678164716</v>
      </c>
      <c r="K487" s="134">
        <v>681816108</v>
      </c>
      <c r="L487" s="124">
        <v>796.62800000000004</v>
      </c>
      <c r="M487" s="114">
        <v>0</v>
      </c>
      <c r="N487" s="135">
        <v>59.002400000000002</v>
      </c>
      <c r="O487" s="135">
        <v>66.107200000000006</v>
      </c>
      <c r="P487" s="135">
        <v>69.001199999999997</v>
      </c>
      <c r="Q487" s="135">
        <v>69.000600000000006</v>
      </c>
      <c r="R487" s="137">
        <v>1.06</v>
      </c>
      <c r="S487" s="120">
        <v>0</v>
      </c>
      <c r="T487" s="120">
        <v>9594988</v>
      </c>
      <c r="U487" s="120">
        <v>0</v>
      </c>
      <c r="V487" s="114">
        <f t="shared" si="16"/>
        <v>9594988</v>
      </c>
      <c r="W487" s="114">
        <f t="shared" si="17"/>
        <v>9594988</v>
      </c>
    </row>
    <row r="488" spans="1:23">
      <c r="A488" s="122" t="s">
        <v>1412</v>
      </c>
      <c r="B488" s="124">
        <v>195.55799999999999</v>
      </c>
      <c r="C488" s="124">
        <v>198.86199999999999</v>
      </c>
      <c r="D488" s="124">
        <v>192.85599999999999</v>
      </c>
      <c r="E488" s="124">
        <v>185.67099999999999</v>
      </c>
      <c r="F488" s="124">
        <v>35.1417</v>
      </c>
      <c r="G488" s="124">
        <v>35.21</v>
      </c>
      <c r="H488" s="124">
        <v>33.5</v>
      </c>
      <c r="I488" s="124">
        <v>32.5</v>
      </c>
      <c r="J488" s="134">
        <v>24674470</v>
      </c>
      <c r="K488" s="134">
        <v>25772373</v>
      </c>
      <c r="L488" s="124">
        <v>301.93900000000002</v>
      </c>
      <c r="M488" s="114">
        <v>0</v>
      </c>
      <c r="N488" s="135">
        <v>23.238800000000001</v>
      </c>
      <c r="O488" s="135">
        <v>20.672599999999999</v>
      </c>
      <c r="P488" s="135">
        <v>22.159300000000002</v>
      </c>
      <c r="Q488" s="135">
        <v>20.000299999999999</v>
      </c>
      <c r="R488" s="137">
        <v>1.07</v>
      </c>
      <c r="S488" s="120">
        <v>0</v>
      </c>
      <c r="T488" s="120">
        <v>377488</v>
      </c>
      <c r="U488" s="120">
        <v>0</v>
      </c>
      <c r="V488" s="114">
        <f t="shared" si="16"/>
        <v>377488</v>
      </c>
      <c r="W488" s="114">
        <f t="shared" si="17"/>
        <v>377488</v>
      </c>
    </row>
    <row r="489" spans="1:23">
      <c r="A489" s="122" t="s">
        <v>1413</v>
      </c>
      <c r="B489" s="124">
        <v>5853.7860000000001</v>
      </c>
      <c r="C489" s="124">
        <v>5842.7939999999999</v>
      </c>
      <c r="D489" s="124">
        <v>6032.241</v>
      </c>
      <c r="E489" s="124">
        <v>6039.9160000000002</v>
      </c>
      <c r="F489" s="124">
        <v>820.18330000000003</v>
      </c>
      <c r="G489" s="124">
        <v>881.96630000000005</v>
      </c>
      <c r="H489" s="124">
        <v>907.84</v>
      </c>
      <c r="I489" s="124">
        <v>894.28560000000004</v>
      </c>
      <c r="J489" s="134">
        <v>1701952566</v>
      </c>
      <c r="K489" s="134">
        <v>1801845885</v>
      </c>
      <c r="L489" s="124">
        <v>7491.3729999999996</v>
      </c>
      <c r="M489" s="134">
        <v>4378414</v>
      </c>
      <c r="N489" s="135">
        <v>478.04230000000001</v>
      </c>
      <c r="O489" s="135">
        <v>502.1148</v>
      </c>
      <c r="P489" s="135">
        <v>504.57589999999999</v>
      </c>
      <c r="Q489" s="135">
        <v>527.38750000000005</v>
      </c>
      <c r="R489" s="137">
        <v>1.08</v>
      </c>
      <c r="S489" s="120">
        <v>4776763</v>
      </c>
      <c r="T489" s="120">
        <v>28167371</v>
      </c>
      <c r="U489" s="120">
        <v>0</v>
      </c>
      <c r="V489" s="114">
        <f t="shared" si="16"/>
        <v>28167371</v>
      </c>
      <c r="W489" s="114">
        <f t="shared" si="17"/>
        <v>32944134</v>
      </c>
    </row>
    <row r="490" spans="1:23">
      <c r="A490" s="122" t="s">
        <v>1991</v>
      </c>
      <c r="B490" s="124">
        <v>300.57299999999998</v>
      </c>
      <c r="C490" s="124">
        <v>304.40499999999997</v>
      </c>
      <c r="D490" s="124">
        <v>310.86500000000001</v>
      </c>
      <c r="E490" s="124">
        <v>302.25400000000002</v>
      </c>
      <c r="F490" s="124">
        <v>54.75</v>
      </c>
      <c r="G490" s="124">
        <v>42.568199999999997</v>
      </c>
      <c r="H490" s="124">
        <v>54.659100000000002</v>
      </c>
      <c r="I490" s="124">
        <v>43.057200000000002</v>
      </c>
      <c r="J490" s="134">
        <v>48399777</v>
      </c>
      <c r="K490" s="134">
        <v>52380197</v>
      </c>
      <c r="L490" s="124">
        <v>479.166</v>
      </c>
      <c r="M490" s="134">
        <v>23370</v>
      </c>
      <c r="N490" s="135">
        <v>34.687800000000003</v>
      </c>
      <c r="O490" s="135">
        <v>35.938600000000001</v>
      </c>
      <c r="P490" s="135">
        <v>36.000300000000003</v>
      </c>
      <c r="Q490" s="135">
        <v>29.600999999999999</v>
      </c>
      <c r="R490" s="137">
        <v>1.04</v>
      </c>
      <c r="S490" s="120">
        <v>127385</v>
      </c>
      <c r="T490" s="120">
        <v>766458</v>
      </c>
      <c r="U490" s="120">
        <v>0</v>
      </c>
      <c r="V490" s="114">
        <f t="shared" si="16"/>
        <v>766458</v>
      </c>
      <c r="W490" s="114">
        <f t="shared" si="17"/>
        <v>893843</v>
      </c>
    </row>
    <row r="491" spans="1:23">
      <c r="A491" s="122" t="s">
        <v>1709</v>
      </c>
      <c r="B491" s="124">
        <v>489.48200000000003</v>
      </c>
      <c r="C491" s="124">
        <v>499.69099999999997</v>
      </c>
      <c r="D491" s="124">
        <v>507.2</v>
      </c>
      <c r="E491" s="124">
        <v>516.18299999999999</v>
      </c>
      <c r="F491" s="124">
        <v>72.852999999999994</v>
      </c>
      <c r="G491" s="124">
        <v>76.045500000000004</v>
      </c>
      <c r="H491" s="124">
        <v>75.585599999999999</v>
      </c>
      <c r="I491" s="124">
        <v>79.871600000000001</v>
      </c>
      <c r="J491" s="134">
        <v>60589738</v>
      </c>
      <c r="K491" s="134">
        <v>65685198</v>
      </c>
      <c r="L491" s="124">
        <v>815.97199999999998</v>
      </c>
      <c r="M491" s="134">
        <v>55556</v>
      </c>
      <c r="N491" s="135">
        <v>49.001800000000003</v>
      </c>
      <c r="O491" s="135">
        <v>50.769199999999998</v>
      </c>
      <c r="P491" s="135">
        <v>51.325099999999999</v>
      </c>
      <c r="Q491" s="135">
        <v>52.131900000000002</v>
      </c>
      <c r="R491" s="137">
        <v>1.04</v>
      </c>
      <c r="S491" s="120">
        <v>111189</v>
      </c>
      <c r="T491" s="120">
        <v>971436</v>
      </c>
      <c r="U491" s="120">
        <v>0</v>
      </c>
      <c r="V491" s="114">
        <f t="shared" si="16"/>
        <v>971436</v>
      </c>
      <c r="W491" s="114">
        <f t="shared" si="17"/>
        <v>1082625</v>
      </c>
    </row>
    <row r="492" spans="1:23">
      <c r="A492" s="122" t="s">
        <v>208</v>
      </c>
      <c r="B492" s="124">
        <v>3634.1280000000002</v>
      </c>
      <c r="C492" s="124">
        <v>3654.0430000000001</v>
      </c>
      <c r="D492" s="124">
        <v>3693.64</v>
      </c>
      <c r="E492" s="124">
        <v>3748.03</v>
      </c>
      <c r="F492" s="124">
        <v>546.57749999999999</v>
      </c>
      <c r="G492" s="124">
        <v>565.27539999999999</v>
      </c>
      <c r="H492" s="124">
        <v>610.65790000000004</v>
      </c>
      <c r="I492" s="124">
        <v>611.33159999999998</v>
      </c>
      <c r="J492" s="134">
        <v>739186101</v>
      </c>
      <c r="K492" s="134">
        <v>787609566</v>
      </c>
      <c r="L492" s="124">
        <v>5000.7070000000003</v>
      </c>
      <c r="M492" s="134">
        <v>471921</v>
      </c>
      <c r="N492" s="135">
        <v>353.74360000000001</v>
      </c>
      <c r="O492" s="135">
        <v>366.70839999999998</v>
      </c>
      <c r="P492" s="135">
        <v>390.61110000000002</v>
      </c>
      <c r="Q492" s="135">
        <v>396.06779999999998</v>
      </c>
      <c r="R492" s="137">
        <v>1.06</v>
      </c>
      <c r="S492" s="120">
        <v>660642</v>
      </c>
      <c r="T492" s="120">
        <v>10802462</v>
      </c>
      <c r="U492" s="120">
        <v>0</v>
      </c>
      <c r="V492" s="114">
        <f t="shared" si="16"/>
        <v>10802462</v>
      </c>
      <c r="W492" s="114">
        <f t="shared" si="17"/>
        <v>11463104</v>
      </c>
    </row>
    <row r="493" spans="1:23">
      <c r="A493" s="122" t="s">
        <v>1687</v>
      </c>
      <c r="B493" s="124">
        <v>292.50599999999997</v>
      </c>
      <c r="C493" s="124">
        <v>313.56799999999998</v>
      </c>
      <c r="D493" s="124">
        <v>343.66699999999997</v>
      </c>
      <c r="E493" s="124">
        <v>353.62799999999999</v>
      </c>
      <c r="F493" s="124">
        <v>45.570999999999998</v>
      </c>
      <c r="G493" s="124">
        <v>48.042999999999999</v>
      </c>
      <c r="H493" s="124">
        <v>59.180900000000001</v>
      </c>
      <c r="I493" s="124">
        <v>61.6008</v>
      </c>
      <c r="J493" s="134">
        <v>38614349</v>
      </c>
      <c r="K493" s="134">
        <v>43063069</v>
      </c>
      <c r="L493" s="124">
        <v>613.62400000000002</v>
      </c>
      <c r="M493" s="114">
        <v>0</v>
      </c>
      <c r="N493" s="135">
        <v>31.7532</v>
      </c>
      <c r="O493" s="135">
        <v>34.968600000000002</v>
      </c>
      <c r="P493" s="135">
        <v>43.119199999999999</v>
      </c>
      <c r="Q493" s="135">
        <v>46.796799999999998</v>
      </c>
      <c r="R493" s="137">
        <v>1.03</v>
      </c>
      <c r="S493" s="120">
        <v>24449</v>
      </c>
      <c r="T493" s="120">
        <v>524033</v>
      </c>
      <c r="U493" s="120">
        <v>0</v>
      </c>
      <c r="V493" s="114">
        <f t="shared" si="16"/>
        <v>524033</v>
      </c>
      <c r="W493" s="114">
        <f t="shared" si="17"/>
        <v>548482</v>
      </c>
    </row>
    <row r="494" spans="1:23">
      <c r="A494" s="122" t="s">
        <v>209</v>
      </c>
      <c r="B494" s="124">
        <v>348.34199999999998</v>
      </c>
      <c r="C494" s="124">
        <v>349.93099999999998</v>
      </c>
      <c r="D494" s="124">
        <v>341.42500000000001</v>
      </c>
      <c r="E494" s="124">
        <v>355.36500000000001</v>
      </c>
      <c r="F494" s="124">
        <v>57.246499999999997</v>
      </c>
      <c r="G494" s="124">
        <v>60.632899999999999</v>
      </c>
      <c r="H494" s="124">
        <v>58.663499999999999</v>
      </c>
      <c r="I494" s="124">
        <v>60.184399999999997</v>
      </c>
      <c r="J494" s="134">
        <v>41300883</v>
      </c>
      <c r="K494" s="134">
        <v>45510723</v>
      </c>
      <c r="L494" s="124">
        <v>625.05100000000004</v>
      </c>
      <c r="M494" s="134">
        <v>40931</v>
      </c>
      <c r="N494" s="135">
        <v>41.027000000000001</v>
      </c>
      <c r="O494" s="135">
        <v>44.635300000000001</v>
      </c>
      <c r="P494" s="135">
        <v>45.753300000000003</v>
      </c>
      <c r="Q494" s="135">
        <v>40.843800000000002</v>
      </c>
      <c r="R494" s="137">
        <v>1.02</v>
      </c>
      <c r="S494" s="120">
        <v>73669</v>
      </c>
      <c r="T494" s="120">
        <v>543894</v>
      </c>
      <c r="U494" s="120">
        <v>0</v>
      </c>
      <c r="V494" s="114">
        <f t="shared" si="16"/>
        <v>543894</v>
      </c>
      <c r="W494" s="114">
        <f t="shared" si="17"/>
        <v>617563</v>
      </c>
    </row>
    <row r="495" spans="1:23">
      <c r="A495" s="122" t="s">
        <v>2217</v>
      </c>
      <c r="B495" s="124">
        <v>231.03</v>
      </c>
      <c r="C495" s="124">
        <v>229.33600000000001</v>
      </c>
      <c r="D495" s="124">
        <v>228.767</v>
      </c>
      <c r="E495" s="124">
        <v>235.262</v>
      </c>
      <c r="F495" s="124">
        <v>40.2851</v>
      </c>
      <c r="G495" s="124">
        <v>42.531199999999998</v>
      </c>
      <c r="H495" s="124">
        <v>46.3553</v>
      </c>
      <c r="I495" s="124">
        <v>47.6145</v>
      </c>
      <c r="J495" s="134">
        <v>28964751</v>
      </c>
      <c r="K495" s="134">
        <v>32105221</v>
      </c>
      <c r="L495" s="124">
        <v>397.84699999999998</v>
      </c>
      <c r="M495" s="114">
        <v>0</v>
      </c>
      <c r="N495" s="135">
        <v>29.958500000000001</v>
      </c>
      <c r="O495" s="135">
        <v>30.993300000000001</v>
      </c>
      <c r="P495" s="135">
        <v>29.015899999999998</v>
      </c>
      <c r="Q495" s="135">
        <v>32.454999999999998</v>
      </c>
      <c r="R495" s="137">
        <v>1.04</v>
      </c>
      <c r="S495" s="120">
        <v>43914</v>
      </c>
      <c r="T495" s="120">
        <v>412421</v>
      </c>
      <c r="U495" s="120">
        <v>0</v>
      </c>
      <c r="V495" s="114">
        <f t="shared" si="16"/>
        <v>412421</v>
      </c>
      <c r="W495" s="114">
        <f t="shared" si="17"/>
        <v>456335</v>
      </c>
    </row>
    <row r="496" spans="1:23">
      <c r="A496" s="122" t="s">
        <v>210</v>
      </c>
      <c r="B496" s="124">
        <v>702.81299999999999</v>
      </c>
      <c r="C496" s="124">
        <v>726.98599999999999</v>
      </c>
      <c r="D496" s="124">
        <v>727.58299999999997</v>
      </c>
      <c r="E496" s="124">
        <v>734.221</v>
      </c>
      <c r="F496" s="124">
        <v>88.122699999999995</v>
      </c>
      <c r="G496" s="124">
        <v>88.819500000000005</v>
      </c>
      <c r="H496" s="124">
        <v>90.412999999999997</v>
      </c>
      <c r="I496" s="124">
        <v>100.32089999999999</v>
      </c>
      <c r="J496" s="134">
        <v>80501178</v>
      </c>
      <c r="K496" s="134">
        <v>87763608</v>
      </c>
      <c r="L496" s="124">
        <v>1175.5450000000001</v>
      </c>
      <c r="M496" s="114">
        <v>0</v>
      </c>
      <c r="N496" s="135">
        <v>66.739000000000004</v>
      </c>
      <c r="O496" s="135">
        <v>65.220500000000001</v>
      </c>
      <c r="P496" s="135">
        <v>70.808099999999996</v>
      </c>
      <c r="Q496" s="135">
        <v>72.412999999999997</v>
      </c>
      <c r="R496" s="137">
        <v>1.04</v>
      </c>
      <c r="S496" s="120">
        <v>0</v>
      </c>
      <c r="T496" s="120">
        <v>1010590</v>
      </c>
      <c r="U496" s="120">
        <v>0</v>
      </c>
      <c r="V496" s="114">
        <f t="shared" si="16"/>
        <v>1010590</v>
      </c>
      <c r="W496" s="114">
        <f t="shared" si="17"/>
        <v>1010590</v>
      </c>
    </row>
    <row r="497" spans="1:23">
      <c r="A497" s="122" t="s">
        <v>211</v>
      </c>
      <c r="B497" s="124">
        <v>229.52199999999999</v>
      </c>
      <c r="C497" s="124">
        <v>222.572</v>
      </c>
      <c r="D497" s="124">
        <v>237.339</v>
      </c>
      <c r="E497" s="124">
        <v>236.30600000000001</v>
      </c>
      <c r="F497" s="124">
        <v>32.194699999999997</v>
      </c>
      <c r="G497" s="124">
        <v>35.136499999999998</v>
      </c>
      <c r="H497" s="124">
        <v>33.637799999999999</v>
      </c>
      <c r="I497" s="124">
        <v>34.878399999999999</v>
      </c>
      <c r="J497" s="134">
        <v>25132690</v>
      </c>
      <c r="K497" s="134">
        <v>27512030</v>
      </c>
      <c r="L497" s="124">
        <v>441.93400000000003</v>
      </c>
      <c r="M497" s="114">
        <v>0</v>
      </c>
      <c r="N497" s="135">
        <v>24.584700000000002</v>
      </c>
      <c r="O497" s="135">
        <v>26.8916</v>
      </c>
      <c r="P497" s="135">
        <v>24.4648</v>
      </c>
      <c r="Q497" s="135">
        <v>26.3065</v>
      </c>
      <c r="R497" s="137">
        <v>1.04</v>
      </c>
      <c r="S497" s="120">
        <v>0</v>
      </c>
      <c r="T497" s="120">
        <v>322246</v>
      </c>
      <c r="U497" s="120">
        <v>0</v>
      </c>
      <c r="V497" s="114">
        <f t="shared" si="16"/>
        <v>322246</v>
      </c>
      <c r="W497" s="114">
        <f t="shared" si="17"/>
        <v>322246</v>
      </c>
    </row>
    <row r="498" spans="1:23">
      <c r="A498" s="122" t="s">
        <v>1688</v>
      </c>
      <c r="B498" s="124">
        <v>245.518</v>
      </c>
      <c r="C498" s="124">
        <v>252.62200000000001</v>
      </c>
      <c r="D498" s="124">
        <v>244.99299999999999</v>
      </c>
      <c r="E498" s="124">
        <v>233.685</v>
      </c>
      <c r="F498" s="124">
        <v>39.449399999999997</v>
      </c>
      <c r="G498" s="124">
        <v>38.668399999999998</v>
      </c>
      <c r="H498" s="124">
        <v>40.061500000000002</v>
      </c>
      <c r="I498" s="124">
        <v>39.5</v>
      </c>
      <c r="J498" s="134">
        <v>31622283</v>
      </c>
      <c r="K498" s="134">
        <v>34506533</v>
      </c>
      <c r="L498" s="124">
        <v>405.05900000000003</v>
      </c>
      <c r="M498" s="134">
        <v>24716</v>
      </c>
      <c r="N498" s="135">
        <v>25.776199999999999</v>
      </c>
      <c r="O498" s="135">
        <v>24.501100000000001</v>
      </c>
      <c r="P498" s="135">
        <v>24.9879</v>
      </c>
      <c r="Q498" s="135">
        <v>24.619299999999999</v>
      </c>
      <c r="R498" s="137">
        <v>1.03</v>
      </c>
      <c r="S498" s="120">
        <v>49277</v>
      </c>
      <c r="T498" s="120">
        <v>420543</v>
      </c>
      <c r="U498" s="120">
        <v>0</v>
      </c>
      <c r="V498" s="114">
        <f t="shared" si="16"/>
        <v>420543</v>
      </c>
      <c r="W498" s="114">
        <f t="shared" si="17"/>
        <v>469820</v>
      </c>
    </row>
    <row r="499" spans="1:23">
      <c r="A499" s="122" t="s">
        <v>1601</v>
      </c>
      <c r="B499" s="124">
        <v>1723.1990000000001</v>
      </c>
      <c r="C499" s="124">
        <v>1622.3240000000001</v>
      </c>
      <c r="D499" s="124">
        <v>1586.6210000000001</v>
      </c>
      <c r="E499" s="124">
        <v>1547.7850000000001</v>
      </c>
      <c r="F499" s="124">
        <v>306.42520000000002</v>
      </c>
      <c r="G499" s="124">
        <v>316.40069999999997</v>
      </c>
      <c r="H499" s="124">
        <v>299.60719999999998</v>
      </c>
      <c r="I499" s="124">
        <v>322.5564</v>
      </c>
      <c r="J499" s="134">
        <v>226724439</v>
      </c>
      <c r="K499" s="134">
        <v>248717639</v>
      </c>
      <c r="L499" s="124">
        <v>2290.2310000000002</v>
      </c>
      <c r="M499" s="114">
        <v>0</v>
      </c>
      <c r="N499" s="135">
        <v>204.92349999999999</v>
      </c>
      <c r="O499" s="135">
        <v>210.04259999999999</v>
      </c>
      <c r="P499" s="135">
        <v>190.16419999999999</v>
      </c>
      <c r="Q499" s="135">
        <v>212.86920000000001</v>
      </c>
      <c r="R499" s="137">
        <v>1.07</v>
      </c>
      <c r="S499" s="120">
        <v>9047</v>
      </c>
      <c r="T499" s="120">
        <v>3427140</v>
      </c>
      <c r="U499" s="120">
        <v>0</v>
      </c>
      <c r="V499" s="114">
        <f t="shared" si="16"/>
        <v>3427140</v>
      </c>
      <c r="W499" s="114">
        <f t="shared" si="17"/>
        <v>3436187</v>
      </c>
    </row>
    <row r="500" spans="1:23">
      <c r="A500" s="122" t="s">
        <v>1432</v>
      </c>
      <c r="B500" s="124">
        <v>652.17999999999995</v>
      </c>
      <c r="C500" s="124">
        <v>612.23800000000006</v>
      </c>
      <c r="D500" s="124">
        <v>593.74800000000005</v>
      </c>
      <c r="E500" s="124">
        <v>566.178</v>
      </c>
      <c r="F500" s="124">
        <v>106.28700000000001</v>
      </c>
      <c r="G500" s="124">
        <v>105.85299999999999</v>
      </c>
      <c r="H500" s="124">
        <v>90.930499999999995</v>
      </c>
      <c r="I500" s="124">
        <v>90.407200000000003</v>
      </c>
      <c r="J500" s="134">
        <v>145687555</v>
      </c>
      <c r="K500" s="134">
        <v>156647035</v>
      </c>
      <c r="L500" s="124">
        <v>934.56399999999996</v>
      </c>
      <c r="M500" s="114">
        <v>0</v>
      </c>
      <c r="N500" s="135">
        <v>75.000500000000002</v>
      </c>
      <c r="O500" s="135">
        <v>73.375799999999998</v>
      </c>
      <c r="P500" s="135">
        <v>61.609499999999997</v>
      </c>
      <c r="Q500" s="135">
        <v>58.666400000000003</v>
      </c>
      <c r="R500" s="137">
        <v>1.04</v>
      </c>
      <c r="S500" s="120">
        <v>0</v>
      </c>
      <c r="T500" s="120">
        <v>2120924</v>
      </c>
      <c r="U500" s="120">
        <v>0</v>
      </c>
      <c r="V500" s="114">
        <f t="shared" si="16"/>
        <v>2120924</v>
      </c>
      <c r="W500" s="114">
        <f t="shared" si="17"/>
        <v>2120924</v>
      </c>
    </row>
    <row r="501" spans="1:23">
      <c r="A501" s="122" t="s">
        <v>1104</v>
      </c>
      <c r="B501" s="124">
        <v>486.01600000000002</v>
      </c>
      <c r="C501" s="124">
        <v>480.36099999999999</v>
      </c>
      <c r="D501" s="124">
        <v>492.96699999999998</v>
      </c>
      <c r="E501" s="124">
        <v>483.31099999999998</v>
      </c>
      <c r="F501" s="124">
        <v>84.342600000000004</v>
      </c>
      <c r="G501" s="124">
        <v>84.746899999999997</v>
      </c>
      <c r="H501" s="124">
        <v>87.468299999999999</v>
      </c>
      <c r="I501" s="124">
        <v>82.914699999999996</v>
      </c>
      <c r="J501" s="134">
        <v>121503911</v>
      </c>
      <c r="K501" s="134">
        <v>128794900</v>
      </c>
      <c r="L501" s="124">
        <v>897.52099999999996</v>
      </c>
      <c r="M501" s="114">
        <v>0</v>
      </c>
      <c r="N501" s="135">
        <v>56.001899999999999</v>
      </c>
      <c r="O501" s="135">
        <v>56.0015</v>
      </c>
      <c r="P501" s="135">
        <v>61.001600000000003</v>
      </c>
      <c r="Q501" s="135">
        <v>58.0017</v>
      </c>
      <c r="R501" s="137">
        <v>1.04</v>
      </c>
      <c r="S501" s="120">
        <v>3550</v>
      </c>
      <c r="T501" s="120">
        <v>1643329</v>
      </c>
      <c r="U501" s="120">
        <v>0</v>
      </c>
      <c r="V501" s="114">
        <f t="shared" si="16"/>
        <v>1643329</v>
      </c>
      <c r="W501" s="114">
        <f t="shared" si="17"/>
        <v>1646879</v>
      </c>
    </row>
    <row r="502" spans="1:23">
      <c r="A502" s="122" t="s">
        <v>1105</v>
      </c>
      <c r="B502" s="124">
        <v>417.20499999999998</v>
      </c>
      <c r="C502" s="124">
        <v>436.17099999999999</v>
      </c>
      <c r="D502" s="124">
        <v>422.99900000000002</v>
      </c>
      <c r="E502" s="124">
        <v>442.846</v>
      </c>
      <c r="F502" s="124">
        <v>65.155299999999997</v>
      </c>
      <c r="G502" s="124">
        <v>70.427899999999994</v>
      </c>
      <c r="H502" s="124">
        <v>67.938400000000001</v>
      </c>
      <c r="I502" s="124">
        <v>68.614900000000006</v>
      </c>
      <c r="J502" s="134">
        <v>85233007</v>
      </c>
      <c r="K502" s="134">
        <v>91372188</v>
      </c>
      <c r="L502" s="124">
        <v>701.91099999999994</v>
      </c>
      <c r="M502" s="134">
        <v>157041</v>
      </c>
      <c r="N502" s="135">
        <v>45.171799999999998</v>
      </c>
      <c r="O502" s="135">
        <v>48.473199999999999</v>
      </c>
      <c r="P502" s="135">
        <v>46.832599999999999</v>
      </c>
      <c r="Q502" s="135">
        <v>47.500999999999998</v>
      </c>
      <c r="R502" s="137">
        <v>1.03</v>
      </c>
      <c r="S502" s="120">
        <v>142953</v>
      </c>
      <c r="T502" s="120">
        <v>1218115</v>
      </c>
      <c r="U502" s="120">
        <v>0</v>
      </c>
      <c r="V502" s="114">
        <f t="shared" si="16"/>
        <v>1218115</v>
      </c>
      <c r="W502" s="114">
        <f t="shared" si="17"/>
        <v>1361068</v>
      </c>
    </row>
    <row r="503" spans="1:23">
      <c r="A503" s="122" t="s">
        <v>1011</v>
      </c>
      <c r="B503" s="124">
        <v>365.63400000000001</v>
      </c>
      <c r="C503" s="124">
        <v>347.952</v>
      </c>
      <c r="D503" s="124">
        <v>337.44400000000002</v>
      </c>
      <c r="E503" s="124">
        <v>310.51499999999999</v>
      </c>
      <c r="F503" s="124">
        <v>66.366600000000005</v>
      </c>
      <c r="G503" s="124">
        <v>70.035200000000003</v>
      </c>
      <c r="H503" s="124">
        <v>68.663399999999996</v>
      </c>
      <c r="I503" s="124">
        <v>68.486999999999995</v>
      </c>
      <c r="J503" s="134">
        <v>71545104</v>
      </c>
      <c r="K503" s="134">
        <v>77561503</v>
      </c>
      <c r="L503" s="124">
        <v>639.85799999999995</v>
      </c>
      <c r="M503" s="134">
        <v>42346</v>
      </c>
      <c r="N503" s="135">
        <v>40.155000000000001</v>
      </c>
      <c r="O503" s="135">
        <v>43.095100000000002</v>
      </c>
      <c r="P503" s="135">
        <v>41.496200000000002</v>
      </c>
      <c r="Q503" s="135">
        <v>41.320099999999996</v>
      </c>
      <c r="R503" s="137">
        <v>1.06</v>
      </c>
      <c r="S503" s="120">
        <v>42903</v>
      </c>
      <c r="T503" s="120">
        <v>968467</v>
      </c>
      <c r="U503" s="120">
        <v>0</v>
      </c>
      <c r="V503" s="114">
        <f t="shared" si="16"/>
        <v>968467</v>
      </c>
      <c r="W503" s="114">
        <f t="shared" si="17"/>
        <v>1011370</v>
      </c>
    </row>
    <row r="504" spans="1:23">
      <c r="A504" s="122" t="s">
        <v>2036</v>
      </c>
      <c r="B504" s="124">
        <v>3906.9430000000002</v>
      </c>
      <c r="C504" s="124">
        <v>3821.4989999999998</v>
      </c>
      <c r="D504" s="124">
        <v>3754.7939999999999</v>
      </c>
      <c r="E504" s="124">
        <v>3694.0419999999999</v>
      </c>
      <c r="F504" s="124">
        <v>615.85609999999997</v>
      </c>
      <c r="G504" s="124">
        <v>598.2251</v>
      </c>
      <c r="H504" s="124">
        <v>605.7808</v>
      </c>
      <c r="I504" s="124">
        <v>558.33069999999998</v>
      </c>
      <c r="J504" s="134">
        <v>662096536</v>
      </c>
      <c r="K504" s="134">
        <v>705228492</v>
      </c>
      <c r="L504" s="124">
        <v>4930.6170000000002</v>
      </c>
      <c r="M504" s="134">
        <v>488161</v>
      </c>
      <c r="N504" s="135">
        <v>365.08280000000002</v>
      </c>
      <c r="O504" s="135">
        <v>353.90929999999997</v>
      </c>
      <c r="P504" s="135">
        <v>360.02499999999998</v>
      </c>
      <c r="Q504" s="135">
        <v>346.91680000000002</v>
      </c>
      <c r="R504" s="137">
        <v>1.08</v>
      </c>
      <c r="S504" s="120">
        <v>460824</v>
      </c>
      <c r="T504" s="120">
        <v>9178434</v>
      </c>
      <c r="U504" s="120">
        <v>0</v>
      </c>
      <c r="V504" s="114">
        <f t="shared" si="16"/>
        <v>9178434</v>
      </c>
      <c r="W504" s="114">
        <f t="shared" si="17"/>
        <v>9639258</v>
      </c>
    </row>
    <row r="505" spans="1:23">
      <c r="A505" s="122" t="s">
        <v>3076</v>
      </c>
      <c r="B505" s="124">
        <v>861.49900000000002</v>
      </c>
      <c r="C505" s="124">
        <v>823.11500000000001</v>
      </c>
      <c r="D505" s="124">
        <v>819.71199999999999</v>
      </c>
      <c r="E505" s="124">
        <v>799.32299999999998</v>
      </c>
      <c r="F505" s="124">
        <v>123.3164</v>
      </c>
      <c r="G505" s="124">
        <v>129.70840000000001</v>
      </c>
      <c r="H505" s="124">
        <v>127.3164</v>
      </c>
      <c r="I505" s="124">
        <v>124.741</v>
      </c>
      <c r="J505" s="134">
        <v>213337493</v>
      </c>
      <c r="K505" s="134">
        <v>222728529</v>
      </c>
      <c r="L505" s="124">
        <v>1329.4</v>
      </c>
      <c r="M505" s="114">
        <v>0</v>
      </c>
      <c r="N505" s="135">
        <v>82.481099999999998</v>
      </c>
      <c r="O505" s="135">
        <v>86.892899999999997</v>
      </c>
      <c r="P505" s="135">
        <v>85.999899999999997</v>
      </c>
      <c r="Q505" s="135">
        <v>82.999399999999994</v>
      </c>
      <c r="R505" s="137">
        <v>1.05</v>
      </c>
      <c r="S505" s="120">
        <v>0</v>
      </c>
      <c r="T505" s="120">
        <v>2989845</v>
      </c>
      <c r="U505" s="120">
        <v>0</v>
      </c>
      <c r="V505" s="114">
        <f t="shared" si="16"/>
        <v>2989845</v>
      </c>
      <c r="W505" s="114">
        <f t="shared" si="17"/>
        <v>2989845</v>
      </c>
    </row>
    <row r="506" spans="1:23">
      <c r="A506" s="122" t="s">
        <v>3077</v>
      </c>
      <c r="B506" s="124">
        <v>649.81299999999999</v>
      </c>
      <c r="C506" s="124">
        <v>637.48500000000001</v>
      </c>
      <c r="D506" s="124">
        <v>624.48500000000001</v>
      </c>
      <c r="E506" s="124">
        <v>643.11699999999996</v>
      </c>
      <c r="F506" s="124">
        <v>80.813100000000006</v>
      </c>
      <c r="G506" s="124">
        <v>86.315799999999996</v>
      </c>
      <c r="H506" s="124">
        <v>89.690100000000001</v>
      </c>
      <c r="I506" s="124">
        <v>86.839799999999997</v>
      </c>
      <c r="J506" s="134">
        <v>235243268</v>
      </c>
      <c r="K506" s="134">
        <v>241208369</v>
      </c>
      <c r="L506" s="124">
        <v>946.67200000000003</v>
      </c>
      <c r="M506" s="114">
        <v>0</v>
      </c>
      <c r="N506" s="135">
        <v>58.487200000000001</v>
      </c>
      <c r="O506" s="135">
        <v>55.999200000000002</v>
      </c>
      <c r="P506" s="135">
        <v>58.182699999999997</v>
      </c>
      <c r="Q506" s="135">
        <v>56.550600000000003</v>
      </c>
      <c r="R506" s="137">
        <v>1.06</v>
      </c>
      <c r="S506" s="120">
        <v>0</v>
      </c>
      <c r="T506" s="120">
        <v>3456118</v>
      </c>
      <c r="U506" s="120">
        <v>0</v>
      </c>
      <c r="V506" s="114">
        <f t="shared" si="16"/>
        <v>3456118</v>
      </c>
      <c r="W506" s="114">
        <f t="shared" si="17"/>
        <v>3456118</v>
      </c>
    </row>
    <row r="507" spans="1:23">
      <c r="A507" s="122" t="s">
        <v>1507</v>
      </c>
      <c r="B507" s="124">
        <v>483.137</v>
      </c>
      <c r="C507" s="124">
        <v>530.45799999999997</v>
      </c>
      <c r="D507" s="124">
        <v>553.65800000000002</v>
      </c>
      <c r="E507" s="124">
        <v>557.21799999999996</v>
      </c>
      <c r="F507" s="124">
        <v>76.802800000000005</v>
      </c>
      <c r="G507" s="124">
        <v>82.573300000000003</v>
      </c>
      <c r="H507" s="124">
        <v>84.407499999999999</v>
      </c>
      <c r="I507" s="124">
        <v>82.664199999999994</v>
      </c>
      <c r="J507" s="134">
        <v>95334613</v>
      </c>
      <c r="K507" s="134">
        <v>97670035</v>
      </c>
      <c r="L507" s="124">
        <v>1078.4970000000001</v>
      </c>
      <c r="M507" s="134">
        <v>68546</v>
      </c>
      <c r="N507" s="135">
        <v>50.0931</v>
      </c>
      <c r="O507" s="135">
        <v>56.5443</v>
      </c>
      <c r="P507" s="135">
        <v>56.539299999999997</v>
      </c>
      <c r="Q507" s="135">
        <v>54.489899999999999</v>
      </c>
      <c r="R507" s="137">
        <v>1.1100000000000001</v>
      </c>
      <c r="S507" s="120">
        <v>125401</v>
      </c>
      <c r="T507" s="120">
        <v>976979</v>
      </c>
      <c r="U507" s="120">
        <v>0</v>
      </c>
      <c r="V507" s="114">
        <f t="shared" si="16"/>
        <v>976979</v>
      </c>
      <c r="W507" s="114">
        <f t="shared" si="17"/>
        <v>1102380</v>
      </c>
    </row>
    <row r="508" spans="1:23">
      <c r="A508" s="122" t="s">
        <v>2492</v>
      </c>
      <c r="B508" s="124">
        <v>122.01600000000001</v>
      </c>
      <c r="C508" s="124">
        <v>124.94499999999999</v>
      </c>
      <c r="D508" s="124">
        <v>133.12200000000001</v>
      </c>
      <c r="E508" s="124">
        <v>136.27600000000001</v>
      </c>
      <c r="F508" s="124">
        <v>27.5</v>
      </c>
      <c r="G508" s="124">
        <v>25.5</v>
      </c>
      <c r="H508" s="124">
        <v>30</v>
      </c>
      <c r="I508" s="124">
        <v>22</v>
      </c>
      <c r="J508" s="134">
        <v>41217756</v>
      </c>
      <c r="K508" s="134">
        <v>42357076</v>
      </c>
      <c r="L508" s="124">
        <v>276.64800000000002</v>
      </c>
      <c r="M508" s="114">
        <v>0</v>
      </c>
      <c r="N508" s="135">
        <v>15.8751</v>
      </c>
      <c r="O508" s="135">
        <v>16.250499999999999</v>
      </c>
      <c r="P508" s="135">
        <v>21.132000000000001</v>
      </c>
      <c r="Q508" s="135">
        <v>15.891999999999999</v>
      </c>
      <c r="R508" s="137">
        <v>1.1000000000000001</v>
      </c>
      <c r="S508" s="120">
        <v>0</v>
      </c>
      <c r="T508" s="120">
        <v>659368</v>
      </c>
      <c r="U508" s="120">
        <v>0</v>
      </c>
      <c r="V508" s="114">
        <f t="shared" si="16"/>
        <v>659368</v>
      </c>
      <c r="W508" s="114">
        <f t="shared" si="17"/>
        <v>659368</v>
      </c>
    </row>
    <row r="509" spans="1:23">
      <c r="A509" s="122" t="s">
        <v>1271</v>
      </c>
      <c r="B509" s="124">
        <v>169.15700000000001</v>
      </c>
      <c r="C509" s="124">
        <v>150.08699999999999</v>
      </c>
      <c r="D509" s="124">
        <v>145.554</v>
      </c>
      <c r="E509" s="124">
        <v>149.471</v>
      </c>
      <c r="F509" s="124">
        <v>35.866599999999998</v>
      </c>
      <c r="G509" s="124">
        <v>34.986600000000003</v>
      </c>
      <c r="H509" s="124">
        <v>34.481299999999997</v>
      </c>
      <c r="I509" s="124">
        <v>38.353000000000002</v>
      </c>
      <c r="J509" s="134">
        <v>40202846</v>
      </c>
      <c r="K509" s="134">
        <v>41307254</v>
      </c>
      <c r="L509" s="124">
        <v>325.35399999999998</v>
      </c>
      <c r="M509" s="114">
        <v>0</v>
      </c>
      <c r="N509" s="135">
        <v>19.636800000000001</v>
      </c>
      <c r="O509" s="135">
        <v>21.677900000000001</v>
      </c>
      <c r="P509" s="135">
        <v>22.057200000000002</v>
      </c>
      <c r="Q509" s="135">
        <v>24.3338</v>
      </c>
      <c r="R509" s="137">
        <v>1.1000000000000001</v>
      </c>
      <c r="S509" s="120">
        <v>0</v>
      </c>
      <c r="T509" s="120">
        <v>587670</v>
      </c>
      <c r="U509" s="120">
        <v>0</v>
      </c>
      <c r="V509" s="114">
        <f t="shared" si="16"/>
        <v>587670</v>
      </c>
      <c r="W509" s="114">
        <f t="shared" si="17"/>
        <v>587670</v>
      </c>
    </row>
    <row r="510" spans="1:23">
      <c r="A510" s="122" t="s">
        <v>2155</v>
      </c>
      <c r="B510" s="124">
        <v>951.65300000000002</v>
      </c>
      <c r="C510" s="124">
        <v>990.81299999999999</v>
      </c>
      <c r="D510" s="124">
        <v>1041.1030000000001</v>
      </c>
      <c r="E510" s="124">
        <v>1094.2</v>
      </c>
      <c r="F510" s="124">
        <v>133.0498</v>
      </c>
      <c r="G510" s="124">
        <v>141.2037</v>
      </c>
      <c r="H510" s="124">
        <v>157.7303</v>
      </c>
      <c r="I510" s="124">
        <v>174.49969999999999</v>
      </c>
      <c r="J510" s="134">
        <v>123945919</v>
      </c>
      <c r="K510" s="134">
        <v>136530589</v>
      </c>
      <c r="L510" s="124">
        <v>1594.8050000000001</v>
      </c>
      <c r="M510" s="134">
        <v>154216</v>
      </c>
      <c r="N510" s="135">
        <v>93.132800000000003</v>
      </c>
      <c r="O510" s="135">
        <v>96.018699999999995</v>
      </c>
      <c r="P510" s="135">
        <v>103.8608</v>
      </c>
      <c r="Q510" s="135">
        <v>108.5304</v>
      </c>
      <c r="R510" s="137">
        <v>1.06</v>
      </c>
      <c r="S510" s="120">
        <v>327586</v>
      </c>
      <c r="T510" s="120">
        <v>1905540</v>
      </c>
      <c r="U510" s="120">
        <v>0</v>
      </c>
      <c r="V510" s="114">
        <f t="shared" si="16"/>
        <v>1905540</v>
      </c>
      <c r="W510" s="114">
        <f t="shared" si="17"/>
        <v>2233126</v>
      </c>
    </row>
    <row r="511" spans="1:23">
      <c r="A511" s="122" t="s">
        <v>1272</v>
      </c>
      <c r="B511" s="124">
        <v>435.18900000000002</v>
      </c>
      <c r="C511" s="124">
        <v>429.62</v>
      </c>
      <c r="D511" s="124">
        <v>449.61900000000003</v>
      </c>
      <c r="E511" s="124">
        <v>474.70600000000002</v>
      </c>
      <c r="F511" s="124">
        <v>67.986599999999996</v>
      </c>
      <c r="G511" s="124">
        <v>69.954700000000003</v>
      </c>
      <c r="H511" s="124">
        <v>65.427999999999997</v>
      </c>
      <c r="I511" s="124">
        <v>71.395899999999997</v>
      </c>
      <c r="J511" s="134">
        <v>42136915</v>
      </c>
      <c r="K511" s="134">
        <v>47871885</v>
      </c>
      <c r="L511" s="124">
        <v>765.81299999999999</v>
      </c>
      <c r="M511" s="134">
        <v>27542</v>
      </c>
      <c r="N511" s="135">
        <v>46</v>
      </c>
      <c r="O511" s="135">
        <v>48.336599999999997</v>
      </c>
      <c r="P511" s="135">
        <v>45.396799999999999</v>
      </c>
      <c r="Q511" s="135">
        <v>48.992800000000003</v>
      </c>
      <c r="R511" s="137">
        <v>1.05</v>
      </c>
      <c r="S511" s="120">
        <v>32000</v>
      </c>
      <c r="T511" s="120">
        <v>634897</v>
      </c>
      <c r="U511" s="120">
        <v>0</v>
      </c>
      <c r="V511" s="114">
        <f t="shared" si="16"/>
        <v>634897</v>
      </c>
      <c r="W511" s="114">
        <f t="shared" si="17"/>
        <v>666897</v>
      </c>
    </row>
    <row r="512" spans="1:23">
      <c r="A512" s="122" t="s">
        <v>1618</v>
      </c>
      <c r="B512" s="124">
        <v>1610.248</v>
      </c>
      <c r="C512" s="124">
        <v>1632.752</v>
      </c>
      <c r="D512" s="124">
        <v>1680.4760000000001</v>
      </c>
      <c r="E512" s="124">
        <v>1694.2560000000001</v>
      </c>
      <c r="F512" s="124">
        <v>254.7604</v>
      </c>
      <c r="G512" s="124">
        <v>260.93220000000002</v>
      </c>
      <c r="H512" s="124">
        <v>270.56709999999998</v>
      </c>
      <c r="I512" s="124">
        <v>270.55070000000001</v>
      </c>
      <c r="J512" s="134">
        <v>250115314</v>
      </c>
      <c r="K512" s="134">
        <v>267578954</v>
      </c>
      <c r="L512" s="124">
        <v>2453.4209999999998</v>
      </c>
      <c r="M512" s="134">
        <v>292332</v>
      </c>
      <c r="N512" s="135">
        <v>153.018</v>
      </c>
      <c r="O512" s="135">
        <v>158.07650000000001</v>
      </c>
      <c r="P512" s="135">
        <v>167.02440000000001</v>
      </c>
      <c r="Q512" s="135">
        <v>173.9597</v>
      </c>
      <c r="R512" s="137">
        <v>1.06</v>
      </c>
      <c r="S512" s="120">
        <v>448640</v>
      </c>
      <c r="T512" s="120">
        <v>3897086</v>
      </c>
      <c r="U512" s="120">
        <v>0</v>
      </c>
      <c r="V512" s="114">
        <f t="shared" si="16"/>
        <v>3897086</v>
      </c>
      <c r="W512" s="114">
        <f t="shared" si="17"/>
        <v>4345726</v>
      </c>
    </row>
    <row r="513" spans="1:23">
      <c r="A513" s="122" t="s">
        <v>1209</v>
      </c>
      <c r="B513" s="124">
        <v>4825.0249999999996</v>
      </c>
      <c r="C513" s="124">
        <v>4739.2259999999997</v>
      </c>
      <c r="D513" s="124">
        <v>4784.4380000000001</v>
      </c>
      <c r="E513" s="124">
        <v>4729.8280000000004</v>
      </c>
      <c r="F513" s="124">
        <v>725.39940000000001</v>
      </c>
      <c r="G513" s="124">
        <v>732.13580000000002</v>
      </c>
      <c r="H513" s="124">
        <v>723.46420000000001</v>
      </c>
      <c r="I513" s="124">
        <v>713.71090000000004</v>
      </c>
      <c r="J513" s="134">
        <v>912524180</v>
      </c>
      <c r="K513" s="134">
        <v>971745630</v>
      </c>
      <c r="L513" s="124">
        <v>6195.5209999999997</v>
      </c>
      <c r="M513" s="134">
        <v>204279</v>
      </c>
      <c r="N513" s="135">
        <v>475.62189999999998</v>
      </c>
      <c r="O513" s="135">
        <v>481.30349999999999</v>
      </c>
      <c r="P513" s="135">
        <v>470.3698</v>
      </c>
      <c r="Q513" s="135">
        <v>477.67759999999998</v>
      </c>
      <c r="R513" s="137">
        <v>1.08</v>
      </c>
      <c r="S513" s="120">
        <v>2221801</v>
      </c>
      <c r="T513" s="120">
        <v>13385143</v>
      </c>
      <c r="U513" s="120">
        <v>0</v>
      </c>
      <c r="V513" s="114">
        <f t="shared" si="16"/>
        <v>13385143</v>
      </c>
      <c r="W513" s="114">
        <f t="shared" si="17"/>
        <v>15606944</v>
      </c>
    </row>
    <row r="514" spans="1:23">
      <c r="A514" s="122" t="s">
        <v>2218</v>
      </c>
      <c r="B514" s="124">
        <v>704.33699999999999</v>
      </c>
      <c r="C514" s="124">
        <v>711.79700000000003</v>
      </c>
      <c r="D514" s="124">
        <v>755.11300000000006</v>
      </c>
      <c r="E514" s="124">
        <v>798.13800000000003</v>
      </c>
      <c r="F514" s="124">
        <v>100.539</v>
      </c>
      <c r="G514" s="124">
        <v>106.84520000000001</v>
      </c>
      <c r="H514" s="124">
        <v>110.3075</v>
      </c>
      <c r="I514" s="124">
        <v>118.2377</v>
      </c>
      <c r="J514" s="134">
        <v>78519350</v>
      </c>
      <c r="K514" s="134">
        <v>88690060</v>
      </c>
      <c r="L514" s="124">
        <v>1250.1110000000001</v>
      </c>
      <c r="M514" s="134">
        <v>78025</v>
      </c>
      <c r="N514" s="135">
        <v>63.3324</v>
      </c>
      <c r="O514" s="135">
        <v>67.436000000000007</v>
      </c>
      <c r="P514" s="135">
        <v>70.738699999999994</v>
      </c>
      <c r="Q514" s="135">
        <v>70.699100000000001</v>
      </c>
      <c r="R514" s="137">
        <v>1.04</v>
      </c>
      <c r="S514" s="120">
        <v>150758</v>
      </c>
      <c r="T514" s="120">
        <v>1122787</v>
      </c>
      <c r="U514" s="120">
        <v>0</v>
      </c>
      <c r="V514" s="114">
        <f t="shared" si="16"/>
        <v>1122787</v>
      </c>
      <c r="W514" s="114">
        <f t="shared" si="17"/>
        <v>1273545</v>
      </c>
    </row>
    <row r="515" spans="1:23">
      <c r="A515" s="122" t="s">
        <v>1781</v>
      </c>
      <c r="B515" s="124">
        <v>2564.1529999999998</v>
      </c>
      <c r="C515" s="124">
        <v>2601.5700000000002</v>
      </c>
      <c r="D515" s="124">
        <v>2670.0630000000001</v>
      </c>
      <c r="E515" s="124">
        <v>2648.982</v>
      </c>
      <c r="F515" s="124">
        <v>373.21629999999999</v>
      </c>
      <c r="G515" s="124">
        <v>397.6508</v>
      </c>
      <c r="H515" s="124">
        <v>424.53890000000001</v>
      </c>
      <c r="I515" s="124">
        <v>447.08710000000002</v>
      </c>
      <c r="J515" s="134">
        <v>332216220</v>
      </c>
      <c r="K515" s="134">
        <v>370296160</v>
      </c>
      <c r="L515" s="124">
        <v>3713.9639999999999</v>
      </c>
      <c r="M515" s="134">
        <v>102177</v>
      </c>
      <c r="N515" s="135">
        <v>229.91679999999999</v>
      </c>
      <c r="O515" s="135">
        <v>240.77019999999999</v>
      </c>
      <c r="P515" s="135">
        <v>251.37950000000001</v>
      </c>
      <c r="Q515" s="135">
        <v>260.7697</v>
      </c>
      <c r="R515" s="137">
        <v>1.07</v>
      </c>
      <c r="S515" s="120">
        <v>704076</v>
      </c>
      <c r="T515" s="120">
        <v>4539581</v>
      </c>
      <c r="U515" s="120">
        <v>0</v>
      </c>
      <c r="V515" s="114">
        <f t="shared" si="16"/>
        <v>4539581</v>
      </c>
      <c r="W515" s="114">
        <f t="shared" si="17"/>
        <v>5243657</v>
      </c>
    </row>
    <row r="516" spans="1:23">
      <c r="A516" s="122" t="s">
        <v>273</v>
      </c>
      <c r="B516" s="124">
        <v>593.55399999999997</v>
      </c>
      <c r="C516" s="124">
        <v>563.303</v>
      </c>
      <c r="D516" s="124">
        <v>552.84400000000005</v>
      </c>
      <c r="E516" s="124">
        <v>562.75599999999997</v>
      </c>
      <c r="F516" s="124">
        <v>93.626000000000005</v>
      </c>
      <c r="G516" s="124">
        <v>98.489599999999996</v>
      </c>
      <c r="H516" s="124">
        <v>99.679500000000004</v>
      </c>
      <c r="I516" s="124">
        <v>93.128699999999995</v>
      </c>
      <c r="J516" s="134">
        <v>52196106</v>
      </c>
      <c r="K516" s="134">
        <v>59758376</v>
      </c>
      <c r="L516" s="124">
        <v>947.44600000000003</v>
      </c>
      <c r="M516" s="134">
        <v>74228</v>
      </c>
      <c r="N516" s="135">
        <v>66.286500000000004</v>
      </c>
      <c r="O516" s="135">
        <v>67.500299999999996</v>
      </c>
      <c r="P516" s="135">
        <v>69.536699999999996</v>
      </c>
      <c r="Q516" s="135">
        <v>65.337400000000002</v>
      </c>
      <c r="R516" s="137">
        <v>1.06</v>
      </c>
      <c r="S516" s="120">
        <v>118258</v>
      </c>
      <c r="T516" s="120">
        <v>776151</v>
      </c>
      <c r="U516" s="120">
        <v>0</v>
      </c>
      <c r="V516" s="114">
        <f t="shared" si="16"/>
        <v>776151</v>
      </c>
      <c r="W516" s="114">
        <f t="shared" si="17"/>
        <v>894409</v>
      </c>
    </row>
    <row r="517" spans="1:23">
      <c r="A517" s="122" t="s">
        <v>1210</v>
      </c>
      <c r="B517" s="124">
        <v>307.45499999999998</v>
      </c>
      <c r="C517" s="124">
        <v>302.346</v>
      </c>
      <c r="D517" s="124">
        <v>293.21499999999997</v>
      </c>
      <c r="E517" s="124">
        <v>284.98200000000003</v>
      </c>
      <c r="F517" s="124">
        <v>53.402500000000003</v>
      </c>
      <c r="G517" s="124">
        <v>53.582799999999999</v>
      </c>
      <c r="H517" s="124">
        <v>60.818100000000001</v>
      </c>
      <c r="I517" s="124">
        <v>53.866300000000003</v>
      </c>
      <c r="J517" s="134">
        <v>37372257</v>
      </c>
      <c r="K517" s="134">
        <v>42879378</v>
      </c>
      <c r="L517" s="124">
        <v>497.16</v>
      </c>
      <c r="M517" s="134">
        <v>39562</v>
      </c>
      <c r="N517" s="135">
        <v>37.215899999999998</v>
      </c>
      <c r="O517" s="135">
        <v>38.583500000000001</v>
      </c>
      <c r="P517" s="135">
        <v>41.238599999999998</v>
      </c>
      <c r="Q517" s="135">
        <v>36.045499999999997</v>
      </c>
      <c r="R517" s="137">
        <v>1.05</v>
      </c>
      <c r="S517" s="120">
        <v>40682</v>
      </c>
      <c r="T517" s="120">
        <v>525722</v>
      </c>
      <c r="U517" s="120">
        <v>0</v>
      </c>
      <c r="V517" s="114">
        <f t="shared" ref="V517:V580" si="18">T517+U517</f>
        <v>525722</v>
      </c>
      <c r="W517" s="114">
        <f t="shared" ref="W517:W580" si="19">V517+S517</f>
        <v>566404</v>
      </c>
    </row>
    <row r="518" spans="1:23">
      <c r="A518" s="122" t="s">
        <v>987</v>
      </c>
      <c r="B518" s="124">
        <v>511.27</v>
      </c>
      <c r="C518" s="124">
        <v>517.20500000000004</v>
      </c>
      <c r="D518" s="124">
        <v>545.41700000000003</v>
      </c>
      <c r="E518" s="124">
        <v>530.30899999999997</v>
      </c>
      <c r="F518" s="124">
        <v>73.030500000000004</v>
      </c>
      <c r="G518" s="124">
        <v>79.612799999999993</v>
      </c>
      <c r="H518" s="124">
        <v>81.995199999999997</v>
      </c>
      <c r="I518" s="124">
        <v>82.936300000000003</v>
      </c>
      <c r="J518" s="134">
        <v>56264357</v>
      </c>
      <c r="K518" s="134">
        <v>62989867</v>
      </c>
      <c r="L518" s="124">
        <v>848.14099999999996</v>
      </c>
      <c r="M518" s="134">
        <v>26770</v>
      </c>
      <c r="N518" s="135">
        <v>52.1218</v>
      </c>
      <c r="O518" s="135">
        <v>41.3977</v>
      </c>
      <c r="P518" s="135">
        <v>57.479300000000002</v>
      </c>
      <c r="Q518" s="135">
        <v>57.412300000000002</v>
      </c>
      <c r="R518" s="137">
        <v>1.04</v>
      </c>
      <c r="S518" s="120">
        <v>26662</v>
      </c>
      <c r="T518" s="120">
        <v>763781</v>
      </c>
      <c r="U518" s="120">
        <v>28495</v>
      </c>
      <c r="V518" s="114">
        <f t="shared" si="18"/>
        <v>792276</v>
      </c>
      <c r="W518" s="114">
        <f t="shared" si="19"/>
        <v>818938</v>
      </c>
    </row>
    <row r="519" spans="1:23">
      <c r="A519" s="122" t="s">
        <v>2105</v>
      </c>
      <c r="B519" s="124">
        <v>476.35599999999999</v>
      </c>
      <c r="C519" s="124">
        <v>585.49599999999998</v>
      </c>
      <c r="D519" s="124">
        <v>567.81399999999996</v>
      </c>
      <c r="E519" s="124">
        <v>489.904</v>
      </c>
      <c r="F519" s="124">
        <v>82.861000000000004</v>
      </c>
      <c r="G519" s="124">
        <v>93.647000000000006</v>
      </c>
      <c r="H519" s="124">
        <v>86.080299999999994</v>
      </c>
      <c r="I519" s="124">
        <v>93.390600000000006</v>
      </c>
      <c r="J519" s="134">
        <v>8769542</v>
      </c>
      <c r="K519" s="134">
        <v>9988274</v>
      </c>
      <c r="L519" s="124">
        <v>876.95</v>
      </c>
      <c r="M519" s="114">
        <v>0</v>
      </c>
      <c r="N519" s="135">
        <v>57.689599999999999</v>
      </c>
      <c r="O519" s="135">
        <v>71.638099999999994</v>
      </c>
      <c r="P519" s="135">
        <v>57.105800000000002</v>
      </c>
      <c r="Q519" s="135">
        <v>60.579799999999999</v>
      </c>
      <c r="R519" s="137">
        <v>1.07</v>
      </c>
      <c r="S519" s="120">
        <v>6639</v>
      </c>
      <c r="T519" s="120">
        <v>129169</v>
      </c>
      <c r="U519" s="120">
        <v>0</v>
      </c>
      <c r="V519" s="114">
        <f t="shared" si="18"/>
        <v>129169</v>
      </c>
      <c r="W519" s="114">
        <f t="shared" si="19"/>
        <v>135808</v>
      </c>
    </row>
    <row r="520" spans="1:23">
      <c r="A520" s="122" t="s">
        <v>1211</v>
      </c>
      <c r="B520" s="124">
        <v>2886.288</v>
      </c>
      <c r="C520" s="124">
        <v>2804.5329999999999</v>
      </c>
      <c r="D520" s="124">
        <v>2719.8359999999998</v>
      </c>
      <c r="E520" s="124">
        <v>2690.8209999999999</v>
      </c>
      <c r="F520" s="124">
        <v>424.00839999999999</v>
      </c>
      <c r="G520" s="124">
        <v>429.59910000000002</v>
      </c>
      <c r="H520" s="124">
        <v>420.09870000000001</v>
      </c>
      <c r="I520" s="124">
        <v>441.29610000000002</v>
      </c>
      <c r="J520" s="134">
        <v>410762318</v>
      </c>
      <c r="K520" s="134">
        <v>451482248</v>
      </c>
      <c r="L520" s="124">
        <v>3680.5889999999999</v>
      </c>
      <c r="M520" s="114">
        <v>0</v>
      </c>
      <c r="N520" s="135">
        <v>293.34660000000002</v>
      </c>
      <c r="O520" s="135">
        <v>287.78129999999999</v>
      </c>
      <c r="P520" s="135">
        <v>281.96550000000002</v>
      </c>
      <c r="Q520" s="135">
        <v>277.81099999999998</v>
      </c>
      <c r="R520" s="137">
        <v>1.08</v>
      </c>
      <c r="S520" s="120">
        <v>0</v>
      </c>
      <c r="T520" s="120">
        <v>5916238</v>
      </c>
      <c r="U520" s="120">
        <v>0</v>
      </c>
      <c r="V520" s="114">
        <f t="shared" si="18"/>
        <v>5916238</v>
      </c>
      <c r="W520" s="114">
        <f t="shared" si="19"/>
        <v>5916238</v>
      </c>
    </row>
    <row r="521" spans="1:23">
      <c r="A521" s="122" t="s">
        <v>2454</v>
      </c>
      <c r="B521" s="124">
        <v>1008.258</v>
      </c>
      <c r="C521" s="124">
        <v>935.64700000000005</v>
      </c>
      <c r="D521" s="124">
        <v>907.39</v>
      </c>
      <c r="E521" s="124">
        <v>868.56899999999996</v>
      </c>
      <c r="F521" s="124">
        <v>164.23670000000001</v>
      </c>
      <c r="G521" s="124">
        <v>157.5634</v>
      </c>
      <c r="H521" s="124">
        <v>152.42949999999999</v>
      </c>
      <c r="I521" s="124">
        <v>153.09729999999999</v>
      </c>
      <c r="J521" s="134">
        <v>124001614</v>
      </c>
      <c r="K521" s="134">
        <v>139776844</v>
      </c>
      <c r="L521" s="124">
        <v>1368.6289999999999</v>
      </c>
      <c r="M521" s="134">
        <v>128649</v>
      </c>
      <c r="N521" s="135">
        <v>112.8484</v>
      </c>
      <c r="O521" s="135">
        <v>99.838499999999996</v>
      </c>
      <c r="P521" s="135">
        <v>101.35339999999999</v>
      </c>
      <c r="Q521" s="135">
        <v>101.4847</v>
      </c>
      <c r="R521" s="137">
        <v>1.07</v>
      </c>
      <c r="S521" s="120">
        <v>187438</v>
      </c>
      <c r="T521" s="120">
        <v>1680729</v>
      </c>
      <c r="U521" s="120">
        <v>0</v>
      </c>
      <c r="V521" s="114">
        <f t="shared" si="18"/>
        <v>1680729</v>
      </c>
      <c r="W521" s="114">
        <f t="shared" si="19"/>
        <v>1868167</v>
      </c>
    </row>
    <row r="522" spans="1:23">
      <c r="A522" s="122" t="s">
        <v>2455</v>
      </c>
      <c r="B522" s="124">
        <v>630.09100000000001</v>
      </c>
      <c r="C522" s="124">
        <v>587.404</v>
      </c>
      <c r="D522" s="124">
        <v>576.71900000000005</v>
      </c>
      <c r="E522" s="124">
        <v>594.41899999999998</v>
      </c>
      <c r="F522" s="124">
        <v>132.10599999999999</v>
      </c>
      <c r="G522" s="124">
        <v>120.47490000000001</v>
      </c>
      <c r="H522" s="124">
        <v>122.2795</v>
      </c>
      <c r="I522" s="124">
        <v>130.15389999999999</v>
      </c>
      <c r="J522" s="134">
        <v>816033115</v>
      </c>
      <c r="K522" s="134">
        <v>823536805</v>
      </c>
      <c r="L522" s="124">
        <v>1158.653</v>
      </c>
      <c r="M522" s="134">
        <v>691649</v>
      </c>
      <c r="N522" s="135">
        <v>87.495900000000006</v>
      </c>
      <c r="O522" s="135">
        <v>78.536699999999996</v>
      </c>
      <c r="P522" s="135">
        <v>76.090900000000005</v>
      </c>
      <c r="Q522" s="135">
        <v>66.0047</v>
      </c>
      <c r="R522" s="137">
        <v>1.06</v>
      </c>
      <c r="S522" s="120">
        <v>966956</v>
      </c>
      <c r="T522" s="120">
        <v>10752540</v>
      </c>
      <c r="U522" s="120">
        <v>0</v>
      </c>
      <c r="V522" s="114">
        <f t="shared" si="18"/>
        <v>10752540</v>
      </c>
      <c r="W522" s="114">
        <f t="shared" si="19"/>
        <v>11719496</v>
      </c>
    </row>
    <row r="523" spans="1:23">
      <c r="A523" s="122" t="s">
        <v>1428</v>
      </c>
      <c r="B523" s="124">
        <v>91.962999999999994</v>
      </c>
      <c r="C523" s="124">
        <v>104.703</v>
      </c>
      <c r="D523" s="124">
        <v>105.736</v>
      </c>
      <c r="E523" s="124">
        <v>102.807</v>
      </c>
      <c r="F523" s="124">
        <v>20.9087</v>
      </c>
      <c r="G523" s="124">
        <v>23.405899999999999</v>
      </c>
      <c r="H523" s="124">
        <v>21.626000000000001</v>
      </c>
      <c r="I523" s="124">
        <v>15.197900000000001</v>
      </c>
      <c r="J523" s="134">
        <v>29109799</v>
      </c>
      <c r="K523" s="134">
        <v>29366370</v>
      </c>
      <c r="L523" s="124">
        <v>172.69900000000001</v>
      </c>
      <c r="M523" s="114">
        <v>0</v>
      </c>
      <c r="N523" s="135">
        <v>14.3424</v>
      </c>
      <c r="O523" s="135">
        <v>17.870899999999999</v>
      </c>
      <c r="P523" s="135">
        <v>16.410499999999999</v>
      </c>
      <c r="Q523" s="135">
        <v>8.4833999999999996</v>
      </c>
      <c r="R523" s="137">
        <v>1.07</v>
      </c>
      <c r="S523" s="120">
        <v>0</v>
      </c>
      <c r="T523" s="120">
        <v>373653</v>
      </c>
      <c r="U523" s="120">
        <v>0</v>
      </c>
      <c r="V523" s="114">
        <f t="shared" si="18"/>
        <v>373653</v>
      </c>
      <c r="W523" s="114">
        <f t="shared" si="19"/>
        <v>373653</v>
      </c>
    </row>
    <row r="524" spans="1:23">
      <c r="A524" s="122" t="s">
        <v>1429</v>
      </c>
      <c r="B524" s="124">
        <v>339.44499999999999</v>
      </c>
      <c r="C524" s="124">
        <v>332.88299999999998</v>
      </c>
      <c r="D524" s="124">
        <v>327.18099999999998</v>
      </c>
      <c r="E524" s="124">
        <v>352.21300000000002</v>
      </c>
      <c r="F524" s="124">
        <v>65.365700000000004</v>
      </c>
      <c r="G524" s="124">
        <v>66.070099999999996</v>
      </c>
      <c r="H524" s="124">
        <v>59.984499999999997</v>
      </c>
      <c r="I524" s="124">
        <v>63.401699999999998</v>
      </c>
      <c r="J524" s="134">
        <v>225164206</v>
      </c>
      <c r="K524" s="134">
        <v>229204484</v>
      </c>
      <c r="L524" s="124">
        <v>677.68899999999996</v>
      </c>
      <c r="M524" s="114">
        <v>0</v>
      </c>
      <c r="N524" s="135">
        <v>42.834899999999998</v>
      </c>
      <c r="O524" s="135">
        <v>42.000399999999999</v>
      </c>
      <c r="P524" s="135">
        <v>37.511699999999998</v>
      </c>
      <c r="Q524" s="135">
        <v>40.334000000000003</v>
      </c>
      <c r="R524" s="137">
        <v>1.06</v>
      </c>
      <c r="S524" s="120">
        <v>1072</v>
      </c>
      <c r="T524" s="120">
        <v>3189814</v>
      </c>
      <c r="U524" s="120">
        <v>0</v>
      </c>
      <c r="V524" s="114">
        <f t="shared" si="18"/>
        <v>3189814</v>
      </c>
      <c r="W524" s="114">
        <f t="shared" si="19"/>
        <v>3190886</v>
      </c>
    </row>
    <row r="525" spans="1:23">
      <c r="A525" s="122" t="s">
        <v>1039</v>
      </c>
      <c r="B525" s="124">
        <v>231.63200000000001</v>
      </c>
      <c r="C525" s="124">
        <v>228.124</v>
      </c>
      <c r="D525" s="124">
        <v>234.78200000000001</v>
      </c>
      <c r="E525" s="124">
        <v>242.79599999999999</v>
      </c>
      <c r="F525" s="124">
        <v>47.369</v>
      </c>
      <c r="G525" s="124">
        <v>45.866300000000003</v>
      </c>
      <c r="H525" s="124">
        <v>42.4572</v>
      </c>
      <c r="I525" s="124">
        <v>42.4465</v>
      </c>
      <c r="J525" s="134">
        <v>55253178</v>
      </c>
      <c r="K525" s="134">
        <v>58013408</v>
      </c>
      <c r="L525" s="124">
        <v>417.59899999999999</v>
      </c>
      <c r="M525" s="134">
        <v>33940</v>
      </c>
      <c r="N525" s="135">
        <v>32.037599999999998</v>
      </c>
      <c r="O525" s="135">
        <v>32.536799999999999</v>
      </c>
      <c r="P525" s="135">
        <v>30.645</v>
      </c>
      <c r="Q525" s="135">
        <v>29.619399999999999</v>
      </c>
      <c r="R525" s="137">
        <v>1.05</v>
      </c>
      <c r="S525" s="120">
        <v>35493</v>
      </c>
      <c r="T525" s="120">
        <v>810585</v>
      </c>
      <c r="U525" s="120">
        <v>0</v>
      </c>
      <c r="V525" s="114">
        <f t="shared" si="18"/>
        <v>810585</v>
      </c>
      <c r="W525" s="114">
        <f t="shared" si="19"/>
        <v>846078</v>
      </c>
    </row>
    <row r="526" spans="1:23">
      <c r="A526" s="122" t="s">
        <v>1040</v>
      </c>
      <c r="B526" s="124">
        <v>1019.444</v>
      </c>
      <c r="C526" s="124">
        <v>951.66399999999999</v>
      </c>
      <c r="D526" s="124">
        <v>943.80399999999997</v>
      </c>
      <c r="E526" s="124">
        <v>946.70299999999997</v>
      </c>
      <c r="F526" s="124">
        <v>156.77520000000001</v>
      </c>
      <c r="G526" s="124">
        <v>154.19499999999999</v>
      </c>
      <c r="H526" s="124">
        <v>153.8501</v>
      </c>
      <c r="I526" s="124">
        <v>144.17310000000001</v>
      </c>
      <c r="J526" s="134">
        <v>232697042</v>
      </c>
      <c r="K526" s="134">
        <v>246622932</v>
      </c>
      <c r="L526" s="124">
        <v>1598.144</v>
      </c>
      <c r="M526" s="114">
        <v>0</v>
      </c>
      <c r="N526" s="135">
        <v>118.16889999999999</v>
      </c>
      <c r="O526" s="135">
        <v>116.25660000000001</v>
      </c>
      <c r="P526" s="135">
        <v>114.5887</v>
      </c>
      <c r="Q526" s="135">
        <v>105.3259</v>
      </c>
      <c r="R526" s="137">
        <v>1.05</v>
      </c>
      <c r="S526" s="120">
        <v>0</v>
      </c>
      <c r="T526" s="120">
        <v>3397131</v>
      </c>
      <c r="U526" s="120">
        <v>0</v>
      </c>
      <c r="V526" s="114">
        <f t="shared" si="18"/>
        <v>3397131</v>
      </c>
      <c r="W526" s="114">
        <f t="shared" si="19"/>
        <v>3397131</v>
      </c>
    </row>
    <row r="527" spans="1:23">
      <c r="A527" s="122" t="s">
        <v>1041</v>
      </c>
      <c r="B527" s="124">
        <v>388.23099999999999</v>
      </c>
      <c r="C527" s="124">
        <v>357.27</v>
      </c>
      <c r="D527" s="124">
        <v>348.34699999999998</v>
      </c>
      <c r="E527" s="124">
        <v>346.779</v>
      </c>
      <c r="F527" s="124">
        <v>62.425199999999997</v>
      </c>
      <c r="G527" s="124">
        <v>58.443899999999999</v>
      </c>
      <c r="H527" s="124">
        <v>51.7059</v>
      </c>
      <c r="I527" s="124">
        <v>52.788800000000002</v>
      </c>
      <c r="J527" s="134">
        <v>58472622</v>
      </c>
      <c r="K527" s="134">
        <v>63323892</v>
      </c>
      <c r="L527" s="124">
        <v>550.88699999999994</v>
      </c>
      <c r="M527" s="134">
        <v>37824</v>
      </c>
      <c r="N527" s="135">
        <v>41.101599999999998</v>
      </c>
      <c r="O527" s="135">
        <v>39.695900000000002</v>
      </c>
      <c r="P527" s="135">
        <v>35.881999999999998</v>
      </c>
      <c r="Q527" s="135">
        <v>36.307299999999998</v>
      </c>
      <c r="R527" s="137">
        <v>1.05</v>
      </c>
      <c r="S527" s="120">
        <v>42735</v>
      </c>
      <c r="T527" s="120">
        <v>910750</v>
      </c>
      <c r="U527" s="120">
        <v>0</v>
      </c>
      <c r="V527" s="114">
        <f t="shared" si="18"/>
        <v>910750</v>
      </c>
      <c r="W527" s="114">
        <f t="shared" si="19"/>
        <v>953485</v>
      </c>
    </row>
    <row r="528" spans="1:23">
      <c r="A528" s="122" t="s">
        <v>1042</v>
      </c>
      <c r="B528" s="124">
        <v>1576.6579999999999</v>
      </c>
      <c r="C528" s="124">
        <v>1554.414</v>
      </c>
      <c r="D528" s="124">
        <v>1507.471</v>
      </c>
      <c r="E528" s="124">
        <v>1485.0309999999999</v>
      </c>
      <c r="F528" s="124">
        <v>252.49250000000001</v>
      </c>
      <c r="G528" s="124">
        <v>204.81819999999999</v>
      </c>
      <c r="H528" s="124">
        <v>198.81549999999999</v>
      </c>
      <c r="I528" s="124">
        <v>235.5318</v>
      </c>
      <c r="J528" s="134">
        <v>289379095</v>
      </c>
      <c r="K528" s="134">
        <v>305022685</v>
      </c>
      <c r="L528" s="124">
        <v>2096.2469999999998</v>
      </c>
      <c r="M528" s="134">
        <v>165323</v>
      </c>
      <c r="N528" s="135">
        <v>164.1292</v>
      </c>
      <c r="O528" s="135">
        <v>156.86320000000001</v>
      </c>
      <c r="P528" s="135">
        <v>157.714</v>
      </c>
      <c r="Q528" s="135">
        <v>154.19120000000001</v>
      </c>
      <c r="R528" s="137">
        <v>1.08</v>
      </c>
      <c r="S528" s="120">
        <v>155813</v>
      </c>
      <c r="T528" s="120">
        <v>4033464</v>
      </c>
      <c r="U528" s="120">
        <v>0</v>
      </c>
      <c r="V528" s="114">
        <f t="shared" si="18"/>
        <v>4033464</v>
      </c>
      <c r="W528" s="114">
        <f t="shared" si="19"/>
        <v>4189277</v>
      </c>
    </row>
    <row r="529" spans="1:23">
      <c r="A529" s="122" t="s">
        <v>2972</v>
      </c>
      <c r="B529" s="124">
        <v>655.91600000000005</v>
      </c>
      <c r="C529" s="124">
        <v>642.29899999999998</v>
      </c>
      <c r="D529" s="124">
        <v>622.90200000000004</v>
      </c>
      <c r="E529" s="124">
        <v>603.928</v>
      </c>
      <c r="F529" s="124">
        <v>97.9011</v>
      </c>
      <c r="G529" s="124">
        <v>104.3984</v>
      </c>
      <c r="H529" s="124">
        <v>106</v>
      </c>
      <c r="I529" s="124">
        <v>106.6524</v>
      </c>
      <c r="J529" s="134">
        <v>103736594</v>
      </c>
      <c r="K529" s="134">
        <v>111220679</v>
      </c>
      <c r="L529" s="124">
        <v>975.101</v>
      </c>
      <c r="M529" s="134">
        <v>1288</v>
      </c>
      <c r="N529" s="135">
        <v>65.234300000000005</v>
      </c>
      <c r="O529" s="135">
        <v>67.9255</v>
      </c>
      <c r="P529" s="135">
        <v>65.991600000000005</v>
      </c>
      <c r="Q529" s="135">
        <v>72.502200000000002</v>
      </c>
      <c r="R529" s="137">
        <v>1.0900000000000001</v>
      </c>
      <c r="S529" s="120">
        <v>69937</v>
      </c>
      <c r="T529" s="120">
        <v>1478862</v>
      </c>
      <c r="U529" s="120">
        <v>0</v>
      </c>
      <c r="V529" s="114">
        <f t="shared" si="18"/>
        <v>1478862</v>
      </c>
      <c r="W529" s="114">
        <f t="shared" si="19"/>
        <v>1548799</v>
      </c>
    </row>
    <row r="530" spans="1:23">
      <c r="A530" s="122" t="s">
        <v>544</v>
      </c>
      <c r="B530" s="124">
        <v>929.803</v>
      </c>
      <c r="C530" s="124">
        <v>933.53200000000004</v>
      </c>
      <c r="D530" s="124">
        <v>905.33900000000006</v>
      </c>
      <c r="E530" s="124">
        <v>892.88400000000001</v>
      </c>
      <c r="F530" s="124">
        <v>187.1524</v>
      </c>
      <c r="G530" s="124">
        <v>185.8588</v>
      </c>
      <c r="H530" s="124">
        <v>170.29429999999999</v>
      </c>
      <c r="I530" s="124">
        <v>152.8158</v>
      </c>
      <c r="J530" s="134">
        <v>509915263</v>
      </c>
      <c r="K530" s="134">
        <v>517156915</v>
      </c>
      <c r="L530" s="124">
        <v>1417.1179999999999</v>
      </c>
      <c r="M530" s="134">
        <v>1452136</v>
      </c>
      <c r="N530" s="135">
        <v>107.7175</v>
      </c>
      <c r="O530" s="135">
        <v>111.8509</v>
      </c>
      <c r="P530" s="135">
        <v>103.41070000000001</v>
      </c>
      <c r="Q530" s="135">
        <v>90.595600000000005</v>
      </c>
      <c r="R530" s="137">
        <v>1.07</v>
      </c>
      <c r="S530" s="120">
        <v>1517798</v>
      </c>
      <c r="T530" s="120">
        <v>4654409</v>
      </c>
      <c r="U530" s="120">
        <v>0</v>
      </c>
      <c r="V530" s="114">
        <f t="shared" si="18"/>
        <v>4654409</v>
      </c>
      <c r="W530" s="114">
        <f t="shared" si="19"/>
        <v>6172207</v>
      </c>
    </row>
    <row r="531" spans="1:23">
      <c r="A531" s="122" t="s">
        <v>3042</v>
      </c>
      <c r="B531" s="124">
        <v>315.27</v>
      </c>
      <c r="C531" s="124">
        <v>289.077</v>
      </c>
      <c r="D531" s="124">
        <v>280.34699999999998</v>
      </c>
      <c r="E531" s="124">
        <v>268.08</v>
      </c>
      <c r="F531" s="124">
        <v>59.5989</v>
      </c>
      <c r="G531" s="124">
        <v>58.588299999999997</v>
      </c>
      <c r="H531" s="124">
        <v>55.395800000000001</v>
      </c>
      <c r="I531" s="124">
        <v>51.278199999999998</v>
      </c>
      <c r="J531" s="134">
        <v>117045517</v>
      </c>
      <c r="K531" s="134">
        <v>123080850</v>
      </c>
      <c r="L531" s="124">
        <v>493.81200000000001</v>
      </c>
      <c r="M531" s="114">
        <v>0</v>
      </c>
      <c r="N531" s="135">
        <v>39.884500000000003</v>
      </c>
      <c r="O531" s="135">
        <v>38.999299999999998</v>
      </c>
      <c r="P531" s="135">
        <v>36.654299999999999</v>
      </c>
      <c r="Q531" s="135">
        <v>32.899900000000002</v>
      </c>
      <c r="R531" s="137">
        <v>1.07</v>
      </c>
      <c r="S531" s="120">
        <v>0</v>
      </c>
      <c r="T531" s="120">
        <v>1646380</v>
      </c>
      <c r="U531" s="120">
        <v>0</v>
      </c>
      <c r="V531" s="114">
        <f t="shared" si="18"/>
        <v>1646380</v>
      </c>
      <c r="W531" s="114">
        <f t="shared" si="19"/>
        <v>1646380</v>
      </c>
    </row>
    <row r="532" spans="1:23">
      <c r="A532" s="122" t="s">
        <v>995</v>
      </c>
      <c r="B532" s="124">
        <v>1517.1130000000001</v>
      </c>
      <c r="C532" s="124">
        <v>1507.1369999999999</v>
      </c>
      <c r="D532" s="124">
        <v>1507.491</v>
      </c>
      <c r="E532" s="124">
        <v>1511.751</v>
      </c>
      <c r="F532" s="124">
        <v>266.28269999999998</v>
      </c>
      <c r="G532" s="124">
        <v>286.0059</v>
      </c>
      <c r="H532" s="124">
        <v>284.78039999999999</v>
      </c>
      <c r="I532" s="124">
        <v>285.70839999999998</v>
      </c>
      <c r="J532" s="134">
        <v>184972387</v>
      </c>
      <c r="K532" s="134">
        <v>204040570</v>
      </c>
      <c r="L532" s="124">
        <v>2075.0680000000002</v>
      </c>
      <c r="M532" s="134">
        <v>82561</v>
      </c>
      <c r="N532" s="135">
        <v>171.89449999999999</v>
      </c>
      <c r="O532" s="135">
        <v>177.4838</v>
      </c>
      <c r="P532" s="135">
        <v>178.4777</v>
      </c>
      <c r="Q532" s="135">
        <v>178.41720000000001</v>
      </c>
      <c r="R532" s="137">
        <v>1.06</v>
      </c>
      <c r="S532" s="120">
        <v>330966</v>
      </c>
      <c r="T532" s="120">
        <v>2749203</v>
      </c>
      <c r="U532" s="120">
        <v>0</v>
      </c>
      <c r="V532" s="114">
        <f t="shared" si="18"/>
        <v>2749203</v>
      </c>
      <c r="W532" s="114">
        <f t="shared" si="19"/>
        <v>3080169</v>
      </c>
    </row>
    <row r="533" spans="1:23">
      <c r="A533" s="122" t="s">
        <v>51</v>
      </c>
      <c r="B533" s="124">
        <v>3040.203</v>
      </c>
      <c r="C533" s="124">
        <v>2923.4180000000001</v>
      </c>
      <c r="D533" s="124">
        <v>2938.4960000000001</v>
      </c>
      <c r="E533" s="124">
        <v>2906.3449999999998</v>
      </c>
      <c r="F533" s="124">
        <v>515.95039999999995</v>
      </c>
      <c r="G533" s="124">
        <v>502.5711</v>
      </c>
      <c r="H533" s="124">
        <v>481.03699999999998</v>
      </c>
      <c r="I533" s="124">
        <v>501.92989999999998</v>
      </c>
      <c r="J533" s="134">
        <v>442170730</v>
      </c>
      <c r="K533" s="134">
        <v>480870334</v>
      </c>
      <c r="L533" s="124">
        <v>4113.3620000000001</v>
      </c>
      <c r="M533" s="134">
        <v>131449</v>
      </c>
      <c r="N533" s="135">
        <v>322.16649999999998</v>
      </c>
      <c r="O533" s="135">
        <v>290.7722</v>
      </c>
      <c r="P533" s="135">
        <v>302.8501</v>
      </c>
      <c r="Q533" s="135">
        <v>284.08150000000001</v>
      </c>
      <c r="R533" s="137">
        <v>1.08</v>
      </c>
      <c r="S533" s="120">
        <v>698566</v>
      </c>
      <c r="T533" s="120">
        <v>6556616</v>
      </c>
      <c r="U533" s="120">
        <v>0</v>
      </c>
      <c r="V533" s="114">
        <f t="shared" si="18"/>
        <v>6556616</v>
      </c>
      <c r="W533" s="114">
        <f t="shared" si="19"/>
        <v>7255182</v>
      </c>
    </row>
    <row r="534" spans="1:23">
      <c r="A534" s="122" t="s">
        <v>61</v>
      </c>
      <c r="B534" s="124">
        <v>1542.568</v>
      </c>
      <c r="C534" s="124">
        <v>1496.3019999999999</v>
      </c>
      <c r="D534" s="124">
        <v>1451.114</v>
      </c>
      <c r="E534" s="124">
        <v>1464.615</v>
      </c>
      <c r="F534" s="124">
        <v>201.70480000000001</v>
      </c>
      <c r="G534" s="124">
        <v>206.34280000000001</v>
      </c>
      <c r="H534" s="124">
        <v>211.53909999999999</v>
      </c>
      <c r="I534" s="124">
        <v>208.46430000000001</v>
      </c>
      <c r="J534" s="134">
        <v>123776070</v>
      </c>
      <c r="K534" s="134">
        <v>143056911</v>
      </c>
      <c r="L534" s="124">
        <v>2052.8539999999998</v>
      </c>
      <c r="M534" s="134">
        <v>74492</v>
      </c>
      <c r="N534" s="135">
        <v>134.3109</v>
      </c>
      <c r="O534" s="135">
        <v>137.97280000000001</v>
      </c>
      <c r="P534" s="135">
        <v>140.49889999999999</v>
      </c>
      <c r="Q534" s="135">
        <v>137.839</v>
      </c>
      <c r="R534" s="137">
        <v>1.06</v>
      </c>
      <c r="S534" s="120">
        <v>202390</v>
      </c>
      <c r="T534" s="120">
        <v>1764973</v>
      </c>
      <c r="U534" s="120">
        <v>0</v>
      </c>
      <c r="V534" s="114">
        <f t="shared" si="18"/>
        <v>1764973</v>
      </c>
      <c r="W534" s="114">
        <f t="shared" si="19"/>
        <v>1967363</v>
      </c>
    </row>
    <row r="535" spans="1:23">
      <c r="A535" s="122" t="s">
        <v>3043</v>
      </c>
      <c r="B535" s="124">
        <v>433.90800000000002</v>
      </c>
      <c r="C535" s="124">
        <v>413.24400000000003</v>
      </c>
      <c r="D535" s="124">
        <v>416.95800000000003</v>
      </c>
      <c r="E535" s="124">
        <v>415.31</v>
      </c>
      <c r="F535" s="124">
        <v>76.0749</v>
      </c>
      <c r="G535" s="124">
        <v>80.502700000000004</v>
      </c>
      <c r="H535" s="124">
        <v>83.486699999999999</v>
      </c>
      <c r="I535" s="124">
        <v>81.936000000000007</v>
      </c>
      <c r="J535" s="134">
        <v>553982216</v>
      </c>
      <c r="K535" s="134">
        <v>557949458</v>
      </c>
      <c r="L535" s="124">
        <v>673.76199999999994</v>
      </c>
      <c r="M535" s="134">
        <v>623774</v>
      </c>
      <c r="N535" s="135">
        <v>47.572600000000001</v>
      </c>
      <c r="O535" s="135">
        <v>50.000900000000001</v>
      </c>
      <c r="P535" s="135">
        <v>51.002099999999999</v>
      </c>
      <c r="Q535" s="135">
        <v>49.394399999999997</v>
      </c>
      <c r="R535" s="137">
        <v>1.05</v>
      </c>
      <c r="S535" s="120">
        <v>601312</v>
      </c>
      <c r="T535" s="120">
        <v>5735411</v>
      </c>
      <c r="U535" s="120">
        <v>0</v>
      </c>
      <c r="V535" s="114">
        <f t="shared" si="18"/>
        <v>5735411</v>
      </c>
      <c r="W535" s="114">
        <f t="shared" si="19"/>
        <v>6336723</v>
      </c>
    </row>
    <row r="536" spans="1:23">
      <c r="A536" s="122" t="s">
        <v>3044</v>
      </c>
      <c r="B536" s="124">
        <v>342.53699999999998</v>
      </c>
      <c r="C536" s="124">
        <v>319.95699999999999</v>
      </c>
      <c r="D536" s="124">
        <v>314.80399999999997</v>
      </c>
      <c r="E536" s="124">
        <v>326.45699999999999</v>
      </c>
      <c r="F536" s="124">
        <v>69.655100000000004</v>
      </c>
      <c r="G536" s="124">
        <v>72.393000000000001</v>
      </c>
      <c r="H536" s="124">
        <v>72.5428</v>
      </c>
      <c r="I536" s="124">
        <v>73.088300000000004</v>
      </c>
      <c r="J536" s="134">
        <v>110389831</v>
      </c>
      <c r="K536" s="134">
        <v>115155942</v>
      </c>
      <c r="L536" s="124">
        <v>982.46199999999999</v>
      </c>
      <c r="M536" s="114">
        <v>0</v>
      </c>
      <c r="N536" s="135">
        <v>52.450299999999999</v>
      </c>
      <c r="O536" s="135">
        <v>53.712299999999999</v>
      </c>
      <c r="P536" s="135">
        <v>54.385800000000003</v>
      </c>
      <c r="Q536" s="135">
        <v>53.529400000000003</v>
      </c>
      <c r="R536" s="137">
        <v>1.08</v>
      </c>
      <c r="S536" s="120">
        <v>0</v>
      </c>
      <c r="T536" s="120">
        <v>1511005</v>
      </c>
      <c r="U536" s="120">
        <v>0</v>
      </c>
      <c r="V536" s="114">
        <f t="shared" si="18"/>
        <v>1511005</v>
      </c>
      <c r="W536" s="114">
        <f t="shared" si="19"/>
        <v>1511005</v>
      </c>
    </row>
    <row r="537" spans="1:23">
      <c r="A537" s="122" t="s">
        <v>3045</v>
      </c>
      <c r="B537" s="124">
        <v>57.042000000000002</v>
      </c>
      <c r="C537" s="124">
        <v>67.626000000000005</v>
      </c>
      <c r="D537" s="124">
        <v>65.584000000000003</v>
      </c>
      <c r="E537" s="124">
        <v>63.018000000000001</v>
      </c>
      <c r="F537" s="124">
        <v>20</v>
      </c>
      <c r="G537" s="124">
        <v>19.5</v>
      </c>
      <c r="H537" s="124">
        <v>20</v>
      </c>
      <c r="I537" s="124">
        <v>19</v>
      </c>
      <c r="J537" s="134">
        <v>27920540</v>
      </c>
      <c r="K537" s="134">
        <v>28445822</v>
      </c>
      <c r="L537" s="124">
        <v>259.084</v>
      </c>
      <c r="M537" s="114">
        <v>0</v>
      </c>
      <c r="N537" s="135">
        <v>13.2384</v>
      </c>
      <c r="O537" s="135">
        <v>13.500999999999999</v>
      </c>
      <c r="P537" s="135">
        <v>14.002800000000001</v>
      </c>
      <c r="Q537" s="135">
        <v>14.3208</v>
      </c>
      <c r="R537" s="137">
        <v>1.0900000000000001</v>
      </c>
      <c r="S537" s="120">
        <v>0</v>
      </c>
      <c r="T537" s="120">
        <v>342824</v>
      </c>
      <c r="U537" s="120">
        <v>0</v>
      </c>
      <c r="V537" s="114">
        <f t="shared" si="18"/>
        <v>342824</v>
      </c>
      <c r="W537" s="114">
        <f t="shared" si="19"/>
        <v>342824</v>
      </c>
    </row>
    <row r="538" spans="1:23">
      <c r="A538" s="122" t="s">
        <v>2905</v>
      </c>
      <c r="B538" s="124">
        <v>4777.9989999999998</v>
      </c>
      <c r="C538" s="124">
        <v>4882.1989999999996</v>
      </c>
      <c r="D538" s="124">
        <v>4849.6509999999998</v>
      </c>
      <c r="E538" s="124">
        <v>4787.0640000000003</v>
      </c>
      <c r="F538" s="124">
        <v>672.73230000000001</v>
      </c>
      <c r="G538" s="124">
        <v>677.12270000000001</v>
      </c>
      <c r="H538" s="124">
        <v>681.63080000000002</v>
      </c>
      <c r="I538" s="124">
        <v>663.74080000000004</v>
      </c>
      <c r="J538" s="134">
        <v>1008028354</v>
      </c>
      <c r="K538" s="134">
        <v>1079040894</v>
      </c>
      <c r="L538" s="124">
        <v>6145.78</v>
      </c>
      <c r="M538" s="134">
        <v>400813</v>
      </c>
      <c r="N538" s="135">
        <v>387.09530000000001</v>
      </c>
      <c r="O538" s="135">
        <v>402.06310000000002</v>
      </c>
      <c r="P538" s="135">
        <v>400.37759999999997</v>
      </c>
      <c r="Q538" s="135">
        <v>395.36110000000002</v>
      </c>
      <c r="R538" s="137">
        <v>1.1200000000000001</v>
      </c>
      <c r="S538" s="120">
        <v>896944</v>
      </c>
      <c r="T538" s="120">
        <v>14646566</v>
      </c>
      <c r="U538" s="120">
        <v>0</v>
      </c>
      <c r="V538" s="114">
        <f t="shared" si="18"/>
        <v>14646566</v>
      </c>
      <c r="W538" s="114">
        <f t="shared" si="19"/>
        <v>15543510</v>
      </c>
    </row>
    <row r="539" spans="1:23">
      <c r="A539" s="122" t="s">
        <v>2615</v>
      </c>
      <c r="B539" s="124">
        <v>10130.883</v>
      </c>
      <c r="C539" s="124">
        <v>9957.5519999999997</v>
      </c>
      <c r="D539" s="124">
        <v>9815.4069999999992</v>
      </c>
      <c r="E539" s="124">
        <v>9543.52</v>
      </c>
      <c r="F539" s="124">
        <v>1489.067</v>
      </c>
      <c r="G539" s="124">
        <v>1606.4552000000001</v>
      </c>
      <c r="H539" s="124">
        <v>1607.1465000000001</v>
      </c>
      <c r="I539" s="124">
        <v>1405.3230000000001</v>
      </c>
      <c r="J539" s="134">
        <v>2463214914</v>
      </c>
      <c r="K539" s="134">
        <v>2577528644</v>
      </c>
      <c r="L539" s="124">
        <v>12825.857</v>
      </c>
      <c r="M539" s="114">
        <v>0</v>
      </c>
      <c r="N539" s="135">
        <v>922.61329999999998</v>
      </c>
      <c r="O539" s="135">
        <v>960.71559999999999</v>
      </c>
      <c r="P539" s="135">
        <v>960.16070000000002</v>
      </c>
      <c r="Q539" s="135">
        <v>867.29700000000003</v>
      </c>
      <c r="R539" s="137">
        <v>1.1399999999999999</v>
      </c>
      <c r="S539" s="120">
        <v>780713</v>
      </c>
      <c r="T539" s="120">
        <v>36848805</v>
      </c>
      <c r="U539" s="120">
        <v>0</v>
      </c>
      <c r="V539" s="114">
        <f t="shared" si="18"/>
        <v>36848805</v>
      </c>
      <c r="W539" s="114">
        <f t="shared" si="19"/>
        <v>37629518</v>
      </c>
    </row>
    <row r="540" spans="1:23">
      <c r="A540" s="122" t="s">
        <v>2616</v>
      </c>
      <c r="B540" s="124">
        <v>4695.5770000000002</v>
      </c>
      <c r="C540" s="124">
        <v>4711.8540000000003</v>
      </c>
      <c r="D540" s="124">
        <v>4569.5559999999996</v>
      </c>
      <c r="E540" s="124">
        <v>4490.8909999999996</v>
      </c>
      <c r="F540" s="124">
        <v>644.57860000000005</v>
      </c>
      <c r="G540" s="124">
        <v>640.07330000000002</v>
      </c>
      <c r="H540" s="124">
        <v>632.7758</v>
      </c>
      <c r="I540" s="124">
        <v>627.13570000000004</v>
      </c>
      <c r="J540" s="134">
        <v>2152227962</v>
      </c>
      <c r="K540" s="134">
        <v>2227254852</v>
      </c>
      <c r="L540" s="124">
        <v>5453.3710000000001</v>
      </c>
      <c r="M540" s="134">
        <v>4308815</v>
      </c>
      <c r="N540" s="135">
        <v>390.83519999999999</v>
      </c>
      <c r="O540" s="135">
        <v>397.7989</v>
      </c>
      <c r="P540" s="135">
        <v>396.26310000000001</v>
      </c>
      <c r="Q540" s="135">
        <v>393.45060000000001</v>
      </c>
      <c r="R540" s="137">
        <v>1.1200000000000001</v>
      </c>
      <c r="S540" s="120">
        <v>3760130</v>
      </c>
      <c r="T540" s="120">
        <v>35948934</v>
      </c>
      <c r="U540" s="120">
        <v>0</v>
      </c>
      <c r="V540" s="114">
        <f t="shared" si="18"/>
        <v>35948934</v>
      </c>
      <c r="W540" s="114">
        <f t="shared" si="19"/>
        <v>39709064</v>
      </c>
    </row>
    <row r="541" spans="1:23">
      <c r="A541" s="122" t="s">
        <v>1501</v>
      </c>
      <c r="B541" s="124">
        <v>19200.816999999999</v>
      </c>
      <c r="C541" s="124">
        <v>19172.891</v>
      </c>
      <c r="D541" s="124">
        <v>19335.52</v>
      </c>
      <c r="E541" s="124">
        <v>19160.851999999999</v>
      </c>
      <c r="F541" s="124">
        <v>2864.2447999999999</v>
      </c>
      <c r="G541" s="124">
        <v>2946.1813999999999</v>
      </c>
      <c r="H541" s="124">
        <v>2877.2977000000001</v>
      </c>
      <c r="I541" s="124">
        <v>2874.4247999999998</v>
      </c>
      <c r="J541" s="134">
        <v>6255567358</v>
      </c>
      <c r="K541" s="134">
        <v>6508582768</v>
      </c>
      <c r="L541" s="124">
        <v>25664.384999999998</v>
      </c>
      <c r="M541" s="134">
        <v>4133163</v>
      </c>
      <c r="N541" s="135">
        <v>1865.2543000000001</v>
      </c>
      <c r="O541" s="135">
        <v>1849.4462000000001</v>
      </c>
      <c r="P541" s="135">
        <v>1799.5941</v>
      </c>
      <c r="Q541" s="135">
        <v>1787.6878999999999</v>
      </c>
      <c r="R541" s="137">
        <v>1.1399999999999999</v>
      </c>
      <c r="S541" s="120">
        <v>4618085</v>
      </c>
      <c r="T541" s="120">
        <v>90174625</v>
      </c>
      <c r="U541" s="120">
        <v>0</v>
      </c>
      <c r="V541" s="114">
        <f t="shared" si="18"/>
        <v>90174625</v>
      </c>
      <c r="W541" s="114">
        <f t="shared" si="19"/>
        <v>94792710</v>
      </c>
    </row>
    <row r="542" spans="1:23">
      <c r="A542" s="122" t="s">
        <v>1502</v>
      </c>
      <c r="B542" s="124">
        <v>144.749</v>
      </c>
      <c r="C542" s="124">
        <v>137.56100000000001</v>
      </c>
      <c r="D542" s="124">
        <v>141.208</v>
      </c>
      <c r="E542" s="124">
        <v>207.64</v>
      </c>
      <c r="F542" s="124">
        <v>30.5</v>
      </c>
      <c r="G542" s="124">
        <v>31.5</v>
      </c>
      <c r="H542" s="124">
        <v>31.5</v>
      </c>
      <c r="I542" s="124">
        <v>36.644100000000002</v>
      </c>
      <c r="J542" s="134">
        <v>426953425</v>
      </c>
      <c r="K542" s="134">
        <v>428131156</v>
      </c>
      <c r="L542" s="124">
        <v>396.32100000000003</v>
      </c>
      <c r="M542" s="134">
        <v>736322</v>
      </c>
      <c r="N542" s="135">
        <v>18.500499999999999</v>
      </c>
      <c r="O542" s="135">
        <v>19.500599999999999</v>
      </c>
      <c r="P542" s="135">
        <v>20.0001</v>
      </c>
      <c r="Q542" s="135">
        <v>20.638100000000001</v>
      </c>
      <c r="R542" s="137">
        <v>1.0900000000000001</v>
      </c>
      <c r="S542" s="120">
        <v>751896</v>
      </c>
      <c r="T542" s="120">
        <v>5971210</v>
      </c>
      <c r="U542" s="120">
        <v>0</v>
      </c>
      <c r="V542" s="114">
        <f t="shared" si="18"/>
        <v>5971210</v>
      </c>
      <c r="W542" s="114">
        <f t="shared" si="19"/>
        <v>6723106</v>
      </c>
    </row>
    <row r="543" spans="1:23">
      <c r="A543" s="122" t="s">
        <v>1484</v>
      </c>
      <c r="B543" s="124">
        <v>1821.6369999999999</v>
      </c>
      <c r="C543" s="124">
        <v>1774.981</v>
      </c>
      <c r="D543" s="124">
        <v>1721.377</v>
      </c>
      <c r="E543" s="124">
        <v>1675.4760000000001</v>
      </c>
      <c r="F543" s="124">
        <v>244.87809999999999</v>
      </c>
      <c r="G543" s="124">
        <v>251.89</v>
      </c>
      <c r="H543" s="124">
        <v>242.88560000000001</v>
      </c>
      <c r="I543" s="124">
        <v>218.82140000000001</v>
      </c>
      <c r="J543" s="134">
        <v>382753356</v>
      </c>
      <c r="K543" s="134">
        <v>404060396</v>
      </c>
      <c r="L543" s="124">
        <v>2230.1419999999998</v>
      </c>
      <c r="M543" s="134">
        <v>215469</v>
      </c>
      <c r="N543" s="135">
        <v>149.50280000000001</v>
      </c>
      <c r="O543" s="135">
        <v>142.50229999999999</v>
      </c>
      <c r="P543" s="135">
        <v>156.5078</v>
      </c>
      <c r="Q543" s="135">
        <v>143.05680000000001</v>
      </c>
      <c r="R543" s="137">
        <v>1.0900000000000001</v>
      </c>
      <c r="S543" s="120">
        <v>626520</v>
      </c>
      <c r="T543" s="120">
        <v>5380436</v>
      </c>
      <c r="U543" s="120">
        <v>0</v>
      </c>
      <c r="V543" s="114">
        <f t="shared" si="18"/>
        <v>5380436</v>
      </c>
      <c r="W543" s="114">
        <f t="shared" si="19"/>
        <v>6006956</v>
      </c>
    </row>
    <row r="544" spans="1:23">
      <c r="A544" s="122" t="s">
        <v>1503</v>
      </c>
      <c r="B544" s="124">
        <v>1137.1120000000001</v>
      </c>
      <c r="C544" s="124">
        <v>1116.9380000000001</v>
      </c>
      <c r="D544" s="124">
        <v>1104.7149999999999</v>
      </c>
      <c r="E544" s="124">
        <v>1074.114</v>
      </c>
      <c r="F544" s="124">
        <v>204.107</v>
      </c>
      <c r="G544" s="124">
        <v>202.26339999999999</v>
      </c>
      <c r="H544" s="124">
        <v>206.58029999999999</v>
      </c>
      <c r="I544" s="124">
        <v>203.298</v>
      </c>
      <c r="J544" s="134">
        <v>379239385</v>
      </c>
      <c r="K544" s="134">
        <v>390471445</v>
      </c>
      <c r="L544" s="124">
        <v>1947.4359999999999</v>
      </c>
      <c r="M544" s="134">
        <v>311895</v>
      </c>
      <c r="N544" s="135">
        <v>124.82259999999999</v>
      </c>
      <c r="O544" s="135">
        <v>129.2235</v>
      </c>
      <c r="P544" s="135">
        <v>129.85300000000001</v>
      </c>
      <c r="Q544" s="135">
        <v>124.8387</v>
      </c>
      <c r="R544" s="137">
        <v>1.1000000000000001</v>
      </c>
      <c r="S544" s="120">
        <v>457737</v>
      </c>
      <c r="T544" s="120">
        <v>5390080</v>
      </c>
      <c r="U544" s="120">
        <v>0</v>
      </c>
      <c r="V544" s="114">
        <f t="shared" si="18"/>
        <v>5390080</v>
      </c>
      <c r="W544" s="114">
        <f t="shared" si="19"/>
        <v>5847817</v>
      </c>
    </row>
    <row r="545" spans="1:23">
      <c r="A545" s="122" t="s">
        <v>2299</v>
      </c>
      <c r="B545" s="124">
        <v>5229.5129999999999</v>
      </c>
      <c r="C545" s="124">
        <v>5233.5370000000003</v>
      </c>
      <c r="D545" s="124">
        <v>5222.0590000000002</v>
      </c>
      <c r="E545" s="124">
        <v>5204.4809999999998</v>
      </c>
      <c r="F545" s="124">
        <v>882.41920000000005</v>
      </c>
      <c r="G545" s="124">
        <v>877.23379999999997</v>
      </c>
      <c r="H545" s="124">
        <v>871.08969999999999</v>
      </c>
      <c r="I545" s="124">
        <v>863.67520000000002</v>
      </c>
      <c r="J545" s="134">
        <v>557027881</v>
      </c>
      <c r="K545" s="134">
        <v>597069573</v>
      </c>
      <c r="L545" s="124">
        <v>6956.2039999999997</v>
      </c>
      <c r="M545" s="134">
        <v>227387</v>
      </c>
      <c r="N545" s="135">
        <v>508.16669999999999</v>
      </c>
      <c r="O545" s="135">
        <v>509.07190000000003</v>
      </c>
      <c r="P545" s="135">
        <v>507.14460000000003</v>
      </c>
      <c r="Q545" s="135">
        <v>500.31450000000001</v>
      </c>
      <c r="R545" s="137">
        <v>1.1200000000000001</v>
      </c>
      <c r="S545" s="120">
        <v>1015471</v>
      </c>
      <c r="T545" s="120">
        <v>9117103</v>
      </c>
      <c r="U545" s="120">
        <v>0</v>
      </c>
      <c r="V545" s="114">
        <f t="shared" si="18"/>
        <v>9117103</v>
      </c>
      <c r="W545" s="114">
        <f t="shared" si="19"/>
        <v>10132574</v>
      </c>
    </row>
    <row r="546" spans="1:23">
      <c r="A546" s="122" t="s">
        <v>2652</v>
      </c>
      <c r="B546" s="124">
        <v>583.95299999999997</v>
      </c>
      <c r="C546" s="124">
        <v>561.80899999999997</v>
      </c>
      <c r="D546" s="124">
        <v>570.12599999999998</v>
      </c>
      <c r="E546" s="124">
        <v>578.78</v>
      </c>
      <c r="F546" s="124">
        <v>96</v>
      </c>
      <c r="G546" s="124">
        <v>92.711200000000005</v>
      </c>
      <c r="H546" s="124">
        <v>86.6096</v>
      </c>
      <c r="I546" s="124">
        <v>110.3907</v>
      </c>
      <c r="J546" s="134">
        <v>37139598</v>
      </c>
      <c r="K546" s="134">
        <v>40406676</v>
      </c>
      <c r="L546" s="124">
        <v>986.29399999999998</v>
      </c>
      <c r="M546" s="114">
        <v>0</v>
      </c>
      <c r="N546" s="135">
        <v>76.999899999999997</v>
      </c>
      <c r="O546" s="135">
        <v>77.714200000000005</v>
      </c>
      <c r="P546" s="135">
        <v>56.576599999999999</v>
      </c>
      <c r="Q546" s="135">
        <v>71.830799999999996</v>
      </c>
      <c r="R546" s="137">
        <v>1.1000000000000001</v>
      </c>
      <c r="S546" s="120">
        <v>45713</v>
      </c>
      <c r="T546" s="120">
        <v>650492</v>
      </c>
      <c r="U546" s="120">
        <v>0</v>
      </c>
      <c r="V546" s="114">
        <f t="shared" si="18"/>
        <v>650492</v>
      </c>
      <c r="W546" s="114">
        <f t="shared" si="19"/>
        <v>696205</v>
      </c>
    </row>
    <row r="547" spans="1:23">
      <c r="A547" s="122" t="s">
        <v>1593</v>
      </c>
      <c r="B547" s="124">
        <v>1372.29</v>
      </c>
      <c r="C547" s="124">
        <v>1406.3589999999999</v>
      </c>
      <c r="D547" s="124">
        <v>1429.3230000000001</v>
      </c>
      <c r="E547" s="124">
        <v>1476.2550000000001</v>
      </c>
      <c r="F547" s="124">
        <v>181.9847</v>
      </c>
      <c r="G547" s="124">
        <v>188.92</v>
      </c>
      <c r="H547" s="124">
        <v>192.12280000000001</v>
      </c>
      <c r="I547" s="124">
        <v>210.97049999999999</v>
      </c>
      <c r="J547" s="134">
        <v>81518300</v>
      </c>
      <c r="K547" s="134">
        <v>90281999</v>
      </c>
      <c r="L547" s="124">
        <v>2112.915</v>
      </c>
      <c r="M547" s="134">
        <v>37071</v>
      </c>
      <c r="N547" s="135">
        <v>130.40780000000001</v>
      </c>
      <c r="O547" s="135">
        <v>126.5889</v>
      </c>
      <c r="P547" s="135">
        <v>127.8069</v>
      </c>
      <c r="Q547" s="135">
        <v>132.80240000000001</v>
      </c>
      <c r="R547" s="137">
        <v>1.0900000000000001</v>
      </c>
      <c r="S547" s="120">
        <v>154473</v>
      </c>
      <c r="T547" s="120">
        <v>1375120</v>
      </c>
      <c r="U547" s="120">
        <v>0</v>
      </c>
      <c r="V547" s="114">
        <f t="shared" si="18"/>
        <v>1375120</v>
      </c>
      <c r="W547" s="114">
        <f t="shared" si="19"/>
        <v>1529593</v>
      </c>
    </row>
    <row r="548" spans="1:23">
      <c r="A548" s="122" t="s">
        <v>244</v>
      </c>
      <c r="B548" s="124">
        <v>894.14</v>
      </c>
      <c r="C548" s="124">
        <v>875.96</v>
      </c>
      <c r="D548" s="124">
        <v>885.55</v>
      </c>
      <c r="E548" s="124">
        <v>875.61400000000003</v>
      </c>
      <c r="F548" s="124">
        <v>136.56180000000001</v>
      </c>
      <c r="G548" s="124">
        <v>136.81030000000001</v>
      </c>
      <c r="H548" s="124">
        <v>138.4091</v>
      </c>
      <c r="I548" s="124">
        <v>140.74870000000001</v>
      </c>
      <c r="J548" s="134">
        <v>103750304</v>
      </c>
      <c r="K548" s="134">
        <v>109388425</v>
      </c>
      <c r="L548" s="124">
        <v>1439.03</v>
      </c>
      <c r="M548" s="134">
        <v>1948</v>
      </c>
      <c r="N548" s="135">
        <v>97.1554</v>
      </c>
      <c r="O548" s="135">
        <v>96.025700000000001</v>
      </c>
      <c r="P548" s="135">
        <v>99.410799999999995</v>
      </c>
      <c r="Q548" s="135">
        <v>98.262200000000007</v>
      </c>
      <c r="R548" s="137">
        <v>1.08</v>
      </c>
      <c r="S548" s="120">
        <v>58149</v>
      </c>
      <c r="T548" s="120">
        <v>1445514</v>
      </c>
      <c r="U548" s="120">
        <v>0</v>
      </c>
      <c r="V548" s="114">
        <f t="shared" si="18"/>
        <v>1445514</v>
      </c>
      <c r="W548" s="114">
        <f t="shared" si="19"/>
        <v>1503663</v>
      </c>
    </row>
    <row r="549" spans="1:23">
      <c r="A549" s="122" t="s">
        <v>1504</v>
      </c>
      <c r="B549" s="124">
        <v>108.389</v>
      </c>
      <c r="C549" s="124">
        <v>104.069</v>
      </c>
      <c r="D549" s="124">
        <v>100.926</v>
      </c>
      <c r="E549" s="124">
        <v>86.796999999999997</v>
      </c>
      <c r="F549" s="124">
        <v>17</v>
      </c>
      <c r="G549" s="124">
        <v>17</v>
      </c>
      <c r="H549" s="124">
        <v>17.5</v>
      </c>
      <c r="I549" s="124">
        <v>16.5</v>
      </c>
      <c r="J549" s="134">
        <v>26011597</v>
      </c>
      <c r="K549" s="134">
        <v>26517951</v>
      </c>
      <c r="L549" s="124">
        <v>150.02600000000001</v>
      </c>
      <c r="M549" s="114">
        <v>0</v>
      </c>
      <c r="N549" s="135">
        <v>10.927899999999999</v>
      </c>
      <c r="O549" s="135">
        <v>11.9992</v>
      </c>
      <c r="P549" s="135">
        <v>12</v>
      </c>
      <c r="Q549" s="135">
        <v>11.4999</v>
      </c>
      <c r="R549" s="137">
        <v>1.1299999999999999</v>
      </c>
      <c r="S549" s="120">
        <v>0</v>
      </c>
      <c r="T549" s="120">
        <v>397664</v>
      </c>
      <c r="U549" s="120">
        <v>0</v>
      </c>
      <c r="V549" s="114">
        <f t="shared" si="18"/>
        <v>397664</v>
      </c>
      <c r="W549" s="114">
        <f t="shared" si="19"/>
        <v>397664</v>
      </c>
    </row>
    <row r="550" spans="1:23">
      <c r="A550" s="122" t="s">
        <v>223</v>
      </c>
      <c r="B550" s="124">
        <v>2865.9940000000001</v>
      </c>
      <c r="C550" s="124">
        <v>2953.616</v>
      </c>
      <c r="D550" s="124">
        <v>3185.7240000000002</v>
      </c>
      <c r="E550" s="124">
        <v>3257.1970000000001</v>
      </c>
      <c r="F550" s="124">
        <v>418.98570000000001</v>
      </c>
      <c r="G550" s="124">
        <v>451.5872</v>
      </c>
      <c r="H550" s="124">
        <v>483.18150000000003</v>
      </c>
      <c r="I550" s="124">
        <v>462.33089999999999</v>
      </c>
      <c r="J550" s="134">
        <v>408402091</v>
      </c>
      <c r="K550" s="134">
        <v>445419618</v>
      </c>
      <c r="L550" s="124">
        <v>4517.2839999999997</v>
      </c>
      <c r="M550" s="134">
        <v>425435</v>
      </c>
      <c r="N550" s="135">
        <v>264.3313</v>
      </c>
      <c r="O550" s="135">
        <v>280.53120000000001</v>
      </c>
      <c r="P550" s="135">
        <v>285.71010000000001</v>
      </c>
      <c r="Q550" s="135">
        <v>267.92200000000003</v>
      </c>
      <c r="R550" s="137">
        <v>1.1000000000000001</v>
      </c>
      <c r="S550" s="120">
        <v>1275797</v>
      </c>
      <c r="T550" s="120">
        <v>5919550</v>
      </c>
      <c r="U550" s="120">
        <v>0</v>
      </c>
      <c r="V550" s="114">
        <f t="shared" si="18"/>
        <v>5919550</v>
      </c>
      <c r="W550" s="114">
        <f t="shared" si="19"/>
        <v>7195347</v>
      </c>
    </row>
    <row r="551" spans="1:23">
      <c r="A551" s="122" t="s">
        <v>2153</v>
      </c>
      <c r="B551" s="124">
        <v>5911.0839999999998</v>
      </c>
      <c r="C551" s="124">
        <v>6002.5630000000001</v>
      </c>
      <c r="D551" s="124">
        <v>6268.9960000000001</v>
      </c>
      <c r="E551" s="124">
        <v>6525.1610000000001</v>
      </c>
      <c r="F551" s="124">
        <v>747.9511</v>
      </c>
      <c r="G551" s="124">
        <v>771.50540000000001</v>
      </c>
      <c r="H551" s="124">
        <v>795.72640000000001</v>
      </c>
      <c r="I551" s="124">
        <v>834.51499999999999</v>
      </c>
      <c r="J551" s="134">
        <v>1244267041</v>
      </c>
      <c r="K551" s="134">
        <v>1320735848</v>
      </c>
      <c r="L551" s="124">
        <v>7799.1379999999999</v>
      </c>
      <c r="M551" s="134">
        <v>1595633</v>
      </c>
      <c r="N551" s="135">
        <v>520.70910000000003</v>
      </c>
      <c r="O551" s="135">
        <v>539.66869999999994</v>
      </c>
      <c r="P551" s="135">
        <v>552.20339999999999</v>
      </c>
      <c r="Q551" s="135">
        <v>575.32590000000005</v>
      </c>
      <c r="R551" s="137">
        <v>1.1100000000000001</v>
      </c>
      <c r="S551" s="120">
        <v>3832763</v>
      </c>
      <c r="T551" s="120">
        <v>20524289</v>
      </c>
      <c r="U551" s="120">
        <v>0</v>
      </c>
      <c r="V551" s="114">
        <f t="shared" si="18"/>
        <v>20524289</v>
      </c>
      <c r="W551" s="114">
        <f t="shared" si="19"/>
        <v>24357052</v>
      </c>
    </row>
    <row r="552" spans="1:23">
      <c r="A552" s="122" t="s">
        <v>627</v>
      </c>
      <c r="B552" s="124">
        <v>5636.5810000000001</v>
      </c>
      <c r="C552" s="124">
        <v>5726.9939999999997</v>
      </c>
      <c r="D552" s="124">
        <v>5886.0990000000002</v>
      </c>
      <c r="E552" s="124">
        <v>5879.6319999999996</v>
      </c>
      <c r="F552" s="124">
        <v>728.46770000000004</v>
      </c>
      <c r="G552" s="124">
        <v>764.98620000000005</v>
      </c>
      <c r="H552" s="124">
        <v>778.21879999999999</v>
      </c>
      <c r="I552" s="124">
        <v>816.98050000000001</v>
      </c>
      <c r="J552" s="134">
        <v>1238659559</v>
      </c>
      <c r="K552" s="134">
        <v>1315439406</v>
      </c>
      <c r="L552" s="124">
        <v>7568.7259999999997</v>
      </c>
      <c r="M552" s="134">
        <v>2079196</v>
      </c>
      <c r="N552" s="135">
        <v>483.53609999999998</v>
      </c>
      <c r="O552" s="135">
        <v>488.62439999999998</v>
      </c>
      <c r="P552" s="135">
        <v>503.99059999999997</v>
      </c>
      <c r="Q552" s="135">
        <v>506.04880000000003</v>
      </c>
      <c r="R552" s="137">
        <v>1.1100000000000001</v>
      </c>
      <c r="S552" s="120">
        <v>2773380</v>
      </c>
      <c r="T552" s="120">
        <v>18848814</v>
      </c>
      <c r="U552" s="120">
        <v>262917</v>
      </c>
      <c r="V552" s="114">
        <f t="shared" si="18"/>
        <v>19111731</v>
      </c>
      <c r="W552" s="114">
        <f t="shared" si="19"/>
        <v>21885111</v>
      </c>
    </row>
    <row r="553" spans="1:23">
      <c r="A553" s="122" t="s">
        <v>2037</v>
      </c>
      <c r="B553" s="124">
        <v>969.96199999999999</v>
      </c>
      <c r="C553" s="124">
        <v>989.71299999999997</v>
      </c>
      <c r="D553" s="124">
        <v>1030.556</v>
      </c>
      <c r="E553" s="124">
        <v>1062.4159999999999</v>
      </c>
      <c r="F553" s="124">
        <v>186.3604</v>
      </c>
      <c r="G553" s="124">
        <v>199.59530000000001</v>
      </c>
      <c r="H553" s="124">
        <v>201.6807</v>
      </c>
      <c r="I553" s="124">
        <v>202.98269999999999</v>
      </c>
      <c r="J553" s="134">
        <v>109886209</v>
      </c>
      <c r="K553" s="134">
        <v>120014170</v>
      </c>
      <c r="L553" s="124">
        <v>1590.42</v>
      </c>
      <c r="M553" s="134">
        <v>6548</v>
      </c>
      <c r="N553" s="135">
        <v>125.2291</v>
      </c>
      <c r="O553" s="135">
        <v>129.7473</v>
      </c>
      <c r="P553" s="135">
        <v>127.91840000000001</v>
      </c>
      <c r="Q553" s="135">
        <v>126.0968</v>
      </c>
      <c r="R553" s="137">
        <v>1.0900000000000001</v>
      </c>
      <c r="S553" s="120">
        <v>103627</v>
      </c>
      <c r="T553" s="120">
        <v>1709663</v>
      </c>
      <c r="U553" s="120">
        <v>73376</v>
      </c>
      <c r="V553" s="114">
        <f t="shared" si="18"/>
        <v>1783039</v>
      </c>
      <c r="W553" s="114">
        <f t="shared" si="19"/>
        <v>1886666</v>
      </c>
    </row>
    <row r="554" spans="1:23">
      <c r="A554" s="122" t="s">
        <v>52</v>
      </c>
      <c r="B554" s="124">
        <v>3850.8159999999998</v>
      </c>
      <c r="C554" s="124">
        <v>3938.77</v>
      </c>
      <c r="D554" s="124">
        <v>3982.3139999999999</v>
      </c>
      <c r="E554" s="124">
        <v>4093.0439999999999</v>
      </c>
      <c r="F554" s="124">
        <v>564.36620000000005</v>
      </c>
      <c r="G554" s="124">
        <v>591.1454</v>
      </c>
      <c r="H554" s="124">
        <v>619.29259999999999</v>
      </c>
      <c r="I554" s="124">
        <v>657.74980000000005</v>
      </c>
      <c r="J554" s="134">
        <v>539377550</v>
      </c>
      <c r="K554" s="134">
        <v>584282446</v>
      </c>
      <c r="L554" s="124">
        <v>5321.3040000000001</v>
      </c>
      <c r="M554" s="134">
        <v>408796</v>
      </c>
      <c r="N554" s="135">
        <v>315.43040000000002</v>
      </c>
      <c r="O554" s="135">
        <v>350.88619999999997</v>
      </c>
      <c r="P554" s="135">
        <v>360.678</v>
      </c>
      <c r="Q554" s="135">
        <v>375.39519999999999</v>
      </c>
      <c r="R554" s="137">
        <v>1.1200000000000001</v>
      </c>
      <c r="S554" s="120">
        <v>1476699</v>
      </c>
      <c r="T554" s="120">
        <v>8336581</v>
      </c>
      <c r="U554" s="120">
        <v>0</v>
      </c>
      <c r="V554" s="114">
        <f t="shared" si="18"/>
        <v>8336581</v>
      </c>
      <c r="W554" s="114">
        <f t="shared" si="19"/>
        <v>9813280</v>
      </c>
    </row>
    <row r="555" spans="1:23">
      <c r="A555" s="122" t="s">
        <v>1505</v>
      </c>
      <c r="B555" s="124">
        <v>573.95500000000004</v>
      </c>
      <c r="C555" s="124">
        <v>643.66999999999996</v>
      </c>
      <c r="D555" s="124">
        <v>732.26900000000001</v>
      </c>
      <c r="E555" s="124">
        <v>771.58500000000004</v>
      </c>
      <c r="F555" s="124">
        <v>110.9735</v>
      </c>
      <c r="G555" s="124">
        <v>125.97669999999999</v>
      </c>
      <c r="H555" s="124">
        <v>135.54169999999999</v>
      </c>
      <c r="I555" s="124">
        <v>138.2139</v>
      </c>
      <c r="J555" s="134">
        <v>83730548</v>
      </c>
      <c r="K555" s="134">
        <v>90421801</v>
      </c>
      <c r="L555" s="124">
        <v>1335.1769999999999</v>
      </c>
      <c r="M555" s="114">
        <v>0</v>
      </c>
      <c r="N555" s="135">
        <v>72.133499999999998</v>
      </c>
      <c r="O555" s="135">
        <v>81.864800000000002</v>
      </c>
      <c r="P555" s="135">
        <v>88.156000000000006</v>
      </c>
      <c r="Q555" s="135">
        <v>90.313299999999998</v>
      </c>
      <c r="R555" s="137">
        <v>1.08</v>
      </c>
      <c r="S555" s="120">
        <v>244066</v>
      </c>
      <c r="T555" s="120">
        <v>1257131</v>
      </c>
      <c r="U555" s="120">
        <v>0</v>
      </c>
      <c r="V555" s="114">
        <f t="shared" si="18"/>
        <v>1257131</v>
      </c>
      <c r="W555" s="114">
        <f t="shared" si="19"/>
        <v>1501197</v>
      </c>
    </row>
    <row r="556" spans="1:23">
      <c r="A556" s="122" t="s">
        <v>2653</v>
      </c>
      <c r="B556" s="124">
        <v>868.875</v>
      </c>
      <c r="C556" s="124">
        <v>848.34299999999996</v>
      </c>
      <c r="D556" s="124">
        <v>822.72299999999996</v>
      </c>
      <c r="E556" s="124">
        <v>845.31500000000005</v>
      </c>
      <c r="F556" s="124">
        <v>138.12180000000001</v>
      </c>
      <c r="G556" s="124">
        <v>142.809</v>
      </c>
      <c r="H556" s="124">
        <v>131.43360000000001</v>
      </c>
      <c r="I556" s="124">
        <v>143.5034</v>
      </c>
      <c r="J556" s="134">
        <v>75502510</v>
      </c>
      <c r="K556" s="134">
        <v>84362492</v>
      </c>
      <c r="L556" s="124">
        <v>1319.54</v>
      </c>
      <c r="M556" s="134">
        <v>47208</v>
      </c>
      <c r="N556" s="135">
        <v>85.629499999999993</v>
      </c>
      <c r="O556" s="135">
        <v>90.011200000000002</v>
      </c>
      <c r="P556" s="135">
        <v>78.798199999999994</v>
      </c>
      <c r="Q556" s="135">
        <v>91.201599999999999</v>
      </c>
      <c r="R556" s="137">
        <v>1.08</v>
      </c>
      <c r="S556" s="120">
        <v>126533</v>
      </c>
      <c r="T556" s="120">
        <v>1224700</v>
      </c>
      <c r="U556" s="120">
        <v>0</v>
      </c>
      <c r="V556" s="114">
        <f t="shared" si="18"/>
        <v>1224700</v>
      </c>
      <c r="W556" s="114">
        <f t="shared" si="19"/>
        <v>1351233</v>
      </c>
    </row>
    <row r="557" spans="1:23">
      <c r="A557" s="122" t="s">
        <v>283</v>
      </c>
      <c r="B557" s="124">
        <v>1542.5060000000001</v>
      </c>
      <c r="C557" s="124">
        <v>1670.894</v>
      </c>
      <c r="D557" s="124">
        <v>1724.3889999999999</v>
      </c>
      <c r="E557" s="124">
        <v>1735.8820000000001</v>
      </c>
      <c r="F557" s="124">
        <v>217.10339999999999</v>
      </c>
      <c r="G557" s="124">
        <v>237.43039999999999</v>
      </c>
      <c r="H557" s="124">
        <v>260.63639999999998</v>
      </c>
      <c r="I557" s="124">
        <v>246.1559</v>
      </c>
      <c r="J557" s="134">
        <v>141993766</v>
      </c>
      <c r="K557" s="134">
        <v>153784874</v>
      </c>
      <c r="L557" s="124">
        <v>2699.761</v>
      </c>
      <c r="M557" s="134">
        <v>71801</v>
      </c>
      <c r="N557" s="135">
        <v>161.8749</v>
      </c>
      <c r="O557" s="135">
        <v>174.09460000000001</v>
      </c>
      <c r="P557" s="135">
        <v>200.4203</v>
      </c>
      <c r="Q557" s="135">
        <v>170.54069999999999</v>
      </c>
      <c r="R557" s="137">
        <v>1.08</v>
      </c>
      <c r="S557" s="120">
        <v>216723</v>
      </c>
      <c r="T557" s="120">
        <v>1881352</v>
      </c>
      <c r="U557" s="120">
        <v>0</v>
      </c>
      <c r="V557" s="114">
        <f t="shared" si="18"/>
        <v>1881352</v>
      </c>
      <c r="W557" s="114">
        <f t="shared" si="19"/>
        <v>2098075</v>
      </c>
    </row>
    <row r="558" spans="1:23">
      <c r="A558" s="122" t="s">
        <v>1435</v>
      </c>
      <c r="B558" s="124">
        <v>1094.1600000000001</v>
      </c>
      <c r="C558" s="124">
        <v>1234.586</v>
      </c>
      <c r="D558" s="124">
        <v>1274.7570000000001</v>
      </c>
      <c r="E558" s="124">
        <v>1284.771</v>
      </c>
      <c r="F558" s="124">
        <v>157.47569999999999</v>
      </c>
      <c r="G558" s="124">
        <v>192.31319999999999</v>
      </c>
      <c r="H558" s="124">
        <v>195.58240000000001</v>
      </c>
      <c r="I558" s="124">
        <v>190.74449999999999</v>
      </c>
      <c r="J558" s="134">
        <v>128633840</v>
      </c>
      <c r="K558" s="134">
        <v>140317800</v>
      </c>
      <c r="L558" s="124">
        <v>2046.8969999999999</v>
      </c>
      <c r="M558" s="134">
        <v>95990</v>
      </c>
      <c r="N558" s="135">
        <v>109.9066</v>
      </c>
      <c r="O558" s="135">
        <v>132.77430000000001</v>
      </c>
      <c r="P558" s="135">
        <v>134.2679</v>
      </c>
      <c r="Q558" s="135">
        <v>127.67230000000001</v>
      </c>
      <c r="R558" s="137">
        <v>1.08</v>
      </c>
      <c r="S558" s="120">
        <v>256029</v>
      </c>
      <c r="T558" s="120">
        <v>1883456</v>
      </c>
      <c r="U558" s="120">
        <v>0</v>
      </c>
      <c r="V558" s="114">
        <f t="shared" si="18"/>
        <v>1883456</v>
      </c>
      <c r="W558" s="114">
        <f t="shared" si="19"/>
        <v>2139485</v>
      </c>
    </row>
    <row r="559" spans="1:23">
      <c r="A559" s="122" t="s">
        <v>2400</v>
      </c>
      <c r="B559" s="124">
        <v>792.79</v>
      </c>
      <c r="C559" s="124">
        <v>779.61500000000001</v>
      </c>
      <c r="D559" s="124">
        <v>768.08799999999997</v>
      </c>
      <c r="E559" s="124">
        <v>748.15700000000004</v>
      </c>
      <c r="F559" s="124">
        <v>146.03460000000001</v>
      </c>
      <c r="G559" s="124">
        <v>141.26949999999999</v>
      </c>
      <c r="H559" s="124">
        <v>142.94210000000001</v>
      </c>
      <c r="I559" s="124">
        <v>140.84690000000001</v>
      </c>
      <c r="J559" s="134">
        <v>72951979</v>
      </c>
      <c r="K559" s="134">
        <v>81185979</v>
      </c>
      <c r="L559" s="124">
        <v>1284.5450000000001</v>
      </c>
      <c r="M559" s="114">
        <v>0</v>
      </c>
      <c r="N559" s="135">
        <v>99.065299999999993</v>
      </c>
      <c r="O559" s="135">
        <v>102.7114</v>
      </c>
      <c r="P559" s="135">
        <v>102.1074</v>
      </c>
      <c r="Q559" s="135">
        <v>97.82</v>
      </c>
      <c r="R559" s="137">
        <v>1.06</v>
      </c>
      <c r="S559" s="120">
        <v>0</v>
      </c>
      <c r="T559" s="120">
        <v>1063457</v>
      </c>
      <c r="U559" s="120">
        <v>26155</v>
      </c>
      <c r="V559" s="114">
        <f t="shared" si="18"/>
        <v>1089612</v>
      </c>
      <c r="W559" s="114">
        <f t="shared" si="19"/>
        <v>1089612</v>
      </c>
    </row>
    <row r="560" spans="1:23">
      <c r="A560" s="122" t="s">
        <v>1506</v>
      </c>
      <c r="B560" s="124">
        <v>530.72299999999996</v>
      </c>
      <c r="C560" s="124">
        <v>515.19899999999996</v>
      </c>
      <c r="D560" s="124">
        <v>499.64</v>
      </c>
      <c r="E560" s="124">
        <v>480.75400000000002</v>
      </c>
      <c r="F560" s="124">
        <v>109.62</v>
      </c>
      <c r="G560" s="124">
        <v>101.8342</v>
      </c>
      <c r="H560" s="124">
        <v>96.179100000000005</v>
      </c>
      <c r="I560" s="124">
        <v>93.6</v>
      </c>
      <c r="J560" s="134">
        <v>66040053</v>
      </c>
      <c r="K560" s="134">
        <v>71801514</v>
      </c>
      <c r="L560" s="124">
        <v>877.51700000000005</v>
      </c>
      <c r="M560" s="134">
        <v>77779</v>
      </c>
      <c r="N560" s="135">
        <v>76.001199999999997</v>
      </c>
      <c r="O560" s="135">
        <v>67.287000000000006</v>
      </c>
      <c r="P560" s="135">
        <v>65.011799999999994</v>
      </c>
      <c r="Q560" s="135">
        <v>64.249399999999994</v>
      </c>
      <c r="R560" s="137">
        <v>1.05</v>
      </c>
      <c r="S560" s="120">
        <v>72385</v>
      </c>
      <c r="T560" s="120">
        <v>923258</v>
      </c>
      <c r="U560" s="120">
        <v>0</v>
      </c>
      <c r="V560" s="114">
        <f t="shared" si="18"/>
        <v>923258</v>
      </c>
      <c r="W560" s="114">
        <f t="shared" si="19"/>
        <v>995643</v>
      </c>
    </row>
    <row r="561" spans="1:23">
      <c r="A561" s="122" t="s">
        <v>2128</v>
      </c>
      <c r="B561" s="124">
        <v>735.678</v>
      </c>
      <c r="C561" s="124">
        <v>726.82799999999997</v>
      </c>
      <c r="D561" s="124">
        <v>713.78399999999999</v>
      </c>
      <c r="E561" s="124">
        <v>719.19500000000005</v>
      </c>
      <c r="F561" s="124">
        <v>121.952</v>
      </c>
      <c r="G561" s="124">
        <v>123.16759999999999</v>
      </c>
      <c r="H561" s="124">
        <v>121.52419999999999</v>
      </c>
      <c r="I561" s="124">
        <v>120.0484</v>
      </c>
      <c r="J561" s="134">
        <v>50872458</v>
      </c>
      <c r="K561" s="134">
        <v>57547361</v>
      </c>
      <c r="L561" s="124">
        <v>1186.393</v>
      </c>
      <c r="M561" s="114">
        <v>0</v>
      </c>
      <c r="N561" s="135">
        <v>82.717699999999994</v>
      </c>
      <c r="O561" s="135">
        <v>80.835099999999997</v>
      </c>
      <c r="P561" s="135">
        <v>82.916499999999999</v>
      </c>
      <c r="Q561" s="135">
        <v>81.631</v>
      </c>
      <c r="R561" s="137">
        <v>1.06</v>
      </c>
      <c r="S561" s="120">
        <v>0</v>
      </c>
      <c r="T561" s="120">
        <v>704348</v>
      </c>
      <c r="U561" s="120">
        <v>35719</v>
      </c>
      <c r="V561" s="114">
        <f t="shared" si="18"/>
        <v>740067</v>
      </c>
      <c r="W561" s="114">
        <f t="shared" si="19"/>
        <v>740067</v>
      </c>
    </row>
    <row r="562" spans="1:23">
      <c r="A562" s="122" t="s">
        <v>2870</v>
      </c>
      <c r="B562" s="124">
        <v>153.52199999999999</v>
      </c>
      <c r="C562" s="124">
        <v>146.82900000000001</v>
      </c>
      <c r="D562" s="124">
        <v>142.39500000000001</v>
      </c>
      <c r="E562" s="124">
        <v>140.55000000000001</v>
      </c>
      <c r="F562" s="124">
        <v>38.5</v>
      </c>
      <c r="G562" s="124">
        <v>34.954599999999999</v>
      </c>
      <c r="H562" s="124">
        <v>35.831600000000002</v>
      </c>
      <c r="I562" s="124">
        <v>35.903799999999997</v>
      </c>
      <c r="J562" s="134">
        <v>24829103</v>
      </c>
      <c r="K562" s="134">
        <v>26484500</v>
      </c>
      <c r="L562" s="124">
        <v>315.35300000000001</v>
      </c>
      <c r="M562" s="114">
        <v>0</v>
      </c>
      <c r="N562" s="135">
        <v>26.499199999999998</v>
      </c>
      <c r="O562" s="135">
        <v>24.4998</v>
      </c>
      <c r="P562" s="135">
        <v>24.500299999999999</v>
      </c>
      <c r="Q562" s="135">
        <v>23.437799999999999</v>
      </c>
      <c r="R562" s="137">
        <v>1.05</v>
      </c>
      <c r="S562" s="120">
        <v>16975</v>
      </c>
      <c r="T562" s="120">
        <v>374067</v>
      </c>
      <c r="U562" s="120">
        <v>0</v>
      </c>
      <c r="V562" s="114">
        <f t="shared" si="18"/>
        <v>374067</v>
      </c>
      <c r="W562" s="114">
        <f t="shared" si="19"/>
        <v>391042</v>
      </c>
    </row>
    <row r="563" spans="1:23">
      <c r="A563" s="122" t="s">
        <v>288</v>
      </c>
      <c r="B563" s="124">
        <v>759.077</v>
      </c>
      <c r="C563" s="124">
        <v>753.65499999999997</v>
      </c>
      <c r="D563" s="124">
        <v>730.89499999999998</v>
      </c>
      <c r="E563" s="124">
        <v>697.28300000000002</v>
      </c>
      <c r="F563" s="124">
        <v>161.0565</v>
      </c>
      <c r="G563" s="124">
        <v>162.9316</v>
      </c>
      <c r="H563" s="124">
        <v>157.7122</v>
      </c>
      <c r="I563" s="124">
        <v>153.52440000000001</v>
      </c>
      <c r="J563" s="134">
        <v>59789341</v>
      </c>
      <c r="K563" s="134">
        <v>67436186</v>
      </c>
      <c r="L563" s="124">
        <v>1162.1110000000001</v>
      </c>
      <c r="M563" s="114">
        <v>0</v>
      </c>
      <c r="N563" s="135">
        <v>102.45359999999999</v>
      </c>
      <c r="O563" s="135">
        <v>105.18600000000001</v>
      </c>
      <c r="P563" s="135">
        <v>100.92659999999999</v>
      </c>
      <c r="Q563" s="135">
        <v>99.361400000000003</v>
      </c>
      <c r="R563" s="137">
        <v>1.04</v>
      </c>
      <c r="S563" s="120">
        <v>48018</v>
      </c>
      <c r="T563" s="120">
        <v>876767</v>
      </c>
      <c r="U563" s="120">
        <v>0</v>
      </c>
      <c r="V563" s="114">
        <f t="shared" si="18"/>
        <v>876767</v>
      </c>
      <c r="W563" s="114">
        <f t="shared" si="19"/>
        <v>924785</v>
      </c>
    </row>
    <row r="564" spans="1:23">
      <c r="A564" s="122" t="s">
        <v>54</v>
      </c>
      <c r="B564" s="124">
        <v>939.98</v>
      </c>
      <c r="C564" s="124">
        <v>921.49599999999998</v>
      </c>
      <c r="D564" s="124">
        <v>906.62800000000004</v>
      </c>
      <c r="E564" s="124">
        <v>885.73299999999995</v>
      </c>
      <c r="F564" s="124">
        <v>167.62799999999999</v>
      </c>
      <c r="G564" s="124">
        <v>172.94390000000001</v>
      </c>
      <c r="H564" s="124">
        <v>169.94290000000001</v>
      </c>
      <c r="I564" s="124">
        <v>165.45599999999999</v>
      </c>
      <c r="J564" s="134">
        <v>149453998</v>
      </c>
      <c r="K564" s="134">
        <v>160055798</v>
      </c>
      <c r="L564" s="124">
        <v>1507.327</v>
      </c>
      <c r="M564" s="114">
        <v>517</v>
      </c>
      <c r="N564" s="135">
        <v>107.5097</v>
      </c>
      <c r="O564" s="135">
        <v>110.8279</v>
      </c>
      <c r="P564" s="135">
        <v>111.33450000000001</v>
      </c>
      <c r="Q564" s="135">
        <v>106.17449999999999</v>
      </c>
      <c r="R564" s="137">
        <v>1.06</v>
      </c>
      <c r="S564" s="120">
        <v>46613</v>
      </c>
      <c r="T564" s="120">
        <v>2148404</v>
      </c>
      <c r="U564" s="120">
        <v>0</v>
      </c>
      <c r="V564" s="114">
        <f t="shared" si="18"/>
        <v>2148404</v>
      </c>
      <c r="W564" s="114">
        <f t="shared" si="19"/>
        <v>2195017</v>
      </c>
    </row>
    <row r="565" spans="1:23">
      <c r="A565" s="122" t="s">
        <v>2871</v>
      </c>
      <c r="B565" s="124">
        <v>916.18299999999999</v>
      </c>
      <c r="C565" s="124">
        <v>871.27200000000005</v>
      </c>
      <c r="D565" s="124">
        <v>870.52099999999996</v>
      </c>
      <c r="E565" s="124">
        <v>846.40800000000002</v>
      </c>
      <c r="F565" s="124">
        <v>166.79429999999999</v>
      </c>
      <c r="G565" s="124">
        <v>167.512</v>
      </c>
      <c r="H565" s="124">
        <v>166.2527</v>
      </c>
      <c r="I565" s="124">
        <v>159.21889999999999</v>
      </c>
      <c r="J565" s="134">
        <v>84550171</v>
      </c>
      <c r="K565" s="134">
        <v>93515471</v>
      </c>
      <c r="L565" s="124">
        <v>1402.6679999999999</v>
      </c>
      <c r="M565" s="114">
        <v>0</v>
      </c>
      <c r="N565" s="135">
        <v>103.91549999999999</v>
      </c>
      <c r="O565" s="135">
        <v>103.4046</v>
      </c>
      <c r="P565" s="135">
        <v>106.1977</v>
      </c>
      <c r="Q565" s="135">
        <v>102.0154</v>
      </c>
      <c r="R565" s="137">
        <v>1.08</v>
      </c>
      <c r="S565" s="120">
        <v>60805</v>
      </c>
      <c r="T565" s="120">
        <v>1224554</v>
      </c>
      <c r="U565" s="120">
        <v>0</v>
      </c>
      <c r="V565" s="114">
        <f t="shared" si="18"/>
        <v>1224554</v>
      </c>
      <c r="W565" s="114">
        <f t="shared" si="19"/>
        <v>1285359</v>
      </c>
    </row>
    <row r="566" spans="1:23">
      <c r="A566" s="122" t="s">
        <v>1317</v>
      </c>
      <c r="B566" s="124">
        <v>293.12299999999999</v>
      </c>
      <c r="C566" s="124">
        <v>302.28399999999999</v>
      </c>
      <c r="D566" s="124">
        <v>293.15499999999997</v>
      </c>
      <c r="E566" s="124">
        <v>274.13099999999997</v>
      </c>
      <c r="F566" s="124">
        <v>61.716700000000003</v>
      </c>
      <c r="G566" s="124">
        <v>58.722099999999998</v>
      </c>
      <c r="H566" s="124">
        <v>61.6526</v>
      </c>
      <c r="I566" s="124">
        <v>63.401000000000003</v>
      </c>
      <c r="J566" s="134">
        <v>33720526</v>
      </c>
      <c r="K566" s="134">
        <v>36429166</v>
      </c>
      <c r="L566" s="124">
        <v>492.06</v>
      </c>
      <c r="M566" s="114">
        <v>0</v>
      </c>
      <c r="N566" s="135">
        <v>42.430100000000003</v>
      </c>
      <c r="O566" s="135">
        <v>40.476900000000001</v>
      </c>
      <c r="P566" s="135">
        <v>45.145099999999999</v>
      </c>
      <c r="Q566" s="135">
        <v>45.783799999999999</v>
      </c>
      <c r="R566" s="137">
        <v>1.06</v>
      </c>
      <c r="S566" s="120">
        <v>0</v>
      </c>
      <c r="T566" s="120">
        <v>467845</v>
      </c>
      <c r="U566" s="120">
        <v>0</v>
      </c>
      <c r="V566" s="114">
        <f t="shared" si="18"/>
        <v>467845</v>
      </c>
      <c r="W566" s="114">
        <f t="shared" si="19"/>
        <v>467845</v>
      </c>
    </row>
    <row r="567" spans="1:23">
      <c r="A567" s="122" t="s">
        <v>1899</v>
      </c>
      <c r="B567" s="124">
        <v>331.54</v>
      </c>
      <c r="C567" s="124">
        <v>333.26299999999998</v>
      </c>
      <c r="D567" s="124">
        <v>323.19799999999998</v>
      </c>
      <c r="E567" s="124">
        <v>311.57600000000002</v>
      </c>
      <c r="F567" s="124">
        <v>56.636699999999998</v>
      </c>
      <c r="G567" s="124">
        <v>58.337600000000002</v>
      </c>
      <c r="H567" s="124">
        <v>57.745199999999997</v>
      </c>
      <c r="I567" s="124">
        <v>51.972499999999997</v>
      </c>
      <c r="J567" s="134">
        <v>36728219</v>
      </c>
      <c r="K567" s="134">
        <v>41502059</v>
      </c>
      <c r="L567" s="124">
        <v>497.77600000000001</v>
      </c>
      <c r="M567" s="114">
        <v>0</v>
      </c>
      <c r="N567" s="135">
        <v>33.267400000000002</v>
      </c>
      <c r="O567" s="135">
        <v>35.015300000000003</v>
      </c>
      <c r="P567" s="135">
        <v>33.511099999999999</v>
      </c>
      <c r="Q567" s="135">
        <v>32.084899999999998</v>
      </c>
      <c r="R567" s="137">
        <v>1.04</v>
      </c>
      <c r="S567" s="120">
        <v>50082</v>
      </c>
      <c r="T567" s="120">
        <v>553872</v>
      </c>
      <c r="U567" s="120">
        <v>0</v>
      </c>
      <c r="V567" s="114">
        <f t="shared" si="18"/>
        <v>553872</v>
      </c>
      <c r="W567" s="114">
        <f t="shared" si="19"/>
        <v>603954</v>
      </c>
    </row>
    <row r="568" spans="1:23">
      <c r="A568" s="122" t="s">
        <v>2757</v>
      </c>
      <c r="B568" s="124">
        <v>1707.242</v>
      </c>
      <c r="C568" s="124">
        <v>1817.473</v>
      </c>
      <c r="D568" s="124">
        <v>1884.3420000000001</v>
      </c>
      <c r="E568" s="124">
        <v>1925.077</v>
      </c>
      <c r="F568" s="124">
        <v>236.93170000000001</v>
      </c>
      <c r="G568" s="124">
        <v>225.87970000000001</v>
      </c>
      <c r="H568" s="124">
        <v>242.86349999999999</v>
      </c>
      <c r="I568" s="124">
        <v>261.2808</v>
      </c>
      <c r="J568" s="134">
        <v>245557090</v>
      </c>
      <c r="K568" s="134">
        <v>263373830</v>
      </c>
      <c r="L568" s="124">
        <v>2538.8490000000002</v>
      </c>
      <c r="M568" s="134">
        <v>150933</v>
      </c>
      <c r="N568" s="135">
        <v>147.40790000000001</v>
      </c>
      <c r="O568" s="135">
        <v>154.94540000000001</v>
      </c>
      <c r="P568" s="135">
        <v>168.4854</v>
      </c>
      <c r="Q568" s="135">
        <v>176.0042</v>
      </c>
      <c r="R568" s="137">
        <v>1.08</v>
      </c>
      <c r="S568" s="120">
        <v>669526</v>
      </c>
      <c r="T568" s="120">
        <v>4068317</v>
      </c>
      <c r="U568" s="120">
        <v>0</v>
      </c>
      <c r="V568" s="114">
        <f t="shared" si="18"/>
        <v>4068317</v>
      </c>
      <c r="W568" s="114">
        <f t="shared" si="19"/>
        <v>4737843</v>
      </c>
    </row>
    <row r="569" spans="1:23">
      <c r="A569" s="122" t="s">
        <v>1515</v>
      </c>
      <c r="B569" s="124">
        <v>2397.1959999999999</v>
      </c>
      <c r="C569" s="124">
        <v>2555.8000000000002</v>
      </c>
      <c r="D569" s="124">
        <v>2795.6970000000001</v>
      </c>
      <c r="E569" s="124">
        <v>3243.3240000000001</v>
      </c>
      <c r="F569" s="124">
        <v>289.87</v>
      </c>
      <c r="G569" s="124">
        <v>303.19200000000001</v>
      </c>
      <c r="H569" s="124">
        <v>342.64330000000001</v>
      </c>
      <c r="I569" s="124">
        <v>393.55180000000001</v>
      </c>
      <c r="J569" s="134">
        <v>566229292</v>
      </c>
      <c r="K569" s="134">
        <v>595062142</v>
      </c>
      <c r="L569" s="124">
        <v>4005.2869999999998</v>
      </c>
      <c r="M569" s="134">
        <v>952774</v>
      </c>
      <c r="N569" s="135">
        <v>196.60939999999999</v>
      </c>
      <c r="O569" s="135">
        <v>206.2184</v>
      </c>
      <c r="P569" s="135">
        <v>229.17689999999999</v>
      </c>
      <c r="Q569" s="135">
        <v>264.6343</v>
      </c>
      <c r="R569" s="137">
        <v>1.08</v>
      </c>
      <c r="S569" s="120">
        <v>1369988</v>
      </c>
      <c r="T569" s="120">
        <v>9199205</v>
      </c>
      <c r="U569" s="120">
        <v>0</v>
      </c>
      <c r="V569" s="114">
        <f t="shared" si="18"/>
        <v>9199205</v>
      </c>
      <c r="W569" s="114">
        <f t="shared" si="19"/>
        <v>10569193</v>
      </c>
    </row>
    <row r="570" spans="1:23">
      <c r="A570" s="122" t="s">
        <v>56</v>
      </c>
      <c r="B570" s="124">
        <v>2809.7440000000001</v>
      </c>
      <c r="C570" s="124">
        <v>2866.009</v>
      </c>
      <c r="D570" s="124">
        <v>3024.1080000000002</v>
      </c>
      <c r="E570" s="124">
        <v>3137.0169999999998</v>
      </c>
      <c r="F570" s="124">
        <v>335.41039999999998</v>
      </c>
      <c r="G570" s="124">
        <v>371.24430000000001</v>
      </c>
      <c r="H570" s="124">
        <v>426.50400000000002</v>
      </c>
      <c r="I570" s="124">
        <v>447.23180000000002</v>
      </c>
      <c r="J570" s="134">
        <v>401471734</v>
      </c>
      <c r="K570" s="134">
        <v>436135264</v>
      </c>
      <c r="L570" s="124">
        <v>4273.701</v>
      </c>
      <c r="M570" s="114">
        <v>0</v>
      </c>
      <c r="N570" s="135">
        <v>211.80099999999999</v>
      </c>
      <c r="O570" s="135">
        <v>224.09549999999999</v>
      </c>
      <c r="P570" s="135">
        <v>267.97829999999999</v>
      </c>
      <c r="Q570" s="135">
        <v>276.63339999999999</v>
      </c>
      <c r="R570" s="137">
        <v>1.1000000000000001</v>
      </c>
      <c r="S570" s="120">
        <v>1080053</v>
      </c>
      <c r="T570" s="120">
        <v>6353428</v>
      </c>
      <c r="U570" s="120">
        <v>0</v>
      </c>
      <c r="V570" s="114">
        <f t="shared" si="18"/>
        <v>6353428</v>
      </c>
      <c r="W570" s="114">
        <f t="shared" si="19"/>
        <v>7433481</v>
      </c>
    </row>
    <row r="571" spans="1:23">
      <c r="A571" s="122" t="s">
        <v>58</v>
      </c>
      <c r="B571" s="124">
        <v>1516.8510000000001</v>
      </c>
      <c r="C571" s="124">
        <v>1523.4069999999999</v>
      </c>
      <c r="D571" s="124">
        <v>1556.135</v>
      </c>
      <c r="E571" s="124">
        <v>1551.75</v>
      </c>
      <c r="F571" s="124">
        <v>233.21350000000001</v>
      </c>
      <c r="G571" s="124">
        <v>245.6542</v>
      </c>
      <c r="H571" s="124">
        <v>251.3827</v>
      </c>
      <c r="I571" s="124">
        <v>253.82239999999999</v>
      </c>
      <c r="J571" s="134">
        <v>178652109</v>
      </c>
      <c r="K571" s="134">
        <v>198782667</v>
      </c>
      <c r="L571" s="124">
        <v>2169.5569999999998</v>
      </c>
      <c r="M571" s="134">
        <v>113475</v>
      </c>
      <c r="N571" s="135">
        <v>143.5667</v>
      </c>
      <c r="O571" s="135">
        <v>152.14510000000001</v>
      </c>
      <c r="P571" s="135">
        <v>153.34739999999999</v>
      </c>
      <c r="Q571" s="135">
        <v>153.6499</v>
      </c>
      <c r="R571" s="137">
        <v>1.08</v>
      </c>
      <c r="S571" s="120">
        <v>160483</v>
      </c>
      <c r="T571" s="120">
        <v>2920782</v>
      </c>
      <c r="U571" s="120">
        <v>0</v>
      </c>
      <c r="V571" s="114">
        <f t="shared" si="18"/>
        <v>2920782</v>
      </c>
      <c r="W571" s="114">
        <f t="shared" si="19"/>
        <v>3081265</v>
      </c>
    </row>
    <row r="572" spans="1:23">
      <c r="A572" s="122" t="s">
        <v>2923</v>
      </c>
      <c r="B572" s="124">
        <v>2763.8789999999999</v>
      </c>
      <c r="C572" s="124">
        <v>2851.9450000000002</v>
      </c>
      <c r="D572" s="124">
        <v>2927.7469999999998</v>
      </c>
      <c r="E572" s="124">
        <v>2970.2249999999999</v>
      </c>
      <c r="F572" s="124">
        <v>440.58420000000001</v>
      </c>
      <c r="G572" s="124">
        <v>443.1112</v>
      </c>
      <c r="H572" s="124">
        <v>457.94290000000001</v>
      </c>
      <c r="I572" s="124">
        <v>467.39699999999999</v>
      </c>
      <c r="J572" s="134">
        <v>529030765</v>
      </c>
      <c r="K572" s="134">
        <v>569914775</v>
      </c>
      <c r="L572" s="124">
        <v>4187.9589999999998</v>
      </c>
      <c r="M572" s="134">
        <v>238073</v>
      </c>
      <c r="N572" s="135">
        <v>277.48289999999997</v>
      </c>
      <c r="O572" s="135">
        <v>284.85449999999997</v>
      </c>
      <c r="P572" s="135">
        <v>290.6986</v>
      </c>
      <c r="Q572" s="135">
        <v>295.84890000000001</v>
      </c>
      <c r="R572" s="137">
        <v>1.0900000000000001</v>
      </c>
      <c r="S572" s="120">
        <v>335704</v>
      </c>
      <c r="T572" s="120">
        <v>8054852</v>
      </c>
      <c r="U572" s="120">
        <v>0</v>
      </c>
      <c r="V572" s="114">
        <f t="shared" si="18"/>
        <v>8054852</v>
      </c>
      <c r="W572" s="114">
        <f t="shared" si="19"/>
        <v>8390556</v>
      </c>
    </row>
    <row r="573" spans="1:23">
      <c r="A573" s="122" t="s">
        <v>2924</v>
      </c>
      <c r="B573" s="124">
        <v>3682.346</v>
      </c>
      <c r="C573" s="124">
        <v>3831.5120000000002</v>
      </c>
      <c r="D573" s="124">
        <v>3856.9430000000002</v>
      </c>
      <c r="E573" s="124">
        <v>3874.123</v>
      </c>
      <c r="F573" s="124">
        <v>548.21519999999998</v>
      </c>
      <c r="G573" s="124">
        <v>566.36569999999995</v>
      </c>
      <c r="H573" s="124">
        <v>591.16750000000002</v>
      </c>
      <c r="I573" s="124">
        <v>595.7364</v>
      </c>
      <c r="J573" s="134">
        <v>871150530</v>
      </c>
      <c r="K573" s="134">
        <v>912700758</v>
      </c>
      <c r="L573" s="124">
        <v>5584.0050000000001</v>
      </c>
      <c r="M573" s="134">
        <v>520467</v>
      </c>
      <c r="N573" s="135">
        <v>356.88420000000002</v>
      </c>
      <c r="O573" s="135">
        <v>362.81180000000001</v>
      </c>
      <c r="P573" s="135">
        <v>378.49849999999998</v>
      </c>
      <c r="Q573" s="135">
        <v>377.49590000000001</v>
      </c>
      <c r="R573" s="137">
        <v>1.1000000000000001</v>
      </c>
      <c r="S573" s="120">
        <v>1970689</v>
      </c>
      <c r="T573" s="120">
        <v>13035142</v>
      </c>
      <c r="U573" s="120">
        <v>0</v>
      </c>
      <c r="V573" s="114">
        <f t="shared" si="18"/>
        <v>13035142</v>
      </c>
      <c r="W573" s="114">
        <f t="shared" si="19"/>
        <v>15005831</v>
      </c>
    </row>
    <row r="574" spans="1:23">
      <c r="A574" s="122" t="s">
        <v>536</v>
      </c>
      <c r="B574" s="124">
        <v>721.40300000000002</v>
      </c>
      <c r="C574" s="124">
        <v>735.52800000000002</v>
      </c>
      <c r="D574" s="124">
        <v>752.322</v>
      </c>
      <c r="E574" s="124">
        <v>744.61300000000006</v>
      </c>
      <c r="F574" s="124">
        <v>115.7961</v>
      </c>
      <c r="G574" s="124">
        <v>117.0938</v>
      </c>
      <c r="H574" s="124">
        <v>122.0134</v>
      </c>
      <c r="I574" s="124">
        <v>113.7771</v>
      </c>
      <c r="J574" s="134">
        <v>100848729</v>
      </c>
      <c r="K574" s="134">
        <v>109989789</v>
      </c>
      <c r="L574" s="124">
        <v>1146.7080000000001</v>
      </c>
      <c r="M574" s="134">
        <v>43545</v>
      </c>
      <c r="N574" s="135">
        <v>69.758099999999999</v>
      </c>
      <c r="O574" s="135">
        <v>71.585099999999997</v>
      </c>
      <c r="P574" s="135">
        <v>71.300700000000006</v>
      </c>
      <c r="Q574" s="135">
        <v>70.803600000000003</v>
      </c>
      <c r="R574" s="137">
        <v>1.07</v>
      </c>
      <c r="S574" s="120">
        <v>265989</v>
      </c>
      <c r="T574" s="120">
        <v>1555537</v>
      </c>
      <c r="U574" s="120">
        <v>65519</v>
      </c>
      <c r="V574" s="114">
        <f t="shared" si="18"/>
        <v>1621056</v>
      </c>
      <c r="W574" s="114">
        <f t="shared" si="19"/>
        <v>1887045</v>
      </c>
    </row>
    <row r="575" spans="1:23">
      <c r="A575" s="122" t="s">
        <v>2925</v>
      </c>
      <c r="B575" s="124">
        <v>4582.6549999999997</v>
      </c>
      <c r="C575" s="124">
        <v>4667.7389999999996</v>
      </c>
      <c r="D575" s="124">
        <v>4783.1629999999996</v>
      </c>
      <c r="E575" s="124">
        <v>4903.8289999999997</v>
      </c>
      <c r="F575" s="124">
        <v>578.16700000000003</v>
      </c>
      <c r="G575" s="124">
        <v>663.22590000000002</v>
      </c>
      <c r="H575" s="124">
        <v>708.24419999999998</v>
      </c>
      <c r="I575" s="124">
        <v>731.48559999999998</v>
      </c>
      <c r="J575" s="134">
        <v>1737252534</v>
      </c>
      <c r="K575" s="134">
        <v>1800970224</v>
      </c>
      <c r="L575" s="124">
        <v>6104.1710000000003</v>
      </c>
      <c r="M575" s="134">
        <v>2944879</v>
      </c>
      <c r="N575" s="135">
        <v>392.36790000000002</v>
      </c>
      <c r="O575" s="135">
        <v>422.5444</v>
      </c>
      <c r="P575" s="135">
        <v>454.99590000000001</v>
      </c>
      <c r="Q575" s="135">
        <v>470.64269999999999</v>
      </c>
      <c r="R575" s="137">
        <v>1.0900000000000001</v>
      </c>
      <c r="S575" s="120">
        <v>3525692</v>
      </c>
      <c r="T575" s="120">
        <v>27475857</v>
      </c>
      <c r="U575" s="120">
        <v>0</v>
      </c>
      <c r="V575" s="114">
        <f t="shared" si="18"/>
        <v>27475857</v>
      </c>
      <c r="W575" s="114">
        <f t="shared" si="19"/>
        <v>31001549</v>
      </c>
    </row>
    <row r="576" spans="1:23">
      <c r="A576" s="122" t="s">
        <v>1732</v>
      </c>
      <c r="B576" s="124">
        <v>1025.6679999999999</v>
      </c>
      <c r="C576" s="124">
        <v>1059.2270000000001</v>
      </c>
      <c r="D576" s="124">
        <v>1070.6880000000001</v>
      </c>
      <c r="E576" s="124">
        <v>1089.7090000000001</v>
      </c>
      <c r="F576" s="124">
        <v>167.55969999999999</v>
      </c>
      <c r="G576" s="124">
        <v>173.63200000000001</v>
      </c>
      <c r="H576" s="124">
        <v>177.649</v>
      </c>
      <c r="I576" s="124">
        <v>186.82380000000001</v>
      </c>
      <c r="J576" s="134">
        <v>275640651</v>
      </c>
      <c r="K576" s="134">
        <v>291429601</v>
      </c>
      <c r="L576" s="124">
        <v>1727.7049999999999</v>
      </c>
      <c r="M576" s="134">
        <v>513980</v>
      </c>
      <c r="N576" s="135">
        <v>113.0917</v>
      </c>
      <c r="O576" s="135">
        <v>115.74809999999999</v>
      </c>
      <c r="P576" s="135">
        <v>113.6561</v>
      </c>
      <c r="Q576" s="135">
        <v>118.10769999999999</v>
      </c>
      <c r="R576" s="137">
        <v>1.06</v>
      </c>
      <c r="S576" s="120">
        <v>513818</v>
      </c>
      <c r="T576" s="120">
        <v>3746959</v>
      </c>
      <c r="U576" s="120">
        <v>0</v>
      </c>
      <c r="V576" s="114">
        <f t="shared" si="18"/>
        <v>3746959</v>
      </c>
      <c r="W576" s="114">
        <f t="shared" si="19"/>
        <v>4260777</v>
      </c>
    </row>
    <row r="577" spans="1:23">
      <c r="A577" s="122" t="s">
        <v>3088</v>
      </c>
      <c r="B577" s="124">
        <v>67.427000000000007</v>
      </c>
      <c r="C577" s="124">
        <v>60.527000000000001</v>
      </c>
      <c r="D577" s="124">
        <v>64.864999999999995</v>
      </c>
      <c r="E577" s="124">
        <v>66.504000000000005</v>
      </c>
      <c r="F577" s="124">
        <v>17.6629</v>
      </c>
      <c r="G577" s="124">
        <v>16.045200000000001</v>
      </c>
      <c r="H577" s="124">
        <v>16.172599999999999</v>
      </c>
      <c r="I577" s="124">
        <v>16.924700000000001</v>
      </c>
      <c r="J577" s="134">
        <v>271383305</v>
      </c>
      <c r="K577" s="134">
        <v>271570805</v>
      </c>
      <c r="L577" s="124">
        <v>147.11799999999999</v>
      </c>
      <c r="M577" s="114">
        <v>0</v>
      </c>
      <c r="N577" s="135">
        <v>9.2943999999999996</v>
      </c>
      <c r="O577" s="135">
        <v>9.3310999999999993</v>
      </c>
      <c r="P577" s="135">
        <v>9.9398999999999997</v>
      </c>
      <c r="Q577" s="135">
        <v>11.1921</v>
      </c>
      <c r="R577" s="137">
        <v>1.1200000000000001</v>
      </c>
      <c r="S577" s="120">
        <v>0</v>
      </c>
      <c r="T577" s="120">
        <v>4897517</v>
      </c>
      <c r="U577" s="120">
        <v>0</v>
      </c>
      <c r="V577" s="114">
        <f t="shared" si="18"/>
        <v>4897517</v>
      </c>
      <c r="W577" s="114">
        <f t="shared" si="19"/>
        <v>4897517</v>
      </c>
    </row>
    <row r="578" spans="1:23">
      <c r="A578" s="122" t="s">
        <v>2649</v>
      </c>
      <c r="B578" s="124">
        <v>155.10599999999999</v>
      </c>
      <c r="C578" s="124">
        <v>136.827</v>
      </c>
      <c r="D578" s="124">
        <v>139.74799999999999</v>
      </c>
      <c r="E578" s="124">
        <v>135.87700000000001</v>
      </c>
      <c r="F578" s="124">
        <v>44.773299999999999</v>
      </c>
      <c r="G578" s="124">
        <v>42.617699999999999</v>
      </c>
      <c r="H578" s="124">
        <v>40.8217</v>
      </c>
      <c r="I578" s="124">
        <v>38.741900000000001</v>
      </c>
      <c r="J578" s="134">
        <v>330491698</v>
      </c>
      <c r="K578" s="134">
        <v>332095825</v>
      </c>
      <c r="L578" s="124">
        <v>290.42</v>
      </c>
      <c r="M578" s="134">
        <v>494329</v>
      </c>
      <c r="N578" s="135">
        <v>25.0047</v>
      </c>
      <c r="O578" s="135">
        <v>24.2363</v>
      </c>
      <c r="P578" s="135">
        <v>22.682700000000001</v>
      </c>
      <c r="Q578" s="135">
        <v>20.285</v>
      </c>
      <c r="R578" s="137">
        <v>1.07</v>
      </c>
      <c r="S578" s="120">
        <v>368656</v>
      </c>
      <c r="T578" s="120">
        <v>3977134</v>
      </c>
      <c r="U578" s="120">
        <v>0</v>
      </c>
      <c r="V578" s="114">
        <f t="shared" si="18"/>
        <v>3977134</v>
      </c>
      <c r="W578" s="114">
        <f t="shared" si="19"/>
        <v>4345790</v>
      </c>
    </row>
    <row r="579" spans="1:23">
      <c r="A579" s="122" t="s">
        <v>1734</v>
      </c>
      <c r="B579" s="124">
        <v>563.76400000000001</v>
      </c>
      <c r="C579" s="124">
        <v>527.96400000000006</v>
      </c>
      <c r="D579" s="124">
        <v>512.01900000000001</v>
      </c>
      <c r="E579" s="124">
        <v>513.38800000000003</v>
      </c>
      <c r="F579" s="124">
        <v>91.556299999999993</v>
      </c>
      <c r="G579" s="124">
        <v>84.893299999999996</v>
      </c>
      <c r="H579" s="124">
        <v>83.315700000000007</v>
      </c>
      <c r="I579" s="124">
        <v>87.371799999999993</v>
      </c>
      <c r="J579" s="134">
        <v>91564287</v>
      </c>
      <c r="K579" s="134">
        <v>99588015</v>
      </c>
      <c r="L579" s="124">
        <v>840.23900000000003</v>
      </c>
      <c r="M579" s="114">
        <v>0</v>
      </c>
      <c r="N579" s="135">
        <v>57.936</v>
      </c>
      <c r="O579" s="135">
        <v>54.406300000000002</v>
      </c>
      <c r="P579" s="135">
        <v>53.249400000000001</v>
      </c>
      <c r="Q579" s="135">
        <v>53.136499999999998</v>
      </c>
      <c r="R579" s="137">
        <v>1.05</v>
      </c>
      <c r="S579" s="120">
        <v>76779</v>
      </c>
      <c r="T579" s="120">
        <v>1407885</v>
      </c>
      <c r="U579" s="120">
        <v>0</v>
      </c>
      <c r="V579" s="114">
        <f t="shared" si="18"/>
        <v>1407885</v>
      </c>
      <c r="W579" s="114">
        <f t="shared" si="19"/>
        <v>1484664</v>
      </c>
    </row>
    <row r="580" spans="1:23">
      <c r="A580" s="122" t="s">
        <v>2913</v>
      </c>
      <c r="B580" s="124">
        <v>131.36099999999999</v>
      </c>
      <c r="C580" s="124">
        <v>157.42699999999999</v>
      </c>
      <c r="D580" s="124">
        <v>183.07400000000001</v>
      </c>
      <c r="E580" s="124">
        <v>178.00299999999999</v>
      </c>
      <c r="F580" s="124">
        <v>25.529499999999999</v>
      </c>
      <c r="G580" s="124">
        <v>26.088000000000001</v>
      </c>
      <c r="H580" s="124">
        <v>30.197900000000001</v>
      </c>
      <c r="I580" s="124">
        <v>30.433199999999999</v>
      </c>
      <c r="J580" s="134">
        <v>149695151</v>
      </c>
      <c r="K580" s="134">
        <v>153738358</v>
      </c>
      <c r="L580" s="124">
        <v>279.51299999999998</v>
      </c>
      <c r="M580" s="114">
        <v>0</v>
      </c>
      <c r="N580" s="135">
        <v>17.604600000000001</v>
      </c>
      <c r="O580" s="135">
        <v>18.785799999999998</v>
      </c>
      <c r="P580" s="135">
        <v>21.1599</v>
      </c>
      <c r="Q580" s="135">
        <v>21.019600000000001</v>
      </c>
      <c r="R580" s="137">
        <v>1.05</v>
      </c>
      <c r="S580" s="120">
        <v>0</v>
      </c>
      <c r="T580" s="120">
        <v>2396195</v>
      </c>
      <c r="U580" s="120">
        <v>0</v>
      </c>
      <c r="V580" s="114">
        <f t="shared" si="18"/>
        <v>2396195</v>
      </c>
      <c r="W580" s="114">
        <f t="shared" si="19"/>
        <v>2396195</v>
      </c>
    </row>
    <row r="581" spans="1:23">
      <c r="A581" s="122" t="s">
        <v>2914</v>
      </c>
      <c r="B581" s="124">
        <v>4403.4250000000002</v>
      </c>
      <c r="C581" s="124">
        <v>4338.1270000000004</v>
      </c>
      <c r="D581" s="124">
        <v>4402.8609999999999</v>
      </c>
      <c r="E581" s="124">
        <v>4385.8149999999996</v>
      </c>
      <c r="F581" s="124">
        <v>696.54020000000003</v>
      </c>
      <c r="G581" s="124">
        <v>675.83770000000004</v>
      </c>
      <c r="H581" s="124">
        <v>658.57090000000005</v>
      </c>
      <c r="I581" s="124">
        <v>663.1087</v>
      </c>
      <c r="J581" s="134">
        <v>1199661386</v>
      </c>
      <c r="K581" s="134">
        <v>1280166242</v>
      </c>
      <c r="L581" s="124">
        <v>5762.5789999999997</v>
      </c>
      <c r="M581" s="134">
        <v>3147906</v>
      </c>
      <c r="N581" s="135">
        <v>461.31659999999999</v>
      </c>
      <c r="O581" s="135">
        <v>432.18099999999998</v>
      </c>
      <c r="P581" s="135">
        <v>440.93340000000001</v>
      </c>
      <c r="Q581" s="135">
        <v>428.30700000000002</v>
      </c>
      <c r="R581" s="137">
        <v>1.06</v>
      </c>
      <c r="S581" s="120">
        <v>3800093</v>
      </c>
      <c r="T581" s="120">
        <v>18026431</v>
      </c>
      <c r="U581" s="120">
        <v>0</v>
      </c>
      <c r="V581" s="114">
        <f t="shared" ref="V581:V644" si="20">T581+U581</f>
        <v>18026431</v>
      </c>
      <c r="W581" s="114">
        <f t="shared" ref="W581:W644" si="21">V581+S581</f>
        <v>21826524</v>
      </c>
    </row>
    <row r="582" spans="1:23">
      <c r="A582" s="122" t="s">
        <v>529</v>
      </c>
      <c r="B582" s="124">
        <v>1439.7159999999999</v>
      </c>
      <c r="C582" s="124">
        <v>1394.607</v>
      </c>
      <c r="D582" s="124">
        <v>1419.806</v>
      </c>
      <c r="E582" s="124">
        <v>1416.885</v>
      </c>
      <c r="F582" s="124">
        <v>263.37079999999997</v>
      </c>
      <c r="G582" s="124">
        <v>265.1499</v>
      </c>
      <c r="H582" s="124">
        <v>262.61579999999998</v>
      </c>
      <c r="I582" s="124">
        <v>240.5078</v>
      </c>
      <c r="J582" s="134">
        <v>215163520</v>
      </c>
      <c r="K582" s="134">
        <v>234800803</v>
      </c>
      <c r="L582" s="124">
        <v>2078.9360000000001</v>
      </c>
      <c r="M582" s="134">
        <v>225635</v>
      </c>
      <c r="N582" s="135">
        <v>165.46289999999999</v>
      </c>
      <c r="O582" s="135">
        <v>163.75460000000001</v>
      </c>
      <c r="P582" s="135">
        <v>163.70230000000001</v>
      </c>
      <c r="Q582" s="135">
        <v>153.90369999999999</v>
      </c>
      <c r="R582" s="137">
        <v>1.05</v>
      </c>
      <c r="S582" s="120">
        <v>149670</v>
      </c>
      <c r="T582" s="120">
        <v>3370531</v>
      </c>
      <c r="U582" s="120">
        <v>0</v>
      </c>
      <c r="V582" s="114">
        <f t="shared" si="20"/>
        <v>3370531</v>
      </c>
      <c r="W582" s="114">
        <f t="shared" si="21"/>
        <v>3520201</v>
      </c>
    </row>
    <row r="583" spans="1:23">
      <c r="A583" s="122" t="s">
        <v>2601</v>
      </c>
      <c r="B583" s="124">
        <v>22.829000000000001</v>
      </c>
      <c r="C583" s="124">
        <v>16.352</v>
      </c>
      <c r="D583" s="124">
        <v>15.858000000000001</v>
      </c>
      <c r="E583" s="124">
        <v>14.29</v>
      </c>
      <c r="F583" s="124">
        <v>3.6135999999999999</v>
      </c>
      <c r="G583" s="124">
        <v>3.6135999999999999</v>
      </c>
      <c r="H583" s="124">
        <v>3.6242999999999999</v>
      </c>
      <c r="I583" s="124">
        <v>3.6242999999999999</v>
      </c>
      <c r="J583" s="134">
        <v>25826080</v>
      </c>
      <c r="K583" s="134">
        <v>26086080</v>
      </c>
      <c r="L583" s="124">
        <v>88.355999999999995</v>
      </c>
      <c r="M583" s="114">
        <v>0</v>
      </c>
      <c r="N583" s="135">
        <v>3.3633000000000002</v>
      </c>
      <c r="O583" s="135">
        <v>3.2397999999999998</v>
      </c>
      <c r="P583" s="135">
        <v>3.2490999999999999</v>
      </c>
      <c r="Q583" s="135">
        <v>3.2490000000000001</v>
      </c>
      <c r="R583" s="137">
        <v>1.05</v>
      </c>
      <c r="S583" s="120">
        <v>0</v>
      </c>
      <c r="T583" s="120">
        <v>356600</v>
      </c>
      <c r="U583" s="120">
        <v>0</v>
      </c>
      <c r="V583" s="114">
        <f t="shared" si="20"/>
        <v>356600</v>
      </c>
      <c r="W583" s="114">
        <f t="shared" si="21"/>
        <v>356600</v>
      </c>
    </row>
    <row r="584" spans="1:23">
      <c r="A584" s="122" t="s">
        <v>2602</v>
      </c>
      <c r="B584" s="124">
        <v>708.69100000000003</v>
      </c>
      <c r="C584" s="124">
        <v>712.81700000000001</v>
      </c>
      <c r="D584" s="124">
        <v>704.80200000000002</v>
      </c>
      <c r="E584" s="124">
        <v>690.15300000000002</v>
      </c>
      <c r="F584" s="124">
        <v>132.9485</v>
      </c>
      <c r="G584" s="124">
        <v>138.0729</v>
      </c>
      <c r="H584" s="124">
        <v>133.4272</v>
      </c>
      <c r="I584" s="124">
        <v>129.5163</v>
      </c>
      <c r="J584" s="134">
        <v>157738763</v>
      </c>
      <c r="K584" s="134">
        <v>168217863</v>
      </c>
      <c r="L584" s="124">
        <v>1251.2560000000001</v>
      </c>
      <c r="M584" s="134">
        <v>72185</v>
      </c>
      <c r="N584" s="135">
        <v>95.129599999999996</v>
      </c>
      <c r="O584" s="135">
        <v>98.173299999999998</v>
      </c>
      <c r="P584" s="135">
        <v>96.367000000000004</v>
      </c>
      <c r="Q584" s="135">
        <v>92.160899999999998</v>
      </c>
      <c r="R584" s="137">
        <v>1.05</v>
      </c>
      <c r="S584" s="120">
        <v>68682</v>
      </c>
      <c r="T584" s="120">
        <v>2419843</v>
      </c>
      <c r="U584" s="120">
        <v>0</v>
      </c>
      <c r="V584" s="114">
        <f t="shared" si="20"/>
        <v>2419843</v>
      </c>
      <c r="W584" s="114">
        <f t="shared" si="21"/>
        <v>2488525</v>
      </c>
    </row>
    <row r="585" spans="1:23">
      <c r="A585" s="122" t="s">
        <v>1727</v>
      </c>
      <c r="B585" s="124">
        <v>86.066000000000003</v>
      </c>
      <c r="C585" s="124">
        <v>81.287999999999997</v>
      </c>
      <c r="D585" s="124">
        <v>81.698999999999998</v>
      </c>
      <c r="E585" s="124">
        <v>93.411000000000001</v>
      </c>
      <c r="F585" s="124">
        <v>30.040099999999999</v>
      </c>
      <c r="G585" s="124">
        <v>19</v>
      </c>
      <c r="H585" s="124">
        <v>30.088200000000001</v>
      </c>
      <c r="I585" s="124">
        <v>32.693600000000004</v>
      </c>
      <c r="J585" s="134">
        <v>159931821</v>
      </c>
      <c r="K585" s="134">
        <v>160188467</v>
      </c>
      <c r="L585" s="124">
        <v>260.56700000000001</v>
      </c>
      <c r="M585" s="134">
        <v>343168</v>
      </c>
      <c r="N585" s="135">
        <v>16.5427</v>
      </c>
      <c r="O585" s="135">
        <v>15.8331</v>
      </c>
      <c r="P585" s="135">
        <v>17.616900000000001</v>
      </c>
      <c r="Q585" s="135">
        <v>20.345199999999998</v>
      </c>
      <c r="R585" s="137">
        <v>1.08</v>
      </c>
      <c r="S585" s="120">
        <v>150446</v>
      </c>
      <c r="T585" s="120">
        <v>1933588</v>
      </c>
      <c r="U585" s="120">
        <v>0</v>
      </c>
      <c r="V585" s="114">
        <f t="shared" si="20"/>
        <v>1933588</v>
      </c>
      <c r="W585" s="114">
        <f t="shared" si="21"/>
        <v>2084034</v>
      </c>
    </row>
    <row r="586" spans="1:23">
      <c r="A586" s="122" t="s">
        <v>1728</v>
      </c>
      <c r="B586" s="124">
        <v>648.26800000000003</v>
      </c>
      <c r="C586" s="124">
        <v>639.29700000000003</v>
      </c>
      <c r="D586" s="124">
        <v>628.74900000000002</v>
      </c>
      <c r="E586" s="124">
        <v>611.33299999999997</v>
      </c>
      <c r="F586" s="124">
        <v>105.3847</v>
      </c>
      <c r="G586" s="124">
        <v>103.9971</v>
      </c>
      <c r="H586" s="124">
        <v>99.874799999999993</v>
      </c>
      <c r="I586" s="124">
        <v>99.006399999999999</v>
      </c>
      <c r="J586" s="134">
        <v>106533751</v>
      </c>
      <c r="K586" s="134">
        <v>114740265</v>
      </c>
      <c r="L586" s="124">
        <v>1189.248</v>
      </c>
      <c r="M586" s="134">
        <v>95945</v>
      </c>
      <c r="N586" s="135">
        <v>74.882900000000006</v>
      </c>
      <c r="O586" s="135">
        <v>76.065399999999997</v>
      </c>
      <c r="P586" s="135">
        <v>71.403199999999998</v>
      </c>
      <c r="Q586" s="135">
        <v>68.0017</v>
      </c>
      <c r="R586" s="137">
        <v>1.1000000000000001</v>
      </c>
      <c r="S586" s="120">
        <v>95058</v>
      </c>
      <c r="T586" s="120">
        <v>1306548</v>
      </c>
      <c r="U586" s="120">
        <v>0</v>
      </c>
      <c r="V586" s="114">
        <f t="shared" si="20"/>
        <v>1306548</v>
      </c>
      <c r="W586" s="114">
        <f t="shared" si="21"/>
        <v>1401606</v>
      </c>
    </row>
    <row r="587" spans="1:23">
      <c r="A587" s="122" t="s">
        <v>2872</v>
      </c>
      <c r="B587" s="124">
        <v>4361.6090000000004</v>
      </c>
      <c r="C587" s="124">
        <v>4278.9949999999999</v>
      </c>
      <c r="D587" s="124">
        <v>4197.6130000000003</v>
      </c>
      <c r="E587" s="124">
        <v>4112.8360000000002</v>
      </c>
      <c r="F587" s="124">
        <v>732.82320000000004</v>
      </c>
      <c r="G587" s="124">
        <v>717.9348</v>
      </c>
      <c r="H587" s="124">
        <v>726.4085</v>
      </c>
      <c r="I587" s="124">
        <v>696.63810000000001</v>
      </c>
      <c r="J587" s="134">
        <v>526061479</v>
      </c>
      <c r="K587" s="134">
        <v>568266506</v>
      </c>
      <c r="L587" s="124">
        <v>5867.2209999999995</v>
      </c>
      <c r="M587" s="114">
        <v>0</v>
      </c>
      <c r="N587" s="135">
        <v>454.4982</v>
      </c>
      <c r="O587" s="135">
        <v>453.41460000000001</v>
      </c>
      <c r="P587" s="135">
        <v>451.67899999999997</v>
      </c>
      <c r="Q587" s="135">
        <v>438.59219999999999</v>
      </c>
      <c r="R587" s="137">
        <v>1.1200000000000001</v>
      </c>
      <c r="S587" s="120">
        <v>597507</v>
      </c>
      <c r="T587" s="120">
        <v>7811265</v>
      </c>
      <c r="U587" s="120">
        <v>0</v>
      </c>
      <c r="V587" s="114">
        <f t="shared" si="20"/>
        <v>7811265</v>
      </c>
      <c r="W587" s="114">
        <f t="shared" si="21"/>
        <v>8408772</v>
      </c>
    </row>
    <row r="588" spans="1:23">
      <c r="A588" s="122" t="s">
        <v>429</v>
      </c>
      <c r="B588" s="124">
        <v>537.83399999999995</v>
      </c>
      <c r="C588" s="124">
        <v>501.459</v>
      </c>
      <c r="D588" s="124">
        <v>505.96899999999999</v>
      </c>
      <c r="E588" s="124">
        <v>510.935</v>
      </c>
      <c r="F588" s="124">
        <v>72.046800000000005</v>
      </c>
      <c r="G588" s="124">
        <v>82.816400000000002</v>
      </c>
      <c r="H588" s="124">
        <v>84.437799999999996</v>
      </c>
      <c r="I588" s="124">
        <v>83.303799999999995</v>
      </c>
      <c r="J588" s="134">
        <v>47060278</v>
      </c>
      <c r="K588" s="134">
        <v>54242424</v>
      </c>
      <c r="L588" s="124">
        <v>829.18700000000001</v>
      </c>
      <c r="M588" s="114">
        <v>0</v>
      </c>
      <c r="N588" s="135">
        <v>46.872799999999998</v>
      </c>
      <c r="O588" s="135">
        <v>47.642400000000002</v>
      </c>
      <c r="P588" s="135">
        <v>48.4086</v>
      </c>
      <c r="Q588" s="135">
        <v>48.378</v>
      </c>
      <c r="R588" s="137">
        <v>1.08</v>
      </c>
      <c r="S588" s="120">
        <v>0</v>
      </c>
      <c r="T588" s="120">
        <v>1292264</v>
      </c>
      <c r="U588" s="120">
        <v>0</v>
      </c>
      <c r="V588" s="114">
        <f t="shared" si="20"/>
        <v>1292264</v>
      </c>
      <c r="W588" s="114">
        <f t="shared" si="21"/>
        <v>1292264</v>
      </c>
    </row>
    <row r="589" spans="1:23">
      <c r="A589" s="122" t="s">
        <v>430</v>
      </c>
      <c r="B589" s="124">
        <v>505.863</v>
      </c>
      <c r="C589" s="124">
        <v>484.13</v>
      </c>
      <c r="D589" s="124">
        <v>486.33300000000003</v>
      </c>
      <c r="E589" s="124">
        <v>489.08800000000002</v>
      </c>
      <c r="F589" s="124">
        <v>78.422700000000006</v>
      </c>
      <c r="G589" s="124">
        <v>85.629800000000003</v>
      </c>
      <c r="H589" s="124">
        <v>91.044799999999995</v>
      </c>
      <c r="I589" s="124">
        <v>92.335400000000007</v>
      </c>
      <c r="J589" s="134">
        <v>159328941</v>
      </c>
      <c r="K589" s="134">
        <v>162718061</v>
      </c>
      <c r="L589" s="124">
        <v>966.94</v>
      </c>
      <c r="M589" s="114">
        <v>0</v>
      </c>
      <c r="N589" s="135">
        <v>59.3797</v>
      </c>
      <c r="O589" s="135">
        <v>53.498699999999999</v>
      </c>
      <c r="P589" s="135">
        <v>48.648099999999999</v>
      </c>
      <c r="Q589" s="135">
        <v>59.5351</v>
      </c>
      <c r="R589" s="137">
        <v>1.0900000000000001</v>
      </c>
      <c r="S589" s="120">
        <v>0</v>
      </c>
      <c r="T589" s="120">
        <v>2108687</v>
      </c>
      <c r="U589" s="120">
        <v>0</v>
      </c>
      <c r="V589" s="114">
        <f t="shared" si="20"/>
        <v>2108687</v>
      </c>
      <c r="W589" s="114">
        <f t="shared" si="21"/>
        <v>2108687</v>
      </c>
    </row>
    <row r="590" spans="1:23">
      <c r="A590" s="122" t="s">
        <v>431</v>
      </c>
      <c r="B590" s="124">
        <v>261.23599999999999</v>
      </c>
      <c r="C590" s="124">
        <v>258.53199999999998</v>
      </c>
      <c r="D590" s="124">
        <v>257.82100000000003</v>
      </c>
      <c r="E590" s="124">
        <v>262.76499999999999</v>
      </c>
      <c r="F590" s="124">
        <v>53.744700000000002</v>
      </c>
      <c r="G590" s="124">
        <v>55.791400000000003</v>
      </c>
      <c r="H590" s="124">
        <v>55.291400000000003</v>
      </c>
      <c r="I590" s="124">
        <v>56.8904</v>
      </c>
      <c r="J590" s="134">
        <v>142134526</v>
      </c>
      <c r="K590" s="134">
        <v>142134526</v>
      </c>
      <c r="L590" s="124">
        <v>470.35199999999998</v>
      </c>
      <c r="M590" s="114">
        <v>0</v>
      </c>
      <c r="N590" s="135">
        <v>37.743899999999996</v>
      </c>
      <c r="O590" s="135">
        <v>39.792099999999998</v>
      </c>
      <c r="P590" s="135">
        <v>34.603999999999999</v>
      </c>
      <c r="Q590" s="135">
        <v>34.5351</v>
      </c>
      <c r="R590" s="137">
        <v>1.0900000000000001</v>
      </c>
      <c r="S590" s="120">
        <v>0</v>
      </c>
      <c r="T590" s="120">
        <v>2191888</v>
      </c>
      <c r="U590" s="120">
        <v>0</v>
      </c>
      <c r="V590" s="114">
        <f t="shared" si="20"/>
        <v>2191888</v>
      </c>
      <c r="W590" s="114">
        <f t="shared" si="21"/>
        <v>2191888</v>
      </c>
    </row>
    <row r="591" spans="1:23">
      <c r="A591" s="122" t="s">
        <v>432</v>
      </c>
      <c r="B591" s="124">
        <v>60.180999999999997</v>
      </c>
      <c r="C591" s="124">
        <v>52.482999999999997</v>
      </c>
      <c r="D591" s="124">
        <v>53.674999999999997</v>
      </c>
      <c r="E591" s="124">
        <v>52.188000000000002</v>
      </c>
      <c r="F591" s="124">
        <v>19.409199999999998</v>
      </c>
      <c r="G591" s="124">
        <v>17.9894</v>
      </c>
      <c r="H591" s="124">
        <v>15.492000000000001</v>
      </c>
      <c r="I591" s="124">
        <v>13</v>
      </c>
      <c r="J591" s="134">
        <v>10073472</v>
      </c>
      <c r="K591" s="134">
        <v>10736202</v>
      </c>
      <c r="L591" s="124">
        <v>148.821</v>
      </c>
      <c r="M591" s="114">
        <v>0</v>
      </c>
      <c r="N591" s="135">
        <v>10.420400000000001</v>
      </c>
      <c r="O591" s="135">
        <v>12.0001</v>
      </c>
      <c r="P591" s="135">
        <v>10.4998</v>
      </c>
      <c r="Q591" s="135">
        <v>8.5006000000000004</v>
      </c>
      <c r="R591" s="137">
        <v>1.1100000000000001</v>
      </c>
      <c r="S591" s="120">
        <v>0</v>
      </c>
      <c r="T591" s="120">
        <v>156402</v>
      </c>
      <c r="U591" s="120">
        <v>0</v>
      </c>
      <c r="V591" s="114">
        <f t="shared" si="20"/>
        <v>156402</v>
      </c>
      <c r="W591" s="114">
        <f t="shared" si="21"/>
        <v>156402</v>
      </c>
    </row>
    <row r="592" spans="1:23">
      <c r="A592" s="122" t="s">
        <v>2873</v>
      </c>
      <c r="B592" s="124">
        <v>333.33699999999999</v>
      </c>
      <c r="C592" s="124">
        <v>302.84699999999998</v>
      </c>
      <c r="D592" s="124">
        <v>294.59100000000001</v>
      </c>
      <c r="E592" s="124">
        <v>286.43099999999998</v>
      </c>
      <c r="F592" s="124">
        <v>74.759500000000003</v>
      </c>
      <c r="G592" s="124">
        <v>72.684600000000003</v>
      </c>
      <c r="H592" s="124">
        <v>71.844999999999999</v>
      </c>
      <c r="I592" s="124">
        <v>71.844999999999999</v>
      </c>
      <c r="J592" s="134">
        <v>45761555</v>
      </c>
      <c r="K592" s="134">
        <v>49910745</v>
      </c>
      <c r="L592" s="124">
        <v>518.44399999999996</v>
      </c>
      <c r="M592" s="114">
        <v>0</v>
      </c>
      <c r="N592" s="135">
        <v>51.453800000000001</v>
      </c>
      <c r="O592" s="135">
        <v>45.116900000000001</v>
      </c>
      <c r="P592" s="135">
        <v>44.588299999999997</v>
      </c>
      <c r="Q592" s="135">
        <v>45.306600000000003</v>
      </c>
      <c r="R592" s="137">
        <v>1.08</v>
      </c>
      <c r="S592" s="120">
        <v>26898</v>
      </c>
      <c r="T592" s="120">
        <v>639038</v>
      </c>
      <c r="U592" s="120">
        <v>0</v>
      </c>
      <c r="V592" s="114">
        <f t="shared" si="20"/>
        <v>639038</v>
      </c>
      <c r="W592" s="114">
        <f t="shared" si="21"/>
        <v>665936</v>
      </c>
    </row>
    <row r="593" spans="1:23">
      <c r="A593" s="122" t="s">
        <v>270</v>
      </c>
      <c r="B593" s="124">
        <v>414.83199999999999</v>
      </c>
      <c r="C593" s="124">
        <v>391.06900000000002</v>
      </c>
      <c r="D593" s="124">
        <v>404.58499999999998</v>
      </c>
      <c r="E593" s="124">
        <v>407.84699999999998</v>
      </c>
      <c r="F593" s="124">
        <v>69.683300000000003</v>
      </c>
      <c r="G593" s="124">
        <v>67.966800000000006</v>
      </c>
      <c r="H593" s="124">
        <v>72.466800000000006</v>
      </c>
      <c r="I593" s="124">
        <v>68.966800000000006</v>
      </c>
      <c r="J593" s="134">
        <v>29827025</v>
      </c>
      <c r="K593" s="134">
        <v>34100575</v>
      </c>
      <c r="L593" s="124">
        <v>686.29399999999998</v>
      </c>
      <c r="M593" s="114">
        <v>0</v>
      </c>
      <c r="N593" s="135">
        <v>52.718600000000002</v>
      </c>
      <c r="O593" s="135">
        <v>50.351599999999998</v>
      </c>
      <c r="P593" s="135">
        <v>50.995199999999997</v>
      </c>
      <c r="Q593" s="135">
        <v>46.999400000000001</v>
      </c>
      <c r="R593" s="137">
        <v>1.08</v>
      </c>
      <c r="S593" s="120">
        <v>0</v>
      </c>
      <c r="T593" s="120">
        <v>454011</v>
      </c>
      <c r="U593" s="120">
        <v>0</v>
      </c>
      <c r="V593" s="114">
        <f t="shared" si="20"/>
        <v>454011</v>
      </c>
      <c r="W593" s="114">
        <f t="shared" si="21"/>
        <v>454011</v>
      </c>
    </row>
    <row r="594" spans="1:23">
      <c r="A594" s="122" t="s">
        <v>271</v>
      </c>
      <c r="B594" s="124">
        <v>97.489000000000004</v>
      </c>
      <c r="C594" s="124">
        <v>95.78</v>
      </c>
      <c r="D594" s="124">
        <v>92.887</v>
      </c>
      <c r="E594" s="124">
        <v>88.466999999999999</v>
      </c>
      <c r="F594" s="124">
        <v>19.2578</v>
      </c>
      <c r="G594" s="124">
        <v>23.0534</v>
      </c>
      <c r="H594" s="124">
        <v>20.229900000000001</v>
      </c>
      <c r="I594" s="124">
        <v>20.229900000000001</v>
      </c>
      <c r="J594" s="134">
        <v>22286507</v>
      </c>
      <c r="K594" s="134">
        <v>23083947</v>
      </c>
      <c r="L594" s="124">
        <v>260.64800000000002</v>
      </c>
      <c r="M594" s="114">
        <v>0</v>
      </c>
      <c r="N594" s="135">
        <v>12.8286</v>
      </c>
      <c r="O594" s="135">
        <v>17.053999999999998</v>
      </c>
      <c r="P594" s="135">
        <v>13.4763</v>
      </c>
      <c r="Q594" s="135">
        <v>14.1214</v>
      </c>
      <c r="R594" s="137">
        <v>1.08</v>
      </c>
      <c r="S594" s="120">
        <v>0</v>
      </c>
      <c r="T594" s="120">
        <v>331484</v>
      </c>
      <c r="U594" s="120">
        <v>0</v>
      </c>
      <c r="V594" s="114">
        <f t="shared" si="20"/>
        <v>331484</v>
      </c>
      <c r="W594" s="114">
        <f t="shared" si="21"/>
        <v>331484</v>
      </c>
    </row>
    <row r="595" spans="1:23">
      <c r="A595" s="122" t="s">
        <v>272</v>
      </c>
      <c r="B595" s="124">
        <v>758.87599999999998</v>
      </c>
      <c r="C595" s="124">
        <v>738.89599999999996</v>
      </c>
      <c r="D595" s="124">
        <v>772.01800000000003</v>
      </c>
      <c r="E595" s="124">
        <v>837.39499999999998</v>
      </c>
      <c r="F595" s="124">
        <v>114.18219999999999</v>
      </c>
      <c r="G595" s="124">
        <v>114.1982</v>
      </c>
      <c r="H595" s="124">
        <v>114.1096</v>
      </c>
      <c r="I595" s="124">
        <v>113.2915</v>
      </c>
      <c r="J595" s="134">
        <v>532926663</v>
      </c>
      <c r="K595" s="134">
        <v>540048900</v>
      </c>
      <c r="L595" s="124">
        <v>1196.4590000000001</v>
      </c>
      <c r="M595" s="134">
        <v>994903</v>
      </c>
      <c r="N595" s="135">
        <v>71.374099999999999</v>
      </c>
      <c r="O595" s="135">
        <v>71.5745</v>
      </c>
      <c r="P595" s="135">
        <v>72.732399999999998</v>
      </c>
      <c r="Q595" s="135">
        <v>72.391599999999997</v>
      </c>
      <c r="R595" s="137">
        <v>1.03</v>
      </c>
      <c r="S595" s="120">
        <v>780929</v>
      </c>
      <c r="T595" s="120">
        <v>7516580</v>
      </c>
      <c r="U595" s="120">
        <v>0</v>
      </c>
      <c r="V595" s="114">
        <f t="shared" si="20"/>
        <v>7516580</v>
      </c>
      <c r="W595" s="114">
        <f t="shared" si="21"/>
        <v>8297509</v>
      </c>
    </row>
    <row r="596" spans="1:23">
      <c r="A596" s="122" t="s">
        <v>2654</v>
      </c>
      <c r="B596" s="124">
        <v>254.58099999999999</v>
      </c>
      <c r="C596" s="124">
        <v>236.023</v>
      </c>
      <c r="D596" s="124">
        <v>228.89500000000001</v>
      </c>
      <c r="E596" s="124">
        <v>233.005</v>
      </c>
      <c r="F596" s="124">
        <v>39.604199999999999</v>
      </c>
      <c r="G596" s="124">
        <v>40.556100000000001</v>
      </c>
      <c r="H596" s="124">
        <v>40.1068</v>
      </c>
      <c r="I596" s="124">
        <v>41.401000000000003</v>
      </c>
      <c r="J596" s="134">
        <v>23677060</v>
      </c>
      <c r="K596" s="134">
        <v>26433550</v>
      </c>
      <c r="L596" s="124">
        <v>417.26600000000002</v>
      </c>
      <c r="M596" s="134">
        <v>13727</v>
      </c>
      <c r="N596" s="135">
        <v>28.000399999999999</v>
      </c>
      <c r="O596" s="135">
        <v>27.1662</v>
      </c>
      <c r="P596" s="135">
        <v>25.7545</v>
      </c>
      <c r="Q596" s="135">
        <v>29.289200000000001</v>
      </c>
      <c r="R596" s="137">
        <v>1.05</v>
      </c>
      <c r="S596" s="120">
        <v>28433</v>
      </c>
      <c r="T596" s="120">
        <v>372934</v>
      </c>
      <c r="U596" s="120">
        <v>0</v>
      </c>
      <c r="V596" s="114">
        <f t="shared" si="20"/>
        <v>372934</v>
      </c>
      <c r="W596" s="114">
        <f t="shared" si="21"/>
        <v>401367</v>
      </c>
    </row>
    <row r="597" spans="1:23">
      <c r="A597" s="122" t="s">
        <v>2303</v>
      </c>
      <c r="B597" s="124">
        <v>3536.8110000000001</v>
      </c>
      <c r="C597" s="124">
        <v>3510.482</v>
      </c>
      <c r="D597" s="124">
        <v>3543.0250000000001</v>
      </c>
      <c r="E597" s="124">
        <v>3551.1460000000002</v>
      </c>
      <c r="F597" s="124">
        <v>641.37860000000001</v>
      </c>
      <c r="G597" s="124">
        <v>650.97450000000003</v>
      </c>
      <c r="H597" s="124">
        <v>653.14949999999999</v>
      </c>
      <c r="I597" s="124">
        <v>650.36159999999995</v>
      </c>
      <c r="J597" s="134">
        <v>517691799</v>
      </c>
      <c r="K597" s="134">
        <v>563403441</v>
      </c>
      <c r="L597" s="124">
        <v>4934.9380000000001</v>
      </c>
      <c r="M597" s="134">
        <v>83321</v>
      </c>
      <c r="N597" s="135">
        <v>396.24860000000001</v>
      </c>
      <c r="O597" s="135">
        <v>401.97430000000003</v>
      </c>
      <c r="P597" s="135">
        <v>406.4341</v>
      </c>
      <c r="Q597" s="135">
        <v>401.30900000000003</v>
      </c>
      <c r="R597" s="137">
        <v>1.06</v>
      </c>
      <c r="S597" s="120">
        <v>513796</v>
      </c>
      <c r="T597" s="120">
        <v>7951555</v>
      </c>
      <c r="U597" s="120">
        <v>0</v>
      </c>
      <c r="V597" s="114">
        <f t="shared" si="20"/>
        <v>7951555</v>
      </c>
      <c r="W597" s="114">
        <f t="shared" si="21"/>
        <v>8465351</v>
      </c>
    </row>
    <row r="598" spans="1:23">
      <c r="A598" s="122" t="s">
        <v>2370</v>
      </c>
      <c r="B598" s="124">
        <v>2951.89</v>
      </c>
      <c r="C598" s="124">
        <v>3017.3589999999999</v>
      </c>
      <c r="D598" s="124">
        <v>3003.7440000000001</v>
      </c>
      <c r="E598" s="124">
        <v>3026.7339999999999</v>
      </c>
      <c r="F598" s="124">
        <v>419.18459999999999</v>
      </c>
      <c r="G598" s="124">
        <v>415.05739999999997</v>
      </c>
      <c r="H598" s="124">
        <v>435.5224</v>
      </c>
      <c r="I598" s="124">
        <v>427.6705</v>
      </c>
      <c r="J598" s="134">
        <v>606782641</v>
      </c>
      <c r="K598" s="134">
        <v>694499839</v>
      </c>
      <c r="L598" s="124">
        <v>3959.8620000000001</v>
      </c>
      <c r="M598" s="134">
        <v>726325</v>
      </c>
      <c r="N598" s="135">
        <v>280.4058</v>
      </c>
      <c r="O598" s="135">
        <v>292.47559999999999</v>
      </c>
      <c r="P598" s="135">
        <v>297.84100000000001</v>
      </c>
      <c r="Q598" s="135">
        <v>301.66680000000002</v>
      </c>
      <c r="R598" s="137">
        <v>1.06</v>
      </c>
      <c r="S598" s="120">
        <v>1398136</v>
      </c>
      <c r="T598" s="120">
        <v>8666424</v>
      </c>
      <c r="U598" s="120">
        <v>0</v>
      </c>
      <c r="V598" s="114">
        <f t="shared" si="20"/>
        <v>8666424</v>
      </c>
      <c r="W598" s="114">
        <f t="shared" si="21"/>
        <v>10064560</v>
      </c>
    </row>
    <row r="599" spans="1:23">
      <c r="A599" s="122" t="s">
        <v>2874</v>
      </c>
      <c r="B599" s="124">
        <v>934.13199999999995</v>
      </c>
      <c r="C599" s="124">
        <v>933.66700000000003</v>
      </c>
      <c r="D599" s="124">
        <v>953.91300000000001</v>
      </c>
      <c r="E599" s="124">
        <v>978.79499999999996</v>
      </c>
      <c r="F599" s="124">
        <v>142.54169999999999</v>
      </c>
      <c r="G599" s="124">
        <v>142.97479999999999</v>
      </c>
      <c r="H599" s="124">
        <v>134.98750000000001</v>
      </c>
      <c r="I599" s="124">
        <v>130.13740000000001</v>
      </c>
      <c r="J599" s="134">
        <v>91671619</v>
      </c>
      <c r="K599" s="134">
        <v>105039849</v>
      </c>
      <c r="L599" s="124">
        <v>1466.1379999999999</v>
      </c>
      <c r="M599" s="114">
        <v>0</v>
      </c>
      <c r="N599" s="135">
        <v>99.627200000000002</v>
      </c>
      <c r="O599" s="135">
        <v>99.057500000000005</v>
      </c>
      <c r="P599" s="135">
        <v>92.2547</v>
      </c>
      <c r="Q599" s="135">
        <v>87.599599999999995</v>
      </c>
      <c r="R599" s="137">
        <v>1.04</v>
      </c>
      <c r="S599" s="120">
        <v>222229</v>
      </c>
      <c r="T599" s="120">
        <v>1338407</v>
      </c>
      <c r="U599" s="120">
        <v>0</v>
      </c>
      <c r="V599" s="114">
        <f t="shared" si="20"/>
        <v>1338407</v>
      </c>
      <c r="W599" s="114">
        <f t="shared" si="21"/>
        <v>1560636</v>
      </c>
    </row>
    <row r="600" spans="1:23">
      <c r="A600" s="122" t="s">
        <v>1754</v>
      </c>
      <c r="B600" s="124">
        <v>176.714</v>
      </c>
      <c r="C600" s="124">
        <v>170.84800000000001</v>
      </c>
      <c r="D600" s="124">
        <v>166.19399999999999</v>
      </c>
      <c r="E600" s="124">
        <v>170.40799999999999</v>
      </c>
      <c r="F600" s="124">
        <v>34.0642</v>
      </c>
      <c r="G600" s="124">
        <v>33.0642</v>
      </c>
      <c r="H600" s="124">
        <v>35.299500000000002</v>
      </c>
      <c r="I600" s="124">
        <v>33.818199999999997</v>
      </c>
      <c r="J600" s="134">
        <v>29039548</v>
      </c>
      <c r="K600" s="134">
        <v>30638658</v>
      </c>
      <c r="L600" s="124">
        <v>312.73</v>
      </c>
      <c r="M600" s="114">
        <v>0</v>
      </c>
      <c r="N600" s="135">
        <v>21.623799999999999</v>
      </c>
      <c r="O600" s="135">
        <v>21.713899999999999</v>
      </c>
      <c r="P600" s="135">
        <v>23.9483</v>
      </c>
      <c r="Q600" s="135">
        <v>22.964300000000001</v>
      </c>
      <c r="R600" s="137">
        <v>1.06</v>
      </c>
      <c r="S600" s="120">
        <v>0</v>
      </c>
      <c r="T600" s="120">
        <v>512803</v>
      </c>
      <c r="U600" s="120">
        <v>0</v>
      </c>
      <c r="V600" s="114">
        <f t="shared" si="20"/>
        <v>512803</v>
      </c>
      <c r="W600" s="114">
        <f t="shared" si="21"/>
        <v>512803</v>
      </c>
    </row>
    <row r="601" spans="1:23">
      <c r="A601" s="122" t="s">
        <v>1755</v>
      </c>
      <c r="B601" s="124">
        <v>1418.069</v>
      </c>
      <c r="C601" s="124">
        <v>1483.1880000000001</v>
      </c>
      <c r="D601" s="124">
        <v>1484.453</v>
      </c>
      <c r="E601" s="124">
        <v>1536.509</v>
      </c>
      <c r="F601" s="124">
        <v>197.94210000000001</v>
      </c>
      <c r="G601" s="124">
        <v>201.37540000000001</v>
      </c>
      <c r="H601" s="124">
        <v>206.5565</v>
      </c>
      <c r="I601" s="124">
        <v>213.04640000000001</v>
      </c>
      <c r="J601" s="134">
        <v>171023679</v>
      </c>
      <c r="K601" s="134">
        <v>185160489</v>
      </c>
      <c r="L601" s="124">
        <v>2495.7649999999999</v>
      </c>
      <c r="M601" s="134">
        <v>56836</v>
      </c>
      <c r="N601" s="135">
        <v>133.39449999999999</v>
      </c>
      <c r="O601" s="135">
        <v>135.9913</v>
      </c>
      <c r="P601" s="135">
        <v>141.52719999999999</v>
      </c>
      <c r="Q601" s="135">
        <v>147.303</v>
      </c>
      <c r="R601" s="137">
        <v>1.07</v>
      </c>
      <c r="S601" s="120">
        <v>37807</v>
      </c>
      <c r="T601" s="120">
        <v>2278892</v>
      </c>
      <c r="U601" s="120">
        <v>0</v>
      </c>
      <c r="V601" s="114">
        <f t="shared" si="20"/>
        <v>2278892</v>
      </c>
      <c r="W601" s="114">
        <f t="shared" si="21"/>
        <v>2316699</v>
      </c>
    </row>
    <row r="602" spans="1:23">
      <c r="A602" s="122" t="s">
        <v>1592</v>
      </c>
      <c r="B602" s="124">
        <v>723.50199999999995</v>
      </c>
      <c r="C602" s="124">
        <v>709.779</v>
      </c>
      <c r="D602" s="124">
        <v>711.69200000000001</v>
      </c>
      <c r="E602" s="124">
        <v>721.13699999999994</v>
      </c>
      <c r="F602" s="124">
        <v>147.82990000000001</v>
      </c>
      <c r="G602" s="124">
        <v>138.54339999999999</v>
      </c>
      <c r="H602" s="124">
        <v>141.04570000000001</v>
      </c>
      <c r="I602" s="124">
        <v>132.7697</v>
      </c>
      <c r="J602" s="134">
        <v>70420481</v>
      </c>
      <c r="K602" s="134">
        <v>75328551</v>
      </c>
      <c r="L602" s="124">
        <v>1221.846</v>
      </c>
      <c r="M602" s="114">
        <v>0</v>
      </c>
      <c r="N602" s="135">
        <v>103.0907</v>
      </c>
      <c r="O602" s="135">
        <v>92.422899999999998</v>
      </c>
      <c r="P602" s="135">
        <v>94.513900000000007</v>
      </c>
      <c r="Q602" s="135">
        <v>86.240700000000004</v>
      </c>
      <c r="R602" s="137">
        <v>1.07</v>
      </c>
      <c r="S602" s="120">
        <v>66388</v>
      </c>
      <c r="T602" s="120">
        <v>1246567</v>
      </c>
      <c r="U602" s="120">
        <v>0</v>
      </c>
      <c r="V602" s="114">
        <f t="shared" si="20"/>
        <v>1246567</v>
      </c>
      <c r="W602" s="114">
        <f t="shared" si="21"/>
        <v>1312955</v>
      </c>
    </row>
    <row r="603" spans="1:23">
      <c r="A603" s="122" t="s">
        <v>2461</v>
      </c>
      <c r="B603" s="124">
        <v>105.35299999999999</v>
      </c>
      <c r="C603" s="124">
        <v>149.911</v>
      </c>
      <c r="D603" s="124">
        <v>166.67400000000001</v>
      </c>
      <c r="E603" s="124">
        <v>162.05699999999999</v>
      </c>
      <c r="F603" s="124">
        <v>25.689800000000002</v>
      </c>
      <c r="G603" s="124">
        <v>33.737900000000003</v>
      </c>
      <c r="H603" s="124">
        <v>36.711199999999998</v>
      </c>
      <c r="I603" s="124">
        <v>35.975900000000003</v>
      </c>
      <c r="J603" s="134">
        <v>10746413</v>
      </c>
      <c r="K603" s="134">
        <v>11253893</v>
      </c>
      <c r="L603" s="124">
        <v>301.33600000000001</v>
      </c>
      <c r="M603" s="114">
        <v>0</v>
      </c>
      <c r="N603" s="135">
        <v>17.401599999999998</v>
      </c>
      <c r="O603" s="135">
        <v>24.4009</v>
      </c>
      <c r="P603" s="135">
        <v>23.402200000000001</v>
      </c>
      <c r="Q603" s="135">
        <v>23.7943</v>
      </c>
      <c r="R603" s="137">
        <v>1.07</v>
      </c>
      <c r="S603" s="120">
        <v>0</v>
      </c>
      <c r="T603" s="120">
        <v>203390</v>
      </c>
      <c r="U603" s="120">
        <v>0</v>
      </c>
      <c r="V603" s="114">
        <f t="shared" si="20"/>
        <v>203390</v>
      </c>
      <c r="W603" s="114">
        <f t="shared" si="21"/>
        <v>203390</v>
      </c>
    </row>
    <row r="604" spans="1:23">
      <c r="A604" s="122" t="s">
        <v>2584</v>
      </c>
      <c r="B604" s="124">
        <v>395.92500000000001</v>
      </c>
      <c r="C604" s="124">
        <v>401.94600000000003</v>
      </c>
      <c r="D604" s="124">
        <v>389.80700000000002</v>
      </c>
      <c r="E604" s="124">
        <v>360.35599999999999</v>
      </c>
      <c r="F604" s="124">
        <v>66.738200000000006</v>
      </c>
      <c r="G604" s="124">
        <v>71.126000000000005</v>
      </c>
      <c r="H604" s="124">
        <v>68.492199999999997</v>
      </c>
      <c r="I604" s="124">
        <v>54.462600000000002</v>
      </c>
      <c r="J604" s="134">
        <v>48504252</v>
      </c>
      <c r="K604" s="134">
        <v>52144231</v>
      </c>
      <c r="L604" s="124">
        <v>661.29700000000003</v>
      </c>
      <c r="M604" s="114">
        <v>0</v>
      </c>
      <c r="N604" s="135">
        <v>43.997599999999998</v>
      </c>
      <c r="O604" s="135">
        <v>43.002000000000002</v>
      </c>
      <c r="P604" s="135">
        <v>45.011000000000003</v>
      </c>
      <c r="Q604" s="135">
        <v>44.499499999999998</v>
      </c>
      <c r="R604" s="137">
        <v>1.07</v>
      </c>
      <c r="S604" s="120">
        <v>0</v>
      </c>
      <c r="T604" s="120">
        <v>897172</v>
      </c>
      <c r="U604" s="120">
        <v>0</v>
      </c>
      <c r="V604" s="114">
        <f t="shared" si="20"/>
        <v>897172</v>
      </c>
      <c r="W604" s="114">
        <f t="shared" si="21"/>
        <v>897172</v>
      </c>
    </row>
    <row r="605" spans="1:23">
      <c r="A605" s="122" t="s">
        <v>2585</v>
      </c>
      <c r="B605" s="124">
        <v>324.041</v>
      </c>
      <c r="C605" s="124">
        <v>317.89800000000002</v>
      </c>
      <c r="D605" s="124">
        <v>318.428</v>
      </c>
      <c r="E605" s="124">
        <v>357.71699999999998</v>
      </c>
      <c r="F605" s="124">
        <v>67.260999999999996</v>
      </c>
      <c r="G605" s="124">
        <v>68</v>
      </c>
      <c r="H605" s="124">
        <v>66.871799999999993</v>
      </c>
      <c r="I605" s="124">
        <v>71.807599999999994</v>
      </c>
      <c r="J605" s="134">
        <v>457979750</v>
      </c>
      <c r="K605" s="134">
        <v>461737145</v>
      </c>
      <c r="L605" s="124">
        <v>724.78499999999997</v>
      </c>
      <c r="M605" s="134">
        <v>366522</v>
      </c>
      <c r="N605" s="135">
        <v>42.861499999999999</v>
      </c>
      <c r="O605" s="135">
        <v>46.000999999999998</v>
      </c>
      <c r="P605" s="135">
        <v>43.000500000000002</v>
      </c>
      <c r="Q605" s="135">
        <v>46.000999999999998</v>
      </c>
      <c r="R605" s="137">
        <v>1.06</v>
      </c>
      <c r="S605" s="120">
        <v>214995</v>
      </c>
      <c r="T605" s="120">
        <v>5714075</v>
      </c>
      <c r="U605" s="120">
        <v>0</v>
      </c>
      <c r="V605" s="114">
        <f t="shared" si="20"/>
        <v>5714075</v>
      </c>
      <c r="W605" s="114">
        <f t="shared" si="21"/>
        <v>5929070</v>
      </c>
    </row>
    <row r="606" spans="1:23">
      <c r="A606" s="122" t="s">
        <v>2586</v>
      </c>
      <c r="B606" s="124">
        <v>3055.7620000000002</v>
      </c>
      <c r="C606" s="124">
        <v>3043.8429999999998</v>
      </c>
      <c r="D606" s="124">
        <v>3031.3510000000001</v>
      </c>
      <c r="E606" s="124">
        <v>3055.902</v>
      </c>
      <c r="F606" s="124">
        <v>473.79390000000001</v>
      </c>
      <c r="G606" s="124">
        <v>457.2278</v>
      </c>
      <c r="H606" s="124">
        <v>458.9889</v>
      </c>
      <c r="I606" s="124">
        <v>458.01870000000002</v>
      </c>
      <c r="J606" s="134">
        <v>462178060</v>
      </c>
      <c r="K606" s="134">
        <v>501789080</v>
      </c>
      <c r="L606" s="124">
        <v>4162.0159999999996</v>
      </c>
      <c r="M606" s="134">
        <v>257931</v>
      </c>
      <c r="N606" s="135">
        <v>294.03699999999998</v>
      </c>
      <c r="O606" s="135">
        <v>285.0702</v>
      </c>
      <c r="P606" s="135">
        <v>282.03710000000001</v>
      </c>
      <c r="Q606" s="135">
        <v>276.41890000000001</v>
      </c>
      <c r="R606" s="137">
        <v>1.07</v>
      </c>
      <c r="S606" s="120">
        <v>257480</v>
      </c>
      <c r="T606" s="120">
        <v>7225327</v>
      </c>
      <c r="U606" s="120">
        <v>0</v>
      </c>
      <c r="V606" s="114">
        <f t="shared" si="20"/>
        <v>7225327</v>
      </c>
      <c r="W606" s="114">
        <f t="shared" si="21"/>
        <v>7482807</v>
      </c>
    </row>
    <row r="607" spans="1:23">
      <c r="A607" s="122" t="s">
        <v>2587</v>
      </c>
      <c r="B607" s="124">
        <v>253.971</v>
      </c>
      <c r="C607" s="124">
        <v>239.536</v>
      </c>
      <c r="D607" s="124">
        <v>249.65299999999999</v>
      </c>
      <c r="E607" s="124">
        <v>266.29000000000002</v>
      </c>
      <c r="F607" s="124">
        <v>51.360999999999997</v>
      </c>
      <c r="G607" s="124">
        <v>53.909100000000002</v>
      </c>
      <c r="H607" s="124">
        <v>53.600999999999999</v>
      </c>
      <c r="I607" s="124">
        <v>50.850299999999997</v>
      </c>
      <c r="J607" s="134">
        <v>44480184</v>
      </c>
      <c r="K607" s="134">
        <v>47729074</v>
      </c>
      <c r="L607" s="124">
        <v>526.82600000000002</v>
      </c>
      <c r="M607" s="114">
        <v>0</v>
      </c>
      <c r="N607" s="135">
        <v>27.500599999999999</v>
      </c>
      <c r="O607" s="135">
        <v>37.464799999999997</v>
      </c>
      <c r="P607" s="135">
        <v>37.24</v>
      </c>
      <c r="Q607" s="135">
        <v>30.498899999999999</v>
      </c>
      <c r="R607" s="137">
        <v>1.06</v>
      </c>
      <c r="S607" s="120">
        <v>0</v>
      </c>
      <c r="T607" s="120">
        <v>621601</v>
      </c>
      <c r="U607" s="120">
        <v>0</v>
      </c>
      <c r="V607" s="114">
        <f t="shared" si="20"/>
        <v>621601</v>
      </c>
      <c r="W607" s="114">
        <f t="shared" si="21"/>
        <v>621601</v>
      </c>
    </row>
    <row r="608" spans="1:23">
      <c r="A608" s="122" t="s">
        <v>2755</v>
      </c>
      <c r="B608" s="124">
        <v>1270.7829999999999</v>
      </c>
      <c r="C608" s="124">
        <v>1158.0029999999999</v>
      </c>
      <c r="D608" s="124">
        <v>1140.2080000000001</v>
      </c>
      <c r="E608" s="124">
        <v>1150.5889999999999</v>
      </c>
      <c r="F608" s="124">
        <v>197.41480000000001</v>
      </c>
      <c r="G608" s="124">
        <v>197.7139</v>
      </c>
      <c r="H608" s="124">
        <v>196.55070000000001</v>
      </c>
      <c r="I608" s="124">
        <v>227.76480000000001</v>
      </c>
      <c r="J608" s="134">
        <v>185961086</v>
      </c>
      <c r="K608" s="134">
        <v>195494783</v>
      </c>
      <c r="L608" s="124">
        <v>1933.1659999999999</v>
      </c>
      <c r="M608" s="114">
        <v>0</v>
      </c>
      <c r="N608" s="135">
        <v>128.11080000000001</v>
      </c>
      <c r="O608" s="135">
        <v>127.8691</v>
      </c>
      <c r="P608" s="135">
        <v>120.68040000000001</v>
      </c>
      <c r="Q608" s="135">
        <v>125.848</v>
      </c>
      <c r="R608" s="137">
        <v>1.1000000000000001</v>
      </c>
      <c r="S608" s="120">
        <v>176924</v>
      </c>
      <c r="T608" s="120">
        <v>2926771</v>
      </c>
      <c r="U608" s="120">
        <v>0</v>
      </c>
      <c r="V608" s="114">
        <f t="shared" si="20"/>
        <v>2926771</v>
      </c>
      <c r="W608" s="114">
        <f t="shared" si="21"/>
        <v>3103695</v>
      </c>
    </row>
    <row r="609" spans="1:23">
      <c r="A609" s="122" t="s">
        <v>2588</v>
      </c>
      <c r="B609" s="124">
        <v>1029.9449999999999</v>
      </c>
      <c r="C609" s="124">
        <v>999.53499999999997</v>
      </c>
      <c r="D609" s="124">
        <v>987.73099999999999</v>
      </c>
      <c r="E609" s="124">
        <v>974.29</v>
      </c>
      <c r="F609" s="124">
        <v>141.35929999999999</v>
      </c>
      <c r="G609" s="124">
        <v>143.38650000000001</v>
      </c>
      <c r="H609" s="124">
        <v>147.7654</v>
      </c>
      <c r="I609" s="124">
        <v>147.19749999999999</v>
      </c>
      <c r="J609" s="134">
        <v>441737616</v>
      </c>
      <c r="K609" s="134">
        <v>460648042</v>
      </c>
      <c r="L609" s="124">
        <v>1609.8810000000001</v>
      </c>
      <c r="M609" s="114">
        <v>0</v>
      </c>
      <c r="N609" s="135">
        <v>91.023300000000006</v>
      </c>
      <c r="O609" s="135">
        <v>91.858999999999995</v>
      </c>
      <c r="P609" s="135">
        <v>95.035600000000002</v>
      </c>
      <c r="Q609" s="135">
        <v>96.837000000000003</v>
      </c>
      <c r="R609" s="137">
        <v>1.06</v>
      </c>
      <c r="S609" s="120">
        <v>0</v>
      </c>
      <c r="T609" s="120">
        <v>5882683</v>
      </c>
      <c r="U609" s="120">
        <v>0</v>
      </c>
      <c r="V609" s="114">
        <f t="shared" si="20"/>
        <v>5882683</v>
      </c>
      <c r="W609" s="114">
        <f t="shared" si="21"/>
        <v>5882683</v>
      </c>
    </row>
    <row r="610" spans="1:23">
      <c r="A610" s="122" t="s">
        <v>2589</v>
      </c>
      <c r="B610" s="124">
        <v>367.37900000000002</v>
      </c>
      <c r="C610" s="124">
        <v>347.85899999999998</v>
      </c>
      <c r="D610" s="124">
        <v>343.55799999999999</v>
      </c>
      <c r="E610" s="124">
        <v>342.642</v>
      </c>
      <c r="F610" s="124">
        <v>51.6554</v>
      </c>
      <c r="G610" s="124">
        <v>53.177500000000002</v>
      </c>
      <c r="H610" s="124">
        <v>53.7577</v>
      </c>
      <c r="I610" s="124">
        <v>55.957599999999999</v>
      </c>
      <c r="J610" s="134">
        <v>42952249</v>
      </c>
      <c r="K610" s="134">
        <v>49332129</v>
      </c>
      <c r="L610" s="124">
        <v>571.94399999999996</v>
      </c>
      <c r="M610" s="134">
        <v>15159</v>
      </c>
      <c r="N610" s="135">
        <v>34.000300000000003</v>
      </c>
      <c r="O610" s="135">
        <v>35.000399999999999</v>
      </c>
      <c r="P610" s="135">
        <v>34.000799999999998</v>
      </c>
      <c r="Q610" s="135">
        <v>35</v>
      </c>
      <c r="R610" s="137">
        <v>1.06</v>
      </c>
      <c r="S610" s="120">
        <v>16390</v>
      </c>
      <c r="T610" s="120">
        <v>597091</v>
      </c>
      <c r="U610" s="120">
        <v>0</v>
      </c>
      <c r="V610" s="114">
        <f t="shared" si="20"/>
        <v>597091</v>
      </c>
      <c r="W610" s="114">
        <f t="shared" si="21"/>
        <v>613481</v>
      </c>
    </row>
    <row r="611" spans="1:23">
      <c r="A611" s="122" t="s">
        <v>2590</v>
      </c>
      <c r="B611" s="124">
        <v>519.18100000000004</v>
      </c>
      <c r="C611" s="124">
        <v>509.20400000000001</v>
      </c>
      <c r="D611" s="124">
        <v>493.82600000000002</v>
      </c>
      <c r="E611" s="124">
        <v>478.702</v>
      </c>
      <c r="F611" s="124">
        <v>84.255799999999994</v>
      </c>
      <c r="G611" s="124">
        <v>89.160700000000006</v>
      </c>
      <c r="H611" s="124">
        <v>94.005499999999998</v>
      </c>
      <c r="I611" s="124">
        <v>90.294200000000004</v>
      </c>
      <c r="J611" s="134">
        <v>127167747</v>
      </c>
      <c r="K611" s="134">
        <v>139319133</v>
      </c>
      <c r="L611" s="124">
        <v>799.88599999999997</v>
      </c>
      <c r="M611" s="114">
        <v>0</v>
      </c>
      <c r="N611" s="135">
        <v>58.072699999999998</v>
      </c>
      <c r="O611" s="135">
        <v>59.976500000000001</v>
      </c>
      <c r="P611" s="135">
        <v>61.647100000000002</v>
      </c>
      <c r="Q611" s="135">
        <v>59.424399999999999</v>
      </c>
      <c r="R611" s="137">
        <v>1.07</v>
      </c>
      <c r="S611" s="120">
        <v>0</v>
      </c>
      <c r="T611" s="120">
        <v>1899672</v>
      </c>
      <c r="U611" s="120">
        <v>0</v>
      </c>
      <c r="V611" s="114">
        <f t="shared" si="20"/>
        <v>1899672</v>
      </c>
      <c r="W611" s="114">
        <f t="shared" si="21"/>
        <v>1899672</v>
      </c>
    </row>
    <row r="612" spans="1:23">
      <c r="A612" s="122" t="s">
        <v>2591</v>
      </c>
      <c r="B612" s="124">
        <v>68.100999999999999</v>
      </c>
      <c r="C612" s="124">
        <v>66.566000000000003</v>
      </c>
      <c r="D612" s="124">
        <v>74.63</v>
      </c>
      <c r="E612" s="124">
        <v>82.045000000000002</v>
      </c>
      <c r="F612" s="124">
        <v>14.5068</v>
      </c>
      <c r="G612" s="124">
        <v>13.5068</v>
      </c>
      <c r="H612" s="124">
        <v>13.5068</v>
      </c>
      <c r="I612" s="124">
        <v>14.448</v>
      </c>
      <c r="J612" s="134">
        <v>43241991</v>
      </c>
      <c r="K612" s="134">
        <v>45563662</v>
      </c>
      <c r="L612" s="124">
        <v>137.64400000000001</v>
      </c>
      <c r="M612" s="114">
        <v>0</v>
      </c>
      <c r="N612" s="135">
        <v>10.2965</v>
      </c>
      <c r="O612" s="135">
        <v>9.6182999999999996</v>
      </c>
      <c r="P612" s="135">
        <v>9.2012</v>
      </c>
      <c r="Q612" s="135">
        <v>9.4359999999999999</v>
      </c>
      <c r="R612" s="137">
        <v>1.07</v>
      </c>
      <c r="S612" s="120">
        <v>0</v>
      </c>
      <c r="T612" s="120">
        <v>634777</v>
      </c>
      <c r="U612" s="120">
        <v>0</v>
      </c>
      <c r="V612" s="114">
        <f t="shared" si="20"/>
        <v>634777</v>
      </c>
      <c r="W612" s="114">
        <f t="shared" si="21"/>
        <v>634777</v>
      </c>
    </row>
    <row r="613" spans="1:23">
      <c r="A613" s="122" t="s">
        <v>2592</v>
      </c>
      <c r="B613" s="124">
        <v>81.215000000000003</v>
      </c>
      <c r="C613" s="124">
        <v>77.629000000000005</v>
      </c>
      <c r="D613" s="124">
        <v>76.555999999999997</v>
      </c>
      <c r="E613" s="124">
        <v>80.462000000000003</v>
      </c>
      <c r="F613" s="124">
        <v>12.9574</v>
      </c>
      <c r="G613" s="124">
        <v>13.2247</v>
      </c>
      <c r="H613" s="124">
        <v>14.732799999999999</v>
      </c>
      <c r="I613" s="124">
        <v>14.770200000000001</v>
      </c>
      <c r="J613" s="134">
        <v>17366190</v>
      </c>
      <c r="K613" s="134">
        <v>19708090</v>
      </c>
      <c r="L613" s="124">
        <v>128.67099999999999</v>
      </c>
      <c r="M613" s="114">
        <v>0</v>
      </c>
      <c r="N613" s="135">
        <v>6.8933</v>
      </c>
      <c r="O613" s="135">
        <v>7.7866999999999997</v>
      </c>
      <c r="P613" s="135">
        <v>8.7688000000000006</v>
      </c>
      <c r="Q613" s="135">
        <v>8.9794</v>
      </c>
      <c r="R613" s="137">
        <v>1.07</v>
      </c>
      <c r="S613" s="120">
        <v>0</v>
      </c>
      <c r="T613" s="120">
        <v>341722</v>
      </c>
      <c r="U613" s="120">
        <v>0</v>
      </c>
      <c r="V613" s="114">
        <f t="shared" si="20"/>
        <v>341722</v>
      </c>
      <c r="W613" s="114">
        <f t="shared" si="21"/>
        <v>341722</v>
      </c>
    </row>
    <row r="614" spans="1:23">
      <c r="A614" s="122" t="s">
        <v>2981</v>
      </c>
      <c r="B614" s="124">
        <v>76.009</v>
      </c>
      <c r="C614" s="124">
        <v>71.575999999999993</v>
      </c>
      <c r="D614" s="124">
        <v>69.414000000000001</v>
      </c>
      <c r="E614" s="124">
        <v>69.081000000000003</v>
      </c>
      <c r="F614" s="124">
        <v>13.9305</v>
      </c>
      <c r="G614" s="124">
        <v>13.9091</v>
      </c>
      <c r="H614" s="124">
        <v>15.8611</v>
      </c>
      <c r="I614" s="124">
        <v>14.8985</v>
      </c>
      <c r="J614" s="134">
        <v>109551349</v>
      </c>
      <c r="K614" s="134">
        <v>111726059</v>
      </c>
      <c r="L614" s="124">
        <v>120.61199999999999</v>
      </c>
      <c r="M614" s="114">
        <v>0</v>
      </c>
      <c r="N614" s="135">
        <v>10.184200000000001</v>
      </c>
      <c r="O614" s="135">
        <v>10.1721</v>
      </c>
      <c r="P614" s="135">
        <v>10.279400000000001</v>
      </c>
      <c r="Q614" s="135">
        <v>10.279299999999999</v>
      </c>
      <c r="R614" s="137">
        <v>1.07</v>
      </c>
      <c r="S614" s="120">
        <v>0</v>
      </c>
      <c r="T614" s="120">
        <v>1365148</v>
      </c>
      <c r="U614" s="120">
        <v>0</v>
      </c>
      <c r="V614" s="114">
        <f t="shared" si="20"/>
        <v>1365148</v>
      </c>
      <c r="W614" s="114">
        <f t="shared" si="21"/>
        <v>1365148</v>
      </c>
    </row>
    <row r="615" spans="1:23">
      <c r="A615" s="122" t="s">
        <v>2982</v>
      </c>
      <c r="B615" s="124">
        <v>1656.329</v>
      </c>
      <c r="C615" s="124">
        <v>1636.1590000000001</v>
      </c>
      <c r="D615" s="124">
        <v>1651.684</v>
      </c>
      <c r="E615" s="124">
        <v>1685.9839999999999</v>
      </c>
      <c r="F615" s="124">
        <v>285.03680000000003</v>
      </c>
      <c r="G615" s="124">
        <v>289.2296</v>
      </c>
      <c r="H615" s="124">
        <v>296.80709999999999</v>
      </c>
      <c r="I615" s="124">
        <v>295.76150000000001</v>
      </c>
      <c r="J615" s="134">
        <v>405788943</v>
      </c>
      <c r="K615" s="134">
        <v>425755743</v>
      </c>
      <c r="L615" s="124">
        <v>2386.7460000000001</v>
      </c>
      <c r="M615" s="134">
        <v>445189</v>
      </c>
      <c r="N615" s="135">
        <v>172.345</v>
      </c>
      <c r="O615" s="135">
        <v>185.4803</v>
      </c>
      <c r="P615" s="135">
        <v>184.6763</v>
      </c>
      <c r="Q615" s="135">
        <v>182.6165</v>
      </c>
      <c r="R615" s="137">
        <v>1.08</v>
      </c>
      <c r="S615" s="120">
        <v>478793</v>
      </c>
      <c r="T615" s="120">
        <v>5949883</v>
      </c>
      <c r="U615" s="120">
        <v>0</v>
      </c>
      <c r="V615" s="114">
        <f t="shared" si="20"/>
        <v>5949883</v>
      </c>
      <c r="W615" s="114">
        <f t="shared" si="21"/>
        <v>6428676</v>
      </c>
    </row>
    <row r="616" spans="1:23">
      <c r="A616" s="122" t="s">
        <v>2983</v>
      </c>
      <c r="B616" s="124">
        <v>942.30499999999995</v>
      </c>
      <c r="C616" s="124">
        <v>945.51499999999999</v>
      </c>
      <c r="D616" s="124">
        <v>964.32100000000003</v>
      </c>
      <c r="E616" s="124">
        <v>964.73900000000003</v>
      </c>
      <c r="F616" s="124">
        <v>144.7269</v>
      </c>
      <c r="G616" s="124">
        <v>145.56100000000001</v>
      </c>
      <c r="H616" s="124">
        <v>155.61259999999999</v>
      </c>
      <c r="I616" s="124">
        <v>155.89590000000001</v>
      </c>
      <c r="J616" s="134">
        <v>149440984</v>
      </c>
      <c r="K616" s="134">
        <v>162022017</v>
      </c>
      <c r="L616" s="124">
        <v>1459.7670000000001</v>
      </c>
      <c r="M616" s="134">
        <v>105812</v>
      </c>
      <c r="N616" s="135">
        <v>101.0723</v>
      </c>
      <c r="O616" s="135">
        <v>98.170500000000004</v>
      </c>
      <c r="P616" s="135">
        <v>102.1737</v>
      </c>
      <c r="Q616" s="135">
        <v>100.4426</v>
      </c>
      <c r="R616" s="137">
        <v>1.07</v>
      </c>
      <c r="S616" s="120">
        <v>108462</v>
      </c>
      <c r="T616" s="120">
        <v>2247802</v>
      </c>
      <c r="U616" s="120">
        <v>0</v>
      </c>
      <c r="V616" s="114">
        <f t="shared" si="20"/>
        <v>2247802</v>
      </c>
      <c r="W616" s="114">
        <f t="shared" si="21"/>
        <v>2356264</v>
      </c>
    </row>
    <row r="617" spans="1:23">
      <c r="A617" s="122" t="s">
        <v>2984</v>
      </c>
      <c r="B617" s="124">
        <v>190.255</v>
      </c>
      <c r="C617" s="124">
        <v>215.01</v>
      </c>
      <c r="D617" s="124">
        <v>227.65299999999999</v>
      </c>
      <c r="E617" s="124">
        <v>221.34700000000001</v>
      </c>
      <c r="F617" s="124">
        <v>39.505200000000002</v>
      </c>
      <c r="G617" s="124">
        <v>37.299300000000002</v>
      </c>
      <c r="H617" s="124">
        <v>40.7485</v>
      </c>
      <c r="I617" s="124">
        <v>42.108499999999999</v>
      </c>
      <c r="J617" s="134">
        <v>82619646</v>
      </c>
      <c r="K617" s="134">
        <v>85430480</v>
      </c>
      <c r="L617" s="124">
        <v>401.09399999999999</v>
      </c>
      <c r="M617" s="114">
        <v>0</v>
      </c>
      <c r="N617" s="135">
        <v>24.693000000000001</v>
      </c>
      <c r="O617" s="135">
        <v>21.957000000000001</v>
      </c>
      <c r="P617" s="135">
        <v>22.9772</v>
      </c>
      <c r="Q617" s="135">
        <v>29.008900000000001</v>
      </c>
      <c r="R617" s="137">
        <v>1.0900000000000001</v>
      </c>
      <c r="S617" s="120">
        <v>0</v>
      </c>
      <c r="T617" s="120">
        <v>1224493</v>
      </c>
      <c r="U617" s="120">
        <v>0</v>
      </c>
      <c r="V617" s="114">
        <f t="shared" si="20"/>
        <v>1224493</v>
      </c>
      <c r="W617" s="114">
        <f t="shared" si="21"/>
        <v>1224493</v>
      </c>
    </row>
    <row r="618" spans="1:23">
      <c r="A618" s="122" t="s">
        <v>2985</v>
      </c>
      <c r="B618" s="124">
        <v>747.04499999999996</v>
      </c>
      <c r="C618" s="124">
        <v>743.30799999999999</v>
      </c>
      <c r="D618" s="124">
        <v>748.61500000000001</v>
      </c>
      <c r="E618" s="124">
        <v>727.87800000000004</v>
      </c>
      <c r="F618" s="124">
        <v>124.21120000000001</v>
      </c>
      <c r="G618" s="124">
        <v>116.3395</v>
      </c>
      <c r="H618" s="124">
        <v>117.5133</v>
      </c>
      <c r="I618" s="124">
        <v>121.4171</v>
      </c>
      <c r="J618" s="134">
        <v>132000867</v>
      </c>
      <c r="K618" s="134">
        <v>140662497</v>
      </c>
      <c r="L618" s="124">
        <v>1169.249</v>
      </c>
      <c r="M618" s="134">
        <v>108031</v>
      </c>
      <c r="N618" s="135">
        <v>74.177899999999994</v>
      </c>
      <c r="O618" s="135">
        <v>73.272199999999998</v>
      </c>
      <c r="P618" s="135">
        <v>75.855199999999996</v>
      </c>
      <c r="Q618" s="135">
        <v>73.000500000000002</v>
      </c>
      <c r="R618" s="137">
        <v>1.07</v>
      </c>
      <c r="S618" s="120">
        <v>163702</v>
      </c>
      <c r="T618" s="120">
        <v>2017683</v>
      </c>
      <c r="U618" s="120">
        <v>0</v>
      </c>
      <c r="V618" s="114">
        <f t="shared" si="20"/>
        <v>2017683</v>
      </c>
      <c r="W618" s="114">
        <f t="shared" si="21"/>
        <v>2181385</v>
      </c>
    </row>
    <row r="619" spans="1:23">
      <c r="A619" s="122" t="s">
        <v>1561</v>
      </c>
      <c r="B619" s="124">
        <v>707.95299999999997</v>
      </c>
      <c r="C619" s="124">
        <v>700.51199999999994</v>
      </c>
      <c r="D619" s="124">
        <v>679.35699999999997</v>
      </c>
      <c r="E619" s="124">
        <v>675.50900000000001</v>
      </c>
      <c r="F619" s="124">
        <v>116.5244</v>
      </c>
      <c r="G619" s="124">
        <v>118.88809999999999</v>
      </c>
      <c r="H619" s="124">
        <v>120.4442</v>
      </c>
      <c r="I619" s="124">
        <v>122.9629</v>
      </c>
      <c r="J619" s="134">
        <v>164786768</v>
      </c>
      <c r="K619" s="134">
        <v>175058068</v>
      </c>
      <c r="L619" s="124">
        <v>1214.7929999999999</v>
      </c>
      <c r="M619" s="134">
        <v>158167</v>
      </c>
      <c r="N619" s="135">
        <v>67.501099999999994</v>
      </c>
      <c r="O619" s="135">
        <v>70.219800000000006</v>
      </c>
      <c r="P619" s="135">
        <v>71.352599999999995</v>
      </c>
      <c r="Q619" s="135">
        <v>71.751900000000006</v>
      </c>
      <c r="R619" s="137">
        <v>1.06</v>
      </c>
      <c r="S619" s="120">
        <v>137960</v>
      </c>
      <c r="T619" s="120">
        <v>2235736</v>
      </c>
      <c r="U619" s="120">
        <v>0</v>
      </c>
      <c r="V619" s="114">
        <f t="shared" si="20"/>
        <v>2235736</v>
      </c>
      <c r="W619" s="114">
        <f t="shared" si="21"/>
        <v>2373696</v>
      </c>
    </row>
    <row r="620" spans="1:23">
      <c r="A620" s="122" t="s">
        <v>1562</v>
      </c>
      <c r="B620" s="124">
        <v>478.72300000000001</v>
      </c>
      <c r="C620" s="124">
        <v>486.40300000000002</v>
      </c>
      <c r="D620" s="124">
        <v>513.38900000000001</v>
      </c>
      <c r="E620" s="124">
        <v>537.17600000000004</v>
      </c>
      <c r="F620" s="124">
        <v>79.219300000000004</v>
      </c>
      <c r="G620" s="124">
        <v>77.2273</v>
      </c>
      <c r="H620" s="124">
        <v>76.272800000000004</v>
      </c>
      <c r="I620" s="124">
        <v>83.288799999999995</v>
      </c>
      <c r="J620" s="134">
        <v>115532105</v>
      </c>
      <c r="K620" s="134">
        <v>125147105</v>
      </c>
      <c r="L620" s="124">
        <v>851.64700000000005</v>
      </c>
      <c r="M620" s="134">
        <v>204699</v>
      </c>
      <c r="N620" s="135">
        <v>47.613599999999998</v>
      </c>
      <c r="O620" s="135">
        <v>46.498899999999999</v>
      </c>
      <c r="P620" s="135">
        <v>48.533999999999999</v>
      </c>
      <c r="Q620" s="135">
        <v>53.534199999999998</v>
      </c>
      <c r="R620" s="137">
        <v>1.06</v>
      </c>
      <c r="S620" s="120">
        <v>247101</v>
      </c>
      <c r="T620" s="120">
        <v>1684512</v>
      </c>
      <c r="U620" s="120">
        <v>0</v>
      </c>
      <c r="V620" s="114">
        <f t="shared" si="20"/>
        <v>1684512</v>
      </c>
      <c r="W620" s="114">
        <f t="shared" si="21"/>
        <v>1931613</v>
      </c>
    </row>
    <row r="621" spans="1:23">
      <c r="A621" s="122" t="s">
        <v>2783</v>
      </c>
      <c r="B621" s="124">
        <v>236.81100000000001</v>
      </c>
      <c r="C621" s="124">
        <v>232.934</v>
      </c>
      <c r="D621" s="124">
        <v>235.25899999999999</v>
      </c>
      <c r="E621" s="124">
        <v>238.93899999999999</v>
      </c>
      <c r="F621" s="124">
        <v>42.5</v>
      </c>
      <c r="G621" s="124">
        <v>44.5</v>
      </c>
      <c r="H621" s="124">
        <v>46.5</v>
      </c>
      <c r="I621" s="124">
        <v>45</v>
      </c>
      <c r="J621" s="134">
        <v>71453562</v>
      </c>
      <c r="K621" s="134">
        <v>76762742</v>
      </c>
      <c r="L621" s="124">
        <v>436.59199999999998</v>
      </c>
      <c r="M621" s="134">
        <v>111074</v>
      </c>
      <c r="N621" s="135">
        <v>32.000500000000002</v>
      </c>
      <c r="O621" s="135">
        <v>31.999700000000001</v>
      </c>
      <c r="P621" s="135">
        <v>29.595099999999999</v>
      </c>
      <c r="Q621" s="135">
        <v>19.214300000000001</v>
      </c>
      <c r="R621" s="137">
        <v>1.06</v>
      </c>
      <c r="S621" s="120">
        <v>110180</v>
      </c>
      <c r="T621" s="120">
        <v>991707</v>
      </c>
      <c r="U621" s="120">
        <v>0</v>
      </c>
      <c r="V621" s="114">
        <f t="shared" si="20"/>
        <v>991707</v>
      </c>
      <c r="W621" s="114">
        <f t="shared" si="21"/>
        <v>1101887</v>
      </c>
    </row>
    <row r="622" spans="1:23">
      <c r="A622" s="122" t="s">
        <v>2421</v>
      </c>
      <c r="B622" s="124">
        <v>679.73099999999999</v>
      </c>
      <c r="C622" s="124">
        <v>663.38199999999995</v>
      </c>
      <c r="D622" s="124">
        <v>669.178</v>
      </c>
      <c r="E622" s="124">
        <v>650.64200000000005</v>
      </c>
      <c r="F622" s="124">
        <v>108.83459999999999</v>
      </c>
      <c r="G622" s="124">
        <v>111.7436</v>
      </c>
      <c r="H622" s="124">
        <v>117.07899999999999</v>
      </c>
      <c r="I622" s="124">
        <v>116.7996</v>
      </c>
      <c r="J622" s="134">
        <v>420251345</v>
      </c>
      <c r="K622" s="134">
        <v>428263285</v>
      </c>
      <c r="L622" s="124">
        <v>1176.6120000000001</v>
      </c>
      <c r="M622" s="134">
        <v>384611</v>
      </c>
      <c r="N622" s="135">
        <v>67.410200000000003</v>
      </c>
      <c r="O622" s="135">
        <v>66.661199999999994</v>
      </c>
      <c r="P622" s="135">
        <v>76.744200000000006</v>
      </c>
      <c r="Q622" s="135">
        <v>78.551900000000003</v>
      </c>
      <c r="R622" s="137">
        <v>1.07</v>
      </c>
      <c r="S622" s="120">
        <v>314089</v>
      </c>
      <c r="T622" s="120">
        <v>4816676</v>
      </c>
      <c r="U622" s="120">
        <v>0</v>
      </c>
      <c r="V622" s="114">
        <f t="shared" si="20"/>
        <v>4816676</v>
      </c>
      <c r="W622" s="114">
        <f t="shared" si="21"/>
        <v>5130765</v>
      </c>
    </row>
    <row r="623" spans="1:23">
      <c r="A623" s="122" t="s">
        <v>3029</v>
      </c>
      <c r="B623" s="124">
        <v>2780.3139999999999</v>
      </c>
      <c r="C623" s="124">
        <v>2877.663</v>
      </c>
      <c r="D623" s="124">
        <v>2951.134</v>
      </c>
      <c r="E623" s="124">
        <v>3002.3049999999998</v>
      </c>
      <c r="F623" s="124">
        <v>386.28890000000001</v>
      </c>
      <c r="G623" s="124">
        <v>410.71690000000001</v>
      </c>
      <c r="H623" s="124">
        <v>434.61759999999998</v>
      </c>
      <c r="I623" s="124">
        <v>457.91969999999998</v>
      </c>
      <c r="J623" s="134">
        <v>450092862</v>
      </c>
      <c r="K623" s="134">
        <v>478874432</v>
      </c>
      <c r="L623" s="124">
        <v>4176.3860000000004</v>
      </c>
      <c r="M623" s="114">
        <v>0</v>
      </c>
      <c r="N623" s="135">
        <v>241.07679999999999</v>
      </c>
      <c r="O623" s="135">
        <v>244.5891</v>
      </c>
      <c r="P623" s="135">
        <v>252.64109999999999</v>
      </c>
      <c r="Q623" s="135">
        <v>265.36470000000003</v>
      </c>
      <c r="R623" s="137">
        <v>1.1299999999999999</v>
      </c>
      <c r="S623" s="120">
        <v>826483</v>
      </c>
      <c r="T623" s="120">
        <v>6002353</v>
      </c>
      <c r="U623" s="120">
        <v>0</v>
      </c>
      <c r="V623" s="114">
        <f t="shared" si="20"/>
        <v>6002353</v>
      </c>
      <c r="W623" s="114">
        <f t="shared" si="21"/>
        <v>6828836</v>
      </c>
    </row>
    <row r="624" spans="1:23">
      <c r="A624" s="122" t="s">
        <v>2762</v>
      </c>
      <c r="B624" s="124">
        <v>4439.0910000000003</v>
      </c>
      <c r="C624" s="124">
        <v>4614.7539999999999</v>
      </c>
      <c r="D624" s="124">
        <v>4734.2550000000001</v>
      </c>
      <c r="E624" s="124">
        <v>4708.1859999999997</v>
      </c>
      <c r="F624" s="124">
        <v>562.5951</v>
      </c>
      <c r="G624" s="124">
        <v>576.77359999999999</v>
      </c>
      <c r="H624" s="124">
        <v>574.85320000000002</v>
      </c>
      <c r="I624" s="124">
        <v>571.13679999999999</v>
      </c>
      <c r="J624" s="134">
        <v>756351753</v>
      </c>
      <c r="K624" s="134">
        <v>803397113</v>
      </c>
      <c r="L624" s="124">
        <v>6019.866</v>
      </c>
      <c r="M624" s="134">
        <v>123489</v>
      </c>
      <c r="N624" s="135">
        <v>339.185</v>
      </c>
      <c r="O624" s="135">
        <v>362.08269999999999</v>
      </c>
      <c r="P624" s="135">
        <v>375.14210000000003</v>
      </c>
      <c r="Q624" s="135">
        <v>370.971</v>
      </c>
      <c r="R624" s="137">
        <v>1.1200000000000001</v>
      </c>
      <c r="S624" s="120">
        <v>810090</v>
      </c>
      <c r="T624" s="120">
        <v>10913020</v>
      </c>
      <c r="U624" s="120">
        <v>0</v>
      </c>
      <c r="V624" s="114">
        <f t="shared" si="20"/>
        <v>10913020</v>
      </c>
      <c r="W624" s="114">
        <f t="shared" si="21"/>
        <v>11723110</v>
      </c>
    </row>
    <row r="625" spans="1:23">
      <c r="A625" s="122" t="s">
        <v>2422</v>
      </c>
      <c r="B625" s="124">
        <v>152.774</v>
      </c>
      <c r="C625" s="124">
        <v>161.05799999999999</v>
      </c>
      <c r="D625" s="124">
        <v>160.649</v>
      </c>
      <c r="E625" s="124">
        <v>156.19900000000001</v>
      </c>
      <c r="F625" s="124">
        <v>26.4</v>
      </c>
      <c r="G625" s="124">
        <v>28.310199999999998</v>
      </c>
      <c r="H625" s="124">
        <v>29</v>
      </c>
      <c r="I625" s="124">
        <v>27.740600000000001</v>
      </c>
      <c r="J625" s="134">
        <v>76217022</v>
      </c>
      <c r="K625" s="134">
        <v>78290722</v>
      </c>
      <c r="L625" s="124">
        <v>269.89499999999998</v>
      </c>
      <c r="M625" s="114">
        <v>0</v>
      </c>
      <c r="N625" s="135">
        <v>13.999599999999999</v>
      </c>
      <c r="O625" s="135">
        <v>16.3108</v>
      </c>
      <c r="P625" s="135">
        <v>16.999099999999999</v>
      </c>
      <c r="Q625" s="135">
        <v>17.4999</v>
      </c>
      <c r="R625" s="137">
        <v>1.1100000000000001</v>
      </c>
      <c r="S625" s="120">
        <v>173554</v>
      </c>
      <c r="T625" s="120">
        <v>1750994</v>
      </c>
      <c r="U625" s="120">
        <v>0</v>
      </c>
      <c r="V625" s="114">
        <f t="shared" si="20"/>
        <v>1750994</v>
      </c>
      <c r="W625" s="114">
        <f t="shared" si="21"/>
        <v>1924548</v>
      </c>
    </row>
    <row r="626" spans="1:23">
      <c r="A626" s="122" t="s">
        <v>2875</v>
      </c>
      <c r="B626" s="124">
        <v>1120.771</v>
      </c>
      <c r="C626" s="124">
        <v>1155.171</v>
      </c>
      <c r="D626" s="124">
        <v>1141.5150000000001</v>
      </c>
      <c r="E626" s="124">
        <v>1170.056</v>
      </c>
      <c r="F626" s="124">
        <v>162.3871</v>
      </c>
      <c r="G626" s="124">
        <v>188.2919</v>
      </c>
      <c r="H626" s="124">
        <v>186.542</v>
      </c>
      <c r="I626" s="124">
        <v>191.99250000000001</v>
      </c>
      <c r="J626" s="134">
        <v>152478511</v>
      </c>
      <c r="K626" s="134">
        <v>168059461</v>
      </c>
      <c r="L626" s="124">
        <v>1684.65</v>
      </c>
      <c r="M626" s="114">
        <v>0</v>
      </c>
      <c r="N626" s="135">
        <v>99.2517</v>
      </c>
      <c r="O626" s="135">
        <v>99.275599999999997</v>
      </c>
      <c r="P626" s="135">
        <v>119.79770000000001</v>
      </c>
      <c r="Q626" s="135">
        <v>122.6403</v>
      </c>
      <c r="R626" s="137">
        <v>1.1000000000000001</v>
      </c>
      <c r="S626" s="120">
        <v>0</v>
      </c>
      <c r="T626" s="120">
        <v>2045063</v>
      </c>
      <c r="U626" s="120">
        <v>106879</v>
      </c>
      <c r="V626" s="114">
        <f t="shared" si="20"/>
        <v>2151942</v>
      </c>
      <c r="W626" s="114">
        <f t="shared" si="21"/>
        <v>2151942</v>
      </c>
    </row>
    <row r="627" spans="1:23">
      <c r="A627" s="122" t="s">
        <v>1277</v>
      </c>
      <c r="B627" s="124">
        <v>687.62199999999996</v>
      </c>
      <c r="C627" s="124">
        <v>674.83299999999997</v>
      </c>
      <c r="D627" s="124">
        <v>654.45299999999997</v>
      </c>
      <c r="E627" s="124">
        <v>619.00800000000004</v>
      </c>
      <c r="F627" s="124">
        <v>123.37479999999999</v>
      </c>
      <c r="G627" s="124">
        <v>98.925200000000004</v>
      </c>
      <c r="H627" s="124">
        <v>120.40949999999999</v>
      </c>
      <c r="I627" s="124">
        <v>117.74379999999999</v>
      </c>
      <c r="J627" s="134">
        <v>138234069</v>
      </c>
      <c r="K627" s="134">
        <v>145605434</v>
      </c>
      <c r="L627" s="124">
        <v>1038.5940000000001</v>
      </c>
      <c r="M627" s="114">
        <v>71</v>
      </c>
      <c r="N627" s="135">
        <v>80.573999999999998</v>
      </c>
      <c r="O627" s="135">
        <v>83.821200000000005</v>
      </c>
      <c r="P627" s="135">
        <v>79.931200000000004</v>
      </c>
      <c r="Q627" s="135">
        <v>76.748699999999999</v>
      </c>
      <c r="R627" s="137">
        <v>1.1000000000000001</v>
      </c>
      <c r="S627" s="120">
        <v>96249</v>
      </c>
      <c r="T627" s="120">
        <v>1870902</v>
      </c>
      <c r="U627" s="120">
        <v>0</v>
      </c>
      <c r="V627" s="114">
        <f t="shared" si="20"/>
        <v>1870902</v>
      </c>
      <c r="W627" s="114">
        <f t="shared" si="21"/>
        <v>1967151</v>
      </c>
    </row>
    <row r="628" spans="1:23">
      <c r="A628" s="122" t="s">
        <v>2423</v>
      </c>
      <c r="B628" s="124">
        <v>2278.2139999999999</v>
      </c>
      <c r="C628" s="124">
        <v>2205.2910000000002</v>
      </c>
      <c r="D628" s="124">
        <v>2191.7089999999998</v>
      </c>
      <c r="E628" s="124">
        <v>2168.1</v>
      </c>
      <c r="F628" s="124">
        <v>392.41890000000001</v>
      </c>
      <c r="G628" s="124">
        <v>422.28489999999999</v>
      </c>
      <c r="H628" s="124">
        <v>398.47329999999999</v>
      </c>
      <c r="I628" s="124">
        <v>381.52890000000002</v>
      </c>
      <c r="J628" s="134">
        <v>535025790</v>
      </c>
      <c r="K628" s="134">
        <v>558618401</v>
      </c>
      <c r="L628" s="124">
        <v>3004.163</v>
      </c>
      <c r="M628" s="134">
        <v>451096</v>
      </c>
      <c r="N628" s="135">
        <v>232.9332</v>
      </c>
      <c r="O628" s="135">
        <v>243.44550000000001</v>
      </c>
      <c r="P628" s="135">
        <v>235.6156</v>
      </c>
      <c r="Q628" s="135">
        <v>226.9744</v>
      </c>
      <c r="R628" s="137">
        <v>1.1200000000000001</v>
      </c>
      <c r="S628" s="120">
        <v>1238255</v>
      </c>
      <c r="T628" s="120">
        <v>7332782</v>
      </c>
      <c r="U628" s="120">
        <v>0</v>
      </c>
      <c r="V628" s="114">
        <f t="shared" si="20"/>
        <v>7332782</v>
      </c>
      <c r="W628" s="114">
        <f t="shared" si="21"/>
        <v>8571037</v>
      </c>
    </row>
    <row r="629" spans="1:23">
      <c r="A629" s="122" t="s">
        <v>2424</v>
      </c>
      <c r="B629" s="124">
        <v>1572.329</v>
      </c>
      <c r="C629" s="124">
        <v>1621.971</v>
      </c>
      <c r="D629" s="124">
        <v>1674.894</v>
      </c>
      <c r="E629" s="124">
        <v>1699.123</v>
      </c>
      <c r="F629" s="124">
        <v>223.601</v>
      </c>
      <c r="G629" s="124">
        <v>225.18100000000001</v>
      </c>
      <c r="H629" s="124">
        <v>225.4606</v>
      </c>
      <c r="I629" s="124">
        <v>244.03909999999999</v>
      </c>
      <c r="J629" s="134">
        <v>210978915</v>
      </c>
      <c r="K629" s="134">
        <v>228770055</v>
      </c>
      <c r="L629" s="124">
        <v>2229.9389999999999</v>
      </c>
      <c r="M629" s="114">
        <v>0</v>
      </c>
      <c r="N629" s="135">
        <v>139.33510000000001</v>
      </c>
      <c r="O629" s="135">
        <v>146.34350000000001</v>
      </c>
      <c r="P629" s="135">
        <v>153.7302</v>
      </c>
      <c r="Q629" s="135">
        <v>170.398</v>
      </c>
      <c r="R629" s="137">
        <v>1.1100000000000001</v>
      </c>
      <c r="S629" s="120">
        <v>0</v>
      </c>
      <c r="T629" s="120">
        <v>2998395</v>
      </c>
      <c r="U629" s="120">
        <v>0</v>
      </c>
      <c r="V629" s="114">
        <f t="shared" si="20"/>
        <v>2998395</v>
      </c>
      <c r="W629" s="114">
        <f t="shared" si="21"/>
        <v>2998395</v>
      </c>
    </row>
    <row r="630" spans="1:23">
      <c r="A630" s="122" t="s">
        <v>1093</v>
      </c>
      <c r="B630" s="124">
        <v>236.49700000000001</v>
      </c>
      <c r="C630" s="124">
        <v>229.91900000000001</v>
      </c>
      <c r="D630" s="124">
        <v>226.51400000000001</v>
      </c>
      <c r="E630" s="124">
        <v>246.46100000000001</v>
      </c>
      <c r="F630" s="124">
        <v>44.14</v>
      </c>
      <c r="G630" s="124">
        <v>46.106999999999999</v>
      </c>
      <c r="H630" s="124">
        <v>49.246000000000002</v>
      </c>
      <c r="I630" s="124">
        <v>45.593600000000002</v>
      </c>
      <c r="J630" s="134">
        <v>20547262</v>
      </c>
      <c r="K630" s="134">
        <v>22770342</v>
      </c>
      <c r="L630" s="124">
        <v>446.28699999999998</v>
      </c>
      <c r="M630" s="134">
        <v>24513</v>
      </c>
      <c r="N630" s="135">
        <v>27.139099999999999</v>
      </c>
      <c r="O630" s="135">
        <v>27.716999999999999</v>
      </c>
      <c r="P630" s="135">
        <v>29.285699999999999</v>
      </c>
      <c r="Q630" s="135">
        <v>26.7653</v>
      </c>
      <c r="R630" s="137">
        <v>1.05</v>
      </c>
      <c r="S630" s="120">
        <v>31494</v>
      </c>
      <c r="T630" s="120">
        <v>301256</v>
      </c>
      <c r="U630" s="120">
        <v>0</v>
      </c>
      <c r="V630" s="114">
        <f t="shared" si="20"/>
        <v>301256</v>
      </c>
      <c r="W630" s="114">
        <f t="shared" si="21"/>
        <v>332750</v>
      </c>
    </row>
    <row r="631" spans="1:23">
      <c r="A631" s="122" t="s">
        <v>1513</v>
      </c>
      <c r="B631" s="124">
        <v>1517.624</v>
      </c>
      <c r="C631" s="124">
        <v>1549.6279999999999</v>
      </c>
      <c r="D631" s="124">
        <v>1507.5519999999999</v>
      </c>
      <c r="E631" s="124">
        <v>1507.1310000000001</v>
      </c>
      <c r="F631" s="124">
        <v>255.39240000000001</v>
      </c>
      <c r="G631" s="124">
        <v>252.79650000000001</v>
      </c>
      <c r="H631" s="124">
        <v>253.94579999999999</v>
      </c>
      <c r="I631" s="124">
        <v>266.2253</v>
      </c>
      <c r="J631" s="134">
        <v>823594074</v>
      </c>
      <c r="K631" s="134">
        <v>844240724</v>
      </c>
      <c r="L631" s="124">
        <v>2153.4050000000002</v>
      </c>
      <c r="M631" s="114">
        <v>0</v>
      </c>
      <c r="N631" s="135">
        <v>149.9684</v>
      </c>
      <c r="O631" s="135">
        <v>157.80770000000001</v>
      </c>
      <c r="P631" s="135">
        <v>156.93129999999999</v>
      </c>
      <c r="Q631" s="135">
        <v>133.39779999999999</v>
      </c>
      <c r="R631" s="137">
        <v>1.05</v>
      </c>
      <c r="S631" s="120">
        <v>0</v>
      </c>
      <c r="T631" s="120">
        <v>12277226</v>
      </c>
      <c r="U631" s="120">
        <v>0</v>
      </c>
      <c r="V631" s="114">
        <f t="shared" si="20"/>
        <v>12277226</v>
      </c>
      <c r="W631" s="114">
        <f t="shared" si="21"/>
        <v>12277226</v>
      </c>
    </row>
    <row r="632" spans="1:23">
      <c r="A632" s="122" t="s">
        <v>1902</v>
      </c>
      <c r="B632" s="124">
        <v>2107.2620000000002</v>
      </c>
      <c r="C632" s="124">
        <v>2127.08</v>
      </c>
      <c r="D632" s="124">
        <v>2149.7330000000002</v>
      </c>
      <c r="E632" s="124">
        <v>2143.9059999999999</v>
      </c>
      <c r="F632" s="124">
        <v>337.11829999999998</v>
      </c>
      <c r="G632" s="124">
        <v>350.43110000000001</v>
      </c>
      <c r="H632" s="124">
        <v>344.48050000000001</v>
      </c>
      <c r="I632" s="124">
        <v>348.92939999999999</v>
      </c>
      <c r="J632" s="134">
        <v>220671107</v>
      </c>
      <c r="K632" s="134">
        <v>243960557</v>
      </c>
      <c r="L632" s="124">
        <v>3182.2</v>
      </c>
      <c r="M632" s="134">
        <v>103177</v>
      </c>
      <c r="N632" s="135">
        <v>222.46510000000001</v>
      </c>
      <c r="O632" s="135">
        <v>226.46799999999999</v>
      </c>
      <c r="P632" s="135">
        <v>219.9873</v>
      </c>
      <c r="Q632" s="135">
        <v>218.52959999999999</v>
      </c>
      <c r="R632" s="137">
        <v>1.06</v>
      </c>
      <c r="S632" s="120">
        <v>110638</v>
      </c>
      <c r="T632" s="120">
        <v>3585157</v>
      </c>
      <c r="U632" s="120">
        <v>0</v>
      </c>
      <c r="V632" s="114">
        <f t="shared" si="20"/>
        <v>3585157</v>
      </c>
      <c r="W632" s="114">
        <f t="shared" si="21"/>
        <v>3695795</v>
      </c>
    </row>
    <row r="633" spans="1:23">
      <c r="A633" s="122" t="s">
        <v>1903</v>
      </c>
      <c r="B633" s="124">
        <v>373.83800000000002</v>
      </c>
      <c r="C633" s="124">
        <v>362.87799999999999</v>
      </c>
      <c r="D633" s="124">
        <v>351.91899999999998</v>
      </c>
      <c r="E633" s="124">
        <v>346.08800000000002</v>
      </c>
      <c r="F633" s="124">
        <v>69.099500000000006</v>
      </c>
      <c r="G633" s="124">
        <v>66.049800000000005</v>
      </c>
      <c r="H633" s="124">
        <v>65.678399999999996</v>
      </c>
      <c r="I633" s="124">
        <v>61.526000000000003</v>
      </c>
      <c r="J633" s="134">
        <v>94687590</v>
      </c>
      <c r="K633" s="134">
        <v>97666648</v>
      </c>
      <c r="L633" s="124">
        <v>615.54300000000001</v>
      </c>
      <c r="M633" s="114">
        <v>0</v>
      </c>
      <c r="N633" s="135">
        <v>44.551000000000002</v>
      </c>
      <c r="O633" s="135">
        <v>44.129899999999999</v>
      </c>
      <c r="P633" s="135">
        <v>44.214300000000001</v>
      </c>
      <c r="Q633" s="135">
        <v>38.856200000000001</v>
      </c>
      <c r="R633" s="137">
        <v>1.07</v>
      </c>
      <c r="S633" s="120">
        <v>0</v>
      </c>
      <c r="T633" s="120">
        <v>1426485</v>
      </c>
      <c r="U633" s="120">
        <v>0</v>
      </c>
      <c r="V633" s="114">
        <f t="shared" si="20"/>
        <v>1426485</v>
      </c>
      <c r="W633" s="114">
        <f t="shared" si="21"/>
        <v>1426485</v>
      </c>
    </row>
    <row r="634" spans="1:23">
      <c r="A634" s="122" t="s">
        <v>2926</v>
      </c>
      <c r="B634" s="124">
        <v>137.31100000000001</v>
      </c>
      <c r="C634" s="124">
        <v>135.67599999999999</v>
      </c>
      <c r="D634" s="124">
        <v>144.01</v>
      </c>
      <c r="E634" s="124">
        <v>149.26300000000001</v>
      </c>
      <c r="F634" s="124">
        <v>29.093299999999999</v>
      </c>
      <c r="G634" s="124">
        <v>30.535799999999998</v>
      </c>
      <c r="H634" s="124">
        <v>33</v>
      </c>
      <c r="I634" s="124">
        <v>31.3826</v>
      </c>
      <c r="J634" s="134">
        <v>103955615</v>
      </c>
      <c r="K634" s="134">
        <v>105557465</v>
      </c>
      <c r="L634" s="124">
        <v>265.733</v>
      </c>
      <c r="M634" s="114">
        <v>0</v>
      </c>
      <c r="N634" s="135">
        <v>20.0596</v>
      </c>
      <c r="O634" s="135">
        <v>20.764700000000001</v>
      </c>
      <c r="P634" s="135">
        <v>22.244</v>
      </c>
      <c r="Q634" s="135">
        <v>21.382400000000001</v>
      </c>
      <c r="R634" s="137">
        <v>1.08</v>
      </c>
      <c r="S634" s="120">
        <v>0</v>
      </c>
      <c r="T634" s="120">
        <v>1667644</v>
      </c>
      <c r="U634" s="120">
        <v>0</v>
      </c>
      <c r="V634" s="114">
        <f t="shared" si="20"/>
        <v>1667644</v>
      </c>
      <c r="W634" s="114">
        <f t="shared" si="21"/>
        <v>1667644</v>
      </c>
    </row>
    <row r="635" spans="1:23">
      <c r="A635" s="122" t="s">
        <v>2927</v>
      </c>
      <c r="B635" s="124">
        <v>92.503</v>
      </c>
      <c r="C635" s="124">
        <v>94.468999999999994</v>
      </c>
      <c r="D635" s="124">
        <v>103.52</v>
      </c>
      <c r="E635" s="124">
        <v>100.652</v>
      </c>
      <c r="F635" s="124">
        <v>26.387799999999999</v>
      </c>
      <c r="G635" s="124">
        <v>25.387799999999999</v>
      </c>
      <c r="H635" s="124">
        <v>25.906500000000001</v>
      </c>
      <c r="I635" s="124">
        <v>26.387799999999999</v>
      </c>
      <c r="J635" s="134">
        <v>74825674</v>
      </c>
      <c r="K635" s="134">
        <v>76204760</v>
      </c>
      <c r="L635" s="124">
        <v>240.44499999999999</v>
      </c>
      <c r="M635" s="114">
        <v>0</v>
      </c>
      <c r="N635" s="135">
        <v>18.9634</v>
      </c>
      <c r="O635" s="135">
        <v>17.9635</v>
      </c>
      <c r="P635" s="135">
        <v>18.000800000000002</v>
      </c>
      <c r="Q635" s="135">
        <v>18.482099999999999</v>
      </c>
      <c r="R635" s="137">
        <v>1.08</v>
      </c>
      <c r="S635" s="120">
        <v>0</v>
      </c>
      <c r="T635" s="120">
        <v>1214555</v>
      </c>
      <c r="U635" s="120">
        <v>0</v>
      </c>
      <c r="V635" s="114">
        <f t="shared" si="20"/>
        <v>1214555</v>
      </c>
      <c r="W635" s="114">
        <f t="shared" si="21"/>
        <v>1214555</v>
      </c>
    </row>
    <row r="636" spans="1:23">
      <c r="A636" s="122" t="s">
        <v>3056</v>
      </c>
      <c r="B636" s="124">
        <v>40.435000000000002</v>
      </c>
      <c r="C636" s="124">
        <v>49.253999999999998</v>
      </c>
      <c r="D636" s="124">
        <v>59.298999999999999</v>
      </c>
      <c r="E636" s="124">
        <v>57.655999999999999</v>
      </c>
      <c r="F636" s="124">
        <v>17.2743</v>
      </c>
      <c r="G636" s="124">
        <v>19.826599999999999</v>
      </c>
      <c r="H636" s="124">
        <v>18.282900000000001</v>
      </c>
      <c r="I636" s="124">
        <v>17.959800000000001</v>
      </c>
      <c r="J636" s="134">
        <v>90093650</v>
      </c>
      <c r="K636" s="134">
        <v>91225510</v>
      </c>
      <c r="L636" s="124">
        <v>103.065</v>
      </c>
      <c r="M636" s="114">
        <v>0</v>
      </c>
      <c r="N636" s="135">
        <v>8.9998000000000005</v>
      </c>
      <c r="O636" s="135">
        <v>11.0001</v>
      </c>
      <c r="P636" s="135">
        <v>10.5001</v>
      </c>
      <c r="Q636" s="135">
        <v>10.4999</v>
      </c>
      <c r="R636" s="137">
        <v>1.08</v>
      </c>
      <c r="S636" s="120">
        <v>0</v>
      </c>
      <c r="T636" s="120">
        <v>1511299</v>
      </c>
      <c r="U636" s="120">
        <v>0</v>
      </c>
      <c r="V636" s="114">
        <f t="shared" si="20"/>
        <v>1511299</v>
      </c>
      <c r="W636" s="114">
        <f t="shared" si="21"/>
        <v>1511299</v>
      </c>
    </row>
    <row r="637" spans="1:23">
      <c r="A637" s="122" t="s">
        <v>947</v>
      </c>
      <c r="B637" s="124">
        <v>1167.046</v>
      </c>
      <c r="C637" s="124">
        <v>1133.386</v>
      </c>
      <c r="D637" s="124">
        <v>1099.1579999999999</v>
      </c>
      <c r="E637" s="124">
        <v>1069.049</v>
      </c>
      <c r="F637" s="124">
        <v>183.4254</v>
      </c>
      <c r="G637" s="124">
        <v>175.54839999999999</v>
      </c>
      <c r="H637" s="124">
        <v>167.14009999999999</v>
      </c>
      <c r="I637" s="124">
        <v>171.11250000000001</v>
      </c>
      <c r="J637" s="134">
        <v>305185083</v>
      </c>
      <c r="K637" s="134">
        <v>322688353</v>
      </c>
      <c r="L637" s="124">
        <v>1673.3389999999999</v>
      </c>
      <c r="M637" s="114">
        <v>0</v>
      </c>
      <c r="N637" s="135">
        <v>118.8918</v>
      </c>
      <c r="O637" s="135">
        <v>110.47669999999999</v>
      </c>
      <c r="P637" s="135">
        <v>103.31870000000001</v>
      </c>
      <c r="Q637" s="135">
        <v>104.52930000000001</v>
      </c>
      <c r="R637" s="137">
        <v>1.06</v>
      </c>
      <c r="S637" s="120">
        <v>0</v>
      </c>
      <c r="T637" s="120">
        <v>4341721</v>
      </c>
      <c r="U637" s="120">
        <v>0</v>
      </c>
      <c r="V637" s="114">
        <f t="shared" si="20"/>
        <v>4341721</v>
      </c>
      <c r="W637" s="114">
        <f t="shared" si="21"/>
        <v>4341721</v>
      </c>
    </row>
    <row r="638" spans="1:23">
      <c r="A638" s="122" t="s">
        <v>95</v>
      </c>
      <c r="B638" s="124">
        <v>728.52</v>
      </c>
      <c r="C638" s="124">
        <v>714.49800000000005</v>
      </c>
      <c r="D638" s="124">
        <v>710.13300000000004</v>
      </c>
      <c r="E638" s="124">
        <v>690.46199999999999</v>
      </c>
      <c r="F638" s="124">
        <v>133.06829999999999</v>
      </c>
      <c r="G638" s="124">
        <v>132.06829999999999</v>
      </c>
      <c r="H638" s="124">
        <v>132.42250000000001</v>
      </c>
      <c r="I638" s="124">
        <v>126.2727</v>
      </c>
      <c r="J638" s="134">
        <v>334809968</v>
      </c>
      <c r="K638" s="134">
        <v>343468928</v>
      </c>
      <c r="L638" s="124">
        <v>1204.3789999999999</v>
      </c>
      <c r="M638" s="134">
        <v>252476</v>
      </c>
      <c r="N638" s="135">
        <v>89</v>
      </c>
      <c r="O638" s="135">
        <v>86.000500000000002</v>
      </c>
      <c r="P638" s="135">
        <v>68.000299999999996</v>
      </c>
      <c r="Q638" s="135">
        <v>79.266599999999997</v>
      </c>
      <c r="R638" s="137">
        <v>1.05</v>
      </c>
      <c r="S638" s="120">
        <v>250212</v>
      </c>
      <c r="T638" s="120">
        <v>4637679</v>
      </c>
      <c r="U638" s="120">
        <v>0</v>
      </c>
      <c r="V638" s="114">
        <f t="shared" si="20"/>
        <v>4637679</v>
      </c>
      <c r="W638" s="114">
        <f t="shared" si="21"/>
        <v>4887891</v>
      </c>
    </row>
    <row r="639" spans="1:23">
      <c r="A639" s="122" t="s">
        <v>96</v>
      </c>
      <c r="B639" s="124">
        <v>1571.7929999999999</v>
      </c>
      <c r="C639" s="124">
        <v>1579.8710000000001</v>
      </c>
      <c r="D639" s="124">
        <v>1685.1780000000001</v>
      </c>
      <c r="E639" s="124">
        <v>1750.932</v>
      </c>
      <c r="F639" s="124">
        <v>266.02100000000002</v>
      </c>
      <c r="G639" s="124">
        <v>281.88729999999998</v>
      </c>
      <c r="H639" s="124">
        <v>314.24160000000001</v>
      </c>
      <c r="I639" s="124">
        <v>326.70659999999998</v>
      </c>
      <c r="J639" s="134">
        <v>1105796158</v>
      </c>
      <c r="K639" s="134">
        <v>1151898957</v>
      </c>
      <c r="L639" s="124">
        <v>2369.4340000000002</v>
      </c>
      <c r="M639" s="134">
        <v>2031255</v>
      </c>
      <c r="N639" s="135">
        <v>164.90369999999999</v>
      </c>
      <c r="O639" s="135">
        <v>176.39709999999999</v>
      </c>
      <c r="P639" s="135">
        <v>197.5652</v>
      </c>
      <c r="Q639" s="135">
        <v>210.17869999999999</v>
      </c>
      <c r="R639" s="137">
        <v>1.05</v>
      </c>
      <c r="S639" s="120">
        <v>1531431</v>
      </c>
      <c r="T639" s="120">
        <v>19027497</v>
      </c>
      <c r="U639" s="120">
        <v>0</v>
      </c>
      <c r="V639" s="114">
        <f t="shared" si="20"/>
        <v>19027497</v>
      </c>
      <c r="W639" s="114">
        <f t="shared" si="21"/>
        <v>20558928</v>
      </c>
    </row>
    <row r="640" spans="1:23">
      <c r="A640" s="122" t="s">
        <v>2607</v>
      </c>
      <c r="B640" s="124">
        <v>27368.118999999999</v>
      </c>
      <c r="C640" s="124">
        <v>27062.021000000001</v>
      </c>
      <c r="D640" s="124">
        <v>26993.191999999999</v>
      </c>
      <c r="E640" s="124">
        <v>26825.69</v>
      </c>
      <c r="F640" s="124">
        <v>3509.1118000000001</v>
      </c>
      <c r="G640" s="124">
        <v>3583.2026000000001</v>
      </c>
      <c r="H640" s="124">
        <v>3582.6918999999998</v>
      </c>
      <c r="I640" s="124">
        <v>3592.6365999999998</v>
      </c>
      <c r="J640" s="134">
        <v>5573651392</v>
      </c>
      <c r="K640" s="134">
        <v>5905343594</v>
      </c>
      <c r="L640" s="124">
        <v>35772.156000000003</v>
      </c>
      <c r="M640" s="134">
        <v>4710935</v>
      </c>
      <c r="N640" s="135">
        <v>2596.4002</v>
      </c>
      <c r="O640" s="135">
        <v>2636.9958999999999</v>
      </c>
      <c r="P640" s="135">
        <v>2640.0473000000002</v>
      </c>
      <c r="Q640" s="135">
        <v>2590.9938000000002</v>
      </c>
      <c r="R640" s="137">
        <v>1.1100000000000001</v>
      </c>
      <c r="S640" s="120">
        <v>6068836</v>
      </c>
      <c r="T640" s="120">
        <v>86181759</v>
      </c>
      <c r="U640" s="120">
        <v>0</v>
      </c>
      <c r="V640" s="114">
        <f t="shared" si="20"/>
        <v>86181759</v>
      </c>
      <c r="W640" s="114">
        <f t="shared" si="21"/>
        <v>92250595</v>
      </c>
    </row>
    <row r="641" spans="1:23">
      <c r="A641" s="122" t="s">
        <v>2764</v>
      </c>
      <c r="B641" s="124">
        <v>664.21699999999998</v>
      </c>
      <c r="C641" s="124">
        <v>670.57600000000002</v>
      </c>
      <c r="D641" s="124">
        <v>669.35</v>
      </c>
      <c r="E641" s="124">
        <v>679.13499999999999</v>
      </c>
      <c r="F641" s="124">
        <v>91.914199999999994</v>
      </c>
      <c r="G641" s="124">
        <v>93.845799999999997</v>
      </c>
      <c r="H641" s="124">
        <v>90.885599999999997</v>
      </c>
      <c r="I641" s="124">
        <v>91.159899999999993</v>
      </c>
      <c r="J641" s="134">
        <v>81810259</v>
      </c>
      <c r="K641" s="134">
        <v>88122202</v>
      </c>
      <c r="L641" s="124">
        <v>1116.92</v>
      </c>
      <c r="M641" s="114">
        <v>0</v>
      </c>
      <c r="N641" s="135">
        <v>70.092399999999998</v>
      </c>
      <c r="O641" s="135">
        <v>72.958299999999994</v>
      </c>
      <c r="P641" s="135">
        <v>71.502700000000004</v>
      </c>
      <c r="Q641" s="135">
        <v>72.504499999999993</v>
      </c>
      <c r="R641" s="137">
        <v>1.04</v>
      </c>
      <c r="S641" s="120">
        <v>0</v>
      </c>
      <c r="T641" s="120">
        <v>1299227</v>
      </c>
      <c r="U641" s="120">
        <v>0</v>
      </c>
      <c r="V641" s="114">
        <f t="shared" si="20"/>
        <v>1299227</v>
      </c>
      <c r="W641" s="114">
        <f t="shared" si="21"/>
        <v>1299227</v>
      </c>
    </row>
    <row r="642" spans="1:23">
      <c r="A642" s="122" t="s">
        <v>2765</v>
      </c>
      <c r="B642" s="124">
        <v>1336.442</v>
      </c>
      <c r="C642" s="124">
        <v>1293.51</v>
      </c>
      <c r="D642" s="124">
        <v>1268.1500000000001</v>
      </c>
      <c r="E642" s="124">
        <v>1277.9059999999999</v>
      </c>
      <c r="F642" s="124">
        <v>239.77440000000001</v>
      </c>
      <c r="G642" s="124">
        <v>236.55629999999999</v>
      </c>
      <c r="H642" s="124">
        <v>219.05350000000001</v>
      </c>
      <c r="I642" s="124">
        <v>215.96270000000001</v>
      </c>
      <c r="J642" s="134">
        <v>196067348</v>
      </c>
      <c r="K642" s="134">
        <v>213489638</v>
      </c>
      <c r="L642" s="124">
        <v>1933.9760000000001</v>
      </c>
      <c r="M642" s="114">
        <v>0</v>
      </c>
      <c r="N642" s="135">
        <v>157.92189999999999</v>
      </c>
      <c r="O642" s="135">
        <v>149.41579999999999</v>
      </c>
      <c r="P642" s="135">
        <v>142.70359999999999</v>
      </c>
      <c r="Q642" s="135">
        <v>141.47280000000001</v>
      </c>
      <c r="R642" s="137">
        <v>1.07</v>
      </c>
      <c r="S642" s="120">
        <v>474684</v>
      </c>
      <c r="T642" s="120">
        <v>2989481</v>
      </c>
      <c r="U642" s="120">
        <v>0</v>
      </c>
      <c r="V642" s="114">
        <f t="shared" si="20"/>
        <v>2989481</v>
      </c>
      <c r="W642" s="114">
        <f t="shared" si="21"/>
        <v>3464165</v>
      </c>
    </row>
    <row r="643" spans="1:23">
      <c r="A643" s="122" t="s">
        <v>2414</v>
      </c>
      <c r="B643" s="124">
        <v>1852.1890000000001</v>
      </c>
      <c r="C643" s="124">
        <v>1984.1569999999999</v>
      </c>
      <c r="D643" s="124">
        <v>2016.5889999999999</v>
      </c>
      <c r="E643" s="124">
        <v>2180.556</v>
      </c>
      <c r="F643" s="124">
        <v>276.46140000000003</v>
      </c>
      <c r="G643" s="124">
        <v>285.17750000000001</v>
      </c>
      <c r="H643" s="124">
        <v>295.84070000000003</v>
      </c>
      <c r="I643" s="124">
        <v>345.24720000000002</v>
      </c>
      <c r="J643" s="134">
        <v>316828764</v>
      </c>
      <c r="K643" s="134">
        <v>335127456</v>
      </c>
      <c r="L643" s="124">
        <v>3065.2249999999999</v>
      </c>
      <c r="M643" s="134">
        <v>352760</v>
      </c>
      <c r="N643" s="135">
        <v>168.26849999999999</v>
      </c>
      <c r="O643" s="135">
        <v>181.21860000000001</v>
      </c>
      <c r="P643" s="135">
        <v>188.98099999999999</v>
      </c>
      <c r="Q643" s="135">
        <v>210.02359999999999</v>
      </c>
      <c r="R643" s="137">
        <v>1.05</v>
      </c>
      <c r="S643" s="120">
        <v>870350</v>
      </c>
      <c r="T643" s="120">
        <v>5239818</v>
      </c>
      <c r="U643" s="120">
        <v>0</v>
      </c>
      <c r="V643" s="114">
        <f t="shared" si="20"/>
        <v>5239818</v>
      </c>
      <c r="W643" s="114">
        <f t="shared" si="21"/>
        <v>6110168</v>
      </c>
    </row>
    <row r="644" spans="1:23">
      <c r="A644" s="122" t="s">
        <v>1603</v>
      </c>
      <c r="B644" s="124">
        <v>4848.1130000000003</v>
      </c>
      <c r="C644" s="124">
        <v>5010.87</v>
      </c>
      <c r="D644" s="124">
        <v>5065.1559999999999</v>
      </c>
      <c r="E644" s="124">
        <v>5132.7449999999999</v>
      </c>
      <c r="F644" s="124">
        <v>567.67179999999996</v>
      </c>
      <c r="G644" s="124">
        <v>575.33690000000001</v>
      </c>
      <c r="H644" s="124">
        <v>571.59889999999996</v>
      </c>
      <c r="I644" s="124">
        <v>593.9117</v>
      </c>
      <c r="J644" s="134">
        <v>896382455</v>
      </c>
      <c r="K644" s="134">
        <v>945407673</v>
      </c>
      <c r="L644" s="124">
        <v>6386.8459999999995</v>
      </c>
      <c r="M644" s="134">
        <v>1867467</v>
      </c>
      <c r="N644" s="135">
        <v>418.15249999999997</v>
      </c>
      <c r="O644" s="135">
        <v>422.07909999999998</v>
      </c>
      <c r="P644" s="135">
        <v>415.05950000000001</v>
      </c>
      <c r="Q644" s="135">
        <v>423.15980000000002</v>
      </c>
      <c r="R644" s="137">
        <v>1.08</v>
      </c>
      <c r="S644" s="120">
        <v>2323636</v>
      </c>
      <c r="T644" s="120">
        <v>14152170</v>
      </c>
      <c r="U644" s="120">
        <v>0</v>
      </c>
      <c r="V644" s="114">
        <f t="shared" si="20"/>
        <v>14152170</v>
      </c>
      <c r="W644" s="114">
        <f t="shared" si="21"/>
        <v>16475806</v>
      </c>
    </row>
    <row r="645" spans="1:23">
      <c r="A645" s="122" t="s">
        <v>2766</v>
      </c>
      <c r="B645" s="124">
        <v>1227.578</v>
      </c>
      <c r="C645" s="124">
        <v>1134.1769999999999</v>
      </c>
      <c r="D645" s="124">
        <v>1148.8789999999999</v>
      </c>
      <c r="E645" s="124">
        <v>1131.665</v>
      </c>
      <c r="F645" s="124">
        <v>193.53710000000001</v>
      </c>
      <c r="G645" s="124">
        <v>196.0796</v>
      </c>
      <c r="H645" s="124">
        <v>152.1001</v>
      </c>
      <c r="I645" s="124">
        <v>193.65719999999999</v>
      </c>
      <c r="J645" s="134">
        <v>105319060</v>
      </c>
      <c r="K645" s="134">
        <v>114161969</v>
      </c>
      <c r="L645" s="124">
        <v>1790.3820000000001</v>
      </c>
      <c r="M645" s="114">
        <v>0</v>
      </c>
      <c r="N645" s="135">
        <v>126.18040000000001</v>
      </c>
      <c r="O645" s="135">
        <v>127.2244</v>
      </c>
      <c r="P645" s="135">
        <v>119.7193</v>
      </c>
      <c r="Q645" s="135">
        <v>122.89879999999999</v>
      </c>
      <c r="R645" s="137">
        <v>1.05</v>
      </c>
      <c r="S645" s="120">
        <v>0</v>
      </c>
      <c r="T645" s="120">
        <v>1605462</v>
      </c>
      <c r="U645" s="120">
        <v>0</v>
      </c>
      <c r="V645" s="114">
        <f t="shared" ref="V645:V708" si="22">T645+U645</f>
        <v>1605462</v>
      </c>
      <c r="W645" s="114">
        <f t="shared" ref="W645:W708" si="23">V645+S645</f>
        <v>1605462</v>
      </c>
    </row>
    <row r="646" spans="1:23">
      <c r="A646" s="122" t="s">
        <v>538</v>
      </c>
      <c r="B646" s="124">
        <v>1157.0029999999999</v>
      </c>
      <c r="C646" s="124">
        <v>1141.741</v>
      </c>
      <c r="D646" s="124">
        <v>1133.587</v>
      </c>
      <c r="E646" s="124">
        <v>1188.5160000000001</v>
      </c>
      <c r="F646" s="124">
        <v>146.6343</v>
      </c>
      <c r="G646" s="124">
        <v>150.5324</v>
      </c>
      <c r="H646" s="124">
        <v>159.49950000000001</v>
      </c>
      <c r="I646" s="124">
        <v>165.5676</v>
      </c>
      <c r="J646" s="134">
        <v>96649105</v>
      </c>
      <c r="K646" s="134">
        <v>105245828</v>
      </c>
      <c r="L646" s="124">
        <v>1694.114</v>
      </c>
      <c r="M646" s="134">
        <v>68097</v>
      </c>
      <c r="N646" s="135">
        <v>100.93600000000001</v>
      </c>
      <c r="O646" s="135">
        <v>102.53489999999999</v>
      </c>
      <c r="P646" s="135">
        <v>111.3952</v>
      </c>
      <c r="Q646" s="135">
        <v>113.8528</v>
      </c>
      <c r="R646" s="137">
        <v>1.04</v>
      </c>
      <c r="S646" s="120">
        <v>213544</v>
      </c>
      <c r="T646" s="120">
        <v>1452080</v>
      </c>
      <c r="U646" s="120">
        <v>0</v>
      </c>
      <c r="V646" s="114">
        <f t="shared" si="22"/>
        <v>1452080</v>
      </c>
      <c r="W646" s="114">
        <f t="shared" si="23"/>
        <v>1665624</v>
      </c>
    </row>
    <row r="647" spans="1:23">
      <c r="A647" s="122" t="s">
        <v>775</v>
      </c>
      <c r="B647" s="124">
        <v>790.54</v>
      </c>
      <c r="C647" s="124">
        <v>786.13099999999997</v>
      </c>
      <c r="D647" s="124">
        <v>775.77700000000004</v>
      </c>
      <c r="E647" s="124">
        <v>775.94899999999996</v>
      </c>
      <c r="F647" s="124">
        <v>113.4198</v>
      </c>
      <c r="G647" s="124">
        <v>106.3934</v>
      </c>
      <c r="H647" s="124">
        <v>105.1952</v>
      </c>
      <c r="I647" s="124">
        <v>107.4679</v>
      </c>
      <c r="J647" s="134">
        <v>109316692</v>
      </c>
      <c r="K647" s="134">
        <v>116472427</v>
      </c>
      <c r="L647" s="124">
        <v>1219.5740000000001</v>
      </c>
      <c r="M647" s="134">
        <v>94271</v>
      </c>
      <c r="N647" s="135">
        <v>82.624099999999999</v>
      </c>
      <c r="O647" s="135">
        <v>77.806200000000004</v>
      </c>
      <c r="P647" s="135">
        <v>75.601699999999994</v>
      </c>
      <c r="Q647" s="135">
        <v>77.685599999999994</v>
      </c>
      <c r="R647" s="137">
        <v>1.04</v>
      </c>
      <c r="S647" s="120">
        <v>128219</v>
      </c>
      <c r="T647" s="120">
        <v>1552654</v>
      </c>
      <c r="U647" s="120">
        <v>0</v>
      </c>
      <c r="V647" s="114">
        <f t="shared" si="22"/>
        <v>1552654</v>
      </c>
      <c r="W647" s="114">
        <f t="shared" si="23"/>
        <v>1680873</v>
      </c>
    </row>
    <row r="648" spans="1:23">
      <c r="A648" s="122" t="s">
        <v>2679</v>
      </c>
      <c r="B648" s="124">
        <v>377.79199999999997</v>
      </c>
      <c r="C648" s="124">
        <v>360.154</v>
      </c>
      <c r="D648" s="124">
        <v>349.27699999999999</v>
      </c>
      <c r="E648" s="124">
        <v>338.7</v>
      </c>
      <c r="F648" s="124">
        <v>75.235399999999998</v>
      </c>
      <c r="G648" s="124">
        <v>71.448899999999995</v>
      </c>
      <c r="H648" s="124">
        <v>71.020200000000003</v>
      </c>
      <c r="I648" s="124">
        <v>65.607200000000006</v>
      </c>
      <c r="J648" s="134">
        <v>50645952</v>
      </c>
      <c r="K648" s="134">
        <v>53189257</v>
      </c>
      <c r="L648" s="124">
        <v>696.08799999999997</v>
      </c>
      <c r="M648" s="134">
        <v>53221</v>
      </c>
      <c r="N648" s="135">
        <v>44.648200000000003</v>
      </c>
      <c r="O648" s="135">
        <v>42.530500000000004</v>
      </c>
      <c r="P648" s="135">
        <v>43.821100000000001</v>
      </c>
      <c r="Q648" s="135">
        <v>41.447899999999997</v>
      </c>
      <c r="R648" s="137">
        <v>1.07</v>
      </c>
      <c r="S648" s="120">
        <v>53649</v>
      </c>
      <c r="T648" s="120">
        <v>749873</v>
      </c>
      <c r="U648" s="120">
        <v>0</v>
      </c>
      <c r="V648" s="114">
        <f t="shared" si="22"/>
        <v>749873</v>
      </c>
      <c r="W648" s="114">
        <f t="shared" si="23"/>
        <v>803522</v>
      </c>
    </row>
    <row r="649" spans="1:23">
      <c r="A649" s="122" t="s">
        <v>2680</v>
      </c>
      <c r="B649" s="124">
        <v>731.495</v>
      </c>
      <c r="C649" s="124">
        <v>711.86599999999999</v>
      </c>
      <c r="D649" s="124">
        <v>690.36800000000005</v>
      </c>
      <c r="E649" s="124">
        <v>694</v>
      </c>
      <c r="F649" s="124">
        <v>128.35310000000001</v>
      </c>
      <c r="G649" s="124">
        <v>126.44880000000001</v>
      </c>
      <c r="H649" s="124">
        <v>125.66849999999999</v>
      </c>
      <c r="I649" s="124">
        <v>124.79689999999999</v>
      </c>
      <c r="J649" s="134">
        <v>75820585</v>
      </c>
      <c r="K649" s="134">
        <v>83035005</v>
      </c>
      <c r="L649" s="124">
        <v>1312.5619999999999</v>
      </c>
      <c r="M649" s="114">
        <v>0</v>
      </c>
      <c r="N649" s="135">
        <v>86.961699999999993</v>
      </c>
      <c r="O649" s="135">
        <v>82.08</v>
      </c>
      <c r="P649" s="135">
        <v>80.963899999999995</v>
      </c>
      <c r="Q649" s="135">
        <v>82.962000000000003</v>
      </c>
      <c r="R649" s="137">
        <v>1.07</v>
      </c>
      <c r="S649" s="120">
        <v>0</v>
      </c>
      <c r="T649" s="120">
        <v>1174158</v>
      </c>
      <c r="U649" s="120">
        <v>0</v>
      </c>
      <c r="V649" s="114">
        <f t="shared" si="22"/>
        <v>1174158</v>
      </c>
      <c r="W649" s="114">
        <f t="shared" si="23"/>
        <v>1174158</v>
      </c>
    </row>
    <row r="650" spans="1:23">
      <c r="A650" s="122" t="s">
        <v>2681</v>
      </c>
      <c r="B650" s="124">
        <v>200.12299999999999</v>
      </c>
      <c r="C650" s="124">
        <v>199.745</v>
      </c>
      <c r="D650" s="124">
        <v>197.45</v>
      </c>
      <c r="E650" s="124">
        <v>191.98099999999999</v>
      </c>
      <c r="F650" s="124">
        <v>35.5</v>
      </c>
      <c r="G650" s="124">
        <v>33.535699999999999</v>
      </c>
      <c r="H650" s="124">
        <v>35.299999999999997</v>
      </c>
      <c r="I650" s="124">
        <v>35.1417</v>
      </c>
      <c r="J650" s="134">
        <v>27525237</v>
      </c>
      <c r="K650" s="134">
        <v>29224537</v>
      </c>
      <c r="L650" s="124">
        <v>335.71899999999999</v>
      </c>
      <c r="M650" s="114">
        <v>0</v>
      </c>
      <c r="N650" s="135">
        <v>24.374700000000001</v>
      </c>
      <c r="O650" s="135">
        <v>23.9618</v>
      </c>
      <c r="P650" s="135">
        <v>23.733699999999999</v>
      </c>
      <c r="Q650" s="135">
        <v>23.2059</v>
      </c>
      <c r="R650" s="137">
        <v>1.07</v>
      </c>
      <c r="S650" s="120">
        <v>0</v>
      </c>
      <c r="T650" s="120">
        <v>451250</v>
      </c>
      <c r="U650" s="120">
        <v>0</v>
      </c>
      <c r="V650" s="114">
        <f t="shared" si="22"/>
        <v>451250</v>
      </c>
      <c r="W650" s="114">
        <f t="shared" si="23"/>
        <v>451250</v>
      </c>
    </row>
    <row r="651" spans="1:23">
      <c r="A651" s="122" t="s">
        <v>1651</v>
      </c>
      <c r="B651" s="124">
        <v>197.05600000000001</v>
      </c>
      <c r="C651" s="124">
        <v>192.35900000000001</v>
      </c>
      <c r="D651" s="124">
        <v>186.55</v>
      </c>
      <c r="E651" s="124">
        <v>165.404</v>
      </c>
      <c r="F651" s="124">
        <v>43.514699999999998</v>
      </c>
      <c r="G651" s="124">
        <v>41</v>
      </c>
      <c r="H651" s="124">
        <v>36.369</v>
      </c>
      <c r="I651" s="124">
        <v>30.512</v>
      </c>
      <c r="J651" s="134">
        <v>27331082</v>
      </c>
      <c r="K651" s="134">
        <v>29428022</v>
      </c>
      <c r="L651" s="124">
        <v>294.30599999999998</v>
      </c>
      <c r="M651" s="134">
        <v>21299</v>
      </c>
      <c r="N651" s="135">
        <v>28.616499999999998</v>
      </c>
      <c r="O651" s="135">
        <v>26</v>
      </c>
      <c r="P651" s="135">
        <v>23.919599999999999</v>
      </c>
      <c r="Q651" s="135">
        <v>19.2498</v>
      </c>
      <c r="R651" s="137">
        <v>1.06</v>
      </c>
      <c r="S651" s="120">
        <v>25953</v>
      </c>
      <c r="T651" s="120">
        <v>441275</v>
      </c>
      <c r="U651" s="120">
        <v>0</v>
      </c>
      <c r="V651" s="114">
        <f t="shared" si="22"/>
        <v>441275</v>
      </c>
      <c r="W651" s="114">
        <f t="shared" si="23"/>
        <v>467228</v>
      </c>
    </row>
    <row r="652" spans="1:23">
      <c r="A652" s="122" t="s">
        <v>2389</v>
      </c>
      <c r="B652" s="124">
        <v>1817.9839999999999</v>
      </c>
      <c r="C652" s="124">
        <v>1850.395</v>
      </c>
      <c r="D652" s="124">
        <v>1905.373</v>
      </c>
      <c r="E652" s="124">
        <v>1940.7840000000001</v>
      </c>
      <c r="F652" s="124">
        <v>256.05349999999999</v>
      </c>
      <c r="G652" s="124">
        <v>275.71660000000003</v>
      </c>
      <c r="H652" s="124">
        <v>284.05869999999999</v>
      </c>
      <c r="I652" s="124">
        <v>298.96820000000002</v>
      </c>
      <c r="J652" s="134">
        <v>264323519</v>
      </c>
      <c r="K652" s="134">
        <v>286634590</v>
      </c>
      <c r="L652" s="124">
        <v>2789.3829999999998</v>
      </c>
      <c r="M652" s="134">
        <v>196895</v>
      </c>
      <c r="N652" s="135">
        <v>165.02690000000001</v>
      </c>
      <c r="O652" s="135">
        <v>169.0395</v>
      </c>
      <c r="P652" s="135">
        <v>181.7731</v>
      </c>
      <c r="Q652" s="135">
        <v>192.95140000000001</v>
      </c>
      <c r="R652" s="137">
        <v>1.07</v>
      </c>
      <c r="S652" s="120">
        <v>505050</v>
      </c>
      <c r="T652" s="120">
        <v>3929581</v>
      </c>
      <c r="U652" s="120">
        <v>0</v>
      </c>
      <c r="V652" s="114">
        <f t="shared" si="22"/>
        <v>3929581</v>
      </c>
      <c r="W652" s="114">
        <f t="shared" si="23"/>
        <v>4434631</v>
      </c>
    </row>
    <row r="653" spans="1:23">
      <c r="A653" s="122" t="s">
        <v>1652</v>
      </c>
      <c r="B653" s="124">
        <v>336.529</v>
      </c>
      <c r="C653" s="124">
        <v>314.30700000000002</v>
      </c>
      <c r="D653" s="124">
        <v>309.85599999999999</v>
      </c>
      <c r="E653" s="124">
        <v>301.27300000000002</v>
      </c>
      <c r="F653" s="124">
        <v>53.790100000000002</v>
      </c>
      <c r="G653" s="124">
        <v>55</v>
      </c>
      <c r="H653" s="124">
        <v>53.9572</v>
      </c>
      <c r="I653" s="124">
        <v>56.288699999999999</v>
      </c>
      <c r="J653" s="134">
        <v>53896407</v>
      </c>
      <c r="K653" s="134">
        <v>57972687</v>
      </c>
      <c r="L653" s="124">
        <v>499.346</v>
      </c>
      <c r="M653" s="114">
        <v>0</v>
      </c>
      <c r="N653" s="135">
        <v>36.615499999999997</v>
      </c>
      <c r="O653" s="135">
        <v>31.6068</v>
      </c>
      <c r="P653" s="135">
        <v>34.958799999999997</v>
      </c>
      <c r="Q653" s="135">
        <v>38.4208</v>
      </c>
      <c r="R653" s="137">
        <v>1.07</v>
      </c>
      <c r="S653" s="120">
        <v>769</v>
      </c>
      <c r="T653" s="120">
        <v>797621</v>
      </c>
      <c r="U653" s="120">
        <v>0</v>
      </c>
      <c r="V653" s="114">
        <f t="shared" si="22"/>
        <v>797621</v>
      </c>
      <c r="W653" s="114">
        <f t="shared" si="23"/>
        <v>798390</v>
      </c>
    </row>
    <row r="654" spans="1:23">
      <c r="A654" s="122" t="s">
        <v>418</v>
      </c>
      <c r="B654" s="124">
        <v>1441.182</v>
      </c>
      <c r="C654" s="124">
        <v>1408.617</v>
      </c>
      <c r="D654" s="124">
        <v>1366.077</v>
      </c>
      <c r="E654" s="124">
        <v>1333.1849999999999</v>
      </c>
      <c r="F654" s="124">
        <v>255.2072</v>
      </c>
      <c r="G654" s="124">
        <v>248.31639999999999</v>
      </c>
      <c r="H654" s="124">
        <v>245.99549999999999</v>
      </c>
      <c r="I654" s="124">
        <v>250.26820000000001</v>
      </c>
      <c r="J654" s="134">
        <v>403557435</v>
      </c>
      <c r="K654" s="134">
        <v>429693295</v>
      </c>
      <c r="L654" s="124">
        <v>2154.2449999999999</v>
      </c>
      <c r="M654" s="134">
        <v>640002</v>
      </c>
      <c r="N654" s="135">
        <v>166.3236</v>
      </c>
      <c r="O654" s="135">
        <v>156.03129999999999</v>
      </c>
      <c r="P654" s="135">
        <v>153.6601</v>
      </c>
      <c r="Q654" s="135">
        <v>159.7861</v>
      </c>
      <c r="R654" s="137">
        <v>1.06</v>
      </c>
      <c r="S654" s="120">
        <v>601616</v>
      </c>
      <c r="T654" s="120">
        <v>4630311</v>
      </c>
      <c r="U654" s="120">
        <v>0</v>
      </c>
      <c r="V654" s="114">
        <f t="shared" si="22"/>
        <v>4630311</v>
      </c>
      <c r="W654" s="114">
        <f t="shared" si="23"/>
        <v>5231927</v>
      </c>
    </row>
    <row r="655" spans="1:23">
      <c r="A655" s="122" t="s">
        <v>419</v>
      </c>
      <c r="B655" s="124">
        <v>817.35500000000002</v>
      </c>
      <c r="C655" s="124">
        <v>788.548</v>
      </c>
      <c r="D655" s="124">
        <v>766.53599999999994</v>
      </c>
      <c r="E655" s="124">
        <v>745.303</v>
      </c>
      <c r="F655" s="124">
        <v>139.78909999999999</v>
      </c>
      <c r="G655" s="124">
        <v>140.94399999999999</v>
      </c>
      <c r="H655" s="124">
        <v>147.9306</v>
      </c>
      <c r="I655" s="124">
        <v>140.17939999999999</v>
      </c>
      <c r="J655" s="134">
        <v>171746112</v>
      </c>
      <c r="K655" s="134">
        <v>180221922</v>
      </c>
      <c r="L655" s="124">
        <v>1347.585</v>
      </c>
      <c r="M655" s="114">
        <v>0</v>
      </c>
      <c r="N655" s="135">
        <v>93.820899999999995</v>
      </c>
      <c r="O655" s="135">
        <v>91.7333</v>
      </c>
      <c r="P655" s="135">
        <v>98.054599999999994</v>
      </c>
      <c r="Q655" s="135">
        <v>92.391400000000004</v>
      </c>
      <c r="R655" s="137">
        <v>1.0900000000000001</v>
      </c>
      <c r="S655" s="120">
        <v>0</v>
      </c>
      <c r="T655" s="120">
        <v>2480659</v>
      </c>
      <c r="U655" s="120">
        <v>0</v>
      </c>
      <c r="V655" s="114">
        <f t="shared" si="22"/>
        <v>2480659</v>
      </c>
      <c r="W655" s="114">
        <f t="shared" si="23"/>
        <v>2480659</v>
      </c>
    </row>
    <row r="656" spans="1:23">
      <c r="A656" s="122" t="s">
        <v>420</v>
      </c>
      <c r="B656" s="124">
        <v>208.833</v>
      </c>
      <c r="C656" s="124">
        <v>209.19399999999999</v>
      </c>
      <c r="D656" s="124">
        <v>205.59</v>
      </c>
      <c r="E656" s="124">
        <v>213.81</v>
      </c>
      <c r="F656" s="124">
        <v>34.7331</v>
      </c>
      <c r="G656" s="124">
        <v>36.5946</v>
      </c>
      <c r="H656" s="124">
        <v>35.558700000000002</v>
      </c>
      <c r="I656" s="124">
        <v>35.751300000000001</v>
      </c>
      <c r="J656" s="134">
        <v>168260369</v>
      </c>
      <c r="K656" s="134">
        <v>169239225</v>
      </c>
      <c r="L656" s="124">
        <v>358.93900000000002</v>
      </c>
      <c r="M656" s="114">
        <v>0</v>
      </c>
      <c r="N656" s="135">
        <v>23.6371</v>
      </c>
      <c r="O656" s="135">
        <v>22.709199999999999</v>
      </c>
      <c r="P656" s="135">
        <v>22.906099999999999</v>
      </c>
      <c r="Q656" s="135">
        <v>23.428100000000001</v>
      </c>
      <c r="R656" s="137">
        <v>1.0900000000000001</v>
      </c>
      <c r="S656" s="120">
        <v>0</v>
      </c>
      <c r="T656" s="120">
        <v>2184555</v>
      </c>
      <c r="U656" s="120">
        <v>0</v>
      </c>
      <c r="V656" s="114">
        <f t="shared" si="22"/>
        <v>2184555</v>
      </c>
      <c r="W656" s="114">
        <f t="shared" si="23"/>
        <v>2184555</v>
      </c>
    </row>
    <row r="657" spans="1:23">
      <c r="A657" s="122" t="s">
        <v>1856</v>
      </c>
      <c r="B657" s="124">
        <v>579.10599999999999</v>
      </c>
      <c r="C657" s="124">
        <v>568.56899999999996</v>
      </c>
      <c r="D657" s="124">
        <v>566.76800000000003</v>
      </c>
      <c r="E657" s="124">
        <v>551.06899999999996</v>
      </c>
      <c r="F657" s="124">
        <v>120.0513</v>
      </c>
      <c r="G657" s="124">
        <v>113.48309999999999</v>
      </c>
      <c r="H657" s="124">
        <v>108.5364</v>
      </c>
      <c r="I657" s="124">
        <v>106.1447</v>
      </c>
      <c r="J657" s="134">
        <v>135850520</v>
      </c>
      <c r="K657" s="134">
        <v>146386289</v>
      </c>
      <c r="L657" s="124">
        <v>1086.94</v>
      </c>
      <c r="M657" s="114">
        <v>0</v>
      </c>
      <c r="N657" s="135">
        <v>75.468999999999994</v>
      </c>
      <c r="O657" s="135">
        <v>70.735600000000005</v>
      </c>
      <c r="P657" s="135">
        <v>65.423400000000001</v>
      </c>
      <c r="Q657" s="135">
        <v>61.979199999999999</v>
      </c>
      <c r="R657" s="137">
        <v>1.05</v>
      </c>
      <c r="S657" s="120">
        <v>0</v>
      </c>
      <c r="T657" s="120">
        <v>2279526</v>
      </c>
      <c r="U657" s="120">
        <v>0</v>
      </c>
      <c r="V657" s="114">
        <f t="shared" si="22"/>
        <v>2279526</v>
      </c>
      <c r="W657" s="114">
        <f t="shared" si="23"/>
        <v>2279526</v>
      </c>
    </row>
    <row r="658" spans="1:23">
      <c r="A658" s="122" t="s">
        <v>1857</v>
      </c>
      <c r="B658" s="124">
        <v>4062.8130000000001</v>
      </c>
      <c r="C658" s="124">
        <v>4088.0929999999998</v>
      </c>
      <c r="D658" s="124">
        <v>4028.98</v>
      </c>
      <c r="E658" s="124">
        <v>3999.2730000000001</v>
      </c>
      <c r="F658" s="124">
        <v>654.56169999999997</v>
      </c>
      <c r="G658" s="124">
        <v>654.18700000000001</v>
      </c>
      <c r="H658" s="124">
        <v>640.92550000000006</v>
      </c>
      <c r="I658" s="124">
        <v>656.95219999999995</v>
      </c>
      <c r="J658" s="134">
        <v>802739132</v>
      </c>
      <c r="K658" s="134">
        <v>837571982</v>
      </c>
      <c r="L658" s="124">
        <v>5500.982</v>
      </c>
      <c r="M658" s="134">
        <v>1283147</v>
      </c>
      <c r="N658" s="135">
        <v>405.28429999999997</v>
      </c>
      <c r="O658" s="135">
        <v>400.95670000000001</v>
      </c>
      <c r="P658" s="135">
        <v>389.69040000000001</v>
      </c>
      <c r="Q658" s="135">
        <v>383.44830000000002</v>
      </c>
      <c r="R658" s="137">
        <v>1.1299999999999999</v>
      </c>
      <c r="S658" s="120">
        <v>1141143</v>
      </c>
      <c r="T658" s="120">
        <v>11346198</v>
      </c>
      <c r="U658" s="120">
        <v>0</v>
      </c>
      <c r="V658" s="114">
        <f t="shared" si="22"/>
        <v>11346198</v>
      </c>
      <c r="W658" s="114">
        <f t="shared" si="23"/>
        <v>12487341</v>
      </c>
    </row>
    <row r="659" spans="1:23">
      <c r="A659" s="122" t="s">
        <v>201</v>
      </c>
      <c r="B659" s="124">
        <v>882.94399999999996</v>
      </c>
      <c r="C659" s="124">
        <v>815.25099999999998</v>
      </c>
      <c r="D659" s="124">
        <v>824.53700000000003</v>
      </c>
      <c r="E659" s="124">
        <v>846.31</v>
      </c>
      <c r="F659" s="124">
        <v>142.44880000000001</v>
      </c>
      <c r="G659" s="124">
        <v>145.48349999999999</v>
      </c>
      <c r="H659" s="124">
        <v>146.505</v>
      </c>
      <c r="I659" s="124">
        <v>144.1841</v>
      </c>
      <c r="J659" s="134">
        <v>317607259</v>
      </c>
      <c r="K659" s="134">
        <v>325178009</v>
      </c>
      <c r="L659" s="124">
        <v>1495.011</v>
      </c>
      <c r="M659" s="114">
        <v>0</v>
      </c>
      <c r="N659" s="135">
        <v>92.486900000000006</v>
      </c>
      <c r="O659" s="135">
        <v>95.501000000000005</v>
      </c>
      <c r="P659" s="135">
        <v>97.361699999999999</v>
      </c>
      <c r="Q659" s="135">
        <v>96.724199999999996</v>
      </c>
      <c r="R659" s="137">
        <v>1.0900000000000001</v>
      </c>
      <c r="S659" s="120">
        <v>0</v>
      </c>
      <c r="T659" s="120">
        <v>4235285</v>
      </c>
      <c r="U659" s="120">
        <v>0</v>
      </c>
      <c r="V659" s="114">
        <f t="shared" si="22"/>
        <v>4235285</v>
      </c>
      <c r="W659" s="114">
        <f t="shared" si="23"/>
        <v>4235285</v>
      </c>
    </row>
    <row r="660" spans="1:23">
      <c r="A660" s="122" t="s">
        <v>2438</v>
      </c>
      <c r="B660" s="124">
        <v>73.138999999999996</v>
      </c>
      <c r="C660" s="124">
        <v>73.709000000000003</v>
      </c>
      <c r="D660" s="124">
        <v>71.483000000000004</v>
      </c>
      <c r="E660" s="124">
        <v>68.528999999999996</v>
      </c>
      <c r="F660" s="124">
        <v>15.9252</v>
      </c>
      <c r="G660" s="124">
        <v>17.962599999999998</v>
      </c>
      <c r="H660" s="124">
        <v>16.962599999999998</v>
      </c>
      <c r="I660" s="124">
        <v>16.962599999999998</v>
      </c>
      <c r="J660" s="134">
        <v>82577506</v>
      </c>
      <c r="K660" s="134">
        <v>85066466</v>
      </c>
      <c r="L660" s="124">
        <v>126.95399999999999</v>
      </c>
      <c r="M660" s="114">
        <v>0</v>
      </c>
      <c r="N660" s="135">
        <v>9.0000999999999998</v>
      </c>
      <c r="O660" s="135">
        <v>9</v>
      </c>
      <c r="P660" s="135">
        <v>9</v>
      </c>
      <c r="Q660" s="135">
        <v>8</v>
      </c>
      <c r="R660" s="137">
        <v>1.1000000000000001</v>
      </c>
      <c r="S660" s="120">
        <v>0</v>
      </c>
      <c r="T660" s="120">
        <v>1199055</v>
      </c>
      <c r="U660" s="120">
        <v>0</v>
      </c>
      <c r="V660" s="114">
        <f t="shared" si="22"/>
        <v>1199055</v>
      </c>
      <c r="W660" s="114">
        <f t="shared" si="23"/>
        <v>1199055</v>
      </c>
    </row>
    <row r="661" spans="1:23">
      <c r="A661" s="122" t="s">
        <v>2439</v>
      </c>
      <c r="B661" s="124">
        <v>1613.5029999999999</v>
      </c>
      <c r="C661" s="124">
        <v>1606.634</v>
      </c>
      <c r="D661" s="124">
        <v>1581.403</v>
      </c>
      <c r="E661" s="124">
        <v>1584.0060000000001</v>
      </c>
      <c r="F661" s="124">
        <v>254.7808</v>
      </c>
      <c r="G661" s="124">
        <v>254.7808</v>
      </c>
      <c r="H661" s="124">
        <v>248.7166</v>
      </c>
      <c r="I661" s="124">
        <v>245.57220000000001</v>
      </c>
      <c r="J661" s="134">
        <v>1258056046</v>
      </c>
      <c r="K661" s="134">
        <v>1269225365</v>
      </c>
      <c r="L661" s="124">
        <v>2188.09</v>
      </c>
      <c r="M661" s="134">
        <v>645620</v>
      </c>
      <c r="N661" s="135">
        <v>167.2321</v>
      </c>
      <c r="O661" s="135">
        <v>165.87379999999999</v>
      </c>
      <c r="P661" s="135">
        <v>162.29480000000001</v>
      </c>
      <c r="Q661" s="135">
        <v>163.9736</v>
      </c>
      <c r="R661" s="137">
        <v>1.1100000000000001</v>
      </c>
      <c r="S661" s="120">
        <v>1065088</v>
      </c>
      <c r="T661" s="120">
        <v>15417639</v>
      </c>
      <c r="U661" s="120">
        <v>0</v>
      </c>
      <c r="V661" s="114">
        <f t="shared" si="22"/>
        <v>15417639</v>
      </c>
      <c r="W661" s="114">
        <f t="shared" si="23"/>
        <v>16482727</v>
      </c>
    </row>
    <row r="662" spans="1:23">
      <c r="A662" s="122" t="s">
        <v>2440</v>
      </c>
      <c r="B662" s="124">
        <v>926.49699999999996</v>
      </c>
      <c r="C662" s="124">
        <v>928.02700000000004</v>
      </c>
      <c r="D662" s="124">
        <v>900.00099999999998</v>
      </c>
      <c r="E662" s="124">
        <v>920.90899999999999</v>
      </c>
      <c r="F662" s="124">
        <v>147.0035</v>
      </c>
      <c r="G662" s="124">
        <v>148.62909999999999</v>
      </c>
      <c r="H662" s="124">
        <v>153.17179999999999</v>
      </c>
      <c r="I662" s="124">
        <v>144.68790000000001</v>
      </c>
      <c r="J662" s="134">
        <v>210808615</v>
      </c>
      <c r="K662" s="134">
        <v>222955165</v>
      </c>
      <c r="L662" s="124">
        <v>1591.0239999999999</v>
      </c>
      <c r="M662" s="114">
        <v>0</v>
      </c>
      <c r="N662" s="135">
        <v>90.254900000000006</v>
      </c>
      <c r="O662" s="135">
        <v>76.518299999999996</v>
      </c>
      <c r="P662" s="135">
        <v>86.410899999999998</v>
      </c>
      <c r="Q662" s="135">
        <v>98.003600000000006</v>
      </c>
      <c r="R662" s="137">
        <v>1.1100000000000001</v>
      </c>
      <c r="S662" s="120">
        <v>0</v>
      </c>
      <c r="T662" s="120">
        <v>3424306</v>
      </c>
      <c r="U662" s="120">
        <v>0</v>
      </c>
      <c r="V662" s="114">
        <f t="shared" si="22"/>
        <v>3424306</v>
      </c>
      <c r="W662" s="114">
        <f t="shared" si="23"/>
        <v>3424306</v>
      </c>
    </row>
    <row r="663" spans="1:23">
      <c r="A663" s="122" t="s">
        <v>2057</v>
      </c>
      <c r="B663" s="124">
        <v>11711.248</v>
      </c>
      <c r="C663" s="124">
        <v>11786.946</v>
      </c>
      <c r="D663" s="124">
        <v>12019.745000000001</v>
      </c>
      <c r="E663" s="124">
        <v>12222.6</v>
      </c>
      <c r="F663" s="124">
        <v>1636.4168</v>
      </c>
      <c r="G663" s="124">
        <v>1690.7055</v>
      </c>
      <c r="H663" s="124">
        <v>1704.9547</v>
      </c>
      <c r="I663" s="124">
        <v>1774.2460000000001</v>
      </c>
      <c r="J663" s="134">
        <v>847404549</v>
      </c>
      <c r="K663" s="134">
        <v>927077090</v>
      </c>
      <c r="L663" s="124">
        <v>16861.337</v>
      </c>
      <c r="M663" s="134">
        <v>149980</v>
      </c>
      <c r="N663" s="135">
        <v>993.4701</v>
      </c>
      <c r="O663" s="135">
        <v>1018.0657</v>
      </c>
      <c r="P663" s="135">
        <v>999.27670000000001</v>
      </c>
      <c r="Q663" s="135">
        <v>1020.2872</v>
      </c>
      <c r="R663" s="137">
        <v>1.1499999999999999</v>
      </c>
      <c r="S663" s="120">
        <v>765721</v>
      </c>
      <c r="T663" s="120">
        <v>11637958</v>
      </c>
      <c r="U663" s="120">
        <v>0</v>
      </c>
      <c r="V663" s="114">
        <f t="shared" si="22"/>
        <v>11637958</v>
      </c>
      <c r="W663" s="114">
        <f t="shared" si="23"/>
        <v>12403679</v>
      </c>
    </row>
    <row r="664" spans="1:23">
      <c r="A664" s="122" t="s">
        <v>992</v>
      </c>
      <c r="B664" s="124">
        <v>1317.8009999999999</v>
      </c>
      <c r="C664" s="124">
        <v>1270.6220000000001</v>
      </c>
      <c r="D664" s="124">
        <v>1247.693</v>
      </c>
      <c r="E664" s="124">
        <v>1271.0350000000001</v>
      </c>
      <c r="F664" s="124">
        <v>247.1431</v>
      </c>
      <c r="G664" s="124">
        <v>254.73079999999999</v>
      </c>
      <c r="H664" s="124">
        <v>252.88890000000001</v>
      </c>
      <c r="I664" s="124">
        <v>252.8083</v>
      </c>
      <c r="J664" s="134">
        <v>176571840</v>
      </c>
      <c r="K664" s="134">
        <v>192677610</v>
      </c>
      <c r="L664" s="124">
        <v>2021.1289999999999</v>
      </c>
      <c r="M664" s="134">
        <v>153211</v>
      </c>
      <c r="N664" s="135">
        <v>161.2011</v>
      </c>
      <c r="O664" s="135">
        <v>171.09139999999999</v>
      </c>
      <c r="P664" s="135">
        <v>165.7397</v>
      </c>
      <c r="Q664" s="135">
        <v>161.06870000000001</v>
      </c>
      <c r="R664" s="137">
        <v>1.03</v>
      </c>
      <c r="S664" s="120">
        <v>344806</v>
      </c>
      <c r="T664" s="120">
        <v>2775937</v>
      </c>
      <c r="U664" s="120">
        <v>0</v>
      </c>
      <c r="V664" s="114">
        <f t="shared" si="22"/>
        <v>2775937</v>
      </c>
      <c r="W664" s="114">
        <f t="shared" si="23"/>
        <v>3120743</v>
      </c>
    </row>
    <row r="665" spans="1:23">
      <c r="A665" s="122" t="s">
        <v>1583</v>
      </c>
      <c r="B665" s="124">
        <v>187.31299999999999</v>
      </c>
      <c r="C665" s="124">
        <v>179.86500000000001</v>
      </c>
      <c r="D665" s="124">
        <v>182.28200000000001</v>
      </c>
      <c r="E665" s="124">
        <v>193.65</v>
      </c>
      <c r="F665" s="124">
        <v>42.787799999999997</v>
      </c>
      <c r="G665" s="124">
        <v>43.3504</v>
      </c>
      <c r="H665" s="124">
        <v>30.5</v>
      </c>
      <c r="I665" s="124">
        <v>42.462600000000002</v>
      </c>
      <c r="J665" s="134">
        <v>28093215</v>
      </c>
      <c r="K665" s="134">
        <v>30453515</v>
      </c>
      <c r="L665" s="124">
        <v>417.08199999999999</v>
      </c>
      <c r="M665" s="114">
        <v>0</v>
      </c>
      <c r="N665" s="135">
        <v>27.591000000000001</v>
      </c>
      <c r="O665" s="135">
        <v>27.881799999999998</v>
      </c>
      <c r="P665" s="135">
        <v>25.9297</v>
      </c>
      <c r="Q665" s="135">
        <v>27.6904</v>
      </c>
      <c r="R665" s="137">
        <v>1.05</v>
      </c>
      <c r="S665" s="120">
        <v>0</v>
      </c>
      <c r="T665" s="120">
        <v>434180</v>
      </c>
      <c r="U665" s="120">
        <v>0</v>
      </c>
      <c r="V665" s="114">
        <f t="shared" si="22"/>
        <v>434180</v>
      </c>
      <c r="W665" s="114">
        <f t="shared" si="23"/>
        <v>434180</v>
      </c>
    </row>
    <row r="666" spans="1:23">
      <c r="A666" s="122" t="s">
        <v>2265</v>
      </c>
      <c r="B666" s="124">
        <v>93.72</v>
      </c>
      <c r="C666" s="124">
        <v>100.732</v>
      </c>
      <c r="D666" s="124">
        <v>102.914</v>
      </c>
      <c r="E666" s="124">
        <v>106.05800000000001</v>
      </c>
      <c r="F666" s="124">
        <v>24.085699999999999</v>
      </c>
      <c r="G666" s="124">
        <v>25.085699999999999</v>
      </c>
      <c r="H666" s="124">
        <v>26.585699999999999</v>
      </c>
      <c r="I666" s="124">
        <v>28.104399999999998</v>
      </c>
      <c r="J666" s="134">
        <v>14972519</v>
      </c>
      <c r="K666" s="134">
        <v>15609439</v>
      </c>
      <c r="L666" s="124">
        <v>281.54599999999999</v>
      </c>
      <c r="M666" s="114">
        <v>0</v>
      </c>
      <c r="N666" s="135">
        <v>16.4102</v>
      </c>
      <c r="O666" s="135">
        <v>18.107199999999999</v>
      </c>
      <c r="P666" s="135">
        <v>18.608699999999999</v>
      </c>
      <c r="Q666" s="135">
        <v>19.606999999999999</v>
      </c>
      <c r="R666" s="137">
        <v>1.04</v>
      </c>
      <c r="S666" s="120">
        <v>11157</v>
      </c>
      <c r="T666" s="120">
        <v>219354</v>
      </c>
      <c r="U666" s="120">
        <v>0</v>
      </c>
      <c r="V666" s="114">
        <f t="shared" si="22"/>
        <v>219354</v>
      </c>
      <c r="W666" s="114">
        <f t="shared" si="23"/>
        <v>230511</v>
      </c>
    </row>
    <row r="667" spans="1:23">
      <c r="A667" s="122" t="s">
        <v>1094</v>
      </c>
      <c r="B667" s="124">
        <v>557.21600000000001</v>
      </c>
      <c r="C667" s="124">
        <v>581.26599999999996</v>
      </c>
      <c r="D667" s="124">
        <v>585.20299999999997</v>
      </c>
      <c r="E667" s="124">
        <v>588.29100000000005</v>
      </c>
      <c r="F667" s="124">
        <v>70.338899999999995</v>
      </c>
      <c r="G667" s="124">
        <v>74.425200000000004</v>
      </c>
      <c r="H667" s="124">
        <v>79.927700000000002</v>
      </c>
      <c r="I667" s="124">
        <v>88.503200000000007</v>
      </c>
      <c r="J667" s="134">
        <v>65432855</v>
      </c>
      <c r="K667" s="134">
        <v>70971465</v>
      </c>
      <c r="L667" s="124">
        <v>864.572</v>
      </c>
      <c r="M667" s="134">
        <v>43338</v>
      </c>
      <c r="N667" s="135">
        <v>44.086399999999998</v>
      </c>
      <c r="O667" s="135">
        <v>47.571199999999997</v>
      </c>
      <c r="P667" s="135">
        <v>48.596299999999999</v>
      </c>
      <c r="Q667" s="135">
        <v>52.249200000000002</v>
      </c>
      <c r="R667" s="137">
        <v>1.03</v>
      </c>
      <c r="S667" s="120">
        <v>132557</v>
      </c>
      <c r="T667" s="120">
        <v>1025454</v>
      </c>
      <c r="U667" s="120">
        <v>0</v>
      </c>
      <c r="V667" s="114">
        <f t="shared" si="22"/>
        <v>1025454</v>
      </c>
      <c r="W667" s="114">
        <f t="shared" si="23"/>
        <v>1158011</v>
      </c>
    </row>
    <row r="668" spans="1:23">
      <c r="A668" s="122" t="s">
        <v>1012</v>
      </c>
      <c r="B668" s="124">
        <v>5466.8990000000003</v>
      </c>
      <c r="C668" s="124">
        <v>5539.6589999999997</v>
      </c>
      <c r="D668" s="124">
        <v>5517.9849999999997</v>
      </c>
      <c r="E668" s="124">
        <v>5470.8140000000003</v>
      </c>
      <c r="F668" s="124">
        <v>683.09810000000004</v>
      </c>
      <c r="G668" s="124">
        <v>691.95240000000001</v>
      </c>
      <c r="H668" s="124">
        <v>743.86289999999997</v>
      </c>
      <c r="I668" s="124">
        <v>760.65419999999995</v>
      </c>
      <c r="J668" s="134">
        <v>1772345964</v>
      </c>
      <c r="K668" s="134">
        <v>1849852262</v>
      </c>
      <c r="L668" s="124">
        <v>6455.9920000000002</v>
      </c>
      <c r="M668" s="134">
        <v>5139803</v>
      </c>
      <c r="N668" s="135">
        <v>435.01150000000001</v>
      </c>
      <c r="O668" s="135">
        <v>445.97329999999999</v>
      </c>
      <c r="P668" s="135">
        <v>448.88819999999998</v>
      </c>
      <c r="Q668" s="135">
        <v>447.50220000000002</v>
      </c>
      <c r="R668" s="137">
        <v>1.08</v>
      </c>
      <c r="S668" s="120">
        <v>5629398</v>
      </c>
      <c r="T668" s="120">
        <v>26138028</v>
      </c>
      <c r="U668" s="120">
        <v>0</v>
      </c>
      <c r="V668" s="114">
        <f t="shared" si="22"/>
        <v>26138028</v>
      </c>
      <c r="W668" s="114">
        <f t="shared" si="23"/>
        <v>31767426</v>
      </c>
    </row>
    <row r="669" spans="1:23">
      <c r="A669" s="122" t="s">
        <v>800</v>
      </c>
      <c r="B669" s="124">
        <v>2306.3310000000001</v>
      </c>
      <c r="C669" s="124">
        <v>2316.732</v>
      </c>
      <c r="D669" s="124">
        <v>2334.3510000000001</v>
      </c>
      <c r="E669" s="124">
        <v>2345.018</v>
      </c>
      <c r="F669" s="124">
        <v>361.17959999999999</v>
      </c>
      <c r="G669" s="124">
        <v>394.07319999999999</v>
      </c>
      <c r="H669" s="124">
        <v>391.44959999999998</v>
      </c>
      <c r="I669" s="124">
        <v>404.14479999999998</v>
      </c>
      <c r="J669" s="134">
        <v>293800047</v>
      </c>
      <c r="K669" s="134">
        <v>315760545</v>
      </c>
      <c r="L669" s="124">
        <v>3402.6559999999999</v>
      </c>
      <c r="M669" s="114">
        <v>0</v>
      </c>
      <c r="N669" s="135">
        <v>207.68950000000001</v>
      </c>
      <c r="O669" s="135">
        <v>238.1481</v>
      </c>
      <c r="P669" s="135">
        <v>233.42599999999999</v>
      </c>
      <c r="Q669" s="135">
        <v>246.9068</v>
      </c>
      <c r="R669" s="137">
        <v>1.06</v>
      </c>
      <c r="S669" s="120">
        <v>201654</v>
      </c>
      <c r="T669" s="120">
        <v>4792364</v>
      </c>
      <c r="U669" s="120">
        <v>0</v>
      </c>
      <c r="V669" s="114">
        <f t="shared" si="22"/>
        <v>4792364</v>
      </c>
      <c r="W669" s="114">
        <f t="shared" si="23"/>
        <v>4994018</v>
      </c>
    </row>
    <row r="670" spans="1:23">
      <c r="A670" s="122" t="s">
        <v>1095</v>
      </c>
      <c r="B670" s="124">
        <v>1426.3440000000001</v>
      </c>
      <c r="C670" s="124">
        <v>1423.838</v>
      </c>
      <c r="D670" s="124">
        <v>1459.1969999999999</v>
      </c>
      <c r="E670" s="124">
        <v>1515.48</v>
      </c>
      <c r="F670" s="124">
        <v>158.15469999999999</v>
      </c>
      <c r="G670" s="124">
        <v>159.5992</v>
      </c>
      <c r="H670" s="124">
        <v>166.59540000000001</v>
      </c>
      <c r="I670" s="124">
        <v>166.416</v>
      </c>
      <c r="J670" s="134">
        <v>163727868</v>
      </c>
      <c r="K670" s="134">
        <v>180272011</v>
      </c>
      <c r="L670" s="124">
        <v>2028.933</v>
      </c>
      <c r="M670" s="134">
        <v>219295</v>
      </c>
      <c r="N670" s="135">
        <v>90.894900000000007</v>
      </c>
      <c r="O670" s="135">
        <v>101.9996</v>
      </c>
      <c r="P670" s="135">
        <v>97.232900000000001</v>
      </c>
      <c r="Q670" s="135">
        <v>97.494799999999998</v>
      </c>
      <c r="R670" s="137">
        <v>1.05</v>
      </c>
      <c r="S670" s="120">
        <v>562348</v>
      </c>
      <c r="T670" s="120">
        <v>2739376</v>
      </c>
      <c r="U670" s="120">
        <v>0</v>
      </c>
      <c r="V670" s="114">
        <f t="shared" si="22"/>
        <v>2739376</v>
      </c>
      <c r="W670" s="114">
        <f t="shared" si="23"/>
        <v>3301724</v>
      </c>
    </row>
    <row r="671" spans="1:23">
      <c r="A671" s="122" t="s">
        <v>2096</v>
      </c>
      <c r="B671" s="124">
        <v>703.91700000000003</v>
      </c>
      <c r="C671" s="124">
        <v>674.48400000000004</v>
      </c>
      <c r="D671" s="124">
        <v>664.46799999999996</v>
      </c>
      <c r="E671" s="124">
        <v>646.06200000000001</v>
      </c>
      <c r="F671" s="124">
        <v>87.893199999999993</v>
      </c>
      <c r="G671" s="124">
        <v>106.7543</v>
      </c>
      <c r="H671" s="124">
        <v>101.9174</v>
      </c>
      <c r="I671" s="124">
        <v>107.3368</v>
      </c>
      <c r="J671" s="134">
        <v>49429950</v>
      </c>
      <c r="K671" s="134">
        <v>55881535</v>
      </c>
      <c r="L671" s="124">
        <v>1087.069</v>
      </c>
      <c r="M671" s="134">
        <v>29758</v>
      </c>
      <c r="N671" s="135">
        <v>52.914700000000003</v>
      </c>
      <c r="O671" s="135">
        <v>72.001099999999994</v>
      </c>
      <c r="P671" s="135">
        <v>71.654799999999994</v>
      </c>
      <c r="Q671" s="135">
        <v>72.936199999999999</v>
      </c>
      <c r="R671" s="137">
        <v>1.05</v>
      </c>
      <c r="S671" s="120">
        <v>79418</v>
      </c>
      <c r="T671" s="120">
        <v>794919</v>
      </c>
      <c r="U671" s="120">
        <v>0</v>
      </c>
      <c r="V671" s="114">
        <f t="shared" si="22"/>
        <v>794919</v>
      </c>
      <c r="W671" s="114">
        <f t="shared" si="23"/>
        <v>874337</v>
      </c>
    </row>
    <row r="672" spans="1:23">
      <c r="A672" s="122" t="s">
        <v>1735</v>
      </c>
      <c r="B672" s="124">
        <v>1069.5630000000001</v>
      </c>
      <c r="C672" s="124">
        <v>1064.6400000000001</v>
      </c>
      <c r="D672" s="124">
        <v>1042.519</v>
      </c>
      <c r="E672" s="124">
        <v>1070.403</v>
      </c>
      <c r="F672" s="124">
        <v>188.74379999999999</v>
      </c>
      <c r="G672" s="124">
        <v>196.02369999999999</v>
      </c>
      <c r="H672" s="124">
        <v>202.0137</v>
      </c>
      <c r="I672" s="124">
        <v>213.2474</v>
      </c>
      <c r="J672" s="134">
        <v>158294639</v>
      </c>
      <c r="K672" s="134">
        <v>169825291</v>
      </c>
      <c r="L672" s="124">
        <v>1660.6130000000001</v>
      </c>
      <c r="M672" s="134">
        <v>148752</v>
      </c>
      <c r="N672" s="135">
        <v>121.5548</v>
      </c>
      <c r="O672" s="135">
        <v>122.5865</v>
      </c>
      <c r="P672" s="135">
        <v>136.1807</v>
      </c>
      <c r="Q672" s="135">
        <v>144.5737</v>
      </c>
      <c r="R672" s="137">
        <v>1.05</v>
      </c>
      <c r="S672" s="120">
        <v>347065</v>
      </c>
      <c r="T672" s="120">
        <v>2380865</v>
      </c>
      <c r="U672" s="120">
        <v>0</v>
      </c>
      <c r="V672" s="114">
        <f t="shared" si="22"/>
        <v>2380865</v>
      </c>
      <c r="W672" s="114">
        <f t="shared" si="23"/>
        <v>2727930</v>
      </c>
    </row>
    <row r="673" spans="1:23">
      <c r="A673" s="122" t="s">
        <v>134</v>
      </c>
      <c r="B673" s="124">
        <v>705.12800000000004</v>
      </c>
      <c r="C673" s="124">
        <v>675.29</v>
      </c>
      <c r="D673" s="124">
        <v>667.68899999999996</v>
      </c>
      <c r="E673" s="124">
        <v>696.35299999999995</v>
      </c>
      <c r="F673" s="124">
        <v>103.7046</v>
      </c>
      <c r="G673" s="124">
        <v>102.81489999999999</v>
      </c>
      <c r="H673" s="124">
        <v>106.3884</v>
      </c>
      <c r="I673" s="124">
        <v>108.2131</v>
      </c>
      <c r="J673" s="134">
        <v>63322110</v>
      </c>
      <c r="K673" s="134">
        <v>71281067</v>
      </c>
      <c r="L673" s="124">
        <v>1118.2539999999999</v>
      </c>
      <c r="M673" s="114">
        <v>0</v>
      </c>
      <c r="N673" s="135">
        <v>67.328699999999998</v>
      </c>
      <c r="O673" s="135">
        <v>68.011200000000002</v>
      </c>
      <c r="P673" s="135">
        <v>73.777100000000004</v>
      </c>
      <c r="Q673" s="135">
        <v>73.905500000000004</v>
      </c>
      <c r="R673" s="137">
        <v>1.05</v>
      </c>
      <c r="S673" s="120">
        <v>1246</v>
      </c>
      <c r="T673" s="120">
        <v>977504</v>
      </c>
      <c r="U673" s="120">
        <v>0</v>
      </c>
      <c r="V673" s="114">
        <f t="shared" si="22"/>
        <v>977504</v>
      </c>
      <c r="W673" s="114">
        <f t="shared" si="23"/>
        <v>978750</v>
      </c>
    </row>
    <row r="674" spans="1:23">
      <c r="A674" s="122" t="s">
        <v>2384</v>
      </c>
      <c r="B674" s="124">
        <v>547.29399999999998</v>
      </c>
      <c r="C674" s="124">
        <v>560.91899999999998</v>
      </c>
      <c r="D674" s="124">
        <v>556.17100000000005</v>
      </c>
      <c r="E674" s="124">
        <v>556.18899999999996</v>
      </c>
      <c r="F674" s="124">
        <v>77.016800000000003</v>
      </c>
      <c r="G674" s="124">
        <v>85.079300000000003</v>
      </c>
      <c r="H674" s="124">
        <v>86.218800000000002</v>
      </c>
      <c r="I674" s="124">
        <v>82.899600000000007</v>
      </c>
      <c r="J674" s="134">
        <v>50018969</v>
      </c>
      <c r="K674" s="134">
        <v>55206519</v>
      </c>
      <c r="L674" s="124">
        <v>898.96900000000005</v>
      </c>
      <c r="M674" s="114">
        <v>0</v>
      </c>
      <c r="N674" s="135">
        <v>54.256700000000002</v>
      </c>
      <c r="O674" s="135">
        <v>57.783700000000003</v>
      </c>
      <c r="P674" s="135">
        <v>60.826300000000003</v>
      </c>
      <c r="Q674" s="135">
        <v>56.832000000000001</v>
      </c>
      <c r="R674" s="137">
        <v>1.04</v>
      </c>
      <c r="S674" s="120">
        <v>70903</v>
      </c>
      <c r="T674" s="120">
        <v>732939</v>
      </c>
      <c r="U674" s="120">
        <v>0</v>
      </c>
      <c r="V674" s="114">
        <f t="shared" si="22"/>
        <v>732939</v>
      </c>
      <c r="W674" s="114">
        <f t="shared" si="23"/>
        <v>803842</v>
      </c>
    </row>
    <row r="675" spans="1:23">
      <c r="A675" s="122" t="s">
        <v>373</v>
      </c>
      <c r="B675" s="124">
        <v>14225.746999999999</v>
      </c>
      <c r="C675" s="124">
        <v>14117.799000000001</v>
      </c>
      <c r="D675" s="124">
        <v>14128.384</v>
      </c>
      <c r="E675" s="124">
        <v>14290.521000000001</v>
      </c>
      <c r="F675" s="124">
        <v>2101.3472000000002</v>
      </c>
      <c r="G675" s="124">
        <v>2041.3651</v>
      </c>
      <c r="H675" s="124">
        <v>2111.1601999999998</v>
      </c>
      <c r="I675" s="124">
        <v>2130.1064999999999</v>
      </c>
      <c r="J675" s="134">
        <v>2171825815</v>
      </c>
      <c r="K675" s="134">
        <v>2327644383</v>
      </c>
      <c r="L675" s="124">
        <v>19852.663</v>
      </c>
      <c r="M675" s="134">
        <v>1830330</v>
      </c>
      <c r="N675" s="135">
        <v>1138.2938999999999</v>
      </c>
      <c r="O675" s="135">
        <v>1154.0553</v>
      </c>
      <c r="P675" s="135">
        <v>1282.9526000000001</v>
      </c>
      <c r="Q675" s="135">
        <v>1284.3236999999999</v>
      </c>
      <c r="R675" s="137">
        <v>1.1100000000000001</v>
      </c>
      <c r="S675" s="120">
        <v>2919268</v>
      </c>
      <c r="T675" s="120">
        <v>33641746</v>
      </c>
      <c r="U675" s="120">
        <v>0</v>
      </c>
      <c r="V675" s="114">
        <f t="shared" si="22"/>
        <v>33641746</v>
      </c>
      <c r="W675" s="114">
        <f t="shared" si="23"/>
        <v>36561014</v>
      </c>
    </row>
    <row r="676" spans="1:23">
      <c r="A676" s="122" t="s">
        <v>376</v>
      </c>
      <c r="B676" s="124">
        <v>1458.9649999999999</v>
      </c>
      <c r="C676" s="124">
        <v>1419.0809999999999</v>
      </c>
      <c r="D676" s="124">
        <v>1454.6849999999999</v>
      </c>
      <c r="E676" s="124">
        <v>1436.2639999999999</v>
      </c>
      <c r="F676" s="124">
        <v>160.39109999999999</v>
      </c>
      <c r="G676" s="124">
        <v>176.23330000000001</v>
      </c>
      <c r="H676" s="124">
        <v>176.85849999999999</v>
      </c>
      <c r="I676" s="124">
        <v>174.9598</v>
      </c>
      <c r="J676" s="134">
        <v>160311094</v>
      </c>
      <c r="K676" s="134">
        <v>179913068</v>
      </c>
      <c r="L676" s="124">
        <v>2189.3530000000001</v>
      </c>
      <c r="M676" s="134">
        <v>75517</v>
      </c>
      <c r="N676" s="135">
        <v>102.9988</v>
      </c>
      <c r="O676" s="135">
        <v>107.45180000000001</v>
      </c>
      <c r="P676" s="135">
        <v>103.8805</v>
      </c>
      <c r="Q676" s="135">
        <v>99.500699999999995</v>
      </c>
      <c r="R676" s="137">
        <v>1.05</v>
      </c>
      <c r="S676" s="120">
        <v>252497</v>
      </c>
      <c r="T676" s="120">
        <v>2645842</v>
      </c>
      <c r="U676" s="120">
        <v>0</v>
      </c>
      <c r="V676" s="114">
        <f t="shared" si="22"/>
        <v>2645842</v>
      </c>
      <c r="W676" s="114">
        <f t="shared" si="23"/>
        <v>2898339</v>
      </c>
    </row>
    <row r="677" spans="1:23">
      <c r="A677" s="122" t="s">
        <v>2819</v>
      </c>
      <c r="B677" s="124">
        <v>722.60400000000004</v>
      </c>
      <c r="C677" s="124">
        <v>699.10799999999995</v>
      </c>
      <c r="D677" s="124">
        <v>683.81200000000001</v>
      </c>
      <c r="E677" s="124">
        <v>715.67600000000004</v>
      </c>
      <c r="F677" s="124">
        <v>75.509600000000006</v>
      </c>
      <c r="G677" s="124">
        <v>77.129900000000006</v>
      </c>
      <c r="H677" s="124">
        <v>81.600499999999997</v>
      </c>
      <c r="I677" s="124">
        <v>83.600499999999997</v>
      </c>
      <c r="J677" s="134">
        <v>48089518</v>
      </c>
      <c r="K677" s="134">
        <v>55439337</v>
      </c>
      <c r="L677" s="124">
        <v>1560.4069999999999</v>
      </c>
      <c r="M677" s="114">
        <v>0</v>
      </c>
      <c r="N677" s="135">
        <v>49.132800000000003</v>
      </c>
      <c r="O677" s="135">
        <v>49.505499999999998</v>
      </c>
      <c r="P677" s="135">
        <v>53.834400000000002</v>
      </c>
      <c r="Q677" s="135">
        <v>55.002099999999999</v>
      </c>
      <c r="R677" s="137">
        <v>1.04</v>
      </c>
      <c r="S677" s="120">
        <v>0</v>
      </c>
      <c r="T677" s="120">
        <v>786207</v>
      </c>
      <c r="U677" s="120">
        <v>0</v>
      </c>
      <c r="V677" s="114">
        <f t="shared" si="22"/>
        <v>786207</v>
      </c>
      <c r="W677" s="114">
        <f t="shared" si="23"/>
        <v>786207</v>
      </c>
    </row>
    <row r="678" spans="1:23">
      <c r="A678" s="122" t="s">
        <v>2820</v>
      </c>
      <c r="B678" s="124">
        <v>887.45399999999995</v>
      </c>
      <c r="C678" s="124">
        <v>893.49699999999996</v>
      </c>
      <c r="D678" s="124">
        <v>877.23</v>
      </c>
      <c r="E678" s="124">
        <v>886.15099999999995</v>
      </c>
      <c r="F678" s="124">
        <v>411.48899999999998</v>
      </c>
      <c r="G678" s="124">
        <v>396.74470000000002</v>
      </c>
      <c r="H678" s="124">
        <v>430.08179999999999</v>
      </c>
      <c r="I678" s="124">
        <v>421.32760000000002</v>
      </c>
      <c r="J678" s="134">
        <v>75141220</v>
      </c>
      <c r="K678" s="134">
        <v>83026820</v>
      </c>
      <c r="L678" s="124">
        <v>1565.145</v>
      </c>
      <c r="M678" s="134">
        <v>25784</v>
      </c>
      <c r="N678" s="135">
        <v>287.9384</v>
      </c>
      <c r="O678" s="135">
        <v>290.91739999999999</v>
      </c>
      <c r="P678" s="135">
        <v>304.86759999999998</v>
      </c>
      <c r="Q678" s="135">
        <v>288.31540000000001</v>
      </c>
      <c r="R678" s="137">
        <v>1.04</v>
      </c>
      <c r="S678" s="120">
        <v>43894</v>
      </c>
      <c r="T678" s="120">
        <v>1094114</v>
      </c>
      <c r="U678" s="120">
        <v>0</v>
      </c>
      <c r="V678" s="114">
        <f t="shared" si="22"/>
        <v>1094114</v>
      </c>
      <c r="W678" s="114">
        <f t="shared" si="23"/>
        <v>1138008</v>
      </c>
    </row>
    <row r="679" spans="1:23">
      <c r="A679" s="122" t="s">
        <v>85</v>
      </c>
      <c r="B679" s="124">
        <v>1441.0909999999999</v>
      </c>
      <c r="C679" s="124">
        <v>1481.3869999999999</v>
      </c>
      <c r="D679" s="124">
        <v>1573.53</v>
      </c>
      <c r="E679" s="124">
        <v>1655.278</v>
      </c>
      <c r="F679" s="124">
        <v>163.50790000000001</v>
      </c>
      <c r="G679" s="124">
        <v>175.82480000000001</v>
      </c>
      <c r="H679" s="124">
        <v>181.60050000000001</v>
      </c>
      <c r="I679" s="124">
        <v>191.15170000000001</v>
      </c>
      <c r="J679" s="134">
        <v>187533748</v>
      </c>
      <c r="K679" s="134">
        <v>204631647</v>
      </c>
      <c r="L679" s="124">
        <v>2239.5149999999999</v>
      </c>
      <c r="M679" s="134">
        <v>191617</v>
      </c>
      <c r="N679" s="135">
        <v>96.994399999999999</v>
      </c>
      <c r="O679" s="135">
        <v>98.509399999999999</v>
      </c>
      <c r="P679" s="135">
        <v>102.5039</v>
      </c>
      <c r="Q679" s="135">
        <v>118.1619</v>
      </c>
      <c r="R679" s="137">
        <v>1.04</v>
      </c>
      <c r="S679" s="120">
        <v>527894</v>
      </c>
      <c r="T679" s="120">
        <v>3073723</v>
      </c>
      <c r="U679" s="120">
        <v>0</v>
      </c>
      <c r="V679" s="114">
        <f t="shared" si="22"/>
        <v>3073723</v>
      </c>
      <c r="W679" s="114">
        <f t="shared" si="23"/>
        <v>3601617</v>
      </c>
    </row>
    <row r="680" spans="1:23">
      <c r="A680" s="122" t="s">
        <v>2638</v>
      </c>
      <c r="B680" s="124">
        <v>2342.404</v>
      </c>
      <c r="C680" s="124">
        <v>2303.9110000000001</v>
      </c>
      <c r="D680" s="124">
        <v>2310.1260000000002</v>
      </c>
      <c r="E680" s="124">
        <v>2357.6790000000001</v>
      </c>
      <c r="F680" s="124">
        <v>370.68220000000002</v>
      </c>
      <c r="G680" s="124">
        <v>375.42509999999999</v>
      </c>
      <c r="H680" s="124">
        <v>388.28750000000002</v>
      </c>
      <c r="I680" s="124">
        <v>387.53879999999998</v>
      </c>
      <c r="J680" s="134">
        <v>272103192</v>
      </c>
      <c r="K680" s="134">
        <v>294936534</v>
      </c>
      <c r="L680" s="124">
        <v>3379.7330000000002</v>
      </c>
      <c r="M680" s="134">
        <v>206781</v>
      </c>
      <c r="N680" s="135">
        <v>240.27260000000001</v>
      </c>
      <c r="O680" s="135">
        <v>242.87010000000001</v>
      </c>
      <c r="P680" s="135">
        <v>247.1251</v>
      </c>
      <c r="Q680" s="135">
        <v>261.01569999999998</v>
      </c>
      <c r="R680" s="137">
        <v>1.06</v>
      </c>
      <c r="S680" s="120">
        <v>452247</v>
      </c>
      <c r="T680" s="120">
        <v>4305367</v>
      </c>
      <c r="U680" s="120">
        <v>0</v>
      </c>
      <c r="V680" s="114">
        <f t="shared" si="22"/>
        <v>4305367</v>
      </c>
      <c r="W680" s="114">
        <f t="shared" si="23"/>
        <v>4757614</v>
      </c>
    </row>
    <row r="681" spans="1:23">
      <c r="A681" s="122" t="s">
        <v>190</v>
      </c>
      <c r="B681" s="124">
        <v>1910.9739999999999</v>
      </c>
      <c r="C681" s="124">
        <v>1921.317</v>
      </c>
      <c r="D681" s="124">
        <v>1943.6210000000001</v>
      </c>
      <c r="E681" s="124">
        <v>1939.36</v>
      </c>
      <c r="F681" s="124">
        <v>277.19729999999998</v>
      </c>
      <c r="G681" s="124">
        <v>274.03559999999999</v>
      </c>
      <c r="H681" s="124">
        <v>289.90870000000001</v>
      </c>
      <c r="I681" s="124">
        <v>291.21769999999998</v>
      </c>
      <c r="J681" s="134">
        <v>206028985</v>
      </c>
      <c r="K681" s="134">
        <v>230100492</v>
      </c>
      <c r="L681" s="124">
        <v>2576.2199999999998</v>
      </c>
      <c r="M681" s="134">
        <v>211116</v>
      </c>
      <c r="N681" s="135">
        <v>186.6754</v>
      </c>
      <c r="O681" s="135">
        <v>189.0334</v>
      </c>
      <c r="P681" s="135">
        <v>193.2484</v>
      </c>
      <c r="Q681" s="135">
        <v>203.93899999999999</v>
      </c>
      <c r="R681" s="137">
        <v>1.06</v>
      </c>
      <c r="S681" s="120">
        <v>371985</v>
      </c>
      <c r="T681" s="120">
        <v>3575691</v>
      </c>
      <c r="U681" s="120">
        <v>0</v>
      </c>
      <c r="V681" s="114">
        <f t="shared" si="22"/>
        <v>3575691</v>
      </c>
      <c r="W681" s="114">
        <f t="shared" si="23"/>
        <v>3947676</v>
      </c>
    </row>
    <row r="682" spans="1:23">
      <c r="A682" s="122" t="s">
        <v>991</v>
      </c>
      <c r="B682" s="124">
        <v>429.399</v>
      </c>
      <c r="C682" s="124">
        <v>429.41300000000001</v>
      </c>
      <c r="D682" s="124">
        <v>430.45299999999997</v>
      </c>
      <c r="E682" s="124">
        <v>446.09100000000001</v>
      </c>
      <c r="F682" s="124">
        <v>75.125600000000006</v>
      </c>
      <c r="G682" s="124">
        <v>75.296700000000001</v>
      </c>
      <c r="H682" s="124">
        <v>77.925700000000006</v>
      </c>
      <c r="I682" s="124">
        <v>79.027799999999999</v>
      </c>
      <c r="J682" s="134">
        <v>65180185</v>
      </c>
      <c r="K682" s="134">
        <v>69042493</v>
      </c>
      <c r="L682" s="124">
        <v>756.71199999999999</v>
      </c>
      <c r="M682" s="114">
        <v>146</v>
      </c>
      <c r="N682" s="135">
        <v>43.021900000000002</v>
      </c>
      <c r="O682" s="135">
        <v>44.876300000000001</v>
      </c>
      <c r="P682" s="135">
        <v>43.069099999999999</v>
      </c>
      <c r="Q682" s="135">
        <v>43.866500000000002</v>
      </c>
      <c r="R682" s="137">
        <v>1.04</v>
      </c>
      <c r="S682" s="120">
        <v>68541</v>
      </c>
      <c r="T682" s="120">
        <v>1064639</v>
      </c>
      <c r="U682" s="120">
        <v>0</v>
      </c>
      <c r="V682" s="114">
        <f t="shared" si="22"/>
        <v>1064639</v>
      </c>
      <c r="W682" s="114">
        <f t="shared" si="23"/>
        <v>1133180</v>
      </c>
    </row>
    <row r="683" spans="1:23">
      <c r="A683" s="122" t="s">
        <v>2098</v>
      </c>
      <c r="B683" s="124">
        <v>95.338999999999999</v>
      </c>
      <c r="C683" s="124">
        <v>105.77</v>
      </c>
      <c r="D683" s="124">
        <v>101.32899999999999</v>
      </c>
      <c r="E683" s="124">
        <v>98.768000000000001</v>
      </c>
      <c r="F683" s="124">
        <v>16.9466</v>
      </c>
      <c r="G683" s="124">
        <v>16.743400000000001</v>
      </c>
      <c r="H683" s="124">
        <v>16.9466</v>
      </c>
      <c r="I683" s="124">
        <v>16.9466</v>
      </c>
      <c r="J683" s="134">
        <v>68313147</v>
      </c>
      <c r="K683" s="134">
        <v>71132400</v>
      </c>
      <c r="L683" s="124">
        <v>167.33199999999999</v>
      </c>
      <c r="M683" s="114">
        <v>0</v>
      </c>
      <c r="N683" s="135">
        <v>9.0000999999999998</v>
      </c>
      <c r="O683" s="135">
        <v>9.4929000000000006</v>
      </c>
      <c r="P683" s="135">
        <v>9.4502000000000006</v>
      </c>
      <c r="Q683" s="135">
        <v>9.4497</v>
      </c>
      <c r="R683" s="137">
        <v>1.05</v>
      </c>
      <c r="S683" s="120">
        <v>0</v>
      </c>
      <c r="T683" s="120">
        <v>1024331</v>
      </c>
      <c r="U683" s="120">
        <v>0</v>
      </c>
      <c r="V683" s="114">
        <f t="shared" si="22"/>
        <v>1024331</v>
      </c>
      <c r="W683" s="114">
        <f t="shared" si="23"/>
        <v>1024331</v>
      </c>
    </row>
    <row r="684" spans="1:23">
      <c r="A684" s="122" t="s">
        <v>287</v>
      </c>
      <c r="B684" s="124">
        <v>149.53899999999999</v>
      </c>
      <c r="C684" s="124">
        <v>127.86799999999999</v>
      </c>
      <c r="D684" s="124">
        <v>139.12</v>
      </c>
      <c r="E684" s="124">
        <v>135.73699999999999</v>
      </c>
      <c r="F684" s="124">
        <v>22.692</v>
      </c>
      <c r="G684" s="124">
        <v>23.281600000000001</v>
      </c>
      <c r="H684" s="124">
        <v>22.284300000000002</v>
      </c>
      <c r="I684" s="124">
        <v>23.711200000000002</v>
      </c>
      <c r="J684" s="134">
        <v>12762984</v>
      </c>
      <c r="K684" s="134">
        <v>15529559</v>
      </c>
      <c r="L684" s="124">
        <v>249.72499999999999</v>
      </c>
      <c r="M684" s="114">
        <v>0</v>
      </c>
      <c r="N684" s="135">
        <v>15.5991</v>
      </c>
      <c r="O684" s="135">
        <v>17.081399999999999</v>
      </c>
      <c r="P684" s="135">
        <v>16.094999999999999</v>
      </c>
      <c r="Q684" s="135">
        <v>16.764500000000002</v>
      </c>
      <c r="R684" s="137">
        <v>1.05</v>
      </c>
      <c r="S684" s="120">
        <v>0</v>
      </c>
      <c r="T684" s="120">
        <v>275559</v>
      </c>
      <c r="U684" s="120">
        <v>0</v>
      </c>
      <c r="V684" s="114">
        <f t="shared" si="22"/>
        <v>275559</v>
      </c>
      <c r="W684" s="114">
        <f t="shared" si="23"/>
        <v>275559</v>
      </c>
    </row>
    <row r="685" spans="1:23">
      <c r="A685" s="122" t="s">
        <v>1782</v>
      </c>
      <c r="B685" s="124">
        <v>172.685</v>
      </c>
      <c r="C685" s="124">
        <v>160.26400000000001</v>
      </c>
      <c r="D685" s="124">
        <v>159.953</v>
      </c>
      <c r="E685" s="124">
        <v>155.52199999999999</v>
      </c>
      <c r="F685" s="124">
        <v>40.981299999999997</v>
      </c>
      <c r="G685" s="124">
        <v>40.473300000000002</v>
      </c>
      <c r="H685" s="124">
        <v>42.481299999999997</v>
      </c>
      <c r="I685" s="124">
        <v>43.481299999999997</v>
      </c>
      <c r="J685" s="134">
        <v>245300403</v>
      </c>
      <c r="K685" s="134">
        <v>246894760</v>
      </c>
      <c r="L685" s="124">
        <v>320.05099999999999</v>
      </c>
      <c r="M685" s="114">
        <v>0</v>
      </c>
      <c r="N685" s="135">
        <v>25.999500000000001</v>
      </c>
      <c r="O685" s="135">
        <v>24.4877</v>
      </c>
      <c r="P685" s="135">
        <v>26.952999999999999</v>
      </c>
      <c r="Q685" s="135">
        <v>25.1678</v>
      </c>
      <c r="R685" s="137">
        <v>1.07</v>
      </c>
      <c r="S685" s="120">
        <v>543479</v>
      </c>
      <c r="T685" s="120">
        <v>2884056</v>
      </c>
      <c r="U685" s="120">
        <v>0</v>
      </c>
      <c r="V685" s="114">
        <f t="shared" si="22"/>
        <v>2884056</v>
      </c>
      <c r="W685" s="114">
        <f t="shared" si="23"/>
        <v>3427535</v>
      </c>
    </row>
    <row r="686" spans="1:23">
      <c r="A686" s="122" t="s">
        <v>1296</v>
      </c>
      <c r="B686" s="124">
        <v>1762.1759999999999</v>
      </c>
      <c r="C686" s="124">
        <v>1742.2950000000001</v>
      </c>
      <c r="D686" s="124">
        <v>1766.2439999999999</v>
      </c>
      <c r="E686" s="124">
        <v>1760.8420000000001</v>
      </c>
      <c r="F686" s="124">
        <v>258.43560000000002</v>
      </c>
      <c r="G686" s="124">
        <v>269.005</v>
      </c>
      <c r="H686" s="124">
        <v>274.88040000000001</v>
      </c>
      <c r="I686" s="124">
        <v>282.09160000000003</v>
      </c>
      <c r="J686" s="134">
        <v>175867806</v>
      </c>
      <c r="K686" s="134">
        <v>192791716</v>
      </c>
      <c r="L686" s="124">
        <v>2481.096</v>
      </c>
      <c r="M686" s="134">
        <v>68812</v>
      </c>
      <c r="N686" s="135">
        <v>174.0427</v>
      </c>
      <c r="O686" s="135">
        <v>176.21250000000001</v>
      </c>
      <c r="P686" s="135">
        <v>176.53749999999999</v>
      </c>
      <c r="Q686" s="135">
        <v>182.33250000000001</v>
      </c>
      <c r="R686" s="137">
        <v>1.07</v>
      </c>
      <c r="S686" s="120">
        <v>184147</v>
      </c>
      <c r="T686" s="120">
        <v>2500936</v>
      </c>
      <c r="U686" s="120">
        <v>0</v>
      </c>
      <c r="V686" s="114">
        <f t="shared" si="22"/>
        <v>2500936</v>
      </c>
      <c r="W686" s="114">
        <f t="shared" si="23"/>
        <v>2685083</v>
      </c>
    </row>
    <row r="687" spans="1:23">
      <c r="A687" s="122" t="s">
        <v>2266</v>
      </c>
      <c r="B687" s="124">
        <v>265.017</v>
      </c>
      <c r="C687" s="124">
        <v>262.78899999999999</v>
      </c>
      <c r="D687" s="124">
        <v>274.19499999999999</v>
      </c>
      <c r="E687" s="124">
        <v>274.51499999999999</v>
      </c>
      <c r="F687" s="124">
        <v>47.57</v>
      </c>
      <c r="G687" s="124">
        <v>45.078200000000002</v>
      </c>
      <c r="H687" s="124">
        <v>46.778599999999997</v>
      </c>
      <c r="I687" s="124">
        <v>49.032600000000002</v>
      </c>
      <c r="J687" s="134">
        <v>50603807</v>
      </c>
      <c r="K687" s="134">
        <v>53569217</v>
      </c>
      <c r="L687" s="124">
        <v>535.66700000000003</v>
      </c>
      <c r="M687" s="114">
        <v>0</v>
      </c>
      <c r="N687" s="135">
        <v>32.000500000000002</v>
      </c>
      <c r="O687" s="135">
        <v>29.641400000000001</v>
      </c>
      <c r="P687" s="135">
        <v>30.277999999999999</v>
      </c>
      <c r="Q687" s="135">
        <v>31.823499999999999</v>
      </c>
      <c r="R687" s="137">
        <v>1.06</v>
      </c>
      <c r="S687" s="120">
        <v>38165</v>
      </c>
      <c r="T687" s="120">
        <v>734690</v>
      </c>
      <c r="U687" s="120">
        <v>0</v>
      </c>
      <c r="V687" s="114">
        <f t="shared" si="22"/>
        <v>734690</v>
      </c>
      <c r="W687" s="114">
        <f t="shared" si="23"/>
        <v>772855</v>
      </c>
    </row>
    <row r="688" spans="1:23">
      <c r="A688" s="122" t="s">
        <v>1036</v>
      </c>
      <c r="B688" s="124">
        <v>1021.728</v>
      </c>
      <c r="C688" s="124">
        <v>1056.3330000000001</v>
      </c>
      <c r="D688" s="124">
        <v>1048.6279999999999</v>
      </c>
      <c r="E688" s="124">
        <v>1064.943</v>
      </c>
      <c r="F688" s="124">
        <v>169.76650000000001</v>
      </c>
      <c r="G688" s="124">
        <v>177.7311</v>
      </c>
      <c r="H688" s="124">
        <v>183.26519999999999</v>
      </c>
      <c r="I688" s="124">
        <v>199.12780000000001</v>
      </c>
      <c r="J688" s="134">
        <v>69950394</v>
      </c>
      <c r="K688" s="134">
        <v>79883494</v>
      </c>
      <c r="L688" s="124">
        <v>1662.3420000000001</v>
      </c>
      <c r="M688" s="134">
        <v>35757</v>
      </c>
      <c r="N688" s="135">
        <v>114.22369999999999</v>
      </c>
      <c r="O688" s="135">
        <v>123.5155</v>
      </c>
      <c r="P688" s="135">
        <v>119.6245</v>
      </c>
      <c r="Q688" s="135">
        <v>113.98569999999999</v>
      </c>
      <c r="R688" s="137">
        <v>1.07</v>
      </c>
      <c r="S688" s="120">
        <v>88438</v>
      </c>
      <c r="T688" s="120">
        <v>1068651</v>
      </c>
      <c r="U688" s="120">
        <v>0</v>
      </c>
      <c r="V688" s="114">
        <f t="shared" si="22"/>
        <v>1068651</v>
      </c>
      <c r="W688" s="114">
        <f t="shared" si="23"/>
        <v>1157089</v>
      </c>
    </row>
    <row r="689" spans="1:23">
      <c r="A689" s="122" t="s">
        <v>199</v>
      </c>
      <c r="B689" s="124">
        <v>1946.808</v>
      </c>
      <c r="C689" s="124">
        <v>1966.787</v>
      </c>
      <c r="D689" s="124">
        <v>2009.1030000000001</v>
      </c>
      <c r="E689" s="124">
        <v>2004.413</v>
      </c>
      <c r="F689" s="124">
        <v>321.93259999999998</v>
      </c>
      <c r="G689" s="124">
        <v>339.67070000000001</v>
      </c>
      <c r="H689" s="124">
        <v>333.54070000000002</v>
      </c>
      <c r="I689" s="124">
        <v>347.37470000000002</v>
      </c>
      <c r="J689" s="134">
        <v>240352357</v>
      </c>
      <c r="K689" s="134">
        <v>261789440</v>
      </c>
      <c r="L689" s="124">
        <v>2764.6320000000001</v>
      </c>
      <c r="M689" s="114">
        <v>0</v>
      </c>
      <c r="N689" s="135">
        <v>223.6739</v>
      </c>
      <c r="O689" s="135">
        <v>228.8887</v>
      </c>
      <c r="P689" s="135">
        <v>225.74639999999999</v>
      </c>
      <c r="Q689" s="135">
        <v>236.53380000000001</v>
      </c>
      <c r="R689" s="137">
        <v>1.08</v>
      </c>
      <c r="S689" s="120">
        <v>226786</v>
      </c>
      <c r="T689" s="120">
        <v>3708922</v>
      </c>
      <c r="U689" s="120">
        <v>0</v>
      </c>
      <c r="V689" s="114">
        <f t="shared" si="22"/>
        <v>3708922</v>
      </c>
      <c r="W689" s="114">
        <f t="shared" si="23"/>
        <v>3935708</v>
      </c>
    </row>
    <row r="690" spans="1:23">
      <c r="A690" s="122" t="s">
        <v>2896</v>
      </c>
      <c r="B690" s="124">
        <v>2742.0149999999999</v>
      </c>
      <c r="C690" s="124">
        <v>2747.3429999999998</v>
      </c>
      <c r="D690" s="124">
        <v>2788.3159999999998</v>
      </c>
      <c r="E690" s="124">
        <v>2782.9059999999999</v>
      </c>
      <c r="F690" s="124">
        <v>374.39640000000003</v>
      </c>
      <c r="G690" s="124">
        <v>398.12650000000002</v>
      </c>
      <c r="H690" s="124">
        <v>421.7527</v>
      </c>
      <c r="I690" s="124">
        <v>417.55500000000001</v>
      </c>
      <c r="J690" s="134">
        <v>416163895</v>
      </c>
      <c r="K690" s="134">
        <v>448544578</v>
      </c>
      <c r="L690" s="124">
        <v>3847.489</v>
      </c>
      <c r="M690" s="114">
        <v>0</v>
      </c>
      <c r="N690" s="135">
        <v>226.5788</v>
      </c>
      <c r="O690" s="135">
        <v>229.28960000000001</v>
      </c>
      <c r="P690" s="135">
        <v>234.55340000000001</v>
      </c>
      <c r="Q690" s="135">
        <v>233.8278</v>
      </c>
      <c r="R690" s="137">
        <v>1.08</v>
      </c>
      <c r="S690" s="120">
        <v>538146</v>
      </c>
      <c r="T690" s="120">
        <v>6430129</v>
      </c>
      <c r="U690" s="120">
        <v>0</v>
      </c>
      <c r="V690" s="114">
        <f t="shared" si="22"/>
        <v>6430129</v>
      </c>
      <c r="W690" s="114">
        <f t="shared" si="23"/>
        <v>6968275</v>
      </c>
    </row>
    <row r="691" spans="1:23">
      <c r="A691" s="122" t="s">
        <v>2978</v>
      </c>
      <c r="B691" s="124">
        <v>441.536</v>
      </c>
      <c r="C691" s="124">
        <v>431.88600000000002</v>
      </c>
      <c r="D691" s="124">
        <v>418.84300000000002</v>
      </c>
      <c r="E691" s="124">
        <v>390.13799999999998</v>
      </c>
      <c r="F691" s="124">
        <v>91.871700000000004</v>
      </c>
      <c r="G691" s="124">
        <v>92.459900000000005</v>
      </c>
      <c r="H691" s="124">
        <v>101.0134</v>
      </c>
      <c r="I691" s="124">
        <v>96.3262</v>
      </c>
      <c r="J691" s="134">
        <v>72057638</v>
      </c>
      <c r="K691" s="134">
        <v>77480828</v>
      </c>
      <c r="L691" s="124">
        <v>786.43100000000004</v>
      </c>
      <c r="M691" s="114">
        <v>0</v>
      </c>
      <c r="N691" s="135">
        <v>55.083500000000001</v>
      </c>
      <c r="O691" s="135">
        <v>55.885599999999997</v>
      </c>
      <c r="P691" s="135">
        <v>59.995100000000001</v>
      </c>
      <c r="Q691" s="135">
        <v>51.234200000000001</v>
      </c>
      <c r="R691" s="137">
        <v>1.06</v>
      </c>
      <c r="S691" s="120">
        <v>0</v>
      </c>
      <c r="T691" s="120">
        <v>1196027</v>
      </c>
      <c r="U691" s="120">
        <v>0</v>
      </c>
      <c r="V691" s="114">
        <f t="shared" si="22"/>
        <v>1196027</v>
      </c>
      <c r="W691" s="114">
        <f t="shared" si="23"/>
        <v>1196027</v>
      </c>
    </row>
    <row r="692" spans="1:23">
      <c r="A692" s="122" t="s">
        <v>2899</v>
      </c>
      <c r="B692" s="124">
        <v>19665.580000000002</v>
      </c>
      <c r="C692" s="124">
        <v>19147.784</v>
      </c>
      <c r="D692" s="124">
        <v>19324.633000000002</v>
      </c>
      <c r="E692" s="124">
        <v>19264.473000000002</v>
      </c>
      <c r="F692" s="124">
        <v>2801.3631</v>
      </c>
      <c r="G692" s="124">
        <v>2724.4488000000001</v>
      </c>
      <c r="H692" s="124">
        <v>2704.0740999999998</v>
      </c>
      <c r="I692" s="124">
        <v>2760.0693999999999</v>
      </c>
      <c r="J692" s="134">
        <v>4552993275</v>
      </c>
      <c r="K692" s="134">
        <v>4778487655</v>
      </c>
      <c r="L692" s="124">
        <v>24701.287</v>
      </c>
      <c r="M692" s="134">
        <v>2083494</v>
      </c>
      <c r="N692" s="135">
        <v>1621.8264999999999</v>
      </c>
      <c r="O692" s="135">
        <v>1575.8389999999999</v>
      </c>
      <c r="P692" s="135">
        <v>1565.9893</v>
      </c>
      <c r="Q692" s="135">
        <v>1587.6152999999999</v>
      </c>
      <c r="R692" s="137">
        <v>1.1399999999999999</v>
      </c>
      <c r="S692" s="120">
        <v>4640399</v>
      </c>
      <c r="T692" s="120">
        <v>66133041</v>
      </c>
      <c r="U692" s="120">
        <v>0</v>
      </c>
      <c r="V692" s="114">
        <f t="shared" si="22"/>
        <v>66133041</v>
      </c>
      <c r="W692" s="114">
        <f t="shared" si="23"/>
        <v>70773440</v>
      </c>
    </row>
    <row r="693" spans="1:23">
      <c r="A693" s="122" t="s">
        <v>1475</v>
      </c>
      <c r="B693" s="124">
        <v>1543.8969999999999</v>
      </c>
      <c r="C693" s="124">
        <v>1496.998</v>
      </c>
      <c r="D693" s="124">
        <v>1487.681</v>
      </c>
      <c r="E693" s="124">
        <v>1446.472</v>
      </c>
      <c r="F693" s="124">
        <v>175.2569</v>
      </c>
      <c r="G693" s="124">
        <v>174.1713</v>
      </c>
      <c r="H693" s="124">
        <v>173.749</v>
      </c>
      <c r="I693" s="124">
        <v>173.5403</v>
      </c>
      <c r="J693" s="134">
        <v>261741156</v>
      </c>
      <c r="K693" s="134">
        <v>271840816</v>
      </c>
      <c r="L693" s="124">
        <v>1931.643</v>
      </c>
      <c r="M693" s="114">
        <v>0</v>
      </c>
      <c r="N693" s="135">
        <v>123.14879999999999</v>
      </c>
      <c r="O693" s="135">
        <v>126.35680000000001</v>
      </c>
      <c r="P693" s="135">
        <v>123.7914</v>
      </c>
      <c r="Q693" s="135">
        <v>121.4254</v>
      </c>
      <c r="R693" s="137">
        <v>1.0900000000000001</v>
      </c>
      <c r="S693" s="120">
        <v>0</v>
      </c>
      <c r="T693" s="120">
        <v>3664066</v>
      </c>
      <c r="U693" s="120">
        <v>0</v>
      </c>
      <c r="V693" s="114">
        <f t="shared" si="22"/>
        <v>3664066</v>
      </c>
      <c r="W693" s="114">
        <f t="shared" si="23"/>
        <v>3664066</v>
      </c>
    </row>
    <row r="694" spans="1:23">
      <c r="A694" s="122" t="s">
        <v>2156</v>
      </c>
      <c r="B694" s="124">
        <v>1580.2760000000001</v>
      </c>
      <c r="C694" s="124">
        <v>1586.9570000000001</v>
      </c>
      <c r="D694" s="124">
        <v>1562.55</v>
      </c>
      <c r="E694" s="124">
        <v>1537.1179999999999</v>
      </c>
      <c r="F694" s="124">
        <v>252.24289999999999</v>
      </c>
      <c r="G694" s="124">
        <v>255.4152</v>
      </c>
      <c r="H694" s="124">
        <v>257.71460000000002</v>
      </c>
      <c r="I694" s="124">
        <v>265.81920000000002</v>
      </c>
      <c r="J694" s="134">
        <v>190768617</v>
      </c>
      <c r="K694" s="134">
        <v>209573887</v>
      </c>
      <c r="L694" s="124">
        <v>2242.54</v>
      </c>
      <c r="M694" s="134">
        <v>93059</v>
      </c>
      <c r="N694" s="135">
        <v>181.1636</v>
      </c>
      <c r="O694" s="135">
        <v>176.13059999999999</v>
      </c>
      <c r="P694" s="135">
        <v>174.77930000000001</v>
      </c>
      <c r="Q694" s="135">
        <v>177.14400000000001</v>
      </c>
      <c r="R694" s="137">
        <v>1.08</v>
      </c>
      <c r="S694" s="120">
        <v>644951</v>
      </c>
      <c r="T694" s="120">
        <v>2848135</v>
      </c>
      <c r="U694" s="120">
        <v>0</v>
      </c>
      <c r="V694" s="114">
        <f t="shared" si="22"/>
        <v>2848135</v>
      </c>
      <c r="W694" s="114">
        <f t="shared" si="23"/>
        <v>3493086</v>
      </c>
    </row>
    <row r="695" spans="1:23">
      <c r="A695" s="122" t="s">
        <v>1536</v>
      </c>
      <c r="B695" s="124">
        <v>141.78299999999999</v>
      </c>
      <c r="C695" s="124">
        <v>153.70599999999999</v>
      </c>
      <c r="D695" s="124">
        <v>149.06399999999999</v>
      </c>
      <c r="E695" s="124">
        <v>143.04599999999999</v>
      </c>
      <c r="F695" s="124">
        <v>22.8049</v>
      </c>
      <c r="G695" s="124">
        <v>24.849599999999999</v>
      </c>
      <c r="H695" s="124">
        <v>24.919799999999999</v>
      </c>
      <c r="I695" s="124">
        <v>25.9358</v>
      </c>
      <c r="J695" s="134">
        <v>36953283</v>
      </c>
      <c r="K695" s="134">
        <v>39236778</v>
      </c>
      <c r="L695" s="124">
        <v>245.95400000000001</v>
      </c>
      <c r="M695" s="134">
        <v>28158</v>
      </c>
      <c r="N695" s="135">
        <v>15.438599999999999</v>
      </c>
      <c r="O695" s="135">
        <v>16.728100000000001</v>
      </c>
      <c r="P695" s="135">
        <v>17</v>
      </c>
      <c r="Q695" s="135">
        <v>18.0002</v>
      </c>
      <c r="R695" s="137">
        <v>1.08</v>
      </c>
      <c r="S695" s="120">
        <v>754</v>
      </c>
      <c r="T695" s="120">
        <v>562999</v>
      </c>
      <c r="U695" s="120">
        <v>0</v>
      </c>
      <c r="V695" s="114">
        <f t="shared" si="22"/>
        <v>562999</v>
      </c>
      <c r="W695" s="114">
        <f t="shared" si="23"/>
        <v>563753</v>
      </c>
    </row>
    <row r="696" spans="1:23">
      <c r="A696" s="122" t="s">
        <v>2900</v>
      </c>
      <c r="B696" s="124">
        <v>354.91500000000002</v>
      </c>
      <c r="C696" s="124">
        <v>384.53300000000002</v>
      </c>
      <c r="D696" s="124">
        <v>372.92</v>
      </c>
      <c r="E696" s="124">
        <v>374.93299999999999</v>
      </c>
      <c r="F696" s="124">
        <v>69.4482</v>
      </c>
      <c r="G696" s="124">
        <v>66.780799999999999</v>
      </c>
      <c r="H696" s="124">
        <v>69.034700000000001</v>
      </c>
      <c r="I696" s="124">
        <v>74.860900000000001</v>
      </c>
      <c r="J696" s="134">
        <v>39137080</v>
      </c>
      <c r="K696" s="134">
        <v>43103370</v>
      </c>
      <c r="L696" s="124">
        <v>635.60799999999995</v>
      </c>
      <c r="M696" s="114">
        <v>0</v>
      </c>
      <c r="N696" s="135">
        <v>49.217199999999998</v>
      </c>
      <c r="O696" s="135">
        <v>49.409500000000001</v>
      </c>
      <c r="P696" s="135">
        <v>49.161299999999997</v>
      </c>
      <c r="Q696" s="135">
        <v>50.4236</v>
      </c>
      <c r="R696" s="137">
        <v>1.06</v>
      </c>
      <c r="S696" s="120">
        <v>0</v>
      </c>
      <c r="T696" s="120">
        <v>696669</v>
      </c>
      <c r="U696" s="120">
        <v>0</v>
      </c>
      <c r="V696" s="114">
        <f t="shared" si="22"/>
        <v>696669</v>
      </c>
      <c r="W696" s="114">
        <f t="shared" si="23"/>
        <v>696669</v>
      </c>
    </row>
    <row r="697" spans="1:23">
      <c r="A697" s="122" t="s">
        <v>2513</v>
      </c>
      <c r="B697" s="124">
        <v>1738.0429999999999</v>
      </c>
      <c r="C697" s="124">
        <v>1704.8230000000001</v>
      </c>
      <c r="D697" s="124">
        <v>1724.1389999999999</v>
      </c>
      <c r="E697" s="124">
        <v>1764.8430000000001</v>
      </c>
      <c r="F697" s="124">
        <v>228.11009999999999</v>
      </c>
      <c r="G697" s="124">
        <v>234.8905</v>
      </c>
      <c r="H697" s="124">
        <v>240.4761</v>
      </c>
      <c r="I697" s="124">
        <v>234.05410000000001</v>
      </c>
      <c r="J697" s="134">
        <v>551458838</v>
      </c>
      <c r="K697" s="134">
        <v>571816054</v>
      </c>
      <c r="L697" s="124">
        <v>2591.2130000000002</v>
      </c>
      <c r="M697" s="114">
        <v>0</v>
      </c>
      <c r="N697" s="135">
        <v>146.2457</v>
      </c>
      <c r="O697" s="135">
        <v>148.3749</v>
      </c>
      <c r="P697" s="135">
        <v>148.9247</v>
      </c>
      <c r="Q697" s="135">
        <v>146.99549999999999</v>
      </c>
      <c r="R697" s="137">
        <v>1.08</v>
      </c>
      <c r="S697" s="120">
        <v>0</v>
      </c>
      <c r="T697" s="120">
        <v>7926986</v>
      </c>
      <c r="U697" s="120">
        <v>0</v>
      </c>
      <c r="V697" s="114">
        <f t="shared" si="22"/>
        <v>7926986</v>
      </c>
      <c r="W697" s="114">
        <f t="shared" si="23"/>
        <v>7926986</v>
      </c>
    </row>
    <row r="698" spans="1:23">
      <c r="A698" s="122" t="s">
        <v>1046</v>
      </c>
      <c r="B698" s="124">
        <v>483.87</v>
      </c>
      <c r="C698" s="124">
        <v>501.37200000000001</v>
      </c>
      <c r="D698" s="124">
        <v>494.733</v>
      </c>
      <c r="E698" s="124">
        <v>511.16699999999997</v>
      </c>
      <c r="F698" s="124">
        <v>70.9298</v>
      </c>
      <c r="G698" s="124">
        <v>77.930700000000002</v>
      </c>
      <c r="H698" s="124">
        <v>82.247100000000003</v>
      </c>
      <c r="I698" s="124">
        <v>84.831100000000006</v>
      </c>
      <c r="J698" s="134">
        <v>63704165</v>
      </c>
      <c r="K698" s="134">
        <v>70331095</v>
      </c>
      <c r="L698" s="124">
        <v>831.58199999999999</v>
      </c>
      <c r="M698" s="134">
        <v>61421</v>
      </c>
      <c r="N698" s="135">
        <v>53.284999999999997</v>
      </c>
      <c r="O698" s="135">
        <v>59.476599999999998</v>
      </c>
      <c r="P698" s="135">
        <v>63.144799999999996</v>
      </c>
      <c r="Q698" s="135">
        <v>63.096299999999999</v>
      </c>
      <c r="R698" s="137">
        <v>1.06</v>
      </c>
      <c r="S698" s="120">
        <v>124071</v>
      </c>
      <c r="T698" s="120">
        <v>1020475</v>
      </c>
      <c r="U698" s="120">
        <v>0</v>
      </c>
      <c r="V698" s="114">
        <f t="shared" si="22"/>
        <v>1020475</v>
      </c>
      <c r="W698" s="114">
        <f t="shared" si="23"/>
        <v>1144546</v>
      </c>
    </row>
    <row r="699" spans="1:23">
      <c r="A699" s="122" t="s">
        <v>409</v>
      </c>
      <c r="B699" s="124">
        <v>188.13800000000001</v>
      </c>
      <c r="C699" s="124">
        <v>187.94499999999999</v>
      </c>
      <c r="D699" s="124">
        <v>197.62</v>
      </c>
      <c r="E699" s="124">
        <v>199.874</v>
      </c>
      <c r="F699" s="124">
        <v>39.832900000000002</v>
      </c>
      <c r="G699" s="124">
        <v>39.812800000000003</v>
      </c>
      <c r="H699" s="124">
        <v>41.037399999999998</v>
      </c>
      <c r="I699" s="124">
        <v>41.3583</v>
      </c>
      <c r="J699" s="134">
        <v>18064777</v>
      </c>
      <c r="K699" s="134">
        <v>19671927</v>
      </c>
      <c r="L699" s="124">
        <v>376.71100000000001</v>
      </c>
      <c r="M699" s="114">
        <v>0</v>
      </c>
      <c r="N699" s="135">
        <v>28.394100000000002</v>
      </c>
      <c r="O699" s="135">
        <v>28.702999999999999</v>
      </c>
      <c r="P699" s="135">
        <v>29.7029</v>
      </c>
      <c r="Q699" s="135">
        <v>28.7026</v>
      </c>
      <c r="R699" s="137">
        <v>1.08</v>
      </c>
      <c r="S699" s="120">
        <v>14130</v>
      </c>
      <c r="T699" s="120">
        <v>279930</v>
      </c>
      <c r="U699" s="120">
        <v>0</v>
      </c>
      <c r="V699" s="114">
        <f t="shared" si="22"/>
        <v>279930</v>
      </c>
      <c r="W699" s="114">
        <f t="shared" si="23"/>
        <v>294060</v>
      </c>
    </row>
    <row r="700" spans="1:23">
      <c r="A700" s="122" t="s">
        <v>1436</v>
      </c>
      <c r="B700" s="124">
        <v>637.23299999999995</v>
      </c>
      <c r="C700" s="124">
        <v>633.61199999999997</v>
      </c>
      <c r="D700" s="124">
        <v>631.774</v>
      </c>
      <c r="E700" s="124">
        <v>625.86900000000003</v>
      </c>
      <c r="F700" s="124">
        <v>116.41540000000001</v>
      </c>
      <c r="G700" s="124">
        <v>107.78870000000001</v>
      </c>
      <c r="H700" s="124">
        <v>103.0428</v>
      </c>
      <c r="I700" s="124">
        <v>94.971900000000005</v>
      </c>
      <c r="J700" s="134">
        <v>85701003</v>
      </c>
      <c r="K700" s="134">
        <v>94250506</v>
      </c>
      <c r="L700" s="124">
        <v>1223.1410000000001</v>
      </c>
      <c r="M700" s="134">
        <v>45866</v>
      </c>
      <c r="N700" s="135">
        <v>81.123500000000007</v>
      </c>
      <c r="O700" s="135">
        <v>77.599500000000006</v>
      </c>
      <c r="P700" s="135">
        <v>71.0852</v>
      </c>
      <c r="Q700" s="135">
        <v>63.6785</v>
      </c>
      <c r="R700" s="137">
        <v>1.04</v>
      </c>
      <c r="S700" s="120">
        <v>115564</v>
      </c>
      <c r="T700" s="120">
        <v>1129934</v>
      </c>
      <c r="U700" s="120">
        <v>0</v>
      </c>
      <c r="V700" s="114">
        <f t="shared" si="22"/>
        <v>1129934</v>
      </c>
      <c r="W700" s="114">
        <f t="shared" si="23"/>
        <v>1245498</v>
      </c>
    </row>
    <row r="701" spans="1:23">
      <c r="A701" s="122" t="s">
        <v>3070</v>
      </c>
      <c r="B701" s="124">
        <v>144.37200000000001</v>
      </c>
      <c r="C701" s="124">
        <v>144.316</v>
      </c>
      <c r="D701" s="124">
        <v>139.958</v>
      </c>
      <c r="E701" s="124">
        <v>123.76</v>
      </c>
      <c r="F701" s="124">
        <v>43.812800000000003</v>
      </c>
      <c r="G701" s="124">
        <v>42.828899999999997</v>
      </c>
      <c r="H701" s="124">
        <v>41.518700000000003</v>
      </c>
      <c r="I701" s="124">
        <v>41.5749</v>
      </c>
      <c r="J701" s="134">
        <v>34911415</v>
      </c>
      <c r="K701" s="134">
        <v>37366989</v>
      </c>
      <c r="L701" s="124">
        <v>395.57799999999997</v>
      </c>
      <c r="M701" s="114">
        <v>0</v>
      </c>
      <c r="N701" s="135">
        <v>28.495999999999999</v>
      </c>
      <c r="O701" s="135">
        <v>28.8521</v>
      </c>
      <c r="P701" s="135">
        <v>28.208500000000001</v>
      </c>
      <c r="Q701" s="135">
        <v>29.3157</v>
      </c>
      <c r="R701" s="137">
        <v>1.05</v>
      </c>
      <c r="S701" s="120">
        <v>0</v>
      </c>
      <c r="T701" s="120">
        <v>473951</v>
      </c>
      <c r="U701" s="120">
        <v>0</v>
      </c>
      <c r="V701" s="114">
        <f t="shared" si="22"/>
        <v>473951</v>
      </c>
      <c r="W701" s="114">
        <f t="shared" si="23"/>
        <v>473951</v>
      </c>
    </row>
    <row r="702" spans="1:23">
      <c r="A702" s="122" t="s">
        <v>3071</v>
      </c>
      <c r="B702" s="124">
        <v>102.42</v>
      </c>
      <c r="C702" s="124">
        <v>106.586</v>
      </c>
      <c r="D702" s="124">
        <v>103.367</v>
      </c>
      <c r="E702" s="124">
        <v>98.436000000000007</v>
      </c>
      <c r="F702" s="124">
        <v>27.61</v>
      </c>
      <c r="G702" s="124">
        <v>25.962599999999998</v>
      </c>
      <c r="H702" s="124">
        <v>33.443899999999999</v>
      </c>
      <c r="I702" s="124">
        <v>32.981299999999997</v>
      </c>
      <c r="J702" s="134">
        <v>14708052</v>
      </c>
      <c r="K702" s="134">
        <v>15621525</v>
      </c>
      <c r="L702" s="124">
        <v>384.178</v>
      </c>
      <c r="M702" s="114">
        <v>0</v>
      </c>
      <c r="N702" s="135">
        <v>18.0001</v>
      </c>
      <c r="O702" s="135">
        <v>19.0016</v>
      </c>
      <c r="P702" s="135">
        <v>22.381499999999999</v>
      </c>
      <c r="Q702" s="135">
        <v>20.499099999999999</v>
      </c>
      <c r="R702" s="137">
        <v>1.04</v>
      </c>
      <c r="S702" s="120">
        <v>0</v>
      </c>
      <c r="T702" s="120">
        <v>195837</v>
      </c>
      <c r="U702" s="120">
        <v>0</v>
      </c>
      <c r="V702" s="114">
        <f t="shared" si="22"/>
        <v>195837</v>
      </c>
      <c r="W702" s="114">
        <f t="shared" si="23"/>
        <v>195837</v>
      </c>
    </row>
    <row r="703" spans="1:23">
      <c r="A703" s="122" t="s">
        <v>2267</v>
      </c>
      <c r="B703" s="124">
        <v>109.75</v>
      </c>
      <c r="C703" s="124">
        <v>98.804000000000002</v>
      </c>
      <c r="D703" s="124">
        <v>97.429000000000002</v>
      </c>
      <c r="E703" s="124">
        <v>98.114000000000004</v>
      </c>
      <c r="F703" s="124">
        <v>22.4893</v>
      </c>
      <c r="G703" s="124">
        <v>22</v>
      </c>
      <c r="H703" s="124">
        <v>22.465199999999999</v>
      </c>
      <c r="I703" s="124">
        <v>24</v>
      </c>
      <c r="J703" s="134">
        <v>12396970</v>
      </c>
      <c r="K703" s="134">
        <v>13649264</v>
      </c>
      <c r="L703" s="124">
        <v>263.80500000000001</v>
      </c>
      <c r="M703" s="114">
        <v>0</v>
      </c>
      <c r="N703" s="135">
        <v>15.882199999999999</v>
      </c>
      <c r="O703" s="135">
        <v>14.9993</v>
      </c>
      <c r="P703" s="135">
        <v>16.000399999999999</v>
      </c>
      <c r="Q703" s="135">
        <v>17.0002</v>
      </c>
      <c r="R703" s="137">
        <v>1.05</v>
      </c>
      <c r="S703" s="120">
        <v>6578</v>
      </c>
      <c r="T703" s="120">
        <v>153100</v>
      </c>
      <c r="U703" s="120">
        <v>0</v>
      </c>
      <c r="V703" s="114">
        <f t="shared" si="22"/>
        <v>153100</v>
      </c>
      <c r="W703" s="114">
        <f t="shared" si="23"/>
        <v>159678</v>
      </c>
    </row>
    <row r="704" spans="1:23">
      <c r="A704" s="122" t="s">
        <v>3072</v>
      </c>
      <c r="B704" s="124">
        <v>1043.5920000000001</v>
      </c>
      <c r="C704" s="124">
        <v>1010.272</v>
      </c>
      <c r="D704" s="124">
        <v>979.76199999999994</v>
      </c>
      <c r="E704" s="124">
        <v>942.98400000000004</v>
      </c>
      <c r="F704" s="124">
        <v>187.5609</v>
      </c>
      <c r="G704" s="124">
        <v>195.63319999999999</v>
      </c>
      <c r="H704" s="124">
        <v>199.87970000000001</v>
      </c>
      <c r="I704" s="124">
        <v>188.0873</v>
      </c>
      <c r="J704" s="134">
        <v>214086147</v>
      </c>
      <c r="K704" s="134">
        <v>226007757</v>
      </c>
      <c r="L704" s="124">
        <v>1612.2170000000001</v>
      </c>
      <c r="M704" s="114">
        <v>0</v>
      </c>
      <c r="N704" s="135">
        <v>128.58969999999999</v>
      </c>
      <c r="O704" s="135">
        <v>128.81460000000001</v>
      </c>
      <c r="P704" s="135">
        <v>129.76310000000001</v>
      </c>
      <c r="Q704" s="135">
        <v>120.6216</v>
      </c>
      <c r="R704" s="137">
        <v>1.07</v>
      </c>
      <c r="S704" s="120">
        <v>0</v>
      </c>
      <c r="T704" s="120">
        <v>3047153</v>
      </c>
      <c r="U704" s="120">
        <v>0</v>
      </c>
      <c r="V704" s="114">
        <f t="shared" si="22"/>
        <v>3047153</v>
      </c>
      <c r="W704" s="114">
        <f t="shared" si="23"/>
        <v>3047153</v>
      </c>
    </row>
    <row r="705" spans="1:23">
      <c r="A705" s="122" t="s">
        <v>3073</v>
      </c>
      <c r="B705" s="124">
        <v>159.29300000000001</v>
      </c>
      <c r="C705" s="124">
        <v>161.21199999999999</v>
      </c>
      <c r="D705" s="124">
        <v>156.613</v>
      </c>
      <c r="E705" s="124">
        <v>155.042</v>
      </c>
      <c r="F705" s="124">
        <v>26.856000000000002</v>
      </c>
      <c r="G705" s="124">
        <v>27.056100000000001</v>
      </c>
      <c r="H705" s="124">
        <v>29.8797</v>
      </c>
      <c r="I705" s="124">
        <v>31.398399999999999</v>
      </c>
      <c r="J705" s="134">
        <v>22083605</v>
      </c>
      <c r="K705" s="134">
        <v>24447715</v>
      </c>
      <c r="L705" s="124">
        <v>294.71199999999999</v>
      </c>
      <c r="M705" s="114">
        <v>0</v>
      </c>
      <c r="N705" s="135">
        <v>18.349799999999998</v>
      </c>
      <c r="O705" s="135">
        <v>17.9895</v>
      </c>
      <c r="P705" s="135">
        <v>19.7852</v>
      </c>
      <c r="Q705" s="135">
        <v>21.0015</v>
      </c>
      <c r="R705" s="137">
        <v>1.06</v>
      </c>
      <c r="S705" s="120">
        <v>0</v>
      </c>
      <c r="T705" s="120">
        <v>348754</v>
      </c>
      <c r="U705" s="120">
        <v>0</v>
      </c>
      <c r="V705" s="114">
        <f t="shared" si="22"/>
        <v>348754</v>
      </c>
      <c r="W705" s="114">
        <f t="shared" si="23"/>
        <v>348754</v>
      </c>
    </row>
    <row r="706" spans="1:23">
      <c r="A706" s="122" t="s">
        <v>1676</v>
      </c>
      <c r="B706" s="124">
        <v>139.49700000000001</v>
      </c>
      <c r="C706" s="124">
        <v>138.113</v>
      </c>
      <c r="D706" s="124">
        <v>138.16200000000001</v>
      </c>
      <c r="E706" s="124">
        <v>134.33500000000001</v>
      </c>
      <c r="F706" s="124">
        <v>31.2059</v>
      </c>
      <c r="G706" s="124">
        <v>33.491999999999997</v>
      </c>
      <c r="H706" s="124">
        <v>34.9358</v>
      </c>
      <c r="I706" s="124">
        <v>33.9358</v>
      </c>
      <c r="J706" s="134">
        <v>127981285</v>
      </c>
      <c r="K706" s="134">
        <v>129801104</v>
      </c>
      <c r="L706" s="124">
        <v>234.86199999999999</v>
      </c>
      <c r="M706" s="114">
        <v>0</v>
      </c>
      <c r="N706" s="135">
        <v>17.508600000000001</v>
      </c>
      <c r="O706" s="135">
        <v>18.986799999999999</v>
      </c>
      <c r="P706" s="135">
        <v>20.834199999999999</v>
      </c>
      <c r="Q706" s="135">
        <v>20.354099999999999</v>
      </c>
      <c r="R706" s="137">
        <v>1.08</v>
      </c>
      <c r="S706" s="120">
        <v>0</v>
      </c>
      <c r="T706" s="120">
        <v>1659222</v>
      </c>
      <c r="U706" s="120">
        <v>0</v>
      </c>
      <c r="V706" s="114">
        <f t="shared" si="22"/>
        <v>1659222</v>
      </c>
      <c r="W706" s="114">
        <f t="shared" si="23"/>
        <v>1659222</v>
      </c>
    </row>
    <row r="707" spans="1:23">
      <c r="A707" s="122" t="s">
        <v>1494</v>
      </c>
      <c r="B707" s="124">
        <v>1538.269</v>
      </c>
      <c r="C707" s="124">
        <v>1511.0550000000001</v>
      </c>
      <c r="D707" s="124">
        <v>1554.9110000000001</v>
      </c>
      <c r="E707" s="124">
        <v>1547.655</v>
      </c>
      <c r="F707" s="124">
        <v>225.19470000000001</v>
      </c>
      <c r="G707" s="124">
        <v>214.3569</v>
      </c>
      <c r="H707" s="124">
        <v>213.44730000000001</v>
      </c>
      <c r="I707" s="124">
        <v>229.5059</v>
      </c>
      <c r="J707" s="134">
        <v>283738226</v>
      </c>
      <c r="K707" s="134">
        <v>310570541</v>
      </c>
      <c r="L707" s="124">
        <v>2136.5149999999999</v>
      </c>
      <c r="M707" s="114">
        <v>0</v>
      </c>
      <c r="N707" s="135">
        <v>154.33629999999999</v>
      </c>
      <c r="O707" s="135">
        <v>152.1301</v>
      </c>
      <c r="P707" s="135">
        <v>151.45400000000001</v>
      </c>
      <c r="Q707" s="135">
        <v>162.9495</v>
      </c>
      <c r="R707" s="137">
        <v>1.07</v>
      </c>
      <c r="S707" s="120">
        <v>0</v>
      </c>
      <c r="T707" s="120">
        <v>4510802</v>
      </c>
      <c r="U707" s="120">
        <v>0</v>
      </c>
      <c r="V707" s="114">
        <f t="shared" si="22"/>
        <v>4510802</v>
      </c>
      <c r="W707" s="114">
        <f t="shared" si="23"/>
        <v>4510802</v>
      </c>
    </row>
    <row r="708" spans="1:23">
      <c r="A708" s="122" t="s">
        <v>1612</v>
      </c>
      <c r="B708" s="124">
        <v>786.78499999999997</v>
      </c>
      <c r="C708" s="124">
        <v>778.65499999999997</v>
      </c>
      <c r="D708" s="124">
        <v>774.12</v>
      </c>
      <c r="E708" s="124">
        <v>779.60699999999997</v>
      </c>
      <c r="F708" s="124">
        <v>158.36449999999999</v>
      </c>
      <c r="G708" s="124">
        <v>150.92400000000001</v>
      </c>
      <c r="H708" s="124">
        <v>160.9171</v>
      </c>
      <c r="I708" s="124">
        <v>159.40260000000001</v>
      </c>
      <c r="J708" s="134">
        <v>107376109</v>
      </c>
      <c r="K708" s="134">
        <v>119107849</v>
      </c>
      <c r="L708" s="124">
        <v>1283.6579999999999</v>
      </c>
      <c r="M708" s="114">
        <v>0</v>
      </c>
      <c r="N708" s="135">
        <v>100.9064</v>
      </c>
      <c r="O708" s="135">
        <v>98.531000000000006</v>
      </c>
      <c r="P708" s="135">
        <v>104.84310000000001</v>
      </c>
      <c r="Q708" s="135">
        <v>102.10469999999999</v>
      </c>
      <c r="R708" s="137">
        <v>1.06</v>
      </c>
      <c r="S708" s="120">
        <v>0</v>
      </c>
      <c r="T708" s="120">
        <v>1654331</v>
      </c>
      <c r="U708" s="120">
        <v>0</v>
      </c>
      <c r="V708" s="114">
        <f t="shared" si="22"/>
        <v>1654331</v>
      </c>
      <c r="W708" s="114">
        <f t="shared" si="23"/>
        <v>1654331</v>
      </c>
    </row>
    <row r="709" spans="1:23">
      <c r="A709" s="122" t="s">
        <v>910</v>
      </c>
      <c r="B709" s="124">
        <v>97.716999999999999</v>
      </c>
      <c r="C709" s="124">
        <v>108.723</v>
      </c>
      <c r="D709" s="124">
        <v>106.47199999999999</v>
      </c>
      <c r="E709" s="124">
        <v>103.523</v>
      </c>
      <c r="F709" s="124">
        <v>26.981300000000001</v>
      </c>
      <c r="G709" s="124">
        <v>28.831499999999998</v>
      </c>
      <c r="H709" s="124">
        <v>31.743400000000001</v>
      </c>
      <c r="I709" s="124">
        <v>29.259399999999999</v>
      </c>
      <c r="J709" s="134">
        <v>33929618</v>
      </c>
      <c r="K709" s="134">
        <v>35889178</v>
      </c>
      <c r="L709" s="124">
        <v>262.55599999999998</v>
      </c>
      <c r="M709" s="134">
        <v>68782</v>
      </c>
      <c r="N709" s="135">
        <v>18.002099999999999</v>
      </c>
      <c r="O709" s="135">
        <v>17.964200000000002</v>
      </c>
      <c r="P709" s="135">
        <v>20.457899999999999</v>
      </c>
      <c r="Q709" s="135">
        <v>18.815100000000001</v>
      </c>
      <c r="R709" s="137">
        <v>1.07</v>
      </c>
      <c r="S709" s="120">
        <v>105395</v>
      </c>
      <c r="T709" s="120">
        <v>619914</v>
      </c>
      <c r="U709" s="120">
        <v>0</v>
      </c>
      <c r="V709" s="114">
        <f t="shared" ref="V709:V761" si="24">T709+U709</f>
        <v>619914</v>
      </c>
      <c r="W709" s="114">
        <f t="shared" ref="W709:W761" si="25">V709+S709</f>
        <v>725309</v>
      </c>
    </row>
    <row r="710" spans="1:23">
      <c r="A710" s="122" t="s">
        <v>1685</v>
      </c>
      <c r="B710" s="124">
        <v>47.735999999999997</v>
      </c>
      <c r="C710" s="124">
        <v>51.843000000000004</v>
      </c>
      <c r="D710" s="124">
        <v>53.728999999999999</v>
      </c>
      <c r="E710" s="124">
        <v>53.042999999999999</v>
      </c>
      <c r="F710" s="124">
        <v>12.540100000000001</v>
      </c>
      <c r="G710" s="124">
        <v>15.002700000000001</v>
      </c>
      <c r="H710" s="124">
        <v>14.2963</v>
      </c>
      <c r="I710" s="124">
        <v>12.55</v>
      </c>
      <c r="J710" s="134">
        <v>13484640</v>
      </c>
      <c r="K710" s="134">
        <v>15128250</v>
      </c>
      <c r="L710" s="124">
        <v>129.24799999999999</v>
      </c>
      <c r="M710" s="114">
        <v>0</v>
      </c>
      <c r="N710" s="135">
        <v>7.9569999999999999</v>
      </c>
      <c r="O710" s="135">
        <v>7.9570999999999996</v>
      </c>
      <c r="P710" s="135">
        <v>9.2001000000000008</v>
      </c>
      <c r="Q710" s="135">
        <v>8.2194000000000003</v>
      </c>
      <c r="R710" s="137">
        <v>1.07</v>
      </c>
      <c r="S710" s="120">
        <v>0</v>
      </c>
      <c r="T710" s="120">
        <v>185859</v>
      </c>
      <c r="U710" s="120">
        <v>0</v>
      </c>
      <c r="V710" s="114">
        <f t="shared" si="24"/>
        <v>185859</v>
      </c>
      <c r="W710" s="114">
        <f t="shared" si="25"/>
        <v>185859</v>
      </c>
    </row>
    <row r="711" spans="1:23">
      <c r="A711" s="122" t="s">
        <v>1686</v>
      </c>
      <c r="B711" s="124">
        <v>118.806</v>
      </c>
      <c r="C711" s="124">
        <v>115.334</v>
      </c>
      <c r="D711" s="124">
        <v>111.84699999999999</v>
      </c>
      <c r="E711" s="124">
        <v>110.657</v>
      </c>
      <c r="F711" s="124">
        <v>27.353100000000001</v>
      </c>
      <c r="G711" s="124">
        <v>26.347799999999999</v>
      </c>
      <c r="H711" s="124">
        <v>26.853100000000001</v>
      </c>
      <c r="I711" s="124">
        <v>25.346499999999999</v>
      </c>
      <c r="J711" s="134">
        <v>55789290</v>
      </c>
      <c r="K711" s="134">
        <v>57736355</v>
      </c>
      <c r="L711" s="124">
        <v>259.14400000000001</v>
      </c>
      <c r="M711" s="114">
        <v>0</v>
      </c>
      <c r="N711" s="135">
        <v>17.503699999999998</v>
      </c>
      <c r="O711" s="135">
        <v>16.496700000000001</v>
      </c>
      <c r="P711" s="135">
        <v>17.9648</v>
      </c>
      <c r="Q711" s="135">
        <v>19.465800000000002</v>
      </c>
      <c r="R711" s="137">
        <v>1.06</v>
      </c>
      <c r="S711" s="120">
        <v>0</v>
      </c>
      <c r="T711" s="120">
        <v>775781</v>
      </c>
      <c r="U711" s="120">
        <v>0</v>
      </c>
      <c r="V711" s="114">
        <f t="shared" si="24"/>
        <v>775781</v>
      </c>
      <c r="W711" s="114">
        <f t="shared" si="25"/>
        <v>775781</v>
      </c>
    </row>
    <row r="712" spans="1:23">
      <c r="A712" s="122" t="s">
        <v>1445</v>
      </c>
      <c r="B712" s="124">
        <v>160.267</v>
      </c>
      <c r="C712" s="124">
        <v>148.56899999999999</v>
      </c>
      <c r="D712" s="124">
        <v>168.03399999999999</v>
      </c>
      <c r="E712" s="124">
        <v>163.37899999999999</v>
      </c>
      <c r="F712" s="124">
        <v>33.425199999999997</v>
      </c>
      <c r="G712" s="124">
        <v>34.339599999999997</v>
      </c>
      <c r="H712" s="124">
        <v>31.4252</v>
      </c>
      <c r="I712" s="124">
        <v>29.962599999999998</v>
      </c>
      <c r="J712" s="134">
        <v>25716072</v>
      </c>
      <c r="K712" s="134">
        <v>28295122</v>
      </c>
      <c r="L712" s="124">
        <v>295.40600000000001</v>
      </c>
      <c r="M712" s="134">
        <v>23842</v>
      </c>
      <c r="N712" s="135">
        <v>21.714500000000001</v>
      </c>
      <c r="O712" s="135">
        <v>22.415500000000002</v>
      </c>
      <c r="P712" s="135">
        <v>21.49</v>
      </c>
      <c r="Q712" s="135">
        <v>21.6694</v>
      </c>
      <c r="R712" s="137">
        <v>1.06</v>
      </c>
      <c r="S712" s="120">
        <v>28746</v>
      </c>
      <c r="T712" s="120">
        <v>428663</v>
      </c>
      <c r="U712" s="120">
        <v>0</v>
      </c>
      <c r="V712" s="114">
        <f t="shared" si="24"/>
        <v>428663</v>
      </c>
      <c r="W712" s="114">
        <f t="shared" si="25"/>
        <v>457409</v>
      </c>
    </row>
    <row r="713" spans="1:23">
      <c r="A713" s="122" t="s">
        <v>1724</v>
      </c>
      <c r="B713" s="124">
        <v>348.53199999999998</v>
      </c>
      <c r="C713" s="124">
        <v>331.20299999999997</v>
      </c>
      <c r="D713" s="124">
        <v>327.858</v>
      </c>
      <c r="E713" s="124">
        <v>325.39699999999999</v>
      </c>
      <c r="F713" s="124">
        <v>64.1477</v>
      </c>
      <c r="G713" s="124">
        <v>64.005399999999995</v>
      </c>
      <c r="H713" s="124">
        <v>68.844099999999997</v>
      </c>
      <c r="I713" s="124">
        <v>57.532800000000002</v>
      </c>
      <c r="J713" s="134">
        <v>49168743</v>
      </c>
      <c r="K713" s="134">
        <v>53612873</v>
      </c>
      <c r="L713" s="124">
        <v>554.30499999999995</v>
      </c>
      <c r="M713" s="134">
        <v>65050</v>
      </c>
      <c r="N713" s="135">
        <v>38.852400000000003</v>
      </c>
      <c r="O713" s="135">
        <v>41.979100000000003</v>
      </c>
      <c r="P713" s="135">
        <v>41.084800000000001</v>
      </c>
      <c r="Q713" s="135">
        <v>38.337299999999999</v>
      </c>
      <c r="R713" s="137">
        <v>1.05</v>
      </c>
      <c r="S713" s="120">
        <v>68907</v>
      </c>
      <c r="T713" s="120">
        <v>760708</v>
      </c>
      <c r="U713" s="120">
        <v>0</v>
      </c>
      <c r="V713" s="114">
        <f t="shared" si="24"/>
        <v>760708</v>
      </c>
      <c r="W713" s="114">
        <f t="shared" si="25"/>
        <v>829615</v>
      </c>
    </row>
    <row r="714" spans="1:23">
      <c r="A714" s="122" t="s">
        <v>2639</v>
      </c>
      <c r="B714" s="124">
        <v>30349.921999999999</v>
      </c>
      <c r="C714" s="124">
        <v>31872.761999999999</v>
      </c>
      <c r="D714" s="124">
        <v>33383.379000000001</v>
      </c>
      <c r="E714" s="124">
        <v>34502.572999999997</v>
      </c>
      <c r="F714" s="124">
        <v>4216.2970999999998</v>
      </c>
      <c r="G714" s="124">
        <v>4489.5911999999998</v>
      </c>
      <c r="H714" s="124">
        <v>4767.3343999999997</v>
      </c>
      <c r="I714" s="124">
        <v>4962.0517</v>
      </c>
      <c r="J714" s="134">
        <v>8644371509</v>
      </c>
      <c r="K714" s="134">
        <v>9030598625</v>
      </c>
      <c r="L714" s="124">
        <v>42818.383000000002</v>
      </c>
      <c r="M714" s="134">
        <v>18592869</v>
      </c>
      <c r="N714" s="135">
        <v>2512.4922000000001</v>
      </c>
      <c r="O714" s="135">
        <v>2637.0315000000001</v>
      </c>
      <c r="P714" s="135">
        <v>2818.4766</v>
      </c>
      <c r="Q714" s="135">
        <v>2943.7512999999999</v>
      </c>
      <c r="R714" s="137">
        <v>1.1599999999999999</v>
      </c>
      <c r="S714" s="120">
        <v>22206391</v>
      </c>
      <c r="T714" s="120">
        <v>149652841</v>
      </c>
      <c r="U714" s="120">
        <v>0</v>
      </c>
      <c r="V714" s="114">
        <f t="shared" si="24"/>
        <v>149652841</v>
      </c>
      <c r="W714" s="114">
        <f t="shared" si="25"/>
        <v>171859232</v>
      </c>
    </row>
    <row r="715" spans="1:23">
      <c r="A715" s="122" t="s">
        <v>1725</v>
      </c>
      <c r="B715" s="124">
        <v>3290.9270000000001</v>
      </c>
      <c r="C715" s="124">
        <v>3537.1489999999999</v>
      </c>
      <c r="D715" s="124">
        <v>3672.6709999999998</v>
      </c>
      <c r="E715" s="124">
        <v>3900.991</v>
      </c>
      <c r="F715" s="124">
        <v>441.54340000000002</v>
      </c>
      <c r="G715" s="124">
        <v>474.96390000000002</v>
      </c>
      <c r="H715" s="124">
        <v>513.22990000000004</v>
      </c>
      <c r="I715" s="124">
        <v>538.26509999999996</v>
      </c>
      <c r="J715" s="134">
        <v>1396839709</v>
      </c>
      <c r="K715" s="134">
        <v>1463189819</v>
      </c>
      <c r="L715" s="124">
        <v>4952.9120000000003</v>
      </c>
      <c r="M715" s="134">
        <v>1524440</v>
      </c>
      <c r="N715" s="135">
        <v>260.87329999999997</v>
      </c>
      <c r="O715" s="135">
        <v>279.34460000000001</v>
      </c>
      <c r="P715" s="135">
        <v>299.26909999999998</v>
      </c>
      <c r="Q715" s="135">
        <v>315.52069999999998</v>
      </c>
      <c r="R715" s="137">
        <v>1.1200000000000001</v>
      </c>
      <c r="S715" s="120">
        <v>3876437</v>
      </c>
      <c r="T715" s="120">
        <v>23936699</v>
      </c>
      <c r="U715" s="120">
        <v>0</v>
      </c>
      <c r="V715" s="114">
        <f t="shared" si="24"/>
        <v>23936699</v>
      </c>
      <c r="W715" s="114">
        <f t="shared" si="25"/>
        <v>27813136</v>
      </c>
    </row>
    <row r="716" spans="1:23">
      <c r="A716" s="122" t="s">
        <v>1349</v>
      </c>
      <c r="B716" s="124">
        <v>4051.759</v>
      </c>
      <c r="C716" s="124">
        <v>4067.2550000000001</v>
      </c>
      <c r="D716" s="124">
        <v>4107.518</v>
      </c>
      <c r="E716" s="124">
        <v>4168.8599999999997</v>
      </c>
      <c r="F716" s="124">
        <v>587.84969999999998</v>
      </c>
      <c r="G716" s="124">
        <v>568.97280000000001</v>
      </c>
      <c r="H716" s="124">
        <v>581.5213</v>
      </c>
      <c r="I716" s="124">
        <v>583.07709999999997</v>
      </c>
      <c r="J716" s="134">
        <v>869123122</v>
      </c>
      <c r="K716" s="134">
        <v>931964802</v>
      </c>
      <c r="L716" s="124">
        <v>5603.7190000000001</v>
      </c>
      <c r="M716" s="134">
        <v>975966</v>
      </c>
      <c r="N716" s="135">
        <v>341.08229999999998</v>
      </c>
      <c r="O716" s="135">
        <v>349.87180000000001</v>
      </c>
      <c r="P716" s="135">
        <v>349.70280000000002</v>
      </c>
      <c r="Q716" s="135">
        <v>346.7285</v>
      </c>
      <c r="R716" s="137">
        <v>1.1299999999999999</v>
      </c>
      <c r="S716" s="120">
        <v>2587057</v>
      </c>
      <c r="T716" s="120">
        <v>14769026</v>
      </c>
      <c r="U716" s="120">
        <v>0</v>
      </c>
      <c r="V716" s="114">
        <f t="shared" si="24"/>
        <v>14769026</v>
      </c>
      <c r="W716" s="114">
        <f t="shared" si="25"/>
        <v>17356083</v>
      </c>
    </row>
    <row r="717" spans="1:23">
      <c r="A717" s="122" t="s">
        <v>378</v>
      </c>
      <c r="B717" s="124">
        <v>6118.84</v>
      </c>
      <c r="C717" s="124">
        <v>6665.1869999999999</v>
      </c>
      <c r="D717" s="124">
        <v>7279.5839999999998</v>
      </c>
      <c r="E717" s="124">
        <v>7978.1509999999998</v>
      </c>
      <c r="F717" s="124">
        <v>837.89430000000004</v>
      </c>
      <c r="G717" s="124">
        <v>918.96720000000005</v>
      </c>
      <c r="H717" s="124">
        <v>1005.4061</v>
      </c>
      <c r="I717" s="124">
        <v>1121.252</v>
      </c>
      <c r="J717" s="134">
        <v>1233522529</v>
      </c>
      <c r="K717" s="134">
        <v>1308052725</v>
      </c>
      <c r="L717" s="124">
        <v>10038.069</v>
      </c>
      <c r="M717" s="134">
        <v>1862680</v>
      </c>
      <c r="N717" s="135">
        <v>485.65210000000002</v>
      </c>
      <c r="O717" s="135">
        <v>535.96090000000004</v>
      </c>
      <c r="P717" s="135">
        <v>605.26940000000002</v>
      </c>
      <c r="Q717" s="135">
        <v>658.29219999999998</v>
      </c>
      <c r="R717" s="137">
        <v>1.1299999999999999</v>
      </c>
      <c r="S717" s="120">
        <v>4820182</v>
      </c>
      <c r="T717" s="120">
        <v>19901217</v>
      </c>
      <c r="U717" s="120">
        <v>0</v>
      </c>
      <c r="V717" s="114">
        <f t="shared" si="24"/>
        <v>19901217</v>
      </c>
      <c r="W717" s="114">
        <f t="shared" si="25"/>
        <v>24721399</v>
      </c>
    </row>
    <row r="718" spans="1:23">
      <c r="A718" s="122" t="s">
        <v>1701</v>
      </c>
      <c r="B718" s="124">
        <v>2577.8539999999998</v>
      </c>
      <c r="C718" s="124">
        <v>2648.4070000000002</v>
      </c>
      <c r="D718" s="124">
        <v>2725.5729999999999</v>
      </c>
      <c r="E718" s="124">
        <v>2769.3380000000002</v>
      </c>
      <c r="F718" s="124">
        <v>397.26330000000002</v>
      </c>
      <c r="G718" s="124">
        <v>410.4606</v>
      </c>
      <c r="H718" s="124">
        <v>430.24200000000002</v>
      </c>
      <c r="I718" s="124">
        <v>449.67020000000002</v>
      </c>
      <c r="J718" s="134">
        <v>179963101</v>
      </c>
      <c r="K718" s="134">
        <v>203023311</v>
      </c>
      <c r="L718" s="124">
        <v>3710.83</v>
      </c>
      <c r="M718" s="134">
        <v>135288</v>
      </c>
      <c r="N718" s="135">
        <v>238.73089999999999</v>
      </c>
      <c r="O718" s="135">
        <v>247.43940000000001</v>
      </c>
      <c r="P718" s="135">
        <v>239.1746</v>
      </c>
      <c r="Q718" s="135">
        <v>254.5017</v>
      </c>
      <c r="R718" s="137">
        <v>1.1200000000000001</v>
      </c>
      <c r="S718" s="120">
        <v>291950</v>
      </c>
      <c r="T718" s="120">
        <v>2819015</v>
      </c>
      <c r="U718" s="120">
        <v>112311</v>
      </c>
      <c r="V718" s="114">
        <f t="shared" si="24"/>
        <v>2931326</v>
      </c>
      <c r="W718" s="114">
        <f t="shared" si="25"/>
        <v>3223276</v>
      </c>
    </row>
    <row r="719" spans="1:23">
      <c r="A719" s="122" t="s">
        <v>801</v>
      </c>
      <c r="B719" s="124">
        <v>5470.8789999999999</v>
      </c>
      <c r="C719" s="124">
        <v>5697.0919999999996</v>
      </c>
      <c r="D719" s="124">
        <v>5955.2820000000002</v>
      </c>
      <c r="E719" s="124">
        <v>6206.7659999999996</v>
      </c>
      <c r="F719" s="124">
        <v>846.6617</v>
      </c>
      <c r="G719" s="124">
        <v>870.2473</v>
      </c>
      <c r="H719" s="124">
        <v>910.57370000000003</v>
      </c>
      <c r="I719" s="124">
        <v>972.04899999999998</v>
      </c>
      <c r="J719" s="134">
        <v>787333738</v>
      </c>
      <c r="K719" s="134">
        <v>852129698</v>
      </c>
      <c r="L719" s="124">
        <v>8168.6779999999999</v>
      </c>
      <c r="M719" s="134">
        <v>1498706</v>
      </c>
      <c r="N719" s="135">
        <v>475.0917</v>
      </c>
      <c r="O719" s="135">
        <v>499.47809999999998</v>
      </c>
      <c r="P719" s="135">
        <v>531.06050000000005</v>
      </c>
      <c r="Q719" s="135">
        <v>567.07449999999994</v>
      </c>
      <c r="R719" s="137">
        <v>1.1399999999999999</v>
      </c>
      <c r="S719" s="120">
        <v>2048900</v>
      </c>
      <c r="T719" s="120">
        <v>12427765</v>
      </c>
      <c r="U719" s="120">
        <v>0</v>
      </c>
      <c r="V719" s="114">
        <f t="shared" si="24"/>
        <v>12427765</v>
      </c>
      <c r="W719" s="114">
        <f t="shared" si="25"/>
        <v>14476665</v>
      </c>
    </row>
    <row r="720" spans="1:23">
      <c r="A720" s="122" t="s">
        <v>2134</v>
      </c>
      <c r="B720" s="124">
        <v>3772.319</v>
      </c>
      <c r="C720" s="124">
        <v>3787.1370000000002</v>
      </c>
      <c r="D720" s="124">
        <v>3748.424</v>
      </c>
      <c r="E720" s="124">
        <v>3877.6190000000001</v>
      </c>
      <c r="F720" s="124">
        <v>530.92070000000001</v>
      </c>
      <c r="G720" s="124">
        <v>544.34270000000004</v>
      </c>
      <c r="H720" s="124">
        <v>550.76499999999999</v>
      </c>
      <c r="I720" s="124">
        <v>545.62249999999995</v>
      </c>
      <c r="J720" s="134">
        <v>1311749343</v>
      </c>
      <c r="K720" s="134">
        <v>1344690622</v>
      </c>
      <c r="L720" s="124">
        <v>5093.3270000000002</v>
      </c>
      <c r="M720" s="134">
        <v>625369</v>
      </c>
      <c r="N720" s="135">
        <v>341.56970000000001</v>
      </c>
      <c r="O720" s="135">
        <v>349.01</v>
      </c>
      <c r="P720" s="135">
        <v>359.7758</v>
      </c>
      <c r="Q720" s="135">
        <v>358.15570000000002</v>
      </c>
      <c r="R720" s="137">
        <v>1.08</v>
      </c>
      <c r="S720" s="120">
        <v>656020</v>
      </c>
      <c r="T720" s="120">
        <v>18251312</v>
      </c>
      <c r="U720" s="120">
        <v>0</v>
      </c>
      <c r="V720" s="114">
        <f t="shared" si="24"/>
        <v>18251312</v>
      </c>
      <c r="W720" s="114">
        <f t="shared" si="25"/>
        <v>18907332</v>
      </c>
    </row>
    <row r="721" spans="1:23">
      <c r="A721" s="122" t="s">
        <v>2135</v>
      </c>
      <c r="B721" s="124">
        <v>555.06399999999996</v>
      </c>
      <c r="C721" s="124">
        <v>499.935</v>
      </c>
      <c r="D721" s="124">
        <v>500.68</v>
      </c>
      <c r="E721" s="124">
        <v>486.81099999999998</v>
      </c>
      <c r="F721" s="124">
        <v>100.3129</v>
      </c>
      <c r="G721" s="124">
        <v>99.235299999999995</v>
      </c>
      <c r="H721" s="124">
        <v>92.616</v>
      </c>
      <c r="I721" s="124">
        <v>91.352900000000005</v>
      </c>
      <c r="J721" s="134">
        <v>185418108</v>
      </c>
      <c r="K721" s="134">
        <v>189686138</v>
      </c>
      <c r="L721" s="124">
        <v>795.03</v>
      </c>
      <c r="M721" s="134">
        <v>261171</v>
      </c>
      <c r="N721" s="135">
        <v>68.551500000000004</v>
      </c>
      <c r="O721" s="135">
        <v>66.071899999999999</v>
      </c>
      <c r="P721" s="135">
        <v>61.328299999999999</v>
      </c>
      <c r="Q721" s="135">
        <v>59.988999999999997</v>
      </c>
      <c r="R721" s="137">
        <v>1.05</v>
      </c>
      <c r="S721" s="120">
        <v>355889</v>
      </c>
      <c r="T721" s="120">
        <v>2878609</v>
      </c>
      <c r="U721" s="120">
        <v>0</v>
      </c>
      <c r="V721" s="114">
        <f t="shared" si="24"/>
        <v>2878609</v>
      </c>
      <c r="W721" s="114">
        <f t="shared" si="25"/>
        <v>3234498</v>
      </c>
    </row>
    <row r="722" spans="1:23">
      <c r="A722" s="122" t="s">
        <v>2136</v>
      </c>
      <c r="B722" s="124">
        <v>1600.944</v>
      </c>
      <c r="C722" s="124">
        <v>1546.421</v>
      </c>
      <c r="D722" s="124">
        <v>1499.7190000000001</v>
      </c>
      <c r="E722" s="124">
        <v>1484.7280000000001</v>
      </c>
      <c r="F722" s="124">
        <v>270.35789999999997</v>
      </c>
      <c r="G722" s="124">
        <v>269.49810000000002</v>
      </c>
      <c r="H722" s="124">
        <v>272.13549999999998</v>
      </c>
      <c r="I722" s="124">
        <v>256.07420000000002</v>
      </c>
      <c r="J722" s="134">
        <v>702088747</v>
      </c>
      <c r="K722" s="134">
        <v>723297671</v>
      </c>
      <c r="L722" s="124">
        <v>2053.3130000000001</v>
      </c>
      <c r="M722" s="114">
        <v>0</v>
      </c>
      <c r="N722" s="135">
        <v>179.04820000000001</v>
      </c>
      <c r="O722" s="135">
        <v>177.02610000000001</v>
      </c>
      <c r="P722" s="135">
        <v>177.02449999999999</v>
      </c>
      <c r="Q722" s="135">
        <v>161.07919999999999</v>
      </c>
      <c r="R722" s="137">
        <v>1.06</v>
      </c>
      <c r="S722" s="120">
        <v>790159</v>
      </c>
      <c r="T722" s="120">
        <v>9147037</v>
      </c>
      <c r="U722" s="120">
        <v>0</v>
      </c>
      <c r="V722" s="114">
        <f t="shared" si="24"/>
        <v>9147037</v>
      </c>
      <c r="W722" s="114">
        <f t="shared" si="25"/>
        <v>9937196</v>
      </c>
    </row>
    <row r="723" spans="1:23">
      <c r="A723" s="122" t="s">
        <v>2137</v>
      </c>
      <c r="B723" s="124">
        <v>903.50400000000002</v>
      </c>
      <c r="C723" s="124">
        <v>909.78300000000002</v>
      </c>
      <c r="D723" s="124">
        <v>882.30799999999999</v>
      </c>
      <c r="E723" s="124">
        <v>840.3</v>
      </c>
      <c r="F723" s="124">
        <v>156.9384</v>
      </c>
      <c r="G723" s="124">
        <v>149.66030000000001</v>
      </c>
      <c r="H723" s="124">
        <v>150.6738</v>
      </c>
      <c r="I723" s="124">
        <v>149.62809999999999</v>
      </c>
      <c r="J723" s="134">
        <v>120715541</v>
      </c>
      <c r="K723" s="134">
        <v>134293391</v>
      </c>
      <c r="L723" s="124">
        <v>1356.8720000000001</v>
      </c>
      <c r="M723" s="114">
        <v>0</v>
      </c>
      <c r="N723" s="135">
        <v>103.6448</v>
      </c>
      <c r="O723" s="135">
        <v>101.3639</v>
      </c>
      <c r="P723" s="135">
        <v>102.3643</v>
      </c>
      <c r="Q723" s="135">
        <v>98.988200000000006</v>
      </c>
      <c r="R723" s="137">
        <v>1.04</v>
      </c>
      <c r="S723" s="120">
        <v>5642</v>
      </c>
      <c r="T723" s="120">
        <v>1626039</v>
      </c>
      <c r="U723" s="120">
        <v>0</v>
      </c>
      <c r="V723" s="114">
        <f t="shared" si="24"/>
        <v>1626039</v>
      </c>
      <c r="W723" s="114">
        <f t="shared" si="25"/>
        <v>1631681</v>
      </c>
    </row>
    <row r="724" spans="1:23">
      <c r="A724" s="122" t="s">
        <v>2685</v>
      </c>
      <c r="B724" s="124">
        <v>218.87100000000001</v>
      </c>
      <c r="C724" s="124">
        <v>188.63900000000001</v>
      </c>
      <c r="D724" s="124">
        <v>182.94200000000001</v>
      </c>
      <c r="E724" s="124">
        <v>164.471</v>
      </c>
      <c r="F724" s="124">
        <v>52.4679</v>
      </c>
      <c r="G724" s="124">
        <v>48.7</v>
      </c>
      <c r="H724" s="124">
        <v>48</v>
      </c>
      <c r="I724" s="124">
        <v>46.406500000000001</v>
      </c>
      <c r="J724" s="134">
        <v>55891898</v>
      </c>
      <c r="K724" s="134">
        <v>59215256</v>
      </c>
      <c r="L724" s="124">
        <v>344.65</v>
      </c>
      <c r="M724" s="114">
        <v>0</v>
      </c>
      <c r="N724" s="135">
        <v>34.502699999999997</v>
      </c>
      <c r="O724" s="135">
        <v>30.541599999999999</v>
      </c>
      <c r="P724" s="135">
        <v>27.226299999999998</v>
      </c>
      <c r="Q724" s="135">
        <v>26.257200000000001</v>
      </c>
      <c r="R724" s="137">
        <v>1.04</v>
      </c>
      <c r="S724" s="120">
        <v>0</v>
      </c>
      <c r="T724" s="120">
        <v>859857</v>
      </c>
      <c r="U724" s="120">
        <v>0</v>
      </c>
      <c r="V724" s="114">
        <f t="shared" si="24"/>
        <v>859857</v>
      </c>
      <c r="W724" s="114">
        <f t="shared" si="25"/>
        <v>859857</v>
      </c>
    </row>
    <row r="725" spans="1:23">
      <c r="A725" s="122" t="s">
        <v>802</v>
      </c>
      <c r="B725" s="124">
        <v>327.32900000000001</v>
      </c>
      <c r="C725" s="124">
        <v>313.30399999999997</v>
      </c>
      <c r="D725" s="124">
        <v>308.82299999999998</v>
      </c>
      <c r="E725" s="124">
        <v>307.41199999999998</v>
      </c>
      <c r="F725" s="124">
        <v>55</v>
      </c>
      <c r="G725" s="124">
        <v>50</v>
      </c>
      <c r="H725" s="124">
        <v>52.5</v>
      </c>
      <c r="I725" s="124">
        <v>52</v>
      </c>
      <c r="J725" s="134">
        <v>26566580</v>
      </c>
      <c r="K725" s="134">
        <v>30298390</v>
      </c>
      <c r="L725" s="124">
        <v>544.79999999999995</v>
      </c>
      <c r="M725" s="114">
        <v>0</v>
      </c>
      <c r="N725" s="135">
        <v>34.405900000000003</v>
      </c>
      <c r="O725" s="135">
        <v>35.479100000000003</v>
      </c>
      <c r="P725" s="135">
        <v>39.240499999999997</v>
      </c>
      <c r="Q725" s="135">
        <v>37.977699999999999</v>
      </c>
      <c r="R725" s="137">
        <v>1.03</v>
      </c>
      <c r="S725" s="120">
        <v>21248</v>
      </c>
      <c r="T725" s="120">
        <v>415477</v>
      </c>
      <c r="U725" s="120">
        <v>0</v>
      </c>
      <c r="V725" s="114">
        <f t="shared" si="24"/>
        <v>415477</v>
      </c>
      <c r="W725" s="114">
        <f t="shared" si="25"/>
        <v>436725</v>
      </c>
    </row>
    <row r="726" spans="1:23">
      <c r="A726" s="122" t="s">
        <v>570</v>
      </c>
      <c r="B726" s="124">
        <v>458.77</v>
      </c>
      <c r="C726" s="124">
        <v>474.36200000000002</v>
      </c>
      <c r="D726" s="124">
        <v>479.00700000000001</v>
      </c>
      <c r="E726" s="124">
        <v>465.73899999999998</v>
      </c>
      <c r="F726" s="124">
        <v>78.414599999999993</v>
      </c>
      <c r="G726" s="124">
        <v>77.451999999999998</v>
      </c>
      <c r="H726" s="124">
        <v>74.957300000000004</v>
      </c>
      <c r="I726" s="124">
        <v>72.919799999999995</v>
      </c>
      <c r="J726" s="134">
        <v>165997307</v>
      </c>
      <c r="K726" s="134">
        <v>173811457</v>
      </c>
      <c r="L726" s="124">
        <v>788.59199999999998</v>
      </c>
      <c r="M726" s="114">
        <v>0</v>
      </c>
      <c r="N726" s="135">
        <v>52.4876</v>
      </c>
      <c r="O726" s="135">
        <v>50.489400000000003</v>
      </c>
      <c r="P726" s="135">
        <v>44.994799999999998</v>
      </c>
      <c r="Q726" s="135">
        <v>43.9572</v>
      </c>
      <c r="R726" s="137">
        <v>1.03</v>
      </c>
      <c r="S726" s="120">
        <v>0</v>
      </c>
      <c r="T726" s="120">
        <v>2501746</v>
      </c>
      <c r="U726" s="120">
        <v>0</v>
      </c>
      <c r="V726" s="114">
        <f t="shared" si="24"/>
        <v>2501746</v>
      </c>
      <c r="W726" s="114">
        <f t="shared" si="25"/>
        <v>2501746</v>
      </c>
    </row>
    <row r="727" spans="1:23">
      <c r="A727" s="122" t="s">
        <v>803</v>
      </c>
      <c r="B727" s="124">
        <v>639.17399999999998</v>
      </c>
      <c r="C727" s="124">
        <v>639.87199999999996</v>
      </c>
      <c r="D727" s="124">
        <v>630.23199999999997</v>
      </c>
      <c r="E727" s="124">
        <v>633.899</v>
      </c>
      <c r="F727" s="124">
        <v>96.243300000000005</v>
      </c>
      <c r="G727" s="124">
        <v>98.756500000000003</v>
      </c>
      <c r="H727" s="124">
        <v>104.2953</v>
      </c>
      <c r="I727" s="124">
        <v>105.3745</v>
      </c>
      <c r="J727" s="134">
        <v>73804526</v>
      </c>
      <c r="K727" s="134">
        <v>81407946</v>
      </c>
      <c r="L727" s="124">
        <v>1067.4469999999999</v>
      </c>
      <c r="M727" s="114">
        <v>0</v>
      </c>
      <c r="N727" s="135">
        <v>62.661900000000003</v>
      </c>
      <c r="O727" s="135">
        <v>65.107500000000002</v>
      </c>
      <c r="P727" s="135">
        <v>67.040999999999997</v>
      </c>
      <c r="Q727" s="135">
        <v>68.933899999999994</v>
      </c>
      <c r="R727" s="137">
        <v>1.04</v>
      </c>
      <c r="S727" s="120">
        <v>55584</v>
      </c>
      <c r="T727" s="120">
        <v>1088398</v>
      </c>
      <c r="U727" s="120">
        <v>0</v>
      </c>
      <c r="V727" s="114">
        <f t="shared" si="24"/>
        <v>1088398</v>
      </c>
      <c r="W727" s="114">
        <f t="shared" si="25"/>
        <v>1143982</v>
      </c>
    </row>
    <row r="728" spans="1:23">
      <c r="A728" s="122" t="s">
        <v>571</v>
      </c>
      <c r="B728" s="124">
        <v>5870.9040000000005</v>
      </c>
      <c r="C728" s="124">
        <v>5760.1850000000004</v>
      </c>
      <c r="D728" s="124">
        <v>5825.9780000000001</v>
      </c>
      <c r="E728" s="124">
        <v>5852.8140000000003</v>
      </c>
      <c r="F728" s="124">
        <v>865.8922</v>
      </c>
      <c r="G728" s="124">
        <v>869.49099999999999</v>
      </c>
      <c r="H728" s="124">
        <v>873.77940000000001</v>
      </c>
      <c r="I728" s="124">
        <v>877.04700000000003</v>
      </c>
      <c r="J728" s="134">
        <v>1100154085</v>
      </c>
      <c r="K728" s="134">
        <v>1174053875</v>
      </c>
      <c r="L728" s="124">
        <v>7521.2579999999998</v>
      </c>
      <c r="M728" s="134">
        <v>1056822</v>
      </c>
      <c r="N728" s="135">
        <v>453.8938</v>
      </c>
      <c r="O728" s="135">
        <v>466.77629999999999</v>
      </c>
      <c r="P728" s="135">
        <v>470.62889999999999</v>
      </c>
      <c r="Q728" s="135">
        <v>435.96980000000002</v>
      </c>
      <c r="R728" s="137">
        <v>1.06</v>
      </c>
      <c r="S728" s="120">
        <v>2627475</v>
      </c>
      <c r="T728" s="120">
        <v>16762558</v>
      </c>
      <c r="U728" s="120">
        <v>0</v>
      </c>
      <c r="V728" s="114">
        <f t="shared" si="24"/>
        <v>16762558</v>
      </c>
      <c r="W728" s="114">
        <f t="shared" si="25"/>
        <v>19390033</v>
      </c>
    </row>
    <row r="729" spans="1:23">
      <c r="A729" s="122" t="s">
        <v>410</v>
      </c>
      <c r="B729" s="124">
        <v>740.29700000000003</v>
      </c>
      <c r="C729" s="124">
        <v>726.88199999999995</v>
      </c>
      <c r="D729" s="124">
        <v>757.11099999999999</v>
      </c>
      <c r="E729" s="124">
        <v>784.84900000000005</v>
      </c>
      <c r="F729" s="124">
        <v>135.125</v>
      </c>
      <c r="G729" s="124">
        <v>128.8545</v>
      </c>
      <c r="H729" s="124">
        <v>135.10339999999999</v>
      </c>
      <c r="I729" s="124">
        <v>138.08869999999999</v>
      </c>
      <c r="J729" s="134">
        <v>58771783</v>
      </c>
      <c r="K729" s="134">
        <v>65090333</v>
      </c>
      <c r="L729" s="124">
        <v>1262.2380000000001</v>
      </c>
      <c r="M729" s="114">
        <v>0</v>
      </c>
      <c r="N729" s="135">
        <v>90.912999999999997</v>
      </c>
      <c r="O729" s="135">
        <v>86.668599999999998</v>
      </c>
      <c r="P729" s="135">
        <v>91.167599999999993</v>
      </c>
      <c r="Q729" s="135">
        <v>91.022199999999998</v>
      </c>
      <c r="R729" s="137">
        <v>1.03</v>
      </c>
      <c r="S729" s="120">
        <v>26602</v>
      </c>
      <c r="T729" s="120">
        <v>890798</v>
      </c>
      <c r="U729" s="120">
        <v>0</v>
      </c>
      <c r="V729" s="114">
        <f t="shared" si="24"/>
        <v>890798</v>
      </c>
      <c r="W729" s="114">
        <f t="shared" si="25"/>
        <v>917400</v>
      </c>
    </row>
    <row r="730" spans="1:23">
      <c r="A730" s="122" t="s">
        <v>572</v>
      </c>
      <c r="B730" s="124">
        <v>629.05399999999997</v>
      </c>
      <c r="C730" s="124">
        <v>666.09</v>
      </c>
      <c r="D730" s="124">
        <v>660.25199999999995</v>
      </c>
      <c r="E730" s="124">
        <v>696.59699999999998</v>
      </c>
      <c r="F730" s="124">
        <v>91.674099999999996</v>
      </c>
      <c r="G730" s="124">
        <v>94.722700000000003</v>
      </c>
      <c r="H730" s="124">
        <v>96.392200000000003</v>
      </c>
      <c r="I730" s="124">
        <v>97.325500000000005</v>
      </c>
      <c r="J730" s="134">
        <v>46842356</v>
      </c>
      <c r="K730" s="134">
        <v>53593556</v>
      </c>
      <c r="L730" s="124">
        <v>1101.146</v>
      </c>
      <c r="M730" s="134">
        <v>23598</v>
      </c>
      <c r="N730" s="135">
        <v>69.978200000000001</v>
      </c>
      <c r="O730" s="135">
        <v>69.999799999999993</v>
      </c>
      <c r="P730" s="135">
        <v>72.467500000000001</v>
      </c>
      <c r="Q730" s="135">
        <v>72.462199999999996</v>
      </c>
      <c r="R730" s="137">
        <v>1.03</v>
      </c>
      <c r="S730" s="120">
        <v>20919</v>
      </c>
      <c r="T730" s="120">
        <v>653840</v>
      </c>
      <c r="U730" s="120">
        <v>0</v>
      </c>
      <c r="V730" s="114">
        <f t="shared" si="24"/>
        <v>653840</v>
      </c>
      <c r="W730" s="114">
        <f t="shared" si="25"/>
        <v>674759</v>
      </c>
    </row>
    <row r="731" spans="1:23">
      <c r="A731" s="122" t="s">
        <v>573</v>
      </c>
      <c r="B731" s="124">
        <v>296.21100000000001</v>
      </c>
      <c r="C731" s="124">
        <v>307.80200000000002</v>
      </c>
      <c r="D731" s="124">
        <v>314.46899999999999</v>
      </c>
      <c r="E731" s="124">
        <v>310.71899999999999</v>
      </c>
      <c r="F731" s="124">
        <v>49.621099999999998</v>
      </c>
      <c r="G731" s="124">
        <v>52.808900000000001</v>
      </c>
      <c r="H731" s="124">
        <v>55.887799999999999</v>
      </c>
      <c r="I731" s="124">
        <v>54.534799999999997</v>
      </c>
      <c r="J731" s="134">
        <v>21490484</v>
      </c>
      <c r="K731" s="134">
        <v>24674704</v>
      </c>
      <c r="L731" s="124">
        <v>524.01900000000001</v>
      </c>
      <c r="M731" s="134">
        <v>25643</v>
      </c>
      <c r="N731" s="135">
        <v>32.083300000000001</v>
      </c>
      <c r="O731" s="135">
        <v>30.988</v>
      </c>
      <c r="P731" s="135">
        <v>31.9876</v>
      </c>
      <c r="Q731" s="135">
        <v>33.181199999999997</v>
      </c>
      <c r="R731" s="137">
        <v>1.04</v>
      </c>
      <c r="S731" s="120">
        <v>28992</v>
      </c>
      <c r="T731" s="120">
        <v>334094</v>
      </c>
      <c r="U731" s="120">
        <v>0</v>
      </c>
      <c r="V731" s="114">
        <f t="shared" si="24"/>
        <v>334094</v>
      </c>
      <c r="W731" s="114">
        <f t="shared" si="25"/>
        <v>363086</v>
      </c>
    </row>
    <row r="732" spans="1:23">
      <c r="A732" s="122" t="s">
        <v>877</v>
      </c>
      <c r="B732" s="124">
        <v>165.892</v>
      </c>
      <c r="C732" s="124">
        <v>150.94</v>
      </c>
      <c r="D732" s="124">
        <v>146.38200000000001</v>
      </c>
      <c r="E732" s="124">
        <v>132.65299999999999</v>
      </c>
      <c r="F732" s="124">
        <v>24.5</v>
      </c>
      <c r="G732" s="124">
        <v>23.4465</v>
      </c>
      <c r="H732" s="124">
        <v>22.973299999999998</v>
      </c>
      <c r="I732" s="124">
        <v>23.4465</v>
      </c>
      <c r="J732" s="134">
        <v>27967025</v>
      </c>
      <c r="K732" s="134">
        <v>31628485</v>
      </c>
      <c r="L732" s="124">
        <v>237.52799999999999</v>
      </c>
      <c r="M732" s="114">
        <v>0</v>
      </c>
      <c r="N732" s="135">
        <v>14.999599999999999</v>
      </c>
      <c r="O732" s="135">
        <v>13.5001</v>
      </c>
      <c r="P732" s="135">
        <v>11.9526</v>
      </c>
      <c r="Q732" s="135">
        <v>13.5002</v>
      </c>
      <c r="R732" s="137">
        <v>1.04</v>
      </c>
      <c r="S732" s="120">
        <v>0</v>
      </c>
      <c r="T732" s="120">
        <v>372597</v>
      </c>
      <c r="U732" s="120">
        <v>17192</v>
      </c>
      <c r="V732" s="114">
        <f t="shared" si="24"/>
        <v>389789</v>
      </c>
      <c r="W732" s="114">
        <f t="shared" si="25"/>
        <v>389789</v>
      </c>
    </row>
    <row r="733" spans="1:23">
      <c r="A733" s="122" t="s">
        <v>574</v>
      </c>
      <c r="B733" s="124">
        <v>343.32400000000001</v>
      </c>
      <c r="C733" s="124">
        <v>341.53899999999999</v>
      </c>
      <c r="D733" s="124">
        <v>331.22500000000002</v>
      </c>
      <c r="E733" s="124">
        <v>326.00599999999997</v>
      </c>
      <c r="F733" s="124">
        <v>42.951900000000002</v>
      </c>
      <c r="G733" s="124">
        <v>44.57</v>
      </c>
      <c r="H733" s="124">
        <v>46</v>
      </c>
      <c r="I733" s="124">
        <v>44</v>
      </c>
      <c r="J733" s="134">
        <v>53141521</v>
      </c>
      <c r="K733" s="134">
        <v>57521911</v>
      </c>
      <c r="L733" s="124">
        <v>526.44600000000003</v>
      </c>
      <c r="M733" s="134">
        <v>36528</v>
      </c>
      <c r="N733" s="135">
        <v>30.002099999999999</v>
      </c>
      <c r="O733" s="135">
        <v>30.572399999999998</v>
      </c>
      <c r="P733" s="135">
        <v>32.002699999999997</v>
      </c>
      <c r="Q733" s="135">
        <v>31.001899999999999</v>
      </c>
      <c r="R733" s="137">
        <v>1.03</v>
      </c>
      <c r="S733" s="120">
        <v>1388</v>
      </c>
      <c r="T733" s="120">
        <v>822976</v>
      </c>
      <c r="U733" s="120">
        <v>0</v>
      </c>
      <c r="V733" s="114">
        <f t="shared" si="24"/>
        <v>822976</v>
      </c>
      <c r="W733" s="114">
        <f t="shared" si="25"/>
        <v>824364</v>
      </c>
    </row>
    <row r="734" spans="1:23">
      <c r="A734" s="122" t="s">
        <v>575</v>
      </c>
      <c r="B734" s="124">
        <v>742.91499999999996</v>
      </c>
      <c r="C734" s="124">
        <v>725.88199999999995</v>
      </c>
      <c r="D734" s="124">
        <v>761.77099999999996</v>
      </c>
      <c r="E734" s="124">
        <v>784.15</v>
      </c>
      <c r="F734" s="124">
        <v>121.2486</v>
      </c>
      <c r="G734" s="124">
        <v>116.3776</v>
      </c>
      <c r="H734" s="124">
        <v>117.9076</v>
      </c>
      <c r="I734" s="124">
        <v>122.36669999999999</v>
      </c>
      <c r="J734" s="134">
        <v>68409632</v>
      </c>
      <c r="K734" s="134">
        <v>77674612</v>
      </c>
      <c r="L734" s="124">
        <v>1234.1479999999999</v>
      </c>
      <c r="M734" s="114">
        <v>0</v>
      </c>
      <c r="N734" s="135">
        <v>62.453499999999998</v>
      </c>
      <c r="O734" s="135">
        <v>69.089799999999997</v>
      </c>
      <c r="P734" s="135">
        <v>64.072100000000006</v>
      </c>
      <c r="Q734" s="135">
        <v>77.103899999999996</v>
      </c>
      <c r="R734" s="137">
        <v>1.05</v>
      </c>
      <c r="S734" s="120">
        <v>0</v>
      </c>
      <c r="T734" s="120">
        <v>1097298</v>
      </c>
      <c r="U734" s="120">
        <v>0</v>
      </c>
      <c r="V734" s="114">
        <f t="shared" si="24"/>
        <v>1097298</v>
      </c>
      <c r="W734" s="114">
        <f t="shared" si="25"/>
        <v>1097298</v>
      </c>
    </row>
    <row r="735" spans="1:23">
      <c r="A735" s="122" t="s">
        <v>2754</v>
      </c>
      <c r="B735" s="124">
        <v>4736.6660000000002</v>
      </c>
      <c r="C735" s="124">
        <v>4828.5569999999998</v>
      </c>
      <c r="D735" s="124">
        <v>4965.9210000000003</v>
      </c>
      <c r="E735" s="124">
        <v>4992.7349999999997</v>
      </c>
      <c r="F735" s="124">
        <v>698.37620000000004</v>
      </c>
      <c r="G735" s="124">
        <v>717.19629999999995</v>
      </c>
      <c r="H735" s="124">
        <v>738.47990000000004</v>
      </c>
      <c r="I735" s="124">
        <v>755.15269999999998</v>
      </c>
      <c r="J735" s="134">
        <v>842736868</v>
      </c>
      <c r="K735" s="134">
        <v>895042724</v>
      </c>
      <c r="L735" s="124">
        <v>6681.7150000000001</v>
      </c>
      <c r="M735" s="134">
        <v>507863</v>
      </c>
      <c r="N735" s="135">
        <v>472.90449999999998</v>
      </c>
      <c r="O735" s="135">
        <v>466.48349999999999</v>
      </c>
      <c r="P735" s="135">
        <v>475.60109999999997</v>
      </c>
      <c r="Q735" s="135">
        <v>487.18830000000003</v>
      </c>
      <c r="R735" s="137">
        <v>1.07</v>
      </c>
      <c r="S735" s="120">
        <v>947807</v>
      </c>
      <c r="T735" s="120">
        <v>12219703</v>
      </c>
      <c r="U735" s="120">
        <v>0</v>
      </c>
      <c r="V735" s="114">
        <f t="shared" si="24"/>
        <v>12219703</v>
      </c>
      <c r="W735" s="114">
        <f t="shared" si="25"/>
        <v>13167510</v>
      </c>
    </row>
    <row r="736" spans="1:23">
      <c r="A736" s="122" t="s">
        <v>2761</v>
      </c>
      <c r="B736" s="124">
        <v>494.12200000000001</v>
      </c>
      <c r="C736" s="124">
        <v>458.85700000000003</v>
      </c>
      <c r="D736" s="124">
        <v>458.49</v>
      </c>
      <c r="E736" s="124">
        <v>463.06299999999999</v>
      </c>
      <c r="F736" s="124">
        <v>78.543400000000005</v>
      </c>
      <c r="G736" s="124">
        <v>82.863799999999998</v>
      </c>
      <c r="H736" s="124">
        <v>83.513599999999997</v>
      </c>
      <c r="I736" s="124">
        <v>84.417400000000001</v>
      </c>
      <c r="J736" s="134">
        <v>44618657</v>
      </c>
      <c r="K736" s="134">
        <v>50873647</v>
      </c>
      <c r="L736" s="124">
        <v>774.16</v>
      </c>
      <c r="M736" s="114">
        <v>0</v>
      </c>
      <c r="N736" s="135">
        <v>58.334400000000002</v>
      </c>
      <c r="O736" s="135">
        <v>60.347999999999999</v>
      </c>
      <c r="P736" s="135">
        <v>60.847700000000003</v>
      </c>
      <c r="Q736" s="135">
        <v>58.630699999999997</v>
      </c>
      <c r="R736" s="137">
        <v>1.04</v>
      </c>
      <c r="S736" s="120">
        <v>0</v>
      </c>
      <c r="T736" s="120">
        <v>658810</v>
      </c>
      <c r="U736" s="120">
        <v>33863</v>
      </c>
      <c r="V736" s="114">
        <f t="shared" si="24"/>
        <v>692673</v>
      </c>
      <c r="W736" s="114">
        <f t="shared" si="25"/>
        <v>692673</v>
      </c>
    </row>
    <row r="737" spans="1:23">
      <c r="A737" s="122" t="s">
        <v>20</v>
      </c>
      <c r="B737" s="124">
        <v>365.28500000000003</v>
      </c>
      <c r="C737" s="124">
        <v>379.96</v>
      </c>
      <c r="D737" s="124">
        <v>371.70499999999998</v>
      </c>
      <c r="E737" s="124">
        <v>376.48200000000003</v>
      </c>
      <c r="F737" s="124">
        <v>56.497300000000003</v>
      </c>
      <c r="G737" s="124">
        <v>62.409100000000002</v>
      </c>
      <c r="H737" s="124">
        <v>62.5</v>
      </c>
      <c r="I737" s="124">
        <v>61.5</v>
      </c>
      <c r="J737" s="134">
        <v>36162198</v>
      </c>
      <c r="K737" s="134">
        <v>40034688</v>
      </c>
      <c r="L737" s="124">
        <v>654.34199999999998</v>
      </c>
      <c r="M737" s="114">
        <v>0</v>
      </c>
      <c r="N737" s="135">
        <v>35.6188</v>
      </c>
      <c r="O737" s="135">
        <v>39.527999999999999</v>
      </c>
      <c r="P737" s="135">
        <v>43.497900000000001</v>
      </c>
      <c r="Q737" s="135">
        <v>42.609200000000001</v>
      </c>
      <c r="R737" s="137">
        <v>1.04</v>
      </c>
      <c r="S737" s="120">
        <v>0</v>
      </c>
      <c r="T737" s="120">
        <v>527986</v>
      </c>
      <c r="U737" s="120">
        <v>0</v>
      </c>
      <c r="V737" s="114">
        <f t="shared" si="24"/>
        <v>527986</v>
      </c>
      <c r="W737" s="114">
        <f t="shared" si="25"/>
        <v>527986</v>
      </c>
    </row>
    <row r="738" spans="1:23">
      <c r="A738" s="122" t="s">
        <v>804</v>
      </c>
      <c r="B738" s="124">
        <v>686.39099999999996</v>
      </c>
      <c r="C738" s="124">
        <v>669.80799999999999</v>
      </c>
      <c r="D738" s="124">
        <v>662.149</v>
      </c>
      <c r="E738" s="124">
        <v>668.84299999999996</v>
      </c>
      <c r="F738" s="124">
        <v>104.8612</v>
      </c>
      <c r="G738" s="124">
        <v>106.84520000000001</v>
      </c>
      <c r="H738" s="124">
        <v>108.84520000000001</v>
      </c>
      <c r="I738" s="124">
        <v>110.5778</v>
      </c>
      <c r="J738" s="134">
        <v>86812787</v>
      </c>
      <c r="K738" s="134">
        <v>94086457</v>
      </c>
      <c r="L738" s="124">
        <v>1115.7670000000001</v>
      </c>
      <c r="M738" s="114">
        <v>0</v>
      </c>
      <c r="N738" s="135">
        <v>72</v>
      </c>
      <c r="O738" s="135">
        <v>73.344399999999993</v>
      </c>
      <c r="P738" s="135">
        <v>76.227199999999996</v>
      </c>
      <c r="Q738" s="135">
        <v>76.907200000000003</v>
      </c>
      <c r="R738" s="137">
        <v>1.06</v>
      </c>
      <c r="S738" s="120">
        <v>67290</v>
      </c>
      <c r="T738" s="120">
        <v>1278924</v>
      </c>
      <c r="U738" s="120">
        <v>0</v>
      </c>
      <c r="V738" s="114">
        <f t="shared" si="24"/>
        <v>1278924</v>
      </c>
      <c r="W738" s="114">
        <f t="shared" si="25"/>
        <v>1346214</v>
      </c>
    </row>
    <row r="739" spans="1:23">
      <c r="A739" s="122" t="s">
        <v>21</v>
      </c>
      <c r="B739" s="124">
        <v>548.51599999999996</v>
      </c>
      <c r="C739" s="124">
        <v>596.94399999999996</v>
      </c>
      <c r="D739" s="124">
        <v>595.43899999999996</v>
      </c>
      <c r="E739" s="124">
        <v>614.471</v>
      </c>
      <c r="F739" s="124">
        <v>78.970600000000005</v>
      </c>
      <c r="G739" s="124">
        <v>86.478700000000003</v>
      </c>
      <c r="H739" s="124">
        <v>91.807599999999994</v>
      </c>
      <c r="I739" s="124">
        <v>101.1139</v>
      </c>
      <c r="J739" s="134">
        <v>149762926</v>
      </c>
      <c r="K739" s="134">
        <v>155064176</v>
      </c>
      <c r="L739" s="124">
        <v>970.81299999999999</v>
      </c>
      <c r="M739" s="134">
        <v>207301</v>
      </c>
      <c r="N739" s="135">
        <v>55.3932</v>
      </c>
      <c r="O739" s="135">
        <v>46.435299999999998</v>
      </c>
      <c r="P739" s="135">
        <v>51.500500000000002</v>
      </c>
      <c r="Q739" s="135">
        <v>53.499899999999997</v>
      </c>
      <c r="R739" s="137">
        <v>1.04</v>
      </c>
      <c r="S739" s="120">
        <v>220784</v>
      </c>
      <c r="T739" s="120">
        <v>1981676</v>
      </c>
      <c r="U739" s="120">
        <v>0</v>
      </c>
      <c r="V739" s="114">
        <f t="shared" si="24"/>
        <v>1981676</v>
      </c>
      <c r="W739" s="114">
        <f t="shared" si="25"/>
        <v>2202460</v>
      </c>
    </row>
    <row r="740" spans="1:23">
      <c r="A740" s="122" t="s">
        <v>2383</v>
      </c>
      <c r="B740" s="124">
        <v>515.101</v>
      </c>
      <c r="C740" s="124">
        <v>558.96900000000005</v>
      </c>
      <c r="D740" s="124">
        <v>586.83199999999999</v>
      </c>
      <c r="E740" s="124">
        <v>632.56399999999996</v>
      </c>
      <c r="F740" s="124">
        <v>76.828900000000004</v>
      </c>
      <c r="G740" s="124">
        <v>86.229900000000001</v>
      </c>
      <c r="H740" s="124">
        <v>94.158000000000001</v>
      </c>
      <c r="I740" s="124">
        <v>98.784000000000006</v>
      </c>
      <c r="J740" s="134">
        <v>39911652</v>
      </c>
      <c r="K740" s="134">
        <v>43715992</v>
      </c>
      <c r="L740" s="124">
        <v>1033.165</v>
      </c>
      <c r="M740" s="134">
        <v>55505</v>
      </c>
      <c r="N740" s="135">
        <v>49.866500000000002</v>
      </c>
      <c r="O740" s="135">
        <v>57.500900000000001</v>
      </c>
      <c r="P740" s="135">
        <v>64.409499999999994</v>
      </c>
      <c r="Q740" s="135">
        <v>66.797700000000006</v>
      </c>
      <c r="R740" s="137">
        <v>1.04</v>
      </c>
      <c r="S740" s="120">
        <v>79998</v>
      </c>
      <c r="T740" s="120">
        <v>643077</v>
      </c>
      <c r="U740" s="120">
        <v>0</v>
      </c>
      <c r="V740" s="114">
        <f t="shared" si="24"/>
        <v>643077</v>
      </c>
      <c r="W740" s="114">
        <f t="shared" si="25"/>
        <v>723075</v>
      </c>
    </row>
    <row r="741" spans="1:23">
      <c r="A741" s="122" t="s">
        <v>22</v>
      </c>
      <c r="B741" s="124">
        <v>399.97800000000001</v>
      </c>
      <c r="C741" s="124">
        <v>388.97699999999998</v>
      </c>
      <c r="D741" s="124">
        <v>410.17200000000003</v>
      </c>
      <c r="E741" s="124">
        <v>405.10300000000001</v>
      </c>
      <c r="F741" s="124">
        <v>86.819500000000005</v>
      </c>
      <c r="G741" s="124">
        <v>85.417000000000002</v>
      </c>
      <c r="H741" s="124">
        <v>85.684399999999997</v>
      </c>
      <c r="I741" s="124">
        <v>83.443799999999996</v>
      </c>
      <c r="J741" s="134">
        <v>127613947</v>
      </c>
      <c r="K741" s="134">
        <v>133341760</v>
      </c>
      <c r="L741" s="124">
        <v>867.03499999999997</v>
      </c>
      <c r="M741" s="134">
        <v>214867</v>
      </c>
      <c r="N741" s="135">
        <v>61.502899999999997</v>
      </c>
      <c r="O741" s="135">
        <v>59.269199999999998</v>
      </c>
      <c r="P741" s="135">
        <v>58.479300000000002</v>
      </c>
      <c r="Q741" s="135">
        <v>57.203899999999997</v>
      </c>
      <c r="R741" s="137">
        <v>1.08</v>
      </c>
      <c r="S741" s="120">
        <v>248238</v>
      </c>
      <c r="T741" s="120">
        <v>2080733</v>
      </c>
      <c r="U741" s="120">
        <v>0</v>
      </c>
      <c r="V741" s="114">
        <f t="shared" si="24"/>
        <v>2080733</v>
      </c>
      <c r="W741" s="114">
        <f t="shared" si="25"/>
        <v>2328971</v>
      </c>
    </row>
    <row r="742" spans="1:23">
      <c r="A742" s="122" t="s">
        <v>1159</v>
      </c>
      <c r="B742" s="124">
        <v>1305.171</v>
      </c>
      <c r="C742" s="124">
        <v>1261.6590000000001</v>
      </c>
      <c r="D742" s="124">
        <v>1234.6610000000001</v>
      </c>
      <c r="E742" s="124">
        <v>1213.1120000000001</v>
      </c>
      <c r="F742" s="124">
        <v>229.81710000000001</v>
      </c>
      <c r="G742" s="124">
        <v>231.76079999999999</v>
      </c>
      <c r="H742" s="124">
        <v>240.93969999999999</v>
      </c>
      <c r="I742" s="124">
        <v>226.5548</v>
      </c>
      <c r="J742" s="134">
        <v>166706439</v>
      </c>
      <c r="K742" s="134">
        <v>183031842</v>
      </c>
      <c r="L742" s="124">
        <v>2062.4929999999999</v>
      </c>
      <c r="M742" s="134">
        <v>189185</v>
      </c>
      <c r="N742" s="135">
        <v>146.7997</v>
      </c>
      <c r="O742" s="135">
        <v>146.4333</v>
      </c>
      <c r="P742" s="135">
        <v>144.05930000000001</v>
      </c>
      <c r="Q742" s="135">
        <v>143.1259</v>
      </c>
      <c r="R742" s="137">
        <v>1.07</v>
      </c>
      <c r="S742" s="120">
        <v>330607</v>
      </c>
      <c r="T742" s="120">
        <v>2152703</v>
      </c>
      <c r="U742" s="120">
        <v>0</v>
      </c>
      <c r="V742" s="114">
        <f t="shared" si="24"/>
        <v>2152703</v>
      </c>
      <c r="W742" s="114">
        <f t="shared" si="25"/>
        <v>2483310</v>
      </c>
    </row>
    <row r="743" spans="1:23">
      <c r="A743" s="122" t="s">
        <v>2268</v>
      </c>
      <c r="B743" s="124">
        <v>716.17100000000005</v>
      </c>
      <c r="C743" s="124">
        <v>730.90499999999997</v>
      </c>
      <c r="D743" s="124">
        <v>719.06399999999996</v>
      </c>
      <c r="E743" s="124">
        <v>699.23800000000006</v>
      </c>
      <c r="F743" s="124">
        <v>110.8197</v>
      </c>
      <c r="G743" s="124">
        <v>110.0159</v>
      </c>
      <c r="H743" s="124">
        <v>121.58280000000001</v>
      </c>
      <c r="I743" s="124">
        <v>121.786</v>
      </c>
      <c r="J743" s="134">
        <v>82090956</v>
      </c>
      <c r="K743" s="134">
        <v>91135856</v>
      </c>
      <c r="L743" s="124">
        <v>1145.4000000000001</v>
      </c>
      <c r="M743" s="114">
        <v>0</v>
      </c>
      <c r="N743" s="135">
        <v>70.404799999999994</v>
      </c>
      <c r="O743" s="135">
        <v>60.816000000000003</v>
      </c>
      <c r="P743" s="135">
        <v>64.002499999999998</v>
      </c>
      <c r="Q743" s="135">
        <v>75.001000000000005</v>
      </c>
      <c r="R743" s="137">
        <v>1.07</v>
      </c>
      <c r="S743" s="120">
        <v>397437</v>
      </c>
      <c r="T743" s="120">
        <v>2194164</v>
      </c>
      <c r="U743" s="120">
        <v>0</v>
      </c>
      <c r="V743" s="114">
        <f t="shared" si="24"/>
        <v>2194164</v>
      </c>
      <c r="W743" s="114">
        <f t="shared" si="25"/>
        <v>2591601</v>
      </c>
    </row>
    <row r="744" spans="1:23">
      <c r="A744" s="122" t="s">
        <v>1736</v>
      </c>
      <c r="B744" s="124">
        <v>372.27499999999998</v>
      </c>
      <c r="C744" s="124">
        <v>358.99299999999999</v>
      </c>
      <c r="D744" s="124">
        <v>361.23</v>
      </c>
      <c r="E744" s="124">
        <v>351.22399999999999</v>
      </c>
      <c r="F744" s="124">
        <v>63.187199999999997</v>
      </c>
      <c r="G744" s="124">
        <v>63.5321</v>
      </c>
      <c r="H744" s="124">
        <v>61.417099999999998</v>
      </c>
      <c r="I744" s="124">
        <v>59.513399999999997</v>
      </c>
      <c r="J744" s="134">
        <v>53609236</v>
      </c>
      <c r="K744" s="134">
        <v>57950685</v>
      </c>
      <c r="L744" s="124">
        <v>603.35799999999995</v>
      </c>
      <c r="M744" s="134">
        <v>20569</v>
      </c>
      <c r="N744" s="135">
        <v>46.603200000000001</v>
      </c>
      <c r="O744" s="135">
        <v>46.616799999999998</v>
      </c>
      <c r="P744" s="135">
        <v>43.287700000000001</v>
      </c>
      <c r="Q744" s="135">
        <v>42.182699999999997</v>
      </c>
      <c r="R744" s="137">
        <v>1.05</v>
      </c>
      <c r="S744" s="120">
        <v>67251</v>
      </c>
      <c r="T744" s="120">
        <v>765003</v>
      </c>
      <c r="U744" s="120">
        <v>0</v>
      </c>
      <c r="V744" s="114">
        <f t="shared" si="24"/>
        <v>765003</v>
      </c>
      <c r="W744" s="114">
        <f t="shared" si="25"/>
        <v>832254</v>
      </c>
    </row>
    <row r="745" spans="1:23">
      <c r="A745" s="122" t="s">
        <v>2145</v>
      </c>
      <c r="B745" s="124">
        <v>2430.9319999999998</v>
      </c>
      <c r="C745" s="124">
        <v>2298.0549999999998</v>
      </c>
      <c r="D745" s="124">
        <v>2228.654</v>
      </c>
      <c r="E745" s="124">
        <v>2322.7730000000001</v>
      </c>
      <c r="F745" s="124">
        <v>419.5172</v>
      </c>
      <c r="G745" s="124">
        <v>417.73270000000002</v>
      </c>
      <c r="H745" s="124">
        <v>401.29450000000003</v>
      </c>
      <c r="I745" s="124">
        <v>392.35849999999999</v>
      </c>
      <c r="J745" s="134">
        <v>371133845</v>
      </c>
      <c r="K745" s="134">
        <v>399674306</v>
      </c>
      <c r="L745" s="124">
        <v>3238.1350000000002</v>
      </c>
      <c r="M745" s="134">
        <v>294607</v>
      </c>
      <c r="N745" s="135">
        <v>283.24799999999999</v>
      </c>
      <c r="O745" s="135">
        <v>275.9914</v>
      </c>
      <c r="P745" s="135">
        <v>256.43360000000001</v>
      </c>
      <c r="Q745" s="135">
        <v>246.27269999999999</v>
      </c>
      <c r="R745" s="137">
        <v>1.07</v>
      </c>
      <c r="S745" s="120">
        <v>312879</v>
      </c>
      <c r="T745" s="120">
        <v>5700691</v>
      </c>
      <c r="U745" s="120">
        <v>0</v>
      </c>
      <c r="V745" s="114">
        <f t="shared" si="24"/>
        <v>5700691</v>
      </c>
      <c r="W745" s="114">
        <f t="shared" si="25"/>
        <v>6013570</v>
      </c>
    </row>
    <row r="746" spans="1:23">
      <c r="A746" s="122" t="s">
        <v>2637</v>
      </c>
      <c r="B746" s="124">
        <v>183.13</v>
      </c>
      <c r="C746" s="124">
        <v>170.67</v>
      </c>
      <c r="D746" s="124">
        <v>165.51599999999999</v>
      </c>
      <c r="E746" s="124">
        <v>154.37</v>
      </c>
      <c r="F746" s="124">
        <v>36.8919</v>
      </c>
      <c r="G746" s="124">
        <v>38.825000000000003</v>
      </c>
      <c r="H746" s="124">
        <v>37.921300000000002</v>
      </c>
      <c r="I746" s="124">
        <v>37.314</v>
      </c>
      <c r="J746" s="134">
        <v>106111467</v>
      </c>
      <c r="K746" s="134">
        <v>108854704</v>
      </c>
      <c r="L746" s="124">
        <v>332.36</v>
      </c>
      <c r="M746" s="114">
        <v>0</v>
      </c>
      <c r="N746" s="135">
        <v>25.133700000000001</v>
      </c>
      <c r="O746" s="135">
        <v>25.166799999999999</v>
      </c>
      <c r="P746" s="135">
        <v>24.7941</v>
      </c>
      <c r="Q746" s="135">
        <v>23.3779</v>
      </c>
      <c r="R746" s="137">
        <v>1.07</v>
      </c>
      <c r="S746" s="120">
        <v>0</v>
      </c>
      <c r="T746" s="120">
        <v>1517317</v>
      </c>
      <c r="U746" s="120">
        <v>0</v>
      </c>
      <c r="V746" s="114">
        <f t="shared" si="24"/>
        <v>1517317</v>
      </c>
      <c r="W746" s="114">
        <f t="shared" si="25"/>
        <v>1517317</v>
      </c>
    </row>
    <row r="747" spans="1:23">
      <c r="A747" s="122" t="s">
        <v>464</v>
      </c>
      <c r="B747" s="124">
        <v>196.48400000000001</v>
      </c>
      <c r="C747" s="124">
        <v>199.81399999999999</v>
      </c>
      <c r="D747" s="124">
        <v>193.78</v>
      </c>
      <c r="E747" s="124">
        <v>203.56100000000001</v>
      </c>
      <c r="F747" s="124">
        <v>32.893000000000001</v>
      </c>
      <c r="G747" s="124">
        <v>36.427799999999998</v>
      </c>
      <c r="H747" s="124">
        <v>34.882399999999997</v>
      </c>
      <c r="I747" s="124">
        <v>34.799500000000002</v>
      </c>
      <c r="J747" s="134">
        <v>81650307</v>
      </c>
      <c r="K747" s="134">
        <v>82591014</v>
      </c>
      <c r="L747" s="124">
        <v>356.46600000000001</v>
      </c>
      <c r="M747" s="134">
        <v>102897</v>
      </c>
      <c r="N747" s="135">
        <v>22.966699999999999</v>
      </c>
      <c r="O747" s="135">
        <v>25.7529</v>
      </c>
      <c r="P747" s="135">
        <v>23.776800000000001</v>
      </c>
      <c r="Q747" s="135">
        <v>23.383299999999998</v>
      </c>
      <c r="R747" s="137">
        <v>1.06</v>
      </c>
      <c r="S747" s="120">
        <v>89737</v>
      </c>
      <c r="T747" s="120">
        <v>1117086</v>
      </c>
      <c r="U747" s="120">
        <v>0</v>
      </c>
      <c r="V747" s="114">
        <f t="shared" si="24"/>
        <v>1117086</v>
      </c>
      <c r="W747" s="114">
        <f t="shared" si="25"/>
        <v>1206823</v>
      </c>
    </row>
    <row r="748" spans="1:23">
      <c r="A748" s="122" t="s">
        <v>2858</v>
      </c>
      <c r="B748" s="124">
        <v>336.71100000000001</v>
      </c>
      <c r="C748" s="124">
        <v>312.42500000000001</v>
      </c>
      <c r="D748" s="124">
        <v>302.99</v>
      </c>
      <c r="E748" s="124">
        <v>300.10000000000002</v>
      </c>
      <c r="F748" s="124">
        <v>55.647100000000002</v>
      </c>
      <c r="G748" s="124">
        <v>51.221899999999998</v>
      </c>
      <c r="H748" s="124">
        <v>49.644399999999997</v>
      </c>
      <c r="I748" s="124">
        <v>50.949199999999998</v>
      </c>
      <c r="J748" s="134">
        <v>75383874</v>
      </c>
      <c r="K748" s="134">
        <v>78217924</v>
      </c>
      <c r="L748" s="124">
        <v>499.923</v>
      </c>
      <c r="M748" s="134">
        <v>206378</v>
      </c>
      <c r="N748" s="135">
        <v>36.000300000000003</v>
      </c>
      <c r="O748" s="135">
        <v>35.262900000000002</v>
      </c>
      <c r="P748" s="135">
        <v>34.209200000000003</v>
      </c>
      <c r="Q748" s="135">
        <v>34.0017</v>
      </c>
      <c r="R748" s="137">
        <v>1.07</v>
      </c>
      <c r="S748" s="120">
        <v>221989</v>
      </c>
      <c r="T748" s="120">
        <v>1076556</v>
      </c>
      <c r="U748" s="120">
        <v>0</v>
      </c>
      <c r="V748" s="114">
        <f t="shared" si="24"/>
        <v>1076556</v>
      </c>
      <c r="W748" s="114">
        <f t="shared" si="25"/>
        <v>1298545</v>
      </c>
    </row>
    <row r="749" spans="1:23">
      <c r="A749" s="122" t="s">
        <v>1337</v>
      </c>
      <c r="B749" s="124">
        <v>1173.443</v>
      </c>
      <c r="C749" s="124">
        <v>1123.25</v>
      </c>
      <c r="D749" s="124">
        <v>1098.3119999999999</v>
      </c>
      <c r="E749" s="124">
        <v>1080.5250000000001</v>
      </c>
      <c r="F749" s="124">
        <v>190.1557</v>
      </c>
      <c r="G749" s="124">
        <v>191.93170000000001</v>
      </c>
      <c r="H749" s="124">
        <v>196.2859</v>
      </c>
      <c r="I749" s="124">
        <v>171.36340000000001</v>
      </c>
      <c r="J749" s="134">
        <v>476835078</v>
      </c>
      <c r="K749" s="134">
        <v>488817282</v>
      </c>
      <c r="L749" s="124">
        <v>1665.4349999999999</v>
      </c>
      <c r="M749" s="134">
        <v>721443</v>
      </c>
      <c r="N749" s="135">
        <v>126.3372</v>
      </c>
      <c r="O749" s="135">
        <v>127.74930000000001</v>
      </c>
      <c r="P749" s="135">
        <v>128.7106</v>
      </c>
      <c r="Q749" s="135">
        <v>110.9686</v>
      </c>
      <c r="R749" s="137">
        <v>1.08</v>
      </c>
      <c r="S749" s="120">
        <v>742485</v>
      </c>
      <c r="T749" s="120">
        <v>6560549</v>
      </c>
      <c r="U749" s="120">
        <v>0</v>
      </c>
      <c r="V749" s="114">
        <f t="shared" si="24"/>
        <v>6560549</v>
      </c>
      <c r="W749" s="114">
        <f t="shared" si="25"/>
        <v>7303034</v>
      </c>
    </row>
    <row r="750" spans="1:23">
      <c r="A750" s="122" t="s">
        <v>1338</v>
      </c>
      <c r="B750" s="124">
        <v>4261.9070000000002</v>
      </c>
      <c r="C750" s="124">
        <v>4014.54</v>
      </c>
      <c r="D750" s="124">
        <v>3959.6550000000002</v>
      </c>
      <c r="E750" s="124">
        <v>3849.973</v>
      </c>
      <c r="F750" s="124">
        <v>600.10410000000002</v>
      </c>
      <c r="G750" s="124">
        <v>563.21270000000004</v>
      </c>
      <c r="H750" s="124">
        <v>554.91150000000005</v>
      </c>
      <c r="I750" s="124">
        <v>540.27819999999997</v>
      </c>
      <c r="J750" s="134">
        <v>861625612</v>
      </c>
      <c r="K750" s="134">
        <v>906163465</v>
      </c>
      <c r="L750" s="124">
        <v>4973.92</v>
      </c>
      <c r="M750" s="134">
        <v>828124</v>
      </c>
      <c r="N750" s="135">
        <v>371.94819999999999</v>
      </c>
      <c r="O750" s="135">
        <v>350.9751</v>
      </c>
      <c r="P750" s="135">
        <v>331.96170000000001</v>
      </c>
      <c r="Q750" s="135">
        <v>319.69920000000002</v>
      </c>
      <c r="R750" s="137">
        <v>1.1100000000000001</v>
      </c>
      <c r="S750" s="120">
        <v>853430</v>
      </c>
      <c r="T750" s="120">
        <v>13376005</v>
      </c>
      <c r="U750" s="120">
        <v>0</v>
      </c>
      <c r="V750" s="114">
        <f t="shared" si="24"/>
        <v>13376005</v>
      </c>
      <c r="W750" s="114">
        <f t="shared" si="25"/>
        <v>14229435</v>
      </c>
    </row>
    <row r="751" spans="1:23">
      <c r="A751" s="122" t="s">
        <v>2753</v>
      </c>
      <c r="B751" s="124">
        <v>36533.212</v>
      </c>
      <c r="C751" s="124">
        <v>36222.966999999997</v>
      </c>
      <c r="D751" s="124">
        <v>36382.385000000002</v>
      </c>
      <c r="E751" s="124">
        <v>36087.756000000001</v>
      </c>
      <c r="F751" s="124">
        <v>4964.6481000000003</v>
      </c>
      <c r="G751" s="124">
        <v>4994.1307999999999</v>
      </c>
      <c r="H751" s="124">
        <v>4985.6882999999998</v>
      </c>
      <c r="I751" s="124">
        <v>5050.9416000000001</v>
      </c>
      <c r="J751" s="134">
        <v>6494355191</v>
      </c>
      <c r="K751" s="134">
        <v>6924295377</v>
      </c>
      <c r="L751" s="124">
        <v>48207.042000000001</v>
      </c>
      <c r="M751" s="134">
        <v>5902410</v>
      </c>
      <c r="N751" s="135">
        <v>2992.3993999999998</v>
      </c>
      <c r="O751" s="135">
        <v>3055.9821000000002</v>
      </c>
      <c r="P751" s="135">
        <v>3019.4122000000002</v>
      </c>
      <c r="Q751" s="135">
        <v>3109.4778999999999</v>
      </c>
      <c r="R751" s="137">
        <v>1.1100000000000001</v>
      </c>
      <c r="S751" s="120">
        <v>7795919</v>
      </c>
      <c r="T751" s="120">
        <v>98644850</v>
      </c>
      <c r="U751" s="120">
        <v>0</v>
      </c>
      <c r="V751" s="114">
        <f t="shared" si="24"/>
        <v>98644850</v>
      </c>
      <c r="W751" s="114">
        <f t="shared" si="25"/>
        <v>106440769</v>
      </c>
    </row>
    <row r="752" spans="1:23">
      <c r="A752" s="122" t="s">
        <v>619</v>
      </c>
      <c r="B752" s="124">
        <v>249.07599999999999</v>
      </c>
      <c r="C752" s="124">
        <v>266</v>
      </c>
      <c r="D752" s="124">
        <v>280.25900000000001</v>
      </c>
      <c r="E752" s="124">
        <v>272.49599999999998</v>
      </c>
      <c r="F752" s="124">
        <v>48.1571</v>
      </c>
      <c r="G752" s="124">
        <v>51.701900000000002</v>
      </c>
      <c r="H752" s="124">
        <v>56.575000000000003</v>
      </c>
      <c r="I752" s="124">
        <v>52.461599999999997</v>
      </c>
      <c r="J752" s="134">
        <v>47272391</v>
      </c>
      <c r="K752" s="134">
        <v>49484642</v>
      </c>
      <c r="L752" s="124">
        <v>487.80099999999999</v>
      </c>
      <c r="M752" s="134">
        <v>286029</v>
      </c>
      <c r="N752" s="135">
        <v>32.179600000000001</v>
      </c>
      <c r="O752" s="135">
        <v>33.470599999999997</v>
      </c>
      <c r="P752" s="135">
        <v>33.363300000000002</v>
      </c>
      <c r="Q752" s="135">
        <v>31.164000000000001</v>
      </c>
      <c r="R752" s="137">
        <v>1.1100000000000001</v>
      </c>
      <c r="S752" s="120">
        <v>316507</v>
      </c>
      <c r="T752" s="120">
        <v>1415309</v>
      </c>
      <c r="U752" s="120">
        <v>0</v>
      </c>
      <c r="V752" s="114">
        <f t="shared" si="24"/>
        <v>1415309</v>
      </c>
      <c r="W752" s="114">
        <f t="shared" si="25"/>
        <v>1731816</v>
      </c>
    </row>
    <row r="753" spans="1:23">
      <c r="A753" s="122" t="s">
        <v>632</v>
      </c>
      <c r="B753" s="124">
        <v>172.989</v>
      </c>
      <c r="C753" s="124">
        <v>182.387</v>
      </c>
      <c r="D753" s="124">
        <v>176.87899999999999</v>
      </c>
      <c r="E753" s="124">
        <v>172.84299999999999</v>
      </c>
      <c r="F753" s="124">
        <v>27.745200000000001</v>
      </c>
      <c r="G753" s="124">
        <v>29.041499999999999</v>
      </c>
      <c r="H753" s="124">
        <v>28.2471</v>
      </c>
      <c r="I753" s="124">
        <v>26.758800000000001</v>
      </c>
      <c r="J753" s="134">
        <v>67240842</v>
      </c>
      <c r="K753" s="134">
        <v>68730842</v>
      </c>
      <c r="L753" s="124">
        <v>276.40800000000002</v>
      </c>
      <c r="M753" s="114">
        <v>0</v>
      </c>
      <c r="N753" s="135">
        <v>19.3002</v>
      </c>
      <c r="O753" s="135">
        <v>19.3003</v>
      </c>
      <c r="P753" s="135">
        <v>19.263500000000001</v>
      </c>
      <c r="Q753" s="135">
        <v>18.6859</v>
      </c>
      <c r="R753" s="137">
        <v>1.08</v>
      </c>
      <c r="S753" s="120">
        <v>0</v>
      </c>
      <c r="T753" s="120">
        <v>911251</v>
      </c>
      <c r="U753" s="120">
        <v>0</v>
      </c>
      <c r="V753" s="114">
        <f t="shared" si="24"/>
        <v>911251</v>
      </c>
      <c r="W753" s="114">
        <f t="shared" si="25"/>
        <v>911251</v>
      </c>
    </row>
    <row r="754" spans="1:23">
      <c r="A754" s="122" t="s">
        <v>633</v>
      </c>
      <c r="B754" s="124">
        <v>510.49200000000002</v>
      </c>
      <c r="C754" s="124">
        <v>503.22300000000001</v>
      </c>
      <c r="D754" s="124">
        <v>488.02600000000001</v>
      </c>
      <c r="E754" s="124">
        <v>482.81599999999997</v>
      </c>
      <c r="F754" s="124">
        <v>85.319299999999998</v>
      </c>
      <c r="G754" s="124">
        <v>87.011799999999994</v>
      </c>
      <c r="H754" s="124">
        <v>90.862899999999996</v>
      </c>
      <c r="I754" s="124">
        <v>91.437700000000007</v>
      </c>
      <c r="J754" s="134">
        <v>578707598</v>
      </c>
      <c r="K754" s="134">
        <v>588059685</v>
      </c>
      <c r="L754" s="124">
        <v>782.94200000000001</v>
      </c>
      <c r="M754" s="134">
        <v>442571</v>
      </c>
      <c r="N754" s="135">
        <v>59.5854</v>
      </c>
      <c r="O754" s="135">
        <v>61.478400000000001</v>
      </c>
      <c r="P754" s="135">
        <v>61.114400000000003</v>
      </c>
      <c r="Q754" s="135">
        <v>63.5974</v>
      </c>
      <c r="R754" s="137">
        <v>1.07</v>
      </c>
      <c r="S754" s="120">
        <v>832908</v>
      </c>
      <c r="T754" s="120">
        <v>8961792</v>
      </c>
      <c r="U754" s="120">
        <v>0</v>
      </c>
      <c r="V754" s="114">
        <f t="shared" si="24"/>
        <v>8961792</v>
      </c>
      <c r="W754" s="114">
        <f t="shared" si="25"/>
        <v>9794700</v>
      </c>
    </row>
    <row r="755" spans="1:23">
      <c r="A755" s="122" t="s">
        <v>191</v>
      </c>
      <c r="B755" s="124">
        <v>3817.9079999999999</v>
      </c>
      <c r="C755" s="124">
        <v>3709.1480000000001</v>
      </c>
      <c r="D755" s="124">
        <v>3597.1320000000001</v>
      </c>
      <c r="E755" s="124">
        <v>3513.5189999999998</v>
      </c>
      <c r="F755" s="124">
        <v>703.14269999999999</v>
      </c>
      <c r="G755" s="124">
        <v>687.59119999999996</v>
      </c>
      <c r="H755" s="124">
        <v>665.928</v>
      </c>
      <c r="I755" s="124">
        <v>656.68499999999995</v>
      </c>
      <c r="J755" s="134">
        <v>184225812</v>
      </c>
      <c r="K755" s="134">
        <v>211073609</v>
      </c>
      <c r="L755" s="124">
        <v>5325.6469999999999</v>
      </c>
      <c r="M755" s="134">
        <v>187173</v>
      </c>
      <c r="N755" s="135">
        <v>418.99259999999998</v>
      </c>
      <c r="O755" s="135">
        <v>406.2319</v>
      </c>
      <c r="P755" s="135">
        <v>386.08769999999998</v>
      </c>
      <c r="Q755" s="135">
        <v>372.4631</v>
      </c>
      <c r="R755" s="137">
        <v>1.1599999999999999</v>
      </c>
      <c r="S755" s="120">
        <v>305363</v>
      </c>
      <c r="T755" s="120">
        <v>2820172</v>
      </c>
      <c r="U755" s="120">
        <v>0</v>
      </c>
      <c r="V755" s="114">
        <f t="shared" si="24"/>
        <v>2820172</v>
      </c>
      <c r="W755" s="114">
        <f t="shared" si="25"/>
        <v>3125535</v>
      </c>
    </row>
    <row r="756" spans="1:23">
      <c r="A756" s="122" t="s">
        <v>869</v>
      </c>
      <c r="B756" s="124">
        <v>2837.2890000000002</v>
      </c>
      <c r="C756" s="124">
        <v>2847.2379999999998</v>
      </c>
      <c r="D756" s="124">
        <v>2938.0390000000002</v>
      </c>
      <c r="E756" s="124">
        <v>2980.46</v>
      </c>
      <c r="F756" s="124">
        <v>394.35390000000001</v>
      </c>
      <c r="G756" s="124">
        <v>394.06700000000001</v>
      </c>
      <c r="H756" s="124">
        <v>395.27229999999997</v>
      </c>
      <c r="I756" s="124">
        <v>380.45940000000002</v>
      </c>
      <c r="J756" s="134">
        <v>960624866</v>
      </c>
      <c r="K756" s="134">
        <v>981515158</v>
      </c>
      <c r="L756" s="124">
        <v>4009.4760000000001</v>
      </c>
      <c r="M756" s="134">
        <v>2289602</v>
      </c>
      <c r="N756" s="135">
        <v>260.55029999999999</v>
      </c>
      <c r="O756" s="135">
        <v>256.96609999999998</v>
      </c>
      <c r="P756" s="135">
        <v>247.95679999999999</v>
      </c>
      <c r="Q756" s="135">
        <v>246.36349999999999</v>
      </c>
      <c r="R756" s="137">
        <v>1.1000000000000001</v>
      </c>
      <c r="S756" s="120">
        <v>2532445</v>
      </c>
      <c r="T756" s="120">
        <v>14388114</v>
      </c>
      <c r="U756" s="120">
        <v>0</v>
      </c>
      <c r="V756" s="114">
        <f t="shared" si="24"/>
        <v>14388114</v>
      </c>
      <c r="W756" s="114">
        <f t="shared" si="25"/>
        <v>16920559</v>
      </c>
    </row>
    <row r="757" spans="1:23">
      <c r="A757" s="122" t="s">
        <v>1087</v>
      </c>
      <c r="B757" s="124">
        <v>729.73800000000006</v>
      </c>
      <c r="C757" s="124">
        <v>746.32500000000005</v>
      </c>
      <c r="D757" s="124">
        <v>774.62699999999995</v>
      </c>
      <c r="E757" s="124">
        <v>793.47500000000002</v>
      </c>
      <c r="F757" s="124">
        <v>126.2141</v>
      </c>
      <c r="G757" s="124">
        <v>116.80759999999999</v>
      </c>
      <c r="H757" s="124">
        <v>122.0697</v>
      </c>
      <c r="I757" s="124">
        <v>124.6872</v>
      </c>
      <c r="J757" s="134">
        <v>199911931</v>
      </c>
      <c r="K757" s="134">
        <v>207067092</v>
      </c>
      <c r="L757" s="124">
        <v>1303.444</v>
      </c>
      <c r="M757" s="134">
        <v>338326</v>
      </c>
      <c r="N757" s="135">
        <v>83.002700000000004</v>
      </c>
      <c r="O757" s="135">
        <v>76.629599999999996</v>
      </c>
      <c r="P757" s="135">
        <v>80.855000000000004</v>
      </c>
      <c r="Q757" s="135">
        <v>82.003200000000007</v>
      </c>
      <c r="R757" s="137">
        <v>1.08</v>
      </c>
      <c r="S757" s="120">
        <v>353025</v>
      </c>
      <c r="T757" s="120">
        <v>2874672</v>
      </c>
      <c r="U757" s="120">
        <v>0</v>
      </c>
      <c r="V757" s="114">
        <f t="shared" si="24"/>
        <v>2874672</v>
      </c>
      <c r="W757" s="114">
        <f t="shared" si="25"/>
        <v>3227697</v>
      </c>
    </row>
    <row r="758" spans="1:23">
      <c r="A758" s="122" t="s">
        <v>2452</v>
      </c>
      <c r="B758" s="124">
        <v>4637.2920000000004</v>
      </c>
      <c r="C758" s="124">
        <v>4639.5290000000005</v>
      </c>
      <c r="D758" s="124">
        <v>4627.13</v>
      </c>
      <c r="E758" s="124">
        <v>4612.0619999999999</v>
      </c>
      <c r="F758" s="124">
        <v>679.90570000000002</v>
      </c>
      <c r="G758" s="124">
        <v>692.79570000000001</v>
      </c>
      <c r="H758" s="124">
        <v>684.35590000000002</v>
      </c>
      <c r="I758" s="124">
        <v>752.61030000000005</v>
      </c>
      <c r="J758" s="134">
        <v>882925927</v>
      </c>
      <c r="K758" s="134">
        <v>939412269</v>
      </c>
      <c r="L758" s="124">
        <v>6024.9350000000004</v>
      </c>
      <c r="M758" s="134">
        <v>397984</v>
      </c>
      <c r="N758" s="135">
        <v>413.3288</v>
      </c>
      <c r="O758" s="135">
        <v>415.2122</v>
      </c>
      <c r="P758" s="135">
        <v>416.8272</v>
      </c>
      <c r="Q758" s="135">
        <v>434.64819999999997</v>
      </c>
      <c r="R758" s="137">
        <v>1.1100000000000001</v>
      </c>
      <c r="S758" s="120">
        <v>419048</v>
      </c>
      <c r="T758" s="120">
        <v>14542325</v>
      </c>
      <c r="U758" s="120">
        <v>0</v>
      </c>
      <c r="V758" s="114">
        <f t="shared" si="24"/>
        <v>14542325</v>
      </c>
      <c r="W758" s="114">
        <f t="shared" si="25"/>
        <v>14961373</v>
      </c>
    </row>
    <row r="759" spans="1:23">
      <c r="A759" s="122" t="s">
        <v>2453</v>
      </c>
      <c r="B759" s="124">
        <v>1758.002</v>
      </c>
      <c r="C759" s="124">
        <v>1725.963</v>
      </c>
      <c r="D759" s="124">
        <v>1709.7139999999999</v>
      </c>
      <c r="E759" s="124">
        <v>1745.808</v>
      </c>
      <c r="F759" s="124">
        <v>314.13310000000001</v>
      </c>
      <c r="G759" s="124">
        <v>297.11919999999998</v>
      </c>
      <c r="H759" s="124">
        <v>296.43400000000003</v>
      </c>
      <c r="I759" s="124">
        <v>269.45569999999998</v>
      </c>
      <c r="J759" s="134">
        <v>300321994</v>
      </c>
      <c r="K759" s="134">
        <v>315522546</v>
      </c>
      <c r="L759" s="124">
        <v>2633.9250000000002</v>
      </c>
      <c r="M759" s="134">
        <v>229641</v>
      </c>
      <c r="N759" s="135">
        <v>199.91630000000001</v>
      </c>
      <c r="O759" s="135">
        <v>178.626</v>
      </c>
      <c r="P759" s="135">
        <v>178.357</v>
      </c>
      <c r="Q759" s="135">
        <v>159.9025</v>
      </c>
      <c r="R759" s="137">
        <v>1.1200000000000001</v>
      </c>
      <c r="S759" s="120">
        <v>219298</v>
      </c>
      <c r="T759" s="120">
        <v>4517957</v>
      </c>
      <c r="U759" s="120">
        <v>0</v>
      </c>
      <c r="V759" s="114">
        <f t="shared" si="24"/>
        <v>4517957</v>
      </c>
      <c r="W759" s="114">
        <f t="shared" si="25"/>
        <v>4737255</v>
      </c>
    </row>
    <row r="760" spans="1:23">
      <c r="A760" s="122" t="s">
        <v>237</v>
      </c>
      <c r="B760" s="124">
        <v>1807.788</v>
      </c>
      <c r="C760" s="124">
        <v>1873.4780000000001</v>
      </c>
      <c r="D760" s="124">
        <v>1884.18</v>
      </c>
      <c r="E760" s="124">
        <v>1831.9880000000001</v>
      </c>
      <c r="F760" s="124">
        <v>289.69130000000001</v>
      </c>
      <c r="G760" s="124">
        <v>287.9169</v>
      </c>
      <c r="H760" s="124">
        <v>293.52980000000002</v>
      </c>
      <c r="I760" s="124">
        <v>294.20139999999998</v>
      </c>
      <c r="J760" s="134">
        <v>528476486</v>
      </c>
      <c r="K760" s="134">
        <v>548198426</v>
      </c>
      <c r="L760" s="124">
        <v>2597.9050000000002</v>
      </c>
      <c r="M760" s="134">
        <v>110579</v>
      </c>
      <c r="N760" s="135">
        <v>193.31909999999999</v>
      </c>
      <c r="O760" s="135">
        <v>194.01650000000001</v>
      </c>
      <c r="P760" s="135">
        <v>198.60499999999999</v>
      </c>
      <c r="Q760" s="135">
        <v>194.1687</v>
      </c>
      <c r="R760" s="137">
        <v>1.1000000000000001</v>
      </c>
      <c r="S760" s="120">
        <v>561495</v>
      </c>
      <c r="T760" s="120">
        <v>8231258</v>
      </c>
      <c r="U760" s="120">
        <v>0</v>
      </c>
      <c r="V760" s="114">
        <f t="shared" si="24"/>
        <v>8231258</v>
      </c>
      <c r="W760" s="114">
        <f t="shared" si="25"/>
        <v>8792753</v>
      </c>
    </row>
    <row r="761" spans="1:23">
      <c r="A761" s="122" t="s">
        <v>1054</v>
      </c>
      <c r="B761" s="124">
        <v>311.64299999999997</v>
      </c>
      <c r="C761" s="124">
        <v>334.82100000000003</v>
      </c>
      <c r="D761" s="124">
        <v>346.70600000000002</v>
      </c>
      <c r="E761" s="124">
        <v>341.14400000000001</v>
      </c>
      <c r="F761" s="124">
        <v>101.63639999999999</v>
      </c>
      <c r="G761" s="124">
        <v>106.4624</v>
      </c>
      <c r="H761" s="124">
        <v>108.9893</v>
      </c>
      <c r="I761" s="124">
        <v>109.10169999999999</v>
      </c>
      <c r="J761" s="47">
        <v>0</v>
      </c>
      <c r="K761" s="47">
        <v>0</v>
      </c>
      <c r="L761" s="124">
        <v>0</v>
      </c>
      <c r="M761" s="134">
        <v>0</v>
      </c>
      <c r="N761" s="135">
        <v>76.230800000000002</v>
      </c>
      <c r="O761" s="135">
        <v>79.819299999999998</v>
      </c>
      <c r="P761" s="135">
        <v>81.345799999999997</v>
      </c>
      <c r="Q761" s="135">
        <v>80.350499999999997</v>
      </c>
      <c r="R761" s="137">
        <v>1.0900000000000001</v>
      </c>
      <c r="S761" s="72">
        <v>0</v>
      </c>
      <c r="T761" s="72">
        <v>0</v>
      </c>
      <c r="U761" s="72">
        <v>0</v>
      </c>
      <c r="V761">
        <f t="shared" si="24"/>
        <v>0</v>
      </c>
      <c r="W761">
        <f t="shared" si="25"/>
        <v>0</v>
      </c>
    </row>
    <row r="762" spans="1:23">
      <c r="A762" s="122" t="s">
        <v>1097</v>
      </c>
      <c r="B762" s="124">
        <v>323.22899999999998</v>
      </c>
      <c r="C762" s="124">
        <v>305.99099999999999</v>
      </c>
      <c r="D762" s="124">
        <v>296.75</v>
      </c>
      <c r="E762" s="124">
        <v>281.59100000000001</v>
      </c>
      <c r="F762" s="124">
        <v>59.898400000000002</v>
      </c>
      <c r="G762" s="124">
        <v>60.898400000000002</v>
      </c>
      <c r="H762" s="124">
        <v>60.898400000000002</v>
      </c>
      <c r="I762" s="124">
        <v>59.898400000000002</v>
      </c>
      <c r="J762" s="134">
        <v>54549486</v>
      </c>
      <c r="K762" s="134">
        <v>57670604</v>
      </c>
      <c r="L762" s="124">
        <v>565.38800000000003</v>
      </c>
      <c r="M762" s="114">
        <v>0</v>
      </c>
      <c r="N762" s="135">
        <v>36.268500000000003</v>
      </c>
      <c r="O762" s="135">
        <v>38.787199999999999</v>
      </c>
      <c r="P762" s="135">
        <v>38.805399999999999</v>
      </c>
      <c r="Q762" s="135">
        <v>38.8048</v>
      </c>
      <c r="R762" s="137">
        <v>1.04</v>
      </c>
      <c r="S762" s="120">
        <v>0</v>
      </c>
      <c r="T762" s="120">
        <v>823484</v>
      </c>
      <c r="U762" s="120">
        <v>0</v>
      </c>
      <c r="V762" s="114">
        <f t="shared" ref="V762:V773" si="26">T762+U762</f>
        <v>823484</v>
      </c>
      <c r="W762" s="114">
        <f t="shared" ref="W762:W773" si="27">V762+S762</f>
        <v>823484</v>
      </c>
    </row>
    <row r="763" spans="1:23">
      <c r="A763" s="122" t="s">
        <v>1098</v>
      </c>
      <c r="B763" s="124">
        <v>85.790999999999997</v>
      </c>
      <c r="C763" s="124">
        <v>110.84</v>
      </c>
      <c r="D763" s="124">
        <v>108.36799999999999</v>
      </c>
      <c r="E763" s="124">
        <v>114.256</v>
      </c>
      <c r="F763" s="124">
        <v>22.568899999999999</v>
      </c>
      <c r="G763" s="124">
        <v>22.568899999999999</v>
      </c>
      <c r="H763" s="124">
        <v>22.5716</v>
      </c>
      <c r="I763" s="124">
        <v>23.349699999999999</v>
      </c>
      <c r="J763" s="134">
        <v>34321234</v>
      </c>
      <c r="K763" s="134">
        <v>35021369</v>
      </c>
      <c r="L763" s="124">
        <v>281.96499999999997</v>
      </c>
      <c r="M763" s="114">
        <v>0</v>
      </c>
      <c r="N763" s="135">
        <v>16</v>
      </c>
      <c r="O763" s="135">
        <v>15.000299999999999</v>
      </c>
      <c r="P763" s="135">
        <v>16.210599999999999</v>
      </c>
      <c r="Q763" s="135">
        <v>16.062999999999999</v>
      </c>
      <c r="R763" s="137">
        <v>1.06</v>
      </c>
      <c r="S763" s="120">
        <v>0</v>
      </c>
      <c r="T763" s="120">
        <v>501494</v>
      </c>
      <c r="U763" s="120">
        <v>0</v>
      </c>
      <c r="V763" s="114">
        <f t="shared" si="26"/>
        <v>501494</v>
      </c>
      <c r="W763" s="114">
        <f t="shared" si="27"/>
        <v>501494</v>
      </c>
    </row>
    <row r="764" spans="1:23">
      <c r="A764" s="122" t="s">
        <v>1099</v>
      </c>
      <c r="B764" s="124">
        <v>74.888999999999996</v>
      </c>
      <c r="C764" s="124">
        <v>76.843000000000004</v>
      </c>
      <c r="D764" s="124">
        <v>77.921999999999997</v>
      </c>
      <c r="E764" s="124">
        <v>75.763999999999996</v>
      </c>
      <c r="F764" s="124">
        <v>14.302899999999999</v>
      </c>
      <c r="G764" s="124">
        <v>15.401</v>
      </c>
      <c r="H764" s="124">
        <v>15.5748</v>
      </c>
      <c r="I764" s="124">
        <v>15.4892</v>
      </c>
      <c r="J764" s="134">
        <v>12903393</v>
      </c>
      <c r="K764" s="134">
        <v>13701804</v>
      </c>
      <c r="L764" s="124">
        <v>131.99700000000001</v>
      </c>
      <c r="M764" s="114">
        <v>0</v>
      </c>
      <c r="N764" s="135">
        <v>10.0238</v>
      </c>
      <c r="O764" s="135">
        <v>10.4901</v>
      </c>
      <c r="P764" s="135">
        <v>11.184799999999999</v>
      </c>
      <c r="Q764" s="135">
        <v>11.0991</v>
      </c>
      <c r="R764" s="137">
        <v>1.05</v>
      </c>
      <c r="S764" s="120">
        <v>0</v>
      </c>
      <c r="T764" s="120">
        <v>305384</v>
      </c>
      <c r="U764" s="120">
        <v>0</v>
      </c>
      <c r="V764" s="114">
        <f t="shared" si="26"/>
        <v>305384</v>
      </c>
      <c r="W764" s="114">
        <f t="shared" si="27"/>
        <v>305384</v>
      </c>
    </row>
    <row r="765" spans="1:23">
      <c r="A765" s="122" t="s">
        <v>2225</v>
      </c>
      <c r="B765" s="124">
        <v>2646.2750000000001</v>
      </c>
      <c r="C765" s="124">
        <v>2574</v>
      </c>
      <c r="D765" s="124">
        <v>2551.8609999999999</v>
      </c>
      <c r="E765" s="124">
        <v>2494.6840000000002</v>
      </c>
      <c r="F765" s="124">
        <v>358.25700000000001</v>
      </c>
      <c r="G765" s="124">
        <v>364.64299999999997</v>
      </c>
      <c r="H765" s="124">
        <v>381.09949999999998</v>
      </c>
      <c r="I765" s="124">
        <v>370.66860000000003</v>
      </c>
      <c r="J765" s="134">
        <v>431822239</v>
      </c>
      <c r="K765" s="134">
        <v>466725219</v>
      </c>
      <c r="L765" s="124">
        <v>3324.0630000000001</v>
      </c>
      <c r="M765" s="134">
        <v>109196</v>
      </c>
      <c r="N765" s="135">
        <v>222.5351</v>
      </c>
      <c r="O765" s="135">
        <v>231.8365</v>
      </c>
      <c r="P765" s="135">
        <v>238.91569999999999</v>
      </c>
      <c r="Q765" s="135">
        <v>228.4743</v>
      </c>
      <c r="R765" s="137">
        <v>1.1000000000000001</v>
      </c>
      <c r="S765" s="120">
        <v>484293</v>
      </c>
      <c r="T765" s="120">
        <v>6248119</v>
      </c>
      <c r="U765" s="120">
        <v>0</v>
      </c>
      <c r="V765" s="114">
        <f t="shared" si="26"/>
        <v>6248119</v>
      </c>
      <c r="W765" s="114">
        <f t="shared" si="27"/>
        <v>6732412</v>
      </c>
    </row>
    <row r="766" spans="1:23">
      <c r="A766" s="122" t="s">
        <v>1100</v>
      </c>
      <c r="B766" s="124">
        <v>1505.12</v>
      </c>
      <c r="C766" s="124">
        <v>1519.9079999999999</v>
      </c>
      <c r="D766" s="124">
        <v>1522.69</v>
      </c>
      <c r="E766" s="124">
        <v>1535.114</v>
      </c>
      <c r="F766" s="124">
        <v>200.39080000000001</v>
      </c>
      <c r="G766" s="124">
        <v>198.98</v>
      </c>
      <c r="H766" s="124">
        <v>202.84399999999999</v>
      </c>
      <c r="I766" s="124">
        <v>217.57759999999999</v>
      </c>
      <c r="J766" s="134">
        <v>217448668</v>
      </c>
      <c r="K766" s="134">
        <v>235195248</v>
      </c>
      <c r="L766" s="124">
        <v>2077.1889999999999</v>
      </c>
      <c r="M766" s="134">
        <v>152447</v>
      </c>
      <c r="N766" s="135">
        <v>127.53060000000001</v>
      </c>
      <c r="O766" s="135">
        <v>126.0889</v>
      </c>
      <c r="P766" s="135">
        <v>127.7221</v>
      </c>
      <c r="Q766" s="135">
        <v>129.4358</v>
      </c>
      <c r="R766" s="137">
        <v>1.08</v>
      </c>
      <c r="S766" s="120">
        <v>182382</v>
      </c>
      <c r="T766" s="120">
        <v>3181071</v>
      </c>
      <c r="U766" s="120">
        <v>0</v>
      </c>
      <c r="V766" s="114">
        <f t="shared" si="26"/>
        <v>3181071</v>
      </c>
      <c r="W766" s="114">
        <f t="shared" si="27"/>
        <v>3363453</v>
      </c>
    </row>
    <row r="767" spans="1:23">
      <c r="A767" s="122" t="s">
        <v>1101</v>
      </c>
      <c r="B767" s="124">
        <v>3340.6709999999998</v>
      </c>
      <c r="C767" s="124">
        <v>3171.9349999999999</v>
      </c>
      <c r="D767" s="124">
        <v>3076.143</v>
      </c>
      <c r="E767" s="124">
        <v>2975.134</v>
      </c>
      <c r="F767" s="124">
        <v>585.05619999999999</v>
      </c>
      <c r="G767" s="124">
        <v>589.87139999999999</v>
      </c>
      <c r="H767" s="124">
        <v>591.23839999999996</v>
      </c>
      <c r="I767" s="124">
        <v>566.85209999999995</v>
      </c>
      <c r="J767" s="134">
        <v>1803254548</v>
      </c>
      <c r="K767" s="134">
        <v>1849465948</v>
      </c>
      <c r="L767" s="124">
        <v>4148.51</v>
      </c>
      <c r="M767" s="134">
        <v>1088376</v>
      </c>
      <c r="N767" s="135">
        <v>324.02350000000001</v>
      </c>
      <c r="O767" s="135">
        <v>347.1404</v>
      </c>
      <c r="P767" s="135">
        <v>349.7885</v>
      </c>
      <c r="Q767" s="135">
        <v>326.00470000000001</v>
      </c>
      <c r="R767" s="137">
        <v>1.1100000000000001</v>
      </c>
      <c r="S767" s="120">
        <v>831601</v>
      </c>
      <c r="T767" s="120">
        <v>26985008</v>
      </c>
      <c r="U767" s="120">
        <v>0</v>
      </c>
      <c r="V767" s="114">
        <f t="shared" si="26"/>
        <v>26985008</v>
      </c>
      <c r="W767" s="114">
        <f t="shared" si="27"/>
        <v>27816609</v>
      </c>
    </row>
    <row r="768" spans="1:23">
      <c r="A768" s="122" t="s">
        <v>1655</v>
      </c>
      <c r="B768" s="124">
        <v>5060.4560000000001</v>
      </c>
      <c r="C768" s="124">
        <v>4981.3019999999997</v>
      </c>
      <c r="D768" s="124">
        <v>4847.6610000000001</v>
      </c>
      <c r="E768" s="124">
        <v>4810.5370000000003</v>
      </c>
      <c r="F768" s="124">
        <v>741.71600000000001</v>
      </c>
      <c r="G768" s="124">
        <v>738.77750000000003</v>
      </c>
      <c r="H768" s="124">
        <v>711.28309999999999</v>
      </c>
      <c r="I768" s="124">
        <v>711.74940000000004</v>
      </c>
      <c r="J768" s="134">
        <v>518451491</v>
      </c>
      <c r="K768" s="134">
        <v>582535951</v>
      </c>
      <c r="L768" s="124">
        <v>6566.5259999999998</v>
      </c>
      <c r="M768" s="114">
        <v>0</v>
      </c>
      <c r="N768" s="135">
        <v>484.97359999999998</v>
      </c>
      <c r="O768" s="135">
        <v>483.29360000000003</v>
      </c>
      <c r="P768" s="135">
        <v>461.44009999999997</v>
      </c>
      <c r="Q768" s="135">
        <v>469.5874</v>
      </c>
      <c r="R768" s="137">
        <v>1.1000000000000001</v>
      </c>
      <c r="S768" s="120">
        <v>462040</v>
      </c>
      <c r="T768" s="120">
        <v>7581090</v>
      </c>
      <c r="U768" s="120">
        <v>0</v>
      </c>
      <c r="V768" s="114">
        <f t="shared" si="26"/>
        <v>7581090</v>
      </c>
      <c r="W768" s="114">
        <f t="shared" si="27"/>
        <v>8043130</v>
      </c>
    </row>
    <row r="769" spans="1:23">
      <c r="A769" s="122" t="s">
        <v>1248</v>
      </c>
      <c r="B769" s="124">
        <v>3414.991</v>
      </c>
      <c r="C769" s="124">
        <v>3434.6729999999998</v>
      </c>
      <c r="D769" s="124">
        <v>3448.88</v>
      </c>
      <c r="E769" s="124">
        <v>3429.4560000000001</v>
      </c>
      <c r="F769" s="124">
        <v>484.3331</v>
      </c>
      <c r="G769" s="124">
        <v>492.4248</v>
      </c>
      <c r="H769" s="124">
        <v>496.70749999999998</v>
      </c>
      <c r="I769" s="124">
        <v>508.71100000000001</v>
      </c>
      <c r="J769" s="134">
        <v>539793737</v>
      </c>
      <c r="K769" s="134">
        <v>586395887</v>
      </c>
      <c r="L769" s="124">
        <v>4646.6809999999996</v>
      </c>
      <c r="M769" s="134">
        <v>590233</v>
      </c>
      <c r="N769" s="135">
        <v>296.7174</v>
      </c>
      <c r="O769" s="135">
        <v>299.93650000000002</v>
      </c>
      <c r="P769" s="135">
        <v>300.19150000000002</v>
      </c>
      <c r="Q769" s="135">
        <v>309.41079999999999</v>
      </c>
      <c r="R769" s="137">
        <v>1.1000000000000001</v>
      </c>
      <c r="S769" s="120">
        <v>622228</v>
      </c>
      <c r="T769" s="120">
        <v>7950145</v>
      </c>
      <c r="U769" s="120">
        <v>0</v>
      </c>
      <c r="V769" s="114">
        <f t="shared" si="26"/>
        <v>7950145</v>
      </c>
      <c r="W769" s="114">
        <f t="shared" si="27"/>
        <v>8572373</v>
      </c>
    </row>
    <row r="770" spans="1:23">
      <c r="A770" s="122" t="s">
        <v>1249</v>
      </c>
      <c r="B770" s="124">
        <v>214.792</v>
      </c>
      <c r="C770" s="124">
        <v>202.959</v>
      </c>
      <c r="D770" s="124">
        <v>211.77099999999999</v>
      </c>
      <c r="E770" s="124">
        <v>205.905</v>
      </c>
      <c r="F770" s="124">
        <v>32.811700000000002</v>
      </c>
      <c r="G770" s="124">
        <v>34.155099999999997</v>
      </c>
      <c r="H770" s="124">
        <v>36.155099999999997</v>
      </c>
      <c r="I770" s="124">
        <v>33.481299999999997</v>
      </c>
      <c r="J770" s="134">
        <v>52158684</v>
      </c>
      <c r="K770" s="134">
        <v>54847914</v>
      </c>
      <c r="L770" s="124">
        <v>339.11500000000001</v>
      </c>
      <c r="M770" s="134">
        <v>53677</v>
      </c>
      <c r="N770" s="135">
        <v>21.406500000000001</v>
      </c>
      <c r="O770" s="135">
        <v>23.525400000000001</v>
      </c>
      <c r="P770" s="135">
        <v>23.644300000000001</v>
      </c>
      <c r="Q770" s="135">
        <v>23.0319</v>
      </c>
      <c r="R770" s="137">
        <v>1.06</v>
      </c>
      <c r="S770" s="120">
        <v>51778</v>
      </c>
      <c r="T770" s="120">
        <v>733866</v>
      </c>
      <c r="U770" s="120">
        <v>0</v>
      </c>
      <c r="V770" s="114">
        <f t="shared" si="26"/>
        <v>733866</v>
      </c>
      <c r="W770" s="114">
        <f t="shared" si="27"/>
        <v>785644</v>
      </c>
    </row>
    <row r="771" spans="1:23">
      <c r="A771" s="122" t="s">
        <v>1250</v>
      </c>
      <c r="B771" s="124">
        <v>366.55900000000003</v>
      </c>
      <c r="C771" s="124">
        <v>349.02800000000002</v>
      </c>
      <c r="D771" s="124">
        <v>348.42</v>
      </c>
      <c r="E771" s="124">
        <v>340.37</v>
      </c>
      <c r="F771" s="124">
        <v>59.973500000000001</v>
      </c>
      <c r="G771" s="124">
        <v>59.689900000000002</v>
      </c>
      <c r="H771" s="124">
        <v>57.529400000000003</v>
      </c>
      <c r="I771" s="124">
        <v>59</v>
      </c>
      <c r="J771" s="134">
        <v>252649764</v>
      </c>
      <c r="K771" s="134">
        <v>258747854</v>
      </c>
      <c r="L771" s="124">
        <v>572.63199999999995</v>
      </c>
      <c r="M771" s="114">
        <v>0</v>
      </c>
      <c r="N771" s="135">
        <v>39.996000000000002</v>
      </c>
      <c r="O771" s="135">
        <v>37.525599999999997</v>
      </c>
      <c r="P771" s="135">
        <v>36.567900000000002</v>
      </c>
      <c r="Q771" s="135">
        <v>35.3352</v>
      </c>
      <c r="R771" s="137">
        <v>1.05</v>
      </c>
      <c r="S771" s="120">
        <v>253864</v>
      </c>
      <c r="T771" s="120">
        <v>3684904</v>
      </c>
      <c r="U771" s="120">
        <v>0</v>
      </c>
      <c r="V771" s="114">
        <f t="shared" si="26"/>
        <v>3684904</v>
      </c>
      <c r="W771" s="114">
        <f t="shared" si="27"/>
        <v>3938768</v>
      </c>
    </row>
    <row r="772" spans="1:23">
      <c r="A772" s="122" t="s">
        <v>2902</v>
      </c>
      <c r="B772" s="124">
        <v>3388.681</v>
      </c>
      <c r="C772" s="124">
        <v>3406.11</v>
      </c>
      <c r="D772" s="124">
        <v>3342.8040000000001</v>
      </c>
      <c r="E772" s="124">
        <v>3365.1750000000002</v>
      </c>
      <c r="F772" s="124">
        <v>496.82979999999998</v>
      </c>
      <c r="G772" s="124">
        <v>518.35040000000004</v>
      </c>
      <c r="H772" s="124">
        <v>522.10209999999995</v>
      </c>
      <c r="I772" s="124">
        <v>546.50710000000004</v>
      </c>
      <c r="J772" s="134">
        <v>390164291</v>
      </c>
      <c r="K772" s="134">
        <v>428829539</v>
      </c>
      <c r="L772" s="124">
        <v>4788.3270000000002</v>
      </c>
      <c r="M772" s="134">
        <v>399520</v>
      </c>
      <c r="N772" s="135">
        <v>346.7122</v>
      </c>
      <c r="O772" s="135">
        <v>358.90460000000002</v>
      </c>
      <c r="P772" s="135">
        <v>356.30590000000001</v>
      </c>
      <c r="Q772" s="135">
        <v>362.89589999999998</v>
      </c>
      <c r="R772" s="137">
        <v>1.07</v>
      </c>
      <c r="S772" s="120">
        <v>561403</v>
      </c>
      <c r="T772" s="120">
        <v>5904085</v>
      </c>
      <c r="U772" s="120">
        <v>0</v>
      </c>
      <c r="V772" s="114">
        <f t="shared" si="26"/>
        <v>5904085</v>
      </c>
      <c r="W772" s="114">
        <f t="shared" si="27"/>
        <v>6465488</v>
      </c>
    </row>
    <row r="773" spans="1:23">
      <c r="A773" s="122" t="s">
        <v>1529</v>
      </c>
      <c r="B773" s="124">
        <v>403.88900000000001</v>
      </c>
      <c r="C773" s="124">
        <v>419.19799999999998</v>
      </c>
      <c r="D773" s="124">
        <v>433.59100000000001</v>
      </c>
      <c r="E773" s="124">
        <v>456.26499999999999</v>
      </c>
      <c r="F773" s="124">
        <v>59.6205</v>
      </c>
      <c r="G773" s="124">
        <v>65.117800000000003</v>
      </c>
      <c r="H773" s="124">
        <v>66.093699999999998</v>
      </c>
      <c r="I773" s="124">
        <v>67.099100000000007</v>
      </c>
      <c r="J773" s="134">
        <v>135988297</v>
      </c>
      <c r="K773" s="134">
        <v>143679676</v>
      </c>
      <c r="L773" s="124">
        <v>715.71100000000001</v>
      </c>
      <c r="M773" s="114">
        <v>0</v>
      </c>
      <c r="N773" s="135">
        <v>38.537599999999998</v>
      </c>
      <c r="O773" s="135">
        <v>40.626800000000003</v>
      </c>
      <c r="P773" s="135">
        <v>40.903100000000002</v>
      </c>
      <c r="Q773" s="135">
        <v>42.998800000000003</v>
      </c>
      <c r="R773" s="137">
        <v>1.05</v>
      </c>
      <c r="S773" s="120">
        <v>141831</v>
      </c>
      <c r="T773" s="120">
        <v>2107861</v>
      </c>
      <c r="U773" s="120">
        <v>0</v>
      </c>
      <c r="V773" s="114">
        <f t="shared" si="26"/>
        <v>2107861</v>
      </c>
      <c r="W773" s="114">
        <f t="shared" si="27"/>
        <v>2249692</v>
      </c>
    </row>
    <row r="774" spans="1:23">
      <c r="A774" s="122" t="s">
        <v>1530</v>
      </c>
      <c r="B774" s="124">
        <v>195.21899999999999</v>
      </c>
      <c r="C774" s="124">
        <v>189.624</v>
      </c>
      <c r="D774" s="124">
        <v>183.89699999999999</v>
      </c>
      <c r="E774" s="124">
        <v>193.624</v>
      </c>
      <c r="F774" s="124">
        <v>37</v>
      </c>
      <c r="G774" s="124">
        <v>38</v>
      </c>
      <c r="H774" s="124">
        <v>37</v>
      </c>
      <c r="I774" s="124">
        <v>30.4344</v>
      </c>
      <c r="J774" s="134">
        <v>46442518</v>
      </c>
      <c r="K774" s="134">
        <v>48431518</v>
      </c>
      <c r="L774" s="124">
        <v>340.89699999999999</v>
      </c>
      <c r="M774" s="114">
        <v>0</v>
      </c>
      <c r="N774" s="135">
        <v>25.000599999999999</v>
      </c>
      <c r="O774" s="135">
        <v>25.999700000000001</v>
      </c>
      <c r="P774" s="135">
        <v>28.000900000000001</v>
      </c>
      <c r="Q774" s="135">
        <v>19.467600000000001</v>
      </c>
      <c r="R774" s="137">
        <v>1.06</v>
      </c>
      <c r="S774" s="120">
        <v>0</v>
      </c>
      <c r="T774" s="120">
        <v>641030</v>
      </c>
      <c r="U774" s="120">
        <v>0</v>
      </c>
      <c r="V774" s="114">
        <f t="shared" ref="V774:V837" si="28">T774+U774</f>
        <v>641030</v>
      </c>
      <c r="W774" s="114">
        <f t="shared" ref="W774:W837" si="29">V774+S774</f>
        <v>641030</v>
      </c>
    </row>
    <row r="775" spans="1:23">
      <c r="A775" s="122" t="s">
        <v>1531</v>
      </c>
      <c r="B775" s="124">
        <v>85.019000000000005</v>
      </c>
      <c r="C775" s="124">
        <v>79.602000000000004</v>
      </c>
      <c r="D775" s="124">
        <v>89.48</v>
      </c>
      <c r="E775" s="124">
        <v>94.26</v>
      </c>
      <c r="F775" s="124">
        <v>18.502700000000001</v>
      </c>
      <c r="G775" s="124">
        <v>17.396999999999998</v>
      </c>
      <c r="H775" s="124">
        <v>19.697800000000001</v>
      </c>
      <c r="I775" s="124">
        <v>21.0791</v>
      </c>
      <c r="J775" s="134">
        <v>208892660</v>
      </c>
      <c r="K775" s="134">
        <v>211138570</v>
      </c>
      <c r="L775" s="124">
        <v>172.45099999999999</v>
      </c>
      <c r="M775" s="134">
        <v>115559</v>
      </c>
      <c r="N775" s="135">
        <v>11.962199999999999</v>
      </c>
      <c r="O775" s="135">
        <v>11.609400000000001</v>
      </c>
      <c r="P775" s="135">
        <v>12.999599999999999</v>
      </c>
      <c r="Q775" s="135">
        <v>13.999700000000001</v>
      </c>
      <c r="R775" s="137">
        <v>1.06</v>
      </c>
      <c r="S775" s="120">
        <v>90621</v>
      </c>
      <c r="T775" s="120">
        <v>3075032</v>
      </c>
      <c r="U775" s="120">
        <v>0</v>
      </c>
      <c r="V775" s="114">
        <f t="shared" si="28"/>
        <v>3075032</v>
      </c>
      <c r="W775" s="114">
        <f t="shared" si="29"/>
        <v>3165653</v>
      </c>
    </row>
    <row r="776" spans="1:23">
      <c r="A776" s="122" t="s">
        <v>1532</v>
      </c>
      <c r="B776" s="124">
        <v>383.89299999999997</v>
      </c>
      <c r="C776" s="124">
        <v>362.61</v>
      </c>
      <c r="D776" s="124">
        <v>383.56400000000002</v>
      </c>
      <c r="E776" s="124">
        <v>388.62099999999998</v>
      </c>
      <c r="F776" s="124">
        <v>88.056899999999999</v>
      </c>
      <c r="G776" s="124">
        <v>86.953199999999995</v>
      </c>
      <c r="H776" s="124">
        <v>79.587199999999996</v>
      </c>
      <c r="I776" s="124">
        <v>67.928299999999993</v>
      </c>
      <c r="J776" s="134">
        <v>389701266</v>
      </c>
      <c r="K776" s="134">
        <v>395931416</v>
      </c>
      <c r="L776" s="124">
        <v>648.08100000000002</v>
      </c>
      <c r="M776" s="134">
        <v>882890</v>
      </c>
      <c r="N776" s="135">
        <v>50.087699999999998</v>
      </c>
      <c r="O776" s="135">
        <v>48.571399999999997</v>
      </c>
      <c r="P776" s="135">
        <v>48.664299999999997</v>
      </c>
      <c r="Q776" s="135">
        <v>38.653100000000002</v>
      </c>
      <c r="R776" s="137">
        <v>1.05</v>
      </c>
      <c r="S776" s="120">
        <v>647645</v>
      </c>
      <c r="T776" s="120">
        <v>5735649</v>
      </c>
      <c r="U776" s="120">
        <v>0</v>
      </c>
      <c r="V776" s="114">
        <f t="shared" si="28"/>
        <v>5735649</v>
      </c>
      <c r="W776" s="114">
        <f t="shared" si="29"/>
        <v>6383294</v>
      </c>
    </row>
    <row r="777" spans="1:23">
      <c r="A777" s="122" t="s">
        <v>1533</v>
      </c>
      <c r="B777" s="124">
        <v>2984.6410000000001</v>
      </c>
      <c r="C777" s="124">
        <v>2868.8020000000001</v>
      </c>
      <c r="D777" s="124">
        <v>2804.8850000000002</v>
      </c>
      <c r="E777" s="124">
        <v>2762.7159999999999</v>
      </c>
      <c r="F777" s="124">
        <v>523.16340000000002</v>
      </c>
      <c r="G777" s="124">
        <v>513.3152</v>
      </c>
      <c r="H777" s="124">
        <v>470.53140000000002</v>
      </c>
      <c r="I777" s="124">
        <v>449.96030000000002</v>
      </c>
      <c r="J777" s="134">
        <v>1905903996</v>
      </c>
      <c r="K777" s="134">
        <v>1949748176</v>
      </c>
      <c r="L777" s="124">
        <v>3463.0050000000001</v>
      </c>
      <c r="M777" s="134">
        <v>1572690</v>
      </c>
      <c r="N777" s="135">
        <v>305.82029999999997</v>
      </c>
      <c r="O777" s="135">
        <v>300.11750000000001</v>
      </c>
      <c r="P777" s="135">
        <v>281.1044</v>
      </c>
      <c r="Q777" s="135">
        <v>274.77269999999999</v>
      </c>
      <c r="R777" s="137">
        <v>1.07</v>
      </c>
      <c r="S777" s="120">
        <v>1069965</v>
      </c>
      <c r="T777" s="120">
        <v>26750283</v>
      </c>
      <c r="U777" s="120">
        <v>0</v>
      </c>
      <c r="V777" s="114">
        <f t="shared" si="28"/>
        <v>26750283</v>
      </c>
      <c r="W777" s="114">
        <f t="shared" si="29"/>
        <v>27820248</v>
      </c>
    </row>
    <row r="778" spans="1:23">
      <c r="A778" s="122" t="s">
        <v>2974</v>
      </c>
      <c r="B778" s="124">
        <v>282.06900000000002</v>
      </c>
      <c r="C778" s="124">
        <v>274.33</v>
      </c>
      <c r="D778" s="124">
        <v>270.255</v>
      </c>
      <c r="E778" s="124">
        <v>265.19099999999997</v>
      </c>
      <c r="F778" s="124">
        <v>46.040300000000002</v>
      </c>
      <c r="G778" s="124">
        <v>46.013500000000001</v>
      </c>
      <c r="H778" s="124">
        <v>48.315600000000003</v>
      </c>
      <c r="I778" s="124">
        <v>48.3476</v>
      </c>
      <c r="J778" s="134">
        <v>111175411</v>
      </c>
      <c r="K778" s="134">
        <v>115768378</v>
      </c>
      <c r="L778" s="124">
        <v>475.04399999999998</v>
      </c>
      <c r="M778" s="134">
        <v>56071</v>
      </c>
      <c r="N778" s="135">
        <v>27.359400000000001</v>
      </c>
      <c r="O778" s="135">
        <v>26.477499999999999</v>
      </c>
      <c r="P778" s="135">
        <v>29.476500000000001</v>
      </c>
      <c r="Q778" s="135">
        <v>32.194200000000002</v>
      </c>
      <c r="R778" s="137">
        <v>1.04</v>
      </c>
      <c r="S778" s="120">
        <v>127101</v>
      </c>
      <c r="T778" s="120">
        <v>1393207</v>
      </c>
      <c r="U778" s="120">
        <v>0</v>
      </c>
      <c r="V778" s="114">
        <f t="shared" si="28"/>
        <v>1393207</v>
      </c>
      <c r="W778" s="114">
        <f t="shared" si="29"/>
        <v>1520308</v>
      </c>
    </row>
    <row r="779" spans="1:23">
      <c r="A779" s="122" t="s">
        <v>805</v>
      </c>
      <c r="B779" s="124">
        <v>410.51600000000002</v>
      </c>
      <c r="C779" s="124">
        <v>425.589</v>
      </c>
      <c r="D779" s="124">
        <v>441.76299999999998</v>
      </c>
      <c r="E779" s="124">
        <v>477.62</v>
      </c>
      <c r="F779" s="124">
        <v>63.855499999999999</v>
      </c>
      <c r="G779" s="124">
        <v>66.064300000000003</v>
      </c>
      <c r="H779" s="124">
        <v>78.337000000000003</v>
      </c>
      <c r="I779" s="124">
        <v>76.679100000000005</v>
      </c>
      <c r="J779" s="134">
        <v>66597450</v>
      </c>
      <c r="K779" s="134">
        <v>71701670</v>
      </c>
      <c r="L779" s="124">
        <v>815.20500000000004</v>
      </c>
      <c r="M779" s="134">
        <v>64931</v>
      </c>
      <c r="N779" s="135">
        <v>39.845599999999997</v>
      </c>
      <c r="O779" s="135">
        <v>37.749600000000001</v>
      </c>
      <c r="P779" s="135">
        <v>50.127899999999997</v>
      </c>
      <c r="Q779" s="135">
        <v>51.825400000000002</v>
      </c>
      <c r="R779" s="137">
        <v>1.0900000000000001</v>
      </c>
      <c r="S779" s="120">
        <v>141079</v>
      </c>
      <c r="T779" s="120">
        <v>1013647</v>
      </c>
      <c r="U779" s="120">
        <v>0</v>
      </c>
      <c r="V779" s="114">
        <f t="shared" si="28"/>
        <v>1013647</v>
      </c>
      <c r="W779" s="114">
        <f t="shared" si="29"/>
        <v>1154726</v>
      </c>
    </row>
    <row r="780" spans="1:23">
      <c r="A780" s="122" t="s">
        <v>1703</v>
      </c>
      <c r="B780" s="124">
        <v>3110.8980000000001</v>
      </c>
      <c r="C780" s="124">
        <v>3221.5120000000002</v>
      </c>
      <c r="D780" s="124">
        <v>3228.875</v>
      </c>
      <c r="E780" s="124">
        <v>3335.1060000000002</v>
      </c>
      <c r="F780" s="124">
        <v>449.34620000000001</v>
      </c>
      <c r="G780" s="124">
        <v>506.77140000000003</v>
      </c>
      <c r="H780" s="124">
        <v>536.61779999999999</v>
      </c>
      <c r="I780" s="124">
        <v>521.32830000000001</v>
      </c>
      <c r="J780" s="134">
        <v>368060874</v>
      </c>
      <c r="K780" s="134">
        <v>405528264</v>
      </c>
      <c r="L780" s="124">
        <v>4526.5110000000004</v>
      </c>
      <c r="M780" s="134">
        <v>275089</v>
      </c>
      <c r="N780" s="135">
        <v>292.10270000000003</v>
      </c>
      <c r="O780" s="135">
        <v>326.6454</v>
      </c>
      <c r="P780" s="135">
        <v>343.41250000000002</v>
      </c>
      <c r="Q780" s="135">
        <v>334.3329</v>
      </c>
      <c r="R780" s="137">
        <v>1.1100000000000001</v>
      </c>
      <c r="S780" s="120">
        <v>516418</v>
      </c>
      <c r="T780" s="120">
        <v>6169042</v>
      </c>
      <c r="U780" s="120">
        <v>0</v>
      </c>
      <c r="V780" s="114">
        <f t="shared" si="28"/>
        <v>6169042</v>
      </c>
      <c r="W780" s="114">
        <f t="shared" si="29"/>
        <v>6685460</v>
      </c>
    </row>
    <row r="781" spans="1:23">
      <c r="A781" s="122" t="s">
        <v>1656</v>
      </c>
      <c r="B781" s="124">
        <v>6212.9970000000003</v>
      </c>
      <c r="C781" s="124">
        <v>6356.2790000000005</v>
      </c>
      <c r="D781" s="124">
        <v>6505.9690000000001</v>
      </c>
      <c r="E781" s="124">
        <v>6597.8180000000002</v>
      </c>
      <c r="F781" s="124">
        <v>761.72519999999997</v>
      </c>
      <c r="G781" s="124">
        <v>808.49339999999995</v>
      </c>
      <c r="H781" s="124">
        <v>848.58230000000003</v>
      </c>
      <c r="I781" s="124">
        <v>893.62599999999998</v>
      </c>
      <c r="J781" s="134">
        <v>1360953217</v>
      </c>
      <c r="K781" s="134">
        <v>1453043047</v>
      </c>
      <c r="L781" s="124">
        <v>8425.8070000000007</v>
      </c>
      <c r="M781" s="134">
        <v>682868</v>
      </c>
      <c r="N781" s="135">
        <v>525.31700000000001</v>
      </c>
      <c r="O781" s="135">
        <v>541.49210000000005</v>
      </c>
      <c r="P781" s="135">
        <v>570.23630000000003</v>
      </c>
      <c r="Q781" s="135">
        <v>587.56960000000004</v>
      </c>
      <c r="R781" s="137">
        <v>1.1200000000000001</v>
      </c>
      <c r="S781" s="120">
        <v>3116823</v>
      </c>
      <c r="T781" s="120">
        <v>22864717</v>
      </c>
      <c r="U781" s="120">
        <v>0</v>
      </c>
      <c r="V781" s="114">
        <f t="shared" si="28"/>
        <v>22864717</v>
      </c>
      <c r="W781" s="114">
        <f t="shared" si="29"/>
        <v>25981540</v>
      </c>
    </row>
    <row r="782" spans="1:23">
      <c r="A782" s="122" t="s">
        <v>2901</v>
      </c>
      <c r="B782" s="124">
        <v>669.327</v>
      </c>
      <c r="C782" s="124">
        <v>684.99699999999996</v>
      </c>
      <c r="D782" s="124">
        <v>679.16099999999994</v>
      </c>
      <c r="E782" s="124">
        <v>696.50400000000002</v>
      </c>
      <c r="F782" s="124">
        <v>88.636399999999995</v>
      </c>
      <c r="G782" s="124">
        <v>91.192700000000002</v>
      </c>
      <c r="H782" s="124">
        <v>94.524199999999993</v>
      </c>
      <c r="I782" s="124">
        <v>103.2595</v>
      </c>
      <c r="J782" s="134">
        <v>116741119</v>
      </c>
      <c r="K782" s="134">
        <v>125544079</v>
      </c>
      <c r="L782" s="124">
        <v>1137.71</v>
      </c>
      <c r="M782" s="134">
        <v>81015</v>
      </c>
      <c r="N782" s="135">
        <v>65.205699999999993</v>
      </c>
      <c r="O782" s="135">
        <v>68.000799999999998</v>
      </c>
      <c r="P782" s="135">
        <v>68.349000000000004</v>
      </c>
      <c r="Q782" s="135">
        <v>71.928299999999993</v>
      </c>
      <c r="R782" s="137">
        <v>1.1000000000000001</v>
      </c>
      <c r="S782" s="120">
        <v>450496</v>
      </c>
      <c r="T782" s="120">
        <v>1929399</v>
      </c>
      <c r="U782" s="120">
        <v>0</v>
      </c>
      <c r="V782" s="114">
        <f t="shared" si="28"/>
        <v>1929399</v>
      </c>
      <c r="W782" s="114">
        <f t="shared" si="29"/>
        <v>2379895</v>
      </c>
    </row>
    <row r="783" spans="1:23">
      <c r="A783" s="122" t="s">
        <v>1563</v>
      </c>
      <c r="B783" s="124">
        <v>2785.7460000000001</v>
      </c>
      <c r="C783" s="124">
        <v>2912.17</v>
      </c>
      <c r="D783" s="124">
        <v>3048.6729999999998</v>
      </c>
      <c r="E783" s="124">
        <v>3261.5390000000002</v>
      </c>
      <c r="F783" s="124">
        <v>332.0926</v>
      </c>
      <c r="G783" s="124">
        <v>399.62779999999998</v>
      </c>
      <c r="H783" s="124">
        <v>401.1182</v>
      </c>
      <c r="I783" s="124">
        <v>404.291</v>
      </c>
      <c r="J783" s="134">
        <v>695908261</v>
      </c>
      <c r="K783" s="134">
        <v>728342631</v>
      </c>
      <c r="L783" s="124">
        <v>3950.3739999999998</v>
      </c>
      <c r="M783" s="134">
        <v>1576425</v>
      </c>
      <c r="N783" s="135">
        <v>224.5273</v>
      </c>
      <c r="O783" s="135">
        <v>267.46469999999999</v>
      </c>
      <c r="P783" s="135">
        <v>269.48410000000001</v>
      </c>
      <c r="Q783" s="135">
        <v>271.21870000000001</v>
      </c>
      <c r="R783" s="137">
        <v>1.1100000000000001</v>
      </c>
      <c r="S783" s="120">
        <v>1963636</v>
      </c>
      <c r="T783" s="120">
        <v>12740705</v>
      </c>
      <c r="U783" s="120">
        <v>0</v>
      </c>
      <c r="V783" s="114">
        <f t="shared" si="28"/>
        <v>12740705</v>
      </c>
      <c r="W783" s="114">
        <f t="shared" si="29"/>
        <v>14704341</v>
      </c>
    </row>
    <row r="784" spans="1:23">
      <c r="A784" s="122" t="s">
        <v>236</v>
      </c>
      <c r="B784" s="124">
        <v>835.15800000000002</v>
      </c>
      <c r="C784" s="124">
        <v>836.05</v>
      </c>
      <c r="D784" s="124">
        <v>885.10799999999995</v>
      </c>
      <c r="E784" s="124">
        <v>878.94100000000003</v>
      </c>
      <c r="F784" s="124">
        <v>111.5031</v>
      </c>
      <c r="G784" s="124">
        <v>119.48699999999999</v>
      </c>
      <c r="H784" s="124">
        <v>120.6974</v>
      </c>
      <c r="I784" s="124">
        <v>147.7088</v>
      </c>
      <c r="J784" s="134">
        <v>79428509</v>
      </c>
      <c r="K784" s="134">
        <v>87007339</v>
      </c>
      <c r="L784" s="124">
        <v>1327.51</v>
      </c>
      <c r="M784" s="134">
        <v>46704</v>
      </c>
      <c r="N784" s="135">
        <v>81.968299999999999</v>
      </c>
      <c r="O784" s="135">
        <v>90.269099999999995</v>
      </c>
      <c r="P784" s="135">
        <v>90.162800000000004</v>
      </c>
      <c r="Q784" s="135">
        <v>101.0668</v>
      </c>
      <c r="R784" s="137">
        <v>1.0900000000000001</v>
      </c>
      <c r="S784" s="120">
        <v>308590</v>
      </c>
      <c r="T784" s="120">
        <v>1303608</v>
      </c>
      <c r="U784" s="120">
        <v>42145</v>
      </c>
      <c r="V784" s="114">
        <f t="shared" si="28"/>
        <v>1345753</v>
      </c>
      <c r="W784" s="114">
        <f t="shared" si="29"/>
        <v>1654343</v>
      </c>
    </row>
    <row r="785" spans="1:23">
      <c r="A785" s="122" t="s">
        <v>2144</v>
      </c>
      <c r="B785" s="124">
        <v>598.78599999999994</v>
      </c>
      <c r="C785" s="124">
        <v>680.24300000000005</v>
      </c>
      <c r="D785" s="124">
        <v>674.34100000000001</v>
      </c>
      <c r="E785" s="124">
        <v>668.21900000000005</v>
      </c>
      <c r="F785" s="124">
        <v>92</v>
      </c>
      <c r="G785" s="124">
        <v>100.9465</v>
      </c>
      <c r="H785" s="124">
        <v>100.9385</v>
      </c>
      <c r="I785" s="124">
        <v>106.28879999999999</v>
      </c>
      <c r="J785" s="134">
        <v>94917790</v>
      </c>
      <c r="K785" s="134">
        <v>101550780</v>
      </c>
      <c r="L785" s="124">
        <v>985.89800000000002</v>
      </c>
      <c r="M785" s="134">
        <v>52160</v>
      </c>
      <c r="N785" s="135">
        <v>62</v>
      </c>
      <c r="O785" s="135">
        <v>64.476100000000002</v>
      </c>
      <c r="P785" s="135">
        <v>67.084299999999999</v>
      </c>
      <c r="Q785" s="135">
        <v>72.859200000000001</v>
      </c>
      <c r="R785" s="137">
        <v>1.08</v>
      </c>
      <c r="S785" s="120">
        <v>211452</v>
      </c>
      <c r="T785" s="120">
        <v>1817127</v>
      </c>
      <c r="U785" s="120">
        <v>0</v>
      </c>
      <c r="V785" s="114">
        <f t="shared" si="28"/>
        <v>1817127</v>
      </c>
      <c r="W785" s="114">
        <f t="shared" si="29"/>
        <v>2028579</v>
      </c>
    </row>
    <row r="786" spans="1:23">
      <c r="A786" s="122" t="s">
        <v>1834</v>
      </c>
      <c r="B786" s="124">
        <v>173.161</v>
      </c>
      <c r="C786" s="124">
        <v>173.47</v>
      </c>
      <c r="D786" s="124">
        <v>169.00399999999999</v>
      </c>
      <c r="E786" s="124">
        <v>164.32300000000001</v>
      </c>
      <c r="F786" s="124">
        <v>30.55</v>
      </c>
      <c r="G786" s="124">
        <v>28.981300000000001</v>
      </c>
      <c r="H786" s="124">
        <v>27.981300000000001</v>
      </c>
      <c r="I786" s="124">
        <v>25.9252</v>
      </c>
      <c r="J786" s="134">
        <v>67921420</v>
      </c>
      <c r="K786" s="134">
        <v>71573010</v>
      </c>
      <c r="L786" s="124">
        <v>289.76100000000002</v>
      </c>
      <c r="M786" s="134">
        <v>56846</v>
      </c>
      <c r="N786" s="135">
        <v>20.751999999999999</v>
      </c>
      <c r="O786" s="135">
        <v>20.5001</v>
      </c>
      <c r="P786" s="135">
        <v>18.5</v>
      </c>
      <c r="Q786" s="135">
        <v>18.393599999999999</v>
      </c>
      <c r="R786" s="137">
        <v>1.1000000000000001</v>
      </c>
      <c r="S786" s="120">
        <v>108296</v>
      </c>
      <c r="T786" s="120">
        <v>1071728</v>
      </c>
      <c r="U786" s="120">
        <v>0</v>
      </c>
      <c r="V786" s="114">
        <f t="shared" si="28"/>
        <v>1071728</v>
      </c>
      <c r="W786" s="114">
        <f t="shared" si="29"/>
        <v>1180024</v>
      </c>
    </row>
    <row r="787" spans="1:23">
      <c r="A787" s="122" t="s">
        <v>1835</v>
      </c>
      <c r="B787" s="124">
        <v>511.13900000000001</v>
      </c>
      <c r="C787" s="124">
        <v>518.47</v>
      </c>
      <c r="D787" s="124">
        <v>534.39599999999996</v>
      </c>
      <c r="E787" s="124">
        <v>533.98900000000003</v>
      </c>
      <c r="F787" s="124">
        <v>94.876900000000006</v>
      </c>
      <c r="G787" s="124">
        <v>95.061400000000006</v>
      </c>
      <c r="H787" s="124">
        <v>98.852999999999994</v>
      </c>
      <c r="I787" s="124">
        <v>97.473299999999995</v>
      </c>
      <c r="J787" s="134">
        <v>48587728</v>
      </c>
      <c r="K787" s="134">
        <v>52108124</v>
      </c>
      <c r="L787" s="124">
        <v>949.21</v>
      </c>
      <c r="M787" s="114">
        <v>0</v>
      </c>
      <c r="N787" s="135">
        <v>69.505899999999997</v>
      </c>
      <c r="O787" s="135">
        <v>69.061700000000002</v>
      </c>
      <c r="P787" s="135">
        <v>69.871799999999993</v>
      </c>
      <c r="Q787" s="135">
        <v>64.500900000000001</v>
      </c>
      <c r="R787" s="137">
        <v>1.05</v>
      </c>
      <c r="S787" s="120">
        <v>0</v>
      </c>
      <c r="T787" s="120">
        <v>679256</v>
      </c>
      <c r="U787" s="120">
        <v>0</v>
      </c>
      <c r="V787" s="114">
        <f t="shared" si="28"/>
        <v>679256</v>
      </c>
      <c r="W787" s="114">
        <f t="shared" si="29"/>
        <v>679256</v>
      </c>
    </row>
    <row r="788" spans="1:23">
      <c r="A788" s="122" t="s">
        <v>1836</v>
      </c>
      <c r="B788" s="124">
        <v>513.34100000000001</v>
      </c>
      <c r="C788" s="124">
        <v>468.07</v>
      </c>
      <c r="D788" s="124">
        <v>453.93400000000003</v>
      </c>
      <c r="E788" s="124">
        <v>431.166</v>
      </c>
      <c r="F788" s="124">
        <v>91.364800000000002</v>
      </c>
      <c r="G788" s="124">
        <v>86.773399999999995</v>
      </c>
      <c r="H788" s="124">
        <v>85.822299999999998</v>
      </c>
      <c r="I788" s="124">
        <v>80.028199999999998</v>
      </c>
      <c r="J788" s="134">
        <v>75444648</v>
      </c>
      <c r="K788" s="134">
        <v>80441253</v>
      </c>
      <c r="L788" s="124">
        <v>731.35500000000002</v>
      </c>
      <c r="M788" s="134">
        <v>56146</v>
      </c>
      <c r="N788" s="135">
        <v>69.567400000000006</v>
      </c>
      <c r="O788" s="135">
        <v>65.870099999999994</v>
      </c>
      <c r="P788" s="135">
        <v>63.895400000000002</v>
      </c>
      <c r="Q788" s="135">
        <v>58.24</v>
      </c>
      <c r="R788" s="137">
        <v>1.05</v>
      </c>
      <c r="S788" s="120">
        <v>74337</v>
      </c>
      <c r="T788" s="120">
        <v>1057261</v>
      </c>
      <c r="U788" s="120">
        <v>0</v>
      </c>
      <c r="V788" s="114">
        <f t="shared" si="28"/>
        <v>1057261</v>
      </c>
      <c r="W788" s="114">
        <f t="shared" si="29"/>
        <v>1131598</v>
      </c>
    </row>
    <row r="789" spans="1:23">
      <c r="A789" s="122" t="s">
        <v>1837</v>
      </c>
      <c r="B789" s="124">
        <v>1154.375</v>
      </c>
      <c r="C789" s="124">
        <v>1131.3030000000001</v>
      </c>
      <c r="D789" s="124">
        <v>1125.7370000000001</v>
      </c>
      <c r="E789" s="124">
        <v>1161.307</v>
      </c>
      <c r="F789" s="124">
        <v>201.70480000000001</v>
      </c>
      <c r="G789" s="124">
        <v>200.0564</v>
      </c>
      <c r="H789" s="124">
        <v>201.39789999999999</v>
      </c>
      <c r="I789" s="124">
        <v>209.9128</v>
      </c>
      <c r="J789" s="134">
        <v>179290175</v>
      </c>
      <c r="K789" s="134">
        <v>188395289</v>
      </c>
      <c r="L789" s="124">
        <v>1886.454</v>
      </c>
      <c r="M789" s="114">
        <v>0</v>
      </c>
      <c r="N789" s="135">
        <v>137.5592</v>
      </c>
      <c r="O789" s="135">
        <v>137.00229999999999</v>
      </c>
      <c r="P789" s="135">
        <v>136.5789</v>
      </c>
      <c r="Q789" s="135">
        <v>144.73070000000001</v>
      </c>
      <c r="R789" s="137">
        <v>1.06</v>
      </c>
      <c r="S789" s="120">
        <v>0</v>
      </c>
      <c r="T789" s="120">
        <v>2201984</v>
      </c>
      <c r="U789" s="120">
        <v>0</v>
      </c>
      <c r="V789" s="114">
        <f t="shared" si="28"/>
        <v>2201984</v>
      </c>
      <c r="W789" s="114">
        <f t="shared" si="29"/>
        <v>2201984</v>
      </c>
    </row>
    <row r="790" spans="1:23">
      <c r="A790" s="122" t="s">
        <v>1838</v>
      </c>
      <c r="B790" s="124">
        <v>199.78399999999999</v>
      </c>
      <c r="C790" s="124">
        <v>193.63200000000001</v>
      </c>
      <c r="D790" s="124">
        <v>193.66800000000001</v>
      </c>
      <c r="E790" s="124">
        <v>188.303</v>
      </c>
      <c r="F790" s="124">
        <v>39.418300000000002</v>
      </c>
      <c r="G790" s="124">
        <v>40.174700000000001</v>
      </c>
      <c r="H790" s="124">
        <v>41.372199999999999</v>
      </c>
      <c r="I790" s="124">
        <v>42.244399999999999</v>
      </c>
      <c r="J790" s="134">
        <v>37947058</v>
      </c>
      <c r="K790" s="134">
        <v>39162936</v>
      </c>
      <c r="L790" s="124">
        <v>350.71800000000002</v>
      </c>
      <c r="M790" s="114">
        <v>0</v>
      </c>
      <c r="N790" s="135">
        <v>27.955200000000001</v>
      </c>
      <c r="O790" s="135">
        <v>27.091699999999999</v>
      </c>
      <c r="P790" s="135">
        <v>28.000800000000002</v>
      </c>
      <c r="Q790" s="135">
        <v>27.000800000000002</v>
      </c>
      <c r="R790" s="137">
        <v>1.05</v>
      </c>
      <c r="S790" s="120">
        <v>0</v>
      </c>
      <c r="T790" s="120">
        <v>705730</v>
      </c>
      <c r="U790" s="120">
        <v>0</v>
      </c>
      <c r="V790" s="114">
        <f t="shared" si="28"/>
        <v>705730</v>
      </c>
      <c r="W790" s="114">
        <f t="shared" si="29"/>
        <v>705730</v>
      </c>
    </row>
    <row r="791" spans="1:23">
      <c r="A791" s="122" t="s">
        <v>2140</v>
      </c>
      <c r="B791" s="124">
        <v>113.877</v>
      </c>
      <c r="C791" s="124">
        <v>106.29600000000001</v>
      </c>
      <c r="D791" s="124">
        <v>112.361</v>
      </c>
      <c r="E791" s="124">
        <v>109.249</v>
      </c>
      <c r="F791" s="124">
        <v>34.683300000000003</v>
      </c>
      <c r="G791" s="124">
        <v>37.785200000000003</v>
      </c>
      <c r="H791" s="124">
        <v>35.973300000000002</v>
      </c>
      <c r="I791" s="124">
        <v>35.473300000000002</v>
      </c>
      <c r="J791" s="134">
        <v>139363427</v>
      </c>
      <c r="K791" s="134">
        <v>140059807</v>
      </c>
      <c r="L791" s="124">
        <v>274.24099999999999</v>
      </c>
      <c r="M791" s="114">
        <v>0</v>
      </c>
      <c r="N791" s="135">
        <v>20.840900000000001</v>
      </c>
      <c r="O791" s="135">
        <v>23.742899999999999</v>
      </c>
      <c r="P791" s="135">
        <v>22.237500000000001</v>
      </c>
      <c r="Q791" s="135">
        <v>21.955100000000002</v>
      </c>
      <c r="R791" s="137">
        <v>1.1100000000000001</v>
      </c>
      <c r="S791" s="120">
        <v>0</v>
      </c>
      <c r="T791" s="120">
        <v>3043624</v>
      </c>
      <c r="U791" s="120">
        <v>0</v>
      </c>
      <c r="V791" s="114">
        <f t="shared" si="28"/>
        <v>3043624</v>
      </c>
      <c r="W791" s="114">
        <f t="shared" si="29"/>
        <v>3043624</v>
      </c>
    </row>
    <row r="792" spans="1:23">
      <c r="A792" s="122" t="s">
        <v>2625</v>
      </c>
      <c r="B792" s="124">
        <v>2485.9960000000001</v>
      </c>
      <c r="C792" s="124">
        <v>2301.8629999999998</v>
      </c>
      <c r="D792" s="124">
        <v>2261.6080000000002</v>
      </c>
      <c r="E792" s="124">
        <v>2243.703</v>
      </c>
      <c r="F792" s="124">
        <v>447.48390000000001</v>
      </c>
      <c r="G792" s="124">
        <v>421.58</v>
      </c>
      <c r="H792" s="124">
        <v>387.11750000000001</v>
      </c>
      <c r="I792" s="124">
        <v>382.1121</v>
      </c>
      <c r="J792" s="134">
        <v>1174543579</v>
      </c>
      <c r="K792" s="134">
        <v>1198623489</v>
      </c>
      <c r="L792" s="124">
        <v>2998.596</v>
      </c>
      <c r="M792" s="134">
        <v>1314084</v>
      </c>
      <c r="N792" s="135">
        <v>263.18470000000002</v>
      </c>
      <c r="O792" s="135">
        <v>241.4776</v>
      </c>
      <c r="P792" s="135">
        <v>225.9238</v>
      </c>
      <c r="Q792" s="135">
        <v>226.82</v>
      </c>
      <c r="R792" s="137">
        <v>1.1299999999999999</v>
      </c>
      <c r="S792" s="120">
        <v>1328884</v>
      </c>
      <c r="T792" s="120">
        <v>16961572</v>
      </c>
      <c r="U792" s="120">
        <v>0</v>
      </c>
      <c r="V792" s="114">
        <f t="shared" si="28"/>
        <v>16961572</v>
      </c>
      <c r="W792" s="114">
        <f t="shared" si="29"/>
        <v>18290456</v>
      </c>
    </row>
    <row r="793" spans="1:23">
      <c r="A793" s="122" t="s">
        <v>2614</v>
      </c>
      <c r="B793" s="124">
        <v>512.72900000000004</v>
      </c>
      <c r="C793" s="124">
        <v>501.09100000000001</v>
      </c>
      <c r="D793" s="124">
        <v>492.88900000000001</v>
      </c>
      <c r="E793" s="124">
        <v>486.47</v>
      </c>
      <c r="F793" s="124">
        <v>90.211299999999994</v>
      </c>
      <c r="G793" s="124">
        <v>91.692499999999995</v>
      </c>
      <c r="H793" s="124">
        <v>95.962599999999995</v>
      </c>
      <c r="I793" s="124">
        <v>91</v>
      </c>
      <c r="J793" s="134">
        <v>792112472</v>
      </c>
      <c r="K793" s="134">
        <v>795396268</v>
      </c>
      <c r="L793" s="124">
        <v>935.36199999999997</v>
      </c>
      <c r="M793" s="134">
        <v>919771</v>
      </c>
      <c r="N793" s="135">
        <v>57.723599999999998</v>
      </c>
      <c r="O793" s="135">
        <v>62.740200000000002</v>
      </c>
      <c r="P793" s="135">
        <v>62.570500000000003</v>
      </c>
      <c r="Q793" s="135">
        <v>58.557899999999997</v>
      </c>
      <c r="R793" s="137">
        <v>1.1000000000000001</v>
      </c>
      <c r="S793" s="120">
        <v>917388</v>
      </c>
      <c r="T793" s="120">
        <v>11017537</v>
      </c>
      <c r="U793" s="120">
        <v>0</v>
      </c>
      <c r="V793" s="114">
        <f t="shared" si="28"/>
        <v>11017537</v>
      </c>
      <c r="W793" s="114">
        <f t="shared" si="29"/>
        <v>11934925</v>
      </c>
    </row>
    <row r="794" spans="1:23">
      <c r="A794" s="122" t="s">
        <v>1477</v>
      </c>
      <c r="B794" s="124">
        <v>411.16399999999999</v>
      </c>
      <c r="C794" s="124">
        <v>402.57299999999998</v>
      </c>
      <c r="D794" s="124">
        <v>406.42700000000002</v>
      </c>
      <c r="E794" s="124">
        <v>408.27600000000001</v>
      </c>
      <c r="F794" s="124">
        <v>58.598999999999997</v>
      </c>
      <c r="G794" s="124">
        <v>59.839599999999997</v>
      </c>
      <c r="H794" s="124">
        <v>60.839599999999997</v>
      </c>
      <c r="I794" s="124">
        <v>65.3476</v>
      </c>
      <c r="J794" s="134">
        <v>271684925</v>
      </c>
      <c r="K794" s="134">
        <v>275384605</v>
      </c>
      <c r="L794" s="124">
        <v>723.62599999999998</v>
      </c>
      <c r="M794" s="134">
        <v>291901</v>
      </c>
      <c r="N794" s="135">
        <v>43.000999999999998</v>
      </c>
      <c r="O794" s="135">
        <v>43.116700000000002</v>
      </c>
      <c r="P794" s="135">
        <v>43.003999999999998</v>
      </c>
      <c r="Q794" s="135">
        <v>46.119500000000002</v>
      </c>
      <c r="R794" s="137">
        <v>1.05</v>
      </c>
      <c r="S794" s="120">
        <v>271665</v>
      </c>
      <c r="T794" s="120">
        <v>3724231</v>
      </c>
      <c r="U794" s="120">
        <v>0</v>
      </c>
      <c r="V794" s="114">
        <f t="shared" si="28"/>
        <v>3724231</v>
      </c>
      <c r="W794" s="114">
        <f t="shared" si="29"/>
        <v>3995896</v>
      </c>
    </row>
    <row r="795" spans="1:23">
      <c r="A795" s="122" t="s">
        <v>790</v>
      </c>
      <c r="B795" s="124">
        <v>282.88600000000002</v>
      </c>
      <c r="C795" s="124">
        <v>252.506</v>
      </c>
      <c r="D795" s="124">
        <v>266.702</v>
      </c>
      <c r="E795" s="124">
        <v>270.54599999999999</v>
      </c>
      <c r="F795" s="124">
        <v>58.069499999999998</v>
      </c>
      <c r="G795" s="124">
        <v>60.713900000000002</v>
      </c>
      <c r="H795" s="124">
        <v>55.334200000000003</v>
      </c>
      <c r="I795" s="124">
        <v>57.895699999999998</v>
      </c>
      <c r="J795" s="134">
        <v>63178482</v>
      </c>
      <c r="K795" s="134">
        <v>67996623</v>
      </c>
      <c r="L795" s="124">
        <v>488.483</v>
      </c>
      <c r="M795" s="114">
        <v>0</v>
      </c>
      <c r="N795" s="135">
        <v>39.273800000000001</v>
      </c>
      <c r="O795" s="135">
        <v>38.779000000000003</v>
      </c>
      <c r="P795" s="135">
        <v>37.0548</v>
      </c>
      <c r="Q795" s="135">
        <v>37.0045</v>
      </c>
      <c r="R795" s="137">
        <v>1.06</v>
      </c>
      <c r="S795" s="120">
        <v>0</v>
      </c>
      <c r="T795" s="120">
        <v>908362</v>
      </c>
      <c r="U795" s="120">
        <v>0</v>
      </c>
      <c r="V795" s="114">
        <f t="shared" si="28"/>
        <v>908362</v>
      </c>
      <c r="W795" s="114">
        <f t="shared" si="29"/>
        <v>908362</v>
      </c>
    </row>
    <row r="796" spans="1:23">
      <c r="A796" s="122" t="s">
        <v>2917</v>
      </c>
      <c r="B796" s="124">
        <v>1090.672</v>
      </c>
      <c r="C796" s="124">
        <v>1066.518</v>
      </c>
      <c r="D796" s="124">
        <v>1085.8309999999999</v>
      </c>
      <c r="E796" s="124">
        <v>1055.7529999999999</v>
      </c>
      <c r="F796" s="124">
        <v>189.56030000000001</v>
      </c>
      <c r="G796" s="124">
        <v>198.9845</v>
      </c>
      <c r="H796" s="124">
        <v>191.47550000000001</v>
      </c>
      <c r="I796" s="124">
        <v>184.22829999999999</v>
      </c>
      <c r="J796" s="134">
        <v>176456899</v>
      </c>
      <c r="K796" s="134">
        <v>184339292</v>
      </c>
      <c r="L796" s="124">
        <v>1726.5450000000001</v>
      </c>
      <c r="M796" s="134">
        <v>189688</v>
      </c>
      <c r="N796" s="135">
        <v>117.7114</v>
      </c>
      <c r="O796" s="135">
        <v>126.1999</v>
      </c>
      <c r="P796" s="135">
        <v>123.18989999999999</v>
      </c>
      <c r="Q796" s="135">
        <v>123.43049999999999</v>
      </c>
      <c r="R796" s="137">
        <v>1.07</v>
      </c>
      <c r="S796" s="120">
        <v>188674</v>
      </c>
      <c r="T796" s="120">
        <v>2469305</v>
      </c>
      <c r="U796" s="120">
        <v>0</v>
      </c>
      <c r="V796" s="114">
        <f t="shared" si="28"/>
        <v>2469305</v>
      </c>
      <c r="W796" s="114">
        <f t="shared" si="29"/>
        <v>2657979</v>
      </c>
    </row>
    <row r="797" spans="1:23">
      <c r="A797" s="122" t="s">
        <v>791</v>
      </c>
      <c r="B797" s="124">
        <v>241.03399999999999</v>
      </c>
      <c r="C797" s="124">
        <v>228.00299999999999</v>
      </c>
      <c r="D797" s="124">
        <v>221.11699999999999</v>
      </c>
      <c r="E797" s="124">
        <v>251.16300000000001</v>
      </c>
      <c r="F797" s="124">
        <v>40.791499999999999</v>
      </c>
      <c r="G797" s="124">
        <v>40.909100000000002</v>
      </c>
      <c r="H797" s="124">
        <v>42.5</v>
      </c>
      <c r="I797" s="124">
        <v>43.462600000000002</v>
      </c>
      <c r="J797" s="134">
        <v>87572975</v>
      </c>
      <c r="K797" s="134">
        <v>89761822</v>
      </c>
      <c r="L797" s="124">
        <v>465.55500000000001</v>
      </c>
      <c r="M797" s="114">
        <v>0</v>
      </c>
      <c r="N797" s="135">
        <v>26.445499999999999</v>
      </c>
      <c r="O797" s="135">
        <v>26.908300000000001</v>
      </c>
      <c r="P797" s="135">
        <v>27.000800000000002</v>
      </c>
      <c r="Q797" s="135">
        <v>27.963699999999999</v>
      </c>
      <c r="R797" s="137">
        <v>1.07</v>
      </c>
      <c r="S797" s="120">
        <v>0</v>
      </c>
      <c r="T797" s="120">
        <v>1228931</v>
      </c>
      <c r="U797" s="120">
        <v>0</v>
      </c>
      <c r="V797" s="114">
        <f t="shared" si="28"/>
        <v>1228931</v>
      </c>
      <c r="W797" s="114">
        <f t="shared" si="29"/>
        <v>1228931</v>
      </c>
    </row>
    <row r="798" spans="1:23">
      <c r="A798" s="122" t="s">
        <v>1992</v>
      </c>
      <c r="B798" s="124">
        <v>3788.634</v>
      </c>
      <c r="C798" s="124">
        <v>3807.5839999999998</v>
      </c>
      <c r="D798" s="124">
        <v>3836.63</v>
      </c>
      <c r="E798" s="124">
        <v>3787.6979999999999</v>
      </c>
      <c r="F798" s="124">
        <v>541.02520000000004</v>
      </c>
      <c r="G798" s="124">
        <v>572.02919999999995</v>
      </c>
      <c r="H798" s="124">
        <v>577.84270000000004</v>
      </c>
      <c r="I798" s="124">
        <v>583.87339999999995</v>
      </c>
      <c r="J798" s="134">
        <v>684435194</v>
      </c>
      <c r="K798" s="134">
        <v>734901868</v>
      </c>
      <c r="L798" s="124">
        <v>5295.0129999999999</v>
      </c>
      <c r="M798" s="134">
        <v>39457</v>
      </c>
      <c r="N798" s="135">
        <v>351.6902</v>
      </c>
      <c r="O798" s="135">
        <v>362.37360000000001</v>
      </c>
      <c r="P798" s="135">
        <v>360.2595</v>
      </c>
      <c r="Q798" s="135">
        <v>365.08850000000001</v>
      </c>
      <c r="R798" s="137">
        <v>1.07</v>
      </c>
      <c r="S798" s="120">
        <v>540447</v>
      </c>
      <c r="T798" s="120">
        <v>10460862</v>
      </c>
      <c r="U798" s="120">
        <v>0</v>
      </c>
      <c r="V798" s="114">
        <f t="shared" si="28"/>
        <v>10460862</v>
      </c>
      <c r="W798" s="114">
        <f t="shared" si="29"/>
        <v>11001309</v>
      </c>
    </row>
    <row r="799" spans="1:23">
      <c r="A799" s="122" t="s">
        <v>1380</v>
      </c>
      <c r="B799" s="124">
        <v>469.31799999999998</v>
      </c>
      <c r="C799" s="124">
        <v>477.654</v>
      </c>
      <c r="D799" s="124">
        <v>523.87800000000004</v>
      </c>
      <c r="E799" s="124">
        <v>612.74599999999998</v>
      </c>
      <c r="F799" s="124">
        <v>77.7042</v>
      </c>
      <c r="G799" s="124">
        <v>77.375699999999995</v>
      </c>
      <c r="H799" s="124">
        <v>89.078999999999994</v>
      </c>
      <c r="I799" s="124">
        <v>99.9773</v>
      </c>
      <c r="J799" s="134">
        <v>181241431</v>
      </c>
      <c r="K799" s="134">
        <v>199028240</v>
      </c>
      <c r="L799" s="124">
        <v>1036.364</v>
      </c>
      <c r="M799" s="134">
        <v>182574</v>
      </c>
      <c r="N799" s="135">
        <v>45.868499999999997</v>
      </c>
      <c r="O799" s="135">
        <v>50.2652</v>
      </c>
      <c r="P799" s="135">
        <v>56.802700000000002</v>
      </c>
      <c r="Q799" s="135">
        <v>62.7333</v>
      </c>
      <c r="R799" s="137">
        <v>1.05</v>
      </c>
      <c r="S799" s="120">
        <v>481035</v>
      </c>
      <c r="T799" s="120">
        <v>2594600</v>
      </c>
      <c r="U799" s="120">
        <v>0</v>
      </c>
      <c r="V799" s="114">
        <f t="shared" si="28"/>
        <v>2594600</v>
      </c>
      <c r="W799" s="114">
        <f t="shared" si="29"/>
        <v>3075635</v>
      </c>
    </row>
    <row r="800" spans="1:23">
      <c r="A800" s="122" t="s">
        <v>1839</v>
      </c>
      <c r="B800" s="124">
        <v>25786.792000000001</v>
      </c>
      <c r="C800" s="124">
        <v>25960.253000000001</v>
      </c>
      <c r="D800" s="124">
        <v>26373.987000000001</v>
      </c>
      <c r="E800" s="124">
        <v>26726.641</v>
      </c>
      <c r="F800" s="124">
        <v>3505.5517</v>
      </c>
      <c r="G800" s="124">
        <v>3683.1208999999999</v>
      </c>
      <c r="H800" s="124">
        <v>3622.4816999999998</v>
      </c>
      <c r="I800" s="124">
        <v>3658.4335999999998</v>
      </c>
      <c r="J800" s="134">
        <v>4860724173</v>
      </c>
      <c r="K800" s="134">
        <v>5188091382</v>
      </c>
      <c r="L800" s="124">
        <v>35050.427000000003</v>
      </c>
      <c r="M800" s="134">
        <v>3597945</v>
      </c>
      <c r="N800" s="135">
        <v>2170.6433999999999</v>
      </c>
      <c r="O800" s="135">
        <v>2266.4425999999999</v>
      </c>
      <c r="P800" s="135">
        <v>2251.9488999999999</v>
      </c>
      <c r="Q800" s="135">
        <v>2271.1981999999998</v>
      </c>
      <c r="R800" s="137">
        <v>1.1100000000000001</v>
      </c>
      <c r="S800" s="120">
        <v>5521916</v>
      </c>
      <c r="T800" s="120">
        <v>74182518</v>
      </c>
      <c r="U800" s="120">
        <v>0</v>
      </c>
      <c r="V800" s="114">
        <f t="shared" si="28"/>
        <v>74182518</v>
      </c>
      <c r="W800" s="114">
        <f t="shared" si="29"/>
        <v>79704434</v>
      </c>
    </row>
    <row r="801" spans="1:23">
      <c r="A801" s="122" t="s">
        <v>227</v>
      </c>
      <c r="B801" s="124">
        <v>1360.2819999999999</v>
      </c>
      <c r="C801" s="124">
        <v>1372.835</v>
      </c>
      <c r="D801" s="124">
        <v>1374.6389999999999</v>
      </c>
      <c r="E801" s="124">
        <v>1336.5609999999999</v>
      </c>
      <c r="F801" s="124">
        <v>218.3742</v>
      </c>
      <c r="G801" s="124">
        <v>211.5557</v>
      </c>
      <c r="H801" s="124">
        <v>212.04349999999999</v>
      </c>
      <c r="I801" s="124">
        <v>210.72</v>
      </c>
      <c r="J801" s="134">
        <v>160504606</v>
      </c>
      <c r="K801" s="134">
        <v>177089258</v>
      </c>
      <c r="L801" s="124">
        <v>1850.6110000000001</v>
      </c>
      <c r="M801" s="134">
        <v>3574</v>
      </c>
      <c r="N801" s="135">
        <v>129.0582</v>
      </c>
      <c r="O801" s="135">
        <v>127.5031</v>
      </c>
      <c r="P801" s="135">
        <v>127.0625</v>
      </c>
      <c r="Q801" s="135">
        <v>131.13229999999999</v>
      </c>
      <c r="R801" s="137">
        <v>1.05</v>
      </c>
      <c r="S801" s="120">
        <v>121604</v>
      </c>
      <c r="T801" s="120">
        <v>2550217</v>
      </c>
      <c r="U801" s="120">
        <v>0</v>
      </c>
      <c r="V801" s="114">
        <f t="shared" si="28"/>
        <v>2550217</v>
      </c>
      <c r="W801" s="114">
        <f t="shared" si="29"/>
        <v>2671821</v>
      </c>
    </row>
    <row r="802" spans="1:23">
      <c r="A802" s="122" t="s">
        <v>625</v>
      </c>
      <c r="B802" s="124">
        <v>784.45500000000004</v>
      </c>
      <c r="C802" s="124">
        <v>772.51</v>
      </c>
      <c r="D802" s="124">
        <v>783.7</v>
      </c>
      <c r="E802" s="124">
        <v>761.99199999999996</v>
      </c>
      <c r="F802" s="124">
        <v>119.508</v>
      </c>
      <c r="G802" s="124">
        <v>119.56959999999999</v>
      </c>
      <c r="H802" s="124">
        <v>120.2017</v>
      </c>
      <c r="I802" s="124">
        <v>121.0359</v>
      </c>
      <c r="J802" s="134">
        <v>662244048</v>
      </c>
      <c r="K802" s="134">
        <v>664148686</v>
      </c>
      <c r="L802" s="124">
        <v>1232.7159999999999</v>
      </c>
      <c r="M802" s="134">
        <v>598333</v>
      </c>
      <c r="N802" s="135">
        <v>79.6173</v>
      </c>
      <c r="O802" s="135">
        <v>76.054699999999997</v>
      </c>
      <c r="P802" s="135">
        <v>75.354100000000003</v>
      </c>
      <c r="Q802" s="135">
        <v>73.498599999999996</v>
      </c>
      <c r="R802" s="137">
        <v>1.05</v>
      </c>
      <c r="S802" s="120">
        <v>900384</v>
      </c>
      <c r="T802" s="120">
        <v>9223685</v>
      </c>
      <c r="U802" s="120">
        <v>0</v>
      </c>
      <c r="V802" s="114">
        <f t="shared" si="28"/>
        <v>9223685</v>
      </c>
      <c r="W802" s="114">
        <f t="shared" si="29"/>
        <v>10124069</v>
      </c>
    </row>
    <row r="803" spans="1:23">
      <c r="A803" s="122" t="s">
        <v>2496</v>
      </c>
      <c r="B803" s="124">
        <v>490.97399999999999</v>
      </c>
      <c r="C803" s="124">
        <v>509.21899999999999</v>
      </c>
      <c r="D803" s="124">
        <v>517.52800000000002</v>
      </c>
      <c r="E803" s="124">
        <v>542.755</v>
      </c>
      <c r="F803" s="124">
        <v>82.974100000000007</v>
      </c>
      <c r="G803" s="124">
        <v>88.936199999999999</v>
      </c>
      <c r="H803" s="124">
        <v>98.2286</v>
      </c>
      <c r="I803" s="124">
        <v>96.347099999999998</v>
      </c>
      <c r="J803" s="134">
        <v>445905589</v>
      </c>
      <c r="K803" s="134">
        <v>454696243</v>
      </c>
      <c r="L803" s="124">
        <v>886.06700000000001</v>
      </c>
      <c r="M803" s="114">
        <v>0</v>
      </c>
      <c r="N803" s="135">
        <v>56.222999999999999</v>
      </c>
      <c r="O803" s="135">
        <v>58.385399999999997</v>
      </c>
      <c r="P803" s="135">
        <v>62.500799999999998</v>
      </c>
      <c r="Q803" s="135">
        <v>60.500500000000002</v>
      </c>
      <c r="R803" s="137">
        <v>1.04</v>
      </c>
      <c r="S803" s="120">
        <v>335731</v>
      </c>
      <c r="T803" s="120">
        <v>6578977</v>
      </c>
      <c r="U803" s="120">
        <v>0</v>
      </c>
      <c r="V803" s="114">
        <f t="shared" si="28"/>
        <v>6578977</v>
      </c>
      <c r="W803" s="114">
        <f t="shared" si="29"/>
        <v>6914708</v>
      </c>
    </row>
    <row r="804" spans="1:23">
      <c r="A804" s="122" t="s">
        <v>1657</v>
      </c>
      <c r="B804" s="124">
        <v>487.34800000000001</v>
      </c>
      <c r="C804" s="124">
        <v>456.06</v>
      </c>
      <c r="D804" s="124">
        <v>455.108</v>
      </c>
      <c r="E804" s="124">
        <v>442.64299999999997</v>
      </c>
      <c r="F804" s="124">
        <v>86.682100000000005</v>
      </c>
      <c r="G804" s="124">
        <v>90.953699999999998</v>
      </c>
      <c r="H804" s="124">
        <v>90.898600000000002</v>
      </c>
      <c r="I804" s="124">
        <v>87.732799999999997</v>
      </c>
      <c r="J804" s="134">
        <v>104168565</v>
      </c>
      <c r="K804" s="134">
        <v>110142775</v>
      </c>
      <c r="L804" s="124">
        <v>868.08900000000006</v>
      </c>
      <c r="M804" s="114">
        <v>0</v>
      </c>
      <c r="N804" s="135">
        <v>58.756999999999998</v>
      </c>
      <c r="O804" s="135">
        <v>60.3748</v>
      </c>
      <c r="P804" s="135">
        <v>59.845799999999997</v>
      </c>
      <c r="Q804" s="135">
        <v>55.953099999999999</v>
      </c>
      <c r="R804" s="137">
        <v>1.06</v>
      </c>
      <c r="S804" s="120">
        <v>141111</v>
      </c>
      <c r="T804" s="120">
        <v>1211530</v>
      </c>
      <c r="U804" s="120">
        <v>0</v>
      </c>
      <c r="V804" s="114">
        <f t="shared" si="28"/>
        <v>1211530</v>
      </c>
      <c r="W804" s="114">
        <f t="shared" si="29"/>
        <v>1352641</v>
      </c>
    </row>
    <row r="805" spans="1:23">
      <c r="A805" s="122" t="s">
        <v>245</v>
      </c>
      <c r="B805" s="124">
        <v>1363.145</v>
      </c>
      <c r="C805" s="124">
        <v>1352.635</v>
      </c>
      <c r="D805" s="124">
        <v>1379.356</v>
      </c>
      <c r="E805" s="124">
        <v>1382.6379999999999</v>
      </c>
      <c r="F805" s="124">
        <v>221.78129999999999</v>
      </c>
      <c r="G805" s="124">
        <v>218.5034</v>
      </c>
      <c r="H805" s="124">
        <v>220.86150000000001</v>
      </c>
      <c r="I805" s="124">
        <v>229.6069</v>
      </c>
      <c r="J805" s="134">
        <v>70993093</v>
      </c>
      <c r="K805" s="134">
        <v>78461460</v>
      </c>
      <c r="L805" s="124">
        <v>2116.7179999999998</v>
      </c>
      <c r="M805" s="134">
        <v>36607</v>
      </c>
      <c r="N805" s="135">
        <v>145.33029999999999</v>
      </c>
      <c r="O805" s="135">
        <v>137.5882</v>
      </c>
      <c r="P805" s="135">
        <v>137.38570000000001</v>
      </c>
      <c r="Q805" s="135">
        <v>140.12219999999999</v>
      </c>
      <c r="R805" s="137">
        <v>1.1000000000000001</v>
      </c>
      <c r="S805" s="120">
        <v>173927</v>
      </c>
      <c r="T805" s="120">
        <v>822774</v>
      </c>
      <c r="U805" s="120">
        <v>0</v>
      </c>
      <c r="V805" s="114">
        <f t="shared" si="28"/>
        <v>822774</v>
      </c>
      <c r="W805" s="114">
        <f t="shared" si="29"/>
        <v>996701</v>
      </c>
    </row>
    <row r="806" spans="1:23">
      <c r="A806" s="122" t="s">
        <v>1464</v>
      </c>
      <c r="B806" s="124">
        <v>1352.6420000000001</v>
      </c>
      <c r="C806" s="124">
        <v>1370.9369999999999</v>
      </c>
      <c r="D806" s="124">
        <v>1367.211</v>
      </c>
      <c r="E806" s="124">
        <v>1416.4570000000001</v>
      </c>
      <c r="F806" s="124">
        <v>219.79730000000001</v>
      </c>
      <c r="G806" s="124">
        <v>226.65539999999999</v>
      </c>
      <c r="H806" s="124">
        <v>228.749</v>
      </c>
      <c r="I806" s="124">
        <v>233.98650000000001</v>
      </c>
      <c r="J806" s="134">
        <v>253511183</v>
      </c>
      <c r="K806" s="134">
        <v>275571145</v>
      </c>
      <c r="L806" s="124">
        <v>1995.5239999999999</v>
      </c>
      <c r="M806" s="134">
        <v>184912</v>
      </c>
      <c r="N806" s="135">
        <v>136.94759999999999</v>
      </c>
      <c r="O806" s="135">
        <v>142.3449</v>
      </c>
      <c r="P806" s="135">
        <v>151.97730000000001</v>
      </c>
      <c r="Q806" s="135">
        <v>151.29159999999999</v>
      </c>
      <c r="R806" s="137">
        <v>1.04</v>
      </c>
      <c r="S806" s="120">
        <v>192159</v>
      </c>
      <c r="T806" s="120">
        <v>4085459</v>
      </c>
      <c r="U806" s="120">
        <v>0</v>
      </c>
      <c r="V806" s="114">
        <f t="shared" si="28"/>
        <v>4085459</v>
      </c>
      <c r="W806" s="114">
        <f t="shared" si="29"/>
        <v>4277618</v>
      </c>
    </row>
    <row r="807" spans="1:23">
      <c r="A807" s="122" t="s">
        <v>1465</v>
      </c>
      <c r="B807" s="124">
        <v>6822.9359999999997</v>
      </c>
      <c r="C807" s="124">
        <v>6851.2610000000004</v>
      </c>
      <c r="D807" s="124">
        <v>6943.6120000000001</v>
      </c>
      <c r="E807" s="124">
        <v>7029.11</v>
      </c>
      <c r="F807" s="124">
        <v>851.78970000000004</v>
      </c>
      <c r="G807" s="124">
        <v>998.3981</v>
      </c>
      <c r="H807" s="124">
        <v>975.54259999999999</v>
      </c>
      <c r="I807" s="124">
        <v>986.73519999999996</v>
      </c>
      <c r="J807" s="134">
        <v>1500674779</v>
      </c>
      <c r="K807" s="134">
        <v>1587763858</v>
      </c>
      <c r="L807" s="124">
        <v>8540.4069999999992</v>
      </c>
      <c r="M807" s="134">
        <v>1427362</v>
      </c>
      <c r="N807" s="135">
        <v>553.88760000000002</v>
      </c>
      <c r="O807" s="135">
        <v>564.24710000000005</v>
      </c>
      <c r="P807" s="135">
        <v>559.17179999999996</v>
      </c>
      <c r="Q807" s="135">
        <v>572.30930000000001</v>
      </c>
      <c r="R807" s="137">
        <v>1.06</v>
      </c>
      <c r="S807" s="120">
        <v>3187758</v>
      </c>
      <c r="T807" s="120">
        <v>22728183</v>
      </c>
      <c r="U807" s="120">
        <v>0</v>
      </c>
      <c r="V807" s="114">
        <f t="shared" si="28"/>
        <v>22728183</v>
      </c>
      <c r="W807" s="114">
        <f t="shared" si="29"/>
        <v>25915941</v>
      </c>
    </row>
    <row r="808" spans="1:23">
      <c r="A808" s="122" t="s">
        <v>2883</v>
      </c>
      <c r="B808" s="124">
        <v>890.12699999999995</v>
      </c>
      <c r="C808" s="124">
        <v>847.47699999999998</v>
      </c>
      <c r="D808" s="124">
        <v>821.88300000000004</v>
      </c>
      <c r="E808" s="124">
        <v>783.54200000000003</v>
      </c>
      <c r="F808" s="124">
        <v>155.80500000000001</v>
      </c>
      <c r="G808" s="124">
        <v>155.72890000000001</v>
      </c>
      <c r="H808" s="124">
        <v>153.08969999999999</v>
      </c>
      <c r="I808" s="124">
        <v>147.0273</v>
      </c>
      <c r="J808" s="134">
        <v>470045243</v>
      </c>
      <c r="K808" s="134">
        <v>476549898</v>
      </c>
      <c r="L808" s="124">
        <v>1426.8140000000001</v>
      </c>
      <c r="M808" s="114">
        <v>0</v>
      </c>
      <c r="N808" s="135">
        <v>107.0005</v>
      </c>
      <c r="O808" s="135">
        <v>103.35680000000001</v>
      </c>
      <c r="P808" s="135">
        <v>105.00320000000001</v>
      </c>
      <c r="Q808" s="135">
        <v>97.306600000000003</v>
      </c>
      <c r="R808" s="137">
        <v>1.0900000000000001</v>
      </c>
      <c r="S808" s="120">
        <v>0</v>
      </c>
      <c r="T808" s="120">
        <v>6803389</v>
      </c>
      <c r="U808" s="120">
        <v>0</v>
      </c>
      <c r="V808" s="114">
        <f t="shared" si="28"/>
        <v>6803389</v>
      </c>
      <c r="W808" s="114">
        <f t="shared" si="29"/>
        <v>6803389</v>
      </c>
    </row>
    <row r="809" spans="1:23">
      <c r="A809" s="122" t="s">
        <v>896</v>
      </c>
      <c r="B809" s="124">
        <v>267.14</v>
      </c>
      <c r="C809" s="124">
        <v>277.27</v>
      </c>
      <c r="D809" s="124">
        <v>282.28399999999999</v>
      </c>
      <c r="E809" s="124">
        <v>279.291</v>
      </c>
      <c r="F809" s="124">
        <v>56.0107</v>
      </c>
      <c r="G809" s="124">
        <v>55.048099999999998</v>
      </c>
      <c r="H809" s="124">
        <v>51.636400000000002</v>
      </c>
      <c r="I809" s="124">
        <v>61.611899999999999</v>
      </c>
      <c r="J809" s="134">
        <v>105291853</v>
      </c>
      <c r="K809" s="134">
        <v>110532471</v>
      </c>
      <c r="L809" s="124">
        <v>577.72400000000005</v>
      </c>
      <c r="M809" s="114">
        <v>0</v>
      </c>
      <c r="N809" s="135">
        <v>37.000399999999999</v>
      </c>
      <c r="O809" s="135">
        <v>39.107300000000002</v>
      </c>
      <c r="P809" s="135">
        <v>36.514800000000001</v>
      </c>
      <c r="Q809" s="135">
        <v>34.978400000000001</v>
      </c>
      <c r="R809" s="137">
        <v>1.05</v>
      </c>
      <c r="S809" s="120">
        <v>0</v>
      </c>
      <c r="T809" s="120">
        <v>1500880</v>
      </c>
      <c r="U809" s="120">
        <v>0</v>
      </c>
      <c r="V809" s="114">
        <f t="shared" si="28"/>
        <v>1500880</v>
      </c>
      <c r="W809" s="114">
        <f t="shared" si="29"/>
        <v>1500880</v>
      </c>
    </row>
    <row r="810" spans="1:23">
      <c r="A810" s="122" t="s">
        <v>135</v>
      </c>
      <c r="B810" s="124">
        <v>364.44400000000002</v>
      </c>
      <c r="C810" s="124">
        <v>355.82100000000003</v>
      </c>
      <c r="D810" s="124">
        <v>376.86</v>
      </c>
      <c r="E810" s="124">
        <v>369.50400000000002</v>
      </c>
      <c r="F810" s="124">
        <v>60.882300000000001</v>
      </c>
      <c r="G810" s="124">
        <v>59.811399999999999</v>
      </c>
      <c r="H810" s="124">
        <v>61.184399999999997</v>
      </c>
      <c r="I810" s="124">
        <v>57.979100000000003</v>
      </c>
      <c r="J810" s="134">
        <v>30902534</v>
      </c>
      <c r="K810" s="134">
        <v>35314914</v>
      </c>
      <c r="L810" s="124">
        <v>644.85</v>
      </c>
      <c r="M810" s="114">
        <v>0</v>
      </c>
      <c r="N810" s="135">
        <v>39.4634</v>
      </c>
      <c r="O810" s="135">
        <v>38.817900000000002</v>
      </c>
      <c r="P810" s="135">
        <v>38.212699999999998</v>
      </c>
      <c r="Q810" s="135">
        <v>39.094799999999999</v>
      </c>
      <c r="R810" s="137">
        <v>1.05</v>
      </c>
      <c r="S810" s="120">
        <v>0</v>
      </c>
      <c r="T810" s="120">
        <v>417021</v>
      </c>
      <c r="U810" s="120">
        <v>18081</v>
      </c>
      <c r="V810" s="114">
        <f t="shared" si="28"/>
        <v>435102</v>
      </c>
      <c r="W810" s="114">
        <f t="shared" si="29"/>
        <v>435102</v>
      </c>
    </row>
    <row r="811" spans="1:23">
      <c r="A811" s="122" t="s">
        <v>3051</v>
      </c>
      <c r="B811" s="124">
        <v>671.17</v>
      </c>
      <c r="C811" s="124">
        <v>661.34799999999996</v>
      </c>
      <c r="D811" s="124">
        <v>641.375</v>
      </c>
      <c r="E811" s="124">
        <v>674.61300000000006</v>
      </c>
      <c r="F811" s="124">
        <v>96.656800000000004</v>
      </c>
      <c r="G811" s="124">
        <v>93.882300000000001</v>
      </c>
      <c r="H811" s="124">
        <v>96.652699999999996</v>
      </c>
      <c r="I811" s="124">
        <v>95.607299999999995</v>
      </c>
      <c r="J811" s="134">
        <v>87846120</v>
      </c>
      <c r="K811" s="134">
        <v>97996192</v>
      </c>
      <c r="L811" s="124">
        <v>1083.6400000000001</v>
      </c>
      <c r="M811" s="134">
        <v>74677</v>
      </c>
      <c r="N811" s="135">
        <v>68.628299999999996</v>
      </c>
      <c r="O811" s="135">
        <v>67.182000000000002</v>
      </c>
      <c r="P811" s="135">
        <v>66.049400000000006</v>
      </c>
      <c r="Q811" s="135">
        <v>65.865499999999997</v>
      </c>
      <c r="R811" s="137">
        <v>1.05</v>
      </c>
      <c r="S811" s="120">
        <v>186159</v>
      </c>
      <c r="T811" s="120">
        <v>1012860</v>
      </c>
      <c r="U811" s="120">
        <v>0</v>
      </c>
      <c r="V811" s="114">
        <f t="shared" si="28"/>
        <v>1012860</v>
      </c>
      <c r="W811" s="114">
        <f t="shared" si="29"/>
        <v>1199019</v>
      </c>
    </row>
    <row r="812" spans="1:23">
      <c r="A812" s="122" t="s">
        <v>2597</v>
      </c>
      <c r="B812" s="124">
        <v>1140.0250000000001</v>
      </c>
      <c r="C812" s="124">
        <v>1094.925</v>
      </c>
      <c r="D812" s="124">
        <v>1061.8579999999999</v>
      </c>
      <c r="E812" s="124">
        <v>1015.2809999999999</v>
      </c>
      <c r="F812" s="124">
        <v>216.6705</v>
      </c>
      <c r="G812" s="124">
        <v>215.66919999999999</v>
      </c>
      <c r="H812" s="124">
        <v>219.82759999999999</v>
      </c>
      <c r="I812" s="124">
        <v>228.601</v>
      </c>
      <c r="J812" s="134">
        <v>159523297</v>
      </c>
      <c r="K812" s="134">
        <v>176115067</v>
      </c>
      <c r="L812" s="124">
        <v>1812.307</v>
      </c>
      <c r="M812" s="114">
        <v>0</v>
      </c>
      <c r="N812" s="135">
        <v>140.929</v>
      </c>
      <c r="O812" s="135">
        <v>135.44130000000001</v>
      </c>
      <c r="P812" s="135">
        <v>137.35830000000001</v>
      </c>
      <c r="Q812" s="135">
        <v>140.4639</v>
      </c>
      <c r="R812" s="137">
        <v>1.05</v>
      </c>
      <c r="S812" s="120">
        <v>0</v>
      </c>
      <c r="T812" s="120">
        <v>2070818</v>
      </c>
      <c r="U812" s="120">
        <v>0</v>
      </c>
      <c r="V812" s="114">
        <f t="shared" si="28"/>
        <v>2070818</v>
      </c>
      <c r="W812" s="114">
        <f t="shared" si="29"/>
        <v>2070818</v>
      </c>
    </row>
    <row r="813" spans="1:23">
      <c r="A813" s="122" t="s">
        <v>411</v>
      </c>
      <c r="B813" s="124">
        <v>467.78699999999998</v>
      </c>
      <c r="C813" s="124">
        <v>463.85899999999998</v>
      </c>
      <c r="D813" s="124">
        <v>467.20499999999998</v>
      </c>
      <c r="E813" s="124">
        <v>475.54</v>
      </c>
      <c r="F813" s="124">
        <v>97.143799999999999</v>
      </c>
      <c r="G813" s="124">
        <v>99.8733</v>
      </c>
      <c r="H813" s="124">
        <v>101.81780000000001</v>
      </c>
      <c r="I813" s="124">
        <v>106.4969</v>
      </c>
      <c r="J813" s="134">
        <v>39243067</v>
      </c>
      <c r="K813" s="134">
        <v>44465297</v>
      </c>
      <c r="L813" s="124">
        <v>803.47400000000005</v>
      </c>
      <c r="M813" s="114">
        <v>0</v>
      </c>
      <c r="N813" s="135">
        <v>67.778999999999996</v>
      </c>
      <c r="O813" s="135">
        <v>72.213399999999993</v>
      </c>
      <c r="P813" s="135">
        <v>73.649000000000001</v>
      </c>
      <c r="Q813" s="135">
        <v>69.655600000000007</v>
      </c>
      <c r="R813" s="137">
        <v>1.04</v>
      </c>
      <c r="S813" s="120">
        <v>21081</v>
      </c>
      <c r="T813" s="120">
        <v>544031</v>
      </c>
      <c r="U813" s="120">
        <v>0</v>
      </c>
      <c r="V813" s="114">
        <f t="shared" si="28"/>
        <v>544031</v>
      </c>
      <c r="W813" s="114">
        <f t="shared" si="29"/>
        <v>565112</v>
      </c>
    </row>
    <row r="814" spans="1:23">
      <c r="A814" s="122" t="s">
        <v>1113</v>
      </c>
      <c r="B814" s="124">
        <v>2753.73</v>
      </c>
      <c r="C814" s="124">
        <v>2609.165</v>
      </c>
      <c r="D814" s="124">
        <v>2530.3679999999999</v>
      </c>
      <c r="E814" s="124">
        <v>2421.4769999999999</v>
      </c>
      <c r="F814" s="124">
        <v>431.4135</v>
      </c>
      <c r="G814" s="124">
        <v>414.77280000000002</v>
      </c>
      <c r="H814" s="124">
        <v>397.94389999999999</v>
      </c>
      <c r="I814" s="124">
        <v>383.24880000000002</v>
      </c>
      <c r="J814" s="134">
        <v>488342396</v>
      </c>
      <c r="K814" s="134">
        <v>507806937</v>
      </c>
      <c r="L814" s="124">
        <v>3485.6030000000001</v>
      </c>
      <c r="M814" s="114">
        <v>0</v>
      </c>
      <c r="N814" s="135">
        <v>265.30610000000001</v>
      </c>
      <c r="O814" s="135">
        <v>247.88829999999999</v>
      </c>
      <c r="P814" s="135">
        <v>249.05009999999999</v>
      </c>
      <c r="Q814" s="135">
        <v>240.26410000000001</v>
      </c>
      <c r="R814" s="137">
        <v>1.1299999999999999</v>
      </c>
      <c r="S814" s="120">
        <v>0</v>
      </c>
      <c r="T814" s="120">
        <v>6896390</v>
      </c>
      <c r="U814" s="120">
        <v>0</v>
      </c>
      <c r="V814" s="114">
        <f t="shared" si="28"/>
        <v>6896390</v>
      </c>
      <c r="W814" s="114">
        <f t="shared" si="29"/>
        <v>6896390</v>
      </c>
    </row>
    <row r="815" spans="1:23">
      <c r="A815" s="122" t="s">
        <v>1932</v>
      </c>
      <c r="B815" s="124">
        <v>219.386</v>
      </c>
      <c r="C815" s="124">
        <v>209.74600000000001</v>
      </c>
      <c r="D815" s="124">
        <v>203.41200000000001</v>
      </c>
      <c r="E815" s="124">
        <v>193.62700000000001</v>
      </c>
      <c r="F815" s="124">
        <v>47.560499999999998</v>
      </c>
      <c r="G815" s="124">
        <v>47.698700000000002</v>
      </c>
      <c r="H815" s="124">
        <v>46.165100000000002</v>
      </c>
      <c r="I815" s="124">
        <v>48.532499999999999</v>
      </c>
      <c r="J815" s="134">
        <v>24362751</v>
      </c>
      <c r="K815" s="134">
        <v>25286051</v>
      </c>
      <c r="L815" s="124">
        <v>427.67</v>
      </c>
      <c r="M815" s="114">
        <v>0</v>
      </c>
      <c r="N815" s="135">
        <v>28.878299999999999</v>
      </c>
      <c r="O815" s="135">
        <v>27.778500000000001</v>
      </c>
      <c r="P815" s="135">
        <v>28.846299999999999</v>
      </c>
      <c r="Q815" s="135">
        <v>29.607700000000001</v>
      </c>
      <c r="R815" s="137">
        <v>1.1200000000000001</v>
      </c>
      <c r="S815" s="120">
        <v>17015</v>
      </c>
      <c r="T815" s="120">
        <v>369984</v>
      </c>
      <c r="U815" s="120">
        <v>0</v>
      </c>
      <c r="V815" s="114">
        <f t="shared" si="28"/>
        <v>369984</v>
      </c>
      <c r="W815" s="114">
        <f t="shared" si="29"/>
        <v>386999</v>
      </c>
    </row>
    <row r="816" spans="1:23">
      <c r="A816" s="122" t="s">
        <v>793</v>
      </c>
      <c r="B816" s="124">
        <v>183.61199999999999</v>
      </c>
      <c r="C816" s="124">
        <v>178.952</v>
      </c>
      <c r="D816" s="124">
        <v>173.548</v>
      </c>
      <c r="E816" s="124">
        <v>168.73699999999999</v>
      </c>
      <c r="F816" s="124">
        <v>33.4786</v>
      </c>
      <c r="G816" s="124">
        <v>34.489400000000003</v>
      </c>
      <c r="H816" s="124">
        <v>34.489400000000003</v>
      </c>
      <c r="I816" s="124">
        <v>33.860999999999997</v>
      </c>
      <c r="J816" s="134">
        <v>169350480</v>
      </c>
      <c r="K816" s="134">
        <v>171339761</v>
      </c>
      <c r="L816" s="124">
        <v>294.07400000000001</v>
      </c>
      <c r="M816" s="134">
        <v>179936</v>
      </c>
      <c r="N816" s="135">
        <v>21.1906</v>
      </c>
      <c r="O816" s="135">
        <v>21.480799999999999</v>
      </c>
      <c r="P816" s="135">
        <v>20.5717</v>
      </c>
      <c r="Q816" s="135">
        <v>20.067</v>
      </c>
      <c r="R816" s="137">
        <v>1.07</v>
      </c>
      <c r="S816" s="120">
        <v>105153</v>
      </c>
      <c r="T816" s="120">
        <v>2315604</v>
      </c>
      <c r="U816" s="120">
        <v>0</v>
      </c>
      <c r="V816" s="114">
        <f t="shared" si="28"/>
        <v>2315604</v>
      </c>
      <c r="W816" s="114">
        <f t="shared" si="29"/>
        <v>2420757</v>
      </c>
    </row>
    <row r="817" spans="1:23">
      <c r="A817" s="122" t="s">
        <v>794</v>
      </c>
      <c r="B817" s="124">
        <v>573.44100000000003</v>
      </c>
      <c r="C817" s="124">
        <v>543.68399999999997</v>
      </c>
      <c r="D817" s="124">
        <v>527.84799999999996</v>
      </c>
      <c r="E817" s="124">
        <v>513.22699999999998</v>
      </c>
      <c r="F817" s="124">
        <v>103.4251</v>
      </c>
      <c r="G817" s="124">
        <v>104.4973</v>
      </c>
      <c r="H817" s="124">
        <v>106</v>
      </c>
      <c r="I817" s="124">
        <v>103.2</v>
      </c>
      <c r="J817" s="134">
        <v>106731201</v>
      </c>
      <c r="K817" s="134">
        <v>112635941</v>
      </c>
      <c r="L817" s="124">
        <v>897.88199999999995</v>
      </c>
      <c r="M817" s="114">
        <v>0</v>
      </c>
      <c r="N817" s="135">
        <v>73.353499999999997</v>
      </c>
      <c r="O817" s="135">
        <v>73.996099999999998</v>
      </c>
      <c r="P817" s="135">
        <v>77.376000000000005</v>
      </c>
      <c r="Q817" s="135">
        <v>73.9392</v>
      </c>
      <c r="R817" s="137">
        <v>1.08</v>
      </c>
      <c r="S817" s="120">
        <v>0</v>
      </c>
      <c r="T817" s="120">
        <v>1512252</v>
      </c>
      <c r="U817" s="120">
        <v>0</v>
      </c>
      <c r="V817" s="114">
        <f t="shared" si="28"/>
        <v>1512252</v>
      </c>
      <c r="W817" s="114">
        <f t="shared" si="29"/>
        <v>1512252</v>
      </c>
    </row>
    <row r="818" spans="1:23">
      <c r="A818" s="122" t="s">
        <v>795</v>
      </c>
      <c r="B818" s="124">
        <v>820.46400000000006</v>
      </c>
      <c r="C818" s="124">
        <v>764.36300000000006</v>
      </c>
      <c r="D818" s="124">
        <v>741.279</v>
      </c>
      <c r="E818" s="124">
        <v>714.298</v>
      </c>
      <c r="F818" s="124">
        <v>126.2422</v>
      </c>
      <c r="G818" s="124">
        <v>129.047</v>
      </c>
      <c r="H818" s="124">
        <v>123.8021</v>
      </c>
      <c r="I818" s="124">
        <v>122.04810000000001</v>
      </c>
      <c r="J818" s="134">
        <v>317586188</v>
      </c>
      <c r="K818" s="134">
        <v>323515669</v>
      </c>
      <c r="L818" s="124">
        <v>1297.6610000000001</v>
      </c>
      <c r="M818" s="114">
        <v>0</v>
      </c>
      <c r="N818" s="135">
        <v>88.977099999999993</v>
      </c>
      <c r="O818" s="135">
        <v>89.655600000000007</v>
      </c>
      <c r="P818" s="135">
        <v>83.658100000000005</v>
      </c>
      <c r="Q818" s="135">
        <v>82.713999999999999</v>
      </c>
      <c r="R818" s="137">
        <v>1.07</v>
      </c>
      <c r="S818" s="120">
        <v>0</v>
      </c>
      <c r="T818" s="120">
        <v>4333177</v>
      </c>
      <c r="U818" s="120">
        <v>0</v>
      </c>
      <c r="V818" s="114">
        <f t="shared" si="28"/>
        <v>4333177</v>
      </c>
      <c r="W818" s="114">
        <f t="shared" si="29"/>
        <v>4333177</v>
      </c>
    </row>
    <row r="819" spans="1:23">
      <c r="A819" s="122" t="s">
        <v>1644</v>
      </c>
      <c r="B819" s="124">
        <v>169.79</v>
      </c>
      <c r="C819" s="124">
        <v>157.32599999999999</v>
      </c>
      <c r="D819" s="124">
        <v>152.57499999999999</v>
      </c>
      <c r="E819" s="124">
        <v>147.917</v>
      </c>
      <c r="F819" s="124">
        <v>38.468000000000004</v>
      </c>
      <c r="G819" s="124">
        <v>43.248899999999999</v>
      </c>
      <c r="H819" s="124">
        <v>43.264899999999997</v>
      </c>
      <c r="I819" s="124">
        <v>40.089799999999997</v>
      </c>
      <c r="J819" s="134">
        <v>303558679</v>
      </c>
      <c r="K819" s="134">
        <v>305295966</v>
      </c>
      <c r="L819" s="124">
        <v>279.26400000000001</v>
      </c>
      <c r="M819" s="134">
        <v>88000</v>
      </c>
      <c r="N819" s="135">
        <v>25.119599999999998</v>
      </c>
      <c r="O819" s="135">
        <v>26.217700000000001</v>
      </c>
      <c r="P819" s="135">
        <v>26.329599999999999</v>
      </c>
      <c r="Q819" s="135">
        <v>24.660499999999999</v>
      </c>
      <c r="R819" s="137">
        <v>1.08</v>
      </c>
      <c r="S819" s="120">
        <v>165523</v>
      </c>
      <c r="T819" s="120">
        <v>4632473</v>
      </c>
      <c r="U819" s="120">
        <v>0</v>
      </c>
      <c r="V819" s="114">
        <f t="shared" si="28"/>
        <v>4632473</v>
      </c>
      <c r="W819" s="114">
        <f t="shared" si="29"/>
        <v>4797996</v>
      </c>
    </row>
    <row r="820" spans="1:23">
      <c r="A820" s="122" t="s">
        <v>1645</v>
      </c>
      <c r="B820" s="124">
        <v>442.39</v>
      </c>
      <c r="C820" s="124">
        <v>438.13799999999998</v>
      </c>
      <c r="D820" s="124">
        <v>441.3</v>
      </c>
      <c r="E820" s="124">
        <v>442.286</v>
      </c>
      <c r="F820" s="124">
        <v>74.770099999999999</v>
      </c>
      <c r="G820" s="124">
        <v>79.294499999999999</v>
      </c>
      <c r="H820" s="124">
        <v>77.3292</v>
      </c>
      <c r="I820" s="124">
        <v>79.064499999999995</v>
      </c>
      <c r="J820" s="134">
        <v>282978959</v>
      </c>
      <c r="K820" s="134">
        <v>287400028</v>
      </c>
      <c r="L820" s="124">
        <v>710.21199999999999</v>
      </c>
      <c r="M820" s="134">
        <v>601307</v>
      </c>
      <c r="N820" s="135">
        <v>47.8309</v>
      </c>
      <c r="O820" s="135">
        <v>49.499200000000002</v>
      </c>
      <c r="P820" s="135">
        <v>49.999099999999999</v>
      </c>
      <c r="Q820" s="135">
        <v>52.2699</v>
      </c>
      <c r="R820" s="137">
        <v>1.06</v>
      </c>
      <c r="S820" s="120">
        <v>666339</v>
      </c>
      <c r="T820" s="120">
        <v>3956461</v>
      </c>
      <c r="U820" s="120">
        <v>0</v>
      </c>
      <c r="V820" s="114">
        <f t="shared" si="28"/>
        <v>3956461</v>
      </c>
      <c r="W820" s="114">
        <f t="shared" si="29"/>
        <v>4622800</v>
      </c>
    </row>
    <row r="821" spans="1:23">
      <c r="A821" s="122" t="s">
        <v>1646</v>
      </c>
      <c r="B821" s="124">
        <v>294.87</v>
      </c>
      <c r="C821" s="124">
        <v>294.51900000000001</v>
      </c>
      <c r="D821" s="124">
        <v>285.625</v>
      </c>
      <c r="E821" s="124">
        <v>271.84100000000001</v>
      </c>
      <c r="F821" s="124">
        <v>59.698700000000002</v>
      </c>
      <c r="G821" s="124">
        <v>57.792499999999997</v>
      </c>
      <c r="H821" s="124">
        <v>61.511800000000001</v>
      </c>
      <c r="I821" s="124">
        <v>63.434199999999997</v>
      </c>
      <c r="J821" s="134">
        <v>50286071</v>
      </c>
      <c r="K821" s="134">
        <v>53574201</v>
      </c>
      <c r="L821" s="124">
        <v>528.19200000000001</v>
      </c>
      <c r="M821" s="114">
        <v>0</v>
      </c>
      <c r="N821" s="135">
        <v>39.376600000000003</v>
      </c>
      <c r="O821" s="135">
        <v>38.067300000000003</v>
      </c>
      <c r="P821" s="135">
        <v>39.811199999999999</v>
      </c>
      <c r="Q821" s="135">
        <v>42.298400000000001</v>
      </c>
      <c r="R821" s="137">
        <v>1.0900000000000001</v>
      </c>
      <c r="S821" s="120">
        <v>0</v>
      </c>
      <c r="T821" s="120">
        <v>729345</v>
      </c>
      <c r="U821" s="120">
        <v>0</v>
      </c>
      <c r="V821" s="114">
        <f t="shared" si="28"/>
        <v>729345</v>
      </c>
      <c r="W821" s="114">
        <f t="shared" si="29"/>
        <v>729345</v>
      </c>
    </row>
    <row r="822" spans="1:23">
      <c r="A822" s="122" t="s">
        <v>1647</v>
      </c>
      <c r="B822" s="124">
        <v>894.86800000000005</v>
      </c>
      <c r="C822" s="124">
        <v>878.44100000000003</v>
      </c>
      <c r="D822" s="124">
        <v>919.81399999999996</v>
      </c>
      <c r="E822" s="124">
        <v>894.33500000000004</v>
      </c>
      <c r="F822" s="124">
        <v>134.04820000000001</v>
      </c>
      <c r="G822" s="124">
        <v>136.81649999999999</v>
      </c>
      <c r="H822" s="124">
        <v>158.4419</v>
      </c>
      <c r="I822" s="124">
        <v>156.25890000000001</v>
      </c>
      <c r="J822" s="134">
        <v>248851757</v>
      </c>
      <c r="K822" s="134">
        <v>260573557</v>
      </c>
      <c r="L822" s="124">
        <v>1456.337</v>
      </c>
      <c r="M822" s="134">
        <v>484956</v>
      </c>
      <c r="N822" s="135">
        <v>94.084299999999999</v>
      </c>
      <c r="O822" s="135">
        <v>99.703299999999999</v>
      </c>
      <c r="P822" s="135">
        <v>102.06440000000001</v>
      </c>
      <c r="Q822" s="135">
        <v>104.7651</v>
      </c>
      <c r="R822" s="137">
        <v>1.07</v>
      </c>
      <c r="S822" s="120">
        <v>473817</v>
      </c>
      <c r="T822" s="120">
        <v>4026147</v>
      </c>
      <c r="U822" s="120">
        <v>0</v>
      </c>
      <c r="V822" s="114">
        <f t="shared" si="28"/>
        <v>4026147</v>
      </c>
      <c r="W822" s="114">
        <f t="shared" si="29"/>
        <v>4499964</v>
      </c>
    </row>
    <row r="823" spans="1:23">
      <c r="A823" s="122" t="s">
        <v>1648</v>
      </c>
      <c r="B823" s="124">
        <v>1167.7550000000001</v>
      </c>
      <c r="C823" s="124">
        <v>1091.6859999999999</v>
      </c>
      <c r="D823" s="124">
        <v>1058.7170000000001</v>
      </c>
      <c r="E823" s="124">
        <v>1037.9929999999999</v>
      </c>
      <c r="F823" s="124">
        <v>212.90870000000001</v>
      </c>
      <c r="G823" s="124">
        <v>220.6985</v>
      </c>
      <c r="H823" s="124">
        <v>211.42320000000001</v>
      </c>
      <c r="I823" s="124">
        <v>215.4931</v>
      </c>
      <c r="J823" s="134">
        <v>216325818</v>
      </c>
      <c r="K823" s="134">
        <v>228553808</v>
      </c>
      <c r="L823" s="124">
        <v>1697.752</v>
      </c>
      <c r="M823" s="114">
        <v>0</v>
      </c>
      <c r="N823" s="135">
        <v>134.3948</v>
      </c>
      <c r="O823" s="135">
        <v>142.2286</v>
      </c>
      <c r="P823" s="135">
        <v>135.19550000000001</v>
      </c>
      <c r="Q823" s="135">
        <v>143.00729999999999</v>
      </c>
      <c r="R823" s="137">
        <v>1.1000000000000001</v>
      </c>
      <c r="S823" s="120">
        <v>0</v>
      </c>
      <c r="T823" s="120">
        <v>3142535</v>
      </c>
      <c r="U823" s="120">
        <v>0</v>
      </c>
      <c r="V823" s="114">
        <f t="shared" si="28"/>
        <v>3142535</v>
      </c>
      <c r="W823" s="114">
        <f t="shared" si="29"/>
        <v>3142535</v>
      </c>
    </row>
    <row r="824" spans="1:23">
      <c r="A824" s="122" t="s">
        <v>1649</v>
      </c>
      <c r="B824" s="124">
        <v>245.28200000000001</v>
      </c>
      <c r="C824" s="124">
        <v>316.24099999999999</v>
      </c>
      <c r="D824" s="124">
        <v>391.601</v>
      </c>
      <c r="E824" s="124">
        <v>396.63600000000002</v>
      </c>
      <c r="F824" s="124">
        <v>34.057000000000002</v>
      </c>
      <c r="G824" s="124">
        <v>43.811300000000003</v>
      </c>
      <c r="H824" s="124">
        <v>53.121600000000001</v>
      </c>
      <c r="I824" s="124">
        <v>61.368699999999997</v>
      </c>
      <c r="J824" s="134">
        <v>41391138</v>
      </c>
      <c r="K824" s="134">
        <v>41621120</v>
      </c>
      <c r="L824" s="124">
        <v>709.48500000000001</v>
      </c>
      <c r="M824" s="114">
        <v>0</v>
      </c>
      <c r="N824" s="135">
        <v>27.14</v>
      </c>
      <c r="O824" s="135">
        <v>32.784500000000001</v>
      </c>
      <c r="P824" s="135">
        <v>35.71</v>
      </c>
      <c r="Q824" s="135">
        <v>40.945999999999998</v>
      </c>
      <c r="R824" s="137">
        <v>1.1299999999999999</v>
      </c>
      <c r="S824" s="120">
        <v>0</v>
      </c>
      <c r="T824" s="120">
        <v>523534</v>
      </c>
      <c r="U824" s="120">
        <v>0</v>
      </c>
      <c r="V824" s="114">
        <f t="shared" si="28"/>
        <v>523534</v>
      </c>
      <c r="W824" s="114">
        <f t="shared" si="29"/>
        <v>523534</v>
      </c>
    </row>
    <row r="825" spans="1:23">
      <c r="A825" s="122" t="s">
        <v>1885</v>
      </c>
      <c r="B825" s="124">
        <v>7215.098</v>
      </c>
      <c r="C825" s="124">
        <v>7742.2690000000002</v>
      </c>
      <c r="D825" s="124">
        <v>8236.7860000000001</v>
      </c>
      <c r="E825" s="124">
        <v>8745.6669999999995</v>
      </c>
      <c r="F825" s="124">
        <v>974.45899999999995</v>
      </c>
      <c r="G825" s="124">
        <v>979.71029999999996</v>
      </c>
      <c r="H825" s="124">
        <v>1049.2462</v>
      </c>
      <c r="I825" s="124">
        <v>1128.9586999999999</v>
      </c>
      <c r="J825" s="134">
        <v>2677901548</v>
      </c>
      <c r="K825" s="134">
        <v>2777739703</v>
      </c>
      <c r="L825" s="124">
        <v>10358.638999999999</v>
      </c>
      <c r="M825" s="134">
        <v>3080805</v>
      </c>
      <c r="N825" s="135">
        <v>574.39</v>
      </c>
      <c r="O825" s="135">
        <v>596.79930000000002</v>
      </c>
      <c r="P825" s="135">
        <v>609.88779999999997</v>
      </c>
      <c r="Q825" s="135">
        <v>661.47310000000004</v>
      </c>
      <c r="R825" s="137">
        <v>1.1299999999999999</v>
      </c>
      <c r="S825" s="120">
        <v>10370358</v>
      </c>
      <c r="T825" s="120">
        <v>46174420</v>
      </c>
      <c r="U825" s="120">
        <v>0</v>
      </c>
      <c r="V825" s="114">
        <f t="shared" si="28"/>
        <v>46174420</v>
      </c>
      <c r="W825" s="114">
        <f t="shared" si="29"/>
        <v>56544778</v>
      </c>
    </row>
    <row r="826" spans="1:23">
      <c r="A826" s="122" t="s">
        <v>2056</v>
      </c>
      <c r="B826" s="124">
        <v>1787.82</v>
      </c>
      <c r="C826" s="124">
        <v>1878.193</v>
      </c>
      <c r="D826" s="124">
        <v>2052.1790000000001</v>
      </c>
      <c r="E826" s="124">
        <v>2280.5410000000002</v>
      </c>
      <c r="F826" s="124">
        <v>248.51480000000001</v>
      </c>
      <c r="G826" s="124">
        <v>265.66640000000001</v>
      </c>
      <c r="H826" s="124">
        <v>278.23360000000002</v>
      </c>
      <c r="I826" s="124">
        <v>326.24540000000002</v>
      </c>
      <c r="J826" s="134">
        <v>243322652</v>
      </c>
      <c r="K826" s="134">
        <v>259888822</v>
      </c>
      <c r="L826" s="124">
        <v>3105.9580000000001</v>
      </c>
      <c r="M826" s="134">
        <v>179140</v>
      </c>
      <c r="N826" s="135">
        <v>155.79990000000001</v>
      </c>
      <c r="O826" s="135">
        <v>166.5907</v>
      </c>
      <c r="P826" s="135">
        <v>175.79509999999999</v>
      </c>
      <c r="Q826" s="135">
        <v>204.27529999999999</v>
      </c>
      <c r="R826" s="137">
        <v>1.1000000000000001</v>
      </c>
      <c r="S826" s="120">
        <v>785962</v>
      </c>
      <c r="T826" s="120">
        <v>3937328</v>
      </c>
      <c r="U826" s="120">
        <v>0</v>
      </c>
      <c r="V826" s="114">
        <f t="shared" si="28"/>
        <v>3937328</v>
      </c>
      <c r="W826" s="114">
        <f t="shared" si="29"/>
        <v>4723290</v>
      </c>
    </row>
    <row r="827" spans="1:23">
      <c r="A827" s="122" t="s">
        <v>1886</v>
      </c>
      <c r="B827" s="124">
        <v>1102.443</v>
      </c>
      <c r="C827" s="124">
        <v>1051.6510000000001</v>
      </c>
      <c r="D827" s="124">
        <v>1019.891</v>
      </c>
      <c r="E827" s="124">
        <v>989.03300000000002</v>
      </c>
      <c r="F827" s="124">
        <v>197.18369999999999</v>
      </c>
      <c r="G827" s="124">
        <v>205.25559999999999</v>
      </c>
      <c r="H827" s="124">
        <v>191.095</v>
      </c>
      <c r="I827" s="124">
        <v>191.7593</v>
      </c>
      <c r="J827" s="134">
        <v>142735835</v>
      </c>
      <c r="K827" s="134">
        <v>157097165</v>
      </c>
      <c r="L827" s="124">
        <v>1669.5719999999999</v>
      </c>
      <c r="M827" s="134">
        <v>66744</v>
      </c>
      <c r="N827" s="135">
        <v>137.589</v>
      </c>
      <c r="O827" s="135">
        <v>128.6215</v>
      </c>
      <c r="P827" s="135">
        <v>122.33329999999999</v>
      </c>
      <c r="Q827" s="135">
        <v>119.68</v>
      </c>
      <c r="R827" s="137">
        <v>1.06</v>
      </c>
      <c r="S827" s="120">
        <v>98475</v>
      </c>
      <c r="T827" s="120">
        <v>2087388</v>
      </c>
      <c r="U827" s="120">
        <v>0</v>
      </c>
      <c r="V827" s="114">
        <f t="shared" si="28"/>
        <v>2087388</v>
      </c>
      <c r="W827" s="114">
        <f t="shared" si="29"/>
        <v>2185863</v>
      </c>
    </row>
    <row r="828" spans="1:23">
      <c r="A828" s="122" t="s">
        <v>412</v>
      </c>
      <c r="B828" s="124">
        <v>462.30099999999999</v>
      </c>
      <c r="C828" s="124">
        <v>463.875</v>
      </c>
      <c r="D828" s="124">
        <v>449.86599999999999</v>
      </c>
      <c r="E828" s="124">
        <v>414.29899999999998</v>
      </c>
      <c r="F828" s="124">
        <v>82.695099999999996</v>
      </c>
      <c r="G828" s="124">
        <v>82.384100000000004</v>
      </c>
      <c r="H828" s="124">
        <v>84.752700000000004</v>
      </c>
      <c r="I828" s="124">
        <v>81.478399999999993</v>
      </c>
      <c r="J828" s="134">
        <v>34142505</v>
      </c>
      <c r="K828" s="134">
        <v>38081835</v>
      </c>
      <c r="L828" s="124">
        <v>724.54899999999998</v>
      </c>
      <c r="M828" s="114">
        <v>0</v>
      </c>
      <c r="N828" s="135">
        <v>57.482900000000001</v>
      </c>
      <c r="O828" s="135">
        <v>56.750399999999999</v>
      </c>
      <c r="P828" s="135">
        <v>59.75</v>
      </c>
      <c r="Q828" s="135">
        <v>56.797800000000002</v>
      </c>
      <c r="R828" s="137">
        <v>1.05</v>
      </c>
      <c r="S828" s="120">
        <v>19027</v>
      </c>
      <c r="T828" s="120">
        <v>503466</v>
      </c>
      <c r="U828" s="120">
        <v>0</v>
      </c>
      <c r="V828" s="114">
        <f t="shared" si="28"/>
        <v>503466</v>
      </c>
      <c r="W828" s="114">
        <f t="shared" si="29"/>
        <v>522493</v>
      </c>
    </row>
    <row r="829" spans="1:23">
      <c r="A829" s="122" t="s">
        <v>1350</v>
      </c>
      <c r="B829" s="124">
        <v>767.98500000000001</v>
      </c>
      <c r="C829" s="124">
        <v>753.19200000000001</v>
      </c>
      <c r="D829" s="124">
        <v>730.44600000000003</v>
      </c>
      <c r="E829" s="124">
        <v>684.53700000000003</v>
      </c>
      <c r="F829" s="124">
        <v>97</v>
      </c>
      <c r="G829" s="124">
        <v>96.5</v>
      </c>
      <c r="H829" s="124">
        <v>93</v>
      </c>
      <c r="I829" s="124">
        <v>85.807500000000005</v>
      </c>
      <c r="J829" s="134">
        <v>94286778</v>
      </c>
      <c r="K829" s="134">
        <v>103177858</v>
      </c>
      <c r="L829" s="124">
        <v>1230.3779999999999</v>
      </c>
      <c r="M829" s="134">
        <v>57586</v>
      </c>
      <c r="N829" s="135">
        <v>86.996899999999997</v>
      </c>
      <c r="O829" s="135">
        <v>85.129199999999997</v>
      </c>
      <c r="P829" s="135">
        <v>82.997699999999995</v>
      </c>
      <c r="Q829" s="135">
        <v>74.811000000000007</v>
      </c>
      <c r="R829" s="137">
        <v>1.05</v>
      </c>
      <c r="S829" s="120">
        <v>68541</v>
      </c>
      <c r="T829" s="120">
        <v>1286723</v>
      </c>
      <c r="U829" s="120">
        <v>56231</v>
      </c>
      <c r="V829" s="114">
        <f t="shared" si="28"/>
        <v>1342954</v>
      </c>
      <c r="W829" s="114">
        <f t="shared" si="29"/>
        <v>1411495</v>
      </c>
    </row>
    <row r="830" spans="1:23">
      <c r="A830" s="122" t="s">
        <v>413</v>
      </c>
      <c r="B830" s="124">
        <v>64.988</v>
      </c>
      <c r="C830" s="124">
        <v>71.41</v>
      </c>
      <c r="D830" s="124">
        <v>74.156999999999996</v>
      </c>
      <c r="E830" s="124">
        <v>75.897999999999996</v>
      </c>
      <c r="F830" s="124">
        <v>18.850300000000001</v>
      </c>
      <c r="G830" s="124">
        <v>17.775300000000001</v>
      </c>
      <c r="H830" s="124">
        <v>16.4358</v>
      </c>
      <c r="I830" s="124">
        <v>17.844899999999999</v>
      </c>
      <c r="J830" s="134">
        <v>3295775</v>
      </c>
      <c r="K830" s="134">
        <v>3590815</v>
      </c>
      <c r="L830" s="124">
        <v>137.99299999999999</v>
      </c>
      <c r="M830" s="114">
        <v>0</v>
      </c>
      <c r="N830" s="135">
        <v>12.8019</v>
      </c>
      <c r="O830" s="135">
        <v>11.9354</v>
      </c>
      <c r="P830" s="135">
        <v>11.204599999999999</v>
      </c>
      <c r="Q830" s="135">
        <v>11.9358</v>
      </c>
      <c r="R830" s="137">
        <v>1.07</v>
      </c>
      <c r="S830" s="120">
        <v>2317</v>
      </c>
      <c r="T830" s="120">
        <v>46348</v>
      </c>
      <c r="U830" s="120">
        <v>0</v>
      </c>
      <c r="V830" s="114">
        <f t="shared" si="28"/>
        <v>46348</v>
      </c>
      <c r="W830" s="114">
        <f t="shared" si="29"/>
        <v>48665</v>
      </c>
    </row>
    <row r="831" spans="1:23">
      <c r="A831" s="122" t="s">
        <v>1887</v>
      </c>
      <c r="B831" s="124">
        <v>3421.2919999999999</v>
      </c>
      <c r="C831" s="124">
        <v>3350.1460000000002</v>
      </c>
      <c r="D831" s="124">
        <v>3378.1909999999998</v>
      </c>
      <c r="E831" s="124">
        <v>3299.8560000000002</v>
      </c>
      <c r="F831" s="124">
        <v>588.73509999999999</v>
      </c>
      <c r="G831" s="124">
        <v>594.15970000000004</v>
      </c>
      <c r="H831" s="124">
        <v>602.98760000000004</v>
      </c>
      <c r="I831" s="124">
        <v>583.27739999999994</v>
      </c>
      <c r="J831" s="134">
        <v>852125518</v>
      </c>
      <c r="K831" s="134">
        <v>899640838</v>
      </c>
      <c r="L831" s="124">
        <v>4544.549</v>
      </c>
      <c r="M831" s="134">
        <v>892078</v>
      </c>
      <c r="N831" s="135">
        <v>357.54689999999999</v>
      </c>
      <c r="O831" s="135">
        <v>367.42720000000003</v>
      </c>
      <c r="P831" s="135">
        <v>367.3263</v>
      </c>
      <c r="Q831" s="135">
        <v>356.5009</v>
      </c>
      <c r="R831" s="137">
        <v>1.07</v>
      </c>
      <c r="S831" s="120">
        <v>854919</v>
      </c>
      <c r="T831" s="120">
        <v>12722398</v>
      </c>
      <c r="U831" s="120">
        <v>0</v>
      </c>
      <c r="V831" s="114">
        <f t="shared" si="28"/>
        <v>12722398</v>
      </c>
      <c r="W831" s="114">
        <f t="shared" si="29"/>
        <v>13577317</v>
      </c>
    </row>
    <row r="832" spans="1:23">
      <c r="A832" s="122" t="s">
        <v>1888</v>
      </c>
      <c r="B832" s="124">
        <v>202.35599999999999</v>
      </c>
      <c r="C832" s="124">
        <v>196.14599999999999</v>
      </c>
      <c r="D832" s="124">
        <v>197.15700000000001</v>
      </c>
      <c r="E832" s="124">
        <v>191.696</v>
      </c>
      <c r="F832" s="124">
        <v>45.596699999999998</v>
      </c>
      <c r="G832" s="124">
        <v>46.114899999999999</v>
      </c>
      <c r="H832" s="124">
        <v>43.980699999999999</v>
      </c>
      <c r="I832" s="124">
        <v>42.087600000000002</v>
      </c>
      <c r="J832" s="134">
        <v>37575119</v>
      </c>
      <c r="K832" s="134">
        <v>41814379</v>
      </c>
      <c r="L832" s="124">
        <v>415.58300000000003</v>
      </c>
      <c r="M832" s="114">
        <v>0</v>
      </c>
      <c r="N832" s="135">
        <v>31.300799999999999</v>
      </c>
      <c r="O832" s="135">
        <v>32.4985</v>
      </c>
      <c r="P832" s="135">
        <v>31.6371</v>
      </c>
      <c r="Q832" s="135">
        <v>29.5672</v>
      </c>
      <c r="R832" s="137">
        <v>1.08</v>
      </c>
      <c r="S832" s="120">
        <v>0</v>
      </c>
      <c r="T832" s="120">
        <v>595533</v>
      </c>
      <c r="U832" s="120">
        <v>0</v>
      </c>
      <c r="V832" s="114">
        <f t="shared" si="28"/>
        <v>595533</v>
      </c>
      <c r="W832" s="114">
        <f t="shared" si="29"/>
        <v>595533</v>
      </c>
    </row>
    <row r="833" spans="1:23">
      <c r="A833" s="122" t="s">
        <v>1889</v>
      </c>
      <c r="B833" s="124">
        <v>206.577</v>
      </c>
      <c r="C833" s="124">
        <v>220.077</v>
      </c>
      <c r="D833" s="124">
        <v>213.43100000000001</v>
      </c>
      <c r="E833" s="124">
        <v>220.53700000000001</v>
      </c>
      <c r="F833" s="124">
        <v>43.1997</v>
      </c>
      <c r="G833" s="124">
        <v>41.786499999999997</v>
      </c>
      <c r="H833" s="124">
        <v>42.016399999999997</v>
      </c>
      <c r="I833" s="124">
        <v>38.645200000000003</v>
      </c>
      <c r="J833" s="134">
        <v>24095785</v>
      </c>
      <c r="K833" s="134">
        <v>25362243</v>
      </c>
      <c r="L833" s="124">
        <v>389.82499999999999</v>
      </c>
      <c r="M833" s="114">
        <v>0</v>
      </c>
      <c r="N833" s="135">
        <v>27.500699999999998</v>
      </c>
      <c r="O833" s="135">
        <v>27.0853</v>
      </c>
      <c r="P833" s="135">
        <v>28.000499999999999</v>
      </c>
      <c r="Q833" s="135">
        <v>25.037299999999998</v>
      </c>
      <c r="R833" s="137">
        <v>1.1000000000000001</v>
      </c>
      <c r="S833" s="120">
        <v>0</v>
      </c>
      <c r="T833" s="120">
        <v>348688</v>
      </c>
      <c r="U833" s="120">
        <v>0</v>
      </c>
      <c r="V833" s="114">
        <f t="shared" si="28"/>
        <v>348688</v>
      </c>
      <c r="W833" s="114">
        <f t="shared" si="29"/>
        <v>348688</v>
      </c>
    </row>
    <row r="834" spans="1:23">
      <c r="A834" s="122" t="s">
        <v>2830</v>
      </c>
      <c r="B834" s="124">
        <v>378.72500000000002</v>
      </c>
      <c r="C834" s="124">
        <v>389.08300000000003</v>
      </c>
      <c r="D834" s="124">
        <v>381.89100000000002</v>
      </c>
      <c r="E834" s="124">
        <v>380.48700000000002</v>
      </c>
      <c r="F834" s="124">
        <v>69.545500000000004</v>
      </c>
      <c r="G834" s="124">
        <v>59.957299999999996</v>
      </c>
      <c r="H834" s="124">
        <v>58.973300000000002</v>
      </c>
      <c r="I834" s="124">
        <v>56.973300000000002</v>
      </c>
      <c r="J834" s="134">
        <v>33590458</v>
      </c>
      <c r="K834" s="134">
        <v>37730058</v>
      </c>
      <c r="L834" s="124">
        <v>616.82100000000003</v>
      </c>
      <c r="M834" s="134">
        <v>47385</v>
      </c>
      <c r="N834" s="135">
        <v>52.364699999999999</v>
      </c>
      <c r="O834" s="135">
        <v>44.339300000000001</v>
      </c>
      <c r="P834" s="135">
        <v>44.292200000000001</v>
      </c>
      <c r="Q834" s="135">
        <v>42.792099999999998</v>
      </c>
      <c r="R834" s="137">
        <v>1.04</v>
      </c>
      <c r="S834" s="120">
        <v>50725</v>
      </c>
      <c r="T834" s="120">
        <v>418538</v>
      </c>
      <c r="U834" s="120">
        <v>14264</v>
      </c>
      <c r="V834" s="114">
        <f t="shared" si="28"/>
        <v>432802</v>
      </c>
      <c r="W834" s="114">
        <f t="shared" si="29"/>
        <v>483527</v>
      </c>
    </row>
    <row r="835" spans="1:23">
      <c r="A835" s="122" t="s">
        <v>2831</v>
      </c>
      <c r="B835" s="124">
        <v>446.80900000000003</v>
      </c>
      <c r="C835" s="124">
        <v>458.14299999999997</v>
      </c>
      <c r="D835" s="124">
        <v>444.30700000000002</v>
      </c>
      <c r="E835" s="124">
        <v>451.69799999999998</v>
      </c>
      <c r="F835" s="124">
        <v>76.534700000000001</v>
      </c>
      <c r="G835" s="124">
        <v>92.504499999999993</v>
      </c>
      <c r="H835" s="124">
        <v>95.3506</v>
      </c>
      <c r="I835" s="124">
        <v>96.235399999999998</v>
      </c>
      <c r="J835" s="134">
        <v>36456869</v>
      </c>
      <c r="K835" s="134">
        <v>42333229</v>
      </c>
      <c r="L835" s="124">
        <v>752.27599999999995</v>
      </c>
      <c r="M835" s="114">
        <v>0</v>
      </c>
      <c r="N835" s="135">
        <v>55.071300000000001</v>
      </c>
      <c r="O835" s="135">
        <v>63.867400000000004</v>
      </c>
      <c r="P835" s="135">
        <v>65.6447</v>
      </c>
      <c r="Q835" s="135">
        <v>65.399900000000002</v>
      </c>
      <c r="R835" s="137">
        <v>1.04</v>
      </c>
      <c r="S835" s="120">
        <v>37226</v>
      </c>
      <c r="T835" s="120">
        <v>522858</v>
      </c>
      <c r="U835" s="120">
        <v>0</v>
      </c>
      <c r="V835" s="114">
        <f t="shared" si="28"/>
        <v>522858</v>
      </c>
      <c r="W835" s="114">
        <f t="shared" si="29"/>
        <v>560084</v>
      </c>
    </row>
    <row r="836" spans="1:23">
      <c r="A836" s="122" t="s">
        <v>1890</v>
      </c>
      <c r="B836" s="124">
        <v>1191.883</v>
      </c>
      <c r="C836" s="124">
        <v>1133.0229999999999</v>
      </c>
      <c r="D836" s="124">
        <v>1099.077</v>
      </c>
      <c r="E836" s="124">
        <v>1111.9079999999999</v>
      </c>
      <c r="F836" s="124">
        <v>179.76310000000001</v>
      </c>
      <c r="G836" s="124">
        <v>172.3603</v>
      </c>
      <c r="H836" s="124">
        <v>171.91239999999999</v>
      </c>
      <c r="I836" s="124">
        <v>170.67740000000001</v>
      </c>
      <c r="J836" s="134">
        <v>1142700948</v>
      </c>
      <c r="K836" s="134">
        <v>1155543428</v>
      </c>
      <c r="L836" s="124">
        <v>1567.0139999999999</v>
      </c>
      <c r="M836" s="114">
        <v>0</v>
      </c>
      <c r="N836" s="135">
        <v>113.19119999999999</v>
      </c>
      <c r="O836" s="135">
        <v>108.824</v>
      </c>
      <c r="P836" s="135">
        <v>107.2248</v>
      </c>
      <c r="Q836" s="135">
        <v>104.03</v>
      </c>
      <c r="R836" s="137">
        <v>1.04</v>
      </c>
      <c r="S836" s="120">
        <v>0</v>
      </c>
      <c r="T836" s="120">
        <v>16344149</v>
      </c>
      <c r="U836" s="120">
        <v>0</v>
      </c>
      <c r="V836" s="114">
        <f t="shared" si="28"/>
        <v>16344149</v>
      </c>
      <c r="W836" s="114">
        <f t="shared" si="29"/>
        <v>16344149</v>
      </c>
    </row>
    <row r="837" spans="1:23">
      <c r="A837" s="122" t="s">
        <v>218</v>
      </c>
      <c r="B837" s="124">
        <v>453.34300000000002</v>
      </c>
      <c r="C837" s="124">
        <v>459.61500000000001</v>
      </c>
      <c r="D837" s="124">
        <v>449.214</v>
      </c>
      <c r="E837" s="124">
        <v>474.41</v>
      </c>
      <c r="F837" s="124">
        <v>76.502600000000001</v>
      </c>
      <c r="G837" s="124">
        <v>70.7727</v>
      </c>
      <c r="H837" s="124">
        <v>76.085599999999999</v>
      </c>
      <c r="I837" s="124">
        <v>71.812899999999999</v>
      </c>
      <c r="J837" s="134">
        <v>43112905</v>
      </c>
      <c r="K837" s="134">
        <v>47442995</v>
      </c>
      <c r="L837" s="124">
        <v>783.71</v>
      </c>
      <c r="M837" s="114">
        <v>0</v>
      </c>
      <c r="N837" s="135">
        <v>50.399500000000003</v>
      </c>
      <c r="O837" s="135">
        <v>46.584000000000003</v>
      </c>
      <c r="P837" s="135">
        <v>49.340899999999998</v>
      </c>
      <c r="Q837" s="135">
        <v>48.3857</v>
      </c>
      <c r="R837" s="137">
        <v>1.03</v>
      </c>
      <c r="S837" s="120">
        <v>30600</v>
      </c>
      <c r="T837" s="120">
        <v>656396</v>
      </c>
      <c r="U837" s="120">
        <v>0</v>
      </c>
      <c r="V837" s="114">
        <f t="shared" si="28"/>
        <v>656396</v>
      </c>
      <c r="W837" s="114">
        <f t="shared" si="29"/>
        <v>686996</v>
      </c>
    </row>
    <row r="838" spans="1:23">
      <c r="A838" s="122" t="s">
        <v>1891</v>
      </c>
      <c r="B838" s="124">
        <v>849.65599999999995</v>
      </c>
      <c r="C838" s="124">
        <v>802.654</v>
      </c>
      <c r="D838" s="124">
        <v>778.41399999999999</v>
      </c>
      <c r="E838" s="124">
        <v>741.65800000000002</v>
      </c>
      <c r="F838" s="124">
        <v>148.7621</v>
      </c>
      <c r="G838" s="124">
        <v>141.70060000000001</v>
      </c>
      <c r="H838" s="124">
        <v>134.03469999999999</v>
      </c>
      <c r="I838" s="124">
        <v>128.42259999999999</v>
      </c>
      <c r="J838" s="134">
        <v>213156516</v>
      </c>
      <c r="K838" s="134">
        <v>225136679</v>
      </c>
      <c r="L838" s="124">
        <v>1173.4179999999999</v>
      </c>
      <c r="M838" s="114">
        <v>0</v>
      </c>
      <c r="N838" s="135">
        <v>95.768900000000002</v>
      </c>
      <c r="O838" s="135">
        <v>91.083799999999997</v>
      </c>
      <c r="P838" s="135">
        <v>88.872900000000001</v>
      </c>
      <c r="Q838" s="135">
        <v>83.163499999999999</v>
      </c>
      <c r="R838" s="137">
        <v>1.05</v>
      </c>
      <c r="S838" s="120">
        <v>0</v>
      </c>
      <c r="T838" s="120">
        <v>2921059</v>
      </c>
      <c r="U838" s="120">
        <v>0</v>
      </c>
      <c r="V838" s="114">
        <f t="shared" ref="V838:V895" si="30">T838+U838</f>
        <v>2921059</v>
      </c>
      <c r="W838" s="114">
        <f t="shared" ref="W838:W895" si="31">V838+S838</f>
        <v>2921059</v>
      </c>
    </row>
    <row r="839" spans="1:23">
      <c r="A839" s="122" t="s">
        <v>1575</v>
      </c>
      <c r="B839" s="124">
        <v>911.97299999999996</v>
      </c>
      <c r="C839" s="124">
        <v>909.88900000000001</v>
      </c>
      <c r="D839" s="124">
        <v>886.779</v>
      </c>
      <c r="E839" s="124">
        <v>878.12800000000004</v>
      </c>
      <c r="F839" s="124">
        <v>162.28880000000001</v>
      </c>
      <c r="G839" s="124">
        <v>164.1978</v>
      </c>
      <c r="H839" s="124">
        <v>161.97319999999999</v>
      </c>
      <c r="I839" s="124">
        <v>151.28880000000001</v>
      </c>
      <c r="J839" s="134">
        <v>209472364</v>
      </c>
      <c r="K839" s="134">
        <v>231747571</v>
      </c>
      <c r="L839" s="124">
        <v>1523.329</v>
      </c>
      <c r="M839" s="114">
        <v>0</v>
      </c>
      <c r="N839" s="135">
        <v>102.14830000000001</v>
      </c>
      <c r="O839" s="135">
        <v>104.3408</v>
      </c>
      <c r="P839" s="135">
        <v>104.2252</v>
      </c>
      <c r="Q839" s="135">
        <v>94.972899999999996</v>
      </c>
      <c r="R839" s="137">
        <v>1.04</v>
      </c>
      <c r="S839" s="120">
        <v>0</v>
      </c>
      <c r="T839" s="120">
        <v>2922556</v>
      </c>
      <c r="U839" s="120">
        <v>0</v>
      </c>
      <c r="V839" s="114">
        <f t="shared" si="30"/>
        <v>2922556</v>
      </c>
      <c r="W839" s="114">
        <f t="shared" si="31"/>
        <v>2922556</v>
      </c>
    </row>
    <row r="840" spans="1:23">
      <c r="A840" s="122" t="s">
        <v>1576</v>
      </c>
      <c r="B840" s="124">
        <v>566.13199999999995</v>
      </c>
      <c r="C840" s="124">
        <v>573.80100000000004</v>
      </c>
      <c r="D840" s="124">
        <v>567.13599999999997</v>
      </c>
      <c r="E840" s="124">
        <v>583.30200000000002</v>
      </c>
      <c r="F840" s="124">
        <v>98.903800000000004</v>
      </c>
      <c r="G840" s="124">
        <v>104.7919</v>
      </c>
      <c r="H840" s="124">
        <v>100.952</v>
      </c>
      <c r="I840" s="124">
        <v>101.8626</v>
      </c>
      <c r="J840" s="134">
        <v>69576194</v>
      </c>
      <c r="K840" s="134">
        <v>76401602</v>
      </c>
      <c r="L840" s="124">
        <v>994.66399999999999</v>
      </c>
      <c r="M840" s="114">
        <v>0</v>
      </c>
      <c r="N840" s="135">
        <v>64.119699999999995</v>
      </c>
      <c r="O840" s="135">
        <v>64.147900000000007</v>
      </c>
      <c r="P840" s="135">
        <v>66.004000000000005</v>
      </c>
      <c r="Q840" s="135">
        <v>68.005300000000005</v>
      </c>
      <c r="R840" s="137">
        <v>1.05</v>
      </c>
      <c r="S840" s="120">
        <v>0</v>
      </c>
      <c r="T840" s="120">
        <v>990261</v>
      </c>
      <c r="U840" s="120">
        <v>0</v>
      </c>
      <c r="V840" s="114">
        <f t="shared" si="30"/>
        <v>990261</v>
      </c>
      <c r="W840" s="114">
        <f t="shared" si="31"/>
        <v>990261</v>
      </c>
    </row>
    <row r="841" spans="1:23">
      <c r="A841" s="122" t="s">
        <v>1577</v>
      </c>
      <c r="B841" s="124">
        <v>975.55499999999995</v>
      </c>
      <c r="C841" s="124">
        <v>948.12400000000002</v>
      </c>
      <c r="D841" s="124">
        <v>919.49099999999999</v>
      </c>
      <c r="E841" s="124">
        <v>897.32</v>
      </c>
      <c r="F841" s="124">
        <v>204.5455</v>
      </c>
      <c r="G841" s="124">
        <v>205.20079999999999</v>
      </c>
      <c r="H841" s="124">
        <v>204.51150000000001</v>
      </c>
      <c r="I841" s="124">
        <v>188.62110000000001</v>
      </c>
      <c r="J841" s="134">
        <v>114323758</v>
      </c>
      <c r="K841" s="134">
        <v>126261948</v>
      </c>
      <c r="L841" s="124">
        <v>1525.829</v>
      </c>
      <c r="M841" s="114">
        <v>0</v>
      </c>
      <c r="N841" s="135">
        <v>122.9991</v>
      </c>
      <c r="O841" s="135">
        <v>124.5086</v>
      </c>
      <c r="P841" s="135">
        <v>129.19329999999999</v>
      </c>
      <c r="Q841" s="135">
        <v>109.5087</v>
      </c>
      <c r="R841" s="137">
        <v>1.06</v>
      </c>
      <c r="S841" s="120">
        <v>0</v>
      </c>
      <c r="T841" s="120">
        <v>1619112</v>
      </c>
      <c r="U841" s="120">
        <v>0</v>
      </c>
      <c r="V841" s="114">
        <f t="shared" si="30"/>
        <v>1619112</v>
      </c>
      <c r="W841" s="114">
        <f t="shared" si="31"/>
        <v>1619112</v>
      </c>
    </row>
    <row r="842" spans="1:23">
      <c r="A842" s="122" t="s">
        <v>1832</v>
      </c>
      <c r="B842" s="124">
        <v>407.44799999999998</v>
      </c>
      <c r="C842" s="124">
        <v>395.40899999999999</v>
      </c>
      <c r="D842" s="124">
        <v>416.774</v>
      </c>
      <c r="E842" s="124">
        <v>428.00400000000002</v>
      </c>
      <c r="F842" s="124">
        <v>70.241699999999994</v>
      </c>
      <c r="G842" s="124">
        <v>69.657200000000003</v>
      </c>
      <c r="H842" s="124">
        <v>64.827799999999996</v>
      </c>
      <c r="I842" s="124">
        <v>67.159899999999993</v>
      </c>
      <c r="J842" s="134">
        <v>56135462</v>
      </c>
      <c r="K842" s="134">
        <v>62891382</v>
      </c>
      <c r="L842" s="124">
        <v>768.93100000000004</v>
      </c>
      <c r="M842" s="114">
        <v>0</v>
      </c>
      <c r="N842" s="135">
        <v>48.412399999999998</v>
      </c>
      <c r="O842" s="135">
        <v>45.4298</v>
      </c>
      <c r="P842" s="135">
        <v>44.001899999999999</v>
      </c>
      <c r="Q842" s="135">
        <v>44.945999999999998</v>
      </c>
      <c r="R842" s="137">
        <v>1.06</v>
      </c>
      <c r="S842" s="120">
        <v>0</v>
      </c>
      <c r="T842" s="120">
        <v>833531</v>
      </c>
      <c r="U842" s="120">
        <v>0</v>
      </c>
      <c r="V842" s="114">
        <f t="shared" si="30"/>
        <v>833531</v>
      </c>
      <c r="W842" s="114">
        <f t="shared" si="31"/>
        <v>833531</v>
      </c>
    </row>
    <row r="843" spans="1:23">
      <c r="A843" s="122" t="s">
        <v>1833</v>
      </c>
      <c r="B843" s="124">
        <v>1677.703</v>
      </c>
      <c r="C843" s="124">
        <v>1682.7180000000001</v>
      </c>
      <c r="D843" s="124">
        <v>1642.5619999999999</v>
      </c>
      <c r="E843" s="124">
        <v>1655.896</v>
      </c>
      <c r="F843" s="124">
        <v>263.05630000000002</v>
      </c>
      <c r="G843" s="124">
        <v>273.83170000000001</v>
      </c>
      <c r="H843" s="124">
        <v>275.404</v>
      </c>
      <c r="I843" s="124">
        <v>272.5324</v>
      </c>
      <c r="J843" s="134">
        <v>470279928</v>
      </c>
      <c r="K843" s="134">
        <v>503569234</v>
      </c>
      <c r="L843" s="124">
        <v>2358.451</v>
      </c>
      <c r="M843" s="134">
        <v>410637</v>
      </c>
      <c r="N843" s="135">
        <v>161.26929999999999</v>
      </c>
      <c r="O843" s="135">
        <v>167.75739999999999</v>
      </c>
      <c r="P843" s="135">
        <v>170.49680000000001</v>
      </c>
      <c r="Q843" s="135">
        <v>167.5686</v>
      </c>
      <c r="R843" s="137">
        <v>1.1000000000000001</v>
      </c>
      <c r="S843" s="120">
        <v>472464</v>
      </c>
      <c r="T843" s="120">
        <v>6770647</v>
      </c>
      <c r="U843" s="120">
        <v>0</v>
      </c>
      <c r="V843" s="114">
        <f t="shared" si="30"/>
        <v>6770647</v>
      </c>
      <c r="W843" s="114">
        <f t="shared" si="31"/>
        <v>7243111</v>
      </c>
    </row>
    <row r="844" spans="1:23">
      <c r="A844" s="122" t="s">
        <v>2790</v>
      </c>
      <c r="B844" s="124">
        <v>1675.173</v>
      </c>
      <c r="C844" s="124">
        <v>1666.4839999999999</v>
      </c>
      <c r="D844" s="124">
        <v>1668.7739999999999</v>
      </c>
      <c r="E844" s="124">
        <v>1684.559</v>
      </c>
      <c r="F844" s="124">
        <v>252.73269999999999</v>
      </c>
      <c r="G844" s="124">
        <v>256.1875</v>
      </c>
      <c r="H844" s="124">
        <v>260.32909999999998</v>
      </c>
      <c r="I844" s="124">
        <v>272.56760000000003</v>
      </c>
      <c r="J844" s="134">
        <v>135095091</v>
      </c>
      <c r="K844" s="134">
        <v>153225296</v>
      </c>
      <c r="L844" s="124">
        <v>2449.8209999999999</v>
      </c>
      <c r="M844" s="134">
        <v>110035</v>
      </c>
      <c r="N844" s="135">
        <v>168.75059999999999</v>
      </c>
      <c r="O844" s="135">
        <v>166.00620000000001</v>
      </c>
      <c r="P844" s="135">
        <v>170.9693</v>
      </c>
      <c r="Q844" s="135">
        <v>180.07310000000001</v>
      </c>
      <c r="R844" s="137">
        <v>1.0900000000000001</v>
      </c>
      <c r="S844" s="120">
        <v>98085</v>
      </c>
      <c r="T844" s="120">
        <v>1918773</v>
      </c>
      <c r="U844" s="120">
        <v>0</v>
      </c>
      <c r="V844" s="114">
        <f t="shared" si="30"/>
        <v>1918773</v>
      </c>
      <c r="W844" s="114">
        <f t="shared" si="31"/>
        <v>2016858</v>
      </c>
    </row>
    <row r="845" spans="1:23">
      <c r="A845" s="122" t="s">
        <v>1382</v>
      </c>
      <c r="B845" s="124">
        <v>2009.3130000000001</v>
      </c>
      <c r="C845" s="124">
        <v>1970.223</v>
      </c>
      <c r="D845" s="124">
        <v>1935.9749999999999</v>
      </c>
      <c r="E845" s="124">
        <v>1910.54</v>
      </c>
      <c r="F845" s="124">
        <v>334.38510000000002</v>
      </c>
      <c r="G845" s="124">
        <v>338.04500000000002</v>
      </c>
      <c r="H845" s="124">
        <v>339.60980000000001</v>
      </c>
      <c r="I845" s="124">
        <v>348.47719999999998</v>
      </c>
      <c r="J845" s="134">
        <v>265189719</v>
      </c>
      <c r="K845" s="134">
        <v>284772770</v>
      </c>
      <c r="L845" s="124">
        <v>2828.6039999999998</v>
      </c>
      <c r="M845" s="114">
        <v>661</v>
      </c>
      <c r="N845" s="135">
        <v>215.90649999999999</v>
      </c>
      <c r="O845" s="135">
        <v>208.64850000000001</v>
      </c>
      <c r="P845" s="135">
        <v>218.28120000000001</v>
      </c>
      <c r="Q845" s="135">
        <v>219.9254</v>
      </c>
      <c r="R845" s="137">
        <v>1.1000000000000001</v>
      </c>
      <c r="S845" s="120">
        <v>233645</v>
      </c>
      <c r="T845" s="120">
        <v>4213401</v>
      </c>
      <c r="U845" s="120">
        <v>0</v>
      </c>
      <c r="V845" s="114">
        <f t="shared" si="30"/>
        <v>4213401</v>
      </c>
      <c r="W845" s="114">
        <f t="shared" si="31"/>
        <v>4447046</v>
      </c>
    </row>
    <row r="846" spans="1:23">
      <c r="A846" s="122" t="s">
        <v>2791</v>
      </c>
      <c r="B846" s="124">
        <v>4260.7039999999997</v>
      </c>
      <c r="C846" s="124">
        <v>4186.933</v>
      </c>
      <c r="D846" s="124">
        <v>4141.3680000000004</v>
      </c>
      <c r="E846" s="124">
        <v>4031.3110000000001</v>
      </c>
      <c r="F846" s="124">
        <v>528.24839999999995</v>
      </c>
      <c r="G846" s="124">
        <v>531.9085</v>
      </c>
      <c r="H846" s="124">
        <v>487.63249999999999</v>
      </c>
      <c r="I846" s="124">
        <v>496.2876</v>
      </c>
      <c r="J846" s="134">
        <v>674538256</v>
      </c>
      <c r="K846" s="134">
        <v>759643858</v>
      </c>
      <c r="L846" s="124">
        <v>5152.6869999999999</v>
      </c>
      <c r="M846" s="134">
        <v>1679653</v>
      </c>
      <c r="N846" s="135">
        <v>332.86900000000003</v>
      </c>
      <c r="O846" s="135">
        <v>332.62819999999999</v>
      </c>
      <c r="P846" s="135">
        <v>305.17509999999999</v>
      </c>
      <c r="Q846" s="135">
        <v>300.19560000000001</v>
      </c>
      <c r="R846" s="137">
        <v>1.0900000000000001</v>
      </c>
      <c r="S846" s="120">
        <v>1887278</v>
      </c>
      <c r="T846" s="120">
        <v>10288824</v>
      </c>
      <c r="U846" s="120">
        <v>0</v>
      </c>
      <c r="V846" s="114">
        <f t="shared" si="30"/>
        <v>10288824</v>
      </c>
      <c r="W846" s="114">
        <f t="shared" si="31"/>
        <v>12176102</v>
      </c>
    </row>
    <row r="847" spans="1:23">
      <c r="A847" s="122" t="s">
        <v>1639</v>
      </c>
      <c r="B847" s="124">
        <v>1941.7750000000001</v>
      </c>
      <c r="C847" s="124">
        <v>1929.7819999999999</v>
      </c>
      <c r="D847" s="124">
        <v>1995.18</v>
      </c>
      <c r="E847" s="124">
        <v>2069.431</v>
      </c>
      <c r="F847" s="124">
        <v>261.99619999999999</v>
      </c>
      <c r="G847" s="124">
        <v>284.03910000000002</v>
      </c>
      <c r="H847" s="124">
        <v>323.69139999999999</v>
      </c>
      <c r="I847" s="124">
        <v>289.17590000000001</v>
      </c>
      <c r="J847" s="134">
        <v>991401873</v>
      </c>
      <c r="K847" s="134">
        <v>1010021682</v>
      </c>
      <c r="L847" s="124">
        <v>2590.4569999999999</v>
      </c>
      <c r="M847" s="134">
        <v>548352</v>
      </c>
      <c r="N847" s="135">
        <v>163.01740000000001</v>
      </c>
      <c r="O847" s="135">
        <v>180.85040000000001</v>
      </c>
      <c r="P847" s="135">
        <v>198.76339999999999</v>
      </c>
      <c r="Q847" s="135">
        <v>187.77770000000001</v>
      </c>
      <c r="R847" s="137">
        <v>1.08</v>
      </c>
      <c r="S847" s="120">
        <v>445681</v>
      </c>
      <c r="T847" s="120">
        <v>13877995</v>
      </c>
      <c r="U847" s="120">
        <v>0</v>
      </c>
      <c r="V847" s="114">
        <f t="shared" si="30"/>
        <v>13877995</v>
      </c>
      <c r="W847" s="114">
        <f t="shared" si="31"/>
        <v>14323676</v>
      </c>
    </row>
    <row r="848" spans="1:23">
      <c r="A848" s="122" t="s">
        <v>2892</v>
      </c>
      <c r="B848" s="124">
        <v>2022.8240000000001</v>
      </c>
      <c r="C848" s="124">
        <v>1961.943</v>
      </c>
      <c r="D848" s="124">
        <v>1915.1890000000001</v>
      </c>
      <c r="E848" s="124">
        <v>1862.1379999999999</v>
      </c>
      <c r="F848" s="124">
        <v>346.3415</v>
      </c>
      <c r="G848" s="124">
        <v>347.42309999999998</v>
      </c>
      <c r="H848" s="124">
        <v>356.49799999999999</v>
      </c>
      <c r="I848" s="124">
        <v>324.96879999999999</v>
      </c>
      <c r="J848" s="134">
        <v>152730151</v>
      </c>
      <c r="K848" s="134">
        <v>172214973</v>
      </c>
      <c r="L848" s="124">
        <v>2750.1469999999999</v>
      </c>
      <c r="M848" s="134">
        <v>1616</v>
      </c>
      <c r="N848" s="135">
        <v>221.63409999999999</v>
      </c>
      <c r="O848" s="135">
        <v>211.905</v>
      </c>
      <c r="P848" s="135">
        <v>215.85509999999999</v>
      </c>
      <c r="Q848" s="135">
        <v>196.81290000000001</v>
      </c>
      <c r="R848" s="137">
        <v>1.1200000000000001</v>
      </c>
      <c r="S848" s="120">
        <v>136591</v>
      </c>
      <c r="T848" s="120">
        <v>2360074</v>
      </c>
      <c r="U848" s="120">
        <v>0</v>
      </c>
      <c r="V848" s="114">
        <f t="shared" si="30"/>
        <v>2360074</v>
      </c>
      <c r="W848" s="114">
        <f t="shared" si="31"/>
        <v>2496665</v>
      </c>
    </row>
    <row r="849" spans="1:23">
      <c r="A849" s="122" t="s">
        <v>1591</v>
      </c>
      <c r="B849" s="124">
        <v>1133.0889999999999</v>
      </c>
      <c r="C849" s="124">
        <v>1116.33</v>
      </c>
      <c r="D849" s="124">
        <v>1121.451</v>
      </c>
      <c r="E849" s="124">
        <v>1125.6669999999999</v>
      </c>
      <c r="F849" s="124">
        <v>185.66329999999999</v>
      </c>
      <c r="G849" s="124">
        <v>182.22749999999999</v>
      </c>
      <c r="H849" s="124">
        <v>193.1712</v>
      </c>
      <c r="I849" s="124">
        <v>203.71430000000001</v>
      </c>
      <c r="J849" s="134">
        <v>122853521</v>
      </c>
      <c r="K849" s="134">
        <v>132292291</v>
      </c>
      <c r="L849" s="124">
        <v>1658.691</v>
      </c>
      <c r="M849" s="134">
        <v>20155</v>
      </c>
      <c r="N849" s="135">
        <v>108.2285</v>
      </c>
      <c r="O849" s="135">
        <v>99.654300000000006</v>
      </c>
      <c r="P849" s="135">
        <v>97.384699999999995</v>
      </c>
      <c r="Q849" s="135">
        <v>99.722099999999998</v>
      </c>
      <c r="R849" s="137">
        <v>1.0900000000000001</v>
      </c>
      <c r="S849" s="120">
        <v>136022</v>
      </c>
      <c r="T849" s="120">
        <v>1824142</v>
      </c>
      <c r="U849" s="120">
        <v>0</v>
      </c>
      <c r="V849" s="114">
        <f t="shared" si="30"/>
        <v>1824142</v>
      </c>
      <c r="W849" s="114">
        <f t="shared" si="31"/>
        <v>1960164</v>
      </c>
    </row>
    <row r="850" spans="1:23">
      <c r="A850" s="122" t="s">
        <v>1493</v>
      </c>
      <c r="B850" s="124">
        <v>2043.1769999999999</v>
      </c>
      <c r="C850" s="124">
        <v>2006.82</v>
      </c>
      <c r="D850" s="124">
        <v>1947.2639999999999</v>
      </c>
      <c r="E850" s="124">
        <v>1975.4659999999999</v>
      </c>
      <c r="F850" s="124">
        <v>326.50850000000003</v>
      </c>
      <c r="G850" s="124">
        <v>337.5521</v>
      </c>
      <c r="H850" s="124">
        <v>327.67840000000001</v>
      </c>
      <c r="I850" s="124">
        <v>320.80360000000002</v>
      </c>
      <c r="J850" s="134">
        <v>213085662</v>
      </c>
      <c r="K850" s="134">
        <v>230323436</v>
      </c>
      <c r="L850" s="124">
        <v>2854.1840000000002</v>
      </c>
      <c r="M850" s="114">
        <v>0</v>
      </c>
      <c r="N850" s="135">
        <v>197.1728</v>
      </c>
      <c r="O850" s="135">
        <v>205.24119999999999</v>
      </c>
      <c r="P850" s="135">
        <v>202.20339999999999</v>
      </c>
      <c r="Q850" s="135">
        <v>197.48500000000001</v>
      </c>
      <c r="R850" s="137">
        <v>1.1000000000000001</v>
      </c>
      <c r="S850" s="120">
        <v>158966</v>
      </c>
      <c r="T850" s="120">
        <v>3162192</v>
      </c>
      <c r="U850" s="120">
        <v>0</v>
      </c>
      <c r="V850" s="114">
        <f t="shared" si="30"/>
        <v>3162192</v>
      </c>
      <c r="W850" s="114">
        <f t="shared" si="31"/>
        <v>3321158</v>
      </c>
    </row>
    <row r="851" spans="1:23">
      <c r="A851" s="122" t="s">
        <v>219</v>
      </c>
      <c r="B851" s="124">
        <v>1373.8</v>
      </c>
      <c r="C851" s="124">
        <v>1372.723</v>
      </c>
      <c r="D851" s="124">
        <v>1347.079</v>
      </c>
      <c r="E851" s="124">
        <v>1309.7650000000001</v>
      </c>
      <c r="F851" s="124">
        <v>239.44210000000001</v>
      </c>
      <c r="G851" s="124">
        <v>237.07470000000001</v>
      </c>
      <c r="H851" s="124">
        <v>239.41839999999999</v>
      </c>
      <c r="I851" s="124">
        <v>239.19229999999999</v>
      </c>
      <c r="J851" s="134">
        <v>140974746</v>
      </c>
      <c r="K851" s="134">
        <v>151295372</v>
      </c>
      <c r="L851" s="124">
        <v>2063.3139999999999</v>
      </c>
      <c r="M851" s="134">
        <v>3460</v>
      </c>
      <c r="N851" s="135">
        <v>156.3417</v>
      </c>
      <c r="O851" s="135">
        <v>148.87010000000001</v>
      </c>
      <c r="P851" s="135">
        <v>146.0052</v>
      </c>
      <c r="Q851" s="135">
        <v>153.10740000000001</v>
      </c>
      <c r="R851" s="137">
        <v>1.1000000000000001</v>
      </c>
      <c r="S851" s="120">
        <v>92857</v>
      </c>
      <c r="T851" s="120">
        <v>1995561</v>
      </c>
      <c r="U851" s="120">
        <v>0</v>
      </c>
      <c r="V851" s="114">
        <f t="shared" si="30"/>
        <v>1995561</v>
      </c>
      <c r="W851" s="114">
        <f t="shared" si="31"/>
        <v>2088418</v>
      </c>
    </row>
    <row r="852" spans="1:23">
      <c r="A852" s="122" t="s">
        <v>531</v>
      </c>
      <c r="B852" s="124">
        <v>757.57399999999996</v>
      </c>
      <c r="C852" s="124">
        <v>768.48099999999999</v>
      </c>
      <c r="D852" s="124">
        <v>770.64</v>
      </c>
      <c r="E852" s="124">
        <v>749.29300000000001</v>
      </c>
      <c r="F852" s="124">
        <v>135.17519999999999</v>
      </c>
      <c r="G852" s="124">
        <v>137.19649999999999</v>
      </c>
      <c r="H852" s="124">
        <v>132.72329999999999</v>
      </c>
      <c r="I852" s="124">
        <v>130.22329999999999</v>
      </c>
      <c r="J852" s="134">
        <v>106117154</v>
      </c>
      <c r="K852" s="134">
        <v>115845974</v>
      </c>
      <c r="L852" s="124">
        <v>1345.76</v>
      </c>
      <c r="M852" s="114">
        <v>0</v>
      </c>
      <c r="N852" s="135">
        <v>94.104699999999994</v>
      </c>
      <c r="O852" s="135">
        <v>92.200100000000006</v>
      </c>
      <c r="P852" s="135">
        <v>88.927400000000006</v>
      </c>
      <c r="Q852" s="135">
        <v>86.87</v>
      </c>
      <c r="R852" s="137">
        <v>1.02</v>
      </c>
      <c r="S852" s="120">
        <v>96702</v>
      </c>
      <c r="T852" s="120">
        <v>1482178</v>
      </c>
      <c r="U852" s="120">
        <v>0</v>
      </c>
      <c r="V852" s="114">
        <f t="shared" si="30"/>
        <v>1482178</v>
      </c>
      <c r="W852" s="114">
        <f t="shared" si="31"/>
        <v>1578880</v>
      </c>
    </row>
    <row r="853" spans="1:23">
      <c r="A853" s="122" t="s">
        <v>1640</v>
      </c>
      <c r="B853" s="124">
        <v>159.42699999999999</v>
      </c>
      <c r="C853" s="124">
        <v>156.298</v>
      </c>
      <c r="D853" s="124">
        <v>151.578</v>
      </c>
      <c r="E853" s="124">
        <v>138.34200000000001</v>
      </c>
      <c r="F853" s="124">
        <v>34</v>
      </c>
      <c r="G853" s="124">
        <v>31.871600000000001</v>
      </c>
      <c r="H853" s="124">
        <v>29.550799999999999</v>
      </c>
      <c r="I853" s="124">
        <v>31.417100000000001</v>
      </c>
      <c r="J853" s="134">
        <v>30930539</v>
      </c>
      <c r="K853" s="134">
        <v>33170429</v>
      </c>
      <c r="L853" s="124">
        <v>329.64600000000002</v>
      </c>
      <c r="M853" s="114">
        <v>0</v>
      </c>
      <c r="N853" s="135">
        <v>22.230799999999999</v>
      </c>
      <c r="O853" s="135">
        <v>20.309000000000001</v>
      </c>
      <c r="P853" s="135">
        <v>20.450800000000001</v>
      </c>
      <c r="Q853" s="135">
        <v>20.767600000000002</v>
      </c>
      <c r="R853" s="137">
        <v>1.04</v>
      </c>
      <c r="S853" s="120">
        <v>0</v>
      </c>
      <c r="T853" s="120">
        <v>506451</v>
      </c>
      <c r="U853" s="120">
        <v>0</v>
      </c>
      <c r="V853" s="114">
        <f t="shared" si="30"/>
        <v>506451</v>
      </c>
      <c r="W853" s="114">
        <f t="shared" si="31"/>
        <v>506451</v>
      </c>
    </row>
    <row r="854" spans="1:23">
      <c r="A854" s="122" t="s">
        <v>1641</v>
      </c>
      <c r="B854" s="124">
        <v>151.49600000000001</v>
      </c>
      <c r="C854" s="124">
        <v>139.21700000000001</v>
      </c>
      <c r="D854" s="124">
        <v>135.01300000000001</v>
      </c>
      <c r="E854" s="124">
        <v>141.61500000000001</v>
      </c>
      <c r="F854" s="124">
        <v>33.385100000000001</v>
      </c>
      <c r="G854" s="124">
        <v>36.369100000000003</v>
      </c>
      <c r="H854" s="124">
        <v>36.369100000000003</v>
      </c>
      <c r="I854" s="124">
        <v>35.369100000000003</v>
      </c>
      <c r="J854" s="134">
        <v>26602904</v>
      </c>
      <c r="K854" s="134">
        <v>27884634</v>
      </c>
      <c r="L854" s="124">
        <v>307.12900000000002</v>
      </c>
      <c r="M854" s="114">
        <v>0</v>
      </c>
      <c r="N854" s="135">
        <v>25.0015</v>
      </c>
      <c r="O854" s="135">
        <v>25.247900000000001</v>
      </c>
      <c r="P854" s="135">
        <v>26</v>
      </c>
      <c r="Q854" s="135">
        <v>25.122699999999998</v>
      </c>
      <c r="R854" s="137">
        <v>1.04</v>
      </c>
      <c r="S854" s="120">
        <v>0</v>
      </c>
      <c r="T854" s="120">
        <v>380273</v>
      </c>
      <c r="U854" s="120">
        <v>0</v>
      </c>
      <c r="V854" s="114">
        <f t="shared" si="30"/>
        <v>380273</v>
      </c>
      <c r="W854" s="114">
        <f t="shared" si="31"/>
        <v>380273</v>
      </c>
    </row>
    <row r="855" spans="1:23">
      <c r="A855" s="122" t="s">
        <v>1557</v>
      </c>
      <c r="B855" s="124">
        <v>639.91099999999994</v>
      </c>
      <c r="C855" s="124">
        <v>620.71100000000001</v>
      </c>
      <c r="D855" s="124">
        <v>601.96600000000001</v>
      </c>
      <c r="E855" s="124">
        <v>580.98699999999997</v>
      </c>
      <c r="F855" s="124">
        <v>128.23419999999999</v>
      </c>
      <c r="G855" s="124">
        <v>123.1942</v>
      </c>
      <c r="H855" s="124">
        <v>116.1991</v>
      </c>
      <c r="I855" s="124">
        <v>121.0921</v>
      </c>
      <c r="J855" s="134">
        <v>185103522</v>
      </c>
      <c r="K855" s="134">
        <v>190676432</v>
      </c>
      <c r="L855" s="124">
        <v>1061.8620000000001</v>
      </c>
      <c r="M855" s="114">
        <v>0</v>
      </c>
      <c r="N855" s="135">
        <v>80.965199999999996</v>
      </c>
      <c r="O855" s="135">
        <v>78.997399999999999</v>
      </c>
      <c r="P855" s="135">
        <v>77.970699999999994</v>
      </c>
      <c r="Q855" s="135">
        <v>78.854900000000001</v>
      </c>
      <c r="R855" s="137">
        <v>1.05</v>
      </c>
      <c r="S855" s="120">
        <v>0</v>
      </c>
      <c r="T855" s="120">
        <v>2801988</v>
      </c>
      <c r="U855" s="120">
        <v>0</v>
      </c>
      <c r="V855" s="114">
        <f t="shared" si="30"/>
        <v>2801988</v>
      </c>
      <c r="W855" s="114">
        <f t="shared" si="31"/>
        <v>2801988</v>
      </c>
    </row>
    <row r="856" spans="1:23">
      <c r="A856" s="122" t="s">
        <v>1558</v>
      </c>
      <c r="B856" s="124">
        <v>130.41900000000001</v>
      </c>
      <c r="C856" s="124">
        <v>107.114</v>
      </c>
      <c r="D856" s="124">
        <v>108.012</v>
      </c>
      <c r="E856" s="124">
        <v>113.616</v>
      </c>
      <c r="F856" s="124">
        <v>29.387699999999999</v>
      </c>
      <c r="G856" s="124">
        <v>28.5</v>
      </c>
      <c r="H856" s="124">
        <v>24.534800000000001</v>
      </c>
      <c r="I856" s="124">
        <v>26.5</v>
      </c>
      <c r="J856" s="134">
        <v>27512440</v>
      </c>
      <c r="K856" s="134">
        <v>29656185</v>
      </c>
      <c r="L856" s="124">
        <v>251.489</v>
      </c>
      <c r="M856" s="114">
        <v>0</v>
      </c>
      <c r="N856" s="135">
        <v>20.0014</v>
      </c>
      <c r="O856" s="135">
        <v>19.856100000000001</v>
      </c>
      <c r="P856" s="135">
        <v>16.751000000000001</v>
      </c>
      <c r="Q856" s="135">
        <v>18.6328</v>
      </c>
      <c r="R856" s="137">
        <v>1.08</v>
      </c>
      <c r="S856" s="120">
        <v>0</v>
      </c>
      <c r="T856" s="120">
        <v>461170</v>
      </c>
      <c r="U856" s="120">
        <v>0</v>
      </c>
      <c r="V856" s="114">
        <f t="shared" si="30"/>
        <v>461170</v>
      </c>
      <c r="W856" s="114">
        <f t="shared" si="31"/>
        <v>461170</v>
      </c>
    </row>
    <row r="857" spans="1:23">
      <c r="A857" s="122" t="s">
        <v>1559</v>
      </c>
      <c r="B857" s="124">
        <v>2712.567</v>
      </c>
      <c r="C857" s="124">
        <v>2583.4</v>
      </c>
      <c r="D857" s="124">
        <v>2501.7429999999999</v>
      </c>
      <c r="E857" s="124">
        <v>2495.6689999999999</v>
      </c>
      <c r="F857" s="124">
        <v>399.15780000000001</v>
      </c>
      <c r="G857" s="124">
        <v>382.69880000000001</v>
      </c>
      <c r="H857" s="124">
        <v>379.50650000000002</v>
      </c>
      <c r="I857" s="124">
        <v>351.78339999999997</v>
      </c>
      <c r="J857" s="134">
        <v>606217749</v>
      </c>
      <c r="K857" s="134">
        <v>641099147</v>
      </c>
      <c r="L857" s="124">
        <v>3562.6289999999999</v>
      </c>
      <c r="M857" s="114">
        <v>0</v>
      </c>
      <c r="N857" s="135">
        <v>281.16160000000002</v>
      </c>
      <c r="O857" s="135">
        <v>270.46850000000001</v>
      </c>
      <c r="P857" s="135">
        <v>262.14280000000002</v>
      </c>
      <c r="Q857" s="135">
        <v>248.625</v>
      </c>
      <c r="R857" s="137">
        <v>1.1000000000000001</v>
      </c>
      <c r="S857" s="120">
        <v>0</v>
      </c>
      <c r="T857" s="120">
        <v>9975421</v>
      </c>
      <c r="U857" s="120">
        <v>0</v>
      </c>
      <c r="V857" s="114">
        <f t="shared" si="30"/>
        <v>9975421</v>
      </c>
      <c r="W857" s="114">
        <f t="shared" si="31"/>
        <v>9975421</v>
      </c>
    </row>
    <row r="858" spans="1:23">
      <c r="A858" s="122" t="s">
        <v>1662</v>
      </c>
      <c r="B858" s="124">
        <v>182.50899999999999</v>
      </c>
      <c r="C858" s="124">
        <v>164.37100000000001</v>
      </c>
      <c r="D858" s="124">
        <v>186.51599999999999</v>
      </c>
      <c r="E858" s="124">
        <v>193.167</v>
      </c>
      <c r="F858" s="124">
        <v>30.187200000000001</v>
      </c>
      <c r="G858" s="124">
        <v>32.187199999999997</v>
      </c>
      <c r="H858" s="124">
        <v>32</v>
      </c>
      <c r="I858" s="124">
        <v>31.33</v>
      </c>
      <c r="J858" s="134">
        <v>93623659</v>
      </c>
      <c r="K858" s="134">
        <v>95261127</v>
      </c>
      <c r="L858" s="124">
        <v>304.08100000000002</v>
      </c>
      <c r="M858" s="114">
        <v>0</v>
      </c>
      <c r="N858" s="135">
        <v>21.335000000000001</v>
      </c>
      <c r="O858" s="135">
        <v>22.584900000000001</v>
      </c>
      <c r="P858" s="135">
        <v>22.3432</v>
      </c>
      <c r="Q858" s="135">
        <v>21.263300000000001</v>
      </c>
      <c r="R858" s="137">
        <v>1.07</v>
      </c>
      <c r="S858" s="120">
        <v>0</v>
      </c>
      <c r="T858" s="120">
        <v>1320584</v>
      </c>
      <c r="U858" s="120">
        <v>0</v>
      </c>
      <c r="V858" s="114">
        <f t="shared" si="30"/>
        <v>1320584</v>
      </c>
      <c r="W858" s="114">
        <f t="shared" si="31"/>
        <v>1320584</v>
      </c>
    </row>
    <row r="859" spans="1:23">
      <c r="A859" s="122" t="s">
        <v>1084</v>
      </c>
      <c r="B859" s="124">
        <v>550.11599999999999</v>
      </c>
      <c r="C859" s="124">
        <v>557.62099999999998</v>
      </c>
      <c r="D859" s="124">
        <v>541.90800000000002</v>
      </c>
      <c r="E859" s="124">
        <v>538.99800000000005</v>
      </c>
      <c r="F859" s="124">
        <v>80.178600000000003</v>
      </c>
      <c r="G859" s="124">
        <v>84.891499999999994</v>
      </c>
      <c r="H859" s="124">
        <v>86.608199999999997</v>
      </c>
      <c r="I859" s="124">
        <v>86.337800000000001</v>
      </c>
      <c r="J859" s="134">
        <v>131159870</v>
      </c>
      <c r="K859" s="134">
        <v>137580206</v>
      </c>
      <c r="L859" s="124">
        <v>1010.728</v>
      </c>
      <c r="M859" s="134">
        <v>171915</v>
      </c>
      <c r="N859" s="135">
        <v>56.607199999999999</v>
      </c>
      <c r="O859" s="135">
        <v>57.844900000000003</v>
      </c>
      <c r="P859" s="135">
        <v>59.492199999999997</v>
      </c>
      <c r="Q859" s="135">
        <v>58.965000000000003</v>
      </c>
      <c r="R859" s="137">
        <v>1.05</v>
      </c>
      <c r="S859" s="120">
        <v>174917</v>
      </c>
      <c r="T859" s="120">
        <v>1594106</v>
      </c>
      <c r="U859" s="120">
        <v>0</v>
      </c>
      <c r="V859" s="114">
        <f t="shared" si="30"/>
        <v>1594106</v>
      </c>
      <c r="W859" s="114">
        <f t="shared" si="31"/>
        <v>1769023</v>
      </c>
    </row>
    <row r="860" spans="1:23">
      <c r="A860" s="122" t="s">
        <v>1085</v>
      </c>
      <c r="B860" s="124">
        <v>104.44799999999999</v>
      </c>
      <c r="C860" s="124">
        <v>96.296000000000006</v>
      </c>
      <c r="D860" s="124">
        <v>99.933000000000007</v>
      </c>
      <c r="E860" s="124">
        <v>97.165000000000006</v>
      </c>
      <c r="F860" s="124">
        <v>22.402100000000001</v>
      </c>
      <c r="G860" s="124">
        <v>24.211200000000002</v>
      </c>
      <c r="H860" s="124">
        <v>24.711200000000002</v>
      </c>
      <c r="I860" s="124">
        <v>26.4</v>
      </c>
      <c r="J860" s="134">
        <v>26342085</v>
      </c>
      <c r="K860" s="134">
        <v>27404455</v>
      </c>
      <c r="L860" s="124">
        <v>269.01400000000001</v>
      </c>
      <c r="M860" s="114">
        <v>0</v>
      </c>
      <c r="N860" s="135">
        <v>16.0002</v>
      </c>
      <c r="O860" s="135">
        <v>16.765599999999999</v>
      </c>
      <c r="P860" s="135">
        <v>15.385199999999999</v>
      </c>
      <c r="Q860" s="135">
        <v>18.399899999999999</v>
      </c>
      <c r="R860" s="137">
        <v>1.05</v>
      </c>
      <c r="S860" s="120">
        <v>0</v>
      </c>
      <c r="T860" s="120">
        <v>365390</v>
      </c>
      <c r="U860" s="120">
        <v>0</v>
      </c>
      <c r="V860" s="114">
        <f t="shared" si="30"/>
        <v>365390</v>
      </c>
      <c r="W860" s="114">
        <f t="shared" si="31"/>
        <v>365390</v>
      </c>
    </row>
    <row r="861" spans="1:23">
      <c r="A861" s="122" t="s">
        <v>1086</v>
      </c>
      <c r="B861" s="124">
        <v>2171.0909999999999</v>
      </c>
      <c r="C861" s="124">
        <v>2127.1619999999998</v>
      </c>
      <c r="D861" s="124">
        <v>2192.7959999999998</v>
      </c>
      <c r="E861" s="124">
        <v>2240.3000000000002</v>
      </c>
      <c r="F861" s="124">
        <v>331.13119999999998</v>
      </c>
      <c r="G861" s="124">
        <v>335.30509999999998</v>
      </c>
      <c r="H861" s="124">
        <v>342.7063</v>
      </c>
      <c r="I861" s="124">
        <v>349.62360000000001</v>
      </c>
      <c r="J861" s="134">
        <v>252907122</v>
      </c>
      <c r="K861" s="134">
        <v>276536014</v>
      </c>
      <c r="L861" s="124">
        <v>3137.7910000000002</v>
      </c>
      <c r="M861" s="134">
        <v>180850</v>
      </c>
      <c r="N861" s="135">
        <v>218.03790000000001</v>
      </c>
      <c r="O861" s="135">
        <v>220.58510000000001</v>
      </c>
      <c r="P861" s="135">
        <v>216.0932</v>
      </c>
      <c r="Q861" s="135">
        <v>221.6764</v>
      </c>
      <c r="R861" s="137">
        <v>1.05</v>
      </c>
      <c r="S861" s="120">
        <v>395067</v>
      </c>
      <c r="T861" s="120">
        <v>3716230</v>
      </c>
      <c r="U861" s="120">
        <v>0</v>
      </c>
      <c r="V861" s="114">
        <f t="shared" si="30"/>
        <v>3716230</v>
      </c>
      <c r="W861" s="114">
        <f t="shared" si="31"/>
        <v>4111297</v>
      </c>
    </row>
    <row r="862" spans="1:23">
      <c r="A862" s="122" t="s">
        <v>1245</v>
      </c>
      <c r="B862" s="124">
        <v>570.93399999999997</v>
      </c>
      <c r="C862" s="124">
        <v>589.34699999999998</v>
      </c>
      <c r="D862" s="124">
        <v>589.29600000000005</v>
      </c>
      <c r="E862" s="124">
        <v>598.06799999999998</v>
      </c>
      <c r="F862" s="124">
        <v>104.0699</v>
      </c>
      <c r="G862" s="124">
        <v>98.796599999999998</v>
      </c>
      <c r="H862" s="124">
        <v>104.58669999999999</v>
      </c>
      <c r="I862" s="124">
        <v>108.15689999999999</v>
      </c>
      <c r="J862" s="134">
        <v>99283732</v>
      </c>
      <c r="K862" s="134">
        <v>108138575</v>
      </c>
      <c r="L862" s="124">
        <v>989.07299999999998</v>
      </c>
      <c r="M862" s="134">
        <v>102317</v>
      </c>
      <c r="N862" s="135">
        <v>69.881699999999995</v>
      </c>
      <c r="O862" s="135">
        <v>65.286600000000007</v>
      </c>
      <c r="P862" s="135">
        <v>67.799800000000005</v>
      </c>
      <c r="Q862" s="135">
        <v>68.089399999999998</v>
      </c>
      <c r="R862" s="137">
        <v>1.04</v>
      </c>
      <c r="S862" s="120">
        <v>105644</v>
      </c>
      <c r="T862" s="120">
        <v>1554186</v>
      </c>
      <c r="U862" s="120">
        <v>0</v>
      </c>
      <c r="V862" s="114">
        <f t="shared" si="30"/>
        <v>1554186</v>
      </c>
      <c r="W862" s="114">
        <f t="shared" si="31"/>
        <v>1659830</v>
      </c>
    </row>
    <row r="863" spans="1:23">
      <c r="A863" s="122" t="s">
        <v>220</v>
      </c>
      <c r="B863" s="124">
        <v>669.54</v>
      </c>
      <c r="C863" s="124">
        <v>654.59100000000001</v>
      </c>
      <c r="D863" s="124">
        <v>655.12300000000005</v>
      </c>
      <c r="E863" s="124">
        <v>643.24900000000002</v>
      </c>
      <c r="F863" s="124">
        <v>108.4516</v>
      </c>
      <c r="G863" s="124">
        <v>112.3554</v>
      </c>
      <c r="H863" s="124">
        <v>110.51739999999999</v>
      </c>
      <c r="I863" s="124">
        <v>108.0575</v>
      </c>
      <c r="J863" s="134">
        <v>83611472</v>
      </c>
      <c r="K863" s="134">
        <v>91518552</v>
      </c>
      <c r="L863" s="124">
        <v>1056.528</v>
      </c>
      <c r="M863" s="134">
        <v>34285</v>
      </c>
      <c r="N863" s="135">
        <v>72.734099999999998</v>
      </c>
      <c r="O863" s="135">
        <v>74.875699999999995</v>
      </c>
      <c r="P863" s="135">
        <v>73.866699999999994</v>
      </c>
      <c r="Q863" s="135">
        <v>72.266800000000003</v>
      </c>
      <c r="R863" s="137">
        <v>1.05</v>
      </c>
      <c r="S863" s="120">
        <v>94508</v>
      </c>
      <c r="T863" s="120">
        <v>1285528</v>
      </c>
      <c r="U863" s="120">
        <v>0</v>
      </c>
      <c r="V863" s="114">
        <f t="shared" si="30"/>
        <v>1285528</v>
      </c>
      <c r="W863" s="114">
        <f t="shared" si="31"/>
        <v>1380036</v>
      </c>
    </row>
    <row r="864" spans="1:23">
      <c r="A864" s="122" t="s">
        <v>1246</v>
      </c>
      <c r="B864" s="124">
        <v>381.471</v>
      </c>
      <c r="C864" s="124">
        <v>381.48599999999999</v>
      </c>
      <c r="D864" s="124">
        <v>373.25400000000002</v>
      </c>
      <c r="E864" s="124">
        <v>373.09800000000001</v>
      </c>
      <c r="F864" s="124">
        <v>74.843299999999999</v>
      </c>
      <c r="G864" s="124">
        <v>76.692300000000003</v>
      </c>
      <c r="H864" s="124">
        <v>84.086399999999998</v>
      </c>
      <c r="I864" s="124">
        <v>80.816199999999995</v>
      </c>
      <c r="J864" s="134">
        <v>48202344</v>
      </c>
      <c r="K864" s="134">
        <v>52847577</v>
      </c>
      <c r="L864" s="124">
        <v>659.65899999999999</v>
      </c>
      <c r="M864" s="114">
        <v>0</v>
      </c>
      <c r="N864" s="135">
        <v>52.728999999999999</v>
      </c>
      <c r="O864" s="135">
        <v>52.171100000000003</v>
      </c>
      <c r="P864" s="135">
        <v>55.207000000000001</v>
      </c>
      <c r="Q864" s="135">
        <v>51.609299999999998</v>
      </c>
      <c r="R864" s="137">
        <v>1.04</v>
      </c>
      <c r="S864" s="120">
        <v>0</v>
      </c>
      <c r="T864" s="120">
        <v>661574</v>
      </c>
      <c r="U864" s="120">
        <v>0</v>
      </c>
      <c r="V864" s="114">
        <f t="shared" si="30"/>
        <v>661574</v>
      </c>
      <c r="W864" s="114">
        <f t="shared" si="31"/>
        <v>661574</v>
      </c>
    </row>
    <row r="865" spans="1:23">
      <c r="A865" s="122" t="s">
        <v>1247</v>
      </c>
      <c r="B865" s="124">
        <v>577.5</v>
      </c>
      <c r="C865" s="124">
        <v>547.32500000000005</v>
      </c>
      <c r="D865" s="124">
        <v>562.5</v>
      </c>
      <c r="E865" s="124">
        <v>548.59199999999998</v>
      </c>
      <c r="F865" s="124">
        <v>113.4653</v>
      </c>
      <c r="G865" s="124">
        <v>112.9213</v>
      </c>
      <c r="H865" s="124">
        <v>109.93049999999999</v>
      </c>
      <c r="I865" s="124">
        <v>81.689899999999994</v>
      </c>
      <c r="J865" s="134">
        <v>77126726</v>
      </c>
      <c r="K865" s="134">
        <v>85633266</v>
      </c>
      <c r="L865" s="124">
        <v>938.77</v>
      </c>
      <c r="M865" s="134">
        <v>72866</v>
      </c>
      <c r="N865" s="135">
        <v>73.002200000000002</v>
      </c>
      <c r="O865" s="135">
        <v>70.170199999999994</v>
      </c>
      <c r="P865" s="135">
        <v>69.174099999999996</v>
      </c>
      <c r="Q865" s="135">
        <v>45.784500000000001</v>
      </c>
      <c r="R865" s="137">
        <v>1.04</v>
      </c>
      <c r="S865" s="120">
        <v>78275</v>
      </c>
      <c r="T865" s="120">
        <v>1176675</v>
      </c>
      <c r="U865" s="120">
        <v>0</v>
      </c>
      <c r="V865" s="114">
        <f t="shared" si="30"/>
        <v>1176675</v>
      </c>
      <c r="W865" s="114">
        <f t="shared" si="31"/>
        <v>1254950</v>
      </c>
    </row>
    <row r="866" spans="1:23">
      <c r="A866" s="122" t="s">
        <v>1407</v>
      </c>
      <c r="B866" s="124">
        <v>65.584000000000003</v>
      </c>
      <c r="C866" s="124">
        <v>63.182000000000002</v>
      </c>
      <c r="D866" s="124">
        <v>61.341999999999999</v>
      </c>
      <c r="E866" s="124">
        <v>59.643000000000001</v>
      </c>
      <c r="F866" s="124">
        <v>19</v>
      </c>
      <c r="G866" s="124">
        <v>18</v>
      </c>
      <c r="H866" s="124">
        <v>16</v>
      </c>
      <c r="I866" s="124">
        <v>15.9626</v>
      </c>
      <c r="J866" s="134">
        <v>8388395</v>
      </c>
      <c r="K866" s="134">
        <v>9562162</v>
      </c>
      <c r="L866" s="124">
        <v>139.822</v>
      </c>
      <c r="M866" s="114">
        <v>0</v>
      </c>
      <c r="N866" s="135">
        <v>12.0001</v>
      </c>
      <c r="O866" s="135">
        <v>11</v>
      </c>
      <c r="P866" s="135">
        <v>9.9999000000000002</v>
      </c>
      <c r="Q866" s="135">
        <v>12.000400000000001</v>
      </c>
      <c r="R866" s="137">
        <v>1.04</v>
      </c>
      <c r="S866" s="120">
        <v>0</v>
      </c>
      <c r="T866" s="120">
        <v>137491</v>
      </c>
      <c r="U866" s="120">
        <v>0</v>
      </c>
      <c r="V866" s="114">
        <f t="shared" si="30"/>
        <v>137491</v>
      </c>
      <c r="W866" s="114">
        <f t="shared" si="31"/>
        <v>137491</v>
      </c>
    </row>
    <row r="867" spans="1:23">
      <c r="A867" s="122" t="s">
        <v>1408</v>
      </c>
      <c r="B867" s="124">
        <v>137.24600000000001</v>
      </c>
      <c r="C867" s="124">
        <v>132.34100000000001</v>
      </c>
      <c r="D867" s="124">
        <v>131.059</v>
      </c>
      <c r="E867" s="124">
        <v>127.429</v>
      </c>
      <c r="F867" s="124">
        <v>28.473800000000001</v>
      </c>
      <c r="G867" s="124">
        <v>31.087700000000002</v>
      </c>
      <c r="H867" s="124">
        <v>31.023499999999999</v>
      </c>
      <c r="I867" s="124">
        <v>33.314</v>
      </c>
      <c r="J867" s="134">
        <v>106770800</v>
      </c>
      <c r="K867" s="134">
        <v>108066500</v>
      </c>
      <c r="L867" s="124">
        <v>249.40600000000001</v>
      </c>
      <c r="M867" s="114">
        <v>0</v>
      </c>
      <c r="N867" s="135">
        <v>19.1279</v>
      </c>
      <c r="O867" s="135">
        <v>21.797000000000001</v>
      </c>
      <c r="P867" s="135">
        <v>23.116900000000001</v>
      </c>
      <c r="Q867" s="135">
        <v>23.652699999999999</v>
      </c>
      <c r="R867" s="137">
        <v>1.0900000000000001</v>
      </c>
      <c r="S867" s="120">
        <v>0</v>
      </c>
      <c r="T867" s="120">
        <v>1529950</v>
      </c>
      <c r="U867" s="120">
        <v>0</v>
      </c>
      <c r="V867" s="114">
        <f t="shared" si="30"/>
        <v>1529950</v>
      </c>
      <c r="W867" s="114">
        <f t="shared" si="31"/>
        <v>1529950</v>
      </c>
    </row>
    <row r="868" spans="1:23">
      <c r="A868" s="122" t="s">
        <v>2040</v>
      </c>
      <c r="B868" s="124">
        <v>573.30100000000004</v>
      </c>
      <c r="C868" s="124">
        <v>561.46600000000001</v>
      </c>
      <c r="D868" s="124">
        <v>591.81299999999999</v>
      </c>
      <c r="E868" s="124">
        <v>585.96</v>
      </c>
      <c r="F868" s="124">
        <v>95.308999999999997</v>
      </c>
      <c r="G868" s="124">
        <v>98.647000000000006</v>
      </c>
      <c r="H868" s="124">
        <v>99.333500000000001</v>
      </c>
      <c r="I868" s="124">
        <v>102.5968</v>
      </c>
      <c r="J868" s="134">
        <v>277654832</v>
      </c>
      <c r="K868" s="134">
        <v>283442932</v>
      </c>
      <c r="L868" s="124">
        <v>1066.2190000000001</v>
      </c>
      <c r="M868" s="134">
        <v>315049</v>
      </c>
      <c r="N868" s="135">
        <v>65.686000000000007</v>
      </c>
      <c r="O868" s="135">
        <v>69.732299999999995</v>
      </c>
      <c r="P868" s="135">
        <v>64.979200000000006</v>
      </c>
      <c r="Q868" s="135">
        <v>71.292299999999997</v>
      </c>
      <c r="R868" s="137">
        <v>1.08</v>
      </c>
      <c r="S868" s="120">
        <v>233196</v>
      </c>
      <c r="T868" s="120">
        <v>4301212</v>
      </c>
      <c r="U868" s="120">
        <v>0</v>
      </c>
      <c r="V868" s="114">
        <f t="shared" si="30"/>
        <v>4301212</v>
      </c>
      <c r="W868" s="114">
        <f t="shared" si="31"/>
        <v>4534408</v>
      </c>
    </row>
    <row r="869" spans="1:23">
      <c r="A869" s="122" t="s">
        <v>304</v>
      </c>
      <c r="B869" s="124">
        <v>822.61400000000003</v>
      </c>
      <c r="C869" s="124">
        <v>819.23800000000006</v>
      </c>
      <c r="D869" s="124">
        <v>822.57899999999995</v>
      </c>
      <c r="E869" s="124">
        <v>867.029</v>
      </c>
      <c r="F869" s="124">
        <v>125.3561</v>
      </c>
      <c r="G869" s="124">
        <v>125.32340000000001</v>
      </c>
      <c r="H869" s="124">
        <v>127.79389999999999</v>
      </c>
      <c r="I869" s="124">
        <v>129.42850000000001</v>
      </c>
      <c r="J869" s="134">
        <v>144427754</v>
      </c>
      <c r="K869" s="134">
        <v>157061175</v>
      </c>
      <c r="L869" s="124">
        <v>1328.8920000000001</v>
      </c>
      <c r="M869" s="134">
        <v>147540</v>
      </c>
      <c r="N869" s="135">
        <v>78.754999999999995</v>
      </c>
      <c r="O869" s="135">
        <v>77.915099999999995</v>
      </c>
      <c r="P869" s="135">
        <v>80.739599999999996</v>
      </c>
      <c r="Q869" s="135">
        <v>85.170500000000004</v>
      </c>
      <c r="R869" s="137">
        <v>1.04</v>
      </c>
      <c r="S869" s="120">
        <v>409509</v>
      </c>
      <c r="T869" s="120">
        <v>2170150</v>
      </c>
      <c r="U869" s="120">
        <v>0</v>
      </c>
      <c r="V869" s="114">
        <f t="shared" si="30"/>
        <v>2170150</v>
      </c>
      <c r="W869" s="114">
        <f t="shared" si="31"/>
        <v>2579659</v>
      </c>
    </row>
    <row r="870" spans="1:23">
      <c r="A870" s="122" t="s">
        <v>1943</v>
      </c>
      <c r="B870" s="124">
        <v>1260.558</v>
      </c>
      <c r="C870" s="124">
        <v>1316.1030000000001</v>
      </c>
      <c r="D870" s="124">
        <v>1334.587</v>
      </c>
      <c r="E870" s="124">
        <v>1396.097</v>
      </c>
      <c r="F870" s="124">
        <v>160.27010000000001</v>
      </c>
      <c r="G870" s="124">
        <v>164.27289999999999</v>
      </c>
      <c r="H870" s="124">
        <v>172.32650000000001</v>
      </c>
      <c r="I870" s="124">
        <v>188.10210000000001</v>
      </c>
      <c r="J870" s="134">
        <v>314808936</v>
      </c>
      <c r="K870" s="134">
        <v>337701034</v>
      </c>
      <c r="L870" s="124">
        <v>1847.271</v>
      </c>
      <c r="M870" s="134">
        <v>867363</v>
      </c>
      <c r="N870" s="135">
        <v>105.61960000000001</v>
      </c>
      <c r="O870" s="135">
        <v>110.95</v>
      </c>
      <c r="P870" s="135">
        <v>115.0017</v>
      </c>
      <c r="Q870" s="135">
        <v>120.1104</v>
      </c>
      <c r="R870" s="137">
        <v>1.04</v>
      </c>
      <c r="S870" s="120">
        <v>871507</v>
      </c>
      <c r="T870" s="120">
        <v>4434104</v>
      </c>
      <c r="U870" s="120">
        <v>0</v>
      </c>
      <c r="V870" s="114">
        <f t="shared" si="30"/>
        <v>4434104</v>
      </c>
      <c r="W870" s="114">
        <f t="shared" si="31"/>
        <v>5305611</v>
      </c>
    </row>
    <row r="871" spans="1:23">
      <c r="A871" s="122" t="s">
        <v>1944</v>
      </c>
      <c r="B871" s="124">
        <v>2516.3780000000002</v>
      </c>
      <c r="C871" s="124">
        <v>2573.7399999999998</v>
      </c>
      <c r="D871" s="124">
        <v>2744.5590000000002</v>
      </c>
      <c r="E871" s="124">
        <v>2868.578</v>
      </c>
      <c r="F871" s="124">
        <v>343.44920000000002</v>
      </c>
      <c r="G871" s="124">
        <v>352.5668</v>
      </c>
      <c r="H871" s="124">
        <v>391.45350000000002</v>
      </c>
      <c r="I871" s="124">
        <v>410.06349999999998</v>
      </c>
      <c r="J871" s="134">
        <v>530120357</v>
      </c>
      <c r="K871" s="134">
        <v>567494628</v>
      </c>
      <c r="L871" s="124">
        <v>3747.962</v>
      </c>
      <c r="M871" s="134">
        <v>748146</v>
      </c>
      <c r="N871" s="135">
        <v>225.512</v>
      </c>
      <c r="O871" s="135">
        <v>233.64320000000001</v>
      </c>
      <c r="P871" s="135">
        <v>243.7056</v>
      </c>
      <c r="Q871" s="135">
        <v>259.70170000000002</v>
      </c>
      <c r="R871" s="137">
        <v>1.06</v>
      </c>
      <c r="S871" s="120">
        <v>1038436</v>
      </c>
      <c r="T871" s="120">
        <v>8360263</v>
      </c>
      <c r="U871" s="120">
        <v>0</v>
      </c>
      <c r="V871" s="114">
        <f t="shared" si="30"/>
        <v>8360263</v>
      </c>
      <c r="W871" s="114">
        <f t="shared" si="31"/>
        <v>9398699</v>
      </c>
    </row>
    <row r="872" spans="1:23">
      <c r="A872" s="122" t="s">
        <v>1136</v>
      </c>
      <c r="B872" s="124">
        <v>854.61199999999997</v>
      </c>
      <c r="C872" s="124">
        <v>890.44899999999996</v>
      </c>
      <c r="D872" s="124">
        <v>898.74199999999996</v>
      </c>
      <c r="E872" s="124">
        <v>911.86699999999996</v>
      </c>
      <c r="F872" s="124">
        <v>127.66200000000001</v>
      </c>
      <c r="G872" s="124">
        <v>138.06530000000001</v>
      </c>
      <c r="H872" s="124">
        <v>142.08250000000001</v>
      </c>
      <c r="I872" s="124">
        <v>135.70400000000001</v>
      </c>
      <c r="J872" s="134">
        <v>101724896</v>
      </c>
      <c r="K872" s="134">
        <v>111518432</v>
      </c>
      <c r="L872" s="124">
        <v>1316.21</v>
      </c>
      <c r="M872" s="134">
        <v>58395</v>
      </c>
      <c r="N872" s="135">
        <v>84.641800000000003</v>
      </c>
      <c r="O872" s="135">
        <v>89.395200000000003</v>
      </c>
      <c r="P872" s="135">
        <v>90.876300000000001</v>
      </c>
      <c r="Q872" s="135">
        <v>89.543999999999997</v>
      </c>
      <c r="R872" s="137">
        <v>1.04</v>
      </c>
      <c r="S872" s="120">
        <v>63254</v>
      </c>
      <c r="T872" s="120">
        <v>1640194</v>
      </c>
      <c r="U872" s="120">
        <v>0</v>
      </c>
      <c r="V872" s="114">
        <f t="shared" si="30"/>
        <v>1640194</v>
      </c>
      <c r="W872" s="114">
        <f t="shared" si="31"/>
        <v>1703448</v>
      </c>
    </row>
    <row r="873" spans="1:23">
      <c r="A873" s="122" t="s">
        <v>217</v>
      </c>
      <c r="B873" s="124">
        <v>15431.767</v>
      </c>
      <c r="C873" s="124">
        <v>15628.82</v>
      </c>
      <c r="D873" s="124">
        <v>15694.781999999999</v>
      </c>
      <c r="E873" s="124">
        <v>15885.335999999999</v>
      </c>
      <c r="F873" s="124">
        <v>2227.7516999999998</v>
      </c>
      <c r="G873" s="124">
        <v>2257.4778000000001</v>
      </c>
      <c r="H873" s="124">
        <v>2231.6579000000002</v>
      </c>
      <c r="I873" s="124">
        <v>2321.8591999999999</v>
      </c>
      <c r="J873" s="134">
        <v>4426881797</v>
      </c>
      <c r="K873" s="134">
        <v>4645813393</v>
      </c>
      <c r="L873" s="124">
        <v>20955.768</v>
      </c>
      <c r="M873" s="134">
        <v>1695166</v>
      </c>
      <c r="N873" s="135">
        <v>1443.6846</v>
      </c>
      <c r="O873" s="135">
        <v>1485.4917</v>
      </c>
      <c r="P873" s="135">
        <v>1464.8510000000001</v>
      </c>
      <c r="Q873" s="135">
        <v>1516.9528</v>
      </c>
      <c r="R873" s="137">
        <v>1.1000000000000001</v>
      </c>
      <c r="S873" s="120">
        <v>1820176</v>
      </c>
      <c r="T873" s="120">
        <v>65856827</v>
      </c>
      <c r="U873" s="120">
        <v>0</v>
      </c>
      <c r="V873" s="114">
        <f t="shared" si="30"/>
        <v>65856827</v>
      </c>
      <c r="W873" s="114">
        <f t="shared" si="31"/>
        <v>67677003</v>
      </c>
    </row>
    <row r="874" spans="1:23">
      <c r="A874" s="122" t="s">
        <v>1348</v>
      </c>
      <c r="B874" s="124">
        <v>3788.1909999999998</v>
      </c>
      <c r="C874" s="124">
        <v>3774.9319999999998</v>
      </c>
      <c r="D874" s="124">
        <v>3805.6030000000001</v>
      </c>
      <c r="E874" s="124">
        <v>3815.252</v>
      </c>
      <c r="F874" s="124">
        <v>446.09730000000002</v>
      </c>
      <c r="G874" s="124">
        <v>450.97949999999997</v>
      </c>
      <c r="H874" s="124">
        <v>465.01900000000001</v>
      </c>
      <c r="I874" s="124">
        <v>472.55810000000002</v>
      </c>
      <c r="J874" s="134">
        <v>768294601</v>
      </c>
      <c r="K874" s="134">
        <v>815872316</v>
      </c>
      <c r="L874" s="124">
        <v>4612.4470000000001</v>
      </c>
      <c r="M874" s="134">
        <v>750932</v>
      </c>
      <c r="N874" s="135">
        <v>304.9787</v>
      </c>
      <c r="O874" s="135">
        <v>308.80399999999997</v>
      </c>
      <c r="P874" s="135">
        <v>301.4751</v>
      </c>
      <c r="Q874" s="135">
        <v>308.7679</v>
      </c>
      <c r="R874" s="137">
        <v>1.07</v>
      </c>
      <c r="S874" s="120">
        <v>750458</v>
      </c>
      <c r="T874" s="120">
        <v>11597875</v>
      </c>
      <c r="U874" s="120">
        <v>0</v>
      </c>
      <c r="V874" s="114">
        <f t="shared" si="30"/>
        <v>11597875</v>
      </c>
      <c r="W874" s="114">
        <f t="shared" si="31"/>
        <v>12348333</v>
      </c>
    </row>
    <row r="875" spans="1:23">
      <c r="A875" s="122" t="s">
        <v>1516</v>
      </c>
      <c r="B875" s="124">
        <v>2821.2379999999998</v>
      </c>
      <c r="C875" s="124">
        <v>2809.8870000000002</v>
      </c>
      <c r="D875" s="124">
        <v>2725.0279999999998</v>
      </c>
      <c r="E875" s="124">
        <v>2799.3960000000002</v>
      </c>
      <c r="F875" s="124">
        <v>453.30810000000002</v>
      </c>
      <c r="G875" s="124">
        <v>463.34320000000002</v>
      </c>
      <c r="H875" s="124">
        <v>452.0856</v>
      </c>
      <c r="I875" s="124">
        <v>441.18349999999998</v>
      </c>
      <c r="J875" s="134">
        <v>541735327</v>
      </c>
      <c r="K875" s="134">
        <v>579769445</v>
      </c>
      <c r="L875" s="124">
        <v>3722.6959999999999</v>
      </c>
      <c r="M875" s="134">
        <v>476873</v>
      </c>
      <c r="N875" s="135">
        <v>272.36709999999999</v>
      </c>
      <c r="O875" s="135">
        <v>287.14530000000002</v>
      </c>
      <c r="P875" s="135">
        <v>278.58479999999997</v>
      </c>
      <c r="Q875" s="135">
        <v>281.01409999999998</v>
      </c>
      <c r="R875" s="137">
        <v>1.07</v>
      </c>
      <c r="S875" s="120">
        <v>736339</v>
      </c>
      <c r="T875" s="120">
        <v>8331768</v>
      </c>
      <c r="U875" s="120">
        <v>0</v>
      </c>
      <c r="V875" s="114">
        <f t="shared" si="30"/>
        <v>8331768</v>
      </c>
      <c r="W875" s="114">
        <f t="shared" si="31"/>
        <v>9068107</v>
      </c>
    </row>
    <row r="876" spans="1:23">
      <c r="A876" s="122" t="s">
        <v>1517</v>
      </c>
      <c r="B876" s="124">
        <v>913.71600000000001</v>
      </c>
      <c r="C876" s="124">
        <v>959.86099999999999</v>
      </c>
      <c r="D876" s="124">
        <v>961.52</v>
      </c>
      <c r="E876" s="124">
        <v>945.33399999999995</v>
      </c>
      <c r="F876" s="124">
        <v>137.32400000000001</v>
      </c>
      <c r="G876" s="124">
        <v>158.2079</v>
      </c>
      <c r="H876" s="124">
        <v>159.95339999999999</v>
      </c>
      <c r="I876" s="124">
        <v>170.8597</v>
      </c>
      <c r="J876" s="134">
        <v>199344608</v>
      </c>
      <c r="K876" s="134">
        <v>212118366</v>
      </c>
      <c r="L876" s="124">
        <v>1393.6469999999999</v>
      </c>
      <c r="M876" s="134">
        <v>136705</v>
      </c>
      <c r="N876" s="135">
        <v>91.954300000000003</v>
      </c>
      <c r="O876" s="135">
        <v>99.858500000000006</v>
      </c>
      <c r="P876" s="135">
        <v>105.2638</v>
      </c>
      <c r="Q876" s="135">
        <v>108.8892</v>
      </c>
      <c r="R876" s="137">
        <v>1.04</v>
      </c>
      <c r="S876" s="120">
        <v>142156</v>
      </c>
      <c r="T876" s="120">
        <v>2943597</v>
      </c>
      <c r="U876" s="120">
        <v>0</v>
      </c>
      <c r="V876" s="114">
        <f t="shared" si="30"/>
        <v>2943597</v>
      </c>
      <c r="W876" s="114">
        <f t="shared" si="31"/>
        <v>3085753</v>
      </c>
    </row>
    <row r="877" spans="1:23">
      <c r="A877" s="122" t="s">
        <v>1518</v>
      </c>
      <c r="B877" s="124">
        <v>1488.94</v>
      </c>
      <c r="C877" s="124">
        <v>1498.5830000000001</v>
      </c>
      <c r="D877" s="124">
        <v>1555.4059999999999</v>
      </c>
      <c r="E877" s="124">
        <v>1552.904</v>
      </c>
      <c r="F877" s="124">
        <v>317.73140000000001</v>
      </c>
      <c r="G877" s="124">
        <v>329.83339999999998</v>
      </c>
      <c r="H877" s="124">
        <v>322.322</v>
      </c>
      <c r="I877" s="124">
        <v>284.75229999999999</v>
      </c>
      <c r="J877" s="134">
        <v>1891846113</v>
      </c>
      <c r="K877" s="134">
        <v>1903373261</v>
      </c>
      <c r="L877" s="124">
        <v>2014.751</v>
      </c>
      <c r="M877" s="114">
        <v>0</v>
      </c>
      <c r="N877" s="135">
        <v>194.2698</v>
      </c>
      <c r="O877" s="135">
        <v>203.70599999999999</v>
      </c>
      <c r="P877" s="135">
        <v>196.67019999999999</v>
      </c>
      <c r="Q877" s="135">
        <v>172.9564</v>
      </c>
      <c r="R877" s="137">
        <v>1.05</v>
      </c>
      <c r="S877" s="120">
        <v>128</v>
      </c>
      <c r="T877" s="120">
        <v>18725864</v>
      </c>
      <c r="U877" s="120">
        <v>0</v>
      </c>
      <c r="V877" s="114">
        <f t="shared" si="30"/>
        <v>18725864</v>
      </c>
      <c r="W877" s="114">
        <f t="shared" si="31"/>
        <v>18725992</v>
      </c>
    </row>
    <row r="878" spans="1:23">
      <c r="A878" s="122" t="s">
        <v>3050</v>
      </c>
      <c r="B878" s="124">
        <v>7890.7730000000001</v>
      </c>
      <c r="C878" s="124">
        <v>8006.2650000000003</v>
      </c>
      <c r="D878" s="124">
        <v>8417.759</v>
      </c>
      <c r="E878" s="124">
        <v>8581.5619999999999</v>
      </c>
      <c r="F878" s="124">
        <v>1471.8843999999999</v>
      </c>
      <c r="G878" s="124">
        <v>1506.1892</v>
      </c>
      <c r="H878" s="124">
        <v>1609.8294000000001</v>
      </c>
      <c r="I878" s="124">
        <v>1630.5243</v>
      </c>
      <c r="J878" s="134">
        <v>512843830</v>
      </c>
      <c r="K878" s="134">
        <v>561719410</v>
      </c>
      <c r="L878" s="124">
        <v>12639.422</v>
      </c>
      <c r="M878" s="114">
        <v>0</v>
      </c>
      <c r="N878" s="135">
        <v>712.08230000000003</v>
      </c>
      <c r="O878" s="135">
        <v>734.85109999999997</v>
      </c>
      <c r="P878" s="135">
        <v>802.85739999999998</v>
      </c>
      <c r="Q878" s="135">
        <v>821.36300000000006</v>
      </c>
      <c r="R878" s="137">
        <v>1.18</v>
      </c>
      <c r="S878" s="120">
        <v>347175</v>
      </c>
      <c r="T878" s="120">
        <v>7919984</v>
      </c>
      <c r="U878" s="120">
        <v>100887</v>
      </c>
      <c r="V878" s="114">
        <f t="shared" si="30"/>
        <v>8020871</v>
      </c>
      <c r="W878" s="114">
        <f t="shared" si="31"/>
        <v>8368046</v>
      </c>
    </row>
    <row r="879" spans="1:23">
      <c r="A879" s="122" t="s">
        <v>1945</v>
      </c>
      <c r="B879" s="124">
        <v>243.38200000000001</v>
      </c>
      <c r="C879" s="124">
        <v>244.601</v>
      </c>
      <c r="D879" s="124">
        <v>253.274</v>
      </c>
      <c r="E879" s="124">
        <v>246.25800000000001</v>
      </c>
      <c r="F879" s="124">
        <v>71.374600000000001</v>
      </c>
      <c r="G879" s="124">
        <v>65.377099999999999</v>
      </c>
      <c r="H879" s="124">
        <v>63.692700000000002</v>
      </c>
      <c r="I879" s="124">
        <v>67.462699999999998</v>
      </c>
      <c r="J879" s="134">
        <v>255943868</v>
      </c>
      <c r="K879" s="134">
        <v>257958188</v>
      </c>
      <c r="L879" s="124">
        <v>471</v>
      </c>
      <c r="M879" s="114">
        <v>0</v>
      </c>
      <c r="N879" s="135">
        <v>40.4679</v>
      </c>
      <c r="O879" s="135">
        <v>36.087899999999998</v>
      </c>
      <c r="P879" s="135">
        <v>35.089399999999998</v>
      </c>
      <c r="Q879" s="135">
        <v>35.086199999999998</v>
      </c>
      <c r="R879" s="137">
        <v>1.1200000000000001</v>
      </c>
      <c r="S879" s="120">
        <v>0</v>
      </c>
      <c r="T879" s="120">
        <v>3967026</v>
      </c>
      <c r="U879" s="120">
        <v>0</v>
      </c>
      <c r="V879" s="114">
        <f t="shared" si="30"/>
        <v>3967026</v>
      </c>
      <c r="W879" s="114">
        <f t="shared" si="31"/>
        <v>3967026</v>
      </c>
    </row>
    <row r="880" spans="1:23">
      <c r="A880" s="122" t="s">
        <v>221</v>
      </c>
      <c r="B880" s="124">
        <v>5528.2579999999998</v>
      </c>
      <c r="C880" s="124">
        <v>5481.5810000000001</v>
      </c>
      <c r="D880" s="124">
        <v>5593.6329999999998</v>
      </c>
      <c r="E880" s="124">
        <v>5593.5450000000001</v>
      </c>
      <c r="F880" s="124">
        <v>975.5385</v>
      </c>
      <c r="G880" s="124">
        <v>994.89279999999997</v>
      </c>
      <c r="H880" s="124">
        <v>992.87940000000003</v>
      </c>
      <c r="I880" s="124">
        <v>991.20519999999999</v>
      </c>
      <c r="J880" s="134">
        <v>358467092</v>
      </c>
      <c r="K880" s="134">
        <v>391585871</v>
      </c>
      <c r="L880" s="124">
        <v>8032.0879999999997</v>
      </c>
      <c r="M880" s="114">
        <v>0</v>
      </c>
      <c r="N880" s="135">
        <v>551.02710000000002</v>
      </c>
      <c r="O880" s="135">
        <v>562.79750000000001</v>
      </c>
      <c r="P880" s="135">
        <v>570.86720000000003</v>
      </c>
      <c r="Q880" s="135">
        <v>581.16499999999996</v>
      </c>
      <c r="R880" s="137">
        <v>1.2</v>
      </c>
      <c r="S880" s="120">
        <v>269659</v>
      </c>
      <c r="T880" s="120">
        <v>4479896</v>
      </c>
      <c r="U880" s="120">
        <v>0</v>
      </c>
      <c r="V880" s="114">
        <f t="shared" si="30"/>
        <v>4479896</v>
      </c>
      <c r="W880" s="114">
        <f t="shared" si="31"/>
        <v>4749555</v>
      </c>
    </row>
    <row r="881" spans="1:23">
      <c r="A881" s="122" t="s">
        <v>1946</v>
      </c>
      <c r="B881" s="124">
        <v>1714.98</v>
      </c>
      <c r="C881" s="124">
        <v>1660.202</v>
      </c>
      <c r="D881" s="124">
        <v>1626.576</v>
      </c>
      <c r="E881" s="124">
        <v>1581.52</v>
      </c>
      <c r="F881" s="124">
        <v>243.4383</v>
      </c>
      <c r="G881" s="124">
        <v>237.61869999999999</v>
      </c>
      <c r="H881" s="124">
        <v>239.70330000000001</v>
      </c>
      <c r="I881" s="124">
        <v>256.17540000000002</v>
      </c>
      <c r="J881" s="134">
        <v>430936336</v>
      </c>
      <c r="K881" s="134">
        <v>450450736</v>
      </c>
      <c r="L881" s="124">
        <v>2242.7240000000002</v>
      </c>
      <c r="M881" s="114">
        <v>0</v>
      </c>
      <c r="N881" s="135">
        <v>159.21960000000001</v>
      </c>
      <c r="O881" s="135">
        <v>158.5444</v>
      </c>
      <c r="P881" s="135">
        <v>158.3981</v>
      </c>
      <c r="Q881" s="135">
        <v>168.49430000000001</v>
      </c>
      <c r="R881" s="137">
        <v>1.07</v>
      </c>
      <c r="S881" s="120">
        <v>0</v>
      </c>
      <c r="T881" s="120">
        <v>5809176</v>
      </c>
      <c r="U881" s="120">
        <v>0</v>
      </c>
      <c r="V881" s="114">
        <f t="shared" si="30"/>
        <v>5809176</v>
      </c>
      <c r="W881" s="114">
        <f t="shared" si="31"/>
        <v>5809176</v>
      </c>
    </row>
    <row r="882" spans="1:23">
      <c r="A882" s="122" t="s">
        <v>2979</v>
      </c>
      <c r="B882" s="124">
        <v>295.11799999999999</v>
      </c>
      <c r="C882" s="124">
        <v>289.92200000000003</v>
      </c>
      <c r="D882" s="124">
        <v>282.86099999999999</v>
      </c>
      <c r="E882" s="124">
        <v>285.70100000000002</v>
      </c>
      <c r="F882" s="124">
        <v>60.750300000000003</v>
      </c>
      <c r="G882" s="124">
        <v>59.306399999999996</v>
      </c>
      <c r="H882" s="124">
        <v>63.456200000000003</v>
      </c>
      <c r="I882" s="124">
        <v>62.343699999999998</v>
      </c>
      <c r="J882" s="134">
        <v>272439389</v>
      </c>
      <c r="K882" s="134">
        <v>275527979</v>
      </c>
      <c r="L882" s="124">
        <v>586.95000000000005</v>
      </c>
      <c r="M882" s="114">
        <v>0</v>
      </c>
      <c r="N882" s="135">
        <v>40.6648</v>
      </c>
      <c r="O882" s="135">
        <v>38.093499999999999</v>
      </c>
      <c r="P882" s="135">
        <v>42.803100000000001</v>
      </c>
      <c r="Q882" s="135">
        <v>41.768599999999999</v>
      </c>
      <c r="R882" s="137">
        <v>1.06</v>
      </c>
      <c r="S882" s="120">
        <v>0</v>
      </c>
      <c r="T882" s="120">
        <v>3888300</v>
      </c>
      <c r="U882" s="120">
        <v>0</v>
      </c>
      <c r="V882" s="114">
        <f t="shared" si="30"/>
        <v>3888300</v>
      </c>
      <c r="W882" s="114">
        <f t="shared" si="31"/>
        <v>3888300</v>
      </c>
    </row>
    <row r="883" spans="1:23">
      <c r="A883" s="122" t="s">
        <v>849</v>
      </c>
      <c r="B883" s="124">
        <v>279.37</v>
      </c>
      <c r="C883" s="124">
        <v>237.90299999999999</v>
      </c>
      <c r="D883" s="124">
        <v>231.84899999999999</v>
      </c>
      <c r="E883" s="124">
        <v>229.761</v>
      </c>
      <c r="F883" s="124">
        <v>64.850399999999993</v>
      </c>
      <c r="G883" s="124">
        <v>54.104399999999998</v>
      </c>
      <c r="H883" s="124">
        <v>51.771500000000003</v>
      </c>
      <c r="I883" s="124">
        <v>49.387799999999999</v>
      </c>
      <c r="J883" s="134">
        <v>108553275</v>
      </c>
      <c r="K883" s="134">
        <v>112262046</v>
      </c>
      <c r="L883" s="124">
        <v>472.02800000000002</v>
      </c>
      <c r="M883" s="114">
        <v>0</v>
      </c>
      <c r="N883" s="135">
        <v>46.560099999999998</v>
      </c>
      <c r="O883" s="135">
        <v>37.083300000000001</v>
      </c>
      <c r="P883" s="135">
        <v>34.324100000000001</v>
      </c>
      <c r="Q883" s="135">
        <v>36.179299999999998</v>
      </c>
      <c r="R883" s="137">
        <v>1.04</v>
      </c>
      <c r="S883" s="120">
        <v>0</v>
      </c>
      <c r="T883" s="120">
        <v>1548008</v>
      </c>
      <c r="U883" s="120">
        <v>0</v>
      </c>
      <c r="V883" s="114">
        <f t="shared" si="30"/>
        <v>1548008</v>
      </c>
      <c r="W883" s="114">
        <f t="shared" si="31"/>
        <v>1548008</v>
      </c>
    </row>
    <row r="884" spans="1:23">
      <c r="A884" s="122" t="s">
        <v>850</v>
      </c>
      <c r="B884" s="124">
        <v>887.65800000000002</v>
      </c>
      <c r="C884" s="124">
        <v>881.97299999999996</v>
      </c>
      <c r="D884" s="124">
        <v>861.20500000000004</v>
      </c>
      <c r="E884" s="124">
        <v>853.65800000000002</v>
      </c>
      <c r="F884" s="124">
        <v>155.82060000000001</v>
      </c>
      <c r="G884" s="124">
        <v>156.648</v>
      </c>
      <c r="H884" s="124">
        <v>152.3622</v>
      </c>
      <c r="I884" s="124">
        <v>150.93170000000001</v>
      </c>
      <c r="J884" s="134">
        <v>416921618</v>
      </c>
      <c r="K884" s="134">
        <v>426100608</v>
      </c>
      <c r="L884" s="124">
        <v>1479.5709999999999</v>
      </c>
      <c r="M884" s="114">
        <v>0</v>
      </c>
      <c r="N884" s="135">
        <v>104.9053</v>
      </c>
      <c r="O884" s="135">
        <v>106.00069999999999</v>
      </c>
      <c r="P884" s="135">
        <v>104.0599</v>
      </c>
      <c r="Q884" s="135">
        <v>104.9676</v>
      </c>
      <c r="R884" s="137">
        <v>1.08</v>
      </c>
      <c r="S884" s="120">
        <v>849254</v>
      </c>
      <c r="T884" s="120">
        <v>7812965</v>
      </c>
      <c r="U884" s="120">
        <v>0</v>
      </c>
      <c r="V884" s="114">
        <f t="shared" si="30"/>
        <v>7812965</v>
      </c>
      <c r="W884" s="114">
        <f t="shared" si="31"/>
        <v>8662219</v>
      </c>
    </row>
    <row r="885" spans="1:23">
      <c r="A885" s="122" t="s">
        <v>906</v>
      </c>
      <c r="B885" s="124">
        <v>203.262</v>
      </c>
      <c r="C885" s="124">
        <v>221.899</v>
      </c>
      <c r="D885" s="124">
        <v>215.19800000000001</v>
      </c>
      <c r="E885" s="124">
        <v>209.828</v>
      </c>
      <c r="F885" s="124">
        <v>43.9617</v>
      </c>
      <c r="G885" s="124">
        <v>41.134799999999998</v>
      </c>
      <c r="H885" s="124">
        <v>45.293700000000001</v>
      </c>
      <c r="I885" s="124">
        <v>42.555599999999998</v>
      </c>
      <c r="J885" s="134">
        <v>52435198</v>
      </c>
      <c r="K885" s="134">
        <v>54845918</v>
      </c>
      <c r="L885" s="124">
        <v>422.41500000000002</v>
      </c>
      <c r="M885" s="114">
        <v>0</v>
      </c>
      <c r="N885" s="135">
        <v>27.959399999999999</v>
      </c>
      <c r="O885" s="135">
        <v>24.3261</v>
      </c>
      <c r="P885" s="135">
        <v>26.720300000000002</v>
      </c>
      <c r="Q885" s="135">
        <v>26.483899999999998</v>
      </c>
      <c r="R885" s="137">
        <v>1.06</v>
      </c>
      <c r="S885" s="120">
        <v>0</v>
      </c>
      <c r="T885" s="120">
        <v>825674</v>
      </c>
      <c r="U885" s="120">
        <v>0</v>
      </c>
      <c r="V885" s="114">
        <f t="shared" si="30"/>
        <v>825674</v>
      </c>
      <c r="W885" s="114">
        <f t="shared" si="31"/>
        <v>825674</v>
      </c>
    </row>
    <row r="886" spans="1:23">
      <c r="A886" s="122" t="s">
        <v>617</v>
      </c>
      <c r="B886" s="124">
        <v>1247.788</v>
      </c>
      <c r="C886" s="124">
        <v>1192.3710000000001</v>
      </c>
      <c r="D886" s="124">
        <v>1156.3610000000001</v>
      </c>
      <c r="E886" s="124">
        <v>1104.002</v>
      </c>
      <c r="F886" s="124">
        <v>232.76750000000001</v>
      </c>
      <c r="G886" s="124">
        <v>222.59049999999999</v>
      </c>
      <c r="H886" s="124">
        <v>203.02</v>
      </c>
      <c r="I886" s="124">
        <v>202.34059999999999</v>
      </c>
      <c r="J886" s="134">
        <v>117774744</v>
      </c>
      <c r="K886" s="134">
        <v>128712604</v>
      </c>
      <c r="L886" s="124">
        <v>1815.9349999999999</v>
      </c>
      <c r="M886" s="114">
        <v>0</v>
      </c>
      <c r="N886" s="135">
        <v>160.7107</v>
      </c>
      <c r="O886" s="135">
        <v>152.20509999999999</v>
      </c>
      <c r="P886" s="135">
        <v>135.36850000000001</v>
      </c>
      <c r="Q886" s="135">
        <v>131.9556</v>
      </c>
      <c r="R886" s="137">
        <v>1.08</v>
      </c>
      <c r="S886" s="120">
        <v>0</v>
      </c>
      <c r="T886" s="120">
        <v>1857076</v>
      </c>
      <c r="U886" s="120">
        <v>0</v>
      </c>
      <c r="V886" s="114">
        <f t="shared" si="30"/>
        <v>1857076</v>
      </c>
      <c r="W886" s="114">
        <f t="shared" si="31"/>
        <v>1857076</v>
      </c>
    </row>
    <row r="887" spans="1:23">
      <c r="A887" s="122" t="s">
        <v>618</v>
      </c>
      <c r="B887" s="124">
        <v>306.32600000000002</v>
      </c>
      <c r="C887" s="124">
        <v>311.60399999999998</v>
      </c>
      <c r="D887" s="124">
        <v>307.85399999999998</v>
      </c>
      <c r="E887" s="124">
        <v>299.32600000000002</v>
      </c>
      <c r="F887" s="124">
        <v>60.7834</v>
      </c>
      <c r="G887" s="124">
        <v>62.831499999999998</v>
      </c>
      <c r="H887" s="124">
        <v>58.831499999999998</v>
      </c>
      <c r="I887" s="124">
        <v>59.384999999999998</v>
      </c>
      <c r="J887" s="134">
        <v>44286561</v>
      </c>
      <c r="K887" s="134">
        <v>46930471</v>
      </c>
      <c r="L887" s="124">
        <v>508.06099999999998</v>
      </c>
      <c r="M887" s="114">
        <v>0</v>
      </c>
      <c r="N887" s="135">
        <v>40.503100000000003</v>
      </c>
      <c r="O887" s="135">
        <v>42.5002</v>
      </c>
      <c r="P887" s="135">
        <v>37.591700000000003</v>
      </c>
      <c r="Q887" s="135">
        <v>38.002499999999998</v>
      </c>
      <c r="R887" s="137">
        <v>1.07</v>
      </c>
      <c r="S887" s="120">
        <v>0</v>
      </c>
      <c r="T887" s="120">
        <v>787548</v>
      </c>
      <c r="U887" s="120">
        <v>0</v>
      </c>
      <c r="V887" s="114">
        <f t="shared" si="30"/>
        <v>787548</v>
      </c>
      <c r="W887" s="114">
        <f t="shared" si="31"/>
        <v>787548</v>
      </c>
    </row>
    <row r="888" spans="1:23">
      <c r="A888" s="122" t="s">
        <v>2621</v>
      </c>
      <c r="B888" s="124">
        <v>51249.921999999999</v>
      </c>
      <c r="C888" s="124">
        <v>54842.800999999999</v>
      </c>
      <c r="D888" s="124">
        <v>56016.186999999998</v>
      </c>
      <c r="E888" s="124">
        <v>57010.377</v>
      </c>
      <c r="F888" s="124">
        <v>6604.3449000000001</v>
      </c>
      <c r="G888" s="124">
        <v>7274.1854999999996</v>
      </c>
      <c r="H888" s="124">
        <v>7824.9587000000001</v>
      </c>
      <c r="I888" s="124">
        <v>7594.1103999999996</v>
      </c>
      <c r="J888" s="134">
        <v>16140831962</v>
      </c>
      <c r="K888" s="134">
        <v>16733008683</v>
      </c>
      <c r="L888" s="124">
        <v>72417.781000000003</v>
      </c>
      <c r="M888" s="134">
        <v>36072205</v>
      </c>
      <c r="N888" s="135">
        <v>4128.7991000000002</v>
      </c>
      <c r="O888" s="135">
        <v>4599.4165000000003</v>
      </c>
      <c r="P888" s="135">
        <v>4814.4355999999998</v>
      </c>
      <c r="Q888" s="135">
        <v>4749.6705000000002</v>
      </c>
      <c r="R888" s="137">
        <v>1.1399999999999999</v>
      </c>
      <c r="S888" s="120">
        <v>43195664</v>
      </c>
      <c r="T888" s="120">
        <v>250652955</v>
      </c>
      <c r="U888" s="120">
        <v>0</v>
      </c>
      <c r="V888" s="114">
        <f t="shared" si="30"/>
        <v>250652955</v>
      </c>
      <c r="W888" s="114">
        <f t="shared" si="31"/>
        <v>293848619</v>
      </c>
    </row>
    <row r="889" spans="1:23">
      <c r="A889" s="122" t="s">
        <v>985</v>
      </c>
      <c r="B889" s="124">
        <v>19516.898000000001</v>
      </c>
      <c r="C889" s="124">
        <v>19896.276999999998</v>
      </c>
      <c r="D889" s="124">
        <v>20429.53</v>
      </c>
      <c r="E889" s="124">
        <v>20791.214</v>
      </c>
      <c r="F889" s="124">
        <v>2502.3865999999998</v>
      </c>
      <c r="G889" s="124">
        <v>2516.9935</v>
      </c>
      <c r="H889" s="124">
        <v>2614.1156000000001</v>
      </c>
      <c r="I889" s="124">
        <v>2703.3489</v>
      </c>
      <c r="J889" s="134">
        <v>5049424248</v>
      </c>
      <c r="K889" s="134">
        <v>5318128344</v>
      </c>
      <c r="L889" s="124">
        <v>26589.654999999999</v>
      </c>
      <c r="M889" s="134">
        <v>6759586</v>
      </c>
      <c r="N889" s="135">
        <v>1371.6610000000001</v>
      </c>
      <c r="O889" s="135">
        <v>1408.0201999999999</v>
      </c>
      <c r="P889" s="135">
        <v>1457.2266</v>
      </c>
      <c r="Q889" s="135">
        <v>1466.4761000000001</v>
      </c>
      <c r="R889" s="137">
        <v>1.1399999999999999</v>
      </c>
      <c r="S889" s="120">
        <v>8819384</v>
      </c>
      <c r="T889" s="120">
        <v>79143840</v>
      </c>
      <c r="U889" s="120">
        <v>0</v>
      </c>
      <c r="V889" s="114">
        <f t="shared" si="30"/>
        <v>79143840</v>
      </c>
      <c r="W889" s="114">
        <f t="shared" si="31"/>
        <v>87963224</v>
      </c>
    </row>
    <row r="890" spans="1:23">
      <c r="A890" s="122" t="s">
        <v>2111</v>
      </c>
      <c r="B890" s="124">
        <v>3221.1619999999998</v>
      </c>
      <c r="C890" s="124">
        <v>3382.5309999999999</v>
      </c>
      <c r="D890" s="124">
        <v>3378.3989999999999</v>
      </c>
      <c r="E890" s="124">
        <v>3542.5340000000001</v>
      </c>
      <c r="F890" s="124">
        <v>461.46480000000003</v>
      </c>
      <c r="G890" s="124">
        <v>467.41070000000002</v>
      </c>
      <c r="H890" s="124">
        <v>487.39179999999999</v>
      </c>
      <c r="I890" s="124">
        <v>493.27050000000003</v>
      </c>
      <c r="J890" s="134">
        <v>562287735</v>
      </c>
      <c r="K890" s="134">
        <v>600722915</v>
      </c>
      <c r="L890" s="124">
        <v>5043.973</v>
      </c>
      <c r="M890" s="134">
        <v>546467</v>
      </c>
      <c r="N890" s="135">
        <v>298.23430000000002</v>
      </c>
      <c r="O890" s="135">
        <v>298.0188</v>
      </c>
      <c r="P890" s="135">
        <v>314.20569999999998</v>
      </c>
      <c r="Q890" s="135">
        <v>316.13499999999999</v>
      </c>
      <c r="R890" s="137">
        <v>1.1100000000000001</v>
      </c>
      <c r="S890" s="120">
        <v>608725</v>
      </c>
      <c r="T890" s="120">
        <v>8499884</v>
      </c>
      <c r="U890" s="120">
        <v>0</v>
      </c>
      <c r="V890" s="114">
        <f t="shared" si="30"/>
        <v>8499884</v>
      </c>
      <c r="W890" s="114">
        <f t="shared" si="31"/>
        <v>9108609</v>
      </c>
    </row>
    <row r="891" spans="1:23">
      <c r="A891" s="122" t="s">
        <v>2297</v>
      </c>
      <c r="B891" s="124">
        <v>71655.37</v>
      </c>
      <c r="C891" s="124">
        <v>72135.188999999998</v>
      </c>
      <c r="D891" s="124">
        <v>73275.513000000006</v>
      </c>
      <c r="E891" s="124">
        <v>73695.296000000002</v>
      </c>
      <c r="F891" s="124">
        <v>9117.2949000000008</v>
      </c>
      <c r="G891" s="124">
        <v>9878.5475999999999</v>
      </c>
      <c r="H891" s="124">
        <v>9823.2790000000005</v>
      </c>
      <c r="I891" s="124">
        <v>9939.2317999999996</v>
      </c>
      <c r="J891" s="134">
        <v>15080314818</v>
      </c>
      <c r="K891" s="134">
        <v>15858397227</v>
      </c>
      <c r="L891" s="124">
        <v>98560.786999999997</v>
      </c>
      <c r="M891" s="134">
        <v>21816041</v>
      </c>
      <c r="N891" s="135">
        <v>5436.0091000000002</v>
      </c>
      <c r="O891" s="135">
        <v>5603.2358000000004</v>
      </c>
      <c r="P891" s="135">
        <v>5959.4686000000002</v>
      </c>
      <c r="Q891" s="135">
        <v>5959.1691000000001</v>
      </c>
      <c r="R891" s="137">
        <v>1.1399999999999999</v>
      </c>
      <c r="S891" s="120">
        <v>29421015</v>
      </c>
      <c r="T891" s="120">
        <v>233014832</v>
      </c>
      <c r="U891" s="120">
        <v>0</v>
      </c>
      <c r="V891" s="114">
        <f t="shared" si="30"/>
        <v>233014832</v>
      </c>
      <c r="W891" s="114">
        <f t="shared" si="31"/>
        <v>262435847</v>
      </c>
    </row>
    <row r="892" spans="1:23">
      <c r="A892" s="122" t="s">
        <v>2497</v>
      </c>
      <c r="B892" s="124">
        <v>12898.241</v>
      </c>
      <c r="C892" s="124">
        <v>13035.703</v>
      </c>
      <c r="D892" s="124">
        <v>13235.132</v>
      </c>
      <c r="E892" s="124">
        <v>13225.746999999999</v>
      </c>
      <c r="F892" s="124">
        <v>1626.6976999999999</v>
      </c>
      <c r="G892" s="124">
        <v>1683.5524</v>
      </c>
      <c r="H892" s="124">
        <v>1693.6767</v>
      </c>
      <c r="I892" s="124">
        <v>1647.7588000000001</v>
      </c>
      <c r="J892" s="134">
        <v>7081610027</v>
      </c>
      <c r="K892" s="134">
        <v>7295699816</v>
      </c>
      <c r="L892" s="124">
        <v>15209.175999999999</v>
      </c>
      <c r="M892" s="134">
        <v>13552242</v>
      </c>
      <c r="N892" s="135">
        <v>1076.2326</v>
      </c>
      <c r="O892" s="135">
        <v>1101.7663</v>
      </c>
      <c r="P892" s="135">
        <v>1102.0589</v>
      </c>
      <c r="Q892" s="135">
        <v>1071.6622</v>
      </c>
      <c r="R892" s="137">
        <v>1.1299999999999999</v>
      </c>
      <c r="S892" s="120">
        <v>16540596</v>
      </c>
      <c r="T892" s="120">
        <v>104017549</v>
      </c>
      <c r="U892" s="120">
        <v>0</v>
      </c>
      <c r="V892" s="114">
        <f t="shared" si="30"/>
        <v>104017549</v>
      </c>
      <c r="W892" s="114">
        <f t="shared" si="31"/>
        <v>120558145</v>
      </c>
    </row>
    <row r="893" spans="1:23">
      <c r="A893" s="122" t="s">
        <v>57</v>
      </c>
      <c r="B893" s="124">
        <v>14553.724</v>
      </c>
      <c r="C893" s="124">
        <v>15767.397000000001</v>
      </c>
      <c r="D893" s="124">
        <v>16965.866000000002</v>
      </c>
      <c r="E893" s="124">
        <v>18413.197</v>
      </c>
      <c r="F893" s="124">
        <v>1481.0675000000001</v>
      </c>
      <c r="G893" s="124">
        <v>1666.3286000000001</v>
      </c>
      <c r="H893" s="124">
        <v>1869.4762000000001</v>
      </c>
      <c r="I893" s="124">
        <v>2002.4023999999999</v>
      </c>
      <c r="J893" s="134">
        <v>4341927194</v>
      </c>
      <c r="K893" s="134">
        <v>4554614792</v>
      </c>
      <c r="L893" s="124">
        <v>21204.347000000002</v>
      </c>
      <c r="M893" s="134">
        <v>12336729</v>
      </c>
      <c r="N893" s="135">
        <v>972.43330000000003</v>
      </c>
      <c r="O893" s="135">
        <v>1087.0500999999999</v>
      </c>
      <c r="P893" s="135">
        <v>1197.9675</v>
      </c>
      <c r="Q893" s="135">
        <v>1274.2320999999999</v>
      </c>
      <c r="R893" s="137">
        <v>1.1299999999999999</v>
      </c>
      <c r="S893" s="120">
        <v>13661772</v>
      </c>
      <c r="T893" s="120">
        <v>73205791</v>
      </c>
      <c r="U893" s="120">
        <v>0</v>
      </c>
      <c r="V893" s="114">
        <f t="shared" si="30"/>
        <v>73205791</v>
      </c>
      <c r="W893" s="114">
        <f t="shared" si="31"/>
        <v>86867563</v>
      </c>
    </row>
    <row r="894" spans="1:23">
      <c r="A894" s="122" t="s">
        <v>379</v>
      </c>
      <c r="B894" s="124">
        <v>12826.76</v>
      </c>
      <c r="C894" s="124">
        <v>14264.772000000001</v>
      </c>
      <c r="D894" s="124">
        <v>16128.87</v>
      </c>
      <c r="E894" s="124">
        <v>18109.055</v>
      </c>
      <c r="F894" s="124">
        <v>1553.4426000000001</v>
      </c>
      <c r="G894" s="124">
        <v>1754.2384999999999</v>
      </c>
      <c r="H894" s="124">
        <v>2002.8498999999999</v>
      </c>
      <c r="I894" s="124">
        <v>2236.1071000000002</v>
      </c>
      <c r="J894" s="134">
        <v>3512858794</v>
      </c>
      <c r="K894" s="134">
        <v>3687185098</v>
      </c>
      <c r="L894" s="124">
        <v>22180.192999999999</v>
      </c>
      <c r="M894" s="134">
        <v>6751696</v>
      </c>
      <c r="N894" s="135">
        <v>994.69349999999997</v>
      </c>
      <c r="O894" s="135">
        <v>1131.0059000000001</v>
      </c>
      <c r="P894" s="135">
        <v>1272.7405000000001</v>
      </c>
      <c r="Q894" s="135">
        <v>1430.3879999999999</v>
      </c>
      <c r="R894" s="137">
        <v>1.1299999999999999</v>
      </c>
      <c r="S894" s="120">
        <v>13356323</v>
      </c>
      <c r="T894" s="120">
        <v>57769970</v>
      </c>
      <c r="U894" s="120">
        <v>0</v>
      </c>
      <c r="V894" s="114">
        <f t="shared" si="30"/>
        <v>57769970</v>
      </c>
      <c r="W894" s="114">
        <f t="shared" si="31"/>
        <v>71126293</v>
      </c>
    </row>
    <row r="895" spans="1:23">
      <c r="A895" s="122" t="s">
        <v>2498</v>
      </c>
      <c r="B895" s="124">
        <v>109.61</v>
      </c>
      <c r="C895" s="124">
        <v>146.68299999999999</v>
      </c>
      <c r="D895" s="124">
        <v>151.262</v>
      </c>
      <c r="E895" s="124">
        <v>147.072</v>
      </c>
      <c r="F895" s="124">
        <v>26.524100000000001</v>
      </c>
      <c r="G895" s="124">
        <v>32.262</v>
      </c>
      <c r="H895" s="124">
        <v>36.616</v>
      </c>
      <c r="I895" s="124">
        <v>32</v>
      </c>
      <c r="J895" s="47">
        <v>0</v>
      </c>
      <c r="K895" s="47">
        <v>0</v>
      </c>
      <c r="L895" s="124">
        <v>0</v>
      </c>
      <c r="M895" s="134">
        <v>0</v>
      </c>
      <c r="N895" s="135">
        <v>20.524000000000001</v>
      </c>
      <c r="O895" s="135">
        <v>23.999600000000001</v>
      </c>
      <c r="P895" s="135">
        <v>27.001200000000001</v>
      </c>
      <c r="Q895" s="135">
        <v>23.0002</v>
      </c>
      <c r="R895" s="137">
        <v>1.0900000000000001</v>
      </c>
      <c r="S895" s="72">
        <v>0</v>
      </c>
      <c r="T895" s="72">
        <v>0</v>
      </c>
      <c r="U895" s="72">
        <v>0</v>
      </c>
      <c r="V895">
        <f t="shared" si="30"/>
        <v>0</v>
      </c>
      <c r="W895">
        <f t="shared" si="31"/>
        <v>0</v>
      </c>
    </row>
    <row r="896" spans="1:23">
      <c r="A896" s="122" t="s">
        <v>1986</v>
      </c>
      <c r="B896" s="124">
        <v>1731.9839999999999</v>
      </c>
      <c r="C896" s="124">
        <v>1805.4880000000001</v>
      </c>
      <c r="D896" s="124">
        <v>1881.2449999999999</v>
      </c>
      <c r="E896" s="124">
        <v>1949.3779999999999</v>
      </c>
      <c r="F896" s="124">
        <v>308.02530000000002</v>
      </c>
      <c r="G896" s="124">
        <v>312.51299999999998</v>
      </c>
      <c r="H896" s="124">
        <v>322.50639999999999</v>
      </c>
      <c r="I896" s="124">
        <v>351.16149999999999</v>
      </c>
      <c r="J896" s="134">
        <v>310079332</v>
      </c>
      <c r="K896" s="134">
        <v>326323341</v>
      </c>
      <c r="L896" s="124">
        <v>2756.2559999999999</v>
      </c>
      <c r="M896" s="134">
        <v>348960</v>
      </c>
      <c r="N896" s="135">
        <v>186.38380000000001</v>
      </c>
      <c r="O896" s="135">
        <v>187.68530000000001</v>
      </c>
      <c r="P896" s="135">
        <v>191.87559999999999</v>
      </c>
      <c r="Q896" s="135">
        <v>206.8219</v>
      </c>
      <c r="R896" s="137">
        <v>1.0900000000000001</v>
      </c>
      <c r="S896" s="120">
        <v>1035070</v>
      </c>
      <c r="T896" s="120">
        <v>5118276</v>
      </c>
      <c r="U896" s="120">
        <v>0</v>
      </c>
      <c r="V896" s="114">
        <f t="shared" ref="V896:V902" si="32">T896+U896</f>
        <v>5118276</v>
      </c>
      <c r="W896" s="114">
        <f t="shared" ref="W896:W902" si="33">V896+S896</f>
        <v>6153346</v>
      </c>
    </row>
    <row r="897" spans="1:23">
      <c r="A897" s="122" t="s">
        <v>2759</v>
      </c>
      <c r="B897" s="124">
        <v>7952.3950000000004</v>
      </c>
      <c r="C897" s="124">
        <v>8443.4419999999991</v>
      </c>
      <c r="D897" s="124">
        <v>9148.4259999999995</v>
      </c>
      <c r="E897" s="124">
        <v>10001.727000000001</v>
      </c>
      <c r="F897" s="124">
        <v>1174.9899</v>
      </c>
      <c r="G897" s="124">
        <v>1217.0235</v>
      </c>
      <c r="H897" s="124">
        <v>1305.0820000000001</v>
      </c>
      <c r="I897" s="124">
        <v>1387.5488</v>
      </c>
      <c r="J897" s="134">
        <v>2342798533</v>
      </c>
      <c r="K897" s="134">
        <v>2444751613</v>
      </c>
      <c r="L897" s="124">
        <v>12376.83</v>
      </c>
      <c r="M897" s="134">
        <v>2490832</v>
      </c>
      <c r="N897" s="135">
        <v>811.28959999999995</v>
      </c>
      <c r="O897" s="135">
        <v>856.67520000000002</v>
      </c>
      <c r="P897" s="135">
        <v>938.60730000000001</v>
      </c>
      <c r="Q897" s="135">
        <v>993.82680000000005</v>
      </c>
      <c r="R897" s="137">
        <v>1.1200000000000001</v>
      </c>
      <c r="S897" s="120">
        <v>5710220</v>
      </c>
      <c r="T897" s="120">
        <v>38412951</v>
      </c>
      <c r="U897" s="120">
        <v>0</v>
      </c>
      <c r="V897" s="114">
        <f t="shared" si="32"/>
        <v>38412951</v>
      </c>
      <c r="W897" s="114">
        <f t="shared" si="33"/>
        <v>44123171</v>
      </c>
    </row>
    <row r="898" spans="1:23">
      <c r="A898" s="122" t="s">
        <v>59</v>
      </c>
      <c r="B898" s="124">
        <v>2359.3339999999998</v>
      </c>
      <c r="C898" s="124">
        <v>2485.0070000000001</v>
      </c>
      <c r="D898" s="124">
        <v>2517.183</v>
      </c>
      <c r="E898" s="124">
        <v>2615.9250000000002</v>
      </c>
      <c r="F898" s="124">
        <v>340.33670000000001</v>
      </c>
      <c r="G898" s="124">
        <v>344.94600000000003</v>
      </c>
      <c r="H898" s="124">
        <v>338.53460000000001</v>
      </c>
      <c r="I898" s="124">
        <v>342.65780000000001</v>
      </c>
      <c r="J898" s="134">
        <v>559609288</v>
      </c>
      <c r="K898" s="134">
        <v>595343914</v>
      </c>
      <c r="L898" s="124">
        <v>3337.3530000000001</v>
      </c>
      <c r="M898" s="134">
        <v>380109</v>
      </c>
      <c r="N898" s="135">
        <v>234.17590000000001</v>
      </c>
      <c r="O898" s="135">
        <v>229.61490000000001</v>
      </c>
      <c r="P898" s="135">
        <v>223.69800000000001</v>
      </c>
      <c r="Q898" s="135">
        <v>222.3785</v>
      </c>
      <c r="R898" s="137">
        <v>1.0900000000000001</v>
      </c>
      <c r="S898" s="120">
        <v>775335</v>
      </c>
      <c r="T898" s="120">
        <v>9445581</v>
      </c>
      <c r="U898" s="120">
        <v>0</v>
      </c>
      <c r="V898" s="114">
        <f t="shared" si="32"/>
        <v>9445581</v>
      </c>
      <c r="W898" s="114">
        <f t="shared" si="33"/>
        <v>10220916</v>
      </c>
    </row>
    <row r="899" spans="1:23">
      <c r="A899" s="122" t="s">
        <v>1894</v>
      </c>
      <c r="B899" s="124">
        <v>5244.8779999999997</v>
      </c>
      <c r="C899" s="124">
        <v>5492.2160000000003</v>
      </c>
      <c r="D899" s="124">
        <v>5496.5529999999999</v>
      </c>
      <c r="E899" s="124">
        <v>5500.9930000000004</v>
      </c>
      <c r="F899" s="124">
        <v>781.79660000000001</v>
      </c>
      <c r="G899" s="124">
        <v>794.52340000000004</v>
      </c>
      <c r="H899" s="124">
        <v>829.57389999999998</v>
      </c>
      <c r="I899" s="124">
        <v>798.40679999999998</v>
      </c>
      <c r="J899" s="134">
        <v>913494889</v>
      </c>
      <c r="K899" s="134">
        <v>981290774</v>
      </c>
      <c r="L899" s="124">
        <v>6854.9</v>
      </c>
      <c r="M899" s="134">
        <v>747389</v>
      </c>
      <c r="N899" s="135">
        <v>506.44</v>
      </c>
      <c r="O899" s="135">
        <v>518.87130000000002</v>
      </c>
      <c r="P899" s="135">
        <v>521.71690000000001</v>
      </c>
      <c r="Q899" s="135">
        <v>503.63459999999998</v>
      </c>
      <c r="R899" s="137">
        <v>1.1200000000000001</v>
      </c>
      <c r="S899" s="120">
        <v>1536586</v>
      </c>
      <c r="T899" s="120">
        <v>15258834</v>
      </c>
      <c r="U899" s="120">
        <v>0</v>
      </c>
      <c r="V899" s="114">
        <f t="shared" si="32"/>
        <v>15258834</v>
      </c>
      <c r="W899" s="114">
        <f t="shared" si="33"/>
        <v>16795420</v>
      </c>
    </row>
    <row r="900" spans="1:23">
      <c r="A900" s="122" t="s">
        <v>1280</v>
      </c>
      <c r="B900" s="124">
        <v>17993.923999999999</v>
      </c>
      <c r="C900" s="124">
        <v>18112.669000000002</v>
      </c>
      <c r="D900" s="124">
        <v>18365.819</v>
      </c>
      <c r="E900" s="124">
        <v>18515.100999999999</v>
      </c>
      <c r="F900" s="124">
        <v>2303.7683000000002</v>
      </c>
      <c r="G900" s="124">
        <v>2343.7538</v>
      </c>
      <c r="H900" s="124">
        <v>2408.8773999999999</v>
      </c>
      <c r="I900" s="124">
        <v>2388.7687000000001</v>
      </c>
      <c r="J900" s="134">
        <v>6879932032</v>
      </c>
      <c r="K900" s="134">
        <v>7135954388</v>
      </c>
      <c r="L900" s="124">
        <v>22935.437999999998</v>
      </c>
      <c r="M900" s="134">
        <v>11729394</v>
      </c>
      <c r="N900" s="135">
        <v>1480.4172000000001</v>
      </c>
      <c r="O900" s="135">
        <v>1473.4079999999999</v>
      </c>
      <c r="P900" s="135">
        <v>1481.8353999999999</v>
      </c>
      <c r="Q900" s="135">
        <v>1467.0231000000001</v>
      </c>
      <c r="R900" s="137">
        <v>1.1399999999999999</v>
      </c>
      <c r="S900" s="120">
        <v>16309753</v>
      </c>
      <c r="T900" s="120">
        <v>99778465</v>
      </c>
      <c r="U900" s="120">
        <v>0</v>
      </c>
      <c r="V900" s="114">
        <f t="shared" si="32"/>
        <v>99778465</v>
      </c>
      <c r="W900" s="114">
        <f t="shared" si="33"/>
        <v>116088218</v>
      </c>
    </row>
    <row r="901" spans="1:23">
      <c r="A901" s="122" t="s">
        <v>2108</v>
      </c>
      <c r="B901" s="124">
        <v>2967.375</v>
      </c>
      <c r="C901" s="124">
        <v>3058.9969999999998</v>
      </c>
      <c r="D901" s="124">
        <v>3000.201</v>
      </c>
      <c r="E901" s="124">
        <v>2983.6579999999999</v>
      </c>
      <c r="F901" s="124">
        <v>443.59109999999998</v>
      </c>
      <c r="G901" s="124">
        <v>443.00639999999999</v>
      </c>
      <c r="H901" s="124">
        <v>440.7072</v>
      </c>
      <c r="I901" s="124">
        <v>440.84309999999999</v>
      </c>
      <c r="J901" s="134">
        <v>281039666</v>
      </c>
      <c r="K901" s="134">
        <v>318913798</v>
      </c>
      <c r="L901" s="124">
        <v>4145.9179999999997</v>
      </c>
      <c r="M901" s="134">
        <v>135963</v>
      </c>
      <c r="N901" s="135">
        <v>275.66359999999997</v>
      </c>
      <c r="O901" s="135">
        <v>271.94299999999998</v>
      </c>
      <c r="P901" s="135">
        <v>262.77949999999998</v>
      </c>
      <c r="Q901" s="135">
        <v>248.97130000000001</v>
      </c>
      <c r="R901" s="137">
        <v>1.1100000000000001</v>
      </c>
      <c r="S901" s="120">
        <v>524056</v>
      </c>
      <c r="T901" s="120">
        <v>4380598</v>
      </c>
      <c r="U901" s="120">
        <v>0</v>
      </c>
      <c r="V901" s="114">
        <f t="shared" si="32"/>
        <v>4380598</v>
      </c>
      <c r="W901" s="114">
        <f t="shared" si="33"/>
        <v>4904654</v>
      </c>
    </row>
    <row r="902" spans="1:23">
      <c r="A902" s="122" t="s">
        <v>2542</v>
      </c>
      <c r="B902" s="124">
        <v>5855.0820000000003</v>
      </c>
      <c r="C902" s="124">
        <v>6205.8469999999998</v>
      </c>
      <c r="D902" s="124">
        <v>6777.5879999999997</v>
      </c>
      <c r="E902" s="124">
        <v>7335.0879999999997</v>
      </c>
      <c r="F902" s="124">
        <v>685.50199999999995</v>
      </c>
      <c r="G902" s="124">
        <v>714.44550000000004</v>
      </c>
      <c r="H902" s="124">
        <v>779.55840000000001</v>
      </c>
      <c r="I902" s="124">
        <v>818.68010000000004</v>
      </c>
      <c r="J902" s="134">
        <v>2458262681</v>
      </c>
      <c r="K902" s="134">
        <v>2545061490</v>
      </c>
      <c r="L902" s="124">
        <v>8638.7990000000009</v>
      </c>
      <c r="M902" s="134">
        <v>2473120</v>
      </c>
      <c r="N902" s="135">
        <v>442.14769999999999</v>
      </c>
      <c r="O902" s="135">
        <v>456.3562</v>
      </c>
      <c r="P902" s="135">
        <v>500.40600000000001</v>
      </c>
      <c r="Q902" s="135">
        <v>531.57449999999994</v>
      </c>
      <c r="R902" s="137">
        <v>1.1200000000000001</v>
      </c>
      <c r="S902" s="120">
        <v>7220324</v>
      </c>
      <c r="T902" s="120">
        <v>35129652</v>
      </c>
      <c r="U902" s="120">
        <v>0</v>
      </c>
      <c r="V902" s="114">
        <f t="shared" si="32"/>
        <v>35129652</v>
      </c>
      <c r="W902" s="114">
        <f t="shared" si="33"/>
        <v>42349976</v>
      </c>
    </row>
    <row r="903" spans="1:23">
      <c r="A903" s="122" t="s">
        <v>2107</v>
      </c>
      <c r="B903" s="124">
        <v>5927.616</v>
      </c>
      <c r="C903" s="124">
        <v>6274.415</v>
      </c>
      <c r="D903" s="124">
        <v>6783.5950000000003</v>
      </c>
      <c r="E903" s="124">
        <v>6984.9290000000001</v>
      </c>
      <c r="F903" s="124">
        <v>778.91980000000001</v>
      </c>
      <c r="G903" s="124">
        <v>856.64369999999997</v>
      </c>
      <c r="H903" s="124">
        <v>958.84370000000001</v>
      </c>
      <c r="I903" s="124">
        <v>978.88070000000005</v>
      </c>
      <c r="J903" s="134">
        <v>3011387647</v>
      </c>
      <c r="K903" s="134">
        <v>3077798709</v>
      </c>
      <c r="L903" s="124">
        <v>7898.4939999999997</v>
      </c>
      <c r="M903" s="134">
        <v>8733024</v>
      </c>
      <c r="N903" s="135">
        <v>509.54430000000002</v>
      </c>
      <c r="O903" s="135">
        <v>550.83040000000005</v>
      </c>
      <c r="P903" s="135">
        <v>568.53189999999995</v>
      </c>
      <c r="Q903" s="135">
        <v>569.32029999999997</v>
      </c>
      <c r="R903" s="137">
        <v>1.1000000000000001</v>
      </c>
      <c r="S903" s="120">
        <v>17103721</v>
      </c>
      <c r="T903" s="120">
        <v>49286694</v>
      </c>
      <c r="U903" s="120">
        <v>0</v>
      </c>
      <c r="V903" s="114">
        <f t="shared" ref="V903:V966" si="34">T903+U903</f>
        <v>49286694</v>
      </c>
      <c r="W903" s="114">
        <f t="shared" ref="W903:W966" si="35">V903+S903</f>
        <v>66390415</v>
      </c>
    </row>
    <row r="904" spans="1:23">
      <c r="A904" s="122" t="s">
        <v>1347</v>
      </c>
      <c r="B904" s="124">
        <v>4144.7030000000004</v>
      </c>
      <c r="C904" s="124">
        <v>4158.49</v>
      </c>
      <c r="D904" s="124">
        <v>4286.8509999999997</v>
      </c>
      <c r="E904" s="124">
        <v>4355.9719999999998</v>
      </c>
      <c r="F904" s="124">
        <v>604.67790000000002</v>
      </c>
      <c r="G904" s="124">
        <v>619.07860000000005</v>
      </c>
      <c r="H904" s="124">
        <v>622.0675</v>
      </c>
      <c r="I904" s="124">
        <v>618.92219999999998</v>
      </c>
      <c r="J904" s="134">
        <v>611490807</v>
      </c>
      <c r="K904" s="134">
        <v>661372262</v>
      </c>
      <c r="L904" s="124">
        <v>5583.5529999999999</v>
      </c>
      <c r="M904" s="134">
        <v>234507</v>
      </c>
      <c r="N904" s="135">
        <v>383.76769999999999</v>
      </c>
      <c r="O904" s="135">
        <v>386.55860000000001</v>
      </c>
      <c r="P904" s="135">
        <v>387.39830000000001</v>
      </c>
      <c r="Q904" s="135">
        <v>387.97340000000003</v>
      </c>
      <c r="R904" s="137">
        <v>1.1100000000000001</v>
      </c>
      <c r="S904" s="120">
        <v>734870</v>
      </c>
      <c r="T904" s="120">
        <v>10219094</v>
      </c>
      <c r="U904" s="120">
        <v>0</v>
      </c>
      <c r="V904" s="114">
        <f t="shared" si="34"/>
        <v>10219094</v>
      </c>
      <c r="W904" s="114">
        <f t="shared" si="35"/>
        <v>10953964</v>
      </c>
    </row>
    <row r="905" spans="1:23">
      <c r="A905" s="122" t="s">
        <v>2543</v>
      </c>
      <c r="B905" s="124">
        <v>17492.598000000002</v>
      </c>
      <c r="C905" s="124">
        <v>16837.508000000002</v>
      </c>
      <c r="D905" s="124">
        <v>16370.575000000001</v>
      </c>
      <c r="E905" s="124">
        <v>16041.141</v>
      </c>
      <c r="F905" s="124">
        <v>2792.5738000000001</v>
      </c>
      <c r="G905" s="124">
        <v>2738.7076999999999</v>
      </c>
      <c r="H905" s="124">
        <v>2588.3362999999999</v>
      </c>
      <c r="I905" s="124">
        <v>2533.902</v>
      </c>
      <c r="J905" s="134">
        <v>2604059438</v>
      </c>
      <c r="K905" s="134">
        <v>2804063444</v>
      </c>
      <c r="L905" s="124">
        <v>21790.86</v>
      </c>
      <c r="M905" s="134">
        <v>1002676</v>
      </c>
      <c r="N905" s="135">
        <v>1802.1558</v>
      </c>
      <c r="O905" s="135">
        <v>1768.4068</v>
      </c>
      <c r="P905" s="135">
        <v>1661.0530000000001</v>
      </c>
      <c r="Q905" s="135">
        <v>1600.5118</v>
      </c>
      <c r="R905" s="137">
        <v>1.0900000000000001</v>
      </c>
      <c r="S905" s="120">
        <v>1268276</v>
      </c>
      <c r="T905" s="120">
        <v>38600547</v>
      </c>
      <c r="U905" s="120">
        <v>0</v>
      </c>
      <c r="V905" s="114">
        <f t="shared" si="34"/>
        <v>38600547</v>
      </c>
      <c r="W905" s="114">
        <f t="shared" si="35"/>
        <v>39868823</v>
      </c>
    </row>
    <row r="906" spans="1:23">
      <c r="A906" s="122" t="s">
        <v>2544</v>
      </c>
      <c r="B906" s="124">
        <v>1307.2339999999999</v>
      </c>
      <c r="C906" s="124">
        <v>1342.489</v>
      </c>
      <c r="D906" s="124">
        <v>1338.7380000000001</v>
      </c>
      <c r="E906" s="124">
        <v>1301.655</v>
      </c>
      <c r="F906" s="124">
        <v>222.4675</v>
      </c>
      <c r="G906" s="124">
        <v>220.44880000000001</v>
      </c>
      <c r="H906" s="124">
        <v>226.51679999999999</v>
      </c>
      <c r="I906" s="124">
        <v>222.84209999999999</v>
      </c>
      <c r="J906" s="134">
        <v>166250505</v>
      </c>
      <c r="K906" s="134">
        <v>180684099</v>
      </c>
      <c r="L906" s="124">
        <v>2087.3359999999998</v>
      </c>
      <c r="M906" s="134">
        <v>102391</v>
      </c>
      <c r="N906" s="135">
        <v>154.8663</v>
      </c>
      <c r="O906" s="135">
        <v>151.3115</v>
      </c>
      <c r="P906" s="135">
        <v>154.7364</v>
      </c>
      <c r="Q906" s="135">
        <v>153.06739999999999</v>
      </c>
      <c r="R906" s="137">
        <v>1.04</v>
      </c>
      <c r="S906" s="120">
        <v>81607</v>
      </c>
      <c r="T906" s="120">
        <v>2250117</v>
      </c>
      <c r="U906" s="120">
        <v>0</v>
      </c>
      <c r="V906" s="114">
        <f t="shared" si="34"/>
        <v>2250117</v>
      </c>
      <c r="W906" s="114">
        <f t="shared" si="35"/>
        <v>2331724</v>
      </c>
    </row>
    <row r="907" spans="1:23">
      <c r="A907" s="122" t="s">
        <v>3052</v>
      </c>
      <c r="B907" s="124">
        <v>146.24299999999999</v>
      </c>
      <c r="C907" s="124">
        <v>149.77099999999999</v>
      </c>
      <c r="D907" s="124">
        <v>145.24799999999999</v>
      </c>
      <c r="E907" s="124">
        <v>133.64599999999999</v>
      </c>
      <c r="F907" s="124">
        <v>33.497300000000003</v>
      </c>
      <c r="G907" s="124">
        <v>32.735300000000002</v>
      </c>
      <c r="H907" s="124">
        <v>35.462600000000002</v>
      </c>
      <c r="I907" s="124">
        <v>31.4038</v>
      </c>
      <c r="J907" s="134">
        <v>43205651</v>
      </c>
      <c r="K907" s="134">
        <v>44839490</v>
      </c>
      <c r="L907" s="124">
        <v>263.077</v>
      </c>
      <c r="M907" s="114">
        <v>0</v>
      </c>
      <c r="N907" s="135">
        <v>24.5002</v>
      </c>
      <c r="O907" s="135">
        <v>22.302499999999998</v>
      </c>
      <c r="P907" s="135">
        <v>23.549700000000001</v>
      </c>
      <c r="Q907" s="135">
        <v>18.215800000000002</v>
      </c>
      <c r="R907" s="137">
        <v>1.05</v>
      </c>
      <c r="S907" s="120">
        <v>240246</v>
      </c>
      <c r="T907" s="120">
        <v>1837375</v>
      </c>
      <c r="U907" s="120">
        <v>0</v>
      </c>
      <c r="V907" s="114">
        <f t="shared" si="34"/>
        <v>1837375</v>
      </c>
      <c r="W907" s="114">
        <f t="shared" si="35"/>
        <v>2077621</v>
      </c>
    </row>
    <row r="908" spans="1:23">
      <c r="A908" s="122" t="s">
        <v>3053</v>
      </c>
      <c r="B908" s="124">
        <v>961.44</v>
      </c>
      <c r="C908" s="124">
        <v>969.48599999999999</v>
      </c>
      <c r="D908" s="124">
        <v>940.20799999999997</v>
      </c>
      <c r="E908" s="124">
        <v>947.12699999999995</v>
      </c>
      <c r="F908" s="124">
        <v>158.8262</v>
      </c>
      <c r="G908" s="124">
        <v>161.5241</v>
      </c>
      <c r="H908" s="124">
        <v>162.3099</v>
      </c>
      <c r="I908" s="124">
        <v>167.64230000000001</v>
      </c>
      <c r="J908" s="134">
        <v>137934620</v>
      </c>
      <c r="K908" s="134">
        <v>150771008</v>
      </c>
      <c r="L908" s="124">
        <v>1512.4280000000001</v>
      </c>
      <c r="M908" s="134">
        <v>141105</v>
      </c>
      <c r="N908" s="135">
        <v>97.025700000000001</v>
      </c>
      <c r="O908" s="135">
        <v>103.0248</v>
      </c>
      <c r="P908" s="135">
        <v>104.3079</v>
      </c>
      <c r="Q908" s="135">
        <v>104.30970000000001</v>
      </c>
      <c r="R908" s="137">
        <v>1.04</v>
      </c>
      <c r="S908" s="120">
        <v>145799</v>
      </c>
      <c r="T908" s="120">
        <v>1964526</v>
      </c>
      <c r="U908" s="120">
        <v>0</v>
      </c>
      <c r="V908" s="114">
        <f t="shared" si="34"/>
        <v>1964526</v>
      </c>
      <c r="W908" s="114">
        <f t="shared" si="35"/>
        <v>2110325</v>
      </c>
    </row>
    <row r="909" spans="1:23">
      <c r="A909" s="122" t="s">
        <v>3054</v>
      </c>
      <c r="B909" s="124">
        <v>2543.3449999999998</v>
      </c>
      <c r="C909" s="124">
        <v>2560.5410000000002</v>
      </c>
      <c r="D909" s="124">
        <v>2637.3960000000002</v>
      </c>
      <c r="E909" s="124">
        <v>2656.1579999999999</v>
      </c>
      <c r="F909" s="124">
        <v>278.49239999999998</v>
      </c>
      <c r="G909" s="124">
        <v>281.96300000000002</v>
      </c>
      <c r="H909" s="124">
        <v>276.64499999999998</v>
      </c>
      <c r="I909" s="124">
        <v>282.68220000000002</v>
      </c>
      <c r="J909" s="134">
        <v>600461622</v>
      </c>
      <c r="K909" s="134">
        <v>635625502</v>
      </c>
      <c r="L909" s="124">
        <v>3311.91</v>
      </c>
      <c r="M909" s="134">
        <v>961020</v>
      </c>
      <c r="N909" s="135">
        <v>192.1771</v>
      </c>
      <c r="O909" s="135">
        <v>192.02070000000001</v>
      </c>
      <c r="P909" s="135">
        <v>190.5866</v>
      </c>
      <c r="Q909" s="135">
        <v>193.08459999999999</v>
      </c>
      <c r="R909" s="137">
        <v>1.05</v>
      </c>
      <c r="S909" s="120">
        <v>1016201</v>
      </c>
      <c r="T909" s="120">
        <v>7606249</v>
      </c>
      <c r="U909" s="120">
        <v>0</v>
      </c>
      <c r="V909" s="114">
        <f t="shared" si="34"/>
        <v>7606249</v>
      </c>
      <c r="W909" s="114">
        <f t="shared" si="35"/>
        <v>8622450</v>
      </c>
    </row>
    <row r="910" spans="1:23">
      <c r="A910" s="122" t="s">
        <v>3055</v>
      </c>
      <c r="B910" s="124">
        <v>205.73500000000001</v>
      </c>
      <c r="C910" s="124">
        <v>186.38200000000001</v>
      </c>
      <c r="D910" s="124">
        <v>186.26</v>
      </c>
      <c r="E910" s="124">
        <v>181.101</v>
      </c>
      <c r="F910" s="124">
        <v>51.927999999999997</v>
      </c>
      <c r="G910" s="124">
        <v>49.984099999999998</v>
      </c>
      <c r="H910" s="124">
        <v>52.4467</v>
      </c>
      <c r="I910" s="124">
        <v>52.4467</v>
      </c>
      <c r="J910" s="134">
        <v>299270523</v>
      </c>
      <c r="K910" s="134">
        <v>301854927</v>
      </c>
      <c r="L910" s="124">
        <v>381.15600000000001</v>
      </c>
      <c r="M910" s="114">
        <v>0</v>
      </c>
      <c r="N910" s="135">
        <v>28.8066</v>
      </c>
      <c r="O910" s="135">
        <v>27.318200000000001</v>
      </c>
      <c r="P910" s="135">
        <v>29.615300000000001</v>
      </c>
      <c r="Q910" s="135">
        <v>28.501300000000001</v>
      </c>
      <c r="R910" s="137">
        <v>1.0900000000000001</v>
      </c>
      <c r="S910" s="120">
        <v>60</v>
      </c>
      <c r="T910" s="120">
        <v>4338997</v>
      </c>
      <c r="U910" s="120">
        <v>0</v>
      </c>
      <c r="V910" s="114">
        <f t="shared" si="34"/>
        <v>4338997</v>
      </c>
      <c r="W910" s="114">
        <f t="shared" si="35"/>
        <v>4339057</v>
      </c>
    </row>
    <row r="911" spans="1:23">
      <c r="A911" s="122" t="s">
        <v>1335</v>
      </c>
      <c r="B911" s="124">
        <v>2022.673</v>
      </c>
      <c r="C911" s="124">
        <v>1925.665</v>
      </c>
      <c r="D911" s="124">
        <v>1894.5160000000001</v>
      </c>
      <c r="E911" s="124">
        <v>1843.097</v>
      </c>
      <c r="F911" s="124">
        <v>307.74299999999999</v>
      </c>
      <c r="G911" s="124">
        <v>317.73770000000002</v>
      </c>
      <c r="H911" s="124">
        <v>328.59359999999998</v>
      </c>
      <c r="I911" s="124">
        <v>326.80020000000002</v>
      </c>
      <c r="J911" s="134">
        <v>382964685</v>
      </c>
      <c r="K911" s="134">
        <v>401834295</v>
      </c>
      <c r="L911" s="124">
        <v>2684.9050000000002</v>
      </c>
      <c r="M911" s="114">
        <v>0</v>
      </c>
      <c r="N911" s="135">
        <v>207.14349999999999</v>
      </c>
      <c r="O911" s="135">
        <v>209.66730000000001</v>
      </c>
      <c r="P911" s="135">
        <v>218.70660000000001</v>
      </c>
      <c r="Q911" s="135">
        <v>215.19280000000001</v>
      </c>
      <c r="R911" s="137">
        <v>1.08</v>
      </c>
      <c r="S911" s="120">
        <v>486879</v>
      </c>
      <c r="T911" s="120">
        <v>5423508</v>
      </c>
      <c r="U911" s="120">
        <v>0</v>
      </c>
      <c r="V911" s="114">
        <f t="shared" si="34"/>
        <v>5423508</v>
      </c>
      <c r="W911" s="114">
        <f t="shared" si="35"/>
        <v>5910387</v>
      </c>
    </row>
    <row r="912" spans="1:23">
      <c r="A912" s="122" t="s">
        <v>2106</v>
      </c>
      <c r="B912" s="124">
        <v>307.887</v>
      </c>
      <c r="C912" s="124">
        <v>300.714</v>
      </c>
      <c r="D912" s="124">
        <v>291.63200000000001</v>
      </c>
      <c r="E912" s="124">
        <v>275.60700000000003</v>
      </c>
      <c r="F912" s="124">
        <v>51.577500000000001</v>
      </c>
      <c r="G912" s="124">
        <v>51.172499999999999</v>
      </c>
      <c r="H912" s="124">
        <v>49.520099999999999</v>
      </c>
      <c r="I912" s="124">
        <v>45.96</v>
      </c>
      <c r="J912" s="134">
        <v>50021080</v>
      </c>
      <c r="K912" s="134">
        <v>51397577</v>
      </c>
      <c r="L912" s="124">
        <v>475.73099999999999</v>
      </c>
      <c r="M912" s="114">
        <v>0</v>
      </c>
      <c r="N912" s="135">
        <v>33.459299999999999</v>
      </c>
      <c r="O912" s="135">
        <v>33.507800000000003</v>
      </c>
      <c r="P912" s="135">
        <v>32.506599999999999</v>
      </c>
      <c r="Q912" s="135">
        <v>29.721</v>
      </c>
      <c r="R912" s="137">
        <v>1.07</v>
      </c>
      <c r="S912" s="120">
        <v>36938</v>
      </c>
      <c r="T912" s="120">
        <v>740857</v>
      </c>
      <c r="U912" s="120">
        <v>0</v>
      </c>
      <c r="V912" s="114">
        <f t="shared" si="34"/>
        <v>740857</v>
      </c>
      <c r="W912" s="114">
        <f t="shared" si="35"/>
        <v>777795</v>
      </c>
    </row>
    <row r="913" spans="1:23">
      <c r="A913" s="122" t="s">
        <v>1336</v>
      </c>
      <c r="B913" s="124">
        <v>217.25</v>
      </c>
      <c r="C913" s="124">
        <v>218.31100000000001</v>
      </c>
      <c r="D913" s="124">
        <v>211.71799999999999</v>
      </c>
      <c r="E913" s="124">
        <v>233.834</v>
      </c>
      <c r="F913" s="124">
        <v>36.502600000000001</v>
      </c>
      <c r="G913" s="124">
        <v>36.887799999999999</v>
      </c>
      <c r="H913" s="124">
        <v>36.620399999999997</v>
      </c>
      <c r="I913" s="124">
        <v>38.887799999999999</v>
      </c>
      <c r="J913" s="134">
        <v>84147440</v>
      </c>
      <c r="K913" s="134">
        <v>84939101</v>
      </c>
      <c r="L913" s="124">
        <v>398.20699999999999</v>
      </c>
      <c r="M913" s="114">
        <v>0</v>
      </c>
      <c r="N913" s="135">
        <v>23.1188</v>
      </c>
      <c r="O913" s="135">
        <v>22.9834</v>
      </c>
      <c r="P913" s="135">
        <v>23.744299999999999</v>
      </c>
      <c r="Q913" s="135">
        <v>24.564599999999999</v>
      </c>
      <c r="R913" s="137">
        <v>1.07</v>
      </c>
      <c r="S913" s="120">
        <v>0</v>
      </c>
      <c r="T913" s="120">
        <v>1222684</v>
      </c>
      <c r="U913" s="120">
        <v>0</v>
      </c>
      <c r="V913" s="114">
        <f t="shared" si="34"/>
        <v>1222684</v>
      </c>
      <c r="W913" s="114">
        <f t="shared" si="35"/>
        <v>1222684</v>
      </c>
    </row>
    <row r="914" spans="1:23">
      <c r="A914" s="122" t="s">
        <v>1783</v>
      </c>
      <c r="B914" s="124">
        <v>223.21100000000001</v>
      </c>
      <c r="C914" s="124">
        <v>217.54400000000001</v>
      </c>
      <c r="D914" s="124">
        <v>213.154</v>
      </c>
      <c r="E914" s="124">
        <v>207.25</v>
      </c>
      <c r="F914" s="124">
        <v>47.049900000000001</v>
      </c>
      <c r="G914" s="124">
        <v>45.587299999999999</v>
      </c>
      <c r="H914" s="124">
        <v>44.414499999999997</v>
      </c>
      <c r="I914" s="124">
        <v>43.425199999999997</v>
      </c>
      <c r="J914" s="134">
        <v>84581414</v>
      </c>
      <c r="K914" s="134">
        <v>88027303</v>
      </c>
      <c r="L914" s="124">
        <v>418.02300000000002</v>
      </c>
      <c r="M914" s="114">
        <v>0</v>
      </c>
      <c r="N914" s="135">
        <v>31.034800000000001</v>
      </c>
      <c r="O914" s="135">
        <v>30.8916</v>
      </c>
      <c r="P914" s="135">
        <v>29.847100000000001</v>
      </c>
      <c r="Q914" s="135">
        <v>28.2515</v>
      </c>
      <c r="R914" s="137">
        <v>1.07</v>
      </c>
      <c r="S914" s="120">
        <v>0</v>
      </c>
      <c r="T914" s="120">
        <v>1197364</v>
      </c>
      <c r="U914" s="120">
        <v>0</v>
      </c>
      <c r="V914" s="114">
        <f t="shared" si="34"/>
        <v>1197364</v>
      </c>
      <c r="W914" s="114">
        <f t="shared" si="35"/>
        <v>1197364</v>
      </c>
    </row>
    <row r="915" spans="1:23">
      <c r="A915" s="122" t="s">
        <v>1784</v>
      </c>
      <c r="B915" s="124">
        <v>137.75800000000001</v>
      </c>
      <c r="C915" s="124">
        <v>134.30600000000001</v>
      </c>
      <c r="D915" s="124">
        <v>130.25</v>
      </c>
      <c r="E915" s="124">
        <v>115.334</v>
      </c>
      <c r="F915" s="124">
        <v>25.181799999999999</v>
      </c>
      <c r="G915" s="124">
        <v>26.181799999999999</v>
      </c>
      <c r="H915" s="124">
        <v>25</v>
      </c>
      <c r="I915" s="124">
        <v>24.5</v>
      </c>
      <c r="J915" s="134">
        <v>22243168</v>
      </c>
      <c r="K915" s="134">
        <v>23500338</v>
      </c>
      <c r="L915" s="124">
        <v>246.00899999999999</v>
      </c>
      <c r="M915" s="114">
        <v>0</v>
      </c>
      <c r="N915" s="135">
        <v>18.546700000000001</v>
      </c>
      <c r="O915" s="135">
        <v>19.376000000000001</v>
      </c>
      <c r="P915" s="135">
        <v>18.488800000000001</v>
      </c>
      <c r="Q915" s="135">
        <v>17.868500000000001</v>
      </c>
      <c r="R915" s="137">
        <v>1.0900000000000001</v>
      </c>
      <c r="S915" s="120">
        <v>0</v>
      </c>
      <c r="T915" s="120">
        <v>363572</v>
      </c>
      <c r="U915" s="120">
        <v>0</v>
      </c>
      <c r="V915" s="114">
        <f t="shared" si="34"/>
        <v>363572</v>
      </c>
      <c r="W915" s="114">
        <f t="shared" si="35"/>
        <v>363572</v>
      </c>
    </row>
    <row r="916" spans="1:23">
      <c r="A916" s="122" t="s">
        <v>1785</v>
      </c>
      <c r="B916" s="124">
        <v>4178.335</v>
      </c>
      <c r="C916" s="124">
        <v>4263.7169999999996</v>
      </c>
      <c r="D916" s="124">
        <v>4376.6239999999998</v>
      </c>
      <c r="E916" s="124">
        <v>4473.5450000000001</v>
      </c>
      <c r="F916" s="124">
        <v>701.09799999999996</v>
      </c>
      <c r="G916" s="124">
        <v>760.48929999999996</v>
      </c>
      <c r="H916" s="124">
        <v>853.04970000000003</v>
      </c>
      <c r="I916" s="124">
        <v>911.22029999999995</v>
      </c>
      <c r="J916" s="134">
        <v>1211638741</v>
      </c>
      <c r="K916" s="134">
        <v>1253746921</v>
      </c>
      <c r="L916" s="124">
        <v>6415.5060000000003</v>
      </c>
      <c r="M916" s="134">
        <v>657560</v>
      </c>
      <c r="N916" s="135">
        <v>439.80919999999998</v>
      </c>
      <c r="O916" s="135">
        <v>478.4341</v>
      </c>
      <c r="P916" s="135">
        <v>518.18140000000005</v>
      </c>
      <c r="Q916" s="135">
        <v>540.04369999999994</v>
      </c>
      <c r="R916" s="137">
        <v>1.08</v>
      </c>
      <c r="S916" s="120">
        <v>688745</v>
      </c>
      <c r="T916" s="120">
        <v>17848807</v>
      </c>
      <c r="U916" s="120">
        <v>0</v>
      </c>
      <c r="V916" s="114">
        <f t="shared" si="34"/>
        <v>17848807</v>
      </c>
      <c r="W916" s="114">
        <f t="shared" si="35"/>
        <v>18537552</v>
      </c>
    </row>
    <row r="917" spans="1:23">
      <c r="A917" s="122" t="s">
        <v>2062</v>
      </c>
      <c r="B917" s="124">
        <v>137.34700000000001</v>
      </c>
      <c r="C917" s="124">
        <v>128.58799999999999</v>
      </c>
      <c r="D917" s="124">
        <v>126.562</v>
      </c>
      <c r="E917" s="124">
        <v>137.42599999999999</v>
      </c>
      <c r="F917" s="124">
        <v>22.882400000000001</v>
      </c>
      <c r="G917" s="124">
        <v>24.9039</v>
      </c>
      <c r="H917" s="124">
        <v>26.4252</v>
      </c>
      <c r="I917" s="124">
        <v>23.818200000000001</v>
      </c>
      <c r="J917" s="134">
        <v>61675567</v>
      </c>
      <c r="K917" s="134">
        <v>63192256</v>
      </c>
      <c r="L917" s="124">
        <v>247.495</v>
      </c>
      <c r="M917" s="114">
        <v>0</v>
      </c>
      <c r="N917" s="135">
        <v>14.9358</v>
      </c>
      <c r="O917" s="135">
        <v>15.9574</v>
      </c>
      <c r="P917" s="135">
        <v>17.000900000000001</v>
      </c>
      <c r="Q917" s="135">
        <v>13.9998</v>
      </c>
      <c r="R917" s="137">
        <v>1.05</v>
      </c>
      <c r="S917" s="120">
        <v>0</v>
      </c>
      <c r="T917" s="120">
        <v>859485</v>
      </c>
      <c r="U917" s="120">
        <v>0</v>
      </c>
      <c r="V917" s="114">
        <f t="shared" si="34"/>
        <v>859485</v>
      </c>
      <c r="W917" s="114">
        <f t="shared" si="35"/>
        <v>859485</v>
      </c>
    </row>
    <row r="918" spans="1:23">
      <c r="A918" s="122" t="s">
        <v>305</v>
      </c>
      <c r="B918" s="124">
        <v>699.57</v>
      </c>
      <c r="C918" s="124">
        <v>715.13400000000001</v>
      </c>
      <c r="D918" s="124">
        <v>769.9</v>
      </c>
      <c r="E918" s="124">
        <v>783.471</v>
      </c>
      <c r="F918" s="124">
        <v>88.446600000000004</v>
      </c>
      <c r="G918" s="124">
        <v>99.778099999999995</v>
      </c>
      <c r="H918" s="124">
        <v>103.69799999999999</v>
      </c>
      <c r="I918" s="124">
        <v>112.5802</v>
      </c>
      <c r="J918" s="134">
        <v>54449334</v>
      </c>
      <c r="K918" s="134">
        <v>59986998</v>
      </c>
      <c r="L918" s="124">
        <v>1180.259</v>
      </c>
      <c r="M918" s="114">
        <v>0</v>
      </c>
      <c r="N918" s="135">
        <v>60.696100000000001</v>
      </c>
      <c r="O918" s="135">
        <v>68.173000000000002</v>
      </c>
      <c r="P918" s="135">
        <v>71.144300000000001</v>
      </c>
      <c r="Q918" s="135">
        <v>79.0047</v>
      </c>
      <c r="R918" s="137">
        <v>1.04</v>
      </c>
      <c r="S918" s="120">
        <v>40242</v>
      </c>
      <c r="T918" s="120">
        <v>792364</v>
      </c>
      <c r="U918" s="120">
        <v>0</v>
      </c>
      <c r="V918" s="114">
        <f t="shared" si="34"/>
        <v>792364</v>
      </c>
      <c r="W918" s="114">
        <f t="shared" si="35"/>
        <v>832606</v>
      </c>
    </row>
    <row r="919" spans="1:23">
      <c r="A919" s="122" t="s">
        <v>2063</v>
      </c>
      <c r="B919" s="124">
        <v>399.74099999999999</v>
      </c>
      <c r="C919" s="124">
        <v>401.70299999999997</v>
      </c>
      <c r="D919" s="124">
        <v>393.14400000000001</v>
      </c>
      <c r="E919" s="124">
        <v>408.19099999999997</v>
      </c>
      <c r="F919" s="124">
        <v>50.5</v>
      </c>
      <c r="G919" s="124">
        <v>50.339599999999997</v>
      </c>
      <c r="H919" s="124">
        <v>54.5</v>
      </c>
      <c r="I919" s="124">
        <v>57.462600000000002</v>
      </c>
      <c r="J919" s="134">
        <v>58577661</v>
      </c>
      <c r="K919" s="134">
        <v>64736301</v>
      </c>
      <c r="L919" s="124">
        <v>655.58</v>
      </c>
      <c r="M919" s="114">
        <v>0</v>
      </c>
      <c r="N919" s="135">
        <v>33.000100000000003</v>
      </c>
      <c r="O919" s="135">
        <v>35.839599999999997</v>
      </c>
      <c r="P919" s="135">
        <v>36.9998</v>
      </c>
      <c r="Q919" s="135">
        <v>38</v>
      </c>
      <c r="R919" s="137">
        <v>1.03</v>
      </c>
      <c r="S919" s="120">
        <v>0</v>
      </c>
      <c r="T919" s="120">
        <v>961285</v>
      </c>
      <c r="U919" s="120">
        <v>0</v>
      </c>
      <c r="V919" s="114">
        <f t="shared" si="34"/>
        <v>961285</v>
      </c>
      <c r="W919" s="114">
        <f t="shared" si="35"/>
        <v>961285</v>
      </c>
    </row>
    <row r="920" spans="1:23">
      <c r="A920" s="122" t="s">
        <v>2797</v>
      </c>
      <c r="B920" s="124">
        <v>361.47199999999998</v>
      </c>
      <c r="C920" s="124">
        <v>365.28100000000001</v>
      </c>
      <c r="D920" s="124">
        <v>354.25</v>
      </c>
      <c r="E920" s="124">
        <v>351.589</v>
      </c>
      <c r="F920" s="124">
        <v>62.802199999999999</v>
      </c>
      <c r="G920" s="124">
        <v>63.764699999999998</v>
      </c>
      <c r="H920" s="124">
        <v>65.069400000000002</v>
      </c>
      <c r="I920" s="124">
        <v>65.346199999999996</v>
      </c>
      <c r="J920" s="134">
        <v>68488021</v>
      </c>
      <c r="K920" s="134">
        <v>74122158</v>
      </c>
      <c r="L920" s="124">
        <v>671.59500000000003</v>
      </c>
      <c r="M920" s="134">
        <v>61469</v>
      </c>
      <c r="N920" s="135">
        <v>39.511299999999999</v>
      </c>
      <c r="O920" s="135">
        <v>40.803600000000003</v>
      </c>
      <c r="P920" s="135">
        <v>41.459099999999999</v>
      </c>
      <c r="Q920" s="135">
        <v>40.1768</v>
      </c>
      <c r="R920" s="137">
        <v>1.04</v>
      </c>
      <c r="S920" s="120">
        <v>58929</v>
      </c>
      <c r="T920" s="120">
        <v>1018114</v>
      </c>
      <c r="U920" s="120">
        <v>0</v>
      </c>
      <c r="V920" s="114">
        <f t="shared" si="34"/>
        <v>1018114</v>
      </c>
      <c r="W920" s="114">
        <f t="shared" si="35"/>
        <v>1077043</v>
      </c>
    </row>
    <row r="921" spans="1:23">
      <c r="A921" s="122" t="s">
        <v>1488</v>
      </c>
      <c r="B921" s="124">
        <v>15312.2</v>
      </c>
      <c r="C921" s="124">
        <v>15028.424000000001</v>
      </c>
      <c r="D921" s="124">
        <v>14737.133</v>
      </c>
      <c r="E921" s="124">
        <v>14328.914000000001</v>
      </c>
      <c r="F921" s="124">
        <v>2185.7150999999999</v>
      </c>
      <c r="G921" s="124">
        <v>2149.518</v>
      </c>
      <c r="H921" s="124">
        <v>1873.6016999999999</v>
      </c>
      <c r="I921" s="124">
        <v>1876.4360999999999</v>
      </c>
      <c r="J921" s="134">
        <v>2007079090</v>
      </c>
      <c r="K921" s="134">
        <v>2214988990</v>
      </c>
      <c r="L921" s="124">
        <v>18690.067999999999</v>
      </c>
      <c r="M921" s="134">
        <v>564152</v>
      </c>
      <c r="N921" s="135">
        <v>1302.0153</v>
      </c>
      <c r="O921" s="135">
        <v>1254.2067</v>
      </c>
      <c r="P921" s="135">
        <v>1147.039</v>
      </c>
      <c r="Q921" s="135">
        <v>1169.2614000000001</v>
      </c>
      <c r="R921" s="137">
        <v>1.08</v>
      </c>
      <c r="S921" s="120">
        <v>1375511</v>
      </c>
      <c r="T921" s="120">
        <v>29805487</v>
      </c>
      <c r="U921" s="120">
        <v>0</v>
      </c>
      <c r="V921" s="114">
        <f t="shared" si="34"/>
        <v>29805487</v>
      </c>
      <c r="W921" s="114">
        <f t="shared" si="35"/>
        <v>31180998</v>
      </c>
    </row>
    <row r="922" spans="1:23">
      <c r="A922" s="122" t="s">
        <v>2785</v>
      </c>
      <c r="B922" s="124">
        <v>332.245</v>
      </c>
      <c r="C922" s="124">
        <v>300.59199999999998</v>
      </c>
      <c r="D922" s="124">
        <v>300.38400000000001</v>
      </c>
      <c r="E922" s="124">
        <v>302.69499999999999</v>
      </c>
      <c r="F922" s="124">
        <v>57.2928</v>
      </c>
      <c r="G922" s="124">
        <v>54.223300000000002</v>
      </c>
      <c r="H922" s="124">
        <v>50.935699999999997</v>
      </c>
      <c r="I922" s="124">
        <v>50.620399999999997</v>
      </c>
      <c r="J922" s="134">
        <v>60261180</v>
      </c>
      <c r="K922" s="134">
        <v>64615230</v>
      </c>
      <c r="L922" s="124">
        <v>628.42700000000002</v>
      </c>
      <c r="M922" s="114">
        <v>0</v>
      </c>
      <c r="N922" s="135">
        <v>36.751399999999997</v>
      </c>
      <c r="O922" s="135">
        <v>33.753500000000003</v>
      </c>
      <c r="P922" s="135">
        <v>31.830400000000001</v>
      </c>
      <c r="Q922" s="135">
        <v>30.787700000000001</v>
      </c>
      <c r="R922" s="137">
        <v>1.03</v>
      </c>
      <c r="S922" s="120">
        <v>0</v>
      </c>
      <c r="T922" s="120">
        <v>854616</v>
      </c>
      <c r="U922" s="120">
        <v>0</v>
      </c>
      <c r="V922" s="114">
        <f t="shared" si="34"/>
        <v>854616</v>
      </c>
      <c r="W922" s="114">
        <f t="shared" si="35"/>
        <v>854616</v>
      </c>
    </row>
    <row r="923" spans="1:23">
      <c r="A923" s="122" t="s">
        <v>374</v>
      </c>
      <c r="B923" s="124">
        <v>937.72299999999996</v>
      </c>
      <c r="C923" s="124">
        <v>901.91700000000003</v>
      </c>
      <c r="D923" s="124">
        <v>879.27800000000002</v>
      </c>
      <c r="E923" s="124">
        <v>922.96600000000001</v>
      </c>
      <c r="F923" s="124">
        <v>260.21809999999999</v>
      </c>
      <c r="G923" s="124">
        <v>268.72539999999998</v>
      </c>
      <c r="H923" s="124">
        <v>274.9984</v>
      </c>
      <c r="I923" s="124">
        <v>197.2611</v>
      </c>
      <c r="J923" s="134">
        <v>111716067</v>
      </c>
      <c r="K923" s="134">
        <v>120686467</v>
      </c>
      <c r="L923" s="124">
        <v>1490.788</v>
      </c>
      <c r="M923" s="134">
        <v>86955</v>
      </c>
      <c r="N923" s="135">
        <v>174.7381</v>
      </c>
      <c r="O923" s="135">
        <v>179.39590000000001</v>
      </c>
      <c r="P923" s="135">
        <v>186.9067</v>
      </c>
      <c r="Q923" s="135">
        <v>135.2105</v>
      </c>
      <c r="R923" s="137">
        <v>1.05</v>
      </c>
      <c r="S923" s="120">
        <v>180104</v>
      </c>
      <c r="T923" s="120">
        <v>1655470</v>
      </c>
      <c r="U923" s="120">
        <v>0</v>
      </c>
      <c r="V923" s="114">
        <f t="shared" si="34"/>
        <v>1655470</v>
      </c>
      <c r="W923" s="114">
        <f t="shared" si="35"/>
        <v>1835574</v>
      </c>
    </row>
    <row r="924" spans="1:23">
      <c r="A924" s="122" t="s">
        <v>1482</v>
      </c>
      <c r="B924" s="124">
        <v>1068.3520000000001</v>
      </c>
      <c r="C924" s="124">
        <v>1086.0909999999999</v>
      </c>
      <c r="D924" s="124">
        <v>1097.1289999999999</v>
      </c>
      <c r="E924" s="124">
        <v>1108.9929999999999</v>
      </c>
      <c r="F924" s="124">
        <v>155.28219999999999</v>
      </c>
      <c r="G924" s="124">
        <v>153.39109999999999</v>
      </c>
      <c r="H924" s="124">
        <v>159.37280000000001</v>
      </c>
      <c r="I924" s="124">
        <v>178.54259999999999</v>
      </c>
      <c r="J924" s="134">
        <v>91029188</v>
      </c>
      <c r="K924" s="134">
        <v>105641138</v>
      </c>
      <c r="L924" s="124">
        <v>1663.3979999999999</v>
      </c>
      <c r="M924" s="134">
        <v>51272</v>
      </c>
      <c r="N924" s="135">
        <v>94.976500000000001</v>
      </c>
      <c r="O924" s="135">
        <v>102.1169</v>
      </c>
      <c r="P924" s="135">
        <v>107.0616</v>
      </c>
      <c r="Q924" s="135">
        <v>115.60769999999999</v>
      </c>
      <c r="R924" s="137">
        <v>1.05</v>
      </c>
      <c r="S924" s="120">
        <v>186012</v>
      </c>
      <c r="T924" s="120">
        <v>1368043</v>
      </c>
      <c r="U924" s="120">
        <v>0</v>
      </c>
      <c r="V924" s="114">
        <f t="shared" si="34"/>
        <v>1368043</v>
      </c>
      <c r="W924" s="114">
        <f t="shared" si="35"/>
        <v>1554055</v>
      </c>
    </row>
    <row r="925" spans="1:23">
      <c r="A925" s="122" t="s">
        <v>1422</v>
      </c>
      <c r="B925" s="124">
        <v>236.06899999999999</v>
      </c>
      <c r="C925" s="124">
        <v>260.95400000000001</v>
      </c>
      <c r="D925" s="124">
        <v>257.49700000000001</v>
      </c>
      <c r="E925" s="124">
        <v>276.56900000000002</v>
      </c>
      <c r="F925" s="124">
        <v>47.3904</v>
      </c>
      <c r="G925" s="124">
        <v>50.6</v>
      </c>
      <c r="H925" s="124">
        <v>40</v>
      </c>
      <c r="I925" s="124">
        <v>44</v>
      </c>
      <c r="J925" s="134">
        <v>50914167</v>
      </c>
      <c r="K925" s="134">
        <v>53907467</v>
      </c>
      <c r="L925" s="124">
        <v>494.51600000000002</v>
      </c>
      <c r="M925" s="114">
        <v>0</v>
      </c>
      <c r="N925" s="135">
        <v>31.104299999999999</v>
      </c>
      <c r="O925" s="135">
        <v>33.428699999999999</v>
      </c>
      <c r="P925" s="135">
        <v>26.0002</v>
      </c>
      <c r="Q925" s="135">
        <v>28.999700000000001</v>
      </c>
      <c r="R925" s="137">
        <v>1.05</v>
      </c>
      <c r="S925" s="120">
        <v>64314</v>
      </c>
      <c r="T925" s="120">
        <v>827080</v>
      </c>
      <c r="U925" s="120">
        <v>0</v>
      </c>
      <c r="V925" s="114">
        <f t="shared" si="34"/>
        <v>827080</v>
      </c>
      <c r="W925" s="114">
        <f t="shared" si="35"/>
        <v>891394</v>
      </c>
    </row>
    <row r="926" spans="1:23">
      <c r="A926" s="122" t="s">
        <v>292</v>
      </c>
      <c r="B926" s="124">
        <v>70707.856</v>
      </c>
      <c r="C926" s="124">
        <v>70674.210999999996</v>
      </c>
      <c r="D926" s="124">
        <v>70878.441999999995</v>
      </c>
      <c r="E926" s="124">
        <v>71493.081000000006</v>
      </c>
      <c r="F926" s="124">
        <v>9558.0347000000002</v>
      </c>
      <c r="G926" s="124">
        <v>9751.7414000000008</v>
      </c>
      <c r="H926" s="124">
        <v>10071.407800000001</v>
      </c>
      <c r="I926" s="124">
        <v>10348.0609</v>
      </c>
      <c r="J926" s="134">
        <v>38060881698</v>
      </c>
      <c r="K926" s="134">
        <v>39051523942</v>
      </c>
      <c r="L926" s="124">
        <v>94001.837</v>
      </c>
      <c r="M926" s="134">
        <v>60361652</v>
      </c>
      <c r="N926" s="135">
        <v>5841.4818999999998</v>
      </c>
      <c r="O926" s="135">
        <v>5926.5052999999998</v>
      </c>
      <c r="P926" s="135">
        <v>6146.1152000000002</v>
      </c>
      <c r="Q926" s="135">
        <v>6290.4143999999997</v>
      </c>
      <c r="R926" s="137">
        <v>1.1000000000000001</v>
      </c>
      <c r="S926" s="120">
        <v>38568331</v>
      </c>
      <c r="T926" s="120">
        <v>598537028</v>
      </c>
      <c r="U926" s="120">
        <v>0</v>
      </c>
      <c r="V926" s="114">
        <f t="shared" si="34"/>
        <v>598537028</v>
      </c>
      <c r="W926" s="114">
        <f t="shared" si="35"/>
        <v>637105359</v>
      </c>
    </row>
    <row r="927" spans="1:23">
      <c r="A927" s="122" t="s">
        <v>238</v>
      </c>
      <c r="B927" s="124">
        <v>12854.157999999999</v>
      </c>
      <c r="C927" s="124">
        <v>13829.51</v>
      </c>
      <c r="D927" s="124">
        <v>14422.049000000001</v>
      </c>
      <c r="E927" s="124">
        <v>14976.815000000001</v>
      </c>
      <c r="F927" s="124">
        <v>1421.1727000000001</v>
      </c>
      <c r="G927" s="124">
        <v>1506.9939999999999</v>
      </c>
      <c r="H927" s="124">
        <v>1630.4711</v>
      </c>
      <c r="I927" s="124">
        <v>1677.7855</v>
      </c>
      <c r="J927" s="134">
        <v>3874574899</v>
      </c>
      <c r="K927" s="134">
        <v>4052474498</v>
      </c>
      <c r="L927" s="124">
        <v>18373.236000000001</v>
      </c>
      <c r="M927" s="134">
        <v>9198147</v>
      </c>
      <c r="N927" s="135">
        <v>993.51189999999997</v>
      </c>
      <c r="O927" s="135">
        <v>1103.3344999999999</v>
      </c>
      <c r="P927" s="135">
        <v>1174.1211000000001</v>
      </c>
      <c r="Q927" s="135">
        <v>1179.383</v>
      </c>
      <c r="R927" s="137">
        <v>1.1100000000000001</v>
      </c>
      <c r="S927" s="120">
        <v>13529000</v>
      </c>
      <c r="T927" s="120">
        <v>63312310</v>
      </c>
      <c r="U927" s="120">
        <v>0</v>
      </c>
      <c r="V927" s="114">
        <f t="shared" si="34"/>
        <v>63312310</v>
      </c>
      <c r="W927" s="114">
        <f t="shared" si="35"/>
        <v>76841310</v>
      </c>
    </row>
    <row r="928" spans="1:23">
      <c r="A928" s="122" t="s">
        <v>293</v>
      </c>
      <c r="B928" s="124">
        <v>2258.6480000000001</v>
      </c>
      <c r="C928" s="124">
        <v>2468.6930000000002</v>
      </c>
      <c r="D928" s="124">
        <v>2603.41</v>
      </c>
      <c r="E928" s="124">
        <v>2698.8710000000001</v>
      </c>
      <c r="F928" s="124">
        <v>453.14420000000001</v>
      </c>
      <c r="G928" s="124">
        <v>402.9282</v>
      </c>
      <c r="H928" s="124">
        <v>454.93920000000003</v>
      </c>
      <c r="I928" s="124">
        <v>460.20760000000001</v>
      </c>
      <c r="J928" s="134">
        <v>1655770567</v>
      </c>
      <c r="K928" s="134">
        <v>1679337639</v>
      </c>
      <c r="L928" s="124">
        <v>3672.1320000000001</v>
      </c>
      <c r="M928" s="134">
        <v>4175369</v>
      </c>
      <c r="N928" s="135">
        <v>265.5521</v>
      </c>
      <c r="O928" s="135">
        <v>238.12809999999999</v>
      </c>
      <c r="P928" s="135">
        <v>268.91840000000002</v>
      </c>
      <c r="Q928" s="135">
        <v>267.21210000000002</v>
      </c>
      <c r="R928" s="137">
        <v>1.07</v>
      </c>
      <c r="S928" s="120">
        <v>3352243</v>
      </c>
      <c r="T928" s="120">
        <v>23430445</v>
      </c>
      <c r="U928" s="120">
        <v>0</v>
      </c>
      <c r="V928" s="114">
        <f t="shared" si="34"/>
        <v>23430445</v>
      </c>
      <c r="W928" s="114">
        <f t="shared" si="35"/>
        <v>26782688</v>
      </c>
    </row>
    <row r="929" spans="1:23">
      <c r="A929" s="122" t="s">
        <v>294</v>
      </c>
      <c r="B929" s="124">
        <v>7160.3860000000004</v>
      </c>
      <c r="C929" s="124">
        <v>7092.2370000000001</v>
      </c>
      <c r="D929" s="124">
        <v>6975.9579999999996</v>
      </c>
      <c r="E929" s="124">
        <v>6854.2309999999998</v>
      </c>
      <c r="F929" s="124">
        <v>975.45330000000001</v>
      </c>
      <c r="G929" s="124">
        <v>977.52639999999997</v>
      </c>
      <c r="H929" s="124">
        <v>994.33209999999997</v>
      </c>
      <c r="I929" s="124">
        <v>1005.104</v>
      </c>
      <c r="J929" s="134">
        <v>5666862273</v>
      </c>
      <c r="K929" s="134">
        <v>5769442671</v>
      </c>
      <c r="L929" s="124">
        <v>7923.5770000000002</v>
      </c>
      <c r="M929" s="134">
        <v>15590765</v>
      </c>
      <c r="N929" s="135">
        <v>651.70119999999997</v>
      </c>
      <c r="O929" s="135">
        <v>646.61220000000003</v>
      </c>
      <c r="P929" s="135">
        <v>646.42520000000002</v>
      </c>
      <c r="Q929" s="135">
        <v>629.35580000000004</v>
      </c>
      <c r="R929" s="137">
        <v>1.1000000000000001</v>
      </c>
      <c r="S929" s="120">
        <v>14119891</v>
      </c>
      <c r="T929" s="120">
        <v>91547871</v>
      </c>
      <c r="U929" s="120">
        <v>0</v>
      </c>
      <c r="V929" s="114">
        <f t="shared" si="34"/>
        <v>91547871</v>
      </c>
      <c r="W929" s="114">
        <f t="shared" si="35"/>
        <v>105667762</v>
      </c>
    </row>
    <row r="930" spans="1:23">
      <c r="A930" s="122" t="s">
        <v>1295</v>
      </c>
      <c r="B930" s="124">
        <v>5524.8590000000004</v>
      </c>
      <c r="C930" s="124">
        <v>6044.94</v>
      </c>
      <c r="D930" s="124">
        <v>6396.6130000000003</v>
      </c>
      <c r="E930" s="124">
        <v>6699.3680000000004</v>
      </c>
      <c r="F930" s="124">
        <v>824.85900000000004</v>
      </c>
      <c r="G930" s="124">
        <v>914.59860000000003</v>
      </c>
      <c r="H930" s="124">
        <v>1006.8117999999999</v>
      </c>
      <c r="I930" s="124">
        <v>1012.6928</v>
      </c>
      <c r="J930" s="134">
        <v>2293007733</v>
      </c>
      <c r="K930" s="134">
        <v>2337029060</v>
      </c>
      <c r="L930" s="124">
        <v>9204.8619999999992</v>
      </c>
      <c r="M930" s="134">
        <v>2094872</v>
      </c>
      <c r="N930" s="135">
        <v>492.29199999999997</v>
      </c>
      <c r="O930" s="135">
        <v>575.7586</v>
      </c>
      <c r="P930" s="135">
        <v>620.01800000000003</v>
      </c>
      <c r="Q930" s="135">
        <v>640.09259999999995</v>
      </c>
      <c r="R930" s="137">
        <v>1.1100000000000001</v>
      </c>
      <c r="S930" s="120">
        <v>5884255</v>
      </c>
      <c r="T930" s="120">
        <v>31930320</v>
      </c>
      <c r="U930" s="120">
        <v>0</v>
      </c>
      <c r="V930" s="114">
        <f t="shared" si="34"/>
        <v>31930320</v>
      </c>
      <c r="W930" s="114">
        <f t="shared" si="35"/>
        <v>37814575</v>
      </c>
    </row>
    <row r="931" spans="1:23">
      <c r="A931" s="122" t="s">
        <v>2804</v>
      </c>
      <c r="B931" s="124">
        <v>817.59400000000005</v>
      </c>
      <c r="C931" s="124">
        <v>908.05499999999995</v>
      </c>
      <c r="D931" s="124">
        <v>966.44500000000005</v>
      </c>
      <c r="E931" s="124">
        <v>1007.216</v>
      </c>
      <c r="F931" s="124">
        <v>129.4204</v>
      </c>
      <c r="G931" s="124">
        <v>147.40690000000001</v>
      </c>
      <c r="H931" s="124">
        <v>155.63419999999999</v>
      </c>
      <c r="I931" s="124">
        <v>156.93719999999999</v>
      </c>
      <c r="J931" s="134">
        <v>581234932</v>
      </c>
      <c r="K931" s="134">
        <v>602561425</v>
      </c>
      <c r="L931" s="124">
        <v>1398.89</v>
      </c>
      <c r="M931" s="134">
        <v>1685581</v>
      </c>
      <c r="N931" s="135">
        <v>83.068700000000007</v>
      </c>
      <c r="O931" s="135">
        <v>100.3421</v>
      </c>
      <c r="P931" s="135">
        <v>101.2744</v>
      </c>
      <c r="Q931" s="135">
        <v>100.2762</v>
      </c>
      <c r="R931" s="137">
        <v>1.05</v>
      </c>
      <c r="S931" s="120">
        <v>1392483</v>
      </c>
      <c r="T931" s="120">
        <v>8933809</v>
      </c>
      <c r="U931" s="120">
        <v>0</v>
      </c>
      <c r="V931" s="114">
        <f t="shared" si="34"/>
        <v>8933809</v>
      </c>
      <c r="W931" s="114">
        <f t="shared" si="35"/>
        <v>10326292</v>
      </c>
    </row>
    <row r="932" spans="1:23">
      <c r="A932" s="122" t="s">
        <v>1496</v>
      </c>
      <c r="B932" s="124">
        <v>3597.2730000000001</v>
      </c>
      <c r="C932" s="124">
        <v>3956.337</v>
      </c>
      <c r="D932" s="124">
        <v>4168.5910000000003</v>
      </c>
      <c r="E932" s="124">
        <v>4416.4290000000001</v>
      </c>
      <c r="F932" s="124">
        <v>506.43790000000001</v>
      </c>
      <c r="G932" s="124">
        <v>557.81420000000003</v>
      </c>
      <c r="H932" s="124">
        <v>605.51940000000002</v>
      </c>
      <c r="I932" s="124">
        <v>584.82309999999995</v>
      </c>
      <c r="J932" s="134">
        <v>2552084682</v>
      </c>
      <c r="K932" s="134">
        <v>2626661330</v>
      </c>
      <c r="L932" s="124">
        <v>5138.32</v>
      </c>
      <c r="M932" s="134">
        <v>7401046</v>
      </c>
      <c r="N932" s="135">
        <v>320.42750000000001</v>
      </c>
      <c r="O932" s="135">
        <v>330.38060000000002</v>
      </c>
      <c r="P932" s="135">
        <v>362.286</v>
      </c>
      <c r="Q932" s="135">
        <v>344.2389</v>
      </c>
      <c r="R932" s="137">
        <v>1.08</v>
      </c>
      <c r="S932" s="120">
        <v>8344730</v>
      </c>
      <c r="T932" s="120">
        <v>43177496</v>
      </c>
      <c r="U932" s="120">
        <v>0</v>
      </c>
      <c r="V932" s="114">
        <f t="shared" si="34"/>
        <v>43177496</v>
      </c>
      <c r="W932" s="114">
        <f t="shared" si="35"/>
        <v>51522226</v>
      </c>
    </row>
    <row r="933" spans="1:23">
      <c r="A933" s="122" t="s">
        <v>1497</v>
      </c>
      <c r="B933" s="124">
        <v>657.52800000000002</v>
      </c>
      <c r="C933" s="124">
        <v>654.596</v>
      </c>
      <c r="D933" s="124">
        <v>654.83000000000004</v>
      </c>
      <c r="E933" s="124">
        <v>657.697</v>
      </c>
      <c r="F933" s="124">
        <v>131.61500000000001</v>
      </c>
      <c r="G933" s="124">
        <v>131.8878</v>
      </c>
      <c r="H933" s="124">
        <v>123.8449</v>
      </c>
      <c r="I933" s="124">
        <v>122.4973</v>
      </c>
      <c r="J933" s="134">
        <v>133482045</v>
      </c>
      <c r="K933" s="134">
        <v>144794377</v>
      </c>
      <c r="L933" s="124">
        <v>1215.473</v>
      </c>
      <c r="M933" s="114">
        <v>0</v>
      </c>
      <c r="N933" s="135">
        <v>86.302400000000006</v>
      </c>
      <c r="O933" s="135">
        <v>84.001999999999995</v>
      </c>
      <c r="P933" s="135">
        <v>78.897400000000005</v>
      </c>
      <c r="Q933" s="135">
        <v>80.622900000000001</v>
      </c>
      <c r="R933" s="137">
        <v>1.04</v>
      </c>
      <c r="S933" s="120">
        <v>168</v>
      </c>
      <c r="T933" s="120">
        <v>1793817</v>
      </c>
      <c r="U933" s="120">
        <v>0</v>
      </c>
      <c r="V933" s="114">
        <f t="shared" si="34"/>
        <v>1793817</v>
      </c>
      <c r="W933" s="114">
        <f t="shared" si="35"/>
        <v>1793985</v>
      </c>
    </row>
    <row r="934" spans="1:23">
      <c r="A934" s="122" t="s">
        <v>1498</v>
      </c>
      <c r="B934" s="124">
        <v>1158.1949999999999</v>
      </c>
      <c r="C934" s="124">
        <v>1182.509</v>
      </c>
      <c r="D934" s="124">
        <v>1146.797</v>
      </c>
      <c r="E934" s="124">
        <v>1166.3340000000001</v>
      </c>
      <c r="F934" s="124">
        <v>173.8382</v>
      </c>
      <c r="G934" s="124">
        <v>178.27520000000001</v>
      </c>
      <c r="H934" s="124">
        <v>183.37430000000001</v>
      </c>
      <c r="I934" s="124">
        <v>184.74340000000001</v>
      </c>
      <c r="J934" s="134">
        <v>191787194</v>
      </c>
      <c r="K934" s="134">
        <v>209865078</v>
      </c>
      <c r="L934" s="124">
        <v>1762.4079999999999</v>
      </c>
      <c r="M934" s="134">
        <v>308905</v>
      </c>
      <c r="N934" s="135">
        <v>111.15309999999999</v>
      </c>
      <c r="O934" s="135">
        <v>113.03149999999999</v>
      </c>
      <c r="P934" s="135">
        <v>119.0313</v>
      </c>
      <c r="Q934" s="135">
        <v>118.902</v>
      </c>
      <c r="R934" s="137">
        <v>1.05</v>
      </c>
      <c r="S934" s="120">
        <v>314231</v>
      </c>
      <c r="T934" s="120">
        <v>2693392</v>
      </c>
      <c r="U934" s="120">
        <v>0</v>
      </c>
      <c r="V934" s="114">
        <f t="shared" si="34"/>
        <v>2693392</v>
      </c>
      <c r="W934" s="114">
        <f t="shared" si="35"/>
        <v>3007623</v>
      </c>
    </row>
    <row r="935" spans="1:23">
      <c r="A935" s="122" t="s">
        <v>1499</v>
      </c>
      <c r="B935" s="124">
        <v>131.51599999999999</v>
      </c>
      <c r="C935" s="124">
        <v>144.197</v>
      </c>
      <c r="D935" s="124">
        <v>139.84200000000001</v>
      </c>
      <c r="E935" s="124">
        <v>136.49600000000001</v>
      </c>
      <c r="F935" s="124">
        <v>32.812899999999999</v>
      </c>
      <c r="G935" s="124">
        <v>29.238099999999999</v>
      </c>
      <c r="H935" s="124">
        <v>28.409199999999998</v>
      </c>
      <c r="I935" s="124">
        <v>30.441199999999998</v>
      </c>
      <c r="J935" s="134">
        <v>17432705</v>
      </c>
      <c r="K935" s="134">
        <v>19201075</v>
      </c>
      <c r="L935" s="124">
        <v>275.351</v>
      </c>
      <c r="M935" s="114">
        <v>0</v>
      </c>
      <c r="N935" s="135">
        <v>26.0335</v>
      </c>
      <c r="O935" s="135">
        <v>21.500900000000001</v>
      </c>
      <c r="P935" s="135">
        <v>22.002500000000001</v>
      </c>
      <c r="Q935" s="135">
        <v>24.001999999999999</v>
      </c>
      <c r="R935" s="137">
        <v>1.05</v>
      </c>
      <c r="S935" s="120">
        <v>0</v>
      </c>
      <c r="T935" s="120">
        <v>261621</v>
      </c>
      <c r="U935" s="120">
        <v>0</v>
      </c>
      <c r="V935" s="114">
        <f t="shared" si="34"/>
        <v>261621</v>
      </c>
      <c r="W935" s="114">
        <f t="shared" si="35"/>
        <v>261621</v>
      </c>
    </row>
    <row r="936" spans="1:23">
      <c r="A936" s="122" t="s">
        <v>1500</v>
      </c>
      <c r="B936" s="124">
        <v>246.99100000000001</v>
      </c>
      <c r="C936" s="124">
        <v>244.99700000000001</v>
      </c>
      <c r="D936" s="124">
        <v>237.59800000000001</v>
      </c>
      <c r="E936" s="124">
        <v>218.91399999999999</v>
      </c>
      <c r="F936" s="124">
        <v>46.236499999999999</v>
      </c>
      <c r="G936" s="124">
        <v>46.693199999999997</v>
      </c>
      <c r="H936" s="124">
        <v>44.503799999999998</v>
      </c>
      <c r="I936" s="124">
        <v>46.873699999999999</v>
      </c>
      <c r="J936" s="134">
        <v>25396901</v>
      </c>
      <c r="K936" s="134">
        <v>28097834</v>
      </c>
      <c r="L936" s="124">
        <v>386.68700000000001</v>
      </c>
      <c r="M936" s="114">
        <v>0</v>
      </c>
      <c r="N936" s="135">
        <v>26.857700000000001</v>
      </c>
      <c r="O936" s="135">
        <v>33.853499999999997</v>
      </c>
      <c r="P936" s="135">
        <v>31.000599999999999</v>
      </c>
      <c r="Q936" s="135">
        <v>32.839799999999997</v>
      </c>
      <c r="R936" s="137">
        <v>1.05</v>
      </c>
      <c r="S936" s="120">
        <v>0</v>
      </c>
      <c r="T936" s="120">
        <v>392625</v>
      </c>
      <c r="U936" s="120">
        <v>0</v>
      </c>
      <c r="V936" s="114">
        <f t="shared" si="34"/>
        <v>392625</v>
      </c>
      <c r="W936" s="114">
        <f t="shared" si="35"/>
        <v>392625</v>
      </c>
    </row>
    <row r="937" spans="1:23">
      <c r="A937" s="122" t="s">
        <v>1615</v>
      </c>
      <c r="B937" s="124">
        <v>596.84100000000001</v>
      </c>
      <c r="C937" s="124">
        <v>577.59900000000005</v>
      </c>
      <c r="D937" s="124">
        <v>560.15599999999995</v>
      </c>
      <c r="E937" s="124">
        <v>568.58500000000004</v>
      </c>
      <c r="F937" s="124">
        <v>94.903400000000005</v>
      </c>
      <c r="G937" s="124">
        <v>97.352999999999994</v>
      </c>
      <c r="H937" s="124">
        <v>99.072299999999998</v>
      </c>
      <c r="I937" s="124">
        <v>95.508300000000006</v>
      </c>
      <c r="J937" s="134">
        <v>72428021</v>
      </c>
      <c r="K937" s="134">
        <v>80208021</v>
      </c>
      <c r="L937" s="124">
        <v>899.18399999999997</v>
      </c>
      <c r="M937" s="114">
        <v>0</v>
      </c>
      <c r="N937" s="135">
        <v>60.058599999999998</v>
      </c>
      <c r="O937" s="135">
        <v>65.104100000000003</v>
      </c>
      <c r="P937" s="135">
        <v>66.650700000000001</v>
      </c>
      <c r="Q937" s="135">
        <v>60.820599999999999</v>
      </c>
      <c r="R937" s="137">
        <v>1.05</v>
      </c>
      <c r="S937" s="120">
        <v>0</v>
      </c>
      <c r="T937" s="120">
        <v>926871</v>
      </c>
      <c r="U937" s="120">
        <v>57539</v>
      </c>
      <c r="V937" s="114">
        <f t="shared" si="34"/>
        <v>984410</v>
      </c>
      <c r="W937" s="114">
        <f t="shared" si="35"/>
        <v>984410</v>
      </c>
    </row>
    <row r="938" spans="1:23">
      <c r="A938" s="122" t="s">
        <v>2051</v>
      </c>
      <c r="B938" s="124">
        <v>1389.364</v>
      </c>
      <c r="C938" s="124">
        <v>1342.1659999999999</v>
      </c>
      <c r="D938" s="124">
        <v>1341.55</v>
      </c>
      <c r="E938" s="124">
        <v>1330.385</v>
      </c>
      <c r="F938" s="124">
        <v>245.23840000000001</v>
      </c>
      <c r="G938" s="124">
        <v>247.04069999999999</v>
      </c>
      <c r="H938" s="124">
        <v>243.7919</v>
      </c>
      <c r="I938" s="124">
        <v>253.2629</v>
      </c>
      <c r="J938" s="134">
        <v>235161870</v>
      </c>
      <c r="K938" s="134">
        <v>257760739</v>
      </c>
      <c r="L938" s="124">
        <v>2133.1759999999999</v>
      </c>
      <c r="M938" s="134">
        <v>338277</v>
      </c>
      <c r="N938" s="135">
        <v>156.72749999999999</v>
      </c>
      <c r="O938" s="135">
        <v>154.1917</v>
      </c>
      <c r="P938" s="135">
        <v>154.06909999999999</v>
      </c>
      <c r="Q938" s="135">
        <v>150.41380000000001</v>
      </c>
      <c r="R938" s="137">
        <v>1.06</v>
      </c>
      <c r="S938" s="120">
        <v>359331</v>
      </c>
      <c r="T938" s="120">
        <v>3441342</v>
      </c>
      <c r="U938" s="120">
        <v>0</v>
      </c>
      <c r="V938" s="114">
        <f t="shared" si="34"/>
        <v>3441342</v>
      </c>
      <c r="W938" s="114">
        <f t="shared" si="35"/>
        <v>3800673</v>
      </c>
    </row>
    <row r="939" spans="1:23">
      <c r="A939" s="122" t="s">
        <v>2052</v>
      </c>
      <c r="B939" s="124">
        <v>1022.129</v>
      </c>
      <c r="C939" s="124">
        <v>975.04399999999998</v>
      </c>
      <c r="D939" s="124">
        <v>945.59799999999996</v>
      </c>
      <c r="E939" s="124">
        <v>937.66899999999998</v>
      </c>
      <c r="F939" s="124">
        <v>151.15209999999999</v>
      </c>
      <c r="G939" s="124">
        <v>149.52950000000001</v>
      </c>
      <c r="H939" s="124">
        <v>152.68049999999999</v>
      </c>
      <c r="I939" s="124">
        <v>152.55969999999999</v>
      </c>
      <c r="J939" s="134">
        <v>174588787</v>
      </c>
      <c r="K939" s="134">
        <v>191854588</v>
      </c>
      <c r="L939" s="124">
        <v>1382.405</v>
      </c>
      <c r="M939" s="114">
        <v>0</v>
      </c>
      <c r="N939" s="135">
        <v>105.28700000000001</v>
      </c>
      <c r="O939" s="135">
        <v>104.6889</v>
      </c>
      <c r="P939" s="135">
        <v>101.5154</v>
      </c>
      <c r="Q939" s="135">
        <v>99.773099999999999</v>
      </c>
      <c r="R939" s="137">
        <v>1.04</v>
      </c>
      <c r="S939" s="120">
        <v>0</v>
      </c>
      <c r="T939" s="120">
        <v>2496873</v>
      </c>
      <c r="U939" s="120">
        <v>0</v>
      </c>
      <c r="V939" s="114">
        <f t="shared" si="34"/>
        <v>2496873</v>
      </c>
      <c r="W939" s="114">
        <f t="shared" si="35"/>
        <v>2496873</v>
      </c>
    </row>
    <row r="940" spans="1:23">
      <c r="A940" s="122" t="s">
        <v>1423</v>
      </c>
      <c r="B940" s="124">
        <v>401.98899999999998</v>
      </c>
      <c r="C940" s="124">
        <v>401.97699999999998</v>
      </c>
      <c r="D940" s="124">
        <v>463.87</v>
      </c>
      <c r="E940" s="124">
        <v>451.02100000000002</v>
      </c>
      <c r="F940" s="124">
        <v>77.366399999999999</v>
      </c>
      <c r="G940" s="124">
        <v>77.048299999999998</v>
      </c>
      <c r="H940" s="124">
        <v>79.759399999999999</v>
      </c>
      <c r="I940" s="124">
        <v>82.6845</v>
      </c>
      <c r="J940" s="134">
        <v>37515698</v>
      </c>
      <c r="K940" s="134">
        <v>42702874</v>
      </c>
      <c r="L940" s="124">
        <v>734.16</v>
      </c>
      <c r="M940" s="114">
        <v>0</v>
      </c>
      <c r="N940" s="135">
        <v>50.570300000000003</v>
      </c>
      <c r="O940" s="135">
        <v>51.7851</v>
      </c>
      <c r="P940" s="135">
        <v>52.129100000000001</v>
      </c>
      <c r="Q940" s="135">
        <v>54.884399999999999</v>
      </c>
      <c r="R940" s="137">
        <v>1.04</v>
      </c>
      <c r="S940" s="120">
        <v>177296</v>
      </c>
      <c r="T940" s="120">
        <v>546910</v>
      </c>
      <c r="U940" s="120">
        <v>0</v>
      </c>
      <c r="V940" s="114">
        <f t="shared" si="34"/>
        <v>546910</v>
      </c>
      <c r="W940" s="114">
        <f t="shared" si="35"/>
        <v>724206</v>
      </c>
    </row>
    <row r="941" spans="1:23">
      <c r="A941" s="122" t="s">
        <v>83</v>
      </c>
      <c r="B941" s="124">
        <v>189.506</v>
      </c>
      <c r="C941" s="124">
        <v>204.34800000000001</v>
      </c>
      <c r="D941" s="124">
        <v>198.17699999999999</v>
      </c>
      <c r="E941" s="124">
        <v>192.607</v>
      </c>
      <c r="F941" s="124">
        <v>45.0214</v>
      </c>
      <c r="G941" s="124">
        <v>47.320799999999998</v>
      </c>
      <c r="H941" s="124">
        <v>43.352899999999998</v>
      </c>
      <c r="I941" s="124">
        <v>40.267499999999998</v>
      </c>
      <c r="J941" s="134">
        <v>40301257</v>
      </c>
      <c r="K941" s="134">
        <v>43831547</v>
      </c>
      <c r="L941" s="124">
        <v>348.99799999999999</v>
      </c>
      <c r="M941" s="114">
        <v>0</v>
      </c>
      <c r="N941" s="135">
        <v>28.971900000000002</v>
      </c>
      <c r="O941" s="135">
        <v>27.9999</v>
      </c>
      <c r="P941" s="135">
        <v>24.000299999999999</v>
      </c>
      <c r="Q941" s="135">
        <v>23.386299999999999</v>
      </c>
      <c r="R941" s="137">
        <v>1.04</v>
      </c>
      <c r="S941" s="120">
        <v>20919</v>
      </c>
      <c r="T941" s="120">
        <v>688531</v>
      </c>
      <c r="U941" s="120">
        <v>0</v>
      </c>
      <c r="V941" s="114">
        <f t="shared" si="34"/>
        <v>688531</v>
      </c>
      <c r="W941" s="114">
        <f t="shared" si="35"/>
        <v>709450</v>
      </c>
    </row>
    <row r="942" spans="1:23">
      <c r="A942" s="122" t="s">
        <v>2053</v>
      </c>
      <c r="B942" s="124">
        <v>659.29700000000003</v>
      </c>
      <c r="C942" s="124">
        <v>640.73</v>
      </c>
      <c r="D942" s="124">
        <v>667.94799999999998</v>
      </c>
      <c r="E942" s="124">
        <v>679.47500000000002</v>
      </c>
      <c r="F942" s="124">
        <v>104.5497</v>
      </c>
      <c r="G942" s="124">
        <v>106.44119999999999</v>
      </c>
      <c r="H942" s="124">
        <v>107.316</v>
      </c>
      <c r="I942" s="124">
        <v>106.20480000000001</v>
      </c>
      <c r="J942" s="134">
        <v>107549957</v>
      </c>
      <c r="K942" s="134">
        <v>116179863</v>
      </c>
      <c r="L942" s="124">
        <v>1080.0139999999999</v>
      </c>
      <c r="M942" s="114">
        <v>0</v>
      </c>
      <c r="N942" s="135">
        <v>73.336100000000002</v>
      </c>
      <c r="O942" s="135">
        <v>69.864999999999995</v>
      </c>
      <c r="P942" s="135">
        <v>71.069699999999997</v>
      </c>
      <c r="Q942" s="135">
        <v>70.774000000000001</v>
      </c>
      <c r="R942" s="137">
        <v>1.06</v>
      </c>
      <c r="S942" s="120">
        <v>0</v>
      </c>
      <c r="T942" s="120">
        <v>1492652</v>
      </c>
      <c r="U942" s="120">
        <v>0</v>
      </c>
      <c r="V942" s="114">
        <f t="shared" si="34"/>
        <v>1492652</v>
      </c>
      <c r="W942" s="114">
        <f t="shared" si="35"/>
        <v>1492652</v>
      </c>
    </row>
    <row r="943" spans="1:23">
      <c r="A943" s="122" t="s">
        <v>2054</v>
      </c>
      <c r="B943" s="124">
        <v>2194.0300000000002</v>
      </c>
      <c r="C943" s="124">
        <v>2204.4960000000001</v>
      </c>
      <c r="D943" s="124">
        <v>2160.4569999999999</v>
      </c>
      <c r="E943" s="124">
        <v>2136.1709999999998</v>
      </c>
      <c r="F943" s="124">
        <v>354.4006</v>
      </c>
      <c r="G943" s="124">
        <v>359.13249999999999</v>
      </c>
      <c r="H943" s="124">
        <v>352.21789999999999</v>
      </c>
      <c r="I943" s="124">
        <v>369.31700000000001</v>
      </c>
      <c r="J943" s="134">
        <v>557725024</v>
      </c>
      <c r="K943" s="134">
        <v>595253002</v>
      </c>
      <c r="L943" s="124">
        <v>2937.375</v>
      </c>
      <c r="M943" s="114">
        <v>0</v>
      </c>
      <c r="N943" s="135">
        <v>225.9871</v>
      </c>
      <c r="O943" s="135">
        <v>227.69229999999999</v>
      </c>
      <c r="P943" s="135">
        <v>237.441</v>
      </c>
      <c r="Q943" s="135">
        <v>235.9057</v>
      </c>
      <c r="R943" s="137">
        <v>1.06</v>
      </c>
      <c r="S943" s="120">
        <v>0</v>
      </c>
      <c r="T943" s="120">
        <v>8434569</v>
      </c>
      <c r="U943" s="120">
        <v>0</v>
      </c>
      <c r="V943" s="114">
        <f t="shared" si="34"/>
        <v>8434569</v>
      </c>
      <c r="W943" s="114">
        <f t="shared" si="35"/>
        <v>8434569</v>
      </c>
    </row>
    <row r="944" spans="1:23">
      <c r="A944" s="122" t="s">
        <v>1594</v>
      </c>
      <c r="B944" s="124">
        <v>784.53700000000003</v>
      </c>
      <c r="C944" s="124">
        <v>751.70100000000002</v>
      </c>
      <c r="D944" s="124">
        <v>760.74099999999999</v>
      </c>
      <c r="E944" s="124">
        <v>785.51300000000003</v>
      </c>
      <c r="F944" s="124">
        <v>127.6153</v>
      </c>
      <c r="G944" s="124">
        <v>125.54049999999999</v>
      </c>
      <c r="H944" s="124">
        <v>142.4657</v>
      </c>
      <c r="I944" s="124">
        <v>146.011</v>
      </c>
      <c r="J944" s="134">
        <v>78066592</v>
      </c>
      <c r="K944" s="134">
        <v>88105786</v>
      </c>
      <c r="L944" s="124">
        <v>1263.319</v>
      </c>
      <c r="M944" s="134">
        <v>3684</v>
      </c>
      <c r="N944" s="135">
        <v>76.162000000000006</v>
      </c>
      <c r="O944" s="135">
        <v>80.002200000000002</v>
      </c>
      <c r="P944" s="135">
        <v>89.001300000000001</v>
      </c>
      <c r="Q944" s="135">
        <v>88.718500000000006</v>
      </c>
      <c r="R944" s="137">
        <v>1.05</v>
      </c>
      <c r="S944" s="120">
        <v>64900</v>
      </c>
      <c r="T944" s="120">
        <v>1288836</v>
      </c>
      <c r="U944" s="120">
        <v>0</v>
      </c>
      <c r="V944" s="114">
        <f t="shared" si="34"/>
        <v>1288836</v>
      </c>
      <c r="W944" s="114">
        <f t="shared" si="35"/>
        <v>1353736</v>
      </c>
    </row>
    <row r="945" spans="1:23">
      <c r="A945" s="122" t="s">
        <v>1229</v>
      </c>
      <c r="B945" s="124">
        <v>276.78100000000001</v>
      </c>
      <c r="C945" s="124">
        <v>277.18599999999998</v>
      </c>
      <c r="D945" s="124">
        <v>291.79000000000002</v>
      </c>
      <c r="E945" s="124">
        <v>302.25099999999998</v>
      </c>
      <c r="F945" s="124">
        <v>47.858400000000003</v>
      </c>
      <c r="G945" s="124">
        <v>47.337000000000003</v>
      </c>
      <c r="H945" s="124">
        <v>51.342399999999998</v>
      </c>
      <c r="I945" s="124">
        <v>51.695399999999999</v>
      </c>
      <c r="J945" s="134">
        <v>56945730</v>
      </c>
      <c r="K945" s="134">
        <v>62057031</v>
      </c>
      <c r="L945" s="124">
        <v>553.91800000000001</v>
      </c>
      <c r="M945" s="114">
        <v>0</v>
      </c>
      <c r="N945" s="135">
        <v>31.5002</v>
      </c>
      <c r="O945" s="135">
        <v>32.0002</v>
      </c>
      <c r="P945" s="135">
        <v>33.876600000000003</v>
      </c>
      <c r="Q945" s="135">
        <v>34.2303</v>
      </c>
      <c r="R945" s="137">
        <v>1.06</v>
      </c>
      <c r="S945" s="120">
        <v>0</v>
      </c>
      <c r="T945" s="120">
        <v>820974</v>
      </c>
      <c r="U945" s="120">
        <v>0</v>
      </c>
      <c r="V945" s="114">
        <f t="shared" si="34"/>
        <v>820974</v>
      </c>
      <c r="W945" s="114">
        <f t="shared" si="35"/>
        <v>820974</v>
      </c>
    </row>
    <row r="946" spans="1:23">
      <c r="A946" s="122" t="s">
        <v>2127</v>
      </c>
      <c r="B946" s="124">
        <v>901.37300000000005</v>
      </c>
      <c r="C946" s="124">
        <v>897.476</v>
      </c>
      <c r="D946" s="124">
        <v>900.81399999999996</v>
      </c>
      <c r="E946" s="124">
        <v>921.55499999999995</v>
      </c>
      <c r="F946" s="124">
        <v>151.7362</v>
      </c>
      <c r="G946" s="124">
        <v>157.25700000000001</v>
      </c>
      <c r="H946" s="124">
        <v>164.7491</v>
      </c>
      <c r="I946" s="124">
        <v>165.32599999999999</v>
      </c>
      <c r="J946" s="134">
        <v>223670188</v>
      </c>
      <c r="K946" s="134">
        <v>239252254</v>
      </c>
      <c r="L946" s="124">
        <v>1408.174</v>
      </c>
      <c r="M946" s="134">
        <v>100647</v>
      </c>
      <c r="N946" s="135">
        <v>95.994500000000002</v>
      </c>
      <c r="O946" s="135">
        <v>97.902699999999996</v>
      </c>
      <c r="P946" s="135">
        <v>102.63639999999999</v>
      </c>
      <c r="Q946" s="135">
        <v>101.7766</v>
      </c>
      <c r="R946" s="137">
        <v>1.06</v>
      </c>
      <c r="S946" s="120">
        <v>117247</v>
      </c>
      <c r="T946" s="120">
        <v>3362116</v>
      </c>
      <c r="U946" s="120">
        <v>0</v>
      </c>
      <c r="V946" s="114">
        <f t="shared" si="34"/>
        <v>3362116</v>
      </c>
      <c r="W946" s="114">
        <f t="shared" si="35"/>
        <v>3479363</v>
      </c>
    </row>
    <row r="947" spans="1:23">
      <c r="A947" s="122" t="s">
        <v>1230</v>
      </c>
      <c r="B947" s="124">
        <v>847.98900000000003</v>
      </c>
      <c r="C947" s="124">
        <v>800.34299999999996</v>
      </c>
      <c r="D947" s="124">
        <v>802.60799999999995</v>
      </c>
      <c r="E947" s="124">
        <v>809.923</v>
      </c>
      <c r="F947" s="124">
        <v>106.23180000000001</v>
      </c>
      <c r="G947" s="124">
        <v>115.1305</v>
      </c>
      <c r="H947" s="124">
        <v>112.792</v>
      </c>
      <c r="I947" s="124">
        <v>114.60890000000001</v>
      </c>
      <c r="J947" s="134">
        <v>61679142</v>
      </c>
      <c r="K947" s="134">
        <v>70862867</v>
      </c>
      <c r="L947" s="124">
        <v>1214.039</v>
      </c>
      <c r="M947" s="114">
        <v>0</v>
      </c>
      <c r="N947" s="135">
        <v>75.644000000000005</v>
      </c>
      <c r="O947" s="135">
        <v>81.489400000000003</v>
      </c>
      <c r="P947" s="135">
        <v>79.617400000000004</v>
      </c>
      <c r="Q947" s="135">
        <v>80.9482</v>
      </c>
      <c r="R947" s="137">
        <v>1.06</v>
      </c>
      <c r="S947" s="120">
        <v>5749</v>
      </c>
      <c r="T947" s="120">
        <v>969877</v>
      </c>
      <c r="U947" s="120">
        <v>0</v>
      </c>
      <c r="V947" s="114">
        <f t="shared" si="34"/>
        <v>969877</v>
      </c>
      <c r="W947" s="114">
        <f t="shared" si="35"/>
        <v>975626</v>
      </c>
    </row>
    <row r="948" spans="1:23">
      <c r="A948" s="122" t="s">
        <v>1231</v>
      </c>
      <c r="B948" s="124">
        <v>636.35400000000004</v>
      </c>
      <c r="C948" s="124">
        <v>637.54700000000003</v>
      </c>
      <c r="D948" s="124">
        <v>649.45699999999999</v>
      </c>
      <c r="E948" s="124">
        <v>684.88699999999994</v>
      </c>
      <c r="F948" s="124">
        <v>101.6957</v>
      </c>
      <c r="G948" s="124">
        <v>104.58759999999999</v>
      </c>
      <c r="H948" s="124">
        <v>106.2594</v>
      </c>
      <c r="I948" s="124">
        <v>106.239</v>
      </c>
      <c r="J948" s="134">
        <v>127694458</v>
      </c>
      <c r="K948" s="134">
        <v>134895881</v>
      </c>
      <c r="L948" s="124">
        <v>1053.298</v>
      </c>
      <c r="M948" s="134">
        <v>131406</v>
      </c>
      <c r="N948" s="135">
        <v>68.399900000000002</v>
      </c>
      <c r="O948" s="135">
        <v>70.008700000000005</v>
      </c>
      <c r="P948" s="135">
        <v>69.751499999999993</v>
      </c>
      <c r="Q948" s="135">
        <v>70.385800000000003</v>
      </c>
      <c r="R948" s="137">
        <v>1.06</v>
      </c>
      <c r="S948" s="120">
        <v>145939</v>
      </c>
      <c r="T948" s="120">
        <v>1882695</v>
      </c>
      <c r="U948" s="120">
        <v>0</v>
      </c>
      <c r="V948" s="114">
        <f t="shared" si="34"/>
        <v>1882695</v>
      </c>
      <c r="W948" s="114">
        <f t="shared" si="35"/>
        <v>2028634</v>
      </c>
    </row>
    <row r="949" spans="1:23">
      <c r="A949" s="122" t="s">
        <v>1232</v>
      </c>
      <c r="B949" s="124">
        <v>545.64300000000003</v>
      </c>
      <c r="C949" s="124">
        <v>489.74299999999999</v>
      </c>
      <c r="D949" s="124">
        <v>474.95299999999997</v>
      </c>
      <c r="E949" s="124">
        <v>461.39800000000002</v>
      </c>
      <c r="F949" s="124">
        <v>109.2184</v>
      </c>
      <c r="G949" s="124">
        <v>104.85039999999999</v>
      </c>
      <c r="H949" s="124">
        <v>102.85039999999999</v>
      </c>
      <c r="I949" s="124">
        <v>97.674000000000007</v>
      </c>
      <c r="J949" s="134">
        <v>520011800</v>
      </c>
      <c r="K949" s="134">
        <v>525012902</v>
      </c>
      <c r="L949" s="124">
        <v>919.36</v>
      </c>
      <c r="M949" s="114">
        <v>0</v>
      </c>
      <c r="N949" s="135">
        <v>68.217699999999994</v>
      </c>
      <c r="O949" s="135">
        <v>69.602099999999993</v>
      </c>
      <c r="P949" s="135">
        <v>67.781599999999997</v>
      </c>
      <c r="Q949" s="135">
        <v>62.521799999999999</v>
      </c>
      <c r="R949" s="137">
        <v>1.0900000000000001</v>
      </c>
      <c r="S949" s="120">
        <v>0</v>
      </c>
      <c r="T949" s="120">
        <v>9822365</v>
      </c>
      <c r="U949" s="120">
        <v>0</v>
      </c>
      <c r="V949" s="114">
        <f t="shared" si="34"/>
        <v>9822365</v>
      </c>
      <c r="W949" s="114">
        <f t="shared" si="35"/>
        <v>9822365</v>
      </c>
    </row>
    <row r="950" spans="1:23">
      <c r="A950" s="122" t="s">
        <v>1233</v>
      </c>
      <c r="B950" s="124">
        <v>290.488</v>
      </c>
      <c r="C950" s="124">
        <v>266.49900000000002</v>
      </c>
      <c r="D950" s="124">
        <v>258.45100000000002</v>
      </c>
      <c r="E950" s="124">
        <v>245.38900000000001</v>
      </c>
      <c r="F950" s="124">
        <v>66.323800000000006</v>
      </c>
      <c r="G950" s="124">
        <v>66.823800000000006</v>
      </c>
      <c r="H950" s="124">
        <v>65.6661</v>
      </c>
      <c r="I950" s="124">
        <v>57.663200000000003</v>
      </c>
      <c r="J950" s="134">
        <v>353858646</v>
      </c>
      <c r="K950" s="134">
        <v>356301396</v>
      </c>
      <c r="L950" s="124">
        <v>483.84300000000002</v>
      </c>
      <c r="M950" s="114">
        <v>0</v>
      </c>
      <c r="N950" s="135">
        <v>40.524900000000002</v>
      </c>
      <c r="O950" s="135">
        <v>40.901899999999998</v>
      </c>
      <c r="P950" s="135">
        <v>39.1648</v>
      </c>
      <c r="Q950" s="135">
        <v>34.5655</v>
      </c>
      <c r="R950" s="137">
        <v>1.0900000000000001</v>
      </c>
      <c r="S950" s="120">
        <v>0</v>
      </c>
      <c r="T950" s="120">
        <v>5508545</v>
      </c>
      <c r="U950" s="120">
        <v>0</v>
      </c>
      <c r="V950" s="114">
        <f t="shared" si="34"/>
        <v>5508545</v>
      </c>
      <c r="W950" s="114">
        <f t="shared" si="35"/>
        <v>5508545</v>
      </c>
    </row>
    <row r="951" spans="1:23">
      <c r="A951" s="122" t="s">
        <v>63</v>
      </c>
      <c r="B951" s="124">
        <v>223.86699999999999</v>
      </c>
      <c r="C951" s="124">
        <v>207.035</v>
      </c>
      <c r="D951" s="124">
        <v>206.35</v>
      </c>
      <c r="E951" s="124">
        <v>205.96</v>
      </c>
      <c r="F951" s="124">
        <v>38.794699999999999</v>
      </c>
      <c r="G951" s="124">
        <v>39.094700000000003</v>
      </c>
      <c r="H951" s="124">
        <v>36.700000000000003</v>
      </c>
      <c r="I951" s="124">
        <v>35.288800000000002</v>
      </c>
      <c r="J951" s="134">
        <v>28659708</v>
      </c>
      <c r="K951" s="134">
        <v>30468396</v>
      </c>
      <c r="L951" s="124">
        <v>341.48</v>
      </c>
      <c r="M951" s="114">
        <v>0</v>
      </c>
      <c r="N951" s="135">
        <v>23.4953</v>
      </c>
      <c r="O951" s="135">
        <v>23.995699999999999</v>
      </c>
      <c r="P951" s="135">
        <v>23.999500000000001</v>
      </c>
      <c r="Q951" s="135">
        <v>21.2241</v>
      </c>
      <c r="R951" s="137">
        <v>1.08</v>
      </c>
      <c r="S951" s="120">
        <v>19258</v>
      </c>
      <c r="T951" s="120">
        <v>357663</v>
      </c>
      <c r="U951" s="120">
        <v>0</v>
      </c>
      <c r="V951" s="114">
        <f t="shared" si="34"/>
        <v>357663</v>
      </c>
      <c r="W951" s="114">
        <f t="shared" si="35"/>
        <v>376921</v>
      </c>
    </row>
    <row r="952" spans="1:23">
      <c r="A952" s="122" t="s">
        <v>1737</v>
      </c>
      <c r="B952" s="124">
        <v>488.9</v>
      </c>
      <c r="C952" s="124">
        <v>484.61700000000002</v>
      </c>
      <c r="D952" s="124">
        <v>501.43799999999999</v>
      </c>
      <c r="E952" s="124">
        <v>508.30799999999999</v>
      </c>
      <c r="F952" s="124">
        <v>95.4816</v>
      </c>
      <c r="G952" s="124">
        <v>94.291700000000006</v>
      </c>
      <c r="H952" s="124">
        <v>95.091300000000004</v>
      </c>
      <c r="I952" s="124">
        <v>92.077699999999993</v>
      </c>
      <c r="J952" s="134">
        <v>85987502</v>
      </c>
      <c r="K952" s="134">
        <v>91372039</v>
      </c>
      <c r="L952" s="124">
        <v>1017.314</v>
      </c>
      <c r="M952" s="114">
        <v>0</v>
      </c>
      <c r="N952" s="135">
        <v>64.991299999999995</v>
      </c>
      <c r="O952" s="135">
        <v>61.511299999999999</v>
      </c>
      <c r="P952" s="135">
        <v>61.294199999999996</v>
      </c>
      <c r="Q952" s="135">
        <v>57.663200000000003</v>
      </c>
      <c r="R952" s="137">
        <v>1.08</v>
      </c>
      <c r="S952" s="120">
        <v>63396</v>
      </c>
      <c r="T952" s="120">
        <v>1025154</v>
      </c>
      <c r="U952" s="120">
        <v>0</v>
      </c>
      <c r="V952" s="114">
        <f t="shared" si="34"/>
        <v>1025154</v>
      </c>
      <c r="W952" s="114">
        <f t="shared" si="35"/>
        <v>1088550</v>
      </c>
    </row>
    <row r="953" spans="1:23">
      <c r="A953" s="122" t="s">
        <v>1714</v>
      </c>
      <c r="B953" s="124">
        <v>4891.2420000000002</v>
      </c>
      <c r="C953" s="124">
        <v>4791.5159999999996</v>
      </c>
      <c r="D953" s="124">
        <v>4738.8249999999998</v>
      </c>
      <c r="E953" s="124">
        <v>4731.1819999999998</v>
      </c>
      <c r="F953" s="124">
        <v>847.87860000000001</v>
      </c>
      <c r="G953" s="124">
        <v>853.59069999999997</v>
      </c>
      <c r="H953" s="124">
        <v>814.57659999999998</v>
      </c>
      <c r="I953" s="124">
        <v>795.44060000000002</v>
      </c>
      <c r="J953" s="134">
        <v>473425118</v>
      </c>
      <c r="K953" s="134">
        <v>515769617</v>
      </c>
      <c r="L953" s="124">
        <v>6493.2389999999996</v>
      </c>
      <c r="M953" s="134">
        <v>156242</v>
      </c>
      <c r="N953" s="135">
        <v>516.5761</v>
      </c>
      <c r="O953" s="135">
        <v>498.67020000000002</v>
      </c>
      <c r="P953" s="135">
        <v>475.81150000000002</v>
      </c>
      <c r="Q953" s="135">
        <v>470.88560000000001</v>
      </c>
      <c r="R953" s="137">
        <v>1.1200000000000001</v>
      </c>
      <c r="S953" s="120">
        <v>876407</v>
      </c>
      <c r="T953" s="120">
        <v>7062788</v>
      </c>
      <c r="U953" s="120">
        <v>0</v>
      </c>
      <c r="V953" s="114">
        <f t="shared" si="34"/>
        <v>7062788</v>
      </c>
      <c r="W953" s="114">
        <f t="shared" si="35"/>
        <v>7939195</v>
      </c>
    </row>
    <row r="954" spans="1:23">
      <c r="A954" s="122" t="s">
        <v>1495</v>
      </c>
      <c r="B954" s="124">
        <v>208.78200000000001</v>
      </c>
      <c r="C954" s="124">
        <v>196.44499999999999</v>
      </c>
      <c r="D954" s="124">
        <v>195.69200000000001</v>
      </c>
      <c r="E954" s="124">
        <v>196.34</v>
      </c>
      <c r="F954" s="124">
        <v>36.701799999999999</v>
      </c>
      <c r="G954" s="124">
        <v>35.738399999999999</v>
      </c>
      <c r="H954" s="124">
        <v>37.7684</v>
      </c>
      <c r="I954" s="124">
        <v>36.2286</v>
      </c>
      <c r="J954" s="134">
        <v>81752060</v>
      </c>
      <c r="K954" s="134">
        <v>85708250</v>
      </c>
      <c r="L954" s="124">
        <v>400.29599999999999</v>
      </c>
      <c r="M954" s="114">
        <v>0</v>
      </c>
      <c r="N954" s="135">
        <v>22.971800000000002</v>
      </c>
      <c r="O954" s="135">
        <v>23.5398</v>
      </c>
      <c r="P954" s="135">
        <v>23.330400000000001</v>
      </c>
      <c r="Q954" s="135">
        <v>22.0002</v>
      </c>
      <c r="R954" s="137">
        <v>1.07</v>
      </c>
      <c r="S954" s="120">
        <v>0</v>
      </c>
      <c r="T954" s="120">
        <v>1111514</v>
      </c>
      <c r="U954" s="120">
        <v>0</v>
      </c>
      <c r="V954" s="114">
        <f t="shared" si="34"/>
        <v>1111514</v>
      </c>
      <c r="W954" s="114">
        <f t="shared" si="35"/>
        <v>1111514</v>
      </c>
    </row>
    <row r="955" spans="1:23">
      <c r="A955" s="122" t="s">
        <v>530</v>
      </c>
      <c r="B955" s="124">
        <v>9320.6080000000002</v>
      </c>
      <c r="C955" s="124">
        <v>9173.4740000000002</v>
      </c>
      <c r="D955" s="124">
        <v>9409.0930000000008</v>
      </c>
      <c r="E955" s="124">
        <v>9490.0349999999999</v>
      </c>
      <c r="F955" s="124">
        <v>1320.1177</v>
      </c>
      <c r="G955" s="124">
        <v>1295.3308</v>
      </c>
      <c r="H955" s="124">
        <v>1196.5500999999999</v>
      </c>
      <c r="I955" s="124">
        <v>1257.4272000000001</v>
      </c>
      <c r="J955" s="134">
        <v>762528836</v>
      </c>
      <c r="K955" s="134">
        <v>832948839</v>
      </c>
      <c r="L955" s="124">
        <v>12948.665999999999</v>
      </c>
      <c r="M955" s="114">
        <v>0</v>
      </c>
      <c r="N955" s="135">
        <v>745.86069999999995</v>
      </c>
      <c r="O955" s="135">
        <v>774.7251</v>
      </c>
      <c r="P955" s="135">
        <v>659.19989999999996</v>
      </c>
      <c r="Q955" s="135">
        <v>703.4579</v>
      </c>
      <c r="R955" s="137">
        <v>1.1299999999999999</v>
      </c>
      <c r="S955" s="120">
        <v>459575</v>
      </c>
      <c r="T955" s="120">
        <v>10563827</v>
      </c>
      <c r="U955" s="120">
        <v>180360</v>
      </c>
      <c r="V955" s="114">
        <f t="shared" si="34"/>
        <v>10744187</v>
      </c>
      <c r="W955" s="114">
        <f t="shared" si="35"/>
        <v>11203762</v>
      </c>
    </row>
    <row r="956" spans="1:23">
      <c r="A956" s="122" t="s">
        <v>940</v>
      </c>
      <c r="B956" s="124">
        <v>148.24600000000001</v>
      </c>
      <c r="C956" s="124">
        <v>159.893</v>
      </c>
      <c r="D956" s="124">
        <v>155.06399999999999</v>
      </c>
      <c r="E956" s="124">
        <v>151.96700000000001</v>
      </c>
      <c r="F956" s="124">
        <v>29.791799999999999</v>
      </c>
      <c r="G956" s="124">
        <v>29.561800000000002</v>
      </c>
      <c r="H956" s="124">
        <v>29.834399999999999</v>
      </c>
      <c r="I956" s="124">
        <v>31.866499999999998</v>
      </c>
      <c r="J956" s="134">
        <v>114410710</v>
      </c>
      <c r="K956" s="134">
        <v>115794386</v>
      </c>
      <c r="L956" s="124">
        <v>288.92500000000001</v>
      </c>
      <c r="M956" s="114">
        <v>0</v>
      </c>
      <c r="N956" s="135">
        <v>17.584599999999998</v>
      </c>
      <c r="O956" s="135">
        <v>19.727399999999999</v>
      </c>
      <c r="P956" s="135">
        <v>19.6082</v>
      </c>
      <c r="Q956" s="135">
        <v>19.131799999999998</v>
      </c>
      <c r="R956" s="137">
        <v>1.08</v>
      </c>
      <c r="S956" s="120">
        <v>208325</v>
      </c>
      <c r="T956" s="120">
        <v>1777594</v>
      </c>
      <c r="U956" s="120">
        <v>0</v>
      </c>
      <c r="V956" s="114">
        <f t="shared" si="34"/>
        <v>1777594</v>
      </c>
      <c r="W956" s="114">
        <f t="shared" si="35"/>
        <v>1985919</v>
      </c>
    </row>
    <row r="957" spans="1:23">
      <c r="A957" s="122" t="s">
        <v>943</v>
      </c>
      <c r="B957" s="124">
        <v>1638.6759999999999</v>
      </c>
      <c r="C957" s="124">
        <v>1624.4390000000001</v>
      </c>
      <c r="D957" s="124">
        <v>1642.807</v>
      </c>
      <c r="E957" s="124">
        <v>1639.9459999999999</v>
      </c>
      <c r="F957" s="124">
        <v>217.33459999999999</v>
      </c>
      <c r="G957" s="124">
        <v>229.70679999999999</v>
      </c>
      <c r="H957" s="124">
        <v>223.84469999999999</v>
      </c>
      <c r="I957" s="124">
        <v>223.64150000000001</v>
      </c>
      <c r="J957" s="134">
        <v>338921234</v>
      </c>
      <c r="K957" s="134">
        <v>366345104</v>
      </c>
      <c r="L957" s="124">
        <v>2179.297</v>
      </c>
      <c r="M957" s="134">
        <v>532031</v>
      </c>
      <c r="N957" s="135">
        <v>144.2604</v>
      </c>
      <c r="O957" s="135">
        <v>144.09469999999999</v>
      </c>
      <c r="P957" s="135">
        <v>148.4008</v>
      </c>
      <c r="Q957" s="135">
        <v>143.27209999999999</v>
      </c>
      <c r="R957" s="137">
        <v>1.04</v>
      </c>
      <c r="S957" s="120">
        <v>545391</v>
      </c>
      <c r="T957" s="120">
        <v>4960442</v>
      </c>
      <c r="U957" s="120">
        <v>0</v>
      </c>
      <c r="V957" s="114">
        <f t="shared" si="34"/>
        <v>4960442</v>
      </c>
      <c r="W957" s="114">
        <f t="shared" si="35"/>
        <v>5505833</v>
      </c>
    </row>
    <row r="958" spans="1:23">
      <c r="A958" s="122" t="s">
        <v>944</v>
      </c>
      <c r="B958" s="124">
        <v>840.81</v>
      </c>
      <c r="C958" s="124">
        <v>827.57600000000002</v>
      </c>
      <c r="D958" s="124">
        <v>830.346</v>
      </c>
      <c r="E958" s="124">
        <v>852.86699999999996</v>
      </c>
      <c r="F958" s="124">
        <v>114.57340000000001</v>
      </c>
      <c r="G958" s="124">
        <v>116.7957</v>
      </c>
      <c r="H958" s="124">
        <v>117.9841</v>
      </c>
      <c r="I958" s="124">
        <v>150.46</v>
      </c>
      <c r="J958" s="134">
        <v>123471736</v>
      </c>
      <c r="K958" s="134">
        <v>135286056</v>
      </c>
      <c r="L958" s="124">
        <v>1302.683</v>
      </c>
      <c r="M958" s="134">
        <v>123230</v>
      </c>
      <c r="N958" s="135">
        <v>78.800899999999999</v>
      </c>
      <c r="O958" s="135">
        <v>75.915999999999997</v>
      </c>
      <c r="P958" s="135">
        <v>77.162300000000002</v>
      </c>
      <c r="Q958" s="135">
        <v>95.966099999999997</v>
      </c>
      <c r="R958" s="137">
        <v>1.03</v>
      </c>
      <c r="S958" s="120">
        <v>174416</v>
      </c>
      <c r="T958" s="120">
        <v>1571042</v>
      </c>
      <c r="U958" s="120">
        <v>0</v>
      </c>
      <c r="V958" s="114">
        <f t="shared" si="34"/>
        <v>1571042</v>
      </c>
      <c r="W958" s="114">
        <f t="shared" si="35"/>
        <v>1745458</v>
      </c>
    </row>
    <row r="959" spans="1:23">
      <c r="A959" s="122" t="s">
        <v>1726</v>
      </c>
      <c r="B959" s="124">
        <v>1118.133</v>
      </c>
      <c r="C959" s="124">
        <v>1107.586</v>
      </c>
      <c r="D959" s="124">
        <v>1109.866</v>
      </c>
      <c r="E959" s="124">
        <v>1133.9739999999999</v>
      </c>
      <c r="F959" s="124">
        <v>167.2373</v>
      </c>
      <c r="G959" s="124">
        <v>172.69749999999999</v>
      </c>
      <c r="H959" s="124">
        <v>173.50479999999999</v>
      </c>
      <c r="I959" s="124">
        <v>144.32849999999999</v>
      </c>
      <c r="J959" s="134">
        <v>139172499</v>
      </c>
      <c r="K959" s="134">
        <v>153745408</v>
      </c>
      <c r="L959" s="124">
        <v>1622.4939999999999</v>
      </c>
      <c r="M959" s="134">
        <v>54811</v>
      </c>
      <c r="N959" s="135">
        <v>111.2311</v>
      </c>
      <c r="O959" s="135">
        <v>116.3068</v>
      </c>
      <c r="P959" s="135">
        <v>117.6302</v>
      </c>
      <c r="Q959" s="135">
        <v>99.860100000000003</v>
      </c>
      <c r="R959" s="137">
        <v>1.03</v>
      </c>
      <c r="S959" s="120">
        <v>322962</v>
      </c>
      <c r="T959" s="120">
        <v>1685731</v>
      </c>
      <c r="U959" s="120">
        <v>0</v>
      </c>
      <c r="V959" s="114">
        <f t="shared" si="34"/>
        <v>1685731</v>
      </c>
      <c r="W959" s="114">
        <f t="shared" si="35"/>
        <v>2008693</v>
      </c>
    </row>
    <row r="960" spans="1:23">
      <c r="A960" s="122" t="s">
        <v>2097</v>
      </c>
      <c r="B960" s="124">
        <v>384.85</v>
      </c>
      <c r="C960" s="124">
        <v>418.87</v>
      </c>
      <c r="D960" s="124">
        <v>423.089</v>
      </c>
      <c r="E960" s="124">
        <v>429.76900000000001</v>
      </c>
      <c r="F960" s="124">
        <v>65.872500000000002</v>
      </c>
      <c r="G960" s="124">
        <v>69.866200000000006</v>
      </c>
      <c r="H960" s="124">
        <v>70.587299999999999</v>
      </c>
      <c r="I960" s="124">
        <v>76.218400000000003</v>
      </c>
      <c r="J960" s="134">
        <v>49799455</v>
      </c>
      <c r="K960" s="134">
        <v>54108165</v>
      </c>
      <c r="L960" s="124">
        <v>741.82600000000002</v>
      </c>
      <c r="M960" s="134">
        <v>22657</v>
      </c>
      <c r="N960" s="135">
        <v>43.749600000000001</v>
      </c>
      <c r="O960" s="135">
        <v>45.292299999999997</v>
      </c>
      <c r="P960" s="135">
        <v>43.825200000000002</v>
      </c>
      <c r="Q960" s="135">
        <v>50.452500000000001</v>
      </c>
      <c r="R960" s="137">
        <v>1.03</v>
      </c>
      <c r="S960" s="120">
        <v>58133</v>
      </c>
      <c r="T960" s="120">
        <v>737501</v>
      </c>
      <c r="U960" s="120">
        <v>0</v>
      </c>
      <c r="V960" s="114">
        <f t="shared" si="34"/>
        <v>737501</v>
      </c>
      <c r="W960" s="114">
        <f t="shared" si="35"/>
        <v>795634</v>
      </c>
    </row>
    <row r="961" spans="1:23">
      <c r="A961" s="122" t="s">
        <v>945</v>
      </c>
      <c r="B961" s="124">
        <v>1916.248</v>
      </c>
      <c r="C961" s="124">
        <v>1933.02</v>
      </c>
      <c r="D961" s="124">
        <v>1969.498</v>
      </c>
      <c r="E961" s="124">
        <v>2025.731</v>
      </c>
      <c r="F961" s="124">
        <v>268.34710000000001</v>
      </c>
      <c r="G961" s="124">
        <v>278.08679999999998</v>
      </c>
      <c r="H961" s="124">
        <v>292.12509999999997</v>
      </c>
      <c r="I961" s="124">
        <v>306.23610000000002</v>
      </c>
      <c r="J961" s="134">
        <v>341735825</v>
      </c>
      <c r="K961" s="134">
        <v>369341014</v>
      </c>
      <c r="L961" s="124">
        <v>2750.5770000000002</v>
      </c>
      <c r="M961" s="134">
        <v>185794</v>
      </c>
      <c r="N961" s="135">
        <v>173.62819999999999</v>
      </c>
      <c r="O961" s="135">
        <v>173.00190000000001</v>
      </c>
      <c r="P961" s="135">
        <v>181.85849999999999</v>
      </c>
      <c r="Q961" s="135">
        <v>189.95050000000001</v>
      </c>
      <c r="R961" s="137">
        <v>1.04</v>
      </c>
      <c r="S961" s="120">
        <v>189555</v>
      </c>
      <c r="T961" s="120">
        <v>4331181</v>
      </c>
      <c r="U961" s="120">
        <v>0</v>
      </c>
      <c r="V961" s="114">
        <f t="shared" si="34"/>
        <v>4331181</v>
      </c>
      <c r="W961" s="114">
        <f t="shared" si="35"/>
        <v>4520736</v>
      </c>
    </row>
    <row r="962" spans="1:23">
      <c r="A962" s="122" t="s">
        <v>946</v>
      </c>
      <c r="B962" s="124">
        <v>2362.6590000000001</v>
      </c>
      <c r="C962" s="124">
        <v>2392.9769999999999</v>
      </c>
      <c r="D962" s="124">
        <v>2434.3090000000002</v>
      </c>
      <c r="E962" s="124">
        <v>2456.4090000000001</v>
      </c>
      <c r="F962" s="124">
        <v>332.72109999999998</v>
      </c>
      <c r="G962" s="124">
        <v>346.27710000000002</v>
      </c>
      <c r="H962" s="124">
        <v>352.67759999999998</v>
      </c>
      <c r="I962" s="124">
        <v>348.62790000000001</v>
      </c>
      <c r="J962" s="134">
        <v>304328258</v>
      </c>
      <c r="K962" s="134">
        <v>334063638</v>
      </c>
      <c r="L962" s="124">
        <v>3330.5970000000002</v>
      </c>
      <c r="M962" s="134">
        <v>113602</v>
      </c>
      <c r="N962" s="135">
        <v>207.03630000000001</v>
      </c>
      <c r="O962" s="135">
        <v>210.76339999999999</v>
      </c>
      <c r="P962" s="135">
        <v>218.79570000000001</v>
      </c>
      <c r="Q962" s="135">
        <v>215.9974</v>
      </c>
      <c r="R962" s="137">
        <v>1.04</v>
      </c>
      <c r="S962" s="120">
        <v>275706</v>
      </c>
      <c r="T962" s="120">
        <v>4657072</v>
      </c>
      <c r="U962" s="120">
        <v>0</v>
      </c>
      <c r="V962" s="114">
        <f t="shared" si="34"/>
        <v>4657072</v>
      </c>
      <c r="W962" s="114">
        <f t="shared" si="35"/>
        <v>4932778</v>
      </c>
    </row>
    <row r="963" spans="1:23">
      <c r="A963" s="122" t="s">
        <v>1606</v>
      </c>
      <c r="B963" s="124">
        <v>296.077</v>
      </c>
      <c r="C963" s="124">
        <v>318.76499999999999</v>
      </c>
      <c r="D963" s="124">
        <v>346.565</v>
      </c>
      <c r="E963" s="124">
        <v>387.24</v>
      </c>
      <c r="F963" s="124">
        <v>57.575600000000001</v>
      </c>
      <c r="G963" s="124">
        <v>60.586300000000001</v>
      </c>
      <c r="H963" s="124">
        <v>63.131999999999998</v>
      </c>
      <c r="I963" s="124">
        <v>67.314700000000002</v>
      </c>
      <c r="J963" s="134">
        <v>34262202</v>
      </c>
      <c r="K963" s="134">
        <v>37869025</v>
      </c>
      <c r="L963" s="124">
        <v>702.51800000000003</v>
      </c>
      <c r="M963" s="114">
        <v>0</v>
      </c>
      <c r="N963" s="135">
        <v>35.983699999999999</v>
      </c>
      <c r="O963" s="135">
        <v>39.853999999999999</v>
      </c>
      <c r="P963" s="135">
        <v>42.399099999999997</v>
      </c>
      <c r="Q963" s="135">
        <v>44.082500000000003</v>
      </c>
      <c r="R963" s="137">
        <v>1.03</v>
      </c>
      <c r="S963" s="120">
        <v>22246</v>
      </c>
      <c r="T963" s="120">
        <v>483621</v>
      </c>
      <c r="U963" s="120">
        <v>0</v>
      </c>
      <c r="V963" s="114">
        <f t="shared" si="34"/>
        <v>483621</v>
      </c>
      <c r="W963" s="114">
        <f t="shared" si="35"/>
        <v>505867</v>
      </c>
    </row>
    <row r="964" spans="1:23">
      <c r="A964" s="122" t="s">
        <v>989</v>
      </c>
      <c r="B964" s="124">
        <v>943.178</v>
      </c>
      <c r="C964" s="124">
        <v>932.42100000000005</v>
      </c>
      <c r="D964" s="124">
        <v>904.45500000000004</v>
      </c>
      <c r="E964" s="124">
        <v>902.85900000000004</v>
      </c>
      <c r="F964" s="124">
        <v>154.63149999999999</v>
      </c>
      <c r="G964" s="124">
        <v>158.6782</v>
      </c>
      <c r="H964" s="124">
        <v>159.19290000000001</v>
      </c>
      <c r="I964" s="124">
        <v>150.71170000000001</v>
      </c>
      <c r="J964" s="134">
        <v>119395075</v>
      </c>
      <c r="K964" s="134">
        <v>125949255</v>
      </c>
      <c r="L964" s="124">
        <v>1480.829</v>
      </c>
      <c r="M964" s="134">
        <v>1467</v>
      </c>
      <c r="N964" s="135">
        <v>100.4179</v>
      </c>
      <c r="O964" s="135">
        <v>101.95189999999999</v>
      </c>
      <c r="P964" s="135">
        <v>104.3103</v>
      </c>
      <c r="Q964" s="135">
        <v>97.669300000000007</v>
      </c>
      <c r="R964" s="137">
        <v>1.07</v>
      </c>
      <c r="S964" s="120">
        <v>179209</v>
      </c>
      <c r="T964" s="120">
        <v>1690362</v>
      </c>
      <c r="U964" s="120">
        <v>0</v>
      </c>
      <c r="V964" s="114">
        <f t="shared" si="34"/>
        <v>1690362</v>
      </c>
      <c r="W964" s="114">
        <f t="shared" si="35"/>
        <v>1869571</v>
      </c>
    </row>
    <row r="965" spans="1:23">
      <c r="A965" s="122" t="s">
        <v>372</v>
      </c>
      <c r="B965" s="124">
        <v>13573.964</v>
      </c>
      <c r="C965" s="124">
        <v>13297.065000000001</v>
      </c>
      <c r="D965" s="124">
        <v>13214.687</v>
      </c>
      <c r="E965" s="124">
        <v>13266.386</v>
      </c>
      <c r="F965" s="124">
        <v>2255.0266999999999</v>
      </c>
      <c r="G965" s="124">
        <v>2264.8038999999999</v>
      </c>
      <c r="H965" s="124">
        <v>2260.8951000000002</v>
      </c>
      <c r="I965" s="124">
        <v>2174.9324999999999</v>
      </c>
      <c r="J965" s="134">
        <v>2990989967</v>
      </c>
      <c r="K965" s="134">
        <v>3135593490</v>
      </c>
      <c r="L965" s="124">
        <v>17236.866000000002</v>
      </c>
      <c r="M965" s="134">
        <v>1707878</v>
      </c>
      <c r="N965" s="135">
        <v>1328.6871000000001</v>
      </c>
      <c r="O965" s="135">
        <v>1372.2184999999999</v>
      </c>
      <c r="P965" s="135">
        <v>1356.3259</v>
      </c>
      <c r="Q965" s="135">
        <v>1297.3034</v>
      </c>
      <c r="R965" s="137">
        <v>1.1000000000000001</v>
      </c>
      <c r="S965" s="120">
        <v>2934490</v>
      </c>
      <c r="T965" s="120">
        <v>43749912</v>
      </c>
      <c r="U965" s="120">
        <v>0</v>
      </c>
      <c r="V965" s="114">
        <f t="shared" si="34"/>
        <v>43749912</v>
      </c>
      <c r="W965" s="114">
        <f t="shared" si="35"/>
        <v>46684402</v>
      </c>
    </row>
    <row r="966" spans="1:23">
      <c r="A966" s="122" t="s">
        <v>2992</v>
      </c>
      <c r="B966" s="124">
        <v>97.263999999999996</v>
      </c>
      <c r="C966" s="124">
        <v>91.066000000000003</v>
      </c>
      <c r="D966" s="124">
        <v>94.641000000000005</v>
      </c>
      <c r="E966" s="124">
        <v>92.019000000000005</v>
      </c>
      <c r="F966" s="124">
        <v>11.5</v>
      </c>
      <c r="G966" s="124">
        <v>11.5</v>
      </c>
      <c r="H966" s="124">
        <v>11.888999999999999</v>
      </c>
      <c r="I966" s="124">
        <v>13.4252</v>
      </c>
      <c r="J966" s="134">
        <v>55817253</v>
      </c>
      <c r="K966" s="134">
        <v>59206174</v>
      </c>
      <c r="L966" s="124">
        <v>154.43299999999999</v>
      </c>
      <c r="M966" s="114">
        <v>0</v>
      </c>
      <c r="N966" s="135">
        <v>9</v>
      </c>
      <c r="O966" s="135">
        <v>9.0422999999999991</v>
      </c>
      <c r="P966" s="135">
        <v>9.0454000000000008</v>
      </c>
      <c r="Q966" s="135">
        <v>10.4869</v>
      </c>
      <c r="R966" s="137">
        <v>1.07</v>
      </c>
      <c r="S966" s="120">
        <v>0</v>
      </c>
      <c r="T966" s="120">
        <v>756949</v>
      </c>
      <c r="U966" s="120">
        <v>0</v>
      </c>
      <c r="V966" s="114">
        <f t="shared" si="34"/>
        <v>756949</v>
      </c>
      <c r="W966" s="114">
        <f t="shared" si="35"/>
        <v>756949</v>
      </c>
    </row>
    <row r="967" spans="1:23">
      <c r="A967" s="122" t="s">
        <v>1160</v>
      </c>
      <c r="B967" s="124">
        <v>783.26400000000001</v>
      </c>
      <c r="C967" s="124">
        <v>796.84</v>
      </c>
      <c r="D967" s="124">
        <v>831.77</v>
      </c>
      <c r="E967" s="124">
        <v>846.096</v>
      </c>
      <c r="F967" s="124">
        <v>121.1336</v>
      </c>
      <c r="G967" s="124">
        <v>129.3485</v>
      </c>
      <c r="H967" s="124">
        <v>135.92529999999999</v>
      </c>
      <c r="I967" s="124">
        <v>146.9152</v>
      </c>
      <c r="J967" s="134">
        <v>85257835</v>
      </c>
      <c r="K967" s="134">
        <v>94527616</v>
      </c>
      <c r="L967" s="124">
        <v>1313.7929999999999</v>
      </c>
      <c r="M967" s="134">
        <v>15700</v>
      </c>
      <c r="N967" s="135">
        <v>86.181799999999996</v>
      </c>
      <c r="O967" s="135">
        <v>87.688900000000004</v>
      </c>
      <c r="P967" s="135">
        <v>92.1755</v>
      </c>
      <c r="Q967" s="135">
        <v>97.756500000000003</v>
      </c>
      <c r="R967" s="137">
        <v>1.06</v>
      </c>
      <c r="S967" s="120">
        <v>402137</v>
      </c>
      <c r="T967" s="120">
        <v>1247094</v>
      </c>
      <c r="U967" s="120">
        <v>0</v>
      </c>
      <c r="V967" s="114">
        <f t="shared" ref="V967:V1030" si="36">T967+U967</f>
        <v>1247094</v>
      </c>
      <c r="W967" s="114">
        <f t="shared" ref="W967:W1030" si="37">V967+S967</f>
        <v>1649231</v>
      </c>
    </row>
    <row r="968" spans="1:23">
      <c r="A968" s="122" t="s">
        <v>1320</v>
      </c>
      <c r="B968" s="124">
        <v>6237.7089999999998</v>
      </c>
      <c r="C968" s="124">
        <v>6146.6509999999998</v>
      </c>
      <c r="D968" s="124">
        <v>6211.5129999999999</v>
      </c>
      <c r="E968" s="124">
        <v>6275.6540000000005</v>
      </c>
      <c r="F968" s="124">
        <v>984.55700000000002</v>
      </c>
      <c r="G968" s="124">
        <v>968.95849999999996</v>
      </c>
      <c r="H968" s="124">
        <v>949.7346</v>
      </c>
      <c r="I968" s="124">
        <v>949.89419999999996</v>
      </c>
      <c r="J968" s="134">
        <v>960079502</v>
      </c>
      <c r="K968" s="134">
        <v>1034401831</v>
      </c>
      <c r="L968" s="124">
        <v>8158.8119999999999</v>
      </c>
      <c r="M968" s="134">
        <v>1845868</v>
      </c>
      <c r="N968" s="135">
        <v>591.51020000000005</v>
      </c>
      <c r="O968" s="135">
        <v>585.32249999999999</v>
      </c>
      <c r="P968" s="135">
        <v>558.41840000000002</v>
      </c>
      <c r="Q968" s="135">
        <v>569.21759999999995</v>
      </c>
      <c r="R968" s="137">
        <v>1.1000000000000001</v>
      </c>
      <c r="S968" s="120">
        <v>1838314</v>
      </c>
      <c r="T968" s="120">
        <v>14690895</v>
      </c>
      <c r="U968" s="120">
        <v>0</v>
      </c>
      <c r="V968" s="114">
        <f t="shared" si="36"/>
        <v>14690895</v>
      </c>
      <c r="W968" s="114">
        <f t="shared" si="37"/>
        <v>16529209</v>
      </c>
    </row>
    <row r="969" spans="1:23">
      <c r="A969" s="122" t="s">
        <v>306</v>
      </c>
      <c r="B969" s="124">
        <v>1322.1949999999999</v>
      </c>
      <c r="C969" s="124">
        <v>1315.4390000000001</v>
      </c>
      <c r="D969" s="124">
        <v>1360.1849999999999</v>
      </c>
      <c r="E969" s="124">
        <v>1322.508</v>
      </c>
      <c r="F969" s="124">
        <v>221.27269999999999</v>
      </c>
      <c r="G969" s="124">
        <v>219.39869999999999</v>
      </c>
      <c r="H969" s="124">
        <v>213.94649999999999</v>
      </c>
      <c r="I969" s="124">
        <v>221.23509999999999</v>
      </c>
      <c r="J969" s="134">
        <v>243428228</v>
      </c>
      <c r="K969" s="134">
        <v>257468193</v>
      </c>
      <c r="L969" s="124">
        <v>2042.9259999999999</v>
      </c>
      <c r="M969" s="134">
        <v>257426</v>
      </c>
      <c r="N969" s="135">
        <v>141.80670000000001</v>
      </c>
      <c r="O969" s="135">
        <v>141.4093</v>
      </c>
      <c r="P969" s="135">
        <v>135.4032</v>
      </c>
      <c r="Q969" s="135">
        <v>139.11670000000001</v>
      </c>
      <c r="R969" s="137">
        <v>1.1200000000000001</v>
      </c>
      <c r="S969" s="120">
        <v>643581</v>
      </c>
      <c r="T969" s="120">
        <v>3733693</v>
      </c>
      <c r="U969" s="120">
        <v>0</v>
      </c>
      <c r="V969" s="114">
        <f t="shared" si="36"/>
        <v>3733693</v>
      </c>
      <c r="W969" s="114">
        <f t="shared" si="37"/>
        <v>4377274</v>
      </c>
    </row>
    <row r="970" spans="1:23">
      <c r="A970" s="122" t="s">
        <v>307</v>
      </c>
      <c r="B970" s="124">
        <v>3834.7359999999999</v>
      </c>
      <c r="C970" s="124">
        <v>4001.7040000000002</v>
      </c>
      <c r="D970" s="124">
        <v>4168.5789999999997</v>
      </c>
      <c r="E970" s="124">
        <v>4338.8559999999998</v>
      </c>
      <c r="F970" s="124">
        <v>563.89959999999996</v>
      </c>
      <c r="G970" s="124">
        <v>613.39499999999998</v>
      </c>
      <c r="H970" s="124">
        <v>619.2586</v>
      </c>
      <c r="I970" s="124">
        <v>655.02089999999998</v>
      </c>
      <c r="J970" s="134">
        <v>790454468</v>
      </c>
      <c r="K970" s="134">
        <v>839806868</v>
      </c>
      <c r="L970" s="124">
        <v>5736.5079999999998</v>
      </c>
      <c r="M970" s="134">
        <v>1598649</v>
      </c>
      <c r="N970" s="135">
        <v>331.53719999999998</v>
      </c>
      <c r="O970" s="135">
        <v>359.2944</v>
      </c>
      <c r="P970" s="135">
        <v>369.96929999999998</v>
      </c>
      <c r="Q970" s="135">
        <v>370.05349999999999</v>
      </c>
      <c r="R970" s="137">
        <v>1.1399999999999999</v>
      </c>
      <c r="S970" s="120">
        <v>1726220</v>
      </c>
      <c r="T970" s="120">
        <v>12946645</v>
      </c>
      <c r="U970" s="120">
        <v>0</v>
      </c>
      <c r="V970" s="114">
        <f t="shared" si="36"/>
        <v>12946645</v>
      </c>
      <c r="W970" s="114">
        <f t="shared" si="37"/>
        <v>14672865</v>
      </c>
    </row>
    <row r="971" spans="1:23">
      <c r="A971" s="122" t="s">
        <v>693</v>
      </c>
      <c r="B971" s="124">
        <v>1313.335</v>
      </c>
      <c r="C971" s="124">
        <v>1349.595</v>
      </c>
      <c r="D971" s="124">
        <v>1365.741</v>
      </c>
      <c r="E971" s="124">
        <v>1456.502</v>
      </c>
      <c r="F971" s="124">
        <v>201.86259999999999</v>
      </c>
      <c r="G971" s="124">
        <v>201.76410000000001</v>
      </c>
      <c r="H971" s="124">
        <v>214.49780000000001</v>
      </c>
      <c r="I971" s="124">
        <v>207.15530000000001</v>
      </c>
      <c r="J971" s="134">
        <v>316874963</v>
      </c>
      <c r="K971" s="134">
        <v>329995467</v>
      </c>
      <c r="L971" s="124">
        <v>2153.1379999999999</v>
      </c>
      <c r="M971" s="134">
        <v>599259</v>
      </c>
      <c r="N971" s="135">
        <v>130.4076</v>
      </c>
      <c r="O971" s="135">
        <v>126.5085</v>
      </c>
      <c r="P971" s="135">
        <v>137.0292</v>
      </c>
      <c r="Q971" s="135">
        <v>138.10319999999999</v>
      </c>
      <c r="R971" s="137">
        <v>1.1299999999999999</v>
      </c>
      <c r="S971" s="120">
        <v>592132</v>
      </c>
      <c r="T971" s="120">
        <v>4899531</v>
      </c>
      <c r="U971" s="120">
        <v>0</v>
      </c>
      <c r="V971" s="114">
        <f t="shared" si="36"/>
        <v>4899531</v>
      </c>
      <c r="W971" s="114">
        <f t="shared" si="37"/>
        <v>5491663</v>
      </c>
    </row>
    <row r="972" spans="1:23">
      <c r="A972" s="122" t="s">
        <v>694</v>
      </c>
      <c r="B972" s="124">
        <v>2134.3870000000002</v>
      </c>
      <c r="C972" s="124">
        <v>1971.65</v>
      </c>
      <c r="D972" s="124">
        <v>1928.1969999999999</v>
      </c>
      <c r="E972" s="124">
        <v>1874.7860000000001</v>
      </c>
      <c r="F972" s="124">
        <v>331.23239999999998</v>
      </c>
      <c r="G972" s="124">
        <v>335.09980000000002</v>
      </c>
      <c r="H972" s="124">
        <v>330.94850000000002</v>
      </c>
      <c r="I972" s="124">
        <v>296.03829999999999</v>
      </c>
      <c r="J972" s="134">
        <v>795177929</v>
      </c>
      <c r="K972" s="134">
        <v>816263981</v>
      </c>
      <c r="L972" s="124">
        <v>2678.7959999999998</v>
      </c>
      <c r="M972" s="114">
        <v>0</v>
      </c>
      <c r="N972" s="135">
        <v>210.40379999999999</v>
      </c>
      <c r="O972" s="135">
        <v>216.6934</v>
      </c>
      <c r="P972" s="135">
        <v>212.37700000000001</v>
      </c>
      <c r="Q972" s="135">
        <v>185.8339</v>
      </c>
      <c r="R972" s="137">
        <v>1.1200000000000001</v>
      </c>
      <c r="S972" s="120">
        <v>0</v>
      </c>
      <c r="T972" s="120">
        <v>11177010</v>
      </c>
      <c r="U972" s="120">
        <v>0</v>
      </c>
      <c r="V972" s="114">
        <f t="shared" si="36"/>
        <v>11177010</v>
      </c>
      <c r="W972" s="114">
        <f t="shared" si="37"/>
        <v>11177010</v>
      </c>
    </row>
    <row r="973" spans="1:23">
      <c r="A973" s="122" t="s">
        <v>695</v>
      </c>
      <c r="B973" s="124">
        <v>136.26599999999999</v>
      </c>
      <c r="C973" s="124">
        <v>123.298</v>
      </c>
      <c r="D973" s="124">
        <v>119.574</v>
      </c>
      <c r="E973" s="124">
        <v>111.392</v>
      </c>
      <c r="F973" s="124">
        <v>38.5</v>
      </c>
      <c r="G973" s="124">
        <v>35.75</v>
      </c>
      <c r="H973" s="124">
        <v>33.75</v>
      </c>
      <c r="I973" s="124">
        <v>33.75</v>
      </c>
      <c r="J973" s="134">
        <v>82138913</v>
      </c>
      <c r="K973" s="134">
        <v>82880927</v>
      </c>
      <c r="L973" s="124">
        <v>269.226</v>
      </c>
      <c r="M973" s="134">
        <v>147485</v>
      </c>
      <c r="N973" s="135">
        <v>25.430700000000002</v>
      </c>
      <c r="O973" s="135">
        <v>23.869499999999999</v>
      </c>
      <c r="P973" s="135">
        <v>21.0014</v>
      </c>
      <c r="Q973" s="135">
        <v>22.6571</v>
      </c>
      <c r="R973" s="137">
        <v>1.1000000000000001</v>
      </c>
      <c r="S973" s="120">
        <v>93695</v>
      </c>
      <c r="T973" s="120">
        <v>1200551</v>
      </c>
      <c r="U973" s="120">
        <v>0</v>
      </c>
      <c r="V973" s="114">
        <f t="shared" si="36"/>
        <v>1200551</v>
      </c>
      <c r="W973" s="114">
        <f t="shared" si="37"/>
        <v>1294246</v>
      </c>
    </row>
    <row r="974" spans="1:23">
      <c r="A974" s="122" t="s">
        <v>2669</v>
      </c>
      <c r="B974" s="124">
        <v>4427.3180000000002</v>
      </c>
      <c r="C974" s="124">
        <v>4412.5619999999999</v>
      </c>
      <c r="D974" s="124">
        <v>4396.2719999999999</v>
      </c>
      <c r="E974" s="124">
        <v>4424.8320000000003</v>
      </c>
      <c r="F974" s="124">
        <v>655.73379999999997</v>
      </c>
      <c r="G974" s="124">
        <v>622.98090000000002</v>
      </c>
      <c r="H974" s="124">
        <v>660.00540000000001</v>
      </c>
      <c r="I974" s="124">
        <v>672.14020000000005</v>
      </c>
      <c r="J974" s="134">
        <v>1290142985</v>
      </c>
      <c r="K974" s="134">
        <v>1355040527</v>
      </c>
      <c r="L974" s="124">
        <v>5894.4250000000002</v>
      </c>
      <c r="M974" s="134">
        <v>1776735</v>
      </c>
      <c r="N974" s="135">
        <v>408.71820000000002</v>
      </c>
      <c r="O974" s="135">
        <v>422.12959999999998</v>
      </c>
      <c r="P974" s="135">
        <v>450.59019999999998</v>
      </c>
      <c r="Q974" s="135">
        <v>458.6857</v>
      </c>
      <c r="R974" s="137">
        <v>1.1200000000000001</v>
      </c>
      <c r="S974" s="120">
        <v>1318246</v>
      </c>
      <c r="T974" s="120">
        <v>19864141</v>
      </c>
      <c r="U974" s="120">
        <v>0</v>
      </c>
      <c r="V974" s="114">
        <f t="shared" si="36"/>
        <v>19864141</v>
      </c>
      <c r="W974" s="114">
        <f t="shared" si="37"/>
        <v>21182387</v>
      </c>
    </row>
    <row r="975" spans="1:23">
      <c r="A975" s="122" t="s">
        <v>2670</v>
      </c>
      <c r="B975" s="124">
        <v>431.80700000000002</v>
      </c>
      <c r="C975" s="124">
        <v>432.971</v>
      </c>
      <c r="D975" s="124">
        <v>426.05700000000002</v>
      </c>
      <c r="E975" s="124">
        <v>414.255</v>
      </c>
      <c r="F975" s="124">
        <v>63.655299999999997</v>
      </c>
      <c r="G975" s="124">
        <v>71.1768</v>
      </c>
      <c r="H975" s="124">
        <v>78.016099999999994</v>
      </c>
      <c r="I975" s="124">
        <v>76.308899999999994</v>
      </c>
      <c r="J975" s="134">
        <v>165036964</v>
      </c>
      <c r="K975" s="134">
        <v>172856901</v>
      </c>
      <c r="L975" s="124">
        <v>701.74</v>
      </c>
      <c r="M975" s="134">
        <v>86399</v>
      </c>
      <c r="N975" s="135">
        <v>39.628900000000002</v>
      </c>
      <c r="O975" s="135">
        <v>45.501800000000003</v>
      </c>
      <c r="P975" s="135">
        <v>51.393099999999997</v>
      </c>
      <c r="Q975" s="135">
        <v>50.7502</v>
      </c>
      <c r="R975" s="137">
        <v>1.08</v>
      </c>
      <c r="S975" s="120">
        <v>83164</v>
      </c>
      <c r="T975" s="120">
        <v>2611062</v>
      </c>
      <c r="U975" s="120">
        <v>0</v>
      </c>
      <c r="V975" s="114">
        <f t="shared" si="36"/>
        <v>2611062</v>
      </c>
      <c r="W975" s="114">
        <f t="shared" si="37"/>
        <v>2694226</v>
      </c>
    </row>
    <row r="976" spans="1:23">
      <c r="A976" s="122" t="s">
        <v>1987</v>
      </c>
      <c r="B976" s="124">
        <v>20853.448</v>
      </c>
      <c r="C976" s="124">
        <v>20929.249</v>
      </c>
      <c r="D976" s="124">
        <v>21495.263999999999</v>
      </c>
      <c r="E976" s="124">
        <v>22012.901999999998</v>
      </c>
      <c r="F976" s="124">
        <v>3318.0862999999999</v>
      </c>
      <c r="G976" s="124">
        <v>3108.1341000000002</v>
      </c>
      <c r="H976" s="124">
        <v>3384.2237</v>
      </c>
      <c r="I976" s="124">
        <v>3458.2078000000001</v>
      </c>
      <c r="J976" s="134">
        <v>1307351696</v>
      </c>
      <c r="K976" s="134">
        <v>1427429459</v>
      </c>
      <c r="L976" s="124">
        <v>32737.64</v>
      </c>
      <c r="M976" s="134">
        <v>192254</v>
      </c>
      <c r="N976" s="135">
        <v>1914.2577000000001</v>
      </c>
      <c r="O976" s="135">
        <v>1684.7527</v>
      </c>
      <c r="P976" s="135">
        <v>1993.1572000000001</v>
      </c>
      <c r="Q976" s="135">
        <v>1987.6819</v>
      </c>
      <c r="R976" s="137">
        <v>1.1599999999999999</v>
      </c>
      <c r="S976" s="120">
        <v>2391437</v>
      </c>
      <c r="T976" s="120">
        <v>17791656</v>
      </c>
      <c r="U976" s="120">
        <v>0</v>
      </c>
      <c r="V976" s="114">
        <f t="shared" si="36"/>
        <v>17791656</v>
      </c>
      <c r="W976" s="114">
        <f t="shared" si="37"/>
        <v>20183093</v>
      </c>
    </row>
    <row r="977" spans="1:23">
      <c r="A977" s="122" t="s">
        <v>1223</v>
      </c>
      <c r="B977" s="124">
        <v>57.893000000000001</v>
      </c>
      <c r="C977" s="124">
        <v>66.366</v>
      </c>
      <c r="D977" s="124">
        <v>64.361999999999995</v>
      </c>
      <c r="E977" s="124">
        <v>42.832999999999998</v>
      </c>
      <c r="F977" s="124">
        <v>15</v>
      </c>
      <c r="G977" s="124">
        <v>15</v>
      </c>
      <c r="H977" s="124">
        <v>11</v>
      </c>
      <c r="I977" s="124">
        <v>12.13</v>
      </c>
      <c r="J977" s="134">
        <v>20861287</v>
      </c>
      <c r="K977" s="134">
        <v>21567895</v>
      </c>
      <c r="L977" s="124">
        <v>137.49299999999999</v>
      </c>
      <c r="M977" s="114">
        <v>0</v>
      </c>
      <c r="N977" s="135">
        <v>9</v>
      </c>
      <c r="O977" s="135">
        <v>10.916600000000001</v>
      </c>
      <c r="P977" s="135">
        <v>6.9166999999999996</v>
      </c>
      <c r="Q977" s="135">
        <v>8.4283999999999999</v>
      </c>
      <c r="R977" s="137">
        <v>1.0900000000000001</v>
      </c>
      <c r="S977" s="120">
        <v>0</v>
      </c>
      <c r="T977" s="120">
        <v>517349</v>
      </c>
      <c r="U977" s="120">
        <v>0</v>
      </c>
      <c r="V977" s="114">
        <f t="shared" si="36"/>
        <v>517349</v>
      </c>
      <c r="W977" s="114">
        <f t="shared" si="37"/>
        <v>517349</v>
      </c>
    </row>
    <row r="978" spans="1:23">
      <c r="A978" s="122" t="s">
        <v>1713</v>
      </c>
      <c r="B978" s="124">
        <v>23920.146000000001</v>
      </c>
      <c r="C978" s="124">
        <v>25532.188999999998</v>
      </c>
      <c r="D978" s="124">
        <v>26988.952000000001</v>
      </c>
      <c r="E978" s="124">
        <v>28493.904999999999</v>
      </c>
      <c r="F978" s="124">
        <v>3476.377</v>
      </c>
      <c r="G978" s="124">
        <v>3842.3494000000001</v>
      </c>
      <c r="H978" s="124">
        <v>4194.6628000000001</v>
      </c>
      <c r="I978" s="124">
        <v>4425.0153</v>
      </c>
      <c r="J978" s="134">
        <v>4189740398</v>
      </c>
      <c r="K978" s="134">
        <v>4343246624</v>
      </c>
      <c r="L978" s="124">
        <v>39947.732000000004</v>
      </c>
      <c r="M978" s="134">
        <v>5006824</v>
      </c>
      <c r="N978" s="135">
        <v>2037.1188</v>
      </c>
      <c r="O978" s="135">
        <v>2203.2874000000002</v>
      </c>
      <c r="P978" s="135">
        <v>2390.7876000000001</v>
      </c>
      <c r="Q978" s="135">
        <v>2512.5288999999998</v>
      </c>
      <c r="R978" s="137">
        <v>1.1399999999999999</v>
      </c>
      <c r="S978" s="120">
        <v>6729420</v>
      </c>
      <c r="T978" s="120">
        <v>59466295</v>
      </c>
      <c r="U978" s="120">
        <v>0</v>
      </c>
      <c r="V978" s="114">
        <f t="shared" si="36"/>
        <v>59466295</v>
      </c>
      <c r="W978" s="114">
        <f t="shared" si="37"/>
        <v>66195715</v>
      </c>
    </row>
    <row r="979" spans="1:23">
      <c r="A979" s="122" t="s">
        <v>1043</v>
      </c>
      <c r="B979" s="124">
        <v>337.45400000000001</v>
      </c>
      <c r="C979" s="124">
        <v>323.363</v>
      </c>
      <c r="D979" s="124">
        <v>322.15699999999998</v>
      </c>
      <c r="E979" s="124">
        <v>313.233</v>
      </c>
      <c r="F979" s="124">
        <v>95.166600000000003</v>
      </c>
      <c r="G979" s="124">
        <v>93.166600000000003</v>
      </c>
      <c r="H979" s="124">
        <v>87.257400000000004</v>
      </c>
      <c r="I979" s="124">
        <v>85.722800000000007</v>
      </c>
      <c r="J979" s="134">
        <v>665543441</v>
      </c>
      <c r="K979" s="134">
        <v>667118005</v>
      </c>
      <c r="L979" s="124">
        <v>654.48500000000001</v>
      </c>
      <c r="M979" s="114">
        <v>0</v>
      </c>
      <c r="N979" s="135">
        <v>47.082999999999998</v>
      </c>
      <c r="O979" s="135">
        <v>45.965400000000002</v>
      </c>
      <c r="P979" s="135">
        <v>45.9621</v>
      </c>
      <c r="Q979" s="135">
        <v>55.986800000000002</v>
      </c>
      <c r="R979" s="137">
        <v>1.07</v>
      </c>
      <c r="S979" s="120">
        <v>0</v>
      </c>
      <c r="T979" s="120">
        <v>6390558</v>
      </c>
      <c r="U979" s="120">
        <v>0</v>
      </c>
      <c r="V979" s="114">
        <f t="shared" si="36"/>
        <v>6390558</v>
      </c>
      <c r="W979" s="114">
        <f t="shared" si="37"/>
        <v>6390558</v>
      </c>
    </row>
    <row r="980" spans="1:23">
      <c r="A980" s="122" t="s">
        <v>1044</v>
      </c>
      <c r="B980" s="124">
        <v>942.40599999999995</v>
      </c>
      <c r="C980" s="124">
        <v>919.25099999999998</v>
      </c>
      <c r="D980" s="124">
        <v>891.49</v>
      </c>
      <c r="E980" s="124">
        <v>866.18799999999999</v>
      </c>
      <c r="F980" s="124">
        <v>144.8869</v>
      </c>
      <c r="G980" s="124">
        <v>148.6902</v>
      </c>
      <c r="H980" s="124">
        <v>144.26169999999999</v>
      </c>
      <c r="I980" s="124">
        <v>145.49879999999999</v>
      </c>
      <c r="J980" s="134">
        <v>120601631</v>
      </c>
      <c r="K980" s="134">
        <v>130354431</v>
      </c>
      <c r="L980" s="124">
        <v>1372.925</v>
      </c>
      <c r="M980" s="114">
        <v>0</v>
      </c>
      <c r="N980" s="135">
        <v>86.572100000000006</v>
      </c>
      <c r="O980" s="135">
        <v>96.064099999999996</v>
      </c>
      <c r="P980" s="135">
        <v>91.197100000000006</v>
      </c>
      <c r="Q980" s="135">
        <v>92.209299999999999</v>
      </c>
      <c r="R980" s="137">
        <v>1.0900000000000001</v>
      </c>
      <c r="S980" s="120">
        <v>0</v>
      </c>
      <c r="T980" s="120">
        <v>2086419</v>
      </c>
      <c r="U980" s="120">
        <v>0</v>
      </c>
      <c r="V980" s="114">
        <f t="shared" si="36"/>
        <v>2086419</v>
      </c>
      <c r="W980" s="114">
        <f t="shared" si="37"/>
        <v>2086419</v>
      </c>
    </row>
    <row r="981" spans="1:23">
      <c r="A981" s="122" t="s">
        <v>1045</v>
      </c>
      <c r="B981" s="124">
        <v>806.99099999999999</v>
      </c>
      <c r="C981" s="124">
        <v>823.14599999999996</v>
      </c>
      <c r="D981" s="124">
        <v>820.47</v>
      </c>
      <c r="E981" s="124">
        <v>833.60699999999997</v>
      </c>
      <c r="F981" s="124">
        <v>118.379</v>
      </c>
      <c r="G981" s="124">
        <v>119.9062</v>
      </c>
      <c r="H981" s="124">
        <v>126.58499999999999</v>
      </c>
      <c r="I981" s="124">
        <v>134.63749999999999</v>
      </c>
      <c r="J981" s="134">
        <v>177334572</v>
      </c>
      <c r="K981" s="134">
        <v>186284482</v>
      </c>
      <c r="L981" s="124">
        <v>1275.395</v>
      </c>
      <c r="M981" s="134">
        <v>53076</v>
      </c>
      <c r="N981" s="135">
        <v>75.989900000000006</v>
      </c>
      <c r="O981" s="135">
        <v>80.182699999999997</v>
      </c>
      <c r="P981" s="135">
        <v>84.623699999999999</v>
      </c>
      <c r="Q981" s="135">
        <v>89.268699999999995</v>
      </c>
      <c r="R981" s="137">
        <v>1.0900000000000001</v>
      </c>
      <c r="S981" s="120">
        <v>55340</v>
      </c>
      <c r="T981" s="120">
        <v>2265390</v>
      </c>
      <c r="U981" s="120">
        <v>0</v>
      </c>
      <c r="V981" s="114">
        <f t="shared" si="36"/>
        <v>2265390</v>
      </c>
      <c r="W981" s="114">
        <f t="shared" si="37"/>
        <v>2320730</v>
      </c>
    </row>
    <row r="982" spans="1:23">
      <c r="A982" s="122" t="s">
        <v>624</v>
      </c>
      <c r="B982" s="124">
        <v>3482.6089999999999</v>
      </c>
      <c r="C982" s="124">
        <v>3375.2289999999998</v>
      </c>
      <c r="D982" s="124">
        <v>3381.5479999999998</v>
      </c>
      <c r="E982" s="124">
        <v>3359.8249999999998</v>
      </c>
      <c r="F982" s="124">
        <v>502.32190000000003</v>
      </c>
      <c r="G982" s="124">
        <v>505.48790000000002</v>
      </c>
      <c r="H982" s="124">
        <v>497</v>
      </c>
      <c r="I982" s="124">
        <v>499.9776</v>
      </c>
      <c r="J982" s="134">
        <v>688440171</v>
      </c>
      <c r="K982" s="134">
        <v>723836607</v>
      </c>
      <c r="L982" s="124">
        <v>4633.1559999999999</v>
      </c>
      <c r="M982" s="134">
        <v>299502</v>
      </c>
      <c r="N982" s="135">
        <v>331.74</v>
      </c>
      <c r="O982" s="135">
        <v>334.5104</v>
      </c>
      <c r="P982" s="135">
        <v>329.58730000000003</v>
      </c>
      <c r="Q982" s="135">
        <v>328.03390000000002</v>
      </c>
      <c r="R982" s="137">
        <v>1.1100000000000001</v>
      </c>
      <c r="S982" s="120">
        <v>294663</v>
      </c>
      <c r="T982" s="120">
        <v>9505563</v>
      </c>
      <c r="U982" s="120">
        <v>0</v>
      </c>
      <c r="V982" s="114">
        <f t="shared" si="36"/>
        <v>9505563</v>
      </c>
      <c r="W982" s="114">
        <f t="shared" si="37"/>
        <v>9800226</v>
      </c>
    </row>
    <row r="983" spans="1:23">
      <c r="A983" s="122" t="s">
        <v>1014</v>
      </c>
      <c r="B983" s="124">
        <v>2470.37</v>
      </c>
      <c r="C983" s="124">
        <v>2411.62</v>
      </c>
      <c r="D983" s="124">
        <v>2400.2629999999999</v>
      </c>
      <c r="E983" s="124">
        <v>2357.549</v>
      </c>
      <c r="F983" s="124">
        <v>407.19830000000002</v>
      </c>
      <c r="G983" s="124">
        <v>414.14449999999999</v>
      </c>
      <c r="H983" s="124">
        <v>410.43599999999998</v>
      </c>
      <c r="I983" s="124">
        <v>412.61279999999999</v>
      </c>
      <c r="J983" s="134">
        <v>430202137</v>
      </c>
      <c r="K983" s="134">
        <v>456209558</v>
      </c>
      <c r="L983" s="124">
        <v>3378.375</v>
      </c>
      <c r="M983" s="114">
        <v>0</v>
      </c>
      <c r="N983" s="135">
        <v>266.66770000000002</v>
      </c>
      <c r="O983" s="135">
        <v>270.24349999999998</v>
      </c>
      <c r="P983" s="135">
        <v>264.30009999999999</v>
      </c>
      <c r="Q983" s="135">
        <v>266.97469999999998</v>
      </c>
      <c r="R983" s="137">
        <v>1.1100000000000001</v>
      </c>
      <c r="S983" s="120">
        <v>0</v>
      </c>
      <c r="T983" s="120">
        <v>6388483</v>
      </c>
      <c r="U983" s="120">
        <v>0</v>
      </c>
      <c r="V983" s="114">
        <f t="shared" si="36"/>
        <v>6388483</v>
      </c>
      <c r="W983" s="114">
        <f t="shared" si="37"/>
        <v>6388483</v>
      </c>
    </row>
    <row r="984" spans="1:23">
      <c r="A984" s="122" t="s">
        <v>1015</v>
      </c>
      <c r="B984" s="124">
        <v>491.517</v>
      </c>
      <c r="C984" s="124">
        <v>524.43299999999999</v>
      </c>
      <c r="D984" s="124">
        <v>508.59500000000003</v>
      </c>
      <c r="E984" s="124">
        <v>491.02499999999998</v>
      </c>
      <c r="F984" s="124">
        <v>78.952200000000005</v>
      </c>
      <c r="G984" s="124">
        <v>78.740799999999993</v>
      </c>
      <c r="H984" s="124">
        <v>82.230099999999993</v>
      </c>
      <c r="I984" s="124">
        <v>79.331900000000005</v>
      </c>
      <c r="J984" s="134">
        <v>115680875</v>
      </c>
      <c r="K984" s="134">
        <v>120735405</v>
      </c>
      <c r="L984" s="124">
        <v>816.58900000000006</v>
      </c>
      <c r="M984" s="134">
        <v>177465</v>
      </c>
      <c r="N984" s="135">
        <v>52.24</v>
      </c>
      <c r="O984" s="135">
        <v>53.773899999999998</v>
      </c>
      <c r="P984" s="135">
        <v>52.560200000000002</v>
      </c>
      <c r="Q984" s="135">
        <v>50.997100000000003</v>
      </c>
      <c r="R984" s="137">
        <v>1.0900000000000001</v>
      </c>
      <c r="S984" s="120">
        <v>184909</v>
      </c>
      <c r="T984" s="120">
        <v>1696483</v>
      </c>
      <c r="U984" s="120">
        <v>0</v>
      </c>
      <c r="V984" s="114">
        <f t="shared" si="36"/>
        <v>1696483</v>
      </c>
      <c r="W984" s="114">
        <f t="shared" si="37"/>
        <v>1881392</v>
      </c>
    </row>
    <row r="985" spans="1:23">
      <c r="A985" s="122" t="s">
        <v>1016</v>
      </c>
      <c r="B985" s="124">
        <v>391.52300000000002</v>
      </c>
      <c r="C985" s="124">
        <v>386.63299999999998</v>
      </c>
      <c r="D985" s="124">
        <v>374.95699999999999</v>
      </c>
      <c r="E985" s="124">
        <v>366.39499999999998</v>
      </c>
      <c r="F985" s="124">
        <v>95.022499999999994</v>
      </c>
      <c r="G985" s="124">
        <v>97.254599999999996</v>
      </c>
      <c r="H985" s="124">
        <v>92.701899999999995</v>
      </c>
      <c r="I985" s="124">
        <v>85.554900000000004</v>
      </c>
      <c r="J985" s="134">
        <v>89145532</v>
      </c>
      <c r="K985" s="134">
        <v>95220439</v>
      </c>
      <c r="L985" s="124">
        <v>714.74599999999998</v>
      </c>
      <c r="M985" s="114">
        <v>0</v>
      </c>
      <c r="N985" s="135">
        <v>67.766900000000007</v>
      </c>
      <c r="O985" s="135">
        <v>70.229299999999995</v>
      </c>
      <c r="P985" s="135">
        <v>65.992999999999995</v>
      </c>
      <c r="Q985" s="135">
        <v>58.9358</v>
      </c>
      <c r="R985" s="137">
        <v>1.07</v>
      </c>
      <c r="S985" s="120">
        <v>0</v>
      </c>
      <c r="T985" s="120">
        <v>1233337</v>
      </c>
      <c r="U985" s="120">
        <v>0</v>
      </c>
      <c r="V985" s="114">
        <f t="shared" si="36"/>
        <v>1233337</v>
      </c>
      <c r="W985" s="114">
        <f t="shared" si="37"/>
        <v>1233337</v>
      </c>
    </row>
    <row r="986" spans="1:23">
      <c r="A986" s="122" t="s">
        <v>1017</v>
      </c>
      <c r="B986" s="124">
        <v>348.91500000000002</v>
      </c>
      <c r="C986" s="124">
        <v>319.26100000000002</v>
      </c>
      <c r="D986" s="124">
        <v>311.178</v>
      </c>
      <c r="E986" s="124">
        <v>302.55799999999999</v>
      </c>
      <c r="F986" s="124">
        <v>64.454800000000006</v>
      </c>
      <c r="G986" s="124">
        <v>63.508299999999998</v>
      </c>
      <c r="H986" s="124">
        <v>55.922699999999999</v>
      </c>
      <c r="I986" s="124">
        <v>50.3</v>
      </c>
      <c r="J986" s="134">
        <v>99564557</v>
      </c>
      <c r="K986" s="134">
        <v>104145732</v>
      </c>
      <c r="L986" s="124">
        <v>496.24200000000002</v>
      </c>
      <c r="M986" s="114">
        <v>0</v>
      </c>
      <c r="N986" s="135">
        <v>43.762599999999999</v>
      </c>
      <c r="O986" s="135">
        <v>43.835099999999997</v>
      </c>
      <c r="P986" s="135">
        <v>39.448599999999999</v>
      </c>
      <c r="Q986" s="135">
        <v>32.4146</v>
      </c>
      <c r="R986" s="137">
        <v>1.06</v>
      </c>
      <c r="S986" s="120">
        <v>0</v>
      </c>
      <c r="T986" s="120">
        <v>1553392</v>
      </c>
      <c r="U986" s="120">
        <v>0</v>
      </c>
      <c r="V986" s="114">
        <f t="shared" si="36"/>
        <v>1553392</v>
      </c>
      <c r="W986" s="114">
        <f t="shared" si="37"/>
        <v>1553392</v>
      </c>
    </row>
    <row r="987" spans="1:23">
      <c r="A987" s="122" t="s">
        <v>123</v>
      </c>
      <c r="B987" s="124">
        <v>65.543000000000006</v>
      </c>
      <c r="C987" s="124">
        <v>47.942999999999998</v>
      </c>
      <c r="D987" s="124">
        <v>48.784999999999997</v>
      </c>
      <c r="E987" s="124">
        <v>47.433999999999997</v>
      </c>
      <c r="F987" s="124">
        <v>21.4786</v>
      </c>
      <c r="G987" s="124">
        <v>23.188600000000001</v>
      </c>
      <c r="H987" s="124">
        <v>23.4786</v>
      </c>
      <c r="I987" s="124">
        <v>23.852900000000002</v>
      </c>
      <c r="J987" s="134">
        <v>172304762</v>
      </c>
      <c r="K987" s="134">
        <v>173025772</v>
      </c>
      <c r="L987" s="124">
        <v>100.42100000000001</v>
      </c>
      <c r="M987" s="114">
        <v>0</v>
      </c>
      <c r="N987" s="135">
        <v>15.4985</v>
      </c>
      <c r="O987" s="135">
        <v>15.4998</v>
      </c>
      <c r="P987" s="135">
        <v>14.5303</v>
      </c>
      <c r="Q987" s="135">
        <v>13.7476</v>
      </c>
      <c r="R987" s="137">
        <v>1.08</v>
      </c>
      <c r="S987" s="120">
        <v>0</v>
      </c>
      <c r="T987" s="120">
        <v>2457256</v>
      </c>
      <c r="U987" s="120">
        <v>0</v>
      </c>
      <c r="V987" s="114">
        <f t="shared" si="36"/>
        <v>2457256</v>
      </c>
      <c r="W987" s="114">
        <f t="shared" si="37"/>
        <v>2457256</v>
      </c>
    </row>
    <row r="988" spans="1:23">
      <c r="A988" s="122" t="s">
        <v>1940</v>
      </c>
      <c r="B988" s="124">
        <v>11.192</v>
      </c>
      <c r="C988" s="124">
        <v>20.198</v>
      </c>
      <c r="D988" s="124">
        <v>32.250999999999998</v>
      </c>
      <c r="E988" s="124">
        <v>53.01</v>
      </c>
      <c r="F988" s="124">
        <v>9.1550999999999991</v>
      </c>
      <c r="G988" s="124">
        <v>9.9572000000000003</v>
      </c>
      <c r="H988" s="124">
        <v>10.9572</v>
      </c>
      <c r="I988" s="124">
        <v>13.834199999999999</v>
      </c>
      <c r="J988" s="134">
        <v>92978524</v>
      </c>
      <c r="K988" s="134">
        <v>93252914</v>
      </c>
      <c r="L988" s="124">
        <v>96.649000000000001</v>
      </c>
      <c r="M988" s="114">
        <v>0</v>
      </c>
      <c r="N988" s="135">
        <v>5.0003000000000002</v>
      </c>
      <c r="O988" s="135">
        <v>4.9997999999999996</v>
      </c>
      <c r="P988" s="135">
        <v>7.9791999999999996</v>
      </c>
      <c r="Q988" s="135">
        <v>10.8553</v>
      </c>
      <c r="R988" s="137">
        <v>1.08</v>
      </c>
      <c r="S988" s="120">
        <v>0</v>
      </c>
      <c r="T988" s="120">
        <v>1136583</v>
      </c>
      <c r="U988" s="120">
        <v>0</v>
      </c>
      <c r="V988" s="114">
        <f t="shared" si="36"/>
        <v>1136583</v>
      </c>
      <c r="W988" s="114">
        <f t="shared" si="37"/>
        <v>1136583</v>
      </c>
    </row>
    <row r="989" spans="1:23">
      <c r="A989" s="122" t="s">
        <v>2648</v>
      </c>
      <c r="B989" s="124">
        <v>110.092</v>
      </c>
      <c r="C989" s="124">
        <v>106.83199999999999</v>
      </c>
      <c r="D989" s="124">
        <v>110.514</v>
      </c>
      <c r="E989" s="124">
        <v>112.895</v>
      </c>
      <c r="F989" s="124">
        <v>32.013599999999997</v>
      </c>
      <c r="G989" s="124">
        <v>33.186999999999998</v>
      </c>
      <c r="H989" s="124">
        <v>32.213700000000003</v>
      </c>
      <c r="I989" s="124">
        <v>33.319200000000002</v>
      </c>
      <c r="J989" s="134">
        <v>239349030</v>
      </c>
      <c r="K989" s="134">
        <v>240637756</v>
      </c>
      <c r="L989" s="124">
        <v>252.18799999999999</v>
      </c>
      <c r="M989" s="134">
        <v>471048</v>
      </c>
      <c r="N989" s="135">
        <v>18.824300000000001</v>
      </c>
      <c r="O989" s="135">
        <v>17.931999999999999</v>
      </c>
      <c r="P989" s="135">
        <v>18.975999999999999</v>
      </c>
      <c r="Q989" s="135">
        <v>19.2056</v>
      </c>
      <c r="R989" s="137">
        <v>1.07</v>
      </c>
      <c r="S989" s="120">
        <v>223665</v>
      </c>
      <c r="T989" s="120">
        <v>2826040</v>
      </c>
      <c r="U989" s="120">
        <v>0</v>
      </c>
      <c r="V989" s="114">
        <f t="shared" si="36"/>
        <v>2826040</v>
      </c>
      <c r="W989" s="114">
        <f t="shared" si="37"/>
        <v>3049705</v>
      </c>
    </row>
    <row r="990" spans="1:23">
      <c r="A990" s="122" t="s">
        <v>996</v>
      </c>
      <c r="B990" s="124">
        <v>3501.5030000000002</v>
      </c>
      <c r="C990" s="124">
        <v>3480.0970000000002</v>
      </c>
      <c r="D990" s="124">
        <v>3427.1770000000001</v>
      </c>
      <c r="E990" s="124">
        <v>3396.5970000000002</v>
      </c>
      <c r="F990" s="124">
        <v>484.66559999999998</v>
      </c>
      <c r="G990" s="124">
        <v>492.28680000000003</v>
      </c>
      <c r="H990" s="124">
        <v>516.20000000000005</v>
      </c>
      <c r="I990" s="124">
        <v>522.13419999999996</v>
      </c>
      <c r="J990" s="134">
        <v>510167096</v>
      </c>
      <c r="K990" s="134">
        <v>548836843</v>
      </c>
      <c r="L990" s="124">
        <v>4467.8590000000004</v>
      </c>
      <c r="M990" s="134">
        <v>316559</v>
      </c>
      <c r="N990" s="135">
        <v>338.22789999999998</v>
      </c>
      <c r="O990" s="135">
        <v>342.59469999999999</v>
      </c>
      <c r="P990" s="135">
        <v>349.1626</v>
      </c>
      <c r="Q990" s="135">
        <v>355.5009</v>
      </c>
      <c r="R990" s="137">
        <v>1.07</v>
      </c>
      <c r="S990" s="120">
        <v>705432</v>
      </c>
      <c r="T990" s="120">
        <v>7541593</v>
      </c>
      <c r="U990" s="120">
        <v>0</v>
      </c>
      <c r="V990" s="114">
        <f t="shared" si="36"/>
        <v>7541593</v>
      </c>
      <c r="W990" s="114">
        <f t="shared" si="37"/>
        <v>8247025</v>
      </c>
    </row>
    <row r="991" spans="1:23">
      <c r="A991" s="122" t="s">
        <v>1424</v>
      </c>
      <c r="B991" s="124">
        <v>683.18</v>
      </c>
      <c r="C991" s="124">
        <v>645.73199999999997</v>
      </c>
      <c r="D991" s="124">
        <v>632.71799999999996</v>
      </c>
      <c r="E991" s="124">
        <v>615.19200000000001</v>
      </c>
      <c r="F991" s="124">
        <v>112.2478</v>
      </c>
      <c r="G991" s="124">
        <v>115.51519999999999</v>
      </c>
      <c r="H991" s="124">
        <v>113.39490000000001</v>
      </c>
      <c r="I991" s="124">
        <v>102.3156</v>
      </c>
      <c r="J991" s="134">
        <v>110630727</v>
      </c>
      <c r="K991" s="134">
        <v>118512696</v>
      </c>
      <c r="L991" s="124">
        <v>982.47</v>
      </c>
      <c r="M991" s="134">
        <v>101754</v>
      </c>
      <c r="N991" s="135">
        <v>71.66</v>
      </c>
      <c r="O991" s="135">
        <v>73.650700000000001</v>
      </c>
      <c r="P991" s="135">
        <v>74.720600000000005</v>
      </c>
      <c r="Q991" s="135">
        <v>69.462000000000003</v>
      </c>
      <c r="R991" s="137">
        <v>1.05</v>
      </c>
      <c r="S991" s="120">
        <v>96909</v>
      </c>
      <c r="T991" s="120">
        <v>1603330</v>
      </c>
      <c r="U991" s="120">
        <v>0</v>
      </c>
      <c r="V991" s="114">
        <f t="shared" si="36"/>
        <v>1603330</v>
      </c>
      <c r="W991" s="114">
        <f t="shared" si="37"/>
        <v>1700239</v>
      </c>
    </row>
    <row r="992" spans="1:23">
      <c r="A992" s="122" t="s">
        <v>714</v>
      </c>
      <c r="B992" s="124">
        <v>2006.79</v>
      </c>
      <c r="C992" s="124">
        <v>1899.971</v>
      </c>
      <c r="D992" s="124">
        <v>1842.5920000000001</v>
      </c>
      <c r="E992" s="124">
        <v>1740.1</v>
      </c>
      <c r="F992" s="124">
        <v>229.2681</v>
      </c>
      <c r="G992" s="124">
        <v>236.5752</v>
      </c>
      <c r="H992" s="124">
        <v>233.55420000000001</v>
      </c>
      <c r="I992" s="124">
        <v>228.36529999999999</v>
      </c>
      <c r="J992" s="134">
        <v>364904126</v>
      </c>
      <c r="K992" s="134">
        <v>391561775</v>
      </c>
      <c r="L992" s="124">
        <v>2238.1619999999998</v>
      </c>
      <c r="M992" s="134">
        <v>360625</v>
      </c>
      <c r="N992" s="135">
        <v>157.16759999999999</v>
      </c>
      <c r="O992" s="135">
        <v>160.5685</v>
      </c>
      <c r="P992" s="135">
        <v>161.73249999999999</v>
      </c>
      <c r="Q992" s="135">
        <v>155.80289999999999</v>
      </c>
      <c r="R992" s="137">
        <v>1.06</v>
      </c>
      <c r="S992" s="120">
        <v>383787</v>
      </c>
      <c r="T992" s="120">
        <v>5250067</v>
      </c>
      <c r="U992" s="120">
        <v>0</v>
      </c>
      <c r="V992" s="114">
        <f t="shared" si="36"/>
        <v>5250067</v>
      </c>
      <c r="W992" s="114">
        <f t="shared" si="37"/>
        <v>5633854</v>
      </c>
    </row>
    <row r="993" spans="1:23">
      <c r="A993" s="122" t="s">
        <v>2088</v>
      </c>
      <c r="B993" s="124">
        <v>14084.287</v>
      </c>
      <c r="C993" s="124">
        <v>13881.02</v>
      </c>
      <c r="D993" s="124">
        <v>14059.445</v>
      </c>
      <c r="E993" s="124">
        <v>13764.87</v>
      </c>
      <c r="F993" s="124">
        <v>2105.3276999999998</v>
      </c>
      <c r="G993" s="124">
        <v>2137.2550000000001</v>
      </c>
      <c r="H993" s="124">
        <v>2112.5711999999999</v>
      </c>
      <c r="I993" s="124">
        <v>2025.3495</v>
      </c>
      <c r="J993" s="134">
        <v>2872852075</v>
      </c>
      <c r="K993" s="134">
        <v>3044222818</v>
      </c>
      <c r="L993" s="124">
        <v>17876.356</v>
      </c>
      <c r="M993" s="134">
        <v>1338282</v>
      </c>
      <c r="N993" s="135">
        <v>1446.7873999999999</v>
      </c>
      <c r="O993" s="135">
        <v>1420.6521</v>
      </c>
      <c r="P993" s="135">
        <v>1460.1610000000001</v>
      </c>
      <c r="Q993" s="135">
        <v>1397.8779</v>
      </c>
      <c r="R993" s="137">
        <v>1.0900000000000001</v>
      </c>
      <c r="S993" s="120">
        <v>1885012</v>
      </c>
      <c r="T993" s="120">
        <v>44422237</v>
      </c>
      <c r="U993" s="120">
        <v>0</v>
      </c>
      <c r="V993" s="114">
        <f t="shared" si="36"/>
        <v>44422237</v>
      </c>
      <c r="W993" s="114">
        <f t="shared" si="37"/>
        <v>46307249</v>
      </c>
    </row>
    <row r="994" spans="1:23">
      <c r="A994" s="122" t="s">
        <v>626</v>
      </c>
      <c r="B994" s="124">
        <v>768.15899999999999</v>
      </c>
      <c r="C994" s="124">
        <v>874.73900000000003</v>
      </c>
      <c r="D994" s="124">
        <v>927.22400000000005</v>
      </c>
      <c r="E994" s="124">
        <v>1017.037</v>
      </c>
      <c r="F994" s="124">
        <v>95.2303</v>
      </c>
      <c r="G994" s="124">
        <v>113.7196</v>
      </c>
      <c r="H994" s="124">
        <v>135.7278</v>
      </c>
      <c r="I994" s="124">
        <v>138.74379999999999</v>
      </c>
      <c r="J994" s="134">
        <v>121885973</v>
      </c>
      <c r="K994" s="134">
        <v>132483695</v>
      </c>
      <c r="L994" s="124">
        <v>1485.2370000000001</v>
      </c>
      <c r="M994" s="134">
        <v>128143</v>
      </c>
      <c r="N994" s="135">
        <v>70.628900000000002</v>
      </c>
      <c r="O994" s="135">
        <v>81.2577</v>
      </c>
      <c r="P994" s="135">
        <v>97.001300000000001</v>
      </c>
      <c r="Q994" s="135">
        <v>101.2278</v>
      </c>
      <c r="R994" s="137">
        <v>1.05</v>
      </c>
      <c r="S994" s="120">
        <v>260149</v>
      </c>
      <c r="T994" s="120">
        <v>2032195</v>
      </c>
      <c r="U994" s="120">
        <v>0</v>
      </c>
      <c r="V994" s="114">
        <f t="shared" si="36"/>
        <v>2032195</v>
      </c>
      <c r="W994" s="114">
        <f t="shared" si="37"/>
        <v>2292344</v>
      </c>
    </row>
    <row r="995" spans="1:23">
      <c r="A995" s="122" t="s">
        <v>1534</v>
      </c>
      <c r="B995" s="124">
        <v>113.09</v>
      </c>
      <c r="C995" s="124">
        <v>110.27</v>
      </c>
      <c r="D995" s="124">
        <v>107.86199999999999</v>
      </c>
      <c r="E995" s="124">
        <v>109.18300000000001</v>
      </c>
      <c r="F995" s="124">
        <v>23.296199999999999</v>
      </c>
      <c r="G995" s="124">
        <v>23.1358</v>
      </c>
      <c r="H995" s="124">
        <v>22.317599999999999</v>
      </c>
      <c r="I995" s="124">
        <v>20.317599999999999</v>
      </c>
      <c r="J995" s="134">
        <v>21461247</v>
      </c>
      <c r="K995" s="134">
        <v>21841467</v>
      </c>
      <c r="L995" s="124">
        <v>232.19800000000001</v>
      </c>
      <c r="M995" s="114">
        <v>0</v>
      </c>
      <c r="N995" s="135">
        <v>17.2178</v>
      </c>
      <c r="O995" s="135">
        <v>14.0007</v>
      </c>
      <c r="P995" s="135">
        <v>16.2377</v>
      </c>
      <c r="Q995" s="135">
        <v>15.3573</v>
      </c>
      <c r="R995" s="137">
        <v>1.07</v>
      </c>
      <c r="S995" s="120">
        <v>0</v>
      </c>
      <c r="T995" s="120">
        <v>308433</v>
      </c>
      <c r="U995" s="120">
        <v>0</v>
      </c>
      <c r="V995" s="114">
        <f t="shared" si="36"/>
        <v>308433</v>
      </c>
      <c r="W995" s="114">
        <f t="shared" si="37"/>
        <v>308433</v>
      </c>
    </row>
    <row r="996" spans="1:23">
      <c r="A996" s="122" t="s">
        <v>9</v>
      </c>
      <c r="B996" s="124">
        <v>2431.4929999999999</v>
      </c>
      <c r="C996" s="124">
        <v>2367.6439999999998</v>
      </c>
      <c r="D996" s="124">
        <v>2315.6689999999999</v>
      </c>
      <c r="E996" s="124">
        <v>2251.5250000000001</v>
      </c>
      <c r="F996" s="124">
        <v>311.5478</v>
      </c>
      <c r="G996" s="124">
        <v>329.09120000000001</v>
      </c>
      <c r="H996" s="124">
        <v>329.8005</v>
      </c>
      <c r="I996" s="124">
        <v>322.77569999999997</v>
      </c>
      <c r="J996" s="134">
        <v>633841061</v>
      </c>
      <c r="K996" s="134">
        <v>656996072</v>
      </c>
      <c r="L996" s="124">
        <v>3280.2849999999999</v>
      </c>
      <c r="M996" s="134">
        <v>533086</v>
      </c>
      <c r="N996" s="135">
        <v>229.49440000000001</v>
      </c>
      <c r="O996" s="135">
        <v>245.2809</v>
      </c>
      <c r="P996" s="135">
        <v>240.30500000000001</v>
      </c>
      <c r="Q996" s="135">
        <v>228.5564</v>
      </c>
      <c r="R996" s="137">
        <v>1.0900000000000001</v>
      </c>
      <c r="S996" s="120">
        <v>679810</v>
      </c>
      <c r="T996" s="120">
        <v>8779328</v>
      </c>
      <c r="U996" s="120">
        <v>0</v>
      </c>
      <c r="V996" s="114">
        <f t="shared" si="36"/>
        <v>8779328</v>
      </c>
      <c r="W996" s="114">
        <f t="shared" si="37"/>
        <v>9459138</v>
      </c>
    </row>
    <row r="997" spans="1:23">
      <c r="A997" s="122" t="s">
        <v>10</v>
      </c>
      <c r="B997" s="124">
        <v>152.672</v>
      </c>
      <c r="C997" s="124">
        <v>161.809</v>
      </c>
      <c r="D997" s="124">
        <v>163.04599999999999</v>
      </c>
      <c r="E997" s="124">
        <v>162.21899999999999</v>
      </c>
      <c r="F997" s="124">
        <v>25</v>
      </c>
      <c r="G997" s="124">
        <v>23</v>
      </c>
      <c r="H997" s="124">
        <v>25.5</v>
      </c>
      <c r="I997" s="124">
        <v>26.4786</v>
      </c>
      <c r="J997" s="134">
        <v>12714819</v>
      </c>
      <c r="K997" s="134">
        <v>13252837</v>
      </c>
      <c r="L997" s="124">
        <v>268.84800000000001</v>
      </c>
      <c r="M997" s="114">
        <v>0</v>
      </c>
      <c r="N997" s="135">
        <v>17.534500000000001</v>
      </c>
      <c r="O997" s="135">
        <v>18.482399999999998</v>
      </c>
      <c r="P997" s="135">
        <v>17.975000000000001</v>
      </c>
      <c r="Q997" s="135">
        <v>19.0517</v>
      </c>
      <c r="R997" s="137">
        <v>1.07</v>
      </c>
      <c r="S997" s="120">
        <v>0</v>
      </c>
      <c r="T997" s="120">
        <v>181202</v>
      </c>
      <c r="U997" s="120">
        <v>0</v>
      </c>
      <c r="V997" s="114">
        <f t="shared" si="36"/>
        <v>181202</v>
      </c>
      <c r="W997" s="114">
        <f t="shared" si="37"/>
        <v>181202</v>
      </c>
    </row>
    <row r="998" spans="1:23">
      <c r="A998" s="122" t="s">
        <v>1695</v>
      </c>
      <c r="B998" s="124">
        <v>279.51900000000001</v>
      </c>
      <c r="C998" s="124">
        <v>285.04500000000002</v>
      </c>
      <c r="D998" s="124">
        <v>276.43700000000001</v>
      </c>
      <c r="E998" s="124">
        <v>285.39999999999998</v>
      </c>
      <c r="F998" s="124">
        <v>63.712299999999999</v>
      </c>
      <c r="G998" s="124">
        <v>64.617599999999996</v>
      </c>
      <c r="H998" s="124">
        <v>66.019000000000005</v>
      </c>
      <c r="I998" s="124">
        <v>56.6873</v>
      </c>
      <c r="J998" s="134">
        <v>17843846</v>
      </c>
      <c r="K998" s="134">
        <v>20138143</v>
      </c>
      <c r="L998" s="124">
        <v>514.53300000000002</v>
      </c>
      <c r="M998" s="114">
        <v>0</v>
      </c>
      <c r="N998" s="135">
        <v>41</v>
      </c>
      <c r="O998" s="135">
        <v>41.001100000000001</v>
      </c>
      <c r="P998" s="135">
        <v>42.610700000000001</v>
      </c>
      <c r="Q998" s="135">
        <v>33.878399999999999</v>
      </c>
      <c r="R998" s="137">
        <v>1.1599999999999999</v>
      </c>
      <c r="S998" s="120">
        <v>25397</v>
      </c>
      <c r="T998" s="120">
        <v>290256</v>
      </c>
      <c r="U998" s="120">
        <v>0</v>
      </c>
      <c r="V998" s="114">
        <f t="shared" si="36"/>
        <v>290256</v>
      </c>
      <c r="W998" s="114">
        <f t="shared" si="37"/>
        <v>315653</v>
      </c>
    </row>
    <row r="999" spans="1:23">
      <c r="A999" s="122" t="s">
        <v>2387</v>
      </c>
      <c r="B999" s="124">
        <v>1438.2539999999999</v>
      </c>
      <c r="C999" s="124">
        <v>1430.7909999999999</v>
      </c>
      <c r="D999" s="124">
        <v>1461.925</v>
      </c>
      <c r="E999" s="124">
        <v>1421.43</v>
      </c>
      <c r="F999" s="124">
        <v>280.59840000000003</v>
      </c>
      <c r="G999" s="124">
        <v>288.48579999999998</v>
      </c>
      <c r="H999" s="124">
        <v>297.85019999999997</v>
      </c>
      <c r="I999" s="124">
        <v>285.68459999999999</v>
      </c>
      <c r="J999" s="134">
        <v>111154063</v>
      </c>
      <c r="K999" s="134">
        <v>122161008</v>
      </c>
      <c r="L999" s="124">
        <v>2299.2579999999998</v>
      </c>
      <c r="M999" s="114">
        <v>0</v>
      </c>
      <c r="N999" s="135">
        <v>160.8843</v>
      </c>
      <c r="O999" s="135">
        <v>161.2499</v>
      </c>
      <c r="P999" s="135">
        <v>143.9803</v>
      </c>
      <c r="Q999" s="135">
        <v>150.98949999999999</v>
      </c>
      <c r="R999" s="137">
        <v>1.1499999999999999</v>
      </c>
      <c r="S999" s="120">
        <v>90224</v>
      </c>
      <c r="T999" s="120">
        <v>1723885</v>
      </c>
      <c r="U999" s="120">
        <v>91854</v>
      </c>
      <c r="V999" s="114">
        <f t="shared" si="36"/>
        <v>1815739</v>
      </c>
      <c r="W999" s="114">
        <f t="shared" si="37"/>
        <v>1905963</v>
      </c>
    </row>
    <row r="1000" spans="1:23">
      <c r="A1000" s="122" t="s">
        <v>465</v>
      </c>
      <c r="B1000" s="124">
        <v>2536.4580000000001</v>
      </c>
      <c r="C1000" s="124">
        <v>2470.424</v>
      </c>
      <c r="D1000" s="124">
        <v>2409.1779999999999</v>
      </c>
      <c r="E1000" s="124">
        <v>2441.1759999999999</v>
      </c>
      <c r="F1000" s="124">
        <v>473.56369999999998</v>
      </c>
      <c r="G1000" s="124">
        <v>426.68</v>
      </c>
      <c r="H1000" s="124">
        <v>377.98660000000001</v>
      </c>
      <c r="I1000" s="124">
        <v>388.33390000000003</v>
      </c>
      <c r="J1000" s="134">
        <v>251082637</v>
      </c>
      <c r="K1000" s="134">
        <v>269138365</v>
      </c>
      <c r="L1000" s="124">
        <v>3707.8209999999999</v>
      </c>
      <c r="M1000" s="134">
        <v>2742</v>
      </c>
      <c r="N1000" s="135">
        <v>288.41250000000002</v>
      </c>
      <c r="O1000" s="135">
        <v>252.9949</v>
      </c>
      <c r="P1000" s="135">
        <v>210.82769999999999</v>
      </c>
      <c r="Q1000" s="135">
        <v>220.93690000000001</v>
      </c>
      <c r="R1000" s="137">
        <v>1.17</v>
      </c>
      <c r="S1000" s="120">
        <v>407113</v>
      </c>
      <c r="T1000" s="120">
        <v>3516187</v>
      </c>
      <c r="U1000" s="120">
        <v>0</v>
      </c>
      <c r="V1000" s="114">
        <f t="shared" si="36"/>
        <v>3516187</v>
      </c>
      <c r="W1000" s="114">
        <f t="shared" si="37"/>
        <v>3923300</v>
      </c>
    </row>
    <row r="1001" spans="1:23">
      <c r="A1001" s="122" t="s">
        <v>308</v>
      </c>
      <c r="B1001" s="124">
        <v>274.58999999999997</v>
      </c>
      <c r="C1001" s="124">
        <v>259.87</v>
      </c>
      <c r="D1001" s="124">
        <v>252.02199999999999</v>
      </c>
      <c r="E1001" s="124">
        <v>244.50700000000001</v>
      </c>
      <c r="F1001" s="124">
        <v>54.692</v>
      </c>
      <c r="G1001" s="124">
        <v>56.253599999999999</v>
      </c>
      <c r="H1001" s="124">
        <v>53.518700000000003</v>
      </c>
      <c r="I1001" s="124">
        <v>58</v>
      </c>
      <c r="J1001" s="134">
        <v>50030129</v>
      </c>
      <c r="K1001" s="134">
        <v>52835753</v>
      </c>
      <c r="L1001" s="124">
        <v>560.673</v>
      </c>
      <c r="M1001" s="114">
        <v>0</v>
      </c>
      <c r="N1001" s="135">
        <v>31.0991</v>
      </c>
      <c r="O1001" s="135">
        <v>31.1006</v>
      </c>
      <c r="P1001" s="135">
        <v>27.7012</v>
      </c>
      <c r="Q1001" s="135">
        <v>37.001399999999997</v>
      </c>
      <c r="R1001" s="137">
        <v>1.1399999999999999</v>
      </c>
      <c r="S1001" s="120">
        <v>36074</v>
      </c>
      <c r="T1001" s="120">
        <v>758804</v>
      </c>
      <c r="U1001" s="120">
        <v>0</v>
      </c>
      <c r="V1001" s="114">
        <f t="shared" si="36"/>
        <v>758804</v>
      </c>
      <c r="W1001" s="114">
        <f t="shared" si="37"/>
        <v>794878</v>
      </c>
    </row>
    <row r="1002" spans="1:23">
      <c r="A1002" s="122" t="s">
        <v>1514</v>
      </c>
      <c r="B1002" s="124">
        <v>908.77300000000002</v>
      </c>
      <c r="C1002" s="124">
        <v>927.32399999999996</v>
      </c>
      <c r="D1002" s="124">
        <v>927.23599999999999</v>
      </c>
      <c r="E1002" s="124">
        <v>971.70500000000004</v>
      </c>
      <c r="F1002" s="124">
        <v>137.69499999999999</v>
      </c>
      <c r="G1002" s="124">
        <v>142.51070000000001</v>
      </c>
      <c r="H1002" s="124">
        <v>151.4151</v>
      </c>
      <c r="I1002" s="124">
        <v>142.64680000000001</v>
      </c>
      <c r="J1002" s="134">
        <v>148505210</v>
      </c>
      <c r="K1002" s="134">
        <v>158999146</v>
      </c>
      <c r="L1002" s="124">
        <v>1510.671</v>
      </c>
      <c r="M1002" s="134">
        <v>297580</v>
      </c>
      <c r="N1002" s="135">
        <v>89.837800000000001</v>
      </c>
      <c r="O1002" s="135">
        <v>91.008799999999994</v>
      </c>
      <c r="P1002" s="135">
        <v>90.929299999999998</v>
      </c>
      <c r="Q1002" s="135">
        <v>91.692099999999996</v>
      </c>
      <c r="R1002" s="137">
        <v>1.07</v>
      </c>
      <c r="S1002" s="120">
        <v>384050</v>
      </c>
      <c r="T1002" s="120">
        <v>2460499</v>
      </c>
      <c r="U1002" s="120">
        <v>0</v>
      </c>
      <c r="V1002" s="114">
        <f t="shared" si="36"/>
        <v>2460499</v>
      </c>
      <c r="W1002" s="114">
        <f t="shared" si="37"/>
        <v>2844549</v>
      </c>
    </row>
    <row r="1003" spans="1:23">
      <c r="A1003" s="122" t="s">
        <v>2975</v>
      </c>
      <c r="B1003" s="124">
        <v>7251.5230000000001</v>
      </c>
      <c r="C1003" s="124">
        <v>7583.3620000000001</v>
      </c>
      <c r="D1003" s="124">
        <v>7900.9070000000002</v>
      </c>
      <c r="E1003" s="124">
        <v>7993.2529999999997</v>
      </c>
      <c r="F1003" s="124">
        <v>1116.1833999999999</v>
      </c>
      <c r="G1003" s="124">
        <v>1179.0437999999999</v>
      </c>
      <c r="H1003" s="124">
        <v>1266.3619000000001</v>
      </c>
      <c r="I1003" s="124">
        <v>1292.222</v>
      </c>
      <c r="J1003" s="134">
        <v>2625124169</v>
      </c>
      <c r="K1003" s="134">
        <v>2737185050</v>
      </c>
      <c r="L1003" s="124">
        <v>9758.5669999999991</v>
      </c>
      <c r="M1003" s="134">
        <v>5728714</v>
      </c>
      <c r="N1003" s="135">
        <v>730.12580000000003</v>
      </c>
      <c r="O1003" s="135">
        <v>737.98350000000005</v>
      </c>
      <c r="P1003" s="135">
        <v>795.08309999999994</v>
      </c>
      <c r="Q1003" s="135">
        <v>819.38900000000001</v>
      </c>
      <c r="R1003" s="137">
        <v>1.0900000000000001</v>
      </c>
      <c r="S1003" s="120">
        <v>6629670</v>
      </c>
      <c r="T1003" s="120">
        <v>43299095</v>
      </c>
      <c r="U1003" s="120">
        <v>0</v>
      </c>
      <c r="V1003" s="114">
        <f t="shared" si="36"/>
        <v>43299095</v>
      </c>
      <c r="W1003" s="114">
        <f t="shared" si="37"/>
        <v>49928765</v>
      </c>
    </row>
    <row r="1004" spans="1:23">
      <c r="A1004" s="122" t="s">
        <v>2038</v>
      </c>
      <c r="B1004" s="124">
        <v>386.93200000000002</v>
      </c>
      <c r="C1004" s="124">
        <v>391.40300000000002</v>
      </c>
      <c r="D1004" s="124">
        <v>411.24799999999999</v>
      </c>
      <c r="E1004" s="124">
        <v>440.96300000000002</v>
      </c>
      <c r="F1004" s="124">
        <v>60.280700000000003</v>
      </c>
      <c r="G1004" s="124">
        <v>60.323500000000003</v>
      </c>
      <c r="H1004" s="124">
        <v>60.350299999999997</v>
      </c>
      <c r="I1004" s="124">
        <v>63.9251</v>
      </c>
      <c r="J1004" s="134">
        <v>64083880</v>
      </c>
      <c r="K1004" s="134">
        <v>69820484</v>
      </c>
      <c r="L1004" s="124">
        <v>734.01900000000001</v>
      </c>
      <c r="M1004" s="134">
        <v>14792</v>
      </c>
      <c r="N1004" s="135">
        <v>42.479300000000002</v>
      </c>
      <c r="O1004" s="135">
        <v>43.465800000000002</v>
      </c>
      <c r="P1004" s="135">
        <v>44.808900000000001</v>
      </c>
      <c r="Q1004" s="135">
        <v>47.251399999999997</v>
      </c>
      <c r="R1004" s="137">
        <v>1.06</v>
      </c>
      <c r="S1004" s="120">
        <v>58541</v>
      </c>
      <c r="T1004" s="120">
        <v>948778</v>
      </c>
      <c r="U1004" s="120">
        <v>0</v>
      </c>
      <c r="V1004" s="114">
        <f t="shared" si="36"/>
        <v>948778</v>
      </c>
      <c r="W1004" s="114">
        <f t="shared" si="37"/>
        <v>1007319</v>
      </c>
    </row>
    <row r="1005" spans="1:23">
      <c r="A1005" s="122" t="s">
        <v>47</v>
      </c>
      <c r="B1005" s="124">
        <v>1025.3589999999999</v>
      </c>
      <c r="C1005" s="124">
        <v>1168.6990000000001</v>
      </c>
      <c r="D1005" s="124">
        <v>1375.482</v>
      </c>
      <c r="E1005" s="124">
        <v>1576.7919999999999</v>
      </c>
      <c r="F1005" s="124">
        <v>142.00450000000001</v>
      </c>
      <c r="G1005" s="124">
        <v>166.63759999999999</v>
      </c>
      <c r="H1005" s="124">
        <v>181.60390000000001</v>
      </c>
      <c r="I1005" s="124">
        <v>211.1601</v>
      </c>
      <c r="J1005" s="134">
        <v>324803590</v>
      </c>
      <c r="K1005" s="134">
        <v>336915829</v>
      </c>
      <c r="L1005" s="124">
        <v>2023.1559999999999</v>
      </c>
      <c r="M1005" s="134">
        <v>331663</v>
      </c>
      <c r="N1005" s="135">
        <v>92.899500000000003</v>
      </c>
      <c r="O1005" s="135">
        <v>104.15179999999999</v>
      </c>
      <c r="P1005" s="135">
        <v>118.9023</v>
      </c>
      <c r="Q1005" s="135">
        <v>139.68879999999999</v>
      </c>
      <c r="R1005" s="137">
        <v>1.06</v>
      </c>
      <c r="S1005" s="120">
        <v>1267798</v>
      </c>
      <c r="T1005" s="120">
        <v>6005149</v>
      </c>
      <c r="U1005" s="120">
        <v>0</v>
      </c>
      <c r="V1005" s="114">
        <f t="shared" si="36"/>
        <v>6005149</v>
      </c>
      <c r="W1005" s="114">
        <f t="shared" si="37"/>
        <v>7272947</v>
      </c>
    </row>
    <row r="1006" spans="1:23">
      <c r="A1006" s="122" t="s">
        <v>11</v>
      </c>
      <c r="B1006" s="124">
        <v>634.65599999999995</v>
      </c>
      <c r="C1006" s="124">
        <v>649.69600000000003</v>
      </c>
      <c r="D1006" s="124">
        <v>666.35900000000004</v>
      </c>
      <c r="E1006" s="124">
        <v>647.90099999999995</v>
      </c>
      <c r="F1006" s="124">
        <v>104.7059</v>
      </c>
      <c r="G1006" s="124">
        <v>106.0981</v>
      </c>
      <c r="H1006" s="124">
        <v>99.0548</v>
      </c>
      <c r="I1006" s="124">
        <v>107.46169999999999</v>
      </c>
      <c r="J1006" s="134">
        <v>197593533</v>
      </c>
      <c r="K1006" s="134">
        <v>208251383</v>
      </c>
      <c r="L1006" s="124">
        <v>1056.5129999999999</v>
      </c>
      <c r="M1006" s="114">
        <v>0</v>
      </c>
      <c r="N1006" s="135">
        <v>71.899900000000002</v>
      </c>
      <c r="O1006" s="135">
        <v>71.963499999999996</v>
      </c>
      <c r="P1006" s="135">
        <v>68.671400000000006</v>
      </c>
      <c r="Q1006" s="135">
        <v>76.021100000000004</v>
      </c>
      <c r="R1006" s="137">
        <v>1.06</v>
      </c>
      <c r="S1006" s="120">
        <v>268918</v>
      </c>
      <c r="T1006" s="120">
        <v>3485143</v>
      </c>
      <c r="U1006" s="120">
        <v>0</v>
      </c>
      <c r="V1006" s="114">
        <f t="shared" si="36"/>
        <v>3485143</v>
      </c>
      <c r="W1006" s="114">
        <f t="shared" si="37"/>
        <v>3754061</v>
      </c>
    </row>
    <row r="1007" spans="1:23">
      <c r="A1007" s="122" t="s">
        <v>1990</v>
      </c>
      <c r="B1007" s="124">
        <v>1371.0129999999999</v>
      </c>
      <c r="C1007" s="124">
        <v>1504.913</v>
      </c>
      <c r="D1007" s="124">
        <v>1580.098</v>
      </c>
      <c r="E1007" s="124">
        <v>1671.182</v>
      </c>
      <c r="F1007" s="124">
        <v>229.94380000000001</v>
      </c>
      <c r="G1007" s="124">
        <v>243.4657</v>
      </c>
      <c r="H1007" s="124">
        <v>277.6361</v>
      </c>
      <c r="I1007" s="124">
        <v>258.84960000000001</v>
      </c>
      <c r="J1007" s="134">
        <v>378307896</v>
      </c>
      <c r="K1007" s="134">
        <v>394377298</v>
      </c>
      <c r="L1007" s="124">
        <v>2240.7849999999999</v>
      </c>
      <c r="M1007" s="134">
        <v>502763</v>
      </c>
      <c r="N1007" s="135">
        <v>160.3158</v>
      </c>
      <c r="O1007" s="135">
        <v>168.5624</v>
      </c>
      <c r="P1007" s="135">
        <v>188.3561</v>
      </c>
      <c r="Q1007" s="135">
        <v>181.85720000000001</v>
      </c>
      <c r="R1007" s="137">
        <v>1.06</v>
      </c>
      <c r="S1007" s="120">
        <v>730575</v>
      </c>
      <c r="T1007" s="120">
        <v>6574036</v>
      </c>
      <c r="U1007" s="120">
        <v>0</v>
      </c>
      <c r="V1007" s="114">
        <f t="shared" si="36"/>
        <v>6574036</v>
      </c>
      <c r="W1007" s="114">
        <f t="shared" si="37"/>
        <v>7304611</v>
      </c>
    </row>
    <row r="1008" spans="1:23">
      <c r="A1008" s="122" t="s">
        <v>1485</v>
      </c>
      <c r="B1008" s="124">
        <v>28842.987000000001</v>
      </c>
      <c r="C1008" s="124">
        <v>30033.964</v>
      </c>
      <c r="D1008" s="124">
        <v>31110.191999999999</v>
      </c>
      <c r="E1008" s="124">
        <v>32284.93</v>
      </c>
      <c r="F1008" s="124">
        <v>3770.0596999999998</v>
      </c>
      <c r="G1008" s="124">
        <v>4168.6619000000001</v>
      </c>
      <c r="H1008" s="124">
        <v>4494.9489999999996</v>
      </c>
      <c r="I1008" s="124">
        <v>4387.5998</v>
      </c>
      <c r="J1008" s="134">
        <v>12315783013</v>
      </c>
      <c r="K1008" s="134">
        <v>12672551004</v>
      </c>
      <c r="L1008" s="124">
        <v>39139.868999999999</v>
      </c>
      <c r="M1008" s="134">
        <v>35715771</v>
      </c>
      <c r="N1008" s="135">
        <v>2448.5772999999999</v>
      </c>
      <c r="O1008" s="135">
        <v>2652.3267999999998</v>
      </c>
      <c r="P1008" s="135">
        <v>2785.6664999999998</v>
      </c>
      <c r="Q1008" s="135">
        <v>2770.7525999999998</v>
      </c>
      <c r="R1008" s="137">
        <v>1.1200000000000001</v>
      </c>
      <c r="S1008" s="120">
        <v>49349895</v>
      </c>
      <c r="T1008" s="120">
        <v>189509559</v>
      </c>
      <c r="U1008" s="120">
        <v>0</v>
      </c>
      <c r="V1008" s="114">
        <f t="shared" si="36"/>
        <v>189509559</v>
      </c>
      <c r="W1008" s="114">
        <f t="shared" si="37"/>
        <v>238859454</v>
      </c>
    </row>
    <row r="1009" spans="1:23">
      <c r="A1009" s="122" t="s">
        <v>1738</v>
      </c>
      <c r="B1009" s="124">
        <v>2731.8679999999999</v>
      </c>
      <c r="C1009" s="124">
        <v>2857.2449999999999</v>
      </c>
      <c r="D1009" s="124">
        <v>2931.866</v>
      </c>
      <c r="E1009" s="124">
        <v>2912.2350000000001</v>
      </c>
      <c r="F1009" s="124">
        <v>486.9468</v>
      </c>
      <c r="G1009" s="124">
        <v>512.28539999999998</v>
      </c>
      <c r="H1009" s="124">
        <v>540.85419999999999</v>
      </c>
      <c r="I1009" s="124">
        <v>559.57169999999996</v>
      </c>
      <c r="J1009" s="134">
        <v>504278301</v>
      </c>
      <c r="K1009" s="134">
        <v>536599413</v>
      </c>
      <c r="L1009" s="124">
        <v>4044.4940000000001</v>
      </c>
      <c r="M1009" s="134">
        <v>588428</v>
      </c>
      <c r="N1009" s="135">
        <v>298.21559999999999</v>
      </c>
      <c r="O1009" s="135">
        <v>286.05489999999998</v>
      </c>
      <c r="P1009" s="135">
        <v>297.96780000000001</v>
      </c>
      <c r="Q1009" s="135">
        <v>309.51679999999999</v>
      </c>
      <c r="R1009" s="137">
        <v>1.08</v>
      </c>
      <c r="S1009" s="120">
        <v>856310</v>
      </c>
      <c r="T1009" s="120">
        <v>8329699</v>
      </c>
      <c r="U1009" s="120">
        <v>0</v>
      </c>
      <c r="V1009" s="114">
        <f t="shared" si="36"/>
        <v>8329699</v>
      </c>
      <c r="W1009" s="114">
        <f t="shared" si="37"/>
        <v>9186009</v>
      </c>
    </row>
    <row r="1010" spans="1:23">
      <c r="A1010" s="122" t="s">
        <v>1708</v>
      </c>
      <c r="B1010" s="124">
        <v>471.55799999999999</v>
      </c>
      <c r="C1010" s="124">
        <v>456.18799999999999</v>
      </c>
      <c r="D1010" s="124">
        <v>467.26400000000001</v>
      </c>
      <c r="E1010" s="124">
        <v>519.65899999999999</v>
      </c>
      <c r="F1010" s="124">
        <v>69.552000000000007</v>
      </c>
      <c r="G1010" s="124">
        <v>61.680500000000002</v>
      </c>
      <c r="H1010" s="124">
        <v>64.303200000000004</v>
      </c>
      <c r="I1010" s="124">
        <v>83.282300000000006</v>
      </c>
      <c r="J1010" s="134">
        <v>90595855</v>
      </c>
      <c r="K1010" s="134">
        <v>96502603</v>
      </c>
      <c r="L1010" s="124">
        <v>834.89800000000002</v>
      </c>
      <c r="M1010" s="134">
        <v>50665</v>
      </c>
      <c r="N1010" s="135">
        <v>45.426000000000002</v>
      </c>
      <c r="O1010" s="135">
        <v>40.853200000000001</v>
      </c>
      <c r="P1010" s="135">
        <v>42.224400000000003</v>
      </c>
      <c r="Q1010" s="135">
        <v>48.2301</v>
      </c>
      <c r="R1010" s="137">
        <v>1.06</v>
      </c>
      <c r="S1010" s="120">
        <v>120663</v>
      </c>
      <c r="T1010" s="120">
        <v>1427523</v>
      </c>
      <c r="U1010" s="120">
        <v>0</v>
      </c>
      <c r="V1010" s="114">
        <f t="shared" si="36"/>
        <v>1427523</v>
      </c>
      <c r="W1010" s="114">
        <f t="shared" si="37"/>
        <v>1548186</v>
      </c>
    </row>
    <row r="1011" spans="1:23">
      <c r="A1011" s="122" t="s">
        <v>1988</v>
      </c>
      <c r="B1011" s="124">
        <v>12469.549000000001</v>
      </c>
      <c r="C1011" s="124">
        <v>13747.816999999999</v>
      </c>
      <c r="D1011" s="124">
        <v>14888.498</v>
      </c>
      <c r="E1011" s="124">
        <v>15955.397000000001</v>
      </c>
      <c r="F1011" s="124">
        <v>1591.3439000000001</v>
      </c>
      <c r="G1011" s="124">
        <v>1764.9695999999999</v>
      </c>
      <c r="H1011" s="124">
        <v>1963.5383999999999</v>
      </c>
      <c r="I1011" s="124">
        <v>2090.1021000000001</v>
      </c>
      <c r="J1011" s="134">
        <v>4853741461</v>
      </c>
      <c r="K1011" s="134">
        <v>5039589856</v>
      </c>
      <c r="L1011" s="124">
        <v>19328.600999999999</v>
      </c>
      <c r="M1011" s="134">
        <v>9568450</v>
      </c>
      <c r="N1011" s="135">
        <v>1013.9646</v>
      </c>
      <c r="O1011" s="135">
        <v>1133.4697000000001</v>
      </c>
      <c r="P1011" s="135">
        <v>1259.125</v>
      </c>
      <c r="Q1011" s="135">
        <v>1330.1469999999999</v>
      </c>
      <c r="R1011" s="137">
        <v>1.1000000000000001</v>
      </c>
      <c r="S1011" s="120">
        <v>16998515</v>
      </c>
      <c r="T1011" s="120">
        <v>84657299</v>
      </c>
      <c r="U1011" s="120">
        <v>0</v>
      </c>
      <c r="V1011" s="114">
        <f t="shared" si="36"/>
        <v>84657299</v>
      </c>
      <c r="W1011" s="114">
        <f t="shared" si="37"/>
        <v>101655814</v>
      </c>
    </row>
    <row r="1012" spans="1:23">
      <c r="A1012" s="122" t="s">
        <v>12</v>
      </c>
      <c r="B1012" s="124">
        <v>120.801</v>
      </c>
      <c r="C1012" s="124">
        <v>117.131</v>
      </c>
      <c r="D1012" s="124">
        <v>113.59399999999999</v>
      </c>
      <c r="E1012" s="124">
        <v>121.419</v>
      </c>
      <c r="F1012" s="124">
        <v>21.280799999999999</v>
      </c>
      <c r="G1012" s="124">
        <v>20</v>
      </c>
      <c r="H1012" s="124">
        <v>22</v>
      </c>
      <c r="I1012" s="124">
        <v>20</v>
      </c>
      <c r="J1012" s="134">
        <v>33704992</v>
      </c>
      <c r="K1012" s="134">
        <v>35993104</v>
      </c>
      <c r="L1012" s="124">
        <v>190.73699999999999</v>
      </c>
      <c r="M1012" s="114">
        <v>0</v>
      </c>
      <c r="N1012" s="135">
        <v>15.871600000000001</v>
      </c>
      <c r="O1012" s="135">
        <v>15.0002</v>
      </c>
      <c r="P1012" s="135">
        <v>17.000499999999999</v>
      </c>
      <c r="Q1012" s="135">
        <v>15.0007</v>
      </c>
      <c r="R1012" s="137">
        <v>1.07</v>
      </c>
      <c r="S1012" s="120">
        <v>0</v>
      </c>
      <c r="T1012" s="120">
        <v>535873</v>
      </c>
      <c r="U1012" s="120">
        <v>0</v>
      </c>
      <c r="V1012" s="114">
        <f t="shared" si="36"/>
        <v>535873</v>
      </c>
      <c r="W1012" s="114">
        <f t="shared" si="37"/>
        <v>535873</v>
      </c>
    </row>
    <row r="1013" spans="1:23">
      <c r="A1013" s="122" t="s">
        <v>2814</v>
      </c>
      <c r="B1013" s="124">
        <v>3156.7460000000001</v>
      </c>
      <c r="C1013" s="124">
        <v>3166.3</v>
      </c>
      <c r="D1013" s="124">
        <v>3160.8589999999999</v>
      </c>
      <c r="E1013" s="124">
        <v>3251.4349999999999</v>
      </c>
      <c r="F1013" s="124">
        <v>476.75119999999998</v>
      </c>
      <c r="G1013" s="124">
        <v>507.21910000000003</v>
      </c>
      <c r="H1013" s="124">
        <v>525.82349999999997</v>
      </c>
      <c r="I1013" s="124">
        <v>514.95050000000003</v>
      </c>
      <c r="J1013" s="134">
        <v>482414817</v>
      </c>
      <c r="K1013" s="134">
        <v>520213747</v>
      </c>
      <c r="L1013" s="124">
        <v>4412.71</v>
      </c>
      <c r="M1013" s="134">
        <v>196096</v>
      </c>
      <c r="N1013" s="135">
        <v>324.31700000000001</v>
      </c>
      <c r="O1013" s="135">
        <v>330.86270000000002</v>
      </c>
      <c r="P1013" s="135">
        <v>333.6848</v>
      </c>
      <c r="Q1013" s="135">
        <v>330.58839999999998</v>
      </c>
      <c r="R1013" s="137">
        <v>1.08</v>
      </c>
      <c r="S1013" s="120">
        <v>791358</v>
      </c>
      <c r="T1013" s="120">
        <v>7562594</v>
      </c>
      <c r="U1013" s="120">
        <v>0</v>
      </c>
      <c r="V1013" s="114">
        <f t="shared" si="36"/>
        <v>7562594</v>
      </c>
      <c r="W1013" s="114">
        <f t="shared" si="37"/>
        <v>8353952</v>
      </c>
    </row>
    <row r="1014" spans="1:23">
      <c r="A1014" s="122" t="s">
        <v>66</v>
      </c>
      <c r="B1014" s="124">
        <v>1999.904</v>
      </c>
      <c r="C1014" s="124">
        <v>2054.0479999999998</v>
      </c>
      <c r="D1014" s="124">
        <v>2154.2190000000001</v>
      </c>
      <c r="E1014" s="124">
        <v>2201.5990000000002</v>
      </c>
      <c r="F1014" s="124">
        <v>265.30709999999999</v>
      </c>
      <c r="G1014" s="124">
        <v>266.32040000000001</v>
      </c>
      <c r="H1014" s="124">
        <v>294.65789999999998</v>
      </c>
      <c r="I1014" s="124">
        <v>303.16210000000001</v>
      </c>
      <c r="J1014" s="134">
        <v>269475396</v>
      </c>
      <c r="K1014" s="134">
        <v>291916972</v>
      </c>
      <c r="L1014" s="124">
        <v>3008.14</v>
      </c>
      <c r="M1014" s="134">
        <v>185160</v>
      </c>
      <c r="N1014" s="135">
        <v>171.93109999999999</v>
      </c>
      <c r="O1014" s="135">
        <v>173.55940000000001</v>
      </c>
      <c r="P1014" s="135">
        <v>182.9743</v>
      </c>
      <c r="Q1014" s="135">
        <v>184.47550000000001</v>
      </c>
      <c r="R1014" s="137">
        <v>1.07</v>
      </c>
      <c r="S1014" s="120">
        <v>456649</v>
      </c>
      <c r="T1014" s="120">
        <v>4260012</v>
      </c>
      <c r="U1014" s="120">
        <v>0</v>
      </c>
      <c r="V1014" s="114">
        <f t="shared" si="36"/>
        <v>4260012</v>
      </c>
      <c r="W1014" s="114">
        <f t="shared" si="37"/>
        <v>4716661</v>
      </c>
    </row>
    <row r="1015" spans="1:23">
      <c r="A1015" s="122" t="s">
        <v>2815</v>
      </c>
      <c r="B1015" s="124">
        <v>723.01599999999996</v>
      </c>
      <c r="C1015" s="124">
        <v>697.97699999999998</v>
      </c>
      <c r="D1015" s="124">
        <v>687.78899999999999</v>
      </c>
      <c r="E1015" s="124">
        <v>682.45899999999995</v>
      </c>
      <c r="F1015" s="124">
        <v>104.9384</v>
      </c>
      <c r="G1015" s="124">
        <v>105.06140000000001</v>
      </c>
      <c r="H1015" s="124">
        <v>104.8747</v>
      </c>
      <c r="I1015" s="124">
        <v>102.1634</v>
      </c>
      <c r="J1015" s="134">
        <v>85541018</v>
      </c>
      <c r="K1015" s="134">
        <v>93640338</v>
      </c>
      <c r="L1015" s="124">
        <v>1023.4109999999999</v>
      </c>
      <c r="M1015" s="114">
        <v>0</v>
      </c>
      <c r="N1015" s="135">
        <v>66.000299999999996</v>
      </c>
      <c r="O1015" s="135">
        <v>67.6096</v>
      </c>
      <c r="P1015" s="135">
        <v>68.501499999999993</v>
      </c>
      <c r="Q1015" s="135">
        <v>67.634699999999995</v>
      </c>
      <c r="R1015" s="137">
        <v>1.07</v>
      </c>
      <c r="S1015" s="120">
        <v>57035</v>
      </c>
      <c r="T1015" s="120">
        <v>1243372</v>
      </c>
      <c r="U1015" s="120">
        <v>0</v>
      </c>
      <c r="V1015" s="114">
        <f t="shared" si="36"/>
        <v>1243372</v>
      </c>
      <c r="W1015" s="114">
        <f t="shared" si="37"/>
        <v>1300407</v>
      </c>
    </row>
    <row r="1016" spans="1:23">
      <c r="A1016" s="122" t="s">
        <v>1705</v>
      </c>
      <c r="B1016" s="124">
        <v>702.72500000000002</v>
      </c>
      <c r="C1016" s="124">
        <v>676.46299999999997</v>
      </c>
      <c r="D1016" s="124">
        <v>706.07899999999995</v>
      </c>
      <c r="E1016" s="124">
        <v>713.10900000000004</v>
      </c>
      <c r="F1016" s="124">
        <v>101.8823</v>
      </c>
      <c r="G1016" s="124">
        <v>92.031999999999996</v>
      </c>
      <c r="H1016" s="124">
        <v>97.243300000000005</v>
      </c>
      <c r="I1016" s="124">
        <v>107.61499999999999</v>
      </c>
      <c r="J1016" s="134">
        <v>83051957</v>
      </c>
      <c r="K1016" s="134">
        <v>90166567</v>
      </c>
      <c r="L1016" s="124">
        <v>1103.289</v>
      </c>
      <c r="M1016" s="134">
        <v>1569</v>
      </c>
      <c r="N1016" s="135">
        <v>67.891900000000007</v>
      </c>
      <c r="O1016" s="135">
        <v>62.547400000000003</v>
      </c>
      <c r="P1016" s="135">
        <v>66.441999999999993</v>
      </c>
      <c r="Q1016" s="135">
        <v>74.423699999999997</v>
      </c>
      <c r="R1016" s="137">
        <v>1.07</v>
      </c>
      <c r="S1016" s="120">
        <v>18663</v>
      </c>
      <c r="T1016" s="120">
        <v>1185493</v>
      </c>
      <c r="U1016" s="120">
        <v>0</v>
      </c>
      <c r="V1016" s="114">
        <f t="shared" si="36"/>
        <v>1185493</v>
      </c>
      <c r="W1016" s="114">
        <f t="shared" si="37"/>
        <v>1204156</v>
      </c>
    </row>
    <row r="1017" spans="1:23">
      <c r="A1017" s="122" t="s">
        <v>1339</v>
      </c>
      <c r="B1017" s="124">
        <v>1345.548</v>
      </c>
      <c r="C1017" s="124">
        <v>1299.2809999999999</v>
      </c>
      <c r="D1017" s="124">
        <v>1260.0429999999999</v>
      </c>
      <c r="E1017" s="124">
        <v>1215.0719999999999</v>
      </c>
      <c r="F1017" s="124">
        <v>244.88720000000001</v>
      </c>
      <c r="G1017" s="124">
        <v>244.0145</v>
      </c>
      <c r="H1017" s="124">
        <v>243.84729999999999</v>
      </c>
      <c r="I1017" s="124">
        <v>228.9802</v>
      </c>
      <c r="J1017" s="134">
        <v>373381363</v>
      </c>
      <c r="K1017" s="134">
        <v>386423613</v>
      </c>
      <c r="L1017" s="124">
        <v>2057.0940000000001</v>
      </c>
      <c r="M1017" s="114">
        <v>0</v>
      </c>
      <c r="N1017" s="135">
        <v>149.4034</v>
      </c>
      <c r="O1017" s="135">
        <v>151.21260000000001</v>
      </c>
      <c r="P1017" s="135">
        <v>153.0849</v>
      </c>
      <c r="Q1017" s="135">
        <v>137.75030000000001</v>
      </c>
      <c r="R1017" s="137">
        <v>1.1299999999999999</v>
      </c>
      <c r="S1017" s="120">
        <v>0</v>
      </c>
      <c r="T1017" s="120">
        <v>5486545</v>
      </c>
      <c r="U1017" s="120">
        <v>0</v>
      </c>
      <c r="V1017" s="114">
        <f t="shared" si="36"/>
        <v>5486545</v>
      </c>
      <c r="W1017" s="114">
        <f t="shared" si="37"/>
        <v>5486545</v>
      </c>
    </row>
    <row r="1018" spans="1:23">
      <c r="A1018" s="122" t="s">
        <v>1340</v>
      </c>
      <c r="B1018" s="124">
        <v>329.54199999999997</v>
      </c>
      <c r="C1018" s="124">
        <v>327.59699999999998</v>
      </c>
      <c r="D1018" s="124">
        <v>317.70400000000001</v>
      </c>
      <c r="E1018" s="124">
        <v>316.90100000000001</v>
      </c>
      <c r="F1018" s="124">
        <v>75</v>
      </c>
      <c r="G1018" s="124">
        <v>75</v>
      </c>
      <c r="H1018" s="124">
        <v>75.5</v>
      </c>
      <c r="I1018" s="124">
        <v>74.462599999999995</v>
      </c>
      <c r="J1018" s="134">
        <v>408936540</v>
      </c>
      <c r="K1018" s="134">
        <v>411155630</v>
      </c>
      <c r="L1018" s="124">
        <v>613.17499999999995</v>
      </c>
      <c r="M1018" s="134">
        <v>258264</v>
      </c>
      <c r="N1018" s="135">
        <v>43.932899999999997</v>
      </c>
      <c r="O1018" s="135">
        <v>43.133400000000002</v>
      </c>
      <c r="P1018" s="135">
        <v>44.752699999999997</v>
      </c>
      <c r="Q1018" s="135">
        <v>44.068100000000001</v>
      </c>
      <c r="R1018" s="137">
        <v>1.1000000000000001</v>
      </c>
      <c r="S1018" s="120">
        <v>80154</v>
      </c>
      <c r="T1018" s="120">
        <v>5685266</v>
      </c>
      <c r="U1018" s="120">
        <v>0</v>
      </c>
      <c r="V1018" s="114">
        <f t="shared" si="36"/>
        <v>5685266</v>
      </c>
      <c r="W1018" s="114">
        <f t="shared" si="37"/>
        <v>5765420</v>
      </c>
    </row>
    <row r="1019" spans="1:23">
      <c r="A1019" s="122" t="s">
        <v>224</v>
      </c>
      <c r="B1019" s="124">
        <v>545.13599999999997</v>
      </c>
      <c r="C1019" s="124">
        <v>576.95299999999997</v>
      </c>
      <c r="D1019" s="124">
        <v>610.61900000000003</v>
      </c>
      <c r="E1019" s="124">
        <v>647.19100000000003</v>
      </c>
      <c r="F1019" s="124">
        <v>72.834400000000002</v>
      </c>
      <c r="G1019" s="124">
        <v>75.853099999999998</v>
      </c>
      <c r="H1019" s="124">
        <v>84.048299999999998</v>
      </c>
      <c r="I1019" s="124">
        <v>93.141900000000007</v>
      </c>
      <c r="J1019" s="134">
        <v>83182690</v>
      </c>
      <c r="K1019" s="134">
        <v>91054229</v>
      </c>
      <c r="L1019" s="124">
        <v>1003.72</v>
      </c>
      <c r="M1019" s="134">
        <v>46508</v>
      </c>
      <c r="N1019" s="135">
        <v>47.713200000000001</v>
      </c>
      <c r="O1019" s="135">
        <v>51.001399999999997</v>
      </c>
      <c r="P1019" s="135">
        <v>56.594499999999996</v>
      </c>
      <c r="Q1019" s="135">
        <v>60.117899999999999</v>
      </c>
      <c r="R1019" s="137">
        <v>1.1000000000000001</v>
      </c>
      <c r="S1019" s="120">
        <v>132946</v>
      </c>
      <c r="T1019" s="120">
        <v>1273690</v>
      </c>
      <c r="U1019" s="120">
        <v>0</v>
      </c>
      <c r="V1019" s="114">
        <f t="shared" si="36"/>
        <v>1273690</v>
      </c>
      <c r="W1019" s="114">
        <f t="shared" si="37"/>
        <v>1406636</v>
      </c>
    </row>
    <row r="1020" spans="1:23">
      <c r="A1020" s="122" t="s">
        <v>904</v>
      </c>
      <c r="B1020" s="124">
        <v>1017.579</v>
      </c>
      <c r="C1020" s="124">
        <v>974.67399999999998</v>
      </c>
      <c r="D1020" s="124">
        <v>983.548</v>
      </c>
      <c r="E1020" s="124">
        <v>1035.1610000000001</v>
      </c>
      <c r="F1020" s="124">
        <v>148.45509999999999</v>
      </c>
      <c r="G1020" s="124">
        <v>138.31880000000001</v>
      </c>
      <c r="H1020" s="124">
        <v>154.96619999999999</v>
      </c>
      <c r="I1020" s="124">
        <v>158.67310000000001</v>
      </c>
      <c r="J1020" s="134">
        <v>196915723</v>
      </c>
      <c r="K1020" s="134">
        <v>209819009</v>
      </c>
      <c r="L1020" s="124">
        <v>1533.857</v>
      </c>
      <c r="M1020" s="134">
        <v>303605</v>
      </c>
      <c r="N1020" s="135">
        <v>103.6784</v>
      </c>
      <c r="O1020" s="135">
        <v>96.465999999999994</v>
      </c>
      <c r="P1020" s="135">
        <v>105.91679999999999</v>
      </c>
      <c r="Q1020" s="135">
        <v>107.0018</v>
      </c>
      <c r="R1020" s="137">
        <v>1.1100000000000001</v>
      </c>
      <c r="S1020" s="120">
        <v>259051</v>
      </c>
      <c r="T1020" s="120">
        <v>3073013</v>
      </c>
      <c r="U1020" s="120">
        <v>0</v>
      </c>
      <c r="V1020" s="114">
        <f t="shared" si="36"/>
        <v>3073013</v>
      </c>
      <c r="W1020" s="114">
        <f t="shared" si="37"/>
        <v>3332064</v>
      </c>
    </row>
    <row r="1021" spans="1:23">
      <c r="A1021" s="122" t="s">
        <v>2491</v>
      </c>
      <c r="B1021" s="124">
        <v>1989.1980000000001</v>
      </c>
      <c r="C1021" s="124">
        <v>2020.5139999999999</v>
      </c>
      <c r="D1021" s="124">
        <v>2064.154</v>
      </c>
      <c r="E1021" s="124">
        <v>2036.979</v>
      </c>
      <c r="F1021" s="124">
        <v>325.8134</v>
      </c>
      <c r="G1021" s="124">
        <v>342.85550000000001</v>
      </c>
      <c r="H1021" s="124">
        <v>353.55349999999999</v>
      </c>
      <c r="I1021" s="124">
        <v>369.661</v>
      </c>
      <c r="J1021" s="134">
        <v>395523226</v>
      </c>
      <c r="K1021" s="134">
        <v>417958316</v>
      </c>
      <c r="L1021" s="124">
        <v>2854.8829999999998</v>
      </c>
      <c r="M1021" s="134">
        <v>615778</v>
      </c>
      <c r="N1021" s="135">
        <v>200.07050000000001</v>
      </c>
      <c r="O1021" s="135">
        <v>213.4452</v>
      </c>
      <c r="P1021" s="135">
        <v>220.17760000000001</v>
      </c>
      <c r="Q1021" s="135">
        <v>227.64769999999999</v>
      </c>
      <c r="R1021" s="137">
        <v>1.1000000000000001</v>
      </c>
      <c r="S1021" s="120">
        <v>792205</v>
      </c>
      <c r="T1021" s="120">
        <v>6920003</v>
      </c>
      <c r="U1021" s="120">
        <v>0</v>
      </c>
      <c r="V1021" s="114">
        <f t="shared" si="36"/>
        <v>6920003</v>
      </c>
      <c r="W1021" s="114">
        <f t="shared" si="37"/>
        <v>7712208</v>
      </c>
    </row>
    <row r="1022" spans="1:23">
      <c r="A1022" s="122" t="s">
        <v>2780</v>
      </c>
      <c r="B1022" s="124">
        <v>639.95299999999997</v>
      </c>
      <c r="C1022" s="124">
        <v>626.15099999999995</v>
      </c>
      <c r="D1022" s="124">
        <v>627.346</v>
      </c>
      <c r="E1022" s="124">
        <v>640.18399999999997</v>
      </c>
      <c r="F1022" s="124">
        <v>96.200599999999994</v>
      </c>
      <c r="G1022" s="124">
        <v>62.5</v>
      </c>
      <c r="H1022" s="124">
        <v>64.5</v>
      </c>
      <c r="I1022" s="124">
        <v>71.5</v>
      </c>
      <c r="J1022" s="134">
        <v>184185977</v>
      </c>
      <c r="K1022" s="134">
        <v>192264173</v>
      </c>
      <c r="L1022" s="124">
        <v>1014.547</v>
      </c>
      <c r="M1022" s="134">
        <v>187011</v>
      </c>
      <c r="N1022" s="135">
        <v>59.394399999999997</v>
      </c>
      <c r="O1022" s="135">
        <v>54.742600000000003</v>
      </c>
      <c r="P1022" s="135">
        <v>57.741100000000003</v>
      </c>
      <c r="Q1022" s="135">
        <v>63.741500000000002</v>
      </c>
      <c r="R1022" s="137">
        <v>1.1000000000000001</v>
      </c>
      <c r="S1022" s="120">
        <v>221844</v>
      </c>
      <c r="T1022" s="120">
        <v>2719097</v>
      </c>
      <c r="U1022" s="120">
        <v>0</v>
      </c>
      <c r="V1022" s="114">
        <f t="shared" si="36"/>
        <v>2719097</v>
      </c>
      <c r="W1022" s="114">
        <f t="shared" si="37"/>
        <v>2940941</v>
      </c>
    </row>
    <row r="1023" spans="1:23">
      <c r="A1023" s="122" t="s">
        <v>2781</v>
      </c>
      <c r="B1023" s="124">
        <v>2401.23</v>
      </c>
      <c r="C1023" s="124">
        <v>2486.0909999999999</v>
      </c>
      <c r="D1023" s="124">
        <v>2490.9029999999998</v>
      </c>
      <c r="E1023" s="124">
        <v>2581.0740000000001</v>
      </c>
      <c r="F1023" s="124">
        <v>296.40719999999999</v>
      </c>
      <c r="G1023" s="124">
        <v>322.9984</v>
      </c>
      <c r="H1023" s="124">
        <v>335.81599999999997</v>
      </c>
      <c r="I1023" s="124">
        <v>344.01639999999998</v>
      </c>
      <c r="J1023" s="134">
        <v>618039733</v>
      </c>
      <c r="K1023" s="134">
        <v>646411883</v>
      </c>
      <c r="L1023" s="124">
        <v>3449.152</v>
      </c>
      <c r="M1023" s="134">
        <v>1244521</v>
      </c>
      <c r="N1023" s="135">
        <v>210.99930000000001</v>
      </c>
      <c r="O1023" s="135">
        <v>220.05410000000001</v>
      </c>
      <c r="P1023" s="135">
        <v>227.8794</v>
      </c>
      <c r="Q1023" s="135">
        <v>234.93639999999999</v>
      </c>
      <c r="R1023" s="137">
        <v>1.1000000000000001</v>
      </c>
      <c r="S1023" s="120">
        <v>1279681</v>
      </c>
      <c r="T1023" s="120">
        <v>10158653</v>
      </c>
      <c r="U1023" s="120">
        <v>0</v>
      </c>
      <c r="V1023" s="114">
        <f t="shared" si="36"/>
        <v>10158653</v>
      </c>
      <c r="W1023" s="114">
        <f t="shared" si="37"/>
        <v>11438334</v>
      </c>
    </row>
    <row r="1024" spans="1:23">
      <c r="A1024" s="122" t="s">
        <v>2302</v>
      </c>
      <c r="B1024" s="124">
        <v>814.02800000000002</v>
      </c>
      <c r="C1024" s="124">
        <v>839.76700000000005</v>
      </c>
      <c r="D1024" s="124">
        <v>876.76099999999997</v>
      </c>
      <c r="E1024" s="124">
        <v>895.91</v>
      </c>
      <c r="F1024" s="124">
        <v>113.3476</v>
      </c>
      <c r="G1024" s="124">
        <v>130.10169999999999</v>
      </c>
      <c r="H1024" s="124">
        <v>135.5883</v>
      </c>
      <c r="I1024" s="124">
        <v>127.4118</v>
      </c>
      <c r="J1024" s="134">
        <v>121149536</v>
      </c>
      <c r="K1024" s="134">
        <v>131181024</v>
      </c>
      <c r="L1024" s="124">
        <v>1334.134</v>
      </c>
      <c r="M1024" s="134">
        <v>74857</v>
      </c>
      <c r="N1024" s="135">
        <v>78.792199999999994</v>
      </c>
      <c r="O1024" s="135">
        <v>82.463999999999999</v>
      </c>
      <c r="P1024" s="135">
        <v>88.881500000000003</v>
      </c>
      <c r="Q1024" s="135">
        <v>78.941500000000005</v>
      </c>
      <c r="R1024" s="137">
        <v>1.1000000000000001</v>
      </c>
      <c r="S1024" s="120">
        <v>356244</v>
      </c>
      <c r="T1024" s="120">
        <v>1904000</v>
      </c>
      <c r="U1024" s="120">
        <v>0</v>
      </c>
      <c r="V1024" s="114">
        <f t="shared" si="36"/>
        <v>1904000</v>
      </c>
      <c r="W1024" s="114">
        <f t="shared" si="37"/>
        <v>2260244</v>
      </c>
    </row>
    <row r="1025" spans="1:23">
      <c r="A1025" s="122" t="s">
        <v>1314</v>
      </c>
      <c r="B1025" s="124">
        <v>335.82900000000001</v>
      </c>
      <c r="C1025" s="124">
        <v>321.79199999999997</v>
      </c>
      <c r="D1025" s="124">
        <v>313.22899999999998</v>
      </c>
      <c r="E1025" s="124">
        <v>304.553</v>
      </c>
      <c r="F1025" s="124">
        <v>63.510100000000001</v>
      </c>
      <c r="G1025" s="124">
        <v>63.5</v>
      </c>
      <c r="H1025" s="124">
        <v>59.5</v>
      </c>
      <c r="I1025" s="124">
        <v>47.7834</v>
      </c>
      <c r="J1025" s="134">
        <v>46083524</v>
      </c>
      <c r="K1025" s="134">
        <v>49978664</v>
      </c>
      <c r="L1025" s="124">
        <v>525.07600000000002</v>
      </c>
      <c r="M1025" s="134">
        <v>14748</v>
      </c>
      <c r="N1025" s="135">
        <v>40.684100000000001</v>
      </c>
      <c r="O1025" s="135">
        <v>37.674199999999999</v>
      </c>
      <c r="P1025" s="135">
        <v>36.977600000000002</v>
      </c>
      <c r="Q1025" s="135">
        <v>31.746099999999998</v>
      </c>
      <c r="R1025" s="137">
        <v>1.1000000000000001</v>
      </c>
      <c r="S1025" s="120">
        <v>75431</v>
      </c>
      <c r="T1025" s="120">
        <v>669119</v>
      </c>
      <c r="U1025" s="120">
        <v>0</v>
      </c>
      <c r="V1025" s="114">
        <f t="shared" si="36"/>
        <v>669119</v>
      </c>
      <c r="W1025" s="114">
        <f t="shared" si="37"/>
        <v>744550</v>
      </c>
    </row>
    <row r="1026" spans="1:23">
      <c r="A1026" s="122" t="s">
        <v>2548</v>
      </c>
      <c r="B1026" s="124">
        <v>690.43</v>
      </c>
      <c r="C1026" s="124">
        <v>688.64599999999996</v>
      </c>
      <c r="D1026" s="124">
        <v>681.53499999999997</v>
      </c>
      <c r="E1026" s="124">
        <v>674.89300000000003</v>
      </c>
      <c r="F1026" s="124">
        <v>100.8843</v>
      </c>
      <c r="G1026" s="124">
        <v>105.642</v>
      </c>
      <c r="H1026" s="124">
        <v>108.9735</v>
      </c>
      <c r="I1026" s="124">
        <v>117.8749</v>
      </c>
      <c r="J1026" s="134">
        <v>298322533</v>
      </c>
      <c r="K1026" s="134">
        <v>308416046</v>
      </c>
      <c r="L1026" s="124">
        <v>1080.2139999999999</v>
      </c>
      <c r="M1026" s="114">
        <v>0</v>
      </c>
      <c r="N1026" s="135">
        <v>57.205399999999997</v>
      </c>
      <c r="O1026" s="135">
        <v>64.637200000000007</v>
      </c>
      <c r="P1026" s="135">
        <v>66.762299999999996</v>
      </c>
      <c r="Q1026" s="135">
        <v>71.335499999999996</v>
      </c>
      <c r="R1026" s="137">
        <v>1.04</v>
      </c>
      <c r="S1026" s="120">
        <v>0</v>
      </c>
      <c r="T1026" s="120">
        <v>3526383</v>
      </c>
      <c r="U1026" s="120">
        <v>0</v>
      </c>
      <c r="V1026" s="114">
        <f t="shared" si="36"/>
        <v>3526383</v>
      </c>
      <c r="W1026" s="114">
        <f t="shared" si="37"/>
        <v>3526383</v>
      </c>
    </row>
    <row r="1027" spans="1:23">
      <c r="A1027" s="122" t="s">
        <v>2549</v>
      </c>
      <c r="B1027" s="124">
        <v>1386.885</v>
      </c>
      <c r="C1027" s="124">
        <v>1412.4469999999999</v>
      </c>
      <c r="D1027" s="124">
        <v>1424.4280000000001</v>
      </c>
      <c r="E1027" s="124">
        <v>1457.902</v>
      </c>
      <c r="F1027" s="124">
        <v>186.39060000000001</v>
      </c>
      <c r="G1027" s="124">
        <v>184.08789999999999</v>
      </c>
      <c r="H1027" s="124">
        <v>193.2671</v>
      </c>
      <c r="I1027" s="124">
        <v>196.6397</v>
      </c>
      <c r="J1027" s="134">
        <v>265411212</v>
      </c>
      <c r="K1027" s="134">
        <v>287478917</v>
      </c>
      <c r="L1027" s="124">
        <v>2031.8520000000001</v>
      </c>
      <c r="M1027" s="134">
        <v>303402</v>
      </c>
      <c r="N1027" s="135">
        <v>120.4504</v>
      </c>
      <c r="O1027" s="135">
        <v>123.444</v>
      </c>
      <c r="P1027" s="135">
        <v>134.00749999999999</v>
      </c>
      <c r="Q1027" s="135">
        <v>135.08779999999999</v>
      </c>
      <c r="R1027" s="137">
        <v>1.04</v>
      </c>
      <c r="S1027" s="120">
        <v>138505</v>
      </c>
      <c r="T1027" s="120">
        <v>4014399</v>
      </c>
      <c r="U1027" s="120">
        <v>0</v>
      </c>
      <c r="V1027" s="114">
        <f t="shared" si="36"/>
        <v>4014399</v>
      </c>
      <c r="W1027" s="114">
        <f t="shared" si="37"/>
        <v>4152904</v>
      </c>
    </row>
    <row r="1028" spans="1:23">
      <c r="A1028" s="122" t="s">
        <v>2970</v>
      </c>
      <c r="B1028" s="124">
        <v>1139.78</v>
      </c>
      <c r="C1028" s="124">
        <v>1076.346</v>
      </c>
      <c r="D1028" s="124">
        <v>1092.2059999999999</v>
      </c>
      <c r="E1028" s="124">
        <v>1080.499</v>
      </c>
      <c r="F1028" s="124">
        <v>201.8561</v>
      </c>
      <c r="G1028" s="124">
        <v>197.86600000000001</v>
      </c>
      <c r="H1028" s="124">
        <v>202.82390000000001</v>
      </c>
      <c r="I1028" s="124">
        <v>209.21889999999999</v>
      </c>
      <c r="J1028" s="134">
        <v>285544827</v>
      </c>
      <c r="K1028" s="134">
        <v>305693613</v>
      </c>
      <c r="L1028" s="124">
        <v>1668.5050000000001</v>
      </c>
      <c r="M1028" s="114">
        <v>0</v>
      </c>
      <c r="N1028" s="135">
        <v>120.9238</v>
      </c>
      <c r="O1028" s="135">
        <v>128.4522</v>
      </c>
      <c r="P1028" s="135">
        <v>131.01660000000001</v>
      </c>
      <c r="Q1028" s="135">
        <v>137.9485</v>
      </c>
      <c r="R1028" s="137">
        <v>1.05</v>
      </c>
      <c r="S1028" s="120">
        <v>328991</v>
      </c>
      <c r="T1028" s="120">
        <v>3875014</v>
      </c>
      <c r="U1028" s="120">
        <v>0</v>
      </c>
      <c r="V1028" s="114">
        <f t="shared" si="36"/>
        <v>3875014</v>
      </c>
      <c r="W1028" s="114">
        <f t="shared" si="37"/>
        <v>4204005</v>
      </c>
    </row>
    <row r="1029" spans="1:23">
      <c r="A1029" s="122" t="s">
        <v>2971</v>
      </c>
      <c r="B1029" s="124">
        <v>294.18599999999998</v>
      </c>
      <c r="C1029" s="124">
        <v>292.19099999999997</v>
      </c>
      <c r="D1029" s="124">
        <v>322.09300000000002</v>
      </c>
      <c r="E1029" s="124">
        <v>339.85599999999999</v>
      </c>
      <c r="F1029" s="124">
        <v>49.4011</v>
      </c>
      <c r="G1029" s="124">
        <v>49.631</v>
      </c>
      <c r="H1029" s="124">
        <v>52.528199999999998</v>
      </c>
      <c r="I1029" s="124">
        <v>51.855699999999999</v>
      </c>
      <c r="J1029" s="134">
        <v>127798113</v>
      </c>
      <c r="K1029" s="134">
        <v>135478133</v>
      </c>
      <c r="L1029" s="124">
        <v>555.14499999999998</v>
      </c>
      <c r="M1029" s="134">
        <v>123605</v>
      </c>
      <c r="N1029" s="135">
        <v>34.023099999999999</v>
      </c>
      <c r="O1029" s="135">
        <v>34.669400000000003</v>
      </c>
      <c r="P1029" s="135">
        <v>33.362200000000001</v>
      </c>
      <c r="Q1029" s="135">
        <v>33.578099999999999</v>
      </c>
      <c r="R1029" s="137">
        <v>1.04</v>
      </c>
      <c r="S1029" s="120">
        <v>198629</v>
      </c>
      <c r="T1029" s="120">
        <v>1853455</v>
      </c>
      <c r="U1029" s="120">
        <v>0</v>
      </c>
      <c r="V1029" s="114">
        <f t="shared" si="36"/>
        <v>1853455</v>
      </c>
      <c r="W1029" s="114">
        <f t="shared" si="37"/>
        <v>2052084</v>
      </c>
    </row>
    <row r="1030" spans="1:23">
      <c r="A1030" s="122" t="s">
        <v>705</v>
      </c>
      <c r="B1030" s="124">
        <v>720.35900000000004</v>
      </c>
      <c r="C1030" s="124">
        <v>718.95</v>
      </c>
      <c r="D1030" s="124">
        <v>711.03300000000002</v>
      </c>
      <c r="E1030" s="124">
        <v>706.346</v>
      </c>
      <c r="F1030" s="124">
        <v>107.87990000000001</v>
      </c>
      <c r="G1030" s="124">
        <v>114.7433</v>
      </c>
      <c r="H1030" s="124">
        <v>115.5642</v>
      </c>
      <c r="I1030" s="124">
        <v>113.3235</v>
      </c>
      <c r="J1030" s="134">
        <v>118624593</v>
      </c>
      <c r="K1030" s="134">
        <v>130980733</v>
      </c>
      <c r="L1030" s="124">
        <v>1139.9280000000001</v>
      </c>
      <c r="M1030" s="114">
        <v>0</v>
      </c>
      <c r="N1030" s="135">
        <v>75.2042</v>
      </c>
      <c r="O1030" s="135">
        <v>78.254499999999993</v>
      </c>
      <c r="P1030" s="135">
        <v>79.828000000000003</v>
      </c>
      <c r="Q1030" s="135">
        <v>78.786699999999996</v>
      </c>
      <c r="R1030" s="137">
        <v>1.05</v>
      </c>
      <c r="S1030" s="120">
        <v>0</v>
      </c>
      <c r="T1030" s="120">
        <v>1735949</v>
      </c>
      <c r="U1030" s="120">
        <v>0</v>
      </c>
      <c r="V1030" s="114">
        <f t="shared" si="36"/>
        <v>1735949</v>
      </c>
      <c r="W1030" s="114">
        <f t="shared" si="37"/>
        <v>1735949</v>
      </c>
    </row>
    <row r="1031" spans="1:23">
      <c r="A1031" s="122" t="s">
        <v>777</v>
      </c>
      <c r="B1031" s="124">
        <v>1297.1489999999999</v>
      </c>
      <c r="C1031" s="124">
        <v>1340.2070000000001</v>
      </c>
      <c r="D1031" s="124">
        <v>1313.578</v>
      </c>
      <c r="E1031" s="124">
        <v>1364.4760000000001</v>
      </c>
      <c r="F1031" s="124">
        <v>190.12629999999999</v>
      </c>
      <c r="G1031" s="124">
        <v>196.71019999999999</v>
      </c>
      <c r="H1031" s="124">
        <v>202.1327</v>
      </c>
      <c r="I1031" s="124">
        <v>204.2499</v>
      </c>
      <c r="J1031" s="134">
        <v>268540148</v>
      </c>
      <c r="K1031" s="134">
        <v>290316972</v>
      </c>
      <c r="L1031" s="124">
        <v>1875.6510000000001</v>
      </c>
      <c r="M1031" s="114">
        <v>0</v>
      </c>
      <c r="N1031" s="135">
        <v>124.4736</v>
      </c>
      <c r="O1031" s="135">
        <v>132.9957</v>
      </c>
      <c r="P1031" s="135">
        <v>135.77719999999999</v>
      </c>
      <c r="Q1031" s="135">
        <v>136.79820000000001</v>
      </c>
      <c r="R1031" s="137">
        <v>1.04</v>
      </c>
      <c r="S1031" s="120">
        <v>8319</v>
      </c>
      <c r="T1031" s="120">
        <v>3958968</v>
      </c>
      <c r="U1031" s="120">
        <v>0</v>
      </c>
      <c r="V1031" s="114">
        <f t="shared" ref="V1031:V1039" si="38">T1031+U1031</f>
        <v>3958968</v>
      </c>
      <c r="W1031" s="114">
        <f t="shared" ref="W1031:W1039" si="39">V1031+S1031</f>
        <v>3967287</v>
      </c>
    </row>
    <row r="1032" spans="1:23">
      <c r="A1032" s="122" t="s">
        <v>778</v>
      </c>
      <c r="B1032" s="124">
        <v>1334.184</v>
      </c>
      <c r="C1032" s="124">
        <v>1280.2460000000001</v>
      </c>
      <c r="D1032" s="124">
        <v>1243.059</v>
      </c>
      <c r="E1032" s="124">
        <v>1208.626</v>
      </c>
      <c r="F1032" s="124">
        <v>212.57509999999999</v>
      </c>
      <c r="G1032" s="124">
        <v>207.25909999999999</v>
      </c>
      <c r="H1032" s="124">
        <v>194.67250000000001</v>
      </c>
      <c r="I1032" s="124">
        <v>207.20439999999999</v>
      </c>
      <c r="J1032" s="134">
        <v>1271874154</v>
      </c>
      <c r="K1032" s="134">
        <v>1281239719</v>
      </c>
      <c r="L1032" s="124">
        <v>1733.394</v>
      </c>
      <c r="M1032" s="114">
        <v>0</v>
      </c>
      <c r="N1032" s="135">
        <v>136.8939</v>
      </c>
      <c r="O1032" s="135">
        <v>138.4572</v>
      </c>
      <c r="P1032" s="135">
        <v>135.7304</v>
      </c>
      <c r="Q1032" s="135">
        <v>129.11410000000001</v>
      </c>
      <c r="R1032" s="137">
        <v>1.1100000000000001</v>
      </c>
      <c r="S1032" s="120">
        <v>2080377</v>
      </c>
      <c r="T1032" s="120">
        <v>17961785</v>
      </c>
      <c r="U1032" s="120">
        <v>0</v>
      </c>
      <c r="V1032" s="114">
        <f t="shared" si="38"/>
        <v>17961785</v>
      </c>
      <c r="W1032" s="114">
        <f t="shared" si="39"/>
        <v>20042162</v>
      </c>
    </row>
    <row r="1033" spans="1:23">
      <c r="A1033" s="122" t="s">
        <v>1660</v>
      </c>
      <c r="B1033" s="124">
        <v>548.976</v>
      </c>
      <c r="C1033" s="124">
        <v>509.74</v>
      </c>
      <c r="D1033" s="124">
        <v>494.346</v>
      </c>
      <c r="E1033" s="124">
        <v>462.8</v>
      </c>
      <c r="F1033" s="124">
        <v>89.007499999999993</v>
      </c>
      <c r="G1033" s="124">
        <v>91.635900000000007</v>
      </c>
      <c r="H1033" s="124">
        <v>93.589200000000005</v>
      </c>
      <c r="I1033" s="124">
        <v>92.097700000000003</v>
      </c>
      <c r="J1033" s="134">
        <v>483552025</v>
      </c>
      <c r="K1033" s="134">
        <v>487271046</v>
      </c>
      <c r="L1033" s="124">
        <v>910.26499999999999</v>
      </c>
      <c r="M1033" s="114">
        <v>0</v>
      </c>
      <c r="N1033" s="135">
        <v>60.747199999999999</v>
      </c>
      <c r="O1033" s="135">
        <v>60.920900000000003</v>
      </c>
      <c r="P1033" s="135">
        <v>63.413699999999999</v>
      </c>
      <c r="Q1033" s="135">
        <v>62.6541</v>
      </c>
      <c r="R1033" s="137">
        <v>1.1100000000000001</v>
      </c>
      <c r="S1033" s="120">
        <v>0</v>
      </c>
      <c r="T1033" s="120">
        <v>6812287</v>
      </c>
      <c r="U1033" s="120">
        <v>0</v>
      </c>
      <c r="V1033" s="114">
        <f t="shared" si="38"/>
        <v>6812287</v>
      </c>
      <c r="W1033" s="114">
        <f t="shared" si="39"/>
        <v>6812287</v>
      </c>
    </row>
    <row r="1034" spans="1:23">
      <c r="A1034" s="122" t="s">
        <v>1020</v>
      </c>
      <c r="B1034" s="124">
        <v>2287.9969999999998</v>
      </c>
      <c r="C1034" s="124">
        <v>2254.9630000000002</v>
      </c>
      <c r="D1034" s="124">
        <v>2259.7660000000001</v>
      </c>
      <c r="E1034" s="124">
        <v>2278.2429999999999</v>
      </c>
      <c r="F1034" s="124">
        <v>297.5127</v>
      </c>
      <c r="G1034" s="124">
        <v>280.81330000000003</v>
      </c>
      <c r="H1034" s="124">
        <v>262.69</v>
      </c>
      <c r="I1034" s="124">
        <v>270.6112</v>
      </c>
      <c r="J1034" s="134">
        <v>369059160</v>
      </c>
      <c r="K1034" s="134">
        <v>400931410</v>
      </c>
      <c r="L1034" s="124">
        <v>3125.3580000000002</v>
      </c>
      <c r="M1034" s="114">
        <v>0</v>
      </c>
      <c r="N1034" s="135">
        <v>225.22900000000001</v>
      </c>
      <c r="O1034" s="135">
        <v>211.0155</v>
      </c>
      <c r="P1034" s="135">
        <v>215.0076</v>
      </c>
      <c r="Q1034" s="135">
        <v>225.4008</v>
      </c>
      <c r="R1034" s="137">
        <v>1.0900000000000001</v>
      </c>
      <c r="S1034" s="120">
        <v>280726</v>
      </c>
      <c r="T1034" s="120">
        <v>5394857</v>
      </c>
      <c r="U1034" s="120">
        <v>0</v>
      </c>
      <c r="V1034" s="114">
        <f t="shared" si="38"/>
        <v>5394857</v>
      </c>
      <c r="W1034" s="114">
        <f t="shared" si="39"/>
        <v>5675583</v>
      </c>
    </row>
    <row r="1035" spans="1:23">
      <c r="A1035" s="122" t="s">
        <v>1661</v>
      </c>
      <c r="B1035" s="124">
        <v>185.18</v>
      </c>
      <c r="C1035" s="124">
        <v>162.78</v>
      </c>
      <c r="D1035" s="124">
        <v>181.101</v>
      </c>
      <c r="E1035" s="124">
        <v>183.04400000000001</v>
      </c>
      <c r="F1035" s="124">
        <v>40.17</v>
      </c>
      <c r="G1035" s="124">
        <v>40.874200000000002</v>
      </c>
      <c r="H1035" s="124">
        <v>33.825899999999997</v>
      </c>
      <c r="I1035" s="124">
        <v>37.668399999999998</v>
      </c>
      <c r="J1035" s="134">
        <v>30753672</v>
      </c>
      <c r="K1035" s="134">
        <v>32499994</v>
      </c>
      <c r="L1035" s="124">
        <v>332.459</v>
      </c>
      <c r="M1035" s="114">
        <v>0</v>
      </c>
      <c r="N1035" s="135">
        <v>26.285</v>
      </c>
      <c r="O1035" s="135">
        <v>26.188300000000002</v>
      </c>
      <c r="P1035" s="135">
        <v>21.5198</v>
      </c>
      <c r="Q1035" s="135">
        <v>25.891400000000001</v>
      </c>
      <c r="R1035" s="137">
        <v>1.07</v>
      </c>
      <c r="S1035" s="120">
        <v>0</v>
      </c>
      <c r="T1035" s="120">
        <v>465689</v>
      </c>
      <c r="U1035" s="120">
        <v>0</v>
      </c>
      <c r="V1035" s="114">
        <f t="shared" si="38"/>
        <v>465689</v>
      </c>
      <c r="W1035" s="114">
        <f t="shared" si="39"/>
        <v>465689</v>
      </c>
    </row>
    <row r="1036" spans="1:23">
      <c r="A1036" s="122" t="s">
        <v>1696</v>
      </c>
      <c r="B1036" s="124">
        <v>784.42700000000002</v>
      </c>
      <c r="C1036" s="124">
        <v>752.38699999999994</v>
      </c>
      <c r="D1036" s="124">
        <v>729.66499999999996</v>
      </c>
      <c r="E1036" s="124">
        <v>705.52800000000002</v>
      </c>
      <c r="F1036" s="124">
        <v>135.64240000000001</v>
      </c>
      <c r="G1036" s="124">
        <v>136.0136</v>
      </c>
      <c r="H1036" s="124">
        <v>132.67859999999999</v>
      </c>
      <c r="I1036" s="124">
        <v>129.82689999999999</v>
      </c>
      <c r="J1036" s="134">
        <v>82083798</v>
      </c>
      <c r="K1036" s="134">
        <v>90555448</v>
      </c>
      <c r="L1036" s="124">
        <v>1153.7619999999999</v>
      </c>
      <c r="M1036" s="114">
        <v>0</v>
      </c>
      <c r="N1036" s="135">
        <v>95.965900000000005</v>
      </c>
      <c r="O1036" s="135">
        <v>96.258700000000005</v>
      </c>
      <c r="P1036" s="135">
        <v>89.378</v>
      </c>
      <c r="Q1036" s="135">
        <v>87.192099999999996</v>
      </c>
      <c r="R1036" s="137">
        <v>1.06</v>
      </c>
      <c r="S1036" s="120">
        <v>150078</v>
      </c>
      <c r="T1036" s="120">
        <v>1437011</v>
      </c>
      <c r="U1036" s="120">
        <v>0</v>
      </c>
      <c r="V1036" s="114">
        <f t="shared" si="38"/>
        <v>1437011</v>
      </c>
      <c r="W1036" s="114">
        <f t="shared" si="39"/>
        <v>1587089</v>
      </c>
    </row>
    <row r="1037" spans="1:23">
      <c r="A1037" s="122" t="s">
        <v>556</v>
      </c>
      <c r="B1037" s="124">
        <v>2601.2620000000002</v>
      </c>
      <c r="C1037" s="124">
        <v>2681.96</v>
      </c>
      <c r="D1037" s="124">
        <v>2859.9160000000002</v>
      </c>
      <c r="E1037" s="124">
        <v>2833.2040000000002</v>
      </c>
      <c r="F1037" s="124">
        <v>518.04780000000005</v>
      </c>
      <c r="G1037" s="124">
        <v>524.61199999999997</v>
      </c>
      <c r="H1037" s="124">
        <v>552.45939999999996</v>
      </c>
      <c r="I1037" s="124">
        <v>559.96230000000003</v>
      </c>
      <c r="J1037" s="134">
        <v>1703580745</v>
      </c>
      <c r="K1037" s="134">
        <v>1725154944</v>
      </c>
      <c r="L1037" s="124">
        <v>3905.75</v>
      </c>
      <c r="M1037" s="134">
        <v>2986179</v>
      </c>
      <c r="N1037" s="135">
        <v>282.71429999999998</v>
      </c>
      <c r="O1037" s="135">
        <v>285.62130000000002</v>
      </c>
      <c r="P1037" s="135">
        <v>295.14479999999998</v>
      </c>
      <c r="Q1037" s="135">
        <v>317.017</v>
      </c>
      <c r="R1037" s="137">
        <v>1.1200000000000001</v>
      </c>
      <c r="S1037" s="120">
        <v>1889289</v>
      </c>
      <c r="T1037" s="120">
        <v>25089251</v>
      </c>
      <c r="U1037" s="120">
        <v>0</v>
      </c>
      <c r="V1037" s="114">
        <f t="shared" si="38"/>
        <v>25089251</v>
      </c>
      <c r="W1037" s="114">
        <f t="shared" si="39"/>
        <v>26978540</v>
      </c>
    </row>
    <row r="1038" spans="1:23">
      <c r="A1038" s="122" t="s">
        <v>2760</v>
      </c>
      <c r="B1038" s="124">
        <v>1966.5530000000001</v>
      </c>
      <c r="C1038" s="124">
        <v>1911.4459999999999</v>
      </c>
      <c r="D1038" s="124">
        <v>1903.3409999999999</v>
      </c>
      <c r="E1038" s="124">
        <v>1910.5820000000001</v>
      </c>
      <c r="F1038" s="124">
        <v>341.94619999999998</v>
      </c>
      <c r="G1038" s="124">
        <v>365.16989999999998</v>
      </c>
      <c r="H1038" s="124">
        <v>359.01179999999999</v>
      </c>
      <c r="I1038" s="124">
        <v>359.88630000000001</v>
      </c>
      <c r="J1038" s="134">
        <v>119277695</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 s="120">
        <v>212728</v>
      </c>
      <c r="T1038" s="120">
        <v>1851870</v>
      </c>
      <c r="U1038" s="120">
        <v>0</v>
      </c>
      <c r="V1038" s="114">
        <f t="shared" si="38"/>
        <v>1851870</v>
      </c>
      <c r="W1038" s="114">
        <f t="shared" si="39"/>
        <v>2064598</v>
      </c>
    </row>
    <row r="1039" spans="1:23">
      <c r="A1039" s="122" t="s">
        <v>1901</v>
      </c>
      <c r="B1039" s="124">
        <v>426.81299999999999</v>
      </c>
      <c r="C1039" s="124">
        <v>416.13799999999998</v>
      </c>
      <c r="D1039" s="124">
        <v>416.76</v>
      </c>
      <c r="E1039" s="124">
        <v>422.16899999999998</v>
      </c>
      <c r="F1039" s="124">
        <v>92.128299999999996</v>
      </c>
      <c r="G1039" s="124">
        <v>92.090999999999994</v>
      </c>
      <c r="H1039" s="124">
        <v>89.767399999999995</v>
      </c>
      <c r="I1039" s="124">
        <v>82.8476</v>
      </c>
      <c r="J1039" s="134">
        <v>28913739</v>
      </c>
      <c r="K1039" s="134">
        <v>31608440</v>
      </c>
      <c r="L1039" s="124">
        <v>852.71299999999997</v>
      </c>
      <c r="M1039" s="134">
        <v>14962</v>
      </c>
      <c r="N1039" s="135">
        <v>38.881</v>
      </c>
      <c r="O1039" s="135">
        <v>61.002299999999998</v>
      </c>
      <c r="P1039" s="135">
        <v>53.8767</v>
      </c>
      <c r="Q1039" s="135">
        <v>52.350299999999997</v>
      </c>
      <c r="R1039" s="137">
        <v>1.0900000000000001</v>
      </c>
      <c r="S1039" s="120">
        <v>42123</v>
      </c>
      <c r="T1039" s="120">
        <v>417432</v>
      </c>
      <c r="U1039" s="120">
        <v>0</v>
      </c>
      <c r="V1039" s="114">
        <f t="shared" si="38"/>
        <v>417432</v>
      </c>
      <c r="W1039" s="114">
        <f t="shared" si="39"/>
        <v>459555</v>
      </c>
    </row>
  </sheetData>
  <sheetProtection sheet="1" objects="1" scenarios="1"/>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
  <sheetViews>
    <sheetView workbookViewId="0">
      <selection activeCell="D5" sqref="D5"/>
    </sheetView>
  </sheetViews>
  <sheetFormatPr defaultRowHeight="12.75"/>
  <sheetData>
    <row r="2" spans="1:4">
      <c r="A2" t="s">
        <v>2046</v>
      </c>
      <c r="B2" s="119">
        <f>'Data Entry - SOF'!B2</f>
        <v>0</v>
      </c>
    </row>
    <row r="5" spans="1:4">
      <c r="A5" t="s">
        <v>2047</v>
      </c>
      <c r="D5" s="10" t="e">
        <f>VLOOKUP(B2,'new CEI'!A1:E1039,5,FALSE)</f>
        <v>#N/A</v>
      </c>
    </row>
  </sheetData>
  <sheetProtection sheet="1" objects="1" scenarios="1"/>
  <phoneticPr fontId="25"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1"/>
  <sheetViews>
    <sheetView workbookViewId="0">
      <selection activeCell="F3" sqref="F3:H1030"/>
    </sheetView>
  </sheetViews>
  <sheetFormatPr defaultRowHeight="12.75"/>
  <cols>
    <col min="1" max="1" width="8.28515625" customWidth="1"/>
    <col min="2" max="2" width="23.42578125" customWidth="1"/>
    <col min="3" max="3" width="12.7109375" style="424" customWidth="1"/>
    <col min="5" max="5" width="8.5703125" customWidth="1"/>
  </cols>
  <sheetData>
    <row r="1" spans="1:8">
      <c r="A1" s="72">
        <v>1</v>
      </c>
      <c r="B1" s="72">
        <f>A1+1</f>
        <v>2</v>
      </c>
      <c r="C1" s="424">
        <f>B1+1</f>
        <v>3</v>
      </c>
    </row>
    <row r="2" spans="1:8">
      <c r="C2" s="424" t="s">
        <v>1162</v>
      </c>
    </row>
    <row r="3" spans="1:8">
      <c r="A3" t="s">
        <v>225</v>
      </c>
      <c r="B3" t="s">
        <v>310</v>
      </c>
      <c r="C3" s="134">
        <v>4899</v>
      </c>
      <c r="D3" s="134">
        <v>5555</v>
      </c>
      <c r="E3" s="134">
        <v>5068</v>
      </c>
      <c r="F3" s="934">
        <v>4899</v>
      </c>
      <c r="G3" s="934">
        <v>5555</v>
      </c>
      <c r="H3" s="934">
        <v>5068</v>
      </c>
    </row>
    <row r="4" spans="1:8">
      <c r="A4" t="s">
        <v>2228</v>
      </c>
      <c r="B4" t="s">
        <v>311</v>
      </c>
      <c r="C4" s="134">
        <v>4529</v>
      </c>
      <c r="D4" s="134">
        <v>4599</v>
      </c>
      <c r="E4" s="134">
        <v>4599</v>
      </c>
      <c r="F4" s="934">
        <v>4529</v>
      </c>
      <c r="G4" s="934">
        <v>4599</v>
      </c>
      <c r="H4" s="934">
        <v>4599</v>
      </c>
    </row>
    <row r="5" spans="1:8">
      <c r="A5" t="s">
        <v>15</v>
      </c>
      <c r="B5" t="s">
        <v>312</v>
      </c>
      <c r="C5" s="134">
        <v>4648</v>
      </c>
      <c r="D5" s="134">
        <v>4468</v>
      </c>
      <c r="E5" s="134">
        <v>4563</v>
      </c>
      <c r="F5" s="934">
        <v>4648</v>
      </c>
      <c r="G5" s="934">
        <v>4468</v>
      </c>
      <c r="H5" s="934">
        <v>4563</v>
      </c>
    </row>
    <row r="6" spans="1:8">
      <c r="A6" t="s">
        <v>16</v>
      </c>
      <c r="B6" t="s">
        <v>313</v>
      </c>
      <c r="C6" s="134">
        <v>4554</v>
      </c>
      <c r="D6" s="134">
        <v>4441</v>
      </c>
      <c r="E6" s="134">
        <v>4441</v>
      </c>
      <c r="F6" s="934">
        <v>4554</v>
      </c>
      <c r="G6" s="934">
        <v>4441</v>
      </c>
      <c r="H6" s="934">
        <v>4441</v>
      </c>
    </row>
    <row r="7" spans="1:8">
      <c r="A7" t="s">
        <v>17</v>
      </c>
      <c r="B7" t="s">
        <v>314</v>
      </c>
      <c r="C7" s="134">
        <v>4585</v>
      </c>
      <c r="D7" s="134">
        <v>4675</v>
      </c>
      <c r="E7" s="134">
        <v>4675</v>
      </c>
      <c r="F7" s="934">
        <v>4585</v>
      </c>
      <c r="G7" s="934">
        <v>4675</v>
      </c>
      <c r="H7" s="934">
        <v>4675</v>
      </c>
    </row>
    <row r="8" spans="1:8">
      <c r="A8" t="s">
        <v>1254</v>
      </c>
      <c r="B8" t="s">
        <v>1355</v>
      </c>
      <c r="C8" s="134">
        <v>4214</v>
      </c>
      <c r="D8" s="134">
        <v>4437</v>
      </c>
      <c r="E8" s="134">
        <v>4438</v>
      </c>
      <c r="F8" s="934">
        <v>4214</v>
      </c>
      <c r="G8" s="934">
        <v>4437</v>
      </c>
      <c r="H8" s="934">
        <v>4438</v>
      </c>
    </row>
    <row r="9" spans="1:8">
      <c r="A9" t="s">
        <v>1255</v>
      </c>
      <c r="B9" t="s">
        <v>1356</v>
      </c>
      <c r="C9" s="134">
        <v>4259</v>
      </c>
      <c r="D9" s="134">
        <v>4462</v>
      </c>
      <c r="E9" s="134">
        <v>4437</v>
      </c>
      <c r="F9" s="934">
        <v>4259</v>
      </c>
      <c r="G9" s="934">
        <v>4462</v>
      </c>
      <c r="H9" s="934">
        <v>4437</v>
      </c>
    </row>
    <row r="10" spans="1:8">
      <c r="A10" t="s">
        <v>2102</v>
      </c>
      <c r="B10" t="s">
        <v>1357</v>
      </c>
      <c r="C10" s="134">
        <v>6036</v>
      </c>
      <c r="D10" s="134">
        <v>6236</v>
      </c>
      <c r="E10" s="134">
        <v>6169</v>
      </c>
      <c r="F10" s="934">
        <v>6036</v>
      </c>
      <c r="G10" s="934">
        <v>6236</v>
      </c>
      <c r="H10" s="934">
        <v>6169</v>
      </c>
    </row>
    <row r="11" spans="1:8">
      <c r="A11" t="s">
        <v>774</v>
      </c>
      <c r="B11" t="s">
        <v>2733</v>
      </c>
      <c r="C11" s="134">
        <v>4510</v>
      </c>
      <c r="D11" s="134">
        <v>4524</v>
      </c>
      <c r="E11" s="134">
        <v>4576</v>
      </c>
      <c r="F11" s="934">
        <v>4510</v>
      </c>
      <c r="G11" s="934">
        <v>4524</v>
      </c>
      <c r="H11" s="934">
        <v>4576</v>
      </c>
    </row>
    <row r="12" spans="1:8">
      <c r="A12" t="s">
        <v>1637</v>
      </c>
      <c r="B12" t="s">
        <v>1358</v>
      </c>
      <c r="C12" s="134">
        <v>4592</v>
      </c>
      <c r="D12" s="134">
        <v>4536</v>
      </c>
      <c r="E12" s="134">
        <v>4536</v>
      </c>
      <c r="F12" s="934">
        <v>4592</v>
      </c>
      <c r="G12" s="934">
        <v>4555</v>
      </c>
      <c r="H12" s="934">
        <v>4555</v>
      </c>
    </row>
    <row r="13" spans="1:8">
      <c r="A13" t="s">
        <v>1279</v>
      </c>
      <c r="B13" t="s">
        <v>1438</v>
      </c>
      <c r="C13" s="134">
        <v>4183</v>
      </c>
      <c r="D13" s="134">
        <v>4147</v>
      </c>
      <c r="E13" s="134">
        <v>4147</v>
      </c>
      <c r="F13" s="934">
        <v>4183</v>
      </c>
      <c r="G13" s="934">
        <v>4147</v>
      </c>
      <c r="H13" s="934">
        <v>4147</v>
      </c>
    </row>
    <row r="14" spans="1:8">
      <c r="A14" t="s">
        <v>369</v>
      </c>
      <c r="B14" t="s">
        <v>1359</v>
      </c>
      <c r="C14" s="134">
        <v>4328</v>
      </c>
      <c r="D14" s="134">
        <v>4422</v>
      </c>
      <c r="E14" s="134">
        <v>4422</v>
      </c>
      <c r="F14" s="934">
        <v>4328</v>
      </c>
      <c r="G14" s="934">
        <v>4422</v>
      </c>
      <c r="H14" s="934">
        <v>4422</v>
      </c>
    </row>
    <row r="15" spans="1:8">
      <c r="A15" t="s">
        <v>370</v>
      </c>
      <c r="B15" t="s">
        <v>1360</v>
      </c>
      <c r="C15" s="134">
        <v>4068</v>
      </c>
      <c r="D15" s="134">
        <v>4033</v>
      </c>
      <c r="E15" s="134">
        <v>4081</v>
      </c>
      <c r="F15" s="934">
        <v>4068</v>
      </c>
      <c r="G15" s="934">
        <v>4033</v>
      </c>
      <c r="H15" s="934">
        <v>4081</v>
      </c>
    </row>
    <row r="16" spans="1:8">
      <c r="A16" t="s">
        <v>371</v>
      </c>
      <c r="B16" t="s">
        <v>1361</v>
      </c>
      <c r="C16" s="134">
        <v>4550</v>
      </c>
      <c r="D16" s="134">
        <v>4486</v>
      </c>
      <c r="E16" s="134">
        <v>4486</v>
      </c>
      <c r="F16" s="934">
        <v>4550</v>
      </c>
      <c r="G16" s="934">
        <v>4486</v>
      </c>
      <c r="H16" s="934">
        <v>4486</v>
      </c>
    </row>
    <row r="17" spans="1:8">
      <c r="A17" t="s">
        <v>2839</v>
      </c>
      <c r="B17" t="s">
        <v>1362</v>
      </c>
      <c r="C17" s="134">
        <v>5456</v>
      </c>
      <c r="D17" s="134">
        <v>6090</v>
      </c>
      <c r="E17" s="134">
        <v>6084</v>
      </c>
      <c r="F17" s="934">
        <v>5456</v>
      </c>
      <c r="G17" s="934">
        <v>6090</v>
      </c>
      <c r="H17" s="934">
        <v>6084</v>
      </c>
    </row>
    <row r="18" spans="1:8">
      <c r="A18" t="s">
        <v>2840</v>
      </c>
      <c r="B18" t="s">
        <v>1363</v>
      </c>
      <c r="C18" s="134">
        <v>4370</v>
      </c>
      <c r="D18" s="134">
        <v>4972</v>
      </c>
      <c r="E18" s="134">
        <v>4622</v>
      </c>
      <c r="F18" s="934">
        <v>4370</v>
      </c>
      <c r="G18" s="934">
        <v>4972</v>
      </c>
      <c r="H18" s="934">
        <v>4622</v>
      </c>
    </row>
    <row r="19" spans="1:8">
      <c r="A19" t="s">
        <v>2841</v>
      </c>
      <c r="B19" t="s">
        <v>1364</v>
      </c>
      <c r="C19" s="134">
        <v>4646</v>
      </c>
      <c r="D19" s="134">
        <v>4847</v>
      </c>
      <c r="E19" s="134">
        <v>4796</v>
      </c>
      <c r="F19" s="934">
        <v>4646</v>
      </c>
      <c r="G19" s="934">
        <v>4847</v>
      </c>
      <c r="H19" s="934">
        <v>4796</v>
      </c>
    </row>
    <row r="20" spans="1:8">
      <c r="A20" t="s">
        <v>2219</v>
      </c>
      <c r="B20" t="s">
        <v>1289</v>
      </c>
      <c r="C20" s="134">
        <v>4662</v>
      </c>
      <c r="D20" s="134">
        <v>4729</v>
      </c>
      <c r="E20" s="134">
        <v>4729</v>
      </c>
      <c r="F20" s="934">
        <v>4662</v>
      </c>
      <c r="G20" s="934">
        <v>4729</v>
      </c>
      <c r="H20" s="934">
        <v>4729</v>
      </c>
    </row>
    <row r="21" spans="1:8">
      <c r="A21" t="s">
        <v>2843</v>
      </c>
      <c r="B21" t="s">
        <v>1365</v>
      </c>
      <c r="C21" s="134">
        <v>4661</v>
      </c>
      <c r="D21" s="134">
        <v>4715</v>
      </c>
      <c r="E21" s="134">
        <v>4769</v>
      </c>
      <c r="F21" s="934">
        <v>4661</v>
      </c>
      <c r="G21" s="934">
        <v>4715</v>
      </c>
      <c r="H21" s="934">
        <v>4769</v>
      </c>
    </row>
    <row r="22" spans="1:8">
      <c r="A22" t="s">
        <v>806</v>
      </c>
      <c r="B22" t="s">
        <v>736</v>
      </c>
      <c r="C22" s="134">
        <v>4560</v>
      </c>
      <c r="D22" s="134">
        <v>4495</v>
      </c>
      <c r="E22" s="134">
        <v>4587</v>
      </c>
      <c r="F22" s="934">
        <v>4560</v>
      </c>
      <c r="G22" s="934">
        <v>4495</v>
      </c>
      <c r="H22" s="934">
        <v>4587</v>
      </c>
    </row>
    <row r="23" spans="1:8">
      <c r="A23" t="s">
        <v>2844</v>
      </c>
      <c r="B23" t="s">
        <v>1366</v>
      </c>
      <c r="C23" s="134">
        <v>4566</v>
      </c>
      <c r="D23" s="134">
        <v>4915</v>
      </c>
      <c r="E23" s="134">
        <v>4555</v>
      </c>
      <c r="F23" s="934">
        <v>4566</v>
      </c>
      <c r="G23" s="934">
        <v>4915</v>
      </c>
      <c r="H23" s="934">
        <v>4555</v>
      </c>
    </row>
    <row r="24" spans="1:8">
      <c r="A24" t="s">
        <v>2388</v>
      </c>
      <c r="B24" t="s">
        <v>1367</v>
      </c>
      <c r="C24" s="134">
        <v>4589</v>
      </c>
      <c r="D24" s="134">
        <v>4627</v>
      </c>
      <c r="E24" s="134">
        <v>4627</v>
      </c>
      <c r="F24" s="934">
        <v>4589</v>
      </c>
      <c r="G24" s="934">
        <v>4627</v>
      </c>
      <c r="H24" s="934">
        <v>4627</v>
      </c>
    </row>
    <row r="25" spans="1:8">
      <c r="A25" t="s">
        <v>241</v>
      </c>
      <c r="B25" t="s">
        <v>1128</v>
      </c>
      <c r="C25" s="134">
        <v>4594</v>
      </c>
      <c r="D25" s="134">
        <v>4683</v>
      </c>
      <c r="E25" s="134">
        <v>4683</v>
      </c>
      <c r="F25" s="934">
        <v>4593</v>
      </c>
      <c r="G25" s="934">
        <v>4683</v>
      </c>
      <c r="H25" s="934">
        <v>4683</v>
      </c>
    </row>
    <row r="26" spans="1:8">
      <c r="A26" t="s">
        <v>2447</v>
      </c>
      <c r="B26" t="s">
        <v>1131</v>
      </c>
      <c r="C26" s="134">
        <v>4628</v>
      </c>
      <c r="D26" s="134">
        <v>4743</v>
      </c>
      <c r="E26" s="134">
        <v>4666</v>
      </c>
      <c r="F26" s="934">
        <v>4628</v>
      </c>
      <c r="G26" s="934">
        <v>4743</v>
      </c>
      <c r="H26" s="934">
        <v>4666</v>
      </c>
    </row>
    <row r="27" spans="1:8">
      <c r="A27" t="s">
        <v>2845</v>
      </c>
      <c r="B27" t="s">
        <v>1368</v>
      </c>
      <c r="C27" s="134">
        <v>4968</v>
      </c>
      <c r="D27" s="134">
        <v>5056</v>
      </c>
      <c r="E27" s="134">
        <v>5056</v>
      </c>
      <c r="F27" s="934">
        <v>4968</v>
      </c>
      <c r="G27" s="934">
        <v>5056</v>
      </c>
      <c r="H27" s="934">
        <v>5056</v>
      </c>
    </row>
    <row r="28" spans="1:8">
      <c r="A28" t="s">
        <v>783</v>
      </c>
      <c r="B28" t="s">
        <v>1369</v>
      </c>
      <c r="C28" s="134">
        <v>4800</v>
      </c>
      <c r="D28" s="134">
        <v>4947</v>
      </c>
      <c r="E28" s="134">
        <v>4911</v>
      </c>
      <c r="F28" s="934">
        <v>4800</v>
      </c>
      <c r="G28" s="934">
        <v>4984</v>
      </c>
      <c r="H28" s="934">
        <v>4910</v>
      </c>
    </row>
    <row r="29" spans="1:8">
      <c r="A29" t="s">
        <v>784</v>
      </c>
      <c r="B29" t="s">
        <v>1370</v>
      </c>
      <c r="C29" s="134">
        <v>5119</v>
      </c>
      <c r="D29" s="134">
        <v>4693</v>
      </c>
      <c r="E29" s="134">
        <v>4693</v>
      </c>
      <c r="F29" s="934">
        <v>5118</v>
      </c>
      <c r="G29" s="934">
        <v>4693</v>
      </c>
      <c r="H29" s="934">
        <v>4693</v>
      </c>
    </row>
    <row r="30" spans="1:8">
      <c r="A30" t="s">
        <v>785</v>
      </c>
      <c r="B30" t="s">
        <v>1371</v>
      </c>
      <c r="C30" s="134">
        <v>4665</v>
      </c>
      <c r="D30" s="134">
        <v>4721</v>
      </c>
      <c r="E30" s="134">
        <v>4679</v>
      </c>
      <c r="F30" s="934">
        <v>4665</v>
      </c>
      <c r="G30" s="934">
        <v>4721</v>
      </c>
      <c r="H30" s="934">
        <v>4678</v>
      </c>
    </row>
    <row r="31" spans="1:8">
      <c r="A31" t="s">
        <v>216</v>
      </c>
      <c r="B31" t="s">
        <v>1372</v>
      </c>
      <c r="C31" s="134">
        <v>4506</v>
      </c>
      <c r="D31" s="134">
        <v>4755</v>
      </c>
      <c r="E31" s="134">
        <v>4636</v>
      </c>
      <c r="F31" s="934">
        <v>4506</v>
      </c>
      <c r="G31" s="934">
        <v>4755</v>
      </c>
      <c r="H31" s="934">
        <v>4636</v>
      </c>
    </row>
    <row r="32" spans="1:8">
      <c r="A32" t="s">
        <v>2220</v>
      </c>
      <c r="B32" t="s">
        <v>2431</v>
      </c>
      <c r="C32" s="134">
        <v>4635</v>
      </c>
      <c r="D32" s="134">
        <v>4984</v>
      </c>
      <c r="E32" s="134">
        <v>5144</v>
      </c>
      <c r="F32" s="934">
        <v>4635</v>
      </c>
      <c r="G32" s="934">
        <v>4984</v>
      </c>
      <c r="H32" s="934">
        <v>5144</v>
      </c>
    </row>
    <row r="33" spans="1:8">
      <c r="A33" t="s">
        <v>1896</v>
      </c>
      <c r="B33" t="s">
        <v>2433</v>
      </c>
      <c r="C33" s="134">
        <v>4684</v>
      </c>
      <c r="D33" s="134">
        <v>4776</v>
      </c>
      <c r="E33" s="134">
        <v>4776</v>
      </c>
      <c r="F33" s="934">
        <v>4683</v>
      </c>
      <c r="G33" s="934">
        <v>4776</v>
      </c>
      <c r="H33" s="934">
        <v>4776</v>
      </c>
    </row>
    <row r="34" spans="1:8">
      <c r="A34" t="s">
        <v>876</v>
      </c>
      <c r="B34" t="s">
        <v>1002</v>
      </c>
      <c r="C34" s="134">
        <v>4724</v>
      </c>
      <c r="D34" s="134">
        <v>4691</v>
      </c>
      <c r="E34" s="134">
        <v>4691</v>
      </c>
      <c r="F34" s="934">
        <v>4724</v>
      </c>
      <c r="G34" s="934">
        <v>4691</v>
      </c>
      <c r="H34" s="934">
        <v>4691</v>
      </c>
    </row>
    <row r="35" spans="1:8">
      <c r="A35" t="s">
        <v>2710</v>
      </c>
      <c r="B35" t="s">
        <v>2202</v>
      </c>
      <c r="C35" s="134">
        <v>4718</v>
      </c>
      <c r="D35" s="134">
        <v>4771</v>
      </c>
      <c r="E35" s="134">
        <v>4771</v>
      </c>
      <c r="F35" s="934">
        <v>4718</v>
      </c>
      <c r="G35" s="934">
        <v>4770</v>
      </c>
      <c r="H35" s="934">
        <v>4770</v>
      </c>
    </row>
    <row r="36" spans="1:8">
      <c r="A36" t="s">
        <v>2448</v>
      </c>
      <c r="B36" t="s">
        <v>926</v>
      </c>
      <c r="C36" s="134">
        <v>4944</v>
      </c>
      <c r="D36" s="134">
        <v>4903</v>
      </c>
      <c r="E36" s="134">
        <v>4903</v>
      </c>
      <c r="F36" s="934">
        <v>4944</v>
      </c>
      <c r="G36" s="934">
        <v>4903</v>
      </c>
      <c r="H36" s="934">
        <v>4903</v>
      </c>
    </row>
    <row r="37" spans="1:8">
      <c r="A37" t="s">
        <v>492</v>
      </c>
      <c r="B37" t="s">
        <v>1373</v>
      </c>
      <c r="C37" s="134">
        <v>4825</v>
      </c>
      <c r="D37" s="134">
        <v>4814</v>
      </c>
      <c r="E37" s="134">
        <v>4814</v>
      </c>
      <c r="F37" s="934">
        <v>4825</v>
      </c>
      <c r="G37" s="934">
        <v>4814</v>
      </c>
      <c r="H37" s="934">
        <v>4814</v>
      </c>
    </row>
    <row r="38" spans="1:8">
      <c r="A38" t="s">
        <v>2711</v>
      </c>
      <c r="B38" t="s">
        <v>2434</v>
      </c>
      <c r="C38" s="134">
        <v>4483</v>
      </c>
      <c r="D38" s="134">
        <v>4481</v>
      </c>
      <c r="E38" s="134">
        <v>4481</v>
      </c>
      <c r="F38" s="934">
        <v>4483</v>
      </c>
      <c r="G38" s="934">
        <v>4481</v>
      </c>
      <c r="H38" s="934">
        <v>4481</v>
      </c>
    </row>
    <row r="39" spans="1:8">
      <c r="A39" t="s">
        <v>3048</v>
      </c>
      <c r="B39" t="s">
        <v>1374</v>
      </c>
      <c r="C39" s="134">
        <v>5874</v>
      </c>
      <c r="D39" s="134">
        <v>5283</v>
      </c>
      <c r="E39" s="134">
        <v>6048</v>
      </c>
      <c r="F39" s="934">
        <v>5874</v>
      </c>
      <c r="G39" s="934">
        <v>5304</v>
      </c>
      <c r="H39" s="934">
        <v>6068</v>
      </c>
    </row>
    <row r="40" spans="1:8">
      <c r="A40" t="s">
        <v>3049</v>
      </c>
      <c r="B40" t="s">
        <v>1375</v>
      </c>
      <c r="C40" s="134">
        <v>4660</v>
      </c>
      <c r="D40" s="134">
        <v>4549</v>
      </c>
      <c r="E40" s="134">
        <v>4549</v>
      </c>
      <c r="F40" s="934">
        <v>4660</v>
      </c>
      <c r="G40" s="934">
        <v>4549</v>
      </c>
      <c r="H40" s="934">
        <v>4549</v>
      </c>
    </row>
    <row r="41" spans="1:8">
      <c r="A41" t="s">
        <v>1313</v>
      </c>
      <c r="B41" t="s">
        <v>2089</v>
      </c>
      <c r="C41" s="134">
        <v>4650</v>
      </c>
      <c r="D41" s="134">
        <v>4506</v>
      </c>
      <c r="E41" s="134">
        <v>4506</v>
      </c>
      <c r="F41" s="934">
        <v>4650</v>
      </c>
      <c r="G41" s="934">
        <v>4505</v>
      </c>
      <c r="H41" s="934">
        <v>4505</v>
      </c>
    </row>
    <row r="42" spans="1:8">
      <c r="A42" t="s">
        <v>2449</v>
      </c>
      <c r="B42" t="s">
        <v>1376</v>
      </c>
      <c r="C42" s="134">
        <v>4547</v>
      </c>
      <c r="D42" s="134">
        <v>4631</v>
      </c>
      <c r="E42" s="134">
        <v>4632</v>
      </c>
      <c r="F42" s="934">
        <v>4547</v>
      </c>
      <c r="G42" s="934">
        <v>4631</v>
      </c>
      <c r="H42" s="934">
        <v>4632</v>
      </c>
    </row>
    <row r="43" spans="1:8">
      <c r="A43" t="s">
        <v>1895</v>
      </c>
      <c r="B43" t="s">
        <v>2432</v>
      </c>
      <c r="C43" s="134">
        <v>4456</v>
      </c>
      <c r="D43" s="134">
        <v>4565</v>
      </c>
      <c r="E43" s="134">
        <v>4565</v>
      </c>
      <c r="F43" s="934">
        <v>4456</v>
      </c>
      <c r="G43" s="934">
        <v>4565</v>
      </c>
      <c r="H43" s="934">
        <v>4565</v>
      </c>
    </row>
    <row r="44" spans="1:8">
      <c r="A44" t="s">
        <v>1898</v>
      </c>
      <c r="B44" t="s">
        <v>3079</v>
      </c>
      <c r="C44" s="134">
        <v>4758</v>
      </c>
      <c r="D44" s="134">
        <v>4804</v>
      </c>
      <c r="E44" s="134">
        <v>4804</v>
      </c>
      <c r="F44" s="934">
        <v>4758</v>
      </c>
      <c r="G44" s="934">
        <v>4804</v>
      </c>
      <c r="H44" s="934">
        <v>4804</v>
      </c>
    </row>
    <row r="45" spans="1:8">
      <c r="A45" t="s">
        <v>198</v>
      </c>
      <c r="B45" t="s">
        <v>2728</v>
      </c>
      <c r="C45" s="134">
        <v>4478</v>
      </c>
      <c r="D45" s="134">
        <v>4492</v>
      </c>
      <c r="E45" s="134">
        <v>4564</v>
      </c>
      <c r="F45" s="934">
        <v>4478</v>
      </c>
      <c r="G45" s="934">
        <v>4492</v>
      </c>
      <c r="H45" s="934">
        <v>4564</v>
      </c>
    </row>
    <row r="46" spans="1:8">
      <c r="A46" t="s">
        <v>60</v>
      </c>
      <c r="B46" t="s">
        <v>2878</v>
      </c>
      <c r="C46" s="134">
        <v>4592</v>
      </c>
      <c r="D46" s="134">
        <v>4650</v>
      </c>
      <c r="E46" s="134">
        <v>4667</v>
      </c>
      <c r="F46" s="934">
        <v>4592</v>
      </c>
      <c r="G46" s="934">
        <v>4650</v>
      </c>
      <c r="H46" s="934">
        <v>4667</v>
      </c>
    </row>
    <row r="47" spans="1:8">
      <c r="A47" t="s">
        <v>192</v>
      </c>
      <c r="B47" t="s">
        <v>1582</v>
      </c>
      <c r="C47" s="134">
        <v>4518</v>
      </c>
      <c r="D47" s="134">
        <v>4634</v>
      </c>
      <c r="E47" s="134">
        <v>4627</v>
      </c>
      <c r="F47" s="934">
        <v>4518</v>
      </c>
      <c r="G47" s="934">
        <v>4634</v>
      </c>
      <c r="H47" s="934">
        <v>4627</v>
      </c>
    </row>
    <row r="48" spans="1:8">
      <c r="A48" t="s">
        <v>1487</v>
      </c>
      <c r="B48" t="s">
        <v>2305</v>
      </c>
      <c r="C48" s="134">
        <v>4574</v>
      </c>
      <c r="D48" s="134">
        <v>4862</v>
      </c>
      <c r="E48" s="134">
        <v>5090</v>
      </c>
      <c r="F48" s="934">
        <v>4574</v>
      </c>
      <c r="G48" s="934">
        <v>4862</v>
      </c>
      <c r="H48" s="934">
        <v>5091</v>
      </c>
    </row>
    <row r="49" spans="1:8">
      <c r="A49" t="s">
        <v>1707</v>
      </c>
      <c r="B49" t="s">
        <v>658</v>
      </c>
      <c r="C49" s="134">
        <v>4681</v>
      </c>
      <c r="D49" s="134">
        <v>4675</v>
      </c>
      <c r="E49" s="134">
        <v>4675</v>
      </c>
      <c r="F49" s="934">
        <v>4681</v>
      </c>
      <c r="G49" s="934">
        <v>4675</v>
      </c>
      <c r="H49" s="934">
        <v>4675</v>
      </c>
    </row>
    <row r="50" spans="1:8">
      <c r="A50" t="s">
        <v>1712</v>
      </c>
      <c r="B50" t="s">
        <v>2640</v>
      </c>
      <c r="C50" s="134">
        <v>4444</v>
      </c>
      <c r="D50" s="134">
        <v>4567</v>
      </c>
      <c r="E50" s="134">
        <v>4569</v>
      </c>
      <c r="F50" s="934">
        <v>4444</v>
      </c>
      <c r="G50" s="934">
        <v>4567</v>
      </c>
      <c r="H50" s="934">
        <v>4569</v>
      </c>
    </row>
    <row r="51" spans="1:8">
      <c r="A51" t="s">
        <v>463</v>
      </c>
      <c r="B51" t="s">
        <v>2603</v>
      </c>
      <c r="C51" s="134">
        <v>5484</v>
      </c>
      <c r="D51" s="134">
        <v>5804</v>
      </c>
      <c r="E51" s="134">
        <v>5772</v>
      </c>
      <c r="F51" s="934">
        <v>5484</v>
      </c>
      <c r="G51" s="934">
        <v>5849</v>
      </c>
      <c r="H51" s="934">
        <v>5817</v>
      </c>
    </row>
    <row r="52" spans="1:8">
      <c r="A52" t="s">
        <v>2125</v>
      </c>
      <c r="B52" t="s">
        <v>822</v>
      </c>
      <c r="C52" s="134">
        <v>4551</v>
      </c>
      <c r="D52" s="134">
        <v>4566</v>
      </c>
      <c r="E52" s="134">
        <v>4566</v>
      </c>
      <c r="F52" s="934">
        <v>4551</v>
      </c>
      <c r="G52" s="934">
        <v>4566</v>
      </c>
      <c r="H52" s="934">
        <v>4566</v>
      </c>
    </row>
    <row r="53" spans="1:8">
      <c r="A53" t="s">
        <v>874</v>
      </c>
      <c r="B53" t="s">
        <v>1000</v>
      </c>
      <c r="C53" s="134">
        <v>4589</v>
      </c>
      <c r="D53" s="134">
        <v>4575</v>
      </c>
      <c r="E53" s="134">
        <v>4575</v>
      </c>
      <c r="F53" s="934">
        <v>4589</v>
      </c>
      <c r="G53" s="934">
        <v>4575</v>
      </c>
      <c r="H53" s="934">
        <v>4575</v>
      </c>
    </row>
    <row r="54" spans="1:8">
      <c r="A54" t="s">
        <v>2682</v>
      </c>
      <c r="B54" t="s">
        <v>1174</v>
      </c>
      <c r="C54" s="134"/>
      <c r="D54" s="134"/>
      <c r="E54" s="134"/>
    </row>
    <row r="55" spans="1:8">
      <c r="A55" t="s">
        <v>1489</v>
      </c>
      <c r="B55" t="s">
        <v>2308</v>
      </c>
      <c r="C55" s="134">
        <v>4554</v>
      </c>
      <c r="D55" s="134">
        <v>4693</v>
      </c>
      <c r="E55" s="134">
        <v>4665</v>
      </c>
      <c r="F55" s="934">
        <v>4554</v>
      </c>
      <c r="G55" s="934">
        <v>4701</v>
      </c>
      <c r="H55" s="934">
        <v>4664</v>
      </c>
    </row>
    <row r="56" spans="1:8">
      <c r="A56" t="s">
        <v>1699</v>
      </c>
      <c r="B56" t="s">
        <v>2206</v>
      </c>
      <c r="C56" s="134">
        <v>4603</v>
      </c>
      <c r="D56" s="134">
        <v>4624</v>
      </c>
      <c r="E56" s="134">
        <v>4624</v>
      </c>
      <c r="F56" s="934">
        <v>4603</v>
      </c>
      <c r="G56" s="934">
        <v>4624</v>
      </c>
      <c r="H56" s="934">
        <v>4624</v>
      </c>
    </row>
    <row r="57" spans="1:8">
      <c r="A57" t="s">
        <v>1316</v>
      </c>
      <c r="B57" t="s">
        <v>2205</v>
      </c>
      <c r="C57" s="134">
        <v>4599</v>
      </c>
      <c r="D57" s="134">
        <v>4751</v>
      </c>
      <c r="E57" s="134">
        <v>4751</v>
      </c>
      <c r="F57" s="934">
        <v>4599</v>
      </c>
      <c r="G57" s="934">
        <v>4751</v>
      </c>
      <c r="H57" s="934">
        <v>4751</v>
      </c>
    </row>
    <row r="58" spans="1:8">
      <c r="A58" t="s">
        <v>1587</v>
      </c>
      <c r="B58" t="s">
        <v>2610</v>
      </c>
      <c r="C58" s="134">
        <v>4893</v>
      </c>
      <c r="D58" s="134">
        <v>5350</v>
      </c>
      <c r="E58" s="134">
        <v>5190</v>
      </c>
      <c r="F58" s="934">
        <v>4893</v>
      </c>
      <c r="G58" s="934">
        <v>5350</v>
      </c>
      <c r="H58" s="934">
        <v>5190</v>
      </c>
    </row>
    <row r="59" spans="1:8">
      <c r="A59" t="s">
        <v>871</v>
      </c>
      <c r="B59" t="s">
        <v>1215</v>
      </c>
      <c r="C59" s="134">
        <v>4691</v>
      </c>
      <c r="D59" s="134">
        <v>4877</v>
      </c>
      <c r="E59" s="134">
        <v>4784</v>
      </c>
      <c r="F59" s="934">
        <v>4691</v>
      </c>
      <c r="G59" s="934">
        <v>4877</v>
      </c>
      <c r="H59" s="934">
        <v>4784</v>
      </c>
    </row>
    <row r="60" spans="1:8">
      <c r="A60" t="s">
        <v>807</v>
      </c>
      <c r="B60" t="s">
        <v>2208</v>
      </c>
      <c r="C60" s="134">
        <v>4660</v>
      </c>
      <c r="D60" s="134">
        <v>5015</v>
      </c>
      <c r="E60" s="134">
        <v>4691</v>
      </c>
      <c r="F60" s="934">
        <v>4660</v>
      </c>
      <c r="G60" s="934">
        <v>5015</v>
      </c>
      <c r="H60" s="934">
        <v>4691</v>
      </c>
    </row>
    <row r="61" spans="1:8">
      <c r="A61" t="s">
        <v>2683</v>
      </c>
      <c r="B61" t="s">
        <v>1175</v>
      </c>
      <c r="C61" s="134"/>
      <c r="D61" s="134"/>
      <c r="E61" s="134"/>
    </row>
    <row r="62" spans="1:8">
      <c r="A62" t="s">
        <v>2684</v>
      </c>
      <c r="B62" t="s">
        <v>1176</v>
      </c>
      <c r="C62" s="134"/>
      <c r="D62" s="134"/>
      <c r="E62" s="134"/>
    </row>
    <row r="63" spans="1:8">
      <c r="A63" t="s">
        <v>1589</v>
      </c>
      <c r="B63" t="s">
        <v>2612</v>
      </c>
      <c r="C63" s="134">
        <v>4820</v>
      </c>
      <c r="D63" s="134">
        <v>5055</v>
      </c>
      <c r="E63" s="134">
        <v>4990</v>
      </c>
      <c r="F63" s="934">
        <v>4820</v>
      </c>
      <c r="G63" s="934">
        <v>5057</v>
      </c>
      <c r="H63" s="934">
        <v>4990</v>
      </c>
    </row>
    <row r="64" spans="1:8">
      <c r="A64" t="s">
        <v>53</v>
      </c>
      <c r="B64" t="s">
        <v>448</v>
      </c>
      <c r="C64" s="134">
        <v>4722</v>
      </c>
      <c r="D64" s="134">
        <v>4856</v>
      </c>
      <c r="E64" s="134">
        <v>4784</v>
      </c>
      <c r="F64" s="934">
        <v>4722</v>
      </c>
      <c r="G64" s="934">
        <v>4856</v>
      </c>
      <c r="H64" s="934">
        <v>4784</v>
      </c>
    </row>
    <row r="65" spans="1:8">
      <c r="A65" t="s">
        <v>1700</v>
      </c>
      <c r="B65" t="s">
        <v>2207</v>
      </c>
      <c r="C65" s="134">
        <v>4560</v>
      </c>
      <c r="D65" s="134">
        <v>4555</v>
      </c>
      <c r="E65" s="134">
        <v>4555</v>
      </c>
      <c r="F65" s="934">
        <v>4560</v>
      </c>
      <c r="G65" s="934">
        <v>4597</v>
      </c>
      <c r="H65" s="934">
        <v>4559</v>
      </c>
    </row>
    <row r="66" spans="1:8">
      <c r="A66" t="s">
        <v>1377</v>
      </c>
      <c r="B66" t="s">
        <v>2604</v>
      </c>
      <c r="C66" s="134">
        <v>4799</v>
      </c>
      <c r="D66" s="134">
        <v>5516</v>
      </c>
      <c r="E66" s="134">
        <v>4915</v>
      </c>
      <c r="F66" s="934">
        <v>4799</v>
      </c>
      <c r="G66" s="934">
        <v>5516</v>
      </c>
      <c r="H66" s="934">
        <v>4915</v>
      </c>
    </row>
    <row r="67" spans="1:8">
      <c r="A67" t="s">
        <v>986</v>
      </c>
      <c r="B67" t="s">
        <v>902</v>
      </c>
      <c r="C67" s="134">
        <v>4767</v>
      </c>
      <c r="D67" s="134">
        <v>4971</v>
      </c>
      <c r="E67" s="134">
        <v>5175</v>
      </c>
      <c r="F67" s="934">
        <v>4767</v>
      </c>
      <c r="G67" s="934">
        <v>4971</v>
      </c>
      <c r="H67" s="934">
        <v>5175</v>
      </c>
    </row>
    <row r="68" spans="1:8">
      <c r="A68" t="s">
        <v>1378</v>
      </c>
      <c r="B68" t="s">
        <v>2605</v>
      </c>
      <c r="C68" s="134">
        <v>11895</v>
      </c>
      <c r="D68" s="134">
        <v>11746</v>
      </c>
      <c r="E68" s="134">
        <v>12149</v>
      </c>
      <c r="F68" s="934">
        <v>11895</v>
      </c>
      <c r="G68" s="934">
        <v>11746</v>
      </c>
      <c r="H68" s="934">
        <v>12149</v>
      </c>
    </row>
    <row r="69" spans="1:8">
      <c r="A69" t="s">
        <v>628</v>
      </c>
      <c r="B69" t="s">
        <v>1330</v>
      </c>
      <c r="C69" s="134">
        <v>4225</v>
      </c>
      <c r="D69" s="134">
        <v>4405</v>
      </c>
      <c r="E69" s="134">
        <v>4558</v>
      </c>
      <c r="F69" s="934">
        <v>4225</v>
      </c>
      <c r="G69" s="934">
        <v>4405</v>
      </c>
      <c r="H69" s="934">
        <v>4558</v>
      </c>
    </row>
    <row r="70" spans="1:8">
      <c r="A70" t="s">
        <v>1379</v>
      </c>
      <c r="B70" t="s">
        <v>3081</v>
      </c>
      <c r="C70" s="134">
        <v>4708</v>
      </c>
      <c r="D70" s="134">
        <v>4588</v>
      </c>
      <c r="E70" s="134">
        <v>5096</v>
      </c>
      <c r="F70" s="934">
        <v>4708</v>
      </c>
      <c r="G70" s="934">
        <v>4587</v>
      </c>
      <c r="H70" s="934">
        <v>5096</v>
      </c>
    </row>
    <row r="71" spans="1:8">
      <c r="A71" t="s">
        <v>1273</v>
      </c>
      <c r="B71" t="s">
        <v>3082</v>
      </c>
      <c r="C71" s="134">
        <v>4589</v>
      </c>
      <c r="D71" s="134">
        <v>4569</v>
      </c>
      <c r="E71" s="134">
        <v>4617</v>
      </c>
      <c r="F71" s="934">
        <v>4589</v>
      </c>
      <c r="G71" s="934">
        <v>4569</v>
      </c>
      <c r="H71" s="934">
        <v>4617</v>
      </c>
    </row>
    <row r="72" spans="1:8">
      <c r="A72" t="s">
        <v>1274</v>
      </c>
      <c r="B72" t="s">
        <v>3083</v>
      </c>
      <c r="C72" s="134">
        <v>4674</v>
      </c>
      <c r="D72" s="134">
        <v>4587</v>
      </c>
      <c r="E72" s="134">
        <v>4587</v>
      </c>
      <c r="F72" s="934">
        <v>4674</v>
      </c>
      <c r="G72" s="934">
        <v>4586</v>
      </c>
      <c r="H72" s="934">
        <v>4586</v>
      </c>
    </row>
    <row r="73" spans="1:8">
      <c r="A73" t="s">
        <v>2174</v>
      </c>
      <c r="B73" t="s">
        <v>2304</v>
      </c>
      <c r="C73" s="134">
        <v>4121</v>
      </c>
      <c r="D73" s="134">
        <v>4270</v>
      </c>
      <c r="E73" s="134">
        <v>4213</v>
      </c>
      <c r="F73" s="934">
        <v>4121</v>
      </c>
      <c r="G73" s="934">
        <v>4269</v>
      </c>
      <c r="H73" s="934">
        <v>4213</v>
      </c>
    </row>
    <row r="74" spans="1:8">
      <c r="A74" t="s">
        <v>1846</v>
      </c>
      <c r="B74" t="s">
        <v>3084</v>
      </c>
      <c r="C74" s="134">
        <v>4575</v>
      </c>
      <c r="D74" s="134">
        <v>4612</v>
      </c>
      <c r="E74" s="134">
        <v>4640</v>
      </c>
      <c r="F74" s="934">
        <v>4575</v>
      </c>
      <c r="G74" s="934">
        <v>4612</v>
      </c>
      <c r="H74" s="934">
        <v>4639</v>
      </c>
    </row>
    <row r="75" spans="1:8">
      <c r="A75" t="s">
        <v>1847</v>
      </c>
      <c r="B75" t="s">
        <v>3085</v>
      </c>
      <c r="C75" s="134">
        <v>4768</v>
      </c>
      <c r="D75" s="134">
        <v>4672</v>
      </c>
      <c r="E75" s="134">
        <v>4709</v>
      </c>
      <c r="F75" s="934">
        <v>4768</v>
      </c>
      <c r="G75" s="934">
        <v>4672</v>
      </c>
      <c r="H75" s="934">
        <v>4709</v>
      </c>
    </row>
    <row r="76" spans="1:8">
      <c r="A76" t="s">
        <v>1848</v>
      </c>
      <c r="B76" t="s">
        <v>3086</v>
      </c>
      <c r="C76" s="134">
        <v>4536</v>
      </c>
      <c r="D76" s="134">
        <v>4641</v>
      </c>
      <c r="E76" s="134">
        <v>4724</v>
      </c>
      <c r="F76" s="934">
        <v>4536</v>
      </c>
      <c r="G76" s="934">
        <v>4640</v>
      </c>
      <c r="H76" s="934">
        <v>4724</v>
      </c>
    </row>
    <row r="77" spans="1:8">
      <c r="A77" t="s">
        <v>997</v>
      </c>
      <c r="B77" t="s">
        <v>3063</v>
      </c>
      <c r="C77" s="134">
        <v>4459</v>
      </c>
      <c r="D77" s="134">
        <v>4366</v>
      </c>
      <c r="E77" s="134">
        <v>4366</v>
      </c>
      <c r="F77" s="934">
        <v>4459</v>
      </c>
      <c r="G77" s="934">
        <v>4366</v>
      </c>
      <c r="H77" s="934">
        <v>4366</v>
      </c>
    </row>
    <row r="78" spans="1:8">
      <c r="A78" t="s">
        <v>808</v>
      </c>
      <c r="B78" t="s">
        <v>2730</v>
      </c>
      <c r="C78" s="134">
        <v>4530</v>
      </c>
      <c r="D78" s="134">
        <v>5098</v>
      </c>
      <c r="E78" s="134">
        <v>4995</v>
      </c>
      <c r="F78" s="934">
        <v>4530</v>
      </c>
      <c r="G78" s="934">
        <v>5098</v>
      </c>
      <c r="H78" s="934">
        <v>4995</v>
      </c>
    </row>
    <row r="79" spans="1:8">
      <c r="A79" t="s">
        <v>2450</v>
      </c>
      <c r="B79" t="s">
        <v>2361</v>
      </c>
      <c r="C79" s="134">
        <v>4290</v>
      </c>
      <c r="D79" s="134">
        <v>4400</v>
      </c>
      <c r="E79" s="134">
        <v>4366</v>
      </c>
      <c r="F79" s="934">
        <v>4290</v>
      </c>
      <c r="G79" s="934">
        <v>4400</v>
      </c>
      <c r="H79" s="934">
        <v>4366</v>
      </c>
    </row>
    <row r="80" spans="1:8">
      <c r="A80" t="s">
        <v>3034</v>
      </c>
      <c r="B80" t="s">
        <v>1578</v>
      </c>
      <c r="C80" s="134">
        <v>4532</v>
      </c>
      <c r="D80" s="134">
        <v>4578</v>
      </c>
      <c r="E80" s="134">
        <v>4636</v>
      </c>
      <c r="F80" s="934">
        <v>4532</v>
      </c>
      <c r="G80" s="934">
        <v>4578</v>
      </c>
      <c r="H80" s="934">
        <v>4636</v>
      </c>
    </row>
    <row r="81" spans="1:8">
      <c r="A81" t="s">
        <v>1252</v>
      </c>
      <c r="B81" t="s">
        <v>1579</v>
      </c>
      <c r="C81" s="134">
        <v>4419</v>
      </c>
      <c r="D81" s="134">
        <v>4492</v>
      </c>
      <c r="E81" s="134">
        <v>4526</v>
      </c>
      <c r="F81" s="934">
        <v>4419</v>
      </c>
      <c r="G81" s="934">
        <v>4492</v>
      </c>
      <c r="H81" s="934">
        <v>4526</v>
      </c>
    </row>
    <row r="82" spans="1:8">
      <c r="A82" t="s">
        <v>1253</v>
      </c>
      <c r="B82" t="s">
        <v>1580</v>
      </c>
      <c r="C82" s="134">
        <v>4561</v>
      </c>
      <c r="D82" s="134">
        <v>4757</v>
      </c>
      <c r="E82" s="134">
        <v>4668</v>
      </c>
      <c r="F82" s="934">
        <v>4561</v>
      </c>
      <c r="G82" s="934">
        <v>4757</v>
      </c>
      <c r="H82" s="934">
        <v>4668</v>
      </c>
    </row>
    <row r="83" spans="1:8">
      <c r="A83" t="s">
        <v>1285</v>
      </c>
      <c r="B83" t="s">
        <v>2846</v>
      </c>
      <c r="C83" s="134">
        <v>4422</v>
      </c>
      <c r="D83" s="134">
        <v>4458</v>
      </c>
      <c r="E83" s="134">
        <v>4478</v>
      </c>
      <c r="F83" s="934">
        <v>4422</v>
      </c>
      <c r="G83" s="934">
        <v>4458</v>
      </c>
      <c r="H83" s="934">
        <v>4478</v>
      </c>
    </row>
    <row r="84" spans="1:8">
      <c r="A84" t="s">
        <v>2451</v>
      </c>
      <c r="B84" t="s">
        <v>295</v>
      </c>
      <c r="C84" s="134">
        <v>4478</v>
      </c>
      <c r="D84" s="134">
        <v>4859</v>
      </c>
      <c r="E84" s="134">
        <v>4656</v>
      </c>
      <c r="F84" s="934">
        <v>4478</v>
      </c>
      <c r="G84" s="934">
        <v>4859</v>
      </c>
      <c r="H84" s="934">
        <v>4656</v>
      </c>
    </row>
    <row r="85" spans="1:8">
      <c r="A85" t="s">
        <v>1110</v>
      </c>
      <c r="B85" t="s">
        <v>320</v>
      </c>
      <c r="C85" s="134">
        <v>4445</v>
      </c>
      <c r="D85" s="134">
        <v>4391</v>
      </c>
      <c r="E85" s="134">
        <v>4445</v>
      </c>
      <c r="F85" s="934">
        <v>4445</v>
      </c>
      <c r="G85" s="934">
        <v>4391</v>
      </c>
      <c r="H85" s="934">
        <v>4445</v>
      </c>
    </row>
    <row r="86" spans="1:8">
      <c r="A86" t="s">
        <v>953</v>
      </c>
      <c r="B86" t="s">
        <v>2847</v>
      </c>
      <c r="C86" s="134">
        <v>3394</v>
      </c>
      <c r="D86" s="134">
        <v>3525</v>
      </c>
      <c r="E86" s="134">
        <v>3657</v>
      </c>
      <c r="F86" s="934">
        <v>3394</v>
      </c>
      <c r="G86" s="934">
        <v>3525</v>
      </c>
      <c r="H86" s="934">
        <v>3657</v>
      </c>
    </row>
    <row r="87" spans="1:8">
      <c r="A87" t="s">
        <v>1286</v>
      </c>
      <c r="B87" t="s">
        <v>2848</v>
      </c>
      <c r="C87" s="134">
        <v>4589</v>
      </c>
      <c r="D87" s="134">
        <v>4998</v>
      </c>
      <c r="E87" s="134">
        <v>4873</v>
      </c>
      <c r="F87" s="934">
        <v>4589</v>
      </c>
      <c r="G87" s="934">
        <v>4998</v>
      </c>
      <c r="H87" s="934">
        <v>4872</v>
      </c>
    </row>
    <row r="88" spans="1:8">
      <c r="A88" t="s">
        <v>1287</v>
      </c>
      <c r="B88" t="s">
        <v>2732</v>
      </c>
      <c r="C88" s="134">
        <v>4510</v>
      </c>
      <c r="D88" s="134">
        <v>4464</v>
      </c>
      <c r="E88" s="134">
        <v>4499</v>
      </c>
      <c r="F88" s="934">
        <v>4510</v>
      </c>
      <c r="G88" s="934">
        <v>4464</v>
      </c>
      <c r="H88" s="934">
        <v>4499</v>
      </c>
    </row>
    <row r="89" spans="1:8">
      <c r="A89" t="s">
        <v>954</v>
      </c>
      <c r="B89" t="s">
        <v>2849</v>
      </c>
      <c r="C89" s="134">
        <v>4493</v>
      </c>
      <c r="D89" s="134">
        <v>4275</v>
      </c>
      <c r="E89" s="134">
        <v>4478</v>
      </c>
      <c r="F89" s="934">
        <v>4493</v>
      </c>
      <c r="G89" s="934">
        <v>4275</v>
      </c>
      <c r="H89" s="934">
        <v>4478</v>
      </c>
    </row>
    <row r="90" spans="1:8">
      <c r="A90" t="s">
        <v>207</v>
      </c>
      <c r="B90" t="s">
        <v>1202</v>
      </c>
      <c r="C90" s="134">
        <v>5050</v>
      </c>
      <c r="D90" s="134">
        <v>5120</v>
      </c>
      <c r="E90" s="134">
        <v>5230</v>
      </c>
      <c r="F90" s="934">
        <v>4702</v>
      </c>
      <c r="G90" s="934">
        <v>4595</v>
      </c>
      <c r="H90" s="934">
        <v>4706</v>
      </c>
    </row>
    <row r="91" spans="1:8">
      <c r="A91" t="s">
        <v>1035</v>
      </c>
      <c r="B91" t="s">
        <v>2850</v>
      </c>
      <c r="C91" s="134">
        <v>4422</v>
      </c>
      <c r="D91" s="134">
        <v>4908</v>
      </c>
      <c r="E91" s="134">
        <v>4574</v>
      </c>
      <c r="F91" s="934">
        <v>4422</v>
      </c>
      <c r="G91" s="934">
        <v>4908</v>
      </c>
      <c r="H91" s="934">
        <v>4574</v>
      </c>
    </row>
    <row r="92" spans="1:8">
      <c r="A92" t="s">
        <v>809</v>
      </c>
      <c r="B92" t="s">
        <v>3059</v>
      </c>
      <c r="C92" s="134">
        <v>4523</v>
      </c>
      <c r="D92" s="134">
        <v>4763</v>
      </c>
      <c r="E92" s="134">
        <v>4619</v>
      </c>
      <c r="F92" s="934">
        <v>4523</v>
      </c>
      <c r="G92" s="934">
        <v>4763</v>
      </c>
      <c r="H92" s="934">
        <v>4619</v>
      </c>
    </row>
    <row r="93" spans="1:8">
      <c r="A93" t="s">
        <v>1321</v>
      </c>
      <c r="B93" t="s">
        <v>2851</v>
      </c>
      <c r="C93" s="134">
        <v>4581</v>
      </c>
      <c r="D93" s="134">
        <v>4786</v>
      </c>
      <c r="E93" s="134">
        <v>4607</v>
      </c>
      <c r="F93" s="934">
        <v>4581</v>
      </c>
      <c r="G93" s="934">
        <v>4786</v>
      </c>
      <c r="H93" s="934">
        <v>4607</v>
      </c>
    </row>
    <row r="94" spans="1:8">
      <c r="A94" t="s">
        <v>1322</v>
      </c>
      <c r="B94" t="s">
        <v>2852</v>
      </c>
      <c r="C94" s="134">
        <v>5062</v>
      </c>
      <c r="D94" s="134">
        <v>5433</v>
      </c>
      <c r="E94" s="134">
        <v>5131</v>
      </c>
      <c r="F94" s="934">
        <v>5062</v>
      </c>
      <c r="G94" s="934">
        <v>5433</v>
      </c>
      <c r="H94" s="934">
        <v>5131</v>
      </c>
    </row>
    <row r="95" spans="1:8">
      <c r="A95" t="s">
        <v>1616</v>
      </c>
      <c r="B95" t="s">
        <v>1741</v>
      </c>
      <c r="C95" s="134">
        <v>4577</v>
      </c>
      <c r="D95" s="134">
        <v>4618</v>
      </c>
      <c r="E95" s="134">
        <v>4618</v>
      </c>
      <c r="F95" s="934">
        <v>4576</v>
      </c>
      <c r="G95" s="934">
        <v>4618</v>
      </c>
      <c r="H95" s="934">
        <v>4618</v>
      </c>
    </row>
    <row r="96" spans="1:8">
      <c r="A96" t="s">
        <v>235</v>
      </c>
      <c r="B96" t="s">
        <v>303</v>
      </c>
      <c r="C96" s="134">
        <v>4854</v>
      </c>
      <c r="D96" s="134">
        <v>4891</v>
      </c>
      <c r="E96" s="134">
        <v>4891</v>
      </c>
      <c r="F96" s="934">
        <v>4854</v>
      </c>
      <c r="G96" s="934">
        <v>4891</v>
      </c>
      <c r="H96" s="934">
        <v>4891</v>
      </c>
    </row>
    <row r="97" spans="1:8">
      <c r="A97" t="s">
        <v>1323</v>
      </c>
      <c r="B97" t="s">
        <v>2853</v>
      </c>
      <c r="C97" s="134">
        <v>4690</v>
      </c>
      <c r="D97" s="134">
        <v>4666</v>
      </c>
      <c r="E97" s="134">
        <v>4781</v>
      </c>
      <c r="F97" s="934">
        <v>4689</v>
      </c>
      <c r="G97" s="934">
        <v>4666</v>
      </c>
      <c r="H97" s="934">
        <v>4781</v>
      </c>
    </row>
    <row r="98" spans="1:8">
      <c r="A98" t="s">
        <v>631</v>
      </c>
      <c r="B98" t="s">
        <v>1334</v>
      </c>
      <c r="C98" s="134">
        <v>5501</v>
      </c>
      <c r="D98" s="134">
        <v>5609</v>
      </c>
      <c r="E98" s="134">
        <v>5609</v>
      </c>
      <c r="F98" s="934">
        <v>5501</v>
      </c>
      <c r="G98" s="934">
        <v>5609</v>
      </c>
      <c r="H98" s="934">
        <v>5609</v>
      </c>
    </row>
    <row r="99" spans="1:8">
      <c r="A99" t="s">
        <v>994</v>
      </c>
      <c r="B99" t="s">
        <v>3032</v>
      </c>
      <c r="C99" s="134">
        <v>4703</v>
      </c>
      <c r="D99" s="134">
        <v>4842</v>
      </c>
      <c r="E99" s="134">
        <v>4842</v>
      </c>
      <c r="F99" s="934">
        <v>4703</v>
      </c>
      <c r="G99" s="934">
        <v>4842</v>
      </c>
      <c r="H99" s="934">
        <v>4842</v>
      </c>
    </row>
    <row r="100" spans="1:8">
      <c r="A100" t="s">
        <v>2918</v>
      </c>
      <c r="B100" t="s">
        <v>2854</v>
      </c>
      <c r="C100" s="134">
        <v>4630</v>
      </c>
      <c r="D100" s="134">
        <v>4728</v>
      </c>
      <c r="E100" s="134">
        <v>4582</v>
      </c>
      <c r="F100" s="934">
        <v>4630</v>
      </c>
      <c r="G100" s="934">
        <v>4728</v>
      </c>
      <c r="H100" s="934">
        <v>4582</v>
      </c>
    </row>
    <row r="101" spans="1:8">
      <c r="A101" t="s">
        <v>440</v>
      </c>
      <c r="B101" t="s">
        <v>2855</v>
      </c>
      <c r="C101" s="134">
        <v>4523</v>
      </c>
      <c r="D101" s="134">
        <v>4897</v>
      </c>
      <c r="E101" s="134">
        <v>4782</v>
      </c>
      <c r="F101" s="934">
        <v>4523</v>
      </c>
      <c r="G101" s="934">
        <v>4897</v>
      </c>
      <c r="H101" s="934">
        <v>4782</v>
      </c>
    </row>
    <row r="102" spans="1:8">
      <c r="A102" t="s">
        <v>441</v>
      </c>
      <c r="B102" t="s">
        <v>1786</v>
      </c>
      <c r="C102" s="134">
        <v>4608</v>
      </c>
      <c r="D102" s="134">
        <v>4676</v>
      </c>
      <c r="E102" s="134">
        <v>4671</v>
      </c>
      <c r="F102" s="934">
        <v>4608</v>
      </c>
      <c r="G102" s="934">
        <v>4676</v>
      </c>
      <c r="H102" s="934">
        <v>4671</v>
      </c>
    </row>
    <row r="103" spans="1:8">
      <c r="A103" t="s">
        <v>442</v>
      </c>
      <c r="B103" t="s">
        <v>1787</v>
      </c>
      <c r="C103" s="134">
        <v>3753</v>
      </c>
      <c r="D103" s="134">
        <v>4353</v>
      </c>
      <c r="E103" s="134">
        <v>4153</v>
      </c>
      <c r="F103" s="934">
        <v>3753</v>
      </c>
      <c r="G103" s="934">
        <v>4353</v>
      </c>
      <c r="H103" s="934">
        <v>4153</v>
      </c>
    </row>
    <row r="104" spans="1:8">
      <c r="A104" t="s">
        <v>443</v>
      </c>
      <c r="B104" t="s">
        <v>1788</v>
      </c>
      <c r="C104" s="134">
        <v>4699</v>
      </c>
      <c r="D104" s="134">
        <v>4602</v>
      </c>
      <c r="E104" s="134">
        <v>4781</v>
      </c>
      <c r="F104" s="934">
        <v>4699</v>
      </c>
      <c r="G104" s="934">
        <v>4602</v>
      </c>
      <c r="H104" s="934">
        <v>4781</v>
      </c>
    </row>
    <row r="105" spans="1:8">
      <c r="A105" t="s">
        <v>745</v>
      </c>
      <c r="B105" t="s">
        <v>1789</v>
      </c>
      <c r="C105" s="134">
        <v>5422</v>
      </c>
      <c r="D105" s="134">
        <v>6050</v>
      </c>
      <c r="E105" s="134">
        <v>5598</v>
      </c>
      <c r="F105" s="934">
        <v>5422</v>
      </c>
      <c r="G105" s="934">
        <v>6050</v>
      </c>
      <c r="H105" s="934">
        <v>5598</v>
      </c>
    </row>
    <row r="106" spans="1:8">
      <c r="A106" t="s">
        <v>746</v>
      </c>
      <c r="B106" t="s">
        <v>1790</v>
      </c>
      <c r="C106" s="134">
        <v>4478</v>
      </c>
      <c r="D106" s="134">
        <v>4500</v>
      </c>
      <c r="E106" s="134">
        <v>4583</v>
      </c>
      <c r="F106" s="934">
        <v>4478</v>
      </c>
      <c r="G106" s="934">
        <v>4500</v>
      </c>
      <c r="H106" s="934">
        <v>4583</v>
      </c>
    </row>
    <row r="107" spans="1:8">
      <c r="A107" t="s">
        <v>747</v>
      </c>
      <c r="B107" t="s">
        <v>1791</v>
      </c>
      <c r="C107" s="134">
        <v>4517</v>
      </c>
      <c r="D107" s="134">
        <v>4714</v>
      </c>
      <c r="E107" s="134">
        <v>4735</v>
      </c>
      <c r="F107" s="934">
        <v>4517</v>
      </c>
      <c r="G107" s="934">
        <v>4714</v>
      </c>
      <c r="H107" s="934">
        <v>4735</v>
      </c>
    </row>
    <row r="108" spans="1:8">
      <c r="A108" t="s">
        <v>988</v>
      </c>
      <c r="B108" t="s">
        <v>1519</v>
      </c>
      <c r="C108" s="134">
        <v>4851</v>
      </c>
      <c r="D108" s="134">
        <v>5009</v>
      </c>
      <c r="E108" s="134">
        <v>4992</v>
      </c>
      <c r="F108" s="934">
        <v>4851</v>
      </c>
      <c r="G108" s="934">
        <v>5009</v>
      </c>
      <c r="H108" s="934">
        <v>4992</v>
      </c>
    </row>
    <row r="109" spans="1:8">
      <c r="A109" t="s">
        <v>2893</v>
      </c>
      <c r="B109" t="s">
        <v>2362</v>
      </c>
      <c r="C109" s="134">
        <v>4392</v>
      </c>
      <c r="D109" s="134">
        <v>4751</v>
      </c>
      <c r="E109" s="134">
        <v>4655</v>
      </c>
      <c r="F109" s="934">
        <v>4392</v>
      </c>
      <c r="G109" s="934">
        <v>4751</v>
      </c>
      <c r="H109" s="934">
        <v>4655</v>
      </c>
    </row>
    <row r="110" spans="1:8">
      <c r="A110" t="s">
        <v>1354</v>
      </c>
      <c r="B110" t="s">
        <v>3074</v>
      </c>
      <c r="C110" s="134">
        <v>4169</v>
      </c>
      <c r="D110" s="134">
        <v>4223</v>
      </c>
      <c r="E110" s="134">
        <v>4228</v>
      </c>
      <c r="F110" s="934">
        <v>4169</v>
      </c>
      <c r="G110" s="934">
        <v>4223</v>
      </c>
      <c r="H110" s="934">
        <v>4228</v>
      </c>
    </row>
    <row r="111" spans="1:8">
      <c r="A111" t="s">
        <v>810</v>
      </c>
      <c r="B111" t="s">
        <v>2770</v>
      </c>
      <c r="C111" s="134">
        <v>4677</v>
      </c>
      <c r="D111" s="134">
        <v>4673</v>
      </c>
      <c r="E111" s="134">
        <v>4669</v>
      </c>
      <c r="F111" s="934">
        <v>4677</v>
      </c>
      <c r="G111" s="934">
        <v>4673</v>
      </c>
      <c r="H111" s="934">
        <v>4669</v>
      </c>
    </row>
    <row r="112" spans="1:8">
      <c r="A112" t="s">
        <v>872</v>
      </c>
      <c r="B112" t="s">
        <v>1214</v>
      </c>
      <c r="C112" s="134">
        <v>4608</v>
      </c>
      <c r="D112" s="134">
        <v>4780</v>
      </c>
      <c r="E112" s="134">
        <v>4786</v>
      </c>
      <c r="F112" s="934">
        <v>4608</v>
      </c>
      <c r="G112" s="934">
        <v>4780</v>
      </c>
      <c r="H112" s="934">
        <v>4786</v>
      </c>
    </row>
    <row r="113" spans="1:8">
      <c r="A113" t="s">
        <v>748</v>
      </c>
      <c r="B113" t="s">
        <v>1792</v>
      </c>
      <c r="C113" s="134">
        <v>5081</v>
      </c>
      <c r="D113" s="134">
        <v>5187</v>
      </c>
      <c r="E113" s="134">
        <v>5137</v>
      </c>
      <c r="F113" s="934">
        <v>5081</v>
      </c>
      <c r="G113" s="934">
        <v>5187</v>
      </c>
      <c r="H113" s="934">
        <v>5137</v>
      </c>
    </row>
    <row r="114" spans="1:8">
      <c r="A114" t="s">
        <v>749</v>
      </c>
      <c r="B114" t="s">
        <v>1793</v>
      </c>
      <c r="C114" s="134">
        <v>4831</v>
      </c>
      <c r="D114" s="134">
        <v>4828</v>
      </c>
      <c r="E114" s="134">
        <v>4828</v>
      </c>
      <c r="F114" s="934">
        <v>4831</v>
      </c>
      <c r="G114" s="934">
        <v>4828</v>
      </c>
      <c r="H114" s="934">
        <v>4828</v>
      </c>
    </row>
    <row r="115" spans="1:8">
      <c r="A115" t="s">
        <v>750</v>
      </c>
      <c r="B115" t="s">
        <v>1794</v>
      </c>
      <c r="C115" s="134">
        <v>4699</v>
      </c>
      <c r="D115" s="134">
        <v>4972</v>
      </c>
      <c r="E115" s="134">
        <v>4924</v>
      </c>
      <c r="F115" s="934">
        <v>4699</v>
      </c>
      <c r="G115" s="934">
        <v>4972</v>
      </c>
      <c r="H115" s="934">
        <v>4924</v>
      </c>
    </row>
    <row r="116" spans="1:8">
      <c r="A116" t="s">
        <v>2154</v>
      </c>
      <c r="B116" t="s">
        <v>154</v>
      </c>
      <c r="C116" s="134">
        <v>4954</v>
      </c>
      <c r="D116" s="134">
        <v>5050</v>
      </c>
      <c r="E116" s="134">
        <v>5121</v>
      </c>
      <c r="F116" s="934">
        <v>4954</v>
      </c>
      <c r="G116" s="934">
        <v>5050</v>
      </c>
      <c r="H116" s="934">
        <v>5121</v>
      </c>
    </row>
    <row r="117" spans="1:8">
      <c r="A117" t="s">
        <v>380</v>
      </c>
      <c r="B117" t="s">
        <v>322</v>
      </c>
      <c r="C117" s="134">
        <v>5358</v>
      </c>
      <c r="D117" s="134">
        <v>5589</v>
      </c>
      <c r="E117" s="134">
        <v>5624</v>
      </c>
      <c r="F117" s="934">
        <v>5358</v>
      </c>
      <c r="G117" s="934">
        <v>5589</v>
      </c>
      <c r="H117" s="934">
        <v>5624</v>
      </c>
    </row>
    <row r="118" spans="1:8">
      <c r="A118" t="s">
        <v>497</v>
      </c>
      <c r="B118" t="s">
        <v>2546</v>
      </c>
      <c r="C118" s="134">
        <v>4636</v>
      </c>
      <c r="D118" s="134">
        <v>4854</v>
      </c>
      <c r="E118" s="134">
        <v>4808</v>
      </c>
      <c r="F118" s="934">
        <v>4636</v>
      </c>
      <c r="G118" s="934">
        <v>4862</v>
      </c>
      <c r="H118" s="934">
        <v>4816</v>
      </c>
    </row>
    <row r="119" spans="1:8">
      <c r="A119" t="s">
        <v>1318</v>
      </c>
      <c r="B119" t="s">
        <v>948</v>
      </c>
      <c r="C119" s="134">
        <v>4301</v>
      </c>
      <c r="D119" s="134">
        <v>4595</v>
      </c>
      <c r="E119" s="134">
        <v>4473</v>
      </c>
      <c r="F119" s="934">
        <v>4301</v>
      </c>
      <c r="G119" s="934">
        <v>4595</v>
      </c>
      <c r="H119" s="934">
        <v>4473</v>
      </c>
    </row>
    <row r="120" spans="1:8">
      <c r="A120" t="s">
        <v>2631</v>
      </c>
      <c r="B120" t="s">
        <v>1795</v>
      </c>
      <c r="C120" s="134">
        <v>4604</v>
      </c>
      <c r="D120" s="134">
        <v>4310</v>
      </c>
      <c r="E120" s="134">
        <v>4831</v>
      </c>
      <c r="F120" s="934">
        <v>4604</v>
      </c>
      <c r="G120" s="934">
        <v>4310</v>
      </c>
      <c r="H120" s="934">
        <v>4831</v>
      </c>
    </row>
    <row r="121" spans="1:8">
      <c r="A121" t="s">
        <v>1535</v>
      </c>
      <c r="B121" t="s">
        <v>1177</v>
      </c>
      <c r="C121" s="134">
        <v>4834</v>
      </c>
      <c r="D121" s="134">
        <v>5049</v>
      </c>
      <c r="E121" s="134">
        <v>4906</v>
      </c>
      <c r="F121" s="934">
        <v>4834</v>
      </c>
      <c r="G121" s="934">
        <v>5049</v>
      </c>
      <c r="H121" s="934">
        <v>4906</v>
      </c>
    </row>
    <row r="122" spans="1:8">
      <c r="A122" t="s">
        <v>2671</v>
      </c>
      <c r="B122" t="s">
        <v>1797</v>
      </c>
      <c r="C122" s="134">
        <v>4290</v>
      </c>
      <c r="D122" s="134">
        <v>4211</v>
      </c>
      <c r="E122" s="134">
        <v>4469</v>
      </c>
      <c r="F122" s="934">
        <v>4290</v>
      </c>
      <c r="G122" s="934">
        <v>4211</v>
      </c>
      <c r="H122" s="934">
        <v>4469</v>
      </c>
    </row>
    <row r="123" spans="1:8">
      <c r="A123" t="s">
        <v>811</v>
      </c>
      <c r="B123" t="s">
        <v>38</v>
      </c>
      <c r="C123" s="134">
        <v>4537</v>
      </c>
      <c r="D123" s="134">
        <v>4598</v>
      </c>
      <c r="E123" s="134">
        <v>4598</v>
      </c>
      <c r="F123" s="934">
        <v>4537</v>
      </c>
      <c r="G123" s="934">
        <v>4598</v>
      </c>
      <c r="H123" s="934">
        <v>4598</v>
      </c>
    </row>
    <row r="124" spans="1:8">
      <c r="A124" t="s">
        <v>171</v>
      </c>
      <c r="B124" t="s">
        <v>1798</v>
      </c>
      <c r="C124" s="134">
        <v>4397</v>
      </c>
      <c r="D124" s="134">
        <v>4370</v>
      </c>
      <c r="E124" s="134">
        <v>4455</v>
      </c>
      <c r="F124" s="934">
        <v>4397</v>
      </c>
      <c r="G124" s="934">
        <v>4369</v>
      </c>
      <c r="H124" s="934">
        <v>4455</v>
      </c>
    </row>
    <row r="125" spans="1:8">
      <c r="A125" t="s">
        <v>2090</v>
      </c>
      <c r="B125" t="s">
        <v>1799</v>
      </c>
      <c r="C125" s="134">
        <v>4552</v>
      </c>
      <c r="D125" s="134">
        <v>4720</v>
      </c>
      <c r="E125" s="134">
        <v>4720</v>
      </c>
      <c r="F125" s="934">
        <v>4552</v>
      </c>
      <c r="G125" s="934">
        <v>4720</v>
      </c>
      <c r="H125" s="934">
        <v>4720</v>
      </c>
    </row>
    <row r="126" spans="1:8">
      <c r="A126" t="s">
        <v>993</v>
      </c>
      <c r="B126" t="s">
        <v>3031</v>
      </c>
      <c r="C126" s="134">
        <v>4570</v>
      </c>
      <c r="D126" s="134">
        <v>4622</v>
      </c>
      <c r="E126" s="134">
        <v>4598</v>
      </c>
      <c r="F126" s="934">
        <v>4570</v>
      </c>
      <c r="G126" s="934">
        <v>4622</v>
      </c>
      <c r="H126" s="934">
        <v>4598</v>
      </c>
    </row>
    <row r="127" spans="1:8">
      <c r="A127" t="s">
        <v>2126</v>
      </c>
      <c r="B127" t="s">
        <v>41</v>
      </c>
      <c r="C127" s="134">
        <v>4599</v>
      </c>
      <c r="D127" s="134">
        <v>4676</v>
      </c>
      <c r="E127" s="134">
        <v>4702</v>
      </c>
      <c r="F127" s="934">
        <v>4599</v>
      </c>
      <c r="G127" s="934">
        <v>4676</v>
      </c>
      <c r="H127" s="934">
        <v>4702</v>
      </c>
    </row>
    <row r="128" spans="1:8">
      <c r="A128" t="s">
        <v>64</v>
      </c>
      <c r="B128" t="s">
        <v>2148</v>
      </c>
      <c r="C128" s="134">
        <v>4477</v>
      </c>
      <c r="D128" s="134">
        <v>4568</v>
      </c>
      <c r="E128" s="134">
        <v>4565</v>
      </c>
      <c r="F128" s="934">
        <v>4477</v>
      </c>
      <c r="G128" s="934">
        <v>4568</v>
      </c>
      <c r="H128" s="934">
        <v>4565</v>
      </c>
    </row>
    <row r="129" spans="1:8">
      <c r="A129" t="s">
        <v>2606</v>
      </c>
      <c r="B129" t="s">
        <v>43</v>
      </c>
      <c r="C129" s="134">
        <v>4675</v>
      </c>
      <c r="D129" s="134">
        <v>4761</v>
      </c>
      <c r="E129" s="134">
        <v>4725</v>
      </c>
      <c r="F129" s="934">
        <v>4675</v>
      </c>
      <c r="G129" s="934">
        <v>4761</v>
      </c>
      <c r="H129" s="934">
        <v>4725</v>
      </c>
    </row>
    <row r="130" spans="1:8">
      <c r="A130" t="s">
        <v>1892</v>
      </c>
      <c r="B130" t="s">
        <v>1800</v>
      </c>
      <c r="C130" s="134">
        <v>4842</v>
      </c>
      <c r="D130" s="134">
        <v>4918</v>
      </c>
      <c r="E130" s="134">
        <v>5069</v>
      </c>
      <c r="F130" s="934">
        <v>4842</v>
      </c>
      <c r="G130" s="934">
        <v>4918</v>
      </c>
      <c r="H130" s="934">
        <v>5069</v>
      </c>
    </row>
    <row r="131" spans="1:8">
      <c r="A131" t="s">
        <v>812</v>
      </c>
      <c r="B131" t="s">
        <v>3093</v>
      </c>
      <c r="C131" s="134">
        <v>4579</v>
      </c>
      <c r="D131" s="134">
        <v>4630</v>
      </c>
      <c r="E131" s="134">
        <v>4634</v>
      </c>
      <c r="F131" s="934">
        <v>4579</v>
      </c>
      <c r="G131" s="934">
        <v>4630</v>
      </c>
      <c r="H131" s="934">
        <v>4634</v>
      </c>
    </row>
    <row r="132" spans="1:8">
      <c r="A132" t="s">
        <v>1490</v>
      </c>
      <c r="B132" t="s">
        <v>46</v>
      </c>
      <c r="C132" s="134">
        <v>4539</v>
      </c>
      <c r="D132" s="134">
        <v>4573</v>
      </c>
      <c r="E132" s="134">
        <v>4579</v>
      </c>
      <c r="F132" s="934">
        <v>4539</v>
      </c>
      <c r="G132" s="934">
        <v>4573</v>
      </c>
      <c r="H132" s="934">
        <v>4579</v>
      </c>
    </row>
    <row r="133" spans="1:8">
      <c r="A133" t="s">
        <v>813</v>
      </c>
      <c r="B133" t="s">
        <v>99</v>
      </c>
      <c r="C133" s="134">
        <v>4282</v>
      </c>
      <c r="D133" s="134">
        <v>4317</v>
      </c>
      <c r="E133" s="134">
        <v>4301</v>
      </c>
      <c r="F133" s="934">
        <v>4282</v>
      </c>
      <c r="G133" s="934">
        <v>4317</v>
      </c>
      <c r="H133" s="934">
        <v>4301</v>
      </c>
    </row>
    <row r="134" spans="1:8">
      <c r="A134" t="s">
        <v>534</v>
      </c>
      <c r="B134" t="s">
        <v>100</v>
      </c>
      <c r="C134" s="134">
        <v>4446</v>
      </c>
      <c r="D134" s="134">
        <v>4492</v>
      </c>
      <c r="E134" s="134">
        <v>4468</v>
      </c>
      <c r="F134" s="934">
        <v>4446</v>
      </c>
      <c r="G134" s="934">
        <v>4492</v>
      </c>
      <c r="H134" s="934">
        <v>4468</v>
      </c>
    </row>
    <row r="135" spans="1:8">
      <c r="A135" t="s">
        <v>1050</v>
      </c>
      <c r="B135" t="s">
        <v>1801</v>
      </c>
      <c r="C135" s="134">
        <v>4522</v>
      </c>
      <c r="D135" s="134">
        <v>4554</v>
      </c>
      <c r="E135" s="134">
        <v>4659</v>
      </c>
      <c r="F135" s="934">
        <v>4522</v>
      </c>
      <c r="G135" s="934">
        <v>4554</v>
      </c>
      <c r="H135" s="934">
        <v>4659</v>
      </c>
    </row>
    <row r="136" spans="1:8">
      <c r="A136" t="s">
        <v>1051</v>
      </c>
      <c r="B136" t="s">
        <v>1802</v>
      </c>
      <c r="C136" s="134">
        <v>5264</v>
      </c>
      <c r="D136" s="134">
        <v>5309</v>
      </c>
      <c r="E136" s="134">
        <v>5309</v>
      </c>
      <c r="F136" s="934">
        <v>5264</v>
      </c>
      <c r="G136" s="934">
        <v>5308</v>
      </c>
      <c r="H136" s="934">
        <v>5308</v>
      </c>
    </row>
    <row r="137" spans="1:8">
      <c r="A137" t="s">
        <v>879</v>
      </c>
      <c r="B137" t="s">
        <v>2484</v>
      </c>
      <c r="C137" s="134">
        <v>4905</v>
      </c>
      <c r="D137" s="134">
        <v>5481</v>
      </c>
      <c r="E137" s="134">
        <v>4950</v>
      </c>
      <c r="F137" s="934">
        <v>4905</v>
      </c>
      <c r="G137" s="934">
        <v>5481</v>
      </c>
      <c r="H137" s="934">
        <v>4950</v>
      </c>
    </row>
    <row r="138" spans="1:8">
      <c r="A138" t="s">
        <v>2050</v>
      </c>
      <c r="B138" t="s">
        <v>2485</v>
      </c>
      <c r="C138" s="134">
        <v>5721</v>
      </c>
      <c r="D138" s="134">
        <v>5458</v>
      </c>
      <c r="E138" s="134">
        <v>5491</v>
      </c>
      <c r="F138" s="934">
        <v>5721</v>
      </c>
      <c r="G138" s="934">
        <v>5458</v>
      </c>
      <c r="H138" s="934">
        <v>5491</v>
      </c>
    </row>
    <row r="139" spans="1:8">
      <c r="A139" t="s">
        <v>1941</v>
      </c>
      <c r="B139" t="s">
        <v>2486</v>
      </c>
      <c r="C139" s="134">
        <v>4658</v>
      </c>
      <c r="D139" s="134">
        <v>4816</v>
      </c>
      <c r="E139" s="134">
        <v>4850</v>
      </c>
      <c r="F139" s="934">
        <v>4658</v>
      </c>
      <c r="G139" s="934">
        <v>4816</v>
      </c>
      <c r="H139" s="934">
        <v>4850</v>
      </c>
    </row>
    <row r="140" spans="1:8">
      <c r="A140" t="s">
        <v>1942</v>
      </c>
      <c r="B140" t="s">
        <v>2487</v>
      </c>
      <c r="C140" s="134">
        <v>4802</v>
      </c>
      <c r="D140" s="134">
        <v>4460</v>
      </c>
      <c r="E140" s="134">
        <v>4460</v>
      </c>
      <c r="F140" s="934">
        <v>4802</v>
      </c>
      <c r="G140" s="934">
        <v>4460</v>
      </c>
      <c r="H140" s="934">
        <v>4460</v>
      </c>
    </row>
    <row r="141" spans="1:8">
      <c r="A141" t="s">
        <v>842</v>
      </c>
      <c r="B141" t="s">
        <v>2488</v>
      </c>
      <c r="C141" s="134">
        <v>4733</v>
      </c>
      <c r="D141" s="134">
        <v>5458</v>
      </c>
      <c r="E141" s="134">
        <v>4831</v>
      </c>
      <c r="F141" s="934">
        <v>4733</v>
      </c>
      <c r="G141" s="934">
        <v>5458</v>
      </c>
      <c r="H141" s="934">
        <v>4831</v>
      </c>
    </row>
    <row r="142" spans="1:8">
      <c r="A142" t="s">
        <v>843</v>
      </c>
      <c r="B142" t="s">
        <v>1178</v>
      </c>
      <c r="C142" s="134">
        <v>4276</v>
      </c>
      <c r="D142" s="134">
        <v>4450</v>
      </c>
      <c r="E142" s="134">
        <v>4341</v>
      </c>
      <c r="F142" s="934">
        <v>4276</v>
      </c>
      <c r="G142" s="934">
        <v>4450</v>
      </c>
      <c r="H142" s="934">
        <v>4341</v>
      </c>
    </row>
    <row r="143" spans="1:8">
      <c r="A143" t="s">
        <v>2142</v>
      </c>
      <c r="B143" t="s">
        <v>929</v>
      </c>
      <c r="C143" s="134">
        <v>4420</v>
      </c>
      <c r="D143" s="134">
        <v>4910</v>
      </c>
      <c r="E143" s="134">
        <v>4433</v>
      </c>
      <c r="F143" s="934">
        <v>4420</v>
      </c>
      <c r="G143" s="934">
        <v>4910</v>
      </c>
      <c r="H143" s="934">
        <v>4433</v>
      </c>
    </row>
    <row r="144" spans="1:8">
      <c r="A144" t="s">
        <v>844</v>
      </c>
      <c r="B144" t="s">
        <v>1921</v>
      </c>
      <c r="C144" s="134">
        <v>4262</v>
      </c>
      <c r="D144" s="134">
        <v>4463</v>
      </c>
      <c r="E144" s="134">
        <v>4361</v>
      </c>
      <c r="F144" s="934">
        <v>4262</v>
      </c>
      <c r="G144" s="934">
        <v>4463</v>
      </c>
      <c r="H144" s="934">
        <v>4361</v>
      </c>
    </row>
    <row r="145" spans="1:8">
      <c r="A145" t="s">
        <v>2226</v>
      </c>
      <c r="B145" t="s">
        <v>1923</v>
      </c>
      <c r="C145" s="134">
        <v>4448</v>
      </c>
      <c r="D145" s="134">
        <v>4536</v>
      </c>
      <c r="E145" s="134">
        <v>4503</v>
      </c>
      <c r="F145" s="934">
        <v>4448</v>
      </c>
      <c r="G145" s="934">
        <v>4536</v>
      </c>
      <c r="H145" s="934">
        <v>4503</v>
      </c>
    </row>
    <row r="146" spans="1:8">
      <c r="A146" t="s">
        <v>2227</v>
      </c>
      <c r="B146" t="s">
        <v>1924</v>
      </c>
      <c r="C146" s="134">
        <v>4044</v>
      </c>
      <c r="D146" s="134">
        <v>4551</v>
      </c>
      <c r="E146" s="134">
        <v>4520</v>
      </c>
      <c r="F146" s="934">
        <v>4044</v>
      </c>
      <c r="G146" s="934">
        <v>4551</v>
      </c>
      <c r="H146" s="934">
        <v>4520</v>
      </c>
    </row>
    <row r="147" spans="1:8">
      <c r="A147" t="s">
        <v>2788</v>
      </c>
      <c r="B147" t="s">
        <v>1925</v>
      </c>
      <c r="C147" s="134">
        <v>4547</v>
      </c>
      <c r="D147" s="134">
        <v>4352</v>
      </c>
      <c r="E147" s="134">
        <v>4452</v>
      </c>
      <c r="F147" s="934">
        <v>4547</v>
      </c>
      <c r="G147" s="934">
        <v>4352</v>
      </c>
      <c r="H147" s="934">
        <v>4452</v>
      </c>
    </row>
    <row r="148" spans="1:8">
      <c r="A148" t="s">
        <v>2904</v>
      </c>
      <c r="B148" t="s">
        <v>425</v>
      </c>
      <c r="C148" s="134">
        <v>4568</v>
      </c>
      <c r="D148" s="134">
        <v>4584</v>
      </c>
      <c r="E148" s="134">
        <v>4588</v>
      </c>
      <c r="F148" s="934">
        <v>4568</v>
      </c>
      <c r="G148" s="934">
        <v>4584</v>
      </c>
      <c r="H148" s="934">
        <v>4588</v>
      </c>
    </row>
    <row r="149" spans="1:8">
      <c r="A149" t="s">
        <v>1840</v>
      </c>
      <c r="B149" t="s">
        <v>1205</v>
      </c>
      <c r="C149" s="134">
        <v>4769</v>
      </c>
      <c r="D149" s="134">
        <v>4651</v>
      </c>
      <c r="E149" s="134">
        <v>4651</v>
      </c>
      <c r="F149" s="934">
        <v>4769</v>
      </c>
      <c r="G149" s="934">
        <v>4651</v>
      </c>
      <c r="H149" s="934">
        <v>4651</v>
      </c>
    </row>
    <row r="150" spans="1:8">
      <c r="A150" t="s">
        <v>2789</v>
      </c>
      <c r="B150" t="s">
        <v>1926</v>
      </c>
      <c r="C150" s="134">
        <v>6536</v>
      </c>
      <c r="D150" s="134">
        <v>6785</v>
      </c>
      <c r="E150" s="134">
        <v>6785</v>
      </c>
      <c r="F150" s="934">
        <v>6536</v>
      </c>
      <c r="G150" s="934">
        <v>6862</v>
      </c>
      <c r="H150" s="934">
        <v>6812</v>
      </c>
    </row>
    <row r="151" spans="1:8">
      <c r="A151" t="s">
        <v>316</v>
      </c>
      <c r="B151" t="s">
        <v>2716</v>
      </c>
      <c r="C151" s="134">
        <v>4695</v>
      </c>
      <c r="D151" s="134">
        <v>3575</v>
      </c>
      <c r="E151" s="134">
        <v>3731</v>
      </c>
      <c r="F151" s="934">
        <v>4695</v>
      </c>
      <c r="G151" s="934">
        <v>3575</v>
      </c>
      <c r="H151" s="934">
        <v>3731</v>
      </c>
    </row>
    <row r="152" spans="1:8">
      <c r="A152" t="s">
        <v>1658</v>
      </c>
      <c r="B152" t="s">
        <v>1691</v>
      </c>
      <c r="C152" s="134">
        <v>4444</v>
      </c>
      <c r="D152" s="134">
        <v>4581</v>
      </c>
      <c r="E152" s="134">
        <v>4531</v>
      </c>
      <c r="F152" s="934">
        <v>4444</v>
      </c>
      <c r="G152" s="934">
        <v>4581</v>
      </c>
      <c r="H152" s="934">
        <v>4531</v>
      </c>
    </row>
    <row r="153" spans="1:8">
      <c r="A153" t="s">
        <v>50</v>
      </c>
      <c r="B153" t="s">
        <v>445</v>
      </c>
      <c r="C153" s="134">
        <v>4476</v>
      </c>
      <c r="D153" s="134">
        <v>4509</v>
      </c>
      <c r="E153" s="134">
        <v>4559</v>
      </c>
      <c r="F153" s="934">
        <v>4476</v>
      </c>
      <c r="G153" s="934">
        <v>4509</v>
      </c>
      <c r="H153" s="934">
        <v>4559</v>
      </c>
    </row>
    <row r="154" spans="1:8">
      <c r="A154" t="s">
        <v>1486</v>
      </c>
      <c r="B154" t="s">
        <v>669</v>
      </c>
      <c r="C154" s="134">
        <v>4605</v>
      </c>
      <c r="D154" s="134">
        <v>4540</v>
      </c>
      <c r="E154" s="134">
        <v>4540</v>
      </c>
      <c r="F154" s="934">
        <v>4605</v>
      </c>
      <c r="G154" s="934">
        <v>4540</v>
      </c>
      <c r="H154" s="934">
        <v>4540</v>
      </c>
    </row>
    <row r="155" spans="1:8">
      <c r="A155" t="s">
        <v>2907</v>
      </c>
      <c r="B155" t="s">
        <v>1306</v>
      </c>
      <c r="C155" s="134">
        <v>5460</v>
      </c>
      <c r="D155" s="134">
        <v>5817</v>
      </c>
      <c r="E155" s="134">
        <v>5808</v>
      </c>
      <c r="F155" s="934">
        <v>5460</v>
      </c>
      <c r="G155" s="934">
        <v>5817</v>
      </c>
      <c r="H155" s="934">
        <v>5808</v>
      </c>
    </row>
    <row r="156" spans="1:8">
      <c r="A156" t="s">
        <v>1659</v>
      </c>
      <c r="B156" t="s">
        <v>30</v>
      </c>
      <c r="C156" s="134">
        <v>4304</v>
      </c>
      <c r="D156" s="134">
        <v>4384</v>
      </c>
      <c r="E156" s="134">
        <v>4357</v>
      </c>
      <c r="F156" s="934">
        <v>4304</v>
      </c>
      <c r="G156" s="934">
        <v>4384</v>
      </c>
      <c r="H156" s="934">
        <v>4357</v>
      </c>
    </row>
    <row r="157" spans="1:8">
      <c r="A157" t="s">
        <v>84</v>
      </c>
      <c r="B157" t="s">
        <v>2500</v>
      </c>
      <c r="C157" s="134">
        <v>4612</v>
      </c>
      <c r="D157" s="134">
        <v>4716</v>
      </c>
      <c r="E157" s="134">
        <v>4716</v>
      </c>
      <c r="F157" s="934">
        <v>4612</v>
      </c>
      <c r="G157" s="934">
        <v>4716</v>
      </c>
      <c r="H157" s="934">
        <v>4716</v>
      </c>
    </row>
    <row r="158" spans="1:8">
      <c r="A158" t="s">
        <v>1270</v>
      </c>
      <c r="B158" t="s">
        <v>31</v>
      </c>
      <c r="C158" s="134">
        <v>4520</v>
      </c>
      <c r="D158" s="134">
        <v>4532</v>
      </c>
      <c r="E158" s="134">
        <v>4532</v>
      </c>
      <c r="F158" s="934">
        <v>4520</v>
      </c>
      <c r="G158" s="934">
        <v>4532</v>
      </c>
      <c r="H158" s="934">
        <v>4532</v>
      </c>
    </row>
    <row r="159" spans="1:8">
      <c r="A159" t="s">
        <v>2482</v>
      </c>
      <c r="B159" t="s">
        <v>2193</v>
      </c>
      <c r="C159" s="134">
        <v>4587</v>
      </c>
      <c r="D159" s="134">
        <v>4610</v>
      </c>
      <c r="E159" s="134">
        <v>4664</v>
      </c>
      <c r="F159" s="934">
        <v>4587</v>
      </c>
      <c r="G159" s="934">
        <v>4609</v>
      </c>
      <c r="H159" s="934">
        <v>4664</v>
      </c>
    </row>
    <row r="160" spans="1:8">
      <c r="A160" t="s">
        <v>814</v>
      </c>
      <c r="B160" t="s">
        <v>1124</v>
      </c>
      <c r="C160" s="134">
        <v>4590</v>
      </c>
      <c r="D160" s="134">
        <v>4647</v>
      </c>
      <c r="E160" s="134">
        <v>4647</v>
      </c>
      <c r="F160" s="934">
        <v>4590</v>
      </c>
      <c r="G160" s="934">
        <v>4647</v>
      </c>
      <c r="H160" s="934">
        <v>4647</v>
      </c>
    </row>
    <row r="161" spans="1:8">
      <c r="A161" t="s">
        <v>2483</v>
      </c>
      <c r="B161" t="s">
        <v>2194</v>
      </c>
      <c r="C161" s="134">
        <v>4640</v>
      </c>
      <c r="D161" s="134">
        <v>4614</v>
      </c>
      <c r="E161" s="134">
        <v>4614</v>
      </c>
      <c r="F161" s="934">
        <v>4640</v>
      </c>
      <c r="G161" s="934">
        <v>4614</v>
      </c>
      <c r="H161" s="934">
        <v>4614</v>
      </c>
    </row>
    <row r="162" spans="1:8">
      <c r="A162" t="s">
        <v>1883</v>
      </c>
      <c r="B162" t="s">
        <v>2195</v>
      </c>
      <c r="C162" s="134">
        <v>5156</v>
      </c>
      <c r="D162" s="134">
        <v>5223</v>
      </c>
      <c r="E162" s="134">
        <v>5223</v>
      </c>
      <c r="F162" s="934">
        <v>5156</v>
      </c>
      <c r="G162" s="934">
        <v>5223</v>
      </c>
      <c r="H162" s="934">
        <v>5223</v>
      </c>
    </row>
    <row r="163" spans="1:8">
      <c r="A163" t="s">
        <v>1884</v>
      </c>
      <c r="B163" t="s">
        <v>2468</v>
      </c>
      <c r="C163" s="134">
        <v>4809</v>
      </c>
      <c r="D163" s="134">
        <v>4528</v>
      </c>
      <c r="E163" s="134">
        <v>4528</v>
      </c>
      <c r="F163" s="934">
        <v>4809</v>
      </c>
      <c r="G163" s="934">
        <v>4528</v>
      </c>
      <c r="H163" s="934">
        <v>4528</v>
      </c>
    </row>
    <row r="164" spans="1:8">
      <c r="A164" t="s">
        <v>899</v>
      </c>
      <c r="B164" t="s">
        <v>1179</v>
      </c>
      <c r="C164" s="134">
        <v>8086</v>
      </c>
      <c r="D164" s="134">
        <v>9182</v>
      </c>
      <c r="E164" s="134">
        <v>8240</v>
      </c>
      <c r="F164" s="934">
        <v>8086</v>
      </c>
      <c r="G164" s="934">
        <v>9182</v>
      </c>
      <c r="H164" s="934">
        <v>8240</v>
      </c>
    </row>
    <row r="165" spans="1:8">
      <c r="A165" t="s">
        <v>900</v>
      </c>
      <c r="B165" t="s">
        <v>2470</v>
      </c>
      <c r="C165" s="134">
        <v>4622</v>
      </c>
      <c r="D165" s="134">
        <v>4705</v>
      </c>
      <c r="E165" s="134">
        <v>4636</v>
      </c>
      <c r="F165" s="934">
        <v>4622</v>
      </c>
      <c r="G165" s="934">
        <v>4705</v>
      </c>
      <c r="H165" s="934">
        <v>4636</v>
      </c>
    </row>
    <row r="166" spans="1:8">
      <c r="A166" t="s">
        <v>922</v>
      </c>
      <c r="B166" t="s">
        <v>2471</v>
      </c>
      <c r="C166" s="134">
        <v>5013</v>
      </c>
      <c r="D166" s="134">
        <v>5241</v>
      </c>
      <c r="E166" s="134">
        <v>5089</v>
      </c>
      <c r="F166" s="934">
        <v>5013</v>
      </c>
      <c r="G166" s="934">
        <v>5241</v>
      </c>
      <c r="H166" s="934">
        <v>5089</v>
      </c>
    </row>
    <row r="167" spans="1:8">
      <c r="A167" t="s">
        <v>630</v>
      </c>
      <c r="B167" t="s">
        <v>1333</v>
      </c>
      <c r="C167" s="134">
        <v>4424</v>
      </c>
      <c r="D167" s="134">
        <v>4689</v>
      </c>
      <c r="E167" s="134">
        <v>4577</v>
      </c>
      <c r="F167" s="934">
        <v>4424</v>
      </c>
      <c r="G167" s="934">
        <v>4689</v>
      </c>
      <c r="H167" s="934">
        <v>4577</v>
      </c>
    </row>
    <row r="168" spans="1:8">
      <c r="A168" t="s">
        <v>2712</v>
      </c>
      <c r="B168" t="s">
        <v>97</v>
      </c>
      <c r="C168" s="134">
        <v>4674</v>
      </c>
      <c r="D168" s="134">
        <v>4711</v>
      </c>
      <c r="E168" s="134">
        <v>4692</v>
      </c>
      <c r="F168" s="934">
        <v>4674</v>
      </c>
      <c r="G168" s="934">
        <v>4711</v>
      </c>
      <c r="H168" s="934">
        <v>4692</v>
      </c>
    </row>
    <row r="169" spans="1:8">
      <c r="A169" t="s">
        <v>923</v>
      </c>
      <c r="B169" t="s">
        <v>1180</v>
      </c>
      <c r="C169" s="134">
        <v>4799</v>
      </c>
      <c r="D169" s="134">
        <v>4726</v>
      </c>
      <c r="E169" s="134">
        <v>4726</v>
      </c>
      <c r="F169" s="934">
        <v>4799</v>
      </c>
      <c r="G169" s="934">
        <v>4726</v>
      </c>
      <c r="H169" s="934">
        <v>4726</v>
      </c>
    </row>
    <row r="170" spans="1:8">
      <c r="A170" t="s">
        <v>1954</v>
      </c>
      <c r="B170" t="s">
        <v>2473</v>
      </c>
      <c r="C170" s="134">
        <v>5053</v>
      </c>
      <c r="D170" s="134">
        <v>4836</v>
      </c>
      <c r="E170" s="134">
        <v>4836</v>
      </c>
      <c r="F170" s="934">
        <v>5053</v>
      </c>
      <c r="G170" s="934">
        <v>4836</v>
      </c>
      <c r="H170" s="934">
        <v>4836</v>
      </c>
    </row>
    <row r="171" spans="1:8">
      <c r="A171" t="s">
        <v>638</v>
      </c>
      <c r="B171" t="s">
        <v>2234</v>
      </c>
      <c r="C171" s="134">
        <v>4908</v>
      </c>
      <c r="D171" s="134">
        <v>5171</v>
      </c>
      <c r="E171" s="134">
        <v>5171</v>
      </c>
      <c r="F171" s="934">
        <v>4908</v>
      </c>
      <c r="G171" s="934">
        <v>5171</v>
      </c>
      <c r="H171" s="934">
        <v>5171</v>
      </c>
    </row>
    <row r="172" spans="1:8">
      <c r="A172" t="s">
        <v>1841</v>
      </c>
      <c r="B172" t="s">
        <v>1206</v>
      </c>
      <c r="C172" s="134">
        <v>5209</v>
      </c>
      <c r="D172" s="134">
        <v>5022</v>
      </c>
      <c r="E172" s="134">
        <v>5100</v>
      </c>
      <c r="F172" s="934">
        <v>5209</v>
      </c>
      <c r="G172" s="934">
        <v>5021</v>
      </c>
      <c r="H172" s="934">
        <v>5100</v>
      </c>
    </row>
    <row r="173" spans="1:8">
      <c r="A173" t="s">
        <v>2862</v>
      </c>
      <c r="B173" t="s">
        <v>733</v>
      </c>
      <c r="C173" s="134">
        <v>4799</v>
      </c>
      <c r="D173" s="134">
        <v>5092</v>
      </c>
      <c r="E173" s="134">
        <v>5052</v>
      </c>
      <c r="F173" s="934">
        <v>4799</v>
      </c>
      <c r="G173" s="934">
        <v>5092</v>
      </c>
      <c r="H173" s="934">
        <v>5052</v>
      </c>
    </row>
    <row r="174" spans="1:8">
      <c r="A174" t="s">
        <v>1900</v>
      </c>
      <c r="B174" t="s">
        <v>129</v>
      </c>
      <c r="C174" s="134">
        <v>4547</v>
      </c>
      <c r="D174" s="134">
        <v>4696</v>
      </c>
      <c r="E174" s="134">
        <v>4661</v>
      </c>
      <c r="F174" s="934">
        <v>4547</v>
      </c>
      <c r="G174" s="934">
        <v>4696</v>
      </c>
      <c r="H174" s="934">
        <v>4661</v>
      </c>
    </row>
    <row r="175" spans="1:8">
      <c r="A175" t="s">
        <v>1605</v>
      </c>
      <c r="B175" t="s">
        <v>1667</v>
      </c>
      <c r="C175" s="134">
        <v>5230</v>
      </c>
      <c r="D175" s="134">
        <v>5454</v>
      </c>
      <c r="E175" s="134">
        <v>5386</v>
      </c>
      <c r="F175" s="934">
        <v>5230</v>
      </c>
      <c r="G175" s="934">
        <v>5454</v>
      </c>
      <c r="H175" s="934">
        <v>5386</v>
      </c>
    </row>
    <row r="176" spans="1:8">
      <c r="A176" t="s">
        <v>2895</v>
      </c>
      <c r="B176" t="s">
        <v>928</v>
      </c>
      <c r="C176" s="134">
        <v>5095</v>
      </c>
      <c r="D176" s="134">
        <v>5469</v>
      </c>
      <c r="E176" s="134">
        <v>5315</v>
      </c>
      <c r="F176" s="934">
        <v>5095</v>
      </c>
      <c r="G176" s="934">
        <v>5469</v>
      </c>
      <c r="H176" s="934">
        <v>5315</v>
      </c>
    </row>
    <row r="177" spans="1:8">
      <c r="A177" t="s">
        <v>724</v>
      </c>
      <c r="B177" t="s">
        <v>2518</v>
      </c>
      <c r="C177" s="134">
        <v>5230</v>
      </c>
      <c r="D177" s="134">
        <v>5025</v>
      </c>
      <c r="E177" s="134">
        <v>5025</v>
      </c>
      <c r="F177" s="934">
        <v>5230</v>
      </c>
      <c r="G177" s="934">
        <v>5025</v>
      </c>
      <c r="H177" s="934">
        <v>5025</v>
      </c>
    </row>
    <row r="178" spans="1:8">
      <c r="A178" t="s">
        <v>725</v>
      </c>
      <c r="B178" t="s">
        <v>2519</v>
      </c>
      <c r="C178" s="134">
        <v>5226</v>
      </c>
      <c r="D178" s="134">
        <v>5414</v>
      </c>
      <c r="E178" s="134">
        <v>5414</v>
      </c>
      <c r="F178" s="934">
        <v>5226</v>
      </c>
      <c r="G178" s="934">
        <v>5414</v>
      </c>
      <c r="H178" s="934">
        <v>5414</v>
      </c>
    </row>
    <row r="179" spans="1:8">
      <c r="A179" t="s">
        <v>246</v>
      </c>
      <c r="B179" t="s">
        <v>87</v>
      </c>
      <c r="C179" s="134">
        <v>4607</v>
      </c>
      <c r="D179" s="134">
        <v>4656</v>
      </c>
      <c r="E179" s="134">
        <v>4697</v>
      </c>
      <c r="F179" s="934">
        <v>4607</v>
      </c>
      <c r="G179" s="934">
        <v>4668</v>
      </c>
      <c r="H179" s="934">
        <v>4697</v>
      </c>
    </row>
    <row r="180" spans="1:8">
      <c r="A180" t="s">
        <v>1780</v>
      </c>
      <c r="B180" t="s">
        <v>89</v>
      </c>
      <c r="C180" s="134">
        <v>5936</v>
      </c>
      <c r="D180" s="134">
        <v>7194</v>
      </c>
      <c r="E180" s="134">
        <v>6678</v>
      </c>
      <c r="F180" s="934">
        <v>5936</v>
      </c>
      <c r="G180" s="934">
        <v>7194</v>
      </c>
      <c r="H180" s="934">
        <v>6678</v>
      </c>
    </row>
    <row r="181" spans="1:8">
      <c r="A181" t="s">
        <v>1351</v>
      </c>
      <c r="B181" t="s">
        <v>1293</v>
      </c>
      <c r="C181" s="134">
        <v>4937</v>
      </c>
      <c r="D181" s="134">
        <v>4984</v>
      </c>
      <c r="E181" s="134">
        <v>4984</v>
      </c>
      <c r="F181" s="934">
        <v>4937</v>
      </c>
      <c r="G181" s="934">
        <v>4984</v>
      </c>
      <c r="H181" s="934">
        <v>4984</v>
      </c>
    </row>
    <row r="182" spans="1:8">
      <c r="A182" t="s">
        <v>990</v>
      </c>
      <c r="B182" t="s">
        <v>1521</v>
      </c>
      <c r="C182" s="134">
        <v>4495</v>
      </c>
      <c r="D182" s="134">
        <v>4565</v>
      </c>
      <c r="E182" s="134">
        <v>4565</v>
      </c>
      <c r="F182" s="934">
        <v>4495</v>
      </c>
      <c r="G182" s="934">
        <v>4565</v>
      </c>
      <c r="H182" s="934">
        <v>4565</v>
      </c>
    </row>
    <row r="183" spans="1:8">
      <c r="A183" t="s">
        <v>1619</v>
      </c>
      <c r="B183" t="s">
        <v>1744</v>
      </c>
      <c r="C183" s="134">
        <v>4799</v>
      </c>
      <c r="D183" s="134">
        <v>4855</v>
      </c>
      <c r="E183" s="134">
        <v>4855</v>
      </c>
      <c r="F183" s="934">
        <v>4799</v>
      </c>
      <c r="G183" s="934">
        <v>4855</v>
      </c>
      <c r="H183" s="934">
        <v>4855</v>
      </c>
    </row>
    <row r="184" spans="1:8">
      <c r="A184" t="s">
        <v>281</v>
      </c>
      <c r="B184" t="s">
        <v>2520</v>
      </c>
      <c r="C184" s="134">
        <v>7170</v>
      </c>
      <c r="D184" s="134">
        <v>7016</v>
      </c>
      <c r="E184" s="134">
        <v>7016</v>
      </c>
      <c r="F184" s="934">
        <v>7170</v>
      </c>
      <c r="G184" s="934">
        <v>6262</v>
      </c>
      <c r="H184" s="934">
        <v>6262</v>
      </c>
    </row>
    <row r="185" spans="1:8">
      <c r="A185" t="s">
        <v>282</v>
      </c>
      <c r="B185" t="s">
        <v>2521</v>
      </c>
      <c r="C185" s="134">
        <v>4359</v>
      </c>
      <c r="D185" s="134">
        <v>4369</v>
      </c>
      <c r="E185" s="134">
        <v>4435</v>
      </c>
      <c r="F185" s="934">
        <v>4359</v>
      </c>
      <c r="G185" s="934">
        <v>4369</v>
      </c>
      <c r="H185" s="934">
        <v>4435</v>
      </c>
    </row>
    <row r="186" spans="1:8">
      <c r="A186" t="s">
        <v>642</v>
      </c>
      <c r="B186" t="s">
        <v>2522</v>
      </c>
      <c r="C186" s="134">
        <v>4486</v>
      </c>
      <c r="D186" s="134">
        <v>4612</v>
      </c>
      <c r="E186" s="134">
        <v>4538</v>
      </c>
      <c r="F186" s="934">
        <v>4486</v>
      </c>
      <c r="G186" s="934">
        <v>4612</v>
      </c>
      <c r="H186" s="934">
        <v>4538</v>
      </c>
    </row>
    <row r="187" spans="1:8">
      <c r="A187" t="s">
        <v>1617</v>
      </c>
      <c r="B187" t="s">
        <v>1742</v>
      </c>
      <c r="C187" s="134">
        <v>4425</v>
      </c>
      <c r="D187" s="134">
        <v>4468</v>
      </c>
      <c r="E187" s="134">
        <v>4715</v>
      </c>
      <c r="F187" s="934">
        <v>4425</v>
      </c>
      <c r="G187" s="934">
        <v>4468</v>
      </c>
      <c r="H187" s="934">
        <v>4715</v>
      </c>
    </row>
    <row r="188" spans="1:8">
      <c r="A188" t="s">
        <v>643</v>
      </c>
      <c r="B188" t="s">
        <v>1181</v>
      </c>
      <c r="C188" s="134">
        <v>4676</v>
      </c>
      <c r="D188" s="134">
        <v>5019</v>
      </c>
      <c r="E188" s="134">
        <v>4885</v>
      </c>
      <c r="F188" s="934">
        <v>4676</v>
      </c>
      <c r="G188" s="934">
        <v>5019</v>
      </c>
      <c r="H188" s="934">
        <v>4885</v>
      </c>
    </row>
    <row r="189" spans="1:8">
      <c r="A189" t="s">
        <v>34</v>
      </c>
      <c r="B189" t="s">
        <v>2524</v>
      </c>
      <c r="C189" s="134">
        <v>4586</v>
      </c>
      <c r="D189" s="134">
        <v>4528</v>
      </c>
      <c r="E189" s="134">
        <v>4892</v>
      </c>
      <c r="F189" s="934">
        <v>4586</v>
      </c>
      <c r="G189" s="934">
        <v>4528</v>
      </c>
      <c r="H189" s="934">
        <v>4891</v>
      </c>
    </row>
    <row r="190" spans="1:8">
      <c r="A190" t="s">
        <v>35</v>
      </c>
      <c r="B190" t="s">
        <v>2525</v>
      </c>
      <c r="C190" s="134">
        <v>4684</v>
      </c>
      <c r="D190" s="134">
        <v>4905</v>
      </c>
      <c r="E190" s="134">
        <v>5014</v>
      </c>
      <c r="F190" s="934">
        <v>4684</v>
      </c>
      <c r="G190" s="934">
        <v>4905</v>
      </c>
      <c r="H190" s="934">
        <v>5014</v>
      </c>
    </row>
    <row r="191" spans="1:8">
      <c r="A191" t="s">
        <v>1437</v>
      </c>
      <c r="B191" t="s">
        <v>2526</v>
      </c>
      <c r="C191" s="134">
        <v>5148</v>
      </c>
      <c r="D191" s="134">
        <v>5461</v>
      </c>
      <c r="E191" s="134">
        <v>5461</v>
      </c>
      <c r="F191" s="934">
        <v>5148</v>
      </c>
      <c r="G191" s="934">
        <v>5461</v>
      </c>
      <c r="H191" s="934">
        <v>5461</v>
      </c>
    </row>
    <row r="192" spans="1:8">
      <c r="A192" t="s">
        <v>2644</v>
      </c>
      <c r="B192" t="s">
        <v>2527</v>
      </c>
      <c r="C192" s="134">
        <v>3998</v>
      </c>
      <c r="D192" s="134">
        <v>4580</v>
      </c>
      <c r="E192" s="134">
        <v>4341</v>
      </c>
      <c r="F192" s="934">
        <v>3998</v>
      </c>
      <c r="G192" s="934">
        <v>4580</v>
      </c>
      <c r="H192" s="934">
        <v>4341</v>
      </c>
    </row>
    <row r="193" spans="1:8">
      <c r="A193" t="s">
        <v>2763</v>
      </c>
      <c r="B193" t="s">
        <v>3062</v>
      </c>
      <c r="C193" s="134">
        <v>4188</v>
      </c>
      <c r="D193" s="134">
        <v>4649</v>
      </c>
      <c r="E193" s="134">
        <v>4408</v>
      </c>
      <c r="F193" s="934">
        <v>4188</v>
      </c>
      <c r="G193" s="934">
        <v>4649</v>
      </c>
      <c r="H193" s="934">
        <v>4408</v>
      </c>
    </row>
    <row r="194" spans="1:8">
      <c r="A194" t="s">
        <v>2672</v>
      </c>
      <c r="B194" t="s">
        <v>1949</v>
      </c>
      <c r="C194" s="134">
        <v>4530</v>
      </c>
      <c r="D194" s="134">
        <v>4549</v>
      </c>
      <c r="E194" s="134">
        <v>4591</v>
      </c>
      <c r="F194" s="934">
        <v>4530</v>
      </c>
      <c r="G194" s="934">
        <v>4549</v>
      </c>
      <c r="H194" s="934">
        <v>4591</v>
      </c>
    </row>
    <row r="195" spans="1:8">
      <c r="A195" t="s">
        <v>2645</v>
      </c>
      <c r="B195" t="s">
        <v>2528</v>
      </c>
      <c r="C195" s="134">
        <v>4244</v>
      </c>
      <c r="D195" s="134">
        <v>4383</v>
      </c>
      <c r="E195" s="134">
        <v>4358</v>
      </c>
      <c r="F195" s="934">
        <v>4244</v>
      </c>
      <c r="G195" s="934">
        <v>4383</v>
      </c>
      <c r="H195" s="934">
        <v>4358</v>
      </c>
    </row>
    <row r="196" spans="1:8">
      <c r="A196" t="s">
        <v>2646</v>
      </c>
      <c r="B196" t="s">
        <v>1182</v>
      </c>
      <c r="C196" s="134">
        <v>4813</v>
      </c>
      <c r="D196" s="134">
        <v>5062</v>
      </c>
      <c r="E196" s="134">
        <v>4842</v>
      </c>
      <c r="F196" s="934">
        <v>4813</v>
      </c>
      <c r="G196" s="934">
        <v>5062</v>
      </c>
      <c r="H196" s="934">
        <v>4842</v>
      </c>
    </row>
    <row r="197" spans="1:8">
      <c r="A197" t="s">
        <v>331</v>
      </c>
      <c r="B197" t="s">
        <v>2530</v>
      </c>
      <c r="C197" s="134">
        <v>4233</v>
      </c>
      <c r="D197" s="134">
        <v>4774</v>
      </c>
      <c r="E197" s="134">
        <v>4499</v>
      </c>
      <c r="F197" s="934">
        <v>4233</v>
      </c>
      <c r="G197" s="934">
        <v>4774</v>
      </c>
      <c r="H197" s="934">
        <v>4499</v>
      </c>
    </row>
    <row r="198" spans="1:8">
      <c r="A198" t="s">
        <v>1607</v>
      </c>
      <c r="B198" t="s">
        <v>1669</v>
      </c>
      <c r="C198" s="134">
        <v>4646</v>
      </c>
      <c r="D198" s="134">
        <v>4674</v>
      </c>
      <c r="E198" s="134">
        <v>4674</v>
      </c>
      <c r="F198" s="934">
        <v>4646</v>
      </c>
      <c r="G198" s="934">
        <v>4674</v>
      </c>
      <c r="H198" s="934">
        <v>4674</v>
      </c>
    </row>
    <row r="199" spans="1:8">
      <c r="A199" t="s">
        <v>332</v>
      </c>
      <c r="B199" t="s">
        <v>2531</v>
      </c>
      <c r="C199" s="134">
        <v>4544</v>
      </c>
      <c r="D199" s="134">
        <v>4557</v>
      </c>
      <c r="E199" s="134">
        <v>4653</v>
      </c>
      <c r="F199" s="934">
        <v>4544</v>
      </c>
      <c r="G199" s="934">
        <v>4557</v>
      </c>
      <c r="H199" s="934">
        <v>4652</v>
      </c>
    </row>
    <row r="200" spans="1:8">
      <c r="A200" t="s">
        <v>2863</v>
      </c>
      <c r="B200" t="s">
        <v>2705</v>
      </c>
      <c r="C200" s="134">
        <v>4623</v>
      </c>
      <c r="D200" s="134">
        <v>4688</v>
      </c>
      <c r="E200" s="134">
        <v>4688</v>
      </c>
      <c r="F200" s="934">
        <v>4623</v>
      </c>
      <c r="G200" s="934">
        <v>4687</v>
      </c>
      <c r="H200" s="934">
        <v>4687</v>
      </c>
    </row>
    <row r="201" spans="1:8">
      <c r="A201" t="s">
        <v>333</v>
      </c>
      <c r="B201" t="s">
        <v>2532</v>
      </c>
      <c r="C201" s="134">
        <v>4912</v>
      </c>
      <c r="D201" s="134">
        <v>5471</v>
      </c>
      <c r="E201" s="134">
        <v>5598</v>
      </c>
      <c r="F201" s="934">
        <v>4912</v>
      </c>
      <c r="G201" s="934">
        <v>5471</v>
      </c>
      <c r="H201" s="934">
        <v>5598</v>
      </c>
    </row>
    <row r="202" spans="1:8">
      <c r="A202" t="s">
        <v>334</v>
      </c>
      <c r="B202" t="s">
        <v>2533</v>
      </c>
      <c r="C202" s="134">
        <v>4675</v>
      </c>
      <c r="D202" s="134">
        <v>4687</v>
      </c>
      <c r="E202" s="134">
        <v>4726</v>
      </c>
      <c r="F202" s="934">
        <v>4675</v>
      </c>
      <c r="G202" s="934">
        <v>4687</v>
      </c>
      <c r="H202" s="934">
        <v>4726</v>
      </c>
    </row>
    <row r="203" spans="1:8">
      <c r="A203" t="s">
        <v>335</v>
      </c>
      <c r="B203" t="s">
        <v>2534</v>
      </c>
      <c r="C203" s="134">
        <v>4797</v>
      </c>
      <c r="D203" s="134">
        <v>5024</v>
      </c>
      <c r="E203" s="134">
        <v>5069</v>
      </c>
      <c r="F203" s="934">
        <v>4797</v>
      </c>
      <c r="G203" s="934">
        <v>5024</v>
      </c>
      <c r="H203" s="934">
        <v>5069</v>
      </c>
    </row>
    <row r="204" spans="1:8">
      <c r="A204" t="s">
        <v>1962</v>
      </c>
      <c r="B204" t="s">
        <v>2535</v>
      </c>
      <c r="C204" s="134">
        <v>4809</v>
      </c>
      <c r="D204" s="134">
        <v>5418</v>
      </c>
      <c r="E204" s="134">
        <v>4852</v>
      </c>
      <c r="F204" s="934">
        <v>4809</v>
      </c>
      <c r="G204" s="934">
        <v>5418</v>
      </c>
      <c r="H204" s="934">
        <v>4852</v>
      </c>
    </row>
    <row r="205" spans="1:8">
      <c r="A205" t="s">
        <v>1963</v>
      </c>
      <c r="B205" t="s">
        <v>2536</v>
      </c>
      <c r="C205" s="134">
        <v>5084</v>
      </c>
      <c r="D205" s="134">
        <v>4771</v>
      </c>
      <c r="E205" s="134">
        <v>5210</v>
      </c>
      <c r="F205" s="934">
        <v>5084</v>
      </c>
      <c r="G205" s="934">
        <v>4771</v>
      </c>
      <c r="H205" s="934">
        <v>5210</v>
      </c>
    </row>
    <row r="206" spans="1:8">
      <c r="A206" t="s">
        <v>1492</v>
      </c>
      <c r="B206" t="s">
        <v>2537</v>
      </c>
      <c r="C206" s="134">
        <v>4716</v>
      </c>
      <c r="D206" s="134">
        <v>4894</v>
      </c>
      <c r="E206" s="134">
        <v>4906</v>
      </c>
      <c r="F206" s="934">
        <v>4716</v>
      </c>
      <c r="G206" s="934">
        <v>4894</v>
      </c>
      <c r="H206" s="934">
        <v>4906</v>
      </c>
    </row>
    <row r="207" spans="1:8">
      <c r="A207" t="s">
        <v>1267</v>
      </c>
      <c r="B207" t="s">
        <v>2538</v>
      </c>
      <c r="C207" s="134">
        <v>4615</v>
      </c>
      <c r="D207" s="134">
        <v>4728</v>
      </c>
      <c r="E207" s="134">
        <v>4745</v>
      </c>
      <c r="F207" s="934">
        <v>4615</v>
      </c>
      <c r="G207" s="934">
        <v>4728</v>
      </c>
      <c r="H207" s="934">
        <v>4745</v>
      </c>
    </row>
    <row r="208" spans="1:8">
      <c r="A208" t="s">
        <v>2462</v>
      </c>
      <c r="B208" t="s">
        <v>290</v>
      </c>
      <c r="C208" s="134">
        <v>4852</v>
      </c>
      <c r="D208" s="134">
        <v>5467</v>
      </c>
      <c r="E208" s="134">
        <v>5239</v>
      </c>
      <c r="F208" s="934">
        <v>4852</v>
      </c>
      <c r="G208" s="934">
        <v>5467</v>
      </c>
      <c r="H208" s="934">
        <v>5239</v>
      </c>
    </row>
    <row r="209" spans="1:8">
      <c r="A209" t="s">
        <v>1268</v>
      </c>
      <c r="B209" t="s">
        <v>2539</v>
      </c>
      <c r="C209" s="134">
        <v>4453</v>
      </c>
      <c r="D209" s="134">
        <v>4451</v>
      </c>
      <c r="E209" s="134">
        <v>4610</v>
      </c>
      <c r="F209" s="934">
        <v>4453</v>
      </c>
      <c r="G209" s="934">
        <v>4451</v>
      </c>
      <c r="H209" s="934">
        <v>4610</v>
      </c>
    </row>
    <row r="210" spans="1:8">
      <c r="A210" t="s">
        <v>2752</v>
      </c>
      <c r="B210" t="s">
        <v>2951</v>
      </c>
      <c r="C210" s="134">
        <v>4578</v>
      </c>
      <c r="D210" s="134">
        <v>4693</v>
      </c>
      <c r="E210" s="134">
        <v>4638</v>
      </c>
      <c r="F210" s="934">
        <v>4578</v>
      </c>
      <c r="G210" s="934">
        <v>4693</v>
      </c>
      <c r="H210" s="934">
        <v>4638</v>
      </c>
    </row>
    <row r="211" spans="1:8">
      <c r="A211" t="s">
        <v>1269</v>
      </c>
      <c r="B211" t="s">
        <v>2540</v>
      </c>
      <c r="C211" s="134">
        <v>4713</v>
      </c>
      <c r="D211" s="134">
        <v>5030</v>
      </c>
      <c r="E211" s="134">
        <v>4827</v>
      </c>
      <c r="F211" s="934">
        <v>4713</v>
      </c>
      <c r="G211" s="934">
        <v>5029</v>
      </c>
      <c r="H211" s="934">
        <v>4827</v>
      </c>
    </row>
    <row r="212" spans="1:8">
      <c r="A212" t="s">
        <v>779</v>
      </c>
      <c r="B212" t="s">
        <v>2541</v>
      </c>
      <c r="C212" s="134">
        <v>9147</v>
      </c>
      <c r="D212" s="134">
        <v>7986</v>
      </c>
      <c r="E212" s="134">
        <v>7985</v>
      </c>
      <c r="F212" s="934">
        <v>9147</v>
      </c>
      <c r="G212" s="934">
        <v>7986</v>
      </c>
      <c r="H212" s="934">
        <v>7985</v>
      </c>
    </row>
    <row r="213" spans="1:8">
      <c r="A213" t="s">
        <v>780</v>
      </c>
      <c r="B213" t="s">
        <v>1183</v>
      </c>
      <c r="C213" s="134">
        <v>6284</v>
      </c>
      <c r="D213" s="134">
        <v>6592</v>
      </c>
      <c r="E213" s="134">
        <v>6458</v>
      </c>
      <c r="F213" s="934">
        <v>6284</v>
      </c>
      <c r="G213" s="934">
        <v>6592</v>
      </c>
      <c r="H213" s="934">
        <v>6458</v>
      </c>
    </row>
    <row r="214" spans="1:8">
      <c r="A214" t="s">
        <v>781</v>
      </c>
      <c r="B214" t="s">
        <v>1184</v>
      </c>
      <c r="C214" s="134">
        <v>4877</v>
      </c>
      <c r="D214" s="134">
        <v>4795</v>
      </c>
      <c r="E214" s="134">
        <v>4852</v>
      </c>
      <c r="F214" s="934">
        <v>4877</v>
      </c>
      <c r="G214" s="934">
        <v>4795</v>
      </c>
      <c r="H214" s="934">
        <v>4852</v>
      </c>
    </row>
    <row r="215" spans="1:8">
      <c r="A215" t="s">
        <v>782</v>
      </c>
      <c r="B215" t="s">
        <v>739</v>
      </c>
      <c r="C215" s="134">
        <v>4645</v>
      </c>
      <c r="D215" s="134">
        <v>5004</v>
      </c>
      <c r="E215" s="134">
        <v>4735</v>
      </c>
      <c r="F215" s="934">
        <v>4645</v>
      </c>
      <c r="G215" s="934">
        <v>5004</v>
      </c>
      <c r="H215" s="934">
        <v>4735</v>
      </c>
    </row>
    <row r="216" spans="1:8">
      <c r="A216" t="s">
        <v>428</v>
      </c>
      <c r="B216" t="s">
        <v>740</v>
      </c>
      <c r="C216" s="134">
        <v>4176</v>
      </c>
      <c r="D216" s="134">
        <v>4222</v>
      </c>
      <c r="E216" s="134">
        <v>4244</v>
      </c>
      <c r="F216" s="934">
        <v>4176</v>
      </c>
      <c r="G216" s="934">
        <v>4222</v>
      </c>
      <c r="H216" s="934">
        <v>4244</v>
      </c>
    </row>
    <row r="217" spans="1:8">
      <c r="A217" t="s">
        <v>2928</v>
      </c>
      <c r="B217" t="s">
        <v>143</v>
      </c>
      <c r="C217" s="134">
        <v>5242</v>
      </c>
      <c r="D217" s="134">
        <v>5179</v>
      </c>
      <c r="E217" s="134">
        <v>5124</v>
      </c>
      <c r="F217" s="934">
        <v>5242</v>
      </c>
      <c r="G217" s="934">
        <v>5178</v>
      </c>
      <c r="H217" s="934">
        <v>5124</v>
      </c>
    </row>
    <row r="218" spans="1:8">
      <c r="A218" t="s">
        <v>2929</v>
      </c>
      <c r="B218" t="s">
        <v>144</v>
      </c>
      <c r="C218" s="134">
        <v>4404</v>
      </c>
      <c r="D218" s="134">
        <v>4376</v>
      </c>
      <c r="E218" s="134">
        <v>4530</v>
      </c>
      <c r="F218" s="934">
        <v>4404</v>
      </c>
      <c r="G218" s="934">
        <v>4376</v>
      </c>
      <c r="H218" s="934">
        <v>4530</v>
      </c>
    </row>
    <row r="219" spans="1:8">
      <c r="A219" t="s">
        <v>2930</v>
      </c>
      <c r="B219" t="s">
        <v>145</v>
      </c>
      <c r="C219" s="134">
        <v>4693</v>
      </c>
      <c r="D219" s="134">
        <v>4637</v>
      </c>
      <c r="E219" s="134">
        <v>4689</v>
      </c>
      <c r="F219" s="934">
        <v>4693</v>
      </c>
      <c r="G219" s="934">
        <v>4637</v>
      </c>
      <c r="H219" s="934">
        <v>4689</v>
      </c>
    </row>
    <row r="220" spans="1:8">
      <c r="A220" t="s">
        <v>1843</v>
      </c>
      <c r="B220" t="s">
        <v>146</v>
      </c>
      <c r="C220" s="134">
        <v>5013</v>
      </c>
      <c r="D220" s="134">
        <v>5280</v>
      </c>
      <c r="E220" s="134">
        <v>5155</v>
      </c>
      <c r="F220" s="934">
        <v>5013</v>
      </c>
      <c r="G220" s="934">
        <v>5317</v>
      </c>
      <c r="H220" s="934">
        <v>5149</v>
      </c>
    </row>
    <row r="221" spans="1:8">
      <c r="A221" t="s">
        <v>421</v>
      </c>
      <c r="B221" t="s">
        <v>147</v>
      </c>
      <c r="C221" s="134">
        <v>4782</v>
      </c>
      <c r="D221" s="134">
        <v>4853</v>
      </c>
      <c r="E221" s="134">
        <v>4853</v>
      </c>
      <c r="F221" s="934">
        <v>4782</v>
      </c>
      <c r="G221" s="934">
        <v>4853</v>
      </c>
      <c r="H221" s="934">
        <v>4853</v>
      </c>
    </row>
    <row r="222" spans="1:8">
      <c r="A222" t="s">
        <v>422</v>
      </c>
      <c r="B222" t="s">
        <v>148</v>
      </c>
      <c r="C222" s="134">
        <v>4971</v>
      </c>
      <c r="D222" s="134">
        <v>5230</v>
      </c>
      <c r="E222" s="134">
        <v>5087</v>
      </c>
      <c r="F222" s="934">
        <v>4973</v>
      </c>
      <c r="G222" s="934">
        <v>5249</v>
      </c>
      <c r="H222" s="934">
        <v>5088</v>
      </c>
    </row>
    <row r="223" spans="1:8">
      <c r="A223" t="s">
        <v>423</v>
      </c>
      <c r="B223" t="s">
        <v>149</v>
      </c>
      <c r="C223" s="134">
        <v>4651</v>
      </c>
      <c r="D223" s="134">
        <v>4679</v>
      </c>
      <c r="E223" s="134">
        <v>4679</v>
      </c>
      <c r="F223" s="934">
        <v>4651</v>
      </c>
      <c r="G223" s="934">
        <v>4688</v>
      </c>
      <c r="H223" s="934">
        <v>4688</v>
      </c>
    </row>
    <row r="224" spans="1:8">
      <c r="A224" t="s">
        <v>424</v>
      </c>
      <c r="B224" t="s">
        <v>150</v>
      </c>
      <c r="C224" s="134">
        <v>4667</v>
      </c>
      <c r="D224" s="134">
        <v>4678</v>
      </c>
      <c r="E224" s="134">
        <v>4678</v>
      </c>
      <c r="F224" s="934">
        <v>4667</v>
      </c>
      <c r="G224" s="934">
        <v>4689</v>
      </c>
      <c r="H224" s="934">
        <v>4689</v>
      </c>
    </row>
    <row r="225" spans="1:8">
      <c r="A225" t="s">
        <v>2973</v>
      </c>
      <c r="B225" t="s">
        <v>1672</v>
      </c>
      <c r="C225" s="134">
        <v>4537</v>
      </c>
      <c r="D225" s="134">
        <v>4572</v>
      </c>
      <c r="E225" s="134">
        <v>4652</v>
      </c>
      <c r="F225" s="934">
        <v>4537</v>
      </c>
      <c r="G225" s="934">
        <v>4572</v>
      </c>
      <c r="H225" s="934">
        <v>4652</v>
      </c>
    </row>
    <row r="226" spans="1:8">
      <c r="A226" t="s">
        <v>741</v>
      </c>
      <c r="B226" t="s">
        <v>975</v>
      </c>
      <c r="C226" s="134">
        <v>4618</v>
      </c>
      <c r="D226" s="134">
        <v>4624</v>
      </c>
      <c r="E226" s="134">
        <v>4638</v>
      </c>
      <c r="F226" s="934">
        <v>4623</v>
      </c>
      <c r="G226" s="934">
        <v>4629</v>
      </c>
      <c r="H226" s="934">
        <v>4643</v>
      </c>
    </row>
    <row r="227" spans="1:8">
      <c r="A227" t="s">
        <v>579</v>
      </c>
      <c r="B227" t="s">
        <v>151</v>
      </c>
      <c r="C227" s="134">
        <v>5304</v>
      </c>
      <c r="D227" s="134">
        <v>5445</v>
      </c>
      <c r="E227" s="134">
        <v>5608</v>
      </c>
      <c r="F227" s="934">
        <v>5304</v>
      </c>
      <c r="G227" s="934">
        <v>5460</v>
      </c>
      <c r="H227" s="934">
        <v>5624</v>
      </c>
    </row>
    <row r="228" spans="1:8">
      <c r="A228" t="s">
        <v>48</v>
      </c>
      <c r="B228" t="s">
        <v>1441</v>
      </c>
      <c r="C228" s="134">
        <v>4535</v>
      </c>
      <c r="D228" s="134">
        <v>4707</v>
      </c>
      <c r="E228" s="134">
        <v>4656</v>
      </c>
      <c r="F228" s="934">
        <v>4535</v>
      </c>
      <c r="G228" s="934">
        <v>4707</v>
      </c>
      <c r="H228" s="934">
        <v>4656</v>
      </c>
    </row>
    <row r="229" spans="1:8">
      <c r="A229" t="s">
        <v>2028</v>
      </c>
      <c r="B229" t="s">
        <v>152</v>
      </c>
      <c r="C229" s="134">
        <v>4541</v>
      </c>
      <c r="D229" s="134">
        <v>4762</v>
      </c>
      <c r="E229" s="134">
        <v>4648</v>
      </c>
      <c r="F229" s="934">
        <v>4541</v>
      </c>
      <c r="G229" s="934">
        <v>4762</v>
      </c>
      <c r="H229" s="934">
        <v>4648</v>
      </c>
    </row>
    <row r="230" spans="1:8">
      <c r="A230" t="s">
        <v>2898</v>
      </c>
      <c r="B230" t="s">
        <v>2554</v>
      </c>
      <c r="C230" s="134">
        <v>4503</v>
      </c>
      <c r="D230" s="134">
        <v>4523</v>
      </c>
      <c r="E230" s="134">
        <v>4582</v>
      </c>
      <c r="F230" s="934">
        <v>4503</v>
      </c>
      <c r="G230" s="934">
        <v>4523</v>
      </c>
      <c r="H230" s="934">
        <v>4582</v>
      </c>
    </row>
    <row r="231" spans="1:8">
      <c r="A231" t="s">
        <v>2029</v>
      </c>
      <c r="B231" t="s">
        <v>3006</v>
      </c>
      <c r="C231" s="134">
        <v>5012</v>
      </c>
      <c r="D231" s="134">
        <v>5011</v>
      </c>
      <c r="E231" s="134">
        <v>5011</v>
      </c>
      <c r="F231" s="934">
        <v>5012</v>
      </c>
      <c r="G231" s="934">
        <v>5024</v>
      </c>
      <c r="H231" s="934">
        <v>5024</v>
      </c>
    </row>
    <row r="232" spans="1:8">
      <c r="A232" t="s">
        <v>3087</v>
      </c>
      <c r="B232" t="s">
        <v>3007</v>
      </c>
      <c r="C232" s="134">
        <v>5492</v>
      </c>
      <c r="D232" s="134">
        <v>5816</v>
      </c>
      <c r="E232" s="134">
        <v>5973</v>
      </c>
      <c r="F232" s="934">
        <v>5492</v>
      </c>
      <c r="G232" s="934">
        <v>5816</v>
      </c>
      <c r="H232" s="934">
        <v>5972</v>
      </c>
    </row>
    <row r="233" spans="1:8">
      <c r="A233" t="s">
        <v>277</v>
      </c>
      <c r="B233" t="s">
        <v>3008</v>
      </c>
      <c r="C233" s="134">
        <v>5199</v>
      </c>
      <c r="D233" s="134">
        <v>5433</v>
      </c>
      <c r="E233" s="134">
        <v>5179</v>
      </c>
      <c r="F233" s="934">
        <v>5199</v>
      </c>
      <c r="G233" s="934">
        <v>5433</v>
      </c>
      <c r="H233" s="934">
        <v>5179</v>
      </c>
    </row>
    <row r="234" spans="1:8">
      <c r="A234" t="s">
        <v>278</v>
      </c>
      <c r="B234" t="s">
        <v>3060</v>
      </c>
      <c r="C234" s="134">
        <v>6951</v>
      </c>
      <c r="D234" s="134">
        <v>7033</v>
      </c>
      <c r="E234" s="134">
        <v>7219</v>
      </c>
      <c r="F234" s="934">
        <v>6951</v>
      </c>
      <c r="G234" s="934">
        <v>7033</v>
      </c>
      <c r="H234" s="934">
        <v>7219</v>
      </c>
    </row>
    <row r="235" spans="1:8">
      <c r="A235" t="s">
        <v>279</v>
      </c>
      <c r="B235" t="s">
        <v>3009</v>
      </c>
      <c r="C235" s="134">
        <v>6013</v>
      </c>
      <c r="D235" s="134">
        <v>6954</v>
      </c>
      <c r="E235" s="134">
        <v>6590</v>
      </c>
      <c r="F235" s="934">
        <v>6013</v>
      </c>
      <c r="G235" s="934">
        <v>6954</v>
      </c>
      <c r="H235" s="934">
        <v>6590</v>
      </c>
    </row>
    <row r="236" spans="1:8">
      <c r="A236" t="s">
        <v>280</v>
      </c>
      <c r="B236" t="s">
        <v>3010</v>
      </c>
      <c r="C236" s="134">
        <v>4567</v>
      </c>
      <c r="D236" s="134">
        <v>4665</v>
      </c>
      <c r="E236" s="134">
        <v>4631</v>
      </c>
      <c r="F236" s="934">
        <v>4567</v>
      </c>
      <c r="G236" s="934">
        <v>4665</v>
      </c>
      <c r="H236" s="934">
        <v>4631</v>
      </c>
    </row>
    <row r="237" spans="1:8">
      <c r="A237" t="s">
        <v>408</v>
      </c>
      <c r="B237" t="s">
        <v>3011</v>
      </c>
      <c r="C237" s="134">
        <v>5640</v>
      </c>
      <c r="D237" s="134">
        <v>6221</v>
      </c>
      <c r="E237" s="134">
        <v>5884</v>
      </c>
      <c r="F237" s="934">
        <v>5640</v>
      </c>
      <c r="G237" s="934">
        <v>6221</v>
      </c>
      <c r="H237" s="934">
        <v>5884</v>
      </c>
    </row>
    <row r="238" spans="1:8">
      <c r="A238" t="s">
        <v>2130</v>
      </c>
      <c r="B238" t="s">
        <v>2723</v>
      </c>
      <c r="C238" s="134">
        <v>4432</v>
      </c>
      <c r="D238" s="134">
        <v>4531</v>
      </c>
      <c r="E238" s="134">
        <v>4434</v>
      </c>
      <c r="F238" s="934">
        <v>4432</v>
      </c>
      <c r="G238" s="934">
        <v>4531</v>
      </c>
      <c r="H238" s="934">
        <v>4434</v>
      </c>
    </row>
    <row r="239" spans="1:8">
      <c r="A239" t="s">
        <v>1220</v>
      </c>
      <c r="B239" t="s">
        <v>3012</v>
      </c>
      <c r="C239" s="134">
        <v>4081</v>
      </c>
      <c r="D239" s="134">
        <v>4839</v>
      </c>
      <c r="E239" s="134">
        <v>4365</v>
      </c>
      <c r="F239" s="934">
        <v>4081</v>
      </c>
      <c r="G239" s="934">
        <v>4839</v>
      </c>
      <c r="H239" s="934">
        <v>4365</v>
      </c>
    </row>
    <row r="240" spans="1:8">
      <c r="A240" t="s">
        <v>1221</v>
      </c>
      <c r="B240" t="s">
        <v>3013</v>
      </c>
      <c r="C240" s="134">
        <v>4529</v>
      </c>
      <c r="D240" s="134">
        <v>4550</v>
      </c>
      <c r="E240" s="134">
        <v>4559</v>
      </c>
      <c r="F240" s="934">
        <v>4529</v>
      </c>
      <c r="G240" s="934">
        <v>4550</v>
      </c>
      <c r="H240" s="934">
        <v>4559</v>
      </c>
    </row>
    <row r="241" spans="1:8">
      <c r="A241" t="s">
        <v>711</v>
      </c>
      <c r="B241" t="s">
        <v>128</v>
      </c>
      <c r="C241" s="134">
        <v>4635</v>
      </c>
      <c r="D241" s="134">
        <v>4739</v>
      </c>
      <c r="E241" s="134">
        <v>4739</v>
      </c>
      <c r="F241" s="934">
        <v>4635</v>
      </c>
      <c r="G241" s="934">
        <v>4739</v>
      </c>
      <c r="H241" s="934">
        <v>4739</v>
      </c>
    </row>
    <row r="242" spans="1:8">
      <c r="A242" t="s">
        <v>1222</v>
      </c>
      <c r="B242" t="s">
        <v>3014</v>
      </c>
      <c r="C242" s="134">
        <v>5252</v>
      </c>
      <c r="D242" s="134">
        <v>5737</v>
      </c>
      <c r="E242" s="134">
        <v>5728</v>
      </c>
      <c r="F242" s="934">
        <v>5252</v>
      </c>
      <c r="G242" s="934">
        <v>5737</v>
      </c>
      <c r="H242" s="934">
        <v>5728</v>
      </c>
    </row>
    <row r="243" spans="1:8">
      <c r="A243" t="s">
        <v>1989</v>
      </c>
      <c r="B243" t="s">
        <v>2825</v>
      </c>
      <c r="C243" s="134">
        <v>5274</v>
      </c>
      <c r="D243" s="134">
        <v>5461</v>
      </c>
      <c r="E243" s="134">
        <v>5458</v>
      </c>
      <c r="F243" s="934">
        <v>5274</v>
      </c>
      <c r="G243" s="934">
        <v>5461</v>
      </c>
      <c r="H243" s="934">
        <v>5458</v>
      </c>
    </row>
    <row r="244" spans="1:8">
      <c r="A244" t="s">
        <v>240</v>
      </c>
      <c r="B244" t="s">
        <v>1127</v>
      </c>
      <c r="C244" s="134">
        <v>4754</v>
      </c>
      <c r="D244" s="134">
        <v>4688</v>
      </c>
      <c r="E244" s="134">
        <v>4688</v>
      </c>
      <c r="F244" s="934">
        <v>4754</v>
      </c>
      <c r="G244" s="934">
        <v>4687</v>
      </c>
      <c r="H244" s="934">
        <v>4687</v>
      </c>
    </row>
    <row r="245" spans="1:8">
      <c r="A245" t="s">
        <v>815</v>
      </c>
      <c r="B245" t="s">
        <v>1905</v>
      </c>
      <c r="C245" s="134">
        <v>5372</v>
      </c>
      <c r="D245" s="134">
        <v>6504</v>
      </c>
      <c r="E245" s="134">
        <v>5766</v>
      </c>
      <c r="F245" s="934">
        <v>5372</v>
      </c>
      <c r="G245" s="934">
        <v>6504</v>
      </c>
      <c r="H245" s="934">
        <v>5766</v>
      </c>
    </row>
    <row r="246" spans="1:8">
      <c r="A246" t="s">
        <v>242</v>
      </c>
      <c r="B246" t="s">
        <v>1129</v>
      </c>
      <c r="C246" s="134">
        <v>6301</v>
      </c>
      <c r="D246" s="134">
        <v>6830</v>
      </c>
      <c r="E246" s="134">
        <v>6830</v>
      </c>
      <c r="F246" s="934">
        <v>6301</v>
      </c>
      <c r="G246" s="934">
        <v>6830</v>
      </c>
      <c r="H246" s="934">
        <v>6830</v>
      </c>
    </row>
    <row r="247" spans="1:8">
      <c r="A247" t="s">
        <v>1893</v>
      </c>
      <c r="B247" t="s">
        <v>2426</v>
      </c>
      <c r="C247" s="134">
        <v>5014</v>
      </c>
      <c r="D247" s="134">
        <v>5134</v>
      </c>
      <c r="E247" s="134">
        <v>5134</v>
      </c>
      <c r="F247" s="934">
        <v>5014</v>
      </c>
      <c r="G247" s="934">
        <v>5134</v>
      </c>
      <c r="H247" s="934">
        <v>5134</v>
      </c>
    </row>
    <row r="248" spans="1:8">
      <c r="A248" t="s">
        <v>532</v>
      </c>
      <c r="B248" t="s">
        <v>2353</v>
      </c>
      <c r="C248" s="134">
        <v>4946</v>
      </c>
      <c r="D248" s="134">
        <v>4739</v>
      </c>
      <c r="E248" s="134">
        <v>4739</v>
      </c>
      <c r="F248" s="934">
        <v>4946</v>
      </c>
      <c r="G248" s="934">
        <v>4739</v>
      </c>
      <c r="H248" s="934">
        <v>4739</v>
      </c>
    </row>
    <row r="249" spans="1:8">
      <c r="A249" t="s">
        <v>2099</v>
      </c>
      <c r="B249" t="s">
        <v>3015</v>
      </c>
      <c r="C249" s="134">
        <v>5666</v>
      </c>
      <c r="D249" s="134">
        <v>5945</v>
      </c>
      <c r="E249" s="134">
        <v>5925</v>
      </c>
      <c r="F249" s="934">
        <v>5666</v>
      </c>
      <c r="G249" s="934">
        <v>5945</v>
      </c>
      <c r="H249" s="934">
        <v>5925</v>
      </c>
    </row>
    <row r="250" spans="1:8">
      <c r="A250" t="s">
        <v>1590</v>
      </c>
      <c r="B250" t="s">
        <v>1425</v>
      </c>
      <c r="C250" s="134">
        <v>5991</v>
      </c>
      <c r="D250" s="134">
        <v>6460</v>
      </c>
      <c r="E250" s="134">
        <v>6434</v>
      </c>
      <c r="F250" s="934">
        <v>5991</v>
      </c>
      <c r="G250" s="934">
        <v>6460</v>
      </c>
      <c r="H250" s="934">
        <v>6434</v>
      </c>
    </row>
    <row r="251" spans="1:8">
      <c r="A251" t="s">
        <v>68</v>
      </c>
      <c r="B251" t="s">
        <v>2623</v>
      </c>
      <c r="C251" s="134">
        <v>4640</v>
      </c>
      <c r="D251" s="134">
        <v>4813</v>
      </c>
      <c r="E251" s="134">
        <v>4724</v>
      </c>
      <c r="F251" s="934">
        <v>4640</v>
      </c>
      <c r="G251" s="934">
        <v>4813</v>
      </c>
      <c r="H251" s="934">
        <v>4724</v>
      </c>
    </row>
    <row r="252" spans="1:8">
      <c r="A252" t="s">
        <v>712</v>
      </c>
      <c r="B252" t="s">
        <v>1764</v>
      </c>
      <c r="C252" s="134">
        <v>5045</v>
      </c>
      <c r="D252" s="134">
        <v>5028</v>
      </c>
      <c r="E252" s="134">
        <v>5049</v>
      </c>
      <c r="F252" s="934">
        <v>5045</v>
      </c>
      <c r="G252" s="934">
        <v>5028</v>
      </c>
      <c r="H252" s="934">
        <v>5049</v>
      </c>
    </row>
    <row r="253" spans="1:8">
      <c r="A253" t="s">
        <v>2864</v>
      </c>
      <c r="B253" t="s">
        <v>461</v>
      </c>
      <c r="C253" s="134">
        <v>4884</v>
      </c>
      <c r="D253" s="134">
        <v>4727</v>
      </c>
      <c r="E253" s="134">
        <v>4958</v>
      </c>
      <c r="F253" s="934">
        <v>4884</v>
      </c>
      <c r="G253" s="934">
        <v>4727</v>
      </c>
      <c r="H253" s="934">
        <v>4958</v>
      </c>
    </row>
    <row r="254" spans="1:8">
      <c r="A254" t="s">
        <v>2100</v>
      </c>
      <c r="B254" t="s">
        <v>3016</v>
      </c>
      <c r="C254" s="134">
        <v>5049</v>
      </c>
      <c r="D254" s="134">
        <v>4091</v>
      </c>
      <c r="E254" s="134">
        <v>4677</v>
      </c>
      <c r="F254" s="934">
        <v>5049</v>
      </c>
      <c r="G254" s="934">
        <v>4091</v>
      </c>
      <c r="H254" s="934">
        <v>4677</v>
      </c>
    </row>
    <row r="255" spans="1:8">
      <c r="A255" t="s">
        <v>1352</v>
      </c>
      <c r="B255" t="s">
        <v>2511</v>
      </c>
      <c r="C255" s="134">
        <v>4671</v>
      </c>
      <c r="D255" s="134">
        <v>4718</v>
      </c>
      <c r="E255" s="134">
        <v>4718</v>
      </c>
      <c r="F255" s="934">
        <v>4671</v>
      </c>
      <c r="G255" s="934">
        <v>4718</v>
      </c>
      <c r="H255" s="934">
        <v>4718</v>
      </c>
    </row>
    <row r="256" spans="1:8">
      <c r="A256" t="s">
        <v>2101</v>
      </c>
      <c r="B256" t="s">
        <v>3017</v>
      </c>
      <c r="C256" s="134">
        <v>4482</v>
      </c>
      <c r="D256" s="134">
        <v>4280</v>
      </c>
      <c r="E256" s="134">
        <v>4518</v>
      </c>
      <c r="F256" s="934">
        <v>4481</v>
      </c>
      <c r="G256" s="934">
        <v>4280</v>
      </c>
      <c r="H256" s="934">
        <v>4518</v>
      </c>
    </row>
    <row r="257" spans="1:8">
      <c r="A257" t="s">
        <v>796</v>
      </c>
      <c r="B257" t="s">
        <v>3018</v>
      </c>
      <c r="C257" s="134">
        <v>4559</v>
      </c>
      <c r="D257" s="134">
        <v>4780</v>
      </c>
      <c r="E257" s="134">
        <v>4742</v>
      </c>
      <c r="F257" s="934">
        <v>4559</v>
      </c>
      <c r="G257" s="934">
        <v>4780</v>
      </c>
      <c r="H257" s="934">
        <v>4742</v>
      </c>
    </row>
    <row r="258" spans="1:8">
      <c r="A258" t="s">
        <v>330</v>
      </c>
      <c r="B258" t="s">
        <v>3019</v>
      </c>
      <c r="C258" s="134">
        <v>4929</v>
      </c>
      <c r="D258" s="134">
        <v>6160</v>
      </c>
      <c r="E258" s="134">
        <v>5435</v>
      </c>
      <c r="F258" s="934">
        <v>4929</v>
      </c>
      <c r="G258" s="934">
        <v>6160</v>
      </c>
      <c r="H258" s="934">
        <v>5435</v>
      </c>
    </row>
    <row r="259" spans="1:8">
      <c r="A259" t="s">
        <v>203</v>
      </c>
      <c r="B259" t="s">
        <v>3020</v>
      </c>
      <c r="C259" s="134">
        <v>5524</v>
      </c>
      <c r="D259" s="134">
        <v>6234</v>
      </c>
      <c r="E259" s="134">
        <v>5504</v>
      </c>
      <c r="F259" s="934">
        <v>5524</v>
      </c>
      <c r="G259" s="934">
        <v>6234</v>
      </c>
      <c r="H259" s="934">
        <v>5504</v>
      </c>
    </row>
    <row r="260" spans="1:8">
      <c r="A260" t="s">
        <v>204</v>
      </c>
      <c r="B260" t="s">
        <v>3021</v>
      </c>
      <c r="C260" s="134">
        <v>4444</v>
      </c>
      <c r="D260" s="134">
        <v>4602</v>
      </c>
      <c r="E260" s="134">
        <v>4559</v>
      </c>
      <c r="F260" s="934">
        <v>4444</v>
      </c>
      <c r="G260" s="934">
        <v>4602</v>
      </c>
      <c r="H260" s="934">
        <v>4559</v>
      </c>
    </row>
    <row r="261" spans="1:8">
      <c r="A261" t="s">
        <v>816</v>
      </c>
      <c r="B261" t="s">
        <v>37</v>
      </c>
      <c r="C261" s="134">
        <v>4701</v>
      </c>
      <c r="D261" s="134">
        <v>4668</v>
      </c>
      <c r="E261" s="134">
        <v>4668</v>
      </c>
      <c r="F261" s="934">
        <v>4701</v>
      </c>
      <c r="G261" s="934">
        <v>4668</v>
      </c>
      <c r="H261" s="934">
        <v>4668</v>
      </c>
    </row>
    <row r="262" spans="1:8">
      <c r="A262" t="s">
        <v>3025</v>
      </c>
      <c r="B262" t="s">
        <v>2235</v>
      </c>
      <c r="C262" s="134">
        <v>4586</v>
      </c>
      <c r="D262" s="134">
        <v>4551</v>
      </c>
      <c r="E262" s="134">
        <v>4723</v>
      </c>
      <c r="F262" s="934">
        <v>4586</v>
      </c>
      <c r="G262" s="934">
        <v>4551</v>
      </c>
      <c r="H262" s="934">
        <v>4723</v>
      </c>
    </row>
    <row r="263" spans="1:8">
      <c r="A263" t="s">
        <v>1753</v>
      </c>
      <c r="B263" t="s">
        <v>2721</v>
      </c>
      <c r="C263" s="134">
        <v>4606</v>
      </c>
      <c r="D263" s="134">
        <v>4512</v>
      </c>
      <c r="E263" s="134">
        <v>4594</v>
      </c>
      <c r="F263" s="934">
        <v>4606</v>
      </c>
      <c r="G263" s="934">
        <v>4512</v>
      </c>
      <c r="H263" s="934">
        <v>4594</v>
      </c>
    </row>
    <row r="264" spans="1:8">
      <c r="A264" t="s">
        <v>3026</v>
      </c>
      <c r="B264" t="s">
        <v>2236</v>
      </c>
      <c r="C264" s="134">
        <v>4501</v>
      </c>
      <c r="D264" s="134">
        <v>4790</v>
      </c>
      <c r="E264" s="134">
        <v>4547</v>
      </c>
      <c r="F264" s="934">
        <v>4501</v>
      </c>
      <c r="G264" s="934">
        <v>4790</v>
      </c>
      <c r="H264" s="934">
        <v>4547</v>
      </c>
    </row>
    <row r="265" spans="1:8">
      <c r="A265" t="s">
        <v>3027</v>
      </c>
      <c r="B265" t="s">
        <v>2237</v>
      </c>
      <c r="C265" s="134">
        <v>4495</v>
      </c>
      <c r="D265" s="134">
        <v>5515</v>
      </c>
      <c r="E265" s="134">
        <v>4593</v>
      </c>
      <c r="F265" s="934">
        <v>4495</v>
      </c>
      <c r="G265" s="934">
        <v>5515</v>
      </c>
      <c r="H265" s="934">
        <v>4593</v>
      </c>
    </row>
    <row r="266" spans="1:8">
      <c r="A266" t="s">
        <v>817</v>
      </c>
      <c r="B266" t="s">
        <v>2310</v>
      </c>
      <c r="C266" s="134">
        <v>4737</v>
      </c>
      <c r="D266" s="134">
        <v>4308</v>
      </c>
      <c r="E266" s="134">
        <v>4308</v>
      </c>
      <c r="F266" s="934">
        <v>4737</v>
      </c>
      <c r="G266" s="934">
        <v>4308</v>
      </c>
      <c r="H266" s="934">
        <v>4308</v>
      </c>
    </row>
    <row r="267" spans="1:8">
      <c r="A267" t="s">
        <v>776</v>
      </c>
      <c r="B267" t="s">
        <v>2238</v>
      </c>
      <c r="C267" s="134">
        <v>4526</v>
      </c>
      <c r="D267" s="134">
        <v>5164</v>
      </c>
      <c r="E267" s="134">
        <v>4531</v>
      </c>
      <c r="F267" s="934">
        <v>4526</v>
      </c>
      <c r="G267" s="934">
        <v>5164</v>
      </c>
      <c r="H267" s="934">
        <v>4531</v>
      </c>
    </row>
    <row r="268" spans="1:8">
      <c r="A268" t="s">
        <v>2463</v>
      </c>
      <c r="B268" t="s">
        <v>2465</v>
      </c>
      <c r="C268" s="134">
        <v>4368</v>
      </c>
      <c r="D268" s="134">
        <v>5379</v>
      </c>
      <c r="E268" s="134">
        <v>4601</v>
      </c>
      <c r="F268" s="934">
        <v>4368</v>
      </c>
      <c r="G268" s="934">
        <v>5379</v>
      </c>
      <c r="H268" s="934">
        <v>4601</v>
      </c>
    </row>
    <row r="269" spans="1:8">
      <c r="A269" t="s">
        <v>2620</v>
      </c>
      <c r="B269" t="s">
        <v>2239</v>
      </c>
      <c r="C269" s="134">
        <v>4586</v>
      </c>
      <c r="D269" s="134">
        <v>4575</v>
      </c>
      <c r="E269" s="134">
        <v>4634</v>
      </c>
      <c r="F269" s="934">
        <v>4586</v>
      </c>
      <c r="G269" s="934">
        <v>4575</v>
      </c>
      <c r="H269" s="934">
        <v>4634</v>
      </c>
    </row>
    <row r="270" spans="1:8">
      <c r="A270" t="s">
        <v>2007</v>
      </c>
      <c r="B270" t="s">
        <v>2240</v>
      </c>
      <c r="C270" s="134">
        <v>4442</v>
      </c>
      <c r="D270" s="134">
        <v>4440</v>
      </c>
      <c r="E270" s="134">
        <v>4479</v>
      </c>
      <c r="F270" s="934">
        <v>4442</v>
      </c>
      <c r="G270" s="934">
        <v>4440</v>
      </c>
      <c r="H270" s="934">
        <v>4479</v>
      </c>
    </row>
    <row r="271" spans="1:8">
      <c r="A271" t="s">
        <v>672</v>
      </c>
      <c r="B271" t="s">
        <v>2241</v>
      </c>
      <c r="C271" s="134">
        <v>4623</v>
      </c>
      <c r="D271" s="134">
        <v>4732</v>
      </c>
      <c r="E271" s="134">
        <v>4732</v>
      </c>
      <c r="F271" s="934">
        <v>4623</v>
      </c>
      <c r="G271" s="934">
        <v>4732</v>
      </c>
      <c r="H271" s="934">
        <v>4732</v>
      </c>
    </row>
    <row r="272" spans="1:8">
      <c r="A272" t="s">
        <v>1034</v>
      </c>
      <c r="B272" t="s">
        <v>2242</v>
      </c>
      <c r="C272" s="134">
        <v>4142</v>
      </c>
      <c r="D272" s="134">
        <v>4410</v>
      </c>
      <c r="E272" s="134">
        <v>4500</v>
      </c>
      <c r="F272" s="934">
        <v>4142</v>
      </c>
      <c r="G272" s="934">
        <v>4410</v>
      </c>
      <c r="H272" s="934">
        <v>4500</v>
      </c>
    </row>
    <row r="273" spans="1:8">
      <c r="A273" t="s">
        <v>2442</v>
      </c>
      <c r="B273" t="s">
        <v>2243</v>
      </c>
      <c r="C273" s="134">
        <v>4576</v>
      </c>
      <c r="D273" s="134">
        <v>4647</v>
      </c>
      <c r="E273" s="134">
        <v>4575</v>
      </c>
      <c r="F273" s="934">
        <v>4576</v>
      </c>
      <c r="G273" s="934">
        <v>4647</v>
      </c>
      <c r="H273" s="934">
        <v>4575</v>
      </c>
    </row>
    <row r="274" spans="1:8">
      <c r="A274" t="s">
        <v>2976</v>
      </c>
      <c r="B274" t="s">
        <v>2244</v>
      </c>
      <c r="C274" s="134">
        <v>5451</v>
      </c>
      <c r="D274" s="134">
        <v>6249</v>
      </c>
      <c r="E274" s="134">
        <v>5314</v>
      </c>
      <c r="F274" s="934">
        <v>5451</v>
      </c>
      <c r="G274" s="934">
        <v>6249</v>
      </c>
      <c r="H274" s="934">
        <v>5314</v>
      </c>
    </row>
    <row r="275" spans="1:8">
      <c r="A275" t="s">
        <v>2745</v>
      </c>
      <c r="B275" t="s">
        <v>2245</v>
      </c>
      <c r="C275" s="134">
        <v>4717</v>
      </c>
      <c r="D275" s="134">
        <v>4927</v>
      </c>
      <c r="E275" s="134">
        <v>4924</v>
      </c>
      <c r="F275" s="934">
        <v>4717</v>
      </c>
      <c r="G275" s="934">
        <v>4927</v>
      </c>
      <c r="H275" s="934">
        <v>4924</v>
      </c>
    </row>
    <row r="276" spans="1:8">
      <c r="A276" t="s">
        <v>274</v>
      </c>
      <c r="B276" t="s">
        <v>2427</v>
      </c>
      <c r="C276" s="134">
        <v>4241</v>
      </c>
      <c r="D276" s="134">
        <v>4315</v>
      </c>
      <c r="E276" s="134">
        <v>4356</v>
      </c>
      <c r="F276" s="934">
        <v>4241</v>
      </c>
      <c r="G276" s="934">
        <v>4315</v>
      </c>
      <c r="H276" s="934">
        <v>4356</v>
      </c>
    </row>
    <row r="277" spans="1:8">
      <c r="A277" t="s">
        <v>1585</v>
      </c>
      <c r="B277" t="s">
        <v>2246</v>
      </c>
      <c r="C277" s="134">
        <v>4694</v>
      </c>
      <c r="D277" s="134">
        <v>4683</v>
      </c>
      <c r="E277" s="134">
        <v>4744</v>
      </c>
      <c r="F277" s="934">
        <v>4694</v>
      </c>
      <c r="G277" s="934">
        <v>4683</v>
      </c>
      <c r="H277" s="934">
        <v>4744</v>
      </c>
    </row>
    <row r="278" spans="1:8">
      <c r="A278" t="s">
        <v>1586</v>
      </c>
      <c r="B278" t="s">
        <v>2247</v>
      </c>
      <c r="C278" s="134">
        <v>4594</v>
      </c>
      <c r="D278" s="134">
        <v>4619</v>
      </c>
      <c r="E278" s="134">
        <v>4641</v>
      </c>
      <c r="F278" s="934">
        <v>4593</v>
      </c>
      <c r="G278" s="934">
        <v>4619</v>
      </c>
      <c r="H278" s="934">
        <v>4641</v>
      </c>
    </row>
    <row r="279" spans="1:8">
      <c r="A279" t="s">
        <v>818</v>
      </c>
      <c r="B279" t="s">
        <v>1442</v>
      </c>
      <c r="C279" s="134">
        <v>4556</v>
      </c>
      <c r="D279" s="134">
        <v>4525</v>
      </c>
      <c r="E279" s="134">
        <v>4525</v>
      </c>
      <c r="F279" s="934">
        <v>4556</v>
      </c>
      <c r="G279" s="934">
        <v>4524</v>
      </c>
      <c r="H279" s="934">
        <v>4524</v>
      </c>
    </row>
    <row r="280" spans="1:8">
      <c r="A280" t="s">
        <v>1581</v>
      </c>
      <c r="B280" t="s">
        <v>2248</v>
      </c>
      <c r="C280" s="134">
        <v>4820</v>
      </c>
      <c r="D280" s="134">
        <v>5260</v>
      </c>
      <c r="E280" s="134">
        <v>5067</v>
      </c>
      <c r="F280" s="934">
        <v>4820</v>
      </c>
      <c r="G280" s="934">
        <v>5260</v>
      </c>
      <c r="H280" s="934">
        <v>5067</v>
      </c>
    </row>
    <row r="281" spans="1:8">
      <c r="A281" t="s">
        <v>1049</v>
      </c>
      <c r="B281" t="s">
        <v>2249</v>
      </c>
      <c r="C281" s="134">
        <v>4599</v>
      </c>
      <c r="D281" s="134">
        <v>4859</v>
      </c>
      <c r="E281" s="134">
        <v>4647</v>
      </c>
      <c r="F281" s="934">
        <v>4599</v>
      </c>
      <c r="G281" s="934">
        <v>4859</v>
      </c>
      <c r="H281" s="934">
        <v>4647</v>
      </c>
    </row>
    <row r="282" spans="1:8">
      <c r="A282" t="s">
        <v>275</v>
      </c>
      <c r="B282" t="s">
        <v>1539</v>
      </c>
      <c r="C282" s="134">
        <v>4617</v>
      </c>
      <c r="D282" s="134">
        <v>4573</v>
      </c>
      <c r="E282" s="134">
        <v>4573</v>
      </c>
      <c r="F282" s="934">
        <v>4617</v>
      </c>
      <c r="G282" s="934">
        <v>4573</v>
      </c>
      <c r="H282" s="934">
        <v>4573</v>
      </c>
    </row>
    <row r="283" spans="1:8">
      <c r="A283" t="s">
        <v>2382</v>
      </c>
      <c r="B283" t="s">
        <v>92</v>
      </c>
      <c r="C283" s="134">
        <v>4678</v>
      </c>
      <c r="D283" s="134">
        <v>4761</v>
      </c>
      <c r="E283" s="134">
        <v>4761</v>
      </c>
      <c r="F283" s="934">
        <v>4678</v>
      </c>
      <c r="G283" s="934">
        <v>4761</v>
      </c>
      <c r="H283" s="934">
        <v>4761</v>
      </c>
    </row>
    <row r="284" spans="1:8">
      <c r="A284" t="s">
        <v>375</v>
      </c>
      <c r="B284" t="s">
        <v>160</v>
      </c>
      <c r="C284" s="134">
        <v>4771</v>
      </c>
      <c r="D284" s="134">
        <v>5201</v>
      </c>
      <c r="E284" s="134">
        <v>5156</v>
      </c>
      <c r="F284" s="934">
        <v>4771</v>
      </c>
      <c r="G284" s="934">
        <v>5201</v>
      </c>
      <c r="H284" s="934">
        <v>5156</v>
      </c>
    </row>
    <row r="285" spans="1:8">
      <c r="A285" t="s">
        <v>819</v>
      </c>
      <c r="B285" t="s">
        <v>2269</v>
      </c>
      <c r="C285" s="134">
        <v>4610</v>
      </c>
      <c r="D285" s="134">
        <v>4659</v>
      </c>
      <c r="E285" s="134">
        <v>4707</v>
      </c>
      <c r="F285" s="934">
        <v>4610</v>
      </c>
      <c r="G285" s="934">
        <v>4659</v>
      </c>
      <c r="H285" s="934">
        <v>4706</v>
      </c>
    </row>
    <row r="286" spans="1:8">
      <c r="A286" t="s">
        <v>629</v>
      </c>
      <c r="B286" t="s">
        <v>1331</v>
      </c>
      <c r="C286" s="134">
        <v>4628</v>
      </c>
      <c r="D286" s="134">
        <v>4679</v>
      </c>
      <c r="E286" s="134">
        <v>4625</v>
      </c>
      <c r="F286" s="934">
        <v>4628</v>
      </c>
      <c r="G286" s="934">
        <v>4679</v>
      </c>
      <c r="H286" s="934">
        <v>4625</v>
      </c>
    </row>
    <row r="287" spans="1:8">
      <c r="A287" t="s">
        <v>2767</v>
      </c>
      <c r="B287" t="s">
        <v>2250</v>
      </c>
      <c r="C287" s="134">
        <v>4606</v>
      </c>
      <c r="D287" s="134">
        <v>4838</v>
      </c>
      <c r="E287" s="134">
        <v>4789</v>
      </c>
      <c r="F287" s="934">
        <v>4606</v>
      </c>
      <c r="G287" s="934">
        <v>4838</v>
      </c>
      <c r="H287" s="934">
        <v>4789</v>
      </c>
    </row>
    <row r="288" spans="1:8">
      <c r="A288" t="s">
        <v>878</v>
      </c>
      <c r="B288" t="s">
        <v>1004</v>
      </c>
      <c r="C288" s="134">
        <v>4505</v>
      </c>
      <c r="D288" s="134">
        <v>4544</v>
      </c>
      <c r="E288" s="134">
        <v>4539</v>
      </c>
      <c r="F288" s="934">
        <v>4505</v>
      </c>
      <c r="G288" s="934">
        <v>4544</v>
      </c>
      <c r="H288" s="934">
        <v>4539</v>
      </c>
    </row>
    <row r="289" spans="1:8">
      <c r="A289" t="s">
        <v>212</v>
      </c>
      <c r="B289" t="s">
        <v>2311</v>
      </c>
      <c r="C289" s="134">
        <v>4451</v>
      </c>
      <c r="D289" s="134">
        <v>4354</v>
      </c>
      <c r="E289" s="134">
        <v>4354</v>
      </c>
      <c r="F289" s="934">
        <v>4451</v>
      </c>
      <c r="G289" s="934">
        <v>4354</v>
      </c>
      <c r="H289" s="934">
        <v>4354</v>
      </c>
    </row>
    <row r="290" spans="1:8">
      <c r="A290" t="s">
        <v>1353</v>
      </c>
      <c r="B290" t="s">
        <v>861</v>
      </c>
      <c r="C290" s="134">
        <v>4272</v>
      </c>
      <c r="D290" s="134">
        <v>4410</v>
      </c>
      <c r="E290" s="134">
        <v>4388</v>
      </c>
      <c r="F290" s="934">
        <v>4272</v>
      </c>
      <c r="G290" s="934">
        <v>4410</v>
      </c>
      <c r="H290" s="934">
        <v>4388</v>
      </c>
    </row>
    <row r="291" spans="1:8">
      <c r="A291" t="s">
        <v>2401</v>
      </c>
      <c r="B291" t="s">
        <v>153</v>
      </c>
      <c r="C291" s="134">
        <v>4562</v>
      </c>
      <c r="D291" s="134">
        <v>4683</v>
      </c>
      <c r="E291" s="134">
        <v>4588</v>
      </c>
      <c r="F291" s="934">
        <v>4562</v>
      </c>
      <c r="G291" s="934">
        <v>4683</v>
      </c>
      <c r="H291" s="934">
        <v>4588</v>
      </c>
    </row>
    <row r="292" spans="1:8">
      <c r="A292" t="s">
        <v>2157</v>
      </c>
      <c r="B292" t="s">
        <v>728</v>
      </c>
      <c r="C292" s="134">
        <v>4737</v>
      </c>
      <c r="D292" s="134">
        <v>4903</v>
      </c>
      <c r="E292" s="134">
        <v>4848</v>
      </c>
      <c r="F292" s="934">
        <v>4737</v>
      </c>
      <c r="G292" s="934">
        <v>4903</v>
      </c>
      <c r="H292" s="934">
        <v>4848</v>
      </c>
    </row>
    <row r="293" spans="1:8">
      <c r="A293" t="s">
        <v>1710</v>
      </c>
      <c r="B293" t="s">
        <v>661</v>
      </c>
      <c r="C293" s="134">
        <v>4562</v>
      </c>
      <c r="D293" s="134">
        <v>4728</v>
      </c>
      <c r="E293" s="134">
        <v>4728</v>
      </c>
      <c r="F293" s="934">
        <v>4562</v>
      </c>
      <c r="G293" s="934">
        <v>4728</v>
      </c>
      <c r="H293" s="934">
        <v>4728</v>
      </c>
    </row>
    <row r="294" spans="1:8">
      <c r="A294" t="s">
        <v>1315</v>
      </c>
      <c r="B294" t="s">
        <v>2204</v>
      </c>
      <c r="C294" s="134">
        <v>4579</v>
      </c>
      <c r="D294" s="134">
        <v>4595</v>
      </c>
      <c r="E294" s="134">
        <v>4623</v>
      </c>
      <c r="F294" s="934">
        <v>4579</v>
      </c>
      <c r="G294" s="934">
        <v>4595</v>
      </c>
      <c r="H294" s="934">
        <v>4623</v>
      </c>
    </row>
    <row r="295" spans="1:8">
      <c r="A295" t="s">
        <v>2768</v>
      </c>
      <c r="B295" t="s">
        <v>2251</v>
      </c>
      <c r="C295" s="134">
        <v>4501</v>
      </c>
      <c r="D295" s="134">
        <v>4332</v>
      </c>
      <c r="E295" s="134">
        <v>4720</v>
      </c>
      <c r="F295" s="934">
        <v>4501</v>
      </c>
      <c r="G295" s="934">
        <v>4332</v>
      </c>
      <c r="H295" s="934">
        <v>4720</v>
      </c>
    </row>
    <row r="296" spans="1:8">
      <c r="A296" t="s">
        <v>2769</v>
      </c>
      <c r="B296" t="s">
        <v>2252</v>
      </c>
      <c r="C296" s="134">
        <v>4434</v>
      </c>
      <c r="D296" s="134">
        <v>4454</v>
      </c>
      <c r="E296" s="134">
        <v>4625</v>
      </c>
      <c r="F296" s="934">
        <v>4434</v>
      </c>
      <c r="G296" s="934">
        <v>4454</v>
      </c>
      <c r="H296" s="934">
        <v>4625</v>
      </c>
    </row>
    <row r="297" spans="1:8">
      <c r="A297" t="s">
        <v>1704</v>
      </c>
      <c r="B297" t="s">
        <v>2214</v>
      </c>
      <c r="C297" s="134">
        <v>4756</v>
      </c>
      <c r="D297" s="134">
        <v>4871</v>
      </c>
      <c r="E297" s="134">
        <v>4871</v>
      </c>
      <c r="F297" s="934">
        <v>4756</v>
      </c>
      <c r="G297" s="934">
        <v>4871</v>
      </c>
      <c r="H297" s="934">
        <v>4871</v>
      </c>
    </row>
    <row r="298" spans="1:8">
      <c r="A298" t="s">
        <v>2091</v>
      </c>
      <c r="B298" t="s">
        <v>2253</v>
      </c>
      <c r="C298" s="134">
        <v>5879</v>
      </c>
      <c r="D298" s="134">
        <v>5406</v>
      </c>
      <c r="E298" s="134">
        <v>5637</v>
      </c>
      <c r="F298" s="934">
        <v>5879</v>
      </c>
      <c r="G298" s="934">
        <v>5406</v>
      </c>
      <c r="H298" s="934">
        <v>5637</v>
      </c>
    </row>
    <row r="299" spans="1:8">
      <c r="A299" t="s">
        <v>2092</v>
      </c>
      <c r="B299" t="s">
        <v>2254</v>
      </c>
      <c r="C299" s="134">
        <v>5219</v>
      </c>
      <c r="D299" s="134">
        <v>4973</v>
      </c>
      <c r="E299" s="134">
        <v>5056</v>
      </c>
      <c r="F299" s="934">
        <v>5219</v>
      </c>
      <c r="G299" s="934">
        <v>4973</v>
      </c>
      <c r="H299" s="934">
        <v>5056</v>
      </c>
    </row>
    <row r="300" spans="1:8">
      <c r="A300" t="s">
        <v>1400</v>
      </c>
      <c r="B300" t="s">
        <v>2827</v>
      </c>
      <c r="C300" s="134">
        <v>4625</v>
      </c>
      <c r="D300" s="134">
        <v>4753</v>
      </c>
      <c r="E300" s="134">
        <v>4834</v>
      </c>
      <c r="F300" s="934">
        <v>4625</v>
      </c>
      <c r="G300" s="934">
        <v>4753</v>
      </c>
      <c r="H300" s="934">
        <v>4834</v>
      </c>
    </row>
    <row r="301" spans="1:8">
      <c r="A301" t="s">
        <v>2093</v>
      </c>
      <c r="B301" t="s">
        <v>2255</v>
      </c>
      <c r="C301" s="134">
        <v>4550</v>
      </c>
      <c r="D301" s="134">
        <v>4966</v>
      </c>
      <c r="E301" s="134">
        <v>5016</v>
      </c>
      <c r="F301" s="934">
        <v>4550</v>
      </c>
      <c r="G301" s="934">
        <v>4966</v>
      </c>
      <c r="H301" s="934">
        <v>5016</v>
      </c>
    </row>
    <row r="302" spans="1:8">
      <c r="A302" t="s">
        <v>229</v>
      </c>
      <c r="B302" t="s">
        <v>1185</v>
      </c>
      <c r="C302" s="134">
        <v>4209</v>
      </c>
      <c r="D302" s="134">
        <v>4254</v>
      </c>
      <c r="E302" s="134">
        <v>4259</v>
      </c>
      <c r="F302" s="934">
        <v>4209</v>
      </c>
      <c r="G302" s="934">
        <v>4254</v>
      </c>
      <c r="H302" s="934">
        <v>4259</v>
      </c>
    </row>
    <row r="303" spans="1:8">
      <c r="A303" t="s">
        <v>2095</v>
      </c>
      <c r="B303" t="s">
        <v>2357</v>
      </c>
      <c r="C303" s="134">
        <v>4324</v>
      </c>
      <c r="D303" s="134">
        <v>4205</v>
      </c>
      <c r="E303" s="134">
        <v>4381</v>
      </c>
      <c r="F303" s="934">
        <v>4324</v>
      </c>
      <c r="G303" s="934">
        <v>4205</v>
      </c>
      <c r="H303" s="934">
        <v>4381</v>
      </c>
    </row>
    <row r="304" spans="1:8">
      <c r="A304" t="s">
        <v>2103</v>
      </c>
      <c r="B304" t="s">
        <v>1508</v>
      </c>
      <c r="C304" s="134">
        <v>3932</v>
      </c>
      <c r="D304" s="134">
        <v>3990</v>
      </c>
      <c r="E304" s="134">
        <v>3937</v>
      </c>
      <c r="F304" s="934">
        <v>3932</v>
      </c>
      <c r="G304" s="934">
        <v>3990</v>
      </c>
      <c r="H304" s="934">
        <v>3937</v>
      </c>
    </row>
    <row r="305" spans="1:8">
      <c r="A305" t="s">
        <v>230</v>
      </c>
      <c r="B305" t="s">
        <v>2257</v>
      </c>
      <c r="C305" s="134">
        <v>4251</v>
      </c>
      <c r="D305" s="134">
        <v>4321</v>
      </c>
      <c r="E305" s="134">
        <v>4317</v>
      </c>
      <c r="F305" s="934">
        <v>4251</v>
      </c>
      <c r="G305" s="934">
        <v>4321</v>
      </c>
      <c r="H305" s="934">
        <v>4317</v>
      </c>
    </row>
    <row r="306" spans="1:8">
      <c r="A306" t="s">
        <v>231</v>
      </c>
      <c r="B306" t="s">
        <v>1</v>
      </c>
      <c r="C306" s="134">
        <v>4571</v>
      </c>
      <c r="D306" s="134">
        <v>4627</v>
      </c>
      <c r="E306" s="134">
        <v>4627</v>
      </c>
      <c r="F306" s="934">
        <v>4571</v>
      </c>
      <c r="G306" s="934">
        <v>4627</v>
      </c>
      <c r="H306" s="934">
        <v>4627</v>
      </c>
    </row>
    <row r="307" spans="1:8">
      <c r="A307" t="s">
        <v>1401</v>
      </c>
      <c r="B307" t="s">
        <v>2495</v>
      </c>
      <c r="C307" s="134">
        <v>4299</v>
      </c>
      <c r="D307" s="134">
        <v>4536</v>
      </c>
      <c r="E307" s="134">
        <v>4454</v>
      </c>
      <c r="F307" s="934">
        <v>4299</v>
      </c>
      <c r="G307" s="934">
        <v>4536</v>
      </c>
      <c r="H307" s="934">
        <v>4454</v>
      </c>
    </row>
    <row r="308" spans="1:8">
      <c r="A308" t="s">
        <v>820</v>
      </c>
      <c r="B308" t="s">
        <v>1216</v>
      </c>
      <c r="C308" s="134">
        <v>4528</v>
      </c>
      <c r="D308" s="134">
        <v>4602</v>
      </c>
      <c r="E308" s="134">
        <v>4580</v>
      </c>
      <c r="F308" s="934">
        <v>4528</v>
      </c>
      <c r="G308" s="934">
        <v>4602</v>
      </c>
      <c r="H308" s="934">
        <v>4580</v>
      </c>
    </row>
    <row r="309" spans="1:8">
      <c r="A309" t="s">
        <v>232</v>
      </c>
      <c r="B309" t="s">
        <v>2</v>
      </c>
      <c r="C309" s="134">
        <v>4346</v>
      </c>
      <c r="D309" s="134">
        <v>4533</v>
      </c>
      <c r="E309" s="134">
        <v>4456</v>
      </c>
      <c r="F309" s="934">
        <v>4346</v>
      </c>
      <c r="G309" s="934">
        <v>4533</v>
      </c>
      <c r="H309" s="934">
        <v>4456</v>
      </c>
    </row>
    <row r="310" spans="1:8">
      <c r="A310" t="s">
        <v>233</v>
      </c>
      <c r="B310" t="s">
        <v>3</v>
      </c>
      <c r="C310" s="134">
        <v>4490</v>
      </c>
      <c r="D310" s="134">
        <v>4520</v>
      </c>
      <c r="E310" s="134">
        <v>4558</v>
      </c>
      <c r="F310" s="934">
        <v>4490</v>
      </c>
      <c r="G310" s="934">
        <v>4520</v>
      </c>
      <c r="H310" s="934">
        <v>4558</v>
      </c>
    </row>
    <row r="311" spans="1:8">
      <c r="A311" t="s">
        <v>1960</v>
      </c>
      <c r="B311" t="s">
        <v>4</v>
      </c>
      <c r="C311" s="134">
        <v>3840</v>
      </c>
      <c r="D311" s="134">
        <v>4554</v>
      </c>
      <c r="E311" s="134">
        <v>4375</v>
      </c>
      <c r="F311" s="934">
        <v>3840</v>
      </c>
      <c r="G311" s="934">
        <v>4554</v>
      </c>
      <c r="H311" s="934">
        <v>4375</v>
      </c>
    </row>
    <row r="312" spans="1:8">
      <c r="A312" t="s">
        <v>1961</v>
      </c>
      <c r="B312" t="s">
        <v>5</v>
      </c>
      <c r="C312" s="134">
        <v>4496</v>
      </c>
      <c r="D312" s="134">
        <v>4625</v>
      </c>
      <c r="E312" s="134">
        <v>4571</v>
      </c>
      <c r="F312" s="934">
        <v>4496</v>
      </c>
      <c r="G312" s="934">
        <v>4625</v>
      </c>
      <c r="H312" s="934">
        <v>4571</v>
      </c>
    </row>
    <row r="313" spans="1:8">
      <c r="A313" t="s">
        <v>1402</v>
      </c>
      <c r="B313" t="s">
        <v>2306</v>
      </c>
      <c r="C313" s="134">
        <v>4381</v>
      </c>
      <c r="D313" s="134">
        <v>4569</v>
      </c>
      <c r="E313" s="134">
        <v>4451</v>
      </c>
      <c r="F313" s="934">
        <v>4381</v>
      </c>
      <c r="G313" s="934">
        <v>4569</v>
      </c>
      <c r="H313" s="934">
        <v>4451</v>
      </c>
    </row>
    <row r="314" spans="1:8">
      <c r="A314" t="s">
        <v>2948</v>
      </c>
      <c r="B314" t="s">
        <v>502</v>
      </c>
      <c r="C314" s="134">
        <v>4534</v>
      </c>
      <c r="D314" s="134">
        <v>4645</v>
      </c>
      <c r="E314" s="134">
        <v>4725</v>
      </c>
      <c r="F314" s="934">
        <v>4534</v>
      </c>
      <c r="G314" s="934">
        <v>4645</v>
      </c>
      <c r="H314" s="934">
        <v>4725</v>
      </c>
    </row>
    <row r="315" spans="1:8">
      <c r="A315" t="s">
        <v>1911</v>
      </c>
      <c r="B315" t="s">
        <v>503</v>
      </c>
      <c r="C315" s="134">
        <v>5292</v>
      </c>
      <c r="D315" s="134">
        <v>5690</v>
      </c>
      <c r="E315" s="134">
        <v>5614</v>
      </c>
      <c r="F315" s="934">
        <v>5292</v>
      </c>
      <c r="G315" s="934">
        <v>5690</v>
      </c>
      <c r="H315" s="934">
        <v>5614</v>
      </c>
    </row>
    <row r="316" spans="1:8">
      <c r="A316" t="s">
        <v>1912</v>
      </c>
      <c r="B316" t="s">
        <v>504</v>
      </c>
      <c r="C316" s="134">
        <v>4568</v>
      </c>
      <c r="D316" s="134">
        <v>4558</v>
      </c>
      <c r="E316" s="134">
        <v>4761</v>
      </c>
      <c r="F316" s="934">
        <v>4568</v>
      </c>
      <c r="G316" s="934">
        <v>4558</v>
      </c>
      <c r="H316" s="934">
        <v>4760</v>
      </c>
    </row>
    <row r="317" spans="1:8">
      <c r="A317" t="s">
        <v>1037</v>
      </c>
      <c r="B317" t="s">
        <v>505</v>
      </c>
      <c r="C317" s="134">
        <v>5579</v>
      </c>
      <c r="D317" s="134">
        <v>5469</v>
      </c>
      <c r="E317" s="134">
        <v>5469</v>
      </c>
      <c r="F317" s="934">
        <v>5579</v>
      </c>
      <c r="G317" s="934">
        <v>5469</v>
      </c>
      <c r="H317" s="934">
        <v>5469</v>
      </c>
    </row>
    <row r="318" spans="1:8">
      <c r="A318" t="s">
        <v>73</v>
      </c>
      <c r="B318" t="s">
        <v>205</v>
      </c>
      <c r="C318" s="134">
        <v>5566</v>
      </c>
      <c r="D318" s="134">
        <v>5742</v>
      </c>
      <c r="E318" s="134">
        <v>5838</v>
      </c>
      <c r="F318" s="934">
        <v>5566</v>
      </c>
      <c r="G318" s="934">
        <v>5742</v>
      </c>
      <c r="H318" s="934">
        <v>5838</v>
      </c>
    </row>
    <row r="319" spans="1:8">
      <c r="A319" t="s">
        <v>853</v>
      </c>
      <c r="B319" t="s">
        <v>1186</v>
      </c>
      <c r="C319" s="134">
        <v>4582</v>
      </c>
      <c r="D319" s="134">
        <v>4563</v>
      </c>
      <c r="E319" s="134">
        <v>4563</v>
      </c>
      <c r="F319" s="934">
        <v>4582</v>
      </c>
      <c r="G319" s="934">
        <v>4563</v>
      </c>
      <c r="H319" s="934">
        <v>4563</v>
      </c>
    </row>
    <row r="320" spans="1:8">
      <c r="A320" t="s">
        <v>2865</v>
      </c>
      <c r="B320" t="s">
        <v>665</v>
      </c>
      <c r="C320" s="134">
        <v>4485</v>
      </c>
      <c r="D320" s="134">
        <v>4497</v>
      </c>
      <c r="E320" s="134">
        <v>4497</v>
      </c>
      <c r="F320" s="934">
        <v>4485</v>
      </c>
      <c r="G320" s="934">
        <v>4497</v>
      </c>
      <c r="H320" s="934">
        <v>4497</v>
      </c>
    </row>
    <row r="321" spans="1:8">
      <c r="A321" t="s">
        <v>697</v>
      </c>
      <c r="B321" t="s">
        <v>958</v>
      </c>
      <c r="C321" s="134">
        <v>4633</v>
      </c>
      <c r="D321" s="134">
        <v>4627</v>
      </c>
      <c r="E321" s="134">
        <v>4627</v>
      </c>
      <c r="F321" s="934">
        <v>4633</v>
      </c>
      <c r="G321" s="934">
        <v>4627</v>
      </c>
      <c r="H321" s="934">
        <v>4627</v>
      </c>
    </row>
    <row r="322" spans="1:8">
      <c r="A322" t="s">
        <v>698</v>
      </c>
      <c r="B322" t="s">
        <v>959</v>
      </c>
      <c r="C322" s="134">
        <v>4590</v>
      </c>
      <c r="D322" s="134">
        <v>4475</v>
      </c>
      <c r="E322" s="134">
        <v>4475</v>
      </c>
      <c r="F322" s="934">
        <v>4590</v>
      </c>
      <c r="G322" s="934">
        <v>4475</v>
      </c>
      <c r="H322" s="934">
        <v>4475</v>
      </c>
    </row>
    <row r="323" spans="1:8">
      <c r="A323" t="s">
        <v>699</v>
      </c>
      <c r="B323" t="s">
        <v>960</v>
      </c>
      <c r="C323" s="134">
        <v>4248</v>
      </c>
      <c r="D323" s="134">
        <v>4464</v>
      </c>
      <c r="E323" s="134">
        <v>4458</v>
      </c>
      <c r="F323" s="934">
        <v>4248</v>
      </c>
      <c r="G323" s="934">
        <v>4464</v>
      </c>
      <c r="H323" s="934">
        <v>4458</v>
      </c>
    </row>
    <row r="324" spans="1:8">
      <c r="A324" t="s">
        <v>700</v>
      </c>
      <c r="B324" t="s">
        <v>1187</v>
      </c>
      <c r="C324" s="134">
        <v>5109</v>
      </c>
      <c r="D324" s="134">
        <v>5333</v>
      </c>
      <c r="E324" s="134">
        <v>5317</v>
      </c>
      <c r="F324" s="934">
        <v>5109</v>
      </c>
      <c r="G324" s="934">
        <v>5333</v>
      </c>
      <c r="H324" s="934">
        <v>5317</v>
      </c>
    </row>
    <row r="325" spans="1:8">
      <c r="A325" t="s">
        <v>2906</v>
      </c>
      <c r="B325" t="s">
        <v>1006</v>
      </c>
      <c r="C325" s="134">
        <v>4734</v>
      </c>
      <c r="D325" s="134">
        <v>4826</v>
      </c>
      <c r="E325" s="134">
        <v>4826</v>
      </c>
      <c r="F325" s="934">
        <v>4734</v>
      </c>
      <c r="G325" s="934">
        <v>4826</v>
      </c>
      <c r="H325" s="934">
        <v>4826</v>
      </c>
    </row>
    <row r="326" spans="1:8">
      <c r="A326" t="s">
        <v>1602</v>
      </c>
      <c r="B326" t="s">
        <v>133</v>
      </c>
      <c r="C326" s="134">
        <v>4826</v>
      </c>
      <c r="D326" s="134">
        <v>4871</v>
      </c>
      <c r="E326" s="134">
        <v>4871</v>
      </c>
      <c r="F326" s="934">
        <v>4826</v>
      </c>
      <c r="G326" s="934">
        <v>4871</v>
      </c>
      <c r="H326" s="934">
        <v>4871</v>
      </c>
    </row>
    <row r="327" spans="1:8">
      <c r="A327" t="s">
        <v>701</v>
      </c>
      <c r="B327" t="s">
        <v>962</v>
      </c>
      <c r="C327" s="134">
        <v>5058</v>
      </c>
      <c r="D327" s="134">
        <v>5507</v>
      </c>
      <c r="E327" s="134">
        <v>5177</v>
      </c>
      <c r="F327" s="934">
        <v>5058</v>
      </c>
      <c r="G327" s="934">
        <v>5507</v>
      </c>
      <c r="H327" s="934">
        <v>5177</v>
      </c>
    </row>
    <row r="328" spans="1:8">
      <c r="A328" t="s">
        <v>2647</v>
      </c>
      <c r="B328" t="s">
        <v>1188</v>
      </c>
      <c r="C328" s="134">
        <v>5078</v>
      </c>
      <c r="D328" s="134">
        <v>5053</v>
      </c>
      <c r="E328" s="134">
        <v>5083</v>
      </c>
      <c r="F328" s="934">
        <v>5078</v>
      </c>
      <c r="G328" s="934">
        <v>5053</v>
      </c>
      <c r="H328" s="934">
        <v>5083</v>
      </c>
    </row>
    <row r="329" spans="1:8">
      <c r="A329" t="s">
        <v>2290</v>
      </c>
      <c r="B329" t="s">
        <v>964</v>
      </c>
      <c r="C329" s="134">
        <v>4815</v>
      </c>
      <c r="D329" s="134">
        <v>5155</v>
      </c>
      <c r="E329" s="134">
        <v>5105</v>
      </c>
      <c r="F329" s="934">
        <v>4815</v>
      </c>
      <c r="G329" s="934">
        <v>5155</v>
      </c>
      <c r="H329" s="934">
        <v>5105</v>
      </c>
    </row>
    <row r="330" spans="1:8">
      <c r="A330" t="s">
        <v>1478</v>
      </c>
      <c r="B330" t="s">
        <v>965</v>
      </c>
      <c r="C330" s="134">
        <v>5587</v>
      </c>
      <c r="D330" s="134">
        <v>5767</v>
      </c>
      <c r="E330" s="134">
        <v>5906</v>
      </c>
      <c r="F330" s="934">
        <v>5587</v>
      </c>
      <c r="G330" s="934">
        <v>5767</v>
      </c>
      <c r="H330" s="934">
        <v>5906</v>
      </c>
    </row>
    <row r="331" spans="1:8">
      <c r="A331" t="s">
        <v>2192</v>
      </c>
      <c r="B331" t="s">
        <v>966</v>
      </c>
      <c r="C331" s="134">
        <v>6492</v>
      </c>
      <c r="D331" s="134">
        <v>6604</v>
      </c>
      <c r="E331" s="134">
        <v>6604</v>
      </c>
      <c r="F331" s="934">
        <v>6492</v>
      </c>
      <c r="G331" s="934">
        <v>6604</v>
      </c>
      <c r="H331" s="934">
        <v>6604</v>
      </c>
    </row>
    <row r="332" spans="1:8">
      <c r="A332" t="s">
        <v>2198</v>
      </c>
      <c r="B332" t="s">
        <v>967</v>
      </c>
      <c r="C332" s="134">
        <v>4722</v>
      </c>
      <c r="D332" s="134">
        <v>5047</v>
      </c>
      <c r="E332" s="134">
        <v>5044</v>
      </c>
      <c r="F332" s="934">
        <v>4722</v>
      </c>
      <c r="G332" s="934">
        <v>5047</v>
      </c>
      <c r="H332" s="934">
        <v>5044</v>
      </c>
    </row>
    <row r="333" spans="1:8">
      <c r="A333" t="s">
        <v>2199</v>
      </c>
      <c r="B333" t="s">
        <v>968</v>
      </c>
      <c r="C333" s="134">
        <v>5789</v>
      </c>
      <c r="D333" s="134">
        <v>6149</v>
      </c>
      <c r="E333" s="134">
        <v>6566</v>
      </c>
      <c r="F333" s="934">
        <v>5789</v>
      </c>
      <c r="G333" s="934">
        <v>6149</v>
      </c>
      <c r="H333" s="934">
        <v>6566</v>
      </c>
    </row>
    <row r="334" spans="1:8">
      <c r="A334" t="s">
        <v>1403</v>
      </c>
      <c r="B334" t="s">
        <v>2494</v>
      </c>
      <c r="C334" s="134">
        <v>4430</v>
      </c>
      <c r="D334" s="134">
        <v>4419</v>
      </c>
      <c r="E334" s="134">
        <v>4419</v>
      </c>
      <c r="F334" s="934">
        <v>4430</v>
      </c>
      <c r="G334" s="934">
        <v>4419</v>
      </c>
      <c r="H334" s="934">
        <v>4419</v>
      </c>
    </row>
    <row r="335" spans="1:8">
      <c r="A335" t="s">
        <v>2866</v>
      </c>
      <c r="B335" t="s">
        <v>2987</v>
      </c>
      <c r="C335" s="134">
        <v>4540</v>
      </c>
      <c r="D335" s="134">
        <v>4567</v>
      </c>
      <c r="E335" s="134">
        <v>4516</v>
      </c>
      <c r="F335" s="934">
        <v>4540</v>
      </c>
      <c r="G335" s="934">
        <v>4567</v>
      </c>
      <c r="H335" s="934">
        <v>4516</v>
      </c>
    </row>
    <row r="336" spans="1:8">
      <c r="A336" t="s">
        <v>2200</v>
      </c>
      <c r="B336" t="s">
        <v>969</v>
      </c>
      <c r="C336" s="134">
        <v>4857</v>
      </c>
      <c r="D336" s="134">
        <v>5764</v>
      </c>
      <c r="E336" s="134">
        <v>6348</v>
      </c>
      <c r="F336" s="934">
        <v>4857</v>
      </c>
      <c r="G336" s="934">
        <v>5764</v>
      </c>
      <c r="H336" s="934">
        <v>6348</v>
      </c>
    </row>
    <row r="337" spans="1:8">
      <c r="A337" t="s">
        <v>2420</v>
      </c>
      <c r="B337" t="s">
        <v>577</v>
      </c>
      <c r="C337" s="134">
        <v>6710</v>
      </c>
      <c r="D337" s="134">
        <v>6977</v>
      </c>
      <c r="E337" s="134">
        <v>6915</v>
      </c>
      <c r="F337" s="934">
        <v>6710</v>
      </c>
      <c r="G337" s="934">
        <v>6977</v>
      </c>
      <c r="H337" s="934">
        <v>6915</v>
      </c>
    </row>
    <row r="338" spans="1:8">
      <c r="A338" t="s">
        <v>2490</v>
      </c>
      <c r="B338" t="s">
        <v>578</v>
      </c>
      <c r="C338" s="134">
        <v>4994</v>
      </c>
      <c r="D338" s="134">
        <v>5446</v>
      </c>
      <c r="E338" s="134">
        <v>5156</v>
      </c>
      <c r="F338" s="934">
        <v>4994</v>
      </c>
      <c r="G338" s="934">
        <v>5446</v>
      </c>
      <c r="H338" s="934">
        <v>5156</v>
      </c>
    </row>
    <row r="339" spans="1:8">
      <c r="A339" t="s">
        <v>2270</v>
      </c>
      <c r="B339" t="s">
        <v>397</v>
      </c>
      <c r="C339" s="134">
        <v>4766</v>
      </c>
      <c r="D339" s="134">
        <v>4959</v>
      </c>
      <c r="E339" s="134">
        <v>4959</v>
      </c>
      <c r="F339" s="934">
        <v>4766</v>
      </c>
      <c r="G339" s="934">
        <v>4961</v>
      </c>
      <c r="H339" s="934">
        <v>4961</v>
      </c>
    </row>
    <row r="340" spans="1:8">
      <c r="A340" t="s">
        <v>2550</v>
      </c>
      <c r="B340" t="s">
        <v>398</v>
      </c>
      <c r="C340" s="134">
        <v>5341</v>
      </c>
      <c r="D340" s="134">
        <v>5651</v>
      </c>
      <c r="E340" s="134">
        <v>5617</v>
      </c>
      <c r="F340" s="934">
        <v>5341</v>
      </c>
      <c r="G340" s="934">
        <v>5659</v>
      </c>
      <c r="H340" s="934">
        <v>5617</v>
      </c>
    </row>
    <row r="341" spans="1:8">
      <c r="A341" t="s">
        <v>2132</v>
      </c>
      <c r="B341" t="s">
        <v>2726</v>
      </c>
      <c r="C341" s="134">
        <v>5065</v>
      </c>
      <c r="D341" s="134">
        <v>5592</v>
      </c>
      <c r="E341" s="134">
        <v>5123</v>
      </c>
      <c r="F341" s="934">
        <v>5065</v>
      </c>
      <c r="G341" s="934">
        <v>5591</v>
      </c>
      <c r="H341" s="934">
        <v>5123</v>
      </c>
    </row>
    <row r="342" spans="1:8">
      <c r="A342" t="s">
        <v>862</v>
      </c>
      <c r="B342" t="s">
        <v>399</v>
      </c>
      <c r="C342" s="134">
        <v>4746</v>
      </c>
      <c r="D342" s="134">
        <v>5044</v>
      </c>
      <c r="E342" s="134">
        <v>5044</v>
      </c>
      <c r="F342" s="934">
        <v>4746</v>
      </c>
      <c r="G342" s="934">
        <v>5044</v>
      </c>
      <c r="H342" s="934">
        <v>5044</v>
      </c>
    </row>
    <row r="343" spans="1:8">
      <c r="A343" t="s">
        <v>863</v>
      </c>
      <c r="B343" t="s">
        <v>400</v>
      </c>
      <c r="C343" s="134">
        <v>5482</v>
      </c>
      <c r="D343" s="134">
        <v>5706</v>
      </c>
      <c r="E343" s="134">
        <v>5548</v>
      </c>
      <c r="F343" s="934">
        <v>5762</v>
      </c>
      <c r="G343" s="934">
        <v>5708</v>
      </c>
      <c r="H343" s="934">
        <v>5694</v>
      </c>
    </row>
    <row r="344" spans="1:8">
      <c r="A344" t="s">
        <v>2817</v>
      </c>
      <c r="B344" t="s">
        <v>401</v>
      </c>
      <c r="C344" s="134">
        <v>4920</v>
      </c>
      <c r="D344" s="134">
        <v>5142</v>
      </c>
      <c r="E344" s="134">
        <v>5129</v>
      </c>
      <c r="F344" s="934">
        <v>4920</v>
      </c>
      <c r="G344" s="934">
        <v>5142</v>
      </c>
      <c r="H344" s="934">
        <v>5129</v>
      </c>
    </row>
    <row r="345" spans="1:8">
      <c r="A345" t="s">
        <v>533</v>
      </c>
      <c r="B345" t="s">
        <v>98</v>
      </c>
      <c r="C345" s="134">
        <v>4608</v>
      </c>
      <c r="D345" s="134">
        <v>4566</v>
      </c>
      <c r="E345" s="134">
        <v>4645</v>
      </c>
      <c r="F345" s="934">
        <v>4608</v>
      </c>
      <c r="G345" s="934">
        <v>4566</v>
      </c>
      <c r="H345" s="934">
        <v>4645</v>
      </c>
    </row>
    <row r="346" spans="1:8">
      <c r="A346" t="s">
        <v>2818</v>
      </c>
      <c r="B346" t="s">
        <v>402</v>
      </c>
      <c r="C346" s="134">
        <v>5115</v>
      </c>
      <c r="D346" s="134">
        <v>5340</v>
      </c>
      <c r="E346" s="134">
        <v>5340</v>
      </c>
      <c r="F346" s="934">
        <v>5115</v>
      </c>
      <c r="G346" s="934">
        <v>5340</v>
      </c>
      <c r="H346" s="934">
        <v>5340</v>
      </c>
    </row>
    <row r="347" spans="1:8">
      <c r="A347" t="s">
        <v>1604</v>
      </c>
      <c r="B347" t="s">
        <v>1666</v>
      </c>
      <c r="C347" s="134">
        <v>4742</v>
      </c>
      <c r="D347" s="134">
        <v>4930</v>
      </c>
      <c r="E347" s="134">
        <v>4930</v>
      </c>
      <c r="F347" s="934">
        <v>4742</v>
      </c>
      <c r="G347" s="934">
        <v>4930</v>
      </c>
      <c r="H347" s="934">
        <v>4930</v>
      </c>
    </row>
    <row r="348" spans="1:8">
      <c r="A348" t="s">
        <v>1872</v>
      </c>
      <c r="B348" t="s">
        <v>403</v>
      </c>
      <c r="C348" s="134">
        <v>4682</v>
      </c>
      <c r="D348" s="134">
        <v>5460</v>
      </c>
      <c r="E348" s="134">
        <v>4871</v>
      </c>
      <c r="F348" s="934">
        <v>4682</v>
      </c>
      <c r="G348" s="934">
        <v>5460</v>
      </c>
      <c r="H348" s="934">
        <v>4871</v>
      </c>
    </row>
    <row r="349" spans="1:8">
      <c r="A349" t="s">
        <v>1873</v>
      </c>
      <c r="B349" t="s">
        <v>404</v>
      </c>
      <c r="C349" s="134">
        <v>4830</v>
      </c>
      <c r="D349" s="134">
        <v>4688</v>
      </c>
      <c r="E349" s="134">
        <v>4688</v>
      </c>
      <c r="F349" s="934">
        <v>4829</v>
      </c>
      <c r="G349" s="934">
        <v>4688</v>
      </c>
      <c r="H349" s="934">
        <v>4688</v>
      </c>
    </row>
    <row r="350" spans="1:8">
      <c r="A350" t="s">
        <v>2139</v>
      </c>
      <c r="B350" t="s">
        <v>1189</v>
      </c>
      <c r="C350" s="134">
        <v>4366</v>
      </c>
      <c r="D350" s="134">
        <v>4407</v>
      </c>
      <c r="E350" s="134">
        <v>4469</v>
      </c>
      <c r="F350" s="934">
        <v>4366</v>
      </c>
      <c r="G350" s="934">
        <v>4406</v>
      </c>
      <c r="H350" s="934">
        <v>4469</v>
      </c>
    </row>
    <row r="351" spans="1:8">
      <c r="A351" t="s">
        <v>1636</v>
      </c>
      <c r="B351" t="s">
        <v>406</v>
      </c>
      <c r="C351" s="134">
        <v>5451</v>
      </c>
      <c r="D351" s="134">
        <v>5580</v>
      </c>
      <c r="E351" s="134">
        <v>5747</v>
      </c>
      <c r="F351" s="934">
        <v>5451</v>
      </c>
      <c r="G351" s="934">
        <v>5636</v>
      </c>
      <c r="H351" s="934">
        <v>5806</v>
      </c>
    </row>
    <row r="352" spans="1:8">
      <c r="A352" t="s">
        <v>2474</v>
      </c>
      <c r="B352" t="s">
        <v>2004</v>
      </c>
      <c r="C352" s="134">
        <v>4573</v>
      </c>
      <c r="D352" s="134">
        <v>4570</v>
      </c>
      <c r="E352" s="134">
        <v>4870</v>
      </c>
      <c r="F352" s="934">
        <v>4573</v>
      </c>
      <c r="G352" s="934">
        <v>4570</v>
      </c>
      <c r="H352" s="934">
        <v>4870</v>
      </c>
    </row>
    <row r="353" spans="1:8">
      <c r="A353" t="s">
        <v>2475</v>
      </c>
      <c r="B353" t="s">
        <v>2005</v>
      </c>
      <c r="C353" s="134">
        <v>6103</v>
      </c>
      <c r="D353" s="134">
        <v>5999</v>
      </c>
      <c r="E353" s="134">
        <v>6128</v>
      </c>
      <c r="F353" s="934">
        <v>6103</v>
      </c>
      <c r="G353" s="934">
        <v>5999</v>
      </c>
      <c r="H353" s="934">
        <v>6128</v>
      </c>
    </row>
    <row r="354" spans="1:8">
      <c r="A354" t="s">
        <v>2794</v>
      </c>
      <c r="B354" t="s">
        <v>2006</v>
      </c>
      <c r="C354" s="134">
        <v>5227</v>
      </c>
      <c r="D354" s="134">
        <v>6470</v>
      </c>
      <c r="E354" s="134">
        <v>5333</v>
      </c>
      <c r="F354" s="934">
        <v>5227</v>
      </c>
      <c r="G354" s="934">
        <v>6470</v>
      </c>
      <c r="H354" s="934">
        <v>5333</v>
      </c>
    </row>
    <row r="355" spans="1:8">
      <c r="A355" t="s">
        <v>1019</v>
      </c>
      <c r="B355" t="s">
        <v>973</v>
      </c>
      <c r="C355" s="134">
        <v>4537</v>
      </c>
      <c r="D355" s="134">
        <v>4621</v>
      </c>
      <c r="E355" s="134">
        <v>4803</v>
      </c>
      <c r="F355" s="934">
        <v>4537</v>
      </c>
      <c r="G355" s="934">
        <v>4621</v>
      </c>
      <c r="H355" s="934">
        <v>4803</v>
      </c>
    </row>
    <row r="356" spans="1:8">
      <c r="A356" t="s">
        <v>2795</v>
      </c>
      <c r="B356" t="s">
        <v>1190</v>
      </c>
      <c r="C356" s="134">
        <v>4415</v>
      </c>
      <c r="D356" s="134">
        <v>4561</v>
      </c>
      <c r="E356" s="134">
        <v>4571</v>
      </c>
      <c r="F356" s="934">
        <v>4415</v>
      </c>
      <c r="G356" s="934">
        <v>4561</v>
      </c>
      <c r="H356" s="934">
        <v>4571</v>
      </c>
    </row>
    <row r="357" spans="1:8">
      <c r="A357" t="s">
        <v>2796</v>
      </c>
      <c r="B357" t="s">
        <v>1626</v>
      </c>
      <c r="C357" s="134">
        <v>4672</v>
      </c>
      <c r="D357" s="134">
        <v>4698</v>
      </c>
      <c r="E357" s="134">
        <v>4804</v>
      </c>
      <c r="F357" s="934">
        <v>4671</v>
      </c>
      <c r="G357" s="934">
        <v>4698</v>
      </c>
      <c r="H357" s="934">
        <v>4804</v>
      </c>
    </row>
    <row r="358" spans="1:8">
      <c r="A358" t="s">
        <v>2118</v>
      </c>
      <c r="B358" t="s">
        <v>1627</v>
      </c>
      <c r="C358" s="134">
        <v>5088</v>
      </c>
      <c r="D358" s="134">
        <v>7795</v>
      </c>
      <c r="E358" s="134">
        <v>5035</v>
      </c>
      <c r="F358" s="934">
        <v>5088</v>
      </c>
      <c r="G358" s="934">
        <v>7795</v>
      </c>
      <c r="H358" s="934">
        <v>5035</v>
      </c>
    </row>
    <row r="359" spans="1:8">
      <c r="A359" t="s">
        <v>2119</v>
      </c>
      <c r="B359" t="s">
        <v>1628</v>
      </c>
      <c r="C359" s="134">
        <v>4883</v>
      </c>
      <c r="D359" s="134">
        <v>6016</v>
      </c>
      <c r="E359" s="134">
        <v>4932</v>
      </c>
      <c r="F359" s="934">
        <v>4883</v>
      </c>
      <c r="G359" s="934">
        <v>6016</v>
      </c>
      <c r="H359" s="934">
        <v>4932</v>
      </c>
    </row>
    <row r="360" spans="1:8">
      <c r="A360" t="s">
        <v>2301</v>
      </c>
      <c r="B360" t="s">
        <v>1540</v>
      </c>
      <c r="C360" s="134">
        <v>4590</v>
      </c>
      <c r="D360" s="134">
        <v>4800</v>
      </c>
      <c r="E360" s="134">
        <v>4751</v>
      </c>
      <c r="F360" s="934">
        <v>4590</v>
      </c>
      <c r="G360" s="934">
        <v>4800</v>
      </c>
      <c r="H360" s="934">
        <v>4751</v>
      </c>
    </row>
    <row r="361" spans="1:8">
      <c r="A361" t="s">
        <v>2313</v>
      </c>
      <c r="B361" t="s">
        <v>1629</v>
      </c>
      <c r="C361" s="134">
        <v>7845</v>
      </c>
      <c r="D361" s="134">
        <v>9291</v>
      </c>
      <c r="E361" s="134">
        <v>7888</v>
      </c>
      <c r="F361" s="934">
        <v>7845</v>
      </c>
      <c r="G361" s="934">
        <v>9291</v>
      </c>
      <c r="H361" s="934">
        <v>7888</v>
      </c>
    </row>
    <row r="362" spans="1:8">
      <c r="A362" t="s">
        <v>1897</v>
      </c>
      <c r="B362" t="s">
        <v>1757</v>
      </c>
      <c r="C362" s="134">
        <v>4538</v>
      </c>
      <c r="D362" s="134">
        <v>4635</v>
      </c>
      <c r="E362" s="134">
        <v>4709</v>
      </c>
      <c r="F362" s="934">
        <v>4538</v>
      </c>
      <c r="G362" s="934">
        <v>4635</v>
      </c>
      <c r="H362" s="934">
        <v>4709</v>
      </c>
    </row>
    <row r="363" spans="1:8">
      <c r="A363" t="s">
        <v>1107</v>
      </c>
      <c r="B363" t="s">
        <v>1630</v>
      </c>
      <c r="C363" s="134">
        <v>4667</v>
      </c>
      <c r="D363" s="134">
        <v>4655</v>
      </c>
      <c r="E363" s="134">
        <v>4714</v>
      </c>
      <c r="F363" s="934">
        <v>4667</v>
      </c>
      <c r="G363" s="934">
        <v>4655</v>
      </c>
      <c r="H363" s="934">
        <v>4714</v>
      </c>
    </row>
    <row r="364" spans="1:8">
      <c r="A364" t="s">
        <v>1108</v>
      </c>
      <c r="B364" t="s">
        <v>1631</v>
      </c>
      <c r="C364" s="134">
        <v>4527</v>
      </c>
      <c r="D364" s="134">
        <v>4663</v>
      </c>
      <c r="E364" s="134">
        <v>4680</v>
      </c>
      <c r="F364" s="934">
        <v>4527</v>
      </c>
      <c r="G364" s="934">
        <v>4663</v>
      </c>
      <c r="H364" s="934">
        <v>4680</v>
      </c>
    </row>
    <row r="365" spans="1:8">
      <c r="A365" t="s">
        <v>1276</v>
      </c>
      <c r="B365" t="s">
        <v>2731</v>
      </c>
      <c r="C365" s="134">
        <v>4576</v>
      </c>
      <c r="D365" s="134">
        <v>4567</v>
      </c>
      <c r="E365" s="134">
        <v>4567</v>
      </c>
      <c r="F365" s="934">
        <v>4576</v>
      </c>
      <c r="G365" s="934">
        <v>4567</v>
      </c>
      <c r="H365" s="934">
        <v>4567</v>
      </c>
    </row>
    <row r="366" spans="1:8">
      <c r="A366" t="s">
        <v>897</v>
      </c>
      <c r="B366" t="s">
        <v>1849</v>
      </c>
      <c r="C366" s="134">
        <v>4713</v>
      </c>
      <c r="D366" s="134">
        <v>4788</v>
      </c>
      <c r="E366" s="134">
        <v>4788</v>
      </c>
      <c r="F366" s="934">
        <v>4713</v>
      </c>
      <c r="G366" s="934">
        <v>4788</v>
      </c>
      <c r="H366" s="934">
        <v>4788</v>
      </c>
    </row>
    <row r="367" spans="1:8">
      <c r="A367" t="s">
        <v>898</v>
      </c>
      <c r="B367" t="s">
        <v>1850</v>
      </c>
      <c r="C367" s="134">
        <v>4897</v>
      </c>
      <c r="D367" s="134">
        <v>5250</v>
      </c>
      <c r="E367" s="134">
        <v>5278</v>
      </c>
      <c r="F367" s="934">
        <v>4897</v>
      </c>
      <c r="G367" s="934">
        <v>5250</v>
      </c>
      <c r="H367" s="934">
        <v>5278</v>
      </c>
    </row>
    <row r="368" spans="1:8">
      <c r="A368" t="s">
        <v>1404</v>
      </c>
      <c r="B368" t="s">
        <v>2706</v>
      </c>
      <c r="C368" s="134">
        <v>4697</v>
      </c>
      <c r="D368" s="134">
        <v>4671</v>
      </c>
      <c r="E368" s="134">
        <v>4671</v>
      </c>
      <c r="F368" s="934">
        <v>4696</v>
      </c>
      <c r="G368" s="934">
        <v>4670</v>
      </c>
      <c r="H368" s="934">
        <v>4670</v>
      </c>
    </row>
    <row r="369" spans="1:8">
      <c r="A369" t="s">
        <v>1405</v>
      </c>
      <c r="B369" t="s">
        <v>1511</v>
      </c>
      <c r="C369" s="134">
        <v>4651</v>
      </c>
      <c r="D369" s="134">
        <v>4776</v>
      </c>
      <c r="E369" s="134">
        <v>4776</v>
      </c>
      <c r="F369" s="934">
        <v>4651</v>
      </c>
      <c r="G369" s="934">
        <v>4776</v>
      </c>
      <c r="H369" s="934">
        <v>4776</v>
      </c>
    </row>
    <row r="370" spans="1:8">
      <c r="A370" t="s">
        <v>1650</v>
      </c>
      <c r="B370" t="s">
        <v>1851</v>
      </c>
      <c r="C370" s="134">
        <v>4518</v>
      </c>
      <c r="D370" s="134">
        <v>4512</v>
      </c>
      <c r="E370" s="134">
        <v>4552</v>
      </c>
      <c r="F370" s="934">
        <v>4517</v>
      </c>
      <c r="G370" s="934">
        <v>4511</v>
      </c>
      <c r="H370" s="934">
        <v>4552</v>
      </c>
    </row>
    <row r="371" spans="1:8">
      <c r="A371" t="s">
        <v>243</v>
      </c>
      <c r="B371" t="s">
        <v>2410</v>
      </c>
      <c r="C371" s="134">
        <v>4612</v>
      </c>
      <c r="D371" s="134">
        <v>5369</v>
      </c>
      <c r="E371" s="134">
        <v>5107</v>
      </c>
      <c r="F371" s="934">
        <v>4612</v>
      </c>
      <c r="G371" s="934">
        <v>5374</v>
      </c>
      <c r="H371" s="934">
        <v>5098</v>
      </c>
    </row>
    <row r="372" spans="1:8">
      <c r="A372" t="s">
        <v>2977</v>
      </c>
      <c r="B372" t="s">
        <v>1191</v>
      </c>
      <c r="C372" s="134">
        <v>4970</v>
      </c>
      <c r="D372" s="134">
        <v>4847</v>
      </c>
      <c r="E372" s="134">
        <v>4857</v>
      </c>
      <c r="F372" s="934">
        <v>4970</v>
      </c>
      <c r="G372" s="934">
        <v>4847</v>
      </c>
      <c r="H372" s="934">
        <v>4857</v>
      </c>
    </row>
    <row r="373" spans="1:8">
      <c r="A373" t="s">
        <v>1483</v>
      </c>
      <c r="B373" t="s">
        <v>1948</v>
      </c>
      <c r="C373" s="134">
        <v>4779</v>
      </c>
      <c r="D373" s="134">
        <v>4786</v>
      </c>
      <c r="E373" s="134">
        <v>4856</v>
      </c>
      <c r="F373" s="934">
        <v>4779</v>
      </c>
      <c r="G373" s="934">
        <v>4786</v>
      </c>
      <c r="H373" s="934">
        <v>4856</v>
      </c>
    </row>
    <row r="374" spans="1:8">
      <c r="A374" t="s">
        <v>1461</v>
      </c>
      <c r="B374" t="s">
        <v>250</v>
      </c>
      <c r="C374" s="134">
        <v>4540</v>
      </c>
      <c r="D374" s="134">
        <v>4567</v>
      </c>
      <c r="E374" s="134">
        <v>4661</v>
      </c>
      <c r="F374" s="934">
        <v>4540</v>
      </c>
      <c r="G374" s="934">
        <v>4567</v>
      </c>
      <c r="H374" s="934">
        <v>4661</v>
      </c>
    </row>
    <row r="375" spans="1:8">
      <c r="A375" t="s">
        <v>1462</v>
      </c>
      <c r="B375" t="s">
        <v>251</v>
      </c>
      <c r="C375" s="134">
        <v>4482</v>
      </c>
      <c r="D375" s="134">
        <v>4522</v>
      </c>
      <c r="E375" s="134">
        <v>4591</v>
      </c>
      <c r="F375" s="934">
        <v>4482</v>
      </c>
      <c r="G375" s="934">
        <v>4522</v>
      </c>
      <c r="H375" s="934">
        <v>4591</v>
      </c>
    </row>
    <row r="376" spans="1:8">
      <c r="A376" t="s">
        <v>1463</v>
      </c>
      <c r="B376" t="s">
        <v>252</v>
      </c>
      <c r="C376" s="134">
        <v>4711</v>
      </c>
      <c r="D376" s="134">
        <v>4859</v>
      </c>
      <c r="E376" s="134">
        <v>4834</v>
      </c>
      <c r="F376" s="934">
        <v>4711</v>
      </c>
      <c r="G376" s="934">
        <v>4859</v>
      </c>
      <c r="H376" s="934">
        <v>4834</v>
      </c>
    </row>
    <row r="377" spans="1:8">
      <c r="A377" t="s">
        <v>498</v>
      </c>
      <c r="B377" t="s">
        <v>2436</v>
      </c>
      <c r="C377" s="134">
        <v>4828</v>
      </c>
      <c r="D377" s="134">
        <v>5371</v>
      </c>
      <c r="E377" s="134">
        <v>5178</v>
      </c>
      <c r="F377" s="934">
        <v>4828</v>
      </c>
      <c r="G377" s="934">
        <v>5371</v>
      </c>
      <c r="H377" s="934">
        <v>5178</v>
      </c>
    </row>
    <row r="378" spans="1:8">
      <c r="A378" t="s">
        <v>2504</v>
      </c>
      <c r="B378" t="s">
        <v>253</v>
      </c>
      <c r="C378" s="134">
        <v>4428</v>
      </c>
      <c r="D378" s="134">
        <v>4546</v>
      </c>
      <c r="E378" s="134">
        <v>4546</v>
      </c>
      <c r="F378" s="934">
        <v>4428</v>
      </c>
      <c r="G378" s="934">
        <v>4546</v>
      </c>
      <c r="H378" s="934">
        <v>4546</v>
      </c>
    </row>
    <row r="379" spans="1:8">
      <c r="A379" t="s">
        <v>3035</v>
      </c>
      <c r="B379" t="s">
        <v>254</v>
      </c>
      <c r="C379" s="134">
        <v>4977</v>
      </c>
      <c r="D379" s="134">
        <v>5131</v>
      </c>
      <c r="E379" s="134">
        <v>5175</v>
      </c>
      <c r="F379" s="934">
        <v>4977</v>
      </c>
      <c r="G379" s="934">
        <v>5131</v>
      </c>
      <c r="H379" s="934">
        <v>5175</v>
      </c>
    </row>
    <row r="380" spans="1:8">
      <c r="A380" t="s">
        <v>1702</v>
      </c>
      <c r="B380" t="s">
        <v>2210</v>
      </c>
      <c r="C380" s="134">
        <v>4329</v>
      </c>
      <c r="D380" s="134">
        <v>4390</v>
      </c>
      <c r="E380" s="134">
        <v>4390</v>
      </c>
      <c r="F380" s="934">
        <v>4329</v>
      </c>
      <c r="G380" s="934">
        <v>4390</v>
      </c>
      <c r="H380" s="934">
        <v>4390</v>
      </c>
    </row>
    <row r="381" spans="1:8">
      <c r="A381" t="s">
        <v>3036</v>
      </c>
      <c r="B381" t="s">
        <v>255</v>
      </c>
      <c r="C381" s="134">
        <v>4585</v>
      </c>
      <c r="D381" s="134">
        <v>4591</v>
      </c>
      <c r="E381" s="134">
        <v>4591</v>
      </c>
      <c r="F381" s="934">
        <v>4585</v>
      </c>
      <c r="G381" s="934">
        <v>4591</v>
      </c>
      <c r="H381" s="934">
        <v>4591</v>
      </c>
    </row>
    <row r="382" spans="1:8">
      <c r="A382" t="s">
        <v>3037</v>
      </c>
      <c r="B382" t="s">
        <v>1192</v>
      </c>
      <c r="C382" s="134">
        <v>5152</v>
      </c>
      <c r="D382" s="134">
        <v>5082</v>
      </c>
      <c r="E382" s="134">
        <v>5082</v>
      </c>
      <c r="F382" s="934">
        <v>5152</v>
      </c>
      <c r="G382" s="934">
        <v>5082</v>
      </c>
      <c r="H382" s="934">
        <v>5082</v>
      </c>
    </row>
    <row r="383" spans="1:8">
      <c r="A383" t="s">
        <v>3038</v>
      </c>
      <c r="B383" t="s">
        <v>257</v>
      </c>
      <c r="C383" s="134">
        <v>4628</v>
      </c>
      <c r="D383" s="134">
        <v>4664</v>
      </c>
      <c r="E383" s="134">
        <v>4767</v>
      </c>
      <c r="F383" s="934">
        <v>4628</v>
      </c>
      <c r="G383" s="934">
        <v>4664</v>
      </c>
      <c r="H383" s="934">
        <v>4767</v>
      </c>
    </row>
    <row r="384" spans="1:8">
      <c r="A384" t="s">
        <v>3039</v>
      </c>
      <c r="B384" t="s">
        <v>258</v>
      </c>
      <c r="C384" s="134">
        <v>4547</v>
      </c>
      <c r="D384" s="134">
        <v>4800</v>
      </c>
      <c r="E384" s="134">
        <v>4748</v>
      </c>
      <c r="F384" s="934">
        <v>4547</v>
      </c>
      <c r="G384" s="934">
        <v>4800</v>
      </c>
      <c r="H384" s="934">
        <v>4748</v>
      </c>
    </row>
    <row r="385" spans="1:8">
      <c r="A385" t="s">
        <v>2456</v>
      </c>
      <c r="B385" t="s">
        <v>259</v>
      </c>
      <c r="C385" s="134">
        <v>5137</v>
      </c>
      <c r="D385" s="134">
        <v>6328</v>
      </c>
      <c r="E385" s="134">
        <v>5436</v>
      </c>
      <c r="F385" s="934">
        <v>5137</v>
      </c>
      <c r="G385" s="934">
        <v>6328</v>
      </c>
      <c r="H385" s="934">
        <v>5436</v>
      </c>
    </row>
    <row r="386" spans="1:8">
      <c r="A386" t="s">
        <v>537</v>
      </c>
      <c r="B386" t="s">
        <v>1416</v>
      </c>
      <c r="C386" s="134">
        <v>4684</v>
      </c>
      <c r="D386" s="134">
        <v>4811</v>
      </c>
      <c r="E386" s="134">
        <v>4811</v>
      </c>
      <c r="F386" s="934">
        <v>4684</v>
      </c>
      <c r="G386" s="934">
        <v>4811</v>
      </c>
      <c r="H386" s="934">
        <v>4811</v>
      </c>
    </row>
    <row r="387" spans="1:8">
      <c r="A387" t="s">
        <v>535</v>
      </c>
      <c r="B387" t="s">
        <v>1414</v>
      </c>
      <c r="C387" s="134">
        <v>4922</v>
      </c>
      <c r="D387" s="134">
        <v>5121</v>
      </c>
      <c r="E387" s="134">
        <v>5121</v>
      </c>
      <c r="F387" s="934">
        <v>4922</v>
      </c>
      <c r="G387" s="934">
        <v>5121</v>
      </c>
      <c r="H387" s="934">
        <v>5121</v>
      </c>
    </row>
    <row r="388" spans="1:8">
      <c r="A388" t="s">
        <v>2457</v>
      </c>
      <c r="B388" t="s">
        <v>260</v>
      </c>
      <c r="C388" s="134">
        <v>4136</v>
      </c>
      <c r="D388" s="134">
        <v>4253</v>
      </c>
      <c r="E388" s="134">
        <v>4253</v>
      </c>
      <c r="F388" s="934">
        <v>4136</v>
      </c>
      <c r="G388" s="934">
        <v>4253</v>
      </c>
      <c r="H388" s="934">
        <v>4253</v>
      </c>
    </row>
    <row r="389" spans="1:8">
      <c r="A389" t="s">
        <v>381</v>
      </c>
      <c r="B389" t="s">
        <v>324</v>
      </c>
      <c r="C389" s="134">
        <v>4444</v>
      </c>
      <c r="D389" s="134">
        <v>4566</v>
      </c>
      <c r="E389" s="134">
        <v>4566</v>
      </c>
      <c r="F389" s="934">
        <v>4444</v>
      </c>
      <c r="G389" s="934">
        <v>4566</v>
      </c>
      <c r="H389" s="934">
        <v>4566</v>
      </c>
    </row>
    <row r="390" spans="1:8">
      <c r="A390" t="s">
        <v>2458</v>
      </c>
      <c r="B390" t="s">
        <v>261</v>
      </c>
      <c r="C390" s="134">
        <v>5036</v>
      </c>
      <c r="D390" s="134">
        <v>5548</v>
      </c>
      <c r="E390" s="134">
        <v>5084</v>
      </c>
      <c r="F390" s="934">
        <v>5036</v>
      </c>
      <c r="G390" s="934">
        <v>5548</v>
      </c>
      <c r="H390" s="934">
        <v>5084</v>
      </c>
    </row>
    <row r="391" spans="1:8">
      <c r="A391" t="s">
        <v>2459</v>
      </c>
      <c r="B391" t="s">
        <v>262</v>
      </c>
      <c r="C391" s="134">
        <v>4578</v>
      </c>
      <c r="D391" s="134">
        <v>4619</v>
      </c>
      <c r="E391" s="134">
        <v>4616</v>
      </c>
      <c r="F391" s="934">
        <v>4578</v>
      </c>
      <c r="G391" s="934">
        <v>4619</v>
      </c>
      <c r="H391" s="934">
        <v>4616</v>
      </c>
    </row>
    <row r="392" spans="1:8">
      <c r="A392" t="s">
        <v>547</v>
      </c>
      <c r="B392" t="s">
        <v>263</v>
      </c>
      <c r="C392" s="134">
        <v>4393</v>
      </c>
      <c r="D392" s="134">
        <v>4445</v>
      </c>
      <c r="E392" s="134">
        <v>4445</v>
      </c>
      <c r="F392" s="934">
        <v>4393</v>
      </c>
      <c r="G392" s="934">
        <v>4445</v>
      </c>
      <c r="H392" s="934">
        <v>4445</v>
      </c>
    </row>
    <row r="393" spans="1:8">
      <c r="A393" t="s">
        <v>2232</v>
      </c>
      <c r="B393" t="s">
        <v>264</v>
      </c>
      <c r="C393" s="134">
        <v>4505</v>
      </c>
      <c r="D393" s="134">
        <v>4492</v>
      </c>
      <c r="E393" s="134">
        <v>4492</v>
      </c>
      <c r="F393" s="934">
        <v>4505</v>
      </c>
      <c r="G393" s="934">
        <v>4492</v>
      </c>
      <c r="H393" s="934">
        <v>4492</v>
      </c>
    </row>
    <row r="394" spans="1:8">
      <c r="A394" t="s">
        <v>2366</v>
      </c>
      <c r="B394" t="s">
        <v>265</v>
      </c>
      <c r="C394" s="134">
        <v>4573</v>
      </c>
      <c r="D394" s="134">
        <v>4554</v>
      </c>
      <c r="E394" s="134">
        <v>4554</v>
      </c>
      <c r="F394" s="934">
        <v>4573</v>
      </c>
      <c r="G394" s="934">
        <v>4554</v>
      </c>
      <c r="H394" s="934">
        <v>4554</v>
      </c>
    </row>
    <row r="395" spans="1:8">
      <c r="A395" t="s">
        <v>2367</v>
      </c>
      <c r="B395" t="s">
        <v>266</v>
      </c>
      <c r="C395" s="134">
        <v>4873</v>
      </c>
      <c r="D395" s="134">
        <v>4935</v>
      </c>
      <c r="E395" s="134">
        <v>4915</v>
      </c>
      <c r="F395" s="934">
        <v>4873</v>
      </c>
      <c r="G395" s="934">
        <v>4935</v>
      </c>
      <c r="H395" s="934">
        <v>4915</v>
      </c>
    </row>
    <row r="396" spans="1:8">
      <c r="A396" t="s">
        <v>169</v>
      </c>
      <c r="B396" t="s">
        <v>267</v>
      </c>
      <c r="C396" s="134">
        <v>4273</v>
      </c>
      <c r="D396" s="134">
        <v>4270</v>
      </c>
      <c r="E396" s="134">
        <v>4272</v>
      </c>
      <c r="F396" s="934">
        <v>4273</v>
      </c>
      <c r="G396" s="934">
        <v>4270</v>
      </c>
      <c r="H396" s="934">
        <v>4272</v>
      </c>
    </row>
    <row r="397" spans="1:8">
      <c r="A397" t="s">
        <v>170</v>
      </c>
      <c r="B397" t="s">
        <v>1193</v>
      </c>
      <c r="C397" s="134">
        <v>4479</v>
      </c>
      <c r="D397" s="134">
        <v>4580</v>
      </c>
      <c r="E397" s="134">
        <v>4546</v>
      </c>
      <c r="F397" s="934">
        <v>4479</v>
      </c>
      <c r="G397" s="934">
        <v>4580</v>
      </c>
      <c r="H397" s="934">
        <v>4546</v>
      </c>
    </row>
    <row r="398" spans="1:8">
      <c r="A398" t="s">
        <v>2867</v>
      </c>
      <c r="B398" t="s">
        <v>2724</v>
      </c>
      <c r="C398" s="134">
        <v>4737</v>
      </c>
      <c r="D398" s="134">
        <v>4929</v>
      </c>
      <c r="E398" s="134">
        <v>4861</v>
      </c>
      <c r="F398" s="934">
        <v>4737</v>
      </c>
      <c r="G398" s="934">
        <v>4929</v>
      </c>
      <c r="H398" s="934">
        <v>4861</v>
      </c>
    </row>
    <row r="399" spans="1:8">
      <c r="A399" t="s">
        <v>2674</v>
      </c>
      <c r="B399" t="s">
        <v>269</v>
      </c>
      <c r="C399" s="134">
        <v>4876</v>
      </c>
      <c r="D399" s="134">
        <v>6981</v>
      </c>
      <c r="E399" s="134">
        <v>4739</v>
      </c>
      <c r="F399" s="934">
        <v>4876</v>
      </c>
      <c r="G399" s="934">
        <v>6981</v>
      </c>
      <c r="H399" s="934">
        <v>4739</v>
      </c>
    </row>
    <row r="400" spans="1:8">
      <c r="A400" t="s">
        <v>1281</v>
      </c>
      <c r="B400" t="s">
        <v>1194</v>
      </c>
      <c r="C400" s="134">
        <v>6546</v>
      </c>
      <c r="D400" s="134">
        <v>6602</v>
      </c>
      <c r="E400" s="134">
        <v>6724</v>
      </c>
      <c r="F400" s="934">
        <v>6546</v>
      </c>
      <c r="G400" s="934">
        <v>6602</v>
      </c>
      <c r="H400" s="934">
        <v>6723</v>
      </c>
    </row>
    <row r="401" spans="1:8">
      <c r="A401" t="s">
        <v>1282</v>
      </c>
      <c r="B401" t="s">
        <v>2991</v>
      </c>
      <c r="C401" s="134">
        <v>4588</v>
      </c>
      <c r="D401" s="134">
        <v>5541</v>
      </c>
      <c r="E401" s="134">
        <v>4644</v>
      </c>
      <c r="F401" s="934">
        <v>4588</v>
      </c>
      <c r="G401" s="934">
        <v>5541</v>
      </c>
      <c r="H401" s="934">
        <v>4644</v>
      </c>
    </row>
    <row r="402" spans="1:8">
      <c r="A402" t="s">
        <v>2416</v>
      </c>
      <c r="B402" t="s">
        <v>518</v>
      </c>
      <c r="C402" s="134">
        <v>4720</v>
      </c>
      <c r="D402" s="134">
        <v>5280</v>
      </c>
      <c r="E402" s="134">
        <v>4931</v>
      </c>
      <c r="F402" s="934">
        <v>4720</v>
      </c>
      <c r="G402" s="934">
        <v>5280</v>
      </c>
      <c r="H402" s="934">
        <v>4931</v>
      </c>
    </row>
    <row r="403" spans="1:8">
      <c r="A403" t="s">
        <v>2417</v>
      </c>
      <c r="B403" t="s">
        <v>519</v>
      </c>
      <c r="C403" s="134">
        <v>4777</v>
      </c>
      <c r="D403" s="134">
        <v>4376</v>
      </c>
      <c r="E403" s="134">
        <v>4499</v>
      </c>
      <c r="F403" s="934">
        <v>4777</v>
      </c>
      <c r="G403" s="934">
        <v>4376</v>
      </c>
      <c r="H403" s="934">
        <v>4498</v>
      </c>
    </row>
    <row r="404" spans="1:8">
      <c r="A404" t="s">
        <v>1158</v>
      </c>
      <c r="B404" t="s">
        <v>520</v>
      </c>
      <c r="C404" s="134">
        <v>4375</v>
      </c>
      <c r="D404" s="134">
        <v>4484</v>
      </c>
      <c r="E404" s="134">
        <v>4453</v>
      </c>
      <c r="F404" s="934">
        <v>4375</v>
      </c>
      <c r="G404" s="934">
        <v>4484</v>
      </c>
      <c r="H404" s="934">
        <v>4453</v>
      </c>
    </row>
    <row r="405" spans="1:8">
      <c r="A405" t="s">
        <v>1312</v>
      </c>
      <c r="B405" t="s">
        <v>1684</v>
      </c>
      <c r="C405" s="134">
        <v>4733</v>
      </c>
      <c r="D405" s="134">
        <v>4550</v>
      </c>
      <c r="E405" s="134">
        <v>4550</v>
      </c>
      <c r="F405" s="934">
        <v>4733</v>
      </c>
      <c r="G405" s="934">
        <v>4550</v>
      </c>
      <c r="H405" s="934">
        <v>4550</v>
      </c>
    </row>
    <row r="406" spans="1:8">
      <c r="A406" t="s">
        <v>416</v>
      </c>
      <c r="B406" t="s">
        <v>521</v>
      </c>
      <c r="C406" s="134">
        <v>4556</v>
      </c>
      <c r="D406" s="134">
        <v>5375</v>
      </c>
      <c r="E406" s="134">
        <v>4785</v>
      </c>
      <c r="F406" s="934">
        <v>4556</v>
      </c>
      <c r="G406" s="934">
        <v>5375</v>
      </c>
      <c r="H406" s="934">
        <v>4785</v>
      </c>
    </row>
    <row r="407" spans="1:8">
      <c r="A407" t="s">
        <v>2608</v>
      </c>
      <c r="B407" t="s">
        <v>949</v>
      </c>
      <c r="C407" s="134">
        <v>4642</v>
      </c>
      <c r="D407" s="134">
        <v>4683</v>
      </c>
      <c r="E407" s="134">
        <v>4781</v>
      </c>
      <c r="F407" s="934">
        <v>4642</v>
      </c>
      <c r="G407" s="934">
        <v>4683</v>
      </c>
      <c r="H407" s="934">
        <v>4781</v>
      </c>
    </row>
    <row r="408" spans="1:8">
      <c r="A408" t="s">
        <v>1346</v>
      </c>
      <c r="B408" t="s">
        <v>328</v>
      </c>
      <c r="C408" s="134">
        <v>4667</v>
      </c>
      <c r="D408" s="134">
        <v>4571</v>
      </c>
      <c r="E408" s="134">
        <v>4571</v>
      </c>
      <c r="F408" s="934">
        <v>4667</v>
      </c>
      <c r="G408" s="934">
        <v>4571</v>
      </c>
      <c r="H408" s="934">
        <v>4571</v>
      </c>
    </row>
    <row r="409" spans="1:8">
      <c r="A409" t="s">
        <v>639</v>
      </c>
      <c r="B409" t="s">
        <v>797</v>
      </c>
      <c r="C409" s="134">
        <v>4881</v>
      </c>
      <c r="D409" s="134">
        <v>4922</v>
      </c>
      <c r="E409" s="134">
        <v>4934</v>
      </c>
      <c r="F409" s="934">
        <v>4882</v>
      </c>
      <c r="G409" s="934">
        <v>4931</v>
      </c>
      <c r="H409" s="934">
        <v>4935</v>
      </c>
    </row>
    <row r="410" spans="1:8">
      <c r="A410" t="s">
        <v>222</v>
      </c>
      <c r="B410" t="s">
        <v>2264</v>
      </c>
      <c r="C410" s="134">
        <v>4688</v>
      </c>
      <c r="D410" s="134">
        <v>4665</v>
      </c>
      <c r="E410" s="134">
        <v>4665</v>
      </c>
      <c r="F410" s="934">
        <v>4688</v>
      </c>
      <c r="G410" s="934">
        <v>4700</v>
      </c>
      <c r="H410" s="934">
        <v>4700</v>
      </c>
    </row>
    <row r="411" spans="1:8">
      <c r="A411" t="s">
        <v>2641</v>
      </c>
      <c r="B411" t="s">
        <v>522</v>
      </c>
      <c r="C411" s="134">
        <v>4634</v>
      </c>
      <c r="D411" s="134">
        <v>4664</v>
      </c>
      <c r="E411" s="134">
        <v>4694</v>
      </c>
      <c r="F411" s="934">
        <v>4634</v>
      </c>
      <c r="G411" s="934">
        <v>4690</v>
      </c>
      <c r="H411" s="934">
        <v>4694</v>
      </c>
    </row>
    <row r="412" spans="1:8">
      <c r="A412" t="s">
        <v>2758</v>
      </c>
      <c r="B412" t="s">
        <v>458</v>
      </c>
      <c r="C412" s="134">
        <v>4895</v>
      </c>
      <c r="D412" s="134">
        <v>4962</v>
      </c>
      <c r="E412" s="134">
        <v>4962</v>
      </c>
      <c r="F412" s="934">
        <v>4894</v>
      </c>
      <c r="G412" s="934">
        <v>4975</v>
      </c>
      <c r="H412" s="934">
        <v>4975</v>
      </c>
    </row>
    <row r="413" spans="1:8">
      <c r="A413" t="s">
        <v>2642</v>
      </c>
      <c r="B413" t="s">
        <v>523</v>
      </c>
      <c r="C413" s="134">
        <v>4505</v>
      </c>
      <c r="D413" s="134">
        <v>4485</v>
      </c>
      <c r="E413" s="134">
        <v>4485</v>
      </c>
      <c r="F413" s="934">
        <v>4505</v>
      </c>
      <c r="G413" s="934">
        <v>4560</v>
      </c>
      <c r="H413" s="934">
        <v>4560</v>
      </c>
    </row>
    <row r="414" spans="1:8">
      <c r="A414" t="s">
        <v>2481</v>
      </c>
      <c r="B414" t="s">
        <v>524</v>
      </c>
      <c r="C414" s="134">
        <v>5277</v>
      </c>
      <c r="D414" s="134">
        <v>5651</v>
      </c>
      <c r="E414" s="134">
        <v>5348</v>
      </c>
      <c r="F414" s="934">
        <v>5277</v>
      </c>
      <c r="G414" s="934">
        <v>5651</v>
      </c>
      <c r="H414" s="934">
        <v>5348</v>
      </c>
    </row>
    <row r="415" spans="1:8">
      <c r="A415" t="s">
        <v>1588</v>
      </c>
      <c r="B415" t="s">
        <v>2611</v>
      </c>
      <c r="C415" s="134">
        <v>4713</v>
      </c>
      <c r="D415" s="134">
        <v>4645</v>
      </c>
      <c r="E415" s="134">
        <v>4662</v>
      </c>
      <c r="F415" s="934">
        <v>4713</v>
      </c>
      <c r="G415" s="934">
        <v>4645</v>
      </c>
      <c r="H415" s="934">
        <v>4662</v>
      </c>
    </row>
    <row r="416" spans="1:8">
      <c r="A416" t="s">
        <v>1608</v>
      </c>
      <c r="B416" t="s">
        <v>1670</v>
      </c>
      <c r="C416" s="134">
        <v>4736</v>
      </c>
      <c r="D416" s="134">
        <v>4808</v>
      </c>
      <c r="E416" s="134">
        <v>4736</v>
      </c>
      <c r="F416" s="934">
        <v>4736</v>
      </c>
      <c r="G416" s="934">
        <v>4821</v>
      </c>
      <c r="H416" s="934">
        <v>4736</v>
      </c>
    </row>
    <row r="417" spans="1:8">
      <c r="A417" t="s">
        <v>2300</v>
      </c>
      <c r="B417" t="s">
        <v>525</v>
      </c>
      <c r="C417" s="134">
        <v>5065</v>
      </c>
      <c r="D417" s="134">
        <v>5446</v>
      </c>
      <c r="E417" s="134">
        <v>4926</v>
      </c>
      <c r="F417" s="934">
        <v>5065</v>
      </c>
      <c r="G417" s="934">
        <v>5446</v>
      </c>
      <c r="H417" s="934">
        <v>4926</v>
      </c>
    </row>
    <row r="418" spans="1:8">
      <c r="A418" t="s">
        <v>2921</v>
      </c>
      <c r="B418" t="s">
        <v>526</v>
      </c>
      <c r="C418" s="134">
        <v>4694</v>
      </c>
      <c r="D418" s="134">
        <v>5099</v>
      </c>
      <c r="E418" s="134">
        <v>4841</v>
      </c>
      <c r="F418" s="934">
        <v>4698</v>
      </c>
      <c r="G418" s="934">
        <v>5103</v>
      </c>
      <c r="H418" s="934">
        <v>4926</v>
      </c>
    </row>
    <row r="419" spans="1:8">
      <c r="A419" t="s">
        <v>1278</v>
      </c>
      <c r="B419" t="s">
        <v>2736</v>
      </c>
      <c r="C419" s="134">
        <v>4793</v>
      </c>
      <c r="D419" s="134">
        <v>4811</v>
      </c>
      <c r="E419" s="134">
        <v>4811</v>
      </c>
      <c r="F419" s="934">
        <v>4793</v>
      </c>
      <c r="G419" s="934">
        <v>4819</v>
      </c>
      <c r="H419" s="934">
        <v>4819</v>
      </c>
    </row>
    <row r="420" spans="1:8">
      <c r="A420" t="s">
        <v>55</v>
      </c>
      <c r="B420" t="s">
        <v>450</v>
      </c>
      <c r="C420" s="134">
        <v>5077</v>
      </c>
      <c r="D420" s="134">
        <v>5181</v>
      </c>
      <c r="E420" s="134">
        <v>5240</v>
      </c>
      <c r="F420" s="934">
        <v>5077</v>
      </c>
      <c r="G420" s="934">
        <v>5181</v>
      </c>
      <c r="H420" s="934">
        <v>5240</v>
      </c>
    </row>
    <row r="421" spans="1:8">
      <c r="A421" t="s">
        <v>62</v>
      </c>
      <c r="B421" t="s">
        <v>2980</v>
      </c>
      <c r="C421" s="134">
        <v>4786</v>
      </c>
      <c r="D421" s="134">
        <v>4806</v>
      </c>
      <c r="E421" s="134">
        <v>4806</v>
      </c>
      <c r="F421" s="934">
        <v>4787</v>
      </c>
      <c r="G421" s="934">
        <v>4806</v>
      </c>
      <c r="H421" s="934">
        <v>4806</v>
      </c>
    </row>
    <row r="422" spans="1:8">
      <c r="A422" t="s">
        <v>2922</v>
      </c>
      <c r="B422" t="s">
        <v>527</v>
      </c>
      <c r="C422" s="134">
        <v>4942</v>
      </c>
      <c r="D422" s="134">
        <v>5304</v>
      </c>
      <c r="E422" s="134">
        <v>5187</v>
      </c>
      <c r="F422" s="934">
        <v>4942</v>
      </c>
      <c r="G422" s="934">
        <v>5306</v>
      </c>
      <c r="H422" s="934">
        <v>5187</v>
      </c>
    </row>
    <row r="423" spans="1:8">
      <c r="A423" t="s">
        <v>234</v>
      </c>
      <c r="B423" t="s">
        <v>302</v>
      </c>
      <c r="C423" s="134">
        <v>4587</v>
      </c>
      <c r="D423" s="134">
        <v>4703</v>
      </c>
      <c r="E423" s="134">
        <v>4616</v>
      </c>
      <c r="F423" s="934">
        <v>4587</v>
      </c>
      <c r="G423" s="934">
        <v>4720</v>
      </c>
      <c r="H423" s="934">
        <v>4615</v>
      </c>
    </row>
    <row r="424" spans="1:8">
      <c r="A424" t="s">
        <v>743</v>
      </c>
      <c r="B424" t="s">
        <v>528</v>
      </c>
      <c r="C424" s="134">
        <v>4732</v>
      </c>
      <c r="D424" s="134">
        <v>4836</v>
      </c>
      <c r="E424" s="134">
        <v>4804</v>
      </c>
      <c r="F424" s="934">
        <v>4732</v>
      </c>
      <c r="G424" s="934">
        <v>4851</v>
      </c>
      <c r="H424" s="934">
        <v>4804</v>
      </c>
    </row>
    <row r="425" spans="1:8">
      <c r="A425" t="s">
        <v>918</v>
      </c>
      <c r="B425" t="s">
        <v>2505</v>
      </c>
      <c r="C425" s="134">
        <v>4826</v>
      </c>
      <c r="D425" s="134">
        <v>5103</v>
      </c>
      <c r="E425" s="134">
        <v>5270</v>
      </c>
      <c r="F425" s="934">
        <v>4826</v>
      </c>
      <c r="G425" s="934">
        <v>5112</v>
      </c>
      <c r="H425" s="934">
        <v>5268</v>
      </c>
    </row>
    <row r="426" spans="1:8">
      <c r="A426" t="s">
        <v>2221</v>
      </c>
      <c r="B426" t="s">
        <v>2506</v>
      </c>
      <c r="C426" s="134">
        <v>5157</v>
      </c>
      <c r="D426" s="134">
        <v>5783</v>
      </c>
      <c r="E426" s="134">
        <v>5605</v>
      </c>
      <c r="F426" s="934">
        <v>5157</v>
      </c>
      <c r="G426" s="934">
        <v>5783</v>
      </c>
      <c r="H426" s="934">
        <v>5605</v>
      </c>
    </row>
    <row r="427" spans="1:8">
      <c r="A427" t="s">
        <v>2222</v>
      </c>
      <c r="B427" t="s">
        <v>2507</v>
      </c>
      <c r="C427" s="134">
        <v>5175</v>
      </c>
      <c r="D427" s="134">
        <v>6180</v>
      </c>
      <c r="E427" s="134">
        <v>5226</v>
      </c>
      <c r="F427" s="934">
        <v>5175</v>
      </c>
      <c r="G427" s="934">
        <v>6197</v>
      </c>
      <c r="H427" s="934">
        <v>5226</v>
      </c>
    </row>
    <row r="428" spans="1:8">
      <c r="A428" t="s">
        <v>979</v>
      </c>
      <c r="B428" t="s">
        <v>2734</v>
      </c>
      <c r="C428" s="134">
        <v>4820</v>
      </c>
      <c r="D428" s="134">
        <v>4817</v>
      </c>
      <c r="E428" s="134">
        <v>4792</v>
      </c>
      <c r="F428" s="934">
        <v>4820</v>
      </c>
      <c r="G428" s="934">
        <v>4831</v>
      </c>
      <c r="H428" s="934">
        <v>4792</v>
      </c>
    </row>
    <row r="429" spans="1:8">
      <c r="A429" t="s">
        <v>2223</v>
      </c>
      <c r="B429" t="s">
        <v>2508</v>
      </c>
      <c r="C429" s="134">
        <v>4748</v>
      </c>
      <c r="D429" s="134">
        <v>5537</v>
      </c>
      <c r="E429" s="134">
        <v>5346</v>
      </c>
      <c r="F429" s="934">
        <v>4748</v>
      </c>
      <c r="G429" s="934">
        <v>5537</v>
      </c>
      <c r="H429" s="934">
        <v>5346</v>
      </c>
    </row>
    <row r="430" spans="1:8">
      <c r="A430" t="s">
        <v>1692</v>
      </c>
      <c r="B430" t="s">
        <v>2509</v>
      </c>
      <c r="C430" s="134">
        <v>4203</v>
      </c>
      <c r="D430" s="134">
        <v>4702</v>
      </c>
      <c r="E430" s="134">
        <v>4420</v>
      </c>
      <c r="F430" s="934">
        <v>4203</v>
      </c>
      <c r="G430" s="934">
        <v>4702</v>
      </c>
      <c r="H430" s="934">
        <v>4420</v>
      </c>
    </row>
    <row r="431" spans="1:8">
      <c r="A431" t="s">
        <v>1693</v>
      </c>
      <c r="B431" t="s">
        <v>2510</v>
      </c>
      <c r="C431" s="134">
        <v>4691</v>
      </c>
      <c r="D431" s="134">
        <v>5099</v>
      </c>
      <c r="E431" s="134">
        <v>4840</v>
      </c>
      <c r="F431" s="934">
        <v>4691</v>
      </c>
      <c r="G431" s="934">
        <v>5099</v>
      </c>
      <c r="H431" s="934">
        <v>4840</v>
      </c>
    </row>
    <row r="432" spans="1:8">
      <c r="A432" t="s">
        <v>1694</v>
      </c>
      <c r="B432" t="s">
        <v>2368</v>
      </c>
      <c r="C432" s="134">
        <v>5761</v>
      </c>
      <c r="D432" s="134">
        <v>5586</v>
      </c>
      <c r="E432" s="134">
        <v>5679</v>
      </c>
      <c r="F432" s="934">
        <v>5761</v>
      </c>
      <c r="G432" s="934">
        <v>5586</v>
      </c>
      <c r="H432" s="934">
        <v>5679</v>
      </c>
    </row>
    <row r="433" spans="1:8">
      <c r="A433" t="s">
        <v>1765</v>
      </c>
      <c r="B433" t="s">
        <v>2369</v>
      </c>
      <c r="C433" s="134">
        <v>4324</v>
      </c>
      <c r="D433" s="134">
        <v>4591</v>
      </c>
      <c r="E433" s="134">
        <v>4554</v>
      </c>
      <c r="F433" s="934">
        <v>4324</v>
      </c>
      <c r="G433" s="934">
        <v>4591</v>
      </c>
      <c r="H433" s="934">
        <v>4554</v>
      </c>
    </row>
    <row r="434" spans="1:8">
      <c r="A434" t="s">
        <v>1766</v>
      </c>
      <c r="B434" t="s">
        <v>182</v>
      </c>
      <c r="C434" s="134">
        <v>4511</v>
      </c>
      <c r="D434" s="134">
        <v>5368</v>
      </c>
      <c r="E434" s="134">
        <v>4719</v>
      </c>
      <c r="F434" s="934">
        <v>4511</v>
      </c>
      <c r="G434" s="934">
        <v>5368</v>
      </c>
      <c r="H434" s="934">
        <v>4719</v>
      </c>
    </row>
    <row r="435" spans="1:8">
      <c r="A435" t="s">
        <v>539</v>
      </c>
      <c r="B435" t="s">
        <v>183</v>
      </c>
      <c r="C435" s="134">
        <v>5465</v>
      </c>
      <c r="D435" s="134">
        <v>5371</v>
      </c>
      <c r="E435" s="134">
        <v>5434</v>
      </c>
      <c r="F435" s="934">
        <v>5465</v>
      </c>
      <c r="G435" s="934">
        <v>5371</v>
      </c>
      <c r="H435" s="934">
        <v>5434</v>
      </c>
    </row>
    <row r="436" spans="1:8">
      <c r="A436" t="s">
        <v>506</v>
      </c>
      <c r="B436" t="s">
        <v>184</v>
      </c>
      <c r="C436" s="134">
        <v>4708</v>
      </c>
      <c r="D436" s="134">
        <v>4944</v>
      </c>
      <c r="E436" s="134">
        <v>4781</v>
      </c>
      <c r="F436" s="934">
        <v>4708</v>
      </c>
      <c r="G436" s="934">
        <v>4944</v>
      </c>
      <c r="H436" s="934">
        <v>4781</v>
      </c>
    </row>
    <row r="437" spans="1:8">
      <c r="A437" t="s">
        <v>507</v>
      </c>
      <c r="B437" t="s">
        <v>936</v>
      </c>
      <c r="C437" s="134">
        <v>4495</v>
      </c>
      <c r="D437" s="134">
        <v>4554</v>
      </c>
      <c r="E437" s="134">
        <v>4554</v>
      </c>
      <c r="F437" s="934">
        <v>4495</v>
      </c>
      <c r="G437" s="934">
        <v>4554</v>
      </c>
      <c r="H437" s="934">
        <v>4554</v>
      </c>
    </row>
    <row r="438" spans="1:8">
      <c r="A438" t="s">
        <v>508</v>
      </c>
      <c r="B438" t="s">
        <v>185</v>
      </c>
      <c r="C438" s="134">
        <v>4489</v>
      </c>
      <c r="D438" s="134">
        <v>4430</v>
      </c>
      <c r="E438" s="134">
        <v>4430</v>
      </c>
      <c r="F438" s="934">
        <v>4489</v>
      </c>
      <c r="G438" s="934">
        <v>4430</v>
      </c>
      <c r="H438" s="934">
        <v>4430</v>
      </c>
    </row>
    <row r="439" spans="1:8">
      <c r="A439" t="s">
        <v>509</v>
      </c>
      <c r="B439" t="s">
        <v>186</v>
      </c>
      <c r="C439" s="134">
        <v>4333</v>
      </c>
      <c r="D439" s="134">
        <v>4568</v>
      </c>
      <c r="E439" s="134">
        <v>4464</v>
      </c>
      <c r="F439" s="934">
        <v>4333</v>
      </c>
      <c r="G439" s="934">
        <v>4568</v>
      </c>
      <c r="H439" s="934">
        <v>4464</v>
      </c>
    </row>
    <row r="440" spans="1:8">
      <c r="A440" t="s">
        <v>1304</v>
      </c>
      <c r="B440" t="s">
        <v>1195</v>
      </c>
      <c r="C440" s="134">
        <v>5090</v>
      </c>
      <c r="D440" s="134">
        <v>5425</v>
      </c>
      <c r="E440" s="134">
        <v>5229</v>
      </c>
      <c r="F440" s="934">
        <v>5090</v>
      </c>
      <c r="G440" s="934">
        <v>5435</v>
      </c>
      <c r="H440" s="934">
        <v>5229</v>
      </c>
    </row>
    <row r="441" spans="1:8">
      <c r="A441" t="s">
        <v>1678</v>
      </c>
      <c r="B441" t="s">
        <v>1212</v>
      </c>
      <c r="C441" s="134">
        <v>5393</v>
      </c>
      <c r="D441" s="134">
        <v>5669</v>
      </c>
      <c r="E441" s="134">
        <v>5669</v>
      </c>
      <c r="F441" s="934">
        <v>5393</v>
      </c>
      <c r="G441" s="934">
        <v>5669</v>
      </c>
      <c r="H441" s="934">
        <v>5669</v>
      </c>
    </row>
    <row r="442" spans="1:8">
      <c r="A442" t="s">
        <v>1467</v>
      </c>
      <c r="B442" t="s">
        <v>188</v>
      </c>
      <c r="C442" s="134">
        <v>5427</v>
      </c>
      <c r="D442" s="134">
        <v>5614</v>
      </c>
      <c r="E442" s="134">
        <v>5614</v>
      </c>
      <c r="F442" s="934">
        <v>5427</v>
      </c>
      <c r="G442" s="934">
        <v>5614</v>
      </c>
      <c r="H442" s="934">
        <v>5614</v>
      </c>
    </row>
    <row r="443" spans="1:8">
      <c r="A443" t="s">
        <v>2129</v>
      </c>
      <c r="B443" t="s">
        <v>42</v>
      </c>
      <c r="C443" s="134">
        <v>5199</v>
      </c>
      <c r="D443" s="134">
        <v>5419</v>
      </c>
      <c r="E443" s="134">
        <v>5436</v>
      </c>
      <c r="F443" s="934">
        <v>5199</v>
      </c>
      <c r="G443" s="934">
        <v>5435</v>
      </c>
      <c r="H443" s="934">
        <v>5438</v>
      </c>
    </row>
    <row r="444" spans="1:8">
      <c r="A444" t="s">
        <v>1918</v>
      </c>
      <c r="B444" t="s">
        <v>189</v>
      </c>
      <c r="C444" s="134">
        <v>5975</v>
      </c>
      <c r="D444" s="134">
        <v>6174</v>
      </c>
      <c r="E444" s="134">
        <v>6233</v>
      </c>
      <c r="F444" s="934">
        <v>5975</v>
      </c>
      <c r="G444" s="934">
        <v>6174</v>
      </c>
      <c r="H444" s="934">
        <v>6233</v>
      </c>
    </row>
    <row r="445" spans="1:8">
      <c r="A445" t="s">
        <v>1919</v>
      </c>
      <c r="B445" t="s">
        <v>1525</v>
      </c>
      <c r="C445" s="134">
        <v>4390</v>
      </c>
      <c r="D445" s="134">
        <v>4593</v>
      </c>
      <c r="E445" s="134">
        <v>4618</v>
      </c>
      <c r="F445" s="934">
        <v>4390</v>
      </c>
      <c r="G445" s="934">
        <v>4592</v>
      </c>
      <c r="H445" s="934">
        <v>4618</v>
      </c>
    </row>
    <row r="446" spans="1:8">
      <c r="A446" t="s">
        <v>2912</v>
      </c>
      <c r="B446" t="s">
        <v>1526</v>
      </c>
      <c r="C446" s="134">
        <v>4317</v>
      </c>
      <c r="D446" s="134">
        <v>4703</v>
      </c>
      <c r="E446" s="134">
        <v>4649</v>
      </c>
      <c r="F446" s="934">
        <v>4317</v>
      </c>
      <c r="G446" s="934">
        <v>4703</v>
      </c>
      <c r="H446" s="934">
        <v>4649</v>
      </c>
    </row>
    <row r="447" spans="1:8">
      <c r="A447" t="s">
        <v>2879</v>
      </c>
      <c r="B447" t="s">
        <v>1527</v>
      </c>
      <c r="C447" s="134">
        <v>4667</v>
      </c>
      <c r="D447" s="134">
        <v>4558</v>
      </c>
      <c r="E447" s="134">
        <v>4756</v>
      </c>
      <c r="F447" s="934">
        <v>4667</v>
      </c>
      <c r="G447" s="934">
        <v>4558</v>
      </c>
      <c r="H447" s="934">
        <v>4756</v>
      </c>
    </row>
    <row r="448" spans="1:8">
      <c r="A448" t="s">
        <v>2284</v>
      </c>
      <c r="B448" t="s">
        <v>1528</v>
      </c>
      <c r="C448" s="134">
        <v>4209</v>
      </c>
      <c r="D448" s="134">
        <v>4369</v>
      </c>
      <c r="E448" s="134">
        <v>4396</v>
      </c>
      <c r="F448" s="934">
        <v>4209</v>
      </c>
      <c r="G448" s="934">
        <v>4369</v>
      </c>
      <c r="H448" s="934">
        <v>4396</v>
      </c>
    </row>
    <row r="449" spans="1:8">
      <c r="A449" t="s">
        <v>71</v>
      </c>
      <c r="B449" t="s">
        <v>2995</v>
      </c>
      <c r="C449" s="134">
        <v>4567</v>
      </c>
      <c r="D449" s="134">
        <v>5015</v>
      </c>
      <c r="E449" s="134">
        <v>5442</v>
      </c>
      <c r="F449" s="934">
        <v>4567</v>
      </c>
      <c r="G449" s="934">
        <v>5015</v>
      </c>
      <c r="H449" s="934">
        <v>5442</v>
      </c>
    </row>
    <row r="450" spans="1:8">
      <c r="A450" t="s">
        <v>1711</v>
      </c>
      <c r="B450" t="s">
        <v>662</v>
      </c>
      <c r="C450" s="134">
        <v>4716</v>
      </c>
      <c r="D450" s="134">
        <v>3547</v>
      </c>
      <c r="E450" s="134">
        <v>3547</v>
      </c>
      <c r="F450" s="934">
        <v>4716</v>
      </c>
      <c r="G450" s="934">
        <v>3547</v>
      </c>
      <c r="H450" s="934">
        <v>3547</v>
      </c>
    </row>
    <row r="451" spans="1:8">
      <c r="A451" t="s">
        <v>980</v>
      </c>
      <c r="B451" t="s">
        <v>2415</v>
      </c>
      <c r="C451" s="134">
        <v>4464</v>
      </c>
      <c r="D451" s="134">
        <v>4650</v>
      </c>
      <c r="E451" s="134">
        <v>4589</v>
      </c>
      <c r="F451" s="934">
        <v>4464</v>
      </c>
      <c r="G451" s="934">
        <v>4650</v>
      </c>
      <c r="H451" s="934">
        <v>4589</v>
      </c>
    </row>
    <row r="452" spans="1:8">
      <c r="A452" t="s">
        <v>72</v>
      </c>
      <c r="B452" t="s">
        <v>2996</v>
      </c>
      <c r="C452" s="134">
        <v>5601</v>
      </c>
      <c r="D452" s="134">
        <v>5161</v>
      </c>
      <c r="E452" s="134">
        <v>5161</v>
      </c>
      <c r="F452" s="934">
        <v>5601</v>
      </c>
      <c r="G452" s="934">
        <v>5161</v>
      </c>
      <c r="H452" s="934">
        <v>5161</v>
      </c>
    </row>
    <row r="453" spans="1:8">
      <c r="A453" t="s">
        <v>2437</v>
      </c>
      <c r="B453" t="s">
        <v>39</v>
      </c>
      <c r="C453" s="134">
        <v>4593</v>
      </c>
      <c r="D453" s="134">
        <v>4647</v>
      </c>
      <c r="E453" s="134">
        <v>4647</v>
      </c>
      <c r="F453" s="934">
        <v>4593</v>
      </c>
      <c r="G453" s="934">
        <v>4647</v>
      </c>
      <c r="H453" s="934">
        <v>4647</v>
      </c>
    </row>
    <row r="454" spans="1:8">
      <c r="A454" t="s">
        <v>873</v>
      </c>
      <c r="B454" t="s">
        <v>1217</v>
      </c>
      <c r="C454" s="134">
        <v>4572</v>
      </c>
      <c r="D454" s="134">
        <v>4585</v>
      </c>
      <c r="E454" s="134">
        <v>4592</v>
      </c>
      <c r="F454" s="934">
        <v>4572</v>
      </c>
      <c r="G454" s="934">
        <v>4585</v>
      </c>
      <c r="H454" s="934">
        <v>4592</v>
      </c>
    </row>
    <row r="455" spans="1:8">
      <c r="A455" t="s">
        <v>875</v>
      </c>
      <c r="B455" t="s">
        <v>40</v>
      </c>
      <c r="C455" s="134">
        <v>4653</v>
      </c>
      <c r="D455" s="134">
        <v>4813</v>
      </c>
      <c r="E455" s="134">
        <v>4722</v>
      </c>
      <c r="F455" s="934">
        <v>4653</v>
      </c>
      <c r="G455" s="934">
        <v>4813</v>
      </c>
      <c r="H455" s="934">
        <v>4722</v>
      </c>
    </row>
    <row r="456" spans="1:8">
      <c r="A456" t="s">
        <v>2131</v>
      </c>
      <c r="B456" t="s">
        <v>2725</v>
      </c>
      <c r="C456" s="134">
        <v>4608</v>
      </c>
      <c r="D456" s="134">
        <v>4638</v>
      </c>
      <c r="E456" s="134">
        <v>4589</v>
      </c>
      <c r="F456" s="934">
        <v>4608</v>
      </c>
      <c r="G456" s="934">
        <v>4638</v>
      </c>
      <c r="H456" s="934">
        <v>4589</v>
      </c>
    </row>
    <row r="457" spans="1:8">
      <c r="A457" t="s">
        <v>2894</v>
      </c>
      <c r="B457" t="s">
        <v>925</v>
      </c>
      <c r="C457" s="134">
        <v>4645</v>
      </c>
      <c r="D457" s="134">
        <v>4692</v>
      </c>
      <c r="E457" s="134">
        <v>4692</v>
      </c>
      <c r="F457" s="934">
        <v>4645</v>
      </c>
      <c r="G457" s="934">
        <v>4692</v>
      </c>
      <c r="H457" s="934">
        <v>4692</v>
      </c>
    </row>
    <row r="458" spans="1:8">
      <c r="A458" t="s">
        <v>2897</v>
      </c>
      <c r="B458" t="s">
        <v>2553</v>
      </c>
      <c r="C458" s="134">
        <v>4608</v>
      </c>
      <c r="D458" s="134">
        <v>4623</v>
      </c>
      <c r="E458" s="134">
        <v>4623</v>
      </c>
      <c r="F458" s="934">
        <v>4608</v>
      </c>
      <c r="G458" s="934">
        <v>4623</v>
      </c>
      <c r="H458" s="934">
        <v>4623</v>
      </c>
    </row>
    <row r="459" spans="1:8">
      <c r="A459" t="s">
        <v>2903</v>
      </c>
      <c r="B459" t="s">
        <v>45</v>
      </c>
      <c r="C459" s="134">
        <v>4653</v>
      </c>
      <c r="D459" s="134">
        <v>4642</v>
      </c>
      <c r="E459" s="134">
        <v>4668</v>
      </c>
      <c r="F459" s="934">
        <v>4653</v>
      </c>
      <c r="G459" s="934">
        <v>4642</v>
      </c>
      <c r="H459" s="934">
        <v>4668</v>
      </c>
    </row>
    <row r="460" spans="1:8">
      <c r="A460" t="s">
        <v>239</v>
      </c>
      <c r="B460" t="s">
        <v>1126</v>
      </c>
      <c r="C460" s="134">
        <v>4644</v>
      </c>
      <c r="D460" s="134">
        <v>4691</v>
      </c>
      <c r="E460" s="134">
        <v>4691</v>
      </c>
      <c r="F460" s="934">
        <v>4644</v>
      </c>
      <c r="G460" s="934">
        <v>4691</v>
      </c>
      <c r="H460" s="934">
        <v>4691</v>
      </c>
    </row>
    <row r="461" spans="1:8">
      <c r="A461" t="s">
        <v>1218</v>
      </c>
      <c r="B461" t="s">
        <v>88</v>
      </c>
      <c r="C461" s="134">
        <v>4583</v>
      </c>
      <c r="D461" s="134">
        <v>4620</v>
      </c>
      <c r="E461" s="134">
        <v>4607</v>
      </c>
      <c r="F461" s="934">
        <v>4583</v>
      </c>
      <c r="G461" s="934">
        <v>4620</v>
      </c>
      <c r="H461" s="934">
        <v>4607</v>
      </c>
    </row>
    <row r="462" spans="1:8">
      <c r="A462" t="s">
        <v>1759</v>
      </c>
      <c r="B462" t="s">
        <v>2998</v>
      </c>
      <c r="C462" s="134">
        <v>4870</v>
      </c>
      <c r="D462" s="134">
        <v>4926</v>
      </c>
      <c r="E462" s="134">
        <v>4969</v>
      </c>
      <c r="F462" s="934">
        <v>4870</v>
      </c>
      <c r="G462" s="934">
        <v>4926</v>
      </c>
      <c r="H462" s="934">
        <v>4969</v>
      </c>
    </row>
    <row r="463" spans="1:8">
      <c r="A463" t="s">
        <v>65</v>
      </c>
      <c r="B463" t="s">
        <v>2170</v>
      </c>
      <c r="C463" s="134">
        <v>4657</v>
      </c>
      <c r="D463" s="134">
        <v>4730</v>
      </c>
      <c r="E463" s="134">
        <v>4730</v>
      </c>
      <c r="F463" s="934">
        <v>4657</v>
      </c>
      <c r="G463" s="934">
        <v>4742</v>
      </c>
      <c r="H463" s="934">
        <v>4742</v>
      </c>
    </row>
    <row r="464" spans="1:8">
      <c r="A464" t="s">
        <v>821</v>
      </c>
      <c r="B464" t="s">
        <v>162</v>
      </c>
      <c r="C464" s="134">
        <v>4524</v>
      </c>
      <c r="D464" s="134">
        <v>4549</v>
      </c>
      <c r="E464" s="134">
        <v>4556</v>
      </c>
      <c r="F464" s="934">
        <v>4524</v>
      </c>
      <c r="G464" s="934">
        <v>4549</v>
      </c>
      <c r="H464" s="934">
        <v>4556</v>
      </c>
    </row>
    <row r="465" spans="1:8">
      <c r="A465" t="s">
        <v>67</v>
      </c>
      <c r="B465" t="s">
        <v>2622</v>
      </c>
      <c r="C465" s="134">
        <v>4565</v>
      </c>
      <c r="D465" s="134">
        <v>4637</v>
      </c>
      <c r="E465" s="134">
        <v>4654</v>
      </c>
      <c r="F465" s="934">
        <v>4565</v>
      </c>
      <c r="G465" s="934">
        <v>4637</v>
      </c>
      <c r="H465" s="934">
        <v>4654</v>
      </c>
    </row>
    <row r="466" spans="1:8">
      <c r="A466" t="s">
        <v>554</v>
      </c>
      <c r="B466" t="s">
        <v>2561</v>
      </c>
      <c r="C466" s="134">
        <v>4697</v>
      </c>
      <c r="D466" s="134">
        <v>4588</v>
      </c>
      <c r="E466" s="134">
        <v>4634</v>
      </c>
      <c r="F466" s="934">
        <v>4697</v>
      </c>
      <c r="G466" s="934">
        <v>4588</v>
      </c>
      <c r="H466" s="934">
        <v>4634</v>
      </c>
    </row>
    <row r="467" spans="1:8">
      <c r="A467" t="s">
        <v>1715</v>
      </c>
      <c r="B467" t="s">
        <v>2705</v>
      </c>
      <c r="C467" s="134">
        <v>4611</v>
      </c>
      <c r="D467" s="134">
        <v>4660</v>
      </c>
      <c r="E467" s="134">
        <v>4697</v>
      </c>
      <c r="F467" s="934">
        <v>4611</v>
      </c>
      <c r="G467" s="934">
        <v>4660</v>
      </c>
      <c r="H467" s="934">
        <v>4697</v>
      </c>
    </row>
    <row r="468" spans="1:8">
      <c r="A468" t="s">
        <v>172</v>
      </c>
      <c r="B468" t="s">
        <v>2464</v>
      </c>
      <c r="C468" s="134">
        <v>4560</v>
      </c>
      <c r="D468" s="134">
        <v>4547</v>
      </c>
      <c r="E468" s="134">
        <v>4547</v>
      </c>
      <c r="F468" s="934">
        <v>4560</v>
      </c>
      <c r="G468" s="934">
        <v>4547</v>
      </c>
      <c r="H468" s="934">
        <v>4547</v>
      </c>
    </row>
    <row r="469" spans="1:8">
      <c r="A469" t="s">
        <v>2869</v>
      </c>
      <c r="B469" t="s">
        <v>1010</v>
      </c>
      <c r="C469" s="134">
        <v>4560</v>
      </c>
      <c r="D469" s="134">
        <v>4554</v>
      </c>
      <c r="E469" s="134">
        <v>4554</v>
      </c>
      <c r="F469" s="934">
        <v>4560</v>
      </c>
      <c r="G469" s="934">
        <v>4554</v>
      </c>
      <c r="H469" s="934">
        <v>4554</v>
      </c>
    </row>
    <row r="470" spans="1:8">
      <c r="A470" t="s">
        <v>2756</v>
      </c>
      <c r="B470" t="s">
        <v>742</v>
      </c>
      <c r="C470" s="134">
        <v>4642</v>
      </c>
      <c r="D470" s="134">
        <v>4610</v>
      </c>
      <c r="E470" s="134">
        <v>4650</v>
      </c>
      <c r="F470" s="934">
        <v>4642</v>
      </c>
      <c r="G470" s="934">
        <v>4610</v>
      </c>
      <c r="H470" s="934">
        <v>4650</v>
      </c>
    </row>
    <row r="471" spans="1:8">
      <c r="A471" t="s">
        <v>2133</v>
      </c>
      <c r="B471" t="s">
        <v>2727</v>
      </c>
      <c r="C471" s="134">
        <v>4550</v>
      </c>
      <c r="D471" s="134">
        <v>4569</v>
      </c>
      <c r="E471" s="134">
        <v>4569</v>
      </c>
      <c r="F471" s="934">
        <v>4550</v>
      </c>
      <c r="G471" s="934">
        <v>4569</v>
      </c>
      <c r="H471" s="934">
        <v>4569</v>
      </c>
    </row>
    <row r="472" spans="1:8">
      <c r="A472" t="s">
        <v>555</v>
      </c>
      <c r="B472" t="s">
        <v>2732</v>
      </c>
      <c r="C472" s="134">
        <v>4916</v>
      </c>
      <c r="D472" s="134">
        <v>5609</v>
      </c>
      <c r="E472" s="134">
        <v>5208</v>
      </c>
      <c r="F472" s="934">
        <v>4916</v>
      </c>
      <c r="G472" s="934">
        <v>5609</v>
      </c>
      <c r="H472" s="934">
        <v>5208</v>
      </c>
    </row>
    <row r="473" spans="1:8">
      <c r="A473" t="s">
        <v>49</v>
      </c>
      <c r="B473" t="s">
        <v>444</v>
      </c>
      <c r="C473" s="134">
        <v>4594</v>
      </c>
      <c r="D473" s="134">
        <v>4585</v>
      </c>
      <c r="E473" s="134">
        <v>4585</v>
      </c>
      <c r="F473" s="934">
        <v>4594</v>
      </c>
      <c r="G473" s="934">
        <v>4584</v>
      </c>
      <c r="H473" s="934">
        <v>4584</v>
      </c>
    </row>
    <row r="474" spans="1:8">
      <c r="A474" t="s">
        <v>173</v>
      </c>
      <c r="B474" t="s">
        <v>2466</v>
      </c>
      <c r="C474" s="134">
        <v>4322</v>
      </c>
      <c r="D474" s="134">
        <v>4639</v>
      </c>
      <c r="E474" s="134">
        <v>4663</v>
      </c>
      <c r="F474" s="934">
        <v>4322</v>
      </c>
      <c r="G474" s="934">
        <v>4639</v>
      </c>
      <c r="H474" s="934">
        <v>4663</v>
      </c>
    </row>
    <row r="475" spans="1:8">
      <c r="A475" t="s">
        <v>567</v>
      </c>
      <c r="B475" t="s">
        <v>2562</v>
      </c>
      <c r="C475" s="134">
        <v>4526</v>
      </c>
      <c r="D475" s="134">
        <v>4773</v>
      </c>
      <c r="E475" s="134">
        <v>4779</v>
      </c>
      <c r="F475" s="934">
        <v>4526</v>
      </c>
      <c r="G475" s="934">
        <v>4773</v>
      </c>
      <c r="H475" s="934">
        <v>4779</v>
      </c>
    </row>
    <row r="476" spans="1:8">
      <c r="A476" t="s">
        <v>1760</v>
      </c>
      <c r="B476" t="s">
        <v>2999</v>
      </c>
      <c r="C476" s="134">
        <v>4571</v>
      </c>
      <c r="D476" s="134">
        <v>4674</v>
      </c>
      <c r="E476" s="134">
        <v>4674</v>
      </c>
      <c r="F476" s="934">
        <v>4571</v>
      </c>
      <c r="G476" s="934">
        <v>4674</v>
      </c>
      <c r="H476" s="934">
        <v>4674</v>
      </c>
    </row>
    <row r="477" spans="1:8">
      <c r="A477" t="s">
        <v>568</v>
      </c>
      <c r="B477" t="s">
        <v>2773</v>
      </c>
      <c r="C477" s="134">
        <v>4610</v>
      </c>
      <c r="D477" s="134">
        <v>4734</v>
      </c>
      <c r="E477" s="134">
        <v>4734</v>
      </c>
      <c r="F477" s="934">
        <v>4610</v>
      </c>
      <c r="G477" s="934">
        <v>4734</v>
      </c>
      <c r="H477" s="934">
        <v>4734</v>
      </c>
    </row>
    <row r="478" spans="1:8">
      <c r="A478" t="s">
        <v>1733</v>
      </c>
      <c r="B478" t="s">
        <v>1522</v>
      </c>
      <c r="C478" s="134">
        <v>4759</v>
      </c>
      <c r="D478" s="134">
        <v>4870</v>
      </c>
      <c r="E478" s="134">
        <v>4870</v>
      </c>
      <c r="F478" s="934">
        <v>4759</v>
      </c>
      <c r="G478" s="934">
        <v>4870</v>
      </c>
      <c r="H478" s="934">
        <v>4870</v>
      </c>
    </row>
    <row r="479" spans="1:8">
      <c r="A479" t="s">
        <v>569</v>
      </c>
      <c r="B479" t="s">
        <v>2989</v>
      </c>
      <c r="C479" s="134">
        <v>4603</v>
      </c>
      <c r="D479" s="134">
        <v>4506</v>
      </c>
      <c r="E479" s="134">
        <v>4506</v>
      </c>
      <c r="F479" s="934">
        <v>4603</v>
      </c>
      <c r="G479" s="934">
        <v>4506</v>
      </c>
      <c r="H479" s="934">
        <v>4506</v>
      </c>
    </row>
    <row r="480" spans="1:8">
      <c r="A480" t="s">
        <v>1761</v>
      </c>
      <c r="B480" t="s">
        <v>3000</v>
      </c>
      <c r="C480" s="134">
        <v>4161</v>
      </c>
      <c r="D480" s="134">
        <v>4072</v>
      </c>
      <c r="E480" s="134">
        <v>4192</v>
      </c>
      <c r="F480" s="934">
        <v>4161</v>
      </c>
      <c r="G480" s="934">
        <v>4072</v>
      </c>
      <c r="H480" s="934">
        <v>4192</v>
      </c>
    </row>
    <row r="481" spans="1:8">
      <c r="A481" t="s">
        <v>1762</v>
      </c>
      <c r="B481" t="s">
        <v>3001</v>
      </c>
      <c r="C481" s="134">
        <v>5208</v>
      </c>
      <c r="D481" s="134">
        <v>5477</v>
      </c>
      <c r="E481" s="134">
        <v>5317</v>
      </c>
      <c r="F481" s="934">
        <v>5208</v>
      </c>
      <c r="G481" s="934">
        <v>5477</v>
      </c>
      <c r="H481" s="934">
        <v>5317</v>
      </c>
    </row>
    <row r="482" spans="1:8">
      <c r="A482" t="s">
        <v>1410</v>
      </c>
      <c r="B482" t="s">
        <v>3002</v>
      </c>
      <c r="C482" s="134">
        <v>4541</v>
      </c>
      <c r="D482" s="134">
        <v>4788</v>
      </c>
      <c r="E482" s="134">
        <v>4621</v>
      </c>
      <c r="F482" s="934">
        <v>4541</v>
      </c>
      <c r="G482" s="934">
        <v>4788</v>
      </c>
      <c r="H482" s="934">
        <v>4621</v>
      </c>
    </row>
    <row r="483" spans="1:8">
      <c r="A483" t="s">
        <v>2104</v>
      </c>
      <c r="B483" t="s">
        <v>2203</v>
      </c>
      <c r="C483" s="134">
        <v>4729</v>
      </c>
      <c r="D483" s="134">
        <v>4768</v>
      </c>
      <c r="E483" s="134">
        <v>4676</v>
      </c>
      <c r="F483" s="934">
        <v>4729</v>
      </c>
      <c r="G483" s="934">
        <v>4768</v>
      </c>
      <c r="H483" s="934">
        <v>4676</v>
      </c>
    </row>
    <row r="484" spans="1:8">
      <c r="A484" t="s">
        <v>1411</v>
      </c>
      <c r="B484" t="s">
        <v>3003</v>
      </c>
      <c r="C484" s="134">
        <v>12149</v>
      </c>
      <c r="D484" s="134">
        <v>11093</v>
      </c>
      <c r="E484" s="134">
        <v>11180</v>
      </c>
      <c r="F484" s="934">
        <v>12149</v>
      </c>
      <c r="G484" s="934">
        <v>11093</v>
      </c>
      <c r="H484" s="934">
        <v>11180</v>
      </c>
    </row>
    <row r="485" spans="1:8">
      <c r="A485" t="s">
        <v>1412</v>
      </c>
      <c r="B485" t="s">
        <v>3004</v>
      </c>
      <c r="C485" s="134">
        <v>5178</v>
      </c>
      <c r="D485" s="134">
        <v>5457</v>
      </c>
      <c r="E485" s="134">
        <v>5261</v>
      </c>
      <c r="F485" s="934">
        <v>5178</v>
      </c>
      <c r="G485" s="934">
        <v>5457</v>
      </c>
      <c r="H485" s="934">
        <v>5261</v>
      </c>
    </row>
    <row r="486" spans="1:8">
      <c r="A486" t="s">
        <v>1413</v>
      </c>
      <c r="B486" t="s">
        <v>247</v>
      </c>
      <c r="C486" s="134">
        <v>5324</v>
      </c>
      <c r="D486" s="134">
        <v>5636</v>
      </c>
      <c r="E486" s="134">
        <v>5824</v>
      </c>
      <c r="F486" s="934">
        <v>5324</v>
      </c>
      <c r="G486" s="934">
        <v>5636</v>
      </c>
      <c r="H486" s="934">
        <v>5824</v>
      </c>
    </row>
    <row r="487" spans="1:8">
      <c r="A487" t="s">
        <v>1991</v>
      </c>
      <c r="B487" t="s">
        <v>1763</v>
      </c>
      <c r="C487" s="134">
        <v>4789</v>
      </c>
      <c r="D487" s="134">
        <v>4817</v>
      </c>
      <c r="E487" s="134">
        <v>4817</v>
      </c>
      <c r="F487" s="934">
        <v>4789</v>
      </c>
      <c r="G487" s="934">
        <v>4817</v>
      </c>
      <c r="H487" s="934">
        <v>4817</v>
      </c>
    </row>
    <row r="488" spans="1:8">
      <c r="A488" t="s">
        <v>1709</v>
      </c>
      <c r="B488" t="s">
        <v>660</v>
      </c>
      <c r="C488" s="134">
        <v>4607</v>
      </c>
      <c r="D488" s="134">
        <v>5035</v>
      </c>
      <c r="E488" s="134">
        <v>4784</v>
      </c>
      <c r="F488" s="934">
        <v>4607</v>
      </c>
      <c r="G488" s="934">
        <v>5035</v>
      </c>
      <c r="H488" s="934">
        <v>4784</v>
      </c>
    </row>
    <row r="489" spans="1:8">
      <c r="A489" t="s">
        <v>208</v>
      </c>
      <c r="B489" t="s">
        <v>248</v>
      </c>
      <c r="C489" s="134">
        <v>4490</v>
      </c>
      <c r="D489" s="134">
        <v>4540</v>
      </c>
      <c r="E489" s="134">
        <v>4680</v>
      </c>
      <c r="F489" s="934">
        <v>4490</v>
      </c>
      <c r="G489" s="934">
        <v>4540</v>
      </c>
      <c r="H489" s="934">
        <v>4680</v>
      </c>
    </row>
    <row r="490" spans="1:8">
      <c r="A490" t="s">
        <v>1687</v>
      </c>
      <c r="B490" t="s">
        <v>462</v>
      </c>
      <c r="C490" s="134">
        <v>4356</v>
      </c>
      <c r="D490" s="134">
        <v>4536</v>
      </c>
      <c r="E490" s="134">
        <v>4605</v>
      </c>
      <c r="F490" s="934">
        <v>4356</v>
      </c>
      <c r="G490" s="934">
        <v>4536</v>
      </c>
      <c r="H490" s="934">
        <v>4605</v>
      </c>
    </row>
    <row r="491" spans="1:8">
      <c r="A491" t="s">
        <v>209</v>
      </c>
      <c r="B491" t="s">
        <v>249</v>
      </c>
      <c r="C491" s="134">
        <v>4375</v>
      </c>
      <c r="D491" s="134">
        <v>4429</v>
      </c>
      <c r="E491" s="134">
        <v>4415</v>
      </c>
      <c r="F491" s="934">
        <v>4375</v>
      </c>
      <c r="G491" s="934">
        <v>4429</v>
      </c>
      <c r="H491" s="934">
        <v>4415</v>
      </c>
    </row>
    <row r="492" spans="1:8">
      <c r="A492" t="s">
        <v>2217</v>
      </c>
      <c r="B492" t="s">
        <v>2557</v>
      </c>
      <c r="C492" s="134">
        <v>4168</v>
      </c>
      <c r="D492" s="134">
        <v>4150</v>
      </c>
      <c r="E492" s="134">
        <v>4246</v>
      </c>
      <c r="F492" s="934">
        <v>4168</v>
      </c>
      <c r="G492" s="934">
        <v>4150</v>
      </c>
      <c r="H492" s="934">
        <v>4246</v>
      </c>
    </row>
    <row r="493" spans="1:8">
      <c r="A493" t="s">
        <v>210</v>
      </c>
      <c r="B493" t="s">
        <v>702</v>
      </c>
      <c r="C493" s="134">
        <v>4116</v>
      </c>
      <c r="D493" s="134">
        <v>4291</v>
      </c>
      <c r="E493" s="134">
        <v>4273</v>
      </c>
      <c r="F493" s="934">
        <v>4116</v>
      </c>
      <c r="G493" s="934">
        <v>4291</v>
      </c>
      <c r="H493" s="934">
        <v>4273</v>
      </c>
    </row>
    <row r="494" spans="1:8">
      <c r="A494" t="s">
        <v>211</v>
      </c>
      <c r="B494" t="s">
        <v>703</v>
      </c>
      <c r="C494" s="134">
        <v>4399</v>
      </c>
      <c r="D494" s="134">
        <v>4463</v>
      </c>
      <c r="E494" s="134">
        <v>4496</v>
      </c>
      <c r="F494" s="934">
        <v>4399</v>
      </c>
      <c r="G494" s="934">
        <v>4463</v>
      </c>
      <c r="H494" s="934">
        <v>4496</v>
      </c>
    </row>
    <row r="495" spans="1:8">
      <c r="A495" t="s">
        <v>1688</v>
      </c>
      <c r="B495" t="s">
        <v>2216</v>
      </c>
      <c r="C495" s="134">
        <v>4243</v>
      </c>
      <c r="D495" s="134">
        <v>4357</v>
      </c>
      <c r="E495" s="134">
        <v>4254</v>
      </c>
      <c r="F495" s="934">
        <v>4243</v>
      </c>
      <c r="G495" s="934">
        <v>4357</v>
      </c>
      <c r="H495" s="934">
        <v>4254</v>
      </c>
    </row>
    <row r="496" spans="1:8">
      <c r="A496" t="s">
        <v>1601</v>
      </c>
      <c r="B496" t="s">
        <v>704</v>
      </c>
      <c r="C496" s="134">
        <v>4597</v>
      </c>
      <c r="D496" s="134">
        <v>4541</v>
      </c>
      <c r="E496" s="134">
        <v>4583</v>
      </c>
      <c r="F496" s="934">
        <v>4597</v>
      </c>
      <c r="G496" s="934">
        <v>4541</v>
      </c>
      <c r="H496" s="934">
        <v>4583</v>
      </c>
    </row>
    <row r="497" spans="1:8">
      <c r="A497" t="s">
        <v>1432</v>
      </c>
      <c r="B497" t="s">
        <v>2480</v>
      </c>
      <c r="C497" s="134">
        <v>5041</v>
      </c>
      <c r="D497" s="134">
        <v>4693</v>
      </c>
      <c r="E497" s="134">
        <v>4968</v>
      </c>
      <c r="F497" s="934">
        <v>5041</v>
      </c>
      <c r="G497" s="934">
        <v>4693</v>
      </c>
      <c r="H497" s="934">
        <v>4968</v>
      </c>
    </row>
    <row r="498" spans="1:8">
      <c r="A498" t="s">
        <v>1104</v>
      </c>
      <c r="B498" t="s">
        <v>2880</v>
      </c>
      <c r="C498" s="134">
        <v>4586</v>
      </c>
      <c r="D498" s="134">
        <v>4784</v>
      </c>
      <c r="E498" s="134">
        <v>4819</v>
      </c>
      <c r="F498" s="934">
        <v>4586</v>
      </c>
      <c r="G498" s="934">
        <v>4784</v>
      </c>
      <c r="H498" s="934">
        <v>4819</v>
      </c>
    </row>
    <row r="499" spans="1:8">
      <c r="A499" t="s">
        <v>1105</v>
      </c>
      <c r="B499" t="s">
        <v>1767</v>
      </c>
      <c r="C499" s="134">
        <v>4500</v>
      </c>
      <c r="D499" s="134">
        <v>4691</v>
      </c>
      <c r="E499" s="134">
        <v>4737</v>
      </c>
      <c r="F499" s="934">
        <v>4500</v>
      </c>
      <c r="G499" s="934">
        <v>4691</v>
      </c>
      <c r="H499" s="934">
        <v>4737</v>
      </c>
    </row>
    <row r="500" spans="1:8">
      <c r="A500" t="s">
        <v>1011</v>
      </c>
      <c r="B500" t="s">
        <v>1768</v>
      </c>
      <c r="C500" s="134">
        <v>4431</v>
      </c>
      <c r="D500" s="134">
        <v>5400</v>
      </c>
      <c r="E500" s="134">
        <v>4552</v>
      </c>
      <c r="F500" s="934">
        <v>4431</v>
      </c>
      <c r="G500" s="934">
        <v>5400</v>
      </c>
      <c r="H500" s="934">
        <v>4552</v>
      </c>
    </row>
    <row r="501" spans="1:8">
      <c r="A501" t="s">
        <v>2036</v>
      </c>
      <c r="B501" t="s">
        <v>1769</v>
      </c>
      <c r="C501" s="134">
        <v>4350</v>
      </c>
      <c r="D501" s="134">
        <v>4752</v>
      </c>
      <c r="E501" s="134">
        <v>4396</v>
      </c>
      <c r="F501" s="934">
        <v>4350</v>
      </c>
      <c r="G501" s="934">
        <v>4752</v>
      </c>
      <c r="H501" s="934">
        <v>4396</v>
      </c>
    </row>
    <row r="502" spans="1:8">
      <c r="A502" t="s">
        <v>3076</v>
      </c>
      <c r="B502" t="s">
        <v>1770</v>
      </c>
      <c r="C502" s="134">
        <v>4589</v>
      </c>
      <c r="D502" s="134">
        <v>4899</v>
      </c>
      <c r="E502" s="134">
        <v>4666</v>
      </c>
      <c r="F502" s="934">
        <v>4589</v>
      </c>
      <c r="G502" s="934">
        <v>4899</v>
      </c>
      <c r="H502" s="934">
        <v>4666</v>
      </c>
    </row>
    <row r="503" spans="1:8">
      <c r="A503" t="s">
        <v>3077</v>
      </c>
      <c r="B503" t="s">
        <v>1771</v>
      </c>
      <c r="C503" s="134">
        <v>5090</v>
      </c>
      <c r="D503" s="134">
        <v>5812</v>
      </c>
      <c r="E503" s="134">
        <v>5129</v>
      </c>
      <c r="F503" s="934">
        <v>5089</v>
      </c>
      <c r="G503" s="934">
        <v>5812</v>
      </c>
      <c r="H503" s="934">
        <v>5129</v>
      </c>
    </row>
    <row r="504" spans="1:8">
      <c r="A504" t="s">
        <v>1507</v>
      </c>
      <c r="B504" t="s">
        <v>1772</v>
      </c>
      <c r="C504" s="134">
        <v>4357</v>
      </c>
      <c r="D504" s="134">
        <v>4308</v>
      </c>
      <c r="E504" s="134">
        <v>4455</v>
      </c>
      <c r="F504" s="934">
        <v>4357</v>
      </c>
      <c r="G504" s="934">
        <v>4308</v>
      </c>
      <c r="H504" s="934">
        <v>4455</v>
      </c>
    </row>
    <row r="505" spans="1:8">
      <c r="A505" t="s">
        <v>2492</v>
      </c>
      <c r="B505" t="s">
        <v>1773</v>
      </c>
      <c r="C505" s="134">
        <v>4596</v>
      </c>
      <c r="D505" s="134">
        <v>4654</v>
      </c>
      <c r="E505" s="134">
        <v>4654</v>
      </c>
      <c r="F505" s="934">
        <v>4596</v>
      </c>
      <c r="G505" s="934">
        <v>4654</v>
      </c>
      <c r="H505" s="934">
        <v>4654</v>
      </c>
    </row>
    <row r="506" spans="1:8">
      <c r="A506" t="s">
        <v>1271</v>
      </c>
      <c r="B506" t="s">
        <v>1774</v>
      </c>
      <c r="C506" s="134">
        <v>4459</v>
      </c>
      <c r="D506" s="134">
        <v>4300</v>
      </c>
      <c r="E506" s="134">
        <v>4333</v>
      </c>
      <c r="F506" s="934">
        <v>4459</v>
      </c>
      <c r="G506" s="934">
        <v>4300</v>
      </c>
      <c r="H506" s="934">
        <v>4332</v>
      </c>
    </row>
    <row r="507" spans="1:8">
      <c r="A507" t="s">
        <v>2155</v>
      </c>
      <c r="B507" t="s">
        <v>726</v>
      </c>
      <c r="C507" s="134">
        <v>4597</v>
      </c>
      <c r="D507" s="134">
        <v>4700</v>
      </c>
      <c r="E507" s="134">
        <v>4739</v>
      </c>
      <c r="F507" s="934">
        <v>4597</v>
      </c>
      <c r="G507" s="934">
        <v>4700</v>
      </c>
      <c r="H507" s="934">
        <v>4739</v>
      </c>
    </row>
    <row r="508" spans="1:8">
      <c r="A508" t="s">
        <v>1272</v>
      </c>
      <c r="B508" t="s">
        <v>1775</v>
      </c>
      <c r="C508" s="134">
        <v>4545</v>
      </c>
      <c r="D508" s="134">
        <v>4634</v>
      </c>
      <c r="E508" s="134">
        <v>4634</v>
      </c>
      <c r="F508" s="934">
        <v>4545</v>
      </c>
      <c r="G508" s="934">
        <v>4634</v>
      </c>
      <c r="H508" s="934">
        <v>4634</v>
      </c>
    </row>
    <row r="509" spans="1:8">
      <c r="A509" t="s">
        <v>1618</v>
      </c>
      <c r="B509" t="s">
        <v>1743</v>
      </c>
      <c r="C509" s="134">
        <v>4504</v>
      </c>
      <c r="D509" s="134">
        <v>4510</v>
      </c>
      <c r="E509" s="134">
        <v>4510</v>
      </c>
      <c r="F509" s="934">
        <v>4504</v>
      </c>
      <c r="G509" s="934">
        <v>4509</v>
      </c>
      <c r="H509" s="934">
        <v>4509</v>
      </c>
    </row>
    <row r="510" spans="1:8">
      <c r="A510" t="s">
        <v>1209</v>
      </c>
      <c r="B510" t="s">
        <v>1776</v>
      </c>
      <c r="C510" s="134">
        <v>4551</v>
      </c>
      <c r="D510" s="134">
        <v>4657</v>
      </c>
      <c r="E510" s="134">
        <v>4657</v>
      </c>
      <c r="F510" s="934">
        <v>4551</v>
      </c>
      <c r="G510" s="934">
        <v>4656</v>
      </c>
      <c r="H510" s="934">
        <v>4656</v>
      </c>
    </row>
    <row r="511" spans="1:8">
      <c r="A511" t="s">
        <v>2218</v>
      </c>
      <c r="B511" t="s">
        <v>2435</v>
      </c>
      <c r="C511" s="134">
        <v>4605</v>
      </c>
      <c r="D511" s="134">
        <v>4723</v>
      </c>
      <c r="E511" s="134">
        <v>4788</v>
      </c>
      <c r="F511" s="934">
        <v>4605</v>
      </c>
      <c r="G511" s="934">
        <v>4723</v>
      </c>
      <c r="H511" s="934">
        <v>4788</v>
      </c>
    </row>
    <row r="512" spans="1:8">
      <c r="A512" t="s">
        <v>1781</v>
      </c>
      <c r="B512" t="s">
        <v>90</v>
      </c>
      <c r="C512" s="134">
        <v>4413</v>
      </c>
      <c r="D512" s="134">
        <v>4420</v>
      </c>
      <c r="E512" s="134">
        <v>4538</v>
      </c>
      <c r="F512" s="934">
        <v>4413</v>
      </c>
      <c r="G512" s="934">
        <v>4420</v>
      </c>
      <c r="H512" s="934">
        <v>4538</v>
      </c>
    </row>
    <row r="513" spans="1:8">
      <c r="A513" t="s">
        <v>273</v>
      </c>
      <c r="B513" t="s">
        <v>1292</v>
      </c>
      <c r="C513" s="134">
        <v>4446</v>
      </c>
      <c r="D513" s="134">
        <v>4460</v>
      </c>
      <c r="E513" s="134">
        <v>4510</v>
      </c>
      <c r="F513" s="934">
        <v>4446</v>
      </c>
      <c r="G513" s="934">
        <v>4460</v>
      </c>
      <c r="H513" s="934">
        <v>4510</v>
      </c>
    </row>
    <row r="514" spans="1:8">
      <c r="A514" t="s">
        <v>1210</v>
      </c>
      <c r="B514" t="s">
        <v>1777</v>
      </c>
      <c r="C514" s="134">
        <v>4500</v>
      </c>
      <c r="D514" s="134">
        <v>4495</v>
      </c>
      <c r="E514" s="134">
        <v>4569</v>
      </c>
      <c r="F514" s="934">
        <v>4500</v>
      </c>
      <c r="G514" s="934">
        <v>4495</v>
      </c>
      <c r="H514" s="934">
        <v>4569</v>
      </c>
    </row>
    <row r="515" spans="1:8">
      <c r="A515" t="s">
        <v>987</v>
      </c>
      <c r="B515" t="s">
        <v>903</v>
      </c>
      <c r="C515" s="134">
        <v>4412</v>
      </c>
      <c r="D515" s="134">
        <v>4566</v>
      </c>
      <c r="E515" s="134">
        <v>4506</v>
      </c>
      <c r="F515" s="934">
        <v>4412</v>
      </c>
      <c r="G515" s="934">
        <v>4566</v>
      </c>
      <c r="H515" s="934">
        <v>4506</v>
      </c>
    </row>
    <row r="516" spans="1:8">
      <c r="A516" t="s">
        <v>2105</v>
      </c>
      <c r="B516" t="s">
        <v>1523</v>
      </c>
      <c r="C516" s="134">
        <v>4488</v>
      </c>
      <c r="D516" s="134">
        <v>4469</v>
      </c>
      <c r="E516" s="134">
        <v>4469</v>
      </c>
      <c r="F516" s="934">
        <v>4488</v>
      </c>
      <c r="G516" s="934">
        <v>4469</v>
      </c>
      <c r="H516" s="934">
        <v>4469</v>
      </c>
    </row>
    <row r="517" spans="1:8">
      <c r="A517" t="s">
        <v>1211</v>
      </c>
      <c r="B517" t="s">
        <v>1778</v>
      </c>
      <c r="C517" s="134">
        <v>4351</v>
      </c>
      <c r="D517" s="134">
        <v>4409</v>
      </c>
      <c r="E517" s="134">
        <v>4409</v>
      </c>
      <c r="F517" s="934">
        <v>4351</v>
      </c>
      <c r="G517" s="934">
        <v>4409</v>
      </c>
      <c r="H517" s="934">
        <v>4409</v>
      </c>
    </row>
    <row r="518" spans="1:8">
      <c r="A518" t="s">
        <v>2454</v>
      </c>
      <c r="B518" t="s">
        <v>1196</v>
      </c>
      <c r="C518" s="134">
        <v>4337</v>
      </c>
      <c r="D518" s="134">
        <v>4256</v>
      </c>
      <c r="E518" s="134">
        <v>4394</v>
      </c>
      <c r="F518" s="934">
        <v>4337</v>
      </c>
      <c r="G518" s="934">
        <v>4256</v>
      </c>
      <c r="H518" s="934">
        <v>4394</v>
      </c>
    </row>
    <row r="519" spans="1:8">
      <c r="A519" t="s">
        <v>2455</v>
      </c>
      <c r="B519" t="s">
        <v>1197</v>
      </c>
      <c r="C519" s="134">
        <v>4993</v>
      </c>
      <c r="D519" s="134">
        <v>5746</v>
      </c>
      <c r="E519" s="134">
        <v>5052</v>
      </c>
      <c r="F519" s="934">
        <v>4993</v>
      </c>
      <c r="G519" s="934">
        <v>5746</v>
      </c>
      <c r="H519" s="934">
        <v>5052</v>
      </c>
    </row>
    <row r="520" spans="1:8">
      <c r="A520" t="s">
        <v>1428</v>
      </c>
      <c r="B520" t="s">
        <v>2890</v>
      </c>
      <c r="C520" s="134">
        <v>3946</v>
      </c>
      <c r="D520" s="134">
        <v>4321</v>
      </c>
      <c r="E520" s="134">
        <v>4155</v>
      </c>
      <c r="F520" s="934">
        <v>3946</v>
      </c>
      <c r="G520" s="934">
        <v>4321</v>
      </c>
      <c r="H520" s="934">
        <v>4155</v>
      </c>
    </row>
    <row r="521" spans="1:8">
      <c r="A521" t="s">
        <v>1429</v>
      </c>
      <c r="B521" t="s">
        <v>1198</v>
      </c>
      <c r="C521" s="134">
        <v>6003</v>
      </c>
      <c r="D521" s="134">
        <v>6435</v>
      </c>
      <c r="E521" s="134">
        <v>6108</v>
      </c>
      <c r="F521" s="934">
        <v>6003</v>
      </c>
      <c r="G521" s="934">
        <v>6435</v>
      </c>
      <c r="H521" s="934">
        <v>6108</v>
      </c>
    </row>
    <row r="522" spans="1:8">
      <c r="A522" t="s">
        <v>1039</v>
      </c>
      <c r="B522" t="s">
        <v>2821</v>
      </c>
      <c r="C522" s="134">
        <v>4919</v>
      </c>
      <c r="D522" s="134">
        <v>4817</v>
      </c>
      <c r="E522" s="134">
        <v>4817</v>
      </c>
      <c r="F522" s="934">
        <v>4919</v>
      </c>
      <c r="G522" s="934">
        <v>4817</v>
      </c>
      <c r="H522" s="934">
        <v>4817</v>
      </c>
    </row>
    <row r="523" spans="1:8">
      <c r="A523" t="s">
        <v>1040</v>
      </c>
      <c r="B523" t="s">
        <v>2822</v>
      </c>
      <c r="C523" s="134">
        <v>5680</v>
      </c>
      <c r="D523" s="134">
        <v>6323</v>
      </c>
      <c r="E523" s="134">
        <v>5860</v>
      </c>
      <c r="F523" s="934">
        <v>5680</v>
      </c>
      <c r="G523" s="934">
        <v>6323</v>
      </c>
      <c r="H523" s="934">
        <v>5860</v>
      </c>
    </row>
    <row r="524" spans="1:8">
      <c r="A524" t="s">
        <v>1041</v>
      </c>
      <c r="B524" t="s">
        <v>1199</v>
      </c>
      <c r="C524" s="134">
        <v>4895</v>
      </c>
      <c r="D524" s="134">
        <v>4947</v>
      </c>
      <c r="E524" s="134">
        <v>4947</v>
      </c>
      <c r="F524" s="934">
        <v>4895</v>
      </c>
      <c r="G524" s="934">
        <v>4947</v>
      </c>
      <c r="H524" s="934">
        <v>4947</v>
      </c>
    </row>
    <row r="525" spans="1:8">
      <c r="A525" t="s">
        <v>1042</v>
      </c>
      <c r="B525" t="s">
        <v>685</v>
      </c>
      <c r="C525" s="134">
        <v>4796</v>
      </c>
      <c r="D525" s="134">
        <v>5585</v>
      </c>
      <c r="E525" s="134">
        <v>5022</v>
      </c>
      <c r="F525" s="934">
        <v>4796</v>
      </c>
      <c r="G525" s="934">
        <v>5585</v>
      </c>
      <c r="H525" s="934">
        <v>5022</v>
      </c>
    </row>
    <row r="526" spans="1:8">
      <c r="A526" t="s">
        <v>2972</v>
      </c>
      <c r="B526" t="s">
        <v>1671</v>
      </c>
      <c r="C526" s="134">
        <v>4692</v>
      </c>
      <c r="D526" s="134">
        <v>4594</v>
      </c>
      <c r="E526" s="134">
        <v>4594</v>
      </c>
      <c r="F526" s="934">
        <v>4692</v>
      </c>
      <c r="G526" s="934">
        <v>4594</v>
      </c>
      <c r="H526" s="934">
        <v>4594</v>
      </c>
    </row>
    <row r="527" spans="1:8">
      <c r="A527" t="s">
        <v>544</v>
      </c>
      <c r="B527" t="s">
        <v>686</v>
      </c>
      <c r="C527" s="134">
        <v>4842</v>
      </c>
      <c r="D527" s="134">
        <v>5176</v>
      </c>
      <c r="E527" s="134">
        <v>4892</v>
      </c>
      <c r="F527" s="934">
        <v>4842</v>
      </c>
      <c r="G527" s="934">
        <v>5176</v>
      </c>
      <c r="H527" s="934">
        <v>4892</v>
      </c>
    </row>
    <row r="528" spans="1:8">
      <c r="A528" t="s">
        <v>3042</v>
      </c>
      <c r="B528" t="s">
        <v>2859</v>
      </c>
      <c r="C528" s="134">
        <v>4246</v>
      </c>
      <c r="D528" s="134">
        <v>4374</v>
      </c>
      <c r="E528" s="134">
        <v>4374</v>
      </c>
      <c r="F528" s="934">
        <v>4246</v>
      </c>
      <c r="G528" s="934">
        <v>4374</v>
      </c>
      <c r="H528" s="934">
        <v>4374</v>
      </c>
    </row>
    <row r="529" spans="1:8">
      <c r="A529" t="s">
        <v>995</v>
      </c>
      <c r="B529" t="s">
        <v>1632</v>
      </c>
      <c r="C529" s="134">
        <v>4629</v>
      </c>
      <c r="D529" s="134">
        <v>4471</v>
      </c>
      <c r="E529" s="134">
        <v>4471</v>
      </c>
      <c r="F529" s="934">
        <v>4629</v>
      </c>
      <c r="G529" s="934">
        <v>4471</v>
      </c>
      <c r="H529" s="934">
        <v>4471</v>
      </c>
    </row>
    <row r="530" spans="1:8">
      <c r="A530" t="s">
        <v>51</v>
      </c>
      <c r="B530" t="s">
        <v>446</v>
      </c>
      <c r="C530" s="134">
        <v>4189</v>
      </c>
      <c r="D530" s="134">
        <v>4558</v>
      </c>
      <c r="E530" s="134">
        <v>4563</v>
      </c>
      <c r="F530" s="934">
        <v>4189</v>
      </c>
      <c r="G530" s="934">
        <v>4558</v>
      </c>
      <c r="H530" s="934">
        <v>4563</v>
      </c>
    </row>
    <row r="531" spans="1:8">
      <c r="A531" t="s">
        <v>61</v>
      </c>
      <c r="B531" t="s">
        <v>2296</v>
      </c>
      <c r="C531" s="134">
        <v>4289</v>
      </c>
      <c r="D531" s="134">
        <v>4228</v>
      </c>
      <c r="E531" s="134">
        <v>4228</v>
      </c>
      <c r="F531" s="934">
        <v>4289</v>
      </c>
      <c r="G531" s="934">
        <v>4228</v>
      </c>
      <c r="H531" s="934">
        <v>4228</v>
      </c>
    </row>
    <row r="532" spans="1:8">
      <c r="A532" t="s">
        <v>3043</v>
      </c>
      <c r="B532" t="s">
        <v>2860</v>
      </c>
      <c r="C532" s="134">
        <v>5377</v>
      </c>
      <c r="D532" s="134">
        <v>5192</v>
      </c>
      <c r="E532" s="134">
        <v>5181</v>
      </c>
      <c r="F532" s="934">
        <v>5377</v>
      </c>
      <c r="G532" s="934">
        <v>5192</v>
      </c>
      <c r="H532" s="934">
        <v>5181</v>
      </c>
    </row>
    <row r="533" spans="1:8">
      <c r="A533" t="s">
        <v>3044</v>
      </c>
      <c r="B533" t="s">
        <v>2861</v>
      </c>
      <c r="C533" s="134">
        <v>4836</v>
      </c>
      <c r="D533" s="134">
        <v>5585</v>
      </c>
      <c r="E533" s="134">
        <v>5018</v>
      </c>
      <c r="F533" s="934">
        <v>4836</v>
      </c>
      <c r="G533" s="934">
        <v>5585</v>
      </c>
      <c r="H533" s="934">
        <v>5018</v>
      </c>
    </row>
    <row r="534" spans="1:8">
      <c r="A534" t="s">
        <v>3045</v>
      </c>
      <c r="B534" t="s">
        <v>2618</v>
      </c>
      <c r="C534" s="134">
        <v>4572</v>
      </c>
      <c r="D534" s="134">
        <v>4720</v>
      </c>
      <c r="E534" s="134">
        <v>4653</v>
      </c>
      <c r="F534" s="934">
        <v>4572</v>
      </c>
      <c r="G534" s="934">
        <v>4720</v>
      </c>
      <c r="H534" s="934">
        <v>4653</v>
      </c>
    </row>
    <row r="535" spans="1:8">
      <c r="A535" t="s">
        <v>2905</v>
      </c>
      <c r="B535" t="s">
        <v>426</v>
      </c>
      <c r="C535" s="134">
        <v>4593</v>
      </c>
      <c r="D535" s="134">
        <v>4550</v>
      </c>
      <c r="E535" s="134">
        <v>4615</v>
      </c>
      <c r="F535" s="934">
        <v>4593</v>
      </c>
      <c r="G535" s="934">
        <v>4549</v>
      </c>
      <c r="H535" s="934">
        <v>4615</v>
      </c>
    </row>
    <row r="536" spans="1:8">
      <c r="A536" t="s">
        <v>2615</v>
      </c>
      <c r="B536" t="s">
        <v>2619</v>
      </c>
      <c r="C536" s="134">
        <v>4708</v>
      </c>
      <c r="D536" s="134">
        <v>5405</v>
      </c>
      <c r="E536" s="134">
        <v>4598</v>
      </c>
      <c r="F536" s="934">
        <v>4708</v>
      </c>
      <c r="G536" s="934">
        <v>5405</v>
      </c>
      <c r="H536" s="934">
        <v>4598</v>
      </c>
    </row>
    <row r="537" spans="1:8">
      <c r="A537" t="s">
        <v>2616</v>
      </c>
      <c r="B537" t="s">
        <v>3089</v>
      </c>
      <c r="C537" s="134">
        <v>4874</v>
      </c>
      <c r="D537" s="134">
        <v>5026</v>
      </c>
      <c r="E537" s="134">
        <v>4745</v>
      </c>
      <c r="F537" s="934">
        <v>4874</v>
      </c>
      <c r="G537" s="934">
        <v>5026</v>
      </c>
      <c r="H537" s="934">
        <v>4745</v>
      </c>
    </row>
    <row r="538" spans="1:8">
      <c r="A538" t="s">
        <v>1501</v>
      </c>
      <c r="B538" t="s">
        <v>3090</v>
      </c>
      <c r="C538" s="134">
        <v>5137</v>
      </c>
      <c r="D538" s="134">
        <v>5275</v>
      </c>
      <c r="E538" s="134">
        <v>5286</v>
      </c>
      <c r="F538" s="934">
        <v>5137</v>
      </c>
      <c r="G538" s="934">
        <v>5275</v>
      </c>
      <c r="H538" s="934">
        <v>5286</v>
      </c>
    </row>
    <row r="539" spans="1:8">
      <c r="A539" t="s">
        <v>1502</v>
      </c>
      <c r="B539" t="s">
        <v>3091</v>
      </c>
      <c r="C539" s="134">
        <v>6620</v>
      </c>
      <c r="D539" s="134">
        <v>6252</v>
      </c>
      <c r="E539" s="134">
        <v>6251</v>
      </c>
      <c r="F539" s="934">
        <v>6620</v>
      </c>
      <c r="G539" s="934">
        <v>6252</v>
      </c>
      <c r="H539" s="934">
        <v>6251</v>
      </c>
    </row>
    <row r="540" spans="1:8">
      <c r="A540" t="s">
        <v>1484</v>
      </c>
      <c r="B540" t="s">
        <v>1950</v>
      </c>
      <c r="C540" s="134">
        <v>4903</v>
      </c>
      <c r="D540" s="134">
        <v>4890</v>
      </c>
      <c r="E540" s="134">
        <v>4890</v>
      </c>
      <c r="F540" s="934">
        <v>4903</v>
      </c>
      <c r="G540" s="934">
        <v>4890</v>
      </c>
      <c r="H540" s="934">
        <v>4890</v>
      </c>
    </row>
    <row r="541" spans="1:8">
      <c r="A541" t="s">
        <v>1503</v>
      </c>
      <c r="B541" t="s">
        <v>1956</v>
      </c>
      <c r="C541" s="134">
        <v>4641</v>
      </c>
      <c r="D541" s="134">
        <v>5008</v>
      </c>
      <c r="E541" s="134">
        <v>4636</v>
      </c>
      <c r="F541" s="934">
        <v>4641</v>
      </c>
      <c r="G541" s="934">
        <v>5008</v>
      </c>
      <c r="H541" s="934">
        <v>4636</v>
      </c>
    </row>
    <row r="542" spans="1:8">
      <c r="A542" t="s">
        <v>2299</v>
      </c>
      <c r="B542" t="s">
        <v>799</v>
      </c>
      <c r="C542" s="134">
        <v>4598</v>
      </c>
      <c r="D542" s="134">
        <v>4644</v>
      </c>
      <c r="E542" s="134">
        <v>4675</v>
      </c>
      <c r="F542" s="934">
        <v>4598</v>
      </c>
      <c r="G542" s="934">
        <v>4644</v>
      </c>
      <c r="H542" s="934">
        <v>4675</v>
      </c>
    </row>
    <row r="543" spans="1:8">
      <c r="A543" t="s">
        <v>2652</v>
      </c>
      <c r="B543" t="s">
        <v>3080</v>
      </c>
      <c r="C543" s="134">
        <v>4582</v>
      </c>
      <c r="D543" s="134">
        <v>4705</v>
      </c>
      <c r="E543" s="134">
        <v>4734</v>
      </c>
      <c r="F543" s="934">
        <v>4582</v>
      </c>
      <c r="G543" s="934">
        <v>4705</v>
      </c>
      <c r="H543" s="934">
        <v>4734</v>
      </c>
    </row>
    <row r="544" spans="1:8">
      <c r="A544" t="s">
        <v>1593</v>
      </c>
      <c r="B544" t="s">
        <v>1151</v>
      </c>
      <c r="C544" s="134">
        <v>4515</v>
      </c>
      <c r="D544" s="134">
        <v>4537</v>
      </c>
      <c r="E544" s="134">
        <v>4570</v>
      </c>
      <c r="F544" s="934">
        <v>4515</v>
      </c>
      <c r="G544" s="934">
        <v>4537</v>
      </c>
      <c r="H544" s="934">
        <v>4570</v>
      </c>
    </row>
    <row r="545" spans="1:8">
      <c r="A545" t="s">
        <v>244</v>
      </c>
      <c r="B545" t="s">
        <v>2412</v>
      </c>
      <c r="C545" s="134">
        <v>4575</v>
      </c>
      <c r="D545" s="134">
        <v>4582</v>
      </c>
      <c r="E545" s="134">
        <v>4582</v>
      </c>
      <c r="F545" s="934">
        <v>4575</v>
      </c>
      <c r="G545" s="934">
        <v>4582</v>
      </c>
      <c r="H545" s="934">
        <v>4582</v>
      </c>
    </row>
    <row r="546" spans="1:8">
      <c r="A546" t="s">
        <v>1504</v>
      </c>
      <c r="B546" t="s">
        <v>1957</v>
      </c>
      <c r="C546" s="134">
        <v>4132</v>
      </c>
      <c r="D546" s="134">
        <v>4912</v>
      </c>
      <c r="E546" s="134">
        <v>4390</v>
      </c>
      <c r="F546" s="934">
        <v>4132</v>
      </c>
      <c r="G546" s="934">
        <v>4911</v>
      </c>
      <c r="H546" s="934">
        <v>4390</v>
      </c>
    </row>
    <row r="547" spans="1:8">
      <c r="A547" t="s">
        <v>223</v>
      </c>
      <c r="B547" t="s">
        <v>1201</v>
      </c>
      <c r="C547" s="134">
        <v>4647</v>
      </c>
      <c r="D547" s="134">
        <v>4834</v>
      </c>
      <c r="E547" s="134">
        <v>4875</v>
      </c>
      <c r="F547" s="934">
        <v>4647</v>
      </c>
      <c r="G547" s="934">
        <v>4834</v>
      </c>
      <c r="H547" s="934">
        <v>4875</v>
      </c>
    </row>
    <row r="548" spans="1:8">
      <c r="A548" t="s">
        <v>2153</v>
      </c>
      <c r="B548" t="s">
        <v>1634</v>
      </c>
      <c r="C548" s="134">
        <v>4807</v>
      </c>
      <c r="D548" s="134">
        <v>4811</v>
      </c>
      <c r="E548" s="134">
        <v>4811</v>
      </c>
      <c r="F548" s="934">
        <v>4807</v>
      </c>
      <c r="G548" s="934">
        <v>4814</v>
      </c>
      <c r="H548" s="934">
        <v>4814</v>
      </c>
    </row>
    <row r="549" spans="1:8">
      <c r="A549" t="s">
        <v>627</v>
      </c>
      <c r="B549" t="s">
        <v>1328</v>
      </c>
      <c r="C549" s="134">
        <v>4692</v>
      </c>
      <c r="D549" s="134">
        <v>5224</v>
      </c>
      <c r="E549" s="134">
        <v>5157</v>
      </c>
      <c r="F549" s="934">
        <v>4691</v>
      </c>
      <c r="G549" s="934">
        <v>5224</v>
      </c>
      <c r="H549" s="934">
        <v>5157</v>
      </c>
    </row>
    <row r="550" spans="1:8">
      <c r="A550" t="s">
        <v>2037</v>
      </c>
      <c r="B550" t="s">
        <v>977</v>
      </c>
      <c r="C550" s="134">
        <v>4663</v>
      </c>
      <c r="D550" s="134">
        <v>5196</v>
      </c>
      <c r="E550" s="134">
        <v>4863</v>
      </c>
      <c r="F550" s="934">
        <v>4663</v>
      </c>
      <c r="G550" s="934">
        <v>5196</v>
      </c>
      <c r="H550" s="934">
        <v>4863</v>
      </c>
    </row>
    <row r="551" spans="1:8">
      <c r="A551" t="s">
        <v>52</v>
      </c>
      <c r="B551" t="s">
        <v>447</v>
      </c>
      <c r="C551" s="134">
        <v>4800</v>
      </c>
      <c r="D551" s="134">
        <v>4819</v>
      </c>
      <c r="E551" s="134">
        <v>4834</v>
      </c>
      <c r="F551" s="934">
        <v>4800</v>
      </c>
      <c r="G551" s="934">
        <v>4819</v>
      </c>
      <c r="H551" s="934">
        <v>4834</v>
      </c>
    </row>
    <row r="552" spans="1:8">
      <c r="A552" t="s">
        <v>1505</v>
      </c>
      <c r="B552" t="s">
        <v>2314</v>
      </c>
      <c r="C552" s="134">
        <v>4394</v>
      </c>
      <c r="D552" s="134">
        <v>4564</v>
      </c>
      <c r="E552" s="134">
        <v>4564</v>
      </c>
      <c r="F552" s="934">
        <v>4393</v>
      </c>
      <c r="G552" s="934">
        <v>4564</v>
      </c>
      <c r="H552" s="934">
        <v>4564</v>
      </c>
    </row>
    <row r="553" spans="1:8">
      <c r="A553" t="s">
        <v>2653</v>
      </c>
      <c r="B553" t="s">
        <v>3094</v>
      </c>
      <c r="C553" s="134">
        <v>4710</v>
      </c>
      <c r="D553" s="134">
        <v>5133</v>
      </c>
      <c r="E553" s="134">
        <v>4839</v>
      </c>
      <c r="F553" s="934">
        <v>4710</v>
      </c>
      <c r="G553" s="934">
        <v>5133</v>
      </c>
      <c r="H553" s="934">
        <v>4839</v>
      </c>
    </row>
    <row r="554" spans="1:8">
      <c r="A554" t="s">
        <v>283</v>
      </c>
      <c r="B554" t="s">
        <v>3040</v>
      </c>
      <c r="C554" s="134">
        <v>4689</v>
      </c>
      <c r="D554" s="134">
        <v>4892</v>
      </c>
      <c r="E554" s="134">
        <v>4812</v>
      </c>
      <c r="F554" s="934">
        <v>4689</v>
      </c>
      <c r="G554" s="934">
        <v>4892</v>
      </c>
      <c r="H554" s="934">
        <v>4812</v>
      </c>
    </row>
    <row r="555" spans="1:8">
      <c r="A555" t="s">
        <v>1435</v>
      </c>
      <c r="B555" t="s">
        <v>2651</v>
      </c>
      <c r="C555" s="134">
        <v>5314</v>
      </c>
      <c r="D555" s="134">
        <v>6649</v>
      </c>
      <c r="E555" s="134">
        <v>5975</v>
      </c>
      <c r="F555" s="934">
        <v>5314</v>
      </c>
      <c r="G555" s="934">
        <v>6648</v>
      </c>
      <c r="H555" s="934">
        <v>5975</v>
      </c>
    </row>
    <row r="556" spans="1:8">
      <c r="A556" t="s">
        <v>2400</v>
      </c>
      <c r="B556" t="s">
        <v>2771</v>
      </c>
      <c r="C556" s="134">
        <v>4492</v>
      </c>
      <c r="D556" s="134">
        <v>4406</v>
      </c>
      <c r="E556" s="134">
        <v>4406</v>
      </c>
      <c r="F556" s="934">
        <v>4492</v>
      </c>
      <c r="G556" s="934">
        <v>4406</v>
      </c>
      <c r="H556" s="934">
        <v>4406</v>
      </c>
    </row>
    <row r="557" spans="1:8">
      <c r="A557" t="s">
        <v>1506</v>
      </c>
      <c r="B557" t="s">
        <v>2315</v>
      </c>
      <c r="C557" s="134">
        <v>4558</v>
      </c>
      <c r="D557" s="134">
        <v>4495</v>
      </c>
      <c r="E557" s="134">
        <v>4495</v>
      </c>
      <c r="F557" s="934">
        <v>4558</v>
      </c>
      <c r="G557" s="934">
        <v>4495</v>
      </c>
      <c r="H557" s="934">
        <v>4495</v>
      </c>
    </row>
    <row r="558" spans="1:8">
      <c r="A558" t="s">
        <v>2128</v>
      </c>
      <c r="B558" t="s">
        <v>937</v>
      </c>
      <c r="C558" s="134">
        <v>4333</v>
      </c>
      <c r="D558" s="134">
        <v>4461</v>
      </c>
      <c r="E558" s="134">
        <v>4461</v>
      </c>
      <c r="F558" s="934">
        <v>4333</v>
      </c>
      <c r="G558" s="934">
        <v>4461</v>
      </c>
      <c r="H558" s="934">
        <v>4461</v>
      </c>
    </row>
    <row r="559" spans="1:8">
      <c r="A559" t="s">
        <v>2870</v>
      </c>
      <c r="B559" t="s">
        <v>165</v>
      </c>
      <c r="C559" s="134">
        <v>4798</v>
      </c>
      <c r="D559" s="134">
        <v>5101</v>
      </c>
      <c r="E559" s="134">
        <v>4887</v>
      </c>
      <c r="F559" s="934">
        <v>4798</v>
      </c>
      <c r="G559" s="934">
        <v>5101</v>
      </c>
      <c r="H559" s="934">
        <v>4887</v>
      </c>
    </row>
    <row r="560" spans="1:8">
      <c r="A560" t="s">
        <v>288</v>
      </c>
      <c r="B560" t="s">
        <v>2213</v>
      </c>
      <c r="C560" s="134">
        <v>4452</v>
      </c>
      <c r="D560" s="134">
        <v>4492</v>
      </c>
      <c r="E560" s="134">
        <v>4492</v>
      </c>
      <c r="F560" s="934">
        <v>4452</v>
      </c>
      <c r="G560" s="934">
        <v>4492</v>
      </c>
      <c r="H560" s="934">
        <v>4492</v>
      </c>
    </row>
    <row r="561" spans="1:8">
      <c r="A561" t="s">
        <v>54</v>
      </c>
      <c r="B561" t="s">
        <v>449</v>
      </c>
      <c r="C561" s="134">
        <v>4509</v>
      </c>
      <c r="D561" s="134">
        <v>4576</v>
      </c>
      <c r="E561" s="134">
        <v>4600</v>
      </c>
      <c r="F561" s="934">
        <v>4509</v>
      </c>
      <c r="G561" s="934">
        <v>4576</v>
      </c>
      <c r="H561" s="934">
        <v>4600</v>
      </c>
    </row>
    <row r="562" spans="1:8">
      <c r="A562" t="s">
        <v>2871</v>
      </c>
      <c r="B562" t="s">
        <v>454</v>
      </c>
      <c r="C562" s="134">
        <v>4500</v>
      </c>
      <c r="D562" s="134">
        <v>4529</v>
      </c>
      <c r="E562" s="134">
        <v>4529</v>
      </c>
      <c r="F562" s="934">
        <v>4500</v>
      </c>
      <c r="G562" s="934">
        <v>4529</v>
      </c>
      <c r="H562" s="934">
        <v>4529</v>
      </c>
    </row>
    <row r="563" spans="1:8">
      <c r="A563" t="s">
        <v>1317</v>
      </c>
      <c r="B563" t="s">
        <v>2316</v>
      </c>
      <c r="C563" s="134">
        <v>4873</v>
      </c>
      <c r="D563" s="134">
        <v>4757</v>
      </c>
      <c r="E563" s="134">
        <v>4650</v>
      </c>
      <c r="F563" s="934">
        <v>4873</v>
      </c>
      <c r="G563" s="934">
        <v>4757</v>
      </c>
      <c r="H563" s="934">
        <v>4650</v>
      </c>
    </row>
    <row r="564" spans="1:8">
      <c r="A564" t="s">
        <v>1899</v>
      </c>
      <c r="B564" t="s">
        <v>1005</v>
      </c>
      <c r="C564" s="134">
        <v>4663</v>
      </c>
      <c r="D564" s="134">
        <v>4611</v>
      </c>
      <c r="E564" s="134">
        <v>4611</v>
      </c>
      <c r="F564" s="934">
        <v>4663</v>
      </c>
      <c r="G564" s="934">
        <v>4611</v>
      </c>
      <c r="H564" s="934">
        <v>4611</v>
      </c>
    </row>
    <row r="565" spans="1:8">
      <c r="A565" t="s">
        <v>2757</v>
      </c>
      <c r="B565" t="s">
        <v>456</v>
      </c>
      <c r="C565" s="134">
        <v>4658</v>
      </c>
      <c r="D565" s="134">
        <v>4712</v>
      </c>
      <c r="E565" s="134">
        <v>4712</v>
      </c>
      <c r="F565" s="934">
        <v>4658</v>
      </c>
      <c r="G565" s="934">
        <v>4712</v>
      </c>
      <c r="H565" s="934">
        <v>4712</v>
      </c>
    </row>
    <row r="566" spans="1:8">
      <c r="A566" t="s">
        <v>1515</v>
      </c>
      <c r="B566" t="s">
        <v>132</v>
      </c>
      <c r="C566" s="134">
        <v>4808</v>
      </c>
      <c r="D566" s="134">
        <v>4981</v>
      </c>
      <c r="E566" s="134">
        <v>4868</v>
      </c>
      <c r="F566" s="934">
        <v>4808</v>
      </c>
      <c r="G566" s="934">
        <v>4995</v>
      </c>
      <c r="H566" s="934">
        <v>4868</v>
      </c>
    </row>
    <row r="567" spans="1:8">
      <c r="A567" t="s">
        <v>56</v>
      </c>
      <c r="B567" t="s">
        <v>451</v>
      </c>
      <c r="C567" s="134">
        <v>4608</v>
      </c>
      <c r="D567" s="134">
        <v>4608</v>
      </c>
      <c r="E567" s="134">
        <v>4608</v>
      </c>
      <c r="F567" s="934">
        <v>4608</v>
      </c>
      <c r="G567" s="934">
        <v>4628</v>
      </c>
      <c r="H567" s="934">
        <v>4628</v>
      </c>
    </row>
    <row r="568" spans="1:8">
      <c r="A568" t="s">
        <v>58</v>
      </c>
      <c r="B568" t="s">
        <v>453</v>
      </c>
      <c r="C568" s="134">
        <v>4635</v>
      </c>
      <c r="D568" s="134">
        <v>4703</v>
      </c>
      <c r="E568" s="134">
        <v>4703</v>
      </c>
      <c r="F568" s="934">
        <v>4635</v>
      </c>
      <c r="G568" s="934">
        <v>4707</v>
      </c>
      <c r="H568" s="934">
        <v>4707</v>
      </c>
    </row>
    <row r="569" spans="1:8">
      <c r="A569" t="s">
        <v>2923</v>
      </c>
      <c r="B569" t="s">
        <v>2317</v>
      </c>
      <c r="C569" s="134">
        <v>4543</v>
      </c>
      <c r="D569" s="134">
        <v>4657</v>
      </c>
      <c r="E569" s="134">
        <v>4723</v>
      </c>
      <c r="F569" s="934">
        <v>4543</v>
      </c>
      <c r="G569" s="934">
        <v>4657</v>
      </c>
      <c r="H569" s="934">
        <v>4723</v>
      </c>
    </row>
    <row r="570" spans="1:8">
      <c r="A570" t="s">
        <v>2924</v>
      </c>
      <c r="B570" t="s">
        <v>2318</v>
      </c>
      <c r="C570" s="134">
        <v>4782</v>
      </c>
      <c r="D570" s="134">
        <v>4638</v>
      </c>
      <c r="E570" s="134">
        <v>4638</v>
      </c>
      <c r="F570" s="934">
        <v>4782</v>
      </c>
      <c r="G570" s="934">
        <v>4638</v>
      </c>
      <c r="H570" s="934">
        <v>4638</v>
      </c>
    </row>
    <row r="571" spans="1:8">
      <c r="A571" t="s">
        <v>536</v>
      </c>
      <c r="B571" t="s">
        <v>1415</v>
      </c>
      <c r="C571" s="134">
        <v>4492</v>
      </c>
      <c r="D571" s="134">
        <v>4488</v>
      </c>
      <c r="E571" s="134">
        <v>4488</v>
      </c>
      <c r="F571" s="934">
        <v>4492</v>
      </c>
      <c r="G571" s="934">
        <v>4488</v>
      </c>
      <c r="H571" s="934">
        <v>4488</v>
      </c>
    </row>
    <row r="572" spans="1:8">
      <c r="A572" t="s">
        <v>2925</v>
      </c>
      <c r="B572" t="s">
        <v>2319</v>
      </c>
      <c r="C572" s="134">
        <v>5207</v>
      </c>
      <c r="D572" s="134">
        <v>5546</v>
      </c>
      <c r="E572" s="134">
        <v>5686</v>
      </c>
      <c r="F572" s="934">
        <v>5207</v>
      </c>
      <c r="G572" s="934">
        <v>5546</v>
      </c>
      <c r="H572" s="934">
        <v>5686</v>
      </c>
    </row>
    <row r="573" spans="1:8">
      <c r="A573" t="s">
        <v>1732</v>
      </c>
      <c r="B573" t="s">
        <v>2320</v>
      </c>
      <c r="C573" s="134">
        <v>4596</v>
      </c>
      <c r="D573" s="134">
        <v>4682</v>
      </c>
      <c r="E573" s="134">
        <v>4989</v>
      </c>
      <c r="F573" s="934">
        <v>4596</v>
      </c>
      <c r="G573" s="934">
        <v>4682</v>
      </c>
      <c r="H573" s="934">
        <v>4989</v>
      </c>
    </row>
    <row r="574" spans="1:8">
      <c r="A574" t="s">
        <v>3088</v>
      </c>
      <c r="B574" t="s">
        <v>2321</v>
      </c>
      <c r="C574" s="134">
        <v>6695</v>
      </c>
      <c r="D574" s="134">
        <v>6712</v>
      </c>
      <c r="E574" s="134">
        <v>6712</v>
      </c>
      <c r="F574" s="934">
        <v>6695</v>
      </c>
      <c r="G574" s="934">
        <v>6840</v>
      </c>
      <c r="H574" s="934">
        <v>6840</v>
      </c>
    </row>
    <row r="575" spans="1:8">
      <c r="A575" t="s">
        <v>2649</v>
      </c>
      <c r="B575" t="s">
        <v>2322</v>
      </c>
      <c r="C575" s="134">
        <v>9811</v>
      </c>
      <c r="D575" s="134">
        <v>8453</v>
      </c>
      <c r="E575" s="134">
        <v>8749</v>
      </c>
      <c r="F575" s="934">
        <v>9811</v>
      </c>
      <c r="G575" s="934">
        <v>8453</v>
      </c>
      <c r="H575" s="934">
        <v>8749</v>
      </c>
    </row>
    <row r="576" spans="1:8">
      <c r="A576" t="s">
        <v>1734</v>
      </c>
      <c r="B576" t="s">
        <v>734</v>
      </c>
      <c r="C576" s="134">
        <v>4858</v>
      </c>
      <c r="D576" s="134">
        <v>4711</v>
      </c>
      <c r="E576" s="134">
        <v>4798</v>
      </c>
      <c r="F576" s="934">
        <v>4858</v>
      </c>
      <c r="G576" s="934">
        <v>4711</v>
      </c>
      <c r="H576" s="934">
        <v>4798</v>
      </c>
    </row>
    <row r="577" spans="1:8">
      <c r="A577" t="s">
        <v>2913</v>
      </c>
      <c r="B577" t="s">
        <v>2323</v>
      </c>
      <c r="C577" s="134">
        <v>5494</v>
      </c>
      <c r="D577" s="134">
        <v>5812</v>
      </c>
      <c r="E577" s="134">
        <v>5880</v>
      </c>
      <c r="F577" s="934">
        <v>5494</v>
      </c>
      <c r="G577" s="934">
        <v>6628</v>
      </c>
      <c r="H577" s="934">
        <v>6696</v>
      </c>
    </row>
    <row r="578" spans="1:8">
      <c r="A578" t="s">
        <v>2914</v>
      </c>
      <c r="B578" t="s">
        <v>2324</v>
      </c>
      <c r="C578" s="134">
        <v>4874</v>
      </c>
      <c r="D578" s="134">
        <v>5456</v>
      </c>
      <c r="E578" s="134">
        <v>5487</v>
      </c>
      <c r="F578" s="934">
        <v>4875</v>
      </c>
      <c r="G578" s="934">
        <v>5456</v>
      </c>
      <c r="H578" s="934">
        <v>5487</v>
      </c>
    </row>
    <row r="579" spans="1:8">
      <c r="A579" t="s">
        <v>529</v>
      </c>
      <c r="B579" t="s">
        <v>2325</v>
      </c>
      <c r="C579" s="134">
        <v>4700</v>
      </c>
      <c r="D579" s="134">
        <v>4705</v>
      </c>
      <c r="E579" s="134">
        <v>4705</v>
      </c>
      <c r="F579" s="934">
        <v>4699</v>
      </c>
      <c r="G579" s="934">
        <v>4704</v>
      </c>
      <c r="H579" s="934">
        <v>4704</v>
      </c>
    </row>
    <row r="580" spans="1:8">
      <c r="A580" t="s">
        <v>2601</v>
      </c>
      <c r="B580" t="s">
        <v>2326</v>
      </c>
      <c r="C580" s="134">
        <v>3960</v>
      </c>
      <c r="D580" s="134">
        <v>3874</v>
      </c>
      <c r="E580" s="134">
        <v>4261</v>
      </c>
      <c r="F580" s="934">
        <v>3960</v>
      </c>
      <c r="G580" s="934">
        <v>4139</v>
      </c>
      <c r="H580" s="934">
        <v>4526</v>
      </c>
    </row>
    <row r="581" spans="1:8">
      <c r="A581" t="s">
        <v>2602</v>
      </c>
      <c r="B581" t="s">
        <v>2327</v>
      </c>
      <c r="C581" s="134">
        <v>4695</v>
      </c>
      <c r="D581" s="134">
        <v>4546</v>
      </c>
      <c r="E581" s="134">
        <v>4687</v>
      </c>
      <c r="F581" s="934">
        <v>4695</v>
      </c>
      <c r="G581" s="934">
        <v>4546</v>
      </c>
      <c r="H581" s="934">
        <v>4686</v>
      </c>
    </row>
    <row r="582" spans="1:8">
      <c r="A582" t="s">
        <v>1727</v>
      </c>
      <c r="B582" t="s">
        <v>2328</v>
      </c>
      <c r="C582" s="134">
        <v>11369</v>
      </c>
      <c r="D582" s="134">
        <v>11539</v>
      </c>
      <c r="E582" s="134">
        <v>11529</v>
      </c>
      <c r="F582" s="934">
        <v>11369</v>
      </c>
      <c r="G582" s="934">
        <v>11539</v>
      </c>
      <c r="H582" s="934">
        <v>11529</v>
      </c>
    </row>
    <row r="583" spans="1:8">
      <c r="A583" t="s">
        <v>1728</v>
      </c>
      <c r="B583" t="s">
        <v>2329</v>
      </c>
      <c r="C583" s="134">
        <v>4243</v>
      </c>
      <c r="D583" s="134">
        <v>4168</v>
      </c>
      <c r="E583" s="134">
        <v>4437</v>
      </c>
      <c r="F583" s="934">
        <v>4243</v>
      </c>
      <c r="G583" s="934">
        <v>4168</v>
      </c>
      <c r="H583" s="934">
        <v>4437</v>
      </c>
    </row>
    <row r="584" spans="1:8">
      <c r="A584" t="s">
        <v>2872</v>
      </c>
      <c r="B584" t="s">
        <v>2295</v>
      </c>
      <c r="C584" s="134">
        <v>4582</v>
      </c>
      <c r="D584" s="134">
        <v>4776</v>
      </c>
      <c r="E584" s="134">
        <v>4658</v>
      </c>
      <c r="F584" s="934">
        <v>4582</v>
      </c>
      <c r="G584" s="934">
        <v>4776</v>
      </c>
      <c r="H584" s="934">
        <v>4658</v>
      </c>
    </row>
    <row r="585" spans="1:8">
      <c r="A585" t="s">
        <v>429</v>
      </c>
      <c r="B585" t="s">
        <v>2330</v>
      </c>
      <c r="C585" s="134">
        <v>4078</v>
      </c>
      <c r="D585" s="134">
        <v>4547</v>
      </c>
      <c r="E585" s="134">
        <v>4295</v>
      </c>
      <c r="F585" s="934">
        <v>4078</v>
      </c>
      <c r="G585" s="934">
        <v>4547</v>
      </c>
      <c r="H585" s="934">
        <v>4295</v>
      </c>
    </row>
    <row r="586" spans="1:8">
      <c r="A586" t="s">
        <v>430</v>
      </c>
      <c r="B586" t="s">
        <v>2331</v>
      </c>
      <c r="C586" s="134">
        <v>4638</v>
      </c>
      <c r="D586" s="134">
        <v>5123</v>
      </c>
      <c r="E586" s="134">
        <v>4740</v>
      </c>
      <c r="F586" s="934">
        <v>4638</v>
      </c>
      <c r="G586" s="934">
        <v>5140</v>
      </c>
      <c r="H586" s="934">
        <v>4740</v>
      </c>
    </row>
    <row r="587" spans="1:8">
      <c r="A587" t="s">
        <v>431</v>
      </c>
      <c r="B587" t="s">
        <v>2332</v>
      </c>
      <c r="C587" s="134">
        <v>6738</v>
      </c>
      <c r="D587" s="134">
        <v>6985</v>
      </c>
      <c r="E587" s="134">
        <v>6079</v>
      </c>
      <c r="F587" s="934">
        <v>6738</v>
      </c>
      <c r="G587" s="934">
        <v>6985</v>
      </c>
      <c r="H587" s="934">
        <v>6079</v>
      </c>
    </row>
    <row r="588" spans="1:8">
      <c r="A588" t="s">
        <v>2873</v>
      </c>
      <c r="B588" t="s">
        <v>1200</v>
      </c>
      <c r="C588" s="134">
        <v>4551</v>
      </c>
      <c r="D588" s="134">
        <v>4635</v>
      </c>
      <c r="E588" s="134">
        <v>4632</v>
      </c>
      <c r="F588" s="934">
        <v>4551</v>
      </c>
      <c r="G588" s="934">
        <v>4635</v>
      </c>
      <c r="H588" s="934">
        <v>4632</v>
      </c>
    </row>
    <row r="589" spans="1:8">
      <c r="A589" t="s">
        <v>270</v>
      </c>
      <c r="B589" t="s">
        <v>2333</v>
      </c>
      <c r="C589" s="134">
        <v>4480</v>
      </c>
      <c r="D589" s="134">
        <v>4541</v>
      </c>
      <c r="E589" s="134">
        <v>4457</v>
      </c>
      <c r="F589" s="934">
        <v>4480</v>
      </c>
      <c r="G589" s="934">
        <v>4541</v>
      </c>
      <c r="H589" s="934">
        <v>4457</v>
      </c>
    </row>
    <row r="590" spans="1:8">
      <c r="A590" t="s">
        <v>271</v>
      </c>
      <c r="B590" t="s">
        <v>2334</v>
      </c>
      <c r="C590" s="134">
        <v>4354</v>
      </c>
      <c r="D590" s="134">
        <v>4364</v>
      </c>
      <c r="E590" s="134">
        <v>4364</v>
      </c>
      <c r="F590" s="934">
        <v>4354</v>
      </c>
      <c r="G590" s="934">
        <v>4364</v>
      </c>
      <c r="H590" s="934">
        <v>4364</v>
      </c>
    </row>
    <row r="591" spans="1:8">
      <c r="A591" t="s">
        <v>272</v>
      </c>
      <c r="B591" t="s">
        <v>2335</v>
      </c>
      <c r="C591" s="134">
        <v>4994</v>
      </c>
      <c r="D591" s="134">
        <v>5156</v>
      </c>
      <c r="E591" s="134">
        <v>5089</v>
      </c>
      <c r="F591" s="934">
        <v>4994</v>
      </c>
      <c r="G591" s="934">
        <v>5156</v>
      </c>
      <c r="H591" s="934">
        <v>5089</v>
      </c>
    </row>
    <row r="592" spans="1:8">
      <c r="A592" t="s">
        <v>2654</v>
      </c>
      <c r="B592" t="s">
        <v>667</v>
      </c>
      <c r="C592" s="134">
        <v>4521</v>
      </c>
      <c r="D592" s="134">
        <v>4470</v>
      </c>
      <c r="E592" s="134">
        <v>4470</v>
      </c>
      <c r="F592" s="934">
        <v>4521</v>
      </c>
      <c r="G592" s="934">
        <v>4470</v>
      </c>
      <c r="H592" s="934">
        <v>4470</v>
      </c>
    </row>
    <row r="593" spans="1:8">
      <c r="A593" t="s">
        <v>2303</v>
      </c>
      <c r="B593" t="s">
        <v>226</v>
      </c>
      <c r="C593" s="134">
        <v>4439</v>
      </c>
      <c r="D593" s="134">
        <v>4486</v>
      </c>
      <c r="E593" s="134">
        <v>4486</v>
      </c>
      <c r="F593" s="934">
        <v>4439</v>
      </c>
      <c r="G593" s="934">
        <v>4486</v>
      </c>
      <c r="H593" s="934">
        <v>4486</v>
      </c>
    </row>
    <row r="594" spans="1:8">
      <c r="A594" t="s">
        <v>2370</v>
      </c>
      <c r="B594" t="s">
        <v>2786</v>
      </c>
      <c r="C594" s="134">
        <v>4368</v>
      </c>
      <c r="D594" s="134">
        <v>4557</v>
      </c>
      <c r="E594" s="134">
        <v>4628</v>
      </c>
      <c r="F594" s="934">
        <v>4368</v>
      </c>
      <c r="G594" s="934">
        <v>4557</v>
      </c>
      <c r="H594" s="934">
        <v>4628</v>
      </c>
    </row>
    <row r="595" spans="1:8">
      <c r="A595" t="s">
        <v>2874</v>
      </c>
      <c r="B595" t="s">
        <v>2411</v>
      </c>
      <c r="C595" s="134">
        <v>4585</v>
      </c>
      <c r="D595" s="134">
        <v>4368</v>
      </c>
      <c r="E595" s="134">
        <v>4441</v>
      </c>
      <c r="F595" s="934">
        <v>4585</v>
      </c>
      <c r="G595" s="934">
        <v>4368</v>
      </c>
      <c r="H595" s="934">
        <v>4441</v>
      </c>
    </row>
    <row r="596" spans="1:8">
      <c r="A596" t="s">
        <v>1754</v>
      </c>
      <c r="B596" t="s">
        <v>2787</v>
      </c>
      <c r="C596" s="134">
        <v>4447</v>
      </c>
      <c r="D596" s="134">
        <v>4404</v>
      </c>
      <c r="E596" s="134">
        <v>4404</v>
      </c>
      <c r="F596" s="934">
        <v>4447</v>
      </c>
      <c r="G596" s="934">
        <v>4404</v>
      </c>
      <c r="H596" s="934">
        <v>4404</v>
      </c>
    </row>
    <row r="597" spans="1:8">
      <c r="A597" t="s">
        <v>1755</v>
      </c>
      <c r="B597" t="s">
        <v>1064</v>
      </c>
      <c r="C597" s="134">
        <v>4327</v>
      </c>
      <c r="D597" s="134">
        <v>4282</v>
      </c>
      <c r="E597" s="134">
        <v>4313</v>
      </c>
      <c r="F597" s="934">
        <v>4327</v>
      </c>
      <c r="G597" s="934">
        <v>4282</v>
      </c>
      <c r="H597" s="934">
        <v>4313</v>
      </c>
    </row>
    <row r="598" spans="1:8">
      <c r="A598" t="s">
        <v>1592</v>
      </c>
      <c r="B598" t="s">
        <v>934</v>
      </c>
      <c r="C598" s="134">
        <v>4389</v>
      </c>
      <c r="D598" s="134">
        <v>4476</v>
      </c>
      <c r="E598" s="134">
        <v>4397</v>
      </c>
      <c r="F598" s="934">
        <v>4389</v>
      </c>
      <c r="G598" s="934">
        <v>4476</v>
      </c>
      <c r="H598" s="934">
        <v>4397</v>
      </c>
    </row>
    <row r="599" spans="1:8">
      <c r="A599" t="s">
        <v>2584</v>
      </c>
      <c r="B599" t="s">
        <v>1067</v>
      </c>
      <c r="C599" s="134">
        <v>4705</v>
      </c>
      <c r="D599" s="134">
        <v>4654</v>
      </c>
      <c r="E599" s="134">
        <v>4671</v>
      </c>
      <c r="F599" s="934">
        <v>4705</v>
      </c>
      <c r="G599" s="934">
        <v>4654</v>
      </c>
      <c r="H599" s="934">
        <v>4671</v>
      </c>
    </row>
    <row r="600" spans="1:8">
      <c r="A600" t="s">
        <v>2585</v>
      </c>
      <c r="B600" t="s">
        <v>1068</v>
      </c>
      <c r="C600" s="134">
        <v>5294</v>
      </c>
      <c r="D600" s="134">
        <v>5184</v>
      </c>
      <c r="E600" s="134">
        <v>5302</v>
      </c>
      <c r="F600" s="934">
        <v>5469</v>
      </c>
      <c r="G600" s="934">
        <v>5184</v>
      </c>
      <c r="H600" s="934">
        <v>5420</v>
      </c>
    </row>
    <row r="601" spans="1:8">
      <c r="A601" t="s">
        <v>2586</v>
      </c>
      <c r="B601" t="s">
        <v>1069</v>
      </c>
      <c r="C601" s="134">
        <v>4657</v>
      </c>
      <c r="D601" s="134">
        <v>4767</v>
      </c>
      <c r="E601" s="134">
        <v>4853</v>
      </c>
      <c r="F601" s="934">
        <v>4657</v>
      </c>
      <c r="G601" s="934">
        <v>4767</v>
      </c>
      <c r="H601" s="934">
        <v>4852</v>
      </c>
    </row>
    <row r="602" spans="1:8">
      <c r="A602" t="s">
        <v>2587</v>
      </c>
      <c r="B602" t="s">
        <v>1070</v>
      </c>
      <c r="C602" s="134">
        <v>4334</v>
      </c>
      <c r="D602" s="134">
        <v>4401</v>
      </c>
      <c r="E602" s="134">
        <v>4454</v>
      </c>
      <c r="F602" s="934">
        <v>4334</v>
      </c>
      <c r="G602" s="934">
        <v>4401</v>
      </c>
      <c r="H602" s="934">
        <v>4454</v>
      </c>
    </row>
    <row r="603" spans="1:8">
      <c r="A603" t="s">
        <v>2755</v>
      </c>
      <c r="B603" t="s">
        <v>1258</v>
      </c>
      <c r="C603" s="134">
        <v>5067</v>
      </c>
      <c r="D603" s="134">
        <v>5310</v>
      </c>
      <c r="E603" s="134">
        <v>5310</v>
      </c>
      <c r="F603" s="934">
        <v>5067</v>
      </c>
      <c r="G603" s="934">
        <v>5310</v>
      </c>
      <c r="H603" s="934">
        <v>5310</v>
      </c>
    </row>
    <row r="604" spans="1:8">
      <c r="A604" t="s">
        <v>2588</v>
      </c>
      <c r="B604" t="s">
        <v>1071</v>
      </c>
      <c r="C604" s="134">
        <v>4984</v>
      </c>
      <c r="D604" s="134">
        <v>5187</v>
      </c>
      <c r="E604" s="134">
        <v>5601</v>
      </c>
      <c r="F604" s="934">
        <v>4984</v>
      </c>
      <c r="G604" s="934">
        <v>5187</v>
      </c>
      <c r="H604" s="934">
        <v>5601</v>
      </c>
    </row>
    <row r="605" spans="1:8">
      <c r="A605" t="s">
        <v>2589</v>
      </c>
      <c r="B605" t="s">
        <v>1072</v>
      </c>
      <c r="C605" s="134">
        <v>4496</v>
      </c>
      <c r="D605" s="134">
        <v>4543</v>
      </c>
      <c r="E605" s="134">
        <v>4665</v>
      </c>
      <c r="F605" s="934">
        <v>4496</v>
      </c>
      <c r="G605" s="934">
        <v>4543</v>
      </c>
      <c r="H605" s="934">
        <v>4665</v>
      </c>
    </row>
    <row r="606" spans="1:8">
      <c r="A606" t="s">
        <v>2590</v>
      </c>
      <c r="B606" t="s">
        <v>1073</v>
      </c>
      <c r="C606" s="134">
        <v>4792</v>
      </c>
      <c r="D606" s="134">
        <v>4755</v>
      </c>
      <c r="E606" s="134">
        <v>4755</v>
      </c>
      <c r="F606" s="934">
        <v>4792</v>
      </c>
      <c r="G606" s="934">
        <v>4755</v>
      </c>
      <c r="H606" s="934">
        <v>4755</v>
      </c>
    </row>
    <row r="607" spans="1:8">
      <c r="A607" t="s">
        <v>2591</v>
      </c>
      <c r="B607" t="s">
        <v>1074</v>
      </c>
      <c r="C607" s="134">
        <v>4721</v>
      </c>
      <c r="D607" s="134">
        <v>5577</v>
      </c>
      <c r="E607" s="134">
        <v>5092</v>
      </c>
      <c r="F607" s="934">
        <v>4721</v>
      </c>
      <c r="G607" s="934">
        <v>5577</v>
      </c>
      <c r="H607" s="934">
        <v>5092</v>
      </c>
    </row>
    <row r="608" spans="1:8">
      <c r="A608" t="s">
        <v>2592</v>
      </c>
      <c r="B608" t="s">
        <v>1075</v>
      </c>
      <c r="C608" s="134">
        <v>5134</v>
      </c>
      <c r="D608" s="134">
        <v>5092</v>
      </c>
      <c r="E608" s="134">
        <v>5148</v>
      </c>
      <c r="F608" s="934">
        <v>5134</v>
      </c>
      <c r="G608" s="934">
        <v>5092</v>
      </c>
      <c r="H608" s="934">
        <v>5148</v>
      </c>
    </row>
    <row r="609" spans="1:8">
      <c r="A609" t="s">
        <v>2981</v>
      </c>
      <c r="B609" t="s">
        <v>1076</v>
      </c>
      <c r="C609" s="134">
        <v>4743</v>
      </c>
      <c r="D609" s="134">
        <v>4913</v>
      </c>
      <c r="E609" s="134">
        <v>4869</v>
      </c>
      <c r="F609" s="934">
        <v>4743</v>
      </c>
      <c r="G609" s="934">
        <v>4762</v>
      </c>
      <c r="H609" s="934">
        <v>4717</v>
      </c>
    </row>
    <row r="610" spans="1:8">
      <c r="A610" t="s">
        <v>2982</v>
      </c>
      <c r="B610" t="s">
        <v>1077</v>
      </c>
      <c r="C610" s="134">
        <v>4979</v>
      </c>
      <c r="D610" s="134">
        <v>4737</v>
      </c>
      <c r="E610" s="134">
        <v>4737</v>
      </c>
      <c r="F610" s="934">
        <v>4979</v>
      </c>
      <c r="G610" s="934">
        <v>4737</v>
      </c>
      <c r="H610" s="934">
        <v>4737</v>
      </c>
    </row>
    <row r="611" spans="1:8">
      <c r="A611" t="s">
        <v>2983</v>
      </c>
      <c r="B611" t="s">
        <v>1078</v>
      </c>
      <c r="C611" s="134">
        <v>4977</v>
      </c>
      <c r="D611" s="134">
        <v>4547</v>
      </c>
      <c r="E611" s="134">
        <v>4601</v>
      </c>
      <c r="F611" s="934">
        <v>4977</v>
      </c>
      <c r="G611" s="934">
        <v>4546</v>
      </c>
      <c r="H611" s="934">
        <v>4601</v>
      </c>
    </row>
    <row r="612" spans="1:8">
      <c r="A612" t="s">
        <v>2984</v>
      </c>
      <c r="B612" t="s">
        <v>1079</v>
      </c>
      <c r="C612" s="134">
        <v>5331</v>
      </c>
      <c r="D612" s="134">
        <v>5500</v>
      </c>
      <c r="E612" s="134">
        <v>5357</v>
      </c>
      <c r="F612" s="934">
        <v>5331</v>
      </c>
      <c r="G612" s="934">
        <v>5500</v>
      </c>
      <c r="H612" s="934">
        <v>5357</v>
      </c>
    </row>
    <row r="613" spans="1:8">
      <c r="A613" t="s">
        <v>2985</v>
      </c>
      <c r="B613" t="s">
        <v>1080</v>
      </c>
      <c r="C613" s="134">
        <v>5066</v>
      </c>
      <c r="D613" s="134">
        <v>5265</v>
      </c>
      <c r="E613" s="134">
        <v>5130</v>
      </c>
      <c r="F613" s="934">
        <v>5066</v>
      </c>
      <c r="G613" s="934">
        <v>5265</v>
      </c>
      <c r="H613" s="934">
        <v>5130</v>
      </c>
    </row>
    <row r="614" spans="1:8">
      <c r="A614" t="s">
        <v>1561</v>
      </c>
      <c r="B614" t="s">
        <v>2081</v>
      </c>
      <c r="C614" s="134">
        <v>4612</v>
      </c>
      <c r="D614" s="134">
        <v>4471</v>
      </c>
      <c r="E614" s="134">
        <v>4471</v>
      </c>
      <c r="F614" s="934">
        <v>4612</v>
      </c>
      <c r="G614" s="934">
        <v>4471</v>
      </c>
      <c r="H614" s="934">
        <v>4471</v>
      </c>
    </row>
    <row r="615" spans="1:8">
      <c r="A615" t="s">
        <v>1562</v>
      </c>
      <c r="B615" t="s">
        <v>2082</v>
      </c>
      <c r="C615" s="134">
        <v>4660</v>
      </c>
      <c r="D615" s="134">
        <v>4486</v>
      </c>
      <c r="E615" s="134">
        <v>4418</v>
      </c>
      <c r="F615" s="934">
        <v>4660</v>
      </c>
      <c r="G615" s="934">
        <v>4485</v>
      </c>
      <c r="H615" s="934">
        <v>4418</v>
      </c>
    </row>
    <row r="616" spans="1:8">
      <c r="A616" t="s">
        <v>2783</v>
      </c>
      <c r="B616" t="s">
        <v>2083</v>
      </c>
      <c r="C616" s="134">
        <v>5046</v>
      </c>
      <c r="D616" s="134">
        <v>5490</v>
      </c>
      <c r="E616" s="134">
        <v>5490</v>
      </c>
      <c r="F616" s="934">
        <v>5046</v>
      </c>
      <c r="G616" s="934">
        <v>5490</v>
      </c>
      <c r="H616" s="934">
        <v>5490</v>
      </c>
    </row>
    <row r="617" spans="1:8">
      <c r="A617" t="s">
        <v>2421</v>
      </c>
      <c r="B617" t="s">
        <v>2282</v>
      </c>
      <c r="C617" s="134">
        <v>6061</v>
      </c>
      <c r="D617" s="134">
        <v>6068</v>
      </c>
      <c r="E617" s="134">
        <v>7159</v>
      </c>
      <c r="F617" s="934">
        <v>6061</v>
      </c>
      <c r="G617" s="934">
        <v>6068</v>
      </c>
      <c r="H617" s="934">
        <v>7159</v>
      </c>
    </row>
    <row r="618" spans="1:8">
      <c r="A618" t="s">
        <v>3029</v>
      </c>
      <c r="B618" t="s">
        <v>1329</v>
      </c>
      <c r="C618" s="134">
        <v>4604</v>
      </c>
      <c r="D618" s="134">
        <v>4660</v>
      </c>
      <c r="E618" s="134">
        <v>4733</v>
      </c>
      <c r="F618" s="934">
        <v>4604</v>
      </c>
      <c r="G618" s="934">
        <v>4660</v>
      </c>
      <c r="H618" s="934">
        <v>4733</v>
      </c>
    </row>
    <row r="619" spans="1:8">
      <c r="A619" t="s">
        <v>2762</v>
      </c>
      <c r="B619" t="s">
        <v>3061</v>
      </c>
      <c r="C619" s="134">
        <v>5014</v>
      </c>
      <c r="D619" s="134">
        <v>4622</v>
      </c>
      <c r="E619" s="134">
        <v>4622</v>
      </c>
      <c r="F619" s="934">
        <v>5014</v>
      </c>
      <c r="G619" s="934">
        <v>4622</v>
      </c>
      <c r="H619" s="934">
        <v>4622</v>
      </c>
    </row>
    <row r="620" spans="1:8">
      <c r="A620" t="s">
        <v>2422</v>
      </c>
      <c r="B620" t="s">
        <v>2283</v>
      </c>
      <c r="C620" s="134">
        <v>6867</v>
      </c>
      <c r="D620" s="134">
        <v>4880</v>
      </c>
      <c r="E620" s="134">
        <v>5148</v>
      </c>
      <c r="F620" s="934">
        <v>6867</v>
      </c>
      <c r="G620" s="934">
        <v>4889</v>
      </c>
      <c r="H620" s="934">
        <v>5157</v>
      </c>
    </row>
    <row r="621" spans="1:8">
      <c r="A621" t="s">
        <v>2875</v>
      </c>
      <c r="B621" t="s">
        <v>1951</v>
      </c>
      <c r="C621" s="134">
        <v>5036</v>
      </c>
      <c r="D621" s="134">
        <v>4742</v>
      </c>
      <c r="E621" s="134">
        <v>4812</v>
      </c>
      <c r="F621" s="934">
        <v>5155</v>
      </c>
      <c r="G621" s="934">
        <v>4831</v>
      </c>
      <c r="H621" s="934">
        <v>4900</v>
      </c>
    </row>
    <row r="622" spans="1:8">
      <c r="A622" t="s">
        <v>1277</v>
      </c>
      <c r="B622" t="s">
        <v>2735</v>
      </c>
      <c r="C622" s="134">
        <v>5382</v>
      </c>
      <c r="D622" s="134">
        <v>4913</v>
      </c>
      <c r="E622" s="134">
        <v>4913</v>
      </c>
      <c r="F622" s="934">
        <v>5382</v>
      </c>
      <c r="G622" s="934">
        <v>4913</v>
      </c>
      <c r="H622" s="934">
        <v>4913</v>
      </c>
    </row>
    <row r="623" spans="1:8">
      <c r="A623" t="s">
        <v>2423</v>
      </c>
      <c r="B623" t="s">
        <v>590</v>
      </c>
      <c r="C623" s="134">
        <v>4480</v>
      </c>
      <c r="D623" s="134">
        <v>4951</v>
      </c>
      <c r="E623" s="134">
        <v>4548</v>
      </c>
      <c r="F623" s="934">
        <v>4480</v>
      </c>
      <c r="G623" s="934">
        <v>4951</v>
      </c>
      <c r="H623" s="934">
        <v>4548</v>
      </c>
    </row>
    <row r="624" spans="1:8">
      <c r="A624" t="s">
        <v>2424</v>
      </c>
      <c r="B624" t="s">
        <v>591</v>
      </c>
      <c r="C624" s="134">
        <v>4399</v>
      </c>
      <c r="D624" s="134">
        <v>4403</v>
      </c>
      <c r="E624" s="134">
        <v>4403</v>
      </c>
      <c r="F624" s="934">
        <v>4399</v>
      </c>
      <c r="G624" s="934">
        <v>4402</v>
      </c>
      <c r="H624" s="934">
        <v>4402</v>
      </c>
    </row>
    <row r="625" spans="1:8">
      <c r="A625" t="s">
        <v>1093</v>
      </c>
      <c r="B625" t="s">
        <v>1747</v>
      </c>
      <c r="C625" s="134">
        <v>4495</v>
      </c>
      <c r="D625" s="134">
        <v>4529</v>
      </c>
      <c r="E625" s="134">
        <v>4529</v>
      </c>
      <c r="F625" s="934">
        <v>4495</v>
      </c>
      <c r="G625" s="934">
        <v>4529</v>
      </c>
      <c r="H625" s="934">
        <v>4529</v>
      </c>
    </row>
    <row r="626" spans="1:8">
      <c r="A626" t="s">
        <v>1513</v>
      </c>
      <c r="B626" t="s">
        <v>592</v>
      </c>
      <c r="C626" s="134">
        <v>5843</v>
      </c>
      <c r="D626" s="134">
        <v>6448</v>
      </c>
      <c r="E626" s="134">
        <v>5982</v>
      </c>
      <c r="F626" s="934">
        <v>5843</v>
      </c>
      <c r="G626" s="934">
        <v>6448</v>
      </c>
      <c r="H626" s="934">
        <v>5982</v>
      </c>
    </row>
    <row r="627" spans="1:8">
      <c r="A627" t="s">
        <v>1902</v>
      </c>
      <c r="B627" t="s">
        <v>593</v>
      </c>
      <c r="C627" s="134">
        <v>4562</v>
      </c>
      <c r="D627" s="134">
        <v>4593</v>
      </c>
      <c r="E627" s="134">
        <v>4593</v>
      </c>
      <c r="F627" s="934">
        <v>4562</v>
      </c>
      <c r="G627" s="934">
        <v>4593</v>
      </c>
      <c r="H627" s="934">
        <v>4593</v>
      </c>
    </row>
    <row r="628" spans="1:8">
      <c r="A628" t="s">
        <v>1903</v>
      </c>
      <c r="B628" t="s">
        <v>594</v>
      </c>
      <c r="C628" s="134">
        <v>5009</v>
      </c>
      <c r="D628" s="134">
        <v>5083</v>
      </c>
      <c r="E628" s="134">
        <v>5076</v>
      </c>
      <c r="F628" s="934">
        <v>5009</v>
      </c>
      <c r="G628" s="934">
        <v>5083</v>
      </c>
      <c r="H628" s="934">
        <v>5076</v>
      </c>
    </row>
    <row r="629" spans="1:8">
      <c r="A629" t="s">
        <v>2926</v>
      </c>
      <c r="B629" t="s">
        <v>595</v>
      </c>
      <c r="C629" s="134">
        <v>6598</v>
      </c>
      <c r="D629" s="134">
        <v>7519</v>
      </c>
      <c r="E629" s="134">
        <v>6608</v>
      </c>
      <c r="F629" s="934">
        <v>6598</v>
      </c>
      <c r="G629" s="934">
        <v>7519</v>
      </c>
      <c r="H629" s="934">
        <v>6608</v>
      </c>
    </row>
    <row r="630" spans="1:8">
      <c r="A630" t="s">
        <v>2927</v>
      </c>
      <c r="B630" t="s">
        <v>596</v>
      </c>
      <c r="C630" s="134">
        <v>6373</v>
      </c>
      <c r="D630" s="134">
        <v>7437</v>
      </c>
      <c r="E630" s="134">
        <v>6432</v>
      </c>
      <c r="F630" s="934">
        <v>6373</v>
      </c>
      <c r="G630" s="934">
        <v>7437</v>
      </c>
      <c r="H630" s="934">
        <v>6432</v>
      </c>
    </row>
    <row r="631" spans="1:8">
      <c r="A631" t="s">
        <v>3056</v>
      </c>
      <c r="B631" t="s">
        <v>597</v>
      </c>
      <c r="C631" s="134">
        <v>6663</v>
      </c>
      <c r="D631" s="134">
        <v>6214</v>
      </c>
      <c r="E631" s="134">
        <v>6500</v>
      </c>
      <c r="F631" s="934">
        <v>6663</v>
      </c>
      <c r="G631" s="934">
        <v>6214</v>
      </c>
      <c r="H631" s="934">
        <v>6500</v>
      </c>
    </row>
    <row r="632" spans="1:8">
      <c r="A632" t="s">
        <v>947</v>
      </c>
      <c r="B632" t="s">
        <v>598</v>
      </c>
      <c r="C632" s="134">
        <v>4967</v>
      </c>
      <c r="D632" s="134">
        <v>4772</v>
      </c>
      <c r="E632" s="134">
        <v>4825</v>
      </c>
      <c r="F632" s="934">
        <v>4967</v>
      </c>
      <c r="G632" s="934">
        <v>4772</v>
      </c>
      <c r="H632" s="934">
        <v>4825</v>
      </c>
    </row>
    <row r="633" spans="1:8">
      <c r="A633" t="s">
        <v>95</v>
      </c>
      <c r="B633" t="s">
        <v>599</v>
      </c>
      <c r="C633" s="134">
        <v>4421</v>
      </c>
      <c r="D633" s="134">
        <v>5474</v>
      </c>
      <c r="E633" s="134">
        <v>4470</v>
      </c>
      <c r="F633" s="934">
        <v>4421</v>
      </c>
      <c r="G633" s="934">
        <v>5474</v>
      </c>
      <c r="H633" s="934">
        <v>4470</v>
      </c>
    </row>
    <row r="634" spans="1:8">
      <c r="A634" t="s">
        <v>96</v>
      </c>
      <c r="B634" t="s">
        <v>600</v>
      </c>
      <c r="C634" s="134">
        <v>5200</v>
      </c>
      <c r="D634" s="134">
        <v>5263</v>
      </c>
      <c r="E634" s="134">
        <v>5522</v>
      </c>
      <c r="F634" s="934">
        <v>5200</v>
      </c>
      <c r="G634" s="934">
        <v>5263</v>
      </c>
      <c r="H634" s="934">
        <v>5522</v>
      </c>
    </row>
    <row r="635" spans="1:8">
      <c r="A635" t="s">
        <v>2607</v>
      </c>
      <c r="B635" t="s">
        <v>640</v>
      </c>
      <c r="C635" s="134">
        <v>4659</v>
      </c>
      <c r="D635" s="134">
        <v>4618</v>
      </c>
      <c r="E635" s="134">
        <v>4618</v>
      </c>
      <c r="F635" s="934">
        <v>4659</v>
      </c>
      <c r="G635" s="934">
        <v>4618</v>
      </c>
      <c r="H635" s="934">
        <v>4618</v>
      </c>
    </row>
    <row r="636" spans="1:8">
      <c r="A636" t="s">
        <v>2764</v>
      </c>
      <c r="B636" t="s">
        <v>601</v>
      </c>
      <c r="C636" s="134">
        <v>4594</v>
      </c>
      <c r="D636" s="134">
        <v>4634</v>
      </c>
      <c r="E636" s="134">
        <v>4634</v>
      </c>
      <c r="F636" s="934">
        <v>4594</v>
      </c>
      <c r="G636" s="934">
        <v>4634</v>
      </c>
      <c r="H636" s="934">
        <v>4634</v>
      </c>
    </row>
    <row r="637" spans="1:8">
      <c r="A637" t="s">
        <v>2765</v>
      </c>
      <c r="B637" t="s">
        <v>602</v>
      </c>
      <c r="C637" s="134">
        <v>4573</v>
      </c>
      <c r="D637" s="134">
        <v>4584</v>
      </c>
      <c r="E637" s="134">
        <v>4584</v>
      </c>
      <c r="F637" s="934">
        <v>4573</v>
      </c>
      <c r="G637" s="934">
        <v>4584</v>
      </c>
      <c r="H637" s="934">
        <v>4584</v>
      </c>
    </row>
    <row r="638" spans="1:8">
      <c r="A638" t="s">
        <v>2414</v>
      </c>
      <c r="B638" t="s">
        <v>641</v>
      </c>
      <c r="C638" s="134">
        <v>4811</v>
      </c>
      <c r="D638" s="134">
        <v>4959</v>
      </c>
      <c r="E638" s="134">
        <v>4942</v>
      </c>
      <c r="F638" s="934">
        <v>4811</v>
      </c>
      <c r="G638" s="934">
        <v>4964</v>
      </c>
      <c r="H638" s="934">
        <v>4942</v>
      </c>
    </row>
    <row r="639" spans="1:8">
      <c r="A639" t="s">
        <v>1603</v>
      </c>
      <c r="B639" t="s">
        <v>2627</v>
      </c>
      <c r="C639" s="134">
        <v>4696</v>
      </c>
      <c r="D639" s="134">
        <v>4707</v>
      </c>
      <c r="E639" s="134">
        <v>4856</v>
      </c>
      <c r="F639" s="934">
        <v>4696</v>
      </c>
      <c r="G639" s="934">
        <v>4707</v>
      </c>
      <c r="H639" s="934">
        <v>4856</v>
      </c>
    </row>
    <row r="640" spans="1:8">
      <c r="A640" t="s">
        <v>2766</v>
      </c>
      <c r="B640" t="s">
        <v>603</v>
      </c>
      <c r="C640" s="134">
        <v>4633</v>
      </c>
      <c r="D640" s="134">
        <v>4713</v>
      </c>
      <c r="E640" s="134">
        <v>4713</v>
      </c>
      <c r="F640" s="934">
        <v>4632</v>
      </c>
      <c r="G640" s="934">
        <v>4713</v>
      </c>
      <c r="H640" s="934">
        <v>4713</v>
      </c>
    </row>
    <row r="641" spans="1:8">
      <c r="A641" t="s">
        <v>538</v>
      </c>
      <c r="B641" t="s">
        <v>1417</v>
      </c>
      <c r="C641" s="134">
        <v>4622</v>
      </c>
      <c r="D641" s="134">
        <v>4741</v>
      </c>
      <c r="E641" s="134">
        <v>4680</v>
      </c>
      <c r="F641" s="934">
        <v>4622</v>
      </c>
      <c r="G641" s="934">
        <v>4745</v>
      </c>
      <c r="H641" s="934">
        <v>4679</v>
      </c>
    </row>
    <row r="642" spans="1:8">
      <c r="A642" t="s">
        <v>775</v>
      </c>
      <c r="B642" t="s">
        <v>604</v>
      </c>
      <c r="C642" s="134">
        <v>4401</v>
      </c>
      <c r="D642" s="134">
        <v>4512</v>
      </c>
      <c r="E642" s="134">
        <v>4522</v>
      </c>
      <c r="F642" s="934">
        <v>4401</v>
      </c>
      <c r="G642" s="934">
        <v>4512</v>
      </c>
      <c r="H642" s="934">
        <v>4522</v>
      </c>
    </row>
    <row r="643" spans="1:8">
      <c r="A643" t="s">
        <v>2679</v>
      </c>
      <c r="B643" t="s">
        <v>3022</v>
      </c>
      <c r="C643" s="134">
        <v>5058</v>
      </c>
      <c r="D643" s="134">
        <v>4804</v>
      </c>
      <c r="E643" s="134">
        <v>4853</v>
      </c>
      <c r="F643" s="934">
        <v>5058</v>
      </c>
      <c r="G643" s="934">
        <v>4804</v>
      </c>
      <c r="H643" s="934">
        <v>4853</v>
      </c>
    </row>
    <row r="644" spans="1:8">
      <c r="A644" t="s">
        <v>2680</v>
      </c>
      <c r="B644" t="s">
        <v>606</v>
      </c>
      <c r="C644" s="134">
        <v>4479</v>
      </c>
      <c r="D644" s="134">
        <v>4542</v>
      </c>
      <c r="E644" s="134">
        <v>4542</v>
      </c>
      <c r="F644" s="934">
        <v>4479</v>
      </c>
      <c r="G644" s="934">
        <v>4542</v>
      </c>
      <c r="H644" s="934">
        <v>4542</v>
      </c>
    </row>
    <row r="645" spans="1:8">
      <c r="A645" t="s">
        <v>2681</v>
      </c>
      <c r="B645" t="s">
        <v>607</v>
      </c>
      <c r="C645" s="134">
        <v>4691</v>
      </c>
      <c r="D645" s="134">
        <v>4803</v>
      </c>
      <c r="E645" s="134">
        <v>4787</v>
      </c>
      <c r="F645" s="934">
        <v>4691</v>
      </c>
      <c r="G645" s="934">
        <v>4803</v>
      </c>
      <c r="H645" s="934">
        <v>4787</v>
      </c>
    </row>
    <row r="646" spans="1:8">
      <c r="A646" t="s">
        <v>1651</v>
      </c>
      <c r="B646" t="s">
        <v>608</v>
      </c>
      <c r="C646" s="134">
        <v>4563</v>
      </c>
      <c r="D646" s="134">
        <v>4565</v>
      </c>
      <c r="E646" s="134">
        <v>4565</v>
      </c>
      <c r="F646" s="934">
        <v>4563</v>
      </c>
      <c r="G646" s="934">
        <v>4565</v>
      </c>
      <c r="H646" s="934">
        <v>4565</v>
      </c>
    </row>
    <row r="647" spans="1:8">
      <c r="A647" t="s">
        <v>2389</v>
      </c>
      <c r="B647" t="s">
        <v>44</v>
      </c>
      <c r="C647" s="134">
        <v>4670</v>
      </c>
      <c r="D647" s="134">
        <v>4800</v>
      </c>
      <c r="E647" s="134">
        <v>4800</v>
      </c>
      <c r="F647" s="934">
        <v>4670</v>
      </c>
      <c r="G647" s="934">
        <v>4800</v>
      </c>
      <c r="H647" s="934">
        <v>4800</v>
      </c>
    </row>
    <row r="648" spans="1:8">
      <c r="A648" t="s">
        <v>1652</v>
      </c>
      <c r="B648" t="s">
        <v>609</v>
      </c>
      <c r="C648" s="134">
        <v>4687</v>
      </c>
      <c r="D648" s="134">
        <v>4589</v>
      </c>
      <c r="E648" s="134">
        <v>4686</v>
      </c>
      <c r="F648" s="934">
        <v>4687</v>
      </c>
      <c r="G648" s="934">
        <v>4588</v>
      </c>
      <c r="H648" s="934">
        <v>4686</v>
      </c>
    </row>
    <row r="649" spans="1:8">
      <c r="A649" t="s">
        <v>418</v>
      </c>
      <c r="B649" t="s">
        <v>610</v>
      </c>
      <c r="C649" s="134">
        <v>4249</v>
      </c>
      <c r="D649" s="134">
        <v>4727</v>
      </c>
      <c r="E649" s="134">
        <v>4475</v>
      </c>
      <c r="F649" s="934">
        <v>4249</v>
      </c>
      <c r="G649" s="934">
        <v>4727</v>
      </c>
      <c r="H649" s="934">
        <v>4475</v>
      </c>
    </row>
    <row r="650" spans="1:8">
      <c r="A650" t="s">
        <v>419</v>
      </c>
      <c r="B650" t="s">
        <v>611</v>
      </c>
      <c r="C650" s="134">
        <v>5182</v>
      </c>
      <c r="D650" s="134">
        <v>5838</v>
      </c>
      <c r="E650" s="134">
        <v>5374</v>
      </c>
      <c r="F650" s="934">
        <v>5182</v>
      </c>
      <c r="G650" s="934">
        <v>5837</v>
      </c>
      <c r="H650" s="934">
        <v>5374</v>
      </c>
    </row>
    <row r="651" spans="1:8">
      <c r="A651" t="s">
        <v>420</v>
      </c>
      <c r="B651" t="s">
        <v>612</v>
      </c>
      <c r="C651" s="134">
        <v>6606</v>
      </c>
      <c r="D651" s="134">
        <v>6385</v>
      </c>
      <c r="E651" s="134">
        <v>6955</v>
      </c>
      <c r="F651" s="934">
        <v>6606</v>
      </c>
      <c r="G651" s="934">
        <v>6385</v>
      </c>
      <c r="H651" s="934">
        <v>6955</v>
      </c>
    </row>
    <row r="652" spans="1:8">
      <c r="A652" t="s">
        <v>1856</v>
      </c>
      <c r="B652" t="s">
        <v>613</v>
      </c>
      <c r="C652" s="134">
        <v>4892</v>
      </c>
      <c r="D652" s="134">
        <v>4891</v>
      </c>
      <c r="E652" s="134">
        <v>4970</v>
      </c>
      <c r="F652" s="934">
        <v>4892</v>
      </c>
      <c r="G652" s="934">
        <v>4891</v>
      </c>
      <c r="H652" s="934">
        <v>4970</v>
      </c>
    </row>
    <row r="653" spans="1:8">
      <c r="A653" t="s">
        <v>1857</v>
      </c>
      <c r="B653" t="s">
        <v>614</v>
      </c>
      <c r="C653" s="134">
        <v>4679</v>
      </c>
      <c r="D653" s="134">
        <v>4930</v>
      </c>
      <c r="E653" s="134">
        <v>4853</v>
      </c>
      <c r="F653" s="934">
        <v>4678</v>
      </c>
      <c r="G653" s="934">
        <v>4938</v>
      </c>
      <c r="H653" s="934">
        <v>4852</v>
      </c>
    </row>
    <row r="654" spans="1:8">
      <c r="A654" t="s">
        <v>201</v>
      </c>
      <c r="B654" t="s">
        <v>1964</v>
      </c>
      <c r="C654" s="134">
        <v>4528</v>
      </c>
      <c r="D654" s="134">
        <v>5388</v>
      </c>
      <c r="E654" s="134">
        <v>4677</v>
      </c>
      <c r="F654" s="934">
        <v>4528</v>
      </c>
      <c r="G654" s="934">
        <v>5388</v>
      </c>
      <c r="H654" s="934">
        <v>4677</v>
      </c>
    </row>
    <row r="655" spans="1:8">
      <c r="A655" t="s">
        <v>2438</v>
      </c>
      <c r="B655" t="s">
        <v>1965</v>
      </c>
      <c r="C655" s="134">
        <v>5504</v>
      </c>
      <c r="D655" s="134">
        <v>5855</v>
      </c>
      <c r="E655" s="134">
        <v>5874</v>
      </c>
      <c r="F655" s="934">
        <v>5504</v>
      </c>
      <c r="G655" s="934">
        <v>5855</v>
      </c>
      <c r="H655" s="934">
        <v>5874</v>
      </c>
    </row>
    <row r="656" spans="1:8">
      <c r="A656" t="s">
        <v>2439</v>
      </c>
      <c r="B656" t="s">
        <v>1966</v>
      </c>
      <c r="C656" s="134">
        <v>4246</v>
      </c>
      <c r="D656" s="134">
        <v>6472</v>
      </c>
      <c r="E656" s="134">
        <v>4302</v>
      </c>
      <c r="F656" s="934">
        <v>4246</v>
      </c>
      <c r="G656" s="934">
        <v>6472</v>
      </c>
      <c r="H656" s="934">
        <v>4302</v>
      </c>
    </row>
    <row r="657" spans="1:8">
      <c r="A657" t="s">
        <v>2440</v>
      </c>
      <c r="B657" t="s">
        <v>1967</v>
      </c>
      <c r="C657" s="134">
        <v>4930</v>
      </c>
      <c r="D657" s="134">
        <v>5014</v>
      </c>
      <c r="E657" s="134">
        <v>5037</v>
      </c>
      <c r="F657" s="934">
        <v>4930</v>
      </c>
      <c r="G657" s="934">
        <v>5014</v>
      </c>
      <c r="H657" s="934">
        <v>5037</v>
      </c>
    </row>
    <row r="658" spans="1:8">
      <c r="A658" t="s">
        <v>2057</v>
      </c>
      <c r="B658" t="s">
        <v>1213</v>
      </c>
      <c r="C658" s="134">
        <v>4272</v>
      </c>
      <c r="D658" s="134">
        <v>4318</v>
      </c>
      <c r="E658" s="134">
        <v>4337</v>
      </c>
      <c r="F658" s="934">
        <v>4272</v>
      </c>
      <c r="G658" s="934">
        <v>4318</v>
      </c>
      <c r="H658" s="934">
        <v>4337</v>
      </c>
    </row>
    <row r="659" spans="1:8">
      <c r="A659" t="s">
        <v>992</v>
      </c>
      <c r="B659" t="s">
        <v>2120</v>
      </c>
      <c r="C659" s="134">
        <v>4652</v>
      </c>
      <c r="D659" s="134">
        <v>4812</v>
      </c>
      <c r="E659" s="134">
        <v>4881</v>
      </c>
      <c r="F659" s="934">
        <v>4652</v>
      </c>
      <c r="G659" s="934">
        <v>4812</v>
      </c>
      <c r="H659" s="934">
        <v>4881</v>
      </c>
    </row>
    <row r="660" spans="1:8">
      <c r="A660" t="s">
        <v>1583</v>
      </c>
      <c r="B660" t="s">
        <v>1968</v>
      </c>
      <c r="C660" s="134">
        <v>4603</v>
      </c>
      <c r="D660" s="134">
        <v>4695</v>
      </c>
      <c r="E660" s="134">
        <v>4690</v>
      </c>
      <c r="F660" s="934">
        <v>4603</v>
      </c>
      <c r="G660" s="934">
        <v>4694</v>
      </c>
      <c r="H660" s="934">
        <v>4690</v>
      </c>
    </row>
    <row r="661" spans="1:8">
      <c r="A661" t="s">
        <v>2265</v>
      </c>
      <c r="B661" t="s">
        <v>2547</v>
      </c>
      <c r="C661" s="134">
        <v>4563</v>
      </c>
      <c r="D661" s="134">
        <v>4609</v>
      </c>
      <c r="E661" s="134">
        <v>4606</v>
      </c>
      <c r="F661" s="934">
        <v>4563</v>
      </c>
      <c r="G661" s="934">
        <v>4609</v>
      </c>
      <c r="H661" s="934">
        <v>4606</v>
      </c>
    </row>
    <row r="662" spans="1:8">
      <c r="A662" t="s">
        <v>1094</v>
      </c>
      <c r="B662" t="s">
        <v>457</v>
      </c>
      <c r="C662" s="134">
        <v>4609</v>
      </c>
      <c r="D662" s="134">
        <v>4562</v>
      </c>
      <c r="E662" s="134">
        <v>4562</v>
      </c>
      <c r="F662" s="934">
        <v>4608</v>
      </c>
      <c r="G662" s="934">
        <v>4562</v>
      </c>
      <c r="H662" s="934">
        <v>4562</v>
      </c>
    </row>
    <row r="663" spans="1:8">
      <c r="A663" t="s">
        <v>1012</v>
      </c>
      <c r="B663" t="s">
        <v>2195</v>
      </c>
      <c r="C663" s="134">
        <v>4786</v>
      </c>
      <c r="D663" s="134">
        <v>5057</v>
      </c>
      <c r="E663" s="134">
        <v>5372</v>
      </c>
      <c r="F663" s="934">
        <v>4786</v>
      </c>
      <c r="G663" s="934">
        <v>5057</v>
      </c>
      <c r="H663" s="934">
        <v>5372</v>
      </c>
    </row>
    <row r="664" spans="1:8">
      <c r="A664" t="s">
        <v>800</v>
      </c>
      <c r="B664" t="s">
        <v>2172</v>
      </c>
      <c r="C664" s="134">
        <v>4469</v>
      </c>
      <c r="D664" s="134">
        <v>4698</v>
      </c>
      <c r="E664" s="134">
        <v>4545</v>
      </c>
      <c r="F664" s="934">
        <v>4469</v>
      </c>
      <c r="G664" s="934">
        <v>4697</v>
      </c>
      <c r="H664" s="934">
        <v>4545</v>
      </c>
    </row>
    <row r="665" spans="1:8">
      <c r="A665" t="s">
        <v>1095</v>
      </c>
      <c r="B665" t="s">
        <v>1426</v>
      </c>
      <c r="C665" s="134">
        <v>4554</v>
      </c>
      <c r="D665" s="134">
        <v>4643</v>
      </c>
      <c r="E665" s="134">
        <v>4643</v>
      </c>
      <c r="F665" s="934">
        <v>4554</v>
      </c>
      <c r="G665" s="934">
        <v>4643</v>
      </c>
      <c r="H665" s="934">
        <v>4643</v>
      </c>
    </row>
    <row r="666" spans="1:8">
      <c r="A666" t="s">
        <v>2096</v>
      </c>
      <c r="B666" t="s">
        <v>2358</v>
      </c>
      <c r="C666" s="134">
        <v>4463</v>
      </c>
      <c r="D666" s="134">
        <v>4467</v>
      </c>
      <c r="E666" s="134">
        <v>4796</v>
      </c>
      <c r="F666" s="934">
        <v>4463</v>
      </c>
      <c r="G666" s="934">
        <v>4467</v>
      </c>
      <c r="H666" s="934">
        <v>4796</v>
      </c>
    </row>
    <row r="667" spans="1:8">
      <c r="A667" t="s">
        <v>1735</v>
      </c>
      <c r="B667" t="s">
        <v>927</v>
      </c>
      <c r="C667" s="134">
        <v>4835</v>
      </c>
      <c r="D667" s="134">
        <v>4991</v>
      </c>
      <c r="E667" s="134">
        <v>5078</v>
      </c>
      <c r="F667" s="934">
        <v>4835</v>
      </c>
      <c r="G667" s="934">
        <v>4991</v>
      </c>
      <c r="H667" s="934">
        <v>5077</v>
      </c>
    </row>
    <row r="668" spans="1:8">
      <c r="A668" t="s">
        <v>134</v>
      </c>
      <c r="B668" t="s">
        <v>1969</v>
      </c>
      <c r="C668" s="134">
        <v>4831</v>
      </c>
      <c r="D668" s="134">
        <v>4990</v>
      </c>
      <c r="E668" s="134">
        <v>5123</v>
      </c>
      <c r="F668" s="934">
        <v>4831</v>
      </c>
      <c r="G668" s="934">
        <v>4990</v>
      </c>
      <c r="H668" s="934">
        <v>5123</v>
      </c>
    </row>
    <row r="669" spans="1:8">
      <c r="A669" t="s">
        <v>2384</v>
      </c>
      <c r="B669" t="s">
        <v>1958</v>
      </c>
      <c r="C669" s="134">
        <v>3982</v>
      </c>
      <c r="D669" s="134">
        <v>4435</v>
      </c>
      <c r="E669" s="134">
        <v>4354</v>
      </c>
      <c r="F669" s="934">
        <v>3982</v>
      </c>
      <c r="G669" s="934">
        <v>4435</v>
      </c>
      <c r="H669" s="934">
        <v>4354</v>
      </c>
    </row>
    <row r="670" spans="1:8">
      <c r="A670" t="s">
        <v>373</v>
      </c>
      <c r="B670" t="s">
        <v>157</v>
      </c>
      <c r="C670" s="134">
        <v>4485</v>
      </c>
      <c r="D670" s="134">
        <v>4515</v>
      </c>
      <c r="E670" s="134">
        <v>4609</v>
      </c>
      <c r="F670" s="934">
        <v>4485</v>
      </c>
      <c r="G670" s="934">
        <v>4515</v>
      </c>
      <c r="H670" s="934">
        <v>4609</v>
      </c>
    </row>
    <row r="671" spans="1:8">
      <c r="A671" t="s">
        <v>376</v>
      </c>
      <c r="B671" t="s">
        <v>1610</v>
      </c>
      <c r="C671" s="134">
        <v>4525</v>
      </c>
      <c r="D671" s="134">
        <v>4995</v>
      </c>
      <c r="E671" s="134">
        <v>4850</v>
      </c>
      <c r="F671" s="934">
        <v>4524</v>
      </c>
      <c r="G671" s="934">
        <v>4995</v>
      </c>
      <c r="H671" s="934">
        <v>4850</v>
      </c>
    </row>
    <row r="672" spans="1:8">
      <c r="A672" t="s">
        <v>2819</v>
      </c>
      <c r="B672" t="s">
        <v>1970</v>
      </c>
      <c r="C672" s="134">
        <v>4466</v>
      </c>
      <c r="D672" s="134">
        <v>4535</v>
      </c>
      <c r="E672" s="134">
        <v>4535</v>
      </c>
      <c r="F672" s="934">
        <v>4466</v>
      </c>
      <c r="G672" s="934">
        <v>4535</v>
      </c>
      <c r="H672" s="934">
        <v>4535</v>
      </c>
    </row>
    <row r="673" spans="1:8">
      <c r="A673" t="s">
        <v>2820</v>
      </c>
      <c r="B673" t="s">
        <v>1971</v>
      </c>
      <c r="C673" s="134">
        <v>5398</v>
      </c>
      <c r="D673" s="134">
        <v>4422</v>
      </c>
      <c r="E673" s="134">
        <v>4491</v>
      </c>
      <c r="F673" s="934">
        <v>5398</v>
      </c>
      <c r="G673" s="934">
        <v>4422</v>
      </c>
      <c r="H673" s="934">
        <v>4491</v>
      </c>
    </row>
    <row r="674" spans="1:8">
      <c r="A674" t="s">
        <v>85</v>
      </c>
      <c r="B674" t="s">
        <v>1325</v>
      </c>
      <c r="C674" s="134">
        <v>4571</v>
      </c>
      <c r="D674" s="134">
        <v>4561</v>
      </c>
      <c r="E674" s="134">
        <v>4707</v>
      </c>
      <c r="F674" s="934">
        <v>4571</v>
      </c>
      <c r="G674" s="934">
        <v>4561</v>
      </c>
      <c r="H674" s="934">
        <v>4707</v>
      </c>
    </row>
    <row r="675" spans="1:8">
      <c r="A675" t="s">
        <v>2638</v>
      </c>
      <c r="B675" t="s">
        <v>1745</v>
      </c>
      <c r="C675" s="134">
        <v>4608</v>
      </c>
      <c r="D675" s="134">
        <v>4654</v>
      </c>
      <c r="E675" s="134">
        <v>4654</v>
      </c>
      <c r="F675" s="934">
        <v>4608</v>
      </c>
      <c r="G675" s="934">
        <v>4654</v>
      </c>
      <c r="H675" s="934">
        <v>4654</v>
      </c>
    </row>
    <row r="676" spans="1:8">
      <c r="A676" t="s">
        <v>190</v>
      </c>
      <c r="B676" t="s">
        <v>3097</v>
      </c>
      <c r="C676" s="134">
        <v>4577</v>
      </c>
      <c r="D676" s="134">
        <v>4667</v>
      </c>
      <c r="E676" s="134">
        <v>4667</v>
      </c>
      <c r="F676" s="934">
        <v>4577</v>
      </c>
      <c r="G676" s="934">
        <v>4667</v>
      </c>
      <c r="H676" s="934">
        <v>4667</v>
      </c>
    </row>
    <row r="677" spans="1:8">
      <c r="A677" t="s">
        <v>991</v>
      </c>
      <c r="B677" t="s">
        <v>1524</v>
      </c>
      <c r="C677" s="134">
        <v>4211</v>
      </c>
      <c r="D677" s="134">
        <v>4501</v>
      </c>
      <c r="E677" s="134">
        <v>4524</v>
      </c>
      <c r="F677" s="934">
        <v>4211</v>
      </c>
      <c r="G677" s="934">
        <v>4501</v>
      </c>
      <c r="H677" s="934">
        <v>4523</v>
      </c>
    </row>
    <row r="678" spans="1:8">
      <c r="A678" t="s">
        <v>2098</v>
      </c>
      <c r="B678" t="s">
        <v>1972</v>
      </c>
      <c r="C678" s="134">
        <v>5101</v>
      </c>
      <c r="D678" s="134">
        <v>5343</v>
      </c>
      <c r="E678" s="134">
        <v>5343</v>
      </c>
      <c r="F678" s="934">
        <v>5101</v>
      </c>
      <c r="G678" s="934">
        <v>5371</v>
      </c>
      <c r="H678" s="934">
        <v>5371</v>
      </c>
    </row>
    <row r="679" spans="1:8">
      <c r="A679" t="s">
        <v>287</v>
      </c>
      <c r="B679" t="s">
        <v>1973</v>
      </c>
      <c r="C679" s="134">
        <v>5007</v>
      </c>
      <c r="D679" s="134">
        <v>4939</v>
      </c>
      <c r="E679" s="134">
        <v>4998</v>
      </c>
      <c r="F679" s="934">
        <v>5007</v>
      </c>
      <c r="G679" s="934">
        <v>4939</v>
      </c>
      <c r="H679" s="934">
        <v>4998</v>
      </c>
    </row>
    <row r="680" spans="1:8">
      <c r="A680" t="s">
        <v>1782</v>
      </c>
      <c r="B680" t="s">
        <v>1974</v>
      </c>
      <c r="C680" s="134">
        <v>9495</v>
      </c>
      <c r="D680" s="134">
        <v>8590</v>
      </c>
      <c r="E680" s="134">
        <v>9211</v>
      </c>
      <c r="F680" s="934">
        <v>9495</v>
      </c>
      <c r="G680" s="934">
        <v>8590</v>
      </c>
      <c r="H680" s="934">
        <v>9211</v>
      </c>
    </row>
    <row r="681" spans="1:8">
      <c r="A681" t="s">
        <v>1296</v>
      </c>
      <c r="B681" t="s">
        <v>3066</v>
      </c>
      <c r="C681" s="134">
        <v>4585</v>
      </c>
      <c r="D681" s="134">
        <v>4665</v>
      </c>
      <c r="E681" s="134">
        <v>4684</v>
      </c>
      <c r="F681" s="934">
        <v>4585</v>
      </c>
      <c r="G681" s="934">
        <v>4665</v>
      </c>
      <c r="H681" s="934">
        <v>4684</v>
      </c>
    </row>
    <row r="682" spans="1:8">
      <c r="A682" t="s">
        <v>2266</v>
      </c>
      <c r="B682" t="s">
        <v>3023</v>
      </c>
      <c r="C682" s="134">
        <v>4401</v>
      </c>
      <c r="D682" s="134">
        <v>4382</v>
      </c>
      <c r="E682" s="134">
        <v>4473</v>
      </c>
      <c r="F682" s="934">
        <v>4401</v>
      </c>
      <c r="G682" s="934">
        <v>4381</v>
      </c>
      <c r="H682" s="934">
        <v>4473</v>
      </c>
    </row>
    <row r="683" spans="1:8">
      <c r="A683" t="s">
        <v>1036</v>
      </c>
      <c r="B683" t="s">
        <v>2563</v>
      </c>
      <c r="C683" s="134">
        <v>4608</v>
      </c>
      <c r="D683" s="134">
        <v>4598</v>
      </c>
      <c r="E683" s="134">
        <v>4618</v>
      </c>
      <c r="F683" s="934">
        <v>4608</v>
      </c>
      <c r="G683" s="934">
        <v>4598</v>
      </c>
      <c r="H683" s="934">
        <v>4618</v>
      </c>
    </row>
    <row r="684" spans="1:8">
      <c r="A684" t="s">
        <v>199</v>
      </c>
      <c r="B684" t="s">
        <v>2729</v>
      </c>
      <c r="C684" s="134">
        <v>4618</v>
      </c>
      <c r="D684" s="134">
        <v>4632</v>
      </c>
      <c r="E684" s="134">
        <v>4632</v>
      </c>
      <c r="F684" s="934">
        <v>4618</v>
      </c>
      <c r="G684" s="934">
        <v>4632</v>
      </c>
      <c r="H684" s="934">
        <v>4632</v>
      </c>
    </row>
    <row r="685" spans="1:8">
      <c r="A685" t="s">
        <v>2896</v>
      </c>
      <c r="B685" t="s">
        <v>931</v>
      </c>
      <c r="C685" s="134">
        <v>4745</v>
      </c>
      <c r="D685" s="134">
        <v>4812</v>
      </c>
      <c r="E685" s="134">
        <v>4851</v>
      </c>
      <c r="F685" s="934">
        <v>4745</v>
      </c>
      <c r="G685" s="934">
        <v>4812</v>
      </c>
      <c r="H685" s="934">
        <v>4851</v>
      </c>
    </row>
    <row r="686" spans="1:8">
      <c r="A686" t="s">
        <v>2978</v>
      </c>
      <c r="B686" t="s">
        <v>1975</v>
      </c>
      <c r="C686" s="134">
        <v>4737</v>
      </c>
      <c r="D686" s="134">
        <v>4713</v>
      </c>
      <c r="E686" s="134">
        <v>4709</v>
      </c>
      <c r="F686" s="934">
        <v>4737</v>
      </c>
      <c r="G686" s="934">
        <v>4713</v>
      </c>
      <c r="H686" s="934">
        <v>4709</v>
      </c>
    </row>
    <row r="687" spans="1:8">
      <c r="A687" t="s">
        <v>2899</v>
      </c>
      <c r="B687" t="s">
        <v>2555</v>
      </c>
      <c r="C687" s="134">
        <v>4902</v>
      </c>
      <c r="D687" s="134">
        <v>5111</v>
      </c>
      <c r="E687" s="134">
        <v>5072</v>
      </c>
      <c r="F687" s="934">
        <v>4902</v>
      </c>
      <c r="G687" s="934">
        <v>5111</v>
      </c>
      <c r="H687" s="934">
        <v>5071</v>
      </c>
    </row>
    <row r="688" spans="1:8">
      <c r="A688" t="s">
        <v>1475</v>
      </c>
      <c r="B688" t="s">
        <v>1976</v>
      </c>
      <c r="C688" s="134">
        <v>4924</v>
      </c>
      <c r="D688" s="134">
        <v>5190</v>
      </c>
      <c r="E688" s="134">
        <v>5086</v>
      </c>
      <c r="F688" s="934">
        <v>4924</v>
      </c>
      <c r="G688" s="934">
        <v>5190</v>
      </c>
      <c r="H688" s="934">
        <v>5086</v>
      </c>
    </row>
    <row r="689" spans="1:8">
      <c r="A689" t="s">
        <v>2156</v>
      </c>
      <c r="B689" t="s">
        <v>727</v>
      </c>
      <c r="C689" s="134">
        <v>4433</v>
      </c>
      <c r="D689" s="134">
        <v>4443</v>
      </c>
      <c r="E689" s="134">
        <v>4501</v>
      </c>
      <c r="F689" s="934">
        <v>4433</v>
      </c>
      <c r="G689" s="934">
        <v>4443</v>
      </c>
      <c r="H689" s="934">
        <v>4501</v>
      </c>
    </row>
    <row r="690" spans="1:8">
      <c r="A690" t="s">
        <v>1536</v>
      </c>
      <c r="B690" t="s">
        <v>1977</v>
      </c>
      <c r="C690" s="134">
        <v>4683</v>
      </c>
      <c r="D690" s="134">
        <v>5198</v>
      </c>
      <c r="E690" s="134">
        <v>4716</v>
      </c>
      <c r="F690" s="934">
        <v>4683</v>
      </c>
      <c r="G690" s="934">
        <v>5198</v>
      </c>
      <c r="H690" s="934">
        <v>4716</v>
      </c>
    </row>
    <row r="691" spans="1:8">
      <c r="A691" t="s">
        <v>2900</v>
      </c>
      <c r="B691" t="s">
        <v>1978</v>
      </c>
      <c r="C691" s="134">
        <v>4635</v>
      </c>
      <c r="D691" s="134">
        <v>4612</v>
      </c>
      <c r="E691" s="134">
        <v>4612</v>
      </c>
      <c r="F691" s="934">
        <v>4635</v>
      </c>
      <c r="G691" s="934">
        <v>4612</v>
      </c>
      <c r="H691" s="934">
        <v>4612</v>
      </c>
    </row>
    <row r="692" spans="1:8">
      <c r="A692" t="s">
        <v>2513</v>
      </c>
      <c r="B692" t="s">
        <v>1979</v>
      </c>
      <c r="C692" s="134">
        <v>4467</v>
      </c>
      <c r="D692" s="134">
        <v>4749</v>
      </c>
      <c r="E692" s="134">
        <v>4557</v>
      </c>
      <c r="F692" s="934">
        <v>4466</v>
      </c>
      <c r="G692" s="934">
        <v>4749</v>
      </c>
      <c r="H692" s="934">
        <v>4556</v>
      </c>
    </row>
    <row r="693" spans="1:8">
      <c r="A693" t="s">
        <v>1046</v>
      </c>
      <c r="B693" t="s">
        <v>1980</v>
      </c>
      <c r="C693" s="134">
        <v>4372</v>
      </c>
      <c r="D693" s="134">
        <v>4518</v>
      </c>
      <c r="E693" s="134">
        <v>4550</v>
      </c>
      <c r="F693" s="934">
        <v>4372</v>
      </c>
      <c r="G693" s="934">
        <v>4518</v>
      </c>
      <c r="H693" s="934">
        <v>4550</v>
      </c>
    </row>
    <row r="694" spans="1:8">
      <c r="A694" t="s">
        <v>409</v>
      </c>
      <c r="B694" t="s">
        <v>3033</v>
      </c>
      <c r="C694" s="134">
        <v>4473</v>
      </c>
      <c r="D694" s="134">
        <v>4600</v>
      </c>
      <c r="E694" s="134">
        <v>4532</v>
      </c>
      <c r="F694" s="934">
        <v>4473</v>
      </c>
      <c r="G694" s="934">
        <v>4600</v>
      </c>
      <c r="H694" s="934">
        <v>4532</v>
      </c>
    </row>
    <row r="695" spans="1:8">
      <c r="A695" t="s">
        <v>1436</v>
      </c>
      <c r="B695" t="s">
        <v>972</v>
      </c>
      <c r="C695" s="134">
        <v>4112</v>
      </c>
      <c r="D695" s="134">
        <v>4117</v>
      </c>
      <c r="E695" s="134">
        <v>4248</v>
      </c>
      <c r="F695" s="934">
        <v>4112</v>
      </c>
      <c r="G695" s="934">
        <v>4117</v>
      </c>
      <c r="H695" s="934">
        <v>4248</v>
      </c>
    </row>
    <row r="696" spans="1:8">
      <c r="A696" t="s">
        <v>3070</v>
      </c>
      <c r="B696" t="s">
        <v>1981</v>
      </c>
      <c r="C696" s="134">
        <v>4451</v>
      </c>
      <c r="D696" s="134">
        <v>4455</v>
      </c>
      <c r="E696" s="134">
        <v>4613</v>
      </c>
      <c r="F696" s="934">
        <v>4451</v>
      </c>
      <c r="G696" s="934">
        <v>4455</v>
      </c>
      <c r="H696" s="934">
        <v>4613</v>
      </c>
    </row>
    <row r="697" spans="1:8">
      <c r="A697" t="s">
        <v>3071</v>
      </c>
      <c r="B697" t="s">
        <v>1982</v>
      </c>
      <c r="C697" s="134">
        <v>3606</v>
      </c>
      <c r="D697" s="134">
        <v>3613</v>
      </c>
      <c r="E697" s="134">
        <v>3431</v>
      </c>
      <c r="F697" s="934">
        <v>3606</v>
      </c>
      <c r="G697" s="934">
        <v>3613</v>
      </c>
      <c r="H697" s="934">
        <v>3431</v>
      </c>
    </row>
    <row r="698" spans="1:8">
      <c r="A698" t="s">
        <v>2267</v>
      </c>
      <c r="B698" t="s">
        <v>86</v>
      </c>
      <c r="C698" s="134">
        <v>4270</v>
      </c>
      <c r="D698" s="134">
        <v>4306</v>
      </c>
      <c r="E698" s="134">
        <v>4299</v>
      </c>
      <c r="F698" s="934">
        <v>4270</v>
      </c>
      <c r="G698" s="934">
        <v>4306</v>
      </c>
      <c r="H698" s="934">
        <v>4299</v>
      </c>
    </row>
    <row r="699" spans="1:8">
      <c r="A699" t="s">
        <v>3072</v>
      </c>
      <c r="B699" t="s">
        <v>1983</v>
      </c>
      <c r="C699" s="134">
        <v>4495</v>
      </c>
      <c r="D699" s="134">
        <v>4635</v>
      </c>
      <c r="E699" s="134">
        <v>4558</v>
      </c>
      <c r="F699" s="934">
        <v>4495</v>
      </c>
      <c r="G699" s="934">
        <v>4635</v>
      </c>
      <c r="H699" s="934">
        <v>4558</v>
      </c>
    </row>
    <row r="700" spans="1:8">
      <c r="A700" t="s">
        <v>3073</v>
      </c>
      <c r="B700" t="s">
        <v>1984</v>
      </c>
      <c r="C700" s="134">
        <v>4535</v>
      </c>
      <c r="D700" s="134">
        <v>4611</v>
      </c>
      <c r="E700" s="134">
        <v>4611</v>
      </c>
      <c r="F700" s="934">
        <v>4535</v>
      </c>
      <c r="G700" s="934">
        <v>4611</v>
      </c>
      <c r="H700" s="934">
        <v>4611</v>
      </c>
    </row>
    <row r="701" spans="1:8">
      <c r="A701" t="s">
        <v>1676</v>
      </c>
      <c r="B701" t="s">
        <v>1985</v>
      </c>
      <c r="C701" s="134">
        <v>10135</v>
      </c>
      <c r="D701" s="134">
        <v>12725</v>
      </c>
      <c r="E701" s="134">
        <v>10034</v>
      </c>
      <c r="F701" s="934">
        <v>10135</v>
      </c>
      <c r="G701" s="934">
        <v>12725</v>
      </c>
      <c r="H701" s="934">
        <v>10034</v>
      </c>
    </row>
    <row r="702" spans="1:8">
      <c r="A702" t="s">
        <v>1494</v>
      </c>
      <c r="B702" t="s">
        <v>1542</v>
      </c>
      <c r="C702" s="134">
        <v>5091</v>
      </c>
      <c r="D702" s="134">
        <v>4784</v>
      </c>
      <c r="E702" s="134">
        <v>4829</v>
      </c>
      <c r="F702" s="934">
        <v>5091</v>
      </c>
      <c r="G702" s="934">
        <v>4784</v>
      </c>
      <c r="H702" s="934">
        <v>4829</v>
      </c>
    </row>
    <row r="703" spans="1:8">
      <c r="A703" t="s">
        <v>1612</v>
      </c>
      <c r="B703" t="s">
        <v>1543</v>
      </c>
      <c r="C703" s="134">
        <v>4686</v>
      </c>
      <c r="D703" s="134">
        <v>4658</v>
      </c>
      <c r="E703" s="134">
        <v>4658</v>
      </c>
      <c r="F703" s="934">
        <v>4686</v>
      </c>
      <c r="G703" s="934">
        <v>4658</v>
      </c>
      <c r="H703" s="934">
        <v>4658</v>
      </c>
    </row>
    <row r="704" spans="1:8">
      <c r="A704" t="s">
        <v>910</v>
      </c>
      <c r="B704" t="s">
        <v>1544</v>
      </c>
      <c r="C704" s="134">
        <v>4902</v>
      </c>
      <c r="D704" s="134">
        <v>4875</v>
      </c>
      <c r="E704" s="134">
        <v>4875</v>
      </c>
      <c r="F704" s="934">
        <v>4901</v>
      </c>
      <c r="G704" s="934">
        <v>4875</v>
      </c>
      <c r="H704" s="934">
        <v>4875</v>
      </c>
    </row>
    <row r="705" spans="1:8">
      <c r="A705" t="s">
        <v>1685</v>
      </c>
      <c r="B705" t="s">
        <v>2564</v>
      </c>
      <c r="C705" s="134">
        <v>4536</v>
      </c>
      <c r="D705" s="134">
        <v>4255</v>
      </c>
      <c r="E705" s="134">
        <v>4606</v>
      </c>
      <c r="F705" s="934">
        <v>4536</v>
      </c>
      <c r="G705" s="934">
        <v>4255</v>
      </c>
      <c r="H705" s="934">
        <v>4606</v>
      </c>
    </row>
    <row r="706" spans="1:8">
      <c r="A706" t="s">
        <v>1686</v>
      </c>
      <c r="B706" t="s">
        <v>2565</v>
      </c>
      <c r="C706" s="134">
        <v>5254</v>
      </c>
      <c r="D706" s="134">
        <v>6287</v>
      </c>
      <c r="E706" s="134">
        <v>5878</v>
      </c>
      <c r="F706" s="934">
        <v>5254</v>
      </c>
      <c r="G706" s="934">
        <v>6287</v>
      </c>
      <c r="H706" s="934">
        <v>5878</v>
      </c>
    </row>
    <row r="707" spans="1:8">
      <c r="A707" t="s">
        <v>1445</v>
      </c>
      <c r="B707" t="s">
        <v>2566</v>
      </c>
      <c r="C707" s="134">
        <v>4893</v>
      </c>
      <c r="D707" s="134">
        <v>4931</v>
      </c>
      <c r="E707" s="134">
        <v>4931</v>
      </c>
      <c r="F707" s="934">
        <v>4893</v>
      </c>
      <c r="G707" s="934">
        <v>4931</v>
      </c>
      <c r="H707" s="934">
        <v>4931</v>
      </c>
    </row>
    <row r="708" spans="1:8">
      <c r="A708" t="s">
        <v>1724</v>
      </c>
      <c r="B708" t="s">
        <v>2567</v>
      </c>
      <c r="C708" s="134">
        <v>5261</v>
      </c>
      <c r="D708" s="134">
        <v>5073</v>
      </c>
      <c r="E708" s="134">
        <v>5073</v>
      </c>
      <c r="F708" s="934">
        <v>5261</v>
      </c>
      <c r="G708" s="934">
        <v>5073</v>
      </c>
      <c r="H708" s="934">
        <v>5073</v>
      </c>
    </row>
    <row r="709" spans="1:8">
      <c r="A709" t="s">
        <v>2639</v>
      </c>
      <c r="B709" t="s">
        <v>1746</v>
      </c>
      <c r="C709" s="134">
        <v>4977</v>
      </c>
      <c r="D709" s="134">
        <v>5074</v>
      </c>
      <c r="E709" s="134">
        <v>5103</v>
      </c>
      <c r="F709" s="934">
        <v>4977</v>
      </c>
      <c r="G709" s="934">
        <v>5074</v>
      </c>
      <c r="H709" s="934">
        <v>5103</v>
      </c>
    </row>
    <row r="710" spans="1:8">
      <c r="A710" t="s">
        <v>1725</v>
      </c>
      <c r="B710" t="s">
        <v>2568</v>
      </c>
      <c r="C710" s="134">
        <v>5249</v>
      </c>
      <c r="D710" s="134">
        <v>5397</v>
      </c>
      <c r="E710" s="134">
        <v>5553</v>
      </c>
      <c r="F710" s="934">
        <v>5249</v>
      </c>
      <c r="G710" s="934">
        <v>5402</v>
      </c>
      <c r="H710" s="934">
        <v>5558</v>
      </c>
    </row>
    <row r="711" spans="1:8">
      <c r="A711" t="s">
        <v>1349</v>
      </c>
      <c r="B711" t="s">
        <v>1288</v>
      </c>
      <c r="C711" s="134">
        <v>4787</v>
      </c>
      <c r="D711" s="134">
        <v>4976</v>
      </c>
      <c r="E711" s="134">
        <v>5020</v>
      </c>
      <c r="F711" s="934">
        <v>4787</v>
      </c>
      <c r="G711" s="934">
        <v>4976</v>
      </c>
      <c r="H711" s="934">
        <v>5020</v>
      </c>
    </row>
    <row r="712" spans="1:8">
      <c r="A712" t="s">
        <v>378</v>
      </c>
      <c r="B712" t="s">
        <v>319</v>
      </c>
      <c r="C712" s="134">
        <v>4818</v>
      </c>
      <c r="D712" s="134">
        <v>4935</v>
      </c>
      <c r="E712" s="134">
        <v>4994</v>
      </c>
      <c r="F712" s="934">
        <v>4818</v>
      </c>
      <c r="G712" s="934">
        <v>4935</v>
      </c>
      <c r="H712" s="934">
        <v>4994</v>
      </c>
    </row>
    <row r="713" spans="1:8">
      <c r="A713" t="s">
        <v>1701</v>
      </c>
      <c r="B713" t="s">
        <v>2209</v>
      </c>
      <c r="C713" s="134">
        <v>4645</v>
      </c>
      <c r="D713" s="134">
        <v>4653</v>
      </c>
      <c r="E713" s="134">
        <v>4653</v>
      </c>
      <c r="F713" s="934">
        <v>4645</v>
      </c>
      <c r="G713" s="934">
        <v>4657</v>
      </c>
      <c r="H713" s="934">
        <v>4657</v>
      </c>
    </row>
    <row r="714" spans="1:8">
      <c r="A714" t="s">
        <v>801</v>
      </c>
      <c r="B714" t="s">
        <v>1305</v>
      </c>
      <c r="C714" s="134">
        <v>4822</v>
      </c>
      <c r="D714" s="134">
        <v>4861</v>
      </c>
      <c r="E714" s="134">
        <v>4861</v>
      </c>
      <c r="F714" s="934">
        <v>4822</v>
      </c>
      <c r="G714" s="934">
        <v>4861</v>
      </c>
      <c r="H714" s="934">
        <v>4861</v>
      </c>
    </row>
    <row r="715" spans="1:8">
      <c r="A715" t="s">
        <v>2134</v>
      </c>
      <c r="B715" t="s">
        <v>2569</v>
      </c>
      <c r="C715" s="134">
        <v>5453</v>
      </c>
      <c r="D715" s="134">
        <v>5328</v>
      </c>
      <c r="E715" s="134">
        <v>5407</v>
      </c>
      <c r="F715" s="934">
        <v>5453</v>
      </c>
      <c r="G715" s="934">
        <v>5328</v>
      </c>
      <c r="H715" s="934">
        <v>5407</v>
      </c>
    </row>
    <row r="716" spans="1:8">
      <c r="A716" t="s">
        <v>2135</v>
      </c>
      <c r="B716" t="s">
        <v>2570</v>
      </c>
      <c r="C716" s="134">
        <v>5572</v>
      </c>
      <c r="D716" s="134">
        <v>5515</v>
      </c>
      <c r="E716" s="134">
        <v>5636</v>
      </c>
      <c r="F716" s="934">
        <v>5572</v>
      </c>
      <c r="G716" s="934">
        <v>5515</v>
      </c>
      <c r="H716" s="934">
        <v>5636</v>
      </c>
    </row>
    <row r="717" spans="1:8">
      <c r="A717" t="s">
        <v>2136</v>
      </c>
      <c r="B717" t="s">
        <v>2571</v>
      </c>
      <c r="C717" s="134">
        <v>4786</v>
      </c>
      <c r="D717" s="134">
        <v>5206</v>
      </c>
      <c r="E717" s="134">
        <v>4824</v>
      </c>
      <c r="F717" s="934">
        <v>4786</v>
      </c>
      <c r="G717" s="934">
        <v>5206</v>
      </c>
      <c r="H717" s="934">
        <v>4824</v>
      </c>
    </row>
    <row r="718" spans="1:8">
      <c r="A718" t="s">
        <v>2137</v>
      </c>
      <c r="B718" t="s">
        <v>3024</v>
      </c>
      <c r="C718" s="134">
        <v>4365</v>
      </c>
      <c r="D718" s="134">
        <v>4329</v>
      </c>
      <c r="E718" s="134">
        <v>4436</v>
      </c>
      <c r="F718" s="934">
        <v>4365</v>
      </c>
      <c r="G718" s="934">
        <v>4329</v>
      </c>
      <c r="H718" s="934">
        <v>4436</v>
      </c>
    </row>
    <row r="719" spans="1:8">
      <c r="A719" t="s">
        <v>2685</v>
      </c>
      <c r="B719" t="s">
        <v>2573</v>
      </c>
      <c r="C719" s="134">
        <v>4710</v>
      </c>
      <c r="D719" s="134">
        <v>4687</v>
      </c>
      <c r="E719" s="134">
        <v>4121</v>
      </c>
      <c r="F719" s="934">
        <v>4710</v>
      </c>
      <c r="G719" s="934">
        <v>4687</v>
      </c>
      <c r="H719" s="934">
        <v>4121</v>
      </c>
    </row>
    <row r="720" spans="1:8">
      <c r="A720" t="s">
        <v>802</v>
      </c>
      <c r="B720" t="s">
        <v>1326</v>
      </c>
      <c r="C720" s="134">
        <v>4694</v>
      </c>
      <c r="D720" s="134">
        <v>4062</v>
      </c>
      <c r="E720" s="134">
        <v>4062</v>
      </c>
      <c r="F720" s="934">
        <v>4694</v>
      </c>
      <c r="G720" s="934">
        <v>4129</v>
      </c>
      <c r="H720" s="934">
        <v>4129</v>
      </c>
    </row>
    <row r="721" spans="1:8">
      <c r="A721" t="s">
        <v>570</v>
      </c>
      <c r="B721" t="s">
        <v>2574</v>
      </c>
      <c r="C721" s="134">
        <v>5484</v>
      </c>
      <c r="D721" s="134">
        <v>6694</v>
      </c>
      <c r="E721" s="134">
        <v>6030</v>
      </c>
      <c r="F721" s="934">
        <v>5484</v>
      </c>
      <c r="G721" s="934">
        <v>7012</v>
      </c>
      <c r="H721" s="934">
        <v>6012</v>
      </c>
    </row>
    <row r="722" spans="1:8">
      <c r="A722" t="s">
        <v>803</v>
      </c>
      <c r="B722" t="s">
        <v>493</v>
      </c>
      <c r="C722" s="134">
        <v>4928</v>
      </c>
      <c r="D722" s="134">
        <v>5348</v>
      </c>
      <c r="E722" s="134">
        <v>5583</v>
      </c>
      <c r="F722" s="934">
        <v>4928</v>
      </c>
      <c r="G722" s="934">
        <v>5468</v>
      </c>
      <c r="H722" s="934">
        <v>5557</v>
      </c>
    </row>
    <row r="723" spans="1:8">
      <c r="A723" t="s">
        <v>571</v>
      </c>
      <c r="B723" t="s">
        <v>2575</v>
      </c>
      <c r="C723" s="134">
        <v>4442</v>
      </c>
      <c r="D723" s="134">
        <v>4313</v>
      </c>
      <c r="E723" s="134">
        <v>4313</v>
      </c>
      <c r="F723" s="934">
        <v>4442</v>
      </c>
      <c r="G723" s="934">
        <v>4426</v>
      </c>
      <c r="H723" s="934">
        <v>4426</v>
      </c>
    </row>
    <row r="724" spans="1:8">
      <c r="A724" t="s">
        <v>410</v>
      </c>
      <c r="B724" t="s">
        <v>1291</v>
      </c>
      <c r="C724" s="134">
        <v>4597</v>
      </c>
      <c r="D724" s="134">
        <v>4772</v>
      </c>
      <c r="E724" s="134">
        <v>4777</v>
      </c>
      <c r="F724" s="934">
        <v>4597</v>
      </c>
      <c r="G724" s="934">
        <v>4772</v>
      </c>
      <c r="H724" s="934">
        <v>4777</v>
      </c>
    </row>
    <row r="725" spans="1:8">
      <c r="A725" t="s">
        <v>572</v>
      </c>
      <c r="B725" t="s">
        <v>2576</v>
      </c>
      <c r="C725" s="134">
        <v>4613</v>
      </c>
      <c r="D725" s="134">
        <v>4407</v>
      </c>
      <c r="E725" s="134">
        <v>4407</v>
      </c>
      <c r="F725" s="934">
        <v>4613</v>
      </c>
      <c r="G725" s="934">
        <v>4489</v>
      </c>
      <c r="H725" s="934">
        <v>4489</v>
      </c>
    </row>
    <row r="726" spans="1:8">
      <c r="A726" t="s">
        <v>573</v>
      </c>
      <c r="B726" t="s">
        <v>2577</v>
      </c>
      <c r="C726" s="134">
        <v>4525</v>
      </c>
      <c r="D726" s="134">
        <v>4599</v>
      </c>
      <c r="E726" s="134">
        <v>4599</v>
      </c>
      <c r="F726" s="934">
        <v>4525</v>
      </c>
      <c r="G726" s="934">
        <v>4608</v>
      </c>
      <c r="H726" s="934">
        <v>4608</v>
      </c>
    </row>
    <row r="727" spans="1:8">
      <c r="A727" t="s">
        <v>877</v>
      </c>
      <c r="B727" t="s">
        <v>1003</v>
      </c>
      <c r="C727" s="134">
        <v>3925</v>
      </c>
      <c r="D727" s="134">
        <v>3655</v>
      </c>
      <c r="E727" s="134">
        <v>3753</v>
      </c>
      <c r="F727" s="934">
        <v>3925</v>
      </c>
      <c r="G727" s="934">
        <v>3800</v>
      </c>
      <c r="H727" s="934">
        <v>3914</v>
      </c>
    </row>
    <row r="728" spans="1:8">
      <c r="A728" t="s">
        <v>574</v>
      </c>
      <c r="B728" t="s">
        <v>2578</v>
      </c>
      <c r="C728" s="134">
        <v>5281</v>
      </c>
      <c r="D728" s="134">
        <v>5820</v>
      </c>
      <c r="E728" s="134">
        <v>5820</v>
      </c>
      <c r="F728" s="934">
        <v>5281</v>
      </c>
      <c r="G728" s="934">
        <v>5820</v>
      </c>
      <c r="H728" s="934">
        <v>5820</v>
      </c>
    </row>
    <row r="729" spans="1:8">
      <c r="A729" t="s">
        <v>575</v>
      </c>
      <c r="B729" t="s">
        <v>339</v>
      </c>
      <c r="C729" s="134">
        <v>4553</v>
      </c>
      <c r="D729" s="134">
        <v>4542</v>
      </c>
      <c r="E729" s="134">
        <v>4542</v>
      </c>
      <c r="F729" s="934">
        <v>4553</v>
      </c>
      <c r="G729" s="934">
        <v>4542</v>
      </c>
      <c r="H729" s="934">
        <v>4542</v>
      </c>
    </row>
    <row r="730" spans="1:8">
      <c r="A730" t="s">
        <v>2754</v>
      </c>
      <c r="B730" t="s">
        <v>1257</v>
      </c>
      <c r="C730" s="134">
        <v>4351</v>
      </c>
      <c r="D730" s="134">
        <v>4457</v>
      </c>
      <c r="E730" s="134">
        <v>4447</v>
      </c>
      <c r="F730" s="934">
        <v>4351</v>
      </c>
      <c r="G730" s="934">
        <v>4457</v>
      </c>
      <c r="H730" s="934">
        <v>4447</v>
      </c>
    </row>
    <row r="731" spans="1:8">
      <c r="A731" t="s">
        <v>2761</v>
      </c>
      <c r="B731" t="s">
        <v>3060</v>
      </c>
      <c r="C731" s="134">
        <v>4431</v>
      </c>
      <c r="D731" s="134">
        <v>4468</v>
      </c>
      <c r="E731" s="134">
        <v>4468</v>
      </c>
      <c r="F731" s="934">
        <v>4431</v>
      </c>
      <c r="G731" s="934">
        <v>4468</v>
      </c>
      <c r="H731" s="934">
        <v>4468</v>
      </c>
    </row>
    <row r="732" spans="1:8">
      <c r="A732" t="s">
        <v>20</v>
      </c>
      <c r="B732" t="s">
        <v>340</v>
      </c>
      <c r="C732" s="134">
        <v>4519</v>
      </c>
      <c r="D732" s="134">
        <v>4700</v>
      </c>
      <c r="E732" s="134">
        <v>4619</v>
      </c>
      <c r="F732" s="934">
        <v>4519</v>
      </c>
      <c r="G732" s="934">
        <v>4700</v>
      </c>
      <c r="H732" s="934">
        <v>4619</v>
      </c>
    </row>
    <row r="733" spans="1:8">
      <c r="A733" t="s">
        <v>804</v>
      </c>
      <c r="B733" t="s">
        <v>2877</v>
      </c>
      <c r="C733" s="134">
        <v>4276</v>
      </c>
      <c r="D733" s="134">
        <v>4379</v>
      </c>
      <c r="E733" s="134">
        <v>4592</v>
      </c>
      <c r="F733" s="934">
        <v>4276</v>
      </c>
      <c r="G733" s="934">
        <v>4379</v>
      </c>
      <c r="H733" s="934">
        <v>4592</v>
      </c>
    </row>
    <row r="734" spans="1:8">
      <c r="A734" t="s">
        <v>21</v>
      </c>
      <c r="B734" t="s">
        <v>341</v>
      </c>
      <c r="C734" s="134">
        <v>4582</v>
      </c>
      <c r="D734" s="134">
        <v>5186</v>
      </c>
      <c r="E734" s="134">
        <v>4911</v>
      </c>
      <c r="F734" s="934">
        <v>4582</v>
      </c>
      <c r="G734" s="934">
        <v>5186</v>
      </c>
      <c r="H734" s="934">
        <v>4911</v>
      </c>
    </row>
    <row r="735" spans="1:8">
      <c r="A735" t="s">
        <v>2383</v>
      </c>
      <c r="B735" t="s">
        <v>93</v>
      </c>
      <c r="C735" s="134">
        <v>4509</v>
      </c>
      <c r="D735" s="134">
        <v>4444</v>
      </c>
      <c r="E735" s="134">
        <v>4477</v>
      </c>
      <c r="F735" s="934">
        <v>4509</v>
      </c>
      <c r="G735" s="934">
        <v>4444</v>
      </c>
      <c r="H735" s="934">
        <v>4477</v>
      </c>
    </row>
    <row r="736" spans="1:8">
      <c r="A736" t="s">
        <v>22</v>
      </c>
      <c r="B736" t="s">
        <v>342</v>
      </c>
      <c r="C736" s="134">
        <v>4500</v>
      </c>
      <c r="D736" s="134">
        <v>4408</v>
      </c>
      <c r="E736" s="134">
        <v>4582</v>
      </c>
      <c r="F736" s="934">
        <v>4500</v>
      </c>
      <c r="G736" s="934">
        <v>4408</v>
      </c>
      <c r="H736" s="934">
        <v>4582</v>
      </c>
    </row>
    <row r="737" spans="1:8">
      <c r="A737" t="s">
        <v>1159</v>
      </c>
      <c r="B737" t="s">
        <v>2609</v>
      </c>
      <c r="C737" s="134">
        <v>4483</v>
      </c>
      <c r="D737" s="134">
        <v>4557</v>
      </c>
      <c r="E737" s="134">
        <v>4550</v>
      </c>
      <c r="F737" s="934">
        <v>4483</v>
      </c>
      <c r="G737" s="934">
        <v>4557</v>
      </c>
      <c r="H737" s="934">
        <v>4550</v>
      </c>
    </row>
    <row r="738" spans="1:8">
      <c r="A738" t="s">
        <v>2268</v>
      </c>
      <c r="B738" t="s">
        <v>3067</v>
      </c>
      <c r="C738" s="134">
        <v>4150</v>
      </c>
      <c r="D738" s="134">
        <v>5148</v>
      </c>
      <c r="E738" s="134">
        <v>5042</v>
      </c>
      <c r="F738" s="934">
        <v>4150</v>
      </c>
      <c r="G738" s="934">
        <v>5148</v>
      </c>
      <c r="H738" s="934">
        <v>5042</v>
      </c>
    </row>
    <row r="739" spans="1:8">
      <c r="A739" t="s">
        <v>1736</v>
      </c>
      <c r="B739" t="s">
        <v>664</v>
      </c>
      <c r="C739" s="134">
        <v>4757</v>
      </c>
      <c r="D739" s="134">
        <v>4872</v>
      </c>
      <c r="E739" s="134">
        <v>4740</v>
      </c>
      <c r="F739" s="934">
        <v>4757</v>
      </c>
      <c r="G739" s="934">
        <v>4872</v>
      </c>
      <c r="H739" s="934">
        <v>4740</v>
      </c>
    </row>
    <row r="740" spans="1:8">
      <c r="A740" t="s">
        <v>2145</v>
      </c>
      <c r="B740" t="s">
        <v>343</v>
      </c>
      <c r="C740" s="134">
        <v>4561</v>
      </c>
      <c r="D740" s="134">
        <v>4760</v>
      </c>
      <c r="E740" s="134">
        <v>4684</v>
      </c>
      <c r="F740" s="934">
        <v>4561</v>
      </c>
      <c r="G740" s="934">
        <v>4760</v>
      </c>
      <c r="H740" s="934">
        <v>4684</v>
      </c>
    </row>
    <row r="741" spans="1:8">
      <c r="A741" t="s">
        <v>2637</v>
      </c>
      <c r="B741" t="s">
        <v>2657</v>
      </c>
      <c r="C741" s="134">
        <v>6440</v>
      </c>
      <c r="D741" s="134">
        <v>7419</v>
      </c>
      <c r="E741" s="134">
        <v>6727</v>
      </c>
      <c r="F741" s="934">
        <v>6440</v>
      </c>
      <c r="G741" s="934">
        <v>7419</v>
      </c>
      <c r="H741" s="934">
        <v>6727</v>
      </c>
    </row>
    <row r="742" spans="1:8">
      <c r="A742" t="s">
        <v>464</v>
      </c>
      <c r="B742" t="s">
        <v>345</v>
      </c>
      <c r="C742" s="134">
        <v>4886</v>
      </c>
      <c r="D742" s="134">
        <v>5677</v>
      </c>
      <c r="E742" s="134">
        <v>5207</v>
      </c>
      <c r="F742" s="934">
        <v>4886</v>
      </c>
      <c r="G742" s="934">
        <v>5677</v>
      </c>
      <c r="H742" s="934">
        <v>5207</v>
      </c>
    </row>
    <row r="743" spans="1:8">
      <c r="A743" t="s">
        <v>2858</v>
      </c>
      <c r="B743" t="s">
        <v>346</v>
      </c>
      <c r="C743" s="134">
        <v>4633</v>
      </c>
      <c r="D743" s="134">
        <v>4597</v>
      </c>
      <c r="E743" s="134">
        <v>4597</v>
      </c>
      <c r="F743" s="934">
        <v>4632</v>
      </c>
      <c r="G743" s="934">
        <v>4597</v>
      </c>
      <c r="H743" s="934">
        <v>4597</v>
      </c>
    </row>
    <row r="744" spans="1:8">
      <c r="A744" t="s">
        <v>1337</v>
      </c>
      <c r="B744" t="s">
        <v>2658</v>
      </c>
      <c r="C744" s="134">
        <v>4705</v>
      </c>
      <c r="D744" s="134">
        <v>4763</v>
      </c>
      <c r="E744" s="134">
        <v>4746</v>
      </c>
      <c r="F744" s="934">
        <v>4705</v>
      </c>
      <c r="G744" s="934">
        <v>4763</v>
      </c>
      <c r="H744" s="934">
        <v>4746</v>
      </c>
    </row>
    <row r="745" spans="1:8">
      <c r="A745" t="s">
        <v>1338</v>
      </c>
      <c r="B745" t="s">
        <v>348</v>
      </c>
      <c r="C745" s="134">
        <v>4612</v>
      </c>
      <c r="D745" s="134">
        <v>4748</v>
      </c>
      <c r="E745" s="134">
        <v>4746</v>
      </c>
      <c r="F745" s="934">
        <v>4612</v>
      </c>
      <c r="G745" s="934">
        <v>4748</v>
      </c>
      <c r="H745" s="934">
        <v>4746</v>
      </c>
    </row>
    <row r="746" spans="1:8">
      <c r="A746" t="s">
        <v>2753</v>
      </c>
      <c r="B746" t="s">
        <v>1256</v>
      </c>
      <c r="C746" s="134">
        <v>4667</v>
      </c>
      <c r="D746" s="134">
        <v>4689</v>
      </c>
      <c r="E746" s="134">
        <v>4689</v>
      </c>
      <c r="F746" s="934">
        <v>4668</v>
      </c>
      <c r="G746" s="934">
        <v>4689</v>
      </c>
      <c r="H746" s="934">
        <v>4689</v>
      </c>
    </row>
    <row r="747" spans="1:8">
      <c r="A747" t="s">
        <v>619</v>
      </c>
      <c r="B747" t="s">
        <v>349</v>
      </c>
      <c r="C747" s="134">
        <v>8152</v>
      </c>
      <c r="D747" s="134">
        <v>9385</v>
      </c>
      <c r="E747" s="134">
        <v>8282</v>
      </c>
      <c r="F747" s="934">
        <v>8152</v>
      </c>
      <c r="G747" s="934">
        <v>9385</v>
      </c>
      <c r="H747" s="934">
        <v>8282</v>
      </c>
    </row>
    <row r="748" spans="1:8">
      <c r="A748" t="s">
        <v>632</v>
      </c>
      <c r="B748" t="s">
        <v>350</v>
      </c>
      <c r="C748" s="134">
        <v>5740</v>
      </c>
      <c r="D748" s="134">
        <v>5979</v>
      </c>
      <c r="E748" s="134">
        <v>5441</v>
      </c>
      <c r="F748" s="934">
        <v>5740</v>
      </c>
      <c r="G748" s="934">
        <v>5979</v>
      </c>
      <c r="H748" s="934">
        <v>5441</v>
      </c>
    </row>
    <row r="749" spans="1:8">
      <c r="A749" t="s">
        <v>633</v>
      </c>
      <c r="B749" t="s">
        <v>351</v>
      </c>
      <c r="C749" s="134">
        <v>5465</v>
      </c>
      <c r="D749" s="134">
        <v>6859</v>
      </c>
      <c r="E749" s="134">
        <v>5756</v>
      </c>
      <c r="F749" s="934">
        <v>5465</v>
      </c>
      <c r="G749" s="934">
        <v>6859</v>
      </c>
      <c r="H749" s="934">
        <v>5756</v>
      </c>
    </row>
    <row r="750" spans="1:8">
      <c r="A750" t="s">
        <v>191</v>
      </c>
      <c r="B750" t="s">
        <v>3098</v>
      </c>
      <c r="C750" s="134">
        <v>4553</v>
      </c>
      <c r="D750" s="134">
        <v>4572</v>
      </c>
      <c r="E750" s="134">
        <v>4572</v>
      </c>
      <c r="F750" s="934">
        <v>4553</v>
      </c>
      <c r="G750" s="934">
        <v>4572</v>
      </c>
      <c r="H750" s="934">
        <v>4572</v>
      </c>
    </row>
    <row r="751" spans="1:8">
      <c r="A751" t="s">
        <v>869</v>
      </c>
      <c r="B751" t="s">
        <v>352</v>
      </c>
      <c r="C751" s="134">
        <v>4483</v>
      </c>
      <c r="D751" s="134">
        <v>4681</v>
      </c>
      <c r="E751" s="134">
        <v>4545</v>
      </c>
      <c r="F751" s="934">
        <v>4483</v>
      </c>
      <c r="G751" s="934">
        <v>4691</v>
      </c>
      <c r="H751" s="934">
        <v>4544</v>
      </c>
    </row>
    <row r="752" spans="1:8">
      <c r="A752" t="s">
        <v>1087</v>
      </c>
      <c r="B752" t="s">
        <v>353</v>
      </c>
      <c r="C752" s="134">
        <v>4414</v>
      </c>
      <c r="D752" s="134">
        <v>4794</v>
      </c>
      <c r="E752" s="134">
        <v>4528</v>
      </c>
      <c r="F752" s="934">
        <v>4414</v>
      </c>
      <c r="G752" s="934">
        <v>4794</v>
      </c>
      <c r="H752" s="934">
        <v>4528</v>
      </c>
    </row>
    <row r="753" spans="1:8">
      <c r="A753" t="s">
        <v>2452</v>
      </c>
      <c r="B753" t="s">
        <v>354</v>
      </c>
      <c r="C753" s="134">
        <v>4946</v>
      </c>
      <c r="D753" s="134">
        <v>5048</v>
      </c>
      <c r="E753" s="134">
        <v>5090</v>
      </c>
      <c r="F753" s="934">
        <v>4946</v>
      </c>
      <c r="G753" s="934">
        <v>5048</v>
      </c>
      <c r="H753" s="934">
        <v>5090</v>
      </c>
    </row>
    <row r="754" spans="1:8">
      <c r="A754" t="s">
        <v>2453</v>
      </c>
      <c r="B754" t="s">
        <v>355</v>
      </c>
      <c r="C754" s="134">
        <v>4450</v>
      </c>
      <c r="D754" s="134">
        <v>4675</v>
      </c>
      <c r="E754" s="134">
        <v>4579</v>
      </c>
      <c r="F754" s="934">
        <v>4450</v>
      </c>
      <c r="G754" s="934">
        <v>4675</v>
      </c>
      <c r="H754" s="934">
        <v>4579</v>
      </c>
    </row>
    <row r="755" spans="1:8">
      <c r="A755" t="s">
        <v>237</v>
      </c>
      <c r="B755" t="s">
        <v>1123</v>
      </c>
      <c r="C755" s="134">
        <v>4704</v>
      </c>
      <c r="D755" s="134">
        <v>4819</v>
      </c>
      <c r="E755" s="134">
        <v>4751</v>
      </c>
      <c r="F755" s="934">
        <v>4704</v>
      </c>
      <c r="G755" s="934">
        <v>4819</v>
      </c>
      <c r="H755" s="934">
        <v>4751</v>
      </c>
    </row>
    <row r="756" spans="1:8">
      <c r="A756" t="s">
        <v>1097</v>
      </c>
      <c r="B756" t="s">
        <v>356</v>
      </c>
      <c r="C756" s="134">
        <v>4534</v>
      </c>
      <c r="D756" s="134">
        <v>4573</v>
      </c>
      <c r="E756" s="134">
        <v>4695</v>
      </c>
      <c r="F756" s="934">
        <v>4534</v>
      </c>
      <c r="G756" s="934">
        <v>4573</v>
      </c>
      <c r="H756" s="934">
        <v>4695</v>
      </c>
    </row>
    <row r="757" spans="1:8">
      <c r="A757" t="s">
        <v>1098</v>
      </c>
      <c r="B757" t="s">
        <v>357</v>
      </c>
      <c r="C757" s="134">
        <v>4552</v>
      </c>
      <c r="D757" s="134">
        <v>4577</v>
      </c>
      <c r="E757" s="134">
        <v>4572</v>
      </c>
      <c r="F757" s="934">
        <v>4552</v>
      </c>
      <c r="G757" s="934">
        <v>4577</v>
      </c>
      <c r="H757" s="934">
        <v>4572</v>
      </c>
    </row>
    <row r="758" spans="1:8">
      <c r="A758" t="s">
        <v>1099</v>
      </c>
      <c r="B758" t="s">
        <v>358</v>
      </c>
      <c r="C758" s="134">
        <v>5059</v>
      </c>
      <c r="D758" s="134">
        <v>5163</v>
      </c>
      <c r="E758" s="134">
        <v>5163</v>
      </c>
      <c r="F758" s="934">
        <v>5059</v>
      </c>
      <c r="G758" s="934">
        <v>5163</v>
      </c>
      <c r="H758" s="934">
        <v>5163</v>
      </c>
    </row>
    <row r="759" spans="1:8">
      <c r="A759" t="s">
        <v>2225</v>
      </c>
      <c r="B759" t="s">
        <v>2121</v>
      </c>
      <c r="C759" s="134">
        <v>4749</v>
      </c>
      <c r="D759" s="134">
        <v>4455</v>
      </c>
      <c r="E759" s="134">
        <v>4457</v>
      </c>
      <c r="F759" s="934">
        <v>4749</v>
      </c>
      <c r="G759" s="934">
        <v>4454</v>
      </c>
      <c r="H759" s="934">
        <v>4457</v>
      </c>
    </row>
    <row r="760" spans="1:8">
      <c r="A760" t="s">
        <v>1100</v>
      </c>
      <c r="B760" t="s">
        <v>359</v>
      </c>
      <c r="C760" s="134">
        <v>4388</v>
      </c>
      <c r="D760" s="134">
        <v>4250</v>
      </c>
      <c r="E760" s="134">
        <v>4250</v>
      </c>
      <c r="F760" s="934">
        <v>4388</v>
      </c>
      <c r="G760" s="934">
        <v>4250</v>
      </c>
      <c r="H760" s="934">
        <v>4250</v>
      </c>
    </row>
    <row r="761" spans="1:8">
      <c r="A761" t="s">
        <v>1101</v>
      </c>
      <c r="B761" t="s">
        <v>2659</v>
      </c>
      <c r="C761" s="134">
        <v>4588</v>
      </c>
      <c r="D761" s="134">
        <v>4816</v>
      </c>
      <c r="E761" s="134">
        <v>4828</v>
      </c>
      <c r="F761" s="934">
        <v>4588</v>
      </c>
      <c r="G761" s="934">
        <v>4816</v>
      </c>
      <c r="H761" s="934">
        <v>4828</v>
      </c>
    </row>
    <row r="762" spans="1:8">
      <c r="A762" t="s">
        <v>1655</v>
      </c>
      <c r="B762" t="s">
        <v>156</v>
      </c>
      <c r="C762" s="134">
        <v>4452</v>
      </c>
      <c r="D762" s="134">
        <v>4571</v>
      </c>
      <c r="E762" s="134">
        <v>4456</v>
      </c>
      <c r="F762" s="934">
        <v>4452</v>
      </c>
      <c r="G762" s="934">
        <v>4571</v>
      </c>
      <c r="H762" s="934">
        <v>4456</v>
      </c>
    </row>
    <row r="763" spans="1:8">
      <c r="A763" t="s">
        <v>1248</v>
      </c>
      <c r="B763" t="s">
        <v>361</v>
      </c>
      <c r="C763" s="134">
        <v>4600</v>
      </c>
      <c r="D763" s="134">
        <v>3990</v>
      </c>
      <c r="E763" s="134">
        <v>3982</v>
      </c>
      <c r="F763" s="934">
        <v>4600</v>
      </c>
      <c r="G763" s="934">
        <v>3990</v>
      </c>
      <c r="H763" s="934">
        <v>3982</v>
      </c>
    </row>
    <row r="764" spans="1:8">
      <c r="A764" t="s">
        <v>1249</v>
      </c>
      <c r="B764" t="s">
        <v>362</v>
      </c>
      <c r="C764" s="134">
        <v>4835</v>
      </c>
      <c r="D764" s="134">
        <v>5714</v>
      </c>
      <c r="E764" s="134">
        <v>5221</v>
      </c>
      <c r="F764" s="934">
        <v>4835</v>
      </c>
      <c r="G764" s="934">
        <v>5714</v>
      </c>
      <c r="H764" s="934">
        <v>5221</v>
      </c>
    </row>
    <row r="765" spans="1:8">
      <c r="A765" t="s">
        <v>1250</v>
      </c>
      <c r="B765" t="s">
        <v>363</v>
      </c>
      <c r="C765" s="134">
        <v>5335</v>
      </c>
      <c r="D765" s="134">
        <v>5715</v>
      </c>
      <c r="E765" s="134">
        <v>5563</v>
      </c>
      <c r="F765" s="934">
        <v>5335</v>
      </c>
      <c r="G765" s="934">
        <v>5715</v>
      </c>
      <c r="H765" s="934">
        <v>5563</v>
      </c>
    </row>
    <row r="766" spans="1:8">
      <c r="A766" t="s">
        <v>2902</v>
      </c>
      <c r="B766" t="s">
        <v>2559</v>
      </c>
      <c r="C766" s="134">
        <v>4563</v>
      </c>
      <c r="D766" s="134">
        <v>4777</v>
      </c>
      <c r="E766" s="134">
        <v>4618</v>
      </c>
      <c r="F766" s="934">
        <v>4563</v>
      </c>
      <c r="G766" s="934">
        <v>4777</v>
      </c>
      <c r="H766" s="934">
        <v>4618</v>
      </c>
    </row>
    <row r="767" spans="1:8">
      <c r="A767" t="s">
        <v>1529</v>
      </c>
      <c r="B767" t="s">
        <v>364</v>
      </c>
      <c r="C767" s="134">
        <v>4712</v>
      </c>
      <c r="D767" s="134">
        <v>4700</v>
      </c>
      <c r="E767" s="134">
        <v>4700</v>
      </c>
      <c r="F767" s="934">
        <v>4712</v>
      </c>
      <c r="G767" s="934">
        <v>4700</v>
      </c>
      <c r="H767" s="934">
        <v>4700</v>
      </c>
    </row>
    <row r="768" spans="1:8">
      <c r="A768" t="s">
        <v>1530</v>
      </c>
      <c r="B768" t="s">
        <v>365</v>
      </c>
      <c r="C768" s="134">
        <v>4646</v>
      </c>
      <c r="D768" s="134">
        <v>4608</v>
      </c>
      <c r="E768" s="134">
        <v>4703</v>
      </c>
      <c r="F768" s="934">
        <v>4646</v>
      </c>
      <c r="G768" s="934">
        <v>4608</v>
      </c>
      <c r="H768" s="934">
        <v>4703</v>
      </c>
    </row>
    <row r="769" spans="1:8">
      <c r="A769" t="s">
        <v>1531</v>
      </c>
      <c r="B769" t="s">
        <v>471</v>
      </c>
      <c r="C769" s="134">
        <v>6111</v>
      </c>
      <c r="D769" s="134">
        <v>6715</v>
      </c>
      <c r="E769" s="134">
        <v>6622</v>
      </c>
      <c r="F769" s="934">
        <v>6111</v>
      </c>
      <c r="G769" s="934">
        <v>6715</v>
      </c>
      <c r="H769" s="934">
        <v>6622</v>
      </c>
    </row>
    <row r="770" spans="1:8">
      <c r="A770" t="s">
        <v>1532</v>
      </c>
      <c r="B770" t="s">
        <v>472</v>
      </c>
      <c r="C770" s="134">
        <v>5618</v>
      </c>
      <c r="D770" s="134">
        <v>6677</v>
      </c>
      <c r="E770" s="134">
        <v>6067</v>
      </c>
      <c r="F770" s="934">
        <v>5618</v>
      </c>
      <c r="G770" s="934">
        <v>6677</v>
      </c>
      <c r="H770" s="934">
        <v>6067</v>
      </c>
    </row>
    <row r="771" spans="1:8">
      <c r="A771" t="s">
        <v>1533</v>
      </c>
      <c r="B771" t="s">
        <v>473</v>
      </c>
      <c r="C771" s="134">
        <v>6144</v>
      </c>
      <c r="D771" s="134">
        <v>6572</v>
      </c>
      <c r="E771" s="134">
        <v>6572</v>
      </c>
      <c r="F771" s="934">
        <v>6144</v>
      </c>
      <c r="G771" s="934">
        <v>6572</v>
      </c>
      <c r="H771" s="934">
        <v>6572</v>
      </c>
    </row>
    <row r="772" spans="1:8">
      <c r="A772" t="s">
        <v>2974</v>
      </c>
      <c r="B772" t="s">
        <v>494</v>
      </c>
      <c r="C772" s="134">
        <v>4783</v>
      </c>
      <c r="D772" s="134">
        <v>5738</v>
      </c>
      <c r="E772" s="134">
        <v>5410</v>
      </c>
      <c r="F772" s="934">
        <v>4783</v>
      </c>
      <c r="G772" s="934">
        <v>5738</v>
      </c>
      <c r="H772" s="934">
        <v>5410</v>
      </c>
    </row>
    <row r="773" spans="1:8">
      <c r="A773" t="s">
        <v>805</v>
      </c>
      <c r="B773" t="s">
        <v>1130</v>
      </c>
      <c r="C773" s="134">
        <v>4660</v>
      </c>
      <c r="D773" s="134">
        <v>4691</v>
      </c>
      <c r="E773" s="134">
        <v>4788</v>
      </c>
      <c r="F773" s="934">
        <v>4660</v>
      </c>
      <c r="G773" s="934">
        <v>4691</v>
      </c>
      <c r="H773" s="934">
        <v>4788</v>
      </c>
    </row>
    <row r="774" spans="1:8">
      <c r="A774" t="s">
        <v>1703</v>
      </c>
      <c r="B774" t="s">
        <v>2211</v>
      </c>
      <c r="C774" s="134">
        <v>4717</v>
      </c>
      <c r="D774" s="134">
        <v>4794</v>
      </c>
      <c r="E774" s="134">
        <v>4794</v>
      </c>
      <c r="F774" s="934">
        <v>4717</v>
      </c>
      <c r="G774" s="934">
        <v>4794</v>
      </c>
      <c r="H774" s="934">
        <v>4794</v>
      </c>
    </row>
    <row r="775" spans="1:8">
      <c r="A775" t="s">
        <v>1656</v>
      </c>
      <c r="B775" t="s">
        <v>161</v>
      </c>
      <c r="C775" s="134">
        <v>4957</v>
      </c>
      <c r="D775" s="134">
        <v>5081</v>
      </c>
      <c r="E775" s="134">
        <v>5081</v>
      </c>
      <c r="F775" s="934">
        <v>4957</v>
      </c>
      <c r="G775" s="934">
        <v>5080</v>
      </c>
      <c r="H775" s="934">
        <v>5080</v>
      </c>
    </row>
    <row r="776" spans="1:8">
      <c r="A776" t="s">
        <v>2901</v>
      </c>
      <c r="B776" t="s">
        <v>2558</v>
      </c>
      <c r="C776" s="134">
        <v>4715</v>
      </c>
      <c r="D776" s="134">
        <v>4660</v>
      </c>
      <c r="E776" s="134">
        <v>4660</v>
      </c>
      <c r="F776" s="934">
        <v>4715</v>
      </c>
      <c r="G776" s="934">
        <v>4660</v>
      </c>
      <c r="H776" s="934">
        <v>4660</v>
      </c>
    </row>
    <row r="777" spans="1:8">
      <c r="A777" t="s">
        <v>1563</v>
      </c>
      <c r="B777" t="s">
        <v>474</v>
      </c>
      <c r="C777" s="134">
        <v>5288</v>
      </c>
      <c r="D777" s="134">
        <v>5630</v>
      </c>
      <c r="E777" s="134">
        <v>5566</v>
      </c>
      <c r="F777" s="934">
        <v>5288</v>
      </c>
      <c r="G777" s="934">
        <v>5630</v>
      </c>
      <c r="H777" s="934">
        <v>5565</v>
      </c>
    </row>
    <row r="778" spans="1:8">
      <c r="A778" t="s">
        <v>236</v>
      </c>
      <c r="B778" t="s">
        <v>2988</v>
      </c>
      <c r="C778" s="134">
        <v>4839</v>
      </c>
      <c r="D778" s="134">
        <v>4758</v>
      </c>
      <c r="E778" s="134">
        <v>4758</v>
      </c>
      <c r="F778" s="934">
        <v>4838</v>
      </c>
      <c r="G778" s="934">
        <v>4758</v>
      </c>
      <c r="H778" s="934">
        <v>4758</v>
      </c>
    </row>
    <row r="779" spans="1:8">
      <c r="A779" t="s">
        <v>2144</v>
      </c>
      <c r="B779" t="s">
        <v>2122</v>
      </c>
      <c r="C779" s="134">
        <v>5127</v>
      </c>
      <c r="D779" s="134">
        <v>4998</v>
      </c>
      <c r="E779" s="134">
        <v>4998</v>
      </c>
      <c r="F779" s="934">
        <v>5127</v>
      </c>
      <c r="G779" s="934">
        <v>4998</v>
      </c>
      <c r="H779" s="934">
        <v>4998</v>
      </c>
    </row>
    <row r="780" spans="1:8">
      <c r="A780" t="s">
        <v>1834</v>
      </c>
      <c r="B780" t="s">
        <v>475</v>
      </c>
      <c r="C780" s="134">
        <v>5638</v>
      </c>
      <c r="D780" s="134">
        <v>5408</v>
      </c>
      <c r="E780" s="134">
        <v>5408</v>
      </c>
      <c r="F780" s="934">
        <v>5638</v>
      </c>
      <c r="G780" s="934">
        <v>5408</v>
      </c>
      <c r="H780" s="934">
        <v>5408</v>
      </c>
    </row>
    <row r="781" spans="1:8">
      <c r="A781" t="s">
        <v>1835</v>
      </c>
      <c r="B781" t="s">
        <v>476</v>
      </c>
      <c r="C781" s="134">
        <v>4180</v>
      </c>
      <c r="D781" s="134">
        <v>4210</v>
      </c>
      <c r="E781" s="134">
        <v>4229</v>
      </c>
      <c r="F781" s="934">
        <v>4180</v>
      </c>
      <c r="G781" s="934">
        <v>4210</v>
      </c>
      <c r="H781" s="934">
        <v>4229</v>
      </c>
    </row>
    <row r="782" spans="1:8">
      <c r="A782" t="s">
        <v>1836</v>
      </c>
      <c r="B782" t="s">
        <v>477</v>
      </c>
      <c r="C782" s="134">
        <v>4280</v>
      </c>
      <c r="D782" s="134">
        <v>4432</v>
      </c>
      <c r="E782" s="134">
        <v>4468</v>
      </c>
      <c r="F782" s="934">
        <v>4280</v>
      </c>
      <c r="G782" s="934">
        <v>4432</v>
      </c>
      <c r="H782" s="934">
        <v>4468</v>
      </c>
    </row>
    <row r="783" spans="1:8">
      <c r="A783" t="s">
        <v>1837</v>
      </c>
      <c r="B783" t="s">
        <v>478</v>
      </c>
      <c r="C783" s="134">
        <v>4286</v>
      </c>
      <c r="D783" s="134">
        <v>4742</v>
      </c>
      <c r="E783" s="134">
        <v>4495</v>
      </c>
      <c r="F783" s="934">
        <v>4286</v>
      </c>
      <c r="G783" s="934">
        <v>4742</v>
      </c>
      <c r="H783" s="934">
        <v>4495</v>
      </c>
    </row>
    <row r="784" spans="1:8">
      <c r="A784" t="s">
        <v>1838</v>
      </c>
      <c r="B784" t="s">
        <v>479</v>
      </c>
      <c r="C784" s="134">
        <v>5171</v>
      </c>
      <c r="D784" s="134">
        <v>5066</v>
      </c>
      <c r="E784" s="134">
        <v>5039</v>
      </c>
      <c r="F784" s="934">
        <v>5171</v>
      </c>
      <c r="G784" s="934">
        <v>5066</v>
      </c>
      <c r="H784" s="934">
        <v>5039</v>
      </c>
    </row>
    <row r="785" spans="1:8">
      <c r="A785" t="s">
        <v>2140</v>
      </c>
      <c r="B785" t="s">
        <v>480</v>
      </c>
      <c r="C785" s="134">
        <v>5853</v>
      </c>
      <c r="D785" s="134">
        <v>6329</v>
      </c>
      <c r="E785" s="134">
        <v>5836</v>
      </c>
      <c r="F785" s="934">
        <v>5853</v>
      </c>
      <c r="G785" s="934">
        <v>6329</v>
      </c>
      <c r="H785" s="934">
        <v>5836</v>
      </c>
    </row>
    <row r="786" spans="1:8">
      <c r="A786" t="s">
        <v>2625</v>
      </c>
      <c r="B786" t="s">
        <v>2660</v>
      </c>
      <c r="C786" s="134">
        <v>5305</v>
      </c>
      <c r="D786" s="134">
        <v>6356</v>
      </c>
      <c r="E786" s="134">
        <v>5326</v>
      </c>
      <c r="F786" s="934">
        <v>5305</v>
      </c>
      <c r="G786" s="934">
        <v>6356</v>
      </c>
      <c r="H786" s="934">
        <v>5326</v>
      </c>
    </row>
    <row r="787" spans="1:8">
      <c r="A787" t="s">
        <v>2614</v>
      </c>
      <c r="B787" t="s">
        <v>482</v>
      </c>
      <c r="C787" s="134">
        <v>7079</v>
      </c>
      <c r="D787" s="134">
        <v>6575</v>
      </c>
      <c r="E787" s="134">
        <v>6575</v>
      </c>
      <c r="F787" s="934">
        <v>7079</v>
      </c>
      <c r="G787" s="934">
        <v>6575</v>
      </c>
      <c r="H787" s="934">
        <v>6575</v>
      </c>
    </row>
    <row r="788" spans="1:8">
      <c r="A788" t="s">
        <v>1477</v>
      </c>
      <c r="B788" t="s">
        <v>483</v>
      </c>
      <c r="C788" s="134">
        <v>4914</v>
      </c>
      <c r="D788" s="134">
        <v>4670</v>
      </c>
      <c r="E788" s="134">
        <v>4670</v>
      </c>
      <c r="F788" s="934">
        <v>4914</v>
      </c>
      <c r="G788" s="934">
        <v>4670</v>
      </c>
      <c r="H788" s="934">
        <v>4670</v>
      </c>
    </row>
    <row r="789" spans="1:8">
      <c r="A789" t="s">
        <v>790</v>
      </c>
      <c r="B789" t="s">
        <v>484</v>
      </c>
      <c r="C789" s="134">
        <v>4622</v>
      </c>
      <c r="D789" s="134">
        <v>4765</v>
      </c>
      <c r="E789" s="134">
        <v>4765</v>
      </c>
      <c r="F789" s="934">
        <v>4622</v>
      </c>
      <c r="G789" s="934">
        <v>4765</v>
      </c>
      <c r="H789" s="934">
        <v>4765</v>
      </c>
    </row>
    <row r="790" spans="1:8">
      <c r="A790" t="s">
        <v>2917</v>
      </c>
      <c r="B790" t="s">
        <v>485</v>
      </c>
      <c r="C790" s="134">
        <v>4447</v>
      </c>
      <c r="D790" s="134">
        <v>4554</v>
      </c>
      <c r="E790" s="134">
        <v>4528</v>
      </c>
      <c r="F790" s="934">
        <v>4447</v>
      </c>
      <c r="G790" s="934">
        <v>4554</v>
      </c>
      <c r="H790" s="934">
        <v>4528</v>
      </c>
    </row>
    <row r="791" spans="1:8">
      <c r="A791" t="s">
        <v>791</v>
      </c>
      <c r="B791" t="s">
        <v>486</v>
      </c>
      <c r="C791" s="134">
        <v>4455</v>
      </c>
      <c r="D791" s="134">
        <v>5163</v>
      </c>
      <c r="E791" s="134">
        <v>4581</v>
      </c>
      <c r="F791" s="934">
        <v>4455</v>
      </c>
      <c r="G791" s="934">
        <v>5163</v>
      </c>
      <c r="H791" s="934">
        <v>4581</v>
      </c>
    </row>
    <row r="792" spans="1:8">
      <c r="A792" t="s">
        <v>1992</v>
      </c>
      <c r="B792" t="s">
        <v>2545</v>
      </c>
      <c r="C792" s="134">
        <v>4667</v>
      </c>
      <c r="D792" s="134">
        <v>4671</v>
      </c>
      <c r="E792" s="134">
        <v>4700</v>
      </c>
      <c r="F792" s="934">
        <v>4667</v>
      </c>
      <c r="G792" s="934">
        <v>4671</v>
      </c>
      <c r="H792" s="934">
        <v>4700</v>
      </c>
    </row>
    <row r="793" spans="1:8">
      <c r="A793" t="s">
        <v>1380</v>
      </c>
      <c r="B793" t="s">
        <v>487</v>
      </c>
      <c r="C793" s="134">
        <v>4394</v>
      </c>
      <c r="D793" s="134">
        <v>4677</v>
      </c>
      <c r="E793" s="134">
        <v>4708</v>
      </c>
      <c r="F793" s="934">
        <v>4394</v>
      </c>
      <c r="G793" s="934">
        <v>4677</v>
      </c>
      <c r="H793" s="934">
        <v>4708</v>
      </c>
    </row>
    <row r="794" spans="1:8">
      <c r="A794" t="s">
        <v>1839</v>
      </c>
      <c r="B794" t="s">
        <v>1204</v>
      </c>
      <c r="C794" s="134">
        <v>4584</v>
      </c>
      <c r="D794" s="134">
        <v>4624</v>
      </c>
      <c r="E794" s="134">
        <v>4624</v>
      </c>
      <c r="F794" s="934">
        <v>4584</v>
      </c>
      <c r="G794" s="934">
        <v>4624</v>
      </c>
      <c r="H794" s="934">
        <v>4624</v>
      </c>
    </row>
    <row r="795" spans="1:8">
      <c r="A795" t="s">
        <v>227</v>
      </c>
      <c r="B795" t="s">
        <v>3095</v>
      </c>
      <c r="C795" s="134">
        <v>4582</v>
      </c>
      <c r="D795" s="134">
        <v>4632</v>
      </c>
      <c r="E795" s="134">
        <v>4632</v>
      </c>
      <c r="F795" s="934">
        <v>4582</v>
      </c>
      <c r="G795" s="934">
        <v>4632</v>
      </c>
      <c r="H795" s="934">
        <v>4632</v>
      </c>
    </row>
    <row r="796" spans="1:8">
      <c r="A796" t="s">
        <v>625</v>
      </c>
      <c r="B796" t="s">
        <v>151</v>
      </c>
      <c r="C796" s="134">
        <v>4649</v>
      </c>
      <c r="D796" s="134">
        <v>5523</v>
      </c>
      <c r="E796" s="134">
        <v>5462</v>
      </c>
      <c r="F796" s="934">
        <v>4649</v>
      </c>
      <c r="G796" s="934">
        <v>5523</v>
      </c>
      <c r="H796" s="934">
        <v>5462</v>
      </c>
    </row>
    <row r="797" spans="1:8">
      <c r="A797" t="s">
        <v>2496</v>
      </c>
      <c r="B797" t="s">
        <v>488</v>
      </c>
      <c r="C797" s="134">
        <v>5820</v>
      </c>
      <c r="D797" s="134">
        <v>5695</v>
      </c>
      <c r="E797" s="134">
        <v>5793</v>
      </c>
      <c r="F797" s="934">
        <v>5820</v>
      </c>
      <c r="G797" s="934">
        <v>5641</v>
      </c>
      <c r="H797" s="934">
        <v>5739</v>
      </c>
    </row>
    <row r="798" spans="1:8">
      <c r="A798" t="s">
        <v>1657</v>
      </c>
      <c r="B798" t="s">
        <v>323</v>
      </c>
      <c r="C798" s="134">
        <v>4579</v>
      </c>
      <c r="D798" s="134">
        <v>5031</v>
      </c>
      <c r="E798" s="134">
        <v>4712</v>
      </c>
      <c r="F798" s="934">
        <v>4579</v>
      </c>
      <c r="G798" s="934">
        <v>5031</v>
      </c>
      <c r="H798" s="934">
        <v>4712</v>
      </c>
    </row>
    <row r="799" spans="1:8">
      <c r="A799" t="s">
        <v>245</v>
      </c>
      <c r="B799" t="s">
        <v>2413</v>
      </c>
      <c r="C799" s="134">
        <v>5683</v>
      </c>
      <c r="D799" s="134">
        <v>5956</v>
      </c>
      <c r="E799" s="134">
        <v>5864</v>
      </c>
      <c r="F799" s="934">
        <v>5683</v>
      </c>
      <c r="G799" s="934">
        <v>5956</v>
      </c>
      <c r="H799" s="934">
        <v>5864</v>
      </c>
    </row>
    <row r="800" spans="1:8">
      <c r="A800" t="s">
        <v>1464</v>
      </c>
      <c r="B800" t="s">
        <v>489</v>
      </c>
      <c r="C800" s="134">
        <v>4736</v>
      </c>
      <c r="D800" s="134">
        <v>4738</v>
      </c>
      <c r="E800" s="134">
        <v>4879</v>
      </c>
      <c r="F800" s="934">
        <v>4736</v>
      </c>
      <c r="G800" s="934">
        <v>4738</v>
      </c>
      <c r="H800" s="934">
        <v>4879</v>
      </c>
    </row>
    <row r="801" spans="1:8">
      <c r="A801" t="s">
        <v>1465</v>
      </c>
      <c r="B801" t="s">
        <v>2661</v>
      </c>
      <c r="C801" s="134">
        <v>4703</v>
      </c>
      <c r="D801" s="134">
        <v>4809</v>
      </c>
      <c r="E801" s="134">
        <v>4806</v>
      </c>
      <c r="F801" s="934">
        <v>4703</v>
      </c>
      <c r="G801" s="934">
        <v>4810</v>
      </c>
      <c r="H801" s="934">
        <v>4807</v>
      </c>
    </row>
    <row r="802" spans="1:8">
      <c r="A802" t="s">
        <v>2883</v>
      </c>
      <c r="B802" t="s">
        <v>180</v>
      </c>
      <c r="C802" s="134">
        <v>5808</v>
      </c>
      <c r="D802" s="134">
        <v>6121</v>
      </c>
      <c r="E802" s="134">
        <v>5861</v>
      </c>
      <c r="F802" s="934">
        <v>5808</v>
      </c>
      <c r="G802" s="934">
        <v>6121</v>
      </c>
      <c r="H802" s="934">
        <v>5861</v>
      </c>
    </row>
    <row r="803" spans="1:8">
      <c r="A803" t="s">
        <v>896</v>
      </c>
      <c r="B803" t="s">
        <v>181</v>
      </c>
      <c r="C803" s="134">
        <v>4895</v>
      </c>
      <c r="D803" s="134">
        <v>5293</v>
      </c>
      <c r="E803" s="134">
        <v>5497</v>
      </c>
      <c r="F803" s="934">
        <v>4895</v>
      </c>
      <c r="G803" s="934">
        <v>5293</v>
      </c>
      <c r="H803" s="934">
        <v>5497</v>
      </c>
    </row>
    <row r="804" spans="1:8">
      <c r="A804" t="s">
        <v>135</v>
      </c>
      <c r="B804" t="s">
        <v>2428</v>
      </c>
      <c r="C804" s="134">
        <v>4392</v>
      </c>
      <c r="D804" s="134">
        <v>4173</v>
      </c>
      <c r="E804" s="134">
        <v>4321</v>
      </c>
      <c r="F804" s="934">
        <v>4392</v>
      </c>
      <c r="G804" s="934">
        <v>4173</v>
      </c>
      <c r="H804" s="934">
        <v>4321</v>
      </c>
    </row>
    <row r="805" spans="1:8">
      <c r="A805" t="s">
        <v>3051</v>
      </c>
      <c r="B805" t="s">
        <v>3096</v>
      </c>
      <c r="C805" s="134">
        <v>4486</v>
      </c>
      <c r="D805" s="134">
        <v>4949</v>
      </c>
      <c r="E805" s="134">
        <v>4496</v>
      </c>
      <c r="F805" s="934">
        <v>4486</v>
      </c>
      <c r="G805" s="934">
        <v>4949</v>
      </c>
      <c r="H805" s="934">
        <v>4496</v>
      </c>
    </row>
    <row r="806" spans="1:8">
      <c r="A806" t="s">
        <v>2597</v>
      </c>
      <c r="B806" t="s">
        <v>1822</v>
      </c>
      <c r="C806" s="134">
        <v>4485</v>
      </c>
      <c r="D806" s="134">
        <v>4503</v>
      </c>
      <c r="E806" s="134">
        <v>4694</v>
      </c>
      <c r="F806" s="934">
        <v>4485</v>
      </c>
      <c r="G806" s="934">
        <v>4503</v>
      </c>
      <c r="H806" s="934">
        <v>4694</v>
      </c>
    </row>
    <row r="807" spans="1:8">
      <c r="A807" t="s">
        <v>411</v>
      </c>
      <c r="B807" t="s">
        <v>3065</v>
      </c>
      <c r="C807" s="134">
        <v>4382</v>
      </c>
      <c r="D807" s="134">
        <v>4310</v>
      </c>
      <c r="E807" s="134">
        <v>4362</v>
      </c>
      <c r="F807" s="934">
        <v>4382</v>
      </c>
      <c r="G807" s="934">
        <v>4310</v>
      </c>
      <c r="H807" s="934">
        <v>4362</v>
      </c>
    </row>
    <row r="808" spans="1:8">
      <c r="A808" t="s">
        <v>1113</v>
      </c>
      <c r="B808" t="s">
        <v>1823</v>
      </c>
      <c r="C808" s="134">
        <v>4926</v>
      </c>
      <c r="D808" s="134">
        <v>5532</v>
      </c>
      <c r="E808" s="134">
        <v>4993</v>
      </c>
      <c r="F808" s="934">
        <v>4925</v>
      </c>
      <c r="G808" s="934">
        <v>5532</v>
      </c>
      <c r="H808" s="934">
        <v>4992</v>
      </c>
    </row>
    <row r="809" spans="1:8">
      <c r="A809" t="s">
        <v>1932</v>
      </c>
      <c r="B809" t="s">
        <v>2430</v>
      </c>
      <c r="C809" s="134">
        <v>5267</v>
      </c>
      <c r="D809" s="134">
        <v>5853</v>
      </c>
      <c r="E809" s="134">
        <v>5464</v>
      </c>
      <c r="F809" s="934">
        <v>5267</v>
      </c>
      <c r="G809" s="934">
        <v>5853</v>
      </c>
      <c r="H809" s="934">
        <v>5464</v>
      </c>
    </row>
    <row r="810" spans="1:8">
      <c r="A810" t="s">
        <v>793</v>
      </c>
      <c r="B810" t="s">
        <v>1824</v>
      </c>
      <c r="C810" s="134">
        <v>7690</v>
      </c>
      <c r="D810" s="134">
        <v>6049</v>
      </c>
      <c r="E810" s="134">
        <v>6592</v>
      </c>
      <c r="F810" s="934">
        <v>7690</v>
      </c>
      <c r="G810" s="934">
        <v>6049</v>
      </c>
      <c r="H810" s="934">
        <v>6592</v>
      </c>
    </row>
    <row r="811" spans="1:8">
      <c r="A811" t="s">
        <v>794</v>
      </c>
      <c r="B811" t="s">
        <v>1825</v>
      </c>
      <c r="C811" s="134">
        <v>4645</v>
      </c>
      <c r="D811" s="134">
        <v>4778</v>
      </c>
      <c r="E811" s="134">
        <v>4604</v>
      </c>
      <c r="F811" s="934">
        <v>4645</v>
      </c>
      <c r="G811" s="934">
        <v>4778</v>
      </c>
      <c r="H811" s="934">
        <v>4604</v>
      </c>
    </row>
    <row r="812" spans="1:8">
      <c r="A812" t="s">
        <v>795</v>
      </c>
      <c r="B812" t="s">
        <v>1826</v>
      </c>
      <c r="C812" s="134">
        <v>5078</v>
      </c>
      <c r="D812" s="134">
        <v>5622</v>
      </c>
      <c r="E812" s="134">
        <v>5178</v>
      </c>
      <c r="F812" s="934">
        <v>5078</v>
      </c>
      <c r="G812" s="934">
        <v>5622</v>
      </c>
      <c r="H812" s="934">
        <v>5178</v>
      </c>
    </row>
    <row r="813" spans="1:8">
      <c r="A813" t="s">
        <v>1644</v>
      </c>
      <c r="B813" t="s">
        <v>1827</v>
      </c>
      <c r="C813" s="134">
        <v>5109</v>
      </c>
      <c r="D813" s="134">
        <v>8108</v>
      </c>
      <c r="E813" s="134">
        <v>5225</v>
      </c>
      <c r="F813" s="934">
        <v>5109</v>
      </c>
      <c r="G813" s="934">
        <v>8108</v>
      </c>
      <c r="H813" s="934">
        <v>5225</v>
      </c>
    </row>
    <row r="814" spans="1:8">
      <c r="A814" t="s">
        <v>1645</v>
      </c>
      <c r="B814" t="s">
        <v>1828</v>
      </c>
      <c r="C814" s="134">
        <v>5853</v>
      </c>
      <c r="D814" s="134">
        <v>7479</v>
      </c>
      <c r="E814" s="134">
        <v>6156</v>
      </c>
      <c r="F814" s="934">
        <v>5853</v>
      </c>
      <c r="G814" s="934">
        <v>7479</v>
      </c>
      <c r="H814" s="934">
        <v>6156</v>
      </c>
    </row>
    <row r="815" spans="1:8">
      <c r="A815" t="s">
        <v>1646</v>
      </c>
      <c r="B815" t="s">
        <v>1829</v>
      </c>
      <c r="C815" s="134">
        <v>3690</v>
      </c>
      <c r="D815" s="134">
        <v>4571</v>
      </c>
      <c r="E815" s="134">
        <v>4510</v>
      </c>
      <c r="F815" s="934">
        <v>3690</v>
      </c>
      <c r="G815" s="934">
        <v>4571</v>
      </c>
      <c r="H815" s="934">
        <v>4509</v>
      </c>
    </row>
    <row r="816" spans="1:8">
      <c r="A816" t="s">
        <v>1647</v>
      </c>
      <c r="B816" t="s">
        <v>1830</v>
      </c>
      <c r="C816" s="134">
        <v>5997</v>
      </c>
      <c r="D816" s="134">
        <v>8437</v>
      </c>
      <c r="E816" s="134">
        <v>7277</v>
      </c>
      <c r="F816" s="934">
        <v>5997</v>
      </c>
      <c r="G816" s="934">
        <v>8437</v>
      </c>
      <c r="H816" s="934">
        <v>7277</v>
      </c>
    </row>
    <row r="817" spans="1:8">
      <c r="A817" t="s">
        <v>1648</v>
      </c>
      <c r="B817" t="s">
        <v>1831</v>
      </c>
      <c r="C817" s="134">
        <v>4384</v>
      </c>
      <c r="D817" s="134">
        <v>4807</v>
      </c>
      <c r="E817" s="134">
        <v>4627</v>
      </c>
      <c r="F817" s="934">
        <v>4384</v>
      </c>
      <c r="G817" s="934">
        <v>4806</v>
      </c>
      <c r="H817" s="934">
        <v>4627</v>
      </c>
    </row>
    <row r="818" spans="1:8">
      <c r="A818" t="s">
        <v>1649</v>
      </c>
      <c r="B818" t="s">
        <v>1102</v>
      </c>
      <c r="C818" s="134">
        <v>4555</v>
      </c>
      <c r="D818" s="134">
        <v>4541</v>
      </c>
      <c r="E818" s="134">
        <v>4595</v>
      </c>
      <c r="F818" s="934">
        <v>4555</v>
      </c>
      <c r="G818" s="934">
        <v>4541</v>
      </c>
      <c r="H818" s="934">
        <v>4595</v>
      </c>
    </row>
    <row r="819" spans="1:8">
      <c r="A819" t="s">
        <v>1885</v>
      </c>
      <c r="B819" t="s">
        <v>1103</v>
      </c>
      <c r="C819" s="134">
        <v>5396</v>
      </c>
      <c r="D819" s="134">
        <v>5759</v>
      </c>
      <c r="E819" s="134">
        <v>5748</v>
      </c>
      <c r="F819" s="934">
        <v>5396</v>
      </c>
      <c r="G819" s="934">
        <v>5760</v>
      </c>
      <c r="H819" s="934">
        <v>5749</v>
      </c>
    </row>
    <row r="820" spans="1:8">
      <c r="A820" t="s">
        <v>2056</v>
      </c>
      <c r="B820" t="s">
        <v>668</v>
      </c>
      <c r="C820" s="134">
        <v>4842</v>
      </c>
      <c r="D820" s="134">
        <v>4910</v>
      </c>
      <c r="E820" s="134">
        <v>5086</v>
      </c>
      <c r="F820" s="934">
        <v>4842</v>
      </c>
      <c r="G820" s="934">
        <v>4910</v>
      </c>
      <c r="H820" s="934">
        <v>5086</v>
      </c>
    </row>
    <row r="821" spans="1:8">
      <c r="A821" t="s">
        <v>1886</v>
      </c>
      <c r="B821" t="s">
        <v>2166</v>
      </c>
      <c r="C821" s="134">
        <v>4779</v>
      </c>
      <c r="D821" s="134">
        <v>4794</v>
      </c>
      <c r="E821" s="134">
        <v>4908</v>
      </c>
      <c r="F821" s="934">
        <v>4779</v>
      </c>
      <c r="G821" s="934">
        <v>4794</v>
      </c>
      <c r="H821" s="934">
        <v>4908</v>
      </c>
    </row>
    <row r="822" spans="1:8">
      <c r="A822" t="s">
        <v>412</v>
      </c>
      <c r="B822" t="s">
        <v>2556</v>
      </c>
      <c r="C822" s="134">
        <v>4620</v>
      </c>
      <c r="D822" s="134">
        <v>4771</v>
      </c>
      <c r="E822" s="134">
        <v>4719</v>
      </c>
      <c r="F822" s="934">
        <v>4620</v>
      </c>
      <c r="G822" s="934">
        <v>4771</v>
      </c>
      <c r="H822" s="934">
        <v>4719</v>
      </c>
    </row>
    <row r="823" spans="1:8">
      <c r="A823" t="s">
        <v>1350</v>
      </c>
      <c r="B823" t="s">
        <v>2662</v>
      </c>
      <c r="C823" s="134">
        <v>4457</v>
      </c>
      <c r="D823" s="134">
        <v>5012</v>
      </c>
      <c r="E823" s="134">
        <v>4472</v>
      </c>
      <c r="F823" s="934">
        <v>4457</v>
      </c>
      <c r="G823" s="934">
        <v>5012</v>
      </c>
      <c r="H823" s="934">
        <v>4472</v>
      </c>
    </row>
    <row r="824" spans="1:8">
      <c r="A824" t="s">
        <v>413</v>
      </c>
      <c r="B824" t="s">
        <v>291</v>
      </c>
      <c r="C824" s="134">
        <v>4364</v>
      </c>
      <c r="D824" s="134">
        <v>4957</v>
      </c>
      <c r="E824" s="134">
        <v>4845</v>
      </c>
      <c r="F824" s="934">
        <v>4364</v>
      </c>
      <c r="G824" s="934">
        <v>4957</v>
      </c>
      <c r="H824" s="934">
        <v>4845</v>
      </c>
    </row>
    <row r="825" spans="1:8">
      <c r="A825" t="s">
        <v>1887</v>
      </c>
      <c r="B825" t="s">
        <v>2167</v>
      </c>
      <c r="C825" s="134">
        <v>4952</v>
      </c>
      <c r="D825" s="134">
        <v>5310</v>
      </c>
      <c r="E825" s="134">
        <v>5100</v>
      </c>
      <c r="F825" s="934">
        <v>4952</v>
      </c>
      <c r="G825" s="934">
        <v>5310</v>
      </c>
      <c r="H825" s="934">
        <v>5100</v>
      </c>
    </row>
    <row r="826" spans="1:8">
      <c r="A826" t="s">
        <v>1888</v>
      </c>
      <c r="B826" t="s">
        <v>1718</v>
      </c>
      <c r="C826" s="134">
        <v>4749</v>
      </c>
      <c r="D826" s="134">
        <v>4461</v>
      </c>
      <c r="E826" s="134">
        <v>4461</v>
      </c>
      <c r="F826" s="934">
        <v>4749</v>
      </c>
      <c r="G826" s="934">
        <v>4461</v>
      </c>
      <c r="H826" s="934">
        <v>4461</v>
      </c>
    </row>
    <row r="827" spans="1:8">
      <c r="A827" t="s">
        <v>1889</v>
      </c>
      <c r="B827" t="s">
        <v>1719</v>
      </c>
      <c r="C827" s="134">
        <v>4641</v>
      </c>
      <c r="D827" s="134">
        <v>4615</v>
      </c>
      <c r="E827" s="134">
        <v>4535</v>
      </c>
      <c r="F827" s="934">
        <v>4641</v>
      </c>
      <c r="G827" s="934">
        <v>4615</v>
      </c>
      <c r="H827" s="934">
        <v>4535</v>
      </c>
    </row>
    <row r="828" spans="1:8">
      <c r="A828" t="s">
        <v>2830</v>
      </c>
      <c r="B828" t="s">
        <v>2467</v>
      </c>
      <c r="C828" s="134">
        <v>4207</v>
      </c>
      <c r="D828" s="134">
        <v>4169</v>
      </c>
      <c r="E828" s="134">
        <v>4169</v>
      </c>
      <c r="F828" s="934">
        <v>4207</v>
      </c>
      <c r="G828" s="934">
        <v>4169</v>
      </c>
      <c r="H828" s="934">
        <v>4169</v>
      </c>
    </row>
    <row r="829" spans="1:8">
      <c r="A829" t="s">
        <v>2831</v>
      </c>
      <c r="B829" t="s">
        <v>1538</v>
      </c>
      <c r="C829" s="134">
        <v>4362</v>
      </c>
      <c r="D829" s="134">
        <v>4373</v>
      </c>
      <c r="E829" s="134">
        <v>4373</v>
      </c>
      <c r="F829" s="934">
        <v>4362</v>
      </c>
      <c r="G829" s="934">
        <v>4373</v>
      </c>
      <c r="H829" s="934">
        <v>4373</v>
      </c>
    </row>
    <row r="830" spans="1:8">
      <c r="A830" t="s">
        <v>1890</v>
      </c>
      <c r="B830" t="s">
        <v>1720</v>
      </c>
      <c r="C830" s="134">
        <v>5125</v>
      </c>
      <c r="D830" s="134">
        <v>5339</v>
      </c>
      <c r="E830" s="134">
        <v>5256</v>
      </c>
      <c r="F830" s="934">
        <v>5125</v>
      </c>
      <c r="G830" s="934">
        <v>5339</v>
      </c>
      <c r="H830" s="934">
        <v>5256</v>
      </c>
    </row>
    <row r="831" spans="1:8">
      <c r="A831" t="s">
        <v>218</v>
      </c>
      <c r="B831" t="s">
        <v>729</v>
      </c>
      <c r="C831" s="134">
        <v>4508</v>
      </c>
      <c r="D831" s="134">
        <v>4516</v>
      </c>
      <c r="E831" s="134">
        <v>4516</v>
      </c>
      <c r="F831" s="934">
        <v>4508</v>
      </c>
      <c r="G831" s="934">
        <v>4516</v>
      </c>
      <c r="H831" s="934">
        <v>4516</v>
      </c>
    </row>
    <row r="832" spans="1:8">
      <c r="A832" t="s">
        <v>1891</v>
      </c>
      <c r="B832" t="s">
        <v>1721</v>
      </c>
      <c r="C832" s="134">
        <v>5191</v>
      </c>
      <c r="D832" s="134">
        <v>5564</v>
      </c>
      <c r="E832" s="134">
        <v>5245</v>
      </c>
      <c r="F832" s="934">
        <v>5191</v>
      </c>
      <c r="G832" s="934">
        <v>5563</v>
      </c>
      <c r="H832" s="934">
        <v>5245</v>
      </c>
    </row>
    <row r="833" spans="1:8">
      <c r="A833" t="s">
        <v>1575</v>
      </c>
      <c r="B833" t="s">
        <v>1722</v>
      </c>
      <c r="C833" s="134">
        <v>4341</v>
      </c>
      <c r="D833" s="134">
        <v>4294</v>
      </c>
      <c r="E833" s="134">
        <v>4488</v>
      </c>
      <c r="F833" s="934">
        <v>4341</v>
      </c>
      <c r="G833" s="934">
        <v>4294</v>
      </c>
      <c r="H833" s="934">
        <v>4488</v>
      </c>
    </row>
    <row r="834" spans="1:8">
      <c r="A834" t="s">
        <v>1576</v>
      </c>
      <c r="B834" t="s">
        <v>1723</v>
      </c>
      <c r="C834" s="134">
        <v>4198</v>
      </c>
      <c r="D834" s="134">
        <v>4276</v>
      </c>
      <c r="E834" s="134">
        <v>4227</v>
      </c>
      <c r="F834" s="934">
        <v>4198</v>
      </c>
      <c r="G834" s="934">
        <v>4276</v>
      </c>
      <c r="H834" s="934">
        <v>4227</v>
      </c>
    </row>
    <row r="835" spans="1:8">
      <c r="A835" t="s">
        <v>1577</v>
      </c>
      <c r="B835" t="s">
        <v>2364</v>
      </c>
      <c r="C835" s="134">
        <v>4434</v>
      </c>
      <c r="D835" s="134">
        <v>4438</v>
      </c>
      <c r="E835" s="134">
        <v>4438</v>
      </c>
      <c r="F835" s="934">
        <v>4434</v>
      </c>
      <c r="G835" s="934">
        <v>4438</v>
      </c>
      <c r="H835" s="934">
        <v>4438</v>
      </c>
    </row>
    <row r="836" spans="1:8">
      <c r="A836" t="s">
        <v>1832</v>
      </c>
      <c r="B836" t="s">
        <v>2365</v>
      </c>
      <c r="C836" s="134">
        <v>4290</v>
      </c>
      <c r="D836" s="134">
        <v>4381</v>
      </c>
      <c r="E836" s="134">
        <v>4381</v>
      </c>
      <c r="F836" s="934">
        <v>4290</v>
      </c>
      <c r="G836" s="934">
        <v>4381</v>
      </c>
      <c r="H836" s="934">
        <v>4381</v>
      </c>
    </row>
    <row r="837" spans="1:8">
      <c r="A837" t="s">
        <v>1833</v>
      </c>
      <c r="B837" t="s">
        <v>2663</v>
      </c>
      <c r="C837" s="134">
        <v>4856</v>
      </c>
      <c r="D837" s="134">
        <v>4888</v>
      </c>
      <c r="E837" s="134">
        <v>4969</v>
      </c>
      <c r="F837" s="934">
        <v>4856</v>
      </c>
      <c r="G837" s="934">
        <v>4888</v>
      </c>
      <c r="H837" s="934">
        <v>4969</v>
      </c>
    </row>
    <row r="838" spans="1:8">
      <c r="A838" t="s">
        <v>2790</v>
      </c>
      <c r="B838" t="s">
        <v>384</v>
      </c>
      <c r="C838" s="134">
        <v>4328</v>
      </c>
      <c r="D838" s="134">
        <v>4453</v>
      </c>
      <c r="E838" s="134">
        <v>4437</v>
      </c>
      <c r="F838" s="934">
        <v>4328</v>
      </c>
      <c r="G838" s="934">
        <v>4453</v>
      </c>
      <c r="H838" s="934">
        <v>4437</v>
      </c>
    </row>
    <row r="839" spans="1:8">
      <c r="A839" t="s">
        <v>1382</v>
      </c>
      <c r="B839" t="s">
        <v>2774</v>
      </c>
      <c r="C839" s="134">
        <v>4780</v>
      </c>
      <c r="D839" s="134">
        <v>4807</v>
      </c>
      <c r="E839" s="134">
        <v>4829</v>
      </c>
      <c r="F839" s="934">
        <v>4780</v>
      </c>
      <c r="G839" s="934">
        <v>4807</v>
      </c>
      <c r="H839" s="934">
        <v>4829</v>
      </c>
    </row>
    <row r="840" spans="1:8">
      <c r="A840" t="s">
        <v>2791</v>
      </c>
      <c r="B840" t="s">
        <v>385</v>
      </c>
      <c r="C840" s="134">
        <v>4644</v>
      </c>
      <c r="D840" s="134">
        <v>4691</v>
      </c>
      <c r="E840" s="134">
        <v>4691</v>
      </c>
      <c r="F840" s="934">
        <v>4644</v>
      </c>
      <c r="G840" s="934">
        <v>4691</v>
      </c>
      <c r="H840" s="934">
        <v>4691</v>
      </c>
    </row>
    <row r="841" spans="1:8">
      <c r="A841" t="s">
        <v>1639</v>
      </c>
      <c r="B841" t="s">
        <v>386</v>
      </c>
      <c r="C841" s="134">
        <v>4939</v>
      </c>
      <c r="D841" s="134">
        <v>4958</v>
      </c>
      <c r="E841" s="134">
        <v>4958</v>
      </c>
      <c r="F841" s="934">
        <v>4939</v>
      </c>
      <c r="G841" s="934">
        <v>4958</v>
      </c>
      <c r="H841" s="934">
        <v>4958</v>
      </c>
    </row>
    <row r="842" spans="1:8">
      <c r="A842" t="s">
        <v>2892</v>
      </c>
      <c r="B842" t="s">
        <v>2360</v>
      </c>
      <c r="C842" s="134">
        <v>4612</v>
      </c>
      <c r="D842" s="134">
        <v>4616</v>
      </c>
      <c r="E842" s="134">
        <v>4616</v>
      </c>
      <c r="F842" s="934">
        <v>4612</v>
      </c>
      <c r="G842" s="934">
        <v>4616</v>
      </c>
      <c r="H842" s="934">
        <v>4616</v>
      </c>
    </row>
    <row r="843" spans="1:8">
      <c r="A843" t="s">
        <v>1591</v>
      </c>
      <c r="B843" t="s">
        <v>289</v>
      </c>
      <c r="C843" s="134">
        <v>4612</v>
      </c>
      <c r="D843" s="134">
        <v>4706</v>
      </c>
      <c r="E843" s="134">
        <v>4706</v>
      </c>
      <c r="F843" s="934">
        <v>4612</v>
      </c>
      <c r="G843" s="934">
        <v>4706</v>
      </c>
      <c r="H843" s="934">
        <v>4706</v>
      </c>
    </row>
    <row r="844" spans="1:8">
      <c r="A844" t="s">
        <v>1493</v>
      </c>
      <c r="B844" t="s">
        <v>296</v>
      </c>
      <c r="C844" s="134">
        <v>4550</v>
      </c>
      <c r="D844" s="134">
        <v>4569</v>
      </c>
      <c r="E844" s="134">
        <v>4569</v>
      </c>
      <c r="F844" s="934">
        <v>4550</v>
      </c>
      <c r="G844" s="934">
        <v>4569</v>
      </c>
      <c r="H844" s="934">
        <v>4569</v>
      </c>
    </row>
    <row r="845" spans="1:8">
      <c r="A845" t="s">
        <v>219</v>
      </c>
      <c r="B845" t="s">
        <v>656</v>
      </c>
      <c r="C845" s="134">
        <v>4629</v>
      </c>
      <c r="D845" s="134">
        <v>4727</v>
      </c>
      <c r="E845" s="134">
        <v>4727</v>
      </c>
      <c r="F845" s="934">
        <v>4629</v>
      </c>
      <c r="G845" s="934">
        <v>4726</v>
      </c>
      <c r="H845" s="934">
        <v>4726</v>
      </c>
    </row>
    <row r="846" spans="1:8">
      <c r="A846" t="s">
        <v>531</v>
      </c>
      <c r="B846" t="s">
        <v>1584</v>
      </c>
      <c r="C846" s="134">
        <v>4485</v>
      </c>
      <c r="D846" s="134">
        <v>4549</v>
      </c>
      <c r="E846" s="134">
        <v>4529</v>
      </c>
      <c r="F846" s="934">
        <v>4485</v>
      </c>
      <c r="G846" s="934">
        <v>4549</v>
      </c>
      <c r="H846" s="934">
        <v>4529</v>
      </c>
    </row>
    <row r="847" spans="1:8">
      <c r="A847" t="s">
        <v>1640</v>
      </c>
      <c r="B847" t="s">
        <v>387</v>
      </c>
      <c r="C847" s="134">
        <v>4667</v>
      </c>
      <c r="D847" s="134">
        <v>4680</v>
      </c>
      <c r="E847" s="134">
        <v>4677</v>
      </c>
      <c r="F847" s="934">
        <v>4615</v>
      </c>
      <c r="G847" s="934">
        <v>4680</v>
      </c>
      <c r="H847" s="934">
        <v>4677</v>
      </c>
    </row>
    <row r="848" spans="1:8">
      <c r="A848" t="s">
        <v>1641</v>
      </c>
      <c r="B848" t="s">
        <v>388</v>
      </c>
      <c r="C848" s="134">
        <v>4595</v>
      </c>
      <c r="D848" s="134">
        <v>4575</v>
      </c>
      <c r="E848" s="134">
        <v>4571</v>
      </c>
      <c r="F848" s="934">
        <v>4595</v>
      </c>
      <c r="G848" s="934">
        <v>4575</v>
      </c>
      <c r="H848" s="934">
        <v>4571</v>
      </c>
    </row>
    <row r="849" spans="1:8">
      <c r="A849" t="s">
        <v>1557</v>
      </c>
      <c r="B849" t="s">
        <v>389</v>
      </c>
      <c r="C849" s="134">
        <v>5100</v>
      </c>
      <c r="D849" s="134">
        <v>5378</v>
      </c>
      <c r="E849" s="134">
        <v>5377</v>
      </c>
      <c r="F849" s="934">
        <v>5100</v>
      </c>
      <c r="G849" s="934">
        <v>5378</v>
      </c>
      <c r="H849" s="934">
        <v>5377</v>
      </c>
    </row>
    <row r="850" spans="1:8">
      <c r="A850" t="s">
        <v>1558</v>
      </c>
      <c r="B850" t="s">
        <v>390</v>
      </c>
      <c r="C850" s="134">
        <v>5630</v>
      </c>
      <c r="D850" s="134">
        <v>5209</v>
      </c>
      <c r="E850" s="134">
        <v>5162</v>
      </c>
      <c r="F850" s="934">
        <v>5630</v>
      </c>
      <c r="G850" s="934">
        <v>5209</v>
      </c>
      <c r="H850" s="934">
        <v>5162</v>
      </c>
    </row>
    <row r="851" spans="1:8">
      <c r="A851" t="s">
        <v>1559</v>
      </c>
      <c r="B851" t="s">
        <v>391</v>
      </c>
      <c r="C851" s="134">
        <v>7104</v>
      </c>
      <c r="D851" s="134">
        <v>6030</v>
      </c>
      <c r="E851" s="134">
        <v>6030</v>
      </c>
      <c r="F851" s="934">
        <v>7104</v>
      </c>
      <c r="G851" s="934">
        <v>6030</v>
      </c>
      <c r="H851" s="934">
        <v>6030</v>
      </c>
    </row>
    <row r="852" spans="1:8">
      <c r="A852" t="s">
        <v>1662</v>
      </c>
      <c r="B852" t="s">
        <v>392</v>
      </c>
      <c r="C852" s="134">
        <v>5543</v>
      </c>
      <c r="D852" s="134">
        <v>6415</v>
      </c>
      <c r="E852" s="134">
        <v>5440</v>
      </c>
      <c r="F852" s="934">
        <v>5543</v>
      </c>
      <c r="G852" s="934">
        <v>6415</v>
      </c>
      <c r="H852" s="934">
        <v>5440</v>
      </c>
    </row>
    <row r="853" spans="1:8">
      <c r="A853" t="s">
        <v>1084</v>
      </c>
      <c r="B853" t="s">
        <v>393</v>
      </c>
      <c r="C853" s="134">
        <v>4275</v>
      </c>
      <c r="D853" s="134">
        <v>4593</v>
      </c>
      <c r="E853" s="134">
        <v>4313</v>
      </c>
      <c r="F853" s="934">
        <v>4275</v>
      </c>
      <c r="G853" s="934">
        <v>4593</v>
      </c>
      <c r="H853" s="934">
        <v>4313</v>
      </c>
    </row>
    <row r="854" spans="1:8">
      <c r="A854" t="s">
        <v>1085</v>
      </c>
      <c r="B854" t="s">
        <v>394</v>
      </c>
      <c r="C854" s="134">
        <v>4749</v>
      </c>
      <c r="D854" s="134">
        <v>4894</v>
      </c>
      <c r="E854" s="134">
        <v>4792</v>
      </c>
      <c r="F854" s="934">
        <v>4749</v>
      </c>
      <c r="G854" s="934">
        <v>4894</v>
      </c>
      <c r="H854" s="934">
        <v>4792</v>
      </c>
    </row>
    <row r="855" spans="1:8">
      <c r="A855" t="s">
        <v>1086</v>
      </c>
      <c r="B855" t="s">
        <v>1995</v>
      </c>
      <c r="C855" s="134">
        <v>4455</v>
      </c>
      <c r="D855" s="134">
        <v>4457</v>
      </c>
      <c r="E855" s="134">
        <v>4457</v>
      </c>
      <c r="F855" s="934">
        <v>4455</v>
      </c>
      <c r="G855" s="934">
        <v>4457</v>
      </c>
      <c r="H855" s="934">
        <v>4457</v>
      </c>
    </row>
    <row r="856" spans="1:8">
      <c r="A856" t="s">
        <v>1245</v>
      </c>
      <c r="B856" t="s">
        <v>1996</v>
      </c>
      <c r="C856" s="134">
        <v>4955</v>
      </c>
      <c r="D856" s="134">
        <v>4610</v>
      </c>
      <c r="E856" s="134">
        <v>4842</v>
      </c>
      <c r="F856" s="934">
        <v>4955</v>
      </c>
      <c r="G856" s="934">
        <v>4610</v>
      </c>
      <c r="H856" s="934">
        <v>4842</v>
      </c>
    </row>
    <row r="857" spans="1:8">
      <c r="A857" t="s">
        <v>220</v>
      </c>
      <c r="B857" t="s">
        <v>1418</v>
      </c>
      <c r="C857" s="134">
        <v>5023</v>
      </c>
      <c r="D857" s="134">
        <v>4583</v>
      </c>
      <c r="E857" s="134">
        <v>4912</v>
      </c>
      <c r="F857" s="934">
        <v>5023</v>
      </c>
      <c r="G857" s="934">
        <v>4583</v>
      </c>
      <c r="H857" s="934">
        <v>4912</v>
      </c>
    </row>
    <row r="858" spans="1:8">
      <c r="A858" t="s">
        <v>1246</v>
      </c>
      <c r="B858" t="s">
        <v>1997</v>
      </c>
      <c r="C858" s="134">
        <v>5243</v>
      </c>
      <c r="D858" s="134">
        <v>5520</v>
      </c>
      <c r="E858" s="134">
        <v>5520</v>
      </c>
      <c r="F858" s="934">
        <v>5243</v>
      </c>
      <c r="G858" s="934">
        <v>5520</v>
      </c>
      <c r="H858" s="934">
        <v>5520</v>
      </c>
    </row>
    <row r="859" spans="1:8">
      <c r="A859" t="s">
        <v>1247</v>
      </c>
      <c r="B859" t="s">
        <v>1998</v>
      </c>
      <c r="C859" s="134">
        <v>5567</v>
      </c>
      <c r="D859" s="134">
        <v>5525</v>
      </c>
      <c r="E859" s="134">
        <v>5525</v>
      </c>
      <c r="F859" s="934">
        <v>5567</v>
      </c>
      <c r="G859" s="934">
        <v>5525</v>
      </c>
      <c r="H859" s="934">
        <v>5525</v>
      </c>
    </row>
    <row r="860" spans="1:8">
      <c r="A860" t="s">
        <v>1407</v>
      </c>
      <c r="B860" t="s">
        <v>1999</v>
      </c>
      <c r="C860" s="134">
        <v>4845</v>
      </c>
      <c r="D860" s="134">
        <v>4860</v>
      </c>
      <c r="E860" s="134">
        <v>4875</v>
      </c>
      <c r="F860" s="934">
        <v>4845</v>
      </c>
      <c r="G860" s="934">
        <v>4860</v>
      </c>
      <c r="H860" s="934">
        <v>4875</v>
      </c>
    </row>
    <row r="861" spans="1:8">
      <c r="A861" t="s">
        <v>1408</v>
      </c>
      <c r="B861" t="s">
        <v>2000</v>
      </c>
      <c r="C861" s="134">
        <v>5256</v>
      </c>
      <c r="D861" s="134">
        <v>5818</v>
      </c>
      <c r="E861" s="134">
        <v>5556</v>
      </c>
      <c r="F861" s="934">
        <v>5256</v>
      </c>
      <c r="G861" s="934">
        <v>5818</v>
      </c>
      <c r="H861" s="934">
        <v>5556</v>
      </c>
    </row>
    <row r="862" spans="1:8">
      <c r="A862" t="s">
        <v>2040</v>
      </c>
      <c r="B862" t="s">
        <v>2271</v>
      </c>
      <c r="C862" s="134">
        <v>5140</v>
      </c>
      <c r="D862" s="134">
        <v>5155</v>
      </c>
      <c r="E862" s="134">
        <v>5321</v>
      </c>
      <c r="F862" s="934">
        <v>5140</v>
      </c>
      <c r="G862" s="934">
        <v>5155</v>
      </c>
      <c r="H862" s="934">
        <v>5321</v>
      </c>
    </row>
    <row r="863" spans="1:8">
      <c r="A863" t="s">
        <v>304</v>
      </c>
      <c r="B863" t="s">
        <v>2425</v>
      </c>
      <c r="C863" s="134">
        <v>4734</v>
      </c>
      <c r="D863" s="134">
        <v>5962</v>
      </c>
      <c r="E863" s="134">
        <v>5159</v>
      </c>
      <c r="F863" s="934">
        <v>4733</v>
      </c>
      <c r="G863" s="934">
        <v>5962</v>
      </c>
      <c r="H863" s="934">
        <v>5159</v>
      </c>
    </row>
    <row r="864" spans="1:8">
      <c r="A864" t="s">
        <v>1943</v>
      </c>
      <c r="B864" t="s">
        <v>2272</v>
      </c>
      <c r="C864" s="134">
        <v>4630</v>
      </c>
      <c r="D864" s="134">
        <v>4808</v>
      </c>
      <c r="E864" s="134">
        <v>4992</v>
      </c>
      <c r="F864" s="934">
        <v>4630</v>
      </c>
      <c r="G864" s="934">
        <v>4808</v>
      </c>
      <c r="H864" s="934">
        <v>4992</v>
      </c>
    </row>
    <row r="865" spans="1:8">
      <c r="A865" t="s">
        <v>1944</v>
      </c>
      <c r="B865" t="s">
        <v>2273</v>
      </c>
      <c r="C865" s="134">
        <v>4623</v>
      </c>
      <c r="D865" s="134">
        <v>4864</v>
      </c>
      <c r="E865" s="134">
        <v>4864</v>
      </c>
      <c r="F865" s="934">
        <v>4620</v>
      </c>
      <c r="G865" s="934">
        <v>4864</v>
      </c>
      <c r="H865" s="934">
        <v>4864</v>
      </c>
    </row>
    <row r="866" spans="1:8">
      <c r="A866" t="s">
        <v>1136</v>
      </c>
      <c r="B866" t="s">
        <v>2274</v>
      </c>
      <c r="C866" s="134">
        <v>4912</v>
      </c>
      <c r="D866" s="134">
        <v>5698</v>
      </c>
      <c r="E866" s="134">
        <v>5264</v>
      </c>
      <c r="F866" s="934">
        <v>4912</v>
      </c>
      <c r="G866" s="934">
        <v>5698</v>
      </c>
      <c r="H866" s="934">
        <v>5264</v>
      </c>
    </row>
    <row r="867" spans="1:8">
      <c r="A867" t="s">
        <v>217</v>
      </c>
      <c r="B867" t="s">
        <v>2275</v>
      </c>
      <c r="C867" s="134">
        <v>4503</v>
      </c>
      <c r="D867" s="134">
        <v>4668</v>
      </c>
      <c r="E867" s="134">
        <v>4775</v>
      </c>
      <c r="F867" s="934">
        <v>4503</v>
      </c>
      <c r="G867" s="934">
        <v>4668</v>
      </c>
      <c r="H867" s="934">
        <v>4774</v>
      </c>
    </row>
    <row r="868" spans="1:8">
      <c r="A868" t="s">
        <v>1348</v>
      </c>
      <c r="B868" t="s">
        <v>1510</v>
      </c>
      <c r="C868" s="134">
        <v>4698</v>
      </c>
      <c r="D868" s="134">
        <v>4889</v>
      </c>
      <c r="E868" s="134">
        <v>4889</v>
      </c>
      <c r="F868" s="934">
        <v>4698</v>
      </c>
      <c r="G868" s="934">
        <v>4889</v>
      </c>
      <c r="H868" s="934">
        <v>4889</v>
      </c>
    </row>
    <row r="869" spans="1:8">
      <c r="A869" t="s">
        <v>1516</v>
      </c>
      <c r="B869" t="s">
        <v>735</v>
      </c>
      <c r="C869" s="134">
        <v>4848</v>
      </c>
      <c r="D869" s="134">
        <v>4865</v>
      </c>
      <c r="E869" s="134">
        <v>4865</v>
      </c>
      <c r="F869" s="934">
        <v>4848</v>
      </c>
      <c r="G869" s="934">
        <v>4865</v>
      </c>
      <c r="H869" s="934">
        <v>4865</v>
      </c>
    </row>
    <row r="870" spans="1:8">
      <c r="A870" t="s">
        <v>1517</v>
      </c>
      <c r="B870" t="s">
        <v>2276</v>
      </c>
      <c r="C870" s="134">
        <v>4576</v>
      </c>
      <c r="D870" s="134">
        <v>4859</v>
      </c>
      <c r="E870" s="134">
        <v>4739</v>
      </c>
      <c r="F870" s="934">
        <v>4576</v>
      </c>
      <c r="G870" s="934">
        <v>4859</v>
      </c>
      <c r="H870" s="934">
        <v>4738</v>
      </c>
    </row>
    <row r="871" spans="1:8">
      <c r="A871" t="s">
        <v>1518</v>
      </c>
      <c r="B871" t="s">
        <v>2277</v>
      </c>
      <c r="C871" s="134">
        <v>6506</v>
      </c>
      <c r="D871" s="134">
        <v>7506</v>
      </c>
      <c r="E871" s="134">
        <v>6744</v>
      </c>
      <c r="F871" s="934">
        <v>6506</v>
      </c>
      <c r="G871" s="934">
        <v>7506</v>
      </c>
      <c r="H871" s="934">
        <v>6744</v>
      </c>
    </row>
    <row r="872" spans="1:8">
      <c r="A872" t="s">
        <v>3050</v>
      </c>
      <c r="B872" t="s">
        <v>3092</v>
      </c>
      <c r="C872" s="134">
        <v>4663</v>
      </c>
      <c r="D872" s="134">
        <v>4723</v>
      </c>
      <c r="E872" s="134">
        <v>4694</v>
      </c>
      <c r="F872" s="934">
        <v>4663</v>
      </c>
      <c r="G872" s="934">
        <v>4723</v>
      </c>
      <c r="H872" s="934">
        <v>4694</v>
      </c>
    </row>
    <row r="873" spans="1:8">
      <c r="A873" t="s">
        <v>1945</v>
      </c>
      <c r="B873" t="s">
        <v>2278</v>
      </c>
      <c r="C873" s="134">
        <v>5993</v>
      </c>
      <c r="D873" s="134">
        <v>5349</v>
      </c>
      <c r="E873" s="134">
        <v>5344</v>
      </c>
      <c r="F873" s="934">
        <v>5993</v>
      </c>
      <c r="G873" s="934">
        <v>5349</v>
      </c>
      <c r="H873" s="934">
        <v>5344</v>
      </c>
    </row>
    <row r="874" spans="1:8">
      <c r="A874" t="s">
        <v>221</v>
      </c>
      <c r="B874" t="s">
        <v>663</v>
      </c>
      <c r="C874" s="134">
        <v>4453</v>
      </c>
      <c r="D874" s="134">
        <v>4690</v>
      </c>
      <c r="E874" s="134">
        <v>4634</v>
      </c>
      <c r="F874" s="934">
        <v>4453</v>
      </c>
      <c r="G874" s="934">
        <v>4690</v>
      </c>
      <c r="H874" s="934">
        <v>4634</v>
      </c>
    </row>
    <row r="875" spans="1:8">
      <c r="A875" t="s">
        <v>1946</v>
      </c>
      <c r="B875" t="s">
        <v>2279</v>
      </c>
      <c r="C875" s="134">
        <v>4689</v>
      </c>
      <c r="D875" s="134">
        <v>5169</v>
      </c>
      <c r="E875" s="134">
        <v>4853</v>
      </c>
      <c r="F875" s="934">
        <v>4689</v>
      </c>
      <c r="G875" s="934">
        <v>5169</v>
      </c>
      <c r="H875" s="934">
        <v>4853</v>
      </c>
    </row>
    <row r="876" spans="1:8">
      <c r="A876" t="s">
        <v>2979</v>
      </c>
      <c r="B876" t="s">
        <v>2931</v>
      </c>
      <c r="C876" s="134">
        <v>6181</v>
      </c>
      <c r="D876" s="134">
        <v>6408</v>
      </c>
      <c r="E876" s="134">
        <v>6390</v>
      </c>
      <c r="F876" s="934">
        <v>6181</v>
      </c>
      <c r="G876" s="934">
        <v>6408</v>
      </c>
      <c r="H876" s="934">
        <v>6390</v>
      </c>
    </row>
    <row r="877" spans="1:8">
      <c r="A877" t="s">
        <v>849</v>
      </c>
      <c r="B877" t="s">
        <v>2932</v>
      </c>
      <c r="C877" s="134">
        <v>5313</v>
      </c>
      <c r="D877" s="134">
        <v>5569</v>
      </c>
      <c r="E877" s="134">
        <v>5426</v>
      </c>
      <c r="F877" s="934">
        <v>5313</v>
      </c>
      <c r="G877" s="934">
        <v>5569</v>
      </c>
      <c r="H877" s="934">
        <v>5426</v>
      </c>
    </row>
    <row r="878" spans="1:8">
      <c r="A878" t="s">
        <v>850</v>
      </c>
      <c r="B878" t="s">
        <v>2933</v>
      </c>
      <c r="C878" s="134">
        <v>5743</v>
      </c>
      <c r="D878" s="134">
        <v>7049</v>
      </c>
      <c r="E878" s="134">
        <v>5867</v>
      </c>
      <c r="F878" s="934">
        <v>5743</v>
      </c>
      <c r="G878" s="934">
        <v>7049</v>
      </c>
      <c r="H878" s="934">
        <v>5867</v>
      </c>
    </row>
    <row r="879" spans="1:8">
      <c r="A879" t="s">
        <v>906</v>
      </c>
      <c r="B879" t="s">
        <v>2934</v>
      </c>
      <c r="C879" s="134">
        <v>4465</v>
      </c>
      <c r="D879" s="134">
        <v>4394</v>
      </c>
      <c r="E879" s="134">
        <v>4579</v>
      </c>
      <c r="F879" s="934">
        <v>4465</v>
      </c>
      <c r="G879" s="934">
        <v>4394</v>
      </c>
      <c r="H879" s="934">
        <v>4579</v>
      </c>
    </row>
    <row r="880" spans="1:8">
      <c r="A880" t="s">
        <v>617</v>
      </c>
      <c r="B880" t="s">
        <v>2935</v>
      </c>
      <c r="C880" s="134">
        <v>4498</v>
      </c>
      <c r="D880" s="134">
        <v>4491</v>
      </c>
      <c r="E880" s="134">
        <v>4530</v>
      </c>
      <c r="F880" s="934">
        <v>4498</v>
      </c>
      <c r="G880" s="934">
        <v>4491</v>
      </c>
      <c r="H880" s="934">
        <v>4530</v>
      </c>
    </row>
    <row r="881" spans="1:8">
      <c r="A881" t="s">
        <v>618</v>
      </c>
      <c r="B881" t="s">
        <v>2936</v>
      </c>
      <c r="C881" s="134">
        <v>4635</v>
      </c>
      <c r="D881" s="134">
        <v>4665</v>
      </c>
      <c r="E881" s="134">
        <v>4665</v>
      </c>
      <c r="F881" s="934">
        <v>4635</v>
      </c>
      <c r="G881" s="934">
        <v>4665</v>
      </c>
      <c r="H881" s="934">
        <v>4665</v>
      </c>
    </row>
    <row r="882" spans="1:8">
      <c r="A882" t="s">
        <v>2621</v>
      </c>
      <c r="B882" t="s">
        <v>2775</v>
      </c>
      <c r="C882" s="134">
        <v>4562</v>
      </c>
      <c r="D882" s="134">
        <v>4627</v>
      </c>
      <c r="E882" s="134">
        <v>4627</v>
      </c>
      <c r="F882" s="934">
        <v>4562</v>
      </c>
      <c r="G882" s="934">
        <v>4627</v>
      </c>
      <c r="H882" s="934">
        <v>4627</v>
      </c>
    </row>
    <row r="883" spans="1:8">
      <c r="A883" t="s">
        <v>985</v>
      </c>
      <c r="B883" t="s">
        <v>901</v>
      </c>
      <c r="C883" s="134">
        <v>4555</v>
      </c>
      <c r="D883" s="134">
        <v>4504</v>
      </c>
      <c r="E883" s="134">
        <v>4588</v>
      </c>
      <c r="F883" s="934">
        <v>4555</v>
      </c>
      <c r="G883" s="934">
        <v>4504</v>
      </c>
      <c r="H883" s="934">
        <v>4588</v>
      </c>
    </row>
    <row r="884" spans="1:8">
      <c r="A884" t="s">
        <v>2111</v>
      </c>
      <c r="B884" t="s">
        <v>2937</v>
      </c>
      <c r="C884" s="134">
        <v>4608</v>
      </c>
      <c r="D884" s="134">
        <v>4628</v>
      </c>
      <c r="E884" s="134">
        <v>4628</v>
      </c>
      <c r="F884" s="934">
        <v>4608</v>
      </c>
      <c r="G884" s="934">
        <v>4628</v>
      </c>
      <c r="H884" s="934">
        <v>4628</v>
      </c>
    </row>
    <row r="885" spans="1:8">
      <c r="A885" t="s">
        <v>2297</v>
      </c>
      <c r="B885" t="s">
        <v>1453</v>
      </c>
      <c r="C885" s="134">
        <v>4670</v>
      </c>
      <c r="D885" s="134">
        <v>4763</v>
      </c>
      <c r="E885" s="134">
        <v>4763</v>
      </c>
      <c r="F885" s="934">
        <v>4680</v>
      </c>
      <c r="G885" s="934">
        <v>4798</v>
      </c>
      <c r="H885" s="934">
        <v>4790</v>
      </c>
    </row>
    <row r="886" spans="1:8">
      <c r="A886" t="s">
        <v>2497</v>
      </c>
      <c r="B886" t="s">
        <v>1454</v>
      </c>
      <c r="C886" s="134">
        <v>4999</v>
      </c>
      <c r="D886" s="134">
        <v>5187</v>
      </c>
      <c r="E886" s="134">
        <v>5270</v>
      </c>
      <c r="F886" s="934">
        <v>4999</v>
      </c>
      <c r="G886" s="934">
        <v>5187</v>
      </c>
      <c r="H886" s="934">
        <v>5270</v>
      </c>
    </row>
    <row r="887" spans="1:8">
      <c r="A887" t="s">
        <v>57</v>
      </c>
      <c r="B887" t="s">
        <v>452</v>
      </c>
      <c r="C887" s="134">
        <v>4733</v>
      </c>
      <c r="D887" s="134">
        <v>4813</v>
      </c>
      <c r="E887" s="134">
        <v>4823</v>
      </c>
      <c r="F887" s="934">
        <v>4733</v>
      </c>
      <c r="G887" s="934">
        <v>4813</v>
      </c>
      <c r="H887" s="934">
        <v>4823</v>
      </c>
    </row>
    <row r="888" spans="1:8">
      <c r="A888" t="s">
        <v>379</v>
      </c>
      <c r="B888" t="s">
        <v>321</v>
      </c>
      <c r="C888" s="134">
        <v>4678</v>
      </c>
      <c r="D888" s="134">
        <v>4723</v>
      </c>
      <c r="E888" s="134">
        <v>4736</v>
      </c>
      <c r="F888" s="934">
        <v>4678</v>
      </c>
      <c r="G888" s="934">
        <v>4723</v>
      </c>
      <c r="H888" s="934">
        <v>4736</v>
      </c>
    </row>
    <row r="889" spans="1:8">
      <c r="A889" t="s">
        <v>1986</v>
      </c>
      <c r="B889" t="s">
        <v>2624</v>
      </c>
      <c r="C889" s="134">
        <v>4632</v>
      </c>
      <c r="D889" s="134">
        <v>5009</v>
      </c>
      <c r="E889" s="134">
        <v>4674</v>
      </c>
      <c r="F889" s="934">
        <v>4632</v>
      </c>
      <c r="G889" s="934">
        <v>5009</v>
      </c>
      <c r="H889" s="934">
        <v>4674</v>
      </c>
    </row>
    <row r="890" spans="1:8">
      <c r="A890" t="s">
        <v>2759</v>
      </c>
      <c r="B890" t="s">
        <v>459</v>
      </c>
      <c r="C890" s="134">
        <v>4639</v>
      </c>
      <c r="D890" s="134">
        <v>4693</v>
      </c>
      <c r="E890" s="134">
        <v>4693</v>
      </c>
      <c r="F890" s="934">
        <v>4639</v>
      </c>
      <c r="G890" s="934">
        <v>4696</v>
      </c>
      <c r="H890" s="934">
        <v>4696</v>
      </c>
    </row>
    <row r="891" spans="1:8">
      <c r="A891" t="s">
        <v>59</v>
      </c>
      <c r="B891" t="s">
        <v>2876</v>
      </c>
      <c r="C891" s="134">
        <v>4589</v>
      </c>
      <c r="D891" s="134">
        <v>4551</v>
      </c>
      <c r="E891" s="134">
        <v>4551</v>
      </c>
      <c r="F891" s="934">
        <v>4589</v>
      </c>
      <c r="G891" s="934">
        <v>4551</v>
      </c>
      <c r="H891" s="934">
        <v>4551</v>
      </c>
    </row>
    <row r="892" spans="1:8">
      <c r="A892" t="s">
        <v>1894</v>
      </c>
      <c r="B892" t="s">
        <v>2429</v>
      </c>
      <c r="C892" s="134">
        <v>4818</v>
      </c>
      <c r="D892" s="134">
        <v>5109</v>
      </c>
      <c r="E892" s="134">
        <v>5092</v>
      </c>
      <c r="F892" s="934">
        <v>4818</v>
      </c>
      <c r="G892" s="934">
        <v>5109</v>
      </c>
      <c r="H892" s="934">
        <v>5092</v>
      </c>
    </row>
    <row r="893" spans="1:8">
      <c r="A893" t="s">
        <v>1280</v>
      </c>
      <c r="B893" t="s">
        <v>1439</v>
      </c>
      <c r="C893" s="134">
        <v>4894</v>
      </c>
      <c r="D893" s="134">
        <v>4993</v>
      </c>
      <c r="E893" s="134">
        <v>5084</v>
      </c>
      <c r="F893" s="934">
        <v>4894</v>
      </c>
      <c r="G893" s="934">
        <v>4993</v>
      </c>
      <c r="H893" s="934">
        <v>5084</v>
      </c>
    </row>
    <row r="894" spans="1:8">
      <c r="A894" t="s">
        <v>2108</v>
      </c>
      <c r="B894" t="s">
        <v>732</v>
      </c>
      <c r="C894" s="134">
        <v>4552</v>
      </c>
      <c r="D894" s="134">
        <v>4594</v>
      </c>
      <c r="E894" s="134">
        <v>4594</v>
      </c>
      <c r="F894" s="934">
        <v>4551</v>
      </c>
      <c r="G894" s="934">
        <v>4594</v>
      </c>
      <c r="H894" s="934">
        <v>4594</v>
      </c>
    </row>
    <row r="895" spans="1:8">
      <c r="A895" t="s">
        <v>2542</v>
      </c>
      <c r="B895" t="s">
        <v>1455</v>
      </c>
      <c r="C895" s="134">
        <v>4884</v>
      </c>
      <c r="D895" s="134">
        <v>5120</v>
      </c>
      <c r="E895" s="134">
        <v>5030</v>
      </c>
      <c r="F895" s="934">
        <v>4884</v>
      </c>
      <c r="G895" s="934">
        <v>5120</v>
      </c>
      <c r="H895" s="934">
        <v>5030</v>
      </c>
    </row>
    <row r="896" spans="1:8">
      <c r="A896" t="s">
        <v>2107</v>
      </c>
      <c r="B896" t="s">
        <v>731</v>
      </c>
      <c r="C896" s="134">
        <v>5324</v>
      </c>
      <c r="D896" s="134">
        <v>5615</v>
      </c>
      <c r="E896" s="134">
        <v>5524</v>
      </c>
      <c r="F896" s="934">
        <v>5324</v>
      </c>
      <c r="G896" s="934">
        <v>5624</v>
      </c>
      <c r="H896" s="934">
        <v>5522</v>
      </c>
    </row>
    <row r="897" spans="1:8">
      <c r="A897" t="s">
        <v>1347</v>
      </c>
      <c r="B897" t="s">
        <v>1509</v>
      </c>
      <c r="C897" s="134">
        <v>4762</v>
      </c>
      <c r="D897" s="134">
        <v>4867</v>
      </c>
      <c r="E897" s="134">
        <v>4828</v>
      </c>
      <c r="F897" s="934">
        <v>4762</v>
      </c>
      <c r="G897" s="934">
        <v>4866</v>
      </c>
      <c r="H897" s="934">
        <v>4828</v>
      </c>
    </row>
    <row r="898" spans="1:8">
      <c r="A898" t="s">
        <v>2543</v>
      </c>
      <c r="B898" t="s">
        <v>1456</v>
      </c>
      <c r="C898" s="134">
        <v>4523</v>
      </c>
      <c r="D898" s="134">
        <v>4593</v>
      </c>
      <c r="E898" s="134">
        <v>4593</v>
      </c>
      <c r="F898" s="934">
        <v>4523</v>
      </c>
      <c r="G898" s="934">
        <v>4593</v>
      </c>
      <c r="H898" s="934">
        <v>4593</v>
      </c>
    </row>
    <row r="899" spans="1:8">
      <c r="A899" t="s">
        <v>2544</v>
      </c>
      <c r="B899" t="s">
        <v>1457</v>
      </c>
      <c r="C899" s="134">
        <v>4644</v>
      </c>
      <c r="D899" s="134">
        <v>5538</v>
      </c>
      <c r="E899" s="134">
        <v>4743</v>
      </c>
      <c r="F899" s="934">
        <v>4644</v>
      </c>
      <c r="G899" s="934">
        <v>5538</v>
      </c>
      <c r="H899" s="934">
        <v>4743</v>
      </c>
    </row>
    <row r="900" spans="1:8">
      <c r="A900" t="s">
        <v>3052</v>
      </c>
      <c r="B900" t="s">
        <v>1458</v>
      </c>
      <c r="C900" s="134">
        <v>4660</v>
      </c>
      <c r="D900" s="134">
        <v>4360</v>
      </c>
      <c r="E900" s="134">
        <v>4449</v>
      </c>
      <c r="F900" s="934">
        <v>4660</v>
      </c>
      <c r="G900" s="934">
        <v>4360</v>
      </c>
      <c r="H900" s="934">
        <v>4449</v>
      </c>
    </row>
    <row r="901" spans="1:8">
      <c r="A901" t="s">
        <v>3053</v>
      </c>
      <c r="B901" t="s">
        <v>2664</v>
      </c>
      <c r="C901" s="134">
        <v>4451</v>
      </c>
      <c r="D901" s="134">
        <v>5751</v>
      </c>
      <c r="E901" s="134">
        <v>4626</v>
      </c>
      <c r="F901" s="934">
        <v>4451</v>
      </c>
      <c r="G901" s="934">
        <v>5751</v>
      </c>
      <c r="H901" s="934">
        <v>4626</v>
      </c>
    </row>
    <row r="902" spans="1:8">
      <c r="A902" t="s">
        <v>3054</v>
      </c>
      <c r="B902" t="s">
        <v>1293</v>
      </c>
      <c r="C902" s="134">
        <v>4155</v>
      </c>
      <c r="D902" s="134">
        <v>4356</v>
      </c>
      <c r="E902" s="134">
        <v>4540</v>
      </c>
      <c r="F902" s="934">
        <v>4155</v>
      </c>
      <c r="G902" s="934">
        <v>4356</v>
      </c>
      <c r="H902" s="934">
        <v>4540</v>
      </c>
    </row>
    <row r="903" spans="1:8">
      <c r="A903" t="s">
        <v>3055</v>
      </c>
      <c r="B903" t="s">
        <v>1460</v>
      </c>
      <c r="C903" s="134">
        <v>6083</v>
      </c>
      <c r="D903" s="134">
        <v>7427</v>
      </c>
      <c r="E903" s="134">
        <v>6126</v>
      </c>
      <c r="F903" s="934">
        <v>6083</v>
      </c>
      <c r="G903" s="934">
        <v>7427</v>
      </c>
      <c r="H903" s="934">
        <v>6126</v>
      </c>
    </row>
    <row r="904" spans="1:8">
      <c r="A904" t="s">
        <v>1335</v>
      </c>
      <c r="B904" t="s">
        <v>336</v>
      </c>
      <c r="C904" s="134">
        <v>4788</v>
      </c>
      <c r="D904" s="134">
        <v>5137</v>
      </c>
      <c r="E904" s="134">
        <v>4949</v>
      </c>
      <c r="F904" s="934">
        <v>4788</v>
      </c>
      <c r="G904" s="934">
        <v>5137</v>
      </c>
      <c r="H904" s="934">
        <v>4949</v>
      </c>
    </row>
    <row r="905" spans="1:8">
      <c r="A905" t="s">
        <v>2106</v>
      </c>
      <c r="B905" t="s">
        <v>930</v>
      </c>
      <c r="C905" s="134">
        <v>4291</v>
      </c>
      <c r="D905" s="134">
        <v>4434</v>
      </c>
      <c r="E905" s="134">
        <v>4386</v>
      </c>
      <c r="F905" s="934">
        <v>4291</v>
      </c>
      <c r="G905" s="934">
        <v>4434</v>
      </c>
      <c r="H905" s="934">
        <v>4386</v>
      </c>
    </row>
    <row r="906" spans="1:8">
      <c r="A906" t="s">
        <v>1336</v>
      </c>
      <c r="B906" t="s">
        <v>2665</v>
      </c>
      <c r="C906" s="134">
        <v>5062</v>
      </c>
      <c r="D906" s="134">
        <v>5279</v>
      </c>
      <c r="E906" s="134">
        <v>5221</v>
      </c>
      <c r="F906" s="934">
        <v>5062</v>
      </c>
      <c r="G906" s="934">
        <v>5279</v>
      </c>
      <c r="H906" s="934">
        <v>5221</v>
      </c>
    </row>
    <row r="907" spans="1:8">
      <c r="A907" t="s">
        <v>1783</v>
      </c>
      <c r="B907" t="s">
        <v>706</v>
      </c>
      <c r="C907" s="134">
        <v>4862</v>
      </c>
      <c r="D907" s="134">
        <v>5140</v>
      </c>
      <c r="E907" s="134">
        <v>4943</v>
      </c>
      <c r="F907" s="934">
        <v>4862</v>
      </c>
      <c r="G907" s="934">
        <v>5140</v>
      </c>
      <c r="H907" s="934">
        <v>4943</v>
      </c>
    </row>
    <row r="908" spans="1:8">
      <c r="A908" t="s">
        <v>1784</v>
      </c>
      <c r="B908" t="s">
        <v>707</v>
      </c>
      <c r="C908" s="134">
        <v>4963</v>
      </c>
      <c r="D908" s="134">
        <v>4909</v>
      </c>
      <c r="E908" s="134">
        <v>4909</v>
      </c>
      <c r="F908" s="934">
        <v>4963</v>
      </c>
      <c r="G908" s="934">
        <v>4909</v>
      </c>
      <c r="H908" s="934">
        <v>4909</v>
      </c>
    </row>
    <row r="909" spans="1:8">
      <c r="A909" t="s">
        <v>1785</v>
      </c>
      <c r="B909" t="s">
        <v>708</v>
      </c>
      <c r="C909" s="134">
        <v>4714</v>
      </c>
      <c r="D909" s="134">
        <v>4706</v>
      </c>
      <c r="E909" s="134">
        <v>4706</v>
      </c>
      <c r="F909" s="934">
        <v>4714</v>
      </c>
      <c r="G909" s="934">
        <v>4706</v>
      </c>
      <c r="H909" s="934">
        <v>4706</v>
      </c>
    </row>
    <row r="910" spans="1:8">
      <c r="A910" t="s">
        <v>2062</v>
      </c>
      <c r="B910" t="s">
        <v>1868</v>
      </c>
      <c r="C910" s="134">
        <v>3970</v>
      </c>
      <c r="D910" s="134">
        <v>3900</v>
      </c>
      <c r="E910" s="134">
        <v>3900</v>
      </c>
      <c r="F910" s="934">
        <v>3970</v>
      </c>
      <c r="G910" s="934">
        <v>3900</v>
      </c>
      <c r="H910" s="934">
        <v>3900</v>
      </c>
    </row>
    <row r="911" spans="1:8">
      <c r="A911" t="s">
        <v>305</v>
      </c>
      <c r="B911" t="s">
        <v>735</v>
      </c>
      <c r="C911" s="134">
        <v>4528</v>
      </c>
      <c r="D911" s="134">
        <v>4463</v>
      </c>
      <c r="E911" s="134">
        <v>4510</v>
      </c>
      <c r="F911" s="934">
        <v>4528</v>
      </c>
      <c r="G911" s="934">
        <v>4463</v>
      </c>
      <c r="H911" s="934">
        <v>4510</v>
      </c>
    </row>
    <row r="912" spans="1:8">
      <c r="A912" t="s">
        <v>2063</v>
      </c>
      <c r="B912" t="s">
        <v>1869</v>
      </c>
      <c r="C912" s="134">
        <v>4791</v>
      </c>
      <c r="D912" s="134">
        <v>4773</v>
      </c>
      <c r="E912" s="134">
        <v>4922</v>
      </c>
      <c r="F912" s="934">
        <v>4791</v>
      </c>
      <c r="G912" s="934">
        <v>4773</v>
      </c>
      <c r="H912" s="934">
        <v>4922</v>
      </c>
    </row>
    <row r="913" spans="1:8">
      <c r="A913" t="s">
        <v>2797</v>
      </c>
      <c r="B913" t="s">
        <v>2179</v>
      </c>
      <c r="C913" s="134">
        <v>4455</v>
      </c>
      <c r="D913" s="134">
        <v>4493</v>
      </c>
      <c r="E913" s="134">
        <v>4419</v>
      </c>
      <c r="F913" s="934">
        <v>4455</v>
      </c>
      <c r="G913" s="934">
        <v>4493</v>
      </c>
      <c r="H913" s="934">
        <v>4419</v>
      </c>
    </row>
    <row r="914" spans="1:8">
      <c r="A914" t="s">
        <v>1488</v>
      </c>
      <c r="B914" t="s">
        <v>2307</v>
      </c>
      <c r="C914" s="134">
        <v>4468</v>
      </c>
      <c r="D914" s="134">
        <v>4609</v>
      </c>
      <c r="E914" s="134">
        <v>4609</v>
      </c>
      <c r="F914" s="934">
        <v>4468</v>
      </c>
      <c r="G914" s="934">
        <v>4609</v>
      </c>
      <c r="H914" s="934">
        <v>4609</v>
      </c>
    </row>
    <row r="915" spans="1:8">
      <c r="A915" t="s">
        <v>2785</v>
      </c>
      <c r="B915" t="s">
        <v>2180</v>
      </c>
      <c r="C915" s="134">
        <v>4622</v>
      </c>
      <c r="D915" s="134">
        <v>4851</v>
      </c>
      <c r="E915" s="134">
        <v>4661</v>
      </c>
      <c r="F915" s="934">
        <v>4622</v>
      </c>
      <c r="G915" s="934">
        <v>4851</v>
      </c>
      <c r="H915" s="934">
        <v>4661</v>
      </c>
    </row>
    <row r="916" spans="1:8">
      <c r="A916" t="s">
        <v>374</v>
      </c>
      <c r="B916" t="s">
        <v>158</v>
      </c>
      <c r="C916" s="134">
        <v>5277</v>
      </c>
      <c r="D916" s="134">
        <v>5422</v>
      </c>
      <c r="E916" s="134">
        <v>5386</v>
      </c>
      <c r="F916" s="934">
        <v>5277</v>
      </c>
      <c r="G916" s="934">
        <v>5422</v>
      </c>
      <c r="H916" s="934">
        <v>5386</v>
      </c>
    </row>
    <row r="917" spans="1:8">
      <c r="A917" t="s">
        <v>1482</v>
      </c>
      <c r="B917" t="s">
        <v>1947</v>
      </c>
      <c r="C917" s="134">
        <v>4648</v>
      </c>
      <c r="D917" s="134">
        <v>4664</v>
      </c>
      <c r="E917" s="134">
        <v>4659</v>
      </c>
      <c r="F917" s="934">
        <v>4648</v>
      </c>
      <c r="G917" s="934">
        <v>4664</v>
      </c>
      <c r="H917" s="934">
        <v>4659</v>
      </c>
    </row>
    <row r="918" spans="1:8">
      <c r="A918" t="s">
        <v>1422</v>
      </c>
      <c r="B918" t="s">
        <v>3041</v>
      </c>
      <c r="C918" s="134">
        <v>4545</v>
      </c>
      <c r="D918" s="134">
        <v>4504</v>
      </c>
      <c r="E918" s="134">
        <v>4501</v>
      </c>
      <c r="F918" s="934">
        <v>4545</v>
      </c>
      <c r="G918" s="934">
        <v>4504</v>
      </c>
      <c r="H918" s="934">
        <v>4501</v>
      </c>
    </row>
    <row r="919" spans="1:8">
      <c r="A919" t="s">
        <v>292</v>
      </c>
      <c r="B919" t="s">
        <v>2181</v>
      </c>
      <c r="C919" s="134">
        <v>5207</v>
      </c>
      <c r="D919" s="134">
        <v>5755</v>
      </c>
      <c r="E919" s="134">
        <v>5518</v>
      </c>
      <c r="F919" s="934">
        <v>5207</v>
      </c>
      <c r="G919" s="934">
        <v>5756</v>
      </c>
      <c r="H919" s="934">
        <v>5518</v>
      </c>
    </row>
    <row r="920" spans="1:8">
      <c r="A920" t="s">
        <v>238</v>
      </c>
      <c r="B920" t="s">
        <v>1125</v>
      </c>
      <c r="C920" s="134">
        <v>4717</v>
      </c>
      <c r="D920" s="134">
        <v>4887</v>
      </c>
      <c r="E920" s="134">
        <v>4797</v>
      </c>
      <c r="F920" s="934">
        <v>4717</v>
      </c>
      <c r="G920" s="934">
        <v>4887</v>
      </c>
      <c r="H920" s="934">
        <v>4797</v>
      </c>
    </row>
    <row r="921" spans="1:8">
      <c r="A921" t="s">
        <v>293</v>
      </c>
      <c r="B921" t="s">
        <v>2182</v>
      </c>
      <c r="C921" s="134">
        <v>4937</v>
      </c>
      <c r="D921" s="134">
        <v>5394</v>
      </c>
      <c r="E921" s="134">
        <v>4555</v>
      </c>
      <c r="F921" s="934">
        <v>4937</v>
      </c>
      <c r="G921" s="934">
        <v>5394</v>
      </c>
      <c r="H921" s="934">
        <v>4555</v>
      </c>
    </row>
    <row r="922" spans="1:8">
      <c r="A922" t="s">
        <v>294</v>
      </c>
      <c r="B922" t="s">
        <v>2183</v>
      </c>
      <c r="C922" s="134">
        <v>5398</v>
      </c>
      <c r="D922" s="134">
        <v>5911</v>
      </c>
      <c r="E922" s="134">
        <v>5752</v>
      </c>
      <c r="F922" s="934">
        <v>5398</v>
      </c>
      <c r="G922" s="934">
        <v>5919</v>
      </c>
      <c r="H922" s="934">
        <v>5751</v>
      </c>
    </row>
    <row r="923" spans="1:8">
      <c r="A923" t="s">
        <v>1295</v>
      </c>
      <c r="B923" t="s">
        <v>3064</v>
      </c>
      <c r="C923" s="134">
        <v>4608</v>
      </c>
      <c r="D923" s="134">
        <v>5139</v>
      </c>
      <c r="E923" s="134">
        <v>4741</v>
      </c>
      <c r="F923" s="934">
        <v>4608</v>
      </c>
      <c r="G923" s="934">
        <v>5139</v>
      </c>
      <c r="H923" s="934">
        <v>4742</v>
      </c>
    </row>
    <row r="924" spans="1:8">
      <c r="A924" t="s">
        <v>2804</v>
      </c>
      <c r="B924" t="s">
        <v>2184</v>
      </c>
      <c r="C924" s="134">
        <v>4872</v>
      </c>
      <c r="D924" s="134">
        <v>5970</v>
      </c>
      <c r="E924" s="134">
        <v>5591</v>
      </c>
      <c r="F924" s="934">
        <v>4871</v>
      </c>
      <c r="G924" s="934">
        <v>6024</v>
      </c>
      <c r="H924" s="934">
        <v>5618</v>
      </c>
    </row>
    <row r="925" spans="1:8">
      <c r="A925" t="s">
        <v>1496</v>
      </c>
      <c r="B925" t="s">
        <v>2185</v>
      </c>
      <c r="C925" s="134">
        <v>4934</v>
      </c>
      <c r="D925" s="134">
        <v>5822</v>
      </c>
      <c r="E925" s="134">
        <v>5265</v>
      </c>
      <c r="F925" s="934">
        <v>4934</v>
      </c>
      <c r="G925" s="934">
        <v>5822</v>
      </c>
      <c r="H925" s="934">
        <v>5265</v>
      </c>
    </row>
    <row r="926" spans="1:8">
      <c r="A926" t="s">
        <v>1497</v>
      </c>
      <c r="B926" t="s">
        <v>2186</v>
      </c>
      <c r="C926" s="134">
        <v>4354</v>
      </c>
      <c r="D926" s="134">
        <v>4292</v>
      </c>
      <c r="E926" s="134">
        <v>4334</v>
      </c>
      <c r="F926" s="934">
        <v>4354</v>
      </c>
      <c r="G926" s="934">
        <v>4292</v>
      </c>
      <c r="H926" s="934">
        <v>4334</v>
      </c>
    </row>
    <row r="927" spans="1:8">
      <c r="A927" t="s">
        <v>1498</v>
      </c>
      <c r="B927" t="s">
        <v>2187</v>
      </c>
      <c r="C927" s="134">
        <v>4330</v>
      </c>
      <c r="D927" s="134">
        <v>4461</v>
      </c>
      <c r="E927" s="134">
        <v>4461</v>
      </c>
      <c r="F927" s="934">
        <v>4330</v>
      </c>
      <c r="G927" s="934">
        <v>4461</v>
      </c>
      <c r="H927" s="934">
        <v>4461</v>
      </c>
    </row>
    <row r="928" spans="1:8">
      <c r="A928" t="s">
        <v>1499</v>
      </c>
      <c r="B928" t="s">
        <v>2081</v>
      </c>
      <c r="C928" s="134">
        <v>4575</v>
      </c>
      <c r="D928" s="134">
        <v>4674</v>
      </c>
      <c r="E928" s="134">
        <v>4692</v>
      </c>
      <c r="F928" s="934">
        <v>4575</v>
      </c>
      <c r="G928" s="934">
        <v>4674</v>
      </c>
      <c r="H928" s="934">
        <v>4692</v>
      </c>
    </row>
    <row r="929" spans="1:8">
      <c r="A929" t="s">
        <v>1500</v>
      </c>
      <c r="B929" t="s">
        <v>2188</v>
      </c>
      <c r="C929" s="134">
        <v>4625</v>
      </c>
      <c r="D929" s="134">
        <v>4522</v>
      </c>
      <c r="E929" s="134">
        <v>4553</v>
      </c>
      <c r="F929" s="934">
        <v>4625</v>
      </c>
      <c r="G929" s="934">
        <v>4522</v>
      </c>
      <c r="H929" s="934">
        <v>4553</v>
      </c>
    </row>
    <row r="930" spans="1:8">
      <c r="A930" t="s">
        <v>1615</v>
      </c>
      <c r="B930" t="s">
        <v>1740</v>
      </c>
      <c r="C930" s="134">
        <v>4391</v>
      </c>
      <c r="D930" s="134">
        <v>4140</v>
      </c>
      <c r="E930" s="134">
        <v>4140</v>
      </c>
      <c r="F930" s="934">
        <v>4391</v>
      </c>
      <c r="G930" s="934">
        <v>4140</v>
      </c>
      <c r="H930" s="934">
        <v>4140</v>
      </c>
    </row>
    <row r="931" spans="1:8">
      <c r="A931" t="s">
        <v>2051</v>
      </c>
      <c r="B931" t="s">
        <v>2189</v>
      </c>
      <c r="C931" s="134">
        <v>5223</v>
      </c>
      <c r="D931" s="134">
        <v>5904</v>
      </c>
      <c r="E931" s="134">
        <v>5719</v>
      </c>
      <c r="F931" s="934">
        <v>5223</v>
      </c>
      <c r="G931" s="934">
        <v>5904</v>
      </c>
      <c r="H931" s="934">
        <v>5719</v>
      </c>
    </row>
    <row r="932" spans="1:8">
      <c r="A932" t="s">
        <v>2052</v>
      </c>
      <c r="B932" t="s">
        <v>2190</v>
      </c>
      <c r="C932" s="134">
        <v>4788</v>
      </c>
      <c r="D932" s="134">
        <v>4993</v>
      </c>
      <c r="E932" s="134">
        <v>4993</v>
      </c>
      <c r="F932" s="934">
        <v>4788</v>
      </c>
      <c r="G932" s="934">
        <v>4993</v>
      </c>
      <c r="H932" s="934">
        <v>4993</v>
      </c>
    </row>
    <row r="933" spans="1:8">
      <c r="A933" t="s">
        <v>1423</v>
      </c>
      <c r="B933" t="s">
        <v>2212</v>
      </c>
      <c r="C933" s="134">
        <v>4651</v>
      </c>
      <c r="D933" s="134">
        <v>4680</v>
      </c>
      <c r="E933" s="134">
        <v>4680</v>
      </c>
      <c r="F933" s="934">
        <v>4651</v>
      </c>
      <c r="G933" s="934">
        <v>4680</v>
      </c>
      <c r="H933" s="934">
        <v>4680</v>
      </c>
    </row>
    <row r="934" spans="1:8">
      <c r="A934" t="s">
        <v>83</v>
      </c>
      <c r="B934" t="s">
        <v>2499</v>
      </c>
      <c r="C934" s="134">
        <v>4562</v>
      </c>
      <c r="D934" s="134">
        <v>4115</v>
      </c>
      <c r="E934" s="134">
        <v>4115</v>
      </c>
      <c r="F934" s="934">
        <v>4562</v>
      </c>
      <c r="G934" s="934">
        <v>4114</v>
      </c>
      <c r="H934" s="934">
        <v>4114</v>
      </c>
    </row>
    <row r="935" spans="1:8">
      <c r="A935" t="s">
        <v>2053</v>
      </c>
      <c r="B935" t="s">
        <v>483</v>
      </c>
      <c r="C935" s="134">
        <v>4567</v>
      </c>
      <c r="D935" s="134">
        <v>4713</v>
      </c>
      <c r="E935" s="134">
        <v>4636</v>
      </c>
      <c r="F935" s="934">
        <v>4567</v>
      </c>
      <c r="G935" s="934">
        <v>4713</v>
      </c>
      <c r="H935" s="934">
        <v>4636</v>
      </c>
    </row>
    <row r="936" spans="1:8">
      <c r="A936" t="s">
        <v>2054</v>
      </c>
      <c r="B936" t="s">
        <v>2191</v>
      </c>
      <c r="C936" s="134">
        <v>4692</v>
      </c>
      <c r="D936" s="134">
        <v>5050</v>
      </c>
      <c r="E936" s="134">
        <v>5081</v>
      </c>
      <c r="F936" s="934">
        <v>4692</v>
      </c>
      <c r="G936" s="934">
        <v>5050</v>
      </c>
      <c r="H936" s="934">
        <v>5081</v>
      </c>
    </row>
    <row r="937" spans="1:8">
      <c r="A937" t="s">
        <v>1594</v>
      </c>
      <c r="B937" t="s">
        <v>1152</v>
      </c>
      <c r="C937" s="134">
        <v>4481</v>
      </c>
      <c r="D937" s="134">
        <v>4548</v>
      </c>
      <c r="E937" s="134">
        <v>4548</v>
      </c>
      <c r="F937" s="934">
        <v>4481</v>
      </c>
      <c r="G937" s="934">
        <v>4548</v>
      </c>
      <c r="H937" s="934">
        <v>4548</v>
      </c>
    </row>
    <row r="938" spans="1:8">
      <c r="A938" t="s">
        <v>1229</v>
      </c>
      <c r="B938" t="s">
        <v>881</v>
      </c>
      <c r="C938" s="134">
        <v>4575</v>
      </c>
      <c r="D938" s="134">
        <v>4794</v>
      </c>
      <c r="E938" s="134">
        <v>4667</v>
      </c>
      <c r="F938" s="934">
        <v>4575</v>
      </c>
      <c r="G938" s="934">
        <v>4794</v>
      </c>
      <c r="H938" s="934">
        <v>4667</v>
      </c>
    </row>
    <row r="939" spans="1:8">
      <c r="A939" t="s">
        <v>2127</v>
      </c>
      <c r="B939" t="s">
        <v>935</v>
      </c>
      <c r="C939" s="134">
        <v>4587</v>
      </c>
      <c r="D939" s="134">
        <v>5025</v>
      </c>
      <c r="E939" s="134">
        <v>4997</v>
      </c>
      <c r="F939" s="934">
        <v>4587</v>
      </c>
      <c r="G939" s="934">
        <v>5025</v>
      </c>
      <c r="H939" s="934">
        <v>4996</v>
      </c>
    </row>
    <row r="940" spans="1:8">
      <c r="A940" t="s">
        <v>1230</v>
      </c>
      <c r="B940" t="s">
        <v>1729</v>
      </c>
      <c r="C940" s="134">
        <v>4518</v>
      </c>
      <c r="D940" s="134">
        <v>4725</v>
      </c>
      <c r="E940" s="134">
        <v>4617</v>
      </c>
      <c r="F940" s="934">
        <v>4518</v>
      </c>
      <c r="G940" s="934">
        <v>4725</v>
      </c>
      <c r="H940" s="934">
        <v>4617</v>
      </c>
    </row>
    <row r="941" spans="1:8">
      <c r="A941" t="s">
        <v>1231</v>
      </c>
      <c r="B941" t="s">
        <v>882</v>
      </c>
      <c r="C941" s="134">
        <v>4529</v>
      </c>
      <c r="D941" s="134">
        <v>5094</v>
      </c>
      <c r="E941" s="134">
        <v>4628</v>
      </c>
      <c r="F941" s="934">
        <v>4529</v>
      </c>
      <c r="G941" s="934">
        <v>5094</v>
      </c>
      <c r="H941" s="934">
        <v>4628</v>
      </c>
    </row>
    <row r="942" spans="1:8">
      <c r="A942" t="s">
        <v>1232</v>
      </c>
      <c r="B942" t="s">
        <v>883</v>
      </c>
      <c r="C942" s="134">
        <v>5909</v>
      </c>
      <c r="D942" s="134">
        <v>6624</v>
      </c>
      <c r="E942" s="134">
        <v>5947</v>
      </c>
      <c r="F942" s="934">
        <v>5909</v>
      </c>
      <c r="G942" s="934">
        <v>6624</v>
      </c>
      <c r="H942" s="934">
        <v>5947</v>
      </c>
    </row>
    <row r="943" spans="1:8">
      <c r="A943" t="s">
        <v>1233</v>
      </c>
      <c r="B943" t="s">
        <v>884</v>
      </c>
      <c r="C943" s="134">
        <v>7352</v>
      </c>
      <c r="D943" s="134">
        <v>7780</v>
      </c>
      <c r="E943" s="134">
        <v>7837</v>
      </c>
      <c r="F943" s="934">
        <v>7352</v>
      </c>
      <c r="G943" s="934">
        <v>7780</v>
      </c>
      <c r="H943" s="934">
        <v>7837</v>
      </c>
    </row>
    <row r="944" spans="1:8">
      <c r="A944" t="s">
        <v>63</v>
      </c>
      <c r="B944" t="s">
        <v>2832</v>
      </c>
      <c r="C944" s="134">
        <v>4094</v>
      </c>
      <c r="D944" s="134">
        <v>4371</v>
      </c>
      <c r="E944" s="134">
        <v>4434</v>
      </c>
      <c r="F944" s="934">
        <v>4094</v>
      </c>
      <c r="G944" s="934">
        <v>4371</v>
      </c>
      <c r="H944" s="934">
        <v>4434</v>
      </c>
    </row>
    <row r="945" spans="1:8">
      <c r="A945" t="s">
        <v>1737</v>
      </c>
      <c r="B945" t="s">
        <v>670</v>
      </c>
      <c r="C945" s="134">
        <v>4272</v>
      </c>
      <c r="D945" s="134">
        <v>4550</v>
      </c>
      <c r="E945" s="134">
        <v>4491</v>
      </c>
      <c r="F945" s="934">
        <v>4272</v>
      </c>
      <c r="G945" s="934">
        <v>4550</v>
      </c>
      <c r="H945" s="934">
        <v>4491</v>
      </c>
    </row>
    <row r="946" spans="1:8">
      <c r="A946" t="s">
        <v>1714</v>
      </c>
      <c r="B946" t="s">
        <v>327</v>
      </c>
      <c r="C946" s="134">
        <v>4479</v>
      </c>
      <c r="D946" s="134">
        <v>4458</v>
      </c>
      <c r="E946" s="134">
        <v>4560</v>
      </c>
      <c r="F946" s="934">
        <v>4479</v>
      </c>
      <c r="G946" s="934">
        <v>4458</v>
      </c>
      <c r="H946" s="934">
        <v>4560</v>
      </c>
    </row>
    <row r="947" spans="1:8">
      <c r="A947" t="s">
        <v>1495</v>
      </c>
      <c r="B947" t="s">
        <v>687</v>
      </c>
      <c r="C947" s="134">
        <v>4579</v>
      </c>
      <c r="D947" s="134">
        <v>5436</v>
      </c>
      <c r="E947" s="134">
        <v>5357</v>
      </c>
      <c r="F947" s="934">
        <v>4579</v>
      </c>
      <c r="G947" s="934">
        <v>5436</v>
      </c>
      <c r="H947" s="934">
        <v>5357</v>
      </c>
    </row>
    <row r="948" spans="1:8">
      <c r="A948" t="s">
        <v>530</v>
      </c>
      <c r="B948" t="s">
        <v>2460</v>
      </c>
      <c r="C948" s="134">
        <v>4010</v>
      </c>
      <c r="D948" s="134">
        <v>4274</v>
      </c>
      <c r="E948" s="134">
        <v>4183</v>
      </c>
      <c r="F948" s="934">
        <v>4010</v>
      </c>
      <c r="G948" s="934">
        <v>4274</v>
      </c>
      <c r="H948" s="934">
        <v>4183</v>
      </c>
    </row>
    <row r="949" spans="1:8">
      <c r="A949" t="s">
        <v>940</v>
      </c>
      <c r="B949" t="s">
        <v>688</v>
      </c>
      <c r="C949" s="134">
        <v>5123</v>
      </c>
      <c r="D949" s="134">
        <v>6089</v>
      </c>
      <c r="E949" s="134">
        <v>5268</v>
      </c>
      <c r="F949" s="934">
        <v>5123</v>
      </c>
      <c r="G949" s="934">
        <v>6089</v>
      </c>
      <c r="H949" s="934">
        <v>5268</v>
      </c>
    </row>
    <row r="950" spans="1:8">
      <c r="A950" t="s">
        <v>943</v>
      </c>
      <c r="B950" t="s">
        <v>1310</v>
      </c>
      <c r="C950" s="134">
        <v>4796</v>
      </c>
      <c r="D950" s="134">
        <v>4715</v>
      </c>
      <c r="E950" s="134">
        <v>4801</v>
      </c>
      <c r="F950" s="934">
        <v>4796</v>
      </c>
      <c r="G950" s="934">
        <v>4715</v>
      </c>
      <c r="H950" s="934">
        <v>4801</v>
      </c>
    </row>
    <row r="951" spans="1:8">
      <c r="A951" t="s">
        <v>944</v>
      </c>
      <c r="B951" t="s">
        <v>1000</v>
      </c>
      <c r="C951" s="134">
        <v>4236</v>
      </c>
      <c r="D951" s="134">
        <v>4222</v>
      </c>
      <c r="E951" s="134">
        <v>4415</v>
      </c>
      <c r="F951" s="934">
        <v>4236</v>
      </c>
      <c r="G951" s="934">
        <v>4222</v>
      </c>
      <c r="H951" s="934">
        <v>4415</v>
      </c>
    </row>
    <row r="952" spans="1:8">
      <c r="A952" t="s">
        <v>1726</v>
      </c>
      <c r="B952" t="s">
        <v>976</v>
      </c>
      <c r="C952" s="134">
        <v>5061</v>
      </c>
      <c r="D952" s="134">
        <v>5332</v>
      </c>
      <c r="E952" s="134">
        <v>5465</v>
      </c>
      <c r="F952" s="934">
        <v>5061</v>
      </c>
      <c r="G952" s="934">
        <v>5332</v>
      </c>
      <c r="H952" s="934">
        <v>5465</v>
      </c>
    </row>
    <row r="953" spans="1:8">
      <c r="A953" t="s">
        <v>2097</v>
      </c>
      <c r="B953" t="s">
        <v>2359</v>
      </c>
      <c r="C953" s="134">
        <v>4584</v>
      </c>
      <c r="D953" s="134">
        <v>4592</v>
      </c>
      <c r="E953" s="134">
        <v>4643</v>
      </c>
      <c r="F953" s="934">
        <v>4584</v>
      </c>
      <c r="G953" s="934">
        <v>4592</v>
      </c>
      <c r="H953" s="934">
        <v>4643</v>
      </c>
    </row>
    <row r="954" spans="1:8">
      <c r="A954" t="s">
        <v>945</v>
      </c>
      <c r="B954" t="s">
        <v>1311</v>
      </c>
      <c r="C954" s="134">
        <v>4414</v>
      </c>
      <c r="D954" s="134">
        <v>4631</v>
      </c>
      <c r="E954" s="134">
        <v>4586</v>
      </c>
      <c r="F954" s="934">
        <v>4414</v>
      </c>
      <c r="G954" s="934">
        <v>4631</v>
      </c>
      <c r="H954" s="934">
        <v>4586</v>
      </c>
    </row>
    <row r="955" spans="1:8">
      <c r="A955" t="s">
        <v>946</v>
      </c>
      <c r="B955" t="s">
        <v>2379</v>
      </c>
      <c r="C955" s="134">
        <v>4588</v>
      </c>
      <c r="D955" s="134">
        <v>4713</v>
      </c>
      <c r="E955" s="134">
        <v>4713</v>
      </c>
      <c r="F955" s="934">
        <v>4588</v>
      </c>
      <c r="G955" s="934">
        <v>4713</v>
      </c>
      <c r="H955" s="934">
        <v>4713</v>
      </c>
    </row>
    <row r="956" spans="1:8">
      <c r="A956" t="s">
        <v>1606</v>
      </c>
      <c r="B956" t="s">
        <v>1668</v>
      </c>
      <c r="C956" s="134">
        <v>4461</v>
      </c>
      <c r="D956" s="134">
        <v>4315</v>
      </c>
      <c r="E956" s="134">
        <v>4315</v>
      </c>
      <c r="F956" s="934">
        <v>4461</v>
      </c>
      <c r="G956" s="934">
        <v>4315</v>
      </c>
      <c r="H956" s="934">
        <v>4315</v>
      </c>
    </row>
    <row r="957" spans="1:8">
      <c r="A957" t="s">
        <v>989</v>
      </c>
      <c r="B957" t="s">
        <v>1520</v>
      </c>
      <c r="C957" s="134">
        <v>4529</v>
      </c>
      <c r="D957" s="134">
        <v>4709</v>
      </c>
      <c r="E957" s="134">
        <v>4581</v>
      </c>
      <c r="F957" s="934">
        <v>4529</v>
      </c>
      <c r="G957" s="934">
        <v>4709</v>
      </c>
      <c r="H957" s="934">
        <v>4581</v>
      </c>
    </row>
    <row r="958" spans="1:8">
      <c r="A958" t="s">
        <v>372</v>
      </c>
      <c r="B958" t="s">
        <v>155</v>
      </c>
      <c r="C958" s="134">
        <v>4501</v>
      </c>
      <c r="D958" s="134">
        <v>4601</v>
      </c>
      <c r="E958" s="134">
        <v>4595</v>
      </c>
      <c r="F958" s="934">
        <v>4501</v>
      </c>
      <c r="G958" s="934">
        <v>4604</v>
      </c>
      <c r="H958" s="934">
        <v>4594</v>
      </c>
    </row>
    <row r="959" spans="1:8">
      <c r="A959" t="s">
        <v>2992</v>
      </c>
      <c r="B959" t="s">
        <v>2380</v>
      </c>
      <c r="C959" s="134">
        <v>5244</v>
      </c>
      <c r="D959" s="134">
        <v>5609</v>
      </c>
      <c r="E959" s="134">
        <v>5277</v>
      </c>
      <c r="F959" s="934">
        <v>5244</v>
      </c>
      <c r="G959" s="934">
        <v>5825</v>
      </c>
      <c r="H959" s="934">
        <v>5493</v>
      </c>
    </row>
    <row r="960" spans="1:8">
      <c r="A960" t="s">
        <v>1160</v>
      </c>
      <c r="B960" t="s">
        <v>1307</v>
      </c>
      <c r="C960" s="134">
        <v>4544</v>
      </c>
      <c r="D960" s="134">
        <v>4603</v>
      </c>
      <c r="E960" s="134">
        <v>4649</v>
      </c>
      <c r="F960" s="934">
        <v>4544</v>
      </c>
      <c r="G960" s="934">
        <v>4603</v>
      </c>
      <c r="H960" s="934">
        <v>4649</v>
      </c>
    </row>
    <row r="961" spans="1:8">
      <c r="A961" t="s">
        <v>1320</v>
      </c>
      <c r="B961" t="s">
        <v>106</v>
      </c>
      <c r="C961" s="134">
        <v>4654</v>
      </c>
      <c r="D961" s="134">
        <v>4725</v>
      </c>
      <c r="E961" s="134">
        <v>4752</v>
      </c>
      <c r="F961" s="934">
        <v>4654</v>
      </c>
      <c r="G961" s="934">
        <v>4727</v>
      </c>
      <c r="H961" s="934">
        <v>4754</v>
      </c>
    </row>
    <row r="962" spans="1:8">
      <c r="A962" t="s">
        <v>306</v>
      </c>
      <c r="B962" t="s">
        <v>2722</v>
      </c>
      <c r="C962" s="134">
        <v>4674</v>
      </c>
      <c r="D962" s="134">
        <v>4660</v>
      </c>
      <c r="E962" s="134">
        <v>4660</v>
      </c>
      <c r="F962" s="934">
        <v>4674</v>
      </c>
      <c r="G962" s="934">
        <v>4660</v>
      </c>
      <c r="H962" s="934">
        <v>4660</v>
      </c>
    </row>
    <row r="963" spans="1:8">
      <c r="A963" t="s">
        <v>307</v>
      </c>
      <c r="B963" t="s">
        <v>159</v>
      </c>
      <c r="C963" s="134">
        <v>4880</v>
      </c>
      <c r="D963" s="134">
        <v>5038</v>
      </c>
      <c r="E963" s="134">
        <v>5038</v>
      </c>
      <c r="F963" s="934">
        <v>4880</v>
      </c>
      <c r="G963" s="934">
        <v>5038</v>
      </c>
      <c r="H963" s="934">
        <v>5038</v>
      </c>
    </row>
    <row r="964" spans="1:8">
      <c r="A964" t="s">
        <v>693</v>
      </c>
      <c r="B964" t="s">
        <v>107</v>
      </c>
      <c r="C964" s="134">
        <v>5064</v>
      </c>
      <c r="D964" s="134">
        <v>4853</v>
      </c>
      <c r="E964" s="134">
        <v>4853</v>
      </c>
      <c r="F964" s="934">
        <v>5064</v>
      </c>
      <c r="G964" s="934">
        <v>4853</v>
      </c>
      <c r="H964" s="934">
        <v>4853</v>
      </c>
    </row>
    <row r="965" spans="1:8">
      <c r="A965" t="s">
        <v>694</v>
      </c>
      <c r="B965" t="s">
        <v>999</v>
      </c>
      <c r="C965" s="134">
        <v>5416</v>
      </c>
      <c r="D965" s="134">
        <v>5608</v>
      </c>
      <c r="E965" s="134">
        <v>5518</v>
      </c>
      <c r="F965" s="934">
        <v>5416</v>
      </c>
      <c r="G965" s="934">
        <v>5608</v>
      </c>
      <c r="H965" s="934">
        <v>5518</v>
      </c>
    </row>
    <row r="966" spans="1:8">
      <c r="A966" t="s">
        <v>695</v>
      </c>
      <c r="B966" t="s">
        <v>1383</v>
      </c>
      <c r="C966" s="134">
        <v>6781</v>
      </c>
      <c r="D966" s="134">
        <v>5546</v>
      </c>
      <c r="E966" s="134">
        <v>5546</v>
      </c>
      <c r="F966" s="934">
        <v>6781</v>
      </c>
      <c r="G966" s="934">
        <v>5546</v>
      </c>
      <c r="H966" s="934">
        <v>5546</v>
      </c>
    </row>
    <row r="967" spans="1:8">
      <c r="A967" t="s">
        <v>2669</v>
      </c>
      <c r="B967" t="s">
        <v>1384</v>
      </c>
      <c r="C967" s="134">
        <v>4644</v>
      </c>
      <c r="D967" s="134">
        <v>4895</v>
      </c>
      <c r="E967" s="134">
        <v>5003</v>
      </c>
      <c r="F967" s="934">
        <v>4644</v>
      </c>
      <c r="G967" s="934">
        <v>4895</v>
      </c>
      <c r="H967" s="934">
        <v>5003</v>
      </c>
    </row>
    <row r="968" spans="1:8">
      <c r="A968" t="s">
        <v>2670</v>
      </c>
      <c r="B968" t="s">
        <v>1385</v>
      </c>
      <c r="C968" s="134">
        <v>5611</v>
      </c>
      <c r="D968" s="134">
        <v>5514</v>
      </c>
      <c r="E968" s="134">
        <v>5514</v>
      </c>
      <c r="F968" s="934">
        <v>5611</v>
      </c>
      <c r="G968" s="934">
        <v>5514</v>
      </c>
      <c r="H968" s="934">
        <v>5514</v>
      </c>
    </row>
    <row r="969" spans="1:8">
      <c r="A969" t="s">
        <v>1987</v>
      </c>
      <c r="B969" t="s">
        <v>2677</v>
      </c>
      <c r="C969" s="134">
        <v>4413</v>
      </c>
      <c r="D969" s="134">
        <v>4619</v>
      </c>
      <c r="E969" s="134">
        <v>4679</v>
      </c>
      <c r="F969" s="934">
        <v>4413</v>
      </c>
      <c r="G969" s="934">
        <v>4619</v>
      </c>
      <c r="H969" s="934">
        <v>4679</v>
      </c>
    </row>
    <row r="970" spans="1:8">
      <c r="A970" t="s">
        <v>1713</v>
      </c>
      <c r="B970" t="s">
        <v>2703</v>
      </c>
      <c r="C970" s="134">
        <v>4542</v>
      </c>
      <c r="D970" s="134">
        <v>4775</v>
      </c>
      <c r="E970" s="134">
        <v>4614</v>
      </c>
      <c r="F970" s="934">
        <v>4542</v>
      </c>
      <c r="G970" s="934">
        <v>4775</v>
      </c>
      <c r="H970" s="934">
        <v>4614</v>
      </c>
    </row>
    <row r="971" spans="1:8">
      <c r="A971" t="s">
        <v>1043</v>
      </c>
      <c r="B971" t="s">
        <v>2666</v>
      </c>
      <c r="C971" s="134">
        <v>7541</v>
      </c>
      <c r="D971" s="134">
        <v>10639</v>
      </c>
      <c r="E971" s="134">
        <v>7873</v>
      </c>
      <c r="F971" s="934">
        <v>7541</v>
      </c>
      <c r="G971" s="934">
        <v>10639</v>
      </c>
      <c r="H971" s="934">
        <v>7873</v>
      </c>
    </row>
    <row r="972" spans="1:8">
      <c r="A972" t="s">
        <v>1044</v>
      </c>
      <c r="B972" t="s">
        <v>1387</v>
      </c>
      <c r="C972" s="134">
        <v>4673</v>
      </c>
      <c r="D972" s="134">
        <v>4923</v>
      </c>
      <c r="E972" s="134">
        <v>4805</v>
      </c>
      <c r="F972" s="934">
        <v>4673</v>
      </c>
      <c r="G972" s="934">
        <v>4922</v>
      </c>
      <c r="H972" s="934">
        <v>4805</v>
      </c>
    </row>
    <row r="973" spans="1:8">
      <c r="A973" t="s">
        <v>1045</v>
      </c>
      <c r="B973" t="s">
        <v>1388</v>
      </c>
      <c r="C973" s="134">
        <v>4794</v>
      </c>
      <c r="D973" s="134">
        <v>4759</v>
      </c>
      <c r="E973" s="134">
        <v>4681</v>
      </c>
      <c r="F973" s="934">
        <v>4794</v>
      </c>
      <c r="G973" s="934">
        <v>4759</v>
      </c>
      <c r="H973" s="934">
        <v>4681</v>
      </c>
    </row>
    <row r="974" spans="1:8">
      <c r="A974" t="s">
        <v>624</v>
      </c>
      <c r="B974" t="s">
        <v>1389</v>
      </c>
      <c r="C974" s="134">
        <v>4669</v>
      </c>
      <c r="D974" s="134">
        <v>5306</v>
      </c>
      <c r="E974" s="134">
        <v>4889</v>
      </c>
      <c r="F974" s="934">
        <v>4669</v>
      </c>
      <c r="G974" s="934">
        <v>5306</v>
      </c>
      <c r="H974" s="934">
        <v>4889</v>
      </c>
    </row>
    <row r="975" spans="1:8">
      <c r="A975" t="s">
        <v>1014</v>
      </c>
      <c r="B975" t="s">
        <v>1390</v>
      </c>
      <c r="C975" s="134">
        <v>4835</v>
      </c>
      <c r="D975" s="134">
        <v>4745</v>
      </c>
      <c r="E975" s="134">
        <v>4773</v>
      </c>
      <c r="F975" s="934">
        <v>4835</v>
      </c>
      <c r="G975" s="934">
        <v>4745</v>
      </c>
      <c r="H975" s="934">
        <v>4773</v>
      </c>
    </row>
    <row r="976" spans="1:8">
      <c r="A976" t="s">
        <v>1015</v>
      </c>
      <c r="B976" t="s">
        <v>1391</v>
      </c>
      <c r="C976" s="134">
        <v>4596</v>
      </c>
      <c r="D976" s="134">
        <v>4603</v>
      </c>
      <c r="E976" s="134">
        <v>4659</v>
      </c>
      <c r="F976" s="934">
        <v>4596</v>
      </c>
      <c r="G976" s="934">
        <v>4603</v>
      </c>
      <c r="H976" s="934">
        <v>4659</v>
      </c>
    </row>
    <row r="977" spans="1:8">
      <c r="A977" t="s">
        <v>1016</v>
      </c>
      <c r="B977" t="s">
        <v>1392</v>
      </c>
      <c r="C977" s="134">
        <v>4833</v>
      </c>
      <c r="D977" s="134">
        <v>4858</v>
      </c>
      <c r="E977" s="134">
        <v>4910</v>
      </c>
      <c r="F977" s="934">
        <v>4833</v>
      </c>
      <c r="G977" s="934">
        <v>4858</v>
      </c>
      <c r="H977" s="934">
        <v>4910</v>
      </c>
    </row>
    <row r="978" spans="1:8">
      <c r="A978" t="s">
        <v>1017</v>
      </c>
      <c r="B978" t="s">
        <v>1393</v>
      </c>
      <c r="C978" s="134">
        <v>4947</v>
      </c>
      <c r="D978" s="134">
        <v>5744</v>
      </c>
      <c r="E978" s="134">
        <v>5026</v>
      </c>
      <c r="F978" s="934">
        <v>4947</v>
      </c>
      <c r="G978" s="934">
        <v>5743</v>
      </c>
      <c r="H978" s="934">
        <v>5026</v>
      </c>
    </row>
    <row r="979" spans="1:8">
      <c r="A979" t="s">
        <v>1940</v>
      </c>
      <c r="B979" t="s">
        <v>1394</v>
      </c>
      <c r="C979" s="134">
        <v>6139</v>
      </c>
      <c r="D979" s="134">
        <v>9361</v>
      </c>
      <c r="E979" s="134">
        <v>6272</v>
      </c>
      <c r="F979" s="934">
        <v>6139</v>
      </c>
      <c r="G979" s="934">
        <v>9361</v>
      </c>
      <c r="H979" s="934">
        <v>6272</v>
      </c>
    </row>
    <row r="980" spans="1:8">
      <c r="A980" t="s">
        <v>2648</v>
      </c>
      <c r="B980" t="s">
        <v>1395</v>
      </c>
      <c r="C980" s="134">
        <v>7366</v>
      </c>
      <c r="D980" s="134">
        <v>8436</v>
      </c>
      <c r="E980" s="134">
        <v>7686</v>
      </c>
      <c r="F980" s="934">
        <v>7366</v>
      </c>
      <c r="G980" s="934">
        <v>8436</v>
      </c>
      <c r="H980" s="934">
        <v>7686</v>
      </c>
    </row>
    <row r="981" spans="1:8">
      <c r="A981" t="s">
        <v>996</v>
      </c>
      <c r="B981" t="s">
        <v>1633</v>
      </c>
      <c r="C981" s="134">
        <v>4477</v>
      </c>
      <c r="D981" s="134">
        <v>4692</v>
      </c>
      <c r="E981" s="134">
        <v>4654</v>
      </c>
      <c r="F981" s="934">
        <v>4477</v>
      </c>
      <c r="G981" s="934">
        <v>4692</v>
      </c>
      <c r="H981" s="934">
        <v>4654</v>
      </c>
    </row>
    <row r="982" spans="1:8">
      <c r="A982" t="s">
        <v>1424</v>
      </c>
      <c r="B982" t="s">
        <v>1804</v>
      </c>
      <c r="C982" s="134">
        <v>5239</v>
      </c>
      <c r="D982" s="134">
        <v>4768</v>
      </c>
      <c r="E982" s="134">
        <v>4768</v>
      </c>
      <c r="F982" s="934">
        <v>5239</v>
      </c>
      <c r="G982" s="934">
        <v>4768</v>
      </c>
      <c r="H982" s="934">
        <v>4768</v>
      </c>
    </row>
    <row r="983" spans="1:8">
      <c r="A983" t="s">
        <v>714</v>
      </c>
      <c r="B983" t="s">
        <v>2667</v>
      </c>
      <c r="C983" s="134">
        <v>4603</v>
      </c>
      <c r="D983" s="134">
        <v>4665</v>
      </c>
      <c r="E983" s="134">
        <v>4684</v>
      </c>
      <c r="F983" s="934">
        <v>4603</v>
      </c>
      <c r="G983" s="934">
        <v>4665</v>
      </c>
      <c r="H983" s="934">
        <v>4684</v>
      </c>
    </row>
    <row r="984" spans="1:8">
      <c r="A984" t="s">
        <v>2088</v>
      </c>
      <c r="B984" t="s">
        <v>1806</v>
      </c>
      <c r="C984" s="134">
        <v>4587</v>
      </c>
      <c r="D984" s="134">
        <v>4685</v>
      </c>
      <c r="E984" s="134">
        <v>4685</v>
      </c>
      <c r="F984" s="934">
        <v>4587</v>
      </c>
      <c r="G984" s="934">
        <v>4684</v>
      </c>
      <c r="H984" s="934">
        <v>4684</v>
      </c>
    </row>
    <row r="985" spans="1:8">
      <c r="A985" t="s">
        <v>626</v>
      </c>
      <c r="B985" t="s">
        <v>1327</v>
      </c>
      <c r="C985" s="134">
        <v>4478</v>
      </c>
      <c r="D985" s="134">
        <v>4420</v>
      </c>
      <c r="E985" s="134">
        <v>4420</v>
      </c>
      <c r="F985" s="934">
        <v>4478</v>
      </c>
      <c r="G985" s="934">
        <v>4420</v>
      </c>
      <c r="H985" s="934">
        <v>4420</v>
      </c>
    </row>
    <row r="986" spans="1:8">
      <c r="A986" t="s">
        <v>1534</v>
      </c>
      <c r="B986" t="s">
        <v>1807</v>
      </c>
      <c r="C986" s="134">
        <v>4714</v>
      </c>
      <c r="D986" s="134">
        <v>5692</v>
      </c>
      <c r="E986" s="134">
        <v>4723</v>
      </c>
      <c r="F986" s="934">
        <v>4714</v>
      </c>
      <c r="G986" s="934">
        <v>5692</v>
      </c>
      <c r="H986" s="934">
        <v>4723</v>
      </c>
    </row>
    <row r="987" spans="1:8">
      <c r="A987" t="s">
        <v>9</v>
      </c>
      <c r="B987" t="s">
        <v>1808</v>
      </c>
      <c r="C987" s="134">
        <v>4602</v>
      </c>
      <c r="D987" s="134">
        <v>5170</v>
      </c>
      <c r="E987" s="134">
        <v>4976</v>
      </c>
      <c r="F987" s="934">
        <v>4602</v>
      </c>
      <c r="G987" s="934">
        <v>5170</v>
      </c>
      <c r="H987" s="934">
        <v>4976</v>
      </c>
    </row>
    <row r="988" spans="1:8">
      <c r="A988" t="s">
        <v>10</v>
      </c>
      <c r="B988" t="s">
        <v>2612</v>
      </c>
      <c r="C988" s="134">
        <v>4640</v>
      </c>
      <c r="D988" s="134">
        <v>4560</v>
      </c>
      <c r="E988" s="134">
        <v>4560</v>
      </c>
      <c r="F988" s="934">
        <v>4640</v>
      </c>
      <c r="G988" s="934">
        <v>4560</v>
      </c>
      <c r="H988" s="934">
        <v>4560</v>
      </c>
    </row>
    <row r="989" spans="1:8">
      <c r="A989" t="s">
        <v>1695</v>
      </c>
      <c r="B989" t="s">
        <v>2678</v>
      </c>
      <c r="C989" s="134">
        <v>4855</v>
      </c>
      <c r="D989" s="134">
        <v>5108</v>
      </c>
      <c r="E989" s="134">
        <v>4930</v>
      </c>
      <c r="F989" s="934">
        <v>4855</v>
      </c>
      <c r="G989" s="934">
        <v>5108</v>
      </c>
      <c r="H989" s="934">
        <v>4930</v>
      </c>
    </row>
    <row r="990" spans="1:8">
      <c r="A990" t="s">
        <v>2387</v>
      </c>
      <c r="B990" t="s">
        <v>950</v>
      </c>
      <c r="C990" s="134">
        <v>4469</v>
      </c>
      <c r="D990" s="134">
        <v>4530</v>
      </c>
      <c r="E990" s="134">
        <v>4449</v>
      </c>
      <c r="F990" s="934">
        <v>4469</v>
      </c>
      <c r="G990" s="934">
        <v>4530</v>
      </c>
      <c r="H990" s="934">
        <v>4449</v>
      </c>
    </row>
    <row r="991" spans="1:8">
      <c r="A991" t="s">
        <v>465</v>
      </c>
      <c r="B991" t="s">
        <v>91</v>
      </c>
      <c r="C991" s="134">
        <v>4650</v>
      </c>
      <c r="D991" s="134">
        <v>4724</v>
      </c>
      <c r="E991" s="134">
        <v>4779</v>
      </c>
      <c r="F991" s="934">
        <v>4650</v>
      </c>
      <c r="G991" s="934">
        <v>4724</v>
      </c>
      <c r="H991" s="934">
        <v>4779</v>
      </c>
    </row>
    <row r="992" spans="1:8">
      <c r="A992" t="s">
        <v>308</v>
      </c>
      <c r="B992" t="s">
        <v>580</v>
      </c>
      <c r="C992" s="134">
        <v>4486</v>
      </c>
      <c r="D992" s="134">
        <v>4274</v>
      </c>
      <c r="E992" s="134">
        <v>4274</v>
      </c>
      <c r="F992" s="934">
        <v>4486</v>
      </c>
      <c r="G992" s="934">
        <v>4274</v>
      </c>
      <c r="H992" s="934">
        <v>4274</v>
      </c>
    </row>
    <row r="993" spans="1:8">
      <c r="A993" t="s">
        <v>1514</v>
      </c>
      <c r="B993" t="s">
        <v>130</v>
      </c>
      <c r="C993" s="134">
        <v>4660</v>
      </c>
      <c r="D993" s="134">
        <v>5046</v>
      </c>
      <c r="E993" s="134">
        <v>5001</v>
      </c>
      <c r="F993" s="934">
        <v>4660</v>
      </c>
      <c r="G993" s="934">
        <v>5045</v>
      </c>
      <c r="H993" s="934">
        <v>5001</v>
      </c>
    </row>
    <row r="994" spans="1:8">
      <c r="A994" t="s">
        <v>2975</v>
      </c>
      <c r="B994" t="s">
        <v>2650</v>
      </c>
      <c r="C994" s="134">
        <v>5611</v>
      </c>
      <c r="D994" s="134">
        <v>5751</v>
      </c>
      <c r="E994" s="134">
        <v>5747</v>
      </c>
      <c r="F994" s="934">
        <v>5611</v>
      </c>
      <c r="G994" s="934">
        <v>5751</v>
      </c>
      <c r="H994" s="934">
        <v>5747</v>
      </c>
    </row>
    <row r="995" spans="1:8">
      <c r="A995" t="s">
        <v>2038</v>
      </c>
      <c r="B995" t="s">
        <v>1153</v>
      </c>
      <c r="C995" s="134">
        <v>4490</v>
      </c>
      <c r="D995" s="134">
        <v>4608</v>
      </c>
      <c r="E995" s="134">
        <v>4621</v>
      </c>
      <c r="F995" s="934">
        <v>4490</v>
      </c>
      <c r="G995" s="934">
        <v>4608</v>
      </c>
      <c r="H995" s="934">
        <v>4621</v>
      </c>
    </row>
    <row r="996" spans="1:8">
      <c r="A996" t="s">
        <v>47</v>
      </c>
      <c r="B996" t="s">
        <v>1440</v>
      </c>
      <c r="C996" s="134">
        <v>5043</v>
      </c>
      <c r="D996" s="134">
        <v>5106</v>
      </c>
      <c r="E996" s="134">
        <v>5128</v>
      </c>
      <c r="F996" s="934">
        <v>5043</v>
      </c>
      <c r="G996" s="934">
        <v>5117</v>
      </c>
      <c r="H996" s="934">
        <v>5139</v>
      </c>
    </row>
    <row r="997" spans="1:8">
      <c r="A997" t="s">
        <v>11</v>
      </c>
      <c r="B997" t="s">
        <v>1809</v>
      </c>
      <c r="C997" s="134">
        <v>5964</v>
      </c>
      <c r="D997" s="134">
        <v>6250</v>
      </c>
      <c r="E997" s="134">
        <v>6266</v>
      </c>
      <c r="F997" s="934">
        <v>5964</v>
      </c>
      <c r="G997" s="934">
        <v>6250</v>
      </c>
      <c r="H997" s="934">
        <v>6266</v>
      </c>
    </row>
    <row r="998" spans="1:8">
      <c r="A998" t="s">
        <v>1990</v>
      </c>
      <c r="B998" t="s">
        <v>2826</v>
      </c>
      <c r="C998" s="134">
        <v>4777</v>
      </c>
      <c r="D998" s="134">
        <v>5098</v>
      </c>
      <c r="E998" s="134">
        <v>4971</v>
      </c>
      <c r="F998" s="934">
        <v>4777</v>
      </c>
      <c r="G998" s="934">
        <v>5098</v>
      </c>
      <c r="H998" s="934">
        <v>4971</v>
      </c>
    </row>
    <row r="999" spans="1:8">
      <c r="A999" t="s">
        <v>1485</v>
      </c>
      <c r="B999" t="s">
        <v>666</v>
      </c>
      <c r="C999" s="134">
        <v>5257</v>
      </c>
      <c r="D999" s="134">
        <v>5604</v>
      </c>
      <c r="E999" s="134">
        <v>5458</v>
      </c>
      <c r="F999" s="934">
        <v>5257</v>
      </c>
      <c r="G999" s="934">
        <v>5604</v>
      </c>
      <c r="H999" s="934">
        <v>5458</v>
      </c>
    </row>
    <row r="1000" spans="1:8">
      <c r="A1000" t="s">
        <v>1738</v>
      </c>
      <c r="B1000" t="s">
        <v>657</v>
      </c>
      <c r="C1000" s="134">
        <v>4634</v>
      </c>
      <c r="D1000" s="134">
        <v>4669</v>
      </c>
      <c r="E1000" s="134">
        <v>4669</v>
      </c>
      <c r="F1000" s="934">
        <v>4634</v>
      </c>
      <c r="G1000" s="934">
        <v>4669</v>
      </c>
      <c r="H1000" s="934">
        <v>4669</v>
      </c>
    </row>
    <row r="1001" spans="1:8">
      <c r="A1001" t="s">
        <v>1708</v>
      </c>
      <c r="B1001" t="s">
        <v>659</v>
      </c>
      <c r="C1001" s="134">
        <v>4667</v>
      </c>
      <c r="D1001" s="134">
        <v>4673</v>
      </c>
      <c r="E1001" s="134">
        <v>4673</v>
      </c>
      <c r="F1001" s="934">
        <v>4666</v>
      </c>
      <c r="G1001" s="934">
        <v>4673</v>
      </c>
      <c r="H1001" s="934">
        <v>4673</v>
      </c>
    </row>
    <row r="1002" spans="1:8">
      <c r="A1002" t="s">
        <v>1988</v>
      </c>
      <c r="B1002" t="s">
        <v>2824</v>
      </c>
      <c r="C1002" s="134">
        <v>5248</v>
      </c>
      <c r="D1002" s="134">
        <v>5565</v>
      </c>
      <c r="E1002" s="134">
        <v>5429</v>
      </c>
      <c r="F1002" s="934">
        <v>5248</v>
      </c>
      <c r="G1002" s="934">
        <v>5565</v>
      </c>
      <c r="H1002" s="934">
        <v>5429</v>
      </c>
    </row>
    <row r="1003" spans="1:8">
      <c r="A1003" t="s">
        <v>12</v>
      </c>
      <c r="B1003" t="s">
        <v>1810</v>
      </c>
      <c r="C1003" s="134">
        <v>4619</v>
      </c>
      <c r="D1003" s="134">
        <v>4977</v>
      </c>
      <c r="E1003" s="134">
        <v>4939</v>
      </c>
      <c r="F1003" s="934">
        <v>4619</v>
      </c>
      <c r="G1003" s="934">
        <v>4977</v>
      </c>
      <c r="H1003" s="934">
        <v>4939</v>
      </c>
    </row>
    <row r="1004" spans="1:8">
      <c r="A1004" t="s">
        <v>2814</v>
      </c>
      <c r="B1004" t="s">
        <v>131</v>
      </c>
      <c r="C1004" s="134">
        <v>4816</v>
      </c>
      <c r="D1004" s="134">
        <v>4654</v>
      </c>
      <c r="E1004" s="134">
        <v>4654</v>
      </c>
      <c r="F1004" s="934">
        <v>4816</v>
      </c>
      <c r="G1004" s="934">
        <v>4689</v>
      </c>
      <c r="H1004" s="934">
        <v>4689</v>
      </c>
    </row>
    <row r="1005" spans="1:8">
      <c r="A1005" t="s">
        <v>66</v>
      </c>
      <c r="B1005" t="s">
        <v>2173</v>
      </c>
      <c r="C1005" s="134">
        <v>4703</v>
      </c>
      <c r="D1005" s="134">
        <v>4718</v>
      </c>
      <c r="E1005" s="134">
        <v>4718</v>
      </c>
      <c r="F1005" s="934">
        <v>4703</v>
      </c>
      <c r="G1005" s="934">
        <v>4731</v>
      </c>
      <c r="H1005" s="934">
        <v>4731</v>
      </c>
    </row>
    <row r="1006" spans="1:8">
      <c r="A1006" t="s">
        <v>2815</v>
      </c>
      <c r="B1006" t="s">
        <v>1132</v>
      </c>
      <c r="C1006" s="134">
        <v>4509</v>
      </c>
      <c r="D1006" s="134">
        <v>4576</v>
      </c>
      <c r="E1006" s="134">
        <v>4587</v>
      </c>
      <c r="F1006" s="934">
        <v>4509</v>
      </c>
      <c r="G1006" s="934">
        <v>4576</v>
      </c>
      <c r="H1006" s="934">
        <v>4587</v>
      </c>
    </row>
    <row r="1007" spans="1:8">
      <c r="A1007" t="s">
        <v>1705</v>
      </c>
      <c r="B1007" t="s">
        <v>2215</v>
      </c>
      <c r="C1007" s="134">
        <v>4614</v>
      </c>
      <c r="D1007" s="134">
        <v>4727</v>
      </c>
      <c r="E1007" s="134">
        <v>4749</v>
      </c>
      <c r="F1007" s="934">
        <v>4614</v>
      </c>
      <c r="G1007" s="934">
        <v>4727</v>
      </c>
      <c r="H1007" s="934">
        <v>4749</v>
      </c>
    </row>
    <row r="1008" spans="1:8">
      <c r="A1008" t="s">
        <v>1339</v>
      </c>
      <c r="B1008" t="s">
        <v>1811</v>
      </c>
      <c r="C1008" s="134">
        <v>5195</v>
      </c>
      <c r="D1008" s="134">
        <v>5686</v>
      </c>
      <c r="E1008" s="134">
        <v>5241</v>
      </c>
      <c r="F1008" s="934">
        <v>5195</v>
      </c>
      <c r="G1008" s="934">
        <v>5686</v>
      </c>
      <c r="H1008" s="934">
        <v>5241</v>
      </c>
    </row>
    <row r="1009" spans="1:8">
      <c r="A1009" t="s">
        <v>1340</v>
      </c>
      <c r="B1009" t="s">
        <v>1812</v>
      </c>
      <c r="C1009" s="134">
        <v>10666</v>
      </c>
      <c r="D1009" s="134">
        <v>12147</v>
      </c>
      <c r="E1009" s="134">
        <v>11121</v>
      </c>
      <c r="F1009" s="934">
        <v>10666</v>
      </c>
      <c r="G1009" s="934">
        <v>12147</v>
      </c>
      <c r="H1009" s="934">
        <v>11121</v>
      </c>
    </row>
    <row r="1010" spans="1:8">
      <c r="A1010" t="s">
        <v>224</v>
      </c>
      <c r="B1010" t="s">
        <v>1203</v>
      </c>
      <c r="C1010" s="134">
        <v>4748</v>
      </c>
      <c r="D1010" s="134">
        <v>4792</v>
      </c>
      <c r="E1010" s="134">
        <v>4889</v>
      </c>
      <c r="F1010" s="934">
        <v>4747</v>
      </c>
      <c r="G1010" s="934">
        <v>4792</v>
      </c>
      <c r="H1010" s="934">
        <v>4889</v>
      </c>
    </row>
    <row r="1011" spans="1:8">
      <c r="A1011" t="s">
        <v>904</v>
      </c>
      <c r="B1011" t="s">
        <v>1813</v>
      </c>
      <c r="C1011" s="134">
        <v>5696</v>
      </c>
      <c r="D1011" s="134">
        <v>6008</v>
      </c>
      <c r="E1011" s="134">
        <v>5967</v>
      </c>
      <c r="F1011" s="934">
        <v>5696</v>
      </c>
      <c r="G1011" s="934">
        <v>6008</v>
      </c>
      <c r="H1011" s="934">
        <v>5967</v>
      </c>
    </row>
    <row r="1012" spans="1:8">
      <c r="A1012" t="s">
        <v>2491</v>
      </c>
      <c r="B1012" t="s">
        <v>1814</v>
      </c>
      <c r="C1012" s="134">
        <v>4727</v>
      </c>
      <c r="D1012" s="134">
        <v>5240</v>
      </c>
      <c r="E1012" s="134">
        <v>5006</v>
      </c>
      <c r="F1012" s="934">
        <v>4727</v>
      </c>
      <c r="G1012" s="934">
        <v>5240</v>
      </c>
      <c r="H1012" s="934">
        <v>5006</v>
      </c>
    </row>
    <row r="1013" spans="1:8">
      <c r="A1013" t="s">
        <v>2780</v>
      </c>
      <c r="B1013" t="s">
        <v>1815</v>
      </c>
      <c r="C1013" s="134">
        <v>5316</v>
      </c>
      <c r="D1013" s="134">
        <v>5887</v>
      </c>
      <c r="E1013" s="134">
        <v>5479</v>
      </c>
      <c r="F1013" s="934">
        <v>5316</v>
      </c>
      <c r="G1013" s="934">
        <v>5887</v>
      </c>
      <c r="H1013" s="934">
        <v>5479</v>
      </c>
    </row>
    <row r="1014" spans="1:8">
      <c r="A1014" t="s">
        <v>2781</v>
      </c>
      <c r="B1014" t="s">
        <v>1816</v>
      </c>
      <c r="C1014" s="134">
        <v>5636</v>
      </c>
      <c r="D1014" s="134">
        <v>6180</v>
      </c>
      <c r="E1014" s="134">
        <v>6038</v>
      </c>
      <c r="F1014" s="934">
        <v>5636</v>
      </c>
      <c r="G1014" s="934">
        <v>6180</v>
      </c>
      <c r="H1014" s="934">
        <v>6038</v>
      </c>
    </row>
    <row r="1015" spans="1:8">
      <c r="A1015" t="s">
        <v>2302</v>
      </c>
      <c r="B1015" t="s">
        <v>1541</v>
      </c>
      <c r="C1015" s="134">
        <v>5397</v>
      </c>
      <c r="D1015" s="134">
        <v>5799</v>
      </c>
      <c r="E1015" s="134">
        <v>5783</v>
      </c>
      <c r="F1015" s="934">
        <v>5397</v>
      </c>
      <c r="G1015" s="934">
        <v>5799</v>
      </c>
      <c r="H1015" s="934">
        <v>5783</v>
      </c>
    </row>
    <row r="1016" spans="1:8">
      <c r="A1016" t="s">
        <v>1314</v>
      </c>
      <c r="B1016" t="s">
        <v>2201</v>
      </c>
      <c r="C1016" s="134">
        <v>5096</v>
      </c>
      <c r="D1016" s="134">
        <v>5202</v>
      </c>
      <c r="E1016" s="134">
        <v>5754</v>
      </c>
      <c r="F1016" s="934">
        <v>5096</v>
      </c>
      <c r="G1016" s="934">
        <v>5202</v>
      </c>
      <c r="H1016" s="934">
        <v>5754</v>
      </c>
    </row>
    <row r="1017" spans="1:8">
      <c r="A1017" t="s">
        <v>2548</v>
      </c>
      <c r="B1017" t="s">
        <v>1817</v>
      </c>
      <c r="C1017" s="134">
        <v>5046</v>
      </c>
      <c r="D1017" s="134">
        <v>5316</v>
      </c>
      <c r="E1017" s="134">
        <v>5179</v>
      </c>
      <c r="F1017" s="934">
        <v>5046</v>
      </c>
      <c r="G1017" s="934">
        <v>5316</v>
      </c>
      <c r="H1017" s="934">
        <v>5179</v>
      </c>
    </row>
    <row r="1018" spans="1:8">
      <c r="A1018" t="s">
        <v>2549</v>
      </c>
      <c r="B1018" t="s">
        <v>1818</v>
      </c>
      <c r="C1018" s="134">
        <v>4555</v>
      </c>
      <c r="D1018" s="134">
        <v>4744</v>
      </c>
      <c r="E1018" s="134">
        <v>4744</v>
      </c>
      <c r="F1018" s="934">
        <v>4554</v>
      </c>
      <c r="G1018" s="934">
        <v>4744</v>
      </c>
      <c r="H1018" s="934">
        <v>4744</v>
      </c>
    </row>
    <row r="1019" spans="1:8">
      <c r="A1019" t="s">
        <v>2970</v>
      </c>
      <c r="B1019" t="s">
        <v>29</v>
      </c>
      <c r="C1019" s="134">
        <v>4859</v>
      </c>
      <c r="D1019" s="134">
        <v>5215</v>
      </c>
      <c r="E1019" s="134">
        <v>5162</v>
      </c>
      <c r="F1019" s="934">
        <v>4859</v>
      </c>
      <c r="G1019" s="934">
        <v>5215</v>
      </c>
      <c r="H1019" s="934">
        <v>5162</v>
      </c>
    </row>
    <row r="1020" spans="1:8">
      <c r="A1020" t="s">
        <v>2971</v>
      </c>
      <c r="B1020" t="s">
        <v>1548</v>
      </c>
      <c r="C1020" s="134">
        <v>4754</v>
      </c>
      <c r="D1020" s="134">
        <v>5614</v>
      </c>
      <c r="E1020" s="134">
        <v>5632</v>
      </c>
      <c r="F1020" s="934">
        <v>4754</v>
      </c>
      <c r="G1020" s="934">
        <v>5614</v>
      </c>
      <c r="H1020" s="934">
        <v>5632</v>
      </c>
    </row>
    <row r="1021" spans="1:8">
      <c r="A1021" t="s">
        <v>705</v>
      </c>
      <c r="B1021" t="s">
        <v>1549</v>
      </c>
      <c r="C1021" s="134">
        <v>4669</v>
      </c>
      <c r="D1021" s="134">
        <v>4675</v>
      </c>
      <c r="E1021" s="134">
        <v>4675</v>
      </c>
      <c r="F1021" s="934">
        <v>4669</v>
      </c>
      <c r="G1021" s="934">
        <v>4675</v>
      </c>
      <c r="H1021" s="934">
        <v>4675</v>
      </c>
    </row>
    <row r="1022" spans="1:8">
      <c r="A1022" t="s">
        <v>777</v>
      </c>
      <c r="B1022" t="s">
        <v>1550</v>
      </c>
      <c r="C1022" s="134">
        <v>4586</v>
      </c>
      <c r="D1022" s="134">
        <v>4793</v>
      </c>
      <c r="E1022" s="134">
        <v>4793</v>
      </c>
      <c r="F1022" s="934">
        <v>4586</v>
      </c>
      <c r="G1022" s="934">
        <v>4793</v>
      </c>
      <c r="H1022" s="934">
        <v>4793</v>
      </c>
    </row>
    <row r="1023" spans="1:8">
      <c r="A1023" t="s">
        <v>778</v>
      </c>
      <c r="B1023" t="s">
        <v>1551</v>
      </c>
      <c r="C1023" s="134">
        <v>7671</v>
      </c>
      <c r="D1023" s="134">
        <v>7704</v>
      </c>
      <c r="E1023" s="134">
        <v>7704</v>
      </c>
      <c r="F1023" s="934">
        <v>7671</v>
      </c>
      <c r="G1023" s="934">
        <v>7704</v>
      </c>
      <c r="H1023" s="934">
        <v>7704</v>
      </c>
    </row>
    <row r="1024" spans="1:8">
      <c r="A1024" t="s">
        <v>1660</v>
      </c>
      <c r="B1024" t="s">
        <v>1552</v>
      </c>
      <c r="C1024" s="134">
        <v>5831</v>
      </c>
      <c r="D1024" s="134">
        <v>5816</v>
      </c>
      <c r="E1024" s="134">
        <v>5957</v>
      </c>
      <c r="F1024" s="934">
        <v>5831</v>
      </c>
      <c r="G1024" s="934">
        <v>5816</v>
      </c>
      <c r="H1024" s="934">
        <v>5957</v>
      </c>
    </row>
    <row r="1025" spans="1:8">
      <c r="A1025" t="s">
        <v>1020</v>
      </c>
      <c r="B1025" t="s">
        <v>974</v>
      </c>
      <c r="C1025" s="134">
        <v>4576</v>
      </c>
      <c r="D1025" s="134">
        <v>4664</v>
      </c>
      <c r="E1025" s="134">
        <v>4634</v>
      </c>
      <c r="F1025" s="934">
        <v>4576</v>
      </c>
      <c r="G1025" s="934">
        <v>4690</v>
      </c>
      <c r="H1025" s="934">
        <v>4633</v>
      </c>
    </row>
    <row r="1026" spans="1:8">
      <c r="A1026" t="s">
        <v>1661</v>
      </c>
      <c r="B1026" t="s">
        <v>1553</v>
      </c>
      <c r="C1026" s="134">
        <v>4702</v>
      </c>
      <c r="D1026" s="134">
        <v>4588</v>
      </c>
      <c r="E1026" s="134">
        <v>4588</v>
      </c>
      <c r="F1026" s="934">
        <v>4702</v>
      </c>
      <c r="G1026" s="934">
        <v>4649</v>
      </c>
      <c r="H1026" s="934">
        <v>4649</v>
      </c>
    </row>
    <row r="1027" spans="1:8">
      <c r="A1027" t="s">
        <v>1696</v>
      </c>
      <c r="B1027" t="s">
        <v>933</v>
      </c>
      <c r="C1027" s="134">
        <v>4559</v>
      </c>
      <c r="D1027" s="134">
        <v>4626</v>
      </c>
      <c r="E1027" s="134">
        <v>4623</v>
      </c>
      <c r="F1027" s="934">
        <v>4559</v>
      </c>
      <c r="G1027" s="934">
        <v>4625</v>
      </c>
      <c r="H1027" s="934">
        <v>4623</v>
      </c>
    </row>
    <row r="1028" spans="1:8">
      <c r="A1028" t="s">
        <v>556</v>
      </c>
      <c r="B1028" t="s">
        <v>1554</v>
      </c>
      <c r="C1028" s="134">
        <v>6267</v>
      </c>
      <c r="D1028" s="134">
        <v>6791</v>
      </c>
      <c r="E1028" s="134">
        <v>6478</v>
      </c>
      <c r="F1028" s="934">
        <v>6267</v>
      </c>
      <c r="G1028" s="934">
        <v>6791</v>
      </c>
      <c r="H1028" s="934">
        <v>6478</v>
      </c>
    </row>
    <row r="1029" spans="1:8">
      <c r="A1029" t="s">
        <v>2760</v>
      </c>
      <c r="B1029" t="s">
        <v>460</v>
      </c>
      <c r="C1029" s="134">
        <v>4688</v>
      </c>
      <c r="D1029" s="134">
        <v>4643</v>
      </c>
      <c r="E1029" s="134">
        <v>4657</v>
      </c>
      <c r="F1029" s="934">
        <v>4688</v>
      </c>
      <c r="G1029" s="934">
        <v>4643</v>
      </c>
      <c r="H1029" s="934">
        <v>4657</v>
      </c>
    </row>
    <row r="1030" spans="1:8">
      <c r="A1030" t="s">
        <v>1901</v>
      </c>
      <c r="B1030" t="s">
        <v>2171</v>
      </c>
      <c r="C1030" s="134">
        <v>4500</v>
      </c>
      <c r="D1030" s="134">
        <v>4303</v>
      </c>
      <c r="E1030" s="134">
        <v>4303</v>
      </c>
      <c r="F1030" s="934">
        <v>4500</v>
      </c>
      <c r="G1030" s="934">
        <v>4303</v>
      </c>
      <c r="H1030" s="934">
        <v>4303</v>
      </c>
    </row>
    <row r="1031" spans="1:8">
      <c r="C1031" s="308">
        <f>AVERAGE(C3:C1030)</f>
        <v>4838.5482926829272</v>
      </c>
    </row>
  </sheetData>
  <phoneticPr fontId="25" type="noConversion"/>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7"/>
  <sheetViews>
    <sheetView workbookViewId="0"/>
  </sheetViews>
  <sheetFormatPr defaultRowHeight="12.75"/>
  <cols>
    <col min="1" max="1" width="12.42578125" style="114" customWidth="1"/>
    <col min="2" max="2" width="35" style="114" customWidth="1"/>
    <col min="3" max="4" width="10" style="114" bestFit="1" customWidth="1"/>
    <col min="5" max="5" width="11" style="114" bestFit="1" customWidth="1"/>
    <col min="6" max="6" width="9.7109375" style="114" bestFit="1" customWidth="1"/>
    <col min="7" max="8" width="11.140625" style="114" bestFit="1" customWidth="1"/>
    <col min="9" max="9" width="10.140625" style="114" bestFit="1" customWidth="1"/>
    <col min="10" max="10" width="13.85546875" style="114" bestFit="1" customWidth="1"/>
    <col min="11" max="11" width="14.7109375" style="114" customWidth="1"/>
  </cols>
  <sheetData>
    <row r="1" spans="1:11" s="72" customFormat="1">
      <c r="A1" s="120">
        <v>1</v>
      </c>
      <c r="B1" s="120">
        <v>2</v>
      </c>
      <c r="C1" s="120">
        <v>3</v>
      </c>
      <c r="D1" s="120">
        <v>4</v>
      </c>
      <c r="E1" s="120">
        <v>5</v>
      </c>
      <c r="F1" s="120">
        <v>6</v>
      </c>
      <c r="G1" s="120">
        <v>7</v>
      </c>
      <c r="H1" s="120">
        <v>8</v>
      </c>
      <c r="I1" s="120">
        <v>9</v>
      </c>
      <c r="J1" s="120">
        <v>10</v>
      </c>
      <c r="K1" s="120">
        <v>11</v>
      </c>
    </row>
    <row r="2" spans="1:11">
      <c r="A2" s="406"/>
      <c r="B2" s="406"/>
      <c r="C2" s="114" t="s">
        <v>1173</v>
      </c>
      <c r="D2" s="114" t="s">
        <v>1750</v>
      </c>
      <c r="E2" s="114" t="s">
        <v>2949</v>
      </c>
      <c r="F2" s="114" t="s">
        <v>1751</v>
      </c>
      <c r="G2" s="114" t="s">
        <v>2115</v>
      </c>
      <c r="H2" s="114" t="s">
        <v>2884</v>
      </c>
      <c r="I2" s="114" t="s">
        <v>2885</v>
      </c>
      <c r="J2" s="114" t="s">
        <v>2112</v>
      </c>
      <c r="K2" s="114" t="s">
        <v>2886</v>
      </c>
    </row>
    <row r="3" spans="1:11">
      <c r="A3" t="s">
        <v>225</v>
      </c>
      <c r="B3" t="s">
        <v>310</v>
      </c>
      <c r="C3" s="114">
        <v>568.04600000000005</v>
      </c>
      <c r="D3" s="114">
        <v>568.04600000000005</v>
      </c>
      <c r="E3" s="114">
        <v>887.75800000000004</v>
      </c>
      <c r="F3" s="114">
        <v>0</v>
      </c>
      <c r="G3" s="114">
        <v>0</v>
      </c>
      <c r="H3" s="114">
        <v>0</v>
      </c>
      <c r="I3" s="114">
        <v>0</v>
      </c>
      <c r="J3" s="134">
        <v>340987538</v>
      </c>
      <c r="K3" s="134">
        <v>340987538</v>
      </c>
    </row>
    <row r="4" spans="1:11">
      <c r="A4" t="s">
        <v>2228</v>
      </c>
      <c r="B4" t="s">
        <v>311</v>
      </c>
      <c r="C4" s="114">
        <v>1246.393</v>
      </c>
      <c r="D4" s="114">
        <v>1246.393</v>
      </c>
      <c r="E4" s="114">
        <v>1725.1179999999999</v>
      </c>
      <c r="F4" s="114">
        <v>0</v>
      </c>
      <c r="G4" s="114">
        <v>0</v>
      </c>
      <c r="H4" s="114">
        <v>0</v>
      </c>
      <c r="I4" s="114">
        <v>0</v>
      </c>
      <c r="J4" s="134">
        <v>183040768</v>
      </c>
      <c r="K4" s="134">
        <v>183040768</v>
      </c>
    </row>
    <row r="5" spans="1:11">
      <c r="A5" t="s">
        <v>15</v>
      </c>
      <c r="B5" t="s">
        <v>312</v>
      </c>
      <c r="C5" s="114">
        <v>712.79899999999998</v>
      </c>
      <c r="D5" s="114">
        <v>720.495</v>
      </c>
      <c r="E5" s="114">
        <v>1155.194</v>
      </c>
      <c r="F5" s="114">
        <v>0</v>
      </c>
      <c r="G5" s="134">
        <v>240114</v>
      </c>
      <c r="H5" s="134">
        <v>164326</v>
      </c>
      <c r="I5" s="114">
        <v>0</v>
      </c>
      <c r="J5" s="134">
        <v>265906885</v>
      </c>
      <c r="K5" s="134">
        <v>265906885</v>
      </c>
    </row>
    <row r="6" spans="1:11">
      <c r="A6" t="s">
        <v>16</v>
      </c>
      <c r="B6" t="s">
        <v>313</v>
      </c>
      <c r="C6" s="114">
        <v>372.66500000000002</v>
      </c>
      <c r="D6" s="114">
        <v>372.66500000000002</v>
      </c>
      <c r="E6" s="114">
        <v>610.46</v>
      </c>
      <c r="F6" s="114">
        <v>0</v>
      </c>
      <c r="G6" s="134">
        <v>258715</v>
      </c>
      <c r="H6" s="114">
        <v>0</v>
      </c>
      <c r="I6" s="114">
        <v>0</v>
      </c>
      <c r="J6" s="134">
        <v>99260805</v>
      </c>
      <c r="K6" s="134">
        <v>99260805</v>
      </c>
    </row>
    <row r="7" spans="1:11">
      <c r="A7" t="s">
        <v>17</v>
      </c>
      <c r="B7" t="s">
        <v>314</v>
      </c>
      <c r="C7" s="114">
        <v>3022.8879999999999</v>
      </c>
      <c r="D7" s="114">
        <v>3022.8879999999999</v>
      </c>
      <c r="E7" s="114">
        <v>4064.5149999999999</v>
      </c>
      <c r="F7" s="114">
        <v>0</v>
      </c>
      <c r="G7" s="134">
        <v>1154045</v>
      </c>
      <c r="H7" s="134">
        <v>1116579</v>
      </c>
      <c r="I7" s="114">
        <v>0</v>
      </c>
      <c r="J7" s="134">
        <v>900762557</v>
      </c>
      <c r="K7" s="134">
        <v>900762557</v>
      </c>
    </row>
    <row r="8" spans="1:11">
      <c r="A8" t="s">
        <v>1254</v>
      </c>
      <c r="B8" t="s">
        <v>1355</v>
      </c>
      <c r="C8" s="114">
        <v>1613.0250000000001</v>
      </c>
      <c r="D8" s="114">
        <v>1613.0250000000001</v>
      </c>
      <c r="E8" s="114">
        <v>2191.3150000000001</v>
      </c>
      <c r="F8" s="114">
        <v>0</v>
      </c>
      <c r="G8" s="114">
        <v>0</v>
      </c>
      <c r="H8" s="114">
        <v>0</v>
      </c>
      <c r="I8" s="114">
        <v>0</v>
      </c>
      <c r="J8" s="134">
        <v>370734974</v>
      </c>
      <c r="K8" s="134">
        <v>370734974</v>
      </c>
    </row>
    <row r="9" spans="1:11">
      <c r="A9" t="s">
        <v>1255</v>
      </c>
      <c r="B9" t="s">
        <v>1356</v>
      </c>
      <c r="C9" s="114">
        <v>360.60700000000003</v>
      </c>
      <c r="D9" s="114">
        <v>360.60700000000003</v>
      </c>
      <c r="E9" s="114">
        <v>609.28300000000002</v>
      </c>
      <c r="F9" s="114">
        <v>0</v>
      </c>
      <c r="G9" s="114">
        <v>0</v>
      </c>
      <c r="H9" s="114">
        <v>0</v>
      </c>
      <c r="I9" s="114">
        <v>0</v>
      </c>
      <c r="J9" s="134">
        <v>84699974</v>
      </c>
      <c r="K9" s="134">
        <v>84699974</v>
      </c>
    </row>
    <row r="10" spans="1:11">
      <c r="A10" t="s">
        <v>2102</v>
      </c>
      <c r="B10" t="s">
        <v>1357</v>
      </c>
      <c r="C10" s="114">
        <v>2851.7530000000002</v>
      </c>
      <c r="D10" s="114">
        <v>2851.7530000000002</v>
      </c>
      <c r="E10" s="114">
        <v>3609.7429999999999</v>
      </c>
      <c r="F10" s="114">
        <v>0</v>
      </c>
      <c r="G10" s="134">
        <v>4429840</v>
      </c>
      <c r="H10" s="134">
        <v>6160390</v>
      </c>
      <c r="I10" s="114">
        <v>0</v>
      </c>
      <c r="J10" s="134">
        <v>3375222900</v>
      </c>
      <c r="K10" s="134">
        <v>3375222900</v>
      </c>
    </row>
    <row r="11" spans="1:11">
      <c r="A11" t="s">
        <v>774</v>
      </c>
      <c r="B11" t="s">
        <v>2733</v>
      </c>
      <c r="C11" s="114">
        <v>2365.3409999999999</v>
      </c>
      <c r="D11" s="114">
        <v>2365.3409999999999</v>
      </c>
      <c r="E11" s="114">
        <v>3137.0320000000002</v>
      </c>
      <c r="F11" s="114">
        <v>0</v>
      </c>
      <c r="G11" s="134">
        <v>560301</v>
      </c>
      <c r="H11" s="134">
        <v>123546</v>
      </c>
      <c r="I11" s="134">
        <v>337228</v>
      </c>
      <c r="J11" s="134">
        <v>263553164</v>
      </c>
      <c r="K11" s="134">
        <v>263553164</v>
      </c>
    </row>
    <row r="12" spans="1:11">
      <c r="A12" t="s">
        <v>1637</v>
      </c>
      <c r="B12" t="s">
        <v>1358</v>
      </c>
      <c r="C12" s="114">
        <v>7803.5150000000003</v>
      </c>
      <c r="D12" s="114">
        <v>7803.5150000000003</v>
      </c>
      <c r="E12" s="114">
        <v>10565.496999999999</v>
      </c>
      <c r="F12" s="114">
        <v>0</v>
      </c>
      <c r="G12" s="134">
        <v>2199471</v>
      </c>
      <c r="H12" s="134">
        <v>1468221</v>
      </c>
      <c r="I12" s="114">
        <v>0</v>
      </c>
      <c r="J12" s="134">
        <v>1919694399</v>
      </c>
      <c r="K12" s="134">
        <v>1919694399</v>
      </c>
    </row>
    <row r="13" spans="1:11">
      <c r="A13" t="s">
        <v>1279</v>
      </c>
      <c r="B13" t="s">
        <v>1438</v>
      </c>
      <c r="C13" s="114">
        <v>1641.8779999999999</v>
      </c>
      <c r="D13" s="114">
        <v>1641.8779999999999</v>
      </c>
      <c r="E13" s="114">
        <v>2224.8809999999999</v>
      </c>
      <c r="F13" s="114">
        <v>0</v>
      </c>
      <c r="G13" s="134">
        <v>502650</v>
      </c>
      <c r="H13" s="134">
        <v>116463</v>
      </c>
      <c r="I13" s="134">
        <v>183776</v>
      </c>
      <c r="J13" s="134">
        <v>148748349</v>
      </c>
      <c r="K13" s="134">
        <v>148748349</v>
      </c>
    </row>
    <row r="14" spans="1:11">
      <c r="A14" t="s">
        <v>369</v>
      </c>
      <c r="B14" t="s">
        <v>1359</v>
      </c>
      <c r="C14" s="114">
        <v>1686.9069999999999</v>
      </c>
      <c r="D14" s="114">
        <v>1686.9069999999999</v>
      </c>
      <c r="E14" s="114">
        <v>2428.4520000000002</v>
      </c>
      <c r="F14" s="114">
        <v>0</v>
      </c>
      <c r="G14" s="114">
        <v>594</v>
      </c>
      <c r="H14" s="114">
        <v>0</v>
      </c>
      <c r="I14" s="114">
        <v>0</v>
      </c>
      <c r="J14" s="134">
        <v>271775702</v>
      </c>
      <c r="K14" s="134">
        <v>271775702</v>
      </c>
    </row>
    <row r="15" spans="1:11">
      <c r="A15" t="s">
        <v>370</v>
      </c>
      <c r="B15" t="s">
        <v>1360</v>
      </c>
      <c r="C15" s="114">
        <v>444.42700000000002</v>
      </c>
      <c r="D15" s="114">
        <v>444.42700000000002</v>
      </c>
      <c r="E15" s="114">
        <v>755.21199999999999</v>
      </c>
      <c r="F15" s="114">
        <v>0</v>
      </c>
      <c r="G15" s="134">
        <v>43928</v>
      </c>
      <c r="H15" s="134">
        <v>39677</v>
      </c>
      <c r="I15" s="114">
        <v>0</v>
      </c>
      <c r="J15" s="134">
        <v>64143398</v>
      </c>
      <c r="K15" s="134">
        <v>64143398</v>
      </c>
    </row>
    <row r="16" spans="1:11">
      <c r="A16" t="s">
        <v>371</v>
      </c>
      <c r="B16" t="s">
        <v>1361</v>
      </c>
      <c r="C16" s="114">
        <v>1461.3040000000001</v>
      </c>
      <c r="D16" s="114">
        <v>1461.3040000000001</v>
      </c>
      <c r="E16" s="114">
        <v>2052.1570000000002</v>
      </c>
      <c r="F16" s="114">
        <v>0</v>
      </c>
      <c r="G16" s="134">
        <v>318229</v>
      </c>
      <c r="H16" s="114">
        <v>0</v>
      </c>
      <c r="I16" s="134">
        <v>136608</v>
      </c>
      <c r="J16" s="134">
        <v>177628049</v>
      </c>
      <c r="K16" s="134">
        <v>177628049</v>
      </c>
    </row>
    <row r="17" spans="1:11">
      <c r="A17" t="s">
        <v>2839</v>
      </c>
      <c r="B17" t="s">
        <v>1362</v>
      </c>
      <c r="C17" s="114">
        <v>2840.0569999999998</v>
      </c>
      <c r="D17" s="114">
        <v>2840.0569999999998</v>
      </c>
      <c r="E17" s="114">
        <v>3754.991</v>
      </c>
      <c r="F17" s="114">
        <v>0</v>
      </c>
      <c r="G17" s="134">
        <v>1088507</v>
      </c>
      <c r="H17" s="134">
        <v>1708306</v>
      </c>
      <c r="I17" s="114">
        <v>0</v>
      </c>
      <c r="J17" s="134">
        <v>2266738831</v>
      </c>
      <c r="K17" s="134">
        <v>2266738831</v>
      </c>
    </row>
    <row r="18" spans="1:11">
      <c r="A18" t="s">
        <v>2840</v>
      </c>
      <c r="B18" t="s">
        <v>1363</v>
      </c>
      <c r="C18" s="114">
        <v>428.54</v>
      </c>
      <c r="D18" s="114">
        <v>428.54</v>
      </c>
      <c r="E18" s="114">
        <v>786.13199999999995</v>
      </c>
      <c r="F18" s="114">
        <v>0</v>
      </c>
      <c r="G18" s="134">
        <v>142164</v>
      </c>
      <c r="H18" s="134">
        <v>155378</v>
      </c>
      <c r="I18" s="114">
        <v>0</v>
      </c>
      <c r="J18" s="134">
        <v>172620749</v>
      </c>
      <c r="K18" s="134">
        <v>172620749</v>
      </c>
    </row>
    <row r="19" spans="1:11">
      <c r="A19" t="s">
        <v>2841</v>
      </c>
      <c r="B19" t="s">
        <v>1364</v>
      </c>
      <c r="C19" s="114">
        <v>817.50900000000001</v>
      </c>
      <c r="D19" s="114">
        <v>817.50900000000001</v>
      </c>
      <c r="E19" s="114">
        <v>1167.1189999999999</v>
      </c>
      <c r="F19" s="114">
        <v>0</v>
      </c>
      <c r="G19" s="134">
        <v>338368</v>
      </c>
      <c r="H19" s="134">
        <v>298393</v>
      </c>
      <c r="I19" s="114">
        <v>0</v>
      </c>
      <c r="J19" s="134">
        <v>208170568</v>
      </c>
      <c r="K19" s="134">
        <v>208170568</v>
      </c>
    </row>
    <row r="20" spans="1:11">
      <c r="A20" t="s">
        <v>2219</v>
      </c>
      <c r="B20" t="s">
        <v>1289</v>
      </c>
      <c r="C20" s="114">
        <v>484.16800000000001</v>
      </c>
      <c r="D20" s="114">
        <v>484.16800000000001</v>
      </c>
      <c r="E20" s="114">
        <v>775.02700000000004</v>
      </c>
      <c r="F20" s="114">
        <v>0</v>
      </c>
      <c r="G20" s="134">
        <v>63134</v>
      </c>
      <c r="H20" s="134">
        <v>19162</v>
      </c>
      <c r="I20" s="134">
        <v>35348</v>
      </c>
      <c r="J20" s="134">
        <v>55031429</v>
      </c>
      <c r="K20" s="134">
        <v>55031429</v>
      </c>
    </row>
    <row r="21" spans="1:11">
      <c r="A21" t="s">
        <v>2843</v>
      </c>
      <c r="B21" t="s">
        <v>1365</v>
      </c>
      <c r="C21" s="114">
        <v>318.19400000000002</v>
      </c>
      <c r="D21" s="114">
        <v>333.61900000000003</v>
      </c>
      <c r="E21" s="114">
        <v>637.51099999999997</v>
      </c>
      <c r="F21" s="114">
        <v>0</v>
      </c>
      <c r="G21" s="134">
        <v>153235</v>
      </c>
      <c r="H21" s="134">
        <v>148143</v>
      </c>
      <c r="I21" s="114">
        <v>0</v>
      </c>
      <c r="J21" s="134">
        <v>99134965</v>
      </c>
      <c r="K21" s="134">
        <v>99134965</v>
      </c>
    </row>
    <row r="22" spans="1:11">
      <c r="A22" t="s">
        <v>806</v>
      </c>
      <c r="B22" t="s">
        <v>736</v>
      </c>
      <c r="C22" s="114">
        <v>490.77699999999999</v>
      </c>
      <c r="D22" s="114">
        <v>490.77699999999999</v>
      </c>
      <c r="E22" s="114">
        <v>826.90599999999995</v>
      </c>
      <c r="F22" s="114">
        <v>0</v>
      </c>
      <c r="G22" s="134">
        <v>151645</v>
      </c>
      <c r="H22" s="114">
        <v>0</v>
      </c>
      <c r="I22" s="134">
        <v>127075</v>
      </c>
      <c r="J22" s="134">
        <v>82647688</v>
      </c>
      <c r="K22" s="134">
        <v>82647688</v>
      </c>
    </row>
    <row r="23" spans="1:11">
      <c r="A23" t="s">
        <v>2844</v>
      </c>
      <c r="B23" t="s">
        <v>1366</v>
      </c>
      <c r="C23" s="114">
        <v>1204.759</v>
      </c>
      <c r="D23" s="114">
        <v>1204.759</v>
      </c>
      <c r="E23" s="114">
        <v>1735.5360000000001</v>
      </c>
      <c r="F23" s="114">
        <v>0</v>
      </c>
      <c r="G23" s="114">
        <v>0</v>
      </c>
      <c r="H23" s="114">
        <v>0</v>
      </c>
      <c r="I23" s="114">
        <v>0</v>
      </c>
      <c r="J23" s="134">
        <v>395408009</v>
      </c>
      <c r="K23" s="134">
        <v>395408009</v>
      </c>
    </row>
    <row r="24" spans="1:11">
      <c r="A24" t="s">
        <v>2388</v>
      </c>
      <c r="B24" t="s">
        <v>1367</v>
      </c>
      <c r="C24" s="114">
        <v>1594.557</v>
      </c>
      <c r="D24" s="114">
        <v>1594.557</v>
      </c>
      <c r="E24" s="114">
        <v>2209.5970000000002</v>
      </c>
      <c r="F24" s="114">
        <v>0</v>
      </c>
      <c r="G24" s="134">
        <v>380392</v>
      </c>
      <c r="H24" s="134">
        <v>362461</v>
      </c>
      <c r="I24" s="114">
        <v>0</v>
      </c>
      <c r="J24" s="134">
        <v>181357613</v>
      </c>
      <c r="K24" s="134">
        <v>181357613</v>
      </c>
    </row>
    <row r="25" spans="1:11">
      <c r="A25" t="s">
        <v>241</v>
      </c>
      <c r="B25" t="s">
        <v>1128</v>
      </c>
      <c r="C25" s="114">
        <v>3209.7449999999999</v>
      </c>
      <c r="D25" s="114">
        <v>3209.7449999999999</v>
      </c>
      <c r="E25" s="114">
        <v>4367.9549999999999</v>
      </c>
      <c r="F25" s="114">
        <v>0</v>
      </c>
      <c r="G25" s="134">
        <v>669996</v>
      </c>
      <c r="H25" s="134">
        <v>27257</v>
      </c>
      <c r="I25" s="134">
        <v>469446</v>
      </c>
      <c r="J25" s="134">
        <v>569575041</v>
      </c>
      <c r="K25" s="134">
        <v>569575041</v>
      </c>
    </row>
    <row r="26" spans="1:11">
      <c r="A26" t="s">
        <v>2447</v>
      </c>
      <c r="B26" t="s">
        <v>1131</v>
      </c>
      <c r="C26" s="114">
        <v>1595.2750000000001</v>
      </c>
      <c r="D26" s="114">
        <v>1595.2750000000001</v>
      </c>
      <c r="E26" s="114">
        <v>2293.6239999999998</v>
      </c>
      <c r="F26" s="114">
        <v>0</v>
      </c>
      <c r="G26" s="134">
        <v>174323</v>
      </c>
      <c r="H26" s="114">
        <v>0</v>
      </c>
      <c r="I26" s="134">
        <v>187794</v>
      </c>
      <c r="J26" s="134">
        <v>152689135</v>
      </c>
      <c r="K26" s="134">
        <v>152689135</v>
      </c>
    </row>
    <row r="27" spans="1:11">
      <c r="A27" t="s">
        <v>2845</v>
      </c>
      <c r="B27" t="s">
        <v>1368</v>
      </c>
      <c r="C27" s="114">
        <v>2031.056</v>
      </c>
      <c r="D27" s="114">
        <v>2031.056</v>
      </c>
      <c r="E27" s="114">
        <v>2797.248</v>
      </c>
      <c r="F27" s="114">
        <v>0</v>
      </c>
      <c r="G27" s="134">
        <v>2074958</v>
      </c>
      <c r="H27" s="134">
        <v>1828928</v>
      </c>
      <c r="I27" s="114">
        <v>0</v>
      </c>
      <c r="J27" s="134">
        <v>757702443</v>
      </c>
      <c r="K27" s="134">
        <v>757702443</v>
      </c>
    </row>
    <row r="28" spans="1:11">
      <c r="A28" t="s">
        <v>783</v>
      </c>
      <c r="B28" t="s">
        <v>1369</v>
      </c>
      <c r="C28" s="114">
        <v>2476.1309999999999</v>
      </c>
      <c r="D28" s="114">
        <v>2476.1309999999999</v>
      </c>
      <c r="E28" s="114">
        <v>3471.5569999999998</v>
      </c>
      <c r="F28" s="114">
        <v>0</v>
      </c>
      <c r="G28" s="134">
        <v>2393461</v>
      </c>
      <c r="H28" s="134">
        <v>2470915</v>
      </c>
      <c r="I28" s="114">
        <v>0</v>
      </c>
      <c r="J28" s="134">
        <v>912836038</v>
      </c>
      <c r="K28" s="134">
        <v>912836038</v>
      </c>
    </row>
    <row r="29" spans="1:11">
      <c r="A29" t="s">
        <v>784</v>
      </c>
      <c r="B29" t="s">
        <v>1370</v>
      </c>
      <c r="C29" s="114">
        <v>766.52300000000002</v>
      </c>
      <c r="D29" s="114">
        <v>771.47900000000004</v>
      </c>
      <c r="E29" s="114">
        <v>1191.92</v>
      </c>
      <c r="F29" s="114">
        <v>0</v>
      </c>
      <c r="G29" s="134">
        <v>1061840</v>
      </c>
      <c r="H29" s="134">
        <v>542826</v>
      </c>
      <c r="I29" s="114">
        <v>0</v>
      </c>
      <c r="J29" s="134">
        <v>388357508</v>
      </c>
      <c r="K29" s="134">
        <v>377149910</v>
      </c>
    </row>
    <row r="30" spans="1:11">
      <c r="A30" t="s">
        <v>785</v>
      </c>
      <c r="B30" t="s">
        <v>1371</v>
      </c>
      <c r="C30" s="114">
        <v>1349.9639999999999</v>
      </c>
      <c r="D30" s="114">
        <v>1349.9639999999999</v>
      </c>
      <c r="E30" s="114">
        <v>2075.5819999999999</v>
      </c>
      <c r="F30" s="114">
        <v>0</v>
      </c>
      <c r="G30" s="134">
        <v>799304</v>
      </c>
      <c r="H30" s="134">
        <v>658223</v>
      </c>
      <c r="I30" s="134">
        <v>126814</v>
      </c>
      <c r="J30" s="134">
        <v>226973481</v>
      </c>
      <c r="K30" s="134">
        <v>226973481</v>
      </c>
    </row>
    <row r="31" spans="1:11">
      <c r="A31" t="s">
        <v>216</v>
      </c>
      <c r="B31" t="s">
        <v>1372</v>
      </c>
      <c r="C31" s="114">
        <v>329.30799999999999</v>
      </c>
      <c r="D31" s="114">
        <v>329.30799999999999</v>
      </c>
      <c r="E31" s="114">
        <v>668.88400000000001</v>
      </c>
      <c r="F31" s="114">
        <v>0</v>
      </c>
      <c r="G31" s="114">
        <v>0</v>
      </c>
      <c r="H31" s="114">
        <v>0</v>
      </c>
      <c r="I31" s="114">
        <v>0</v>
      </c>
      <c r="J31" s="134">
        <v>161784150</v>
      </c>
      <c r="K31" s="134">
        <v>161784150</v>
      </c>
    </row>
    <row r="32" spans="1:11">
      <c r="A32" t="s">
        <v>2220</v>
      </c>
      <c r="B32" t="s">
        <v>2431</v>
      </c>
      <c r="C32" s="114">
        <v>2297.848</v>
      </c>
      <c r="D32" s="114">
        <v>2297.848</v>
      </c>
      <c r="E32" s="114">
        <v>3177.45</v>
      </c>
      <c r="F32" s="114">
        <v>0</v>
      </c>
      <c r="G32" s="134">
        <v>2078372</v>
      </c>
      <c r="H32" s="134">
        <v>1357295</v>
      </c>
      <c r="I32" s="134">
        <v>691574</v>
      </c>
      <c r="J32" s="134">
        <v>975078676</v>
      </c>
      <c r="K32" s="134">
        <v>975078676</v>
      </c>
    </row>
    <row r="33" spans="1:11">
      <c r="A33" t="s">
        <v>1896</v>
      </c>
      <c r="B33" t="s">
        <v>2433</v>
      </c>
      <c r="C33" s="114">
        <v>8030.4040000000005</v>
      </c>
      <c r="D33" s="114">
        <v>8030.4040000000005</v>
      </c>
      <c r="E33" s="114">
        <v>10553.709000000001</v>
      </c>
      <c r="F33" s="114">
        <v>0</v>
      </c>
      <c r="G33" s="134">
        <v>10834817</v>
      </c>
      <c r="H33" s="134">
        <v>4830528</v>
      </c>
      <c r="I33" s="134">
        <v>2742943</v>
      </c>
      <c r="J33" s="134">
        <v>2276376636</v>
      </c>
      <c r="K33" s="134">
        <v>2276376636</v>
      </c>
    </row>
    <row r="34" spans="1:11">
      <c r="A34" t="s">
        <v>876</v>
      </c>
      <c r="B34" t="s">
        <v>1002</v>
      </c>
      <c r="C34" s="114">
        <v>3558.848</v>
      </c>
      <c r="D34" s="114">
        <v>3558.848</v>
      </c>
      <c r="E34" s="114">
        <v>4853.1450000000004</v>
      </c>
      <c r="F34" s="114">
        <v>0</v>
      </c>
      <c r="G34" s="134">
        <v>3679704</v>
      </c>
      <c r="H34" s="134">
        <v>1497181</v>
      </c>
      <c r="I34" s="134">
        <v>911224</v>
      </c>
      <c r="J34" s="134">
        <v>759804360</v>
      </c>
      <c r="K34" s="134">
        <v>759804360</v>
      </c>
    </row>
    <row r="35" spans="1:11">
      <c r="A35" t="s">
        <v>2710</v>
      </c>
      <c r="B35" t="s">
        <v>2202</v>
      </c>
      <c r="C35" s="114">
        <v>1594.0530000000001</v>
      </c>
      <c r="D35" s="114">
        <v>1594.0530000000001</v>
      </c>
      <c r="E35" s="114">
        <v>2204.9589999999998</v>
      </c>
      <c r="F35" s="114">
        <v>0</v>
      </c>
      <c r="G35" s="134">
        <v>1137687</v>
      </c>
      <c r="H35" s="134">
        <v>818469</v>
      </c>
      <c r="I35" s="134">
        <v>376443</v>
      </c>
      <c r="J35" s="134">
        <v>467076732</v>
      </c>
      <c r="K35" s="134">
        <v>467076732</v>
      </c>
    </row>
    <row r="36" spans="1:11">
      <c r="A36" t="s">
        <v>2448</v>
      </c>
      <c r="B36" t="s">
        <v>926</v>
      </c>
      <c r="C36" s="114">
        <v>176.322</v>
      </c>
      <c r="D36" s="114">
        <v>176.322</v>
      </c>
      <c r="E36" s="114">
        <v>316.39400000000001</v>
      </c>
      <c r="F36" s="134">
        <v>69588</v>
      </c>
      <c r="G36" s="134">
        <v>44737</v>
      </c>
      <c r="H36" s="134">
        <v>3052</v>
      </c>
      <c r="I36" s="134">
        <v>41654</v>
      </c>
      <c r="J36" s="134">
        <v>58316011</v>
      </c>
      <c r="K36" s="134">
        <v>58316011</v>
      </c>
    </row>
    <row r="37" spans="1:11">
      <c r="A37" t="s">
        <v>492</v>
      </c>
      <c r="B37" t="s">
        <v>1373</v>
      </c>
      <c r="C37" s="114">
        <v>529.61599999999999</v>
      </c>
      <c r="D37" s="114">
        <v>529.61599999999999</v>
      </c>
      <c r="E37" s="114">
        <v>961.53599999999994</v>
      </c>
      <c r="F37" s="114">
        <v>0</v>
      </c>
      <c r="G37" s="134">
        <v>205533</v>
      </c>
      <c r="H37" s="134">
        <v>237269</v>
      </c>
      <c r="I37" s="114">
        <v>0</v>
      </c>
      <c r="J37" s="134">
        <v>137442260</v>
      </c>
      <c r="K37" s="134">
        <v>137442260</v>
      </c>
    </row>
    <row r="38" spans="1:11">
      <c r="A38" t="s">
        <v>2711</v>
      </c>
      <c r="B38" t="s">
        <v>2434</v>
      </c>
      <c r="C38" s="114">
        <v>3264.009</v>
      </c>
      <c r="D38" s="114">
        <v>3264.009</v>
      </c>
      <c r="E38" s="114">
        <v>4482.2330000000002</v>
      </c>
      <c r="F38" s="114">
        <v>0</v>
      </c>
      <c r="G38" s="134">
        <v>1285250</v>
      </c>
      <c r="H38" s="134">
        <v>418269</v>
      </c>
      <c r="I38" s="134">
        <v>649968</v>
      </c>
      <c r="J38" s="134">
        <v>510262347</v>
      </c>
      <c r="K38" s="134">
        <v>510262347</v>
      </c>
    </row>
    <row r="39" spans="1:11">
      <c r="A39" t="s">
        <v>3048</v>
      </c>
      <c r="B39" t="s">
        <v>1374</v>
      </c>
      <c r="C39" s="114">
        <v>112.614</v>
      </c>
      <c r="D39" s="114">
        <v>116.968</v>
      </c>
      <c r="E39" s="114">
        <v>202.96299999999999</v>
      </c>
      <c r="F39" s="114">
        <v>0</v>
      </c>
      <c r="G39" s="134">
        <v>469029</v>
      </c>
      <c r="H39" s="114">
        <v>0</v>
      </c>
      <c r="I39" s="114">
        <v>0</v>
      </c>
      <c r="J39" s="134">
        <v>169611851</v>
      </c>
      <c r="K39" s="134">
        <v>169611851</v>
      </c>
    </row>
    <row r="40" spans="1:11">
      <c r="A40" t="s">
        <v>3049</v>
      </c>
      <c r="B40" t="s">
        <v>1375</v>
      </c>
      <c r="C40" s="114">
        <v>358.34699999999998</v>
      </c>
      <c r="D40" s="114">
        <v>364.54899999999998</v>
      </c>
      <c r="E40" s="114">
        <v>649.61</v>
      </c>
      <c r="F40" s="114">
        <v>0</v>
      </c>
      <c r="G40" s="114">
        <v>0</v>
      </c>
      <c r="H40" s="114">
        <v>0</v>
      </c>
      <c r="I40" s="114">
        <v>0</v>
      </c>
      <c r="J40" s="134">
        <v>138755508</v>
      </c>
      <c r="K40" s="134">
        <v>138755508</v>
      </c>
    </row>
    <row r="41" spans="1:11">
      <c r="A41" t="s">
        <v>1313</v>
      </c>
      <c r="B41" t="s">
        <v>2089</v>
      </c>
      <c r="C41" s="114">
        <v>693.33900000000006</v>
      </c>
      <c r="D41" s="114">
        <v>693.33900000000006</v>
      </c>
      <c r="E41" s="114">
        <v>1120.778</v>
      </c>
      <c r="F41" s="114">
        <v>0</v>
      </c>
      <c r="G41" s="134">
        <v>256469</v>
      </c>
      <c r="H41" s="114">
        <v>0</v>
      </c>
      <c r="I41" s="134">
        <v>154462</v>
      </c>
      <c r="J41" s="134">
        <v>106520592</v>
      </c>
      <c r="K41" s="134">
        <v>106520592</v>
      </c>
    </row>
    <row r="42" spans="1:11">
      <c r="A42" t="s">
        <v>2449</v>
      </c>
      <c r="B42" t="s">
        <v>1376</v>
      </c>
      <c r="C42" s="114">
        <v>1039.1990000000001</v>
      </c>
      <c r="D42" s="114">
        <v>1039.1990000000001</v>
      </c>
      <c r="E42" s="114">
        <v>1445.364</v>
      </c>
      <c r="F42" s="114">
        <v>0</v>
      </c>
      <c r="G42" s="134">
        <v>225214</v>
      </c>
      <c r="H42" s="134">
        <v>201861</v>
      </c>
      <c r="I42" s="114">
        <v>0</v>
      </c>
      <c r="J42" s="134">
        <v>168834172</v>
      </c>
      <c r="K42" s="134">
        <v>168834172</v>
      </c>
    </row>
    <row r="43" spans="1:11">
      <c r="A43" t="s">
        <v>1895</v>
      </c>
      <c r="B43" t="s">
        <v>2432</v>
      </c>
      <c r="C43" s="114">
        <v>364.22899999999998</v>
      </c>
      <c r="D43" s="114">
        <v>364.22899999999998</v>
      </c>
      <c r="E43" s="114">
        <v>618.35299999999995</v>
      </c>
      <c r="F43" s="114">
        <v>0</v>
      </c>
      <c r="G43" s="134">
        <v>89211</v>
      </c>
      <c r="H43" s="134">
        <v>27153</v>
      </c>
      <c r="I43" s="134">
        <v>61881</v>
      </c>
      <c r="J43" s="134">
        <v>70288921</v>
      </c>
      <c r="K43" s="134">
        <v>70288921</v>
      </c>
    </row>
    <row r="44" spans="1:11">
      <c r="A44" t="s">
        <v>1898</v>
      </c>
      <c r="B44" t="s">
        <v>3079</v>
      </c>
      <c r="C44" s="114">
        <v>7957.4930000000004</v>
      </c>
      <c r="D44" s="114">
        <v>7957.4930000000004</v>
      </c>
      <c r="E44" s="114">
        <v>9996.52</v>
      </c>
      <c r="F44" s="114">
        <v>0</v>
      </c>
      <c r="G44" s="134">
        <v>4349347</v>
      </c>
      <c r="H44" s="134">
        <v>3572611</v>
      </c>
      <c r="I44" s="134">
        <v>552484</v>
      </c>
      <c r="J44" s="134">
        <v>1605561970</v>
      </c>
      <c r="K44" s="134">
        <v>1605561970</v>
      </c>
    </row>
    <row r="45" spans="1:11">
      <c r="A45" t="s">
        <v>198</v>
      </c>
      <c r="B45" t="s">
        <v>2728</v>
      </c>
      <c r="C45" s="114">
        <v>519.173</v>
      </c>
      <c r="D45" s="114">
        <v>519.29600000000005</v>
      </c>
      <c r="E45" s="114">
        <v>820.63800000000003</v>
      </c>
      <c r="F45" s="114">
        <v>0</v>
      </c>
      <c r="G45" s="134">
        <v>266062</v>
      </c>
      <c r="H45" s="134">
        <v>27741</v>
      </c>
      <c r="I45" s="134">
        <v>140092</v>
      </c>
      <c r="J45" s="134">
        <v>74779060</v>
      </c>
      <c r="K45" s="134">
        <v>74779060</v>
      </c>
    </row>
    <row r="46" spans="1:11">
      <c r="A46" t="s">
        <v>60</v>
      </c>
      <c r="B46" t="s">
        <v>2878</v>
      </c>
      <c r="C46" s="114">
        <v>35248.425000000003</v>
      </c>
      <c r="D46" s="114">
        <v>35248.425000000003</v>
      </c>
      <c r="E46" s="114">
        <v>45806.572</v>
      </c>
      <c r="F46" s="114">
        <v>0</v>
      </c>
      <c r="G46" s="134">
        <v>6318607</v>
      </c>
      <c r="H46" s="134">
        <v>959277</v>
      </c>
      <c r="I46" s="134">
        <v>5055147</v>
      </c>
      <c r="J46" s="134">
        <v>5202837903</v>
      </c>
      <c r="K46" s="134">
        <v>5202837903</v>
      </c>
    </row>
    <row r="47" spans="1:11">
      <c r="A47" t="s">
        <v>192</v>
      </c>
      <c r="B47" t="s">
        <v>1582</v>
      </c>
      <c r="C47" s="114">
        <v>794.00199999999995</v>
      </c>
      <c r="D47" s="114">
        <v>794.00199999999995</v>
      </c>
      <c r="E47" s="114">
        <v>1203.18</v>
      </c>
      <c r="F47" s="114">
        <v>0</v>
      </c>
      <c r="G47" s="134">
        <v>468112</v>
      </c>
      <c r="H47" s="134">
        <v>31685</v>
      </c>
      <c r="I47" s="134">
        <v>172129</v>
      </c>
      <c r="J47" s="134">
        <v>128985393</v>
      </c>
      <c r="K47" s="134">
        <v>128985393</v>
      </c>
    </row>
    <row r="48" spans="1:11">
      <c r="A48" t="s">
        <v>1487</v>
      </c>
      <c r="B48" t="s">
        <v>2305</v>
      </c>
      <c r="C48" s="114">
        <v>1243.0250000000001</v>
      </c>
      <c r="D48" s="114">
        <v>1243.0250000000001</v>
      </c>
      <c r="E48" s="114">
        <v>1640.2149999999999</v>
      </c>
      <c r="F48" s="114">
        <v>0</v>
      </c>
      <c r="G48" s="134">
        <v>1565463</v>
      </c>
      <c r="H48" s="134">
        <v>1425343</v>
      </c>
      <c r="I48" s="134">
        <v>211190</v>
      </c>
      <c r="J48" s="134">
        <v>517882757</v>
      </c>
      <c r="K48" s="134">
        <v>517882757</v>
      </c>
    </row>
    <row r="49" spans="1:11">
      <c r="A49" t="s">
        <v>1707</v>
      </c>
      <c r="B49" t="s">
        <v>658</v>
      </c>
      <c r="C49" s="114">
        <v>7675.2110000000002</v>
      </c>
      <c r="D49" s="114">
        <v>7675.2110000000002</v>
      </c>
      <c r="E49" s="114">
        <v>9915.7749999999996</v>
      </c>
      <c r="F49" s="114">
        <v>0</v>
      </c>
      <c r="G49" s="134">
        <v>5234170</v>
      </c>
      <c r="H49" s="134">
        <v>3272954</v>
      </c>
      <c r="I49" s="134">
        <v>2066767</v>
      </c>
      <c r="J49" s="134">
        <v>2450111506</v>
      </c>
      <c r="K49" s="134">
        <v>2450111506</v>
      </c>
    </row>
    <row r="50" spans="1:11">
      <c r="A50" t="s">
        <v>1712</v>
      </c>
      <c r="B50" t="s">
        <v>2640</v>
      </c>
      <c r="C50" s="114">
        <v>1218.3579999999999</v>
      </c>
      <c r="D50" s="114">
        <v>1218.3579999999999</v>
      </c>
      <c r="E50" s="114">
        <v>1708.8040000000001</v>
      </c>
      <c r="F50" s="114">
        <v>0</v>
      </c>
      <c r="G50" s="134">
        <v>1067025</v>
      </c>
      <c r="H50" s="134">
        <v>145160</v>
      </c>
      <c r="I50" s="134">
        <v>283649</v>
      </c>
      <c r="J50" s="134">
        <v>210409829</v>
      </c>
      <c r="K50" s="134">
        <v>210409829</v>
      </c>
    </row>
    <row r="51" spans="1:11">
      <c r="A51" t="s">
        <v>463</v>
      </c>
      <c r="B51" t="s">
        <v>2603</v>
      </c>
      <c r="C51" s="114">
        <v>4366.6090000000004</v>
      </c>
      <c r="D51" s="114">
        <v>4366.6090000000004</v>
      </c>
      <c r="E51" s="114">
        <v>4960.482</v>
      </c>
      <c r="F51" s="114">
        <v>0</v>
      </c>
      <c r="G51" s="134">
        <v>5971178</v>
      </c>
      <c r="H51" s="134">
        <v>7427303</v>
      </c>
      <c r="I51" s="114">
        <v>0</v>
      </c>
      <c r="J51" s="134">
        <v>4414736091</v>
      </c>
      <c r="K51" s="134">
        <v>4414736091</v>
      </c>
    </row>
    <row r="52" spans="1:11">
      <c r="A52" t="s">
        <v>2125</v>
      </c>
      <c r="B52" t="s">
        <v>822</v>
      </c>
      <c r="C52" s="114">
        <v>13117.204</v>
      </c>
      <c r="D52" s="114">
        <v>13117.204</v>
      </c>
      <c r="E52" s="114">
        <v>18093.348999999998</v>
      </c>
      <c r="F52" s="114">
        <v>0</v>
      </c>
      <c r="G52" s="134">
        <v>3877512</v>
      </c>
      <c r="H52" s="134">
        <v>499051</v>
      </c>
      <c r="I52" s="134">
        <v>3411181</v>
      </c>
      <c r="J52" s="134">
        <v>1197178769</v>
      </c>
      <c r="K52" s="134">
        <v>1197178769</v>
      </c>
    </row>
    <row r="53" spans="1:11">
      <c r="A53" t="s">
        <v>874</v>
      </c>
      <c r="B53" t="s">
        <v>1000</v>
      </c>
      <c r="C53" s="114">
        <v>10499.39</v>
      </c>
      <c r="D53" s="114">
        <v>10499.39</v>
      </c>
      <c r="E53" s="114">
        <v>14809.903</v>
      </c>
      <c r="F53" s="114">
        <v>0</v>
      </c>
      <c r="G53" s="134">
        <v>2083882</v>
      </c>
      <c r="H53" s="134">
        <v>261866</v>
      </c>
      <c r="I53" s="134">
        <v>1925565</v>
      </c>
      <c r="J53" s="134">
        <v>882209569</v>
      </c>
      <c r="K53" s="134">
        <v>882209569</v>
      </c>
    </row>
    <row r="54" spans="1:11">
      <c r="A54" t="s">
        <v>1489</v>
      </c>
      <c r="B54" t="s">
        <v>2308</v>
      </c>
      <c r="C54" s="114">
        <v>49038.993999999999</v>
      </c>
      <c r="D54" s="114">
        <v>49038.993999999999</v>
      </c>
      <c r="E54" s="114">
        <v>69246.466</v>
      </c>
      <c r="F54" s="114">
        <v>0</v>
      </c>
      <c r="G54" s="134">
        <v>24755523</v>
      </c>
      <c r="H54" s="134">
        <v>2048795</v>
      </c>
      <c r="I54" s="134">
        <v>22095988</v>
      </c>
      <c r="J54" s="134">
        <v>10692743033</v>
      </c>
      <c r="K54" s="134">
        <v>10692743033</v>
      </c>
    </row>
    <row r="55" spans="1:11">
      <c r="A55" t="s">
        <v>1699</v>
      </c>
      <c r="B55" t="s">
        <v>2206</v>
      </c>
      <c r="C55" s="114">
        <v>9102.1450000000004</v>
      </c>
      <c r="D55" s="114">
        <v>9102.1450000000004</v>
      </c>
      <c r="E55" s="114">
        <v>12507.383</v>
      </c>
      <c r="F55" s="114">
        <v>0</v>
      </c>
      <c r="G55" s="134">
        <v>4797169</v>
      </c>
      <c r="H55" s="134">
        <v>1754782</v>
      </c>
      <c r="I55" s="134">
        <v>2265472</v>
      </c>
      <c r="J55" s="134">
        <v>1097187360</v>
      </c>
      <c r="K55" s="134">
        <v>1097187360</v>
      </c>
    </row>
    <row r="56" spans="1:11">
      <c r="A56" t="s">
        <v>1316</v>
      </c>
      <c r="B56" t="s">
        <v>2205</v>
      </c>
      <c r="C56" s="114">
        <v>3177.5810000000001</v>
      </c>
      <c r="D56" s="114">
        <v>3177.5810000000001</v>
      </c>
      <c r="E56" s="114">
        <v>4445.7</v>
      </c>
      <c r="F56" s="114">
        <v>0</v>
      </c>
      <c r="G56" s="134">
        <v>544531</v>
      </c>
      <c r="H56" s="134">
        <v>94715</v>
      </c>
      <c r="I56" s="134">
        <v>448410</v>
      </c>
      <c r="J56" s="134">
        <v>317294529</v>
      </c>
      <c r="K56" s="134">
        <v>317294529</v>
      </c>
    </row>
    <row r="57" spans="1:11">
      <c r="A57" t="s">
        <v>1587</v>
      </c>
      <c r="B57" t="s">
        <v>2610</v>
      </c>
      <c r="C57" s="114">
        <v>59744.444000000003</v>
      </c>
      <c r="D57" s="114">
        <v>59744.444000000003</v>
      </c>
      <c r="E57" s="114">
        <v>75192.020999999993</v>
      </c>
      <c r="F57" s="114">
        <v>0</v>
      </c>
      <c r="G57" s="134">
        <v>99040295</v>
      </c>
      <c r="H57" s="134">
        <v>72670370</v>
      </c>
      <c r="I57" s="134">
        <v>5178263</v>
      </c>
      <c r="J57" s="134">
        <v>25058748432</v>
      </c>
      <c r="K57" s="134">
        <v>25058748432</v>
      </c>
    </row>
    <row r="58" spans="1:11">
      <c r="A58" t="s">
        <v>871</v>
      </c>
      <c r="B58" t="s">
        <v>1215</v>
      </c>
      <c r="C58" s="114">
        <v>8340.0419999999995</v>
      </c>
      <c r="D58" s="114">
        <v>8340.0419999999995</v>
      </c>
      <c r="E58" s="114">
        <v>10828.715</v>
      </c>
      <c r="F58" s="114">
        <v>0</v>
      </c>
      <c r="G58" s="134">
        <v>5536075</v>
      </c>
      <c r="H58" s="134">
        <v>759476</v>
      </c>
      <c r="I58" s="134">
        <v>3073904</v>
      </c>
      <c r="J58" s="134">
        <v>1623894030</v>
      </c>
      <c r="K58" s="134">
        <v>1623894030</v>
      </c>
    </row>
    <row r="59" spans="1:11">
      <c r="A59" t="s">
        <v>807</v>
      </c>
      <c r="B59" t="s">
        <v>2208</v>
      </c>
      <c r="C59" s="114">
        <v>10439.763000000001</v>
      </c>
      <c r="D59" s="114">
        <v>10439.763000000001</v>
      </c>
      <c r="E59" s="114">
        <v>14262.65</v>
      </c>
      <c r="F59" s="114">
        <v>0</v>
      </c>
      <c r="G59" s="134">
        <v>3512643</v>
      </c>
      <c r="H59" s="134">
        <v>80583</v>
      </c>
      <c r="I59" s="134">
        <v>3305510</v>
      </c>
      <c r="J59" s="134">
        <v>1400604118</v>
      </c>
      <c r="K59" s="134">
        <v>1400604118</v>
      </c>
    </row>
    <row r="60" spans="1:11">
      <c r="A60" t="s">
        <v>1589</v>
      </c>
      <c r="B60" t="s">
        <v>2612</v>
      </c>
      <c r="C60" s="114">
        <v>82443.793999999994</v>
      </c>
      <c r="D60" s="114">
        <v>82443.793999999994</v>
      </c>
      <c r="E60" s="114">
        <v>105717.40700000001</v>
      </c>
      <c r="F60" s="114">
        <v>0</v>
      </c>
      <c r="G60" s="134">
        <v>80147505</v>
      </c>
      <c r="H60" s="134">
        <v>79030004</v>
      </c>
      <c r="I60" s="134">
        <v>2133922</v>
      </c>
      <c r="J60" s="134">
        <v>27251725350</v>
      </c>
      <c r="K60" s="134">
        <v>27251725350</v>
      </c>
    </row>
    <row r="61" spans="1:11">
      <c r="A61" t="s">
        <v>53</v>
      </c>
      <c r="B61" t="s">
        <v>448</v>
      </c>
      <c r="C61" s="114">
        <v>19877.554</v>
      </c>
      <c r="D61" s="114">
        <v>19877.554</v>
      </c>
      <c r="E61" s="114">
        <v>25892.841</v>
      </c>
      <c r="F61" s="114">
        <v>0</v>
      </c>
      <c r="G61" s="134">
        <v>24305651</v>
      </c>
      <c r="H61" s="134">
        <v>11907429</v>
      </c>
      <c r="I61" s="134">
        <v>7247371</v>
      </c>
      <c r="J61" s="134">
        <v>5290848265</v>
      </c>
      <c r="K61" s="134">
        <v>5290848265</v>
      </c>
    </row>
    <row r="62" spans="1:11">
      <c r="A62" t="s">
        <v>1700</v>
      </c>
      <c r="B62" t="s">
        <v>2207</v>
      </c>
      <c r="C62" s="114">
        <v>4719.7709999999997</v>
      </c>
      <c r="D62" s="114">
        <v>4719.7709999999997</v>
      </c>
      <c r="E62" s="114">
        <v>6354.9769999999999</v>
      </c>
      <c r="F62" s="114">
        <v>0</v>
      </c>
      <c r="G62" s="134">
        <v>1626051</v>
      </c>
      <c r="H62" s="134">
        <v>53570</v>
      </c>
      <c r="I62" s="134">
        <v>1472398</v>
      </c>
      <c r="J62" s="134">
        <v>470606887</v>
      </c>
      <c r="K62" s="134">
        <v>470606887</v>
      </c>
    </row>
    <row r="63" spans="1:11">
      <c r="A63" t="s">
        <v>1377</v>
      </c>
      <c r="B63" t="s">
        <v>2604</v>
      </c>
      <c r="C63" s="114">
        <v>667.12099999999998</v>
      </c>
      <c r="D63" s="114">
        <v>667.12099999999998</v>
      </c>
      <c r="E63" s="114">
        <v>1149.1890000000001</v>
      </c>
      <c r="F63" s="114">
        <v>0</v>
      </c>
      <c r="G63" s="134">
        <v>758579</v>
      </c>
      <c r="H63" s="134">
        <v>1054644</v>
      </c>
      <c r="I63" s="114">
        <v>0</v>
      </c>
      <c r="J63" s="134">
        <v>482196279</v>
      </c>
      <c r="K63" s="134">
        <v>482196279</v>
      </c>
    </row>
    <row r="64" spans="1:11">
      <c r="A64" t="s">
        <v>986</v>
      </c>
      <c r="B64" t="s">
        <v>902</v>
      </c>
      <c r="C64" s="114">
        <v>892.39800000000002</v>
      </c>
      <c r="D64" s="114">
        <v>895.08</v>
      </c>
      <c r="E64" s="114">
        <v>1452.096</v>
      </c>
      <c r="F64" s="114">
        <v>0</v>
      </c>
      <c r="G64" s="134">
        <v>614154</v>
      </c>
      <c r="H64" s="134">
        <v>673886</v>
      </c>
      <c r="I64" s="134">
        <v>248495</v>
      </c>
      <c r="J64" s="134">
        <v>554781328</v>
      </c>
      <c r="K64" s="134">
        <v>554781328</v>
      </c>
    </row>
    <row r="65" spans="1:11">
      <c r="A65" t="s">
        <v>1378</v>
      </c>
      <c r="B65" t="s">
        <v>2605</v>
      </c>
      <c r="C65" s="114">
        <v>188.161</v>
      </c>
      <c r="D65" s="114">
        <v>188.161</v>
      </c>
      <c r="E65" s="114">
        <v>350.32</v>
      </c>
      <c r="F65" s="114">
        <v>0</v>
      </c>
      <c r="G65" s="114">
        <v>0</v>
      </c>
      <c r="H65" s="114">
        <v>0</v>
      </c>
      <c r="I65" s="114">
        <v>0</v>
      </c>
      <c r="J65" s="134">
        <v>685295396</v>
      </c>
      <c r="K65" s="134">
        <v>685295396</v>
      </c>
    </row>
    <row r="66" spans="1:11">
      <c r="A66" t="s">
        <v>628</v>
      </c>
      <c r="B66" t="s">
        <v>1330</v>
      </c>
      <c r="C66" s="114">
        <v>1075.6690000000001</v>
      </c>
      <c r="D66" s="114">
        <v>1079.8989999999999</v>
      </c>
      <c r="E66" s="114">
        <v>1575.7159999999999</v>
      </c>
      <c r="F66" s="114">
        <v>0</v>
      </c>
      <c r="G66" s="134">
        <v>576212</v>
      </c>
      <c r="H66" s="134">
        <v>276586</v>
      </c>
      <c r="I66" s="134">
        <v>314735</v>
      </c>
      <c r="J66" s="134">
        <v>412056112</v>
      </c>
      <c r="K66" s="134">
        <v>412056112</v>
      </c>
    </row>
    <row r="67" spans="1:11">
      <c r="A67" t="s">
        <v>1379</v>
      </c>
      <c r="B67" t="s">
        <v>3081</v>
      </c>
      <c r="C67" s="114">
        <v>496.52499999999998</v>
      </c>
      <c r="D67" s="114">
        <v>496.52499999999998</v>
      </c>
      <c r="E67" s="114">
        <v>823.11199999999997</v>
      </c>
      <c r="F67" s="114">
        <v>0</v>
      </c>
      <c r="G67" s="134">
        <v>468869</v>
      </c>
      <c r="H67" s="134">
        <v>316486</v>
      </c>
      <c r="I67" s="134">
        <v>92642</v>
      </c>
      <c r="J67" s="134">
        <v>128072868</v>
      </c>
      <c r="K67" s="134">
        <v>128072868</v>
      </c>
    </row>
    <row r="68" spans="1:11">
      <c r="A68" t="s">
        <v>1273</v>
      </c>
      <c r="B68" t="s">
        <v>3082</v>
      </c>
      <c r="C68" s="114">
        <v>102.58199999999999</v>
      </c>
      <c r="D68" s="114">
        <v>102.92100000000001</v>
      </c>
      <c r="E68" s="114">
        <v>280.18799999999999</v>
      </c>
      <c r="F68" s="114">
        <v>0</v>
      </c>
      <c r="G68" s="114">
        <v>0</v>
      </c>
      <c r="H68" s="114">
        <v>0</v>
      </c>
      <c r="I68" s="114">
        <v>0</v>
      </c>
      <c r="J68" s="134">
        <v>51312702</v>
      </c>
      <c r="K68" s="134">
        <v>51312702</v>
      </c>
    </row>
    <row r="69" spans="1:11">
      <c r="A69" t="s">
        <v>1274</v>
      </c>
      <c r="B69" t="s">
        <v>3083</v>
      </c>
      <c r="C69" s="114">
        <v>567.44399999999996</v>
      </c>
      <c r="D69" s="114">
        <v>567.44399999999996</v>
      </c>
      <c r="E69" s="114">
        <v>915.44399999999996</v>
      </c>
      <c r="F69" s="114">
        <v>0</v>
      </c>
      <c r="G69" s="134">
        <v>488703</v>
      </c>
      <c r="H69" s="134">
        <v>277329</v>
      </c>
      <c r="I69" s="134">
        <v>137142</v>
      </c>
      <c r="J69" s="134">
        <v>168437674</v>
      </c>
      <c r="K69" s="134">
        <v>168437674</v>
      </c>
    </row>
    <row r="70" spans="1:11">
      <c r="A70" t="s">
        <v>2174</v>
      </c>
      <c r="B70" t="s">
        <v>2304</v>
      </c>
      <c r="C70" s="114">
        <v>182.726</v>
      </c>
      <c r="D70" s="114">
        <v>187.06800000000001</v>
      </c>
      <c r="E70" s="114">
        <v>349.23399999999998</v>
      </c>
      <c r="F70" s="114">
        <v>0</v>
      </c>
      <c r="G70" s="114">
        <v>0</v>
      </c>
      <c r="H70" s="114">
        <v>0</v>
      </c>
      <c r="I70" s="114">
        <v>0</v>
      </c>
      <c r="J70" s="134">
        <v>62002668</v>
      </c>
      <c r="K70" s="134">
        <v>62002668</v>
      </c>
    </row>
    <row r="71" spans="1:11">
      <c r="A71" t="s">
        <v>1846</v>
      </c>
      <c r="B71" t="s">
        <v>3084</v>
      </c>
      <c r="C71" s="114">
        <v>108.249</v>
      </c>
      <c r="D71" s="114">
        <v>114.878</v>
      </c>
      <c r="E71" s="114">
        <v>247.28</v>
      </c>
      <c r="F71" s="114">
        <v>0</v>
      </c>
      <c r="G71" s="134">
        <v>35053</v>
      </c>
      <c r="H71" s="134">
        <v>97549</v>
      </c>
      <c r="I71" s="114">
        <v>0</v>
      </c>
      <c r="J71" s="134">
        <v>64067431</v>
      </c>
      <c r="K71" s="134">
        <v>64067431</v>
      </c>
    </row>
    <row r="72" spans="1:11">
      <c r="A72" t="s">
        <v>1847</v>
      </c>
      <c r="B72" t="s">
        <v>3085</v>
      </c>
      <c r="C72" s="114">
        <v>228.85499999999999</v>
      </c>
      <c r="D72" s="114">
        <v>245.75399999999999</v>
      </c>
      <c r="E72" s="114">
        <v>430.79199999999997</v>
      </c>
      <c r="F72" s="114">
        <v>0</v>
      </c>
      <c r="G72" s="134">
        <v>21369</v>
      </c>
      <c r="H72" s="134">
        <v>21431</v>
      </c>
      <c r="I72" s="114">
        <v>0</v>
      </c>
      <c r="J72" s="134">
        <v>95289484</v>
      </c>
      <c r="K72" s="134">
        <v>95289484</v>
      </c>
    </row>
    <row r="73" spans="1:11">
      <c r="A73" t="s">
        <v>1848</v>
      </c>
      <c r="B73" t="s">
        <v>3086</v>
      </c>
      <c r="C73" s="114">
        <v>83.39</v>
      </c>
      <c r="D73" s="114">
        <v>83.39</v>
      </c>
      <c r="E73" s="114">
        <v>220.77500000000001</v>
      </c>
      <c r="F73" s="114">
        <v>0</v>
      </c>
      <c r="G73" s="114">
        <v>0</v>
      </c>
      <c r="H73" s="114">
        <v>0</v>
      </c>
      <c r="I73" s="114">
        <v>0</v>
      </c>
      <c r="J73" s="134">
        <v>57189465</v>
      </c>
      <c r="K73" s="134">
        <v>57189465</v>
      </c>
    </row>
    <row r="74" spans="1:11">
      <c r="A74" t="s">
        <v>997</v>
      </c>
      <c r="B74" t="s">
        <v>3063</v>
      </c>
      <c r="C74" s="114">
        <v>762.08100000000002</v>
      </c>
      <c r="D74" s="114">
        <v>762.08100000000002</v>
      </c>
      <c r="E74" s="114">
        <v>1253.7429999999999</v>
      </c>
      <c r="F74" s="114">
        <v>0</v>
      </c>
      <c r="G74" s="134">
        <v>119626</v>
      </c>
      <c r="H74" s="134">
        <v>31935</v>
      </c>
      <c r="I74" s="114">
        <v>0</v>
      </c>
      <c r="J74" s="134">
        <v>139031460</v>
      </c>
      <c r="K74" s="134">
        <v>139031460</v>
      </c>
    </row>
    <row r="75" spans="1:11">
      <c r="A75" t="s">
        <v>808</v>
      </c>
      <c r="B75" t="s">
        <v>2730</v>
      </c>
      <c r="C75" s="114">
        <v>974.59900000000005</v>
      </c>
      <c r="D75" s="114">
        <v>974.59900000000005</v>
      </c>
      <c r="E75" s="114">
        <v>1539.703</v>
      </c>
      <c r="F75" s="114">
        <v>0</v>
      </c>
      <c r="G75" s="134">
        <v>293008</v>
      </c>
      <c r="H75" s="134">
        <v>7993</v>
      </c>
      <c r="I75" s="134">
        <v>261038</v>
      </c>
      <c r="J75" s="134">
        <v>119392762</v>
      </c>
      <c r="K75" s="134">
        <v>119392762</v>
      </c>
    </row>
    <row r="76" spans="1:11">
      <c r="A76" t="s">
        <v>2450</v>
      </c>
      <c r="B76" t="s">
        <v>2361</v>
      </c>
      <c r="C76" s="114">
        <v>462.46899999999999</v>
      </c>
      <c r="D76" s="114">
        <v>462.46899999999999</v>
      </c>
      <c r="E76" s="114">
        <v>778.44799999999998</v>
      </c>
      <c r="F76" s="114">
        <v>0</v>
      </c>
      <c r="G76" s="134">
        <v>23439</v>
      </c>
      <c r="H76" s="114">
        <v>0</v>
      </c>
      <c r="I76" s="134">
        <v>20199</v>
      </c>
      <c r="J76" s="134">
        <v>47580818</v>
      </c>
      <c r="K76" s="134">
        <v>47580818</v>
      </c>
    </row>
    <row r="77" spans="1:11">
      <c r="A77" t="s">
        <v>3034</v>
      </c>
      <c r="B77" t="s">
        <v>1578</v>
      </c>
      <c r="C77" s="114">
        <v>1295.874</v>
      </c>
      <c r="D77" s="114">
        <v>1295.874</v>
      </c>
      <c r="E77" s="114">
        <v>1917.6510000000001</v>
      </c>
      <c r="F77" s="114">
        <v>0</v>
      </c>
      <c r="G77" s="134">
        <v>647337</v>
      </c>
      <c r="H77" s="134">
        <v>207614</v>
      </c>
      <c r="I77" s="134">
        <v>198192</v>
      </c>
      <c r="J77" s="134">
        <v>278001813</v>
      </c>
      <c r="K77" s="134">
        <v>278001813</v>
      </c>
    </row>
    <row r="78" spans="1:11">
      <c r="A78" t="s">
        <v>1252</v>
      </c>
      <c r="B78" t="s">
        <v>1579</v>
      </c>
      <c r="C78" s="114">
        <v>1018.6420000000001</v>
      </c>
      <c r="D78" s="114">
        <v>1035.615</v>
      </c>
      <c r="E78" s="114">
        <v>1476.269</v>
      </c>
      <c r="F78" s="114">
        <v>0</v>
      </c>
      <c r="G78" s="134">
        <v>226671</v>
      </c>
      <c r="H78" s="134">
        <v>185941</v>
      </c>
      <c r="I78" s="114">
        <v>0</v>
      </c>
      <c r="J78" s="134">
        <v>169501573</v>
      </c>
      <c r="K78" s="134">
        <v>169501573</v>
      </c>
    </row>
    <row r="79" spans="1:11">
      <c r="A79" t="s">
        <v>1253</v>
      </c>
      <c r="B79" t="s">
        <v>1580</v>
      </c>
      <c r="C79" s="114">
        <v>6019.3670000000002</v>
      </c>
      <c r="D79" s="114">
        <v>6019.3670000000002</v>
      </c>
      <c r="E79" s="114">
        <v>7994.66</v>
      </c>
      <c r="F79" s="114">
        <v>0</v>
      </c>
      <c r="G79" s="134">
        <v>3062522</v>
      </c>
      <c r="H79" s="134">
        <v>2101971</v>
      </c>
      <c r="I79" s="114">
        <v>0</v>
      </c>
      <c r="J79" s="134">
        <v>1730906443</v>
      </c>
      <c r="K79" s="134">
        <v>1730906443</v>
      </c>
    </row>
    <row r="80" spans="1:11">
      <c r="A80" t="s">
        <v>1285</v>
      </c>
      <c r="B80" t="s">
        <v>2846</v>
      </c>
      <c r="C80" s="114">
        <v>2492.2660000000001</v>
      </c>
      <c r="D80" s="114">
        <v>2492.2660000000001</v>
      </c>
      <c r="E80" s="114">
        <v>3630.3910000000001</v>
      </c>
      <c r="F80" s="114">
        <v>0</v>
      </c>
      <c r="G80" s="134">
        <v>638735</v>
      </c>
      <c r="H80" s="134">
        <v>255532</v>
      </c>
      <c r="I80" s="114">
        <v>0</v>
      </c>
      <c r="J80" s="134">
        <v>455147264</v>
      </c>
      <c r="K80" s="134">
        <v>455147264</v>
      </c>
    </row>
    <row r="81" spans="1:11">
      <c r="A81" t="s">
        <v>2451</v>
      </c>
      <c r="B81" t="s">
        <v>295</v>
      </c>
      <c r="C81" s="114">
        <v>577.17899999999997</v>
      </c>
      <c r="D81" s="114">
        <v>577.17899999999997</v>
      </c>
      <c r="E81" s="114">
        <v>977.101</v>
      </c>
      <c r="F81" s="114">
        <v>0</v>
      </c>
      <c r="G81" s="134">
        <v>49016</v>
      </c>
      <c r="H81" s="114">
        <v>0</v>
      </c>
      <c r="I81" s="134">
        <v>48342</v>
      </c>
      <c r="J81" s="134">
        <v>77200999</v>
      </c>
      <c r="K81" s="134">
        <v>77200999</v>
      </c>
    </row>
    <row r="82" spans="1:11">
      <c r="A82" t="s">
        <v>1110</v>
      </c>
      <c r="B82" t="s">
        <v>320</v>
      </c>
      <c r="C82" s="114">
        <v>94.259</v>
      </c>
      <c r="D82" s="114">
        <v>94.259</v>
      </c>
      <c r="E82" s="114">
        <v>161.732</v>
      </c>
      <c r="F82" s="114">
        <v>0</v>
      </c>
      <c r="G82" s="134">
        <v>8214</v>
      </c>
      <c r="H82" s="114">
        <v>0</v>
      </c>
      <c r="I82" s="134">
        <v>8469</v>
      </c>
      <c r="J82" s="134">
        <v>14776100</v>
      </c>
      <c r="K82" s="134">
        <v>14776100</v>
      </c>
    </row>
    <row r="83" spans="1:11">
      <c r="A83" t="s">
        <v>953</v>
      </c>
      <c r="B83" t="s">
        <v>2847</v>
      </c>
      <c r="C83" s="114">
        <v>418.97500000000002</v>
      </c>
      <c r="D83" s="114">
        <v>418.97500000000002</v>
      </c>
      <c r="E83" s="114">
        <v>605.14599999999996</v>
      </c>
      <c r="F83" s="114">
        <v>0</v>
      </c>
      <c r="G83" s="134">
        <v>410459</v>
      </c>
      <c r="H83" s="134">
        <v>361986</v>
      </c>
      <c r="I83" s="114">
        <v>0</v>
      </c>
      <c r="J83" s="134">
        <v>138448574</v>
      </c>
      <c r="K83" s="134">
        <v>138448574</v>
      </c>
    </row>
    <row r="84" spans="1:11">
      <c r="A84" t="s">
        <v>1286</v>
      </c>
      <c r="B84" t="s">
        <v>2848</v>
      </c>
      <c r="C84" s="114">
        <v>1824.7619999999999</v>
      </c>
      <c r="D84" s="114">
        <v>1824.7619999999999</v>
      </c>
      <c r="E84" s="114">
        <v>2325.5189999999998</v>
      </c>
      <c r="F84" s="114">
        <v>0</v>
      </c>
      <c r="G84" s="134">
        <v>2616519</v>
      </c>
      <c r="H84" s="134">
        <v>1476848</v>
      </c>
      <c r="I84" s="114">
        <v>0</v>
      </c>
      <c r="J84" s="134">
        <v>724228976</v>
      </c>
      <c r="K84" s="134">
        <v>724228976</v>
      </c>
    </row>
    <row r="85" spans="1:11">
      <c r="A85" t="s">
        <v>1287</v>
      </c>
      <c r="B85" t="s">
        <v>2732</v>
      </c>
      <c r="C85" s="114">
        <v>90.200999999999993</v>
      </c>
      <c r="D85" s="114">
        <v>104.259</v>
      </c>
      <c r="E85" s="114">
        <v>175.54599999999999</v>
      </c>
      <c r="F85" s="114">
        <v>0</v>
      </c>
      <c r="G85" s="114">
        <v>0</v>
      </c>
      <c r="H85" s="114">
        <v>0</v>
      </c>
      <c r="I85" s="114">
        <v>0</v>
      </c>
      <c r="J85" s="134">
        <v>16095435</v>
      </c>
      <c r="K85" s="134">
        <v>16095435</v>
      </c>
    </row>
    <row r="86" spans="1:11">
      <c r="A86" t="s">
        <v>954</v>
      </c>
      <c r="B86" t="s">
        <v>2849</v>
      </c>
      <c r="C86" s="114">
        <v>103.57599999999999</v>
      </c>
      <c r="D86" s="114">
        <v>105.40300000000001</v>
      </c>
      <c r="E86" s="114">
        <v>180.36199999999999</v>
      </c>
      <c r="F86" s="114">
        <v>0</v>
      </c>
      <c r="G86" s="114">
        <v>0</v>
      </c>
      <c r="H86" s="114">
        <v>0</v>
      </c>
      <c r="I86" s="114">
        <v>0</v>
      </c>
      <c r="J86" s="134">
        <v>25227571</v>
      </c>
      <c r="K86" s="134">
        <v>25227571</v>
      </c>
    </row>
    <row r="87" spans="1:11">
      <c r="A87" t="s">
        <v>207</v>
      </c>
      <c r="B87" t="s">
        <v>1202</v>
      </c>
      <c r="C87" s="114">
        <v>14930.615</v>
      </c>
      <c r="D87" s="114">
        <v>14930.615</v>
      </c>
      <c r="E87" s="114">
        <v>19620.701000000001</v>
      </c>
      <c r="F87" s="114">
        <v>0</v>
      </c>
      <c r="G87" s="134">
        <v>12873280</v>
      </c>
      <c r="H87" s="134">
        <v>7453466</v>
      </c>
      <c r="I87" s="134">
        <v>635605</v>
      </c>
      <c r="J87" s="134">
        <v>2789084980</v>
      </c>
      <c r="K87" s="134">
        <v>2789084980</v>
      </c>
    </row>
    <row r="88" spans="1:11">
      <c r="A88" t="s">
        <v>1035</v>
      </c>
      <c r="B88" t="s">
        <v>2850</v>
      </c>
      <c r="C88" s="114">
        <v>5766.4290000000001</v>
      </c>
      <c r="D88" s="114">
        <v>5766.4290000000001</v>
      </c>
      <c r="E88" s="114">
        <v>7704.7460000000001</v>
      </c>
      <c r="F88" s="114">
        <v>0</v>
      </c>
      <c r="G88" s="134">
        <v>7072984</v>
      </c>
      <c r="H88" s="134">
        <v>3902822</v>
      </c>
      <c r="I88" s="114">
        <v>0</v>
      </c>
      <c r="J88" s="134">
        <v>2511879939</v>
      </c>
      <c r="K88" s="134">
        <v>2511879939</v>
      </c>
    </row>
    <row r="89" spans="1:11">
      <c r="A89" t="s">
        <v>809</v>
      </c>
      <c r="B89" t="s">
        <v>3059</v>
      </c>
      <c r="C89" s="114">
        <v>707.28499999999997</v>
      </c>
      <c r="D89" s="114">
        <v>717.35900000000004</v>
      </c>
      <c r="E89" s="114">
        <v>1099.011</v>
      </c>
      <c r="F89" s="114">
        <v>0</v>
      </c>
      <c r="G89" s="134">
        <v>160706</v>
      </c>
      <c r="H89" s="134">
        <v>41122</v>
      </c>
      <c r="I89" s="134">
        <v>120588</v>
      </c>
      <c r="J89" s="134">
        <v>158894603</v>
      </c>
      <c r="K89" s="134">
        <v>158894603</v>
      </c>
    </row>
    <row r="90" spans="1:11">
      <c r="A90" t="s">
        <v>1321</v>
      </c>
      <c r="B90" t="s">
        <v>2851</v>
      </c>
      <c r="C90" s="114">
        <v>11908.523999999999</v>
      </c>
      <c r="D90" s="114">
        <v>11908.523999999999</v>
      </c>
      <c r="E90" s="114">
        <v>15890.415999999999</v>
      </c>
      <c r="F90" s="114">
        <v>0</v>
      </c>
      <c r="G90" s="134">
        <v>13816362</v>
      </c>
      <c r="H90" s="134">
        <v>14190581</v>
      </c>
      <c r="I90" s="114">
        <v>0</v>
      </c>
      <c r="J90" s="134">
        <v>6953008485</v>
      </c>
      <c r="K90" s="134">
        <v>6953008485</v>
      </c>
    </row>
    <row r="91" spans="1:11">
      <c r="A91" t="s">
        <v>1322</v>
      </c>
      <c r="B91" t="s">
        <v>2852</v>
      </c>
      <c r="C91" s="114">
        <v>1840.2180000000001</v>
      </c>
      <c r="D91" s="114">
        <v>1840.2180000000001</v>
      </c>
      <c r="E91" s="114">
        <v>2347.8710000000001</v>
      </c>
      <c r="F91" s="114">
        <v>0</v>
      </c>
      <c r="G91" s="134">
        <v>2591990</v>
      </c>
      <c r="H91" s="134">
        <v>2817022</v>
      </c>
      <c r="I91" s="114">
        <v>0</v>
      </c>
      <c r="J91" s="134">
        <v>1538666196</v>
      </c>
      <c r="K91" s="134">
        <v>1538666196</v>
      </c>
    </row>
    <row r="92" spans="1:11">
      <c r="A92" t="s">
        <v>1616</v>
      </c>
      <c r="B92" t="s">
        <v>1741</v>
      </c>
      <c r="C92" s="114">
        <v>2860.3670000000002</v>
      </c>
      <c r="D92" s="114">
        <v>2860.3670000000002</v>
      </c>
      <c r="E92" s="114">
        <v>3898.0230000000001</v>
      </c>
      <c r="F92" s="114">
        <v>0</v>
      </c>
      <c r="G92" s="134">
        <v>1906704</v>
      </c>
      <c r="H92" s="134">
        <v>1593723</v>
      </c>
      <c r="I92" s="134">
        <v>256304</v>
      </c>
      <c r="J92" s="134">
        <v>710054475</v>
      </c>
      <c r="K92" s="134">
        <v>710054475</v>
      </c>
    </row>
    <row r="93" spans="1:11">
      <c r="A93" t="s">
        <v>235</v>
      </c>
      <c r="B93" t="s">
        <v>303</v>
      </c>
      <c r="C93" s="114">
        <v>16646.258999999998</v>
      </c>
      <c r="D93" s="114">
        <v>16646.258999999998</v>
      </c>
      <c r="E93" s="114">
        <v>20447.485000000001</v>
      </c>
      <c r="F93" s="114">
        <v>0</v>
      </c>
      <c r="G93" s="134">
        <v>20663765</v>
      </c>
      <c r="H93" s="134">
        <v>15330177</v>
      </c>
      <c r="I93" s="134">
        <v>1146259</v>
      </c>
      <c r="J93" s="134">
        <v>5286267824</v>
      </c>
      <c r="K93" s="134">
        <v>5286267824</v>
      </c>
    </row>
    <row r="94" spans="1:11">
      <c r="A94" t="s">
        <v>1323</v>
      </c>
      <c r="B94" t="s">
        <v>2853</v>
      </c>
      <c r="C94" s="114">
        <v>143.61199999999999</v>
      </c>
      <c r="D94" s="114">
        <v>143.61199999999999</v>
      </c>
      <c r="E94" s="114">
        <v>260.84800000000001</v>
      </c>
      <c r="F94" s="114">
        <v>0</v>
      </c>
      <c r="G94" s="114">
        <v>0</v>
      </c>
      <c r="H94" s="114">
        <v>0</v>
      </c>
      <c r="I94" s="114">
        <v>0</v>
      </c>
      <c r="J94" s="134">
        <v>41268967</v>
      </c>
      <c r="K94" s="134">
        <v>41268967</v>
      </c>
    </row>
    <row r="95" spans="1:11">
      <c r="A95" t="s">
        <v>631</v>
      </c>
      <c r="B95" t="s">
        <v>1334</v>
      </c>
      <c r="C95" s="114">
        <v>9193.4840000000004</v>
      </c>
      <c r="D95" s="114">
        <v>9193.4840000000004</v>
      </c>
      <c r="E95" s="114">
        <v>11044.411</v>
      </c>
      <c r="F95" s="114">
        <v>0</v>
      </c>
      <c r="G95" s="134">
        <v>11980681</v>
      </c>
      <c r="H95" s="134">
        <v>8147311</v>
      </c>
      <c r="I95" s="134">
        <v>1350538</v>
      </c>
      <c r="J95" s="134">
        <v>4898584003</v>
      </c>
      <c r="K95" s="134">
        <v>4898584003</v>
      </c>
    </row>
    <row r="96" spans="1:11">
      <c r="A96" t="s">
        <v>994</v>
      </c>
      <c r="B96" t="s">
        <v>3032</v>
      </c>
      <c r="C96" s="114">
        <v>13926.627</v>
      </c>
      <c r="D96" s="114">
        <v>13926.627</v>
      </c>
      <c r="E96" s="114">
        <v>17940.264999999999</v>
      </c>
      <c r="F96" s="114">
        <v>0</v>
      </c>
      <c r="G96" s="134">
        <v>10807444</v>
      </c>
      <c r="H96" s="134">
        <v>8974452</v>
      </c>
      <c r="I96" s="134">
        <v>2080541</v>
      </c>
      <c r="J96" s="134">
        <v>3946604312</v>
      </c>
      <c r="K96" s="134">
        <v>3946604312</v>
      </c>
    </row>
    <row r="97" spans="1:11">
      <c r="A97" t="s">
        <v>2918</v>
      </c>
      <c r="B97" t="s">
        <v>2854</v>
      </c>
      <c r="C97" s="114">
        <v>114.071</v>
      </c>
      <c r="D97" s="114">
        <v>117.73399999999999</v>
      </c>
      <c r="E97" s="114">
        <v>279.322</v>
      </c>
      <c r="F97" s="114">
        <v>0</v>
      </c>
      <c r="G97" s="114">
        <v>0</v>
      </c>
      <c r="H97" s="114">
        <v>0</v>
      </c>
      <c r="I97" s="114">
        <v>0</v>
      </c>
      <c r="J97" s="134">
        <v>62356963</v>
      </c>
      <c r="K97" s="134">
        <v>62356963</v>
      </c>
    </row>
    <row r="98" spans="1:11">
      <c r="A98" t="s">
        <v>440</v>
      </c>
      <c r="B98" t="s">
        <v>2855</v>
      </c>
      <c r="C98" s="114">
        <v>954.50699999999995</v>
      </c>
      <c r="D98" s="114">
        <v>954.50699999999995</v>
      </c>
      <c r="E98" s="114">
        <v>1600.7449999999999</v>
      </c>
      <c r="F98" s="114">
        <v>0</v>
      </c>
      <c r="G98" s="134">
        <v>353419</v>
      </c>
      <c r="H98" s="134">
        <v>320616</v>
      </c>
      <c r="I98" s="114">
        <v>0</v>
      </c>
      <c r="J98" s="134">
        <v>310555195</v>
      </c>
      <c r="K98" s="134">
        <v>310555195</v>
      </c>
    </row>
    <row r="99" spans="1:11">
      <c r="A99" t="s">
        <v>441</v>
      </c>
      <c r="B99" t="s">
        <v>1786</v>
      </c>
      <c r="C99" s="114">
        <v>45.524000000000001</v>
      </c>
      <c r="D99" s="114">
        <v>45.524000000000001</v>
      </c>
      <c r="E99" s="114">
        <v>237.857</v>
      </c>
      <c r="F99" s="114">
        <v>0</v>
      </c>
      <c r="G99" s="114">
        <v>0</v>
      </c>
      <c r="H99" s="114">
        <v>0</v>
      </c>
      <c r="I99" s="114">
        <v>0</v>
      </c>
      <c r="J99" s="134">
        <v>52463150</v>
      </c>
      <c r="K99" s="134">
        <v>52463150</v>
      </c>
    </row>
    <row r="100" spans="1:11">
      <c r="A100" t="s">
        <v>442</v>
      </c>
      <c r="B100" t="s">
        <v>1787</v>
      </c>
      <c r="C100" s="114">
        <v>29.843</v>
      </c>
      <c r="D100" s="114">
        <v>29.843</v>
      </c>
      <c r="E100" s="114">
        <v>129.46299999999999</v>
      </c>
      <c r="F100" s="114">
        <v>0</v>
      </c>
      <c r="G100" s="114">
        <v>0</v>
      </c>
      <c r="H100" s="114">
        <v>0</v>
      </c>
      <c r="I100" s="114">
        <v>0</v>
      </c>
      <c r="J100" s="134">
        <v>6285013</v>
      </c>
      <c r="K100" s="134">
        <v>6285013</v>
      </c>
    </row>
    <row r="101" spans="1:11">
      <c r="A101" t="s">
        <v>443</v>
      </c>
      <c r="B101" t="s">
        <v>1788</v>
      </c>
      <c r="C101" s="114">
        <v>164.04599999999999</v>
      </c>
      <c r="D101" s="114">
        <v>168.578</v>
      </c>
      <c r="E101" s="114">
        <v>327.16199999999998</v>
      </c>
      <c r="F101" s="114">
        <v>0</v>
      </c>
      <c r="G101" s="114">
        <v>0</v>
      </c>
      <c r="H101" s="114">
        <v>0</v>
      </c>
      <c r="I101" s="114">
        <v>0</v>
      </c>
      <c r="J101" s="134">
        <v>49960366</v>
      </c>
      <c r="K101" s="134">
        <v>49960366</v>
      </c>
    </row>
    <row r="102" spans="1:11">
      <c r="A102" t="s">
        <v>745</v>
      </c>
      <c r="B102" t="s">
        <v>1789</v>
      </c>
      <c r="C102" s="114">
        <v>1345.942</v>
      </c>
      <c r="D102" s="114">
        <v>1345.942</v>
      </c>
      <c r="E102" s="114">
        <v>2157.1619999999998</v>
      </c>
      <c r="F102" s="114">
        <v>0</v>
      </c>
      <c r="G102" s="134">
        <v>277629</v>
      </c>
      <c r="H102" s="134">
        <v>327435</v>
      </c>
      <c r="I102" s="114">
        <v>0</v>
      </c>
      <c r="J102" s="134">
        <v>914132169</v>
      </c>
      <c r="K102" s="134">
        <v>914132169</v>
      </c>
    </row>
    <row r="103" spans="1:11">
      <c r="A103" t="s">
        <v>746</v>
      </c>
      <c r="B103" t="s">
        <v>1790</v>
      </c>
      <c r="C103" s="114">
        <v>1027.9079999999999</v>
      </c>
      <c r="D103" s="114">
        <v>1027.9079999999999</v>
      </c>
      <c r="E103" s="114">
        <v>1524.5989999999999</v>
      </c>
      <c r="F103" s="114">
        <v>0</v>
      </c>
      <c r="G103" s="134">
        <v>430129</v>
      </c>
      <c r="H103" s="134">
        <v>295476</v>
      </c>
      <c r="I103" s="114">
        <v>0</v>
      </c>
      <c r="J103" s="134">
        <v>212189743</v>
      </c>
      <c r="K103" s="134">
        <v>212189743</v>
      </c>
    </row>
    <row r="104" spans="1:11">
      <c r="A104" t="s">
        <v>747</v>
      </c>
      <c r="B104" t="s">
        <v>1791</v>
      </c>
      <c r="C104" s="114">
        <v>3195.0030000000002</v>
      </c>
      <c r="D104" s="114">
        <v>3195.0030000000002</v>
      </c>
      <c r="E104" s="114">
        <v>4337.4889999999996</v>
      </c>
      <c r="F104" s="114">
        <v>0</v>
      </c>
      <c r="G104" s="134">
        <v>2408619</v>
      </c>
      <c r="H104" s="134">
        <v>2571403</v>
      </c>
      <c r="I104" s="114">
        <v>0</v>
      </c>
      <c r="J104" s="134">
        <v>977209101</v>
      </c>
      <c r="K104" s="134">
        <v>977209101</v>
      </c>
    </row>
    <row r="105" spans="1:11">
      <c r="A105" t="s">
        <v>988</v>
      </c>
      <c r="B105" t="s">
        <v>1519</v>
      </c>
      <c r="C105" s="114">
        <v>205.464</v>
      </c>
      <c r="D105" s="114">
        <v>205.464</v>
      </c>
      <c r="E105" s="114">
        <v>400.11099999999999</v>
      </c>
      <c r="F105" s="114">
        <v>0</v>
      </c>
      <c r="G105" s="134">
        <v>24594</v>
      </c>
      <c r="H105" s="114">
        <v>705</v>
      </c>
      <c r="I105" s="134">
        <v>23827</v>
      </c>
      <c r="J105" s="134">
        <v>33357878</v>
      </c>
      <c r="K105" s="134">
        <v>33357878</v>
      </c>
    </row>
    <row r="106" spans="1:11">
      <c r="A106" t="s">
        <v>2893</v>
      </c>
      <c r="B106" t="s">
        <v>2362</v>
      </c>
      <c r="C106" s="114">
        <v>245.714</v>
      </c>
      <c r="D106" s="114">
        <v>245.714</v>
      </c>
      <c r="E106" s="114">
        <v>425.30599999999998</v>
      </c>
      <c r="F106" s="114">
        <v>0</v>
      </c>
      <c r="G106" s="134">
        <v>150960</v>
      </c>
      <c r="H106" s="134">
        <v>84639</v>
      </c>
      <c r="I106" s="134">
        <v>71635</v>
      </c>
      <c r="J106" s="134">
        <v>108928577</v>
      </c>
      <c r="K106" s="134">
        <v>108928577</v>
      </c>
    </row>
    <row r="107" spans="1:11">
      <c r="A107" t="s">
        <v>1354</v>
      </c>
      <c r="B107" t="s">
        <v>3074</v>
      </c>
      <c r="C107" s="114">
        <v>192.29</v>
      </c>
      <c r="D107" s="114">
        <v>192.29</v>
      </c>
      <c r="E107" s="114">
        <v>332.19099999999997</v>
      </c>
      <c r="F107" s="114">
        <v>0</v>
      </c>
      <c r="G107" s="134">
        <v>143743</v>
      </c>
      <c r="H107" s="114">
        <v>0</v>
      </c>
      <c r="I107" s="134">
        <v>29683</v>
      </c>
      <c r="J107" s="134">
        <v>29318640</v>
      </c>
      <c r="K107" s="134">
        <v>29318640</v>
      </c>
    </row>
    <row r="108" spans="1:11">
      <c r="A108" t="s">
        <v>810</v>
      </c>
      <c r="B108" t="s">
        <v>2770</v>
      </c>
      <c r="C108" s="114">
        <v>167.61600000000001</v>
      </c>
      <c r="D108" s="114">
        <v>167.61600000000001</v>
      </c>
      <c r="E108" s="114">
        <v>291.15899999999999</v>
      </c>
      <c r="F108" s="114">
        <v>0</v>
      </c>
      <c r="G108" s="134">
        <v>52729</v>
      </c>
      <c r="H108" s="134">
        <v>24082</v>
      </c>
      <c r="I108" s="134">
        <v>29463</v>
      </c>
      <c r="J108" s="134">
        <v>41339883</v>
      </c>
      <c r="K108" s="134">
        <v>41339883</v>
      </c>
    </row>
    <row r="109" spans="1:11">
      <c r="A109" t="s">
        <v>872</v>
      </c>
      <c r="B109" t="s">
        <v>1214</v>
      </c>
      <c r="C109" s="114">
        <v>1206.2370000000001</v>
      </c>
      <c r="D109" s="114">
        <v>1254.806</v>
      </c>
      <c r="E109" s="114">
        <v>1766.624</v>
      </c>
      <c r="F109" s="114">
        <v>0</v>
      </c>
      <c r="G109" s="134">
        <v>714443</v>
      </c>
      <c r="H109" s="134">
        <v>70233</v>
      </c>
      <c r="I109" s="134">
        <v>252939</v>
      </c>
      <c r="J109" s="134">
        <v>200105159</v>
      </c>
      <c r="K109" s="134">
        <v>200105159</v>
      </c>
    </row>
    <row r="110" spans="1:11">
      <c r="A110" t="s">
        <v>748</v>
      </c>
      <c r="B110" t="s">
        <v>1792</v>
      </c>
      <c r="C110" s="114">
        <v>1717.7059999999999</v>
      </c>
      <c r="D110" s="114">
        <v>1717.7059999999999</v>
      </c>
      <c r="E110" s="114">
        <v>2408.8890000000001</v>
      </c>
      <c r="F110" s="114">
        <v>0</v>
      </c>
      <c r="G110" s="134">
        <v>713509</v>
      </c>
      <c r="H110" s="134">
        <v>682167</v>
      </c>
      <c r="I110" s="114">
        <v>0</v>
      </c>
      <c r="J110" s="134">
        <v>613958980</v>
      </c>
      <c r="K110" s="134">
        <v>613958980</v>
      </c>
    </row>
    <row r="111" spans="1:11">
      <c r="A111" t="s">
        <v>749</v>
      </c>
      <c r="B111" t="s">
        <v>1793</v>
      </c>
      <c r="C111" s="114">
        <v>429.92399999999998</v>
      </c>
      <c r="D111" s="114">
        <v>455.32600000000002</v>
      </c>
      <c r="E111" s="114">
        <v>768.78499999999997</v>
      </c>
      <c r="F111" s="114">
        <v>0</v>
      </c>
      <c r="G111" s="134">
        <v>200876</v>
      </c>
      <c r="H111" s="134">
        <v>195204</v>
      </c>
      <c r="I111" s="114">
        <v>0</v>
      </c>
      <c r="J111" s="134">
        <v>187284883</v>
      </c>
      <c r="K111" s="134">
        <v>187284883</v>
      </c>
    </row>
    <row r="112" spans="1:11">
      <c r="A112" t="s">
        <v>750</v>
      </c>
      <c r="B112" t="s">
        <v>1794</v>
      </c>
      <c r="C112" s="114">
        <v>463.58</v>
      </c>
      <c r="D112" s="114">
        <v>463.58</v>
      </c>
      <c r="E112" s="114">
        <v>766.90200000000004</v>
      </c>
      <c r="F112" s="114">
        <v>0</v>
      </c>
      <c r="G112" s="134">
        <v>423939</v>
      </c>
      <c r="H112" s="114">
        <v>0</v>
      </c>
      <c r="I112" s="134">
        <v>96469</v>
      </c>
      <c r="J112" s="134">
        <v>143681554</v>
      </c>
      <c r="K112" s="134">
        <v>141822993</v>
      </c>
    </row>
    <row r="113" spans="1:11">
      <c r="A113" t="s">
        <v>2154</v>
      </c>
      <c r="B113" t="s">
        <v>154</v>
      </c>
      <c r="C113" s="114">
        <v>3188.0459999999998</v>
      </c>
      <c r="D113" s="114">
        <v>3188.0459999999998</v>
      </c>
      <c r="E113" s="114">
        <v>4333.4459999999999</v>
      </c>
      <c r="F113" s="114">
        <v>0</v>
      </c>
      <c r="G113" s="134">
        <v>3226623</v>
      </c>
      <c r="H113" s="134">
        <v>3232236</v>
      </c>
      <c r="I113" s="134">
        <v>427274</v>
      </c>
      <c r="J113" s="134">
        <v>1357894705</v>
      </c>
      <c r="K113" s="134">
        <v>1357894705</v>
      </c>
    </row>
    <row r="114" spans="1:11">
      <c r="A114" t="s">
        <v>380</v>
      </c>
      <c r="B114" t="s">
        <v>322</v>
      </c>
      <c r="C114" s="114">
        <v>3641.2489999999998</v>
      </c>
      <c r="D114" s="114">
        <v>3641.2489999999998</v>
      </c>
      <c r="E114" s="114">
        <v>4735.5519999999997</v>
      </c>
      <c r="F114" s="114">
        <v>0</v>
      </c>
      <c r="G114" s="134">
        <v>5578988</v>
      </c>
      <c r="H114" s="134">
        <v>3327198</v>
      </c>
      <c r="I114" s="134">
        <v>539135</v>
      </c>
      <c r="J114" s="134">
        <v>2234831615</v>
      </c>
      <c r="K114" s="134">
        <v>2234831615</v>
      </c>
    </row>
    <row r="115" spans="1:11">
      <c r="A115" t="s">
        <v>497</v>
      </c>
      <c r="B115" t="s">
        <v>2546</v>
      </c>
      <c r="C115" s="114">
        <v>4154.2209999999995</v>
      </c>
      <c r="D115" s="114">
        <v>4154.2209999999995</v>
      </c>
      <c r="E115" s="114">
        <v>5653.9830000000002</v>
      </c>
      <c r="F115" s="114">
        <v>0</v>
      </c>
      <c r="G115" s="134">
        <v>1451819</v>
      </c>
      <c r="H115" s="134">
        <v>466967</v>
      </c>
      <c r="I115" s="134">
        <v>942011</v>
      </c>
      <c r="J115" s="134">
        <v>757734882</v>
      </c>
      <c r="K115" s="134">
        <v>757734882</v>
      </c>
    </row>
    <row r="116" spans="1:11">
      <c r="A116" t="s">
        <v>1318</v>
      </c>
      <c r="B116" t="s">
        <v>948</v>
      </c>
      <c r="C116" s="114">
        <v>1362.4280000000001</v>
      </c>
      <c r="D116" s="114">
        <v>1362.4280000000001</v>
      </c>
      <c r="E116" s="114">
        <v>1929.527</v>
      </c>
      <c r="F116" s="114">
        <v>0</v>
      </c>
      <c r="G116" s="134">
        <v>12018</v>
      </c>
      <c r="H116" s="114">
        <v>0</v>
      </c>
      <c r="I116" s="134">
        <v>209331</v>
      </c>
      <c r="J116" s="134">
        <v>283392555</v>
      </c>
      <c r="K116" s="134">
        <v>283392555</v>
      </c>
    </row>
    <row r="117" spans="1:11">
      <c r="A117" t="s">
        <v>2631</v>
      </c>
      <c r="B117" t="s">
        <v>1795</v>
      </c>
      <c r="C117" s="114">
        <v>205.226</v>
      </c>
      <c r="D117" s="114">
        <v>205.226</v>
      </c>
      <c r="E117" s="114">
        <v>346.72300000000001</v>
      </c>
      <c r="F117" s="114">
        <v>0</v>
      </c>
      <c r="G117" s="114">
        <v>0</v>
      </c>
      <c r="H117" s="114">
        <v>0</v>
      </c>
      <c r="I117" s="114">
        <v>0</v>
      </c>
      <c r="J117" s="134">
        <v>93076404</v>
      </c>
      <c r="K117" s="134">
        <v>93076404</v>
      </c>
    </row>
    <row r="118" spans="1:11">
      <c r="A118" t="s">
        <v>1535</v>
      </c>
      <c r="B118" t="s">
        <v>1177</v>
      </c>
      <c r="C118" s="114">
        <v>3993.0439999999999</v>
      </c>
      <c r="D118" s="114">
        <v>3993.0439999999999</v>
      </c>
      <c r="E118" s="114">
        <v>5348.3559999999998</v>
      </c>
      <c r="F118" s="114">
        <v>0</v>
      </c>
      <c r="G118" s="134">
        <v>2753361</v>
      </c>
      <c r="H118" s="114">
        <v>0</v>
      </c>
      <c r="I118" s="114">
        <v>0</v>
      </c>
      <c r="J118" s="134">
        <v>3970149383</v>
      </c>
      <c r="K118" s="134">
        <v>3970149383</v>
      </c>
    </row>
    <row r="119" spans="1:11">
      <c r="A119" t="s">
        <v>2671</v>
      </c>
      <c r="B119" t="s">
        <v>1797</v>
      </c>
      <c r="C119" s="114">
        <v>341.29300000000001</v>
      </c>
      <c r="D119" s="114">
        <v>341.29300000000001</v>
      </c>
      <c r="E119" s="114">
        <v>655.73599999999999</v>
      </c>
      <c r="F119" s="114">
        <v>0</v>
      </c>
      <c r="G119" s="134">
        <v>56947</v>
      </c>
      <c r="H119" s="134">
        <v>57768</v>
      </c>
      <c r="I119" s="114">
        <v>0</v>
      </c>
      <c r="J119" s="134">
        <v>80765141</v>
      </c>
      <c r="K119" s="134">
        <v>80765141</v>
      </c>
    </row>
    <row r="120" spans="1:11">
      <c r="A120" t="s">
        <v>811</v>
      </c>
      <c r="B120" t="s">
        <v>38</v>
      </c>
      <c r="C120" s="114">
        <v>1377.0820000000001</v>
      </c>
      <c r="D120" s="114">
        <v>1377.0820000000001</v>
      </c>
      <c r="E120" s="114">
        <v>1958.9670000000001</v>
      </c>
      <c r="F120" s="114">
        <v>0</v>
      </c>
      <c r="G120" s="134">
        <v>2164655</v>
      </c>
      <c r="H120" s="134">
        <v>148444</v>
      </c>
      <c r="I120" s="134">
        <v>454274</v>
      </c>
      <c r="J120" s="134">
        <v>305249807</v>
      </c>
      <c r="K120" s="134">
        <v>305249807</v>
      </c>
    </row>
    <row r="121" spans="1:11">
      <c r="A121" t="s">
        <v>171</v>
      </c>
      <c r="B121" t="s">
        <v>1798</v>
      </c>
      <c r="C121" s="114">
        <v>285.70699999999999</v>
      </c>
      <c r="D121" s="114">
        <v>285.70699999999999</v>
      </c>
      <c r="E121" s="114">
        <v>577.23800000000006</v>
      </c>
      <c r="F121" s="114">
        <v>0</v>
      </c>
      <c r="G121" s="134">
        <v>70547</v>
      </c>
      <c r="H121" s="114">
        <v>0</v>
      </c>
      <c r="I121" s="134">
        <v>60516</v>
      </c>
      <c r="J121" s="134">
        <v>89632172</v>
      </c>
      <c r="K121" s="134">
        <v>89632172</v>
      </c>
    </row>
    <row r="122" spans="1:11">
      <c r="A122" t="s">
        <v>2090</v>
      </c>
      <c r="B122" t="s">
        <v>1799</v>
      </c>
      <c r="C122" s="114">
        <v>357.66</v>
      </c>
      <c r="D122" s="114">
        <v>367.58199999999999</v>
      </c>
      <c r="E122" s="114">
        <v>615.45600000000002</v>
      </c>
      <c r="F122" s="114">
        <v>0</v>
      </c>
      <c r="G122" s="134">
        <v>374878</v>
      </c>
      <c r="H122" s="134">
        <v>397837</v>
      </c>
      <c r="I122" s="114">
        <v>0</v>
      </c>
      <c r="J122" s="134">
        <v>159384961</v>
      </c>
      <c r="K122" s="134">
        <v>159384961</v>
      </c>
    </row>
    <row r="123" spans="1:11">
      <c r="A123" t="s">
        <v>993</v>
      </c>
      <c r="B123" t="s">
        <v>3031</v>
      </c>
      <c r="C123" s="114">
        <v>44665.495000000003</v>
      </c>
      <c r="D123" s="114">
        <v>44665.495000000003</v>
      </c>
      <c r="E123" s="114">
        <v>64224.125999999997</v>
      </c>
      <c r="F123" s="114">
        <v>0</v>
      </c>
      <c r="G123" s="134">
        <v>3503383</v>
      </c>
      <c r="H123" s="134">
        <v>525053</v>
      </c>
      <c r="I123" s="134">
        <v>4433383</v>
      </c>
      <c r="J123" s="134">
        <v>4665566263</v>
      </c>
      <c r="K123" s="134">
        <v>4665566263</v>
      </c>
    </row>
    <row r="124" spans="1:11">
      <c r="A124" t="s">
        <v>2126</v>
      </c>
      <c r="B124" t="s">
        <v>41</v>
      </c>
      <c r="C124" s="114">
        <v>16068.941000000001</v>
      </c>
      <c r="D124" s="114">
        <v>16068.941000000001</v>
      </c>
      <c r="E124" s="114">
        <v>22028.572</v>
      </c>
      <c r="F124" s="114">
        <v>0</v>
      </c>
      <c r="G124" s="134">
        <v>2506662</v>
      </c>
      <c r="H124" s="134">
        <v>573578</v>
      </c>
      <c r="I124" s="134">
        <v>2080665</v>
      </c>
      <c r="J124" s="134">
        <v>2838242010</v>
      </c>
      <c r="K124" s="134">
        <v>2838242010</v>
      </c>
    </row>
    <row r="125" spans="1:11">
      <c r="A125" t="s">
        <v>64</v>
      </c>
      <c r="B125" t="s">
        <v>2148</v>
      </c>
      <c r="C125" s="114">
        <v>3165.3679999999999</v>
      </c>
      <c r="D125" s="114">
        <v>3165.3679999999999</v>
      </c>
      <c r="E125" s="114">
        <v>4499.7730000000001</v>
      </c>
      <c r="F125" s="114">
        <v>0</v>
      </c>
      <c r="G125" s="134">
        <v>952871</v>
      </c>
      <c r="H125" s="134">
        <v>162985</v>
      </c>
      <c r="I125" s="134">
        <v>755747</v>
      </c>
      <c r="J125" s="134">
        <v>312294033</v>
      </c>
      <c r="K125" s="134">
        <v>312294033</v>
      </c>
    </row>
    <row r="126" spans="1:11">
      <c r="A126" t="s">
        <v>2606</v>
      </c>
      <c r="B126" t="s">
        <v>43</v>
      </c>
      <c r="C126" s="114">
        <v>8616.0560000000005</v>
      </c>
      <c r="D126" s="114">
        <v>8616.0560000000005</v>
      </c>
      <c r="E126" s="114">
        <v>11734.455</v>
      </c>
      <c r="F126" s="114">
        <v>0</v>
      </c>
      <c r="G126" s="134">
        <v>1767205</v>
      </c>
      <c r="H126" s="134">
        <v>462350</v>
      </c>
      <c r="I126" s="134">
        <v>1468551</v>
      </c>
      <c r="J126" s="134">
        <v>1066565485</v>
      </c>
      <c r="K126" s="134">
        <v>1066565485</v>
      </c>
    </row>
    <row r="127" spans="1:11">
      <c r="A127" t="s">
        <v>1892</v>
      </c>
      <c r="B127" t="s">
        <v>1800</v>
      </c>
      <c r="C127" s="114">
        <v>2326.5920000000001</v>
      </c>
      <c r="D127" s="114">
        <v>2326.5920000000001</v>
      </c>
      <c r="E127" s="114">
        <v>3209.0619999999999</v>
      </c>
      <c r="F127" s="114">
        <v>0</v>
      </c>
      <c r="G127" s="134">
        <v>3616140</v>
      </c>
      <c r="H127" s="134">
        <v>4047462</v>
      </c>
      <c r="I127" s="114">
        <v>0</v>
      </c>
      <c r="J127" s="134">
        <v>3092027239</v>
      </c>
      <c r="K127" s="134">
        <v>3092027239</v>
      </c>
    </row>
    <row r="128" spans="1:11">
      <c r="A128" t="s">
        <v>812</v>
      </c>
      <c r="B128" t="s">
        <v>3093</v>
      </c>
      <c r="C128" s="114">
        <v>2151.6579999999999</v>
      </c>
      <c r="D128" s="114">
        <v>2151.6579999999999</v>
      </c>
      <c r="E128" s="114">
        <v>3173.172</v>
      </c>
      <c r="F128" s="114">
        <v>0</v>
      </c>
      <c r="G128" s="134">
        <v>495320</v>
      </c>
      <c r="H128" s="134">
        <v>173083</v>
      </c>
      <c r="I128" s="134">
        <v>294207</v>
      </c>
      <c r="J128" s="134">
        <v>183178036</v>
      </c>
      <c r="K128" s="134">
        <v>183178036</v>
      </c>
    </row>
    <row r="129" spans="1:11">
      <c r="A129" t="s">
        <v>1490</v>
      </c>
      <c r="B129" t="s">
        <v>46</v>
      </c>
      <c r="C129" s="114">
        <v>10055.437</v>
      </c>
      <c r="D129" s="114">
        <v>10055.437</v>
      </c>
      <c r="E129" s="114">
        <v>14107.572</v>
      </c>
      <c r="F129" s="114">
        <v>0</v>
      </c>
      <c r="G129" s="134">
        <v>1913956</v>
      </c>
      <c r="H129" s="134">
        <v>244094</v>
      </c>
      <c r="I129" s="134">
        <v>1719330</v>
      </c>
      <c r="J129" s="134">
        <v>721958873</v>
      </c>
      <c r="K129" s="134">
        <v>721958873</v>
      </c>
    </row>
    <row r="130" spans="1:11">
      <c r="A130" t="s">
        <v>813</v>
      </c>
      <c r="B130" t="s">
        <v>99</v>
      </c>
      <c r="C130" s="114">
        <v>600.25099999999998</v>
      </c>
      <c r="D130" s="114">
        <v>600.25099999999998</v>
      </c>
      <c r="E130" s="114">
        <v>1043.798</v>
      </c>
      <c r="F130" s="114">
        <v>0</v>
      </c>
      <c r="G130" s="134">
        <v>75033</v>
      </c>
      <c r="H130" s="134">
        <v>34771</v>
      </c>
      <c r="I130" s="134">
        <v>40129</v>
      </c>
      <c r="J130" s="134">
        <v>37398581</v>
      </c>
      <c r="K130" s="134">
        <v>37001188</v>
      </c>
    </row>
    <row r="131" spans="1:11">
      <c r="A131" t="s">
        <v>534</v>
      </c>
      <c r="B131" t="s">
        <v>100</v>
      </c>
      <c r="C131" s="114">
        <v>1133.182</v>
      </c>
      <c r="D131" s="114">
        <v>1133.182</v>
      </c>
      <c r="E131" s="114">
        <v>1774.126</v>
      </c>
      <c r="F131" s="114">
        <v>0</v>
      </c>
      <c r="G131" s="134">
        <v>165150</v>
      </c>
      <c r="H131" s="114">
        <v>0</v>
      </c>
      <c r="I131" s="134">
        <v>166934</v>
      </c>
      <c r="J131" s="134">
        <v>60317948</v>
      </c>
      <c r="K131" s="134">
        <v>60317948</v>
      </c>
    </row>
    <row r="132" spans="1:11">
      <c r="A132" t="s">
        <v>1050</v>
      </c>
      <c r="B132" t="s">
        <v>1801</v>
      </c>
      <c r="C132" s="114">
        <v>2213.02</v>
      </c>
      <c r="D132" s="114">
        <v>2213.02</v>
      </c>
      <c r="E132" s="114">
        <v>3257.444</v>
      </c>
      <c r="F132" s="114">
        <v>0</v>
      </c>
      <c r="G132" s="134">
        <v>406404</v>
      </c>
      <c r="H132" s="134">
        <v>400694</v>
      </c>
      <c r="I132" s="114">
        <v>0</v>
      </c>
      <c r="J132" s="134">
        <v>603914033</v>
      </c>
      <c r="K132" s="134">
        <v>603914033</v>
      </c>
    </row>
    <row r="133" spans="1:11">
      <c r="A133" t="s">
        <v>1051</v>
      </c>
      <c r="B133" t="s">
        <v>1802</v>
      </c>
      <c r="C133" s="114">
        <v>125.773</v>
      </c>
      <c r="D133" s="114">
        <v>125.773</v>
      </c>
      <c r="E133" s="114">
        <v>226.79400000000001</v>
      </c>
      <c r="F133" s="114">
        <v>0</v>
      </c>
      <c r="G133" s="134">
        <v>154200</v>
      </c>
      <c r="H133" s="134">
        <v>64449</v>
      </c>
      <c r="I133" s="114">
        <v>0</v>
      </c>
      <c r="J133" s="134">
        <v>65197100</v>
      </c>
      <c r="K133" s="134">
        <v>65197100</v>
      </c>
    </row>
    <row r="134" spans="1:11">
      <c r="A134" t="s">
        <v>879</v>
      </c>
      <c r="B134" t="s">
        <v>2484</v>
      </c>
      <c r="C134" s="114">
        <v>648.36699999999996</v>
      </c>
      <c r="D134" s="114">
        <v>658.56500000000005</v>
      </c>
      <c r="E134" s="114">
        <v>1109.711</v>
      </c>
      <c r="F134" s="114">
        <v>0</v>
      </c>
      <c r="G134" s="134">
        <v>1984957</v>
      </c>
      <c r="H134" s="114">
        <v>0</v>
      </c>
      <c r="I134" s="114">
        <v>0</v>
      </c>
      <c r="J134" s="134">
        <v>367577168</v>
      </c>
      <c r="K134" s="134">
        <v>367577168</v>
      </c>
    </row>
    <row r="135" spans="1:11">
      <c r="A135" t="s">
        <v>2050</v>
      </c>
      <c r="B135" t="s">
        <v>2485</v>
      </c>
      <c r="C135" s="114">
        <v>349.07499999999999</v>
      </c>
      <c r="D135" s="114">
        <v>351.16</v>
      </c>
      <c r="E135" s="114">
        <v>578.745</v>
      </c>
      <c r="F135" s="114">
        <v>0</v>
      </c>
      <c r="G135" s="114">
        <v>0</v>
      </c>
      <c r="H135" s="114">
        <v>0</v>
      </c>
      <c r="I135" s="114">
        <v>0</v>
      </c>
      <c r="J135" s="134">
        <v>371637781</v>
      </c>
      <c r="K135" s="134">
        <v>371637781</v>
      </c>
    </row>
    <row r="136" spans="1:11">
      <c r="A136" t="s">
        <v>1941</v>
      </c>
      <c r="B136" t="s">
        <v>2486</v>
      </c>
      <c r="C136" s="114">
        <v>1739.3689999999999</v>
      </c>
      <c r="D136" s="114">
        <v>1739.3689999999999</v>
      </c>
      <c r="E136" s="114">
        <v>2435.4810000000002</v>
      </c>
      <c r="F136" s="114">
        <v>0</v>
      </c>
      <c r="G136" s="134">
        <v>211995</v>
      </c>
      <c r="H136" s="134">
        <v>220655</v>
      </c>
      <c r="I136" s="114">
        <v>0</v>
      </c>
      <c r="J136" s="134">
        <v>379172062</v>
      </c>
      <c r="K136" s="134">
        <v>379172062</v>
      </c>
    </row>
    <row r="137" spans="1:11">
      <c r="A137" t="s">
        <v>1942</v>
      </c>
      <c r="B137" t="s">
        <v>2487</v>
      </c>
      <c r="C137" s="114">
        <v>120.363</v>
      </c>
      <c r="D137" s="114">
        <v>131.774</v>
      </c>
      <c r="E137" s="114">
        <v>255.203</v>
      </c>
      <c r="F137" s="114">
        <v>0</v>
      </c>
      <c r="G137" s="114">
        <v>0</v>
      </c>
      <c r="H137" s="114">
        <v>0</v>
      </c>
      <c r="I137" s="114">
        <v>0</v>
      </c>
      <c r="J137" s="134">
        <v>48137978</v>
      </c>
      <c r="K137" s="134">
        <v>48137978</v>
      </c>
    </row>
    <row r="138" spans="1:11">
      <c r="A138" t="s">
        <v>842</v>
      </c>
      <c r="B138" t="s">
        <v>2488</v>
      </c>
      <c r="C138" s="114">
        <v>1016.212</v>
      </c>
      <c r="D138" s="114">
        <v>1016.212</v>
      </c>
      <c r="E138" s="114">
        <v>1486.4580000000001</v>
      </c>
      <c r="F138" s="114">
        <v>0</v>
      </c>
      <c r="G138" s="134">
        <v>2798</v>
      </c>
      <c r="H138" s="134">
        <v>200656</v>
      </c>
      <c r="I138" s="114">
        <v>0</v>
      </c>
      <c r="J138" s="134">
        <v>337747797</v>
      </c>
      <c r="K138" s="134">
        <v>302825038</v>
      </c>
    </row>
    <row r="139" spans="1:11">
      <c r="A139" t="s">
        <v>843</v>
      </c>
      <c r="B139" t="s">
        <v>1178</v>
      </c>
      <c r="C139" s="114">
        <v>751.59699999999998</v>
      </c>
      <c r="D139" s="114">
        <v>751.59699999999998</v>
      </c>
      <c r="E139" s="114">
        <v>1231.7239999999999</v>
      </c>
      <c r="F139" s="114">
        <v>0</v>
      </c>
      <c r="G139" s="114">
        <v>0</v>
      </c>
      <c r="H139" s="114">
        <v>0</v>
      </c>
      <c r="I139" s="114">
        <v>0</v>
      </c>
      <c r="J139" s="134">
        <v>167678379</v>
      </c>
      <c r="K139" s="134">
        <v>167678379</v>
      </c>
    </row>
    <row r="140" spans="1:11">
      <c r="A140" t="s">
        <v>2142</v>
      </c>
      <c r="B140" t="s">
        <v>929</v>
      </c>
      <c r="C140" s="114">
        <v>383.14699999999999</v>
      </c>
      <c r="D140" s="114">
        <v>383.14699999999999</v>
      </c>
      <c r="E140" s="114">
        <v>636.81399999999996</v>
      </c>
      <c r="F140" s="114">
        <v>0</v>
      </c>
      <c r="G140" s="114">
        <v>0</v>
      </c>
      <c r="H140" s="114">
        <v>0</v>
      </c>
      <c r="I140" s="114">
        <v>0</v>
      </c>
      <c r="J140" s="134">
        <v>26863313</v>
      </c>
      <c r="K140" s="134">
        <v>26863313</v>
      </c>
    </row>
    <row r="141" spans="1:11">
      <c r="A141" t="s">
        <v>844</v>
      </c>
      <c r="B141" t="s">
        <v>1921</v>
      </c>
      <c r="C141" s="114">
        <v>988.15599999999995</v>
      </c>
      <c r="D141" s="114">
        <v>988.15599999999995</v>
      </c>
      <c r="E141" s="114">
        <v>1493.6</v>
      </c>
      <c r="F141" s="114">
        <v>0</v>
      </c>
      <c r="G141" s="134">
        <v>664568</v>
      </c>
      <c r="H141" s="134">
        <v>359860</v>
      </c>
      <c r="I141" s="114">
        <v>0</v>
      </c>
      <c r="J141" s="134">
        <v>329629566</v>
      </c>
      <c r="K141" s="134">
        <v>329629566</v>
      </c>
    </row>
    <row r="142" spans="1:11">
      <c r="A142" t="s">
        <v>2226</v>
      </c>
      <c r="B142" t="s">
        <v>1923</v>
      </c>
      <c r="C142" s="114">
        <v>246.96700000000001</v>
      </c>
      <c r="D142" s="114">
        <v>246.96700000000001</v>
      </c>
      <c r="E142" s="114">
        <v>448.95800000000003</v>
      </c>
      <c r="F142" s="114">
        <v>0</v>
      </c>
      <c r="G142" s="114">
        <v>0</v>
      </c>
      <c r="H142" s="114">
        <v>0</v>
      </c>
      <c r="I142" s="114">
        <v>0</v>
      </c>
      <c r="J142" s="134">
        <v>30756931</v>
      </c>
      <c r="K142" s="134">
        <v>30756931</v>
      </c>
    </row>
    <row r="143" spans="1:11">
      <c r="A143" t="s">
        <v>2227</v>
      </c>
      <c r="B143" t="s">
        <v>1924</v>
      </c>
      <c r="C143" s="114">
        <v>1062.5319999999999</v>
      </c>
      <c r="D143" s="114">
        <v>1062.5319999999999</v>
      </c>
      <c r="E143" s="114">
        <v>1732.61</v>
      </c>
      <c r="F143" s="114">
        <v>0</v>
      </c>
      <c r="G143" s="134">
        <v>604830</v>
      </c>
      <c r="H143" s="114">
        <v>0</v>
      </c>
      <c r="I143" s="114">
        <v>0</v>
      </c>
      <c r="J143" s="134">
        <v>183679020</v>
      </c>
      <c r="K143" s="134">
        <v>183679020</v>
      </c>
    </row>
    <row r="144" spans="1:11">
      <c r="A144" t="s">
        <v>2788</v>
      </c>
      <c r="B144" t="s">
        <v>1925</v>
      </c>
      <c r="C144" s="114">
        <v>273.16399999999999</v>
      </c>
      <c r="D144" s="114">
        <v>281.19600000000003</v>
      </c>
      <c r="E144" s="114">
        <v>484.12900000000002</v>
      </c>
      <c r="F144" s="114">
        <v>0</v>
      </c>
      <c r="G144" s="114">
        <v>0</v>
      </c>
      <c r="H144" s="114">
        <v>0</v>
      </c>
      <c r="I144" s="114">
        <v>0</v>
      </c>
      <c r="J144" s="134">
        <v>57535050</v>
      </c>
      <c r="K144" s="134">
        <v>57535050</v>
      </c>
    </row>
    <row r="145" spans="1:11">
      <c r="A145" t="s">
        <v>2904</v>
      </c>
      <c r="B145" t="s">
        <v>425</v>
      </c>
      <c r="C145" s="114">
        <v>219.29300000000001</v>
      </c>
      <c r="D145" s="114">
        <v>221.83799999999999</v>
      </c>
      <c r="E145" s="114">
        <v>333.13200000000001</v>
      </c>
      <c r="F145" s="114">
        <v>0</v>
      </c>
      <c r="G145" s="134">
        <v>40446</v>
      </c>
      <c r="H145" s="134">
        <v>23271</v>
      </c>
      <c r="I145" s="134">
        <v>18309</v>
      </c>
      <c r="J145" s="134">
        <v>25632408</v>
      </c>
      <c r="K145" s="134">
        <v>25632408</v>
      </c>
    </row>
    <row r="146" spans="1:11">
      <c r="A146" t="s">
        <v>1840</v>
      </c>
      <c r="B146" t="s">
        <v>1205</v>
      </c>
      <c r="C146" s="114">
        <v>1254.4870000000001</v>
      </c>
      <c r="D146" s="114">
        <v>1316.4870000000001</v>
      </c>
      <c r="E146" s="114">
        <v>1937.857</v>
      </c>
      <c r="F146" s="114">
        <v>0</v>
      </c>
      <c r="G146" s="134">
        <v>344995</v>
      </c>
      <c r="H146" s="134">
        <v>108291</v>
      </c>
      <c r="I146" s="134">
        <v>214741</v>
      </c>
      <c r="J146" s="134">
        <v>275288356</v>
      </c>
      <c r="K146" s="134">
        <v>254855176</v>
      </c>
    </row>
    <row r="147" spans="1:11">
      <c r="A147" t="s">
        <v>2789</v>
      </c>
      <c r="B147" t="s">
        <v>1926</v>
      </c>
      <c r="C147" s="114">
        <v>3699.0279999999998</v>
      </c>
      <c r="D147" s="114">
        <v>3699.0279999999998</v>
      </c>
      <c r="E147" s="114">
        <v>4283.33</v>
      </c>
      <c r="F147" s="114">
        <v>0</v>
      </c>
      <c r="G147" s="134">
        <v>8554034</v>
      </c>
      <c r="H147" s="134">
        <v>8500938</v>
      </c>
      <c r="I147" s="114">
        <v>0</v>
      </c>
      <c r="J147" s="134">
        <v>2946576493</v>
      </c>
      <c r="K147" s="134">
        <v>2931357793</v>
      </c>
    </row>
    <row r="148" spans="1:11">
      <c r="A148" t="s">
        <v>316</v>
      </c>
      <c r="B148" t="s">
        <v>2716</v>
      </c>
      <c r="C148" s="114">
        <v>1205.0309999999999</v>
      </c>
      <c r="D148" s="114">
        <v>1224.8710000000001</v>
      </c>
      <c r="E148" s="114">
        <v>1812.16</v>
      </c>
      <c r="F148" s="114">
        <v>0</v>
      </c>
      <c r="G148" s="134">
        <v>739147</v>
      </c>
      <c r="H148" s="114">
        <v>0</v>
      </c>
      <c r="I148" s="134">
        <v>171981</v>
      </c>
      <c r="J148" s="134">
        <v>241782905</v>
      </c>
      <c r="K148" s="134">
        <v>230283005</v>
      </c>
    </row>
    <row r="149" spans="1:11">
      <c r="A149" t="s">
        <v>1658</v>
      </c>
      <c r="B149" t="s">
        <v>1691</v>
      </c>
      <c r="C149" s="114">
        <v>610.08500000000004</v>
      </c>
      <c r="D149" s="114">
        <v>610.08500000000004</v>
      </c>
      <c r="E149" s="114">
        <v>1006.771</v>
      </c>
      <c r="F149" s="114">
        <v>0</v>
      </c>
      <c r="G149" s="134">
        <v>340225</v>
      </c>
      <c r="H149" s="134">
        <v>67774</v>
      </c>
      <c r="I149" s="114">
        <v>0</v>
      </c>
      <c r="J149" s="134">
        <v>126294248</v>
      </c>
      <c r="K149" s="134">
        <v>126294248</v>
      </c>
    </row>
    <row r="150" spans="1:11">
      <c r="A150" t="s">
        <v>50</v>
      </c>
      <c r="B150" t="s">
        <v>445</v>
      </c>
      <c r="C150" s="114">
        <v>4421.6210000000001</v>
      </c>
      <c r="D150" s="114">
        <v>4421.6210000000001</v>
      </c>
      <c r="E150" s="114">
        <v>6093.8969999999999</v>
      </c>
      <c r="F150" s="114">
        <v>0</v>
      </c>
      <c r="G150" s="134">
        <v>684255</v>
      </c>
      <c r="H150" s="134">
        <v>281216</v>
      </c>
      <c r="I150" s="134">
        <v>471085</v>
      </c>
      <c r="J150" s="134">
        <v>839330771</v>
      </c>
      <c r="K150" s="134">
        <v>839330771</v>
      </c>
    </row>
    <row r="151" spans="1:11">
      <c r="A151" t="s">
        <v>1486</v>
      </c>
      <c r="B151" t="s">
        <v>669</v>
      </c>
      <c r="C151" s="114">
        <v>1893.0250000000001</v>
      </c>
      <c r="D151" s="114">
        <v>1893.0250000000001</v>
      </c>
      <c r="E151" s="114">
        <v>2592.453</v>
      </c>
      <c r="F151" s="114">
        <v>0</v>
      </c>
      <c r="G151" s="134">
        <v>420849</v>
      </c>
      <c r="H151" s="134">
        <v>216809</v>
      </c>
      <c r="I151" s="134">
        <v>191860</v>
      </c>
      <c r="J151" s="134">
        <v>322884658</v>
      </c>
      <c r="K151" s="134">
        <v>322884658</v>
      </c>
    </row>
    <row r="152" spans="1:11">
      <c r="A152" t="s">
        <v>2907</v>
      </c>
      <c r="B152" t="s">
        <v>1306</v>
      </c>
      <c r="C152" s="114">
        <v>418.04599999999999</v>
      </c>
      <c r="D152" s="114">
        <v>418.04599999999999</v>
      </c>
      <c r="E152" s="114">
        <v>721.96100000000001</v>
      </c>
      <c r="F152" s="114">
        <v>0</v>
      </c>
      <c r="G152" s="114">
        <v>0</v>
      </c>
      <c r="H152" s="114">
        <v>0</v>
      </c>
      <c r="I152" s="114">
        <v>0</v>
      </c>
      <c r="J152" s="134">
        <v>35830175</v>
      </c>
      <c r="K152" s="134">
        <v>35830175</v>
      </c>
    </row>
    <row r="153" spans="1:11">
      <c r="A153" t="s">
        <v>1659</v>
      </c>
      <c r="B153" t="s">
        <v>30</v>
      </c>
      <c r="C153" s="114">
        <v>306.327</v>
      </c>
      <c r="D153" s="114">
        <v>312.07400000000001</v>
      </c>
      <c r="E153" s="114">
        <v>528.40800000000002</v>
      </c>
      <c r="F153" s="114">
        <v>0</v>
      </c>
      <c r="G153" s="114">
        <v>0</v>
      </c>
      <c r="H153" s="114">
        <v>0</v>
      </c>
      <c r="I153" s="114">
        <v>0</v>
      </c>
      <c r="J153" s="134">
        <v>44241815</v>
      </c>
      <c r="K153" s="134">
        <v>44241815</v>
      </c>
    </row>
    <row r="154" spans="1:11">
      <c r="A154" t="s">
        <v>84</v>
      </c>
      <c r="B154" t="s">
        <v>2500</v>
      </c>
      <c r="C154" s="114">
        <v>1040.3920000000001</v>
      </c>
      <c r="D154" s="114">
        <v>1040.3920000000001</v>
      </c>
      <c r="E154" s="114">
        <v>1726.8330000000001</v>
      </c>
      <c r="F154" s="114">
        <v>0</v>
      </c>
      <c r="G154" s="134">
        <v>173721</v>
      </c>
      <c r="H154" s="114">
        <v>0</v>
      </c>
      <c r="I154" s="134">
        <v>156396</v>
      </c>
      <c r="J154" s="134">
        <v>168331310</v>
      </c>
      <c r="K154" s="134">
        <v>168331310</v>
      </c>
    </row>
    <row r="155" spans="1:11">
      <c r="A155" t="s">
        <v>1270</v>
      </c>
      <c r="B155" t="s">
        <v>31</v>
      </c>
      <c r="C155" s="114">
        <v>101.499</v>
      </c>
      <c r="D155" s="114">
        <v>101.499</v>
      </c>
      <c r="E155" s="114">
        <v>229.834</v>
      </c>
      <c r="F155" s="114">
        <v>0</v>
      </c>
      <c r="G155" s="134">
        <v>17622</v>
      </c>
      <c r="H155" s="134">
        <v>14391</v>
      </c>
      <c r="I155" s="114">
        <v>0</v>
      </c>
      <c r="J155" s="134">
        <v>20587958</v>
      </c>
      <c r="K155" s="134">
        <v>20587958</v>
      </c>
    </row>
    <row r="156" spans="1:11">
      <c r="A156" t="s">
        <v>2482</v>
      </c>
      <c r="B156" t="s">
        <v>2193</v>
      </c>
      <c r="C156" s="114">
        <v>889.18499999999995</v>
      </c>
      <c r="D156" s="114">
        <v>900.25199999999995</v>
      </c>
      <c r="E156" s="114">
        <v>1484.5830000000001</v>
      </c>
      <c r="F156" s="114">
        <v>0</v>
      </c>
      <c r="G156" s="134">
        <v>893873</v>
      </c>
      <c r="H156" s="134">
        <v>738091</v>
      </c>
      <c r="I156" s="114">
        <v>0</v>
      </c>
      <c r="J156" s="134">
        <v>298622522</v>
      </c>
      <c r="K156" s="134">
        <v>298622522</v>
      </c>
    </row>
    <row r="157" spans="1:11">
      <c r="A157" t="s">
        <v>814</v>
      </c>
      <c r="B157" t="s">
        <v>1124</v>
      </c>
      <c r="C157" s="114">
        <v>424.47699999999998</v>
      </c>
      <c r="D157" s="114">
        <v>424.47699999999998</v>
      </c>
      <c r="E157" s="114">
        <v>700.505</v>
      </c>
      <c r="F157" s="114">
        <v>0</v>
      </c>
      <c r="G157" s="134">
        <v>190385</v>
      </c>
      <c r="H157" s="134">
        <v>57262</v>
      </c>
      <c r="I157" s="134">
        <v>121681</v>
      </c>
      <c r="J157" s="134">
        <v>79735528</v>
      </c>
      <c r="K157" s="134">
        <v>79735528</v>
      </c>
    </row>
    <row r="158" spans="1:11">
      <c r="A158" t="s">
        <v>2483</v>
      </c>
      <c r="B158" t="s">
        <v>2194</v>
      </c>
      <c r="C158" s="114">
        <v>169.988</v>
      </c>
      <c r="D158" s="114">
        <v>169.988</v>
      </c>
      <c r="E158" s="114">
        <v>281.113</v>
      </c>
      <c r="F158" s="114">
        <v>0</v>
      </c>
      <c r="G158" s="114">
        <v>0</v>
      </c>
      <c r="H158" s="114">
        <v>0</v>
      </c>
      <c r="I158" s="114">
        <v>0</v>
      </c>
      <c r="J158" s="134">
        <v>39144629</v>
      </c>
      <c r="K158" s="134">
        <v>39144629</v>
      </c>
    </row>
    <row r="159" spans="1:11">
      <c r="A159" t="s">
        <v>1883</v>
      </c>
      <c r="B159" t="s">
        <v>2195</v>
      </c>
      <c r="C159" s="114">
        <v>113.67100000000001</v>
      </c>
      <c r="D159" s="114">
        <v>113.67100000000001</v>
      </c>
      <c r="E159" s="114">
        <v>241.416</v>
      </c>
      <c r="F159" s="114">
        <v>0</v>
      </c>
      <c r="G159" s="114">
        <v>0</v>
      </c>
      <c r="H159" s="114">
        <v>0</v>
      </c>
      <c r="I159" s="114">
        <v>0</v>
      </c>
      <c r="J159" s="134">
        <v>70038739</v>
      </c>
      <c r="K159" s="134">
        <v>70038739</v>
      </c>
    </row>
    <row r="160" spans="1:11">
      <c r="A160" t="s">
        <v>1884</v>
      </c>
      <c r="B160" t="s">
        <v>2468</v>
      </c>
      <c r="C160" s="114">
        <v>414.75599999999997</v>
      </c>
      <c r="D160" s="114">
        <v>414.75599999999997</v>
      </c>
      <c r="E160" s="114">
        <v>751.76900000000001</v>
      </c>
      <c r="F160" s="114">
        <v>0</v>
      </c>
      <c r="G160" s="114">
        <v>0</v>
      </c>
      <c r="H160" s="114">
        <v>0</v>
      </c>
      <c r="I160" s="114">
        <v>0</v>
      </c>
      <c r="J160" s="134">
        <v>58738084</v>
      </c>
      <c r="K160" s="134">
        <v>58738084</v>
      </c>
    </row>
    <row r="161" spans="1:11">
      <c r="A161" t="s">
        <v>899</v>
      </c>
      <c r="B161" t="s">
        <v>1179</v>
      </c>
      <c r="C161" s="114">
        <v>291.58199999999999</v>
      </c>
      <c r="D161" s="114">
        <v>302.96499999999997</v>
      </c>
      <c r="E161" s="114">
        <v>603.24199999999996</v>
      </c>
      <c r="F161" s="114">
        <v>0</v>
      </c>
      <c r="G161" s="114">
        <v>0</v>
      </c>
      <c r="H161" s="114">
        <v>0</v>
      </c>
      <c r="I161" s="114">
        <v>0</v>
      </c>
      <c r="J161" s="134">
        <v>664796300</v>
      </c>
      <c r="K161" s="134">
        <v>664796300</v>
      </c>
    </row>
    <row r="162" spans="1:11">
      <c r="A162" t="s">
        <v>900</v>
      </c>
      <c r="B162" t="s">
        <v>2470</v>
      </c>
      <c r="C162" s="114">
        <v>308.827</v>
      </c>
      <c r="D162" s="114">
        <v>330.14499999999998</v>
      </c>
      <c r="E162" s="114">
        <v>641.24900000000002</v>
      </c>
      <c r="F162" s="114">
        <v>0</v>
      </c>
      <c r="G162" s="114">
        <v>0</v>
      </c>
      <c r="H162" s="114">
        <v>0</v>
      </c>
      <c r="I162" s="114">
        <v>0</v>
      </c>
      <c r="J162" s="134">
        <v>74841641</v>
      </c>
      <c r="K162" s="134">
        <v>74841641</v>
      </c>
    </row>
    <row r="163" spans="1:11">
      <c r="A163" t="s">
        <v>922</v>
      </c>
      <c r="B163" t="s">
        <v>2471</v>
      </c>
      <c r="C163" s="114">
        <v>226.952</v>
      </c>
      <c r="D163" s="114">
        <v>233.42400000000001</v>
      </c>
      <c r="E163" s="114">
        <v>473.69400000000002</v>
      </c>
      <c r="F163" s="114">
        <v>0</v>
      </c>
      <c r="G163" s="134">
        <v>831285</v>
      </c>
      <c r="H163" s="114">
        <v>0</v>
      </c>
      <c r="I163" s="114">
        <v>0</v>
      </c>
      <c r="J163" s="134">
        <v>154038522</v>
      </c>
      <c r="K163" s="134">
        <v>154038522</v>
      </c>
    </row>
    <row r="164" spans="1:11">
      <c r="A164" t="s">
        <v>630</v>
      </c>
      <c r="B164" t="s">
        <v>1333</v>
      </c>
      <c r="C164" s="114">
        <v>916.19899999999996</v>
      </c>
      <c r="D164" s="114">
        <v>916.19899999999996</v>
      </c>
      <c r="E164" s="114">
        <v>1371.1890000000001</v>
      </c>
      <c r="F164" s="114">
        <v>0</v>
      </c>
      <c r="G164" s="134">
        <v>211437</v>
      </c>
      <c r="H164" s="134">
        <v>193147</v>
      </c>
      <c r="I164" s="134">
        <v>22638</v>
      </c>
      <c r="J164" s="134">
        <v>101461334</v>
      </c>
      <c r="K164" s="134">
        <v>101461334</v>
      </c>
    </row>
    <row r="165" spans="1:11">
      <c r="A165" t="s">
        <v>2712</v>
      </c>
      <c r="B165" t="s">
        <v>97</v>
      </c>
      <c r="C165" s="114">
        <v>275.85700000000003</v>
      </c>
      <c r="D165" s="114">
        <v>275.85700000000003</v>
      </c>
      <c r="E165" s="114">
        <v>560.81500000000005</v>
      </c>
      <c r="F165" s="114">
        <v>0</v>
      </c>
      <c r="G165" s="134">
        <v>40218</v>
      </c>
      <c r="H165" s="114">
        <v>0</v>
      </c>
      <c r="I165" s="134">
        <v>36332</v>
      </c>
      <c r="J165" s="134">
        <v>50864621</v>
      </c>
      <c r="K165" s="134">
        <v>50864621</v>
      </c>
    </row>
    <row r="166" spans="1:11">
      <c r="A166" t="s">
        <v>923</v>
      </c>
      <c r="B166" t="s">
        <v>1180</v>
      </c>
      <c r="C166" s="114">
        <v>157.02600000000001</v>
      </c>
      <c r="D166" s="114">
        <v>157.02600000000001</v>
      </c>
      <c r="E166" s="114">
        <v>334.08499999999998</v>
      </c>
      <c r="F166" s="114">
        <v>0</v>
      </c>
      <c r="G166" s="114">
        <v>147</v>
      </c>
      <c r="H166" s="114">
        <v>0</v>
      </c>
      <c r="I166" s="114">
        <v>0</v>
      </c>
      <c r="J166" s="134">
        <v>64744601</v>
      </c>
      <c r="K166" s="134">
        <v>64744601</v>
      </c>
    </row>
    <row r="167" spans="1:11">
      <c r="A167" t="s">
        <v>1954</v>
      </c>
      <c r="B167" t="s">
        <v>2473</v>
      </c>
      <c r="C167" s="114">
        <v>89.287999999999997</v>
      </c>
      <c r="D167" s="114">
        <v>89.287999999999997</v>
      </c>
      <c r="E167" s="114">
        <v>229.167</v>
      </c>
      <c r="F167" s="114">
        <v>0</v>
      </c>
      <c r="G167" s="114">
        <v>0</v>
      </c>
      <c r="H167" s="114">
        <v>0</v>
      </c>
      <c r="I167" s="114">
        <v>0</v>
      </c>
      <c r="J167" s="134">
        <v>38602063</v>
      </c>
      <c r="K167" s="134">
        <v>38602063</v>
      </c>
    </row>
    <row r="168" spans="1:11">
      <c r="A168" t="s">
        <v>638</v>
      </c>
      <c r="B168" t="s">
        <v>2234</v>
      </c>
      <c r="C168" s="114">
        <v>16807.401000000002</v>
      </c>
      <c r="D168" s="114">
        <v>16807.401000000002</v>
      </c>
      <c r="E168" s="114">
        <v>20055.776000000002</v>
      </c>
      <c r="F168" s="114">
        <v>0</v>
      </c>
      <c r="G168" s="134">
        <v>29558083</v>
      </c>
      <c r="H168" s="134">
        <v>17783963</v>
      </c>
      <c r="I168" s="134">
        <v>1073215</v>
      </c>
      <c r="J168" s="134">
        <v>6132400919</v>
      </c>
      <c r="K168" s="134">
        <v>6132400919</v>
      </c>
    </row>
    <row r="169" spans="1:11">
      <c r="A169" t="s">
        <v>1841</v>
      </c>
      <c r="B169" t="s">
        <v>1206</v>
      </c>
      <c r="C169" s="114">
        <v>2028.068</v>
      </c>
      <c r="D169" s="114">
        <v>2028.068</v>
      </c>
      <c r="E169" s="114">
        <v>2698.2629999999999</v>
      </c>
      <c r="F169" s="114">
        <v>0</v>
      </c>
      <c r="G169" s="134">
        <v>2628748</v>
      </c>
      <c r="H169" s="134">
        <v>1401215</v>
      </c>
      <c r="I169" s="134">
        <v>568174</v>
      </c>
      <c r="J169" s="134">
        <v>483177652</v>
      </c>
      <c r="K169" s="134">
        <v>483177652</v>
      </c>
    </row>
    <row r="170" spans="1:11">
      <c r="A170" t="s">
        <v>2862</v>
      </c>
      <c r="B170" t="s">
        <v>733</v>
      </c>
      <c r="C170" s="114">
        <v>1757.394</v>
      </c>
      <c r="D170" s="114">
        <v>1757.394</v>
      </c>
      <c r="E170" s="114">
        <v>2360.4029999999998</v>
      </c>
      <c r="F170" s="114">
        <v>0</v>
      </c>
      <c r="G170" s="134">
        <v>3205959</v>
      </c>
      <c r="H170" s="134">
        <v>1664929</v>
      </c>
      <c r="I170" s="134">
        <v>246378</v>
      </c>
      <c r="J170" s="134">
        <v>574113307</v>
      </c>
      <c r="K170" s="134">
        <v>574113307</v>
      </c>
    </row>
    <row r="171" spans="1:11">
      <c r="A171" t="s">
        <v>1900</v>
      </c>
      <c r="B171" t="s">
        <v>129</v>
      </c>
      <c r="C171" s="114">
        <v>1380.576</v>
      </c>
      <c r="D171" s="114">
        <v>1380.576</v>
      </c>
      <c r="E171" s="114">
        <v>1848.2080000000001</v>
      </c>
      <c r="F171" s="114">
        <v>0</v>
      </c>
      <c r="G171" s="134">
        <v>771112</v>
      </c>
      <c r="H171" s="134">
        <v>657582</v>
      </c>
      <c r="I171" s="134">
        <v>107074</v>
      </c>
      <c r="J171" s="134">
        <v>300660670</v>
      </c>
      <c r="K171" s="134">
        <v>300660670</v>
      </c>
    </row>
    <row r="172" spans="1:11">
      <c r="A172" t="s">
        <v>1605</v>
      </c>
      <c r="B172" t="s">
        <v>1667</v>
      </c>
      <c r="C172" s="114">
        <v>29403.663</v>
      </c>
      <c r="D172" s="114">
        <v>29403.663</v>
      </c>
      <c r="E172" s="114">
        <v>33616.667000000001</v>
      </c>
      <c r="F172" s="114">
        <v>0</v>
      </c>
      <c r="G172" s="134">
        <v>57716930</v>
      </c>
      <c r="H172" s="134">
        <v>40130387</v>
      </c>
      <c r="I172" s="134">
        <v>908483</v>
      </c>
      <c r="J172" s="134">
        <v>13838064635</v>
      </c>
      <c r="K172" s="134">
        <v>13838064635</v>
      </c>
    </row>
    <row r="173" spans="1:11">
      <c r="A173" t="s">
        <v>2895</v>
      </c>
      <c r="B173" t="s">
        <v>928</v>
      </c>
      <c r="C173" s="114">
        <v>22000.363000000001</v>
      </c>
      <c r="D173" s="114">
        <v>22000.363000000001</v>
      </c>
      <c r="E173" s="114">
        <v>26500.67</v>
      </c>
      <c r="F173" s="114">
        <v>0</v>
      </c>
      <c r="G173" s="134">
        <v>42640344</v>
      </c>
      <c r="H173" s="134">
        <v>24214191</v>
      </c>
      <c r="I173" s="134">
        <v>1337560</v>
      </c>
      <c r="J173" s="134">
        <v>8349721097</v>
      </c>
      <c r="K173" s="134">
        <v>8349721097</v>
      </c>
    </row>
    <row r="174" spans="1:11">
      <c r="A174" t="s">
        <v>724</v>
      </c>
      <c r="B174" t="s">
        <v>2518</v>
      </c>
      <c r="C174" s="114">
        <v>1207.798</v>
      </c>
      <c r="D174" s="114">
        <v>1207.798</v>
      </c>
      <c r="E174" s="114">
        <v>1577.8579999999999</v>
      </c>
      <c r="F174" s="114">
        <v>0</v>
      </c>
      <c r="G174" s="134">
        <v>2089575</v>
      </c>
      <c r="H174" s="134">
        <v>1120965</v>
      </c>
      <c r="I174" s="134">
        <v>305870</v>
      </c>
      <c r="J174" s="134">
        <v>386539791</v>
      </c>
      <c r="K174" s="134">
        <v>386539791</v>
      </c>
    </row>
    <row r="175" spans="1:11">
      <c r="A175" t="s">
        <v>725</v>
      </c>
      <c r="B175" t="s">
        <v>2519</v>
      </c>
      <c r="C175" s="114">
        <v>51080.275999999998</v>
      </c>
      <c r="D175" s="114">
        <v>51080.275999999998</v>
      </c>
      <c r="E175" s="114">
        <v>62541.911</v>
      </c>
      <c r="F175" s="114">
        <v>0</v>
      </c>
      <c r="G175" s="134">
        <v>90262865</v>
      </c>
      <c r="H175" s="134">
        <v>85554099</v>
      </c>
      <c r="I175" s="114">
        <v>0</v>
      </c>
      <c r="J175" s="134">
        <v>32145126921</v>
      </c>
      <c r="K175" s="134">
        <v>32145126921</v>
      </c>
    </row>
    <row r="176" spans="1:11">
      <c r="A176" t="s">
        <v>246</v>
      </c>
      <c r="B176" t="s">
        <v>87</v>
      </c>
      <c r="C176" s="114">
        <v>2605.3829999999998</v>
      </c>
      <c r="D176" s="114">
        <v>2605.3829999999998</v>
      </c>
      <c r="E176" s="114">
        <v>3620.335</v>
      </c>
      <c r="F176" s="114">
        <v>0</v>
      </c>
      <c r="G176" s="134">
        <v>2237801</v>
      </c>
      <c r="H176" s="134">
        <v>1047953</v>
      </c>
      <c r="I176" s="134">
        <v>784360</v>
      </c>
      <c r="J176" s="134">
        <v>473273525</v>
      </c>
      <c r="K176" s="134">
        <v>473273525</v>
      </c>
    </row>
    <row r="177" spans="1:11">
      <c r="A177" t="s">
        <v>1780</v>
      </c>
      <c r="B177" t="s">
        <v>89</v>
      </c>
      <c r="C177" s="114">
        <v>2930.087</v>
      </c>
      <c r="D177" s="114">
        <v>2930.087</v>
      </c>
      <c r="E177" s="114">
        <v>3320.4749999999999</v>
      </c>
      <c r="F177" s="114">
        <v>0</v>
      </c>
      <c r="G177" s="134">
        <v>8458501</v>
      </c>
      <c r="H177" s="134">
        <v>3944897</v>
      </c>
      <c r="I177" s="134">
        <v>210750</v>
      </c>
      <c r="J177" s="134">
        <v>1360309165</v>
      </c>
      <c r="K177" s="134">
        <v>1360309165</v>
      </c>
    </row>
    <row r="178" spans="1:11">
      <c r="A178" t="s">
        <v>1351</v>
      </c>
      <c r="B178" t="s">
        <v>1293</v>
      </c>
      <c r="C178" s="114">
        <v>10834.89</v>
      </c>
      <c r="D178" s="114">
        <v>10834.89</v>
      </c>
      <c r="E178" s="114">
        <v>12819.128000000001</v>
      </c>
      <c r="F178" s="114">
        <v>0</v>
      </c>
      <c r="G178" s="134">
        <v>10508575</v>
      </c>
      <c r="H178" s="134">
        <v>8103632</v>
      </c>
      <c r="I178" s="134">
        <v>1452484</v>
      </c>
      <c r="J178" s="134">
        <v>2794355919</v>
      </c>
      <c r="K178" s="134">
        <v>2794355919</v>
      </c>
    </row>
    <row r="179" spans="1:11">
      <c r="A179" t="s">
        <v>990</v>
      </c>
      <c r="B179" t="s">
        <v>1521</v>
      </c>
      <c r="C179" s="114">
        <v>571.74099999999999</v>
      </c>
      <c r="D179" s="114">
        <v>571.74099999999999</v>
      </c>
      <c r="E179" s="114">
        <v>907.92</v>
      </c>
      <c r="F179" s="114">
        <v>0</v>
      </c>
      <c r="G179" s="134">
        <v>430569</v>
      </c>
      <c r="H179" s="134">
        <v>177348</v>
      </c>
      <c r="I179" s="134">
        <v>212716</v>
      </c>
      <c r="J179" s="134">
        <v>116619474</v>
      </c>
      <c r="K179" s="134">
        <v>116619474</v>
      </c>
    </row>
    <row r="180" spans="1:11">
      <c r="A180" t="s">
        <v>1619</v>
      </c>
      <c r="B180" t="s">
        <v>1744</v>
      </c>
      <c r="C180" s="114">
        <v>1533.36</v>
      </c>
      <c r="D180" s="114">
        <v>1533.36</v>
      </c>
      <c r="E180" s="114">
        <v>2027.93</v>
      </c>
      <c r="F180" s="114">
        <v>0</v>
      </c>
      <c r="G180" s="134">
        <v>1982616</v>
      </c>
      <c r="H180" s="134">
        <v>577968</v>
      </c>
      <c r="I180" s="134">
        <v>442598</v>
      </c>
      <c r="J180" s="134">
        <v>409340030</v>
      </c>
      <c r="K180" s="134">
        <v>409340030</v>
      </c>
    </row>
    <row r="181" spans="1:11">
      <c r="A181" t="s">
        <v>281</v>
      </c>
      <c r="B181" t="s">
        <v>2520</v>
      </c>
      <c r="C181" s="114">
        <v>2782.9920000000002</v>
      </c>
      <c r="D181" s="114">
        <v>2782.9920000000002</v>
      </c>
      <c r="E181" s="114">
        <v>3045.277</v>
      </c>
      <c r="F181" s="114">
        <v>0</v>
      </c>
      <c r="G181" s="134">
        <v>6794538</v>
      </c>
      <c r="H181" s="134">
        <v>3827020</v>
      </c>
      <c r="I181" s="114">
        <v>0</v>
      </c>
      <c r="J181" s="134">
        <v>1319661918</v>
      </c>
      <c r="K181" s="134">
        <v>1319661918</v>
      </c>
    </row>
    <row r="182" spans="1:11">
      <c r="A182" t="s">
        <v>282</v>
      </c>
      <c r="B182" t="s">
        <v>2521</v>
      </c>
      <c r="C182" s="114">
        <v>500.84100000000001</v>
      </c>
      <c r="D182" s="114">
        <v>503.32400000000001</v>
      </c>
      <c r="E182" s="114">
        <v>986.05899999999997</v>
      </c>
      <c r="F182" s="114">
        <v>0</v>
      </c>
      <c r="G182" s="114">
        <v>0</v>
      </c>
      <c r="H182" s="114">
        <v>0</v>
      </c>
      <c r="I182" s="114">
        <v>0</v>
      </c>
      <c r="J182" s="134">
        <v>79695410</v>
      </c>
      <c r="K182" s="134">
        <v>79695410</v>
      </c>
    </row>
    <row r="183" spans="1:11">
      <c r="A183" t="s">
        <v>642</v>
      </c>
      <c r="B183" t="s">
        <v>2522</v>
      </c>
      <c r="C183" s="114">
        <v>92.876999999999995</v>
      </c>
      <c r="D183" s="114">
        <v>92.876999999999995</v>
      </c>
      <c r="E183" s="114">
        <v>269.85000000000002</v>
      </c>
      <c r="F183" s="114">
        <v>0</v>
      </c>
      <c r="G183" s="114">
        <v>0</v>
      </c>
      <c r="H183" s="114">
        <v>0</v>
      </c>
      <c r="I183" s="114">
        <v>0</v>
      </c>
      <c r="J183" s="134">
        <v>36436407</v>
      </c>
      <c r="K183" s="134">
        <v>36436407</v>
      </c>
    </row>
    <row r="184" spans="1:11">
      <c r="A184" t="s">
        <v>1617</v>
      </c>
      <c r="B184" t="s">
        <v>1742</v>
      </c>
      <c r="C184" s="114">
        <v>1436.4739999999999</v>
      </c>
      <c r="D184" s="114">
        <v>1436.4739999999999</v>
      </c>
      <c r="E184" s="114">
        <v>2058.2069999999999</v>
      </c>
      <c r="F184" s="114">
        <v>0</v>
      </c>
      <c r="G184" s="134">
        <v>1130084</v>
      </c>
      <c r="H184" s="134">
        <v>1105488</v>
      </c>
      <c r="I184" s="134">
        <v>289660</v>
      </c>
      <c r="J184" s="134">
        <v>623148577</v>
      </c>
      <c r="K184" s="134">
        <v>623148577</v>
      </c>
    </row>
    <row r="185" spans="1:11">
      <c r="A185" t="s">
        <v>643</v>
      </c>
      <c r="B185" t="s">
        <v>1181</v>
      </c>
      <c r="C185" s="114">
        <v>1195.76</v>
      </c>
      <c r="D185" s="114">
        <v>1195.76</v>
      </c>
      <c r="E185" s="114">
        <v>1945.607</v>
      </c>
      <c r="F185" s="114">
        <v>0</v>
      </c>
      <c r="G185" s="134">
        <v>1553248</v>
      </c>
      <c r="H185" s="134">
        <v>509414</v>
      </c>
      <c r="I185" s="114">
        <v>0</v>
      </c>
      <c r="J185" s="134">
        <v>603976342</v>
      </c>
      <c r="K185" s="134">
        <v>603976342</v>
      </c>
    </row>
    <row r="186" spans="1:11">
      <c r="A186" t="s">
        <v>34</v>
      </c>
      <c r="B186" t="s">
        <v>2524</v>
      </c>
      <c r="C186" s="114">
        <v>549.62099999999998</v>
      </c>
      <c r="D186" s="114">
        <v>549.62099999999998</v>
      </c>
      <c r="E186" s="114">
        <v>886.15200000000004</v>
      </c>
      <c r="F186" s="114">
        <v>0</v>
      </c>
      <c r="G186" s="134">
        <v>450552</v>
      </c>
      <c r="H186" s="134">
        <v>561613</v>
      </c>
      <c r="I186" s="114">
        <v>0</v>
      </c>
      <c r="J186" s="134">
        <v>233044246</v>
      </c>
      <c r="K186" s="134">
        <v>233044246</v>
      </c>
    </row>
    <row r="187" spans="1:11">
      <c r="A187" t="s">
        <v>35</v>
      </c>
      <c r="B187" t="s">
        <v>2525</v>
      </c>
      <c r="C187" s="114">
        <v>7072.7830000000004</v>
      </c>
      <c r="D187" s="114">
        <v>7072.7830000000004</v>
      </c>
      <c r="E187" s="114">
        <v>8575.7999999999993</v>
      </c>
      <c r="F187" s="114">
        <v>0</v>
      </c>
      <c r="G187" s="134">
        <v>9171482</v>
      </c>
      <c r="H187" s="134">
        <v>7188906</v>
      </c>
      <c r="I187" s="134">
        <v>1200408</v>
      </c>
      <c r="J187" s="134">
        <v>2478933089</v>
      </c>
      <c r="K187" s="134">
        <v>2478933089</v>
      </c>
    </row>
    <row r="188" spans="1:11">
      <c r="A188" t="s">
        <v>1437</v>
      </c>
      <c r="B188" t="s">
        <v>2526</v>
      </c>
      <c r="C188" s="114">
        <v>15140.942999999999</v>
      </c>
      <c r="D188" s="114">
        <v>15140.942999999999</v>
      </c>
      <c r="E188" s="114">
        <v>18349.205000000002</v>
      </c>
      <c r="F188" s="114">
        <v>0</v>
      </c>
      <c r="G188" s="134">
        <v>23880417</v>
      </c>
      <c r="H188" s="134">
        <v>22722665</v>
      </c>
      <c r="I188" s="114">
        <v>0</v>
      </c>
      <c r="J188" s="134">
        <v>7835401728</v>
      </c>
      <c r="K188" s="134">
        <v>7835401728</v>
      </c>
    </row>
    <row r="189" spans="1:11">
      <c r="A189" t="s">
        <v>2644</v>
      </c>
      <c r="B189" t="s">
        <v>2527</v>
      </c>
      <c r="C189" s="114">
        <v>1151.761</v>
      </c>
      <c r="D189" s="114">
        <v>1151.761</v>
      </c>
      <c r="E189" s="114">
        <v>1797.2090000000001</v>
      </c>
      <c r="F189" s="114">
        <v>0</v>
      </c>
      <c r="G189" s="134">
        <v>335365</v>
      </c>
      <c r="H189" s="114">
        <v>252</v>
      </c>
      <c r="I189" s="134">
        <v>190321</v>
      </c>
      <c r="J189" s="134">
        <v>245302346</v>
      </c>
      <c r="K189" s="134">
        <v>245302346</v>
      </c>
    </row>
    <row r="190" spans="1:11">
      <c r="A190" t="s">
        <v>2763</v>
      </c>
      <c r="B190" t="s">
        <v>3062</v>
      </c>
      <c r="C190" s="114">
        <v>630.54100000000005</v>
      </c>
      <c r="D190" s="114">
        <v>630.54100000000005</v>
      </c>
      <c r="E190" s="114">
        <v>982.55200000000002</v>
      </c>
      <c r="F190" s="114">
        <v>0</v>
      </c>
      <c r="G190" s="134">
        <v>40685</v>
      </c>
      <c r="H190" s="134">
        <v>37856</v>
      </c>
      <c r="I190" s="114">
        <v>0</v>
      </c>
      <c r="J190" s="134">
        <v>139707697</v>
      </c>
      <c r="K190" s="134">
        <v>139707697</v>
      </c>
    </row>
    <row r="191" spans="1:11">
      <c r="A191" t="s">
        <v>2672</v>
      </c>
      <c r="B191" t="s">
        <v>1949</v>
      </c>
      <c r="C191" s="114">
        <v>193.089</v>
      </c>
      <c r="D191" s="114">
        <v>193.089</v>
      </c>
      <c r="E191" s="114">
        <v>354.71100000000001</v>
      </c>
      <c r="F191" s="114">
        <v>0</v>
      </c>
      <c r="G191" s="134">
        <v>27093</v>
      </c>
      <c r="H191" s="134">
        <v>2656</v>
      </c>
      <c r="I191" s="134">
        <v>27800</v>
      </c>
      <c r="J191" s="134">
        <v>38919427</v>
      </c>
      <c r="K191" s="134">
        <v>38919427</v>
      </c>
    </row>
    <row r="192" spans="1:11">
      <c r="A192" t="s">
        <v>2645</v>
      </c>
      <c r="B192" t="s">
        <v>2528</v>
      </c>
      <c r="C192" s="114">
        <v>134.614</v>
      </c>
      <c r="D192" s="114">
        <v>134.614</v>
      </c>
      <c r="E192" s="114">
        <v>241.982</v>
      </c>
      <c r="F192" s="114">
        <v>0</v>
      </c>
      <c r="G192" s="114">
        <v>0</v>
      </c>
      <c r="H192" s="114">
        <v>0</v>
      </c>
      <c r="I192" s="114">
        <v>0</v>
      </c>
      <c r="J192" s="134">
        <v>18596848</v>
      </c>
      <c r="K192" s="134">
        <v>18596848</v>
      </c>
    </row>
    <row r="193" spans="1:11">
      <c r="A193" t="s">
        <v>2646</v>
      </c>
      <c r="B193" t="s">
        <v>1182</v>
      </c>
      <c r="C193" s="114">
        <v>253.75899999999999</v>
      </c>
      <c r="D193" s="114">
        <v>258.95800000000003</v>
      </c>
      <c r="E193" s="114">
        <v>508.07900000000001</v>
      </c>
      <c r="F193" s="114">
        <v>0</v>
      </c>
      <c r="G193" s="114">
        <v>0</v>
      </c>
      <c r="H193" s="114">
        <v>0</v>
      </c>
      <c r="I193" s="114">
        <v>0</v>
      </c>
      <c r="J193" s="134">
        <v>140196864</v>
      </c>
      <c r="K193" s="134">
        <v>140196864</v>
      </c>
    </row>
    <row r="194" spans="1:11">
      <c r="A194" t="s">
        <v>331</v>
      </c>
      <c r="B194" t="s">
        <v>2530</v>
      </c>
      <c r="C194" s="114">
        <v>129.99700000000001</v>
      </c>
      <c r="D194" s="114">
        <v>135.11099999999999</v>
      </c>
      <c r="E194" s="114">
        <v>269.45999999999998</v>
      </c>
      <c r="F194" s="114">
        <v>0</v>
      </c>
      <c r="G194" s="134">
        <v>175222</v>
      </c>
      <c r="H194" s="114">
        <v>0</v>
      </c>
      <c r="I194" s="114">
        <v>0</v>
      </c>
      <c r="J194" s="134">
        <v>61393889</v>
      </c>
      <c r="K194" s="134">
        <v>61393889</v>
      </c>
    </row>
    <row r="195" spans="1:11">
      <c r="A195" t="s">
        <v>1607</v>
      </c>
      <c r="B195" t="s">
        <v>1669</v>
      </c>
      <c r="C195" s="114">
        <v>2467.6840000000002</v>
      </c>
      <c r="D195" s="114">
        <v>2496.0070000000001</v>
      </c>
      <c r="E195" s="114">
        <v>3575.877</v>
      </c>
      <c r="F195" s="114">
        <v>0</v>
      </c>
      <c r="G195" s="134">
        <v>2054841</v>
      </c>
      <c r="H195" s="134">
        <v>1979129</v>
      </c>
      <c r="I195" s="134">
        <v>187092</v>
      </c>
      <c r="J195" s="134">
        <v>781580042</v>
      </c>
      <c r="K195" s="134">
        <v>781580042</v>
      </c>
    </row>
    <row r="196" spans="1:11">
      <c r="A196" t="s">
        <v>332</v>
      </c>
      <c r="B196" t="s">
        <v>2531</v>
      </c>
      <c r="C196" s="114">
        <v>461.84199999999998</v>
      </c>
      <c r="D196" s="114">
        <v>467.59</v>
      </c>
      <c r="E196" s="114">
        <v>740.40499999999997</v>
      </c>
      <c r="F196" s="114">
        <v>0</v>
      </c>
      <c r="G196" s="134">
        <v>354793</v>
      </c>
      <c r="H196" s="134">
        <v>352180</v>
      </c>
      <c r="I196" s="114">
        <v>0</v>
      </c>
      <c r="J196" s="134">
        <v>233055630</v>
      </c>
      <c r="K196" s="134">
        <v>233055630</v>
      </c>
    </row>
    <row r="197" spans="1:11">
      <c r="A197" t="s">
        <v>2863</v>
      </c>
      <c r="B197" t="s">
        <v>2705</v>
      </c>
      <c r="C197" s="114">
        <v>628.12400000000002</v>
      </c>
      <c r="D197" s="114">
        <v>628.12400000000002</v>
      </c>
      <c r="E197" s="114">
        <v>991.38900000000001</v>
      </c>
      <c r="F197" s="114">
        <v>0</v>
      </c>
      <c r="G197" s="134">
        <v>141998</v>
      </c>
      <c r="H197" s="134">
        <v>13985</v>
      </c>
      <c r="I197" s="134">
        <v>115667</v>
      </c>
      <c r="J197" s="134">
        <v>159509894</v>
      </c>
      <c r="K197" s="134">
        <v>159509894</v>
      </c>
    </row>
    <row r="198" spans="1:11">
      <c r="A198" t="s">
        <v>333</v>
      </c>
      <c r="B198" t="s">
        <v>2532</v>
      </c>
      <c r="C198" s="114">
        <v>1121.942</v>
      </c>
      <c r="D198" s="114">
        <v>1121.942</v>
      </c>
      <c r="E198" s="114">
        <v>1595.134</v>
      </c>
      <c r="F198" s="114">
        <v>0</v>
      </c>
      <c r="G198" s="134">
        <v>1413179</v>
      </c>
      <c r="H198" s="134">
        <v>350980</v>
      </c>
      <c r="I198" s="114">
        <v>0</v>
      </c>
      <c r="J198" s="134">
        <v>495725170</v>
      </c>
      <c r="K198" s="134">
        <v>495725170</v>
      </c>
    </row>
    <row r="199" spans="1:11">
      <c r="A199" t="s">
        <v>334</v>
      </c>
      <c r="B199" t="s">
        <v>2533</v>
      </c>
      <c r="C199" s="114">
        <v>428.08</v>
      </c>
      <c r="D199" s="114">
        <v>428.08</v>
      </c>
      <c r="E199" s="114">
        <v>674.23500000000001</v>
      </c>
      <c r="F199" s="114">
        <v>0</v>
      </c>
      <c r="G199" s="134">
        <v>115642</v>
      </c>
      <c r="H199" s="134">
        <v>73038</v>
      </c>
      <c r="I199" s="134">
        <v>25544</v>
      </c>
      <c r="J199" s="134">
        <v>87501438</v>
      </c>
      <c r="K199" s="134">
        <v>87501438</v>
      </c>
    </row>
    <row r="200" spans="1:11">
      <c r="A200" t="s">
        <v>335</v>
      </c>
      <c r="B200" t="s">
        <v>2534</v>
      </c>
      <c r="C200" s="114">
        <v>504.12200000000001</v>
      </c>
      <c r="D200" s="114">
        <v>504.92</v>
      </c>
      <c r="E200" s="114">
        <v>712.51800000000003</v>
      </c>
      <c r="F200" s="114">
        <v>0</v>
      </c>
      <c r="G200" s="134">
        <v>112793</v>
      </c>
      <c r="H200" s="134">
        <v>105357</v>
      </c>
      <c r="I200" s="114">
        <v>0</v>
      </c>
      <c r="J200" s="134">
        <v>167338060</v>
      </c>
      <c r="K200" s="134">
        <v>167338060</v>
      </c>
    </row>
    <row r="201" spans="1:11">
      <c r="A201" t="s">
        <v>1962</v>
      </c>
      <c r="B201" t="s">
        <v>2535</v>
      </c>
      <c r="C201" s="114">
        <v>61.927</v>
      </c>
      <c r="D201" s="114">
        <v>61.927</v>
      </c>
      <c r="E201" s="114">
        <v>135.309</v>
      </c>
      <c r="F201" s="114">
        <v>0</v>
      </c>
      <c r="G201" s="114">
        <v>0</v>
      </c>
      <c r="H201" s="114">
        <v>0</v>
      </c>
      <c r="I201" s="114">
        <v>0</v>
      </c>
      <c r="J201" s="134">
        <v>19799519</v>
      </c>
      <c r="K201" s="134">
        <v>19799519</v>
      </c>
    </row>
    <row r="202" spans="1:11">
      <c r="A202" t="s">
        <v>1963</v>
      </c>
      <c r="B202" t="s">
        <v>2536</v>
      </c>
      <c r="C202" s="114">
        <v>60.76</v>
      </c>
      <c r="D202" s="114">
        <v>62.411000000000001</v>
      </c>
      <c r="E202" s="114">
        <v>123.004</v>
      </c>
      <c r="F202" s="114">
        <v>0</v>
      </c>
      <c r="G202" s="114">
        <v>0</v>
      </c>
      <c r="H202" s="114">
        <v>0</v>
      </c>
      <c r="I202" s="114">
        <v>0</v>
      </c>
      <c r="J202" s="134">
        <v>93764539</v>
      </c>
      <c r="K202" s="134">
        <v>93764539</v>
      </c>
    </row>
    <row r="203" spans="1:11">
      <c r="A203" t="s">
        <v>1492</v>
      </c>
      <c r="B203" t="s">
        <v>2537</v>
      </c>
      <c r="C203" s="114">
        <v>249.709</v>
      </c>
      <c r="D203" s="114">
        <v>265.642</v>
      </c>
      <c r="E203" s="114">
        <v>445.31900000000002</v>
      </c>
      <c r="F203" s="114">
        <v>0</v>
      </c>
      <c r="G203" s="114">
        <v>0</v>
      </c>
      <c r="H203" s="114">
        <v>0</v>
      </c>
      <c r="I203" s="114">
        <v>0</v>
      </c>
      <c r="J203" s="134">
        <v>69820397</v>
      </c>
      <c r="K203" s="134">
        <v>69820397</v>
      </c>
    </row>
    <row r="204" spans="1:11">
      <c r="A204" t="s">
        <v>1267</v>
      </c>
      <c r="B204" t="s">
        <v>2538</v>
      </c>
      <c r="C204" s="114">
        <v>2569.9380000000001</v>
      </c>
      <c r="D204" s="114">
        <v>2569.9380000000001</v>
      </c>
      <c r="E204" s="114">
        <v>3493.2809999999999</v>
      </c>
      <c r="F204" s="114">
        <v>0</v>
      </c>
      <c r="G204" s="134">
        <v>477059</v>
      </c>
      <c r="H204" s="134">
        <v>450210</v>
      </c>
      <c r="I204" s="114">
        <v>0</v>
      </c>
      <c r="J204" s="134">
        <v>515905016</v>
      </c>
      <c r="K204" s="134">
        <v>515905016</v>
      </c>
    </row>
    <row r="205" spans="1:11">
      <c r="A205" t="s">
        <v>2462</v>
      </c>
      <c r="B205" t="s">
        <v>290</v>
      </c>
      <c r="C205" s="114">
        <v>163.41800000000001</v>
      </c>
      <c r="D205" s="114">
        <v>163.41800000000001</v>
      </c>
      <c r="E205" s="114">
        <v>282.66899999999998</v>
      </c>
      <c r="F205" s="114">
        <v>0</v>
      </c>
      <c r="G205" s="134">
        <v>21852</v>
      </c>
      <c r="H205" s="114">
        <v>0</v>
      </c>
      <c r="I205" s="134">
        <v>21058</v>
      </c>
      <c r="J205" s="134">
        <v>31998514</v>
      </c>
      <c r="K205" s="134">
        <v>31998514</v>
      </c>
    </row>
    <row r="206" spans="1:11">
      <c r="A206" t="s">
        <v>1268</v>
      </c>
      <c r="B206" t="s">
        <v>2539</v>
      </c>
      <c r="C206" s="114">
        <v>143.417</v>
      </c>
      <c r="D206" s="114">
        <v>143.417</v>
      </c>
      <c r="E206" s="114">
        <v>240.142</v>
      </c>
      <c r="F206" s="114">
        <v>0</v>
      </c>
      <c r="G206" s="114">
        <v>0</v>
      </c>
      <c r="H206" s="114">
        <v>0</v>
      </c>
      <c r="I206" s="114">
        <v>0</v>
      </c>
      <c r="J206" s="134">
        <v>49769411</v>
      </c>
      <c r="K206" s="134">
        <v>49769411</v>
      </c>
    </row>
    <row r="207" spans="1:11">
      <c r="A207" t="s">
        <v>2752</v>
      </c>
      <c r="B207" t="s">
        <v>2951</v>
      </c>
      <c r="C207" s="114">
        <v>7220.3689999999997</v>
      </c>
      <c r="D207" s="114">
        <v>7220.3689999999997</v>
      </c>
      <c r="E207" s="114">
        <v>9011.5750000000007</v>
      </c>
      <c r="F207" s="114">
        <v>0</v>
      </c>
      <c r="G207" s="134">
        <v>1660408</v>
      </c>
      <c r="H207" s="134">
        <v>1376066</v>
      </c>
      <c r="I207" s="134">
        <v>305254</v>
      </c>
      <c r="J207" s="134">
        <v>1082346607</v>
      </c>
      <c r="K207" s="134">
        <v>1082346607</v>
      </c>
    </row>
    <row r="208" spans="1:11">
      <c r="A208" t="s">
        <v>1269</v>
      </c>
      <c r="B208" t="s">
        <v>2540</v>
      </c>
      <c r="C208" s="114">
        <v>235.38800000000001</v>
      </c>
      <c r="D208" s="114">
        <v>235.38800000000001</v>
      </c>
      <c r="E208" s="114">
        <v>469.94200000000001</v>
      </c>
      <c r="F208" s="114">
        <v>0</v>
      </c>
      <c r="G208" s="114">
        <v>0</v>
      </c>
      <c r="H208" s="114">
        <v>0</v>
      </c>
      <c r="I208" s="114">
        <v>0</v>
      </c>
      <c r="J208" s="134">
        <v>122010175</v>
      </c>
      <c r="K208" s="134">
        <v>122010175</v>
      </c>
    </row>
    <row r="209" spans="1:11">
      <c r="A209" t="s">
        <v>779</v>
      </c>
      <c r="B209" t="s">
        <v>2541</v>
      </c>
      <c r="C209" s="114">
        <v>910.96600000000001</v>
      </c>
      <c r="D209" s="114">
        <v>910.96600000000001</v>
      </c>
      <c r="E209" s="114">
        <v>1466.105</v>
      </c>
      <c r="F209" s="114">
        <v>0</v>
      </c>
      <c r="G209" s="114">
        <v>0</v>
      </c>
      <c r="H209" s="114">
        <v>0</v>
      </c>
      <c r="I209" s="114">
        <v>0</v>
      </c>
      <c r="J209" s="134">
        <v>1836907950</v>
      </c>
      <c r="K209" s="134">
        <v>1836907950</v>
      </c>
    </row>
    <row r="210" spans="1:11">
      <c r="A210" t="s">
        <v>780</v>
      </c>
      <c r="B210" t="s">
        <v>1183</v>
      </c>
      <c r="C210" s="114">
        <v>706.99699999999996</v>
      </c>
      <c r="D210" s="114">
        <v>706.99699999999996</v>
      </c>
      <c r="E210" s="114">
        <v>1240.693</v>
      </c>
      <c r="F210" s="114">
        <v>0</v>
      </c>
      <c r="G210" s="134">
        <v>3672525</v>
      </c>
      <c r="H210" s="114">
        <v>0</v>
      </c>
      <c r="I210" s="114">
        <v>0</v>
      </c>
      <c r="J210" s="134">
        <v>1993814710</v>
      </c>
      <c r="K210" s="134">
        <v>1993814710</v>
      </c>
    </row>
    <row r="211" spans="1:11">
      <c r="A211" t="s">
        <v>781</v>
      </c>
      <c r="B211" t="s">
        <v>1184</v>
      </c>
      <c r="C211" s="114">
        <v>376.15300000000002</v>
      </c>
      <c r="D211" s="114">
        <v>376.15300000000002</v>
      </c>
      <c r="E211" s="114">
        <v>761.45500000000004</v>
      </c>
      <c r="F211" s="114">
        <v>0</v>
      </c>
      <c r="G211" s="114">
        <v>0</v>
      </c>
      <c r="H211" s="114">
        <v>0</v>
      </c>
      <c r="I211" s="114">
        <v>0</v>
      </c>
      <c r="J211" s="134">
        <v>61576723</v>
      </c>
      <c r="K211" s="134">
        <v>61576723</v>
      </c>
    </row>
    <row r="212" spans="1:11">
      <c r="A212" t="s">
        <v>782</v>
      </c>
      <c r="B212" t="s">
        <v>739</v>
      </c>
      <c r="C212" s="114">
        <v>268.93400000000003</v>
      </c>
      <c r="D212" s="114">
        <v>278.54700000000003</v>
      </c>
      <c r="E212" s="114">
        <v>539.65800000000002</v>
      </c>
      <c r="F212" s="114">
        <v>0</v>
      </c>
      <c r="G212" s="114">
        <v>0</v>
      </c>
      <c r="H212" s="114">
        <v>0</v>
      </c>
      <c r="I212" s="114">
        <v>0</v>
      </c>
      <c r="J212" s="134">
        <v>90719550</v>
      </c>
      <c r="K212" s="134">
        <v>90719550</v>
      </c>
    </row>
    <row r="213" spans="1:11">
      <c r="A213" t="s">
        <v>428</v>
      </c>
      <c r="B213" t="s">
        <v>740</v>
      </c>
      <c r="C213" s="114">
        <v>479.98</v>
      </c>
      <c r="D213" s="114">
        <v>479.98</v>
      </c>
      <c r="E213" s="114">
        <v>974.29499999999996</v>
      </c>
      <c r="F213" s="114">
        <v>0</v>
      </c>
      <c r="G213" s="114">
        <v>0</v>
      </c>
      <c r="H213" s="114">
        <v>0</v>
      </c>
      <c r="I213" s="114">
        <v>0</v>
      </c>
      <c r="J213" s="134">
        <v>85802067</v>
      </c>
      <c r="K213" s="134">
        <v>85802067</v>
      </c>
    </row>
    <row r="214" spans="1:11">
      <c r="A214" t="s">
        <v>2928</v>
      </c>
      <c r="B214" t="s">
        <v>143</v>
      </c>
      <c r="C214" s="114">
        <v>440.13799999999998</v>
      </c>
      <c r="D214" s="114">
        <v>481.565</v>
      </c>
      <c r="E214" s="114">
        <v>919.84699999999998</v>
      </c>
      <c r="F214" s="114">
        <v>0</v>
      </c>
      <c r="G214" s="134">
        <v>138312</v>
      </c>
      <c r="H214" s="134">
        <v>161284</v>
      </c>
      <c r="I214" s="114">
        <v>0</v>
      </c>
      <c r="J214" s="134">
        <v>286144290</v>
      </c>
      <c r="K214" s="134">
        <v>286144290</v>
      </c>
    </row>
    <row r="215" spans="1:11">
      <c r="A215" t="s">
        <v>2929</v>
      </c>
      <c r="B215" t="s">
        <v>144</v>
      </c>
      <c r="C215" s="114">
        <v>1477.1310000000001</v>
      </c>
      <c r="D215" s="114">
        <v>1477.1310000000001</v>
      </c>
      <c r="E215" s="114">
        <v>2097.7240000000002</v>
      </c>
      <c r="F215" s="114">
        <v>0</v>
      </c>
      <c r="G215" s="134">
        <v>1060324</v>
      </c>
      <c r="H215" s="134">
        <v>1237217</v>
      </c>
      <c r="I215" s="114">
        <v>0</v>
      </c>
      <c r="J215" s="134">
        <v>487824860</v>
      </c>
      <c r="K215" s="134">
        <v>487824860</v>
      </c>
    </row>
    <row r="216" spans="1:11">
      <c r="A216" t="s">
        <v>2930</v>
      </c>
      <c r="B216" t="s">
        <v>145</v>
      </c>
      <c r="C216" s="114">
        <v>145.39400000000001</v>
      </c>
      <c r="D216" s="114">
        <v>145.39400000000001</v>
      </c>
      <c r="E216" s="114">
        <v>292.392</v>
      </c>
      <c r="F216" s="114">
        <v>0</v>
      </c>
      <c r="G216" s="114">
        <v>0</v>
      </c>
      <c r="H216" s="114">
        <v>0</v>
      </c>
      <c r="I216" s="114">
        <v>0</v>
      </c>
      <c r="J216" s="134">
        <v>81227860</v>
      </c>
      <c r="K216" s="134">
        <v>81227860</v>
      </c>
    </row>
    <row r="217" spans="1:11">
      <c r="A217" t="s">
        <v>1843</v>
      </c>
      <c r="B217" t="s">
        <v>146</v>
      </c>
      <c r="C217" s="114">
        <v>24344.838</v>
      </c>
      <c r="D217" s="114">
        <v>24344.838</v>
      </c>
      <c r="E217" s="114">
        <v>31772.513999999999</v>
      </c>
      <c r="F217" s="114">
        <v>0</v>
      </c>
      <c r="G217" s="134">
        <v>47249730</v>
      </c>
      <c r="H217" s="134">
        <v>40412929</v>
      </c>
      <c r="I217" s="114">
        <v>0</v>
      </c>
      <c r="J217" s="134">
        <v>13935492841</v>
      </c>
      <c r="K217" s="134">
        <v>13935492841</v>
      </c>
    </row>
    <row r="218" spans="1:11">
      <c r="A218" t="s">
        <v>421</v>
      </c>
      <c r="B218" t="s">
        <v>147</v>
      </c>
      <c r="C218" s="114">
        <v>7644.7910000000002</v>
      </c>
      <c r="D218" s="114">
        <v>7644.7910000000002</v>
      </c>
      <c r="E218" s="114">
        <v>9673.51</v>
      </c>
      <c r="F218" s="114">
        <v>0</v>
      </c>
      <c r="G218" s="134">
        <v>13160727</v>
      </c>
      <c r="H218" s="134">
        <v>8258072</v>
      </c>
      <c r="I218" s="114">
        <v>0</v>
      </c>
      <c r="J218" s="134">
        <v>2847610979</v>
      </c>
      <c r="K218" s="134">
        <v>2847610979</v>
      </c>
    </row>
    <row r="219" spans="1:11">
      <c r="A219" t="s">
        <v>422</v>
      </c>
      <c r="B219" t="s">
        <v>148</v>
      </c>
      <c r="C219" s="114">
        <v>144347.43</v>
      </c>
      <c r="D219" s="114">
        <v>144347.43</v>
      </c>
      <c r="E219" s="114">
        <v>199280.408</v>
      </c>
      <c r="F219" s="114">
        <v>0</v>
      </c>
      <c r="G219" s="134">
        <v>110317779</v>
      </c>
      <c r="H219" s="134">
        <v>139246682</v>
      </c>
      <c r="I219" s="114">
        <v>0</v>
      </c>
      <c r="J219" s="134">
        <v>75935747940</v>
      </c>
      <c r="K219" s="134">
        <v>75935747940</v>
      </c>
    </row>
    <row r="220" spans="1:11">
      <c r="A220" t="s">
        <v>423</v>
      </c>
      <c r="B220" t="s">
        <v>149</v>
      </c>
      <c r="C220" s="114">
        <v>8442.4680000000008</v>
      </c>
      <c r="D220" s="114">
        <v>8442.4680000000008</v>
      </c>
      <c r="E220" s="114">
        <v>11014.474</v>
      </c>
      <c r="F220" s="114">
        <v>0</v>
      </c>
      <c r="G220" s="134">
        <v>10664236</v>
      </c>
      <c r="H220" s="134">
        <v>6836658</v>
      </c>
      <c r="I220" s="134">
        <v>1432788</v>
      </c>
      <c r="J220" s="134">
        <v>2357468357</v>
      </c>
      <c r="K220" s="134">
        <v>2357468357</v>
      </c>
    </row>
    <row r="221" spans="1:11">
      <c r="A221" t="s">
        <v>424</v>
      </c>
      <c r="B221" t="s">
        <v>150</v>
      </c>
      <c r="C221" s="114">
        <v>11821.527</v>
      </c>
      <c r="D221" s="114">
        <v>11821.527</v>
      </c>
      <c r="E221" s="114">
        <v>15865.700999999999</v>
      </c>
      <c r="F221" s="114">
        <v>0</v>
      </c>
      <c r="G221" s="134">
        <v>12897290</v>
      </c>
      <c r="H221" s="134">
        <v>10136745</v>
      </c>
      <c r="I221" s="114">
        <v>0</v>
      </c>
      <c r="J221" s="134">
        <v>3495429274</v>
      </c>
      <c r="K221" s="134">
        <v>3495429274</v>
      </c>
    </row>
    <row r="222" spans="1:11">
      <c r="A222" t="s">
        <v>2973</v>
      </c>
      <c r="B222" t="s">
        <v>1672</v>
      </c>
      <c r="C222" s="114">
        <v>53793.47</v>
      </c>
      <c r="D222" s="114">
        <v>53793.47</v>
      </c>
      <c r="E222" s="114">
        <v>69683.922000000006</v>
      </c>
      <c r="F222" s="114">
        <v>0</v>
      </c>
      <c r="G222" s="134">
        <v>29713771</v>
      </c>
      <c r="H222" s="134">
        <v>24191092</v>
      </c>
      <c r="I222" s="134">
        <v>2263449</v>
      </c>
      <c r="J222" s="134">
        <v>13645081708</v>
      </c>
      <c r="K222" s="134">
        <v>13645081708</v>
      </c>
    </row>
    <row r="223" spans="1:11">
      <c r="A223" t="s">
        <v>741</v>
      </c>
      <c r="B223" t="s">
        <v>975</v>
      </c>
      <c r="C223" s="114">
        <v>23940.537</v>
      </c>
      <c r="D223" s="114">
        <v>23940.537</v>
      </c>
      <c r="E223" s="114">
        <v>31602.432000000001</v>
      </c>
      <c r="F223" s="114">
        <v>0</v>
      </c>
      <c r="G223" s="134">
        <v>20671415</v>
      </c>
      <c r="H223" s="134">
        <v>9633344</v>
      </c>
      <c r="I223" s="134">
        <v>5791947</v>
      </c>
      <c r="J223" s="134">
        <v>4531963502</v>
      </c>
      <c r="K223" s="134">
        <v>4531963502</v>
      </c>
    </row>
    <row r="224" spans="1:11">
      <c r="A224" t="s">
        <v>579</v>
      </c>
      <c r="B224" t="s">
        <v>151</v>
      </c>
      <c r="C224" s="114">
        <v>6098.34</v>
      </c>
      <c r="D224" s="114">
        <v>6098.34</v>
      </c>
      <c r="E224" s="114">
        <v>6851.268</v>
      </c>
      <c r="F224" s="114">
        <v>0</v>
      </c>
      <c r="G224" s="134">
        <v>9842060</v>
      </c>
      <c r="H224" s="134">
        <v>7197931</v>
      </c>
      <c r="I224" s="114">
        <v>0</v>
      </c>
      <c r="J224" s="134">
        <v>10452563596</v>
      </c>
      <c r="K224" s="134">
        <v>10452563596</v>
      </c>
    </row>
    <row r="225" spans="1:11">
      <c r="A225" t="s">
        <v>48</v>
      </c>
      <c r="B225" t="s">
        <v>1441</v>
      </c>
      <c r="C225" s="114">
        <v>30487.343000000001</v>
      </c>
      <c r="D225" s="114">
        <v>30487.343000000001</v>
      </c>
      <c r="E225" s="114">
        <v>41395.993000000002</v>
      </c>
      <c r="F225" s="114">
        <v>0</v>
      </c>
      <c r="G225" s="134">
        <v>35269142</v>
      </c>
      <c r="H225" s="134">
        <v>21682888</v>
      </c>
      <c r="I225" s="134">
        <v>8931004</v>
      </c>
      <c r="J225" s="134">
        <v>9134133403</v>
      </c>
      <c r="K225" s="134">
        <v>9134133403</v>
      </c>
    </row>
    <row r="226" spans="1:11">
      <c r="A226" t="s">
        <v>2028</v>
      </c>
      <c r="B226" t="s">
        <v>152</v>
      </c>
      <c r="C226" s="114">
        <v>5504.4340000000002</v>
      </c>
      <c r="D226" s="114">
        <v>5570.8509999999997</v>
      </c>
      <c r="E226" s="114">
        <v>7506.04</v>
      </c>
      <c r="F226" s="114">
        <v>0</v>
      </c>
      <c r="G226" s="134">
        <v>6227868</v>
      </c>
      <c r="H226" s="134">
        <v>4819794</v>
      </c>
      <c r="I226" s="114">
        <v>0</v>
      </c>
      <c r="J226" s="134">
        <v>1661997964</v>
      </c>
      <c r="K226" s="134">
        <v>1661997964</v>
      </c>
    </row>
    <row r="227" spans="1:11">
      <c r="A227" t="s">
        <v>2898</v>
      </c>
      <c r="B227" t="s">
        <v>2554</v>
      </c>
      <c r="C227" s="114">
        <v>35041.446000000004</v>
      </c>
      <c r="D227" s="114">
        <v>35041.446000000004</v>
      </c>
      <c r="E227" s="114">
        <v>46755.205000000002</v>
      </c>
      <c r="F227" s="114">
        <v>0</v>
      </c>
      <c r="G227" s="134">
        <v>24373960</v>
      </c>
      <c r="H227" s="134">
        <v>16779283</v>
      </c>
      <c r="I227" s="134">
        <v>7695506</v>
      </c>
      <c r="J227" s="134">
        <v>6593029177</v>
      </c>
      <c r="K227" s="134">
        <v>6593029177</v>
      </c>
    </row>
    <row r="228" spans="1:11">
      <c r="A228" t="s">
        <v>2029</v>
      </c>
      <c r="B228" t="s">
        <v>3006</v>
      </c>
      <c r="C228" s="114">
        <v>32104.984</v>
      </c>
      <c r="D228" s="114">
        <v>32104.984</v>
      </c>
      <c r="E228" s="114">
        <v>42142.656999999999</v>
      </c>
      <c r="F228" s="114">
        <v>0</v>
      </c>
      <c r="G228" s="134">
        <v>50970549</v>
      </c>
      <c r="H228" s="134">
        <v>48759881</v>
      </c>
      <c r="I228" s="114">
        <v>0</v>
      </c>
      <c r="J228" s="134">
        <v>16813752178</v>
      </c>
      <c r="K228" s="134">
        <v>16813752178</v>
      </c>
    </row>
    <row r="229" spans="1:11">
      <c r="A229" t="s">
        <v>3087</v>
      </c>
      <c r="B229" t="s">
        <v>3007</v>
      </c>
      <c r="C229" s="114">
        <v>797.88499999999999</v>
      </c>
      <c r="D229" s="114">
        <v>797.88499999999999</v>
      </c>
      <c r="E229" s="114">
        <v>1083.576</v>
      </c>
      <c r="F229" s="114">
        <v>0</v>
      </c>
      <c r="G229" s="134">
        <v>2195780</v>
      </c>
      <c r="H229" s="134">
        <v>1257954</v>
      </c>
      <c r="I229" s="114">
        <v>0</v>
      </c>
      <c r="J229" s="134">
        <v>562134345</v>
      </c>
      <c r="K229" s="134">
        <v>562134345</v>
      </c>
    </row>
    <row r="230" spans="1:11">
      <c r="A230" t="s">
        <v>277</v>
      </c>
      <c r="B230" t="s">
        <v>3008</v>
      </c>
      <c r="C230" s="114">
        <v>9495.5849999999991</v>
      </c>
      <c r="D230" s="114">
        <v>9495.5849999999991</v>
      </c>
      <c r="E230" s="114">
        <v>10762.163</v>
      </c>
      <c r="F230" s="114">
        <v>0</v>
      </c>
      <c r="G230" s="134">
        <v>17832877</v>
      </c>
      <c r="H230" s="134">
        <v>17276776</v>
      </c>
      <c r="I230" s="114">
        <v>0</v>
      </c>
      <c r="J230" s="134">
        <v>7130941583</v>
      </c>
      <c r="K230" s="134">
        <v>7130941583</v>
      </c>
    </row>
    <row r="231" spans="1:11">
      <c r="A231" t="s">
        <v>278</v>
      </c>
      <c r="B231" t="s">
        <v>3060</v>
      </c>
      <c r="C231" s="114">
        <v>139.27099999999999</v>
      </c>
      <c r="D231" s="114">
        <v>154.595</v>
      </c>
      <c r="E231" s="114">
        <v>269.411</v>
      </c>
      <c r="F231" s="114">
        <v>0</v>
      </c>
      <c r="G231" s="114">
        <v>283</v>
      </c>
      <c r="H231" s="114">
        <v>0</v>
      </c>
      <c r="I231" s="114">
        <v>0</v>
      </c>
      <c r="J231" s="134">
        <v>211472257</v>
      </c>
      <c r="K231" s="134">
        <v>211472257</v>
      </c>
    </row>
    <row r="232" spans="1:11">
      <c r="A232" t="s">
        <v>279</v>
      </c>
      <c r="B232" t="s">
        <v>3009</v>
      </c>
      <c r="C232" s="114">
        <v>176.642</v>
      </c>
      <c r="D232" s="114">
        <v>176.642</v>
      </c>
      <c r="E232" s="114">
        <v>349.62200000000001</v>
      </c>
      <c r="F232" s="114">
        <v>0</v>
      </c>
      <c r="G232" s="134">
        <v>961768</v>
      </c>
      <c r="H232" s="114">
        <v>0</v>
      </c>
      <c r="I232" s="114">
        <v>0</v>
      </c>
      <c r="J232" s="134">
        <v>338041713</v>
      </c>
      <c r="K232" s="134">
        <v>338041713</v>
      </c>
    </row>
    <row r="233" spans="1:11">
      <c r="A233" t="s">
        <v>280</v>
      </c>
      <c r="B233" t="s">
        <v>3010</v>
      </c>
      <c r="C233" s="114">
        <v>1787.1679999999999</v>
      </c>
      <c r="D233" s="114">
        <v>1787.1679999999999</v>
      </c>
      <c r="E233" s="114">
        <v>2687.45</v>
      </c>
      <c r="F233" s="114">
        <v>0</v>
      </c>
      <c r="G233" s="114">
        <v>0</v>
      </c>
      <c r="H233" s="114">
        <v>0</v>
      </c>
      <c r="I233" s="114">
        <v>0</v>
      </c>
      <c r="J233" s="134">
        <v>353784375</v>
      </c>
      <c r="K233" s="134">
        <v>353784375</v>
      </c>
    </row>
    <row r="234" spans="1:11">
      <c r="A234" t="s">
        <v>408</v>
      </c>
      <c r="B234" t="s">
        <v>3011</v>
      </c>
      <c r="C234" s="114">
        <v>209.298</v>
      </c>
      <c r="D234" s="114">
        <v>209.298</v>
      </c>
      <c r="E234" s="114">
        <v>377.35899999999998</v>
      </c>
      <c r="F234" s="114">
        <v>0</v>
      </c>
      <c r="G234" s="134">
        <v>360194</v>
      </c>
      <c r="H234" s="114">
        <v>0</v>
      </c>
      <c r="I234" s="114">
        <v>0</v>
      </c>
      <c r="J234" s="134">
        <v>167725063</v>
      </c>
      <c r="K234" s="134">
        <v>167725063</v>
      </c>
    </row>
    <row r="235" spans="1:11">
      <c r="A235" t="s">
        <v>2130</v>
      </c>
      <c r="B235" t="s">
        <v>2723</v>
      </c>
      <c r="C235" s="114">
        <v>3791.2280000000001</v>
      </c>
      <c r="D235" s="114">
        <v>3791.2280000000001</v>
      </c>
      <c r="E235" s="114">
        <v>5385.183</v>
      </c>
      <c r="F235" s="114">
        <v>0</v>
      </c>
      <c r="G235" s="114">
        <v>0</v>
      </c>
      <c r="H235" s="114">
        <v>0</v>
      </c>
      <c r="I235" s="114">
        <v>0</v>
      </c>
      <c r="J235" s="134">
        <v>730880701</v>
      </c>
      <c r="K235" s="134">
        <v>730880701</v>
      </c>
    </row>
    <row r="236" spans="1:11">
      <c r="A236" t="s">
        <v>1220</v>
      </c>
      <c r="B236" t="s">
        <v>3012</v>
      </c>
      <c r="C236" s="114">
        <v>140.774</v>
      </c>
      <c r="D236" s="114">
        <v>140.774</v>
      </c>
      <c r="E236" s="114">
        <v>302.899</v>
      </c>
      <c r="F236" s="114">
        <v>0</v>
      </c>
      <c r="G236" s="114">
        <v>0</v>
      </c>
      <c r="H236" s="114">
        <v>0</v>
      </c>
      <c r="I236" s="114">
        <v>0</v>
      </c>
      <c r="J236" s="134">
        <v>31088639</v>
      </c>
      <c r="K236" s="134">
        <v>31088639</v>
      </c>
    </row>
    <row r="237" spans="1:11">
      <c r="A237" t="s">
        <v>1221</v>
      </c>
      <c r="B237" t="s">
        <v>3013</v>
      </c>
      <c r="C237" s="114">
        <v>800.53800000000001</v>
      </c>
      <c r="D237" s="114">
        <v>800.53800000000001</v>
      </c>
      <c r="E237" s="114">
        <v>1275.5509999999999</v>
      </c>
      <c r="F237" s="114">
        <v>0</v>
      </c>
      <c r="G237" s="134">
        <v>448493</v>
      </c>
      <c r="H237" s="134">
        <v>204458</v>
      </c>
      <c r="I237" s="134">
        <v>102503</v>
      </c>
      <c r="J237" s="134">
        <v>142319614</v>
      </c>
      <c r="K237" s="134">
        <v>142319614</v>
      </c>
    </row>
    <row r="238" spans="1:11">
      <c r="A238" t="s">
        <v>711</v>
      </c>
      <c r="B238" t="s">
        <v>128</v>
      </c>
      <c r="C238" s="114">
        <v>174.059</v>
      </c>
      <c r="D238" s="114">
        <v>174.059</v>
      </c>
      <c r="E238" s="114">
        <v>333.16399999999999</v>
      </c>
      <c r="F238" s="114">
        <v>0</v>
      </c>
      <c r="G238" s="134">
        <v>91369</v>
      </c>
      <c r="H238" s="134">
        <v>47698</v>
      </c>
      <c r="I238" s="134">
        <v>30913</v>
      </c>
      <c r="J238" s="134">
        <v>45510997</v>
      </c>
      <c r="K238" s="134">
        <v>45510997</v>
      </c>
    </row>
    <row r="239" spans="1:11">
      <c r="A239" t="s">
        <v>1222</v>
      </c>
      <c r="B239" t="s">
        <v>3014</v>
      </c>
      <c r="C239" s="114">
        <v>20659.335999999999</v>
      </c>
      <c r="D239" s="114">
        <v>20659.335999999999</v>
      </c>
      <c r="E239" s="114">
        <v>26414.464</v>
      </c>
      <c r="F239" s="114">
        <v>0</v>
      </c>
      <c r="G239" s="134">
        <v>41930121</v>
      </c>
      <c r="H239" s="134">
        <v>25356936</v>
      </c>
      <c r="I239" s="114">
        <v>0</v>
      </c>
      <c r="J239" s="134">
        <v>8743771000</v>
      </c>
      <c r="K239" s="134">
        <v>8743771000</v>
      </c>
    </row>
    <row r="240" spans="1:11">
      <c r="A240" t="s">
        <v>1989</v>
      </c>
      <c r="B240" t="s">
        <v>2825</v>
      </c>
      <c r="C240" s="114">
        <v>47581.754999999997</v>
      </c>
      <c r="D240" s="114">
        <v>47581.754999999997</v>
      </c>
      <c r="E240" s="114">
        <v>58014.46</v>
      </c>
      <c r="F240" s="114">
        <v>0</v>
      </c>
      <c r="G240" s="134">
        <v>78823740</v>
      </c>
      <c r="H240" s="134">
        <v>62567664</v>
      </c>
      <c r="I240" s="134">
        <v>5609386</v>
      </c>
      <c r="J240" s="134">
        <v>21575056616</v>
      </c>
      <c r="K240" s="134">
        <v>21575056616</v>
      </c>
    </row>
    <row r="241" spans="1:11">
      <c r="A241" t="s">
        <v>240</v>
      </c>
      <c r="B241" t="s">
        <v>1127</v>
      </c>
      <c r="C241" s="114">
        <v>1394.942</v>
      </c>
      <c r="D241" s="114">
        <v>1394.942</v>
      </c>
      <c r="E241" s="114">
        <v>1898.691</v>
      </c>
      <c r="F241" s="114">
        <v>0</v>
      </c>
      <c r="G241" s="134">
        <v>1118620</v>
      </c>
      <c r="H241" s="134">
        <v>1025170</v>
      </c>
      <c r="I241" s="134">
        <v>274505</v>
      </c>
      <c r="J241" s="134">
        <v>470829209</v>
      </c>
      <c r="K241" s="134">
        <v>470829209</v>
      </c>
    </row>
    <row r="242" spans="1:11">
      <c r="A242" t="s">
        <v>815</v>
      </c>
      <c r="B242" t="s">
        <v>1905</v>
      </c>
      <c r="C242" s="114">
        <v>1465.7940000000001</v>
      </c>
      <c r="D242" s="114">
        <v>1465.7940000000001</v>
      </c>
      <c r="E242" s="114">
        <v>1897.2929999999999</v>
      </c>
      <c r="F242" s="114">
        <v>0</v>
      </c>
      <c r="G242" s="134">
        <v>2533937</v>
      </c>
      <c r="H242" s="134">
        <v>1719656</v>
      </c>
      <c r="I242" s="134">
        <v>309342</v>
      </c>
      <c r="J242" s="134">
        <v>718210686</v>
      </c>
      <c r="K242" s="134">
        <v>718210686</v>
      </c>
    </row>
    <row r="243" spans="1:11">
      <c r="A243" t="s">
        <v>242</v>
      </c>
      <c r="B243" t="s">
        <v>1129</v>
      </c>
      <c r="C243" s="114">
        <v>1123.54</v>
      </c>
      <c r="D243" s="114">
        <v>1123.54</v>
      </c>
      <c r="E243" s="114">
        <v>1591.096</v>
      </c>
      <c r="F243" s="114">
        <v>0</v>
      </c>
      <c r="G243" s="134">
        <v>2700683</v>
      </c>
      <c r="H243" s="134">
        <v>2080854</v>
      </c>
      <c r="I243" s="134">
        <v>139761</v>
      </c>
      <c r="J243" s="134">
        <v>819884828</v>
      </c>
      <c r="K243" s="134">
        <v>819884828</v>
      </c>
    </row>
    <row r="244" spans="1:11">
      <c r="A244" t="s">
        <v>1893</v>
      </c>
      <c r="B244" t="s">
        <v>2426</v>
      </c>
      <c r="C244" s="114">
        <v>1601.8810000000001</v>
      </c>
      <c r="D244" s="114">
        <v>1601.8810000000001</v>
      </c>
      <c r="E244" s="114">
        <v>2131.4290000000001</v>
      </c>
      <c r="F244" s="114">
        <v>0</v>
      </c>
      <c r="G244" s="134">
        <v>2399608</v>
      </c>
      <c r="H244" s="134">
        <v>1445696</v>
      </c>
      <c r="I244" s="134">
        <v>416036</v>
      </c>
      <c r="J244" s="134">
        <v>498515820</v>
      </c>
      <c r="K244" s="134">
        <v>498515820</v>
      </c>
    </row>
    <row r="245" spans="1:11">
      <c r="A245" t="s">
        <v>532</v>
      </c>
      <c r="B245" t="s">
        <v>2353</v>
      </c>
      <c r="C245" s="114">
        <v>2473.3870000000002</v>
      </c>
      <c r="D245" s="114">
        <v>2473.3870000000002</v>
      </c>
      <c r="E245" s="114">
        <v>3295.0749999999998</v>
      </c>
      <c r="F245" s="114">
        <v>0</v>
      </c>
      <c r="G245" s="134">
        <v>2299666</v>
      </c>
      <c r="H245" s="134">
        <v>1217764</v>
      </c>
      <c r="I245" s="134">
        <v>901381</v>
      </c>
      <c r="J245" s="134">
        <v>656001419</v>
      </c>
      <c r="K245" s="134">
        <v>656001419</v>
      </c>
    </row>
    <row r="246" spans="1:11">
      <c r="A246" t="s">
        <v>2099</v>
      </c>
      <c r="B246" t="s">
        <v>3015</v>
      </c>
      <c r="C246" s="114">
        <v>1657.29</v>
      </c>
      <c r="D246" s="114">
        <v>1657.29</v>
      </c>
      <c r="E246" s="114">
        <v>1906.848</v>
      </c>
      <c r="F246" s="114">
        <v>0</v>
      </c>
      <c r="G246" s="134">
        <v>3713714</v>
      </c>
      <c r="H246" s="134">
        <v>2549056</v>
      </c>
      <c r="I246" s="114">
        <v>0</v>
      </c>
      <c r="J246" s="134">
        <v>878984723</v>
      </c>
      <c r="K246" s="134">
        <v>878984723</v>
      </c>
    </row>
    <row r="247" spans="1:11">
      <c r="A247" t="s">
        <v>1590</v>
      </c>
      <c r="B247" t="s">
        <v>1425</v>
      </c>
      <c r="C247" s="114">
        <v>12317.617</v>
      </c>
      <c r="D247" s="114">
        <v>12317.617</v>
      </c>
      <c r="E247" s="114">
        <v>14670.444</v>
      </c>
      <c r="F247" s="114">
        <v>0</v>
      </c>
      <c r="G247" s="134">
        <v>33810451</v>
      </c>
      <c r="H247" s="134">
        <v>24116776</v>
      </c>
      <c r="I247" s="134">
        <v>740900</v>
      </c>
      <c r="J247" s="134">
        <v>8316129498</v>
      </c>
      <c r="K247" s="134">
        <v>8316129498</v>
      </c>
    </row>
    <row r="248" spans="1:11">
      <c r="A248" t="s">
        <v>68</v>
      </c>
      <c r="B248" t="s">
        <v>2623</v>
      </c>
      <c r="C248" s="114">
        <v>3859.5859999999998</v>
      </c>
      <c r="D248" s="114">
        <v>3859.5859999999998</v>
      </c>
      <c r="E248" s="114">
        <v>4856.915</v>
      </c>
      <c r="F248" s="114">
        <v>0</v>
      </c>
      <c r="G248" s="134">
        <v>6118316</v>
      </c>
      <c r="H248" s="134">
        <v>3471693</v>
      </c>
      <c r="I248" s="134">
        <v>750676</v>
      </c>
      <c r="J248" s="134">
        <v>1197135531</v>
      </c>
      <c r="K248" s="134">
        <v>1197135531</v>
      </c>
    </row>
    <row r="249" spans="1:11">
      <c r="A249" t="s">
        <v>712</v>
      </c>
      <c r="B249" t="s">
        <v>1764</v>
      </c>
      <c r="C249" s="114">
        <v>5447.5249999999996</v>
      </c>
      <c r="D249" s="114">
        <v>5447.5249999999996</v>
      </c>
      <c r="E249" s="114">
        <v>6736.8680000000004</v>
      </c>
      <c r="F249" s="114">
        <v>0</v>
      </c>
      <c r="G249" s="134">
        <v>8081085</v>
      </c>
      <c r="H249" s="134">
        <v>4175055</v>
      </c>
      <c r="I249" s="134">
        <v>1111725</v>
      </c>
      <c r="J249" s="134">
        <v>1439673984</v>
      </c>
      <c r="K249" s="134">
        <v>1439673984</v>
      </c>
    </row>
    <row r="250" spans="1:11">
      <c r="A250" t="s">
        <v>2864</v>
      </c>
      <c r="B250" t="s">
        <v>461</v>
      </c>
      <c r="C250" s="114">
        <v>1753.4549999999999</v>
      </c>
      <c r="D250" s="114">
        <v>1753.4549999999999</v>
      </c>
      <c r="E250" s="114">
        <v>2471.0430000000001</v>
      </c>
      <c r="F250" s="114">
        <v>0</v>
      </c>
      <c r="G250" s="134">
        <v>657446</v>
      </c>
      <c r="H250" s="134">
        <v>325846</v>
      </c>
      <c r="I250" s="134">
        <v>298673</v>
      </c>
      <c r="J250" s="134">
        <v>375916586</v>
      </c>
      <c r="K250" s="134">
        <v>375916586</v>
      </c>
    </row>
    <row r="251" spans="1:11">
      <c r="A251" t="s">
        <v>2100</v>
      </c>
      <c r="B251" t="s">
        <v>3016</v>
      </c>
      <c r="C251" s="114">
        <v>83.521000000000001</v>
      </c>
      <c r="D251" s="114">
        <v>83.521000000000001</v>
      </c>
      <c r="E251" s="114">
        <v>160.012</v>
      </c>
      <c r="F251" s="114">
        <v>0</v>
      </c>
      <c r="G251" s="134">
        <v>85408</v>
      </c>
      <c r="H251" s="134">
        <v>109902</v>
      </c>
      <c r="I251" s="114">
        <v>0</v>
      </c>
      <c r="J251" s="134">
        <v>70874001</v>
      </c>
      <c r="K251" s="134">
        <v>70874001</v>
      </c>
    </row>
    <row r="252" spans="1:11">
      <c r="A252" t="s">
        <v>1352</v>
      </c>
      <c r="B252" t="s">
        <v>2511</v>
      </c>
      <c r="C252" s="114">
        <v>1410.327</v>
      </c>
      <c r="D252" s="114">
        <v>1410.327</v>
      </c>
      <c r="E252" s="114">
        <v>2058.913</v>
      </c>
      <c r="F252" s="114">
        <v>0</v>
      </c>
      <c r="G252" s="134">
        <v>1129318</v>
      </c>
      <c r="H252" s="134">
        <v>403387</v>
      </c>
      <c r="I252" s="134">
        <v>320467</v>
      </c>
      <c r="J252" s="134">
        <v>332258250</v>
      </c>
      <c r="K252" s="134">
        <v>332258250</v>
      </c>
    </row>
    <row r="253" spans="1:11">
      <c r="A253" t="s">
        <v>2101</v>
      </c>
      <c r="B253" t="s">
        <v>3017</v>
      </c>
      <c r="C253" s="114">
        <v>551.66600000000005</v>
      </c>
      <c r="D253" s="114">
        <v>551.66600000000005</v>
      </c>
      <c r="E253" s="114">
        <v>906.03499999999997</v>
      </c>
      <c r="F253" s="114">
        <v>0</v>
      </c>
      <c r="G253" s="114">
        <v>0</v>
      </c>
      <c r="H253" s="114">
        <v>0</v>
      </c>
      <c r="I253" s="114">
        <v>0</v>
      </c>
      <c r="J253" s="134">
        <v>117954507</v>
      </c>
      <c r="K253" s="134">
        <v>117954507</v>
      </c>
    </row>
    <row r="254" spans="1:11">
      <c r="A254" t="s">
        <v>796</v>
      </c>
      <c r="B254" t="s">
        <v>3018</v>
      </c>
      <c r="C254" s="114">
        <v>38.244999999999997</v>
      </c>
      <c r="D254" s="114">
        <v>40.08</v>
      </c>
      <c r="E254" s="114">
        <v>122.03100000000001</v>
      </c>
      <c r="F254" s="134">
        <v>21688</v>
      </c>
      <c r="G254" s="114">
        <v>74</v>
      </c>
      <c r="H254" s="114">
        <v>0</v>
      </c>
      <c r="I254" s="114">
        <v>0</v>
      </c>
      <c r="J254" s="134">
        <v>20158562</v>
      </c>
      <c r="K254" s="134">
        <v>20158562</v>
      </c>
    </row>
    <row r="255" spans="1:11">
      <c r="A255" t="s">
        <v>330</v>
      </c>
      <c r="B255" t="s">
        <v>3019</v>
      </c>
      <c r="C255" s="114">
        <v>142.501</v>
      </c>
      <c r="D255" s="114">
        <v>142.501</v>
      </c>
      <c r="E255" s="114">
        <v>230.88499999999999</v>
      </c>
      <c r="F255" s="114">
        <v>0</v>
      </c>
      <c r="G255" s="114">
        <v>0</v>
      </c>
      <c r="H255" s="114">
        <v>0</v>
      </c>
      <c r="I255" s="114">
        <v>0</v>
      </c>
      <c r="J255" s="134">
        <v>71325270</v>
      </c>
      <c r="K255" s="134">
        <v>71325270</v>
      </c>
    </row>
    <row r="256" spans="1:11">
      <c r="A256" t="s">
        <v>203</v>
      </c>
      <c r="B256" t="s">
        <v>3020</v>
      </c>
      <c r="C256" s="114">
        <v>252.95</v>
      </c>
      <c r="D256" s="114">
        <v>252.95</v>
      </c>
      <c r="E256" s="114">
        <v>499.85399999999998</v>
      </c>
      <c r="F256" s="114">
        <v>0</v>
      </c>
      <c r="G256" s="134">
        <v>279718</v>
      </c>
      <c r="H256" s="114">
        <v>0</v>
      </c>
      <c r="I256" s="114">
        <v>0</v>
      </c>
      <c r="J256" s="134">
        <v>239386322</v>
      </c>
      <c r="K256" s="134">
        <v>239386322</v>
      </c>
    </row>
    <row r="257" spans="1:11">
      <c r="A257" t="s">
        <v>204</v>
      </c>
      <c r="B257" t="s">
        <v>3021</v>
      </c>
      <c r="C257" s="114">
        <v>87.869</v>
      </c>
      <c r="D257" s="114">
        <v>90.412000000000006</v>
      </c>
      <c r="E257" s="114">
        <v>293.096</v>
      </c>
      <c r="F257" s="114">
        <v>0</v>
      </c>
      <c r="G257" s="114">
        <v>0</v>
      </c>
      <c r="H257" s="114">
        <v>0</v>
      </c>
      <c r="I257" s="114">
        <v>0</v>
      </c>
      <c r="J257" s="134">
        <v>22497998</v>
      </c>
      <c r="K257" s="134">
        <v>22497998</v>
      </c>
    </row>
    <row r="258" spans="1:11">
      <c r="A258" t="s">
        <v>816</v>
      </c>
      <c r="B258" t="s">
        <v>37</v>
      </c>
      <c r="C258" s="114">
        <v>2091.5349999999999</v>
      </c>
      <c r="D258" s="114">
        <v>2091.5349999999999</v>
      </c>
      <c r="E258" s="114">
        <v>3090.665</v>
      </c>
      <c r="F258" s="114">
        <v>0</v>
      </c>
      <c r="G258" s="134">
        <v>277801</v>
      </c>
      <c r="H258" s="114">
        <v>0</v>
      </c>
      <c r="I258" s="134">
        <v>310373</v>
      </c>
      <c r="J258" s="134">
        <v>445185881</v>
      </c>
      <c r="K258" s="134">
        <v>438125292</v>
      </c>
    </row>
    <row r="259" spans="1:11">
      <c r="A259" t="s">
        <v>3025</v>
      </c>
      <c r="B259" t="s">
        <v>2235</v>
      </c>
      <c r="C259" s="114">
        <v>472.73</v>
      </c>
      <c r="D259" s="114">
        <v>472.73</v>
      </c>
      <c r="E259" s="114">
        <v>902.673</v>
      </c>
      <c r="F259" s="114">
        <v>0</v>
      </c>
      <c r="G259" s="114">
        <v>0</v>
      </c>
      <c r="H259" s="114">
        <v>0</v>
      </c>
      <c r="I259" s="114">
        <v>0</v>
      </c>
      <c r="J259" s="134">
        <v>113243436</v>
      </c>
      <c r="K259" s="134">
        <v>113243436</v>
      </c>
    </row>
    <row r="260" spans="1:11">
      <c r="A260" t="s">
        <v>1753</v>
      </c>
      <c r="B260" t="s">
        <v>2721</v>
      </c>
      <c r="C260" s="114">
        <v>142.309</v>
      </c>
      <c r="D260" s="114">
        <v>146.86699999999999</v>
      </c>
      <c r="E260" s="114">
        <v>311.00700000000001</v>
      </c>
      <c r="F260" s="114">
        <v>0</v>
      </c>
      <c r="G260" s="134">
        <v>23340</v>
      </c>
      <c r="H260" s="114">
        <v>739</v>
      </c>
      <c r="I260" s="134">
        <v>22989</v>
      </c>
      <c r="J260" s="134">
        <v>36026956</v>
      </c>
      <c r="K260" s="134">
        <v>36026956</v>
      </c>
    </row>
    <row r="261" spans="1:11">
      <c r="A261" t="s">
        <v>3026</v>
      </c>
      <c r="B261" t="s">
        <v>2236</v>
      </c>
      <c r="C261" s="114">
        <v>33.329000000000001</v>
      </c>
      <c r="D261" s="114">
        <v>36.085999999999999</v>
      </c>
      <c r="E261" s="114">
        <v>103.69799999999999</v>
      </c>
      <c r="F261" s="114">
        <v>0</v>
      </c>
      <c r="G261" s="114">
        <v>0</v>
      </c>
      <c r="H261" s="114">
        <v>0</v>
      </c>
      <c r="I261" s="114">
        <v>0</v>
      </c>
      <c r="J261" s="134">
        <v>25845637</v>
      </c>
      <c r="K261" s="134">
        <v>25845637</v>
      </c>
    </row>
    <row r="262" spans="1:11">
      <c r="A262" t="s">
        <v>3027</v>
      </c>
      <c r="B262" t="s">
        <v>2237</v>
      </c>
      <c r="C262" s="114">
        <v>380.76799999999997</v>
      </c>
      <c r="D262" s="114">
        <v>381.11</v>
      </c>
      <c r="E262" s="114">
        <v>783.48699999999997</v>
      </c>
      <c r="F262" s="114">
        <v>0</v>
      </c>
      <c r="G262" s="134">
        <v>564090</v>
      </c>
      <c r="H262" s="134">
        <v>781695</v>
      </c>
      <c r="I262" s="114">
        <v>0</v>
      </c>
      <c r="J262" s="134">
        <v>296533489</v>
      </c>
      <c r="K262" s="134">
        <v>296533489</v>
      </c>
    </row>
    <row r="263" spans="1:11">
      <c r="A263" t="s">
        <v>817</v>
      </c>
      <c r="B263" t="s">
        <v>2310</v>
      </c>
      <c r="C263" s="114">
        <v>1209.876</v>
      </c>
      <c r="D263" s="114">
        <v>1209.876</v>
      </c>
      <c r="E263" s="114">
        <v>1978.6079999999999</v>
      </c>
      <c r="F263" s="114">
        <v>0</v>
      </c>
      <c r="G263" s="134">
        <v>354968</v>
      </c>
      <c r="H263" s="134">
        <v>45877</v>
      </c>
      <c r="I263" s="134">
        <v>268213</v>
      </c>
      <c r="J263" s="134">
        <v>122210962</v>
      </c>
      <c r="K263" s="134">
        <v>122210962</v>
      </c>
    </row>
    <row r="264" spans="1:11">
      <c r="A264" t="s">
        <v>776</v>
      </c>
      <c r="B264" t="s">
        <v>2238</v>
      </c>
      <c r="C264" s="114">
        <v>743.93700000000001</v>
      </c>
      <c r="D264" s="114">
        <v>743.93700000000001</v>
      </c>
      <c r="E264" s="114">
        <v>1309.7629999999999</v>
      </c>
      <c r="F264" s="114">
        <v>0</v>
      </c>
      <c r="G264" s="134">
        <v>1644890</v>
      </c>
      <c r="H264" s="114">
        <v>0</v>
      </c>
      <c r="I264" s="114">
        <v>0</v>
      </c>
      <c r="J264" s="134">
        <v>335880767</v>
      </c>
      <c r="K264" s="134">
        <v>335880767</v>
      </c>
    </row>
    <row r="265" spans="1:11">
      <c r="A265" t="s">
        <v>2463</v>
      </c>
      <c r="B265" t="s">
        <v>2465</v>
      </c>
      <c r="C265" s="114">
        <v>795.52800000000002</v>
      </c>
      <c r="D265" s="114">
        <v>795.52800000000002</v>
      </c>
      <c r="E265" s="114">
        <v>1281.624</v>
      </c>
      <c r="F265" s="114">
        <v>0</v>
      </c>
      <c r="G265" s="114">
        <v>0</v>
      </c>
      <c r="H265" s="114">
        <v>0</v>
      </c>
      <c r="I265" s="114">
        <v>0</v>
      </c>
      <c r="J265" s="134">
        <v>385252830</v>
      </c>
      <c r="K265" s="134">
        <v>385252830</v>
      </c>
    </row>
    <row r="266" spans="1:11">
      <c r="A266" t="s">
        <v>2620</v>
      </c>
      <c r="B266" t="s">
        <v>2239</v>
      </c>
      <c r="C266" s="114">
        <v>1121.2650000000001</v>
      </c>
      <c r="D266" s="114">
        <v>1121.2650000000001</v>
      </c>
      <c r="E266" s="114">
        <v>1636.2940000000001</v>
      </c>
      <c r="F266" s="114">
        <v>0</v>
      </c>
      <c r="G266" s="114">
        <v>0</v>
      </c>
      <c r="H266" s="114">
        <v>0</v>
      </c>
      <c r="I266" s="114">
        <v>0</v>
      </c>
      <c r="J266" s="134">
        <v>303655327</v>
      </c>
      <c r="K266" s="134">
        <v>303655327</v>
      </c>
    </row>
    <row r="267" spans="1:11">
      <c r="A267" t="s">
        <v>2007</v>
      </c>
      <c r="B267" t="s">
        <v>2240</v>
      </c>
      <c r="C267" s="114">
        <v>347.947</v>
      </c>
      <c r="D267" s="114">
        <v>347.947</v>
      </c>
      <c r="E267" s="114">
        <v>612.66600000000005</v>
      </c>
      <c r="F267" s="114">
        <v>0</v>
      </c>
      <c r="G267" s="134">
        <v>129492</v>
      </c>
      <c r="H267" s="114">
        <v>0</v>
      </c>
      <c r="I267" s="114">
        <v>0</v>
      </c>
      <c r="J267" s="134">
        <v>48571470</v>
      </c>
      <c r="K267" s="134">
        <v>48571470</v>
      </c>
    </row>
    <row r="268" spans="1:11">
      <c r="A268" t="s">
        <v>672</v>
      </c>
      <c r="B268" t="s">
        <v>2241</v>
      </c>
      <c r="C268" s="114">
        <v>404.62</v>
      </c>
      <c r="D268" s="114">
        <v>404.62</v>
      </c>
      <c r="E268" s="114">
        <v>707.69299999999998</v>
      </c>
      <c r="F268" s="114">
        <v>0</v>
      </c>
      <c r="G268" s="114">
        <v>0</v>
      </c>
      <c r="H268" s="114">
        <v>0</v>
      </c>
      <c r="I268" s="114">
        <v>0</v>
      </c>
      <c r="J268" s="134">
        <v>76107365</v>
      </c>
      <c r="K268" s="134">
        <v>76107365</v>
      </c>
    </row>
    <row r="269" spans="1:11">
      <c r="A269" t="s">
        <v>1034</v>
      </c>
      <c r="B269" t="s">
        <v>2242</v>
      </c>
      <c r="C269" s="114">
        <v>209.89</v>
      </c>
      <c r="D269" s="114">
        <v>209.89</v>
      </c>
      <c r="E269" s="114">
        <v>370.93299999999999</v>
      </c>
      <c r="F269" s="114">
        <v>0</v>
      </c>
      <c r="G269" s="114">
        <v>0</v>
      </c>
      <c r="H269" s="114">
        <v>0</v>
      </c>
      <c r="I269" s="114">
        <v>0</v>
      </c>
      <c r="J269" s="134">
        <v>32190330</v>
      </c>
      <c r="K269" s="134">
        <v>32190330</v>
      </c>
    </row>
    <row r="270" spans="1:11">
      <c r="A270" t="s">
        <v>2442</v>
      </c>
      <c r="B270" t="s">
        <v>2243</v>
      </c>
      <c r="C270" s="114">
        <v>24878.124</v>
      </c>
      <c r="D270" s="114">
        <v>24878.124</v>
      </c>
      <c r="E270" s="114">
        <v>32109.114000000001</v>
      </c>
      <c r="F270" s="114">
        <v>0</v>
      </c>
      <c r="G270" s="134">
        <v>8010166</v>
      </c>
      <c r="H270" s="134">
        <v>6784113</v>
      </c>
      <c r="I270" s="114">
        <v>0</v>
      </c>
      <c r="J270" s="134">
        <v>7579259747</v>
      </c>
      <c r="K270" s="134">
        <v>7579259747</v>
      </c>
    </row>
    <row r="271" spans="1:11">
      <c r="A271" t="s">
        <v>2976</v>
      </c>
      <c r="B271" t="s">
        <v>2244</v>
      </c>
      <c r="C271" s="114">
        <v>304.27999999999997</v>
      </c>
      <c r="D271" s="114">
        <v>316.01100000000002</v>
      </c>
      <c r="E271" s="114">
        <v>639.34699999999998</v>
      </c>
      <c r="F271" s="114">
        <v>0</v>
      </c>
      <c r="G271" s="114">
        <v>0</v>
      </c>
      <c r="H271" s="114">
        <v>0</v>
      </c>
      <c r="I271" s="114">
        <v>0</v>
      </c>
      <c r="J271" s="134">
        <v>294858094</v>
      </c>
      <c r="K271" s="134">
        <v>294858094</v>
      </c>
    </row>
    <row r="272" spans="1:11">
      <c r="A272" t="s">
        <v>2745</v>
      </c>
      <c r="B272" t="s">
        <v>2245</v>
      </c>
      <c r="C272" s="114">
        <v>257.90199999999999</v>
      </c>
      <c r="D272" s="114">
        <v>270.89800000000002</v>
      </c>
      <c r="E272" s="114">
        <v>560.14700000000005</v>
      </c>
      <c r="F272" s="114">
        <v>0</v>
      </c>
      <c r="G272" s="114">
        <v>0</v>
      </c>
      <c r="H272" s="114">
        <v>0</v>
      </c>
      <c r="I272" s="114">
        <v>0</v>
      </c>
      <c r="J272" s="134">
        <v>152526119</v>
      </c>
      <c r="K272" s="134">
        <v>152526119</v>
      </c>
    </row>
    <row r="273" spans="1:11">
      <c r="A273" t="s">
        <v>274</v>
      </c>
      <c r="B273" t="s">
        <v>2427</v>
      </c>
      <c r="C273" s="114">
        <v>275.94900000000001</v>
      </c>
      <c r="D273" s="114">
        <v>275.94900000000001</v>
      </c>
      <c r="E273" s="114">
        <v>482.077</v>
      </c>
      <c r="F273" s="114">
        <v>0</v>
      </c>
      <c r="G273" s="134">
        <v>18447</v>
      </c>
      <c r="H273" s="114">
        <v>0</v>
      </c>
      <c r="I273" s="134">
        <v>21320</v>
      </c>
      <c r="J273" s="134">
        <v>31249784</v>
      </c>
      <c r="K273" s="134">
        <v>31249784</v>
      </c>
    </row>
    <row r="274" spans="1:11">
      <c r="A274" t="s">
        <v>1585</v>
      </c>
      <c r="B274" t="s">
        <v>2246</v>
      </c>
      <c r="C274" s="114">
        <v>5388.4589999999998</v>
      </c>
      <c r="D274" s="114">
        <v>5388.4589999999998</v>
      </c>
      <c r="E274" s="114">
        <v>7211.0320000000002</v>
      </c>
      <c r="F274" s="114">
        <v>0</v>
      </c>
      <c r="G274" s="134">
        <v>7300279</v>
      </c>
      <c r="H274" s="134">
        <v>3806079</v>
      </c>
      <c r="I274" s="114">
        <v>0</v>
      </c>
      <c r="J274" s="134">
        <v>1564068220</v>
      </c>
      <c r="K274" s="134">
        <v>1564068220</v>
      </c>
    </row>
    <row r="275" spans="1:11">
      <c r="A275" t="s">
        <v>1586</v>
      </c>
      <c r="B275" t="s">
        <v>2247</v>
      </c>
      <c r="C275" s="114">
        <v>2233.098</v>
      </c>
      <c r="D275" s="114">
        <v>2233.098</v>
      </c>
      <c r="E275" s="114">
        <v>3213.645</v>
      </c>
      <c r="F275" s="114">
        <v>0</v>
      </c>
      <c r="G275" s="134">
        <v>761727</v>
      </c>
      <c r="H275" s="134">
        <v>506598</v>
      </c>
      <c r="I275" s="134">
        <v>139867</v>
      </c>
      <c r="J275" s="134">
        <v>297085422</v>
      </c>
      <c r="K275" s="134">
        <v>297085422</v>
      </c>
    </row>
    <row r="276" spans="1:11">
      <c r="A276" t="s">
        <v>818</v>
      </c>
      <c r="B276" t="s">
        <v>1442</v>
      </c>
      <c r="C276" s="114">
        <v>584.30200000000002</v>
      </c>
      <c r="D276" s="114">
        <v>584.30200000000002</v>
      </c>
      <c r="E276" s="114">
        <v>950.351</v>
      </c>
      <c r="F276" s="114">
        <v>0</v>
      </c>
      <c r="G276" s="134">
        <v>70848</v>
      </c>
      <c r="H276" s="134">
        <v>4763</v>
      </c>
      <c r="I276" s="134">
        <v>62845</v>
      </c>
      <c r="J276" s="134">
        <v>93650836</v>
      </c>
      <c r="K276" s="134">
        <v>93650836</v>
      </c>
    </row>
    <row r="277" spans="1:11">
      <c r="A277" t="s">
        <v>1581</v>
      </c>
      <c r="B277" t="s">
        <v>2248</v>
      </c>
      <c r="C277" s="114">
        <v>6812.1310000000003</v>
      </c>
      <c r="D277" s="114">
        <v>6812.1310000000003</v>
      </c>
      <c r="E277" s="114">
        <v>8247.5560000000005</v>
      </c>
      <c r="F277" s="114">
        <v>0</v>
      </c>
      <c r="G277" s="134">
        <v>11671478</v>
      </c>
      <c r="H277" s="134">
        <v>6451616</v>
      </c>
      <c r="I277" s="134">
        <v>1647628</v>
      </c>
      <c r="J277" s="134">
        <v>2224695212</v>
      </c>
      <c r="K277" s="134">
        <v>2224695212</v>
      </c>
    </row>
    <row r="278" spans="1:11">
      <c r="A278" t="s">
        <v>1049</v>
      </c>
      <c r="B278" t="s">
        <v>2249</v>
      </c>
      <c r="C278" s="114">
        <v>216.64</v>
      </c>
      <c r="D278" s="114">
        <v>216.64</v>
      </c>
      <c r="E278" s="114">
        <v>388.23500000000001</v>
      </c>
      <c r="F278" s="114">
        <v>0</v>
      </c>
      <c r="G278" s="134">
        <v>77738</v>
      </c>
      <c r="H278" s="134">
        <v>69744</v>
      </c>
      <c r="I278" s="114">
        <v>0</v>
      </c>
      <c r="J278" s="134">
        <v>50829364</v>
      </c>
      <c r="K278" s="134">
        <v>50829364</v>
      </c>
    </row>
    <row r="279" spans="1:11">
      <c r="A279" t="s">
        <v>275</v>
      </c>
      <c r="B279" t="s">
        <v>1539</v>
      </c>
      <c r="C279" s="114">
        <v>1053.79</v>
      </c>
      <c r="D279" s="114">
        <v>1053.79</v>
      </c>
      <c r="E279" s="114">
        <v>1581.251</v>
      </c>
      <c r="F279" s="114">
        <v>0</v>
      </c>
      <c r="G279" s="134">
        <v>236718</v>
      </c>
      <c r="H279" s="134">
        <v>76000</v>
      </c>
      <c r="I279" s="134">
        <v>130619</v>
      </c>
      <c r="J279" s="134">
        <v>210375235</v>
      </c>
      <c r="K279" s="134">
        <v>210375235</v>
      </c>
    </row>
    <row r="280" spans="1:11">
      <c r="A280" t="s">
        <v>2382</v>
      </c>
      <c r="B280" t="s">
        <v>92</v>
      </c>
      <c r="C280" s="114">
        <v>5038.0870000000004</v>
      </c>
      <c r="D280" s="114">
        <v>5038.0870000000004</v>
      </c>
      <c r="E280" s="114">
        <v>6437.0519999999997</v>
      </c>
      <c r="F280" s="114">
        <v>0</v>
      </c>
      <c r="G280" s="134">
        <v>3888217</v>
      </c>
      <c r="H280" s="134">
        <v>1512719</v>
      </c>
      <c r="I280" s="134">
        <v>1044705</v>
      </c>
      <c r="J280" s="134">
        <v>1125695479</v>
      </c>
      <c r="K280" s="134">
        <v>1125695479</v>
      </c>
    </row>
    <row r="281" spans="1:11">
      <c r="A281" t="s">
        <v>375</v>
      </c>
      <c r="B281" t="s">
        <v>160</v>
      </c>
      <c r="C281" s="114">
        <v>6242.36</v>
      </c>
      <c r="D281" s="114">
        <v>6242.36</v>
      </c>
      <c r="E281" s="114">
        <v>8063.0450000000001</v>
      </c>
      <c r="F281" s="114">
        <v>0</v>
      </c>
      <c r="G281" s="134">
        <v>8600503</v>
      </c>
      <c r="H281" s="134">
        <v>5065684</v>
      </c>
      <c r="I281" s="134">
        <v>1270445</v>
      </c>
      <c r="J281" s="134">
        <v>2481970094</v>
      </c>
      <c r="K281" s="134">
        <v>2481970094</v>
      </c>
    </row>
    <row r="282" spans="1:11">
      <c r="A282" t="s">
        <v>819</v>
      </c>
      <c r="B282" t="s">
        <v>2269</v>
      </c>
      <c r="C282" s="114">
        <v>1037.9480000000001</v>
      </c>
      <c r="D282" s="114">
        <v>1037.9480000000001</v>
      </c>
      <c r="E282" s="114">
        <v>1581.7739999999999</v>
      </c>
      <c r="F282" s="114">
        <v>0</v>
      </c>
      <c r="G282" s="134">
        <v>658749</v>
      </c>
      <c r="H282" s="134">
        <v>441917</v>
      </c>
      <c r="I282" s="134">
        <v>105943</v>
      </c>
      <c r="J282" s="134">
        <v>185479257</v>
      </c>
      <c r="K282" s="134">
        <v>185479257</v>
      </c>
    </row>
    <row r="283" spans="1:11">
      <c r="A283" t="s">
        <v>629</v>
      </c>
      <c r="B283" t="s">
        <v>1331</v>
      </c>
      <c r="C283" s="114">
        <v>10076.022000000001</v>
      </c>
      <c r="D283" s="114">
        <v>10076.022000000001</v>
      </c>
      <c r="E283" s="114">
        <v>13651.79</v>
      </c>
      <c r="F283" s="114">
        <v>0</v>
      </c>
      <c r="G283" s="134">
        <v>2526313</v>
      </c>
      <c r="H283" s="134">
        <v>964503</v>
      </c>
      <c r="I283" s="134">
        <v>1866838</v>
      </c>
      <c r="J283" s="134">
        <v>792354413</v>
      </c>
      <c r="K283" s="134">
        <v>792354413</v>
      </c>
    </row>
    <row r="284" spans="1:11">
      <c r="A284" t="s">
        <v>2767</v>
      </c>
      <c r="B284" t="s">
        <v>2250</v>
      </c>
      <c r="C284" s="114">
        <v>57490.879000000001</v>
      </c>
      <c r="D284" s="114">
        <v>57490.879000000001</v>
      </c>
      <c r="E284" s="114">
        <v>76346.159</v>
      </c>
      <c r="F284" s="114">
        <v>0</v>
      </c>
      <c r="G284" s="134">
        <v>27374987</v>
      </c>
      <c r="H284" s="134">
        <v>25279975</v>
      </c>
      <c r="I284" s="134">
        <v>6431240</v>
      </c>
      <c r="J284" s="134">
        <v>13240270839</v>
      </c>
      <c r="K284" s="134">
        <v>13240270839</v>
      </c>
    </row>
    <row r="285" spans="1:11">
      <c r="A285" t="s">
        <v>878</v>
      </c>
      <c r="B285" t="s">
        <v>1004</v>
      </c>
      <c r="C285" s="114">
        <v>2331.27</v>
      </c>
      <c r="D285" s="114">
        <v>2331.27</v>
      </c>
      <c r="E285" s="114">
        <v>3579.7530000000002</v>
      </c>
      <c r="F285" s="114">
        <v>0</v>
      </c>
      <c r="G285" s="134">
        <v>266111</v>
      </c>
      <c r="H285" s="114">
        <v>0</v>
      </c>
      <c r="I285" s="134">
        <v>268037</v>
      </c>
      <c r="J285" s="134">
        <v>122856756</v>
      </c>
      <c r="K285" s="134">
        <v>122856756</v>
      </c>
    </row>
    <row r="286" spans="1:11">
      <c r="A286" t="s">
        <v>212</v>
      </c>
      <c r="B286" t="s">
        <v>2311</v>
      </c>
      <c r="C286" s="114">
        <v>3596.2150000000001</v>
      </c>
      <c r="D286" s="114">
        <v>3596.2150000000001</v>
      </c>
      <c r="E286" s="114">
        <v>5259.473</v>
      </c>
      <c r="F286" s="114">
        <v>0</v>
      </c>
      <c r="G286" s="134">
        <v>105585</v>
      </c>
      <c r="H286" s="134">
        <v>97454</v>
      </c>
      <c r="I286" s="114">
        <v>0</v>
      </c>
      <c r="J286" s="134">
        <v>127477179</v>
      </c>
      <c r="K286" s="134">
        <v>127477179</v>
      </c>
    </row>
    <row r="287" spans="1:11">
      <c r="A287" t="s">
        <v>1353</v>
      </c>
      <c r="B287" t="s">
        <v>861</v>
      </c>
      <c r="C287" s="114">
        <v>41145.419000000002</v>
      </c>
      <c r="D287" s="114">
        <v>41145.419000000002</v>
      </c>
      <c r="E287" s="114">
        <v>56912.180999999997</v>
      </c>
      <c r="F287" s="114">
        <v>0</v>
      </c>
      <c r="G287" s="134">
        <v>9269973</v>
      </c>
      <c r="H287" s="134">
        <v>8998176</v>
      </c>
      <c r="I287" s="114">
        <v>0</v>
      </c>
      <c r="J287" s="134">
        <v>5409014871</v>
      </c>
      <c r="K287" s="134">
        <v>5409014871</v>
      </c>
    </row>
    <row r="288" spans="1:11">
      <c r="A288" t="s">
        <v>2401</v>
      </c>
      <c r="B288" t="s">
        <v>153</v>
      </c>
      <c r="C288" s="114">
        <v>713.04600000000005</v>
      </c>
      <c r="D288" s="114">
        <v>713.04600000000005</v>
      </c>
      <c r="E288" s="114">
        <v>1219.05</v>
      </c>
      <c r="F288" s="114">
        <v>0</v>
      </c>
      <c r="G288" s="134">
        <v>172241</v>
      </c>
      <c r="H288" s="134">
        <v>54305</v>
      </c>
      <c r="I288" s="134">
        <v>130562</v>
      </c>
      <c r="J288" s="134">
        <v>118068533</v>
      </c>
      <c r="K288" s="134">
        <v>118068533</v>
      </c>
    </row>
    <row r="289" spans="1:11">
      <c r="A289" t="s">
        <v>2157</v>
      </c>
      <c r="B289" t="s">
        <v>728</v>
      </c>
      <c r="C289" s="114">
        <v>5275.3860000000004</v>
      </c>
      <c r="D289" s="114">
        <v>5275.3860000000004</v>
      </c>
      <c r="E289" s="114">
        <v>7316.0959999999995</v>
      </c>
      <c r="F289" s="114">
        <v>0</v>
      </c>
      <c r="G289" s="134">
        <v>3128683</v>
      </c>
      <c r="H289" s="134">
        <v>2311950</v>
      </c>
      <c r="I289" s="134">
        <v>593126</v>
      </c>
      <c r="J289" s="134">
        <v>1022640466</v>
      </c>
      <c r="K289" s="134">
        <v>1022640466</v>
      </c>
    </row>
    <row r="290" spans="1:11">
      <c r="A290" t="s">
        <v>1710</v>
      </c>
      <c r="B290" t="s">
        <v>661</v>
      </c>
      <c r="C290" s="114">
        <v>1179.55</v>
      </c>
      <c r="D290" s="114">
        <v>1179.55</v>
      </c>
      <c r="E290" s="114">
        <v>1759.5450000000001</v>
      </c>
      <c r="F290" s="114">
        <v>0</v>
      </c>
      <c r="G290" s="134">
        <v>129871</v>
      </c>
      <c r="H290" s="134">
        <v>34331</v>
      </c>
      <c r="I290" s="134">
        <v>86079</v>
      </c>
      <c r="J290" s="134">
        <v>47239246</v>
      </c>
      <c r="K290" s="134">
        <v>47239246</v>
      </c>
    </row>
    <row r="291" spans="1:11">
      <c r="A291" t="s">
        <v>1315</v>
      </c>
      <c r="B291" t="s">
        <v>2204</v>
      </c>
      <c r="C291" s="114">
        <v>37150.622000000003</v>
      </c>
      <c r="D291" s="114">
        <v>37150.622000000003</v>
      </c>
      <c r="E291" s="114">
        <v>49647.044000000002</v>
      </c>
      <c r="F291" s="114">
        <v>0</v>
      </c>
      <c r="G291" s="134">
        <v>14370349</v>
      </c>
      <c r="H291" s="134">
        <v>9692061</v>
      </c>
      <c r="I291" s="134">
        <v>4634667</v>
      </c>
      <c r="J291" s="134">
        <v>5852365910</v>
      </c>
      <c r="K291" s="134">
        <v>5852365910</v>
      </c>
    </row>
    <row r="292" spans="1:11">
      <c r="A292" t="s">
        <v>2768</v>
      </c>
      <c r="B292" t="s">
        <v>2251</v>
      </c>
      <c r="C292" s="114">
        <v>38.076000000000001</v>
      </c>
      <c r="D292" s="114">
        <v>45.14</v>
      </c>
      <c r="E292" s="114">
        <v>103.996</v>
      </c>
      <c r="F292" s="114">
        <v>0</v>
      </c>
      <c r="G292" s="114">
        <v>0</v>
      </c>
      <c r="H292" s="114">
        <v>0</v>
      </c>
      <c r="I292" s="114">
        <v>0</v>
      </c>
      <c r="J292" s="134">
        <v>33868390</v>
      </c>
      <c r="K292" s="134">
        <v>33868390</v>
      </c>
    </row>
    <row r="293" spans="1:11">
      <c r="A293" t="s">
        <v>2769</v>
      </c>
      <c r="B293" t="s">
        <v>2252</v>
      </c>
      <c r="C293" s="114">
        <v>1213.424</v>
      </c>
      <c r="D293" s="114">
        <v>1213.424</v>
      </c>
      <c r="E293" s="114">
        <v>1756.634</v>
      </c>
      <c r="F293" s="114">
        <v>0</v>
      </c>
      <c r="G293" s="134">
        <v>506480</v>
      </c>
      <c r="H293" s="134">
        <v>285452</v>
      </c>
      <c r="I293" s="114">
        <v>0</v>
      </c>
      <c r="J293" s="134">
        <v>255092689</v>
      </c>
      <c r="K293" s="134">
        <v>255092689</v>
      </c>
    </row>
    <row r="294" spans="1:11">
      <c r="A294" t="s">
        <v>1704</v>
      </c>
      <c r="B294" t="s">
        <v>2214</v>
      </c>
      <c r="C294" s="114">
        <v>3265.002</v>
      </c>
      <c r="D294" s="114">
        <v>3265.002</v>
      </c>
      <c r="E294" s="114">
        <v>4208.6779999999999</v>
      </c>
      <c r="F294" s="114">
        <v>0</v>
      </c>
      <c r="G294" s="134">
        <v>1332575</v>
      </c>
      <c r="H294" s="134">
        <v>1231675</v>
      </c>
      <c r="I294" s="134">
        <v>583662</v>
      </c>
      <c r="J294" s="134">
        <v>1154074431</v>
      </c>
      <c r="K294" s="134">
        <v>1154074431</v>
      </c>
    </row>
    <row r="295" spans="1:11">
      <c r="A295" t="s">
        <v>2091</v>
      </c>
      <c r="B295" t="s">
        <v>2253</v>
      </c>
      <c r="C295" s="114">
        <v>90.126999999999995</v>
      </c>
      <c r="D295" s="114">
        <v>90.126999999999995</v>
      </c>
      <c r="E295" s="114">
        <v>136.54</v>
      </c>
      <c r="F295" s="114">
        <v>0</v>
      </c>
      <c r="G295" s="134">
        <v>75254</v>
      </c>
      <c r="H295" s="134">
        <v>81527</v>
      </c>
      <c r="I295" s="114">
        <v>0</v>
      </c>
      <c r="J295" s="134">
        <v>112673424</v>
      </c>
      <c r="K295" s="134">
        <v>112673424</v>
      </c>
    </row>
    <row r="296" spans="1:11">
      <c r="A296" t="s">
        <v>2092</v>
      </c>
      <c r="B296" t="s">
        <v>2254</v>
      </c>
      <c r="C296" s="114">
        <v>181.81700000000001</v>
      </c>
      <c r="D296" s="114">
        <v>181.81700000000001</v>
      </c>
      <c r="E296" s="114">
        <v>305.04899999999998</v>
      </c>
      <c r="F296" s="114">
        <v>0</v>
      </c>
      <c r="G296" s="114">
        <v>0</v>
      </c>
      <c r="H296" s="114">
        <v>0</v>
      </c>
      <c r="I296" s="114">
        <v>0</v>
      </c>
      <c r="J296" s="134">
        <v>97596012</v>
      </c>
      <c r="K296" s="134">
        <v>97596012</v>
      </c>
    </row>
    <row r="297" spans="1:11">
      <c r="A297" t="s">
        <v>1400</v>
      </c>
      <c r="B297" t="s">
        <v>2827</v>
      </c>
      <c r="C297" s="114">
        <v>197.12200000000001</v>
      </c>
      <c r="D297" s="114">
        <v>197.12200000000001</v>
      </c>
      <c r="E297" s="114">
        <v>331.87099999999998</v>
      </c>
      <c r="F297" s="114">
        <v>0</v>
      </c>
      <c r="G297" s="134">
        <v>44796</v>
      </c>
      <c r="H297" s="114">
        <v>0</v>
      </c>
      <c r="I297" s="134">
        <v>43512</v>
      </c>
      <c r="J297" s="134">
        <v>64294101</v>
      </c>
      <c r="K297" s="134">
        <v>64294101</v>
      </c>
    </row>
    <row r="298" spans="1:11">
      <c r="A298" t="s">
        <v>2093</v>
      </c>
      <c r="B298" t="s">
        <v>2255</v>
      </c>
      <c r="C298" s="114">
        <v>93.721999999999994</v>
      </c>
      <c r="D298" s="114">
        <v>93.721999999999994</v>
      </c>
      <c r="E298" s="114">
        <v>152.09299999999999</v>
      </c>
      <c r="F298" s="114">
        <v>0</v>
      </c>
      <c r="G298" s="114">
        <v>0</v>
      </c>
      <c r="H298" s="114">
        <v>0</v>
      </c>
      <c r="I298" s="114">
        <v>0</v>
      </c>
      <c r="J298" s="134">
        <v>56436946</v>
      </c>
      <c r="K298" s="134">
        <v>56436946</v>
      </c>
    </row>
    <row r="299" spans="1:11">
      <c r="A299" t="s">
        <v>229</v>
      </c>
      <c r="B299" t="s">
        <v>1185</v>
      </c>
      <c r="C299" s="114">
        <v>421.39</v>
      </c>
      <c r="D299" s="114">
        <v>421.39</v>
      </c>
      <c r="E299" s="114">
        <v>776.01499999999999</v>
      </c>
      <c r="F299" s="114">
        <v>0</v>
      </c>
      <c r="G299" s="134">
        <v>87278</v>
      </c>
      <c r="H299" s="134">
        <v>49553</v>
      </c>
      <c r="I299" s="114">
        <v>0</v>
      </c>
      <c r="J299" s="134">
        <v>48552810</v>
      </c>
      <c r="K299" s="134">
        <v>48552810</v>
      </c>
    </row>
    <row r="300" spans="1:11">
      <c r="A300" t="s">
        <v>2095</v>
      </c>
      <c r="B300" t="s">
        <v>2357</v>
      </c>
      <c r="C300" s="114">
        <v>1074.1189999999999</v>
      </c>
      <c r="D300" s="114">
        <v>1074.1189999999999</v>
      </c>
      <c r="E300" s="114">
        <v>1906.557</v>
      </c>
      <c r="F300" s="114">
        <v>0</v>
      </c>
      <c r="G300" s="134">
        <v>180921</v>
      </c>
      <c r="H300" s="134">
        <v>174822</v>
      </c>
      <c r="I300" s="114">
        <v>0</v>
      </c>
      <c r="J300" s="134">
        <v>173153116</v>
      </c>
      <c r="K300" s="134">
        <v>173153116</v>
      </c>
    </row>
    <row r="301" spans="1:11">
      <c r="A301" t="s">
        <v>2103</v>
      </c>
      <c r="B301" t="s">
        <v>1508</v>
      </c>
      <c r="C301" s="114">
        <v>149.03100000000001</v>
      </c>
      <c r="D301" s="114">
        <v>149.03100000000001</v>
      </c>
      <c r="E301" s="114">
        <v>229.74</v>
      </c>
      <c r="F301" s="114">
        <v>0</v>
      </c>
      <c r="G301" s="114">
        <v>0</v>
      </c>
      <c r="H301" s="114">
        <v>0</v>
      </c>
      <c r="I301" s="114">
        <v>0</v>
      </c>
      <c r="J301" s="134">
        <v>16886869</v>
      </c>
      <c r="K301" s="134">
        <v>15609243</v>
      </c>
    </row>
    <row r="302" spans="1:11">
      <c r="A302" t="s">
        <v>230</v>
      </c>
      <c r="B302" t="s">
        <v>2257</v>
      </c>
      <c r="C302" s="114">
        <v>751.23400000000004</v>
      </c>
      <c r="D302" s="114">
        <v>751.23400000000004</v>
      </c>
      <c r="E302" s="114">
        <v>1372.848</v>
      </c>
      <c r="F302" s="114">
        <v>0</v>
      </c>
      <c r="G302" s="114">
        <v>0</v>
      </c>
      <c r="H302" s="114">
        <v>0</v>
      </c>
      <c r="I302" s="114">
        <v>0</v>
      </c>
      <c r="J302" s="134">
        <v>112099075</v>
      </c>
      <c r="K302" s="134">
        <v>112099075</v>
      </c>
    </row>
    <row r="303" spans="1:11">
      <c r="A303" t="s">
        <v>231</v>
      </c>
      <c r="B303" t="s">
        <v>1</v>
      </c>
      <c r="C303" s="114">
        <v>1846.329</v>
      </c>
      <c r="D303" s="114">
        <v>1846.329</v>
      </c>
      <c r="E303" s="114">
        <v>2630.2689999999998</v>
      </c>
      <c r="F303" s="114">
        <v>0</v>
      </c>
      <c r="G303" s="134">
        <v>377877</v>
      </c>
      <c r="H303" s="134">
        <v>370441</v>
      </c>
      <c r="I303" s="114">
        <v>0</v>
      </c>
      <c r="J303" s="134">
        <v>447280068</v>
      </c>
      <c r="K303" s="134">
        <v>447280068</v>
      </c>
    </row>
    <row r="304" spans="1:11">
      <c r="A304" t="s">
        <v>1401</v>
      </c>
      <c r="B304" t="s">
        <v>2495</v>
      </c>
      <c r="C304" s="114">
        <v>277.14400000000001</v>
      </c>
      <c r="D304" s="114">
        <v>277.14400000000001</v>
      </c>
      <c r="E304" s="114">
        <v>453.11599999999999</v>
      </c>
      <c r="F304" s="114">
        <v>0</v>
      </c>
      <c r="G304" s="134">
        <v>25547</v>
      </c>
      <c r="H304" s="114">
        <v>606</v>
      </c>
      <c r="I304" s="134">
        <v>22223</v>
      </c>
      <c r="J304" s="134">
        <v>31111667</v>
      </c>
      <c r="K304" s="134">
        <v>31111667</v>
      </c>
    </row>
    <row r="305" spans="1:11">
      <c r="A305" t="s">
        <v>820</v>
      </c>
      <c r="B305" t="s">
        <v>1216</v>
      </c>
      <c r="C305" s="114">
        <v>246</v>
      </c>
      <c r="D305" s="114">
        <v>246</v>
      </c>
      <c r="E305" s="114">
        <v>436.68</v>
      </c>
      <c r="F305" s="114">
        <v>0</v>
      </c>
      <c r="G305" s="134">
        <v>42025</v>
      </c>
      <c r="H305" s="114">
        <v>728</v>
      </c>
      <c r="I305" s="134">
        <v>38646</v>
      </c>
      <c r="J305" s="134">
        <v>28800760</v>
      </c>
      <c r="K305" s="134">
        <v>28800760</v>
      </c>
    </row>
    <row r="306" spans="1:11">
      <c r="A306" t="s">
        <v>232</v>
      </c>
      <c r="B306" t="s">
        <v>2</v>
      </c>
      <c r="C306" s="114">
        <v>578.54600000000005</v>
      </c>
      <c r="D306" s="114">
        <v>578.54600000000005</v>
      </c>
      <c r="E306" s="114">
        <v>950.39099999999996</v>
      </c>
      <c r="F306" s="114">
        <v>0</v>
      </c>
      <c r="G306" s="134">
        <v>407426</v>
      </c>
      <c r="H306" s="134">
        <v>128092</v>
      </c>
      <c r="I306" s="134">
        <v>89856</v>
      </c>
      <c r="J306" s="134">
        <v>111968589</v>
      </c>
      <c r="K306" s="134">
        <v>111968589</v>
      </c>
    </row>
    <row r="307" spans="1:11">
      <c r="A307" t="s">
        <v>233</v>
      </c>
      <c r="B307" t="s">
        <v>3</v>
      </c>
      <c r="C307" s="114">
        <v>837.31100000000004</v>
      </c>
      <c r="D307" s="114">
        <v>837.31100000000004</v>
      </c>
      <c r="E307" s="114">
        <v>1309.047</v>
      </c>
      <c r="F307" s="114">
        <v>0</v>
      </c>
      <c r="G307" s="134">
        <v>115582</v>
      </c>
      <c r="H307" s="134">
        <v>111458</v>
      </c>
      <c r="I307" s="114">
        <v>0</v>
      </c>
      <c r="J307" s="134">
        <v>111132284</v>
      </c>
      <c r="K307" s="134">
        <v>111132284</v>
      </c>
    </row>
    <row r="308" spans="1:11">
      <c r="A308" t="s">
        <v>1960</v>
      </c>
      <c r="B308" t="s">
        <v>4</v>
      </c>
      <c r="C308" s="114">
        <v>293.85899999999998</v>
      </c>
      <c r="D308" s="114">
        <v>293.85899999999998</v>
      </c>
      <c r="E308" s="114">
        <v>507.733</v>
      </c>
      <c r="F308" s="114">
        <v>0</v>
      </c>
      <c r="G308" s="134">
        <v>190429</v>
      </c>
      <c r="H308" s="134">
        <v>198990</v>
      </c>
      <c r="I308" s="114">
        <v>0</v>
      </c>
      <c r="J308" s="134">
        <v>79281172</v>
      </c>
      <c r="K308" s="134">
        <v>79281172</v>
      </c>
    </row>
    <row r="309" spans="1:11">
      <c r="A309" t="s">
        <v>1961</v>
      </c>
      <c r="B309" t="s">
        <v>5</v>
      </c>
      <c r="C309" s="114">
        <v>520.524</v>
      </c>
      <c r="D309" s="114">
        <v>520.524</v>
      </c>
      <c r="E309" s="114">
        <v>843.43200000000002</v>
      </c>
      <c r="F309" s="114">
        <v>0</v>
      </c>
      <c r="G309" s="134">
        <v>393388</v>
      </c>
      <c r="H309" s="134">
        <v>187977</v>
      </c>
      <c r="I309" s="134">
        <v>16545</v>
      </c>
      <c r="J309" s="134">
        <v>116704900</v>
      </c>
      <c r="K309" s="134">
        <v>116704900</v>
      </c>
    </row>
    <row r="310" spans="1:11">
      <c r="A310" t="s">
        <v>1402</v>
      </c>
      <c r="B310" t="s">
        <v>2306</v>
      </c>
      <c r="C310" s="114">
        <v>400.78</v>
      </c>
      <c r="D310" s="114">
        <v>405.70299999999997</v>
      </c>
      <c r="E310" s="114">
        <v>661.06100000000004</v>
      </c>
      <c r="F310" s="114">
        <v>0</v>
      </c>
      <c r="G310" s="134">
        <v>31051</v>
      </c>
      <c r="H310" s="114">
        <v>734</v>
      </c>
      <c r="I310" s="134">
        <v>22667</v>
      </c>
      <c r="J310" s="134">
        <v>69905047</v>
      </c>
      <c r="K310" s="134">
        <v>69905047</v>
      </c>
    </row>
    <row r="311" spans="1:11">
      <c r="A311" t="s">
        <v>2948</v>
      </c>
      <c r="B311" t="s">
        <v>502</v>
      </c>
      <c r="C311" s="114">
        <v>510.358</v>
      </c>
      <c r="D311" s="114">
        <v>517.11800000000005</v>
      </c>
      <c r="E311" s="114">
        <v>809.63699999999994</v>
      </c>
      <c r="F311" s="114">
        <v>0</v>
      </c>
      <c r="G311" s="134">
        <v>184310</v>
      </c>
      <c r="H311" s="134">
        <v>200404</v>
      </c>
      <c r="I311" s="114">
        <v>0</v>
      </c>
      <c r="J311" s="134">
        <v>210608636</v>
      </c>
      <c r="K311" s="134">
        <v>210608636</v>
      </c>
    </row>
    <row r="312" spans="1:11">
      <c r="A312" t="s">
        <v>1911</v>
      </c>
      <c r="B312" t="s">
        <v>503</v>
      </c>
      <c r="C312" s="114">
        <v>1750.0740000000001</v>
      </c>
      <c r="D312" s="114">
        <v>1750.0740000000001</v>
      </c>
      <c r="E312" s="114">
        <v>2234.6370000000002</v>
      </c>
      <c r="F312" s="114">
        <v>0</v>
      </c>
      <c r="G312" s="134">
        <v>495760</v>
      </c>
      <c r="H312" s="134">
        <v>326327</v>
      </c>
      <c r="I312" s="114">
        <v>0</v>
      </c>
      <c r="J312" s="134">
        <v>872825224</v>
      </c>
      <c r="K312" s="134">
        <v>872825224</v>
      </c>
    </row>
    <row r="313" spans="1:11">
      <c r="A313" t="s">
        <v>1912</v>
      </c>
      <c r="B313" t="s">
        <v>504</v>
      </c>
      <c r="C313" s="114">
        <v>689.95899999999995</v>
      </c>
      <c r="D313" s="114">
        <v>689.95899999999995</v>
      </c>
      <c r="E313" s="114">
        <v>1077.008</v>
      </c>
      <c r="F313" s="114">
        <v>0</v>
      </c>
      <c r="G313" s="134">
        <v>511318</v>
      </c>
      <c r="H313" s="134">
        <v>560413</v>
      </c>
      <c r="I313" s="114">
        <v>0</v>
      </c>
      <c r="J313" s="134">
        <v>295620679</v>
      </c>
      <c r="K313" s="134">
        <v>295620679</v>
      </c>
    </row>
    <row r="314" spans="1:11">
      <c r="A314" t="s">
        <v>1037</v>
      </c>
      <c r="B314" t="s">
        <v>505</v>
      </c>
      <c r="C314" s="114">
        <v>208.00299999999999</v>
      </c>
      <c r="D314" s="114">
        <v>208.00299999999999</v>
      </c>
      <c r="E314" s="114">
        <v>319.71100000000001</v>
      </c>
      <c r="F314" s="114">
        <v>0</v>
      </c>
      <c r="G314" s="114">
        <v>0</v>
      </c>
      <c r="H314" s="114">
        <v>0</v>
      </c>
      <c r="I314" s="114">
        <v>0</v>
      </c>
      <c r="J314" s="134">
        <v>161414388</v>
      </c>
      <c r="K314" s="134">
        <v>161414388</v>
      </c>
    </row>
    <row r="315" spans="1:11">
      <c r="A315" t="s">
        <v>73</v>
      </c>
      <c r="B315" t="s">
        <v>205</v>
      </c>
      <c r="C315" s="114">
        <v>218.48099999999999</v>
      </c>
      <c r="D315" s="114">
        <v>218.48099999999999</v>
      </c>
      <c r="E315" s="114">
        <v>350.68400000000003</v>
      </c>
      <c r="F315" s="114">
        <v>0</v>
      </c>
      <c r="G315" s="134">
        <v>322473</v>
      </c>
      <c r="H315" s="134">
        <v>170378</v>
      </c>
      <c r="I315" s="114">
        <v>0</v>
      </c>
      <c r="J315" s="134">
        <v>309871762</v>
      </c>
      <c r="K315" s="134">
        <v>309871762</v>
      </c>
    </row>
    <row r="316" spans="1:11">
      <c r="A316" t="s">
        <v>853</v>
      </c>
      <c r="B316" t="s">
        <v>1186</v>
      </c>
      <c r="C316" s="114">
        <v>265.05200000000002</v>
      </c>
      <c r="D316" s="114">
        <v>265.05200000000002</v>
      </c>
      <c r="E316" s="114">
        <v>521.17100000000005</v>
      </c>
      <c r="F316" s="114">
        <v>0</v>
      </c>
      <c r="G316" s="134">
        <v>53216</v>
      </c>
      <c r="H316" s="134">
        <v>49190</v>
      </c>
      <c r="I316" s="114">
        <v>0</v>
      </c>
      <c r="J316" s="134">
        <v>59268799</v>
      </c>
      <c r="K316" s="134">
        <v>59268799</v>
      </c>
    </row>
    <row r="317" spans="1:11">
      <c r="A317" t="s">
        <v>2865</v>
      </c>
      <c r="B317" t="s">
        <v>665</v>
      </c>
      <c r="C317" s="114">
        <v>317.78199999999998</v>
      </c>
      <c r="D317" s="114">
        <v>328.78699999999998</v>
      </c>
      <c r="E317" s="114">
        <v>673.31700000000001</v>
      </c>
      <c r="F317" s="114">
        <v>0</v>
      </c>
      <c r="G317" s="134">
        <v>27303</v>
      </c>
      <c r="H317" s="134">
        <v>8502</v>
      </c>
      <c r="I317" s="134">
        <v>18042</v>
      </c>
      <c r="J317" s="134">
        <v>60579685</v>
      </c>
      <c r="K317" s="134">
        <v>60579685</v>
      </c>
    </row>
    <row r="318" spans="1:11">
      <c r="A318" t="s">
        <v>697</v>
      </c>
      <c r="B318" t="s">
        <v>958</v>
      </c>
      <c r="C318" s="114">
        <v>806.47299999999996</v>
      </c>
      <c r="D318" s="114">
        <v>830.35699999999997</v>
      </c>
      <c r="E318" s="114">
        <v>1470.171</v>
      </c>
      <c r="F318" s="114">
        <v>0</v>
      </c>
      <c r="G318" s="134">
        <v>239962</v>
      </c>
      <c r="H318" s="114">
        <v>0</v>
      </c>
      <c r="I318" s="114">
        <v>0</v>
      </c>
      <c r="J318" s="134">
        <v>129900203</v>
      </c>
      <c r="K318" s="134">
        <v>129900203</v>
      </c>
    </row>
    <row r="319" spans="1:11">
      <c r="A319" t="s">
        <v>698</v>
      </c>
      <c r="B319" t="s">
        <v>959</v>
      </c>
      <c r="C319" s="114">
        <v>513.48500000000001</v>
      </c>
      <c r="D319" s="114">
        <v>533.89300000000003</v>
      </c>
      <c r="E319" s="114">
        <v>885.21799999999996</v>
      </c>
      <c r="F319" s="114">
        <v>0</v>
      </c>
      <c r="G319" s="114">
        <v>0</v>
      </c>
      <c r="H319" s="114">
        <v>0</v>
      </c>
      <c r="I319" s="114">
        <v>0</v>
      </c>
      <c r="J319" s="134">
        <v>80107712</v>
      </c>
      <c r="K319" s="134">
        <v>80107712</v>
      </c>
    </row>
    <row r="320" spans="1:11">
      <c r="A320" t="s">
        <v>699</v>
      </c>
      <c r="B320" t="s">
        <v>960</v>
      </c>
      <c r="C320" s="114">
        <v>220.78899999999999</v>
      </c>
      <c r="D320" s="114">
        <v>226.649</v>
      </c>
      <c r="E320" s="114">
        <v>485.21600000000001</v>
      </c>
      <c r="F320" s="114">
        <v>0</v>
      </c>
      <c r="G320" s="114">
        <v>0</v>
      </c>
      <c r="H320" s="114">
        <v>0</v>
      </c>
      <c r="I320" s="114">
        <v>0</v>
      </c>
      <c r="J320" s="134">
        <v>70993879</v>
      </c>
      <c r="K320" s="134">
        <v>70993879</v>
      </c>
    </row>
    <row r="321" spans="1:11">
      <c r="A321" t="s">
        <v>700</v>
      </c>
      <c r="B321" t="s">
        <v>1187</v>
      </c>
      <c r="C321" s="114">
        <v>21475.076000000001</v>
      </c>
      <c r="D321" s="114">
        <v>21475.076000000001</v>
      </c>
      <c r="E321" s="114">
        <v>27661.848000000002</v>
      </c>
      <c r="F321" s="114">
        <v>0</v>
      </c>
      <c r="G321" s="134">
        <v>26766715</v>
      </c>
      <c r="H321" s="134">
        <v>22419220</v>
      </c>
      <c r="I321" s="114">
        <v>0</v>
      </c>
      <c r="J321" s="134">
        <v>8455104561</v>
      </c>
      <c r="K321" s="134">
        <v>8455104561</v>
      </c>
    </row>
    <row r="322" spans="1:11">
      <c r="A322" t="s">
        <v>2906</v>
      </c>
      <c r="B322" t="s">
        <v>1006</v>
      </c>
      <c r="C322" s="114">
        <v>2444.7069999999999</v>
      </c>
      <c r="D322" s="114">
        <v>2444.7069999999999</v>
      </c>
      <c r="E322" s="114">
        <v>3235.17</v>
      </c>
      <c r="F322" s="114">
        <v>0</v>
      </c>
      <c r="G322" s="134">
        <v>2321925</v>
      </c>
      <c r="H322" s="134">
        <v>522306</v>
      </c>
      <c r="I322" s="134">
        <v>543757</v>
      </c>
      <c r="J322" s="134">
        <v>518239172</v>
      </c>
      <c r="K322" s="134">
        <v>518239172</v>
      </c>
    </row>
    <row r="323" spans="1:11">
      <c r="A323" t="s">
        <v>1602</v>
      </c>
      <c r="B323" t="s">
        <v>133</v>
      </c>
      <c r="C323" s="114">
        <v>65522.432999999997</v>
      </c>
      <c r="D323" s="114">
        <v>65522.432999999997</v>
      </c>
      <c r="E323" s="114">
        <v>80402.062999999995</v>
      </c>
      <c r="F323" s="114">
        <v>0</v>
      </c>
      <c r="G323" s="134">
        <v>51826756</v>
      </c>
      <c r="H323" s="134">
        <v>35842151</v>
      </c>
      <c r="I323" s="134">
        <v>10086803</v>
      </c>
      <c r="J323" s="134">
        <v>20042067120</v>
      </c>
      <c r="K323" s="134">
        <v>20039785150</v>
      </c>
    </row>
    <row r="324" spans="1:11">
      <c r="A324" t="s">
        <v>701</v>
      </c>
      <c r="B324" t="s">
        <v>962</v>
      </c>
      <c r="C324" s="114">
        <v>68.311999999999998</v>
      </c>
      <c r="D324" s="114">
        <v>74.674999999999997</v>
      </c>
      <c r="E324" s="114">
        <v>142.012</v>
      </c>
      <c r="F324" s="114">
        <v>0</v>
      </c>
      <c r="G324" s="134">
        <v>81489</v>
      </c>
      <c r="H324" s="134">
        <v>98328</v>
      </c>
      <c r="I324" s="114">
        <v>0</v>
      </c>
      <c r="J324" s="134">
        <v>38523622</v>
      </c>
      <c r="K324" s="134">
        <v>38523622</v>
      </c>
    </row>
    <row r="325" spans="1:11">
      <c r="A325" t="s">
        <v>2647</v>
      </c>
      <c r="B325" t="s">
        <v>1188</v>
      </c>
      <c r="C325" s="114">
        <v>2862.6280000000002</v>
      </c>
      <c r="D325" s="114">
        <v>2862.6280000000002</v>
      </c>
      <c r="E325" s="114">
        <v>3695.386</v>
      </c>
      <c r="F325" s="114">
        <v>0</v>
      </c>
      <c r="G325" s="134">
        <v>3870416</v>
      </c>
      <c r="H325" s="134">
        <v>3408537</v>
      </c>
      <c r="I325" s="114">
        <v>0</v>
      </c>
      <c r="J325" s="134">
        <v>1825260865</v>
      </c>
      <c r="K325" s="134">
        <v>1825260865</v>
      </c>
    </row>
    <row r="326" spans="1:11">
      <c r="A326" t="s">
        <v>2290</v>
      </c>
      <c r="B326" t="s">
        <v>964</v>
      </c>
      <c r="C326" s="114">
        <v>1439.5889999999999</v>
      </c>
      <c r="D326" s="114">
        <v>1439.5889999999999</v>
      </c>
      <c r="E326" s="114">
        <v>1963.9870000000001</v>
      </c>
      <c r="F326" s="114">
        <v>0</v>
      </c>
      <c r="G326" s="114">
        <v>339</v>
      </c>
      <c r="H326" s="114">
        <v>0</v>
      </c>
      <c r="I326" s="114">
        <v>0</v>
      </c>
      <c r="J326" s="134">
        <v>798703788</v>
      </c>
      <c r="K326" s="134">
        <v>798703788</v>
      </c>
    </row>
    <row r="327" spans="1:11">
      <c r="A327" t="s">
        <v>1478</v>
      </c>
      <c r="B327" t="s">
        <v>965</v>
      </c>
      <c r="C327" s="114">
        <v>1724.6420000000001</v>
      </c>
      <c r="D327" s="114">
        <v>1724.6420000000001</v>
      </c>
      <c r="E327" s="114">
        <v>2237.4360000000001</v>
      </c>
      <c r="F327" s="114">
        <v>0</v>
      </c>
      <c r="G327" s="134">
        <v>3537489</v>
      </c>
      <c r="H327" s="134">
        <v>2357602</v>
      </c>
      <c r="I327" s="114">
        <v>0</v>
      </c>
      <c r="J327" s="134">
        <v>2210577117</v>
      </c>
      <c r="K327" s="134">
        <v>2210577117</v>
      </c>
    </row>
    <row r="328" spans="1:11">
      <c r="A328" t="s">
        <v>2192</v>
      </c>
      <c r="B328" t="s">
        <v>966</v>
      </c>
      <c r="C328" s="114">
        <v>1121.193</v>
      </c>
      <c r="D328" s="114">
        <v>1121.193</v>
      </c>
      <c r="E328" s="114">
        <v>1574.4829999999999</v>
      </c>
      <c r="F328" s="114">
        <v>0</v>
      </c>
      <c r="G328" s="134">
        <v>3894290</v>
      </c>
      <c r="H328" s="134">
        <v>219131</v>
      </c>
      <c r="I328" s="114">
        <v>0</v>
      </c>
      <c r="J328" s="134">
        <v>1587046935</v>
      </c>
      <c r="K328" s="134">
        <v>1587046935</v>
      </c>
    </row>
    <row r="329" spans="1:11">
      <c r="A329" t="s">
        <v>2198</v>
      </c>
      <c r="B329" t="s">
        <v>967</v>
      </c>
      <c r="C329" s="114">
        <v>446.32299999999998</v>
      </c>
      <c r="D329" s="114">
        <v>446.32299999999998</v>
      </c>
      <c r="E329" s="114">
        <v>723.79899999999998</v>
      </c>
      <c r="F329" s="114">
        <v>0</v>
      </c>
      <c r="G329" s="134">
        <v>93232</v>
      </c>
      <c r="H329" s="134">
        <v>85933</v>
      </c>
      <c r="I329" s="114">
        <v>0</v>
      </c>
      <c r="J329" s="134">
        <v>121885891</v>
      </c>
      <c r="K329" s="134">
        <v>121885891</v>
      </c>
    </row>
    <row r="330" spans="1:11">
      <c r="A330" t="s">
        <v>2199</v>
      </c>
      <c r="B330" t="s">
        <v>968</v>
      </c>
      <c r="C330" s="114">
        <v>143.21199999999999</v>
      </c>
      <c r="D330" s="114">
        <v>143.89699999999999</v>
      </c>
      <c r="E330" s="114">
        <v>222.08500000000001</v>
      </c>
      <c r="F330" s="114">
        <v>0</v>
      </c>
      <c r="G330" s="114">
        <v>0</v>
      </c>
      <c r="H330" s="114">
        <v>0</v>
      </c>
      <c r="I330" s="114">
        <v>0</v>
      </c>
      <c r="J330" s="134">
        <v>474122478</v>
      </c>
      <c r="K330" s="134">
        <v>474122478</v>
      </c>
    </row>
    <row r="331" spans="1:11">
      <c r="A331" t="s">
        <v>1403</v>
      </c>
      <c r="B331" t="s">
        <v>2494</v>
      </c>
      <c r="C331" s="114">
        <v>824.774</v>
      </c>
      <c r="D331" s="114">
        <v>824.774</v>
      </c>
      <c r="E331" s="114">
        <v>1496.671</v>
      </c>
      <c r="F331" s="114">
        <v>0</v>
      </c>
      <c r="G331" s="134">
        <v>145115</v>
      </c>
      <c r="H331" s="114">
        <v>0</v>
      </c>
      <c r="I331" s="134">
        <v>139821</v>
      </c>
      <c r="J331" s="134">
        <v>108577292</v>
      </c>
      <c r="K331" s="134">
        <v>108577292</v>
      </c>
    </row>
    <row r="332" spans="1:11">
      <c r="A332" t="s">
        <v>2866</v>
      </c>
      <c r="B332" t="s">
        <v>2987</v>
      </c>
      <c r="C332" s="114">
        <v>2079.9899999999998</v>
      </c>
      <c r="D332" s="114">
        <v>2079.9899999999998</v>
      </c>
      <c r="E332" s="114">
        <v>2982.8679999999999</v>
      </c>
      <c r="F332" s="114">
        <v>0</v>
      </c>
      <c r="G332" s="134">
        <v>830992</v>
      </c>
      <c r="H332" s="134">
        <v>269912</v>
      </c>
      <c r="I332" s="134">
        <v>328396</v>
      </c>
      <c r="J332" s="134">
        <v>310210175</v>
      </c>
      <c r="K332" s="134">
        <v>310210175</v>
      </c>
    </row>
    <row r="333" spans="1:11">
      <c r="A333" t="s">
        <v>2200</v>
      </c>
      <c r="B333" t="s">
        <v>969</v>
      </c>
      <c r="C333" s="114">
        <v>526.78800000000001</v>
      </c>
      <c r="D333" s="114">
        <v>529.37300000000005</v>
      </c>
      <c r="E333" s="114">
        <v>912.77099999999996</v>
      </c>
      <c r="F333" s="114">
        <v>0</v>
      </c>
      <c r="G333" s="114">
        <v>0</v>
      </c>
      <c r="H333" s="114">
        <v>0</v>
      </c>
      <c r="I333" s="114">
        <v>0</v>
      </c>
      <c r="J333" s="134">
        <v>198937753</v>
      </c>
      <c r="K333" s="134">
        <v>198937753</v>
      </c>
    </row>
    <row r="334" spans="1:11">
      <c r="A334" t="s">
        <v>2420</v>
      </c>
      <c r="B334" t="s">
        <v>577</v>
      </c>
      <c r="C334" s="114">
        <v>120.154</v>
      </c>
      <c r="D334" s="114">
        <v>120.154</v>
      </c>
      <c r="E334" s="114">
        <v>252.709</v>
      </c>
      <c r="F334" s="114">
        <v>0</v>
      </c>
      <c r="G334" s="134">
        <v>432729</v>
      </c>
      <c r="H334" s="134">
        <v>510356</v>
      </c>
      <c r="I334" s="114">
        <v>0</v>
      </c>
      <c r="J334" s="134">
        <v>426596125</v>
      </c>
      <c r="K334" s="134">
        <v>426596125</v>
      </c>
    </row>
    <row r="335" spans="1:11">
      <c r="A335" t="s">
        <v>2490</v>
      </c>
      <c r="B335" t="s">
        <v>578</v>
      </c>
      <c r="C335" s="114">
        <v>2200.7739999999999</v>
      </c>
      <c r="D335" s="114">
        <v>2200.7739999999999</v>
      </c>
      <c r="E335" s="114">
        <v>2823.3539999999998</v>
      </c>
      <c r="F335" s="114">
        <v>0</v>
      </c>
      <c r="G335" s="134">
        <v>13436923</v>
      </c>
      <c r="H335" s="114">
        <v>0</v>
      </c>
      <c r="I335" s="114">
        <v>0</v>
      </c>
      <c r="J335" s="134">
        <v>3954652182</v>
      </c>
      <c r="K335" s="134">
        <v>3954652182</v>
      </c>
    </row>
    <row r="336" spans="1:11">
      <c r="A336" t="s">
        <v>2270</v>
      </c>
      <c r="B336" t="s">
        <v>397</v>
      </c>
      <c r="C336" s="114">
        <v>7760.8370000000004</v>
      </c>
      <c r="D336" s="114">
        <v>7760.8370000000004</v>
      </c>
      <c r="E336" s="114">
        <v>10223.329</v>
      </c>
      <c r="F336" s="114">
        <v>0</v>
      </c>
      <c r="G336" s="134">
        <v>10596062</v>
      </c>
      <c r="H336" s="134">
        <v>5972213</v>
      </c>
      <c r="I336" s="114">
        <v>0</v>
      </c>
      <c r="J336" s="134">
        <v>2159806022</v>
      </c>
      <c r="K336" s="134">
        <v>2059383873</v>
      </c>
    </row>
    <row r="337" spans="1:11">
      <c r="A337" t="s">
        <v>2550</v>
      </c>
      <c r="B337" t="s">
        <v>398</v>
      </c>
      <c r="C337" s="114">
        <v>5579.9650000000001</v>
      </c>
      <c r="D337" s="114">
        <v>7070.4650000000001</v>
      </c>
      <c r="E337" s="114">
        <v>9263.4639999999999</v>
      </c>
      <c r="F337" s="114">
        <v>0</v>
      </c>
      <c r="G337" s="134">
        <v>6320624</v>
      </c>
      <c r="H337" s="134">
        <v>6070084</v>
      </c>
      <c r="I337" s="114">
        <v>0</v>
      </c>
      <c r="J337" s="134">
        <v>4503849628</v>
      </c>
      <c r="K337" s="134">
        <v>3410680605</v>
      </c>
    </row>
    <row r="338" spans="1:11">
      <c r="A338" t="s">
        <v>2132</v>
      </c>
      <c r="B338" t="s">
        <v>2726</v>
      </c>
      <c r="C338" s="114">
        <v>165.62</v>
      </c>
      <c r="D338" s="114">
        <v>220.62</v>
      </c>
      <c r="E338" s="114">
        <v>364.40800000000002</v>
      </c>
      <c r="F338" s="114">
        <v>0</v>
      </c>
      <c r="G338" s="134">
        <v>160915</v>
      </c>
      <c r="H338" s="134">
        <v>76143</v>
      </c>
      <c r="I338" s="114">
        <v>0</v>
      </c>
      <c r="J338" s="134">
        <v>120813168</v>
      </c>
      <c r="K338" s="134">
        <v>45435669</v>
      </c>
    </row>
    <row r="339" spans="1:11">
      <c r="A339" t="s">
        <v>862</v>
      </c>
      <c r="B339" t="s">
        <v>399</v>
      </c>
      <c r="C339" s="114">
        <v>3333.1770000000001</v>
      </c>
      <c r="D339" s="114">
        <v>3333.1770000000001</v>
      </c>
      <c r="E339" s="114">
        <v>4778.558</v>
      </c>
      <c r="F339" s="114">
        <v>0</v>
      </c>
      <c r="G339" s="134">
        <v>3055061</v>
      </c>
      <c r="H339" s="134">
        <v>3047291</v>
      </c>
      <c r="I339" s="114">
        <v>0</v>
      </c>
      <c r="J339" s="134">
        <v>1466538126</v>
      </c>
      <c r="K339" s="134">
        <v>1403814216</v>
      </c>
    </row>
    <row r="340" spans="1:11">
      <c r="A340" t="s">
        <v>863</v>
      </c>
      <c r="B340" t="s">
        <v>400</v>
      </c>
      <c r="C340" s="114">
        <v>5432.4459999999999</v>
      </c>
      <c r="D340" s="114">
        <v>5432.4459999999999</v>
      </c>
      <c r="E340" s="114">
        <v>7079.4650000000001</v>
      </c>
      <c r="F340" s="114">
        <v>0</v>
      </c>
      <c r="G340" s="134">
        <v>6301727</v>
      </c>
      <c r="H340" s="134">
        <v>3685067</v>
      </c>
      <c r="I340" s="114">
        <v>0</v>
      </c>
      <c r="J340" s="134">
        <v>4076206476</v>
      </c>
      <c r="K340" s="134">
        <v>4076206476</v>
      </c>
    </row>
    <row r="341" spans="1:11">
      <c r="A341" t="s">
        <v>2817</v>
      </c>
      <c r="B341" t="s">
        <v>401</v>
      </c>
      <c r="C341" s="114">
        <v>1055.5050000000001</v>
      </c>
      <c r="D341" s="114">
        <v>1089.105</v>
      </c>
      <c r="E341" s="114">
        <v>1721.002</v>
      </c>
      <c r="F341" s="114">
        <v>0</v>
      </c>
      <c r="G341" s="134">
        <v>1898043</v>
      </c>
      <c r="H341" s="134">
        <v>1058879</v>
      </c>
      <c r="I341" s="114">
        <v>0</v>
      </c>
      <c r="J341" s="134">
        <v>487548512</v>
      </c>
      <c r="K341" s="134">
        <v>448425916</v>
      </c>
    </row>
    <row r="342" spans="1:11">
      <c r="A342" t="s">
        <v>533</v>
      </c>
      <c r="B342" t="s">
        <v>98</v>
      </c>
      <c r="C342" s="114">
        <v>4256.7190000000001</v>
      </c>
      <c r="D342" s="114">
        <v>4324.6589999999997</v>
      </c>
      <c r="E342" s="114">
        <v>5499.67</v>
      </c>
      <c r="F342" s="114">
        <v>0</v>
      </c>
      <c r="G342" s="134">
        <v>1120645</v>
      </c>
      <c r="H342" s="134">
        <v>566323</v>
      </c>
      <c r="I342" s="134">
        <v>606716</v>
      </c>
      <c r="J342" s="134">
        <v>892691152</v>
      </c>
      <c r="K342" s="134">
        <v>892691152</v>
      </c>
    </row>
    <row r="343" spans="1:11">
      <c r="A343" t="s">
        <v>2818</v>
      </c>
      <c r="B343" t="s">
        <v>402</v>
      </c>
      <c r="C343" s="114">
        <v>34903.618000000002</v>
      </c>
      <c r="D343" s="114">
        <v>34903.618000000002</v>
      </c>
      <c r="E343" s="114">
        <v>43595.565000000002</v>
      </c>
      <c r="F343" s="114">
        <v>0</v>
      </c>
      <c r="G343" s="134">
        <v>48118686</v>
      </c>
      <c r="H343" s="134">
        <v>39211922</v>
      </c>
      <c r="I343" s="114">
        <v>0</v>
      </c>
      <c r="J343" s="134">
        <v>13623140967</v>
      </c>
      <c r="K343" s="134">
        <v>13521352521</v>
      </c>
    </row>
    <row r="344" spans="1:11">
      <c r="A344" t="s">
        <v>1604</v>
      </c>
      <c r="B344" t="s">
        <v>1666</v>
      </c>
      <c r="C344" s="114">
        <v>5739.9989999999998</v>
      </c>
      <c r="D344" s="114">
        <v>5739.9989999999998</v>
      </c>
      <c r="E344" s="114">
        <v>6619.1459999999997</v>
      </c>
      <c r="F344" s="114">
        <v>0</v>
      </c>
      <c r="G344" s="134">
        <v>6394779</v>
      </c>
      <c r="H344" s="134">
        <v>1833736</v>
      </c>
      <c r="I344" s="134">
        <v>1013144</v>
      </c>
      <c r="J344" s="134">
        <v>1915729430</v>
      </c>
      <c r="K344" s="134">
        <v>1915729430</v>
      </c>
    </row>
    <row r="345" spans="1:11">
      <c r="A345" t="s">
        <v>1872</v>
      </c>
      <c r="B345" t="s">
        <v>403</v>
      </c>
      <c r="C345" s="114">
        <v>783.80700000000002</v>
      </c>
      <c r="D345" s="114">
        <v>792.83500000000004</v>
      </c>
      <c r="E345" s="114">
        <v>1466.047</v>
      </c>
      <c r="F345" s="114">
        <v>0</v>
      </c>
      <c r="G345" s="114">
        <v>0</v>
      </c>
      <c r="H345" s="114">
        <v>0</v>
      </c>
      <c r="I345" s="114">
        <v>0</v>
      </c>
      <c r="J345" s="134">
        <v>632426270</v>
      </c>
      <c r="K345" s="134">
        <v>632426270</v>
      </c>
    </row>
    <row r="346" spans="1:11">
      <c r="A346" t="s">
        <v>1873</v>
      </c>
      <c r="B346" t="s">
        <v>404</v>
      </c>
      <c r="C346" s="114">
        <v>138.25399999999999</v>
      </c>
      <c r="D346" s="114">
        <v>138.25399999999999</v>
      </c>
      <c r="E346" s="114">
        <v>261.37299999999999</v>
      </c>
      <c r="F346" s="114">
        <v>0</v>
      </c>
      <c r="G346" s="114">
        <v>0</v>
      </c>
      <c r="H346" s="114">
        <v>0</v>
      </c>
      <c r="I346" s="114">
        <v>0</v>
      </c>
      <c r="J346" s="134">
        <v>57412980</v>
      </c>
      <c r="K346" s="134">
        <v>57412980</v>
      </c>
    </row>
    <row r="347" spans="1:11">
      <c r="A347" t="s">
        <v>2139</v>
      </c>
      <c r="B347" t="s">
        <v>1189</v>
      </c>
      <c r="C347" s="114">
        <v>24.465</v>
      </c>
      <c r="D347" s="114">
        <v>24.465</v>
      </c>
      <c r="E347" s="114">
        <v>109.313</v>
      </c>
      <c r="F347" s="114">
        <v>0</v>
      </c>
      <c r="G347" s="114">
        <v>0</v>
      </c>
      <c r="H347" s="114">
        <v>0</v>
      </c>
      <c r="I347" s="114">
        <v>0</v>
      </c>
      <c r="J347" s="134">
        <v>26047450</v>
      </c>
      <c r="K347" s="134">
        <v>26047450</v>
      </c>
    </row>
    <row r="348" spans="1:11">
      <c r="A348" t="s">
        <v>1636</v>
      </c>
      <c r="B348" t="s">
        <v>406</v>
      </c>
      <c r="C348" s="114">
        <v>2669.5619999999999</v>
      </c>
      <c r="D348" s="114">
        <v>2669.5619999999999</v>
      </c>
      <c r="E348" s="114">
        <v>3344.4940000000001</v>
      </c>
      <c r="F348" s="114">
        <v>0</v>
      </c>
      <c r="G348" s="134">
        <v>2324978</v>
      </c>
      <c r="H348" s="134">
        <v>2721959</v>
      </c>
      <c r="I348" s="114">
        <v>0</v>
      </c>
      <c r="J348" s="134">
        <v>1951190625</v>
      </c>
      <c r="K348" s="134">
        <v>1951190625</v>
      </c>
    </row>
    <row r="349" spans="1:11">
      <c r="A349" t="s">
        <v>2474</v>
      </c>
      <c r="B349" t="s">
        <v>2004</v>
      </c>
      <c r="C349" s="114">
        <v>570.14599999999996</v>
      </c>
      <c r="D349" s="114">
        <v>570.14599999999996</v>
      </c>
      <c r="E349" s="114">
        <v>1010.402</v>
      </c>
      <c r="F349" s="114">
        <v>0</v>
      </c>
      <c r="G349" s="114">
        <v>0</v>
      </c>
      <c r="H349" s="114">
        <v>0</v>
      </c>
      <c r="I349" s="114">
        <v>0</v>
      </c>
      <c r="J349" s="134">
        <v>266026899</v>
      </c>
      <c r="K349" s="134">
        <v>266026899</v>
      </c>
    </row>
    <row r="350" spans="1:11">
      <c r="A350" t="s">
        <v>2475</v>
      </c>
      <c r="B350" t="s">
        <v>2005</v>
      </c>
      <c r="C350" s="114">
        <v>248.96</v>
      </c>
      <c r="D350" s="114">
        <v>249.38</v>
      </c>
      <c r="E350" s="114">
        <v>486.67899999999997</v>
      </c>
      <c r="F350" s="114">
        <v>0</v>
      </c>
      <c r="G350" s="134">
        <v>552089</v>
      </c>
      <c r="H350" s="134">
        <v>954081</v>
      </c>
      <c r="I350" s="114">
        <v>0</v>
      </c>
      <c r="J350" s="134">
        <v>786452540</v>
      </c>
      <c r="K350" s="134">
        <v>786452540</v>
      </c>
    </row>
    <row r="351" spans="1:11">
      <c r="A351" t="s">
        <v>2794</v>
      </c>
      <c r="B351" t="s">
        <v>2006</v>
      </c>
      <c r="C351" s="114">
        <v>1231.8520000000001</v>
      </c>
      <c r="D351" s="114">
        <v>1231.8520000000001</v>
      </c>
      <c r="E351" s="114">
        <v>1845.9159999999999</v>
      </c>
      <c r="F351" s="114">
        <v>0</v>
      </c>
      <c r="G351" s="134">
        <v>1336512</v>
      </c>
      <c r="H351" s="134">
        <v>1700867</v>
      </c>
      <c r="I351" s="114">
        <v>0</v>
      </c>
      <c r="J351" s="134">
        <v>1086279130</v>
      </c>
      <c r="K351" s="134">
        <v>1086279130</v>
      </c>
    </row>
    <row r="352" spans="1:11">
      <c r="A352" t="s">
        <v>1019</v>
      </c>
      <c r="B352" t="s">
        <v>973</v>
      </c>
      <c r="C352" s="114">
        <v>2307.482</v>
      </c>
      <c r="D352" s="114">
        <v>2307.482</v>
      </c>
      <c r="E352" s="114">
        <v>3201.6469999999999</v>
      </c>
      <c r="F352" s="114">
        <v>0</v>
      </c>
      <c r="G352" s="134">
        <v>348300</v>
      </c>
      <c r="H352" s="114">
        <v>0</v>
      </c>
      <c r="I352" s="134">
        <v>350723</v>
      </c>
      <c r="J352" s="134">
        <v>501318054</v>
      </c>
      <c r="K352" s="134">
        <v>501318054</v>
      </c>
    </row>
    <row r="353" spans="1:11">
      <c r="A353" t="s">
        <v>2795</v>
      </c>
      <c r="B353" t="s">
        <v>1190</v>
      </c>
      <c r="C353" s="114">
        <v>946.85299999999995</v>
      </c>
      <c r="D353" s="114">
        <v>946.85299999999995</v>
      </c>
      <c r="E353" s="114">
        <v>1591.1510000000001</v>
      </c>
      <c r="F353" s="114">
        <v>0</v>
      </c>
      <c r="G353" s="134">
        <v>56708</v>
      </c>
      <c r="H353" s="134">
        <v>51744</v>
      </c>
      <c r="I353" s="114">
        <v>0</v>
      </c>
      <c r="J353" s="134">
        <v>151390641</v>
      </c>
      <c r="K353" s="134">
        <v>151390641</v>
      </c>
    </row>
    <row r="354" spans="1:11">
      <c r="A354" t="s">
        <v>2796</v>
      </c>
      <c r="B354" t="s">
        <v>1626</v>
      </c>
      <c r="C354" s="114">
        <v>221.35599999999999</v>
      </c>
      <c r="D354" s="114">
        <v>221.35599999999999</v>
      </c>
      <c r="E354" s="114">
        <v>397.23599999999999</v>
      </c>
      <c r="F354" s="114">
        <v>0</v>
      </c>
      <c r="G354" s="134">
        <v>246763</v>
      </c>
      <c r="H354" s="114">
        <v>0</v>
      </c>
      <c r="I354" s="114">
        <v>0</v>
      </c>
      <c r="J354" s="134">
        <v>104648944</v>
      </c>
      <c r="K354" s="134">
        <v>104648944</v>
      </c>
    </row>
    <row r="355" spans="1:11">
      <c r="A355" t="s">
        <v>2118</v>
      </c>
      <c r="B355" t="s">
        <v>1627</v>
      </c>
      <c r="C355" s="114">
        <v>134.15299999999999</v>
      </c>
      <c r="D355" s="114">
        <v>136.11699999999999</v>
      </c>
      <c r="E355" s="114">
        <v>229.56100000000001</v>
      </c>
      <c r="F355" s="114">
        <v>0</v>
      </c>
      <c r="G355" s="134">
        <v>520067</v>
      </c>
      <c r="H355" s="114">
        <v>0</v>
      </c>
      <c r="I355" s="114">
        <v>0</v>
      </c>
      <c r="J355" s="134">
        <v>125199008</v>
      </c>
      <c r="K355" s="134">
        <v>125199008</v>
      </c>
    </row>
    <row r="356" spans="1:11">
      <c r="A356" t="s">
        <v>2119</v>
      </c>
      <c r="B356" t="s">
        <v>1628</v>
      </c>
      <c r="C356" s="114">
        <v>208.142</v>
      </c>
      <c r="D356" s="114">
        <v>208.142</v>
      </c>
      <c r="E356" s="114">
        <v>401.30900000000003</v>
      </c>
      <c r="F356" s="114">
        <v>0</v>
      </c>
      <c r="G356" s="134">
        <v>296170</v>
      </c>
      <c r="H356" s="114">
        <v>0</v>
      </c>
      <c r="I356" s="114">
        <v>0</v>
      </c>
      <c r="J356" s="134">
        <v>141872335</v>
      </c>
      <c r="K356" s="134">
        <v>141872335</v>
      </c>
    </row>
    <row r="357" spans="1:11">
      <c r="A357" t="s">
        <v>2301</v>
      </c>
      <c r="B357" t="s">
        <v>1540</v>
      </c>
      <c r="C357" s="114">
        <v>3160.9490000000001</v>
      </c>
      <c r="D357" s="114">
        <v>3160.9490000000001</v>
      </c>
      <c r="E357" s="114">
        <v>4280.6130000000003</v>
      </c>
      <c r="F357" s="114">
        <v>0</v>
      </c>
      <c r="G357" s="134">
        <v>2933623</v>
      </c>
      <c r="H357" s="134">
        <v>172768</v>
      </c>
      <c r="I357" s="134">
        <v>526888</v>
      </c>
      <c r="J357" s="134">
        <v>992195628</v>
      </c>
      <c r="K357" s="134">
        <v>992195628</v>
      </c>
    </row>
    <row r="358" spans="1:11">
      <c r="A358" t="s">
        <v>2313</v>
      </c>
      <c r="B358" t="s">
        <v>1629</v>
      </c>
      <c r="C358" s="114">
        <v>24.257000000000001</v>
      </c>
      <c r="D358" s="114">
        <v>24.257000000000001</v>
      </c>
      <c r="E358" s="114">
        <v>36.645000000000003</v>
      </c>
      <c r="F358" s="114">
        <v>0</v>
      </c>
      <c r="G358" s="114">
        <v>0</v>
      </c>
      <c r="H358" s="114">
        <v>0</v>
      </c>
      <c r="I358" s="114">
        <v>0</v>
      </c>
      <c r="J358" s="134">
        <v>107819976</v>
      </c>
      <c r="K358" s="134">
        <v>107819976</v>
      </c>
    </row>
    <row r="359" spans="1:11">
      <c r="A359" t="s">
        <v>1897</v>
      </c>
      <c r="B359" t="s">
        <v>1757</v>
      </c>
      <c r="C359" s="114">
        <v>751.32600000000002</v>
      </c>
      <c r="D359" s="114">
        <v>751.32600000000002</v>
      </c>
      <c r="E359" s="114">
        <v>1152.9659999999999</v>
      </c>
      <c r="F359" s="114">
        <v>0</v>
      </c>
      <c r="G359" s="134">
        <v>384647</v>
      </c>
      <c r="H359" s="114">
        <v>0</v>
      </c>
      <c r="I359" s="134">
        <v>153028</v>
      </c>
      <c r="J359" s="134">
        <v>126857056</v>
      </c>
      <c r="K359" s="134">
        <v>126857056</v>
      </c>
    </row>
    <row r="360" spans="1:11">
      <c r="A360" t="s">
        <v>1107</v>
      </c>
      <c r="B360" t="s">
        <v>1630</v>
      </c>
      <c r="C360" s="114">
        <v>513.05999999999995</v>
      </c>
      <c r="D360" s="114">
        <v>525.26499999999999</v>
      </c>
      <c r="E360" s="114">
        <v>814.81399999999996</v>
      </c>
      <c r="F360" s="114">
        <v>0</v>
      </c>
      <c r="G360" s="134">
        <v>87921</v>
      </c>
      <c r="H360" s="134">
        <v>93950</v>
      </c>
      <c r="I360" s="114">
        <v>0</v>
      </c>
      <c r="J360" s="134">
        <v>113861260</v>
      </c>
      <c r="K360" s="134">
        <v>113861260</v>
      </c>
    </row>
    <row r="361" spans="1:11">
      <c r="A361" t="s">
        <v>1108</v>
      </c>
      <c r="B361" t="s">
        <v>1631</v>
      </c>
      <c r="C361" s="114">
        <v>4163.4669999999996</v>
      </c>
      <c r="D361" s="114">
        <v>4163.4669999999996</v>
      </c>
      <c r="E361" s="114">
        <v>5834.98</v>
      </c>
      <c r="F361" s="114">
        <v>0</v>
      </c>
      <c r="G361" s="134">
        <v>1236121</v>
      </c>
      <c r="H361" s="134">
        <v>1224351</v>
      </c>
      <c r="I361" s="114">
        <v>0</v>
      </c>
      <c r="J361" s="134">
        <v>1094564705</v>
      </c>
      <c r="K361" s="134">
        <v>1094564705</v>
      </c>
    </row>
    <row r="362" spans="1:11">
      <c r="A362" t="s">
        <v>1276</v>
      </c>
      <c r="B362" t="s">
        <v>2731</v>
      </c>
      <c r="C362" s="114">
        <v>931.63800000000003</v>
      </c>
      <c r="D362" s="114">
        <v>931.63800000000003</v>
      </c>
      <c r="E362" s="114">
        <v>1379.0550000000001</v>
      </c>
      <c r="F362" s="114">
        <v>0</v>
      </c>
      <c r="G362" s="134">
        <v>515489</v>
      </c>
      <c r="H362" s="134">
        <v>288657</v>
      </c>
      <c r="I362" s="134">
        <v>250090</v>
      </c>
      <c r="J362" s="134">
        <v>176807734</v>
      </c>
      <c r="K362" s="134">
        <v>176807734</v>
      </c>
    </row>
    <row r="363" spans="1:11">
      <c r="A363" t="s">
        <v>897</v>
      </c>
      <c r="B363" t="s">
        <v>1849</v>
      </c>
      <c r="C363" s="114">
        <v>6024.3440000000001</v>
      </c>
      <c r="D363" s="114">
        <v>6024.3440000000001</v>
      </c>
      <c r="E363" s="114">
        <v>7976.1229999999996</v>
      </c>
      <c r="F363" s="114">
        <v>0</v>
      </c>
      <c r="G363" s="134">
        <v>8428903</v>
      </c>
      <c r="H363" s="134">
        <v>5621749</v>
      </c>
      <c r="I363" s="134">
        <v>1468033</v>
      </c>
      <c r="J363" s="134">
        <v>2046522874</v>
      </c>
      <c r="K363" s="134">
        <v>2046522874</v>
      </c>
    </row>
    <row r="364" spans="1:11">
      <c r="A364" t="s">
        <v>898</v>
      </c>
      <c r="B364" t="s">
        <v>1850</v>
      </c>
      <c r="C364" s="114">
        <v>136.81800000000001</v>
      </c>
      <c r="D364" s="114">
        <v>136.81800000000001</v>
      </c>
      <c r="E364" s="114">
        <v>237.23400000000001</v>
      </c>
      <c r="F364" s="114">
        <v>0</v>
      </c>
      <c r="G364" s="134">
        <v>292251</v>
      </c>
      <c r="H364" s="134">
        <v>186859</v>
      </c>
      <c r="I364" s="114">
        <v>0</v>
      </c>
      <c r="J364" s="134">
        <v>64434088</v>
      </c>
      <c r="K364" s="134">
        <v>64434088</v>
      </c>
    </row>
    <row r="365" spans="1:11">
      <c r="A365" t="s">
        <v>1404</v>
      </c>
      <c r="B365" t="s">
        <v>2706</v>
      </c>
      <c r="C365" s="114">
        <v>1283.6790000000001</v>
      </c>
      <c r="D365" s="114">
        <v>1303.001</v>
      </c>
      <c r="E365" s="114">
        <v>1720.711</v>
      </c>
      <c r="F365" s="114">
        <v>0</v>
      </c>
      <c r="G365" s="134">
        <v>1490088</v>
      </c>
      <c r="H365" s="134">
        <v>841683</v>
      </c>
      <c r="I365" s="134">
        <v>476512</v>
      </c>
      <c r="J365" s="134">
        <v>349569638</v>
      </c>
      <c r="K365" s="134">
        <v>349569638</v>
      </c>
    </row>
    <row r="366" spans="1:11">
      <c r="A366" t="s">
        <v>1405</v>
      </c>
      <c r="B366" t="s">
        <v>1511</v>
      </c>
      <c r="C366" s="114">
        <v>1496.319</v>
      </c>
      <c r="D366" s="114">
        <v>1496.319</v>
      </c>
      <c r="E366" s="114">
        <v>2062.6579999999999</v>
      </c>
      <c r="F366" s="114">
        <v>0</v>
      </c>
      <c r="G366" s="134">
        <v>837983</v>
      </c>
      <c r="H366" s="134">
        <v>599405</v>
      </c>
      <c r="I366" s="134">
        <v>226732</v>
      </c>
      <c r="J366" s="134">
        <v>366731900</v>
      </c>
      <c r="K366" s="134">
        <v>366731900</v>
      </c>
    </row>
    <row r="367" spans="1:11">
      <c r="A367" t="s">
        <v>1650</v>
      </c>
      <c r="B367" t="s">
        <v>1851</v>
      </c>
      <c r="C367" s="114">
        <v>709.74199999999996</v>
      </c>
      <c r="D367" s="114">
        <v>709.74199999999996</v>
      </c>
      <c r="E367" s="114">
        <v>1125.1300000000001</v>
      </c>
      <c r="F367" s="114">
        <v>0</v>
      </c>
      <c r="G367" s="134">
        <v>333680</v>
      </c>
      <c r="H367" s="134">
        <v>335245</v>
      </c>
      <c r="I367" s="114">
        <v>0</v>
      </c>
      <c r="J367" s="134">
        <v>132737780</v>
      </c>
      <c r="K367" s="134">
        <v>132737780</v>
      </c>
    </row>
    <row r="368" spans="1:11">
      <c r="A368" t="s">
        <v>243</v>
      </c>
      <c r="B368" t="s">
        <v>2410</v>
      </c>
      <c r="C368" s="114">
        <v>1224.912</v>
      </c>
      <c r="D368" s="114">
        <v>1224.912</v>
      </c>
      <c r="E368" s="114">
        <v>1681.835</v>
      </c>
      <c r="F368" s="114">
        <v>0</v>
      </c>
      <c r="G368" s="134">
        <v>1115539</v>
      </c>
      <c r="H368" s="134">
        <v>1078814</v>
      </c>
      <c r="I368" s="134">
        <v>315852</v>
      </c>
      <c r="J368" s="134">
        <v>583213479</v>
      </c>
      <c r="K368" s="134">
        <v>583213479</v>
      </c>
    </row>
    <row r="369" spans="1:11">
      <c r="A369" t="s">
        <v>2977</v>
      </c>
      <c r="B369" t="s">
        <v>1191</v>
      </c>
      <c r="C369" s="114">
        <v>806.63400000000001</v>
      </c>
      <c r="D369" s="114">
        <v>806.63400000000001</v>
      </c>
      <c r="E369" s="114">
        <v>1231.221</v>
      </c>
      <c r="F369" s="114">
        <v>0</v>
      </c>
      <c r="G369" s="134">
        <v>673114</v>
      </c>
      <c r="H369" s="134">
        <v>691090</v>
      </c>
      <c r="I369" s="114">
        <v>0</v>
      </c>
      <c r="J369" s="134">
        <v>317729821</v>
      </c>
      <c r="K369" s="134">
        <v>317729821</v>
      </c>
    </row>
    <row r="370" spans="1:11">
      <c r="A370" t="s">
        <v>1483</v>
      </c>
      <c r="B370" t="s">
        <v>1948</v>
      </c>
      <c r="C370" s="114">
        <v>784.44899999999996</v>
      </c>
      <c r="D370" s="114">
        <v>801.17100000000005</v>
      </c>
      <c r="E370" s="114">
        <v>1201.57</v>
      </c>
      <c r="F370" s="114">
        <v>0</v>
      </c>
      <c r="G370" s="134">
        <v>778063</v>
      </c>
      <c r="H370" s="134">
        <v>455440</v>
      </c>
      <c r="I370" s="134">
        <v>157760</v>
      </c>
      <c r="J370" s="134">
        <v>158702357</v>
      </c>
      <c r="K370" s="134">
        <v>158702357</v>
      </c>
    </row>
    <row r="371" spans="1:11">
      <c r="A371" t="s">
        <v>1461</v>
      </c>
      <c r="B371" t="s">
        <v>250</v>
      </c>
      <c r="C371" s="114">
        <v>767.16</v>
      </c>
      <c r="D371" s="114">
        <v>767.16</v>
      </c>
      <c r="E371" s="114">
        <v>1219.896</v>
      </c>
      <c r="F371" s="114">
        <v>0</v>
      </c>
      <c r="G371" s="134">
        <v>181171</v>
      </c>
      <c r="H371" s="134">
        <v>177448</v>
      </c>
      <c r="I371" s="114">
        <v>0</v>
      </c>
      <c r="J371" s="134">
        <v>130313608</v>
      </c>
      <c r="K371" s="134">
        <v>130313608</v>
      </c>
    </row>
    <row r="372" spans="1:11">
      <c r="A372" t="s">
        <v>1462</v>
      </c>
      <c r="B372" t="s">
        <v>251</v>
      </c>
      <c r="C372" s="114">
        <v>1894.173</v>
      </c>
      <c r="D372" s="114">
        <v>1894.173</v>
      </c>
      <c r="E372" s="114">
        <v>2804.9059999999999</v>
      </c>
      <c r="F372" s="114">
        <v>0</v>
      </c>
      <c r="G372" s="134">
        <v>14956</v>
      </c>
      <c r="H372" s="134">
        <v>170688</v>
      </c>
      <c r="I372" s="114">
        <v>0</v>
      </c>
      <c r="J372" s="134">
        <v>488572355</v>
      </c>
      <c r="K372" s="134">
        <v>488572355</v>
      </c>
    </row>
    <row r="373" spans="1:11">
      <c r="A373" t="s">
        <v>1463</v>
      </c>
      <c r="B373" t="s">
        <v>252</v>
      </c>
      <c r="C373" s="114">
        <v>3502.105</v>
      </c>
      <c r="D373" s="114">
        <v>3502.105</v>
      </c>
      <c r="E373" s="114">
        <v>4627.0140000000001</v>
      </c>
      <c r="F373" s="114">
        <v>0</v>
      </c>
      <c r="G373" s="134">
        <v>1285869</v>
      </c>
      <c r="H373" s="134">
        <v>1318146</v>
      </c>
      <c r="I373" s="114">
        <v>0</v>
      </c>
      <c r="J373" s="134">
        <v>1247267875</v>
      </c>
      <c r="K373" s="134">
        <v>1247267875</v>
      </c>
    </row>
    <row r="374" spans="1:11">
      <c r="A374" t="s">
        <v>498</v>
      </c>
      <c r="B374" t="s">
        <v>2436</v>
      </c>
      <c r="C374" s="114">
        <v>7505.9380000000001</v>
      </c>
      <c r="D374" s="114">
        <v>7505.9380000000001</v>
      </c>
      <c r="E374" s="114">
        <v>9949</v>
      </c>
      <c r="F374" s="114">
        <v>0</v>
      </c>
      <c r="G374" s="134">
        <v>9232229</v>
      </c>
      <c r="H374" s="134">
        <v>3389274</v>
      </c>
      <c r="I374" s="134">
        <v>346003</v>
      </c>
      <c r="J374" s="134">
        <v>3317976580</v>
      </c>
      <c r="K374" s="134">
        <v>3317976580</v>
      </c>
    </row>
    <row r="375" spans="1:11">
      <c r="A375" t="s">
        <v>2504</v>
      </c>
      <c r="B375" t="s">
        <v>253</v>
      </c>
      <c r="C375" s="114">
        <v>4319.6750000000002</v>
      </c>
      <c r="D375" s="114">
        <v>4319.6750000000002</v>
      </c>
      <c r="E375" s="114">
        <v>5582.7740000000003</v>
      </c>
      <c r="F375" s="114">
        <v>0</v>
      </c>
      <c r="G375" s="134">
        <v>2754797</v>
      </c>
      <c r="H375" s="134">
        <v>3593006</v>
      </c>
      <c r="I375" s="114">
        <v>0</v>
      </c>
      <c r="J375" s="134">
        <v>1453737258</v>
      </c>
      <c r="K375" s="134">
        <v>1453737258</v>
      </c>
    </row>
    <row r="376" spans="1:11">
      <c r="A376" t="s">
        <v>3035</v>
      </c>
      <c r="B376" t="s">
        <v>254</v>
      </c>
      <c r="C376" s="114">
        <v>1226.134</v>
      </c>
      <c r="D376" s="114">
        <v>1226.134</v>
      </c>
      <c r="E376" s="114">
        <v>1665.932</v>
      </c>
      <c r="F376" s="114">
        <v>0</v>
      </c>
      <c r="G376" s="114">
        <v>0</v>
      </c>
      <c r="H376" s="114">
        <v>0</v>
      </c>
      <c r="I376" s="114">
        <v>0</v>
      </c>
      <c r="J376" s="134">
        <v>283063868</v>
      </c>
      <c r="K376" s="134">
        <v>283063868</v>
      </c>
    </row>
    <row r="377" spans="1:11">
      <c r="A377" t="s">
        <v>1702</v>
      </c>
      <c r="B377" t="s">
        <v>2210</v>
      </c>
      <c r="C377" s="114">
        <v>1784.9960000000001</v>
      </c>
      <c r="D377" s="114">
        <v>1784.9960000000001</v>
      </c>
      <c r="E377" s="114">
        <v>2261.5740000000001</v>
      </c>
      <c r="F377" s="114">
        <v>0</v>
      </c>
      <c r="G377" s="134">
        <v>1795794</v>
      </c>
      <c r="H377" s="134">
        <v>201586</v>
      </c>
      <c r="I377" s="134">
        <v>479414</v>
      </c>
      <c r="J377" s="134">
        <v>358260676</v>
      </c>
      <c r="K377" s="134">
        <v>358260676</v>
      </c>
    </row>
    <row r="378" spans="1:11">
      <c r="A378" t="s">
        <v>3036</v>
      </c>
      <c r="B378" t="s">
        <v>255</v>
      </c>
      <c r="C378" s="114">
        <v>1316.8610000000001</v>
      </c>
      <c r="D378" s="114">
        <v>1316.8610000000001</v>
      </c>
      <c r="E378" s="114">
        <v>1684.1790000000001</v>
      </c>
      <c r="F378" s="114">
        <v>0</v>
      </c>
      <c r="G378" s="134">
        <v>234370</v>
      </c>
      <c r="H378" s="134">
        <v>216095</v>
      </c>
      <c r="I378" s="114">
        <v>0</v>
      </c>
      <c r="J378" s="134">
        <v>304048341</v>
      </c>
      <c r="K378" s="134">
        <v>304048341</v>
      </c>
    </row>
    <row r="379" spans="1:11">
      <c r="A379" t="s">
        <v>3037</v>
      </c>
      <c r="B379" t="s">
        <v>1192</v>
      </c>
      <c r="C379" s="114">
        <v>597.97</v>
      </c>
      <c r="D379" s="114">
        <v>597.97</v>
      </c>
      <c r="E379" s="114">
        <v>929.673</v>
      </c>
      <c r="F379" s="114">
        <v>0</v>
      </c>
      <c r="G379" s="134">
        <v>1169822</v>
      </c>
      <c r="H379" s="134">
        <v>291012</v>
      </c>
      <c r="I379" s="114">
        <v>0</v>
      </c>
      <c r="J379" s="134">
        <v>382369483</v>
      </c>
      <c r="K379" s="134">
        <v>382369483</v>
      </c>
    </row>
    <row r="380" spans="1:11">
      <c r="A380" t="s">
        <v>3038</v>
      </c>
      <c r="B380" t="s">
        <v>257</v>
      </c>
      <c r="C380" s="114">
        <v>462.05900000000003</v>
      </c>
      <c r="D380" s="114">
        <v>462.05900000000003</v>
      </c>
      <c r="E380" s="114">
        <v>743.24199999999996</v>
      </c>
      <c r="F380" s="114">
        <v>0</v>
      </c>
      <c r="G380" s="114">
        <v>0</v>
      </c>
      <c r="H380" s="114">
        <v>0</v>
      </c>
      <c r="I380" s="114">
        <v>0</v>
      </c>
      <c r="J380" s="134">
        <v>109260984</v>
      </c>
      <c r="K380" s="134">
        <v>109260984</v>
      </c>
    </row>
    <row r="381" spans="1:11">
      <c r="A381" t="s">
        <v>3039</v>
      </c>
      <c r="B381" t="s">
        <v>258</v>
      </c>
      <c r="C381" s="114">
        <v>2704.3519999999999</v>
      </c>
      <c r="D381" s="114">
        <v>2704.3519999999999</v>
      </c>
      <c r="E381" s="114">
        <v>3746.1460000000002</v>
      </c>
      <c r="F381" s="114">
        <v>0</v>
      </c>
      <c r="G381" s="134">
        <v>2460920</v>
      </c>
      <c r="H381" s="134">
        <v>2215950</v>
      </c>
      <c r="I381" s="114">
        <v>0</v>
      </c>
      <c r="J381" s="134">
        <v>963051803</v>
      </c>
      <c r="K381" s="134">
        <v>963051803</v>
      </c>
    </row>
    <row r="382" spans="1:11">
      <c r="A382" t="s">
        <v>2456</v>
      </c>
      <c r="B382" t="s">
        <v>259</v>
      </c>
      <c r="C382" s="114">
        <v>122.104</v>
      </c>
      <c r="D382" s="114">
        <v>122.104</v>
      </c>
      <c r="E382" s="114">
        <v>230.41200000000001</v>
      </c>
      <c r="F382" s="114">
        <v>0</v>
      </c>
      <c r="G382" s="114">
        <v>0</v>
      </c>
      <c r="H382" s="114">
        <v>0</v>
      </c>
      <c r="I382" s="114">
        <v>0</v>
      </c>
      <c r="J382" s="134">
        <v>100363483</v>
      </c>
      <c r="K382" s="134">
        <v>100363483</v>
      </c>
    </row>
    <row r="383" spans="1:11">
      <c r="A383" t="s">
        <v>537</v>
      </c>
      <c r="B383" t="s">
        <v>1416</v>
      </c>
      <c r="C383" s="114">
        <v>6913.9769999999999</v>
      </c>
      <c r="D383" s="114">
        <v>6913.9769999999999</v>
      </c>
      <c r="E383" s="114">
        <v>9261.8009999999995</v>
      </c>
      <c r="F383" s="114">
        <v>0</v>
      </c>
      <c r="G383" s="134">
        <v>4791001</v>
      </c>
      <c r="H383" s="134">
        <v>855998</v>
      </c>
      <c r="I383" s="134">
        <v>2210761</v>
      </c>
      <c r="J383" s="134">
        <v>2190641419</v>
      </c>
      <c r="K383" s="134">
        <v>2190641419</v>
      </c>
    </row>
    <row r="384" spans="1:11">
      <c r="A384" t="s">
        <v>535</v>
      </c>
      <c r="B384" t="s">
        <v>1414</v>
      </c>
      <c r="C384" s="114">
        <v>10610.496999999999</v>
      </c>
      <c r="D384" s="114">
        <v>10610.496999999999</v>
      </c>
      <c r="E384" s="114">
        <v>12792.714</v>
      </c>
      <c r="F384" s="114">
        <v>0</v>
      </c>
      <c r="G384" s="134">
        <v>11046115</v>
      </c>
      <c r="H384" s="134">
        <v>5192002</v>
      </c>
      <c r="I384" s="134">
        <v>3836536</v>
      </c>
      <c r="J384" s="134">
        <v>2864729675</v>
      </c>
      <c r="K384" s="134">
        <v>2864729675</v>
      </c>
    </row>
    <row r="385" spans="1:11">
      <c r="A385" t="s">
        <v>2457</v>
      </c>
      <c r="B385" t="s">
        <v>260</v>
      </c>
      <c r="C385" s="114">
        <v>1431.4680000000001</v>
      </c>
      <c r="D385" s="114">
        <v>1431.4680000000001</v>
      </c>
      <c r="E385" s="114">
        <v>1896.33</v>
      </c>
      <c r="F385" s="114">
        <v>0</v>
      </c>
      <c r="G385" s="134">
        <v>1605490</v>
      </c>
      <c r="H385" s="134">
        <v>1286007</v>
      </c>
      <c r="I385" s="134">
        <v>358002</v>
      </c>
      <c r="J385" s="134">
        <v>461370613</v>
      </c>
      <c r="K385" s="134">
        <v>461370613</v>
      </c>
    </row>
    <row r="386" spans="1:11">
      <c r="A386" t="s">
        <v>381</v>
      </c>
      <c r="B386" t="s">
        <v>324</v>
      </c>
      <c r="C386" s="114">
        <v>1259.037</v>
      </c>
      <c r="D386" s="114">
        <v>1297.422</v>
      </c>
      <c r="E386" s="114">
        <v>1703.307</v>
      </c>
      <c r="F386" s="114">
        <v>0</v>
      </c>
      <c r="G386" s="134">
        <v>633627</v>
      </c>
      <c r="H386" s="134">
        <v>166575</v>
      </c>
      <c r="I386" s="134">
        <v>469374</v>
      </c>
      <c r="J386" s="134">
        <v>414379815</v>
      </c>
      <c r="K386" s="134">
        <v>414379815</v>
      </c>
    </row>
    <row r="387" spans="1:11">
      <c r="A387" t="s">
        <v>2458</v>
      </c>
      <c r="B387" t="s">
        <v>261</v>
      </c>
      <c r="C387" s="114">
        <v>724.98299999999995</v>
      </c>
      <c r="D387" s="114">
        <v>724.98299999999995</v>
      </c>
      <c r="E387" s="114">
        <v>1142.778</v>
      </c>
      <c r="F387" s="114">
        <v>0</v>
      </c>
      <c r="G387" s="114">
        <v>0</v>
      </c>
      <c r="H387" s="114">
        <v>0</v>
      </c>
      <c r="I387" s="114">
        <v>0</v>
      </c>
      <c r="J387" s="134">
        <v>360004208</v>
      </c>
      <c r="K387" s="134">
        <v>360004208</v>
      </c>
    </row>
    <row r="388" spans="1:11">
      <c r="A388" t="s">
        <v>2459</v>
      </c>
      <c r="B388" t="s">
        <v>262</v>
      </c>
      <c r="C388" s="114">
        <v>111.84099999999999</v>
      </c>
      <c r="D388" s="114">
        <v>128.309</v>
      </c>
      <c r="E388" s="114">
        <v>261.51799999999997</v>
      </c>
      <c r="F388" s="114">
        <v>0</v>
      </c>
      <c r="G388" s="114">
        <v>0</v>
      </c>
      <c r="H388" s="114">
        <v>0</v>
      </c>
      <c r="I388" s="114">
        <v>0</v>
      </c>
      <c r="J388" s="134">
        <v>28865849</v>
      </c>
      <c r="K388" s="134">
        <v>28865849</v>
      </c>
    </row>
    <row r="389" spans="1:11">
      <c r="A389" t="s">
        <v>547</v>
      </c>
      <c r="B389" t="s">
        <v>263</v>
      </c>
      <c r="C389" s="114">
        <v>553.31600000000003</v>
      </c>
      <c r="D389" s="114">
        <v>553.31600000000003</v>
      </c>
      <c r="E389" s="114">
        <v>949.47699999999998</v>
      </c>
      <c r="F389" s="114">
        <v>0</v>
      </c>
      <c r="G389" s="134">
        <v>191084</v>
      </c>
      <c r="H389" s="114">
        <v>0</v>
      </c>
      <c r="I389" s="114">
        <v>0</v>
      </c>
      <c r="J389" s="134">
        <v>64899351</v>
      </c>
      <c r="K389" s="134">
        <v>64899351</v>
      </c>
    </row>
    <row r="390" spans="1:11">
      <c r="A390" t="s">
        <v>2232</v>
      </c>
      <c r="B390" t="s">
        <v>264</v>
      </c>
      <c r="C390" s="114">
        <v>260.72000000000003</v>
      </c>
      <c r="D390" s="114">
        <v>260.72000000000003</v>
      </c>
      <c r="E390" s="114">
        <v>460.52199999999999</v>
      </c>
      <c r="F390" s="114">
        <v>0</v>
      </c>
      <c r="G390" s="134">
        <v>32417</v>
      </c>
      <c r="H390" s="134">
        <v>30757</v>
      </c>
      <c r="I390" s="114">
        <v>0</v>
      </c>
      <c r="J390" s="134">
        <v>46310974</v>
      </c>
      <c r="K390" s="134">
        <v>46310974</v>
      </c>
    </row>
    <row r="391" spans="1:11">
      <c r="A391" t="s">
        <v>2366</v>
      </c>
      <c r="B391" t="s">
        <v>265</v>
      </c>
      <c r="C391" s="114">
        <v>5266.0990000000002</v>
      </c>
      <c r="D391" s="114">
        <v>5266.0990000000002</v>
      </c>
      <c r="E391" s="114">
        <v>7092.3249999999998</v>
      </c>
      <c r="F391" s="114">
        <v>0</v>
      </c>
      <c r="G391" s="114">
        <v>0</v>
      </c>
      <c r="H391" s="114">
        <v>0</v>
      </c>
      <c r="I391" s="114">
        <v>0</v>
      </c>
      <c r="J391" s="134">
        <v>992327876</v>
      </c>
      <c r="K391" s="134">
        <v>992327876</v>
      </c>
    </row>
    <row r="392" spans="1:11">
      <c r="A392" t="s">
        <v>2367</v>
      </c>
      <c r="B392" t="s">
        <v>266</v>
      </c>
      <c r="C392" s="114">
        <v>511.404</v>
      </c>
      <c r="D392" s="114">
        <v>530.02300000000002</v>
      </c>
      <c r="E392" s="114">
        <v>1014.567</v>
      </c>
      <c r="F392" s="114">
        <v>0</v>
      </c>
      <c r="G392" s="114">
        <v>0</v>
      </c>
      <c r="H392" s="114">
        <v>0</v>
      </c>
      <c r="I392" s="114">
        <v>0</v>
      </c>
      <c r="J392" s="134">
        <v>110092931</v>
      </c>
      <c r="K392" s="134">
        <v>110092931</v>
      </c>
    </row>
    <row r="393" spans="1:11">
      <c r="A393" t="s">
        <v>169</v>
      </c>
      <c r="B393" t="s">
        <v>267</v>
      </c>
      <c r="C393" s="114">
        <v>206.547</v>
      </c>
      <c r="D393" s="114">
        <v>206.547</v>
      </c>
      <c r="E393" s="114">
        <v>410.59300000000002</v>
      </c>
      <c r="F393" s="114">
        <v>0</v>
      </c>
      <c r="G393" s="114">
        <v>0</v>
      </c>
      <c r="H393" s="114">
        <v>0</v>
      </c>
      <c r="I393" s="114">
        <v>0</v>
      </c>
      <c r="J393" s="134">
        <v>39025460</v>
      </c>
      <c r="K393" s="134">
        <v>39025460</v>
      </c>
    </row>
    <row r="394" spans="1:11">
      <c r="A394" t="s">
        <v>170</v>
      </c>
      <c r="B394" t="s">
        <v>1193</v>
      </c>
      <c r="C394" s="114">
        <v>773.69299999999998</v>
      </c>
      <c r="D394" s="114">
        <v>773.69299999999998</v>
      </c>
      <c r="E394" s="114">
        <v>1324.931</v>
      </c>
      <c r="F394" s="114">
        <v>0</v>
      </c>
      <c r="G394" s="134">
        <v>333358</v>
      </c>
      <c r="H394" s="134">
        <v>342879</v>
      </c>
      <c r="I394" s="114">
        <v>0</v>
      </c>
      <c r="J394" s="134">
        <v>233715655</v>
      </c>
      <c r="K394" s="134">
        <v>233715655</v>
      </c>
    </row>
    <row r="395" spans="1:11">
      <c r="A395" t="s">
        <v>2867</v>
      </c>
      <c r="B395" t="s">
        <v>2724</v>
      </c>
      <c r="C395" s="114">
        <v>658.15200000000004</v>
      </c>
      <c r="D395" s="114">
        <v>658.15200000000004</v>
      </c>
      <c r="E395" s="114">
        <v>1065.1120000000001</v>
      </c>
      <c r="F395" s="114">
        <v>0</v>
      </c>
      <c r="G395" s="134">
        <v>33169</v>
      </c>
      <c r="H395" s="134">
        <v>75376</v>
      </c>
      <c r="I395" s="134">
        <v>100163</v>
      </c>
      <c r="J395" s="134">
        <v>130667091</v>
      </c>
      <c r="K395" s="134">
        <v>130667091</v>
      </c>
    </row>
    <row r="396" spans="1:11">
      <c r="A396" t="s">
        <v>2674</v>
      </c>
      <c r="B396" t="s">
        <v>269</v>
      </c>
      <c r="C396" s="114">
        <v>381.505</v>
      </c>
      <c r="D396" s="114">
        <v>381.505</v>
      </c>
      <c r="E396" s="114">
        <v>733.65700000000004</v>
      </c>
      <c r="F396" s="114">
        <v>0</v>
      </c>
      <c r="G396" s="114">
        <v>0</v>
      </c>
      <c r="H396" s="114">
        <v>0</v>
      </c>
      <c r="I396" s="114">
        <v>0</v>
      </c>
      <c r="J396" s="134">
        <v>435571265</v>
      </c>
      <c r="K396" s="134">
        <v>435571265</v>
      </c>
    </row>
    <row r="397" spans="1:11">
      <c r="A397" t="s">
        <v>1281</v>
      </c>
      <c r="B397" t="s">
        <v>1194</v>
      </c>
      <c r="C397" s="114">
        <v>110.279</v>
      </c>
      <c r="D397" s="114">
        <v>110.279</v>
      </c>
      <c r="E397" s="114">
        <v>219.33099999999999</v>
      </c>
      <c r="F397" s="114">
        <v>0</v>
      </c>
      <c r="G397" s="114">
        <v>0</v>
      </c>
      <c r="H397" s="114">
        <v>0</v>
      </c>
      <c r="I397" s="114">
        <v>0</v>
      </c>
      <c r="J397" s="134">
        <v>178755598</v>
      </c>
      <c r="K397" s="134">
        <v>178755598</v>
      </c>
    </row>
    <row r="398" spans="1:11">
      <c r="A398" t="s">
        <v>1282</v>
      </c>
      <c r="B398" t="s">
        <v>2991</v>
      </c>
      <c r="C398" s="114">
        <v>750.63300000000004</v>
      </c>
      <c r="D398" s="114">
        <v>750.63300000000004</v>
      </c>
      <c r="E398" s="114">
        <v>1302.059</v>
      </c>
      <c r="F398" s="114">
        <v>0</v>
      </c>
      <c r="G398" s="134">
        <v>828229</v>
      </c>
      <c r="H398" s="134">
        <v>993840</v>
      </c>
      <c r="I398" s="114">
        <v>0</v>
      </c>
      <c r="J398" s="134">
        <v>365152792</v>
      </c>
      <c r="K398" s="134">
        <v>365152792</v>
      </c>
    </row>
    <row r="399" spans="1:11">
      <c r="A399" t="s">
        <v>2416</v>
      </c>
      <c r="B399" t="s">
        <v>518</v>
      </c>
      <c r="C399" s="114">
        <v>175.952</v>
      </c>
      <c r="D399" s="114">
        <v>175.952</v>
      </c>
      <c r="E399" s="114">
        <v>327.37700000000001</v>
      </c>
      <c r="F399" s="114">
        <v>0</v>
      </c>
      <c r="G399" s="114">
        <v>0</v>
      </c>
      <c r="H399" s="114">
        <v>0</v>
      </c>
      <c r="I399" s="114">
        <v>0</v>
      </c>
      <c r="J399" s="134">
        <v>104965880</v>
      </c>
      <c r="K399" s="134">
        <v>104965880</v>
      </c>
    </row>
    <row r="400" spans="1:11">
      <c r="A400" t="s">
        <v>2417</v>
      </c>
      <c r="B400" t="s">
        <v>519</v>
      </c>
      <c r="C400" s="114">
        <v>514.13199999999995</v>
      </c>
      <c r="D400" s="114">
        <v>521.00199999999995</v>
      </c>
      <c r="E400" s="114">
        <v>1029.0619999999999</v>
      </c>
      <c r="F400" s="114">
        <v>0</v>
      </c>
      <c r="G400" s="114">
        <v>0</v>
      </c>
      <c r="H400" s="114">
        <v>0</v>
      </c>
      <c r="I400" s="114">
        <v>0</v>
      </c>
      <c r="J400" s="134">
        <v>204588800</v>
      </c>
      <c r="K400" s="134">
        <v>204588800</v>
      </c>
    </row>
    <row r="401" spans="1:11">
      <c r="A401" t="s">
        <v>1158</v>
      </c>
      <c r="B401" t="s">
        <v>520</v>
      </c>
      <c r="C401" s="114">
        <v>1256.9780000000001</v>
      </c>
      <c r="D401" s="114">
        <v>1287.2380000000001</v>
      </c>
      <c r="E401" s="114">
        <v>1774.008</v>
      </c>
      <c r="F401" s="114">
        <v>0</v>
      </c>
      <c r="G401" s="134">
        <v>516860</v>
      </c>
      <c r="H401" s="134">
        <v>431897</v>
      </c>
      <c r="I401" s="114">
        <v>0</v>
      </c>
      <c r="J401" s="134">
        <v>243595718</v>
      </c>
      <c r="K401" s="134">
        <v>243118005</v>
      </c>
    </row>
    <row r="402" spans="1:11">
      <c r="A402" t="s">
        <v>1312</v>
      </c>
      <c r="B402" t="s">
        <v>1684</v>
      </c>
      <c r="C402" s="114">
        <v>2694.6880000000001</v>
      </c>
      <c r="D402" s="114">
        <v>2748.1880000000001</v>
      </c>
      <c r="E402" s="114">
        <v>3786.018</v>
      </c>
      <c r="F402" s="114">
        <v>0</v>
      </c>
      <c r="G402" s="134">
        <v>1008467</v>
      </c>
      <c r="H402" s="134">
        <v>45845</v>
      </c>
      <c r="I402" s="134">
        <v>906542</v>
      </c>
      <c r="J402" s="134">
        <v>574670636</v>
      </c>
      <c r="K402" s="134">
        <v>574282399</v>
      </c>
    </row>
    <row r="403" spans="1:11">
      <c r="A403" t="s">
        <v>416</v>
      </c>
      <c r="B403" t="s">
        <v>521</v>
      </c>
      <c r="C403" s="114">
        <v>1920.798</v>
      </c>
      <c r="D403" s="114">
        <v>1954.4380000000001</v>
      </c>
      <c r="E403" s="114">
        <v>2423.8220000000001</v>
      </c>
      <c r="F403" s="114">
        <v>0</v>
      </c>
      <c r="G403" s="134">
        <v>3323966</v>
      </c>
      <c r="H403" s="134">
        <v>660591</v>
      </c>
      <c r="I403" s="114">
        <v>0</v>
      </c>
      <c r="J403" s="134">
        <v>844771598</v>
      </c>
      <c r="K403" s="134">
        <v>840553661</v>
      </c>
    </row>
    <row r="404" spans="1:11">
      <c r="A404" t="s">
        <v>2608</v>
      </c>
      <c r="B404" t="s">
        <v>949</v>
      </c>
      <c r="C404" s="114">
        <v>3653.1590000000001</v>
      </c>
      <c r="D404" s="114">
        <v>3729.8589999999999</v>
      </c>
      <c r="E404" s="114">
        <v>4654.2650000000003</v>
      </c>
      <c r="F404" s="114">
        <v>0</v>
      </c>
      <c r="G404" s="134">
        <v>779830</v>
      </c>
      <c r="H404" s="134">
        <v>21635</v>
      </c>
      <c r="I404" s="134">
        <v>812943</v>
      </c>
      <c r="J404" s="134">
        <v>684698706</v>
      </c>
      <c r="K404" s="134">
        <v>684226262</v>
      </c>
    </row>
    <row r="405" spans="1:11">
      <c r="A405" t="s">
        <v>1346</v>
      </c>
      <c r="B405" t="s">
        <v>328</v>
      </c>
      <c r="C405" s="114">
        <v>540.69500000000005</v>
      </c>
      <c r="D405" s="114">
        <v>540.69500000000005</v>
      </c>
      <c r="E405" s="114">
        <v>875.36699999999996</v>
      </c>
      <c r="F405" s="114">
        <v>0</v>
      </c>
      <c r="G405" s="134">
        <v>258510</v>
      </c>
      <c r="H405" s="134">
        <v>177760</v>
      </c>
      <c r="I405" s="114">
        <v>770</v>
      </c>
      <c r="J405" s="134">
        <v>132283295</v>
      </c>
      <c r="K405" s="134">
        <v>132180568</v>
      </c>
    </row>
    <row r="406" spans="1:11">
      <c r="A406" t="s">
        <v>639</v>
      </c>
      <c r="B406" t="s">
        <v>797</v>
      </c>
      <c r="C406" s="114">
        <v>56090.955999999998</v>
      </c>
      <c r="D406" s="114">
        <v>56090.955999999998</v>
      </c>
      <c r="E406" s="114">
        <v>76620.186000000002</v>
      </c>
      <c r="F406" s="114">
        <v>0</v>
      </c>
      <c r="G406" s="134">
        <v>21045928</v>
      </c>
      <c r="H406" s="134">
        <v>9104607</v>
      </c>
      <c r="I406" s="134">
        <v>10474229</v>
      </c>
      <c r="J406" s="134">
        <v>11942039068</v>
      </c>
      <c r="K406" s="134">
        <v>11942039068</v>
      </c>
    </row>
    <row r="407" spans="1:11">
      <c r="A407" t="s">
        <v>222</v>
      </c>
      <c r="B407" t="s">
        <v>2264</v>
      </c>
      <c r="C407" s="114">
        <v>41395.815999999999</v>
      </c>
      <c r="D407" s="114">
        <v>41395.815999999999</v>
      </c>
      <c r="E407" s="114">
        <v>56296.817000000003</v>
      </c>
      <c r="F407" s="114">
        <v>0</v>
      </c>
      <c r="G407" s="134">
        <v>25018233</v>
      </c>
      <c r="H407" s="134">
        <v>14646953</v>
      </c>
      <c r="I407" s="134">
        <v>10616837</v>
      </c>
      <c r="J407" s="134">
        <v>11011148289</v>
      </c>
      <c r="K407" s="134">
        <v>10982742857</v>
      </c>
    </row>
    <row r="408" spans="1:11">
      <c r="A408" t="s">
        <v>2641</v>
      </c>
      <c r="B408" t="s">
        <v>522</v>
      </c>
      <c r="C408" s="114">
        <v>7909.7309999999998</v>
      </c>
      <c r="D408" s="114">
        <v>7909.7309999999998</v>
      </c>
      <c r="E408" s="114">
        <v>10914.995000000001</v>
      </c>
      <c r="F408" s="114">
        <v>0</v>
      </c>
      <c r="G408" s="134">
        <v>5279718</v>
      </c>
      <c r="H408" s="134">
        <v>4953016</v>
      </c>
      <c r="I408" s="114">
        <v>0</v>
      </c>
      <c r="J408" s="134">
        <v>2275742387</v>
      </c>
      <c r="K408" s="134">
        <v>2275742387</v>
      </c>
    </row>
    <row r="409" spans="1:11">
      <c r="A409" t="s">
        <v>2758</v>
      </c>
      <c r="B409" t="s">
        <v>458</v>
      </c>
      <c r="C409" s="114">
        <v>4624.7809999999999</v>
      </c>
      <c r="D409" s="114">
        <v>4624.7809999999999</v>
      </c>
      <c r="E409" s="114">
        <v>5992.8590000000004</v>
      </c>
      <c r="F409" s="114">
        <v>0</v>
      </c>
      <c r="G409" s="134">
        <v>3562243</v>
      </c>
      <c r="H409" s="134">
        <v>2801533</v>
      </c>
      <c r="I409" s="134">
        <v>620639</v>
      </c>
      <c r="J409" s="134">
        <v>1084497168</v>
      </c>
      <c r="K409" s="134">
        <v>1084497168</v>
      </c>
    </row>
    <row r="410" spans="1:11">
      <c r="A410" t="s">
        <v>2642</v>
      </c>
      <c r="B410" t="s">
        <v>523</v>
      </c>
      <c r="C410" s="114">
        <v>94439.467000000004</v>
      </c>
      <c r="D410" s="114">
        <v>94439.467000000004</v>
      </c>
      <c r="E410" s="114">
        <v>117190.141</v>
      </c>
      <c r="F410" s="114">
        <v>0</v>
      </c>
      <c r="G410" s="134">
        <v>95450633</v>
      </c>
      <c r="H410" s="134">
        <v>85228877</v>
      </c>
      <c r="I410" s="114">
        <v>0</v>
      </c>
      <c r="J410" s="134">
        <v>29389268084</v>
      </c>
      <c r="K410" s="134">
        <v>29389268084</v>
      </c>
    </row>
    <row r="411" spans="1:11">
      <c r="A411" t="s">
        <v>2481</v>
      </c>
      <c r="B411" t="s">
        <v>524</v>
      </c>
      <c r="C411" s="114">
        <v>11700.486999999999</v>
      </c>
      <c r="D411" s="114">
        <v>11950.486999999999</v>
      </c>
      <c r="E411" s="114">
        <v>15552.539000000001</v>
      </c>
      <c r="F411" s="114">
        <v>0</v>
      </c>
      <c r="G411" s="134">
        <v>18404515</v>
      </c>
      <c r="H411" s="134">
        <v>16841529</v>
      </c>
      <c r="I411" s="114">
        <v>0</v>
      </c>
      <c r="J411" s="134">
        <v>7891310337</v>
      </c>
      <c r="K411" s="134">
        <v>7874178515</v>
      </c>
    </row>
    <row r="412" spans="1:11">
      <c r="A412" t="s">
        <v>1588</v>
      </c>
      <c r="B412" t="s">
        <v>2611</v>
      </c>
      <c r="C412" s="114">
        <v>6964.4750000000004</v>
      </c>
      <c r="D412" s="114">
        <v>7065.076</v>
      </c>
      <c r="E412" s="114">
        <v>9861.8310000000001</v>
      </c>
      <c r="F412" s="114">
        <v>0</v>
      </c>
      <c r="G412" s="134">
        <v>4156007</v>
      </c>
      <c r="H412" s="134">
        <v>534565</v>
      </c>
      <c r="I412" s="134">
        <v>3084867</v>
      </c>
      <c r="J412" s="134">
        <v>1566122762</v>
      </c>
      <c r="K412" s="134">
        <v>1562088509</v>
      </c>
    </row>
    <row r="413" spans="1:11">
      <c r="A413" t="s">
        <v>1608</v>
      </c>
      <c r="B413" t="s">
        <v>1670</v>
      </c>
      <c r="C413" s="114">
        <v>19779.991000000002</v>
      </c>
      <c r="D413" s="114">
        <v>19779.991000000002</v>
      </c>
      <c r="E413" s="114">
        <v>27631.974999999999</v>
      </c>
      <c r="F413" s="114">
        <v>0</v>
      </c>
      <c r="G413" s="134">
        <v>14688503</v>
      </c>
      <c r="H413" s="134">
        <v>9805053</v>
      </c>
      <c r="I413" s="134">
        <v>3454570</v>
      </c>
      <c r="J413" s="134">
        <v>4905234504</v>
      </c>
      <c r="K413" s="134">
        <v>4902963154</v>
      </c>
    </row>
    <row r="414" spans="1:11">
      <c r="A414" t="s">
        <v>2300</v>
      </c>
      <c r="B414" t="s">
        <v>525</v>
      </c>
      <c r="C414" s="114">
        <v>19070.804</v>
      </c>
      <c r="D414" s="114">
        <v>19070.804</v>
      </c>
      <c r="E414" s="114">
        <v>25191.011999999999</v>
      </c>
      <c r="F414" s="114">
        <v>0</v>
      </c>
      <c r="G414" s="134">
        <v>22488443</v>
      </c>
      <c r="H414" s="134">
        <v>26554533</v>
      </c>
      <c r="I414" s="114">
        <v>0</v>
      </c>
      <c r="J414" s="134">
        <v>9170485853</v>
      </c>
      <c r="K414" s="134">
        <v>9156735639</v>
      </c>
    </row>
    <row r="415" spans="1:11">
      <c r="A415" t="s">
        <v>2921</v>
      </c>
      <c r="B415" t="s">
        <v>526</v>
      </c>
      <c r="C415" s="114">
        <v>179830.17</v>
      </c>
      <c r="D415" s="114">
        <v>179830.17</v>
      </c>
      <c r="E415" s="114">
        <v>251031.101</v>
      </c>
      <c r="F415" s="114">
        <v>0</v>
      </c>
      <c r="G415" s="134">
        <v>154836274</v>
      </c>
      <c r="H415" s="134">
        <v>147500506</v>
      </c>
      <c r="I415" s="114">
        <v>0</v>
      </c>
      <c r="J415" s="134">
        <v>92067861420</v>
      </c>
      <c r="K415" s="134">
        <v>92002918065</v>
      </c>
    </row>
    <row r="416" spans="1:11">
      <c r="A416" t="s">
        <v>1278</v>
      </c>
      <c r="B416" t="s">
        <v>2736</v>
      </c>
      <c r="C416" s="114">
        <v>31569.712</v>
      </c>
      <c r="D416" s="114">
        <v>31569.712</v>
      </c>
      <c r="E416" s="114">
        <v>39525.919000000002</v>
      </c>
      <c r="F416" s="114">
        <v>0</v>
      </c>
      <c r="G416" s="134">
        <v>35201875</v>
      </c>
      <c r="H416" s="134">
        <v>24340032</v>
      </c>
      <c r="I416" s="134">
        <v>2198680</v>
      </c>
      <c r="J416" s="134">
        <v>8868746218</v>
      </c>
      <c r="K416" s="134">
        <v>8868746218</v>
      </c>
    </row>
    <row r="417" spans="1:11">
      <c r="A417" t="s">
        <v>55</v>
      </c>
      <c r="B417" t="s">
        <v>450</v>
      </c>
      <c r="C417" s="114">
        <v>53644.633999999998</v>
      </c>
      <c r="D417" s="114">
        <v>53644.633999999998</v>
      </c>
      <c r="E417" s="114">
        <v>65166.180999999997</v>
      </c>
      <c r="F417" s="114">
        <v>0</v>
      </c>
      <c r="G417" s="134">
        <v>73112867</v>
      </c>
      <c r="H417" s="134">
        <v>45129769</v>
      </c>
      <c r="I417" s="134">
        <v>12458315</v>
      </c>
      <c r="J417" s="134">
        <v>15561989161</v>
      </c>
      <c r="K417" s="134">
        <v>15561989161</v>
      </c>
    </row>
    <row r="418" spans="1:11">
      <c r="A418" t="s">
        <v>62</v>
      </c>
      <c r="B418" t="s">
        <v>2980</v>
      </c>
      <c r="C418" s="114">
        <v>41114.902000000002</v>
      </c>
      <c r="D418" s="114">
        <v>41114.902000000002</v>
      </c>
      <c r="E418" s="114">
        <v>52383.038999999997</v>
      </c>
      <c r="F418" s="114">
        <v>0</v>
      </c>
      <c r="G418" s="134">
        <v>34106633</v>
      </c>
      <c r="H418" s="134">
        <v>21510068</v>
      </c>
      <c r="I418" s="134">
        <v>10553517</v>
      </c>
      <c r="J418" s="134">
        <v>11552402677</v>
      </c>
      <c r="K418" s="134">
        <v>11552402677</v>
      </c>
    </row>
    <row r="419" spans="1:11">
      <c r="A419" t="s">
        <v>2922</v>
      </c>
      <c r="B419" t="s">
        <v>527</v>
      </c>
      <c r="C419" s="114">
        <v>7438.9390000000003</v>
      </c>
      <c r="D419" s="114">
        <v>7590.4390000000003</v>
      </c>
      <c r="E419" s="114">
        <v>9774.5519999999997</v>
      </c>
      <c r="F419" s="114">
        <v>0</v>
      </c>
      <c r="G419" s="134">
        <v>16094920</v>
      </c>
      <c r="H419" s="134">
        <v>15302856</v>
      </c>
      <c r="I419" s="114">
        <v>0</v>
      </c>
      <c r="J419" s="134">
        <v>5582250378</v>
      </c>
      <c r="K419" s="134">
        <v>5551734123</v>
      </c>
    </row>
    <row r="420" spans="1:11">
      <c r="A420" t="s">
        <v>234</v>
      </c>
      <c r="B420" t="s">
        <v>302</v>
      </c>
      <c r="C420" s="114">
        <v>47559.748</v>
      </c>
      <c r="D420" s="114">
        <v>47559.748</v>
      </c>
      <c r="E420" s="114">
        <v>64271.055</v>
      </c>
      <c r="F420" s="114">
        <v>0</v>
      </c>
      <c r="G420" s="134">
        <v>28880202</v>
      </c>
      <c r="H420" s="134">
        <v>18239249</v>
      </c>
      <c r="I420" s="134">
        <v>4697352</v>
      </c>
      <c r="J420" s="134">
        <v>9730451397</v>
      </c>
      <c r="K420" s="134">
        <v>9718887766</v>
      </c>
    </row>
    <row r="421" spans="1:11">
      <c r="A421" t="s">
        <v>743</v>
      </c>
      <c r="B421" t="s">
        <v>528</v>
      </c>
      <c r="C421" s="114">
        <v>31511.300999999999</v>
      </c>
      <c r="D421" s="114">
        <v>31511.300999999999</v>
      </c>
      <c r="E421" s="114">
        <v>42588.716</v>
      </c>
      <c r="F421" s="114">
        <v>0</v>
      </c>
      <c r="G421" s="134">
        <v>34555524</v>
      </c>
      <c r="H421" s="134">
        <v>22268106</v>
      </c>
      <c r="I421" s="114">
        <v>0</v>
      </c>
      <c r="J421" s="134">
        <v>7685407632</v>
      </c>
      <c r="K421" s="134">
        <v>7678657396</v>
      </c>
    </row>
    <row r="422" spans="1:11">
      <c r="A422" t="s">
        <v>918</v>
      </c>
      <c r="B422" t="s">
        <v>2505</v>
      </c>
      <c r="C422" s="114">
        <v>29745.148000000001</v>
      </c>
      <c r="D422" s="114">
        <v>29745.148000000001</v>
      </c>
      <c r="E422" s="114">
        <v>40313.748</v>
      </c>
      <c r="F422" s="114">
        <v>0</v>
      </c>
      <c r="G422" s="134">
        <v>50254473</v>
      </c>
      <c r="H422" s="134">
        <v>29991491</v>
      </c>
      <c r="I422" s="114">
        <v>0</v>
      </c>
      <c r="J422" s="134">
        <v>15779572709</v>
      </c>
      <c r="K422" s="134">
        <v>15779572709</v>
      </c>
    </row>
    <row r="423" spans="1:11">
      <c r="A423" t="s">
        <v>2221</v>
      </c>
      <c r="B423" t="s">
        <v>2506</v>
      </c>
      <c r="C423" s="114">
        <v>9181.0480000000007</v>
      </c>
      <c r="D423" s="114">
        <v>9181.0480000000007</v>
      </c>
      <c r="E423" s="114">
        <v>10962.725</v>
      </c>
      <c r="F423" s="114">
        <v>0</v>
      </c>
      <c r="G423" s="134">
        <v>16232641</v>
      </c>
      <c r="H423" s="134">
        <v>12024792</v>
      </c>
      <c r="I423" s="114">
        <v>0</v>
      </c>
      <c r="J423" s="134">
        <v>4147331659</v>
      </c>
      <c r="K423" s="134">
        <v>4146480095</v>
      </c>
    </row>
    <row r="424" spans="1:11">
      <c r="A424" t="s">
        <v>2222</v>
      </c>
      <c r="B424" t="s">
        <v>2507</v>
      </c>
      <c r="C424" s="114">
        <v>5790.4340000000002</v>
      </c>
      <c r="D424" s="114">
        <v>5790.4340000000002</v>
      </c>
      <c r="E424" s="114">
        <v>7628.9809999999998</v>
      </c>
      <c r="F424" s="114">
        <v>0</v>
      </c>
      <c r="G424" s="134">
        <v>14325372</v>
      </c>
      <c r="H424" s="134">
        <v>9546014</v>
      </c>
      <c r="I424" s="114">
        <v>0</v>
      </c>
      <c r="J424" s="134">
        <v>3291728832</v>
      </c>
      <c r="K424" s="134">
        <v>3291728832</v>
      </c>
    </row>
    <row r="425" spans="1:11">
      <c r="A425" t="s">
        <v>979</v>
      </c>
      <c r="B425" t="s">
        <v>2734</v>
      </c>
      <c r="C425" s="114">
        <v>2864.2150000000001</v>
      </c>
      <c r="D425" s="114">
        <v>2885.665</v>
      </c>
      <c r="E425" s="114">
        <v>3705.38</v>
      </c>
      <c r="F425" s="114">
        <v>0</v>
      </c>
      <c r="G425" s="134">
        <v>3332169</v>
      </c>
      <c r="H425" s="134">
        <v>1520572</v>
      </c>
      <c r="I425" s="134">
        <v>411841</v>
      </c>
      <c r="J425" s="134">
        <v>723143714</v>
      </c>
      <c r="K425" s="134">
        <v>721067311</v>
      </c>
    </row>
    <row r="426" spans="1:11">
      <c r="A426" t="s">
        <v>2223</v>
      </c>
      <c r="B426" t="s">
        <v>2508</v>
      </c>
      <c r="C426" s="114">
        <v>171.828</v>
      </c>
      <c r="D426" s="114">
        <v>171.828</v>
      </c>
      <c r="E426" s="114">
        <v>332.15800000000002</v>
      </c>
      <c r="F426" s="114">
        <v>0</v>
      </c>
      <c r="G426" s="114">
        <v>0</v>
      </c>
      <c r="H426" s="114">
        <v>0</v>
      </c>
      <c r="I426" s="114">
        <v>0</v>
      </c>
      <c r="J426" s="134">
        <v>152982409</v>
      </c>
      <c r="K426" s="134">
        <v>152982409</v>
      </c>
    </row>
    <row r="427" spans="1:11">
      <c r="A427" t="s">
        <v>1692</v>
      </c>
      <c r="B427" t="s">
        <v>2509</v>
      </c>
      <c r="C427" s="114">
        <v>5364.8450000000003</v>
      </c>
      <c r="D427" s="114">
        <v>5364.8450000000003</v>
      </c>
      <c r="E427" s="114">
        <v>7124.4949999999999</v>
      </c>
      <c r="F427" s="114">
        <v>0</v>
      </c>
      <c r="G427" s="114">
        <v>0</v>
      </c>
      <c r="H427" s="114">
        <v>0</v>
      </c>
      <c r="I427" s="114">
        <v>0</v>
      </c>
      <c r="J427" s="134">
        <v>2498586975</v>
      </c>
      <c r="K427" s="134">
        <v>2498586975</v>
      </c>
    </row>
    <row r="428" spans="1:11">
      <c r="A428" t="s">
        <v>1693</v>
      </c>
      <c r="B428" t="s">
        <v>2510</v>
      </c>
      <c r="C428" s="114">
        <v>707.93499999999995</v>
      </c>
      <c r="D428" s="114">
        <v>707.93499999999995</v>
      </c>
      <c r="E428" s="114">
        <v>1149.192</v>
      </c>
      <c r="F428" s="114">
        <v>0</v>
      </c>
      <c r="G428" s="134">
        <v>562819</v>
      </c>
      <c r="H428" s="134">
        <v>774340</v>
      </c>
      <c r="I428" s="114">
        <v>0</v>
      </c>
      <c r="J428" s="134">
        <v>364020930</v>
      </c>
      <c r="K428" s="134">
        <v>364020930</v>
      </c>
    </row>
    <row r="429" spans="1:11">
      <c r="A429" t="s">
        <v>1694</v>
      </c>
      <c r="B429" t="s">
        <v>2368</v>
      </c>
      <c r="C429" s="114">
        <v>3946.9450000000002</v>
      </c>
      <c r="D429" s="114">
        <v>3946.9450000000002</v>
      </c>
      <c r="E429" s="114">
        <v>4848.04</v>
      </c>
      <c r="F429" s="114">
        <v>0</v>
      </c>
      <c r="G429" s="134">
        <v>7715201</v>
      </c>
      <c r="H429" s="134">
        <v>2631844</v>
      </c>
      <c r="I429" s="114">
        <v>0</v>
      </c>
      <c r="J429" s="134">
        <v>2483364610</v>
      </c>
      <c r="K429" s="134">
        <v>2483364610</v>
      </c>
    </row>
    <row r="430" spans="1:11">
      <c r="A430" t="s">
        <v>1765</v>
      </c>
      <c r="B430" t="s">
        <v>2369</v>
      </c>
      <c r="C430" s="114">
        <v>661.47400000000005</v>
      </c>
      <c r="D430" s="114">
        <v>661.47400000000005</v>
      </c>
      <c r="E430" s="114">
        <v>1020.49</v>
      </c>
      <c r="F430" s="114">
        <v>0</v>
      </c>
      <c r="G430" s="134">
        <v>125189</v>
      </c>
      <c r="H430" s="134">
        <v>107563</v>
      </c>
      <c r="I430" s="114">
        <v>0</v>
      </c>
      <c r="J430" s="134">
        <v>148760421</v>
      </c>
      <c r="K430" s="134">
        <v>148760421</v>
      </c>
    </row>
    <row r="431" spans="1:11">
      <c r="A431" t="s">
        <v>1766</v>
      </c>
      <c r="B431" t="s">
        <v>182</v>
      </c>
      <c r="C431" s="114">
        <v>923.57399999999996</v>
      </c>
      <c r="D431" s="114">
        <v>923.57399999999996</v>
      </c>
      <c r="E431" s="114">
        <v>1399.0350000000001</v>
      </c>
      <c r="F431" s="114">
        <v>0</v>
      </c>
      <c r="G431" s="134">
        <v>1144938</v>
      </c>
      <c r="H431" s="134">
        <v>502389</v>
      </c>
      <c r="I431" s="114">
        <v>0</v>
      </c>
      <c r="J431" s="134">
        <v>435085146</v>
      </c>
      <c r="K431" s="134">
        <v>435085146</v>
      </c>
    </row>
    <row r="432" spans="1:11">
      <c r="A432" t="s">
        <v>539</v>
      </c>
      <c r="B432" t="s">
        <v>183</v>
      </c>
      <c r="C432" s="114">
        <v>136.46299999999999</v>
      </c>
      <c r="D432" s="114">
        <v>136.46299999999999</v>
      </c>
      <c r="E432" s="114">
        <v>275.07900000000001</v>
      </c>
      <c r="F432" s="114">
        <v>0</v>
      </c>
      <c r="G432" s="114">
        <v>0</v>
      </c>
      <c r="H432" s="114">
        <v>0</v>
      </c>
      <c r="I432" s="114">
        <v>0</v>
      </c>
      <c r="J432" s="134">
        <v>130418154</v>
      </c>
      <c r="K432" s="134">
        <v>130418154</v>
      </c>
    </row>
    <row r="433" spans="1:11">
      <c r="A433" t="s">
        <v>506</v>
      </c>
      <c r="B433" t="s">
        <v>184</v>
      </c>
      <c r="C433" s="114">
        <v>197.58</v>
      </c>
      <c r="D433" s="114">
        <v>197.58</v>
      </c>
      <c r="E433" s="114">
        <v>401.048</v>
      </c>
      <c r="F433" s="114">
        <v>0</v>
      </c>
      <c r="G433" s="134">
        <v>65926</v>
      </c>
      <c r="H433" s="134">
        <v>90525</v>
      </c>
      <c r="I433" s="114">
        <v>0</v>
      </c>
      <c r="J433" s="134">
        <v>93364477</v>
      </c>
      <c r="K433" s="134">
        <v>93364477</v>
      </c>
    </row>
    <row r="434" spans="1:11">
      <c r="A434" t="s">
        <v>507</v>
      </c>
      <c r="B434" t="s">
        <v>936</v>
      </c>
      <c r="C434" s="114">
        <v>561.38900000000001</v>
      </c>
      <c r="D434" s="114">
        <v>561.38900000000001</v>
      </c>
      <c r="E434" s="114">
        <v>1102.684</v>
      </c>
      <c r="F434" s="114">
        <v>0</v>
      </c>
      <c r="G434" s="114">
        <v>0</v>
      </c>
      <c r="H434" s="114">
        <v>0</v>
      </c>
      <c r="I434" s="134">
        <v>54098</v>
      </c>
      <c r="J434" s="134">
        <v>119032305</v>
      </c>
      <c r="K434" s="134">
        <v>119032305</v>
      </c>
    </row>
    <row r="435" spans="1:11">
      <c r="A435" t="s">
        <v>508</v>
      </c>
      <c r="B435" t="s">
        <v>185</v>
      </c>
      <c r="C435" s="114">
        <v>135.86699999999999</v>
      </c>
      <c r="D435" s="114">
        <v>135.86699999999999</v>
      </c>
      <c r="E435" s="114">
        <v>248.11199999999999</v>
      </c>
      <c r="F435" s="114">
        <v>0</v>
      </c>
      <c r="G435" s="114">
        <v>0</v>
      </c>
      <c r="H435" s="114">
        <v>0</v>
      </c>
      <c r="I435" s="114">
        <v>0</v>
      </c>
      <c r="J435" s="134">
        <v>27410278</v>
      </c>
      <c r="K435" s="134">
        <v>27410278</v>
      </c>
    </row>
    <row r="436" spans="1:11">
      <c r="A436" t="s">
        <v>509</v>
      </c>
      <c r="B436" t="s">
        <v>186</v>
      </c>
      <c r="C436" s="114">
        <v>139.85900000000001</v>
      </c>
      <c r="D436" s="114">
        <v>139.85900000000001</v>
      </c>
      <c r="E436" s="114">
        <v>253.22399999999999</v>
      </c>
      <c r="F436" s="114">
        <v>0</v>
      </c>
      <c r="G436" s="114">
        <v>0</v>
      </c>
      <c r="H436" s="114">
        <v>0</v>
      </c>
      <c r="I436" s="114">
        <v>0</v>
      </c>
      <c r="J436" s="134">
        <v>36175054</v>
      </c>
      <c r="K436" s="134">
        <v>36175054</v>
      </c>
    </row>
    <row r="437" spans="1:11">
      <c r="A437" t="s">
        <v>1304</v>
      </c>
      <c r="B437" t="s">
        <v>1195</v>
      </c>
      <c r="C437" s="114">
        <v>6713.0150000000003</v>
      </c>
      <c r="D437" s="114">
        <v>6713.0150000000003</v>
      </c>
      <c r="E437" s="114">
        <v>8731.9750000000004</v>
      </c>
      <c r="F437" s="114">
        <v>0</v>
      </c>
      <c r="G437" s="134">
        <v>10300874</v>
      </c>
      <c r="H437" s="134">
        <v>8665759</v>
      </c>
      <c r="I437" s="114">
        <v>0</v>
      </c>
      <c r="J437" s="134">
        <v>2988192900</v>
      </c>
      <c r="K437" s="134">
        <v>2988192900</v>
      </c>
    </row>
    <row r="438" spans="1:11">
      <c r="A438" t="s">
        <v>1678</v>
      </c>
      <c r="B438" t="s">
        <v>1212</v>
      </c>
      <c r="C438" s="114">
        <v>3946.5940000000001</v>
      </c>
      <c r="D438" s="114">
        <v>3946.5940000000001</v>
      </c>
      <c r="E438" s="114">
        <v>4545.18</v>
      </c>
      <c r="F438" s="114">
        <v>0</v>
      </c>
      <c r="G438" s="134">
        <v>10594354</v>
      </c>
      <c r="H438" s="134">
        <v>5173994</v>
      </c>
      <c r="I438" s="134">
        <v>436461</v>
      </c>
      <c r="J438" s="134">
        <v>2072454083</v>
      </c>
      <c r="K438" s="134">
        <v>2072454083</v>
      </c>
    </row>
    <row r="439" spans="1:11">
      <c r="A439" t="s">
        <v>1467</v>
      </c>
      <c r="B439" t="s">
        <v>188</v>
      </c>
      <c r="C439" s="114">
        <v>1866.9939999999999</v>
      </c>
      <c r="D439" s="114">
        <v>1866.9939999999999</v>
      </c>
      <c r="E439" s="114">
        <v>2209.8739999999998</v>
      </c>
      <c r="F439" s="114">
        <v>0</v>
      </c>
      <c r="G439" s="134">
        <v>2495526</v>
      </c>
      <c r="H439" s="134">
        <v>1087636</v>
      </c>
      <c r="I439" s="114">
        <v>0</v>
      </c>
      <c r="J439" s="134">
        <v>1241574730</v>
      </c>
      <c r="K439" s="134">
        <v>1241574730</v>
      </c>
    </row>
    <row r="440" spans="1:11">
      <c r="A440" t="s">
        <v>2129</v>
      </c>
      <c r="B440" t="s">
        <v>42</v>
      </c>
      <c r="C440" s="114">
        <v>12976.050999999999</v>
      </c>
      <c r="D440" s="114">
        <v>12976.050999999999</v>
      </c>
      <c r="E440" s="114">
        <v>16212.948</v>
      </c>
      <c r="F440" s="114">
        <v>0</v>
      </c>
      <c r="G440" s="134">
        <v>14512562</v>
      </c>
      <c r="H440" s="134">
        <v>8818949</v>
      </c>
      <c r="I440" s="134">
        <v>4196218</v>
      </c>
      <c r="J440" s="134">
        <v>3062984314</v>
      </c>
      <c r="K440" s="134">
        <v>3062984314</v>
      </c>
    </row>
    <row r="441" spans="1:11">
      <c r="A441" t="s">
        <v>1918</v>
      </c>
      <c r="B441" t="s">
        <v>189</v>
      </c>
      <c r="C441" s="114">
        <v>726.904</v>
      </c>
      <c r="D441" s="114">
        <v>726.904</v>
      </c>
      <c r="E441" s="114">
        <v>1199.442</v>
      </c>
      <c r="F441" s="114">
        <v>0</v>
      </c>
      <c r="G441" s="134">
        <v>4946833</v>
      </c>
      <c r="H441" s="114">
        <v>0</v>
      </c>
      <c r="I441" s="114">
        <v>0</v>
      </c>
      <c r="J441" s="134">
        <v>1261536011</v>
      </c>
      <c r="K441" s="134">
        <v>1261536011</v>
      </c>
    </row>
    <row r="442" spans="1:11">
      <c r="A442" t="s">
        <v>1919</v>
      </c>
      <c r="B442" t="s">
        <v>1525</v>
      </c>
      <c r="C442" s="114">
        <v>3194.68</v>
      </c>
      <c r="D442" s="114">
        <v>3194.68</v>
      </c>
      <c r="E442" s="114">
        <v>4321.3739999999998</v>
      </c>
      <c r="F442" s="114">
        <v>0</v>
      </c>
      <c r="G442" s="134">
        <v>1193656</v>
      </c>
      <c r="H442" s="134">
        <v>1226932</v>
      </c>
      <c r="I442" s="114">
        <v>0</v>
      </c>
      <c r="J442" s="134">
        <v>994917012</v>
      </c>
      <c r="K442" s="134">
        <v>994917012</v>
      </c>
    </row>
    <row r="443" spans="1:11">
      <c r="A443" t="s">
        <v>2912</v>
      </c>
      <c r="B443" t="s">
        <v>1526</v>
      </c>
      <c r="C443" s="114">
        <v>2587.1779999999999</v>
      </c>
      <c r="D443" s="114">
        <v>2587.1779999999999</v>
      </c>
      <c r="E443" s="114">
        <v>3455.5160000000001</v>
      </c>
      <c r="F443" s="114">
        <v>0</v>
      </c>
      <c r="G443" s="134">
        <v>613802</v>
      </c>
      <c r="H443" s="134">
        <v>570980</v>
      </c>
      <c r="I443" s="114">
        <v>0</v>
      </c>
      <c r="J443" s="134">
        <v>551370773</v>
      </c>
      <c r="K443" s="134">
        <v>551370773</v>
      </c>
    </row>
    <row r="444" spans="1:11">
      <c r="A444" t="s">
        <v>2879</v>
      </c>
      <c r="B444" t="s">
        <v>1527</v>
      </c>
      <c r="C444" s="114">
        <v>563.76700000000005</v>
      </c>
      <c r="D444" s="114">
        <v>563.76700000000005</v>
      </c>
      <c r="E444" s="114">
        <v>903.38300000000004</v>
      </c>
      <c r="F444" s="114">
        <v>0</v>
      </c>
      <c r="G444" s="134">
        <v>302624</v>
      </c>
      <c r="H444" s="134">
        <v>387379</v>
      </c>
      <c r="I444" s="114">
        <v>0</v>
      </c>
      <c r="J444" s="134">
        <v>259015301</v>
      </c>
      <c r="K444" s="134">
        <v>259015301</v>
      </c>
    </row>
    <row r="445" spans="1:11">
      <c r="A445" t="s">
        <v>2284</v>
      </c>
      <c r="B445" t="s">
        <v>1528</v>
      </c>
      <c r="C445" s="114">
        <v>1410.6289999999999</v>
      </c>
      <c r="D445" s="114">
        <v>1414.4380000000001</v>
      </c>
      <c r="E445" s="114">
        <v>2024.875</v>
      </c>
      <c r="F445" s="114">
        <v>0</v>
      </c>
      <c r="G445" s="134">
        <v>967298</v>
      </c>
      <c r="H445" s="134">
        <v>864216</v>
      </c>
      <c r="I445" s="114">
        <v>0</v>
      </c>
      <c r="J445" s="134">
        <v>417510752</v>
      </c>
      <c r="K445" s="134">
        <v>417510752</v>
      </c>
    </row>
    <row r="446" spans="1:11">
      <c r="A446" t="s">
        <v>71</v>
      </c>
      <c r="B446" t="s">
        <v>2995</v>
      </c>
      <c r="C446" s="114">
        <v>1106.454</v>
      </c>
      <c r="D446" s="114">
        <v>1106.454</v>
      </c>
      <c r="E446" s="114">
        <v>1655.097</v>
      </c>
      <c r="F446" s="114">
        <v>0</v>
      </c>
      <c r="G446" s="134">
        <v>1612698</v>
      </c>
      <c r="H446" s="134">
        <v>1297510</v>
      </c>
      <c r="I446" s="114">
        <v>0</v>
      </c>
      <c r="J446" s="134">
        <v>834321509</v>
      </c>
      <c r="K446" s="134">
        <v>834321509</v>
      </c>
    </row>
    <row r="447" spans="1:11">
      <c r="A447" t="s">
        <v>1711</v>
      </c>
      <c r="B447" t="s">
        <v>662</v>
      </c>
      <c r="C447" s="114">
        <v>184.79499999999999</v>
      </c>
      <c r="D447" s="114">
        <v>196.52500000000001</v>
      </c>
      <c r="E447" s="114">
        <v>339.24900000000002</v>
      </c>
      <c r="F447" s="114">
        <v>0</v>
      </c>
      <c r="G447" s="134">
        <v>61019</v>
      </c>
      <c r="H447" s="134">
        <v>42552</v>
      </c>
      <c r="I447" s="134">
        <v>17115</v>
      </c>
      <c r="J447" s="134">
        <v>35391568</v>
      </c>
      <c r="K447" s="134">
        <v>35391568</v>
      </c>
    </row>
    <row r="448" spans="1:11">
      <c r="A448" t="s">
        <v>980</v>
      </c>
      <c r="B448" t="s">
        <v>2415</v>
      </c>
      <c r="C448" s="114">
        <v>132.31800000000001</v>
      </c>
      <c r="D448" s="114">
        <v>132.31800000000001</v>
      </c>
      <c r="E448" s="114">
        <v>230.23599999999999</v>
      </c>
      <c r="F448" s="114">
        <v>0</v>
      </c>
      <c r="G448" s="114">
        <v>0</v>
      </c>
      <c r="H448" s="114">
        <v>0</v>
      </c>
      <c r="I448" s="114">
        <v>0</v>
      </c>
      <c r="J448" s="134">
        <v>38480163</v>
      </c>
      <c r="K448" s="134">
        <v>38480163</v>
      </c>
    </row>
    <row r="449" spans="1:11">
      <c r="A449" t="s">
        <v>72</v>
      </c>
      <c r="B449" t="s">
        <v>2996</v>
      </c>
      <c r="C449" s="114">
        <v>437.01100000000002</v>
      </c>
      <c r="D449" s="114">
        <v>437.01100000000002</v>
      </c>
      <c r="E449" s="114">
        <v>713.13599999999997</v>
      </c>
      <c r="F449" s="114">
        <v>0</v>
      </c>
      <c r="G449" s="134">
        <v>184559</v>
      </c>
      <c r="H449" s="134">
        <v>231348</v>
      </c>
      <c r="I449" s="114">
        <v>0</v>
      </c>
      <c r="J449" s="134">
        <v>405628753</v>
      </c>
      <c r="K449" s="134">
        <v>405628753</v>
      </c>
    </row>
    <row r="450" spans="1:11">
      <c r="A450" t="s">
        <v>2437</v>
      </c>
      <c r="B450" t="s">
        <v>39</v>
      </c>
      <c r="C450" s="114">
        <v>13395.784</v>
      </c>
      <c r="D450" s="114">
        <v>13395.784</v>
      </c>
      <c r="E450" s="114">
        <v>18920.847000000002</v>
      </c>
      <c r="F450" s="114">
        <v>0</v>
      </c>
      <c r="G450" s="134">
        <v>1436805</v>
      </c>
      <c r="H450" s="114">
        <v>712</v>
      </c>
      <c r="I450" s="134">
        <v>1059815</v>
      </c>
      <c r="J450" s="134">
        <v>790299727</v>
      </c>
      <c r="K450" s="134">
        <v>776617882</v>
      </c>
    </row>
    <row r="451" spans="1:11">
      <c r="A451" t="s">
        <v>873</v>
      </c>
      <c r="B451" t="s">
        <v>1217</v>
      </c>
      <c r="C451" s="114">
        <v>5065.3639999999996</v>
      </c>
      <c r="D451" s="114">
        <v>5267.567</v>
      </c>
      <c r="E451" s="114">
        <v>7434.7049999999999</v>
      </c>
      <c r="F451" s="114">
        <v>0</v>
      </c>
      <c r="G451" s="134">
        <v>436350</v>
      </c>
      <c r="H451" s="134">
        <v>6848</v>
      </c>
      <c r="I451" s="134">
        <v>428703</v>
      </c>
      <c r="J451" s="134">
        <v>210875854</v>
      </c>
      <c r="K451" s="134">
        <v>210875854</v>
      </c>
    </row>
    <row r="452" spans="1:11">
      <c r="A452" t="s">
        <v>875</v>
      </c>
      <c r="B452" t="s">
        <v>40</v>
      </c>
      <c r="C452" s="114">
        <v>28720.620999999999</v>
      </c>
      <c r="D452" s="114">
        <v>28720.620999999999</v>
      </c>
      <c r="E452" s="114">
        <v>40137.843000000001</v>
      </c>
      <c r="F452" s="114">
        <v>0</v>
      </c>
      <c r="G452" s="134">
        <v>8199272</v>
      </c>
      <c r="H452" s="134">
        <v>2116012</v>
      </c>
      <c r="I452" s="134">
        <v>5319443</v>
      </c>
      <c r="J452" s="134">
        <v>4885084197</v>
      </c>
      <c r="K452" s="134">
        <v>4885084197</v>
      </c>
    </row>
    <row r="453" spans="1:11">
      <c r="A453" t="s">
        <v>2131</v>
      </c>
      <c r="B453" t="s">
        <v>2725</v>
      </c>
      <c r="C453" s="114">
        <v>3114.1680000000001</v>
      </c>
      <c r="D453" s="114">
        <v>3114.1680000000001</v>
      </c>
      <c r="E453" s="114">
        <v>4696.1790000000001</v>
      </c>
      <c r="F453" s="114">
        <v>0</v>
      </c>
      <c r="G453" s="134">
        <v>1252462</v>
      </c>
      <c r="H453" s="134">
        <v>129721</v>
      </c>
      <c r="I453" s="134">
        <v>1057294</v>
      </c>
      <c r="J453" s="134">
        <v>372147094</v>
      </c>
      <c r="K453" s="134">
        <v>372147094</v>
      </c>
    </row>
    <row r="454" spans="1:11">
      <c r="A454" t="s">
        <v>2894</v>
      </c>
      <c r="B454" t="s">
        <v>925</v>
      </c>
      <c r="C454" s="114">
        <v>23035.992999999999</v>
      </c>
      <c r="D454" s="114">
        <v>23035.992999999999</v>
      </c>
      <c r="E454" s="114">
        <v>30653.252</v>
      </c>
      <c r="F454" s="114">
        <v>0</v>
      </c>
      <c r="G454" s="134">
        <v>6205123</v>
      </c>
      <c r="H454" s="134">
        <v>5466593</v>
      </c>
      <c r="I454" s="134">
        <v>1089894</v>
      </c>
      <c r="J454" s="134">
        <v>5762475693</v>
      </c>
      <c r="K454" s="134">
        <v>5762475693</v>
      </c>
    </row>
    <row r="455" spans="1:11">
      <c r="A455" t="s">
        <v>2897</v>
      </c>
      <c r="B455" t="s">
        <v>2553</v>
      </c>
      <c r="C455" s="114">
        <v>5104.0789999999997</v>
      </c>
      <c r="D455" s="114">
        <v>5104.0789999999997</v>
      </c>
      <c r="E455" s="114">
        <v>7098.8209999999999</v>
      </c>
      <c r="F455" s="114">
        <v>0</v>
      </c>
      <c r="G455" s="134">
        <v>982508</v>
      </c>
      <c r="H455" s="114">
        <v>0</v>
      </c>
      <c r="I455" s="134">
        <v>738410</v>
      </c>
      <c r="J455" s="134">
        <v>325051436</v>
      </c>
      <c r="K455" s="134">
        <v>325051436</v>
      </c>
    </row>
    <row r="456" spans="1:11">
      <c r="A456" t="s">
        <v>2903</v>
      </c>
      <c r="B456" t="s">
        <v>45</v>
      </c>
      <c r="C456" s="114">
        <v>14319.972</v>
      </c>
      <c r="D456" s="114">
        <v>14319.972</v>
      </c>
      <c r="E456" s="114">
        <v>20168.781999999999</v>
      </c>
      <c r="F456" s="114">
        <v>0</v>
      </c>
      <c r="G456" s="134">
        <v>2964356</v>
      </c>
      <c r="H456" s="114">
        <v>0</v>
      </c>
      <c r="I456" s="134">
        <v>3652405</v>
      </c>
      <c r="J456" s="134">
        <v>1479849416</v>
      </c>
      <c r="K456" s="134">
        <v>1479849416</v>
      </c>
    </row>
    <row r="457" spans="1:11">
      <c r="A457" t="s">
        <v>239</v>
      </c>
      <c r="B457" t="s">
        <v>1126</v>
      </c>
      <c r="C457" s="114">
        <v>28169.19</v>
      </c>
      <c r="D457" s="114">
        <v>28169.19</v>
      </c>
      <c r="E457" s="114">
        <v>39533.495000000003</v>
      </c>
      <c r="F457" s="114">
        <v>0</v>
      </c>
      <c r="G457" s="134">
        <v>7488430</v>
      </c>
      <c r="H457" s="134">
        <v>490157</v>
      </c>
      <c r="I457" s="134">
        <v>5945042</v>
      </c>
      <c r="J457" s="134">
        <v>2857158740</v>
      </c>
      <c r="K457" s="134">
        <v>2857158740</v>
      </c>
    </row>
    <row r="458" spans="1:11">
      <c r="A458" t="s">
        <v>1218</v>
      </c>
      <c r="B458" t="s">
        <v>88</v>
      </c>
      <c r="C458" s="114">
        <v>1945.021</v>
      </c>
      <c r="D458" s="114">
        <v>1945.021</v>
      </c>
      <c r="E458" s="114">
        <v>2933.212</v>
      </c>
      <c r="F458" s="114">
        <v>0</v>
      </c>
      <c r="G458" s="134">
        <v>353888</v>
      </c>
      <c r="H458" s="134">
        <v>17443</v>
      </c>
      <c r="I458" s="134">
        <v>225129</v>
      </c>
      <c r="J458" s="134">
        <v>95836815</v>
      </c>
      <c r="K458" s="134">
        <v>95836815</v>
      </c>
    </row>
    <row r="459" spans="1:11">
      <c r="A459" t="s">
        <v>1759</v>
      </c>
      <c r="B459" t="s">
        <v>2998</v>
      </c>
      <c r="C459" s="114">
        <v>8716.5480000000007</v>
      </c>
      <c r="D459" s="114">
        <v>8716.5480000000007</v>
      </c>
      <c r="E459" s="114">
        <v>11112.547</v>
      </c>
      <c r="F459" s="114">
        <v>0</v>
      </c>
      <c r="G459" s="134">
        <v>3270010</v>
      </c>
      <c r="H459" s="134">
        <v>3543923</v>
      </c>
      <c r="I459" s="114">
        <v>0</v>
      </c>
      <c r="J459" s="134">
        <v>2148238841</v>
      </c>
      <c r="K459" s="134">
        <v>2148238841</v>
      </c>
    </row>
    <row r="460" spans="1:11">
      <c r="A460" t="s">
        <v>65</v>
      </c>
      <c r="B460" t="s">
        <v>2170</v>
      </c>
      <c r="C460" s="114">
        <v>24465.163</v>
      </c>
      <c r="D460" s="114">
        <v>24465.163</v>
      </c>
      <c r="E460" s="114">
        <v>34708.724000000002</v>
      </c>
      <c r="F460" s="114">
        <v>0</v>
      </c>
      <c r="G460" s="134">
        <v>5282700</v>
      </c>
      <c r="H460" s="134">
        <v>265275</v>
      </c>
      <c r="I460" s="134">
        <v>4926497</v>
      </c>
      <c r="J460" s="134">
        <v>1826220308</v>
      </c>
      <c r="K460" s="134">
        <v>1826220308</v>
      </c>
    </row>
    <row r="461" spans="1:11">
      <c r="A461" t="s">
        <v>821</v>
      </c>
      <c r="B461" t="s">
        <v>162</v>
      </c>
      <c r="C461" s="114">
        <v>15547.919</v>
      </c>
      <c r="D461" s="114">
        <v>15547.919</v>
      </c>
      <c r="E461" s="114">
        <v>22098.437999999998</v>
      </c>
      <c r="F461" s="114">
        <v>0</v>
      </c>
      <c r="G461" s="134">
        <v>2164772</v>
      </c>
      <c r="H461" s="134">
        <v>476015</v>
      </c>
      <c r="I461" s="134">
        <v>1215572</v>
      </c>
      <c r="J461" s="134">
        <v>1461515234</v>
      </c>
      <c r="K461" s="134">
        <v>1461515234</v>
      </c>
    </row>
    <row r="462" spans="1:11">
      <c r="A462" t="s">
        <v>67</v>
      </c>
      <c r="B462" t="s">
        <v>2622</v>
      </c>
      <c r="C462" s="114">
        <v>552.13099999999997</v>
      </c>
      <c r="D462" s="114">
        <v>552.13099999999997</v>
      </c>
      <c r="E462" s="114">
        <v>1000.98</v>
      </c>
      <c r="F462" s="114">
        <v>0</v>
      </c>
      <c r="G462" s="134">
        <v>132862</v>
      </c>
      <c r="H462" s="134">
        <v>21515</v>
      </c>
      <c r="I462" s="134">
        <v>118645</v>
      </c>
      <c r="J462" s="134">
        <v>71029045</v>
      </c>
      <c r="K462" s="134">
        <v>71029045</v>
      </c>
    </row>
    <row r="463" spans="1:11">
      <c r="A463" t="s">
        <v>554</v>
      </c>
      <c r="B463" t="s">
        <v>2561</v>
      </c>
      <c r="C463" s="114">
        <v>639.30399999999997</v>
      </c>
      <c r="D463" s="114">
        <v>639.30399999999997</v>
      </c>
      <c r="E463" s="114">
        <v>1082.953</v>
      </c>
      <c r="F463" s="114">
        <v>0</v>
      </c>
      <c r="G463" s="134">
        <v>98257</v>
      </c>
      <c r="H463" s="134">
        <v>19438</v>
      </c>
      <c r="I463" s="134">
        <v>69677</v>
      </c>
      <c r="J463" s="134">
        <v>46297225</v>
      </c>
      <c r="K463" s="134">
        <v>46297225</v>
      </c>
    </row>
    <row r="464" spans="1:11">
      <c r="A464" t="s">
        <v>1715</v>
      </c>
      <c r="B464" t="s">
        <v>2705</v>
      </c>
      <c r="C464" s="114">
        <v>4206.9390000000003</v>
      </c>
      <c r="D464" s="114">
        <v>4206.9390000000003</v>
      </c>
      <c r="E464" s="114">
        <v>6111.8789999999999</v>
      </c>
      <c r="F464" s="114">
        <v>0</v>
      </c>
      <c r="G464" s="134">
        <v>1062755</v>
      </c>
      <c r="H464" s="134">
        <v>59965</v>
      </c>
      <c r="I464" s="134">
        <v>901131</v>
      </c>
      <c r="J464" s="134">
        <v>357339442</v>
      </c>
      <c r="K464" s="134">
        <v>357339442</v>
      </c>
    </row>
    <row r="465" spans="1:11">
      <c r="A465" t="s">
        <v>172</v>
      </c>
      <c r="B465" t="s">
        <v>2464</v>
      </c>
      <c r="C465" s="114">
        <v>285.47000000000003</v>
      </c>
      <c r="D465" s="114">
        <v>285.47000000000003</v>
      </c>
      <c r="E465" s="114">
        <v>464.81099999999998</v>
      </c>
      <c r="F465" s="114">
        <v>0</v>
      </c>
      <c r="G465" s="134">
        <v>143778</v>
      </c>
      <c r="H465" s="114">
        <v>571</v>
      </c>
      <c r="I465" s="134">
        <v>32296</v>
      </c>
      <c r="J465" s="134">
        <v>45214207</v>
      </c>
      <c r="K465" s="134">
        <v>45214207</v>
      </c>
    </row>
    <row r="466" spans="1:11">
      <c r="A466" t="s">
        <v>2869</v>
      </c>
      <c r="B466" t="s">
        <v>1010</v>
      </c>
      <c r="C466" s="114">
        <v>233.64400000000001</v>
      </c>
      <c r="D466" s="114">
        <v>233.64400000000001</v>
      </c>
      <c r="E466" s="114">
        <v>408.69200000000001</v>
      </c>
      <c r="F466" s="114">
        <v>0</v>
      </c>
      <c r="G466" s="134">
        <v>29793</v>
      </c>
      <c r="H466" s="114">
        <v>594</v>
      </c>
      <c r="I466" s="134">
        <v>23934</v>
      </c>
      <c r="J466" s="134">
        <v>35730475</v>
      </c>
      <c r="K466" s="134">
        <v>35730475</v>
      </c>
    </row>
    <row r="467" spans="1:11">
      <c r="A467" t="s">
        <v>2756</v>
      </c>
      <c r="B467" t="s">
        <v>742</v>
      </c>
      <c r="C467" s="114">
        <v>266.67099999999999</v>
      </c>
      <c r="D467" s="114">
        <v>266.67099999999999</v>
      </c>
      <c r="E467" s="114">
        <v>456.90100000000001</v>
      </c>
      <c r="F467" s="114">
        <v>0</v>
      </c>
      <c r="G467" s="134">
        <v>158149</v>
      </c>
      <c r="H467" s="134">
        <v>57573</v>
      </c>
      <c r="I467" s="134">
        <v>37133</v>
      </c>
      <c r="J467" s="134">
        <v>47806311</v>
      </c>
      <c r="K467" s="134">
        <v>47806311</v>
      </c>
    </row>
    <row r="468" spans="1:11">
      <c r="A468" t="s">
        <v>2133</v>
      </c>
      <c r="B468" t="s">
        <v>2727</v>
      </c>
      <c r="C468" s="114">
        <v>1691.3620000000001</v>
      </c>
      <c r="D468" s="114">
        <v>1691.3620000000001</v>
      </c>
      <c r="E468" s="114">
        <v>2453.7750000000001</v>
      </c>
      <c r="F468" s="114">
        <v>0</v>
      </c>
      <c r="G468" s="134">
        <v>1261983</v>
      </c>
      <c r="H468" s="134">
        <v>602547</v>
      </c>
      <c r="I468" s="134">
        <v>608847</v>
      </c>
      <c r="J468" s="134">
        <v>438339940</v>
      </c>
      <c r="K468" s="134">
        <v>438339940</v>
      </c>
    </row>
    <row r="469" spans="1:11">
      <c r="A469" t="s">
        <v>555</v>
      </c>
      <c r="B469" t="s">
        <v>2732</v>
      </c>
      <c r="C469" s="114">
        <v>375.56900000000002</v>
      </c>
      <c r="D469" s="114">
        <v>396.774</v>
      </c>
      <c r="E469" s="114">
        <v>668.10199999999998</v>
      </c>
      <c r="F469" s="114">
        <v>0</v>
      </c>
      <c r="G469" s="134">
        <v>122932</v>
      </c>
      <c r="H469" s="134">
        <v>21828</v>
      </c>
      <c r="I469" s="134">
        <v>86600</v>
      </c>
      <c r="J469" s="134">
        <v>57985064</v>
      </c>
      <c r="K469" s="134">
        <v>57985064</v>
      </c>
    </row>
    <row r="470" spans="1:11">
      <c r="A470" t="s">
        <v>49</v>
      </c>
      <c r="B470" t="s">
        <v>444</v>
      </c>
      <c r="C470" s="114">
        <v>659.23199999999997</v>
      </c>
      <c r="D470" s="114">
        <v>659.23199999999997</v>
      </c>
      <c r="E470" s="114">
        <v>1103.6600000000001</v>
      </c>
      <c r="F470" s="114">
        <v>0</v>
      </c>
      <c r="G470" s="134">
        <v>181429</v>
      </c>
      <c r="H470" s="134">
        <v>73172</v>
      </c>
      <c r="I470" s="134">
        <v>65680</v>
      </c>
      <c r="J470" s="134">
        <v>136833672</v>
      </c>
      <c r="K470" s="134">
        <v>136833672</v>
      </c>
    </row>
    <row r="471" spans="1:11">
      <c r="A471" t="s">
        <v>173</v>
      </c>
      <c r="B471" t="s">
        <v>2466</v>
      </c>
      <c r="C471" s="114">
        <v>64.385000000000005</v>
      </c>
      <c r="D471" s="114">
        <v>64.385000000000005</v>
      </c>
      <c r="E471" s="114">
        <v>134.53200000000001</v>
      </c>
      <c r="F471" s="114">
        <v>0</v>
      </c>
      <c r="G471" s="134">
        <v>25698</v>
      </c>
      <c r="H471" s="114">
        <v>0</v>
      </c>
      <c r="I471" s="134">
        <v>15219</v>
      </c>
      <c r="J471" s="134">
        <v>21306126</v>
      </c>
      <c r="K471" s="134">
        <v>21306126</v>
      </c>
    </row>
    <row r="472" spans="1:11">
      <c r="A472" t="s">
        <v>567</v>
      </c>
      <c r="B472" t="s">
        <v>2562</v>
      </c>
      <c r="C472" s="114">
        <v>131.35300000000001</v>
      </c>
      <c r="D472" s="114">
        <v>131.35300000000001</v>
      </c>
      <c r="E472" s="114">
        <v>224.07599999999999</v>
      </c>
      <c r="F472" s="114">
        <v>0</v>
      </c>
      <c r="G472" s="114">
        <v>0</v>
      </c>
      <c r="H472" s="114">
        <v>0</v>
      </c>
      <c r="I472" s="114">
        <v>0</v>
      </c>
      <c r="J472" s="134">
        <v>20565047</v>
      </c>
      <c r="K472" s="134">
        <v>20565047</v>
      </c>
    </row>
    <row r="473" spans="1:11">
      <c r="A473" t="s">
        <v>1760</v>
      </c>
      <c r="B473" t="s">
        <v>2999</v>
      </c>
      <c r="C473" s="114">
        <v>1504.829</v>
      </c>
      <c r="D473" s="114">
        <v>1504.829</v>
      </c>
      <c r="E473" s="114">
        <v>2097.0569999999998</v>
      </c>
      <c r="F473" s="114">
        <v>0</v>
      </c>
      <c r="G473" s="134">
        <v>706930</v>
      </c>
      <c r="H473" s="134">
        <v>645013</v>
      </c>
      <c r="I473" s="114">
        <v>0</v>
      </c>
      <c r="J473" s="134">
        <v>479156869</v>
      </c>
      <c r="K473" s="134">
        <v>479156869</v>
      </c>
    </row>
    <row r="474" spans="1:11">
      <c r="A474" t="s">
        <v>568</v>
      </c>
      <c r="B474" t="s">
        <v>2773</v>
      </c>
      <c r="C474" s="114">
        <v>208.227</v>
      </c>
      <c r="D474" s="114">
        <v>208.227</v>
      </c>
      <c r="E474" s="114">
        <v>346.05399999999997</v>
      </c>
      <c r="F474" s="114">
        <v>0</v>
      </c>
      <c r="G474" s="134">
        <v>28125</v>
      </c>
      <c r="H474" s="134">
        <v>1196</v>
      </c>
      <c r="I474" s="134">
        <v>29800</v>
      </c>
      <c r="J474" s="134">
        <v>46931387</v>
      </c>
      <c r="K474" s="134">
        <v>46931387</v>
      </c>
    </row>
    <row r="475" spans="1:11">
      <c r="A475" t="s">
        <v>1733</v>
      </c>
      <c r="B475" t="s">
        <v>1522</v>
      </c>
      <c r="C475" s="114">
        <v>336.89499999999998</v>
      </c>
      <c r="D475" s="114">
        <v>336.89499999999998</v>
      </c>
      <c r="E475" s="114">
        <v>566.21400000000006</v>
      </c>
      <c r="F475" s="114">
        <v>0</v>
      </c>
      <c r="G475" s="134">
        <v>211162</v>
      </c>
      <c r="H475" s="134">
        <v>105560</v>
      </c>
      <c r="I475" s="134">
        <v>48969</v>
      </c>
      <c r="J475" s="134">
        <v>74996439</v>
      </c>
      <c r="K475" s="134">
        <v>74996439</v>
      </c>
    </row>
    <row r="476" spans="1:11">
      <c r="A476" t="s">
        <v>569</v>
      </c>
      <c r="B476" t="s">
        <v>2989</v>
      </c>
      <c r="C476" s="114">
        <v>175.55099999999999</v>
      </c>
      <c r="D476" s="114">
        <v>175.55099999999999</v>
      </c>
      <c r="E476" s="114">
        <v>323.08100000000002</v>
      </c>
      <c r="F476" s="114">
        <v>0</v>
      </c>
      <c r="G476" s="114">
        <v>0</v>
      </c>
      <c r="H476" s="114">
        <v>0</v>
      </c>
      <c r="I476" s="114">
        <v>0</v>
      </c>
      <c r="J476" s="134">
        <v>19389699</v>
      </c>
      <c r="K476" s="134">
        <v>19389699</v>
      </c>
    </row>
    <row r="477" spans="1:11">
      <c r="A477" t="s">
        <v>1761</v>
      </c>
      <c r="B477" t="s">
        <v>3000</v>
      </c>
      <c r="C477" s="114">
        <v>272.74099999999999</v>
      </c>
      <c r="D477" s="114">
        <v>291.416</v>
      </c>
      <c r="E477" s="114">
        <v>519.85699999999997</v>
      </c>
      <c r="F477" s="114">
        <v>0</v>
      </c>
      <c r="G477" s="114">
        <v>0</v>
      </c>
      <c r="H477" s="114">
        <v>0</v>
      </c>
      <c r="I477" s="114">
        <v>0</v>
      </c>
      <c r="J477" s="134">
        <v>93886302</v>
      </c>
      <c r="K477" s="134">
        <v>93886302</v>
      </c>
    </row>
    <row r="478" spans="1:11">
      <c r="A478" t="s">
        <v>1762</v>
      </c>
      <c r="B478" t="s">
        <v>3001</v>
      </c>
      <c r="C478" s="114">
        <v>2669.0079999999998</v>
      </c>
      <c r="D478" s="114">
        <v>2669.0079999999998</v>
      </c>
      <c r="E478" s="114">
        <v>3625.7919999999999</v>
      </c>
      <c r="F478" s="114">
        <v>0</v>
      </c>
      <c r="G478" s="134">
        <v>1451139</v>
      </c>
      <c r="H478" s="134">
        <v>1964142</v>
      </c>
      <c r="I478" s="114">
        <v>0</v>
      </c>
      <c r="J478" s="134">
        <v>1292067556</v>
      </c>
      <c r="K478" s="134">
        <v>1292067556</v>
      </c>
    </row>
    <row r="479" spans="1:11">
      <c r="A479" t="s">
        <v>1410</v>
      </c>
      <c r="B479" t="s">
        <v>3002</v>
      </c>
      <c r="C479" s="114">
        <v>316.149</v>
      </c>
      <c r="D479" s="114">
        <v>316.149</v>
      </c>
      <c r="E479" s="114">
        <v>537.05200000000002</v>
      </c>
      <c r="F479" s="114">
        <v>0</v>
      </c>
      <c r="G479" s="114">
        <v>0</v>
      </c>
      <c r="H479" s="114">
        <v>0</v>
      </c>
      <c r="I479" s="114">
        <v>0</v>
      </c>
      <c r="J479" s="134">
        <v>63384531</v>
      </c>
      <c r="K479" s="134">
        <v>63384531</v>
      </c>
    </row>
    <row r="480" spans="1:11">
      <c r="A480" t="s">
        <v>2104</v>
      </c>
      <c r="B480" t="s">
        <v>2203</v>
      </c>
      <c r="C480" s="114">
        <v>339.68099999999998</v>
      </c>
      <c r="D480" s="114">
        <v>339.68099999999998</v>
      </c>
      <c r="E480" s="114">
        <v>574.73099999999999</v>
      </c>
      <c r="F480" s="114">
        <v>0</v>
      </c>
      <c r="G480" s="114">
        <v>0</v>
      </c>
      <c r="H480" s="114">
        <v>0</v>
      </c>
      <c r="I480" s="114">
        <v>0</v>
      </c>
      <c r="J480" s="134">
        <v>85841604</v>
      </c>
      <c r="K480" s="134">
        <v>85841604</v>
      </c>
    </row>
    <row r="481" spans="1:11">
      <c r="A481" t="s">
        <v>1411</v>
      </c>
      <c r="B481" t="s">
        <v>3003</v>
      </c>
      <c r="C481" s="114">
        <v>567.46900000000005</v>
      </c>
      <c r="D481" s="114">
        <v>567.46900000000005</v>
      </c>
      <c r="E481" s="114">
        <v>856.91399999999999</v>
      </c>
      <c r="F481" s="114">
        <v>0</v>
      </c>
      <c r="G481" s="114">
        <v>0</v>
      </c>
      <c r="H481" s="114">
        <v>0</v>
      </c>
      <c r="I481" s="114">
        <v>0</v>
      </c>
      <c r="J481" s="134">
        <v>1276783602</v>
      </c>
      <c r="K481" s="134">
        <v>1276783602</v>
      </c>
    </row>
    <row r="482" spans="1:11">
      <c r="A482" t="s">
        <v>1412</v>
      </c>
      <c r="B482" t="s">
        <v>3004</v>
      </c>
      <c r="C482" s="114">
        <v>175.33199999999999</v>
      </c>
      <c r="D482" s="114">
        <v>175.33199999999999</v>
      </c>
      <c r="E482" s="114">
        <v>290.39</v>
      </c>
      <c r="F482" s="114">
        <v>0</v>
      </c>
      <c r="G482" s="114">
        <v>0</v>
      </c>
      <c r="H482" s="114">
        <v>0</v>
      </c>
      <c r="I482" s="114">
        <v>0</v>
      </c>
      <c r="J482" s="134">
        <v>66583302</v>
      </c>
      <c r="K482" s="134">
        <v>66583302</v>
      </c>
    </row>
    <row r="483" spans="1:11">
      <c r="A483" t="s">
        <v>1413</v>
      </c>
      <c r="B483" t="s">
        <v>247</v>
      </c>
      <c r="C483" s="114">
        <v>6352.4709999999995</v>
      </c>
      <c r="D483" s="114">
        <v>6352.4709999999995</v>
      </c>
      <c r="E483" s="114">
        <v>7952.1589999999997</v>
      </c>
      <c r="F483" s="114">
        <v>0</v>
      </c>
      <c r="G483" s="134">
        <v>5606299</v>
      </c>
      <c r="H483" s="134">
        <v>6353363</v>
      </c>
      <c r="I483" s="114">
        <v>0</v>
      </c>
      <c r="J483" s="134">
        <v>3473213274</v>
      </c>
      <c r="K483" s="134">
        <v>3473213274</v>
      </c>
    </row>
    <row r="484" spans="1:11">
      <c r="A484" t="s">
        <v>1991</v>
      </c>
      <c r="B484" t="s">
        <v>1763</v>
      </c>
      <c r="C484" s="114">
        <v>278.637</v>
      </c>
      <c r="D484" s="114">
        <v>278.637</v>
      </c>
      <c r="E484" s="114">
        <v>462.08199999999999</v>
      </c>
      <c r="F484" s="114">
        <v>0</v>
      </c>
      <c r="G484" s="134">
        <v>195867</v>
      </c>
      <c r="H484" s="134">
        <v>102083</v>
      </c>
      <c r="I484" s="134">
        <v>131849</v>
      </c>
      <c r="J484" s="134">
        <v>92836700</v>
      </c>
      <c r="K484" s="134">
        <v>92836700</v>
      </c>
    </row>
    <row r="485" spans="1:11">
      <c r="A485" t="s">
        <v>1709</v>
      </c>
      <c r="B485" t="s">
        <v>660</v>
      </c>
      <c r="C485" s="114">
        <v>548.36</v>
      </c>
      <c r="D485" s="114">
        <v>555.64800000000002</v>
      </c>
      <c r="E485" s="114">
        <v>861.16899999999998</v>
      </c>
      <c r="F485" s="114">
        <v>0</v>
      </c>
      <c r="G485" s="134">
        <v>410209</v>
      </c>
      <c r="H485" s="134">
        <v>242742</v>
      </c>
      <c r="I485" s="134">
        <v>104822</v>
      </c>
      <c r="J485" s="134">
        <v>141295272</v>
      </c>
      <c r="K485" s="134">
        <v>141295272</v>
      </c>
    </row>
    <row r="486" spans="1:11">
      <c r="A486" t="s">
        <v>208</v>
      </c>
      <c r="B486" t="s">
        <v>248</v>
      </c>
      <c r="C486" s="114">
        <v>3847.2220000000002</v>
      </c>
      <c r="D486" s="114">
        <v>3847.2220000000002</v>
      </c>
      <c r="E486" s="114">
        <v>5049.8919999999998</v>
      </c>
      <c r="F486" s="114">
        <v>0</v>
      </c>
      <c r="G486" s="134">
        <v>995000</v>
      </c>
      <c r="H486" s="134">
        <v>907375</v>
      </c>
      <c r="I486" s="114">
        <v>0</v>
      </c>
      <c r="J486" s="134">
        <v>1019897576</v>
      </c>
      <c r="K486" s="134">
        <v>1019897576</v>
      </c>
    </row>
    <row r="487" spans="1:11">
      <c r="A487" t="s">
        <v>1687</v>
      </c>
      <c r="B487" t="s">
        <v>462</v>
      </c>
      <c r="C487" s="114">
        <v>395.41800000000001</v>
      </c>
      <c r="D487" s="114">
        <v>395.41800000000001</v>
      </c>
      <c r="E487" s="114">
        <v>658.44799999999998</v>
      </c>
      <c r="F487" s="114">
        <v>0</v>
      </c>
      <c r="G487" s="134">
        <v>58325</v>
      </c>
      <c r="H487" s="134">
        <v>25747</v>
      </c>
      <c r="I487" s="134">
        <v>38451</v>
      </c>
      <c r="J487" s="134">
        <v>55687420</v>
      </c>
      <c r="K487" s="134">
        <v>55687420</v>
      </c>
    </row>
    <row r="488" spans="1:11">
      <c r="A488" t="s">
        <v>209</v>
      </c>
      <c r="B488" t="s">
        <v>249</v>
      </c>
      <c r="C488" s="114">
        <v>405.77100000000002</v>
      </c>
      <c r="D488" s="114">
        <v>412.26799999999997</v>
      </c>
      <c r="E488" s="114">
        <v>702.11800000000005</v>
      </c>
      <c r="F488" s="114">
        <v>0</v>
      </c>
      <c r="G488" s="134">
        <v>44905</v>
      </c>
      <c r="H488" s="134">
        <v>62252</v>
      </c>
      <c r="I488" s="114">
        <v>0</v>
      </c>
      <c r="J488" s="134">
        <v>74633542</v>
      </c>
      <c r="K488" s="134">
        <v>74633542</v>
      </c>
    </row>
    <row r="489" spans="1:11">
      <c r="A489" t="s">
        <v>2217</v>
      </c>
      <c r="B489" t="s">
        <v>2557</v>
      </c>
      <c r="C489" s="114">
        <v>229.084</v>
      </c>
      <c r="D489" s="114">
        <v>229.084</v>
      </c>
      <c r="E489" s="114">
        <v>392.97300000000001</v>
      </c>
      <c r="F489" s="114">
        <v>0</v>
      </c>
      <c r="G489" s="134">
        <v>64081</v>
      </c>
      <c r="H489" s="114">
        <v>0</v>
      </c>
      <c r="I489" s="134">
        <v>57872</v>
      </c>
      <c r="J489" s="134">
        <v>42979510</v>
      </c>
      <c r="K489" s="134">
        <v>42979510</v>
      </c>
    </row>
    <row r="490" spans="1:11">
      <c r="A490" t="s">
        <v>210</v>
      </c>
      <c r="B490" t="s">
        <v>702</v>
      </c>
      <c r="C490" s="114">
        <v>763.74099999999999</v>
      </c>
      <c r="D490" s="114">
        <v>763.74099999999999</v>
      </c>
      <c r="E490" s="114">
        <v>1232.673</v>
      </c>
      <c r="F490" s="114">
        <v>0</v>
      </c>
      <c r="G490" s="114">
        <v>0</v>
      </c>
      <c r="H490" s="114">
        <v>0</v>
      </c>
      <c r="I490" s="114">
        <v>0</v>
      </c>
      <c r="J490" s="134">
        <v>126717373</v>
      </c>
      <c r="K490" s="134">
        <v>126717373</v>
      </c>
    </row>
    <row r="491" spans="1:11">
      <c r="A491" t="s">
        <v>211</v>
      </c>
      <c r="B491" t="s">
        <v>703</v>
      </c>
      <c r="C491" s="114">
        <v>230.97499999999999</v>
      </c>
      <c r="D491" s="114">
        <v>234.45599999999999</v>
      </c>
      <c r="E491" s="114">
        <v>422.98</v>
      </c>
      <c r="F491" s="114">
        <v>0</v>
      </c>
      <c r="G491" s="114">
        <v>0</v>
      </c>
      <c r="H491" s="114">
        <v>0</v>
      </c>
      <c r="I491" s="114">
        <v>0</v>
      </c>
      <c r="J491" s="134">
        <v>40481273</v>
      </c>
      <c r="K491" s="134">
        <v>40481273</v>
      </c>
    </row>
    <row r="492" spans="1:11">
      <c r="A492" t="s">
        <v>1688</v>
      </c>
      <c r="B492" t="s">
        <v>2216</v>
      </c>
      <c r="C492" s="114">
        <v>224.45400000000001</v>
      </c>
      <c r="D492" s="114">
        <v>224.45400000000001</v>
      </c>
      <c r="E492" s="114">
        <v>384.04300000000001</v>
      </c>
      <c r="F492" s="114">
        <v>0</v>
      </c>
      <c r="G492" s="134">
        <v>105828</v>
      </c>
      <c r="H492" s="134">
        <v>63410</v>
      </c>
      <c r="I492" s="134">
        <v>33741</v>
      </c>
      <c r="J492" s="134">
        <v>50297835</v>
      </c>
      <c r="K492" s="134">
        <v>50297835</v>
      </c>
    </row>
    <row r="493" spans="1:11">
      <c r="A493" t="s">
        <v>1601</v>
      </c>
      <c r="B493" t="s">
        <v>704</v>
      </c>
      <c r="C493" s="114">
        <v>1333.7729999999999</v>
      </c>
      <c r="D493" s="114">
        <v>1333.7729999999999</v>
      </c>
      <c r="E493" s="114">
        <v>1957.626</v>
      </c>
      <c r="F493" s="114">
        <v>0</v>
      </c>
      <c r="G493" s="134">
        <v>765112</v>
      </c>
      <c r="H493" s="134">
        <v>573997</v>
      </c>
      <c r="I493" s="114">
        <v>0</v>
      </c>
      <c r="J493" s="134">
        <v>325163500</v>
      </c>
      <c r="K493" s="134">
        <v>325163500</v>
      </c>
    </row>
    <row r="494" spans="1:11">
      <c r="A494" t="s">
        <v>1432</v>
      </c>
      <c r="B494" t="s">
        <v>2480</v>
      </c>
      <c r="C494" s="114">
        <v>470.51499999999999</v>
      </c>
      <c r="D494" s="114">
        <v>470.51499999999999</v>
      </c>
      <c r="E494" s="114">
        <v>768.32600000000002</v>
      </c>
      <c r="F494" s="114">
        <v>0</v>
      </c>
      <c r="G494" s="134">
        <v>294346</v>
      </c>
      <c r="H494" s="134">
        <v>422689</v>
      </c>
      <c r="I494" s="114">
        <v>0</v>
      </c>
      <c r="J494" s="134">
        <v>235820501</v>
      </c>
      <c r="K494" s="134">
        <v>235820501</v>
      </c>
    </row>
    <row r="495" spans="1:11">
      <c r="A495" t="s">
        <v>1104</v>
      </c>
      <c r="B495" t="s">
        <v>2880</v>
      </c>
      <c r="C495" s="114">
        <v>511.18900000000002</v>
      </c>
      <c r="D495" s="114">
        <v>511.839</v>
      </c>
      <c r="E495" s="114">
        <v>902.54700000000003</v>
      </c>
      <c r="F495" s="114">
        <v>0</v>
      </c>
      <c r="G495" s="114">
        <v>0</v>
      </c>
      <c r="H495" s="114">
        <v>0</v>
      </c>
      <c r="I495" s="114">
        <v>0</v>
      </c>
      <c r="J495" s="134">
        <v>182155658</v>
      </c>
      <c r="K495" s="134">
        <v>182155658</v>
      </c>
    </row>
    <row r="496" spans="1:11">
      <c r="A496" t="s">
        <v>1105</v>
      </c>
      <c r="B496" t="s">
        <v>1767</v>
      </c>
      <c r="C496" s="114">
        <v>416.596</v>
      </c>
      <c r="D496" s="114">
        <v>416.596</v>
      </c>
      <c r="E496" s="114">
        <v>692.66800000000001</v>
      </c>
      <c r="F496" s="114">
        <v>0</v>
      </c>
      <c r="G496" s="134">
        <v>229579</v>
      </c>
      <c r="H496" s="134">
        <v>176958</v>
      </c>
      <c r="I496" s="114">
        <v>0</v>
      </c>
      <c r="J496" s="134">
        <v>117910397</v>
      </c>
      <c r="K496" s="134">
        <v>117910397</v>
      </c>
    </row>
    <row r="497" spans="1:11">
      <c r="A497" t="s">
        <v>1011</v>
      </c>
      <c r="B497" t="s">
        <v>1768</v>
      </c>
      <c r="C497" s="114">
        <v>307.02600000000001</v>
      </c>
      <c r="D497" s="114">
        <v>307.02600000000001</v>
      </c>
      <c r="E497" s="114">
        <v>639.74</v>
      </c>
      <c r="F497" s="114">
        <v>0</v>
      </c>
      <c r="G497" s="114">
        <v>0</v>
      </c>
      <c r="H497" s="114">
        <v>0</v>
      </c>
      <c r="I497" s="114">
        <v>0</v>
      </c>
      <c r="J497" s="134">
        <v>147957954</v>
      </c>
      <c r="K497" s="134">
        <v>147957954</v>
      </c>
    </row>
    <row r="498" spans="1:11">
      <c r="A498" t="s">
        <v>2036</v>
      </c>
      <c r="B498" t="s">
        <v>1769</v>
      </c>
      <c r="C498" s="114">
        <v>3569.152</v>
      </c>
      <c r="D498" s="114">
        <v>3569.152</v>
      </c>
      <c r="E498" s="114">
        <v>4825.9989999999998</v>
      </c>
      <c r="F498" s="114">
        <v>0</v>
      </c>
      <c r="G498" s="134">
        <v>945384</v>
      </c>
      <c r="H498" s="134">
        <v>672807</v>
      </c>
      <c r="I498" s="114">
        <v>0</v>
      </c>
      <c r="J498" s="134">
        <v>951619879</v>
      </c>
      <c r="K498" s="134">
        <v>951619879</v>
      </c>
    </row>
    <row r="499" spans="1:11">
      <c r="A499" t="s">
        <v>3076</v>
      </c>
      <c r="B499" t="s">
        <v>1770</v>
      </c>
      <c r="C499" s="114">
        <v>778.92700000000002</v>
      </c>
      <c r="D499" s="114">
        <v>778.92700000000002</v>
      </c>
      <c r="E499" s="114">
        <v>1294.7739999999999</v>
      </c>
      <c r="F499" s="114">
        <v>0</v>
      </c>
      <c r="G499" s="134">
        <v>678014</v>
      </c>
      <c r="H499" s="114">
        <v>0</v>
      </c>
      <c r="I499" s="114">
        <v>0</v>
      </c>
      <c r="J499" s="134">
        <v>301860665</v>
      </c>
      <c r="K499" s="134">
        <v>301860665</v>
      </c>
    </row>
    <row r="500" spans="1:11">
      <c r="A500" t="s">
        <v>3077</v>
      </c>
      <c r="B500" t="s">
        <v>1771</v>
      </c>
      <c r="C500" s="114">
        <v>672.09500000000003</v>
      </c>
      <c r="D500" s="114">
        <v>672.09500000000003</v>
      </c>
      <c r="E500" s="114">
        <v>986.36800000000005</v>
      </c>
      <c r="F500" s="114">
        <v>0</v>
      </c>
      <c r="G500" s="134">
        <v>451385</v>
      </c>
      <c r="H500" s="134">
        <v>611052</v>
      </c>
      <c r="I500" s="114">
        <v>0</v>
      </c>
      <c r="J500" s="134">
        <v>392327399</v>
      </c>
      <c r="K500" s="134">
        <v>392327399</v>
      </c>
    </row>
    <row r="501" spans="1:11">
      <c r="A501" t="s">
        <v>1507</v>
      </c>
      <c r="B501" t="s">
        <v>1772</v>
      </c>
      <c r="C501" s="114">
        <v>463.392</v>
      </c>
      <c r="D501" s="114">
        <v>463.392</v>
      </c>
      <c r="E501" s="114">
        <v>929.58199999999999</v>
      </c>
      <c r="F501" s="114">
        <v>0</v>
      </c>
      <c r="G501" s="134">
        <v>96021</v>
      </c>
      <c r="H501" s="134">
        <v>99398</v>
      </c>
      <c r="I501" s="114">
        <v>0</v>
      </c>
      <c r="J501" s="134">
        <v>142447766</v>
      </c>
      <c r="K501" s="134">
        <v>142447766</v>
      </c>
    </row>
    <row r="502" spans="1:11">
      <c r="A502" t="s">
        <v>2492</v>
      </c>
      <c r="B502" t="s">
        <v>1773</v>
      </c>
      <c r="C502" s="114">
        <v>156.69</v>
      </c>
      <c r="D502" s="114">
        <v>156.69</v>
      </c>
      <c r="E502" s="114">
        <v>315.48500000000001</v>
      </c>
      <c r="F502" s="114">
        <v>0</v>
      </c>
      <c r="G502" s="114">
        <v>0</v>
      </c>
      <c r="H502" s="114">
        <v>0</v>
      </c>
      <c r="I502" s="114">
        <v>0</v>
      </c>
      <c r="J502" s="134">
        <v>64219710</v>
      </c>
      <c r="K502" s="134">
        <v>64219710</v>
      </c>
    </row>
    <row r="503" spans="1:11">
      <c r="A503" t="s">
        <v>1271</v>
      </c>
      <c r="B503" t="s">
        <v>1774</v>
      </c>
      <c r="C503" s="114">
        <v>82.091999999999999</v>
      </c>
      <c r="D503" s="114">
        <v>85.102999999999994</v>
      </c>
      <c r="E503" s="114">
        <v>254.77199999999999</v>
      </c>
      <c r="F503" s="114">
        <v>0</v>
      </c>
      <c r="G503" s="114">
        <v>0</v>
      </c>
      <c r="H503" s="114">
        <v>0</v>
      </c>
      <c r="I503" s="114">
        <v>0</v>
      </c>
      <c r="J503" s="134">
        <v>53170037</v>
      </c>
      <c r="K503" s="134">
        <v>53170037</v>
      </c>
    </row>
    <row r="504" spans="1:11">
      <c r="A504" t="s">
        <v>2155</v>
      </c>
      <c r="B504" t="s">
        <v>726</v>
      </c>
      <c r="C504" s="114">
        <v>1345.1379999999999</v>
      </c>
      <c r="D504" s="114">
        <v>1345.1379999999999</v>
      </c>
      <c r="E504" s="114">
        <v>1795.268</v>
      </c>
      <c r="F504" s="114">
        <v>0</v>
      </c>
      <c r="G504" s="134">
        <v>1607919</v>
      </c>
      <c r="H504" s="134">
        <v>631701</v>
      </c>
      <c r="I504" s="134">
        <v>517963</v>
      </c>
      <c r="J504" s="134">
        <v>288215923</v>
      </c>
      <c r="K504" s="134">
        <v>288215923</v>
      </c>
    </row>
    <row r="505" spans="1:11">
      <c r="A505" t="s">
        <v>1272</v>
      </c>
      <c r="B505" t="s">
        <v>1775</v>
      </c>
      <c r="C505" s="114">
        <v>478.13499999999999</v>
      </c>
      <c r="D505" s="114">
        <v>478.13499999999999</v>
      </c>
      <c r="E505" s="114">
        <v>787.82600000000002</v>
      </c>
      <c r="F505" s="114">
        <v>0</v>
      </c>
      <c r="G505" s="134">
        <v>273552</v>
      </c>
      <c r="H505" s="134">
        <v>46771</v>
      </c>
      <c r="I505" s="134">
        <v>49719</v>
      </c>
      <c r="J505" s="134">
        <v>67370273</v>
      </c>
      <c r="K505" s="134">
        <v>67370273</v>
      </c>
    </row>
    <row r="506" spans="1:11">
      <c r="A506" t="s">
        <v>1618</v>
      </c>
      <c r="B506" t="s">
        <v>1743</v>
      </c>
      <c r="C506" s="114">
        <v>1487.7660000000001</v>
      </c>
      <c r="D506" s="114">
        <v>1487.7660000000001</v>
      </c>
      <c r="E506" s="114">
        <v>2133.52</v>
      </c>
      <c r="F506" s="114">
        <v>0</v>
      </c>
      <c r="G506" s="134">
        <v>1696707</v>
      </c>
      <c r="H506" s="134">
        <v>539873</v>
      </c>
      <c r="I506" s="134">
        <v>466081</v>
      </c>
      <c r="J506" s="134">
        <v>427129301</v>
      </c>
      <c r="K506" s="134">
        <v>427129301</v>
      </c>
    </row>
    <row r="507" spans="1:11">
      <c r="A507" t="s">
        <v>1209</v>
      </c>
      <c r="B507" t="s">
        <v>1776</v>
      </c>
      <c r="C507" s="114">
        <v>4387.4979999999996</v>
      </c>
      <c r="D507" s="114">
        <v>4387.4979999999996</v>
      </c>
      <c r="E507" s="114">
        <v>5778.1040000000003</v>
      </c>
      <c r="F507" s="114">
        <v>0</v>
      </c>
      <c r="G507" s="134">
        <v>2120076</v>
      </c>
      <c r="H507" s="134">
        <v>2036313</v>
      </c>
      <c r="I507" s="114">
        <v>0</v>
      </c>
      <c r="J507" s="134">
        <v>1320060565</v>
      </c>
      <c r="K507" s="134">
        <v>1320060565</v>
      </c>
    </row>
    <row r="508" spans="1:11">
      <c r="A508" t="s">
        <v>2218</v>
      </c>
      <c r="B508" t="s">
        <v>2435</v>
      </c>
      <c r="C508" s="114">
        <v>877.52200000000005</v>
      </c>
      <c r="D508" s="114">
        <v>877.52200000000005</v>
      </c>
      <c r="E508" s="114">
        <v>1306.011</v>
      </c>
      <c r="F508" s="114">
        <v>0</v>
      </c>
      <c r="G508" s="134">
        <v>515771</v>
      </c>
      <c r="H508" s="134">
        <v>312223</v>
      </c>
      <c r="I508" s="134">
        <v>114029</v>
      </c>
      <c r="J508" s="134">
        <v>195107257</v>
      </c>
      <c r="K508" s="134">
        <v>195107257</v>
      </c>
    </row>
    <row r="509" spans="1:11">
      <c r="A509" t="s">
        <v>1781</v>
      </c>
      <c r="B509" t="s">
        <v>90</v>
      </c>
      <c r="C509" s="114">
        <v>2344.8009999999999</v>
      </c>
      <c r="D509" s="114">
        <v>2344.8009999999999</v>
      </c>
      <c r="E509" s="114">
        <v>3241.2190000000001</v>
      </c>
      <c r="F509" s="114">
        <v>0</v>
      </c>
      <c r="G509" s="134">
        <v>1236046</v>
      </c>
      <c r="H509" s="134">
        <v>291248</v>
      </c>
      <c r="I509" s="134">
        <v>902014</v>
      </c>
      <c r="J509" s="134">
        <v>557456826</v>
      </c>
      <c r="K509" s="134">
        <v>557456826</v>
      </c>
    </row>
    <row r="510" spans="1:11">
      <c r="A510" t="s">
        <v>273</v>
      </c>
      <c r="B510" t="s">
        <v>1292</v>
      </c>
      <c r="C510" s="114">
        <v>576.37199999999996</v>
      </c>
      <c r="D510" s="114">
        <v>576.37199999999996</v>
      </c>
      <c r="E510" s="114">
        <v>922.11699999999996</v>
      </c>
      <c r="F510" s="114">
        <v>0</v>
      </c>
      <c r="G510" s="134">
        <v>133635</v>
      </c>
      <c r="H510" s="134">
        <v>106877</v>
      </c>
      <c r="I510" s="134">
        <v>54237</v>
      </c>
      <c r="J510" s="134">
        <v>77253057</v>
      </c>
      <c r="K510" s="134">
        <v>77253057</v>
      </c>
    </row>
    <row r="511" spans="1:11">
      <c r="A511" t="s">
        <v>1210</v>
      </c>
      <c r="B511" t="s">
        <v>1777</v>
      </c>
      <c r="C511" s="114">
        <v>314.84800000000001</v>
      </c>
      <c r="D511" s="114">
        <v>314.84800000000001</v>
      </c>
      <c r="E511" s="114">
        <v>534.53700000000003</v>
      </c>
      <c r="F511" s="114">
        <v>0</v>
      </c>
      <c r="G511" s="134">
        <v>35667</v>
      </c>
      <c r="H511" s="134">
        <v>30283</v>
      </c>
      <c r="I511" s="114">
        <v>0</v>
      </c>
      <c r="J511" s="134">
        <v>60505884</v>
      </c>
      <c r="K511" s="134">
        <v>60505884</v>
      </c>
    </row>
    <row r="512" spans="1:11">
      <c r="A512" t="s">
        <v>987</v>
      </c>
      <c r="B512" t="s">
        <v>903</v>
      </c>
      <c r="C512" s="114">
        <v>538.92499999999995</v>
      </c>
      <c r="D512" s="114">
        <v>538.92499999999995</v>
      </c>
      <c r="E512" s="114">
        <v>859.69200000000001</v>
      </c>
      <c r="F512" s="114">
        <v>0</v>
      </c>
      <c r="G512" s="134">
        <v>493261</v>
      </c>
      <c r="H512" s="134">
        <v>45865</v>
      </c>
      <c r="I512" s="134">
        <v>75985</v>
      </c>
      <c r="J512" s="134">
        <v>104864407</v>
      </c>
      <c r="K512" s="134">
        <v>104864407</v>
      </c>
    </row>
    <row r="513" spans="1:11">
      <c r="A513" t="s">
        <v>2105</v>
      </c>
      <c r="B513" t="s">
        <v>1523</v>
      </c>
      <c r="C513" s="114">
        <v>490.94600000000003</v>
      </c>
      <c r="D513" s="114">
        <v>490.94600000000003</v>
      </c>
      <c r="E513" s="114">
        <v>833.57100000000003</v>
      </c>
      <c r="F513" s="114">
        <v>0</v>
      </c>
      <c r="G513" s="134">
        <v>48615</v>
      </c>
      <c r="H513" s="134">
        <v>1419</v>
      </c>
      <c r="I513" s="134">
        <v>12003</v>
      </c>
      <c r="J513" s="134">
        <v>14799636</v>
      </c>
      <c r="K513" s="134">
        <v>14799636</v>
      </c>
    </row>
    <row r="514" spans="1:11">
      <c r="A514" t="s">
        <v>1211</v>
      </c>
      <c r="B514" t="s">
        <v>1778</v>
      </c>
      <c r="C514" s="114">
        <v>2531.712</v>
      </c>
      <c r="D514" s="114">
        <v>2531.712</v>
      </c>
      <c r="E514" s="114">
        <v>3460.8</v>
      </c>
      <c r="F514" s="114">
        <v>0</v>
      </c>
      <c r="G514" s="134">
        <v>1441463</v>
      </c>
      <c r="H514" s="134">
        <v>1295685</v>
      </c>
      <c r="I514" s="114">
        <v>0</v>
      </c>
      <c r="J514" s="134">
        <v>471993288</v>
      </c>
      <c r="K514" s="134">
        <v>471993288</v>
      </c>
    </row>
    <row r="515" spans="1:11">
      <c r="A515" t="s">
        <v>2454</v>
      </c>
      <c r="B515" t="s">
        <v>1196</v>
      </c>
      <c r="C515" s="114">
        <v>783.721</v>
      </c>
      <c r="D515" s="114">
        <v>783.721</v>
      </c>
      <c r="E515" s="114">
        <v>1229.652</v>
      </c>
      <c r="F515" s="114">
        <v>0</v>
      </c>
      <c r="G515" s="134">
        <v>222986</v>
      </c>
      <c r="H515" s="134">
        <v>212552</v>
      </c>
      <c r="I515" s="114">
        <v>0</v>
      </c>
      <c r="J515" s="134">
        <v>147763406</v>
      </c>
      <c r="K515" s="134">
        <v>147763406</v>
      </c>
    </row>
    <row r="516" spans="1:11">
      <c r="A516" t="s">
        <v>2455</v>
      </c>
      <c r="B516" t="s">
        <v>1197</v>
      </c>
      <c r="C516" s="114">
        <v>520.60900000000004</v>
      </c>
      <c r="D516" s="114">
        <v>520.60900000000004</v>
      </c>
      <c r="E516" s="114">
        <v>996.07600000000002</v>
      </c>
      <c r="F516" s="114">
        <v>0</v>
      </c>
      <c r="G516" s="134">
        <v>905095</v>
      </c>
      <c r="H516" s="134">
        <v>1376493</v>
      </c>
      <c r="I516" s="114">
        <v>0</v>
      </c>
      <c r="J516" s="134">
        <v>1493755282</v>
      </c>
      <c r="K516" s="134">
        <v>1400485684</v>
      </c>
    </row>
    <row r="517" spans="1:11">
      <c r="A517" t="s">
        <v>1428</v>
      </c>
      <c r="B517" t="s">
        <v>2890</v>
      </c>
      <c r="C517" s="114">
        <v>89.992999999999995</v>
      </c>
      <c r="D517" s="114">
        <v>89.992999999999995</v>
      </c>
      <c r="E517" s="114">
        <v>150.23699999999999</v>
      </c>
      <c r="F517" s="114">
        <v>0</v>
      </c>
      <c r="G517" s="114">
        <v>0</v>
      </c>
      <c r="H517" s="114">
        <v>0</v>
      </c>
      <c r="I517" s="114">
        <v>0</v>
      </c>
      <c r="J517" s="134">
        <v>32943701</v>
      </c>
      <c r="K517" s="134">
        <v>32943701</v>
      </c>
    </row>
    <row r="518" spans="1:11">
      <c r="A518" t="s">
        <v>1429</v>
      </c>
      <c r="B518" t="s">
        <v>1198</v>
      </c>
      <c r="C518" s="114">
        <v>322.608</v>
      </c>
      <c r="D518" s="114">
        <v>322.608</v>
      </c>
      <c r="E518" s="114">
        <v>615.07399999999996</v>
      </c>
      <c r="F518" s="114">
        <v>0</v>
      </c>
      <c r="G518" s="134">
        <v>1760928</v>
      </c>
      <c r="H518" s="114">
        <v>0</v>
      </c>
      <c r="I518" s="114">
        <v>0</v>
      </c>
      <c r="J518" s="134">
        <v>483815978</v>
      </c>
      <c r="K518" s="134">
        <v>483815978</v>
      </c>
    </row>
    <row r="519" spans="1:11">
      <c r="A519" t="s">
        <v>1039</v>
      </c>
      <c r="B519" t="s">
        <v>2821</v>
      </c>
      <c r="C519" s="114">
        <v>220.14500000000001</v>
      </c>
      <c r="D519" s="114">
        <v>220.14500000000001</v>
      </c>
      <c r="E519" s="114">
        <v>374.892</v>
      </c>
      <c r="F519" s="114">
        <v>0</v>
      </c>
      <c r="G519" s="134">
        <v>65130</v>
      </c>
      <c r="H519" s="134">
        <v>77772</v>
      </c>
      <c r="I519" s="114">
        <v>0</v>
      </c>
      <c r="J519" s="134">
        <v>106828859</v>
      </c>
      <c r="K519" s="134">
        <v>106828859</v>
      </c>
    </row>
    <row r="520" spans="1:11">
      <c r="A520" t="s">
        <v>1040</v>
      </c>
      <c r="B520" t="s">
        <v>2822</v>
      </c>
      <c r="C520" s="114">
        <v>911.98099999999999</v>
      </c>
      <c r="D520" s="114">
        <v>911.98099999999999</v>
      </c>
      <c r="E520" s="114">
        <v>1470.806</v>
      </c>
      <c r="F520" s="114">
        <v>0</v>
      </c>
      <c r="G520" s="134">
        <v>1928617</v>
      </c>
      <c r="H520" s="134">
        <v>1735720</v>
      </c>
      <c r="I520" s="114">
        <v>0</v>
      </c>
      <c r="J520" s="134">
        <v>598524211</v>
      </c>
      <c r="K520" s="134">
        <v>598524211</v>
      </c>
    </row>
    <row r="521" spans="1:11">
      <c r="A521" t="s">
        <v>1041</v>
      </c>
      <c r="B521" t="s">
        <v>1199</v>
      </c>
      <c r="C521" s="114">
        <v>346.97800000000001</v>
      </c>
      <c r="D521" s="114">
        <v>346.97800000000001</v>
      </c>
      <c r="E521" s="114">
        <v>557.35199999999998</v>
      </c>
      <c r="F521" s="114">
        <v>0</v>
      </c>
      <c r="G521" s="134">
        <v>286585</v>
      </c>
      <c r="H521" s="134">
        <v>278496</v>
      </c>
      <c r="I521" s="114">
        <v>0</v>
      </c>
      <c r="J521" s="134">
        <v>143876334</v>
      </c>
      <c r="K521" s="134">
        <v>143876334</v>
      </c>
    </row>
    <row r="522" spans="1:11">
      <c r="A522" t="s">
        <v>1042</v>
      </c>
      <c r="B522" t="s">
        <v>685</v>
      </c>
      <c r="C522" s="114">
        <v>1382.4259999999999</v>
      </c>
      <c r="D522" s="114">
        <v>1382.4259999999999</v>
      </c>
      <c r="E522" s="114">
        <v>1971.85</v>
      </c>
      <c r="F522" s="114">
        <v>0</v>
      </c>
      <c r="G522" s="134">
        <v>1027357</v>
      </c>
      <c r="H522" s="134">
        <v>842710</v>
      </c>
      <c r="I522" s="114">
        <v>0</v>
      </c>
      <c r="J522" s="134">
        <v>422482110</v>
      </c>
      <c r="K522" s="134">
        <v>422482110</v>
      </c>
    </row>
    <row r="523" spans="1:11">
      <c r="A523" t="s">
        <v>2972</v>
      </c>
      <c r="B523" t="s">
        <v>1671</v>
      </c>
      <c r="C523" s="114">
        <v>608.33000000000004</v>
      </c>
      <c r="D523" s="114">
        <v>608.33000000000004</v>
      </c>
      <c r="E523" s="114">
        <v>978.28599999999994</v>
      </c>
      <c r="F523" s="114">
        <v>0</v>
      </c>
      <c r="G523" s="134">
        <v>295271</v>
      </c>
      <c r="H523" s="114">
        <v>0</v>
      </c>
      <c r="I523" s="134">
        <v>189480</v>
      </c>
      <c r="J523" s="134">
        <v>139145386</v>
      </c>
      <c r="K523" s="134">
        <v>139145386</v>
      </c>
    </row>
    <row r="524" spans="1:11">
      <c r="A524" t="s">
        <v>544</v>
      </c>
      <c r="B524" t="s">
        <v>686</v>
      </c>
      <c r="C524" s="114">
        <v>1039.788</v>
      </c>
      <c r="D524" s="114">
        <v>1039.788</v>
      </c>
      <c r="E524" s="114">
        <v>1534.623</v>
      </c>
      <c r="F524" s="114">
        <v>0</v>
      </c>
      <c r="G524" s="134">
        <v>1717185</v>
      </c>
      <c r="H524" s="134">
        <v>1281093</v>
      </c>
      <c r="I524" s="114">
        <v>0</v>
      </c>
      <c r="J524" s="134">
        <v>545665109</v>
      </c>
      <c r="K524" s="134">
        <v>545665109</v>
      </c>
    </row>
    <row r="525" spans="1:11">
      <c r="A525" t="s">
        <v>3042</v>
      </c>
      <c r="B525" t="s">
        <v>2859</v>
      </c>
      <c r="C525" s="114">
        <v>368.17500000000001</v>
      </c>
      <c r="D525" s="114">
        <v>368.17500000000001</v>
      </c>
      <c r="E525" s="114">
        <v>622.43299999999999</v>
      </c>
      <c r="F525" s="114">
        <v>0</v>
      </c>
      <c r="G525" s="114">
        <v>0</v>
      </c>
      <c r="H525" s="114">
        <v>0</v>
      </c>
      <c r="I525" s="114">
        <v>0</v>
      </c>
      <c r="J525" s="134">
        <v>141970086</v>
      </c>
      <c r="K525" s="134">
        <v>141970086</v>
      </c>
    </row>
    <row r="526" spans="1:11">
      <c r="A526" t="s">
        <v>995</v>
      </c>
      <c r="B526" t="s">
        <v>1632</v>
      </c>
      <c r="C526" s="114">
        <v>1359.9960000000001</v>
      </c>
      <c r="D526" s="114">
        <v>1359.9960000000001</v>
      </c>
      <c r="E526" s="114">
        <v>1830.7349999999999</v>
      </c>
      <c r="F526" s="114">
        <v>0</v>
      </c>
      <c r="G526" s="134">
        <v>447363</v>
      </c>
      <c r="H526" s="134">
        <v>84990</v>
      </c>
      <c r="I526" s="134">
        <v>318776</v>
      </c>
      <c r="J526" s="134">
        <v>212191561</v>
      </c>
      <c r="K526" s="134">
        <v>212191561</v>
      </c>
    </row>
    <row r="527" spans="1:11">
      <c r="A527" t="s">
        <v>51</v>
      </c>
      <c r="B527" t="s">
        <v>446</v>
      </c>
      <c r="C527" s="114">
        <v>2599.4949999999999</v>
      </c>
      <c r="D527" s="114">
        <v>2599.4949999999999</v>
      </c>
      <c r="E527" s="114">
        <v>3707.9490000000001</v>
      </c>
      <c r="F527" s="114">
        <v>0</v>
      </c>
      <c r="G527" s="134">
        <v>1071680</v>
      </c>
      <c r="H527" s="134">
        <v>176787</v>
      </c>
      <c r="I527" s="134">
        <v>766308</v>
      </c>
      <c r="J527" s="134">
        <v>584685528</v>
      </c>
      <c r="K527" s="134">
        <v>584685528</v>
      </c>
    </row>
    <row r="528" spans="1:11">
      <c r="A528" t="s">
        <v>61</v>
      </c>
      <c r="B528" t="s">
        <v>2296</v>
      </c>
      <c r="C528" s="114">
        <v>1362.595</v>
      </c>
      <c r="D528" s="114">
        <v>1362.595</v>
      </c>
      <c r="E528" s="114">
        <v>1959.2629999999999</v>
      </c>
      <c r="F528" s="114">
        <v>0</v>
      </c>
      <c r="G528" s="134">
        <v>191356</v>
      </c>
      <c r="H528" s="134">
        <v>24479</v>
      </c>
      <c r="I528" s="134">
        <v>126350</v>
      </c>
      <c r="J528" s="134">
        <v>150734636</v>
      </c>
      <c r="K528" s="134">
        <v>150734636</v>
      </c>
    </row>
    <row r="529" spans="1:11">
      <c r="A529" t="s">
        <v>3043</v>
      </c>
      <c r="B529" t="s">
        <v>2860</v>
      </c>
      <c r="C529" s="114">
        <v>404.42700000000002</v>
      </c>
      <c r="D529" s="114">
        <v>412.75900000000001</v>
      </c>
      <c r="E529" s="114">
        <v>649.24400000000003</v>
      </c>
      <c r="F529" s="114">
        <v>0</v>
      </c>
      <c r="G529" s="134">
        <v>930411</v>
      </c>
      <c r="H529" s="114">
        <v>0</v>
      </c>
      <c r="I529" s="114">
        <v>0</v>
      </c>
      <c r="J529" s="134">
        <v>388527301</v>
      </c>
      <c r="K529" s="134">
        <v>388527301</v>
      </c>
    </row>
    <row r="530" spans="1:11">
      <c r="A530" t="s">
        <v>3044</v>
      </c>
      <c r="B530" t="s">
        <v>2861</v>
      </c>
      <c r="C530" s="114">
        <v>307.99799999999999</v>
      </c>
      <c r="D530" s="114">
        <v>324.00200000000001</v>
      </c>
      <c r="E530" s="114">
        <v>652.05700000000002</v>
      </c>
      <c r="F530" s="114">
        <v>0</v>
      </c>
      <c r="G530" s="114">
        <v>0</v>
      </c>
      <c r="H530" s="114">
        <v>0</v>
      </c>
      <c r="I530" s="114">
        <v>0</v>
      </c>
      <c r="J530" s="134">
        <v>145814229</v>
      </c>
      <c r="K530" s="134">
        <v>145814229</v>
      </c>
    </row>
    <row r="531" spans="1:11">
      <c r="A531" t="s">
        <v>3045</v>
      </c>
      <c r="B531" t="s">
        <v>2618</v>
      </c>
      <c r="C531" s="114">
        <v>46.213000000000001</v>
      </c>
      <c r="D531" s="114">
        <v>46.213000000000001</v>
      </c>
      <c r="E531" s="114">
        <v>232.875</v>
      </c>
      <c r="F531" s="114">
        <v>0</v>
      </c>
      <c r="G531" s="114">
        <v>0</v>
      </c>
      <c r="H531" s="114">
        <v>0</v>
      </c>
      <c r="I531" s="114">
        <v>0</v>
      </c>
      <c r="J531" s="134">
        <v>32842700</v>
      </c>
      <c r="K531" s="134">
        <v>32842700</v>
      </c>
    </row>
    <row r="532" spans="1:11">
      <c r="A532" t="s">
        <v>2905</v>
      </c>
      <c r="B532" t="s">
        <v>426</v>
      </c>
      <c r="C532" s="114">
        <v>4734.3990000000003</v>
      </c>
      <c r="D532" s="114">
        <v>4851.3990000000003</v>
      </c>
      <c r="E532" s="114">
        <v>6228.4160000000002</v>
      </c>
      <c r="F532" s="114">
        <v>0</v>
      </c>
      <c r="G532" s="134">
        <v>1383413</v>
      </c>
      <c r="H532" s="134">
        <v>587625</v>
      </c>
      <c r="I532" s="134">
        <v>723307</v>
      </c>
      <c r="J532" s="134">
        <v>1542435179</v>
      </c>
      <c r="K532" s="134">
        <v>1542435179</v>
      </c>
    </row>
    <row r="533" spans="1:11">
      <c r="A533" t="s">
        <v>2615</v>
      </c>
      <c r="B533" t="s">
        <v>2619</v>
      </c>
      <c r="C533" s="114">
        <v>8291.4310000000005</v>
      </c>
      <c r="D533" s="114">
        <v>8291.4310000000005</v>
      </c>
      <c r="E533" s="114">
        <v>11474.778</v>
      </c>
      <c r="F533" s="114">
        <v>0</v>
      </c>
      <c r="G533" s="134">
        <v>14017486</v>
      </c>
      <c r="H533" s="134">
        <v>5932712</v>
      </c>
      <c r="I533" s="114">
        <v>0</v>
      </c>
      <c r="J533" s="134">
        <v>4215765371</v>
      </c>
      <c r="K533" s="134">
        <v>4215765371</v>
      </c>
    </row>
    <row r="534" spans="1:11">
      <c r="A534" t="s">
        <v>2616</v>
      </c>
      <c r="B534" t="s">
        <v>3089</v>
      </c>
      <c r="C534" s="114">
        <v>4422.45</v>
      </c>
      <c r="D534" s="114">
        <v>4422.45</v>
      </c>
      <c r="E534" s="114">
        <v>5503.8429999999998</v>
      </c>
      <c r="F534" s="114">
        <v>0</v>
      </c>
      <c r="G534" s="134">
        <v>7749071</v>
      </c>
      <c r="H534" s="134">
        <v>3484168</v>
      </c>
      <c r="I534" s="114">
        <v>0</v>
      </c>
      <c r="J534" s="134">
        <v>3006315665</v>
      </c>
      <c r="K534" s="134">
        <v>3006315665</v>
      </c>
    </row>
    <row r="535" spans="1:11">
      <c r="A535" t="s">
        <v>1501</v>
      </c>
      <c r="B535" t="s">
        <v>3090</v>
      </c>
      <c r="C535" s="114">
        <v>17681.728999999999</v>
      </c>
      <c r="D535" s="114">
        <v>17681.728999999999</v>
      </c>
      <c r="E535" s="114">
        <v>23659.866999999998</v>
      </c>
      <c r="F535" s="114">
        <v>0</v>
      </c>
      <c r="G535" s="134">
        <v>1386860</v>
      </c>
      <c r="H535" s="134">
        <v>4803614</v>
      </c>
      <c r="I535" s="114">
        <v>0</v>
      </c>
      <c r="J535" s="134">
        <v>8300301778</v>
      </c>
      <c r="K535" s="134">
        <v>8300301778</v>
      </c>
    </row>
    <row r="536" spans="1:11">
      <c r="A536" t="s">
        <v>1502</v>
      </c>
      <c r="B536" t="s">
        <v>3091</v>
      </c>
      <c r="C536" s="114">
        <v>240.56399999999999</v>
      </c>
      <c r="D536" s="114">
        <v>275.36399999999998</v>
      </c>
      <c r="E536" s="114">
        <v>489.17200000000003</v>
      </c>
      <c r="F536" s="114">
        <v>0</v>
      </c>
      <c r="G536" s="134">
        <v>778725</v>
      </c>
      <c r="H536" s="134">
        <v>884556</v>
      </c>
      <c r="I536" s="114">
        <v>0</v>
      </c>
      <c r="J536" s="134">
        <v>514501379</v>
      </c>
      <c r="K536" s="134">
        <v>506798230</v>
      </c>
    </row>
    <row r="537" spans="1:11">
      <c r="A537" t="s">
        <v>1484</v>
      </c>
      <c r="B537" t="s">
        <v>1950</v>
      </c>
      <c r="C537" s="114">
        <v>1637.769</v>
      </c>
      <c r="D537" s="114">
        <v>1700.769</v>
      </c>
      <c r="E537" s="114">
        <v>2252.4360000000001</v>
      </c>
      <c r="F537" s="114">
        <v>0</v>
      </c>
      <c r="G537" s="134">
        <v>1146653</v>
      </c>
      <c r="H537" s="134">
        <v>762124</v>
      </c>
      <c r="I537" s="134">
        <v>273467</v>
      </c>
      <c r="J537" s="134">
        <v>575860910</v>
      </c>
      <c r="K537" s="134">
        <v>543895378</v>
      </c>
    </row>
    <row r="538" spans="1:11">
      <c r="A538" t="s">
        <v>1503</v>
      </c>
      <c r="B538" t="s">
        <v>1956</v>
      </c>
      <c r="C538" s="114">
        <v>1008.824</v>
      </c>
      <c r="D538" s="114">
        <v>1008.824</v>
      </c>
      <c r="E538" s="114">
        <v>1702.1959999999999</v>
      </c>
      <c r="F538" s="114">
        <v>0</v>
      </c>
      <c r="G538" s="134">
        <v>463528</v>
      </c>
      <c r="H538" s="134">
        <v>453653</v>
      </c>
      <c r="I538" s="114">
        <v>0</v>
      </c>
      <c r="J538" s="134">
        <v>458038592</v>
      </c>
      <c r="K538" s="134">
        <v>456579740</v>
      </c>
    </row>
    <row r="539" spans="1:11">
      <c r="A539" t="s">
        <v>2299</v>
      </c>
      <c r="B539" t="s">
        <v>799</v>
      </c>
      <c r="C539" s="114">
        <v>4792.9279999999999</v>
      </c>
      <c r="D539" s="114">
        <v>4792.9279999999999</v>
      </c>
      <c r="E539" s="114">
        <v>6374.2860000000001</v>
      </c>
      <c r="F539" s="114">
        <v>0</v>
      </c>
      <c r="G539" s="134">
        <v>2387631</v>
      </c>
      <c r="H539" s="134">
        <v>362269</v>
      </c>
      <c r="I539" s="134">
        <v>2100347</v>
      </c>
      <c r="J539" s="134">
        <v>941739378</v>
      </c>
      <c r="K539" s="134">
        <v>941739378</v>
      </c>
    </row>
    <row r="540" spans="1:11">
      <c r="A540" t="s">
        <v>2652</v>
      </c>
      <c r="B540" t="s">
        <v>3080</v>
      </c>
      <c r="C540" s="114">
        <v>556.88800000000003</v>
      </c>
      <c r="D540" s="114">
        <v>559.82100000000003</v>
      </c>
      <c r="E540" s="114">
        <v>952.97400000000005</v>
      </c>
      <c r="F540" s="114">
        <v>0</v>
      </c>
      <c r="G540" s="134">
        <v>106404</v>
      </c>
      <c r="H540" s="114">
        <v>38</v>
      </c>
      <c r="I540" s="134">
        <v>75876</v>
      </c>
      <c r="J540" s="134">
        <v>53620464</v>
      </c>
      <c r="K540" s="134">
        <v>53620464</v>
      </c>
    </row>
    <row r="541" spans="1:11">
      <c r="A541" t="s">
        <v>1593</v>
      </c>
      <c r="B541" t="s">
        <v>1151</v>
      </c>
      <c r="C541" s="114">
        <v>1662.9159999999999</v>
      </c>
      <c r="D541" s="114">
        <v>1662.9159999999999</v>
      </c>
      <c r="E541" s="114">
        <v>2329.8020000000001</v>
      </c>
      <c r="F541" s="114">
        <v>0</v>
      </c>
      <c r="G541" s="134">
        <v>334027</v>
      </c>
      <c r="H541" s="134">
        <v>57625</v>
      </c>
      <c r="I541" s="134">
        <v>268447</v>
      </c>
      <c r="J541" s="134">
        <v>146357182</v>
      </c>
      <c r="K541" s="134">
        <v>146357182</v>
      </c>
    </row>
    <row r="542" spans="1:11">
      <c r="A542" t="s">
        <v>244</v>
      </c>
      <c r="B542" t="s">
        <v>2412</v>
      </c>
      <c r="C542" s="114">
        <v>599.44799999999998</v>
      </c>
      <c r="D542" s="114">
        <v>617.99599999999998</v>
      </c>
      <c r="E542" s="114">
        <v>1050.511</v>
      </c>
      <c r="F542" s="114">
        <v>0</v>
      </c>
      <c r="G542" s="134">
        <v>170486</v>
      </c>
      <c r="H542" s="134">
        <v>3966</v>
      </c>
      <c r="I542" s="134">
        <v>135132</v>
      </c>
      <c r="J542" s="134">
        <v>123860250</v>
      </c>
      <c r="K542" s="134">
        <v>123860250</v>
      </c>
    </row>
    <row r="543" spans="1:11">
      <c r="A543" t="s">
        <v>1504</v>
      </c>
      <c r="B543" t="s">
        <v>1957</v>
      </c>
      <c r="C543" s="114">
        <v>101.483</v>
      </c>
      <c r="D543" s="114">
        <v>101.483</v>
      </c>
      <c r="E543" s="114">
        <v>163.11099999999999</v>
      </c>
      <c r="F543" s="114">
        <v>0</v>
      </c>
      <c r="G543" s="114">
        <v>0</v>
      </c>
      <c r="H543" s="114">
        <v>0</v>
      </c>
      <c r="I543" s="114">
        <v>0</v>
      </c>
      <c r="J543" s="134">
        <v>32720444</v>
      </c>
      <c r="K543" s="134">
        <v>32720444</v>
      </c>
    </row>
    <row r="544" spans="1:11">
      <c r="A544" t="s">
        <v>223</v>
      </c>
      <c r="B544" t="s">
        <v>1201</v>
      </c>
      <c r="C544" s="114">
        <v>3055.51</v>
      </c>
      <c r="D544" s="114">
        <v>3055.51</v>
      </c>
      <c r="E544" s="114">
        <v>4102.3580000000002</v>
      </c>
      <c r="F544" s="114">
        <v>0</v>
      </c>
      <c r="G544" s="134">
        <v>4043384</v>
      </c>
      <c r="H544" s="134">
        <v>1424576</v>
      </c>
      <c r="I544" s="134">
        <v>1703871</v>
      </c>
      <c r="J544" s="134">
        <v>858059294</v>
      </c>
      <c r="K544" s="134">
        <v>858059294</v>
      </c>
    </row>
    <row r="545" spans="1:11">
      <c r="A545" t="s">
        <v>2153</v>
      </c>
      <c r="B545" t="s">
        <v>1634</v>
      </c>
      <c r="C545" s="114">
        <v>9025.2479999999996</v>
      </c>
      <c r="D545" s="114">
        <v>9025.2479999999996</v>
      </c>
      <c r="E545" s="114">
        <v>10897.306</v>
      </c>
      <c r="F545" s="114">
        <v>0</v>
      </c>
      <c r="G545" s="134">
        <v>13435742</v>
      </c>
      <c r="H545" s="134">
        <v>5524805</v>
      </c>
      <c r="I545" s="134">
        <v>2023586</v>
      </c>
      <c r="J545" s="134">
        <v>2424060618</v>
      </c>
      <c r="K545" s="134">
        <v>2424060618</v>
      </c>
    </row>
    <row r="546" spans="1:11">
      <c r="A546" t="s">
        <v>627</v>
      </c>
      <c r="B546" t="s">
        <v>1328</v>
      </c>
      <c r="C546" s="114">
        <v>6404.3180000000002</v>
      </c>
      <c r="D546" s="114">
        <v>6398.0940000000001</v>
      </c>
      <c r="E546" s="114">
        <v>8222.3250000000007</v>
      </c>
      <c r="F546" s="114">
        <v>0</v>
      </c>
      <c r="G546" s="134">
        <v>6351110</v>
      </c>
      <c r="H546" s="134">
        <v>4887774</v>
      </c>
      <c r="I546" s="114">
        <v>0</v>
      </c>
      <c r="J546" s="134">
        <v>2352389073</v>
      </c>
      <c r="K546" s="134">
        <v>2352389073</v>
      </c>
    </row>
    <row r="547" spans="1:11">
      <c r="A547" t="s">
        <v>2037</v>
      </c>
      <c r="B547" t="s">
        <v>977</v>
      </c>
      <c r="C547" s="114">
        <v>1064.0340000000001</v>
      </c>
      <c r="D547" s="114">
        <v>1064.0340000000001</v>
      </c>
      <c r="E547" s="114">
        <v>1531.537</v>
      </c>
      <c r="F547" s="114">
        <v>0</v>
      </c>
      <c r="G547" s="134">
        <v>426687</v>
      </c>
      <c r="H547" s="134">
        <v>57952</v>
      </c>
      <c r="I547" s="134">
        <v>184630</v>
      </c>
      <c r="J547" s="134">
        <v>261908892</v>
      </c>
      <c r="K547" s="134">
        <v>261908892</v>
      </c>
    </row>
    <row r="548" spans="1:11">
      <c r="A548" t="s">
        <v>52</v>
      </c>
      <c r="B548" t="s">
        <v>447</v>
      </c>
      <c r="C548" s="114">
        <v>4359.3019999999997</v>
      </c>
      <c r="D548" s="114">
        <v>4359.3019999999997</v>
      </c>
      <c r="E548" s="114">
        <v>5580.9</v>
      </c>
      <c r="F548" s="114">
        <v>0</v>
      </c>
      <c r="G548" s="134">
        <v>3177698</v>
      </c>
      <c r="H548" s="134">
        <v>1586845</v>
      </c>
      <c r="I548" s="134">
        <v>495922</v>
      </c>
      <c r="J548" s="134">
        <v>995074066</v>
      </c>
      <c r="K548" s="134">
        <v>995074066</v>
      </c>
    </row>
    <row r="549" spans="1:11">
      <c r="A549" t="s">
        <v>1505</v>
      </c>
      <c r="B549" t="s">
        <v>2314</v>
      </c>
      <c r="C549" s="114">
        <v>739.30499999999995</v>
      </c>
      <c r="D549" s="114">
        <v>739.30499999999995</v>
      </c>
      <c r="E549" s="114">
        <v>1249.001</v>
      </c>
      <c r="F549" s="114">
        <v>0</v>
      </c>
      <c r="G549" s="134">
        <v>606921</v>
      </c>
      <c r="H549" s="114">
        <v>0</v>
      </c>
      <c r="I549" s="134">
        <v>101683</v>
      </c>
      <c r="J549" s="134">
        <v>134206167</v>
      </c>
      <c r="K549" s="134">
        <v>134206167</v>
      </c>
    </row>
    <row r="550" spans="1:11">
      <c r="A550" t="s">
        <v>2653</v>
      </c>
      <c r="B550" t="s">
        <v>3094</v>
      </c>
      <c r="C550" s="114">
        <v>834.12199999999996</v>
      </c>
      <c r="D550" s="114">
        <v>834.12199999999996</v>
      </c>
      <c r="E550" s="114">
        <v>1271.5119999999999</v>
      </c>
      <c r="F550" s="114">
        <v>0</v>
      </c>
      <c r="G550" s="134">
        <v>305023</v>
      </c>
      <c r="H550" s="134">
        <v>194709</v>
      </c>
      <c r="I550" s="134">
        <v>90692</v>
      </c>
      <c r="J550" s="134">
        <v>188687501</v>
      </c>
      <c r="K550" s="134">
        <v>188687501</v>
      </c>
    </row>
    <row r="551" spans="1:11">
      <c r="A551" t="s">
        <v>283</v>
      </c>
      <c r="B551" t="s">
        <v>3040</v>
      </c>
      <c r="C551" s="114">
        <v>1658.3630000000001</v>
      </c>
      <c r="D551" s="114">
        <v>1658.3630000000001</v>
      </c>
      <c r="E551" s="114">
        <v>2401.152</v>
      </c>
      <c r="F551" s="114">
        <v>0</v>
      </c>
      <c r="G551" s="134">
        <v>674171</v>
      </c>
      <c r="H551" s="134">
        <v>148122</v>
      </c>
      <c r="I551" s="134">
        <v>348309</v>
      </c>
      <c r="J551" s="134">
        <v>253646875</v>
      </c>
      <c r="K551" s="134">
        <v>253646875</v>
      </c>
    </row>
    <row r="552" spans="1:11">
      <c r="A552" t="s">
        <v>1435</v>
      </c>
      <c r="B552" t="s">
        <v>2651</v>
      </c>
      <c r="C552" s="114">
        <v>1447.03</v>
      </c>
      <c r="D552" s="114">
        <v>1447.03</v>
      </c>
      <c r="E552" s="114">
        <v>2031.702</v>
      </c>
      <c r="F552" s="114">
        <v>0</v>
      </c>
      <c r="G552" s="134">
        <v>1794431</v>
      </c>
      <c r="H552" s="134">
        <v>389148</v>
      </c>
      <c r="I552" s="134">
        <v>492473</v>
      </c>
      <c r="J552" s="134">
        <v>729790992</v>
      </c>
      <c r="K552" s="134">
        <v>729790992</v>
      </c>
    </row>
    <row r="553" spans="1:11">
      <c r="A553" t="s">
        <v>2400</v>
      </c>
      <c r="B553" t="s">
        <v>2771</v>
      </c>
      <c r="C553" s="114">
        <v>694.12699999999995</v>
      </c>
      <c r="D553" s="114">
        <v>694.12699999999995</v>
      </c>
      <c r="E553" s="114">
        <v>1143.8720000000001</v>
      </c>
      <c r="F553" s="114">
        <v>0</v>
      </c>
      <c r="G553" s="134">
        <v>225546</v>
      </c>
      <c r="H553" s="114">
        <v>0</v>
      </c>
      <c r="I553" s="114">
        <v>0</v>
      </c>
      <c r="J553" s="134">
        <v>96672828</v>
      </c>
      <c r="K553" s="134">
        <v>96672828</v>
      </c>
    </row>
    <row r="554" spans="1:11">
      <c r="A554" t="s">
        <v>1506</v>
      </c>
      <c r="B554" t="s">
        <v>2315</v>
      </c>
      <c r="C554" s="114">
        <v>443.49299999999999</v>
      </c>
      <c r="D554" s="114">
        <v>443.49299999999999</v>
      </c>
      <c r="E554" s="114">
        <v>762.31</v>
      </c>
      <c r="F554" s="114">
        <v>0</v>
      </c>
      <c r="G554" s="134">
        <v>257821</v>
      </c>
      <c r="H554" s="134">
        <v>97178</v>
      </c>
      <c r="I554" s="114">
        <v>0</v>
      </c>
      <c r="J554" s="134">
        <v>82385906</v>
      </c>
      <c r="K554" s="134">
        <v>82385906</v>
      </c>
    </row>
    <row r="555" spans="1:11">
      <c r="A555" t="s">
        <v>2128</v>
      </c>
      <c r="B555" t="s">
        <v>937</v>
      </c>
      <c r="C555" s="114">
        <v>710.69</v>
      </c>
      <c r="D555" s="114">
        <v>710.69</v>
      </c>
      <c r="E555" s="114">
        <v>1141.67</v>
      </c>
      <c r="F555" s="114">
        <v>0</v>
      </c>
      <c r="G555" s="134">
        <v>205495</v>
      </c>
      <c r="H555" s="114">
        <v>0</v>
      </c>
      <c r="I555" s="114">
        <v>0</v>
      </c>
      <c r="J555" s="134">
        <v>67770381</v>
      </c>
      <c r="K555" s="134">
        <v>67770381</v>
      </c>
    </row>
    <row r="556" spans="1:11">
      <c r="A556" t="s">
        <v>2870</v>
      </c>
      <c r="B556" t="s">
        <v>165</v>
      </c>
      <c r="C556" s="114">
        <v>108.628</v>
      </c>
      <c r="D556" s="114">
        <v>111.443</v>
      </c>
      <c r="E556" s="114">
        <v>250.33799999999999</v>
      </c>
      <c r="F556" s="114">
        <v>0</v>
      </c>
      <c r="G556" s="134">
        <v>34873</v>
      </c>
      <c r="H556" s="114">
        <v>0</v>
      </c>
      <c r="I556" s="134">
        <v>32772</v>
      </c>
      <c r="J556" s="134">
        <v>46800480</v>
      </c>
      <c r="K556" s="134">
        <v>46800480</v>
      </c>
    </row>
    <row r="557" spans="1:11">
      <c r="A557" t="s">
        <v>288</v>
      </c>
      <c r="B557" t="s">
        <v>2213</v>
      </c>
      <c r="C557" s="114">
        <v>585.26099999999997</v>
      </c>
      <c r="D557" s="114">
        <v>585.26099999999997</v>
      </c>
      <c r="E557" s="114">
        <v>974.00099999999998</v>
      </c>
      <c r="F557" s="114">
        <v>0</v>
      </c>
      <c r="G557" s="134">
        <v>66313</v>
      </c>
      <c r="H557" s="114">
        <v>0</v>
      </c>
      <c r="I557" s="134">
        <v>56420</v>
      </c>
      <c r="J557" s="134">
        <v>68009445</v>
      </c>
      <c r="K557" s="134">
        <v>68009445</v>
      </c>
    </row>
    <row r="558" spans="1:11">
      <c r="A558" t="s">
        <v>54</v>
      </c>
      <c r="B558" t="s">
        <v>449</v>
      </c>
      <c r="C558" s="114">
        <v>885.9</v>
      </c>
      <c r="D558" s="114">
        <v>885.9</v>
      </c>
      <c r="E558" s="114">
        <v>1481.011</v>
      </c>
      <c r="F558" s="114">
        <v>0</v>
      </c>
      <c r="G558" s="134">
        <v>66407</v>
      </c>
      <c r="H558" s="134">
        <v>5140</v>
      </c>
      <c r="I558" s="134">
        <v>59638</v>
      </c>
      <c r="J558" s="134">
        <v>201364978</v>
      </c>
      <c r="K558" s="134">
        <v>201364978</v>
      </c>
    </row>
    <row r="559" spans="1:11">
      <c r="A559" t="s">
        <v>2871</v>
      </c>
      <c r="B559" t="s">
        <v>454</v>
      </c>
      <c r="C559" s="114">
        <v>637.39800000000002</v>
      </c>
      <c r="D559" s="114">
        <v>637.39800000000002</v>
      </c>
      <c r="E559" s="114">
        <v>1070.72</v>
      </c>
      <c r="F559" s="114">
        <v>0</v>
      </c>
      <c r="G559" s="134">
        <v>104262</v>
      </c>
      <c r="H559" s="114">
        <v>152</v>
      </c>
      <c r="I559" s="134">
        <v>94820</v>
      </c>
      <c r="J559" s="134">
        <v>108291986</v>
      </c>
      <c r="K559" s="134">
        <v>108291986</v>
      </c>
    </row>
    <row r="560" spans="1:11">
      <c r="A560" t="s">
        <v>1317</v>
      </c>
      <c r="B560" t="s">
        <v>2316</v>
      </c>
      <c r="C560" s="114">
        <v>281.93200000000002</v>
      </c>
      <c r="D560" s="114">
        <v>281.93200000000002</v>
      </c>
      <c r="E560" s="114">
        <v>487.88400000000001</v>
      </c>
      <c r="F560" s="114">
        <v>0</v>
      </c>
      <c r="G560" s="114">
        <v>0</v>
      </c>
      <c r="H560" s="114">
        <v>0</v>
      </c>
      <c r="I560" s="114">
        <v>0</v>
      </c>
      <c r="J560" s="134">
        <v>55729241</v>
      </c>
      <c r="K560" s="134">
        <v>55729241</v>
      </c>
    </row>
    <row r="561" spans="1:11">
      <c r="A561" t="s">
        <v>1899</v>
      </c>
      <c r="B561" t="s">
        <v>1005</v>
      </c>
      <c r="C561" s="114">
        <v>313.03500000000003</v>
      </c>
      <c r="D561" s="114">
        <v>313.36799999999999</v>
      </c>
      <c r="E561" s="114">
        <v>486.03800000000001</v>
      </c>
      <c r="F561" s="114">
        <v>0</v>
      </c>
      <c r="G561" s="134">
        <v>87861</v>
      </c>
      <c r="H561" s="134">
        <v>11006</v>
      </c>
      <c r="I561" s="134">
        <v>81663</v>
      </c>
      <c r="J561" s="134">
        <v>56887137</v>
      </c>
      <c r="K561" s="134">
        <v>56887137</v>
      </c>
    </row>
    <row r="562" spans="1:11">
      <c r="A562" t="s">
        <v>2757</v>
      </c>
      <c r="B562" t="s">
        <v>456</v>
      </c>
      <c r="C562" s="114">
        <v>2438.5729999999999</v>
      </c>
      <c r="D562" s="114">
        <v>2438.5729999999999</v>
      </c>
      <c r="E562" s="114">
        <v>3134.0920000000001</v>
      </c>
      <c r="F562" s="114">
        <v>0</v>
      </c>
      <c r="G562" s="134">
        <v>2173840</v>
      </c>
      <c r="H562" s="134">
        <v>829745</v>
      </c>
      <c r="I562" s="134">
        <v>612494</v>
      </c>
      <c r="J562" s="134">
        <v>459544350</v>
      </c>
      <c r="K562" s="134">
        <v>459544350</v>
      </c>
    </row>
    <row r="563" spans="1:11">
      <c r="A563" t="s">
        <v>1515</v>
      </c>
      <c r="B563" t="s">
        <v>132</v>
      </c>
      <c r="C563" s="114">
        <v>7098.8739999999998</v>
      </c>
      <c r="D563" s="114">
        <v>7098.8739999999998</v>
      </c>
      <c r="E563" s="114">
        <v>8349.7999999999993</v>
      </c>
      <c r="F563" s="114">
        <v>0</v>
      </c>
      <c r="G563" s="134">
        <v>9722687</v>
      </c>
      <c r="H563" s="134">
        <v>6372008</v>
      </c>
      <c r="I563" s="134">
        <v>2218367</v>
      </c>
      <c r="J563" s="134">
        <v>2197244001</v>
      </c>
      <c r="K563" s="134">
        <v>2197244001</v>
      </c>
    </row>
    <row r="564" spans="1:11">
      <c r="A564" t="s">
        <v>56</v>
      </c>
      <c r="B564" t="s">
        <v>451</v>
      </c>
      <c r="C564" s="114">
        <v>3384.625</v>
      </c>
      <c r="D564" s="114">
        <v>3384.625</v>
      </c>
      <c r="E564" s="114">
        <v>4566.8500000000004</v>
      </c>
      <c r="F564" s="114">
        <v>0</v>
      </c>
      <c r="G564" s="134">
        <v>1647158</v>
      </c>
      <c r="H564" s="134">
        <v>662731</v>
      </c>
      <c r="I564" s="134">
        <v>794800</v>
      </c>
      <c r="J564" s="134">
        <v>618604563</v>
      </c>
      <c r="K564" s="134">
        <v>618604563</v>
      </c>
    </row>
    <row r="565" spans="1:11">
      <c r="A565" t="s">
        <v>58</v>
      </c>
      <c r="B565" t="s">
        <v>453</v>
      </c>
      <c r="C565" s="114">
        <v>1467.7360000000001</v>
      </c>
      <c r="D565" s="114">
        <v>1467.7360000000001</v>
      </c>
      <c r="E565" s="114">
        <v>2090.6060000000002</v>
      </c>
      <c r="F565" s="114">
        <v>0</v>
      </c>
      <c r="G565" s="134">
        <v>1218654</v>
      </c>
      <c r="H565" s="134">
        <v>196795</v>
      </c>
      <c r="I565" s="134">
        <v>509527</v>
      </c>
      <c r="J565" s="134">
        <v>313524955</v>
      </c>
      <c r="K565" s="134">
        <v>313524955</v>
      </c>
    </row>
    <row r="566" spans="1:11">
      <c r="A566" t="s">
        <v>2923</v>
      </c>
      <c r="B566" t="s">
        <v>2317</v>
      </c>
      <c r="C566" s="114">
        <v>3073.9920000000002</v>
      </c>
      <c r="D566" s="114">
        <v>3073.9920000000002</v>
      </c>
      <c r="E566" s="114">
        <v>4075.3339999999998</v>
      </c>
      <c r="F566" s="114">
        <v>0</v>
      </c>
      <c r="G566" s="134">
        <v>2972883</v>
      </c>
      <c r="H566" s="134">
        <v>2400192</v>
      </c>
      <c r="I566" s="114">
        <v>0</v>
      </c>
      <c r="J566" s="134">
        <v>874735515</v>
      </c>
      <c r="K566" s="134">
        <v>874735515</v>
      </c>
    </row>
    <row r="567" spans="1:11">
      <c r="A567" t="s">
        <v>2924</v>
      </c>
      <c r="B567" t="s">
        <v>2318</v>
      </c>
      <c r="C567" s="114">
        <v>4016.9380000000001</v>
      </c>
      <c r="D567" s="114">
        <v>4016.9380000000001</v>
      </c>
      <c r="E567" s="114">
        <v>5518.3620000000001</v>
      </c>
      <c r="F567" s="114">
        <v>0</v>
      </c>
      <c r="G567" s="134">
        <v>3819666</v>
      </c>
      <c r="H567" s="134">
        <v>3745046</v>
      </c>
      <c r="I567" s="114">
        <v>0</v>
      </c>
      <c r="J567" s="134">
        <v>1341679877</v>
      </c>
      <c r="K567" s="134">
        <v>1341679877</v>
      </c>
    </row>
    <row r="568" spans="1:11">
      <c r="A568" t="s">
        <v>536</v>
      </c>
      <c r="B568" t="s">
        <v>1415</v>
      </c>
      <c r="C568" s="114">
        <v>843.87900000000002</v>
      </c>
      <c r="D568" s="114">
        <v>843.87900000000002</v>
      </c>
      <c r="E568" s="114">
        <v>1320.6489999999999</v>
      </c>
      <c r="F568" s="114">
        <v>0</v>
      </c>
      <c r="G568" s="134">
        <v>330055</v>
      </c>
      <c r="H568" s="134">
        <v>234923</v>
      </c>
      <c r="I568" s="134">
        <v>97091</v>
      </c>
      <c r="J568" s="134">
        <v>153970118</v>
      </c>
      <c r="K568" s="134">
        <v>153970118</v>
      </c>
    </row>
    <row r="569" spans="1:11">
      <c r="A569" t="s">
        <v>2925</v>
      </c>
      <c r="B569" t="s">
        <v>2319</v>
      </c>
      <c r="C569" s="114">
        <v>5993.7879999999996</v>
      </c>
      <c r="D569" s="114">
        <v>5993.7879999999996</v>
      </c>
      <c r="E569" s="114">
        <v>7126.9530000000004</v>
      </c>
      <c r="F569" s="114">
        <v>0</v>
      </c>
      <c r="G569" s="134">
        <v>11638025</v>
      </c>
      <c r="H569" s="134">
        <v>10432029</v>
      </c>
      <c r="I569" s="114">
        <v>0</v>
      </c>
      <c r="J569" s="134">
        <v>3597251222</v>
      </c>
      <c r="K569" s="134">
        <v>3597251222</v>
      </c>
    </row>
    <row r="570" spans="1:11">
      <c r="A570" t="s">
        <v>1732</v>
      </c>
      <c r="B570" t="s">
        <v>2320</v>
      </c>
      <c r="C570" s="114">
        <v>1101.943</v>
      </c>
      <c r="D570" s="114">
        <v>1107.1590000000001</v>
      </c>
      <c r="E570" s="114">
        <v>1774.2760000000001</v>
      </c>
      <c r="F570" s="114">
        <v>0</v>
      </c>
      <c r="G570" s="134">
        <v>1292292</v>
      </c>
      <c r="H570" s="134">
        <v>832726</v>
      </c>
      <c r="I570" s="114">
        <v>0</v>
      </c>
      <c r="J570" s="134">
        <v>545032402</v>
      </c>
      <c r="K570" s="134">
        <v>545032402</v>
      </c>
    </row>
    <row r="571" spans="1:11">
      <c r="A571" t="s">
        <v>3088</v>
      </c>
      <c r="B571" t="s">
        <v>2321</v>
      </c>
      <c r="C571" s="114">
        <v>75.635999999999996</v>
      </c>
      <c r="D571" s="114">
        <v>75.635999999999996</v>
      </c>
      <c r="E571" s="114">
        <v>149.58000000000001</v>
      </c>
      <c r="F571" s="114">
        <v>0</v>
      </c>
      <c r="G571" s="134">
        <v>309682</v>
      </c>
      <c r="H571" s="134">
        <v>369599</v>
      </c>
      <c r="I571" s="114">
        <v>0</v>
      </c>
      <c r="J571" s="134">
        <v>478550039</v>
      </c>
      <c r="K571" s="134">
        <v>478550039</v>
      </c>
    </row>
    <row r="572" spans="1:11">
      <c r="A572" t="s">
        <v>2649</v>
      </c>
      <c r="B572" t="s">
        <v>2322</v>
      </c>
      <c r="C572" s="114">
        <v>127.85599999999999</v>
      </c>
      <c r="D572" s="114">
        <v>129.98500000000001</v>
      </c>
      <c r="E572" s="114">
        <v>282.59399999999999</v>
      </c>
      <c r="F572" s="114">
        <v>0</v>
      </c>
      <c r="G572" s="134">
        <v>1376</v>
      </c>
      <c r="H572" s="114">
        <v>0</v>
      </c>
      <c r="I572" s="114">
        <v>0</v>
      </c>
      <c r="J572" s="134">
        <v>524298382</v>
      </c>
      <c r="K572" s="134">
        <v>524298382</v>
      </c>
    </row>
    <row r="573" spans="1:11">
      <c r="A573" t="s">
        <v>1734</v>
      </c>
      <c r="B573" t="s">
        <v>734</v>
      </c>
      <c r="C573" s="114">
        <v>579.12</v>
      </c>
      <c r="D573" s="114">
        <v>579.12</v>
      </c>
      <c r="E573" s="114">
        <v>940.07</v>
      </c>
      <c r="F573" s="114">
        <v>0</v>
      </c>
      <c r="G573" s="134">
        <v>123340</v>
      </c>
      <c r="H573" s="114">
        <v>0</v>
      </c>
      <c r="I573" s="134">
        <v>122450</v>
      </c>
      <c r="J573" s="134">
        <v>177372416</v>
      </c>
      <c r="K573" s="134">
        <v>177372416</v>
      </c>
    </row>
    <row r="574" spans="1:11">
      <c r="A574" t="s">
        <v>2913</v>
      </c>
      <c r="B574" t="s">
        <v>2323</v>
      </c>
      <c r="C574" s="114">
        <v>184.714</v>
      </c>
      <c r="D574" s="114">
        <v>184.714</v>
      </c>
      <c r="E574" s="114">
        <v>290.25900000000001</v>
      </c>
      <c r="F574" s="114">
        <v>0</v>
      </c>
      <c r="G574" s="114">
        <v>0</v>
      </c>
      <c r="H574" s="114">
        <v>0</v>
      </c>
      <c r="I574" s="114">
        <v>0</v>
      </c>
      <c r="J574" s="134">
        <v>246166065</v>
      </c>
      <c r="K574" s="134">
        <v>246166065</v>
      </c>
    </row>
    <row r="575" spans="1:11">
      <c r="A575" t="s">
        <v>2914</v>
      </c>
      <c r="B575" t="s">
        <v>2324</v>
      </c>
      <c r="C575" s="114">
        <v>4450.9759999999997</v>
      </c>
      <c r="D575" s="114">
        <v>4450.9759999999997</v>
      </c>
      <c r="E575" s="114">
        <v>5555.4709999999995</v>
      </c>
      <c r="F575" s="114">
        <v>0</v>
      </c>
      <c r="G575" s="134">
        <v>3101854</v>
      </c>
      <c r="H575" s="134">
        <v>3828813</v>
      </c>
      <c r="I575" s="114">
        <v>0</v>
      </c>
      <c r="J575" s="134">
        <v>1927453253</v>
      </c>
      <c r="K575" s="134">
        <v>1927453253</v>
      </c>
    </row>
    <row r="576" spans="1:11">
      <c r="A576" t="s">
        <v>529</v>
      </c>
      <c r="B576" t="s">
        <v>2325</v>
      </c>
      <c r="C576" s="114">
        <v>1185.979</v>
      </c>
      <c r="D576" s="114">
        <v>1228.5139999999999</v>
      </c>
      <c r="E576" s="114">
        <v>1747.69</v>
      </c>
      <c r="F576" s="114">
        <v>0</v>
      </c>
      <c r="G576" s="134">
        <v>319247</v>
      </c>
      <c r="H576" s="134">
        <v>318093</v>
      </c>
      <c r="I576" s="114">
        <v>0</v>
      </c>
      <c r="J576" s="134">
        <v>364456017</v>
      </c>
      <c r="K576" s="134">
        <v>364456017</v>
      </c>
    </row>
    <row r="577" spans="1:11">
      <c r="A577" t="s">
        <v>2601</v>
      </c>
      <c r="B577" t="s">
        <v>2326</v>
      </c>
      <c r="C577" s="114">
        <v>14.202999999999999</v>
      </c>
      <c r="D577" s="114">
        <v>14.202999999999999</v>
      </c>
      <c r="E577" s="114">
        <v>84.575000000000003</v>
      </c>
      <c r="F577" s="114">
        <v>0</v>
      </c>
      <c r="G577" s="114">
        <v>0</v>
      </c>
      <c r="H577" s="114">
        <v>0</v>
      </c>
      <c r="I577" s="114">
        <v>0</v>
      </c>
      <c r="J577" s="134">
        <v>47338495</v>
      </c>
      <c r="K577" s="134">
        <v>47338495</v>
      </c>
    </row>
    <row r="578" spans="1:11">
      <c r="A578" t="s">
        <v>2602</v>
      </c>
      <c r="B578" t="s">
        <v>2327</v>
      </c>
      <c r="C578" s="114">
        <v>641.07500000000005</v>
      </c>
      <c r="D578" s="114">
        <v>641.07500000000005</v>
      </c>
      <c r="E578" s="114">
        <v>1121.5139999999999</v>
      </c>
      <c r="F578" s="114">
        <v>0</v>
      </c>
      <c r="G578" s="114">
        <v>215</v>
      </c>
      <c r="H578" s="114">
        <v>0</v>
      </c>
      <c r="I578" s="114">
        <v>0</v>
      </c>
      <c r="J578" s="134">
        <v>263706230</v>
      </c>
      <c r="K578" s="134">
        <v>263706230</v>
      </c>
    </row>
    <row r="579" spans="1:11">
      <c r="A579" t="s">
        <v>1727</v>
      </c>
      <c r="B579" t="s">
        <v>2328</v>
      </c>
      <c r="C579" s="114">
        <v>92.204999999999998</v>
      </c>
      <c r="D579" s="114">
        <v>92.204999999999998</v>
      </c>
      <c r="E579" s="114">
        <v>258.92500000000001</v>
      </c>
      <c r="F579" s="114">
        <v>0</v>
      </c>
      <c r="G579" s="134">
        <v>582907</v>
      </c>
      <c r="H579" s="114">
        <v>0</v>
      </c>
      <c r="I579" s="114">
        <v>0</v>
      </c>
      <c r="J579" s="134">
        <v>272785553</v>
      </c>
      <c r="K579" s="134">
        <v>272785553</v>
      </c>
    </row>
    <row r="580" spans="1:11">
      <c r="A580" t="s">
        <v>1728</v>
      </c>
      <c r="B580" t="s">
        <v>2329</v>
      </c>
      <c r="C580" s="114">
        <v>561.33100000000002</v>
      </c>
      <c r="D580" s="114">
        <v>561.33100000000002</v>
      </c>
      <c r="E580" s="114">
        <v>1054.067</v>
      </c>
      <c r="F580" s="114">
        <v>0</v>
      </c>
      <c r="G580" s="114">
        <v>0</v>
      </c>
      <c r="H580" s="114">
        <v>0</v>
      </c>
      <c r="I580" s="114">
        <v>0</v>
      </c>
      <c r="J580" s="134">
        <v>143085069</v>
      </c>
      <c r="K580" s="134">
        <v>143085069</v>
      </c>
    </row>
    <row r="581" spans="1:11">
      <c r="A581" t="s">
        <v>2872</v>
      </c>
      <c r="B581" t="s">
        <v>2295</v>
      </c>
      <c r="C581" s="114">
        <v>3580.7719999999999</v>
      </c>
      <c r="D581" s="114">
        <v>3588.7919999999999</v>
      </c>
      <c r="E581" s="114">
        <v>5035.9939999999997</v>
      </c>
      <c r="F581" s="114">
        <v>0</v>
      </c>
      <c r="G581" s="134">
        <v>1994638</v>
      </c>
      <c r="H581" s="134">
        <v>117988</v>
      </c>
      <c r="I581" s="134">
        <v>1086926</v>
      </c>
      <c r="J581" s="134">
        <v>698692656</v>
      </c>
      <c r="K581" s="134">
        <v>698692656</v>
      </c>
    </row>
    <row r="582" spans="1:11">
      <c r="A582" t="s">
        <v>429</v>
      </c>
      <c r="B582" t="s">
        <v>2330</v>
      </c>
      <c r="C582" s="114">
        <v>595.63199999999995</v>
      </c>
      <c r="D582" s="114">
        <v>595.63199999999995</v>
      </c>
      <c r="E582" s="114">
        <v>905.54100000000005</v>
      </c>
      <c r="F582" s="114">
        <v>0</v>
      </c>
      <c r="G582" s="114">
        <v>0</v>
      </c>
      <c r="H582" s="114">
        <v>0</v>
      </c>
      <c r="I582" s="114">
        <v>0</v>
      </c>
      <c r="J582" s="134">
        <v>124721719</v>
      </c>
      <c r="K582" s="134">
        <v>124721719</v>
      </c>
    </row>
    <row r="583" spans="1:11">
      <c r="A583" t="s">
        <v>430</v>
      </c>
      <c r="B583" t="s">
        <v>2331</v>
      </c>
      <c r="C583" s="114">
        <v>460.24900000000002</v>
      </c>
      <c r="D583" s="114">
        <v>460.24900000000002</v>
      </c>
      <c r="E583" s="114">
        <v>897.93</v>
      </c>
      <c r="F583" s="114">
        <v>0</v>
      </c>
      <c r="G583" s="114">
        <v>0</v>
      </c>
      <c r="H583" s="114">
        <v>0</v>
      </c>
      <c r="I583" s="114">
        <v>0</v>
      </c>
      <c r="J583" s="134">
        <v>246735963</v>
      </c>
      <c r="K583" s="134">
        <v>246735963</v>
      </c>
    </row>
    <row r="584" spans="1:11">
      <c r="A584" t="s">
        <v>431</v>
      </c>
      <c r="B584" t="s">
        <v>2332</v>
      </c>
      <c r="C584" s="114">
        <v>348.77699999999999</v>
      </c>
      <c r="D584" s="114">
        <v>348.77699999999999</v>
      </c>
      <c r="E584" s="114">
        <v>567.09799999999996</v>
      </c>
      <c r="F584" s="114">
        <v>0</v>
      </c>
      <c r="G584" s="134">
        <v>522314</v>
      </c>
      <c r="H584" s="114">
        <v>0</v>
      </c>
      <c r="I584" s="114">
        <v>0</v>
      </c>
      <c r="J584" s="134">
        <v>205372862</v>
      </c>
      <c r="K584" s="134">
        <v>185069903</v>
      </c>
    </row>
    <row r="585" spans="1:11">
      <c r="A585" t="s">
        <v>2873</v>
      </c>
      <c r="B585" t="s">
        <v>1200</v>
      </c>
      <c r="C585" s="114">
        <v>251.988</v>
      </c>
      <c r="D585" s="114">
        <v>251.988</v>
      </c>
      <c r="E585" s="114">
        <v>460.48200000000003</v>
      </c>
      <c r="F585" s="114">
        <v>0</v>
      </c>
      <c r="G585" s="134">
        <v>44128</v>
      </c>
      <c r="H585" s="134">
        <v>2139</v>
      </c>
      <c r="I585" s="134">
        <v>40508</v>
      </c>
      <c r="J585" s="134">
        <v>64003348</v>
      </c>
      <c r="K585" s="134">
        <v>64003348</v>
      </c>
    </row>
    <row r="586" spans="1:11">
      <c r="A586" t="s">
        <v>270</v>
      </c>
      <c r="B586" t="s">
        <v>2333</v>
      </c>
      <c r="C586" s="114">
        <v>375.065</v>
      </c>
      <c r="D586" s="114">
        <v>375.065</v>
      </c>
      <c r="E586" s="114">
        <v>632.29600000000005</v>
      </c>
      <c r="F586" s="114">
        <v>0</v>
      </c>
      <c r="G586" s="114">
        <v>0</v>
      </c>
      <c r="H586" s="114">
        <v>0</v>
      </c>
      <c r="I586" s="114">
        <v>0</v>
      </c>
      <c r="J586" s="134">
        <v>44768907</v>
      </c>
      <c r="K586" s="134">
        <v>44768907</v>
      </c>
    </row>
    <row r="587" spans="1:11">
      <c r="A587" t="s">
        <v>271</v>
      </c>
      <c r="B587" t="s">
        <v>2334</v>
      </c>
      <c r="C587" s="114">
        <v>71.951999999999998</v>
      </c>
      <c r="D587" s="114">
        <v>71.951999999999998</v>
      </c>
      <c r="E587" s="114">
        <v>165.14699999999999</v>
      </c>
      <c r="F587" s="114">
        <v>0</v>
      </c>
      <c r="G587" s="114">
        <v>0</v>
      </c>
      <c r="H587" s="114">
        <v>0</v>
      </c>
      <c r="I587" s="114">
        <v>0</v>
      </c>
      <c r="J587" s="134">
        <v>24035957</v>
      </c>
      <c r="K587" s="134">
        <v>24035957</v>
      </c>
    </row>
    <row r="588" spans="1:11">
      <c r="A588" t="s">
        <v>272</v>
      </c>
      <c r="B588" t="s">
        <v>2335</v>
      </c>
      <c r="C588" s="114">
        <v>835.17499999999995</v>
      </c>
      <c r="D588" s="114">
        <v>835.17499999999995</v>
      </c>
      <c r="E588" s="114">
        <v>1264.32</v>
      </c>
      <c r="F588" s="114">
        <v>0</v>
      </c>
      <c r="G588" s="134">
        <v>1152741</v>
      </c>
      <c r="H588" s="134">
        <v>913766</v>
      </c>
      <c r="I588" s="114">
        <v>0</v>
      </c>
      <c r="J588" s="134">
        <v>543854954</v>
      </c>
      <c r="K588" s="134">
        <v>543854954</v>
      </c>
    </row>
    <row r="589" spans="1:11">
      <c r="A589" t="s">
        <v>2654</v>
      </c>
      <c r="B589" t="s">
        <v>667</v>
      </c>
      <c r="C589" s="114">
        <v>198.44300000000001</v>
      </c>
      <c r="D589" s="114">
        <v>208.262</v>
      </c>
      <c r="E589" s="114">
        <v>365.19</v>
      </c>
      <c r="F589" s="114">
        <v>0</v>
      </c>
      <c r="G589" s="134">
        <v>48020</v>
      </c>
      <c r="H589" s="134">
        <v>21453</v>
      </c>
      <c r="I589" s="134">
        <v>18334</v>
      </c>
      <c r="J589" s="134">
        <v>30465152</v>
      </c>
      <c r="K589" s="134">
        <v>30465152</v>
      </c>
    </row>
    <row r="590" spans="1:11">
      <c r="A590" t="s">
        <v>2303</v>
      </c>
      <c r="B590" t="s">
        <v>226</v>
      </c>
      <c r="C590" s="114">
        <v>3404.6790000000001</v>
      </c>
      <c r="D590" s="114">
        <v>3404.6790000000001</v>
      </c>
      <c r="E590" s="114">
        <v>4677.1949999999997</v>
      </c>
      <c r="F590" s="114">
        <v>0</v>
      </c>
      <c r="G590" s="134">
        <v>2850656</v>
      </c>
      <c r="H590" s="134">
        <v>127419</v>
      </c>
      <c r="I590" s="134">
        <v>406372</v>
      </c>
      <c r="J590" s="134">
        <v>618725190</v>
      </c>
      <c r="K590" s="134">
        <v>618725190</v>
      </c>
    </row>
    <row r="591" spans="1:11">
      <c r="A591" t="s">
        <v>2370</v>
      </c>
      <c r="B591" t="s">
        <v>2786</v>
      </c>
      <c r="C591" s="114">
        <v>2866.9009999999998</v>
      </c>
      <c r="D591" s="114">
        <v>2866.9009999999998</v>
      </c>
      <c r="E591" s="114">
        <v>3835.9169999999999</v>
      </c>
      <c r="F591" s="114">
        <v>0</v>
      </c>
      <c r="G591" s="134">
        <v>942743</v>
      </c>
      <c r="H591" s="134">
        <v>680986</v>
      </c>
      <c r="I591" s="114">
        <v>0</v>
      </c>
      <c r="J591" s="134">
        <v>747896706</v>
      </c>
      <c r="K591" s="134">
        <v>747896706</v>
      </c>
    </row>
    <row r="592" spans="1:11">
      <c r="A592" t="s">
        <v>2874</v>
      </c>
      <c r="B592" t="s">
        <v>2411</v>
      </c>
      <c r="C592" s="114">
        <v>1060.04</v>
      </c>
      <c r="D592" s="114">
        <v>1060.04</v>
      </c>
      <c r="E592" s="114">
        <v>1608.3689999999999</v>
      </c>
      <c r="F592" s="114">
        <v>0</v>
      </c>
      <c r="G592" s="134">
        <v>192816</v>
      </c>
      <c r="H592" s="134">
        <v>113744</v>
      </c>
      <c r="I592" s="134">
        <v>73547</v>
      </c>
      <c r="J592" s="134">
        <v>119098003</v>
      </c>
      <c r="K592" s="134">
        <v>119098003</v>
      </c>
    </row>
    <row r="593" spans="1:11">
      <c r="A593" t="s">
        <v>1754</v>
      </c>
      <c r="B593" t="s">
        <v>2787</v>
      </c>
      <c r="C593" s="114">
        <v>152.99</v>
      </c>
      <c r="D593" s="114">
        <v>152.99</v>
      </c>
      <c r="E593" s="114">
        <v>288.14499999999998</v>
      </c>
      <c r="F593" s="114">
        <v>0</v>
      </c>
      <c r="G593" s="114">
        <v>0</v>
      </c>
      <c r="H593" s="114">
        <v>0</v>
      </c>
      <c r="I593" s="114">
        <v>0</v>
      </c>
      <c r="J593" s="134">
        <v>36130237</v>
      </c>
      <c r="K593" s="134">
        <v>36130237</v>
      </c>
    </row>
    <row r="594" spans="1:11">
      <c r="A594" t="s">
        <v>1755</v>
      </c>
      <c r="B594" t="s">
        <v>1064</v>
      </c>
      <c r="C594" s="114">
        <v>1357.6769999999999</v>
      </c>
      <c r="D594" s="114">
        <v>1364.202</v>
      </c>
      <c r="E594" s="114">
        <v>1969.7539999999999</v>
      </c>
      <c r="F594" s="114">
        <v>0</v>
      </c>
      <c r="G594" s="114">
        <v>0</v>
      </c>
      <c r="H594" s="114">
        <v>0</v>
      </c>
      <c r="I594" s="114">
        <v>0</v>
      </c>
      <c r="J594" s="134">
        <v>192111513</v>
      </c>
      <c r="K594" s="134">
        <v>192111513</v>
      </c>
    </row>
    <row r="595" spans="1:11">
      <c r="A595" t="s">
        <v>1592</v>
      </c>
      <c r="B595" t="s">
        <v>934</v>
      </c>
      <c r="C595" s="114">
        <v>667.702</v>
      </c>
      <c r="D595" s="114">
        <v>667.702</v>
      </c>
      <c r="E595" s="114">
        <v>1272.98</v>
      </c>
      <c r="F595" s="114">
        <v>0</v>
      </c>
      <c r="G595" s="134">
        <v>66717</v>
      </c>
      <c r="H595" s="114">
        <v>0</v>
      </c>
      <c r="I595" s="134">
        <v>75277</v>
      </c>
      <c r="J595" s="134">
        <v>97051243</v>
      </c>
      <c r="K595" s="134">
        <v>97051243</v>
      </c>
    </row>
    <row r="596" spans="1:11">
      <c r="A596" t="s">
        <v>2584</v>
      </c>
      <c r="B596" t="s">
        <v>1067</v>
      </c>
      <c r="C596" s="114">
        <v>371.14</v>
      </c>
      <c r="D596" s="114">
        <v>371.14</v>
      </c>
      <c r="E596" s="114">
        <v>643.56600000000003</v>
      </c>
      <c r="F596" s="114">
        <v>0</v>
      </c>
      <c r="G596" s="114">
        <v>0</v>
      </c>
      <c r="H596" s="114">
        <v>0</v>
      </c>
      <c r="I596" s="114">
        <v>0</v>
      </c>
      <c r="J596" s="134">
        <v>54287733</v>
      </c>
      <c r="K596" s="134">
        <v>54287733</v>
      </c>
    </row>
    <row r="597" spans="1:11">
      <c r="A597" t="s">
        <v>2585</v>
      </c>
      <c r="B597" t="s">
        <v>1068</v>
      </c>
      <c r="C597" s="114">
        <v>349.51400000000001</v>
      </c>
      <c r="D597" s="114">
        <v>349.51400000000001</v>
      </c>
      <c r="E597" s="114">
        <v>682.91399999999999</v>
      </c>
      <c r="F597" s="114">
        <v>0</v>
      </c>
      <c r="G597" s="134">
        <v>328134</v>
      </c>
      <c r="H597" s="134">
        <v>293777</v>
      </c>
      <c r="I597" s="114">
        <v>0</v>
      </c>
      <c r="J597" s="134">
        <v>367138042</v>
      </c>
      <c r="K597" s="134">
        <v>360082847</v>
      </c>
    </row>
    <row r="598" spans="1:11">
      <c r="A598" t="s">
        <v>2586</v>
      </c>
      <c r="B598" t="s">
        <v>1069</v>
      </c>
      <c r="C598" s="114">
        <v>3132.2910000000002</v>
      </c>
      <c r="D598" s="114">
        <v>3136.8829999999998</v>
      </c>
      <c r="E598" s="114">
        <v>4217.3239999999996</v>
      </c>
      <c r="F598" s="114">
        <v>0</v>
      </c>
      <c r="G598" s="134">
        <v>4081703</v>
      </c>
      <c r="H598" s="134">
        <v>477112</v>
      </c>
      <c r="I598" s="134">
        <v>614856</v>
      </c>
      <c r="J598" s="134">
        <v>832910639</v>
      </c>
      <c r="K598" s="134">
        <v>832910639</v>
      </c>
    </row>
    <row r="599" spans="1:11">
      <c r="A599" t="s">
        <v>2587</v>
      </c>
      <c r="B599" t="s">
        <v>1070</v>
      </c>
      <c r="C599" s="114">
        <v>289.54599999999999</v>
      </c>
      <c r="D599" s="114">
        <v>289.54599999999999</v>
      </c>
      <c r="E599" s="114">
        <v>540.11699999999996</v>
      </c>
      <c r="F599" s="114">
        <v>0</v>
      </c>
      <c r="G599" s="114">
        <v>0</v>
      </c>
      <c r="H599" s="114">
        <v>0</v>
      </c>
      <c r="I599" s="114">
        <v>0</v>
      </c>
      <c r="J599" s="134">
        <v>71726127</v>
      </c>
      <c r="K599" s="134">
        <v>71726127</v>
      </c>
    </row>
    <row r="600" spans="1:11">
      <c r="A600" t="s">
        <v>2755</v>
      </c>
      <c r="B600" t="s">
        <v>1258</v>
      </c>
      <c r="C600" s="114">
        <v>1091.5329999999999</v>
      </c>
      <c r="D600" s="114">
        <v>1091.5329999999999</v>
      </c>
      <c r="E600" s="114">
        <v>1798.904</v>
      </c>
      <c r="F600" s="114">
        <v>0</v>
      </c>
      <c r="G600" s="134">
        <v>1239099</v>
      </c>
      <c r="H600" s="114">
        <v>0</v>
      </c>
      <c r="I600" s="134">
        <v>274675</v>
      </c>
      <c r="J600" s="134">
        <v>423975294</v>
      </c>
      <c r="K600" s="134">
        <v>423975294</v>
      </c>
    </row>
    <row r="601" spans="1:11">
      <c r="A601" t="s">
        <v>2588</v>
      </c>
      <c r="B601" t="s">
        <v>1071</v>
      </c>
      <c r="C601" s="114">
        <v>817.69500000000005</v>
      </c>
      <c r="D601" s="114">
        <v>817.69500000000005</v>
      </c>
      <c r="E601" s="114">
        <v>1401.9860000000001</v>
      </c>
      <c r="F601" s="114">
        <v>0</v>
      </c>
      <c r="G601" s="114">
        <v>0</v>
      </c>
      <c r="H601" s="114">
        <v>0</v>
      </c>
      <c r="I601" s="114">
        <v>0</v>
      </c>
      <c r="J601" s="134">
        <v>746748677</v>
      </c>
      <c r="K601" s="134">
        <v>746748677</v>
      </c>
    </row>
    <row r="602" spans="1:11">
      <c r="A602" t="s">
        <v>2589</v>
      </c>
      <c r="B602" t="s">
        <v>1072</v>
      </c>
      <c r="C602" s="114">
        <v>289.721</v>
      </c>
      <c r="D602" s="114">
        <v>289.721</v>
      </c>
      <c r="E602" s="114">
        <v>495.19400000000002</v>
      </c>
      <c r="F602" s="114">
        <v>0</v>
      </c>
      <c r="G602" s="134">
        <v>21119</v>
      </c>
      <c r="H602" s="134">
        <v>19518</v>
      </c>
      <c r="I602" s="114">
        <v>0</v>
      </c>
      <c r="J602" s="134">
        <v>66625389</v>
      </c>
      <c r="K602" s="134">
        <v>66625389</v>
      </c>
    </row>
    <row r="603" spans="1:11">
      <c r="A603" t="s">
        <v>2590</v>
      </c>
      <c r="B603" t="s">
        <v>1073</v>
      </c>
      <c r="C603" s="114">
        <v>524.41999999999996</v>
      </c>
      <c r="D603" s="114">
        <v>524.41999999999996</v>
      </c>
      <c r="E603" s="114">
        <v>847.60599999999999</v>
      </c>
      <c r="F603" s="114">
        <v>0</v>
      </c>
      <c r="G603" s="114">
        <v>0</v>
      </c>
      <c r="H603" s="114">
        <v>0</v>
      </c>
      <c r="I603" s="114">
        <v>0</v>
      </c>
      <c r="J603" s="134">
        <v>179542453</v>
      </c>
      <c r="K603" s="134">
        <v>179542453</v>
      </c>
    </row>
    <row r="604" spans="1:11">
      <c r="A604" t="s">
        <v>2591</v>
      </c>
      <c r="B604" t="s">
        <v>1074</v>
      </c>
      <c r="C604" s="114">
        <v>90.763999999999996</v>
      </c>
      <c r="D604" s="114">
        <v>90.805999999999997</v>
      </c>
      <c r="E604" s="114">
        <v>148.15799999999999</v>
      </c>
      <c r="F604" s="114">
        <v>0</v>
      </c>
      <c r="G604" s="114">
        <v>0</v>
      </c>
      <c r="H604" s="114">
        <v>0</v>
      </c>
      <c r="I604" s="114">
        <v>0</v>
      </c>
      <c r="J604" s="134">
        <v>59935847</v>
      </c>
      <c r="K604" s="134">
        <v>59865399</v>
      </c>
    </row>
    <row r="605" spans="1:11">
      <c r="A605" t="s">
        <v>2592</v>
      </c>
      <c r="B605" t="s">
        <v>1075</v>
      </c>
      <c r="C605" s="114">
        <v>114.79900000000001</v>
      </c>
      <c r="D605" s="114">
        <v>114.79900000000001</v>
      </c>
      <c r="E605" s="114">
        <v>174.62100000000001</v>
      </c>
      <c r="F605" s="114">
        <v>0</v>
      </c>
      <c r="G605" s="114">
        <v>0</v>
      </c>
      <c r="H605" s="114">
        <v>0</v>
      </c>
      <c r="I605" s="114">
        <v>0</v>
      </c>
      <c r="J605" s="134">
        <v>37106681</v>
      </c>
      <c r="K605" s="134">
        <v>37106681</v>
      </c>
    </row>
    <row r="606" spans="1:11">
      <c r="A606" t="s">
        <v>2981</v>
      </c>
      <c r="B606" t="s">
        <v>1076</v>
      </c>
      <c r="C606" s="114">
        <v>62.555999999999997</v>
      </c>
      <c r="D606" s="114">
        <v>73.100999999999999</v>
      </c>
      <c r="E606" s="114">
        <v>125.039</v>
      </c>
      <c r="F606" s="114">
        <v>0</v>
      </c>
      <c r="G606" s="114">
        <v>0</v>
      </c>
      <c r="H606" s="114">
        <v>0</v>
      </c>
      <c r="I606" s="114">
        <v>0</v>
      </c>
      <c r="J606" s="134">
        <v>164845336</v>
      </c>
      <c r="K606" s="134">
        <v>156480469</v>
      </c>
    </row>
    <row r="607" spans="1:11">
      <c r="A607" t="s">
        <v>2982</v>
      </c>
      <c r="B607" t="s">
        <v>1077</v>
      </c>
      <c r="C607" s="114">
        <v>1736.6310000000001</v>
      </c>
      <c r="D607" s="114">
        <v>1736.6310000000001</v>
      </c>
      <c r="E607" s="114">
        <v>2460.672</v>
      </c>
      <c r="F607" s="114">
        <v>0</v>
      </c>
      <c r="G607" s="134">
        <v>2900609</v>
      </c>
      <c r="H607" s="134">
        <v>773129</v>
      </c>
      <c r="I607" s="114">
        <v>0</v>
      </c>
      <c r="J607" s="134">
        <v>682723167</v>
      </c>
      <c r="K607" s="134">
        <v>682723167</v>
      </c>
    </row>
    <row r="608" spans="1:11">
      <c r="A608" t="s">
        <v>2983</v>
      </c>
      <c r="B608" t="s">
        <v>1078</v>
      </c>
      <c r="C608" s="114">
        <v>899.27200000000005</v>
      </c>
      <c r="D608" s="114">
        <v>899.27200000000005</v>
      </c>
      <c r="E608" s="114">
        <v>1353.9269999999999</v>
      </c>
      <c r="F608" s="114">
        <v>0</v>
      </c>
      <c r="G608" s="134">
        <v>225228</v>
      </c>
      <c r="H608" s="134">
        <v>210099</v>
      </c>
      <c r="I608" s="114">
        <v>0</v>
      </c>
      <c r="J608" s="134">
        <v>275565768</v>
      </c>
      <c r="K608" s="134">
        <v>275565768</v>
      </c>
    </row>
    <row r="609" spans="1:11">
      <c r="A609" t="s">
        <v>2984</v>
      </c>
      <c r="B609" t="s">
        <v>1079</v>
      </c>
      <c r="C609" s="114">
        <v>153.399</v>
      </c>
      <c r="D609" s="114">
        <v>153.399</v>
      </c>
      <c r="E609" s="114">
        <v>286.50799999999998</v>
      </c>
      <c r="F609" s="114">
        <v>0</v>
      </c>
      <c r="G609" s="114">
        <v>0</v>
      </c>
      <c r="H609" s="114">
        <v>0</v>
      </c>
      <c r="I609" s="114">
        <v>0</v>
      </c>
      <c r="J609" s="134">
        <v>151586328</v>
      </c>
      <c r="K609" s="134">
        <v>151586328</v>
      </c>
    </row>
    <row r="610" spans="1:11">
      <c r="A610" t="s">
        <v>2985</v>
      </c>
      <c r="B610" t="s">
        <v>1080</v>
      </c>
      <c r="C610" s="114">
        <v>776.54600000000005</v>
      </c>
      <c r="D610" s="114">
        <v>776.54600000000005</v>
      </c>
      <c r="E610" s="114">
        <v>1218.7529999999999</v>
      </c>
      <c r="F610" s="114">
        <v>0</v>
      </c>
      <c r="G610" s="134">
        <v>1035209</v>
      </c>
      <c r="H610" s="134">
        <v>370654</v>
      </c>
      <c r="I610" s="114">
        <v>0</v>
      </c>
      <c r="J610" s="134">
        <v>379265285</v>
      </c>
      <c r="K610" s="134">
        <v>379265285</v>
      </c>
    </row>
    <row r="611" spans="1:11">
      <c r="A611" t="s">
        <v>1561</v>
      </c>
      <c r="B611" t="s">
        <v>2081</v>
      </c>
      <c r="C611" s="114">
        <v>680.64200000000005</v>
      </c>
      <c r="D611" s="114">
        <v>680.64200000000005</v>
      </c>
      <c r="E611" s="114">
        <v>1178.576</v>
      </c>
      <c r="F611" s="114">
        <v>0</v>
      </c>
      <c r="G611" s="134">
        <v>7026</v>
      </c>
      <c r="H611" s="114">
        <v>0</v>
      </c>
      <c r="I611" s="114">
        <v>0</v>
      </c>
      <c r="J611" s="134">
        <v>228948987</v>
      </c>
      <c r="K611" s="134">
        <v>228948987</v>
      </c>
    </row>
    <row r="612" spans="1:11">
      <c r="A612" t="s">
        <v>1562</v>
      </c>
      <c r="B612" t="s">
        <v>2082</v>
      </c>
      <c r="C612" s="114">
        <v>496.64</v>
      </c>
      <c r="D612" s="114">
        <v>496.64</v>
      </c>
      <c r="E612" s="114">
        <v>802.60900000000004</v>
      </c>
      <c r="F612" s="114">
        <v>0</v>
      </c>
      <c r="G612" s="134">
        <v>631461</v>
      </c>
      <c r="H612" s="134">
        <v>290457</v>
      </c>
      <c r="I612" s="114">
        <v>0</v>
      </c>
      <c r="J612" s="134">
        <v>169085654</v>
      </c>
      <c r="K612" s="134">
        <v>169085654</v>
      </c>
    </row>
    <row r="613" spans="1:11">
      <c r="A613" t="s">
        <v>2783</v>
      </c>
      <c r="B613" t="s">
        <v>2083</v>
      </c>
      <c r="C613" s="114">
        <v>210.50800000000001</v>
      </c>
      <c r="D613" s="114">
        <v>210.50800000000001</v>
      </c>
      <c r="E613" s="114">
        <v>385.459</v>
      </c>
      <c r="F613" s="114">
        <v>0</v>
      </c>
      <c r="G613" s="114">
        <v>0</v>
      </c>
      <c r="H613" s="114">
        <v>0</v>
      </c>
      <c r="I613" s="114">
        <v>0</v>
      </c>
      <c r="J613" s="134">
        <v>137948430</v>
      </c>
      <c r="K613" s="134">
        <v>137948430</v>
      </c>
    </row>
    <row r="614" spans="1:11">
      <c r="A614" t="s">
        <v>2421</v>
      </c>
      <c r="B614" t="s">
        <v>2282</v>
      </c>
      <c r="C614" s="114">
        <v>669.36599999999999</v>
      </c>
      <c r="D614" s="114">
        <v>669.36599999999999</v>
      </c>
      <c r="E614" s="114">
        <v>1181.212</v>
      </c>
      <c r="F614" s="114">
        <v>0</v>
      </c>
      <c r="G614" s="134">
        <v>2228642</v>
      </c>
      <c r="H614" s="134">
        <v>527892</v>
      </c>
      <c r="I614" s="114">
        <v>0</v>
      </c>
      <c r="J614" s="134">
        <v>1029885850</v>
      </c>
      <c r="K614" s="134">
        <v>1029885850</v>
      </c>
    </row>
    <row r="615" spans="1:11">
      <c r="A615" t="s">
        <v>3029</v>
      </c>
      <c r="B615" t="s">
        <v>1329</v>
      </c>
      <c r="C615" s="114">
        <v>3322.6350000000002</v>
      </c>
      <c r="D615" s="114">
        <v>3322.6350000000002</v>
      </c>
      <c r="E615" s="114">
        <v>4569.13</v>
      </c>
      <c r="F615" s="114">
        <v>0</v>
      </c>
      <c r="G615" s="134">
        <v>1701883</v>
      </c>
      <c r="H615" s="134">
        <v>1096373</v>
      </c>
      <c r="I615" s="134">
        <v>386154</v>
      </c>
      <c r="J615" s="134">
        <v>595210669</v>
      </c>
      <c r="K615" s="134">
        <v>595210669</v>
      </c>
    </row>
    <row r="616" spans="1:11">
      <c r="A616" t="s">
        <v>2762</v>
      </c>
      <c r="B616" t="s">
        <v>3061</v>
      </c>
      <c r="C616" s="114">
        <v>4430.2079999999996</v>
      </c>
      <c r="D616" s="114">
        <v>4582.2079999999996</v>
      </c>
      <c r="E616" s="114">
        <v>5866.0709999999999</v>
      </c>
      <c r="F616" s="114">
        <v>0</v>
      </c>
      <c r="G616" s="134">
        <v>2211181</v>
      </c>
      <c r="H616" s="134">
        <v>1416971</v>
      </c>
      <c r="I616" s="134">
        <v>737990</v>
      </c>
      <c r="J616" s="134">
        <v>1182744614</v>
      </c>
      <c r="K616" s="134">
        <v>1171562798</v>
      </c>
    </row>
    <row r="617" spans="1:11">
      <c r="A617" t="s">
        <v>2422</v>
      </c>
      <c r="B617" t="s">
        <v>2283</v>
      </c>
      <c r="C617" s="114">
        <v>127.036</v>
      </c>
      <c r="D617" s="114">
        <v>127.036</v>
      </c>
      <c r="E617" s="114">
        <v>209.07599999999999</v>
      </c>
      <c r="F617" s="114">
        <v>0</v>
      </c>
      <c r="G617" s="134">
        <v>190145</v>
      </c>
      <c r="H617" s="134">
        <v>126723</v>
      </c>
      <c r="I617" s="114">
        <v>0</v>
      </c>
      <c r="J617" s="134">
        <v>556570765</v>
      </c>
      <c r="K617" s="134">
        <v>397701263</v>
      </c>
    </row>
    <row r="618" spans="1:11">
      <c r="A618" t="s">
        <v>2875</v>
      </c>
      <c r="B618" t="s">
        <v>1951</v>
      </c>
      <c r="C618" s="114">
        <v>1094.2729999999999</v>
      </c>
      <c r="D618" s="114">
        <v>1229.2729999999999</v>
      </c>
      <c r="E618" s="114">
        <v>1669.7190000000001</v>
      </c>
      <c r="F618" s="114">
        <v>0</v>
      </c>
      <c r="G618" s="134">
        <v>450493</v>
      </c>
      <c r="H618" s="114">
        <v>0</v>
      </c>
      <c r="I618" s="134">
        <v>51077</v>
      </c>
      <c r="J618" s="134">
        <v>265745283</v>
      </c>
      <c r="K618" s="134">
        <v>242481148</v>
      </c>
    </row>
    <row r="619" spans="1:11">
      <c r="A619" t="s">
        <v>1277</v>
      </c>
      <c r="B619" t="s">
        <v>2735</v>
      </c>
      <c r="C619" s="114">
        <v>470.68799999999999</v>
      </c>
      <c r="D619" s="114">
        <v>491.68799999999999</v>
      </c>
      <c r="E619" s="114">
        <v>821.30799999999999</v>
      </c>
      <c r="F619" s="114">
        <v>0</v>
      </c>
      <c r="G619" s="134">
        <v>169063</v>
      </c>
      <c r="H619" s="114">
        <v>0</v>
      </c>
      <c r="I619" s="134">
        <v>156000</v>
      </c>
      <c r="J619" s="134">
        <v>224930580</v>
      </c>
      <c r="K619" s="134">
        <v>216118932</v>
      </c>
    </row>
    <row r="620" spans="1:11">
      <c r="A620" t="s">
        <v>2423</v>
      </c>
      <c r="B620" t="s">
        <v>590</v>
      </c>
      <c r="C620" s="114">
        <v>2060.8679999999999</v>
      </c>
      <c r="D620" s="114">
        <v>2089.7379999999998</v>
      </c>
      <c r="E620" s="114">
        <v>2858.7779999999998</v>
      </c>
      <c r="F620" s="114">
        <v>0</v>
      </c>
      <c r="G620" s="134">
        <v>1216606</v>
      </c>
      <c r="H620" s="134">
        <v>1239174</v>
      </c>
      <c r="I620" s="114">
        <v>0</v>
      </c>
      <c r="J620" s="134">
        <v>758518182</v>
      </c>
      <c r="K620" s="134">
        <v>750257543</v>
      </c>
    </row>
    <row r="621" spans="1:11">
      <c r="A621" t="s">
        <v>2424</v>
      </c>
      <c r="B621" t="s">
        <v>591</v>
      </c>
      <c r="C621" s="114">
        <v>1821.223</v>
      </c>
      <c r="D621" s="114">
        <v>1821.223</v>
      </c>
      <c r="E621" s="114">
        <v>2418.5619999999999</v>
      </c>
      <c r="F621" s="114">
        <v>0</v>
      </c>
      <c r="G621" s="134">
        <v>339544</v>
      </c>
      <c r="H621" s="134">
        <v>399780</v>
      </c>
      <c r="I621" s="114">
        <v>0</v>
      </c>
      <c r="J621" s="134">
        <v>308758569</v>
      </c>
      <c r="K621" s="134">
        <v>308758569</v>
      </c>
    </row>
    <row r="622" spans="1:11">
      <c r="A622" t="s">
        <v>1093</v>
      </c>
      <c r="B622" t="s">
        <v>1747</v>
      </c>
      <c r="C622" s="114">
        <v>256.17</v>
      </c>
      <c r="D622" s="114">
        <v>267.88099999999997</v>
      </c>
      <c r="E622" s="114">
        <v>497.96</v>
      </c>
      <c r="F622" s="114">
        <v>0</v>
      </c>
      <c r="G622" s="134">
        <v>45500</v>
      </c>
      <c r="H622" s="134">
        <v>28059</v>
      </c>
      <c r="I622" s="134">
        <v>19120</v>
      </c>
      <c r="J622" s="134">
        <v>28560232</v>
      </c>
      <c r="K622" s="134">
        <v>28560232</v>
      </c>
    </row>
    <row r="623" spans="1:11">
      <c r="A623" t="s">
        <v>1513</v>
      </c>
      <c r="B623" t="s">
        <v>592</v>
      </c>
      <c r="C623" s="114">
        <v>1436.1869999999999</v>
      </c>
      <c r="D623" s="114">
        <v>1436.1869999999999</v>
      </c>
      <c r="E623" s="114">
        <v>2050.3890000000001</v>
      </c>
      <c r="F623" s="114">
        <v>0</v>
      </c>
      <c r="G623" s="114">
        <v>0</v>
      </c>
      <c r="H623" s="114">
        <v>0</v>
      </c>
      <c r="I623" s="114">
        <v>0</v>
      </c>
      <c r="J623" s="134">
        <v>1967777688</v>
      </c>
      <c r="K623" s="134">
        <v>1967777688</v>
      </c>
    </row>
    <row r="624" spans="1:11">
      <c r="A624" t="s">
        <v>1902</v>
      </c>
      <c r="B624" t="s">
        <v>593</v>
      </c>
      <c r="C624" s="114">
        <v>2007.383</v>
      </c>
      <c r="D624" s="114">
        <v>2007.383</v>
      </c>
      <c r="E624" s="114">
        <v>3186.6750000000002</v>
      </c>
      <c r="F624" s="114">
        <v>0</v>
      </c>
      <c r="G624" s="134">
        <v>220120</v>
      </c>
      <c r="H624" s="134">
        <v>217189</v>
      </c>
      <c r="I624" s="114">
        <v>0</v>
      </c>
      <c r="J624" s="134">
        <v>331687066</v>
      </c>
      <c r="K624" s="134">
        <v>331687066</v>
      </c>
    </row>
    <row r="625" spans="1:11">
      <c r="A625" t="s">
        <v>1903</v>
      </c>
      <c r="B625" t="s">
        <v>594</v>
      </c>
      <c r="C625" s="114">
        <v>348.05900000000003</v>
      </c>
      <c r="D625" s="114">
        <v>348.05900000000003</v>
      </c>
      <c r="E625" s="114">
        <v>700.04499999999996</v>
      </c>
      <c r="F625" s="114">
        <v>0</v>
      </c>
      <c r="G625" s="114">
        <v>74</v>
      </c>
      <c r="H625" s="114">
        <v>0</v>
      </c>
      <c r="I625" s="114">
        <v>0</v>
      </c>
      <c r="J625" s="134">
        <v>208487193</v>
      </c>
      <c r="K625" s="134">
        <v>208487193</v>
      </c>
    </row>
    <row r="626" spans="1:11">
      <c r="A626" t="s">
        <v>2926</v>
      </c>
      <c r="B626" t="s">
        <v>595</v>
      </c>
      <c r="C626" s="114">
        <v>154.17699999999999</v>
      </c>
      <c r="D626" s="114">
        <v>154.17699999999999</v>
      </c>
      <c r="E626" s="114">
        <v>268.75700000000001</v>
      </c>
      <c r="F626" s="114">
        <v>0</v>
      </c>
      <c r="G626" s="134">
        <v>145477</v>
      </c>
      <c r="H626" s="134">
        <v>205591</v>
      </c>
      <c r="I626" s="114">
        <v>0</v>
      </c>
      <c r="J626" s="134">
        <v>238291508</v>
      </c>
      <c r="K626" s="134">
        <v>238291508</v>
      </c>
    </row>
    <row r="627" spans="1:11">
      <c r="A627" t="s">
        <v>2927</v>
      </c>
      <c r="B627" t="s">
        <v>596</v>
      </c>
      <c r="C627" s="114">
        <v>87.406000000000006</v>
      </c>
      <c r="D627" s="114">
        <v>87.768000000000001</v>
      </c>
      <c r="E627" s="114">
        <v>239.75800000000001</v>
      </c>
      <c r="F627" s="114">
        <v>0</v>
      </c>
      <c r="G627" s="134">
        <v>3468</v>
      </c>
      <c r="H627" s="114">
        <v>0</v>
      </c>
      <c r="I627" s="114">
        <v>0</v>
      </c>
      <c r="J627" s="134">
        <v>226283223</v>
      </c>
      <c r="K627" s="134">
        <v>226283223</v>
      </c>
    </row>
    <row r="628" spans="1:11">
      <c r="A628" t="s">
        <v>3056</v>
      </c>
      <c r="B628" t="s">
        <v>597</v>
      </c>
      <c r="C628" s="114">
        <v>131.404</v>
      </c>
      <c r="D628" s="114">
        <v>131.404</v>
      </c>
      <c r="E628" s="114">
        <v>243.26300000000001</v>
      </c>
      <c r="F628" s="114">
        <v>0</v>
      </c>
      <c r="G628" s="134">
        <v>175328</v>
      </c>
      <c r="H628" s="134">
        <v>192959</v>
      </c>
      <c r="I628" s="114">
        <v>0</v>
      </c>
      <c r="J628" s="134">
        <v>197767108</v>
      </c>
      <c r="K628" s="134">
        <v>197767108</v>
      </c>
    </row>
    <row r="629" spans="1:11">
      <c r="A629" t="s">
        <v>947</v>
      </c>
      <c r="B629" t="s">
        <v>598</v>
      </c>
      <c r="C629" s="114">
        <v>1031.663</v>
      </c>
      <c r="D629" s="114">
        <v>1031.663</v>
      </c>
      <c r="E629" s="114">
        <v>1630.924</v>
      </c>
      <c r="F629" s="114">
        <v>0</v>
      </c>
      <c r="G629" s="134">
        <v>627711</v>
      </c>
      <c r="H629" s="114">
        <v>0</v>
      </c>
      <c r="I629" s="114">
        <v>0</v>
      </c>
      <c r="J629" s="134">
        <v>445753653</v>
      </c>
      <c r="K629" s="134">
        <v>445753653</v>
      </c>
    </row>
    <row r="630" spans="1:11">
      <c r="A630" t="s">
        <v>95</v>
      </c>
      <c r="B630" t="s">
        <v>599</v>
      </c>
      <c r="C630" s="114">
        <v>591.39</v>
      </c>
      <c r="D630" s="114">
        <v>591.39</v>
      </c>
      <c r="E630" s="114">
        <v>1061.9690000000001</v>
      </c>
      <c r="F630" s="114">
        <v>0</v>
      </c>
      <c r="G630" s="134">
        <v>224200</v>
      </c>
      <c r="H630" s="134">
        <v>355244</v>
      </c>
      <c r="I630" s="114">
        <v>0</v>
      </c>
      <c r="J630" s="134">
        <v>483239683</v>
      </c>
      <c r="K630" s="134">
        <v>483239683</v>
      </c>
    </row>
    <row r="631" spans="1:11">
      <c r="A631" t="s">
        <v>96</v>
      </c>
      <c r="B631" t="s">
        <v>600</v>
      </c>
      <c r="C631" s="114">
        <v>1812.405</v>
      </c>
      <c r="D631" s="114">
        <v>1812.405</v>
      </c>
      <c r="E631" s="114">
        <v>2296.9059999999999</v>
      </c>
      <c r="F631" s="114">
        <v>0</v>
      </c>
      <c r="G631" s="134">
        <v>4486895</v>
      </c>
      <c r="H631" s="134">
        <v>2696702</v>
      </c>
      <c r="I631" s="114">
        <v>0</v>
      </c>
      <c r="J631" s="134">
        <v>2305383513</v>
      </c>
      <c r="K631" s="134">
        <v>2305383513</v>
      </c>
    </row>
    <row r="632" spans="1:11">
      <c r="A632" t="s">
        <v>2607</v>
      </c>
      <c r="B632" t="s">
        <v>640</v>
      </c>
      <c r="C632" s="114">
        <v>25869.280999999999</v>
      </c>
      <c r="D632" s="114">
        <v>25869.280999999999</v>
      </c>
      <c r="E632" s="114">
        <v>33828.667000000001</v>
      </c>
      <c r="F632" s="114">
        <v>0</v>
      </c>
      <c r="G632" s="134">
        <v>16105481</v>
      </c>
      <c r="H632" s="134">
        <v>13782989</v>
      </c>
      <c r="I632" s="134">
        <v>89158</v>
      </c>
      <c r="J632" s="134">
        <v>7953239386</v>
      </c>
      <c r="K632" s="134">
        <v>7953239386</v>
      </c>
    </row>
    <row r="633" spans="1:11">
      <c r="A633" t="s">
        <v>2764</v>
      </c>
      <c r="B633" t="s">
        <v>601</v>
      </c>
      <c r="C633" s="114">
        <v>677.31399999999996</v>
      </c>
      <c r="D633" s="114">
        <v>677.31399999999996</v>
      </c>
      <c r="E633" s="114">
        <v>1107.173</v>
      </c>
      <c r="F633" s="114">
        <v>0</v>
      </c>
      <c r="G633" s="114">
        <v>0</v>
      </c>
      <c r="H633" s="114">
        <v>0</v>
      </c>
      <c r="I633" s="114">
        <v>0</v>
      </c>
      <c r="J633" s="134">
        <v>160120691</v>
      </c>
      <c r="K633" s="134">
        <v>160120691</v>
      </c>
    </row>
    <row r="634" spans="1:11">
      <c r="A634" t="s">
        <v>2765</v>
      </c>
      <c r="B634" t="s">
        <v>602</v>
      </c>
      <c r="C634" s="114">
        <v>1205.4100000000001</v>
      </c>
      <c r="D634" s="114">
        <v>1205.4100000000001</v>
      </c>
      <c r="E634" s="114">
        <v>1826.1389999999999</v>
      </c>
      <c r="F634" s="114">
        <v>0</v>
      </c>
      <c r="G634" s="134">
        <v>268626</v>
      </c>
      <c r="H634" s="134">
        <v>254921</v>
      </c>
      <c r="I634" s="114">
        <v>0</v>
      </c>
      <c r="J634" s="134">
        <v>245068828</v>
      </c>
      <c r="K634" s="134">
        <v>245068828</v>
      </c>
    </row>
    <row r="635" spans="1:11">
      <c r="A635" t="s">
        <v>2414</v>
      </c>
      <c r="B635" t="s">
        <v>641</v>
      </c>
      <c r="C635" s="114">
        <v>3254.4949999999999</v>
      </c>
      <c r="D635" s="114">
        <v>3254.4949999999999</v>
      </c>
      <c r="E635" s="114">
        <v>4274.4489999999996</v>
      </c>
      <c r="F635" s="114">
        <v>0</v>
      </c>
      <c r="G635" s="134">
        <v>3012759</v>
      </c>
      <c r="H635" s="134">
        <v>2367025</v>
      </c>
      <c r="I635" s="134">
        <v>426455</v>
      </c>
      <c r="J635" s="134">
        <v>1089550944</v>
      </c>
      <c r="K635" s="134">
        <v>1089550944</v>
      </c>
    </row>
    <row r="636" spans="1:11">
      <c r="A636" t="s">
        <v>1603</v>
      </c>
      <c r="B636" t="s">
        <v>2627</v>
      </c>
      <c r="C636" s="114">
        <v>6661.7290000000003</v>
      </c>
      <c r="D636" s="114">
        <v>6661.7290000000003</v>
      </c>
      <c r="E636" s="114">
        <v>8078.4690000000001</v>
      </c>
      <c r="F636" s="114">
        <v>0</v>
      </c>
      <c r="G636" s="134">
        <v>9907586</v>
      </c>
      <c r="H636" s="134">
        <v>5345586</v>
      </c>
      <c r="I636" s="134">
        <v>1823470</v>
      </c>
      <c r="J636" s="134">
        <v>1940985542</v>
      </c>
      <c r="K636" s="134">
        <v>1940985542</v>
      </c>
    </row>
    <row r="637" spans="1:11">
      <c r="A637" t="s">
        <v>2766</v>
      </c>
      <c r="B637" t="s">
        <v>603</v>
      </c>
      <c r="C637" s="114">
        <v>1056.9280000000001</v>
      </c>
      <c r="D637" s="114">
        <v>1056.9280000000001</v>
      </c>
      <c r="E637" s="114">
        <v>1676.6420000000001</v>
      </c>
      <c r="F637" s="114">
        <v>0</v>
      </c>
      <c r="G637" s="134">
        <v>455811</v>
      </c>
      <c r="H637" s="134">
        <v>304920</v>
      </c>
      <c r="I637" s="114">
        <v>0</v>
      </c>
      <c r="J637" s="134">
        <v>190150818</v>
      </c>
      <c r="K637" s="134">
        <v>190150818</v>
      </c>
    </row>
    <row r="638" spans="1:11">
      <c r="A638" t="s">
        <v>538</v>
      </c>
      <c r="B638" t="s">
        <v>1417</v>
      </c>
      <c r="C638" s="114">
        <v>1344.8050000000001</v>
      </c>
      <c r="D638" s="114">
        <v>1344.8050000000001</v>
      </c>
      <c r="E638" s="114">
        <v>1846.7170000000001</v>
      </c>
      <c r="F638" s="114">
        <v>0</v>
      </c>
      <c r="G638" s="134">
        <v>474093</v>
      </c>
      <c r="H638" s="134">
        <v>132164</v>
      </c>
      <c r="I638" s="134">
        <v>210058</v>
      </c>
      <c r="J638" s="134">
        <v>182771925</v>
      </c>
      <c r="K638" s="134">
        <v>182771925</v>
      </c>
    </row>
    <row r="639" spans="1:11">
      <c r="A639" t="s">
        <v>775</v>
      </c>
      <c r="B639" t="s">
        <v>604</v>
      </c>
      <c r="C639" s="114">
        <v>894.31500000000005</v>
      </c>
      <c r="D639" s="114">
        <v>894.31500000000005</v>
      </c>
      <c r="E639" s="114">
        <v>1300.49</v>
      </c>
      <c r="F639" s="114">
        <v>0</v>
      </c>
      <c r="G639" s="114">
        <v>0</v>
      </c>
      <c r="H639" s="114">
        <v>0</v>
      </c>
      <c r="I639" s="114">
        <v>0</v>
      </c>
      <c r="J639" s="134">
        <v>181651062</v>
      </c>
      <c r="K639" s="134">
        <v>181651062</v>
      </c>
    </row>
    <row r="640" spans="1:11">
      <c r="A640" t="s">
        <v>2679</v>
      </c>
      <c r="B640" t="s">
        <v>3022</v>
      </c>
      <c r="C640" s="114">
        <v>302.81400000000002</v>
      </c>
      <c r="D640" s="114">
        <v>302.81400000000002</v>
      </c>
      <c r="E640" s="114">
        <v>608.67700000000002</v>
      </c>
      <c r="F640" s="114">
        <v>0</v>
      </c>
      <c r="G640" s="134">
        <v>107992</v>
      </c>
      <c r="H640" s="134">
        <v>106717</v>
      </c>
      <c r="I640" s="114">
        <v>0</v>
      </c>
      <c r="J640" s="134">
        <v>89560930</v>
      </c>
      <c r="K640" s="134">
        <v>89560930</v>
      </c>
    </row>
    <row r="641" spans="1:11">
      <c r="A641" t="s">
        <v>2680</v>
      </c>
      <c r="B641" t="s">
        <v>606</v>
      </c>
      <c r="C641" s="114">
        <v>556.07899999999995</v>
      </c>
      <c r="D641" s="114">
        <v>556.07899999999995</v>
      </c>
      <c r="E641" s="114">
        <v>1044.1120000000001</v>
      </c>
      <c r="F641" s="114">
        <v>0</v>
      </c>
      <c r="G641" s="114">
        <v>0</v>
      </c>
      <c r="H641" s="114">
        <v>0</v>
      </c>
      <c r="I641" s="114">
        <v>0</v>
      </c>
      <c r="J641" s="134">
        <v>94903716</v>
      </c>
      <c r="K641" s="134">
        <v>94903716</v>
      </c>
    </row>
    <row r="642" spans="1:11">
      <c r="A642" t="s">
        <v>2681</v>
      </c>
      <c r="B642" t="s">
        <v>607</v>
      </c>
      <c r="C642" s="114">
        <v>179.024</v>
      </c>
      <c r="D642" s="114">
        <v>179.024</v>
      </c>
      <c r="E642" s="114">
        <v>308.76499999999999</v>
      </c>
      <c r="F642" s="114">
        <v>0</v>
      </c>
      <c r="G642" s="134">
        <v>34467</v>
      </c>
      <c r="H642" s="134">
        <v>34902</v>
      </c>
      <c r="I642" s="114">
        <v>0</v>
      </c>
      <c r="J642" s="134">
        <v>40916313</v>
      </c>
      <c r="K642" s="134">
        <v>40916313</v>
      </c>
    </row>
    <row r="643" spans="1:11">
      <c r="A643" t="s">
        <v>1651</v>
      </c>
      <c r="B643" t="s">
        <v>608</v>
      </c>
      <c r="C643" s="114">
        <v>129.685</v>
      </c>
      <c r="D643" s="114">
        <v>135.21199999999999</v>
      </c>
      <c r="E643" s="114">
        <v>264.30099999999999</v>
      </c>
      <c r="F643" s="114">
        <v>0</v>
      </c>
      <c r="G643" s="134">
        <v>26820</v>
      </c>
      <c r="H643" s="134">
        <v>25224</v>
      </c>
      <c r="I643" s="114">
        <v>0</v>
      </c>
      <c r="J643" s="134">
        <v>37832805</v>
      </c>
      <c r="K643" s="134">
        <v>37832805</v>
      </c>
    </row>
    <row r="644" spans="1:11">
      <c r="A644" t="s">
        <v>2389</v>
      </c>
      <c r="B644" t="s">
        <v>44</v>
      </c>
      <c r="C644" s="114">
        <v>2073.3960000000002</v>
      </c>
      <c r="D644" s="114">
        <v>2073.3960000000002</v>
      </c>
      <c r="E644" s="114">
        <v>2916.828</v>
      </c>
      <c r="F644" s="114">
        <v>0</v>
      </c>
      <c r="G644" s="134">
        <v>771186</v>
      </c>
      <c r="H644" s="134">
        <v>268574</v>
      </c>
      <c r="I644" s="134">
        <v>529885</v>
      </c>
      <c r="J644" s="134">
        <v>414544001</v>
      </c>
      <c r="K644" s="134">
        <v>414544001</v>
      </c>
    </row>
    <row r="645" spans="1:11">
      <c r="A645" t="s">
        <v>1652</v>
      </c>
      <c r="B645" t="s">
        <v>609</v>
      </c>
      <c r="C645" s="114">
        <v>306.12299999999999</v>
      </c>
      <c r="D645" s="114">
        <v>306.12299999999999</v>
      </c>
      <c r="E645" s="114">
        <v>519.22199999999998</v>
      </c>
      <c r="F645" s="114">
        <v>0</v>
      </c>
      <c r="G645" s="134">
        <v>387412</v>
      </c>
      <c r="H645" s="134">
        <v>246204</v>
      </c>
      <c r="I645" s="134">
        <v>80723</v>
      </c>
      <c r="J645" s="134">
        <v>113012173</v>
      </c>
      <c r="K645" s="134">
        <v>113012173</v>
      </c>
    </row>
    <row r="646" spans="1:11">
      <c r="A646" t="s">
        <v>418</v>
      </c>
      <c r="B646" t="s">
        <v>610</v>
      </c>
      <c r="C646" s="114">
        <v>1144.9929999999999</v>
      </c>
      <c r="D646" s="114">
        <v>1144.9929999999999</v>
      </c>
      <c r="E646" s="114">
        <v>1864.62</v>
      </c>
      <c r="F646" s="114">
        <v>0</v>
      </c>
      <c r="G646" s="134">
        <v>614356</v>
      </c>
      <c r="H646" s="134">
        <v>584212</v>
      </c>
      <c r="I646" s="114">
        <v>0</v>
      </c>
      <c r="J646" s="134">
        <v>545227169</v>
      </c>
      <c r="K646" s="134">
        <v>545227169</v>
      </c>
    </row>
    <row r="647" spans="1:11">
      <c r="A647" t="s">
        <v>419</v>
      </c>
      <c r="B647" t="s">
        <v>611</v>
      </c>
      <c r="C647" s="114">
        <v>681.96600000000001</v>
      </c>
      <c r="D647" s="114">
        <v>681.96600000000001</v>
      </c>
      <c r="E647" s="114">
        <v>1228.9069999999999</v>
      </c>
      <c r="F647" s="114">
        <v>0</v>
      </c>
      <c r="G647" s="134">
        <v>773870</v>
      </c>
      <c r="H647" s="114">
        <v>0</v>
      </c>
      <c r="I647" s="114">
        <v>0</v>
      </c>
      <c r="J647" s="134">
        <v>406071533</v>
      </c>
      <c r="K647" s="134">
        <v>406071533</v>
      </c>
    </row>
    <row r="648" spans="1:11">
      <c r="A648" t="s">
        <v>420</v>
      </c>
      <c r="B648" t="s">
        <v>612</v>
      </c>
      <c r="C648" s="114">
        <v>192.47900000000001</v>
      </c>
      <c r="D648" s="114">
        <v>199.221</v>
      </c>
      <c r="E648" s="114">
        <v>323.35599999999999</v>
      </c>
      <c r="F648" s="114">
        <v>0</v>
      </c>
      <c r="G648" s="134">
        <v>942278</v>
      </c>
      <c r="H648" s="114">
        <v>0</v>
      </c>
      <c r="I648" s="114">
        <v>0</v>
      </c>
      <c r="J648" s="134">
        <v>404422457</v>
      </c>
      <c r="K648" s="134">
        <v>404422457</v>
      </c>
    </row>
    <row r="649" spans="1:11">
      <c r="A649" t="s">
        <v>1856</v>
      </c>
      <c r="B649" t="s">
        <v>613</v>
      </c>
      <c r="C649" s="114">
        <v>582.99300000000005</v>
      </c>
      <c r="D649" s="114">
        <v>582.99300000000005</v>
      </c>
      <c r="E649" s="114">
        <v>1068.752</v>
      </c>
      <c r="F649" s="114">
        <v>0</v>
      </c>
      <c r="G649" s="134">
        <v>4987</v>
      </c>
      <c r="H649" s="134">
        <v>131610</v>
      </c>
      <c r="I649" s="114">
        <v>0</v>
      </c>
      <c r="J649" s="134">
        <v>205310137</v>
      </c>
      <c r="K649" s="134">
        <v>205310137</v>
      </c>
    </row>
    <row r="650" spans="1:11">
      <c r="A650" t="s">
        <v>1857</v>
      </c>
      <c r="B650" t="s">
        <v>614</v>
      </c>
      <c r="C650" s="114">
        <v>3599.4169999999999</v>
      </c>
      <c r="D650" s="114">
        <v>3599.4169999999999</v>
      </c>
      <c r="E650" s="114">
        <v>4998.5680000000002</v>
      </c>
      <c r="F650" s="114">
        <v>0</v>
      </c>
      <c r="G650" s="134">
        <v>1623413</v>
      </c>
      <c r="H650" s="134">
        <v>1633083</v>
      </c>
      <c r="I650" s="114">
        <v>0</v>
      </c>
      <c r="J650" s="134">
        <v>979714660</v>
      </c>
      <c r="K650" s="134">
        <v>979714660</v>
      </c>
    </row>
    <row r="651" spans="1:11">
      <c r="A651" t="s">
        <v>201</v>
      </c>
      <c r="B651" t="s">
        <v>1964</v>
      </c>
      <c r="C651" s="114">
        <v>773.077</v>
      </c>
      <c r="D651" s="114">
        <v>773.077</v>
      </c>
      <c r="E651" s="114">
        <v>1332.2329999999999</v>
      </c>
      <c r="F651" s="114">
        <v>0</v>
      </c>
      <c r="G651" s="114">
        <v>0</v>
      </c>
      <c r="H651" s="114">
        <v>0</v>
      </c>
      <c r="I651" s="114">
        <v>0</v>
      </c>
      <c r="J651" s="134">
        <v>540891195</v>
      </c>
      <c r="K651" s="134">
        <v>540891195</v>
      </c>
    </row>
    <row r="652" spans="1:11">
      <c r="A652" t="s">
        <v>2438</v>
      </c>
      <c r="B652" t="s">
        <v>1965</v>
      </c>
      <c r="C652" s="114">
        <v>84.906999999999996</v>
      </c>
      <c r="D652" s="114">
        <v>84.906999999999996</v>
      </c>
      <c r="E652" s="114">
        <v>154.709</v>
      </c>
      <c r="F652" s="114">
        <v>0</v>
      </c>
      <c r="G652" s="134">
        <v>409072</v>
      </c>
      <c r="H652" s="114">
        <v>0</v>
      </c>
      <c r="I652" s="114">
        <v>0</v>
      </c>
      <c r="J652" s="134">
        <v>219230823</v>
      </c>
      <c r="K652" s="134">
        <v>219230823</v>
      </c>
    </row>
    <row r="653" spans="1:11">
      <c r="A653" t="s">
        <v>2439</v>
      </c>
      <c r="B653" t="s">
        <v>1966</v>
      </c>
      <c r="C653" s="114">
        <v>1404.377</v>
      </c>
      <c r="D653" s="114">
        <v>1404.377</v>
      </c>
      <c r="E653" s="114">
        <v>2044.3710000000001</v>
      </c>
      <c r="F653" s="114">
        <v>0</v>
      </c>
      <c r="G653" s="134">
        <v>904966</v>
      </c>
      <c r="H653" s="134">
        <v>877110</v>
      </c>
      <c r="I653" s="114">
        <v>0</v>
      </c>
      <c r="J653" s="134">
        <v>1395352567</v>
      </c>
      <c r="K653" s="134">
        <v>1395352567</v>
      </c>
    </row>
    <row r="654" spans="1:11">
      <c r="A654" t="s">
        <v>2440</v>
      </c>
      <c r="B654" t="s">
        <v>1967</v>
      </c>
      <c r="C654" s="114">
        <v>858.37699999999995</v>
      </c>
      <c r="D654" s="114">
        <v>858.37699999999995</v>
      </c>
      <c r="E654" s="114">
        <v>1489.393</v>
      </c>
      <c r="F654" s="114">
        <v>0</v>
      </c>
      <c r="G654" s="114">
        <v>0</v>
      </c>
      <c r="H654" s="114">
        <v>0</v>
      </c>
      <c r="I654" s="114">
        <v>0</v>
      </c>
      <c r="J654" s="134">
        <v>438597756</v>
      </c>
      <c r="K654" s="134">
        <v>438597756</v>
      </c>
    </row>
    <row r="655" spans="1:11">
      <c r="A655" t="s">
        <v>2057</v>
      </c>
      <c r="B655" t="s">
        <v>1213</v>
      </c>
      <c r="C655" s="114">
        <v>13268.736000000001</v>
      </c>
      <c r="D655" s="114">
        <v>13268.736000000001</v>
      </c>
      <c r="E655" s="114">
        <v>18486.315999999999</v>
      </c>
      <c r="F655" s="114">
        <v>0</v>
      </c>
      <c r="G655" s="134">
        <v>2841572</v>
      </c>
      <c r="H655" s="134">
        <v>252235</v>
      </c>
      <c r="I655" s="134">
        <v>1442765</v>
      </c>
      <c r="J655" s="134">
        <v>1421891984</v>
      </c>
      <c r="K655" s="134">
        <v>1421891984</v>
      </c>
    </row>
    <row r="656" spans="1:11">
      <c r="A656" t="s">
        <v>992</v>
      </c>
      <c r="B656" t="s">
        <v>2120</v>
      </c>
      <c r="C656" s="114">
        <v>1220.039</v>
      </c>
      <c r="D656" s="114">
        <v>1220.039</v>
      </c>
      <c r="E656" s="114">
        <v>1923.51</v>
      </c>
      <c r="F656" s="114">
        <v>0</v>
      </c>
      <c r="G656" s="134">
        <v>1340975</v>
      </c>
      <c r="H656" s="134">
        <v>246998</v>
      </c>
      <c r="I656" s="134">
        <v>406314</v>
      </c>
      <c r="J656" s="134">
        <v>263789085</v>
      </c>
      <c r="K656" s="134">
        <v>263789085</v>
      </c>
    </row>
    <row r="657" spans="1:11">
      <c r="A657" t="s">
        <v>1583</v>
      </c>
      <c r="B657" t="s">
        <v>1968</v>
      </c>
      <c r="C657" s="114">
        <v>192.733</v>
      </c>
      <c r="D657" s="114">
        <v>192.733</v>
      </c>
      <c r="E657" s="114">
        <v>383.91300000000001</v>
      </c>
      <c r="F657" s="114">
        <v>0</v>
      </c>
      <c r="G657" s="114">
        <v>0</v>
      </c>
      <c r="H657" s="114">
        <v>0</v>
      </c>
      <c r="I657" s="114">
        <v>0</v>
      </c>
      <c r="J657" s="134">
        <v>37481867</v>
      </c>
      <c r="K657" s="134">
        <v>37481867</v>
      </c>
    </row>
    <row r="658" spans="1:11">
      <c r="A658" t="s">
        <v>2265</v>
      </c>
      <c r="B658" t="s">
        <v>2547</v>
      </c>
      <c r="C658" s="114">
        <v>102.80500000000001</v>
      </c>
      <c r="D658" s="114">
        <v>102.80500000000001</v>
      </c>
      <c r="E658" s="114">
        <v>252.14400000000001</v>
      </c>
      <c r="F658" s="114">
        <v>0</v>
      </c>
      <c r="G658" s="134">
        <v>13597</v>
      </c>
      <c r="H658" s="114">
        <v>0</v>
      </c>
      <c r="I658" s="134">
        <v>11850</v>
      </c>
      <c r="J658" s="134">
        <v>17865806</v>
      </c>
      <c r="K658" s="134">
        <v>17865806</v>
      </c>
    </row>
    <row r="659" spans="1:11">
      <c r="A659" t="s">
        <v>1094</v>
      </c>
      <c r="B659" t="s">
        <v>457</v>
      </c>
      <c r="C659" s="114">
        <v>570.06200000000001</v>
      </c>
      <c r="D659" s="114">
        <v>580.99199999999996</v>
      </c>
      <c r="E659" s="114">
        <v>854.505</v>
      </c>
      <c r="F659" s="114">
        <v>0</v>
      </c>
      <c r="G659" s="134">
        <v>259562</v>
      </c>
      <c r="H659" s="114">
        <v>0</v>
      </c>
      <c r="I659" s="134">
        <v>145569</v>
      </c>
      <c r="J659" s="134">
        <v>117448426</v>
      </c>
      <c r="K659" s="134">
        <v>117448426</v>
      </c>
    </row>
    <row r="660" spans="1:11">
      <c r="A660" t="s">
        <v>1012</v>
      </c>
      <c r="B660" t="s">
        <v>2195</v>
      </c>
      <c r="C660" s="114">
        <v>6224.6120000000001</v>
      </c>
      <c r="D660" s="114">
        <v>6224.6120000000001</v>
      </c>
      <c r="E660" s="114">
        <v>7386.0420000000004</v>
      </c>
      <c r="F660" s="114">
        <v>0</v>
      </c>
      <c r="G660" s="134">
        <v>8738253</v>
      </c>
      <c r="H660" s="134">
        <v>7956411</v>
      </c>
      <c r="I660" s="114">
        <v>0</v>
      </c>
      <c r="J660" s="134">
        <v>2898459947</v>
      </c>
      <c r="K660" s="134">
        <v>2898459947</v>
      </c>
    </row>
    <row r="661" spans="1:11">
      <c r="A661" t="s">
        <v>800</v>
      </c>
      <c r="B661" t="s">
        <v>2172</v>
      </c>
      <c r="C661" s="114">
        <v>2549.8510000000001</v>
      </c>
      <c r="D661" s="114">
        <v>2549.8510000000001</v>
      </c>
      <c r="E661" s="114">
        <v>3655.2919999999999</v>
      </c>
      <c r="F661" s="114">
        <v>0</v>
      </c>
      <c r="G661" s="134">
        <v>815815</v>
      </c>
      <c r="H661" s="134">
        <v>534236</v>
      </c>
      <c r="I661" s="134">
        <v>294408</v>
      </c>
      <c r="J661" s="134">
        <v>487688454</v>
      </c>
      <c r="K661" s="134">
        <v>487688454</v>
      </c>
    </row>
    <row r="662" spans="1:11">
      <c r="A662" t="s">
        <v>1095</v>
      </c>
      <c r="B662" t="s">
        <v>1426</v>
      </c>
      <c r="C662" s="114">
        <v>1514.577</v>
      </c>
      <c r="D662" s="114">
        <v>1514.577</v>
      </c>
      <c r="E662" s="114">
        <v>1992.3689999999999</v>
      </c>
      <c r="F662" s="114">
        <v>0</v>
      </c>
      <c r="G662" s="134">
        <v>712949</v>
      </c>
      <c r="H662" s="134">
        <v>271379</v>
      </c>
      <c r="I662" s="134">
        <v>390670</v>
      </c>
      <c r="J662" s="134">
        <v>316097995</v>
      </c>
      <c r="K662" s="134">
        <v>316097995</v>
      </c>
    </row>
    <row r="663" spans="1:11">
      <c r="A663" t="s">
        <v>2096</v>
      </c>
      <c r="B663" t="s">
        <v>2358</v>
      </c>
      <c r="C663" s="114">
        <v>525.94899999999996</v>
      </c>
      <c r="D663" s="114">
        <v>537.76900000000001</v>
      </c>
      <c r="E663" s="114">
        <v>901.49699999999996</v>
      </c>
      <c r="F663" s="114">
        <v>0</v>
      </c>
      <c r="G663" s="134">
        <v>120240</v>
      </c>
      <c r="H663" s="134">
        <v>51397</v>
      </c>
      <c r="I663" s="134">
        <v>70795</v>
      </c>
      <c r="J663" s="134">
        <v>73601636</v>
      </c>
      <c r="K663" s="134">
        <v>73601636</v>
      </c>
    </row>
    <row r="664" spans="1:11">
      <c r="A664" t="s">
        <v>1735</v>
      </c>
      <c r="B664" t="s">
        <v>927</v>
      </c>
      <c r="C664" s="114">
        <v>1184.0319999999999</v>
      </c>
      <c r="D664" s="114">
        <v>1184.0319999999999</v>
      </c>
      <c r="E664" s="114">
        <v>1725.3109999999999</v>
      </c>
      <c r="F664" s="114">
        <v>0</v>
      </c>
      <c r="G664" s="134">
        <v>423228</v>
      </c>
      <c r="H664" s="134">
        <v>254442</v>
      </c>
      <c r="I664" s="134">
        <v>146418</v>
      </c>
      <c r="J664" s="134">
        <v>250951487</v>
      </c>
      <c r="K664" s="134">
        <v>250951487</v>
      </c>
    </row>
    <row r="665" spans="1:11">
      <c r="A665" t="s">
        <v>134</v>
      </c>
      <c r="B665" t="s">
        <v>1969</v>
      </c>
      <c r="C665" s="114">
        <v>694.79300000000001</v>
      </c>
      <c r="D665" s="114">
        <v>695.00199999999995</v>
      </c>
      <c r="E665" s="114">
        <v>1134.087</v>
      </c>
      <c r="F665" s="114">
        <v>0</v>
      </c>
      <c r="G665" s="114">
        <v>0</v>
      </c>
      <c r="H665" s="114">
        <v>0</v>
      </c>
      <c r="I665" s="114">
        <v>0</v>
      </c>
      <c r="J665" s="134">
        <v>117314018</v>
      </c>
      <c r="K665" s="134">
        <v>117314018</v>
      </c>
    </row>
    <row r="666" spans="1:11">
      <c r="A666" t="s">
        <v>2384</v>
      </c>
      <c r="B666" t="s">
        <v>1958</v>
      </c>
      <c r="C666" s="114">
        <v>514.77200000000005</v>
      </c>
      <c r="D666" s="114">
        <v>514.77200000000005</v>
      </c>
      <c r="E666" s="114">
        <v>830.13699999999994</v>
      </c>
      <c r="F666" s="114">
        <v>0</v>
      </c>
      <c r="G666" s="134">
        <v>125351</v>
      </c>
      <c r="H666" s="114">
        <v>908</v>
      </c>
      <c r="I666" s="134">
        <v>114958</v>
      </c>
      <c r="J666" s="134">
        <v>80312831</v>
      </c>
      <c r="K666" s="134">
        <v>80312831</v>
      </c>
    </row>
    <row r="667" spans="1:11">
      <c r="A667" t="s">
        <v>373</v>
      </c>
      <c r="B667" t="s">
        <v>157</v>
      </c>
      <c r="C667" s="114">
        <v>13857.475</v>
      </c>
      <c r="D667" s="114">
        <v>13857.475</v>
      </c>
      <c r="E667" s="114">
        <v>19309.815999999999</v>
      </c>
      <c r="F667" s="114">
        <v>0</v>
      </c>
      <c r="G667" s="134">
        <v>11655056</v>
      </c>
      <c r="H667" s="134">
        <v>1856777</v>
      </c>
      <c r="I667" s="134">
        <v>1623036</v>
      </c>
      <c r="J667" s="134">
        <v>3364313010</v>
      </c>
      <c r="K667" s="134">
        <v>3364313010</v>
      </c>
    </row>
    <row r="668" spans="1:11">
      <c r="A668" t="s">
        <v>376</v>
      </c>
      <c r="B668" t="s">
        <v>1610</v>
      </c>
      <c r="C668" s="114">
        <v>1392.346</v>
      </c>
      <c r="D668" s="114">
        <v>1392.346</v>
      </c>
      <c r="E668" s="114">
        <v>1927.818</v>
      </c>
      <c r="F668" s="114">
        <v>0</v>
      </c>
      <c r="G668" s="134">
        <v>532451</v>
      </c>
      <c r="H668" s="134">
        <v>266417</v>
      </c>
      <c r="I668" s="134">
        <v>270555</v>
      </c>
      <c r="J668" s="134">
        <v>269162569</v>
      </c>
      <c r="K668" s="134">
        <v>269162569</v>
      </c>
    </row>
    <row r="669" spans="1:11">
      <c r="A669" t="s">
        <v>2819</v>
      </c>
      <c r="B669" t="s">
        <v>1970</v>
      </c>
      <c r="C669" s="114">
        <v>739.89499999999998</v>
      </c>
      <c r="D669" s="114">
        <v>739.89499999999998</v>
      </c>
      <c r="E669" s="114">
        <v>1402.2670000000001</v>
      </c>
      <c r="F669" s="114">
        <v>0</v>
      </c>
      <c r="G669" s="114">
        <v>0</v>
      </c>
      <c r="H669" s="114">
        <v>0</v>
      </c>
      <c r="I669" s="114">
        <v>0</v>
      </c>
      <c r="J669" s="134">
        <v>81164504</v>
      </c>
      <c r="K669" s="134">
        <v>81164504</v>
      </c>
    </row>
    <row r="670" spans="1:11">
      <c r="A670" t="s">
        <v>2820</v>
      </c>
      <c r="B670" t="s">
        <v>1971</v>
      </c>
      <c r="C670" s="114">
        <v>806.36300000000006</v>
      </c>
      <c r="D670" s="114">
        <v>842.15899999999999</v>
      </c>
      <c r="E670" s="114">
        <v>1370.039</v>
      </c>
      <c r="F670" s="114">
        <v>0</v>
      </c>
      <c r="G670" s="134">
        <v>197797</v>
      </c>
      <c r="H670" s="114">
        <v>0</v>
      </c>
      <c r="I670" s="134">
        <v>88320</v>
      </c>
      <c r="J670" s="134">
        <v>122078282</v>
      </c>
      <c r="K670" s="134">
        <v>122078282</v>
      </c>
    </row>
    <row r="671" spans="1:11">
      <c r="A671" t="s">
        <v>85</v>
      </c>
      <c r="B671" t="s">
        <v>1325</v>
      </c>
      <c r="C671" s="114">
        <v>2054.0430000000001</v>
      </c>
      <c r="D671" s="114">
        <v>2054.0430000000001</v>
      </c>
      <c r="E671" s="114">
        <v>2622.6640000000002</v>
      </c>
      <c r="F671" s="114">
        <v>0</v>
      </c>
      <c r="G671" s="134">
        <v>1948317</v>
      </c>
      <c r="H671" s="134">
        <v>429139</v>
      </c>
      <c r="I671" s="134">
        <v>774157</v>
      </c>
      <c r="J671" s="134">
        <v>453737171</v>
      </c>
      <c r="K671" s="134">
        <v>453737171</v>
      </c>
    </row>
    <row r="672" spans="1:11">
      <c r="A672" t="s">
        <v>2638</v>
      </c>
      <c r="B672" t="s">
        <v>1745</v>
      </c>
      <c r="C672" s="114">
        <v>2294.248</v>
      </c>
      <c r="D672" s="114">
        <v>2341.6439999999998</v>
      </c>
      <c r="E672" s="114">
        <v>3321.3339999999998</v>
      </c>
      <c r="F672" s="114">
        <v>0</v>
      </c>
      <c r="G672" s="134">
        <v>944185</v>
      </c>
      <c r="H672" s="134">
        <v>315960</v>
      </c>
      <c r="I672" s="134">
        <v>399661</v>
      </c>
      <c r="J672" s="134">
        <v>468295450</v>
      </c>
      <c r="K672" s="134">
        <v>468295450</v>
      </c>
    </row>
    <row r="673" spans="1:11">
      <c r="A673" t="s">
        <v>190</v>
      </c>
      <c r="B673" t="s">
        <v>3097</v>
      </c>
      <c r="C673" s="114">
        <v>2105.7919999999999</v>
      </c>
      <c r="D673" s="114">
        <v>2105.7919999999999</v>
      </c>
      <c r="E673" s="114">
        <v>2751.4479999999999</v>
      </c>
      <c r="F673" s="114">
        <v>0</v>
      </c>
      <c r="G673" s="134">
        <v>593074</v>
      </c>
      <c r="H673" s="134">
        <v>345503</v>
      </c>
      <c r="I673" s="134">
        <v>256467</v>
      </c>
      <c r="J673" s="134">
        <v>388937381</v>
      </c>
      <c r="K673" s="134">
        <v>388937381</v>
      </c>
    </row>
    <row r="674" spans="1:11">
      <c r="A674" t="s">
        <v>991</v>
      </c>
      <c r="B674" t="s">
        <v>1524</v>
      </c>
      <c r="C674" s="114">
        <v>473.57</v>
      </c>
      <c r="D674" s="114">
        <v>473.57</v>
      </c>
      <c r="E674" s="114">
        <v>762.61599999999999</v>
      </c>
      <c r="F674" s="114">
        <v>0</v>
      </c>
      <c r="G674" s="134">
        <v>451428</v>
      </c>
      <c r="H674" s="134">
        <v>4920</v>
      </c>
      <c r="I674" s="134">
        <v>154513</v>
      </c>
      <c r="J674" s="134">
        <v>103103002</v>
      </c>
      <c r="K674" s="134">
        <v>103103002</v>
      </c>
    </row>
    <row r="675" spans="1:11">
      <c r="A675" t="s">
        <v>2098</v>
      </c>
      <c r="B675" t="s">
        <v>1972</v>
      </c>
      <c r="C675" s="114">
        <v>114.381</v>
      </c>
      <c r="D675" s="114">
        <v>114.381</v>
      </c>
      <c r="E675" s="114">
        <v>184.15899999999999</v>
      </c>
      <c r="F675" s="114">
        <v>0</v>
      </c>
      <c r="G675" s="114">
        <v>0</v>
      </c>
      <c r="H675" s="114">
        <v>0</v>
      </c>
      <c r="I675" s="114">
        <v>0</v>
      </c>
      <c r="J675" s="134">
        <v>68511163</v>
      </c>
      <c r="K675" s="134">
        <v>68511163</v>
      </c>
    </row>
    <row r="676" spans="1:11">
      <c r="A676" t="s">
        <v>287</v>
      </c>
      <c r="B676" t="s">
        <v>1973</v>
      </c>
      <c r="C676" s="114">
        <v>139.88399999999999</v>
      </c>
      <c r="D676" s="114">
        <v>139.88399999999999</v>
      </c>
      <c r="E676" s="114">
        <v>247.07300000000001</v>
      </c>
      <c r="F676" s="134">
        <v>63500</v>
      </c>
      <c r="G676" s="114">
        <v>0</v>
      </c>
      <c r="H676" s="114">
        <v>0</v>
      </c>
      <c r="I676" s="114">
        <v>0</v>
      </c>
      <c r="J676" s="134">
        <v>30055630</v>
      </c>
      <c r="K676" s="134">
        <v>30055630</v>
      </c>
    </row>
    <row r="677" spans="1:11">
      <c r="A677" t="s">
        <v>1782</v>
      </c>
      <c r="B677" t="s">
        <v>1974</v>
      </c>
      <c r="C677" s="114">
        <v>145.56200000000001</v>
      </c>
      <c r="D677" s="114">
        <v>150.80699999999999</v>
      </c>
      <c r="E677" s="114">
        <v>288.60399999999998</v>
      </c>
      <c r="F677" s="114">
        <v>0</v>
      </c>
      <c r="G677" s="134">
        <v>361833</v>
      </c>
      <c r="H677" s="134">
        <v>399043</v>
      </c>
      <c r="I677" s="114">
        <v>0</v>
      </c>
      <c r="J677" s="134">
        <v>403423219</v>
      </c>
      <c r="K677" s="134">
        <v>403423219</v>
      </c>
    </row>
    <row r="678" spans="1:11">
      <c r="A678" t="s">
        <v>1296</v>
      </c>
      <c r="B678" t="s">
        <v>3066</v>
      </c>
      <c r="C678" s="114">
        <v>1806.95</v>
      </c>
      <c r="D678" s="114">
        <v>1806.95</v>
      </c>
      <c r="E678" s="114">
        <v>2538.252</v>
      </c>
      <c r="F678" s="114">
        <v>0</v>
      </c>
      <c r="G678" s="134">
        <v>360878</v>
      </c>
      <c r="H678" s="114">
        <v>0</v>
      </c>
      <c r="I678" s="134">
        <v>326606</v>
      </c>
      <c r="J678" s="134">
        <v>251646201</v>
      </c>
      <c r="K678" s="134">
        <v>251646201</v>
      </c>
    </row>
    <row r="679" spans="1:11">
      <c r="A679" t="s">
        <v>2266</v>
      </c>
      <c r="B679" t="s">
        <v>3023</v>
      </c>
      <c r="C679" s="114">
        <v>313.59699999999998</v>
      </c>
      <c r="D679" s="114">
        <v>313.59699999999998</v>
      </c>
      <c r="E679" s="114">
        <v>601.77200000000005</v>
      </c>
      <c r="F679" s="114">
        <v>0</v>
      </c>
      <c r="G679" s="134">
        <v>210625</v>
      </c>
      <c r="H679" s="134">
        <v>1784</v>
      </c>
      <c r="I679" s="134">
        <v>108406</v>
      </c>
      <c r="J679" s="134">
        <v>76377038</v>
      </c>
      <c r="K679" s="134">
        <v>76377038</v>
      </c>
    </row>
    <row r="680" spans="1:11">
      <c r="A680" t="s">
        <v>1036</v>
      </c>
      <c r="B680" t="s">
        <v>2563</v>
      </c>
      <c r="C680" s="114">
        <v>1008.859</v>
      </c>
      <c r="D680" s="114">
        <v>1008.859</v>
      </c>
      <c r="E680" s="114">
        <v>1514.171</v>
      </c>
      <c r="F680" s="114">
        <v>0</v>
      </c>
      <c r="G680" s="134">
        <v>475405</v>
      </c>
      <c r="H680" s="134">
        <v>52048</v>
      </c>
      <c r="I680" s="134">
        <v>167364</v>
      </c>
      <c r="J680" s="134">
        <v>119118782</v>
      </c>
      <c r="K680" s="134">
        <v>119118782</v>
      </c>
    </row>
    <row r="681" spans="1:11">
      <c r="A681" t="s">
        <v>199</v>
      </c>
      <c r="B681" t="s">
        <v>2729</v>
      </c>
      <c r="C681" s="114">
        <v>2118.9609999999998</v>
      </c>
      <c r="D681" s="114">
        <v>2118.9609999999998</v>
      </c>
      <c r="E681" s="114">
        <v>2877.556</v>
      </c>
      <c r="F681" s="114">
        <v>0</v>
      </c>
      <c r="G681" s="134">
        <v>355606</v>
      </c>
      <c r="H681" s="114">
        <v>0</v>
      </c>
      <c r="I681" s="134">
        <v>380647</v>
      </c>
      <c r="J681" s="134">
        <v>363391617</v>
      </c>
      <c r="K681" s="134">
        <v>363391617</v>
      </c>
    </row>
    <row r="682" spans="1:11">
      <c r="A682" t="s">
        <v>2896</v>
      </c>
      <c r="B682" t="s">
        <v>931</v>
      </c>
      <c r="C682" s="114">
        <v>3048.8690000000001</v>
      </c>
      <c r="D682" s="114">
        <v>3048.8690000000001</v>
      </c>
      <c r="E682" s="114">
        <v>4055.7020000000002</v>
      </c>
      <c r="F682" s="114">
        <v>0</v>
      </c>
      <c r="G682" s="134">
        <v>3100961</v>
      </c>
      <c r="H682" s="134">
        <v>263559</v>
      </c>
      <c r="I682" s="134">
        <v>1436473</v>
      </c>
      <c r="J682" s="134">
        <v>771815036</v>
      </c>
      <c r="K682" s="134">
        <v>771815036</v>
      </c>
    </row>
    <row r="683" spans="1:11">
      <c r="A683" t="s">
        <v>2978</v>
      </c>
      <c r="B683" t="s">
        <v>1975</v>
      </c>
      <c r="C683" s="114">
        <v>317.27300000000002</v>
      </c>
      <c r="D683" s="114">
        <v>317.27300000000002</v>
      </c>
      <c r="E683" s="114">
        <v>626.673</v>
      </c>
      <c r="F683" s="114">
        <v>0</v>
      </c>
      <c r="G683" s="114">
        <v>0</v>
      </c>
      <c r="H683" s="114">
        <v>0</v>
      </c>
      <c r="I683" s="114">
        <v>0</v>
      </c>
      <c r="J683" s="134">
        <v>102930545</v>
      </c>
      <c r="K683" s="134">
        <v>102930545</v>
      </c>
    </row>
    <row r="684" spans="1:11">
      <c r="A684" t="s">
        <v>2899</v>
      </c>
      <c r="B684" t="s">
        <v>2555</v>
      </c>
      <c r="C684" s="114">
        <v>19619.25</v>
      </c>
      <c r="D684" s="114">
        <v>19619.25</v>
      </c>
      <c r="E684" s="114">
        <v>24857.95</v>
      </c>
      <c r="F684" s="114">
        <v>0</v>
      </c>
      <c r="G684" s="134">
        <v>11600781</v>
      </c>
      <c r="H684" s="134">
        <v>9922754</v>
      </c>
      <c r="I684" s="134">
        <v>1599695</v>
      </c>
      <c r="J684" s="134">
        <v>7896580087</v>
      </c>
      <c r="K684" s="134">
        <v>7896580087</v>
      </c>
    </row>
    <row r="685" spans="1:11">
      <c r="A685" t="s">
        <v>1475</v>
      </c>
      <c r="B685" t="s">
        <v>1976</v>
      </c>
      <c r="C685" s="114">
        <v>1556.2170000000001</v>
      </c>
      <c r="D685" s="114">
        <v>1556.2170000000001</v>
      </c>
      <c r="E685" s="114">
        <v>1999.9480000000001</v>
      </c>
      <c r="F685" s="114">
        <v>0</v>
      </c>
      <c r="G685" s="134">
        <v>1411543</v>
      </c>
      <c r="H685" s="134">
        <v>697524</v>
      </c>
      <c r="I685" s="114">
        <v>0</v>
      </c>
      <c r="J685" s="134">
        <v>528815016</v>
      </c>
      <c r="K685" s="134">
        <v>528815016</v>
      </c>
    </row>
    <row r="686" spans="1:11">
      <c r="A686" t="s">
        <v>2156</v>
      </c>
      <c r="B686" t="s">
        <v>727</v>
      </c>
      <c r="C686" s="114">
        <v>1493.16</v>
      </c>
      <c r="D686" s="114">
        <v>1493.16</v>
      </c>
      <c r="E686" s="114">
        <v>2161.6750000000002</v>
      </c>
      <c r="F686" s="114">
        <v>0</v>
      </c>
      <c r="G686" s="134">
        <v>809699</v>
      </c>
      <c r="H686" s="134">
        <v>376148</v>
      </c>
      <c r="I686" s="134">
        <v>376957</v>
      </c>
      <c r="J686" s="134">
        <v>257812747</v>
      </c>
      <c r="K686" s="134">
        <v>257812747</v>
      </c>
    </row>
    <row r="687" spans="1:11">
      <c r="A687" t="s">
        <v>1536</v>
      </c>
      <c r="B687" t="s">
        <v>1977</v>
      </c>
      <c r="C687" s="114">
        <v>133.43199999999999</v>
      </c>
      <c r="D687" s="114">
        <v>138.1</v>
      </c>
      <c r="E687" s="114">
        <v>243.328</v>
      </c>
      <c r="F687" s="114">
        <v>0</v>
      </c>
      <c r="G687" s="114">
        <v>2</v>
      </c>
      <c r="H687" s="114">
        <v>0</v>
      </c>
      <c r="I687" s="114">
        <v>0</v>
      </c>
      <c r="J687" s="134">
        <v>74473805</v>
      </c>
      <c r="K687" s="134">
        <v>74473805</v>
      </c>
    </row>
    <row r="688" spans="1:11">
      <c r="A688" t="s">
        <v>2900</v>
      </c>
      <c r="B688" t="s">
        <v>1978</v>
      </c>
      <c r="C688" s="114">
        <v>414.34500000000003</v>
      </c>
      <c r="D688" s="114">
        <v>414.34500000000003</v>
      </c>
      <c r="E688" s="114">
        <v>715.94500000000005</v>
      </c>
      <c r="F688" s="114">
        <v>0</v>
      </c>
      <c r="G688" s="134">
        <v>142944</v>
      </c>
      <c r="H688" s="134">
        <v>128515</v>
      </c>
      <c r="I688" s="114">
        <v>0</v>
      </c>
      <c r="J688" s="134">
        <v>70071645</v>
      </c>
      <c r="K688" s="134">
        <v>70071645</v>
      </c>
    </row>
    <row r="689" spans="1:11">
      <c r="A689" t="s">
        <v>2513</v>
      </c>
      <c r="B689" t="s">
        <v>1979</v>
      </c>
      <c r="C689" s="114">
        <v>1593.787</v>
      </c>
      <c r="D689" s="114">
        <v>1663.828</v>
      </c>
      <c r="E689" s="114">
        <v>2314.4090000000001</v>
      </c>
      <c r="F689" s="114">
        <v>0</v>
      </c>
      <c r="G689" s="134">
        <v>1476929</v>
      </c>
      <c r="H689" s="114">
        <v>0</v>
      </c>
      <c r="I689" s="114">
        <v>0</v>
      </c>
      <c r="J689" s="134">
        <v>724853160</v>
      </c>
      <c r="K689" s="134">
        <v>724853160</v>
      </c>
    </row>
    <row r="690" spans="1:11">
      <c r="A690" t="s">
        <v>1046</v>
      </c>
      <c r="B690" t="s">
        <v>1980</v>
      </c>
      <c r="C690" s="114">
        <v>529.80600000000004</v>
      </c>
      <c r="D690" s="114">
        <v>529.80600000000004</v>
      </c>
      <c r="E690" s="114">
        <v>870.15300000000002</v>
      </c>
      <c r="F690" s="114">
        <v>0</v>
      </c>
      <c r="G690" s="134">
        <v>158810</v>
      </c>
      <c r="H690" s="134">
        <v>153325</v>
      </c>
      <c r="I690" s="114">
        <v>0</v>
      </c>
      <c r="J690" s="134">
        <v>99908055</v>
      </c>
      <c r="K690" s="134">
        <v>99908055</v>
      </c>
    </row>
    <row r="691" spans="1:11">
      <c r="A691" t="s">
        <v>409</v>
      </c>
      <c r="B691" t="s">
        <v>3033</v>
      </c>
      <c r="C691" s="114">
        <v>171.76499999999999</v>
      </c>
      <c r="D691" s="114">
        <v>182.405</v>
      </c>
      <c r="E691" s="114">
        <v>334.15100000000001</v>
      </c>
      <c r="F691" s="114">
        <v>0</v>
      </c>
      <c r="G691" s="134">
        <v>16350</v>
      </c>
      <c r="H691" s="114">
        <v>0</v>
      </c>
      <c r="I691" s="134">
        <v>17154</v>
      </c>
      <c r="J691" s="134">
        <v>26519442</v>
      </c>
      <c r="K691" s="134">
        <v>26519442</v>
      </c>
    </row>
    <row r="692" spans="1:11">
      <c r="A692" t="s">
        <v>1436</v>
      </c>
      <c r="B692" t="s">
        <v>972</v>
      </c>
      <c r="C692" s="114">
        <v>551.77099999999996</v>
      </c>
      <c r="D692" s="114">
        <v>595.17899999999997</v>
      </c>
      <c r="E692" s="114">
        <v>925.11199999999997</v>
      </c>
      <c r="F692" s="114">
        <v>0</v>
      </c>
      <c r="G692" s="134">
        <v>108136</v>
      </c>
      <c r="H692" s="114">
        <v>0</v>
      </c>
      <c r="I692" s="134">
        <v>97636</v>
      </c>
      <c r="J692" s="134">
        <v>129322343</v>
      </c>
      <c r="K692" s="134">
        <v>129322343</v>
      </c>
    </row>
    <row r="693" spans="1:11">
      <c r="A693" t="s">
        <v>3070</v>
      </c>
      <c r="B693" t="s">
        <v>1981</v>
      </c>
      <c r="C693" s="114">
        <v>90.649000000000001</v>
      </c>
      <c r="D693" s="114">
        <v>90.649000000000001</v>
      </c>
      <c r="E693" s="114">
        <v>283.54300000000001</v>
      </c>
      <c r="F693" s="114">
        <v>0</v>
      </c>
      <c r="G693" s="114">
        <v>0</v>
      </c>
      <c r="H693" s="114">
        <v>0</v>
      </c>
      <c r="I693" s="114">
        <v>0</v>
      </c>
      <c r="J693" s="134">
        <v>47003703</v>
      </c>
      <c r="K693" s="134">
        <v>47003703</v>
      </c>
    </row>
    <row r="694" spans="1:11">
      <c r="A694" t="s">
        <v>3071</v>
      </c>
      <c r="B694" t="s">
        <v>1982</v>
      </c>
      <c r="C694" s="114">
        <v>61.444000000000003</v>
      </c>
      <c r="D694" s="114">
        <v>61.444000000000003</v>
      </c>
      <c r="E694" s="114">
        <v>163.31200000000001</v>
      </c>
      <c r="F694" s="114">
        <v>0</v>
      </c>
      <c r="G694" s="114">
        <v>0</v>
      </c>
      <c r="H694" s="114">
        <v>0</v>
      </c>
      <c r="I694" s="114">
        <v>0</v>
      </c>
      <c r="J694" s="134">
        <v>21250307</v>
      </c>
      <c r="K694" s="134">
        <v>21250307</v>
      </c>
    </row>
    <row r="695" spans="1:11">
      <c r="A695" t="s">
        <v>2267</v>
      </c>
      <c r="B695" t="s">
        <v>86</v>
      </c>
      <c r="C695" s="114">
        <v>91.212000000000003</v>
      </c>
      <c r="D695" s="114">
        <v>91.212000000000003</v>
      </c>
      <c r="E695" s="114">
        <v>218.35900000000001</v>
      </c>
      <c r="F695" s="114">
        <v>0</v>
      </c>
      <c r="G695" s="134">
        <v>8747</v>
      </c>
      <c r="H695" s="114">
        <v>0</v>
      </c>
      <c r="I695" s="134">
        <v>8208</v>
      </c>
      <c r="J695" s="134">
        <v>16185710</v>
      </c>
      <c r="K695" s="134">
        <v>16185710</v>
      </c>
    </row>
    <row r="696" spans="1:11">
      <c r="A696" t="s">
        <v>3072</v>
      </c>
      <c r="B696" t="s">
        <v>1983</v>
      </c>
      <c r="C696" s="114">
        <v>956.11699999999996</v>
      </c>
      <c r="D696" s="114">
        <v>956.11699999999996</v>
      </c>
      <c r="E696" s="114">
        <v>1626.761</v>
      </c>
      <c r="F696" s="114">
        <v>0</v>
      </c>
      <c r="G696" s="114">
        <v>0</v>
      </c>
      <c r="H696" s="114">
        <v>0</v>
      </c>
      <c r="I696" s="114">
        <v>0</v>
      </c>
      <c r="J696" s="134">
        <v>238227057</v>
      </c>
      <c r="K696" s="134">
        <v>238227057</v>
      </c>
    </row>
    <row r="697" spans="1:11">
      <c r="A697" t="s">
        <v>3073</v>
      </c>
      <c r="B697" t="s">
        <v>1984</v>
      </c>
      <c r="C697" s="114">
        <v>146.279</v>
      </c>
      <c r="D697" s="114">
        <v>147.47800000000001</v>
      </c>
      <c r="E697" s="114">
        <v>272.93599999999998</v>
      </c>
      <c r="F697" s="114">
        <v>0</v>
      </c>
      <c r="G697" s="114">
        <v>0</v>
      </c>
      <c r="H697" s="114">
        <v>0</v>
      </c>
      <c r="I697" s="114">
        <v>0</v>
      </c>
      <c r="J697" s="134">
        <v>27899980</v>
      </c>
      <c r="K697" s="134">
        <v>27899980</v>
      </c>
    </row>
    <row r="698" spans="1:11">
      <c r="A698" t="s">
        <v>1676</v>
      </c>
      <c r="B698" t="s">
        <v>1985</v>
      </c>
      <c r="C698" s="114">
        <v>193.27</v>
      </c>
      <c r="D698" s="114">
        <v>193.27</v>
      </c>
      <c r="E698" s="114">
        <v>324.59199999999998</v>
      </c>
      <c r="F698" s="114">
        <v>0</v>
      </c>
      <c r="G698" s="114">
        <v>0</v>
      </c>
      <c r="H698" s="114">
        <v>0</v>
      </c>
      <c r="I698" s="114">
        <v>0</v>
      </c>
      <c r="J698" s="134">
        <v>319811540</v>
      </c>
      <c r="K698" s="134">
        <v>319811540</v>
      </c>
    </row>
    <row r="699" spans="1:11">
      <c r="A699" t="s">
        <v>1494</v>
      </c>
      <c r="B699" t="s">
        <v>1542</v>
      </c>
      <c r="C699" s="114">
        <v>1464.252</v>
      </c>
      <c r="D699" s="114">
        <v>1464.252</v>
      </c>
      <c r="E699" s="114">
        <v>2016.5250000000001</v>
      </c>
      <c r="F699" s="114">
        <v>0</v>
      </c>
      <c r="G699" s="134">
        <v>1185623</v>
      </c>
      <c r="H699" s="114">
        <v>0</v>
      </c>
      <c r="I699" s="134">
        <v>329500</v>
      </c>
      <c r="J699" s="134">
        <v>471762720</v>
      </c>
      <c r="K699" s="134">
        <v>471762720</v>
      </c>
    </row>
    <row r="700" spans="1:11">
      <c r="A700" t="s">
        <v>1612</v>
      </c>
      <c r="B700" t="s">
        <v>1543</v>
      </c>
      <c r="C700" s="114">
        <v>784.89499999999998</v>
      </c>
      <c r="D700" s="114">
        <v>784.89499999999998</v>
      </c>
      <c r="E700" s="114">
        <v>1253.2539999999999</v>
      </c>
      <c r="F700" s="114">
        <v>0</v>
      </c>
      <c r="G700" s="114">
        <v>0</v>
      </c>
      <c r="H700" s="114">
        <v>0</v>
      </c>
      <c r="I700" s="114">
        <v>0</v>
      </c>
      <c r="J700" s="134">
        <v>158059075</v>
      </c>
      <c r="K700" s="134">
        <v>158059075</v>
      </c>
    </row>
    <row r="701" spans="1:11">
      <c r="A701" t="s">
        <v>910</v>
      </c>
      <c r="B701" t="s">
        <v>1544</v>
      </c>
      <c r="C701" s="114">
        <v>112.902</v>
      </c>
      <c r="D701" s="114">
        <v>130.54499999999999</v>
      </c>
      <c r="E701" s="114">
        <v>251.99600000000001</v>
      </c>
      <c r="F701" s="114">
        <v>0</v>
      </c>
      <c r="G701" s="134">
        <v>107421</v>
      </c>
      <c r="H701" s="134">
        <v>116444</v>
      </c>
      <c r="I701" s="114">
        <v>0</v>
      </c>
      <c r="J701" s="134">
        <v>55585911</v>
      </c>
      <c r="K701" s="134">
        <v>55585911</v>
      </c>
    </row>
    <row r="702" spans="1:11">
      <c r="A702" t="s">
        <v>1685</v>
      </c>
      <c r="B702" t="s">
        <v>2564</v>
      </c>
      <c r="C702" s="114">
        <v>89.509</v>
      </c>
      <c r="D702" s="114">
        <v>89.509</v>
      </c>
      <c r="E702" s="114">
        <v>155.023</v>
      </c>
      <c r="F702" s="114">
        <v>0</v>
      </c>
      <c r="G702" s="114">
        <v>0</v>
      </c>
      <c r="H702" s="114">
        <v>0</v>
      </c>
      <c r="I702" s="114">
        <v>0</v>
      </c>
      <c r="J702" s="134">
        <v>23526774</v>
      </c>
      <c r="K702" s="134">
        <v>23526774</v>
      </c>
    </row>
    <row r="703" spans="1:11">
      <c r="A703" t="s">
        <v>1686</v>
      </c>
      <c r="B703" t="s">
        <v>2565</v>
      </c>
      <c r="C703" s="114">
        <v>124.271</v>
      </c>
      <c r="D703" s="114">
        <v>124.271</v>
      </c>
      <c r="E703" s="114">
        <v>241.14</v>
      </c>
      <c r="F703" s="114">
        <v>0</v>
      </c>
      <c r="G703" s="114">
        <v>0</v>
      </c>
      <c r="H703" s="114">
        <v>0</v>
      </c>
      <c r="I703" s="114">
        <v>0</v>
      </c>
      <c r="J703" s="134">
        <v>104741061</v>
      </c>
      <c r="K703" s="134">
        <v>104741061</v>
      </c>
    </row>
    <row r="704" spans="1:11">
      <c r="A704" t="s">
        <v>1445</v>
      </c>
      <c r="B704" t="s">
        <v>2566</v>
      </c>
      <c r="C704" s="114">
        <v>166.07599999999999</v>
      </c>
      <c r="D704" s="114">
        <v>170.00399999999999</v>
      </c>
      <c r="E704" s="114">
        <v>292.18200000000002</v>
      </c>
      <c r="F704" s="114">
        <v>0</v>
      </c>
      <c r="G704" s="134">
        <v>58917</v>
      </c>
      <c r="H704" s="134">
        <v>43165</v>
      </c>
      <c r="I704" s="114">
        <v>0</v>
      </c>
      <c r="J704" s="134">
        <v>48264216</v>
      </c>
      <c r="K704" s="134">
        <v>48264216</v>
      </c>
    </row>
    <row r="705" spans="1:11">
      <c r="A705" t="s">
        <v>1724</v>
      </c>
      <c r="B705" t="s">
        <v>2567</v>
      </c>
      <c r="C705" s="114">
        <v>253.733</v>
      </c>
      <c r="D705" s="114">
        <v>262.16000000000003</v>
      </c>
      <c r="E705" s="114">
        <v>443.10199999999998</v>
      </c>
      <c r="F705" s="114">
        <v>0</v>
      </c>
      <c r="G705" s="134">
        <v>177723</v>
      </c>
      <c r="H705" s="134">
        <v>177632</v>
      </c>
      <c r="I705" s="114">
        <v>0</v>
      </c>
      <c r="J705" s="134">
        <v>110034202</v>
      </c>
      <c r="K705" s="134">
        <v>110034202</v>
      </c>
    </row>
    <row r="706" spans="1:11">
      <c r="A706" t="s">
        <v>2639</v>
      </c>
      <c r="B706" t="s">
        <v>1746</v>
      </c>
      <c r="C706" s="114">
        <v>44914.68</v>
      </c>
      <c r="D706" s="114">
        <v>44914.68</v>
      </c>
      <c r="E706" s="114">
        <v>56811.938999999998</v>
      </c>
      <c r="F706" s="114">
        <v>0</v>
      </c>
      <c r="G706" s="134">
        <v>42170818</v>
      </c>
      <c r="H706" s="134">
        <v>47481933</v>
      </c>
      <c r="I706" s="134">
        <v>398132</v>
      </c>
      <c r="J706" s="134">
        <v>16373080274</v>
      </c>
      <c r="K706" s="134">
        <v>16373080274</v>
      </c>
    </row>
    <row r="707" spans="1:11">
      <c r="A707" t="s">
        <v>1725</v>
      </c>
      <c r="B707" t="s">
        <v>2568</v>
      </c>
      <c r="C707" s="114">
        <v>5940.2340000000004</v>
      </c>
      <c r="D707" s="114">
        <v>5940.2340000000004</v>
      </c>
      <c r="E707" s="114">
        <v>7141.0990000000002</v>
      </c>
      <c r="F707" s="114">
        <v>0</v>
      </c>
      <c r="G707" s="134">
        <v>10116059</v>
      </c>
      <c r="H707" s="134">
        <v>6696409</v>
      </c>
      <c r="I707" s="114">
        <v>0</v>
      </c>
      <c r="J707" s="134">
        <v>2847396257</v>
      </c>
      <c r="K707" s="134">
        <v>2847396257</v>
      </c>
    </row>
    <row r="708" spans="1:11">
      <c r="A708" t="s">
        <v>1349</v>
      </c>
      <c r="B708" t="s">
        <v>1288</v>
      </c>
      <c r="C708" s="114">
        <v>5593.55</v>
      </c>
      <c r="D708" s="114">
        <v>5593.55</v>
      </c>
      <c r="E708" s="114">
        <v>7165.415</v>
      </c>
      <c r="F708" s="114">
        <v>0</v>
      </c>
      <c r="G708" s="134">
        <v>6199127</v>
      </c>
      <c r="H708" s="134">
        <v>3343433</v>
      </c>
      <c r="I708" s="134">
        <v>2025470</v>
      </c>
      <c r="J708" s="134">
        <v>1680060319</v>
      </c>
      <c r="K708" s="134">
        <v>1680060319</v>
      </c>
    </row>
    <row r="709" spans="1:11">
      <c r="A709" t="s">
        <v>378</v>
      </c>
      <c r="B709" t="s">
        <v>319</v>
      </c>
      <c r="C709" s="114">
        <v>10517.996999999999</v>
      </c>
      <c r="D709" s="114">
        <v>10517.996999999999</v>
      </c>
      <c r="E709" s="114">
        <v>13497.027</v>
      </c>
      <c r="F709" s="114">
        <v>0</v>
      </c>
      <c r="G709" s="134">
        <v>11212538</v>
      </c>
      <c r="H709" s="134">
        <v>7751568</v>
      </c>
      <c r="I709" s="134">
        <v>1559843</v>
      </c>
      <c r="J709" s="134">
        <v>2672954570</v>
      </c>
      <c r="K709" s="134">
        <v>2672954570</v>
      </c>
    </row>
    <row r="710" spans="1:11">
      <c r="A710" t="s">
        <v>1701</v>
      </c>
      <c r="B710" t="s">
        <v>2209</v>
      </c>
      <c r="C710" s="114">
        <v>3132.78</v>
      </c>
      <c r="D710" s="114">
        <v>3132.78</v>
      </c>
      <c r="E710" s="114">
        <v>4229.2259999999997</v>
      </c>
      <c r="F710" s="114">
        <v>0</v>
      </c>
      <c r="G710" s="134">
        <v>1495927</v>
      </c>
      <c r="H710" s="134">
        <v>387591</v>
      </c>
      <c r="I710" s="134">
        <v>398227</v>
      </c>
      <c r="J710" s="134">
        <v>299070603</v>
      </c>
      <c r="K710" s="134">
        <v>299070603</v>
      </c>
    </row>
    <row r="711" spans="1:11">
      <c r="A711" t="s">
        <v>801</v>
      </c>
      <c r="B711" t="s">
        <v>1305</v>
      </c>
      <c r="C711" s="114">
        <v>8449.3349999999991</v>
      </c>
      <c r="D711" s="114">
        <v>8449.3349999999991</v>
      </c>
      <c r="E711" s="114">
        <v>11201.727000000001</v>
      </c>
      <c r="F711" s="114">
        <v>0</v>
      </c>
      <c r="G711" s="134">
        <v>7428518</v>
      </c>
      <c r="H711" s="134">
        <v>4407384</v>
      </c>
      <c r="I711" s="134">
        <v>1669675</v>
      </c>
      <c r="J711" s="134">
        <v>1600307303</v>
      </c>
      <c r="K711" s="134">
        <v>1600307303</v>
      </c>
    </row>
    <row r="712" spans="1:11">
      <c r="A712" t="s">
        <v>2134</v>
      </c>
      <c r="B712" t="s">
        <v>2569</v>
      </c>
      <c r="C712" s="114">
        <v>3970.346</v>
      </c>
      <c r="D712" s="114">
        <v>3970.346</v>
      </c>
      <c r="E712" s="114">
        <v>5140.1499999999996</v>
      </c>
      <c r="F712" s="114">
        <v>0</v>
      </c>
      <c r="G712" s="134">
        <v>1694376</v>
      </c>
      <c r="H712" s="134">
        <v>590369</v>
      </c>
      <c r="I712" s="114">
        <v>0</v>
      </c>
      <c r="J712" s="134">
        <v>1846088993</v>
      </c>
      <c r="K712" s="134">
        <v>1846088993</v>
      </c>
    </row>
    <row r="713" spans="1:11">
      <c r="A713" t="s">
        <v>2135</v>
      </c>
      <c r="B713" t="s">
        <v>2570</v>
      </c>
      <c r="C713" s="114">
        <v>504.71800000000002</v>
      </c>
      <c r="D713" s="114">
        <v>504.71800000000002</v>
      </c>
      <c r="E713" s="114">
        <v>814.58900000000006</v>
      </c>
      <c r="F713" s="114">
        <v>0</v>
      </c>
      <c r="G713" s="134">
        <v>359312</v>
      </c>
      <c r="H713" s="134">
        <v>394326</v>
      </c>
      <c r="I713" s="114">
        <v>0</v>
      </c>
      <c r="J713" s="134">
        <v>323381068</v>
      </c>
      <c r="K713" s="134">
        <v>323381068</v>
      </c>
    </row>
    <row r="714" spans="1:11">
      <c r="A714" t="s">
        <v>2136</v>
      </c>
      <c r="B714" t="s">
        <v>2571</v>
      </c>
      <c r="C714" s="114">
        <v>1213.1959999999999</v>
      </c>
      <c r="D714" s="114">
        <v>1213.1959999999999</v>
      </c>
      <c r="E714" s="114">
        <v>1820.01</v>
      </c>
      <c r="F714" s="114">
        <v>0</v>
      </c>
      <c r="G714" s="134">
        <v>785922</v>
      </c>
      <c r="H714" s="134">
        <v>1023189</v>
      </c>
      <c r="I714" s="114">
        <v>0</v>
      </c>
      <c r="J714" s="134">
        <v>791050285</v>
      </c>
      <c r="K714" s="134">
        <v>774600350</v>
      </c>
    </row>
    <row r="715" spans="1:11">
      <c r="A715" t="s">
        <v>2137</v>
      </c>
      <c r="B715" t="s">
        <v>3024</v>
      </c>
      <c r="C715" s="114">
        <v>890.91200000000003</v>
      </c>
      <c r="D715" s="114">
        <v>890.91200000000003</v>
      </c>
      <c r="E715" s="114">
        <v>1363.1890000000001</v>
      </c>
      <c r="F715" s="114">
        <v>0</v>
      </c>
      <c r="G715" s="134">
        <v>122545</v>
      </c>
      <c r="H715" s="134">
        <v>108097</v>
      </c>
      <c r="I715" s="114">
        <v>0</v>
      </c>
      <c r="J715" s="134">
        <v>173155471</v>
      </c>
      <c r="K715" s="134">
        <v>173155471</v>
      </c>
    </row>
    <row r="716" spans="1:11">
      <c r="A716" t="s">
        <v>2685</v>
      </c>
      <c r="B716" t="s">
        <v>2573</v>
      </c>
      <c r="C716" s="114">
        <v>167.786</v>
      </c>
      <c r="D716" s="114">
        <v>167.786</v>
      </c>
      <c r="E716" s="114">
        <v>327.79899999999998</v>
      </c>
      <c r="F716" s="114">
        <v>0</v>
      </c>
      <c r="G716" s="114">
        <v>0</v>
      </c>
      <c r="H716" s="114">
        <v>0</v>
      </c>
      <c r="I716" s="114">
        <v>0</v>
      </c>
      <c r="J716" s="134">
        <v>70348106</v>
      </c>
      <c r="K716" s="134">
        <v>70348106</v>
      </c>
    </row>
    <row r="717" spans="1:11">
      <c r="A717" t="s">
        <v>802</v>
      </c>
      <c r="B717" t="s">
        <v>1326</v>
      </c>
      <c r="C717" s="114">
        <v>300.07</v>
      </c>
      <c r="D717" s="114">
        <v>300.07</v>
      </c>
      <c r="E717" s="114">
        <v>531.02</v>
      </c>
      <c r="F717" s="114">
        <v>0</v>
      </c>
      <c r="G717" s="134">
        <v>31076</v>
      </c>
      <c r="H717" s="114">
        <v>0</v>
      </c>
      <c r="I717" s="134">
        <v>24876</v>
      </c>
      <c r="J717" s="134">
        <v>39917890</v>
      </c>
      <c r="K717" s="134">
        <v>39917890</v>
      </c>
    </row>
    <row r="718" spans="1:11">
      <c r="A718" t="s">
        <v>570</v>
      </c>
      <c r="B718" t="s">
        <v>2574</v>
      </c>
      <c r="C718" s="114">
        <v>447.06700000000001</v>
      </c>
      <c r="D718" s="114">
        <v>450.05799999999999</v>
      </c>
      <c r="E718" s="114">
        <v>729.101</v>
      </c>
      <c r="F718" s="114">
        <v>0</v>
      </c>
      <c r="G718" s="114">
        <v>0</v>
      </c>
      <c r="H718" s="114">
        <v>0</v>
      </c>
      <c r="I718" s="114">
        <v>0</v>
      </c>
      <c r="J718" s="134">
        <v>400940495</v>
      </c>
      <c r="K718" s="134">
        <v>400940495</v>
      </c>
    </row>
    <row r="719" spans="1:11">
      <c r="A719" t="s">
        <v>803</v>
      </c>
      <c r="B719" t="s">
        <v>493</v>
      </c>
      <c r="C719" s="114">
        <v>625.75</v>
      </c>
      <c r="D719" s="114">
        <v>625.75</v>
      </c>
      <c r="E719" s="114">
        <v>988.67499999999995</v>
      </c>
      <c r="F719" s="114">
        <v>0</v>
      </c>
      <c r="G719" s="134">
        <v>161453</v>
      </c>
      <c r="H719" s="114">
        <v>0</v>
      </c>
      <c r="I719" s="134">
        <v>146551</v>
      </c>
      <c r="J719" s="134">
        <v>238918440</v>
      </c>
      <c r="K719" s="134">
        <v>238918440</v>
      </c>
    </row>
    <row r="720" spans="1:11">
      <c r="A720" t="s">
        <v>571</v>
      </c>
      <c r="B720" t="s">
        <v>2575</v>
      </c>
      <c r="C720" s="114">
        <v>5840.2380000000003</v>
      </c>
      <c r="D720" s="114">
        <v>5870.9309999999996</v>
      </c>
      <c r="E720" s="114">
        <v>7598.17</v>
      </c>
      <c r="F720" s="114">
        <v>0</v>
      </c>
      <c r="G720" s="134">
        <v>3228817</v>
      </c>
      <c r="H720" s="134">
        <v>2951152</v>
      </c>
      <c r="I720" s="114">
        <v>0</v>
      </c>
      <c r="J720" s="134">
        <v>1554338395</v>
      </c>
      <c r="K720" s="134">
        <v>1554338395</v>
      </c>
    </row>
    <row r="721" spans="1:11">
      <c r="A721" t="s">
        <v>410</v>
      </c>
      <c r="B721" t="s">
        <v>1291</v>
      </c>
      <c r="C721" s="114">
        <v>802.00900000000001</v>
      </c>
      <c r="D721" s="114">
        <v>802.00900000000001</v>
      </c>
      <c r="E721" s="114">
        <v>1256.9680000000001</v>
      </c>
      <c r="F721" s="114">
        <v>0</v>
      </c>
      <c r="G721" s="134">
        <v>90739</v>
      </c>
      <c r="H721" s="114">
        <v>0</v>
      </c>
      <c r="I721" s="134">
        <v>69844</v>
      </c>
      <c r="J721" s="134">
        <v>105727057</v>
      </c>
      <c r="K721" s="134">
        <v>105727057</v>
      </c>
    </row>
    <row r="722" spans="1:11">
      <c r="A722" t="s">
        <v>572</v>
      </c>
      <c r="B722" t="s">
        <v>2576</v>
      </c>
      <c r="C722" s="114">
        <v>753.47900000000004</v>
      </c>
      <c r="D722" s="114">
        <v>753.47900000000004</v>
      </c>
      <c r="E722" s="114">
        <v>1130.605</v>
      </c>
      <c r="F722" s="114">
        <v>0</v>
      </c>
      <c r="G722" s="114">
        <v>0</v>
      </c>
      <c r="H722" s="114">
        <v>0</v>
      </c>
      <c r="I722" s="114">
        <v>0</v>
      </c>
      <c r="J722" s="134">
        <v>92678366</v>
      </c>
      <c r="K722" s="134">
        <v>92678366</v>
      </c>
    </row>
    <row r="723" spans="1:11">
      <c r="A723" t="s">
        <v>573</v>
      </c>
      <c r="B723" t="s">
        <v>2577</v>
      </c>
      <c r="C723" s="114">
        <v>314.678</v>
      </c>
      <c r="D723" s="114">
        <v>314.678</v>
      </c>
      <c r="E723" s="114">
        <v>522.45399999999995</v>
      </c>
      <c r="F723" s="114">
        <v>0</v>
      </c>
      <c r="G723" s="134">
        <v>65117</v>
      </c>
      <c r="H723" s="134">
        <v>52475</v>
      </c>
      <c r="I723" s="114">
        <v>0</v>
      </c>
      <c r="J723" s="134">
        <v>48112741</v>
      </c>
      <c r="K723" s="134">
        <v>48112741</v>
      </c>
    </row>
    <row r="724" spans="1:11">
      <c r="A724" t="s">
        <v>877</v>
      </c>
      <c r="B724" t="s">
        <v>1003</v>
      </c>
      <c r="C724" s="114">
        <v>104.39400000000001</v>
      </c>
      <c r="D724" s="114">
        <v>123.158</v>
      </c>
      <c r="E724" s="114">
        <v>215.12899999999999</v>
      </c>
      <c r="F724" s="114">
        <v>0</v>
      </c>
      <c r="G724" s="134">
        <v>46733</v>
      </c>
      <c r="H724" s="114">
        <v>0</v>
      </c>
      <c r="I724" s="114">
        <v>0</v>
      </c>
      <c r="J724" s="134">
        <v>37511684</v>
      </c>
      <c r="K724" s="134">
        <v>37511684</v>
      </c>
    </row>
    <row r="725" spans="1:11">
      <c r="A725" t="s">
        <v>574</v>
      </c>
      <c r="B725" t="s">
        <v>2578</v>
      </c>
      <c r="C725" s="114">
        <v>355.17399999999998</v>
      </c>
      <c r="D725" s="114">
        <v>355.17399999999998</v>
      </c>
      <c r="E725" s="114">
        <v>540.26</v>
      </c>
      <c r="F725" s="114">
        <v>0</v>
      </c>
      <c r="G725" s="114">
        <v>0</v>
      </c>
      <c r="H725" s="114">
        <v>0</v>
      </c>
      <c r="I725" s="114">
        <v>0</v>
      </c>
      <c r="J725" s="134">
        <v>174684561</v>
      </c>
      <c r="K725" s="134">
        <v>174684561</v>
      </c>
    </row>
    <row r="726" spans="1:11">
      <c r="A726" t="s">
        <v>575</v>
      </c>
      <c r="B726" t="s">
        <v>339</v>
      </c>
      <c r="C726" s="114">
        <v>815.27599999999995</v>
      </c>
      <c r="D726" s="114">
        <v>815.27599999999995</v>
      </c>
      <c r="E726" s="114">
        <v>1276.3989999999999</v>
      </c>
      <c r="F726" s="114">
        <v>0</v>
      </c>
      <c r="G726" s="134">
        <v>96605</v>
      </c>
      <c r="H726" s="134">
        <v>92184</v>
      </c>
      <c r="I726" s="114">
        <v>0</v>
      </c>
      <c r="J726" s="134">
        <v>108502870</v>
      </c>
      <c r="K726" s="134">
        <v>108502870</v>
      </c>
    </row>
    <row r="727" spans="1:11">
      <c r="A727" t="s">
        <v>2754</v>
      </c>
      <c r="B727" t="s">
        <v>1257</v>
      </c>
      <c r="C727" s="114">
        <v>5207.5630000000001</v>
      </c>
      <c r="D727" s="114">
        <v>5207.5630000000001</v>
      </c>
      <c r="E727" s="114">
        <v>6929.2470000000003</v>
      </c>
      <c r="F727" s="114">
        <v>0</v>
      </c>
      <c r="G727" s="134">
        <v>3203040</v>
      </c>
      <c r="H727" s="134">
        <v>2338312</v>
      </c>
      <c r="I727" s="134">
        <v>800473</v>
      </c>
      <c r="J727" s="134">
        <v>1248049486</v>
      </c>
      <c r="K727" s="134">
        <v>1248049486</v>
      </c>
    </row>
    <row r="728" spans="1:11">
      <c r="A728" t="s">
        <v>2761</v>
      </c>
      <c r="B728" t="s">
        <v>3060</v>
      </c>
      <c r="C728" s="114">
        <v>400.63600000000002</v>
      </c>
      <c r="D728" s="114">
        <v>400.63600000000002</v>
      </c>
      <c r="E728" s="114">
        <v>664.38699999999994</v>
      </c>
      <c r="F728" s="114">
        <v>0</v>
      </c>
      <c r="G728" s="134">
        <v>235886</v>
      </c>
      <c r="H728" s="134">
        <v>2473</v>
      </c>
      <c r="I728" s="134">
        <v>96631</v>
      </c>
      <c r="J728" s="134">
        <v>80165639</v>
      </c>
      <c r="K728" s="134">
        <v>80165639</v>
      </c>
    </row>
    <row r="729" spans="1:11">
      <c r="A729" t="s">
        <v>20</v>
      </c>
      <c r="B729" t="s">
        <v>340</v>
      </c>
      <c r="C729" s="114">
        <v>315.77100000000002</v>
      </c>
      <c r="D729" s="114">
        <v>315.77100000000002</v>
      </c>
      <c r="E729" s="114">
        <v>523.19299999999998</v>
      </c>
      <c r="F729" s="114">
        <v>0</v>
      </c>
      <c r="G729" s="134">
        <v>71449</v>
      </c>
      <c r="H729" s="134">
        <v>52663</v>
      </c>
      <c r="I729" s="114">
        <v>0</v>
      </c>
      <c r="J729" s="134">
        <v>58048196</v>
      </c>
      <c r="K729" s="134">
        <v>58048196</v>
      </c>
    </row>
    <row r="730" spans="1:11">
      <c r="A730" t="s">
        <v>804</v>
      </c>
      <c r="B730" t="s">
        <v>2877</v>
      </c>
      <c r="C730" s="114">
        <v>632.12400000000002</v>
      </c>
      <c r="D730" s="114">
        <v>632.12400000000002</v>
      </c>
      <c r="E730" s="114">
        <v>1062.51</v>
      </c>
      <c r="F730" s="114">
        <v>0</v>
      </c>
      <c r="G730" s="134">
        <v>168060</v>
      </c>
      <c r="H730" s="114">
        <v>0</v>
      </c>
      <c r="I730" s="134">
        <v>133069</v>
      </c>
      <c r="J730" s="134">
        <v>174154802</v>
      </c>
      <c r="K730" s="134">
        <v>174154802</v>
      </c>
    </row>
    <row r="731" spans="1:11">
      <c r="A731" t="s">
        <v>21</v>
      </c>
      <c r="B731" t="s">
        <v>341</v>
      </c>
      <c r="C731" s="114">
        <v>660.22199999999998</v>
      </c>
      <c r="D731" s="114">
        <v>660.22199999999998</v>
      </c>
      <c r="E731" s="114">
        <v>1023.47</v>
      </c>
      <c r="F731" s="114">
        <v>0</v>
      </c>
      <c r="G731" s="134">
        <v>954914</v>
      </c>
      <c r="H731" s="134">
        <v>337244</v>
      </c>
      <c r="I731" s="114">
        <v>0</v>
      </c>
      <c r="J731" s="134">
        <v>301191818</v>
      </c>
      <c r="K731" s="134">
        <v>301191818</v>
      </c>
    </row>
    <row r="732" spans="1:11">
      <c r="A732" t="s">
        <v>2383</v>
      </c>
      <c r="B732" t="s">
        <v>93</v>
      </c>
      <c r="C732" s="114">
        <v>738.62599999999998</v>
      </c>
      <c r="D732" s="114">
        <v>738.62599999999998</v>
      </c>
      <c r="E732" s="114">
        <v>1160.7629999999999</v>
      </c>
      <c r="F732" s="114">
        <v>0</v>
      </c>
      <c r="G732" s="134">
        <v>283897</v>
      </c>
      <c r="H732" s="134">
        <v>69196</v>
      </c>
      <c r="I732" s="134">
        <v>68862</v>
      </c>
      <c r="J732" s="134">
        <v>72292156</v>
      </c>
      <c r="K732" s="134">
        <v>72292156</v>
      </c>
    </row>
    <row r="733" spans="1:11">
      <c r="A733" t="s">
        <v>22</v>
      </c>
      <c r="B733" t="s">
        <v>342</v>
      </c>
      <c r="C733" s="114">
        <v>285.33</v>
      </c>
      <c r="D733" s="114">
        <v>288.61700000000002</v>
      </c>
      <c r="E733" s="114">
        <v>586.54700000000003</v>
      </c>
      <c r="F733" s="114">
        <v>0</v>
      </c>
      <c r="G733" s="134">
        <v>244029</v>
      </c>
      <c r="H733" s="134">
        <v>249494</v>
      </c>
      <c r="I733" s="114">
        <v>0</v>
      </c>
      <c r="J733" s="134">
        <v>135633159</v>
      </c>
      <c r="K733" s="134">
        <v>135633159</v>
      </c>
    </row>
    <row r="734" spans="1:11">
      <c r="A734" t="s">
        <v>1159</v>
      </c>
      <c r="B734" t="s">
        <v>2609</v>
      </c>
      <c r="C734" s="114">
        <v>1079.624</v>
      </c>
      <c r="D734" s="114">
        <v>1174.087</v>
      </c>
      <c r="E734" s="114">
        <v>1873.8610000000001</v>
      </c>
      <c r="F734" s="114">
        <v>0</v>
      </c>
      <c r="G734" s="134">
        <v>372116</v>
      </c>
      <c r="H734" s="134">
        <v>215403</v>
      </c>
      <c r="I734" s="134">
        <v>186474</v>
      </c>
      <c r="J734" s="134">
        <v>205013998</v>
      </c>
      <c r="K734" s="134">
        <v>205013998</v>
      </c>
    </row>
    <row r="735" spans="1:11">
      <c r="A735" t="s">
        <v>2268</v>
      </c>
      <c r="B735" t="s">
        <v>3067</v>
      </c>
      <c r="C735" s="114">
        <v>644.09400000000005</v>
      </c>
      <c r="D735" s="114">
        <v>644.09400000000005</v>
      </c>
      <c r="E735" s="114">
        <v>1004.357</v>
      </c>
      <c r="F735" s="114">
        <v>0</v>
      </c>
      <c r="G735" s="134">
        <v>1013156</v>
      </c>
      <c r="H735" s="134">
        <v>648837</v>
      </c>
      <c r="I735" s="134">
        <v>173765</v>
      </c>
      <c r="J735" s="134">
        <v>376437041</v>
      </c>
      <c r="K735" s="134">
        <v>376437041</v>
      </c>
    </row>
    <row r="736" spans="1:11">
      <c r="A736" t="s">
        <v>1736</v>
      </c>
      <c r="B736" t="s">
        <v>664</v>
      </c>
      <c r="C736" s="114">
        <v>310.36799999999999</v>
      </c>
      <c r="D736" s="114">
        <v>310.36799999999999</v>
      </c>
      <c r="E736" s="114">
        <v>540.44899999999996</v>
      </c>
      <c r="F736" s="114">
        <v>0</v>
      </c>
      <c r="G736" s="134">
        <v>114618</v>
      </c>
      <c r="H736" s="134">
        <v>3717</v>
      </c>
      <c r="I736" s="134">
        <v>47137</v>
      </c>
      <c r="J736" s="134">
        <v>65991324</v>
      </c>
      <c r="K736" s="134">
        <v>65991324</v>
      </c>
    </row>
    <row r="737" spans="1:11">
      <c r="A737" t="s">
        <v>2145</v>
      </c>
      <c r="B737" t="s">
        <v>343</v>
      </c>
      <c r="C737" s="114">
        <v>2112.1819999999998</v>
      </c>
      <c r="D737" s="114">
        <v>2112.1819999999998</v>
      </c>
      <c r="E737" s="114">
        <v>3011.7</v>
      </c>
      <c r="F737" s="114">
        <v>0</v>
      </c>
      <c r="G737" s="134">
        <v>964252</v>
      </c>
      <c r="H737" s="134">
        <v>178985</v>
      </c>
      <c r="I737" s="114">
        <v>0</v>
      </c>
      <c r="J737" s="134">
        <v>436899892</v>
      </c>
      <c r="K737" s="134">
        <v>436899892</v>
      </c>
    </row>
    <row r="738" spans="1:11">
      <c r="A738" t="s">
        <v>2637</v>
      </c>
      <c r="B738" t="s">
        <v>2657</v>
      </c>
      <c r="C738" s="114">
        <v>147.52799999999999</v>
      </c>
      <c r="D738" s="114">
        <v>147.52799999999999</v>
      </c>
      <c r="E738" s="114">
        <v>295.55599999999998</v>
      </c>
      <c r="F738" s="114">
        <v>0</v>
      </c>
      <c r="G738" s="134">
        <v>887520</v>
      </c>
      <c r="H738" s="134">
        <v>1736888</v>
      </c>
      <c r="I738" s="114">
        <v>0</v>
      </c>
      <c r="J738" s="134">
        <v>843549532</v>
      </c>
      <c r="K738" s="134">
        <v>843549532</v>
      </c>
    </row>
    <row r="739" spans="1:11">
      <c r="A739" t="s">
        <v>464</v>
      </c>
      <c r="B739" t="s">
        <v>345</v>
      </c>
      <c r="C739" s="114">
        <v>191.54599999999999</v>
      </c>
      <c r="D739" s="114">
        <v>195.82</v>
      </c>
      <c r="E739" s="114">
        <v>331.18700000000001</v>
      </c>
      <c r="F739" s="114">
        <v>0</v>
      </c>
      <c r="G739" s="134">
        <v>1198973</v>
      </c>
      <c r="H739" s="134">
        <v>187302</v>
      </c>
      <c r="I739" s="114">
        <v>0</v>
      </c>
      <c r="J739" s="134">
        <v>163707036</v>
      </c>
      <c r="K739" s="134">
        <v>163707036</v>
      </c>
    </row>
    <row r="740" spans="1:11">
      <c r="A740" t="s">
        <v>2858</v>
      </c>
      <c r="B740" t="s">
        <v>346</v>
      </c>
      <c r="C740" s="114">
        <v>344.613</v>
      </c>
      <c r="D740" s="114">
        <v>344.613</v>
      </c>
      <c r="E740" s="114">
        <v>563.55899999999997</v>
      </c>
      <c r="F740" s="114">
        <v>0</v>
      </c>
      <c r="G740" s="134">
        <v>263941</v>
      </c>
      <c r="H740" s="134">
        <v>244760</v>
      </c>
      <c r="I740" s="114">
        <v>0</v>
      </c>
      <c r="J740" s="134">
        <v>104652241</v>
      </c>
      <c r="K740" s="134">
        <v>104652241</v>
      </c>
    </row>
    <row r="741" spans="1:11">
      <c r="A741" t="s">
        <v>1337</v>
      </c>
      <c r="B741" t="s">
        <v>2658</v>
      </c>
      <c r="C741" s="114">
        <v>1116.95</v>
      </c>
      <c r="D741" s="114">
        <v>1116.95</v>
      </c>
      <c r="E741" s="114">
        <v>1614.367</v>
      </c>
      <c r="F741" s="114">
        <v>0</v>
      </c>
      <c r="G741" s="134">
        <v>1325066</v>
      </c>
      <c r="H741" s="134">
        <v>731402</v>
      </c>
      <c r="I741" s="114">
        <v>0</v>
      </c>
      <c r="J741" s="134">
        <v>463244234</v>
      </c>
      <c r="K741" s="134">
        <v>463244234</v>
      </c>
    </row>
    <row r="742" spans="1:11">
      <c r="A742" t="s">
        <v>1338</v>
      </c>
      <c r="B742" t="s">
        <v>348</v>
      </c>
      <c r="C742" s="114">
        <v>3599.7689999999998</v>
      </c>
      <c r="D742" s="114">
        <v>3599.7689999999998</v>
      </c>
      <c r="E742" s="114">
        <v>4667.8519999999999</v>
      </c>
      <c r="F742" s="114">
        <v>0</v>
      </c>
      <c r="G742" s="134">
        <v>2759988</v>
      </c>
      <c r="H742" s="134">
        <v>759753</v>
      </c>
      <c r="I742" s="114">
        <v>0</v>
      </c>
      <c r="J742" s="134">
        <v>1155765747</v>
      </c>
      <c r="K742" s="134">
        <v>1155765747</v>
      </c>
    </row>
    <row r="743" spans="1:11">
      <c r="A743" t="s">
        <v>2753</v>
      </c>
      <c r="B743" t="s">
        <v>1256</v>
      </c>
      <c r="C743" s="114">
        <v>35481.934999999998</v>
      </c>
      <c r="D743" s="114">
        <v>35481.934999999998</v>
      </c>
      <c r="E743" s="114">
        <v>47097.383999999998</v>
      </c>
      <c r="F743" s="114">
        <v>0</v>
      </c>
      <c r="G743" s="134">
        <v>12095598</v>
      </c>
      <c r="H743" s="134">
        <v>4536824</v>
      </c>
      <c r="I743" s="134">
        <v>4375123</v>
      </c>
      <c r="J743" s="134">
        <v>9707188759</v>
      </c>
      <c r="K743" s="134">
        <v>9707188759</v>
      </c>
    </row>
    <row r="744" spans="1:11">
      <c r="A744" t="s">
        <v>619</v>
      </c>
      <c r="B744" t="s">
        <v>349</v>
      </c>
      <c r="C744" s="114">
        <v>243.227</v>
      </c>
      <c r="D744" s="114">
        <v>243.227</v>
      </c>
      <c r="E744" s="114">
        <v>430.08199999999999</v>
      </c>
      <c r="F744" s="114">
        <v>0</v>
      </c>
      <c r="G744" s="134">
        <v>293940</v>
      </c>
      <c r="H744" s="134">
        <v>342848</v>
      </c>
      <c r="I744" s="114">
        <v>0</v>
      </c>
      <c r="J744" s="134">
        <v>118223476</v>
      </c>
      <c r="K744" s="134">
        <v>118223476</v>
      </c>
    </row>
    <row r="745" spans="1:11">
      <c r="A745" t="s">
        <v>632</v>
      </c>
      <c r="B745" t="s">
        <v>350</v>
      </c>
      <c r="C745" s="114">
        <v>258.23200000000003</v>
      </c>
      <c r="D745" s="114">
        <v>258.23200000000003</v>
      </c>
      <c r="E745" s="114">
        <v>397.18400000000003</v>
      </c>
      <c r="F745" s="114">
        <v>0</v>
      </c>
      <c r="G745" s="134">
        <v>720127</v>
      </c>
      <c r="H745" s="134">
        <v>336360</v>
      </c>
      <c r="I745" s="114">
        <v>0</v>
      </c>
      <c r="J745" s="134">
        <v>205215027</v>
      </c>
      <c r="K745" s="134">
        <v>205215027</v>
      </c>
    </row>
    <row r="746" spans="1:11">
      <c r="A746" t="s">
        <v>633</v>
      </c>
      <c r="B746" t="s">
        <v>351</v>
      </c>
      <c r="C746" s="114">
        <v>492.59899999999999</v>
      </c>
      <c r="D746" s="114">
        <v>492.59899999999999</v>
      </c>
      <c r="E746" s="114">
        <v>746.11300000000006</v>
      </c>
      <c r="F746" s="114">
        <v>0</v>
      </c>
      <c r="G746" s="134">
        <v>848358</v>
      </c>
      <c r="H746" s="134">
        <v>1416047</v>
      </c>
      <c r="I746" s="114">
        <v>0</v>
      </c>
      <c r="J746" s="134">
        <v>1672582362</v>
      </c>
      <c r="K746" s="134">
        <v>1672582362</v>
      </c>
    </row>
    <row r="747" spans="1:11">
      <c r="A747" t="s">
        <v>191</v>
      </c>
      <c r="B747" t="s">
        <v>3098</v>
      </c>
      <c r="C747" s="114">
        <v>3047.0729999999999</v>
      </c>
      <c r="D747" s="114">
        <v>3094.471</v>
      </c>
      <c r="E747" s="114">
        <v>4693.2470000000003</v>
      </c>
      <c r="F747" s="114">
        <v>0</v>
      </c>
      <c r="G747" s="134">
        <v>633506</v>
      </c>
      <c r="H747" s="134">
        <v>347002</v>
      </c>
      <c r="I747" s="134">
        <v>567902</v>
      </c>
      <c r="J747" s="134">
        <v>276227370</v>
      </c>
      <c r="K747" s="134">
        <v>276227370</v>
      </c>
    </row>
    <row r="748" spans="1:11">
      <c r="A748" t="s">
        <v>869</v>
      </c>
      <c r="B748" t="s">
        <v>352</v>
      </c>
      <c r="C748" s="114">
        <v>3202.5050000000001</v>
      </c>
      <c r="D748" s="114">
        <v>3202.5050000000001</v>
      </c>
      <c r="E748" s="114">
        <v>4376.7560000000003</v>
      </c>
      <c r="F748" s="114">
        <v>0</v>
      </c>
      <c r="G748" s="134">
        <v>4055454</v>
      </c>
      <c r="H748" s="134">
        <v>3289009</v>
      </c>
      <c r="I748" s="114">
        <v>0</v>
      </c>
      <c r="J748" s="134">
        <v>1298785095</v>
      </c>
      <c r="K748" s="134">
        <v>1298785095</v>
      </c>
    </row>
    <row r="749" spans="1:11">
      <c r="A749" t="s">
        <v>1087</v>
      </c>
      <c r="B749" t="s">
        <v>353</v>
      </c>
      <c r="C749" s="114">
        <v>783.11199999999997</v>
      </c>
      <c r="D749" s="114">
        <v>783.11199999999997</v>
      </c>
      <c r="E749" s="114">
        <v>1269.153</v>
      </c>
      <c r="F749" s="114">
        <v>0</v>
      </c>
      <c r="G749" s="134">
        <v>864749</v>
      </c>
      <c r="H749" s="134">
        <v>569387</v>
      </c>
      <c r="I749" s="134">
        <v>112186</v>
      </c>
      <c r="J749" s="134">
        <v>196340220</v>
      </c>
      <c r="K749" s="134">
        <v>196340220</v>
      </c>
    </row>
    <row r="750" spans="1:11">
      <c r="A750" t="s">
        <v>2452</v>
      </c>
      <c r="B750" t="s">
        <v>354</v>
      </c>
      <c r="C750" s="114">
        <v>5216.6949999999997</v>
      </c>
      <c r="D750" s="114">
        <v>5216.6949999999997</v>
      </c>
      <c r="E750" s="114">
        <v>6611.0569999999998</v>
      </c>
      <c r="F750" s="114">
        <v>0</v>
      </c>
      <c r="G750" s="134">
        <v>624451</v>
      </c>
      <c r="H750" s="134">
        <v>684445</v>
      </c>
      <c r="I750" s="114">
        <v>0</v>
      </c>
      <c r="J750" s="134">
        <v>2006404665</v>
      </c>
      <c r="K750" s="134">
        <v>2006404665</v>
      </c>
    </row>
    <row r="751" spans="1:11">
      <c r="A751" t="s">
        <v>2453</v>
      </c>
      <c r="B751" t="s">
        <v>355</v>
      </c>
      <c r="C751" s="114">
        <v>1907.4010000000001</v>
      </c>
      <c r="D751" s="114">
        <v>1907.4010000000001</v>
      </c>
      <c r="E751" s="114">
        <v>2933.6379999999999</v>
      </c>
      <c r="F751" s="114">
        <v>0</v>
      </c>
      <c r="G751" s="134">
        <v>1475085</v>
      </c>
      <c r="H751" s="134">
        <v>1257993</v>
      </c>
      <c r="I751" s="114">
        <v>0</v>
      </c>
      <c r="J751" s="134">
        <v>494205548</v>
      </c>
      <c r="K751" s="134">
        <v>494205548</v>
      </c>
    </row>
    <row r="752" spans="1:11">
      <c r="A752" t="s">
        <v>237</v>
      </c>
      <c r="B752" t="s">
        <v>1123</v>
      </c>
      <c r="C752" s="114">
        <v>2062.7579999999998</v>
      </c>
      <c r="D752" s="114">
        <v>2062.7579999999998</v>
      </c>
      <c r="E752" s="114">
        <v>2826.5680000000002</v>
      </c>
      <c r="F752" s="114">
        <v>0</v>
      </c>
      <c r="G752" s="134">
        <v>545938</v>
      </c>
      <c r="H752" s="134">
        <v>109090</v>
      </c>
      <c r="I752" s="134">
        <v>477623</v>
      </c>
      <c r="J752" s="134">
        <v>761863644</v>
      </c>
      <c r="K752" s="134">
        <v>761863644</v>
      </c>
    </row>
    <row r="753" spans="1:11">
      <c r="A753" t="s">
        <v>1097</v>
      </c>
      <c r="B753" t="s">
        <v>356</v>
      </c>
      <c r="C753" s="114">
        <v>272.86399999999998</v>
      </c>
      <c r="D753" s="114">
        <v>272.86399999999998</v>
      </c>
      <c r="E753" s="114">
        <v>523.30899999999997</v>
      </c>
      <c r="F753" s="114">
        <v>0</v>
      </c>
      <c r="G753" s="114">
        <v>0</v>
      </c>
      <c r="H753" s="114">
        <v>0</v>
      </c>
      <c r="I753" s="114">
        <v>0</v>
      </c>
      <c r="J753" s="134">
        <v>102491729</v>
      </c>
      <c r="K753" s="134">
        <v>102491729</v>
      </c>
    </row>
    <row r="754" spans="1:11">
      <c r="A754" t="s">
        <v>1098</v>
      </c>
      <c r="B754" t="s">
        <v>357</v>
      </c>
      <c r="C754" s="114">
        <v>116.741</v>
      </c>
      <c r="D754" s="114">
        <v>116.741</v>
      </c>
      <c r="E754" s="114">
        <v>282.82600000000002</v>
      </c>
      <c r="F754" s="114">
        <v>0</v>
      </c>
      <c r="G754" s="114">
        <v>0</v>
      </c>
      <c r="H754" s="114">
        <v>0</v>
      </c>
      <c r="I754" s="114">
        <v>0</v>
      </c>
      <c r="J754" s="134">
        <v>36200633</v>
      </c>
      <c r="K754" s="134">
        <v>36200633</v>
      </c>
    </row>
    <row r="755" spans="1:11">
      <c r="A755" t="s">
        <v>1099</v>
      </c>
      <c r="B755" t="s">
        <v>358</v>
      </c>
      <c r="C755" s="114">
        <v>83.075999999999993</v>
      </c>
      <c r="D755" s="114">
        <v>83.075999999999993</v>
      </c>
      <c r="E755" s="114">
        <v>133.00899999999999</v>
      </c>
      <c r="F755" s="114">
        <v>0</v>
      </c>
      <c r="G755" s="114">
        <v>0</v>
      </c>
      <c r="H755" s="114">
        <v>0</v>
      </c>
      <c r="I755" s="114">
        <v>0</v>
      </c>
      <c r="J755" s="134">
        <v>34687390</v>
      </c>
      <c r="K755" s="134">
        <v>34687390</v>
      </c>
    </row>
    <row r="756" spans="1:11">
      <c r="A756" t="s">
        <v>2225</v>
      </c>
      <c r="B756" t="s">
        <v>2121</v>
      </c>
      <c r="C756" s="114">
        <v>2256.8310000000001</v>
      </c>
      <c r="D756" s="114">
        <v>2443.3310000000001</v>
      </c>
      <c r="E756" s="114">
        <v>3158.7739999999999</v>
      </c>
      <c r="F756" s="114">
        <v>0</v>
      </c>
      <c r="G756" s="134">
        <v>1274279</v>
      </c>
      <c r="H756" s="134">
        <v>630327</v>
      </c>
      <c r="I756" s="134">
        <v>319874</v>
      </c>
      <c r="J756" s="134">
        <v>675751560</v>
      </c>
      <c r="K756" s="134">
        <v>441579985</v>
      </c>
    </row>
    <row r="757" spans="1:11">
      <c r="A757" t="s">
        <v>1100</v>
      </c>
      <c r="B757" t="s">
        <v>359</v>
      </c>
      <c r="C757" s="114">
        <v>1618.4179999999999</v>
      </c>
      <c r="D757" s="114">
        <v>1618.4179999999999</v>
      </c>
      <c r="E757" s="114">
        <v>2174.7339999999999</v>
      </c>
      <c r="F757" s="114">
        <v>0</v>
      </c>
      <c r="G757" s="134">
        <v>412899</v>
      </c>
      <c r="H757" s="134">
        <v>377936</v>
      </c>
      <c r="I757" s="114">
        <v>0</v>
      </c>
      <c r="J757" s="134">
        <v>307190283</v>
      </c>
      <c r="K757" s="134">
        <v>307190283</v>
      </c>
    </row>
    <row r="758" spans="1:11">
      <c r="A758" t="s">
        <v>1101</v>
      </c>
      <c r="B758" t="s">
        <v>2659</v>
      </c>
      <c r="C758" s="114">
        <v>2254.9749999999999</v>
      </c>
      <c r="D758" s="114">
        <v>2387.8249999999998</v>
      </c>
      <c r="E758" s="114">
        <v>3245.3960000000002</v>
      </c>
      <c r="F758" s="114">
        <v>0</v>
      </c>
      <c r="G758" s="134">
        <v>3235711</v>
      </c>
      <c r="H758" s="134">
        <v>1122468</v>
      </c>
      <c r="I758" s="114">
        <v>0</v>
      </c>
      <c r="J758" s="134">
        <v>1470984644</v>
      </c>
      <c r="K758" s="134">
        <v>1370140981</v>
      </c>
    </row>
    <row r="759" spans="1:11">
      <c r="A759" t="s">
        <v>1655</v>
      </c>
      <c r="B759" t="s">
        <v>156</v>
      </c>
      <c r="C759" s="114">
        <v>4503.6499999999996</v>
      </c>
      <c r="D759" s="114">
        <v>4531.268</v>
      </c>
      <c r="E759" s="114">
        <v>6326.5079999999998</v>
      </c>
      <c r="F759" s="114">
        <v>0</v>
      </c>
      <c r="G759" s="134">
        <v>630010</v>
      </c>
      <c r="H759" s="134">
        <v>100888</v>
      </c>
      <c r="I759" s="134">
        <v>492394</v>
      </c>
      <c r="J759" s="134">
        <v>616934874</v>
      </c>
      <c r="K759" s="134">
        <v>616934874</v>
      </c>
    </row>
    <row r="760" spans="1:11">
      <c r="A760" t="s">
        <v>1248</v>
      </c>
      <c r="B760" t="s">
        <v>361</v>
      </c>
      <c r="C760" s="114">
        <v>3402.78</v>
      </c>
      <c r="D760" s="114">
        <v>3475.88</v>
      </c>
      <c r="E760" s="114">
        <v>4568.2240000000002</v>
      </c>
      <c r="F760" s="114">
        <v>0</v>
      </c>
      <c r="G760" s="134">
        <v>828029</v>
      </c>
      <c r="H760" s="134">
        <v>738202</v>
      </c>
      <c r="I760" s="114">
        <v>0</v>
      </c>
      <c r="J760" s="134">
        <v>714684610</v>
      </c>
      <c r="K760" s="134">
        <v>714684610</v>
      </c>
    </row>
    <row r="761" spans="1:11">
      <c r="A761" t="s">
        <v>1249</v>
      </c>
      <c r="B761" t="s">
        <v>362</v>
      </c>
      <c r="C761" s="114">
        <v>168.126</v>
      </c>
      <c r="D761" s="114">
        <v>176.36699999999999</v>
      </c>
      <c r="E761" s="114">
        <v>303.46699999999998</v>
      </c>
      <c r="F761" s="114">
        <v>0</v>
      </c>
      <c r="G761" s="134">
        <v>78908</v>
      </c>
      <c r="H761" s="134">
        <v>108154</v>
      </c>
      <c r="I761" s="114">
        <v>0</v>
      </c>
      <c r="J761" s="134">
        <v>92276284</v>
      </c>
      <c r="K761" s="134">
        <v>92276284</v>
      </c>
    </row>
    <row r="762" spans="1:11">
      <c r="A762" t="s">
        <v>1250</v>
      </c>
      <c r="B762" t="s">
        <v>363</v>
      </c>
      <c r="C762" s="114">
        <v>293.37200000000001</v>
      </c>
      <c r="D762" s="114">
        <v>293.37200000000001</v>
      </c>
      <c r="E762" s="114">
        <v>497.29599999999999</v>
      </c>
      <c r="F762" s="114">
        <v>0</v>
      </c>
      <c r="G762" s="134">
        <v>197378</v>
      </c>
      <c r="H762" s="134">
        <v>289435</v>
      </c>
      <c r="I762" s="114">
        <v>0</v>
      </c>
      <c r="J762" s="134">
        <v>476058528</v>
      </c>
      <c r="K762" s="134">
        <v>476058528</v>
      </c>
    </row>
    <row r="763" spans="1:11">
      <c r="A763" t="s">
        <v>2902</v>
      </c>
      <c r="B763" t="s">
        <v>2559</v>
      </c>
      <c r="C763" s="114">
        <v>3355.2689999999998</v>
      </c>
      <c r="D763" s="114">
        <v>3355.2689999999998</v>
      </c>
      <c r="E763" s="114">
        <v>4647.076</v>
      </c>
      <c r="F763" s="114">
        <v>0</v>
      </c>
      <c r="G763" s="134">
        <v>1457410</v>
      </c>
      <c r="H763" s="134">
        <v>1024423</v>
      </c>
      <c r="I763" s="134">
        <v>401080</v>
      </c>
      <c r="J763" s="134">
        <v>609522591</v>
      </c>
      <c r="K763" s="134">
        <v>609522591</v>
      </c>
    </row>
    <row r="764" spans="1:11">
      <c r="A764" t="s">
        <v>1529</v>
      </c>
      <c r="B764" t="s">
        <v>364</v>
      </c>
      <c r="C764" s="114">
        <v>459.56200000000001</v>
      </c>
      <c r="D764" s="114">
        <v>459.56200000000001</v>
      </c>
      <c r="E764" s="114">
        <v>718.29600000000005</v>
      </c>
      <c r="F764" s="114">
        <v>0</v>
      </c>
      <c r="G764" s="134">
        <v>363579</v>
      </c>
      <c r="H764" s="134">
        <v>393292</v>
      </c>
      <c r="I764" s="114">
        <v>0</v>
      </c>
      <c r="J764" s="134">
        <v>209509565</v>
      </c>
      <c r="K764" s="134">
        <v>209509565</v>
      </c>
    </row>
    <row r="765" spans="1:11">
      <c r="A765" t="s">
        <v>1530</v>
      </c>
      <c r="B765" t="s">
        <v>365</v>
      </c>
      <c r="C765" s="114">
        <v>177.41300000000001</v>
      </c>
      <c r="D765" s="114">
        <v>177.41300000000001</v>
      </c>
      <c r="E765" s="114">
        <v>308.75099999999998</v>
      </c>
      <c r="F765" s="114">
        <v>0</v>
      </c>
      <c r="G765" s="114">
        <v>0</v>
      </c>
      <c r="H765" s="114">
        <v>0</v>
      </c>
      <c r="I765" s="114">
        <v>0</v>
      </c>
      <c r="J765" s="134">
        <v>70411377</v>
      </c>
      <c r="K765" s="134">
        <v>70411377</v>
      </c>
    </row>
    <row r="766" spans="1:11">
      <c r="A766" t="s">
        <v>1531</v>
      </c>
      <c r="B766" t="s">
        <v>471</v>
      </c>
      <c r="C766" s="114">
        <v>69.632000000000005</v>
      </c>
      <c r="D766" s="114">
        <v>69.632000000000005</v>
      </c>
      <c r="E766" s="114">
        <v>122.788</v>
      </c>
      <c r="F766" s="114">
        <v>0</v>
      </c>
      <c r="G766" s="134">
        <v>90893</v>
      </c>
      <c r="H766" s="134">
        <v>110507</v>
      </c>
      <c r="I766" s="114">
        <v>0</v>
      </c>
      <c r="J766" s="134">
        <v>348393810</v>
      </c>
      <c r="K766" s="134">
        <v>348393810</v>
      </c>
    </row>
    <row r="767" spans="1:11">
      <c r="A767" t="s">
        <v>1532</v>
      </c>
      <c r="B767" t="s">
        <v>472</v>
      </c>
      <c r="C767" s="114">
        <v>569.16200000000003</v>
      </c>
      <c r="D767" s="114">
        <v>569.16200000000003</v>
      </c>
      <c r="E767" s="114">
        <v>884.14200000000005</v>
      </c>
      <c r="F767" s="114">
        <v>0</v>
      </c>
      <c r="G767" s="134">
        <v>2446833</v>
      </c>
      <c r="H767" s="134">
        <v>796688</v>
      </c>
      <c r="I767" s="114">
        <v>0</v>
      </c>
      <c r="J767" s="134">
        <v>701443954</v>
      </c>
      <c r="K767" s="134">
        <v>701443954</v>
      </c>
    </row>
    <row r="768" spans="1:11">
      <c r="A768" t="s">
        <v>1533</v>
      </c>
      <c r="B768" t="s">
        <v>473</v>
      </c>
      <c r="C768" s="114">
        <v>2547.0309999999999</v>
      </c>
      <c r="D768" s="114">
        <v>2547.0309999999999</v>
      </c>
      <c r="E768" s="114">
        <v>3162.2660000000001</v>
      </c>
      <c r="F768" s="114">
        <v>0</v>
      </c>
      <c r="G768" s="134">
        <v>8346416</v>
      </c>
      <c r="H768" s="134">
        <v>3135666</v>
      </c>
      <c r="I768" s="114">
        <v>0</v>
      </c>
      <c r="J768" s="134">
        <v>3075572362</v>
      </c>
      <c r="K768" s="134">
        <v>3075572362</v>
      </c>
    </row>
    <row r="769" spans="1:11">
      <c r="A769" t="s">
        <v>2974</v>
      </c>
      <c r="B769" t="s">
        <v>494</v>
      </c>
      <c r="C769" s="114">
        <v>324.09699999999998</v>
      </c>
      <c r="D769" s="114">
        <v>324.09699999999998</v>
      </c>
      <c r="E769" s="114">
        <v>541.95100000000002</v>
      </c>
      <c r="F769" s="114">
        <v>0</v>
      </c>
      <c r="G769" s="134">
        <v>501357</v>
      </c>
      <c r="H769" s="134">
        <v>103698</v>
      </c>
      <c r="I769" s="134">
        <v>100000</v>
      </c>
      <c r="J769" s="134">
        <v>232219635</v>
      </c>
      <c r="K769" s="134">
        <v>232219635</v>
      </c>
    </row>
    <row r="770" spans="1:11">
      <c r="A770" t="s">
        <v>805</v>
      </c>
      <c r="B770" t="s">
        <v>1130</v>
      </c>
      <c r="C770" s="114">
        <v>531.07799999999997</v>
      </c>
      <c r="D770" s="114">
        <v>531.07799999999997</v>
      </c>
      <c r="E770" s="114">
        <v>867.75599999999997</v>
      </c>
      <c r="F770" s="114">
        <v>0</v>
      </c>
      <c r="G770" s="134">
        <v>335426</v>
      </c>
      <c r="H770" s="134">
        <v>218128</v>
      </c>
      <c r="I770" s="134">
        <v>82526</v>
      </c>
      <c r="J770" s="134">
        <v>142132741</v>
      </c>
      <c r="K770" s="134">
        <v>142132741</v>
      </c>
    </row>
    <row r="771" spans="1:11">
      <c r="A771" t="s">
        <v>1703</v>
      </c>
      <c r="B771" t="s">
        <v>2211</v>
      </c>
      <c r="C771" s="114">
        <v>3287.67</v>
      </c>
      <c r="D771" s="114">
        <v>3287.67</v>
      </c>
      <c r="E771" s="114">
        <v>4383.8490000000002</v>
      </c>
      <c r="F771" s="114">
        <v>0</v>
      </c>
      <c r="G771" s="134">
        <v>2694253</v>
      </c>
      <c r="H771" s="134">
        <v>1075448</v>
      </c>
      <c r="I771" s="134">
        <v>986168</v>
      </c>
      <c r="J771" s="134">
        <v>744459095</v>
      </c>
      <c r="K771" s="134">
        <v>744459095</v>
      </c>
    </row>
    <row r="772" spans="1:11">
      <c r="A772" t="s">
        <v>1656</v>
      </c>
      <c r="B772" t="s">
        <v>161</v>
      </c>
      <c r="C772" s="114">
        <v>6957.63</v>
      </c>
      <c r="D772" s="114">
        <v>6957.63</v>
      </c>
      <c r="E772" s="114">
        <v>8645.2170000000006</v>
      </c>
      <c r="F772" s="114">
        <v>0</v>
      </c>
      <c r="G772" s="134">
        <v>11515608</v>
      </c>
      <c r="H772" s="134">
        <v>8086331</v>
      </c>
      <c r="I772" s="134">
        <v>240000</v>
      </c>
      <c r="J772" s="134">
        <v>2788389874</v>
      </c>
      <c r="K772" s="134">
        <v>2788389874</v>
      </c>
    </row>
    <row r="773" spans="1:11">
      <c r="A773" t="s">
        <v>2901</v>
      </c>
      <c r="B773" t="s">
        <v>2558</v>
      </c>
      <c r="C773" s="114">
        <v>695.05100000000004</v>
      </c>
      <c r="D773" s="114">
        <v>695.05100000000004</v>
      </c>
      <c r="E773" s="114">
        <v>1084.7619999999999</v>
      </c>
      <c r="F773" s="114">
        <v>0</v>
      </c>
      <c r="G773" s="134">
        <v>1296995</v>
      </c>
      <c r="H773" s="134">
        <v>435597</v>
      </c>
      <c r="I773" s="134">
        <v>344504</v>
      </c>
      <c r="J773" s="134">
        <v>232429839</v>
      </c>
      <c r="K773" s="134">
        <v>232429839</v>
      </c>
    </row>
    <row r="774" spans="1:11">
      <c r="A774" t="s">
        <v>1563</v>
      </c>
      <c r="B774" t="s">
        <v>474</v>
      </c>
      <c r="C774" s="114">
        <v>4372.2939999999999</v>
      </c>
      <c r="D774" s="114">
        <v>4372.2939999999999</v>
      </c>
      <c r="E774" s="114">
        <v>5044.3609999999999</v>
      </c>
      <c r="F774" s="114">
        <v>0</v>
      </c>
      <c r="G774" s="134">
        <v>9240461</v>
      </c>
      <c r="H774" s="134">
        <v>5474646</v>
      </c>
      <c r="I774" s="114">
        <v>0</v>
      </c>
      <c r="J774" s="134">
        <v>1887808995</v>
      </c>
      <c r="K774" s="134">
        <v>1887808995</v>
      </c>
    </row>
    <row r="775" spans="1:11">
      <c r="A775" t="s">
        <v>236</v>
      </c>
      <c r="B775" t="s">
        <v>2988</v>
      </c>
      <c r="C775" s="114">
        <v>1050.519</v>
      </c>
      <c r="D775" s="114">
        <v>1050.519</v>
      </c>
      <c r="E775" s="114">
        <v>1458.4110000000001</v>
      </c>
      <c r="F775" s="114">
        <v>0</v>
      </c>
      <c r="G775" s="134">
        <v>761708</v>
      </c>
      <c r="H775" s="134">
        <v>415481</v>
      </c>
      <c r="I775" s="134">
        <v>270388</v>
      </c>
      <c r="J775" s="134">
        <v>223974799</v>
      </c>
      <c r="K775" s="134">
        <v>223974799</v>
      </c>
    </row>
    <row r="776" spans="1:11">
      <c r="A776" t="s">
        <v>2144</v>
      </c>
      <c r="B776" t="s">
        <v>2122</v>
      </c>
      <c r="C776" s="114">
        <v>781.33900000000006</v>
      </c>
      <c r="D776" s="114">
        <v>781.33900000000006</v>
      </c>
      <c r="E776" s="114">
        <v>1104.6479999999999</v>
      </c>
      <c r="F776" s="114">
        <v>0</v>
      </c>
      <c r="G776" s="134">
        <v>1277774</v>
      </c>
      <c r="H776" s="134">
        <v>316103</v>
      </c>
      <c r="I776" s="134">
        <v>167169</v>
      </c>
      <c r="J776" s="134">
        <v>294009201</v>
      </c>
      <c r="K776" s="134">
        <v>294009201</v>
      </c>
    </row>
    <row r="777" spans="1:11">
      <c r="A777" t="s">
        <v>1834</v>
      </c>
      <c r="B777" t="s">
        <v>475</v>
      </c>
      <c r="C777" s="114">
        <v>177.57499999999999</v>
      </c>
      <c r="D777" s="114">
        <v>177.57499999999999</v>
      </c>
      <c r="E777" s="114">
        <v>301.62700000000001</v>
      </c>
      <c r="F777" s="114">
        <v>0</v>
      </c>
      <c r="G777" s="134">
        <v>85530</v>
      </c>
      <c r="H777" s="134">
        <v>182102</v>
      </c>
      <c r="I777" s="114">
        <v>0</v>
      </c>
      <c r="J777" s="134">
        <v>184262574</v>
      </c>
      <c r="K777" s="134">
        <v>184262574</v>
      </c>
    </row>
    <row r="778" spans="1:11">
      <c r="A778" t="s">
        <v>1835</v>
      </c>
      <c r="B778" t="s">
        <v>476</v>
      </c>
      <c r="C778" s="114">
        <v>450.75700000000001</v>
      </c>
      <c r="D778" s="114">
        <v>457.733</v>
      </c>
      <c r="E778" s="114">
        <v>776.02200000000005</v>
      </c>
      <c r="F778" s="114">
        <v>0</v>
      </c>
      <c r="G778" s="114">
        <v>0</v>
      </c>
      <c r="H778" s="114">
        <v>0</v>
      </c>
      <c r="I778" s="114">
        <v>0</v>
      </c>
      <c r="J778" s="134">
        <v>65409434</v>
      </c>
      <c r="K778" s="134">
        <v>65409434</v>
      </c>
    </row>
    <row r="779" spans="1:11">
      <c r="A779" t="s">
        <v>1836</v>
      </c>
      <c r="B779" t="s">
        <v>477</v>
      </c>
      <c r="C779" s="114">
        <v>489.73500000000001</v>
      </c>
      <c r="D779" s="114">
        <v>489.73500000000001</v>
      </c>
      <c r="E779" s="114">
        <v>779.16499999999996</v>
      </c>
      <c r="F779" s="114">
        <v>0</v>
      </c>
      <c r="G779" s="134">
        <v>63557</v>
      </c>
      <c r="H779" s="134">
        <v>74866</v>
      </c>
      <c r="I779" s="114">
        <v>0</v>
      </c>
      <c r="J779" s="134">
        <v>103300420</v>
      </c>
      <c r="K779" s="134">
        <v>103300420</v>
      </c>
    </row>
    <row r="780" spans="1:11">
      <c r="A780" t="s">
        <v>1837</v>
      </c>
      <c r="B780" t="s">
        <v>478</v>
      </c>
      <c r="C780" s="114">
        <v>1128.71</v>
      </c>
      <c r="D780" s="114">
        <v>1128.71</v>
      </c>
      <c r="E780" s="114">
        <v>1820.403</v>
      </c>
      <c r="F780" s="114">
        <v>0</v>
      </c>
      <c r="G780" s="114">
        <v>0</v>
      </c>
      <c r="H780" s="114">
        <v>0</v>
      </c>
      <c r="I780" s="114">
        <v>0</v>
      </c>
      <c r="J780" s="134">
        <v>274718484</v>
      </c>
      <c r="K780" s="134">
        <v>274718484</v>
      </c>
    </row>
    <row r="781" spans="1:11">
      <c r="A781" t="s">
        <v>1838</v>
      </c>
      <c r="B781" t="s">
        <v>479</v>
      </c>
      <c r="C781" s="114">
        <v>139.143</v>
      </c>
      <c r="D781" s="114">
        <v>139.143</v>
      </c>
      <c r="E781" s="114">
        <v>264.613</v>
      </c>
      <c r="F781" s="114">
        <v>0</v>
      </c>
      <c r="G781" s="114">
        <v>0</v>
      </c>
      <c r="H781" s="114">
        <v>0</v>
      </c>
      <c r="I781" s="114">
        <v>0</v>
      </c>
      <c r="J781" s="134">
        <v>51101537</v>
      </c>
      <c r="K781" s="134">
        <v>51101537</v>
      </c>
    </row>
    <row r="782" spans="1:11">
      <c r="A782" t="s">
        <v>2140</v>
      </c>
      <c r="B782" t="s">
        <v>480</v>
      </c>
      <c r="C782" s="114">
        <v>111.376</v>
      </c>
      <c r="D782" s="114">
        <v>137.345</v>
      </c>
      <c r="E782" s="114">
        <v>270.59399999999999</v>
      </c>
      <c r="F782" s="114">
        <v>0</v>
      </c>
      <c r="G782" s="114">
        <v>0</v>
      </c>
      <c r="H782" s="114">
        <v>0</v>
      </c>
      <c r="I782" s="114">
        <v>0</v>
      </c>
      <c r="J782" s="134">
        <v>240657158</v>
      </c>
      <c r="K782" s="134">
        <v>240657158</v>
      </c>
    </row>
    <row r="783" spans="1:11">
      <c r="A783" t="s">
        <v>2625</v>
      </c>
      <c r="B783" t="s">
        <v>2660</v>
      </c>
      <c r="C783" s="114">
        <v>2170.3290000000002</v>
      </c>
      <c r="D783" s="114">
        <v>2170.3290000000002</v>
      </c>
      <c r="E783" s="114">
        <v>2752.5129999999999</v>
      </c>
      <c r="F783" s="114">
        <v>0</v>
      </c>
      <c r="G783" s="134">
        <v>2490571</v>
      </c>
      <c r="H783" s="134">
        <v>1421892</v>
      </c>
      <c r="I783" s="114">
        <v>0</v>
      </c>
      <c r="J783" s="134">
        <v>1656474194</v>
      </c>
      <c r="K783" s="134">
        <v>1656474194</v>
      </c>
    </row>
    <row r="784" spans="1:11">
      <c r="A784" t="s">
        <v>2614</v>
      </c>
      <c r="B784" t="s">
        <v>482</v>
      </c>
      <c r="C784" s="114">
        <v>544.30499999999995</v>
      </c>
      <c r="D784" s="114">
        <v>544.30499999999995</v>
      </c>
      <c r="E784" s="114">
        <v>1147.4770000000001</v>
      </c>
      <c r="F784" s="114">
        <v>0</v>
      </c>
      <c r="G784" s="114">
        <v>0</v>
      </c>
      <c r="H784" s="114">
        <v>0</v>
      </c>
      <c r="I784" s="114">
        <v>0</v>
      </c>
      <c r="J784" s="134">
        <v>1326438630</v>
      </c>
      <c r="K784" s="134">
        <v>1326438630</v>
      </c>
    </row>
    <row r="785" spans="1:11">
      <c r="A785" t="s">
        <v>1477</v>
      </c>
      <c r="B785" t="s">
        <v>483</v>
      </c>
      <c r="C785" s="114">
        <v>464.75299999999999</v>
      </c>
      <c r="D785" s="114">
        <v>464.75299999999999</v>
      </c>
      <c r="E785" s="114">
        <v>753.32500000000005</v>
      </c>
      <c r="F785" s="114">
        <v>0</v>
      </c>
      <c r="G785" s="134">
        <v>219904</v>
      </c>
      <c r="H785" s="134">
        <v>238118</v>
      </c>
      <c r="I785" s="114">
        <v>0</v>
      </c>
      <c r="J785" s="134">
        <v>292966196</v>
      </c>
      <c r="K785" s="134">
        <v>292966196</v>
      </c>
    </row>
    <row r="786" spans="1:11">
      <c r="A786" t="s">
        <v>790</v>
      </c>
      <c r="B786" t="s">
        <v>484</v>
      </c>
      <c r="C786" s="114">
        <v>240.16399999999999</v>
      </c>
      <c r="D786" s="114">
        <v>240.16399999999999</v>
      </c>
      <c r="E786" s="114">
        <v>445.185</v>
      </c>
      <c r="F786" s="114">
        <v>0</v>
      </c>
      <c r="G786" s="114">
        <v>0</v>
      </c>
      <c r="H786" s="114">
        <v>0</v>
      </c>
      <c r="I786" s="114">
        <v>0</v>
      </c>
      <c r="J786" s="134">
        <v>85197359</v>
      </c>
      <c r="K786" s="134">
        <v>85197359</v>
      </c>
    </row>
    <row r="787" spans="1:11">
      <c r="A787" t="s">
        <v>2917</v>
      </c>
      <c r="B787" t="s">
        <v>485</v>
      </c>
      <c r="C787" s="114">
        <v>955.14099999999996</v>
      </c>
      <c r="D787" s="114">
        <v>961.38300000000004</v>
      </c>
      <c r="E787" s="114">
        <v>1544.153</v>
      </c>
      <c r="F787" s="114">
        <v>0</v>
      </c>
      <c r="G787" s="134">
        <v>311845</v>
      </c>
      <c r="H787" s="134">
        <v>298579</v>
      </c>
      <c r="I787" s="114">
        <v>0</v>
      </c>
      <c r="J787" s="134">
        <v>206395120</v>
      </c>
      <c r="K787" s="134">
        <v>206395120</v>
      </c>
    </row>
    <row r="788" spans="1:11">
      <c r="A788" t="s">
        <v>791</v>
      </c>
      <c r="B788" t="s">
        <v>486</v>
      </c>
      <c r="C788" s="114">
        <v>189.97300000000001</v>
      </c>
      <c r="D788" s="114">
        <v>195.77</v>
      </c>
      <c r="E788" s="114">
        <v>369.608</v>
      </c>
      <c r="F788" s="114">
        <v>0</v>
      </c>
      <c r="G788" s="134">
        <v>129625</v>
      </c>
      <c r="H788" s="134">
        <v>160779</v>
      </c>
      <c r="I788" s="114">
        <v>0</v>
      </c>
      <c r="J788" s="134">
        <v>97238527</v>
      </c>
      <c r="K788" s="134">
        <v>97238527</v>
      </c>
    </row>
    <row r="789" spans="1:11">
      <c r="A789" t="s">
        <v>1992</v>
      </c>
      <c r="B789" t="s">
        <v>2545</v>
      </c>
      <c r="C789" s="114">
        <v>3732.6439999999998</v>
      </c>
      <c r="D789" s="114">
        <v>3732.6439999999998</v>
      </c>
      <c r="E789" s="114">
        <v>5112.9639999999999</v>
      </c>
      <c r="F789" s="114">
        <v>0</v>
      </c>
      <c r="G789" s="134">
        <v>3653312</v>
      </c>
      <c r="H789" s="134">
        <v>14512</v>
      </c>
      <c r="I789" s="134">
        <v>1383358</v>
      </c>
      <c r="J789" s="134">
        <v>961817012</v>
      </c>
      <c r="K789" s="134">
        <v>961817012</v>
      </c>
    </row>
    <row r="790" spans="1:11">
      <c r="A790" t="s">
        <v>1380</v>
      </c>
      <c r="B790" t="s">
        <v>487</v>
      </c>
      <c r="C790" s="114">
        <v>845.15899999999999</v>
      </c>
      <c r="D790" s="114">
        <v>845.15899999999999</v>
      </c>
      <c r="E790" s="114">
        <v>1388.8219999999999</v>
      </c>
      <c r="F790" s="114">
        <v>0</v>
      </c>
      <c r="G790" s="134">
        <v>481213</v>
      </c>
      <c r="H790" s="134">
        <v>448718</v>
      </c>
      <c r="I790" s="114">
        <v>0</v>
      </c>
      <c r="J790" s="134">
        <v>275009484</v>
      </c>
      <c r="K790" s="134">
        <v>275009484</v>
      </c>
    </row>
    <row r="791" spans="1:11">
      <c r="A791" t="s">
        <v>1839</v>
      </c>
      <c r="B791" t="s">
        <v>1204</v>
      </c>
      <c r="C791" s="114">
        <v>28082.825000000001</v>
      </c>
      <c r="D791" s="114">
        <v>28082.825000000001</v>
      </c>
      <c r="E791" s="114">
        <v>36898.652000000002</v>
      </c>
      <c r="F791" s="114">
        <v>0</v>
      </c>
      <c r="G791" s="134">
        <v>6362659</v>
      </c>
      <c r="H791" s="134">
        <v>4786867</v>
      </c>
      <c r="I791" s="134">
        <v>1177143</v>
      </c>
      <c r="J791" s="134">
        <v>6663189259</v>
      </c>
      <c r="K791" s="134">
        <v>6663189259</v>
      </c>
    </row>
    <row r="792" spans="1:11">
      <c r="A792" t="s">
        <v>227</v>
      </c>
      <c r="B792" t="s">
        <v>3095</v>
      </c>
      <c r="C792" s="114">
        <v>1324.3579999999999</v>
      </c>
      <c r="D792" s="114">
        <v>1324.3579999999999</v>
      </c>
      <c r="E792" s="114">
        <v>1842.2739999999999</v>
      </c>
      <c r="F792" s="114">
        <v>0</v>
      </c>
      <c r="G792" s="134">
        <v>671552</v>
      </c>
      <c r="H792" s="134">
        <v>499360</v>
      </c>
      <c r="I792" s="134">
        <v>155153</v>
      </c>
      <c r="J792" s="134">
        <v>216765383</v>
      </c>
      <c r="K792" s="134">
        <v>216765383</v>
      </c>
    </row>
    <row r="793" spans="1:11">
      <c r="A793" t="s">
        <v>625</v>
      </c>
      <c r="B793" t="s">
        <v>151</v>
      </c>
      <c r="C793" s="114">
        <v>831.61199999999997</v>
      </c>
      <c r="D793" s="114">
        <v>831.61199999999997</v>
      </c>
      <c r="E793" s="114">
        <v>1298.1279999999999</v>
      </c>
      <c r="F793" s="114">
        <v>0</v>
      </c>
      <c r="G793" s="134">
        <v>1265420</v>
      </c>
      <c r="H793" s="134">
        <v>1624047</v>
      </c>
      <c r="I793" s="114">
        <v>0</v>
      </c>
      <c r="J793" s="134">
        <v>826952994</v>
      </c>
      <c r="K793" s="134">
        <v>826952994</v>
      </c>
    </row>
    <row r="794" spans="1:11">
      <c r="A794" t="s">
        <v>2496</v>
      </c>
      <c r="B794" t="s">
        <v>488</v>
      </c>
      <c r="C794" s="114">
        <v>1107.8789999999999</v>
      </c>
      <c r="D794" s="114">
        <v>1107.8789999999999</v>
      </c>
      <c r="E794" s="114">
        <v>1601.932</v>
      </c>
      <c r="F794" s="114">
        <v>0</v>
      </c>
      <c r="G794" s="134">
        <v>1177440</v>
      </c>
      <c r="H794" s="134">
        <v>1153103</v>
      </c>
      <c r="I794" s="114">
        <v>0</v>
      </c>
      <c r="J794" s="134">
        <v>749918398</v>
      </c>
      <c r="K794" s="134">
        <v>749918398</v>
      </c>
    </row>
    <row r="795" spans="1:11">
      <c r="A795" t="s">
        <v>1657</v>
      </c>
      <c r="B795" t="s">
        <v>323</v>
      </c>
      <c r="C795" s="114">
        <v>325.45299999999997</v>
      </c>
      <c r="D795" s="114">
        <v>332.774</v>
      </c>
      <c r="E795" s="114">
        <v>664.928</v>
      </c>
      <c r="F795" s="114">
        <v>0</v>
      </c>
      <c r="G795" s="134">
        <v>440672</v>
      </c>
      <c r="H795" s="134">
        <v>119428</v>
      </c>
      <c r="I795" s="134">
        <v>209297</v>
      </c>
      <c r="J795" s="134">
        <v>121375955</v>
      </c>
      <c r="K795" s="134">
        <v>121375955</v>
      </c>
    </row>
    <row r="796" spans="1:11">
      <c r="A796" t="s">
        <v>245</v>
      </c>
      <c r="B796" t="s">
        <v>2413</v>
      </c>
      <c r="C796" s="114">
        <v>1267.134</v>
      </c>
      <c r="D796" s="114">
        <v>1267.134</v>
      </c>
      <c r="E796" s="114">
        <v>1982.9</v>
      </c>
      <c r="F796" s="114">
        <v>0</v>
      </c>
      <c r="G796" s="134">
        <v>197815</v>
      </c>
      <c r="H796" s="134">
        <v>45356</v>
      </c>
      <c r="I796" s="134">
        <v>107759</v>
      </c>
      <c r="J796" s="134">
        <v>81329359</v>
      </c>
      <c r="K796" s="134">
        <v>81329359</v>
      </c>
    </row>
    <row r="797" spans="1:11">
      <c r="A797" t="s">
        <v>1464</v>
      </c>
      <c r="B797" t="s">
        <v>489</v>
      </c>
      <c r="C797" s="114">
        <v>1525.5050000000001</v>
      </c>
      <c r="D797" s="114">
        <v>1525.5050000000001</v>
      </c>
      <c r="E797" s="114">
        <v>2127.5740000000001</v>
      </c>
      <c r="F797" s="114">
        <v>0</v>
      </c>
      <c r="G797" s="134">
        <v>296744</v>
      </c>
      <c r="H797" s="134">
        <v>273706</v>
      </c>
      <c r="I797" s="114">
        <v>0</v>
      </c>
      <c r="J797" s="134">
        <v>431200621</v>
      </c>
      <c r="K797" s="134">
        <v>431200621</v>
      </c>
    </row>
    <row r="798" spans="1:11">
      <c r="A798" t="s">
        <v>1465</v>
      </c>
      <c r="B798" t="s">
        <v>2661</v>
      </c>
      <c r="C798" s="114">
        <v>8160.5330000000004</v>
      </c>
      <c r="D798" s="114">
        <v>8160.5330000000004</v>
      </c>
      <c r="E798" s="114">
        <v>9758.5169999999998</v>
      </c>
      <c r="F798" s="114">
        <v>0</v>
      </c>
      <c r="G798" s="134">
        <v>6852874</v>
      </c>
      <c r="H798" s="134">
        <v>5036253</v>
      </c>
      <c r="I798" s="114">
        <v>0</v>
      </c>
      <c r="J798" s="134">
        <v>2498043242</v>
      </c>
      <c r="K798" s="134">
        <v>2498043242</v>
      </c>
    </row>
    <row r="799" spans="1:11">
      <c r="A799" t="s">
        <v>2883</v>
      </c>
      <c r="B799" t="s">
        <v>180</v>
      </c>
      <c r="C799" s="114">
        <v>742.75099999999998</v>
      </c>
      <c r="D799" s="114">
        <v>742.75099999999998</v>
      </c>
      <c r="E799" s="114">
        <v>1261.5999999999999</v>
      </c>
      <c r="F799" s="114">
        <v>0</v>
      </c>
      <c r="G799" s="134">
        <v>2669796</v>
      </c>
      <c r="H799" s="114">
        <v>0</v>
      </c>
      <c r="I799" s="114">
        <v>0</v>
      </c>
      <c r="J799" s="134">
        <v>1351412925</v>
      </c>
      <c r="K799" s="134">
        <v>1351412925</v>
      </c>
    </row>
    <row r="800" spans="1:11">
      <c r="A800" t="s">
        <v>896</v>
      </c>
      <c r="B800" t="s">
        <v>181</v>
      </c>
      <c r="C800" s="114">
        <v>232.648</v>
      </c>
      <c r="D800" s="114">
        <v>232.648</v>
      </c>
      <c r="E800" s="114">
        <v>457.93700000000001</v>
      </c>
      <c r="F800" s="114">
        <v>0</v>
      </c>
      <c r="G800" s="114">
        <v>0</v>
      </c>
      <c r="H800" s="114">
        <v>0</v>
      </c>
      <c r="I800" s="114">
        <v>0</v>
      </c>
      <c r="J800" s="134">
        <v>201423214</v>
      </c>
      <c r="K800" s="134">
        <v>201423214</v>
      </c>
    </row>
    <row r="801" spans="1:11">
      <c r="A801" t="s">
        <v>135</v>
      </c>
      <c r="B801" t="s">
        <v>2428</v>
      </c>
      <c r="C801" s="114">
        <v>396.05</v>
      </c>
      <c r="D801" s="114">
        <v>396.05</v>
      </c>
      <c r="E801" s="114">
        <v>652.32100000000003</v>
      </c>
      <c r="F801" s="114">
        <v>0</v>
      </c>
      <c r="G801" s="114">
        <v>0</v>
      </c>
      <c r="H801" s="114">
        <v>0</v>
      </c>
      <c r="I801" s="114">
        <v>0</v>
      </c>
      <c r="J801" s="134">
        <v>40579525</v>
      </c>
      <c r="K801" s="134">
        <v>40579525</v>
      </c>
    </row>
    <row r="802" spans="1:11">
      <c r="A802" t="s">
        <v>3051</v>
      </c>
      <c r="B802" t="s">
        <v>3096</v>
      </c>
      <c r="C802" s="114">
        <v>692.05499999999995</v>
      </c>
      <c r="D802" s="114">
        <v>704.04499999999996</v>
      </c>
      <c r="E802" s="114">
        <v>1103.5619999999999</v>
      </c>
      <c r="F802" s="114">
        <v>0</v>
      </c>
      <c r="G802" s="134">
        <v>337094</v>
      </c>
      <c r="H802" s="134">
        <v>125097</v>
      </c>
      <c r="I802" s="134">
        <v>199832</v>
      </c>
      <c r="J802" s="134">
        <v>142792392</v>
      </c>
      <c r="K802" s="134">
        <v>142792392</v>
      </c>
    </row>
    <row r="803" spans="1:11">
      <c r="A803" t="s">
        <v>2597</v>
      </c>
      <c r="B803" t="s">
        <v>1822</v>
      </c>
      <c r="C803" s="114">
        <v>739.61</v>
      </c>
      <c r="D803" s="114">
        <v>760.98</v>
      </c>
      <c r="E803" s="114">
        <v>1426.4169999999999</v>
      </c>
      <c r="F803" s="114">
        <v>0</v>
      </c>
      <c r="G803" s="114">
        <v>0</v>
      </c>
      <c r="H803" s="114">
        <v>0</v>
      </c>
      <c r="I803" s="114">
        <v>0</v>
      </c>
      <c r="J803" s="134">
        <v>178511797</v>
      </c>
      <c r="K803" s="134">
        <v>178511797</v>
      </c>
    </row>
    <row r="804" spans="1:11">
      <c r="A804" t="s">
        <v>411</v>
      </c>
      <c r="B804" t="s">
        <v>3065</v>
      </c>
      <c r="C804" s="114">
        <v>465.06799999999998</v>
      </c>
      <c r="D804" s="114">
        <v>465.06799999999998</v>
      </c>
      <c r="E804" s="114">
        <v>763.89</v>
      </c>
      <c r="F804" s="114">
        <v>0</v>
      </c>
      <c r="G804" s="134">
        <v>77677</v>
      </c>
      <c r="H804" s="114">
        <v>0</v>
      </c>
      <c r="I804" s="134">
        <v>104490</v>
      </c>
      <c r="J804" s="134">
        <v>52136499</v>
      </c>
      <c r="K804" s="134">
        <v>52136499</v>
      </c>
    </row>
    <row r="805" spans="1:11">
      <c r="A805" t="s">
        <v>1113</v>
      </c>
      <c r="B805" t="s">
        <v>1823</v>
      </c>
      <c r="C805" s="114">
        <v>2053.502</v>
      </c>
      <c r="D805" s="114">
        <v>2053.502</v>
      </c>
      <c r="E805" s="114">
        <v>2961.74</v>
      </c>
      <c r="F805" s="114">
        <v>0</v>
      </c>
      <c r="G805" s="134">
        <v>1710264</v>
      </c>
      <c r="H805" s="114">
        <v>0</v>
      </c>
      <c r="I805" s="114">
        <v>0</v>
      </c>
      <c r="J805" s="134">
        <v>809987322</v>
      </c>
      <c r="K805" s="134">
        <v>809987322</v>
      </c>
    </row>
    <row r="806" spans="1:11">
      <c r="A806" t="s">
        <v>1932</v>
      </c>
      <c r="B806" t="s">
        <v>2430</v>
      </c>
      <c r="C806" s="114">
        <v>153.916</v>
      </c>
      <c r="D806" s="114">
        <v>153.916</v>
      </c>
      <c r="E806" s="114">
        <v>326.98599999999999</v>
      </c>
      <c r="F806" s="114">
        <v>0</v>
      </c>
      <c r="G806" s="134">
        <v>27313</v>
      </c>
      <c r="H806" s="134">
        <v>1987</v>
      </c>
      <c r="I806" s="134">
        <v>23352</v>
      </c>
      <c r="J806" s="134">
        <v>32692777</v>
      </c>
      <c r="K806" s="134">
        <v>32692777</v>
      </c>
    </row>
    <row r="807" spans="1:11">
      <c r="A807" t="s">
        <v>793</v>
      </c>
      <c r="B807" t="s">
        <v>1824</v>
      </c>
      <c r="C807" s="114">
        <v>149.32400000000001</v>
      </c>
      <c r="D807" s="114">
        <v>149.32400000000001</v>
      </c>
      <c r="E807" s="114">
        <v>257.72000000000003</v>
      </c>
      <c r="F807" s="114">
        <v>0</v>
      </c>
      <c r="G807" s="134">
        <v>102027</v>
      </c>
      <c r="H807" s="134">
        <v>78322</v>
      </c>
      <c r="I807" s="114">
        <v>0</v>
      </c>
      <c r="J807" s="134">
        <v>403887291</v>
      </c>
      <c r="K807" s="134">
        <v>403887291</v>
      </c>
    </row>
    <row r="808" spans="1:11">
      <c r="A808" t="s">
        <v>794</v>
      </c>
      <c r="B808" t="s">
        <v>1825</v>
      </c>
      <c r="C808" s="114">
        <v>494.74</v>
      </c>
      <c r="D808" s="114">
        <v>502.30500000000001</v>
      </c>
      <c r="E808" s="114">
        <v>858.197</v>
      </c>
      <c r="F808" s="114">
        <v>0</v>
      </c>
      <c r="G808" s="134">
        <v>516007</v>
      </c>
      <c r="H808" s="134">
        <v>287465</v>
      </c>
      <c r="I808" s="114">
        <v>0</v>
      </c>
      <c r="J808" s="134">
        <v>113205141</v>
      </c>
      <c r="K808" s="134">
        <v>113205141</v>
      </c>
    </row>
    <row r="809" spans="1:11">
      <c r="A809" t="s">
        <v>795</v>
      </c>
      <c r="B809" t="s">
        <v>1826</v>
      </c>
      <c r="C809" s="114">
        <v>713.46799999999996</v>
      </c>
      <c r="D809" s="114">
        <v>713.46799999999996</v>
      </c>
      <c r="E809" s="114">
        <v>1253.1099999999999</v>
      </c>
      <c r="F809" s="114">
        <v>0</v>
      </c>
      <c r="G809" s="134">
        <v>712521</v>
      </c>
      <c r="H809" s="134">
        <v>591814</v>
      </c>
      <c r="I809" s="114">
        <v>0</v>
      </c>
      <c r="J809" s="134">
        <v>480205963</v>
      </c>
      <c r="K809" s="134">
        <v>480205963</v>
      </c>
    </row>
    <row r="810" spans="1:11">
      <c r="A810" t="s">
        <v>1644</v>
      </c>
      <c r="B810" t="s">
        <v>1827</v>
      </c>
      <c r="C810" s="114">
        <v>150.893</v>
      </c>
      <c r="D810" s="114">
        <v>150.893</v>
      </c>
      <c r="E810" s="114">
        <v>272.245</v>
      </c>
      <c r="F810" s="114">
        <v>0</v>
      </c>
      <c r="G810" s="134">
        <v>295527</v>
      </c>
      <c r="H810" s="114">
        <v>0</v>
      </c>
      <c r="I810" s="114">
        <v>0</v>
      </c>
      <c r="J810" s="134">
        <v>676485657</v>
      </c>
      <c r="K810" s="134">
        <v>676485657</v>
      </c>
    </row>
    <row r="811" spans="1:11">
      <c r="A811" t="s">
        <v>1645</v>
      </c>
      <c r="B811" t="s">
        <v>1828</v>
      </c>
      <c r="C811" s="114">
        <v>415.26</v>
      </c>
      <c r="D811" s="114">
        <v>415.26</v>
      </c>
      <c r="E811" s="114">
        <v>677.66200000000003</v>
      </c>
      <c r="F811" s="114">
        <v>0</v>
      </c>
      <c r="G811" s="134">
        <v>654856</v>
      </c>
      <c r="H811" s="134">
        <v>1250067</v>
      </c>
      <c r="I811" s="114">
        <v>0</v>
      </c>
      <c r="J811" s="134">
        <v>526041922</v>
      </c>
      <c r="K811" s="134">
        <v>526041922</v>
      </c>
    </row>
    <row r="812" spans="1:11">
      <c r="A812" t="s">
        <v>1646</v>
      </c>
      <c r="B812" t="s">
        <v>1829</v>
      </c>
      <c r="C812" s="114">
        <v>172.12899999999999</v>
      </c>
      <c r="D812" s="114">
        <v>185.14599999999999</v>
      </c>
      <c r="E812" s="114">
        <v>354.41800000000001</v>
      </c>
      <c r="F812" s="114">
        <v>0</v>
      </c>
      <c r="G812" s="114">
        <v>0</v>
      </c>
      <c r="H812" s="114">
        <v>0</v>
      </c>
      <c r="I812" s="114">
        <v>0</v>
      </c>
      <c r="J812" s="134">
        <v>47986824</v>
      </c>
      <c r="K812" s="134">
        <v>47986824</v>
      </c>
    </row>
    <row r="813" spans="1:11">
      <c r="A813" t="s">
        <v>1647</v>
      </c>
      <c r="B813" t="s">
        <v>1830</v>
      </c>
      <c r="C813" s="114">
        <v>934.50300000000004</v>
      </c>
      <c r="D813" s="114">
        <v>934.50300000000004</v>
      </c>
      <c r="E813" s="114">
        <v>1504.029</v>
      </c>
      <c r="F813" s="114">
        <v>0</v>
      </c>
      <c r="G813" s="134">
        <v>12832533</v>
      </c>
      <c r="H813" s="134">
        <v>4027030</v>
      </c>
      <c r="I813" s="114">
        <v>0</v>
      </c>
      <c r="J813" s="134">
        <v>1388630998</v>
      </c>
      <c r="K813" s="134">
        <v>1388630998</v>
      </c>
    </row>
    <row r="814" spans="1:11">
      <c r="A814" t="s">
        <v>1648</v>
      </c>
      <c r="B814" t="s">
        <v>1831</v>
      </c>
      <c r="C814" s="114">
        <v>983.56700000000001</v>
      </c>
      <c r="D814" s="114">
        <v>983.56700000000001</v>
      </c>
      <c r="E814" s="114">
        <v>1658.1130000000001</v>
      </c>
      <c r="F814" s="114">
        <v>0</v>
      </c>
      <c r="G814" s="134">
        <v>806458</v>
      </c>
      <c r="H814" s="134">
        <v>762437</v>
      </c>
      <c r="I814" s="114">
        <v>0</v>
      </c>
      <c r="J814" s="134">
        <v>282244574</v>
      </c>
      <c r="K814" s="134">
        <v>282244574</v>
      </c>
    </row>
    <row r="815" spans="1:11">
      <c r="A815" t="s">
        <v>1649</v>
      </c>
      <c r="B815" t="s">
        <v>1102</v>
      </c>
      <c r="C815" s="114">
        <v>465.19</v>
      </c>
      <c r="D815" s="114">
        <v>465.19</v>
      </c>
      <c r="E815" s="114">
        <v>833.49300000000005</v>
      </c>
      <c r="F815" s="114">
        <v>0</v>
      </c>
      <c r="G815" s="114">
        <v>0</v>
      </c>
      <c r="H815" s="114">
        <v>0</v>
      </c>
      <c r="I815" s="114">
        <v>0</v>
      </c>
      <c r="J815" s="134">
        <v>62422845</v>
      </c>
      <c r="K815" s="134">
        <v>62422845</v>
      </c>
    </row>
    <row r="816" spans="1:11">
      <c r="A816" t="s">
        <v>1885</v>
      </c>
      <c r="B816" t="s">
        <v>1103</v>
      </c>
      <c r="C816" s="114">
        <v>12689.12</v>
      </c>
      <c r="D816" s="114">
        <v>12689.12</v>
      </c>
      <c r="E816" s="114">
        <v>15053.114</v>
      </c>
      <c r="F816" s="114">
        <v>0</v>
      </c>
      <c r="G816" s="134">
        <v>23952067</v>
      </c>
      <c r="H816" s="134">
        <v>15089733</v>
      </c>
      <c r="I816" s="114">
        <v>0</v>
      </c>
      <c r="J816" s="134">
        <v>5203356036</v>
      </c>
      <c r="K816" s="134">
        <v>5203356036</v>
      </c>
    </row>
    <row r="817" spans="1:11">
      <c r="A817" t="s">
        <v>2056</v>
      </c>
      <c r="B817" t="s">
        <v>668</v>
      </c>
      <c r="C817" s="114">
        <v>4040.18</v>
      </c>
      <c r="D817" s="114">
        <v>4040.18</v>
      </c>
      <c r="E817" s="114">
        <v>5099.8739999999998</v>
      </c>
      <c r="F817" s="114">
        <v>0</v>
      </c>
      <c r="G817" s="134">
        <v>3820272</v>
      </c>
      <c r="H817" s="134">
        <v>2633209</v>
      </c>
      <c r="I817" s="134">
        <v>651666</v>
      </c>
      <c r="J817" s="134">
        <v>908002935</v>
      </c>
      <c r="K817" s="134">
        <v>908002935</v>
      </c>
    </row>
    <row r="818" spans="1:11">
      <c r="A818" t="s">
        <v>1886</v>
      </c>
      <c r="B818" t="s">
        <v>2166</v>
      </c>
      <c r="C818" s="114">
        <v>922.08100000000002</v>
      </c>
      <c r="D818" s="114">
        <v>922.08100000000002</v>
      </c>
      <c r="E818" s="114">
        <v>1525.329</v>
      </c>
      <c r="F818" s="114">
        <v>0</v>
      </c>
      <c r="G818" s="114">
        <v>395</v>
      </c>
      <c r="H818" s="114">
        <v>0</v>
      </c>
      <c r="I818" s="114">
        <v>0</v>
      </c>
      <c r="J818" s="134">
        <v>193270931</v>
      </c>
      <c r="K818" s="134">
        <v>193270931</v>
      </c>
    </row>
    <row r="819" spans="1:11">
      <c r="A819" t="s">
        <v>412</v>
      </c>
      <c r="B819" t="s">
        <v>2556</v>
      </c>
      <c r="C819" s="114">
        <v>378.95600000000002</v>
      </c>
      <c r="D819" s="114">
        <v>378.95600000000002</v>
      </c>
      <c r="E819" s="114">
        <v>598.21900000000005</v>
      </c>
      <c r="F819" s="114">
        <v>0</v>
      </c>
      <c r="G819" s="134">
        <v>39171</v>
      </c>
      <c r="H819" s="114">
        <v>0</v>
      </c>
      <c r="I819" s="134">
        <v>40446</v>
      </c>
      <c r="J819" s="134">
        <v>51190331</v>
      </c>
      <c r="K819" s="134">
        <v>51190331</v>
      </c>
    </row>
    <row r="820" spans="1:11">
      <c r="A820" t="s">
        <v>1350</v>
      </c>
      <c r="B820" t="s">
        <v>2662</v>
      </c>
      <c r="C820" s="114">
        <v>593.45500000000004</v>
      </c>
      <c r="D820" s="114">
        <v>593.45500000000004</v>
      </c>
      <c r="E820" s="114">
        <v>1078.4100000000001</v>
      </c>
      <c r="F820" s="114">
        <v>0</v>
      </c>
      <c r="G820" s="114">
        <v>0</v>
      </c>
      <c r="H820" s="114">
        <v>0</v>
      </c>
      <c r="I820" s="114">
        <v>0</v>
      </c>
      <c r="J820" s="134">
        <v>165722631</v>
      </c>
      <c r="K820" s="134">
        <v>165722631</v>
      </c>
    </row>
    <row r="821" spans="1:11">
      <c r="A821" t="s">
        <v>413</v>
      </c>
      <c r="B821" t="s">
        <v>291</v>
      </c>
      <c r="C821" s="114">
        <v>60.369</v>
      </c>
      <c r="D821" s="114">
        <v>66.844999999999999</v>
      </c>
      <c r="E821" s="114">
        <v>141.90199999999999</v>
      </c>
      <c r="F821" s="114">
        <v>0</v>
      </c>
      <c r="G821" s="134">
        <v>2269</v>
      </c>
      <c r="H821" s="114">
        <v>0</v>
      </c>
      <c r="I821" s="134">
        <v>2886</v>
      </c>
      <c r="J821" s="134">
        <v>4140935</v>
      </c>
      <c r="K821" s="134">
        <v>4140935</v>
      </c>
    </row>
    <row r="822" spans="1:11">
      <c r="A822" t="s">
        <v>1887</v>
      </c>
      <c r="B822" t="s">
        <v>2167</v>
      </c>
      <c r="C822" s="114">
        <v>3145.116</v>
      </c>
      <c r="D822" s="114">
        <v>3145.116</v>
      </c>
      <c r="E822" s="114">
        <v>3979.9349999999999</v>
      </c>
      <c r="F822" s="114">
        <v>0</v>
      </c>
      <c r="G822" s="134">
        <v>2485787</v>
      </c>
      <c r="H822" s="134">
        <v>1679116</v>
      </c>
      <c r="I822" s="114">
        <v>0</v>
      </c>
      <c r="J822" s="134">
        <v>1495077835</v>
      </c>
      <c r="K822" s="134">
        <v>1495077835</v>
      </c>
    </row>
    <row r="823" spans="1:11">
      <c r="A823" t="s">
        <v>1888</v>
      </c>
      <c r="B823" t="s">
        <v>1718</v>
      </c>
      <c r="C823" s="114">
        <v>133.292</v>
      </c>
      <c r="D823" s="114">
        <v>133.292</v>
      </c>
      <c r="E823" s="114">
        <v>283.45400000000001</v>
      </c>
      <c r="F823" s="114">
        <v>0</v>
      </c>
      <c r="G823" s="114">
        <v>0</v>
      </c>
      <c r="H823" s="114">
        <v>0</v>
      </c>
      <c r="I823" s="114">
        <v>0</v>
      </c>
      <c r="J823" s="134">
        <v>76244940</v>
      </c>
      <c r="K823" s="134">
        <v>76244940</v>
      </c>
    </row>
    <row r="824" spans="1:11">
      <c r="A824" t="s">
        <v>1889</v>
      </c>
      <c r="B824" t="s">
        <v>1719</v>
      </c>
      <c r="C824" s="114">
        <v>227.86199999999999</v>
      </c>
      <c r="D824" s="114">
        <v>227.86199999999999</v>
      </c>
      <c r="E824" s="114">
        <v>414.76100000000002</v>
      </c>
      <c r="F824" s="114">
        <v>0</v>
      </c>
      <c r="G824" s="114">
        <v>0</v>
      </c>
      <c r="H824" s="114">
        <v>0</v>
      </c>
      <c r="I824" s="114">
        <v>0</v>
      </c>
      <c r="J824" s="134">
        <v>35665079</v>
      </c>
      <c r="K824" s="134">
        <v>35665079</v>
      </c>
    </row>
    <row r="825" spans="1:11">
      <c r="A825" t="s">
        <v>2830</v>
      </c>
      <c r="B825" t="s">
        <v>2467</v>
      </c>
      <c r="C825" s="114">
        <v>383.01900000000001</v>
      </c>
      <c r="D825" s="114">
        <v>383.01900000000001</v>
      </c>
      <c r="E825" s="114">
        <v>623.87</v>
      </c>
      <c r="F825" s="114">
        <v>0</v>
      </c>
      <c r="G825" s="134">
        <v>97868</v>
      </c>
      <c r="H825" s="114">
        <v>0</v>
      </c>
      <c r="I825" s="114">
        <v>0</v>
      </c>
      <c r="J825" s="134">
        <v>49158779</v>
      </c>
      <c r="K825" s="134">
        <v>49158779</v>
      </c>
    </row>
    <row r="826" spans="1:11">
      <c r="A826" t="s">
        <v>2831</v>
      </c>
      <c r="B826" t="s">
        <v>1538</v>
      </c>
      <c r="C826" s="114">
        <v>492.87799999999999</v>
      </c>
      <c r="D826" s="114">
        <v>492.87799999999999</v>
      </c>
      <c r="E826" s="114">
        <v>811.80499999999995</v>
      </c>
      <c r="F826" s="114">
        <v>0</v>
      </c>
      <c r="G826" s="134">
        <v>90478</v>
      </c>
      <c r="H826" s="134">
        <v>3933</v>
      </c>
      <c r="I826" s="134">
        <v>79354</v>
      </c>
      <c r="J826" s="134">
        <v>58440981</v>
      </c>
      <c r="K826" s="134">
        <v>58440981</v>
      </c>
    </row>
    <row r="827" spans="1:11">
      <c r="A827" t="s">
        <v>1890</v>
      </c>
      <c r="B827" t="s">
        <v>1720</v>
      </c>
      <c r="C827" s="114">
        <v>1367.962</v>
      </c>
      <c r="D827" s="114">
        <v>1367.962</v>
      </c>
      <c r="E827" s="114">
        <v>1843.8630000000001</v>
      </c>
      <c r="F827" s="114">
        <v>0</v>
      </c>
      <c r="G827" s="134">
        <v>6186379</v>
      </c>
      <c r="H827" s="134">
        <v>898722</v>
      </c>
      <c r="I827" s="114">
        <v>0</v>
      </c>
      <c r="J827" s="134">
        <v>1845624168</v>
      </c>
      <c r="K827" s="134">
        <v>1845624168</v>
      </c>
    </row>
    <row r="828" spans="1:11">
      <c r="A828" t="s">
        <v>218</v>
      </c>
      <c r="B828" t="s">
        <v>729</v>
      </c>
      <c r="C828" s="114">
        <v>593.42999999999995</v>
      </c>
      <c r="D828" s="114">
        <v>593.42999999999995</v>
      </c>
      <c r="E828" s="114">
        <v>968.25599999999997</v>
      </c>
      <c r="F828" s="114">
        <v>0</v>
      </c>
      <c r="G828" s="134">
        <v>69191</v>
      </c>
      <c r="H828" s="114">
        <v>0</v>
      </c>
      <c r="I828" s="134">
        <v>92185</v>
      </c>
      <c r="J828" s="134">
        <v>85901558</v>
      </c>
      <c r="K828" s="134">
        <v>85901558</v>
      </c>
    </row>
    <row r="829" spans="1:11">
      <c r="A829" t="s">
        <v>1891</v>
      </c>
      <c r="B829" t="s">
        <v>1721</v>
      </c>
      <c r="C829" s="114">
        <v>774.87400000000002</v>
      </c>
      <c r="D829" s="114">
        <v>774.87400000000002</v>
      </c>
      <c r="E829" s="114">
        <v>1249.575</v>
      </c>
      <c r="F829" s="114">
        <v>0</v>
      </c>
      <c r="G829" s="134">
        <v>468073</v>
      </c>
      <c r="H829" s="134">
        <v>662374</v>
      </c>
      <c r="I829" s="114">
        <v>0</v>
      </c>
      <c r="J829" s="134">
        <v>402633229</v>
      </c>
      <c r="K829" s="134">
        <v>402633229</v>
      </c>
    </row>
    <row r="830" spans="1:11">
      <c r="A830" t="s">
        <v>1575</v>
      </c>
      <c r="B830" t="s">
        <v>1722</v>
      </c>
      <c r="C830" s="114">
        <v>915.85400000000004</v>
      </c>
      <c r="D830" s="114">
        <v>915.85400000000004</v>
      </c>
      <c r="E830" s="114">
        <v>1561.4390000000001</v>
      </c>
      <c r="F830" s="114">
        <v>0</v>
      </c>
      <c r="G830" s="114">
        <v>0</v>
      </c>
      <c r="H830" s="114">
        <v>0</v>
      </c>
      <c r="I830" s="114">
        <v>0</v>
      </c>
      <c r="J830" s="134">
        <v>273568627</v>
      </c>
      <c r="K830" s="134">
        <v>273568627</v>
      </c>
    </row>
    <row r="831" spans="1:11">
      <c r="A831" t="s">
        <v>1576</v>
      </c>
      <c r="B831" t="s">
        <v>1723</v>
      </c>
      <c r="C831" s="114">
        <v>597.42999999999995</v>
      </c>
      <c r="D831" s="114">
        <v>597.42999999999995</v>
      </c>
      <c r="E831" s="114">
        <v>969.16</v>
      </c>
      <c r="F831" s="114">
        <v>0</v>
      </c>
      <c r="G831" s="134">
        <v>262618</v>
      </c>
      <c r="H831" s="114">
        <v>0</v>
      </c>
      <c r="I831" s="134">
        <v>61573</v>
      </c>
      <c r="J831" s="134">
        <v>90299893</v>
      </c>
      <c r="K831" s="134">
        <v>90299893</v>
      </c>
    </row>
    <row r="832" spans="1:11">
      <c r="A832" t="s">
        <v>1577</v>
      </c>
      <c r="B832" t="s">
        <v>2364</v>
      </c>
      <c r="C832" s="114">
        <v>766.50900000000001</v>
      </c>
      <c r="D832" s="114">
        <v>766.50900000000001</v>
      </c>
      <c r="E832" s="114">
        <v>1283.287</v>
      </c>
      <c r="F832" s="114">
        <v>0</v>
      </c>
      <c r="G832" s="134">
        <v>75438</v>
      </c>
      <c r="H832" s="114">
        <v>0</v>
      </c>
      <c r="I832" s="134">
        <v>72472</v>
      </c>
      <c r="J832" s="134">
        <v>127358786</v>
      </c>
      <c r="K832" s="134">
        <v>127358786</v>
      </c>
    </row>
    <row r="833" spans="1:11">
      <c r="A833" t="s">
        <v>1832</v>
      </c>
      <c r="B833" t="s">
        <v>2365</v>
      </c>
      <c r="C833" s="114">
        <v>426.81799999999998</v>
      </c>
      <c r="D833" s="114">
        <v>426.81799999999998</v>
      </c>
      <c r="E833" s="114">
        <v>747.73099999999999</v>
      </c>
      <c r="F833" s="114">
        <v>0</v>
      </c>
      <c r="G833" s="114">
        <v>0</v>
      </c>
      <c r="H833" s="114">
        <v>0</v>
      </c>
      <c r="I833" s="114">
        <v>0</v>
      </c>
      <c r="J833" s="134">
        <v>61506892</v>
      </c>
      <c r="K833" s="134">
        <v>61506892</v>
      </c>
    </row>
    <row r="834" spans="1:11">
      <c r="A834" t="s">
        <v>1833</v>
      </c>
      <c r="B834" t="s">
        <v>2663</v>
      </c>
      <c r="C834" s="114">
        <v>1522.153</v>
      </c>
      <c r="D834" s="114">
        <v>1525.8440000000001</v>
      </c>
      <c r="E834" s="114">
        <v>2209.558</v>
      </c>
      <c r="F834" s="114">
        <v>0</v>
      </c>
      <c r="G834" s="134">
        <v>579691</v>
      </c>
      <c r="H834" s="134">
        <v>595824</v>
      </c>
      <c r="I834" s="114">
        <v>0</v>
      </c>
      <c r="J834" s="134">
        <v>654753477</v>
      </c>
      <c r="K834" s="134">
        <v>654753477</v>
      </c>
    </row>
    <row r="835" spans="1:11">
      <c r="A835" t="s">
        <v>2790</v>
      </c>
      <c r="B835" t="s">
        <v>384</v>
      </c>
      <c r="C835" s="114">
        <v>1715.4069999999999</v>
      </c>
      <c r="D835" s="114">
        <v>1715.4069999999999</v>
      </c>
      <c r="E835" s="114">
        <v>2425.8609999999999</v>
      </c>
      <c r="F835" s="114">
        <v>0</v>
      </c>
      <c r="G835" s="134">
        <v>877706</v>
      </c>
      <c r="H835" s="134">
        <v>201480</v>
      </c>
      <c r="I835" s="134">
        <v>167649</v>
      </c>
      <c r="J835" s="134">
        <v>230459406</v>
      </c>
      <c r="K835" s="134">
        <v>230459406</v>
      </c>
    </row>
    <row r="836" spans="1:11">
      <c r="A836" t="s">
        <v>1382</v>
      </c>
      <c r="B836" t="s">
        <v>2774</v>
      </c>
      <c r="C836" s="114">
        <v>1819.6610000000001</v>
      </c>
      <c r="D836" s="114">
        <v>1819.6610000000001</v>
      </c>
      <c r="E836" s="114">
        <v>2707.8429999999998</v>
      </c>
      <c r="F836" s="114">
        <v>0</v>
      </c>
      <c r="G836" s="134">
        <v>202850</v>
      </c>
      <c r="H836" s="114">
        <v>956</v>
      </c>
      <c r="I836" s="134">
        <v>263879</v>
      </c>
      <c r="J836" s="134">
        <v>624603988</v>
      </c>
      <c r="K836" s="134">
        <v>624603988</v>
      </c>
    </row>
    <row r="837" spans="1:11">
      <c r="A837" t="s">
        <v>2791</v>
      </c>
      <c r="B837" t="s">
        <v>385</v>
      </c>
      <c r="C837" s="114">
        <v>4034.4409999999998</v>
      </c>
      <c r="D837" s="114">
        <v>4034.4409999999998</v>
      </c>
      <c r="E837" s="114">
        <v>5095.8689999999997</v>
      </c>
      <c r="F837" s="114">
        <v>0</v>
      </c>
      <c r="G837" s="134">
        <v>2065978</v>
      </c>
      <c r="H837" s="134">
        <v>1922948</v>
      </c>
      <c r="I837" s="114">
        <v>0</v>
      </c>
      <c r="J837" s="134">
        <v>1038045593</v>
      </c>
      <c r="K837" s="134">
        <v>1038045593</v>
      </c>
    </row>
    <row r="838" spans="1:11">
      <c r="A838" t="s">
        <v>1639</v>
      </c>
      <c r="B838" t="s">
        <v>386</v>
      </c>
      <c r="C838" s="114">
        <v>2050.1979999999999</v>
      </c>
      <c r="D838" s="114">
        <v>2050.1979999999999</v>
      </c>
      <c r="E838" s="114">
        <v>2555.6590000000001</v>
      </c>
      <c r="F838" s="114">
        <v>0</v>
      </c>
      <c r="G838" s="134">
        <v>995989</v>
      </c>
      <c r="H838" s="134">
        <v>1400921</v>
      </c>
      <c r="I838" s="114">
        <v>0</v>
      </c>
      <c r="J838" s="134">
        <v>1089997408</v>
      </c>
      <c r="K838" s="134">
        <v>1089997408</v>
      </c>
    </row>
    <row r="839" spans="1:11">
      <c r="A839" t="s">
        <v>2892</v>
      </c>
      <c r="B839" t="s">
        <v>2360</v>
      </c>
      <c r="C839" s="114">
        <v>1642.146</v>
      </c>
      <c r="D839" s="114">
        <v>1653.6030000000001</v>
      </c>
      <c r="E839" s="114">
        <v>2432.4949999999999</v>
      </c>
      <c r="F839" s="114">
        <v>0</v>
      </c>
      <c r="G839" s="134">
        <v>390143</v>
      </c>
      <c r="H839" s="114">
        <v>0</v>
      </c>
      <c r="I839" s="134">
        <v>365510</v>
      </c>
      <c r="J839" s="134">
        <v>223699407</v>
      </c>
      <c r="K839" s="134">
        <v>223699407</v>
      </c>
    </row>
    <row r="840" spans="1:11">
      <c r="A840" t="s">
        <v>1591</v>
      </c>
      <c r="B840" t="s">
        <v>289</v>
      </c>
      <c r="C840" s="114">
        <v>1052.71</v>
      </c>
      <c r="D840" s="114">
        <v>1053.107</v>
      </c>
      <c r="E840" s="114">
        <v>1595.3720000000001</v>
      </c>
      <c r="F840" s="114">
        <v>0</v>
      </c>
      <c r="G840" s="134">
        <v>257741</v>
      </c>
      <c r="H840" s="134">
        <v>46864</v>
      </c>
      <c r="I840" s="134">
        <v>232694</v>
      </c>
      <c r="J840" s="134">
        <v>201582180</v>
      </c>
      <c r="K840" s="134">
        <v>201582180</v>
      </c>
    </row>
    <row r="841" spans="1:11">
      <c r="A841" t="s">
        <v>1493</v>
      </c>
      <c r="B841" t="s">
        <v>296</v>
      </c>
      <c r="C841" s="114">
        <v>1983.9739999999999</v>
      </c>
      <c r="D841" s="114">
        <v>1983.9739999999999</v>
      </c>
      <c r="E841" s="114">
        <v>2839.95</v>
      </c>
      <c r="F841" s="114">
        <v>0</v>
      </c>
      <c r="G841" s="134">
        <v>214270</v>
      </c>
      <c r="H841" s="114">
        <v>0</v>
      </c>
      <c r="I841" s="134">
        <v>196327</v>
      </c>
      <c r="J841" s="134">
        <v>301603452</v>
      </c>
      <c r="K841" s="134">
        <v>301603452</v>
      </c>
    </row>
    <row r="842" spans="1:11">
      <c r="A842" t="s">
        <v>219</v>
      </c>
      <c r="B842" t="s">
        <v>656</v>
      </c>
      <c r="C842" s="114">
        <v>1084.0219999999999</v>
      </c>
      <c r="D842" s="114">
        <v>1180.857</v>
      </c>
      <c r="E842" s="114">
        <v>1850.4829999999999</v>
      </c>
      <c r="F842" s="114">
        <v>0</v>
      </c>
      <c r="G842" s="134">
        <v>252998</v>
      </c>
      <c r="H842" s="134">
        <v>32796</v>
      </c>
      <c r="I842" s="134">
        <v>222140</v>
      </c>
      <c r="J842" s="134">
        <v>246881388</v>
      </c>
      <c r="K842" s="134">
        <v>246881388</v>
      </c>
    </row>
    <row r="843" spans="1:11">
      <c r="A843" t="s">
        <v>531</v>
      </c>
      <c r="B843" t="s">
        <v>1584</v>
      </c>
      <c r="C843" s="114">
        <v>646.82899999999995</v>
      </c>
      <c r="D843" s="114">
        <v>646.82899999999995</v>
      </c>
      <c r="E843" s="114">
        <v>1173.519</v>
      </c>
      <c r="F843" s="114">
        <v>0</v>
      </c>
      <c r="G843" s="134">
        <v>137549</v>
      </c>
      <c r="H843" s="114">
        <v>0</v>
      </c>
      <c r="I843" s="134">
        <v>117102</v>
      </c>
      <c r="J843" s="134">
        <v>149502952</v>
      </c>
      <c r="K843" s="134">
        <v>149502952</v>
      </c>
    </row>
    <row r="844" spans="1:11">
      <c r="A844" t="s">
        <v>1640</v>
      </c>
      <c r="B844" t="s">
        <v>387</v>
      </c>
      <c r="C844" s="114">
        <v>132.29900000000001</v>
      </c>
      <c r="D844" s="114">
        <v>165.768</v>
      </c>
      <c r="E844" s="114">
        <v>364.71300000000002</v>
      </c>
      <c r="F844" s="114">
        <v>0</v>
      </c>
      <c r="G844" s="114">
        <v>0</v>
      </c>
      <c r="H844" s="114">
        <v>0</v>
      </c>
      <c r="I844" s="114">
        <v>0</v>
      </c>
      <c r="J844" s="134">
        <v>46871990</v>
      </c>
      <c r="K844" s="134">
        <v>46871990</v>
      </c>
    </row>
    <row r="845" spans="1:11">
      <c r="A845" t="s">
        <v>1641</v>
      </c>
      <c r="B845" t="s">
        <v>388</v>
      </c>
      <c r="C845" s="114">
        <v>120.187</v>
      </c>
      <c r="D845" s="114">
        <v>120.187</v>
      </c>
      <c r="E845" s="114">
        <v>262.46199999999999</v>
      </c>
      <c r="F845" s="114">
        <v>0</v>
      </c>
      <c r="G845" s="114">
        <v>0</v>
      </c>
      <c r="H845" s="114">
        <v>0</v>
      </c>
      <c r="I845" s="114">
        <v>0</v>
      </c>
      <c r="J845" s="134">
        <v>35084653</v>
      </c>
      <c r="K845" s="134">
        <v>35084653</v>
      </c>
    </row>
    <row r="846" spans="1:11">
      <c r="A846" t="s">
        <v>1557</v>
      </c>
      <c r="B846" t="s">
        <v>389</v>
      </c>
      <c r="C846" s="114">
        <v>572.85400000000004</v>
      </c>
      <c r="D846" s="114">
        <v>572.85400000000004</v>
      </c>
      <c r="E846" s="114">
        <v>1001.191</v>
      </c>
      <c r="F846" s="114">
        <v>0</v>
      </c>
      <c r="G846" s="114">
        <v>0</v>
      </c>
      <c r="H846" s="114">
        <v>0</v>
      </c>
      <c r="I846" s="114">
        <v>0</v>
      </c>
      <c r="J846" s="134">
        <v>353873579</v>
      </c>
      <c r="K846" s="134">
        <v>353873579</v>
      </c>
    </row>
    <row r="847" spans="1:11">
      <c r="A847" t="s">
        <v>1558</v>
      </c>
      <c r="B847" t="s">
        <v>390</v>
      </c>
      <c r="C847" s="114">
        <v>180.732</v>
      </c>
      <c r="D847" s="114">
        <v>180.732</v>
      </c>
      <c r="E847" s="114">
        <v>321.80399999999997</v>
      </c>
      <c r="F847" s="114">
        <v>0</v>
      </c>
      <c r="G847" s="114">
        <v>0</v>
      </c>
      <c r="H847" s="114">
        <v>0</v>
      </c>
      <c r="I847" s="114">
        <v>0</v>
      </c>
      <c r="J847" s="134">
        <v>53593965</v>
      </c>
      <c r="K847" s="134">
        <v>53593965</v>
      </c>
    </row>
    <row r="848" spans="1:11">
      <c r="A848" t="s">
        <v>1559</v>
      </c>
      <c r="B848" t="s">
        <v>391</v>
      </c>
      <c r="C848" s="114">
        <v>2446.5149999999999</v>
      </c>
      <c r="D848" s="114">
        <v>2446.5149999999999</v>
      </c>
      <c r="E848" s="114">
        <v>3185.3919999999998</v>
      </c>
      <c r="F848" s="114">
        <v>0</v>
      </c>
      <c r="G848" s="134">
        <v>1719057</v>
      </c>
      <c r="H848" s="134">
        <v>2514025</v>
      </c>
      <c r="I848" s="114">
        <v>0</v>
      </c>
      <c r="J848" s="134">
        <v>2322434798</v>
      </c>
      <c r="K848" s="134">
        <v>2322434798</v>
      </c>
    </row>
    <row r="849" spans="1:11">
      <c r="A849" t="s">
        <v>1662</v>
      </c>
      <c r="B849" t="s">
        <v>392</v>
      </c>
      <c r="C849" s="114">
        <v>222.21</v>
      </c>
      <c r="D849" s="114">
        <v>222.21</v>
      </c>
      <c r="E849" s="114">
        <v>369.92700000000002</v>
      </c>
      <c r="F849" s="114">
        <v>0</v>
      </c>
      <c r="G849" s="114">
        <v>0</v>
      </c>
      <c r="H849" s="114">
        <v>0</v>
      </c>
      <c r="I849" s="114">
        <v>0</v>
      </c>
      <c r="J849" s="134">
        <v>187933005</v>
      </c>
      <c r="K849" s="134">
        <v>187933005</v>
      </c>
    </row>
    <row r="850" spans="1:11">
      <c r="A850" t="s">
        <v>1084</v>
      </c>
      <c r="B850" t="s">
        <v>393</v>
      </c>
      <c r="C850" s="114">
        <v>463.762</v>
      </c>
      <c r="D850" s="114">
        <v>480.87</v>
      </c>
      <c r="E850" s="114">
        <v>883.60500000000002</v>
      </c>
      <c r="F850" s="114">
        <v>0</v>
      </c>
      <c r="G850" s="134">
        <v>244683</v>
      </c>
      <c r="H850" s="134">
        <v>294577</v>
      </c>
      <c r="I850" s="114">
        <v>0</v>
      </c>
      <c r="J850" s="134">
        <v>221443131</v>
      </c>
      <c r="K850" s="134">
        <v>221443131</v>
      </c>
    </row>
    <row r="851" spans="1:11">
      <c r="A851" t="s">
        <v>1085</v>
      </c>
      <c r="B851" t="s">
        <v>394</v>
      </c>
      <c r="C851" s="114">
        <v>171.15299999999999</v>
      </c>
      <c r="D851" s="114">
        <v>171.15299999999999</v>
      </c>
      <c r="E851" s="114">
        <v>311.81</v>
      </c>
      <c r="F851" s="114">
        <v>0</v>
      </c>
      <c r="G851" s="114">
        <v>0</v>
      </c>
      <c r="H851" s="114">
        <v>0</v>
      </c>
      <c r="I851" s="114">
        <v>0</v>
      </c>
      <c r="J851" s="134">
        <v>48083539</v>
      </c>
      <c r="K851" s="134">
        <v>48083539</v>
      </c>
    </row>
    <row r="852" spans="1:11">
      <c r="A852" t="s">
        <v>1086</v>
      </c>
      <c r="B852" t="s">
        <v>1995</v>
      </c>
      <c r="C852" s="114">
        <v>2288.5250000000001</v>
      </c>
      <c r="D852" s="114">
        <v>2288.5250000000001</v>
      </c>
      <c r="E852" s="114">
        <v>3241.59</v>
      </c>
      <c r="F852" s="114">
        <v>0</v>
      </c>
      <c r="G852" s="134">
        <v>932040</v>
      </c>
      <c r="H852" s="134">
        <v>504647</v>
      </c>
      <c r="I852" s="134">
        <v>109927</v>
      </c>
      <c r="J852" s="134">
        <v>356890613</v>
      </c>
      <c r="K852" s="134">
        <v>356890613</v>
      </c>
    </row>
    <row r="853" spans="1:11">
      <c r="A853" t="s">
        <v>1245</v>
      </c>
      <c r="B853" t="s">
        <v>1996</v>
      </c>
      <c r="C853" s="114">
        <v>652.68499999999995</v>
      </c>
      <c r="D853" s="114">
        <v>652.68499999999995</v>
      </c>
      <c r="E853" s="114">
        <v>1070.0229999999999</v>
      </c>
      <c r="F853" s="114">
        <v>0</v>
      </c>
      <c r="G853" s="134">
        <v>204572</v>
      </c>
      <c r="H853" s="134">
        <v>206888</v>
      </c>
      <c r="I853" s="114">
        <v>0</v>
      </c>
      <c r="J853" s="134">
        <v>234807012</v>
      </c>
      <c r="K853" s="134">
        <v>234807012</v>
      </c>
    </row>
    <row r="854" spans="1:11">
      <c r="A854" t="s">
        <v>220</v>
      </c>
      <c r="B854" t="s">
        <v>1418</v>
      </c>
      <c r="C854" s="114">
        <v>684.59400000000005</v>
      </c>
      <c r="D854" s="114">
        <v>684.59400000000005</v>
      </c>
      <c r="E854" s="114">
        <v>1078.5540000000001</v>
      </c>
      <c r="F854" s="114">
        <v>0</v>
      </c>
      <c r="G854" s="134">
        <v>206405</v>
      </c>
      <c r="H854" s="134">
        <v>65668</v>
      </c>
      <c r="I854" s="134">
        <v>135765</v>
      </c>
      <c r="J854" s="134">
        <v>196498788</v>
      </c>
      <c r="K854" s="134">
        <v>196498788</v>
      </c>
    </row>
    <row r="855" spans="1:11">
      <c r="A855" t="s">
        <v>1246</v>
      </c>
      <c r="B855" t="s">
        <v>1997</v>
      </c>
      <c r="C855" s="114">
        <v>422.49700000000001</v>
      </c>
      <c r="D855" s="114">
        <v>422.49700000000001</v>
      </c>
      <c r="E855" s="114">
        <v>776.75900000000001</v>
      </c>
      <c r="F855" s="114">
        <v>0</v>
      </c>
      <c r="G855" s="134">
        <v>243459</v>
      </c>
      <c r="H855" s="114">
        <v>0</v>
      </c>
      <c r="I855" s="114">
        <v>0</v>
      </c>
      <c r="J855" s="134">
        <v>67976863</v>
      </c>
      <c r="K855" s="134">
        <v>67976863</v>
      </c>
    </row>
    <row r="856" spans="1:11">
      <c r="A856" t="s">
        <v>1247</v>
      </c>
      <c r="B856" t="s">
        <v>1998</v>
      </c>
      <c r="C856" s="114">
        <v>552.67899999999997</v>
      </c>
      <c r="D856" s="114">
        <v>560.79</v>
      </c>
      <c r="E856" s="114">
        <v>934.93499999999995</v>
      </c>
      <c r="F856" s="114">
        <v>0</v>
      </c>
      <c r="G856" s="134">
        <v>147630</v>
      </c>
      <c r="H856" s="134">
        <v>130993</v>
      </c>
      <c r="I856" s="114">
        <v>0</v>
      </c>
      <c r="J856" s="134">
        <v>143399267</v>
      </c>
      <c r="K856" s="134">
        <v>143399267</v>
      </c>
    </row>
    <row r="857" spans="1:11">
      <c r="A857" t="s">
        <v>1407</v>
      </c>
      <c r="B857" t="s">
        <v>1999</v>
      </c>
      <c r="C857" s="114">
        <v>95.867000000000004</v>
      </c>
      <c r="D857" s="114">
        <v>95.867000000000004</v>
      </c>
      <c r="E857" s="114">
        <v>181.39699999999999</v>
      </c>
      <c r="F857" s="114">
        <v>0</v>
      </c>
      <c r="G857" s="114">
        <v>0</v>
      </c>
      <c r="H857" s="114">
        <v>0</v>
      </c>
      <c r="I857" s="114">
        <v>0</v>
      </c>
      <c r="J857" s="134">
        <v>12227551</v>
      </c>
      <c r="K857" s="134">
        <v>12227551</v>
      </c>
    </row>
    <row r="858" spans="1:11">
      <c r="A858" t="s">
        <v>1408</v>
      </c>
      <c r="B858" t="s">
        <v>2000</v>
      </c>
      <c r="C858" s="114">
        <v>104.899</v>
      </c>
      <c r="D858" s="114">
        <v>108.241</v>
      </c>
      <c r="E858" s="114">
        <v>220.70699999999999</v>
      </c>
      <c r="F858" s="114">
        <v>0</v>
      </c>
      <c r="G858" s="114">
        <v>0</v>
      </c>
      <c r="H858" s="114">
        <v>0</v>
      </c>
      <c r="I858" s="114">
        <v>0</v>
      </c>
      <c r="J858" s="134">
        <v>158571441</v>
      </c>
      <c r="K858" s="134">
        <v>158571441</v>
      </c>
    </row>
    <row r="859" spans="1:11">
      <c r="A859" t="s">
        <v>2040</v>
      </c>
      <c r="B859" t="s">
        <v>2271</v>
      </c>
      <c r="C859" s="114">
        <v>570.20299999999997</v>
      </c>
      <c r="D859" s="114">
        <v>570.20299999999997</v>
      </c>
      <c r="E859" s="114">
        <v>1048.9179999999999</v>
      </c>
      <c r="F859" s="114">
        <v>0</v>
      </c>
      <c r="G859" s="134">
        <v>243131</v>
      </c>
      <c r="H859" s="134">
        <v>259454</v>
      </c>
      <c r="I859" s="114">
        <v>0</v>
      </c>
      <c r="J859" s="134">
        <v>384570197</v>
      </c>
      <c r="K859" s="134">
        <v>384570197</v>
      </c>
    </row>
    <row r="860" spans="1:11">
      <c r="A860" t="s">
        <v>304</v>
      </c>
      <c r="B860" t="s">
        <v>2425</v>
      </c>
      <c r="C860" s="114">
        <v>806.50400000000002</v>
      </c>
      <c r="D860" s="114">
        <v>806.50400000000002</v>
      </c>
      <c r="E860" s="114">
        <v>1220.105</v>
      </c>
      <c r="F860" s="114">
        <v>0</v>
      </c>
      <c r="G860" s="134">
        <v>795827</v>
      </c>
      <c r="H860" s="134">
        <v>813407</v>
      </c>
      <c r="I860" s="134">
        <v>219258</v>
      </c>
      <c r="J860" s="134">
        <v>424247397</v>
      </c>
      <c r="K860" s="134">
        <v>424247397</v>
      </c>
    </row>
    <row r="861" spans="1:11">
      <c r="A861" t="s">
        <v>1943</v>
      </c>
      <c r="B861" t="s">
        <v>2272</v>
      </c>
      <c r="C861" s="114">
        <v>1774.7719999999999</v>
      </c>
      <c r="D861" s="114">
        <v>1774.7719999999999</v>
      </c>
      <c r="E861" s="114">
        <v>2314.0639999999999</v>
      </c>
      <c r="F861" s="114">
        <v>0</v>
      </c>
      <c r="G861" s="134">
        <v>2844308</v>
      </c>
      <c r="H861" s="134">
        <v>1281253</v>
      </c>
      <c r="I861" s="114">
        <v>0</v>
      </c>
      <c r="J861" s="134">
        <v>610249106</v>
      </c>
      <c r="K861" s="134">
        <v>610249106</v>
      </c>
    </row>
    <row r="862" spans="1:11">
      <c r="A862" t="s">
        <v>1944</v>
      </c>
      <c r="B862" t="s">
        <v>2273</v>
      </c>
      <c r="C862" s="114">
        <v>3316.5940000000001</v>
      </c>
      <c r="D862" s="114">
        <v>3316.5940000000001</v>
      </c>
      <c r="E862" s="114">
        <v>4310.6530000000002</v>
      </c>
      <c r="F862" s="114">
        <v>0</v>
      </c>
      <c r="G862" s="134">
        <v>2496452</v>
      </c>
      <c r="H862" s="134">
        <v>2438309</v>
      </c>
      <c r="I862" s="114">
        <v>0</v>
      </c>
      <c r="J862" s="134">
        <v>981954025</v>
      </c>
      <c r="K862" s="134">
        <v>981954025</v>
      </c>
    </row>
    <row r="863" spans="1:11">
      <c r="A863" t="s">
        <v>1136</v>
      </c>
      <c r="B863" t="s">
        <v>2274</v>
      </c>
      <c r="C863" s="114">
        <v>995.44200000000001</v>
      </c>
      <c r="D863" s="114">
        <v>995.44200000000001</v>
      </c>
      <c r="E863" s="114">
        <v>1435.154</v>
      </c>
      <c r="F863" s="114">
        <v>0</v>
      </c>
      <c r="G863" s="134">
        <v>556246</v>
      </c>
      <c r="H863" s="134">
        <v>652903</v>
      </c>
      <c r="I863" s="114">
        <v>0</v>
      </c>
      <c r="J863" s="134">
        <v>417142689</v>
      </c>
      <c r="K863" s="134">
        <v>417142689</v>
      </c>
    </row>
    <row r="864" spans="1:11">
      <c r="A864" t="s">
        <v>217</v>
      </c>
      <c r="B864" t="s">
        <v>2275</v>
      </c>
      <c r="C864" s="114">
        <v>16919.456999999999</v>
      </c>
      <c r="D864" s="114">
        <v>16919.456999999999</v>
      </c>
      <c r="E864" s="114">
        <v>22150.080000000002</v>
      </c>
      <c r="F864" s="114">
        <v>0</v>
      </c>
      <c r="G864" s="134">
        <v>12928289</v>
      </c>
      <c r="H864" s="134">
        <v>10450621</v>
      </c>
      <c r="I864" s="114">
        <v>0</v>
      </c>
      <c r="J864" s="134">
        <v>6537871909</v>
      </c>
      <c r="K864" s="134">
        <v>6537871909</v>
      </c>
    </row>
    <row r="865" spans="1:11">
      <c r="A865" t="s">
        <v>1348</v>
      </c>
      <c r="B865" t="s">
        <v>1510</v>
      </c>
      <c r="C865" s="114">
        <v>4250.9780000000001</v>
      </c>
      <c r="D865" s="114">
        <v>4250.9780000000001</v>
      </c>
      <c r="E865" s="114">
        <v>5150.4129999999996</v>
      </c>
      <c r="F865" s="114">
        <v>0</v>
      </c>
      <c r="G865" s="134">
        <v>2443266</v>
      </c>
      <c r="H865" s="134">
        <v>1083038</v>
      </c>
      <c r="I865" s="134">
        <v>934308</v>
      </c>
      <c r="J865" s="134">
        <v>1444266293</v>
      </c>
      <c r="K865" s="134">
        <v>1444266293</v>
      </c>
    </row>
    <row r="866" spans="1:11">
      <c r="A866" t="s">
        <v>1516</v>
      </c>
      <c r="B866" t="s">
        <v>735</v>
      </c>
      <c r="C866" s="114">
        <v>2950.3139999999999</v>
      </c>
      <c r="D866" s="114">
        <v>2950.3139999999999</v>
      </c>
      <c r="E866" s="114">
        <v>3972.395</v>
      </c>
      <c r="F866" s="114">
        <v>0</v>
      </c>
      <c r="G866" s="134">
        <v>1659307</v>
      </c>
      <c r="H866" s="134">
        <v>1140442</v>
      </c>
      <c r="I866" s="134">
        <v>649574</v>
      </c>
      <c r="J866" s="134">
        <v>927882312</v>
      </c>
      <c r="K866" s="134">
        <v>927882312</v>
      </c>
    </row>
    <row r="867" spans="1:11">
      <c r="A867" t="s">
        <v>1517</v>
      </c>
      <c r="B867" t="s">
        <v>2276</v>
      </c>
      <c r="C867" s="114">
        <v>935.93200000000002</v>
      </c>
      <c r="D867" s="114">
        <v>935.93200000000002</v>
      </c>
      <c r="E867" s="114">
        <v>1422.374</v>
      </c>
      <c r="F867" s="114">
        <v>0</v>
      </c>
      <c r="G867" s="134">
        <v>9567</v>
      </c>
      <c r="H867" s="114">
        <v>0</v>
      </c>
      <c r="I867" s="114">
        <v>0</v>
      </c>
      <c r="J867" s="134">
        <v>311557714</v>
      </c>
      <c r="K867" s="134">
        <v>311557714</v>
      </c>
    </row>
    <row r="868" spans="1:11">
      <c r="A868" t="s">
        <v>1518</v>
      </c>
      <c r="B868" t="s">
        <v>2277</v>
      </c>
      <c r="C868" s="114">
        <v>1610.127</v>
      </c>
      <c r="D868" s="114">
        <v>1610.127</v>
      </c>
      <c r="E868" s="114">
        <v>2064.4059999999999</v>
      </c>
      <c r="F868" s="114">
        <v>0</v>
      </c>
      <c r="G868" s="134">
        <v>2232529</v>
      </c>
      <c r="H868" s="134">
        <v>2170794</v>
      </c>
      <c r="I868" s="114">
        <v>0</v>
      </c>
      <c r="J868" s="134">
        <v>2776549380</v>
      </c>
      <c r="K868" s="134">
        <v>2776549380</v>
      </c>
    </row>
    <row r="869" spans="1:11">
      <c r="A869" t="s">
        <v>3050</v>
      </c>
      <c r="B869" t="s">
        <v>3092</v>
      </c>
      <c r="C869" s="114">
        <v>9457.2939999999999</v>
      </c>
      <c r="D869" s="114">
        <v>9457.2939999999999</v>
      </c>
      <c r="E869" s="114">
        <v>13865.602999999999</v>
      </c>
      <c r="F869" s="114">
        <v>0</v>
      </c>
      <c r="G869" s="134">
        <v>2734372</v>
      </c>
      <c r="H869" s="114">
        <v>0</v>
      </c>
      <c r="I869" s="134">
        <v>2295674</v>
      </c>
      <c r="J869" s="134">
        <v>1008733587</v>
      </c>
      <c r="K869" s="134">
        <v>1008733587</v>
      </c>
    </row>
    <row r="870" spans="1:11">
      <c r="A870" t="s">
        <v>1945</v>
      </c>
      <c r="B870" t="s">
        <v>2278</v>
      </c>
      <c r="C870" s="114">
        <v>254.95099999999999</v>
      </c>
      <c r="D870" s="114">
        <v>254.95099999999999</v>
      </c>
      <c r="E870" s="114">
        <v>476.161</v>
      </c>
      <c r="F870" s="114">
        <v>0</v>
      </c>
      <c r="G870" s="134">
        <v>197152</v>
      </c>
      <c r="H870" s="114">
        <v>0</v>
      </c>
      <c r="I870" s="114">
        <v>0</v>
      </c>
      <c r="J870" s="134">
        <v>281287196</v>
      </c>
      <c r="K870" s="134">
        <v>281287196</v>
      </c>
    </row>
    <row r="871" spans="1:11">
      <c r="A871" t="s">
        <v>221</v>
      </c>
      <c r="B871" t="s">
        <v>663</v>
      </c>
      <c r="C871" s="114">
        <v>5773.482</v>
      </c>
      <c r="D871" s="114">
        <v>5773.482</v>
      </c>
      <c r="E871" s="114">
        <v>8203.7240000000002</v>
      </c>
      <c r="F871" s="114">
        <v>0</v>
      </c>
      <c r="G871" s="134">
        <v>1119765</v>
      </c>
      <c r="H871" s="114">
        <v>0</v>
      </c>
      <c r="I871" s="134">
        <v>1003244</v>
      </c>
      <c r="J871" s="134">
        <v>438040958</v>
      </c>
      <c r="K871" s="134">
        <v>438040958</v>
      </c>
    </row>
    <row r="872" spans="1:11">
      <c r="A872" t="s">
        <v>1946</v>
      </c>
      <c r="B872" t="s">
        <v>2279</v>
      </c>
      <c r="C872" s="114">
        <v>1418.6659999999999</v>
      </c>
      <c r="D872" s="114">
        <v>1418.6659999999999</v>
      </c>
      <c r="E872" s="114">
        <v>2082.85</v>
      </c>
      <c r="F872" s="114">
        <v>0</v>
      </c>
      <c r="G872" s="134">
        <v>729421</v>
      </c>
      <c r="H872" s="134">
        <v>778480</v>
      </c>
      <c r="I872" s="114">
        <v>0</v>
      </c>
      <c r="J872" s="134">
        <v>597725894</v>
      </c>
      <c r="K872" s="134">
        <v>597725894</v>
      </c>
    </row>
    <row r="873" spans="1:11">
      <c r="A873" t="s">
        <v>2979</v>
      </c>
      <c r="B873" t="s">
        <v>2931</v>
      </c>
      <c r="C873" s="114">
        <v>194.50800000000001</v>
      </c>
      <c r="D873" s="114">
        <v>194.50800000000001</v>
      </c>
      <c r="E873" s="114">
        <v>380.00200000000001</v>
      </c>
      <c r="F873" s="114">
        <v>0</v>
      </c>
      <c r="G873" s="134">
        <v>2643175</v>
      </c>
      <c r="H873" s="134">
        <v>442088</v>
      </c>
      <c r="I873" s="114">
        <v>0</v>
      </c>
      <c r="J873" s="134">
        <v>569167458</v>
      </c>
      <c r="K873" s="134">
        <v>569167458</v>
      </c>
    </row>
    <row r="874" spans="1:11">
      <c r="A874" t="s">
        <v>849</v>
      </c>
      <c r="B874" t="s">
        <v>2932</v>
      </c>
      <c r="C874" s="114">
        <v>209.869</v>
      </c>
      <c r="D874" s="114">
        <v>223.292</v>
      </c>
      <c r="E874" s="114">
        <v>435.73599999999999</v>
      </c>
      <c r="F874" s="114">
        <v>0</v>
      </c>
      <c r="G874" s="114">
        <v>0</v>
      </c>
      <c r="H874" s="114">
        <v>0</v>
      </c>
      <c r="I874" s="114">
        <v>0</v>
      </c>
      <c r="J874" s="134">
        <v>150382465</v>
      </c>
      <c r="K874" s="134">
        <v>150382465</v>
      </c>
    </row>
    <row r="875" spans="1:11">
      <c r="A875" t="s">
        <v>850</v>
      </c>
      <c r="B875" t="s">
        <v>2933</v>
      </c>
      <c r="C875" s="114">
        <v>914.96100000000001</v>
      </c>
      <c r="D875" s="114">
        <v>914.96100000000001</v>
      </c>
      <c r="E875" s="114">
        <v>1478.0630000000001</v>
      </c>
      <c r="F875" s="114">
        <v>0</v>
      </c>
      <c r="G875" s="134">
        <v>941729</v>
      </c>
      <c r="H875" s="134">
        <v>1605885</v>
      </c>
      <c r="I875" s="114">
        <v>0</v>
      </c>
      <c r="J875" s="134">
        <v>1404061626</v>
      </c>
      <c r="K875" s="134">
        <v>1404061626</v>
      </c>
    </row>
    <row r="876" spans="1:11">
      <c r="A876" t="s">
        <v>906</v>
      </c>
      <c r="B876" t="s">
        <v>2934</v>
      </c>
      <c r="C876" s="114">
        <v>207.547</v>
      </c>
      <c r="D876" s="114">
        <v>215.40299999999999</v>
      </c>
      <c r="E876" s="114">
        <v>409.56799999999998</v>
      </c>
      <c r="F876" s="114">
        <v>0</v>
      </c>
      <c r="G876" s="114">
        <v>0</v>
      </c>
      <c r="H876" s="114">
        <v>0</v>
      </c>
      <c r="I876" s="114">
        <v>0</v>
      </c>
      <c r="J876" s="134">
        <v>59718965</v>
      </c>
      <c r="K876" s="134">
        <v>59718965</v>
      </c>
    </row>
    <row r="877" spans="1:11">
      <c r="A877" t="s">
        <v>617</v>
      </c>
      <c r="B877" t="s">
        <v>2935</v>
      </c>
      <c r="C877" s="114">
        <v>961.48500000000001</v>
      </c>
      <c r="D877" s="114">
        <v>961.48500000000001</v>
      </c>
      <c r="E877" s="114">
        <v>1630.643</v>
      </c>
      <c r="F877" s="114">
        <v>0</v>
      </c>
      <c r="G877" s="114">
        <v>0</v>
      </c>
      <c r="H877" s="114">
        <v>0</v>
      </c>
      <c r="I877" s="114">
        <v>0</v>
      </c>
      <c r="J877" s="134">
        <v>132171157</v>
      </c>
      <c r="K877" s="134">
        <v>132171157</v>
      </c>
    </row>
    <row r="878" spans="1:11">
      <c r="A878" t="s">
        <v>618</v>
      </c>
      <c r="B878" t="s">
        <v>2936</v>
      </c>
      <c r="C878" s="114">
        <v>184.66300000000001</v>
      </c>
      <c r="D878" s="114">
        <v>198.816</v>
      </c>
      <c r="E878" s="114">
        <v>357.66800000000001</v>
      </c>
      <c r="F878" s="114">
        <v>0</v>
      </c>
      <c r="G878" s="114">
        <v>0</v>
      </c>
      <c r="H878" s="114">
        <v>0</v>
      </c>
      <c r="I878" s="114">
        <v>0</v>
      </c>
      <c r="J878" s="134">
        <v>49261282</v>
      </c>
      <c r="K878" s="134">
        <v>49261282</v>
      </c>
    </row>
    <row r="879" spans="1:11">
      <c r="A879" t="s">
        <v>2621</v>
      </c>
      <c r="B879" t="s">
        <v>2775</v>
      </c>
      <c r="C879" s="114">
        <v>57480.584000000003</v>
      </c>
      <c r="D879" s="114">
        <v>57480.584000000003</v>
      </c>
      <c r="E879" s="114">
        <v>74974.338000000003</v>
      </c>
      <c r="F879" s="114">
        <v>0</v>
      </c>
      <c r="G879" s="134">
        <v>47742583</v>
      </c>
      <c r="H879" s="134">
        <v>43734870</v>
      </c>
      <c r="I879" s="134">
        <v>4257159</v>
      </c>
      <c r="J879" s="134">
        <v>19653292823</v>
      </c>
      <c r="K879" s="134">
        <v>19653292823</v>
      </c>
    </row>
    <row r="880" spans="1:11">
      <c r="A880" t="s">
        <v>985</v>
      </c>
      <c r="B880" t="s">
        <v>901</v>
      </c>
      <c r="C880" s="114">
        <v>20988.01</v>
      </c>
      <c r="D880" s="114">
        <v>20988.01</v>
      </c>
      <c r="E880" s="114">
        <v>27188.03</v>
      </c>
      <c r="F880" s="114">
        <v>0</v>
      </c>
      <c r="G880" s="134">
        <v>27088578</v>
      </c>
      <c r="H880" s="134">
        <v>13917690</v>
      </c>
      <c r="I880" s="134">
        <v>6587555</v>
      </c>
      <c r="J880" s="134">
        <v>6845303942</v>
      </c>
      <c r="K880" s="134">
        <v>6845303942</v>
      </c>
    </row>
    <row r="881" spans="1:11">
      <c r="A881" t="s">
        <v>2111</v>
      </c>
      <c r="B881" t="s">
        <v>2937</v>
      </c>
      <c r="C881" s="114">
        <v>4492.4809999999998</v>
      </c>
      <c r="D881" s="114">
        <v>4492.4809999999998</v>
      </c>
      <c r="E881" s="114">
        <v>6107.7560000000003</v>
      </c>
      <c r="F881" s="114">
        <v>0</v>
      </c>
      <c r="G881" s="134">
        <v>3240477</v>
      </c>
      <c r="H881" s="134">
        <v>994255</v>
      </c>
      <c r="I881" s="134">
        <v>704106</v>
      </c>
      <c r="J881" s="134">
        <v>969664303</v>
      </c>
      <c r="K881" s="134">
        <v>969664303</v>
      </c>
    </row>
    <row r="882" spans="1:11">
      <c r="A882" t="s">
        <v>2297</v>
      </c>
      <c r="B882" t="s">
        <v>1453</v>
      </c>
      <c r="C882" s="114">
        <v>72736.835999999996</v>
      </c>
      <c r="D882" s="114">
        <v>72736.835999999996</v>
      </c>
      <c r="E882" s="114">
        <v>98241.072</v>
      </c>
      <c r="F882" s="114">
        <v>0</v>
      </c>
      <c r="G882" s="134">
        <v>53862334</v>
      </c>
      <c r="H882" s="134">
        <v>34304236</v>
      </c>
      <c r="I882" s="114">
        <v>0</v>
      </c>
      <c r="J882" s="134">
        <v>22791455991</v>
      </c>
      <c r="K882" s="134">
        <v>22791455991</v>
      </c>
    </row>
    <row r="883" spans="1:11">
      <c r="A883" t="s">
        <v>2497</v>
      </c>
      <c r="B883" t="s">
        <v>1454</v>
      </c>
      <c r="C883" s="114">
        <v>13152.974</v>
      </c>
      <c r="D883" s="114">
        <v>13152.974</v>
      </c>
      <c r="E883" s="114">
        <v>15479.375</v>
      </c>
      <c r="F883" s="114">
        <v>0</v>
      </c>
      <c r="G883" s="134">
        <v>26837064</v>
      </c>
      <c r="H883" s="134">
        <v>24886107</v>
      </c>
      <c r="I883" s="114">
        <v>0</v>
      </c>
      <c r="J883" s="134">
        <v>9155111126</v>
      </c>
      <c r="K883" s="134">
        <v>9155111126</v>
      </c>
    </row>
    <row r="884" spans="1:11">
      <c r="A884" t="s">
        <v>57</v>
      </c>
      <c r="B884" t="s">
        <v>452</v>
      </c>
      <c r="C884" s="114">
        <v>28055.844000000001</v>
      </c>
      <c r="D884" s="114">
        <v>28055.844000000001</v>
      </c>
      <c r="E884" s="114">
        <v>33045.987000000001</v>
      </c>
      <c r="F884" s="114">
        <v>0</v>
      </c>
      <c r="G884" s="134">
        <v>39083541</v>
      </c>
      <c r="H884" s="134">
        <v>27000254</v>
      </c>
      <c r="I884" s="134">
        <v>1214202</v>
      </c>
      <c r="J884" s="134">
        <v>9310432276</v>
      </c>
      <c r="K884" s="134">
        <v>9310432276</v>
      </c>
    </row>
    <row r="885" spans="1:11">
      <c r="A885" t="s">
        <v>379</v>
      </c>
      <c r="B885" t="s">
        <v>321</v>
      </c>
      <c r="C885" s="114">
        <v>29043.774000000001</v>
      </c>
      <c r="D885" s="114">
        <v>29043.774000000001</v>
      </c>
      <c r="E885" s="114">
        <v>35774.735000000001</v>
      </c>
      <c r="F885" s="114">
        <v>0</v>
      </c>
      <c r="G885" s="134">
        <v>36194634</v>
      </c>
      <c r="H885" s="134">
        <v>22477172</v>
      </c>
      <c r="I885" s="134">
        <v>11702271</v>
      </c>
      <c r="J885" s="134">
        <v>7750749043</v>
      </c>
      <c r="K885" s="134">
        <v>7750749043</v>
      </c>
    </row>
    <row r="886" spans="1:11">
      <c r="A886" t="s">
        <v>1986</v>
      </c>
      <c r="B886" t="s">
        <v>2624</v>
      </c>
      <c r="C886" s="114">
        <v>2537.69</v>
      </c>
      <c r="D886" s="114">
        <v>2537.69</v>
      </c>
      <c r="E886" s="114">
        <v>3546.0790000000002</v>
      </c>
      <c r="F886" s="114">
        <v>0</v>
      </c>
      <c r="G886" s="134">
        <v>3609934</v>
      </c>
      <c r="H886" s="134">
        <v>2123877</v>
      </c>
      <c r="I886" s="134">
        <v>1061712</v>
      </c>
      <c r="J886" s="134">
        <v>732371515</v>
      </c>
      <c r="K886" s="134">
        <v>732371515</v>
      </c>
    </row>
    <row r="887" spans="1:11">
      <c r="A887" t="s">
        <v>2759</v>
      </c>
      <c r="B887" t="s">
        <v>459</v>
      </c>
      <c r="C887" s="114">
        <v>13929.035</v>
      </c>
      <c r="D887" s="114">
        <v>13929.035</v>
      </c>
      <c r="E887" s="114">
        <v>17403.329000000002</v>
      </c>
      <c r="F887" s="114">
        <v>0</v>
      </c>
      <c r="G887" s="134">
        <v>23049060</v>
      </c>
      <c r="H887" s="134">
        <v>11675451</v>
      </c>
      <c r="I887" s="134">
        <v>5057675</v>
      </c>
      <c r="J887" s="134">
        <v>4383402381</v>
      </c>
      <c r="K887" s="134">
        <v>4383402381</v>
      </c>
    </row>
    <row r="888" spans="1:11">
      <c r="A888" t="s">
        <v>59</v>
      </c>
      <c r="B888" t="s">
        <v>2876</v>
      </c>
      <c r="C888" s="114">
        <v>2986.1860000000001</v>
      </c>
      <c r="D888" s="114">
        <v>2986.1860000000001</v>
      </c>
      <c r="E888" s="114">
        <v>3846.4270000000001</v>
      </c>
      <c r="F888" s="114">
        <v>0</v>
      </c>
      <c r="G888" s="134">
        <v>3052420</v>
      </c>
      <c r="H888" s="134">
        <v>2453434</v>
      </c>
      <c r="I888" s="134">
        <v>463185</v>
      </c>
      <c r="J888" s="134">
        <v>909769771</v>
      </c>
      <c r="K888" s="134">
        <v>909769771</v>
      </c>
    </row>
    <row r="889" spans="1:11">
      <c r="A889" t="s">
        <v>1894</v>
      </c>
      <c r="B889" t="s">
        <v>2429</v>
      </c>
      <c r="C889" s="114">
        <v>5408.8289999999997</v>
      </c>
      <c r="D889" s="114">
        <v>5408.8289999999997</v>
      </c>
      <c r="E889" s="114">
        <v>6880.2380000000003</v>
      </c>
      <c r="F889" s="114">
        <v>0</v>
      </c>
      <c r="G889" s="134">
        <v>3276170</v>
      </c>
      <c r="H889" s="134">
        <v>1763827</v>
      </c>
      <c r="I889" s="134">
        <v>1363649</v>
      </c>
      <c r="J889" s="134">
        <v>1873492252</v>
      </c>
      <c r="K889" s="134">
        <v>1873492252</v>
      </c>
    </row>
    <row r="890" spans="1:11">
      <c r="A890" t="s">
        <v>1280</v>
      </c>
      <c r="B890" t="s">
        <v>1439</v>
      </c>
      <c r="C890" s="114">
        <v>19326.057000000001</v>
      </c>
      <c r="D890" s="114">
        <v>19326.057000000001</v>
      </c>
      <c r="E890" s="114">
        <v>24556.686000000002</v>
      </c>
      <c r="F890" s="114">
        <v>0</v>
      </c>
      <c r="G890" s="134">
        <v>21759895</v>
      </c>
      <c r="H890" s="134">
        <v>16033646</v>
      </c>
      <c r="I890" s="134">
        <v>4462566</v>
      </c>
      <c r="J890" s="134">
        <v>8082216207</v>
      </c>
      <c r="K890" s="134">
        <v>8082216207</v>
      </c>
    </row>
    <row r="891" spans="1:11">
      <c r="A891" t="s">
        <v>2108</v>
      </c>
      <c r="B891" t="s">
        <v>732</v>
      </c>
      <c r="C891" s="114">
        <v>3236.1970000000001</v>
      </c>
      <c r="D891" s="114">
        <v>3236.1970000000001</v>
      </c>
      <c r="E891" s="114">
        <v>4460.87</v>
      </c>
      <c r="F891" s="114">
        <v>0</v>
      </c>
      <c r="G891" s="134">
        <v>760270</v>
      </c>
      <c r="H891" s="134">
        <v>477462</v>
      </c>
      <c r="I891" s="134">
        <v>242175</v>
      </c>
      <c r="J891" s="134">
        <v>452944113</v>
      </c>
      <c r="K891" s="134">
        <v>452944113</v>
      </c>
    </row>
    <row r="892" spans="1:11">
      <c r="A892" t="s">
        <v>2542</v>
      </c>
      <c r="B892" t="s">
        <v>1455</v>
      </c>
      <c r="C892" s="114">
        <v>14365.155000000001</v>
      </c>
      <c r="D892" s="114">
        <v>14365.155000000001</v>
      </c>
      <c r="E892" s="114">
        <v>17432.944</v>
      </c>
      <c r="F892" s="114">
        <v>0</v>
      </c>
      <c r="G892" s="134">
        <v>28222952</v>
      </c>
      <c r="H892" s="134">
        <v>16038985</v>
      </c>
      <c r="I892" s="114">
        <v>0</v>
      </c>
      <c r="J892" s="134">
        <v>5530684602</v>
      </c>
      <c r="K892" s="134">
        <v>5530684602</v>
      </c>
    </row>
    <row r="893" spans="1:11">
      <c r="A893" t="s">
        <v>2107</v>
      </c>
      <c r="B893" t="s">
        <v>731</v>
      </c>
      <c r="C893" s="114">
        <v>7488.9070000000002</v>
      </c>
      <c r="D893" s="114">
        <v>7488.9070000000002</v>
      </c>
      <c r="E893" s="114">
        <v>8441.6859999999997</v>
      </c>
      <c r="F893" s="114">
        <v>0</v>
      </c>
      <c r="G893" s="134">
        <v>20508808</v>
      </c>
      <c r="H893" s="134">
        <v>13230316</v>
      </c>
      <c r="I893" s="134">
        <v>1104000</v>
      </c>
      <c r="J893" s="134">
        <v>4562177968</v>
      </c>
      <c r="K893" s="134">
        <v>4562177968</v>
      </c>
    </row>
    <row r="894" spans="1:11">
      <c r="A894" t="s">
        <v>1347</v>
      </c>
      <c r="B894" t="s">
        <v>1509</v>
      </c>
      <c r="C894" s="114">
        <v>5335.4979999999996</v>
      </c>
      <c r="D894" s="114">
        <v>5335.4979999999996</v>
      </c>
      <c r="E894" s="114">
        <v>6731.9610000000002</v>
      </c>
      <c r="F894" s="114">
        <v>0</v>
      </c>
      <c r="G894" s="134">
        <v>6621163</v>
      </c>
      <c r="H894" s="134">
        <v>3750380</v>
      </c>
      <c r="I894" s="134">
        <v>1498205</v>
      </c>
      <c r="J894" s="134">
        <v>1293234329</v>
      </c>
      <c r="K894" s="134">
        <v>1293234329</v>
      </c>
    </row>
    <row r="895" spans="1:11">
      <c r="A895" t="s">
        <v>2543</v>
      </c>
      <c r="B895" t="s">
        <v>1456</v>
      </c>
      <c r="C895" s="114">
        <v>15062.071</v>
      </c>
      <c r="D895" s="114">
        <v>15062.071</v>
      </c>
      <c r="E895" s="114">
        <v>20139.866999999998</v>
      </c>
      <c r="F895" s="114">
        <v>0</v>
      </c>
      <c r="G895" s="134">
        <v>4603878</v>
      </c>
      <c r="H895" s="134">
        <v>4175520</v>
      </c>
      <c r="I895" s="114">
        <v>0</v>
      </c>
      <c r="J895" s="134">
        <v>3411801599</v>
      </c>
      <c r="K895" s="134">
        <v>3411801599</v>
      </c>
    </row>
    <row r="896" spans="1:11">
      <c r="A896" t="s">
        <v>2544</v>
      </c>
      <c r="B896" t="s">
        <v>1457</v>
      </c>
      <c r="C896" s="114">
        <v>1033.193</v>
      </c>
      <c r="D896" s="114">
        <v>1042.3889999999999</v>
      </c>
      <c r="E896" s="114">
        <v>1733.357</v>
      </c>
      <c r="F896" s="114">
        <v>0</v>
      </c>
      <c r="G896" s="134">
        <v>74120</v>
      </c>
      <c r="H896" s="134">
        <v>85770</v>
      </c>
      <c r="I896" s="114">
        <v>0</v>
      </c>
      <c r="J896" s="134">
        <v>357435289</v>
      </c>
      <c r="K896" s="134">
        <v>357435289</v>
      </c>
    </row>
    <row r="897" spans="1:11">
      <c r="A897" t="s">
        <v>3052</v>
      </c>
      <c r="B897" t="s">
        <v>1458</v>
      </c>
      <c r="C897" s="114">
        <v>183.30199999999999</v>
      </c>
      <c r="D897" s="114">
        <v>183.30199999999999</v>
      </c>
      <c r="E897" s="114">
        <v>302.45499999999998</v>
      </c>
      <c r="F897" s="114">
        <v>0</v>
      </c>
      <c r="G897" s="134">
        <v>292888</v>
      </c>
      <c r="H897" s="134">
        <v>276764</v>
      </c>
      <c r="I897" s="114">
        <v>0</v>
      </c>
      <c r="J897" s="134">
        <v>95436002</v>
      </c>
      <c r="K897" s="134">
        <v>95436002</v>
      </c>
    </row>
    <row r="898" spans="1:11">
      <c r="A898" t="s">
        <v>3053</v>
      </c>
      <c r="B898" t="s">
        <v>2664</v>
      </c>
      <c r="C898" s="114">
        <v>969.01700000000005</v>
      </c>
      <c r="D898" s="114">
        <v>969.01700000000005</v>
      </c>
      <c r="E898" s="114">
        <v>1464.3510000000001</v>
      </c>
      <c r="F898" s="114">
        <v>0</v>
      </c>
      <c r="G898" s="134">
        <v>316679</v>
      </c>
      <c r="H898" s="134">
        <v>422115</v>
      </c>
      <c r="I898" s="114">
        <v>0</v>
      </c>
      <c r="J898" s="134">
        <v>448567900</v>
      </c>
      <c r="K898" s="134">
        <v>448567900</v>
      </c>
    </row>
    <row r="899" spans="1:11">
      <c r="A899" t="s">
        <v>3054</v>
      </c>
      <c r="B899" t="s">
        <v>1293</v>
      </c>
      <c r="C899" s="114">
        <v>3052.614</v>
      </c>
      <c r="D899" s="114">
        <v>3052.614</v>
      </c>
      <c r="E899" s="114">
        <v>3675.9340000000002</v>
      </c>
      <c r="F899" s="114">
        <v>0</v>
      </c>
      <c r="G899" s="134">
        <v>1070136</v>
      </c>
      <c r="H899" s="134">
        <v>1467774</v>
      </c>
      <c r="I899" s="114">
        <v>0</v>
      </c>
      <c r="J899" s="134">
        <v>1056806632</v>
      </c>
      <c r="K899" s="134">
        <v>1056806632</v>
      </c>
    </row>
    <row r="900" spans="1:11">
      <c r="A900" t="s">
        <v>3055</v>
      </c>
      <c r="B900" t="s">
        <v>1460</v>
      </c>
      <c r="C900" s="114">
        <v>150.79300000000001</v>
      </c>
      <c r="D900" s="114">
        <v>150.79300000000001</v>
      </c>
      <c r="E900" s="114">
        <v>293.85000000000002</v>
      </c>
      <c r="F900" s="114">
        <v>0</v>
      </c>
      <c r="G900" s="134">
        <v>1025747</v>
      </c>
      <c r="H900" s="134">
        <v>598660</v>
      </c>
      <c r="I900" s="114">
        <v>0</v>
      </c>
      <c r="J900" s="134">
        <v>922597165</v>
      </c>
      <c r="K900" s="134">
        <v>907914410</v>
      </c>
    </row>
    <row r="901" spans="1:11">
      <c r="A901" t="s">
        <v>1335</v>
      </c>
      <c r="B901" t="s">
        <v>336</v>
      </c>
      <c r="C901" s="114">
        <v>1621.47</v>
      </c>
      <c r="D901" s="114">
        <v>1621.47</v>
      </c>
      <c r="E901" s="114">
        <v>2375.4749999999999</v>
      </c>
      <c r="F901" s="114">
        <v>0</v>
      </c>
      <c r="G901" s="134">
        <v>670188</v>
      </c>
      <c r="H901" s="134">
        <v>604629</v>
      </c>
      <c r="I901" s="114">
        <v>0</v>
      </c>
      <c r="J901" s="134">
        <v>601185716</v>
      </c>
      <c r="K901" s="134">
        <v>601185716</v>
      </c>
    </row>
    <row r="902" spans="1:11">
      <c r="A902" t="s">
        <v>2106</v>
      </c>
      <c r="B902" t="s">
        <v>930</v>
      </c>
      <c r="C902" s="114">
        <v>243.35499999999999</v>
      </c>
      <c r="D902" s="114">
        <v>249.76</v>
      </c>
      <c r="E902" s="114">
        <v>422.79599999999999</v>
      </c>
      <c r="F902" s="114">
        <v>0</v>
      </c>
      <c r="G902" s="134">
        <v>60820</v>
      </c>
      <c r="H902" s="114">
        <v>0</v>
      </c>
      <c r="I902" s="134">
        <v>41762</v>
      </c>
      <c r="J902" s="134">
        <v>61711232</v>
      </c>
      <c r="K902" s="134">
        <v>61711232</v>
      </c>
    </row>
    <row r="903" spans="1:11">
      <c r="A903" t="s">
        <v>1336</v>
      </c>
      <c r="B903" t="s">
        <v>2665</v>
      </c>
      <c r="C903" s="114">
        <v>221.90899999999999</v>
      </c>
      <c r="D903" s="114">
        <v>221.90899999999999</v>
      </c>
      <c r="E903" s="114">
        <v>369.90300000000002</v>
      </c>
      <c r="F903" s="114">
        <v>0</v>
      </c>
      <c r="G903" s="114">
        <v>0</v>
      </c>
      <c r="H903" s="114">
        <v>0</v>
      </c>
      <c r="I903" s="114">
        <v>0</v>
      </c>
      <c r="J903" s="134">
        <v>134129211</v>
      </c>
      <c r="K903" s="134">
        <v>134129211</v>
      </c>
    </row>
    <row r="904" spans="1:11">
      <c r="A904" t="s">
        <v>1783</v>
      </c>
      <c r="B904" t="s">
        <v>706</v>
      </c>
      <c r="C904" s="114">
        <v>202.06299999999999</v>
      </c>
      <c r="D904" s="114">
        <v>204.78700000000001</v>
      </c>
      <c r="E904" s="114">
        <v>411.34899999999999</v>
      </c>
      <c r="F904" s="114">
        <v>0</v>
      </c>
      <c r="G904" s="114">
        <v>0</v>
      </c>
      <c r="H904" s="114">
        <v>0</v>
      </c>
      <c r="I904" s="114">
        <v>0</v>
      </c>
      <c r="J904" s="134">
        <v>107772045</v>
      </c>
      <c r="K904" s="134">
        <v>107772045</v>
      </c>
    </row>
    <row r="905" spans="1:11">
      <c r="A905" t="s">
        <v>1784</v>
      </c>
      <c r="B905" t="s">
        <v>707</v>
      </c>
      <c r="C905" s="114">
        <v>117.102</v>
      </c>
      <c r="D905" s="114">
        <v>117.102</v>
      </c>
      <c r="E905" s="114">
        <v>242.29300000000001</v>
      </c>
      <c r="F905" s="114">
        <v>0</v>
      </c>
      <c r="G905" s="114">
        <v>0</v>
      </c>
      <c r="H905" s="114">
        <v>0</v>
      </c>
      <c r="I905" s="114">
        <v>0</v>
      </c>
      <c r="J905" s="134">
        <v>30997028</v>
      </c>
      <c r="K905" s="134">
        <v>30997028</v>
      </c>
    </row>
    <row r="906" spans="1:11">
      <c r="A906" t="s">
        <v>1785</v>
      </c>
      <c r="B906" t="s">
        <v>708</v>
      </c>
      <c r="C906" s="114">
        <v>4740.3450000000003</v>
      </c>
      <c r="D906" s="114">
        <v>4740.3450000000003</v>
      </c>
      <c r="E906" s="114">
        <v>6752.27</v>
      </c>
      <c r="F906" s="114">
        <v>0</v>
      </c>
      <c r="G906" s="134">
        <v>3031983</v>
      </c>
      <c r="H906" s="134">
        <v>1719488</v>
      </c>
      <c r="I906" s="114">
        <v>0</v>
      </c>
      <c r="J906" s="134">
        <v>1990747067</v>
      </c>
      <c r="K906" s="134">
        <v>1990747067</v>
      </c>
    </row>
    <row r="907" spans="1:11">
      <c r="A907" t="s">
        <v>2062</v>
      </c>
      <c r="B907" t="s">
        <v>1868</v>
      </c>
      <c r="C907" s="114">
        <v>133.059</v>
      </c>
      <c r="D907" s="114">
        <v>133.059</v>
      </c>
      <c r="E907" s="114">
        <v>243.56899999999999</v>
      </c>
      <c r="F907" s="134">
        <v>80727</v>
      </c>
      <c r="G907" s="114">
        <v>0</v>
      </c>
      <c r="H907" s="114">
        <v>0</v>
      </c>
      <c r="I907" s="114">
        <v>0</v>
      </c>
      <c r="J907" s="134">
        <v>44590114</v>
      </c>
      <c r="K907" s="134">
        <v>40210038</v>
      </c>
    </row>
    <row r="908" spans="1:11">
      <c r="A908" t="s">
        <v>305</v>
      </c>
      <c r="B908" t="s">
        <v>735</v>
      </c>
      <c r="C908" s="114">
        <v>863.25099999999998</v>
      </c>
      <c r="D908" s="114">
        <v>863.25099999999998</v>
      </c>
      <c r="E908" s="114">
        <v>1295.0429999999999</v>
      </c>
      <c r="F908" s="114">
        <v>0</v>
      </c>
      <c r="G908" s="134">
        <v>107633</v>
      </c>
      <c r="H908" s="114">
        <v>656</v>
      </c>
      <c r="I908" s="134">
        <v>93583</v>
      </c>
      <c r="J908" s="134">
        <v>88107890</v>
      </c>
      <c r="K908" s="134">
        <v>88107890</v>
      </c>
    </row>
    <row r="909" spans="1:11">
      <c r="A909" t="s">
        <v>2063</v>
      </c>
      <c r="B909" t="s">
        <v>1869</v>
      </c>
      <c r="C909" s="114">
        <v>432.74099999999999</v>
      </c>
      <c r="D909" s="114">
        <v>432.74099999999999</v>
      </c>
      <c r="E909" s="114">
        <v>668.47199999999998</v>
      </c>
      <c r="F909" s="114">
        <v>0</v>
      </c>
      <c r="G909" s="114">
        <v>0</v>
      </c>
      <c r="H909" s="114">
        <v>0</v>
      </c>
      <c r="I909" s="114">
        <v>0</v>
      </c>
      <c r="J909" s="134">
        <v>107621701</v>
      </c>
      <c r="K909" s="134">
        <v>107621701</v>
      </c>
    </row>
    <row r="910" spans="1:11">
      <c r="A910" t="s">
        <v>2797</v>
      </c>
      <c r="B910" t="s">
        <v>2179</v>
      </c>
      <c r="C910" s="114">
        <v>378.68900000000002</v>
      </c>
      <c r="D910" s="114">
        <v>378.68900000000002</v>
      </c>
      <c r="E910" s="114">
        <v>668.70899999999995</v>
      </c>
      <c r="F910" s="114">
        <v>0</v>
      </c>
      <c r="G910" s="134">
        <v>141817</v>
      </c>
      <c r="H910" s="134">
        <v>97042</v>
      </c>
      <c r="I910" s="114">
        <v>0</v>
      </c>
      <c r="J910" s="134">
        <v>112008812</v>
      </c>
      <c r="K910" s="134">
        <v>112008812</v>
      </c>
    </row>
    <row r="911" spans="1:11">
      <c r="A911" t="s">
        <v>1488</v>
      </c>
      <c r="B911" t="s">
        <v>2307</v>
      </c>
      <c r="C911" s="114">
        <v>13539.24</v>
      </c>
      <c r="D911" s="114">
        <v>13539.24</v>
      </c>
      <c r="E911" s="114">
        <v>17501.355</v>
      </c>
      <c r="F911" s="114">
        <v>0</v>
      </c>
      <c r="G911" s="134">
        <v>1992354</v>
      </c>
      <c r="H911" s="134">
        <v>1115587</v>
      </c>
      <c r="I911" s="134">
        <v>700611</v>
      </c>
      <c r="J911" s="134">
        <v>2774377255</v>
      </c>
      <c r="K911" s="134">
        <v>2774377255</v>
      </c>
    </row>
    <row r="912" spans="1:11">
      <c r="A912" t="s">
        <v>2785</v>
      </c>
      <c r="B912" t="s">
        <v>2180</v>
      </c>
      <c r="C912" s="114">
        <v>315.09699999999998</v>
      </c>
      <c r="D912" s="114">
        <v>319.71199999999999</v>
      </c>
      <c r="E912" s="114">
        <v>660.21600000000001</v>
      </c>
      <c r="F912" s="114">
        <v>0</v>
      </c>
      <c r="G912" s="134">
        <v>253623</v>
      </c>
      <c r="H912" s="134">
        <v>235488</v>
      </c>
      <c r="I912" s="114">
        <v>0</v>
      </c>
      <c r="J912" s="134">
        <v>107405569</v>
      </c>
      <c r="K912" s="134">
        <v>107405569</v>
      </c>
    </row>
    <row r="913" spans="1:11">
      <c r="A913" t="s">
        <v>374</v>
      </c>
      <c r="B913" t="s">
        <v>158</v>
      </c>
      <c r="C913" s="114">
        <v>976.66</v>
      </c>
      <c r="D913" s="114">
        <v>976.66</v>
      </c>
      <c r="E913" s="114">
        <v>1497.8219999999999</v>
      </c>
      <c r="F913" s="114">
        <v>0</v>
      </c>
      <c r="G913" s="134">
        <v>110494</v>
      </c>
      <c r="H913" s="114">
        <v>0</v>
      </c>
      <c r="I913" s="134">
        <v>106217</v>
      </c>
      <c r="J913" s="134">
        <v>174037527</v>
      </c>
      <c r="K913" s="134">
        <v>174037527</v>
      </c>
    </row>
    <row r="914" spans="1:11">
      <c r="A914" t="s">
        <v>1482</v>
      </c>
      <c r="B914" t="s">
        <v>1947</v>
      </c>
      <c r="C914" s="114">
        <v>1017.73</v>
      </c>
      <c r="D914" s="114">
        <v>1017.73</v>
      </c>
      <c r="E914" s="114">
        <v>1597.213</v>
      </c>
      <c r="F914" s="114">
        <v>0</v>
      </c>
      <c r="G914" s="134">
        <v>252749</v>
      </c>
      <c r="H914" s="134">
        <v>67991</v>
      </c>
      <c r="I914" s="134">
        <v>153801</v>
      </c>
      <c r="J914" s="134">
        <v>109811145</v>
      </c>
      <c r="K914" s="134">
        <v>109811145</v>
      </c>
    </row>
    <row r="915" spans="1:11">
      <c r="A915" t="s">
        <v>1422</v>
      </c>
      <c r="B915" t="s">
        <v>3041</v>
      </c>
      <c r="C915" s="114">
        <v>249.16399999999999</v>
      </c>
      <c r="D915" s="114">
        <v>249.16399999999999</v>
      </c>
      <c r="E915" s="114">
        <v>442.24200000000002</v>
      </c>
      <c r="F915" s="114">
        <v>0</v>
      </c>
      <c r="G915" s="134">
        <v>74745</v>
      </c>
      <c r="H915" s="134">
        <v>16293</v>
      </c>
      <c r="I915" s="134">
        <v>44556</v>
      </c>
      <c r="J915" s="134">
        <v>62378125</v>
      </c>
      <c r="K915" s="134">
        <v>62378125</v>
      </c>
    </row>
    <row r="916" spans="1:11">
      <c r="A916" t="s">
        <v>292</v>
      </c>
      <c r="B916" t="s">
        <v>2181</v>
      </c>
      <c r="C916" s="114">
        <v>75606.505000000005</v>
      </c>
      <c r="D916" s="114">
        <v>75606.505000000005</v>
      </c>
      <c r="E916" s="114">
        <v>99653.634000000005</v>
      </c>
      <c r="F916" s="114">
        <v>0</v>
      </c>
      <c r="G916" s="134">
        <v>71683678</v>
      </c>
      <c r="H916" s="134">
        <v>75342038</v>
      </c>
      <c r="I916" s="114">
        <v>0</v>
      </c>
      <c r="J916" s="134">
        <v>53030915597</v>
      </c>
      <c r="K916" s="134">
        <v>53030915597</v>
      </c>
    </row>
    <row r="917" spans="1:11">
      <c r="A917" t="s">
        <v>238</v>
      </c>
      <c r="B917" t="s">
        <v>1125</v>
      </c>
      <c r="C917" s="114">
        <v>20318.788</v>
      </c>
      <c r="D917" s="114">
        <v>20318.788</v>
      </c>
      <c r="E917" s="114">
        <v>25580.308000000001</v>
      </c>
      <c r="F917" s="114">
        <v>0</v>
      </c>
      <c r="G917" s="134">
        <v>29806664</v>
      </c>
      <c r="H917" s="134">
        <v>19138669</v>
      </c>
      <c r="I917" s="134">
        <v>6305248</v>
      </c>
      <c r="J917" s="134">
        <v>6599540933</v>
      </c>
      <c r="K917" s="134">
        <v>6599540933</v>
      </c>
    </row>
    <row r="918" spans="1:11">
      <c r="A918" t="s">
        <v>293</v>
      </c>
      <c r="B918" t="s">
        <v>2182</v>
      </c>
      <c r="C918" s="114">
        <v>5606.4620000000004</v>
      </c>
      <c r="D918" s="114">
        <v>5606.4620000000004</v>
      </c>
      <c r="E918" s="114">
        <v>7411.817</v>
      </c>
      <c r="F918" s="114">
        <v>0</v>
      </c>
      <c r="G918" s="134">
        <v>15266142</v>
      </c>
      <c r="H918" s="134">
        <v>6944607</v>
      </c>
      <c r="I918" s="114">
        <v>0</v>
      </c>
      <c r="J918" s="134">
        <v>2394691977</v>
      </c>
      <c r="K918" s="134">
        <v>2394691977</v>
      </c>
    </row>
    <row r="919" spans="1:11">
      <c r="A919" t="s">
        <v>294</v>
      </c>
      <c r="B919" t="s">
        <v>2183</v>
      </c>
      <c r="C919" s="114">
        <v>7107.4870000000001</v>
      </c>
      <c r="D919" s="114">
        <v>7107.4870000000001</v>
      </c>
      <c r="E919" s="114">
        <v>8061.0609999999997</v>
      </c>
      <c r="F919" s="114">
        <v>0</v>
      </c>
      <c r="G919" s="134">
        <v>15039153</v>
      </c>
      <c r="H919" s="134">
        <v>18874938</v>
      </c>
      <c r="I919" s="114">
        <v>0</v>
      </c>
      <c r="J919" s="134">
        <v>8442526790</v>
      </c>
      <c r="K919" s="134">
        <v>8442526790</v>
      </c>
    </row>
    <row r="920" spans="1:11">
      <c r="A920" t="s">
        <v>1295</v>
      </c>
      <c r="B920" t="s">
        <v>3064</v>
      </c>
      <c r="C920" s="114">
        <v>8822.9480000000003</v>
      </c>
      <c r="D920" s="114">
        <v>8822.9480000000003</v>
      </c>
      <c r="E920" s="114">
        <v>11961.516</v>
      </c>
      <c r="F920" s="114">
        <v>0</v>
      </c>
      <c r="G920" s="134">
        <v>13789795</v>
      </c>
      <c r="H920" s="134">
        <v>8700046</v>
      </c>
      <c r="I920" s="134">
        <v>1105567</v>
      </c>
      <c r="J920" s="134">
        <v>3000015753</v>
      </c>
      <c r="K920" s="134">
        <v>3000015753</v>
      </c>
    </row>
    <row r="921" spans="1:11">
      <c r="A921" t="s">
        <v>2804</v>
      </c>
      <c r="B921" t="s">
        <v>2184</v>
      </c>
      <c r="C921" s="114">
        <v>1156.4939999999999</v>
      </c>
      <c r="D921" s="114">
        <v>1156.4939999999999</v>
      </c>
      <c r="E921" s="114">
        <v>1544.682</v>
      </c>
      <c r="F921" s="114">
        <v>0</v>
      </c>
      <c r="G921" s="134">
        <v>1704908</v>
      </c>
      <c r="H921" s="134">
        <v>2645774</v>
      </c>
      <c r="I921" s="114">
        <v>0</v>
      </c>
      <c r="J921" s="134">
        <v>1130713389</v>
      </c>
      <c r="K921" s="134">
        <v>1130713389</v>
      </c>
    </row>
    <row r="922" spans="1:11">
      <c r="A922" t="s">
        <v>1496</v>
      </c>
      <c r="B922" t="s">
        <v>2185</v>
      </c>
      <c r="C922" s="114">
        <v>5877.29</v>
      </c>
      <c r="D922" s="114">
        <v>5877.29</v>
      </c>
      <c r="E922" s="114">
        <v>6742.393</v>
      </c>
      <c r="F922" s="114">
        <v>0</v>
      </c>
      <c r="G922" s="134">
        <v>16444479</v>
      </c>
      <c r="H922" s="134">
        <v>15229107</v>
      </c>
      <c r="I922" s="114">
        <v>0</v>
      </c>
      <c r="J922" s="134">
        <v>5344582015</v>
      </c>
      <c r="K922" s="134">
        <v>5344582015</v>
      </c>
    </row>
    <row r="923" spans="1:11">
      <c r="A923" t="s">
        <v>1497</v>
      </c>
      <c r="B923" t="s">
        <v>2186</v>
      </c>
      <c r="C923" s="114">
        <v>673.70500000000004</v>
      </c>
      <c r="D923" s="114">
        <v>673.70500000000004</v>
      </c>
      <c r="E923" s="114">
        <v>1195.5319999999999</v>
      </c>
      <c r="F923" s="114">
        <v>0</v>
      </c>
      <c r="G923" s="114">
        <v>0</v>
      </c>
      <c r="H923" s="114">
        <v>0</v>
      </c>
      <c r="I923" s="114">
        <v>0</v>
      </c>
      <c r="J923" s="134">
        <v>131008407</v>
      </c>
      <c r="K923" s="134">
        <v>131008407</v>
      </c>
    </row>
    <row r="924" spans="1:11">
      <c r="A924" t="s">
        <v>1498</v>
      </c>
      <c r="B924" t="s">
        <v>2187</v>
      </c>
      <c r="C924" s="114">
        <v>1091.615</v>
      </c>
      <c r="D924" s="114">
        <v>1091.615</v>
      </c>
      <c r="E924" s="114">
        <v>1663.52</v>
      </c>
      <c r="F924" s="114">
        <v>0</v>
      </c>
      <c r="G924" s="134">
        <v>229986</v>
      </c>
      <c r="H924" s="134">
        <v>227227</v>
      </c>
      <c r="I924" s="114">
        <v>0</v>
      </c>
      <c r="J924" s="134">
        <v>220201883</v>
      </c>
      <c r="K924" s="134">
        <v>220201883</v>
      </c>
    </row>
    <row r="925" spans="1:11">
      <c r="A925" t="s">
        <v>1499</v>
      </c>
      <c r="B925" t="s">
        <v>2081</v>
      </c>
      <c r="C925" s="114">
        <v>145.92400000000001</v>
      </c>
      <c r="D925" s="114">
        <v>145.92400000000001</v>
      </c>
      <c r="E925" s="114">
        <v>260.31200000000001</v>
      </c>
      <c r="F925" s="114">
        <v>0</v>
      </c>
      <c r="G925" s="114">
        <v>0</v>
      </c>
      <c r="H925" s="114">
        <v>0</v>
      </c>
      <c r="I925" s="114">
        <v>0</v>
      </c>
      <c r="J925" s="134">
        <v>24769667</v>
      </c>
      <c r="K925" s="134">
        <v>24769667</v>
      </c>
    </row>
    <row r="926" spans="1:11">
      <c r="A926" t="s">
        <v>1500</v>
      </c>
      <c r="B926" t="s">
        <v>2188</v>
      </c>
      <c r="C926" s="114">
        <v>195.15100000000001</v>
      </c>
      <c r="D926" s="114">
        <v>195.15100000000001</v>
      </c>
      <c r="E926" s="114">
        <v>345.596</v>
      </c>
      <c r="F926" s="114">
        <v>0</v>
      </c>
      <c r="G926" s="114">
        <v>0</v>
      </c>
      <c r="H926" s="114">
        <v>0</v>
      </c>
      <c r="I926" s="114">
        <v>0</v>
      </c>
      <c r="J926" s="134">
        <v>21937167</v>
      </c>
      <c r="K926" s="134">
        <v>21937167</v>
      </c>
    </row>
    <row r="927" spans="1:11">
      <c r="A927" t="s">
        <v>1615</v>
      </c>
      <c r="B927" t="s">
        <v>1740</v>
      </c>
      <c r="C927" s="114">
        <v>482.66300000000001</v>
      </c>
      <c r="D927" s="114">
        <v>487.416</v>
      </c>
      <c r="E927" s="114">
        <v>793.32500000000005</v>
      </c>
      <c r="F927" s="114">
        <v>0</v>
      </c>
      <c r="G927" s="114">
        <v>0</v>
      </c>
      <c r="H927" s="114">
        <v>0</v>
      </c>
      <c r="I927" s="114">
        <v>0</v>
      </c>
      <c r="J927" s="134">
        <v>92245895</v>
      </c>
      <c r="K927" s="134">
        <v>92245895</v>
      </c>
    </row>
    <row r="928" spans="1:11">
      <c r="A928" t="s">
        <v>2051</v>
      </c>
      <c r="B928" t="s">
        <v>2189</v>
      </c>
      <c r="C928" s="114">
        <v>1246.1099999999999</v>
      </c>
      <c r="D928" s="114">
        <v>1246.1099999999999</v>
      </c>
      <c r="E928" s="114">
        <v>2069.2269999999999</v>
      </c>
      <c r="F928" s="114">
        <v>0</v>
      </c>
      <c r="G928" s="134">
        <v>693690</v>
      </c>
      <c r="H928" s="134">
        <v>1098396</v>
      </c>
      <c r="I928" s="114">
        <v>0</v>
      </c>
      <c r="J928" s="134">
        <v>731407158</v>
      </c>
      <c r="K928" s="134">
        <v>731407158</v>
      </c>
    </row>
    <row r="929" spans="1:11">
      <c r="A929" t="s">
        <v>2052</v>
      </c>
      <c r="B929" t="s">
        <v>2190</v>
      </c>
      <c r="C929" s="114">
        <v>1101.605</v>
      </c>
      <c r="D929" s="114">
        <v>1101.605</v>
      </c>
      <c r="E929" s="114">
        <v>1571.317</v>
      </c>
      <c r="F929" s="114">
        <v>0</v>
      </c>
      <c r="G929" s="134">
        <v>810114</v>
      </c>
      <c r="H929" s="114">
        <v>0</v>
      </c>
      <c r="I929" s="134">
        <v>147599</v>
      </c>
      <c r="J929" s="134">
        <v>202013744</v>
      </c>
      <c r="K929" s="134">
        <v>202013744</v>
      </c>
    </row>
    <row r="930" spans="1:11">
      <c r="A930" t="s">
        <v>1423</v>
      </c>
      <c r="B930" t="s">
        <v>2212</v>
      </c>
      <c r="C930" s="114">
        <v>345.28199999999998</v>
      </c>
      <c r="D930" s="114">
        <v>345.28199999999998</v>
      </c>
      <c r="E930" s="114">
        <v>577.03800000000001</v>
      </c>
      <c r="F930" s="114">
        <v>0</v>
      </c>
      <c r="G930" s="134">
        <v>95494</v>
      </c>
      <c r="H930" s="134">
        <v>41209</v>
      </c>
      <c r="I930" s="134">
        <v>37333</v>
      </c>
      <c r="J930" s="134">
        <v>50579752</v>
      </c>
      <c r="K930" s="134">
        <v>50579752</v>
      </c>
    </row>
    <row r="931" spans="1:11">
      <c r="A931" t="s">
        <v>83</v>
      </c>
      <c r="B931" t="s">
        <v>2499</v>
      </c>
      <c r="C931" s="114">
        <v>178.715</v>
      </c>
      <c r="D931" s="114">
        <v>184.584</v>
      </c>
      <c r="E931" s="114">
        <v>318.49599999999998</v>
      </c>
      <c r="F931" s="114">
        <v>0</v>
      </c>
      <c r="G931" s="134">
        <v>30615</v>
      </c>
      <c r="H931" s="114">
        <v>0</v>
      </c>
      <c r="I931" s="134">
        <v>23249</v>
      </c>
      <c r="J931" s="134">
        <v>50000469</v>
      </c>
      <c r="K931" s="134">
        <v>50000469</v>
      </c>
    </row>
    <row r="932" spans="1:11">
      <c r="A932" t="s">
        <v>2053</v>
      </c>
      <c r="B932" t="s">
        <v>483</v>
      </c>
      <c r="C932" s="114">
        <v>686.51</v>
      </c>
      <c r="D932" s="114">
        <v>686.51</v>
      </c>
      <c r="E932" s="114">
        <v>1100.874</v>
      </c>
      <c r="F932" s="114">
        <v>0</v>
      </c>
      <c r="G932" s="134">
        <v>109126</v>
      </c>
      <c r="H932" s="134">
        <v>101666</v>
      </c>
      <c r="I932" s="114">
        <v>0</v>
      </c>
      <c r="J932" s="134">
        <v>157304509</v>
      </c>
      <c r="K932" s="134">
        <v>157304509</v>
      </c>
    </row>
    <row r="933" spans="1:11">
      <c r="A933" t="s">
        <v>2054</v>
      </c>
      <c r="B933" t="s">
        <v>2191</v>
      </c>
      <c r="C933" s="114">
        <v>2200.1799999999998</v>
      </c>
      <c r="D933" s="114">
        <v>2200.1799999999998</v>
      </c>
      <c r="E933" s="114">
        <v>2986.1370000000002</v>
      </c>
      <c r="F933" s="114">
        <v>0</v>
      </c>
      <c r="G933" s="134">
        <v>1416998</v>
      </c>
      <c r="H933" s="134">
        <v>1502976</v>
      </c>
      <c r="I933" s="114">
        <v>0</v>
      </c>
      <c r="J933" s="134">
        <v>853444223</v>
      </c>
      <c r="K933" s="134">
        <v>853444223</v>
      </c>
    </row>
    <row r="934" spans="1:11">
      <c r="A934" t="s">
        <v>1594</v>
      </c>
      <c r="B934" t="s">
        <v>1152</v>
      </c>
      <c r="C934" s="114">
        <v>793.62300000000005</v>
      </c>
      <c r="D934" s="114">
        <v>793.62300000000005</v>
      </c>
      <c r="E934" s="114">
        <v>1278.0260000000001</v>
      </c>
      <c r="F934" s="114">
        <v>0</v>
      </c>
      <c r="G934" s="134">
        <v>275920</v>
      </c>
      <c r="H934" s="134">
        <v>5070</v>
      </c>
      <c r="I934" s="134">
        <v>174021</v>
      </c>
      <c r="J934" s="134">
        <v>124904338</v>
      </c>
      <c r="K934" s="134">
        <v>124904338</v>
      </c>
    </row>
    <row r="935" spans="1:11">
      <c r="A935" t="s">
        <v>1229</v>
      </c>
      <c r="B935" t="s">
        <v>881</v>
      </c>
      <c r="C935" s="114">
        <v>253.19</v>
      </c>
      <c r="D935" s="114">
        <v>253.19</v>
      </c>
      <c r="E935" s="114">
        <v>433.69400000000002</v>
      </c>
      <c r="F935" s="114">
        <v>0</v>
      </c>
      <c r="G935" s="114">
        <v>0</v>
      </c>
      <c r="H935" s="114">
        <v>0</v>
      </c>
      <c r="I935" s="114">
        <v>0</v>
      </c>
      <c r="J935" s="134">
        <v>82525711</v>
      </c>
      <c r="K935" s="134">
        <v>82525711</v>
      </c>
    </row>
    <row r="936" spans="1:11">
      <c r="A936" t="s">
        <v>2127</v>
      </c>
      <c r="B936" t="s">
        <v>935</v>
      </c>
      <c r="C936" s="114">
        <v>994.42</v>
      </c>
      <c r="D936" s="114">
        <v>994.42</v>
      </c>
      <c r="E936" s="114">
        <v>1429.335</v>
      </c>
      <c r="F936" s="114">
        <v>0</v>
      </c>
      <c r="G936" s="134">
        <v>276211</v>
      </c>
      <c r="H936" s="134">
        <v>8494</v>
      </c>
      <c r="I936" s="134">
        <v>223024</v>
      </c>
      <c r="J936" s="134">
        <v>360528158</v>
      </c>
      <c r="K936" s="134">
        <v>360528158</v>
      </c>
    </row>
    <row r="937" spans="1:11">
      <c r="A937" t="s">
        <v>1230</v>
      </c>
      <c r="B937" t="s">
        <v>1729</v>
      </c>
      <c r="C937" s="114">
        <v>963.86699999999996</v>
      </c>
      <c r="D937" s="114">
        <v>963.86699999999996</v>
      </c>
      <c r="E937" s="114">
        <v>1334.83</v>
      </c>
      <c r="F937" s="114">
        <v>0</v>
      </c>
      <c r="G937" s="134">
        <v>149909</v>
      </c>
      <c r="H937" s="134">
        <v>23489</v>
      </c>
      <c r="I937" s="134">
        <v>80439</v>
      </c>
      <c r="J937" s="134">
        <v>130779588</v>
      </c>
      <c r="K937" s="134">
        <v>130779588</v>
      </c>
    </row>
    <row r="938" spans="1:11">
      <c r="A938" t="s">
        <v>1231</v>
      </c>
      <c r="B938" t="s">
        <v>882</v>
      </c>
      <c r="C938" s="114">
        <v>690.76199999999994</v>
      </c>
      <c r="D938" s="114">
        <v>694.18399999999997</v>
      </c>
      <c r="E938" s="114">
        <v>1038.7950000000001</v>
      </c>
      <c r="F938" s="114">
        <v>0</v>
      </c>
      <c r="G938" s="134">
        <v>213364</v>
      </c>
      <c r="H938" s="134">
        <v>213191</v>
      </c>
      <c r="I938" s="114">
        <v>0</v>
      </c>
      <c r="J938" s="134">
        <v>207190956</v>
      </c>
      <c r="K938" s="134">
        <v>207190956</v>
      </c>
    </row>
    <row r="939" spans="1:11">
      <c r="A939" t="s">
        <v>1232</v>
      </c>
      <c r="B939" t="s">
        <v>883</v>
      </c>
      <c r="C939" s="114">
        <v>437.09100000000001</v>
      </c>
      <c r="D939" s="114">
        <v>437.09100000000001</v>
      </c>
      <c r="E939" s="114">
        <v>830.98099999999999</v>
      </c>
      <c r="F939" s="114">
        <v>0</v>
      </c>
      <c r="G939" s="114">
        <v>390</v>
      </c>
      <c r="H939" s="114">
        <v>0</v>
      </c>
      <c r="I939" s="114">
        <v>0</v>
      </c>
      <c r="J939" s="134">
        <v>1416165545</v>
      </c>
      <c r="K939" s="134">
        <v>1416165545</v>
      </c>
    </row>
    <row r="940" spans="1:11">
      <c r="A940" t="s">
        <v>1233</v>
      </c>
      <c r="B940" t="s">
        <v>884</v>
      </c>
      <c r="C940" s="114">
        <v>187.18100000000001</v>
      </c>
      <c r="D940" s="114">
        <v>187.18100000000001</v>
      </c>
      <c r="E940" s="114">
        <v>382.06200000000001</v>
      </c>
      <c r="F940" s="114">
        <v>0</v>
      </c>
      <c r="G940" s="134">
        <v>1421413</v>
      </c>
      <c r="H940" s="134">
        <v>1203319</v>
      </c>
      <c r="I940" s="114">
        <v>0</v>
      </c>
      <c r="J940" s="134">
        <v>1404336172</v>
      </c>
      <c r="K940" s="134">
        <v>1404336172</v>
      </c>
    </row>
    <row r="941" spans="1:11">
      <c r="A941" t="s">
        <v>63</v>
      </c>
      <c r="B941" t="s">
        <v>2832</v>
      </c>
      <c r="C941" s="114">
        <v>223.434</v>
      </c>
      <c r="D941" s="114">
        <v>223.434</v>
      </c>
      <c r="E941" s="114">
        <v>368.89800000000002</v>
      </c>
      <c r="F941" s="114">
        <v>0</v>
      </c>
      <c r="G941" s="134">
        <v>32516</v>
      </c>
      <c r="H941" s="114">
        <v>407</v>
      </c>
      <c r="I941" s="134">
        <v>28522</v>
      </c>
      <c r="J941" s="134">
        <v>43619688</v>
      </c>
      <c r="K941" s="134">
        <v>43619688</v>
      </c>
    </row>
    <row r="942" spans="1:11">
      <c r="A942" t="s">
        <v>1737</v>
      </c>
      <c r="B942" t="s">
        <v>670</v>
      </c>
      <c r="C942" s="114">
        <v>454.01900000000001</v>
      </c>
      <c r="D942" s="114">
        <v>457.303</v>
      </c>
      <c r="E942" s="114">
        <v>905.88900000000001</v>
      </c>
      <c r="F942" s="114">
        <v>0</v>
      </c>
      <c r="G942" s="134">
        <v>129987</v>
      </c>
      <c r="H942" s="134">
        <v>5579</v>
      </c>
      <c r="I942" s="134">
        <v>123763</v>
      </c>
      <c r="J942" s="134">
        <v>158315248</v>
      </c>
      <c r="K942" s="134">
        <v>158315248</v>
      </c>
    </row>
    <row r="943" spans="1:11">
      <c r="A943" t="s">
        <v>1714</v>
      </c>
      <c r="B943" t="s">
        <v>327</v>
      </c>
      <c r="C943" s="114">
        <v>4506.0879999999997</v>
      </c>
      <c r="D943" s="114">
        <v>4506.0879999999997</v>
      </c>
      <c r="E943" s="114">
        <v>6139.2049999999999</v>
      </c>
      <c r="F943" s="114">
        <v>0</v>
      </c>
      <c r="G943" s="134">
        <v>1544048</v>
      </c>
      <c r="H943" s="134">
        <v>236367</v>
      </c>
      <c r="I943" s="134">
        <v>1088807</v>
      </c>
      <c r="J943" s="134">
        <v>719187765</v>
      </c>
      <c r="K943" s="134">
        <v>719187765</v>
      </c>
    </row>
    <row r="944" spans="1:11">
      <c r="A944" t="s">
        <v>1495</v>
      </c>
      <c r="B944" t="s">
        <v>687</v>
      </c>
      <c r="C944" s="114">
        <v>199.99700000000001</v>
      </c>
      <c r="D944" s="114">
        <v>199.99700000000001</v>
      </c>
      <c r="E944" s="114">
        <v>395.63299999999998</v>
      </c>
      <c r="F944" s="114">
        <v>0</v>
      </c>
      <c r="G944" s="114">
        <v>0</v>
      </c>
      <c r="H944" s="114">
        <v>0</v>
      </c>
      <c r="I944" s="114">
        <v>0</v>
      </c>
      <c r="J944" s="134">
        <v>135996949</v>
      </c>
      <c r="K944" s="134">
        <v>135996949</v>
      </c>
    </row>
    <row r="945" spans="1:11">
      <c r="A945" t="s">
        <v>530</v>
      </c>
      <c r="B945" t="s">
        <v>2460</v>
      </c>
      <c r="C945" s="114">
        <v>9408.9089999999997</v>
      </c>
      <c r="D945" s="114">
        <v>9408.9089999999997</v>
      </c>
      <c r="E945" s="114">
        <v>12689.343000000001</v>
      </c>
      <c r="F945" s="114">
        <v>0</v>
      </c>
      <c r="G945" s="134">
        <v>1506478</v>
      </c>
      <c r="H945" s="114">
        <v>0</v>
      </c>
      <c r="I945" s="134">
        <v>1536303</v>
      </c>
      <c r="J945" s="134">
        <v>1139115295</v>
      </c>
      <c r="K945" s="134">
        <v>1139115295</v>
      </c>
    </row>
    <row r="946" spans="1:11">
      <c r="A946" t="s">
        <v>940</v>
      </c>
      <c r="B946" t="s">
        <v>688</v>
      </c>
      <c r="C946" s="114">
        <v>200.95500000000001</v>
      </c>
      <c r="D946" s="114">
        <v>200.95500000000001</v>
      </c>
      <c r="E946" s="114">
        <v>363.22300000000001</v>
      </c>
      <c r="F946" s="114">
        <v>0</v>
      </c>
      <c r="G946" s="134">
        <v>267667</v>
      </c>
      <c r="H946" s="134">
        <v>319309</v>
      </c>
      <c r="I946" s="114">
        <v>0</v>
      </c>
      <c r="J946" s="134">
        <v>161934257</v>
      </c>
      <c r="K946" s="134">
        <v>161934257</v>
      </c>
    </row>
    <row r="947" spans="1:11">
      <c r="A947" t="s">
        <v>943</v>
      </c>
      <c r="B947" t="s">
        <v>1310</v>
      </c>
      <c r="C947" s="114">
        <v>1858.884</v>
      </c>
      <c r="D947" s="114">
        <v>1858.884</v>
      </c>
      <c r="E947" s="114">
        <v>2452.94</v>
      </c>
      <c r="F947" s="114">
        <v>0</v>
      </c>
      <c r="G947" s="134">
        <v>2441837</v>
      </c>
      <c r="H947" s="134">
        <v>1320674</v>
      </c>
      <c r="I947" s="134">
        <v>389428</v>
      </c>
      <c r="J947" s="134">
        <v>541956306</v>
      </c>
      <c r="K947" s="134">
        <v>541956306</v>
      </c>
    </row>
    <row r="948" spans="1:11">
      <c r="A948" t="s">
        <v>944</v>
      </c>
      <c r="B948" t="s">
        <v>1000</v>
      </c>
      <c r="C948" s="114">
        <v>893.12</v>
      </c>
      <c r="D948" s="114">
        <v>893.12</v>
      </c>
      <c r="E948" s="114">
        <v>1370.231</v>
      </c>
      <c r="F948" s="114">
        <v>0</v>
      </c>
      <c r="G948" s="134">
        <v>334120</v>
      </c>
      <c r="H948" s="134">
        <v>327892</v>
      </c>
      <c r="I948" s="114">
        <v>0</v>
      </c>
      <c r="J948" s="134">
        <v>190050947</v>
      </c>
      <c r="K948" s="134">
        <v>190050947</v>
      </c>
    </row>
    <row r="949" spans="1:11">
      <c r="A949" t="s">
        <v>1726</v>
      </c>
      <c r="B949" t="s">
        <v>976</v>
      </c>
      <c r="C949" s="114">
        <v>1040.23</v>
      </c>
      <c r="D949" s="114">
        <v>1040.23</v>
      </c>
      <c r="E949" s="114">
        <v>1546.694</v>
      </c>
      <c r="F949" s="114">
        <v>0</v>
      </c>
      <c r="G949" s="134">
        <v>339072</v>
      </c>
      <c r="H949" s="134">
        <v>154947</v>
      </c>
      <c r="I949" s="134">
        <v>153318</v>
      </c>
      <c r="J949" s="134">
        <v>194157047</v>
      </c>
      <c r="K949" s="134">
        <v>194157047</v>
      </c>
    </row>
    <row r="950" spans="1:11">
      <c r="A950" t="s">
        <v>2097</v>
      </c>
      <c r="B950" t="s">
        <v>2359</v>
      </c>
      <c r="C950" s="114">
        <v>457.67</v>
      </c>
      <c r="D950" s="114">
        <v>457.67</v>
      </c>
      <c r="E950" s="114">
        <v>779.69799999999998</v>
      </c>
      <c r="F950" s="114">
        <v>0</v>
      </c>
      <c r="G950" s="134">
        <v>84556</v>
      </c>
      <c r="H950" s="134">
        <v>33535</v>
      </c>
      <c r="I950" s="134">
        <v>48625</v>
      </c>
      <c r="J950" s="134">
        <v>81582464</v>
      </c>
      <c r="K950" s="134">
        <v>81582464</v>
      </c>
    </row>
    <row r="951" spans="1:11">
      <c r="A951" t="s">
        <v>945</v>
      </c>
      <c r="B951" t="s">
        <v>1311</v>
      </c>
      <c r="C951" s="114">
        <v>2065.123</v>
      </c>
      <c r="D951" s="114">
        <v>2065.123</v>
      </c>
      <c r="E951" s="114">
        <v>2754.8319999999999</v>
      </c>
      <c r="F951" s="114">
        <v>0</v>
      </c>
      <c r="G951" s="134">
        <v>1819993</v>
      </c>
      <c r="H951" s="134">
        <v>795955</v>
      </c>
      <c r="I951" s="134">
        <v>346113</v>
      </c>
      <c r="J951" s="134">
        <v>482253071</v>
      </c>
      <c r="K951" s="134">
        <v>482253071</v>
      </c>
    </row>
    <row r="952" spans="1:11">
      <c r="A952" t="s">
        <v>946</v>
      </c>
      <c r="B952" t="s">
        <v>2379</v>
      </c>
      <c r="C952" s="114">
        <v>2477.6930000000002</v>
      </c>
      <c r="D952" s="114">
        <v>2477.6930000000002</v>
      </c>
      <c r="E952" s="114">
        <v>3447.049</v>
      </c>
      <c r="F952" s="114">
        <v>0</v>
      </c>
      <c r="G952" s="134">
        <v>336748</v>
      </c>
      <c r="H952" s="134">
        <v>368531</v>
      </c>
      <c r="I952" s="114">
        <v>0</v>
      </c>
      <c r="J952" s="134">
        <v>460756993</v>
      </c>
      <c r="K952" s="134">
        <v>460756993</v>
      </c>
    </row>
    <row r="953" spans="1:11">
      <c r="A953" t="s">
        <v>1606</v>
      </c>
      <c r="B953" t="s">
        <v>1668</v>
      </c>
      <c r="C953" s="114">
        <v>366.976</v>
      </c>
      <c r="D953" s="114">
        <v>366.976</v>
      </c>
      <c r="E953" s="114">
        <v>646.053</v>
      </c>
      <c r="F953" s="114">
        <v>0</v>
      </c>
      <c r="G953" s="134">
        <v>40973</v>
      </c>
      <c r="H953" s="114">
        <v>0</v>
      </c>
      <c r="I953" s="134">
        <v>37102</v>
      </c>
      <c r="J953" s="134">
        <v>54327945</v>
      </c>
      <c r="K953" s="134">
        <v>54327945</v>
      </c>
    </row>
    <row r="954" spans="1:11">
      <c r="A954" t="s">
        <v>989</v>
      </c>
      <c r="B954" t="s">
        <v>1520</v>
      </c>
      <c r="C954" s="114">
        <v>831.63400000000001</v>
      </c>
      <c r="D954" s="114">
        <v>831.63400000000001</v>
      </c>
      <c r="E954" s="114">
        <v>1343.104</v>
      </c>
      <c r="F954" s="114">
        <v>0</v>
      </c>
      <c r="G954" s="134">
        <v>244971</v>
      </c>
      <c r="H954" s="114">
        <v>436</v>
      </c>
      <c r="I954" s="134">
        <v>203391</v>
      </c>
      <c r="J954" s="134">
        <v>130388743</v>
      </c>
      <c r="K954" s="134">
        <v>130388743</v>
      </c>
    </row>
    <row r="955" spans="1:11">
      <c r="A955" t="s">
        <v>372</v>
      </c>
      <c r="B955" t="s">
        <v>155</v>
      </c>
      <c r="C955" s="114">
        <v>12272.288</v>
      </c>
      <c r="D955" s="114">
        <v>12272.288</v>
      </c>
      <c r="E955" s="114">
        <v>16040.316999999999</v>
      </c>
      <c r="F955" s="114">
        <v>0</v>
      </c>
      <c r="G955" s="134">
        <v>11513150</v>
      </c>
      <c r="H955" s="134">
        <v>2349533</v>
      </c>
      <c r="I955" s="134">
        <v>4540633</v>
      </c>
      <c r="J955" s="134">
        <v>3877255823</v>
      </c>
      <c r="K955" s="134">
        <v>3877255823</v>
      </c>
    </row>
    <row r="956" spans="1:11">
      <c r="A956" t="s">
        <v>2992</v>
      </c>
      <c r="B956" t="s">
        <v>2380</v>
      </c>
      <c r="C956" s="114">
        <v>104.41200000000001</v>
      </c>
      <c r="D956" s="114">
        <v>104.41200000000001</v>
      </c>
      <c r="E956" s="114">
        <v>180.28299999999999</v>
      </c>
      <c r="F956" s="114">
        <v>0</v>
      </c>
      <c r="G956" s="134">
        <v>244252</v>
      </c>
      <c r="H956" s="114">
        <v>0</v>
      </c>
      <c r="I956" s="114">
        <v>0</v>
      </c>
      <c r="J956" s="134">
        <v>164911259</v>
      </c>
      <c r="K956" s="134">
        <v>164911259</v>
      </c>
    </row>
    <row r="957" spans="1:11">
      <c r="A957" t="s">
        <v>1160</v>
      </c>
      <c r="B957" t="s">
        <v>1307</v>
      </c>
      <c r="C957" s="114">
        <v>817.79600000000005</v>
      </c>
      <c r="D957" s="114">
        <v>817.79600000000005</v>
      </c>
      <c r="E957" s="114">
        <v>1255.326</v>
      </c>
      <c r="F957" s="114">
        <v>0</v>
      </c>
      <c r="G957" s="134">
        <v>437569</v>
      </c>
      <c r="H957" s="134">
        <v>167622</v>
      </c>
      <c r="I957" s="134">
        <v>263076</v>
      </c>
      <c r="J957" s="134">
        <v>172995061</v>
      </c>
      <c r="K957" s="134">
        <v>172995061</v>
      </c>
    </row>
    <row r="958" spans="1:11">
      <c r="A958" t="s">
        <v>1320</v>
      </c>
      <c r="B958" t="s">
        <v>106</v>
      </c>
      <c r="C958" s="114">
        <v>5553.1130000000003</v>
      </c>
      <c r="D958" s="114">
        <v>5553.1130000000003</v>
      </c>
      <c r="E958" s="114">
        <v>7332.241</v>
      </c>
      <c r="F958" s="114">
        <v>0</v>
      </c>
      <c r="G958" s="134">
        <v>2791242</v>
      </c>
      <c r="H958" s="134">
        <v>2795091</v>
      </c>
      <c r="I958" s="114">
        <v>0</v>
      </c>
      <c r="J958" s="134">
        <v>1516964605</v>
      </c>
      <c r="K958" s="134">
        <v>1516964605</v>
      </c>
    </row>
    <row r="959" spans="1:11">
      <c r="A959" t="s">
        <v>306</v>
      </c>
      <c r="B959" t="s">
        <v>2722</v>
      </c>
      <c r="C959" s="114">
        <v>1302.2850000000001</v>
      </c>
      <c r="D959" s="114">
        <v>1302.2850000000001</v>
      </c>
      <c r="E959" s="114">
        <v>2004.529</v>
      </c>
      <c r="F959" s="114">
        <v>0</v>
      </c>
      <c r="G959" s="134">
        <v>1300935</v>
      </c>
      <c r="H959" s="134">
        <v>578320</v>
      </c>
      <c r="I959" s="134">
        <v>539488</v>
      </c>
      <c r="J959" s="134">
        <v>374479962</v>
      </c>
      <c r="K959" s="134">
        <v>374479962</v>
      </c>
    </row>
    <row r="960" spans="1:11">
      <c r="A960" t="s">
        <v>307</v>
      </c>
      <c r="B960" t="s">
        <v>159</v>
      </c>
      <c r="C960" s="114">
        <v>4861.17</v>
      </c>
      <c r="D960" s="114">
        <v>4861.17</v>
      </c>
      <c r="E960" s="114">
        <v>6305.1809999999996</v>
      </c>
      <c r="F960" s="114">
        <v>0</v>
      </c>
      <c r="G960" s="134">
        <v>5369771</v>
      </c>
      <c r="H960" s="134">
        <v>2483194</v>
      </c>
      <c r="I960" s="134">
        <v>1815772</v>
      </c>
      <c r="J960" s="134">
        <v>1359065678</v>
      </c>
      <c r="K960" s="134">
        <v>1359065678</v>
      </c>
    </row>
    <row r="961" spans="1:11">
      <c r="A961" t="s">
        <v>693</v>
      </c>
      <c r="B961" t="s">
        <v>107</v>
      </c>
      <c r="C961" s="114">
        <v>1768.6859999999999</v>
      </c>
      <c r="D961" s="114">
        <v>1768.6859999999999</v>
      </c>
      <c r="E961" s="114">
        <v>2636.5390000000002</v>
      </c>
      <c r="F961" s="114">
        <v>0</v>
      </c>
      <c r="G961" s="134">
        <v>2700157</v>
      </c>
      <c r="H961" s="134">
        <v>953058</v>
      </c>
      <c r="I961" s="134">
        <v>454239</v>
      </c>
      <c r="J961" s="134">
        <v>595140819</v>
      </c>
      <c r="K961" s="134">
        <v>595140819</v>
      </c>
    </row>
    <row r="962" spans="1:11">
      <c r="A962" t="s">
        <v>694</v>
      </c>
      <c r="B962" t="s">
        <v>999</v>
      </c>
      <c r="C962" s="114">
        <v>1839.6769999999999</v>
      </c>
      <c r="D962" s="114">
        <v>1839.6769999999999</v>
      </c>
      <c r="E962" s="114">
        <v>2369.922</v>
      </c>
      <c r="F962" s="114">
        <v>0</v>
      </c>
      <c r="G962" s="134">
        <v>2236538</v>
      </c>
      <c r="H962" s="134">
        <v>3010125</v>
      </c>
      <c r="I962" s="114">
        <v>0</v>
      </c>
      <c r="J962" s="134">
        <v>1230702270</v>
      </c>
      <c r="K962" s="134">
        <v>1230702270</v>
      </c>
    </row>
    <row r="963" spans="1:11">
      <c r="A963" t="s">
        <v>695</v>
      </c>
      <c r="B963" t="s">
        <v>1383</v>
      </c>
      <c r="C963" s="114">
        <v>112.56699999999999</v>
      </c>
      <c r="D963" s="114">
        <v>112.56699999999999</v>
      </c>
      <c r="E963" s="114">
        <v>238.773</v>
      </c>
      <c r="F963" s="114">
        <v>0</v>
      </c>
      <c r="G963" s="134">
        <v>83886</v>
      </c>
      <c r="H963" s="134">
        <v>106025</v>
      </c>
      <c r="I963" s="114">
        <v>0</v>
      </c>
      <c r="J963" s="134">
        <v>162444855</v>
      </c>
      <c r="K963" s="134">
        <v>162444855</v>
      </c>
    </row>
    <row r="964" spans="1:11">
      <c r="A964" t="s">
        <v>2669</v>
      </c>
      <c r="B964" t="s">
        <v>1384</v>
      </c>
      <c r="C964" s="114">
        <v>4553.7209999999995</v>
      </c>
      <c r="D964" s="114">
        <v>4553.7209999999995</v>
      </c>
      <c r="E964" s="114">
        <v>6366.91</v>
      </c>
      <c r="F964" s="114">
        <v>0</v>
      </c>
      <c r="G964" s="134">
        <v>2479373</v>
      </c>
      <c r="H964" s="134">
        <v>2749626</v>
      </c>
      <c r="I964" s="114">
        <v>0</v>
      </c>
      <c r="J964" s="134">
        <v>1765735428</v>
      </c>
      <c r="K964" s="134">
        <v>1765735428</v>
      </c>
    </row>
    <row r="965" spans="1:11">
      <c r="A965" t="s">
        <v>2670</v>
      </c>
      <c r="B965" t="s">
        <v>1385</v>
      </c>
      <c r="C965" s="114">
        <v>309.01499999999999</v>
      </c>
      <c r="D965" s="114">
        <v>309.01499999999999</v>
      </c>
      <c r="E965" s="114">
        <v>530.99199999999996</v>
      </c>
      <c r="F965" s="114">
        <v>0</v>
      </c>
      <c r="G965" s="134">
        <v>523071</v>
      </c>
      <c r="H965" s="134">
        <v>95547</v>
      </c>
      <c r="I965" s="114">
        <v>0</v>
      </c>
      <c r="J965" s="134">
        <v>288806593</v>
      </c>
      <c r="K965" s="134">
        <v>288806593</v>
      </c>
    </row>
    <row r="966" spans="1:11">
      <c r="A966" t="s">
        <v>1987</v>
      </c>
      <c r="B966" t="s">
        <v>2677</v>
      </c>
      <c r="C966" s="114">
        <v>22649.366999999998</v>
      </c>
      <c r="D966" s="114">
        <v>22649.366999999998</v>
      </c>
      <c r="E966" s="114">
        <v>32720.080000000002</v>
      </c>
      <c r="F966" s="114">
        <v>0</v>
      </c>
      <c r="G966" s="134">
        <v>4853037</v>
      </c>
      <c r="H966" s="134">
        <v>1191478</v>
      </c>
      <c r="I966" s="134">
        <v>3693662</v>
      </c>
      <c r="J966" s="134">
        <v>2017591690</v>
      </c>
      <c r="K966" s="134">
        <v>2017591690</v>
      </c>
    </row>
    <row r="967" spans="1:11">
      <c r="A967" t="s">
        <v>1713</v>
      </c>
      <c r="B967" t="s">
        <v>2703</v>
      </c>
      <c r="C967" s="114">
        <v>37136.016000000003</v>
      </c>
      <c r="D967" s="114">
        <v>37136.016000000003</v>
      </c>
      <c r="E967" s="114">
        <v>51217.273000000001</v>
      </c>
      <c r="F967" s="114">
        <v>0</v>
      </c>
      <c r="G967" s="134">
        <v>13927211</v>
      </c>
      <c r="H967" s="134">
        <v>14120789</v>
      </c>
      <c r="I967" s="134">
        <v>2507626</v>
      </c>
      <c r="J967" s="134">
        <v>8229290189</v>
      </c>
      <c r="K967" s="134">
        <v>8229290189</v>
      </c>
    </row>
    <row r="968" spans="1:11">
      <c r="A968" t="s">
        <v>1043</v>
      </c>
      <c r="B968" t="s">
        <v>2666</v>
      </c>
      <c r="C968" s="114">
        <v>309.94</v>
      </c>
      <c r="D968" s="114">
        <v>319.43599999999998</v>
      </c>
      <c r="E968" s="114">
        <v>630.74400000000003</v>
      </c>
      <c r="F968" s="114">
        <v>0</v>
      </c>
      <c r="G968" s="134">
        <v>553850</v>
      </c>
      <c r="H968" s="134">
        <v>826394</v>
      </c>
      <c r="I968" s="114">
        <v>0</v>
      </c>
      <c r="J968" s="134">
        <v>1549006150</v>
      </c>
      <c r="K968" s="134">
        <v>1549006150</v>
      </c>
    </row>
    <row r="969" spans="1:11">
      <c r="A969" t="s">
        <v>1044</v>
      </c>
      <c r="B969" t="s">
        <v>1387</v>
      </c>
      <c r="C969" s="114">
        <v>868.75800000000004</v>
      </c>
      <c r="D969" s="114">
        <v>872.81500000000005</v>
      </c>
      <c r="E969" s="114">
        <v>1335.375</v>
      </c>
      <c r="F969" s="114">
        <v>0</v>
      </c>
      <c r="G969" s="114">
        <v>0</v>
      </c>
      <c r="H969" s="114">
        <v>0</v>
      </c>
      <c r="I969" s="114">
        <v>0</v>
      </c>
      <c r="J969" s="134">
        <v>168362128</v>
      </c>
      <c r="K969" s="134">
        <v>168362128</v>
      </c>
    </row>
    <row r="970" spans="1:11">
      <c r="A970" t="s">
        <v>1045</v>
      </c>
      <c r="B970" t="s">
        <v>1388</v>
      </c>
      <c r="C970" s="114">
        <v>896.60699999999997</v>
      </c>
      <c r="D970" s="114">
        <v>896.60699999999997</v>
      </c>
      <c r="E970" s="114">
        <v>1276.7619999999999</v>
      </c>
      <c r="F970" s="114">
        <v>0</v>
      </c>
      <c r="G970" s="134">
        <v>141907</v>
      </c>
      <c r="H970" s="134">
        <v>263178</v>
      </c>
      <c r="I970" s="114">
        <v>0</v>
      </c>
      <c r="J970" s="134">
        <v>258851784</v>
      </c>
      <c r="K970" s="134">
        <v>258851784</v>
      </c>
    </row>
    <row r="971" spans="1:11">
      <c r="A971" t="s">
        <v>624</v>
      </c>
      <c r="B971" t="s">
        <v>1389</v>
      </c>
      <c r="C971" s="114">
        <v>3200.3760000000002</v>
      </c>
      <c r="D971" s="114">
        <v>3200.3760000000002</v>
      </c>
      <c r="E971" s="114">
        <v>4423.7330000000002</v>
      </c>
      <c r="F971" s="114">
        <v>0</v>
      </c>
      <c r="G971" s="134">
        <v>1639375</v>
      </c>
      <c r="H971" s="134">
        <v>1868196</v>
      </c>
      <c r="I971" s="114">
        <v>0</v>
      </c>
      <c r="J971" s="134">
        <v>1067655549</v>
      </c>
      <c r="K971" s="134">
        <v>1067655549</v>
      </c>
    </row>
    <row r="972" spans="1:11">
      <c r="A972" t="s">
        <v>1014</v>
      </c>
      <c r="B972" t="s">
        <v>1390</v>
      </c>
      <c r="C972" s="114">
        <v>2038.3589999999999</v>
      </c>
      <c r="D972" s="114">
        <v>2038.3589999999999</v>
      </c>
      <c r="E972" s="114">
        <v>2922.116</v>
      </c>
      <c r="F972" s="114">
        <v>0</v>
      </c>
      <c r="G972" s="134">
        <v>1540105</v>
      </c>
      <c r="H972" s="134">
        <v>1484507</v>
      </c>
      <c r="I972" s="114">
        <v>0</v>
      </c>
      <c r="J972" s="134">
        <v>660134851</v>
      </c>
      <c r="K972" s="134">
        <v>660134851</v>
      </c>
    </row>
    <row r="973" spans="1:11">
      <c r="A973" t="s">
        <v>1015</v>
      </c>
      <c r="B973" t="s">
        <v>1391</v>
      </c>
      <c r="C973" s="114">
        <v>471.45400000000001</v>
      </c>
      <c r="D973" s="114">
        <v>471.45400000000001</v>
      </c>
      <c r="E973" s="114">
        <v>779.43600000000004</v>
      </c>
      <c r="F973" s="114">
        <v>0</v>
      </c>
      <c r="G973" s="134">
        <v>247074</v>
      </c>
      <c r="H973" s="134">
        <v>242092</v>
      </c>
      <c r="I973" s="114">
        <v>0</v>
      </c>
      <c r="J973" s="134">
        <v>155207202</v>
      </c>
      <c r="K973" s="134">
        <v>155207202</v>
      </c>
    </row>
    <row r="974" spans="1:11">
      <c r="A974" t="s">
        <v>1016</v>
      </c>
      <c r="B974" t="s">
        <v>1392</v>
      </c>
      <c r="C974" s="114">
        <v>300.27199999999999</v>
      </c>
      <c r="D974" s="114">
        <v>300.27199999999999</v>
      </c>
      <c r="E974" s="114">
        <v>570.93200000000002</v>
      </c>
      <c r="F974" s="114">
        <v>0</v>
      </c>
      <c r="G974" s="114">
        <v>0</v>
      </c>
      <c r="H974" s="114">
        <v>0</v>
      </c>
      <c r="I974" s="114">
        <v>0</v>
      </c>
      <c r="J974" s="134">
        <v>137960346</v>
      </c>
      <c r="K974" s="134">
        <v>137960346</v>
      </c>
    </row>
    <row r="975" spans="1:11">
      <c r="A975" t="s">
        <v>1017</v>
      </c>
      <c r="B975" t="s">
        <v>1393</v>
      </c>
      <c r="C975" s="114">
        <v>372.06799999999998</v>
      </c>
      <c r="D975" s="114">
        <v>372.06799999999998</v>
      </c>
      <c r="E975" s="114">
        <v>589.59699999999998</v>
      </c>
      <c r="F975" s="114">
        <v>0</v>
      </c>
      <c r="G975" s="134">
        <v>315170</v>
      </c>
      <c r="H975" s="114">
        <v>0</v>
      </c>
      <c r="I975" s="114">
        <v>0</v>
      </c>
      <c r="J975" s="134">
        <v>188650433</v>
      </c>
      <c r="K975" s="134">
        <v>188650433</v>
      </c>
    </row>
    <row r="976" spans="1:11">
      <c r="A976" t="s">
        <v>1940</v>
      </c>
      <c r="B976" t="s">
        <v>1394</v>
      </c>
      <c r="C976" s="114">
        <v>114.217</v>
      </c>
      <c r="D976" s="114">
        <v>114.217</v>
      </c>
      <c r="E976" s="114">
        <v>203.679</v>
      </c>
      <c r="F976" s="114">
        <v>0</v>
      </c>
      <c r="G976" s="134">
        <v>926404</v>
      </c>
      <c r="H976" s="114">
        <v>0</v>
      </c>
      <c r="I976" s="114">
        <v>0</v>
      </c>
      <c r="J976" s="134">
        <v>437748939</v>
      </c>
      <c r="K976" s="134">
        <v>437748939</v>
      </c>
    </row>
    <row r="977" spans="1:11">
      <c r="A977" t="s">
        <v>2648</v>
      </c>
      <c r="B977" t="s">
        <v>1395</v>
      </c>
      <c r="C977" s="114">
        <v>138.072</v>
      </c>
      <c r="D977" s="114">
        <v>147.29499999999999</v>
      </c>
      <c r="E977" s="114">
        <v>285</v>
      </c>
      <c r="F977" s="114">
        <v>0</v>
      </c>
      <c r="G977" s="134">
        <v>1720514</v>
      </c>
      <c r="H977" s="134">
        <v>291721</v>
      </c>
      <c r="I977" s="114">
        <v>0</v>
      </c>
      <c r="J977" s="134">
        <v>1337015214</v>
      </c>
      <c r="K977" s="134">
        <v>1337015214</v>
      </c>
    </row>
    <row r="978" spans="1:11">
      <c r="A978" t="s">
        <v>996</v>
      </c>
      <c r="B978" t="s">
        <v>1633</v>
      </c>
      <c r="C978" s="114">
        <v>3308.75</v>
      </c>
      <c r="D978" s="114">
        <v>3308.75</v>
      </c>
      <c r="E978" s="114">
        <v>4354.6030000000001</v>
      </c>
      <c r="F978" s="114">
        <v>0</v>
      </c>
      <c r="G978" s="134">
        <v>970864</v>
      </c>
      <c r="H978" s="134">
        <v>425634</v>
      </c>
      <c r="I978" s="134">
        <v>534952</v>
      </c>
      <c r="J978" s="134">
        <v>710854175</v>
      </c>
      <c r="K978" s="134">
        <v>710854175</v>
      </c>
    </row>
    <row r="979" spans="1:11">
      <c r="A979" t="s">
        <v>1424</v>
      </c>
      <c r="B979" t="s">
        <v>1804</v>
      </c>
      <c r="C979" s="114">
        <v>498.22199999999998</v>
      </c>
      <c r="D979" s="114">
        <v>498.22199999999998</v>
      </c>
      <c r="E979" s="114">
        <v>812.74099999999999</v>
      </c>
      <c r="F979" s="114">
        <v>0</v>
      </c>
      <c r="G979" s="134">
        <v>194308</v>
      </c>
      <c r="H979" s="134">
        <v>203458</v>
      </c>
      <c r="I979" s="114">
        <v>0</v>
      </c>
      <c r="J979" s="134">
        <v>184029078</v>
      </c>
      <c r="K979" s="134">
        <v>184029078</v>
      </c>
    </row>
    <row r="980" spans="1:11">
      <c r="A980" t="s">
        <v>714</v>
      </c>
      <c r="B980" t="s">
        <v>2667</v>
      </c>
      <c r="C980" s="114">
        <v>1663.4739999999999</v>
      </c>
      <c r="D980" s="114">
        <v>1663.4739999999999</v>
      </c>
      <c r="E980" s="114">
        <v>2212.5349999999999</v>
      </c>
      <c r="F980" s="114">
        <v>0</v>
      </c>
      <c r="G980" s="134">
        <v>410279</v>
      </c>
      <c r="H980" s="134">
        <v>463458</v>
      </c>
      <c r="I980" s="114">
        <v>0</v>
      </c>
      <c r="J980" s="134">
        <v>472695946</v>
      </c>
      <c r="K980" s="134">
        <v>472695946</v>
      </c>
    </row>
    <row r="981" spans="1:11">
      <c r="A981" t="s">
        <v>2088</v>
      </c>
      <c r="B981" t="s">
        <v>1806</v>
      </c>
      <c r="C981" s="114">
        <v>13409.826999999999</v>
      </c>
      <c r="D981" s="114">
        <v>13409.826999999999</v>
      </c>
      <c r="E981" s="114">
        <v>17697.190999999999</v>
      </c>
      <c r="F981" s="114">
        <v>0</v>
      </c>
      <c r="G981" s="134">
        <v>6359356</v>
      </c>
      <c r="H981" s="134">
        <v>2582062</v>
      </c>
      <c r="I981" s="134">
        <v>2745779</v>
      </c>
      <c r="J981" s="134">
        <v>3814707708</v>
      </c>
      <c r="K981" s="134">
        <v>3814707708</v>
      </c>
    </row>
    <row r="982" spans="1:11">
      <c r="A982" t="s">
        <v>626</v>
      </c>
      <c r="B982" t="s">
        <v>1327</v>
      </c>
      <c r="C982" s="114">
        <v>907</v>
      </c>
      <c r="D982" s="114">
        <v>907</v>
      </c>
      <c r="E982" s="114">
        <v>1352.808</v>
      </c>
      <c r="F982" s="114">
        <v>0</v>
      </c>
      <c r="G982" s="134">
        <v>383454</v>
      </c>
      <c r="H982" s="134">
        <v>187686</v>
      </c>
      <c r="I982" s="134">
        <v>175224</v>
      </c>
      <c r="J982" s="134">
        <v>160008021</v>
      </c>
      <c r="K982" s="134">
        <v>160008021</v>
      </c>
    </row>
    <row r="983" spans="1:11">
      <c r="A983" t="s">
        <v>1534</v>
      </c>
      <c r="B983" t="s">
        <v>1807</v>
      </c>
      <c r="C983" s="114">
        <v>95.165000000000006</v>
      </c>
      <c r="D983" s="114">
        <v>98.36</v>
      </c>
      <c r="E983" s="114">
        <v>231.12100000000001</v>
      </c>
      <c r="F983" s="114">
        <v>0</v>
      </c>
      <c r="G983" s="114">
        <v>0</v>
      </c>
      <c r="H983" s="114">
        <v>0</v>
      </c>
      <c r="I983" s="114">
        <v>0</v>
      </c>
      <c r="J983" s="134">
        <v>45035632</v>
      </c>
      <c r="K983" s="134">
        <v>45035632</v>
      </c>
    </row>
    <row r="984" spans="1:11">
      <c r="A984" t="s">
        <v>9</v>
      </c>
      <c r="B984" t="s">
        <v>1808</v>
      </c>
      <c r="C984" s="114">
        <v>2077.3380000000002</v>
      </c>
      <c r="D984" s="114">
        <v>2077.3380000000002</v>
      </c>
      <c r="E984" s="114">
        <v>3033.732</v>
      </c>
      <c r="F984" s="114">
        <v>0</v>
      </c>
      <c r="G984" s="134">
        <v>684238</v>
      </c>
      <c r="H984" s="114">
        <v>0</v>
      </c>
      <c r="I984" s="114">
        <v>0</v>
      </c>
      <c r="J984" s="134">
        <v>802228025</v>
      </c>
      <c r="K984" s="134">
        <v>802228025</v>
      </c>
    </row>
    <row r="985" spans="1:11">
      <c r="A985" t="s">
        <v>10</v>
      </c>
      <c r="B985" t="s">
        <v>2612</v>
      </c>
      <c r="C985" s="114">
        <v>169.44300000000001</v>
      </c>
      <c r="D985" s="114">
        <v>171.983</v>
      </c>
      <c r="E985" s="114">
        <v>277.71800000000002</v>
      </c>
      <c r="F985" s="114">
        <v>0</v>
      </c>
      <c r="G985" s="134">
        <v>25426</v>
      </c>
      <c r="H985" s="134">
        <v>8098</v>
      </c>
      <c r="I985" s="134">
        <v>15062</v>
      </c>
      <c r="J985" s="134">
        <v>21086958</v>
      </c>
      <c r="K985" s="134">
        <v>21086958</v>
      </c>
    </row>
    <row r="986" spans="1:11">
      <c r="A986" t="s">
        <v>1695</v>
      </c>
      <c r="B986" t="s">
        <v>2678</v>
      </c>
      <c r="C986" s="114">
        <v>395.00400000000002</v>
      </c>
      <c r="D986" s="114">
        <v>395.00400000000002</v>
      </c>
      <c r="E986" s="114">
        <v>678.84299999999996</v>
      </c>
      <c r="F986" s="134">
        <v>21965</v>
      </c>
      <c r="G986" s="134">
        <v>147737</v>
      </c>
      <c r="H986" s="114">
        <v>0</v>
      </c>
      <c r="I986" s="134">
        <v>106987</v>
      </c>
      <c r="J986" s="134">
        <v>40199864</v>
      </c>
      <c r="K986" s="134">
        <v>40199864</v>
      </c>
    </row>
    <row r="987" spans="1:11">
      <c r="A987" t="s">
        <v>2387</v>
      </c>
      <c r="B987" t="s">
        <v>950</v>
      </c>
      <c r="C987" s="114">
        <v>1419.4269999999999</v>
      </c>
      <c r="D987" s="114">
        <v>1419.4269999999999</v>
      </c>
      <c r="E987" s="114">
        <v>2238.0210000000002</v>
      </c>
      <c r="F987" s="114">
        <v>0</v>
      </c>
      <c r="G987" s="134">
        <v>323392</v>
      </c>
      <c r="H987" s="134">
        <v>25785</v>
      </c>
      <c r="I987" s="134">
        <v>252398</v>
      </c>
      <c r="J987" s="134">
        <v>166229644</v>
      </c>
      <c r="K987" s="134">
        <v>166229644</v>
      </c>
    </row>
    <row r="988" spans="1:11">
      <c r="A988" t="s">
        <v>465</v>
      </c>
      <c r="B988" t="s">
        <v>91</v>
      </c>
      <c r="C988" s="114">
        <v>2033.729</v>
      </c>
      <c r="D988" s="114">
        <v>2052.1729999999998</v>
      </c>
      <c r="E988" s="114">
        <v>3077.4940000000001</v>
      </c>
      <c r="F988" s="114">
        <v>0</v>
      </c>
      <c r="G988" s="134">
        <v>1041320</v>
      </c>
      <c r="H988" s="114">
        <v>0</v>
      </c>
      <c r="I988" s="134">
        <v>859445</v>
      </c>
      <c r="J988" s="134">
        <v>341827604</v>
      </c>
      <c r="K988" s="134">
        <v>341827604</v>
      </c>
    </row>
    <row r="989" spans="1:11">
      <c r="A989" t="s">
        <v>308</v>
      </c>
      <c r="B989" t="s">
        <v>580</v>
      </c>
      <c r="C989" s="114">
        <v>265.80700000000002</v>
      </c>
      <c r="D989" s="114">
        <v>265.80700000000002</v>
      </c>
      <c r="E989" s="114">
        <v>539.02499999999998</v>
      </c>
      <c r="F989" s="114">
        <v>0</v>
      </c>
      <c r="G989" s="134">
        <v>155399</v>
      </c>
      <c r="H989" s="114">
        <v>0</v>
      </c>
      <c r="I989" s="134">
        <v>81274</v>
      </c>
      <c r="J989" s="134">
        <v>57414537</v>
      </c>
      <c r="K989" s="134">
        <v>57414537</v>
      </c>
    </row>
    <row r="990" spans="1:11">
      <c r="A990" t="s">
        <v>1514</v>
      </c>
      <c r="B990" t="s">
        <v>130</v>
      </c>
      <c r="C990" s="114">
        <v>967.46100000000001</v>
      </c>
      <c r="D990" s="114">
        <v>967.46100000000001</v>
      </c>
      <c r="E990" s="114">
        <v>1497.5640000000001</v>
      </c>
      <c r="F990" s="114">
        <v>0</v>
      </c>
      <c r="G990" s="134">
        <v>422317</v>
      </c>
      <c r="H990" s="134">
        <v>411822</v>
      </c>
      <c r="I990" s="134">
        <v>147336</v>
      </c>
      <c r="J990" s="134">
        <v>215973767</v>
      </c>
      <c r="K990" s="134">
        <v>215973767</v>
      </c>
    </row>
    <row r="991" spans="1:11">
      <c r="A991" t="s">
        <v>2975</v>
      </c>
      <c r="B991" t="s">
        <v>2650</v>
      </c>
      <c r="C991" s="114">
        <v>9602.0709999999999</v>
      </c>
      <c r="D991" s="114">
        <v>9602.0709999999999</v>
      </c>
      <c r="E991" s="114">
        <v>11805.058999999999</v>
      </c>
      <c r="F991" s="114">
        <v>0</v>
      </c>
      <c r="G991" s="134">
        <v>12852321</v>
      </c>
      <c r="H991" s="134">
        <v>11078271</v>
      </c>
      <c r="I991" s="134">
        <v>1703750</v>
      </c>
      <c r="J991" s="134">
        <v>4512696679</v>
      </c>
      <c r="K991" s="134">
        <v>4512696679</v>
      </c>
    </row>
    <row r="992" spans="1:11">
      <c r="A992" t="s">
        <v>2038</v>
      </c>
      <c r="B992" t="s">
        <v>1153</v>
      </c>
      <c r="C992" s="114">
        <v>413.92399999999998</v>
      </c>
      <c r="D992" s="114">
        <v>421.17</v>
      </c>
      <c r="E992" s="114">
        <v>715.06899999999996</v>
      </c>
      <c r="F992" s="114">
        <v>0</v>
      </c>
      <c r="G992" s="134">
        <v>63925</v>
      </c>
      <c r="H992" s="134">
        <v>32939</v>
      </c>
      <c r="I992" s="134">
        <v>32285</v>
      </c>
      <c r="J992" s="134">
        <v>91086982</v>
      </c>
      <c r="K992" s="134">
        <v>91086982</v>
      </c>
    </row>
    <row r="993" spans="1:11">
      <c r="A993" t="s">
        <v>47</v>
      </c>
      <c r="B993" t="s">
        <v>1440</v>
      </c>
      <c r="C993" s="114">
        <v>4580.9229999999998</v>
      </c>
      <c r="D993" s="114">
        <v>4580.9229999999998</v>
      </c>
      <c r="E993" s="114">
        <v>5569.4350000000004</v>
      </c>
      <c r="F993" s="114">
        <v>0</v>
      </c>
      <c r="G993" s="134">
        <v>5384185</v>
      </c>
      <c r="H993" s="134">
        <v>3447845</v>
      </c>
      <c r="I993" s="134">
        <v>1151118</v>
      </c>
      <c r="J993" s="134">
        <v>1188911912</v>
      </c>
      <c r="K993" s="134">
        <v>1188911912</v>
      </c>
    </row>
    <row r="994" spans="1:11">
      <c r="A994" t="s">
        <v>11</v>
      </c>
      <c r="B994" t="s">
        <v>1809</v>
      </c>
      <c r="C994" s="114">
        <v>813.91300000000001</v>
      </c>
      <c r="D994" s="114">
        <v>813.91300000000001</v>
      </c>
      <c r="E994" s="114">
        <v>1233.999</v>
      </c>
      <c r="F994" s="114">
        <v>0</v>
      </c>
      <c r="G994" s="134">
        <v>1548033</v>
      </c>
      <c r="H994" s="134">
        <v>1529095</v>
      </c>
      <c r="I994" s="114">
        <v>0</v>
      </c>
      <c r="J994" s="134">
        <v>527274139</v>
      </c>
      <c r="K994" s="134">
        <v>527274139</v>
      </c>
    </row>
    <row r="995" spans="1:11">
      <c r="A995" t="s">
        <v>1990</v>
      </c>
      <c r="B995" t="s">
        <v>2826</v>
      </c>
      <c r="C995" s="114">
        <v>2362.3470000000002</v>
      </c>
      <c r="D995" s="114">
        <v>2362.3470000000002</v>
      </c>
      <c r="E995" s="114">
        <v>3032.2640000000001</v>
      </c>
      <c r="F995" s="114">
        <v>0</v>
      </c>
      <c r="G995" s="134">
        <v>2055563</v>
      </c>
      <c r="H995" s="134">
        <v>2010202</v>
      </c>
      <c r="I995" s="134">
        <v>292367</v>
      </c>
      <c r="J995" s="134">
        <v>824843304</v>
      </c>
      <c r="K995" s="134">
        <v>824843304</v>
      </c>
    </row>
    <row r="996" spans="1:11">
      <c r="A996" t="s">
        <v>1485</v>
      </c>
      <c r="B996" t="s">
        <v>666</v>
      </c>
      <c r="C996" s="114">
        <v>39307.919999999998</v>
      </c>
      <c r="D996" s="114">
        <v>39307.919999999998</v>
      </c>
      <c r="E996" s="114">
        <v>47208.084000000003</v>
      </c>
      <c r="F996" s="114">
        <v>0</v>
      </c>
      <c r="G996" s="134">
        <v>64217841</v>
      </c>
      <c r="H996" s="134">
        <v>54314261</v>
      </c>
      <c r="I996" s="134">
        <v>4864237</v>
      </c>
      <c r="J996" s="134">
        <v>18729055347</v>
      </c>
      <c r="K996" s="134">
        <v>18729055347</v>
      </c>
    </row>
    <row r="997" spans="1:11">
      <c r="A997" t="s">
        <v>1738</v>
      </c>
      <c r="B997" t="s">
        <v>657</v>
      </c>
      <c r="C997" s="114">
        <v>2917.4749999999999</v>
      </c>
      <c r="D997" s="114">
        <v>2917.4749999999999</v>
      </c>
      <c r="E997" s="114">
        <v>4030.02</v>
      </c>
      <c r="F997" s="114">
        <v>0</v>
      </c>
      <c r="G997" s="134">
        <v>1254983</v>
      </c>
      <c r="H997" s="134">
        <v>869413</v>
      </c>
      <c r="I997" s="134">
        <v>348402</v>
      </c>
      <c r="J997" s="134">
        <v>752956539</v>
      </c>
      <c r="K997" s="134">
        <v>752956539</v>
      </c>
    </row>
    <row r="998" spans="1:11">
      <c r="A998" t="s">
        <v>1708</v>
      </c>
      <c r="B998" t="s">
        <v>659</v>
      </c>
      <c r="C998" s="114">
        <v>591.88099999999997</v>
      </c>
      <c r="D998" s="114">
        <v>591.88099999999997</v>
      </c>
      <c r="E998" s="114">
        <v>883.14099999999996</v>
      </c>
      <c r="F998" s="114">
        <v>0</v>
      </c>
      <c r="G998" s="134">
        <v>228648</v>
      </c>
      <c r="H998" s="134">
        <v>95807</v>
      </c>
      <c r="I998" s="134">
        <v>74776</v>
      </c>
      <c r="J998" s="134">
        <v>135476319</v>
      </c>
      <c r="K998" s="134">
        <v>135476319</v>
      </c>
    </row>
    <row r="999" spans="1:11">
      <c r="A999" t="s">
        <v>1988</v>
      </c>
      <c r="B999" t="s">
        <v>2824</v>
      </c>
      <c r="C999" s="114">
        <v>26953.091</v>
      </c>
      <c r="D999" s="114">
        <v>26953.091</v>
      </c>
      <c r="E999" s="114">
        <v>32043.951000000001</v>
      </c>
      <c r="F999" s="114">
        <v>0</v>
      </c>
      <c r="G999" s="134">
        <v>42676824</v>
      </c>
      <c r="H999" s="134">
        <v>32042841</v>
      </c>
      <c r="I999" s="134">
        <v>379027</v>
      </c>
      <c r="J999" s="134">
        <v>11049255518</v>
      </c>
      <c r="K999" s="134">
        <v>11049255518</v>
      </c>
    </row>
    <row r="1000" spans="1:11">
      <c r="A1000" t="s">
        <v>12</v>
      </c>
      <c r="B1000" t="s">
        <v>1810</v>
      </c>
      <c r="C1000" s="114">
        <v>137.66</v>
      </c>
      <c r="D1000" s="114">
        <v>137.66</v>
      </c>
      <c r="E1000" s="114">
        <v>212.63</v>
      </c>
      <c r="F1000" s="114">
        <v>0</v>
      </c>
      <c r="G1000" s="114">
        <v>0</v>
      </c>
      <c r="H1000" s="114">
        <v>0</v>
      </c>
      <c r="I1000" s="114">
        <v>0</v>
      </c>
      <c r="J1000" s="134">
        <v>49860455</v>
      </c>
      <c r="K1000" s="134">
        <v>49860455</v>
      </c>
    </row>
    <row r="1001" spans="1:11">
      <c r="A1001" t="s">
        <v>2814</v>
      </c>
      <c r="B1001" t="s">
        <v>131</v>
      </c>
      <c r="C1001" s="114">
        <v>3459.1849999999999</v>
      </c>
      <c r="D1001" s="114">
        <v>3459.1849999999999</v>
      </c>
      <c r="E1001" s="114">
        <v>4693.951</v>
      </c>
      <c r="F1001" s="114">
        <v>0</v>
      </c>
      <c r="G1001" s="134">
        <v>3876872</v>
      </c>
      <c r="H1001" s="134">
        <v>557701</v>
      </c>
      <c r="I1001" s="134">
        <v>1029865</v>
      </c>
      <c r="J1001" s="134">
        <v>816404917</v>
      </c>
      <c r="K1001" s="134">
        <v>816404917</v>
      </c>
    </row>
    <row r="1002" spans="1:11">
      <c r="A1002" t="s">
        <v>66</v>
      </c>
      <c r="B1002" t="s">
        <v>2173</v>
      </c>
      <c r="C1002" s="114">
        <v>2769.9850000000001</v>
      </c>
      <c r="D1002" s="114">
        <v>2769.9850000000001</v>
      </c>
      <c r="E1002" s="114">
        <v>3657.1959999999999</v>
      </c>
      <c r="F1002" s="114">
        <v>0</v>
      </c>
      <c r="G1002" s="134">
        <v>2111898</v>
      </c>
      <c r="H1002" s="134">
        <v>610300</v>
      </c>
      <c r="I1002" s="134">
        <v>642196</v>
      </c>
      <c r="J1002" s="134">
        <v>545686509</v>
      </c>
      <c r="K1002" s="134">
        <v>545686509</v>
      </c>
    </row>
    <row r="1003" spans="1:11">
      <c r="A1003" t="s">
        <v>2815</v>
      </c>
      <c r="B1003" t="s">
        <v>1132</v>
      </c>
      <c r="C1003" s="114">
        <v>762.76700000000005</v>
      </c>
      <c r="D1003" s="114">
        <v>766.10400000000004</v>
      </c>
      <c r="E1003" s="114">
        <v>1168.434</v>
      </c>
      <c r="F1003" s="114">
        <v>0</v>
      </c>
      <c r="G1003" s="134">
        <v>68507</v>
      </c>
      <c r="H1003" s="114">
        <v>0</v>
      </c>
      <c r="I1003" s="134">
        <v>80142</v>
      </c>
      <c r="J1003" s="134">
        <v>139495523</v>
      </c>
      <c r="K1003" s="134">
        <v>139495523</v>
      </c>
    </row>
    <row r="1004" spans="1:11">
      <c r="A1004" t="s">
        <v>1705</v>
      </c>
      <c r="B1004" t="s">
        <v>2215</v>
      </c>
      <c r="C1004" s="114">
        <v>743.30799999999999</v>
      </c>
      <c r="D1004" s="114">
        <v>743.30799999999999</v>
      </c>
      <c r="E1004" s="114">
        <v>1157.04</v>
      </c>
      <c r="F1004" s="114">
        <v>0</v>
      </c>
      <c r="G1004" s="134">
        <v>411446</v>
      </c>
      <c r="H1004" s="114">
        <v>0</v>
      </c>
      <c r="I1004" s="134">
        <v>188802</v>
      </c>
      <c r="J1004" s="134">
        <v>139131818</v>
      </c>
      <c r="K1004" s="134">
        <v>139131818</v>
      </c>
    </row>
    <row r="1005" spans="1:11">
      <c r="A1005" t="s">
        <v>1339</v>
      </c>
      <c r="B1005" t="s">
        <v>1811</v>
      </c>
      <c r="C1005" s="114">
        <v>1191.576</v>
      </c>
      <c r="D1005" s="114">
        <v>1191.576</v>
      </c>
      <c r="E1005" s="114">
        <v>1838.587</v>
      </c>
      <c r="F1005" s="114">
        <v>0</v>
      </c>
      <c r="G1005" s="134">
        <v>2168219</v>
      </c>
      <c r="H1005" s="114">
        <v>0</v>
      </c>
      <c r="I1005" s="114">
        <v>0</v>
      </c>
      <c r="J1005" s="134">
        <v>667788658</v>
      </c>
      <c r="K1005" s="134">
        <v>667788658</v>
      </c>
    </row>
    <row r="1006" spans="1:11">
      <c r="A1006" t="s">
        <v>1340</v>
      </c>
      <c r="B1006" t="s">
        <v>1812</v>
      </c>
      <c r="C1006" s="114">
        <v>281.98599999999999</v>
      </c>
      <c r="D1006" s="114">
        <v>292.93</v>
      </c>
      <c r="E1006" s="114">
        <v>561.798</v>
      </c>
      <c r="F1006" s="114">
        <v>0</v>
      </c>
      <c r="G1006" s="114">
        <v>0</v>
      </c>
      <c r="H1006" s="114">
        <v>0</v>
      </c>
      <c r="I1006" s="114">
        <v>0</v>
      </c>
      <c r="J1006" s="134">
        <v>1207914489</v>
      </c>
      <c r="K1006" s="134">
        <v>1207914489</v>
      </c>
    </row>
    <row r="1007" spans="1:11">
      <c r="A1007" t="s">
        <v>224</v>
      </c>
      <c r="B1007" t="s">
        <v>1203</v>
      </c>
      <c r="C1007" s="114">
        <v>686.68399999999997</v>
      </c>
      <c r="D1007" s="114">
        <v>686.68399999999997</v>
      </c>
      <c r="E1007" s="114">
        <v>1048.7650000000001</v>
      </c>
      <c r="F1007" s="114">
        <v>0</v>
      </c>
      <c r="G1007" s="134">
        <v>500521</v>
      </c>
      <c r="H1007" s="134">
        <v>128529</v>
      </c>
      <c r="I1007" s="134">
        <v>412425</v>
      </c>
      <c r="J1007" s="134">
        <v>212630923</v>
      </c>
      <c r="K1007" s="134">
        <v>212630923</v>
      </c>
    </row>
    <row r="1008" spans="1:11">
      <c r="A1008" t="s">
        <v>904</v>
      </c>
      <c r="B1008" t="s">
        <v>1813</v>
      </c>
      <c r="C1008" s="114">
        <v>947.92399999999998</v>
      </c>
      <c r="D1008" s="114">
        <v>947.92399999999998</v>
      </c>
      <c r="E1008" s="114">
        <v>1461.54</v>
      </c>
      <c r="F1008" s="114">
        <v>0</v>
      </c>
      <c r="G1008" s="134">
        <v>1683839</v>
      </c>
      <c r="H1008" s="134">
        <v>525753</v>
      </c>
      <c r="I1008" s="114">
        <v>0</v>
      </c>
      <c r="J1008" s="134">
        <v>602795022</v>
      </c>
      <c r="K1008" s="134">
        <v>602795022</v>
      </c>
    </row>
    <row r="1009" spans="1:11">
      <c r="A1009" t="s">
        <v>2491</v>
      </c>
      <c r="B1009" t="s">
        <v>1814</v>
      </c>
      <c r="C1009" s="114">
        <v>2181.4459999999999</v>
      </c>
      <c r="D1009" s="114">
        <v>2181.4459999999999</v>
      </c>
      <c r="E1009" s="114">
        <v>2790.4740000000002</v>
      </c>
      <c r="F1009" s="114">
        <v>0</v>
      </c>
      <c r="G1009" s="134">
        <v>1927718</v>
      </c>
      <c r="H1009" s="134">
        <v>2436485</v>
      </c>
      <c r="I1009" s="114">
        <v>0</v>
      </c>
      <c r="J1009" s="134">
        <v>1113688092</v>
      </c>
      <c r="K1009" s="134">
        <v>1113688092</v>
      </c>
    </row>
    <row r="1010" spans="1:11">
      <c r="A1010" t="s">
        <v>2780</v>
      </c>
      <c r="B1010" t="s">
        <v>1815</v>
      </c>
      <c r="C1010" s="114">
        <v>585.21199999999999</v>
      </c>
      <c r="D1010" s="114">
        <v>599.34699999999998</v>
      </c>
      <c r="E1010" s="114">
        <v>933.91300000000001</v>
      </c>
      <c r="F1010" s="114">
        <v>0</v>
      </c>
      <c r="G1010" s="134">
        <v>1037679</v>
      </c>
      <c r="H1010" s="134">
        <v>252041</v>
      </c>
      <c r="I1010" s="114">
        <v>0</v>
      </c>
      <c r="J1010" s="134">
        <v>455726490</v>
      </c>
      <c r="K1010" s="134">
        <v>455726490</v>
      </c>
    </row>
    <row r="1011" spans="1:11">
      <c r="A1011" t="s">
        <v>2781</v>
      </c>
      <c r="B1011" t="s">
        <v>1816</v>
      </c>
      <c r="C1011" s="114">
        <v>2801.43</v>
      </c>
      <c r="D1011" s="114">
        <v>2801.43</v>
      </c>
      <c r="E1011" s="114">
        <v>3473.95</v>
      </c>
      <c r="F1011" s="114">
        <v>0</v>
      </c>
      <c r="G1011" s="134">
        <v>5497389</v>
      </c>
      <c r="H1011" s="134">
        <v>4939137</v>
      </c>
      <c r="I1011" s="114">
        <v>0</v>
      </c>
      <c r="J1011" s="134">
        <v>1703150539</v>
      </c>
      <c r="K1011" s="134">
        <v>1703150539</v>
      </c>
    </row>
    <row r="1012" spans="1:11">
      <c r="A1012" t="s">
        <v>2302</v>
      </c>
      <c r="B1012" t="s">
        <v>1541</v>
      </c>
      <c r="C1012" s="114">
        <v>989.17700000000002</v>
      </c>
      <c r="D1012" s="114">
        <v>989.17700000000002</v>
      </c>
      <c r="E1012" s="114">
        <v>1458.3679999999999</v>
      </c>
      <c r="F1012" s="114">
        <v>0</v>
      </c>
      <c r="G1012" s="134">
        <v>991625</v>
      </c>
      <c r="H1012" s="134">
        <v>294802</v>
      </c>
      <c r="I1012" s="134">
        <v>315572</v>
      </c>
      <c r="J1012" s="134">
        <v>264441029</v>
      </c>
      <c r="K1012" s="134">
        <v>264441029</v>
      </c>
    </row>
    <row r="1013" spans="1:11">
      <c r="A1013" t="s">
        <v>1314</v>
      </c>
      <c r="B1013" t="s">
        <v>2201</v>
      </c>
      <c r="C1013" s="114">
        <v>222.751</v>
      </c>
      <c r="D1013" s="114">
        <v>235.34</v>
      </c>
      <c r="E1013" s="114">
        <v>411.85199999999998</v>
      </c>
      <c r="F1013" s="114">
        <v>0</v>
      </c>
      <c r="G1013" s="134">
        <v>231566</v>
      </c>
      <c r="H1013" s="134">
        <v>52745</v>
      </c>
      <c r="I1013" s="134">
        <v>197310</v>
      </c>
      <c r="J1013" s="134">
        <v>166081958</v>
      </c>
      <c r="K1013" s="134">
        <v>166081958</v>
      </c>
    </row>
    <row r="1014" spans="1:11">
      <c r="A1014" t="s">
        <v>2548</v>
      </c>
      <c r="B1014" t="s">
        <v>1817</v>
      </c>
      <c r="C1014" s="114">
        <v>713.55799999999999</v>
      </c>
      <c r="D1014" s="114">
        <v>713.55799999999999</v>
      </c>
      <c r="E1014" s="114">
        <v>1128.634</v>
      </c>
      <c r="F1014" s="114">
        <v>0</v>
      </c>
      <c r="G1014" s="134">
        <v>1049961</v>
      </c>
      <c r="H1014" s="134">
        <v>1464781</v>
      </c>
      <c r="I1014" s="114">
        <v>0</v>
      </c>
      <c r="J1014" s="134">
        <v>610420134</v>
      </c>
      <c r="K1014" s="134">
        <v>610420134</v>
      </c>
    </row>
    <row r="1015" spans="1:11">
      <c r="A1015" t="s">
        <v>2549</v>
      </c>
      <c r="B1015" t="s">
        <v>1818</v>
      </c>
      <c r="C1015" s="114">
        <v>1439.5219999999999</v>
      </c>
      <c r="D1015" s="114">
        <v>1439.5219999999999</v>
      </c>
      <c r="E1015" s="114">
        <v>2029.6179999999999</v>
      </c>
      <c r="F1015" s="114">
        <v>0</v>
      </c>
      <c r="G1015" s="114">
        <v>0</v>
      </c>
      <c r="H1015" s="114">
        <v>0</v>
      </c>
      <c r="I1015" s="114">
        <v>0</v>
      </c>
      <c r="J1015" s="134">
        <v>406705198</v>
      </c>
      <c r="K1015" s="134">
        <v>406705198</v>
      </c>
    </row>
    <row r="1016" spans="1:11">
      <c r="A1016" t="s">
        <v>2970</v>
      </c>
      <c r="B1016" t="s">
        <v>29</v>
      </c>
      <c r="C1016" s="114">
        <v>1054.4190000000001</v>
      </c>
      <c r="D1016" s="114">
        <v>1054.4190000000001</v>
      </c>
      <c r="E1016" s="114">
        <v>1568.09</v>
      </c>
      <c r="F1016" s="114">
        <v>0</v>
      </c>
      <c r="G1016" s="134">
        <v>334093</v>
      </c>
      <c r="H1016" s="134">
        <v>356138</v>
      </c>
      <c r="I1016" s="114">
        <v>0</v>
      </c>
      <c r="J1016" s="134">
        <v>388400599</v>
      </c>
      <c r="K1016" s="134">
        <v>388400599</v>
      </c>
    </row>
    <row r="1017" spans="1:11">
      <c r="A1017" t="s">
        <v>2971</v>
      </c>
      <c r="B1017" t="s">
        <v>1548</v>
      </c>
      <c r="C1017" s="114">
        <v>350.75099999999998</v>
      </c>
      <c r="D1017" s="114">
        <v>350.75099999999998</v>
      </c>
      <c r="E1017" s="114">
        <v>594.548</v>
      </c>
      <c r="F1017" s="114">
        <v>0</v>
      </c>
      <c r="G1017" s="134">
        <v>178435</v>
      </c>
      <c r="H1017" s="134">
        <v>336500</v>
      </c>
      <c r="I1017" s="114">
        <v>0</v>
      </c>
      <c r="J1017" s="134">
        <v>233837414</v>
      </c>
      <c r="K1017" s="134">
        <v>233837414</v>
      </c>
    </row>
    <row r="1018" spans="1:11">
      <c r="A1018" t="s">
        <v>705</v>
      </c>
      <c r="B1018" t="s">
        <v>1549</v>
      </c>
      <c r="C1018" s="114">
        <v>791.44200000000001</v>
      </c>
      <c r="D1018" s="114">
        <v>791.44200000000001</v>
      </c>
      <c r="E1018" s="114">
        <v>1197.2719999999999</v>
      </c>
      <c r="F1018" s="114">
        <v>0</v>
      </c>
      <c r="G1018" s="134">
        <v>120165</v>
      </c>
      <c r="H1018" s="134">
        <v>107297</v>
      </c>
      <c r="I1018" s="114">
        <v>0</v>
      </c>
      <c r="J1018" s="134">
        <v>198377177</v>
      </c>
      <c r="K1018" s="134">
        <v>198377177</v>
      </c>
    </row>
    <row r="1019" spans="1:11">
      <c r="A1019" t="s">
        <v>777</v>
      </c>
      <c r="B1019" t="s">
        <v>1550</v>
      </c>
      <c r="C1019" s="114">
        <v>1309.1980000000001</v>
      </c>
      <c r="D1019" s="114">
        <v>1309.1980000000001</v>
      </c>
      <c r="E1019" s="114">
        <v>1775.713</v>
      </c>
      <c r="F1019" s="114">
        <v>0</v>
      </c>
      <c r="G1019" s="114">
        <v>301</v>
      </c>
      <c r="H1019" s="114">
        <v>0</v>
      </c>
      <c r="I1019" s="114">
        <v>0</v>
      </c>
      <c r="J1019" s="134">
        <v>386612238</v>
      </c>
      <c r="K1019" s="134">
        <v>386612238</v>
      </c>
    </row>
    <row r="1020" spans="1:11">
      <c r="A1020" t="s">
        <v>778</v>
      </c>
      <c r="B1020" t="s">
        <v>1551</v>
      </c>
      <c r="C1020" s="114">
        <v>1408.16</v>
      </c>
      <c r="D1020" s="114">
        <v>1408.16</v>
      </c>
      <c r="E1020" s="114">
        <v>1922.893</v>
      </c>
      <c r="F1020" s="114">
        <v>0</v>
      </c>
      <c r="G1020" s="114">
        <v>0</v>
      </c>
      <c r="H1020" s="114">
        <v>0</v>
      </c>
      <c r="I1020" s="114">
        <v>0</v>
      </c>
      <c r="J1020" s="134">
        <v>2509484031</v>
      </c>
      <c r="K1020" s="134">
        <v>2509484031</v>
      </c>
    </row>
    <row r="1021" spans="1:11">
      <c r="A1021" t="s">
        <v>1660</v>
      </c>
      <c r="B1021" t="s">
        <v>1552</v>
      </c>
      <c r="C1021" s="114">
        <v>432.75700000000001</v>
      </c>
      <c r="D1021" s="114">
        <v>432.75700000000001</v>
      </c>
      <c r="E1021" s="114">
        <v>827.14499999999998</v>
      </c>
      <c r="F1021" s="114">
        <v>0</v>
      </c>
      <c r="G1021" s="114">
        <v>0</v>
      </c>
      <c r="H1021" s="114">
        <v>0</v>
      </c>
      <c r="I1021" s="114">
        <v>0</v>
      </c>
      <c r="J1021" s="134">
        <v>788289392</v>
      </c>
      <c r="K1021" s="134">
        <v>788289392</v>
      </c>
    </row>
    <row r="1022" spans="1:11">
      <c r="A1022" t="s">
        <v>1020</v>
      </c>
      <c r="B1022" t="s">
        <v>974</v>
      </c>
      <c r="C1022" s="114">
        <v>2315.46</v>
      </c>
      <c r="D1022" s="114">
        <v>2315.46</v>
      </c>
      <c r="E1022" s="114">
        <v>3150.6610000000001</v>
      </c>
      <c r="F1022" s="114">
        <v>0</v>
      </c>
      <c r="G1022" s="134">
        <v>1999633</v>
      </c>
      <c r="H1022" s="134">
        <v>15028</v>
      </c>
      <c r="I1022" s="134">
        <v>804238</v>
      </c>
      <c r="J1022" s="134">
        <v>577294098</v>
      </c>
      <c r="K1022" s="134">
        <v>577294098</v>
      </c>
    </row>
    <row r="1023" spans="1:11">
      <c r="A1023" t="s">
        <v>1661</v>
      </c>
      <c r="B1023" t="s">
        <v>1553</v>
      </c>
      <c r="C1023" s="114">
        <v>170.816</v>
      </c>
      <c r="D1023" s="114">
        <v>170.816</v>
      </c>
      <c r="E1023" s="114">
        <v>296.82</v>
      </c>
      <c r="F1023" s="114">
        <v>0</v>
      </c>
      <c r="G1023" s="114">
        <v>0</v>
      </c>
      <c r="H1023" s="114">
        <v>0</v>
      </c>
      <c r="I1023" s="114">
        <v>0</v>
      </c>
      <c r="J1023" s="134">
        <v>43343496</v>
      </c>
      <c r="K1023" s="134">
        <v>43343496</v>
      </c>
    </row>
    <row r="1024" spans="1:11">
      <c r="A1024" t="s">
        <v>1696</v>
      </c>
      <c r="B1024" t="s">
        <v>933</v>
      </c>
      <c r="C1024" s="114">
        <v>735.202</v>
      </c>
      <c r="D1024" s="114">
        <v>735.202</v>
      </c>
      <c r="E1024" s="114">
        <v>1316.4190000000001</v>
      </c>
      <c r="F1024" s="114">
        <v>0</v>
      </c>
      <c r="G1024" s="134">
        <v>365411</v>
      </c>
      <c r="H1024" s="134">
        <v>66554</v>
      </c>
      <c r="I1024" s="134">
        <v>235509</v>
      </c>
      <c r="J1024" s="134">
        <v>161157866</v>
      </c>
      <c r="K1024" s="134">
        <v>161157866</v>
      </c>
    </row>
    <row r="1025" spans="1:11">
      <c r="A1025" t="s">
        <v>556</v>
      </c>
      <c r="B1025" t="s">
        <v>1554</v>
      </c>
      <c r="C1025" s="114">
        <v>3114.6210000000001</v>
      </c>
      <c r="D1025" s="114">
        <v>3114.6210000000001</v>
      </c>
      <c r="E1025" s="114">
        <v>4255.0190000000002</v>
      </c>
      <c r="F1025" s="114">
        <v>0</v>
      </c>
      <c r="G1025" s="134">
        <v>1986554</v>
      </c>
      <c r="H1025" s="134">
        <v>4779286</v>
      </c>
      <c r="I1025" s="114">
        <v>0</v>
      </c>
      <c r="J1025" s="134">
        <v>3144759679</v>
      </c>
      <c r="K1025" s="134">
        <v>3144759679</v>
      </c>
    </row>
    <row r="1026" spans="1:11">
      <c r="A1026" t="s">
        <v>2760</v>
      </c>
      <c r="B1026" t="s">
        <v>460</v>
      </c>
      <c r="C1026" s="114">
        <v>1731.7840000000001</v>
      </c>
      <c r="D1026" s="114">
        <v>1749.7280000000001</v>
      </c>
      <c r="E1026" s="114">
        <v>2633.71</v>
      </c>
      <c r="F1026" s="114">
        <v>0</v>
      </c>
      <c r="G1026" s="134">
        <v>699423</v>
      </c>
      <c r="H1026" s="134">
        <v>34998</v>
      </c>
      <c r="I1026" s="134">
        <v>536234</v>
      </c>
      <c r="J1026" s="134">
        <v>240725821</v>
      </c>
      <c r="K1026" s="134">
        <v>230986421</v>
      </c>
    </row>
    <row r="1027" spans="1:11">
      <c r="A1027" t="s">
        <v>1901</v>
      </c>
      <c r="B1027" t="s">
        <v>2171</v>
      </c>
      <c r="C1027" s="114">
        <v>450.697</v>
      </c>
      <c r="D1027" s="114">
        <v>465.721</v>
      </c>
      <c r="E1027" s="114">
        <v>946.27800000000002</v>
      </c>
      <c r="F1027" s="114">
        <v>0</v>
      </c>
      <c r="G1027" s="134">
        <v>68924</v>
      </c>
      <c r="H1027" s="114">
        <v>0</v>
      </c>
      <c r="I1027" s="134">
        <v>46478</v>
      </c>
      <c r="J1027" s="134">
        <v>39253662</v>
      </c>
      <c r="K1027" s="134">
        <v>39253662</v>
      </c>
    </row>
  </sheetData>
  <phoneticPr fontId="25" type="noConversion"/>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E2" sqref="E2"/>
    </sheetView>
  </sheetViews>
  <sheetFormatPr defaultRowHeight="12.75"/>
  <cols>
    <col min="1" max="1" width="4.5703125" customWidth="1"/>
    <col min="2" max="2" width="36.28515625" customWidth="1"/>
    <col min="3" max="3" width="12.85546875" style="1094" customWidth="1"/>
    <col min="4" max="4" width="29.7109375" customWidth="1"/>
    <col min="5" max="5" width="24.42578125" customWidth="1"/>
  </cols>
  <sheetData>
    <row r="1" spans="1:5">
      <c r="A1" s="1074" t="s">
        <v>3411</v>
      </c>
      <c r="B1" s="1074"/>
      <c r="E1" s="1773" t="str">
        <f>'Report-Recapture2223'!E1</f>
        <v>84th/85th Legislative Session</v>
      </c>
    </row>
    <row r="2" spans="1:5">
      <c r="A2" s="1074" t="s">
        <v>3412</v>
      </c>
      <c r="B2" s="1074"/>
      <c r="E2" s="1774" t="str">
        <f>'Report-Recapture2223'!E2</f>
        <v>Release 2</v>
      </c>
    </row>
    <row r="3" spans="1:5">
      <c r="A3" s="89"/>
      <c r="B3" s="89"/>
      <c r="E3" s="1774">
        <f>'Report-Recapture2223'!E3</f>
        <v>43145</v>
      </c>
    </row>
    <row r="4" spans="1:5" ht="15.75">
      <c r="A4" s="1075" t="s">
        <v>3631</v>
      </c>
      <c r="B4" s="1075"/>
    </row>
    <row r="5" spans="1:5" ht="15.75">
      <c r="A5" s="1077">
        <f>'Data Entry - SOF'!B1</f>
        <v>0</v>
      </c>
      <c r="B5" s="1077"/>
    </row>
    <row r="6" spans="1:5" ht="15.75">
      <c r="A6" s="1075">
        <f>'Data Entry - SOF'!B2</f>
        <v>0</v>
      </c>
      <c r="B6" s="1075"/>
    </row>
    <row r="8" spans="1:5" ht="18">
      <c r="A8" s="1276"/>
      <c r="B8" s="1277"/>
      <c r="C8" s="1278"/>
      <c r="D8" s="1279" t="s">
        <v>3199</v>
      </c>
      <c r="E8" s="1279" t="s">
        <v>3200</v>
      </c>
    </row>
    <row r="9" spans="1:5" ht="18">
      <c r="A9" s="1273"/>
      <c r="B9" s="1284" t="s">
        <v>3198</v>
      </c>
      <c r="C9" s="1316" t="s">
        <v>3184</v>
      </c>
      <c r="D9" s="1280" t="s">
        <v>3185</v>
      </c>
      <c r="E9" s="1280" t="s">
        <v>3199</v>
      </c>
    </row>
    <row r="10" spans="1:5" ht="15">
      <c r="A10" s="1079" t="s">
        <v>2501</v>
      </c>
      <c r="B10" s="1080" t="s">
        <v>3186</v>
      </c>
      <c r="C10" s="1096">
        <f>Weights!H10</f>
        <v>5</v>
      </c>
      <c r="D10" s="1081">
        <f>'Data Entry - SOF'!C20</f>
        <v>0</v>
      </c>
      <c r="E10" s="1086">
        <f>D10*C10</f>
        <v>0</v>
      </c>
    </row>
    <row r="11" spans="1:5" ht="15">
      <c r="A11" s="1079" t="s">
        <v>2502</v>
      </c>
      <c r="B11" s="1080" t="s">
        <v>3187</v>
      </c>
      <c r="C11" s="1096">
        <f>Weights!H11</f>
        <v>3</v>
      </c>
      <c r="D11" s="1081">
        <f>'Data Entry - SOF'!C21</f>
        <v>0</v>
      </c>
      <c r="E11" s="1086">
        <f t="shared" ref="E11:E19" si="0">D11*C11</f>
        <v>0</v>
      </c>
    </row>
    <row r="12" spans="1:5" ht="15">
      <c r="A12" s="1079" t="s">
        <v>2503</v>
      </c>
      <c r="B12" s="1080" t="s">
        <v>3188</v>
      </c>
      <c r="C12" s="1096">
        <f>Weights!H12</f>
        <v>5</v>
      </c>
      <c r="D12" s="1081">
        <f>'Data Entry - SOF'!C22</f>
        <v>0</v>
      </c>
      <c r="E12" s="1086">
        <f t="shared" si="0"/>
        <v>0</v>
      </c>
    </row>
    <row r="13" spans="1:5" ht="15">
      <c r="A13" s="1079" t="s">
        <v>1024</v>
      </c>
      <c r="B13" s="1080" t="s">
        <v>3189</v>
      </c>
      <c r="C13" s="1096">
        <f>Weights!H13</f>
        <v>3</v>
      </c>
      <c r="D13" s="1081">
        <f>'Data Entry - SOF'!C23</f>
        <v>0</v>
      </c>
      <c r="E13" s="1086">
        <f t="shared" si="0"/>
        <v>0</v>
      </c>
    </row>
    <row r="14" spans="1:5" ht="15">
      <c r="A14" s="1113"/>
      <c r="B14" s="1097" t="s">
        <v>3190</v>
      </c>
      <c r="C14" s="1092"/>
      <c r="D14" s="1098"/>
      <c r="E14" s="1101"/>
    </row>
    <row r="15" spans="1:5" ht="15">
      <c r="A15" s="1301" t="s">
        <v>1025</v>
      </c>
      <c r="B15" s="1099" t="s">
        <v>3191</v>
      </c>
      <c r="C15" s="1093">
        <f>Weights!H14</f>
        <v>3</v>
      </c>
      <c r="D15" s="1100">
        <f>'Data Entry - SOF'!C24</f>
        <v>0</v>
      </c>
      <c r="E15" s="1100">
        <f t="shared" si="0"/>
        <v>0</v>
      </c>
    </row>
    <row r="16" spans="1:5" ht="15">
      <c r="A16" s="1079" t="s">
        <v>1027</v>
      </c>
      <c r="B16" s="1080" t="s">
        <v>3192</v>
      </c>
      <c r="C16" s="1096">
        <f>Weights!H15</f>
        <v>2.7</v>
      </c>
      <c r="D16" s="1086">
        <f>'Data Entry - SOF'!C25</f>
        <v>0</v>
      </c>
      <c r="E16" s="1086">
        <f t="shared" si="0"/>
        <v>0</v>
      </c>
    </row>
    <row r="17" spans="1:5" ht="15">
      <c r="A17" s="1079" t="s">
        <v>1028</v>
      </c>
      <c r="B17" s="1080" t="s">
        <v>3193</v>
      </c>
      <c r="C17" s="1096">
        <f>Weights!H16</f>
        <v>2.2999999999999998</v>
      </c>
      <c r="D17" s="1086">
        <f>'Data Entry - SOF'!C26</f>
        <v>0</v>
      </c>
      <c r="E17" s="1086">
        <f t="shared" si="0"/>
        <v>0</v>
      </c>
    </row>
    <row r="18" spans="1:5" ht="15">
      <c r="A18" s="1079" t="s">
        <v>1029</v>
      </c>
      <c r="B18" s="1080" t="s">
        <v>3194</v>
      </c>
      <c r="C18" s="1096">
        <f>Weights!H17</f>
        <v>2.8</v>
      </c>
      <c r="D18" s="1086">
        <f>'Data Entry - SOF'!C27</f>
        <v>0</v>
      </c>
      <c r="E18" s="1086">
        <f t="shared" si="0"/>
        <v>0</v>
      </c>
    </row>
    <row r="19" spans="1:5" ht="15">
      <c r="A19" s="1079" t="s">
        <v>139</v>
      </c>
      <c r="B19" s="1080" t="s">
        <v>3195</v>
      </c>
      <c r="C19" s="1096">
        <f>Weights!H19</f>
        <v>4</v>
      </c>
      <c r="D19" s="1086">
        <f>'Data Entry - SOF'!C29</f>
        <v>0</v>
      </c>
      <c r="E19" s="1086">
        <f t="shared" si="0"/>
        <v>0</v>
      </c>
    </row>
    <row r="20" spans="1:5" ht="15.75">
      <c r="A20" s="1079" t="s">
        <v>140</v>
      </c>
      <c r="B20" s="1080" t="s">
        <v>3201</v>
      </c>
      <c r="C20" s="1096" t="s">
        <v>1994</v>
      </c>
      <c r="D20" s="1086">
        <f>'Calc Data-SB1'!C8</f>
        <v>0</v>
      </c>
      <c r="E20" s="1096" t="s">
        <v>1994</v>
      </c>
    </row>
    <row r="21" spans="1:5" ht="15">
      <c r="A21" s="1079" t="s">
        <v>141</v>
      </c>
      <c r="B21" s="1080" t="s">
        <v>3196</v>
      </c>
      <c r="C21" s="1096" t="s">
        <v>1994</v>
      </c>
      <c r="D21" s="1096" t="s">
        <v>1994</v>
      </c>
      <c r="E21" s="1086">
        <f>SUM(E10:E19)</f>
        <v>0</v>
      </c>
    </row>
    <row r="22" spans="1:5" ht="15">
      <c r="A22" s="1079" t="s">
        <v>142</v>
      </c>
      <c r="B22" s="1080" t="s">
        <v>3197</v>
      </c>
      <c r="C22" s="1096">
        <f>Weights!H18</f>
        <v>1.7</v>
      </c>
      <c r="D22" s="1086">
        <f>'Data Entry - SOF'!C28</f>
        <v>0</v>
      </c>
      <c r="E22" s="1096" t="s">
        <v>1994</v>
      </c>
    </row>
    <row r="23" spans="1:5" ht="15">
      <c r="A23" s="1079" t="s">
        <v>1706</v>
      </c>
      <c r="B23" s="1080" t="s">
        <v>584</v>
      </c>
      <c r="C23" s="1096">
        <f>Weights!H21</f>
        <v>1.1000000000000001</v>
      </c>
      <c r="D23" s="1086">
        <f>'Data Entry - SOF'!C31</f>
        <v>0</v>
      </c>
      <c r="E23" s="1096" t="s">
        <v>1994</v>
      </c>
    </row>
    <row r="24" spans="1:5" s="1076" customFormat="1" ht="15.75">
      <c r="C24" s="1195" t="s">
        <v>3392</v>
      </c>
      <c r="D24" s="1445" t="s">
        <v>3666</v>
      </c>
    </row>
    <row r="25" spans="1:5" s="1076" customFormat="1" ht="15">
      <c r="C25" s="1193"/>
    </row>
    <row r="27" spans="1:5" ht="15">
      <c r="A27" s="1102" t="s">
        <v>3585</v>
      </c>
    </row>
  </sheetData>
  <hyperlinks>
    <hyperlink ref="D24" location="'Report-SOF1617'!A1" display="'Report-SOF1617'!A1"/>
  </hyperlinks>
  <pageMargins left="0.45" right="0.45" top="0.5" bottom="0.5" header="0.3" footer="0.3"/>
  <pageSetup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heetViews>
  <sheetFormatPr defaultRowHeight="12.75"/>
  <cols>
    <col min="1" max="1" width="3.85546875" customWidth="1"/>
    <col min="2" max="2" width="83.140625" customWidth="1"/>
    <col min="3" max="3" width="23.140625" bestFit="1" customWidth="1"/>
  </cols>
  <sheetData>
    <row r="1" spans="1:3">
      <c r="A1" s="1074" t="s">
        <v>3411</v>
      </c>
      <c r="C1" s="1773" t="str">
        <f>'Report-SpEd1617'!E1</f>
        <v>84th/85th Legislative Session</v>
      </c>
    </row>
    <row r="2" spans="1:3">
      <c r="A2" s="1074" t="s">
        <v>3412</v>
      </c>
      <c r="C2" s="98" t="str">
        <f>'Report-SpEd1617'!E2</f>
        <v>Release 2</v>
      </c>
    </row>
    <row r="3" spans="1:3">
      <c r="A3" s="89"/>
      <c r="C3" s="82">
        <f>'Report-SpEd1617'!E3</f>
        <v>43145</v>
      </c>
    </row>
    <row r="4" spans="1:3" ht="15.75">
      <c r="A4" s="1075" t="s">
        <v>3632</v>
      </c>
    </row>
    <row r="5" spans="1:3" ht="15.75">
      <c r="A5" s="1077">
        <f>'Data Entry - SOF'!B1</f>
        <v>0</v>
      </c>
    </row>
    <row r="6" spans="1:3" ht="15.75">
      <c r="A6" s="1075">
        <f>'Data Entry - SOF'!B2</f>
        <v>0</v>
      </c>
    </row>
    <row r="7" spans="1:3" ht="15.75">
      <c r="A7" s="1075"/>
    </row>
    <row r="9" spans="1:3" ht="18">
      <c r="A9" s="1281"/>
      <c r="B9" s="1282"/>
      <c r="C9" s="1279" t="s">
        <v>3115</v>
      </c>
    </row>
    <row r="10" spans="1:3" ht="18">
      <c r="A10" s="1307" t="s">
        <v>3202</v>
      </c>
      <c r="B10" s="1284"/>
      <c r="C10" s="1280" t="s">
        <v>3207</v>
      </c>
    </row>
    <row r="11" spans="1:3" ht="15">
      <c r="A11" s="1095" t="s">
        <v>2501</v>
      </c>
      <c r="B11" s="1080" t="s">
        <v>3633</v>
      </c>
      <c r="C11" s="1085">
        <f>'Data Entry - SOF'!C59</f>
        <v>0</v>
      </c>
    </row>
    <row r="12" spans="1:3" ht="15">
      <c r="A12" s="1095" t="s">
        <v>2502</v>
      </c>
      <c r="B12" s="1080" t="s">
        <v>3634</v>
      </c>
      <c r="C12" s="1085">
        <f>IFA!J79</f>
        <v>0</v>
      </c>
    </row>
    <row r="13" spans="1:3" ht="15">
      <c r="A13" s="1095" t="s">
        <v>2503</v>
      </c>
      <c r="B13" s="1080" t="s">
        <v>3635</v>
      </c>
      <c r="C13" s="1234" t="s">
        <v>3450</v>
      </c>
    </row>
    <row r="14" spans="1:3" ht="15.75">
      <c r="A14" s="1095" t="s">
        <v>1024</v>
      </c>
      <c r="B14" s="1078" t="s">
        <v>3636</v>
      </c>
      <c r="C14" s="1090">
        <f>'Calc Data-SB1'!C47</f>
        <v>0</v>
      </c>
    </row>
    <row r="15" spans="1:3" ht="15">
      <c r="A15" s="1095" t="s">
        <v>1025</v>
      </c>
      <c r="B15" s="1080" t="s">
        <v>3637</v>
      </c>
      <c r="C15" s="1103">
        <f>'Data Entry - SOF'!C58</f>
        <v>0</v>
      </c>
    </row>
    <row r="16" spans="1:3" ht="15">
      <c r="A16" s="1095" t="s">
        <v>1027</v>
      </c>
      <c r="B16" s="1080" t="s">
        <v>3203</v>
      </c>
      <c r="C16" s="1085" t="e">
        <f>'Calc Data-SB1'!C29</f>
        <v>#DIV/0!</v>
      </c>
    </row>
    <row r="17" spans="1:3" ht="15">
      <c r="A17" s="1095" t="s">
        <v>1028</v>
      </c>
      <c r="B17" s="1080" t="s">
        <v>3124</v>
      </c>
      <c r="C17" s="1103">
        <f>'Data Entry - SOF'!C113</f>
        <v>0</v>
      </c>
    </row>
    <row r="18" spans="1:3" ht="15">
      <c r="A18" s="1095" t="s">
        <v>1029</v>
      </c>
      <c r="B18" s="1080" t="s">
        <v>3211</v>
      </c>
      <c r="C18" s="1085" t="e">
        <f>'Calc Data-SB1'!C30</f>
        <v>#DIV/0!</v>
      </c>
    </row>
    <row r="19" spans="1:3" ht="15">
      <c r="A19" s="1095" t="s">
        <v>139</v>
      </c>
      <c r="B19" s="1080" t="s">
        <v>3204</v>
      </c>
      <c r="C19" s="1103" t="e">
        <f>'Calc Data-SB1'!C35</f>
        <v>#DIV/0!</v>
      </c>
    </row>
    <row r="20" spans="1:3" ht="15">
      <c r="A20" s="1095" t="s">
        <v>140</v>
      </c>
      <c r="B20" s="1080" t="s">
        <v>3205</v>
      </c>
      <c r="C20" s="1085" t="e">
        <f>'Calc Data-SB1'!C34</f>
        <v>#DIV/0!</v>
      </c>
    </row>
    <row r="21" spans="1:3" ht="15">
      <c r="A21" s="1095" t="s">
        <v>141</v>
      </c>
      <c r="B21" s="1080" t="s">
        <v>3206</v>
      </c>
      <c r="C21" s="1085" t="e">
        <f>'Calc Data-SB1'!C37</f>
        <v>#DIV/0!</v>
      </c>
    </row>
    <row r="22" spans="1:3" ht="15">
      <c r="A22" s="1095" t="s">
        <v>142</v>
      </c>
      <c r="B22" s="1080" t="s">
        <v>3210</v>
      </c>
      <c r="C22" s="1103" t="e">
        <f>'Calc Data-SB1'!C38</f>
        <v>#DIV/0!</v>
      </c>
    </row>
    <row r="23" spans="1:3" s="1076" customFormat="1" ht="15.75">
      <c r="B23" s="1195" t="s">
        <v>3392</v>
      </c>
      <c r="C23" s="1445" t="s">
        <v>3666</v>
      </c>
    </row>
    <row r="26" spans="1:3" ht="15.75">
      <c r="B26" s="961" t="s">
        <v>3452</v>
      </c>
    </row>
    <row r="27" spans="1:3" ht="15.75">
      <c r="B27" s="961" t="s">
        <v>3451</v>
      </c>
    </row>
  </sheetData>
  <hyperlinks>
    <hyperlink ref="C23" location="'Report-SOF1617'!A1" display="'Report-SOF1617'!A1"/>
  </hyperlinks>
  <pageMargins left="0.45" right="0.45" top="0.5" bottom="0.5" header="0.3" footer="0.3"/>
  <pageSetup scale="8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5.7109375" customWidth="1"/>
  </cols>
  <sheetData>
    <row r="1" spans="1:4">
      <c r="A1" s="1074" t="s">
        <v>3411</v>
      </c>
      <c r="D1" s="1773" t="str">
        <f>'Report-M&amp;O1617'!C1</f>
        <v>84th/85th Legislative Session</v>
      </c>
    </row>
    <row r="2" spans="1:4">
      <c r="A2" s="1074" t="s">
        <v>3412</v>
      </c>
      <c r="D2" s="98" t="str">
        <f>'Report-M&amp;O1617'!C2</f>
        <v>Release 2</v>
      </c>
    </row>
    <row r="3" spans="1:4">
      <c r="A3" s="89"/>
      <c r="D3" s="82">
        <f>'Report-M&amp;O1617'!C3</f>
        <v>43145</v>
      </c>
    </row>
    <row r="4" spans="1:4" ht="15.75">
      <c r="A4" s="1075" t="s">
        <v>3638</v>
      </c>
    </row>
    <row r="5" spans="1:4" ht="15.75">
      <c r="A5" s="1077">
        <f>'Data Entry - SOF'!B1</f>
        <v>0</v>
      </c>
    </row>
    <row r="6" spans="1:4" ht="15.75">
      <c r="A6" s="1075">
        <f>'Data Entry - SOF'!B2</f>
        <v>0</v>
      </c>
    </row>
    <row r="9" spans="1:4" ht="18">
      <c r="A9" s="880"/>
      <c r="B9" s="1104" t="s">
        <v>1057</v>
      </c>
      <c r="C9" s="1105">
        <f>'Data Entry - SOF'!C109</f>
        <v>0</v>
      </c>
      <c r="D9" s="880"/>
    </row>
    <row r="10" spans="1:4" ht="18">
      <c r="A10" s="880"/>
      <c r="B10" s="1104" t="s">
        <v>3212</v>
      </c>
      <c r="C10" s="1104" t="str">
        <f>'Data Entry - SOF'!C167</f>
        <v>No</v>
      </c>
      <c r="D10" s="880"/>
    </row>
    <row r="11" spans="1:4" ht="18">
      <c r="A11" s="880"/>
      <c r="B11" s="1104" t="s">
        <v>3213</v>
      </c>
      <c r="C11" s="1104" t="str">
        <f>'Data Entry - SOF'!C168</f>
        <v>No</v>
      </c>
      <c r="D11" s="880"/>
    </row>
    <row r="12" spans="1:4" ht="18">
      <c r="A12" s="880"/>
      <c r="B12" s="1104"/>
      <c r="C12" s="1104"/>
      <c r="D12" s="880"/>
    </row>
    <row r="13" spans="1:4" ht="18">
      <c r="A13" s="1276"/>
      <c r="B13" s="1271"/>
      <c r="C13" s="1272"/>
      <c r="D13" s="1279" t="s">
        <v>3220</v>
      </c>
    </row>
    <row r="14" spans="1:4" ht="18">
      <c r="A14" s="1302" t="s">
        <v>3214</v>
      </c>
      <c r="B14" s="1284"/>
      <c r="C14" s="1275"/>
      <c r="D14" s="1280" t="s">
        <v>3207</v>
      </c>
    </row>
    <row r="15" spans="1:4" ht="15">
      <c r="A15" s="1079" t="s">
        <v>2501</v>
      </c>
      <c r="B15" s="1080" t="s">
        <v>3215</v>
      </c>
      <c r="C15" s="1080"/>
      <c r="D15" s="1085" t="e">
        <f>IF(FracFunding1617!E24&lt;=0,'Calc Data-SB1'!C19,FracFunding1617!D6)</f>
        <v>#DIV/0!</v>
      </c>
    </row>
    <row r="16" spans="1:4" ht="15">
      <c r="A16" s="1079" t="s">
        <v>2502</v>
      </c>
      <c r="B16" s="1080" t="s">
        <v>3216</v>
      </c>
      <c r="C16" s="1080"/>
      <c r="D16" s="1085" t="e">
        <f>IF(FracFunding1617!E24&lt;=0,'Calc Data-SB1'!C20,'Calc Data-SB1'!AB20)</f>
        <v>#DIV/0!</v>
      </c>
    </row>
    <row r="17" spans="1:4" ht="15">
      <c r="A17" s="1079" t="s">
        <v>2503</v>
      </c>
      <c r="B17" s="1080" t="s">
        <v>3217</v>
      </c>
      <c r="C17" s="1080"/>
      <c r="D17" s="1106" t="str">
        <f>'Calc Data-SB1'!C49</f>
        <v>N/A</v>
      </c>
    </row>
    <row r="18" spans="1:4" ht="15">
      <c r="A18" s="1079" t="s">
        <v>1024</v>
      </c>
      <c r="B18" s="1080" t="s">
        <v>3218</v>
      </c>
      <c r="C18" s="1080"/>
      <c r="D18" s="1206" t="str">
        <f>'Calc Data-SB1'!C50</f>
        <v>N/A</v>
      </c>
    </row>
    <row r="19" spans="1:4" ht="15">
      <c r="A19" s="1079" t="s">
        <v>1025</v>
      </c>
      <c r="B19" s="1080" t="s">
        <v>3219</v>
      </c>
      <c r="C19" s="1080"/>
      <c r="D19" s="1085" t="e">
        <f>IF(FracFunding1617!E24&lt;=0,'Calc Data-SB1'!C23,'Calc Data-SB1'!AB23)</f>
        <v>#DIV/0!</v>
      </c>
    </row>
    <row r="20" spans="1:4" s="1076" customFormat="1" ht="15.75">
      <c r="B20" s="1195" t="s">
        <v>3392</v>
      </c>
      <c r="D20" s="1445" t="s">
        <v>3666</v>
      </c>
    </row>
  </sheetData>
  <hyperlinks>
    <hyperlink ref="D20" location="'Report-SOF1617'!A1" display="'Report-SOF1617'!A1"/>
  </hyperlinks>
  <pageMargins left="0.7" right="0.7" top="0.75" bottom="0.75" header="0.3" footer="0.3"/>
  <pageSetup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8"/>
  <sheetViews>
    <sheetView workbookViewId="0">
      <selection activeCell="D3" sqref="D3"/>
    </sheetView>
  </sheetViews>
  <sheetFormatPr defaultRowHeight="12.75"/>
  <cols>
    <col min="1" max="1" width="36.42578125" customWidth="1"/>
    <col min="2" max="2" width="19.85546875" customWidth="1"/>
    <col min="3" max="3" width="24.28515625" customWidth="1"/>
    <col min="4" max="4" width="26.5703125" customWidth="1"/>
  </cols>
  <sheetData>
    <row r="1" spans="1:4">
      <c r="A1" s="1074" t="s">
        <v>3411</v>
      </c>
      <c r="D1" s="1773" t="str">
        <f>'Report-AA1617'!D1</f>
        <v>84th/85th Legislative Session</v>
      </c>
    </row>
    <row r="2" spans="1:4">
      <c r="A2" s="1074" t="s">
        <v>3412</v>
      </c>
      <c r="D2" s="98" t="str">
        <f>'Report-AA1617'!D2</f>
        <v>Release 2</v>
      </c>
    </row>
    <row r="3" spans="1:4">
      <c r="A3" s="89"/>
      <c r="D3" s="82">
        <f>'Report-AA1617'!D3</f>
        <v>43145</v>
      </c>
    </row>
    <row r="4" spans="1:4" ht="15.75">
      <c r="A4" s="1075" t="s">
        <v>3639</v>
      </c>
    </row>
    <row r="5" spans="1:4" ht="15.75">
      <c r="A5" s="1077">
        <f>'Data Entry - SOF'!B1</f>
        <v>0</v>
      </c>
    </row>
    <row r="6" spans="1:4" ht="15.75">
      <c r="A6" s="1075">
        <f>'Data Entry - SOF'!B2</f>
        <v>0</v>
      </c>
    </row>
    <row r="8" spans="1:4" ht="18">
      <c r="A8" s="1286"/>
      <c r="B8" s="1287"/>
      <c r="C8" s="1279" t="s">
        <v>3231</v>
      </c>
      <c r="D8" s="1288"/>
    </row>
    <row r="9" spans="1:4" ht="18">
      <c r="A9" s="1280" t="s">
        <v>3221</v>
      </c>
      <c r="B9" s="1289" t="s">
        <v>3184</v>
      </c>
      <c r="C9" s="1280" t="s">
        <v>3232</v>
      </c>
      <c r="D9" s="1284" t="s">
        <v>3222</v>
      </c>
    </row>
    <row r="10" spans="1:4" s="1076" customFormat="1" ht="15.75">
      <c r="A10" s="1366" t="s">
        <v>3223</v>
      </c>
      <c r="B10" s="1290"/>
      <c r="C10" s="1290"/>
      <c r="D10" s="1291"/>
    </row>
    <row r="11" spans="1:4" s="1076" customFormat="1" ht="15">
      <c r="A11" s="1080" t="s">
        <v>3225</v>
      </c>
      <c r="B11" s="1084">
        <f>Weights!H4</f>
        <v>1</v>
      </c>
      <c r="C11" s="1086">
        <f>'Calc Data-SB1'!C10</f>
        <v>0</v>
      </c>
      <c r="D11" s="1085" t="e">
        <f>IF(FracFunding1617!E24&lt;=0,'SOF1617-SB1'!F21,'SOF1617-SB1'!H21)</f>
        <v>#DIV/0!</v>
      </c>
    </row>
    <row r="12" spans="1:4" s="1076" customFormat="1" ht="15.75">
      <c r="A12" s="1366" t="s">
        <v>3224</v>
      </c>
      <c r="B12" s="1290"/>
      <c r="C12" s="1290"/>
      <c r="D12" s="1291"/>
    </row>
    <row r="13" spans="1:4" s="1076" customFormat="1" ht="15">
      <c r="A13" s="1080" t="s">
        <v>3110</v>
      </c>
      <c r="B13" s="1106" t="s">
        <v>1994</v>
      </c>
      <c r="C13" s="1086">
        <f>'Calc Data-SB1'!C8</f>
        <v>0</v>
      </c>
      <c r="D13" s="1085" t="e">
        <f>IF(FracFunding1617!E24&lt;=0,'SOF1617-SB1'!F22,'SOF1617-SB1'!H22)</f>
        <v>#DIV/0!</v>
      </c>
    </row>
    <row r="14" spans="1:4" s="1076" customFormat="1" ht="15">
      <c r="A14" s="1080" t="s">
        <v>3226</v>
      </c>
      <c r="B14" s="1109">
        <f>Weights!H21</f>
        <v>1.1000000000000001</v>
      </c>
      <c r="C14" s="1086">
        <f>'Data Entry - SOF'!C31</f>
        <v>0</v>
      </c>
      <c r="D14" s="1085" t="e">
        <f>IF(FracFunding1617!E24&lt;=0,'SOF1617-SB1'!F24,'SOF1617-SB1'!H24)</f>
        <v>#DIV/0!</v>
      </c>
    </row>
    <row r="15" spans="1:4" s="1076" customFormat="1" ht="15">
      <c r="A15" s="1080" t="s">
        <v>3227</v>
      </c>
      <c r="B15" s="1109">
        <f>Weights!H19</f>
        <v>4</v>
      </c>
      <c r="C15" s="1086">
        <f>'Data Entry - SOF'!C29</f>
        <v>0</v>
      </c>
      <c r="D15" s="1085" t="e">
        <f>IF(FracFunding1617!E24&lt;=0,'SOF1617-SB1'!F25,'SOF1617-SB1'!H25)</f>
        <v>#DIV/0!</v>
      </c>
    </row>
    <row r="16" spans="1:4" s="1076" customFormat="1" ht="15">
      <c r="A16" s="1080" t="s">
        <v>3194</v>
      </c>
      <c r="B16" s="1109">
        <f>Weights!H17</f>
        <v>2.8</v>
      </c>
      <c r="C16" s="1086">
        <f>'Data Entry - SOF'!C27</f>
        <v>0</v>
      </c>
      <c r="D16" s="1085" t="e">
        <f>IF(FracFunding1617!E24&lt;=0,'SOF1617-SB1'!F26,'SOF1617-SB1'!H26)</f>
        <v>#DIV/0!</v>
      </c>
    </row>
    <row r="17" spans="1:4" s="1076" customFormat="1" ht="15">
      <c r="A17" s="1080" t="s">
        <v>3197</v>
      </c>
      <c r="B17" s="1109">
        <f>Weights!H18</f>
        <v>1.7</v>
      </c>
      <c r="C17" s="1086">
        <f>'Data Entry - SOF'!C28</f>
        <v>0</v>
      </c>
      <c r="D17" s="1085" t="e">
        <f>IF(FracFunding1617!E24&lt;=0,'SOF1617-SB1'!F27,'SOF1617-SB1'!H27)</f>
        <v>#DIV/0!</v>
      </c>
    </row>
    <row r="18" spans="1:4" s="1076" customFormat="1" ht="15">
      <c r="A18" s="1097" t="s">
        <v>3228</v>
      </c>
      <c r="B18" s="1097"/>
      <c r="C18" s="1097"/>
      <c r="D18" s="1108"/>
    </row>
    <row r="19" spans="1:4" s="1076" customFormat="1" ht="15">
      <c r="A19" s="1099" t="s">
        <v>3229</v>
      </c>
      <c r="B19" s="1111" t="s">
        <v>1994</v>
      </c>
      <c r="C19" s="1111" t="s">
        <v>1994</v>
      </c>
      <c r="D19" s="1807" t="e">
        <f>IF(FracFunding1617!E24&lt;=0,'SOF1617-SB1'!F28,'SOF1617-SB1'!H28)</f>
        <v>#DIV/0!</v>
      </c>
    </row>
    <row r="20" spans="1:4" s="1076" customFormat="1" ht="15">
      <c r="A20" s="1080" t="s">
        <v>3230</v>
      </c>
      <c r="B20" s="1106" t="s">
        <v>1994</v>
      </c>
      <c r="C20" s="1106" t="s">
        <v>1994</v>
      </c>
      <c r="D20" s="1085" t="e">
        <f>IF(FracFunding1617!E24&lt;=0,'SOF1617-SB1'!F134,'SOF1617-SB1'!H134)</f>
        <v>#DIV/0!</v>
      </c>
    </row>
    <row r="21" spans="1:4" s="1076" customFormat="1" ht="15.75">
      <c r="A21" s="1366" t="s">
        <v>3233</v>
      </c>
      <c r="B21" s="1290"/>
      <c r="C21" s="1290"/>
      <c r="D21" s="1291"/>
    </row>
    <row r="22" spans="1:4" ht="15">
      <c r="A22" s="1080" t="s">
        <v>3234</v>
      </c>
      <c r="B22" s="1112">
        <f>Weights!H23</f>
        <v>1.35</v>
      </c>
      <c r="C22" s="1086">
        <f>'Data Entry - SOF'!C32</f>
        <v>0</v>
      </c>
      <c r="D22" s="1085" t="e">
        <f>IF(FracFunding1617!E24&lt;=0,'SOF1617-SB1'!F29,'SOF1617-SB1'!H29)</f>
        <v>#DIV/0!</v>
      </c>
    </row>
    <row r="23" spans="1:4" ht="15">
      <c r="A23" s="1080" t="s">
        <v>3235</v>
      </c>
      <c r="B23" s="1085">
        <f>Weights!H24</f>
        <v>50</v>
      </c>
      <c r="C23" s="1086">
        <f>'Data Entry - SOF'!C33</f>
        <v>0</v>
      </c>
      <c r="D23" s="1085" t="e">
        <f>IF(FracFunding1617!E24&lt;=0,'SOF1617-SB1'!F30,'SOF1617-SB1'!H30)</f>
        <v>#DIV/0!</v>
      </c>
    </row>
    <row r="24" spans="1:4" ht="15">
      <c r="A24" s="1080" t="s">
        <v>3236</v>
      </c>
      <c r="B24" s="1106" t="s">
        <v>1994</v>
      </c>
      <c r="C24" s="1106" t="s">
        <v>1994</v>
      </c>
      <c r="D24" s="1085" t="e">
        <f>IF(FracFunding1617!E24&lt;=0,'SOF1617-SB1'!F135,'SOF1617-SB1'!H135)</f>
        <v>#DIV/0!</v>
      </c>
    </row>
    <row r="25" spans="1:4" s="1076" customFormat="1" ht="15.75">
      <c r="A25" s="1366" t="s">
        <v>3237</v>
      </c>
      <c r="B25" s="1290"/>
      <c r="C25" s="1290"/>
      <c r="D25" s="1291"/>
    </row>
    <row r="26" spans="1:4" ht="15">
      <c r="A26" s="1080" t="s">
        <v>3238</v>
      </c>
      <c r="B26" s="1112">
        <f>Weights!H28</f>
        <v>0.12</v>
      </c>
      <c r="C26" s="1086">
        <f>'Data Entry - SOF'!C40</f>
        <v>0</v>
      </c>
      <c r="D26" s="1085" t="e">
        <f>IF(FracFunding1617!E24&lt;=0,'SOF1617-SB1'!F33,'SOF1617-SB1'!H33)</f>
        <v>#DIV/0!</v>
      </c>
    </row>
    <row r="27" spans="1:4" ht="15">
      <c r="A27" s="1080" t="s">
        <v>3239</v>
      </c>
      <c r="B27" s="1106" t="s">
        <v>1994</v>
      </c>
      <c r="C27" s="1106" t="s">
        <v>1994</v>
      </c>
      <c r="D27" s="1085" t="e">
        <f>IF(FracFunding1617!E24&lt;=0,'SOF1617-SB1'!F34,'SOF1617-SB1'!H34)</f>
        <v>#DIV/0!</v>
      </c>
    </row>
    <row r="28" spans="1:4" ht="15">
      <c r="A28" s="1080" t="s">
        <v>3240</v>
      </c>
      <c r="B28" s="1106" t="s">
        <v>1994</v>
      </c>
      <c r="C28" s="1106" t="s">
        <v>1994</v>
      </c>
      <c r="D28" s="1085" t="e">
        <f>IF(FracFunding1617!E24&lt;=0,'SOF1617-SB1'!F136,'SOF1617-SB1'!H136)</f>
        <v>#DIV/0!</v>
      </c>
    </row>
    <row r="29" spans="1:4" s="1076" customFormat="1" ht="15.75">
      <c r="A29" s="1366" t="s">
        <v>3241</v>
      </c>
      <c r="B29" s="1290"/>
      <c r="C29" s="1290"/>
      <c r="D29" s="1291"/>
    </row>
    <row r="30" spans="1:4" ht="15">
      <c r="A30" s="1080" t="s">
        <v>3242</v>
      </c>
      <c r="B30" s="1112">
        <f>Weights!H30</f>
        <v>0.2</v>
      </c>
      <c r="C30" s="1086">
        <f>'Data Entry - SOF'!C36</f>
        <v>0</v>
      </c>
      <c r="D30" s="1085" t="e">
        <f>IF(FracFunding1617!E24&lt;=0,'SOF1617-SB1'!F35,'SOF1617-SB1'!H35)</f>
        <v>#DIV/0!</v>
      </c>
    </row>
    <row r="31" spans="1:4" ht="15">
      <c r="A31" s="1080" t="s">
        <v>3475</v>
      </c>
      <c r="B31" s="1112">
        <f>Weights!H31</f>
        <v>2.41</v>
      </c>
      <c r="C31" s="1086">
        <f>'Data Entry - SOF'!C37</f>
        <v>0</v>
      </c>
      <c r="D31" s="1085" t="e">
        <f>IF(FracFunding1617!E24&lt;=0,'SOF1617-SB1'!F36,'SOF1617-SB1'!H36)</f>
        <v>#DIV/0!</v>
      </c>
    </row>
    <row r="32" spans="1:4" ht="15">
      <c r="A32" s="1080" t="s">
        <v>3476</v>
      </c>
      <c r="B32" s="1106" t="s">
        <v>1994</v>
      </c>
      <c r="C32" s="1106" t="s">
        <v>1994</v>
      </c>
      <c r="D32" s="1085" t="e">
        <f>IF(FracFunding1617!E24&lt;=0,'SOF1617-SB1'!F137,'SOF1617-SB1'!H137)</f>
        <v>#DIV/0!</v>
      </c>
    </row>
    <row r="33" spans="1:4" s="1076" customFormat="1" ht="15.75">
      <c r="A33" s="1366" t="s">
        <v>3243</v>
      </c>
      <c r="B33" s="1290"/>
      <c r="C33" s="1290"/>
      <c r="D33" s="1291"/>
    </row>
    <row r="34" spans="1:4" s="1076" customFormat="1" ht="15">
      <c r="A34" s="1080" t="s">
        <v>2792</v>
      </c>
      <c r="B34" s="1085">
        <f>Weights!H33</f>
        <v>275</v>
      </c>
      <c r="C34" s="1086">
        <f>'Data Entry - SOF'!C18</f>
        <v>0</v>
      </c>
      <c r="D34" s="1085" t="e">
        <f>IF(FracFunding1617!E24&lt;=0,'SOF1617-SB1'!F40,'SOF1617-SB1'!H40)</f>
        <v>#DIV/0!</v>
      </c>
    </row>
    <row r="35" spans="1:4" s="1076" customFormat="1" ht="15.75">
      <c r="A35" s="1366" t="s">
        <v>3246</v>
      </c>
      <c r="B35" s="1290"/>
      <c r="C35" s="1290"/>
      <c r="D35" s="1291"/>
    </row>
    <row r="36" spans="1:4" s="1076" customFormat="1" ht="15">
      <c r="A36" s="1080" t="s">
        <v>3244</v>
      </c>
      <c r="B36" s="1112">
        <f>Weights!H26</f>
        <v>0.1</v>
      </c>
      <c r="C36" s="1086">
        <f>'Data Entry - SOF'!C39</f>
        <v>0</v>
      </c>
      <c r="D36" s="1085" t="e">
        <f>IF(FracFunding1617!E24&lt;=0,'SOF1617-SB1'!F39,'SOF1617-SB1'!H39)</f>
        <v>#DIV/0!</v>
      </c>
    </row>
    <row r="37" spans="1:4" s="1076" customFormat="1" ht="15.75">
      <c r="A37" s="1366" t="s">
        <v>3245</v>
      </c>
      <c r="B37" s="1290"/>
      <c r="C37" s="1290"/>
      <c r="D37" s="1291"/>
    </row>
    <row r="38" spans="1:4" s="1076" customFormat="1" ht="15">
      <c r="A38" s="1080" t="s">
        <v>3247</v>
      </c>
      <c r="B38" s="1112">
        <f>Weights!H37</f>
        <v>0.1</v>
      </c>
      <c r="C38" s="1086">
        <f>'Data Entry - SOF'!C41</f>
        <v>0</v>
      </c>
      <c r="D38" s="1085" t="e">
        <f>IF(FracFunding1617!E24&lt;=0,'SOF1617-SB1'!F41,'SOF1617-SB1'!H41)</f>
        <v>#DIV/0!</v>
      </c>
    </row>
    <row r="39" spans="1:4" s="1076" customFormat="1" ht="15.75">
      <c r="A39" s="1366" t="s">
        <v>4542</v>
      </c>
      <c r="B39" s="1290"/>
      <c r="C39" s="1290"/>
      <c r="D39" s="1291"/>
    </row>
    <row r="40" spans="1:4" s="1076" customFormat="1" ht="15">
      <c r="A40" s="1080" t="s">
        <v>4543</v>
      </c>
      <c r="B40" s="1085">
        <f>Weights!H35</f>
        <v>250</v>
      </c>
      <c r="C40" s="1086">
        <f>'Data Entry - SOF'!C42</f>
        <v>0</v>
      </c>
      <c r="D40" s="1085" t="e">
        <f>IF(FracFunding1617!E24&lt;=0,'SOF1617-SB1'!F42,'SOF1617-SB1'!H42)</f>
        <v>#DIV/0!</v>
      </c>
    </row>
    <row r="41" spans="1:4" s="1076" customFormat="1" ht="15.75">
      <c r="C41" s="1195" t="s">
        <v>3393</v>
      </c>
      <c r="D41" s="1445" t="s">
        <v>3666</v>
      </c>
    </row>
    <row r="44" spans="1:4" s="1076" customFormat="1" ht="15.75">
      <c r="A44" s="961" t="s">
        <v>3589</v>
      </c>
    </row>
    <row r="45" spans="1:4" s="1076" customFormat="1" ht="15.75">
      <c r="A45" s="961" t="s">
        <v>3590</v>
      </c>
    </row>
    <row r="46" spans="1:4" s="1076" customFormat="1" ht="15.75">
      <c r="A46" s="961" t="s">
        <v>3591</v>
      </c>
    </row>
    <row r="47" spans="1:4" s="1076" customFormat="1" ht="15"/>
    <row r="48" spans="1:4" s="1076" customFormat="1" ht="15"/>
  </sheetData>
  <hyperlinks>
    <hyperlink ref="D41" location="'Report-SOF1617'!A1" display="'Report-SOF1617'!A1"/>
  </hyperlinks>
  <pageMargins left="0.45" right="0.45" top="0.5" bottom="0.5" header="0.3" footer="0.3"/>
  <pageSetup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heetViews>
  <sheetFormatPr defaultRowHeight="12.75"/>
  <cols>
    <col min="1" max="1" width="5.85546875" customWidth="1"/>
    <col min="2" max="2" width="62.5703125" customWidth="1"/>
    <col min="3" max="3" width="5.140625" customWidth="1"/>
    <col min="4" max="4" width="25.7109375" customWidth="1"/>
  </cols>
  <sheetData>
    <row r="1" spans="1:4">
      <c r="A1" s="1074" t="s">
        <v>3411</v>
      </c>
      <c r="C1" s="1074"/>
      <c r="D1" s="1773" t="str">
        <f>'Report-T1Detail1617'!D1</f>
        <v>84th/85th Legislative Session</v>
      </c>
    </row>
    <row r="2" spans="1:4">
      <c r="A2" s="1074" t="s">
        <v>3412</v>
      </c>
      <c r="C2" s="1074"/>
      <c r="D2" s="98" t="str">
        <f>'Report-T1Detail1617'!D2</f>
        <v>Release 2</v>
      </c>
    </row>
    <row r="3" spans="1:4">
      <c r="A3" s="89"/>
      <c r="C3" s="89"/>
      <c r="D3" s="82">
        <f>'Report-T1Detail1617'!D3</f>
        <v>43145</v>
      </c>
    </row>
    <row r="4" spans="1:4" ht="15.75">
      <c r="A4" s="1075" t="s">
        <v>3640</v>
      </c>
      <c r="C4" s="1075"/>
    </row>
    <row r="5" spans="1:4" ht="15.75">
      <c r="A5" s="1077">
        <f>'Data Entry - SOF'!B1</f>
        <v>0</v>
      </c>
      <c r="C5" s="1077"/>
    </row>
    <row r="6" spans="1:4" ht="15.75">
      <c r="A6" s="1075">
        <f>'Data Entry - SOF'!B2</f>
        <v>0</v>
      </c>
      <c r="C6" s="1075"/>
    </row>
    <row r="9" spans="1:4" ht="18">
      <c r="A9" s="1292" t="s">
        <v>3248</v>
      </c>
      <c r="B9" s="1295"/>
      <c r="C9" s="1292"/>
      <c r="D9" s="1293" t="s">
        <v>3249</v>
      </c>
    </row>
    <row r="10" spans="1:4" s="1076" customFormat="1" ht="15">
      <c r="A10" s="1079" t="s">
        <v>2501</v>
      </c>
      <c r="B10" s="1080" t="s">
        <v>3586</v>
      </c>
      <c r="C10" s="1080"/>
      <c r="D10" s="1086" t="e">
        <f>'Calc Data-SB1'!C25</f>
        <v>#DIV/0!</v>
      </c>
    </row>
    <row r="11" spans="1:4" s="1076" customFormat="1" ht="18">
      <c r="A11" s="1366" t="s">
        <v>3250</v>
      </c>
      <c r="B11" s="1346"/>
      <c r="C11" s="1294"/>
      <c r="D11" s="1291"/>
    </row>
    <row r="12" spans="1:4" s="1076" customFormat="1" ht="15">
      <c r="A12" s="1079" t="s">
        <v>2502</v>
      </c>
      <c r="B12" s="1080" t="s">
        <v>3579</v>
      </c>
      <c r="C12" s="1080"/>
      <c r="D12" s="1085" t="e">
        <f>'Calc Data-SB1'!C34</f>
        <v>#DIV/0!</v>
      </c>
    </row>
    <row r="13" spans="1:4" s="1076" customFormat="1" ht="15">
      <c r="A13" s="1079" t="s">
        <v>2503</v>
      </c>
      <c r="B13" s="1080" t="s">
        <v>3668</v>
      </c>
      <c r="C13" s="1080"/>
      <c r="D13" s="1084" t="e">
        <f>'Calc Data-SB1'!C35</f>
        <v>#DIV/0!</v>
      </c>
    </row>
    <row r="14" spans="1:4" s="1076" customFormat="1" ht="15">
      <c r="A14" s="1079" t="s">
        <v>3592</v>
      </c>
      <c r="B14" s="1080" t="str">
        <f>CONCATENATE("Level 1 Entitlement @ $",Assumptions!G90,"")</f>
        <v>Level 1 Entitlement @ $77.53</v>
      </c>
      <c r="C14" s="1080"/>
      <c r="D14" s="1085" t="e">
        <f>'SOF1617-SB1'!F138</f>
        <v>#DIV/0!</v>
      </c>
    </row>
    <row r="15" spans="1:4" s="1076" customFormat="1" ht="15">
      <c r="A15" s="1079" t="s">
        <v>1025</v>
      </c>
      <c r="B15" s="1080" t="s">
        <v>3669</v>
      </c>
      <c r="C15" s="1080"/>
      <c r="D15" s="1085" t="e">
        <f>'Calc Data-SB1'!C42*-1</f>
        <v>#DIV/0!</v>
      </c>
    </row>
    <row r="16" spans="1:4" s="1076" customFormat="1" ht="15">
      <c r="A16" s="1079" t="s">
        <v>1027</v>
      </c>
      <c r="B16" s="1080" t="str">
        <f>CONCATENATE("GYA ($",Assumptions!G90," * WADA * DTR_1 * 100) - LR")</f>
        <v>GYA ($77.53 * WADA * DTR_1 * 100) - LR</v>
      </c>
      <c r="C16" s="1080"/>
      <c r="D16" s="1085" t="e">
        <f>'SOF1617-SB1'!F52</f>
        <v>#DIV/0!</v>
      </c>
    </row>
    <row r="17" spans="1:4" s="1076" customFormat="1" ht="18">
      <c r="A17" s="1366" t="s">
        <v>3252</v>
      </c>
      <c r="B17" s="1346"/>
      <c r="C17" s="1294"/>
      <c r="D17" s="1291"/>
    </row>
    <row r="18" spans="1:4" s="1076" customFormat="1" ht="15">
      <c r="A18" s="1079" t="s">
        <v>1028</v>
      </c>
      <c r="B18" s="1080" t="s">
        <v>3580</v>
      </c>
      <c r="C18" s="1080"/>
      <c r="D18" s="1085" t="e">
        <f>IF(FracFunding1617!E24&lt;=0,'Calc Data-SB1'!C37,'Calc Data-SB1'!AB31)</f>
        <v>#DIV/0!</v>
      </c>
    </row>
    <row r="19" spans="1:4" s="1076" customFormat="1" ht="15">
      <c r="A19" s="1079" t="s">
        <v>1029</v>
      </c>
      <c r="B19" s="1080" t="s">
        <v>3670</v>
      </c>
      <c r="C19" s="1080"/>
      <c r="D19" s="1084" t="e">
        <f>IF(FracFunding1617!E24&lt;=0,'Calc Data-SB1'!C38,'Calc Data-SB1'!AB29)</f>
        <v>#DIV/0!</v>
      </c>
    </row>
    <row r="20" spans="1:4" s="1076" customFormat="1" ht="15">
      <c r="A20" s="1079" t="s">
        <v>139</v>
      </c>
      <c r="B20" s="1080" t="str">
        <f>CONCATENATE("Level 2 Entitlement @ $",Assumptions!G91,"")</f>
        <v>Level 2 Entitlement @ $31.95</v>
      </c>
      <c r="C20" s="1080"/>
      <c r="D20" s="1085" t="e">
        <f>IF(FracFunding1617!E24&lt;=0,'SOF1617-SB1'!F139,'SOF1617-SB1'!H139)</f>
        <v>#DIV/0!</v>
      </c>
    </row>
    <row r="21" spans="1:4" s="1076" customFormat="1" ht="15">
      <c r="A21" s="1079" t="s">
        <v>140</v>
      </c>
      <c r="B21" s="1080" t="s">
        <v>3671</v>
      </c>
      <c r="C21" s="1080"/>
      <c r="D21" s="1085" t="e">
        <f>IF(FracFunding1617!E24&lt;=0,'Calc Data-SB1'!C43*-1,'Calc Data-SB1'!AB33*-1)</f>
        <v>#DIV/0!</v>
      </c>
    </row>
    <row r="22" spans="1:4" s="1076" customFormat="1" ht="15">
      <c r="A22" s="1079" t="s">
        <v>141</v>
      </c>
      <c r="B22" s="1080" t="str">
        <f>CONCATENATE("GYA ($",Assumptions!G91," * WADA * DTR_1 * 100) - LR")</f>
        <v>GYA ($31.95 * WADA * DTR_1 * 100) - LR</v>
      </c>
      <c r="C22" s="1080"/>
      <c r="D22" s="1085" t="e">
        <f>IF(FracFunding1617!E24&lt;=0,'SOF1617-SB1'!F53,'SOF1617-SB1'!H53)</f>
        <v>#DIV/0!</v>
      </c>
    </row>
    <row r="23" spans="1:4" s="1076" customFormat="1" ht="15.75">
      <c r="A23" s="1079" t="s">
        <v>142</v>
      </c>
      <c r="B23" s="1078" t="s">
        <v>3581</v>
      </c>
      <c r="C23" s="1078"/>
      <c r="D23" s="1090" t="e">
        <f>IF(FracFunding1617!E24&lt;=0,'SOF1617-SB1'!F54,'SOF1617-SB1'!H54)</f>
        <v>#DIV/0!</v>
      </c>
    </row>
    <row r="24" spans="1:4" s="1076" customFormat="1" ht="15.75">
      <c r="B24" s="1195" t="s">
        <v>3392</v>
      </c>
      <c r="D24" s="1445" t="s">
        <v>3666</v>
      </c>
    </row>
    <row r="25" spans="1:4" s="1076" customFormat="1" ht="15"/>
    <row r="26" spans="1:4" s="1076" customFormat="1" ht="15"/>
    <row r="27" spans="1:4" s="1076" customFormat="1" ht="15"/>
    <row r="28" spans="1:4" s="1076" customFormat="1" ht="15"/>
    <row r="29" spans="1:4" s="1076" customFormat="1" ht="15"/>
    <row r="30" spans="1:4" s="1076" customFormat="1" ht="15"/>
    <row r="31" spans="1:4" s="1076" customFormat="1" ht="15"/>
  </sheetData>
  <hyperlinks>
    <hyperlink ref="D24" location="'Report-SOF1617'!A1" display="'Report-SOF1617'!A1"/>
  </hyperlinks>
  <pageMargins left="0.7" right="0.7" top="0.75" bottom="0.75" header="0.3" footer="0.3"/>
  <pageSetup scale="9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 min="4" max="4" width="19.28515625" customWidth="1"/>
  </cols>
  <sheetData>
    <row r="1" spans="1:3">
      <c r="A1" s="1074" t="s">
        <v>3411</v>
      </c>
      <c r="C1" s="1773" t="str">
        <f>'Report-T2Detail1617'!D1</f>
        <v>84th/85th Legislative Session</v>
      </c>
    </row>
    <row r="2" spans="1:3">
      <c r="A2" s="1074" t="s">
        <v>3412</v>
      </c>
      <c r="C2" s="98" t="str">
        <f>'Report-T2Detail1617'!D2</f>
        <v>Release 2</v>
      </c>
    </row>
    <row r="3" spans="1:3">
      <c r="A3" s="89"/>
      <c r="C3" s="82">
        <f>'Report-T2Detail1617'!D3</f>
        <v>43145</v>
      </c>
    </row>
    <row r="4" spans="1:3" ht="15.75">
      <c r="A4" s="1075" t="s">
        <v>3641</v>
      </c>
    </row>
    <row r="5" spans="1:3" ht="15.75">
      <c r="A5" s="1077">
        <f>'Data Entry - SOF'!B1</f>
        <v>0</v>
      </c>
    </row>
    <row r="6" spans="1:3" ht="15.75">
      <c r="A6" s="1075">
        <f>'Data Entry - SOF'!B2</f>
        <v>0</v>
      </c>
    </row>
    <row r="9" spans="1:3" s="880" customFormat="1" ht="18">
      <c r="A9" s="1306" t="s">
        <v>2259</v>
      </c>
      <c r="B9" s="1303"/>
      <c r="C9" s="1293" t="s">
        <v>1447</v>
      </c>
    </row>
    <row r="10" spans="1:3" s="1076" customFormat="1" ht="15.75">
      <c r="A10" s="1366" t="s">
        <v>3254</v>
      </c>
      <c r="B10" s="1290"/>
      <c r="C10" s="1291"/>
    </row>
    <row r="11" spans="1:3" s="1076" customFormat="1" ht="15">
      <c r="A11" s="1079" t="s">
        <v>2501</v>
      </c>
      <c r="B11" s="1080" t="s">
        <v>2692</v>
      </c>
      <c r="C11" s="1087">
        <f>'ASATR-SB1'!E8</f>
        <v>0</v>
      </c>
    </row>
    <row r="12" spans="1:3" s="1076" customFormat="1" ht="15">
      <c r="A12" s="1079" t="s">
        <v>2502</v>
      </c>
      <c r="B12" s="1080" t="s">
        <v>3642</v>
      </c>
      <c r="C12" s="1086" t="e">
        <f>'Calc Data-SB1'!C25</f>
        <v>#DIV/0!</v>
      </c>
    </row>
    <row r="13" spans="1:3" s="1076" customFormat="1" ht="15">
      <c r="A13" s="1079" t="s">
        <v>2503</v>
      </c>
      <c r="B13" s="1080" t="s">
        <v>3643</v>
      </c>
      <c r="C13" s="1085" t="e">
        <f>'ASATR-SB1'!E50</f>
        <v>#DIV/0!</v>
      </c>
    </row>
    <row r="14" spans="1:3" s="1076" customFormat="1" ht="15">
      <c r="A14" s="1079" t="s">
        <v>1024</v>
      </c>
      <c r="B14" s="1080" t="str">
        <f>CONCATENATE("2016-17 Minimum Increase (Line 2 * $120 * ",Weights!G7,")")</f>
        <v>2016-17 Minimum Increase (Line 2 * $120 * 0.9263)</v>
      </c>
      <c r="C14" s="1085" t="e">
        <f>'ASATR-SB1'!E51</f>
        <v>#DIV/0!</v>
      </c>
    </row>
    <row r="15" spans="1:3" s="1076" customFormat="1" ht="15">
      <c r="A15" s="1079" t="s">
        <v>1025</v>
      </c>
      <c r="B15" s="1080" t="s">
        <v>3255</v>
      </c>
      <c r="C15" s="1085">
        <f>'ASATR-SB1'!E13</f>
        <v>0</v>
      </c>
    </row>
    <row r="16" spans="1:3" s="1076" customFormat="1" ht="15">
      <c r="A16" s="1079" t="s">
        <v>1027</v>
      </c>
      <c r="B16" s="1080" t="s">
        <v>3644</v>
      </c>
      <c r="C16" s="1085" t="e">
        <f>'ASATR-SB1'!E14</f>
        <v>#DIV/0!</v>
      </c>
    </row>
    <row r="17" spans="1:4" s="1076" customFormat="1" ht="15">
      <c r="A17" s="1297"/>
      <c r="B17" s="1290"/>
      <c r="C17" s="1291"/>
    </row>
    <row r="18" spans="1:4" s="1076" customFormat="1" ht="15">
      <c r="A18" s="1079" t="s">
        <v>1028</v>
      </c>
      <c r="B18" s="1080" t="s">
        <v>3258</v>
      </c>
      <c r="C18" s="1085">
        <f>'ASATR-SB1'!E15</f>
        <v>0</v>
      </c>
    </row>
    <row r="19" spans="1:4" s="1076" customFormat="1" ht="15">
      <c r="A19" s="1079" t="s">
        <v>1029</v>
      </c>
      <c r="B19" s="1080" t="s">
        <v>3259</v>
      </c>
      <c r="C19" s="1085">
        <f>'ASATR-SB1'!E16</f>
        <v>0</v>
      </c>
    </row>
    <row r="20" spans="1:4" s="1076" customFormat="1" ht="15.75">
      <c r="A20" s="1079" t="s">
        <v>139</v>
      </c>
      <c r="B20" s="1080" t="str">
        <f>CONCATENATE("2008-09 Educator Salary Increase ($23.63 * 2008-09 WADA * ",Weights!G7,")")</f>
        <v>2008-09 Educator Salary Increase ($23.63 * 2008-09 WADA * 0.9263)</v>
      </c>
      <c r="C20" s="1085">
        <f>'ASATR-SB1'!E18</f>
        <v>0</v>
      </c>
      <c r="D20" s="1856" t="s">
        <v>4523</v>
      </c>
    </row>
    <row r="21" spans="1:4" s="1076" customFormat="1" ht="15.75">
      <c r="A21" s="1079" t="s">
        <v>140</v>
      </c>
      <c r="B21" s="1078" t="s">
        <v>3645</v>
      </c>
      <c r="C21" s="1085" t="e">
        <f>'ASATR-SB1'!E20</f>
        <v>#DIV/0!</v>
      </c>
      <c r="D21" s="1085" t="e">
        <f>C21</f>
        <v>#DIV/0!</v>
      </c>
    </row>
    <row r="22" spans="1:4" s="1076" customFormat="1" ht="15">
      <c r="A22" s="1297"/>
      <c r="B22" s="1290"/>
      <c r="C22" s="1291"/>
      <c r="D22" s="1291"/>
    </row>
    <row r="23" spans="1:4" s="1076" customFormat="1" ht="15">
      <c r="A23" s="1079" t="s">
        <v>141</v>
      </c>
      <c r="B23" s="1080" t="s">
        <v>3646</v>
      </c>
      <c r="C23" s="1085" t="e">
        <f>IF(FracFunding1617!E24&lt;=0,'ASATR-SB1'!E22,'ASATR-SB1'!E37)</f>
        <v>#DIV/0!</v>
      </c>
      <c r="D23" s="1085">
        <f>'ASATR-SB1'!F57</f>
        <v>0</v>
      </c>
    </row>
    <row r="24" spans="1:4" s="1076" customFormat="1" ht="15">
      <c r="A24" s="1079" t="s">
        <v>142</v>
      </c>
      <c r="B24" s="1080" t="s">
        <v>3647</v>
      </c>
      <c r="C24" s="1085" t="e">
        <f>IF(FracFunding1617!E24&lt;=0,'ASATR-SB1'!E23,'ASATR-SB1'!E38)</f>
        <v>#DIV/0!</v>
      </c>
      <c r="D24" s="1085" t="e">
        <f>'ASATR-SB1'!F58</f>
        <v>#DIV/0!</v>
      </c>
    </row>
    <row r="25" spans="1:4" s="1076" customFormat="1" ht="15">
      <c r="A25" s="1079" t="s">
        <v>1706</v>
      </c>
      <c r="B25" s="1689" t="s">
        <v>8012</v>
      </c>
      <c r="C25" s="1085" t="e">
        <f>IF(FracFunding1617!E24&lt;=0,'ASATR-SB1'!E24*-1,'ASATR-SB1'!E39*-1)</f>
        <v>#DIV/0!</v>
      </c>
      <c r="D25" s="1085" t="e">
        <f>'ASATR-SB1'!F59</f>
        <v>#DIV/0!</v>
      </c>
    </row>
    <row r="26" spans="1:4" s="1076" customFormat="1" ht="15">
      <c r="A26" s="1079" t="s">
        <v>6</v>
      </c>
      <c r="B26" s="1080" t="s">
        <v>3648</v>
      </c>
      <c r="C26" s="1085" t="e">
        <f>IF(FracFunding1617!E24&lt;=0,'ASATR-SB1'!E25,'ASATR-SB1'!E40)</f>
        <v>#DIV/0!</v>
      </c>
      <c r="D26" s="1085" t="e">
        <f>'ASATR-SB1'!F60</f>
        <v>#DIV/0!</v>
      </c>
    </row>
    <row r="27" spans="1:4" s="1076" customFormat="1" ht="15">
      <c r="A27" s="1297"/>
      <c r="B27" s="1290"/>
      <c r="C27" s="1305"/>
      <c r="D27" s="1305"/>
    </row>
    <row r="28" spans="1:4" s="1076" customFormat="1" ht="15.75">
      <c r="A28" s="1113" t="s">
        <v>2551</v>
      </c>
      <c r="B28" s="1097" t="s">
        <v>3448</v>
      </c>
      <c r="C28" s="1090" t="e">
        <f>IF(FracFunding1617!E24&lt;=0,'ASATR-SB1'!E27,'ASATR-SB1'!E42)</f>
        <v>#DIV/0!</v>
      </c>
      <c r="D28" s="1114" t="e">
        <f>'ASATR-SB1'!F62</f>
        <v>#DIV/0!</v>
      </c>
    </row>
    <row r="29" spans="1:4" s="1076" customFormat="1" ht="15">
      <c r="A29" s="1091"/>
      <c r="B29" s="1099" t="s">
        <v>3260</v>
      </c>
      <c r="C29" s="1110"/>
      <c r="D29" s="1080"/>
    </row>
    <row r="30" spans="1:4" s="1076" customFormat="1" ht="15">
      <c r="A30" s="1297"/>
      <c r="B30" s="1290"/>
      <c r="C30" s="1305"/>
    </row>
    <row r="31" spans="1:4" s="1076" customFormat="1" ht="15">
      <c r="A31" s="1095" t="s">
        <v>2552</v>
      </c>
      <c r="B31" s="1080" t="s">
        <v>3649</v>
      </c>
      <c r="C31" s="1085" t="e">
        <f>IF(FracFunding1617!E24&lt;=0,'ASATR-SB1'!E30,'ASATR-SB1'!E45)</f>
        <v>#DIV/0!</v>
      </c>
    </row>
    <row r="32" spans="1:4" s="1076" customFormat="1" ht="15">
      <c r="A32" s="1095" t="s">
        <v>3122</v>
      </c>
      <c r="B32" s="1080" t="s">
        <v>3650</v>
      </c>
      <c r="C32" s="1085" t="e">
        <f>IF(FracFunding1617!E24&lt;=0,'ASATR-SB1'!E31,'ASATR-SB1'!E46)</f>
        <v>#DIV/0!</v>
      </c>
    </row>
    <row r="33" spans="2:3" s="1076" customFormat="1" ht="15.75">
      <c r="B33" s="1195" t="s">
        <v>3405</v>
      </c>
      <c r="C33" s="1445" t="s">
        <v>3667</v>
      </c>
    </row>
    <row r="34" spans="2:3" s="1076" customFormat="1" ht="15"/>
    <row r="35" spans="2:3" s="1076" customFormat="1" ht="15"/>
    <row r="36" spans="2:3" s="1076" customFormat="1" ht="15"/>
    <row r="37" spans="2:3" s="1076" customFormat="1" ht="15"/>
    <row r="38" spans="2:3" s="1076" customFormat="1" ht="15"/>
  </sheetData>
  <hyperlinks>
    <hyperlink ref="B25" location="'Report-Recapture1617'!A1" display="2016-17 Recapture @ Compressed Tax Rate (Link to Detail Report)"/>
    <hyperlink ref="C33" location="'Report-Other1617'!A1" display="'Report-Other1617'!A1"/>
  </hyperlinks>
  <pageMargins left="0.7" right="0.7" top="0.75" bottom="0.75" header="0.3" footer="0.3"/>
  <pageSetup scale="8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F47"/>
  <sheetViews>
    <sheetView workbookViewId="0">
      <selection activeCell="D2" sqref="D2"/>
    </sheetView>
  </sheetViews>
  <sheetFormatPr defaultRowHeight="12.75"/>
  <cols>
    <col min="1" max="1" width="5.85546875" customWidth="1"/>
    <col min="2" max="2" width="74.85546875" customWidth="1"/>
    <col min="3" max="3" width="4.5703125" customWidth="1"/>
    <col min="4" max="5" width="23" customWidth="1"/>
  </cols>
  <sheetData>
    <row r="1" spans="1:5" s="1076" customFormat="1" ht="15">
      <c r="A1" s="1074" t="s">
        <v>3411</v>
      </c>
      <c r="D1" s="1773" t="str">
        <f>'Report-ASATR1617'!C1</f>
        <v>84th/85th Legislative Session</v>
      </c>
      <c r="E1" s="1773"/>
    </row>
    <row r="2" spans="1:5" s="1076" customFormat="1" ht="15">
      <c r="A2" s="1074" t="s">
        <v>3412</v>
      </c>
      <c r="D2" s="98" t="str">
        <f>'Report-ASATR1617'!C2</f>
        <v>Release 2</v>
      </c>
      <c r="E2" s="98"/>
    </row>
    <row r="3" spans="1:5" s="1076" customFormat="1" ht="15.75">
      <c r="A3" s="1075"/>
      <c r="D3" s="82">
        <f>'Report-ASATR1617'!C3</f>
        <v>43145</v>
      </c>
      <c r="E3" s="82"/>
    </row>
    <row r="4" spans="1:5" s="1076" customFormat="1" ht="15.75">
      <c r="A4" s="1075" t="s">
        <v>3651</v>
      </c>
    </row>
    <row r="5" spans="1:5" s="1076" customFormat="1" ht="15.75">
      <c r="A5" s="1077">
        <f>'Data Entry - SOF'!B1</f>
        <v>0</v>
      </c>
    </row>
    <row r="6" spans="1:5" s="1076" customFormat="1" ht="15.75">
      <c r="A6" s="1075">
        <f>'Data Entry - SOF'!B2</f>
        <v>0</v>
      </c>
    </row>
    <row r="7" spans="1:5" s="1076" customFormat="1" ht="15.75">
      <c r="A7" s="1075"/>
    </row>
    <row r="8" spans="1:5" s="1076" customFormat="1" ht="15"/>
    <row r="9" spans="1:5" s="880" customFormat="1" ht="18">
      <c r="A9" s="1270"/>
      <c r="B9" s="1271"/>
      <c r="C9" s="1272"/>
      <c r="D9" s="1279" t="s">
        <v>3220</v>
      </c>
      <c r="E9" s="1076"/>
    </row>
    <row r="10" spans="1:5" s="1198" customFormat="1" ht="18">
      <c r="A10" s="1307" t="s">
        <v>3404</v>
      </c>
      <c r="B10" s="1274"/>
      <c r="C10" s="1275"/>
      <c r="D10" s="1284" t="s">
        <v>3207</v>
      </c>
      <c r="E10" s="1856" t="s">
        <v>4523</v>
      </c>
    </row>
    <row r="11" spans="1:5" s="1076" customFormat="1" ht="15">
      <c r="A11" s="1079" t="s">
        <v>2501</v>
      </c>
      <c r="B11" s="1080" t="s">
        <v>3395</v>
      </c>
      <c r="C11" s="1080"/>
      <c r="D11" s="1233">
        <f>'Data Entry - SOF'!C75</f>
        <v>0</v>
      </c>
      <c r="E11" s="1085">
        <f>D11</f>
        <v>0</v>
      </c>
    </row>
    <row r="12" spans="1:5" s="1076" customFormat="1" ht="15.75">
      <c r="A12" s="1079" t="s">
        <v>2502</v>
      </c>
      <c r="B12" s="1080" t="s">
        <v>4741</v>
      </c>
      <c r="C12" s="1080"/>
      <c r="D12" s="1233" t="e">
        <f>'HH1617-Calcs'!D26</f>
        <v>#DIV/0!</v>
      </c>
      <c r="E12" s="1085">
        <v>0</v>
      </c>
    </row>
    <row r="13" spans="1:5" s="1076" customFormat="1" ht="15">
      <c r="A13" s="1079" t="s">
        <v>2503</v>
      </c>
      <c r="B13" s="1080" t="s">
        <v>3576</v>
      </c>
      <c r="C13" s="1080"/>
      <c r="D13" s="1233">
        <v>0</v>
      </c>
      <c r="E13" s="1085">
        <f>D13</f>
        <v>0</v>
      </c>
    </row>
    <row r="14" spans="1:5" s="1076" customFormat="1" ht="15">
      <c r="A14" s="1079" t="s">
        <v>1024</v>
      </c>
      <c r="B14" s="1511" t="s">
        <v>3775</v>
      </c>
      <c r="C14" s="1080"/>
      <c r="D14" s="1085" t="e">
        <f>'Report-ASATR1617'!C28</f>
        <v>#DIV/0!</v>
      </c>
      <c r="E14" s="1085" t="e">
        <f>'Report-ASATR1617'!D28</f>
        <v>#DIV/0!</v>
      </c>
    </row>
    <row r="15" spans="1:5" s="1076" customFormat="1" ht="15">
      <c r="A15" s="1079" t="s">
        <v>1025</v>
      </c>
      <c r="B15" s="1080" t="s">
        <v>859</v>
      </c>
      <c r="C15" s="1080"/>
      <c r="D15" s="1085">
        <f>'Data Entry - SOF'!C76</f>
        <v>0</v>
      </c>
      <c r="E15" s="1085">
        <f>D15</f>
        <v>0</v>
      </c>
    </row>
    <row r="16" spans="1:5" s="1076" customFormat="1" ht="15">
      <c r="A16" s="1079" t="s">
        <v>1027</v>
      </c>
      <c r="B16" s="1080" t="s">
        <v>3397</v>
      </c>
      <c r="C16" s="1080"/>
      <c r="D16" s="1233">
        <f>'Data Entry - SOF'!C78</f>
        <v>0</v>
      </c>
      <c r="E16" s="1085">
        <f t="shared" ref="E16:E25" si="0">D16</f>
        <v>0</v>
      </c>
    </row>
    <row r="17" spans="1:6" s="1076" customFormat="1" ht="15">
      <c r="A17" s="1079" t="s">
        <v>1028</v>
      </c>
      <c r="B17" s="1080" t="s">
        <v>3773</v>
      </c>
      <c r="C17" s="1080"/>
      <c r="D17" s="1233">
        <f>'Data Entry - SOF'!C96</f>
        <v>0</v>
      </c>
      <c r="E17" s="1085">
        <f t="shared" si="0"/>
        <v>0</v>
      </c>
    </row>
    <row r="18" spans="1:6" s="1076" customFormat="1" ht="15">
      <c r="A18" s="1079" t="s">
        <v>1029</v>
      </c>
      <c r="B18" s="1080" t="s">
        <v>2793</v>
      </c>
      <c r="C18" s="1080"/>
      <c r="D18" s="1085">
        <f>'SOF1617-SB1'!F66</f>
        <v>0</v>
      </c>
      <c r="E18" s="1085">
        <f t="shared" si="0"/>
        <v>0</v>
      </c>
    </row>
    <row r="19" spans="1:6" s="1076" customFormat="1" ht="15">
      <c r="A19" s="1079" t="s">
        <v>139</v>
      </c>
      <c r="B19" s="1080" t="s">
        <v>3400</v>
      </c>
      <c r="C19" s="1080"/>
      <c r="D19" s="1233">
        <v>0</v>
      </c>
      <c r="E19" s="1085">
        <v>0</v>
      </c>
    </row>
    <row r="20" spans="1:6" s="1076" customFormat="1" ht="15">
      <c r="A20" s="1079" t="s">
        <v>140</v>
      </c>
      <c r="B20" s="1080" t="s">
        <v>3401</v>
      </c>
      <c r="C20" s="1080"/>
      <c r="D20" s="1233">
        <f>'Data Entry - SOF'!C80</f>
        <v>0</v>
      </c>
      <c r="E20" s="1085">
        <f t="shared" si="0"/>
        <v>0</v>
      </c>
    </row>
    <row r="21" spans="1:6" s="1076" customFormat="1" ht="15">
      <c r="A21" s="1079" t="s">
        <v>141</v>
      </c>
      <c r="B21" s="1080" t="s">
        <v>3402</v>
      </c>
      <c r="C21" s="1080"/>
      <c r="D21" s="1085" t="e">
        <f>'SOF1617-SB1'!F68</f>
        <v>#DIV/0!</v>
      </c>
      <c r="E21" s="1085" t="e">
        <f t="shared" si="0"/>
        <v>#DIV/0!</v>
      </c>
    </row>
    <row r="22" spans="1:6" s="1076" customFormat="1" ht="15">
      <c r="A22" s="1079" t="s">
        <v>142</v>
      </c>
      <c r="B22" s="1080" t="s">
        <v>3403</v>
      </c>
      <c r="C22" s="1080"/>
      <c r="D22" s="1085" t="e">
        <f>'SOF1617-SB1'!F67</f>
        <v>#DIV/0!</v>
      </c>
      <c r="E22" s="1085" t="e">
        <f t="shared" si="0"/>
        <v>#DIV/0!</v>
      </c>
    </row>
    <row r="23" spans="1:6" s="1076" customFormat="1" ht="15">
      <c r="A23" s="1079" t="s">
        <v>1706</v>
      </c>
      <c r="B23" s="1080" t="s">
        <v>3577</v>
      </c>
      <c r="C23" s="1080"/>
      <c r="D23" s="1085">
        <v>0</v>
      </c>
      <c r="E23" s="1085">
        <f t="shared" si="0"/>
        <v>0</v>
      </c>
    </row>
    <row r="24" spans="1:6" s="1076" customFormat="1" ht="15">
      <c r="A24" s="1079" t="s">
        <v>6</v>
      </c>
      <c r="B24" s="1080" t="s">
        <v>3578</v>
      </c>
      <c r="C24" s="1080"/>
      <c r="D24" s="1085">
        <v>0</v>
      </c>
      <c r="E24" s="1085">
        <f t="shared" si="0"/>
        <v>0</v>
      </c>
    </row>
    <row r="25" spans="1:6" s="1076" customFormat="1" ht="15">
      <c r="A25" s="1079" t="s">
        <v>2551</v>
      </c>
      <c r="B25" s="2539" t="s">
        <v>7434</v>
      </c>
      <c r="C25" s="1080"/>
      <c r="D25" s="1085">
        <f>'Data Entry - SOF'!C83</f>
        <v>0</v>
      </c>
      <c r="E25" s="1085">
        <f t="shared" si="0"/>
        <v>0</v>
      </c>
      <c r="F25" s="1120"/>
    </row>
    <row r="26" spans="1:6" s="1076" customFormat="1" ht="15.75">
      <c r="A26" s="1079" t="s">
        <v>2552</v>
      </c>
      <c r="B26" s="1078" t="s">
        <v>3449</v>
      </c>
      <c r="C26" s="1080"/>
      <c r="D26" s="1090" t="e">
        <f>SUM(D11:D25)</f>
        <v>#DIV/0!</v>
      </c>
      <c r="E26" s="1090" t="e">
        <f>SUM(E11:E25)</f>
        <v>#DIV/0!</v>
      </c>
    </row>
    <row r="27" spans="1:6" s="1076" customFormat="1" ht="15.75">
      <c r="A27" s="1089"/>
      <c r="B27" s="1195" t="s">
        <v>3392</v>
      </c>
      <c r="D27" s="1445" t="s">
        <v>3666</v>
      </c>
      <c r="E27" s="1445"/>
    </row>
    <row r="28" spans="1:6" s="1076" customFormat="1" ht="15">
      <c r="A28" s="1089"/>
    </row>
    <row r="29" spans="1:6" s="1076" customFormat="1" ht="15">
      <c r="A29" s="1089"/>
    </row>
    <row r="30" spans="1:6" s="1076" customFormat="1" ht="15.75">
      <c r="A30" s="1345" t="s">
        <v>4748</v>
      </c>
    </row>
    <row r="31" spans="1:6" s="1076" customFormat="1" ht="15.75">
      <c r="A31" s="1089"/>
      <c r="B31" s="1795" t="s">
        <v>7433</v>
      </c>
    </row>
    <row r="32" spans="1:6" s="1076" customFormat="1" ht="15">
      <c r="A32" s="1089"/>
    </row>
    <row r="33" spans="1:1" s="1076" customFormat="1" ht="15">
      <c r="A33" s="1089"/>
    </row>
    <row r="34" spans="1:1" s="1076" customFormat="1" ht="15">
      <c r="A34" s="1089"/>
    </row>
    <row r="35" spans="1:1" s="1076" customFormat="1" ht="15">
      <c r="A35" s="1089"/>
    </row>
    <row r="36" spans="1:1" s="1076" customFormat="1" ht="15">
      <c r="A36" s="1089"/>
    </row>
    <row r="37" spans="1:1" s="1076" customFormat="1" ht="15">
      <c r="A37" s="1089"/>
    </row>
    <row r="38" spans="1:1" s="1076" customFormat="1" ht="15">
      <c r="A38" s="1089"/>
    </row>
    <row r="39" spans="1:1" s="1076" customFormat="1" ht="15">
      <c r="A39" s="1089"/>
    </row>
    <row r="40" spans="1:1" s="1076" customFormat="1" ht="15"/>
    <row r="41" spans="1:1" s="1076" customFormat="1" ht="15"/>
    <row r="42" spans="1:1" s="1076" customFormat="1" ht="15"/>
    <row r="43" spans="1:1" s="1076" customFormat="1" ht="15"/>
    <row r="44" spans="1:1" s="1076" customFormat="1" ht="15"/>
    <row r="45" spans="1:1" s="1076" customFormat="1" ht="15"/>
    <row r="46" spans="1:1" s="1076" customFormat="1" ht="15"/>
    <row r="47" spans="1:1" s="1076" customFormat="1" ht="15"/>
  </sheetData>
  <hyperlinks>
    <hyperlink ref="B14" location="'Report-ASATR1617'!A1" display="Additional State Aid for Tax Reduction"/>
    <hyperlink ref="D27" location="'Report-SOF1617'!A1" display="'Report-SOF1617'!A1"/>
  </hyperlinks>
  <pageMargins left="0.45" right="0.45" top="0.5" bottom="0.5" header="0.3" footer="0.3"/>
  <pageSetup scale="9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 sqref="D2"/>
    </sheetView>
  </sheetViews>
  <sheetFormatPr defaultRowHeight="12.75"/>
  <cols>
    <col min="1" max="1" width="5.42578125" customWidth="1"/>
    <col min="2" max="2" width="78.42578125" customWidth="1"/>
    <col min="3" max="3" width="4.7109375" customWidth="1"/>
    <col min="4" max="4" width="22.5703125" customWidth="1"/>
  </cols>
  <sheetData>
    <row r="1" spans="1:4">
      <c r="A1" s="1074" t="s">
        <v>3411</v>
      </c>
      <c r="D1" s="1773" t="str">
        <f>'Report-Other1617'!D1</f>
        <v>84th/85th Legislative Session</v>
      </c>
    </row>
    <row r="2" spans="1:4">
      <c r="A2" s="1074" t="s">
        <v>3412</v>
      </c>
      <c r="D2" s="98" t="str">
        <f>'Report-Other1617'!D2</f>
        <v>Release 2</v>
      </c>
    </row>
    <row r="3" spans="1:4">
      <c r="A3" s="89"/>
      <c r="D3" s="82">
        <f>'Report-Other1617'!D3</f>
        <v>43145</v>
      </c>
    </row>
    <row r="4" spans="1:4" ht="15.75">
      <c r="A4" s="1075" t="s">
        <v>3652</v>
      </c>
    </row>
    <row r="5" spans="1:4" ht="15.75">
      <c r="A5" s="1077">
        <f>'Data Entry - SOF'!B1</f>
        <v>0</v>
      </c>
    </row>
    <row r="6" spans="1:4" ht="15.75">
      <c r="A6" s="1075">
        <f>'Data Entry - SOF'!B2</f>
        <v>0</v>
      </c>
    </row>
    <row r="9" spans="1:4" s="880" customFormat="1" ht="18">
      <c r="A9" s="1314" t="s">
        <v>3582</v>
      </c>
      <c r="B9" s="1308"/>
      <c r="C9" s="1309"/>
      <c r="D9" s="1271"/>
    </row>
    <row r="10" spans="1:4" s="1076" customFormat="1" ht="18">
      <c r="A10" s="1312" t="s">
        <v>3268</v>
      </c>
      <c r="B10" s="1310"/>
      <c r="C10" s="1311"/>
      <c r="D10" s="1284" t="s">
        <v>3269</v>
      </c>
    </row>
    <row r="11" spans="1:4" s="1076" customFormat="1" ht="15">
      <c r="A11" s="1079" t="s">
        <v>2501</v>
      </c>
      <c r="B11" s="1080" t="s">
        <v>3562</v>
      </c>
      <c r="C11" s="1080"/>
      <c r="D11" s="1085">
        <f>'Data Entry - SOF'!C128</f>
        <v>0</v>
      </c>
    </row>
    <row r="12" spans="1:4" s="1076" customFormat="1" ht="15">
      <c r="A12" s="1079" t="s">
        <v>2502</v>
      </c>
      <c r="B12" s="1080" t="s">
        <v>3563</v>
      </c>
      <c r="C12" s="1080"/>
      <c r="D12" s="1085">
        <f>'Data Entry - SOF'!C130</f>
        <v>0</v>
      </c>
    </row>
    <row r="13" spans="1:4" s="1076" customFormat="1" ht="15">
      <c r="A13" s="1079" t="s">
        <v>2503</v>
      </c>
      <c r="B13" s="1080" t="s">
        <v>3564</v>
      </c>
      <c r="C13" s="1080"/>
      <c r="D13" s="1085">
        <f>'Data Entry - SOF'!C131</f>
        <v>0</v>
      </c>
    </row>
    <row r="14" spans="1:4" s="1076" customFormat="1" ht="15">
      <c r="A14" s="1079" t="s">
        <v>1024</v>
      </c>
      <c r="B14" s="1080" t="s">
        <v>3565</v>
      </c>
      <c r="C14" s="1080"/>
      <c r="D14" s="1085">
        <f>IF(D11-D12-D13&lt;0,0,D11-D12-D13)</f>
        <v>0</v>
      </c>
    </row>
    <row r="15" spans="1:4" s="1076" customFormat="1" ht="15">
      <c r="A15" s="1079" t="s">
        <v>1025</v>
      </c>
      <c r="B15" s="1080" t="s">
        <v>3653</v>
      </c>
      <c r="C15" s="1080"/>
      <c r="D15" s="1085">
        <f>'Data Entry - SOF'!C73</f>
        <v>0</v>
      </c>
    </row>
    <row r="16" spans="1:4" s="1076" customFormat="1" ht="15">
      <c r="A16" s="1079" t="s">
        <v>1027</v>
      </c>
      <c r="B16" s="1080" t="s">
        <v>3654</v>
      </c>
      <c r="C16" s="1080"/>
      <c r="D16" s="1085">
        <f>'Report-IFA1617'!D37</f>
        <v>0</v>
      </c>
    </row>
    <row r="17" spans="1:4" s="1076" customFormat="1" ht="15">
      <c r="A17" s="1079" t="s">
        <v>1028</v>
      </c>
      <c r="B17" s="1080" t="s">
        <v>3655</v>
      </c>
      <c r="C17" s="1080"/>
      <c r="D17" s="1086">
        <f>'Data Entry - SOF'!C17</f>
        <v>0</v>
      </c>
    </row>
    <row r="18" spans="1:4" s="1076" customFormat="1" ht="15">
      <c r="A18" s="1079" t="s">
        <v>1029</v>
      </c>
      <c r="B18" s="1080" t="s">
        <v>7387</v>
      </c>
      <c r="C18" s="1080"/>
      <c r="D18" s="1085">
        <f>'Data Entry - SOF'!C53</f>
        <v>0</v>
      </c>
    </row>
    <row r="19" spans="1:4" s="1076" customFormat="1" ht="15">
      <c r="A19" s="1079" t="s">
        <v>139</v>
      </c>
      <c r="B19" s="1080" t="s">
        <v>3479</v>
      </c>
      <c r="C19" s="1080"/>
      <c r="D19" s="1085">
        <f>'Data Entry - SOF'!C127</f>
        <v>0</v>
      </c>
    </row>
    <row r="20" spans="1:4" s="1076" customFormat="1" ht="15.75">
      <c r="A20" s="1366" t="s">
        <v>3270</v>
      </c>
      <c r="B20" s="1290"/>
      <c r="C20" s="1291"/>
      <c r="D20" s="1313"/>
    </row>
    <row r="21" spans="1:4" s="1076" customFormat="1" ht="15">
      <c r="A21" s="1113" t="s">
        <v>140</v>
      </c>
      <c r="B21" s="1097" t="s">
        <v>3567</v>
      </c>
      <c r="C21" s="1097"/>
      <c r="D21" s="1121">
        <f>'Existing Debt'!G47</f>
        <v>0</v>
      </c>
    </row>
    <row r="22" spans="1:4" s="1076" customFormat="1" ht="15">
      <c r="A22" s="1091"/>
      <c r="B22" s="1099" t="s">
        <v>3271</v>
      </c>
      <c r="C22" s="1099"/>
      <c r="D22" s="1122"/>
    </row>
    <row r="23" spans="1:4" s="1076" customFormat="1" ht="15">
      <c r="A23" s="1079" t="s">
        <v>141</v>
      </c>
      <c r="B23" s="1080" t="str">
        <f>CONCATENATE("2016-17 Rate Needed for All Eligible Debt ((Line 5 - Line 6) / ",Weights!H50," / Line 7 / 100)")</f>
        <v>2016-17 Rate Needed for All Eligible Debt ((Line 5 - Line 6) / 35 / Line 7 / 100)</v>
      </c>
      <c r="C23" s="1080"/>
      <c r="D23" s="1123">
        <f>'Existing Debt'!G51</f>
        <v>0</v>
      </c>
    </row>
    <row r="24" spans="1:4" s="1076" customFormat="1" ht="15">
      <c r="A24" s="1079" t="s">
        <v>142</v>
      </c>
      <c r="B24" s="1080" t="s">
        <v>3656</v>
      </c>
      <c r="C24" s="1080"/>
      <c r="D24" s="1123">
        <f>'Existing Debt'!G55</f>
        <v>0</v>
      </c>
    </row>
    <row r="25" spans="1:4" s="1076" customFormat="1" ht="15">
      <c r="A25" s="1079" t="s">
        <v>1706</v>
      </c>
      <c r="B25" s="1080" t="str">
        <f>CONCATENATE("State/Local Share of EDA ($",Weights!H50," * Line 7 * Line 12 * 100)")</f>
        <v>State/Local Share of EDA ($35 * Line 7 * Line 12 * 100)</v>
      </c>
      <c r="C25" s="1080"/>
      <c r="D25" s="1085">
        <f>'Existing Debt'!G59</f>
        <v>0</v>
      </c>
    </row>
    <row r="26" spans="1:4" s="1076" customFormat="1" ht="15">
      <c r="A26" s="1079" t="s">
        <v>6</v>
      </c>
      <c r="B26" s="1080" t="s">
        <v>3272</v>
      </c>
      <c r="C26" s="1080"/>
      <c r="D26" s="1085">
        <f>'Existing Debt'!G61</f>
        <v>0</v>
      </c>
    </row>
    <row r="27" spans="1:4" s="1076" customFormat="1" ht="15">
      <c r="A27" s="1079" t="s">
        <v>2551</v>
      </c>
      <c r="B27" s="1080" t="s">
        <v>3273</v>
      </c>
      <c r="C27" s="1080"/>
      <c r="D27" s="1085">
        <f>'Existing Debt'!G70</f>
        <v>0</v>
      </c>
    </row>
    <row r="28" spans="1:4" s="1076" customFormat="1" ht="15.75">
      <c r="A28" s="1079" t="s">
        <v>2552</v>
      </c>
      <c r="B28" s="1078" t="s">
        <v>3274</v>
      </c>
      <c r="C28" s="1080"/>
      <c r="D28" s="1090">
        <f>'Existing Debt'!G74</f>
        <v>0</v>
      </c>
    </row>
    <row r="29" spans="1:4" s="1076" customFormat="1" ht="15.75">
      <c r="B29" s="1195" t="s">
        <v>3392</v>
      </c>
      <c r="D29" s="1445" t="s">
        <v>3666</v>
      </c>
    </row>
    <row r="30" spans="1:4" s="1076" customFormat="1" ht="15"/>
    <row r="31" spans="1:4" s="1076" customFormat="1" ht="15"/>
    <row r="32" spans="1:4" s="1076" customFormat="1" ht="15.75">
      <c r="B32" s="961" t="s">
        <v>3346</v>
      </c>
    </row>
    <row r="33" spans="2:4" s="1076" customFormat="1" ht="15.75">
      <c r="B33" s="961" t="s">
        <v>3587</v>
      </c>
    </row>
    <row r="34" spans="2:4" s="1076" customFormat="1" ht="15.75">
      <c r="B34" s="1315" t="s">
        <v>3584</v>
      </c>
    </row>
    <row r="35" spans="2:4" s="1076" customFormat="1" ht="15.75">
      <c r="B35" s="1315"/>
    </row>
    <row r="36" spans="2:4" s="1076" customFormat="1" ht="15.75">
      <c r="B36" s="961" t="s">
        <v>3387</v>
      </c>
    </row>
    <row r="37" spans="2:4" s="1076" customFormat="1" ht="15.75">
      <c r="B37" s="1315" t="s">
        <v>4595</v>
      </c>
    </row>
    <row r="38" spans="2:4" s="1076" customFormat="1" ht="15.75">
      <c r="B38" s="961" t="s">
        <v>4596</v>
      </c>
    </row>
    <row r="39" spans="2:4" s="1076" customFormat="1" ht="15.75">
      <c r="B39" s="1795" t="s">
        <v>7100</v>
      </c>
      <c r="D39" s="2026">
        <f>IF(ISNA('DE1'!G89),0,'DE1'!G89)</f>
        <v>0</v>
      </c>
    </row>
    <row r="40" spans="2:4" ht="15.75">
      <c r="B40" s="961"/>
      <c r="C40" s="1076"/>
      <c r="D40" s="1076"/>
    </row>
    <row r="41" spans="2:4" ht="15.75">
      <c r="B41" s="961" t="s">
        <v>7090</v>
      </c>
      <c r="C41" s="1076"/>
      <c r="D41" s="1076"/>
    </row>
    <row r="42" spans="2:4" ht="15.75">
      <c r="B42" s="1315" t="s">
        <v>7310</v>
      </c>
      <c r="C42" s="1076"/>
      <c r="D42" s="1076"/>
    </row>
    <row r="43" spans="2:4" ht="15.75">
      <c r="B43" s="961" t="s">
        <v>7309</v>
      </c>
    </row>
  </sheetData>
  <sheetProtection sheet="1"/>
  <hyperlinks>
    <hyperlink ref="D29" location="'Report-SOF1617'!A1" display="'Report-SOF1617'!A1"/>
  </hyperlinks>
  <pageMargins left="0.45" right="0.45" top="0.5" bottom="0.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177</vt:i4>
      </vt:variant>
      <vt:variant>
        <vt:lpstr>Named Ranges</vt:lpstr>
      </vt:variant>
      <vt:variant>
        <vt:i4>54</vt:i4>
      </vt:variant>
    </vt:vector>
  </HeadingPairs>
  <TitlesOfParts>
    <vt:vector size="231" baseType="lpstr">
      <vt:lpstr>Copyright</vt:lpstr>
      <vt:lpstr>Notes</vt:lpstr>
      <vt:lpstr>SqMiles</vt:lpstr>
      <vt:lpstr>Assumptions</vt:lpstr>
      <vt:lpstr>Weights</vt:lpstr>
      <vt:lpstr>Data Entry - SOF</vt:lpstr>
      <vt:lpstr>Data0809</vt:lpstr>
      <vt:lpstr>Data0910</vt:lpstr>
      <vt:lpstr>Calc Data1</vt:lpstr>
      <vt:lpstr>Calc Data</vt:lpstr>
      <vt:lpstr>new CEI</vt:lpstr>
      <vt:lpstr>Calc Data-SB1</vt:lpstr>
      <vt:lpstr>Ch41 Calc Data</vt:lpstr>
      <vt:lpstr>EDA2</vt:lpstr>
      <vt:lpstr>0506Data</vt:lpstr>
      <vt:lpstr>TaxRates</vt:lpstr>
      <vt:lpstr>GrossRecap</vt:lpstr>
      <vt:lpstr>IFA2</vt:lpstr>
      <vt:lpstr>SOF1617-HB3646</vt:lpstr>
      <vt:lpstr>SOF1718-HB3646</vt:lpstr>
      <vt:lpstr>SOF1819-HB3646</vt:lpstr>
      <vt:lpstr>DE1</vt:lpstr>
      <vt:lpstr>IFA_Limits</vt:lpstr>
      <vt:lpstr>IFA Data</vt:lpstr>
      <vt:lpstr>IFA</vt:lpstr>
      <vt:lpstr>Existing Debt</vt:lpstr>
      <vt:lpstr>Calc Data-15K</vt:lpstr>
      <vt:lpstr>Option Costs-15K-ASATR</vt:lpstr>
      <vt:lpstr>Option Costs-15K</vt:lpstr>
      <vt:lpstr>ASATR-SB1</vt:lpstr>
      <vt:lpstr>Option Costs-ASATR</vt:lpstr>
      <vt:lpstr>Option Costs-HB3646</vt:lpstr>
      <vt:lpstr>FracFunding1617</vt:lpstr>
      <vt:lpstr>FracFunding161715K</vt:lpstr>
      <vt:lpstr>Report-SOF1617-15K</vt:lpstr>
      <vt:lpstr>SOF1617-SB1</vt:lpstr>
      <vt:lpstr>Report-SOF1617</vt:lpstr>
      <vt:lpstr>HH1617-Calcs</vt:lpstr>
      <vt:lpstr>FracFunding1718</vt:lpstr>
      <vt:lpstr>Report-SOF1718</vt:lpstr>
      <vt:lpstr>SOF1718-SB1</vt:lpstr>
      <vt:lpstr>HH1718-Calcs</vt:lpstr>
      <vt:lpstr>FracFunding1819</vt:lpstr>
      <vt:lpstr>SOF1819-SB1</vt:lpstr>
      <vt:lpstr>Report-SOF1819</vt:lpstr>
      <vt:lpstr>HH1819-Calcs</vt:lpstr>
      <vt:lpstr>Comparisons</vt:lpstr>
      <vt:lpstr>Data - Notice1819</vt:lpstr>
      <vt:lpstr>Notice Calc1819</vt:lpstr>
      <vt:lpstr>EffectiveM&amp;ORate1819</vt:lpstr>
      <vt:lpstr>Notice1819</vt:lpstr>
      <vt:lpstr>FracFunding1920</vt:lpstr>
      <vt:lpstr>Report-SOF1920</vt:lpstr>
      <vt:lpstr>SOF1920-SB1</vt:lpstr>
      <vt:lpstr>HH1920-Calcs</vt:lpstr>
      <vt:lpstr>FracFunding2021</vt:lpstr>
      <vt:lpstr>SOF2021-SB1</vt:lpstr>
      <vt:lpstr>Report-SOF2021</vt:lpstr>
      <vt:lpstr>HH2021-Calcs</vt:lpstr>
      <vt:lpstr>FracFunding2122</vt:lpstr>
      <vt:lpstr>Report-SOF2122</vt:lpstr>
      <vt:lpstr>SOF2122-SB1</vt:lpstr>
      <vt:lpstr>HH2122-Calcs</vt:lpstr>
      <vt:lpstr>FracFunding2223</vt:lpstr>
      <vt:lpstr>Report-SOF2223</vt:lpstr>
      <vt:lpstr>SOF2223-SB1</vt:lpstr>
      <vt:lpstr>HH2223-Calcs</vt:lpstr>
      <vt:lpstr>Report-SOF-AllYears</vt:lpstr>
      <vt:lpstr>Report-Calculations</vt:lpstr>
      <vt:lpstr>Report-Recapture1617</vt:lpstr>
      <vt:lpstr>Report-Recapture1718</vt:lpstr>
      <vt:lpstr>Report-Recapture1819</vt:lpstr>
      <vt:lpstr>Report-Recapture1920</vt:lpstr>
      <vt:lpstr>GraphData</vt:lpstr>
      <vt:lpstr>Report-Recapture2021</vt:lpstr>
      <vt:lpstr>Graph-SB1</vt:lpstr>
      <vt:lpstr>Report-Recapture2122</vt:lpstr>
      <vt:lpstr>Report-Recapture2223</vt:lpstr>
      <vt:lpstr>Sheet5</vt:lpstr>
      <vt:lpstr>Sheet4</vt:lpstr>
      <vt:lpstr>Sheet3</vt:lpstr>
      <vt:lpstr>Sheet7</vt:lpstr>
      <vt:lpstr>Sheet6</vt:lpstr>
      <vt:lpstr>Sheet9</vt:lpstr>
      <vt:lpstr>Sheet8</vt:lpstr>
      <vt:lpstr>Sheet2</vt:lpstr>
      <vt:lpstr>Graphs</vt:lpstr>
      <vt:lpstr>Option Costs</vt:lpstr>
      <vt:lpstr>staff-ada</vt:lpstr>
      <vt:lpstr>Sheet1</vt:lpstr>
      <vt:lpstr>final0809</vt:lpstr>
      <vt:lpstr>Report-SpEd1617</vt:lpstr>
      <vt:lpstr>Report-M&amp;O1617</vt:lpstr>
      <vt:lpstr>Report-AA1617</vt:lpstr>
      <vt:lpstr>Report-T1Detail1617</vt:lpstr>
      <vt:lpstr>Report-T2Detail1617</vt:lpstr>
      <vt:lpstr>Report-ASATR1617</vt:lpstr>
      <vt:lpstr>Report-Other1617</vt:lpstr>
      <vt:lpstr>Report-EDA1617</vt:lpstr>
      <vt:lpstr>Report-IFA1617</vt:lpstr>
      <vt:lpstr>Report-FSF1617</vt:lpstr>
      <vt:lpstr>Report-SpEd1718</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InputData</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Concatenate</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UnequalizedTaxes</vt:lpstr>
      <vt:lpstr>HardshipGrant</vt:lpstr>
      <vt:lpstr>Values-15K</vt:lpstr>
      <vt:lpstr>Values-25K</vt:lpstr>
      <vt:lpstr>Data1415</vt:lpstr>
      <vt:lpstr>IFAData_TEA</vt:lpstr>
      <vt:lpstr>HH_Debt1516</vt:lpstr>
      <vt:lpstr>HH_debt1617</vt:lpstr>
      <vt:lpstr>IFAData_TEA_1617</vt:lpstr>
      <vt:lpstr>TaxYr2015Values</vt:lpstr>
      <vt:lpstr>TaxYr2016ValuesFinal</vt:lpstr>
      <vt:lpstr>Data1516</vt:lpstr>
      <vt:lpstr>DeclineAdj</vt:lpstr>
      <vt:lpstr>Prelim_2017_Values</vt:lpstr>
      <vt:lpstr>'ASATR-SB1'!Print_Area</vt:lpstr>
      <vt:lpstr>Assumptions!Print_Area</vt:lpstr>
      <vt:lpstr>'Calc Data'!Print_Area</vt:lpstr>
      <vt:lpstr>'Ch41 Calc Data'!Print_Area</vt:lpstr>
      <vt:lpstr>'Data - Notice1819'!Print_Area</vt:lpstr>
      <vt:lpstr>'Data Entry - SOF'!Print_Area</vt:lpstr>
      <vt:lpstr>'EDA2'!Print_Area</vt:lpstr>
      <vt:lpstr>'EffectiveM&amp;ORate1819'!Print_Area</vt:lpstr>
      <vt:lpstr>'Existing Debt'!Print_Area</vt:lpstr>
      <vt:lpstr>GrossRecap!Print_Area</vt:lpstr>
      <vt:lpstr>IFA!Print_Area</vt:lpstr>
      <vt:lpstr>Notice1819!Print_Area</vt:lpstr>
      <vt:lpstr>'Option Costs'!Print_Area</vt:lpstr>
      <vt:lpstr>'Option Costs-15K'!Print_Area</vt:lpstr>
      <vt:lpstr>'Option Costs-15K-ASATR'!Print_Area</vt:lpstr>
      <vt:lpstr>'Option Costs-ASATR'!Print_Area</vt:lpstr>
      <vt:lpstr>'Option Costs-HB3646'!Print_Area</vt:lpstr>
      <vt:lpstr>'Report-AA1617'!Print_Area</vt:lpstr>
      <vt:lpstr>'Report-AA1718'!Print_Area</vt:lpstr>
      <vt:lpstr>'Report-ASATR1617'!Print_Area</vt:lpstr>
      <vt:lpstr>'Report-Calculations'!Print_Area</vt:lpstr>
      <vt:lpstr>'Report-EDA1617'!Print_Area</vt:lpstr>
      <vt:lpstr>'Report-EDA1718'!Print_Area</vt:lpstr>
      <vt:lpstr>'Report-IFA1617'!Print_Area</vt:lpstr>
      <vt:lpstr>'Report-IFA1718'!Print_Area</vt:lpstr>
      <vt:lpstr>'Report-M&amp;O1617'!Print_Area</vt:lpstr>
      <vt:lpstr>'Report-M&amp;O1718'!Print_Area</vt:lpstr>
      <vt:lpstr>'Report-Other1617'!Print_Area</vt:lpstr>
      <vt:lpstr>'Report-Other1718'!Print_Area</vt:lpstr>
      <vt:lpstr>'Report-Recapture1617'!Print_Area</vt:lpstr>
      <vt:lpstr>'Report-Recapture1718'!Print_Area</vt:lpstr>
      <vt:lpstr>'Report-SOF1617'!Print_Area</vt:lpstr>
      <vt:lpstr>'Report-SOF1617-15K'!Print_Area</vt:lpstr>
      <vt:lpstr>'Report-SOF1718'!Print_Area</vt:lpstr>
      <vt:lpstr>'Report-SOF-AllYears'!Print_Area</vt:lpstr>
      <vt:lpstr>'Report-SpEd1617'!Print_Area</vt:lpstr>
      <vt:lpstr>'Report-SpEd1718'!Print_Area</vt:lpstr>
      <vt:lpstr>'Report-T1Detail1617'!Print_Area</vt:lpstr>
      <vt:lpstr>'Report-T1Detail1718'!Print_Area</vt:lpstr>
      <vt:lpstr>'Report-T2Detail1617'!Print_Area</vt:lpstr>
      <vt:lpstr>'Report-T2Detail1718'!Print_Area</vt:lpstr>
      <vt:lpstr>'SOF1617-SB1'!Print_Area</vt:lpstr>
      <vt:lpstr>'SOF1718-SB1'!Print_Area</vt:lpstr>
      <vt:lpstr>Weights!Print_Area</vt:lpstr>
      <vt:lpstr>'Existing Debt'!Print_Titles</vt:lpstr>
      <vt:lpstr>GrossRecap!Print_Titles</vt:lpstr>
      <vt:lpstr>IFA!Print_Titles</vt:lpstr>
      <vt:lpstr>'Option Costs'!Print_Titles</vt:lpstr>
      <vt:lpstr>'Option Costs-15K'!Print_Titles</vt:lpstr>
      <vt:lpstr>'Option Costs-15K-ASATR'!Print_Titles</vt:lpstr>
      <vt:lpstr>'Option Costs-ASATR'!Print_Titles</vt:lpstr>
      <vt:lpstr>'Option Costs-HB3646'!Print_Titles</vt:lpstr>
      <vt:lpstr>'SOF1617-SB1'!Print_Titles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Windows User</cp:lastModifiedBy>
  <cp:lastPrinted>2017-11-30T22:05:50Z</cp:lastPrinted>
  <dcterms:created xsi:type="dcterms:W3CDTF">1998-01-07T21:05:02Z</dcterms:created>
  <dcterms:modified xsi:type="dcterms:W3CDTF">2018-02-15T21:08:54Z</dcterms:modified>
</cp:coreProperties>
</file>